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7" activeTab="6"/>
  </bookViews>
  <sheets>
    <sheet name="Поиск параметров" sheetId="1" r:id="rId1"/>
    <sheet name="Обзор" sheetId="2" r:id="rId2"/>
    <sheet name="По размерам" sheetId="3" r:id="rId3"/>
    <sheet name="Количество значений" sheetId="4" r:id="rId4"/>
    <sheet name="Инструкция" sheetId="5" r:id="rId5"/>
    <sheet name="Данные 1st" sheetId="6" r:id="rId6"/>
    <sheet name="Данные 2st" sheetId="7" r:id="rId7"/>
    <sheet name="Каталог поиска" sheetId="8" state="hidden" r:id="rId8"/>
    <sheet name="Списки поиска" sheetId="9" state="hidden" r:id="rId9"/>
  </sheets>
  <definedNames>
    <definedName name="_xlnm._FilterDatabase" localSheetId="3" hidden="1">'Данные 1st'!$A$1:$TO$317</definedName>
    <definedName name="_xlnm._FilterDatabase" localSheetId="4" hidden="1">'Данные 2st'!$A$1:$QT$317</definedName>
    <definedName name="_xlnm._FilterDatabase" localSheetId="1" hidden="1">'Количество значений'!$A$1:$TY$86</definedName>
    <definedName name="_xlnm._FilterDatabase" localSheetId="0" hidden="1">'По размерам'!$A$1:$TY$86</definedName>
    <definedName name="_xlnm.Print_Titles" localSheetId="1">'Количество значений'!$1:$1</definedName>
    <definedName name="_xlnm.Print_Titles" localSheetId="0">'По размерам'!$1:$1</definedName>
    <definedName name="SizesForSearch">'Списки поиска'!$A$1:$A$85</definedName>
  </definedNames>
  <calcPr calcId="124519" fullCalcOnLoad="1"/>
</workbook>
</file>

<file path=xl/sharedStrings.xml><?xml version="1.0" encoding="utf-8"?>
<sst xmlns="http://schemas.openxmlformats.org/spreadsheetml/2006/main" count="64480" uniqueCount="6342">
  <si>
    <t>Объединённые параметры по Size</t>
  </si>
  <si>
    <t>Лист «По размерам»: одна строка — один размер Size. Включите фильтр в первом столбце, чтобы оставить нужный размер. Можно также ввести другой Size в столбце A: числовые средние пересчитаются. Список размеров сформирован из исходных данных и не расширяется автоматически.</t>
  </si>
  <si>
    <t>Столбцы 1st и 2st расположены рядом на одном листе. Одноимённые параметры разных файлов сохранены отдельно. В заголовке есть источник, буква исходного столбца и название. Числовые параметры представлены средним арифметическим.</t>
  </si>
  <si>
    <t>Текстовые сведения (рисунок, оборудование, группа, Building Size) показывают уникальные значения для размера на момент создания файла. При ручном изменении данных или Size эти текстовые перечни не пересчитываются.</t>
  </si>
  <si>
    <t>Лист «Количество значений» показывает количество числовых значений для каждого среднего. Пустые и текст пропускаются, нули учитываются. При отсутствии чисел среднее пустое. Исходные строки, включая повторения и ревизии, имеют одинаковый вес.</t>
  </si>
  <si>
    <t>Исходные данные сохранены на листах «Данные 1st» и «Данные 2st». Числа в расчётных полях преобразованы из текста; пробелы по краям удалены. Формулы работают с исходными строками 2–317; при добавлении строк диапазоны нужно расширить.</t>
  </si>
  <si>
    <t>Явные коды, номера, ревизии, группы, типы, переключатели и направления исключены из средних по названию. Все исходные столбцы доступны на листах данных. Размеры сопоставляются по полю Size: S в 1st, Q в 2st.</t>
  </si>
  <si>
    <t>Excel: автоматический пересчёт формул. Макросов и внешних ссылок нет. Средние являются описательной статистикой, не утверждёнными настройками оборудования.</t>
  </si>
  <si>
    <t>Building Size</t>
  </si>
  <si>
    <t>Revision No</t>
  </si>
  <si>
    <t>APPROVE STATE</t>
  </si>
  <si>
    <t>Issue date</t>
  </si>
  <si>
    <t>Application date</t>
  </si>
  <si>
    <t>Issue reason</t>
  </si>
  <si>
    <t>Engineer</t>
  </si>
  <si>
    <t>Checked by</t>
  </si>
  <si>
    <t>Checked by DSC/SC</t>
  </si>
  <si>
    <t>Approved by</t>
  </si>
  <si>
    <t>Process code No.</t>
  </si>
  <si>
    <t>CPU No.</t>
  </si>
  <si>
    <t>Deletion No.</t>
  </si>
  <si>
    <t>Production M/C</t>
  </si>
  <si>
    <t>Production type</t>
  </si>
  <si>
    <t>Trial type</t>
  </si>
  <si>
    <t>2nd production code</t>
  </si>
  <si>
    <t>Group</t>
  </si>
  <si>
    <t>Size</t>
  </si>
  <si>
    <t>Section</t>
  </si>
  <si>
    <t>RIM</t>
  </si>
  <si>
    <t>Inch</t>
  </si>
  <si>
    <t>Load</t>
  </si>
  <si>
    <t>Pattern</t>
  </si>
  <si>
    <t>Tire type</t>
  </si>
  <si>
    <t>TCE SPEC No.</t>
  </si>
  <si>
    <t>IPC No.</t>
  </si>
  <si>
    <t>Code No.</t>
  </si>
  <si>
    <t>Number</t>
  </si>
  <si>
    <t>SIDE MC Group</t>
  </si>
  <si>
    <t>Set position</t>
  </si>
  <si>
    <t>Set position(+/-)</t>
  </si>
  <si>
    <t>Remarks</t>
  </si>
  <si>
    <t>Sidewall shape 0-sharp slow, 1-entry slash.</t>
  </si>
  <si>
    <t>Angle direction</t>
  </si>
  <si>
    <t>Angle direction 1Char</t>
  </si>
  <si>
    <t>Code No.(Non TPI)</t>
  </si>
  <si>
    <t>Code No.(TPI)</t>
  </si>
  <si>
    <t>Angle direction 2Char</t>
  </si>
  <si>
    <t>Machine group</t>
  </si>
  <si>
    <t>Color marks</t>
  </si>
  <si>
    <t>BEAD set width (mm)</t>
  </si>
  <si>
    <t>BEAD set width (mm) +/-</t>
  </si>
  <si>
    <t>Band drum item</t>
  </si>
  <si>
    <t>Band drum main unit width</t>
  </si>
  <si>
    <t>Band drum width</t>
  </si>
  <si>
    <t>Gum band item</t>
  </si>
  <si>
    <t>Gum band item (temp)</t>
  </si>
  <si>
    <t>Gum band width</t>
  </si>
  <si>
    <t>S/W gum band item</t>
  </si>
  <si>
    <t>S/W gum band width</t>
  </si>
  <si>
    <t>Spacer item</t>
  </si>
  <si>
    <t>Spacer item tepm.</t>
  </si>
  <si>
    <t>Spacer width</t>
  </si>
  <si>
    <t>Drum circum (SIDE/IL)</t>
  </si>
  <si>
    <t>Drum circum (SIDE/IL) +/-</t>
  </si>
  <si>
    <t>Drum circum (MAX)</t>
  </si>
  <si>
    <t>Drum circum (MAX) +/-</t>
  </si>
  <si>
    <t>Bead chuck flange</t>
  </si>
  <si>
    <t>Bead set holder</t>
  </si>
  <si>
    <t>Body ply edge holder</t>
  </si>
  <si>
    <t>Const No.</t>
  </si>
  <si>
    <t>Tread layout</t>
  </si>
  <si>
    <t>IL treat(Comp) No.</t>
  </si>
  <si>
    <t>IL width</t>
  </si>
  <si>
    <t>IL width +/-</t>
  </si>
  <si>
    <t>IL Angle gauge</t>
  </si>
  <si>
    <t>IL Length circum</t>
  </si>
  <si>
    <t>IL Mass</t>
  </si>
  <si>
    <t>CCH treat(Comp) No.</t>
  </si>
  <si>
    <t>CCH width</t>
  </si>
  <si>
    <t>CCH width +/-</t>
  </si>
  <si>
    <t>CCH gauge</t>
  </si>
  <si>
    <t>CCH Length circum</t>
  </si>
  <si>
    <t>CCH Mass</t>
  </si>
  <si>
    <t>1P treat(Comp) No.</t>
  </si>
  <si>
    <t>1P width</t>
  </si>
  <si>
    <t>1P width +/-</t>
  </si>
  <si>
    <t>1P gauge</t>
  </si>
  <si>
    <t>1P Length circum</t>
  </si>
  <si>
    <t>1P Mass</t>
  </si>
  <si>
    <t>2P treat(Comp) No.</t>
  </si>
  <si>
    <t>2P width</t>
  </si>
  <si>
    <t>2P width +/-</t>
  </si>
  <si>
    <t>2P gauge</t>
  </si>
  <si>
    <t>2P Length circum</t>
  </si>
  <si>
    <t>2P Mass</t>
  </si>
  <si>
    <t>FL treat(Comp) No.</t>
  </si>
  <si>
    <t>FL width</t>
  </si>
  <si>
    <t>FL width +/-</t>
  </si>
  <si>
    <t>FL gauge</t>
  </si>
  <si>
    <t>FL Length circum  Value is temp</t>
  </si>
  <si>
    <t>FL Mass</t>
  </si>
  <si>
    <t>BD treat(Comp) No.</t>
  </si>
  <si>
    <t>BD width(Diameter)</t>
  </si>
  <si>
    <t>BD width(Diameter) +/-</t>
  </si>
  <si>
    <t>BD Angle gauge</t>
  </si>
  <si>
    <t>BD Length circum</t>
  </si>
  <si>
    <t>BD Mass</t>
  </si>
  <si>
    <t>BF treat(Comp) No.</t>
  </si>
  <si>
    <t>BF width</t>
  </si>
  <si>
    <t>BF width +/-</t>
  </si>
  <si>
    <t>BF Angle gauge</t>
  </si>
  <si>
    <t>BF Length circum</t>
  </si>
  <si>
    <t>BF Mass</t>
  </si>
  <si>
    <t>TPI treat(Comp) No.</t>
  </si>
  <si>
    <t>TPI width</t>
  </si>
  <si>
    <t>TPI width +/-</t>
  </si>
  <si>
    <t>TPI Angle gauge</t>
  </si>
  <si>
    <t>TPI Length circum</t>
  </si>
  <si>
    <t>TPI Mass</t>
  </si>
  <si>
    <t>TPI Mass Tire</t>
  </si>
  <si>
    <t>SIDE treat(Comp) No.</t>
  </si>
  <si>
    <t>SIDE width</t>
  </si>
  <si>
    <t>SIDE width +/-</t>
  </si>
  <si>
    <t>SIDE Angle gauge</t>
  </si>
  <si>
    <t>SIDE Length circum</t>
  </si>
  <si>
    <t>SIDE Mass(g/m)</t>
  </si>
  <si>
    <t>SIDE Mass Tire</t>
  </si>
  <si>
    <t>AGS treat(Comp) No.</t>
  </si>
  <si>
    <t>AGS width</t>
  </si>
  <si>
    <t>AGS width +/-</t>
  </si>
  <si>
    <t>AGS Angle gauge</t>
  </si>
  <si>
    <t>AGS Length circum</t>
  </si>
  <si>
    <t>AGS Mass</t>
  </si>
  <si>
    <t>AGS Mass tire</t>
  </si>
  <si>
    <t>2NDBF treat(Comp) No.</t>
  </si>
  <si>
    <t>2NDBF width</t>
  </si>
  <si>
    <t>2NDBF width +/-</t>
  </si>
  <si>
    <t>2NDBF Angle gauge</t>
  </si>
  <si>
    <t>2NDBF Length circum</t>
  </si>
  <si>
    <t>2NDBF Mass</t>
  </si>
  <si>
    <t>2NDBF Mass tire</t>
  </si>
  <si>
    <t>1P B1 Gum No.</t>
  </si>
  <si>
    <t>1P B1 Gauge</t>
  </si>
  <si>
    <t>1P B1 Width-1</t>
  </si>
  <si>
    <t>1P B1 Set-1</t>
  </si>
  <si>
    <t>1P B1 Width-2</t>
  </si>
  <si>
    <t>1P B1 Set-2</t>
  </si>
  <si>
    <t>1P B1 Width-3</t>
  </si>
  <si>
    <t>1P T1 Gum No.</t>
  </si>
  <si>
    <t>1P T1 Gauge</t>
  </si>
  <si>
    <t>1P T1 Width-1</t>
  </si>
  <si>
    <t>1P T1 Set-1</t>
  </si>
  <si>
    <t>1P T1 Width-2</t>
  </si>
  <si>
    <t>1P T1 Set-2</t>
  </si>
  <si>
    <t>1P T1 Width-3</t>
  </si>
  <si>
    <t>1P TPI Gum No.</t>
  </si>
  <si>
    <t>1P TPI Gauge</t>
  </si>
  <si>
    <t>1P TPI Width</t>
  </si>
  <si>
    <t>1P TPI Set</t>
  </si>
  <si>
    <t>1P B2 Gum No.</t>
  </si>
  <si>
    <t>1P B2 Gauge</t>
  </si>
  <si>
    <t>1P B2 Width-1</t>
  </si>
  <si>
    <t>1P B2 Set-1</t>
  </si>
  <si>
    <t>1P T2 Gum No.</t>
  </si>
  <si>
    <t>1P T2 Gauge</t>
  </si>
  <si>
    <t>1P T2 Width-1</t>
  </si>
  <si>
    <t>1P T2 Set-1</t>
  </si>
  <si>
    <t>2P B Gum No.</t>
  </si>
  <si>
    <t>2P B Gauge</t>
  </si>
  <si>
    <t>2P B Width-1</t>
  </si>
  <si>
    <t>2P B Set-1</t>
  </si>
  <si>
    <t>2P B Width-2</t>
  </si>
  <si>
    <t>2P B Set-2</t>
  </si>
  <si>
    <t>2P B Width-3</t>
  </si>
  <si>
    <t>2P T1 Gum No.</t>
  </si>
  <si>
    <t>2P T1 Gauge</t>
  </si>
  <si>
    <t>2P T1 Width-1</t>
  </si>
  <si>
    <t>2P T1 Set-1</t>
  </si>
  <si>
    <t>2P T1 Width-2</t>
  </si>
  <si>
    <t>2P T1 Set-2</t>
  </si>
  <si>
    <t>2P T1 Width-3</t>
  </si>
  <si>
    <t>2P T2 Gum No.</t>
  </si>
  <si>
    <t>2P T2 Gauge</t>
  </si>
  <si>
    <t>2P T2 Width-1</t>
  </si>
  <si>
    <t>2P T2 Set-1</t>
  </si>
  <si>
    <t>SQ Gauge +/-</t>
  </si>
  <si>
    <t>SQ Width-1 +/-</t>
  </si>
  <si>
    <t>SQ Set-1 +/-</t>
  </si>
  <si>
    <t>SQ Width-2 +/-</t>
  </si>
  <si>
    <t>SQ Set-2 +/-</t>
  </si>
  <si>
    <t>SQ Width-3 +/-</t>
  </si>
  <si>
    <t>SideWidth</t>
  </si>
  <si>
    <t>Side Width +/-</t>
  </si>
  <si>
    <t>AGS set</t>
  </si>
  <si>
    <t>AGS set +/-</t>
  </si>
  <si>
    <t>TPI set</t>
  </si>
  <si>
    <t>TPI set +/-</t>
  </si>
  <si>
    <t>SIDE set</t>
  </si>
  <si>
    <t>SIDE set +/-</t>
  </si>
  <si>
    <t>2NDBF set</t>
  </si>
  <si>
    <t>2NDBF set +/-</t>
  </si>
  <si>
    <t>Band Mass</t>
  </si>
  <si>
    <t>Band Mass +/-</t>
  </si>
  <si>
    <t>Auto1 ST p1</t>
  </si>
  <si>
    <t>Auto1 ST p2</t>
  </si>
  <si>
    <t>Coefficient</t>
  </si>
  <si>
    <t>Auto1 ST p3</t>
  </si>
  <si>
    <t>ST Pressure(High) (Mpa)</t>
  </si>
  <si>
    <t>ST Pressure(Middle)(Mpa)</t>
  </si>
  <si>
    <t>ST Pressure(Low)(Mpa)</t>
  </si>
  <si>
    <t>IL</t>
  </si>
  <si>
    <t>SIDE</t>
  </si>
  <si>
    <t>1PLY</t>
  </si>
  <si>
    <t>2PLY</t>
  </si>
  <si>
    <t>FLIPPER</t>
  </si>
  <si>
    <t>Remarks 1</t>
  </si>
  <si>
    <t>Consumer</t>
  </si>
  <si>
    <t>Remarks 3</t>
  </si>
  <si>
    <t>Remarks 4</t>
  </si>
  <si>
    <t>Remarks 5</t>
  </si>
  <si>
    <t>Remarks 6</t>
  </si>
  <si>
    <t>Remarks 7</t>
  </si>
  <si>
    <t>Remarks 8</t>
  </si>
  <si>
    <t>R1005   1st Tire Structure No.</t>
  </si>
  <si>
    <t>R1006   Tire Size (Inch)</t>
  </si>
  <si>
    <t>R1007   PA Patterrn 0:PA  1:Non-PA</t>
  </si>
  <si>
    <t>R1008   C-CH preset  0:No preset 1:Preset</t>
  </si>
  <si>
    <t>R1009   2P(Down)-ST　0:No Use1:Use</t>
  </si>
  <si>
    <t>R1010   Side Roll-ST　0:No Use1:Use</t>
  </si>
  <si>
    <t>R1011   PLY Turn Up Motion  0:CAN 1:Envelope 2:Cylinder</t>
  </si>
  <si>
    <t>R1012   Band Drum Circumference (mm)</t>
  </si>
  <si>
    <t>R1013   Bead Lock Width (mm)</t>
  </si>
  <si>
    <t>R1014   KB Drum Expansion diameter(2P Down Apply) (mm)</t>
  </si>
  <si>
    <t>R1015   KB Drum Segment Width (mm)</t>
  </si>
  <si>
    <t>R1016   S/W Specification  0:Black 1:White</t>
  </si>
  <si>
    <t>R1017   S/W Heater  0:Off 1:On</t>
  </si>
  <si>
    <t>R1018   RFT Heater  0:Off 1:On</t>
  </si>
  <si>
    <t>R1019   PLY Hold Plate Motion Type  0:Mid. 1:In=&gt;Mid 2:In</t>
  </si>
  <si>
    <t>R1020   I/L Length Measuring Data (mm)</t>
  </si>
  <si>
    <t>R1021   BP#1 Length Measuring Data (mm)</t>
  </si>
  <si>
    <t>R1022   BP#2 Length Measuring Data (mm)</t>
  </si>
  <si>
    <t>R1023   S/W Length Measuring Data (mm)</t>
  </si>
  <si>
    <t>R1024   RFT Length Measuring Data (mm)</t>
  </si>
  <si>
    <t>R1025   Spare 21</t>
  </si>
  <si>
    <t>R1026   USR  PLY-ST Start Position (mm)</t>
  </si>
  <si>
    <t>R1027   USR  PLY-ST End Position (mm)</t>
  </si>
  <si>
    <t>R1028   USR  RFT-ST Start Position (mm)</t>
  </si>
  <si>
    <t>R1029   S/W Out Side Width (mm)</t>
  </si>
  <si>
    <t>R1030   I/L Width (mm)</t>
  </si>
  <si>
    <t>R1031   BP1 Width (mm)</t>
  </si>
  <si>
    <t>R1032   BP2 Width (mm)</t>
  </si>
  <si>
    <t>R1033   FL Width (mm)</t>
  </si>
  <si>
    <t>R1034   S/W  Width Inside Guide Position (mm)</t>
  </si>
  <si>
    <t>R1035   S/W Width (mm)</t>
  </si>
  <si>
    <t>R1036   RFT Width (mm)</t>
  </si>
  <si>
    <t>R1037   RFT Width Inside Guide Position (mm)</t>
  </si>
  <si>
    <t>R1038   Bead Width (mm)</t>
  </si>
  <si>
    <t>R1039   FL Width Check Position (mm)</t>
  </si>
  <si>
    <t>R1040   C-CH Outside Set Position (mm)</t>
  </si>
  <si>
    <t>R1041   Bead Lock Position (degree)</t>
  </si>
  <si>
    <t>R1042   S/W Apply Start (degree)</t>
  </si>
  <si>
    <t>R1043   BP#2 Apply Start Spotting (degree)</t>
  </si>
  <si>
    <t>R1044   BP#1 Apply Start Spotting (degree)</t>
  </si>
  <si>
    <t>R1045   FL Apply Start Spotting (degree)</t>
  </si>
  <si>
    <t>R1046   GC Take Out Spotting (degree)</t>
  </si>
  <si>
    <t>R1047   RFT start Spotting (degree)</t>
  </si>
  <si>
    <t>R1048   BAND Takeout Drum Expand Time (0,1sec.)</t>
  </si>
  <si>
    <t>R1049   BAND Takeout Drum Collapse Time (0,1sec.)</t>
  </si>
  <si>
    <t>R1050   S/W Tip Jam Time (0,1sec.)</t>
  </si>
  <si>
    <t>R1051   S/W Rear Jam Time (0,1sec.)</t>
  </si>
  <si>
    <t>R1052   RFT Front Press Time (0,1sec.)</t>
  </si>
  <si>
    <t>R1053   S/W Tip Heating Time (0,1sec.)</t>
  </si>
  <si>
    <t>R1054   S/W Rear Heating Time (0,1sec.)</t>
  </si>
  <si>
    <t>R1055   RFT Tip Heating Time (0,1sec.)</t>
  </si>
  <si>
    <t>R1056   RFT Rear Heating Time (0,1sec.)</t>
  </si>
  <si>
    <t>PLY Joint Zipper Select  0:No Use 1:BP1 2:BP2 3:BP1+BP2 4:BP1+He</t>
  </si>
  <si>
    <t>R1058   Spare 54</t>
  </si>
  <si>
    <t>R1059   Spare 55</t>
  </si>
  <si>
    <t>R1060   UST LowSpeed (10m/min)</t>
  </si>
  <si>
    <t>R1061   UST HighSpeed (10m/min)</t>
  </si>
  <si>
    <t>R1062   BAND Drum.S/W speed (10m/min)</t>
  </si>
  <si>
    <t>R1063   Spare 59</t>
  </si>
  <si>
    <t>R1064   USR 2P-Up/Down Stitching Start Position (mm)</t>
  </si>
  <si>
    <t>R1065   USR 2P-Up/Down Stitching End Position (mm)</t>
  </si>
  <si>
    <t>R1066   USR Side Stitching Start Position (mm)</t>
  </si>
  <si>
    <t>R1067   USR Side Stitching Turn Position (mm)</t>
  </si>
  <si>
    <t>R1068   USR Side Stitching End Position (mm)</t>
  </si>
  <si>
    <t>R1069   USR Side Roll Stitching Start Position (mm)</t>
  </si>
  <si>
    <t>R1070   USR Side Roll Stitching End Position (mm)</t>
  </si>
  <si>
    <t>R1071   B/S PLY Turn Up Start Position (mm)</t>
  </si>
  <si>
    <t>R1072   B/S PLY Turn Up End Position (mm)</t>
  </si>
  <si>
    <t>R1073   PLY Turn Up B/S Start Delay Timer (0,1sec.)</t>
  </si>
  <si>
    <t>R1074   PLY Turn Up Bladder Inflate Time (0,1sec.)</t>
  </si>
  <si>
    <t>R1075   PLY Turn Up Bladder Inflate Lock Time (0,1sec.)</t>
  </si>
  <si>
    <t>R1076   PLY Turn Up Bladder Exhaust time (0,1sec.)</t>
  </si>
  <si>
    <t>R1077   PLY Turn Up B/S Return Delay Timer (0,1sec.)</t>
  </si>
  <si>
    <t>R1078   B/S Bead Lock Time (sec.)</t>
  </si>
  <si>
    <t>R1079   Gum band width</t>
  </si>
  <si>
    <t>Spare 76</t>
  </si>
  <si>
    <t>Spare 77</t>
  </si>
  <si>
    <t>Spare 78</t>
  </si>
  <si>
    <t>Spare 79</t>
  </si>
  <si>
    <t>Spare 80</t>
  </si>
  <si>
    <t>Spare 81</t>
  </si>
  <si>
    <t>Spare 82</t>
  </si>
  <si>
    <t>Spare 83</t>
  </si>
  <si>
    <t>Spare 84</t>
  </si>
  <si>
    <t>Spare 85</t>
  </si>
  <si>
    <t>I/L Press Balance Offset (degree)</t>
  </si>
  <si>
    <t>I/L Press Applyer CV Pushing Range (mm, 0.1mm)</t>
  </si>
  <si>
    <t>R1092 USR Middle Stop Position (mm)</t>
  </si>
  <si>
    <t>R1093 USR Middle Stop Time (sec.)</t>
  </si>
  <si>
    <t>R1094 USR Speed change position (mm)</t>
  </si>
  <si>
    <t>Spare 91</t>
  </si>
  <si>
    <t>Spare 92</t>
  </si>
  <si>
    <t>Spare 93</t>
  </si>
  <si>
    <t>Spare 94</t>
  </si>
  <si>
    <t>Spare 95</t>
  </si>
  <si>
    <t>Spare 96</t>
  </si>
  <si>
    <t>Spare 97</t>
  </si>
  <si>
    <t>Spare 98</t>
  </si>
  <si>
    <t>Spare 99</t>
  </si>
  <si>
    <t>Spare 100</t>
  </si>
  <si>
    <t>Spare 101</t>
  </si>
  <si>
    <t>Spare 102</t>
  </si>
  <si>
    <t>Spare 103</t>
  </si>
  <si>
    <t>Spare 104</t>
  </si>
  <si>
    <t>Spare 105</t>
  </si>
  <si>
    <t>Spare 106</t>
  </si>
  <si>
    <t>Spare 107</t>
  </si>
  <si>
    <t>Spare 108</t>
  </si>
  <si>
    <t>Spare 109</t>
  </si>
  <si>
    <t>Spare 110</t>
  </si>
  <si>
    <t>Spare 111</t>
  </si>
  <si>
    <t>Spare 112</t>
  </si>
  <si>
    <t>Spare 113</t>
  </si>
  <si>
    <t>Spare 114</t>
  </si>
  <si>
    <t>Spare 115</t>
  </si>
  <si>
    <t>Spare 116</t>
  </si>
  <si>
    <t>Spare 117</t>
  </si>
  <si>
    <t>Spare 118</t>
  </si>
  <si>
    <t>Spare 119</t>
  </si>
  <si>
    <t>Spare 120</t>
  </si>
  <si>
    <t>Spare 121</t>
  </si>
  <si>
    <t>Spare 122</t>
  </si>
  <si>
    <t>Spare 123</t>
  </si>
  <si>
    <t>Spare 124</t>
  </si>
  <si>
    <t>Spare 125</t>
  </si>
  <si>
    <t>Spare 126</t>
  </si>
  <si>
    <t>Spare 127</t>
  </si>
  <si>
    <t>Spare 128</t>
  </si>
  <si>
    <t>Spare 129</t>
  </si>
  <si>
    <t>Spare 130</t>
  </si>
  <si>
    <t>Spare 131</t>
  </si>
  <si>
    <t>Spare 132</t>
  </si>
  <si>
    <t>Spare 133</t>
  </si>
  <si>
    <t>Spare 134</t>
  </si>
  <si>
    <t>Spare 135</t>
  </si>
  <si>
    <t>Spare 136</t>
  </si>
  <si>
    <t>Spare 137</t>
  </si>
  <si>
    <t>Spare 138</t>
  </si>
  <si>
    <t>Spare 139</t>
  </si>
  <si>
    <t>Spare 140</t>
  </si>
  <si>
    <t>Spare 141</t>
  </si>
  <si>
    <t>Spare 142</t>
  </si>
  <si>
    <t>Spare 143</t>
  </si>
  <si>
    <t>Spare 144</t>
  </si>
  <si>
    <t>Spare 145</t>
  </si>
  <si>
    <t>Spare 146</t>
  </si>
  <si>
    <t>Spare 147</t>
  </si>
  <si>
    <t>Spare 148</t>
  </si>
  <si>
    <t>Spare 149</t>
  </si>
  <si>
    <t>Spare 150</t>
  </si>
  <si>
    <t>Spare 151</t>
  </si>
  <si>
    <t>Spare 152</t>
  </si>
  <si>
    <t>Spare 153</t>
  </si>
  <si>
    <t>Spare 154</t>
  </si>
  <si>
    <t>Spare 155</t>
  </si>
  <si>
    <t>Spare 156</t>
  </si>
  <si>
    <t>Spare 157</t>
  </si>
  <si>
    <t>Spare 158</t>
  </si>
  <si>
    <t>Spare 159</t>
  </si>
  <si>
    <t>Spare 160</t>
  </si>
  <si>
    <t>Spare 161</t>
  </si>
  <si>
    <t>Spare 162</t>
  </si>
  <si>
    <t>Spare 163</t>
  </si>
  <si>
    <t>Spare 164</t>
  </si>
  <si>
    <t>Spare 165</t>
  </si>
  <si>
    <t>Spare 166</t>
  </si>
  <si>
    <t>Spare 167</t>
  </si>
  <si>
    <t>Spare 168</t>
  </si>
  <si>
    <t>Spare 169</t>
  </si>
  <si>
    <t>Spare 170</t>
  </si>
  <si>
    <t>Spare 171</t>
  </si>
  <si>
    <t>Spare 172</t>
  </si>
  <si>
    <t>Spare 173</t>
  </si>
  <si>
    <t>Spare 174</t>
  </si>
  <si>
    <t>M/C mode (1:K1S / 2:KBN2)</t>
  </si>
  <si>
    <t>Verify material 1</t>
  </si>
  <si>
    <t>Verify material 2(SIDE)</t>
  </si>
  <si>
    <t>Verify material 5 (Ply-1)</t>
  </si>
  <si>
    <t>Verify material 6 (Ply-2)</t>
  </si>
  <si>
    <t>Verify material 7(IL)</t>
  </si>
  <si>
    <t>Verify material 8</t>
  </si>
  <si>
    <t>Verify material 9</t>
  </si>
  <si>
    <t>Verify material 11 (FL)</t>
  </si>
  <si>
    <t>Verify material 12 (BBF)</t>
  </si>
  <si>
    <t>Verify material 13</t>
  </si>
  <si>
    <t>Verify material 14</t>
  </si>
  <si>
    <t>Verify material 15(CCH)</t>
  </si>
  <si>
    <t>Verify material 16</t>
  </si>
  <si>
    <t>Verify material 17</t>
  </si>
  <si>
    <t>Verify material 18</t>
  </si>
  <si>
    <t>Verify material 19</t>
  </si>
  <si>
    <t>BOM_SIDE_PARTID</t>
  </si>
  <si>
    <t>BOM_SIDE_MACHINEGROUP</t>
  </si>
  <si>
    <t>BOM_SIDE_PARTNUMBER</t>
  </si>
  <si>
    <t>BOM_SIDE_REVISIONNO</t>
  </si>
  <si>
    <t>BOM_SIDE_LENGTH</t>
  </si>
  <si>
    <t>BOM_IL_PARTID</t>
  </si>
  <si>
    <t>BOM_IL_MACHINEGROUP</t>
  </si>
  <si>
    <t>BOM_IL_PARTNUMBER</t>
  </si>
  <si>
    <t>BOM_IL_REVISIONNO</t>
  </si>
  <si>
    <t>BOM_IL_LENGTH</t>
  </si>
  <si>
    <t>BOM_CCH_PARTID</t>
  </si>
  <si>
    <t>BOM_CCH_MACHINEGROUP</t>
  </si>
  <si>
    <t>BOM_CCH_PARTNUMBER</t>
  </si>
  <si>
    <t>BOM_CCH_REVISIONNO</t>
  </si>
  <si>
    <t>BOM_CCH_LENGTH</t>
  </si>
  <si>
    <t>BOM_PLY1_PARTID</t>
  </si>
  <si>
    <t>BOM_PLY1_MACHINEGROUP</t>
  </si>
  <si>
    <t>BOM_PLY1_PARTNUMBER</t>
  </si>
  <si>
    <t>BOM_PLY1_REVISIONNO</t>
  </si>
  <si>
    <t>BOM_PLY1_LENGTH</t>
  </si>
  <si>
    <t>BOM_PLY2_PARTID</t>
  </si>
  <si>
    <t>BOM_PLY2_MACHINEGROUP</t>
  </si>
  <si>
    <t>BOM_PLY2_PARTNUMBER</t>
  </si>
  <si>
    <t>BOM_PLY2_REVISIONNO</t>
  </si>
  <si>
    <t>BOM_PLY2_LENGTH</t>
  </si>
  <si>
    <t>BOM_BDBF_PARTID</t>
  </si>
  <si>
    <t>BOM_BDBF_MACHINEGROUP</t>
  </si>
  <si>
    <t>BOM_BDBF_PARTNUMBER</t>
  </si>
  <si>
    <t>BOM_BDBF_REVISIONNO</t>
  </si>
  <si>
    <t>BOM_FL_PARTID</t>
  </si>
  <si>
    <t>BOM_FL_MACHINEGROUP</t>
  </si>
  <si>
    <t>BOM_FL_PARTNUMBER</t>
  </si>
  <si>
    <t>BOM_FL_REVISIONNO</t>
  </si>
  <si>
    <t>BOM_FL_LENGTH</t>
  </si>
  <si>
    <t>REF_PLYSQ1_REVISIONNO</t>
  </si>
  <si>
    <t>REF_PLYTPI1_REVISIONNO</t>
  </si>
  <si>
    <t>REF_PLYSQ2_REVISIONNO</t>
  </si>
  <si>
    <t>REF_PLYTPI2_REVISIONNO</t>
  </si>
  <si>
    <t>REF_BEAD_REVISIONNO</t>
  </si>
  <si>
    <t>REF_CCH_TREAT_REVISIONNO</t>
  </si>
  <si>
    <t>REF_PLY1_TREAT_REVISIONNO</t>
  </si>
  <si>
    <t>REF_PLU2_TREAT_REVISIONNO</t>
  </si>
  <si>
    <t>REF_FL_TREAT_REVISIONNO</t>
  </si>
  <si>
    <t>PLY1 - Mass</t>
  </si>
  <si>
    <t>PLY2 - Mass</t>
  </si>
  <si>
    <t>BEAD - Mass</t>
  </si>
  <si>
    <t>BBF - Mass</t>
  </si>
  <si>
    <t>BBF - BD PartNumber</t>
  </si>
  <si>
    <t>S/W gum band item1</t>
  </si>
  <si>
    <t>S/W gum band width1</t>
  </si>
  <si>
    <t>S/W gauge criteria</t>
  </si>
  <si>
    <t>S/W gum band item2</t>
  </si>
  <si>
    <t>S/W gum band width2</t>
  </si>
  <si>
    <t>PLYSQ1 Code</t>
  </si>
  <si>
    <t>PLYSQ1 Code select</t>
  </si>
  <si>
    <t>PLYSQ1S_REVISIONNO</t>
  </si>
  <si>
    <t>PLYSQ2 Code</t>
  </si>
  <si>
    <t>PLYSQ2 Code select</t>
  </si>
  <si>
    <t>PLYSQ2S_REVISIONNO</t>
  </si>
  <si>
    <t>IL_COEFFICIENT</t>
  </si>
  <si>
    <t>1P_COEEFICIENT</t>
  </si>
  <si>
    <t>2P_COEEFICIENT</t>
  </si>
  <si>
    <t>SIDE_ADJUSTMENT</t>
  </si>
  <si>
    <t>PRD_CODE_INVALID</t>
  </si>
  <si>
    <t>PLY1_TPI_REQUIRED</t>
  </si>
  <si>
    <t>PLY2_TPI_REQUIRED</t>
  </si>
  <si>
    <t>SIDE_DATA_INVALID</t>
  </si>
  <si>
    <t>IL_DATA_INVALID</t>
  </si>
  <si>
    <t>CCH_DATA_INVALID</t>
  </si>
  <si>
    <t>CCH_REVISION_INVALID</t>
  </si>
  <si>
    <t>PLY1_DATA_INVALID</t>
  </si>
  <si>
    <t>PLY2_DATA_INVALID</t>
  </si>
  <si>
    <t>PLY2_REVISION_INVALID</t>
  </si>
  <si>
    <t>FL_DATA_INVALID</t>
  </si>
  <si>
    <t>FL_REVISION_INVALID</t>
  </si>
  <si>
    <t>BDBF_DATA_INVALID</t>
  </si>
  <si>
    <t>CCH_REQUIRED</t>
  </si>
  <si>
    <t>PLY2_REQUIRED</t>
  </si>
  <si>
    <t>FL_REQUIRED</t>
  </si>
  <si>
    <t>PROCESS1ST_056_UNIT:10M/MIN</t>
  </si>
  <si>
    <t>PROCESS1ST_057_UNIT:10M/MIN</t>
  </si>
  <si>
    <t>Bead width(mm)</t>
  </si>
  <si>
    <t>BD treat(wire)code</t>
  </si>
  <si>
    <t>BD structure</t>
  </si>
  <si>
    <t>Side construction type</t>
  </si>
  <si>
    <t>Top 90 Gum No.</t>
  </si>
  <si>
    <t>Upper 90 Gum No.</t>
  </si>
  <si>
    <t>Lower 90 Gum No.</t>
  </si>
  <si>
    <t>Bottom 60 Gum No.</t>
  </si>
  <si>
    <t>1st character of GT code</t>
  </si>
  <si>
    <t>BLDG_MC_BY_BLDGSIZE</t>
  </si>
  <si>
    <t>Check building MC with spec data bank  Size_TYPE</t>
  </si>
  <si>
    <t>REF_BEAD_MACHINEGROUP</t>
  </si>
  <si>
    <t>ACA6</t>
  </si>
  <si>
    <t>001</t>
  </si>
  <si>
    <t>Final approved</t>
  </si>
  <si>
    <t>06.02.2025</t>
  </si>
  <si>
    <t>Лукьянов Никита</t>
  </si>
  <si>
    <t>1</t>
  </si>
  <si>
    <t>K1-S</t>
  </si>
  <si>
    <t>Project building</t>
  </si>
  <si>
    <t>TRIAL</t>
  </si>
  <si>
    <t>AC06</t>
  </si>
  <si>
    <t>PXR</t>
  </si>
  <si>
    <t>205/55R16</t>
  </si>
  <si>
    <t>205/55</t>
  </si>
  <si>
    <t>R16</t>
  </si>
  <si>
    <t>16</t>
  </si>
  <si>
    <t>94T XL</t>
  </si>
  <si>
    <t>ARCTRL</t>
  </si>
  <si>
    <t>UHP</t>
  </si>
  <si>
    <t>XT111AR</t>
  </si>
  <si>
    <t>Z8625</t>
  </si>
  <si>
    <t>ST-080BA</t>
  </si>
  <si>
    <t>IL-AZ375-13</t>
  </si>
  <si>
    <t>PA(IL+1P)</t>
  </si>
  <si>
    <t>PL-1B520ND1</t>
  </si>
  <si>
    <t>RK-B7C6-6E3B</t>
  </si>
  <si>
    <t>W1R3</t>
  </si>
  <si>
    <t>F16LHA</t>
  </si>
  <si>
    <t>NB16-550SN</t>
  </si>
  <si>
    <t>B16</t>
  </si>
  <si>
    <t>16-110</t>
  </si>
  <si>
    <t>KBF16-03</t>
  </si>
  <si>
    <t>BSH15/17K01</t>
  </si>
  <si>
    <t>BEH16/19L02A</t>
  </si>
  <si>
    <t>1H-AT0</t>
  </si>
  <si>
    <t>TOS</t>
  </si>
  <si>
    <t>L04</t>
  </si>
  <si>
    <t>JP111R-F88</t>
  </si>
  <si>
    <t>B17</t>
  </si>
  <si>
    <t>H45</t>
  </si>
  <si>
    <t>W62</t>
  </si>
  <si>
    <t>H21</t>
  </si>
  <si>
    <t>F88</t>
  </si>
  <si>
    <t>TRADE</t>
  </si>
  <si>
    <t>?????</t>
  </si>
  <si>
    <t>BC-16E3B</t>
  </si>
  <si>
    <t>NB16-30SP</t>
  </si>
  <si>
    <t>BW126Z</t>
  </si>
  <si>
    <t>12K(4-4-4)</t>
  </si>
  <si>
    <t>SIDE2</t>
  </si>
  <si>
    <t>A</t>
  </si>
  <si>
    <t>8T</t>
  </si>
  <si>
    <t>AVA0</t>
  </si>
  <si>
    <t>006</t>
  </si>
  <si>
    <t>03.09.2025</t>
  </si>
  <si>
    <t>Афанасьев Игорь</t>
  </si>
  <si>
    <t>Взятков Михаил</t>
  </si>
  <si>
    <t>Пастухов Николай</t>
  </si>
  <si>
    <t>005</t>
  </si>
  <si>
    <t>Initial production</t>
  </si>
  <si>
    <t>AV00</t>
  </si>
  <si>
    <t>PSR</t>
  </si>
  <si>
    <t>285/50R20</t>
  </si>
  <si>
    <t>285/50</t>
  </si>
  <si>
    <t>R20</t>
  </si>
  <si>
    <t>20</t>
  </si>
  <si>
    <t>112V</t>
  </si>
  <si>
    <t>ActiveC</t>
  </si>
  <si>
    <t>SUV</t>
  </si>
  <si>
    <t>R0147SVL</t>
  </si>
  <si>
    <t>10434</t>
  </si>
  <si>
    <t>ST-112AB</t>
  </si>
  <si>
    <t>IL-AZ485-13</t>
  </si>
  <si>
    <t>PA(IL+CCH+1P)</t>
  </si>
  <si>
    <t>CC-B060L</t>
  </si>
  <si>
    <t>Left</t>
  </si>
  <si>
    <t>L</t>
  </si>
  <si>
    <t>PA</t>
  </si>
  <si>
    <t>PL-1B685NQ3</t>
  </si>
  <si>
    <t>PL-2B570DN1</t>
  </si>
  <si>
    <t>RK-B9E6-0V4C</t>
  </si>
  <si>
    <t>8A</t>
  </si>
  <si>
    <t>B1R2B1</t>
  </si>
  <si>
    <t>F20LA</t>
  </si>
  <si>
    <t>NB20-550SN</t>
  </si>
  <si>
    <t>B20</t>
  </si>
  <si>
    <t>20-60</t>
  </si>
  <si>
    <t>KBF20-02</t>
  </si>
  <si>
    <t>BSH19/22K01</t>
  </si>
  <si>
    <t>BEH19/22K01</t>
  </si>
  <si>
    <t>2HLCT0</t>
  </si>
  <si>
    <t>XP087L-F79</t>
  </si>
  <si>
    <t>BC-20V4C</t>
  </si>
  <si>
    <t>NB20-30SP</t>
  </si>
  <si>
    <t>20K(5-5-5)</t>
  </si>
  <si>
    <t>8U</t>
  </si>
  <si>
    <t>AVA6</t>
  </si>
  <si>
    <t>31.08.2026</t>
  </si>
  <si>
    <t>Шагивалеев Ильдар</t>
  </si>
  <si>
    <t>Губейдуллин Жямиль</t>
  </si>
  <si>
    <t>Орлов Дмитрий</t>
  </si>
  <si>
    <t>Mass production</t>
  </si>
  <si>
    <t>AV06</t>
  </si>
  <si>
    <t>205/65R16</t>
  </si>
  <si>
    <t>205/65</t>
  </si>
  <si>
    <t>95H</t>
  </si>
  <si>
    <t>R0110SHL</t>
  </si>
  <si>
    <t>61351</t>
  </si>
  <si>
    <t>ST-111BA</t>
  </si>
  <si>
    <t>IL-AZ400-12</t>
  </si>
  <si>
    <t>PL-1C575ND1</t>
  </si>
  <si>
    <t>PL-2C470DN1</t>
  </si>
  <si>
    <t>RK-B7D9-6F4F</t>
  </si>
  <si>
    <t>B2</t>
  </si>
  <si>
    <t>16-90</t>
  </si>
  <si>
    <t>2HLAT0</t>
  </si>
  <si>
    <t>JF114B-F88</t>
  </si>
  <si>
    <t>BC-16F4F</t>
  </si>
  <si>
    <t>15K(4-4-3)</t>
  </si>
  <si>
    <t>AVA7</t>
  </si>
  <si>
    <t>02.03.2026</t>
  </si>
  <si>
    <t>Широкова Елена</t>
  </si>
  <si>
    <t>Хавров Виталий</t>
  </si>
  <si>
    <t>004</t>
  </si>
  <si>
    <t>AV07</t>
  </si>
  <si>
    <t>215/50R17</t>
  </si>
  <si>
    <t>215/50</t>
  </si>
  <si>
    <t>R17</t>
  </si>
  <si>
    <t>17</t>
  </si>
  <si>
    <t>91W</t>
  </si>
  <si>
    <t>R0111SWL</t>
  </si>
  <si>
    <t>15032</t>
  </si>
  <si>
    <t>SS-113BC</t>
  </si>
  <si>
    <t>IL-AZ370-13</t>
  </si>
  <si>
    <t>PL-1B515QD1T</t>
  </si>
  <si>
    <t>CK-B7A0-7R4B</t>
  </si>
  <si>
    <t>G2Y2</t>
  </si>
  <si>
    <t>F17LG</t>
  </si>
  <si>
    <t>NB17-550SN</t>
  </si>
  <si>
    <t>17-80</t>
  </si>
  <si>
    <t>KBF17-05</t>
  </si>
  <si>
    <t>BSH16/18K01A</t>
  </si>
  <si>
    <t>BEH16/19K02A</t>
  </si>
  <si>
    <t>1H-A00</t>
  </si>
  <si>
    <t>SOT</t>
  </si>
  <si>
    <t>G11</t>
  </si>
  <si>
    <t>BC-17R4B</t>
  </si>
  <si>
    <t>NB17-30SP</t>
  </si>
  <si>
    <t>PL-1B515QD1X</t>
  </si>
  <si>
    <t>16K(4-4-4)</t>
  </si>
  <si>
    <t>AVA8</t>
  </si>
  <si>
    <t>007</t>
  </si>
  <si>
    <t>14.09.2026</t>
  </si>
  <si>
    <t>AV08</t>
  </si>
  <si>
    <t>225/55R18</t>
  </si>
  <si>
    <t>225/55</t>
  </si>
  <si>
    <t>R18</t>
  </si>
  <si>
    <t>18</t>
  </si>
  <si>
    <t>98V</t>
  </si>
  <si>
    <t>R0123SVL</t>
  </si>
  <si>
    <t>12880</t>
  </si>
  <si>
    <t>SS-115BB</t>
  </si>
  <si>
    <t>PL-1C560ND1</t>
  </si>
  <si>
    <t>PL-2C470DN1T</t>
  </si>
  <si>
    <t>CK-B7D4-8T5B</t>
  </si>
  <si>
    <t>B1G1Y1R1</t>
  </si>
  <si>
    <t>NB18-550SN</t>
  </si>
  <si>
    <t>B18</t>
  </si>
  <si>
    <t>18-100</t>
  </si>
  <si>
    <t>KBF18-04</t>
  </si>
  <si>
    <t>BSH17/19K01B</t>
  </si>
  <si>
    <t>2HLA00</t>
  </si>
  <si>
    <t>BC-18T5B</t>
  </si>
  <si>
    <t>NB18-30SP</t>
  </si>
  <si>
    <t>PL-2C470DN1X</t>
  </si>
  <si>
    <t>20K(4-4-4)</t>
  </si>
  <si>
    <t>AVA9</t>
  </si>
  <si>
    <t>AV09</t>
  </si>
  <si>
    <t>235/55R19</t>
  </si>
  <si>
    <t>235/55</t>
  </si>
  <si>
    <t>R19</t>
  </si>
  <si>
    <t>19</t>
  </si>
  <si>
    <t>101W</t>
  </si>
  <si>
    <t>R0133SWL</t>
  </si>
  <si>
    <t>12890</t>
  </si>
  <si>
    <t>SS-131AA</t>
  </si>
  <si>
    <t>IL-AZ405-12</t>
  </si>
  <si>
    <t>CC-T050L</t>
  </si>
  <si>
    <t>PL-1C585NQ2</t>
  </si>
  <si>
    <t>PL-2C485DN5T</t>
  </si>
  <si>
    <t>RK-B7E6-9U4F</t>
  </si>
  <si>
    <t>R3</t>
  </si>
  <si>
    <t>F19LA</t>
  </si>
  <si>
    <t>NB19-550SN</t>
  </si>
  <si>
    <t>B19</t>
  </si>
  <si>
    <t>19-110</t>
  </si>
  <si>
    <t>KBF19-01</t>
  </si>
  <si>
    <t>BEH19/22K03</t>
  </si>
  <si>
    <t>2HLC00</t>
  </si>
  <si>
    <t>XP087LG-F79</t>
  </si>
  <si>
    <t>BC-19U4F</t>
  </si>
  <si>
    <t>NB19-30SP</t>
  </si>
  <si>
    <t>PL-2C485DN5X</t>
  </si>
  <si>
    <t>AVB0</t>
  </si>
  <si>
    <t>17.03.2026</t>
  </si>
  <si>
    <t>003</t>
  </si>
  <si>
    <t>AV10</t>
  </si>
  <si>
    <t>245/45R20</t>
  </si>
  <si>
    <t>245/45</t>
  </si>
  <si>
    <t>99V</t>
  </si>
  <si>
    <t>R0141SVL</t>
  </si>
  <si>
    <t>19249</t>
  </si>
  <si>
    <t>ST-121AB</t>
  </si>
  <si>
    <t>IL-AZ370-12</t>
  </si>
  <si>
    <t>PL-1C525NQ3</t>
  </si>
  <si>
    <t>PL-2C450QN2</t>
  </si>
  <si>
    <t>RK-B7C6-0T4B</t>
  </si>
  <si>
    <t>G1Y1W1G1</t>
  </si>
  <si>
    <t>20-90</t>
  </si>
  <si>
    <t>BC-20T4B</t>
  </si>
  <si>
    <t>AVB6</t>
  </si>
  <si>
    <t>010</t>
  </si>
  <si>
    <t>28.09.2026</t>
  </si>
  <si>
    <t>009</t>
  </si>
  <si>
    <t>AV16</t>
  </si>
  <si>
    <t>R0108SWL</t>
  </si>
  <si>
    <t>38792</t>
  </si>
  <si>
    <t>ST-117BB</t>
  </si>
  <si>
    <t>IL-AZ360-12</t>
  </si>
  <si>
    <t>PL-1B515QD1</t>
  </si>
  <si>
    <t>RK-B7C6-6E4F</t>
  </si>
  <si>
    <t>Y1R2</t>
  </si>
  <si>
    <t>16-80</t>
  </si>
  <si>
    <t>BC-16E4F</t>
  </si>
  <si>
    <t>AVB7</t>
  </si>
  <si>
    <t>AV17</t>
  </si>
  <si>
    <t>225/45R17</t>
  </si>
  <si>
    <t>225/45</t>
  </si>
  <si>
    <t>91V</t>
  </si>
  <si>
    <t>R0117SVL</t>
  </si>
  <si>
    <t>79458</t>
  </si>
  <si>
    <t>SS-114BE</t>
  </si>
  <si>
    <t>IL-AZ350-12</t>
  </si>
  <si>
    <t>PL-1B480QD6T</t>
  </si>
  <si>
    <t>CK-B7S0-7R3F</t>
  </si>
  <si>
    <t>G1B1W1G1</t>
  </si>
  <si>
    <t>BC-17R3F</t>
  </si>
  <si>
    <t>PL-1B480QD6X</t>
  </si>
  <si>
    <t>11K(4-4-3)</t>
  </si>
  <si>
    <t>AVB8</t>
  </si>
  <si>
    <t>25.09.2026</t>
  </si>
  <si>
    <t>AV18</t>
  </si>
  <si>
    <t>215/55R18</t>
  </si>
  <si>
    <t>215/55</t>
  </si>
  <si>
    <t>99V XL</t>
  </si>
  <si>
    <t>R0113XVL</t>
  </si>
  <si>
    <t>58336</t>
  </si>
  <si>
    <t>ST-116BC</t>
  </si>
  <si>
    <t>IL-AZ380-12</t>
  </si>
  <si>
    <t>PL-1C540ND1</t>
  </si>
  <si>
    <t>PL-2C450DN1</t>
  </si>
  <si>
    <t>RK-B7D9-8T4F</t>
  </si>
  <si>
    <t>B2R2</t>
  </si>
  <si>
    <t>18-90</t>
  </si>
  <si>
    <t>BC-18T4F</t>
  </si>
  <si>
    <t>AVB9</t>
  </si>
  <si>
    <t>04.03.2026</t>
  </si>
  <si>
    <t>AV19</t>
  </si>
  <si>
    <t>225/55R19</t>
  </si>
  <si>
    <t>R0124SVL</t>
  </si>
  <si>
    <t>12892</t>
  </si>
  <si>
    <t>SS-133AA</t>
  </si>
  <si>
    <t>IL-AZ380-13</t>
  </si>
  <si>
    <t>PL-1C555NQ1</t>
  </si>
  <si>
    <t>PL-2C465QN2T</t>
  </si>
  <si>
    <t>RK-B7D9-9U4B</t>
  </si>
  <si>
    <t>G1Y1R2</t>
  </si>
  <si>
    <t>19-90</t>
  </si>
  <si>
    <t>BC-19U4B</t>
  </si>
  <si>
    <t>PL-2C465QN2X</t>
  </si>
  <si>
    <t>AVC0</t>
  </si>
  <si>
    <t>27.11.2025</t>
  </si>
  <si>
    <t>AV20</t>
  </si>
  <si>
    <t>235/55R20</t>
  </si>
  <si>
    <t>102V</t>
  </si>
  <si>
    <t>R0134SVL</t>
  </si>
  <si>
    <t>56951</t>
  </si>
  <si>
    <t>ST-135AB</t>
  </si>
  <si>
    <t>IL-AZ400-13</t>
  </si>
  <si>
    <t>CC-T060L</t>
  </si>
  <si>
    <t>PL-1C575NQ1</t>
  </si>
  <si>
    <t>PL-2C480DN3</t>
  </si>
  <si>
    <t>RK-B7D9-0T5B</t>
  </si>
  <si>
    <t>Y1B1Y1</t>
  </si>
  <si>
    <t>20-110</t>
  </si>
  <si>
    <t>BC-20T5B</t>
  </si>
  <si>
    <t>AVC6</t>
  </si>
  <si>
    <t>10.09.2026</t>
  </si>
  <si>
    <t>002</t>
  </si>
  <si>
    <t>AV26</t>
  </si>
  <si>
    <t>215/65R16</t>
  </si>
  <si>
    <t>215/65</t>
  </si>
  <si>
    <t>98H</t>
  </si>
  <si>
    <t>R0115SHL</t>
  </si>
  <si>
    <t>12869</t>
  </si>
  <si>
    <t>ST-119BA</t>
  </si>
  <si>
    <t>IL-AZ410-12</t>
  </si>
  <si>
    <t>PL-1C590ND2</t>
  </si>
  <si>
    <t>PL-2C480QN1</t>
  </si>
  <si>
    <t>RK-B7F9-6F4F</t>
  </si>
  <si>
    <t>16-40</t>
  </si>
  <si>
    <t>AVC7</t>
  </si>
  <si>
    <t>AV27</t>
  </si>
  <si>
    <t>215/60R17</t>
  </si>
  <si>
    <t>215/60</t>
  </si>
  <si>
    <t>96H</t>
  </si>
  <si>
    <t>R0114SHL</t>
  </si>
  <si>
    <t>65301</t>
  </si>
  <si>
    <t>ST-118BB</t>
  </si>
  <si>
    <t>IL-AZ395-13</t>
  </si>
  <si>
    <t>PL-1C560ND2</t>
  </si>
  <si>
    <t>PL-2C465QN1</t>
  </si>
  <si>
    <t>RK-B7D9-7T4B</t>
  </si>
  <si>
    <t>G3Y1</t>
  </si>
  <si>
    <t>17-90</t>
  </si>
  <si>
    <t>BC-17T4B</t>
  </si>
  <si>
    <t>AVC8</t>
  </si>
  <si>
    <t>05.11.2025</t>
  </si>
  <si>
    <t>AV28</t>
  </si>
  <si>
    <t>235/55R18</t>
  </si>
  <si>
    <t>100V</t>
  </si>
  <si>
    <t>R0132SVL</t>
  </si>
  <si>
    <t>12883</t>
  </si>
  <si>
    <t>SS-124BC</t>
  </si>
  <si>
    <t>IL-AZ415-13</t>
  </si>
  <si>
    <t>PL-1C580ND1</t>
  </si>
  <si>
    <t>PL-2C485QN2T</t>
  </si>
  <si>
    <t>CK-B7D4-8T4B</t>
  </si>
  <si>
    <t>W2Y1W1</t>
  </si>
  <si>
    <t>BC-18T4B</t>
  </si>
  <si>
    <t>PL-2C485QN2X</t>
  </si>
  <si>
    <t>AVC9</t>
  </si>
  <si>
    <t>AV29</t>
  </si>
  <si>
    <t>225/45R19</t>
  </si>
  <si>
    <t>96W XL</t>
  </si>
  <si>
    <t>R0119XWL</t>
  </si>
  <si>
    <t>12534</t>
  </si>
  <si>
    <t>SS-145AA</t>
  </si>
  <si>
    <t>IL-AZ335-13</t>
  </si>
  <si>
    <t>CC-B050L</t>
  </si>
  <si>
    <t>PL-1B485DQ4T</t>
  </si>
  <si>
    <t>RK-B7B6-9R4B</t>
  </si>
  <si>
    <t>G2B1G1</t>
  </si>
  <si>
    <t>19-70</t>
  </si>
  <si>
    <t>1H-C00</t>
  </si>
  <si>
    <t>BC-19R4B</t>
  </si>
  <si>
    <t>PL-1B485DQ4X</t>
  </si>
  <si>
    <t>AVD0</t>
  </si>
  <si>
    <t>08.12.2025</t>
  </si>
  <si>
    <t>AV30</t>
  </si>
  <si>
    <t>255/45R20</t>
  </si>
  <si>
    <t>255/45</t>
  </si>
  <si>
    <t>R0143SWL</t>
  </si>
  <si>
    <t>17919</t>
  </si>
  <si>
    <t>ST-136AC</t>
  </si>
  <si>
    <t>IL-AZ385-13</t>
  </si>
  <si>
    <t>PL-1C555NQ5</t>
  </si>
  <si>
    <t>PL-2C470DN6</t>
  </si>
  <si>
    <t>RK-B7C6-0U5B</t>
  </si>
  <si>
    <t>W1</t>
  </si>
  <si>
    <t>BC-20U5B</t>
  </si>
  <si>
    <t>AVD7</t>
  </si>
  <si>
    <t>AV37</t>
  </si>
  <si>
    <t>225/65R17</t>
  </si>
  <si>
    <t>225/65</t>
  </si>
  <si>
    <t>102H</t>
  </si>
  <si>
    <t>R0127SHL</t>
  </si>
  <si>
    <t>10487</t>
  </si>
  <si>
    <t>ST-120BB</t>
  </si>
  <si>
    <t>IL-AZ430-12</t>
  </si>
  <si>
    <t>PL-1C625DD1</t>
  </si>
  <si>
    <t>PL-2C595DN1</t>
  </si>
  <si>
    <t>RK-B7E6-7T5B</t>
  </si>
  <si>
    <t>W2B2</t>
  </si>
  <si>
    <t>NB14-700SN</t>
  </si>
  <si>
    <t>17-60</t>
  </si>
  <si>
    <t>2HHAT0</t>
  </si>
  <si>
    <t>BC-17T5B</t>
  </si>
  <si>
    <t>AVD8</t>
  </si>
  <si>
    <t>14.05.2026</t>
  </si>
  <si>
    <t>Саксонов Евгений</t>
  </si>
  <si>
    <t>008</t>
  </si>
  <si>
    <t>AV38</t>
  </si>
  <si>
    <t>225/45R18</t>
  </si>
  <si>
    <t>95W XL</t>
  </si>
  <si>
    <t>R0118SWL</t>
  </si>
  <si>
    <t>42528</t>
  </si>
  <si>
    <t>SS-125BC</t>
  </si>
  <si>
    <t>PL-1B480QD5T</t>
  </si>
  <si>
    <t>CK-B7A0-8Q4F</t>
  </si>
  <si>
    <t>Y1R1</t>
  </si>
  <si>
    <t>18-70</t>
  </si>
  <si>
    <t>BC-18Q4F</t>
  </si>
  <si>
    <t>PL-1B480QD5X</t>
  </si>
  <si>
    <t>AVD9</t>
  </si>
  <si>
    <t>11.02.2026</t>
  </si>
  <si>
    <t>AV39</t>
  </si>
  <si>
    <t>245/45R19</t>
  </si>
  <si>
    <t>102V XL</t>
  </si>
  <si>
    <t>R0140XVL</t>
  </si>
  <si>
    <t>11326</t>
  </si>
  <si>
    <t>ST-147AC</t>
  </si>
  <si>
    <t>PL-1C525NQ2</t>
  </si>
  <si>
    <t>PL-2C445DN2</t>
  </si>
  <si>
    <t>RK-B7C6-9T4B</t>
  </si>
  <si>
    <t>W1Y1R2</t>
  </si>
  <si>
    <t>19-80</t>
  </si>
  <si>
    <t>BC-19T4B</t>
  </si>
  <si>
    <t>AVE0</t>
  </si>
  <si>
    <t>AV40</t>
  </si>
  <si>
    <t>255/50R20</t>
  </si>
  <si>
    <t>255/50</t>
  </si>
  <si>
    <t>109V XL</t>
  </si>
  <si>
    <t>R0144XVL</t>
  </si>
  <si>
    <t>15181</t>
  </si>
  <si>
    <t>ST-138AB</t>
  </si>
  <si>
    <t>IL-AZ430-13</t>
  </si>
  <si>
    <t>PL-1B605NQ2</t>
  </si>
  <si>
    <t>PL-2B510DN3</t>
  </si>
  <si>
    <t>RK-B7D9-0U5B</t>
  </si>
  <si>
    <t>20-30</t>
  </si>
  <si>
    <t>AVE7</t>
  </si>
  <si>
    <t>AV47</t>
  </si>
  <si>
    <t>215/55R17</t>
  </si>
  <si>
    <t>98W XL</t>
  </si>
  <si>
    <t>R0112XWL</t>
  </si>
  <si>
    <t>41169</t>
  </si>
  <si>
    <t>ST-122BA</t>
  </si>
  <si>
    <t>IL-AZ375-12</t>
  </si>
  <si>
    <t>PL-1D535QD3</t>
  </si>
  <si>
    <t>RK-B7D9-7R4F</t>
  </si>
  <si>
    <t>B1R2</t>
  </si>
  <si>
    <t>JA100B-F88</t>
  </si>
  <si>
    <t>BC-17R4F</t>
  </si>
  <si>
    <t>AVE8</t>
  </si>
  <si>
    <t>26.08.2026</t>
  </si>
  <si>
    <t>AV48</t>
  </si>
  <si>
    <t>225/60R18</t>
  </si>
  <si>
    <t>225/60</t>
  </si>
  <si>
    <t>100H</t>
  </si>
  <si>
    <t>R0126SHL</t>
  </si>
  <si>
    <t>12888</t>
  </si>
  <si>
    <t>ST-126BD</t>
  </si>
  <si>
    <t>PL-1C585ND1</t>
  </si>
  <si>
    <t>PL-2C480DN1</t>
  </si>
  <si>
    <t>RK-B7E6-8T4F</t>
  </si>
  <si>
    <t>AVE9</t>
  </si>
  <si>
    <t>AV49</t>
  </si>
  <si>
    <t>235/50R19</t>
  </si>
  <si>
    <t>235/50</t>
  </si>
  <si>
    <t>R0130SVL</t>
  </si>
  <si>
    <t>12896</t>
  </si>
  <si>
    <t>SS-148AD</t>
  </si>
  <si>
    <t>IL-AZ385-12</t>
  </si>
  <si>
    <t>PL-1C555NQ2</t>
  </si>
  <si>
    <t>PL-2C470QN3T</t>
  </si>
  <si>
    <t>PL-2C470QN3X</t>
  </si>
  <si>
    <t>AVF7</t>
  </si>
  <si>
    <t>19.10.2026</t>
  </si>
  <si>
    <t>AV57</t>
  </si>
  <si>
    <t>225/60R17</t>
  </si>
  <si>
    <t>R0125SVL</t>
  </si>
  <si>
    <t>10488</t>
  </si>
  <si>
    <t>ST-123BB</t>
  </si>
  <si>
    <t>PL-1C595DD1</t>
  </si>
  <si>
    <t>PL-2C565DN1</t>
  </si>
  <si>
    <t>RK-B7E6-7T4F</t>
  </si>
  <si>
    <t>Y2R1</t>
  </si>
  <si>
    <t>BC-17T4F</t>
  </si>
  <si>
    <t>AVF8</t>
  </si>
  <si>
    <t>AV58</t>
  </si>
  <si>
    <t>265/60R18</t>
  </si>
  <si>
    <t>265/60</t>
  </si>
  <si>
    <t>110V</t>
  </si>
  <si>
    <t>R0145SVL</t>
  </si>
  <si>
    <t>13642</t>
  </si>
  <si>
    <t>ST-128AD</t>
  </si>
  <si>
    <t>IL-AZ475-12</t>
  </si>
  <si>
    <t>PL-1B690NQ2</t>
  </si>
  <si>
    <t>PL-2B560DN1</t>
  </si>
  <si>
    <t>RK-B7G8-8T5B</t>
  </si>
  <si>
    <t>NB18-700SN</t>
  </si>
  <si>
    <t>18-50</t>
  </si>
  <si>
    <t>AVF9</t>
  </si>
  <si>
    <t>19.02.2026</t>
  </si>
  <si>
    <t>AV59</t>
  </si>
  <si>
    <t>245/55R19</t>
  </si>
  <si>
    <t>245/55</t>
  </si>
  <si>
    <t>103V</t>
  </si>
  <si>
    <t>R0142SVL</t>
  </si>
  <si>
    <t>41337</t>
  </si>
  <si>
    <t>ST-149AC</t>
  </si>
  <si>
    <t>IL-AZ425-13</t>
  </si>
  <si>
    <t>PL-1C615NQ4</t>
  </si>
  <si>
    <t>PL-2C510DN4</t>
  </si>
  <si>
    <t>RK-B7E6-9T4B</t>
  </si>
  <si>
    <t>AVG7</t>
  </si>
  <si>
    <t>15.09.2026</t>
  </si>
  <si>
    <t>AV67</t>
  </si>
  <si>
    <t>205/50R17</t>
  </si>
  <si>
    <t>205/50</t>
  </si>
  <si>
    <t>93W XL</t>
  </si>
  <si>
    <t>R0107XWL</t>
  </si>
  <si>
    <t>57887</t>
  </si>
  <si>
    <t>SS-127BB</t>
  </si>
  <si>
    <t>IL-AZ345-12</t>
  </si>
  <si>
    <t>PL-1B480QD1T</t>
  </si>
  <si>
    <t>CK-B7A0-7R4F</t>
  </si>
  <si>
    <t>17-70</t>
  </si>
  <si>
    <t>PL-1B480QD1X</t>
  </si>
  <si>
    <t>AVG8</t>
  </si>
  <si>
    <t>AV68</t>
  </si>
  <si>
    <t>235/45R18</t>
  </si>
  <si>
    <t>235/45</t>
  </si>
  <si>
    <t>R0128XWL</t>
  </si>
  <si>
    <t>20335</t>
  </si>
  <si>
    <t>SS-130BC</t>
  </si>
  <si>
    <t>IL-AZ355-12</t>
  </si>
  <si>
    <t>PL-1B500QD1T</t>
  </si>
  <si>
    <t>CK-B7A0-8Q5B</t>
  </si>
  <si>
    <t>R1Y1R1</t>
  </si>
  <si>
    <t>BC-18Q5B</t>
  </si>
  <si>
    <t>PL-1B500QD1X</t>
  </si>
  <si>
    <t>AVG9</t>
  </si>
  <si>
    <t>24.03.2026</t>
  </si>
  <si>
    <t>AV69</t>
  </si>
  <si>
    <t>255/55R19</t>
  </si>
  <si>
    <t>255/55</t>
  </si>
  <si>
    <t>111V XL</t>
  </si>
  <si>
    <t>R0242XVL</t>
  </si>
  <si>
    <t>27907</t>
  </si>
  <si>
    <t>ST-153AB</t>
  </si>
  <si>
    <t>IL-AZ450-12</t>
  </si>
  <si>
    <t>PL-1C645NQ1</t>
  </si>
  <si>
    <t>PL-2C530DN1</t>
  </si>
  <si>
    <t>RK-B7E6-9T5B</t>
  </si>
  <si>
    <t>W1G1R2</t>
  </si>
  <si>
    <t>NB19-700SN</t>
  </si>
  <si>
    <t>19-60</t>
  </si>
  <si>
    <t>BC-19T5B</t>
  </si>
  <si>
    <t>AVH7</t>
  </si>
  <si>
    <t>17.09.2026</t>
  </si>
  <si>
    <t>AV77</t>
  </si>
  <si>
    <t>265/65R17</t>
  </si>
  <si>
    <t>265/65</t>
  </si>
  <si>
    <t>112H</t>
  </si>
  <si>
    <t>R0146SHL</t>
  </si>
  <si>
    <t>54065</t>
  </si>
  <si>
    <t>ST-129AB</t>
  </si>
  <si>
    <t>IL-AZ500-12</t>
  </si>
  <si>
    <t>PL-1B725NQ1</t>
  </si>
  <si>
    <t>PL-2B575DN1</t>
  </si>
  <si>
    <t>RK-B7F9-7U5B</t>
  </si>
  <si>
    <t>B1G1Y1</t>
  </si>
  <si>
    <t>NB17-700SN</t>
  </si>
  <si>
    <t>BC-17U5B</t>
  </si>
  <si>
    <t>AVH8</t>
  </si>
  <si>
    <t>13.04.2026</t>
  </si>
  <si>
    <t>AV78</t>
  </si>
  <si>
    <t>235/60R18</t>
  </si>
  <si>
    <t>235/60</t>
  </si>
  <si>
    <t>R0135SVL</t>
  </si>
  <si>
    <t>12879</t>
  </si>
  <si>
    <t>ST-132BC</t>
  </si>
  <si>
    <t>IL-AZ435-12</t>
  </si>
  <si>
    <t>PL-1B615ND1</t>
  </si>
  <si>
    <t>PL-2B505QN1</t>
  </si>
  <si>
    <t>RK-B7D9-8R5B</t>
  </si>
  <si>
    <t>G2R2</t>
  </si>
  <si>
    <t>BC-18R5B</t>
  </si>
  <si>
    <t>AVH9</t>
  </si>
  <si>
    <t>02.04.2026</t>
  </si>
  <si>
    <t>Половов Иван</t>
  </si>
  <si>
    <t>AV79</t>
  </si>
  <si>
    <t>265/55R19</t>
  </si>
  <si>
    <t>265/55</t>
  </si>
  <si>
    <t>113V XL</t>
  </si>
  <si>
    <t>R0243XVL</t>
  </si>
  <si>
    <t>35842</t>
  </si>
  <si>
    <t>ST-154AB</t>
  </si>
  <si>
    <t>IL-AZ465-12</t>
  </si>
  <si>
    <t>PL-1C670NQ3</t>
  </si>
  <si>
    <t>PL-2C555QN1</t>
  </si>
  <si>
    <t>19-50</t>
  </si>
  <si>
    <t>AVI7</t>
  </si>
  <si>
    <t>AV87</t>
  </si>
  <si>
    <t>235/65R17</t>
  </si>
  <si>
    <t>235/65</t>
  </si>
  <si>
    <t>108V XL</t>
  </si>
  <si>
    <t>R0136XVL</t>
  </si>
  <si>
    <t>12874</t>
  </si>
  <si>
    <t>ST-134BC</t>
  </si>
  <si>
    <t>PL-1B655DD2</t>
  </si>
  <si>
    <t>PL-2B620DN2</t>
  </si>
  <si>
    <t>RK-B7G8-7S5B</t>
  </si>
  <si>
    <t>G1Y1</t>
  </si>
  <si>
    <t>17-110</t>
  </si>
  <si>
    <t>BC-17S5B</t>
  </si>
  <si>
    <t>AVI8</t>
  </si>
  <si>
    <t>Ерахтин Владислав</t>
  </si>
  <si>
    <t>AV88</t>
  </si>
  <si>
    <t>245/45R18</t>
  </si>
  <si>
    <t>100W XL</t>
  </si>
  <si>
    <t>R0139XWL</t>
  </si>
  <si>
    <t>83137</t>
  </si>
  <si>
    <t>ST-139BB</t>
  </si>
  <si>
    <t>PL-1B525DD2</t>
  </si>
  <si>
    <t>RK-B7C6-8R5B</t>
  </si>
  <si>
    <t>AVJ7</t>
  </si>
  <si>
    <t>AV97</t>
  </si>
  <si>
    <t>225/50R17</t>
  </si>
  <si>
    <t>225/50</t>
  </si>
  <si>
    <t>R0120XWL</t>
  </si>
  <si>
    <t>49940</t>
  </si>
  <si>
    <t>ST-151BA</t>
  </si>
  <si>
    <t>PL-1D535QD4</t>
  </si>
  <si>
    <t>RK-B7C6-7R4F</t>
  </si>
  <si>
    <t>AVJ8</t>
  </si>
  <si>
    <t>26.12.2025</t>
  </si>
  <si>
    <t>Топунов Николай</t>
  </si>
  <si>
    <t>AV98</t>
  </si>
  <si>
    <t>245/40R18</t>
  </si>
  <si>
    <t>245/40</t>
  </si>
  <si>
    <t>97W XL</t>
  </si>
  <si>
    <t>R0138XWL</t>
  </si>
  <si>
    <t>52944</t>
  </si>
  <si>
    <t>SS-140BA</t>
  </si>
  <si>
    <t>PL-1B500DD3T</t>
  </si>
  <si>
    <t>CK-B7A0-8R4B</t>
  </si>
  <si>
    <t>W1B3</t>
  </si>
  <si>
    <t>18-80</t>
  </si>
  <si>
    <t>BC-18R4B</t>
  </si>
  <si>
    <t>PL-1B500DD3X</t>
  </si>
  <si>
    <t>AWA7</t>
  </si>
  <si>
    <t>05.10.2026</t>
  </si>
  <si>
    <t>AW07</t>
  </si>
  <si>
    <t>225/55R17</t>
  </si>
  <si>
    <t>97W</t>
  </si>
  <si>
    <t>R0122SWL</t>
  </si>
  <si>
    <t>16500</t>
  </si>
  <si>
    <t>CK-B7D4-7T4F</t>
  </si>
  <si>
    <t>AWA8</t>
  </si>
  <si>
    <t>AW08</t>
  </si>
  <si>
    <t>285/60R18</t>
  </si>
  <si>
    <t>285/60</t>
  </si>
  <si>
    <t>116V</t>
  </si>
  <si>
    <t>R0148SVL</t>
  </si>
  <si>
    <t>10489</t>
  </si>
  <si>
    <t>ST-143AC</t>
  </si>
  <si>
    <t>IL-AZ515-12</t>
  </si>
  <si>
    <t>PL-1B760NQ2</t>
  </si>
  <si>
    <t>PL-2B600QN1</t>
  </si>
  <si>
    <t>RK-B9G6-8U5C</t>
  </si>
  <si>
    <t>W2Y1</t>
  </si>
  <si>
    <t>BC-18U5C</t>
  </si>
  <si>
    <t>25K(5-5-5)</t>
  </si>
  <si>
    <t>AWB7</t>
  </si>
  <si>
    <t>20.03.2026</t>
  </si>
  <si>
    <t>AW17</t>
  </si>
  <si>
    <t>235/55R17</t>
  </si>
  <si>
    <t>R0131SVL</t>
  </si>
  <si>
    <t>12876</t>
  </si>
  <si>
    <t>SS-142BB</t>
  </si>
  <si>
    <t>IL-AZ415-12</t>
  </si>
  <si>
    <t>PL-1C585ND2</t>
  </si>
  <si>
    <t>PL-2C485QN4T</t>
  </si>
  <si>
    <t>CK-B7D4-7T4B</t>
  </si>
  <si>
    <t>17-100</t>
  </si>
  <si>
    <t>PL-2C485QN4X</t>
  </si>
  <si>
    <t>AWB8</t>
  </si>
  <si>
    <t>AW18</t>
  </si>
  <si>
    <t>235/65R18</t>
  </si>
  <si>
    <t>106V</t>
  </si>
  <si>
    <t>R0137SVL</t>
  </si>
  <si>
    <t>12886</t>
  </si>
  <si>
    <t>ST-146BA</t>
  </si>
  <si>
    <t>PL-1B645ND1</t>
  </si>
  <si>
    <t>PL-2B525DN1</t>
  </si>
  <si>
    <t>RK-B7F9-8U5B</t>
  </si>
  <si>
    <t>B2G2</t>
  </si>
  <si>
    <t>18-110</t>
  </si>
  <si>
    <t>BC-18U5B</t>
  </si>
  <si>
    <t>AWC7</t>
  </si>
  <si>
    <t>07.10.2026</t>
  </si>
  <si>
    <t>AW27</t>
  </si>
  <si>
    <t>215/65R17</t>
  </si>
  <si>
    <t>99H</t>
  </si>
  <si>
    <t>R0116SHL</t>
  </si>
  <si>
    <t>94595</t>
  </si>
  <si>
    <t>ST-120BA</t>
  </si>
  <si>
    <t>PL-1C590ND3</t>
  </si>
  <si>
    <t>PL-2C480DN2</t>
  </si>
  <si>
    <t>AWC8</t>
  </si>
  <si>
    <t>16.03.2026</t>
  </si>
  <si>
    <t>AW28</t>
  </si>
  <si>
    <t>235/50R18</t>
  </si>
  <si>
    <t>97V</t>
  </si>
  <si>
    <t>R0129SVL</t>
  </si>
  <si>
    <t>84467</t>
  </si>
  <si>
    <t>ST-150BA</t>
  </si>
  <si>
    <t>PL-1C560ND4</t>
  </si>
  <si>
    <t>PL-2C475DN2</t>
  </si>
  <si>
    <t>RK-B7C6-8T4B</t>
  </si>
  <si>
    <t>AWD7</t>
  </si>
  <si>
    <t>AW37</t>
  </si>
  <si>
    <t>205/55R17</t>
  </si>
  <si>
    <t>95V XL</t>
  </si>
  <si>
    <t>R0109XVL</t>
  </si>
  <si>
    <t>17597</t>
  </si>
  <si>
    <t>ST-152BA</t>
  </si>
  <si>
    <t>PL-1B510QD2</t>
  </si>
  <si>
    <t>RK-B7C6-7R4B</t>
  </si>
  <si>
    <t>AWD8</t>
  </si>
  <si>
    <t>07.04.2026</t>
  </si>
  <si>
    <t>AW38</t>
  </si>
  <si>
    <t>225/50R18</t>
  </si>
  <si>
    <t>99W XL</t>
  </si>
  <si>
    <t>R0121XWL</t>
  </si>
  <si>
    <t>81748</t>
  </si>
  <si>
    <t>ST-151BB</t>
  </si>
  <si>
    <t>PL-1C530ND2</t>
  </si>
  <si>
    <t>PL-2C450DN3</t>
  </si>
  <si>
    <t>CSA0</t>
  </si>
  <si>
    <t>09.09.2026</t>
  </si>
  <si>
    <t>CS00</t>
  </si>
  <si>
    <t>109T XL</t>
  </si>
  <si>
    <t>SCrossSV</t>
  </si>
  <si>
    <t>R0196XTZ</t>
  </si>
  <si>
    <t>82825</t>
  </si>
  <si>
    <t>ST-216AC</t>
  </si>
  <si>
    <t>IL-AZ420-12</t>
  </si>
  <si>
    <t>PL-1C580NQA</t>
  </si>
  <si>
    <t>PL-2C495QN3</t>
  </si>
  <si>
    <t>RK-B7B6-0T4F</t>
  </si>
  <si>
    <t>B2R1Y1</t>
  </si>
  <si>
    <t>BC-20T4F</t>
  </si>
  <si>
    <t>C</t>
  </si>
  <si>
    <t>CSA8</t>
  </si>
  <si>
    <t>22.10.2026</t>
  </si>
  <si>
    <t>Qualification trial</t>
  </si>
  <si>
    <t>CS08</t>
  </si>
  <si>
    <t>120T XL</t>
  </si>
  <si>
    <t>R0290XTZ</t>
  </si>
  <si>
    <t>63258</t>
  </si>
  <si>
    <t>ST-293AC</t>
  </si>
  <si>
    <t>PL-1B740NQ5</t>
  </si>
  <si>
    <t>PL-2B600DN4</t>
  </si>
  <si>
    <t>RK-B9D6-8U4C</t>
  </si>
  <si>
    <t>B1G1</t>
  </si>
  <si>
    <t>18-60</t>
  </si>
  <si>
    <t>BC-18U4C</t>
  </si>
  <si>
    <t>CSA9</t>
  </si>
  <si>
    <t>08.10.2026</t>
  </si>
  <si>
    <t>CS09</t>
  </si>
  <si>
    <t>113T XL</t>
  </si>
  <si>
    <t>R0198XTZ</t>
  </si>
  <si>
    <t>24970</t>
  </si>
  <si>
    <t>ST-215AD</t>
  </si>
  <si>
    <t>IL-AZ470-12</t>
  </si>
  <si>
    <t>PL-1B635NQ6</t>
  </si>
  <si>
    <t>PL-2B550DN1</t>
  </si>
  <si>
    <t>RK-B9B6-9V4C</t>
  </si>
  <si>
    <t>Y1B1R1Y1</t>
  </si>
  <si>
    <t>BC-19V4C</t>
  </si>
  <si>
    <t>CSB0</t>
  </si>
  <si>
    <t>21.10.2026</t>
  </si>
  <si>
    <t>CS10</t>
  </si>
  <si>
    <t>103T XL</t>
  </si>
  <si>
    <t>R0193XTZ</t>
  </si>
  <si>
    <t>59841</t>
  </si>
  <si>
    <t>SS-217AA</t>
  </si>
  <si>
    <t>IL-AZ365-12</t>
  </si>
  <si>
    <t>PL-1C515NQ6</t>
  </si>
  <si>
    <t>PL-2C440QN2T</t>
  </si>
  <si>
    <t>20-100</t>
  </si>
  <si>
    <t>PL-2C440QN2X</t>
  </si>
  <si>
    <t>CSB9</t>
  </si>
  <si>
    <t>02.09.2026</t>
  </si>
  <si>
    <t>Калистратов Максим</t>
  </si>
  <si>
    <t>CS19</t>
  </si>
  <si>
    <t>111T XL</t>
  </si>
  <si>
    <t>R0197XTZ</t>
  </si>
  <si>
    <t>16036</t>
  </si>
  <si>
    <t>ST-218AA</t>
  </si>
  <si>
    <t>IL-AZ445-12</t>
  </si>
  <si>
    <t>PL-1C645NQ2</t>
  </si>
  <si>
    <t>PL-2C530QN1</t>
  </si>
  <si>
    <t>RK-B7C6-9T4F</t>
  </si>
  <si>
    <t>Y3</t>
  </si>
  <si>
    <t>BC-19T4F</t>
  </si>
  <si>
    <t>CSC0</t>
  </si>
  <si>
    <t>11.09.2026</t>
  </si>
  <si>
    <t>CS20</t>
  </si>
  <si>
    <t>105T XL</t>
  </si>
  <si>
    <t>R0195XTZ</t>
  </si>
  <si>
    <t>22210</t>
  </si>
  <si>
    <t>ST-220AC</t>
  </si>
  <si>
    <t>PL-1C535NQ4</t>
  </si>
  <si>
    <t>PL-2C460QN4</t>
  </si>
  <si>
    <t>CSC9</t>
  </si>
  <si>
    <t>CS29</t>
  </si>
  <si>
    <t>R0192XTZ</t>
  </si>
  <si>
    <t>15406</t>
  </si>
  <si>
    <t>ST-219AA</t>
  </si>
  <si>
    <t>PL-1C580NQC</t>
  </si>
  <si>
    <t>PL-2C490QN1</t>
  </si>
  <si>
    <t>19-100</t>
  </si>
  <si>
    <t>CSD0</t>
  </si>
  <si>
    <t>22.09.2026</t>
  </si>
  <si>
    <t>CS30</t>
  </si>
  <si>
    <t>245/50R20</t>
  </si>
  <si>
    <t>245/50</t>
  </si>
  <si>
    <t>R0194XTZ</t>
  </si>
  <si>
    <t>65553</t>
  </si>
  <si>
    <t>ST-223AC</t>
  </si>
  <si>
    <t>IL-AZ395-12</t>
  </si>
  <si>
    <t>PL-1C555NQ8</t>
  </si>
  <si>
    <t>PL-2C470QN7</t>
  </si>
  <si>
    <t>CSD9</t>
  </si>
  <si>
    <t>13.10.2026</t>
  </si>
  <si>
    <t>CS39</t>
  </si>
  <si>
    <t>R0190XTZ</t>
  </si>
  <si>
    <t>39272</t>
  </si>
  <si>
    <t>ST-221AB</t>
  </si>
  <si>
    <t>PL-1B690DQ2</t>
  </si>
  <si>
    <t>RK-B7B6-9R4F</t>
  </si>
  <si>
    <t>B3Y1</t>
  </si>
  <si>
    <t>1E-CT0</t>
  </si>
  <si>
    <t>BC-19R4F</t>
  </si>
  <si>
    <t>CSE9</t>
  </si>
  <si>
    <t>01.10.2026</t>
  </si>
  <si>
    <t>CS49</t>
  </si>
  <si>
    <t>R0191XTZ</t>
  </si>
  <si>
    <t>42696</t>
  </si>
  <si>
    <t>ST-222AA</t>
  </si>
  <si>
    <t>PL-1B665DQ2</t>
  </si>
  <si>
    <t>CSF9</t>
  </si>
  <si>
    <t>CS59</t>
  </si>
  <si>
    <t>96T XL</t>
  </si>
  <si>
    <t>SCross</t>
  </si>
  <si>
    <t>R0189XTZ</t>
  </si>
  <si>
    <t>32759</t>
  </si>
  <si>
    <t>ST-224AB</t>
  </si>
  <si>
    <t>IL-AZ325-12</t>
  </si>
  <si>
    <t>PL-1C580DQ3</t>
  </si>
  <si>
    <t>RK-B7B6-9Q4F</t>
  </si>
  <si>
    <t>B3R1</t>
  </si>
  <si>
    <t>BC-19Q4F</t>
  </si>
  <si>
    <t>DVA0</t>
  </si>
  <si>
    <t>07.09.2026</t>
  </si>
  <si>
    <t>DV00</t>
  </si>
  <si>
    <t>103 T XL</t>
  </si>
  <si>
    <t>WDriveSV</t>
  </si>
  <si>
    <t>R0236XTZ</t>
  </si>
  <si>
    <t>66728</t>
  </si>
  <si>
    <t>SS-229AC</t>
  </si>
  <si>
    <t>PL-1C515NQ4</t>
  </si>
  <si>
    <t>PL-2C440QN3T</t>
  </si>
  <si>
    <t>RK-B7B6-0T5B</t>
  </si>
  <si>
    <t>20-80</t>
  </si>
  <si>
    <t>PL-2C440QN3X</t>
  </si>
  <si>
    <t>D</t>
  </si>
  <si>
    <t>DVA9</t>
  </si>
  <si>
    <t>17.08.2026</t>
  </si>
  <si>
    <t>DV09</t>
  </si>
  <si>
    <t>WDrive</t>
  </si>
  <si>
    <t>R0232XTZ</t>
  </si>
  <si>
    <t>85147</t>
  </si>
  <si>
    <t>ST-225AD</t>
  </si>
  <si>
    <t>PL-1C575DQ1</t>
  </si>
  <si>
    <t>DVB0</t>
  </si>
  <si>
    <t>25.08.2026</t>
  </si>
  <si>
    <t>DV10</t>
  </si>
  <si>
    <t>R0237XTZ</t>
  </si>
  <si>
    <t>14679</t>
  </si>
  <si>
    <t>ST-230AC</t>
  </si>
  <si>
    <t>PL-1C575NQ4</t>
  </si>
  <si>
    <t>PL-2C475QN3</t>
  </si>
  <si>
    <t>20-20</t>
  </si>
  <si>
    <t>DVB9</t>
  </si>
  <si>
    <t>DV19</t>
  </si>
  <si>
    <t>R0241XTZ</t>
  </si>
  <si>
    <t>69770</t>
  </si>
  <si>
    <t>ST-226AC</t>
  </si>
  <si>
    <t>PL-1C665NQ1</t>
  </si>
  <si>
    <t>PL-2C545DN1</t>
  </si>
  <si>
    <t>RK-B9D6-9U4C</t>
  </si>
  <si>
    <t>W1Y1</t>
  </si>
  <si>
    <t>BC-19U4C</t>
  </si>
  <si>
    <t>DVC0</t>
  </si>
  <si>
    <t>19.08.2026</t>
  </si>
  <si>
    <t>DV20</t>
  </si>
  <si>
    <t>R0238XTZ</t>
  </si>
  <si>
    <t>15867</t>
  </si>
  <si>
    <t>ST-232AC</t>
  </si>
  <si>
    <t>PL-1C530NQ6</t>
  </si>
  <si>
    <t>PL-2C455QN5</t>
  </si>
  <si>
    <t>DVC9</t>
  </si>
  <si>
    <t>DV29</t>
  </si>
  <si>
    <t>R0234XTZ</t>
  </si>
  <si>
    <t>86624</t>
  </si>
  <si>
    <t>ST-227AB</t>
  </si>
  <si>
    <t>PL-1B535NQ2</t>
  </si>
  <si>
    <t>RK-B7A6-9R4F</t>
  </si>
  <si>
    <t>1H-CT0</t>
  </si>
  <si>
    <t>DVD0</t>
  </si>
  <si>
    <t>18.08.2026</t>
  </si>
  <si>
    <t>Чуприна Сергей</t>
  </si>
  <si>
    <t>DV30</t>
  </si>
  <si>
    <t>R0239XTZ</t>
  </si>
  <si>
    <t>13125</t>
  </si>
  <si>
    <t>ST-233AB</t>
  </si>
  <si>
    <t>PL-1C595NQ2</t>
  </si>
  <si>
    <t>PL-2C500QN1</t>
  </si>
  <si>
    <t>DVD9</t>
  </si>
  <si>
    <t>DV39</t>
  </si>
  <si>
    <t>R0235XTZ</t>
  </si>
  <si>
    <t>50189</t>
  </si>
  <si>
    <t>ST-228AC</t>
  </si>
  <si>
    <t>PL-1D585DQ3</t>
  </si>
  <si>
    <t>RK-B7C6-9R4F</t>
  </si>
  <si>
    <t>DVE9</t>
  </si>
  <si>
    <t>DV49</t>
  </si>
  <si>
    <t>R0233XTZ</t>
  </si>
  <si>
    <t>11260</t>
  </si>
  <si>
    <t>ST-231AA</t>
  </si>
  <si>
    <t>PL-1B565DQ4</t>
  </si>
  <si>
    <t>DVF9</t>
  </si>
  <si>
    <t>30.07.2026</t>
  </si>
  <si>
    <t>DV59</t>
  </si>
  <si>
    <t>R0240XTZ</t>
  </si>
  <si>
    <t>16278</t>
  </si>
  <si>
    <t>ST-234AA</t>
  </si>
  <si>
    <t>PL-1C635NQ3</t>
  </si>
  <si>
    <t>PL-2C525QN1</t>
  </si>
  <si>
    <t>RK-B7D9-9T4F</t>
  </si>
  <si>
    <t>ECA4</t>
  </si>
  <si>
    <t>011</t>
  </si>
  <si>
    <t>EC04</t>
  </si>
  <si>
    <t>175/65R14</t>
  </si>
  <si>
    <t>175/65</t>
  </si>
  <si>
    <t>R14</t>
  </si>
  <si>
    <t>14</t>
  </si>
  <si>
    <t>82H</t>
  </si>
  <si>
    <t>EcoC</t>
  </si>
  <si>
    <t>R0078SHL</t>
  </si>
  <si>
    <t>9638</t>
  </si>
  <si>
    <t>ST-083BC</t>
  </si>
  <si>
    <t>IL-AZ330-12</t>
  </si>
  <si>
    <t>PL-1B485QD3</t>
  </si>
  <si>
    <t>RK-B7B6-4E3F</t>
  </si>
  <si>
    <t>W1Y3</t>
  </si>
  <si>
    <t>F14LF</t>
  </si>
  <si>
    <t>NB14-550SN</t>
  </si>
  <si>
    <t>B14</t>
  </si>
  <si>
    <t>14-50</t>
  </si>
  <si>
    <t>KBF14-04</t>
  </si>
  <si>
    <t>BSH14/16K01</t>
  </si>
  <si>
    <t>BEH15/19K01</t>
  </si>
  <si>
    <t>BC-14E3F</t>
  </si>
  <si>
    <t>NB14-30SP</t>
  </si>
  <si>
    <t>E</t>
  </si>
  <si>
    <t>ECA5</t>
  </si>
  <si>
    <t>EC05</t>
  </si>
  <si>
    <t>185/65R15</t>
  </si>
  <si>
    <t>185/65</t>
  </si>
  <si>
    <t>R15</t>
  </si>
  <si>
    <t>15</t>
  </si>
  <si>
    <t>88H</t>
  </si>
  <si>
    <t>R0082SHL</t>
  </si>
  <si>
    <t>11400</t>
  </si>
  <si>
    <t>ST-087BB</t>
  </si>
  <si>
    <t>PL-1C645DD1</t>
  </si>
  <si>
    <t>RK-B7C6-5D3F</t>
  </si>
  <si>
    <t>G2Y1</t>
  </si>
  <si>
    <t>F15LDA</t>
  </si>
  <si>
    <t>NB15-550SN</t>
  </si>
  <si>
    <t>B15</t>
  </si>
  <si>
    <t>15-100</t>
  </si>
  <si>
    <t>KBF15-03</t>
  </si>
  <si>
    <t>1E-AT0</t>
  </si>
  <si>
    <t>BC-15D3F</t>
  </si>
  <si>
    <t>NB15-30SP</t>
  </si>
  <si>
    <t>ECA6</t>
  </si>
  <si>
    <t>EC06</t>
  </si>
  <si>
    <t>R0087SVL</t>
  </si>
  <si>
    <t>14826</t>
  </si>
  <si>
    <t>ST-082BA</t>
  </si>
  <si>
    <t>PL-1B645DD5</t>
  </si>
  <si>
    <t>RK-B7B6-6E4F</t>
  </si>
  <si>
    <t>ECA7</t>
  </si>
  <si>
    <t>EC07</t>
  </si>
  <si>
    <t>R0091SVL</t>
  </si>
  <si>
    <t>12930</t>
  </si>
  <si>
    <t>ST-085BB</t>
  </si>
  <si>
    <t>PL-1B645DD2</t>
  </si>
  <si>
    <t>RK-B7C6-7Q4F</t>
  </si>
  <si>
    <t>B1R1</t>
  </si>
  <si>
    <t>BC-17Q4F</t>
  </si>
  <si>
    <t>ECA8</t>
  </si>
  <si>
    <t>EC08</t>
  </si>
  <si>
    <t>116H</t>
  </si>
  <si>
    <t>R0102SHL</t>
  </si>
  <si>
    <t>11795</t>
  </si>
  <si>
    <t>ST-084AB</t>
  </si>
  <si>
    <t>IL-AZ520-12</t>
  </si>
  <si>
    <t>PL-1B755DQ1</t>
  </si>
  <si>
    <t>PL-2B720DN1</t>
  </si>
  <si>
    <t>FL-C050L</t>
  </si>
  <si>
    <t>Le</t>
  </si>
  <si>
    <t>RK-B9E6-8U5C</t>
  </si>
  <si>
    <t>2HHCTF</t>
  </si>
  <si>
    <t>HM100H-F30</t>
  </si>
  <si>
    <t>ECA9</t>
  </si>
  <si>
    <t>28.08.2022</t>
  </si>
  <si>
    <t>EC09</t>
  </si>
  <si>
    <t>101V</t>
  </si>
  <si>
    <t>R0105SVL</t>
  </si>
  <si>
    <t>12475</t>
  </si>
  <si>
    <t>SS-095AB</t>
  </si>
  <si>
    <t>PL-1B590NQ1</t>
  </si>
  <si>
    <t>PL-2B500DN1T</t>
  </si>
  <si>
    <t>RK-B7D9-9U5B</t>
  </si>
  <si>
    <t>W1B2W1</t>
  </si>
  <si>
    <t>BC-19U5B</t>
  </si>
  <si>
    <t>PL-2B500DN1X</t>
  </si>
  <si>
    <t>ECB4</t>
  </si>
  <si>
    <t>EC14</t>
  </si>
  <si>
    <t>185/65R14</t>
  </si>
  <si>
    <t>86H</t>
  </si>
  <si>
    <t>R0080SHL</t>
  </si>
  <si>
    <t>9636</t>
  </si>
  <si>
    <t>ST-093BB</t>
  </si>
  <si>
    <t>PL-1B505QD3</t>
  </si>
  <si>
    <t>14-70</t>
  </si>
  <si>
    <t>ECB5</t>
  </si>
  <si>
    <t>EC15</t>
  </si>
  <si>
    <t>185/60R15</t>
  </si>
  <si>
    <t>185/60</t>
  </si>
  <si>
    <t>84V</t>
  </si>
  <si>
    <t>R0081SVL</t>
  </si>
  <si>
    <t>17916</t>
  </si>
  <si>
    <t>ST-089BA</t>
  </si>
  <si>
    <t>IL-AZ335-12</t>
  </si>
  <si>
    <t>PL-1B480DD1</t>
  </si>
  <si>
    <t>RK-B7C6-5E3F</t>
  </si>
  <si>
    <t>G1B2G1</t>
  </si>
  <si>
    <t>15-60</t>
  </si>
  <si>
    <t>BC-15E3F</t>
  </si>
  <si>
    <t>ECB6</t>
  </si>
  <si>
    <t>EC16</t>
  </si>
  <si>
    <t>215/70R16</t>
  </si>
  <si>
    <t>215/70</t>
  </si>
  <si>
    <t>R0093SHL</t>
  </si>
  <si>
    <t>11303</t>
  </si>
  <si>
    <t>ST-086BA</t>
  </si>
  <si>
    <t>IL-AZ425-12</t>
  </si>
  <si>
    <t>PL-1C615ND1</t>
  </si>
  <si>
    <t>PL-2C505QN1</t>
  </si>
  <si>
    <t>RK-B7D9-6F4B</t>
  </si>
  <si>
    <t>W2</t>
  </si>
  <si>
    <t>16-50</t>
  </si>
  <si>
    <t>BC-16F4B</t>
  </si>
  <si>
    <t>ECB7</t>
  </si>
  <si>
    <t>EC17</t>
  </si>
  <si>
    <t>R0098SHL</t>
  </si>
  <si>
    <t>10491</t>
  </si>
  <si>
    <t>ST-088BB</t>
  </si>
  <si>
    <t>PL-1C610ND2</t>
  </si>
  <si>
    <t>PL-2C505DN2</t>
  </si>
  <si>
    <t>RK-B7D9-7T5B</t>
  </si>
  <si>
    <t>ECB8</t>
  </si>
  <si>
    <t>EC18</t>
  </si>
  <si>
    <t>110H</t>
  </si>
  <si>
    <t>R0103SHL</t>
  </si>
  <si>
    <t>11317</t>
  </si>
  <si>
    <t>ST-100AC</t>
  </si>
  <si>
    <t>IL-AZ480-12</t>
  </si>
  <si>
    <t>PL-1B705NQ1</t>
  </si>
  <si>
    <t>PL-2B560DN2</t>
  </si>
  <si>
    <t>RK-B7B6-8T5B</t>
  </si>
  <si>
    <t>ECB9</t>
  </si>
  <si>
    <t>15.12.2025</t>
  </si>
  <si>
    <t>EC19</t>
  </si>
  <si>
    <t>R0106SVL</t>
  </si>
  <si>
    <t>11725</t>
  </si>
  <si>
    <t>SS-097AC</t>
  </si>
  <si>
    <t>IL-AZ420-13</t>
  </si>
  <si>
    <t>PL-1B620NQ1</t>
  </si>
  <si>
    <t>PL-2B510DN4T</t>
  </si>
  <si>
    <t>PL-2B510DN4X</t>
  </si>
  <si>
    <t>ECC4</t>
  </si>
  <si>
    <t>EC24</t>
  </si>
  <si>
    <t>185/60R14</t>
  </si>
  <si>
    <t>R0079SHL</t>
  </si>
  <si>
    <t>9639</t>
  </si>
  <si>
    <t>ST-044BC</t>
  </si>
  <si>
    <t>PL-1B485QD4</t>
  </si>
  <si>
    <t>14-40</t>
  </si>
  <si>
    <t>ECC5</t>
  </si>
  <si>
    <t>EC25</t>
  </si>
  <si>
    <t>195/65R15</t>
  </si>
  <si>
    <t>195/65</t>
  </si>
  <si>
    <t>91H</t>
  </si>
  <si>
    <t>R0083SHL</t>
  </si>
  <si>
    <t>11478</t>
  </si>
  <si>
    <t>ST-090BA</t>
  </si>
  <si>
    <t>PL-1B685DD1</t>
  </si>
  <si>
    <t>15-110</t>
  </si>
  <si>
    <t>ECC6</t>
  </si>
  <si>
    <t>EC26</t>
  </si>
  <si>
    <t>R0090SHL</t>
  </si>
  <si>
    <t>10490</t>
  </si>
  <si>
    <t>ST-091BA</t>
  </si>
  <si>
    <t>PL-1C600ND3</t>
  </si>
  <si>
    <t>PL-2C485DN8</t>
  </si>
  <si>
    <t>ECC7</t>
  </si>
  <si>
    <t>EC27</t>
  </si>
  <si>
    <t>94V</t>
  </si>
  <si>
    <t>R0094SVL</t>
  </si>
  <si>
    <t>12929</t>
  </si>
  <si>
    <t>ST-094BB</t>
  </si>
  <si>
    <t>PL-1B660DD1</t>
  </si>
  <si>
    <t>RK-B7D9-7Q3F</t>
  </si>
  <si>
    <t>G1Y2G1</t>
  </si>
  <si>
    <t>BC-17Q3F</t>
  </si>
  <si>
    <t>ECC8</t>
  </si>
  <si>
    <t>EC28</t>
  </si>
  <si>
    <t>255/55R18</t>
  </si>
  <si>
    <t>R0104XVL</t>
  </si>
  <si>
    <t>11316</t>
  </si>
  <si>
    <t>SS-101BB</t>
  </si>
  <si>
    <t>IL-AZ455-12</t>
  </si>
  <si>
    <t>PL-1B645ND2</t>
  </si>
  <si>
    <t>PL-2B535QN2T</t>
  </si>
  <si>
    <t>CK-B7D4-8U4F</t>
  </si>
  <si>
    <t>Y2B1</t>
  </si>
  <si>
    <t>18-40</t>
  </si>
  <si>
    <t>BC-18U4F</t>
  </si>
  <si>
    <t>PL-2B535QN2X</t>
  </si>
  <si>
    <t>ECC9</t>
  </si>
  <si>
    <t>19.03.2026</t>
  </si>
  <si>
    <t>EC29</t>
  </si>
  <si>
    <t>96V XL</t>
  </si>
  <si>
    <t>R0174XVL</t>
  </si>
  <si>
    <t>96863</t>
  </si>
  <si>
    <t>ST-162AB</t>
  </si>
  <si>
    <t>PL-1B595DQ1</t>
  </si>
  <si>
    <t>RK-B7B6-9R5B</t>
  </si>
  <si>
    <t>Y1</t>
  </si>
  <si>
    <t>BC-19R5B</t>
  </si>
  <si>
    <t>ECD5</t>
  </si>
  <si>
    <t>01.04.2026</t>
  </si>
  <si>
    <t>EC35</t>
  </si>
  <si>
    <t>205/70R15</t>
  </si>
  <si>
    <t>205/70</t>
  </si>
  <si>
    <t>R0086SHL</t>
  </si>
  <si>
    <t>9640</t>
  </si>
  <si>
    <t>ST-098BA</t>
  </si>
  <si>
    <t>PL-1B755DD2</t>
  </si>
  <si>
    <t>RK-B7D9-5E4B</t>
  </si>
  <si>
    <t>G1R1B1G1</t>
  </si>
  <si>
    <t>BC-15E4B</t>
  </si>
  <si>
    <t>ECD6</t>
  </si>
  <si>
    <t>EC36</t>
  </si>
  <si>
    <t>205/60R16</t>
  </si>
  <si>
    <t>205/60</t>
  </si>
  <si>
    <t>92V</t>
  </si>
  <si>
    <t>R0088SVL</t>
  </si>
  <si>
    <t>14827</t>
  </si>
  <si>
    <t>ST-092BB</t>
  </si>
  <si>
    <t>PL-1B680DD2</t>
  </si>
  <si>
    <t>RK-B7D9-6E4F</t>
  </si>
  <si>
    <t>ECD7</t>
  </si>
  <si>
    <t>EC37</t>
  </si>
  <si>
    <t>R0097SVL</t>
  </si>
  <si>
    <t>11311</t>
  </si>
  <si>
    <t>ST-079BA</t>
  </si>
  <si>
    <t>PL-1B590ND2</t>
  </si>
  <si>
    <t>PL-2B495DN1</t>
  </si>
  <si>
    <t>RK-B7D9-7U4F</t>
  </si>
  <si>
    <t>B3</t>
  </si>
  <si>
    <t>BC-17U4F</t>
  </si>
  <si>
    <t>ECD8</t>
  </si>
  <si>
    <t>EC38</t>
  </si>
  <si>
    <t>R0101SVL</t>
  </si>
  <si>
    <t>11315</t>
  </si>
  <si>
    <t>SS-109BB</t>
  </si>
  <si>
    <t>PL-1C560ND3</t>
  </si>
  <si>
    <t>PL-2C485DN7T</t>
  </si>
  <si>
    <t>CK-B7C2-8T4B</t>
  </si>
  <si>
    <t>PL-2C485DN7X</t>
  </si>
  <si>
    <t>ECD9</t>
  </si>
  <si>
    <t>EC39</t>
  </si>
  <si>
    <t>103V XL</t>
  </si>
  <si>
    <t>R0175XVL</t>
  </si>
  <si>
    <t>83145</t>
  </si>
  <si>
    <t>ST-163AB</t>
  </si>
  <si>
    <t>PL-1B700NQ1</t>
  </si>
  <si>
    <t>RK-B7C6-9R5B</t>
  </si>
  <si>
    <t>ECE5</t>
  </si>
  <si>
    <t>EC45</t>
  </si>
  <si>
    <t>205/65R15</t>
  </si>
  <si>
    <t>94H</t>
  </si>
  <si>
    <t>R0084SHL</t>
  </si>
  <si>
    <t>11479</t>
  </si>
  <si>
    <t>ST-105BA</t>
  </si>
  <si>
    <t>IL-AZ390-12</t>
  </si>
  <si>
    <t>PL-1B725DD1</t>
  </si>
  <si>
    <t>15-90</t>
  </si>
  <si>
    <t>ECE6</t>
  </si>
  <si>
    <t>EC46</t>
  </si>
  <si>
    <t>215/55R16</t>
  </si>
  <si>
    <t>93V</t>
  </si>
  <si>
    <t>R0089SVL</t>
  </si>
  <si>
    <t>14829</t>
  </si>
  <si>
    <t>ST-103BA</t>
  </si>
  <si>
    <t>PL-1B675DD2</t>
  </si>
  <si>
    <t>RK-B7D9-6E4B</t>
  </si>
  <si>
    <t>G4</t>
  </si>
  <si>
    <t>BC-16E4B</t>
  </si>
  <si>
    <t>ECE7</t>
  </si>
  <si>
    <t>30.09.2026</t>
  </si>
  <si>
    <t>EC47</t>
  </si>
  <si>
    <t>R0095SVL</t>
  </si>
  <si>
    <t>12933</t>
  </si>
  <si>
    <t>ST-102BF</t>
  </si>
  <si>
    <t>PL-1C605DD3</t>
  </si>
  <si>
    <t>RK-B7B6-7Q4F</t>
  </si>
  <si>
    <t>ECE8</t>
  </si>
  <si>
    <t>EC48</t>
  </si>
  <si>
    <t>R0171XVL</t>
  </si>
  <si>
    <t>60667</t>
  </si>
  <si>
    <t>ST-159BA</t>
  </si>
  <si>
    <t>PL-1B655DD4</t>
  </si>
  <si>
    <t>RK-B7C6-8R4B</t>
  </si>
  <si>
    <t>ECE9</t>
  </si>
  <si>
    <t>EC49</t>
  </si>
  <si>
    <t>255/50R19</t>
  </si>
  <si>
    <t>107H XL</t>
  </si>
  <si>
    <t>R0176XHL</t>
  </si>
  <si>
    <t>48295</t>
  </si>
  <si>
    <t>SS-164AB</t>
  </si>
  <si>
    <t>PL-1C610NQ7</t>
  </si>
  <si>
    <t>PL-2C510DN3T</t>
  </si>
  <si>
    <t>RK-B7D9-9T5B</t>
  </si>
  <si>
    <t>19-30</t>
  </si>
  <si>
    <t>PL-2C510DN3X</t>
  </si>
  <si>
    <t>ECF5</t>
  </si>
  <si>
    <t>EC55</t>
  </si>
  <si>
    <t>195/60R15</t>
  </si>
  <si>
    <t>195/60</t>
  </si>
  <si>
    <t>R0085SHL</t>
  </si>
  <si>
    <t>9635</t>
  </si>
  <si>
    <t>ST-044BA</t>
  </si>
  <si>
    <t>PL-1B655DD1</t>
  </si>
  <si>
    <t>RK-B7B6-5E3F</t>
  </si>
  <si>
    <t>15-80</t>
  </si>
  <si>
    <t>ECF6</t>
  </si>
  <si>
    <t>EC56</t>
  </si>
  <si>
    <t>225/70R16</t>
  </si>
  <si>
    <t>225/70</t>
  </si>
  <si>
    <t>103H</t>
  </si>
  <si>
    <t>R0092SHL</t>
  </si>
  <si>
    <t>11304</t>
  </si>
  <si>
    <t>ST-110AC</t>
  </si>
  <si>
    <t>PL-1B650NQ2</t>
  </si>
  <si>
    <t>PL-2B525DN3</t>
  </si>
  <si>
    <t>RK-B7D9-6F5B</t>
  </si>
  <si>
    <t>W1B1Y1</t>
  </si>
  <si>
    <t>BC-16F5B</t>
  </si>
  <si>
    <t>ECF7</t>
  </si>
  <si>
    <t>EC57</t>
  </si>
  <si>
    <t>R0096SVL</t>
  </si>
  <si>
    <t>12932</t>
  </si>
  <si>
    <t>PL-1B700DD2</t>
  </si>
  <si>
    <t>RK-B7E6-7R4B</t>
  </si>
  <si>
    <t>ECG5</t>
  </si>
  <si>
    <t>EC65</t>
  </si>
  <si>
    <t>185/55R15</t>
  </si>
  <si>
    <t>185/55</t>
  </si>
  <si>
    <t>86V XL</t>
  </si>
  <si>
    <t>R0167XVL</t>
  </si>
  <si>
    <t>79080</t>
  </si>
  <si>
    <t>SS-155BB</t>
  </si>
  <si>
    <t>IL-AZ320-12</t>
  </si>
  <si>
    <t>PL-1B455QD2T</t>
  </si>
  <si>
    <t>CK-B7A0-5D3B</t>
  </si>
  <si>
    <t>G2</t>
  </si>
  <si>
    <t>15-50</t>
  </si>
  <si>
    <t>BC-15D3B</t>
  </si>
  <si>
    <t>PL-1B455QD2X</t>
  </si>
  <si>
    <t>ECG6</t>
  </si>
  <si>
    <t>03,04,2026</t>
  </si>
  <si>
    <t>EC66</t>
  </si>
  <si>
    <t>195/55R16</t>
  </si>
  <si>
    <t>195/55</t>
  </si>
  <si>
    <t>91V XL</t>
  </si>
  <si>
    <t>R0168XVL</t>
  </si>
  <si>
    <t>11319</t>
  </si>
  <si>
    <t>SS-156BA</t>
  </si>
  <si>
    <t>PL-1B495QD1T</t>
  </si>
  <si>
    <t>CK-B7B1-6E4B</t>
  </si>
  <si>
    <t>16-70</t>
  </si>
  <si>
    <t>PL-1B495QD1X</t>
  </si>
  <si>
    <t>ECG7</t>
  </si>
  <si>
    <t>EC67</t>
  </si>
  <si>
    <t>103H XL</t>
  </si>
  <si>
    <t>R0099XHL</t>
  </si>
  <si>
    <t>11418</t>
  </si>
  <si>
    <t>SS-107BC</t>
  </si>
  <si>
    <t>PL-1B585ND1</t>
  </si>
  <si>
    <t>PL-2B500DN4T</t>
  </si>
  <si>
    <t>CK-B7C2-7U4B</t>
  </si>
  <si>
    <t>B1R1B2</t>
  </si>
  <si>
    <t>BC-17U4B</t>
  </si>
  <si>
    <t>PL-2B500DN4X</t>
  </si>
  <si>
    <t>ECH6</t>
  </si>
  <si>
    <t>EC76</t>
  </si>
  <si>
    <t>99H XL</t>
  </si>
  <si>
    <t>R0170XHL</t>
  </si>
  <si>
    <t>60468</t>
  </si>
  <si>
    <t>ST-158BA</t>
  </si>
  <si>
    <t>PL-1D570QD1</t>
  </si>
  <si>
    <t>16-100</t>
  </si>
  <si>
    <t>ECH7</t>
  </si>
  <si>
    <t>EC77</t>
  </si>
  <si>
    <t>R0100SHL</t>
  </si>
  <si>
    <t>11313</t>
  </si>
  <si>
    <t>ST-108AB</t>
  </si>
  <si>
    <t>IL-AZ490-12</t>
  </si>
  <si>
    <t>PL-1B735DQ1</t>
  </si>
  <si>
    <t>PL-2B685DN1</t>
  </si>
  <si>
    <t>2HHCT0</t>
  </si>
  <si>
    <t>ECI6</t>
  </si>
  <si>
    <t>03.04.2026</t>
  </si>
  <si>
    <t>EC86</t>
  </si>
  <si>
    <t>215/60R16</t>
  </si>
  <si>
    <t>R0172XHL</t>
  </si>
  <si>
    <t>22798</t>
  </si>
  <si>
    <t>ST-092BA</t>
  </si>
  <si>
    <t>PL-1C570ND2</t>
  </si>
  <si>
    <t>PL-2C470QN6</t>
  </si>
  <si>
    <t>ECI7</t>
  </si>
  <si>
    <t>27.03.2026</t>
  </si>
  <si>
    <t>EC87</t>
  </si>
  <si>
    <t>93V XL</t>
  </si>
  <si>
    <t>R0169XVL</t>
  </si>
  <si>
    <t>16798</t>
  </si>
  <si>
    <t>SS-157BB</t>
  </si>
  <si>
    <t>PL-1B485DD4T</t>
  </si>
  <si>
    <t>PL-1B485DD4X</t>
  </si>
  <si>
    <t>ECJ7</t>
  </si>
  <si>
    <t>EC97</t>
  </si>
  <si>
    <t>100H XL</t>
  </si>
  <si>
    <t>R0173XHL</t>
  </si>
  <si>
    <t>34510</t>
  </si>
  <si>
    <t>ST-161BA</t>
  </si>
  <si>
    <t>PL-1C560ND5</t>
  </si>
  <si>
    <t>PL-2C460QN3</t>
  </si>
  <si>
    <t>FSA0</t>
  </si>
  <si>
    <t>25.06.2026</t>
  </si>
  <si>
    <t>FS00</t>
  </si>
  <si>
    <t>105V XL</t>
  </si>
  <si>
    <t>RUN TOUR</t>
  </si>
  <si>
    <t>E0228</t>
  </si>
  <si>
    <t>13726</t>
  </si>
  <si>
    <t>PL-1C545NQ3</t>
  </si>
  <si>
    <t>PL-2C480QN9</t>
  </si>
  <si>
    <t>RK-B9C6-0T4C</t>
  </si>
  <si>
    <t>B1Y2B1</t>
  </si>
  <si>
    <t>BC-20T4C</t>
  </si>
  <si>
    <t>F</t>
  </si>
  <si>
    <t>FSA4</t>
  </si>
  <si>
    <t>27.08.2026</t>
  </si>
  <si>
    <t>FS04</t>
  </si>
  <si>
    <t>86H XL</t>
  </si>
  <si>
    <t>R0003XHL</t>
  </si>
  <si>
    <t>10494</t>
  </si>
  <si>
    <t>ST-001BA</t>
  </si>
  <si>
    <t>PL-1B475DQ7</t>
  </si>
  <si>
    <t>RK-B7H6-4D3F</t>
  </si>
  <si>
    <t>W1Y2W1</t>
  </si>
  <si>
    <t>14-80</t>
  </si>
  <si>
    <t>-1/+2</t>
  </si>
  <si>
    <t>BC-14D3F</t>
  </si>
  <si>
    <t>FSA5</t>
  </si>
  <si>
    <t>16.09.2026</t>
  </si>
  <si>
    <t>FS05</t>
  </si>
  <si>
    <t>95H XL</t>
  </si>
  <si>
    <t>R0007XHL</t>
  </si>
  <si>
    <t>10495</t>
  </si>
  <si>
    <t>ST-004BA</t>
  </si>
  <si>
    <t>PL-1C680DD1</t>
  </si>
  <si>
    <t>CK-B7B1-5D3F</t>
  </si>
  <si>
    <t>FSA6</t>
  </si>
  <si>
    <t>FS06</t>
  </si>
  <si>
    <t>96H XL</t>
  </si>
  <si>
    <t>R0009XHL</t>
  </si>
  <si>
    <t>10501</t>
  </si>
  <si>
    <t>ST-002BA</t>
  </si>
  <si>
    <t>PL-1C675DD1</t>
  </si>
  <si>
    <t>CK-B7A0-6D4F</t>
  </si>
  <si>
    <t>B1Y1</t>
  </si>
  <si>
    <t>BC-16D4F</t>
  </si>
  <si>
    <t>FSA7</t>
  </si>
  <si>
    <t>FS07</t>
  </si>
  <si>
    <t>98V XL</t>
  </si>
  <si>
    <t>R0011XVL</t>
  </si>
  <si>
    <t>13221</t>
  </si>
  <si>
    <t>ST-045AD</t>
  </si>
  <si>
    <t>PL-1B655DQ1</t>
  </si>
  <si>
    <t>CK-B7B1-7Q4B</t>
  </si>
  <si>
    <t>B2G1</t>
  </si>
  <si>
    <t>BC-17Q4B</t>
  </si>
  <si>
    <t>FSA8</t>
  </si>
  <si>
    <t>28.04.2026</t>
  </si>
  <si>
    <t>FS08</t>
  </si>
  <si>
    <t>E0224</t>
  </si>
  <si>
    <t>16701</t>
  </si>
  <si>
    <t>ST-197BA</t>
  </si>
  <si>
    <t>PL-1C610ND3</t>
  </si>
  <si>
    <t>PL-2C505QN3</t>
  </si>
  <si>
    <t>RK-B7E6-8T4B</t>
  </si>
  <si>
    <t>FSA9</t>
  </si>
  <si>
    <t>24.06.2026</t>
  </si>
  <si>
    <t>Check tire</t>
  </si>
  <si>
    <t>FS09</t>
  </si>
  <si>
    <t>E0223</t>
  </si>
  <si>
    <t>33662</t>
  </si>
  <si>
    <t>ST-199AA</t>
  </si>
  <si>
    <t>PL-1C570NQ4</t>
  </si>
  <si>
    <t>PL-2C490QN5</t>
  </si>
  <si>
    <t>19-40</t>
  </si>
  <si>
    <t>FSB0</t>
  </si>
  <si>
    <t>02.07.2026</t>
  </si>
  <si>
    <t>FS10</t>
  </si>
  <si>
    <t>E0227</t>
  </si>
  <si>
    <t>36995</t>
  </si>
  <si>
    <t>ST-202AA</t>
  </si>
  <si>
    <t>PL-1C575NQ5</t>
  </si>
  <si>
    <t>PL-2C500QN6</t>
  </si>
  <si>
    <t>20-50</t>
  </si>
  <si>
    <t>FSB4</t>
  </si>
  <si>
    <t>012</t>
  </si>
  <si>
    <t>FS14</t>
  </si>
  <si>
    <t>86S XL</t>
  </si>
  <si>
    <t>R0002XSL</t>
  </si>
  <si>
    <t>10493</t>
  </si>
  <si>
    <t>ST-057BA</t>
  </si>
  <si>
    <t>PL-1B460DQ5</t>
  </si>
  <si>
    <t>CK-B7S0-4D3F</t>
  </si>
  <si>
    <t>FSB5</t>
  </si>
  <si>
    <t>18.05.2026</t>
  </si>
  <si>
    <t>FS15</t>
  </si>
  <si>
    <t>92S XL</t>
  </si>
  <si>
    <t>R0005XSL</t>
  </si>
  <si>
    <t>10496</t>
  </si>
  <si>
    <t>ST-005BA</t>
  </si>
  <si>
    <t>PL-1C640DD1</t>
  </si>
  <si>
    <t>RK-B7B6-5D3F</t>
  </si>
  <si>
    <t>FSB6</t>
  </si>
  <si>
    <t>28.08.2026</t>
  </si>
  <si>
    <t>FS16</t>
  </si>
  <si>
    <t>94V XL</t>
  </si>
  <si>
    <t>R0008XVL</t>
  </si>
  <si>
    <t>10499</t>
  </si>
  <si>
    <t>ST-003BA</t>
  </si>
  <si>
    <t>PL-1B645DD7</t>
  </si>
  <si>
    <t>RK-B7B6-6D4F</t>
  </si>
  <si>
    <t>FSB7</t>
  </si>
  <si>
    <t>21.09.2026</t>
  </si>
  <si>
    <t>FS17</t>
  </si>
  <si>
    <t>116H XL</t>
  </si>
  <si>
    <t>R0230XHL</t>
  </si>
  <si>
    <t>77097</t>
  </si>
  <si>
    <t>ST-187AD</t>
  </si>
  <si>
    <t>IL-AZ495-12</t>
  </si>
  <si>
    <t>PL-1B715NQ3</t>
  </si>
  <si>
    <t>PL-2B590DN1</t>
  </si>
  <si>
    <t>RK-B7G8-7U4F</t>
  </si>
  <si>
    <t>FSB8</t>
  </si>
  <si>
    <t>FS18</t>
  </si>
  <si>
    <t>E0220</t>
  </si>
  <si>
    <t>39580</t>
  </si>
  <si>
    <t>ST-198BB</t>
  </si>
  <si>
    <t>PL-1C555ND1</t>
  </si>
  <si>
    <t>PL-2C465QN9</t>
  </si>
  <si>
    <t>FSB9</t>
  </si>
  <si>
    <t>23.06.2026</t>
  </si>
  <si>
    <t>FS19</t>
  </si>
  <si>
    <t>E0222</t>
  </si>
  <si>
    <t>34360</t>
  </si>
  <si>
    <t>ST-201AA</t>
  </si>
  <si>
    <t>PL-1B685DQ2</t>
  </si>
  <si>
    <t>FSC0</t>
  </si>
  <si>
    <t>30.06.2026</t>
  </si>
  <si>
    <t>FS20</t>
  </si>
  <si>
    <t>E0229</t>
  </si>
  <si>
    <t>83231</t>
  </si>
  <si>
    <t>ST-228AB</t>
  </si>
  <si>
    <t>PL-1C595NQ4</t>
  </si>
  <si>
    <t>PL-2C505QN6</t>
  </si>
  <si>
    <t>RK-B9D6-0T4C</t>
  </si>
  <si>
    <t>20-70</t>
  </si>
  <si>
    <t>FSC5</t>
  </si>
  <si>
    <t>FS25</t>
  </si>
  <si>
    <t>88H XL</t>
  </si>
  <si>
    <t>R0004XHL</t>
  </si>
  <si>
    <t>10498</t>
  </si>
  <si>
    <t>ST-039BA</t>
  </si>
  <si>
    <t>PL-1C610DD1</t>
  </si>
  <si>
    <t>CK-B7A0-5D3F</t>
  </si>
  <si>
    <t>FSC6</t>
  </si>
  <si>
    <t>017</t>
  </si>
  <si>
    <t>016</t>
  </si>
  <si>
    <t>FS26</t>
  </si>
  <si>
    <t>102H XL</t>
  </si>
  <si>
    <t>R0010XHL</t>
  </si>
  <si>
    <t>10500</t>
  </si>
  <si>
    <t>ST-054BA</t>
  </si>
  <si>
    <t>PL-1B740DD2</t>
  </si>
  <si>
    <t>CK-B7C2-6D4F</t>
  </si>
  <si>
    <t>FSC7</t>
  </si>
  <si>
    <t>FS27</t>
  </si>
  <si>
    <t>R0151XVL</t>
  </si>
  <si>
    <t>40279</t>
  </si>
  <si>
    <t>ST-189BC</t>
  </si>
  <si>
    <t>PL-1C605DD2</t>
  </si>
  <si>
    <t>FSC8</t>
  </si>
  <si>
    <t>29.06.2026</t>
  </si>
  <si>
    <t>FS28</t>
  </si>
  <si>
    <t>109H XL</t>
  </si>
  <si>
    <t>E0158</t>
  </si>
  <si>
    <t>95237</t>
  </si>
  <si>
    <t>ST-204BA</t>
  </si>
  <si>
    <t>PL-1C640ND1</t>
  </si>
  <si>
    <t>PL-2C530QN4</t>
  </si>
  <si>
    <t>18-30</t>
  </si>
  <si>
    <t>FSC9</t>
  </si>
  <si>
    <t>16.07.2026</t>
  </si>
  <si>
    <t>FS29</t>
  </si>
  <si>
    <t>E0221</t>
  </si>
  <si>
    <t>15601</t>
  </si>
  <si>
    <t>ST-213AA</t>
  </si>
  <si>
    <t>PL-1C550NQ4</t>
  </si>
  <si>
    <t>PL-2C460QN7</t>
  </si>
  <si>
    <t>FSD0</t>
  </si>
  <si>
    <t>01.07.2026</t>
  </si>
  <si>
    <t>FS30</t>
  </si>
  <si>
    <t>255/55R20</t>
  </si>
  <si>
    <t>110V XL</t>
  </si>
  <si>
    <t>E0231</t>
  </si>
  <si>
    <t>37679</t>
  </si>
  <si>
    <t>ST-205AA</t>
  </si>
  <si>
    <t>IL-AZ440-12</t>
  </si>
  <si>
    <t>PL-1C630NQ2</t>
  </si>
  <si>
    <t>PL-2C530QN3</t>
  </si>
  <si>
    <t>RK-B7E6-0T4F</t>
  </si>
  <si>
    <t>FSD5</t>
  </si>
  <si>
    <t>FS35</t>
  </si>
  <si>
    <t>195/55R15</t>
  </si>
  <si>
    <t>89H XL</t>
  </si>
  <si>
    <t>R0006XHL</t>
  </si>
  <si>
    <t>10497</t>
  </si>
  <si>
    <t>ST-053AC</t>
  </si>
  <si>
    <t>PL-1C610DQ2</t>
  </si>
  <si>
    <t>FSD6</t>
  </si>
  <si>
    <t>FS36</t>
  </si>
  <si>
    <t>97V XL</t>
  </si>
  <si>
    <t>R0215XVL</t>
  </si>
  <si>
    <t>36792</t>
  </si>
  <si>
    <t>ST-190BB</t>
  </si>
  <si>
    <t>PL-1B675DD3</t>
  </si>
  <si>
    <t>FSD7</t>
  </si>
  <si>
    <t>FS37</t>
  </si>
  <si>
    <t>R0217XHL</t>
  </si>
  <si>
    <t>67946</t>
  </si>
  <si>
    <t>ST-192BA</t>
  </si>
  <si>
    <t>PL-1C560ND6</t>
  </si>
  <si>
    <t>PL-2C460QN2</t>
  </si>
  <si>
    <t>RK-B7D9-7T4F</t>
  </si>
  <si>
    <t>FSD8</t>
  </si>
  <si>
    <t>06.07.2026</t>
  </si>
  <si>
    <t>FS38</t>
  </si>
  <si>
    <t>E0152</t>
  </si>
  <si>
    <t>99544</t>
  </si>
  <si>
    <t>ST-102BB</t>
  </si>
  <si>
    <t>PL-1C595DD2</t>
  </si>
  <si>
    <t>RK-B7B6-8Q4F</t>
  </si>
  <si>
    <t>FSE0</t>
  </si>
  <si>
    <t>FS40</t>
  </si>
  <si>
    <t>E0226</t>
  </si>
  <si>
    <t>90862</t>
  </si>
  <si>
    <t>SS-214AA</t>
  </si>
  <si>
    <t>PL-1C520NQ2</t>
  </si>
  <si>
    <t>PL-2C455QN6T</t>
  </si>
  <si>
    <t>RK-B9B6-0T4C</t>
  </si>
  <si>
    <t>PL-2C455QN6X</t>
  </si>
  <si>
    <t>FSE5</t>
  </si>
  <si>
    <t>FS45</t>
  </si>
  <si>
    <t>R0213XHL</t>
  </si>
  <si>
    <t>39333</t>
  </si>
  <si>
    <t>ST-188BB</t>
  </si>
  <si>
    <t>PL-1C575ND3</t>
  </si>
  <si>
    <t>PL-2C465QN3</t>
  </si>
  <si>
    <t>RK-B7E6-5F4F</t>
  </si>
  <si>
    <t>B1R1B1</t>
  </si>
  <si>
    <t>BC-15F4F</t>
  </si>
  <si>
    <t>FSE6</t>
  </si>
  <si>
    <t>12.10.2026</t>
  </si>
  <si>
    <t>FS46</t>
  </si>
  <si>
    <t>R0214XHL</t>
  </si>
  <si>
    <t>93320</t>
  </si>
  <si>
    <t>ST-191BC</t>
  </si>
  <si>
    <t>PL-1C560ND7</t>
  </si>
  <si>
    <t>PL-2C460QN5</t>
  </si>
  <si>
    <t>RK-B7E6-6F4F</t>
  </si>
  <si>
    <t>FSE7</t>
  </si>
  <si>
    <t>FS47</t>
  </si>
  <si>
    <t>R0218XVL</t>
  </si>
  <si>
    <t>30871</t>
  </si>
  <si>
    <t>ST-193BA</t>
  </si>
  <si>
    <t>PL-1B590DD3</t>
  </si>
  <si>
    <t>RK-B7B6-7R4F</t>
  </si>
  <si>
    <t>FSE8</t>
  </si>
  <si>
    <t>07.07.2026</t>
  </si>
  <si>
    <t>FS48</t>
  </si>
  <si>
    <t>E0153</t>
  </si>
  <si>
    <t>15533</t>
  </si>
  <si>
    <t>ST-208BA</t>
  </si>
  <si>
    <t>PL-1B665DD2</t>
  </si>
  <si>
    <t>RK-B7C6-8R4F</t>
  </si>
  <si>
    <t>B2R1</t>
  </si>
  <si>
    <t>BC-18R4F</t>
  </si>
  <si>
    <t>FSF5</t>
  </si>
  <si>
    <t>FS55</t>
  </si>
  <si>
    <t>R0150XVL</t>
  </si>
  <si>
    <t>26631</t>
  </si>
  <si>
    <t>ST-206BB</t>
  </si>
  <si>
    <t>PL-1B585DD4</t>
  </si>
  <si>
    <t>FSF6</t>
  </si>
  <si>
    <t>20.10.2026</t>
  </si>
  <si>
    <t>FS56</t>
  </si>
  <si>
    <t>R0216XHL</t>
  </si>
  <si>
    <t>10907</t>
  </si>
  <si>
    <t>ST-194BA</t>
  </si>
  <si>
    <t>RK-B7B6-6F4F</t>
  </si>
  <si>
    <t>FSF7</t>
  </si>
  <si>
    <t>FS57</t>
  </si>
  <si>
    <t>R0219XVL</t>
  </si>
  <si>
    <t>24054</t>
  </si>
  <si>
    <t>ST-195BB</t>
  </si>
  <si>
    <t>PL-1B670DD1</t>
  </si>
  <si>
    <t>FSF8</t>
  </si>
  <si>
    <t>FS58</t>
  </si>
  <si>
    <t>104H XL</t>
  </si>
  <si>
    <t>E0154</t>
  </si>
  <si>
    <t>13972</t>
  </si>
  <si>
    <t>ST-209BA</t>
  </si>
  <si>
    <t>PL-1C575ND7</t>
  </si>
  <si>
    <t>PL-2C480QN8</t>
  </si>
  <si>
    <t>FSG7</t>
  </si>
  <si>
    <t>FS67</t>
  </si>
  <si>
    <t>108H XL</t>
  </si>
  <si>
    <t>R0225XHL</t>
  </si>
  <si>
    <t>91539</t>
  </si>
  <si>
    <t>ST-196BC</t>
  </si>
  <si>
    <t>PL-1B635ND1</t>
  </si>
  <si>
    <t>PL-2B515QN1</t>
  </si>
  <si>
    <t>RK-B7E6-7U4F</t>
  </si>
  <si>
    <t>17-30</t>
  </si>
  <si>
    <t>FSG8</t>
  </si>
  <si>
    <t>FS68</t>
  </si>
  <si>
    <t>E0156</t>
  </si>
  <si>
    <t>39099</t>
  </si>
  <si>
    <t>ST-211BA</t>
  </si>
  <si>
    <t>PL-1B615DD1</t>
  </si>
  <si>
    <t>RK-B7B6-8R4F</t>
  </si>
  <si>
    <t>FSH7</t>
  </si>
  <si>
    <t>15.10.2026</t>
  </si>
  <si>
    <t>FS77</t>
  </si>
  <si>
    <t>106H XL</t>
  </si>
  <si>
    <t>R0155XHL</t>
  </si>
  <si>
    <t>75244</t>
  </si>
  <si>
    <t>ST-210BB</t>
  </si>
  <si>
    <t>PL-1C595ND2</t>
  </si>
  <si>
    <t>PL-2C500QN8</t>
  </si>
  <si>
    <t>RK-B7C6-7T4F</t>
  </si>
  <si>
    <t>FSH8</t>
  </si>
  <si>
    <t>14.07.2026</t>
  </si>
  <si>
    <t>FS78</t>
  </si>
  <si>
    <t>104V XL</t>
  </si>
  <si>
    <t>E0157</t>
  </si>
  <si>
    <t>97000</t>
  </si>
  <si>
    <t>ST-252BA</t>
  </si>
  <si>
    <t>PL-1C570ND4</t>
  </si>
  <si>
    <t>PL-2C480QN7</t>
  </si>
  <si>
    <t>FT-6</t>
  </si>
  <si>
    <t>4.03.2024</t>
  </si>
  <si>
    <t>Фадеев Владимир</t>
  </si>
  <si>
    <t>Подшивалов Павел</t>
  </si>
  <si>
    <t>FT49</t>
  </si>
  <si>
    <t>91 T</t>
  </si>
  <si>
    <t>WC7SPZ</t>
  </si>
  <si>
    <t>102492ST</t>
  </si>
  <si>
    <t>13718</t>
  </si>
  <si>
    <t>ST-004CH</t>
  </si>
  <si>
    <t>IL-AZ350-13</t>
  </si>
  <si>
    <t>PL-1B635NQ1</t>
  </si>
  <si>
    <t>CK-B7C2-6D4B</t>
  </si>
  <si>
    <t>G1</t>
  </si>
  <si>
    <t>BC-16D4B</t>
  </si>
  <si>
    <t>GTA0</t>
  </si>
  <si>
    <t>GT00</t>
  </si>
  <si>
    <t>245/40R20</t>
  </si>
  <si>
    <t>GRVT</t>
  </si>
  <si>
    <t>E0181</t>
  </si>
  <si>
    <t>54327</t>
  </si>
  <si>
    <t>SS-236AE</t>
  </si>
  <si>
    <t>PL-1C470NQ1</t>
  </si>
  <si>
    <t>PL-2C425QN1T</t>
  </si>
  <si>
    <t>RK-B7S6-0T5B</t>
  </si>
  <si>
    <t>PL-2C425QN1X</t>
  </si>
  <si>
    <t>G</t>
  </si>
  <si>
    <t>GTA9</t>
  </si>
  <si>
    <t>GT09</t>
  </si>
  <si>
    <t>113H XL</t>
  </si>
  <si>
    <t>GRVTSV</t>
  </si>
  <si>
    <t>R0188XHL</t>
  </si>
  <si>
    <t>93172</t>
  </si>
  <si>
    <t>ST-235AE</t>
  </si>
  <si>
    <t>PL-1C665NQ3</t>
  </si>
  <si>
    <t>PL-2C540QN2</t>
  </si>
  <si>
    <t>RK-B7C6-9T5B</t>
  </si>
  <si>
    <t>GTB0</t>
  </si>
  <si>
    <t>29.09.2026</t>
  </si>
  <si>
    <t>GT10</t>
  </si>
  <si>
    <t>105W XL</t>
  </si>
  <si>
    <t>R0184XWL</t>
  </si>
  <si>
    <t>99641</t>
  </si>
  <si>
    <t>ST-238AG</t>
  </si>
  <si>
    <t>PL-1C550NQ5</t>
  </si>
  <si>
    <t>PL-2C470QN5</t>
  </si>
  <si>
    <t>RK-B7C6-0T5B</t>
  </si>
  <si>
    <t>GTB9</t>
  </si>
  <si>
    <t>GT19</t>
  </si>
  <si>
    <t>R0180XVL</t>
  </si>
  <si>
    <t>12529</t>
  </si>
  <si>
    <t>ST-237AC</t>
  </si>
  <si>
    <t>PL-1C590NQ3</t>
  </si>
  <si>
    <t>PL-2C485QN3</t>
  </si>
  <si>
    <t>GTC0</t>
  </si>
  <si>
    <t>GT20</t>
  </si>
  <si>
    <t>R0183XVL</t>
  </si>
  <si>
    <t>73603</t>
  </si>
  <si>
    <t>ST-240AB</t>
  </si>
  <si>
    <t>PL-1C590DQ2</t>
  </si>
  <si>
    <t>PL-2C555QN4</t>
  </si>
  <si>
    <t>GTC9</t>
  </si>
  <si>
    <t>02.10.2026</t>
  </si>
  <si>
    <t>GT29</t>
  </si>
  <si>
    <t>R0179XVL</t>
  </si>
  <si>
    <t>43149</t>
  </si>
  <si>
    <t>ST-239AD</t>
  </si>
  <si>
    <t>PL-1C565NQ5</t>
  </si>
  <si>
    <t>PL-2C475DN3</t>
  </si>
  <si>
    <t>GTD0</t>
  </si>
  <si>
    <t>GT30</t>
  </si>
  <si>
    <t>R0185XVL</t>
  </si>
  <si>
    <t>59758</t>
  </si>
  <si>
    <t>ST-241AD</t>
  </si>
  <si>
    <t>PL-1C625DQ3</t>
  </si>
  <si>
    <t>PL-2C590DN2</t>
  </si>
  <si>
    <t>GTD9</t>
  </si>
  <si>
    <t>GT39</t>
  </si>
  <si>
    <t>111H XL</t>
  </si>
  <si>
    <t>R0186XHL</t>
  </si>
  <si>
    <t>93329</t>
  </si>
  <si>
    <t>ST-243AC</t>
  </si>
  <si>
    <t>PL-1C645DQ3</t>
  </si>
  <si>
    <t>PL-2C605QN1</t>
  </si>
  <si>
    <t>GTE0</t>
  </si>
  <si>
    <t>01.09.2026</t>
  </si>
  <si>
    <t>GT40</t>
  </si>
  <si>
    <t>R0182XVL</t>
  </si>
  <si>
    <t>18291</t>
  </si>
  <si>
    <t>ST-242AD</t>
  </si>
  <si>
    <t>PL-1C530NQ3</t>
  </si>
  <si>
    <t>PL-2C450QN3</t>
  </si>
  <si>
    <t>GTE9</t>
  </si>
  <si>
    <t>16.06.2026</t>
  </si>
  <si>
    <t>GT49</t>
  </si>
  <si>
    <t>R0178XVL</t>
  </si>
  <si>
    <t>14423</t>
  </si>
  <si>
    <t>ST-244AB</t>
  </si>
  <si>
    <t>PL-1C570NQ3</t>
  </si>
  <si>
    <t>PL-2C470QN4</t>
  </si>
  <si>
    <t>GTF0</t>
  </si>
  <si>
    <t>07,10,2026</t>
  </si>
  <si>
    <t>GT50</t>
  </si>
  <si>
    <t>R0187XVL</t>
  </si>
  <si>
    <t>71534</t>
  </si>
  <si>
    <t>ST-246AB</t>
  </si>
  <si>
    <t>PL-1C645DQ5</t>
  </si>
  <si>
    <t>PL-2C600QN2</t>
  </si>
  <si>
    <t>GTF9</t>
  </si>
  <si>
    <t>21.05.2026</t>
  </si>
  <si>
    <t>GT59</t>
  </si>
  <si>
    <t>E0177</t>
  </si>
  <si>
    <t>28929</t>
  </si>
  <si>
    <t>SS-245AA</t>
  </si>
  <si>
    <t>PL-1B465NQ1T</t>
  </si>
  <si>
    <t>RK-B7A6-9R4B</t>
  </si>
  <si>
    <t>PL-1B465NQ1X</t>
  </si>
  <si>
    <t>ICA4</t>
  </si>
  <si>
    <t>IC04</t>
  </si>
  <si>
    <t>175/70R14</t>
  </si>
  <si>
    <t>175/70</t>
  </si>
  <si>
    <t>84T</t>
  </si>
  <si>
    <t>SM7000</t>
  </si>
  <si>
    <t>R0027STZ</t>
  </si>
  <si>
    <t>14130</t>
  </si>
  <si>
    <t>ST-017AB</t>
  </si>
  <si>
    <t>PL-1B510DQ6</t>
  </si>
  <si>
    <t>I</t>
  </si>
  <si>
    <t>ICA5</t>
  </si>
  <si>
    <t>17.07.2026</t>
  </si>
  <si>
    <t>IC05</t>
  </si>
  <si>
    <t>R0019STZ</t>
  </si>
  <si>
    <t>14132</t>
  </si>
  <si>
    <t>ST-016BA</t>
  </si>
  <si>
    <t>PL-1B480DD7</t>
  </si>
  <si>
    <t>CK-B7D4-5D3F</t>
  </si>
  <si>
    <t>ICA6</t>
  </si>
  <si>
    <t>014</t>
  </si>
  <si>
    <t>013</t>
  </si>
  <si>
    <t>IC06</t>
  </si>
  <si>
    <t>98T</t>
  </si>
  <si>
    <t>R0018STZ</t>
  </si>
  <si>
    <t>13720</t>
  </si>
  <si>
    <t>ST-019BA</t>
  </si>
  <si>
    <t>PL-1B735DD1</t>
  </si>
  <si>
    <t>RK-B7D9-6D4F</t>
  </si>
  <si>
    <t>ICA7</t>
  </si>
  <si>
    <t>08.09.2026</t>
  </si>
  <si>
    <t>IC07</t>
  </si>
  <si>
    <t>102T</t>
  </si>
  <si>
    <t>R0022STZ</t>
  </si>
  <si>
    <t>13717</t>
  </si>
  <si>
    <t>ST-015BA</t>
  </si>
  <si>
    <t>PL-1B620DD1</t>
  </si>
  <si>
    <t>PL-2B595DN1</t>
  </si>
  <si>
    <t>ICA8</t>
  </si>
  <si>
    <t>19.06.2026</t>
  </si>
  <si>
    <t>IC08</t>
  </si>
  <si>
    <t>102T XL</t>
  </si>
  <si>
    <t>R0209XTZ</t>
  </si>
  <si>
    <t>92247</t>
  </si>
  <si>
    <t>SS-184BA</t>
  </si>
  <si>
    <t>PL-1B550DD3T</t>
  </si>
  <si>
    <t>CK-B7B1-8R4F</t>
  </si>
  <si>
    <t>PL-1B550DD3X</t>
  </si>
  <si>
    <t>ICB4</t>
  </si>
  <si>
    <t>09.07.2026</t>
  </si>
  <si>
    <t>IC14</t>
  </si>
  <si>
    <t>82T</t>
  </si>
  <si>
    <t>R0016STZ</t>
  </si>
  <si>
    <t>14129</t>
  </si>
  <si>
    <t>SS-023BA</t>
  </si>
  <si>
    <t>IL-AZ340-12</t>
  </si>
  <si>
    <t>PL-1B490QD3T</t>
  </si>
  <si>
    <t>CK-B7D4-4D3F</t>
  </si>
  <si>
    <t>PL-1B490QD3X</t>
  </si>
  <si>
    <t>ICB5</t>
  </si>
  <si>
    <t>IC15</t>
  </si>
  <si>
    <t>91T</t>
  </si>
  <si>
    <t>R0017STZ</t>
  </si>
  <si>
    <t>13722</t>
  </si>
  <si>
    <t>ST-027BA</t>
  </si>
  <si>
    <t>PL-1B550QD2</t>
  </si>
  <si>
    <t>CK-B7F2-5D3F</t>
  </si>
  <si>
    <t>ICB6</t>
  </si>
  <si>
    <t>IC16</t>
  </si>
  <si>
    <t>R0015STZ</t>
  </si>
  <si>
    <t>ST-021BA</t>
  </si>
  <si>
    <t>PL-1B635DD1</t>
  </si>
  <si>
    <t>CK-B7B1-6D4F</t>
  </si>
  <si>
    <t>ICB7</t>
  </si>
  <si>
    <t>IC17</t>
  </si>
  <si>
    <t>108T XL</t>
  </si>
  <si>
    <t>R0012XTZ</t>
  </si>
  <si>
    <t>14135</t>
  </si>
  <si>
    <t>ST-022AA</t>
  </si>
  <si>
    <t>PL-1B645DQ2</t>
  </si>
  <si>
    <t>PL-2B620DN1</t>
  </si>
  <si>
    <t>RK-B7L7-7T5B</t>
  </si>
  <si>
    <t>ICC4</t>
  </si>
  <si>
    <t>IC24</t>
  </si>
  <si>
    <t>R0014STZ</t>
  </si>
  <si>
    <t>14126</t>
  </si>
  <si>
    <t>SS-026BA</t>
  </si>
  <si>
    <t>PL-1B485QD5T</t>
  </si>
  <si>
    <t>RK-B7E6-4D3F</t>
  </si>
  <si>
    <t>PL-1B485QD5X</t>
  </si>
  <si>
    <t>ICC5</t>
  </si>
  <si>
    <t>24.07.2026</t>
  </si>
  <si>
    <t>Кадиров Павел</t>
  </si>
  <si>
    <t>IC25</t>
  </si>
  <si>
    <t>88T</t>
  </si>
  <si>
    <t>R0013STZ</t>
  </si>
  <si>
    <t>13721</t>
  </si>
  <si>
    <t>SS-028BA</t>
  </si>
  <si>
    <t>PL-1B510ND1T</t>
  </si>
  <si>
    <t>RK-B7D9-5D3F</t>
  </si>
  <si>
    <t>PL-1B510ND1X</t>
  </si>
  <si>
    <t>ICC6</t>
  </si>
  <si>
    <t>17.06.2026</t>
  </si>
  <si>
    <t>IC26</t>
  </si>
  <si>
    <t>95T</t>
  </si>
  <si>
    <t>R0024STZ</t>
  </si>
  <si>
    <t>14133</t>
  </si>
  <si>
    <t>ST-025BA</t>
  </si>
  <si>
    <t>PL-1B720DD4</t>
  </si>
  <si>
    <t>RK-B7F9-6D4F</t>
  </si>
  <si>
    <t>ICC7</t>
  </si>
  <si>
    <t>IC27</t>
  </si>
  <si>
    <t>99T</t>
  </si>
  <si>
    <t>R0031STZ</t>
  </si>
  <si>
    <t>14136</t>
  </si>
  <si>
    <t>SS-024AA</t>
  </si>
  <si>
    <t>PL-1C570NQ2</t>
  </si>
  <si>
    <t>PL-2C485DN2T</t>
  </si>
  <si>
    <t>CK-B7D4-7S4B</t>
  </si>
  <si>
    <t>W2G1</t>
  </si>
  <si>
    <t>17-50</t>
  </si>
  <si>
    <t>BC-17S4B</t>
  </si>
  <si>
    <t>PL-2C485DN2X</t>
  </si>
  <si>
    <t>ICD4</t>
  </si>
  <si>
    <t>08.06.2026</t>
  </si>
  <si>
    <t>IC34</t>
  </si>
  <si>
    <t>86T</t>
  </si>
  <si>
    <t>R0021STZ</t>
  </si>
  <si>
    <t>14127</t>
  </si>
  <si>
    <t>SS-032BA</t>
  </si>
  <si>
    <t>PL-1B515QD2T</t>
  </si>
  <si>
    <t>RK-B7F9-4D3F</t>
  </si>
  <si>
    <t>PL-1B515QD2X</t>
  </si>
  <si>
    <t>ICD5</t>
  </si>
  <si>
    <t>IC35</t>
  </si>
  <si>
    <t>R0025STZ</t>
  </si>
  <si>
    <t>16578</t>
  </si>
  <si>
    <t>ST-030BA</t>
  </si>
  <si>
    <t>PL-1B510DD3</t>
  </si>
  <si>
    <t>CK-B7C2-5D4F</t>
  </si>
  <si>
    <t>Y2</t>
  </si>
  <si>
    <t>15-70</t>
  </si>
  <si>
    <t>BC-15D4F</t>
  </si>
  <si>
    <t>ICD6</t>
  </si>
  <si>
    <t>04.06.2026</t>
  </si>
  <si>
    <t>IC36</t>
  </si>
  <si>
    <t>92T</t>
  </si>
  <si>
    <t>R0020STZ</t>
  </si>
  <si>
    <t>13719</t>
  </si>
  <si>
    <t>ST-031BA</t>
  </si>
  <si>
    <t>PL-1C685DD1</t>
  </si>
  <si>
    <t>RK-B7F9-6D3F</t>
  </si>
  <si>
    <t>G2W1G1</t>
  </si>
  <si>
    <t>16-30</t>
  </si>
  <si>
    <t>BC-16D3F</t>
  </si>
  <si>
    <t>ICD7</t>
  </si>
  <si>
    <t>27.04.2026</t>
  </si>
  <si>
    <t>IC37</t>
  </si>
  <si>
    <t>R0026STZ</t>
  </si>
  <si>
    <t>14134</t>
  </si>
  <si>
    <t>SS-029AC</t>
  </si>
  <si>
    <t>PL-1C595DQ4</t>
  </si>
  <si>
    <t>PL-2C570DN5T</t>
  </si>
  <si>
    <t>RK-B7F9-7S5B</t>
  </si>
  <si>
    <t>17-40</t>
  </si>
  <si>
    <t>2HHC00</t>
  </si>
  <si>
    <t>PL-2C570DN5X</t>
  </si>
  <si>
    <t>ICE4</t>
  </si>
  <si>
    <t>24.08.2026</t>
  </si>
  <si>
    <t>IC44</t>
  </si>
  <si>
    <t>185/70R14</t>
  </si>
  <si>
    <t>185/70</t>
  </si>
  <si>
    <t>R0023STZ</t>
  </si>
  <si>
    <t>14128</t>
  </si>
  <si>
    <t>ST-034BA</t>
  </si>
  <si>
    <t>PL-1B540QD2</t>
  </si>
  <si>
    <t>ICE5</t>
  </si>
  <si>
    <t>05.03.2026</t>
  </si>
  <si>
    <t>IC45</t>
  </si>
  <si>
    <t>94T</t>
  </si>
  <si>
    <t>R0029STZ</t>
  </si>
  <si>
    <t>14131</t>
  </si>
  <si>
    <t>ST-033AC</t>
  </si>
  <si>
    <t>PL-1B565DQ2</t>
  </si>
  <si>
    <t>RK-B7G8-5D3F</t>
  </si>
  <si>
    <t>ICE6</t>
  </si>
  <si>
    <t>IC46</t>
  </si>
  <si>
    <t>91T XL</t>
  </si>
  <si>
    <t>R0030XTZ</t>
  </si>
  <si>
    <t>17700</t>
  </si>
  <si>
    <t>SS-049BA</t>
  </si>
  <si>
    <t>PL-1D490DD1T</t>
  </si>
  <si>
    <t>CK-B7A0-6D3F</t>
  </si>
  <si>
    <t>PL-1D490DD1X</t>
  </si>
  <si>
    <t>ICE7</t>
  </si>
  <si>
    <t>IC47</t>
  </si>
  <si>
    <t>93T XL</t>
  </si>
  <si>
    <t>R0028XTZ</t>
  </si>
  <si>
    <t>17699</t>
  </si>
  <si>
    <t>SS-050AA</t>
  </si>
  <si>
    <t>PL-1D485DQ2T</t>
  </si>
  <si>
    <t>CK-B7A0-7Q3F</t>
  </si>
  <si>
    <t>PL-1D485DQ2X</t>
  </si>
  <si>
    <t>ICF5</t>
  </si>
  <si>
    <t>10.07.2026</t>
  </si>
  <si>
    <t>IC55</t>
  </si>
  <si>
    <t>89T XL</t>
  </si>
  <si>
    <t>R0199XTZ</t>
  </si>
  <si>
    <t>11591</t>
  </si>
  <si>
    <t>SS-174BB</t>
  </si>
  <si>
    <t>PL-1B480ND1T</t>
  </si>
  <si>
    <t>CK-B7A0-5E3F</t>
  </si>
  <si>
    <t>PL-1B480ND1X</t>
  </si>
  <si>
    <t>ICF6</t>
  </si>
  <si>
    <t>IC56</t>
  </si>
  <si>
    <t>97T XL</t>
  </si>
  <si>
    <t>R0202XTZ</t>
  </si>
  <si>
    <t>53407</t>
  </si>
  <si>
    <t>SS-073BA</t>
  </si>
  <si>
    <t>PL-1B520DD3T</t>
  </si>
  <si>
    <t>CK-B7A0-6E4F</t>
  </si>
  <si>
    <t>PL-1B520DD3X</t>
  </si>
  <si>
    <t>ICF7</t>
  </si>
  <si>
    <t>10.08.2026</t>
  </si>
  <si>
    <t>IC57</t>
  </si>
  <si>
    <t>116T XL</t>
  </si>
  <si>
    <t>R0212XTZ</t>
  </si>
  <si>
    <t>75084</t>
  </si>
  <si>
    <t>ST-173BA</t>
  </si>
  <si>
    <t>IL-AZ510-12</t>
  </si>
  <si>
    <t>PL-1B720ND2</t>
  </si>
  <si>
    <t>PL-2B580DN4</t>
  </si>
  <si>
    <t>RK-B7E6-7U5B</t>
  </si>
  <si>
    <t>ICG5</t>
  </si>
  <si>
    <t>05.06.2026</t>
  </si>
  <si>
    <t>IC65</t>
  </si>
  <si>
    <t>100T XL</t>
  </si>
  <si>
    <t>R0200XTZ</t>
  </si>
  <si>
    <t>41495</t>
  </si>
  <si>
    <t>ST-175BA</t>
  </si>
  <si>
    <t>PL-1C585ND3</t>
  </si>
  <si>
    <t>PL-2C480DN4</t>
  </si>
  <si>
    <t>RK-B7C6-5F4F</t>
  </si>
  <si>
    <t>ICG6</t>
  </si>
  <si>
    <t>15.07.2026</t>
  </si>
  <si>
    <t>IC66</t>
  </si>
  <si>
    <t>104T XL</t>
  </si>
  <si>
    <t>R0205XTZ</t>
  </si>
  <si>
    <t>92886</t>
  </si>
  <si>
    <t>ST-180BA</t>
  </si>
  <si>
    <t>PL-1C625DD3</t>
  </si>
  <si>
    <t>PL-2C580QN1</t>
  </si>
  <si>
    <t>ICG7</t>
  </si>
  <si>
    <t>21.08.2026</t>
  </si>
  <si>
    <t>IC67</t>
  </si>
  <si>
    <t>95T XL</t>
  </si>
  <si>
    <t>R0201XTZ</t>
  </si>
  <si>
    <t>10359</t>
  </si>
  <si>
    <t>SS-176BE</t>
  </si>
  <si>
    <t>PL-1B495DD1T</t>
  </si>
  <si>
    <t>PL-1B495DD1X</t>
  </si>
  <si>
    <t>ICH6</t>
  </si>
  <si>
    <t>IC76</t>
  </si>
  <si>
    <t>235/70R16</t>
  </si>
  <si>
    <t>235/70</t>
  </si>
  <si>
    <t>E0210</t>
  </si>
  <si>
    <t>44253</t>
  </si>
  <si>
    <t>ST-185AG</t>
  </si>
  <si>
    <t>IL-AZ465-15</t>
  </si>
  <si>
    <t>PL-1B670DQ2</t>
  </si>
  <si>
    <t>PL-2B630DN3</t>
  </si>
  <si>
    <t>RK-B7B6-6H4F</t>
  </si>
  <si>
    <t>R1B1Y1R1</t>
  </si>
  <si>
    <t>BC-16H4F</t>
  </si>
  <si>
    <t>ICH7</t>
  </si>
  <si>
    <t>IC77</t>
  </si>
  <si>
    <t>98T XL</t>
  </si>
  <si>
    <t>R0203XTZ</t>
  </si>
  <si>
    <t>90124</t>
  </si>
  <si>
    <t>SS-178BC</t>
  </si>
  <si>
    <t>PL-1B520DD1T</t>
  </si>
  <si>
    <t>CK-B7A0-7Q4F</t>
  </si>
  <si>
    <t>PL-1B520DD1X</t>
  </si>
  <si>
    <t>ICI6</t>
  </si>
  <si>
    <t>IC86</t>
  </si>
  <si>
    <t>245/70R16</t>
  </si>
  <si>
    <t>245/70</t>
  </si>
  <si>
    <t>R0211XTZ</t>
  </si>
  <si>
    <t>94765</t>
  </si>
  <si>
    <t>ST-186AB</t>
  </si>
  <si>
    <t>PL-1B690NQ3</t>
  </si>
  <si>
    <t>PL-2B575DN2</t>
  </si>
  <si>
    <t>NB16-700SN</t>
  </si>
  <si>
    <t>16-60</t>
  </si>
  <si>
    <t>ICI7</t>
  </si>
  <si>
    <t>IC87</t>
  </si>
  <si>
    <t>R0204XTZ</t>
  </si>
  <si>
    <t>94750</t>
  </si>
  <si>
    <t>PL-1B555QD1</t>
  </si>
  <si>
    <t>ICJ7</t>
  </si>
  <si>
    <t>IC97</t>
  </si>
  <si>
    <t>R0206XTZ</t>
  </si>
  <si>
    <t>59835</t>
  </si>
  <si>
    <t>SS-181BA</t>
  </si>
  <si>
    <t>PL-1B480DD5T</t>
  </si>
  <si>
    <t>PL-1B480DD5X</t>
  </si>
  <si>
    <t>IMA7</t>
  </si>
  <si>
    <t>22.06.2026</t>
  </si>
  <si>
    <t>IM07</t>
  </si>
  <si>
    <t>R0207XTZ</t>
  </si>
  <si>
    <t>69244</t>
  </si>
  <si>
    <t>SS-072BB</t>
  </si>
  <si>
    <t>PL-1B525DD3T</t>
  </si>
  <si>
    <t>PL-1B525DD3X</t>
  </si>
  <si>
    <t>IMB7</t>
  </si>
  <si>
    <t>IM17</t>
  </si>
  <si>
    <t>101T XL</t>
  </si>
  <si>
    <t>R0208XTZ</t>
  </si>
  <si>
    <t>95917</t>
  </si>
  <si>
    <t>SS-183BA</t>
  </si>
  <si>
    <t>PL-1B545DD1T</t>
  </si>
  <si>
    <t>CK-B7B1-7R4F</t>
  </si>
  <si>
    <t>PL-1B545DD1X</t>
  </si>
  <si>
    <t>NVA8</t>
  </si>
  <si>
    <t>NV08</t>
  </si>
  <si>
    <t>99T XL</t>
  </si>
  <si>
    <t>One W</t>
  </si>
  <si>
    <t>E0244</t>
  </si>
  <si>
    <t>69328</t>
  </si>
  <si>
    <t>ST-259BA</t>
  </si>
  <si>
    <t>PL-1B520QD3</t>
  </si>
  <si>
    <t>N</t>
  </si>
  <si>
    <t>NVA9</t>
  </si>
  <si>
    <t>NV09</t>
  </si>
  <si>
    <t>E0265</t>
  </si>
  <si>
    <t>93051</t>
  </si>
  <si>
    <t>ST-287AA</t>
  </si>
  <si>
    <t>PL-1B635DQ1</t>
  </si>
  <si>
    <t>NVB8</t>
  </si>
  <si>
    <t>NV18</t>
  </si>
  <si>
    <t>225/40R18</t>
  </si>
  <si>
    <t>225/40</t>
  </si>
  <si>
    <t>92T XL</t>
  </si>
  <si>
    <t>E0247</t>
  </si>
  <si>
    <t>73629</t>
  </si>
  <si>
    <t>ST-272BB</t>
  </si>
  <si>
    <t>PL-1C545DD1</t>
  </si>
  <si>
    <t>NVB9</t>
  </si>
  <si>
    <t>NV19</t>
  </si>
  <si>
    <t>275/35R19</t>
  </si>
  <si>
    <t>275/35</t>
  </si>
  <si>
    <t>E0282</t>
  </si>
  <si>
    <t>78310</t>
  </si>
  <si>
    <t>ST-288AA</t>
  </si>
  <si>
    <t>PL-1C610DQ6</t>
  </si>
  <si>
    <t>RK-B7A6-9Q5B</t>
  </si>
  <si>
    <t>B2Y1R1</t>
  </si>
  <si>
    <t>BC-19Q5B</t>
  </si>
  <si>
    <t>NVC8</t>
  </si>
  <si>
    <t>NV28</t>
  </si>
  <si>
    <t>107T XL</t>
  </si>
  <si>
    <t>E0259</t>
  </si>
  <si>
    <t>39759</t>
  </si>
  <si>
    <t>ST-278BA</t>
  </si>
  <si>
    <t>PL-1C605ND2</t>
  </si>
  <si>
    <t>PL-2C495QN4</t>
  </si>
  <si>
    <t>RK-B7C6-8T4F</t>
  </si>
  <si>
    <t>NVD8</t>
  </si>
  <si>
    <t>24.09.2026</t>
  </si>
  <si>
    <t>NV38</t>
  </si>
  <si>
    <t>245/60R18</t>
  </si>
  <si>
    <t>245/60</t>
  </si>
  <si>
    <t>E0270</t>
  </si>
  <si>
    <t>89857</t>
  </si>
  <si>
    <t>ST-281BB</t>
  </si>
  <si>
    <t>PL-1C640ND2</t>
  </si>
  <si>
    <t>PL-2C520QN2</t>
  </si>
  <si>
    <t>RK-B7D9-8T5B</t>
  </si>
  <si>
    <t>NVE8</t>
  </si>
  <si>
    <t>NV48</t>
  </si>
  <si>
    <t>E0288</t>
  </si>
  <si>
    <t>46267</t>
  </si>
  <si>
    <t>ST-283AB</t>
  </si>
  <si>
    <t>PL-1B740NQ4</t>
  </si>
  <si>
    <t>PL-2B600DN3</t>
  </si>
  <si>
    <t>RK-B9E6-8U4C</t>
  </si>
  <si>
    <t>NVF8</t>
  </si>
  <si>
    <t>NV58</t>
  </si>
  <si>
    <t>114T XL</t>
  </si>
  <si>
    <t>E0280</t>
  </si>
  <si>
    <t>98901</t>
  </si>
  <si>
    <t>ST-286BA</t>
  </si>
  <si>
    <t>PL-1B685ND1</t>
  </si>
  <si>
    <t>PL-2B565DN2</t>
  </si>
  <si>
    <t>NVG8</t>
  </si>
  <si>
    <t>NV68</t>
  </si>
  <si>
    <t>E0264</t>
  </si>
  <si>
    <t>62368</t>
  </si>
  <si>
    <t>ST-291BC</t>
  </si>
  <si>
    <t>PL-1B635DD2</t>
  </si>
  <si>
    <t>RK-B7A6-8R4F</t>
  </si>
  <si>
    <t>NWA0</t>
  </si>
  <si>
    <t>NW00</t>
  </si>
  <si>
    <t>R0272XTZ</t>
  </si>
  <si>
    <t>60222</t>
  </si>
  <si>
    <t>ST-263AA</t>
  </si>
  <si>
    <t>PL-1C540NQ4</t>
  </si>
  <si>
    <t>RK-B7A6-0T5B</t>
  </si>
  <si>
    <t>NWA6</t>
  </si>
  <si>
    <t>01.10.2025</t>
  </si>
  <si>
    <t>NW06</t>
  </si>
  <si>
    <t>ONE W</t>
  </si>
  <si>
    <t>XT111OW</t>
  </si>
  <si>
    <t>Z8626</t>
  </si>
  <si>
    <t>ST-081BB</t>
  </si>
  <si>
    <t>PL-1B525ND1</t>
  </si>
  <si>
    <t>NWA7</t>
  </si>
  <si>
    <t>06.05.2026</t>
  </si>
  <si>
    <t>NW07</t>
  </si>
  <si>
    <t>E0246</t>
  </si>
  <si>
    <t>34358</t>
  </si>
  <si>
    <t>ST-247BA</t>
  </si>
  <si>
    <t>PL-1C575ND5</t>
  </si>
  <si>
    <t>PL-2C470QN2</t>
  </si>
  <si>
    <t>RK-B7C6-7T4B</t>
  </si>
  <si>
    <t>NWA8</t>
  </si>
  <si>
    <t>NW08</t>
  </si>
  <si>
    <t>R0261XTZ</t>
  </si>
  <si>
    <t>35569</t>
  </si>
  <si>
    <t>SS-249BA</t>
  </si>
  <si>
    <t>PL-1B490DD2T</t>
  </si>
  <si>
    <t>CK-B7S0-8R4F</t>
  </si>
  <si>
    <t>PL-1B490DD2X</t>
  </si>
  <si>
    <t>NWA9</t>
  </si>
  <si>
    <t>13.05.2026</t>
  </si>
  <si>
    <t>NW09</t>
  </si>
  <si>
    <t>255/45R19</t>
  </si>
  <si>
    <t>E0271</t>
  </si>
  <si>
    <t>19407</t>
  </si>
  <si>
    <t>ST-256AA</t>
  </si>
  <si>
    <t>PL-1C535NQ2</t>
  </si>
  <si>
    <t>PL-2C455QN3</t>
  </si>
  <si>
    <t>RK-B7B6-9T4B</t>
  </si>
  <si>
    <t>NWB0</t>
  </si>
  <si>
    <t>NW10</t>
  </si>
  <si>
    <t>R0273XTZ</t>
  </si>
  <si>
    <t>35514</t>
  </si>
  <si>
    <t>ST-264AA</t>
  </si>
  <si>
    <t>PL-1C585NQ7</t>
  </si>
  <si>
    <t>PL-2C490QN4</t>
  </si>
  <si>
    <t>NWB6</t>
  </si>
  <si>
    <t>14.10.2026</t>
  </si>
  <si>
    <t>NW16</t>
  </si>
  <si>
    <t>E0245</t>
  </si>
  <si>
    <t>74426</t>
  </si>
  <si>
    <t>ST-289BA</t>
  </si>
  <si>
    <t>PL-1C565ND4</t>
  </si>
  <si>
    <t>PL-2C460QN8</t>
  </si>
  <si>
    <t>NWB7</t>
  </si>
  <si>
    <t>03.08.2026</t>
  </si>
  <si>
    <t>NW17</t>
  </si>
  <si>
    <t>E0248</t>
  </si>
  <si>
    <t>22333</t>
  </si>
  <si>
    <t>SS-248BD</t>
  </si>
  <si>
    <t>PL-1B475DD2T</t>
  </si>
  <si>
    <t>CK-B7S0-7R4F</t>
  </si>
  <si>
    <t>PL-1B475DD2X</t>
  </si>
  <si>
    <t>NWB8</t>
  </si>
  <si>
    <t>NW18</t>
  </si>
  <si>
    <t>R0254XTZ</t>
  </si>
  <si>
    <t>12708</t>
  </si>
  <si>
    <t>ST-251BC</t>
  </si>
  <si>
    <t>PL-1B540DD1</t>
  </si>
  <si>
    <t>NWB9</t>
  </si>
  <si>
    <t>13.07.2026</t>
  </si>
  <si>
    <t>NW19</t>
  </si>
  <si>
    <t>265/50R19</t>
  </si>
  <si>
    <t>265/50</t>
  </si>
  <si>
    <t>110T XL</t>
  </si>
  <si>
    <t>E0277</t>
  </si>
  <si>
    <t>89527</t>
  </si>
  <si>
    <t>ST-260AA</t>
  </si>
  <si>
    <t>PL-1C605NQ4</t>
  </si>
  <si>
    <t>PL-2C500QN3</t>
  </si>
  <si>
    <t>RK-B7B6-9T5B</t>
  </si>
  <si>
    <t>NWC0</t>
  </si>
  <si>
    <t>23.09.2026</t>
  </si>
  <si>
    <t>NW20</t>
  </si>
  <si>
    <t>R0287XTZ</t>
  </si>
  <si>
    <t>41606</t>
  </si>
  <si>
    <t>ST-265AB</t>
  </si>
  <si>
    <t>PL-1C655NQ3</t>
  </si>
  <si>
    <t>PL-2C550QN3</t>
  </si>
  <si>
    <t>RK-B9B6-0U4C</t>
  </si>
  <si>
    <t>W3R1</t>
  </si>
  <si>
    <t>BC-20U4C</t>
  </si>
  <si>
    <t>NWC7</t>
  </si>
  <si>
    <t>08.05.2026</t>
  </si>
  <si>
    <t>NW27</t>
  </si>
  <si>
    <t>E0253</t>
  </si>
  <si>
    <t>87616</t>
  </si>
  <si>
    <t>ST-250BA</t>
  </si>
  <si>
    <t>PL-1B550DD4</t>
  </si>
  <si>
    <t>RK-B7B6-7R4B</t>
  </si>
  <si>
    <t>NWC8</t>
  </si>
  <si>
    <t>NW28</t>
  </si>
  <si>
    <t>R0255XTZ</t>
  </si>
  <si>
    <t>10151</t>
  </si>
  <si>
    <t>PL-1C575ND6</t>
  </si>
  <si>
    <t>PL-2C480QN4</t>
  </si>
  <si>
    <t>NWC9</t>
  </si>
  <si>
    <t>NW29</t>
  </si>
  <si>
    <t>R0275XTZ</t>
  </si>
  <si>
    <t>21392</t>
  </si>
  <si>
    <t>ST-261AB</t>
  </si>
  <si>
    <t>PL-1C610NQB</t>
  </si>
  <si>
    <t>PL-2C505QN4</t>
  </si>
  <si>
    <t>NWD0</t>
  </si>
  <si>
    <t>16.10.2026</t>
  </si>
  <si>
    <t>NW30</t>
  </si>
  <si>
    <t>285/45R20</t>
  </si>
  <si>
    <t>285/45</t>
  </si>
  <si>
    <t>112T XL</t>
  </si>
  <si>
    <t>R0286XTZ</t>
  </si>
  <si>
    <t>19022</t>
  </si>
  <si>
    <t>ST-269AC</t>
  </si>
  <si>
    <t>PL-1C605NQ3</t>
  </si>
  <si>
    <t>PL-2C510QN5</t>
  </si>
  <si>
    <t>NWD7</t>
  </si>
  <si>
    <t>NW37</t>
  </si>
  <si>
    <t>R0251XTZ</t>
  </si>
  <si>
    <t>61817</t>
  </si>
  <si>
    <t>ST-255BA</t>
  </si>
  <si>
    <t>PL-1B520DD4</t>
  </si>
  <si>
    <t>NWD8</t>
  </si>
  <si>
    <t>NW38</t>
  </si>
  <si>
    <t>E0260</t>
  </si>
  <si>
    <t>17261</t>
  </si>
  <si>
    <t>ST-253BA</t>
  </si>
  <si>
    <t>PL-1C630ND3</t>
  </si>
  <si>
    <t>PL-2C515QN3</t>
  </si>
  <si>
    <t>NWD9</t>
  </si>
  <si>
    <t>10,09,2026</t>
  </si>
  <si>
    <t>NW39</t>
  </si>
  <si>
    <t>275/40R19</t>
  </si>
  <si>
    <t>275/40</t>
  </si>
  <si>
    <t>E0283</t>
  </si>
  <si>
    <t>50442</t>
  </si>
  <si>
    <t>ST-262AB</t>
  </si>
  <si>
    <t>PL-1B670DQ3</t>
  </si>
  <si>
    <t>NWE0</t>
  </si>
  <si>
    <t>NW40</t>
  </si>
  <si>
    <t>E0263</t>
  </si>
  <si>
    <t>36464</t>
  </si>
  <si>
    <t>SS-275AA</t>
  </si>
  <si>
    <t>PL-1C480NQ2</t>
  </si>
  <si>
    <t>PL-2C425DN1T</t>
  </si>
  <si>
    <t>RK-B7S6-0T4F</t>
  </si>
  <si>
    <t>PL-2C425DN1X</t>
  </si>
  <si>
    <t>NWE7</t>
  </si>
  <si>
    <t>NW47</t>
  </si>
  <si>
    <t>E0281</t>
  </si>
  <si>
    <t>71507</t>
  </si>
  <si>
    <t>ST-282AB</t>
  </si>
  <si>
    <t>PL-1B715NQ4</t>
  </si>
  <si>
    <t>PL-2B575DN3</t>
  </si>
  <si>
    <t>RK-B9E6-7U4C</t>
  </si>
  <si>
    <t>R1B2Y1</t>
  </si>
  <si>
    <t>BC-17U4C</t>
  </si>
  <si>
    <t>NWE8</t>
  </si>
  <si>
    <t>NW48</t>
  </si>
  <si>
    <t>R0249XTZ</t>
  </si>
  <si>
    <t>74267</t>
  </si>
  <si>
    <t>SS-254BA</t>
  </si>
  <si>
    <t>PL-1B470DD2T</t>
  </si>
  <si>
    <t>CK-B7A0-8R4F</t>
  </si>
  <si>
    <t>PL-1B470DD2X</t>
  </si>
  <si>
    <t>NWE9</t>
  </si>
  <si>
    <t>NW49</t>
  </si>
  <si>
    <t>R0258XTZ</t>
  </si>
  <si>
    <t>47176</t>
  </si>
  <si>
    <t>ST-266AA</t>
  </si>
  <si>
    <t>PL-1C530NQ7</t>
  </si>
  <si>
    <t>RK-B7A6-9T4F</t>
  </si>
  <si>
    <t>NWF0</t>
  </si>
  <si>
    <t>03.09.2026</t>
  </si>
  <si>
    <t>NW50</t>
  </si>
  <si>
    <t>265/50R20</t>
  </si>
  <si>
    <t>E0278</t>
  </si>
  <si>
    <t>67673</t>
  </si>
  <si>
    <t>ST-276AA</t>
  </si>
  <si>
    <t>PL-1C610NQA</t>
  </si>
  <si>
    <t>PL-2C510QN4</t>
  </si>
  <si>
    <t>NWF8</t>
  </si>
  <si>
    <t>NW58</t>
  </si>
  <si>
    <t>E0274</t>
  </si>
  <si>
    <t>22984</t>
  </si>
  <si>
    <t>ST-257BA</t>
  </si>
  <si>
    <t>PL-1C620ND2</t>
  </si>
  <si>
    <t>PL-2C515QN4</t>
  </si>
  <si>
    <t>NWF9</t>
  </si>
  <si>
    <t>28.07.2026</t>
  </si>
  <si>
    <t>NW59</t>
  </si>
  <si>
    <t>245/50R19</t>
  </si>
  <si>
    <t>E0267</t>
  </si>
  <si>
    <t>59875</t>
  </si>
  <si>
    <t>ST-269AA</t>
  </si>
  <si>
    <t>PL-1C565NQ4</t>
  </si>
  <si>
    <t>PL-2C480DN5</t>
  </si>
  <si>
    <t>RK-B7B6-9T4F</t>
  </si>
  <si>
    <t>NWG0</t>
  </si>
  <si>
    <t>NW60</t>
  </si>
  <si>
    <t>275/50R20</t>
  </si>
  <si>
    <t>275/50</t>
  </si>
  <si>
    <t>E0284</t>
  </si>
  <si>
    <t>72396</t>
  </si>
  <si>
    <t>ST-277AA</t>
  </si>
  <si>
    <t>PL-1C635NQ4</t>
  </si>
  <si>
    <t>PL-2C530QN5</t>
  </si>
  <si>
    <t>20-40</t>
  </si>
  <si>
    <t>NWG8</t>
  </si>
  <si>
    <t>NW68</t>
  </si>
  <si>
    <t>R0252XTZ</t>
  </si>
  <si>
    <t>82045</t>
  </si>
  <si>
    <t>ST-258BB</t>
  </si>
  <si>
    <t>PL-1B515DD4</t>
  </si>
  <si>
    <t>NWG9</t>
  </si>
  <si>
    <t>06.08.2026</t>
  </si>
  <si>
    <t>NW69</t>
  </si>
  <si>
    <t>E0250</t>
  </si>
  <si>
    <t>89431</t>
  </si>
  <si>
    <t>PL-1B475NQ2T</t>
  </si>
  <si>
    <t>PL-1B475NQ2X</t>
  </si>
  <si>
    <t>NWH0</t>
  </si>
  <si>
    <t>NW70</t>
  </si>
  <si>
    <t>E0268</t>
  </si>
  <si>
    <t>82227</t>
  </si>
  <si>
    <t>ST-279AA</t>
  </si>
  <si>
    <t>PL-1C580NQB</t>
  </si>
  <si>
    <t>PL-2C485DNC</t>
  </si>
  <si>
    <t>NWH8</t>
  </si>
  <si>
    <t>NW78</t>
  </si>
  <si>
    <t>E0257</t>
  </si>
  <si>
    <t>10423</t>
  </si>
  <si>
    <t>PL-1C545ND1</t>
  </si>
  <si>
    <t>PL-2C455QN4</t>
  </si>
  <si>
    <t>RK-B7B6-8T4B</t>
  </si>
  <si>
    <t>NWH9</t>
  </si>
  <si>
    <t>NW79</t>
  </si>
  <si>
    <t>245/40R19</t>
  </si>
  <si>
    <t>E0262</t>
  </si>
  <si>
    <t>47743</t>
  </si>
  <si>
    <t>SS-274AA</t>
  </si>
  <si>
    <t>PL-1B480DQ3T</t>
  </si>
  <si>
    <t>PL-1B480DQ3X</t>
  </si>
  <si>
    <t>NWI0</t>
  </si>
  <si>
    <t>NW80</t>
  </si>
  <si>
    <t>E0276</t>
  </si>
  <si>
    <t>14627</t>
  </si>
  <si>
    <t>ST-284AA</t>
  </si>
  <si>
    <t>PL-1C630NQ3</t>
  </si>
  <si>
    <t>PL-2C525QN2</t>
  </si>
  <si>
    <t>NWI8</t>
  </si>
  <si>
    <t>18.09.2026</t>
  </si>
  <si>
    <t>NW88</t>
  </si>
  <si>
    <t>R0256XTZ</t>
  </si>
  <si>
    <t>78367</t>
  </si>
  <si>
    <t>SS-043BB</t>
  </si>
  <si>
    <t>PL-1B490DD3T</t>
  </si>
  <si>
    <t>PL-1B490DD3X</t>
  </si>
  <si>
    <t>NWI9</t>
  </si>
  <si>
    <t>NW89</t>
  </si>
  <si>
    <t>E0269</t>
  </si>
  <si>
    <t>10504</t>
  </si>
  <si>
    <t>ST-280AA</t>
  </si>
  <si>
    <t>PL-1C605NQ6</t>
  </si>
  <si>
    <t>PL-2C505QN7</t>
  </si>
  <si>
    <t>NWJ0</t>
  </si>
  <si>
    <t>NW90</t>
  </si>
  <si>
    <t>275/55R20</t>
  </si>
  <si>
    <t>275/55</t>
  </si>
  <si>
    <t>117T XL</t>
  </si>
  <si>
    <t>E0285</t>
  </si>
  <si>
    <t>24609</t>
  </si>
  <si>
    <t>ST-290AB</t>
  </si>
  <si>
    <t>PL-1C675NQ6</t>
  </si>
  <si>
    <t>PL-2C550QN4</t>
  </si>
  <si>
    <t>NWJ8</t>
  </si>
  <si>
    <t>NW98</t>
  </si>
  <si>
    <t>245/50R18</t>
  </si>
  <si>
    <t>E0266</t>
  </si>
  <si>
    <t>85949</t>
  </si>
  <si>
    <t>ST-268BA</t>
  </si>
  <si>
    <t>PL-1C585ND4</t>
  </si>
  <si>
    <t>PL-2C485QN5</t>
  </si>
  <si>
    <t>NWJ9</t>
  </si>
  <si>
    <t>NW99</t>
  </si>
  <si>
    <t>E0279</t>
  </si>
  <si>
    <t>76570</t>
  </si>
  <si>
    <t>ST-285AA</t>
  </si>
  <si>
    <t>PL-1C650NQ5</t>
  </si>
  <si>
    <t>PL-2C540QN3</t>
  </si>
  <si>
    <t>RK-B9D6-9T4C</t>
  </si>
  <si>
    <t>R1</t>
  </si>
  <si>
    <t>BC-19T4C</t>
  </si>
  <si>
    <t>PCA6</t>
  </si>
  <si>
    <t>25.07.2024</t>
  </si>
  <si>
    <t>PC06</t>
  </si>
  <si>
    <t>PRCTRL</t>
  </si>
  <si>
    <t>11111</t>
  </si>
  <si>
    <t>ST-063BC</t>
  </si>
  <si>
    <t>PL-1B510DD2</t>
  </si>
  <si>
    <t>RK-B7H6-6E3B</t>
  </si>
  <si>
    <t>P</t>
  </si>
  <si>
    <t>SCA8</t>
  </si>
  <si>
    <t>20.05.2026</t>
  </si>
  <si>
    <t>SC08</t>
  </si>
  <si>
    <t>SControl</t>
  </si>
  <si>
    <t>R0073XTZ</t>
  </si>
  <si>
    <t>56115</t>
  </si>
  <si>
    <t>SS-075BA</t>
  </si>
  <si>
    <t>PL-1D515DD2T</t>
  </si>
  <si>
    <t>PL-1D515DD2X</t>
  </si>
  <si>
    <t>S</t>
  </si>
  <si>
    <t>SCB8</t>
  </si>
  <si>
    <t>19.09.2025</t>
  </si>
  <si>
    <t>SC18</t>
  </si>
  <si>
    <t>SConSUV</t>
  </si>
  <si>
    <t>R0075XTZ</t>
  </si>
  <si>
    <t>33003</t>
  </si>
  <si>
    <t>SS-101BA</t>
  </si>
  <si>
    <t>IL-AZ455-13</t>
  </si>
  <si>
    <t>PL-1B640ND1</t>
  </si>
  <si>
    <t>PL-2B530QN1T</t>
  </si>
  <si>
    <t>CK-B7B1-8U4B</t>
  </si>
  <si>
    <t>R1B1R1</t>
  </si>
  <si>
    <t>BC-18U4B</t>
  </si>
  <si>
    <t>PL-2B530QN1X</t>
  </si>
  <si>
    <t>SCC8</t>
  </si>
  <si>
    <t>08.09.2025</t>
  </si>
  <si>
    <t>SC28</t>
  </si>
  <si>
    <t>R0077XTZ</t>
  </si>
  <si>
    <t>24794</t>
  </si>
  <si>
    <t>IL-AZ440-13</t>
  </si>
  <si>
    <t>PL-1B780DD2</t>
  </si>
  <si>
    <t>SCD8</t>
  </si>
  <si>
    <t>SC38</t>
  </si>
  <si>
    <t>R0164XTZ</t>
  </si>
  <si>
    <t>90980</t>
  </si>
  <si>
    <t>SS-170BA</t>
  </si>
  <si>
    <t>PL-1B585DD2</t>
  </si>
  <si>
    <t>PL-2B540DN2T</t>
  </si>
  <si>
    <t>CK-B7A0-8U4F</t>
  </si>
  <si>
    <t>2HHA00</t>
  </si>
  <si>
    <t>PL-2B540DN2X</t>
  </si>
  <si>
    <t>SPA0</t>
  </si>
  <si>
    <t>09.06.2026</t>
  </si>
  <si>
    <t>SP00</t>
  </si>
  <si>
    <t>R0045XTZ</t>
  </si>
  <si>
    <t>12809</t>
  </si>
  <si>
    <t>SS-038AB</t>
  </si>
  <si>
    <t>PL-1C615NQ5</t>
  </si>
  <si>
    <t>PL-2C510QN2T</t>
  </si>
  <si>
    <t>PL-2C510QN2X</t>
  </si>
  <si>
    <t>SPA4</t>
  </si>
  <si>
    <t>05.08.2026</t>
  </si>
  <si>
    <t>SP04</t>
  </si>
  <si>
    <t>86T XL</t>
  </si>
  <si>
    <t>R0048XTZ</t>
  </si>
  <si>
    <t>28624</t>
  </si>
  <si>
    <t>ST-014BC</t>
  </si>
  <si>
    <t>PL-1B485QD1</t>
  </si>
  <si>
    <t>RK-B7A6-4D3F</t>
  </si>
  <si>
    <t>SPA5</t>
  </si>
  <si>
    <t>SP05</t>
  </si>
  <si>
    <t>R0051STZ</t>
  </si>
  <si>
    <t>12104</t>
  </si>
  <si>
    <t>ST-011BB</t>
  </si>
  <si>
    <t>PL-1B520QD1</t>
  </si>
  <si>
    <t>RK-B7A6-5E3F</t>
  </si>
  <si>
    <t>SPA6</t>
  </si>
  <si>
    <t>SP06</t>
  </si>
  <si>
    <t>R0055XTZ</t>
  </si>
  <si>
    <t>28625</t>
  </si>
  <si>
    <t>SS-010BB</t>
  </si>
  <si>
    <t>PL-1B510DD1U</t>
  </si>
  <si>
    <t>RK-B7A6-6E3F</t>
  </si>
  <si>
    <t>G1R2G1</t>
  </si>
  <si>
    <t>BC-16E3F</t>
  </si>
  <si>
    <t>PL-1B510DD1X</t>
  </si>
  <si>
    <t>SPA7</t>
  </si>
  <si>
    <t>SP07</t>
  </si>
  <si>
    <t>106T XL</t>
  </si>
  <si>
    <t>R0040XTZ</t>
  </si>
  <si>
    <t>12770</t>
  </si>
  <si>
    <t>ST-006BC</t>
  </si>
  <si>
    <t>PL-1B780ND1</t>
  </si>
  <si>
    <t>SPA8</t>
  </si>
  <si>
    <t>13.05.2025</t>
  </si>
  <si>
    <t>SP08</t>
  </si>
  <si>
    <t>R0034XTZ</t>
  </si>
  <si>
    <t>12798</t>
  </si>
  <si>
    <t>ST-018AD</t>
  </si>
  <si>
    <t>IL-AZ505-13</t>
  </si>
  <si>
    <t>PL-1B760DQ2</t>
  </si>
  <si>
    <t>PL-2B725DN1</t>
  </si>
  <si>
    <t>RK-B9B6-8U4C</t>
  </si>
  <si>
    <t>SPA9</t>
  </si>
  <si>
    <t>SP09</t>
  </si>
  <si>
    <t>101T</t>
  </si>
  <si>
    <t>R0044STZ</t>
  </si>
  <si>
    <t>12800</t>
  </si>
  <si>
    <t>ST-007AB</t>
  </si>
  <si>
    <t>PL-1B735DQ2</t>
  </si>
  <si>
    <t>SPB0</t>
  </si>
  <si>
    <t>23.06.2025</t>
  </si>
  <si>
    <t>SP10</t>
  </si>
  <si>
    <t>R0046XTZ</t>
  </si>
  <si>
    <t>12811</t>
  </si>
  <si>
    <t>SS-062AE</t>
  </si>
  <si>
    <t>IL-AZ470-13</t>
  </si>
  <si>
    <t>PL-1B675NQ2</t>
  </si>
  <si>
    <t>PL-2B555DN1T</t>
  </si>
  <si>
    <t>RK-B7F9-0U5B</t>
  </si>
  <si>
    <t>PL-2B555DN1X</t>
  </si>
  <si>
    <t>SPB4</t>
  </si>
  <si>
    <t>06.04.2026</t>
  </si>
  <si>
    <t>SP14</t>
  </si>
  <si>
    <t>R0050STZ</t>
  </si>
  <si>
    <t>12098</t>
  </si>
  <si>
    <t>ST-036BA</t>
  </si>
  <si>
    <t>PL-1B525DD1</t>
  </si>
  <si>
    <t>SPB5</t>
  </si>
  <si>
    <t>SP15</t>
  </si>
  <si>
    <t>R0052STZ</t>
  </si>
  <si>
    <t>12105</t>
  </si>
  <si>
    <t>ST-047BB</t>
  </si>
  <si>
    <t>PL-1B550QD1</t>
  </si>
  <si>
    <t>SPB6</t>
  </si>
  <si>
    <t>SP16</t>
  </si>
  <si>
    <t>R0037STZ</t>
  </si>
  <si>
    <t>12763</t>
  </si>
  <si>
    <t>ST-012BA</t>
  </si>
  <si>
    <t>PL-1D605QD1</t>
  </si>
  <si>
    <t>SPB7</t>
  </si>
  <si>
    <t>17.06.2025</t>
  </si>
  <si>
    <t>SP17</t>
  </si>
  <si>
    <t>R0039XTZ</t>
  </si>
  <si>
    <t>17697</t>
  </si>
  <si>
    <t>ST-008BD</t>
  </si>
  <si>
    <t>PL-1D605QD2</t>
  </si>
  <si>
    <t>RK-B7B6-7Q4B</t>
  </si>
  <si>
    <t>SPB8</t>
  </si>
  <si>
    <t>SP18</t>
  </si>
  <si>
    <t>R0042XTZ</t>
  </si>
  <si>
    <t>12788</t>
  </si>
  <si>
    <t>ST-037BD</t>
  </si>
  <si>
    <t>PL-1B720ND1</t>
  </si>
  <si>
    <t>RK-B7B6-8Q4B</t>
  </si>
  <si>
    <t>W1G2W1</t>
  </si>
  <si>
    <t>BC-18Q4B</t>
  </si>
  <si>
    <t>SPB9</t>
  </si>
  <si>
    <t>SP19</t>
  </si>
  <si>
    <t>R0065STZ</t>
  </si>
  <si>
    <t>12799</t>
  </si>
  <si>
    <t>SS-009AB</t>
  </si>
  <si>
    <t>PL-1B560DQ1T</t>
  </si>
  <si>
    <t>RK-B7A6-9Q4F</t>
  </si>
  <si>
    <t>PL-1B560DQ1X</t>
  </si>
  <si>
    <t>SPC0</t>
  </si>
  <si>
    <t>22.05.2026</t>
  </si>
  <si>
    <t>SP20</t>
  </si>
  <si>
    <t>R0076XTZ</t>
  </si>
  <si>
    <t>67343</t>
  </si>
  <si>
    <t>SS-078AA</t>
  </si>
  <si>
    <t>PL-1D520DQ3T</t>
  </si>
  <si>
    <t>RK-B7B6-0R4F</t>
  </si>
  <si>
    <t>B2Y1B1</t>
  </si>
  <si>
    <t>BC-20R4F</t>
  </si>
  <si>
    <t>PL-1D520DQ3X</t>
  </si>
  <si>
    <t>SPC4</t>
  </si>
  <si>
    <t>SP24</t>
  </si>
  <si>
    <t>R0049STZ</t>
  </si>
  <si>
    <t>12096</t>
  </si>
  <si>
    <t>PL-1B485QD2</t>
  </si>
  <si>
    <t>RK-B7B6-4D3F</t>
  </si>
  <si>
    <t>SPC5</t>
  </si>
  <si>
    <t>SP25</t>
  </si>
  <si>
    <t>96T</t>
  </si>
  <si>
    <t>R0035STZ</t>
  </si>
  <si>
    <t>12757</t>
  </si>
  <si>
    <t>ST-055BB</t>
  </si>
  <si>
    <t>PL-1C590ND1</t>
  </si>
  <si>
    <t>PL-2C485DN4</t>
  </si>
  <si>
    <t>RK-B7B6-5F4B</t>
  </si>
  <si>
    <t>G1Y3</t>
  </si>
  <si>
    <t>BC-15F4B</t>
  </si>
  <si>
    <t>SPC6</t>
  </si>
  <si>
    <t>SP26</t>
  </si>
  <si>
    <t>R0056STZ</t>
  </si>
  <si>
    <t>12110</t>
  </si>
  <si>
    <t>ST-040BC</t>
  </si>
  <si>
    <t>PL-1B535QD2</t>
  </si>
  <si>
    <t>RK-B7A6-6E4F</t>
  </si>
  <si>
    <t>SPC7</t>
  </si>
  <si>
    <t>08.04.2026</t>
  </si>
  <si>
    <t>SP27</t>
  </si>
  <si>
    <t>R0062STZ</t>
  </si>
  <si>
    <t>12117</t>
  </si>
  <si>
    <t>SS-013BB</t>
  </si>
  <si>
    <t>PL-1D515QD2T</t>
  </si>
  <si>
    <t>RK-B7A6-7Q4B</t>
  </si>
  <si>
    <t>PL-1D515QD2X</t>
  </si>
  <si>
    <t>SPC8</t>
  </si>
  <si>
    <t>SP28</t>
  </si>
  <si>
    <t>R0064XTZ</t>
  </si>
  <si>
    <t>12790</t>
  </si>
  <si>
    <t>PL-1D495QD3T</t>
  </si>
  <si>
    <t>RK-B7A6-8Q4B</t>
  </si>
  <si>
    <t>PL-1D495QD3X</t>
  </si>
  <si>
    <t>SPC9</t>
  </si>
  <si>
    <t>SP29</t>
  </si>
  <si>
    <t>R0069XTZ</t>
  </si>
  <si>
    <t>44971</t>
  </si>
  <si>
    <t>SS-071AA</t>
  </si>
  <si>
    <t>PL-1D465DQ2T</t>
  </si>
  <si>
    <t>PL-1D465DQ2X</t>
  </si>
  <si>
    <t>SPD0</t>
  </si>
  <si>
    <t>23.07.2026</t>
  </si>
  <si>
    <t>SP30</t>
  </si>
  <si>
    <t>R0165XTZ</t>
  </si>
  <si>
    <t>90758</t>
  </si>
  <si>
    <t>ST-171AC</t>
  </si>
  <si>
    <t>PL-1C560NQ1</t>
  </si>
  <si>
    <t>PL-2C490QN2</t>
  </si>
  <si>
    <t>SPD5</t>
  </si>
  <si>
    <t>SP35</t>
  </si>
  <si>
    <t>R0053STZ</t>
  </si>
  <si>
    <t>12106</t>
  </si>
  <si>
    <t>ST-059BD</t>
  </si>
  <si>
    <t>PL-1C720DD1</t>
  </si>
  <si>
    <t>SPD6</t>
  </si>
  <si>
    <t>SP36</t>
  </si>
  <si>
    <t>87T</t>
  </si>
  <si>
    <t>R0054STZ</t>
  </si>
  <si>
    <t>12533</t>
  </si>
  <si>
    <t>SS-042BB</t>
  </si>
  <si>
    <t>IL-AZ345-13</t>
  </si>
  <si>
    <t>PL-1D485DD2T</t>
  </si>
  <si>
    <t>RK-B7B6-6E3F</t>
  </si>
  <si>
    <t>PL-1D485DD2X</t>
  </si>
  <si>
    <t>SPD7</t>
  </si>
  <si>
    <t>05.06.2025</t>
  </si>
  <si>
    <t>SP37</t>
  </si>
  <si>
    <t>R0063XTZ</t>
  </si>
  <si>
    <t>12119</t>
  </si>
  <si>
    <t>SS-020BB</t>
  </si>
  <si>
    <t>PL-1B575QD2T</t>
  </si>
  <si>
    <t>PL-1B575QD2X</t>
  </si>
  <si>
    <t>SPD8</t>
  </si>
  <si>
    <t>SP38</t>
  </si>
  <si>
    <t>R0041XTZ</t>
  </si>
  <si>
    <t>12782</t>
  </si>
  <si>
    <t>ST-048BD</t>
  </si>
  <si>
    <t>PL-1B740ND1</t>
  </si>
  <si>
    <t>SPD9</t>
  </si>
  <si>
    <t>SP39</t>
  </si>
  <si>
    <t>R0072XTZ</t>
  </si>
  <si>
    <t>66117</t>
  </si>
  <si>
    <t>SS-074AC</t>
  </si>
  <si>
    <t>PL-1D555DQ2T</t>
  </si>
  <si>
    <t>PL-1D555DQ2X</t>
  </si>
  <si>
    <t>SPE0</t>
  </si>
  <si>
    <t>SP40</t>
  </si>
  <si>
    <t>265/55R20</t>
  </si>
  <si>
    <t>R0166XTZ</t>
  </si>
  <si>
    <t>16736</t>
  </si>
  <si>
    <t>SS-172AB</t>
  </si>
  <si>
    <t>PL-1C655NQ2</t>
  </si>
  <si>
    <t>PL-2C535QN1T</t>
  </si>
  <si>
    <t>PL-2C535QN1X</t>
  </si>
  <si>
    <t>SPE5</t>
  </si>
  <si>
    <t>SP45</t>
  </si>
  <si>
    <t>88T XL</t>
  </si>
  <si>
    <t>R0066XTZ</t>
  </si>
  <si>
    <t>90997</t>
  </si>
  <si>
    <t>ST-068BC</t>
  </si>
  <si>
    <t>PL-1B490QD1</t>
  </si>
  <si>
    <t>RK-B7B6-5E3B</t>
  </si>
  <si>
    <t>G1R1Y1G1</t>
  </si>
  <si>
    <t>BC-15E3B</t>
  </si>
  <si>
    <t>SPE6</t>
  </si>
  <si>
    <t>SP46</t>
  </si>
  <si>
    <t>R0058STZ</t>
  </si>
  <si>
    <t>12111</t>
  </si>
  <si>
    <t>ST-046BA</t>
  </si>
  <si>
    <t>PL-1B560DD2</t>
  </si>
  <si>
    <t>RK-B7A6-6D4F</t>
  </si>
  <si>
    <t>SPE7</t>
  </si>
  <si>
    <t>SP47</t>
  </si>
  <si>
    <t>R0060XTZ</t>
  </si>
  <si>
    <t>12118</t>
  </si>
  <si>
    <t>SS-035BB</t>
  </si>
  <si>
    <t>PL-1D530QD7T</t>
  </si>
  <si>
    <t>RK-B7A6-7Q3F</t>
  </si>
  <si>
    <t>PL-1D530QD7X</t>
  </si>
  <si>
    <t>SPE8</t>
  </si>
  <si>
    <t>SP48</t>
  </si>
  <si>
    <t>R0043XTZ</t>
  </si>
  <si>
    <t>12797</t>
  </si>
  <si>
    <t>ST-051BA</t>
  </si>
  <si>
    <t>IL-AZ485-12</t>
  </si>
  <si>
    <t>PL-1B705DD1</t>
  </si>
  <si>
    <t>PL-2B670QN1</t>
  </si>
  <si>
    <t>SPE9</t>
  </si>
  <si>
    <t>SP49</t>
  </si>
  <si>
    <t>R0074XTZ</t>
  </si>
  <si>
    <t>89613</t>
  </si>
  <si>
    <t>ST-076AC</t>
  </si>
  <si>
    <t>PL-1C765NQ2</t>
  </si>
  <si>
    <t>RK-B7C6-9Q4F</t>
  </si>
  <si>
    <t>SPF5</t>
  </si>
  <si>
    <t>07.05.2026</t>
  </si>
  <si>
    <t>SP55</t>
  </si>
  <si>
    <t>R0159XTZ</t>
  </si>
  <si>
    <t>56345</t>
  </si>
  <si>
    <t>SS-165BB</t>
  </si>
  <si>
    <t>IL-AZ315-12</t>
  </si>
  <si>
    <t>PL-1B450DD1T</t>
  </si>
  <si>
    <t>CK-B7B1-5E3F</t>
  </si>
  <si>
    <t>PL-1B450DD1X</t>
  </si>
  <si>
    <t>SPF6</t>
  </si>
  <si>
    <t>SP56</t>
  </si>
  <si>
    <t>R0036XTZ</t>
  </si>
  <si>
    <t>17698</t>
  </si>
  <si>
    <t>ST-056BA</t>
  </si>
  <si>
    <t>PL-1B570QD1</t>
  </si>
  <si>
    <t>CK-B7D4-6D4F</t>
  </si>
  <si>
    <t>SPF7</t>
  </si>
  <si>
    <t>SP57</t>
  </si>
  <si>
    <t>R0059STZ</t>
  </si>
  <si>
    <t>12115</t>
  </si>
  <si>
    <t>SS-041BB</t>
  </si>
  <si>
    <t>PL-1D495QD4T</t>
  </si>
  <si>
    <t>RK-B7B6-7Q3F</t>
  </si>
  <si>
    <t>PL-1D495QD4X</t>
  </si>
  <si>
    <t>SPF8</t>
  </si>
  <si>
    <t>21.08.2025</t>
  </si>
  <si>
    <t>SP58</t>
  </si>
  <si>
    <t>R0033XTZ</t>
  </si>
  <si>
    <t>12786</t>
  </si>
  <si>
    <t>ST-058BB</t>
  </si>
  <si>
    <t>IL-AZ450-13</t>
  </si>
  <si>
    <t>PL-1B810DD1</t>
  </si>
  <si>
    <t>RK-B9B6-8Q4C</t>
  </si>
  <si>
    <t>W1R1B1W1</t>
  </si>
  <si>
    <t>BC-18Q4C</t>
  </si>
  <si>
    <t>SPG6</t>
  </si>
  <si>
    <t>SP66</t>
  </si>
  <si>
    <t>93T</t>
  </si>
  <si>
    <t>R0057STZ</t>
  </si>
  <si>
    <t>12109</t>
  </si>
  <si>
    <t>SS-061AB</t>
  </si>
  <si>
    <t>PL-1D535DD1T</t>
  </si>
  <si>
    <t>RK-B7A6-6D4B</t>
  </si>
  <si>
    <t>PL-1D535DD1X</t>
  </si>
  <si>
    <t>SPG7</t>
  </si>
  <si>
    <t>SP67</t>
  </si>
  <si>
    <t>R0061STZ</t>
  </si>
  <si>
    <t>12773</t>
  </si>
  <si>
    <t>SS-052BA</t>
  </si>
  <si>
    <t>IL-AZ340-13</t>
  </si>
  <si>
    <t>PL-1D485DD1T</t>
  </si>
  <si>
    <t>PL-1D485DD1X</t>
  </si>
  <si>
    <t>SPG8</t>
  </si>
  <si>
    <t>SP68</t>
  </si>
  <si>
    <t>R0067XTZ</t>
  </si>
  <si>
    <t>57463</t>
  </si>
  <si>
    <t>SS-069BB</t>
  </si>
  <si>
    <t>PL-1D530QD6T</t>
  </si>
  <si>
    <t>PL-1D530QD6X</t>
  </si>
  <si>
    <t>SPH6</t>
  </si>
  <si>
    <t>SP76</t>
  </si>
  <si>
    <t>R0161XTZ</t>
  </si>
  <si>
    <t>66853</t>
  </si>
  <si>
    <t>ST-167BF</t>
  </si>
  <si>
    <t>IL-AZ425-15</t>
  </si>
  <si>
    <t>PL-1C600ND7</t>
  </si>
  <si>
    <t>PL-2C495DN3</t>
  </si>
  <si>
    <t>SPH7</t>
  </si>
  <si>
    <t>SP77</t>
  </si>
  <si>
    <t>R0038XTZ</t>
  </si>
  <si>
    <t>12768</t>
  </si>
  <si>
    <t>ST-060BA</t>
  </si>
  <si>
    <t>PL-1B560QD3</t>
  </si>
  <si>
    <t>SPH8</t>
  </si>
  <si>
    <t>09.04.2026</t>
  </si>
  <si>
    <t>SP78</t>
  </si>
  <si>
    <t>R0068XTZ</t>
  </si>
  <si>
    <t>43758</t>
  </si>
  <si>
    <t>SS-070BC</t>
  </si>
  <si>
    <t>PL-1D465DD1T</t>
  </si>
  <si>
    <t>PL-1D465DD1X</t>
  </si>
  <si>
    <t>SPI6</t>
  </si>
  <si>
    <t>SP86</t>
  </si>
  <si>
    <t>225/75R16</t>
  </si>
  <si>
    <t>225/75</t>
  </si>
  <si>
    <t>R0162XTZ</t>
  </si>
  <si>
    <t>16237</t>
  </si>
  <si>
    <t>ST-168AA</t>
  </si>
  <si>
    <t>PL-1B675DQ1</t>
  </si>
  <si>
    <t>PL-2B630DN4</t>
  </si>
  <si>
    <t>RK-B7E6-6H4F</t>
  </si>
  <si>
    <t>SPI7</t>
  </si>
  <si>
    <t>16.04.2026</t>
  </si>
  <si>
    <t>SP87</t>
  </si>
  <si>
    <t>R0160XTZ</t>
  </si>
  <si>
    <t>15205</t>
  </si>
  <si>
    <t>SS-166BH</t>
  </si>
  <si>
    <t>PL-1D480DD1T</t>
  </si>
  <si>
    <t>CK-B7S0-7R4B</t>
  </si>
  <si>
    <t>PL-1D480DD1X</t>
  </si>
  <si>
    <t>SPI8</t>
  </si>
  <si>
    <t>SP88</t>
  </si>
  <si>
    <t>R0070XTZ</t>
  </si>
  <si>
    <t>62772</t>
  </si>
  <si>
    <t>SS-072BC</t>
  </si>
  <si>
    <t>PL-1D525QD4T</t>
  </si>
  <si>
    <t>PL-1D525QD4X</t>
  </si>
  <si>
    <t>SPJ7</t>
  </si>
  <si>
    <t>SP97</t>
  </si>
  <si>
    <t>SconSUV</t>
  </si>
  <si>
    <t>R0163XTZ</t>
  </si>
  <si>
    <t>79632</t>
  </si>
  <si>
    <t>ST-169BA</t>
  </si>
  <si>
    <t>PL-2B525DN4</t>
  </si>
  <si>
    <t>SPJ8</t>
  </si>
  <si>
    <t>SP98</t>
  </si>
  <si>
    <t>R0071XTZ</t>
  </si>
  <si>
    <t>67428</t>
  </si>
  <si>
    <t>SS-073BC</t>
  </si>
  <si>
    <t>PL-1B550QD1T</t>
  </si>
  <si>
    <t>PL-1B550QD1X</t>
  </si>
  <si>
    <t>TSA6</t>
  </si>
  <si>
    <t>15.07.2024</t>
  </si>
  <si>
    <t>TS06</t>
  </si>
  <si>
    <t>TSSZ</t>
  </si>
  <si>
    <t>Z97457SV</t>
  </si>
  <si>
    <t>22222</t>
  </si>
  <si>
    <t>ST-003AA</t>
  </si>
  <si>
    <t>PL-1B645NQ1</t>
  </si>
  <si>
    <t>CK-B7A0-6D4B</t>
  </si>
  <si>
    <t>T</t>
  </si>
  <si>
    <t>ZAA8</t>
  </si>
  <si>
    <t>ZA38</t>
  </si>
  <si>
    <t>E0118</t>
  </si>
  <si>
    <t>Z2528</t>
  </si>
  <si>
    <t>SS-306BA</t>
  </si>
  <si>
    <t>PL-1B485QD6T</t>
  </si>
  <si>
    <t>PL-1B485QD6X</t>
  </si>
  <si>
    <t>Z</t>
  </si>
  <si>
    <t>ZEA5</t>
  </si>
  <si>
    <t>ZE05</t>
  </si>
  <si>
    <t>Z1400</t>
  </si>
  <si>
    <t>ST-295BA</t>
  </si>
  <si>
    <t>PL-1C655ND1</t>
  </si>
  <si>
    <t>ZEA7</t>
  </si>
  <si>
    <t>04.10.2026</t>
  </si>
  <si>
    <t>Топчий Евгений</t>
  </si>
  <si>
    <t>ZE47</t>
  </si>
  <si>
    <t>Z2933</t>
  </si>
  <si>
    <t>ST-102AD</t>
  </si>
  <si>
    <t>PL-1C605DQ1</t>
  </si>
  <si>
    <t>RK-B7D9-7P5B</t>
  </si>
  <si>
    <t>W3B1</t>
  </si>
  <si>
    <t>BC-17P5B</t>
  </si>
  <si>
    <t>ZEB7</t>
  </si>
  <si>
    <t>ZE07</t>
  </si>
  <si>
    <t>OE0091</t>
  </si>
  <si>
    <t>Z2930</t>
  </si>
  <si>
    <t>PL-1B505DD2T</t>
  </si>
  <si>
    <t>PL-1B505DD2X</t>
  </si>
  <si>
    <t>ZFA5</t>
  </si>
  <si>
    <t>ZF05</t>
  </si>
  <si>
    <t>Z0495</t>
  </si>
  <si>
    <t>ZFA6</t>
  </si>
  <si>
    <t>ZF26</t>
  </si>
  <si>
    <t>Z0500</t>
  </si>
  <si>
    <t>ZFB5</t>
  </si>
  <si>
    <t>29.01.2026</t>
  </si>
  <si>
    <t>ZF15</t>
  </si>
  <si>
    <t>Z0005XSL</t>
  </si>
  <si>
    <t>Z0496</t>
  </si>
  <si>
    <t>ST-296AA</t>
  </si>
  <si>
    <t>PL-1C645DQ1</t>
  </si>
  <si>
    <t>ZFB6</t>
  </si>
  <si>
    <t>ZF16</t>
  </si>
  <si>
    <t>Run Tour</t>
  </si>
  <si>
    <t>Z0499</t>
  </si>
  <si>
    <t>ST-320BA</t>
  </si>
  <si>
    <t>PL-1B650DD2</t>
  </si>
  <si>
    <t>ZFC5</t>
  </si>
  <si>
    <t>ZF35</t>
  </si>
  <si>
    <t>Z0497</t>
  </si>
  <si>
    <t>ST-322BA</t>
  </si>
  <si>
    <t>PL-1C605DD5</t>
  </si>
  <si>
    <t>RK-B7A6-5D3F</t>
  </si>
  <si>
    <t>ZIA5</t>
  </si>
  <si>
    <t>24.02.2026</t>
  </si>
  <si>
    <t>ZI25</t>
  </si>
  <si>
    <t>Z3721</t>
  </si>
  <si>
    <t>SS-298AA</t>
  </si>
  <si>
    <t>PL-1B510NQ1T</t>
  </si>
  <si>
    <t>PL-1B510NQ1X</t>
  </si>
  <si>
    <t>ZIA6</t>
  </si>
  <si>
    <t>04.02.2026</t>
  </si>
  <si>
    <t>ZI16</t>
  </si>
  <si>
    <t>Z0015STZ</t>
  </si>
  <si>
    <t>Z3718</t>
  </si>
  <si>
    <t>ST-299AA</t>
  </si>
  <si>
    <t>PL-1B635NQ4</t>
  </si>
  <si>
    <t>CK-B7B1-6D4B</t>
  </si>
  <si>
    <t>ZIB6</t>
  </si>
  <si>
    <t>ZI06</t>
  </si>
  <si>
    <t>Z3720</t>
  </si>
  <si>
    <t>ST-300AB</t>
  </si>
  <si>
    <t>PL-1B740NQ2</t>
  </si>
  <si>
    <t>ZIC6</t>
  </si>
  <si>
    <t>06.02.2026</t>
  </si>
  <si>
    <t>ZI36</t>
  </si>
  <si>
    <t>Z0020STZ</t>
  </si>
  <si>
    <t>Z3719</t>
  </si>
  <si>
    <t>ST-031AC</t>
  </si>
  <si>
    <t>IL-AZ365-13</t>
  </si>
  <si>
    <t>PL-1C685NQ3</t>
  </si>
  <si>
    <t>ZVB7</t>
  </si>
  <si>
    <t>21.07.2026</t>
  </si>
  <si>
    <t>ZV17</t>
  </si>
  <si>
    <t>Z9458</t>
  </si>
  <si>
    <t>SS-308BA</t>
  </si>
  <si>
    <t>PL-1B490QD1T</t>
  </si>
  <si>
    <t>PL-1B490QD1X</t>
  </si>
  <si>
    <t>ZVG7</t>
  </si>
  <si>
    <t>ZV67</t>
  </si>
  <si>
    <t>Z7887</t>
  </si>
  <si>
    <t>SS-307BA</t>
  </si>
  <si>
    <t>CK-B7A0-7R3F</t>
  </si>
  <si>
    <t>ZZ16</t>
  </si>
  <si>
    <t>30.05.2024</t>
  </si>
  <si>
    <t>Ратаушкин Виктор</t>
  </si>
  <si>
    <t>ZZ91</t>
  </si>
  <si>
    <t>BOSS</t>
  </si>
  <si>
    <t>ZZZZ91</t>
  </si>
  <si>
    <t>ST-014BA</t>
  </si>
  <si>
    <t>IL-AZ330-13</t>
  </si>
  <si>
    <t>14-60</t>
  </si>
  <si>
    <t>ZZ26</t>
  </si>
  <si>
    <t>ZZ92</t>
  </si>
  <si>
    <t>ZZZZ92</t>
  </si>
  <si>
    <t>ZZ36</t>
  </si>
  <si>
    <t>ZZ93</t>
  </si>
  <si>
    <t>ZZZZ93</t>
  </si>
  <si>
    <t>ZZ46</t>
  </si>
  <si>
    <t>ZZ94</t>
  </si>
  <si>
    <t>ZZZZ94</t>
  </si>
  <si>
    <t>ZZ56</t>
  </si>
  <si>
    <t>ZZ95</t>
  </si>
  <si>
    <t>ZZZZ95</t>
  </si>
  <si>
    <t>ZZ66</t>
  </si>
  <si>
    <t>ZZ96</t>
  </si>
  <si>
    <t>ZZZZ96</t>
  </si>
  <si>
    <t>ZZ76</t>
  </si>
  <si>
    <t>ZZ86</t>
  </si>
  <si>
    <t>ZZ98</t>
  </si>
  <si>
    <t>ZZZZ98</t>
  </si>
  <si>
    <t>ZZ99</t>
  </si>
  <si>
    <t>ZZZZ99</t>
  </si>
  <si>
    <t>ZZA6</t>
  </si>
  <si>
    <t>ZZ06</t>
  </si>
  <si>
    <t>AnorEco</t>
  </si>
  <si>
    <t>A0002</t>
  </si>
  <si>
    <t>Z4826</t>
  </si>
  <si>
    <t>ST-292BB</t>
  </si>
  <si>
    <t>PL-1B650DD1</t>
  </si>
  <si>
    <t>RK-B7C6-6E3F</t>
  </si>
  <si>
    <t>ZZZ6</t>
  </si>
  <si>
    <t>ZZZZZ</t>
  </si>
  <si>
    <t>ST-003AD</t>
  </si>
  <si>
    <t>PL-1B645DQ4</t>
  </si>
  <si>
    <t>RK-B7B6-6D4B</t>
  </si>
  <si>
    <t>Pro. Issue</t>
  </si>
  <si>
    <t>AppRoved by</t>
  </si>
  <si>
    <t>Trial production</t>
  </si>
  <si>
    <t>Building M/C</t>
  </si>
  <si>
    <t>Profile</t>
  </si>
  <si>
    <t>Rim</t>
  </si>
  <si>
    <t>Classification - Top</t>
  </si>
  <si>
    <t>Classification - DOPING</t>
  </si>
  <si>
    <t>production code</t>
  </si>
  <si>
    <t>Revision No.</t>
  </si>
  <si>
    <t>Mass</t>
  </si>
  <si>
    <t>Top MC Group</t>
  </si>
  <si>
    <t>SL Pitch</t>
  </si>
  <si>
    <t>Layer set P1</t>
  </si>
  <si>
    <t>Layer set P2</t>
  </si>
  <si>
    <t>Layer set P3</t>
  </si>
  <si>
    <t>Layer set P4</t>
  </si>
  <si>
    <t>Layer set P5</t>
  </si>
  <si>
    <t>Layer set P6</t>
  </si>
  <si>
    <t>Layer set P7</t>
  </si>
  <si>
    <t>Layer set P8</t>
  </si>
  <si>
    <t>Layer set P2A</t>
  </si>
  <si>
    <t>Layer set GW</t>
  </si>
  <si>
    <t>Layer set A</t>
  </si>
  <si>
    <t>Layer set B</t>
  </si>
  <si>
    <t>Layer set C</t>
  </si>
  <si>
    <t>Layer set D</t>
  </si>
  <si>
    <t>Layer set E</t>
  </si>
  <si>
    <t>Layer set F</t>
  </si>
  <si>
    <t>Layer set G</t>
  </si>
  <si>
    <t>Layer set H</t>
  </si>
  <si>
    <t>Layer set I</t>
  </si>
  <si>
    <t>Layer set J</t>
  </si>
  <si>
    <t>Layer set K</t>
  </si>
  <si>
    <t>Layer set L</t>
  </si>
  <si>
    <t>BT Drum - Circumference</t>
  </si>
  <si>
    <t>BT Drum - Drum1</t>
  </si>
  <si>
    <t>BT Drum - Drum2</t>
  </si>
  <si>
    <t>BT Drum - Gum band1</t>
  </si>
  <si>
    <t>BT Drum - Gum band2</t>
  </si>
  <si>
    <t>Center bladder (main)</t>
  </si>
  <si>
    <t>Center bladder add (additional)</t>
  </si>
  <si>
    <t>Mechanical Drum No.</t>
  </si>
  <si>
    <t>Finger gum band No.</t>
  </si>
  <si>
    <t>Finger gum band position.</t>
  </si>
  <si>
    <t>Bead gum band</t>
  </si>
  <si>
    <t>Side turn up upper bladder</t>
  </si>
  <si>
    <t>Side turn up under bladder</t>
  </si>
  <si>
    <t>Bladder spare ring</t>
  </si>
  <si>
    <t>O-Ring holder No 1.</t>
  </si>
  <si>
    <t>Bead gum band type</t>
  </si>
  <si>
    <t>Stitcher No. No.1</t>
  </si>
  <si>
    <t>Stitcher No. No.2</t>
  </si>
  <si>
    <t>Stitcher No. No.3</t>
  </si>
  <si>
    <t>Stitcher No. No.4</t>
  </si>
  <si>
    <t>Stitcher No. No.4 Heated</t>
  </si>
  <si>
    <t>Stitcher No. No.6</t>
  </si>
  <si>
    <t>Angle No.1</t>
  </si>
  <si>
    <t>Angle No.2</t>
  </si>
  <si>
    <t>Angle No.3</t>
  </si>
  <si>
    <t>Angle No.4</t>
  </si>
  <si>
    <t>Angle No.4 Heated</t>
  </si>
  <si>
    <t>Angle No.6</t>
  </si>
  <si>
    <t>MSE (Form center)</t>
  </si>
  <si>
    <t>MSE (Form center) +/-</t>
  </si>
  <si>
    <t>NON DT Side ending (From center)</t>
  </si>
  <si>
    <t>NON DT Side ending (From center) +/-</t>
  </si>
  <si>
    <t>PLY Turn up (From center)</t>
  </si>
  <si>
    <t>PLY Turn up (From center) +/-</t>
  </si>
  <si>
    <t>GT Mass(g)</t>
  </si>
  <si>
    <t>GT Mass(g) +/-</t>
  </si>
  <si>
    <t>GT width</t>
  </si>
  <si>
    <t>GT Circurmference standard</t>
  </si>
  <si>
    <t>GT Circurmference track record (trial)</t>
  </si>
  <si>
    <t>GT Circurmference maximum</t>
  </si>
  <si>
    <t>AGS position</t>
  </si>
  <si>
    <t>Green case circumference on turn up width</t>
  </si>
  <si>
    <t>1st Belt Material (Treat, Comp) No.</t>
  </si>
  <si>
    <t>1st Belt Width</t>
  </si>
  <si>
    <t>1st Belt Width +/-</t>
  </si>
  <si>
    <t>1st Belt Angle</t>
  </si>
  <si>
    <t>Belt 1 gauge(mm)</t>
  </si>
  <si>
    <t>Coefficient 1Belt for length</t>
  </si>
  <si>
    <t>1st Belt Length</t>
  </si>
  <si>
    <t>1st Belt Mass</t>
  </si>
  <si>
    <t>2nd Belt Material (Treat, Comp) No.</t>
  </si>
  <si>
    <t>2nd Belt Width</t>
  </si>
  <si>
    <t>2nd Belt Width +/-</t>
  </si>
  <si>
    <t>2nd Belt Angle</t>
  </si>
  <si>
    <t>Belt 2 gauge(mm)</t>
  </si>
  <si>
    <t>Coefficient 2Belt for length</t>
  </si>
  <si>
    <t>2nd Belt Length</t>
  </si>
  <si>
    <t>2nd Belt Mass</t>
  </si>
  <si>
    <t>Beg Material (Treat, Comp) No. for 1Belt</t>
  </si>
  <si>
    <t>Beg Width for 1Belt</t>
  </si>
  <si>
    <t>Beg Width +/- for 1Belt</t>
  </si>
  <si>
    <t>Beg gauge for 1Belt</t>
  </si>
  <si>
    <t>Beg Length for 1 Belt</t>
  </si>
  <si>
    <t>Beg Mass for 1 Belt</t>
  </si>
  <si>
    <t>Beg Material (Treat, Comp) No. for 2Belt</t>
  </si>
  <si>
    <t>Beg Width for 2Belt</t>
  </si>
  <si>
    <t>Beg Width +/- for 2Belt</t>
  </si>
  <si>
    <t>Beg gauge for 2Belt</t>
  </si>
  <si>
    <t>Beg Length for 2Belt</t>
  </si>
  <si>
    <t>Beg Mass for 2Belt</t>
  </si>
  <si>
    <t>Spiral Belt Material (Treat, Comp) No.</t>
  </si>
  <si>
    <t>Spiral Belt Width</t>
  </si>
  <si>
    <t>Spiral Belt Width +/-</t>
  </si>
  <si>
    <t>Spiral Belt Gauge</t>
  </si>
  <si>
    <t>Circumrerence for SPL</t>
  </si>
  <si>
    <t>Spiral Belt Length 1st Lay</t>
  </si>
  <si>
    <t>Spiral Belt Length 2nd Lay   (Require P3)</t>
  </si>
  <si>
    <t>Spiral Belt Length 3rd Lay  (Require P4,P5)</t>
  </si>
  <si>
    <t>Spiral Belt Length 4th Lay  (Require P6)</t>
  </si>
  <si>
    <t>Coefficient SPL for length</t>
  </si>
  <si>
    <t>Spiral Belt Length</t>
  </si>
  <si>
    <t>Spiral Belt Mass</t>
  </si>
  <si>
    <t>Cap Material (Treat, Comp) No.</t>
  </si>
  <si>
    <t>Cap Width</t>
  </si>
  <si>
    <t>Cap Width +/-</t>
  </si>
  <si>
    <t>Cap Gauge</t>
  </si>
  <si>
    <t>Coefficient TOP for length</t>
  </si>
  <si>
    <t>Consider SPL for TOP Length</t>
  </si>
  <si>
    <t>Cap Length</t>
  </si>
  <si>
    <t>Cap Mass</t>
  </si>
  <si>
    <t>Base Material (Treat, Comp) No.</t>
  </si>
  <si>
    <t>Base Width</t>
  </si>
  <si>
    <t>Base Width +/-</t>
  </si>
  <si>
    <t>Base gauge</t>
  </si>
  <si>
    <t>Base Length</t>
  </si>
  <si>
    <t>Base Mass</t>
  </si>
  <si>
    <t>Mini side Material (Treat, Comp) No.</t>
  </si>
  <si>
    <t>Mini side Width</t>
  </si>
  <si>
    <t>Mini side Width +/-</t>
  </si>
  <si>
    <t>Mini side gauge</t>
  </si>
  <si>
    <t>Mini side Length</t>
  </si>
  <si>
    <t>Mini side Mass</t>
  </si>
  <si>
    <t>TUC Material (Treat, Comp) No.</t>
  </si>
  <si>
    <t>TUC Width</t>
  </si>
  <si>
    <t>TUC Width +/-</t>
  </si>
  <si>
    <t>TUC gauge</t>
  </si>
  <si>
    <t>TUC Length</t>
  </si>
  <si>
    <t>TUC Mass</t>
  </si>
  <si>
    <t>Antenna Material (Treat, Comp) No.</t>
  </si>
  <si>
    <t>Antenna Position</t>
  </si>
  <si>
    <t>Antenna Position +/-</t>
  </si>
  <si>
    <t>Antenna gauge</t>
  </si>
  <si>
    <t>Antenna Length</t>
  </si>
  <si>
    <t>Antenna Mass</t>
  </si>
  <si>
    <t>TOP Total Mass</t>
  </si>
  <si>
    <t>Material code</t>
  </si>
  <si>
    <t>Line (Hump line)</t>
  </si>
  <si>
    <t>Line (Line 5)</t>
  </si>
  <si>
    <t>Line (Line 2)</t>
  </si>
  <si>
    <t>Line (Center)</t>
  </si>
  <si>
    <t>Line (Line 1)</t>
  </si>
  <si>
    <t>Line (Line 3)</t>
  </si>
  <si>
    <t>Line (Line 4)</t>
  </si>
  <si>
    <t>Line (O Hump line)</t>
  </si>
  <si>
    <t>Position (Hump line)</t>
  </si>
  <si>
    <t>Position (Line 5)</t>
  </si>
  <si>
    <t>Position (Line 2)</t>
  </si>
  <si>
    <t>Position (Center)</t>
  </si>
  <si>
    <t>Position (Line 1)</t>
  </si>
  <si>
    <t>Position (Line 3)</t>
  </si>
  <si>
    <t>Position (Line 4)</t>
  </si>
  <si>
    <t>Position (O Hump line)</t>
  </si>
  <si>
    <t>Gauge (Center)</t>
  </si>
  <si>
    <t>Gauge (Hump)</t>
  </si>
  <si>
    <t>Gauge (Side)</t>
  </si>
  <si>
    <t>Shoulder width</t>
  </si>
  <si>
    <t>Shoulder width +/-</t>
  </si>
  <si>
    <t>width</t>
  </si>
  <si>
    <t>width +/-</t>
  </si>
  <si>
    <t>length</t>
  </si>
  <si>
    <t>length +/-</t>
  </si>
  <si>
    <t>Stamp color</t>
  </si>
  <si>
    <t>R1005   BT Tire Structure No.</t>
  </si>
  <si>
    <t>R1007   SHAPING Tire Structure No.</t>
  </si>
  <si>
    <t>R1008   BT Stitcher Select  0:Don't use  1:use</t>
  </si>
  <si>
    <t>R1009   BF Stitcher Select  0:Don't use  1:use</t>
  </si>
  <si>
    <t>R1010   TREAD Stitcher 0:#6ST 1:#4ST 2:#4H-ST</t>
  </si>
  <si>
    <t>R1011   NO6 ST SPECIFICATION (AFTER S/W TURN UP)</t>
  </si>
  <si>
    <t>R1012   BT Circumference(mm)</t>
  </si>
  <si>
    <t>R1013   O-ring Offset Value(mm)</t>
  </si>
  <si>
    <t>R1014  1BELT Stabilizer Ply detection 0:1B Left Up 1:1B Right Up</t>
  </si>
  <si>
    <t>R1015 TREAD Pircing &amp; Hot Use select 1:P,2:P+H,3:P+H+C,4:H,5:C+H</t>
  </si>
  <si>
    <t>R1016   PLY Turn-up After Joint Check 0: No Check 1: Check</t>
  </si>
  <si>
    <t>R1017   TREAD stitching rotation 0:Forward 1:Reverse</t>
  </si>
  <si>
    <t>R1018   TREAD Not Use Length (mm)</t>
  </si>
  <si>
    <t>R1019   BELT Stabilizer Ply Angle</t>
  </si>
  <si>
    <t>R1020   1BELT Stabilizer Ply Length (mm)</t>
  </si>
  <si>
    <t>R1021   2BELT Stabilizer Ply Length (mm)</t>
  </si>
  <si>
    <t>R1022   3BELT Stabilizer Ply Length (mm)</t>
  </si>
  <si>
    <t>R1023   TREAD Length Measuring Data for Cut (mm)</t>
  </si>
  <si>
    <t>R0124   TREAD Length Measuring Data for Apply (mm)</t>
  </si>
  <si>
    <t>R1025   1BELT Stabilizer Ply Width (mm)</t>
  </si>
  <si>
    <t>R1026   2BELT Stabilizer Ply Width (mm)</t>
  </si>
  <si>
    <t>R1027   TREAD Width (mm)</t>
  </si>
  <si>
    <t>R1028   Shaping Drum Type 0:Bladder 1:Mechanical  2:BLAT</t>
  </si>
  <si>
    <t>R1029   Tread Heating Time (sec)</t>
  </si>
  <si>
    <t>R1030   Spare 026</t>
  </si>
  <si>
    <t>R1031   SPL Material Type 0:              1:                 2:</t>
  </si>
  <si>
    <t>R1032   2BELT SP Application Start Spotting (degree)</t>
  </si>
  <si>
    <t>R1033   Spairal Layer Application1 Start Spotting (degree)</t>
  </si>
  <si>
    <t>R1034   Spairal Layer Application2 Start Spotting (degree)</t>
  </si>
  <si>
    <t>R1035   Tread Apply Start Spotting (degree)</t>
  </si>
  <si>
    <t>R1036   Shaping Drum Balance Offset (degree)</t>
  </si>
  <si>
    <t>R1037   Shaping Drum GT Take Out Spotting (degree)</t>
  </si>
  <si>
    <t>R1038   SPL Strght Turn Select(1H)  0:stp1, 2:step2, 9:Nothng</t>
  </si>
  <si>
    <t>R1039   BT Take Out Spotting (degree)</t>
  </si>
  <si>
    <t>R1040   SPL L&amp;R Head Offset (L-Head based) (mm)</t>
  </si>
  <si>
    <t>R1041   Spiral Layer Pitch (mm)</t>
  </si>
  <si>
    <t>R1042   SPL Position 1  (mm)</t>
  </si>
  <si>
    <t>R1043   SPL Position 2  (mm)</t>
  </si>
  <si>
    <t>R1044   SPL Position 3  (mm)</t>
  </si>
  <si>
    <t>R1045   SPL Position 4  (mm)</t>
  </si>
  <si>
    <t>R1046   SPL Position 5  (mm)</t>
  </si>
  <si>
    <t>R1047   SPL Position 6  (mm)</t>
  </si>
  <si>
    <t>R1048   SPL Position 7  (mm)</t>
  </si>
  <si>
    <t>R1049   SPL Position 8  (mm)</t>
  </si>
  <si>
    <t>R1050   SPL Position 9  (mm)</t>
  </si>
  <si>
    <t>R1051   SPL Position 10 (mm)</t>
  </si>
  <si>
    <t>R1052   GAP Spiral Layer Pitch (Layer Width+GAP Width) (mm)</t>
  </si>
  <si>
    <t>R1053   GAP Change Position (mm)</t>
  </si>
  <si>
    <t>R1054   SHAPING Drum Width  Bead Lock Pos(Maximum Width) (mm)</t>
  </si>
  <si>
    <t>R1055   SHAPING Drum Width  Middle Shape Position (mm)</t>
  </si>
  <si>
    <t>R1056   SHAPING Drum Width DT S/W Turn Up Position (mm)</t>
  </si>
  <si>
    <t>R1057   SHAPING Drum Width BT Insert Position (mm)</t>
  </si>
  <si>
    <t>R1058   SHAPING Drum Width Full Shap  Position (mm)</t>
  </si>
  <si>
    <t>R1059   No.2 Stitcher Set Position (mm)</t>
  </si>
  <si>
    <t>R1060   No.3 Stitcher Set Position (mm)</t>
  </si>
  <si>
    <t>R1061   Top Tread Stitcher Start Position (mm)</t>
  </si>
  <si>
    <t>R1062   Top Tread Stitcher End Position (mm)</t>
  </si>
  <si>
    <t>R1063   S/W Stitcher Start Position(Front/Rear) (mm)</t>
  </si>
  <si>
    <t>R1064   S/W Stitcher End Position(Front/Rear) (mm)</t>
  </si>
  <si>
    <t>R1065   BF Stitcher Start Position (mm)</t>
  </si>
  <si>
    <t>R1066   BF Stitcher End Position (mm)</t>
  </si>
  <si>
    <t>R1067 S/W Stitcher Traverse Intrpolation Start Pos(Frnt/Rr) (mm)</t>
  </si>
  <si>
    <t>R1068   S/W Stitcher Traverse End Pos(=0 Not Traverse) (mm)</t>
  </si>
  <si>
    <t>R1069   No.6 S/W Stitcher Middle Stop Position 1 (mm)</t>
  </si>
  <si>
    <t>R1070   No.6 S/W Stitcher Middle Stop Position 2 (mm)</t>
  </si>
  <si>
    <t>R1071   No.6 S/W Stitcher Middle Stop Timer 1 (sec)</t>
  </si>
  <si>
    <t>R1072   No.1 Stitcher Pressure (MPa)  Max 0.5MPa</t>
  </si>
  <si>
    <t>R1073   No.2 Stitcher Pressure (MPa)  Max 0.5MPa</t>
  </si>
  <si>
    <t>R1074   No.3 Stitcher Pressure (MPa)  Max 0.5MPa</t>
  </si>
  <si>
    <t>R1075   No.4 Stitcher Pressure (MPa)  Max 0.5MPa</t>
  </si>
  <si>
    <t>R1076   No.6 Stitcher Pressure (MPa)  Max 0.8MPa</t>
  </si>
  <si>
    <t>R1077   SHAPING Bladder High Pressure (MPa) Max 0.5MPa</t>
  </si>
  <si>
    <t>R1078   SHAPING Bladder Low Pressure (MPa) Max 0.5MPa</t>
  </si>
  <si>
    <t>R1079   No.1 Stitcher Dwell Time (sec.)</t>
  </si>
  <si>
    <t>R1080   No.2 Stitcher In Wait Time (sec.)</t>
  </si>
  <si>
    <t>R1081   No.2 Stitcher Dwell Time (sec.)</t>
  </si>
  <si>
    <t>R1082   No.3 Stitcher In Wait Time (sec.)</t>
  </si>
  <si>
    <t>R1083   No.3 Stitcher Dwell Time (sec.)</t>
  </si>
  <si>
    <t>R1084   Tread Stitcher In Wait Timer (sec.)</t>
  </si>
  <si>
    <t>R1085   SHAPING Bladder Low Pressure Timer (Insert) (sec.)</t>
  </si>
  <si>
    <t>R1086   Upper Bladder Expand Wait Timer (Middle) (sec.)</t>
  </si>
  <si>
    <t>R1087   Upper Bladder Expand Timer (Middle) (sec.)</t>
  </si>
  <si>
    <t>R1088 SHAPING Drum Width Move Wait Timer From Max to Inside (mm)</t>
  </si>
  <si>
    <t>R1089   Segment Extend Timer (sec.)</t>
  </si>
  <si>
    <t>R1090   SHAPING Bladder Low Pressure Wait Timer (Middle) (sec)</t>
  </si>
  <si>
    <t>R1091   SHAPING Bladder Low Pressure Timer (Middle) (sec.)</t>
  </si>
  <si>
    <t>R1092   Upper Bladder Expand Wait Timer (Full) (sec.)</t>
  </si>
  <si>
    <t>R1093   Upper Bladder Expand Timer (Full) (sec.)</t>
  </si>
  <si>
    <t>R1094  SHAPING Drum Width Move Wait Time(When Full Shap) (sec)</t>
  </si>
  <si>
    <t>R1095 SHAPING Drum Width Move Wait Time-From Segm Exp.Width(sec)</t>
  </si>
  <si>
    <t>R1096   SHAPING Bladder High Pressure Wait Timer(Full) (sec.)</t>
  </si>
  <si>
    <t>R1097   Upper Bladder Expand Timer (Turn-Up) (sec.)</t>
  </si>
  <si>
    <t>R1098   Upper Bladder Exhaust Wait Time (Turn-Up) (sec.)</t>
  </si>
  <si>
    <t>R1099   Upper/Lower Bladder Expand/Exhaust Time(Turn-Up) (sec.)</t>
  </si>
  <si>
    <t>R1100   Lower Bladder Expand Wait Timer (Turn-Up) (sec.)</t>
  </si>
  <si>
    <t>R1101   Lower Bladder Expand Timer (Turn-Up) (sec.)</t>
  </si>
  <si>
    <t>R1102   Lower Bladder Expand/Exhaust Wait Time (Turn-Up) (sec.)</t>
  </si>
  <si>
    <t>R1103SHAPING Drum Width Move Wait Timer(When DT Turn Up) (sec.)</t>
  </si>
  <si>
    <t>R1104   SHAPING Bladder Low Pressure Wait Timer(Turn-Up) (sec.)</t>
  </si>
  <si>
    <t>R1105   SHAPING Bladder Low Pressure Timer (Turn-Up) (sec.)</t>
  </si>
  <si>
    <t>R1106   No.6 Stitcher S/W-Stitching Middle Stop Timer 2 (sec.)</t>
  </si>
  <si>
    <t>R1107 Outer Turn-Up Bladder 2nd Exhaust Wait Time(Turn-Up)(sec.)</t>
  </si>
  <si>
    <t>R1108   Bladder Vacuum Time (sec.)</t>
  </si>
  <si>
    <t>R1109   Bladder Deflate Time (sec.)</t>
  </si>
  <si>
    <t>R1110   SHAPING Drum Width Expansion Delay Time (0,1sec.)</t>
  </si>
  <si>
    <t>R1111   O-ring Close Delay Time (sec.)</t>
  </si>
  <si>
    <t>R1112   Bead Lock Collapse Delay Time (sec.)</t>
  </si>
  <si>
    <t>R1113   Rim Guard DT SHAPING Pre-exaust Time (sec.)</t>
  </si>
  <si>
    <t>R1114   Outer Turn-Up Bladder 2nd Exhaust Time (Turn-Up) (sec.)</t>
  </si>
  <si>
    <t>R1115   GT Cart Type</t>
  </si>
  <si>
    <t>R1116   Bead Lock Approximation (1-yes, 2-no) for GT Take Out</t>
  </si>
  <si>
    <t>R1117   No.6 Stitcher S/W Stitching Width (mm)</t>
  </si>
  <si>
    <t>R1118   No.6 Stitcher TREAD Stitching Width (mm)</t>
  </si>
  <si>
    <t>R1119   No.6 Stitcher BF Stitching Width (mm)</t>
  </si>
  <si>
    <t>R1120   Mechanical Drum Left Turn-Up Arm Out (sec.)</t>
  </si>
  <si>
    <t>R1121   Mechanical Drum Right Turn-Up Arm Out (sec.)</t>
  </si>
  <si>
    <t>R1122   Mechanical Drum Left Turn-Up Arm Return (sec.)</t>
  </si>
  <si>
    <t>R1123   Mechanical Drum Right Turn-Up Arm Retrun (sec.)</t>
  </si>
  <si>
    <t>R1124   No.4 Stitcher Completion Aftre tip Press Time (sec.)</t>
  </si>
  <si>
    <t>R1125   GT Take Quick Exhaust Wait Time (sec.)</t>
  </si>
  <si>
    <t>R1126   Hardcore Collapse Mode Selection 0:No Use, 1or2:Use</t>
  </si>
  <si>
    <t>R1127   No.1 Stitcher Dwell Time (sec.) (ONESHORT) (0.1 sec)</t>
  </si>
  <si>
    <t>R1128   No.2 Stitcher Dwell Time (sec.) (ONESHORT) (0.1 sec)</t>
  </si>
  <si>
    <t>R1129   No.3 Stitcher Dwell Time (sec.) (ONESHORT) (0.1 sec)</t>
  </si>
  <si>
    <t>R1130   BT Drum 1B Apply Speed (rpm)</t>
  </si>
  <si>
    <t>R1131   BT Drum 2B Apply Speed (rpm)</t>
  </si>
  <si>
    <t>R1132   BT Drum SPLay Apply Low Speed (rpm)</t>
  </si>
  <si>
    <t>R1133   BT Drum SPLay Apply Hi Speed (rpm)</t>
  </si>
  <si>
    <t>R1134   BT Drum TREAD Apply Speed (rpm)</t>
  </si>
  <si>
    <t>R1135   Spare</t>
  </si>
  <si>
    <t>R1136   SHAPING Drum Pre-expansion (mm)</t>
  </si>
  <si>
    <t>R1137   No.2 Stitcher Set Position (mm) (ONESHORT)</t>
  </si>
  <si>
    <t>R1138   No.3 Stitcher Set Position (mm) (ONESHORT)</t>
  </si>
  <si>
    <t>R1139   Spare 135</t>
  </si>
  <si>
    <t>R1140   FR Drum Width GC Maximum Position (mm)</t>
  </si>
  <si>
    <t>R1141   FR Drum Width Poly-Liner Take Out Position (mm)</t>
  </si>
  <si>
    <t>R1142   FR Bladder Vacuum Time (GC Insert) (sec.)</t>
  </si>
  <si>
    <t>R1143   FR Bladder High Pressure Time (Middle) (sec.)</t>
  </si>
  <si>
    <t>R1144   FR Bladder Pressure Change Delay Time (Middle) (sec.)</t>
  </si>
  <si>
    <t>R1145   FR Bladder Low Pressure Time (Middle) (sec.)</t>
  </si>
  <si>
    <t>R1146   FR Width Move Delay Time (Middle) (sec.)</t>
  </si>
  <si>
    <t>R1147   FR Bead Lock Pressure Change Delay Time (Full) (sec.)</t>
  </si>
  <si>
    <t>R1148   FR Bead Lock High Pressure Time (Full) (sec.)</t>
  </si>
  <si>
    <t>R1149   FR Bladder Low Pressure Time (Full) (sec.)</t>
  </si>
  <si>
    <t>R1150   FR Bladder High Pressure Change Delay Time (Full) (sec.)</t>
  </si>
  <si>
    <t>R1151   O-Ring Expand Delay Time (Full) (sec.)</t>
  </si>
  <si>
    <t>R1152   FR Width GT Take Out Width Mov Delay Time (sec.)</t>
  </si>
  <si>
    <t>R1153   FR Bladder Exhaust Time (GT Take Out) (sec.)</t>
  </si>
  <si>
    <t>R1154   FR Bladder Vacuum Delay Time (GT Take Out) (sec.)</t>
  </si>
  <si>
    <t>R1155   FR Bladder Vacuum Time (GT Take Out) (sec.)</t>
  </si>
  <si>
    <t>R1156   FR Bead Lock Collapse Delay Time (GT Take Out) (sec.)</t>
  </si>
  <si>
    <t>R1157   Turn Up Arm Expand Delay Time (sec.)</t>
  </si>
  <si>
    <t>R1158   Spare 154</t>
  </si>
  <si>
    <t>R1159   Turn Up Maintenance Time (sec.)</t>
  </si>
  <si>
    <t>R1160   Turn Up Arm Collapse Delay Time (sec.)</t>
  </si>
  <si>
    <t>R1161   Spare 157</t>
  </si>
  <si>
    <t>R1162   Turn Up Arm Wide Check Time (sec.)</t>
  </si>
  <si>
    <t>R1163   No5.Stitcher Width Start Position (mm)</t>
  </si>
  <si>
    <t>R1164   No5.Stitcher Width Raise Up Position (mm)</t>
  </si>
  <si>
    <t>R1165   No5.Stitcher End Position (mm)</t>
  </si>
  <si>
    <t>R1166   No5.Stitcher Arm Pressure Change Position (mm)</t>
  </si>
  <si>
    <t>R1167   No5.Stitcher Middle Position Move Delay Time (sec.)</t>
  </si>
  <si>
    <t>R1168   No5.Stitcher Width End Position Move Delay Time (sec.)</t>
  </si>
  <si>
    <t>R1169   No5.Stitcher Arm Open Delay Time (sec.)</t>
  </si>
  <si>
    <t>R1170   No.1 Stitcher Low Pressure (MPa) Max 0.5MPa</t>
  </si>
  <si>
    <t>R1171   No.2 Stitcher Low Pressure (MPa) Max 0.5MPa</t>
  </si>
  <si>
    <t>R1172   No.3 Stitcher Low Pressure (MPa) Max 0.5MPa</t>
  </si>
  <si>
    <t>R1173   No.1 Stitcher Low Pressure In Time (sec.)</t>
  </si>
  <si>
    <t>R1174   No.2 Stitcher Low Pressure In Time (sec.)</t>
  </si>
  <si>
    <t>R1175   No.3 Stitcher Low Pressure In Time (sec.)</t>
  </si>
  <si>
    <t>R1176   Spare 172</t>
  </si>
  <si>
    <t>R1177   Spare 173</t>
  </si>
  <si>
    <t>R1178   Spare 174</t>
  </si>
  <si>
    <t>R1179   Spare 175</t>
  </si>
  <si>
    <t>Verify material 1 (Top)</t>
  </si>
  <si>
    <t>Verify material 3 (Belt-1)</t>
  </si>
  <si>
    <t>Verify material 4 (Belt-2)</t>
  </si>
  <si>
    <t>Verify material 10 (SPL)</t>
  </si>
  <si>
    <t>Verify material 18(TOP2)</t>
  </si>
  <si>
    <t>Verify material 20 (Tire barcode)</t>
  </si>
  <si>
    <t>BOM_BELT1_PARTID</t>
  </si>
  <si>
    <t>BOM_BELT1_MACHINEGROUP</t>
  </si>
  <si>
    <t>BOM_BELT1_PARTNUMBER</t>
  </si>
  <si>
    <t>BOM_BELT1_REVISIONNO</t>
  </si>
  <si>
    <t>BOM_BELT1_LENGTH</t>
  </si>
  <si>
    <t>BOM_BELT2_PARTID</t>
  </si>
  <si>
    <t>BOM_BELT2_MACHINEGROUP</t>
  </si>
  <si>
    <t>BOM_BELT2_PARTNUMBER</t>
  </si>
  <si>
    <t>BOM_BELT2_REVISIONNO</t>
  </si>
  <si>
    <t>BOM_BELT2_LENGTH</t>
  </si>
  <si>
    <t>BOM_LAY_PARTID</t>
  </si>
  <si>
    <t>BOM_LAY_MACHINEGROUP</t>
  </si>
  <si>
    <t>BOM_LAY_PARTNUMBER</t>
  </si>
  <si>
    <t>BOM_LAY_REVISIONNO</t>
  </si>
  <si>
    <t>BOM_LAY_LENGTH</t>
  </si>
  <si>
    <t>BOM_TOP_PARTID</t>
  </si>
  <si>
    <t>BOM_TOP_MACHINEGROUP</t>
  </si>
  <si>
    <t>BOM_TOP_PARTNUMBER</t>
  </si>
  <si>
    <t>BOM_TOP_REVISIONNO</t>
  </si>
  <si>
    <t>BOM_TOP_LENGTH</t>
  </si>
  <si>
    <t>Top Building spec - Total width</t>
  </si>
  <si>
    <t>Belt 1 Mass (Treatment)</t>
  </si>
  <si>
    <t>Belt 1 Mass (End gum)</t>
  </si>
  <si>
    <t>Belt 2 Mass (Treatment)</t>
  </si>
  <si>
    <t>Belt 2 Mass (End gum)</t>
  </si>
  <si>
    <t>Top Mass mini side</t>
  </si>
  <si>
    <t>Top Mass after DT</t>
  </si>
  <si>
    <t>Top Mass cap</t>
  </si>
  <si>
    <t>Top Mass base</t>
  </si>
  <si>
    <t>Top Mass tuc</t>
  </si>
  <si>
    <t>Top Mass antenna</t>
  </si>
  <si>
    <t>SPL_MASS</t>
  </si>
  <si>
    <t>For database reference(Data key of Circum)</t>
  </si>
  <si>
    <t>For database reference(Data key of Circum)2</t>
  </si>
  <si>
    <t>For database reference(Data key of O-Ring)</t>
  </si>
  <si>
    <t>Top Tread Width</t>
  </si>
  <si>
    <t>Wing Tip Width</t>
  </si>
  <si>
    <t>Belt 1 Gum</t>
  </si>
  <si>
    <t>Belt 2 Gum</t>
  </si>
  <si>
    <t>SPL_P1_VALID_CHECK</t>
  </si>
  <si>
    <t>SPL_P2_VALID_CHECK</t>
  </si>
  <si>
    <t>SPL_P3_VALID_CHECK</t>
  </si>
  <si>
    <t>SPL_REVISION_INVALID</t>
  </si>
  <si>
    <t>SPL_NO_NEED</t>
  </si>
  <si>
    <t>SPL_NEED</t>
  </si>
  <si>
    <t>SPL_P1</t>
  </si>
  <si>
    <t>SPL_P3</t>
  </si>
  <si>
    <t>PROCESS2ND_032_UNIT:10DEG</t>
  </si>
  <si>
    <t>CHECK_OF_SIDEWALLSTITCHER</t>
  </si>
  <si>
    <t>CHECK_OF_TOPTREADSTITCHER</t>
  </si>
  <si>
    <t>CHECK_OF_SW_ST_STOP</t>
  </si>
  <si>
    <t>Side set position</t>
  </si>
  <si>
    <t>Bead Set Width</t>
  </si>
  <si>
    <t>Bead Width</t>
  </si>
  <si>
    <t>Bead Ring Circumference</t>
  </si>
  <si>
    <t>1st stage construction</t>
  </si>
  <si>
    <t>Low Bead Lock pressure</t>
  </si>
  <si>
    <t>High Bead Lock pressure</t>
  </si>
  <si>
    <t>2</t>
  </si>
  <si>
    <t>55</t>
  </si>
  <si>
    <t>M</t>
  </si>
  <si>
    <t>ZAC</t>
  </si>
  <si>
    <t>SR-AR180TR</t>
  </si>
  <si>
    <t>R</t>
  </si>
  <si>
    <t>SR-AR170-L</t>
  </si>
  <si>
    <t>SL-2A012</t>
  </si>
  <si>
    <t>TT0080AA</t>
  </si>
  <si>
    <t>BR_3-_9L</t>
  </si>
  <si>
    <t>BK73-03</t>
  </si>
  <si>
    <t>BK73-02</t>
  </si>
  <si>
    <t>BT340-500B</t>
  </si>
  <si>
    <t>BT340-530B</t>
  </si>
  <si>
    <t>K16-370KF</t>
  </si>
  <si>
    <t>N200516MS</t>
  </si>
  <si>
    <t>MG249-45A</t>
  </si>
  <si>
    <t>BC</t>
  </si>
  <si>
    <t>NB16-27BR</t>
  </si>
  <si>
    <t>-</t>
  </si>
  <si>
    <t>SDR-030</t>
  </si>
  <si>
    <t>OBS660-530B</t>
  </si>
  <si>
    <t>Silicone</t>
  </si>
  <si>
    <t>LA-01 / KA-03</t>
  </si>
  <si>
    <t>RC-20 / KC-13</t>
  </si>
  <si>
    <t>KE-02 / KE-08</t>
  </si>
  <si>
    <t>KH-08/KHH002</t>
  </si>
  <si>
    <t>KH-09/KHH002</t>
  </si>
  <si>
    <t>SD075B</t>
  </si>
  <si>
    <t>+/-3</t>
  </si>
  <si>
    <t>G40</t>
  </si>
  <si>
    <t>T158</t>
  </si>
  <si>
    <t>T011</t>
  </si>
  <si>
    <t>W01</t>
  </si>
  <si>
    <t>T004</t>
  </si>
  <si>
    <t>WHITE</t>
  </si>
  <si>
    <t>G22</t>
  </si>
  <si>
    <t>50</t>
  </si>
  <si>
    <t>CCR</t>
  </si>
  <si>
    <t>SR-CS250TR</t>
  </si>
  <si>
    <t>SR-CS240-L</t>
  </si>
  <si>
    <t>TT0112AF</t>
  </si>
  <si>
    <t>BR_4-_9L</t>
  </si>
  <si>
    <t>BK73-05</t>
  </si>
  <si>
    <t>BK73-07</t>
  </si>
  <si>
    <t>BT340-630B</t>
  </si>
  <si>
    <t>BT340-650B</t>
  </si>
  <si>
    <t>K20-460KF</t>
  </si>
  <si>
    <t>N200220MS1</t>
  </si>
  <si>
    <t>MG316-45A</t>
  </si>
  <si>
    <t>Empty</t>
  </si>
  <si>
    <t>SY044B</t>
  </si>
  <si>
    <t>T940</t>
  </si>
  <si>
    <t>U64</t>
  </si>
  <si>
    <t>U95</t>
  </si>
  <si>
    <t>65</t>
  </si>
  <si>
    <t>REN</t>
  </si>
  <si>
    <t>SR-FS170SRF</t>
  </si>
  <si>
    <t>SR-FS160SLF</t>
  </si>
  <si>
    <t>TT0111AC</t>
  </si>
  <si>
    <t>BK73-04</t>
  </si>
  <si>
    <t>BT340-570B</t>
  </si>
  <si>
    <t>K16-400KF</t>
  </si>
  <si>
    <t>OBS680-550C</t>
  </si>
  <si>
    <t>SB088B</t>
  </si>
  <si>
    <t>+4/-2</t>
  </si>
  <si>
    <t>03.03.2026</t>
  </si>
  <si>
    <t>BSC</t>
  </si>
  <si>
    <t>SR-FS195SRF</t>
  </si>
  <si>
    <t>SR-FS185SLF</t>
  </si>
  <si>
    <t>TT0113AC</t>
  </si>
  <si>
    <t>K17-370KF</t>
  </si>
  <si>
    <t>N200417MS1</t>
  </si>
  <si>
    <t>MG260-45A</t>
  </si>
  <si>
    <t>NB17-27BR</t>
  </si>
  <si>
    <t>CEV</t>
  </si>
  <si>
    <t>SR-FT200SRF</t>
  </si>
  <si>
    <t>SR-FT190SLF</t>
  </si>
  <si>
    <t>TT0115AA</t>
  </si>
  <si>
    <t>BK-73-04</t>
  </si>
  <si>
    <t>K18-370KF</t>
  </si>
  <si>
    <t>K18-400KF</t>
  </si>
  <si>
    <t>N200318MS</t>
  </si>
  <si>
    <t>MG285-45A</t>
  </si>
  <si>
    <t>ABC</t>
  </si>
  <si>
    <t>NB18-27BR</t>
  </si>
  <si>
    <t>I3A</t>
  </si>
  <si>
    <t>SR-BT205TR</t>
  </si>
  <si>
    <t>SR-BT195-L</t>
  </si>
  <si>
    <t>TT0131AA</t>
  </si>
  <si>
    <t>BR_5-12L</t>
  </si>
  <si>
    <t>BK73-06</t>
  </si>
  <si>
    <t>BT340-590B</t>
  </si>
  <si>
    <t>K19-400KF</t>
  </si>
  <si>
    <t>N200219MS1</t>
  </si>
  <si>
    <t>MG299-45A</t>
  </si>
  <si>
    <t>SD075BL</t>
  </si>
  <si>
    <t>18.03.2026</t>
  </si>
  <si>
    <t>45</t>
  </si>
  <si>
    <t>C7J</t>
  </si>
  <si>
    <t>SR-AS215TR</t>
  </si>
  <si>
    <t>SR-AS205-L</t>
  </si>
  <si>
    <t>TT0121AB</t>
  </si>
  <si>
    <t>K20-370KF</t>
  </si>
  <si>
    <t>K40</t>
  </si>
  <si>
    <t>SR-FS180SRF</t>
  </si>
  <si>
    <t>SR-FS170SLF</t>
  </si>
  <si>
    <t>TT0117AH</t>
  </si>
  <si>
    <t>K16-340KF</t>
  </si>
  <si>
    <t>OBS635-505C</t>
  </si>
  <si>
    <t>S9P</t>
  </si>
  <si>
    <t>SR-FS200SRF</t>
  </si>
  <si>
    <t>SR-FS190SLF</t>
  </si>
  <si>
    <t>TT0114AL</t>
  </si>
  <si>
    <t>K17-340KF</t>
  </si>
  <si>
    <t>O4L</t>
  </si>
  <si>
    <t>SR-BS190TR</t>
  </si>
  <si>
    <t>SR-BS180-L</t>
  </si>
  <si>
    <t>TT0116AD</t>
  </si>
  <si>
    <t>06.03.2026</t>
  </si>
  <si>
    <t>I33</t>
  </si>
  <si>
    <t>SR-FT205SRF</t>
  </si>
  <si>
    <t>SR-FT195SLF</t>
  </si>
  <si>
    <t>TT0133AA</t>
  </si>
  <si>
    <t>K19-370KF</t>
  </si>
  <si>
    <t>28.11.2025</t>
  </si>
  <si>
    <t>NW7</t>
  </si>
  <si>
    <t>TT0135AA</t>
  </si>
  <si>
    <t>K20-400KF</t>
  </si>
  <si>
    <t>CC4</t>
  </si>
  <si>
    <t>SR-BS180TR</t>
  </si>
  <si>
    <t>SR-BS170-L</t>
  </si>
  <si>
    <t>TT0119AB</t>
  </si>
  <si>
    <t>11.03.2026</t>
  </si>
  <si>
    <t>60</t>
  </si>
  <si>
    <t>RUK</t>
  </si>
  <si>
    <t>TT0118AB</t>
  </si>
  <si>
    <t>K17-400KF</t>
  </si>
  <si>
    <t>RRP</t>
  </si>
  <si>
    <t>SR-AS205TR</t>
  </si>
  <si>
    <t>SR-AS195-L</t>
  </si>
  <si>
    <t>TT0124AA</t>
  </si>
  <si>
    <t>10.03.2026</t>
  </si>
  <si>
    <t>BKS</t>
  </si>
  <si>
    <t>TT0145AB</t>
  </si>
  <si>
    <t>K19-340KF</t>
  </si>
  <si>
    <t>09.12.2025</t>
  </si>
  <si>
    <t>F08</t>
  </si>
  <si>
    <t>SR-AS220TR</t>
  </si>
  <si>
    <t>SR-AS210-L</t>
  </si>
  <si>
    <t>TT0136AC</t>
  </si>
  <si>
    <t>9Z9</t>
  </si>
  <si>
    <t>TT0120AB</t>
  </si>
  <si>
    <t>15.05.2026</t>
  </si>
  <si>
    <t>T91</t>
  </si>
  <si>
    <t>TT0125AD</t>
  </si>
  <si>
    <t>K18-340KF</t>
  </si>
  <si>
    <t>L5R</t>
  </si>
  <si>
    <t>TT0147AB</t>
  </si>
  <si>
    <t>FVE</t>
  </si>
  <si>
    <t>SR-CS230TR</t>
  </si>
  <si>
    <t>SR-CS220-L</t>
  </si>
  <si>
    <t>TT0138AC</t>
  </si>
  <si>
    <t>K20-430KFA</t>
  </si>
  <si>
    <t>LEE</t>
  </si>
  <si>
    <t>TT0122AB</t>
  </si>
  <si>
    <t>I35</t>
  </si>
  <si>
    <t>TT0126AD</t>
  </si>
  <si>
    <t>I39</t>
  </si>
  <si>
    <t>SR-FT220SRF</t>
  </si>
  <si>
    <t>SR-FT210SLF</t>
  </si>
  <si>
    <t>TT0148AB</t>
  </si>
  <si>
    <t>9ZA</t>
  </si>
  <si>
    <t>TT0123AA</t>
  </si>
  <si>
    <t>I2W</t>
  </si>
  <si>
    <t>SR-DS220TR</t>
  </si>
  <si>
    <t>SR-DS210-L</t>
  </si>
  <si>
    <t>TT0128AD</t>
  </si>
  <si>
    <t>K18-460KF</t>
  </si>
  <si>
    <t>K18-430KF</t>
  </si>
  <si>
    <t>Rubber</t>
  </si>
  <si>
    <t>SY044BL</t>
  </si>
  <si>
    <t>20.02.2026</t>
  </si>
  <si>
    <t>LFM</t>
  </si>
  <si>
    <t>TT0149AB</t>
  </si>
  <si>
    <t>K19-430KFA</t>
  </si>
  <si>
    <t>P03</t>
  </si>
  <si>
    <t>SR-FS185SRF</t>
  </si>
  <si>
    <t>SR-FS175SLF</t>
  </si>
  <si>
    <t>TT0127AA</t>
  </si>
  <si>
    <t>HDO</t>
  </si>
  <si>
    <t>SR-BS205TR</t>
  </si>
  <si>
    <t>SR-BS195-L</t>
  </si>
  <si>
    <t>TT0130AC</t>
  </si>
  <si>
    <t>26.03.2026</t>
  </si>
  <si>
    <t>G09</t>
  </si>
  <si>
    <t>TT0153AC</t>
  </si>
  <si>
    <t>PQB</t>
  </si>
  <si>
    <t>TT0129AB</t>
  </si>
  <si>
    <t>K17-460KF</t>
  </si>
  <si>
    <t>15.04.2026</t>
  </si>
  <si>
    <t>HQ6</t>
  </si>
  <si>
    <t>SR-CS195TR</t>
  </si>
  <si>
    <t>SR-CS185-L</t>
  </si>
  <si>
    <t>TT0132AA</t>
  </si>
  <si>
    <t>IU4</t>
  </si>
  <si>
    <t>SR-CS240TR</t>
  </si>
  <si>
    <t>SR-CS230-L</t>
  </si>
  <si>
    <t>TT0154AB</t>
  </si>
  <si>
    <t>HQ5</t>
  </si>
  <si>
    <t>SR-DS195TR</t>
  </si>
  <si>
    <t>SR-DS185-L</t>
  </si>
  <si>
    <t>TT0134AD</t>
  </si>
  <si>
    <t>K17-430KFA</t>
  </si>
  <si>
    <t>WLF</t>
  </si>
  <si>
    <t>TT0139AB</t>
  </si>
  <si>
    <t>K78</t>
  </si>
  <si>
    <t>TT0137AA</t>
  </si>
  <si>
    <t>40</t>
  </si>
  <si>
    <t>PI9</t>
  </si>
  <si>
    <t>TT0140AA</t>
  </si>
  <si>
    <t>BXU</t>
  </si>
  <si>
    <t>TT0141AB</t>
  </si>
  <si>
    <t>9ZB</t>
  </si>
  <si>
    <t>SR-DR250TR</t>
  </si>
  <si>
    <t>SR-DR240-L</t>
  </si>
  <si>
    <t>TT0143AC</t>
  </si>
  <si>
    <t>BK73-08</t>
  </si>
  <si>
    <t>BT340-670B</t>
  </si>
  <si>
    <t>K18-490KF</t>
  </si>
  <si>
    <t>23.03.2026</t>
  </si>
  <si>
    <t>JJZ</t>
  </si>
  <si>
    <t>SR-FT210SRF</t>
  </si>
  <si>
    <t>SR-FT200SLF</t>
  </si>
  <si>
    <t>TT0142AA</t>
  </si>
  <si>
    <t>I31</t>
  </si>
  <si>
    <t>SR-CS200TR</t>
  </si>
  <si>
    <t>SR-CS190-L</t>
  </si>
  <si>
    <t>TT0146AA</t>
  </si>
  <si>
    <t>XQS</t>
  </si>
  <si>
    <t>TT0144AC</t>
  </si>
  <si>
    <t>VQR</t>
  </si>
  <si>
    <t>TT0150AB</t>
  </si>
  <si>
    <t>D0S</t>
  </si>
  <si>
    <t>TT0152AA</t>
  </si>
  <si>
    <t>VG2</t>
  </si>
  <si>
    <t>TT0151AA</t>
  </si>
  <si>
    <t>VJ3</t>
  </si>
  <si>
    <t>SR-DR225TR</t>
  </si>
  <si>
    <t>SR-DR215-L</t>
  </si>
  <si>
    <t>TT0216AD</t>
  </si>
  <si>
    <t>T640</t>
  </si>
  <si>
    <t>T746</t>
  </si>
  <si>
    <t>QLI</t>
  </si>
  <si>
    <t>SR-DR235TR</t>
  </si>
  <si>
    <t>SR-DR225-L</t>
  </si>
  <si>
    <t>TT0293AB</t>
  </si>
  <si>
    <t>PFG</t>
  </si>
  <si>
    <t>SR-DR230TR</t>
  </si>
  <si>
    <t>SR-DR220-L</t>
  </si>
  <si>
    <t>TT0215AB</t>
  </si>
  <si>
    <t>K19-460KFA</t>
  </si>
  <si>
    <t>N63</t>
  </si>
  <si>
    <t>SR-BR205TR</t>
  </si>
  <si>
    <t>SR-BR195-L</t>
  </si>
  <si>
    <t>TT0217AD</t>
  </si>
  <si>
    <t>02,09,2026</t>
  </si>
  <si>
    <t>EYB</t>
  </si>
  <si>
    <t>TT0218AC</t>
  </si>
  <si>
    <t>GIJ</t>
  </si>
  <si>
    <t>SR-BR215TR</t>
  </si>
  <si>
    <t>SR-BR205-L</t>
  </si>
  <si>
    <t>TT0220AC</t>
  </si>
  <si>
    <t>BUQ</t>
  </si>
  <si>
    <t>TT0219AC</t>
  </si>
  <si>
    <t>PUU</t>
  </si>
  <si>
    <t>SR-BR210TR</t>
  </si>
  <si>
    <t>SR-BR200-L</t>
  </si>
  <si>
    <t>TT0223AD</t>
  </si>
  <si>
    <t>J8H</t>
  </si>
  <si>
    <t>SR-BR195TR</t>
  </si>
  <si>
    <t>SR-BR185-L</t>
  </si>
  <si>
    <t>TT0221AC</t>
  </si>
  <si>
    <t>MJX</t>
  </si>
  <si>
    <t>TT0222AC</t>
  </si>
  <si>
    <t>JJ2</t>
  </si>
  <si>
    <t>SR-FR195SRF</t>
  </si>
  <si>
    <t>SR-FR185SLF</t>
  </si>
  <si>
    <t>TT0224AC</t>
  </si>
  <si>
    <t>RV2</t>
  </si>
  <si>
    <t>TT0229AC</t>
  </si>
  <si>
    <t>T134</t>
  </si>
  <si>
    <t>VSF</t>
  </si>
  <si>
    <t>TT0225AC</t>
  </si>
  <si>
    <t>AQY</t>
  </si>
  <si>
    <t>TT0230AC</t>
  </si>
  <si>
    <t>R80</t>
  </si>
  <si>
    <t>TT0226AB</t>
  </si>
  <si>
    <t>ES5</t>
  </si>
  <si>
    <t>SR-BR220TR</t>
  </si>
  <si>
    <t>SR-BR210-L</t>
  </si>
  <si>
    <t>TT0232AC</t>
  </si>
  <si>
    <t>XYZ</t>
  </si>
  <si>
    <t>TT0227AB</t>
  </si>
  <si>
    <t>ENE</t>
  </si>
  <si>
    <t>SR-DR220TR</t>
  </si>
  <si>
    <t>SR-DR210-L</t>
  </si>
  <si>
    <t>TT0233AB</t>
  </si>
  <si>
    <t>PCG</t>
  </si>
  <si>
    <t>TT0228AC</t>
  </si>
  <si>
    <t>DFI</t>
  </si>
  <si>
    <t>TT0231AC</t>
  </si>
  <si>
    <t>AYJ</t>
  </si>
  <si>
    <t>TT0234AB</t>
  </si>
  <si>
    <t>91J</t>
  </si>
  <si>
    <t>SR-FR140SRF</t>
  </si>
  <si>
    <t>SR-FR130SLF</t>
  </si>
  <si>
    <t>SL-2C012</t>
  </si>
  <si>
    <t>TT0083AA</t>
  </si>
  <si>
    <t>BK78-02</t>
  </si>
  <si>
    <t>BT240-470B</t>
  </si>
  <si>
    <t>K14-310KFA</t>
  </si>
  <si>
    <t>N150214RS</t>
  </si>
  <si>
    <t>BL</t>
  </si>
  <si>
    <t>R14-360HZ</t>
  </si>
  <si>
    <t>R14-200HJ</t>
  </si>
  <si>
    <t>JK100BL-F30</t>
  </si>
  <si>
    <t>T573</t>
  </si>
  <si>
    <t>HPW</t>
  </si>
  <si>
    <t>SR-FS150SRF</t>
  </si>
  <si>
    <t>SR-FS140SLF</t>
  </si>
  <si>
    <t>TT0087AA</t>
  </si>
  <si>
    <t>BT340-470B</t>
  </si>
  <si>
    <t>K15-310KFA</t>
  </si>
  <si>
    <t>N200215MS</t>
  </si>
  <si>
    <t>MG233-45A</t>
  </si>
  <si>
    <t>NB15-27BR</t>
  </si>
  <si>
    <t>17.08.206</t>
  </si>
  <si>
    <t>HPQ</t>
  </si>
  <si>
    <t>SR-FS175SRF</t>
  </si>
  <si>
    <t>SR-FS165SLF</t>
  </si>
  <si>
    <t>TT0082AA</t>
  </si>
  <si>
    <t>RRX</t>
  </si>
  <si>
    <t>SR-FS190SRF</t>
  </si>
  <si>
    <t>SR-FS180SLF</t>
  </si>
  <si>
    <t>TT0085AC</t>
  </si>
  <si>
    <t>HQ0</t>
  </si>
  <si>
    <t>SR-CS235-L</t>
  </si>
  <si>
    <t>TT0084AD</t>
  </si>
  <si>
    <t>HQ1</t>
  </si>
  <si>
    <t>TT0095AC</t>
  </si>
  <si>
    <t>TT0093AB</t>
  </si>
  <si>
    <t>K14-340KFA</t>
  </si>
  <si>
    <t>HPT</t>
  </si>
  <si>
    <t>TT0089AA</t>
  </si>
  <si>
    <t>70</t>
  </si>
  <si>
    <t>I2Z</t>
  </si>
  <si>
    <t>SR-AS165TR</t>
  </si>
  <si>
    <t>SR-AS155-L</t>
  </si>
  <si>
    <t>TT0086AD</t>
  </si>
  <si>
    <t>9ZD</t>
  </si>
  <si>
    <t>TT0088AA</t>
  </si>
  <si>
    <t>I40</t>
  </si>
  <si>
    <t>SR-DS230TR</t>
  </si>
  <si>
    <t>SR-DS215-L</t>
  </si>
  <si>
    <t>TT0100AB</t>
  </si>
  <si>
    <t>17.12.2025</t>
  </si>
  <si>
    <t>HPZ</t>
  </si>
  <si>
    <t>TT0097AC</t>
  </si>
  <si>
    <t>91K</t>
  </si>
  <si>
    <t>TT0096AB</t>
  </si>
  <si>
    <t>R14-410HZ</t>
  </si>
  <si>
    <t>R14-250HJ</t>
  </si>
  <si>
    <t>HPU</t>
  </si>
  <si>
    <t>SR-FS160SRF</t>
  </si>
  <si>
    <t>SR-FS150SLF</t>
  </si>
  <si>
    <t>TT0090AC</t>
  </si>
  <si>
    <t>K15-340KF</t>
  </si>
  <si>
    <t>9ZC</t>
  </si>
  <si>
    <t>SR-BS170TR</t>
  </si>
  <si>
    <t>SR-BS160-L</t>
  </si>
  <si>
    <t>TT0091AB</t>
  </si>
  <si>
    <t>I34</t>
  </si>
  <si>
    <t>TT0094AA</t>
  </si>
  <si>
    <t>GGQ</t>
  </si>
  <si>
    <t>SR-DS225TR</t>
  </si>
  <si>
    <t>TT0101AB</t>
  </si>
  <si>
    <t>YY4</t>
  </si>
  <si>
    <t>TT0162AA</t>
  </si>
  <si>
    <t>91L</t>
  </si>
  <si>
    <t>SL-2B012</t>
  </si>
  <si>
    <t>TT0098AC</t>
  </si>
  <si>
    <t>K15-370KF</t>
  </si>
  <si>
    <t>JK100B-F30</t>
  </si>
  <si>
    <t>HPR</t>
  </si>
  <si>
    <t>TT0092AA</t>
  </si>
  <si>
    <t>HPY</t>
  </si>
  <si>
    <t>TT0099AC</t>
  </si>
  <si>
    <t>BBY</t>
  </si>
  <si>
    <t>TT0109AB</t>
  </si>
  <si>
    <t>VMG</t>
  </si>
  <si>
    <t>SR-AS195TR</t>
  </si>
  <si>
    <t>SR-AS185-L</t>
  </si>
  <si>
    <t>TT0163AB</t>
  </si>
  <si>
    <t>HPV</t>
  </si>
  <si>
    <t>SR-FS165SRF</t>
  </si>
  <si>
    <t>SR-FS155SLF</t>
  </si>
  <si>
    <t>TT0105AB</t>
  </si>
  <si>
    <t>HPS</t>
  </si>
  <si>
    <t>TT0103AA</t>
  </si>
  <si>
    <t>I37</t>
  </si>
  <si>
    <t>TT0102AF</t>
  </si>
  <si>
    <t>RBX</t>
  </si>
  <si>
    <t>SR-AS185TR</t>
  </si>
  <si>
    <t>SR-AS175-L</t>
  </si>
  <si>
    <t>TT0159AB</t>
  </si>
  <si>
    <t>M6K</t>
  </si>
  <si>
    <t>TT0164AC</t>
  </si>
  <si>
    <t>91G</t>
  </si>
  <si>
    <t>SR-FR160SRF</t>
  </si>
  <si>
    <t>SR-FR150SLF</t>
  </si>
  <si>
    <t>TT0106AB</t>
  </si>
  <si>
    <t>I3U</t>
  </si>
  <si>
    <t>TT0110AB</t>
  </si>
  <si>
    <t>K16-430KFA</t>
  </si>
  <si>
    <t>I30</t>
  </si>
  <si>
    <t>TT0104AA</t>
  </si>
  <si>
    <t>U8A</t>
  </si>
  <si>
    <t>TT0155AC</t>
  </si>
  <si>
    <t>False</t>
  </si>
  <si>
    <t>AEM</t>
  </si>
  <si>
    <t>TT0156AB</t>
  </si>
  <si>
    <t>16.12.2025</t>
  </si>
  <si>
    <t>I3X</t>
  </si>
  <si>
    <t>TT0107AB</t>
  </si>
  <si>
    <t>RBP</t>
  </si>
  <si>
    <t>TT0158AA</t>
  </si>
  <si>
    <t>I3Z</t>
  </si>
  <si>
    <t>SR-CQ220TR</t>
  </si>
  <si>
    <t>SR-CQ205-L</t>
  </si>
  <si>
    <t>TT0108AB</t>
  </si>
  <si>
    <t>HI1</t>
  </si>
  <si>
    <t>TT0160AC</t>
  </si>
  <si>
    <t>DY0</t>
  </si>
  <si>
    <t>TT0157AA</t>
  </si>
  <si>
    <t>JRT</t>
  </si>
  <si>
    <t>TT0161AB</t>
  </si>
  <si>
    <t>AM0</t>
  </si>
  <si>
    <t>SR-BS225TR</t>
  </si>
  <si>
    <t>SR-BS215-L</t>
  </si>
  <si>
    <t>TT0200AB</t>
  </si>
  <si>
    <t>9ZG</t>
  </si>
  <si>
    <t>SR-FR150SRF</t>
  </si>
  <si>
    <t>SR-FR140SLF</t>
  </si>
  <si>
    <t>TT0001AA</t>
  </si>
  <si>
    <t>9ZH</t>
  </si>
  <si>
    <t>SR-FR155SRF</t>
  </si>
  <si>
    <t>SR-FR145SLF</t>
  </si>
  <si>
    <t>TT0004AC</t>
  </si>
  <si>
    <t>9ZN</t>
  </si>
  <si>
    <t>SR-FR165SRF</t>
  </si>
  <si>
    <t>SR-FR155SLF</t>
  </si>
  <si>
    <t>TT0002AA</t>
  </si>
  <si>
    <t>YXL</t>
  </si>
  <si>
    <t>SR-FR190SRF</t>
  </si>
  <si>
    <t>SR-FR180SLF</t>
  </si>
  <si>
    <t>TT0045AC</t>
  </si>
  <si>
    <t>CY1</t>
  </si>
  <si>
    <t>SR-CS190TR</t>
  </si>
  <si>
    <t>SR-CS180-L</t>
  </si>
  <si>
    <t>TT0197AB</t>
  </si>
  <si>
    <t>IMV</t>
  </si>
  <si>
    <t>SR-BS195TR</t>
  </si>
  <si>
    <t>SR-BS185-L</t>
  </si>
  <si>
    <t>TT0199AB</t>
  </si>
  <si>
    <t>SOG</t>
  </si>
  <si>
    <t>SR-BS210TR</t>
  </si>
  <si>
    <t>SR-BS200-L</t>
  </si>
  <si>
    <t>TT0292AB</t>
  </si>
  <si>
    <t>4A4</t>
  </si>
  <si>
    <t>SR-FR135SRF</t>
  </si>
  <si>
    <t>SR-FR125SLF</t>
  </si>
  <si>
    <t>TT0057AA</t>
  </si>
  <si>
    <t>19.05.2026</t>
  </si>
  <si>
    <t>9ZI</t>
  </si>
  <si>
    <t>SR-FR145SRF</t>
  </si>
  <si>
    <t>SR-FR135SLF</t>
  </si>
  <si>
    <t>TT0005AB</t>
  </si>
  <si>
    <t>9ZL</t>
  </si>
  <si>
    <t>SR-FR175SRF</t>
  </si>
  <si>
    <t>SR-FR165SLF</t>
  </si>
  <si>
    <t>TT0003AA</t>
  </si>
  <si>
    <t>TZD</t>
  </si>
  <si>
    <t>SR-DR205TR</t>
  </si>
  <si>
    <t>SR-DR195-L</t>
  </si>
  <si>
    <t>TT0187AC</t>
  </si>
  <si>
    <t>BR_5-14L</t>
  </si>
  <si>
    <t>K9V</t>
  </si>
  <si>
    <t>SR-BS185TR</t>
  </si>
  <si>
    <t>SR-BS175-L</t>
  </si>
  <si>
    <t>TT0198AB</t>
  </si>
  <si>
    <t>HPL</t>
  </si>
  <si>
    <t>SR-BS200TR</t>
  </si>
  <si>
    <t>SR-BS190-L</t>
  </si>
  <si>
    <t>TT0201AB</t>
  </si>
  <si>
    <t>WNH</t>
  </si>
  <si>
    <t>SR-CS220TR</t>
  </si>
  <si>
    <t>SR-CS210-L</t>
  </si>
  <si>
    <t>TT0203AB</t>
  </si>
  <si>
    <t>9ZK</t>
  </si>
  <si>
    <t>TT0039AA</t>
  </si>
  <si>
    <t>9ZM</t>
  </si>
  <si>
    <t>TT0054AC</t>
  </si>
  <si>
    <t>MBJ</t>
  </si>
  <si>
    <t>TT0189AC</t>
  </si>
  <si>
    <t>YTH</t>
  </si>
  <si>
    <t>SR-DS210TR</t>
  </si>
  <si>
    <t>SR-DS200-L</t>
  </si>
  <si>
    <t>TT0204AB</t>
  </si>
  <si>
    <t>BSW</t>
  </si>
  <si>
    <t>TT0213AA</t>
  </si>
  <si>
    <t>SQ4</t>
  </si>
  <si>
    <t>TT0205AB</t>
  </si>
  <si>
    <t>9ZJ</t>
  </si>
  <si>
    <t>TT0053AA</t>
  </si>
  <si>
    <t>IY1</t>
  </si>
  <si>
    <t>TT0190AC</t>
  </si>
  <si>
    <t>Q08</t>
  </si>
  <si>
    <t>TT0192AB</t>
  </si>
  <si>
    <t>Y9S</t>
  </si>
  <si>
    <t>TT0207AA</t>
  </si>
  <si>
    <t>K18-340KFA</t>
  </si>
  <si>
    <t>YC4</t>
  </si>
  <si>
    <t>SR-BS215TR</t>
  </si>
  <si>
    <t>SR-BS205-L</t>
  </si>
  <si>
    <t>TT0214AB</t>
  </si>
  <si>
    <t>K6M</t>
  </si>
  <si>
    <t>SR-BS155TR</t>
  </si>
  <si>
    <t>SR-BS145-L</t>
  </si>
  <si>
    <t>TT0188AA</t>
  </si>
  <si>
    <t>XNK</t>
  </si>
  <si>
    <t>TT0191AB</t>
  </si>
  <si>
    <t>JD4</t>
  </si>
  <si>
    <t>TT0193AB</t>
  </si>
  <si>
    <t>EVU</t>
  </si>
  <si>
    <t>TT0208AA</t>
  </si>
  <si>
    <t>FYW</t>
  </si>
  <si>
    <t>SR-FS155SRF</t>
  </si>
  <si>
    <t>SR-FS145SLF</t>
  </si>
  <si>
    <t>TT0206AC</t>
  </si>
  <si>
    <t>EA9</t>
  </si>
  <si>
    <t>TT0194AC</t>
  </si>
  <si>
    <t>HRB</t>
  </si>
  <si>
    <t>TT0195AB</t>
  </si>
  <si>
    <t>BK-73-02</t>
  </si>
  <si>
    <t>DL9</t>
  </si>
  <si>
    <t>TT0209AB</t>
  </si>
  <si>
    <t>YGS</t>
  </si>
  <si>
    <t>SR-DS185TR</t>
  </si>
  <si>
    <t>SR-DS175-L</t>
  </si>
  <si>
    <t>TT0196AC</t>
  </si>
  <si>
    <t>I9C</t>
  </si>
  <si>
    <t>TT0211AB</t>
  </si>
  <si>
    <t>STI</t>
  </si>
  <si>
    <t>SR-DS175TR</t>
  </si>
  <si>
    <t>SR-DS165-L</t>
  </si>
  <si>
    <t>TT0210AC</t>
  </si>
  <si>
    <t>Y1A</t>
  </si>
  <si>
    <t>TT0212AA</t>
  </si>
  <si>
    <t>04.03.2024</t>
  </si>
  <si>
    <t>BCD</t>
  </si>
  <si>
    <t>SR-AS180TR</t>
  </si>
  <si>
    <t>SR-AS170-L</t>
  </si>
  <si>
    <t>TT0107AC</t>
  </si>
  <si>
    <t>LA-01</t>
  </si>
  <si>
    <t>RC-20</t>
  </si>
  <si>
    <t>KE-02</t>
  </si>
  <si>
    <t>T309</t>
  </si>
  <si>
    <t>OQO</t>
  </si>
  <si>
    <t>SR-BW225TR</t>
  </si>
  <si>
    <t>SR-BW215-L</t>
  </si>
  <si>
    <t>TT0236AF</t>
  </si>
  <si>
    <t>K20-340KF</t>
  </si>
  <si>
    <t>T154</t>
  </si>
  <si>
    <t>XOF</t>
  </si>
  <si>
    <t>SR-DS235TR</t>
  </si>
  <si>
    <t>SR-DS225-L</t>
  </si>
  <si>
    <t>TT0235AC</t>
  </si>
  <si>
    <t>X6Y</t>
  </si>
  <si>
    <t>SR-BS230TR</t>
  </si>
  <si>
    <t>SR-BS220-L</t>
  </si>
  <si>
    <t>TT0238AB</t>
  </si>
  <si>
    <t>EIU</t>
  </si>
  <si>
    <t>TT0237AA</t>
  </si>
  <si>
    <t>TNW</t>
  </si>
  <si>
    <t>TT0240AB</t>
  </si>
  <si>
    <t>MKD</t>
  </si>
  <si>
    <t>TT0239AC</t>
  </si>
  <si>
    <t>P80</t>
  </si>
  <si>
    <t>SR-DS215TR</t>
  </si>
  <si>
    <t>SR-DS205-L</t>
  </si>
  <si>
    <t>TT0241AB</t>
  </si>
  <si>
    <t>YNL</t>
  </si>
  <si>
    <t>TT0243AB</t>
  </si>
  <si>
    <t>A2I</t>
  </si>
  <si>
    <t>TT0242AB</t>
  </si>
  <si>
    <t>BPO</t>
  </si>
  <si>
    <t>TT0244AB</t>
  </si>
  <si>
    <t>TGU</t>
  </si>
  <si>
    <t>TT0246AB</t>
  </si>
  <si>
    <t>G59</t>
  </si>
  <si>
    <t>SR-FR200SRF</t>
  </si>
  <si>
    <t>SR-FR190SLF</t>
  </si>
  <si>
    <t>TT0245AC</t>
  </si>
  <si>
    <t>BN6</t>
  </si>
  <si>
    <t>SR-FT145SRF</t>
  </si>
  <si>
    <t>SR-FT135SLF</t>
  </si>
  <si>
    <t>TT0017AA</t>
  </si>
  <si>
    <t>18.07.2026</t>
  </si>
  <si>
    <t>BN8</t>
  </si>
  <si>
    <t>SR-FT160SRF</t>
  </si>
  <si>
    <t>SR-FT150SLF</t>
  </si>
  <si>
    <t>TT0016AA</t>
  </si>
  <si>
    <t>BCF</t>
  </si>
  <si>
    <t>SR-FT185SRF</t>
  </si>
  <si>
    <t>SR-FT175SLF</t>
  </si>
  <si>
    <t>TT0019AA</t>
  </si>
  <si>
    <t>BCC</t>
  </si>
  <si>
    <t>SR-DT185TR</t>
  </si>
  <si>
    <t>SR-DT175-L</t>
  </si>
  <si>
    <t>TT0015AA</t>
  </si>
  <si>
    <t>YJJ</t>
  </si>
  <si>
    <t>TT0184AB</t>
  </si>
  <si>
    <t>BK78-04</t>
  </si>
  <si>
    <t>BN5</t>
  </si>
  <si>
    <t>SR-FT165SRF</t>
  </si>
  <si>
    <t>SR-FT155SLF</t>
  </si>
  <si>
    <t>TT0023AC</t>
  </si>
  <si>
    <t>BCH</t>
  </si>
  <si>
    <t>TT0027AC</t>
  </si>
  <si>
    <t>TT0021AC</t>
  </si>
  <si>
    <t>BNB</t>
  </si>
  <si>
    <t>SR-DT190TR</t>
  </si>
  <si>
    <t>SR-DT180-L</t>
  </si>
  <si>
    <t>TT0022AA</t>
  </si>
  <si>
    <t>26.06.2026</t>
  </si>
  <si>
    <t>BN2</t>
  </si>
  <si>
    <t>SR-FT150SRF</t>
  </si>
  <si>
    <t>SR-FT140SLF</t>
  </si>
  <si>
    <t>TT0026AB</t>
  </si>
  <si>
    <t>BCG</t>
  </si>
  <si>
    <t>SR-FT155SRF</t>
  </si>
  <si>
    <t>SR-FT145SLF</t>
  </si>
  <si>
    <t>TT0028AB</t>
  </si>
  <si>
    <t>BN9</t>
  </si>
  <si>
    <t>SR-FT190SRF</t>
  </si>
  <si>
    <t>SR-FT180SLF</t>
  </si>
  <si>
    <t>TT0025AA</t>
  </si>
  <si>
    <t>BNC</t>
  </si>
  <si>
    <t>SR-AT210TR</t>
  </si>
  <si>
    <t>SR-AT200-L</t>
  </si>
  <si>
    <t>TT0024AB</t>
  </si>
  <si>
    <t>BN3</t>
  </si>
  <si>
    <t>TT0032AA</t>
  </si>
  <si>
    <t>BU5</t>
  </si>
  <si>
    <t>TT0030AD</t>
  </si>
  <si>
    <t>BCE</t>
  </si>
  <si>
    <t>TT0031AC</t>
  </si>
  <si>
    <t>BNA</t>
  </si>
  <si>
    <t>TT0029AA</t>
  </si>
  <si>
    <t>BN4</t>
  </si>
  <si>
    <t>TT0034AA</t>
  </si>
  <si>
    <t>BK78-03</t>
  </si>
  <si>
    <t>BN7</t>
  </si>
  <si>
    <t>SR-FT180SRF</t>
  </si>
  <si>
    <t>SR-FT170SLF</t>
  </si>
  <si>
    <t>TT0033AC</t>
  </si>
  <si>
    <t>C82</t>
  </si>
  <si>
    <t>TT0049AA</t>
  </si>
  <si>
    <t>K16-310KF</t>
  </si>
  <si>
    <t>C87</t>
  </si>
  <si>
    <t>TT0050AB</t>
  </si>
  <si>
    <t>EGS</t>
  </si>
  <si>
    <t>TT0174AD</t>
  </si>
  <si>
    <t>NMR</t>
  </si>
  <si>
    <t>TT0177AB</t>
  </si>
  <si>
    <t>TUC</t>
  </si>
  <si>
    <t>TT0173AE</t>
  </si>
  <si>
    <t>KFQ</t>
  </si>
  <si>
    <t>SR-BR170TR</t>
  </si>
  <si>
    <t>SR-BR160-L</t>
  </si>
  <si>
    <t>TT0175AA</t>
  </si>
  <si>
    <t>YK6</t>
  </si>
  <si>
    <t>SR-BR180TR</t>
  </si>
  <si>
    <t>SR-BR170-L</t>
  </si>
  <si>
    <t>TT0180AD</t>
  </si>
  <si>
    <t>CDN</t>
  </si>
  <si>
    <t>TT0176AC</t>
  </si>
  <si>
    <t>LPJ</t>
  </si>
  <si>
    <t>SR-DR190TR</t>
  </si>
  <si>
    <t>SR-DR180-L</t>
  </si>
  <si>
    <t>TT0185AG</t>
  </si>
  <si>
    <t>K16-460KF</t>
  </si>
  <si>
    <t>XAG</t>
  </si>
  <si>
    <t>TT0178AB</t>
  </si>
  <si>
    <t>YQ1</t>
  </si>
  <si>
    <t>TT0186AE</t>
  </si>
  <si>
    <t>YQ0</t>
  </si>
  <si>
    <t>TT0179AB</t>
  </si>
  <si>
    <t>O64</t>
  </si>
  <si>
    <t>TT0181AC</t>
  </si>
  <si>
    <t>R8J</t>
  </si>
  <si>
    <t>TT0182AC</t>
  </si>
  <si>
    <t>YU6</t>
  </si>
  <si>
    <t>TT0183AB</t>
  </si>
  <si>
    <t>R8L</t>
  </si>
  <si>
    <t>SR-BR185TR</t>
  </si>
  <si>
    <t>SR-BR175-L</t>
  </si>
  <si>
    <t>TT0270AB</t>
  </si>
  <si>
    <t>T317</t>
  </si>
  <si>
    <t>T672</t>
  </si>
  <si>
    <t>XNC</t>
  </si>
  <si>
    <t>TT0287AA</t>
  </si>
  <si>
    <t>TKY</t>
  </si>
  <si>
    <t>TT0272AC</t>
  </si>
  <si>
    <t>K18-310KF</t>
  </si>
  <si>
    <t>35</t>
  </si>
  <si>
    <t>T4O</t>
  </si>
  <si>
    <t>SR-BR245TR</t>
  </si>
  <si>
    <t>SR-BR235-L</t>
  </si>
  <si>
    <t>TT0288AB</t>
  </si>
  <si>
    <t>J8Z</t>
  </si>
  <si>
    <t>SR-DR200TR</t>
  </si>
  <si>
    <t>SR-DR190-L</t>
  </si>
  <si>
    <t>TT0278AB</t>
  </si>
  <si>
    <t>W94</t>
  </si>
  <si>
    <t>TT0281AA</t>
  </si>
  <si>
    <t>LYH</t>
  </si>
  <si>
    <t>SR-DR240TR</t>
  </si>
  <si>
    <t>SR-DR230-L</t>
  </si>
  <si>
    <t>TT0283AB</t>
  </si>
  <si>
    <t>Y67</t>
  </si>
  <si>
    <t>TT0286AA</t>
  </si>
  <si>
    <t>RKM</t>
  </si>
  <si>
    <t>TT0291AD</t>
  </si>
  <si>
    <t>QAI</t>
  </si>
  <si>
    <t>TT0263AC</t>
  </si>
  <si>
    <t>ZNW</t>
  </si>
  <si>
    <t>SR-AS175TR</t>
  </si>
  <si>
    <t>SR-AS165-L</t>
  </si>
  <si>
    <t>TT0081AB</t>
  </si>
  <si>
    <t>PQT31</t>
  </si>
  <si>
    <t>RED</t>
  </si>
  <si>
    <t>HQL</t>
  </si>
  <si>
    <t>TT0247AB</t>
  </si>
  <si>
    <t>JTV</t>
  </si>
  <si>
    <t>TT0249AC</t>
  </si>
  <si>
    <t>MWX</t>
  </si>
  <si>
    <t>SR-AR220TR</t>
  </si>
  <si>
    <t>SR-AR210-L</t>
  </si>
  <si>
    <t>TT0256AB</t>
  </si>
  <si>
    <t>JUT</t>
  </si>
  <si>
    <t>TT0264AC</t>
  </si>
  <si>
    <t>UQR</t>
  </si>
  <si>
    <t>TT0289AB</t>
  </si>
  <si>
    <t>GJO</t>
  </si>
  <si>
    <t>TT0248AD</t>
  </si>
  <si>
    <t>DK2</t>
  </si>
  <si>
    <t>TT0251AD</t>
  </si>
  <si>
    <t>W7T</t>
  </si>
  <si>
    <t>TT0260AC</t>
  </si>
  <si>
    <t>LGW</t>
  </si>
  <si>
    <t>TT0265AD</t>
  </si>
  <si>
    <t>V0Y</t>
  </si>
  <si>
    <t>SR-AR190TR</t>
  </si>
  <si>
    <t>SR-AR180-L</t>
  </si>
  <si>
    <t>TT0250AB</t>
  </si>
  <si>
    <t>WRX</t>
  </si>
  <si>
    <t>SR-BR190TR</t>
  </si>
  <si>
    <t>SR-BR180-L</t>
  </si>
  <si>
    <t>TT0252AC</t>
  </si>
  <si>
    <t>Q5U</t>
  </si>
  <si>
    <t>SR-DR215TR</t>
  </si>
  <si>
    <t>SR-DR205-L</t>
  </si>
  <si>
    <t>TT0261AC</t>
  </si>
  <si>
    <t>C7B</t>
  </si>
  <si>
    <t>TT0269AC</t>
  </si>
  <si>
    <t>QF6</t>
  </si>
  <si>
    <t>TT0255AC</t>
  </si>
  <si>
    <t>BZK</t>
  </si>
  <si>
    <t>SR-CR195TR</t>
  </si>
  <si>
    <t>SR-CR185-L</t>
  </si>
  <si>
    <t>TT0253AA</t>
  </si>
  <si>
    <t>OBQ</t>
  </si>
  <si>
    <t>SR-BR240TR</t>
  </si>
  <si>
    <t>SR-BR230-L</t>
  </si>
  <si>
    <t>TT0262AC</t>
  </si>
  <si>
    <t>JXQ</t>
  </si>
  <si>
    <t>TT0275AB</t>
  </si>
  <si>
    <t>SGT</t>
  </si>
  <si>
    <t>TT0282AB</t>
  </si>
  <si>
    <t>TQH</t>
  </si>
  <si>
    <t>TT0254AD</t>
  </si>
  <si>
    <t>K0D</t>
  </si>
  <si>
    <t>TT0266AD</t>
  </si>
  <si>
    <t>R2V</t>
  </si>
  <si>
    <t>TT0276AB</t>
  </si>
  <si>
    <t>GI7</t>
  </si>
  <si>
    <t>SR-CR220TR</t>
  </si>
  <si>
    <t>SR-CR210-L</t>
  </si>
  <si>
    <t>TT0257AB</t>
  </si>
  <si>
    <t>O73</t>
  </si>
  <si>
    <t>TT0271AB</t>
  </si>
  <si>
    <t>TJM</t>
  </si>
  <si>
    <t>TT0277AB</t>
  </si>
  <si>
    <t>08,10,2026</t>
  </si>
  <si>
    <t>WIA</t>
  </si>
  <si>
    <t>TT0258AC</t>
  </si>
  <si>
    <t>X9Q</t>
  </si>
  <si>
    <t>TT0273AB</t>
  </si>
  <si>
    <t>WJI</t>
  </si>
  <si>
    <t>TT0279AB</t>
  </si>
  <si>
    <t>BBR</t>
  </si>
  <si>
    <t>SR-AR205TR</t>
  </si>
  <si>
    <t>SR-AR195-L</t>
  </si>
  <si>
    <t>TT0259AB</t>
  </si>
  <si>
    <t>MZ0</t>
  </si>
  <si>
    <t>SR-BQ210TR</t>
  </si>
  <si>
    <t>SR-BQ200-L</t>
  </si>
  <si>
    <t>TT0274AC</t>
  </si>
  <si>
    <t>DRY</t>
  </si>
  <si>
    <t>TT0284AB</t>
  </si>
  <si>
    <t>S5N</t>
  </si>
  <si>
    <t>TT0267AC</t>
  </si>
  <si>
    <t>BBV</t>
  </si>
  <si>
    <t>SR-DR210TR</t>
  </si>
  <si>
    <t>SR-DR200-L</t>
  </si>
  <si>
    <t>TT0280AA</t>
  </si>
  <si>
    <t>B4D</t>
  </si>
  <si>
    <t>TT0290AB</t>
  </si>
  <si>
    <t>XV7</t>
  </si>
  <si>
    <t>TT0268AB</t>
  </si>
  <si>
    <t>UZT</t>
  </si>
  <si>
    <t>TT0285AB</t>
  </si>
  <si>
    <t>ZPC</t>
  </si>
  <si>
    <t>TT0063AC</t>
  </si>
  <si>
    <t>$G22</t>
  </si>
  <si>
    <t>OXE</t>
  </si>
  <si>
    <t>TT0075AB</t>
  </si>
  <si>
    <t>JNC</t>
  </si>
  <si>
    <t>SR-CR215TR</t>
  </si>
  <si>
    <t>SR-CR205-L</t>
  </si>
  <si>
    <t>TT0077AC</t>
  </si>
  <si>
    <t>GO1</t>
  </si>
  <si>
    <t>SR-CR200TR</t>
  </si>
  <si>
    <t>SR-CR190-L</t>
  </si>
  <si>
    <t>TT0079AA</t>
  </si>
  <si>
    <t>YB6</t>
  </si>
  <si>
    <t>SR-BR225TR</t>
  </si>
  <si>
    <t>SR-BR215-L</t>
  </si>
  <si>
    <t>TT0170AD</t>
  </si>
  <si>
    <t>J5H</t>
  </si>
  <si>
    <t>SR-CS235TR</t>
  </si>
  <si>
    <t>SR-CS225-L</t>
  </si>
  <si>
    <t>TT0038AC</t>
  </si>
  <si>
    <t>J3R</t>
  </si>
  <si>
    <t>SR-FQ145SRF</t>
  </si>
  <si>
    <t>SR-FQ135SLF</t>
  </si>
  <si>
    <t>TT0014AA</t>
  </si>
  <si>
    <t>F0C</t>
  </si>
  <si>
    <t>TT0011AA</t>
  </si>
  <si>
    <t>J3S</t>
  </si>
  <si>
    <t>TT0010AA</t>
  </si>
  <si>
    <t>H3P</t>
  </si>
  <si>
    <t>SR-DR195TR</t>
  </si>
  <si>
    <t>SR-DR185-L</t>
  </si>
  <si>
    <t>TT0006AA</t>
  </si>
  <si>
    <t>H3T</t>
  </si>
  <si>
    <t>SR-CR230TR</t>
  </si>
  <si>
    <t>SR-CR220-L</t>
  </si>
  <si>
    <t>TT0018AB</t>
  </si>
  <si>
    <t>H3R</t>
  </si>
  <si>
    <t>SR-BR200TR</t>
  </si>
  <si>
    <t>SR-BR190-L</t>
  </si>
  <si>
    <t>TT0007AA</t>
  </si>
  <si>
    <t>J5I</t>
  </si>
  <si>
    <t>TT0062AB</t>
  </si>
  <si>
    <t>10.04.2026</t>
  </si>
  <si>
    <t>H3V</t>
  </si>
  <si>
    <t>TT0036AA</t>
  </si>
  <si>
    <t>F0D</t>
  </si>
  <si>
    <t>SR-FR170SRF</t>
  </si>
  <si>
    <t>SR-FR160SLF</t>
  </si>
  <si>
    <t>TT0047AA</t>
  </si>
  <si>
    <t>H3N</t>
  </si>
  <si>
    <t>TT0012AB</t>
  </si>
  <si>
    <t>C85</t>
  </si>
  <si>
    <t>SR-AQ175TR</t>
  </si>
  <si>
    <t>SR-AQ165-L</t>
  </si>
  <si>
    <t>TT0008AC</t>
  </si>
  <si>
    <t>H3S</t>
  </si>
  <si>
    <t>SR-AR200TR</t>
  </si>
  <si>
    <t>SR-AR190-L</t>
  </si>
  <si>
    <t>TT0037AA</t>
  </si>
  <si>
    <t>H3X</t>
  </si>
  <si>
    <t>TT0009AA</t>
  </si>
  <si>
    <t>Q2K</t>
  </si>
  <si>
    <t>TT0078AC</t>
  </si>
  <si>
    <t>DH4</t>
  </si>
  <si>
    <t>SR-FQ160SRF</t>
  </si>
  <si>
    <t>SR-FQ150SLF</t>
  </si>
  <si>
    <t>TT0044AC</t>
  </si>
  <si>
    <t>J5L</t>
  </si>
  <si>
    <t>TT0055AE</t>
  </si>
  <si>
    <t>H3J</t>
  </si>
  <si>
    <t>SR-FR180SRF</t>
  </si>
  <si>
    <t>SR-FR170SLF</t>
  </si>
  <si>
    <t>TT0040AA</t>
  </si>
  <si>
    <t>H3Y</t>
  </si>
  <si>
    <t>SR-FQ200SRF</t>
  </si>
  <si>
    <t>SR-FQ190SLF</t>
  </si>
  <si>
    <t>TT0013AB</t>
  </si>
  <si>
    <t>H41</t>
  </si>
  <si>
    <t>TT0043AB</t>
  </si>
  <si>
    <t>MR6</t>
  </si>
  <si>
    <t>TT0071AC</t>
  </si>
  <si>
    <t>XC1</t>
  </si>
  <si>
    <t>TT0171AC</t>
  </si>
  <si>
    <t>H3M</t>
  </si>
  <si>
    <t>SR-FQ175SRF</t>
  </si>
  <si>
    <t>SR-FQ165SLF</t>
  </si>
  <si>
    <t>TT0059AA</t>
  </si>
  <si>
    <t>12.03.2026</t>
  </si>
  <si>
    <t>J5F</t>
  </si>
  <si>
    <t>TT0042AA</t>
  </si>
  <si>
    <t>06.06.2025</t>
  </si>
  <si>
    <t>H40</t>
  </si>
  <si>
    <t>TT0020AA</t>
  </si>
  <si>
    <t>H3U</t>
  </si>
  <si>
    <t>TT0048AB</t>
  </si>
  <si>
    <t>BLK</t>
  </si>
  <si>
    <t>TT0074AD</t>
  </si>
  <si>
    <t>BY0</t>
  </si>
  <si>
    <t>SR-CR225TR</t>
  </si>
  <si>
    <t>SR-CR215-L</t>
  </si>
  <si>
    <t>TT0172AC</t>
  </si>
  <si>
    <t>YB9</t>
  </si>
  <si>
    <t>TT0068AB</t>
  </si>
  <si>
    <t>F0E</t>
  </si>
  <si>
    <t>TT0046AA</t>
  </si>
  <si>
    <t>H3W</t>
  </si>
  <si>
    <t>TT0035AB</t>
  </si>
  <si>
    <t>H3O</t>
  </si>
  <si>
    <t>TT0051AA</t>
  </si>
  <si>
    <t>X6X</t>
  </si>
  <si>
    <t>TT0076AB</t>
  </si>
  <si>
    <t>OYL</t>
  </si>
  <si>
    <t>TT0165AB</t>
  </si>
  <si>
    <t>C86</t>
  </si>
  <si>
    <t>TT0056AA</t>
  </si>
  <si>
    <t>J5J</t>
  </si>
  <si>
    <t>TT0041AB</t>
  </si>
  <si>
    <t>H3Z</t>
  </si>
  <si>
    <t>TT0058AA</t>
  </si>
  <si>
    <t>J5K</t>
  </si>
  <si>
    <t>TT0061AA</t>
  </si>
  <si>
    <t>J5G</t>
  </si>
  <si>
    <t>TT0052AB</t>
  </si>
  <si>
    <t>NZP</t>
  </si>
  <si>
    <t>TT0069AA</t>
  </si>
  <si>
    <t>RY4</t>
  </si>
  <si>
    <t>SR-BR175TR</t>
  </si>
  <si>
    <t>SR-BR165-L</t>
  </si>
  <si>
    <t>TT0167AF</t>
  </si>
  <si>
    <t>H3Q</t>
  </si>
  <si>
    <t>TT0060AA</t>
  </si>
  <si>
    <t>ML0</t>
  </si>
  <si>
    <t>TT0070AB</t>
  </si>
  <si>
    <t>75</t>
  </si>
  <si>
    <t>EVI</t>
  </si>
  <si>
    <t>SR-CR180TR</t>
  </si>
  <si>
    <t>SR-CR170-L</t>
  </si>
  <si>
    <t>TT0168AD</t>
  </si>
  <si>
    <t>CUK</t>
  </si>
  <si>
    <t>SR-FR185SRF</t>
  </si>
  <si>
    <t>SR-FR175SLF</t>
  </si>
  <si>
    <t>TT0166AD</t>
  </si>
  <si>
    <t>06.10.2026</t>
  </si>
  <si>
    <t>RJ2</t>
  </si>
  <si>
    <t>TT0072AB</t>
  </si>
  <si>
    <t>T7X</t>
  </si>
  <si>
    <t>TT0169AD</t>
  </si>
  <si>
    <t>Q1Q</t>
  </si>
  <si>
    <t>TT0073AC</t>
  </si>
  <si>
    <t>ZTS</t>
  </si>
  <si>
    <t>TT0067AA</t>
  </si>
  <si>
    <t>Z91</t>
  </si>
  <si>
    <t>TT0306AA</t>
  </si>
  <si>
    <t>ZPW</t>
  </si>
  <si>
    <t>TT0295AA</t>
  </si>
  <si>
    <t>ZRX</t>
  </si>
  <si>
    <t>SR-BP190TR</t>
  </si>
  <si>
    <t>SR-BP180-L</t>
  </si>
  <si>
    <t>TT0305AA</t>
  </si>
  <si>
    <t>Z37</t>
  </si>
  <si>
    <t>SR-FP195SRF</t>
  </si>
  <si>
    <t>SR-FP185SLF</t>
  </si>
  <si>
    <t>TT0302AB</t>
  </si>
  <si>
    <t>ZZH</t>
  </si>
  <si>
    <t>TT0294AA</t>
  </si>
  <si>
    <t>ZZI</t>
  </si>
  <si>
    <t>TT0296AA</t>
  </si>
  <si>
    <t>ZZL</t>
  </si>
  <si>
    <t>TT0320AA</t>
  </si>
  <si>
    <t>ZZM</t>
  </si>
  <si>
    <t>TT0297AB</t>
  </si>
  <si>
    <t>ZZJ</t>
  </si>
  <si>
    <t>TT0322AA</t>
  </si>
  <si>
    <t>ZCF</t>
  </si>
  <si>
    <t>TT0300AB</t>
  </si>
  <si>
    <t>05.02.2026</t>
  </si>
  <si>
    <t>ZCD</t>
  </si>
  <si>
    <t>TT0299AA</t>
  </si>
  <si>
    <t>ZCG</t>
  </si>
  <si>
    <t>TT0298AC</t>
  </si>
  <si>
    <t>ZCE</t>
  </si>
  <si>
    <t>TT0301AA</t>
  </si>
  <si>
    <t>Z9P</t>
  </si>
  <si>
    <t>TT0308AA</t>
  </si>
  <si>
    <t>Z03</t>
  </si>
  <si>
    <t>TT0307AA</t>
  </si>
  <si>
    <t>ZPQ</t>
  </si>
  <si>
    <t>XXX</t>
  </si>
  <si>
    <t>Z1Z</t>
  </si>
  <si>
    <t>Z2Z</t>
  </si>
  <si>
    <t>Z3Z</t>
  </si>
  <si>
    <t>Z4Z</t>
  </si>
  <si>
    <t>Z5Z</t>
  </si>
  <si>
    <t>Z6Z</t>
  </si>
  <si>
    <t>ZZ97</t>
  </si>
  <si>
    <t>ZZZZ97</t>
  </si>
  <si>
    <t>Z7Z</t>
  </si>
  <si>
    <t>Z8Z</t>
  </si>
  <si>
    <t>Z9Z</t>
  </si>
  <si>
    <t>1st | Строк исходных данных</t>
  </si>
  <si>
    <t>1st | Рисунок</t>
  </si>
  <si>
    <t>EcoC; RUN TOUR; SControl; SM7000</t>
  </si>
  <si>
    <t>EcoC; RUN TOUR; SControl</t>
  </si>
  <si>
    <t>EcoC; SControl; SM7000</t>
  </si>
  <si>
    <t>RUN TOUR; Run Tour; SM7000</t>
  </si>
  <si>
    <t>EcoC; SM7000</t>
  </si>
  <si>
    <t>ActiveC; EcoC; RUN TOUR; SControl; SM7000</t>
  </si>
  <si>
    <t>ARCTRL; ActiveC; AnorEco; BOSS; EcoC; ONE W; PRCTRL; RUN TOUR; Run Tour; SControl; SM7000; TSSZ; WC7SPZ</t>
  </si>
  <si>
    <t>ActiveC; EcoC; RUN TOUR; SConSUV</t>
  </si>
  <si>
    <t>EcoC; SConSUV; SM7000</t>
  </si>
  <si>
    <t>ActiveC; EcoC; SControl; SM7000</t>
  </si>
  <si>
    <t>ActiveC; EcoC; One W; SConSUV</t>
  </si>
  <si>
    <t>EcoC; One W; RUN TOUR; SControl; SM7000</t>
  </si>
  <si>
    <t>ActiveC; EcoC; RUN TOUR; SConSUV; SM7000</t>
  </si>
  <si>
    <t>ActiveC; One W; SConSUV</t>
  </si>
  <si>
    <t>ActiveC; EcoC; One W; RUN TOUR; SControl; SM7000</t>
  </si>
  <si>
    <t>ActiveC; One W; RUN TOUR; SControl</t>
  </si>
  <si>
    <t>ActiveC; EcoC; GRVT; One W; SControl; SCross; WDrive</t>
  </si>
  <si>
    <t>ActiveC; One W; RUN TOUR; SControl; SM7000</t>
  </si>
  <si>
    <t>ActiveC; One W; RUN TOUR; SConSUV</t>
  </si>
  <si>
    <t>ActiveC; EcoC; One W; SControl; SM7000</t>
  </si>
  <si>
    <t>ActiveC; One W; RUN TOUR; SConSUV; SM7000</t>
  </si>
  <si>
    <t>ActiveC; EcoC; GRVTSV; RUN TOUR; SControl; SCrossSV; WDriveSV</t>
  </si>
  <si>
    <t>ActiveC; EcoC; SM7000</t>
  </si>
  <si>
    <t>ActiveC; EcoC; One W</t>
  </si>
  <si>
    <t>ActiveC; GRVTSV; One W; RUN TOUR; SConSUV; SCrossSV; WDriveSV</t>
  </si>
  <si>
    <t>ActiveC; RUN TOUR; SConSUV</t>
  </si>
  <si>
    <t>ActiveC; EcoC; GRVTSV; RUN TOUR; SConSUV; SCrossSV; WDriveSV</t>
  </si>
  <si>
    <t>ActiveC; RUN TOUR; SM7000; SconSUV</t>
  </si>
  <si>
    <t>ActiveC; One W; SControl</t>
  </si>
  <si>
    <t>ActiveC; One W</t>
  </si>
  <si>
    <t>GRVT; One W</t>
  </si>
  <si>
    <t>ActiveC; GRVTSV; RUN TOUR; SConSUV; SCrossSV; WDriveSV</t>
  </si>
  <si>
    <t>One W; SControl</t>
  </si>
  <si>
    <t>GRVTSV; One W; RUN TOUR; SConSUV; SCrossSV; WDriveSV</t>
  </si>
  <si>
    <t>ActiveC; GRVTSV; One W; RUN TOUR; SCrossSV; WDriveSV</t>
  </si>
  <si>
    <t>EcoC; One W; RUN TOUR; SConSUV</t>
  </si>
  <si>
    <t>ActiveC; GRVTSV; One W; SCrossSV; WDriveSV</t>
  </si>
  <si>
    <t>GRVTSV; One W; RUN TOUR</t>
  </si>
  <si>
    <t>One W; SConSUV</t>
  </si>
  <si>
    <t>ActiveC; EcoC; One W; RUN TOUR; SM7000</t>
  </si>
  <si>
    <t>ActiveC; EcoC; One W; SConSUV; SCrossSV</t>
  </si>
  <si>
    <t>1st | Оборудование</t>
  </si>
  <si>
    <t>1st | Группа</t>
  </si>
  <si>
    <t>PSR; PXR</t>
  </si>
  <si>
    <t>1st | Building Size</t>
  </si>
  <si>
    <t>ECA4; FSB4; ICC4; SPA4</t>
  </si>
  <si>
    <t>ECG5; FSF5; SPF5</t>
  </si>
  <si>
    <t>ECC4; FSA4; ICB4; SPC4</t>
  </si>
  <si>
    <t>ECB5; FSC5; ICA5; SPE5</t>
  </si>
  <si>
    <t>ECB4; ICD4; SPB4</t>
  </si>
  <si>
    <t>ECA5; FSB5; ICC5; SPA5; ZEA5; ZFB5; ZIA5</t>
  </si>
  <si>
    <t>FSD5; ICF5; ZFC5</t>
  </si>
  <si>
    <t>ECG6; ICE6; SPD6</t>
  </si>
  <si>
    <t>ECF5; ICD5</t>
  </si>
  <si>
    <t>ECC5; FSA5; ICB5; SPB5; ZFA5</t>
  </si>
  <si>
    <t>AVG7; ECI7; FSC7; ICE7; SPI7; ZVG7</t>
  </si>
  <si>
    <t>ACA6; AVB6; ECA6; FSB6; FT-6; ICB6; NWA6; PCA6; SPA6; TSA6; ZFB6; ZIA6; ZZ16; ZZ26; ZZ36; ZZ46; ZZ56; ZZ66; ZZ76; ZZ86; ZZ96; ZZA6; ZZZ6</t>
  </si>
  <si>
    <t>ECD6; FSA6; ICD6; SPC6; ZIC6</t>
  </si>
  <si>
    <t>ECE5; FSE5; ICE5; SPD5</t>
  </si>
  <si>
    <t>AVA6; ECH6; FSE6; SPF6</t>
  </si>
  <si>
    <t>ECD5; ICG5; SPC5</t>
  </si>
  <si>
    <t>AVA7; ECA7; ICG7; SPF7; ZEB7</t>
  </si>
  <si>
    <t>ECE6; FSD6; ICF6; SPG6</t>
  </si>
  <si>
    <t>AVE7; ECC7; FSA7; ICH7; SPE7</t>
  </si>
  <si>
    <t>AVB8; ECE8; NVA8; SPG8</t>
  </si>
  <si>
    <t>ECI6; FSF6; ICC6; NWB6; SPE6</t>
  </si>
  <si>
    <t>AVC7; ECJ7; FSD7; ICI7; SPH7</t>
  </si>
  <si>
    <t>AVC6; ECC6; FSC6; ICA6; SPB6; ZFA6; ZIB6</t>
  </si>
  <si>
    <t>AWC7; NWA7; SPB7</t>
  </si>
  <si>
    <t>ECB6; ICG6; SPH6</t>
  </si>
  <si>
    <t>AVB7; ECE7; FSE7; ICJ7; NWB7; SPG7; ZEA7; ZVB7</t>
  </si>
  <si>
    <t>AVD8; FSD8; NWE8; SPH8; ZAA8</t>
  </si>
  <si>
    <t>AVC9; CSF9; DVA9; ECC9; GTF9; NWG9; SPC9</t>
  </si>
  <si>
    <t>AVJ7; FSF7; IMA7; NWD7; SPC7</t>
  </si>
  <si>
    <t>AWD8; FSE8; NWG8; SPI8</t>
  </si>
  <si>
    <t>AWA7; ECF7; IMB7; NWC7; SPD7</t>
  </si>
  <si>
    <t>AVA8; FSB8; ICA8; NWB8; SPJ8</t>
  </si>
  <si>
    <t>AVB9; CSD9; DVE9; ECD9; FSC9; GTE9; SPB9</t>
  </si>
  <si>
    <t>AVF7; ECD7; ICD7</t>
  </si>
  <si>
    <t>AVE8; FSF8; NWC8; SPD8</t>
  </si>
  <si>
    <t>AVD7; ECB7; FSH7; ICA7; SPA7</t>
  </si>
  <si>
    <t>AVG8; FSG8; NWI8; SPC8</t>
  </si>
  <si>
    <t>AWC8; ECD8; NWH8</t>
  </si>
  <si>
    <t>AVE9; CSE9; DVC9; FSB9; GTC9; NWE9; SPD9</t>
  </si>
  <si>
    <t>AWB7; ECG7; ICC7</t>
  </si>
  <si>
    <t>AVC8; FSH8; SPB8</t>
  </si>
  <si>
    <t>AVA9; CSC9; DVD9; ECA9; FSA9; GTB9; SPA9</t>
  </si>
  <si>
    <t>AVH8; FSA8; NVC8; SCC8</t>
  </si>
  <si>
    <t>AVI7; FSG7; ICB7; SPJ7</t>
  </si>
  <si>
    <t>AWB8; NWD8; SPF8</t>
  </si>
  <si>
    <t>AVJ8; NWA8</t>
  </si>
  <si>
    <t>GTA0; NWE0</t>
  </si>
  <si>
    <t>AVI8; NVG8; SCA8</t>
  </si>
  <si>
    <t>AVD9; NVA9</t>
  </si>
  <si>
    <t>AVB0; CSB0; DVA0; FSE0; GTE0; SPC0</t>
  </si>
  <si>
    <t>NWJ8; SCD8</t>
  </si>
  <si>
    <t>CSD0; DVB0; FSB0; GTC0; NWH0; SPD0</t>
  </si>
  <si>
    <t>AVF9; ECB9; NWI9; SPE9</t>
  </si>
  <si>
    <t>AVD0; CSC0; DVC0; FSA0; GTB0; NWA0</t>
  </si>
  <si>
    <t>AVE0; CSA0; DVD0; FSC0; GTD0; NWB0</t>
  </si>
  <si>
    <t>ECC8; FSC8; NWF8; SCB8</t>
  </si>
  <si>
    <t>AVG9; CSB9; DVF9; GTD9; NWC9</t>
  </si>
  <si>
    <t>FSD0; GTF0; NWI0</t>
  </si>
  <si>
    <t>NWF0; SPA0</t>
  </si>
  <si>
    <t>AVH9; CSA9; DVB9; GTA9; NWJ9</t>
  </si>
  <si>
    <t>AVF8; ECB8; NVF8; SPE8</t>
  </si>
  <si>
    <t>AVH7; ECH7; FSB7; ICF7; NWE7</t>
  </si>
  <si>
    <t>NWJ0; SPB0</t>
  </si>
  <si>
    <t>AVA0; NWC0</t>
  </si>
  <si>
    <t>AWA8; CSA8; ECA8; NVE8; SPA8</t>
  </si>
  <si>
    <t>1st | AE | Set position</t>
  </si>
  <si>
    <t>1st | AF | Set position(+/-)</t>
  </si>
  <si>
    <t>1st | AJ | Set position</t>
  </si>
  <si>
    <t>1st | AL | Set position(+/-)</t>
  </si>
  <si>
    <t>1st | AR | Set position</t>
  </si>
  <si>
    <t>1st | AS | Set position(+/-)</t>
  </si>
  <si>
    <t>1st | AY | Set position</t>
  </si>
  <si>
    <t>1st | AZ | Set position(+/-)</t>
  </si>
  <si>
    <t>1st | BF | Set position</t>
  </si>
  <si>
    <t>1st | BG | Set position(+/-)</t>
  </si>
  <si>
    <t>1st | BM | Set position</t>
  </si>
  <si>
    <t>1st | BN | Set position(+/-)</t>
  </si>
  <si>
    <t>1st | BT | Set position</t>
  </si>
  <si>
    <t>1st | BU | Set position(+/-)</t>
  </si>
  <si>
    <t>1st | BW | BEAD set width (mm)</t>
  </si>
  <si>
    <t>1st | BX | BEAD set width (mm) +/-</t>
  </si>
  <si>
    <t>1st | BZ | Band drum main unit width</t>
  </si>
  <si>
    <t>1st | CA | Band drum width</t>
  </si>
  <si>
    <t>1st | CD | Gum band width</t>
  </si>
  <si>
    <t>1st | CF | S/W gum band width</t>
  </si>
  <si>
    <t>1st | CI | Spacer width</t>
  </si>
  <si>
    <t>1st | CJ | Drum circum (SIDE/IL)</t>
  </si>
  <si>
    <t>1st | CK | Drum circum (SIDE/IL) +/-</t>
  </si>
  <si>
    <t>1st | CL | Drum circum (MAX)</t>
  </si>
  <si>
    <t>1st | CM | Drum circum (MAX) +/-</t>
  </si>
  <si>
    <t>1st | CT | IL width</t>
  </si>
  <si>
    <t>1st | CU | IL width +/-</t>
  </si>
  <si>
    <t>1st | CV | IL Angle gauge</t>
  </si>
  <si>
    <t>1st | CW | IL Length circum</t>
  </si>
  <si>
    <t>1st | CX | IL Mass</t>
  </si>
  <si>
    <t>1st | CZ | CCH width</t>
  </si>
  <si>
    <t>1st | DA | CCH width +/-</t>
  </si>
  <si>
    <t>1st | DB | CCH gauge</t>
  </si>
  <si>
    <t>1st | DC | CCH Length circum</t>
  </si>
  <si>
    <t>1st | DD | CCH Mass</t>
  </si>
  <si>
    <t>1st | DF | 1P width</t>
  </si>
  <si>
    <t>1st | DG | 1P width +/-</t>
  </si>
  <si>
    <t>1st | DH | 1P gauge</t>
  </si>
  <si>
    <t>1st | DI | 1P Length circum</t>
  </si>
  <si>
    <t>1st | DJ | 1P Mass</t>
  </si>
  <si>
    <t>1st | DL | 2P width</t>
  </si>
  <si>
    <t>1st | DM | 2P width +/-</t>
  </si>
  <si>
    <t>1st | DN | 2P gauge</t>
  </si>
  <si>
    <t>1st | DO | 2P Length circum</t>
  </si>
  <si>
    <t>1st | DP | 2P Mass</t>
  </si>
  <si>
    <t>1st | DR | FL width</t>
  </si>
  <si>
    <t>1st | DS | FL width +/-</t>
  </si>
  <si>
    <t>1st | DT | FL gauge</t>
  </si>
  <si>
    <t>1st | DU | FL Length circum  Value is temp</t>
  </si>
  <si>
    <t>1st | DV | FL Mass</t>
  </si>
  <si>
    <t>1st | DX | BD width(Diameter)</t>
  </si>
  <si>
    <t>1st | EA | BD Length circum</t>
  </si>
  <si>
    <t>1st | EB | BD Mass</t>
  </si>
  <si>
    <t>1st | ED | BF width</t>
  </si>
  <si>
    <t>1st | EE | BF width +/-</t>
  </si>
  <si>
    <t>1st | EG | BF Length circum</t>
  </si>
  <si>
    <t>1st | EH | BF Mass</t>
  </si>
  <si>
    <t>1st | EJ | TPI width</t>
  </si>
  <si>
    <t>1st | EK | TPI width +/-</t>
  </si>
  <si>
    <t>1st | EN | TPI Mass</t>
  </si>
  <si>
    <t>1st | EQ | SIDE width</t>
  </si>
  <si>
    <t>1st | ER | SIDE width +/-</t>
  </si>
  <si>
    <t>1st | ES | SIDE Angle gauge</t>
  </si>
  <si>
    <t>1st | ET | SIDE Length circum</t>
  </si>
  <si>
    <t>1st | EU | SIDE Mass(g/m)</t>
  </si>
  <si>
    <t>1st | EV | SIDE Mass Tire</t>
  </si>
  <si>
    <t>1st | EX | AGS width</t>
  </si>
  <si>
    <t>1st | EY | AGS width +/-</t>
  </si>
  <si>
    <t>1st | EZ | AGS Angle gauge</t>
  </si>
  <si>
    <t>1st | FA | AGS Length circum</t>
  </si>
  <si>
    <t>1st | FB | AGS Mass</t>
  </si>
  <si>
    <t>1st | FC | AGS Mass tire</t>
  </si>
  <si>
    <t>1st | FE | 2NDBF width</t>
  </si>
  <si>
    <t>1st | FF | 2NDBF width +/-</t>
  </si>
  <si>
    <t>1st | FI | 2NDBF Mass</t>
  </si>
  <si>
    <t>1st | FL | 1P B1 Gauge</t>
  </si>
  <si>
    <t>1st | FM | 1P B1 Width-1</t>
  </si>
  <si>
    <t>1st | FN | 1P B1 Set-1</t>
  </si>
  <si>
    <t>1st | FO | 1P B1 Width-2</t>
  </si>
  <si>
    <t>1st | FP | 1P B1 Set-2</t>
  </si>
  <si>
    <t>1st | FS | 1P T1 Gauge</t>
  </si>
  <si>
    <t>1st | FT | 1P T1 Width-1</t>
  </si>
  <si>
    <t>1st | FU | 1P T1 Set-1</t>
  </si>
  <si>
    <t>1st | FV | 1P T1 Width-2</t>
  </si>
  <si>
    <t>1st | FW | 1P T1 Set-2</t>
  </si>
  <si>
    <t>1st | FZ | 1P TPI Gauge</t>
  </si>
  <si>
    <t>1st | GA | 1P TPI Width</t>
  </si>
  <si>
    <t>1st | GB | 1P TPI Set</t>
  </si>
  <si>
    <t>1st | GH | 1P T2 Gauge</t>
  </si>
  <si>
    <t>1st | GI | 1P T2 Width-1</t>
  </si>
  <si>
    <t>1st | GJ | 1P T2 Set-1</t>
  </si>
  <si>
    <t>1st | GS | 2P T1 Gauge</t>
  </si>
  <si>
    <t>1st | GT | 2P T1 Width-1</t>
  </si>
  <si>
    <t>1st | GU | 2P T1 Set-1</t>
  </si>
  <si>
    <t>1st | GV | 2P T1 Width-2</t>
  </si>
  <si>
    <t>1st | GW | 2P T1 Set-2</t>
  </si>
  <si>
    <t>1st | GZ | 2P T2 Gauge</t>
  </si>
  <si>
    <t>1st | HA | 2P T2 Width-1</t>
  </si>
  <si>
    <t>1st | HB | 2P T2 Set-1</t>
  </si>
  <si>
    <t>1st | HC | SQ Gauge +/-</t>
  </si>
  <si>
    <t>1st | HD | SQ Width-1 +/-</t>
  </si>
  <si>
    <t>1st | HE | SQ Set-1 +/-</t>
  </si>
  <si>
    <t>1st | HF | SQ Width-2 +/-</t>
  </si>
  <si>
    <t>1st | HG | SQ Set-2 +/-</t>
  </si>
  <si>
    <t>1st | HH | SQ Width-3 +/-</t>
  </si>
  <si>
    <t>1st | HI | SideWidth</t>
  </si>
  <si>
    <t>1st | HJ | Side Width +/-</t>
  </si>
  <si>
    <t>1st | HK | AGS set</t>
  </si>
  <si>
    <t>1st | HL | AGS set +/-</t>
  </si>
  <si>
    <t>1st | HM | TPI set</t>
  </si>
  <si>
    <t>1st | HN | TPI set +/-</t>
  </si>
  <si>
    <t>1st | HO | SIDE set</t>
  </si>
  <si>
    <t>1st | HP | SIDE set +/-</t>
  </si>
  <si>
    <t>1st | HQ | 2NDBF set</t>
  </si>
  <si>
    <t>1st | HR | 2NDBF set +/-</t>
  </si>
  <si>
    <t>1st | HS | Band Mass</t>
  </si>
  <si>
    <t>1st | HT | Band Mass +/-</t>
  </si>
  <si>
    <t>1st | HU | Auto1 ST p1</t>
  </si>
  <si>
    <t>1st | HW | Coefficient</t>
  </si>
  <si>
    <t>1st | HX | Auto1 ST p3</t>
  </si>
  <si>
    <t>1st | HY | ST Pressure(High) (Mpa)</t>
  </si>
  <si>
    <t>1st | IA | ST Pressure(Low)(Mpa)</t>
  </si>
  <si>
    <t>1st | IB | IL</t>
  </si>
  <si>
    <t>1st | IC | SIDE</t>
  </si>
  <si>
    <t>1st | ID | 1PLY</t>
  </si>
  <si>
    <t>1st | IE | 2PLY</t>
  </si>
  <si>
    <t>1st | IF | FLIPPER</t>
  </si>
  <si>
    <t>1st | IP | R1006   Tire Size (Inch)</t>
  </si>
  <si>
    <t>1st | IV | R1012   Band Drum Circumference (mm)</t>
  </si>
  <si>
    <t>1st | IW | R1013   Bead Lock Width (mm)</t>
  </si>
  <si>
    <t>1st | IX | R1014   KB Drum Expansion diameter(2P Down Apply) (mm)</t>
  </si>
  <si>
    <t>1st | IY | R1015   KB Drum Segment Width (mm)</t>
  </si>
  <si>
    <t>1st | JD | R1020   I/L Length Measuring Data (mm)</t>
  </si>
  <si>
    <t>1st | JE | R1021   BP#1 Length Measuring Data (mm)</t>
  </si>
  <si>
    <t>1st | JF | R1022   BP#2 Length Measuring Data (mm)</t>
  </si>
  <si>
    <t>1st | JG | R1023   S/W Length Measuring Data (mm)</t>
  </si>
  <si>
    <t>1st | JH | R1024   RFT Length Measuring Data (mm)</t>
  </si>
  <si>
    <t>1st | JJ | R1026   USR  PLY-ST Start Position (mm)</t>
  </si>
  <si>
    <t>1st | JK | R1027   USR  PLY-ST End Position (mm)</t>
  </si>
  <si>
    <t>1st | JL | R1028   USR  RFT-ST Start Position (mm)</t>
  </si>
  <si>
    <t>1st | JM | R1029   S/W Out Side Width (mm)</t>
  </si>
  <si>
    <t>1st | JN | R1030   I/L Width (mm)</t>
  </si>
  <si>
    <t>1st | JO | R1031   BP1 Width (mm)</t>
  </si>
  <si>
    <t>1st | JP | R1032   BP2 Width (mm)</t>
  </si>
  <si>
    <t>1st | JQ | R1033   FL Width (mm)</t>
  </si>
  <si>
    <t>1st | JR | R1034   S/W  Width Inside Guide Position (mm)</t>
  </si>
  <si>
    <t>1st | JS | R1035   S/W Width (mm)</t>
  </si>
  <si>
    <t>1st | JT | R1036   RFT Width (mm)</t>
  </si>
  <si>
    <t>1st | JU | R1037   RFT Width Inside Guide Position (mm)</t>
  </si>
  <si>
    <t>1st | JV | R1038   Bead Width (mm)</t>
  </si>
  <si>
    <t>1st | JW | R1039   FL Width Check Position (mm)</t>
  </si>
  <si>
    <t>1st | JX | R1040   C-CH Outside Set Position (mm)</t>
  </si>
  <si>
    <t>1st | JY | R1041   Bead Lock Position (degree)</t>
  </si>
  <si>
    <t>1st | JZ | R1042   S/W Apply Start (degree)</t>
  </si>
  <si>
    <t>1st | KA | R1043   BP#2 Apply Start Spotting (degree)</t>
  </si>
  <si>
    <t>1st | KB | R1044   BP#1 Apply Start Spotting (degree)</t>
  </si>
  <si>
    <t>1st | KC | R1045   FL Apply Start Spotting (degree)</t>
  </si>
  <si>
    <t>1st | KD | R1046   GC Take Out Spotting (degree)</t>
  </si>
  <si>
    <t>1st | KE | R1047   RFT start Spotting (degree)</t>
  </si>
  <si>
    <t>1st | KF | R1048   BAND Takeout Drum Expand Time (0,1sec.)</t>
  </si>
  <si>
    <t>1st | KG | R1049   BAND Takeout Drum Collapse Time (0,1sec.)</t>
  </si>
  <si>
    <t>1st | KH | R1050   S/W Tip Jam Time (0,1sec.)</t>
  </si>
  <si>
    <t>1st | KI | R1051   S/W Rear Jam Time (0,1sec.)</t>
  </si>
  <si>
    <t>1st | KJ | R1052   RFT Front Press Time (0,1sec.)</t>
  </si>
  <si>
    <t>1st | KK | R1053   S/W Tip Heating Time (0,1sec.)</t>
  </si>
  <si>
    <t>1st | KL | R1054   S/W Rear Heating Time (0,1sec.)</t>
  </si>
  <si>
    <t>1st | KM | R1055   RFT Tip Heating Time (0,1sec.)</t>
  </si>
  <si>
    <t>1st | KN | R1056   RFT Rear Heating Time (0,1sec.)</t>
  </si>
  <si>
    <t>1st | KR | R1060   UST LowSpeed (10m/min)</t>
  </si>
  <si>
    <t>1st | KS | R1061   UST HighSpeed (10m/min)</t>
  </si>
  <si>
    <t>1st | KT | R1062   BAND Drum.S/W speed (10m/min)</t>
  </si>
  <si>
    <t>1st | KV | R1064   USR 2P-Up/Down Stitching Start Position (mm)</t>
  </si>
  <si>
    <t>1st | KW | R1065   USR 2P-Up/Down Stitching End Position (mm)</t>
  </si>
  <si>
    <t>1st | KX | R1066   USR Side Stitching Start Position (mm)</t>
  </si>
  <si>
    <t>1st | KY | R1067   USR Side Stitching Turn Position (mm)</t>
  </si>
  <si>
    <t>1st | KZ | R1068   USR Side Stitching End Position (mm)</t>
  </si>
  <si>
    <t>1st | LA | R1069   USR Side Roll Stitching Start Position (mm)</t>
  </si>
  <si>
    <t>1st | LB | R1070   USR Side Roll Stitching End Position (mm)</t>
  </si>
  <si>
    <t>1st | LC | R1071   B/S PLY Turn Up Start Position (mm)</t>
  </si>
  <si>
    <t>1st | LD | R1072   B/S PLY Turn Up End Position (mm)</t>
  </si>
  <si>
    <t>1st | LE | R1073   PLY Turn Up B/S Start Delay Timer (0,1sec.)</t>
  </si>
  <si>
    <t>1st | LF | R1074   PLY Turn Up Bladder Inflate Time (0,1sec.)</t>
  </si>
  <si>
    <t>1st | LG | R1075   PLY Turn Up Bladder Inflate Lock Time (0,1sec.)</t>
  </si>
  <si>
    <t>1st | LH | R1076   PLY Turn Up Bladder Exhaust time (0,1sec.)</t>
  </si>
  <si>
    <t>1st | LI | R1077   PLY Turn Up B/S Return Delay Timer (0,1sec.)</t>
  </si>
  <si>
    <t>1st | LJ | R1078   B/S Bead Lock Time (sec.)</t>
  </si>
  <si>
    <t>1st | LK | R1079   Gum band width</t>
  </si>
  <si>
    <t>1st | LV | I/L Press Balance Offset (degree)</t>
  </si>
  <si>
    <t>1st | LW | I/L Press Applyer CV Pushing Range (mm, 0.1mm)</t>
  </si>
  <si>
    <t>1st | LX | R1092 USR Middle Stop Position (mm)</t>
  </si>
  <si>
    <t>1st | LY | R1093 USR Middle Stop Time (sec.)</t>
  </si>
  <si>
    <t>1st | LZ | R1094 USR Speed change position (mm)</t>
  </si>
  <si>
    <t>1st | PG | M/C mode (1:K1S / 2:KBN2)</t>
  </si>
  <si>
    <t>1st | PX | BOM_SIDE_PARTID</t>
  </si>
  <si>
    <t>1st | PY | BOM_SIDE_MACHINEGROUP</t>
  </si>
  <si>
    <t>1st | QA | BOM_SIDE_REVISIONNO</t>
  </si>
  <si>
    <t>1st | QB | BOM_SIDE_LENGTH</t>
  </si>
  <si>
    <t>1st | QC | BOM_IL_PARTID</t>
  </si>
  <si>
    <t>1st | QD | BOM_IL_MACHINEGROUP</t>
  </si>
  <si>
    <t>1st | QF | BOM_IL_REVISIONNO</t>
  </si>
  <si>
    <t>1st | QG | BOM_IL_LENGTH</t>
  </si>
  <si>
    <t>1st | QH | BOM_CCH_PARTID</t>
  </si>
  <si>
    <t>1st | QI | BOM_CCH_MACHINEGROUP</t>
  </si>
  <si>
    <t>1st | QK | BOM_CCH_REVISIONNO</t>
  </si>
  <si>
    <t>1st | QL | BOM_CCH_LENGTH</t>
  </si>
  <si>
    <t>1st | QM | BOM_PLY1_PARTID</t>
  </si>
  <si>
    <t>1st | QN | BOM_PLY1_MACHINEGROUP</t>
  </si>
  <si>
    <t>1st | QP | BOM_PLY1_REVISIONNO</t>
  </si>
  <si>
    <t>1st | QQ | BOM_PLY1_LENGTH</t>
  </si>
  <si>
    <t>1st | QR | BOM_PLY2_PARTID</t>
  </si>
  <si>
    <t>1st | QS | BOM_PLY2_MACHINEGROUP</t>
  </si>
  <si>
    <t>1st | QU | BOM_PLY2_REVISIONNO</t>
  </si>
  <si>
    <t>1st | QV | BOM_PLY2_LENGTH</t>
  </si>
  <si>
    <t>1st | QW | BOM_BDBF_PARTID</t>
  </si>
  <si>
    <t>1st | QX | BOM_BDBF_MACHINEGROUP</t>
  </si>
  <si>
    <t>1st | QZ | BOM_BDBF_REVISIONNO</t>
  </si>
  <si>
    <t>1st | RA | BOM_FL_PARTID</t>
  </si>
  <si>
    <t>1st | RB | BOM_FL_MACHINEGROUP</t>
  </si>
  <si>
    <t>1st | RD | BOM_FL_REVISIONNO</t>
  </si>
  <si>
    <t>1st | RE | BOM_FL_LENGTH</t>
  </si>
  <si>
    <t>1st | RF | REF_PLYSQ1_REVISIONNO</t>
  </si>
  <si>
    <t>1st | RG | REF_PLYTPI1_REVISIONNO</t>
  </si>
  <si>
    <t>1st | RH | REF_PLYSQ2_REVISIONNO</t>
  </si>
  <si>
    <t>1st | RI | REF_PLYTPI2_REVISIONNO</t>
  </si>
  <si>
    <t>1st | RJ | REF_BEAD_REVISIONNO</t>
  </si>
  <si>
    <t>1st | RK | REF_CCH_TREAT_REVISIONNO</t>
  </si>
  <si>
    <t>1st | RL | REF_PLY1_TREAT_REVISIONNO</t>
  </si>
  <si>
    <t>1st | RM | REF_PLU2_TREAT_REVISIONNO</t>
  </si>
  <si>
    <t>1st | RN | REF_FL_TREAT_REVISIONNO</t>
  </si>
  <si>
    <t>1st | RO | IL Mass</t>
  </si>
  <si>
    <t>1st | RP | CCH Mass</t>
  </si>
  <si>
    <t>1st | RQ | PLY1 - Mass</t>
  </si>
  <si>
    <t>1st | RR | PLY2 - Mass</t>
  </si>
  <si>
    <t>1st | RS | FL Mass</t>
  </si>
  <si>
    <t>1st | RT | BEAD - Mass</t>
  </si>
  <si>
    <t>1st | RU | BBF - Mass</t>
  </si>
  <si>
    <t>1st | RX | S/W gum band width1</t>
  </si>
  <si>
    <t>1st | RY | S/W gauge criteria</t>
  </si>
  <si>
    <t>1st | SA | S/W gum band width2</t>
  </si>
  <si>
    <t>1st | SD | PLYSQ1S_REVISIONNO</t>
  </si>
  <si>
    <t>1st | SG | PLYSQ2S_REVISIONNO</t>
  </si>
  <si>
    <t>1st | SH | IL_COEFFICIENT</t>
  </si>
  <si>
    <t>1st | SI | 1P_COEEFICIENT</t>
  </si>
  <si>
    <t>1st | SJ | 2P_COEEFICIENT</t>
  </si>
  <si>
    <t>1st | SK | SIDE_ADJUSTMENT</t>
  </si>
  <si>
    <t>1st | SL | PRD_CODE_INVALID</t>
  </si>
  <si>
    <t>1st | SM | PLY1_TPI_REQUIRED</t>
  </si>
  <si>
    <t>1st | SN | PLY2_TPI_REQUIRED</t>
  </si>
  <si>
    <t>1st | SO | SIDE_DATA_INVALID</t>
  </si>
  <si>
    <t>1st | SP | IL_DATA_INVALID</t>
  </si>
  <si>
    <t>1st | SQ | CCH_DATA_INVALID</t>
  </si>
  <si>
    <t>1st | SR | CCH_REVISION_INVALID</t>
  </si>
  <si>
    <t>1st | SS | PLY1_DATA_INVALID</t>
  </si>
  <si>
    <t>1st | ST | PLY2_DATA_INVALID</t>
  </si>
  <si>
    <t>1st | SU | PLY2_REVISION_INVALID</t>
  </si>
  <si>
    <t>1st | SV | FL_DATA_INVALID</t>
  </si>
  <si>
    <t>1st | SW | FL_REVISION_INVALID</t>
  </si>
  <si>
    <t>1st | SX | BDBF_DATA_INVALID</t>
  </si>
  <si>
    <t>1st | SY | CCH_REQUIRED</t>
  </si>
  <si>
    <t>1st | SZ | PLY2_REQUIRED</t>
  </si>
  <si>
    <t>1st | TA | FL_REQUIRED</t>
  </si>
  <si>
    <t>1st | TB | PROCESS1ST_056_UNIT:10M/MIN</t>
  </si>
  <si>
    <t>1st | TC | PROCESS1ST_057_UNIT:10M/MIN</t>
  </si>
  <si>
    <t>1st | TD | Bead width(mm)</t>
  </si>
  <si>
    <t>1st | TN | Check building MC with spec data bank  Size_TYPE</t>
  </si>
  <si>
    <t>2st | Строк исходных данных</t>
  </si>
  <si>
    <t>2st | Рисунок</t>
  </si>
  <si>
    <t>2st | Оборудование</t>
  </si>
  <si>
    <t>2st | Группа</t>
  </si>
  <si>
    <t>2st | Building Size</t>
  </si>
  <si>
    <t>EC04; FS14; IC24; SP04</t>
  </si>
  <si>
    <t>EC65; FS55; SP55</t>
  </si>
  <si>
    <t>EC24; FS04; IC14; SP24</t>
  </si>
  <si>
    <t>EC15; FS25; IC05; SP45</t>
  </si>
  <si>
    <t>EC14; IC34; SP14</t>
  </si>
  <si>
    <t>EC05; FS15; IC25; SP05; ZE05; ZF15; ZI25</t>
  </si>
  <si>
    <t>FS35; IC55; ZF35</t>
  </si>
  <si>
    <t>EC66; IC46; SP36</t>
  </si>
  <si>
    <t>EC55; IC35</t>
  </si>
  <si>
    <t>EC25; FS05; IC15; SP15; ZF05</t>
  </si>
  <si>
    <t>AV67; EC87; FS27; IC47; SP87; ZV67</t>
  </si>
  <si>
    <t>AC06; AV16; EC06; FS16; FT49; IC16; NW06; PC06; SP06; TS06; ZF16; ZI16; ZZ06; ZZ16; ZZ91; ZZ92; ZZ93; ZZ94; ZZ95; ZZ96; ZZ97; ZZ98; ZZ99</t>
  </si>
  <si>
    <t>EC36; FS06; IC36; SP26; ZI36</t>
  </si>
  <si>
    <t>EC45; FS45; IC45; SP35</t>
  </si>
  <si>
    <t>AV06; EC76; FS46; SP56</t>
  </si>
  <si>
    <t>EC35; IC65; SP25</t>
  </si>
  <si>
    <t>AV07; EC07; IC67; SP57; ZE07</t>
  </si>
  <si>
    <t>EC46; FS36; IC56; SP66</t>
  </si>
  <si>
    <t>AV47; EC27; FS07; IC77; SP47</t>
  </si>
  <si>
    <t>AV18; EC48; NV08; SP68</t>
  </si>
  <si>
    <t>EC86; FS56; IC26; NW16; SP46</t>
  </si>
  <si>
    <t>AV27; EC97; FS37; IC87; SP77</t>
  </si>
  <si>
    <t>AV26; EC26; FS26; IC06; SP16; ZF26; ZI06</t>
  </si>
  <si>
    <t>AW27; NW07; SP17</t>
  </si>
  <si>
    <t>EC16; IC66; SP76</t>
  </si>
  <si>
    <t>AV17; EC47; FS47; IC97; NW17; SP67; ZE47; ZV17</t>
  </si>
  <si>
    <t>AV38; FS38; NW48; SP78; ZA38</t>
  </si>
  <si>
    <t>AV29; CS59; DV09; EC29; GT59; NW69; SP29</t>
  </si>
  <si>
    <t>AV97; FS57; IM07; NW37; SP27</t>
  </si>
  <si>
    <t>AW38; FS48; NW68; SP88</t>
  </si>
  <si>
    <t>AW07; EC57; IM17; NW27; SP37</t>
  </si>
  <si>
    <t>AV08; FS18; IC08; NW18; SP98</t>
  </si>
  <si>
    <t>AV19; CS39; DV49; EC39; FS29; GT49; SP19</t>
  </si>
  <si>
    <t>AV57; EC37; IC37</t>
  </si>
  <si>
    <t>AV48; FS58; NW28; SP38</t>
  </si>
  <si>
    <t>AV37; EC17; FS77; IC07; SP07</t>
  </si>
  <si>
    <t>AV68; FS68; NW88; SP28</t>
  </si>
  <si>
    <t>AW28; EC38; NW78</t>
  </si>
  <si>
    <t>AV49; CS49; DV29; FS19; GT29; NW49; SP39</t>
  </si>
  <si>
    <t>AW17; EC67; IC27</t>
  </si>
  <si>
    <t>AV28; FS78; SP18</t>
  </si>
  <si>
    <t>AV09; CS29; DV39; EC09; FS09; GT19; SP09</t>
  </si>
  <si>
    <t>AV78; FS08; NV28; SC28</t>
  </si>
  <si>
    <t>AV87; FS67; IC17; SP97</t>
  </si>
  <si>
    <t>AW18; NW38; SP58</t>
  </si>
  <si>
    <t>AV98; NW08</t>
  </si>
  <si>
    <t>GT00; NW40</t>
  </si>
  <si>
    <t>AV88; NV68; SC08</t>
  </si>
  <si>
    <t>AV39; NV09</t>
  </si>
  <si>
    <t>AV10; CS10; DV00; FS40; GT40; SP20</t>
  </si>
  <si>
    <t>NW98; SC38</t>
  </si>
  <si>
    <t>CS30; DV10; FS10; GT20; NW70; SP30</t>
  </si>
  <si>
    <t>AV59; EC19; NW89; SP49</t>
  </si>
  <si>
    <t>AV30; CS20; DV20; FS00; GT10; NW00</t>
  </si>
  <si>
    <t>AV40; CS00; DV30; FS20; GT30; NW10</t>
  </si>
  <si>
    <t>EC28; FS28; NW58; SC18</t>
  </si>
  <si>
    <t>AV69; CS19; DV59; GT39; NW29</t>
  </si>
  <si>
    <t>FS30; GT50; NW80</t>
  </si>
  <si>
    <t>NW50; SP00</t>
  </si>
  <si>
    <t>AV79; CS09; DV19; GT09; NW99</t>
  </si>
  <si>
    <t>AV58; EC18; NV58; SP48</t>
  </si>
  <si>
    <t>AV77; EC77; FS17; IC57; NW47</t>
  </si>
  <si>
    <t>NW90; SP10</t>
  </si>
  <si>
    <t>AV00; NW20</t>
  </si>
  <si>
    <t>AW08; CS08; EC08; NV48; SP08</t>
  </si>
  <si>
    <t>2st | AC | Set position</t>
  </si>
  <si>
    <t>2st | AF | Mass</t>
  </si>
  <si>
    <t>2st | AW | SL Pitch</t>
  </si>
  <si>
    <t>2st | AX | Layer set P1</t>
  </si>
  <si>
    <t>2st | AY | Layer set P2</t>
  </si>
  <si>
    <t>2st | AZ | Layer set P3</t>
  </si>
  <si>
    <t>2st | BA | Layer set P4</t>
  </si>
  <si>
    <t>2st | BB | Layer set P5</t>
  </si>
  <si>
    <t>2st | BC | Layer set P6</t>
  </si>
  <si>
    <t>2st | BH | Layer set A</t>
  </si>
  <si>
    <t>2st | BI | Layer set B</t>
  </si>
  <si>
    <t>2st | BJ | Layer set C</t>
  </si>
  <si>
    <t>2st | BK | Layer set D</t>
  </si>
  <si>
    <t>2st | BL | Layer set E</t>
  </si>
  <si>
    <t>2st | BM | Layer set F</t>
  </si>
  <si>
    <t>2st | BN | Layer set G</t>
  </si>
  <si>
    <t>2st | BO | Layer set H</t>
  </si>
  <si>
    <t>2st | BP | Layer set I</t>
  </si>
  <si>
    <t>2st | BR | Layer set K</t>
  </si>
  <si>
    <t>2st | BS | Layer set L</t>
  </si>
  <si>
    <t>2st | BT | BT Drum - Circumference</t>
  </si>
  <si>
    <t>2st | CV | MSE (Form center)</t>
  </si>
  <si>
    <t>2st | CW | MSE (Form center) +/-</t>
  </si>
  <si>
    <t>2st | CX | NON DT Side ending (From center)</t>
  </si>
  <si>
    <t>2st | CY | NON DT Side ending (From center) +/-</t>
  </si>
  <si>
    <t>2st | CZ | PLY Turn up (From center)</t>
  </si>
  <si>
    <t>2st | DA | PLY Turn up (From center) +/-</t>
  </si>
  <si>
    <t>2st | DB | GT Mass(g)</t>
  </si>
  <si>
    <t>2st | DC | GT Mass(g) +/-</t>
  </si>
  <si>
    <t>2st | DD | GT width</t>
  </si>
  <si>
    <t>2st | DE | GT Circurmference standard</t>
  </si>
  <si>
    <t>2st | DF | GT Circurmference track record (trial)</t>
  </si>
  <si>
    <t>2st | DG | GT Circurmference maximum</t>
  </si>
  <si>
    <t>2st | DH | AGS position</t>
  </si>
  <si>
    <t>2st | DI | Green case circumference on turn up width</t>
  </si>
  <si>
    <t>2st | DK | 1st Belt Width</t>
  </si>
  <si>
    <t>2st | DM | 1st Belt Angle</t>
  </si>
  <si>
    <t>2st | DN | Belt 1 gauge(mm)</t>
  </si>
  <si>
    <t>2st | DO | Coefficient 1Belt for length</t>
  </si>
  <si>
    <t>2st | DP | 1st Belt Length</t>
  </si>
  <si>
    <t>2st | DQ | 1st Belt Mass</t>
  </si>
  <si>
    <t>2st | DS | 2nd Belt Width</t>
  </si>
  <si>
    <t>2st | DU | 2nd Belt Angle</t>
  </si>
  <si>
    <t>2st | DV | Belt 2 gauge(mm)</t>
  </si>
  <si>
    <t>2st | DW | Coefficient 2Belt for length</t>
  </si>
  <si>
    <t>2st | DX | 2nd Belt Length</t>
  </si>
  <si>
    <t>2st | DY | 2nd Belt Mass</t>
  </si>
  <si>
    <t>2st | EA | Beg Width for 1Belt</t>
  </si>
  <si>
    <t>2st | EC | Beg gauge for 1Belt</t>
  </si>
  <si>
    <t>2st | ED | Beg Length for 1 Belt</t>
  </si>
  <si>
    <t>2st | EE | Beg Mass for 1 Belt</t>
  </si>
  <si>
    <t>2st | EG | Beg Width for 2Belt</t>
  </si>
  <si>
    <t>2st | EI | Beg gauge for 2Belt</t>
  </si>
  <si>
    <t>2st | EJ | Beg Length for 2Belt</t>
  </si>
  <si>
    <t>2st | EK | Beg Mass for 2Belt</t>
  </si>
  <si>
    <t>2st | EM | Spiral Belt Width</t>
  </si>
  <si>
    <t>2st | EN | Spiral Belt Width +/-</t>
  </si>
  <si>
    <t>2st | EO | Spiral Belt Gauge</t>
  </si>
  <si>
    <t>2st | EP | Circumrerence for SPL</t>
  </si>
  <si>
    <t>2st | EQ | Spiral Belt Length 1st Lay</t>
  </si>
  <si>
    <t>2st | ER | Spiral Belt Length 2nd Lay   (Require P3)</t>
  </si>
  <si>
    <t>2st | ES | Spiral Belt Length 3rd Lay  (Require P4,P5)</t>
  </si>
  <si>
    <t>2st | ET | Spiral Belt Length 4th Lay  (Require P6)</t>
  </si>
  <si>
    <t>2st | EU | Coefficient SPL for length</t>
  </si>
  <si>
    <t>2st | EV | Spiral Belt Length</t>
  </si>
  <si>
    <t>2st | EW | Spiral Belt Mass</t>
  </si>
  <si>
    <t>2st | EY | Cap Width</t>
  </si>
  <si>
    <t>2st | FA | Cap Gauge</t>
  </si>
  <si>
    <t>2st | FB | Coefficient TOP for length</t>
  </si>
  <si>
    <t>2st | FC | Consider SPL for TOP Length</t>
  </si>
  <si>
    <t>2st | FD | Cap Length</t>
  </si>
  <si>
    <t>2st | FE | Cap Mass</t>
  </si>
  <si>
    <t>2st | FG | Base Width</t>
  </si>
  <si>
    <t>2st | FI | Base gauge</t>
  </si>
  <si>
    <t>2st | FJ | Base Length</t>
  </si>
  <si>
    <t>2st | FK | Base Mass</t>
  </si>
  <si>
    <t>2st | FP | Mini side Length</t>
  </si>
  <si>
    <t>2st | FQ | Mini side Mass</t>
  </si>
  <si>
    <t>2st | FS | TUC Width</t>
  </si>
  <si>
    <t>2st | FU | TUC gauge</t>
  </si>
  <si>
    <t>2st | FV | TUC Length</t>
  </si>
  <si>
    <t>2st | FW | TUC Mass</t>
  </si>
  <si>
    <t>2st | FY | Antenna Position</t>
  </si>
  <si>
    <t>2st | GB | Antenna Length</t>
  </si>
  <si>
    <t>2st | GC | Antenna Mass</t>
  </si>
  <si>
    <t>2st | GD | TOP Total Mass</t>
  </si>
  <si>
    <t>2st | GN | Position (Hump line)</t>
  </si>
  <si>
    <t>2st | GQ | Position (Center)</t>
  </si>
  <si>
    <t>2st | GV | Gauge (Center)</t>
  </si>
  <si>
    <t>2st | GW | Gauge (Hump)</t>
  </si>
  <si>
    <t>2st | GX | Gauge (Side)</t>
  </si>
  <si>
    <t>2st | GY | Shoulder width</t>
  </si>
  <si>
    <t>2st | GZ | Shoulder width +/-</t>
  </si>
  <si>
    <t>2st | HA | width</t>
  </si>
  <si>
    <t>2st | HB | width +/-</t>
  </si>
  <si>
    <t>2st | HC | length</t>
  </si>
  <si>
    <t>2st | HD | length +/-</t>
  </si>
  <si>
    <t>2st | HM | R1006   Tire Size (Inch)</t>
  </si>
  <si>
    <t>2st | HR | R1011   NO6 ST SPECIFICATION (AFTER S/W TURN UP)</t>
  </si>
  <si>
    <t>2st | HS | R1012   BT Circumference(mm)</t>
  </si>
  <si>
    <t>2st | HT | R1013   O-ring Offset Value(mm)</t>
  </si>
  <si>
    <t>2st | HY | R1018   TREAD Not Use Length (mm)</t>
  </si>
  <si>
    <t>2st | HZ | R1019   BELT Stabilizer Ply Angle</t>
  </si>
  <si>
    <t>2st | IA | R1020   1BELT Stabilizer Ply Length (mm)</t>
  </si>
  <si>
    <t>2st | IB | R1021   2BELT Stabilizer Ply Length (mm)</t>
  </si>
  <si>
    <t>2st | IC | R1022   3BELT Stabilizer Ply Length (mm)</t>
  </si>
  <si>
    <t>2st | ID | R1023   TREAD Length Measuring Data for Cut (mm)</t>
  </si>
  <si>
    <t>2st | IE | R0124   TREAD Length Measuring Data for Apply (mm)</t>
  </si>
  <si>
    <t>2st | IF | R1025   1BELT Stabilizer Ply Width (mm)</t>
  </si>
  <si>
    <t>2st | IG | R1026   2BELT Stabilizer Ply Width (mm)</t>
  </si>
  <si>
    <t>2st | IH | R1027   TREAD Width (mm)</t>
  </si>
  <si>
    <t>2st | IJ | R1029   Tread Heating Time (sec)</t>
  </si>
  <si>
    <t>2st | IM | R1032   2BELT SP Application Start Spotting (degree)</t>
  </si>
  <si>
    <t>2st | IN | R1033   Spairal Layer Application1 Start Spotting (degree)</t>
  </si>
  <si>
    <t>2st | IO | R1034   Spairal Layer Application2 Start Spotting (degree)</t>
  </si>
  <si>
    <t>2st | IP | R1035   Tread Apply Start Spotting (degree)</t>
  </si>
  <si>
    <t>2st | IQ | R1036   Shaping Drum Balance Offset (degree)</t>
  </si>
  <si>
    <t>2st | IR | R1037   Shaping Drum GT Take Out Spotting (degree)</t>
  </si>
  <si>
    <t>2st | IT | R1039   BT Take Out Spotting (degree)</t>
  </si>
  <si>
    <t>2st | IU | R1040   SPL L&amp;R Head Offset (L-Head based) (mm)</t>
  </si>
  <si>
    <t>2st | IV | R1041   Spiral Layer Pitch (mm)</t>
  </si>
  <si>
    <t>2st | IW | R1042   SPL Position 1  (mm)</t>
  </si>
  <si>
    <t>2st | IX | R1043   SPL Position 2  (mm)</t>
  </si>
  <si>
    <t>2st | IY | R1044   SPL Position 3  (mm)</t>
  </si>
  <si>
    <t>2st | IZ | R1045   SPL Position 4  (mm)</t>
  </si>
  <si>
    <t>2st | JA | R1046   SPL Position 5  (mm)</t>
  </si>
  <si>
    <t>2st | JB | R1047   SPL Position 6  (mm)</t>
  </si>
  <si>
    <t>2st | JC | R1048   SPL Position 7  (mm)</t>
  </si>
  <si>
    <t>2st | JD | R1049   SPL Position 8  (mm)</t>
  </si>
  <si>
    <t>2st | JE | R1050   SPL Position 9  (mm)</t>
  </si>
  <si>
    <t>2st | JF | R1051   SPL Position 10 (mm)</t>
  </si>
  <si>
    <t>2st | JG | R1052   GAP Spiral Layer Pitch (Layer Width+GAP Width) (mm)</t>
  </si>
  <si>
    <t>2st | JH | R1053   GAP Change Position (mm)</t>
  </si>
  <si>
    <t>2st | JI | R1054   SHAPING Drum Width  Bead Lock Pos(Maximum Width) (mm)</t>
  </si>
  <si>
    <t>2st | JJ | R1055   SHAPING Drum Width  Middle Shape Position (mm)</t>
  </si>
  <si>
    <t>2st | JK | R1056   SHAPING Drum Width DT S/W Turn Up Position (mm)</t>
  </si>
  <si>
    <t>2st | JL | R1057   SHAPING Drum Width BT Insert Position (mm)</t>
  </si>
  <si>
    <t>2st | JM | R1058   SHAPING Drum Width Full Shap  Position (mm)</t>
  </si>
  <si>
    <t>2st | JP | R1061   Top Tread Stitcher Start Position (mm)</t>
  </si>
  <si>
    <t>2st | JQ | R1062   Top Tread Stitcher End Position (mm)</t>
  </si>
  <si>
    <t>2st | JR | R1063   S/W Stitcher Start Position(Front/Rear) (mm)</t>
  </si>
  <si>
    <t>2st | JS | R1064   S/W Stitcher End Position(Front/Rear) (mm)</t>
  </si>
  <si>
    <t>2st | JT | R1065   BF Stitcher Start Position (mm)</t>
  </si>
  <si>
    <t>2st | JU | R1066   BF Stitcher End Position (mm)</t>
  </si>
  <si>
    <t>2st | JV | R1067 S/W Stitcher Traverse Intrpolation Start Pos(Frnt/Rr) (mm)</t>
  </si>
  <si>
    <t>2st | JW | R1068   S/W Stitcher Traverse End Pos(=0 Not Traverse) (mm)</t>
  </si>
  <si>
    <t>2st | KF | R1077   SHAPING Bladder High Pressure (MPa) Max 0.5MPa</t>
  </si>
  <si>
    <t>2st | KG | R1078   SHAPING Bladder Low Pressure (MPa) Max 0.5MPa</t>
  </si>
  <si>
    <t>2st | KM | R1084   Tread Stitcher In Wait Timer (sec.)</t>
  </si>
  <si>
    <t>2st | KN | R1085   SHAPING Bladder Low Pressure Timer (Insert) (sec.)</t>
  </si>
  <si>
    <t>2st | KO | R1086   Upper Bladder Expand Wait Timer (Middle) (sec.)</t>
  </si>
  <si>
    <t>2st | KP | R1087   Upper Bladder Expand Timer (Middle) (sec.)</t>
  </si>
  <si>
    <t>2st | KQ | R1088 SHAPING Drum Width Move Wait Timer From Max to Inside (mm)</t>
  </si>
  <si>
    <t>2st | KR | R1089   Segment Extend Timer (sec.)</t>
  </si>
  <si>
    <t>2st | KS | R1090   SHAPING Bladder Low Pressure Wait Timer (Middle) (sec)</t>
  </si>
  <si>
    <t>2st | KT | R1091   SHAPING Bladder Low Pressure Timer (Middle) (sec.)</t>
  </si>
  <si>
    <t>2st | KU | R1092   Upper Bladder Expand Wait Timer (Full) (sec.)</t>
  </si>
  <si>
    <t>2st | KV | R1093   Upper Bladder Expand Timer (Full) (sec.)</t>
  </si>
  <si>
    <t>2st | KW | R1094  SHAPING Drum Width Move Wait Time(When Full Shap) (sec)</t>
  </si>
  <si>
    <t>2st | KX | R1095 SHAPING Drum Width Move Wait Time-From Segm Exp.Width(sec)</t>
  </si>
  <si>
    <t>2st | KY | R1096   SHAPING Bladder High Pressure Wait Timer(Full) (sec.)</t>
  </si>
  <si>
    <t>2st | KZ | R1097   Upper Bladder Expand Timer (Turn-Up) (sec.)</t>
  </si>
  <si>
    <t>2st | LA | R1098   Upper Bladder Exhaust Wait Time (Turn-Up) (sec.)</t>
  </si>
  <si>
    <t>2st | LB | R1099   Upper/Lower Bladder Expand/Exhaust Time(Turn-Up) (sec.)</t>
  </si>
  <si>
    <t>2st | LC | R1100   Lower Bladder Expand Wait Timer (Turn-Up) (sec.)</t>
  </si>
  <si>
    <t>2st | LD | R1101   Lower Bladder Expand Timer (Turn-Up) (sec.)</t>
  </si>
  <si>
    <t>2st | LE | R1102   Lower Bladder Expand/Exhaust Wait Time (Turn-Up) (sec.)</t>
  </si>
  <si>
    <t>2st | LF | R1103SHAPING Drum Width Move Wait Timer(When DT Turn Up) (sec.)</t>
  </si>
  <si>
    <t>2st | LG | R1104   SHAPING Bladder Low Pressure Wait Timer(Turn-Up) (sec.)</t>
  </si>
  <si>
    <t>2st | LH | R1105   SHAPING Bladder Low Pressure Timer (Turn-Up) (sec.)</t>
  </si>
  <si>
    <t>2st | LJ | R1107 Outer Turn-Up Bladder 2nd Exhaust Wait Time(Turn-Up)(sec.)</t>
  </si>
  <si>
    <t>2st | LK | R1108   Bladder Vacuum Time (sec.)</t>
  </si>
  <si>
    <t>2st | LL | R1109   Bladder Deflate Time (sec.)</t>
  </si>
  <si>
    <t>2st | LM | R1110   SHAPING Drum Width Expansion Delay Time (0,1sec.)</t>
  </si>
  <si>
    <t>2st | LN | R1111   O-ring Close Delay Time (sec.)</t>
  </si>
  <si>
    <t>2st | LO | R1112   Bead Lock Collapse Delay Time (sec.)</t>
  </si>
  <si>
    <t>2st | LP | R1113   Rim Guard DT SHAPING Pre-exaust Time (sec.)</t>
  </si>
  <si>
    <t>2st | LQ | R1114   Outer Turn-Up Bladder 2nd Exhaust Time (Turn-Up) (sec.)</t>
  </si>
  <si>
    <t>2st | LW | R1120   Mechanical Drum Left Turn-Up Arm Out (sec.)</t>
  </si>
  <si>
    <t>2st | LX | R1121   Mechanical Drum Right Turn-Up Arm Out (sec.)</t>
  </si>
  <si>
    <t>2st | LY | R1122   Mechanical Drum Left Turn-Up Arm Return (sec.)</t>
  </si>
  <si>
    <t>2st | LZ | R1123   Mechanical Drum Right Turn-Up Arm Retrun (sec.)</t>
  </si>
  <si>
    <t>2st | MB | R1125   GT Take Quick Exhaust Wait Time (sec.)</t>
  </si>
  <si>
    <t>2st | MG | R1130   BT Drum 1B Apply Speed (rpm)</t>
  </si>
  <si>
    <t>2st | MH | R1131   BT Drum 2B Apply Speed (rpm)</t>
  </si>
  <si>
    <t>2st | MI | R1132   BT Drum SPLay Apply Low Speed (rpm)</t>
  </si>
  <si>
    <t>2st | MJ | R1133   BT Drum SPLay Apply Hi Speed (rpm)</t>
  </si>
  <si>
    <t>2st | MK | R1134   BT Drum TREAD Apply Speed (rpm)</t>
  </si>
  <si>
    <t>2st | MM | R1136   SHAPING Drum Pre-expansion (mm)</t>
  </si>
  <si>
    <t>2st | MQ | R1140   FR Drum Width GC Maximum Position (mm)</t>
  </si>
  <si>
    <t>2st | MR | R1141   FR Drum Width Poly-Liner Take Out Position (mm)</t>
  </si>
  <si>
    <t>2st | MS | R1142   FR Bladder Vacuum Time (GC Insert) (sec.)</t>
  </si>
  <si>
    <t>2st | MT | R1143   FR Bladder High Pressure Time (Middle) (sec.)</t>
  </si>
  <si>
    <t>2st | MU | R1144   FR Bladder Pressure Change Delay Time (Middle) (sec.)</t>
  </si>
  <si>
    <t>2st | MV | R1145   FR Bladder Low Pressure Time (Middle) (sec.)</t>
  </si>
  <si>
    <t>2st | MW | R1146   FR Width Move Delay Time (Middle) (sec.)</t>
  </si>
  <si>
    <t>2st | MX | R1147   FR Bead Lock Pressure Change Delay Time (Full) (sec.)</t>
  </si>
  <si>
    <t>2st | MY | R1148   FR Bead Lock High Pressure Time (Full) (sec.)</t>
  </si>
  <si>
    <t>2st | MZ | R1149   FR Bladder Low Pressure Time (Full) (sec.)</t>
  </si>
  <si>
    <t>2st | NA | R1150   FR Bladder High Pressure Change Delay Time (Full) (sec.)</t>
  </si>
  <si>
    <t>2st | NB | R1151   O-Ring Expand Delay Time (Full) (sec.)</t>
  </si>
  <si>
    <t>2st | NC | R1152   FR Width GT Take Out Width Mov Delay Time (sec.)</t>
  </si>
  <si>
    <t>2st | ND | R1153   FR Bladder Exhaust Time (GT Take Out) (sec.)</t>
  </si>
  <si>
    <t>2st | NE | R1154   FR Bladder Vacuum Delay Time (GT Take Out) (sec.)</t>
  </si>
  <si>
    <t>2st | NF | R1155   FR Bladder Vacuum Time (GT Take Out) (sec.)</t>
  </si>
  <si>
    <t>2st | NG | R1156   FR Bead Lock Collapse Delay Time (GT Take Out) (sec.)</t>
  </si>
  <si>
    <t>2st | NH | R1157   Turn Up Arm Expand Delay Time (sec.)</t>
  </si>
  <si>
    <t>2st | NJ | R1159   Turn Up Maintenance Time (sec.)</t>
  </si>
  <si>
    <t>2st | NK | R1160   Turn Up Arm Collapse Delay Time (sec.)</t>
  </si>
  <si>
    <t>2st | NM | R1162   Turn Up Arm Wide Check Time (sec.)</t>
  </si>
  <si>
    <t>2st | NN | R1163   No5.Stitcher Width Start Position (mm)</t>
  </si>
  <si>
    <t>2st | NO | R1164   No5.Stitcher Width Raise Up Position (mm)</t>
  </si>
  <si>
    <t>2st | NP | R1165   No5.Stitcher End Position (mm)</t>
  </si>
  <si>
    <t>2st | NQ | R1166   No5.Stitcher Arm Pressure Change Position (mm)</t>
  </si>
  <si>
    <t>2st | NR | R1167   No5.Stitcher Middle Position Move Delay Time (sec.)</t>
  </si>
  <si>
    <t>2st | NS | R1168   No5.Stitcher Width End Position Move Delay Time (sec.)</t>
  </si>
  <si>
    <t>2st | NT | R1169   No5.Stitcher Arm Open Delay Time (sec.)</t>
  </si>
  <si>
    <t>2st | OK | BOM_BELT1_PARTID</t>
  </si>
  <si>
    <t>2st | OL | BOM_BELT1_MACHINEGROUP</t>
  </si>
  <si>
    <t>2st | ON | BOM_BELT1_REVISIONNO</t>
  </si>
  <si>
    <t>2st | OO | BOM_BELT1_LENGTH</t>
  </si>
  <si>
    <t>2st | OP | BOM_BELT2_PARTID</t>
  </si>
  <si>
    <t>2st | OQ | BOM_BELT2_MACHINEGROUP</t>
  </si>
  <si>
    <t>2st | OS | BOM_BELT2_REVISIONNO</t>
  </si>
  <si>
    <t>2st | OT | BOM_BELT2_LENGTH</t>
  </si>
  <si>
    <t>2st | OU | BOM_LAY_PARTID</t>
  </si>
  <si>
    <t>2st | OV | BOM_LAY_MACHINEGROUP</t>
  </si>
  <si>
    <t>2st | OX | BOM_LAY_REVISIONNO</t>
  </si>
  <si>
    <t>2st | OY | BOM_LAY_LENGTH</t>
  </si>
  <si>
    <t>2st | OZ | BOM_TOP_PARTID</t>
  </si>
  <si>
    <t>2st | PA | BOM_TOP_MACHINEGROUP</t>
  </si>
  <si>
    <t>2st | PC | BOM_TOP_REVISIONNO</t>
  </si>
  <si>
    <t>2st | PD | BOM_TOP_LENGTH</t>
  </si>
  <si>
    <t>2st | PF | Belt 1 Mass (Treatment)</t>
  </si>
  <si>
    <t>2st | PG | Belt 1 Mass (End gum)</t>
  </si>
  <si>
    <t>2st | PH | Belt 2 Mass (Treatment)</t>
  </si>
  <si>
    <t>2st | PI | Belt 2 Mass (End gum)</t>
  </si>
  <si>
    <t>2st | PJ | Top Mass mini side</t>
  </si>
  <si>
    <t>2st | PK | Top Mass after DT</t>
  </si>
  <si>
    <t>2st | PL | Top Mass cap</t>
  </si>
  <si>
    <t>2st | PM | Top Mass base</t>
  </si>
  <si>
    <t>2st | PN | Top Mass tuc</t>
  </si>
  <si>
    <t>2st | PO | Top Mass antenna</t>
  </si>
  <si>
    <t>2st | PP | SPL_MASS</t>
  </si>
  <si>
    <t>2st | PQ | For database reference(Data key of Circum)</t>
  </si>
  <si>
    <t>2st | PR | For database reference(Data key of Circum)2</t>
  </si>
  <si>
    <t>2st | PS | For database reference(Data key of O-Ring)</t>
  </si>
  <si>
    <t>2st | PT | Top Tread Width</t>
  </si>
  <si>
    <t>2st | PU | Wing Tip Width</t>
  </si>
  <si>
    <t>2st | PX | PRD_CODE_INVALID</t>
  </si>
  <si>
    <t>2st | PY | SPL_P1_VALID_CHECK</t>
  </si>
  <si>
    <t>2st | PZ | SPL_P2_VALID_CHECK</t>
  </si>
  <si>
    <t>2st | QA | SPL_P3_VALID_CHECK</t>
  </si>
  <si>
    <t>2st | QB | SPL_REVISION_INVALID</t>
  </si>
  <si>
    <t>2st | QC | SPL_NO_NEED</t>
  </si>
  <si>
    <t>2st | QD | SPL_NEED</t>
  </si>
  <si>
    <t>2st | QE | SPL_P1</t>
  </si>
  <si>
    <t>2st | QF | SPL_P3</t>
  </si>
  <si>
    <t>2st | QG | PROCESS2ND_032_UNIT:10DEG</t>
  </si>
  <si>
    <t>2st | QH | CHECK_OF_SIDEWALLSTITCHER</t>
  </si>
  <si>
    <t>2st | QI | CHECK_OF_TOPTREADSTITCHER</t>
  </si>
  <si>
    <t>2st | QJ | CHECK_OF_SW_ST_STOP</t>
  </si>
  <si>
    <t>2st | QK | Side set position</t>
  </si>
  <si>
    <t>2st | QL | Bead Set Width</t>
  </si>
  <si>
    <t>2st | QM | Bead Width</t>
  </si>
  <si>
    <t>2st | QN | Bead Ring Circumference</t>
  </si>
  <si>
    <t>2st | QQ | Check building MC with spec data bank  Size_TYPE</t>
  </si>
  <si>
    <t>2st | QS | Low Bead Lock pressure</t>
  </si>
  <si>
    <t>2st | QT | High Bead Lock pressure</t>
  </si>
  <si>
    <t>ПАРАМЕТРЫ ПО SIZE</t>
  </si>
  <si>
    <t>Единая таблица средних параметров из файлов 1st и 2st</t>
  </si>
  <si>
    <t>85 размеров</t>
  </si>
  <si>
    <t>534 параметра</t>
  </si>
  <si>
    <t>Открыть сводную таблицу →</t>
  </si>
  <si>
    <t>1. Откройте сводную таблицу и выберите нужный Size через фильтр первого столбца.</t>
  </si>
  <si>
    <t>2. Тёмно-синие заголовки — параметры 1st, синие — параметры 2st. Size закреплён при прокрутке.</t>
  </si>
  <si>
    <t>3. Количество значений для каждого среднего доступно на отдельном листе.</t>
  </si>
  <si>
    <t>Количество значений →</t>
  </si>
  <si>
    <t>Инструкция →</t>
  </si>
  <si>
    <t>Средние описывают исходную выборку. Пустые и текст пропускаются; нули учитываются.</t>
  </si>
  <si>
    <t>ПОИСК ПАРАМЕТРОВ</t>
  </si>
  <si>
    <t>1. Источник данных</t>
  </si>
  <si>
    <t>1ST</t>
  </si>
  <si>
    <t>2. Размер Size</t>
  </si>
  <si>
    <t>3. Текст заголовка первой строки (например: Size, Code, Mass)</t>
  </si>
  <si>
    <t>Найдено параметров</t>
  </si>
  <si>
    <t>Выберите 1ST или 2ST, затем Size. Введите часть названия в D6; пустое поле показывает все заголовки первой строки. Среднее и количество заполняются только для расчётных числовых параметров. Регистр букв не важен.</t>
  </si>
  <si>
    <t>№</t>
  </si>
  <si>
    <t>Параметр</t>
  </si>
  <si>
    <t>Столбец</t>
  </si>
  <si>
    <t>Среднее</t>
  </si>
  <si>
    <t>Числовых значений</t>
  </si>
  <si>
    <t>Источник</t>
  </si>
  <si>
    <t>Столбец свода</t>
  </si>
  <si>
    <t>Совпадение</t>
  </si>
  <si>
    <t>Порядок</t>
  </si>
  <si>
    <t>B</t>
  </si>
  <si>
    <t>H</t>
  </si>
  <si>
    <t>J</t>
  </si>
  <si>
    <t>K</t>
  </si>
  <si>
    <t>O</t>
  </si>
  <si>
    <t>Q</t>
  </si>
  <si>
    <t>U</t>
  </si>
  <si>
    <t>V</t>
  </si>
  <si>
    <t>W</t>
  </si>
  <si>
    <t>X</t>
  </si>
  <si>
    <t>Y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</si>
  <si>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</si>
  <si>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</si>
  <si>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</si>
  <si>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</si>
  <si>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</si>
  <si>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</si>
  <si>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</si>
  <si>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</si>
  <si>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</si>
  <si>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</si>
  <si>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</si>
  <si>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</si>
  <si>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</si>
  <si>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</si>
  <si>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</si>
  <si>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</si>
  <si>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</si>
  <si>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</si>
  <si>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</si>
  <si>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</si>
  <si>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</si>
  <si>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</si>
  <si>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</si>
  <si>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</si>
  <si>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</si>
  <si>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</si>
  <si>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</si>
  <si>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</si>
  <si>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</si>
  <si>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</si>
  <si>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</si>
  <si>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</si>
  <si>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</si>
  <si>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</si>
  <si>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</si>
  <si>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BK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</si>
  <si>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</si>
  <si>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</si>
  <si>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</si>
  <si>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</si>
  <si>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</si>
  <si>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</si>
  <si>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</si>
  <si>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</si>
  <si>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</si>
  <si>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</si>
  <si>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</si>
  <si>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</si>
  <si>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</si>
  <si>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</si>
  <si>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</si>
  <si>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</si>
  <si>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</si>
  <si>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</si>
  <si>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</si>
  <si>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</si>
  <si>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</si>
  <si>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</si>
  <si>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</si>
  <si>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</si>
  <si>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</si>
  <si>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</si>
  <si>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</si>
  <si>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</si>
  <si>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</si>
  <si>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</si>
  <si>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</si>
  <si>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</si>
  <si>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</si>
  <si>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</si>
  <si>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</si>
  <si>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</si>
  <si>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</si>
  <si>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</si>
  <si>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</si>
  <si>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</si>
  <si>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</si>
  <si>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</si>
  <si>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</si>
  <si>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</si>
  <si>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</si>
  <si>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</si>
  <si>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</si>
  <si>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</si>
  <si>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</si>
  <si>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</si>
  <si>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</si>
  <si>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</si>
  <si>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</si>
  <si>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</si>
  <si>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</si>
  <si>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</si>
  <si>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</si>
  <si>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</si>
  <si>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</si>
  <si>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</si>
  <si>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</si>
  <si>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</si>
  <si>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</si>
  <si>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</si>
  <si>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</si>
  <si>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</si>
  <si>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</si>
  <si>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</si>
  <si>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</si>
  <si>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</si>
  <si>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</si>
  <si>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</si>
  <si>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</si>
  <si>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</si>
  <si>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</si>
  <si>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</si>
  <si>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</si>
  <si>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</si>
  <si>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</si>
  <si>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</si>
  <si>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</si>
  <si>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</si>
  <si>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</si>
  <si>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</si>
  <si>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</si>
  <si>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</si>
  <si>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</si>
  <si>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</si>
  <si>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</si>
  <si>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</si>
  <si>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</si>
  <si>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</si>
  <si>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</si>
  <si>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</si>
  <si>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</si>
  <si>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</si>
  <si>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</si>
  <si>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</si>
  <si>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</si>
  <si>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</si>
  <si>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</si>
  <si>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</si>
  <si>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</si>
  <si>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</si>
  <si>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</si>
  <si>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</si>
  <si>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</si>
  <si>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</si>
  <si>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</si>
  <si>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</si>
  <si>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</si>
  <si>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</si>
  <si>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</si>
  <si>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</si>
  <si>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</si>
  <si>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</si>
  <si>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</si>
  <si>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</si>
  <si>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</si>
  <si>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</si>
  <si>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</si>
  <si>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</si>
  <si>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</si>
  <si>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</si>
  <si>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</si>
  <si>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</si>
  <si>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</si>
  <si>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</si>
  <si>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</si>
  <si>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</si>
  <si>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</si>
  <si>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</si>
  <si>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</si>
  <si>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</si>
  <si>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</si>
  <si>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</si>
  <si>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</si>
  <si>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</si>
  <si>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</si>
  <si>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</si>
  <si>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</si>
  <si>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</si>
  <si>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</si>
  <si>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</si>
  <si>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</si>
  <si>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</si>
  <si>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</si>
  <si>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</si>
  <si>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</si>
  <si>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</si>
  <si>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</si>
  <si>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</si>
  <si>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</si>
  <si>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</si>
  <si>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</si>
  <si>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</si>
  <si>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</si>
  <si>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</si>
  <si>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</si>
  <si>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</si>
  <si>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</si>
  <si>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</si>
  <si>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</si>
  <si>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</si>
  <si>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</si>
  <si>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</si>
  <si>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</si>
  <si>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</si>
  <si>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</si>
  <si>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</si>
  <si>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</si>
  <si>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</si>
  <si>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</si>
  <si>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</si>
  <si>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</si>
  <si>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</si>
  <si>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</si>
  <si>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</si>
  <si>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</si>
  <si>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</si>
  <si>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</si>
  <si>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</si>
  <si>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</si>
  <si>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</si>
  <si>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</si>
  <si>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</si>
  <si>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</si>
  <si>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</si>
  <si>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</si>
  <si>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</si>
  <si>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</si>
  <si>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</si>
  <si>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</si>
  <si>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</si>
  <si>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</si>
  <si>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</si>
  <si>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</si>
  <si>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</si>
  <si>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</si>
  <si>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</si>
  <si>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</si>
  <si>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</si>
  <si>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</si>
  <si>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</si>
  <si>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</si>
  <si>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</si>
  <si>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</si>
  <si>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</si>
  <si>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</si>
  <si>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</si>
  <si>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</si>
  <si>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</si>
  <si>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</si>
  <si>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</si>
  <si>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</si>
  <si>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</si>
  <si>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</si>
  <si>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</si>
  <si>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</si>
  <si>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</si>
  <si>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</si>
  <si>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</si>
  <si>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</si>
  <si>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</si>
  <si>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</si>
  <si>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</si>
  <si>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</si>
  <si>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</si>
  <si>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</si>
  <si>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</si>
  <si>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</si>
  <si>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</si>
  <si>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</si>
  <si>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</si>
  <si>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</si>
  <si>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</si>
  <si>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</si>
  <si>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</si>
  <si>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</si>
  <si>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</si>
  <si>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</si>
  <si>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</si>
  <si>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</si>
  <si>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</si>
  <si>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</si>
  <si>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</si>
  <si>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</si>
  <si>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</si>
  <si>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</si>
  <si>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</si>
  <si>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</si>
  <si>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</si>
  <si>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</si>
  <si>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</si>
  <si>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</si>
  <si>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</si>
  <si>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</si>
  <si>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</si>
  <si>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</si>
  <si>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</si>
  <si>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</si>
  <si>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</si>
  <si>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</si>
  <si>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</si>
  <si>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</si>
  <si>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</si>
  <si>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</si>
  <si>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</si>
  <si>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</si>
  <si>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</si>
  <si>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</si>
  <si>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</si>
  <si>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</si>
  <si>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</si>
  <si>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</si>
  <si>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</si>
  <si>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</si>
  <si>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</si>
  <si>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</si>
  <si>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</si>
  <si>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</si>
  <si>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</si>
  <si>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</si>
  <si>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</si>
  <si>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</si>
  <si>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</si>
  <si>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</si>
  <si>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</si>
  <si>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</si>
  <si>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</si>
  <si>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</si>
  <si>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</si>
  <si>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</si>
  <si>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</si>
  <si>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</si>
  <si>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</si>
  <si>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</si>
  <si>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</si>
  <si>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</si>
  <si>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</si>
  <si>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</si>
  <si>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</si>
  <si>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</si>
  <si>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</si>
  <si>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</si>
  <si>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</si>
  <si>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</si>
  <si>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</si>
  <si>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</si>
  <si>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</si>
  <si>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</si>
  <si>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</si>
  <si>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</si>
  <si>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</si>
  <si>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</si>
  <si>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</si>
  <si>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</si>
  <si>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</si>
  <si>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</si>
  <si>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</si>
  <si>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</si>
  <si>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</si>
  <si>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</si>
  <si>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</si>
  <si>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</si>
  <si>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</si>
  <si>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</si>
  <si>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</si>
  <si>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</si>
  <si>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</si>
  <si>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</si>
  <si>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</si>
  <si>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</si>
  <si>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</si>
  <si>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</si>
  <si>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</si>
  <si>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</si>
  <si>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</si>
  <si>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</si>
  <si>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</si>
  <si>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</si>
  <si>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</si>
  <si>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</si>
  <si>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</si>
  <si>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</si>
  <si>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</si>
  <si>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</si>
  <si>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</si>
  <si>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</si>
  <si>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</si>
  <si>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</si>
  <si>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</si>
  <si>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</si>
  <si>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</si>
  <si>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</si>
  <si>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</si>
  <si>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</si>
  <si>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</si>
  <si>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</si>
  <si>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</si>
  <si>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</si>
  <si>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</si>
  <si>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</si>
  <si>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</si>
  <si>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</si>
  <si>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</si>
  <si>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</si>
  <si>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</si>
  <si>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</si>
  <si>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</si>
  <si>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</si>
  <si>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</si>
  <si>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</si>
  <si>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</si>
  <si>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</si>
  <si>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</si>
  <si>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</si>
  <si>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</si>
  <si>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</si>
  <si>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</si>
  <si>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</si>
  <si>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</si>
  <si>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</si>
  <si>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</si>
  <si>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</si>
  <si>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</si>
  <si>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</si>
  <si>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</si>
  <si>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</si>
  <si>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</si>
  <si>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</si>
  <si>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</si>
  <si>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</si>
  <si>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</si>
  <si>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</si>
  <si>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</si>
  <si>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</si>
  <si>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</si>
  <si>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</si>
  <si>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</si>
  <si>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</si>
  <si>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</si>
  <si>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</si>
  <si>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</si>
  <si>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</si>
  <si>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</si>
  <si>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</si>
  <si>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</si>
  <si>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</si>
  <si>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</si>
  <si>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</si>
  <si>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</si>
  <si>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</si>
  <si>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</si>
  <si>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</si>
  <si>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</si>
  <si>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</si>
  <si>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</si>
  <si>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</si>
  <si>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</si>
  <si>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</si>
  <si>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</si>
  <si>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</si>
  <si>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</si>
  <si>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</si>
  <si>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</si>
  <si>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</si>
  <si>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</si>
  <si>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</si>
  <si>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</si>
  <si>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</si>
  <si>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</si>
  <si>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</si>
  <si>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</si>
  <si>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</si>
  <si>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</si>
  <si>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</si>
  <si>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</si>
  <si>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</si>
  <si>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</si>
  <si>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</si>
  <si>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</si>
  <si>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</si>
  <si>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</si>
  <si>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</si>
  <si>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</si>
  <si>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</si>
  <si>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</si>
  <si>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</si>
  <si>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</si>
  <si>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</si>
  <si>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</si>
  <si>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</si>
  <si>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</si>
  <si>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</si>
  <si>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</si>
  <si>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</si>
  <si>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</si>
  <si>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</si>
  <si>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</si>
  <si>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</si>
  <si>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</si>
  <si>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</si>
  <si>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</si>
  <si>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</si>
  <si>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</si>
  <si>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</si>
  <si>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</si>
  <si>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</si>
  <si>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2ST</t>
  </si>
  <si>
    <t>Поиск параметров: выбор 1ST / 2ST →</t>
  </si>
  <si>
    <t>Лист «Поиск параметров»: D4 — источник 1ST/2ST, D5 — Size, D6 — часть названия. Поиск выполняется по всем заголовкам первой строки выбранного исходного файла, включая текстовые столбцы. Для полей, не включённых в расчёт средних, среднее и количество пустые. Результаты и количество найденных параметров пересчитываются автоматически.</t>
  </si>
</sst>
</file>

<file path=xl/styles.xml><?xml version="1.0" encoding="utf-8"?>
<styleSheet xmlns="http://schemas.openxmlformats.org/spreadsheetml/2006/main">
  <numFmts count="1">
    <numFmt numFmtId="164" formatCode="0.000"/>
  </numFmts>
  <fonts count="10">
    <font>
      <sz val="11"/>
      <color theme="1"/>
      <name val="Calibri"/>
      <family val="2"/>
      <scheme val="minor"/>
    </font>
    <font>
      <b/>
      <sz val="26"/>
      <color rgb="FF163A63"/>
      <name val="Calibri"/>
      <family val="2"/>
      <scheme val="minor"/>
    </font>
    <font>
      <sz val="12"/>
      <color rgb="FF31465C"/>
      <name val="Calibri"/>
      <family val="2"/>
      <scheme val="minor"/>
    </font>
    <font>
      <b/>
      <sz val="12"/>
      <color rgb="FF163A63"/>
      <name val="Calibri"/>
      <family val="2"/>
      <scheme val="minor"/>
    </font>
    <font>
      <sz val="12"/>
      <color rgb="FF6175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9"/>
      <color rgb="FF163A63"/>
      <name val="Calibri"/>
      <family val="2"/>
      <scheme val="minor"/>
    </font>
    <font>
      <b/>
      <sz val="13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63A6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63A63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24568A"/>
        <bgColor indexed="64"/>
      </patternFill>
    </fill>
    <fill>
      <patternFill patternType="solid">
        <fgColor rgb="FFE2ECF7"/>
        <bgColor indexed="64"/>
      </patternFill>
    </fill>
    <fill>
      <patternFill patternType="solid">
        <fgColor rgb="FF356DA4"/>
        <bgColor indexed="64"/>
      </patternFill>
    </fill>
  </fills>
  <borders count="3">
    <border>
      <left/>
      <right/>
      <top/>
      <bottom/>
      <diagonal/>
    </border>
    <border>
      <left style="thin">
        <color rgb="FFA8BBD0"/>
      </left>
      <right style="thin">
        <color rgb="FFA8BBD0"/>
      </right>
      <top style="thin">
        <color rgb="FFA8BBD0"/>
      </top>
      <bottom style="thin">
        <color rgb="FFA8BBD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/>
    <xf numFmtId="0" fontId="4" fillId="0" borderId="0" xfId="0" applyFont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8" fillId="0" borderId="0" xfId="1" applyAlignment="1" applyProtection="1"/>
    <xf numFmtId="0" fontId="9" fillId="6" borderId="0" xfId="0" applyFont="1" applyFill="1"/>
    <xf numFmtId="0" fontId="5" fillId="7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ill>
        <patternFill>
          <bgColor rgb="FFF0F5F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4568A"/>
  </sheetPr>
  <dimension ref="A1:F547"/>
  <sheetViews>
    <sheetView showGridLines="0" tabSelected="1" zoomScale="95" zoomScaleNormal="9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5"/>
  <cols>
    <col min="1" max="1" width="7.7109375" customWidth="1"/>
    <col min="2" max="2" width="82.7109375" customWidth="1"/>
    <col min="3" max="3" width="14.7109375" customWidth="1"/>
    <col min="4" max="4" width="22.7109375" customWidth="1"/>
    <col min="5" max="5" width="23.7109375" customWidth="1"/>
    <col min="6" max="6" width="0" hidden="1" customWidth="1"/>
  </cols>
  <sheetData>
    <row r="1" spans="1:6">
      <c r="A1" s="1" t="s">
        <v>5807</v>
      </c>
      <c r="B1" s="1"/>
      <c r="C1" s="1"/>
      <c r="D1" s="1"/>
      <c r="E1" s="1"/>
    </row>
    <row r="2" spans="1:6">
      <c r="A2" s="1"/>
      <c r="B2" s="1"/>
      <c r="C2" s="1"/>
      <c r="D2" s="1"/>
      <c r="E2" s="1"/>
    </row>
    <row r="4" spans="1:6">
      <c r="B4" s="2" t="s">
        <v>5808</v>
      </c>
      <c r="D4" s="3" t="s">
        <v>5809</v>
      </c>
    </row>
    <row r="5" spans="1:6">
      <c r="B5" s="2" t="s">
        <v>5810</v>
      </c>
      <c r="D5" s="3" t="s">
        <v>1455</v>
      </c>
    </row>
    <row r="6" spans="1:6">
      <c r="B6" s="2" t="s">
        <v>5811</v>
      </c>
      <c r="D6" s="3"/>
    </row>
    <row r="8" spans="1:6">
      <c r="B8" s="2" t="s">
        <v>5812</v>
      </c>
      <c r="D8">
        <f>SUM('Каталог поиска'!E2:E998)</f>
        <v>535</v>
      </c>
    </row>
    <row r="9" spans="1:6">
      <c r="A9" s="4" t="s">
        <v>5813</v>
      </c>
      <c r="B9" s="4"/>
      <c r="C9" s="4"/>
      <c r="D9" s="4"/>
      <c r="E9" s="4"/>
    </row>
    <row r="10" spans="1:6">
      <c r="A10" s="4"/>
      <c r="B10" s="4"/>
      <c r="C10" s="4"/>
      <c r="D10" s="4"/>
      <c r="E10" s="4"/>
    </row>
    <row r="12" spans="1:6" ht="32" customHeight="1">
      <c r="A12" s="5" t="s">
        <v>5814</v>
      </c>
      <c r="B12" s="5" t="s">
        <v>5815</v>
      </c>
      <c r="C12" s="5" t="s">
        <v>5816</v>
      </c>
      <c r="D12" s="5" t="s">
        <v>5817</v>
      </c>
      <c r="E12" s="5" t="s">
        <v>5818</v>
      </c>
    </row>
    <row r="13" spans="1:6" ht="36" customHeight="1">
      <c r="A13">
        <f>IF(F13="","",1)</f>
        <v>1</v>
      </c>
      <c r="B13" s="6" t="str">
        <f>IF($F13="","",INDEX('Каталог поиска'!$B$2:$B$998,$F13))</f>
        <v>Building Size</v>
      </c>
      <c r="C13" s="6" t="str">
        <f>IF($F13="","",INDEX('Каталог поиска'!$C$2:$C$998,$F13))</f>
        <v>A</v>
      </c>
      <c r="D13" s="7">
        <f>IF(OR($F13="",E13=0,INDEX('Каталог поиска'!$D$2:$D$998,$F13)=0),"",IFERROR(INDEX('По размерам'!$A$2:$TY$86,MATCH($D$5,'По размерам'!$A$2:$A$86,0),INDEX('Каталог поиска'!$D$2:$D$998,$F13)),""))</f>
        <v/>
      </c>
      <c r="E13">
        <f>IF(OR($F13="",INDEX('Каталог поиска'!$D$2:$D$998,$F13)=0),"",IFERROR(INDEX('Количество значений'!$A$2:$TY$86,MATCH($D$5,'Количество значений'!$A$2:$A$86,0),INDEX('Каталог поиска'!$D$2:$D$998,$F13)),""))</f>
        <v/>
      </c>
      <c r="F13">
        <f>IFERROR(MATCH(1,'Каталог поиска'!$F$2:$F$998,0),"")</f>
        <v>1</v>
      </c>
    </row>
    <row r="14" spans="1:6" ht="36" customHeight="1">
      <c r="A14">
        <f>IF(F14="","",2)</f>
        <v>2</v>
      </c>
      <c r="B14" s="6" t="str">
        <f>IF($F14="","",INDEX('Каталог поиска'!$B$2:$B$998,$F14))</f>
        <v>Revision No</v>
      </c>
      <c r="C14" s="6" t="str">
        <f>IF($F14="","",INDEX('Каталог поиска'!$C$2:$C$998,$F14))</f>
        <v>B</v>
      </c>
      <c r="D14" s="7">
        <f>IF(OR($F14="",E14=0,INDEX('Каталог поиска'!$D$2:$D$998,$F14)=0),"",IFERROR(INDEX('По размерам'!$A$2:$TY$86,MATCH($D$5,'По размерам'!$A$2:$A$86,0),INDEX('Каталог поиска'!$D$2:$D$998,$F14)),""))</f>
        <v/>
      </c>
      <c r="E14">
        <f>IF(OR($F14="",INDEX('Каталог поиска'!$D$2:$D$998,$F14)=0),"",IFERROR(INDEX('Количество значений'!$A$2:$TY$86,MATCH($D$5,'Количество значений'!$A$2:$A$86,0),INDEX('Каталог поиска'!$D$2:$D$998,$F14)),""))</f>
        <v/>
      </c>
      <c r="F14">
        <f>IFERROR(MATCH(2,'Каталог поиска'!$F$2:$F$998,0),"")</f>
        <v>2</v>
      </c>
    </row>
    <row r="15" spans="1:6" ht="36" customHeight="1">
      <c r="A15">
        <f>IF(F15="","",3)</f>
        <v>3</v>
      </c>
      <c r="B15" s="6" t="str">
        <f>IF($F15="","",INDEX('Каталог поиска'!$B$2:$B$998,$F15))</f>
        <v>APPROVE STATE</v>
      </c>
      <c r="C15" s="6" t="str">
        <f>IF($F15="","",INDEX('Каталог поиска'!$C$2:$C$998,$F15))</f>
        <v>C</v>
      </c>
      <c r="D15" s="7">
        <f>IF(OR($F15="",E15=0,INDEX('Каталог поиска'!$D$2:$D$998,$F15)=0),"",IFERROR(INDEX('По размерам'!$A$2:$TY$86,MATCH($D$5,'По размерам'!$A$2:$A$86,0),INDEX('Каталог поиска'!$D$2:$D$998,$F15)),""))</f>
        <v/>
      </c>
      <c r="E15">
        <f>IF(OR($F15="",INDEX('Каталог поиска'!$D$2:$D$998,$F15)=0),"",IFERROR(INDEX('Количество значений'!$A$2:$TY$86,MATCH($D$5,'Количество значений'!$A$2:$A$86,0),INDEX('Каталог поиска'!$D$2:$D$998,$F15)),""))</f>
        <v/>
      </c>
      <c r="F15">
        <f>IFERROR(MATCH(3,'Каталог поиска'!$F$2:$F$998,0),"")</f>
        <v>3</v>
      </c>
    </row>
    <row r="16" spans="1:6" ht="36" customHeight="1">
      <c r="A16">
        <f>IF(F16="","",4)</f>
        <v>4</v>
      </c>
      <c r="B16" s="6" t="str">
        <f>IF($F16="","",INDEX('Каталог поиска'!$B$2:$B$998,$F16))</f>
        <v>Issue date</v>
      </c>
      <c r="C16" s="6" t="str">
        <f>IF($F16="","",INDEX('Каталог поиска'!$C$2:$C$998,$F16))</f>
        <v>D</v>
      </c>
      <c r="D16" s="7">
        <f>IF(OR($F16="",E16=0,INDEX('Каталог поиска'!$D$2:$D$998,$F16)=0),"",IFERROR(INDEX('По размерам'!$A$2:$TY$86,MATCH($D$5,'По размерам'!$A$2:$A$86,0),INDEX('Каталог поиска'!$D$2:$D$998,$F16)),""))</f>
        <v/>
      </c>
      <c r="E16">
        <f>IF(OR($F16="",INDEX('Каталог поиска'!$D$2:$D$998,$F16)=0),"",IFERROR(INDEX('Количество значений'!$A$2:$TY$86,MATCH($D$5,'Количество значений'!$A$2:$A$86,0),INDEX('Каталог поиска'!$D$2:$D$998,$F16)),""))</f>
        <v/>
      </c>
      <c r="F16">
        <f>IFERROR(MATCH(4,'Каталог поиска'!$F$2:$F$998,0),"")</f>
        <v>4</v>
      </c>
    </row>
    <row r="17" spans="1:6" ht="36" customHeight="1">
      <c r="A17">
        <f>IF(F17="","",5)</f>
        <v>5</v>
      </c>
      <c r="B17" s="6" t="str">
        <f>IF($F17="","",INDEX('Каталог поиска'!$B$2:$B$998,$F17))</f>
        <v>Application date</v>
      </c>
      <c r="C17" s="6" t="str">
        <f>IF($F17="","",INDEX('Каталог поиска'!$C$2:$C$998,$F17))</f>
        <v>E</v>
      </c>
      <c r="D17" s="7">
        <f>IF(OR($F17="",E17=0,INDEX('Каталог поиска'!$D$2:$D$998,$F17)=0),"",IFERROR(INDEX('По размерам'!$A$2:$TY$86,MATCH($D$5,'По размерам'!$A$2:$A$86,0),INDEX('Каталог поиска'!$D$2:$D$998,$F17)),""))</f>
        <v/>
      </c>
      <c r="E17">
        <f>IF(OR($F17="",INDEX('Каталог поиска'!$D$2:$D$998,$F17)=0),"",IFERROR(INDEX('Количество значений'!$A$2:$TY$86,MATCH($D$5,'Количество значений'!$A$2:$A$86,0),INDEX('Каталог поиска'!$D$2:$D$998,$F17)),""))</f>
        <v/>
      </c>
      <c r="F17">
        <f>IFERROR(MATCH(5,'Каталог поиска'!$F$2:$F$998,0),"")</f>
        <v>5</v>
      </c>
    </row>
    <row r="18" spans="1:6" ht="36" customHeight="1">
      <c r="A18">
        <f>IF(F18="","",6)</f>
        <v>6</v>
      </c>
      <c r="B18" s="6" t="str">
        <f>IF($F18="","",INDEX('Каталог поиска'!$B$2:$B$998,$F18))</f>
        <v>Issue reason</v>
      </c>
      <c r="C18" s="6" t="str">
        <f>IF($F18="","",INDEX('Каталог поиска'!$C$2:$C$998,$F18))</f>
        <v>F</v>
      </c>
      <c r="D18" s="7">
        <f>IF(OR($F18="",E18=0,INDEX('Каталог поиска'!$D$2:$D$998,$F18)=0),"",IFERROR(INDEX('По размерам'!$A$2:$TY$86,MATCH($D$5,'По размерам'!$A$2:$A$86,0),INDEX('Каталог поиска'!$D$2:$D$998,$F18)),""))</f>
        <v/>
      </c>
      <c r="E18">
        <f>IF(OR($F18="",INDEX('Каталог поиска'!$D$2:$D$998,$F18)=0),"",IFERROR(INDEX('Количество значений'!$A$2:$TY$86,MATCH($D$5,'Количество значений'!$A$2:$A$86,0),INDEX('Каталог поиска'!$D$2:$D$998,$F18)),""))</f>
        <v/>
      </c>
      <c r="F18">
        <f>IFERROR(MATCH(6,'Каталог поиска'!$F$2:$F$998,0),"")</f>
        <v>6</v>
      </c>
    </row>
    <row r="19" spans="1:6" ht="36" customHeight="1">
      <c r="A19">
        <f>IF(F19="","",7)</f>
        <v>7</v>
      </c>
      <c r="B19" s="6" t="str">
        <f>IF($F19="","",INDEX('Каталог поиска'!$B$2:$B$998,$F19))</f>
        <v>Engineer</v>
      </c>
      <c r="C19" s="6" t="str">
        <f>IF($F19="","",INDEX('Каталог поиска'!$C$2:$C$998,$F19))</f>
        <v>G</v>
      </c>
      <c r="D19" s="7">
        <f>IF(OR($F19="",E19=0,INDEX('Каталог поиска'!$D$2:$D$998,$F19)=0),"",IFERROR(INDEX('По размерам'!$A$2:$TY$86,MATCH($D$5,'По размерам'!$A$2:$A$86,0),INDEX('Каталог поиска'!$D$2:$D$998,$F19)),""))</f>
        <v/>
      </c>
      <c r="E19">
        <f>IF(OR($F19="",INDEX('Каталог поиска'!$D$2:$D$998,$F19)=0),"",IFERROR(INDEX('Количество значений'!$A$2:$TY$86,MATCH($D$5,'Количество значений'!$A$2:$A$86,0),INDEX('Каталог поиска'!$D$2:$D$998,$F19)),""))</f>
        <v/>
      </c>
      <c r="F19">
        <f>IFERROR(MATCH(7,'Каталог поиска'!$F$2:$F$998,0),"")</f>
        <v>7</v>
      </c>
    </row>
    <row r="20" spans="1:6" ht="36" customHeight="1">
      <c r="A20">
        <f>IF(F20="","",8)</f>
        <v>8</v>
      </c>
      <c r="B20" s="6" t="str">
        <f>IF($F20="","",INDEX('Каталог поиска'!$B$2:$B$998,$F20))</f>
        <v>Checked by</v>
      </c>
      <c r="C20" s="6" t="str">
        <f>IF($F20="","",INDEX('Каталог поиска'!$C$2:$C$998,$F20))</f>
        <v>H</v>
      </c>
      <c r="D20" s="7">
        <f>IF(OR($F20="",E20=0,INDEX('Каталог поиска'!$D$2:$D$998,$F20)=0),"",IFERROR(INDEX('По размерам'!$A$2:$TY$86,MATCH($D$5,'По размерам'!$A$2:$A$86,0),INDEX('Каталог поиска'!$D$2:$D$998,$F20)),""))</f>
        <v/>
      </c>
      <c r="E20">
        <f>IF(OR($F20="",INDEX('Каталог поиска'!$D$2:$D$998,$F20)=0),"",IFERROR(INDEX('Количество значений'!$A$2:$TY$86,MATCH($D$5,'Количество значений'!$A$2:$A$86,0),INDEX('Каталог поиска'!$D$2:$D$998,$F20)),""))</f>
        <v/>
      </c>
      <c r="F20">
        <f>IFERROR(MATCH(8,'Каталог поиска'!$F$2:$F$998,0),"")</f>
        <v>8</v>
      </c>
    </row>
    <row r="21" spans="1:6" ht="36" customHeight="1">
      <c r="A21">
        <f>IF(F21="","",9)</f>
        <v>9</v>
      </c>
      <c r="B21" s="6" t="str">
        <f>IF($F21="","",INDEX('Каталог поиска'!$B$2:$B$998,$F21))</f>
        <v>Checked by DSC/SC</v>
      </c>
      <c r="C21" s="6" t="str">
        <f>IF($F21="","",INDEX('Каталог поиска'!$C$2:$C$998,$F21))</f>
        <v>I</v>
      </c>
      <c r="D21" s="7">
        <f>IF(OR($F21="",E21=0,INDEX('Каталог поиска'!$D$2:$D$998,$F21)=0),"",IFERROR(INDEX('По размерам'!$A$2:$TY$86,MATCH($D$5,'По размерам'!$A$2:$A$86,0),INDEX('Каталог поиска'!$D$2:$D$998,$F21)),""))</f>
        <v/>
      </c>
      <c r="E21">
        <f>IF(OR($F21="",INDEX('Каталог поиска'!$D$2:$D$998,$F21)=0),"",IFERROR(INDEX('Количество значений'!$A$2:$TY$86,MATCH($D$5,'Количество значений'!$A$2:$A$86,0),INDEX('Каталог поиска'!$D$2:$D$998,$F21)),""))</f>
        <v/>
      </c>
      <c r="F21">
        <f>IFERROR(MATCH(9,'Каталог поиска'!$F$2:$F$998,0),"")</f>
        <v>9</v>
      </c>
    </row>
    <row r="22" spans="1:6" ht="36" customHeight="1">
      <c r="A22">
        <f>IF(F22="","",10)</f>
        <v>10</v>
      </c>
      <c r="B22" s="6" t="str">
        <f>IF($F22="","",INDEX('Каталог поиска'!$B$2:$B$998,$F22))</f>
        <v>Approved by</v>
      </c>
      <c r="C22" s="6" t="str">
        <f>IF($F22="","",INDEX('Каталог поиска'!$C$2:$C$998,$F22))</f>
        <v>J</v>
      </c>
      <c r="D22" s="7">
        <f>IF(OR($F22="",E22=0,INDEX('Каталог поиска'!$D$2:$D$998,$F22)=0),"",IFERROR(INDEX('По размерам'!$A$2:$TY$86,MATCH($D$5,'По размерам'!$A$2:$A$86,0),INDEX('Каталог поиска'!$D$2:$D$998,$F22)),""))</f>
        <v/>
      </c>
      <c r="E22">
        <f>IF(OR($F22="",INDEX('Каталог поиска'!$D$2:$D$998,$F22)=0),"",IFERROR(INDEX('Количество значений'!$A$2:$TY$86,MATCH($D$5,'Количество значений'!$A$2:$A$86,0),INDEX('Каталог поиска'!$D$2:$D$998,$F22)),""))</f>
        <v/>
      </c>
      <c r="F22">
        <f>IFERROR(MATCH(10,'Каталог поиска'!$F$2:$F$998,0),"")</f>
        <v>10</v>
      </c>
    </row>
    <row r="23" spans="1:6" ht="36" customHeight="1">
      <c r="A23">
        <f>IF(F23="","",11)</f>
        <v>11</v>
      </c>
      <c r="B23" s="6" t="str">
        <f>IF($F23="","",INDEX('Каталог поиска'!$B$2:$B$998,$F23))</f>
        <v>Process code No.</v>
      </c>
      <c r="C23" s="6" t="str">
        <f>IF($F23="","",INDEX('Каталог поиска'!$C$2:$C$998,$F23))</f>
        <v>K</v>
      </c>
      <c r="D23" s="7">
        <f>IF(OR($F23="",E23=0,INDEX('Каталог поиска'!$D$2:$D$998,$F23)=0),"",IFERROR(INDEX('По размерам'!$A$2:$TY$86,MATCH($D$5,'По размерам'!$A$2:$A$86,0),INDEX('Каталог поиска'!$D$2:$D$998,$F23)),""))</f>
        <v/>
      </c>
      <c r="E23">
        <f>IF(OR($F23="",INDEX('Каталог поиска'!$D$2:$D$998,$F23)=0),"",IFERROR(INDEX('Количество значений'!$A$2:$TY$86,MATCH($D$5,'Количество значений'!$A$2:$A$86,0),INDEX('Каталог поиска'!$D$2:$D$998,$F23)),""))</f>
        <v/>
      </c>
      <c r="F23">
        <f>IFERROR(MATCH(11,'Каталог поиска'!$F$2:$F$998,0),"")</f>
        <v>11</v>
      </c>
    </row>
    <row r="24" spans="1:6" ht="36" customHeight="1">
      <c r="A24">
        <f>IF(F24="","",12)</f>
        <v>12</v>
      </c>
      <c r="B24" s="6" t="str">
        <f>IF($F24="","",INDEX('Каталог поиска'!$B$2:$B$998,$F24))</f>
        <v>CPU No.</v>
      </c>
      <c r="C24" s="6" t="str">
        <f>IF($F24="","",INDEX('Каталог поиска'!$C$2:$C$998,$F24))</f>
        <v>L</v>
      </c>
      <c r="D24" s="7">
        <f>IF(OR($F24="",E24=0,INDEX('Каталог поиска'!$D$2:$D$998,$F24)=0),"",IFERROR(INDEX('По размерам'!$A$2:$TY$86,MATCH($D$5,'По размерам'!$A$2:$A$86,0),INDEX('Каталог поиска'!$D$2:$D$998,$F24)),""))</f>
        <v/>
      </c>
      <c r="E24">
        <f>IF(OR($F24="",INDEX('Каталог поиска'!$D$2:$D$998,$F24)=0),"",IFERROR(INDEX('Количество значений'!$A$2:$TY$86,MATCH($D$5,'Количество значений'!$A$2:$A$86,0),INDEX('Каталог поиска'!$D$2:$D$998,$F24)),""))</f>
        <v/>
      </c>
      <c r="F24">
        <f>IFERROR(MATCH(12,'Каталог поиска'!$F$2:$F$998,0),"")</f>
        <v>12</v>
      </c>
    </row>
    <row r="25" spans="1:6" ht="36" customHeight="1">
      <c r="A25">
        <f>IF(F25="","",13)</f>
        <v>13</v>
      </c>
      <c r="B25" s="6" t="str">
        <f>IF($F25="","",INDEX('Каталог поиска'!$B$2:$B$998,$F25))</f>
        <v>Deletion No.</v>
      </c>
      <c r="C25" s="6" t="str">
        <f>IF($F25="","",INDEX('Каталог поиска'!$C$2:$C$998,$F25))</f>
        <v>M</v>
      </c>
      <c r="D25" s="7">
        <f>IF(OR($F25="",E25=0,INDEX('Каталог поиска'!$D$2:$D$998,$F25)=0),"",IFERROR(INDEX('По размерам'!$A$2:$TY$86,MATCH($D$5,'По размерам'!$A$2:$A$86,0),INDEX('Каталог поиска'!$D$2:$D$998,$F25)),""))</f>
        <v/>
      </c>
      <c r="E25">
        <f>IF(OR($F25="",INDEX('Каталог поиска'!$D$2:$D$998,$F25)=0),"",IFERROR(INDEX('Количество значений'!$A$2:$TY$86,MATCH($D$5,'Количество значений'!$A$2:$A$86,0),INDEX('Каталог поиска'!$D$2:$D$998,$F25)),""))</f>
        <v/>
      </c>
      <c r="F25">
        <f>IFERROR(MATCH(13,'Каталог поиска'!$F$2:$F$998,0),"")</f>
        <v>13</v>
      </c>
    </row>
    <row r="26" spans="1:6" ht="36" customHeight="1">
      <c r="A26">
        <f>IF(F26="","",14)</f>
        <v>14</v>
      </c>
      <c r="B26" s="6" t="str">
        <f>IF($F26="","",INDEX('Каталог поиска'!$B$2:$B$998,$F26))</f>
        <v>Production M/C</v>
      </c>
      <c r="C26" s="6" t="str">
        <f>IF($F26="","",INDEX('Каталог поиска'!$C$2:$C$998,$F26))</f>
        <v>N</v>
      </c>
      <c r="D26" s="7">
        <f>IF(OR($F26="",E26=0,INDEX('Каталог поиска'!$D$2:$D$998,$F26)=0),"",IFERROR(INDEX('По размерам'!$A$2:$TY$86,MATCH($D$5,'По размерам'!$A$2:$A$86,0),INDEX('Каталог поиска'!$D$2:$D$998,$F26)),""))</f>
        <v/>
      </c>
      <c r="E26">
        <f>IF(OR($F26="",INDEX('Каталог поиска'!$D$2:$D$998,$F26)=0),"",IFERROR(INDEX('Количество значений'!$A$2:$TY$86,MATCH($D$5,'Количество значений'!$A$2:$A$86,0),INDEX('Каталог поиска'!$D$2:$D$998,$F26)),""))</f>
        <v/>
      </c>
      <c r="F26">
        <f>IFERROR(MATCH(14,'Каталог поиска'!$F$2:$F$998,0),"")</f>
        <v>14</v>
      </c>
    </row>
    <row r="27" spans="1:6" ht="36" customHeight="1">
      <c r="A27">
        <f>IF(F27="","",15)</f>
        <v>15</v>
      </c>
      <c r="B27" s="6" t="str">
        <f>IF($F27="","",INDEX('Каталог поиска'!$B$2:$B$998,$F27))</f>
        <v>Production type</v>
      </c>
      <c r="C27" s="6" t="str">
        <f>IF($F27="","",INDEX('Каталог поиска'!$C$2:$C$998,$F27))</f>
        <v>O</v>
      </c>
      <c r="D27" s="7">
        <f>IF(OR($F27="",E27=0,INDEX('Каталог поиска'!$D$2:$D$998,$F27)=0),"",IFERROR(INDEX('По размерам'!$A$2:$TY$86,MATCH($D$5,'По размерам'!$A$2:$A$86,0),INDEX('Каталог поиска'!$D$2:$D$998,$F27)),""))</f>
        <v/>
      </c>
      <c r="E27">
        <f>IF(OR($F27="",INDEX('Каталог поиска'!$D$2:$D$998,$F27)=0),"",IFERROR(INDEX('Количество значений'!$A$2:$TY$86,MATCH($D$5,'Количество значений'!$A$2:$A$86,0),INDEX('Каталог поиска'!$D$2:$D$998,$F27)),""))</f>
        <v/>
      </c>
      <c r="F27">
        <f>IFERROR(MATCH(15,'Каталог поиска'!$F$2:$F$998,0),"")</f>
        <v>15</v>
      </c>
    </row>
    <row r="28" spans="1:6" ht="36" customHeight="1">
      <c r="A28">
        <f>IF(F28="","",16)</f>
        <v>16</v>
      </c>
      <c r="B28" s="6" t="str">
        <f>IF($F28="","",INDEX('Каталог поиска'!$B$2:$B$998,$F28))</f>
        <v>Trial type</v>
      </c>
      <c r="C28" s="6" t="str">
        <f>IF($F28="","",INDEX('Каталог поиска'!$C$2:$C$998,$F28))</f>
        <v>P</v>
      </c>
      <c r="D28" s="7">
        <f>IF(OR($F28="",E28=0,INDEX('Каталог поиска'!$D$2:$D$998,$F28)=0),"",IFERROR(INDEX('По размерам'!$A$2:$TY$86,MATCH($D$5,'По размерам'!$A$2:$A$86,0),INDEX('Каталог поиска'!$D$2:$D$998,$F28)),""))</f>
        <v/>
      </c>
      <c r="E28">
        <f>IF(OR($F28="",INDEX('Каталог поиска'!$D$2:$D$998,$F28)=0),"",IFERROR(INDEX('Количество значений'!$A$2:$TY$86,MATCH($D$5,'Количество значений'!$A$2:$A$86,0),INDEX('Каталог поиска'!$D$2:$D$998,$F28)),""))</f>
        <v/>
      </c>
      <c r="F28">
        <f>IFERROR(MATCH(16,'Каталог поиска'!$F$2:$F$998,0),"")</f>
        <v>16</v>
      </c>
    </row>
    <row r="29" spans="1:6" ht="36" customHeight="1">
      <c r="A29">
        <f>IF(F29="","",17)</f>
        <v>17</v>
      </c>
      <c r="B29" s="6" t="str">
        <f>IF($F29="","",INDEX('Каталог поиска'!$B$2:$B$998,$F29))</f>
        <v>2nd production code</v>
      </c>
      <c r="C29" s="6" t="str">
        <f>IF($F29="","",INDEX('Каталог поиска'!$C$2:$C$998,$F29))</f>
        <v>Q</v>
      </c>
      <c r="D29" s="7">
        <f>IF(OR($F29="",E29=0,INDEX('Каталог поиска'!$D$2:$D$998,$F29)=0),"",IFERROR(INDEX('По размерам'!$A$2:$TY$86,MATCH($D$5,'По размерам'!$A$2:$A$86,0),INDEX('Каталог поиска'!$D$2:$D$998,$F29)),""))</f>
        <v/>
      </c>
      <c r="E29">
        <f>IF(OR($F29="",INDEX('Каталог поиска'!$D$2:$D$998,$F29)=0),"",IFERROR(INDEX('Количество значений'!$A$2:$TY$86,MATCH($D$5,'Количество значений'!$A$2:$A$86,0),INDEX('Каталог поиска'!$D$2:$D$998,$F29)),""))</f>
        <v/>
      </c>
      <c r="F29">
        <f>IFERROR(MATCH(17,'Каталог поиска'!$F$2:$F$998,0),"")</f>
        <v>17</v>
      </c>
    </row>
    <row r="30" spans="1:6" ht="36" customHeight="1">
      <c r="A30">
        <f>IF(F30="","",18)</f>
        <v>18</v>
      </c>
      <c r="B30" s="6" t="str">
        <f>IF($F30="","",INDEX('Каталог поиска'!$B$2:$B$998,$F30))</f>
        <v>Group</v>
      </c>
      <c r="C30" s="6" t="str">
        <f>IF($F30="","",INDEX('Каталог поиска'!$C$2:$C$998,$F30))</f>
        <v>R</v>
      </c>
      <c r="D30" s="7">
        <f>IF(OR($F30="",E30=0,INDEX('Каталог поиска'!$D$2:$D$998,$F30)=0),"",IFERROR(INDEX('По размерам'!$A$2:$TY$86,MATCH($D$5,'По размерам'!$A$2:$A$86,0),INDEX('Каталог поиска'!$D$2:$D$998,$F30)),""))</f>
        <v/>
      </c>
      <c r="E30">
        <f>IF(OR($F30="",INDEX('Каталог поиска'!$D$2:$D$998,$F30)=0),"",IFERROR(INDEX('Количество значений'!$A$2:$TY$86,MATCH($D$5,'Количество значений'!$A$2:$A$86,0),INDEX('Каталог поиска'!$D$2:$D$998,$F30)),""))</f>
        <v/>
      </c>
      <c r="F30">
        <f>IFERROR(MATCH(18,'Каталог поиска'!$F$2:$F$998,0),"")</f>
        <v>18</v>
      </c>
    </row>
    <row r="31" spans="1:6" ht="36" customHeight="1">
      <c r="A31">
        <f>IF(F31="","",19)</f>
        <v>19</v>
      </c>
      <c r="B31" s="6" t="str">
        <f>IF($F31="","",INDEX('Каталог поиска'!$B$2:$B$998,$F31))</f>
        <v>Size</v>
      </c>
      <c r="C31" s="6" t="str">
        <f>IF($F31="","",INDEX('Каталог поиска'!$C$2:$C$998,$F31))</f>
        <v>S</v>
      </c>
      <c r="D31" s="7">
        <f>IF(OR($F31="",E31=0,INDEX('Каталог поиска'!$D$2:$D$998,$F31)=0),"",IFERROR(INDEX('По размерам'!$A$2:$TY$86,MATCH($D$5,'По размерам'!$A$2:$A$86,0),INDEX('Каталог поиска'!$D$2:$D$998,$F31)),""))</f>
        <v/>
      </c>
      <c r="E31">
        <f>IF(OR($F31="",INDEX('Каталог поиска'!$D$2:$D$998,$F31)=0),"",IFERROR(INDEX('Количество значений'!$A$2:$TY$86,MATCH($D$5,'Количество значений'!$A$2:$A$86,0),INDEX('Каталог поиска'!$D$2:$D$998,$F31)),""))</f>
        <v/>
      </c>
      <c r="F31">
        <f>IFERROR(MATCH(19,'Каталог поиска'!$F$2:$F$998,0),"")</f>
        <v>19</v>
      </c>
    </row>
    <row r="32" spans="1:6" ht="36" customHeight="1">
      <c r="A32">
        <f>IF(F32="","",20)</f>
        <v>20</v>
      </c>
      <c r="B32" s="6" t="str">
        <f>IF($F32="","",INDEX('Каталог поиска'!$B$2:$B$998,$F32))</f>
        <v>Section</v>
      </c>
      <c r="C32" s="6" t="str">
        <f>IF($F32="","",INDEX('Каталог поиска'!$C$2:$C$998,$F32))</f>
        <v>T</v>
      </c>
      <c r="D32" s="7">
        <f>IF(OR($F32="",E32=0,INDEX('Каталог поиска'!$D$2:$D$998,$F32)=0),"",IFERROR(INDEX('По размерам'!$A$2:$TY$86,MATCH($D$5,'По размерам'!$A$2:$A$86,0),INDEX('Каталог поиска'!$D$2:$D$998,$F32)),""))</f>
        <v/>
      </c>
      <c r="E32">
        <f>IF(OR($F32="",INDEX('Каталог поиска'!$D$2:$D$998,$F32)=0),"",IFERROR(INDEX('Количество значений'!$A$2:$TY$86,MATCH($D$5,'Количество значений'!$A$2:$A$86,0),INDEX('Каталог поиска'!$D$2:$D$998,$F32)),""))</f>
        <v/>
      </c>
      <c r="F32">
        <f>IFERROR(MATCH(20,'Каталог поиска'!$F$2:$F$998,0),"")</f>
        <v>20</v>
      </c>
    </row>
    <row r="33" spans="1:6" ht="36" customHeight="1">
      <c r="A33">
        <f>IF(F33="","",21)</f>
        <v>21</v>
      </c>
      <c r="B33" s="6" t="str">
        <f>IF($F33="","",INDEX('Каталог поиска'!$B$2:$B$998,$F33))</f>
        <v>RIM</v>
      </c>
      <c r="C33" s="6" t="str">
        <f>IF($F33="","",INDEX('Каталог поиска'!$C$2:$C$998,$F33))</f>
        <v>U</v>
      </c>
      <c r="D33" s="7">
        <f>IF(OR($F33="",E33=0,INDEX('Каталог поиска'!$D$2:$D$998,$F33)=0),"",IFERROR(INDEX('По размерам'!$A$2:$TY$86,MATCH($D$5,'По размерам'!$A$2:$A$86,0),INDEX('Каталог поиска'!$D$2:$D$998,$F33)),""))</f>
        <v/>
      </c>
      <c r="E33">
        <f>IF(OR($F33="",INDEX('Каталог поиска'!$D$2:$D$998,$F33)=0),"",IFERROR(INDEX('Количество значений'!$A$2:$TY$86,MATCH($D$5,'Количество значений'!$A$2:$A$86,0),INDEX('Каталог поиска'!$D$2:$D$998,$F33)),""))</f>
        <v/>
      </c>
      <c r="F33">
        <f>IFERROR(MATCH(21,'Каталог поиска'!$F$2:$F$998,0),"")</f>
        <v>21</v>
      </c>
    </row>
    <row r="34" spans="1:6" ht="36" customHeight="1">
      <c r="A34">
        <f>IF(F34="","",22)</f>
        <v>22</v>
      </c>
      <c r="B34" s="6" t="str">
        <f>IF($F34="","",INDEX('Каталог поиска'!$B$2:$B$998,$F34))</f>
        <v>Inch</v>
      </c>
      <c r="C34" s="6" t="str">
        <f>IF($F34="","",INDEX('Каталог поиска'!$C$2:$C$998,$F34))</f>
        <v>V</v>
      </c>
      <c r="D34" s="7">
        <f>IF(OR($F34="",E34=0,INDEX('Каталог поиска'!$D$2:$D$998,$F34)=0),"",IFERROR(INDEX('По размерам'!$A$2:$TY$86,MATCH($D$5,'По размерам'!$A$2:$A$86,0),INDEX('Каталог поиска'!$D$2:$D$998,$F34)),""))</f>
        <v/>
      </c>
      <c r="E34">
        <f>IF(OR($F34="",INDEX('Каталог поиска'!$D$2:$D$998,$F34)=0),"",IFERROR(INDEX('Количество значений'!$A$2:$TY$86,MATCH($D$5,'Количество значений'!$A$2:$A$86,0),INDEX('Каталог поиска'!$D$2:$D$998,$F34)),""))</f>
        <v/>
      </c>
      <c r="F34">
        <f>IFERROR(MATCH(22,'Каталог поиска'!$F$2:$F$998,0),"")</f>
        <v>22</v>
      </c>
    </row>
    <row r="35" spans="1:6" ht="36" customHeight="1">
      <c r="A35">
        <f>IF(F35="","",23)</f>
        <v>23</v>
      </c>
      <c r="B35" s="6" t="str">
        <f>IF($F35="","",INDEX('Каталог поиска'!$B$2:$B$998,$F35))</f>
        <v>Load</v>
      </c>
      <c r="C35" s="6" t="str">
        <f>IF($F35="","",INDEX('Каталог поиска'!$C$2:$C$998,$F35))</f>
        <v>W</v>
      </c>
      <c r="D35" s="7">
        <f>IF(OR($F35="",E35=0,INDEX('Каталог поиска'!$D$2:$D$998,$F35)=0),"",IFERROR(INDEX('По размерам'!$A$2:$TY$86,MATCH($D$5,'По размерам'!$A$2:$A$86,0),INDEX('Каталог поиска'!$D$2:$D$998,$F35)),""))</f>
        <v/>
      </c>
      <c r="E35">
        <f>IF(OR($F35="",INDEX('Каталог поиска'!$D$2:$D$998,$F35)=0),"",IFERROR(INDEX('Количество значений'!$A$2:$TY$86,MATCH($D$5,'Количество значений'!$A$2:$A$86,0),INDEX('Каталог поиска'!$D$2:$D$998,$F35)),""))</f>
        <v/>
      </c>
      <c r="F35">
        <f>IFERROR(MATCH(23,'Каталог поиска'!$F$2:$F$998,0),"")</f>
        <v>23</v>
      </c>
    </row>
    <row r="36" spans="1:6" ht="36" customHeight="1">
      <c r="A36">
        <f>IF(F36="","",24)</f>
        <v>24</v>
      </c>
      <c r="B36" s="6" t="str">
        <f>IF($F36="","",INDEX('Каталог поиска'!$B$2:$B$998,$F36))</f>
        <v>Pattern</v>
      </c>
      <c r="C36" s="6" t="str">
        <f>IF($F36="","",INDEX('Каталог поиска'!$C$2:$C$998,$F36))</f>
        <v>X</v>
      </c>
      <c r="D36" s="7">
        <f>IF(OR($F36="",E36=0,INDEX('Каталог поиска'!$D$2:$D$998,$F36)=0),"",IFERROR(INDEX('По размерам'!$A$2:$TY$86,MATCH($D$5,'По размерам'!$A$2:$A$86,0),INDEX('Каталог поиска'!$D$2:$D$998,$F36)),""))</f>
        <v/>
      </c>
      <c r="E36">
        <f>IF(OR($F36="",INDEX('Каталог поиска'!$D$2:$D$998,$F36)=0),"",IFERROR(INDEX('Количество значений'!$A$2:$TY$86,MATCH($D$5,'Количество значений'!$A$2:$A$86,0),INDEX('Каталог поиска'!$D$2:$D$998,$F36)),""))</f>
        <v/>
      </c>
      <c r="F36">
        <f>IFERROR(MATCH(24,'Каталог поиска'!$F$2:$F$998,0),"")</f>
        <v>24</v>
      </c>
    </row>
    <row r="37" spans="1:6" ht="36" customHeight="1">
      <c r="A37">
        <f>IF(F37="","",25)</f>
        <v>25</v>
      </c>
      <c r="B37" s="6" t="str">
        <f>IF($F37="","",INDEX('Каталог поиска'!$B$2:$B$998,$F37))</f>
        <v>Tire type</v>
      </c>
      <c r="C37" s="6" t="str">
        <f>IF($F37="","",INDEX('Каталог поиска'!$C$2:$C$998,$F37))</f>
        <v>Y</v>
      </c>
      <c r="D37" s="7">
        <f>IF(OR($F37="",E37=0,INDEX('Каталог поиска'!$D$2:$D$998,$F37)=0),"",IFERROR(INDEX('По размерам'!$A$2:$TY$86,MATCH($D$5,'По размерам'!$A$2:$A$86,0),INDEX('Каталог поиска'!$D$2:$D$998,$F37)),""))</f>
        <v/>
      </c>
      <c r="E37">
        <f>IF(OR($F37="",INDEX('Каталог поиска'!$D$2:$D$998,$F37)=0),"",IFERROR(INDEX('Количество значений'!$A$2:$TY$86,MATCH($D$5,'Количество значений'!$A$2:$A$86,0),INDEX('Каталог поиска'!$D$2:$D$998,$F37)),""))</f>
        <v/>
      </c>
      <c r="F37">
        <f>IFERROR(MATCH(25,'Каталог поиска'!$F$2:$F$998,0),"")</f>
        <v>25</v>
      </c>
    </row>
    <row r="38" spans="1:6" ht="36" customHeight="1">
      <c r="A38">
        <f>IF(F38="","",26)</f>
        <v>26</v>
      </c>
      <c r="B38" s="6" t="str">
        <f>IF($F38="","",INDEX('Каталог поиска'!$B$2:$B$998,$F38))</f>
        <v>TCE SPEC No.</v>
      </c>
      <c r="C38" s="6" t="str">
        <f>IF($F38="","",INDEX('Каталог поиска'!$C$2:$C$998,$F38))</f>
        <v>Z</v>
      </c>
      <c r="D38" s="7">
        <f>IF(OR($F38="",E38=0,INDEX('Каталог поиска'!$D$2:$D$998,$F38)=0),"",IFERROR(INDEX('По размерам'!$A$2:$TY$86,MATCH($D$5,'По размерам'!$A$2:$A$86,0),INDEX('Каталог поиска'!$D$2:$D$998,$F38)),""))</f>
        <v/>
      </c>
      <c r="E38">
        <f>IF(OR($F38="",INDEX('Каталог поиска'!$D$2:$D$998,$F38)=0),"",IFERROR(INDEX('Количество значений'!$A$2:$TY$86,MATCH($D$5,'Количество значений'!$A$2:$A$86,0),INDEX('Каталог поиска'!$D$2:$D$998,$F38)),""))</f>
        <v/>
      </c>
      <c r="F38">
        <f>IFERROR(MATCH(26,'Каталог поиска'!$F$2:$F$998,0),"")</f>
        <v>26</v>
      </c>
    </row>
    <row r="39" spans="1:6" ht="36" customHeight="1">
      <c r="A39">
        <f>IF(F39="","",27)</f>
        <v>27</v>
      </c>
      <c r="B39" s="6" t="str">
        <f>IF($F39="","",INDEX('Каталог поиска'!$B$2:$B$998,$F39))</f>
        <v>IPC No.</v>
      </c>
      <c r="C39" s="6" t="str">
        <f>IF($F39="","",INDEX('Каталог поиска'!$C$2:$C$998,$F39))</f>
        <v>AA</v>
      </c>
      <c r="D39" s="7">
        <f>IF(OR($F39="",E39=0,INDEX('Каталог поиска'!$D$2:$D$998,$F39)=0),"",IFERROR(INDEX('По размерам'!$A$2:$TY$86,MATCH($D$5,'По размерам'!$A$2:$A$86,0),INDEX('Каталог поиска'!$D$2:$D$998,$F39)),""))</f>
        <v/>
      </c>
      <c r="E39">
        <f>IF(OR($F39="",INDEX('Каталог поиска'!$D$2:$D$998,$F39)=0),"",IFERROR(INDEX('Количество значений'!$A$2:$TY$86,MATCH($D$5,'Количество значений'!$A$2:$A$86,0),INDEX('Каталог поиска'!$D$2:$D$998,$F39)),""))</f>
        <v/>
      </c>
      <c r="F39">
        <f>IFERROR(MATCH(27,'Каталог поиска'!$F$2:$F$998,0),"")</f>
        <v>27</v>
      </c>
    </row>
    <row r="40" spans="1:6" ht="36" customHeight="1">
      <c r="A40">
        <f>IF(F40="","",28)</f>
        <v>28</v>
      </c>
      <c r="B40" s="6" t="str">
        <f>IF($F40="","",INDEX('Каталог поиска'!$B$2:$B$998,$F40))</f>
        <v>Code No.</v>
      </c>
      <c r="C40" s="6" t="str">
        <f>IF($F40="","",INDEX('Каталог поиска'!$C$2:$C$998,$F40))</f>
        <v>AB</v>
      </c>
      <c r="D40" s="7">
        <f>IF(OR($F40="",E40=0,INDEX('Каталог поиска'!$D$2:$D$998,$F40)=0),"",IFERROR(INDEX('По размерам'!$A$2:$TY$86,MATCH($D$5,'По размерам'!$A$2:$A$86,0),INDEX('Каталог поиска'!$D$2:$D$998,$F40)),""))</f>
        <v/>
      </c>
      <c r="E40">
        <f>IF(OR($F40="",INDEX('Каталог поиска'!$D$2:$D$998,$F40)=0),"",IFERROR(INDEX('Количество значений'!$A$2:$TY$86,MATCH($D$5,'Количество значений'!$A$2:$A$86,0),INDEX('Каталог поиска'!$D$2:$D$998,$F40)),""))</f>
        <v/>
      </c>
      <c r="F40">
        <f>IFERROR(MATCH(28,'Каталог поиска'!$F$2:$F$998,0),"")</f>
        <v>28</v>
      </c>
    </row>
    <row r="41" spans="1:6" ht="36" customHeight="1">
      <c r="A41">
        <f>IF(F41="","",29)</f>
        <v>29</v>
      </c>
      <c r="B41" s="6" t="str">
        <f>IF($F41="","",INDEX('Каталог поиска'!$B$2:$B$998,$F41))</f>
        <v>Number</v>
      </c>
      <c r="C41" s="6" t="str">
        <f>IF($F41="","",INDEX('Каталог поиска'!$C$2:$C$998,$F41))</f>
        <v>AC</v>
      </c>
      <c r="D41" s="7">
        <f>IF(OR($F41="",E41=0,INDEX('Каталог поиска'!$D$2:$D$998,$F41)=0),"",IFERROR(INDEX('По размерам'!$A$2:$TY$86,MATCH($D$5,'По размерам'!$A$2:$A$86,0),INDEX('Каталог поиска'!$D$2:$D$998,$F41)),""))</f>
        <v/>
      </c>
      <c r="E41">
        <f>IF(OR($F41="",INDEX('Каталог поиска'!$D$2:$D$998,$F41)=0),"",IFERROR(INDEX('Количество значений'!$A$2:$TY$86,MATCH($D$5,'Количество значений'!$A$2:$A$86,0),INDEX('Каталог поиска'!$D$2:$D$998,$F41)),""))</f>
        <v/>
      </c>
      <c r="F41">
        <f>IFERROR(MATCH(29,'Каталог поиска'!$F$2:$F$998,0),"")</f>
        <v>29</v>
      </c>
    </row>
    <row r="42" spans="1:6" ht="36" customHeight="1">
      <c r="A42">
        <f>IF(F42="","",30)</f>
        <v>30</v>
      </c>
      <c r="B42" s="6" t="str">
        <f>IF($F42="","",INDEX('Каталог поиска'!$B$2:$B$998,$F42))</f>
        <v>SIDE MC Group</v>
      </c>
      <c r="C42" s="6" t="str">
        <f>IF($F42="","",INDEX('Каталог поиска'!$C$2:$C$998,$F42))</f>
        <v>AD</v>
      </c>
      <c r="D42" s="7">
        <f>IF(OR($F42="",E42=0,INDEX('Каталог поиска'!$D$2:$D$998,$F42)=0),"",IFERROR(INDEX('По размерам'!$A$2:$TY$86,MATCH($D$5,'По размерам'!$A$2:$A$86,0),INDEX('Каталог поиска'!$D$2:$D$998,$F42)),""))</f>
        <v/>
      </c>
      <c r="E42">
        <f>IF(OR($F42="",INDEX('Каталог поиска'!$D$2:$D$998,$F42)=0),"",IFERROR(INDEX('Количество значений'!$A$2:$TY$86,MATCH($D$5,'Количество значений'!$A$2:$A$86,0),INDEX('Каталог поиска'!$D$2:$D$998,$F42)),""))</f>
        <v/>
      </c>
      <c r="F42">
        <f>IFERROR(MATCH(30,'Каталог поиска'!$F$2:$F$998,0),"")</f>
        <v>30</v>
      </c>
    </row>
    <row r="43" spans="1:6" ht="36" customHeight="1">
      <c r="A43">
        <f>IF(F43="","",31)</f>
        <v>31</v>
      </c>
      <c r="B43" s="6" t="str">
        <f>IF($F43="","",INDEX('Каталог поиска'!$B$2:$B$998,$F43))</f>
        <v>Set position</v>
      </c>
      <c r="C43" s="6" t="str">
        <f>IF($F43="","",INDEX('Каталог поиска'!$C$2:$C$998,$F43))</f>
        <v>AE</v>
      </c>
      <c r="D43" s="7">
        <f>IF(OR($F43="",E43=0,INDEX('Каталог поиска'!$D$2:$D$998,$F43)=0),"",IFERROR(INDEX('По размерам'!$A$2:$TY$86,MATCH($D$5,'По размерам'!$A$2:$A$86,0),INDEX('Каталог поиска'!$D$2:$D$998,$F43)),""))</f>
        <v>153.25</v>
      </c>
      <c r="E43">
        <f>IF(OR($F43="",INDEX('Каталог поиска'!$D$2:$D$998,$F43)=0),"",IFERROR(INDEX('Количество значений'!$A$2:$TY$86,MATCH($D$5,'Количество значений'!$A$2:$A$86,0),INDEX('Каталог поиска'!$D$2:$D$998,$F43)),""))</f>
        <v>4</v>
      </c>
      <c r="F43">
        <f>IFERROR(MATCH(31,'Каталог поиска'!$F$2:$F$998,0),"")</f>
        <v>31</v>
      </c>
    </row>
    <row r="44" spans="1:6" ht="36" customHeight="1">
      <c r="A44">
        <f>IF(F44="","",32)</f>
        <v>32</v>
      </c>
      <c r="B44" s="6" t="str">
        <f>IF($F44="","",INDEX('Каталог поиска'!$B$2:$B$998,$F44))</f>
        <v>Set position(+/-)</v>
      </c>
      <c r="C44" s="6" t="str">
        <f>IF($F44="","",INDEX('Каталог поиска'!$C$2:$C$998,$F44))</f>
        <v>AF</v>
      </c>
      <c r="D44" s="7">
        <f>IF(OR($F44="",E44=0,INDEX('Каталог поиска'!$D$2:$D$998,$F44)=0),"",IFERROR(INDEX('По размерам'!$A$2:$TY$86,MATCH($D$5,'По размерам'!$A$2:$A$86,0),INDEX('Каталог поиска'!$D$2:$D$998,$F44)),""))</f>
        <v>1.5</v>
      </c>
      <c r="E44">
        <f>IF(OR($F44="",INDEX('Каталог поиска'!$D$2:$D$998,$F44)=0),"",IFERROR(INDEX('Количество значений'!$A$2:$TY$86,MATCH($D$5,'Количество значений'!$A$2:$A$86,0),INDEX('Каталог поиска'!$D$2:$D$998,$F44)),""))</f>
        <v>4</v>
      </c>
      <c r="F44">
        <f>IFERROR(MATCH(32,'Каталог поиска'!$F$2:$F$998,0),"")</f>
        <v>32</v>
      </c>
    </row>
    <row r="45" spans="1:6" ht="36" customHeight="1">
      <c r="A45">
        <f>IF(F45="","",33)</f>
        <v>33</v>
      </c>
      <c r="B45" s="6" t="str">
        <f>IF($F45="","",INDEX('Каталог поиска'!$B$2:$B$998,$F45))</f>
        <v>Remarks</v>
      </c>
      <c r="C45" s="6" t="str">
        <f>IF($F45="","",INDEX('Каталог поиска'!$C$2:$C$998,$F45))</f>
        <v>AG</v>
      </c>
      <c r="D45" s="7">
        <f>IF(OR($F45="",E45=0,INDEX('Каталог поиска'!$D$2:$D$998,$F45)=0),"",IFERROR(INDEX('По размерам'!$A$2:$TY$86,MATCH($D$5,'По размерам'!$A$2:$A$86,0),INDEX('Каталог поиска'!$D$2:$D$998,$F45)),""))</f>
        <v/>
      </c>
      <c r="E45">
        <f>IF(OR($F45="",INDEX('Каталог поиска'!$D$2:$D$998,$F45)=0),"",IFERROR(INDEX('Количество значений'!$A$2:$TY$86,MATCH($D$5,'Количество значений'!$A$2:$A$86,0),INDEX('Каталог поиска'!$D$2:$D$998,$F45)),""))</f>
        <v/>
      </c>
      <c r="F45">
        <f>IFERROR(MATCH(33,'Каталог поиска'!$F$2:$F$998,0),"")</f>
        <v>33</v>
      </c>
    </row>
    <row r="46" spans="1:6" ht="36" customHeight="1">
      <c r="A46">
        <f>IF(F46="","",34)</f>
        <v>34</v>
      </c>
      <c r="B46" s="6" t="str">
        <f>IF($F46="","",INDEX('Каталог поиска'!$B$2:$B$998,$F46))</f>
        <v>Sidewall shape 0-sharp slow, 1-entry slash.</v>
      </c>
      <c r="C46" s="6" t="str">
        <f>IF($F46="","",INDEX('Каталог поиска'!$C$2:$C$998,$F46))</f>
        <v>AH</v>
      </c>
      <c r="D46" s="7">
        <f>IF(OR($F46="",E46=0,INDEX('Каталог поиска'!$D$2:$D$998,$F46)=0),"",IFERROR(INDEX('По размерам'!$A$2:$TY$86,MATCH($D$5,'По размерам'!$A$2:$A$86,0),INDEX('Каталог поиска'!$D$2:$D$998,$F46)),""))</f>
        <v/>
      </c>
      <c r="E46">
        <f>IF(OR($F46="",INDEX('Каталог поиска'!$D$2:$D$998,$F46)=0),"",IFERROR(INDEX('Количество значений'!$A$2:$TY$86,MATCH($D$5,'Количество значений'!$A$2:$A$86,0),INDEX('Каталог поиска'!$D$2:$D$998,$F46)),""))</f>
        <v/>
      </c>
      <c r="F46">
        <f>IFERROR(MATCH(34,'Каталог поиска'!$F$2:$F$998,0),"")</f>
        <v>34</v>
      </c>
    </row>
    <row r="47" spans="1:6" ht="36" customHeight="1">
      <c r="A47">
        <f>IF(F47="","",35)</f>
        <v>35</v>
      </c>
      <c r="B47" s="6" t="str">
        <f>IF($F47="","",INDEX('Каталог поиска'!$B$2:$B$998,$F47))</f>
        <v>Code No.</v>
      </c>
      <c r="C47" s="6" t="str">
        <f>IF($F47="","",INDEX('Каталог поиска'!$C$2:$C$998,$F47))</f>
        <v>AI</v>
      </c>
      <c r="D47" s="7">
        <f>IF(OR($F47="",E47=0,INDEX('Каталог поиска'!$D$2:$D$998,$F47)=0),"",IFERROR(INDEX('По размерам'!$A$2:$TY$86,MATCH($D$5,'По размерам'!$A$2:$A$86,0),INDEX('Каталог поиска'!$D$2:$D$998,$F47)),""))</f>
        <v/>
      </c>
      <c r="E47">
        <f>IF(OR($F47="",INDEX('Каталог поиска'!$D$2:$D$998,$F47)=0),"",IFERROR(INDEX('Количество значений'!$A$2:$TY$86,MATCH($D$5,'Количество значений'!$A$2:$A$86,0),INDEX('Каталог поиска'!$D$2:$D$998,$F47)),""))</f>
        <v/>
      </c>
      <c r="F47">
        <f>IFERROR(MATCH(35,'Каталог поиска'!$F$2:$F$998,0),"")</f>
        <v>35</v>
      </c>
    </row>
    <row r="48" spans="1:6" ht="36" customHeight="1">
      <c r="A48">
        <f>IF(F48="","",36)</f>
        <v>36</v>
      </c>
      <c r="B48" s="6" t="str">
        <f>IF($F48="","",INDEX('Каталог поиска'!$B$2:$B$998,$F48))</f>
        <v>Set position</v>
      </c>
      <c r="C48" s="6" t="str">
        <f>IF($F48="","",INDEX('Каталог поиска'!$C$2:$C$998,$F48))</f>
        <v>AJ</v>
      </c>
      <c r="D48" s="7">
        <f>IF(OR($F48="",E48=0,INDEX('Каталог поиска'!$D$2:$D$998,$F48)=0),"",IFERROR(INDEX('По размерам'!$A$2:$TY$86,MATCH($D$5,'По размерам'!$A$2:$A$86,0),INDEX('Каталог поиска'!$D$2:$D$998,$F48)),""))</f>
        <v>163.75</v>
      </c>
      <c r="E48">
        <f>IF(OR($F48="",INDEX('Каталог поиска'!$D$2:$D$998,$F48)=0),"",IFERROR(INDEX('Количество значений'!$A$2:$TY$86,MATCH($D$5,'Количество значений'!$A$2:$A$86,0),INDEX('Каталог поиска'!$D$2:$D$998,$F48)),""))</f>
        <v>4</v>
      </c>
      <c r="F48">
        <f>IFERROR(MATCH(36,'Каталог поиска'!$F$2:$F$998,0),"")</f>
        <v>36</v>
      </c>
    </row>
    <row r="49" spans="1:6" ht="36" customHeight="1">
      <c r="A49">
        <f>IF(F49="","",37)</f>
        <v>37</v>
      </c>
      <c r="B49" s="6" t="str">
        <f>IF($F49="","",INDEX('Каталог поиска'!$B$2:$B$998,$F49))</f>
        <v>Number</v>
      </c>
      <c r="C49" s="6" t="str">
        <f>IF($F49="","",INDEX('Каталог поиска'!$C$2:$C$998,$F49))</f>
        <v>AK</v>
      </c>
      <c r="D49" s="7">
        <f>IF(OR($F49="",E49=0,INDEX('Каталог поиска'!$D$2:$D$998,$F49)=0),"",IFERROR(INDEX('По размерам'!$A$2:$TY$86,MATCH($D$5,'По размерам'!$A$2:$A$86,0),INDEX('Каталог поиска'!$D$2:$D$998,$F49)),""))</f>
        <v/>
      </c>
      <c r="E49">
        <f>IF(OR($F49="",INDEX('Каталог поиска'!$D$2:$D$998,$F49)=0),"",IFERROR(INDEX('Количество значений'!$A$2:$TY$86,MATCH($D$5,'Количество значений'!$A$2:$A$86,0),INDEX('Каталог поиска'!$D$2:$D$998,$F49)),""))</f>
        <v/>
      </c>
      <c r="F49">
        <f>IFERROR(MATCH(37,'Каталог поиска'!$F$2:$F$998,0),"")</f>
        <v>37</v>
      </c>
    </row>
    <row r="50" spans="1:6" ht="36" customHeight="1">
      <c r="A50">
        <f>IF(F50="","",38)</f>
        <v>38</v>
      </c>
      <c r="B50" s="6" t="str">
        <f>IF($F50="","",INDEX('Каталог поиска'!$B$2:$B$998,$F50))</f>
        <v>Set position(+/-)</v>
      </c>
      <c r="C50" s="6" t="str">
        <f>IF($F50="","",INDEX('Каталог поиска'!$C$2:$C$998,$F50))</f>
        <v>AL</v>
      </c>
      <c r="D50" s="7">
        <f>IF(OR($F50="",E50=0,INDEX('Каталог поиска'!$D$2:$D$998,$F50)=0),"",IFERROR(INDEX('По размерам'!$A$2:$TY$86,MATCH($D$5,'По размерам'!$A$2:$A$86,0),INDEX('Каталог поиска'!$D$2:$D$998,$F50)),""))</f>
        <v>1.5</v>
      </c>
      <c r="E50">
        <f>IF(OR($F50="",INDEX('Каталог поиска'!$D$2:$D$998,$F50)=0),"",IFERROR(INDEX('Количество значений'!$A$2:$TY$86,MATCH($D$5,'Количество значений'!$A$2:$A$86,0),INDEX('Каталог поиска'!$D$2:$D$998,$F50)),""))</f>
        <v>4</v>
      </c>
      <c r="F50">
        <f>IFERROR(MATCH(38,'Каталог поиска'!$F$2:$F$998,0),"")</f>
        <v>38</v>
      </c>
    </row>
    <row r="51" spans="1:6" ht="36" customHeight="1">
      <c r="A51">
        <f>IF(F51="","",39)</f>
        <v>39</v>
      </c>
      <c r="B51" s="6" t="str">
        <f>IF($F51="","",INDEX('Каталог поиска'!$B$2:$B$998,$F51))</f>
        <v>Remarks</v>
      </c>
      <c r="C51" s="6" t="str">
        <f>IF($F51="","",INDEX('Каталог поиска'!$C$2:$C$998,$F51))</f>
        <v>AM</v>
      </c>
      <c r="D51" s="7">
        <f>IF(OR($F51="",E51=0,INDEX('Каталог поиска'!$D$2:$D$998,$F51)=0),"",IFERROR(INDEX('По размерам'!$A$2:$TY$86,MATCH($D$5,'По размерам'!$A$2:$A$86,0),INDEX('Каталог поиска'!$D$2:$D$998,$F51)),""))</f>
        <v/>
      </c>
      <c r="E51">
        <f>IF(OR($F51="",INDEX('Каталог поиска'!$D$2:$D$998,$F51)=0),"",IFERROR(INDEX('Количество значений'!$A$2:$TY$86,MATCH($D$5,'Количество значений'!$A$2:$A$86,0),INDEX('Каталог поиска'!$D$2:$D$998,$F51)),""))</f>
        <v/>
      </c>
      <c r="F51">
        <f>IFERROR(MATCH(39,'Каталог поиска'!$F$2:$F$998,0),"")</f>
        <v>39</v>
      </c>
    </row>
    <row r="52" spans="1:6" ht="36" customHeight="1">
      <c r="A52">
        <f>IF(F52="","",40)</f>
        <v>40</v>
      </c>
      <c r="B52" s="6" t="str">
        <f>IF($F52="","",INDEX('Каталог поиска'!$B$2:$B$998,$F52))</f>
        <v>Code No.</v>
      </c>
      <c r="C52" s="6" t="str">
        <f>IF($F52="","",INDEX('Каталог поиска'!$C$2:$C$998,$F52))</f>
        <v>AN</v>
      </c>
      <c r="D52" s="7">
        <f>IF(OR($F52="",E52=0,INDEX('Каталог поиска'!$D$2:$D$998,$F52)=0),"",IFERROR(INDEX('По размерам'!$A$2:$TY$86,MATCH($D$5,'По размерам'!$A$2:$A$86,0),INDEX('Каталог поиска'!$D$2:$D$998,$F52)),""))</f>
        <v/>
      </c>
      <c r="E52">
        <f>IF(OR($F52="",INDEX('Каталог поиска'!$D$2:$D$998,$F52)=0),"",IFERROR(INDEX('Количество значений'!$A$2:$TY$86,MATCH($D$5,'Количество значений'!$A$2:$A$86,0),INDEX('Каталог поиска'!$D$2:$D$998,$F52)),""))</f>
        <v/>
      </c>
      <c r="F52">
        <f>IFERROR(MATCH(40,'Каталог поиска'!$F$2:$F$998,0),"")</f>
        <v>40</v>
      </c>
    </row>
    <row r="53" spans="1:6" ht="36" customHeight="1">
      <c r="A53">
        <f>IF(F53="","",41)</f>
        <v>41</v>
      </c>
      <c r="B53" s="6" t="str">
        <f>IF($F53="","",INDEX('Каталог поиска'!$B$2:$B$998,$F53))</f>
        <v>Number</v>
      </c>
      <c r="C53" s="6" t="str">
        <f>IF($F53="","",INDEX('Каталог поиска'!$C$2:$C$998,$F53))</f>
        <v>AO</v>
      </c>
      <c r="D53" s="7">
        <f>IF(OR($F53="",E53=0,INDEX('Каталог поиска'!$D$2:$D$998,$F53)=0),"",IFERROR(INDEX('По размерам'!$A$2:$TY$86,MATCH($D$5,'По размерам'!$A$2:$A$86,0),INDEX('Каталог поиска'!$D$2:$D$998,$F53)),""))</f>
        <v/>
      </c>
      <c r="E53">
        <f>IF(OR($F53="",INDEX('Каталог поиска'!$D$2:$D$998,$F53)=0),"",IFERROR(INDEX('Количество значений'!$A$2:$TY$86,MATCH($D$5,'Количество значений'!$A$2:$A$86,0),INDEX('Каталог поиска'!$D$2:$D$998,$F53)),""))</f>
        <v/>
      </c>
      <c r="F53">
        <f>IFERROR(MATCH(41,'Каталог поиска'!$F$2:$F$998,0),"")</f>
        <v>41</v>
      </c>
    </row>
    <row r="54" spans="1:6" ht="36" customHeight="1">
      <c r="A54">
        <f>IF(F54="","",42)</f>
        <v>42</v>
      </c>
      <c r="B54" s="6" t="str">
        <f>IF($F54="","",INDEX('Каталог поиска'!$B$2:$B$998,$F54))</f>
        <v>Angle direction</v>
      </c>
      <c r="C54" s="6" t="str">
        <f>IF($F54="","",INDEX('Каталог поиска'!$C$2:$C$998,$F54))</f>
        <v>AP</v>
      </c>
      <c r="D54" s="7">
        <f>IF(OR($F54="",E54=0,INDEX('Каталог поиска'!$D$2:$D$998,$F54)=0),"",IFERROR(INDEX('По размерам'!$A$2:$TY$86,MATCH($D$5,'По размерам'!$A$2:$A$86,0),INDEX('Каталог поиска'!$D$2:$D$998,$F54)),""))</f>
        <v/>
      </c>
      <c r="E54">
        <f>IF(OR($F54="",INDEX('Каталог поиска'!$D$2:$D$998,$F54)=0),"",IFERROR(INDEX('Количество значений'!$A$2:$TY$86,MATCH($D$5,'Количество значений'!$A$2:$A$86,0),INDEX('Каталог поиска'!$D$2:$D$998,$F54)),""))</f>
        <v/>
      </c>
      <c r="F54">
        <f>IFERROR(MATCH(42,'Каталог поиска'!$F$2:$F$998,0),"")</f>
        <v>42</v>
      </c>
    </row>
    <row r="55" spans="1:6" ht="36" customHeight="1">
      <c r="A55">
        <f>IF(F55="","",43)</f>
        <v>43</v>
      </c>
      <c r="B55" s="6" t="str">
        <f>IF($F55="","",INDEX('Каталог поиска'!$B$2:$B$998,$F55))</f>
        <v>Angle direction 1Char</v>
      </c>
      <c r="C55" s="6" t="str">
        <f>IF($F55="","",INDEX('Каталог поиска'!$C$2:$C$998,$F55))</f>
        <v>AQ</v>
      </c>
      <c r="D55" s="7">
        <f>IF(OR($F55="",E55=0,INDEX('Каталог поиска'!$D$2:$D$998,$F55)=0),"",IFERROR(INDEX('По размерам'!$A$2:$TY$86,MATCH($D$5,'По размерам'!$A$2:$A$86,0),INDEX('Каталог поиска'!$D$2:$D$998,$F55)),""))</f>
        <v/>
      </c>
      <c r="E55">
        <f>IF(OR($F55="",INDEX('Каталог поиска'!$D$2:$D$998,$F55)=0),"",IFERROR(INDEX('Количество значений'!$A$2:$TY$86,MATCH($D$5,'Количество значений'!$A$2:$A$86,0),INDEX('Каталог поиска'!$D$2:$D$998,$F55)),""))</f>
        <v/>
      </c>
      <c r="F55">
        <f>IFERROR(MATCH(43,'Каталог поиска'!$F$2:$F$998,0),"")</f>
        <v>43</v>
      </c>
    </row>
    <row r="56" spans="1:6" ht="36" customHeight="1">
      <c r="A56">
        <f>IF(F56="","",44)</f>
        <v>44</v>
      </c>
      <c r="B56" s="6" t="str">
        <f>IF($F56="","",INDEX('Каталог поиска'!$B$2:$B$998,$F56))</f>
        <v>Set position</v>
      </c>
      <c r="C56" s="6" t="str">
        <f>IF($F56="","",INDEX('Каталог поиска'!$C$2:$C$998,$F56))</f>
        <v>AR</v>
      </c>
      <c r="D56" s="7">
        <f>IF(OR($F56="",E56=0,INDEX('Каталог поиска'!$D$2:$D$998,$F56)=0),"",IFERROR(INDEX('По размерам'!$A$2:$TY$86,MATCH($D$5,'По размерам'!$A$2:$A$86,0),INDEX('Каталог поиска'!$D$2:$D$998,$F56)),""))</f>
        <v>0</v>
      </c>
      <c r="E56">
        <f>IF(OR($F56="",INDEX('Каталог поиска'!$D$2:$D$998,$F56)=0),"",IFERROR(INDEX('Количество значений'!$A$2:$TY$86,MATCH($D$5,'Количество значений'!$A$2:$A$86,0),INDEX('Каталог поиска'!$D$2:$D$998,$F56)),""))</f>
        <v>4</v>
      </c>
      <c r="F56">
        <f>IFERROR(MATCH(44,'Каталог поиска'!$F$2:$F$998,0),"")</f>
        <v>44</v>
      </c>
    </row>
    <row r="57" spans="1:6" ht="36" customHeight="1">
      <c r="A57">
        <f>IF(F57="","",45)</f>
        <v>45</v>
      </c>
      <c r="B57" s="6" t="str">
        <f>IF($F57="","",INDEX('Каталог поиска'!$B$2:$B$998,$F57))</f>
        <v>Set position(+/-)</v>
      </c>
      <c r="C57" s="6" t="str">
        <f>IF($F57="","",INDEX('Каталог поиска'!$C$2:$C$998,$F57))</f>
        <v>AS</v>
      </c>
      <c r="D57" s="7">
        <f>IF(OR($F57="",E57=0,INDEX('Каталог поиска'!$D$2:$D$998,$F57)=0),"",IFERROR(INDEX('По размерам'!$A$2:$TY$86,MATCH($D$5,'По размерам'!$A$2:$A$86,0),INDEX('Каталог поиска'!$D$2:$D$998,$F57)),""))</f>
        <v>1.5</v>
      </c>
      <c r="E57">
        <f>IF(OR($F57="",INDEX('Каталог поиска'!$D$2:$D$998,$F57)=0),"",IFERROR(INDEX('Количество значений'!$A$2:$TY$86,MATCH($D$5,'Количество значений'!$A$2:$A$86,0),INDEX('Каталог поиска'!$D$2:$D$998,$F57)),""))</f>
        <v>4</v>
      </c>
      <c r="F57">
        <f>IFERROR(MATCH(45,'Каталог поиска'!$F$2:$F$998,0),"")</f>
        <v>45</v>
      </c>
    </row>
    <row r="58" spans="1:6" ht="36" customHeight="1">
      <c r="A58">
        <f>IF(F58="","",46)</f>
        <v>46</v>
      </c>
      <c r="B58" s="6" t="str">
        <f>IF($F58="","",INDEX('Каталог поиска'!$B$2:$B$998,$F58))</f>
        <v>Remarks</v>
      </c>
      <c r="C58" s="6" t="str">
        <f>IF($F58="","",INDEX('Каталог поиска'!$C$2:$C$998,$F58))</f>
        <v>AT</v>
      </c>
      <c r="D58" s="7">
        <f>IF(OR($F58="",E58=0,INDEX('Каталог поиска'!$D$2:$D$998,$F58)=0),"",IFERROR(INDEX('По размерам'!$A$2:$TY$86,MATCH($D$5,'По размерам'!$A$2:$A$86,0),INDEX('Каталог поиска'!$D$2:$D$998,$F58)),""))</f>
        <v/>
      </c>
      <c r="E58">
        <f>IF(OR($F58="",INDEX('Каталог поиска'!$D$2:$D$998,$F58)=0),"",IFERROR(INDEX('Количество значений'!$A$2:$TY$86,MATCH($D$5,'Количество значений'!$A$2:$A$86,0),INDEX('Каталог поиска'!$D$2:$D$998,$F58)),""))</f>
        <v/>
      </c>
      <c r="F58">
        <f>IFERROR(MATCH(46,'Каталог поиска'!$F$2:$F$998,0),"")</f>
        <v>46</v>
      </c>
    </row>
    <row r="59" spans="1:6" ht="36" customHeight="1">
      <c r="A59">
        <f>IF(F59="","",47)</f>
        <v>47</v>
      </c>
      <c r="B59" s="6" t="str">
        <f>IF($F59="","",INDEX('Каталог поиска'!$B$2:$B$998,$F59))</f>
        <v>Code No.(Non TPI)</v>
      </c>
      <c r="C59" s="6" t="str">
        <f>IF($F59="","",INDEX('Каталог поиска'!$C$2:$C$998,$F59))</f>
        <v>AU</v>
      </c>
      <c r="D59" s="7">
        <f>IF(OR($F59="",E59=0,INDEX('Каталог поиска'!$D$2:$D$998,$F59)=0),"",IFERROR(INDEX('По размерам'!$A$2:$TY$86,MATCH($D$5,'По размерам'!$A$2:$A$86,0),INDEX('Каталог поиска'!$D$2:$D$998,$F59)),""))</f>
        <v/>
      </c>
      <c r="E59">
        <f>IF(OR($F59="",INDEX('Каталог поиска'!$D$2:$D$998,$F59)=0),"",IFERROR(INDEX('Количество значений'!$A$2:$TY$86,MATCH($D$5,'Количество значений'!$A$2:$A$86,0),INDEX('Каталог поиска'!$D$2:$D$998,$F59)),""))</f>
        <v/>
      </c>
      <c r="F59">
        <f>IFERROR(MATCH(47,'Каталог поиска'!$F$2:$F$998,0),"")</f>
        <v>47</v>
      </c>
    </row>
    <row r="60" spans="1:6" ht="36" customHeight="1">
      <c r="A60">
        <f>IF(F60="","",48)</f>
        <v>48</v>
      </c>
      <c r="B60" s="6" t="str">
        <f>IF($F60="","",INDEX('Каталог поиска'!$B$2:$B$998,$F60))</f>
        <v>Code No.(TPI)</v>
      </c>
      <c r="C60" s="6" t="str">
        <f>IF($F60="","",INDEX('Каталог поиска'!$C$2:$C$998,$F60))</f>
        <v>AV</v>
      </c>
      <c r="D60" s="7">
        <f>IF(OR($F60="",E60=0,INDEX('Каталог поиска'!$D$2:$D$998,$F60)=0),"",IFERROR(INDEX('По размерам'!$A$2:$TY$86,MATCH($D$5,'По размерам'!$A$2:$A$86,0),INDEX('Каталог поиска'!$D$2:$D$998,$F60)),""))</f>
        <v/>
      </c>
      <c r="E60">
        <f>IF(OR($F60="",INDEX('Каталог поиска'!$D$2:$D$998,$F60)=0),"",IFERROR(INDEX('Количество значений'!$A$2:$TY$86,MATCH($D$5,'Количество значений'!$A$2:$A$86,0),INDEX('Каталог поиска'!$D$2:$D$998,$F60)),""))</f>
        <v/>
      </c>
      <c r="F60">
        <f>IFERROR(MATCH(48,'Каталог поиска'!$F$2:$F$998,0),"")</f>
        <v>48</v>
      </c>
    </row>
    <row r="61" spans="1:6" ht="36" customHeight="1">
      <c r="A61">
        <f>IF(F61="","",49)</f>
        <v>49</v>
      </c>
      <c r="B61" s="6" t="str">
        <f>IF($F61="","",INDEX('Каталог поиска'!$B$2:$B$998,$F61))</f>
        <v>Code No.</v>
      </c>
      <c r="C61" s="6" t="str">
        <f>IF($F61="","",INDEX('Каталог поиска'!$C$2:$C$998,$F61))</f>
        <v>AW</v>
      </c>
      <c r="D61" s="7">
        <f>IF(OR($F61="",E61=0,INDEX('Каталог поиска'!$D$2:$D$998,$F61)=0),"",IFERROR(INDEX('По размерам'!$A$2:$TY$86,MATCH($D$5,'По размерам'!$A$2:$A$86,0),INDEX('Каталог поиска'!$D$2:$D$998,$F61)),""))</f>
        <v/>
      </c>
      <c r="E61">
        <f>IF(OR($F61="",INDEX('Каталог поиска'!$D$2:$D$998,$F61)=0),"",IFERROR(INDEX('Количество значений'!$A$2:$TY$86,MATCH($D$5,'Количество значений'!$A$2:$A$86,0),INDEX('Каталог поиска'!$D$2:$D$998,$F61)),""))</f>
        <v/>
      </c>
      <c r="F61">
        <f>IFERROR(MATCH(49,'Каталог поиска'!$F$2:$F$998,0),"")</f>
        <v>49</v>
      </c>
    </row>
    <row r="62" spans="1:6" ht="36" customHeight="1">
      <c r="A62">
        <f>IF(F62="","",50)</f>
        <v>50</v>
      </c>
      <c r="B62" s="6" t="str">
        <f>IF($F62="","",INDEX('Каталог поиска'!$B$2:$B$998,$F62))</f>
        <v>Number</v>
      </c>
      <c r="C62" s="6" t="str">
        <f>IF($F62="","",INDEX('Каталог поиска'!$C$2:$C$998,$F62))</f>
        <v>AX</v>
      </c>
      <c r="D62" s="7">
        <f>IF(OR($F62="",E62=0,INDEX('Каталог поиска'!$D$2:$D$998,$F62)=0),"",IFERROR(INDEX('По размерам'!$A$2:$TY$86,MATCH($D$5,'По размерам'!$A$2:$A$86,0),INDEX('Каталог поиска'!$D$2:$D$998,$F62)),""))</f>
        <v/>
      </c>
      <c r="E62">
        <f>IF(OR($F62="",INDEX('Каталог поиска'!$D$2:$D$998,$F62)=0),"",IFERROR(INDEX('Количество значений'!$A$2:$TY$86,MATCH($D$5,'Количество значений'!$A$2:$A$86,0),INDEX('Каталог поиска'!$D$2:$D$998,$F62)),""))</f>
        <v/>
      </c>
      <c r="F62">
        <f>IFERROR(MATCH(50,'Каталог поиска'!$F$2:$F$998,0),"")</f>
        <v>50</v>
      </c>
    </row>
    <row r="63" spans="1:6" ht="36" customHeight="1">
      <c r="A63">
        <f>IF(F63="","",51)</f>
        <v>51</v>
      </c>
      <c r="B63" s="6" t="str">
        <f>IF($F63="","",INDEX('Каталог поиска'!$B$2:$B$998,$F63))</f>
        <v>Set position</v>
      </c>
      <c r="C63" s="6" t="str">
        <f>IF($F63="","",INDEX('Каталог поиска'!$C$2:$C$998,$F63))</f>
        <v>AY</v>
      </c>
      <c r="D63" s="7">
        <f>IF(OR($F63="",E63=0,INDEX('Каталог поиска'!$D$2:$D$998,$F63)=0),"",IFERROR(INDEX('По размерам'!$A$2:$TY$86,MATCH($D$5,'По размерам'!$A$2:$A$86,0),INDEX('Каталог поиска'!$D$2:$D$998,$F63)),""))</f>
        <v>239.375</v>
      </c>
      <c r="E63">
        <f>IF(OR($F63="",INDEX('Каталог поиска'!$D$2:$D$998,$F63)=0),"",IFERROR(INDEX('Количество значений'!$A$2:$TY$86,MATCH($D$5,'Количество значений'!$A$2:$A$86,0),INDEX('Каталог поиска'!$D$2:$D$998,$F63)),""))</f>
        <v>4</v>
      </c>
      <c r="F63">
        <f>IFERROR(MATCH(51,'Каталог поиска'!$F$2:$F$998,0),"")</f>
        <v>51</v>
      </c>
    </row>
    <row r="64" spans="1:6" ht="36" customHeight="1">
      <c r="A64">
        <f>IF(F64="","",52)</f>
        <v>52</v>
      </c>
      <c r="B64" s="6" t="str">
        <f>IF($F64="","",INDEX('Каталог поиска'!$B$2:$B$998,$F64))</f>
        <v>Set position(+/-)</v>
      </c>
      <c r="C64" s="6" t="str">
        <f>IF($F64="","",INDEX('Каталог поиска'!$C$2:$C$998,$F64))</f>
        <v>AZ</v>
      </c>
      <c r="D64" s="7">
        <f>IF(OR($F64="",E64=0,INDEX('Каталог поиска'!$D$2:$D$998,$F64)=0),"",IFERROR(INDEX('По размерам'!$A$2:$TY$86,MATCH($D$5,'По размерам'!$A$2:$A$86,0),INDEX('Каталог поиска'!$D$2:$D$998,$F64)),""))</f>
        <v>1.5</v>
      </c>
      <c r="E64">
        <f>IF(OR($F64="",INDEX('Каталог поиска'!$D$2:$D$998,$F64)=0),"",IFERROR(INDEX('Количество значений'!$A$2:$TY$86,MATCH($D$5,'Количество значений'!$A$2:$A$86,0),INDEX('Каталог поиска'!$D$2:$D$998,$F64)),""))</f>
        <v>4</v>
      </c>
      <c r="F64">
        <f>IFERROR(MATCH(52,'Каталог поиска'!$F$2:$F$998,0),"")</f>
        <v>52</v>
      </c>
    </row>
    <row r="65" spans="1:6" ht="36" customHeight="1">
      <c r="A65">
        <f>IF(F65="","",53)</f>
        <v>53</v>
      </c>
      <c r="B65" s="6" t="str">
        <f>IF($F65="","",INDEX('Каталог поиска'!$B$2:$B$998,$F65))</f>
        <v>Remarks</v>
      </c>
      <c r="C65" s="6" t="str">
        <f>IF($F65="","",INDEX('Каталог поиска'!$C$2:$C$998,$F65))</f>
        <v>BA</v>
      </c>
      <c r="D65" s="7">
        <f>IF(OR($F65="",E65=0,INDEX('Каталог поиска'!$D$2:$D$998,$F65)=0),"",IFERROR(INDEX('По размерам'!$A$2:$TY$86,MATCH($D$5,'По размерам'!$A$2:$A$86,0),INDEX('Каталог поиска'!$D$2:$D$998,$F65)),""))</f>
        <v/>
      </c>
      <c r="E65">
        <f>IF(OR($F65="",INDEX('Каталог поиска'!$D$2:$D$998,$F65)=0),"",IFERROR(INDEX('Количество значений'!$A$2:$TY$86,MATCH($D$5,'Количество значений'!$A$2:$A$86,0),INDEX('Каталог поиска'!$D$2:$D$998,$F65)),""))</f>
        <v/>
      </c>
      <c r="F65">
        <f>IFERROR(MATCH(53,'Каталог поиска'!$F$2:$F$998,0),"")</f>
        <v>53</v>
      </c>
    </row>
    <row r="66" spans="1:6" ht="36" customHeight="1">
      <c r="A66">
        <f>IF(F66="","",54)</f>
        <v>54</v>
      </c>
      <c r="B66" s="6" t="str">
        <f>IF($F66="","",INDEX('Каталог поиска'!$B$2:$B$998,$F66))</f>
        <v>Code No.(Non TPI)</v>
      </c>
      <c r="C66" s="6" t="str">
        <f>IF($F66="","",INDEX('Каталог поиска'!$C$2:$C$998,$F66))</f>
        <v>BB</v>
      </c>
      <c r="D66" s="7">
        <f>IF(OR($F66="",E66=0,INDEX('Каталог поиска'!$D$2:$D$998,$F66)=0),"",IFERROR(INDEX('По размерам'!$A$2:$TY$86,MATCH($D$5,'По размерам'!$A$2:$A$86,0),INDEX('Каталог поиска'!$D$2:$D$998,$F66)),""))</f>
        <v/>
      </c>
      <c r="E66">
        <f>IF(OR($F66="",INDEX('Каталог поиска'!$D$2:$D$998,$F66)=0),"",IFERROR(INDEX('Количество значений'!$A$2:$TY$86,MATCH($D$5,'Количество значений'!$A$2:$A$86,0),INDEX('Каталог поиска'!$D$2:$D$998,$F66)),""))</f>
        <v/>
      </c>
      <c r="F66">
        <f>IFERROR(MATCH(54,'Каталог поиска'!$F$2:$F$998,0),"")</f>
        <v>54</v>
      </c>
    </row>
    <row r="67" spans="1:6" ht="36" customHeight="1">
      <c r="A67">
        <f>IF(F67="","",55)</f>
        <v>55</v>
      </c>
      <c r="B67" s="6" t="str">
        <f>IF($F67="","",INDEX('Каталог поиска'!$B$2:$B$998,$F67))</f>
        <v>Code No.(TPI)</v>
      </c>
      <c r="C67" s="6" t="str">
        <f>IF($F67="","",INDEX('Каталог поиска'!$C$2:$C$998,$F67))</f>
        <v>BC</v>
      </c>
      <c r="D67" s="7">
        <f>IF(OR($F67="",E67=0,INDEX('Каталог поиска'!$D$2:$D$998,$F67)=0),"",IFERROR(INDEX('По размерам'!$A$2:$TY$86,MATCH($D$5,'По размерам'!$A$2:$A$86,0),INDEX('Каталог поиска'!$D$2:$D$998,$F67)),""))</f>
        <v/>
      </c>
      <c r="E67">
        <f>IF(OR($F67="",INDEX('Каталог поиска'!$D$2:$D$998,$F67)=0),"",IFERROR(INDEX('Количество значений'!$A$2:$TY$86,MATCH($D$5,'Количество значений'!$A$2:$A$86,0),INDEX('Каталог поиска'!$D$2:$D$998,$F67)),""))</f>
        <v/>
      </c>
      <c r="F67">
        <f>IFERROR(MATCH(55,'Каталог поиска'!$F$2:$F$998,0),"")</f>
        <v>55</v>
      </c>
    </row>
    <row r="68" spans="1:6" ht="36" customHeight="1">
      <c r="A68">
        <f>IF(F68="","",56)</f>
        <v>56</v>
      </c>
      <c r="B68" s="6" t="str">
        <f>IF($F68="","",INDEX('Каталог поиска'!$B$2:$B$998,$F68))</f>
        <v>Code No.</v>
      </c>
      <c r="C68" s="6" t="str">
        <f>IF($F68="","",INDEX('Каталог поиска'!$C$2:$C$998,$F68))</f>
        <v>BD</v>
      </c>
      <c r="D68" s="7">
        <f>IF(OR($F68="",E68=0,INDEX('Каталог поиска'!$D$2:$D$998,$F68)=0),"",IFERROR(INDEX('По размерам'!$A$2:$TY$86,MATCH($D$5,'По размерам'!$A$2:$A$86,0),INDEX('Каталог поиска'!$D$2:$D$998,$F68)),""))</f>
        <v/>
      </c>
      <c r="E68">
        <f>IF(OR($F68="",INDEX('Каталог поиска'!$D$2:$D$998,$F68)=0),"",IFERROR(INDEX('Количество значений'!$A$2:$TY$86,MATCH($D$5,'Количество значений'!$A$2:$A$86,0),INDEX('Каталог поиска'!$D$2:$D$998,$F68)),""))</f>
        <v/>
      </c>
      <c r="F68">
        <f>IFERROR(MATCH(56,'Каталог поиска'!$F$2:$F$998,0),"")</f>
        <v>56</v>
      </c>
    </row>
    <row r="69" spans="1:6" ht="36" customHeight="1">
      <c r="A69">
        <f>IF(F69="","",57)</f>
        <v>57</v>
      </c>
      <c r="B69" s="6" t="str">
        <f>IF($F69="","",INDEX('Каталог поиска'!$B$2:$B$998,$F69))</f>
        <v>Number</v>
      </c>
      <c r="C69" s="6" t="str">
        <f>IF($F69="","",INDEX('Каталог поиска'!$C$2:$C$998,$F69))</f>
        <v>BE</v>
      </c>
      <c r="D69" s="7">
        <f>IF(OR($F69="",E69=0,INDEX('Каталог поиска'!$D$2:$D$998,$F69)=0),"",IFERROR(INDEX('По размерам'!$A$2:$TY$86,MATCH($D$5,'По размерам'!$A$2:$A$86,0),INDEX('Каталог поиска'!$D$2:$D$998,$F69)),""))</f>
        <v/>
      </c>
      <c r="E69">
        <f>IF(OR($F69="",INDEX('Каталог поиска'!$D$2:$D$998,$F69)=0),"",IFERROR(INDEX('Количество значений'!$A$2:$TY$86,MATCH($D$5,'Количество значений'!$A$2:$A$86,0),INDEX('Каталог поиска'!$D$2:$D$998,$F69)),""))</f>
        <v/>
      </c>
      <c r="F69">
        <f>IFERROR(MATCH(57,'Каталог поиска'!$F$2:$F$998,0),"")</f>
        <v>57</v>
      </c>
    </row>
    <row r="70" spans="1:6" ht="36" customHeight="1">
      <c r="A70">
        <f>IF(F70="","",58)</f>
        <v>58</v>
      </c>
      <c r="B70" s="6" t="str">
        <f>IF($F70="","",INDEX('Каталог поиска'!$B$2:$B$998,$F70))</f>
        <v>Set position</v>
      </c>
      <c r="C70" s="6" t="str">
        <f>IF($F70="","",INDEX('Каталог поиска'!$C$2:$C$998,$F70))</f>
        <v>BF</v>
      </c>
      <c r="D70" s="7">
        <f>IF(OR($F70="",E70=0,INDEX('Каталог поиска'!$D$2:$D$998,$F70)=0),"",IFERROR(INDEX('По размерам'!$A$2:$TY$86,MATCH($D$5,'По размерам'!$A$2:$A$86,0),INDEX('Каталог поиска'!$D$2:$D$998,$F70)),""))</f>
        <v/>
      </c>
      <c r="E70">
        <f>IF(OR($F70="",INDEX('Каталог поиска'!$D$2:$D$998,$F70)=0),"",IFERROR(INDEX('Количество значений'!$A$2:$TY$86,MATCH($D$5,'Количество значений'!$A$2:$A$86,0),INDEX('Каталог поиска'!$D$2:$D$998,$F70)),""))</f>
        <v>0</v>
      </c>
      <c r="F70">
        <f>IFERROR(MATCH(58,'Каталог поиска'!$F$2:$F$998,0),"")</f>
        <v>58</v>
      </c>
    </row>
    <row r="71" spans="1:6" ht="36" customHeight="1">
      <c r="A71">
        <f>IF(F71="","",59)</f>
        <v>59</v>
      </c>
      <c r="B71" s="6" t="str">
        <f>IF($F71="","",INDEX('Каталог поиска'!$B$2:$B$998,$F71))</f>
        <v>Set position(+/-)</v>
      </c>
      <c r="C71" s="6" t="str">
        <f>IF($F71="","",INDEX('Каталог поиска'!$C$2:$C$998,$F71))</f>
        <v>BG</v>
      </c>
      <c r="D71" s="7">
        <f>IF(OR($F71="",E71=0,INDEX('Каталог поиска'!$D$2:$D$998,$F71)=0),"",IFERROR(INDEX('По размерам'!$A$2:$TY$86,MATCH($D$5,'По размерам'!$A$2:$A$86,0),INDEX('Каталог поиска'!$D$2:$D$998,$F71)),""))</f>
        <v>1.5</v>
      </c>
      <c r="E71">
        <f>IF(OR($F71="",INDEX('Каталог поиска'!$D$2:$D$998,$F71)=0),"",IFERROR(INDEX('Количество значений'!$A$2:$TY$86,MATCH($D$5,'Количество значений'!$A$2:$A$86,0),INDEX('Каталог поиска'!$D$2:$D$998,$F71)),""))</f>
        <v>4</v>
      </c>
      <c r="F71">
        <f>IFERROR(MATCH(59,'Каталог поиска'!$F$2:$F$998,0),"")</f>
        <v>59</v>
      </c>
    </row>
    <row r="72" spans="1:6" ht="36" customHeight="1">
      <c r="A72">
        <f>IF(F72="","",60)</f>
        <v>60</v>
      </c>
      <c r="B72" s="6" t="str">
        <f>IF($F72="","",INDEX('Каталог поиска'!$B$2:$B$998,$F72))</f>
        <v>Remarks</v>
      </c>
      <c r="C72" s="6" t="str">
        <f>IF($F72="","",INDEX('Каталог поиска'!$C$2:$C$998,$F72))</f>
        <v>BH</v>
      </c>
      <c r="D72" s="7">
        <f>IF(OR($F72="",E72=0,INDEX('Каталог поиска'!$D$2:$D$998,$F72)=0),"",IFERROR(INDEX('По размерам'!$A$2:$TY$86,MATCH($D$5,'По размерам'!$A$2:$A$86,0),INDEX('Каталог поиска'!$D$2:$D$998,$F72)),""))</f>
        <v/>
      </c>
      <c r="E72">
        <f>IF(OR($F72="",INDEX('Каталог поиска'!$D$2:$D$998,$F72)=0),"",IFERROR(INDEX('Количество значений'!$A$2:$TY$86,MATCH($D$5,'Количество значений'!$A$2:$A$86,0),INDEX('Каталог поиска'!$D$2:$D$998,$F72)),""))</f>
        <v/>
      </c>
      <c r="F72">
        <f>IFERROR(MATCH(60,'Каталог поиска'!$F$2:$F$998,0),"")</f>
        <v>60</v>
      </c>
    </row>
    <row r="73" spans="1:6" ht="36" customHeight="1">
      <c r="A73">
        <f>IF(F73="","",61)</f>
        <v>61</v>
      </c>
      <c r="B73" s="6" t="str">
        <f>IF($F73="","",INDEX('Каталог поиска'!$B$2:$B$998,$F73))</f>
        <v>Code No.</v>
      </c>
      <c r="C73" s="6" t="str">
        <f>IF($F73="","",INDEX('Каталог поиска'!$C$2:$C$998,$F73))</f>
        <v>BI</v>
      </c>
      <c r="D73" s="7">
        <f>IF(OR($F73="",E73=0,INDEX('Каталог поиска'!$D$2:$D$998,$F73)=0),"",IFERROR(INDEX('По размерам'!$A$2:$TY$86,MATCH($D$5,'По размерам'!$A$2:$A$86,0),INDEX('Каталог поиска'!$D$2:$D$998,$F73)),""))</f>
        <v/>
      </c>
      <c r="E73">
        <f>IF(OR($F73="",INDEX('Каталог поиска'!$D$2:$D$998,$F73)=0),"",IFERROR(INDEX('Количество значений'!$A$2:$TY$86,MATCH($D$5,'Количество значений'!$A$2:$A$86,0),INDEX('Каталог поиска'!$D$2:$D$998,$F73)),""))</f>
        <v/>
      </c>
      <c r="F73">
        <f>IFERROR(MATCH(61,'Каталог поиска'!$F$2:$F$998,0),"")</f>
        <v>61</v>
      </c>
    </row>
    <row r="74" spans="1:6" ht="36" customHeight="1">
      <c r="A74">
        <f>IF(F74="","",62)</f>
        <v>62</v>
      </c>
      <c r="B74" s="6" t="str">
        <f>IF($F74="","",INDEX('Каталог поиска'!$B$2:$B$998,$F74))</f>
        <v>Number</v>
      </c>
      <c r="C74" s="6" t="str">
        <f>IF($F74="","",INDEX('Каталог поиска'!$C$2:$C$998,$F74))</f>
        <v>BJ</v>
      </c>
      <c r="D74" s="7">
        <f>IF(OR($F74="",E74=0,INDEX('Каталог поиска'!$D$2:$D$998,$F74)=0),"",IFERROR(INDEX('По размерам'!$A$2:$TY$86,MATCH($D$5,'По размерам'!$A$2:$A$86,0),INDEX('Каталог поиска'!$D$2:$D$998,$F74)),""))</f>
        <v/>
      </c>
      <c r="E74">
        <f>IF(OR($F74="",INDEX('Каталог поиска'!$D$2:$D$998,$F74)=0),"",IFERROR(INDEX('Количество значений'!$A$2:$TY$86,MATCH($D$5,'Количество значений'!$A$2:$A$86,0),INDEX('Каталог поиска'!$D$2:$D$998,$F74)),""))</f>
        <v/>
      </c>
      <c r="F74">
        <f>IFERROR(MATCH(62,'Каталог поиска'!$F$2:$F$998,0),"")</f>
        <v>62</v>
      </c>
    </row>
    <row r="75" spans="1:6" ht="36" customHeight="1">
      <c r="A75">
        <f>IF(F75="","",63)</f>
        <v>63</v>
      </c>
      <c r="B75" s="6" t="str">
        <f>IF($F75="","",INDEX('Каталог поиска'!$B$2:$B$998,$F75))</f>
        <v>Angle direction</v>
      </c>
      <c r="C75" s="6" t="str">
        <f>IF($F75="","",INDEX('Каталог поиска'!$C$2:$C$998,$F75))</f>
        <v>BK</v>
      </c>
      <c r="D75" s="7">
        <f>IF(OR($F75="",E75=0,INDEX('Каталог поиска'!$D$2:$D$998,$F75)=0),"",IFERROR(INDEX('По размерам'!$A$2:$TY$86,MATCH($D$5,'По размерам'!$A$2:$A$86,0),INDEX('Каталог поиска'!$D$2:$D$998,$F75)),""))</f>
        <v/>
      </c>
      <c r="E75">
        <f>IF(OR($F75="",INDEX('Каталог поиска'!$D$2:$D$998,$F75)=0),"",IFERROR(INDEX('Количество значений'!$A$2:$TY$86,MATCH($D$5,'Количество значений'!$A$2:$A$86,0),INDEX('Каталог поиска'!$D$2:$D$998,$F75)),""))</f>
        <v/>
      </c>
      <c r="F75">
        <f>IFERROR(MATCH(63,'Каталог поиска'!$F$2:$F$998,0),"")</f>
        <v>63</v>
      </c>
    </row>
    <row r="76" spans="1:6" ht="36" customHeight="1">
      <c r="A76">
        <f>IF(F76="","",64)</f>
        <v>64</v>
      </c>
      <c r="B76" s="6" t="str">
        <f>IF($F76="","",INDEX('Каталог поиска'!$B$2:$B$998,$F76))</f>
        <v>Angle direction 2Char</v>
      </c>
      <c r="C76" s="6" t="str">
        <f>IF($F76="","",INDEX('Каталог поиска'!$C$2:$C$998,$F76))</f>
        <v>BL</v>
      </c>
      <c r="D76" s="7">
        <f>IF(OR($F76="",E76=0,INDEX('Каталог поиска'!$D$2:$D$998,$F76)=0),"",IFERROR(INDEX('По размерам'!$A$2:$TY$86,MATCH($D$5,'По размерам'!$A$2:$A$86,0),INDEX('Каталог поиска'!$D$2:$D$998,$F76)),""))</f>
        <v/>
      </c>
      <c r="E76">
        <f>IF(OR($F76="",INDEX('Каталог поиска'!$D$2:$D$998,$F76)=0),"",IFERROR(INDEX('Количество значений'!$A$2:$TY$86,MATCH($D$5,'Количество значений'!$A$2:$A$86,0),INDEX('Каталог поиска'!$D$2:$D$998,$F76)),""))</f>
        <v/>
      </c>
      <c r="F76">
        <f>IFERROR(MATCH(64,'Каталог поиска'!$F$2:$F$998,0),"")</f>
        <v>64</v>
      </c>
    </row>
    <row r="77" spans="1:6" ht="36" customHeight="1">
      <c r="A77">
        <f>IF(F77="","",65)</f>
        <v>65</v>
      </c>
      <c r="B77" s="6" t="str">
        <f>IF($F77="","",INDEX('Каталог поиска'!$B$2:$B$998,$F77))</f>
        <v>Set position</v>
      </c>
      <c r="C77" s="6" t="str">
        <f>IF($F77="","",INDEX('Каталог поиска'!$C$2:$C$998,$F77))</f>
        <v>BM</v>
      </c>
      <c r="D77" s="7">
        <f>IF(OR($F77="",E77=0,INDEX('Каталог поиска'!$D$2:$D$998,$F77)=0),"",IFERROR(INDEX('По размерам'!$A$2:$TY$86,MATCH($D$5,'По размерам'!$A$2:$A$86,0),INDEX('Каталог поиска'!$D$2:$D$998,$F77)),""))</f>
        <v/>
      </c>
      <c r="E77">
        <f>IF(OR($F77="",INDEX('Каталог поиска'!$D$2:$D$998,$F77)=0),"",IFERROR(INDEX('Количество значений'!$A$2:$TY$86,MATCH($D$5,'Количество значений'!$A$2:$A$86,0),INDEX('Каталог поиска'!$D$2:$D$998,$F77)),""))</f>
        <v>0</v>
      </c>
      <c r="F77">
        <f>IFERROR(MATCH(65,'Каталог поиска'!$F$2:$F$998,0),"")</f>
        <v>65</v>
      </c>
    </row>
    <row r="78" spans="1:6" ht="36" customHeight="1">
      <c r="A78">
        <f>IF(F78="","",66)</f>
        <v>66</v>
      </c>
      <c r="B78" s="6" t="str">
        <f>IF($F78="","",INDEX('Каталог поиска'!$B$2:$B$998,$F78))</f>
        <v>Set position(+/-)</v>
      </c>
      <c r="C78" s="6" t="str">
        <f>IF($F78="","",INDEX('Каталог поиска'!$C$2:$C$998,$F78))</f>
        <v>BN</v>
      </c>
      <c r="D78" s="7">
        <f>IF(OR($F78="",E78=0,INDEX('Каталог поиска'!$D$2:$D$998,$F78)=0),"",IFERROR(INDEX('По размерам'!$A$2:$TY$86,MATCH($D$5,'По размерам'!$A$2:$A$86,0),INDEX('Каталог поиска'!$D$2:$D$998,$F78)),""))</f>
        <v>1.5</v>
      </c>
      <c r="E78">
        <f>IF(OR($F78="",INDEX('Каталог поиска'!$D$2:$D$998,$F78)=0),"",IFERROR(INDEX('Количество значений'!$A$2:$TY$86,MATCH($D$5,'Количество значений'!$A$2:$A$86,0),INDEX('Каталог поиска'!$D$2:$D$998,$F78)),""))</f>
        <v>4</v>
      </c>
      <c r="F78">
        <f>IFERROR(MATCH(66,'Каталог поиска'!$F$2:$F$998,0),"")</f>
        <v>66</v>
      </c>
    </row>
    <row r="79" spans="1:6" ht="36" customHeight="1">
      <c r="A79">
        <f>IF(F79="","",67)</f>
        <v>67</v>
      </c>
      <c r="B79" s="6" t="str">
        <f>IF($F79="","",INDEX('Каталог поиска'!$B$2:$B$998,$F79))</f>
        <v>Remarks</v>
      </c>
      <c r="C79" s="6" t="str">
        <f>IF($F79="","",INDEX('Каталог поиска'!$C$2:$C$998,$F79))</f>
        <v>BO</v>
      </c>
      <c r="D79" s="7">
        <f>IF(OR($F79="",E79=0,INDEX('Каталог поиска'!$D$2:$D$998,$F79)=0),"",IFERROR(INDEX('По размерам'!$A$2:$TY$86,MATCH($D$5,'По размерам'!$A$2:$A$86,0),INDEX('Каталог поиска'!$D$2:$D$998,$F79)),""))</f>
        <v/>
      </c>
      <c r="E79">
        <f>IF(OR($F79="",INDEX('Каталог поиска'!$D$2:$D$998,$F79)=0),"",IFERROR(INDEX('Количество значений'!$A$2:$TY$86,MATCH($D$5,'Количество значений'!$A$2:$A$86,0),INDEX('Каталог поиска'!$D$2:$D$998,$F79)),""))</f>
        <v/>
      </c>
      <c r="F79">
        <f>IFERROR(MATCH(67,'Каталог поиска'!$F$2:$F$998,0),"")</f>
        <v>67</v>
      </c>
    </row>
    <row r="80" spans="1:6" ht="36" customHeight="1">
      <c r="A80">
        <f>IF(F80="","",68)</f>
        <v>68</v>
      </c>
      <c r="B80" s="6" t="str">
        <f>IF($F80="","",INDEX('Каталог поиска'!$B$2:$B$998,$F80))</f>
        <v>Code No.</v>
      </c>
      <c r="C80" s="6" t="str">
        <f>IF($F80="","",INDEX('Каталог поиска'!$C$2:$C$998,$F80))</f>
        <v>BP</v>
      </c>
      <c r="D80" s="7">
        <f>IF(OR($F80="",E80=0,INDEX('Каталог поиска'!$D$2:$D$998,$F80)=0),"",IFERROR(INDEX('По размерам'!$A$2:$TY$86,MATCH($D$5,'По размерам'!$A$2:$A$86,0),INDEX('Каталог поиска'!$D$2:$D$998,$F80)),""))</f>
        <v/>
      </c>
      <c r="E80">
        <f>IF(OR($F80="",INDEX('Каталог поиска'!$D$2:$D$998,$F80)=0),"",IFERROR(INDEX('Количество значений'!$A$2:$TY$86,MATCH($D$5,'Количество значений'!$A$2:$A$86,0),INDEX('Каталог поиска'!$D$2:$D$998,$F80)),""))</f>
        <v/>
      </c>
      <c r="F80">
        <f>IFERROR(MATCH(68,'Каталог поиска'!$F$2:$F$998,0),"")</f>
        <v>68</v>
      </c>
    </row>
    <row r="81" spans="1:6" ht="36" customHeight="1">
      <c r="A81">
        <f>IF(F81="","",69)</f>
        <v>69</v>
      </c>
      <c r="B81" s="6" t="str">
        <f>IF($F81="","",INDEX('Каталог поиска'!$B$2:$B$998,$F81))</f>
        <v>Machine group</v>
      </c>
      <c r="C81" s="6" t="str">
        <f>IF($F81="","",INDEX('Каталог поиска'!$C$2:$C$998,$F81))</f>
        <v>BQ</v>
      </c>
      <c r="D81" s="7">
        <f>IF(OR($F81="",E81=0,INDEX('Каталог поиска'!$D$2:$D$998,$F81)=0),"",IFERROR(INDEX('По размерам'!$A$2:$TY$86,MATCH($D$5,'По размерам'!$A$2:$A$86,0),INDEX('Каталог поиска'!$D$2:$D$998,$F81)),""))</f>
        <v/>
      </c>
      <c r="E81">
        <f>IF(OR($F81="",INDEX('Каталог поиска'!$D$2:$D$998,$F81)=0),"",IFERROR(INDEX('Количество значений'!$A$2:$TY$86,MATCH($D$5,'Количество значений'!$A$2:$A$86,0),INDEX('Каталог поиска'!$D$2:$D$998,$F81)),""))</f>
        <v/>
      </c>
      <c r="F81">
        <f>IFERROR(MATCH(69,'Каталог поиска'!$F$2:$F$998,0),"")</f>
        <v>69</v>
      </c>
    </row>
    <row r="82" spans="1:6" ht="36" customHeight="1">
      <c r="A82">
        <f>IF(F82="","",70)</f>
        <v>70</v>
      </c>
      <c r="B82" s="6" t="str">
        <f>IF($F82="","",INDEX('Каталог поиска'!$B$2:$B$998,$F82))</f>
        <v>Number</v>
      </c>
      <c r="C82" s="6" t="str">
        <f>IF($F82="","",INDEX('Каталог поиска'!$C$2:$C$998,$F82))</f>
        <v>BR</v>
      </c>
      <c r="D82" s="7">
        <f>IF(OR($F82="",E82=0,INDEX('Каталог поиска'!$D$2:$D$998,$F82)=0),"",IFERROR(INDEX('По размерам'!$A$2:$TY$86,MATCH($D$5,'По размерам'!$A$2:$A$86,0),INDEX('Каталог поиска'!$D$2:$D$998,$F82)),""))</f>
        <v/>
      </c>
      <c r="E82">
        <f>IF(OR($F82="",INDEX('Каталог поиска'!$D$2:$D$998,$F82)=0),"",IFERROR(INDEX('Количество значений'!$A$2:$TY$86,MATCH($D$5,'Количество значений'!$A$2:$A$86,0),INDEX('Каталог поиска'!$D$2:$D$998,$F82)),""))</f>
        <v/>
      </c>
      <c r="F82">
        <f>IFERROR(MATCH(70,'Каталог поиска'!$F$2:$F$998,0),"")</f>
        <v>70</v>
      </c>
    </row>
    <row r="83" spans="1:6" ht="36" customHeight="1">
      <c r="A83">
        <f>IF(F83="","",71)</f>
        <v>71</v>
      </c>
      <c r="B83" s="6" t="str">
        <f>IF($F83="","",INDEX('Каталог поиска'!$B$2:$B$998,$F83))</f>
        <v>Color marks</v>
      </c>
      <c r="C83" s="6" t="str">
        <f>IF($F83="","",INDEX('Каталог поиска'!$C$2:$C$998,$F83))</f>
        <v>BS</v>
      </c>
      <c r="D83" s="7">
        <f>IF(OR($F83="",E83=0,INDEX('Каталог поиска'!$D$2:$D$998,$F83)=0),"",IFERROR(INDEX('По размерам'!$A$2:$TY$86,MATCH($D$5,'По размерам'!$A$2:$A$86,0),INDEX('Каталог поиска'!$D$2:$D$998,$F83)),""))</f>
        <v/>
      </c>
      <c r="E83">
        <f>IF(OR($F83="",INDEX('Каталог поиска'!$D$2:$D$998,$F83)=0),"",IFERROR(INDEX('Количество значений'!$A$2:$TY$86,MATCH($D$5,'Количество значений'!$A$2:$A$86,0),INDEX('Каталог поиска'!$D$2:$D$998,$F83)),""))</f>
        <v/>
      </c>
      <c r="F83">
        <f>IFERROR(MATCH(71,'Каталог поиска'!$F$2:$F$998,0),"")</f>
        <v>71</v>
      </c>
    </row>
    <row r="84" spans="1:6" ht="36" customHeight="1">
      <c r="A84">
        <f>IF(F84="","",72)</f>
        <v>72</v>
      </c>
      <c r="B84" s="6" t="str">
        <f>IF($F84="","",INDEX('Каталог поиска'!$B$2:$B$998,$F84))</f>
        <v>Set position</v>
      </c>
      <c r="C84" s="6" t="str">
        <f>IF($F84="","",INDEX('Каталог поиска'!$C$2:$C$998,$F84))</f>
        <v>BT</v>
      </c>
      <c r="D84" s="7">
        <f>IF(OR($F84="",E84=0,INDEX('Каталог поиска'!$D$2:$D$998,$F84)=0),"",IFERROR(INDEX('По размерам'!$A$2:$TY$86,MATCH($D$5,'По размерам'!$A$2:$A$86,0),INDEX('Каталог поиска'!$D$2:$D$998,$F84)),""))</f>
        <v>175.75</v>
      </c>
      <c r="E84">
        <f>IF(OR($F84="",INDEX('Каталог поиска'!$D$2:$D$998,$F84)=0),"",IFERROR(INDEX('Количество значений'!$A$2:$TY$86,MATCH($D$5,'Количество значений'!$A$2:$A$86,0),INDEX('Каталог поиска'!$D$2:$D$998,$F84)),""))</f>
        <v>4</v>
      </c>
      <c r="F84">
        <f>IFERROR(MATCH(72,'Каталог поиска'!$F$2:$F$998,0),"")</f>
        <v>72</v>
      </c>
    </row>
    <row r="85" spans="1:6" ht="36" customHeight="1">
      <c r="A85">
        <f>IF(F85="","",73)</f>
        <v>73</v>
      </c>
      <c r="B85" s="6" t="str">
        <f>IF($F85="","",INDEX('Каталог поиска'!$B$2:$B$998,$F85))</f>
        <v>Set position(+/-)</v>
      </c>
      <c r="C85" s="6" t="str">
        <f>IF($F85="","",INDEX('Каталог поиска'!$C$2:$C$998,$F85))</f>
        <v>BU</v>
      </c>
      <c r="D85" s="7">
        <f>IF(OR($F85="",E85=0,INDEX('Каталог поиска'!$D$2:$D$998,$F85)=0),"",IFERROR(INDEX('По размерам'!$A$2:$TY$86,MATCH($D$5,'По размерам'!$A$2:$A$86,0),INDEX('Каталог поиска'!$D$2:$D$998,$F85)),""))</f>
        <v>0.5</v>
      </c>
      <c r="E85">
        <f>IF(OR($F85="",INDEX('Каталог поиска'!$D$2:$D$998,$F85)=0),"",IFERROR(INDEX('Количество значений'!$A$2:$TY$86,MATCH($D$5,'Количество значений'!$A$2:$A$86,0),INDEX('Каталог поиска'!$D$2:$D$998,$F85)),""))</f>
        <v>4</v>
      </c>
      <c r="F85">
        <f>IFERROR(MATCH(73,'Каталог поиска'!$F$2:$F$998,0),"")</f>
        <v>73</v>
      </c>
    </row>
    <row r="86" spans="1:6" ht="36" customHeight="1">
      <c r="A86">
        <f>IF(F86="","",74)</f>
        <v>74</v>
      </c>
      <c r="B86" s="6" t="str">
        <f>IF($F86="","",INDEX('Каталог поиска'!$B$2:$B$998,$F86))</f>
        <v>Remarks</v>
      </c>
      <c r="C86" s="6" t="str">
        <f>IF($F86="","",INDEX('Каталог поиска'!$C$2:$C$998,$F86))</f>
        <v>BV</v>
      </c>
      <c r="D86" s="7">
        <f>IF(OR($F86="",E86=0,INDEX('Каталог поиска'!$D$2:$D$998,$F86)=0),"",IFERROR(INDEX('По размерам'!$A$2:$TY$86,MATCH($D$5,'По размерам'!$A$2:$A$86,0),INDEX('Каталог поиска'!$D$2:$D$998,$F86)),""))</f>
        <v/>
      </c>
      <c r="E86">
        <f>IF(OR($F86="",INDEX('Каталог поиска'!$D$2:$D$998,$F86)=0),"",IFERROR(INDEX('Количество значений'!$A$2:$TY$86,MATCH($D$5,'Количество значений'!$A$2:$A$86,0),INDEX('Каталог поиска'!$D$2:$D$998,$F86)),""))</f>
        <v/>
      </c>
      <c r="F86">
        <f>IFERROR(MATCH(74,'Каталог поиска'!$F$2:$F$998,0),"")</f>
        <v>74</v>
      </c>
    </row>
    <row r="87" spans="1:6" ht="36" customHeight="1">
      <c r="A87">
        <f>IF(F87="","",75)</f>
        <v>75</v>
      </c>
      <c r="B87" s="6" t="str">
        <f>IF($F87="","",INDEX('Каталог поиска'!$B$2:$B$998,$F87))</f>
        <v>BEAD set width (mm)</v>
      </c>
      <c r="C87" s="6" t="str">
        <f>IF($F87="","",INDEX('Каталог поиска'!$C$2:$C$998,$F87))</f>
        <v>BW</v>
      </c>
      <c r="D87" s="7">
        <f>IF(OR($F87="",E87=0,INDEX('Каталог поиска'!$D$2:$D$998,$F87)=0),"",IFERROR(INDEX('По размерам'!$A$2:$TY$86,MATCH($D$5,'По размерам'!$A$2:$A$86,0),INDEX('Каталог поиска'!$D$2:$D$998,$F87)),""))</f>
        <v>351.5</v>
      </c>
      <c r="E87">
        <f>IF(OR($F87="",INDEX('Каталог поиска'!$D$2:$D$998,$F87)=0),"",IFERROR(INDEX('Количество значений'!$A$2:$TY$86,MATCH($D$5,'Количество значений'!$A$2:$A$86,0),INDEX('Каталог поиска'!$D$2:$D$998,$F87)),""))</f>
        <v>4</v>
      </c>
      <c r="F87">
        <f>IFERROR(MATCH(75,'Каталог поиска'!$F$2:$F$998,0),"")</f>
        <v>75</v>
      </c>
    </row>
    <row r="88" spans="1:6" ht="36" customHeight="1">
      <c r="A88">
        <f>IF(F88="","",76)</f>
        <v>76</v>
      </c>
      <c r="B88" s="6" t="str">
        <f>IF($F88="","",INDEX('Каталог поиска'!$B$2:$B$998,$F88))</f>
        <v>BEAD set width (mm) +/-</v>
      </c>
      <c r="C88" s="6" t="str">
        <f>IF($F88="","",INDEX('Каталог поиска'!$C$2:$C$998,$F88))</f>
        <v>BX</v>
      </c>
      <c r="D88" s="7">
        <f>IF(OR($F88="",E88=0,INDEX('Каталог поиска'!$D$2:$D$998,$F88)=0),"",IFERROR(INDEX('По размерам'!$A$2:$TY$86,MATCH($D$5,'По размерам'!$A$2:$A$86,0),INDEX('Каталог поиска'!$D$2:$D$998,$F88)),""))</f>
        <v>1</v>
      </c>
      <c r="E88">
        <f>IF(OR($F88="",INDEX('Каталог поиска'!$D$2:$D$998,$F88)=0),"",IFERROR(INDEX('Количество значений'!$A$2:$TY$86,MATCH($D$5,'Количество значений'!$A$2:$A$86,0),INDEX('Каталог поиска'!$D$2:$D$998,$F88)),""))</f>
        <v>4</v>
      </c>
      <c r="F88">
        <f>IFERROR(MATCH(76,'Каталог поиска'!$F$2:$F$998,0),"")</f>
        <v>76</v>
      </c>
    </row>
    <row r="89" spans="1:6" ht="36" customHeight="1">
      <c r="A89">
        <f>IF(F89="","",77)</f>
        <v>77</v>
      </c>
      <c r="B89" s="6" t="str">
        <f>IF($F89="","",INDEX('Каталог поиска'!$B$2:$B$998,$F89))</f>
        <v>Band drum item</v>
      </c>
      <c r="C89" s="6" t="str">
        <f>IF($F89="","",INDEX('Каталог поиска'!$C$2:$C$998,$F89))</f>
        <v>BY</v>
      </c>
      <c r="D89" s="7">
        <f>IF(OR($F89="",E89=0,INDEX('Каталог поиска'!$D$2:$D$998,$F89)=0),"",IFERROR(INDEX('По размерам'!$A$2:$TY$86,MATCH($D$5,'По размерам'!$A$2:$A$86,0),INDEX('Каталог поиска'!$D$2:$D$998,$F89)),""))</f>
        <v/>
      </c>
      <c r="E89">
        <f>IF(OR($F89="",INDEX('Каталог поиска'!$D$2:$D$998,$F89)=0),"",IFERROR(INDEX('Количество значений'!$A$2:$TY$86,MATCH($D$5,'Количество значений'!$A$2:$A$86,0),INDEX('Каталог поиска'!$D$2:$D$998,$F89)),""))</f>
        <v/>
      </c>
      <c r="F89">
        <f>IFERROR(MATCH(77,'Каталог поиска'!$F$2:$F$998,0),"")</f>
        <v>77</v>
      </c>
    </row>
    <row r="90" spans="1:6" ht="36" customHeight="1">
      <c r="A90">
        <f>IF(F90="","",78)</f>
        <v>78</v>
      </c>
      <c r="B90" s="6" t="str">
        <f>IF($F90="","",INDEX('Каталог поиска'!$B$2:$B$998,$F90))</f>
        <v>Band drum main unit width</v>
      </c>
      <c r="C90" s="6" t="str">
        <f>IF($F90="","",INDEX('Каталог поиска'!$C$2:$C$998,$F90))</f>
        <v>BZ</v>
      </c>
      <c r="D90" s="7">
        <f>IF(OR($F90="",E90=0,INDEX('Каталог поиска'!$D$2:$D$998,$F90)=0),"",IFERROR(INDEX('По размерам'!$A$2:$TY$86,MATCH($D$5,'По размерам'!$A$2:$A$86,0),INDEX('Каталог поиска'!$D$2:$D$998,$F90)),""))</f>
        <v>300</v>
      </c>
      <c r="E90">
        <f>IF(OR($F90="",INDEX('Каталог поиска'!$D$2:$D$998,$F90)=0),"",IFERROR(INDEX('Количество значений'!$A$2:$TY$86,MATCH($D$5,'Количество значений'!$A$2:$A$86,0),INDEX('Каталог поиска'!$D$2:$D$998,$F90)),""))</f>
        <v>4</v>
      </c>
      <c r="F90">
        <f>IFERROR(MATCH(78,'Каталог поиска'!$F$2:$F$998,0),"")</f>
        <v>78</v>
      </c>
    </row>
    <row r="91" spans="1:6" ht="36" customHeight="1">
      <c r="A91">
        <f>IF(F91="","",79)</f>
        <v>79</v>
      </c>
      <c r="B91" s="6" t="str">
        <f>IF($F91="","",INDEX('Каталог поиска'!$B$2:$B$998,$F91))</f>
        <v>Band drum width</v>
      </c>
      <c r="C91" s="6" t="str">
        <f>IF($F91="","",INDEX('Каталог поиска'!$C$2:$C$998,$F91))</f>
        <v>CA</v>
      </c>
      <c r="D91" s="7">
        <f>IF(OR($F91="",E91=0,INDEX('Каталог поиска'!$D$2:$D$998,$F91)=0),"",IFERROR(INDEX('По размерам'!$A$2:$TY$86,MATCH($D$5,'По размерам'!$A$2:$A$86,0),INDEX('Каталог поиска'!$D$2:$D$998,$F91)),""))</f>
        <v>445</v>
      </c>
      <c r="E91">
        <f>IF(OR($F91="",INDEX('Каталог поиска'!$D$2:$D$998,$F91)=0),"",IFERROR(INDEX('Количество значений'!$A$2:$TY$86,MATCH($D$5,'Количество значений'!$A$2:$A$86,0),INDEX('Каталог поиска'!$D$2:$D$998,$F91)),""))</f>
        <v>4</v>
      </c>
      <c r="F91">
        <f>IFERROR(MATCH(79,'Каталог поиска'!$F$2:$F$998,0),"")</f>
        <v>79</v>
      </c>
    </row>
    <row r="92" spans="1:6" ht="36" customHeight="1">
      <c r="A92">
        <f>IF(F92="","",80)</f>
        <v>80</v>
      </c>
      <c r="B92" s="6" t="str">
        <f>IF($F92="","",INDEX('Каталог поиска'!$B$2:$B$998,$F92))</f>
        <v>Gum band item</v>
      </c>
      <c r="C92" s="6" t="str">
        <f>IF($F92="","",INDEX('Каталог поиска'!$C$2:$C$998,$F92))</f>
        <v>CB</v>
      </c>
      <c r="D92" s="7">
        <f>IF(OR($F92="",E92=0,INDEX('Каталог поиска'!$D$2:$D$998,$F92)=0),"",IFERROR(INDEX('По размерам'!$A$2:$TY$86,MATCH($D$5,'По размерам'!$A$2:$A$86,0),INDEX('Каталог поиска'!$D$2:$D$998,$F92)),""))</f>
        <v/>
      </c>
      <c r="E92">
        <f>IF(OR($F92="",INDEX('Каталог поиска'!$D$2:$D$998,$F92)=0),"",IFERROR(INDEX('Количество значений'!$A$2:$TY$86,MATCH($D$5,'Количество значений'!$A$2:$A$86,0),INDEX('Каталог поиска'!$D$2:$D$998,$F92)),""))</f>
        <v/>
      </c>
      <c r="F92">
        <f>IFERROR(MATCH(80,'Каталог поиска'!$F$2:$F$998,0),"")</f>
        <v>80</v>
      </c>
    </row>
    <row r="93" spans="1:6" ht="36" customHeight="1">
      <c r="A93">
        <f>IF(F93="","",81)</f>
        <v>81</v>
      </c>
      <c r="B93" s="6" t="str">
        <f>IF($F93="","",INDEX('Каталог поиска'!$B$2:$B$998,$F93))</f>
        <v>Gum band item (temp)</v>
      </c>
      <c r="C93" s="6" t="str">
        <f>IF($F93="","",INDEX('Каталог поиска'!$C$2:$C$998,$F93))</f>
        <v>CC</v>
      </c>
      <c r="D93" s="7">
        <f>IF(OR($F93="",E93=0,INDEX('Каталог поиска'!$D$2:$D$998,$F93)=0),"",IFERROR(INDEX('По размерам'!$A$2:$TY$86,MATCH($D$5,'По размерам'!$A$2:$A$86,0),INDEX('Каталог поиска'!$D$2:$D$998,$F93)),""))</f>
        <v/>
      </c>
      <c r="E93">
        <f>IF(OR($F93="",INDEX('Каталог поиска'!$D$2:$D$998,$F93)=0),"",IFERROR(INDEX('Количество значений'!$A$2:$TY$86,MATCH($D$5,'Количество значений'!$A$2:$A$86,0),INDEX('Каталог поиска'!$D$2:$D$998,$F93)),""))</f>
        <v/>
      </c>
      <c r="F93">
        <f>IFERROR(MATCH(81,'Каталог поиска'!$F$2:$F$998,0),"")</f>
        <v>81</v>
      </c>
    </row>
    <row r="94" spans="1:6" ht="36" customHeight="1">
      <c r="A94">
        <f>IF(F94="","",82)</f>
        <v>82</v>
      </c>
      <c r="B94" s="6" t="str">
        <f>IF($F94="","",INDEX('Каталог поиска'!$B$2:$B$998,$F94))</f>
        <v>Gum band width</v>
      </c>
      <c r="C94" s="6" t="str">
        <f>IF($F94="","",INDEX('Каталог поиска'!$C$2:$C$998,$F94))</f>
        <v>CD</v>
      </c>
      <c r="D94" s="7">
        <f>IF(OR($F94="",E94=0,INDEX('Каталог поиска'!$D$2:$D$998,$F94)=0),"",IFERROR(INDEX('По размерам'!$A$2:$TY$86,MATCH($D$5,'По размерам'!$A$2:$A$86,0),INDEX('Каталог поиска'!$D$2:$D$998,$F94)),""))</f>
        <v>369</v>
      </c>
      <c r="E94">
        <f>IF(OR($F94="",INDEX('Каталог поиска'!$D$2:$D$998,$F94)=0),"",IFERROR(INDEX('Количество значений'!$A$2:$TY$86,MATCH($D$5,'Количество значений'!$A$2:$A$86,0),INDEX('Каталог поиска'!$D$2:$D$998,$F94)),""))</f>
        <v>4</v>
      </c>
      <c r="F94">
        <f>IFERROR(MATCH(82,'Каталог поиска'!$F$2:$F$998,0),"")</f>
        <v>82</v>
      </c>
    </row>
    <row r="95" spans="1:6" ht="36" customHeight="1">
      <c r="A95">
        <f>IF(F95="","",83)</f>
        <v>83</v>
      </c>
      <c r="B95" s="6" t="str">
        <f>IF($F95="","",INDEX('Каталог поиска'!$B$2:$B$998,$F95))</f>
        <v>S/W gum band item</v>
      </c>
      <c r="C95" s="6" t="str">
        <f>IF($F95="","",INDEX('Каталог поиска'!$C$2:$C$998,$F95))</f>
        <v>CE</v>
      </c>
      <c r="D95" s="7">
        <f>IF(OR($F95="",E95=0,INDEX('Каталог поиска'!$D$2:$D$998,$F95)=0),"",IFERROR(INDEX('По размерам'!$A$2:$TY$86,MATCH($D$5,'По размерам'!$A$2:$A$86,0),INDEX('Каталог поиска'!$D$2:$D$998,$F95)),""))</f>
        <v/>
      </c>
      <c r="E95">
        <f>IF(OR($F95="",INDEX('Каталог поиска'!$D$2:$D$998,$F95)=0),"",IFERROR(INDEX('Количество значений'!$A$2:$TY$86,MATCH($D$5,'Количество значений'!$A$2:$A$86,0),INDEX('Каталог поиска'!$D$2:$D$998,$F95)),""))</f>
        <v/>
      </c>
      <c r="F95">
        <f>IFERROR(MATCH(83,'Каталог поиска'!$F$2:$F$998,0),"")</f>
        <v>83</v>
      </c>
    </row>
    <row r="96" spans="1:6" ht="36" customHeight="1">
      <c r="A96">
        <f>IF(F96="","",84)</f>
        <v>84</v>
      </c>
      <c r="B96" s="6" t="str">
        <f>IF($F96="","",INDEX('Каталог поиска'!$B$2:$B$998,$F96))</f>
        <v>S/W gum band width</v>
      </c>
      <c r="C96" s="6" t="str">
        <f>IF($F96="","",INDEX('Каталог поиска'!$C$2:$C$998,$F96))</f>
        <v>CF</v>
      </c>
      <c r="D96" s="7">
        <f>IF(OR($F96="",E96=0,INDEX('Каталог поиска'!$D$2:$D$998,$F96)=0),"",IFERROR(INDEX('По размерам'!$A$2:$TY$86,MATCH($D$5,'По размерам'!$A$2:$A$86,0),INDEX('Каталог поиска'!$D$2:$D$998,$F96)),""))</f>
        <v>15</v>
      </c>
      <c r="E96">
        <f>IF(OR($F96="",INDEX('Каталог поиска'!$D$2:$D$998,$F96)=0),"",IFERROR(INDEX('Количество значений'!$A$2:$TY$86,MATCH($D$5,'Количество значений'!$A$2:$A$86,0),INDEX('Каталог поиска'!$D$2:$D$998,$F96)),""))</f>
        <v>4</v>
      </c>
      <c r="F96">
        <f>IFERROR(MATCH(84,'Каталог поиска'!$F$2:$F$998,0),"")</f>
        <v>84</v>
      </c>
    </row>
    <row r="97" spans="1:6" ht="36" customHeight="1">
      <c r="A97">
        <f>IF(F97="","",85)</f>
        <v>85</v>
      </c>
      <c r="B97" s="6" t="str">
        <f>IF($F97="","",INDEX('Каталог поиска'!$B$2:$B$998,$F97))</f>
        <v>Spacer item</v>
      </c>
      <c r="C97" s="6" t="str">
        <f>IF($F97="","",INDEX('Каталог поиска'!$C$2:$C$998,$F97))</f>
        <v>CG</v>
      </c>
      <c r="D97" s="7">
        <f>IF(OR($F97="",E97=0,INDEX('Каталог поиска'!$D$2:$D$998,$F97)=0),"",IFERROR(INDEX('По размерам'!$A$2:$TY$86,MATCH($D$5,'По размерам'!$A$2:$A$86,0),INDEX('Каталог поиска'!$D$2:$D$998,$F97)),""))</f>
        <v/>
      </c>
      <c r="E97">
        <f>IF(OR($F97="",INDEX('Каталог поиска'!$D$2:$D$998,$F97)=0),"",IFERROR(INDEX('Количество значений'!$A$2:$TY$86,MATCH($D$5,'Количество значений'!$A$2:$A$86,0),INDEX('Каталог поиска'!$D$2:$D$998,$F97)),""))</f>
        <v/>
      </c>
      <c r="F97">
        <f>IFERROR(MATCH(85,'Каталог поиска'!$F$2:$F$998,0),"")</f>
        <v>85</v>
      </c>
    </row>
    <row r="98" spans="1:6" ht="36" customHeight="1">
      <c r="A98">
        <f>IF(F98="","",86)</f>
        <v>86</v>
      </c>
      <c r="B98" s="6" t="str">
        <f>IF($F98="","",INDEX('Каталог поиска'!$B$2:$B$998,$F98))</f>
        <v>Spacer item tepm.</v>
      </c>
      <c r="C98" s="6" t="str">
        <f>IF($F98="","",INDEX('Каталог поиска'!$C$2:$C$998,$F98))</f>
        <v>CH</v>
      </c>
      <c r="D98" s="7">
        <f>IF(OR($F98="",E98=0,INDEX('Каталог поиска'!$D$2:$D$998,$F98)=0),"",IFERROR(INDEX('По размерам'!$A$2:$TY$86,MATCH($D$5,'По размерам'!$A$2:$A$86,0),INDEX('Каталог поиска'!$D$2:$D$998,$F98)),""))</f>
        <v/>
      </c>
      <c r="E98">
        <f>IF(OR($F98="",INDEX('Каталог поиска'!$D$2:$D$998,$F98)=0),"",IFERROR(INDEX('Количество значений'!$A$2:$TY$86,MATCH($D$5,'Количество значений'!$A$2:$A$86,0),INDEX('Каталог поиска'!$D$2:$D$998,$F98)),""))</f>
        <v/>
      </c>
      <c r="F98">
        <f>IFERROR(MATCH(86,'Каталог поиска'!$F$2:$F$998,0),"")</f>
        <v>86</v>
      </c>
    </row>
    <row r="99" spans="1:6" ht="36" customHeight="1">
      <c r="A99">
        <f>IF(F99="","",87)</f>
        <v>87</v>
      </c>
      <c r="B99" s="6" t="str">
        <f>IF($F99="","",INDEX('Каталог поиска'!$B$2:$B$998,$F99))</f>
        <v>Spacer width</v>
      </c>
      <c r="C99" s="6" t="str">
        <f>IF($F99="","",INDEX('Каталог поиска'!$C$2:$C$998,$F99))</f>
        <v>CI</v>
      </c>
      <c r="D99" s="7">
        <f>IF(OR($F99="",E99=0,INDEX('Каталог поиска'!$D$2:$D$998,$F99)=0),"",IFERROR(INDEX('По размерам'!$A$2:$TY$86,MATCH($D$5,'По размерам'!$A$2:$A$86,0),INDEX('Каталог поиска'!$D$2:$D$998,$F99)),""))</f>
        <v>72.5</v>
      </c>
      <c r="E99">
        <f>IF(OR($F99="",INDEX('Каталог поиска'!$D$2:$D$998,$F99)=0),"",IFERROR(INDEX('Количество значений'!$A$2:$TY$86,MATCH($D$5,'Количество значений'!$A$2:$A$86,0),INDEX('Каталог поиска'!$D$2:$D$998,$F99)),""))</f>
        <v>4</v>
      </c>
      <c r="F99">
        <f>IFERROR(MATCH(87,'Каталог поиска'!$F$2:$F$998,0),"")</f>
        <v>87</v>
      </c>
    </row>
    <row r="100" spans="1:6" ht="36" customHeight="1">
      <c r="A100">
        <f>IF(F100="","",88)</f>
        <v>88</v>
      </c>
      <c r="B100" s="6" t="str">
        <f>IF($F100="","",INDEX('Каталог поиска'!$B$2:$B$998,$F100))</f>
        <v>Drum circum (SIDE/IL)</v>
      </c>
      <c r="C100" s="6" t="str">
        <f>IF($F100="","",INDEX('Каталог поиска'!$C$2:$C$998,$F100))</f>
        <v>CJ</v>
      </c>
      <c r="D100" s="7">
        <f>IF(OR($F100="",E100=0,INDEX('Каталог поиска'!$D$2:$D$998,$F100)=0),"",IFERROR(INDEX('По размерам'!$A$2:$TY$86,MATCH($D$5,'По размерам'!$A$2:$A$86,0),INDEX('Каталог поиска'!$D$2:$D$998,$F100)),""))</f>
        <v>1050</v>
      </c>
      <c r="E100">
        <f>IF(OR($F100="",INDEX('Каталог поиска'!$D$2:$D$998,$F100)=0),"",IFERROR(INDEX('Количество значений'!$A$2:$TY$86,MATCH($D$5,'Количество значений'!$A$2:$A$86,0),INDEX('Каталог поиска'!$D$2:$D$998,$F100)),""))</f>
        <v>4</v>
      </c>
      <c r="F100">
        <f>IFERROR(MATCH(88,'Каталог поиска'!$F$2:$F$998,0),"")</f>
        <v>88</v>
      </c>
    </row>
    <row r="101" spans="1:6" ht="36" customHeight="1">
      <c r="A101">
        <f>IF(F101="","",89)</f>
        <v>89</v>
      </c>
      <c r="B101" s="6" t="str">
        <f>IF($F101="","",INDEX('Каталог поиска'!$B$2:$B$998,$F101))</f>
        <v>Drum circum (SIDE/IL) +/-</v>
      </c>
      <c r="C101" s="6" t="str">
        <f>IF($F101="","",INDEX('Каталог поиска'!$C$2:$C$998,$F101))</f>
        <v>CK</v>
      </c>
      <c r="D101" s="7">
        <f>IF(OR($F101="",E101=0,INDEX('Каталог поиска'!$D$2:$D$998,$F101)=0),"",IFERROR(INDEX('По размерам'!$A$2:$TY$86,MATCH($D$5,'По размерам'!$A$2:$A$86,0),INDEX('Каталог поиска'!$D$2:$D$998,$F101)),""))</f>
        <v>2</v>
      </c>
      <c r="E101">
        <f>IF(OR($F101="",INDEX('Каталог поиска'!$D$2:$D$998,$F101)=0),"",IFERROR(INDEX('Количество значений'!$A$2:$TY$86,MATCH($D$5,'Количество значений'!$A$2:$A$86,0),INDEX('Каталог поиска'!$D$2:$D$998,$F101)),""))</f>
        <v>4</v>
      </c>
      <c r="F101">
        <f>IFERROR(MATCH(89,'Каталог поиска'!$F$2:$F$998,0),"")</f>
        <v>89</v>
      </c>
    </row>
    <row r="102" spans="1:6" ht="36" customHeight="1">
      <c r="A102">
        <f>IF(F102="","",90)</f>
        <v>90</v>
      </c>
      <c r="B102" s="6" t="str">
        <f>IF($F102="","",INDEX('Каталог поиска'!$B$2:$B$998,$F102))</f>
        <v>Drum circum (MAX)</v>
      </c>
      <c r="C102" s="6" t="str">
        <f>IF($F102="","",INDEX('Каталог поиска'!$C$2:$C$998,$F102))</f>
        <v>CL</v>
      </c>
      <c r="D102" s="7">
        <f>IF(OR($F102="",E102=0,INDEX('Каталог поиска'!$D$2:$D$998,$F102)=0),"",IFERROR(INDEX('По размерам'!$A$2:$TY$86,MATCH($D$5,'По размерам'!$A$2:$A$86,0),INDEX('Каталог поиска'!$D$2:$D$998,$F102)),""))</f>
        <v>1144</v>
      </c>
      <c r="E102">
        <f>IF(OR($F102="",INDEX('Каталог поиска'!$D$2:$D$998,$F102)=0),"",IFERROR(INDEX('Количество значений'!$A$2:$TY$86,MATCH($D$5,'Количество значений'!$A$2:$A$86,0),INDEX('Каталог поиска'!$D$2:$D$998,$F102)),""))</f>
        <v>4</v>
      </c>
      <c r="F102">
        <f>IFERROR(MATCH(90,'Каталог поиска'!$F$2:$F$998,0),"")</f>
        <v>90</v>
      </c>
    </row>
    <row r="103" spans="1:6" ht="36" customHeight="1">
      <c r="A103">
        <f>IF(F103="","",91)</f>
        <v>91</v>
      </c>
      <c r="B103" s="6" t="str">
        <f>IF($F103="","",INDEX('Каталог поиска'!$B$2:$B$998,$F103))</f>
        <v>Drum circum (MAX) +/-</v>
      </c>
      <c r="C103" s="6" t="str">
        <f>IF($F103="","",INDEX('Каталог поиска'!$C$2:$C$998,$F103))</f>
        <v>CM</v>
      </c>
      <c r="D103" s="7">
        <f>IF(OR($F103="",E103=0,INDEX('Каталог поиска'!$D$2:$D$998,$F103)=0),"",IFERROR(INDEX('По размерам'!$A$2:$TY$86,MATCH($D$5,'По размерам'!$A$2:$A$86,0),INDEX('Каталог поиска'!$D$2:$D$998,$F103)),""))</f>
        <v>2</v>
      </c>
      <c r="E103">
        <f>IF(OR($F103="",INDEX('Каталог поиска'!$D$2:$D$998,$F103)=0),"",IFERROR(INDEX('Количество значений'!$A$2:$TY$86,MATCH($D$5,'Количество значений'!$A$2:$A$86,0),INDEX('Каталог поиска'!$D$2:$D$998,$F103)),""))</f>
        <v>4</v>
      </c>
      <c r="F103">
        <f>IFERROR(MATCH(91,'Каталог поиска'!$F$2:$F$998,0),"")</f>
        <v>91</v>
      </c>
    </row>
    <row r="104" spans="1:6" ht="36" customHeight="1">
      <c r="A104">
        <f>IF(F104="","",92)</f>
        <v>92</v>
      </c>
      <c r="B104" s="6" t="str">
        <f>IF($F104="","",INDEX('Каталог поиска'!$B$2:$B$998,$F104))</f>
        <v>Bead chuck flange</v>
      </c>
      <c r="C104" s="6" t="str">
        <f>IF($F104="","",INDEX('Каталог поиска'!$C$2:$C$998,$F104))</f>
        <v>CN</v>
      </c>
      <c r="D104" s="7">
        <f>IF(OR($F104="",E104=0,INDEX('Каталог поиска'!$D$2:$D$998,$F104)=0),"",IFERROR(INDEX('По размерам'!$A$2:$TY$86,MATCH($D$5,'По размерам'!$A$2:$A$86,0),INDEX('Каталог поиска'!$D$2:$D$998,$F104)),""))</f>
        <v/>
      </c>
      <c r="E104">
        <f>IF(OR($F104="",INDEX('Каталог поиска'!$D$2:$D$998,$F104)=0),"",IFERROR(INDEX('Количество значений'!$A$2:$TY$86,MATCH($D$5,'Количество значений'!$A$2:$A$86,0),INDEX('Каталог поиска'!$D$2:$D$998,$F104)),""))</f>
        <v/>
      </c>
      <c r="F104">
        <f>IFERROR(MATCH(92,'Каталог поиска'!$F$2:$F$998,0),"")</f>
        <v>92</v>
      </c>
    </row>
    <row r="105" spans="1:6" ht="36" customHeight="1">
      <c r="A105">
        <f>IF(F105="","",93)</f>
        <v>93</v>
      </c>
      <c r="B105" s="6" t="str">
        <f>IF($F105="","",INDEX('Каталог поиска'!$B$2:$B$998,$F105))</f>
        <v>Bead set holder</v>
      </c>
      <c r="C105" s="6" t="str">
        <f>IF($F105="","",INDEX('Каталог поиска'!$C$2:$C$998,$F105))</f>
        <v>CO</v>
      </c>
      <c r="D105" s="7">
        <f>IF(OR($F105="",E105=0,INDEX('Каталог поиска'!$D$2:$D$998,$F105)=0),"",IFERROR(INDEX('По размерам'!$A$2:$TY$86,MATCH($D$5,'По размерам'!$A$2:$A$86,0),INDEX('Каталог поиска'!$D$2:$D$998,$F105)),""))</f>
        <v/>
      </c>
      <c r="E105">
        <f>IF(OR($F105="",INDEX('Каталог поиска'!$D$2:$D$998,$F105)=0),"",IFERROR(INDEX('Количество значений'!$A$2:$TY$86,MATCH($D$5,'Количество значений'!$A$2:$A$86,0),INDEX('Каталог поиска'!$D$2:$D$998,$F105)),""))</f>
        <v/>
      </c>
      <c r="F105">
        <f>IFERROR(MATCH(93,'Каталог поиска'!$F$2:$F$998,0),"")</f>
        <v>93</v>
      </c>
    </row>
    <row r="106" spans="1:6" ht="36" customHeight="1">
      <c r="A106">
        <f>IF(F106="","",94)</f>
        <v>94</v>
      </c>
      <c r="B106" s="6" t="str">
        <f>IF($F106="","",INDEX('Каталог поиска'!$B$2:$B$998,$F106))</f>
        <v>Body ply edge holder</v>
      </c>
      <c r="C106" s="6" t="str">
        <f>IF($F106="","",INDEX('Каталог поиска'!$C$2:$C$998,$F106))</f>
        <v>CP</v>
      </c>
      <c r="D106" s="7">
        <f>IF(OR($F106="",E106=0,INDEX('Каталог поиска'!$D$2:$D$998,$F106)=0),"",IFERROR(INDEX('По размерам'!$A$2:$TY$86,MATCH($D$5,'По размерам'!$A$2:$A$86,0),INDEX('Каталог поиска'!$D$2:$D$998,$F106)),""))</f>
        <v/>
      </c>
      <c r="E106">
        <f>IF(OR($F106="",INDEX('Каталог поиска'!$D$2:$D$998,$F106)=0),"",IFERROR(INDEX('Количество значений'!$A$2:$TY$86,MATCH($D$5,'Количество значений'!$A$2:$A$86,0),INDEX('Каталог поиска'!$D$2:$D$998,$F106)),""))</f>
        <v/>
      </c>
      <c r="F106">
        <f>IFERROR(MATCH(94,'Каталог поиска'!$F$2:$F$998,0),"")</f>
        <v>94</v>
      </c>
    </row>
    <row r="107" spans="1:6" ht="36" customHeight="1">
      <c r="A107">
        <f>IF(F107="","",95)</f>
        <v>95</v>
      </c>
      <c r="B107" s="6" t="str">
        <f>IF($F107="","",INDEX('Каталог поиска'!$B$2:$B$998,$F107))</f>
        <v>Const No.</v>
      </c>
      <c r="C107" s="6" t="str">
        <f>IF($F107="","",INDEX('Каталог поиска'!$C$2:$C$998,$F107))</f>
        <v>CQ</v>
      </c>
      <c r="D107" s="7">
        <f>IF(OR($F107="",E107=0,INDEX('Каталог поиска'!$D$2:$D$998,$F107)=0),"",IFERROR(INDEX('По размерам'!$A$2:$TY$86,MATCH($D$5,'По размерам'!$A$2:$A$86,0),INDEX('Каталог поиска'!$D$2:$D$998,$F107)),""))</f>
        <v/>
      </c>
      <c r="E107">
        <f>IF(OR($F107="",INDEX('Каталог поиска'!$D$2:$D$998,$F107)=0),"",IFERROR(INDEX('Количество значений'!$A$2:$TY$86,MATCH($D$5,'Количество значений'!$A$2:$A$86,0),INDEX('Каталог поиска'!$D$2:$D$998,$F107)),""))</f>
        <v/>
      </c>
      <c r="F107">
        <f>IFERROR(MATCH(95,'Каталог поиска'!$F$2:$F$998,0),"")</f>
        <v>95</v>
      </c>
    </row>
    <row r="108" spans="1:6" ht="36" customHeight="1">
      <c r="A108">
        <f>IF(F108="","",96)</f>
        <v>96</v>
      </c>
      <c r="B108" s="6" t="str">
        <f>IF($F108="","",INDEX('Каталог поиска'!$B$2:$B$998,$F108))</f>
        <v>Tread layout</v>
      </c>
      <c r="C108" s="6" t="str">
        <f>IF($F108="","",INDEX('Каталог поиска'!$C$2:$C$998,$F108))</f>
        <v>CR</v>
      </c>
      <c r="D108" s="7">
        <f>IF(OR($F108="",E108=0,INDEX('Каталог поиска'!$D$2:$D$998,$F108)=0),"",IFERROR(INDEX('По размерам'!$A$2:$TY$86,MATCH($D$5,'По размерам'!$A$2:$A$86,0),INDEX('Каталог поиска'!$D$2:$D$998,$F108)),""))</f>
        <v/>
      </c>
      <c r="E108">
        <f>IF(OR($F108="",INDEX('Каталог поиска'!$D$2:$D$998,$F108)=0),"",IFERROR(INDEX('Количество значений'!$A$2:$TY$86,MATCH($D$5,'Количество значений'!$A$2:$A$86,0),INDEX('Каталог поиска'!$D$2:$D$998,$F108)),""))</f>
        <v/>
      </c>
      <c r="F108">
        <f>IFERROR(MATCH(96,'Каталог поиска'!$F$2:$F$998,0),"")</f>
        <v>96</v>
      </c>
    </row>
    <row r="109" spans="1:6" ht="36" customHeight="1">
      <c r="A109">
        <f>IF(F109="","",97)</f>
        <v>97</v>
      </c>
      <c r="B109" s="6" t="str">
        <f>IF($F109="","",INDEX('Каталог поиска'!$B$2:$B$998,$F109))</f>
        <v>IL treat(Comp) No.</v>
      </c>
      <c r="C109" s="6" t="str">
        <f>IF($F109="","",INDEX('Каталог поиска'!$C$2:$C$998,$F109))</f>
        <v>CS</v>
      </c>
      <c r="D109" s="7">
        <f>IF(OR($F109="",E109=0,INDEX('Каталог поиска'!$D$2:$D$998,$F109)=0),"",IFERROR(INDEX('По размерам'!$A$2:$TY$86,MATCH($D$5,'По размерам'!$A$2:$A$86,0),INDEX('Каталог поиска'!$D$2:$D$998,$F109)),""))</f>
        <v/>
      </c>
      <c r="E109">
        <f>IF(OR($F109="",INDEX('Каталог поиска'!$D$2:$D$998,$F109)=0),"",IFERROR(INDEX('Количество значений'!$A$2:$TY$86,MATCH($D$5,'Количество значений'!$A$2:$A$86,0),INDEX('Каталог поиска'!$D$2:$D$998,$F109)),""))</f>
        <v/>
      </c>
      <c r="F109">
        <f>IFERROR(MATCH(97,'Каталог поиска'!$F$2:$F$998,0),"")</f>
        <v>97</v>
      </c>
    </row>
    <row r="110" spans="1:6" ht="36" customHeight="1">
      <c r="A110">
        <f>IF(F110="","",98)</f>
        <v>98</v>
      </c>
      <c r="B110" s="6" t="str">
        <f>IF($F110="","",INDEX('Каталог поиска'!$B$2:$B$998,$F110))</f>
        <v>IL width</v>
      </c>
      <c r="C110" s="6" t="str">
        <f>IF($F110="","",INDEX('Каталог поиска'!$C$2:$C$998,$F110))</f>
        <v>CT</v>
      </c>
      <c r="D110" s="7">
        <f>IF(OR($F110="",E110=0,INDEX('Каталог поиска'!$D$2:$D$998,$F110)=0),"",IFERROR(INDEX('По размерам'!$A$2:$TY$86,MATCH($D$5,'По размерам'!$A$2:$A$86,0),INDEX('Каталог поиска'!$D$2:$D$998,$F110)),""))</f>
        <v>327.5</v>
      </c>
      <c r="E110">
        <f>IF(OR($F110="",INDEX('Каталог поиска'!$D$2:$D$998,$F110)=0),"",IFERROR(INDEX('Количество значений'!$A$2:$TY$86,MATCH($D$5,'Количество значений'!$A$2:$A$86,0),INDEX('Каталог поиска'!$D$2:$D$998,$F110)),""))</f>
        <v>4</v>
      </c>
      <c r="F110">
        <f>IFERROR(MATCH(98,'Каталог поиска'!$F$2:$F$998,0),"")</f>
        <v>98</v>
      </c>
    </row>
    <row r="111" spans="1:6" ht="36" customHeight="1">
      <c r="A111">
        <f>IF(F111="","",99)</f>
        <v>99</v>
      </c>
      <c r="B111" s="6" t="str">
        <f>IF($F111="","",INDEX('Каталог поиска'!$B$2:$B$998,$F111))</f>
        <v>IL width +/-</v>
      </c>
      <c r="C111" s="6" t="str">
        <f>IF($F111="","",INDEX('Каталог поиска'!$C$2:$C$998,$F111))</f>
        <v>CU</v>
      </c>
      <c r="D111" s="7">
        <f>IF(OR($F111="",E111=0,INDEX('Каталог поиска'!$D$2:$D$998,$F111)=0),"",IFERROR(INDEX('По размерам'!$A$2:$TY$86,MATCH($D$5,'По размерам'!$A$2:$A$86,0),INDEX('Каталог поиска'!$D$2:$D$998,$F111)),""))</f>
        <v>5</v>
      </c>
      <c r="E111">
        <f>IF(OR($F111="",INDEX('Каталог поиска'!$D$2:$D$998,$F111)=0),"",IFERROR(INDEX('Количество значений'!$A$2:$TY$86,MATCH($D$5,'Количество значений'!$A$2:$A$86,0),INDEX('Каталог поиска'!$D$2:$D$998,$F111)),""))</f>
        <v>4</v>
      </c>
      <c r="F111">
        <f>IFERROR(MATCH(99,'Каталог поиска'!$F$2:$F$998,0),"")</f>
        <v>99</v>
      </c>
    </row>
    <row r="112" spans="1:6" ht="36" customHeight="1">
      <c r="A112">
        <f>IF(F112="","",100)</f>
        <v>100</v>
      </c>
      <c r="B112" s="6" t="str">
        <f>IF($F112="","",INDEX('Каталог поиска'!$B$2:$B$998,$F112))</f>
        <v>IL Angle gauge</v>
      </c>
      <c r="C112" s="6" t="str">
        <f>IF($F112="","",INDEX('Каталог поиска'!$C$2:$C$998,$F112))</f>
        <v>CV</v>
      </c>
      <c r="D112" s="7">
        <f>IF(OR($F112="",E112=0,INDEX('Каталог поиска'!$D$2:$D$998,$F112)=0),"",IFERROR(INDEX('По размерам'!$A$2:$TY$86,MATCH($D$5,'По размерам'!$A$2:$A$86,0),INDEX('Каталог поиска'!$D$2:$D$998,$F112)),""))</f>
        <v>1.2</v>
      </c>
      <c r="E112">
        <f>IF(OR($F112="",INDEX('Каталог поиска'!$D$2:$D$998,$F112)=0),"",IFERROR(INDEX('Количество значений'!$A$2:$TY$86,MATCH($D$5,'Количество значений'!$A$2:$A$86,0),INDEX('Каталог поиска'!$D$2:$D$998,$F112)),""))</f>
        <v>4</v>
      </c>
      <c r="F112">
        <f>IFERROR(MATCH(100,'Каталог поиска'!$F$2:$F$998,0),"")</f>
        <v>100</v>
      </c>
    </row>
    <row r="113" spans="1:6" ht="36" customHeight="1">
      <c r="A113">
        <f>IF(F113="","",101)</f>
        <v>101</v>
      </c>
      <c r="B113" s="6" t="str">
        <f>IF($F113="","",INDEX('Каталог поиска'!$B$2:$B$998,$F113))</f>
        <v>IL Length circum</v>
      </c>
      <c r="C113" s="6" t="str">
        <f>IF($F113="","",INDEX('Каталог поиска'!$C$2:$C$998,$F113))</f>
        <v>CW</v>
      </c>
      <c r="D113" s="7">
        <f>IF(OR($F113="",E113=0,INDEX('Каталог поиска'!$D$2:$D$998,$F113)=0),"",IFERROR(INDEX('По размерам'!$A$2:$TY$86,MATCH($D$5,'По размерам'!$A$2:$A$86,0),INDEX('Каталог поиска'!$D$2:$D$998,$F113)),""))</f>
        <v>1064</v>
      </c>
      <c r="E113">
        <f>IF(OR($F113="",INDEX('Каталог поиска'!$D$2:$D$998,$F113)=0),"",IFERROR(INDEX('Количество значений'!$A$2:$TY$86,MATCH($D$5,'Количество значений'!$A$2:$A$86,0),INDEX('Каталог поиска'!$D$2:$D$998,$F113)),""))</f>
        <v>4</v>
      </c>
      <c r="F113">
        <f>IFERROR(MATCH(101,'Каталог поиска'!$F$2:$F$998,0),"")</f>
        <v>101</v>
      </c>
    </row>
    <row r="114" spans="1:6" ht="36" customHeight="1">
      <c r="A114">
        <f>IF(F114="","",102)</f>
        <v>102</v>
      </c>
      <c r="B114" s="6" t="str">
        <f>IF($F114="","",INDEX('Каталог поиска'!$B$2:$B$998,$F114))</f>
        <v>IL Mass</v>
      </c>
      <c r="C114" s="6" t="str">
        <f>IF($F114="","",INDEX('Каталог поиска'!$C$2:$C$998,$F114))</f>
        <v>CX</v>
      </c>
      <c r="D114" s="7">
        <f>IF(OR($F114="",E114=0,INDEX('Каталог поиска'!$D$2:$D$998,$F114)=0),"",IFERROR(INDEX('По размерам'!$A$2:$TY$86,MATCH($D$5,'По размерам'!$A$2:$A$86,0),INDEX('Каталог поиска'!$D$2:$D$998,$F114)),""))</f>
        <v>493</v>
      </c>
      <c r="E114">
        <f>IF(OR($F114="",INDEX('Каталог поиска'!$D$2:$D$998,$F114)=0),"",IFERROR(INDEX('Количество значений'!$A$2:$TY$86,MATCH($D$5,'Количество значений'!$A$2:$A$86,0),INDEX('Каталог поиска'!$D$2:$D$998,$F114)),""))</f>
        <v>4</v>
      </c>
      <c r="F114">
        <f>IFERROR(MATCH(102,'Каталог поиска'!$F$2:$F$998,0),"")</f>
        <v>102</v>
      </c>
    </row>
    <row r="115" spans="1:6" ht="36" customHeight="1">
      <c r="A115">
        <f>IF(F115="","",103)</f>
        <v>103</v>
      </c>
      <c r="B115" s="6" t="str">
        <f>IF($F115="","",INDEX('Каталог поиска'!$B$2:$B$998,$F115))</f>
        <v>CCH treat(Comp) No.</v>
      </c>
      <c r="C115" s="6" t="str">
        <f>IF($F115="","",INDEX('Каталог поиска'!$C$2:$C$998,$F115))</f>
        <v>CY</v>
      </c>
      <c r="D115" s="7">
        <f>IF(OR($F115="",E115=0,INDEX('Каталог поиска'!$D$2:$D$998,$F115)=0),"",IFERROR(INDEX('По размерам'!$A$2:$TY$86,MATCH($D$5,'По размерам'!$A$2:$A$86,0),INDEX('Каталог поиска'!$D$2:$D$998,$F115)),""))</f>
        <v/>
      </c>
      <c r="E115">
        <f>IF(OR($F115="",INDEX('Каталог поиска'!$D$2:$D$998,$F115)=0),"",IFERROR(INDEX('Количество значений'!$A$2:$TY$86,MATCH($D$5,'Количество значений'!$A$2:$A$86,0),INDEX('Каталог поиска'!$D$2:$D$998,$F115)),""))</f>
        <v/>
      </c>
      <c r="F115">
        <f>IFERROR(MATCH(103,'Каталог поиска'!$F$2:$F$998,0),"")</f>
        <v>103</v>
      </c>
    </row>
    <row r="116" spans="1:6" ht="36" customHeight="1">
      <c r="A116">
        <f>IF(F116="","",104)</f>
        <v>104</v>
      </c>
      <c r="B116" s="6" t="str">
        <f>IF($F116="","",INDEX('Каталог поиска'!$B$2:$B$998,$F116))</f>
        <v>CCH width</v>
      </c>
      <c r="C116" s="6" t="str">
        <f>IF($F116="","",INDEX('Каталог поиска'!$C$2:$C$998,$F116))</f>
        <v>CZ</v>
      </c>
      <c r="D116" s="7">
        <f>IF(OR($F116="",E116=0,INDEX('Каталог поиска'!$D$2:$D$998,$F116)=0),"",IFERROR(INDEX('По размерам'!$A$2:$TY$86,MATCH($D$5,'По размерам'!$A$2:$A$86,0),INDEX('Каталог поиска'!$D$2:$D$998,$F116)),""))</f>
        <v/>
      </c>
      <c r="E116">
        <f>IF(OR($F116="",INDEX('Каталог поиска'!$D$2:$D$998,$F116)=0),"",IFERROR(INDEX('Количество значений'!$A$2:$TY$86,MATCH($D$5,'Количество значений'!$A$2:$A$86,0),INDEX('Каталог поиска'!$D$2:$D$998,$F116)),""))</f>
        <v>0</v>
      </c>
      <c r="F116">
        <f>IFERROR(MATCH(104,'Каталог поиска'!$F$2:$F$998,0),"")</f>
        <v>104</v>
      </c>
    </row>
    <row r="117" spans="1:6" ht="36" customHeight="1">
      <c r="A117">
        <f>IF(F117="","",105)</f>
        <v>105</v>
      </c>
      <c r="B117" s="6" t="str">
        <f>IF($F117="","",INDEX('Каталог поиска'!$B$2:$B$998,$F117))</f>
        <v>CCH width +/-</v>
      </c>
      <c r="C117" s="6" t="str">
        <f>IF($F117="","",INDEX('Каталог поиска'!$C$2:$C$998,$F117))</f>
        <v>DA</v>
      </c>
      <c r="D117" s="7">
        <f>IF(OR($F117="",E117=0,INDEX('Каталог поиска'!$D$2:$D$998,$F117)=0),"",IFERROR(INDEX('По размерам'!$A$2:$TY$86,MATCH($D$5,'По размерам'!$A$2:$A$86,0),INDEX('Каталог поиска'!$D$2:$D$998,$F117)),""))</f>
        <v/>
      </c>
      <c r="E117">
        <f>IF(OR($F117="",INDEX('Каталог поиска'!$D$2:$D$998,$F117)=0),"",IFERROR(INDEX('Количество значений'!$A$2:$TY$86,MATCH($D$5,'Количество значений'!$A$2:$A$86,0),INDEX('Каталог поиска'!$D$2:$D$998,$F117)),""))</f>
        <v>0</v>
      </c>
      <c r="F117">
        <f>IFERROR(MATCH(105,'Каталог поиска'!$F$2:$F$998,0),"")</f>
        <v>105</v>
      </c>
    </row>
    <row r="118" spans="1:6" ht="36" customHeight="1">
      <c r="A118">
        <f>IF(F118="","",106)</f>
        <v>106</v>
      </c>
      <c r="B118" s="6" t="str">
        <f>IF($F118="","",INDEX('Каталог поиска'!$B$2:$B$998,$F118))</f>
        <v>CCH gauge</v>
      </c>
      <c r="C118" s="6" t="str">
        <f>IF($F118="","",INDEX('Каталог поиска'!$C$2:$C$998,$F118))</f>
        <v>DB</v>
      </c>
      <c r="D118" s="7">
        <f>IF(OR($F118="",E118=0,INDEX('Каталог поиска'!$D$2:$D$998,$F118)=0),"",IFERROR(INDEX('По размерам'!$A$2:$TY$86,MATCH($D$5,'По размерам'!$A$2:$A$86,0),INDEX('Каталог поиска'!$D$2:$D$998,$F118)),""))</f>
        <v/>
      </c>
      <c r="E118">
        <f>IF(OR($F118="",INDEX('Каталог поиска'!$D$2:$D$998,$F118)=0),"",IFERROR(INDEX('Количество значений'!$A$2:$TY$86,MATCH($D$5,'Количество значений'!$A$2:$A$86,0),INDEX('Каталог поиска'!$D$2:$D$998,$F118)),""))</f>
        <v>0</v>
      </c>
      <c r="F118">
        <f>IFERROR(MATCH(106,'Каталог поиска'!$F$2:$F$998,0),"")</f>
        <v>106</v>
      </c>
    </row>
    <row r="119" spans="1:6" ht="36" customHeight="1">
      <c r="A119">
        <f>IF(F119="","",107)</f>
        <v>107</v>
      </c>
      <c r="B119" s="6" t="str">
        <f>IF($F119="","",INDEX('Каталог поиска'!$B$2:$B$998,$F119))</f>
        <v>CCH Length circum</v>
      </c>
      <c r="C119" s="6" t="str">
        <f>IF($F119="","",INDEX('Каталог поиска'!$C$2:$C$998,$F119))</f>
        <v>DC</v>
      </c>
      <c r="D119" s="7">
        <f>IF(OR($F119="",E119=0,INDEX('Каталог поиска'!$D$2:$D$998,$F119)=0),"",IFERROR(INDEX('По размерам'!$A$2:$TY$86,MATCH($D$5,'По размерам'!$A$2:$A$86,0),INDEX('Каталог поиска'!$D$2:$D$998,$F119)),""))</f>
        <v/>
      </c>
      <c r="E119">
        <f>IF(OR($F119="",INDEX('Каталог поиска'!$D$2:$D$998,$F119)=0),"",IFERROR(INDEX('Количество значений'!$A$2:$TY$86,MATCH($D$5,'Количество значений'!$A$2:$A$86,0),INDEX('Каталог поиска'!$D$2:$D$998,$F119)),""))</f>
        <v>0</v>
      </c>
      <c r="F119">
        <f>IFERROR(MATCH(107,'Каталог поиска'!$F$2:$F$998,0),"")</f>
        <v>107</v>
      </c>
    </row>
    <row r="120" spans="1:6" ht="36" customHeight="1">
      <c r="A120">
        <f>IF(F120="","",108)</f>
        <v>108</v>
      </c>
      <c r="B120" s="6" t="str">
        <f>IF($F120="","",INDEX('Каталог поиска'!$B$2:$B$998,$F120))</f>
        <v>CCH Mass</v>
      </c>
      <c r="C120" s="6" t="str">
        <f>IF($F120="","",INDEX('Каталог поиска'!$C$2:$C$998,$F120))</f>
        <v>DD</v>
      </c>
      <c r="D120" s="7">
        <f>IF(OR($F120="",E120=0,INDEX('Каталог поиска'!$D$2:$D$998,$F120)=0),"",IFERROR(INDEX('По размерам'!$A$2:$TY$86,MATCH($D$5,'По размерам'!$A$2:$A$86,0),INDEX('Каталог поиска'!$D$2:$D$998,$F120)),""))</f>
        <v>0</v>
      </c>
      <c r="E120">
        <f>IF(OR($F120="",INDEX('Каталог поиска'!$D$2:$D$998,$F120)=0),"",IFERROR(INDEX('Количество значений'!$A$2:$TY$86,MATCH($D$5,'Количество значений'!$A$2:$A$86,0),INDEX('Каталог поиска'!$D$2:$D$998,$F120)),""))</f>
        <v>4</v>
      </c>
      <c r="F120">
        <f>IFERROR(MATCH(108,'Каталог поиска'!$F$2:$F$998,0),"")</f>
        <v>108</v>
      </c>
    </row>
    <row r="121" spans="1:6" ht="36" customHeight="1">
      <c r="A121">
        <f>IF(F121="","",109)</f>
        <v>109</v>
      </c>
      <c r="B121" s="6" t="str">
        <f>IF($F121="","",INDEX('Каталог поиска'!$B$2:$B$998,$F121))</f>
        <v>1P treat(Comp) No.</v>
      </c>
      <c r="C121" s="6" t="str">
        <f>IF($F121="","",INDEX('Каталог поиска'!$C$2:$C$998,$F121))</f>
        <v>DE</v>
      </c>
      <c r="D121" s="7">
        <f>IF(OR($F121="",E121=0,INDEX('Каталог поиска'!$D$2:$D$998,$F121)=0),"",IFERROR(INDEX('По размерам'!$A$2:$TY$86,MATCH($D$5,'По размерам'!$A$2:$A$86,0),INDEX('Каталог поиска'!$D$2:$D$998,$F121)),""))</f>
        <v/>
      </c>
      <c r="E121">
        <f>IF(OR($F121="",INDEX('Каталог поиска'!$D$2:$D$998,$F121)=0),"",IFERROR(INDEX('Количество значений'!$A$2:$TY$86,MATCH($D$5,'Количество значений'!$A$2:$A$86,0),INDEX('Каталог поиска'!$D$2:$D$998,$F121)),""))</f>
        <v/>
      </c>
      <c r="F121">
        <f>IFERROR(MATCH(109,'Каталог поиска'!$F$2:$F$998,0),"")</f>
        <v>109</v>
      </c>
    </row>
    <row r="122" spans="1:6" ht="36" customHeight="1">
      <c r="A122">
        <f>IF(F122="","",110)</f>
        <v>110</v>
      </c>
      <c r="B122" s="6" t="str">
        <f>IF($F122="","",INDEX('Каталог поиска'!$B$2:$B$998,$F122))</f>
        <v>1P width</v>
      </c>
      <c r="C122" s="6" t="str">
        <f>IF($F122="","",INDEX('Каталог поиска'!$C$2:$C$998,$F122))</f>
        <v>DF</v>
      </c>
      <c r="D122" s="7">
        <f>IF(OR($F122="",E122=0,INDEX('Каталог поиска'!$D$2:$D$998,$F122)=0),"",IFERROR(INDEX('По размерам'!$A$2:$TY$86,MATCH($D$5,'По размерам'!$A$2:$A$86,0),INDEX('Каталог поиска'!$D$2:$D$998,$F122)),""))</f>
        <v>478.75</v>
      </c>
      <c r="E122">
        <f>IF(OR($F122="",INDEX('Каталог поиска'!$D$2:$D$998,$F122)=0),"",IFERROR(INDEX('Количество значений'!$A$2:$TY$86,MATCH($D$5,'Количество значений'!$A$2:$A$86,0),INDEX('Каталог поиска'!$D$2:$D$998,$F122)),""))</f>
        <v>4</v>
      </c>
      <c r="F122">
        <f>IFERROR(MATCH(110,'Каталог поиска'!$F$2:$F$998,0),"")</f>
        <v>110</v>
      </c>
    </row>
    <row r="123" spans="1:6" ht="36" customHeight="1">
      <c r="A123">
        <f>IF(F123="","",111)</f>
        <v>111</v>
      </c>
      <c r="B123" s="6" t="str">
        <f>IF($F123="","",INDEX('Каталог поиска'!$B$2:$B$998,$F123))</f>
        <v>1P width +/-</v>
      </c>
      <c r="C123" s="6" t="str">
        <f>IF($F123="","",INDEX('Каталог поиска'!$C$2:$C$998,$F123))</f>
        <v>DG</v>
      </c>
      <c r="D123" s="7">
        <f>IF(OR($F123="",E123=0,INDEX('Каталог поиска'!$D$2:$D$998,$F123)=0),"",IFERROR(INDEX('По размерам'!$A$2:$TY$86,MATCH($D$5,'По размерам'!$A$2:$A$86,0),INDEX('Каталог поиска'!$D$2:$D$998,$F123)),""))</f>
        <v>3</v>
      </c>
      <c r="E123">
        <f>IF(OR($F123="",INDEX('Каталог поиска'!$D$2:$D$998,$F123)=0),"",IFERROR(INDEX('Количество значений'!$A$2:$TY$86,MATCH($D$5,'Количество значений'!$A$2:$A$86,0),INDEX('Каталог поиска'!$D$2:$D$998,$F123)),""))</f>
        <v>4</v>
      </c>
      <c r="F123">
        <f>IFERROR(MATCH(111,'Каталог поиска'!$F$2:$F$998,0),"")</f>
        <v>111</v>
      </c>
    </row>
    <row r="124" spans="1:6" ht="36" customHeight="1">
      <c r="A124">
        <f>IF(F124="","",112)</f>
        <v>112</v>
      </c>
      <c r="B124" s="6" t="str">
        <f>IF($F124="","",INDEX('Каталог поиска'!$B$2:$B$998,$F124))</f>
        <v>1P gauge</v>
      </c>
      <c r="C124" s="6" t="str">
        <f>IF($F124="","",INDEX('Каталог поиска'!$C$2:$C$998,$F124))</f>
        <v>DH</v>
      </c>
      <c r="D124" s="7">
        <f>IF(OR($F124="",E124=0,INDEX('Каталог поиска'!$D$2:$D$998,$F124)=0),"",IFERROR(INDEX('По размерам'!$A$2:$TY$86,MATCH($D$5,'По размерам'!$A$2:$A$86,0),INDEX('Каталог поиска'!$D$2:$D$998,$F124)),""))</f>
        <v>1.18</v>
      </c>
      <c r="E124">
        <f>IF(OR($F124="",INDEX('Каталог поиска'!$D$2:$D$998,$F124)=0),"",IFERROR(INDEX('Количество значений'!$A$2:$TY$86,MATCH($D$5,'Количество значений'!$A$2:$A$86,0),INDEX('Каталог поиска'!$D$2:$D$998,$F124)),""))</f>
        <v>4</v>
      </c>
      <c r="F124">
        <f>IFERROR(MATCH(112,'Каталог поиска'!$F$2:$F$998,0),"")</f>
        <v>112</v>
      </c>
    </row>
    <row r="125" spans="1:6" ht="36" customHeight="1">
      <c r="A125">
        <f>IF(F125="","",113)</f>
        <v>113</v>
      </c>
      <c r="B125" s="6" t="str">
        <f>IF($F125="","",INDEX('Каталог поиска'!$B$2:$B$998,$F125))</f>
        <v>1P Length circum</v>
      </c>
      <c r="C125" s="6" t="str">
        <f>IF($F125="","",INDEX('Каталог поиска'!$C$2:$C$998,$F125))</f>
        <v>DI</v>
      </c>
      <c r="D125" s="7">
        <f>IF(OR($F125="",E125=0,INDEX('Каталог поиска'!$D$2:$D$998,$F125)=0),"",IFERROR(INDEX('По размерам'!$A$2:$TY$86,MATCH($D$5,'По размерам'!$A$2:$A$86,0),INDEX('Каталог поиска'!$D$2:$D$998,$F125)),""))</f>
        <v>1062</v>
      </c>
      <c r="E125">
        <f>IF(OR($F125="",INDEX('Каталог поиска'!$D$2:$D$998,$F125)=0),"",IFERROR(INDEX('Количество значений'!$A$2:$TY$86,MATCH($D$5,'Количество значений'!$A$2:$A$86,0),INDEX('Каталог поиска'!$D$2:$D$998,$F125)),""))</f>
        <v>4</v>
      </c>
      <c r="F125">
        <f>IFERROR(MATCH(113,'Каталог поиска'!$F$2:$F$998,0),"")</f>
        <v>113</v>
      </c>
    </row>
    <row r="126" spans="1:6" ht="36" customHeight="1">
      <c r="A126">
        <f>IF(F126="","",114)</f>
        <v>114</v>
      </c>
      <c r="B126" s="6" t="str">
        <f>IF($F126="","",INDEX('Каталог поиска'!$B$2:$B$998,$F126))</f>
        <v>1P Mass</v>
      </c>
      <c r="C126" s="6" t="str">
        <f>IF($F126="","",INDEX('Каталог поиска'!$C$2:$C$998,$F126))</f>
        <v>DJ</v>
      </c>
      <c r="D126" s="7">
        <f>IF(OR($F126="",E126=0,INDEX('Каталог поиска'!$D$2:$D$998,$F126)=0),"",IFERROR(INDEX('По размерам'!$A$2:$TY$86,MATCH($D$5,'По размерам'!$A$2:$A$86,0),INDEX('Каталог поиска'!$D$2:$D$998,$F126)),""))</f>
        <v>822</v>
      </c>
      <c r="E126">
        <f>IF(OR($F126="",INDEX('Каталог поиска'!$D$2:$D$998,$F126)=0),"",IFERROR(INDEX('Количество значений'!$A$2:$TY$86,MATCH($D$5,'Количество значений'!$A$2:$A$86,0),INDEX('Каталог поиска'!$D$2:$D$998,$F126)),""))</f>
        <v>4</v>
      </c>
      <c r="F126">
        <f>IFERROR(MATCH(114,'Каталог поиска'!$F$2:$F$998,0),"")</f>
        <v>114</v>
      </c>
    </row>
    <row r="127" spans="1:6" ht="36" customHeight="1">
      <c r="A127">
        <f>IF(F127="","",115)</f>
        <v>115</v>
      </c>
      <c r="B127" s="6" t="str">
        <f>IF($F127="","",INDEX('Каталог поиска'!$B$2:$B$998,$F127))</f>
        <v>2P treat(Comp) No.</v>
      </c>
      <c r="C127" s="6" t="str">
        <f>IF($F127="","",INDEX('Каталог поиска'!$C$2:$C$998,$F127))</f>
        <v>DK</v>
      </c>
      <c r="D127" s="7">
        <f>IF(OR($F127="",E127=0,INDEX('Каталог поиска'!$D$2:$D$998,$F127)=0),"",IFERROR(INDEX('По размерам'!$A$2:$TY$86,MATCH($D$5,'По размерам'!$A$2:$A$86,0),INDEX('Каталог поиска'!$D$2:$D$998,$F127)),""))</f>
        <v/>
      </c>
      <c r="E127">
        <f>IF(OR($F127="",INDEX('Каталог поиска'!$D$2:$D$998,$F127)=0),"",IFERROR(INDEX('Количество значений'!$A$2:$TY$86,MATCH($D$5,'Количество значений'!$A$2:$A$86,0),INDEX('Каталог поиска'!$D$2:$D$998,$F127)),""))</f>
        <v/>
      </c>
      <c r="F127">
        <f>IFERROR(MATCH(115,'Каталог поиска'!$F$2:$F$998,0),"")</f>
        <v>115</v>
      </c>
    </row>
    <row r="128" spans="1:6" ht="36" customHeight="1">
      <c r="A128">
        <f>IF(F128="","",116)</f>
        <v>116</v>
      </c>
      <c r="B128" s="6" t="str">
        <f>IF($F128="","",INDEX('Каталог поиска'!$B$2:$B$998,$F128))</f>
        <v>2P width</v>
      </c>
      <c r="C128" s="6" t="str">
        <f>IF($F128="","",INDEX('Каталог поиска'!$C$2:$C$998,$F128))</f>
        <v>DL</v>
      </c>
      <c r="D128" s="7">
        <f>IF(OR($F128="",E128=0,INDEX('Каталог поиска'!$D$2:$D$998,$F128)=0),"",IFERROR(INDEX('По размерам'!$A$2:$TY$86,MATCH($D$5,'По размерам'!$A$2:$A$86,0),INDEX('Каталог поиска'!$D$2:$D$998,$F128)),""))</f>
        <v/>
      </c>
      <c r="E128">
        <f>IF(OR($F128="",INDEX('Каталог поиска'!$D$2:$D$998,$F128)=0),"",IFERROR(INDEX('Количество значений'!$A$2:$TY$86,MATCH($D$5,'Количество значений'!$A$2:$A$86,0),INDEX('Каталог поиска'!$D$2:$D$998,$F128)),""))</f>
        <v>0</v>
      </c>
      <c r="F128">
        <f>IFERROR(MATCH(116,'Каталог поиска'!$F$2:$F$998,0),"")</f>
        <v>116</v>
      </c>
    </row>
    <row r="129" spans="1:6" ht="36" customHeight="1">
      <c r="A129">
        <f>IF(F129="","",117)</f>
        <v>117</v>
      </c>
      <c r="B129" s="6" t="str">
        <f>IF($F129="","",INDEX('Каталог поиска'!$B$2:$B$998,$F129))</f>
        <v>2P width +/-</v>
      </c>
      <c r="C129" s="6" t="str">
        <f>IF($F129="","",INDEX('Каталог поиска'!$C$2:$C$998,$F129))</f>
        <v>DM</v>
      </c>
      <c r="D129" s="7">
        <f>IF(OR($F129="",E129=0,INDEX('Каталог поиска'!$D$2:$D$998,$F129)=0),"",IFERROR(INDEX('По размерам'!$A$2:$TY$86,MATCH($D$5,'По размерам'!$A$2:$A$86,0),INDEX('Каталог поиска'!$D$2:$D$998,$F129)),""))</f>
        <v/>
      </c>
      <c r="E129">
        <f>IF(OR($F129="",INDEX('Каталог поиска'!$D$2:$D$998,$F129)=0),"",IFERROR(INDEX('Количество значений'!$A$2:$TY$86,MATCH($D$5,'Количество значений'!$A$2:$A$86,0),INDEX('Каталог поиска'!$D$2:$D$998,$F129)),""))</f>
        <v>0</v>
      </c>
      <c r="F129">
        <f>IFERROR(MATCH(117,'Каталог поиска'!$F$2:$F$998,0),"")</f>
        <v>117</v>
      </c>
    </row>
    <row r="130" spans="1:6" ht="36" customHeight="1">
      <c r="A130">
        <f>IF(F130="","",118)</f>
        <v>118</v>
      </c>
      <c r="B130" s="6" t="str">
        <f>IF($F130="","",INDEX('Каталог поиска'!$B$2:$B$998,$F130))</f>
        <v>2P gauge</v>
      </c>
      <c r="C130" s="6" t="str">
        <f>IF($F130="","",INDEX('Каталог поиска'!$C$2:$C$998,$F130))</f>
        <v>DN</v>
      </c>
      <c r="D130" s="7">
        <f>IF(OR($F130="",E130=0,INDEX('Каталог поиска'!$D$2:$D$998,$F130)=0),"",IFERROR(INDEX('По размерам'!$A$2:$TY$86,MATCH($D$5,'По размерам'!$A$2:$A$86,0),INDEX('Каталог поиска'!$D$2:$D$998,$F130)),""))</f>
        <v/>
      </c>
      <c r="E130">
        <f>IF(OR($F130="",INDEX('Каталог поиска'!$D$2:$D$998,$F130)=0),"",IFERROR(INDEX('Количество значений'!$A$2:$TY$86,MATCH($D$5,'Количество значений'!$A$2:$A$86,0),INDEX('Каталог поиска'!$D$2:$D$998,$F130)),""))</f>
        <v>0</v>
      </c>
      <c r="F130">
        <f>IFERROR(MATCH(118,'Каталог поиска'!$F$2:$F$998,0),"")</f>
        <v>118</v>
      </c>
    </row>
    <row r="131" spans="1:6" ht="36" customHeight="1">
      <c r="A131">
        <f>IF(F131="","",119)</f>
        <v>119</v>
      </c>
      <c r="B131" s="6" t="str">
        <f>IF($F131="","",INDEX('Каталог поиска'!$B$2:$B$998,$F131))</f>
        <v>2P Length circum</v>
      </c>
      <c r="C131" s="6" t="str">
        <f>IF($F131="","",INDEX('Каталог поиска'!$C$2:$C$998,$F131))</f>
        <v>DO</v>
      </c>
      <c r="D131" s="7">
        <f>IF(OR($F131="",E131=0,INDEX('Каталог поиска'!$D$2:$D$998,$F131)=0),"",IFERROR(INDEX('По размерам'!$A$2:$TY$86,MATCH($D$5,'По размерам'!$A$2:$A$86,0),INDEX('Каталог поиска'!$D$2:$D$998,$F131)),""))</f>
        <v/>
      </c>
      <c r="E131">
        <f>IF(OR($F131="",INDEX('Каталог поиска'!$D$2:$D$998,$F131)=0),"",IFERROR(INDEX('Количество значений'!$A$2:$TY$86,MATCH($D$5,'Количество значений'!$A$2:$A$86,0),INDEX('Каталог поиска'!$D$2:$D$998,$F131)),""))</f>
        <v>0</v>
      </c>
      <c r="F131">
        <f>IFERROR(MATCH(119,'Каталог поиска'!$F$2:$F$998,0),"")</f>
        <v>119</v>
      </c>
    </row>
    <row r="132" spans="1:6" ht="36" customHeight="1">
      <c r="A132">
        <f>IF(F132="","",120)</f>
        <v>120</v>
      </c>
      <c r="B132" s="6" t="str">
        <f>IF($F132="","",INDEX('Каталог поиска'!$B$2:$B$998,$F132))</f>
        <v>2P Mass</v>
      </c>
      <c r="C132" s="6" t="str">
        <f>IF($F132="","",INDEX('Каталог поиска'!$C$2:$C$998,$F132))</f>
        <v>DP</v>
      </c>
      <c r="D132" s="7">
        <f>IF(OR($F132="",E132=0,INDEX('Каталог поиска'!$D$2:$D$998,$F132)=0),"",IFERROR(INDEX('По размерам'!$A$2:$TY$86,MATCH($D$5,'По размерам'!$A$2:$A$86,0),INDEX('Каталог поиска'!$D$2:$D$998,$F132)),""))</f>
        <v/>
      </c>
      <c r="E132">
        <f>IF(OR($F132="",INDEX('Каталог поиска'!$D$2:$D$998,$F132)=0),"",IFERROR(INDEX('Количество значений'!$A$2:$TY$86,MATCH($D$5,'Количество значений'!$A$2:$A$86,0),INDEX('Каталог поиска'!$D$2:$D$998,$F132)),""))</f>
        <v>0</v>
      </c>
      <c r="F132">
        <f>IFERROR(MATCH(120,'Каталог поиска'!$F$2:$F$998,0),"")</f>
        <v>120</v>
      </c>
    </row>
    <row r="133" spans="1:6" ht="36" customHeight="1">
      <c r="A133">
        <f>IF(F133="","",121)</f>
        <v>121</v>
      </c>
      <c r="B133" s="6" t="str">
        <f>IF($F133="","",INDEX('Каталог поиска'!$B$2:$B$998,$F133))</f>
        <v>FL treat(Comp) No.</v>
      </c>
      <c r="C133" s="6" t="str">
        <f>IF($F133="","",INDEX('Каталог поиска'!$C$2:$C$998,$F133))</f>
        <v>DQ</v>
      </c>
      <c r="D133" s="7">
        <f>IF(OR($F133="",E133=0,INDEX('Каталог поиска'!$D$2:$D$998,$F133)=0),"",IFERROR(INDEX('По размерам'!$A$2:$TY$86,MATCH($D$5,'По размерам'!$A$2:$A$86,0),INDEX('Каталог поиска'!$D$2:$D$998,$F133)),""))</f>
        <v/>
      </c>
      <c r="E133">
        <f>IF(OR($F133="",INDEX('Каталог поиска'!$D$2:$D$998,$F133)=0),"",IFERROR(INDEX('Количество значений'!$A$2:$TY$86,MATCH($D$5,'Количество значений'!$A$2:$A$86,0),INDEX('Каталог поиска'!$D$2:$D$998,$F133)),""))</f>
        <v/>
      </c>
      <c r="F133">
        <f>IFERROR(MATCH(121,'Каталог поиска'!$F$2:$F$998,0),"")</f>
        <v>121</v>
      </c>
    </row>
    <row r="134" spans="1:6" ht="36" customHeight="1">
      <c r="A134">
        <f>IF(F134="","",122)</f>
        <v>122</v>
      </c>
      <c r="B134" s="6" t="str">
        <f>IF($F134="","",INDEX('Каталог поиска'!$B$2:$B$998,$F134))</f>
        <v>FL width</v>
      </c>
      <c r="C134" s="6" t="str">
        <f>IF($F134="","",INDEX('Каталог поиска'!$C$2:$C$998,$F134))</f>
        <v>DR</v>
      </c>
      <c r="D134" s="7">
        <f>IF(OR($F134="",E134=0,INDEX('Каталог поиска'!$D$2:$D$998,$F134)=0),"",IFERROR(INDEX('По размерам'!$A$2:$TY$86,MATCH($D$5,'По размерам'!$A$2:$A$86,0),INDEX('Каталог поиска'!$D$2:$D$998,$F134)),""))</f>
        <v/>
      </c>
      <c r="E134">
        <f>IF(OR($F134="",INDEX('Каталог поиска'!$D$2:$D$998,$F134)=0),"",IFERROR(INDEX('Количество значений'!$A$2:$TY$86,MATCH($D$5,'Количество значений'!$A$2:$A$86,0),INDEX('Каталог поиска'!$D$2:$D$998,$F134)),""))</f>
        <v>0</v>
      </c>
      <c r="F134">
        <f>IFERROR(MATCH(122,'Каталог поиска'!$F$2:$F$998,0),"")</f>
        <v>122</v>
      </c>
    </row>
    <row r="135" spans="1:6" ht="36" customHeight="1">
      <c r="A135">
        <f>IF(F135="","",123)</f>
        <v>123</v>
      </c>
      <c r="B135" s="6" t="str">
        <f>IF($F135="","",INDEX('Каталог поиска'!$B$2:$B$998,$F135))</f>
        <v>FL width +/-</v>
      </c>
      <c r="C135" s="6" t="str">
        <f>IF($F135="","",INDEX('Каталог поиска'!$C$2:$C$998,$F135))</f>
        <v>DS</v>
      </c>
      <c r="D135" s="7">
        <f>IF(OR($F135="",E135=0,INDEX('Каталог поиска'!$D$2:$D$998,$F135)=0),"",IFERROR(INDEX('По размерам'!$A$2:$TY$86,MATCH($D$5,'По размерам'!$A$2:$A$86,0),INDEX('Каталог поиска'!$D$2:$D$998,$F135)),""))</f>
        <v/>
      </c>
      <c r="E135">
        <f>IF(OR($F135="",INDEX('Каталог поиска'!$D$2:$D$998,$F135)=0),"",IFERROR(INDEX('Количество значений'!$A$2:$TY$86,MATCH($D$5,'Количество значений'!$A$2:$A$86,0),INDEX('Каталог поиска'!$D$2:$D$998,$F135)),""))</f>
        <v>0</v>
      </c>
      <c r="F135">
        <f>IFERROR(MATCH(123,'Каталог поиска'!$F$2:$F$998,0),"")</f>
        <v>123</v>
      </c>
    </row>
    <row r="136" spans="1:6" ht="36" customHeight="1">
      <c r="A136">
        <f>IF(F136="","",124)</f>
        <v>124</v>
      </c>
      <c r="B136" s="6" t="str">
        <f>IF($F136="","",INDEX('Каталог поиска'!$B$2:$B$998,$F136))</f>
        <v>FL gauge</v>
      </c>
      <c r="C136" s="6" t="str">
        <f>IF($F136="","",INDEX('Каталог поиска'!$C$2:$C$998,$F136))</f>
        <v>DT</v>
      </c>
      <c r="D136" s="7">
        <f>IF(OR($F136="",E136=0,INDEX('Каталог поиска'!$D$2:$D$998,$F136)=0),"",IFERROR(INDEX('По размерам'!$A$2:$TY$86,MATCH($D$5,'По размерам'!$A$2:$A$86,0),INDEX('Каталог поиска'!$D$2:$D$998,$F136)),""))</f>
        <v/>
      </c>
      <c r="E136">
        <f>IF(OR($F136="",INDEX('Каталог поиска'!$D$2:$D$998,$F136)=0),"",IFERROR(INDEX('Количество значений'!$A$2:$TY$86,MATCH($D$5,'Количество значений'!$A$2:$A$86,0),INDEX('Каталог поиска'!$D$2:$D$998,$F136)),""))</f>
        <v>0</v>
      </c>
      <c r="F136">
        <f>IFERROR(MATCH(124,'Каталог поиска'!$F$2:$F$998,0),"")</f>
        <v>124</v>
      </c>
    </row>
    <row r="137" spans="1:6" ht="36" customHeight="1">
      <c r="A137">
        <f>IF(F137="","",125)</f>
        <v>125</v>
      </c>
      <c r="B137" s="6" t="str">
        <f>IF($F137="","",INDEX('Каталог поиска'!$B$2:$B$998,$F137))</f>
        <v>FL Length circum  Value is temp</v>
      </c>
      <c r="C137" s="6" t="str">
        <f>IF($F137="","",INDEX('Каталог поиска'!$C$2:$C$998,$F137))</f>
        <v>DU</v>
      </c>
      <c r="D137" s="7">
        <f>IF(OR($F137="",E137=0,INDEX('Каталог поиска'!$D$2:$D$998,$F137)=0),"",IFERROR(INDEX('По размерам'!$A$2:$TY$86,MATCH($D$5,'По размерам'!$A$2:$A$86,0),INDEX('Каталог поиска'!$D$2:$D$998,$F137)),""))</f>
        <v/>
      </c>
      <c r="E137">
        <f>IF(OR($F137="",INDEX('Каталог поиска'!$D$2:$D$998,$F137)=0),"",IFERROR(INDEX('Количество значений'!$A$2:$TY$86,MATCH($D$5,'Количество значений'!$A$2:$A$86,0),INDEX('Каталог поиска'!$D$2:$D$998,$F137)),""))</f>
        <v>0</v>
      </c>
      <c r="F137">
        <f>IFERROR(MATCH(125,'Каталог поиска'!$F$2:$F$998,0),"")</f>
        <v>125</v>
      </c>
    </row>
    <row r="138" spans="1:6" ht="36" customHeight="1">
      <c r="A138">
        <f>IF(F138="","",126)</f>
        <v>126</v>
      </c>
      <c r="B138" s="6" t="str">
        <f>IF($F138="","",INDEX('Каталог поиска'!$B$2:$B$998,$F138))</f>
        <v>FL Mass</v>
      </c>
      <c r="C138" s="6" t="str">
        <f>IF($F138="","",INDEX('Каталог поиска'!$C$2:$C$998,$F138))</f>
        <v>DV</v>
      </c>
      <c r="D138" s="7">
        <f>IF(OR($F138="",E138=0,INDEX('Каталог поиска'!$D$2:$D$998,$F138)=0),"",IFERROR(INDEX('По размерам'!$A$2:$TY$86,MATCH($D$5,'По размерам'!$A$2:$A$86,0),INDEX('Каталог поиска'!$D$2:$D$998,$F138)),""))</f>
        <v/>
      </c>
      <c r="E138">
        <f>IF(OR($F138="",INDEX('Каталог поиска'!$D$2:$D$998,$F138)=0),"",IFERROR(INDEX('Количество значений'!$A$2:$TY$86,MATCH($D$5,'Количество значений'!$A$2:$A$86,0),INDEX('Каталог поиска'!$D$2:$D$998,$F138)),""))</f>
        <v>0</v>
      </c>
      <c r="F138">
        <f>IFERROR(MATCH(126,'Каталог поиска'!$F$2:$F$998,0),"")</f>
        <v>126</v>
      </c>
    </row>
    <row r="139" spans="1:6" ht="36" customHeight="1">
      <c r="A139">
        <f>IF(F139="","",127)</f>
        <v>127</v>
      </c>
      <c r="B139" s="6" t="str">
        <f>IF($F139="","",INDEX('Каталог поиска'!$B$2:$B$998,$F139))</f>
        <v>BD treat(Comp) No.</v>
      </c>
      <c r="C139" s="6" t="str">
        <f>IF($F139="","",INDEX('Каталог поиска'!$C$2:$C$998,$F139))</f>
        <v>DW</v>
      </c>
      <c r="D139" s="7">
        <f>IF(OR($F139="",E139=0,INDEX('Каталог поиска'!$D$2:$D$998,$F139)=0),"",IFERROR(INDEX('По размерам'!$A$2:$TY$86,MATCH($D$5,'По размерам'!$A$2:$A$86,0),INDEX('Каталог поиска'!$D$2:$D$998,$F139)),""))</f>
        <v/>
      </c>
      <c r="E139">
        <f>IF(OR($F139="",INDEX('Каталог поиска'!$D$2:$D$998,$F139)=0),"",IFERROR(INDEX('Количество значений'!$A$2:$TY$86,MATCH($D$5,'Количество значений'!$A$2:$A$86,0),INDEX('Каталог поиска'!$D$2:$D$998,$F139)),""))</f>
        <v/>
      </c>
      <c r="F139">
        <f>IFERROR(MATCH(127,'Каталог поиска'!$F$2:$F$998,0),"")</f>
        <v>127</v>
      </c>
    </row>
    <row r="140" spans="1:6" ht="36" customHeight="1">
      <c r="A140">
        <f>IF(F140="","",128)</f>
        <v>128</v>
      </c>
      <c r="B140" s="6" t="str">
        <f>IF($F140="","",INDEX('Каталог поиска'!$B$2:$B$998,$F140))</f>
        <v>BD width(Diameter)</v>
      </c>
      <c r="C140" s="6" t="str">
        <f>IF($F140="","",INDEX('Каталог поиска'!$C$2:$C$998,$F140))</f>
        <v>DX</v>
      </c>
      <c r="D140" s="7">
        <f>IF(OR($F140="",E140=0,INDEX('Каталог поиска'!$D$2:$D$998,$F140)=0),"",IFERROR(INDEX('По размерам'!$A$2:$TY$86,MATCH($D$5,'По размерам'!$A$2:$A$86,0),INDEX('Каталог поиска'!$D$2:$D$998,$F140)),""))</f>
        <v>7.5</v>
      </c>
      <c r="E140">
        <f>IF(OR($F140="",INDEX('Каталог поиска'!$D$2:$D$998,$F140)=0),"",IFERROR(INDEX('Количество значений'!$A$2:$TY$86,MATCH($D$5,'Количество значений'!$A$2:$A$86,0),INDEX('Каталог поиска'!$D$2:$D$998,$F140)),""))</f>
        <v>4</v>
      </c>
      <c r="F140">
        <f>IFERROR(MATCH(128,'Каталог поиска'!$F$2:$F$998,0),"")</f>
        <v>128</v>
      </c>
    </row>
    <row r="141" spans="1:6" ht="36" customHeight="1">
      <c r="A141">
        <f>IF(F141="","",129)</f>
        <v>129</v>
      </c>
      <c r="B141" s="6" t="str">
        <f>IF($F141="","",INDEX('Каталог поиска'!$B$2:$B$998,$F141))</f>
        <v>BD width(Diameter) +/-</v>
      </c>
      <c r="C141" s="6" t="str">
        <f>IF($F141="","",INDEX('Каталог поиска'!$C$2:$C$998,$F141))</f>
        <v>DY</v>
      </c>
      <c r="D141" s="7">
        <f>IF(OR($F141="",E141=0,INDEX('Каталог поиска'!$D$2:$D$998,$F141)=0),"",IFERROR(INDEX('По размерам'!$A$2:$TY$86,MATCH($D$5,'По размерам'!$A$2:$A$86,0),INDEX('Каталог поиска'!$D$2:$D$998,$F141)),""))</f>
        <v/>
      </c>
      <c r="E141">
        <f>IF(OR($F141="",INDEX('Каталог поиска'!$D$2:$D$998,$F141)=0),"",IFERROR(INDEX('Количество значений'!$A$2:$TY$86,MATCH($D$5,'Количество значений'!$A$2:$A$86,0),INDEX('Каталог поиска'!$D$2:$D$998,$F141)),""))</f>
        <v/>
      </c>
      <c r="F141">
        <f>IFERROR(MATCH(129,'Каталог поиска'!$F$2:$F$998,0),"")</f>
        <v>129</v>
      </c>
    </row>
    <row r="142" spans="1:6" ht="36" customHeight="1">
      <c r="A142">
        <f>IF(F142="","",130)</f>
        <v>130</v>
      </c>
      <c r="B142" s="6" t="str">
        <f>IF($F142="","",INDEX('Каталог поиска'!$B$2:$B$998,$F142))</f>
        <v>BD Angle gauge</v>
      </c>
      <c r="C142" s="6" t="str">
        <f>IF($F142="","",INDEX('Каталог поиска'!$C$2:$C$998,$F142))</f>
        <v>DZ</v>
      </c>
      <c r="D142" s="7">
        <f>IF(OR($F142="",E142=0,INDEX('Каталог поиска'!$D$2:$D$998,$F142)=0),"",IFERROR(INDEX('По размерам'!$A$2:$TY$86,MATCH($D$5,'По размерам'!$A$2:$A$86,0),INDEX('Каталог поиска'!$D$2:$D$998,$F142)),""))</f>
        <v/>
      </c>
      <c r="E142">
        <f>IF(OR($F142="",INDEX('Каталог поиска'!$D$2:$D$998,$F142)=0),"",IFERROR(INDEX('Количество значений'!$A$2:$TY$86,MATCH($D$5,'Количество значений'!$A$2:$A$86,0),INDEX('Каталог поиска'!$D$2:$D$998,$F142)),""))</f>
        <v/>
      </c>
      <c r="F142">
        <f>IFERROR(MATCH(130,'Каталог поиска'!$F$2:$F$998,0),"")</f>
        <v>130</v>
      </c>
    </row>
    <row r="143" spans="1:6" ht="36" customHeight="1">
      <c r="A143">
        <f>IF(F143="","",131)</f>
        <v>131</v>
      </c>
      <c r="B143" s="6" t="str">
        <f>IF($F143="","",INDEX('Каталог поиска'!$B$2:$B$998,$F143))</f>
        <v>BD Length circum</v>
      </c>
      <c r="C143" s="6" t="str">
        <f>IF($F143="","",INDEX('Каталог поиска'!$C$2:$C$998,$F143))</f>
        <v>EA</v>
      </c>
      <c r="D143" s="7">
        <f>IF(OR($F143="",E143=0,INDEX('Каталог поиска'!$D$2:$D$998,$F143)=0),"",IFERROR(INDEX('По размерам'!$A$2:$TY$86,MATCH($D$5,'По размерам'!$A$2:$A$86,0),INDEX('Каталог поиска'!$D$2:$D$998,$F143)),""))</f>
        <v>1123.4</v>
      </c>
      <c r="E143">
        <f>IF(OR($F143="",INDEX('Каталог поиска'!$D$2:$D$998,$F143)=0),"",IFERROR(INDEX('Количество значений'!$A$2:$TY$86,MATCH($D$5,'Количество значений'!$A$2:$A$86,0),INDEX('Каталог поиска'!$D$2:$D$998,$F143)),""))</f>
        <v>4</v>
      </c>
      <c r="F143">
        <f>IFERROR(MATCH(131,'Каталог поиска'!$F$2:$F$998,0),"")</f>
        <v>131</v>
      </c>
    </row>
    <row r="144" spans="1:6" ht="36" customHeight="1">
      <c r="A144">
        <f>IF(F144="","",132)</f>
        <v>132</v>
      </c>
      <c r="B144" s="6" t="str">
        <f>IF($F144="","",INDEX('Каталог поиска'!$B$2:$B$998,$F144))</f>
        <v>BD Mass</v>
      </c>
      <c r="C144" s="6" t="str">
        <f>IF($F144="","",INDEX('Каталог поиска'!$C$2:$C$998,$F144))</f>
        <v>EB</v>
      </c>
      <c r="D144" s="7">
        <f>IF(OR($F144="",E144=0,INDEX('Каталог поиска'!$D$2:$D$998,$F144)=0),"",IFERROR(INDEX('По размерам'!$A$2:$TY$86,MATCH($D$5,'По размерам'!$A$2:$A$86,0),INDEX('Каталог поиска'!$D$2:$D$998,$F144)),""))</f>
        <v>147</v>
      </c>
      <c r="E144">
        <f>IF(OR($F144="",INDEX('Каталог поиска'!$D$2:$D$998,$F144)=0),"",IFERROR(INDEX('Количество значений'!$A$2:$TY$86,MATCH($D$5,'Количество значений'!$A$2:$A$86,0),INDEX('Каталог поиска'!$D$2:$D$998,$F144)),""))</f>
        <v>4</v>
      </c>
      <c r="F144">
        <f>IFERROR(MATCH(132,'Каталог поиска'!$F$2:$F$998,0),"")</f>
        <v>132</v>
      </c>
    </row>
    <row r="145" spans="1:6" ht="36" customHeight="1">
      <c r="A145">
        <f>IF(F145="","",133)</f>
        <v>133</v>
      </c>
      <c r="B145" s="6" t="str">
        <f>IF($F145="","",INDEX('Каталог поиска'!$B$2:$B$998,$F145))</f>
        <v>BF treat(Comp) No.</v>
      </c>
      <c r="C145" s="6" t="str">
        <f>IF($F145="","",INDEX('Каталог поиска'!$C$2:$C$998,$F145))</f>
        <v>EC</v>
      </c>
      <c r="D145" s="7">
        <f>IF(OR($F145="",E145=0,INDEX('Каталог поиска'!$D$2:$D$998,$F145)=0),"",IFERROR(INDEX('По размерам'!$A$2:$TY$86,MATCH($D$5,'По размерам'!$A$2:$A$86,0),INDEX('Каталог поиска'!$D$2:$D$998,$F145)),""))</f>
        <v/>
      </c>
      <c r="E145">
        <f>IF(OR($F145="",INDEX('Каталог поиска'!$D$2:$D$998,$F145)=0),"",IFERROR(INDEX('Количество значений'!$A$2:$TY$86,MATCH($D$5,'Количество значений'!$A$2:$A$86,0),INDEX('Каталог поиска'!$D$2:$D$998,$F145)),""))</f>
        <v/>
      </c>
      <c r="F145">
        <f>IFERROR(MATCH(133,'Каталог поиска'!$F$2:$F$998,0),"")</f>
        <v>133</v>
      </c>
    </row>
    <row r="146" spans="1:6" ht="36" customHeight="1">
      <c r="A146">
        <f>IF(F146="","",134)</f>
        <v>134</v>
      </c>
      <c r="B146" s="6" t="str">
        <f>IF($F146="","",INDEX('Каталог поиска'!$B$2:$B$998,$F146))</f>
        <v>BF width</v>
      </c>
      <c r="C146" s="6" t="str">
        <f>IF($F146="","",INDEX('Каталог поиска'!$C$2:$C$998,$F146))</f>
        <v>ED</v>
      </c>
      <c r="D146" s="7">
        <f>IF(OR($F146="",E146=0,INDEX('Каталог поиска'!$D$2:$D$998,$F146)=0),"",IFERROR(INDEX('По размерам'!$A$2:$TY$86,MATCH($D$5,'По размерам'!$A$2:$A$86,0),INDEX('Каталог поиска'!$D$2:$D$998,$F146)),""))</f>
        <v>30</v>
      </c>
      <c r="E146">
        <f>IF(OR($F146="",INDEX('Каталог поиска'!$D$2:$D$998,$F146)=0),"",IFERROR(INDEX('Количество значений'!$A$2:$TY$86,MATCH($D$5,'Количество значений'!$A$2:$A$86,0),INDEX('Каталог поиска'!$D$2:$D$998,$F146)),""))</f>
        <v>4</v>
      </c>
      <c r="F146">
        <f>IFERROR(MATCH(134,'Каталог поиска'!$F$2:$F$998,0),"")</f>
        <v>134</v>
      </c>
    </row>
    <row r="147" spans="1:6" ht="36" customHeight="1">
      <c r="A147">
        <f>IF(F147="","",135)</f>
        <v>135</v>
      </c>
      <c r="B147" s="6" t="str">
        <f>IF($F147="","",INDEX('Каталог поиска'!$B$2:$B$998,$F147))</f>
        <v>BF width +/-</v>
      </c>
      <c r="C147" s="6" t="str">
        <f>IF($F147="","",INDEX('Каталог поиска'!$C$2:$C$998,$F147))</f>
        <v>EE</v>
      </c>
      <c r="D147" s="7">
        <f>IF(OR($F147="",E147=0,INDEX('Каталог поиска'!$D$2:$D$998,$F147)=0),"",IFERROR(INDEX('По размерам'!$A$2:$TY$86,MATCH($D$5,'По размерам'!$A$2:$A$86,0),INDEX('Каталог поиска'!$D$2:$D$998,$F147)),""))</f>
        <v>3</v>
      </c>
      <c r="E147">
        <f>IF(OR($F147="",INDEX('Каталог поиска'!$D$2:$D$998,$F147)=0),"",IFERROR(INDEX('Количество значений'!$A$2:$TY$86,MATCH($D$5,'Количество значений'!$A$2:$A$86,0),INDEX('Каталог поиска'!$D$2:$D$998,$F147)),""))</f>
        <v>4</v>
      </c>
      <c r="F147">
        <f>IFERROR(MATCH(135,'Каталог поиска'!$F$2:$F$998,0),"")</f>
        <v>135</v>
      </c>
    </row>
    <row r="148" spans="1:6" ht="36" customHeight="1">
      <c r="A148">
        <f>IF(F148="","",136)</f>
        <v>136</v>
      </c>
      <c r="B148" s="6" t="str">
        <f>IF($F148="","",INDEX('Каталог поиска'!$B$2:$B$998,$F148))</f>
        <v>BF Angle gauge</v>
      </c>
      <c r="C148" s="6" t="str">
        <f>IF($F148="","",INDEX('Каталог поиска'!$C$2:$C$998,$F148))</f>
        <v>EF</v>
      </c>
      <c r="D148" s="7">
        <f>IF(OR($F148="",E148=0,INDEX('Каталог поиска'!$D$2:$D$998,$F148)=0),"",IFERROR(INDEX('По размерам'!$A$2:$TY$86,MATCH($D$5,'По размерам'!$A$2:$A$86,0),INDEX('Каталог поиска'!$D$2:$D$998,$F148)),""))</f>
        <v/>
      </c>
      <c r="E148">
        <f>IF(OR($F148="",INDEX('Каталог поиска'!$D$2:$D$998,$F148)=0),"",IFERROR(INDEX('Количество значений'!$A$2:$TY$86,MATCH($D$5,'Количество значений'!$A$2:$A$86,0),INDEX('Каталог поиска'!$D$2:$D$998,$F148)),""))</f>
        <v/>
      </c>
      <c r="F148">
        <f>IFERROR(MATCH(136,'Каталог поиска'!$F$2:$F$998,0),"")</f>
        <v>136</v>
      </c>
    </row>
    <row r="149" spans="1:6" ht="36" customHeight="1">
      <c r="A149">
        <f>IF(F149="","",137)</f>
        <v>137</v>
      </c>
      <c r="B149" s="6" t="str">
        <f>IF($F149="","",INDEX('Каталог поиска'!$B$2:$B$998,$F149))</f>
        <v>BF Length circum</v>
      </c>
      <c r="C149" s="6" t="str">
        <f>IF($F149="","",INDEX('Каталог поиска'!$C$2:$C$998,$F149))</f>
        <v>EG</v>
      </c>
      <c r="D149" s="7">
        <f>IF(OR($F149="",E149=0,INDEX('Каталог поиска'!$D$2:$D$998,$F149)=0),"",IFERROR(INDEX('По размерам'!$A$2:$TY$86,MATCH($D$5,'По размерам'!$A$2:$A$86,0),INDEX('Каталог поиска'!$D$2:$D$998,$F149)),""))</f>
        <v>1154.25</v>
      </c>
      <c r="E149">
        <f>IF(OR($F149="",INDEX('Каталог поиска'!$D$2:$D$998,$F149)=0),"",IFERROR(INDEX('Количество значений'!$A$2:$TY$86,MATCH($D$5,'Количество значений'!$A$2:$A$86,0),INDEX('Каталог поиска'!$D$2:$D$998,$F149)),""))</f>
        <v>4</v>
      </c>
      <c r="F149">
        <f>IFERROR(MATCH(137,'Каталог поиска'!$F$2:$F$998,0),"")</f>
        <v>137</v>
      </c>
    </row>
    <row r="150" spans="1:6" ht="36" customHeight="1">
      <c r="A150">
        <f>IF(F150="","",138)</f>
        <v>138</v>
      </c>
      <c r="B150" s="6" t="str">
        <f>IF($F150="","",INDEX('Каталог поиска'!$B$2:$B$998,$F150))</f>
        <v>BF Mass</v>
      </c>
      <c r="C150" s="6" t="str">
        <f>IF($F150="","",INDEX('Каталог поиска'!$C$2:$C$998,$F150))</f>
        <v>EH</v>
      </c>
      <c r="D150" s="7">
        <f>IF(OR($F150="",E150=0,INDEX('Каталог поиска'!$D$2:$D$998,$F150)=0),"",IFERROR(INDEX('По размерам'!$A$2:$TY$86,MATCH($D$5,'По размерам'!$A$2:$A$86,0),INDEX('Каталог поиска'!$D$2:$D$998,$F150)),""))</f>
        <v>141.5</v>
      </c>
      <c r="E150">
        <f>IF(OR($F150="",INDEX('Каталог поиска'!$D$2:$D$998,$F150)=0),"",IFERROR(INDEX('Количество значений'!$A$2:$TY$86,MATCH($D$5,'Количество значений'!$A$2:$A$86,0),INDEX('Каталог поиска'!$D$2:$D$998,$F150)),""))</f>
        <v>4</v>
      </c>
      <c r="F150">
        <f>IFERROR(MATCH(138,'Каталог поиска'!$F$2:$F$998,0),"")</f>
        <v>138</v>
      </c>
    </row>
    <row r="151" spans="1:6" ht="36" customHeight="1">
      <c r="A151">
        <f>IF(F151="","",139)</f>
        <v>139</v>
      </c>
      <c r="B151" s="6" t="str">
        <f>IF($F151="","",INDEX('Каталог поиска'!$B$2:$B$998,$F151))</f>
        <v>TPI treat(Comp) No.</v>
      </c>
      <c r="C151" s="6" t="str">
        <f>IF($F151="","",INDEX('Каталог поиска'!$C$2:$C$998,$F151))</f>
        <v>EI</v>
      </c>
      <c r="D151" s="7">
        <f>IF(OR($F151="",E151=0,INDEX('Каталог поиска'!$D$2:$D$998,$F151)=0),"",IFERROR(INDEX('По размерам'!$A$2:$TY$86,MATCH($D$5,'По размерам'!$A$2:$A$86,0),INDEX('Каталог поиска'!$D$2:$D$998,$F151)),""))</f>
        <v/>
      </c>
      <c r="E151">
        <f>IF(OR($F151="",INDEX('Каталог поиска'!$D$2:$D$998,$F151)=0),"",IFERROR(INDEX('Количество значений'!$A$2:$TY$86,MATCH($D$5,'Количество значений'!$A$2:$A$86,0),INDEX('Каталог поиска'!$D$2:$D$998,$F151)),""))</f>
        <v/>
      </c>
      <c r="F151">
        <f>IFERROR(MATCH(139,'Каталог поиска'!$F$2:$F$998,0),"")</f>
        <v>139</v>
      </c>
    </row>
    <row r="152" spans="1:6" ht="36" customHeight="1">
      <c r="A152">
        <f>IF(F152="","",140)</f>
        <v>140</v>
      </c>
      <c r="B152" s="6" t="str">
        <f>IF($F152="","",INDEX('Каталог поиска'!$B$2:$B$998,$F152))</f>
        <v>TPI width</v>
      </c>
      <c r="C152" s="6" t="str">
        <f>IF($F152="","",INDEX('Каталог поиска'!$C$2:$C$998,$F152))</f>
        <v>EJ</v>
      </c>
      <c r="D152" s="7">
        <f>IF(OR($F152="",E152=0,INDEX('Каталог поиска'!$D$2:$D$998,$F152)=0),"",IFERROR(INDEX('По размерам'!$A$2:$TY$86,MATCH($D$5,'По размерам'!$A$2:$A$86,0),INDEX('Каталог поиска'!$D$2:$D$998,$F152)),""))</f>
        <v>0</v>
      </c>
      <c r="E152">
        <f>IF(OR($F152="",INDEX('Каталог поиска'!$D$2:$D$998,$F152)=0),"",IFERROR(INDEX('Количество значений'!$A$2:$TY$86,MATCH($D$5,'Количество значений'!$A$2:$A$86,0),INDEX('Каталог поиска'!$D$2:$D$998,$F152)),""))</f>
        <v>4</v>
      </c>
      <c r="F152">
        <f>IFERROR(MATCH(140,'Каталог поиска'!$F$2:$F$998,0),"")</f>
        <v>140</v>
      </c>
    </row>
    <row r="153" spans="1:6" ht="36" customHeight="1">
      <c r="A153">
        <f>IF(F153="","",141)</f>
        <v>141</v>
      </c>
      <c r="B153" s="6" t="str">
        <f>IF($F153="","",INDEX('Каталог поиска'!$B$2:$B$998,$F153))</f>
        <v>TPI width +/-</v>
      </c>
      <c r="C153" s="6" t="str">
        <f>IF($F153="","",INDEX('Каталог поиска'!$C$2:$C$998,$F153))</f>
        <v>EK</v>
      </c>
      <c r="D153" s="7">
        <f>IF(OR($F153="",E153=0,INDEX('Каталог поиска'!$D$2:$D$998,$F153)=0),"",IFERROR(INDEX('По размерам'!$A$2:$TY$86,MATCH($D$5,'По размерам'!$A$2:$A$86,0),INDEX('Каталог поиска'!$D$2:$D$998,$F153)),""))</f>
        <v>1</v>
      </c>
      <c r="E153">
        <f>IF(OR($F153="",INDEX('Каталог поиска'!$D$2:$D$998,$F153)=0),"",IFERROR(INDEX('Количество значений'!$A$2:$TY$86,MATCH($D$5,'Количество значений'!$A$2:$A$86,0),INDEX('Каталог поиска'!$D$2:$D$998,$F153)),""))</f>
        <v>4</v>
      </c>
      <c r="F153">
        <f>IFERROR(MATCH(141,'Каталог поиска'!$F$2:$F$998,0),"")</f>
        <v>141</v>
      </c>
    </row>
    <row r="154" spans="1:6" ht="36" customHeight="1">
      <c r="A154">
        <f>IF(F154="","",142)</f>
        <v>142</v>
      </c>
      <c r="B154" s="6" t="str">
        <f>IF($F154="","",INDEX('Каталог поиска'!$B$2:$B$998,$F154))</f>
        <v>TPI Angle gauge</v>
      </c>
      <c r="C154" s="6" t="str">
        <f>IF($F154="","",INDEX('Каталог поиска'!$C$2:$C$998,$F154))</f>
        <v>EL</v>
      </c>
      <c r="D154" s="7">
        <f>IF(OR($F154="",E154=0,INDEX('Каталог поиска'!$D$2:$D$998,$F154)=0),"",IFERROR(INDEX('По размерам'!$A$2:$TY$86,MATCH($D$5,'По размерам'!$A$2:$A$86,0),INDEX('Каталог поиска'!$D$2:$D$998,$F154)),""))</f>
        <v/>
      </c>
      <c r="E154">
        <f>IF(OR($F154="",INDEX('Каталог поиска'!$D$2:$D$998,$F154)=0),"",IFERROR(INDEX('Количество значений'!$A$2:$TY$86,MATCH($D$5,'Количество значений'!$A$2:$A$86,0),INDEX('Каталог поиска'!$D$2:$D$998,$F154)),""))</f>
        <v/>
      </c>
      <c r="F154">
        <f>IFERROR(MATCH(142,'Каталог поиска'!$F$2:$F$998,0),"")</f>
        <v>142</v>
      </c>
    </row>
    <row r="155" spans="1:6" ht="36" customHeight="1">
      <c r="A155">
        <f>IF(F155="","",143)</f>
        <v>143</v>
      </c>
      <c r="B155" s="6" t="str">
        <f>IF($F155="","",INDEX('Каталог поиска'!$B$2:$B$998,$F155))</f>
        <v>TPI Length circum</v>
      </c>
      <c r="C155" s="6" t="str">
        <f>IF($F155="","",INDEX('Каталог поиска'!$C$2:$C$998,$F155))</f>
        <v>EM</v>
      </c>
      <c r="D155" s="7">
        <f>IF(OR($F155="",E155=0,INDEX('Каталог поиска'!$D$2:$D$998,$F155)=0),"",IFERROR(INDEX('По размерам'!$A$2:$TY$86,MATCH($D$5,'По размерам'!$A$2:$A$86,0),INDEX('Каталог поиска'!$D$2:$D$998,$F155)),""))</f>
        <v/>
      </c>
      <c r="E155">
        <f>IF(OR($F155="",INDEX('Каталог поиска'!$D$2:$D$998,$F155)=0),"",IFERROR(INDEX('Количество значений'!$A$2:$TY$86,MATCH($D$5,'Количество значений'!$A$2:$A$86,0),INDEX('Каталог поиска'!$D$2:$D$998,$F155)),""))</f>
        <v/>
      </c>
      <c r="F155">
        <f>IFERROR(MATCH(143,'Каталог поиска'!$F$2:$F$998,0),"")</f>
        <v>143</v>
      </c>
    </row>
    <row r="156" spans="1:6" ht="36" customHeight="1">
      <c r="A156">
        <f>IF(F156="","",144)</f>
        <v>144</v>
      </c>
      <c r="B156" s="6" t="str">
        <f>IF($F156="","",INDEX('Каталог поиска'!$B$2:$B$998,$F156))</f>
        <v>TPI Mass</v>
      </c>
      <c r="C156" s="6" t="str">
        <f>IF($F156="","",INDEX('Каталог поиска'!$C$2:$C$998,$F156))</f>
        <v>EN</v>
      </c>
      <c r="D156" s="7">
        <f>IF(OR($F156="",E156=0,INDEX('Каталог поиска'!$D$2:$D$998,$F156)=0),"",IFERROR(INDEX('По размерам'!$A$2:$TY$86,MATCH($D$5,'По размерам'!$A$2:$A$86,0),INDEX('Каталог поиска'!$D$2:$D$998,$F156)),""))</f>
        <v>0</v>
      </c>
      <c r="E156">
        <f>IF(OR($F156="",INDEX('Каталог поиска'!$D$2:$D$998,$F156)=0),"",IFERROR(INDEX('Количество значений'!$A$2:$TY$86,MATCH($D$5,'Количество значений'!$A$2:$A$86,0),INDEX('Каталог поиска'!$D$2:$D$998,$F156)),""))</f>
        <v>4</v>
      </c>
      <c r="F156">
        <f>IFERROR(MATCH(144,'Каталог поиска'!$F$2:$F$998,0),"")</f>
        <v>144</v>
      </c>
    </row>
    <row r="157" spans="1:6" ht="36" customHeight="1">
      <c r="A157">
        <f>IF(F157="","",145)</f>
        <v>145</v>
      </c>
      <c r="B157" s="6" t="str">
        <f>IF($F157="","",INDEX('Каталог поиска'!$B$2:$B$998,$F157))</f>
        <v>TPI Mass Tire</v>
      </c>
      <c r="C157" s="6" t="str">
        <f>IF($F157="","",INDEX('Каталог поиска'!$C$2:$C$998,$F157))</f>
        <v>EO</v>
      </c>
      <c r="D157" s="7">
        <f>IF(OR($F157="",E157=0,INDEX('Каталог поиска'!$D$2:$D$998,$F157)=0),"",IFERROR(INDEX('По размерам'!$A$2:$TY$86,MATCH($D$5,'По размерам'!$A$2:$A$86,0),INDEX('Каталог поиска'!$D$2:$D$998,$F157)),""))</f>
        <v/>
      </c>
      <c r="E157">
        <f>IF(OR($F157="",INDEX('Каталог поиска'!$D$2:$D$998,$F157)=0),"",IFERROR(INDEX('Количество значений'!$A$2:$TY$86,MATCH($D$5,'Количество значений'!$A$2:$A$86,0),INDEX('Каталог поиска'!$D$2:$D$998,$F157)),""))</f>
        <v/>
      </c>
      <c r="F157">
        <f>IFERROR(MATCH(145,'Каталог поиска'!$F$2:$F$998,0),"")</f>
        <v>145</v>
      </c>
    </row>
    <row r="158" spans="1:6" ht="36" customHeight="1">
      <c r="A158">
        <f>IF(F158="","",146)</f>
        <v>146</v>
      </c>
      <c r="B158" s="6" t="str">
        <f>IF($F158="","",INDEX('Каталог поиска'!$B$2:$B$998,$F158))</f>
        <v>SIDE treat(Comp) No.</v>
      </c>
      <c r="C158" s="6" t="str">
        <f>IF($F158="","",INDEX('Каталог поиска'!$C$2:$C$998,$F158))</f>
        <v>EP</v>
      </c>
      <c r="D158" s="7">
        <f>IF(OR($F158="",E158=0,INDEX('Каталог поиска'!$D$2:$D$998,$F158)=0),"",IFERROR(INDEX('По размерам'!$A$2:$TY$86,MATCH($D$5,'По размерам'!$A$2:$A$86,0),INDEX('Каталог поиска'!$D$2:$D$998,$F158)),""))</f>
        <v/>
      </c>
      <c r="E158">
        <f>IF(OR($F158="",INDEX('Каталог поиска'!$D$2:$D$998,$F158)=0),"",IFERROR(INDEX('Количество значений'!$A$2:$TY$86,MATCH($D$5,'Количество значений'!$A$2:$A$86,0),INDEX('Каталог поиска'!$D$2:$D$998,$F158)),""))</f>
        <v/>
      </c>
      <c r="F158">
        <f>IFERROR(MATCH(146,'Каталог поиска'!$F$2:$F$998,0),"")</f>
        <v>146</v>
      </c>
    </row>
    <row r="159" spans="1:6" ht="36" customHeight="1">
      <c r="A159">
        <f>IF(F159="","",147)</f>
        <v>147</v>
      </c>
      <c r="B159" s="6" t="str">
        <f>IF($F159="","",INDEX('Каталог поиска'!$B$2:$B$998,$F159))</f>
        <v>SIDE width</v>
      </c>
      <c r="C159" s="6" t="str">
        <f>IF($F159="","",INDEX('Каталог поиска'!$C$2:$C$998,$F159))</f>
        <v>EQ</v>
      </c>
      <c r="D159" s="7">
        <f>IF(OR($F159="",E159=0,INDEX('Каталог поиска'!$D$2:$D$998,$F159)=0),"",IFERROR(INDEX('По размерам'!$A$2:$TY$86,MATCH($D$5,'По размерам'!$A$2:$A$86,0),INDEX('Каталог поиска'!$D$2:$D$998,$F159)),""))</f>
        <v>94</v>
      </c>
      <c r="E159">
        <f>IF(OR($F159="",INDEX('Каталог поиска'!$D$2:$D$998,$F159)=0),"",IFERROR(INDEX('Количество значений'!$A$2:$TY$86,MATCH($D$5,'Количество значений'!$A$2:$A$86,0),INDEX('Каталог поиска'!$D$2:$D$998,$F159)),""))</f>
        <v>4</v>
      </c>
      <c r="F159">
        <f>IFERROR(MATCH(147,'Каталог поиска'!$F$2:$F$998,0),"")</f>
        <v>147</v>
      </c>
    </row>
    <row r="160" spans="1:6" ht="36" customHeight="1">
      <c r="A160">
        <f>IF(F160="","",148)</f>
        <v>148</v>
      </c>
      <c r="B160" s="6" t="str">
        <f>IF($F160="","",INDEX('Каталог поиска'!$B$2:$B$998,$F160))</f>
        <v>SIDE width +/-</v>
      </c>
      <c r="C160" s="6" t="str">
        <f>IF($F160="","",INDEX('Каталог поиска'!$C$2:$C$998,$F160))</f>
        <v>ER</v>
      </c>
      <c r="D160" s="7">
        <f>IF(OR($F160="",E160=0,INDEX('Каталог поиска'!$D$2:$D$998,$F160)=0),"",IFERROR(INDEX('По размерам'!$A$2:$TY$86,MATCH($D$5,'По размерам'!$A$2:$A$86,0),INDEX('Каталог поиска'!$D$2:$D$998,$F160)),""))</f>
        <v>3</v>
      </c>
      <c r="E160">
        <f>IF(OR($F160="",INDEX('Каталог поиска'!$D$2:$D$998,$F160)=0),"",IFERROR(INDEX('Количество значений'!$A$2:$TY$86,MATCH($D$5,'Количество значений'!$A$2:$A$86,0),INDEX('Каталог поиска'!$D$2:$D$998,$F160)),""))</f>
        <v>4</v>
      </c>
      <c r="F160">
        <f>IFERROR(MATCH(148,'Каталог поиска'!$F$2:$F$998,0),"")</f>
        <v>148</v>
      </c>
    </row>
    <row r="161" spans="1:6" ht="36" customHeight="1">
      <c r="A161">
        <f>IF(F161="","",149)</f>
        <v>149</v>
      </c>
      <c r="B161" s="6" t="str">
        <f>IF($F161="","",INDEX('Каталог поиска'!$B$2:$B$998,$F161))</f>
        <v>SIDE Angle gauge</v>
      </c>
      <c r="C161" s="6" t="str">
        <f>IF($F161="","",INDEX('Каталог поиска'!$C$2:$C$998,$F161))</f>
        <v>ES</v>
      </c>
      <c r="D161" s="7">
        <f>IF(OR($F161="",E161=0,INDEX('Каталог поиска'!$D$2:$D$998,$F161)=0),"",IFERROR(INDEX('По размерам'!$A$2:$TY$86,MATCH($D$5,'По размерам'!$A$2:$A$86,0),INDEX('Каталог поиска'!$D$2:$D$998,$F161)),""))</f>
        <v>5.0</v>
      </c>
      <c r="E161">
        <f>IF(OR($F161="",INDEX('Каталог поиска'!$D$2:$D$998,$F161)=0),"",IFERROR(INDEX('Количество значений'!$A$2:$TY$86,MATCH($D$5,'Количество значений'!$A$2:$A$86,0),INDEX('Каталог поиска'!$D$2:$D$998,$F161)),""))</f>
        <v>4</v>
      </c>
      <c r="F161">
        <f>IFERROR(MATCH(149,'Каталог поиска'!$F$2:$F$998,0),"")</f>
        <v>149</v>
      </c>
    </row>
    <row r="162" spans="1:6" ht="36" customHeight="1">
      <c r="A162">
        <f>IF(F162="","",150)</f>
        <v>150</v>
      </c>
      <c r="B162" s="6" t="str">
        <f>IF($F162="","",INDEX('Каталог поиска'!$B$2:$B$998,$F162))</f>
        <v>SIDE Length circum</v>
      </c>
      <c r="C162" s="6" t="str">
        <f>IF($F162="","",INDEX('Каталог поиска'!$C$2:$C$998,$F162))</f>
        <v>ET</v>
      </c>
      <c r="D162" s="7">
        <f>IF(OR($F162="",E162=0,INDEX('Каталог поиска'!$D$2:$D$998,$F162)=0),"",IFERROR(INDEX('По размерам'!$A$2:$TY$86,MATCH($D$5,'По размерам'!$A$2:$A$86,0),INDEX('Каталог поиска'!$D$2:$D$998,$F162)),""))</f>
        <v>1045</v>
      </c>
      <c r="E162">
        <f>IF(OR($F162="",INDEX('Каталог поиска'!$D$2:$D$998,$F162)=0),"",IFERROR(INDEX('Количество значений'!$A$2:$TY$86,MATCH($D$5,'Количество значений'!$A$2:$A$86,0),INDEX('Каталог поиска'!$D$2:$D$998,$F162)),""))</f>
        <v>4</v>
      </c>
      <c r="F162">
        <f>IFERROR(MATCH(150,'Каталог поиска'!$F$2:$F$998,0),"")</f>
        <v>150</v>
      </c>
    </row>
    <row r="163" spans="1:6" ht="36" customHeight="1">
      <c r="A163">
        <f>IF(F163="","",151)</f>
        <v>151</v>
      </c>
      <c r="B163" s="6" t="str">
        <f>IF($F163="","",INDEX('Каталог поиска'!$B$2:$B$998,$F163))</f>
        <v>SIDE Mass(g/m)</v>
      </c>
      <c r="C163" s="6" t="str">
        <f>IF($F163="","",INDEX('Каталог поиска'!$C$2:$C$998,$F163))</f>
        <v>EU</v>
      </c>
      <c r="D163" s="7">
        <f>IF(OR($F163="",E163=0,INDEX('Каталог поиска'!$D$2:$D$998,$F163)=0),"",IFERROR(INDEX('По размерам'!$A$2:$TY$86,MATCH($D$5,'По размерам'!$A$2:$A$86,0),INDEX('Каталог поиска'!$D$2:$D$998,$F163)),""))</f>
        <v>357.275</v>
      </c>
      <c r="E163">
        <f>IF(OR($F163="",INDEX('Каталог поиска'!$D$2:$D$998,$F163)=0),"",IFERROR(INDEX('Количество значений'!$A$2:$TY$86,MATCH($D$5,'Количество значений'!$A$2:$A$86,0),INDEX('Каталог поиска'!$D$2:$D$998,$F163)),""))</f>
        <v>4</v>
      </c>
      <c r="F163">
        <f>IFERROR(MATCH(151,'Каталог поиска'!$F$2:$F$998,0),"")</f>
        <v>151</v>
      </c>
    </row>
    <row r="164" spans="1:6" ht="36" customHeight="1">
      <c r="A164">
        <f>IF(F164="","",152)</f>
        <v>152</v>
      </c>
      <c r="B164" s="6" t="str">
        <f>IF($F164="","",INDEX('Каталог поиска'!$B$2:$B$998,$F164))</f>
        <v>SIDE Mass Tire</v>
      </c>
      <c r="C164" s="6" t="str">
        <f>IF($F164="","",INDEX('Каталог поиска'!$C$2:$C$998,$F164))</f>
        <v>EV</v>
      </c>
      <c r="D164" s="7">
        <f>IF(OR($F164="",E164=0,INDEX('Каталог поиска'!$D$2:$D$998,$F164)=0),"",IFERROR(INDEX('По размерам'!$A$2:$TY$86,MATCH($D$5,'По размерам'!$A$2:$A$86,0),INDEX('Каталог поиска'!$D$2:$D$998,$F164)),""))</f>
        <v>373.25</v>
      </c>
      <c r="E164">
        <f>IF(OR($F164="",INDEX('Каталог поиска'!$D$2:$D$998,$F164)=0),"",IFERROR(INDEX('Количество значений'!$A$2:$TY$86,MATCH($D$5,'Количество значений'!$A$2:$A$86,0),INDEX('Каталог поиска'!$D$2:$D$998,$F164)),""))</f>
        <v>4</v>
      </c>
      <c r="F164">
        <f>IFERROR(MATCH(152,'Каталог поиска'!$F$2:$F$998,0),"")</f>
        <v>152</v>
      </c>
    </row>
    <row r="165" spans="1:6" ht="36" customHeight="1">
      <c r="A165">
        <f>IF(F165="","",153)</f>
        <v>153</v>
      </c>
      <c r="B165" s="6" t="str">
        <f>IF($F165="","",INDEX('Каталог поиска'!$B$2:$B$998,$F165))</f>
        <v>AGS treat(Comp) No.</v>
      </c>
      <c r="C165" s="6" t="str">
        <f>IF($F165="","",INDEX('Каталог поиска'!$C$2:$C$998,$F165))</f>
        <v>EW</v>
      </c>
      <c r="D165" s="7">
        <f>IF(OR($F165="",E165=0,INDEX('Каталог поиска'!$D$2:$D$998,$F165)=0),"",IFERROR(INDEX('По размерам'!$A$2:$TY$86,MATCH($D$5,'По размерам'!$A$2:$A$86,0),INDEX('Каталог поиска'!$D$2:$D$998,$F165)),""))</f>
        <v/>
      </c>
      <c r="E165">
        <f>IF(OR($F165="",INDEX('Каталог поиска'!$D$2:$D$998,$F165)=0),"",IFERROR(INDEX('Количество значений'!$A$2:$TY$86,MATCH($D$5,'Количество значений'!$A$2:$A$86,0),INDEX('Каталог поиска'!$D$2:$D$998,$F165)),""))</f>
        <v/>
      </c>
      <c r="F165">
        <f>IFERROR(MATCH(153,'Каталог поиска'!$F$2:$F$998,0),"")</f>
        <v>153</v>
      </c>
    </row>
    <row r="166" spans="1:6" ht="36" customHeight="1">
      <c r="A166">
        <f>IF(F166="","",154)</f>
        <v>154</v>
      </c>
      <c r="B166" s="6" t="str">
        <f>IF($F166="","",INDEX('Каталог поиска'!$B$2:$B$998,$F166))</f>
        <v>AGS width</v>
      </c>
      <c r="C166" s="6" t="str">
        <f>IF($F166="","",INDEX('Каталог поиска'!$C$2:$C$998,$F166))</f>
        <v>EX</v>
      </c>
      <c r="D166" s="7">
        <f>IF(OR($F166="",E166=0,INDEX('Каталог поиска'!$D$2:$D$998,$F166)=0),"",IFERROR(INDEX('По размерам'!$A$2:$TY$86,MATCH($D$5,'По размерам'!$A$2:$A$86,0),INDEX('Каталог поиска'!$D$2:$D$998,$F166)),""))</f>
        <v>70</v>
      </c>
      <c r="E166">
        <f>IF(OR($F166="",INDEX('Каталог поиска'!$D$2:$D$998,$F166)=0),"",IFERROR(INDEX('Количество значений'!$A$2:$TY$86,MATCH($D$5,'Количество значений'!$A$2:$A$86,0),INDEX('Каталог поиска'!$D$2:$D$998,$F166)),""))</f>
        <v>4</v>
      </c>
      <c r="F166">
        <f>IFERROR(MATCH(154,'Каталог поиска'!$F$2:$F$998,0),"")</f>
        <v>154</v>
      </c>
    </row>
    <row r="167" spans="1:6" ht="36" customHeight="1">
      <c r="A167">
        <f>IF(F167="","",155)</f>
        <v>155</v>
      </c>
      <c r="B167" s="6" t="str">
        <f>IF($F167="","",INDEX('Каталог поиска'!$B$2:$B$998,$F167))</f>
        <v>AGS width +/-</v>
      </c>
      <c r="C167" s="6" t="str">
        <f>IF($F167="","",INDEX('Каталог поиска'!$C$2:$C$998,$F167))</f>
        <v>EY</v>
      </c>
      <c r="D167" s="7">
        <f>IF(OR($F167="",E167=0,INDEX('Каталог поиска'!$D$2:$D$998,$F167)=0),"",IFERROR(INDEX('По размерам'!$A$2:$TY$86,MATCH($D$5,'По размерам'!$A$2:$A$86,0),INDEX('Каталог поиска'!$D$2:$D$998,$F167)),""))</f>
        <v>2</v>
      </c>
      <c r="E167">
        <f>IF(OR($F167="",INDEX('Каталог поиска'!$D$2:$D$998,$F167)=0),"",IFERROR(INDEX('Количество значений'!$A$2:$TY$86,MATCH($D$5,'Количество значений'!$A$2:$A$86,0),INDEX('Каталог поиска'!$D$2:$D$998,$F167)),""))</f>
        <v>4</v>
      </c>
      <c r="F167">
        <f>IFERROR(MATCH(155,'Каталог поиска'!$F$2:$F$998,0),"")</f>
        <v>155</v>
      </c>
    </row>
    <row r="168" spans="1:6" ht="36" customHeight="1">
      <c r="A168">
        <f>IF(F168="","",156)</f>
        <v>156</v>
      </c>
      <c r="B168" s="6" t="str">
        <f>IF($F168="","",INDEX('Каталог поиска'!$B$2:$B$998,$F168))</f>
        <v>AGS Angle gauge</v>
      </c>
      <c r="C168" s="6" t="str">
        <f>IF($F168="","",INDEX('Каталог поиска'!$C$2:$C$998,$F168))</f>
        <v>EZ</v>
      </c>
      <c r="D168" s="7">
        <f>IF(OR($F168="",E168=0,INDEX('Каталог поиска'!$D$2:$D$998,$F168)=0),"",IFERROR(INDEX('По размерам'!$A$2:$TY$86,MATCH($D$5,'По размерам'!$A$2:$A$86,0),INDEX('Каталог поиска'!$D$2:$D$998,$F168)),""))</f>
        <v>4.15</v>
      </c>
      <c r="E168">
        <f>IF(OR($F168="",INDEX('Каталог поиска'!$D$2:$D$998,$F168)=0),"",IFERROR(INDEX('Количество значений'!$A$2:$TY$86,MATCH($D$5,'Количество значений'!$A$2:$A$86,0),INDEX('Каталог поиска'!$D$2:$D$998,$F168)),""))</f>
        <v>4</v>
      </c>
      <c r="F168">
        <f>IFERROR(MATCH(156,'Каталог поиска'!$F$2:$F$998,0),"")</f>
        <v>156</v>
      </c>
    </row>
    <row r="169" spans="1:6" ht="36" customHeight="1">
      <c r="A169">
        <f>IF(F169="","",157)</f>
        <v>157</v>
      </c>
      <c r="B169" s="6" t="str">
        <f>IF($F169="","",INDEX('Каталог поиска'!$B$2:$B$998,$F169))</f>
        <v>AGS Length circum</v>
      </c>
      <c r="C169" s="6" t="str">
        <f>IF($F169="","",INDEX('Каталог поиска'!$C$2:$C$998,$F169))</f>
        <v>FA</v>
      </c>
      <c r="D169" s="7">
        <f>IF(OR($F169="",E169=0,INDEX('Каталог поиска'!$D$2:$D$998,$F169)=0),"",IFERROR(INDEX('По размерам'!$A$2:$TY$86,MATCH($D$5,'По размерам'!$A$2:$A$86,0),INDEX('Каталог поиска'!$D$2:$D$998,$F169)),""))</f>
        <v>1045</v>
      </c>
      <c r="E169">
        <f>IF(OR($F169="",INDEX('Каталог поиска'!$D$2:$D$998,$F169)=0),"",IFERROR(INDEX('Количество значений'!$A$2:$TY$86,MATCH($D$5,'Количество значений'!$A$2:$A$86,0),INDEX('Каталог поиска'!$D$2:$D$998,$F169)),""))</f>
        <v>4</v>
      </c>
      <c r="F169">
        <f>IFERROR(MATCH(157,'Каталог поиска'!$F$2:$F$998,0),"")</f>
        <v>157</v>
      </c>
    </row>
    <row r="170" spans="1:6" ht="36" customHeight="1">
      <c r="A170">
        <f>IF(F170="","",158)</f>
        <v>158</v>
      </c>
      <c r="B170" s="6" t="str">
        <f>IF($F170="","",INDEX('Каталог поиска'!$B$2:$B$998,$F170))</f>
        <v>AGS Mass</v>
      </c>
      <c r="C170" s="6" t="str">
        <f>IF($F170="","",INDEX('Каталог поиска'!$C$2:$C$998,$F170))</f>
        <v>FB</v>
      </c>
      <c r="D170" s="7">
        <f>IF(OR($F170="",E170=0,INDEX('Каталог поиска'!$D$2:$D$998,$F170)=0),"",IFERROR(INDEX('По размерам'!$A$2:$TY$86,MATCH($D$5,'По размерам'!$A$2:$A$86,0),INDEX('Каталог поиска'!$D$2:$D$998,$F170)),""))</f>
        <v>207.10000000000002</v>
      </c>
      <c r="E170">
        <f>IF(OR($F170="",INDEX('Каталог поиска'!$D$2:$D$998,$F170)=0),"",IFERROR(INDEX('Количество значений'!$A$2:$TY$86,MATCH($D$5,'Количество значений'!$A$2:$A$86,0),INDEX('Каталог поиска'!$D$2:$D$998,$F170)),""))</f>
        <v>4</v>
      </c>
      <c r="F170">
        <f>IFERROR(MATCH(158,'Каталог поиска'!$F$2:$F$998,0),"")</f>
        <v>158</v>
      </c>
    </row>
    <row r="171" spans="1:6" ht="36" customHeight="1">
      <c r="A171">
        <f>IF(F171="","",159)</f>
        <v>159</v>
      </c>
      <c r="B171" s="6" t="str">
        <f>IF($F171="","",INDEX('Каталог поиска'!$B$2:$B$998,$F171))</f>
        <v>AGS Mass tire</v>
      </c>
      <c r="C171" s="6" t="str">
        <f>IF($F171="","",INDEX('Каталог поиска'!$C$2:$C$998,$F171))</f>
        <v>FC</v>
      </c>
      <c r="D171" s="7">
        <f>IF(OR($F171="",E171=0,INDEX('Каталог поиска'!$D$2:$D$998,$F171)=0),"",IFERROR(INDEX('По размерам'!$A$2:$TY$86,MATCH($D$5,'По размерам'!$A$2:$A$86,0),INDEX('Каталог поиска'!$D$2:$D$998,$F171)),""))</f>
        <v>216.5</v>
      </c>
      <c r="E171">
        <f>IF(OR($F171="",INDEX('Каталог поиска'!$D$2:$D$998,$F171)=0),"",IFERROR(INDEX('Количество значений'!$A$2:$TY$86,MATCH($D$5,'Количество значений'!$A$2:$A$86,0),INDEX('Каталог поиска'!$D$2:$D$998,$F171)),""))</f>
        <v>4</v>
      </c>
      <c r="F171">
        <f>IFERROR(MATCH(159,'Каталог поиска'!$F$2:$F$998,0),"")</f>
        <v>159</v>
      </c>
    </row>
    <row r="172" spans="1:6" ht="36" customHeight="1">
      <c r="A172">
        <f>IF(F172="","",160)</f>
        <v>160</v>
      </c>
      <c r="B172" s="6" t="str">
        <f>IF($F172="","",INDEX('Каталог поиска'!$B$2:$B$998,$F172))</f>
        <v>2NDBF treat(Comp) No.</v>
      </c>
      <c r="C172" s="6" t="str">
        <f>IF($F172="","",INDEX('Каталог поиска'!$C$2:$C$998,$F172))</f>
        <v>FD</v>
      </c>
      <c r="D172" s="7">
        <f>IF(OR($F172="",E172=0,INDEX('Каталог поиска'!$D$2:$D$998,$F172)=0),"",IFERROR(INDEX('По размерам'!$A$2:$TY$86,MATCH($D$5,'По размерам'!$A$2:$A$86,0),INDEX('Каталог поиска'!$D$2:$D$998,$F172)),""))</f>
        <v/>
      </c>
      <c r="E172">
        <f>IF(OR($F172="",INDEX('Каталог поиска'!$D$2:$D$998,$F172)=0),"",IFERROR(INDEX('Количество значений'!$A$2:$TY$86,MATCH($D$5,'Количество значений'!$A$2:$A$86,0),INDEX('Каталог поиска'!$D$2:$D$998,$F172)),""))</f>
        <v/>
      </c>
      <c r="F172">
        <f>IFERROR(MATCH(160,'Каталог поиска'!$F$2:$F$998,0),"")</f>
        <v>160</v>
      </c>
    </row>
    <row r="173" spans="1:6" ht="36" customHeight="1">
      <c r="A173">
        <f>IF(F173="","",161)</f>
        <v>161</v>
      </c>
      <c r="B173" s="6" t="str">
        <f>IF($F173="","",INDEX('Каталог поиска'!$B$2:$B$998,$F173))</f>
        <v>2NDBF width</v>
      </c>
      <c r="C173" s="6" t="str">
        <f>IF($F173="","",INDEX('Каталог поиска'!$C$2:$C$998,$F173))</f>
        <v>FE</v>
      </c>
      <c r="D173" s="7">
        <f>IF(OR($F173="",E173=0,INDEX('Каталог поиска'!$D$2:$D$998,$F173)=0),"",IFERROR(INDEX('По размерам'!$A$2:$TY$86,MATCH($D$5,'По размерам'!$A$2:$A$86,0),INDEX('Каталог поиска'!$D$2:$D$998,$F173)),""))</f>
        <v>0</v>
      </c>
      <c r="E173">
        <f>IF(OR($F173="",INDEX('Каталог поиска'!$D$2:$D$998,$F173)=0),"",IFERROR(INDEX('Количество значений'!$A$2:$TY$86,MATCH($D$5,'Количество значений'!$A$2:$A$86,0),INDEX('Каталог поиска'!$D$2:$D$998,$F173)),""))</f>
        <v>4</v>
      </c>
      <c r="F173">
        <f>IFERROR(MATCH(161,'Каталог поиска'!$F$2:$F$998,0),"")</f>
        <v>161</v>
      </c>
    </row>
    <row r="174" spans="1:6" ht="36" customHeight="1">
      <c r="A174">
        <f>IF(F174="","",162)</f>
        <v>162</v>
      </c>
      <c r="B174" s="6" t="str">
        <f>IF($F174="","",INDEX('Каталог поиска'!$B$2:$B$998,$F174))</f>
        <v>2NDBF width +/-</v>
      </c>
      <c r="C174" s="6" t="str">
        <f>IF($F174="","",INDEX('Каталог поиска'!$C$2:$C$998,$F174))</f>
        <v>FF</v>
      </c>
      <c r="D174" s="7">
        <f>IF(OR($F174="",E174=0,INDEX('Каталог поиска'!$D$2:$D$998,$F174)=0),"",IFERROR(INDEX('По размерам'!$A$2:$TY$86,MATCH($D$5,'По размерам'!$A$2:$A$86,0),INDEX('Каталог поиска'!$D$2:$D$998,$F174)),""))</f>
        <v>2</v>
      </c>
      <c r="E174">
        <f>IF(OR($F174="",INDEX('Каталог поиска'!$D$2:$D$998,$F174)=0),"",IFERROR(INDEX('Количество значений'!$A$2:$TY$86,MATCH($D$5,'Количество значений'!$A$2:$A$86,0),INDEX('Каталог поиска'!$D$2:$D$998,$F174)),""))</f>
        <v>4</v>
      </c>
      <c r="F174">
        <f>IFERROR(MATCH(162,'Каталог поиска'!$F$2:$F$998,0),"")</f>
        <v>162</v>
      </c>
    </row>
    <row r="175" spans="1:6" ht="36" customHeight="1">
      <c r="A175">
        <f>IF(F175="","",163)</f>
        <v>163</v>
      </c>
      <c r="B175" s="6" t="str">
        <f>IF($F175="","",INDEX('Каталог поиска'!$B$2:$B$998,$F175))</f>
        <v>2NDBF Angle gauge</v>
      </c>
      <c r="C175" s="6" t="str">
        <f>IF($F175="","",INDEX('Каталог поиска'!$C$2:$C$998,$F175))</f>
        <v>FG</v>
      </c>
      <c r="D175" s="7">
        <f>IF(OR($F175="",E175=0,INDEX('Каталог поиска'!$D$2:$D$998,$F175)=0),"",IFERROR(INDEX('По размерам'!$A$2:$TY$86,MATCH($D$5,'По размерам'!$A$2:$A$86,0),INDEX('Каталог поиска'!$D$2:$D$998,$F175)),""))</f>
        <v/>
      </c>
      <c r="E175">
        <f>IF(OR($F175="",INDEX('Каталог поиска'!$D$2:$D$998,$F175)=0),"",IFERROR(INDEX('Количество значений'!$A$2:$TY$86,MATCH($D$5,'Количество значений'!$A$2:$A$86,0),INDEX('Каталог поиска'!$D$2:$D$998,$F175)),""))</f>
        <v/>
      </c>
      <c r="F175">
        <f>IFERROR(MATCH(163,'Каталог поиска'!$F$2:$F$998,0),"")</f>
        <v>163</v>
      </c>
    </row>
    <row r="176" spans="1:6" ht="36" customHeight="1">
      <c r="A176">
        <f>IF(F176="","",164)</f>
        <v>164</v>
      </c>
      <c r="B176" s="6" t="str">
        <f>IF($F176="","",INDEX('Каталог поиска'!$B$2:$B$998,$F176))</f>
        <v>2NDBF Length circum</v>
      </c>
      <c r="C176" s="6" t="str">
        <f>IF($F176="","",INDEX('Каталог поиска'!$C$2:$C$998,$F176))</f>
        <v>FH</v>
      </c>
      <c r="D176" s="7">
        <f>IF(OR($F176="",E176=0,INDEX('Каталог поиска'!$D$2:$D$998,$F176)=0),"",IFERROR(INDEX('По размерам'!$A$2:$TY$86,MATCH($D$5,'По размерам'!$A$2:$A$86,0),INDEX('Каталог поиска'!$D$2:$D$998,$F176)),""))</f>
        <v/>
      </c>
      <c r="E176">
        <f>IF(OR($F176="",INDEX('Каталог поиска'!$D$2:$D$998,$F176)=0),"",IFERROR(INDEX('Количество значений'!$A$2:$TY$86,MATCH($D$5,'Количество значений'!$A$2:$A$86,0),INDEX('Каталог поиска'!$D$2:$D$998,$F176)),""))</f>
        <v/>
      </c>
      <c r="F176">
        <f>IFERROR(MATCH(164,'Каталог поиска'!$F$2:$F$998,0),"")</f>
        <v>164</v>
      </c>
    </row>
    <row r="177" spans="1:6" ht="36" customHeight="1">
      <c r="A177">
        <f>IF(F177="","",165)</f>
        <v>165</v>
      </c>
      <c r="B177" s="6" t="str">
        <f>IF($F177="","",INDEX('Каталог поиска'!$B$2:$B$998,$F177))</f>
        <v>2NDBF Mass</v>
      </c>
      <c r="C177" s="6" t="str">
        <f>IF($F177="","",INDEX('Каталог поиска'!$C$2:$C$998,$F177))</f>
        <v>FI</v>
      </c>
      <c r="D177" s="7">
        <f>IF(OR($F177="",E177=0,INDEX('Каталог поиска'!$D$2:$D$998,$F177)=0),"",IFERROR(INDEX('По размерам'!$A$2:$TY$86,MATCH($D$5,'По размерам'!$A$2:$A$86,0),INDEX('Каталог поиска'!$D$2:$D$998,$F177)),""))</f>
        <v>0</v>
      </c>
      <c r="E177">
        <f>IF(OR($F177="",INDEX('Каталог поиска'!$D$2:$D$998,$F177)=0),"",IFERROR(INDEX('Количество значений'!$A$2:$TY$86,MATCH($D$5,'Количество значений'!$A$2:$A$86,0),INDEX('Каталог поиска'!$D$2:$D$998,$F177)),""))</f>
        <v>4</v>
      </c>
      <c r="F177">
        <f>IFERROR(MATCH(165,'Каталог поиска'!$F$2:$F$998,0),"")</f>
        <v>165</v>
      </c>
    </row>
    <row r="178" spans="1:6" ht="36" customHeight="1">
      <c r="A178">
        <f>IF(F178="","",166)</f>
        <v>166</v>
      </c>
      <c r="B178" s="6" t="str">
        <f>IF($F178="","",INDEX('Каталог поиска'!$B$2:$B$998,$F178))</f>
        <v>2NDBF Mass tire</v>
      </c>
      <c r="C178" s="6" t="str">
        <f>IF($F178="","",INDEX('Каталог поиска'!$C$2:$C$998,$F178))</f>
        <v>FJ</v>
      </c>
      <c r="D178" s="7">
        <f>IF(OR($F178="",E178=0,INDEX('Каталог поиска'!$D$2:$D$998,$F178)=0),"",IFERROR(INDEX('По размерам'!$A$2:$TY$86,MATCH($D$5,'По размерам'!$A$2:$A$86,0),INDEX('Каталог поиска'!$D$2:$D$998,$F178)),""))</f>
        <v/>
      </c>
      <c r="E178">
        <f>IF(OR($F178="",INDEX('Каталог поиска'!$D$2:$D$998,$F178)=0),"",IFERROR(INDEX('Количество значений'!$A$2:$TY$86,MATCH($D$5,'Количество значений'!$A$2:$A$86,0),INDEX('Каталог поиска'!$D$2:$D$998,$F178)),""))</f>
        <v/>
      </c>
      <c r="F178">
        <f>IFERROR(MATCH(166,'Каталог поиска'!$F$2:$F$998,0),"")</f>
        <v>166</v>
      </c>
    </row>
    <row r="179" spans="1:6" ht="36" customHeight="1">
      <c r="A179">
        <f>IF(F179="","",167)</f>
        <v>167</v>
      </c>
      <c r="B179" s="6" t="str">
        <f>IF($F179="","",INDEX('Каталог поиска'!$B$2:$B$998,$F179))</f>
        <v>1P B1 Gum No.</v>
      </c>
      <c r="C179" s="6" t="str">
        <f>IF($F179="","",INDEX('Каталог поиска'!$C$2:$C$998,$F179))</f>
        <v>FK</v>
      </c>
      <c r="D179" s="7">
        <f>IF(OR($F179="",E179=0,INDEX('Каталог поиска'!$D$2:$D$998,$F179)=0),"",IFERROR(INDEX('По размерам'!$A$2:$TY$86,MATCH($D$5,'По размерам'!$A$2:$A$86,0),INDEX('Каталог поиска'!$D$2:$D$998,$F179)),""))</f>
        <v/>
      </c>
      <c r="E179">
        <f>IF(OR($F179="",INDEX('Каталог поиска'!$D$2:$D$998,$F179)=0),"",IFERROR(INDEX('Количество значений'!$A$2:$TY$86,MATCH($D$5,'Количество значений'!$A$2:$A$86,0),INDEX('Каталог поиска'!$D$2:$D$998,$F179)),""))</f>
        <v/>
      </c>
      <c r="F179">
        <f>IFERROR(MATCH(167,'Каталог поиска'!$F$2:$F$998,0),"")</f>
        <v>167</v>
      </c>
    </row>
    <row r="180" spans="1:6" ht="36" customHeight="1">
      <c r="A180">
        <f>IF(F180="","",168)</f>
        <v>168</v>
      </c>
      <c r="B180" s="6" t="str">
        <f>IF($F180="","",INDEX('Каталог поиска'!$B$2:$B$998,$F180))</f>
        <v>1P B1 Gauge</v>
      </c>
      <c r="C180" s="6" t="str">
        <f>IF($F180="","",INDEX('Каталог поиска'!$C$2:$C$998,$F180))</f>
        <v>FL</v>
      </c>
      <c r="D180" s="7">
        <f>IF(OR($F180="",E180=0,INDEX('Каталог поиска'!$D$2:$D$998,$F180)=0),"",IFERROR(INDEX('По размерам'!$A$2:$TY$86,MATCH($D$5,'По размерам'!$A$2:$A$86,0),INDEX('Каталог поиска'!$D$2:$D$998,$F180)),""))</f>
        <v>0.4</v>
      </c>
      <c r="E180">
        <f>IF(OR($F180="",INDEX('Каталог поиска'!$D$2:$D$998,$F180)=0),"",IFERROR(INDEX('Количество значений'!$A$2:$TY$86,MATCH($D$5,'Количество значений'!$A$2:$A$86,0),INDEX('Каталог поиска'!$D$2:$D$998,$F180)),""))</f>
        <v>4</v>
      </c>
      <c r="F180">
        <f>IFERROR(MATCH(168,'Каталог поиска'!$F$2:$F$998,0),"")</f>
        <v>168</v>
      </c>
    </row>
    <row r="181" spans="1:6" ht="36" customHeight="1">
      <c r="A181">
        <f>IF(F181="","",169)</f>
        <v>169</v>
      </c>
      <c r="B181" s="6" t="str">
        <f>IF($F181="","",INDEX('Каталог поиска'!$B$2:$B$998,$F181))</f>
        <v>1P B1 Width-1</v>
      </c>
      <c r="C181" s="6" t="str">
        <f>IF($F181="","",INDEX('Каталог поиска'!$C$2:$C$998,$F181))</f>
        <v>FM</v>
      </c>
      <c r="D181" s="7">
        <f>IF(OR($F181="",E181=0,INDEX('Каталог поиска'!$D$2:$D$998,$F181)=0),"",IFERROR(INDEX('По размерам'!$A$2:$TY$86,MATCH($D$5,'По размерам'!$A$2:$A$86,0),INDEX('Каталог поиска'!$D$2:$D$998,$F181)),""))</f>
        <v>60</v>
      </c>
      <c r="E181">
        <f>IF(OR($F181="",INDEX('Каталог поиска'!$D$2:$D$998,$F181)=0),"",IFERROR(INDEX('Количество значений'!$A$2:$TY$86,MATCH($D$5,'Количество значений'!$A$2:$A$86,0),INDEX('Каталог поиска'!$D$2:$D$998,$F181)),""))</f>
        <v>4</v>
      </c>
      <c r="F181">
        <f>IFERROR(MATCH(169,'Каталог поиска'!$F$2:$F$998,0),"")</f>
        <v>169</v>
      </c>
    </row>
    <row r="182" spans="1:6" ht="36" customHeight="1">
      <c r="A182">
        <f>IF(F182="","",170)</f>
        <v>170</v>
      </c>
      <c r="B182" s="6" t="str">
        <f>IF($F182="","",INDEX('Каталог поиска'!$B$2:$B$998,$F182))</f>
        <v>1P B1 Set-1</v>
      </c>
      <c r="C182" s="6" t="str">
        <f>IF($F182="","",INDEX('Каталог поиска'!$C$2:$C$998,$F182))</f>
        <v>FN</v>
      </c>
      <c r="D182" s="7">
        <f>IF(OR($F182="",E182=0,INDEX('Каталог поиска'!$D$2:$D$998,$F182)=0),"",IFERROR(INDEX('По размерам'!$A$2:$TY$86,MATCH($D$5,'По размерам'!$A$2:$A$86,0),INDEX('Каталог поиска'!$D$2:$D$998,$F182)),""))</f>
        <v>165</v>
      </c>
      <c r="E182">
        <f>IF(OR($F182="",INDEX('Каталог поиска'!$D$2:$D$998,$F182)=0),"",IFERROR(INDEX('Количество значений'!$A$2:$TY$86,MATCH($D$5,'Количество значений'!$A$2:$A$86,0),INDEX('Каталог поиска'!$D$2:$D$998,$F182)),""))</f>
        <v>4</v>
      </c>
      <c r="F182">
        <f>IFERROR(MATCH(170,'Каталог поиска'!$F$2:$F$998,0),"")</f>
        <v>170</v>
      </c>
    </row>
    <row r="183" spans="1:6" ht="36" customHeight="1">
      <c r="A183">
        <f>IF(F183="","",171)</f>
        <v>171</v>
      </c>
      <c r="B183" s="6" t="str">
        <f>IF($F183="","",INDEX('Каталог поиска'!$B$2:$B$998,$F183))</f>
        <v>1P B1 Width-2</v>
      </c>
      <c r="C183" s="6" t="str">
        <f>IF($F183="","",INDEX('Каталог поиска'!$C$2:$C$998,$F183))</f>
        <v>FO</v>
      </c>
      <c r="D183" s="7">
        <f>IF(OR($F183="",E183=0,INDEX('Каталог поиска'!$D$2:$D$998,$F183)=0),"",IFERROR(INDEX('По размерам'!$A$2:$TY$86,MATCH($D$5,'По размерам'!$A$2:$A$86,0),INDEX('Каталог поиска'!$D$2:$D$998,$F183)),""))</f>
        <v>80</v>
      </c>
      <c r="E183">
        <f>IF(OR($F183="",INDEX('Каталог поиска'!$D$2:$D$998,$F183)=0),"",IFERROR(INDEX('Количество значений'!$A$2:$TY$86,MATCH($D$5,'Количество значений'!$A$2:$A$86,0),INDEX('Каталог поиска'!$D$2:$D$998,$F183)),""))</f>
        <v>1</v>
      </c>
      <c r="F183">
        <f>IFERROR(MATCH(171,'Каталог поиска'!$F$2:$F$998,0),"")</f>
        <v>171</v>
      </c>
    </row>
    <row r="184" spans="1:6" ht="36" customHeight="1">
      <c r="A184">
        <f>IF(F184="","",172)</f>
        <v>172</v>
      </c>
      <c r="B184" s="6" t="str">
        <f>IF($F184="","",INDEX('Каталог поиска'!$B$2:$B$998,$F184))</f>
        <v>1P B1 Set-2</v>
      </c>
      <c r="C184" s="6" t="str">
        <f>IF($F184="","",INDEX('Каталог поиска'!$C$2:$C$998,$F184))</f>
        <v>FP</v>
      </c>
      <c r="D184" s="7">
        <f>IF(OR($F184="",E184=0,INDEX('Каталог поиска'!$D$2:$D$998,$F184)=0),"",IFERROR(INDEX('По размерам'!$A$2:$TY$86,MATCH($D$5,'По размерам'!$A$2:$A$86,0),INDEX('Каталог поиска'!$D$2:$D$998,$F184)),""))</f>
        <v>110</v>
      </c>
      <c r="E184">
        <f>IF(OR($F184="",INDEX('Каталог поиска'!$D$2:$D$998,$F184)=0),"",IFERROR(INDEX('Количество значений'!$A$2:$TY$86,MATCH($D$5,'Количество значений'!$A$2:$A$86,0),INDEX('Каталог поиска'!$D$2:$D$998,$F184)),""))</f>
        <v>1</v>
      </c>
      <c r="F184">
        <f>IFERROR(MATCH(172,'Каталог поиска'!$F$2:$F$998,0),"")</f>
        <v>172</v>
      </c>
    </row>
    <row r="185" spans="1:6" ht="36" customHeight="1">
      <c r="A185">
        <f>IF(F185="","",173)</f>
        <v>173</v>
      </c>
      <c r="B185" s="6" t="str">
        <f>IF($F185="","",INDEX('Каталог поиска'!$B$2:$B$998,$F185))</f>
        <v>1P B1 Width-3</v>
      </c>
      <c r="C185" s="6" t="str">
        <f>IF($F185="","",INDEX('Каталог поиска'!$C$2:$C$998,$F185))</f>
        <v>FQ</v>
      </c>
      <c r="D185" s="7">
        <f>IF(OR($F185="",E185=0,INDEX('Каталог поиска'!$D$2:$D$998,$F185)=0),"",IFERROR(INDEX('По размерам'!$A$2:$TY$86,MATCH($D$5,'По размерам'!$A$2:$A$86,0),INDEX('Каталог поиска'!$D$2:$D$998,$F185)),""))</f>
        <v/>
      </c>
      <c r="E185">
        <f>IF(OR($F185="",INDEX('Каталог поиска'!$D$2:$D$998,$F185)=0),"",IFERROR(INDEX('Количество значений'!$A$2:$TY$86,MATCH($D$5,'Количество значений'!$A$2:$A$86,0),INDEX('Каталог поиска'!$D$2:$D$998,$F185)),""))</f>
        <v/>
      </c>
      <c r="F185">
        <f>IFERROR(MATCH(173,'Каталог поиска'!$F$2:$F$998,0),"")</f>
        <v>173</v>
      </c>
    </row>
    <row r="186" spans="1:6" ht="36" customHeight="1">
      <c r="A186">
        <f>IF(F186="","",174)</f>
        <v>174</v>
      </c>
      <c r="B186" s="6" t="str">
        <f>IF($F186="","",INDEX('Каталог поиска'!$B$2:$B$998,$F186))</f>
        <v>1P T1 Gum No.</v>
      </c>
      <c r="C186" s="6" t="str">
        <f>IF($F186="","",INDEX('Каталог поиска'!$C$2:$C$998,$F186))</f>
        <v>FR</v>
      </c>
      <c r="D186" s="7">
        <f>IF(OR($F186="",E186=0,INDEX('Каталог поиска'!$D$2:$D$998,$F186)=0),"",IFERROR(INDEX('По размерам'!$A$2:$TY$86,MATCH($D$5,'По размерам'!$A$2:$A$86,0),INDEX('Каталог поиска'!$D$2:$D$998,$F186)),""))</f>
        <v/>
      </c>
      <c r="E186">
        <f>IF(OR($F186="",INDEX('Каталог поиска'!$D$2:$D$998,$F186)=0),"",IFERROR(INDEX('Количество значений'!$A$2:$TY$86,MATCH($D$5,'Количество значений'!$A$2:$A$86,0),INDEX('Каталог поиска'!$D$2:$D$998,$F186)),""))</f>
        <v/>
      </c>
      <c r="F186">
        <f>IFERROR(MATCH(174,'Каталог поиска'!$F$2:$F$998,0),"")</f>
        <v>174</v>
      </c>
    </row>
    <row r="187" spans="1:6" ht="36" customHeight="1">
      <c r="A187">
        <f>IF(F187="","",175)</f>
        <v>175</v>
      </c>
      <c r="B187" s="6" t="str">
        <f>IF($F187="","",INDEX('Каталог поиска'!$B$2:$B$998,$F187))</f>
        <v>1P T1 Gauge</v>
      </c>
      <c r="C187" s="6" t="str">
        <f>IF($F187="","",INDEX('Каталог поиска'!$C$2:$C$998,$F187))</f>
        <v>FS</v>
      </c>
      <c r="D187" s="7">
        <f>IF(OR($F187="",E187=0,INDEX('Каталог поиска'!$D$2:$D$998,$F187)=0),"",IFERROR(INDEX('По размерам'!$A$2:$TY$86,MATCH($D$5,'По размерам'!$A$2:$A$86,0),INDEX('Каталог поиска'!$D$2:$D$998,$F187)),""))</f>
        <v>0.4</v>
      </c>
      <c r="E187">
        <f>IF(OR($F187="",INDEX('Каталог поиска'!$D$2:$D$998,$F187)=0),"",IFERROR(INDEX('Количество значений'!$A$2:$TY$86,MATCH($D$5,'Количество значений'!$A$2:$A$86,0),INDEX('Каталог поиска'!$D$2:$D$998,$F187)),""))</f>
        <v>4</v>
      </c>
      <c r="F187">
        <f>IFERROR(MATCH(175,'Каталог поиска'!$F$2:$F$998,0),"")</f>
        <v>175</v>
      </c>
    </row>
    <row r="188" spans="1:6" ht="36" customHeight="1">
      <c r="A188">
        <f>IF(F188="","",176)</f>
        <v>176</v>
      </c>
      <c r="B188" s="6" t="str">
        <f>IF($F188="","",INDEX('Каталог поиска'!$B$2:$B$998,$F188))</f>
        <v>1P T1 Width-1</v>
      </c>
      <c r="C188" s="6" t="str">
        <f>IF($F188="","",INDEX('Каталог поиска'!$C$2:$C$998,$F188))</f>
        <v>FT</v>
      </c>
      <c r="D188" s="7">
        <f>IF(OR($F188="",E188=0,INDEX('Каталог поиска'!$D$2:$D$998,$F188)=0),"",IFERROR(INDEX('По размерам'!$A$2:$TY$86,MATCH($D$5,'По размерам'!$A$2:$A$86,0),INDEX('Каталог поиска'!$D$2:$D$998,$F188)),""))</f>
        <v>30</v>
      </c>
      <c r="E188">
        <f>IF(OR($F188="",INDEX('Каталог поиска'!$D$2:$D$998,$F188)=0),"",IFERROR(INDEX('Количество значений'!$A$2:$TY$86,MATCH($D$5,'Количество значений'!$A$2:$A$86,0),INDEX('Каталог поиска'!$D$2:$D$998,$F188)),""))</f>
        <v>4</v>
      </c>
      <c r="F188">
        <f>IFERROR(MATCH(176,'Каталог поиска'!$F$2:$F$998,0),"")</f>
        <v>176</v>
      </c>
    </row>
    <row r="189" spans="1:6" ht="36" customHeight="1">
      <c r="A189">
        <f>IF(F189="","",177)</f>
        <v>177</v>
      </c>
      <c r="B189" s="6" t="str">
        <f>IF($F189="","",INDEX('Каталог поиска'!$B$2:$B$998,$F189))</f>
        <v>1P T1 Set-1</v>
      </c>
      <c r="C189" s="6" t="str">
        <f>IF($F189="","",INDEX('Каталог поиска'!$C$2:$C$998,$F189))</f>
        <v>FU</v>
      </c>
      <c r="D189" s="7">
        <f>IF(OR($F189="",E189=0,INDEX('Каталог поиска'!$D$2:$D$998,$F189)=0),"",IFERROR(INDEX('По размерам'!$A$2:$TY$86,MATCH($D$5,'По размерам'!$A$2:$A$86,0),INDEX('Каталог поиска'!$D$2:$D$998,$F189)),""))</f>
        <v>315</v>
      </c>
      <c r="E189">
        <f>IF(OR($F189="",INDEX('Каталог поиска'!$D$2:$D$998,$F189)=0),"",IFERROR(INDEX('Количество значений'!$A$2:$TY$86,MATCH($D$5,'Количество значений'!$A$2:$A$86,0),INDEX('Каталог поиска'!$D$2:$D$998,$F189)),""))</f>
        <v>4</v>
      </c>
      <c r="F189">
        <f>IFERROR(MATCH(177,'Каталог поиска'!$F$2:$F$998,0),"")</f>
        <v>177</v>
      </c>
    </row>
    <row r="190" spans="1:6" ht="36" customHeight="1">
      <c r="A190">
        <f>IF(F190="","",178)</f>
        <v>178</v>
      </c>
      <c r="B190" s="6" t="str">
        <f>IF($F190="","",INDEX('Каталог поиска'!$B$2:$B$998,$F190))</f>
        <v>1P T1 Width-2</v>
      </c>
      <c r="C190" s="6" t="str">
        <f>IF($F190="","",INDEX('Каталог поиска'!$C$2:$C$998,$F190))</f>
        <v>FV</v>
      </c>
      <c r="D190" s="7">
        <f>IF(OR($F190="",E190=0,INDEX('Каталог поиска'!$D$2:$D$998,$F190)=0),"",IFERROR(INDEX('По размерам'!$A$2:$TY$86,MATCH($D$5,'По размерам'!$A$2:$A$86,0),INDEX('Каталог поиска'!$D$2:$D$998,$F190)),""))</f>
        <v>26.666666666666668</v>
      </c>
      <c r="E190">
        <f>IF(OR($F190="",INDEX('Каталог поиска'!$D$2:$D$998,$F190)=0),"",IFERROR(INDEX('Количество значений'!$A$2:$TY$86,MATCH($D$5,'Количество значений'!$A$2:$A$86,0),INDEX('Каталог поиска'!$D$2:$D$998,$F190)),""))</f>
        <v>3</v>
      </c>
      <c r="F190">
        <f>IFERROR(MATCH(178,'Каталог поиска'!$F$2:$F$998,0),"")</f>
        <v>178</v>
      </c>
    </row>
    <row r="191" spans="1:6" ht="36" customHeight="1">
      <c r="A191">
        <f>IF(F191="","",179)</f>
        <v>179</v>
      </c>
      <c r="B191" s="6" t="str">
        <f>IF($F191="","",INDEX('Каталог поиска'!$B$2:$B$998,$F191))</f>
        <v>1P T1 Set-2</v>
      </c>
      <c r="C191" s="6" t="str">
        <f>IF($F191="","",INDEX('Каталог поиска'!$C$2:$C$998,$F191))</f>
        <v>FW</v>
      </c>
      <c r="D191" s="7">
        <f>IF(OR($F191="",E191=0,INDEX('Каталог поиска'!$D$2:$D$998,$F191)=0),"",IFERROR(INDEX('По размерам'!$A$2:$TY$86,MATCH($D$5,'По размерам'!$A$2:$A$86,0),INDEX('Каталог поиска'!$D$2:$D$998,$F191)),""))</f>
        <v>193.33333333333334</v>
      </c>
      <c r="E191">
        <f>IF(OR($F191="",INDEX('Каталог поиска'!$D$2:$D$998,$F191)=0),"",IFERROR(INDEX('Количество значений'!$A$2:$TY$86,MATCH($D$5,'Количество значений'!$A$2:$A$86,0),INDEX('Каталог поиска'!$D$2:$D$998,$F191)),""))</f>
        <v>3</v>
      </c>
      <c r="F191">
        <f>IFERROR(MATCH(179,'Каталог поиска'!$F$2:$F$998,0),"")</f>
        <v>179</v>
      </c>
    </row>
    <row r="192" spans="1:6" ht="36" customHeight="1">
      <c r="A192">
        <f>IF(F192="","",180)</f>
        <v>180</v>
      </c>
      <c r="B192" s="6" t="str">
        <f>IF($F192="","",INDEX('Каталог поиска'!$B$2:$B$998,$F192))</f>
        <v>1P T1 Width-3</v>
      </c>
      <c r="C192" s="6" t="str">
        <f>IF($F192="","",INDEX('Каталог поиска'!$C$2:$C$998,$F192))</f>
        <v>FX</v>
      </c>
      <c r="D192" s="7">
        <f>IF(OR($F192="",E192=0,INDEX('Каталог поиска'!$D$2:$D$998,$F192)=0),"",IFERROR(INDEX('По размерам'!$A$2:$TY$86,MATCH($D$5,'По размерам'!$A$2:$A$86,0),INDEX('Каталог поиска'!$D$2:$D$998,$F192)),""))</f>
        <v/>
      </c>
      <c r="E192">
        <f>IF(OR($F192="",INDEX('Каталог поиска'!$D$2:$D$998,$F192)=0),"",IFERROR(INDEX('Количество значений'!$A$2:$TY$86,MATCH($D$5,'Количество значений'!$A$2:$A$86,0),INDEX('Каталог поиска'!$D$2:$D$998,$F192)),""))</f>
        <v/>
      </c>
      <c r="F192">
        <f>IFERROR(MATCH(180,'Каталог поиска'!$F$2:$F$998,0),"")</f>
        <v>180</v>
      </c>
    </row>
    <row r="193" spans="1:6" ht="36" customHeight="1">
      <c r="A193">
        <f>IF(F193="","",181)</f>
        <v>181</v>
      </c>
      <c r="B193" s="6" t="str">
        <f>IF($F193="","",INDEX('Каталог поиска'!$B$2:$B$998,$F193))</f>
        <v>1P TPI Gum No.</v>
      </c>
      <c r="C193" s="6" t="str">
        <f>IF($F193="","",INDEX('Каталог поиска'!$C$2:$C$998,$F193))</f>
        <v>FY</v>
      </c>
      <c r="D193" s="7">
        <f>IF(OR($F193="",E193=0,INDEX('Каталог поиска'!$D$2:$D$998,$F193)=0),"",IFERROR(INDEX('По размерам'!$A$2:$TY$86,MATCH($D$5,'По размерам'!$A$2:$A$86,0),INDEX('Каталог поиска'!$D$2:$D$998,$F193)),""))</f>
        <v/>
      </c>
      <c r="E193">
        <f>IF(OR($F193="",INDEX('Каталог поиска'!$D$2:$D$998,$F193)=0),"",IFERROR(INDEX('Количество значений'!$A$2:$TY$86,MATCH($D$5,'Количество значений'!$A$2:$A$86,0),INDEX('Каталог поиска'!$D$2:$D$998,$F193)),""))</f>
        <v/>
      </c>
      <c r="F193">
        <f>IFERROR(MATCH(181,'Каталог поиска'!$F$2:$F$998,0),"")</f>
        <v>181</v>
      </c>
    </row>
    <row r="194" spans="1:6" ht="36" customHeight="1">
      <c r="A194">
        <f>IF(F194="","",182)</f>
        <v>182</v>
      </c>
      <c r="B194" s="6" t="str">
        <f>IF($F194="","",INDEX('Каталог поиска'!$B$2:$B$998,$F194))</f>
        <v>1P TPI Gauge</v>
      </c>
      <c r="C194" s="6" t="str">
        <f>IF($F194="","",INDEX('Каталог поиска'!$C$2:$C$998,$F194))</f>
        <v>FZ</v>
      </c>
      <c r="D194" s="7">
        <f>IF(OR($F194="",E194=0,INDEX('Каталог поиска'!$D$2:$D$998,$F194)=0),"",IFERROR(INDEX('По размерам'!$A$2:$TY$86,MATCH($D$5,'По размерам'!$A$2:$A$86,0),INDEX('Каталог поиска'!$D$2:$D$998,$F194)),""))</f>
        <v>1</v>
      </c>
      <c r="E194">
        <f>IF(OR($F194="",INDEX('Каталог поиска'!$D$2:$D$998,$F194)=0),"",IFERROR(INDEX('Количество значений'!$A$2:$TY$86,MATCH($D$5,'Количество значений'!$A$2:$A$86,0),INDEX('Каталог поиска'!$D$2:$D$998,$F194)),""))</f>
        <v>1</v>
      </c>
      <c r="F194">
        <f>IFERROR(MATCH(182,'Каталог поиска'!$F$2:$F$998,0),"")</f>
        <v>182</v>
      </c>
    </row>
    <row r="195" spans="1:6" ht="36" customHeight="1">
      <c r="A195">
        <f>IF(F195="","",183)</f>
        <v>183</v>
      </c>
      <c r="B195" s="6" t="str">
        <f>IF($F195="","",INDEX('Каталог поиска'!$B$2:$B$998,$F195))</f>
        <v>1P TPI Width</v>
      </c>
      <c r="C195" s="6" t="str">
        <f>IF($F195="","",INDEX('Каталог поиска'!$C$2:$C$998,$F195))</f>
        <v>GA</v>
      </c>
      <c r="D195" s="7">
        <f>IF(OR($F195="",E195=0,INDEX('Каталог поиска'!$D$2:$D$998,$F195)=0),"",IFERROR(INDEX('По размерам'!$A$2:$TY$86,MATCH($D$5,'По размерам'!$A$2:$A$86,0),INDEX('Каталог поиска'!$D$2:$D$998,$F195)),""))</f>
        <v>20</v>
      </c>
      <c r="E195">
        <f>IF(OR($F195="",INDEX('Каталог поиска'!$D$2:$D$998,$F195)=0),"",IFERROR(INDEX('Количество значений'!$A$2:$TY$86,MATCH($D$5,'Количество значений'!$A$2:$A$86,0),INDEX('Каталог поиска'!$D$2:$D$998,$F195)),""))</f>
        <v>1</v>
      </c>
      <c r="F195">
        <f>IFERROR(MATCH(183,'Каталог поиска'!$F$2:$F$998,0),"")</f>
        <v>183</v>
      </c>
    </row>
    <row r="196" spans="1:6" ht="36" customHeight="1">
      <c r="A196">
        <f>IF(F196="","",184)</f>
        <v>184</v>
      </c>
      <c r="B196" s="6" t="str">
        <f>IF($F196="","",INDEX('Каталог поиска'!$B$2:$B$998,$F196))</f>
        <v>1P TPI Set</v>
      </c>
      <c r="C196" s="6" t="str">
        <f>IF($F196="","",INDEX('Каталог поиска'!$C$2:$C$998,$F196))</f>
        <v>GB</v>
      </c>
      <c r="D196" s="7">
        <f>IF(OR($F196="",E196=0,INDEX('Каталог поиска'!$D$2:$D$998,$F196)=0),"",IFERROR(INDEX('По размерам'!$A$2:$TY$86,MATCH($D$5,'По размерам'!$A$2:$A$86,0),INDEX('Каталог поиска'!$D$2:$D$998,$F196)),""))</f>
        <v>126</v>
      </c>
      <c r="E196">
        <f>IF(OR($F196="",INDEX('Каталог поиска'!$D$2:$D$998,$F196)=0),"",IFERROR(INDEX('Количество значений'!$A$2:$TY$86,MATCH($D$5,'Количество значений'!$A$2:$A$86,0),INDEX('Каталог поиска'!$D$2:$D$998,$F196)),""))</f>
        <v>1</v>
      </c>
      <c r="F196">
        <f>IFERROR(MATCH(184,'Каталог поиска'!$F$2:$F$998,0),"")</f>
        <v>184</v>
      </c>
    </row>
    <row r="197" spans="1:6" ht="36" customHeight="1">
      <c r="A197">
        <f>IF(F197="","",185)</f>
        <v>185</v>
      </c>
      <c r="B197" s="6" t="str">
        <f>IF($F197="","",INDEX('Каталог поиска'!$B$2:$B$998,$F197))</f>
        <v>1P B2 Gum No.</v>
      </c>
      <c r="C197" s="6" t="str">
        <f>IF($F197="","",INDEX('Каталог поиска'!$C$2:$C$998,$F197))</f>
        <v>GC</v>
      </c>
      <c r="D197" s="7">
        <f>IF(OR($F197="",E197=0,INDEX('Каталог поиска'!$D$2:$D$998,$F197)=0),"",IFERROR(INDEX('По размерам'!$A$2:$TY$86,MATCH($D$5,'По размерам'!$A$2:$A$86,0),INDEX('Каталог поиска'!$D$2:$D$998,$F197)),""))</f>
        <v/>
      </c>
      <c r="E197">
        <f>IF(OR($F197="",INDEX('Каталог поиска'!$D$2:$D$998,$F197)=0),"",IFERROR(INDEX('Количество значений'!$A$2:$TY$86,MATCH($D$5,'Количество значений'!$A$2:$A$86,0),INDEX('Каталог поиска'!$D$2:$D$998,$F197)),""))</f>
        <v/>
      </c>
      <c r="F197">
        <f>IFERROR(MATCH(185,'Каталог поиска'!$F$2:$F$998,0),"")</f>
        <v>185</v>
      </c>
    </row>
    <row r="198" spans="1:6" ht="36" customHeight="1">
      <c r="A198">
        <f>IF(F198="","",186)</f>
        <v>186</v>
      </c>
      <c r="B198" s="6" t="str">
        <f>IF($F198="","",INDEX('Каталог поиска'!$B$2:$B$998,$F198))</f>
        <v>1P B2 Gauge</v>
      </c>
      <c r="C198" s="6" t="str">
        <f>IF($F198="","",INDEX('Каталог поиска'!$C$2:$C$998,$F198))</f>
        <v>GD</v>
      </c>
      <c r="D198" s="7">
        <f>IF(OR($F198="",E198=0,INDEX('Каталог поиска'!$D$2:$D$998,$F198)=0),"",IFERROR(INDEX('По размерам'!$A$2:$TY$86,MATCH($D$5,'По размерам'!$A$2:$A$86,0),INDEX('Каталог поиска'!$D$2:$D$998,$F198)),""))</f>
        <v/>
      </c>
      <c r="E198">
        <f>IF(OR($F198="",INDEX('Каталог поиска'!$D$2:$D$998,$F198)=0),"",IFERROR(INDEX('Количество значений'!$A$2:$TY$86,MATCH($D$5,'Количество значений'!$A$2:$A$86,0),INDEX('Каталог поиска'!$D$2:$D$998,$F198)),""))</f>
        <v/>
      </c>
      <c r="F198">
        <f>IFERROR(MATCH(186,'Каталог поиска'!$F$2:$F$998,0),"")</f>
        <v>186</v>
      </c>
    </row>
    <row r="199" spans="1:6" ht="36" customHeight="1">
      <c r="A199">
        <f>IF(F199="","",187)</f>
        <v>187</v>
      </c>
      <c r="B199" s="6" t="str">
        <f>IF($F199="","",INDEX('Каталог поиска'!$B$2:$B$998,$F199))</f>
        <v>1P B2 Width-1</v>
      </c>
      <c r="C199" s="6" t="str">
        <f>IF($F199="","",INDEX('Каталог поиска'!$C$2:$C$998,$F199))</f>
        <v>GE</v>
      </c>
      <c r="D199" s="7">
        <f>IF(OR($F199="",E199=0,INDEX('Каталог поиска'!$D$2:$D$998,$F199)=0),"",IFERROR(INDEX('По размерам'!$A$2:$TY$86,MATCH($D$5,'По размерам'!$A$2:$A$86,0),INDEX('Каталог поиска'!$D$2:$D$998,$F199)),""))</f>
        <v/>
      </c>
      <c r="E199">
        <f>IF(OR($F199="",INDEX('Каталог поиска'!$D$2:$D$998,$F199)=0),"",IFERROR(INDEX('Количество значений'!$A$2:$TY$86,MATCH($D$5,'Количество значений'!$A$2:$A$86,0),INDEX('Каталог поиска'!$D$2:$D$998,$F199)),""))</f>
        <v/>
      </c>
      <c r="F199">
        <f>IFERROR(MATCH(187,'Каталог поиска'!$F$2:$F$998,0),"")</f>
        <v>187</v>
      </c>
    </row>
    <row r="200" spans="1:6" ht="36" customHeight="1">
      <c r="A200">
        <f>IF(F200="","",188)</f>
        <v>188</v>
      </c>
      <c r="B200" s="6" t="str">
        <f>IF($F200="","",INDEX('Каталог поиска'!$B$2:$B$998,$F200))</f>
        <v>1P B2 Set-1</v>
      </c>
      <c r="C200" s="6" t="str">
        <f>IF($F200="","",INDEX('Каталог поиска'!$C$2:$C$998,$F200))</f>
        <v>GF</v>
      </c>
      <c r="D200" s="7">
        <f>IF(OR($F200="",E200=0,INDEX('Каталог поиска'!$D$2:$D$998,$F200)=0),"",IFERROR(INDEX('По размерам'!$A$2:$TY$86,MATCH($D$5,'По размерам'!$A$2:$A$86,0),INDEX('Каталог поиска'!$D$2:$D$998,$F200)),""))</f>
        <v/>
      </c>
      <c r="E200">
        <f>IF(OR($F200="",INDEX('Каталог поиска'!$D$2:$D$998,$F200)=0),"",IFERROR(INDEX('Количество значений'!$A$2:$TY$86,MATCH($D$5,'Количество значений'!$A$2:$A$86,0),INDEX('Каталог поиска'!$D$2:$D$998,$F200)),""))</f>
        <v/>
      </c>
      <c r="F200">
        <f>IFERROR(MATCH(188,'Каталог поиска'!$F$2:$F$998,0),"")</f>
        <v>188</v>
      </c>
    </row>
    <row r="201" spans="1:6" ht="36" customHeight="1">
      <c r="A201">
        <f>IF(F201="","",189)</f>
        <v>189</v>
      </c>
      <c r="B201" s="6" t="str">
        <f>IF($F201="","",INDEX('Каталог поиска'!$B$2:$B$998,$F201))</f>
        <v>1P T2 Gum No.</v>
      </c>
      <c r="C201" s="6" t="str">
        <f>IF($F201="","",INDEX('Каталог поиска'!$C$2:$C$998,$F201))</f>
        <v>GG</v>
      </c>
      <c r="D201" s="7">
        <f>IF(OR($F201="",E201=0,INDEX('Каталог поиска'!$D$2:$D$998,$F201)=0),"",IFERROR(INDEX('По размерам'!$A$2:$TY$86,MATCH($D$5,'По размерам'!$A$2:$A$86,0),INDEX('Каталог поиска'!$D$2:$D$998,$F201)),""))</f>
        <v/>
      </c>
      <c r="E201">
        <f>IF(OR($F201="",INDEX('Каталог поиска'!$D$2:$D$998,$F201)=0),"",IFERROR(INDEX('Количество значений'!$A$2:$TY$86,MATCH($D$5,'Количество значений'!$A$2:$A$86,0),INDEX('Каталог поиска'!$D$2:$D$998,$F201)),""))</f>
        <v/>
      </c>
      <c r="F201">
        <f>IFERROR(MATCH(189,'Каталог поиска'!$F$2:$F$998,0),"")</f>
        <v>189</v>
      </c>
    </row>
    <row r="202" spans="1:6" ht="36" customHeight="1">
      <c r="A202">
        <f>IF(F202="","",190)</f>
        <v>190</v>
      </c>
      <c r="B202" s="6" t="str">
        <f>IF($F202="","",INDEX('Каталог поиска'!$B$2:$B$998,$F202))</f>
        <v>1P T2 Gauge</v>
      </c>
      <c r="C202" s="6" t="str">
        <f>IF($F202="","",INDEX('Каталог поиска'!$C$2:$C$998,$F202))</f>
        <v>GH</v>
      </c>
      <c r="D202" s="7">
        <f>IF(OR($F202="",E202=0,INDEX('Каталог поиска'!$D$2:$D$998,$F202)=0),"",IFERROR(INDEX('По размерам'!$A$2:$TY$86,MATCH($D$5,'По размерам'!$A$2:$A$86,0),INDEX('Каталог поиска'!$D$2:$D$998,$F202)),""))</f>
        <v>1</v>
      </c>
      <c r="E202">
        <f>IF(OR($F202="",INDEX('Каталог поиска'!$D$2:$D$998,$F202)=0),"",IFERROR(INDEX('Количество значений'!$A$2:$TY$86,MATCH($D$5,'Количество значений'!$A$2:$A$86,0),INDEX('Каталог поиска'!$D$2:$D$998,$F202)),""))</f>
        <v>1</v>
      </c>
      <c r="F202">
        <f>IFERROR(MATCH(190,'Каталог поиска'!$F$2:$F$998,0),"")</f>
        <v>190</v>
      </c>
    </row>
    <row r="203" spans="1:6" ht="36" customHeight="1">
      <c r="A203">
        <f>IF(F203="","",191)</f>
        <v>191</v>
      </c>
      <c r="B203" s="6" t="str">
        <f>IF($F203="","",INDEX('Каталог поиска'!$B$2:$B$998,$F203))</f>
        <v>1P T2 Width-1</v>
      </c>
      <c r="C203" s="6" t="str">
        <f>IF($F203="","",INDEX('Каталог поиска'!$C$2:$C$998,$F203))</f>
        <v>GI</v>
      </c>
      <c r="D203" s="7">
        <f>IF(OR($F203="",E203=0,INDEX('Каталог поиска'!$D$2:$D$998,$F203)=0),"",IFERROR(INDEX('По размерам'!$A$2:$TY$86,MATCH($D$5,'По размерам'!$A$2:$A$86,0),INDEX('Каталог поиска'!$D$2:$D$998,$F203)),""))</f>
        <v>20</v>
      </c>
      <c r="E203">
        <f>IF(OR($F203="",INDEX('Каталог поиска'!$D$2:$D$998,$F203)=0),"",IFERROR(INDEX('Количество значений'!$A$2:$TY$86,MATCH($D$5,'Количество значений'!$A$2:$A$86,0),INDEX('Каталог поиска'!$D$2:$D$998,$F203)),""))</f>
        <v>1</v>
      </c>
      <c r="F203">
        <f>IFERROR(MATCH(191,'Каталог поиска'!$F$2:$F$998,0),"")</f>
        <v>191</v>
      </c>
    </row>
    <row r="204" spans="1:6" ht="36" customHeight="1">
      <c r="A204">
        <f>IF(F204="","",192)</f>
        <v>192</v>
      </c>
      <c r="B204" s="6" t="str">
        <f>IF($F204="","",INDEX('Каталог поиска'!$B$2:$B$998,$F204))</f>
        <v>1P T2 Set-1</v>
      </c>
      <c r="C204" s="6" t="str">
        <f>IF($F204="","",INDEX('Каталог поиска'!$C$2:$C$998,$F204))</f>
        <v>GJ</v>
      </c>
      <c r="D204" s="7">
        <f>IF(OR($F204="",E204=0,INDEX('Каталог поиска'!$D$2:$D$998,$F204)=0),"",IFERROR(INDEX('По размерам'!$A$2:$TY$86,MATCH($D$5,'По размерам'!$A$2:$A$86,0),INDEX('Каталог поиска'!$D$2:$D$998,$F204)),""))</f>
        <v>126</v>
      </c>
      <c r="E204">
        <f>IF(OR($F204="",INDEX('Каталог поиска'!$D$2:$D$998,$F204)=0),"",IFERROR(INDEX('Количество значений'!$A$2:$TY$86,MATCH($D$5,'Количество значений'!$A$2:$A$86,0),INDEX('Каталог поиска'!$D$2:$D$998,$F204)),""))</f>
        <v>1</v>
      </c>
      <c r="F204">
        <f>IFERROR(MATCH(192,'Каталог поиска'!$F$2:$F$998,0),"")</f>
        <v>192</v>
      </c>
    </row>
    <row r="205" spans="1:6" ht="36" customHeight="1">
      <c r="A205">
        <f>IF(F205="","",193)</f>
        <v>193</v>
      </c>
      <c r="B205" s="6" t="str">
        <f>IF($F205="","",INDEX('Каталог поиска'!$B$2:$B$998,$F205))</f>
        <v>2P B Gum No.</v>
      </c>
      <c r="C205" s="6" t="str">
        <f>IF($F205="","",INDEX('Каталог поиска'!$C$2:$C$998,$F205))</f>
        <v>GK</v>
      </c>
      <c r="D205" s="7">
        <f>IF(OR($F205="",E205=0,INDEX('Каталог поиска'!$D$2:$D$998,$F205)=0),"",IFERROR(INDEX('По размерам'!$A$2:$TY$86,MATCH($D$5,'По размерам'!$A$2:$A$86,0),INDEX('Каталог поиска'!$D$2:$D$998,$F205)),""))</f>
        <v/>
      </c>
      <c r="E205">
        <f>IF(OR($F205="",INDEX('Каталог поиска'!$D$2:$D$998,$F205)=0),"",IFERROR(INDEX('Количество значений'!$A$2:$TY$86,MATCH($D$5,'Количество значений'!$A$2:$A$86,0),INDEX('Каталог поиска'!$D$2:$D$998,$F205)),""))</f>
        <v/>
      </c>
      <c r="F205">
        <f>IFERROR(MATCH(193,'Каталог поиска'!$F$2:$F$998,0),"")</f>
        <v>193</v>
      </c>
    </row>
    <row r="206" spans="1:6" ht="36" customHeight="1">
      <c r="A206">
        <f>IF(F206="","",194)</f>
        <v>194</v>
      </c>
      <c r="B206" s="6" t="str">
        <f>IF($F206="","",INDEX('Каталог поиска'!$B$2:$B$998,$F206))</f>
        <v>2P B Gauge</v>
      </c>
      <c r="C206" s="6" t="str">
        <f>IF($F206="","",INDEX('Каталог поиска'!$C$2:$C$998,$F206))</f>
        <v>GL</v>
      </c>
      <c r="D206" s="7">
        <f>IF(OR($F206="",E206=0,INDEX('Каталог поиска'!$D$2:$D$998,$F206)=0),"",IFERROR(INDEX('По размерам'!$A$2:$TY$86,MATCH($D$5,'По размерам'!$A$2:$A$86,0),INDEX('Каталог поиска'!$D$2:$D$998,$F206)),""))</f>
        <v/>
      </c>
      <c r="E206">
        <f>IF(OR($F206="",INDEX('Каталог поиска'!$D$2:$D$998,$F206)=0),"",IFERROR(INDEX('Количество значений'!$A$2:$TY$86,MATCH($D$5,'Количество значений'!$A$2:$A$86,0),INDEX('Каталог поиска'!$D$2:$D$998,$F206)),""))</f>
        <v/>
      </c>
      <c r="F206">
        <f>IFERROR(MATCH(194,'Каталог поиска'!$F$2:$F$998,0),"")</f>
        <v>194</v>
      </c>
    </row>
    <row r="207" spans="1:6" ht="36" customHeight="1">
      <c r="A207">
        <f>IF(F207="","",195)</f>
        <v>195</v>
      </c>
      <c r="B207" s="6" t="str">
        <f>IF($F207="","",INDEX('Каталог поиска'!$B$2:$B$998,$F207))</f>
        <v>2P B Width-1</v>
      </c>
      <c r="C207" s="6" t="str">
        <f>IF($F207="","",INDEX('Каталог поиска'!$C$2:$C$998,$F207))</f>
        <v>GM</v>
      </c>
      <c r="D207" s="7">
        <f>IF(OR($F207="",E207=0,INDEX('Каталог поиска'!$D$2:$D$998,$F207)=0),"",IFERROR(INDEX('По размерам'!$A$2:$TY$86,MATCH($D$5,'По размерам'!$A$2:$A$86,0),INDEX('Каталог поиска'!$D$2:$D$998,$F207)),""))</f>
        <v/>
      </c>
      <c r="E207">
        <f>IF(OR($F207="",INDEX('Каталог поиска'!$D$2:$D$998,$F207)=0),"",IFERROR(INDEX('Количество значений'!$A$2:$TY$86,MATCH($D$5,'Количество значений'!$A$2:$A$86,0),INDEX('Каталог поиска'!$D$2:$D$998,$F207)),""))</f>
        <v/>
      </c>
      <c r="F207">
        <f>IFERROR(MATCH(195,'Каталог поиска'!$F$2:$F$998,0),"")</f>
        <v>195</v>
      </c>
    </row>
    <row r="208" spans="1:6" ht="36" customHeight="1">
      <c r="A208">
        <f>IF(F208="","",196)</f>
        <v>196</v>
      </c>
      <c r="B208" s="6" t="str">
        <f>IF($F208="","",INDEX('Каталог поиска'!$B$2:$B$998,$F208))</f>
        <v>2P B Set-1</v>
      </c>
      <c r="C208" s="6" t="str">
        <f>IF($F208="","",INDEX('Каталог поиска'!$C$2:$C$998,$F208))</f>
        <v>GN</v>
      </c>
      <c r="D208" s="7">
        <f>IF(OR($F208="",E208=0,INDEX('Каталог поиска'!$D$2:$D$998,$F208)=0),"",IFERROR(INDEX('По размерам'!$A$2:$TY$86,MATCH($D$5,'По размерам'!$A$2:$A$86,0),INDEX('Каталог поиска'!$D$2:$D$998,$F208)),""))</f>
        <v/>
      </c>
      <c r="E208">
        <f>IF(OR($F208="",INDEX('Каталог поиска'!$D$2:$D$998,$F208)=0),"",IFERROR(INDEX('Количество значений'!$A$2:$TY$86,MATCH($D$5,'Количество значений'!$A$2:$A$86,0),INDEX('Каталог поиска'!$D$2:$D$998,$F208)),""))</f>
        <v/>
      </c>
      <c r="F208">
        <f>IFERROR(MATCH(196,'Каталог поиска'!$F$2:$F$998,0),"")</f>
        <v>196</v>
      </c>
    </row>
    <row r="209" spans="1:6" ht="36" customHeight="1">
      <c r="A209">
        <f>IF(F209="","",197)</f>
        <v>197</v>
      </c>
      <c r="B209" s="6" t="str">
        <f>IF($F209="","",INDEX('Каталог поиска'!$B$2:$B$998,$F209))</f>
        <v>2P B Width-2</v>
      </c>
      <c r="C209" s="6" t="str">
        <f>IF($F209="","",INDEX('Каталог поиска'!$C$2:$C$998,$F209))</f>
        <v>GO</v>
      </c>
      <c r="D209" s="7">
        <f>IF(OR($F209="",E209=0,INDEX('Каталог поиска'!$D$2:$D$998,$F209)=0),"",IFERROR(INDEX('По размерам'!$A$2:$TY$86,MATCH($D$5,'По размерам'!$A$2:$A$86,0),INDEX('Каталог поиска'!$D$2:$D$998,$F209)),""))</f>
        <v/>
      </c>
      <c r="E209">
        <f>IF(OR($F209="",INDEX('Каталог поиска'!$D$2:$D$998,$F209)=0),"",IFERROR(INDEX('Количество значений'!$A$2:$TY$86,MATCH($D$5,'Количество значений'!$A$2:$A$86,0),INDEX('Каталог поиска'!$D$2:$D$998,$F209)),""))</f>
        <v/>
      </c>
      <c r="F209">
        <f>IFERROR(MATCH(197,'Каталог поиска'!$F$2:$F$998,0),"")</f>
        <v>197</v>
      </c>
    </row>
    <row r="210" spans="1:6" ht="36" customHeight="1">
      <c r="A210">
        <f>IF(F210="","",198)</f>
        <v>198</v>
      </c>
      <c r="B210" s="6" t="str">
        <f>IF($F210="","",INDEX('Каталог поиска'!$B$2:$B$998,$F210))</f>
        <v>2P B Set-2</v>
      </c>
      <c r="C210" s="6" t="str">
        <f>IF($F210="","",INDEX('Каталог поиска'!$C$2:$C$998,$F210))</f>
        <v>GP</v>
      </c>
      <c r="D210" s="7">
        <f>IF(OR($F210="",E210=0,INDEX('Каталог поиска'!$D$2:$D$998,$F210)=0),"",IFERROR(INDEX('По размерам'!$A$2:$TY$86,MATCH($D$5,'По размерам'!$A$2:$A$86,0),INDEX('Каталог поиска'!$D$2:$D$998,$F210)),""))</f>
        <v/>
      </c>
      <c r="E210">
        <f>IF(OR($F210="",INDEX('Каталог поиска'!$D$2:$D$998,$F210)=0),"",IFERROR(INDEX('Количество значений'!$A$2:$TY$86,MATCH($D$5,'Количество значений'!$A$2:$A$86,0),INDEX('Каталог поиска'!$D$2:$D$998,$F210)),""))</f>
        <v/>
      </c>
      <c r="F210">
        <f>IFERROR(MATCH(198,'Каталог поиска'!$F$2:$F$998,0),"")</f>
        <v>198</v>
      </c>
    </row>
    <row r="211" spans="1:6" ht="36" customHeight="1">
      <c r="A211">
        <f>IF(F211="","",199)</f>
        <v>199</v>
      </c>
      <c r="B211" s="6" t="str">
        <f>IF($F211="","",INDEX('Каталог поиска'!$B$2:$B$998,$F211))</f>
        <v>2P B Width-3</v>
      </c>
      <c r="C211" s="6" t="str">
        <f>IF($F211="","",INDEX('Каталог поиска'!$C$2:$C$998,$F211))</f>
        <v>GQ</v>
      </c>
      <c r="D211" s="7">
        <f>IF(OR($F211="",E211=0,INDEX('Каталог поиска'!$D$2:$D$998,$F211)=0),"",IFERROR(INDEX('По размерам'!$A$2:$TY$86,MATCH($D$5,'По размерам'!$A$2:$A$86,0),INDEX('Каталог поиска'!$D$2:$D$998,$F211)),""))</f>
        <v/>
      </c>
      <c r="E211">
        <f>IF(OR($F211="",INDEX('Каталог поиска'!$D$2:$D$998,$F211)=0),"",IFERROR(INDEX('Количество значений'!$A$2:$TY$86,MATCH($D$5,'Количество значений'!$A$2:$A$86,0),INDEX('Каталог поиска'!$D$2:$D$998,$F211)),""))</f>
        <v/>
      </c>
      <c r="F211">
        <f>IFERROR(MATCH(199,'Каталог поиска'!$F$2:$F$998,0),"")</f>
        <v>199</v>
      </c>
    </row>
    <row r="212" spans="1:6" ht="36" customHeight="1">
      <c r="A212">
        <f>IF(F212="","",200)</f>
        <v>200</v>
      </c>
      <c r="B212" s="6" t="str">
        <f>IF($F212="","",INDEX('Каталог поиска'!$B$2:$B$998,$F212))</f>
        <v>2P T1 Gum No.</v>
      </c>
      <c r="C212" s="6" t="str">
        <f>IF($F212="","",INDEX('Каталог поиска'!$C$2:$C$998,$F212))</f>
        <v>GR</v>
      </c>
      <c r="D212" s="7">
        <f>IF(OR($F212="",E212=0,INDEX('Каталог поиска'!$D$2:$D$998,$F212)=0),"",IFERROR(INDEX('По размерам'!$A$2:$TY$86,MATCH($D$5,'По размерам'!$A$2:$A$86,0),INDEX('Каталог поиска'!$D$2:$D$998,$F212)),""))</f>
        <v/>
      </c>
      <c r="E212">
        <f>IF(OR($F212="",INDEX('Каталог поиска'!$D$2:$D$998,$F212)=0),"",IFERROR(INDEX('Количество значений'!$A$2:$TY$86,MATCH($D$5,'Количество значений'!$A$2:$A$86,0),INDEX('Каталог поиска'!$D$2:$D$998,$F212)),""))</f>
        <v/>
      </c>
      <c r="F212">
        <f>IFERROR(MATCH(200,'Каталог поиска'!$F$2:$F$998,0),"")</f>
        <v>200</v>
      </c>
    </row>
    <row r="213" spans="1:6" ht="36" customHeight="1">
      <c r="A213">
        <f>IF(F213="","",201)</f>
        <v>201</v>
      </c>
      <c r="B213" s="6" t="str">
        <f>IF($F213="","",INDEX('Каталог поиска'!$B$2:$B$998,$F213))</f>
        <v>2P T1 Gauge</v>
      </c>
      <c r="C213" s="6" t="str">
        <f>IF($F213="","",INDEX('Каталог поиска'!$C$2:$C$998,$F213))</f>
        <v>GS</v>
      </c>
      <c r="D213" s="7">
        <f>IF(OR($F213="",E213=0,INDEX('Каталог поиска'!$D$2:$D$998,$F213)=0),"",IFERROR(INDEX('По размерам'!$A$2:$TY$86,MATCH($D$5,'По размерам'!$A$2:$A$86,0),INDEX('Каталог поиска'!$D$2:$D$998,$F213)),""))</f>
        <v/>
      </c>
      <c r="E213">
        <f>IF(OR($F213="",INDEX('Каталог поиска'!$D$2:$D$998,$F213)=0),"",IFERROR(INDEX('Количество значений'!$A$2:$TY$86,MATCH($D$5,'Количество значений'!$A$2:$A$86,0),INDEX('Каталог поиска'!$D$2:$D$998,$F213)),""))</f>
        <v>0</v>
      </c>
      <c r="F213">
        <f>IFERROR(MATCH(201,'Каталог поиска'!$F$2:$F$998,0),"")</f>
        <v>201</v>
      </c>
    </row>
    <row r="214" spans="1:6" ht="36" customHeight="1">
      <c r="A214">
        <f>IF(F214="","",202)</f>
        <v>202</v>
      </c>
      <c r="B214" s="6" t="str">
        <f>IF($F214="","",INDEX('Каталог поиска'!$B$2:$B$998,$F214))</f>
        <v>2P T1 Width-1</v>
      </c>
      <c r="C214" s="6" t="str">
        <f>IF($F214="","",INDEX('Каталог поиска'!$C$2:$C$998,$F214))</f>
        <v>GT</v>
      </c>
      <c r="D214" s="7">
        <f>IF(OR($F214="",E214=0,INDEX('Каталог поиска'!$D$2:$D$998,$F214)=0),"",IFERROR(INDEX('По размерам'!$A$2:$TY$86,MATCH($D$5,'По размерам'!$A$2:$A$86,0),INDEX('Каталог поиска'!$D$2:$D$998,$F214)),""))</f>
        <v/>
      </c>
      <c r="E214">
        <f>IF(OR($F214="",INDEX('Каталог поиска'!$D$2:$D$998,$F214)=0),"",IFERROR(INDEX('Количество значений'!$A$2:$TY$86,MATCH($D$5,'Количество значений'!$A$2:$A$86,0),INDEX('Каталог поиска'!$D$2:$D$998,$F214)),""))</f>
        <v>0</v>
      </c>
      <c r="F214">
        <f>IFERROR(MATCH(202,'Каталог поиска'!$F$2:$F$998,0),"")</f>
        <v>202</v>
      </c>
    </row>
    <row r="215" spans="1:6" ht="36" customHeight="1">
      <c r="A215">
        <f>IF(F215="","",203)</f>
        <v>203</v>
      </c>
      <c r="B215" s="6" t="str">
        <f>IF($F215="","",INDEX('Каталог поиска'!$B$2:$B$998,$F215))</f>
        <v>2P T1 Set-1</v>
      </c>
      <c r="C215" s="6" t="str">
        <f>IF($F215="","",INDEX('Каталог поиска'!$C$2:$C$998,$F215))</f>
        <v>GU</v>
      </c>
      <c r="D215" s="7">
        <f>IF(OR($F215="",E215=0,INDEX('Каталог поиска'!$D$2:$D$998,$F215)=0),"",IFERROR(INDEX('По размерам'!$A$2:$TY$86,MATCH($D$5,'По размерам'!$A$2:$A$86,0),INDEX('Каталог поиска'!$D$2:$D$998,$F215)),""))</f>
        <v/>
      </c>
      <c r="E215">
        <f>IF(OR($F215="",INDEX('Каталог поиска'!$D$2:$D$998,$F215)=0),"",IFERROR(INDEX('Количество значений'!$A$2:$TY$86,MATCH($D$5,'Количество значений'!$A$2:$A$86,0),INDEX('Каталог поиска'!$D$2:$D$998,$F215)),""))</f>
        <v>0</v>
      </c>
      <c r="F215">
        <f>IFERROR(MATCH(203,'Каталог поиска'!$F$2:$F$998,0),"")</f>
        <v>203</v>
      </c>
    </row>
    <row r="216" spans="1:6" ht="36" customHeight="1">
      <c r="A216">
        <f>IF(F216="","",204)</f>
        <v>204</v>
      </c>
      <c r="B216" s="6" t="str">
        <f>IF($F216="","",INDEX('Каталог поиска'!$B$2:$B$998,$F216))</f>
        <v>2P T1 Width-2</v>
      </c>
      <c r="C216" s="6" t="str">
        <f>IF($F216="","",INDEX('Каталог поиска'!$C$2:$C$998,$F216))</f>
        <v>GV</v>
      </c>
      <c r="D216" s="7">
        <f>IF(OR($F216="",E216=0,INDEX('Каталог поиска'!$D$2:$D$998,$F216)=0),"",IFERROR(INDEX('По размерам'!$A$2:$TY$86,MATCH($D$5,'По размерам'!$A$2:$A$86,0),INDEX('Каталог поиска'!$D$2:$D$998,$F216)),""))</f>
        <v/>
      </c>
      <c r="E216">
        <f>IF(OR($F216="",INDEX('Каталог поиска'!$D$2:$D$998,$F216)=0),"",IFERROR(INDEX('Количество значений'!$A$2:$TY$86,MATCH($D$5,'Количество значений'!$A$2:$A$86,0),INDEX('Каталог поиска'!$D$2:$D$998,$F216)),""))</f>
        <v>0</v>
      </c>
      <c r="F216">
        <f>IFERROR(MATCH(204,'Каталог поиска'!$F$2:$F$998,0),"")</f>
        <v>204</v>
      </c>
    </row>
    <row r="217" spans="1:6" ht="36" customHeight="1">
      <c r="A217">
        <f>IF(F217="","",205)</f>
        <v>205</v>
      </c>
      <c r="B217" s="6" t="str">
        <f>IF($F217="","",INDEX('Каталог поиска'!$B$2:$B$998,$F217))</f>
        <v>2P T1 Set-2</v>
      </c>
      <c r="C217" s="6" t="str">
        <f>IF($F217="","",INDEX('Каталог поиска'!$C$2:$C$998,$F217))</f>
        <v>GW</v>
      </c>
      <c r="D217" s="7">
        <f>IF(OR($F217="",E217=0,INDEX('Каталог поиска'!$D$2:$D$998,$F217)=0),"",IFERROR(INDEX('По размерам'!$A$2:$TY$86,MATCH($D$5,'По размерам'!$A$2:$A$86,0),INDEX('Каталог поиска'!$D$2:$D$998,$F217)),""))</f>
        <v/>
      </c>
      <c r="E217">
        <f>IF(OR($F217="",INDEX('Каталог поиска'!$D$2:$D$998,$F217)=0),"",IFERROR(INDEX('Количество значений'!$A$2:$TY$86,MATCH($D$5,'Количество значений'!$A$2:$A$86,0),INDEX('Каталог поиска'!$D$2:$D$998,$F217)),""))</f>
        <v>0</v>
      </c>
      <c r="F217">
        <f>IFERROR(MATCH(205,'Каталог поиска'!$F$2:$F$998,0),"")</f>
        <v>205</v>
      </c>
    </row>
    <row r="218" spans="1:6" ht="36" customHeight="1">
      <c r="A218">
        <f>IF(F218="","",206)</f>
        <v>206</v>
      </c>
      <c r="B218" s="6" t="str">
        <f>IF($F218="","",INDEX('Каталог поиска'!$B$2:$B$998,$F218))</f>
        <v>2P T1 Width-3</v>
      </c>
      <c r="C218" s="6" t="str">
        <f>IF($F218="","",INDEX('Каталог поиска'!$C$2:$C$998,$F218))</f>
        <v>GX</v>
      </c>
      <c r="D218" s="7">
        <f>IF(OR($F218="",E218=0,INDEX('Каталог поиска'!$D$2:$D$998,$F218)=0),"",IFERROR(INDEX('По размерам'!$A$2:$TY$86,MATCH($D$5,'По размерам'!$A$2:$A$86,0),INDEX('Каталог поиска'!$D$2:$D$998,$F218)),""))</f>
        <v/>
      </c>
      <c r="E218">
        <f>IF(OR($F218="",INDEX('Каталог поиска'!$D$2:$D$998,$F218)=0),"",IFERROR(INDEX('Количество значений'!$A$2:$TY$86,MATCH($D$5,'Количество значений'!$A$2:$A$86,0),INDEX('Каталог поиска'!$D$2:$D$998,$F218)),""))</f>
        <v/>
      </c>
      <c r="F218">
        <f>IFERROR(MATCH(206,'Каталог поиска'!$F$2:$F$998,0),"")</f>
        <v>206</v>
      </c>
    </row>
    <row r="219" spans="1:6" ht="36" customHeight="1">
      <c r="A219">
        <f>IF(F219="","",207)</f>
        <v>207</v>
      </c>
      <c r="B219" s="6" t="str">
        <f>IF($F219="","",INDEX('Каталог поиска'!$B$2:$B$998,$F219))</f>
        <v>2P T2 Gum No.</v>
      </c>
      <c r="C219" s="6" t="str">
        <f>IF($F219="","",INDEX('Каталог поиска'!$C$2:$C$998,$F219))</f>
        <v>GY</v>
      </c>
      <c r="D219" s="7">
        <f>IF(OR($F219="",E219=0,INDEX('Каталог поиска'!$D$2:$D$998,$F219)=0),"",IFERROR(INDEX('По размерам'!$A$2:$TY$86,MATCH($D$5,'По размерам'!$A$2:$A$86,0),INDEX('Каталог поиска'!$D$2:$D$998,$F219)),""))</f>
        <v/>
      </c>
      <c r="E219">
        <f>IF(OR($F219="",INDEX('Каталог поиска'!$D$2:$D$998,$F219)=0),"",IFERROR(INDEX('Количество значений'!$A$2:$TY$86,MATCH($D$5,'Количество значений'!$A$2:$A$86,0),INDEX('Каталог поиска'!$D$2:$D$998,$F219)),""))</f>
        <v/>
      </c>
      <c r="F219">
        <f>IFERROR(MATCH(207,'Каталог поиска'!$F$2:$F$998,0),"")</f>
        <v>207</v>
      </c>
    </row>
    <row r="220" spans="1:6" ht="36" customHeight="1">
      <c r="A220">
        <f>IF(F220="","",208)</f>
        <v>208</v>
      </c>
      <c r="B220" s="6" t="str">
        <f>IF($F220="","",INDEX('Каталог поиска'!$B$2:$B$998,$F220))</f>
        <v>2P T2 Gauge</v>
      </c>
      <c r="C220" s="6" t="str">
        <f>IF($F220="","",INDEX('Каталог поиска'!$C$2:$C$998,$F220))</f>
        <v>GZ</v>
      </c>
      <c r="D220" s="7">
        <f>IF(OR($F220="",E220=0,INDEX('Каталог поиска'!$D$2:$D$998,$F220)=0),"",IFERROR(INDEX('По размерам'!$A$2:$TY$86,MATCH($D$5,'По размерам'!$A$2:$A$86,0),INDEX('Каталог поиска'!$D$2:$D$998,$F220)),""))</f>
        <v/>
      </c>
      <c r="E220">
        <f>IF(OR($F220="",INDEX('Каталог поиска'!$D$2:$D$998,$F220)=0),"",IFERROR(INDEX('Количество значений'!$A$2:$TY$86,MATCH($D$5,'Количество значений'!$A$2:$A$86,0),INDEX('Каталог поиска'!$D$2:$D$998,$F220)),""))</f>
        <v>0</v>
      </c>
      <c r="F220">
        <f>IFERROR(MATCH(208,'Каталог поиска'!$F$2:$F$998,0),"")</f>
        <v>208</v>
      </c>
    </row>
    <row r="221" spans="1:6" ht="36" customHeight="1">
      <c r="A221">
        <f>IF(F221="","",209)</f>
        <v>209</v>
      </c>
      <c r="B221" s="6" t="str">
        <f>IF($F221="","",INDEX('Каталог поиска'!$B$2:$B$998,$F221))</f>
        <v>2P T2 Width-1</v>
      </c>
      <c r="C221" s="6" t="str">
        <f>IF($F221="","",INDEX('Каталог поиска'!$C$2:$C$998,$F221))</f>
        <v>HA</v>
      </c>
      <c r="D221" s="7">
        <f>IF(OR($F221="",E221=0,INDEX('Каталог поиска'!$D$2:$D$998,$F221)=0),"",IFERROR(INDEX('По размерам'!$A$2:$TY$86,MATCH($D$5,'По размерам'!$A$2:$A$86,0),INDEX('Каталог поиска'!$D$2:$D$998,$F221)),""))</f>
        <v/>
      </c>
      <c r="E221">
        <f>IF(OR($F221="",INDEX('Каталог поиска'!$D$2:$D$998,$F221)=0),"",IFERROR(INDEX('Количество значений'!$A$2:$TY$86,MATCH($D$5,'Количество значений'!$A$2:$A$86,0),INDEX('Каталог поиска'!$D$2:$D$998,$F221)),""))</f>
        <v>0</v>
      </c>
      <c r="F221">
        <f>IFERROR(MATCH(209,'Каталог поиска'!$F$2:$F$998,0),"")</f>
        <v>209</v>
      </c>
    </row>
    <row r="222" spans="1:6" ht="36" customHeight="1">
      <c r="A222">
        <f>IF(F222="","",210)</f>
        <v>210</v>
      </c>
      <c r="B222" s="6" t="str">
        <f>IF($F222="","",INDEX('Каталог поиска'!$B$2:$B$998,$F222))</f>
        <v>2P T2 Set-1</v>
      </c>
      <c r="C222" s="6" t="str">
        <f>IF($F222="","",INDEX('Каталог поиска'!$C$2:$C$998,$F222))</f>
        <v>HB</v>
      </c>
      <c r="D222" s="7">
        <f>IF(OR($F222="",E222=0,INDEX('Каталог поиска'!$D$2:$D$998,$F222)=0),"",IFERROR(INDEX('По размерам'!$A$2:$TY$86,MATCH($D$5,'По размерам'!$A$2:$A$86,0),INDEX('Каталог поиска'!$D$2:$D$998,$F222)),""))</f>
        <v/>
      </c>
      <c r="E222">
        <f>IF(OR($F222="",INDEX('Каталог поиска'!$D$2:$D$998,$F222)=0),"",IFERROR(INDEX('Количество значений'!$A$2:$TY$86,MATCH($D$5,'Количество значений'!$A$2:$A$86,0),INDEX('Каталог поиска'!$D$2:$D$998,$F222)),""))</f>
        <v>0</v>
      </c>
      <c r="F222">
        <f>IFERROR(MATCH(210,'Каталог поиска'!$F$2:$F$998,0),"")</f>
        <v>210</v>
      </c>
    </row>
    <row r="223" spans="1:6" ht="36" customHeight="1">
      <c r="A223">
        <f>IF(F223="","",211)</f>
        <v>211</v>
      </c>
      <c r="B223" s="6" t="str">
        <f>IF($F223="","",INDEX('Каталог поиска'!$B$2:$B$998,$F223))</f>
        <v>SQ Gauge +/-</v>
      </c>
      <c r="C223" s="6" t="str">
        <f>IF($F223="","",INDEX('Каталог поиска'!$C$2:$C$998,$F223))</f>
        <v>HC</v>
      </c>
      <c r="D223" s="7">
        <f>IF(OR($F223="",E223=0,INDEX('Каталог поиска'!$D$2:$D$998,$F223)=0),"",IFERROR(INDEX('По размерам'!$A$2:$TY$86,MATCH($D$5,'По размерам'!$A$2:$A$86,0),INDEX('Каталог поиска'!$D$2:$D$998,$F223)),""))</f>
        <v>0.1</v>
      </c>
      <c r="E223">
        <f>IF(OR($F223="",INDEX('Каталог поиска'!$D$2:$D$998,$F223)=0),"",IFERROR(INDEX('Количество значений'!$A$2:$TY$86,MATCH($D$5,'Количество значений'!$A$2:$A$86,0),INDEX('Каталог поиска'!$D$2:$D$998,$F223)),""))</f>
        <v>4</v>
      </c>
      <c r="F223">
        <f>IFERROR(MATCH(211,'Каталог поиска'!$F$2:$F$998,0),"")</f>
        <v>211</v>
      </c>
    </row>
    <row r="224" spans="1:6" ht="36" customHeight="1">
      <c r="A224">
        <f>IF(F224="","",212)</f>
        <v>212</v>
      </c>
      <c r="B224" s="6" t="str">
        <f>IF($F224="","",INDEX('Каталог поиска'!$B$2:$B$998,$F224))</f>
        <v>SQ Width-1 +/-</v>
      </c>
      <c r="C224" s="6" t="str">
        <f>IF($F224="","",INDEX('Каталог поиска'!$C$2:$C$998,$F224))</f>
        <v>HD</v>
      </c>
      <c r="D224" s="7">
        <f>IF(OR($F224="",E224=0,INDEX('Каталог поиска'!$D$2:$D$998,$F224)=0),"",IFERROR(INDEX('По размерам'!$A$2:$TY$86,MATCH($D$5,'По размерам'!$A$2:$A$86,0),INDEX('Каталог поиска'!$D$2:$D$998,$F224)),""))</f>
        <v>3</v>
      </c>
      <c r="E224">
        <f>IF(OR($F224="",INDEX('Каталог поиска'!$D$2:$D$998,$F224)=0),"",IFERROR(INDEX('Количество значений'!$A$2:$TY$86,MATCH($D$5,'Количество значений'!$A$2:$A$86,0),INDEX('Каталог поиска'!$D$2:$D$998,$F224)),""))</f>
        <v>4</v>
      </c>
      <c r="F224">
        <f>IFERROR(MATCH(212,'Каталог поиска'!$F$2:$F$998,0),"")</f>
        <v>212</v>
      </c>
    </row>
    <row r="225" spans="1:6" ht="36" customHeight="1">
      <c r="A225">
        <f>IF(F225="","",213)</f>
        <v>213</v>
      </c>
      <c r="B225" s="6" t="str">
        <f>IF($F225="","",INDEX('Каталог поиска'!$B$2:$B$998,$F225))</f>
        <v>SQ Set-1 +/-</v>
      </c>
      <c r="C225" s="6" t="str">
        <f>IF($F225="","",INDEX('Каталог поиска'!$C$2:$C$998,$F225))</f>
        <v>HE</v>
      </c>
      <c r="D225" s="7">
        <f>IF(OR($F225="",E225=0,INDEX('Каталог поиска'!$D$2:$D$998,$F225)=0),"",IFERROR(INDEX('По размерам'!$A$2:$TY$86,MATCH($D$5,'По размерам'!$A$2:$A$86,0),INDEX('Каталог поиска'!$D$2:$D$998,$F225)),""))</f>
        <v>3</v>
      </c>
      <c r="E225">
        <f>IF(OR($F225="",INDEX('Каталог поиска'!$D$2:$D$998,$F225)=0),"",IFERROR(INDEX('Количество значений'!$A$2:$TY$86,MATCH($D$5,'Количество значений'!$A$2:$A$86,0),INDEX('Каталог поиска'!$D$2:$D$998,$F225)),""))</f>
        <v>4</v>
      </c>
      <c r="F225">
        <f>IFERROR(MATCH(213,'Каталог поиска'!$F$2:$F$998,0),"")</f>
        <v>213</v>
      </c>
    </row>
    <row r="226" spans="1:6" ht="36" customHeight="1">
      <c r="A226">
        <f>IF(F226="","",214)</f>
        <v>214</v>
      </c>
      <c r="B226" s="6" t="str">
        <f>IF($F226="","",INDEX('Каталог поиска'!$B$2:$B$998,$F226))</f>
        <v>SQ Width-2 +/-</v>
      </c>
      <c r="C226" s="6" t="str">
        <f>IF($F226="","",INDEX('Каталог поиска'!$C$2:$C$998,$F226))</f>
        <v>HF</v>
      </c>
      <c r="D226" s="7">
        <f>IF(OR($F226="",E226=0,INDEX('Каталог поиска'!$D$2:$D$998,$F226)=0),"",IFERROR(INDEX('По размерам'!$A$2:$TY$86,MATCH($D$5,'По размерам'!$A$2:$A$86,0),INDEX('Каталог поиска'!$D$2:$D$998,$F226)),""))</f>
        <v>3</v>
      </c>
      <c r="E226">
        <f>IF(OR($F226="",INDEX('Каталог поиска'!$D$2:$D$998,$F226)=0),"",IFERROR(INDEX('Количество значений'!$A$2:$TY$86,MATCH($D$5,'Количество значений'!$A$2:$A$86,0),INDEX('Каталог поиска'!$D$2:$D$998,$F226)),""))</f>
        <v>4</v>
      </c>
      <c r="F226">
        <f>IFERROR(MATCH(214,'Каталог поиска'!$F$2:$F$998,0),"")</f>
        <v>214</v>
      </c>
    </row>
    <row r="227" spans="1:6" ht="36" customHeight="1">
      <c r="A227">
        <f>IF(F227="","",215)</f>
        <v>215</v>
      </c>
      <c r="B227" s="6" t="str">
        <f>IF($F227="","",INDEX('Каталог поиска'!$B$2:$B$998,$F227))</f>
        <v>SQ Set-2 +/-</v>
      </c>
      <c r="C227" s="6" t="str">
        <f>IF($F227="","",INDEX('Каталог поиска'!$C$2:$C$998,$F227))</f>
        <v>HG</v>
      </c>
      <c r="D227" s="7">
        <f>IF(OR($F227="",E227=0,INDEX('Каталог поиска'!$D$2:$D$998,$F227)=0),"",IFERROR(INDEX('По размерам'!$A$2:$TY$86,MATCH($D$5,'По размерам'!$A$2:$A$86,0),INDEX('Каталог поиска'!$D$2:$D$998,$F227)),""))</f>
        <v>3</v>
      </c>
      <c r="E227">
        <f>IF(OR($F227="",INDEX('Каталог поиска'!$D$2:$D$998,$F227)=0),"",IFERROR(INDEX('Количество значений'!$A$2:$TY$86,MATCH($D$5,'Количество значений'!$A$2:$A$86,0),INDEX('Каталог поиска'!$D$2:$D$998,$F227)),""))</f>
        <v>4</v>
      </c>
      <c r="F227">
        <f>IFERROR(MATCH(215,'Каталог поиска'!$F$2:$F$998,0),"")</f>
        <v>215</v>
      </c>
    </row>
    <row r="228" spans="1:6" ht="36" customHeight="1">
      <c r="A228">
        <f>IF(F228="","",216)</f>
        <v>216</v>
      </c>
      <c r="B228" s="6" t="str">
        <f>IF($F228="","",INDEX('Каталог поиска'!$B$2:$B$998,$F228))</f>
        <v>SQ Width-3 +/-</v>
      </c>
      <c r="C228" s="6" t="str">
        <f>IF($F228="","",INDEX('Каталог поиска'!$C$2:$C$998,$F228))</f>
        <v>HH</v>
      </c>
      <c r="D228" s="7">
        <f>IF(OR($F228="",E228=0,INDEX('Каталог поиска'!$D$2:$D$998,$F228)=0),"",IFERROR(INDEX('По размерам'!$A$2:$TY$86,MATCH($D$5,'По размерам'!$A$2:$A$86,0),INDEX('Каталог поиска'!$D$2:$D$998,$F228)),""))</f>
        <v>3</v>
      </c>
      <c r="E228">
        <f>IF(OR($F228="",INDEX('Каталог поиска'!$D$2:$D$998,$F228)=0),"",IFERROR(INDEX('Количество значений'!$A$2:$TY$86,MATCH($D$5,'Количество значений'!$A$2:$A$86,0),INDEX('Каталог поиска'!$D$2:$D$998,$F228)),""))</f>
        <v>4</v>
      </c>
      <c r="F228">
        <f>IFERROR(MATCH(216,'Каталог поиска'!$F$2:$F$998,0),"")</f>
        <v>216</v>
      </c>
    </row>
    <row r="229" spans="1:6" ht="36" customHeight="1">
      <c r="A229">
        <f>IF(F229="","",217)</f>
        <v>217</v>
      </c>
      <c r="B229" s="6" t="str">
        <f>IF($F229="","",INDEX('Каталог поиска'!$B$2:$B$998,$F229))</f>
        <v>SideWidth</v>
      </c>
      <c r="C229" s="6" t="str">
        <f>IF($F229="","",INDEX('Каталог поиска'!$C$2:$C$998,$F229))</f>
        <v>HI</v>
      </c>
      <c r="D229" s="7">
        <f>IF(OR($F229="",E229=0,INDEX('Каталог поиска'!$D$2:$D$998,$F229)=0),"",IFERROR(INDEX('По размерам'!$A$2:$TY$86,MATCH($D$5,'По размерам'!$A$2:$A$86,0),INDEX('Каталог поиска'!$D$2:$D$998,$F229)),""))</f>
        <v>149</v>
      </c>
      <c r="E229">
        <f>IF(OR($F229="",INDEX('Каталог поиска'!$D$2:$D$998,$F229)=0),"",IFERROR(INDEX('Количество значений'!$A$2:$TY$86,MATCH($D$5,'Количество значений'!$A$2:$A$86,0),INDEX('Каталог поиска'!$D$2:$D$998,$F229)),""))</f>
        <v>4</v>
      </c>
      <c r="F229">
        <f>IFERROR(MATCH(217,'Каталог поиска'!$F$2:$F$998,0),"")</f>
        <v>217</v>
      </c>
    </row>
    <row r="230" spans="1:6" ht="36" customHeight="1">
      <c r="A230">
        <f>IF(F230="","",218)</f>
        <v>218</v>
      </c>
      <c r="B230" s="6" t="str">
        <f>IF($F230="","",INDEX('Каталог поиска'!$B$2:$B$998,$F230))</f>
        <v>Side Width +/-</v>
      </c>
      <c r="C230" s="6" t="str">
        <f>IF($F230="","",INDEX('Каталог поиска'!$C$2:$C$998,$F230))</f>
        <v>HJ</v>
      </c>
      <c r="D230" s="7">
        <f>IF(OR($F230="",E230=0,INDEX('Каталог поиска'!$D$2:$D$998,$F230)=0),"",IFERROR(INDEX('По размерам'!$A$2:$TY$86,MATCH($D$5,'По размерам'!$A$2:$A$86,0),INDEX('Каталог поиска'!$D$2:$D$998,$F230)),""))</f>
        <v>3</v>
      </c>
      <c r="E230">
        <f>IF(OR($F230="",INDEX('Каталог поиска'!$D$2:$D$998,$F230)=0),"",IFERROR(INDEX('Количество значений'!$A$2:$TY$86,MATCH($D$5,'Количество значений'!$A$2:$A$86,0),INDEX('Каталог поиска'!$D$2:$D$998,$F230)),""))</f>
        <v>4</v>
      </c>
      <c r="F230">
        <f>IFERROR(MATCH(218,'Каталог поиска'!$F$2:$F$998,0),"")</f>
        <v>218</v>
      </c>
    </row>
    <row r="231" spans="1:6" ht="36" customHeight="1">
      <c r="A231">
        <f>IF(F231="","",219)</f>
        <v>219</v>
      </c>
      <c r="B231" s="6" t="str">
        <f>IF($F231="","",INDEX('Каталог поиска'!$B$2:$B$998,$F231))</f>
        <v>AGS set</v>
      </c>
      <c r="C231" s="6" t="str">
        <f>IF($F231="","",INDEX('Каталог поиска'!$C$2:$C$998,$F231))</f>
        <v>HK</v>
      </c>
      <c r="D231" s="7">
        <f>IF(OR($F231="",E231=0,INDEX('Каталог поиска'!$D$2:$D$998,$F231)=0),"",IFERROR(INDEX('По размерам'!$A$2:$TY$86,MATCH($D$5,'По размерам'!$A$2:$A$86,0),INDEX('Каталог поиска'!$D$2:$D$998,$F231)),""))</f>
        <v>55</v>
      </c>
      <c r="E231">
        <f>IF(OR($F231="",INDEX('Каталог поиска'!$D$2:$D$998,$F231)=0),"",IFERROR(INDEX('Количество значений'!$A$2:$TY$86,MATCH($D$5,'Количество значений'!$A$2:$A$86,0),INDEX('Каталог поиска'!$D$2:$D$998,$F231)),""))</f>
        <v>4</v>
      </c>
      <c r="F231">
        <f>IFERROR(MATCH(219,'Каталог поиска'!$F$2:$F$998,0),"")</f>
        <v>219</v>
      </c>
    </row>
    <row r="232" spans="1:6" ht="36" customHeight="1">
      <c r="A232">
        <f>IF(F232="","",220)</f>
        <v>220</v>
      </c>
      <c r="B232" s="6" t="str">
        <f>IF($F232="","",INDEX('Каталог поиска'!$B$2:$B$998,$F232))</f>
        <v>AGS set +/-</v>
      </c>
      <c r="C232" s="6" t="str">
        <f>IF($F232="","",INDEX('Каталог поиска'!$C$2:$C$998,$F232))</f>
        <v>HL</v>
      </c>
      <c r="D232" s="7">
        <f>IF(OR($F232="",E232=0,INDEX('Каталог поиска'!$D$2:$D$998,$F232)=0),"",IFERROR(INDEX('По размерам'!$A$2:$TY$86,MATCH($D$5,'По размерам'!$A$2:$A$86,0),INDEX('Каталог поиска'!$D$2:$D$998,$F232)),""))</f>
        <v>2</v>
      </c>
      <c r="E232">
        <f>IF(OR($F232="",INDEX('Каталог поиска'!$D$2:$D$998,$F232)=0),"",IFERROR(INDEX('Количество значений'!$A$2:$TY$86,MATCH($D$5,'Количество значений'!$A$2:$A$86,0),INDEX('Каталог поиска'!$D$2:$D$998,$F232)),""))</f>
        <v>4</v>
      </c>
      <c r="F232">
        <f>IFERROR(MATCH(220,'Каталог поиска'!$F$2:$F$998,0),"")</f>
        <v>220</v>
      </c>
    </row>
    <row r="233" spans="1:6" ht="36" customHeight="1">
      <c r="A233">
        <f>IF(F233="","",221)</f>
        <v>221</v>
      </c>
      <c r="B233" s="6" t="str">
        <f>IF($F233="","",INDEX('Каталог поиска'!$B$2:$B$998,$F233))</f>
        <v>TPI set</v>
      </c>
      <c r="C233" s="6" t="str">
        <f>IF($F233="","",INDEX('Каталог поиска'!$C$2:$C$998,$F233))</f>
        <v>HM</v>
      </c>
      <c r="D233" s="7">
        <f>IF(OR($F233="",E233=0,INDEX('Каталог поиска'!$D$2:$D$998,$F233)=0),"",IFERROR(INDEX('По размерам'!$A$2:$TY$86,MATCH($D$5,'По размерам'!$A$2:$A$86,0),INDEX('Каталог поиска'!$D$2:$D$998,$F233)),""))</f>
        <v>0</v>
      </c>
      <c r="E233">
        <f>IF(OR($F233="",INDEX('Каталог поиска'!$D$2:$D$998,$F233)=0),"",IFERROR(INDEX('Количество значений'!$A$2:$TY$86,MATCH($D$5,'Количество значений'!$A$2:$A$86,0),INDEX('Каталог поиска'!$D$2:$D$998,$F233)),""))</f>
        <v>4</v>
      </c>
      <c r="F233">
        <f>IFERROR(MATCH(221,'Каталог поиска'!$F$2:$F$998,0),"")</f>
        <v>221</v>
      </c>
    </row>
    <row r="234" spans="1:6" ht="36" customHeight="1">
      <c r="A234">
        <f>IF(F234="","",222)</f>
        <v>222</v>
      </c>
      <c r="B234" s="6" t="str">
        <f>IF($F234="","",INDEX('Каталог поиска'!$B$2:$B$998,$F234))</f>
        <v>TPI set +/-</v>
      </c>
      <c r="C234" s="6" t="str">
        <f>IF($F234="","",INDEX('Каталог поиска'!$C$2:$C$998,$F234))</f>
        <v>HN</v>
      </c>
      <c r="D234" s="7">
        <f>IF(OR($F234="",E234=0,INDEX('Каталог поиска'!$D$2:$D$998,$F234)=0),"",IFERROR(INDEX('По размерам'!$A$2:$TY$86,MATCH($D$5,'По размерам'!$A$2:$A$86,0),INDEX('Каталог поиска'!$D$2:$D$998,$F234)),""))</f>
        <v>2</v>
      </c>
      <c r="E234">
        <f>IF(OR($F234="",INDEX('Каталог поиска'!$D$2:$D$998,$F234)=0),"",IFERROR(INDEX('Количество значений'!$A$2:$TY$86,MATCH($D$5,'Количество значений'!$A$2:$A$86,0),INDEX('Каталог поиска'!$D$2:$D$998,$F234)),""))</f>
        <v>4</v>
      </c>
      <c r="F234">
        <f>IFERROR(MATCH(222,'Каталог поиска'!$F$2:$F$998,0),"")</f>
        <v>222</v>
      </c>
    </row>
    <row r="235" spans="1:6" ht="36" customHeight="1">
      <c r="A235">
        <f>IF(F235="","",223)</f>
        <v>223</v>
      </c>
      <c r="B235" s="6" t="str">
        <f>IF($F235="","",INDEX('Каталог поиска'!$B$2:$B$998,$F235))</f>
        <v>SIDE set</v>
      </c>
      <c r="C235" s="6" t="str">
        <f>IF($F235="","",INDEX('Каталог поиска'!$C$2:$C$998,$F235))</f>
        <v>HO</v>
      </c>
      <c r="D235" s="7">
        <f>IF(OR($F235="",E235=0,INDEX('Каталог поиска'!$D$2:$D$998,$F235)=0),"",IFERROR(INDEX('По размерам'!$A$2:$TY$86,MATCH($D$5,'По размерам'!$A$2:$A$86,0),INDEX('Каталог поиска'!$D$2:$D$998,$F235)),""))</f>
        <v>79</v>
      </c>
      <c r="E235">
        <f>IF(OR($F235="",INDEX('Каталог поиска'!$D$2:$D$998,$F235)=0),"",IFERROR(INDEX('Количество значений'!$A$2:$TY$86,MATCH($D$5,'Количество значений'!$A$2:$A$86,0),INDEX('Каталог поиска'!$D$2:$D$998,$F235)),""))</f>
        <v>4</v>
      </c>
      <c r="F235">
        <f>IFERROR(MATCH(223,'Каталог поиска'!$F$2:$F$998,0),"")</f>
        <v>223</v>
      </c>
    </row>
    <row r="236" spans="1:6" ht="36" customHeight="1">
      <c r="A236">
        <f>IF(F236="","",224)</f>
        <v>224</v>
      </c>
      <c r="B236" s="6" t="str">
        <f>IF($F236="","",INDEX('Каталог поиска'!$B$2:$B$998,$F236))</f>
        <v>SIDE set +/-</v>
      </c>
      <c r="C236" s="6" t="str">
        <f>IF($F236="","",INDEX('Каталог поиска'!$C$2:$C$998,$F236))</f>
        <v>HP</v>
      </c>
      <c r="D236" s="7">
        <f>IF(OR($F236="",E236=0,INDEX('Каталог поиска'!$D$2:$D$998,$F236)=0),"",IFERROR(INDEX('По размерам'!$A$2:$TY$86,MATCH($D$5,'По размерам'!$A$2:$A$86,0),INDEX('Каталог поиска'!$D$2:$D$998,$F236)),""))</f>
        <v>3</v>
      </c>
      <c r="E236">
        <f>IF(OR($F236="",INDEX('Каталог поиска'!$D$2:$D$998,$F236)=0),"",IFERROR(INDEX('Количество значений'!$A$2:$TY$86,MATCH($D$5,'Количество значений'!$A$2:$A$86,0),INDEX('Каталог поиска'!$D$2:$D$998,$F236)),""))</f>
        <v>4</v>
      </c>
      <c r="F236">
        <f>IFERROR(MATCH(224,'Каталог поиска'!$F$2:$F$998,0),"")</f>
        <v>224</v>
      </c>
    </row>
    <row r="237" spans="1:6" ht="36" customHeight="1">
      <c r="A237">
        <f>IF(F237="","",225)</f>
        <v>225</v>
      </c>
      <c r="B237" s="6" t="str">
        <f>IF($F237="","",INDEX('Каталог поиска'!$B$2:$B$998,$F237))</f>
        <v>2NDBF set</v>
      </c>
      <c r="C237" s="6" t="str">
        <f>IF($F237="","",INDEX('Каталог поиска'!$C$2:$C$998,$F237))</f>
        <v>HQ</v>
      </c>
      <c r="D237" s="7">
        <f>IF(OR($F237="",E237=0,INDEX('Каталог поиска'!$D$2:$D$998,$F237)=0),"",IFERROR(INDEX('По размерам'!$A$2:$TY$86,MATCH($D$5,'По размерам'!$A$2:$A$86,0),INDEX('Каталог поиска'!$D$2:$D$998,$F237)),""))</f>
        <v>0</v>
      </c>
      <c r="E237">
        <f>IF(OR($F237="",INDEX('Каталог поиска'!$D$2:$D$998,$F237)=0),"",IFERROR(INDEX('Количество значений'!$A$2:$TY$86,MATCH($D$5,'Количество значений'!$A$2:$A$86,0),INDEX('Каталог поиска'!$D$2:$D$998,$F237)),""))</f>
        <v>4</v>
      </c>
      <c r="F237">
        <f>IFERROR(MATCH(225,'Каталог поиска'!$F$2:$F$998,0),"")</f>
        <v>225</v>
      </c>
    </row>
    <row r="238" spans="1:6" ht="36" customHeight="1">
      <c r="A238">
        <f>IF(F238="","",226)</f>
        <v>226</v>
      </c>
      <c r="B238" s="6" t="str">
        <f>IF($F238="","",INDEX('Каталог поиска'!$B$2:$B$998,$F238))</f>
        <v>2NDBF set +/-</v>
      </c>
      <c r="C238" s="6" t="str">
        <f>IF($F238="","",INDEX('Каталог поиска'!$C$2:$C$998,$F238))</f>
        <v>HR</v>
      </c>
      <c r="D238" s="7">
        <f>IF(OR($F238="",E238=0,INDEX('Каталог поиска'!$D$2:$D$998,$F238)=0),"",IFERROR(INDEX('По размерам'!$A$2:$TY$86,MATCH($D$5,'По размерам'!$A$2:$A$86,0),INDEX('Каталог поиска'!$D$2:$D$998,$F238)),""))</f>
        <v>2</v>
      </c>
      <c r="E238">
        <f>IF(OR($F238="",INDEX('Каталог поиска'!$D$2:$D$998,$F238)=0),"",IFERROR(INDEX('Количество значений'!$A$2:$TY$86,MATCH($D$5,'Количество значений'!$A$2:$A$86,0),INDEX('Каталог поиска'!$D$2:$D$998,$F238)),""))</f>
        <v>4</v>
      </c>
      <c r="F238">
        <f>IFERROR(MATCH(226,'Каталог поиска'!$F$2:$F$998,0),"")</f>
        <v>226</v>
      </c>
    </row>
    <row r="239" spans="1:6" ht="36" customHeight="1">
      <c r="A239">
        <f>IF(F239="","",227)</f>
        <v>227</v>
      </c>
      <c r="B239" s="6" t="str">
        <f>IF($F239="","",INDEX('Каталог поиска'!$B$2:$B$998,$F239))</f>
        <v>Band Mass</v>
      </c>
      <c r="C239" s="6" t="str">
        <f>IF($F239="","",INDEX('Каталог поиска'!$C$2:$C$998,$F239))</f>
        <v>HS</v>
      </c>
      <c r="D239" s="7">
        <f>IF(OR($F239="",E239=0,INDEX('Каталог поиска'!$D$2:$D$998,$F239)=0),"",IFERROR(INDEX('По размерам'!$A$2:$TY$86,MATCH($D$5,'По размерам'!$A$2:$A$86,0),INDEX('Каталог поиска'!$D$2:$D$998,$F239)),""))</f>
        <v>3071.5</v>
      </c>
      <c r="E239">
        <f>IF(OR($F239="",INDEX('Каталог поиска'!$D$2:$D$998,$F239)=0),"",IFERROR(INDEX('Количество значений'!$A$2:$TY$86,MATCH($D$5,'Количество значений'!$A$2:$A$86,0),INDEX('Каталог поиска'!$D$2:$D$998,$F239)),""))</f>
        <v>4</v>
      </c>
      <c r="F239">
        <f>IFERROR(MATCH(227,'Каталог поиска'!$F$2:$F$998,0),"")</f>
        <v>227</v>
      </c>
    </row>
    <row r="240" spans="1:6" ht="36" customHeight="1">
      <c r="A240">
        <f>IF(F240="","",228)</f>
        <v>228</v>
      </c>
      <c r="B240" s="6" t="str">
        <f>IF($F240="","",INDEX('Каталог поиска'!$B$2:$B$998,$F240))</f>
        <v>Band Mass +/-</v>
      </c>
      <c r="C240" s="6" t="str">
        <f>IF($F240="","",INDEX('Каталог поиска'!$C$2:$C$998,$F240))</f>
        <v>HT</v>
      </c>
      <c r="D240" s="7">
        <f>IF(OR($F240="",E240=0,INDEX('Каталог поиска'!$D$2:$D$998,$F240)=0),"",IFERROR(INDEX('По размерам'!$A$2:$TY$86,MATCH($D$5,'По размерам'!$A$2:$A$86,0),INDEX('Каталог поиска'!$D$2:$D$998,$F240)),""))</f>
        <v>90</v>
      </c>
      <c r="E240">
        <f>IF(OR($F240="",INDEX('Каталог поиска'!$D$2:$D$998,$F240)=0),"",IFERROR(INDEX('Количество значений'!$A$2:$TY$86,MATCH($D$5,'Количество значений'!$A$2:$A$86,0),INDEX('Каталог поиска'!$D$2:$D$998,$F240)),""))</f>
        <v>4</v>
      </c>
      <c r="F240">
        <f>IFERROR(MATCH(228,'Каталог поиска'!$F$2:$F$998,0),"")</f>
        <v>228</v>
      </c>
    </row>
    <row r="241" spans="1:6" ht="36" customHeight="1">
      <c r="A241">
        <f>IF(F241="","",229)</f>
        <v>229</v>
      </c>
      <c r="B241" s="6" t="str">
        <f>IF($F241="","",INDEX('Каталог поиска'!$B$2:$B$998,$F241))</f>
        <v>Auto1 ST p1</v>
      </c>
      <c r="C241" s="6" t="str">
        <f>IF($F241="","",INDEX('Каталог поиска'!$C$2:$C$998,$F241))</f>
        <v>HU</v>
      </c>
      <c r="D241" s="7">
        <f>IF(OR($F241="",E241=0,INDEX('Каталог поиска'!$D$2:$D$998,$F241)=0),"",IFERROR(INDEX('По размерам'!$A$2:$TY$86,MATCH($D$5,'По размерам'!$A$2:$A$86,0),INDEX('Каталог поиска'!$D$2:$D$998,$F241)),""))</f>
        <v>180</v>
      </c>
      <c r="E241">
        <f>IF(OR($F241="",INDEX('Каталог поиска'!$D$2:$D$998,$F241)=0),"",IFERROR(INDEX('Количество значений'!$A$2:$TY$86,MATCH($D$5,'Количество значений'!$A$2:$A$86,0),INDEX('Каталог поиска'!$D$2:$D$998,$F241)),""))</f>
        <v>4</v>
      </c>
      <c r="F241">
        <f>IFERROR(MATCH(229,'Каталог поиска'!$F$2:$F$998,0),"")</f>
        <v>229</v>
      </c>
    </row>
    <row r="242" spans="1:6" ht="36" customHeight="1">
      <c r="A242">
        <f>IF(F242="","",230)</f>
        <v>230</v>
      </c>
      <c r="B242" s="6" t="str">
        <f>IF($F242="","",INDEX('Каталог поиска'!$B$2:$B$998,$F242))</f>
        <v>Auto1 ST p2</v>
      </c>
      <c r="C242" s="6" t="str">
        <f>IF($F242="","",INDEX('Каталог поиска'!$C$2:$C$998,$F242))</f>
        <v>HV</v>
      </c>
      <c r="D242" s="7">
        <f>IF(OR($F242="",E242=0,INDEX('Каталог поиска'!$D$2:$D$998,$F242)=0),"",IFERROR(INDEX('По размерам'!$A$2:$TY$86,MATCH($D$5,'По размерам'!$A$2:$A$86,0),INDEX('Каталог поиска'!$D$2:$D$998,$F242)),""))</f>
        <v/>
      </c>
      <c r="E242">
        <f>IF(OR($F242="",INDEX('Каталог поиска'!$D$2:$D$998,$F242)=0),"",IFERROR(INDEX('Количество значений'!$A$2:$TY$86,MATCH($D$5,'Количество значений'!$A$2:$A$86,0),INDEX('Каталог поиска'!$D$2:$D$998,$F242)),""))</f>
        <v/>
      </c>
      <c r="F242">
        <f>IFERROR(MATCH(230,'Каталог поиска'!$F$2:$F$998,0),"")</f>
        <v>230</v>
      </c>
    </row>
    <row r="243" spans="1:6" ht="36" customHeight="1">
      <c r="A243">
        <f>IF(F243="","",231)</f>
        <v>231</v>
      </c>
      <c r="B243" s="6" t="str">
        <f>IF($F243="","",INDEX('Каталог поиска'!$B$2:$B$998,$F243))</f>
        <v>Coefficient</v>
      </c>
      <c r="C243" s="6" t="str">
        <f>IF($F243="","",INDEX('Каталог поиска'!$C$2:$C$998,$F243))</f>
        <v>HW</v>
      </c>
      <c r="D243" s="7">
        <f>IF(OR($F243="",E243=0,INDEX('Каталог поиска'!$D$2:$D$998,$F243)=0),"",IFERROR(INDEX('По размерам'!$A$2:$TY$86,MATCH($D$5,'По размерам'!$A$2:$A$86,0),INDEX('Каталог поиска'!$D$2:$D$998,$F243)),""))</f>
        <v>0</v>
      </c>
      <c r="E243">
        <f>IF(OR($F243="",INDEX('Каталог поиска'!$D$2:$D$998,$F243)=0),"",IFERROR(INDEX('Количество значений'!$A$2:$TY$86,MATCH($D$5,'Количество значений'!$A$2:$A$86,0),INDEX('Каталог поиска'!$D$2:$D$998,$F243)),""))</f>
        <v>4</v>
      </c>
      <c r="F243">
        <f>IFERROR(MATCH(231,'Каталог поиска'!$F$2:$F$998,0),"")</f>
        <v>231</v>
      </c>
    </row>
    <row r="244" spans="1:6" ht="36" customHeight="1">
      <c r="A244">
        <f>IF(F244="","",232)</f>
        <v>232</v>
      </c>
      <c r="B244" s="6" t="str">
        <f>IF($F244="","",INDEX('Каталог поиска'!$B$2:$B$998,$F244))</f>
        <v>Auto1 ST p3</v>
      </c>
      <c r="C244" s="6" t="str">
        <f>IF($F244="","",INDEX('Каталог поиска'!$C$2:$C$998,$F244))</f>
        <v>HX</v>
      </c>
      <c r="D244" s="7">
        <f>IF(OR($F244="",E244=0,INDEX('Каталог поиска'!$D$2:$D$998,$F244)=0),"",IFERROR(INDEX('По размерам'!$A$2:$TY$86,MATCH($D$5,'По размерам'!$A$2:$A$86,0),INDEX('Каталог поиска'!$D$2:$D$998,$F244)),""))</f>
        <v>399.25</v>
      </c>
      <c r="E244">
        <f>IF(OR($F244="",INDEX('Каталог поиска'!$D$2:$D$998,$F244)=0),"",IFERROR(INDEX('Количество значений'!$A$2:$TY$86,MATCH($D$5,'Количество значений'!$A$2:$A$86,0),INDEX('Каталог поиска'!$D$2:$D$998,$F244)),""))</f>
        <v>4</v>
      </c>
      <c r="F244">
        <f>IFERROR(MATCH(232,'Каталог поиска'!$F$2:$F$998,0),"")</f>
        <v>232</v>
      </c>
    </row>
    <row r="245" spans="1:6" ht="36" customHeight="1">
      <c r="A245">
        <f>IF(F245="","",233)</f>
        <v>233</v>
      </c>
      <c r="B245" s="6" t="str">
        <f>IF($F245="","",INDEX('Каталог поиска'!$B$2:$B$998,$F245))</f>
        <v>ST Pressure(High) (Mpa)</v>
      </c>
      <c r="C245" s="6" t="str">
        <f>IF($F245="","",INDEX('Каталог поиска'!$C$2:$C$998,$F245))</f>
        <v>HY</v>
      </c>
      <c r="D245" s="7">
        <f>IF(OR($F245="",E245=0,INDEX('Каталог поиска'!$D$2:$D$998,$F245)=0),"",IFERROR(INDEX('По размерам'!$A$2:$TY$86,MATCH($D$5,'По размерам'!$A$2:$A$86,0),INDEX('Каталог поиска'!$D$2:$D$998,$F245)),""))</f>
        <v>0.18</v>
      </c>
      <c r="E245">
        <f>IF(OR($F245="",INDEX('Каталог поиска'!$D$2:$D$998,$F245)=0),"",IFERROR(INDEX('Количество значений'!$A$2:$TY$86,MATCH($D$5,'Количество значений'!$A$2:$A$86,0),INDEX('Каталог поиска'!$D$2:$D$998,$F245)),""))</f>
        <v>4</v>
      </c>
      <c r="F245">
        <f>IFERROR(MATCH(233,'Каталог поиска'!$F$2:$F$998,0),"")</f>
        <v>233</v>
      </c>
    </row>
    <row r="246" spans="1:6" ht="36" customHeight="1">
      <c r="A246">
        <f>IF(F246="","",234)</f>
        <v>234</v>
      </c>
      <c r="B246" s="6" t="str">
        <f>IF($F246="","",INDEX('Каталог поиска'!$B$2:$B$998,$F246))</f>
        <v>ST Pressure(Middle)(Mpa)</v>
      </c>
      <c r="C246" s="6" t="str">
        <f>IF($F246="","",INDEX('Каталог поиска'!$C$2:$C$998,$F246))</f>
        <v>HZ</v>
      </c>
      <c r="D246" s="7">
        <f>IF(OR($F246="",E246=0,INDEX('Каталог поиска'!$D$2:$D$998,$F246)=0),"",IFERROR(INDEX('По размерам'!$A$2:$TY$86,MATCH($D$5,'По размерам'!$A$2:$A$86,0),INDEX('Каталог поиска'!$D$2:$D$998,$F246)),""))</f>
        <v/>
      </c>
      <c r="E246">
        <f>IF(OR($F246="",INDEX('Каталог поиска'!$D$2:$D$998,$F246)=0),"",IFERROR(INDEX('Количество значений'!$A$2:$TY$86,MATCH($D$5,'Количество значений'!$A$2:$A$86,0),INDEX('Каталог поиска'!$D$2:$D$998,$F246)),""))</f>
        <v/>
      </c>
      <c r="F246">
        <f>IFERROR(MATCH(234,'Каталог поиска'!$F$2:$F$998,0),"")</f>
        <v>234</v>
      </c>
    </row>
    <row r="247" spans="1:6" ht="36" customHeight="1">
      <c r="A247">
        <f>IF(F247="","",235)</f>
        <v>235</v>
      </c>
      <c r="B247" s="6" t="str">
        <f>IF($F247="","",INDEX('Каталог поиска'!$B$2:$B$998,$F247))</f>
        <v>ST Pressure(Low)(Mpa)</v>
      </c>
      <c r="C247" s="6" t="str">
        <f>IF($F247="","",INDEX('Каталог поиска'!$C$2:$C$998,$F247))</f>
        <v>IA</v>
      </c>
      <c r="D247" s="7">
        <f>IF(OR($F247="",E247=0,INDEX('Каталог поиска'!$D$2:$D$998,$F247)=0),"",IFERROR(INDEX('По размерам'!$A$2:$TY$86,MATCH($D$5,'По размерам'!$A$2:$A$86,0),INDEX('Каталог поиска'!$D$2:$D$998,$F247)),""))</f>
        <v>0.15</v>
      </c>
      <c r="E247">
        <f>IF(OR($F247="",INDEX('Каталог поиска'!$D$2:$D$998,$F247)=0),"",IFERROR(INDEX('Количество значений'!$A$2:$TY$86,MATCH($D$5,'Количество значений'!$A$2:$A$86,0),INDEX('Каталог поиска'!$D$2:$D$998,$F247)),""))</f>
        <v>4</v>
      </c>
      <c r="F247">
        <f>IFERROR(MATCH(235,'Каталог поиска'!$F$2:$F$998,0),"")</f>
        <v>235</v>
      </c>
    </row>
    <row r="248" spans="1:6" ht="36" customHeight="1">
      <c r="A248">
        <f>IF(F248="","",236)</f>
        <v>236</v>
      </c>
      <c r="B248" s="6" t="str">
        <f>IF($F248="","",INDEX('Каталог поиска'!$B$2:$B$998,$F248))</f>
        <v>IL</v>
      </c>
      <c r="C248" s="6" t="str">
        <f>IF($F248="","",INDEX('Каталог поиска'!$C$2:$C$998,$F248))</f>
        <v>IB</v>
      </c>
      <c r="D248" s="7">
        <f>IF(OR($F248="",E248=0,INDEX('Каталог поиска'!$D$2:$D$998,$F248)=0),"",IFERROR(INDEX('По размерам'!$A$2:$TY$86,MATCH($D$5,'По размерам'!$A$2:$A$86,0),INDEX('Каталог поиска'!$D$2:$D$998,$F248)),""))</f>
        <v>0</v>
      </c>
      <c r="E248">
        <f>IF(OR($F248="",INDEX('Каталог поиска'!$D$2:$D$998,$F248)=0),"",IFERROR(INDEX('Количество значений'!$A$2:$TY$86,MATCH($D$5,'Количество значений'!$A$2:$A$86,0),INDEX('Каталог поиска'!$D$2:$D$998,$F248)),""))</f>
        <v>4</v>
      </c>
      <c r="F248">
        <f>IFERROR(MATCH(236,'Каталог поиска'!$F$2:$F$998,0),"")</f>
        <v>236</v>
      </c>
    </row>
    <row r="249" spans="1:6" ht="36" customHeight="1">
      <c r="A249">
        <f>IF(F249="","",237)</f>
        <v>237</v>
      </c>
      <c r="B249" s="6" t="str">
        <f>IF($F249="","",INDEX('Каталог поиска'!$B$2:$B$998,$F249))</f>
        <v>SIDE</v>
      </c>
      <c r="C249" s="6" t="str">
        <f>IF($F249="","",INDEX('Каталог поиска'!$C$2:$C$998,$F249))</f>
        <v>IC</v>
      </c>
      <c r="D249" s="7">
        <f>IF(OR($F249="",E249=0,INDEX('Каталог поиска'!$D$2:$D$998,$F249)=0),"",IFERROR(INDEX('По размерам'!$A$2:$TY$86,MATCH($D$5,'По размерам'!$A$2:$A$86,0),INDEX('Каталог поиска'!$D$2:$D$998,$F249)),""))</f>
        <v>180</v>
      </c>
      <c r="E249">
        <f>IF(OR($F249="",INDEX('Каталог поиска'!$D$2:$D$998,$F249)=0),"",IFERROR(INDEX('Количество значений'!$A$2:$TY$86,MATCH($D$5,'Количество значений'!$A$2:$A$86,0),INDEX('Каталог поиска'!$D$2:$D$998,$F249)),""))</f>
        <v>4</v>
      </c>
      <c r="F249">
        <f>IFERROR(MATCH(237,'Каталог поиска'!$F$2:$F$998,0),"")</f>
        <v>237</v>
      </c>
    </row>
    <row r="250" spans="1:6" ht="36" customHeight="1">
      <c r="A250">
        <f>IF(F250="","",238)</f>
        <v>238</v>
      </c>
      <c r="B250" s="6" t="str">
        <f>IF($F250="","",INDEX('Каталог поиска'!$B$2:$B$998,$F250))</f>
        <v>1PLY</v>
      </c>
      <c r="C250" s="6" t="str">
        <f>IF($F250="","",INDEX('Каталог поиска'!$C$2:$C$998,$F250))</f>
        <v>ID</v>
      </c>
      <c r="D250" s="7">
        <f>IF(OR($F250="",E250=0,INDEX('Каталог поиска'!$D$2:$D$998,$F250)=0),"",IFERROR(INDEX('По размерам'!$A$2:$TY$86,MATCH($D$5,'По размерам'!$A$2:$A$86,0),INDEX('Каталог поиска'!$D$2:$D$998,$F250)),""))</f>
        <v>110</v>
      </c>
      <c r="E250">
        <f>IF(OR($F250="",INDEX('Каталог поиска'!$D$2:$D$998,$F250)=0),"",IFERROR(INDEX('Количество значений'!$A$2:$TY$86,MATCH($D$5,'Количество значений'!$A$2:$A$86,0),INDEX('Каталог поиска'!$D$2:$D$998,$F250)),""))</f>
        <v>4</v>
      </c>
      <c r="F250">
        <f>IFERROR(MATCH(238,'Каталог поиска'!$F$2:$F$998,0),"")</f>
        <v>238</v>
      </c>
    </row>
    <row r="251" spans="1:6" ht="36" customHeight="1">
      <c r="A251">
        <f>IF(F251="","",239)</f>
        <v>239</v>
      </c>
      <c r="B251" s="6" t="str">
        <f>IF($F251="","",INDEX('Каталог поиска'!$B$2:$B$998,$F251))</f>
        <v>2PLY</v>
      </c>
      <c r="C251" s="6" t="str">
        <f>IF($F251="","",INDEX('Каталог поиска'!$C$2:$C$998,$F251))</f>
        <v>IE</v>
      </c>
      <c r="D251" s="7">
        <f>IF(OR($F251="",E251=0,INDEX('Каталог поиска'!$D$2:$D$998,$F251)=0),"",IFERROR(INDEX('По размерам'!$A$2:$TY$86,MATCH($D$5,'По размерам'!$A$2:$A$86,0),INDEX('Каталог поиска'!$D$2:$D$998,$F251)),""))</f>
        <v>56.25</v>
      </c>
      <c r="E251">
        <f>IF(OR($F251="",INDEX('Каталог поиска'!$D$2:$D$998,$F251)=0),"",IFERROR(INDEX('Количество значений'!$A$2:$TY$86,MATCH($D$5,'Количество значений'!$A$2:$A$86,0),INDEX('Каталог поиска'!$D$2:$D$998,$F251)),""))</f>
        <v>4</v>
      </c>
      <c r="F251">
        <f>IFERROR(MATCH(239,'Каталог поиска'!$F$2:$F$998,0),"")</f>
        <v>239</v>
      </c>
    </row>
    <row r="252" spans="1:6" ht="36" customHeight="1">
      <c r="A252">
        <f>IF(F252="","",240)</f>
        <v>240</v>
      </c>
      <c r="B252" s="6" t="str">
        <f>IF($F252="","",INDEX('Каталог поиска'!$B$2:$B$998,$F252))</f>
        <v>FLIPPER</v>
      </c>
      <c r="C252" s="6" t="str">
        <f>IF($F252="","",INDEX('Каталог поиска'!$C$2:$C$998,$F252))</f>
        <v>IF</v>
      </c>
      <c r="D252" s="7">
        <f>IF(OR($F252="",E252=0,INDEX('Каталог поиска'!$D$2:$D$998,$F252)=0),"",IFERROR(INDEX('По размерам'!$A$2:$TY$86,MATCH($D$5,'По размерам'!$A$2:$A$86,0),INDEX('Каталог поиска'!$D$2:$D$998,$F252)),""))</f>
        <v>0</v>
      </c>
      <c r="E252">
        <f>IF(OR($F252="",INDEX('Каталог поиска'!$D$2:$D$998,$F252)=0),"",IFERROR(INDEX('Количество значений'!$A$2:$TY$86,MATCH($D$5,'Количество значений'!$A$2:$A$86,0),INDEX('Каталог поиска'!$D$2:$D$998,$F252)),""))</f>
        <v>4</v>
      </c>
      <c r="F252">
        <f>IFERROR(MATCH(240,'Каталог поиска'!$F$2:$F$998,0),"")</f>
        <v>240</v>
      </c>
    </row>
    <row r="253" spans="1:6" ht="36" customHeight="1">
      <c r="A253">
        <f>IF(F253="","",241)</f>
        <v>241</v>
      </c>
      <c r="B253" s="6" t="str">
        <f>IF($F253="","",INDEX('Каталог поиска'!$B$2:$B$998,$F253))</f>
        <v>Remarks 1</v>
      </c>
      <c r="C253" s="6" t="str">
        <f>IF($F253="","",INDEX('Каталог поиска'!$C$2:$C$998,$F253))</f>
        <v>IG</v>
      </c>
      <c r="D253" s="7">
        <f>IF(OR($F253="",E253=0,INDEX('Каталог поиска'!$D$2:$D$998,$F253)=0),"",IFERROR(INDEX('По размерам'!$A$2:$TY$86,MATCH($D$5,'По размерам'!$A$2:$A$86,0),INDEX('Каталог поиска'!$D$2:$D$998,$F253)),""))</f>
        <v/>
      </c>
      <c r="E253">
        <f>IF(OR($F253="",INDEX('Каталог поиска'!$D$2:$D$998,$F253)=0),"",IFERROR(INDEX('Количество значений'!$A$2:$TY$86,MATCH($D$5,'Количество значений'!$A$2:$A$86,0),INDEX('Каталог поиска'!$D$2:$D$998,$F253)),""))</f>
        <v/>
      </c>
      <c r="F253">
        <f>IFERROR(MATCH(241,'Каталог поиска'!$F$2:$F$998,0),"")</f>
        <v>241</v>
      </c>
    </row>
    <row r="254" spans="1:6" ht="36" customHeight="1">
      <c r="A254">
        <f>IF(F254="","",242)</f>
        <v>242</v>
      </c>
      <c r="B254" s="6" t="str">
        <f>IF($F254="","",INDEX('Каталог поиска'!$B$2:$B$998,$F254))</f>
        <v>Consumer</v>
      </c>
      <c r="C254" s="6" t="str">
        <f>IF($F254="","",INDEX('Каталог поиска'!$C$2:$C$998,$F254))</f>
        <v>IH</v>
      </c>
      <c r="D254" s="7">
        <f>IF(OR($F254="",E254=0,INDEX('Каталог поиска'!$D$2:$D$998,$F254)=0),"",IFERROR(INDEX('По размерам'!$A$2:$TY$86,MATCH($D$5,'По размерам'!$A$2:$A$86,0),INDEX('Каталог поиска'!$D$2:$D$998,$F254)),""))</f>
        <v/>
      </c>
      <c r="E254">
        <f>IF(OR($F254="",INDEX('Каталог поиска'!$D$2:$D$998,$F254)=0),"",IFERROR(INDEX('Количество значений'!$A$2:$TY$86,MATCH($D$5,'Количество значений'!$A$2:$A$86,0),INDEX('Каталог поиска'!$D$2:$D$998,$F254)),""))</f>
        <v/>
      </c>
      <c r="F254">
        <f>IFERROR(MATCH(242,'Каталог поиска'!$F$2:$F$998,0),"")</f>
        <v>242</v>
      </c>
    </row>
    <row r="255" spans="1:6" ht="36" customHeight="1">
      <c r="A255">
        <f>IF(F255="","",243)</f>
        <v>243</v>
      </c>
      <c r="B255" s="6" t="str">
        <f>IF($F255="","",INDEX('Каталог поиска'!$B$2:$B$998,$F255))</f>
        <v>Remarks 3</v>
      </c>
      <c r="C255" s="6" t="str">
        <f>IF($F255="","",INDEX('Каталог поиска'!$C$2:$C$998,$F255))</f>
        <v>II</v>
      </c>
      <c r="D255" s="7">
        <f>IF(OR($F255="",E255=0,INDEX('Каталог поиска'!$D$2:$D$998,$F255)=0),"",IFERROR(INDEX('По размерам'!$A$2:$TY$86,MATCH($D$5,'По размерам'!$A$2:$A$86,0),INDEX('Каталог поиска'!$D$2:$D$998,$F255)),""))</f>
        <v/>
      </c>
      <c r="E255">
        <f>IF(OR($F255="",INDEX('Каталог поиска'!$D$2:$D$998,$F255)=0),"",IFERROR(INDEX('Количество значений'!$A$2:$TY$86,MATCH($D$5,'Количество значений'!$A$2:$A$86,0),INDEX('Каталог поиска'!$D$2:$D$998,$F255)),""))</f>
        <v/>
      </c>
      <c r="F255">
        <f>IFERROR(MATCH(243,'Каталог поиска'!$F$2:$F$998,0),"")</f>
        <v>243</v>
      </c>
    </row>
    <row r="256" spans="1:6" ht="36" customHeight="1">
      <c r="A256">
        <f>IF(F256="","",244)</f>
        <v>244</v>
      </c>
      <c r="B256" s="6" t="str">
        <f>IF($F256="","",INDEX('Каталог поиска'!$B$2:$B$998,$F256))</f>
        <v>Remarks 4</v>
      </c>
      <c r="C256" s="6" t="str">
        <f>IF($F256="","",INDEX('Каталог поиска'!$C$2:$C$998,$F256))</f>
        <v>IJ</v>
      </c>
      <c r="D256" s="7">
        <f>IF(OR($F256="",E256=0,INDEX('Каталог поиска'!$D$2:$D$998,$F256)=0),"",IFERROR(INDEX('По размерам'!$A$2:$TY$86,MATCH($D$5,'По размерам'!$A$2:$A$86,0),INDEX('Каталог поиска'!$D$2:$D$998,$F256)),""))</f>
        <v/>
      </c>
      <c r="E256">
        <f>IF(OR($F256="",INDEX('Каталог поиска'!$D$2:$D$998,$F256)=0),"",IFERROR(INDEX('Количество значений'!$A$2:$TY$86,MATCH($D$5,'Количество значений'!$A$2:$A$86,0),INDEX('Каталог поиска'!$D$2:$D$998,$F256)),""))</f>
        <v/>
      </c>
      <c r="F256">
        <f>IFERROR(MATCH(244,'Каталог поиска'!$F$2:$F$998,0),"")</f>
        <v>244</v>
      </c>
    </row>
    <row r="257" spans="1:6" ht="36" customHeight="1">
      <c r="A257">
        <f>IF(F257="","",245)</f>
        <v>245</v>
      </c>
      <c r="B257" s="6" t="str">
        <f>IF($F257="","",INDEX('Каталог поиска'!$B$2:$B$998,$F257))</f>
        <v>Remarks 5</v>
      </c>
      <c r="C257" s="6" t="str">
        <f>IF($F257="","",INDEX('Каталог поиска'!$C$2:$C$998,$F257))</f>
        <v>IK</v>
      </c>
      <c r="D257" s="7">
        <f>IF(OR($F257="",E257=0,INDEX('Каталог поиска'!$D$2:$D$998,$F257)=0),"",IFERROR(INDEX('По размерам'!$A$2:$TY$86,MATCH($D$5,'По размерам'!$A$2:$A$86,0),INDEX('Каталог поиска'!$D$2:$D$998,$F257)),""))</f>
        <v/>
      </c>
      <c r="E257">
        <f>IF(OR($F257="",INDEX('Каталог поиска'!$D$2:$D$998,$F257)=0),"",IFERROR(INDEX('Количество значений'!$A$2:$TY$86,MATCH($D$5,'Количество значений'!$A$2:$A$86,0),INDEX('Каталог поиска'!$D$2:$D$998,$F257)),""))</f>
        <v/>
      </c>
      <c r="F257">
        <f>IFERROR(MATCH(245,'Каталог поиска'!$F$2:$F$998,0),"")</f>
        <v>245</v>
      </c>
    </row>
    <row r="258" spans="1:6" ht="36" customHeight="1">
      <c r="A258">
        <f>IF(F258="","",246)</f>
        <v>246</v>
      </c>
      <c r="B258" s="6" t="str">
        <f>IF($F258="","",INDEX('Каталог поиска'!$B$2:$B$998,$F258))</f>
        <v>Remarks 6</v>
      </c>
      <c r="C258" s="6" t="str">
        <f>IF($F258="","",INDEX('Каталог поиска'!$C$2:$C$998,$F258))</f>
        <v>IL</v>
      </c>
      <c r="D258" s="7">
        <f>IF(OR($F258="",E258=0,INDEX('Каталог поиска'!$D$2:$D$998,$F258)=0),"",IFERROR(INDEX('По размерам'!$A$2:$TY$86,MATCH($D$5,'По размерам'!$A$2:$A$86,0),INDEX('Каталог поиска'!$D$2:$D$998,$F258)),""))</f>
        <v/>
      </c>
      <c r="E258">
        <f>IF(OR($F258="",INDEX('Каталог поиска'!$D$2:$D$998,$F258)=0),"",IFERROR(INDEX('Количество значений'!$A$2:$TY$86,MATCH($D$5,'Количество значений'!$A$2:$A$86,0),INDEX('Каталог поиска'!$D$2:$D$998,$F258)),""))</f>
        <v/>
      </c>
      <c r="F258">
        <f>IFERROR(MATCH(246,'Каталог поиска'!$F$2:$F$998,0),"")</f>
        <v>246</v>
      </c>
    </row>
    <row r="259" spans="1:6" ht="36" customHeight="1">
      <c r="A259">
        <f>IF(F259="","",247)</f>
        <v>247</v>
      </c>
      <c r="B259" s="6" t="str">
        <f>IF($F259="","",INDEX('Каталог поиска'!$B$2:$B$998,$F259))</f>
        <v>Remarks 7</v>
      </c>
      <c r="C259" s="6" t="str">
        <f>IF($F259="","",INDEX('Каталог поиска'!$C$2:$C$998,$F259))</f>
        <v>IM</v>
      </c>
      <c r="D259" s="7">
        <f>IF(OR($F259="",E259=0,INDEX('Каталог поиска'!$D$2:$D$998,$F259)=0),"",IFERROR(INDEX('По размерам'!$A$2:$TY$86,MATCH($D$5,'По размерам'!$A$2:$A$86,0),INDEX('Каталог поиска'!$D$2:$D$998,$F259)),""))</f>
        <v/>
      </c>
      <c r="E259">
        <f>IF(OR($F259="",INDEX('Каталог поиска'!$D$2:$D$998,$F259)=0),"",IFERROR(INDEX('Количество значений'!$A$2:$TY$86,MATCH($D$5,'Количество значений'!$A$2:$A$86,0),INDEX('Каталог поиска'!$D$2:$D$998,$F259)),""))</f>
        <v/>
      </c>
      <c r="F259">
        <f>IFERROR(MATCH(247,'Каталог поиска'!$F$2:$F$998,0),"")</f>
        <v>247</v>
      </c>
    </row>
    <row r="260" spans="1:6" ht="36" customHeight="1">
      <c r="A260">
        <f>IF(F260="","",248)</f>
        <v>248</v>
      </c>
      <c r="B260" s="6" t="str">
        <f>IF($F260="","",INDEX('Каталог поиска'!$B$2:$B$998,$F260))</f>
        <v>Remarks 8</v>
      </c>
      <c r="C260" s="6" t="str">
        <f>IF($F260="","",INDEX('Каталог поиска'!$C$2:$C$998,$F260))</f>
        <v>IN</v>
      </c>
      <c r="D260" s="7">
        <f>IF(OR($F260="",E260=0,INDEX('Каталог поиска'!$D$2:$D$998,$F260)=0),"",IFERROR(INDEX('По размерам'!$A$2:$TY$86,MATCH($D$5,'По размерам'!$A$2:$A$86,0),INDEX('Каталог поиска'!$D$2:$D$998,$F260)),""))</f>
        <v/>
      </c>
      <c r="E260">
        <f>IF(OR($F260="",INDEX('Каталог поиска'!$D$2:$D$998,$F260)=0),"",IFERROR(INDEX('Количество значений'!$A$2:$TY$86,MATCH($D$5,'Количество значений'!$A$2:$A$86,0),INDEX('Каталог поиска'!$D$2:$D$998,$F260)),""))</f>
        <v/>
      </c>
      <c r="F260">
        <f>IFERROR(MATCH(248,'Каталог поиска'!$F$2:$F$998,0),"")</f>
        <v>248</v>
      </c>
    </row>
    <row r="261" spans="1:6" ht="36" customHeight="1">
      <c r="A261">
        <f>IF(F261="","",249)</f>
        <v>249</v>
      </c>
      <c r="B261" s="6" t="str">
        <f>IF($F261="","",INDEX('Каталог поиска'!$B$2:$B$998,$F261))</f>
        <v>R1005   1st Tire Structure No.</v>
      </c>
      <c r="C261" s="6" t="str">
        <f>IF($F261="","",INDEX('Каталог поиска'!$C$2:$C$998,$F261))</f>
        <v>IO</v>
      </c>
      <c r="D261" s="7">
        <f>IF(OR($F261="",E261=0,INDEX('Каталог поиска'!$D$2:$D$998,$F261)=0),"",IFERROR(INDEX('По размерам'!$A$2:$TY$86,MATCH($D$5,'По размерам'!$A$2:$A$86,0),INDEX('Каталог поиска'!$D$2:$D$998,$F261)),""))</f>
        <v/>
      </c>
      <c r="E261">
        <f>IF(OR($F261="",INDEX('Каталог поиска'!$D$2:$D$998,$F261)=0),"",IFERROR(INDEX('Количество значений'!$A$2:$TY$86,MATCH($D$5,'Количество значений'!$A$2:$A$86,0),INDEX('Каталог поиска'!$D$2:$D$998,$F261)),""))</f>
        <v/>
      </c>
      <c r="F261">
        <f>IFERROR(MATCH(249,'Каталог поиска'!$F$2:$F$998,0),"")</f>
        <v>249</v>
      </c>
    </row>
    <row r="262" spans="1:6" ht="36" customHeight="1">
      <c r="A262">
        <f>IF(F262="","",250)</f>
        <v>250</v>
      </c>
      <c r="B262" s="6" t="str">
        <f>IF($F262="","",INDEX('Каталог поиска'!$B$2:$B$998,$F262))</f>
        <v>R1006   Tire Size (Inch)</v>
      </c>
      <c r="C262" s="6" t="str">
        <f>IF($F262="","",INDEX('Каталог поиска'!$C$2:$C$998,$F262))</f>
        <v>IP</v>
      </c>
      <c r="D262" s="7">
        <f>IF(OR($F262="",E262=0,INDEX('Каталог поиска'!$D$2:$D$998,$F262)=0),"",IFERROR(INDEX('По размерам'!$A$2:$TY$86,MATCH($D$5,'По размерам'!$A$2:$A$86,0),INDEX('Каталог поиска'!$D$2:$D$998,$F262)),""))</f>
        <v>14</v>
      </c>
      <c r="E262">
        <f>IF(OR($F262="",INDEX('Каталог поиска'!$D$2:$D$998,$F262)=0),"",IFERROR(INDEX('Количество значений'!$A$2:$TY$86,MATCH($D$5,'Количество значений'!$A$2:$A$86,0),INDEX('Каталог поиска'!$D$2:$D$998,$F262)),""))</f>
        <v>4</v>
      </c>
      <c r="F262">
        <f>IFERROR(MATCH(250,'Каталог поиска'!$F$2:$F$998,0),"")</f>
        <v>250</v>
      </c>
    </row>
    <row r="263" spans="1:6" ht="36" customHeight="1">
      <c r="A263">
        <f>IF(F263="","",251)</f>
        <v>251</v>
      </c>
      <c r="B263" s="6" t="str">
        <f>IF($F263="","",INDEX('Каталог поиска'!$B$2:$B$998,$F263))</f>
        <v>R1007   PA Patterrn 0:PA  1:Non-PA</v>
      </c>
      <c r="C263" s="6" t="str">
        <f>IF($F263="","",INDEX('Каталог поиска'!$C$2:$C$998,$F263))</f>
        <v>IQ</v>
      </c>
      <c r="D263" s="7">
        <f>IF(OR($F263="",E263=0,INDEX('Каталог поиска'!$D$2:$D$998,$F263)=0),"",IFERROR(INDEX('По размерам'!$A$2:$TY$86,MATCH($D$5,'По размерам'!$A$2:$A$86,0),INDEX('Каталог поиска'!$D$2:$D$998,$F263)),""))</f>
        <v/>
      </c>
      <c r="E263">
        <f>IF(OR($F263="",INDEX('Каталог поиска'!$D$2:$D$998,$F263)=0),"",IFERROR(INDEX('Количество значений'!$A$2:$TY$86,MATCH($D$5,'Количество значений'!$A$2:$A$86,0),INDEX('Каталог поиска'!$D$2:$D$998,$F263)),""))</f>
        <v/>
      </c>
      <c r="F263">
        <f>IFERROR(MATCH(251,'Каталог поиска'!$F$2:$F$998,0),"")</f>
        <v>251</v>
      </c>
    </row>
    <row r="264" spans="1:6" ht="36" customHeight="1">
      <c r="A264">
        <f>IF(F264="","",252)</f>
        <v>252</v>
      </c>
      <c r="B264" s="6" t="str">
        <f>IF($F264="","",INDEX('Каталог поиска'!$B$2:$B$998,$F264))</f>
        <v>R1008   C-CH preset  0:No preset 1:Preset</v>
      </c>
      <c r="C264" s="6" t="str">
        <f>IF($F264="","",INDEX('Каталог поиска'!$C$2:$C$998,$F264))</f>
        <v>IR</v>
      </c>
      <c r="D264" s="7">
        <f>IF(OR($F264="",E264=0,INDEX('Каталог поиска'!$D$2:$D$998,$F264)=0),"",IFERROR(INDEX('По размерам'!$A$2:$TY$86,MATCH($D$5,'По размерам'!$A$2:$A$86,0),INDEX('Каталог поиска'!$D$2:$D$998,$F264)),""))</f>
        <v/>
      </c>
      <c r="E264">
        <f>IF(OR($F264="",INDEX('Каталог поиска'!$D$2:$D$998,$F264)=0),"",IFERROR(INDEX('Количество значений'!$A$2:$TY$86,MATCH($D$5,'Количество значений'!$A$2:$A$86,0),INDEX('Каталог поиска'!$D$2:$D$998,$F264)),""))</f>
        <v/>
      </c>
      <c r="F264">
        <f>IFERROR(MATCH(252,'Каталог поиска'!$F$2:$F$998,0),"")</f>
        <v>252</v>
      </c>
    </row>
    <row r="265" spans="1:6" ht="36" customHeight="1">
      <c r="A265">
        <f>IF(F265="","",253)</f>
        <v>253</v>
      </c>
      <c r="B265" s="6" t="str">
        <f>IF($F265="","",INDEX('Каталог поиска'!$B$2:$B$998,$F265))</f>
        <v>R1009   2P(Down)-ST　0:No Use1:Use</v>
      </c>
      <c r="C265" s="6" t="str">
        <f>IF($F265="","",INDEX('Каталог поиска'!$C$2:$C$998,$F265))</f>
        <v>IS</v>
      </c>
      <c r="D265" s="7">
        <f>IF(OR($F265="",E265=0,INDEX('Каталог поиска'!$D$2:$D$998,$F265)=0),"",IFERROR(INDEX('По размерам'!$A$2:$TY$86,MATCH($D$5,'По размерам'!$A$2:$A$86,0),INDEX('Каталог поиска'!$D$2:$D$998,$F265)),""))</f>
        <v/>
      </c>
      <c r="E265">
        <f>IF(OR($F265="",INDEX('Каталог поиска'!$D$2:$D$998,$F265)=0),"",IFERROR(INDEX('Количество значений'!$A$2:$TY$86,MATCH($D$5,'Количество значений'!$A$2:$A$86,0),INDEX('Каталог поиска'!$D$2:$D$998,$F265)),""))</f>
        <v/>
      </c>
      <c r="F265">
        <f>IFERROR(MATCH(253,'Каталог поиска'!$F$2:$F$998,0),"")</f>
        <v>253</v>
      </c>
    </row>
    <row r="266" spans="1:6" ht="36" customHeight="1">
      <c r="A266">
        <f>IF(F266="","",254)</f>
        <v>254</v>
      </c>
      <c r="B266" s="6" t="str">
        <f>IF($F266="","",INDEX('Каталог поиска'!$B$2:$B$998,$F266))</f>
        <v>R1010   Side Roll-ST　0:No Use1:Use</v>
      </c>
      <c r="C266" s="6" t="str">
        <f>IF($F266="","",INDEX('Каталог поиска'!$C$2:$C$998,$F266))</f>
        <v>IT</v>
      </c>
      <c r="D266" s="7">
        <f>IF(OR($F266="",E266=0,INDEX('Каталог поиска'!$D$2:$D$998,$F266)=0),"",IFERROR(INDEX('По размерам'!$A$2:$TY$86,MATCH($D$5,'По размерам'!$A$2:$A$86,0),INDEX('Каталог поиска'!$D$2:$D$998,$F266)),""))</f>
        <v/>
      </c>
      <c r="E266">
        <f>IF(OR($F266="",INDEX('Каталог поиска'!$D$2:$D$998,$F266)=0),"",IFERROR(INDEX('Количество значений'!$A$2:$TY$86,MATCH($D$5,'Количество значений'!$A$2:$A$86,0),INDEX('Каталог поиска'!$D$2:$D$998,$F266)),""))</f>
        <v/>
      </c>
      <c r="F266">
        <f>IFERROR(MATCH(254,'Каталог поиска'!$F$2:$F$998,0),"")</f>
        <v>254</v>
      </c>
    </row>
    <row r="267" spans="1:6" ht="36" customHeight="1">
      <c r="A267">
        <f>IF(F267="","",255)</f>
        <v>255</v>
      </c>
      <c r="B267" s="6" t="str">
        <f>IF($F267="","",INDEX('Каталог поиска'!$B$2:$B$998,$F267))</f>
        <v>R1011   PLY Turn Up Motion  0:CAN 1:Envelope 2:Cylinder</v>
      </c>
      <c r="C267" s="6" t="str">
        <f>IF($F267="","",INDEX('Каталог поиска'!$C$2:$C$998,$F267))</f>
        <v>IU</v>
      </c>
      <c r="D267" s="7">
        <f>IF(OR($F267="",E267=0,INDEX('Каталог поиска'!$D$2:$D$998,$F267)=0),"",IFERROR(INDEX('По размерам'!$A$2:$TY$86,MATCH($D$5,'По размерам'!$A$2:$A$86,0),INDEX('Каталог поиска'!$D$2:$D$998,$F267)),""))</f>
        <v/>
      </c>
      <c r="E267">
        <f>IF(OR($F267="",INDEX('Каталог поиска'!$D$2:$D$998,$F267)=0),"",IFERROR(INDEX('Количество значений'!$A$2:$TY$86,MATCH($D$5,'Количество значений'!$A$2:$A$86,0),INDEX('Каталог поиска'!$D$2:$D$998,$F267)),""))</f>
        <v/>
      </c>
      <c r="F267">
        <f>IFERROR(MATCH(255,'Каталог поиска'!$F$2:$F$998,0),"")</f>
        <v>255</v>
      </c>
    </row>
    <row r="268" spans="1:6" ht="36" customHeight="1">
      <c r="A268">
        <f>IF(F268="","",256)</f>
        <v>256</v>
      </c>
      <c r="B268" s="6" t="str">
        <f>IF($F268="","",INDEX('Каталог поиска'!$B$2:$B$998,$F268))</f>
        <v>R1012   Band Drum Circumference (mm)</v>
      </c>
      <c r="C268" s="6" t="str">
        <f>IF($F268="","",INDEX('Каталог поиска'!$C$2:$C$998,$F268))</f>
        <v>IV</v>
      </c>
      <c r="D268" s="7">
        <f>IF(OR($F268="",E268=0,INDEX('Каталог поиска'!$D$2:$D$998,$F268)=0),"",IFERROR(INDEX('По размерам'!$A$2:$TY$86,MATCH($D$5,'По размерам'!$A$2:$A$86,0),INDEX('Каталог поиска'!$D$2:$D$998,$F268)),""))</f>
        <v>1050</v>
      </c>
      <c r="E268">
        <f>IF(OR($F268="",INDEX('Каталог поиска'!$D$2:$D$998,$F268)=0),"",IFERROR(INDEX('Количество значений'!$A$2:$TY$86,MATCH($D$5,'Количество значений'!$A$2:$A$86,0),INDEX('Каталог поиска'!$D$2:$D$998,$F268)),""))</f>
        <v>4</v>
      </c>
      <c r="F268">
        <f>IFERROR(MATCH(256,'Каталог поиска'!$F$2:$F$998,0),"")</f>
        <v>256</v>
      </c>
    </row>
    <row r="269" spans="1:6" ht="36" customHeight="1">
      <c r="A269">
        <f>IF(F269="","",257)</f>
        <v>257</v>
      </c>
      <c r="B269" s="6" t="str">
        <f>IF($F269="","",INDEX('Каталог поиска'!$B$2:$B$998,$F269))</f>
        <v>R1013   Bead Lock Width (mm)</v>
      </c>
      <c r="C269" s="6" t="str">
        <f>IF($F269="","",INDEX('Каталог поиска'!$C$2:$C$998,$F269))</f>
        <v>IW</v>
      </c>
      <c r="D269" s="7">
        <f>IF(OR($F269="",E269=0,INDEX('Каталог поиска'!$D$2:$D$998,$F269)=0),"",IFERROR(INDEX('По размерам'!$A$2:$TY$86,MATCH($D$5,'По размерам'!$A$2:$A$86,0),INDEX('Каталог поиска'!$D$2:$D$998,$F269)),""))</f>
        <v>351.5</v>
      </c>
      <c r="E269">
        <f>IF(OR($F269="",INDEX('Каталог поиска'!$D$2:$D$998,$F269)=0),"",IFERROR(INDEX('Количество значений'!$A$2:$TY$86,MATCH($D$5,'Количество значений'!$A$2:$A$86,0),INDEX('Каталог поиска'!$D$2:$D$998,$F269)),""))</f>
        <v>4</v>
      </c>
      <c r="F269">
        <f>IFERROR(MATCH(257,'Каталог поиска'!$F$2:$F$998,0),"")</f>
        <v>257</v>
      </c>
    </row>
    <row r="270" spans="1:6" ht="36" customHeight="1">
      <c r="A270">
        <f>IF(F270="","",258)</f>
        <v>258</v>
      </c>
      <c r="B270" s="6" t="str">
        <f>IF($F270="","",INDEX('Каталог поиска'!$B$2:$B$998,$F270))</f>
        <v>R1014   KB Drum Expansion diameter(2P Down Apply) (mm)</v>
      </c>
      <c r="C270" s="6" t="str">
        <f>IF($F270="","",INDEX('Каталог поиска'!$C$2:$C$998,$F270))</f>
        <v>IX</v>
      </c>
      <c r="D270" s="7">
        <f>IF(OR($F270="",E270=0,INDEX('Каталог поиска'!$D$2:$D$998,$F270)=0),"",IFERROR(INDEX('По размерам'!$A$2:$TY$86,MATCH($D$5,'По размерам'!$A$2:$A$86,0),INDEX('Каталог поиска'!$D$2:$D$998,$F270)),""))</f>
        <v/>
      </c>
      <c r="E270">
        <f>IF(OR($F270="",INDEX('Каталог поиска'!$D$2:$D$998,$F270)=0),"",IFERROR(INDEX('Количество значений'!$A$2:$TY$86,MATCH($D$5,'Количество значений'!$A$2:$A$86,0),INDEX('Каталог поиска'!$D$2:$D$998,$F270)),""))</f>
        <v>0</v>
      </c>
      <c r="F270">
        <f>IFERROR(MATCH(258,'Каталог поиска'!$F$2:$F$998,0),"")</f>
        <v>258</v>
      </c>
    </row>
    <row r="271" spans="1:6" ht="36" customHeight="1">
      <c r="A271">
        <f>IF(F271="","",259)</f>
        <v>259</v>
      </c>
      <c r="B271" s="6" t="str">
        <f>IF($F271="","",INDEX('Каталог поиска'!$B$2:$B$998,$F271))</f>
        <v>R1015   KB Drum Segment Width (mm)</v>
      </c>
      <c r="C271" s="6" t="str">
        <f>IF($F271="","",INDEX('Каталог поиска'!$C$2:$C$998,$F271))</f>
        <v>IY</v>
      </c>
      <c r="D271" s="7">
        <f>IF(OR($F271="",E271=0,INDEX('Каталог поиска'!$D$2:$D$998,$F271)=0),"",IFERROR(INDEX('По размерам'!$A$2:$TY$86,MATCH($D$5,'По размерам'!$A$2:$A$86,0),INDEX('Каталог поиска'!$D$2:$D$998,$F271)),""))</f>
        <v/>
      </c>
      <c r="E271">
        <f>IF(OR($F271="",INDEX('Каталог поиска'!$D$2:$D$998,$F271)=0),"",IFERROR(INDEX('Количество значений'!$A$2:$TY$86,MATCH($D$5,'Количество значений'!$A$2:$A$86,0),INDEX('Каталог поиска'!$D$2:$D$998,$F271)),""))</f>
        <v>0</v>
      </c>
      <c r="F271">
        <f>IFERROR(MATCH(259,'Каталог поиска'!$F$2:$F$998,0),"")</f>
        <v>259</v>
      </c>
    </row>
    <row r="272" spans="1:6" ht="36" customHeight="1">
      <c r="A272">
        <f>IF(F272="","",260)</f>
        <v>260</v>
      </c>
      <c r="B272" s="6" t="str">
        <f>IF($F272="","",INDEX('Каталог поиска'!$B$2:$B$998,$F272))</f>
        <v>R1016   S/W Specification  0:Black 1:White</v>
      </c>
      <c r="C272" s="6" t="str">
        <f>IF($F272="","",INDEX('Каталог поиска'!$C$2:$C$998,$F272))</f>
        <v>IZ</v>
      </c>
      <c r="D272" s="7">
        <f>IF(OR($F272="",E272=0,INDEX('Каталог поиска'!$D$2:$D$998,$F272)=0),"",IFERROR(INDEX('По размерам'!$A$2:$TY$86,MATCH($D$5,'По размерам'!$A$2:$A$86,0),INDEX('Каталог поиска'!$D$2:$D$998,$F272)),""))</f>
        <v/>
      </c>
      <c r="E272">
        <f>IF(OR($F272="",INDEX('Каталог поиска'!$D$2:$D$998,$F272)=0),"",IFERROR(INDEX('Количество значений'!$A$2:$TY$86,MATCH($D$5,'Количество значений'!$A$2:$A$86,0),INDEX('Каталог поиска'!$D$2:$D$998,$F272)),""))</f>
        <v/>
      </c>
      <c r="F272">
        <f>IFERROR(MATCH(260,'Каталог поиска'!$F$2:$F$998,0),"")</f>
        <v>260</v>
      </c>
    </row>
    <row r="273" spans="1:6" ht="36" customHeight="1">
      <c r="A273">
        <f>IF(F273="","",261)</f>
        <v>261</v>
      </c>
      <c r="B273" s="6" t="str">
        <f>IF($F273="","",INDEX('Каталог поиска'!$B$2:$B$998,$F273))</f>
        <v>R1017   S/W Heater  0:Off 1:On</v>
      </c>
      <c r="C273" s="6" t="str">
        <f>IF($F273="","",INDEX('Каталог поиска'!$C$2:$C$998,$F273))</f>
        <v>JA</v>
      </c>
      <c r="D273" s="7">
        <f>IF(OR($F273="",E273=0,INDEX('Каталог поиска'!$D$2:$D$998,$F273)=0),"",IFERROR(INDEX('По размерам'!$A$2:$TY$86,MATCH($D$5,'По размерам'!$A$2:$A$86,0),INDEX('Каталог поиска'!$D$2:$D$998,$F273)),""))</f>
        <v/>
      </c>
      <c r="E273">
        <f>IF(OR($F273="",INDEX('Каталог поиска'!$D$2:$D$998,$F273)=0),"",IFERROR(INDEX('Количество значений'!$A$2:$TY$86,MATCH($D$5,'Количество значений'!$A$2:$A$86,0),INDEX('Каталог поиска'!$D$2:$D$998,$F273)),""))</f>
        <v/>
      </c>
      <c r="F273">
        <f>IFERROR(MATCH(261,'Каталог поиска'!$F$2:$F$998,0),"")</f>
        <v>261</v>
      </c>
    </row>
    <row r="274" spans="1:6" ht="36" customHeight="1">
      <c r="A274">
        <f>IF(F274="","",262)</f>
        <v>262</v>
      </c>
      <c r="B274" s="6" t="str">
        <f>IF($F274="","",INDEX('Каталог поиска'!$B$2:$B$998,$F274))</f>
        <v>R1018   RFT Heater  0:Off 1:On</v>
      </c>
      <c r="C274" s="6" t="str">
        <f>IF($F274="","",INDEX('Каталог поиска'!$C$2:$C$998,$F274))</f>
        <v>JB</v>
      </c>
      <c r="D274" s="7">
        <f>IF(OR($F274="",E274=0,INDEX('Каталог поиска'!$D$2:$D$998,$F274)=0),"",IFERROR(INDEX('По размерам'!$A$2:$TY$86,MATCH($D$5,'По размерам'!$A$2:$A$86,0),INDEX('Каталог поиска'!$D$2:$D$998,$F274)),""))</f>
        <v/>
      </c>
      <c r="E274">
        <f>IF(OR($F274="",INDEX('Каталог поиска'!$D$2:$D$998,$F274)=0),"",IFERROR(INDEX('Количество значений'!$A$2:$TY$86,MATCH($D$5,'Количество значений'!$A$2:$A$86,0),INDEX('Каталог поиска'!$D$2:$D$998,$F274)),""))</f>
        <v/>
      </c>
      <c r="F274">
        <f>IFERROR(MATCH(262,'Каталог поиска'!$F$2:$F$998,0),"")</f>
        <v>262</v>
      </c>
    </row>
    <row r="275" spans="1:6" ht="36" customHeight="1">
      <c r="A275">
        <f>IF(F275="","",263)</f>
        <v>263</v>
      </c>
      <c r="B275" s="6" t="str">
        <f>IF($F275="","",INDEX('Каталог поиска'!$B$2:$B$998,$F275))</f>
        <v>R1019   PLY Hold Plate Motion Type  0:Mid. 1:In=&gt;Mid 2:In</v>
      </c>
      <c r="C275" s="6" t="str">
        <f>IF($F275="","",INDEX('Каталог поиска'!$C$2:$C$998,$F275))</f>
        <v>JC</v>
      </c>
      <c r="D275" s="7">
        <f>IF(OR($F275="",E275=0,INDEX('Каталог поиска'!$D$2:$D$998,$F275)=0),"",IFERROR(INDEX('По размерам'!$A$2:$TY$86,MATCH($D$5,'По размерам'!$A$2:$A$86,0),INDEX('Каталог поиска'!$D$2:$D$998,$F275)),""))</f>
        <v/>
      </c>
      <c r="E275">
        <f>IF(OR($F275="",INDEX('Каталог поиска'!$D$2:$D$998,$F275)=0),"",IFERROR(INDEX('Количество значений'!$A$2:$TY$86,MATCH($D$5,'Количество значений'!$A$2:$A$86,0),INDEX('Каталог поиска'!$D$2:$D$998,$F275)),""))</f>
        <v/>
      </c>
      <c r="F275">
        <f>IFERROR(MATCH(263,'Каталог поиска'!$F$2:$F$998,0),"")</f>
        <v>263</v>
      </c>
    </row>
    <row r="276" spans="1:6" ht="36" customHeight="1">
      <c r="A276">
        <f>IF(F276="","",264)</f>
        <v>264</v>
      </c>
      <c r="B276" s="6" t="str">
        <f>IF($F276="","",INDEX('Каталог поиска'!$B$2:$B$998,$F276))</f>
        <v>R1020   I/L Length Measuring Data (mm)</v>
      </c>
      <c r="C276" s="6" t="str">
        <f>IF($F276="","",INDEX('Каталог поиска'!$C$2:$C$998,$F276))</f>
        <v>JD</v>
      </c>
      <c r="D276" s="7">
        <f>IF(OR($F276="",E276=0,INDEX('Каталог поиска'!$D$2:$D$998,$F276)=0),"",IFERROR(INDEX('По размерам'!$A$2:$TY$86,MATCH($D$5,'По размерам'!$A$2:$A$86,0),INDEX('Каталог поиска'!$D$2:$D$998,$F276)),""))</f>
        <v>1064</v>
      </c>
      <c r="E276">
        <f>IF(OR($F276="",INDEX('Каталог поиска'!$D$2:$D$998,$F276)=0),"",IFERROR(INDEX('Количество значений'!$A$2:$TY$86,MATCH($D$5,'Количество значений'!$A$2:$A$86,0),INDEX('Каталог поиска'!$D$2:$D$998,$F276)),""))</f>
        <v>4</v>
      </c>
      <c r="F276">
        <f>IFERROR(MATCH(264,'Каталог поиска'!$F$2:$F$998,0),"")</f>
        <v>264</v>
      </c>
    </row>
    <row r="277" spans="1:6" ht="36" customHeight="1">
      <c r="A277">
        <f>IF(F277="","",265)</f>
        <v>265</v>
      </c>
      <c r="B277" s="6" t="str">
        <f>IF($F277="","",INDEX('Каталог поиска'!$B$2:$B$998,$F277))</f>
        <v>R1021   BP#1 Length Measuring Data (mm)</v>
      </c>
      <c r="C277" s="6" t="str">
        <f>IF($F277="","",INDEX('Каталог поиска'!$C$2:$C$998,$F277))</f>
        <v>JE</v>
      </c>
      <c r="D277" s="7">
        <f>IF(OR($F277="",E277=0,INDEX('Каталог поиска'!$D$2:$D$998,$F277)=0),"",IFERROR(INDEX('По размерам'!$A$2:$TY$86,MATCH($D$5,'По размерам'!$A$2:$A$86,0),INDEX('Каталог поиска'!$D$2:$D$998,$F277)),""))</f>
        <v>1062</v>
      </c>
      <c r="E277">
        <f>IF(OR($F277="",INDEX('Каталог поиска'!$D$2:$D$998,$F277)=0),"",IFERROR(INDEX('Количество значений'!$A$2:$TY$86,MATCH($D$5,'Количество значений'!$A$2:$A$86,0),INDEX('Каталог поиска'!$D$2:$D$998,$F277)),""))</f>
        <v>4</v>
      </c>
      <c r="F277">
        <f>IFERROR(MATCH(265,'Каталог поиска'!$F$2:$F$998,0),"")</f>
        <v>265</v>
      </c>
    </row>
    <row r="278" spans="1:6" ht="36" customHeight="1">
      <c r="A278">
        <f>IF(F278="","",266)</f>
        <v>266</v>
      </c>
      <c r="B278" s="6" t="str">
        <f>IF($F278="","",INDEX('Каталог поиска'!$B$2:$B$998,$F278))</f>
        <v>R1022   BP#2 Length Measuring Data (mm)</v>
      </c>
      <c r="C278" s="6" t="str">
        <f>IF($F278="","",INDEX('Каталог поиска'!$C$2:$C$998,$F278))</f>
        <v>JF</v>
      </c>
      <c r="D278" s="7">
        <f>IF(OR($F278="",E278=0,INDEX('Каталог поиска'!$D$2:$D$998,$F278)=0),"",IFERROR(INDEX('По размерам'!$A$2:$TY$86,MATCH($D$5,'По размерам'!$A$2:$A$86,0),INDEX('Каталог поиска'!$D$2:$D$998,$F278)),""))</f>
        <v>0</v>
      </c>
      <c r="E278">
        <f>IF(OR($F278="",INDEX('Каталог поиска'!$D$2:$D$998,$F278)=0),"",IFERROR(INDEX('Количество значений'!$A$2:$TY$86,MATCH($D$5,'Количество значений'!$A$2:$A$86,0),INDEX('Каталог поиска'!$D$2:$D$998,$F278)),""))</f>
        <v>4</v>
      </c>
      <c r="F278">
        <f>IFERROR(MATCH(266,'Каталог поиска'!$F$2:$F$998,0),"")</f>
        <v>266</v>
      </c>
    </row>
    <row r="279" spans="1:6" ht="36" customHeight="1">
      <c r="A279">
        <f>IF(F279="","",267)</f>
        <v>267</v>
      </c>
      <c r="B279" s="6" t="str">
        <f>IF($F279="","",INDEX('Каталог поиска'!$B$2:$B$998,$F279))</f>
        <v>R1023   S/W Length Measuring Data (mm)</v>
      </c>
      <c r="C279" s="6" t="str">
        <f>IF($F279="","",INDEX('Каталог поиска'!$C$2:$C$998,$F279))</f>
        <v>JG</v>
      </c>
      <c r="D279" s="7">
        <f>IF(OR($F279="",E279=0,INDEX('Каталог поиска'!$D$2:$D$998,$F279)=0),"",IFERROR(INDEX('По размерам'!$A$2:$TY$86,MATCH($D$5,'По размерам'!$A$2:$A$86,0),INDEX('Каталог поиска'!$D$2:$D$998,$F279)),""))</f>
        <v>1045</v>
      </c>
      <c r="E279">
        <f>IF(OR($F279="",INDEX('Каталог поиска'!$D$2:$D$998,$F279)=0),"",IFERROR(INDEX('Количество значений'!$A$2:$TY$86,MATCH($D$5,'Количество значений'!$A$2:$A$86,0),INDEX('Каталог поиска'!$D$2:$D$998,$F279)),""))</f>
        <v>4</v>
      </c>
      <c r="F279">
        <f>IFERROR(MATCH(267,'Каталог поиска'!$F$2:$F$998,0),"")</f>
        <v>267</v>
      </c>
    </row>
    <row r="280" spans="1:6" ht="36" customHeight="1">
      <c r="A280">
        <f>IF(F280="","",268)</f>
        <v>268</v>
      </c>
      <c r="B280" s="6" t="str">
        <f>IF($F280="","",INDEX('Каталог поиска'!$B$2:$B$998,$F280))</f>
        <v>R1024   RFT Length Measuring Data (mm)</v>
      </c>
      <c r="C280" s="6" t="str">
        <f>IF($F280="","",INDEX('Каталог поиска'!$C$2:$C$998,$F280))</f>
        <v>JH</v>
      </c>
      <c r="D280" s="7">
        <f>IF(OR($F280="",E280=0,INDEX('Каталог поиска'!$D$2:$D$998,$F280)=0),"",IFERROR(INDEX('По размерам'!$A$2:$TY$86,MATCH($D$5,'По размерам'!$A$2:$A$86,0),INDEX('Каталог поиска'!$D$2:$D$998,$F280)),""))</f>
        <v>0</v>
      </c>
      <c r="E280">
        <f>IF(OR($F280="",INDEX('Каталог поиска'!$D$2:$D$998,$F280)=0),"",IFERROR(INDEX('Количество значений'!$A$2:$TY$86,MATCH($D$5,'Количество значений'!$A$2:$A$86,0),INDEX('Каталог поиска'!$D$2:$D$998,$F280)),""))</f>
        <v>4</v>
      </c>
      <c r="F280">
        <f>IFERROR(MATCH(268,'Каталог поиска'!$F$2:$F$998,0),"")</f>
        <v>268</v>
      </c>
    </row>
    <row r="281" spans="1:6" ht="36" customHeight="1">
      <c r="A281">
        <f>IF(F281="","",269)</f>
        <v>269</v>
      </c>
      <c r="B281" s="6" t="str">
        <f>IF($F281="","",INDEX('Каталог поиска'!$B$2:$B$998,$F281))</f>
        <v>R1025   Spare 21</v>
      </c>
      <c r="C281" s="6" t="str">
        <f>IF($F281="","",INDEX('Каталог поиска'!$C$2:$C$998,$F281))</f>
        <v>JI</v>
      </c>
      <c r="D281" s="7">
        <f>IF(OR($F281="",E281=0,INDEX('Каталог поиска'!$D$2:$D$998,$F281)=0),"",IFERROR(INDEX('По размерам'!$A$2:$TY$86,MATCH($D$5,'По размерам'!$A$2:$A$86,0),INDEX('Каталог поиска'!$D$2:$D$998,$F281)),""))</f>
        <v/>
      </c>
      <c r="E281">
        <f>IF(OR($F281="",INDEX('Каталог поиска'!$D$2:$D$998,$F281)=0),"",IFERROR(INDEX('Количество значений'!$A$2:$TY$86,MATCH($D$5,'Количество значений'!$A$2:$A$86,0),INDEX('Каталог поиска'!$D$2:$D$998,$F281)),""))</f>
        <v/>
      </c>
      <c r="F281">
        <f>IFERROR(MATCH(269,'Каталог поиска'!$F$2:$F$998,0),"")</f>
        <v>269</v>
      </c>
    </row>
    <row r="282" spans="1:6" ht="36" customHeight="1">
      <c r="A282">
        <f>IF(F282="","",270)</f>
        <v>270</v>
      </c>
      <c r="B282" s="6" t="str">
        <f>IF($F282="","",INDEX('Каталог поиска'!$B$2:$B$998,$F282))</f>
        <v>R1026   USR  PLY-ST Start Position (mm)</v>
      </c>
      <c r="C282" s="6" t="str">
        <f>IF($F282="","",INDEX('Каталог поиска'!$C$2:$C$998,$F282))</f>
        <v>JJ</v>
      </c>
      <c r="D282" s="7">
        <f>IF(OR($F282="",E282=0,INDEX('Каталог поиска'!$D$2:$D$998,$F282)=0),"",IFERROR(INDEX('По размерам'!$A$2:$TY$86,MATCH($D$5,'По размерам'!$A$2:$A$86,0),INDEX('Каталог поиска'!$D$2:$D$998,$F282)),""))</f>
        <v>180</v>
      </c>
      <c r="E282">
        <f>IF(OR($F282="",INDEX('Каталог поиска'!$D$2:$D$998,$F282)=0),"",IFERROR(INDEX('Количество значений'!$A$2:$TY$86,MATCH($D$5,'Количество значений'!$A$2:$A$86,0),INDEX('Каталог поиска'!$D$2:$D$998,$F282)),""))</f>
        <v>4</v>
      </c>
      <c r="F282">
        <f>IFERROR(MATCH(270,'Каталог поиска'!$F$2:$F$998,0),"")</f>
        <v>270</v>
      </c>
    </row>
    <row r="283" spans="1:6" ht="36" customHeight="1">
      <c r="A283">
        <f>IF(F283="","",271)</f>
        <v>271</v>
      </c>
      <c r="B283" s="6" t="str">
        <f>IF($F283="","",INDEX('Каталог поиска'!$B$2:$B$998,$F283))</f>
        <v>R1027   USR  PLY-ST End Position (mm)</v>
      </c>
      <c r="C283" s="6" t="str">
        <f>IF($F283="","",INDEX('Каталог поиска'!$C$2:$C$998,$F283))</f>
        <v>JK</v>
      </c>
      <c r="D283" s="7">
        <f>IF(OR($F283="",E283=0,INDEX('Каталог поиска'!$D$2:$D$998,$F283)=0),"",IFERROR(INDEX('По размерам'!$A$2:$TY$86,MATCH($D$5,'По размерам'!$A$2:$A$86,0),INDEX('Каталог поиска'!$D$2:$D$998,$F283)),""))</f>
        <v>399.25</v>
      </c>
      <c r="E283">
        <f>IF(OR($F283="",INDEX('Каталог поиска'!$D$2:$D$998,$F283)=0),"",IFERROR(INDEX('Количество значений'!$A$2:$TY$86,MATCH($D$5,'Количество значений'!$A$2:$A$86,0),INDEX('Каталог поиска'!$D$2:$D$998,$F283)),""))</f>
        <v>4</v>
      </c>
      <c r="F283">
        <f>IFERROR(MATCH(271,'Каталог поиска'!$F$2:$F$998,0),"")</f>
        <v>271</v>
      </c>
    </row>
    <row r="284" spans="1:6" ht="36" customHeight="1">
      <c r="A284">
        <f>IF(F284="","",272)</f>
        <v>272</v>
      </c>
      <c r="B284" s="6" t="str">
        <f>IF($F284="","",INDEX('Каталог поиска'!$B$2:$B$998,$F284))</f>
        <v>R1028   USR  RFT-ST Start Position (mm)</v>
      </c>
      <c r="C284" s="6" t="str">
        <f>IF($F284="","",INDEX('Каталог поиска'!$C$2:$C$998,$F284))</f>
        <v>JL</v>
      </c>
      <c r="D284" s="7">
        <f>IF(OR($F284="",E284=0,INDEX('Каталог поиска'!$D$2:$D$998,$F284)=0),"",IFERROR(INDEX('По размерам'!$A$2:$TY$86,MATCH($D$5,'По размерам'!$A$2:$A$86,0),INDEX('Каталог поиска'!$D$2:$D$998,$F284)),""))</f>
        <v/>
      </c>
      <c r="E284">
        <f>IF(OR($F284="",INDEX('Каталог поиска'!$D$2:$D$998,$F284)=0),"",IFERROR(INDEX('Количество значений'!$A$2:$TY$86,MATCH($D$5,'Количество значений'!$A$2:$A$86,0),INDEX('Каталог поиска'!$D$2:$D$998,$F284)),""))</f>
        <v>0</v>
      </c>
      <c r="F284">
        <f>IFERROR(MATCH(272,'Каталог поиска'!$F$2:$F$998,0),"")</f>
        <v>272</v>
      </c>
    </row>
    <row r="285" spans="1:6" ht="36" customHeight="1">
      <c r="A285">
        <f>IF(F285="","",273)</f>
        <v>273</v>
      </c>
      <c r="B285" s="6" t="str">
        <f>IF($F285="","",INDEX('Каталог поиска'!$B$2:$B$998,$F285))</f>
        <v>R1029   S/W Out Side Width (mm)</v>
      </c>
      <c r="C285" s="6" t="str">
        <f>IF($F285="","",INDEX('Каталог поиска'!$C$2:$C$998,$F285))</f>
        <v>JM</v>
      </c>
      <c r="D285" s="7">
        <f>IF(OR($F285="",E285=0,INDEX('Каталог поиска'!$D$2:$D$998,$F285)=0),"",IFERROR(INDEX('По размерам'!$A$2:$TY$86,MATCH($D$5,'По размерам'!$A$2:$A$86,0),INDEX('Каталог поиска'!$D$2:$D$998,$F285)),""))</f>
        <v/>
      </c>
      <c r="E285">
        <f>IF(OR($F285="",INDEX('Каталог поиска'!$D$2:$D$998,$F285)=0),"",IFERROR(INDEX('Количество значений'!$A$2:$TY$86,MATCH($D$5,'Количество значений'!$A$2:$A$86,0),INDEX('Каталог поиска'!$D$2:$D$998,$F285)),""))</f>
        <v>0</v>
      </c>
      <c r="F285">
        <f>IFERROR(MATCH(273,'Каталог поиска'!$F$2:$F$998,0),"")</f>
        <v>273</v>
      </c>
    </row>
    <row r="286" spans="1:6" ht="36" customHeight="1">
      <c r="A286">
        <f>IF(F286="","",274)</f>
        <v>274</v>
      </c>
      <c r="B286" s="6" t="str">
        <f>IF($F286="","",INDEX('Каталог поиска'!$B$2:$B$998,$F286))</f>
        <v>R1030   I/L Width (mm)</v>
      </c>
      <c r="C286" s="6" t="str">
        <f>IF($F286="","",INDEX('Каталог поиска'!$C$2:$C$998,$F286))</f>
        <v>JN</v>
      </c>
      <c r="D286" s="7">
        <f>IF(OR($F286="",E286=0,INDEX('Каталог поиска'!$D$2:$D$998,$F286)=0),"",IFERROR(INDEX('По размерам'!$A$2:$TY$86,MATCH($D$5,'По размерам'!$A$2:$A$86,0),INDEX('Каталог поиска'!$D$2:$D$998,$F286)),""))</f>
        <v>327.5</v>
      </c>
      <c r="E286">
        <f>IF(OR($F286="",INDEX('Каталог поиска'!$D$2:$D$998,$F286)=0),"",IFERROR(INDEX('Количество значений'!$A$2:$TY$86,MATCH($D$5,'Количество значений'!$A$2:$A$86,0),INDEX('Каталог поиска'!$D$2:$D$998,$F286)),""))</f>
        <v>4</v>
      </c>
      <c r="F286">
        <f>IFERROR(MATCH(274,'Каталог поиска'!$F$2:$F$998,0),"")</f>
        <v>274</v>
      </c>
    </row>
    <row r="287" spans="1:6" ht="36" customHeight="1">
      <c r="A287">
        <f>IF(F287="","",275)</f>
        <v>275</v>
      </c>
      <c r="B287" s="6" t="str">
        <f>IF($F287="","",INDEX('Каталог поиска'!$B$2:$B$998,$F287))</f>
        <v>R1031   BP1 Width (mm)</v>
      </c>
      <c r="C287" s="6" t="str">
        <f>IF($F287="","",INDEX('Каталог поиска'!$C$2:$C$998,$F287))</f>
        <v>JO</v>
      </c>
      <c r="D287" s="7">
        <f>IF(OR($F287="",E287=0,INDEX('Каталог поиска'!$D$2:$D$998,$F287)=0),"",IFERROR(INDEX('По размерам'!$A$2:$TY$86,MATCH($D$5,'По размерам'!$A$2:$A$86,0),INDEX('Каталог поиска'!$D$2:$D$998,$F287)),""))</f>
        <v>478.75</v>
      </c>
      <c r="E287">
        <f>IF(OR($F287="",INDEX('Каталог поиска'!$D$2:$D$998,$F287)=0),"",IFERROR(INDEX('Количество значений'!$A$2:$TY$86,MATCH($D$5,'Количество значений'!$A$2:$A$86,0),INDEX('Каталог поиска'!$D$2:$D$998,$F287)),""))</f>
        <v>4</v>
      </c>
      <c r="F287">
        <f>IFERROR(MATCH(275,'Каталог поиска'!$F$2:$F$998,0),"")</f>
        <v>275</v>
      </c>
    </row>
    <row r="288" spans="1:6" ht="36" customHeight="1">
      <c r="A288">
        <f>IF(F288="","",276)</f>
        <v>276</v>
      </c>
      <c r="B288" s="6" t="str">
        <f>IF($F288="","",INDEX('Каталог поиска'!$B$2:$B$998,$F288))</f>
        <v>R1032   BP2 Width (mm)</v>
      </c>
      <c r="C288" s="6" t="str">
        <f>IF($F288="","",INDEX('Каталог поиска'!$C$2:$C$998,$F288))</f>
        <v>JP</v>
      </c>
      <c r="D288" s="7">
        <f>IF(OR($F288="",E288=0,INDEX('Каталог поиска'!$D$2:$D$998,$F288)=0),"",IFERROR(INDEX('По размерам'!$A$2:$TY$86,MATCH($D$5,'По размерам'!$A$2:$A$86,0),INDEX('Каталог поиска'!$D$2:$D$998,$F288)),""))</f>
        <v>0</v>
      </c>
      <c r="E288">
        <f>IF(OR($F288="",INDEX('Каталог поиска'!$D$2:$D$998,$F288)=0),"",IFERROR(INDEX('Количество значений'!$A$2:$TY$86,MATCH($D$5,'Количество значений'!$A$2:$A$86,0),INDEX('Каталог поиска'!$D$2:$D$998,$F288)),""))</f>
        <v>4</v>
      </c>
      <c r="F288">
        <f>IFERROR(MATCH(276,'Каталог поиска'!$F$2:$F$998,0),"")</f>
        <v>276</v>
      </c>
    </row>
    <row r="289" spans="1:6" ht="36" customHeight="1">
      <c r="A289">
        <f>IF(F289="","",277)</f>
        <v>277</v>
      </c>
      <c r="B289" s="6" t="str">
        <f>IF($F289="","",INDEX('Каталог поиска'!$B$2:$B$998,$F289))</f>
        <v>R1033   FL Width (mm)</v>
      </c>
      <c r="C289" s="6" t="str">
        <f>IF($F289="","",INDEX('Каталог поиска'!$C$2:$C$998,$F289))</f>
        <v>JQ</v>
      </c>
      <c r="D289" s="7">
        <f>IF(OR($F289="",E289=0,INDEX('Каталог поиска'!$D$2:$D$998,$F289)=0),"",IFERROR(INDEX('По размерам'!$A$2:$TY$86,MATCH($D$5,'По размерам'!$A$2:$A$86,0),INDEX('Каталог поиска'!$D$2:$D$998,$F289)),""))</f>
        <v>0</v>
      </c>
      <c r="E289">
        <f>IF(OR($F289="",INDEX('Каталог поиска'!$D$2:$D$998,$F289)=0),"",IFERROR(INDEX('Количество значений'!$A$2:$TY$86,MATCH($D$5,'Количество значений'!$A$2:$A$86,0),INDEX('Каталог поиска'!$D$2:$D$998,$F289)),""))</f>
        <v>4</v>
      </c>
      <c r="F289">
        <f>IFERROR(MATCH(277,'Каталог поиска'!$F$2:$F$998,0),"")</f>
        <v>277</v>
      </c>
    </row>
    <row r="290" spans="1:6" ht="36" customHeight="1">
      <c r="A290">
        <f>IF(F290="","",278)</f>
        <v>278</v>
      </c>
      <c r="B290" s="6" t="str">
        <f>IF($F290="","",INDEX('Каталог поиска'!$B$2:$B$998,$F290))</f>
        <v>R1034   S/W  Width Inside Guide Position (mm)</v>
      </c>
      <c r="C290" s="6" t="str">
        <f>IF($F290="","",INDEX('Каталог поиска'!$C$2:$C$998,$F290))</f>
        <v>JR</v>
      </c>
      <c r="D290" s="7">
        <f>IF(OR($F290="",E290=0,INDEX('Каталог поиска'!$D$2:$D$998,$F290)=0),"",IFERROR(INDEX('По размерам'!$A$2:$TY$86,MATCH($D$5,'По размерам'!$A$2:$A$86,0),INDEX('Каталог поиска'!$D$2:$D$998,$F290)),""))</f>
        <v>306.5</v>
      </c>
      <c r="E290">
        <f>IF(OR($F290="",INDEX('Каталог поиска'!$D$2:$D$998,$F290)=0),"",IFERROR(INDEX('Количество значений'!$A$2:$TY$86,MATCH($D$5,'Количество значений'!$A$2:$A$86,0),INDEX('Каталог поиска'!$D$2:$D$998,$F290)),""))</f>
        <v>4</v>
      </c>
      <c r="F290">
        <f>IFERROR(MATCH(278,'Каталог поиска'!$F$2:$F$998,0),"")</f>
        <v>278</v>
      </c>
    </row>
    <row r="291" spans="1:6" ht="36" customHeight="1">
      <c r="A291">
        <f>IF(F291="","",279)</f>
        <v>279</v>
      </c>
      <c r="B291" s="6" t="str">
        <f>IF($F291="","",INDEX('Каталог поиска'!$B$2:$B$998,$F291))</f>
        <v>R1035   S/W Width (mm)</v>
      </c>
      <c r="C291" s="6" t="str">
        <f>IF($F291="","",INDEX('Каталог поиска'!$C$2:$C$998,$F291))</f>
        <v>JS</v>
      </c>
      <c r="D291" s="7">
        <f>IF(OR($F291="",E291=0,INDEX('Каталог поиска'!$D$2:$D$998,$F291)=0),"",IFERROR(INDEX('По размерам'!$A$2:$TY$86,MATCH($D$5,'По размерам'!$A$2:$A$86,0),INDEX('Каталог поиска'!$D$2:$D$998,$F291)),""))</f>
        <v>149</v>
      </c>
      <c r="E291">
        <f>IF(OR($F291="",INDEX('Каталог поиска'!$D$2:$D$998,$F291)=0),"",IFERROR(INDEX('Количество значений'!$A$2:$TY$86,MATCH($D$5,'Количество значений'!$A$2:$A$86,0),INDEX('Каталог поиска'!$D$2:$D$998,$F291)),""))</f>
        <v>4</v>
      </c>
      <c r="F291">
        <f>IFERROR(MATCH(279,'Каталог поиска'!$F$2:$F$998,0),"")</f>
        <v>279</v>
      </c>
    </row>
    <row r="292" spans="1:6" ht="36" customHeight="1">
      <c r="A292">
        <f>IF(F292="","",280)</f>
        <v>280</v>
      </c>
      <c r="B292" s="6" t="str">
        <f>IF($F292="","",INDEX('Каталог поиска'!$B$2:$B$998,$F292))</f>
        <v>R1036   RFT Width (mm)</v>
      </c>
      <c r="C292" s="6" t="str">
        <f>IF($F292="","",INDEX('Каталог поиска'!$C$2:$C$998,$F292))</f>
        <v>JT</v>
      </c>
      <c r="D292" s="7">
        <f>IF(OR($F292="",E292=0,INDEX('Каталог поиска'!$D$2:$D$998,$F292)=0),"",IFERROR(INDEX('По размерам'!$A$2:$TY$86,MATCH($D$5,'По размерам'!$A$2:$A$86,0),INDEX('Каталог поиска'!$D$2:$D$998,$F292)),""))</f>
        <v/>
      </c>
      <c r="E292">
        <f>IF(OR($F292="",INDEX('Каталог поиска'!$D$2:$D$998,$F292)=0),"",IFERROR(INDEX('Количество значений'!$A$2:$TY$86,MATCH($D$5,'Количество значений'!$A$2:$A$86,0),INDEX('Каталог поиска'!$D$2:$D$998,$F292)),""))</f>
        <v>0</v>
      </c>
      <c r="F292">
        <f>IFERROR(MATCH(280,'Каталог поиска'!$F$2:$F$998,0),"")</f>
        <v>280</v>
      </c>
    </row>
    <row r="293" spans="1:6" ht="36" customHeight="1">
      <c r="A293">
        <f>IF(F293="","",281)</f>
        <v>281</v>
      </c>
      <c r="B293" s="6" t="str">
        <f>IF($F293="","",INDEX('Каталог поиска'!$B$2:$B$998,$F293))</f>
        <v>R1037   RFT Width Inside Guide Position (mm)</v>
      </c>
      <c r="C293" s="6" t="str">
        <f>IF($F293="","",INDEX('Каталог поиска'!$C$2:$C$998,$F293))</f>
        <v>JU</v>
      </c>
      <c r="D293" s="7">
        <f>IF(OR($F293="",E293=0,INDEX('Каталог поиска'!$D$2:$D$998,$F293)=0),"",IFERROR(INDEX('По размерам'!$A$2:$TY$86,MATCH($D$5,'По размерам'!$A$2:$A$86,0),INDEX('Каталог поиска'!$D$2:$D$998,$F293)),""))</f>
        <v/>
      </c>
      <c r="E293">
        <f>IF(OR($F293="",INDEX('Каталог поиска'!$D$2:$D$998,$F293)=0),"",IFERROR(INDEX('Количество значений'!$A$2:$TY$86,MATCH($D$5,'Количество значений'!$A$2:$A$86,0),INDEX('Каталог поиска'!$D$2:$D$998,$F293)),""))</f>
        <v>0</v>
      </c>
      <c r="F293">
        <f>IFERROR(MATCH(281,'Каталог поиска'!$F$2:$F$998,0),"")</f>
        <v>281</v>
      </c>
    </row>
    <row r="294" spans="1:6" ht="36" customHeight="1">
      <c r="A294">
        <f>IF(F294="","",282)</f>
        <v>282</v>
      </c>
      <c r="B294" s="6" t="str">
        <f>IF($F294="","",INDEX('Каталог поиска'!$B$2:$B$998,$F294))</f>
        <v>R1038   Bead Width (mm)</v>
      </c>
      <c r="C294" s="6" t="str">
        <f>IF($F294="","",INDEX('Каталог поиска'!$C$2:$C$998,$F294))</f>
        <v>JV</v>
      </c>
      <c r="D294" s="7">
        <f>IF(OR($F294="",E294=0,INDEX('Каталог поиска'!$D$2:$D$998,$F294)=0),"",IFERROR(INDEX('По размерам'!$A$2:$TY$86,MATCH($D$5,'По размерам'!$A$2:$A$86,0),INDEX('Каталог поиска'!$D$2:$D$998,$F294)),""))</f>
        <v>8</v>
      </c>
      <c r="E294">
        <f>IF(OR($F294="",INDEX('Каталог поиска'!$D$2:$D$998,$F294)=0),"",IFERROR(INDEX('Количество значений'!$A$2:$TY$86,MATCH($D$5,'Количество значений'!$A$2:$A$86,0),INDEX('Каталог поиска'!$D$2:$D$998,$F294)),""))</f>
        <v>4</v>
      </c>
      <c r="F294">
        <f>IFERROR(MATCH(282,'Каталог поиска'!$F$2:$F$998,0),"")</f>
        <v>282</v>
      </c>
    </row>
    <row r="295" spans="1:6" ht="36" customHeight="1">
      <c r="A295">
        <f>IF(F295="","",283)</f>
        <v>283</v>
      </c>
      <c r="B295" s="6" t="str">
        <f>IF($F295="","",INDEX('Каталог поиска'!$B$2:$B$998,$F295))</f>
        <v>R1039   FL Width Check Position (mm)</v>
      </c>
      <c r="C295" s="6" t="str">
        <f>IF($F295="","",INDEX('Каталог поиска'!$C$2:$C$998,$F295))</f>
        <v>JW</v>
      </c>
      <c r="D295" s="7">
        <f>IF(OR($F295="",E295=0,INDEX('Каталог поиска'!$D$2:$D$998,$F295)=0),"",IFERROR(INDEX('По размерам'!$A$2:$TY$86,MATCH($D$5,'По размерам'!$A$2:$A$86,0),INDEX('Каталог поиска'!$D$2:$D$998,$F295)),""))</f>
        <v/>
      </c>
      <c r="E295">
        <f>IF(OR($F295="",INDEX('Каталог поиска'!$D$2:$D$998,$F295)=0),"",IFERROR(INDEX('Количество значений'!$A$2:$TY$86,MATCH($D$5,'Количество значений'!$A$2:$A$86,0),INDEX('Каталог поиска'!$D$2:$D$998,$F295)),""))</f>
        <v>0</v>
      </c>
      <c r="F295">
        <f>IFERROR(MATCH(283,'Каталог поиска'!$F$2:$F$998,0),"")</f>
        <v>283</v>
      </c>
    </row>
    <row r="296" spans="1:6" ht="36" customHeight="1">
      <c r="A296">
        <f>IF(F296="","",284)</f>
        <v>284</v>
      </c>
      <c r="B296" s="6" t="str">
        <f>IF($F296="","",INDEX('Каталог поиска'!$B$2:$B$998,$F296))</f>
        <v>R1040   C-CH Outside Set Position (mm)</v>
      </c>
      <c r="C296" s="6" t="str">
        <f>IF($F296="","",INDEX('Каталог поиска'!$C$2:$C$998,$F296))</f>
        <v>JX</v>
      </c>
      <c r="D296" s="7">
        <f>IF(OR($F296="",E296=0,INDEX('Каталог поиска'!$D$2:$D$998,$F296)=0),"",IFERROR(INDEX('По размерам'!$A$2:$TY$86,MATCH($D$5,'По размерам'!$A$2:$A$86,0),INDEX('Каталог поиска'!$D$2:$D$998,$F296)),""))</f>
        <v>0</v>
      </c>
      <c r="E296">
        <f>IF(OR($F296="",INDEX('Каталог поиска'!$D$2:$D$998,$F296)=0),"",IFERROR(INDEX('Количество значений'!$A$2:$TY$86,MATCH($D$5,'Количество значений'!$A$2:$A$86,0),INDEX('Каталог поиска'!$D$2:$D$998,$F296)),""))</f>
        <v>4</v>
      </c>
      <c r="F296">
        <f>IFERROR(MATCH(284,'Каталог поиска'!$F$2:$F$998,0),"")</f>
        <v>284</v>
      </c>
    </row>
    <row r="297" spans="1:6" ht="36" customHeight="1">
      <c r="A297">
        <f>IF(F297="","",285)</f>
        <v>285</v>
      </c>
      <c r="B297" s="6" t="str">
        <f>IF($F297="","",INDEX('Каталог поиска'!$B$2:$B$998,$F297))</f>
        <v>R1041   Bead Lock Position (degree)</v>
      </c>
      <c r="C297" s="6" t="str">
        <f>IF($F297="","",INDEX('Каталог поиска'!$C$2:$C$998,$F297))</f>
        <v>JY</v>
      </c>
      <c r="D297" s="7">
        <f>IF(OR($F297="",E297=0,INDEX('Каталог поиска'!$D$2:$D$998,$F297)=0),"",IFERROR(INDEX('По размерам'!$A$2:$TY$86,MATCH($D$5,'По размерам'!$A$2:$A$86,0),INDEX('Каталог поиска'!$D$2:$D$998,$F297)),""))</f>
        <v/>
      </c>
      <c r="E297">
        <f>IF(OR($F297="",INDEX('Каталог поиска'!$D$2:$D$998,$F297)=0),"",IFERROR(INDEX('Количество значений'!$A$2:$TY$86,MATCH($D$5,'Количество значений'!$A$2:$A$86,0),INDEX('Каталог поиска'!$D$2:$D$998,$F297)),""))</f>
        <v>0</v>
      </c>
      <c r="F297">
        <f>IFERROR(MATCH(285,'Каталог поиска'!$F$2:$F$998,0),"")</f>
        <v>285</v>
      </c>
    </row>
    <row r="298" spans="1:6" ht="36" customHeight="1">
      <c r="A298">
        <f>IF(F298="","",286)</f>
        <v>286</v>
      </c>
      <c r="B298" s="6" t="str">
        <f>IF($F298="","",INDEX('Каталог поиска'!$B$2:$B$998,$F298))</f>
        <v>R1042   S/W Apply Start (degree)</v>
      </c>
      <c r="C298" s="6" t="str">
        <f>IF($F298="","",INDEX('Каталог поиска'!$C$2:$C$998,$F298))</f>
        <v>JZ</v>
      </c>
      <c r="D298" s="7">
        <f>IF(OR($F298="",E298=0,INDEX('Каталог поиска'!$D$2:$D$998,$F298)=0),"",IFERROR(INDEX('По размерам'!$A$2:$TY$86,MATCH($D$5,'По размерам'!$A$2:$A$86,0),INDEX('Каталог поиска'!$D$2:$D$998,$F298)),""))</f>
        <v/>
      </c>
      <c r="E298">
        <f>IF(OR($F298="",INDEX('Каталог поиска'!$D$2:$D$998,$F298)=0),"",IFERROR(INDEX('Количество значений'!$A$2:$TY$86,MATCH($D$5,'Количество значений'!$A$2:$A$86,0),INDEX('Каталог поиска'!$D$2:$D$998,$F298)),""))</f>
        <v>0</v>
      </c>
      <c r="F298">
        <f>IFERROR(MATCH(286,'Каталог поиска'!$F$2:$F$998,0),"")</f>
        <v>286</v>
      </c>
    </row>
    <row r="299" spans="1:6" ht="36" customHeight="1">
      <c r="A299">
        <f>IF(F299="","",287)</f>
        <v>287</v>
      </c>
      <c r="B299" s="6" t="str">
        <f>IF($F299="","",INDEX('Каталог поиска'!$B$2:$B$998,$F299))</f>
        <v>R1043   BP#2 Apply Start Spotting (degree)</v>
      </c>
      <c r="C299" s="6" t="str">
        <f>IF($F299="","",INDEX('Каталог поиска'!$C$2:$C$998,$F299))</f>
        <v>KA</v>
      </c>
      <c r="D299" s="7">
        <f>IF(OR($F299="",E299=0,INDEX('Каталог поиска'!$D$2:$D$998,$F299)=0),"",IFERROR(INDEX('По размерам'!$A$2:$TY$86,MATCH($D$5,'По размерам'!$A$2:$A$86,0),INDEX('Каталог поиска'!$D$2:$D$998,$F299)),""))</f>
        <v>56.25</v>
      </c>
      <c r="E299">
        <f>IF(OR($F299="",INDEX('Каталог поиска'!$D$2:$D$998,$F299)=0),"",IFERROR(INDEX('Количество значений'!$A$2:$TY$86,MATCH($D$5,'Количество значений'!$A$2:$A$86,0),INDEX('Каталог поиска'!$D$2:$D$998,$F299)),""))</f>
        <v>4</v>
      </c>
      <c r="F299">
        <f>IFERROR(MATCH(287,'Каталог поиска'!$F$2:$F$998,0),"")</f>
        <v>287</v>
      </c>
    </row>
    <row r="300" spans="1:6" ht="36" customHeight="1">
      <c r="A300">
        <f>IF(F300="","",288)</f>
        <v>288</v>
      </c>
      <c r="B300" s="6" t="str">
        <f>IF($F300="","",INDEX('Каталог поиска'!$B$2:$B$998,$F300))</f>
        <v>R1044   BP#1 Apply Start Spotting (degree)</v>
      </c>
      <c r="C300" s="6" t="str">
        <f>IF($F300="","",INDEX('Каталог поиска'!$C$2:$C$998,$F300))</f>
        <v>KB</v>
      </c>
      <c r="D300" s="7">
        <f>IF(OR($F300="",E300=0,INDEX('Каталог поиска'!$D$2:$D$998,$F300)=0),"",IFERROR(INDEX('По размерам'!$A$2:$TY$86,MATCH($D$5,'По размерам'!$A$2:$A$86,0),INDEX('Каталог поиска'!$D$2:$D$998,$F300)),""))</f>
        <v>110</v>
      </c>
      <c r="E300">
        <f>IF(OR($F300="",INDEX('Каталог поиска'!$D$2:$D$998,$F300)=0),"",IFERROR(INDEX('Количество значений'!$A$2:$TY$86,MATCH($D$5,'Количество значений'!$A$2:$A$86,0),INDEX('Каталог поиска'!$D$2:$D$998,$F300)),""))</f>
        <v>4</v>
      </c>
      <c r="F300">
        <f>IFERROR(MATCH(288,'Каталог поиска'!$F$2:$F$998,0),"")</f>
        <v>288</v>
      </c>
    </row>
    <row r="301" spans="1:6" ht="36" customHeight="1">
      <c r="A301">
        <f>IF(F301="","",289)</f>
        <v>289</v>
      </c>
      <c r="B301" s="6" t="str">
        <f>IF($F301="","",INDEX('Каталог поиска'!$B$2:$B$998,$F301))</f>
        <v>R1045   FL Apply Start Spotting (degree)</v>
      </c>
      <c r="C301" s="6" t="str">
        <f>IF($F301="","",INDEX('Каталог поиска'!$C$2:$C$998,$F301))</f>
        <v>KC</v>
      </c>
      <c r="D301" s="7">
        <f>IF(OR($F301="",E301=0,INDEX('Каталог поиска'!$D$2:$D$998,$F301)=0),"",IFERROR(INDEX('По размерам'!$A$2:$TY$86,MATCH($D$5,'По размерам'!$A$2:$A$86,0),INDEX('Каталог поиска'!$D$2:$D$998,$F301)),""))</f>
        <v>0</v>
      </c>
      <c r="E301">
        <f>IF(OR($F301="",INDEX('Каталог поиска'!$D$2:$D$998,$F301)=0),"",IFERROR(INDEX('Количество значений'!$A$2:$TY$86,MATCH($D$5,'Количество значений'!$A$2:$A$86,0),INDEX('Каталог поиска'!$D$2:$D$998,$F301)),""))</f>
        <v>4</v>
      </c>
      <c r="F301">
        <f>IFERROR(MATCH(289,'Каталог поиска'!$F$2:$F$998,0),"")</f>
        <v>289</v>
      </c>
    </row>
    <row r="302" spans="1:6" ht="36" customHeight="1">
      <c r="A302">
        <f>IF(F302="","",290)</f>
        <v>290</v>
      </c>
      <c r="B302" s="6" t="str">
        <f>IF($F302="","",INDEX('Каталог поиска'!$B$2:$B$998,$F302))</f>
        <v>R1046   GC Take Out Spotting (degree)</v>
      </c>
      <c r="C302" s="6" t="str">
        <f>IF($F302="","",INDEX('Каталог поиска'!$C$2:$C$998,$F302))</f>
        <v>KD</v>
      </c>
      <c r="D302" s="7">
        <f>IF(OR($F302="",E302=0,INDEX('Каталог поиска'!$D$2:$D$998,$F302)=0),"",IFERROR(INDEX('По размерам'!$A$2:$TY$86,MATCH($D$5,'По размерам'!$A$2:$A$86,0),INDEX('Каталог поиска'!$D$2:$D$998,$F302)),""))</f>
        <v>80</v>
      </c>
      <c r="E302">
        <f>IF(OR($F302="",INDEX('Каталог поиска'!$D$2:$D$998,$F302)=0),"",IFERROR(INDEX('Количество значений'!$A$2:$TY$86,MATCH($D$5,'Количество значений'!$A$2:$A$86,0),INDEX('Каталог поиска'!$D$2:$D$998,$F302)),""))</f>
        <v>4</v>
      </c>
      <c r="F302">
        <f>IFERROR(MATCH(290,'Каталог поиска'!$F$2:$F$998,0),"")</f>
        <v>290</v>
      </c>
    </row>
    <row r="303" spans="1:6" ht="36" customHeight="1">
      <c r="A303">
        <f>IF(F303="","",291)</f>
        <v>291</v>
      </c>
      <c r="B303" s="6" t="str">
        <f>IF($F303="","",INDEX('Каталог поиска'!$B$2:$B$998,$F303))</f>
        <v>R1047   RFT start Spotting (degree)</v>
      </c>
      <c r="C303" s="6" t="str">
        <f>IF($F303="","",INDEX('Каталог поиска'!$C$2:$C$998,$F303))</f>
        <v>KE</v>
      </c>
      <c r="D303" s="7">
        <f>IF(OR($F303="",E303=0,INDEX('Каталог поиска'!$D$2:$D$998,$F303)=0),"",IFERROR(INDEX('По размерам'!$A$2:$TY$86,MATCH($D$5,'По размерам'!$A$2:$A$86,0),INDEX('Каталог поиска'!$D$2:$D$998,$F303)),""))</f>
        <v/>
      </c>
      <c r="E303">
        <f>IF(OR($F303="",INDEX('Каталог поиска'!$D$2:$D$998,$F303)=0),"",IFERROR(INDEX('Количество значений'!$A$2:$TY$86,MATCH($D$5,'Количество значений'!$A$2:$A$86,0),INDEX('Каталог поиска'!$D$2:$D$998,$F303)),""))</f>
        <v>0</v>
      </c>
      <c r="F303">
        <f>IFERROR(MATCH(291,'Каталог поиска'!$F$2:$F$998,0),"")</f>
        <v>291</v>
      </c>
    </row>
    <row r="304" spans="1:6" ht="36" customHeight="1">
      <c r="A304">
        <f>IF(F304="","",292)</f>
        <v>292</v>
      </c>
      <c r="B304" s="6" t="str">
        <f>IF($F304="","",INDEX('Каталог поиска'!$B$2:$B$998,$F304))</f>
        <v>R1048   BAND Takeout Drum Expand Time (0,1sec.)</v>
      </c>
      <c r="C304" s="6" t="str">
        <f>IF($F304="","",INDEX('Каталог поиска'!$C$2:$C$998,$F304))</f>
        <v>KF</v>
      </c>
      <c r="D304" s="7">
        <f>IF(OR($F304="",E304=0,INDEX('Каталог поиска'!$D$2:$D$998,$F304)=0),"",IFERROR(INDEX('По размерам'!$A$2:$TY$86,MATCH($D$5,'По размерам'!$A$2:$A$86,0),INDEX('Каталог поиска'!$D$2:$D$998,$F304)),""))</f>
        <v>4</v>
      </c>
      <c r="E304">
        <f>IF(OR($F304="",INDEX('Каталог поиска'!$D$2:$D$998,$F304)=0),"",IFERROR(INDEX('Количество значений'!$A$2:$TY$86,MATCH($D$5,'Количество значений'!$A$2:$A$86,0),INDEX('Каталог поиска'!$D$2:$D$998,$F304)),""))</f>
        <v>4</v>
      </c>
      <c r="F304">
        <f>IFERROR(MATCH(292,'Каталог поиска'!$F$2:$F$998,0),"")</f>
        <v>292</v>
      </c>
    </row>
    <row r="305" spans="1:6" ht="36" customHeight="1">
      <c r="A305">
        <f>IF(F305="","",293)</f>
        <v>293</v>
      </c>
      <c r="B305" s="6" t="str">
        <f>IF($F305="","",INDEX('Каталог поиска'!$B$2:$B$998,$F305))</f>
        <v>R1049   BAND Takeout Drum Collapse Time (0,1sec.)</v>
      </c>
      <c r="C305" s="6" t="str">
        <f>IF($F305="","",INDEX('Каталог поиска'!$C$2:$C$998,$F305))</f>
        <v>KG</v>
      </c>
      <c r="D305" s="7">
        <f>IF(OR($F305="",E305=0,INDEX('Каталог поиска'!$D$2:$D$998,$F305)=0),"",IFERROR(INDEX('По размерам'!$A$2:$TY$86,MATCH($D$5,'По размерам'!$A$2:$A$86,0),INDEX('Каталог поиска'!$D$2:$D$998,$F305)),""))</f>
        <v>2.5</v>
      </c>
      <c r="E305">
        <f>IF(OR($F305="",INDEX('Каталог поиска'!$D$2:$D$998,$F305)=0),"",IFERROR(INDEX('Количество значений'!$A$2:$TY$86,MATCH($D$5,'Количество значений'!$A$2:$A$86,0),INDEX('Каталог поиска'!$D$2:$D$998,$F305)),""))</f>
        <v>4</v>
      </c>
      <c r="F305">
        <f>IFERROR(MATCH(293,'Каталог поиска'!$F$2:$F$998,0),"")</f>
        <v>293</v>
      </c>
    </row>
    <row r="306" spans="1:6" ht="36" customHeight="1">
      <c r="A306">
        <f>IF(F306="","",294)</f>
        <v>294</v>
      </c>
      <c r="B306" s="6" t="str">
        <f>IF($F306="","",INDEX('Каталог поиска'!$B$2:$B$998,$F306))</f>
        <v>R1050   S/W Tip Jam Time (0,1sec.)</v>
      </c>
      <c r="C306" s="6" t="str">
        <f>IF($F306="","",INDEX('Каталог поиска'!$C$2:$C$998,$F306))</f>
        <v>KH</v>
      </c>
      <c r="D306" s="7">
        <f>IF(OR($F306="",E306=0,INDEX('Каталог поиска'!$D$2:$D$998,$F306)=0),"",IFERROR(INDEX('По размерам'!$A$2:$TY$86,MATCH($D$5,'По размерам'!$A$2:$A$86,0),INDEX('Каталог поиска'!$D$2:$D$998,$F306)),""))</f>
        <v>2</v>
      </c>
      <c r="E306">
        <f>IF(OR($F306="",INDEX('Каталог поиска'!$D$2:$D$998,$F306)=0),"",IFERROR(INDEX('Количество значений'!$A$2:$TY$86,MATCH($D$5,'Количество значений'!$A$2:$A$86,0),INDEX('Каталог поиска'!$D$2:$D$998,$F306)),""))</f>
        <v>4</v>
      </c>
      <c r="F306">
        <f>IFERROR(MATCH(294,'Каталог поиска'!$F$2:$F$998,0),"")</f>
        <v>294</v>
      </c>
    </row>
    <row r="307" spans="1:6" ht="36" customHeight="1">
      <c r="A307">
        <f>IF(F307="","",295)</f>
        <v>295</v>
      </c>
      <c r="B307" s="6" t="str">
        <f>IF($F307="","",INDEX('Каталог поиска'!$B$2:$B$998,$F307))</f>
        <v>R1051   S/W Rear Jam Time (0,1sec.)</v>
      </c>
      <c r="C307" s="6" t="str">
        <f>IF($F307="","",INDEX('Каталог поиска'!$C$2:$C$998,$F307))</f>
        <v>KI</v>
      </c>
      <c r="D307" s="7">
        <f>IF(OR($F307="",E307=0,INDEX('Каталог поиска'!$D$2:$D$998,$F307)=0),"",IFERROR(INDEX('По размерам'!$A$2:$TY$86,MATCH($D$5,'По размерам'!$A$2:$A$86,0),INDEX('Каталог поиска'!$D$2:$D$998,$F307)),""))</f>
        <v>2</v>
      </c>
      <c r="E307">
        <f>IF(OR($F307="",INDEX('Каталог поиска'!$D$2:$D$998,$F307)=0),"",IFERROR(INDEX('Количество значений'!$A$2:$TY$86,MATCH($D$5,'Количество значений'!$A$2:$A$86,0),INDEX('Каталог поиска'!$D$2:$D$998,$F307)),""))</f>
        <v>4</v>
      </c>
      <c r="F307">
        <f>IFERROR(MATCH(295,'Каталог поиска'!$F$2:$F$998,0),"")</f>
        <v>295</v>
      </c>
    </row>
    <row r="308" spans="1:6" ht="36" customHeight="1">
      <c r="A308">
        <f>IF(F308="","",296)</f>
        <v>296</v>
      </c>
      <c r="B308" s="6" t="str">
        <f>IF($F308="","",INDEX('Каталог поиска'!$B$2:$B$998,$F308))</f>
        <v>R1052   RFT Front Press Time (0,1sec.)</v>
      </c>
      <c r="C308" s="6" t="str">
        <f>IF($F308="","",INDEX('Каталог поиска'!$C$2:$C$998,$F308))</f>
        <v>KJ</v>
      </c>
      <c r="D308" s="7">
        <f>IF(OR($F308="",E308=0,INDEX('Каталог поиска'!$D$2:$D$998,$F308)=0),"",IFERROR(INDEX('По размерам'!$A$2:$TY$86,MATCH($D$5,'По размерам'!$A$2:$A$86,0),INDEX('Каталог поиска'!$D$2:$D$998,$F308)),""))</f>
        <v>0</v>
      </c>
      <c r="E308">
        <f>IF(OR($F308="",INDEX('Каталог поиска'!$D$2:$D$998,$F308)=0),"",IFERROR(INDEX('Количество значений'!$A$2:$TY$86,MATCH($D$5,'Количество значений'!$A$2:$A$86,0),INDEX('Каталог поиска'!$D$2:$D$998,$F308)),""))</f>
        <v>4</v>
      </c>
      <c r="F308">
        <f>IFERROR(MATCH(296,'Каталог поиска'!$F$2:$F$998,0),"")</f>
        <v>296</v>
      </c>
    </row>
    <row r="309" spans="1:6" ht="36" customHeight="1">
      <c r="A309">
        <f>IF(F309="","",297)</f>
        <v>297</v>
      </c>
      <c r="B309" s="6" t="str">
        <f>IF($F309="","",INDEX('Каталог поиска'!$B$2:$B$998,$F309))</f>
        <v>R1053   S/W Tip Heating Time (0,1sec.)</v>
      </c>
      <c r="C309" s="6" t="str">
        <f>IF($F309="","",INDEX('Каталог поиска'!$C$2:$C$998,$F309))</f>
        <v>KK</v>
      </c>
      <c r="D309" s="7">
        <f>IF(OR($F309="",E309=0,INDEX('Каталог поиска'!$D$2:$D$998,$F309)=0),"",IFERROR(INDEX('По размерам'!$A$2:$TY$86,MATCH($D$5,'По размерам'!$A$2:$A$86,0),INDEX('Каталог поиска'!$D$2:$D$998,$F309)),""))</f>
        <v>1.5</v>
      </c>
      <c r="E309">
        <f>IF(OR($F309="",INDEX('Каталог поиска'!$D$2:$D$998,$F309)=0),"",IFERROR(INDEX('Количество значений'!$A$2:$TY$86,MATCH($D$5,'Количество значений'!$A$2:$A$86,0),INDEX('Каталог поиска'!$D$2:$D$998,$F309)),""))</f>
        <v>4</v>
      </c>
      <c r="F309">
        <f>IFERROR(MATCH(297,'Каталог поиска'!$F$2:$F$998,0),"")</f>
        <v>297</v>
      </c>
    </row>
    <row r="310" spans="1:6" ht="36" customHeight="1">
      <c r="A310">
        <f>IF(F310="","",298)</f>
        <v>298</v>
      </c>
      <c r="B310" s="6" t="str">
        <f>IF($F310="","",INDEX('Каталог поиска'!$B$2:$B$998,$F310))</f>
        <v>R1054   S/W Rear Heating Time (0,1sec.)</v>
      </c>
      <c r="C310" s="6" t="str">
        <f>IF($F310="","",INDEX('Каталог поиска'!$C$2:$C$998,$F310))</f>
        <v>KL</v>
      </c>
      <c r="D310" s="7">
        <f>IF(OR($F310="",E310=0,INDEX('Каталог поиска'!$D$2:$D$998,$F310)=0),"",IFERROR(INDEX('По размерам'!$A$2:$TY$86,MATCH($D$5,'По размерам'!$A$2:$A$86,0),INDEX('Каталог поиска'!$D$2:$D$998,$F310)),""))</f>
        <v>1.5</v>
      </c>
      <c r="E310">
        <f>IF(OR($F310="",INDEX('Каталог поиска'!$D$2:$D$998,$F310)=0),"",IFERROR(INDEX('Количество значений'!$A$2:$TY$86,MATCH($D$5,'Количество значений'!$A$2:$A$86,0),INDEX('Каталог поиска'!$D$2:$D$998,$F310)),""))</f>
        <v>4</v>
      </c>
      <c r="F310">
        <f>IFERROR(MATCH(298,'Каталог поиска'!$F$2:$F$998,0),"")</f>
        <v>298</v>
      </c>
    </row>
    <row r="311" spans="1:6" ht="36" customHeight="1">
      <c r="A311">
        <f>IF(F311="","",299)</f>
        <v>299</v>
      </c>
      <c r="B311" s="6" t="str">
        <f>IF($F311="","",INDEX('Каталог поиска'!$B$2:$B$998,$F311))</f>
        <v>R1055   RFT Tip Heating Time (0,1sec.)</v>
      </c>
      <c r="C311" s="6" t="str">
        <f>IF($F311="","",INDEX('Каталог поиска'!$C$2:$C$998,$F311))</f>
        <v>KM</v>
      </c>
      <c r="D311" s="7">
        <f>IF(OR($F311="",E311=0,INDEX('Каталог поиска'!$D$2:$D$998,$F311)=0),"",IFERROR(INDEX('По размерам'!$A$2:$TY$86,MATCH($D$5,'По размерам'!$A$2:$A$86,0),INDEX('Каталог поиска'!$D$2:$D$998,$F311)),""))</f>
        <v>0</v>
      </c>
      <c r="E311">
        <f>IF(OR($F311="",INDEX('Каталог поиска'!$D$2:$D$998,$F311)=0),"",IFERROR(INDEX('Количество значений'!$A$2:$TY$86,MATCH($D$5,'Количество значений'!$A$2:$A$86,0),INDEX('Каталог поиска'!$D$2:$D$998,$F311)),""))</f>
        <v>4</v>
      </c>
      <c r="F311">
        <f>IFERROR(MATCH(299,'Каталог поиска'!$F$2:$F$998,0),"")</f>
        <v>299</v>
      </c>
    </row>
    <row r="312" spans="1:6" ht="36" customHeight="1">
      <c r="A312">
        <f>IF(F312="","",300)</f>
        <v>300</v>
      </c>
      <c r="B312" s="6" t="str">
        <f>IF($F312="","",INDEX('Каталог поиска'!$B$2:$B$998,$F312))</f>
        <v>R1056   RFT Rear Heating Time (0,1sec.)</v>
      </c>
      <c r="C312" s="6" t="str">
        <f>IF($F312="","",INDEX('Каталог поиска'!$C$2:$C$998,$F312))</f>
        <v>KN</v>
      </c>
      <c r="D312" s="7">
        <f>IF(OR($F312="",E312=0,INDEX('Каталог поиска'!$D$2:$D$998,$F312)=0),"",IFERROR(INDEX('По размерам'!$A$2:$TY$86,MATCH($D$5,'По размерам'!$A$2:$A$86,0),INDEX('Каталог поиска'!$D$2:$D$998,$F312)),""))</f>
        <v>0</v>
      </c>
      <c r="E312">
        <f>IF(OR($F312="",INDEX('Каталог поиска'!$D$2:$D$998,$F312)=0),"",IFERROR(INDEX('Количество значений'!$A$2:$TY$86,MATCH($D$5,'Количество значений'!$A$2:$A$86,0),INDEX('Каталог поиска'!$D$2:$D$998,$F312)),""))</f>
        <v>4</v>
      </c>
      <c r="F312">
        <f>IFERROR(MATCH(300,'Каталог поиска'!$F$2:$F$998,0),"")</f>
        <v>300</v>
      </c>
    </row>
    <row r="313" spans="1:6" ht="36" customHeight="1">
      <c r="A313">
        <f>IF(F313="","",301)</f>
        <v>301</v>
      </c>
      <c r="B313" s="6" t="str">
        <f>IF($F313="","",INDEX('Каталог поиска'!$B$2:$B$998,$F313))</f>
        <v>PLY Joint Zipper Select  0:No Use 1:BP1 2:BP2 3:BP1+BP2 4:BP1+He</v>
      </c>
      <c r="C313" s="6" t="str">
        <f>IF($F313="","",INDEX('Каталог поиска'!$C$2:$C$998,$F313))</f>
        <v>KO</v>
      </c>
      <c r="D313" s="7">
        <f>IF(OR($F313="",E313=0,INDEX('Каталог поиска'!$D$2:$D$998,$F313)=0),"",IFERROR(INDEX('По размерам'!$A$2:$TY$86,MATCH($D$5,'По размерам'!$A$2:$A$86,0),INDEX('Каталог поиска'!$D$2:$D$998,$F313)),""))</f>
        <v/>
      </c>
      <c r="E313">
        <f>IF(OR($F313="",INDEX('Каталог поиска'!$D$2:$D$998,$F313)=0),"",IFERROR(INDEX('Количество значений'!$A$2:$TY$86,MATCH($D$5,'Количество значений'!$A$2:$A$86,0),INDEX('Каталог поиска'!$D$2:$D$998,$F313)),""))</f>
        <v/>
      </c>
      <c r="F313">
        <f>IFERROR(MATCH(301,'Каталог поиска'!$F$2:$F$998,0),"")</f>
        <v>301</v>
      </c>
    </row>
    <row r="314" spans="1:6" ht="36" customHeight="1">
      <c r="A314">
        <f>IF(F314="","",302)</f>
        <v>302</v>
      </c>
      <c r="B314" s="6" t="str">
        <f>IF($F314="","",INDEX('Каталог поиска'!$B$2:$B$998,$F314))</f>
        <v>R1058   Spare 54</v>
      </c>
      <c r="C314" s="6" t="str">
        <f>IF($F314="","",INDEX('Каталог поиска'!$C$2:$C$998,$F314))</f>
        <v>KP</v>
      </c>
      <c r="D314" s="7">
        <f>IF(OR($F314="",E314=0,INDEX('Каталог поиска'!$D$2:$D$998,$F314)=0),"",IFERROR(INDEX('По размерам'!$A$2:$TY$86,MATCH($D$5,'По размерам'!$A$2:$A$86,0),INDEX('Каталог поиска'!$D$2:$D$998,$F314)),""))</f>
        <v/>
      </c>
      <c r="E314">
        <f>IF(OR($F314="",INDEX('Каталог поиска'!$D$2:$D$998,$F314)=0),"",IFERROR(INDEX('Количество значений'!$A$2:$TY$86,MATCH($D$5,'Количество значений'!$A$2:$A$86,0),INDEX('Каталог поиска'!$D$2:$D$998,$F314)),""))</f>
        <v/>
      </c>
      <c r="F314">
        <f>IFERROR(MATCH(302,'Каталог поиска'!$F$2:$F$998,0),"")</f>
        <v>302</v>
      </c>
    </row>
    <row r="315" spans="1:6" ht="36" customHeight="1">
      <c r="A315">
        <f>IF(F315="","",303)</f>
        <v>303</v>
      </c>
      <c r="B315" s="6" t="str">
        <f>IF($F315="","",INDEX('Каталог поиска'!$B$2:$B$998,$F315))</f>
        <v>R1059   Spare 55</v>
      </c>
      <c r="C315" s="6" t="str">
        <f>IF($F315="","",INDEX('Каталог поиска'!$C$2:$C$998,$F315))</f>
        <v>KQ</v>
      </c>
      <c r="D315" s="7">
        <f>IF(OR($F315="",E315=0,INDEX('Каталог поиска'!$D$2:$D$998,$F315)=0),"",IFERROR(INDEX('По размерам'!$A$2:$TY$86,MATCH($D$5,'По размерам'!$A$2:$A$86,0),INDEX('Каталог поиска'!$D$2:$D$998,$F315)),""))</f>
        <v/>
      </c>
      <c r="E315">
        <f>IF(OR($F315="",INDEX('Каталог поиска'!$D$2:$D$998,$F315)=0),"",IFERROR(INDEX('Количество значений'!$A$2:$TY$86,MATCH($D$5,'Количество значений'!$A$2:$A$86,0),INDEX('Каталог поиска'!$D$2:$D$998,$F315)),""))</f>
        <v/>
      </c>
      <c r="F315">
        <f>IFERROR(MATCH(303,'Каталог поиска'!$F$2:$F$998,0),"")</f>
        <v>303</v>
      </c>
    </row>
    <row r="316" spans="1:6" ht="36" customHeight="1">
      <c r="A316">
        <f>IF(F316="","",304)</f>
        <v>304</v>
      </c>
      <c r="B316" s="6" t="str">
        <f>IF($F316="","",INDEX('Каталог поиска'!$B$2:$B$998,$F316))</f>
        <v>R1060   UST LowSpeed (10m/min)</v>
      </c>
      <c r="C316" s="6" t="str">
        <f>IF($F316="","",INDEX('Каталог поиска'!$C$2:$C$998,$F316))</f>
        <v>KR</v>
      </c>
      <c r="D316" s="7">
        <f>IF(OR($F316="",E316=0,INDEX('Каталог поиска'!$D$2:$D$998,$F316)=0),"",IFERROR(INDEX('По размерам'!$A$2:$TY$86,MATCH($D$5,'По размерам'!$A$2:$A$86,0),INDEX('Каталог поиска'!$D$2:$D$998,$F316)),""))</f>
        <v>37.5</v>
      </c>
      <c r="E316">
        <f>IF(OR($F316="",INDEX('Каталог поиска'!$D$2:$D$998,$F316)=0),"",IFERROR(INDEX('Количество значений'!$A$2:$TY$86,MATCH($D$5,'Количество значений'!$A$2:$A$86,0),INDEX('Каталог поиска'!$D$2:$D$998,$F316)),""))</f>
        <v>4</v>
      </c>
      <c r="F316">
        <f>IFERROR(MATCH(304,'Каталог поиска'!$F$2:$F$998,0),"")</f>
        <v>304</v>
      </c>
    </row>
    <row r="317" spans="1:6" ht="36" customHeight="1">
      <c r="A317">
        <f>IF(F317="","",305)</f>
        <v>305</v>
      </c>
      <c r="B317" s="6" t="str">
        <f>IF($F317="","",INDEX('Каталог поиска'!$B$2:$B$998,$F317))</f>
        <v>R1061   UST HighSpeed (10m/min)</v>
      </c>
      <c r="C317" s="6" t="str">
        <f>IF($F317="","",INDEX('Каталог поиска'!$C$2:$C$998,$F317))</f>
        <v>KS</v>
      </c>
      <c r="D317" s="7">
        <f>IF(OR($F317="",E317=0,INDEX('Каталог поиска'!$D$2:$D$998,$F317)=0),"",IFERROR(INDEX('По размерам'!$A$2:$TY$86,MATCH($D$5,'По размерам'!$A$2:$A$86,0),INDEX('Каталог поиска'!$D$2:$D$998,$F317)),""))</f>
        <v>60</v>
      </c>
      <c r="E317">
        <f>IF(OR($F317="",INDEX('Каталог поиска'!$D$2:$D$998,$F317)=0),"",IFERROR(INDEX('Количество значений'!$A$2:$TY$86,MATCH($D$5,'Количество значений'!$A$2:$A$86,0),INDEX('Каталог поиска'!$D$2:$D$998,$F317)),""))</f>
        <v>4</v>
      </c>
      <c r="F317">
        <f>IFERROR(MATCH(305,'Каталог поиска'!$F$2:$F$998,0),"")</f>
        <v>305</v>
      </c>
    </row>
    <row r="318" spans="1:6" ht="36" customHeight="1">
      <c r="A318">
        <f>IF(F318="","",306)</f>
        <v>306</v>
      </c>
      <c r="B318" s="6" t="str">
        <f>IF($F318="","",INDEX('Каталог поиска'!$B$2:$B$998,$F318))</f>
        <v>R1062   BAND Drum.S/W speed (10m/min)</v>
      </c>
      <c r="C318" s="6" t="str">
        <f>IF($F318="","",INDEX('Каталог поиска'!$C$2:$C$998,$F318))</f>
        <v>KT</v>
      </c>
      <c r="D318" s="7">
        <f>IF(OR($F318="",E318=0,INDEX('Каталог поиска'!$D$2:$D$998,$F318)=0),"",IFERROR(INDEX('По размерам'!$A$2:$TY$86,MATCH($D$5,'По размерам'!$A$2:$A$86,0),INDEX('Каталог поиска'!$D$2:$D$998,$F318)),""))</f>
        <v>0</v>
      </c>
      <c r="E318">
        <f>IF(OR($F318="",INDEX('Каталог поиска'!$D$2:$D$998,$F318)=0),"",IFERROR(INDEX('Количество значений'!$A$2:$TY$86,MATCH($D$5,'Количество значений'!$A$2:$A$86,0),INDEX('Каталог поиска'!$D$2:$D$998,$F318)),""))</f>
        <v>4</v>
      </c>
      <c r="F318">
        <f>IFERROR(MATCH(306,'Каталог поиска'!$F$2:$F$998,0),"")</f>
        <v>306</v>
      </c>
    </row>
    <row r="319" spans="1:6" ht="36" customHeight="1">
      <c r="A319">
        <f>IF(F319="","",307)</f>
        <v>307</v>
      </c>
      <c r="B319" s="6" t="str">
        <f>IF($F319="","",INDEX('Каталог поиска'!$B$2:$B$998,$F319))</f>
        <v>R1063   Spare 59</v>
      </c>
      <c r="C319" s="6" t="str">
        <f>IF($F319="","",INDEX('Каталог поиска'!$C$2:$C$998,$F319))</f>
        <v>KU</v>
      </c>
      <c r="D319" s="7">
        <f>IF(OR($F319="",E319=0,INDEX('Каталог поиска'!$D$2:$D$998,$F319)=0),"",IFERROR(INDEX('По размерам'!$A$2:$TY$86,MATCH($D$5,'По размерам'!$A$2:$A$86,0),INDEX('Каталог поиска'!$D$2:$D$998,$F319)),""))</f>
        <v/>
      </c>
      <c r="E319">
        <f>IF(OR($F319="",INDEX('Каталог поиска'!$D$2:$D$998,$F319)=0),"",IFERROR(INDEX('Количество значений'!$A$2:$TY$86,MATCH($D$5,'Количество значений'!$A$2:$A$86,0),INDEX('Каталог поиска'!$D$2:$D$998,$F319)),""))</f>
        <v/>
      </c>
      <c r="F319">
        <f>IFERROR(MATCH(307,'Каталог поиска'!$F$2:$F$998,0),"")</f>
        <v>307</v>
      </c>
    </row>
    <row r="320" spans="1:6" ht="36" customHeight="1">
      <c r="A320">
        <f>IF(F320="","",308)</f>
        <v>308</v>
      </c>
      <c r="B320" s="6" t="str">
        <f>IF($F320="","",INDEX('Каталог поиска'!$B$2:$B$998,$F320))</f>
        <v>R1064   USR 2P-Up/Down Stitching Start Position (mm)</v>
      </c>
      <c r="C320" s="6" t="str">
        <f>IF($F320="","",INDEX('Каталог поиска'!$C$2:$C$998,$F320))</f>
        <v>KV</v>
      </c>
      <c r="D320" s="7">
        <f>IF(OR($F320="",E320=0,INDEX('Каталог поиска'!$D$2:$D$998,$F320)=0),"",IFERROR(INDEX('По размерам'!$A$2:$TY$86,MATCH($D$5,'По размерам'!$A$2:$A$86,0),INDEX('Каталог поиска'!$D$2:$D$998,$F320)),""))</f>
        <v/>
      </c>
      <c r="E320">
        <f>IF(OR($F320="",INDEX('Каталог поиска'!$D$2:$D$998,$F320)=0),"",IFERROR(INDEX('Количество значений'!$A$2:$TY$86,MATCH($D$5,'Количество значений'!$A$2:$A$86,0),INDEX('Каталог поиска'!$D$2:$D$998,$F320)),""))</f>
        <v>0</v>
      </c>
      <c r="F320">
        <f>IFERROR(MATCH(308,'Каталог поиска'!$F$2:$F$998,0),"")</f>
        <v>308</v>
      </c>
    </row>
    <row r="321" spans="1:6" ht="36" customHeight="1">
      <c r="A321">
        <f>IF(F321="","",309)</f>
        <v>309</v>
      </c>
      <c r="B321" s="6" t="str">
        <f>IF($F321="","",INDEX('Каталог поиска'!$B$2:$B$998,$F321))</f>
        <v>R1065   USR 2P-Up/Down Stitching End Position (mm)</v>
      </c>
      <c r="C321" s="6" t="str">
        <f>IF($F321="","",INDEX('Каталог поиска'!$C$2:$C$998,$F321))</f>
        <v>KW</v>
      </c>
      <c r="D321" s="7">
        <f>IF(OR($F321="",E321=0,INDEX('Каталог поиска'!$D$2:$D$998,$F321)=0),"",IFERROR(INDEX('По размерам'!$A$2:$TY$86,MATCH($D$5,'По размерам'!$A$2:$A$86,0),INDEX('Каталог поиска'!$D$2:$D$998,$F321)),""))</f>
        <v/>
      </c>
      <c r="E321">
        <f>IF(OR($F321="",INDEX('Каталог поиска'!$D$2:$D$998,$F321)=0),"",IFERROR(INDEX('Количество значений'!$A$2:$TY$86,MATCH($D$5,'Количество значений'!$A$2:$A$86,0),INDEX('Каталог поиска'!$D$2:$D$998,$F321)),""))</f>
        <v>0</v>
      </c>
      <c r="F321">
        <f>IFERROR(MATCH(309,'Каталог поиска'!$F$2:$F$998,0),"")</f>
        <v>309</v>
      </c>
    </row>
    <row r="322" spans="1:6" ht="36" customHeight="1">
      <c r="A322">
        <f>IF(F322="","",310)</f>
        <v>310</v>
      </c>
      <c r="B322" s="6" t="str">
        <f>IF($F322="","",INDEX('Каталог поиска'!$B$2:$B$998,$F322))</f>
        <v>R1066   USR Side Stitching Start Position (mm)</v>
      </c>
      <c r="C322" s="6" t="str">
        <f>IF($F322="","",INDEX('Каталог поиска'!$C$2:$C$998,$F322))</f>
        <v>KX</v>
      </c>
      <c r="D322" s="7">
        <f>IF(OR($F322="",E322=0,INDEX('Каталог поиска'!$D$2:$D$998,$F322)=0),"",IFERROR(INDEX('По размерам'!$A$2:$TY$86,MATCH($D$5,'По размерам'!$A$2:$A$86,0),INDEX('Каталог поиска'!$D$2:$D$998,$F322)),""))</f>
        <v/>
      </c>
      <c r="E322">
        <f>IF(OR($F322="",INDEX('Каталог поиска'!$D$2:$D$998,$F322)=0),"",IFERROR(INDEX('Количество значений'!$A$2:$TY$86,MATCH($D$5,'Количество значений'!$A$2:$A$86,0),INDEX('Каталог поиска'!$D$2:$D$998,$F322)),""))</f>
        <v>0</v>
      </c>
      <c r="F322">
        <f>IFERROR(MATCH(310,'Каталог поиска'!$F$2:$F$998,0),"")</f>
        <v>310</v>
      </c>
    </row>
    <row r="323" spans="1:6" ht="36" customHeight="1">
      <c r="A323">
        <f>IF(F323="","",311)</f>
        <v>311</v>
      </c>
      <c r="B323" s="6" t="str">
        <f>IF($F323="","",INDEX('Каталог поиска'!$B$2:$B$998,$F323))</f>
        <v>R1067   USR Side Stitching Turn Position (mm)</v>
      </c>
      <c r="C323" s="6" t="str">
        <f>IF($F323="","",INDEX('Каталог поиска'!$C$2:$C$998,$F323))</f>
        <v>KY</v>
      </c>
      <c r="D323" s="7">
        <f>IF(OR($F323="",E323=0,INDEX('Каталог поиска'!$D$2:$D$998,$F323)=0),"",IFERROR(INDEX('По размерам'!$A$2:$TY$86,MATCH($D$5,'По размерам'!$A$2:$A$86,0),INDEX('Каталог поиска'!$D$2:$D$998,$F323)),""))</f>
        <v/>
      </c>
      <c r="E323">
        <f>IF(OR($F323="",INDEX('Каталог поиска'!$D$2:$D$998,$F323)=0),"",IFERROR(INDEX('Количество значений'!$A$2:$TY$86,MATCH($D$5,'Количество значений'!$A$2:$A$86,0),INDEX('Каталог поиска'!$D$2:$D$998,$F323)),""))</f>
        <v>0</v>
      </c>
      <c r="F323">
        <f>IFERROR(MATCH(311,'Каталог поиска'!$F$2:$F$998,0),"")</f>
        <v>311</v>
      </c>
    </row>
    <row r="324" spans="1:6" ht="36" customHeight="1">
      <c r="A324">
        <f>IF(F324="","",312)</f>
        <v>312</v>
      </c>
      <c r="B324" s="6" t="str">
        <f>IF($F324="","",INDEX('Каталог поиска'!$B$2:$B$998,$F324))</f>
        <v>R1068   USR Side Stitching End Position (mm)</v>
      </c>
      <c r="C324" s="6" t="str">
        <f>IF($F324="","",INDEX('Каталог поиска'!$C$2:$C$998,$F324))</f>
        <v>KZ</v>
      </c>
      <c r="D324" s="7">
        <f>IF(OR($F324="",E324=0,INDEX('Каталог поиска'!$D$2:$D$998,$F324)=0),"",IFERROR(INDEX('По размерам'!$A$2:$TY$86,MATCH($D$5,'По размерам'!$A$2:$A$86,0),INDEX('Каталог поиска'!$D$2:$D$998,$F324)),""))</f>
        <v/>
      </c>
      <c r="E324">
        <f>IF(OR($F324="",INDEX('Каталог поиска'!$D$2:$D$998,$F324)=0),"",IFERROR(INDEX('Количество значений'!$A$2:$TY$86,MATCH($D$5,'Количество значений'!$A$2:$A$86,0),INDEX('Каталог поиска'!$D$2:$D$998,$F324)),""))</f>
        <v>0</v>
      </c>
      <c r="F324">
        <f>IFERROR(MATCH(312,'Каталог поиска'!$F$2:$F$998,0),"")</f>
        <v>312</v>
      </c>
    </row>
    <row r="325" spans="1:6" ht="36" customHeight="1">
      <c r="A325">
        <f>IF(F325="","",313)</f>
        <v>313</v>
      </c>
      <c r="B325" s="6" t="str">
        <f>IF($F325="","",INDEX('Каталог поиска'!$B$2:$B$998,$F325))</f>
        <v>R1069   USR Side Roll Stitching Start Position (mm)</v>
      </c>
      <c r="C325" s="6" t="str">
        <f>IF($F325="","",INDEX('Каталог поиска'!$C$2:$C$998,$F325))</f>
        <v>LA</v>
      </c>
      <c r="D325" s="7">
        <f>IF(OR($F325="",E325=0,INDEX('Каталог поиска'!$D$2:$D$998,$F325)=0),"",IFERROR(INDEX('По размерам'!$A$2:$TY$86,MATCH($D$5,'По размерам'!$A$2:$A$86,0),INDEX('Каталог поиска'!$D$2:$D$998,$F325)),""))</f>
        <v/>
      </c>
      <c r="E325">
        <f>IF(OR($F325="",INDEX('Каталог поиска'!$D$2:$D$998,$F325)=0),"",IFERROR(INDEX('Количество значений'!$A$2:$TY$86,MATCH($D$5,'Количество значений'!$A$2:$A$86,0),INDEX('Каталог поиска'!$D$2:$D$998,$F325)),""))</f>
        <v>0</v>
      </c>
      <c r="F325">
        <f>IFERROR(MATCH(313,'Каталог поиска'!$F$2:$F$998,0),"")</f>
        <v>313</v>
      </c>
    </row>
    <row r="326" spans="1:6" ht="36" customHeight="1">
      <c r="A326">
        <f>IF(F326="","",314)</f>
        <v>314</v>
      </c>
      <c r="B326" s="6" t="str">
        <f>IF($F326="","",INDEX('Каталог поиска'!$B$2:$B$998,$F326))</f>
        <v>R1070   USR Side Roll Stitching End Position (mm)</v>
      </c>
      <c r="C326" s="6" t="str">
        <f>IF($F326="","",INDEX('Каталог поиска'!$C$2:$C$998,$F326))</f>
        <v>LB</v>
      </c>
      <c r="D326" s="7">
        <f>IF(OR($F326="",E326=0,INDEX('Каталог поиска'!$D$2:$D$998,$F326)=0),"",IFERROR(INDEX('По размерам'!$A$2:$TY$86,MATCH($D$5,'По размерам'!$A$2:$A$86,0),INDEX('Каталог поиска'!$D$2:$D$998,$F326)),""))</f>
        <v/>
      </c>
      <c r="E326">
        <f>IF(OR($F326="",INDEX('Каталог поиска'!$D$2:$D$998,$F326)=0),"",IFERROR(INDEX('Количество значений'!$A$2:$TY$86,MATCH($D$5,'Количество значений'!$A$2:$A$86,0),INDEX('Каталог поиска'!$D$2:$D$998,$F326)),""))</f>
        <v>0</v>
      </c>
      <c r="F326">
        <f>IFERROR(MATCH(314,'Каталог поиска'!$F$2:$F$998,0),"")</f>
        <v>314</v>
      </c>
    </row>
    <row r="327" spans="1:6" ht="36" customHeight="1">
      <c r="A327">
        <f>IF(F327="","",315)</f>
        <v>315</v>
      </c>
      <c r="B327" s="6" t="str">
        <f>IF($F327="","",INDEX('Каталог поиска'!$B$2:$B$998,$F327))</f>
        <v>R1071   B/S PLY Turn Up Start Position (mm)</v>
      </c>
      <c r="C327" s="6" t="str">
        <f>IF($F327="","",INDEX('Каталог поиска'!$C$2:$C$998,$F327))</f>
        <v>LC</v>
      </c>
      <c r="D327" s="7">
        <f>IF(OR($F327="",E327=0,INDEX('Каталог поиска'!$D$2:$D$998,$F327)=0),"",IFERROR(INDEX('По размерам'!$A$2:$TY$86,MATCH($D$5,'По размерам'!$A$2:$A$86,0),INDEX('Каталог поиска'!$D$2:$D$998,$F327)),""))</f>
        <v/>
      </c>
      <c r="E327">
        <f>IF(OR($F327="",INDEX('Каталог поиска'!$D$2:$D$998,$F327)=0),"",IFERROR(INDEX('Количество значений'!$A$2:$TY$86,MATCH($D$5,'Количество значений'!$A$2:$A$86,0),INDEX('Каталог поиска'!$D$2:$D$998,$F327)),""))</f>
        <v>0</v>
      </c>
      <c r="F327">
        <f>IFERROR(MATCH(315,'Каталог поиска'!$F$2:$F$998,0),"")</f>
        <v>315</v>
      </c>
    </row>
    <row r="328" spans="1:6" ht="36" customHeight="1">
      <c r="A328">
        <f>IF(F328="","",316)</f>
        <v>316</v>
      </c>
      <c r="B328" s="6" t="str">
        <f>IF($F328="","",INDEX('Каталог поиска'!$B$2:$B$998,$F328))</f>
        <v>R1072   B/S PLY Turn Up End Position (mm)</v>
      </c>
      <c r="C328" s="6" t="str">
        <f>IF($F328="","",INDEX('Каталог поиска'!$C$2:$C$998,$F328))</f>
        <v>LD</v>
      </c>
      <c r="D328" s="7">
        <f>IF(OR($F328="",E328=0,INDEX('Каталог поиска'!$D$2:$D$998,$F328)=0),"",IFERROR(INDEX('По размерам'!$A$2:$TY$86,MATCH($D$5,'По размерам'!$A$2:$A$86,0),INDEX('Каталог поиска'!$D$2:$D$998,$F328)),""))</f>
        <v/>
      </c>
      <c r="E328">
        <f>IF(OR($F328="",INDEX('Каталог поиска'!$D$2:$D$998,$F328)=0),"",IFERROR(INDEX('Количество значений'!$A$2:$TY$86,MATCH($D$5,'Количество значений'!$A$2:$A$86,0),INDEX('Каталог поиска'!$D$2:$D$998,$F328)),""))</f>
        <v>0</v>
      </c>
      <c r="F328">
        <f>IFERROR(MATCH(316,'Каталог поиска'!$F$2:$F$998,0),"")</f>
        <v>316</v>
      </c>
    </row>
    <row r="329" spans="1:6" ht="36" customHeight="1">
      <c r="A329">
        <f>IF(F329="","",317)</f>
        <v>317</v>
      </c>
      <c r="B329" s="6" t="str">
        <f>IF($F329="","",INDEX('Каталог поиска'!$B$2:$B$998,$F329))</f>
        <v>R1073   PLY Turn Up B/S Start Delay Timer (0,1sec.)</v>
      </c>
      <c r="C329" s="6" t="str">
        <f>IF($F329="","",INDEX('Каталог поиска'!$C$2:$C$998,$F329))</f>
        <v>LE</v>
      </c>
      <c r="D329" s="7">
        <f>IF(OR($F329="",E329=0,INDEX('Каталог поиска'!$D$2:$D$998,$F329)=0),"",IFERROR(INDEX('По размерам'!$A$2:$TY$86,MATCH($D$5,'По размерам'!$A$2:$A$86,0),INDEX('Каталог поиска'!$D$2:$D$998,$F329)),""))</f>
        <v/>
      </c>
      <c r="E329">
        <f>IF(OR($F329="",INDEX('Каталог поиска'!$D$2:$D$998,$F329)=0),"",IFERROR(INDEX('Количество значений'!$A$2:$TY$86,MATCH($D$5,'Количество значений'!$A$2:$A$86,0),INDEX('Каталог поиска'!$D$2:$D$998,$F329)),""))</f>
        <v>0</v>
      </c>
      <c r="F329">
        <f>IFERROR(MATCH(317,'Каталог поиска'!$F$2:$F$998,0),"")</f>
        <v>317</v>
      </c>
    </row>
    <row r="330" spans="1:6" ht="36" customHeight="1">
      <c r="A330">
        <f>IF(F330="","",318)</f>
        <v>318</v>
      </c>
      <c r="B330" s="6" t="str">
        <f>IF($F330="","",INDEX('Каталог поиска'!$B$2:$B$998,$F330))</f>
        <v>R1074   PLY Turn Up Bladder Inflate Time (0,1sec.)</v>
      </c>
      <c r="C330" s="6" t="str">
        <f>IF($F330="","",INDEX('Каталог поиска'!$C$2:$C$998,$F330))</f>
        <v>LF</v>
      </c>
      <c r="D330" s="7">
        <f>IF(OR($F330="",E330=0,INDEX('Каталог поиска'!$D$2:$D$998,$F330)=0),"",IFERROR(INDEX('По размерам'!$A$2:$TY$86,MATCH($D$5,'По размерам'!$A$2:$A$86,0),INDEX('Каталог поиска'!$D$2:$D$998,$F330)),""))</f>
        <v/>
      </c>
      <c r="E330">
        <f>IF(OR($F330="",INDEX('Каталог поиска'!$D$2:$D$998,$F330)=0),"",IFERROR(INDEX('Количество значений'!$A$2:$TY$86,MATCH($D$5,'Количество значений'!$A$2:$A$86,0),INDEX('Каталог поиска'!$D$2:$D$998,$F330)),""))</f>
        <v>0</v>
      </c>
      <c r="F330">
        <f>IFERROR(MATCH(318,'Каталог поиска'!$F$2:$F$998,0),"")</f>
        <v>318</v>
      </c>
    </row>
    <row r="331" spans="1:6" ht="36" customHeight="1">
      <c r="A331">
        <f>IF(F331="","",319)</f>
        <v>319</v>
      </c>
      <c r="B331" s="6" t="str">
        <f>IF($F331="","",INDEX('Каталог поиска'!$B$2:$B$998,$F331))</f>
        <v>R1075   PLY Turn Up Bladder Inflate Lock Time (0,1sec.)</v>
      </c>
      <c r="C331" s="6" t="str">
        <f>IF($F331="","",INDEX('Каталог поиска'!$C$2:$C$998,$F331))</f>
        <v>LG</v>
      </c>
      <c r="D331" s="7">
        <f>IF(OR($F331="",E331=0,INDEX('Каталог поиска'!$D$2:$D$998,$F331)=0),"",IFERROR(INDEX('По размерам'!$A$2:$TY$86,MATCH($D$5,'По размерам'!$A$2:$A$86,0),INDEX('Каталог поиска'!$D$2:$D$998,$F331)),""))</f>
        <v/>
      </c>
      <c r="E331">
        <f>IF(OR($F331="",INDEX('Каталог поиска'!$D$2:$D$998,$F331)=0),"",IFERROR(INDEX('Количество значений'!$A$2:$TY$86,MATCH($D$5,'Количество значений'!$A$2:$A$86,0),INDEX('Каталог поиска'!$D$2:$D$998,$F331)),""))</f>
        <v>0</v>
      </c>
      <c r="F331">
        <f>IFERROR(MATCH(319,'Каталог поиска'!$F$2:$F$998,0),"")</f>
        <v>319</v>
      </c>
    </row>
    <row r="332" spans="1:6" ht="36" customHeight="1">
      <c r="A332">
        <f>IF(F332="","",320)</f>
        <v>320</v>
      </c>
      <c r="B332" s="6" t="str">
        <f>IF($F332="","",INDEX('Каталог поиска'!$B$2:$B$998,$F332))</f>
        <v>R1076   PLY Turn Up Bladder Exhaust time (0,1sec.)</v>
      </c>
      <c r="C332" s="6" t="str">
        <f>IF($F332="","",INDEX('Каталог поиска'!$C$2:$C$998,$F332))</f>
        <v>LH</v>
      </c>
      <c r="D332" s="7">
        <f>IF(OR($F332="",E332=0,INDEX('Каталог поиска'!$D$2:$D$998,$F332)=0),"",IFERROR(INDEX('По размерам'!$A$2:$TY$86,MATCH($D$5,'По размерам'!$A$2:$A$86,0),INDEX('Каталог поиска'!$D$2:$D$998,$F332)),""))</f>
        <v/>
      </c>
      <c r="E332">
        <f>IF(OR($F332="",INDEX('Каталог поиска'!$D$2:$D$998,$F332)=0),"",IFERROR(INDEX('Количество значений'!$A$2:$TY$86,MATCH($D$5,'Количество значений'!$A$2:$A$86,0),INDEX('Каталог поиска'!$D$2:$D$998,$F332)),""))</f>
        <v>0</v>
      </c>
      <c r="F332">
        <f>IFERROR(MATCH(320,'Каталог поиска'!$F$2:$F$998,0),"")</f>
        <v>320</v>
      </c>
    </row>
    <row r="333" spans="1:6" ht="36" customHeight="1">
      <c r="A333">
        <f>IF(F333="","",321)</f>
        <v>321</v>
      </c>
      <c r="B333" s="6" t="str">
        <f>IF($F333="","",INDEX('Каталог поиска'!$B$2:$B$998,$F333))</f>
        <v>R1077   PLY Turn Up B/S Return Delay Timer (0,1sec.)</v>
      </c>
      <c r="C333" s="6" t="str">
        <f>IF($F333="","",INDEX('Каталог поиска'!$C$2:$C$998,$F333))</f>
        <v>LI</v>
      </c>
      <c r="D333" s="7">
        <f>IF(OR($F333="",E333=0,INDEX('Каталог поиска'!$D$2:$D$998,$F333)=0),"",IFERROR(INDEX('По размерам'!$A$2:$TY$86,MATCH($D$5,'По размерам'!$A$2:$A$86,0),INDEX('Каталог поиска'!$D$2:$D$998,$F333)),""))</f>
        <v/>
      </c>
      <c r="E333">
        <f>IF(OR($F333="",INDEX('Каталог поиска'!$D$2:$D$998,$F333)=0),"",IFERROR(INDEX('Количество значений'!$A$2:$TY$86,MATCH($D$5,'Количество значений'!$A$2:$A$86,0),INDEX('Каталог поиска'!$D$2:$D$998,$F333)),""))</f>
        <v>0</v>
      </c>
      <c r="F333">
        <f>IFERROR(MATCH(321,'Каталог поиска'!$F$2:$F$998,0),"")</f>
        <v>321</v>
      </c>
    </row>
    <row r="334" spans="1:6" ht="36" customHeight="1">
      <c r="A334">
        <f>IF(F334="","",322)</f>
        <v>322</v>
      </c>
      <c r="B334" s="6" t="str">
        <f>IF($F334="","",INDEX('Каталог поиска'!$B$2:$B$998,$F334))</f>
        <v>R1078   B/S Bead Lock Time (sec.)</v>
      </c>
      <c r="C334" s="6" t="str">
        <f>IF($F334="","",INDEX('Каталог поиска'!$C$2:$C$998,$F334))</f>
        <v>LJ</v>
      </c>
      <c r="D334" s="7">
        <f>IF(OR($F334="",E334=0,INDEX('Каталог поиска'!$D$2:$D$998,$F334)=0),"",IFERROR(INDEX('По размерам'!$A$2:$TY$86,MATCH($D$5,'По размерам'!$A$2:$A$86,0),INDEX('Каталог поиска'!$D$2:$D$998,$F334)),""))</f>
        <v/>
      </c>
      <c r="E334">
        <f>IF(OR($F334="",INDEX('Каталог поиска'!$D$2:$D$998,$F334)=0),"",IFERROR(INDEX('Количество значений'!$A$2:$TY$86,MATCH($D$5,'Количество значений'!$A$2:$A$86,0),INDEX('Каталог поиска'!$D$2:$D$998,$F334)),""))</f>
        <v>0</v>
      </c>
      <c r="F334">
        <f>IFERROR(MATCH(322,'Каталог поиска'!$F$2:$F$998,0),"")</f>
        <v>322</v>
      </c>
    </row>
    <row r="335" spans="1:6" ht="36" customHeight="1">
      <c r="A335">
        <f>IF(F335="","",323)</f>
        <v>323</v>
      </c>
      <c r="B335" s="6" t="str">
        <f>IF($F335="","",INDEX('Каталог поиска'!$B$2:$B$998,$F335))</f>
        <v>R1079   Gum band width</v>
      </c>
      <c r="C335" s="6" t="str">
        <f>IF($F335="","",INDEX('Каталог поиска'!$C$2:$C$998,$F335))</f>
        <v>LK</v>
      </c>
      <c r="D335" s="7">
        <f>IF(OR($F335="",E335=0,INDEX('Каталог поиска'!$D$2:$D$998,$F335)=0),"",IFERROR(INDEX('По размерам'!$A$2:$TY$86,MATCH($D$5,'По размерам'!$A$2:$A$86,0),INDEX('Каталог поиска'!$D$2:$D$998,$F335)),""))</f>
        <v>480</v>
      </c>
      <c r="E335">
        <f>IF(OR($F335="",INDEX('Каталог поиска'!$D$2:$D$998,$F335)=0),"",IFERROR(INDEX('Количество значений'!$A$2:$TY$86,MATCH($D$5,'Количество значений'!$A$2:$A$86,0),INDEX('Каталог поиска'!$D$2:$D$998,$F335)),""))</f>
        <v>4</v>
      </c>
      <c r="F335">
        <f>IFERROR(MATCH(323,'Каталог поиска'!$F$2:$F$998,0),"")</f>
        <v>323</v>
      </c>
    </row>
    <row r="336" spans="1:6" ht="36" customHeight="1">
      <c r="A336">
        <f>IF(F336="","",324)</f>
        <v>324</v>
      </c>
      <c r="B336" s="6" t="str">
        <f>IF($F336="","",INDEX('Каталог поиска'!$B$2:$B$998,$F336))</f>
        <v>Spare 76</v>
      </c>
      <c r="C336" s="6" t="str">
        <f>IF($F336="","",INDEX('Каталог поиска'!$C$2:$C$998,$F336))</f>
        <v>LL</v>
      </c>
      <c r="D336" s="7">
        <f>IF(OR($F336="",E336=0,INDEX('Каталог поиска'!$D$2:$D$998,$F336)=0),"",IFERROR(INDEX('По размерам'!$A$2:$TY$86,MATCH($D$5,'По размерам'!$A$2:$A$86,0),INDEX('Каталог поиска'!$D$2:$D$998,$F336)),""))</f>
        <v/>
      </c>
      <c r="E336">
        <f>IF(OR($F336="",INDEX('Каталог поиска'!$D$2:$D$998,$F336)=0),"",IFERROR(INDEX('Количество значений'!$A$2:$TY$86,MATCH($D$5,'Количество значений'!$A$2:$A$86,0),INDEX('Каталог поиска'!$D$2:$D$998,$F336)),""))</f>
        <v/>
      </c>
      <c r="F336">
        <f>IFERROR(MATCH(324,'Каталог поиска'!$F$2:$F$998,0),"")</f>
        <v>324</v>
      </c>
    </row>
    <row r="337" spans="1:6" ht="36" customHeight="1">
      <c r="A337">
        <f>IF(F337="","",325)</f>
        <v>325</v>
      </c>
      <c r="B337" s="6" t="str">
        <f>IF($F337="","",INDEX('Каталог поиска'!$B$2:$B$998,$F337))</f>
        <v>Spare 77</v>
      </c>
      <c r="C337" s="6" t="str">
        <f>IF($F337="","",INDEX('Каталог поиска'!$C$2:$C$998,$F337))</f>
        <v>LM</v>
      </c>
      <c r="D337" s="7">
        <f>IF(OR($F337="",E337=0,INDEX('Каталог поиска'!$D$2:$D$998,$F337)=0),"",IFERROR(INDEX('По размерам'!$A$2:$TY$86,MATCH($D$5,'По размерам'!$A$2:$A$86,0),INDEX('Каталог поиска'!$D$2:$D$998,$F337)),""))</f>
        <v/>
      </c>
      <c r="E337">
        <f>IF(OR($F337="",INDEX('Каталог поиска'!$D$2:$D$998,$F337)=0),"",IFERROR(INDEX('Количество значений'!$A$2:$TY$86,MATCH($D$5,'Количество значений'!$A$2:$A$86,0),INDEX('Каталог поиска'!$D$2:$D$998,$F337)),""))</f>
        <v/>
      </c>
      <c r="F337">
        <f>IFERROR(MATCH(325,'Каталог поиска'!$F$2:$F$998,0),"")</f>
        <v>325</v>
      </c>
    </row>
    <row r="338" spans="1:6" ht="36" customHeight="1">
      <c r="A338">
        <f>IF(F338="","",326)</f>
        <v>326</v>
      </c>
      <c r="B338" s="6" t="str">
        <f>IF($F338="","",INDEX('Каталог поиска'!$B$2:$B$998,$F338))</f>
        <v>Spare 78</v>
      </c>
      <c r="C338" s="6" t="str">
        <f>IF($F338="","",INDEX('Каталог поиска'!$C$2:$C$998,$F338))</f>
        <v>LN</v>
      </c>
      <c r="D338" s="7">
        <f>IF(OR($F338="",E338=0,INDEX('Каталог поиска'!$D$2:$D$998,$F338)=0),"",IFERROR(INDEX('По размерам'!$A$2:$TY$86,MATCH($D$5,'По размерам'!$A$2:$A$86,0),INDEX('Каталог поиска'!$D$2:$D$998,$F338)),""))</f>
        <v/>
      </c>
      <c r="E338">
        <f>IF(OR($F338="",INDEX('Каталог поиска'!$D$2:$D$998,$F338)=0),"",IFERROR(INDEX('Количество значений'!$A$2:$TY$86,MATCH($D$5,'Количество значений'!$A$2:$A$86,0),INDEX('Каталог поиска'!$D$2:$D$998,$F338)),""))</f>
        <v/>
      </c>
      <c r="F338">
        <f>IFERROR(MATCH(326,'Каталог поиска'!$F$2:$F$998,0),"")</f>
        <v>326</v>
      </c>
    </row>
    <row r="339" spans="1:6" ht="36" customHeight="1">
      <c r="A339">
        <f>IF(F339="","",327)</f>
        <v>327</v>
      </c>
      <c r="B339" s="6" t="str">
        <f>IF($F339="","",INDEX('Каталог поиска'!$B$2:$B$998,$F339))</f>
        <v>Spare 79</v>
      </c>
      <c r="C339" s="6" t="str">
        <f>IF($F339="","",INDEX('Каталог поиска'!$C$2:$C$998,$F339))</f>
        <v>LO</v>
      </c>
      <c r="D339" s="7">
        <f>IF(OR($F339="",E339=0,INDEX('Каталог поиска'!$D$2:$D$998,$F339)=0),"",IFERROR(INDEX('По размерам'!$A$2:$TY$86,MATCH($D$5,'По размерам'!$A$2:$A$86,0),INDEX('Каталог поиска'!$D$2:$D$998,$F339)),""))</f>
        <v/>
      </c>
      <c r="E339">
        <f>IF(OR($F339="",INDEX('Каталог поиска'!$D$2:$D$998,$F339)=0),"",IFERROR(INDEX('Количество значений'!$A$2:$TY$86,MATCH($D$5,'Количество значений'!$A$2:$A$86,0),INDEX('Каталог поиска'!$D$2:$D$998,$F339)),""))</f>
        <v/>
      </c>
      <c r="F339">
        <f>IFERROR(MATCH(327,'Каталог поиска'!$F$2:$F$998,0),"")</f>
        <v>327</v>
      </c>
    </row>
    <row r="340" spans="1:6" ht="36" customHeight="1">
      <c r="A340">
        <f>IF(F340="","",328)</f>
        <v>328</v>
      </c>
      <c r="B340" s="6" t="str">
        <f>IF($F340="","",INDEX('Каталог поиска'!$B$2:$B$998,$F340))</f>
        <v>Spare 80</v>
      </c>
      <c r="C340" s="6" t="str">
        <f>IF($F340="","",INDEX('Каталог поиска'!$C$2:$C$998,$F340))</f>
        <v>LP</v>
      </c>
      <c r="D340" s="7">
        <f>IF(OR($F340="",E340=0,INDEX('Каталог поиска'!$D$2:$D$998,$F340)=0),"",IFERROR(INDEX('По размерам'!$A$2:$TY$86,MATCH($D$5,'По размерам'!$A$2:$A$86,0),INDEX('Каталог поиска'!$D$2:$D$998,$F340)),""))</f>
        <v/>
      </c>
      <c r="E340">
        <f>IF(OR($F340="",INDEX('Каталог поиска'!$D$2:$D$998,$F340)=0),"",IFERROR(INDEX('Количество значений'!$A$2:$TY$86,MATCH($D$5,'Количество значений'!$A$2:$A$86,0),INDEX('Каталог поиска'!$D$2:$D$998,$F340)),""))</f>
        <v/>
      </c>
      <c r="F340">
        <f>IFERROR(MATCH(328,'Каталог поиска'!$F$2:$F$998,0),"")</f>
        <v>328</v>
      </c>
    </row>
    <row r="341" spans="1:6" ht="36" customHeight="1">
      <c r="A341">
        <f>IF(F341="","",329)</f>
        <v>329</v>
      </c>
      <c r="B341" s="6" t="str">
        <f>IF($F341="","",INDEX('Каталог поиска'!$B$2:$B$998,$F341))</f>
        <v>Spare 81</v>
      </c>
      <c r="C341" s="6" t="str">
        <f>IF($F341="","",INDEX('Каталог поиска'!$C$2:$C$998,$F341))</f>
        <v>LQ</v>
      </c>
      <c r="D341" s="7">
        <f>IF(OR($F341="",E341=0,INDEX('Каталог поиска'!$D$2:$D$998,$F341)=0),"",IFERROR(INDEX('По размерам'!$A$2:$TY$86,MATCH($D$5,'По размерам'!$A$2:$A$86,0),INDEX('Каталог поиска'!$D$2:$D$998,$F341)),""))</f>
        <v/>
      </c>
      <c r="E341">
        <f>IF(OR($F341="",INDEX('Каталог поиска'!$D$2:$D$998,$F341)=0),"",IFERROR(INDEX('Количество значений'!$A$2:$TY$86,MATCH($D$5,'Количество значений'!$A$2:$A$86,0),INDEX('Каталог поиска'!$D$2:$D$998,$F341)),""))</f>
        <v/>
      </c>
      <c r="F341">
        <f>IFERROR(MATCH(329,'Каталог поиска'!$F$2:$F$998,0),"")</f>
        <v>329</v>
      </c>
    </row>
    <row r="342" spans="1:6" ht="36" customHeight="1">
      <c r="A342">
        <f>IF(F342="","",330)</f>
        <v>330</v>
      </c>
      <c r="B342" s="6" t="str">
        <f>IF($F342="","",INDEX('Каталог поиска'!$B$2:$B$998,$F342))</f>
        <v>Spare 82</v>
      </c>
      <c r="C342" s="6" t="str">
        <f>IF($F342="","",INDEX('Каталог поиска'!$C$2:$C$998,$F342))</f>
        <v>LR</v>
      </c>
      <c r="D342" s="7">
        <f>IF(OR($F342="",E342=0,INDEX('Каталог поиска'!$D$2:$D$998,$F342)=0),"",IFERROR(INDEX('По размерам'!$A$2:$TY$86,MATCH($D$5,'По размерам'!$A$2:$A$86,0),INDEX('Каталог поиска'!$D$2:$D$998,$F342)),""))</f>
        <v/>
      </c>
      <c r="E342">
        <f>IF(OR($F342="",INDEX('Каталог поиска'!$D$2:$D$998,$F342)=0),"",IFERROR(INDEX('Количество значений'!$A$2:$TY$86,MATCH($D$5,'Количество значений'!$A$2:$A$86,0),INDEX('Каталог поиска'!$D$2:$D$998,$F342)),""))</f>
        <v/>
      </c>
      <c r="F342">
        <f>IFERROR(MATCH(330,'Каталог поиска'!$F$2:$F$998,0),"")</f>
        <v>330</v>
      </c>
    </row>
    <row r="343" spans="1:6" ht="36" customHeight="1">
      <c r="A343">
        <f>IF(F343="","",331)</f>
        <v>331</v>
      </c>
      <c r="B343" s="6" t="str">
        <f>IF($F343="","",INDEX('Каталог поиска'!$B$2:$B$998,$F343))</f>
        <v>Spare 83</v>
      </c>
      <c r="C343" s="6" t="str">
        <f>IF($F343="","",INDEX('Каталог поиска'!$C$2:$C$998,$F343))</f>
        <v>LS</v>
      </c>
      <c r="D343" s="7">
        <f>IF(OR($F343="",E343=0,INDEX('Каталог поиска'!$D$2:$D$998,$F343)=0),"",IFERROR(INDEX('По размерам'!$A$2:$TY$86,MATCH($D$5,'По размерам'!$A$2:$A$86,0),INDEX('Каталог поиска'!$D$2:$D$998,$F343)),""))</f>
        <v/>
      </c>
      <c r="E343">
        <f>IF(OR($F343="",INDEX('Каталог поиска'!$D$2:$D$998,$F343)=0),"",IFERROR(INDEX('Количество значений'!$A$2:$TY$86,MATCH($D$5,'Количество значений'!$A$2:$A$86,0),INDEX('Каталог поиска'!$D$2:$D$998,$F343)),""))</f>
        <v/>
      </c>
      <c r="F343">
        <f>IFERROR(MATCH(331,'Каталог поиска'!$F$2:$F$998,0),"")</f>
        <v>331</v>
      </c>
    </row>
    <row r="344" spans="1:6" ht="36" customHeight="1">
      <c r="A344">
        <f>IF(F344="","",332)</f>
        <v>332</v>
      </c>
      <c r="B344" s="6" t="str">
        <f>IF($F344="","",INDEX('Каталог поиска'!$B$2:$B$998,$F344))</f>
        <v>Spare 84</v>
      </c>
      <c r="C344" s="6" t="str">
        <f>IF($F344="","",INDEX('Каталог поиска'!$C$2:$C$998,$F344))</f>
        <v>LT</v>
      </c>
      <c r="D344" s="7">
        <f>IF(OR($F344="",E344=0,INDEX('Каталог поиска'!$D$2:$D$998,$F344)=0),"",IFERROR(INDEX('По размерам'!$A$2:$TY$86,MATCH($D$5,'По размерам'!$A$2:$A$86,0),INDEX('Каталог поиска'!$D$2:$D$998,$F344)),""))</f>
        <v/>
      </c>
      <c r="E344">
        <f>IF(OR($F344="",INDEX('Каталог поиска'!$D$2:$D$998,$F344)=0),"",IFERROR(INDEX('Количество значений'!$A$2:$TY$86,MATCH($D$5,'Количество значений'!$A$2:$A$86,0),INDEX('Каталог поиска'!$D$2:$D$998,$F344)),""))</f>
        <v/>
      </c>
      <c r="F344">
        <f>IFERROR(MATCH(332,'Каталог поиска'!$F$2:$F$998,0),"")</f>
        <v>332</v>
      </c>
    </row>
    <row r="345" spans="1:6" ht="36" customHeight="1">
      <c r="A345">
        <f>IF(F345="","",333)</f>
        <v>333</v>
      </c>
      <c r="B345" s="6" t="str">
        <f>IF($F345="","",INDEX('Каталог поиска'!$B$2:$B$998,$F345))</f>
        <v>Spare 85</v>
      </c>
      <c r="C345" s="6" t="str">
        <f>IF($F345="","",INDEX('Каталог поиска'!$C$2:$C$998,$F345))</f>
        <v>LU</v>
      </c>
      <c r="D345" s="7">
        <f>IF(OR($F345="",E345=0,INDEX('Каталог поиска'!$D$2:$D$998,$F345)=0),"",IFERROR(INDEX('По размерам'!$A$2:$TY$86,MATCH($D$5,'По размерам'!$A$2:$A$86,0),INDEX('Каталог поиска'!$D$2:$D$998,$F345)),""))</f>
        <v/>
      </c>
      <c r="E345">
        <f>IF(OR($F345="",INDEX('Каталог поиска'!$D$2:$D$998,$F345)=0),"",IFERROR(INDEX('Количество значений'!$A$2:$TY$86,MATCH($D$5,'Количество значений'!$A$2:$A$86,0),INDEX('Каталог поиска'!$D$2:$D$998,$F345)),""))</f>
        <v/>
      </c>
      <c r="F345">
        <f>IFERROR(MATCH(333,'Каталог поиска'!$F$2:$F$998,0),"")</f>
        <v>333</v>
      </c>
    </row>
    <row r="346" spans="1:6" ht="36" customHeight="1">
      <c r="A346">
        <f>IF(F346="","",334)</f>
        <v>334</v>
      </c>
      <c r="B346" s="6" t="str">
        <f>IF($F346="","",INDEX('Каталог поиска'!$B$2:$B$998,$F346))</f>
        <v>I/L Press Balance Offset (degree)</v>
      </c>
      <c r="C346" s="6" t="str">
        <f>IF($F346="","",INDEX('Каталог поиска'!$C$2:$C$998,$F346))</f>
        <v>LV</v>
      </c>
      <c r="D346" s="7">
        <f>IF(OR($F346="",E346=0,INDEX('Каталог поиска'!$D$2:$D$998,$F346)=0),"",IFERROR(INDEX('По размерам'!$A$2:$TY$86,MATCH($D$5,'По размерам'!$A$2:$A$86,0),INDEX('Каталог поиска'!$D$2:$D$998,$F346)),""))</f>
        <v/>
      </c>
      <c r="E346">
        <f>IF(OR($F346="",INDEX('Каталог поиска'!$D$2:$D$998,$F346)=0),"",IFERROR(INDEX('Количество значений'!$A$2:$TY$86,MATCH($D$5,'Количество значений'!$A$2:$A$86,0),INDEX('Каталог поиска'!$D$2:$D$998,$F346)),""))</f>
        <v>0</v>
      </c>
      <c r="F346">
        <f>IFERROR(MATCH(334,'Каталог поиска'!$F$2:$F$998,0),"")</f>
        <v>334</v>
      </c>
    </row>
    <row r="347" spans="1:6" ht="36" customHeight="1">
      <c r="A347">
        <f>IF(F347="","",335)</f>
        <v>335</v>
      </c>
      <c r="B347" s="6" t="str">
        <f>IF($F347="","",INDEX('Каталог поиска'!$B$2:$B$998,$F347))</f>
        <v>I/L Press Applyer CV Pushing Range (mm, 0.1mm)</v>
      </c>
      <c r="C347" s="6" t="str">
        <f>IF($F347="","",INDEX('Каталог поиска'!$C$2:$C$998,$F347))</f>
        <v>LW</v>
      </c>
      <c r="D347" s="7">
        <f>IF(OR($F347="",E347=0,INDEX('Каталог поиска'!$D$2:$D$998,$F347)=0),"",IFERROR(INDEX('По размерам'!$A$2:$TY$86,MATCH($D$5,'По размерам'!$A$2:$A$86,0),INDEX('Каталог поиска'!$D$2:$D$998,$F347)),""))</f>
        <v/>
      </c>
      <c r="E347">
        <f>IF(OR($F347="",INDEX('Каталог поиска'!$D$2:$D$998,$F347)=0),"",IFERROR(INDEX('Количество значений'!$A$2:$TY$86,MATCH($D$5,'Количество значений'!$A$2:$A$86,0),INDEX('Каталог поиска'!$D$2:$D$998,$F347)),""))</f>
        <v>0</v>
      </c>
      <c r="F347">
        <f>IFERROR(MATCH(335,'Каталог поиска'!$F$2:$F$998,0),"")</f>
        <v>335</v>
      </c>
    </row>
    <row r="348" spans="1:6" ht="36" customHeight="1">
      <c r="A348">
        <f>IF(F348="","",336)</f>
        <v>336</v>
      </c>
      <c r="B348" s="6" t="str">
        <f>IF($F348="","",INDEX('Каталог поиска'!$B$2:$B$998,$F348))</f>
        <v>R1092 USR Middle Stop Position (mm)</v>
      </c>
      <c r="C348" s="6" t="str">
        <f>IF($F348="","",INDEX('Каталог поиска'!$C$2:$C$998,$F348))</f>
        <v>LX</v>
      </c>
      <c r="D348" s="7">
        <f>IF(OR($F348="",E348=0,INDEX('Каталог поиска'!$D$2:$D$998,$F348)=0),"",IFERROR(INDEX('По размерам'!$A$2:$TY$86,MATCH($D$5,'По размерам'!$A$2:$A$86,0),INDEX('Каталог поиска'!$D$2:$D$998,$F348)),""))</f>
        <v>306.6666666666667</v>
      </c>
      <c r="E348">
        <f>IF(OR($F348="",INDEX('Каталог поиска'!$D$2:$D$998,$F348)=0),"",IFERROR(INDEX('Количество значений'!$A$2:$TY$86,MATCH($D$5,'Количество значений'!$A$2:$A$86,0),INDEX('Каталог поиска'!$D$2:$D$998,$F348)),""))</f>
        <v>3</v>
      </c>
      <c r="F348">
        <f>IFERROR(MATCH(336,'Каталог поиска'!$F$2:$F$998,0),"")</f>
        <v>336</v>
      </c>
    </row>
    <row r="349" spans="1:6" ht="36" customHeight="1">
      <c r="A349">
        <f>IF(F349="","",337)</f>
        <v>337</v>
      </c>
      <c r="B349" s="6" t="str">
        <f>IF($F349="","",INDEX('Каталог поиска'!$B$2:$B$998,$F349))</f>
        <v>R1093 USR Middle Stop Time (sec.)</v>
      </c>
      <c r="C349" s="6" t="str">
        <f>IF($F349="","",INDEX('Каталог поиска'!$C$2:$C$998,$F349))</f>
        <v>LY</v>
      </c>
      <c r="D349" s="7">
        <f>IF(OR($F349="",E349=0,INDEX('Каталог поиска'!$D$2:$D$998,$F349)=0),"",IFERROR(INDEX('По размерам'!$A$2:$TY$86,MATCH($D$5,'По размерам'!$A$2:$A$86,0),INDEX('Каталог поиска'!$D$2:$D$998,$F349)),""))</f>
        <v>2.0</v>
      </c>
      <c r="E349">
        <f>IF(OR($F349="",INDEX('Каталог поиска'!$D$2:$D$998,$F349)=0),"",IFERROR(INDEX('Количество значений'!$A$2:$TY$86,MATCH($D$5,'Количество значений'!$A$2:$A$86,0),INDEX('Каталог поиска'!$D$2:$D$998,$F349)),""))</f>
        <v>2</v>
      </c>
      <c r="F349">
        <f>IFERROR(MATCH(337,'Каталог поиска'!$F$2:$F$998,0),"")</f>
        <v>337</v>
      </c>
    </row>
    <row r="350" spans="1:6" ht="36" customHeight="1">
      <c r="A350">
        <f>IF(F350="","",338)</f>
        <v>338</v>
      </c>
      <c r="B350" s="6" t="str">
        <f>IF($F350="","",INDEX('Каталог поиска'!$B$2:$B$998,$F350))</f>
        <v>R1094 USR Speed change position (mm)</v>
      </c>
      <c r="C350" s="6" t="str">
        <f>IF($F350="","",INDEX('Каталог поиска'!$C$2:$C$998,$F350))</f>
        <v>LZ</v>
      </c>
      <c r="D350" s="7">
        <f>IF(OR($F350="",E350=0,INDEX('Каталог поиска'!$D$2:$D$998,$F350)=0),"",IFERROR(INDEX('По размерам'!$A$2:$TY$86,MATCH($D$5,'По размерам'!$A$2:$A$86,0),INDEX('Каталог поиска'!$D$2:$D$998,$F350)),""))</f>
        <v>250</v>
      </c>
      <c r="E350">
        <f>IF(OR($F350="",INDEX('Каталог поиска'!$D$2:$D$998,$F350)=0),"",IFERROR(INDEX('Количество значений'!$A$2:$TY$86,MATCH($D$5,'Количество значений'!$A$2:$A$86,0),INDEX('Каталог поиска'!$D$2:$D$998,$F350)),""))</f>
        <v>1</v>
      </c>
      <c r="F350">
        <f>IFERROR(MATCH(338,'Каталог поиска'!$F$2:$F$998,0),"")</f>
        <v>338</v>
      </c>
    </row>
    <row r="351" spans="1:6" ht="36" customHeight="1">
      <c r="A351">
        <f>IF(F351="","",339)</f>
        <v>339</v>
      </c>
      <c r="B351" s="6" t="str">
        <f>IF($F351="","",INDEX('Каталог поиска'!$B$2:$B$998,$F351))</f>
        <v>Spare 91</v>
      </c>
      <c r="C351" s="6" t="str">
        <f>IF($F351="","",INDEX('Каталог поиска'!$C$2:$C$998,$F351))</f>
        <v>MA</v>
      </c>
      <c r="D351" s="7">
        <f>IF(OR($F351="",E351=0,INDEX('Каталог поиска'!$D$2:$D$998,$F351)=0),"",IFERROR(INDEX('По размерам'!$A$2:$TY$86,MATCH($D$5,'По размерам'!$A$2:$A$86,0),INDEX('Каталог поиска'!$D$2:$D$998,$F351)),""))</f>
        <v/>
      </c>
      <c r="E351">
        <f>IF(OR($F351="",INDEX('Каталог поиска'!$D$2:$D$998,$F351)=0),"",IFERROR(INDEX('Количество значений'!$A$2:$TY$86,MATCH($D$5,'Количество значений'!$A$2:$A$86,0),INDEX('Каталог поиска'!$D$2:$D$998,$F351)),""))</f>
        <v/>
      </c>
      <c r="F351">
        <f>IFERROR(MATCH(339,'Каталог поиска'!$F$2:$F$998,0),"")</f>
        <v>339</v>
      </c>
    </row>
    <row r="352" spans="1:6" ht="36" customHeight="1">
      <c r="A352">
        <f>IF(F352="","",340)</f>
        <v>340</v>
      </c>
      <c r="B352" s="6" t="str">
        <f>IF($F352="","",INDEX('Каталог поиска'!$B$2:$B$998,$F352))</f>
        <v>Spare 92</v>
      </c>
      <c r="C352" s="6" t="str">
        <f>IF($F352="","",INDEX('Каталог поиска'!$C$2:$C$998,$F352))</f>
        <v>MB</v>
      </c>
      <c r="D352" s="7">
        <f>IF(OR($F352="",E352=0,INDEX('Каталог поиска'!$D$2:$D$998,$F352)=0),"",IFERROR(INDEX('По размерам'!$A$2:$TY$86,MATCH($D$5,'По размерам'!$A$2:$A$86,0),INDEX('Каталог поиска'!$D$2:$D$998,$F352)),""))</f>
        <v/>
      </c>
      <c r="E352">
        <f>IF(OR($F352="",INDEX('Каталог поиска'!$D$2:$D$998,$F352)=0),"",IFERROR(INDEX('Количество значений'!$A$2:$TY$86,MATCH($D$5,'Количество значений'!$A$2:$A$86,0),INDEX('Каталог поиска'!$D$2:$D$998,$F352)),""))</f>
        <v/>
      </c>
      <c r="F352">
        <f>IFERROR(MATCH(340,'Каталог поиска'!$F$2:$F$998,0),"")</f>
        <v>340</v>
      </c>
    </row>
    <row r="353" spans="1:6" ht="36" customHeight="1">
      <c r="A353">
        <f>IF(F353="","",341)</f>
        <v>341</v>
      </c>
      <c r="B353" s="6" t="str">
        <f>IF($F353="","",INDEX('Каталог поиска'!$B$2:$B$998,$F353))</f>
        <v>Spare 93</v>
      </c>
      <c r="C353" s="6" t="str">
        <f>IF($F353="","",INDEX('Каталог поиска'!$C$2:$C$998,$F353))</f>
        <v>MC</v>
      </c>
      <c r="D353" s="7">
        <f>IF(OR($F353="",E353=0,INDEX('Каталог поиска'!$D$2:$D$998,$F353)=0),"",IFERROR(INDEX('По размерам'!$A$2:$TY$86,MATCH($D$5,'По размерам'!$A$2:$A$86,0),INDEX('Каталог поиска'!$D$2:$D$998,$F353)),""))</f>
        <v/>
      </c>
      <c r="E353">
        <f>IF(OR($F353="",INDEX('Каталог поиска'!$D$2:$D$998,$F353)=0),"",IFERROR(INDEX('Количество значений'!$A$2:$TY$86,MATCH($D$5,'Количество значений'!$A$2:$A$86,0),INDEX('Каталог поиска'!$D$2:$D$998,$F353)),""))</f>
        <v/>
      </c>
      <c r="F353">
        <f>IFERROR(MATCH(341,'Каталог поиска'!$F$2:$F$998,0),"")</f>
        <v>341</v>
      </c>
    </row>
    <row r="354" spans="1:6" ht="36" customHeight="1">
      <c r="A354">
        <f>IF(F354="","",342)</f>
        <v>342</v>
      </c>
      <c r="B354" s="6" t="str">
        <f>IF($F354="","",INDEX('Каталог поиска'!$B$2:$B$998,$F354))</f>
        <v>Spare 94</v>
      </c>
      <c r="C354" s="6" t="str">
        <f>IF($F354="","",INDEX('Каталог поиска'!$C$2:$C$998,$F354))</f>
        <v>MD</v>
      </c>
      <c r="D354" s="7">
        <f>IF(OR($F354="",E354=0,INDEX('Каталог поиска'!$D$2:$D$998,$F354)=0),"",IFERROR(INDEX('По размерам'!$A$2:$TY$86,MATCH($D$5,'По размерам'!$A$2:$A$86,0),INDEX('Каталог поиска'!$D$2:$D$998,$F354)),""))</f>
        <v/>
      </c>
      <c r="E354">
        <f>IF(OR($F354="",INDEX('Каталог поиска'!$D$2:$D$998,$F354)=0),"",IFERROR(INDEX('Количество значений'!$A$2:$TY$86,MATCH($D$5,'Количество значений'!$A$2:$A$86,0),INDEX('Каталог поиска'!$D$2:$D$998,$F354)),""))</f>
        <v/>
      </c>
      <c r="F354">
        <f>IFERROR(MATCH(342,'Каталог поиска'!$F$2:$F$998,0),"")</f>
        <v>342</v>
      </c>
    </row>
    <row r="355" spans="1:6" ht="36" customHeight="1">
      <c r="A355">
        <f>IF(F355="","",343)</f>
        <v>343</v>
      </c>
      <c r="B355" s="6" t="str">
        <f>IF($F355="","",INDEX('Каталог поиска'!$B$2:$B$998,$F355))</f>
        <v>Spare 95</v>
      </c>
      <c r="C355" s="6" t="str">
        <f>IF($F355="","",INDEX('Каталог поиска'!$C$2:$C$998,$F355))</f>
        <v>ME</v>
      </c>
      <c r="D355" s="7">
        <f>IF(OR($F355="",E355=0,INDEX('Каталог поиска'!$D$2:$D$998,$F355)=0),"",IFERROR(INDEX('По размерам'!$A$2:$TY$86,MATCH($D$5,'По размерам'!$A$2:$A$86,0),INDEX('Каталог поиска'!$D$2:$D$998,$F355)),""))</f>
        <v/>
      </c>
      <c r="E355">
        <f>IF(OR($F355="",INDEX('Каталог поиска'!$D$2:$D$998,$F355)=0),"",IFERROR(INDEX('Количество значений'!$A$2:$TY$86,MATCH($D$5,'Количество значений'!$A$2:$A$86,0),INDEX('Каталог поиска'!$D$2:$D$998,$F355)),""))</f>
        <v/>
      </c>
      <c r="F355">
        <f>IFERROR(MATCH(343,'Каталог поиска'!$F$2:$F$998,0),"")</f>
        <v>343</v>
      </c>
    </row>
    <row r="356" spans="1:6" ht="36" customHeight="1">
      <c r="A356">
        <f>IF(F356="","",344)</f>
        <v>344</v>
      </c>
      <c r="B356" s="6" t="str">
        <f>IF($F356="","",INDEX('Каталог поиска'!$B$2:$B$998,$F356))</f>
        <v>Spare 96</v>
      </c>
      <c r="C356" s="6" t="str">
        <f>IF($F356="","",INDEX('Каталог поиска'!$C$2:$C$998,$F356))</f>
        <v>MF</v>
      </c>
      <c r="D356" s="7">
        <f>IF(OR($F356="",E356=0,INDEX('Каталог поиска'!$D$2:$D$998,$F356)=0),"",IFERROR(INDEX('По размерам'!$A$2:$TY$86,MATCH($D$5,'По размерам'!$A$2:$A$86,0),INDEX('Каталог поиска'!$D$2:$D$998,$F356)),""))</f>
        <v/>
      </c>
      <c r="E356">
        <f>IF(OR($F356="",INDEX('Каталог поиска'!$D$2:$D$998,$F356)=0),"",IFERROR(INDEX('Количество значений'!$A$2:$TY$86,MATCH($D$5,'Количество значений'!$A$2:$A$86,0),INDEX('Каталог поиска'!$D$2:$D$998,$F356)),""))</f>
        <v/>
      </c>
      <c r="F356">
        <f>IFERROR(MATCH(344,'Каталог поиска'!$F$2:$F$998,0),"")</f>
        <v>344</v>
      </c>
    </row>
    <row r="357" spans="1:6" ht="36" customHeight="1">
      <c r="A357">
        <f>IF(F357="","",345)</f>
        <v>345</v>
      </c>
      <c r="B357" s="6" t="str">
        <f>IF($F357="","",INDEX('Каталог поиска'!$B$2:$B$998,$F357))</f>
        <v>Spare 97</v>
      </c>
      <c r="C357" s="6" t="str">
        <f>IF($F357="","",INDEX('Каталог поиска'!$C$2:$C$998,$F357))</f>
        <v>MG</v>
      </c>
      <c r="D357" s="7">
        <f>IF(OR($F357="",E357=0,INDEX('Каталог поиска'!$D$2:$D$998,$F357)=0),"",IFERROR(INDEX('По размерам'!$A$2:$TY$86,MATCH($D$5,'По размерам'!$A$2:$A$86,0),INDEX('Каталог поиска'!$D$2:$D$998,$F357)),""))</f>
        <v/>
      </c>
      <c r="E357">
        <f>IF(OR($F357="",INDEX('Каталог поиска'!$D$2:$D$998,$F357)=0),"",IFERROR(INDEX('Количество значений'!$A$2:$TY$86,MATCH($D$5,'Количество значений'!$A$2:$A$86,0),INDEX('Каталог поиска'!$D$2:$D$998,$F357)),""))</f>
        <v/>
      </c>
      <c r="F357">
        <f>IFERROR(MATCH(345,'Каталог поиска'!$F$2:$F$998,0),"")</f>
        <v>345</v>
      </c>
    </row>
    <row r="358" spans="1:6" ht="36" customHeight="1">
      <c r="A358">
        <f>IF(F358="","",346)</f>
        <v>346</v>
      </c>
      <c r="B358" s="6" t="str">
        <f>IF($F358="","",INDEX('Каталог поиска'!$B$2:$B$998,$F358))</f>
        <v>Spare 98</v>
      </c>
      <c r="C358" s="6" t="str">
        <f>IF($F358="","",INDEX('Каталог поиска'!$C$2:$C$998,$F358))</f>
        <v>MH</v>
      </c>
      <c r="D358" s="7">
        <f>IF(OR($F358="",E358=0,INDEX('Каталог поиска'!$D$2:$D$998,$F358)=0),"",IFERROR(INDEX('По размерам'!$A$2:$TY$86,MATCH($D$5,'По размерам'!$A$2:$A$86,0),INDEX('Каталог поиска'!$D$2:$D$998,$F358)),""))</f>
        <v/>
      </c>
      <c r="E358">
        <f>IF(OR($F358="",INDEX('Каталог поиска'!$D$2:$D$998,$F358)=0),"",IFERROR(INDEX('Количество значений'!$A$2:$TY$86,MATCH($D$5,'Количество значений'!$A$2:$A$86,0),INDEX('Каталог поиска'!$D$2:$D$998,$F358)),""))</f>
        <v/>
      </c>
      <c r="F358">
        <f>IFERROR(MATCH(346,'Каталог поиска'!$F$2:$F$998,0),"")</f>
        <v>346</v>
      </c>
    </row>
    <row r="359" spans="1:6" ht="36" customHeight="1">
      <c r="A359">
        <f>IF(F359="","",347)</f>
        <v>347</v>
      </c>
      <c r="B359" s="6" t="str">
        <f>IF($F359="","",INDEX('Каталог поиска'!$B$2:$B$998,$F359))</f>
        <v>Spare 99</v>
      </c>
      <c r="C359" s="6" t="str">
        <f>IF($F359="","",INDEX('Каталог поиска'!$C$2:$C$998,$F359))</f>
        <v>MI</v>
      </c>
      <c r="D359" s="7">
        <f>IF(OR($F359="",E359=0,INDEX('Каталог поиска'!$D$2:$D$998,$F359)=0),"",IFERROR(INDEX('По размерам'!$A$2:$TY$86,MATCH($D$5,'По размерам'!$A$2:$A$86,0),INDEX('Каталог поиска'!$D$2:$D$998,$F359)),""))</f>
        <v/>
      </c>
      <c r="E359">
        <f>IF(OR($F359="",INDEX('Каталог поиска'!$D$2:$D$998,$F359)=0),"",IFERROR(INDEX('Количество значений'!$A$2:$TY$86,MATCH($D$5,'Количество значений'!$A$2:$A$86,0),INDEX('Каталог поиска'!$D$2:$D$998,$F359)),""))</f>
        <v/>
      </c>
      <c r="F359">
        <f>IFERROR(MATCH(347,'Каталог поиска'!$F$2:$F$998,0),"")</f>
        <v>347</v>
      </c>
    </row>
    <row r="360" spans="1:6" ht="36" customHeight="1">
      <c r="A360">
        <f>IF(F360="","",348)</f>
        <v>348</v>
      </c>
      <c r="B360" s="6" t="str">
        <f>IF($F360="","",INDEX('Каталог поиска'!$B$2:$B$998,$F360))</f>
        <v>Spare 100</v>
      </c>
      <c r="C360" s="6" t="str">
        <f>IF($F360="","",INDEX('Каталог поиска'!$C$2:$C$998,$F360))</f>
        <v>MJ</v>
      </c>
      <c r="D360" s="7">
        <f>IF(OR($F360="",E360=0,INDEX('Каталог поиска'!$D$2:$D$998,$F360)=0),"",IFERROR(INDEX('По размерам'!$A$2:$TY$86,MATCH($D$5,'По размерам'!$A$2:$A$86,0),INDEX('Каталог поиска'!$D$2:$D$998,$F360)),""))</f>
        <v/>
      </c>
      <c r="E360">
        <f>IF(OR($F360="",INDEX('Каталог поиска'!$D$2:$D$998,$F360)=0),"",IFERROR(INDEX('Количество значений'!$A$2:$TY$86,MATCH($D$5,'Количество значений'!$A$2:$A$86,0),INDEX('Каталог поиска'!$D$2:$D$998,$F360)),""))</f>
        <v/>
      </c>
      <c r="F360">
        <f>IFERROR(MATCH(348,'Каталог поиска'!$F$2:$F$998,0),"")</f>
        <v>348</v>
      </c>
    </row>
    <row r="361" spans="1:6" ht="36" customHeight="1">
      <c r="A361">
        <f>IF(F361="","",349)</f>
        <v>349</v>
      </c>
      <c r="B361" s="6" t="str">
        <f>IF($F361="","",INDEX('Каталог поиска'!$B$2:$B$998,$F361))</f>
        <v>Spare 101</v>
      </c>
      <c r="C361" s="6" t="str">
        <f>IF($F361="","",INDEX('Каталог поиска'!$C$2:$C$998,$F361))</f>
        <v>MK</v>
      </c>
      <c r="D361" s="7">
        <f>IF(OR($F361="",E361=0,INDEX('Каталог поиска'!$D$2:$D$998,$F361)=0),"",IFERROR(INDEX('По размерам'!$A$2:$TY$86,MATCH($D$5,'По размерам'!$A$2:$A$86,0),INDEX('Каталог поиска'!$D$2:$D$998,$F361)),""))</f>
        <v/>
      </c>
      <c r="E361">
        <f>IF(OR($F361="",INDEX('Каталог поиска'!$D$2:$D$998,$F361)=0),"",IFERROR(INDEX('Количество значений'!$A$2:$TY$86,MATCH($D$5,'Количество значений'!$A$2:$A$86,0),INDEX('Каталог поиска'!$D$2:$D$998,$F361)),""))</f>
        <v/>
      </c>
      <c r="F361">
        <f>IFERROR(MATCH(349,'Каталог поиска'!$F$2:$F$998,0),"")</f>
        <v>349</v>
      </c>
    </row>
    <row r="362" spans="1:6" ht="36" customHeight="1">
      <c r="A362">
        <f>IF(F362="","",350)</f>
        <v>350</v>
      </c>
      <c r="B362" s="6" t="str">
        <f>IF($F362="","",INDEX('Каталог поиска'!$B$2:$B$998,$F362))</f>
        <v>Spare 102</v>
      </c>
      <c r="C362" s="6" t="str">
        <f>IF($F362="","",INDEX('Каталог поиска'!$C$2:$C$998,$F362))</f>
        <v>ML</v>
      </c>
      <c r="D362" s="7">
        <f>IF(OR($F362="",E362=0,INDEX('Каталог поиска'!$D$2:$D$998,$F362)=0),"",IFERROR(INDEX('По размерам'!$A$2:$TY$86,MATCH($D$5,'По размерам'!$A$2:$A$86,0),INDEX('Каталог поиска'!$D$2:$D$998,$F362)),""))</f>
        <v/>
      </c>
      <c r="E362">
        <f>IF(OR($F362="",INDEX('Каталог поиска'!$D$2:$D$998,$F362)=0),"",IFERROR(INDEX('Количество значений'!$A$2:$TY$86,MATCH($D$5,'Количество значений'!$A$2:$A$86,0),INDEX('Каталог поиска'!$D$2:$D$998,$F362)),""))</f>
        <v/>
      </c>
      <c r="F362">
        <f>IFERROR(MATCH(350,'Каталог поиска'!$F$2:$F$998,0),"")</f>
        <v>350</v>
      </c>
    </row>
    <row r="363" spans="1:6" ht="36" customHeight="1">
      <c r="A363">
        <f>IF(F363="","",351)</f>
        <v>351</v>
      </c>
      <c r="B363" s="6" t="str">
        <f>IF($F363="","",INDEX('Каталог поиска'!$B$2:$B$998,$F363))</f>
        <v>Spare 103</v>
      </c>
      <c r="C363" s="6" t="str">
        <f>IF($F363="","",INDEX('Каталог поиска'!$C$2:$C$998,$F363))</f>
        <v>MM</v>
      </c>
      <c r="D363" s="7">
        <f>IF(OR($F363="",E363=0,INDEX('Каталог поиска'!$D$2:$D$998,$F363)=0),"",IFERROR(INDEX('По размерам'!$A$2:$TY$86,MATCH($D$5,'По размерам'!$A$2:$A$86,0),INDEX('Каталог поиска'!$D$2:$D$998,$F363)),""))</f>
        <v/>
      </c>
      <c r="E363">
        <f>IF(OR($F363="",INDEX('Каталог поиска'!$D$2:$D$998,$F363)=0),"",IFERROR(INDEX('Количество значений'!$A$2:$TY$86,MATCH($D$5,'Количество значений'!$A$2:$A$86,0),INDEX('Каталог поиска'!$D$2:$D$998,$F363)),""))</f>
        <v/>
      </c>
      <c r="F363">
        <f>IFERROR(MATCH(351,'Каталог поиска'!$F$2:$F$998,0),"")</f>
        <v>351</v>
      </c>
    </row>
    <row r="364" spans="1:6" ht="36" customHeight="1">
      <c r="A364">
        <f>IF(F364="","",352)</f>
        <v>352</v>
      </c>
      <c r="B364" s="6" t="str">
        <f>IF($F364="","",INDEX('Каталог поиска'!$B$2:$B$998,$F364))</f>
        <v>Spare 104</v>
      </c>
      <c r="C364" s="6" t="str">
        <f>IF($F364="","",INDEX('Каталог поиска'!$C$2:$C$998,$F364))</f>
        <v>MN</v>
      </c>
      <c r="D364" s="7">
        <f>IF(OR($F364="",E364=0,INDEX('Каталог поиска'!$D$2:$D$998,$F364)=0),"",IFERROR(INDEX('По размерам'!$A$2:$TY$86,MATCH($D$5,'По размерам'!$A$2:$A$86,0),INDEX('Каталог поиска'!$D$2:$D$998,$F364)),""))</f>
        <v/>
      </c>
      <c r="E364">
        <f>IF(OR($F364="",INDEX('Каталог поиска'!$D$2:$D$998,$F364)=0),"",IFERROR(INDEX('Количество значений'!$A$2:$TY$86,MATCH($D$5,'Количество значений'!$A$2:$A$86,0),INDEX('Каталог поиска'!$D$2:$D$998,$F364)),""))</f>
        <v/>
      </c>
      <c r="F364">
        <f>IFERROR(MATCH(352,'Каталог поиска'!$F$2:$F$998,0),"")</f>
        <v>352</v>
      </c>
    </row>
    <row r="365" spans="1:6" ht="36" customHeight="1">
      <c r="A365">
        <f>IF(F365="","",353)</f>
        <v>353</v>
      </c>
      <c r="B365" s="6" t="str">
        <f>IF($F365="","",INDEX('Каталог поиска'!$B$2:$B$998,$F365))</f>
        <v>Spare 105</v>
      </c>
      <c r="C365" s="6" t="str">
        <f>IF($F365="","",INDEX('Каталог поиска'!$C$2:$C$998,$F365))</f>
        <v>MO</v>
      </c>
      <c r="D365" s="7">
        <f>IF(OR($F365="",E365=0,INDEX('Каталог поиска'!$D$2:$D$998,$F365)=0),"",IFERROR(INDEX('По размерам'!$A$2:$TY$86,MATCH($D$5,'По размерам'!$A$2:$A$86,0),INDEX('Каталог поиска'!$D$2:$D$998,$F365)),""))</f>
        <v/>
      </c>
      <c r="E365">
        <f>IF(OR($F365="",INDEX('Каталог поиска'!$D$2:$D$998,$F365)=0),"",IFERROR(INDEX('Количество значений'!$A$2:$TY$86,MATCH($D$5,'Количество значений'!$A$2:$A$86,0),INDEX('Каталог поиска'!$D$2:$D$998,$F365)),""))</f>
        <v/>
      </c>
      <c r="F365">
        <f>IFERROR(MATCH(353,'Каталог поиска'!$F$2:$F$998,0),"")</f>
        <v>353</v>
      </c>
    </row>
    <row r="366" spans="1:6" ht="36" customHeight="1">
      <c r="A366">
        <f>IF(F366="","",354)</f>
        <v>354</v>
      </c>
      <c r="B366" s="6" t="str">
        <f>IF($F366="","",INDEX('Каталог поиска'!$B$2:$B$998,$F366))</f>
        <v>Spare 106</v>
      </c>
      <c r="C366" s="6" t="str">
        <f>IF($F366="","",INDEX('Каталог поиска'!$C$2:$C$998,$F366))</f>
        <v>MP</v>
      </c>
      <c r="D366" s="7">
        <f>IF(OR($F366="",E366=0,INDEX('Каталог поиска'!$D$2:$D$998,$F366)=0),"",IFERROR(INDEX('По размерам'!$A$2:$TY$86,MATCH($D$5,'По размерам'!$A$2:$A$86,0),INDEX('Каталог поиска'!$D$2:$D$998,$F366)),""))</f>
        <v/>
      </c>
      <c r="E366">
        <f>IF(OR($F366="",INDEX('Каталог поиска'!$D$2:$D$998,$F366)=0),"",IFERROR(INDEX('Количество значений'!$A$2:$TY$86,MATCH($D$5,'Количество значений'!$A$2:$A$86,0),INDEX('Каталог поиска'!$D$2:$D$998,$F366)),""))</f>
        <v/>
      </c>
      <c r="F366">
        <f>IFERROR(MATCH(354,'Каталог поиска'!$F$2:$F$998,0),"")</f>
        <v>354</v>
      </c>
    </row>
    <row r="367" spans="1:6" ht="36" customHeight="1">
      <c r="A367">
        <f>IF(F367="","",355)</f>
        <v>355</v>
      </c>
      <c r="B367" s="6" t="str">
        <f>IF($F367="","",INDEX('Каталог поиска'!$B$2:$B$998,$F367))</f>
        <v>Spare 107</v>
      </c>
      <c r="C367" s="6" t="str">
        <f>IF($F367="","",INDEX('Каталог поиска'!$C$2:$C$998,$F367))</f>
        <v>MQ</v>
      </c>
      <c r="D367" s="7">
        <f>IF(OR($F367="",E367=0,INDEX('Каталог поиска'!$D$2:$D$998,$F367)=0),"",IFERROR(INDEX('По размерам'!$A$2:$TY$86,MATCH($D$5,'По размерам'!$A$2:$A$86,0),INDEX('Каталог поиска'!$D$2:$D$998,$F367)),""))</f>
        <v/>
      </c>
      <c r="E367">
        <f>IF(OR($F367="",INDEX('Каталог поиска'!$D$2:$D$998,$F367)=0),"",IFERROR(INDEX('Количество значений'!$A$2:$TY$86,MATCH($D$5,'Количество значений'!$A$2:$A$86,0),INDEX('Каталог поиска'!$D$2:$D$998,$F367)),""))</f>
        <v/>
      </c>
      <c r="F367">
        <f>IFERROR(MATCH(355,'Каталог поиска'!$F$2:$F$998,0),"")</f>
        <v>355</v>
      </c>
    </row>
    <row r="368" spans="1:6" ht="36" customHeight="1">
      <c r="A368">
        <f>IF(F368="","",356)</f>
        <v>356</v>
      </c>
      <c r="B368" s="6" t="str">
        <f>IF($F368="","",INDEX('Каталог поиска'!$B$2:$B$998,$F368))</f>
        <v>Spare 108</v>
      </c>
      <c r="C368" s="6" t="str">
        <f>IF($F368="","",INDEX('Каталог поиска'!$C$2:$C$998,$F368))</f>
        <v>MR</v>
      </c>
      <c r="D368" s="7">
        <f>IF(OR($F368="",E368=0,INDEX('Каталог поиска'!$D$2:$D$998,$F368)=0),"",IFERROR(INDEX('По размерам'!$A$2:$TY$86,MATCH($D$5,'По размерам'!$A$2:$A$86,0),INDEX('Каталог поиска'!$D$2:$D$998,$F368)),""))</f>
        <v/>
      </c>
      <c r="E368">
        <f>IF(OR($F368="",INDEX('Каталог поиска'!$D$2:$D$998,$F368)=0),"",IFERROR(INDEX('Количество значений'!$A$2:$TY$86,MATCH($D$5,'Количество значений'!$A$2:$A$86,0),INDEX('Каталог поиска'!$D$2:$D$998,$F368)),""))</f>
        <v/>
      </c>
      <c r="F368">
        <f>IFERROR(MATCH(356,'Каталог поиска'!$F$2:$F$998,0),"")</f>
        <v>356</v>
      </c>
    </row>
    <row r="369" spans="1:6" ht="36" customHeight="1">
      <c r="A369">
        <f>IF(F369="","",357)</f>
        <v>357</v>
      </c>
      <c r="B369" s="6" t="str">
        <f>IF($F369="","",INDEX('Каталог поиска'!$B$2:$B$998,$F369))</f>
        <v>Spare 109</v>
      </c>
      <c r="C369" s="6" t="str">
        <f>IF($F369="","",INDEX('Каталог поиска'!$C$2:$C$998,$F369))</f>
        <v>MS</v>
      </c>
      <c r="D369" s="7">
        <f>IF(OR($F369="",E369=0,INDEX('Каталог поиска'!$D$2:$D$998,$F369)=0),"",IFERROR(INDEX('По размерам'!$A$2:$TY$86,MATCH($D$5,'По размерам'!$A$2:$A$86,0),INDEX('Каталог поиска'!$D$2:$D$998,$F369)),""))</f>
        <v/>
      </c>
      <c r="E369">
        <f>IF(OR($F369="",INDEX('Каталог поиска'!$D$2:$D$998,$F369)=0),"",IFERROR(INDEX('Количество значений'!$A$2:$TY$86,MATCH($D$5,'Количество значений'!$A$2:$A$86,0),INDEX('Каталог поиска'!$D$2:$D$998,$F369)),""))</f>
        <v/>
      </c>
      <c r="F369">
        <f>IFERROR(MATCH(357,'Каталог поиска'!$F$2:$F$998,0),"")</f>
        <v>357</v>
      </c>
    </row>
    <row r="370" spans="1:6" ht="36" customHeight="1">
      <c r="A370">
        <f>IF(F370="","",358)</f>
        <v>358</v>
      </c>
      <c r="B370" s="6" t="str">
        <f>IF($F370="","",INDEX('Каталог поиска'!$B$2:$B$998,$F370))</f>
        <v>Spare 110</v>
      </c>
      <c r="C370" s="6" t="str">
        <f>IF($F370="","",INDEX('Каталог поиска'!$C$2:$C$998,$F370))</f>
        <v>MT</v>
      </c>
      <c r="D370" s="7">
        <f>IF(OR($F370="",E370=0,INDEX('Каталог поиска'!$D$2:$D$998,$F370)=0),"",IFERROR(INDEX('По размерам'!$A$2:$TY$86,MATCH($D$5,'По размерам'!$A$2:$A$86,0),INDEX('Каталог поиска'!$D$2:$D$998,$F370)),""))</f>
        <v/>
      </c>
      <c r="E370">
        <f>IF(OR($F370="",INDEX('Каталог поиска'!$D$2:$D$998,$F370)=0),"",IFERROR(INDEX('Количество значений'!$A$2:$TY$86,MATCH($D$5,'Количество значений'!$A$2:$A$86,0),INDEX('Каталог поиска'!$D$2:$D$998,$F370)),""))</f>
        <v/>
      </c>
      <c r="F370">
        <f>IFERROR(MATCH(358,'Каталог поиска'!$F$2:$F$998,0),"")</f>
        <v>358</v>
      </c>
    </row>
    <row r="371" spans="1:6" ht="36" customHeight="1">
      <c r="A371">
        <f>IF(F371="","",359)</f>
        <v>359</v>
      </c>
      <c r="B371" s="6" t="str">
        <f>IF($F371="","",INDEX('Каталог поиска'!$B$2:$B$998,$F371))</f>
        <v>Spare 111</v>
      </c>
      <c r="C371" s="6" t="str">
        <f>IF($F371="","",INDEX('Каталог поиска'!$C$2:$C$998,$F371))</f>
        <v>MU</v>
      </c>
      <c r="D371" s="7">
        <f>IF(OR($F371="",E371=0,INDEX('Каталог поиска'!$D$2:$D$998,$F371)=0),"",IFERROR(INDEX('По размерам'!$A$2:$TY$86,MATCH($D$5,'По размерам'!$A$2:$A$86,0),INDEX('Каталог поиска'!$D$2:$D$998,$F371)),""))</f>
        <v/>
      </c>
      <c r="E371">
        <f>IF(OR($F371="",INDEX('Каталог поиска'!$D$2:$D$998,$F371)=0),"",IFERROR(INDEX('Количество значений'!$A$2:$TY$86,MATCH($D$5,'Количество значений'!$A$2:$A$86,0),INDEX('Каталог поиска'!$D$2:$D$998,$F371)),""))</f>
        <v/>
      </c>
      <c r="F371">
        <f>IFERROR(MATCH(359,'Каталог поиска'!$F$2:$F$998,0),"")</f>
        <v>359</v>
      </c>
    </row>
    <row r="372" spans="1:6" ht="36" customHeight="1">
      <c r="A372">
        <f>IF(F372="","",360)</f>
        <v>360</v>
      </c>
      <c r="B372" s="6" t="str">
        <f>IF($F372="","",INDEX('Каталог поиска'!$B$2:$B$998,$F372))</f>
        <v>Spare 112</v>
      </c>
      <c r="C372" s="6" t="str">
        <f>IF($F372="","",INDEX('Каталог поиска'!$C$2:$C$998,$F372))</f>
        <v>MV</v>
      </c>
      <c r="D372" s="7">
        <f>IF(OR($F372="",E372=0,INDEX('Каталог поиска'!$D$2:$D$998,$F372)=0),"",IFERROR(INDEX('По размерам'!$A$2:$TY$86,MATCH($D$5,'По размерам'!$A$2:$A$86,0),INDEX('Каталог поиска'!$D$2:$D$998,$F372)),""))</f>
        <v/>
      </c>
      <c r="E372">
        <f>IF(OR($F372="",INDEX('Каталог поиска'!$D$2:$D$998,$F372)=0),"",IFERROR(INDEX('Количество значений'!$A$2:$TY$86,MATCH($D$5,'Количество значений'!$A$2:$A$86,0),INDEX('Каталог поиска'!$D$2:$D$998,$F372)),""))</f>
        <v/>
      </c>
      <c r="F372">
        <f>IFERROR(MATCH(360,'Каталог поиска'!$F$2:$F$998,0),"")</f>
        <v>360</v>
      </c>
    </row>
    <row r="373" spans="1:6" ht="36" customHeight="1">
      <c r="A373">
        <f>IF(F373="","",361)</f>
        <v>361</v>
      </c>
      <c r="B373" s="6" t="str">
        <f>IF($F373="","",INDEX('Каталог поиска'!$B$2:$B$998,$F373))</f>
        <v>Spare 113</v>
      </c>
      <c r="C373" s="6" t="str">
        <f>IF($F373="","",INDEX('Каталог поиска'!$C$2:$C$998,$F373))</f>
        <v>MW</v>
      </c>
      <c r="D373" s="7">
        <f>IF(OR($F373="",E373=0,INDEX('Каталог поиска'!$D$2:$D$998,$F373)=0),"",IFERROR(INDEX('По размерам'!$A$2:$TY$86,MATCH($D$5,'По размерам'!$A$2:$A$86,0),INDEX('Каталог поиска'!$D$2:$D$998,$F373)),""))</f>
        <v/>
      </c>
      <c r="E373">
        <f>IF(OR($F373="",INDEX('Каталог поиска'!$D$2:$D$998,$F373)=0),"",IFERROR(INDEX('Количество значений'!$A$2:$TY$86,MATCH($D$5,'Количество значений'!$A$2:$A$86,0),INDEX('Каталог поиска'!$D$2:$D$998,$F373)),""))</f>
        <v/>
      </c>
      <c r="F373">
        <f>IFERROR(MATCH(361,'Каталог поиска'!$F$2:$F$998,0),"")</f>
        <v>361</v>
      </c>
    </row>
    <row r="374" spans="1:6" ht="36" customHeight="1">
      <c r="A374">
        <f>IF(F374="","",362)</f>
        <v>362</v>
      </c>
      <c r="B374" s="6" t="str">
        <f>IF($F374="","",INDEX('Каталог поиска'!$B$2:$B$998,$F374))</f>
        <v>Spare 114</v>
      </c>
      <c r="C374" s="6" t="str">
        <f>IF($F374="","",INDEX('Каталог поиска'!$C$2:$C$998,$F374))</f>
        <v>MX</v>
      </c>
      <c r="D374" s="7">
        <f>IF(OR($F374="",E374=0,INDEX('Каталог поиска'!$D$2:$D$998,$F374)=0),"",IFERROR(INDEX('По размерам'!$A$2:$TY$86,MATCH($D$5,'По размерам'!$A$2:$A$86,0),INDEX('Каталог поиска'!$D$2:$D$998,$F374)),""))</f>
        <v/>
      </c>
      <c r="E374">
        <f>IF(OR($F374="",INDEX('Каталог поиска'!$D$2:$D$998,$F374)=0),"",IFERROR(INDEX('Количество значений'!$A$2:$TY$86,MATCH($D$5,'Количество значений'!$A$2:$A$86,0),INDEX('Каталог поиска'!$D$2:$D$998,$F374)),""))</f>
        <v/>
      </c>
      <c r="F374">
        <f>IFERROR(MATCH(362,'Каталог поиска'!$F$2:$F$998,0),"")</f>
        <v>362</v>
      </c>
    </row>
    <row r="375" spans="1:6" ht="36" customHeight="1">
      <c r="A375">
        <f>IF(F375="","",363)</f>
        <v>363</v>
      </c>
      <c r="B375" s="6" t="str">
        <f>IF($F375="","",INDEX('Каталог поиска'!$B$2:$B$998,$F375))</f>
        <v>Spare 115</v>
      </c>
      <c r="C375" s="6" t="str">
        <f>IF($F375="","",INDEX('Каталог поиска'!$C$2:$C$998,$F375))</f>
        <v>MY</v>
      </c>
      <c r="D375" s="7">
        <f>IF(OR($F375="",E375=0,INDEX('Каталог поиска'!$D$2:$D$998,$F375)=0),"",IFERROR(INDEX('По размерам'!$A$2:$TY$86,MATCH($D$5,'По размерам'!$A$2:$A$86,0),INDEX('Каталог поиска'!$D$2:$D$998,$F375)),""))</f>
        <v/>
      </c>
      <c r="E375">
        <f>IF(OR($F375="",INDEX('Каталог поиска'!$D$2:$D$998,$F375)=0),"",IFERROR(INDEX('Количество значений'!$A$2:$TY$86,MATCH($D$5,'Количество значений'!$A$2:$A$86,0),INDEX('Каталог поиска'!$D$2:$D$998,$F375)),""))</f>
        <v/>
      </c>
      <c r="F375">
        <f>IFERROR(MATCH(363,'Каталог поиска'!$F$2:$F$998,0),"")</f>
        <v>363</v>
      </c>
    </row>
    <row r="376" spans="1:6" ht="36" customHeight="1">
      <c r="A376">
        <f>IF(F376="","",364)</f>
        <v>364</v>
      </c>
      <c r="B376" s="6" t="str">
        <f>IF($F376="","",INDEX('Каталог поиска'!$B$2:$B$998,$F376))</f>
        <v>Spare 116</v>
      </c>
      <c r="C376" s="6" t="str">
        <f>IF($F376="","",INDEX('Каталог поиска'!$C$2:$C$998,$F376))</f>
        <v>MZ</v>
      </c>
      <c r="D376" s="7">
        <f>IF(OR($F376="",E376=0,INDEX('Каталог поиска'!$D$2:$D$998,$F376)=0),"",IFERROR(INDEX('По размерам'!$A$2:$TY$86,MATCH($D$5,'По размерам'!$A$2:$A$86,0),INDEX('Каталог поиска'!$D$2:$D$998,$F376)),""))</f>
        <v/>
      </c>
      <c r="E376">
        <f>IF(OR($F376="",INDEX('Каталог поиска'!$D$2:$D$998,$F376)=0),"",IFERROR(INDEX('Количество значений'!$A$2:$TY$86,MATCH($D$5,'Количество значений'!$A$2:$A$86,0),INDEX('Каталог поиска'!$D$2:$D$998,$F376)),""))</f>
        <v/>
      </c>
      <c r="F376">
        <f>IFERROR(MATCH(364,'Каталог поиска'!$F$2:$F$998,0),"")</f>
        <v>364</v>
      </c>
    </row>
    <row r="377" spans="1:6" ht="36" customHeight="1">
      <c r="A377">
        <f>IF(F377="","",365)</f>
        <v>365</v>
      </c>
      <c r="B377" s="6" t="str">
        <f>IF($F377="","",INDEX('Каталог поиска'!$B$2:$B$998,$F377))</f>
        <v>Spare 117</v>
      </c>
      <c r="C377" s="6" t="str">
        <f>IF($F377="","",INDEX('Каталог поиска'!$C$2:$C$998,$F377))</f>
        <v>NA</v>
      </c>
      <c r="D377" s="7">
        <f>IF(OR($F377="",E377=0,INDEX('Каталог поиска'!$D$2:$D$998,$F377)=0),"",IFERROR(INDEX('По размерам'!$A$2:$TY$86,MATCH($D$5,'По размерам'!$A$2:$A$86,0),INDEX('Каталог поиска'!$D$2:$D$998,$F377)),""))</f>
        <v/>
      </c>
      <c r="E377">
        <f>IF(OR($F377="",INDEX('Каталог поиска'!$D$2:$D$998,$F377)=0),"",IFERROR(INDEX('Количество значений'!$A$2:$TY$86,MATCH($D$5,'Количество значений'!$A$2:$A$86,0),INDEX('Каталог поиска'!$D$2:$D$998,$F377)),""))</f>
        <v/>
      </c>
      <c r="F377">
        <f>IFERROR(MATCH(365,'Каталог поиска'!$F$2:$F$998,0),"")</f>
        <v>365</v>
      </c>
    </row>
    <row r="378" spans="1:6" ht="36" customHeight="1">
      <c r="A378">
        <f>IF(F378="","",366)</f>
        <v>366</v>
      </c>
      <c r="B378" s="6" t="str">
        <f>IF($F378="","",INDEX('Каталог поиска'!$B$2:$B$998,$F378))</f>
        <v>Spare 118</v>
      </c>
      <c r="C378" s="6" t="str">
        <f>IF($F378="","",INDEX('Каталог поиска'!$C$2:$C$998,$F378))</f>
        <v>NB</v>
      </c>
      <c r="D378" s="7">
        <f>IF(OR($F378="",E378=0,INDEX('Каталог поиска'!$D$2:$D$998,$F378)=0),"",IFERROR(INDEX('По размерам'!$A$2:$TY$86,MATCH($D$5,'По размерам'!$A$2:$A$86,0),INDEX('Каталог поиска'!$D$2:$D$998,$F378)),""))</f>
        <v/>
      </c>
      <c r="E378">
        <f>IF(OR($F378="",INDEX('Каталог поиска'!$D$2:$D$998,$F378)=0),"",IFERROR(INDEX('Количество значений'!$A$2:$TY$86,MATCH($D$5,'Количество значений'!$A$2:$A$86,0),INDEX('Каталог поиска'!$D$2:$D$998,$F378)),""))</f>
        <v/>
      </c>
      <c r="F378">
        <f>IFERROR(MATCH(366,'Каталог поиска'!$F$2:$F$998,0),"")</f>
        <v>366</v>
      </c>
    </row>
    <row r="379" spans="1:6" ht="36" customHeight="1">
      <c r="A379">
        <f>IF(F379="","",367)</f>
        <v>367</v>
      </c>
      <c r="B379" s="6" t="str">
        <f>IF($F379="","",INDEX('Каталог поиска'!$B$2:$B$998,$F379))</f>
        <v>Spare 119</v>
      </c>
      <c r="C379" s="6" t="str">
        <f>IF($F379="","",INDEX('Каталог поиска'!$C$2:$C$998,$F379))</f>
        <v>NC</v>
      </c>
      <c r="D379" s="7">
        <f>IF(OR($F379="",E379=0,INDEX('Каталог поиска'!$D$2:$D$998,$F379)=0),"",IFERROR(INDEX('По размерам'!$A$2:$TY$86,MATCH($D$5,'По размерам'!$A$2:$A$86,0),INDEX('Каталог поиска'!$D$2:$D$998,$F379)),""))</f>
        <v/>
      </c>
      <c r="E379">
        <f>IF(OR($F379="",INDEX('Каталог поиска'!$D$2:$D$998,$F379)=0),"",IFERROR(INDEX('Количество значений'!$A$2:$TY$86,MATCH($D$5,'Количество значений'!$A$2:$A$86,0),INDEX('Каталог поиска'!$D$2:$D$998,$F379)),""))</f>
        <v/>
      </c>
      <c r="F379">
        <f>IFERROR(MATCH(367,'Каталог поиска'!$F$2:$F$998,0),"")</f>
        <v>367</v>
      </c>
    </row>
    <row r="380" spans="1:6" ht="36" customHeight="1">
      <c r="A380">
        <f>IF(F380="","",368)</f>
        <v>368</v>
      </c>
      <c r="B380" s="6" t="str">
        <f>IF($F380="","",INDEX('Каталог поиска'!$B$2:$B$998,$F380))</f>
        <v>Spare 120</v>
      </c>
      <c r="C380" s="6" t="str">
        <f>IF($F380="","",INDEX('Каталог поиска'!$C$2:$C$998,$F380))</f>
        <v>ND</v>
      </c>
      <c r="D380" s="7">
        <f>IF(OR($F380="",E380=0,INDEX('Каталог поиска'!$D$2:$D$998,$F380)=0),"",IFERROR(INDEX('По размерам'!$A$2:$TY$86,MATCH($D$5,'По размерам'!$A$2:$A$86,0),INDEX('Каталог поиска'!$D$2:$D$998,$F380)),""))</f>
        <v/>
      </c>
      <c r="E380">
        <f>IF(OR($F380="",INDEX('Каталог поиска'!$D$2:$D$998,$F380)=0),"",IFERROR(INDEX('Количество значений'!$A$2:$TY$86,MATCH($D$5,'Количество значений'!$A$2:$A$86,0),INDEX('Каталог поиска'!$D$2:$D$998,$F380)),""))</f>
        <v/>
      </c>
      <c r="F380">
        <f>IFERROR(MATCH(368,'Каталог поиска'!$F$2:$F$998,0),"")</f>
        <v>368</v>
      </c>
    </row>
    <row r="381" spans="1:6" ht="36" customHeight="1">
      <c r="A381">
        <f>IF(F381="","",369)</f>
        <v>369</v>
      </c>
      <c r="B381" s="6" t="str">
        <f>IF($F381="","",INDEX('Каталог поиска'!$B$2:$B$998,$F381))</f>
        <v>Spare 121</v>
      </c>
      <c r="C381" s="6" t="str">
        <f>IF($F381="","",INDEX('Каталог поиска'!$C$2:$C$998,$F381))</f>
        <v>NE</v>
      </c>
      <c r="D381" s="7">
        <f>IF(OR($F381="",E381=0,INDEX('Каталог поиска'!$D$2:$D$998,$F381)=0),"",IFERROR(INDEX('По размерам'!$A$2:$TY$86,MATCH($D$5,'По размерам'!$A$2:$A$86,0),INDEX('Каталог поиска'!$D$2:$D$998,$F381)),""))</f>
        <v/>
      </c>
      <c r="E381">
        <f>IF(OR($F381="",INDEX('Каталог поиска'!$D$2:$D$998,$F381)=0),"",IFERROR(INDEX('Количество значений'!$A$2:$TY$86,MATCH($D$5,'Количество значений'!$A$2:$A$86,0),INDEX('Каталог поиска'!$D$2:$D$998,$F381)),""))</f>
        <v/>
      </c>
      <c r="F381">
        <f>IFERROR(MATCH(369,'Каталог поиска'!$F$2:$F$998,0),"")</f>
        <v>369</v>
      </c>
    </row>
    <row r="382" spans="1:6" ht="36" customHeight="1">
      <c r="A382">
        <f>IF(F382="","",370)</f>
        <v>370</v>
      </c>
      <c r="B382" s="6" t="str">
        <f>IF($F382="","",INDEX('Каталог поиска'!$B$2:$B$998,$F382))</f>
        <v>Spare 122</v>
      </c>
      <c r="C382" s="6" t="str">
        <f>IF($F382="","",INDEX('Каталог поиска'!$C$2:$C$998,$F382))</f>
        <v>NF</v>
      </c>
      <c r="D382" s="7">
        <f>IF(OR($F382="",E382=0,INDEX('Каталог поиска'!$D$2:$D$998,$F382)=0),"",IFERROR(INDEX('По размерам'!$A$2:$TY$86,MATCH($D$5,'По размерам'!$A$2:$A$86,0),INDEX('Каталог поиска'!$D$2:$D$998,$F382)),""))</f>
        <v/>
      </c>
      <c r="E382">
        <f>IF(OR($F382="",INDEX('Каталог поиска'!$D$2:$D$998,$F382)=0),"",IFERROR(INDEX('Количество значений'!$A$2:$TY$86,MATCH($D$5,'Количество значений'!$A$2:$A$86,0),INDEX('Каталог поиска'!$D$2:$D$998,$F382)),""))</f>
        <v/>
      </c>
      <c r="F382">
        <f>IFERROR(MATCH(370,'Каталог поиска'!$F$2:$F$998,0),"")</f>
        <v>370</v>
      </c>
    </row>
    <row r="383" spans="1:6" ht="36" customHeight="1">
      <c r="A383">
        <f>IF(F383="","",371)</f>
        <v>371</v>
      </c>
      <c r="B383" s="6" t="str">
        <f>IF($F383="","",INDEX('Каталог поиска'!$B$2:$B$998,$F383))</f>
        <v>Spare 123</v>
      </c>
      <c r="C383" s="6" t="str">
        <f>IF($F383="","",INDEX('Каталог поиска'!$C$2:$C$998,$F383))</f>
        <v>NG</v>
      </c>
      <c r="D383" s="7">
        <f>IF(OR($F383="",E383=0,INDEX('Каталог поиска'!$D$2:$D$998,$F383)=0),"",IFERROR(INDEX('По размерам'!$A$2:$TY$86,MATCH($D$5,'По размерам'!$A$2:$A$86,0),INDEX('Каталог поиска'!$D$2:$D$998,$F383)),""))</f>
        <v/>
      </c>
      <c r="E383">
        <f>IF(OR($F383="",INDEX('Каталог поиска'!$D$2:$D$998,$F383)=0),"",IFERROR(INDEX('Количество значений'!$A$2:$TY$86,MATCH($D$5,'Количество значений'!$A$2:$A$86,0),INDEX('Каталог поиска'!$D$2:$D$998,$F383)),""))</f>
        <v/>
      </c>
      <c r="F383">
        <f>IFERROR(MATCH(371,'Каталог поиска'!$F$2:$F$998,0),"")</f>
        <v>371</v>
      </c>
    </row>
    <row r="384" spans="1:6" ht="36" customHeight="1">
      <c r="A384">
        <f>IF(F384="","",372)</f>
        <v>372</v>
      </c>
      <c r="B384" s="6" t="str">
        <f>IF($F384="","",INDEX('Каталог поиска'!$B$2:$B$998,$F384))</f>
        <v>Spare 124</v>
      </c>
      <c r="C384" s="6" t="str">
        <f>IF($F384="","",INDEX('Каталог поиска'!$C$2:$C$998,$F384))</f>
        <v>NH</v>
      </c>
      <c r="D384" s="7">
        <f>IF(OR($F384="",E384=0,INDEX('Каталог поиска'!$D$2:$D$998,$F384)=0),"",IFERROR(INDEX('По размерам'!$A$2:$TY$86,MATCH($D$5,'По размерам'!$A$2:$A$86,0),INDEX('Каталог поиска'!$D$2:$D$998,$F384)),""))</f>
        <v/>
      </c>
      <c r="E384">
        <f>IF(OR($F384="",INDEX('Каталог поиска'!$D$2:$D$998,$F384)=0),"",IFERROR(INDEX('Количество значений'!$A$2:$TY$86,MATCH($D$5,'Количество значений'!$A$2:$A$86,0),INDEX('Каталог поиска'!$D$2:$D$998,$F384)),""))</f>
        <v/>
      </c>
      <c r="F384">
        <f>IFERROR(MATCH(372,'Каталог поиска'!$F$2:$F$998,0),"")</f>
        <v>372</v>
      </c>
    </row>
    <row r="385" spans="1:6" ht="36" customHeight="1">
      <c r="A385">
        <f>IF(F385="","",373)</f>
        <v>373</v>
      </c>
      <c r="B385" s="6" t="str">
        <f>IF($F385="","",INDEX('Каталог поиска'!$B$2:$B$998,$F385))</f>
        <v>Spare 125</v>
      </c>
      <c r="C385" s="6" t="str">
        <f>IF($F385="","",INDEX('Каталог поиска'!$C$2:$C$998,$F385))</f>
        <v>NI</v>
      </c>
      <c r="D385" s="7">
        <f>IF(OR($F385="",E385=0,INDEX('Каталог поиска'!$D$2:$D$998,$F385)=0),"",IFERROR(INDEX('По размерам'!$A$2:$TY$86,MATCH($D$5,'По размерам'!$A$2:$A$86,0),INDEX('Каталог поиска'!$D$2:$D$998,$F385)),""))</f>
        <v/>
      </c>
      <c r="E385">
        <f>IF(OR($F385="",INDEX('Каталог поиска'!$D$2:$D$998,$F385)=0),"",IFERROR(INDEX('Количество значений'!$A$2:$TY$86,MATCH($D$5,'Количество значений'!$A$2:$A$86,0),INDEX('Каталог поиска'!$D$2:$D$998,$F385)),""))</f>
        <v/>
      </c>
      <c r="F385">
        <f>IFERROR(MATCH(373,'Каталог поиска'!$F$2:$F$998,0),"")</f>
        <v>373</v>
      </c>
    </row>
    <row r="386" spans="1:6" ht="36" customHeight="1">
      <c r="A386">
        <f>IF(F386="","",374)</f>
        <v>374</v>
      </c>
      <c r="B386" s="6" t="str">
        <f>IF($F386="","",INDEX('Каталог поиска'!$B$2:$B$998,$F386))</f>
        <v>Spare 126</v>
      </c>
      <c r="C386" s="6" t="str">
        <f>IF($F386="","",INDEX('Каталог поиска'!$C$2:$C$998,$F386))</f>
        <v>NJ</v>
      </c>
      <c r="D386" s="7">
        <f>IF(OR($F386="",E386=0,INDEX('Каталог поиска'!$D$2:$D$998,$F386)=0),"",IFERROR(INDEX('По размерам'!$A$2:$TY$86,MATCH($D$5,'По размерам'!$A$2:$A$86,0),INDEX('Каталог поиска'!$D$2:$D$998,$F386)),""))</f>
        <v/>
      </c>
      <c r="E386">
        <f>IF(OR($F386="",INDEX('Каталог поиска'!$D$2:$D$998,$F386)=0),"",IFERROR(INDEX('Количество значений'!$A$2:$TY$86,MATCH($D$5,'Количество значений'!$A$2:$A$86,0),INDEX('Каталог поиска'!$D$2:$D$998,$F386)),""))</f>
        <v/>
      </c>
      <c r="F386">
        <f>IFERROR(MATCH(374,'Каталог поиска'!$F$2:$F$998,0),"")</f>
        <v>374</v>
      </c>
    </row>
    <row r="387" spans="1:6" ht="36" customHeight="1">
      <c r="A387">
        <f>IF(F387="","",375)</f>
        <v>375</v>
      </c>
      <c r="B387" s="6" t="str">
        <f>IF($F387="","",INDEX('Каталог поиска'!$B$2:$B$998,$F387))</f>
        <v>Spare 127</v>
      </c>
      <c r="C387" s="6" t="str">
        <f>IF($F387="","",INDEX('Каталог поиска'!$C$2:$C$998,$F387))</f>
        <v>NK</v>
      </c>
      <c r="D387" s="7">
        <f>IF(OR($F387="",E387=0,INDEX('Каталог поиска'!$D$2:$D$998,$F387)=0),"",IFERROR(INDEX('По размерам'!$A$2:$TY$86,MATCH($D$5,'По размерам'!$A$2:$A$86,0),INDEX('Каталог поиска'!$D$2:$D$998,$F387)),""))</f>
        <v/>
      </c>
      <c r="E387">
        <f>IF(OR($F387="",INDEX('Каталог поиска'!$D$2:$D$998,$F387)=0),"",IFERROR(INDEX('Количество значений'!$A$2:$TY$86,MATCH($D$5,'Количество значений'!$A$2:$A$86,0),INDEX('Каталог поиска'!$D$2:$D$998,$F387)),""))</f>
        <v/>
      </c>
      <c r="F387">
        <f>IFERROR(MATCH(375,'Каталог поиска'!$F$2:$F$998,0),"")</f>
        <v>375</v>
      </c>
    </row>
    <row r="388" spans="1:6" ht="36" customHeight="1">
      <c r="A388">
        <f>IF(F388="","",376)</f>
        <v>376</v>
      </c>
      <c r="B388" s="6" t="str">
        <f>IF($F388="","",INDEX('Каталог поиска'!$B$2:$B$998,$F388))</f>
        <v>Spare 128</v>
      </c>
      <c r="C388" s="6" t="str">
        <f>IF($F388="","",INDEX('Каталог поиска'!$C$2:$C$998,$F388))</f>
        <v>NL</v>
      </c>
      <c r="D388" s="7">
        <f>IF(OR($F388="",E388=0,INDEX('Каталог поиска'!$D$2:$D$998,$F388)=0),"",IFERROR(INDEX('По размерам'!$A$2:$TY$86,MATCH($D$5,'По размерам'!$A$2:$A$86,0),INDEX('Каталог поиска'!$D$2:$D$998,$F388)),""))</f>
        <v/>
      </c>
      <c r="E388">
        <f>IF(OR($F388="",INDEX('Каталог поиска'!$D$2:$D$998,$F388)=0),"",IFERROR(INDEX('Количество значений'!$A$2:$TY$86,MATCH($D$5,'Количество значений'!$A$2:$A$86,0),INDEX('Каталог поиска'!$D$2:$D$998,$F388)),""))</f>
        <v/>
      </c>
      <c r="F388">
        <f>IFERROR(MATCH(376,'Каталог поиска'!$F$2:$F$998,0),"")</f>
        <v>376</v>
      </c>
    </row>
    <row r="389" spans="1:6" ht="36" customHeight="1">
      <c r="A389">
        <f>IF(F389="","",377)</f>
        <v>377</v>
      </c>
      <c r="B389" s="6" t="str">
        <f>IF($F389="","",INDEX('Каталог поиска'!$B$2:$B$998,$F389))</f>
        <v>Spare 129</v>
      </c>
      <c r="C389" s="6" t="str">
        <f>IF($F389="","",INDEX('Каталог поиска'!$C$2:$C$998,$F389))</f>
        <v>NM</v>
      </c>
      <c r="D389" s="7">
        <f>IF(OR($F389="",E389=0,INDEX('Каталог поиска'!$D$2:$D$998,$F389)=0),"",IFERROR(INDEX('По размерам'!$A$2:$TY$86,MATCH($D$5,'По размерам'!$A$2:$A$86,0),INDEX('Каталог поиска'!$D$2:$D$998,$F389)),""))</f>
        <v/>
      </c>
      <c r="E389">
        <f>IF(OR($F389="",INDEX('Каталог поиска'!$D$2:$D$998,$F389)=0),"",IFERROR(INDEX('Количество значений'!$A$2:$TY$86,MATCH($D$5,'Количество значений'!$A$2:$A$86,0),INDEX('Каталог поиска'!$D$2:$D$998,$F389)),""))</f>
        <v/>
      </c>
      <c r="F389">
        <f>IFERROR(MATCH(377,'Каталог поиска'!$F$2:$F$998,0),"")</f>
        <v>377</v>
      </c>
    </row>
    <row r="390" spans="1:6" ht="36" customHeight="1">
      <c r="A390">
        <f>IF(F390="","",378)</f>
        <v>378</v>
      </c>
      <c r="B390" s="6" t="str">
        <f>IF($F390="","",INDEX('Каталог поиска'!$B$2:$B$998,$F390))</f>
        <v>Spare 130</v>
      </c>
      <c r="C390" s="6" t="str">
        <f>IF($F390="","",INDEX('Каталог поиска'!$C$2:$C$998,$F390))</f>
        <v>NN</v>
      </c>
      <c r="D390" s="7">
        <f>IF(OR($F390="",E390=0,INDEX('Каталог поиска'!$D$2:$D$998,$F390)=0),"",IFERROR(INDEX('По размерам'!$A$2:$TY$86,MATCH($D$5,'По размерам'!$A$2:$A$86,0),INDEX('Каталог поиска'!$D$2:$D$998,$F390)),""))</f>
        <v/>
      </c>
      <c r="E390">
        <f>IF(OR($F390="",INDEX('Каталог поиска'!$D$2:$D$998,$F390)=0),"",IFERROR(INDEX('Количество значений'!$A$2:$TY$86,MATCH($D$5,'Количество значений'!$A$2:$A$86,0),INDEX('Каталог поиска'!$D$2:$D$998,$F390)),""))</f>
        <v/>
      </c>
      <c r="F390">
        <f>IFERROR(MATCH(378,'Каталог поиска'!$F$2:$F$998,0),"")</f>
        <v>378</v>
      </c>
    </row>
    <row r="391" spans="1:6" ht="36" customHeight="1">
      <c r="A391">
        <f>IF(F391="","",379)</f>
        <v>379</v>
      </c>
      <c r="B391" s="6" t="str">
        <f>IF($F391="","",INDEX('Каталог поиска'!$B$2:$B$998,$F391))</f>
        <v>Spare 131</v>
      </c>
      <c r="C391" s="6" t="str">
        <f>IF($F391="","",INDEX('Каталог поиска'!$C$2:$C$998,$F391))</f>
        <v>NO</v>
      </c>
      <c r="D391" s="7">
        <f>IF(OR($F391="",E391=0,INDEX('Каталог поиска'!$D$2:$D$998,$F391)=0),"",IFERROR(INDEX('По размерам'!$A$2:$TY$86,MATCH($D$5,'По размерам'!$A$2:$A$86,0),INDEX('Каталог поиска'!$D$2:$D$998,$F391)),""))</f>
        <v/>
      </c>
      <c r="E391">
        <f>IF(OR($F391="",INDEX('Каталог поиска'!$D$2:$D$998,$F391)=0),"",IFERROR(INDEX('Количество значений'!$A$2:$TY$86,MATCH($D$5,'Количество значений'!$A$2:$A$86,0),INDEX('Каталог поиска'!$D$2:$D$998,$F391)),""))</f>
        <v/>
      </c>
      <c r="F391">
        <f>IFERROR(MATCH(379,'Каталог поиска'!$F$2:$F$998,0),"")</f>
        <v>379</v>
      </c>
    </row>
    <row r="392" spans="1:6" ht="36" customHeight="1">
      <c r="A392">
        <f>IF(F392="","",380)</f>
        <v>380</v>
      </c>
      <c r="B392" s="6" t="str">
        <f>IF($F392="","",INDEX('Каталог поиска'!$B$2:$B$998,$F392))</f>
        <v>Spare 132</v>
      </c>
      <c r="C392" s="6" t="str">
        <f>IF($F392="","",INDEX('Каталог поиска'!$C$2:$C$998,$F392))</f>
        <v>NP</v>
      </c>
      <c r="D392" s="7">
        <f>IF(OR($F392="",E392=0,INDEX('Каталог поиска'!$D$2:$D$998,$F392)=0),"",IFERROR(INDEX('По размерам'!$A$2:$TY$86,MATCH($D$5,'По размерам'!$A$2:$A$86,0),INDEX('Каталог поиска'!$D$2:$D$998,$F392)),""))</f>
        <v/>
      </c>
      <c r="E392">
        <f>IF(OR($F392="",INDEX('Каталог поиска'!$D$2:$D$998,$F392)=0),"",IFERROR(INDEX('Количество значений'!$A$2:$TY$86,MATCH($D$5,'Количество значений'!$A$2:$A$86,0),INDEX('Каталог поиска'!$D$2:$D$998,$F392)),""))</f>
        <v/>
      </c>
      <c r="F392">
        <f>IFERROR(MATCH(380,'Каталог поиска'!$F$2:$F$998,0),"")</f>
        <v>380</v>
      </c>
    </row>
    <row r="393" spans="1:6" ht="36" customHeight="1">
      <c r="A393">
        <f>IF(F393="","",381)</f>
        <v>381</v>
      </c>
      <c r="B393" s="6" t="str">
        <f>IF($F393="","",INDEX('Каталог поиска'!$B$2:$B$998,$F393))</f>
        <v>Spare 133</v>
      </c>
      <c r="C393" s="6" t="str">
        <f>IF($F393="","",INDEX('Каталог поиска'!$C$2:$C$998,$F393))</f>
        <v>NQ</v>
      </c>
      <c r="D393" s="7">
        <f>IF(OR($F393="",E393=0,INDEX('Каталог поиска'!$D$2:$D$998,$F393)=0),"",IFERROR(INDEX('По размерам'!$A$2:$TY$86,MATCH($D$5,'По размерам'!$A$2:$A$86,0),INDEX('Каталог поиска'!$D$2:$D$998,$F393)),""))</f>
        <v/>
      </c>
      <c r="E393">
        <f>IF(OR($F393="",INDEX('Каталог поиска'!$D$2:$D$998,$F393)=0),"",IFERROR(INDEX('Количество значений'!$A$2:$TY$86,MATCH($D$5,'Количество значений'!$A$2:$A$86,0),INDEX('Каталог поиска'!$D$2:$D$998,$F393)),""))</f>
        <v/>
      </c>
      <c r="F393">
        <f>IFERROR(MATCH(381,'Каталог поиска'!$F$2:$F$998,0),"")</f>
        <v>381</v>
      </c>
    </row>
    <row r="394" spans="1:6" ht="36" customHeight="1">
      <c r="A394">
        <f>IF(F394="","",382)</f>
        <v>382</v>
      </c>
      <c r="B394" s="6" t="str">
        <f>IF($F394="","",INDEX('Каталог поиска'!$B$2:$B$998,$F394))</f>
        <v>Spare 134</v>
      </c>
      <c r="C394" s="6" t="str">
        <f>IF($F394="","",INDEX('Каталог поиска'!$C$2:$C$998,$F394))</f>
        <v>NR</v>
      </c>
      <c r="D394" s="7">
        <f>IF(OR($F394="",E394=0,INDEX('Каталог поиска'!$D$2:$D$998,$F394)=0),"",IFERROR(INDEX('По размерам'!$A$2:$TY$86,MATCH($D$5,'По размерам'!$A$2:$A$86,0),INDEX('Каталог поиска'!$D$2:$D$998,$F394)),""))</f>
        <v/>
      </c>
      <c r="E394">
        <f>IF(OR($F394="",INDEX('Каталог поиска'!$D$2:$D$998,$F394)=0),"",IFERROR(INDEX('Количество значений'!$A$2:$TY$86,MATCH($D$5,'Количество значений'!$A$2:$A$86,0),INDEX('Каталог поиска'!$D$2:$D$998,$F394)),""))</f>
        <v/>
      </c>
      <c r="F394">
        <f>IFERROR(MATCH(382,'Каталог поиска'!$F$2:$F$998,0),"")</f>
        <v>382</v>
      </c>
    </row>
    <row r="395" spans="1:6" ht="36" customHeight="1">
      <c r="A395">
        <f>IF(F395="","",383)</f>
        <v>383</v>
      </c>
      <c r="B395" s="6" t="str">
        <f>IF($F395="","",INDEX('Каталог поиска'!$B$2:$B$998,$F395))</f>
        <v>Spare 135</v>
      </c>
      <c r="C395" s="6" t="str">
        <f>IF($F395="","",INDEX('Каталог поиска'!$C$2:$C$998,$F395))</f>
        <v>NS</v>
      </c>
      <c r="D395" s="7">
        <f>IF(OR($F395="",E395=0,INDEX('Каталог поиска'!$D$2:$D$998,$F395)=0),"",IFERROR(INDEX('По размерам'!$A$2:$TY$86,MATCH($D$5,'По размерам'!$A$2:$A$86,0),INDEX('Каталог поиска'!$D$2:$D$998,$F395)),""))</f>
        <v/>
      </c>
      <c r="E395">
        <f>IF(OR($F395="",INDEX('Каталог поиска'!$D$2:$D$998,$F395)=0),"",IFERROR(INDEX('Количество значений'!$A$2:$TY$86,MATCH($D$5,'Количество значений'!$A$2:$A$86,0),INDEX('Каталог поиска'!$D$2:$D$998,$F395)),""))</f>
        <v/>
      </c>
      <c r="F395">
        <f>IFERROR(MATCH(383,'Каталог поиска'!$F$2:$F$998,0),"")</f>
        <v>383</v>
      </c>
    </row>
    <row r="396" spans="1:6" ht="36" customHeight="1">
      <c r="A396">
        <f>IF(F396="","",384)</f>
        <v>384</v>
      </c>
      <c r="B396" s="6" t="str">
        <f>IF($F396="","",INDEX('Каталог поиска'!$B$2:$B$998,$F396))</f>
        <v>Spare 136</v>
      </c>
      <c r="C396" s="6" t="str">
        <f>IF($F396="","",INDEX('Каталог поиска'!$C$2:$C$998,$F396))</f>
        <v>NT</v>
      </c>
      <c r="D396" s="7">
        <f>IF(OR($F396="",E396=0,INDEX('Каталог поиска'!$D$2:$D$998,$F396)=0),"",IFERROR(INDEX('По размерам'!$A$2:$TY$86,MATCH($D$5,'По размерам'!$A$2:$A$86,0),INDEX('Каталог поиска'!$D$2:$D$998,$F396)),""))</f>
        <v/>
      </c>
      <c r="E396">
        <f>IF(OR($F396="",INDEX('Каталог поиска'!$D$2:$D$998,$F396)=0),"",IFERROR(INDEX('Количество значений'!$A$2:$TY$86,MATCH($D$5,'Количество значений'!$A$2:$A$86,0),INDEX('Каталог поиска'!$D$2:$D$998,$F396)),""))</f>
        <v/>
      </c>
      <c r="F396">
        <f>IFERROR(MATCH(384,'Каталог поиска'!$F$2:$F$998,0),"")</f>
        <v>384</v>
      </c>
    </row>
    <row r="397" spans="1:6" ht="36" customHeight="1">
      <c r="A397">
        <f>IF(F397="","",385)</f>
        <v>385</v>
      </c>
      <c r="B397" s="6" t="str">
        <f>IF($F397="","",INDEX('Каталог поиска'!$B$2:$B$998,$F397))</f>
        <v>Spare 137</v>
      </c>
      <c r="C397" s="6" t="str">
        <f>IF($F397="","",INDEX('Каталог поиска'!$C$2:$C$998,$F397))</f>
        <v>NU</v>
      </c>
      <c r="D397" s="7">
        <f>IF(OR($F397="",E397=0,INDEX('Каталог поиска'!$D$2:$D$998,$F397)=0),"",IFERROR(INDEX('По размерам'!$A$2:$TY$86,MATCH($D$5,'По размерам'!$A$2:$A$86,0),INDEX('Каталог поиска'!$D$2:$D$998,$F397)),""))</f>
        <v/>
      </c>
      <c r="E397">
        <f>IF(OR($F397="",INDEX('Каталог поиска'!$D$2:$D$998,$F397)=0),"",IFERROR(INDEX('Количество значений'!$A$2:$TY$86,MATCH($D$5,'Количество значений'!$A$2:$A$86,0),INDEX('Каталог поиска'!$D$2:$D$998,$F397)),""))</f>
        <v/>
      </c>
      <c r="F397">
        <f>IFERROR(MATCH(385,'Каталог поиска'!$F$2:$F$998,0),"")</f>
        <v>385</v>
      </c>
    </row>
    <row r="398" spans="1:6" ht="36" customHeight="1">
      <c r="A398">
        <f>IF(F398="","",386)</f>
        <v>386</v>
      </c>
      <c r="B398" s="6" t="str">
        <f>IF($F398="","",INDEX('Каталог поиска'!$B$2:$B$998,$F398))</f>
        <v>Spare 138</v>
      </c>
      <c r="C398" s="6" t="str">
        <f>IF($F398="","",INDEX('Каталог поиска'!$C$2:$C$998,$F398))</f>
        <v>NV</v>
      </c>
      <c r="D398" s="7">
        <f>IF(OR($F398="",E398=0,INDEX('Каталог поиска'!$D$2:$D$998,$F398)=0),"",IFERROR(INDEX('По размерам'!$A$2:$TY$86,MATCH($D$5,'По размерам'!$A$2:$A$86,0),INDEX('Каталог поиска'!$D$2:$D$998,$F398)),""))</f>
        <v/>
      </c>
      <c r="E398">
        <f>IF(OR($F398="",INDEX('Каталог поиска'!$D$2:$D$998,$F398)=0),"",IFERROR(INDEX('Количество значений'!$A$2:$TY$86,MATCH($D$5,'Количество значений'!$A$2:$A$86,0),INDEX('Каталог поиска'!$D$2:$D$998,$F398)),""))</f>
        <v/>
      </c>
      <c r="F398">
        <f>IFERROR(MATCH(386,'Каталог поиска'!$F$2:$F$998,0),"")</f>
        <v>386</v>
      </c>
    </row>
    <row r="399" spans="1:6" ht="36" customHeight="1">
      <c r="A399">
        <f>IF(F399="","",387)</f>
        <v>387</v>
      </c>
      <c r="B399" s="6" t="str">
        <f>IF($F399="","",INDEX('Каталог поиска'!$B$2:$B$998,$F399))</f>
        <v>Spare 139</v>
      </c>
      <c r="C399" s="6" t="str">
        <f>IF($F399="","",INDEX('Каталог поиска'!$C$2:$C$998,$F399))</f>
        <v>NW</v>
      </c>
      <c r="D399" s="7">
        <f>IF(OR($F399="",E399=0,INDEX('Каталог поиска'!$D$2:$D$998,$F399)=0),"",IFERROR(INDEX('По размерам'!$A$2:$TY$86,MATCH($D$5,'По размерам'!$A$2:$A$86,0),INDEX('Каталог поиска'!$D$2:$D$998,$F399)),""))</f>
        <v/>
      </c>
      <c r="E399">
        <f>IF(OR($F399="",INDEX('Каталог поиска'!$D$2:$D$998,$F399)=0),"",IFERROR(INDEX('Количество значений'!$A$2:$TY$86,MATCH($D$5,'Количество значений'!$A$2:$A$86,0),INDEX('Каталог поиска'!$D$2:$D$998,$F399)),""))</f>
        <v/>
      </c>
      <c r="F399">
        <f>IFERROR(MATCH(387,'Каталог поиска'!$F$2:$F$998,0),"")</f>
        <v>387</v>
      </c>
    </row>
    <row r="400" spans="1:6" ht="36" customHeight="1">
      <c r="A400">
        <f>IF(F400="","",388)</f>
        <v>388</v>
      </c>
      <c r="B400" s="6" t="str">
        <f>IF($F400="","",INDEX('Каталог поиска'!$B$2:$B$998,$F400))</f>
        <v>Spare 140</v>
      </c>
      <c r="C400" s="6" t="str">
        <f>IF($F400="","",INDEX('Каталог поиска'!$C$2:$C$998,$F400))</f>
        <v>NX</v>
      </c>
      <c r="D400" s="7">
        <f>IF(OR($F400="",E400=0,INDEX('Каталог поиска'!$D$2:$D$998,$F400)=0),"",IFERROR(INDEX('По размерам'!$A$2:$TY$86,MATCH($D$5,'По размерам'!$A$2:$A$86,0),INDEX('Каталог поиска'!$D$2:$D$998,$F400)),""))</f>
        <v/>
      </c>
      <c r="E400">
        <f>IF(OR($F400="",INDEX('Каталог поиска'!$D$2:$D$998,$F400)=0),"",IFERROR(INDEX('Количество значений'!$A$2:$TY$86,MATCH($D$5,'Количество значений'!$A$2:$A$86,0),INDEX('Каталог поиска'!$D$2:$D$998,$F400)),""))</f>
        <v/>
      </c>
      <c r="F400">
        <f>IFERROR(MATCH(388,'Каталог поиска'!$F$2:$F$998,0),"")</f>
        <v>388</v>
      </c>
    </row>
    <row r="401" spans="1:6" ht="36" customHeight="1">
      <c r="A401">
        <f>IF(F401="","",389)</f>
        <v>389</v>
      </c>
      <c r="B401" s="6" t="str">
        <f>IF($F401="","",INDEX('Каталог поиска'!$B$2:$B$998,$F401))</f>
        <v>Spare 141</v>
      </c>
      <c r="C401" s="6" t="str">
        <f>IF($F401="","",INDEX('Каталог поиска'!$C$2:$C$998,$F401))</f>
        <v>NY</v>
      </c>
      <c r="D401" s="7">
        <f>IF(OR($F401="",E401=0,INDEX('Каталог поиска'!$D$2:$D$998,$F401)=0),"",IFERROR(INDEX('По размерам'!$A$2:$TY$86,MATCH($D$5,'По размерам'!$A$2:$A$86,0),INDEX('Каталог поиска'!$D$2:$D$998,$F401)),""))</f>
        <v/>
      </c>
      <c r="E401">
        <f>IF(OR($F401="",INDEX('Каталог поиска'!$D$2:$D$998,$F401)=0),"",IFERROR(INDEX('Количество значений'!$A$2:$TY$86,MATCH($D$5,'Количество значений'!$A$2:$A$86,0),INDEX('Каталог поиска'!$D$2:$D$998,$F401)),""))</f>
        <v/>
      </c>
      <c r="F401">
        <f>IFERROR(MATCH(389,'Каталог поиска'!$F$2:$F$998,0),"")</f>
        <v>389</v>
      </c>
    </row>
    <row r="402" spans="1:6" ht="36" customHeight="1">
      <c r="A402">
        <f>IF(F402="","",390)</f>
        <v>390</v>
      </c>
      <c r="B402" s="6" t="str">
        <f>IF($F402="","",INDEX('Каталог поиска'!$B$2:$B$998,$F402))</f>
        <v>Spare 142</v>
      </c>
      <c r="C402" s="6" t="str">
        <f>IF($F402="","",INDEX('Каталог поиска'!$C$2:$C$998,$F402))</f>
        <v>NZ</v>
      </c>
      <c r="D402" s="7">
        <f>IF(OR($F402="",E402=0,INDEX('Каталог поиска'!$D$2:$D$998,$F402)=0),"",IFERROR(INDEX('По размерам'!$A$2:$TY$86,MATCH($D$5,'По размерам'!$A$2:$A$86,0),INDEX('Каталог поиска'!$D$2:$D$998,$F402)),""))</f>
        <v/>
      </c>
      <c r="E402">
        <f>IF(OR($F402="",INDEX('Каталог поиска'!$D$2:$D$998,$F402)=0),"",IFERROR(INDEX('Количество значений'!$A$2:$TY$86,MATCH($D$5,'Количество значений'!$A$2:$A$86,0),INDEX('Каталог поиска'!$D$2:$D$998,$F402)),""))</f>
        <v/>
      </c>
      <c r="F402">
        <f>IFERROR(MATCH(390,'Каталог поиска'!$F$2:$F$998,0),"")</f>
        <v>390</v>
      </c>
    </row>
    <row r="403" spans="1:6" ht="36" customHeight="1">
      <c r="A403">
        <f>IF(F403="","",391)</f>
        <v>391</v>
      </c>
      <c r="B403" s="6" t="str">
        <f>IF($F403="","",INDEX('Каталог поиска'!$B$2:$B$998,$F403))</f>
        <v>Spare 143</v>
      </c>
      <c r="C403" s="6" t="str">
        <f>IF($F403="","",INDEX('Каталог поиска'!$C$2:$C$998,$F403))</f>
        <v>OA</v>
      </c>
      <c r="D403" s="7">
        <f>IF(OR($F403="",E403=0,INDEX('Каталог поиска'!$D$2:$D$998,$F403)=0),"",IFERROR(INDEX('По размерам'!$A$2:$TY$86,MATCH($D$5,'По размерам'!$A$2:$A$86,0),INDEX('Каталог поиска'!$D$2:$D$998,$F403)),""))</f>
        <v/>
      </c>
      <c r="E403">
        <f>IF(OR($F403="",INDEX('Каталог поиска'!$D$2:$D$998,$F403)=0),"",IFERROR(INDEX('Количество значений'!$A$2:$TY$86,MATCH($D$5,'Количество значений'!$A$2:$A$86,0),INDEX('Каталог поиска'!$D$2:$D$998,$F403)),""))</f>
        <v/>
      </c>
      <c r="F403">
        <f>IFERROR(MATCH(391,'Каталог поиска'!$F$2:$F$998,0),"")</f>
        <v>391</v>
      </c>
    </row>
    <row r="404" spans="1:6" ht="36" customHeight="1">
      <c r="A404">
        <f>IF(F404="","",392)</f>
        <v>392</v>
      </c>
      <c r="B404" s="6" t="str">
        <f>IF($F404="","",INDEX('Каталог поиска'!$B$2:$B$998,$F404))</f>
        <v>Spare 144</v>
      </c>
      <c r="C404" s="6" t="str">
        <f>IF($F404="","",INDEX('Каталог поиска'!$C$2:$C$998,$F404))</f>
        <v>OB</v>
      </c>
      <c r="D404" s="7">
        <f>IF(OR($F404="",E404=0,INDEX('Каталог поиска'!$D$2:$D$998,$F404)=0),"",IFERROR(INDEX('По размерам'!$A$2:$TY$86,MATCH($D$5,'По размерам'!$A$2:$A$86,0),INDEX('Каталог поиска'!$D$2:$D$998,$F404)),""))</f>
        <v/>
      </c>
      <c r="E404">
        <f>IF(OR($F404="",INDEX('Каталог поиска'!$D$2:$D$998,$F404)=0),"",IFERROR(INDEX('Количество значений'!$A$2:$TY$86,MATCH($D$5,'Количество значений'!$A$2:$A$86,0),INDEX('Каталог поиска'!$D$2:$D$998,$F404)),""))</f>
        <v/>
      </c>
      <c r="F404">
        <f>IFERROR(MATCH(392,'Каталог поиска'!$F$2:$F$998,0),"")</f>
        <v>392</v>
      </c>
    </row>
    <row r="405" spans="1:6" ht="36" customHeight="1">
      <c r="A405">
        <f>IF(F405="","",393)</f>
        <v>393</v>
      </c>
      <c r="B405" s="6" t="str">
        <f>IF($F405="","",INDEX('Каталог поиска'!$B$2:$B$998,$F405))</f>
        <v>Spare 145</v>
      </c>
      <c r="C405" s="6" t="str">
        <f>IF($F405="","",INDEX('Каталог поиска'!$C$2:$C$998,$F405))</f>
        <v>OC</v>
      </c>
      <c r="D405" s="7">
        <f>IF(OR($F405="",E405=0,INDEX('Каталог поиска'!$D$2:$D$998,$F405)=0),"",IFERROR(INDEX('По размерам'!$A$2:$TY$86,MATCH($D$5,'По размерам'!$A$2:$A$86,0),INDEX('Каталог поиска'!$D$2:$D$998,$F405)),""))</f>
        <v/>
      </c>
      <c r="E405">
        <f>IF(OR($F405="",INDEX('Каталог поиска'!$D$2:$D$998,$F405)=0),"",IFERROR(INDEX('Количество значений'!$A$2:$TY$86,MATCH($D$5,'Количество значений'!$A$2:$A$86,0),INDEX('Каталог поиска'!$D$2:$D$998,$F405)),""))</f>
        <v/>
      </c>
      <c r="F405">
        <f>IFERROR(MATCH(393,'Каталог поиска'!$F$2:$F$998,0),"")</f>
        <v>393</v>
      </c>
    </row>
    <row r="406" spans="1:6" ht="36" customHeight="1">
      <c r="A406">
        <f>IF(F406="","",394)</f>
        <v>394</v>
      </c>
      <c r="B406" s="6" t="str">
        <f>IF($F406="","",INDEX('Каталог поиска'!$B$2:$B$998,$F406))</f>
        <v>Spare 146</v>
      </c>
      <c r="C406" s="6" t="str">
        <f>IF($F406="","",INDEX('Каталог поиска'!$C$2:$C$998,$F406))</f>
        <v>OD</v>
      </c>
      <c r="D406" s="7">
        <f>IF(OR($F406="",E406=0,INDEX('Каталог поиска'!$D$2:$D$998,$F406)=0),"",IFERROR(INDEX('По размерам'!$A$2:$TY$86,MATCH($D$5,'По размерам'!$A$2:$A$86,0),INDEX('Каталог поиска'!$D$2:$D$998,$F406)),""))</f>
        <v/>
      </c>
      <c r="E406">
        <f>IF(OR($F406="",INDEX('Каталог поиска'!$D$2:$D$998,$F406)=0),"",IFERROR(INDEX('Количество значений'!$A$2:$TY$86,MATCH($D$5,'Количество значений'!$A$2:$A$86,0),INDEX('Каталог поиска'!$D$2:$D$998,$F406)),""))</f>
        <v/>
      </c>
      <c r="F406">
        <f>IFERROR(MATCH(394,'Каталог поиска'!$F$2:$F$998,0),"")</f>
        <v>394</v>
      </c>
    </row>
    <row r="407" spans="1:6" ht="36" customHeight="1">
      <c r="A407">
        <f>IF(F407="","",395)</f>
        <v>395</v>
      </c>
      <c r="B407" s="6" t="str">
        <f>IF($F407="","",INDEX('Каталог поиска'!$B$2:$B$998,$F407))</f>
        <v>Spare 147</v>
      </c>
      <c r="C407" s="6" t="str">
        <f>IF($F407="","",INDEX('Каталог поиска'!$C$2:$C$998,$F407))</f>
        <v>OE</v>
      </c>
      <c r="D407" s="7">
        <f>IF(OR($F407="",E407=0,INDEX('Каталог поиска'!$D$2:$D$998,$F407)=0),"",IFERROR(INDEX('По размерам'!$A$2:$TY$86,MATCH($D$5,'По размерам'!$A$2:$A$86,0),INDEX('Каталог поиска'!$D$2:$D$998,$F407)),""))</f>
        <v/>
      </c>
      <c r="E407">
        <f>IF(OR($F407="",INDEX('Каталог поиска'!$D$2:$D$998,$F407)=0),"",IFERROR(INDEX('Количество значений'!$A$2:$TY$86,MATCH($D$5,'Количество значений'!$A$2:$A$86,0),INDEX('Каталог поиска'!$D$2:$D$998,$F407)),""))</f>
        <v/>
      </c>
      <c r="F407">
        <f>IFERROR(MATCH(395,'Каталог поиска'!$F$2:$F$998,0),"")</f>
        <v>395</v>
      </c>
    </row>
    <row r="408" spans="1:6" ht="36" customHeight="1">
      <c r="A408">
        <f>IF(F408="","",396)</f>
        <v>396</v>
      </c>
      <c r="B408" s="6" t="str">
        <f>IF($F408="","",INDEX('Каталог поиска'!$B$2:$B$998,$F408))</f>
        <v>Spare 148</v>
      </c>
      <c r="C408" s="6" t="str">
        <f>IF($F408="","",INDEX('Каталог поиска'!$C$2:$C$998,$F408))</f>
        <v>OF</v>
      </c>
      <c r="D408" s="7">
        <f>IF(OR($F408="",E408=0,INDEX('Каталог поиска'!$D$2:$D$998,$F408)=0),"",IFERROR(INDEX('По размерам'!$A$2:$TY$86,MATCH($D$5,'По размерам'!$A$2:$A$86,0),INDEX('Каталог поиска'!$D$2:$D$998,$F408)),""))</f>
        <v/>
      </c>
      <c r="E408">
        <f>IF(OR($F408="",INDEX('Каталог поиска'!$D$2:$D$998,$F408)=0),"",IFERROR(INDEX('Количество значений'!$A$2:$TY$86,MATCH($D$5,'Количество значений'!$A$2:$A$86,0),INDEX('Каталог поиска'!$D$2:$D$998,$F408)),""))</f>
        <v/>
      </c>
      <c r="F408">
        <f>IFERROR(MATCH(396,'Каталог поиска'!$F$2:$F$998,0),"")</f>
        <v>396</v>
      </c>
    </row>
    <row r="409" spans="1:6" ht="36" customHeight="1">
      <c r="A409">
        <f>IF(F409="","",397)</f>
        <v>397</v>
      </c>
      <c r="B409" s="6" t="str">
        <f>IF($F409="","",INDEX('Каталог поиска'!$B$2:$B$998,$F409))</f>
        <v>Spare 149</v>
      </c>
      <c r="C409" s="6" t="str">
        <f>IF($F409="","",INDEX('Каталог поиска'!$C$2:$C$998,$F409))</f>
        <v>OG</v>
      </c>
      <c r="D409" s="7">
        <f>IF(OR($F409="",E409=0,INDEX('Каталог поиска'!$D$2:$D$998,$F409)=0),"",IFERROR(INDEX('По размерам'!$A$2:$TY$86,MATCH($D$5,'По размерам'!$A$2:$A$86,0),INDEX('Каталог поиска'!$D$2:$D$998,$F409)),""))</f>
        <v/>
      </c>
      <c r="E409">
        <f>IF(OR($F409="",INDEX('Каталог поиска'!$D$2:$D$998,$F409)=0),"",IFERROR(INDEX('Количество значений'!$A$2:$TY$86,MATCH($D$5,'Количество значений'!$A$2:$A$86,0),INDEX('Каталог поиска'!$D$2:$D$998,$F409)),""))</f>
        <v/>
      </c>
      <c r="F409">
        <f>IFERROR(MATCH(397,'Каталог поиска'!$F$2:$F$998,0),"")</f>
        <v>397</v>
      </c>
    </row>
    <row r="410" spans="1:6" ht="36" customHeight="1">
      <c r="A410">
        <f>IF(F410="","",398)</f>
        <v>398</v>
      </c>
      <c r="B410" s="6" t="str">
        <f>IF($F410="","",INDEX('Каталог поиска'!$B$2:$B$998,$F410))</f>
        <v>Spare 150</v>
      </c>
      <c r="C410" s="6" t="str">
        <f>IF($F410="","",INDEX('Каталог поиска'!$C$2:$C$998,$F410))</f>
        <v>OH</v>
      </c>
      <c r="D410" s="7">
        <f>IF(OR($F410="",E410=0,INDEX('Каталог поиска'!$D$2:$D$998,$F410)=0),"",IFERROR(INDEX('По размерам'!$A$2:$TY$86,MATCH($D$5,'По размерам'!$A$2:$A$86,0),INDEX('Каталог поиска'!$D$2:$D$998,$F410)),""))</f>
        <v/>
      </c>
      <c r="E410">
        <f>IF(OR($F410="",INDEX('Каталог поиска'!$D$2:$D$998,$F410)=0),"",IFERROR(INDEX('Количество значений'!$A$2:$TY$86,MATCH($D$5,'Количество значений'!$A$2:$A$86,0),INDEX('Каталог поиска'!$D$2:$D$998,$F410)),""))</f>
        <v/>
      </c>
      <c r="F410">
        <f>IFERROR(MATCH(398,'Каталог поиска'!$F$2:$F$998,0),"")</f>
        <v>398</v>
      </c>
    </row>
    <row r="411" spans="1:6" ht="36" customHeight="1">
      <c r="A411">
        <f>IF(F411="","",399)</f>
        <v>399</v>
      </c>
      <c r="B411" s="6" t="str">
        <f>IF($F411="","",INDEX('Каталог поиска'!$B$2:$B$998,$F411))</f>
        <v>Spare 151</v>
      </c>
      <c r="C411" s="6" t="str">
        <f>IF($F411="","",INDEX('Каталог поиска'!$C$2:$C$998,$F411))</f>
        <v>OI</v>
      </c>
      <c r="D411" s="7">
        <f>IF(OR($F411="",E411=0,INDEX('Каталог поиска'!$D$2:$D$998,$F411)=0),"",IFERROR(INDEX('По размерам'!$A$2:$TY$86,MATCH($D$5,'По размерам'!$A$2:$A$86,0),INDEX('Каталог поиска'!$D$2:$D$998,$F411)),""))</f>
        <v/>
      </c>
      <c r="E411">
        <f>IF(OR($F411="",INDEX('Каталог поиска'!$D$2:$D$998,$F411)=0),"",IFERROR(INDEX('Количество значений'!$A$2:$TY$86,MATCH($D$5,'Количество значений'!$A$2:$A$86,0),INDEX('Каталог поиска'!$D$2:$D$998,$F411)),""))</f>
        <v/>
      </c>
      <c r="F411">
        <f>IFERROR(MATCH(399,'Каталог поиска'!$F$2:$F$998,0),"")</f>
        <v>399</v>
      </c>
    </row>
    <row r="412" spans="1:6" ht="36" customHeight="1">
      <c r="A412">
        <f>IF(F412="","",400)</f>
        <v>400</v>
      </c>
      <c r="B412" s="6" t="str">
        <f>IF($F412="","",INDEX('Каталог поиска'!$B$2:$B$998,$F412))</f>
        <v>Spare 152</v>
      </c>
      <c r="C412" s="6" t="str">
        <f>IF($F412="","",INDEX('Каталог поиска'!$C$2:$C$998,$F412))</f>
        <v>OJ</v>
      </c>
      <c r="D412" s="7">
        <f>IF(OR($F412="",E412=0,INDEX('Каталог поиска'!$D$2:$D$998,$F412)=0),"",IFERROR(INDEX('По размерам'!$A$2:$TY$86,MATCH($D$5,'По размерам'!$A$2:$A$86,0),INDEX('Каталог поиска'!$D$2:$D$998,$F412)),""))</f>
        <v/>
      </c>
      <c r="E412">
        <f>IF(OR($F412="",INDEX('Каталог поиска'!$D$2:$D$998,$F412)=0),"",IFERROR(INDEX('Количество значений'!$A$2:$TY$86,MATCH($D$5,'Количество значений'!$A$2:$A$86,0),INDEX('Каталог поиска'!$D$2:$D$998,$F412)),""))</f>
        <v/>
      </c>
      <c r="F412">
        <f>IFERROR(MATCH(400,'Каталог поиска'!$F$2:$F$998,0),"")</f>
        <v>400</v>
      </c>
    </row>
    <row r="413" spans="1:6" ht="36" customHeight="1">
      <c r="A413">
        <f>IF(F413="","",401)</f>
        <v>401</v>
      </c>
      <c r="B413" s="6" t="str">
        <f>IF($F413="","",INDEX('Каталог поиска'!$B$2:$B$998,$F413))</f>
        <v>Spare 153</v>
      </c>
      <c r="C413" s="6" t="str">
        <f>IF($F413="","",INDEX('Каталог поиска'!$C$2:$C$998,$F413))</f>
        <v>OK</v>
      </c>
      <c r="D413" s="7">
        <f>IF(OR($F413="",E413=0,INDEX('Каталог поиска'!$D$2:$D$998,$F413)=0),"",IFERROR(INDEX('По размерам'!$A$2:$TY$86,MATCH($D$5,'По размерам'!$A$2:$A$86,0),INDEX('Каталог поиска'!$D$2:$D$998,$F413)),""))</f>
        <v/>
      </c>
      <c r="E413">
        <f>IF(OR($F413="",INDEX('Каталог поиска'!$D$2:$D$998,$F413)=0),"",IFERROR(INDEX('Количество значений'!$A$2:$TY$86,MATCH($D$5,'Количество значений'!$A$2:$A$86,0),INDEX('Каталог поиска'!$D$2:$D$998,$F413)),""))</f>
        <v/>
      </c>
      <c r="F413">
        <f>IFERROR(MATCH(401,'Каталог поиска'!$F$2:$F$998,0),"")</f>
        <v>401</v>
      </c>
    </row>
    <row r="414" spans="1:6" ht="36" customHeight="1">
      <c r="A414">
        <f>IF(F414="","",402)</f>
        <v>402</v>
      </c>
      <c r="B414" s="6" t="str">
        <f>IF($F414="","",INDEX('Каталог поиска'!$B$2:$B$998,$F414))</f>
        <v>Spare 154</v>
      </c>
      <c r="C414" s="6" t="str">
        <f>IF($F414="","",INDEX('Каталог поиска'!$C$2:$C$998,$F414))</f>
        <v>OL</v>
      </c>
      <c r="D414" s="7">
        <f>IF(OR($F414="",E414=0,INDEX('Каталог поиска'!$D$2:$D$998,$F414)=0),"",IFERROR(INDEX('По размерам'!$A$2:$TY$86,MATCH($D$5,'По размерам'!$A$2:$A$86,0),INDEX('Каталог поиска'!$D$2:$D$998,$F414)),""))</f>
        <v/>
      </c>
      <c r="E414">
        <f>IF(OR($F414="",INDEX('Каталог поиска'!$D$2:$D$998,$F414)=0),"",IFERROR(INDEX('Количество значений'!$A$2:$TY$86,MATCH($D$5,'Количество значений'!$A$2:$A$86,0),INDEX('Каталог поиска'!$D$2:$D$998,$F414)),""))</f>
        <v/>
      </c>
      <c r="F414">
        <f>IFERROR(MATCH(402,'Каталог поиска'!$F$2:$F$998,0),"")</f>
        <v>402</v>
      </c>
    </row>
    <row r="415" spans="1:6" ht="36" customHeight="1">
      <c r="A415">
        <f>IF(F415="","",403)</f>
        <v>403</v>
      </c>
      <c r="B415" s="6" t="str">
        <f>IF($F415="","",INDEX('Каталог поиска'!$B$2:$B$998,$F415))</f>
        <v>Spare 155</v>
      </c>
      <c r="C415" s="6" t="str">
        <f>IF($F415="","",INDEX('Каталог поиска'!$C$2:$C$998,$F415))</f>
        <v>OM</v>
      </c>
      <c r="D415" s="7">
        <f>IF(OR($F415="",E415=0,INDEX('Каталог поиска'!$D$2:$D$998,$F415)=0),"",IFERROR(INDEX('По размерам'!$A$2:$TY$86,MATCH($D$5,'По размерам'!$A$2:$A$86,0),INDEX('Каталог поиска'!$D$2:$D$998,$F415)),""))</f>
        <v/>
      </c>
      <c r="E415">
        <f>IF(OR($F415="",INDEX('Каталог поиска'!$D$2:$D$998,$F415)=0),"",IFERROR(INDEX('Количество значений'!$A$2:$TY$86,MATCH($D$5,'Количество значений'!$A$2:$A$86,0),INDEX('Каталог поиска'!$D$2:$D$998,$F415)),""))</f>
        <v/>
      </c>
      <c r="F415">
        <f>IFERROR(MATCH(403,'Каталог поиска'!$F$2:$F$998,0),"")</f>
        <v>403</v>
      </c>
    </row>
    <row r="416" spans="1:6" ht="36" customHeight="1">
      <c r="A416">
        <f>IF(F416="","",404)</f>
        <v>404</v>
      </c>
      <c r="B416" s="6" t="str">
        <f>IF($F416="","",INDEX('Каталог поиска'!$B$2:$B$998,$F416))</f>
        <v>Spare 156</v>
      </c>
      <c r="C416" s="6" t="str">
        <f>IF($F416="","",INDEX('Каталог поиска'!$C$2:$C$998,$F416))</f>
        <v>ON</v>
      </c>
      <c r="D416" s="7">
        <f>IF(OR($F416="",E416=0,INDEX('Каталог поиска'!$D$2:$D$998,$F416)=0),"",IFERROR(INDEX('По размерам'!$A$2:$TY$86,MATCH($D$5,'По размерам'!$A$2:$A$86,0),INDEX('Каталог поиска'!$D$2:$D$998,$F416)),""))</f>
        <v/>
      </c>
      <c r="E416">
        <f>IF(OR($F416="",INDEX('Каталог поиска'!$D$2:$D$998,$F416)=0),"",IFERROR(INDEX('Количество значений'!$A$2:$TY$86,MATCH($D$5,'Количество значений'!$A$2:$A$86,0),INDEX('Каталог поиска'!$D$2:$D$998,$F416)),""))</f>
        <v/>
      </c>
      <c r="F416">
        <f>IFERROR(MATCH(404,'Каталог поиска'!$F$2:$F$998,0),"")</f>
        <v>404</v>
      </c>
    </row>
    <row r="417" spans="1:6" ht="36" customHeight="1">
      <c r="A417">
        <f>IF(F417="","",405)</f>
        <v>405</v>
      </c>
      <c r="B417" s="6" t="str">
        <f>IF($F417="","",INDEX('Каталог поиска'!$B$2:$B$998,$F417))</f>
        <v>Spare 157</v>
      </c>
      <c r="C417" s="6" t="str">
        <f>IF($F417="","",INDEX('Каталог поиска'!$C$2:$C$998,$F417))</f>
        <v>OO</v>
      </c>
      <c r="D417" s="7">
        <f>IF(OR($F417="",E417=0,INDEX('Каталог поиска'!$D$2:$D$998,$F417)=0),"",IFERROR(INDEX('По размерам'!$A$2:$TY$86,MATCH($D$5,'По размерам'!$A$2:$A$86,0),INDEX('Каталог поиска'!$D$2:$D$998,$F417)),""))</f>
        <v/>
      </c>
      <c r="E417">
        <f>IF(OR($F417="",INDEX('Каталог поиска'!$D$2:$D$998,$F417)=0),"",IFERROR(INDEX('Количество значений'!$A$2:$TY$86,MATCH($D$5,'Количество значений'!$A$2:$A$86,0),INDEX('Каталог поиска'!$D$2:$D$998,$F417)),""))</f>
        <v/>
      </c>
      <c r="F417">
        <f>IFERROR(MATCH(405,'Каталог поиска'!$F$2:$F$998,0),"")</f>
        <v>405</v>
      </c>
    </row>
    <row r="418" spans="1:6" ht="36" customHeight="1">
      <c r="A418">
        <f>IF(F418="","",406)</f>
        <v>406</v>
      </c>
      <c r="B418" s="6" t="str">
        <f>IF($F418="","",INDEX('Каталог поиска'!$B$2:$B$998,$F418))</f>
        <v>Spare 158</v>
      </c>
      <c r="C418" s="6" t="str">
        <f>IF($F418="","",INDEX('Каталог поиска'!$C$2:$C$998,$F418))</f>
        <v>OP</v>
      </c>
      <c r="D418" s="7">
        <f>IF(OR($F418="",E418=0,INDEX('Каталог поиска'!$D$2:$D$998,$F418)=0),"",IFERROR(INDEX('По размерам'!$A$2:$TY$86,MATCH($D$5,'По размерам'!$A$2:$A$86,0),INDEX('Каталог поиска'!$D$2:$D$998,$F418)),""))</f>
        <v/>
      </c>
      <c r="E418">
        <f>IF(OR($F418="",INDEX('Каталог поиска'!$D$2:$D$998,$F418)=0),"",IFERROR(INDEX('Количество значений'!$A$2:$TY$86,MATCH($D$5,'Количество значений'!$A$2:$A$86,0),INDEX('Каталог поиска'!$D$2:$D$998,$F418)),""))</f>
        <v/>
      </c>
      <c r="F418">
        <f>IFERROR(MATCH(406,'Каталог поиска'!$F$2:$F$998,0),"")</f>
        <v>406</v>
      </c>
    </row>
    <row r="419" spans="1:6" ht="36" customHeight="1">
      <c r="A419">
        <f>IF(F419="","",407)</f>
        <v>407</v>
      </c>
      <c r="B419" s="6" t="str">
        <f>IF($F419="","",INDEX('Каталог поиска'!$B$2:$B$998,$F419))</f>
        <v>Spare 159</v>
      </c>
      <c r="C419" s="6" t="str">
        <f>IF($F419="","",INDEX('Каталог поиска'!$C$2:$C$998,$F419))</f>
        <v>OQ</v>
      </c>
      <c r="D419" s="7">
        <f>IF(OR($F419="",E419=0,INDEX('Каталог поиска'!$D$2:$D$998,$F419)=0),"",IFERROR(INDEX('По размерам'!$A$2:$TY$86,MATCH($D$5,'По размерам'!$A$2:$A$86,0),INDEX('Каталог поиска'!$D$2:$D$998,$F419)),""))</f>
        <v/>
      </c>
      <c r="E419">
        <f>IF(OR($F419="",INDEX('Каталог поиска'!$D$2:$D$998,$F419)=0),"",IFERROR(INDEX('Количество значений'!$A$2:$TY$86,MATCH($D$5,'Количество значений'!$A$2:$A$86,0),INDEX('Каталог поиска'!$D$2:$D$998,$F419)),""))</f>
        <v/>
      </c>
      <c r="F419">
        <f>IFERROR(MATCH(407,'Каталог поиска'!$F$2:$F$998,0),"")</f>
        <v>407</v>
      </c>
    </row>
    <row r="420" spans="1:6" ht="36" customHeight="1">
      <c r="A420">
        <f>IF(F420="","",408)</f>
        <v>408</v>
      </c>
      <c r="B420" s="6" t="str">
        <f>IF($F420="","",INDEX('Каталог поиска'!$B$2:$B$998,$F420))</f>
        <v>Spare 160</v>
      </c>
      <c r="C420" s="6" t="str">
        <f>IF($F420="","",INDEX('Каталог поиска'!$C$2:$C$998,$F420))</f>
        <v>OR</v>
      </c>
      <c r="D420" s="7">
        <f>IF(OR($F420="",E420=0,INDEX('Каталог поиска'!$D$2:$D$998,$F420)=0),"",IFERROR(INDEX('По размерам'!$A$2:$TY$86,MATCH($D$5,'По размерам'!$A$2:$A$86,0),INDEX('Каталог поиска'!$D$2:$D$998,$F420)),""))</f>
        <v/>
      </c>
      <c r="E420">
        <f>IF(OR($F420="",INDEX('Каталог поиска'!$D$2:$D$998,$F420)=0),"",IFERROR(INDEX('Количество значений'!$A$2:$TY$86,MATCH($D$5,'Количество значений'!$A$2:$A$86,0),INDEX('Каталог поиска'!$D$2:$D$998,$F420)),""))</f>
        <v/>
      </c>
      <c r="F420">
        <f>IFERROR(MATCH(408,'Каталог поиска'!$F$2:$F$998,0),"")</f>
        <v>408</v>
      </c>
    </row>
    <row r="421" spans="1:6" ht="36" customHeight="1">
      <c r="A421">
        <f>IF(F421="","",409)</f>
        <v>409</v>
      </c>
      <c r="B421" s="6" t="str">
        <f>IF($F421="","",INDEX('Каталог поиска'!$B$2:$B$998,$F421))</f>
        <v>Spare 161</v>
      </c>
      <c r="C421" s="6" t="str">
        <f>IF($F421="","",INDEX('Каталог поиска'!$C$2:$C$998,$F421))</f>
        <v>OS</v>
      </c>
      <c r="D421" s="7">
        <f>IF(OR($F421="",E421=0,INDEX('Каталог поиска'!$D$2:$D$998,$F421)=0),"",IFERROR(INDEX('По размерам'!$A$2:$TY$86,MATCH($D$5,'По размерам'!$A$2:$A$86,0),INDEX('Каталог поиска'!$D$2:$D$998,$F421)),""))</f>
        <v/>
      </c>
      <c r="E421">
        <f>IF(OR($F421="",INDEX('Каталог поиска'!$D$2:$D$998,$F421)=0),"",IFERROR(INDEX('Количество значений'!$A$2:$TY$86,MATCH($D$5,'Количество значений'!$A$2:$A$86,0),INDEX('Каталог поиска'!$D$2:$D$998,$F421)),""))</f>
        <v/>
      </c>
      <c r="F421">
        <f>IFERROR(MATCH(409,'Каталог поиска'!$F$2:$F$998,0),"")</f>
        <v>409</v>
      </c>
    </row>
    <row r="422" spans="1:6" ht="36" customHeight="1">
      <c r="A422">
        <f>IF(F422="","",410)</f>
        <v>410</v>
      </c>
      <c r="B422" s="6" t="str">
        <f>IF($F422="","",INDEX('Каталог поиска'!$B$2:$B$998,$F422))</f>
        <v>Spare 162</v>
      </c>
      <c r="C422" s="6" t="str">
        <f>IF($F422="","",INDEX('Каталог поиска'!$C$2:$C$998,$F422))</f>
        <v>OT</v>
      </c>
      <c r="D422" s="7">
        <f>IF(OR($F422="",E422=0,INDEX('Каталог поиска'!$D$2:$D$998,$F422)=0),"",IFERROR(INDEX('По размерам'!$A$2:$TY$86,MATCH($D$5,'По размерам'!$A$2:$A$86,0),INDEX('Каталог поиска'!$D$2:$D$998,$F422)),""))</f>
        <v/>
      </c>
      <c r="E422">
        <f>IF(OR($F422="",INDEX('Каталог поиска'!$D$2:$D$998,$F422)=0),"",IFERROR(INDEX('Количество значений'!$A$2:$TY$86,MATCH($D$5,'Количество значений'!$A$2:$A$86,0),INDEX('Каталог поиска'!$D$2:$D$998,$F422)),""))</f>
        <v/>
      </c>
      <c r="F422">
        <f>IFERROR(MATCH(410,'Каталог поиска'!$F$2:$F$998,0),"")</f>
        <v>410</v>
      </c>
    </row>
    <row r="423" spans="1:6" ht="36" customHeight="1">
      <c r="A423">
        <f>IF(F423="","",411)</f>
        <v>411</v>
      </c>
      <c r="B423" s="6" t="str">
        <f>IF($F423="","",INDEX('Каталог поиска'!$B$2:$B$998,$F423))</f>
        <v>Spare 163</v>
      </c>
      <c r="C423" s="6" t="str">
        <f>IF($F423="","",INDEX('Каталог поиска'!$C$2:$C$998,$F423))</f>
        <v>OU</v>
      </c>
      <c r="D423" s="7">
        <f>IF(OR($F423="",E423=0,INDEX('Каталог поиска'!$D$2:$D$998,$F423)=0),"",IFERROR(INDEX('По размерам'!$A$2:$TY$86,MATCH($D$5,'По размерам'!$A$2:$A$86,0),INDEX('Каталог поиска'!$D$2:$D$998,$F423)),""))</f>
        <v/>
      </c>
      <c r="E423">
        <f>IF(OR($F423="",INDEX('Каталог поиска'!$D$2:$D$998,$F423)=0),"",IFERROR(INDEX('Количество значений'!$A$2:$TY$86,MATCH($D$5,'Количество значений'!$A$2:$A$86,0),INDEX('Каталог поиска'!$D$2:$D$998,$F423)),""))</f>
        <v/>
      </c>
      <c r="F423">
        <f>IFERROR(MATCH(411,'Каталог поиска'!$F$2:$F$998,0),"")</f>
        <v>411</v>
      </c>
    </row>
    <row r="424" spans="1:6" ht="36" customHeight="1">
      <c r="A424">
        <f>IF(F424="","",412)</f>
        <v>412</v>
      </c>
      <c r="B424" s="6" t="str">
        <f>IF($F424="","",INDEX('Каталог поиска'!$B$2:$B$998,$F424))</f>
        <v>Spare 164</v>
      </c>
      <c r="C424" s="6" t="str">
        <f>IF($F424="","",INDEX('Каталог поиска'!$C$2:$C$998,$F424))</f>
        <v>OV</v>
      </c>
      <c r="D424" s="7">
        <f>IF(OR($F424="",E424=0,INDEX('Каталог поиска'!$D$2:$D$998,$F424)=0),"",IFERROR(INDEX('По размерам'!$A$2:$TY$86,MATCH($D$5,'По размерам'!$A$2:$A$86,0),INDEX('Каталог поиска'!$D$2:$D$998,$F424)),""))</f>
        <v/>
      </c>
      <c r="E424">
        <f>IF(OR($F424="",INDEX('Каталог поиска'!$D$2:$D$998,$F424)=0),"",IFERROR(INDEX('Количество значений'!$A$2:$TY$86,MATCH($D$5,'Количество значений'!$A$2:$A$86,0),INDEX('Каталог поиска'!$D$2:$D$998,$F424)),""))</f>
        <v/>
      </c>
      <c r="F424">
        <f>IFERROR(MATCH(412,'Каталог поиска'!$F$2:$F$998,0),"")</f>
        <v>412</v>
      </c>
    </row>
    <row r="425" spans="1:6" ht="36" customHeight="1">
      <c r="A425">
        <f>IF(F425="","",413)</f>
        <v>413</v>
      </c>
      <c r="B425" s="6" t="str">
        <f>IF($F425="","",INDEX('Каталог поиска'!$B$2:$B$998,$F425))</f>
        <v>Spare 165</v>
      </c>
      <c r="C425" s="6" t="str">
        <f>IF($F425="","",INDEX('Каталог поиска'!$C$2:$C$998,$F425))</f>
        <v>OW</v>
      </c>
      <c r="D425" s="7">
        <f>IF(OR($F425="",E425=0,INDEX('Каталог поиска'!$D$2:$D$998,$F425)=0),"",IFERROR(INDEX('По размерам'!$A$2:$TY$86,MATCH($D$5,'По размерам'!$A$2:$A$86,0),INDEX('Каталог поиска'!$D$2:$D$998,$F425)),""))</f>
        <v/>
      </c>
      <c r="E425">
        <f>IF(OR($F425="",INDEX('Каталог поиска'!$D$2:$D$998,$F425)=0),"",IFERROR(INDEX('Количество значений'!$A$2:$TY$86,MATCH($D$5,'Количество значений'!$A$2:$A$86,0),INDEX('Каталог поиска'!$D$2:$D$998,$F425)),""))</f>
        <v/>
      </c>
      <c r="F425">
        <f>IFERROR(MATCH(413,'Каталог поиска'!$F$2:$F$998,0),"")</f>
        <v>413</v>
      </c>
    </row>
    <row r="426" spans="1:6" ht="36" customHeight="1">
      <c r="A426">
        <f>IF(F426="","",414)</f>
        <v>414</v>
      </c>
      <c r="B426" s="6" t="str">
        <f>IF($F426="","",INDEX('Каталог поиска'!$B$2:$B$998,$F426))</f>
        <v>Spare 166</v>
      </c>
      <c r="C426" s="6" t="str">
        <f>IF($F426="","",INDEX('Каталог поиска'!$C$2:$C$998,$F426))</f>
        <v>OX</v>
      </c>
      <c r="D426" s="7">
        <f>IF(OR($F426="",E426=0,INDEX('Каталог поиска'!$D$2:$D$998,$F426)=0),"",IFERROR(INDEX('По размерам'!$A$2:$TY$86,MATCH($D$5,'По размерам'!$A$2:$A$86,0),INDEX('Каталог поиска'!$D$2:$D$998,$F426)),""))</f>
        <v/>
      </c>
      <c r="E426">
        <f>IF(OR($F426="",INDEX('Каталог поиска'!$D$2:$D$998,$F426)=0),"",IFERROR(INDEX('Количество значений'!$A$2:$TY$86,MATCH($D$5,'Количество значений'!$A$2:$A$86,0),INDEX('Каталог поиска'!$D$2:$D$998,$F426)),""))</f>
        <v/>
      </c>
      <c r="F426">
        <f>IFERROR(MATCH(414,'Каталог поиска'!$F$2:$F$998,0),"")</f>
        <v>414</v>
      </c>
    </row>
    <row r="427" spans="1:6" ht="36" customHeight="1">
      <c r="A427">
        <f>IF(F427="","",415)</f>
        <v>415</v>
      </c>
      <c r="B427" s="6" t="str">
        <f>IF($F427="","",INDEX('Каталог поиска'!$B$2:$B$998,$F427))</f>
        <v>Spare 167</v>
      </c>
      <c r="C427" s="6" t="str">
        <f>IF($F427="","",INDEX('Каталог поиска'!$C$2:$C$998,$F427))</f>
        <v>OY</v>
      </c>
      <c r="D427" s="7">
        <f>IF(OR($F427="",E427=0,INDEX('Каталог поиска'!$D$2:$D$998,$F427)=0),"",IFERROR(INDEX('По размерам'!$A$2:$TY$86,MATCH($D$5,'По размерам'!$A$2:$A$86,0),INDEX('Каталог поиска'!$D$2:$D$998,$F427)),""))</f>
        <v/>
      </c>
      <c r="E427">
        <f>IF(OR($F427="",INDEX('Каталог поиска'!$D$2:$D$998,$F427)=0),"",IFERROR(INDEX('Количество значений'!$A$2:$TY$86,MATCH($D$5,'Количество значений'!$A$2:$A$86,0),INDEX('Каталог поиска'!$D$2:$D$998,$F427)),""))</f>
        <v/>
      </c>
      <c r="F427">
        <f>IFERROR(MATCH(415,'Каталог поиска'!$F$2:$F$998,0),"")</f>
        <v>415</v>
      </c>
    </row>
    <row r="428" spans="1:6" ht="36" customHeight="1">
      <c r="A428">
        <f>IF(F428="","",416)</f>
        <v>416</v>
      </c>
      <c r="B428" s="6" t="str">
        <f>IF($F428="","",INDEX('Каталог поиска'!$B$2:$B$998,$F428))</f>
        <v>Spare 168</v>
      </c>
      <c r="C428" s="6" t="str">
        <f>IF($F428="","",INDEX('Каталог поиска'!$C$2:$C$998,$F428))</f>
        <v>OZ</v>
      </c>
      <c r="D428" s="7">
        <f>IF(OR($F428="",E428=0,INDEX('Каталог поиска'!$D$2:$D$998,$F428)=0),"",IFERROR(INDEX('По размерам'!$A$2:$TY$86,MATCH($D$5,'По размерам'!$A$2:$A$86,0),INDEX('Каталог поиска'!$D$2:$D$998,$F428)),""))</f>
        <v/>
      </c>
      <c r="E428">
        <f>IF(OR($F428="",INDEX('Каталог поиска'!$D$2:$D$998,$F428)=0),"",IFERROR(INDEX('Количество значений'!$A$2:$TY$86,MATCH($D$5,'Количество значений'!$A$2:$A$86,0),INDEX('Каталог поиска'!$D$2:$D$998,$F428)),""))</f>
        <v/>
      </c>
      <c r="F428">
        <f>IFERROR(MATCH(416,'Каталог поиска'!$F$2:$F$998,0),"")</f>
        <v>416</v>
      </c>
    </row>
    <row r="429" spans="1:6" ht="36" customHeight="1">
      <c r="A429">
        <f>IF(F429="","",417)</f>
        <v>417</v>
      </c>
      <c r="B429" s="6" t="str">
        <f>IF($F429="","",INDEX('Каталог поиска'!$B$2:$B$998,$F429))</f>
        <v>Spare 169</v>
      </c>
      <c r="C429" s="6" t="str">
        <f>IF($F429="","",INDEX('Каталог поиска'!$C$2:$C$998,$F429))</f>
        <v>PA</v>
      </c>
      <c r="D429" s="7">
        <f>IF(OR($F429="",E429=0,INDEX('Каталог поиска'!$D$2:$D$998,$F429)=0),"",IFERROR(INDEX('По размерам'!$A$2:$TY$86,MATCH($D$5,'По размерам'!$A$2:$A$86,0),INDEX('Каталог поиска'!$D$2:$D$998,$F429)),""))</f>
        <v/>
      </c>
      <c r="E429">
        <f>IF(OR($F429="",INDEX('Каталог поиска'!$D$2:$D$998,$F429)=0),"",IFERROR(INDEX('Количество значений'!$A$2:$TY$86,MATCH($D$5,'Количество значений'!$A$2:$A$86,0),INDEX('Каталог поиска'!$D$2:$D$998,$F429)),""))</f>
        <v/>
      </c>
      <c r="F429">
        <f>IFERROR(MATCH(417,'Каталог поиска'!$F$2:$F$998,0),"")</f>
        <v>417</v>
      </c>
    </row>
    <row r="430" spans="1:6" ht="36" customHeight="1">
      <c r="A430">
        <f>IF(F430="","",418)</f>
        <v>418</v>
      </c>
      <c r="B430" s="6" t="str">
        <f>IF($F430="","",INDEX('Каталог поиска'!$B$2:$B$998,$F430))</f>
        <v>Spare 170</v>
      </c>
      <c r="C430" s="6" t="str">
        <f>IF($F430="","",INDEX('Каталог поиска'!$C$2:$C$998,$F430))</f>
        <v>PB</v>
      </c>
      <c r="D430" s="7">
        <f>IF(OR($F430="",E430=0,INDEX('Каталог поиска'!$D$2:$D$998,$F430)=0),"",IFERROR(INDEX('По размерам'!$A$2:$TY$86,MATCH($D$5,'По размерам'!$A$2:$A$86,0),INDEX('Каталог поиска'!$D$2:$D$998,$F430)),""))</f>
        <v/>
      </c>
      <c r="E430">
        <f>IF(OR($F430="",INDEX('Каталог поиска'!$D$2:$D$998,$F430)=0),"",IFERROR(INDEX('Количество значений'!$A$2:$TY$86,MATCH($D$5,'Количество значений'!$A$2:$A$86,0),INDEX('Каталог поиска'!$D$2:$D$998,$F430)),""))</f>
        <v/>
      </c>
      <c r="F430">
        <f>IFERROR(MATCH(418,'Каталог поиска'!$F$2:$F$998,0),"")</f>
        <v>418</v>
      </c>
    </row>
    <row r="431" spans="1:6" ht="36" customHeight="1">
      <c r="A431">
        <f>IF(F431="","",419)</f>
        <v>419</v>
      </c>
      <c r="B431" s="6" t="str">
        <f>IF($F431="","",INDEX('Каталог поиска'!$B$2:$B$998,$F431))</f>
        <v>Spare 171</v>
      </c>
      <c r="C431" s="6" t="str">
        <f>IF($F431="","",INDEX('Каталог поиска'!$C$2:$C$998,$F431))</f>
        <v>PC</v>
      </c>
      <c r="D431" s="7">
        <f>IF(OR($F431="",E431=0,INDEX('Каталог поиска'!$D$2:$D$998,$F431)=0),"",IFERROR(INDEX('По размерам'!$A$2:$TY$86,MATCH($D$5,'По размерам'!$A$2:$A$86,0),INDEX('Каталог поиска'!$D$2:$D$998,$F431)),""))</f>
        <v/>
      </c>
      <c r="E431">
        <f>IF(OR($F431="",INDEX('Каталог поиска'!$D$2:$D$998,$F431)=0),"",IFERROR(INDEX('Количество значений'!$A$2:$TY$86,MATCH($D$5,'Количество значений'!$A$2:$A$86,0),INDEX('Каталог поиска'!$D$2:$D$998,$F431)),""))</f>
        <v/>
      </c>
      <c r="F431">
        <f>IFERROR(MATCH(419,'Каталог поиска'!$F$2:$F$998,0),"")</f>
        <v>419</v>
      </c>
    </row>
    <row r="432" spans="1:6" ht="36" customHeight="1">
      <c r="A432">
        <f>IF(F432="","",420)</f>
        <v>420</v>
      </c>
      <c r="B432" s="6" t="str">
        <f>IF($F432="","",INDEX('Каталог поиска'!$B$2:$B$998,$F432))</f>
        <v>Spare 172</v>
      </c>
      <c r="C432" s="6" t="str">
        <f>IF($F432="","",INDEX('Каталог поиска'!$C$2:$C$998,$F432))</f>
        <v>PD</v>
      </c>
      <c r="D432" s="7">
        <f>IF(OR($F432="",E432=0,INDEX('Каталог поиска'!$D$2:$D$998,$F432)=0),"",IFERROR(INDEX('По размерам'!$A$2:$TY$86,MATCH($D$5,'По размерам'!$A$2:$A$86,0),INDEX('Каталог поиска'!$D$2:$D$998,$F432)),""))</f>
        <v/>
      </c>
      <c r="E432">
        <f>IF(OR($F432="",INDEX('Каталог поиска'!$D$2:$D$998,$F432)=0),"",IFERROR(INDEX('Количество значений'!$A$2:$TY$86,MATCH($D$5,'Количество значений'!$A$2:$A$86,0),INDEX('Каталог поиска'!$D$2:$D$998,$F432)),""))</f>
        <v/>
      </c>
      <c r="F432">
        <f>IFERROR(MATCH(420,'Каталог поиска'!$F$2:$F$998,0),"")</f>
        <v>420</v>
      </c>
    </row>
    <row r="433" spans="1:6" ht="36" customHeight="1">
      <c r="A433">
        <f>IF(F433="","",421)</f>
        <v>421</v>
      </c>
      <c r="B433" s="6" t="str">
        <f>IF($F433="","",INDEX('Каталог поиска'!$B$2:$B$998,$F433))</f>
        <v>Spare 173</v>
      </c>
      <c r="C433" s="6" t="str">
        <f>IF($F433="","",INDEX('Каталог поиска'!$C$2:$C$998,$F433))</f>
        <v>PE</v>
      </c>
      <c r="D433" s="7">
        <f>IF(OR($F433="",E433=0,INDEX('Каталог поиска'!$D$2:$D$998,$F433)=0),"",IFERROR(INDEX('По размерам'!$A$2:$TY$86,MATCH($D$5,'По размерам'!$A$2:$A$86,0),INDEX('Каталог поиска'!$D$2:$D$998,$F433)),""))</f>
        <v/>
      </c>
      <c r="E433">
        <f>IF(OR($F433="",INDEX('Каталог поиска'!$D$2:$D$998,$F433)=0),"",IFERROR(INDEX('Количество значений'!$A$2:$TY$86,MATCH($D$5,'Количество значений'!$A$2:$A$86,0),INDEX('Каталог поиска'!$D$2:$D$998,$F433)),""))</f>
        <v/>
      </c>
      <c r="F433">
        <f>IFERROR(MATCH(421,'Каталог поиска'!$F$2:$F$998,0),"")</f>
        <v>421</v>
      </c>
    </row>
    <row r="434" spans="1:6" ht="36" customHeight="1">
      <c r="A434">
        <f>IF(F434="","",422)</f>
        <v>422</v>
      </c>
      <c r="B434" s="6" t="str">
        <f>IF($F434="","",INDEX('Каталог поиска'!$B$2:$B$998,$F434))</f>
        <v>Spare 174</v>
      </c>
      <c r="C434" s="6" t="str">
        <f>IF($F434="","",INDEX('Каталог поиска'!$C$2:$C$998,$F434))</f>
        <v>PF</v>
      </c>
      <c r="D434" s="7">
        <f>IF(OR($F434="",E434=0,INDEX('Каталог поиска'!$D$2:$D$998,$F434)=0),"",IFERROR(INDEX('По размерам'!$A$2:$TY$86,MATCH($D$5,'По размерам'!$A$2:$A$86,0),INDEX('Каталог поиска'!$D$2:$D$998,$F434)),""))</f>
        <v/>
      </c>
      <c r="E434">
        <f>IF(OR($F434="",INDEX('Каталог поиска'!$D$2:$D$998,$F434)=0),"",IFERROR(INDEX('Количество значений'!$A$2:$TY$86,MATCH($D$5,'Количество значений'!$A$2:$A$86,0),INDEX('Каталог поиска'!$D$2:$D$998,$F434)),""))</f>
        <v/>
      </c>
      <c r="F434">
        <f>IFERROR(MATCH(422,'Каталог поиска'!$F$2:$F$998,0),"")</f>
        <v>422</v>
      </c>
    </row>
    <row r="435" spans="1:6" ht="36" customHeight="1">
      <c r="A435">
        <f>IF(F435="","",423)</f>
        <v>423</v>
      </c>
      <c r="B435" s="6" t="str">
        <f>IF($F435="","",INDEX('Каталог поиска'!$B$2:$B$998,$F435))</f>
        <v>M/C mode (1:K1S / 2:KBN2)</v>
      </c>
      <c r="C435" s="6" t="str">
        <f>IF($F435="","",INDEX('Каталог поиска'!$C$2:$C$998,$F435))</f>
        <v>PG</v>
      </c>
      <c r="D435" s="7">
        <f>IF(OR($F435="",E435=0,INDEX('Каталог поиска'!$D$2:$D$998,$F435)=0),"",IFERROR(INDEX('По размерам'!$A$2:$TY$86,MATCH($D$5,'По размерам'!$A$2:$A$86,0),INDEX('Каталог поиска'!$D$2:$D$998,$F435)),""))</f>
        <v>1</v>
      </c>
      <c r="E435">
        <f>IF(OR($F435="",INDEX('Каталог поиска'!$D$2:$D$998,$F435)=0),"",IFERROR(INDEX('Количество значений'!$A$2:$TY$86,MATCH($D$5,'Количество значений'!$A$2:$A$86,0),INDEX('Каталог поиска'!$D$2:$D$998,$F435)),""))</f>
        <v>4</v>
      </c>
      <c r="F435">
        <f>IFERROR(MATCH(423,'Каталог поиска'!$F$2:$F$998,0),"")</f>
        <v>423</v>
      </c>
    </row>
    <row r="436" spans="1:6" ht="36" customHeight="1">
      <c r="A436">
        <f>IF(F436="","",424)</f>
        <v>424</v>
      </c>
      <c r="B436" s="6" t="str">
        <f>IF($F436="","",INDEX('Каталог поиска'!$B$2:$B$998,$F436))</f>
        <v>Verify material 1</v>
      </c>
      <c r="C436" s="6" t="str">
        <f>IF($F436="","",INDEX('Каталог поиска'!$C$2:$C$998,$F436))</f>
        <v>PH</v>
      </c>
      <c r="D436" s="7">
        <f>IF(OR($F436="",E436=0,INDEX('Каталог поиска'!$D$2:$D$998,$F436)=0),"",IFERROR(INDEX('По размерам'!$A$2:$TY$86,MATCH($D$5,'По размерам'!$A$2:$A$86,0),INDEX('Каталог поиска'!$D$2:$D$998,$F436)),""))</f>
        <v/>
      </c>
      <c r="E436">
        <f>IF(OR($F436="",INDEX('Каталог поиска'!$D$2:$D$998,$F436)=0),"",IFERROR(INDEX('Количество значений'!$A$2:$TY$86,MATCH($D$5,'Количество значений'!$A$2:$A$86,0),INDEX('Каталог поиска'!$D$2:$D$998,$F436)),""))</f>
        <v/>
      </c>
      <c r="F436">
        <f>IFERROR(MATCH(424,'Каталог поиска'!$F$2:$F$998,0),"")</f>
        <v>424</v>
      </c>
    </row>
    <row r="437" spans="1:6" ht="36" customHeight="1">
      <c r="A437">
        <f>IF(F437="","",425)</f>
        <v>425</v>
      </c>
      <c r="B437" s="6" t="str">
        <f>IF($F437="","",INDEX('Каталог поиска'!$B$2:$B$998,$F437))</f>
        <v>Verify material 2(SIDE)</v>
      </c>
      <c r="C437" s="6" t="str">
        <f>IF($F437="","",INDEX('Каталог поиска'!$C$2:$C$998,$F437))</f>
        <v>PI</v>
      </c>
      <c r="D437" s="7">
        <f>IF(OR($F437="",E437=0,INDEX('Каталог поиска'!$D$2:$D$998,$F437)=0),"",IFERROR(INDEX('По размерам'!$A$2:$TY$86,MATCH($D$5,'По размерам'!$A$2:$A$86,0),INDEX('Каталог поиска'!$D$2:$D$998,$F437)),""))</f>
        <v/>
      </c>
      <c r="E437">
        <f>IF(OR($F437="",INDEX('Каталог поиска'!$D$2:$D$998,$F437)=0),"",IFERROR(INDEX('Количество значений'!$A$2:$TY$86,MATCH($D$5,'Количество значений'!$A$2:$A$86,0),INDEX('Каталог поиска'!$D$2:$D$998,$F437)),""))</f>
        <v/>
      </c>
      <c r="F437">
        <f>IFERROR(MATCH(425,'Каталог поиска'!$F$2:$F$998,0),"")</f>
        <v>425</v>
      </c>
    </row>
    <row r="438" spans="1:6" ht="36" customHeight="1">
      <c r="A438">
        <f>IF(F438="","",426)</f>
        <v>426</v>
      </c>
      <c r="B438" s="6" t="str">
        <f>IF($F438="","",INDEX('Каталог поиска'!$B$2:$B$998,$F438))</f>
        <v>Verify material 5 (Ply-1)</v>
      </c>
      <c r="C438" s="6" t="str">
        <f>IF($F438="","",INDEX('Каталог поиска'!$C$2:$C$998,$F438))</f>
        <v>PJ</v>
      </c>
      <c r="D438" s="7">
        <f>IF(OR($F438="",E438=0,INDEX('Каталог поиска'!$D$2:$D$998,$F438)=0),"",IFERROR(INDEX('По размерам'!$A$2:$TY$86,MATCH($D$5,'По размерам'!$A$2:$A$86,0),INDEX('Каталог поиска'!$D$2:$D$998,$F438)),""))</f>
        <v/>
      </c>
      <c r="E438">
        <f>IF(OR($F438="",INDEX('Каталог поиска'!$D$2:$D$998,$F438)=0),"",IFERROR(INDEX('Количество значений'!$A$2:$TY$86,MATCH($D$5,'Количество значений'!$A$2:$A$86,0),INDEX('Каталог поиска'!$D$2:$D$998,$F438)),""))</f>
        <v/>
      </c>
      <c r="F438">
        <f>IFERROR(MATCH(426,'Каталог поиска'!$F$2:$F$998,0),"")</f>
        <v>426</v>
      </c>
    </row>
    <row r="439" spans="1:6" ht="36" customHeight="1">
      <c r="A439">
        <f>IF(F439="","",427)</f>
        <v>427</v>
      </c>
      <c r="B439" s="6" t="str">
        <f>IF($F439="","",INDEX('Каталог поиска'!$B$2:$B$998,$F439))</f>
        <v>Verify material 6 (Ply-2)</v>
      </c>
      <c r="C439" s="6" t="str">
        <f>IF($F439="","",INDEX('Каталог поиска'!$C$2:$C$998,$F439))</f>
        <v>PK</v>
      </c>
      <c r="D439" s="7">
        <f>IF(OR($F439="",E439=0,INDEX('Каталог поиска'!$D$2:$D$998,$F439)=0),"",IFERROR(INDEX('По размерам'!$A$2:$TY$86,MATCH($D$5,'По размерам'!$A$2:$A$86,0),INDEX('Каталог поиска'!$D$2:$D$998,$F439)),""))</f>
        <v/>
      </c>
      <c r="E439">
        <f>IF(OR($F439="",INDEX('Каталог поиска'!$D$2:$D$998,$F439)=0),"",IFERROR(INDEX('Количество значений'!$A$2:$TY$86,MATCH($D$5,'Количество значений'!$A$2:$A$86,0),INDEX('Каталог поиска'!$D$2:$D$998,$F439)),""))</f>
        <v/>
      </c>
      <c r="F439">
        <f>IFERROR(MATCH(427,'Каталог поиска'!$F$2:$F$998,0),"")</f>
        <v>427</v>
      </c>
    </row>
    <row r="440" spans="1:6" ht="36" customHeight="1">
      <c r="A440">
        <f>IF(F440="","",428)</f>
        <v>428</v>
      </c>
      <c r="B440" s="6" t="str">
        <f>IF($F440="","",INDEX('Каталог поиска'!$B$2:$B$998,$F440))</f>
        <v>Verify material 7(IL)</v>
      </c>
      <c r="C440" s="6" t="str">
        <f>IF($F440="","",INDEX('Каталог поиска'!$C$2:$C$998,$F440))</f>
        <v>PL</v>
      </c>
      <c r="D440" s="7">
        <f>IF(OR($F440="",E440=0,INDEX('Каталог поиска'!$D$2:$D$998,$F440)=0),"",IFERROR(INDEX('По размерам'!$A$2:$TY$86,MATCH($D$5,'По размерам'!$A$2:$A$86,0),INDEX('Каталог поиска'!$D$2:$D$998,$F440)),""))</f>
        <v/>
      </c>
      <c r="E440">
        <f>IF(OR($F440="",INDEX('Каталог поиска'!$D$2:$D$998,$F440)=0),"",IFERROR(INDEX('Количество значений'!$A$2:$TY$86,MATCH($D$5,'Количество значений'!$A$2:$A$86,0),INDEX('Каталог поиска'!$D$2:$D$998,$F440)),""))</f>
        <v/>
      </c>
      <c r="F440">
        <f>IFERROR(MATCH(428,'Каталог поиска'!$F$2:$F$998,0),"")</f>
        <v>428</v>
      </c>
    </row>
    <row r="441" spans="1:6" ht="36" customHeight="1">
      <c r="A441">
        <f>IF(F441="","",429)</f>
        <v>429</v>
      </c>
      <c r="B441" s="6" t="str">
        <f>IF($F441="","",INDEX('Каталог поиска'!$B$2:$B$998,$F441))</f>
        <v>Verify material 8</v>
      </c>
      <c r="C441" s="6" t="str">
        <f>IF($F441="","",INDEX('Каталог поиска'!$C$2:$C$998,$F441))</f>
        <v>PM</v>
      </c>
      <c r="D441" s="7">
        <f>IF(OR($F441="",E441=0,INDEX('Каталог поиска'!$D$2:$D$998,$F441)=0),"",IFERROR(INDEX('По размерам'!$A$2:$TY$86,MATCH($D$5,'По размерам'!$A$2:$A$86,0),INDEX('Каталог поиска'!$D$2:$D$998,$F441)),""))</f>
        <v/>
      </c>
      <c r="E441">
        <f>IF(OR($F441="",INDEX('Каталог поиска'!$D$2:$D$998,$F441)=0),"",IFERROR(INDEX('Количество значений'!$A$2:$TY$86,MATCH($D$5,'Количество значений'!$A$2:$A$86,0),INDEX('Каталог поиска'!$D$2:$D$998,$F441)),""))</f>
        <v/>
      </c>
      <c r="F441">
        <f>IFERROR(MATCH(429,'Каталог поиска'!$F$2:$F$998,0),"")</f>
        <v>429</v>
      </c>
    </row>
    <row r="442" spans="1:6" ht="36" customHeight="1">
      <c r="A442">
        <f>IF(F442="","",430)</f>
        <v>430</v>
      </c>
      <c r="B442" s="6" t="str">
        <f>IF($F442="","",INDEX('Каталог поиска'!$B$2:$B$998,$F442))</f>
        <v>Verify material 9</v>
      </c>
      <c r="C442" s="6" t="str">
        <f>IF($F442="","",INDEX('Каталог поиска'!$C$2:$C$998,$F442))</f>
        <v>PN</v>
      </c>
      <c r="D442" s="7">
        <f>IF(OR($F442="",E442=0,INDEX('Каталог поиска'!$D$2:$D$998,$F442)=0),"",IFERROR(INDEX('По размерам'!$A$2:$TY$86,MATCH($D$5,'По размерам'!$A$2:$A$86,0),INDEX('Каталог поиска'!$D$2:$D$998,$F442)),""))</f>
        <v/>
      </c>
      <c r="E442">
        <f>IF(OR($F442="",INDEX('Каталог поиска'!$D$2:$D$998,$F442)=0),"",IFERROR(INDEX('Количество значений'!$A$2:$TY$86,MATCH($D$5,'Количество значений'!$A$2:$A$86,0),INDEX('Каталог поиска'!$D$2:$D$998,$F442)),""))</f>
        <v/>
      </c>
      <c r="F442">
        <f>IFERROR(MATCH(430,'Каталог поиска'!$F$2:$F$998,0),"")</f>
        <v>430</v>
      </c>
    </row>
    <row r="443" spans="1:6" ht="36" customHeight="1">
      <c r="A443">
        <f>IF(F443="","",431)</f>
        <v>431</v>
      </c>
      <c r="B443" s="6" t="str">
        <f>IF($F443="","",INDEX('Каталог поиска'!$B$2:$B$998,$F443))</f>
        <v>Verify material 11 (FL)</v>
      </c>
      <c r="C443" s="6" t="str">
        <f>IF($F443="","",INDEX('Каталог поиска'!$C$2:$C$998,$F443))</f>
        <v>PO</v>
      </c>
      <c r="D443" s="7">
        <f>IF(OR($F443="",E443=0,INDEX('Каталог поиска'!$D$2:$D$998,$F443)=0),"",IFERROR(INDEX('По размерам'!$A$2:$TY$86,MATCH($D$5,'По размерам'!$A$2:$A$86,0),INDEX('Каталог поиска'!$D$2:$D$998,$F443)),""))</f>
        <v/>
      </c>
      <c r="E443">
        <f>IF(OR($F443="",INDEX('Каталог поиска'!$D$2:$D$998,$F443)=0),"",IFERROR(INDEX('Количество значений'!$A$2:$TY$86,MATCH($D$5,'Количество значений'!$A$2:$A$86,0),INDEX('Каталог поиска'!$D$2:$D$998,$F443)),""))</f>
        <v/>
      </c>
      <c r="F443">
        <f>IFERROR(MATCH(431,'Каталог поиска'!$F$2:$F$998,0),"")</f>
        <v>431</v>
      </c>
    </row>
    <row r="444" spans="1:6" ht="36" customHeight="1">
      <c r="A444">
        <f>IF(F444="","",432)</f>
        <v>432</v>
      </c>
      <c r="B444" s="6" t="str">
        <f>IF($F444="","",INDEX('Каталог поиска'!$B$2:$B$998,$F444))</f>
        <v>Verify material 12 (BBF)</v>
      </c>
      <c r="C444" s="6" t="str">
        <f>IF($F444="","",INDEX('Каталог поиска'!$C$2:$C$998,$F444))</f>
        <v>PP</v>
      </c>
      <c r="D444" s="7">
        <f>IF(OR($F444="",E444=0,INDEX('Каталог поиска'!$D$2:$D$998,$F444)=0),"",IFERROR(INDEX('По размерам'!$A$2:$TY$86,MATCH($D$5,'По размерам'!$A$2:$A$86,0),INDEX('Каталог поиска'!$D$2:$D$998,$F444)),""))</f>
        <v/>
      </c>
      <c r="E444">
        <f>IF(OR($F444="",INDEX('Каталог поиска'!$D$2:$D$998,$F444)=0),"",IFERROR(INDEX('Количество значений'!$A$2:$TY$86,MATCH($D$5,'Количество значений'!$A$2:$A$86,0),INDEX('Каталог поиска'!$D$2:$D$998,$F444)),""))</f>
        <v/>
      </c>
      <c r="F444">
        <f>IFERROR(MATCH(432,'Каталог поиска'!$F$2:$F$998,0),"")</f>
        <v>432</v>
      </c>
    </row>
    <row r="445" spans="1:6" ht="36" customHeight="1">
      <c r="A445">
        <f>IF(F445="","",433)</f>
        <v>433</v>
      </c>
      <c r="B445" s="6" t="str">
        <f>IF($F445="","",INDEX('Каталог поиска'!$B$2:$B$998,$F445))</f>
        <v>Verify material 13</v>
      </c>
      <c r="C445" s="6" t="str">
        <f>IF($F445="","",INDEX('Каталог поиска'!$C$2:$C$998,$F445))</f>
        <v>PQ</v>
      </c>
      <c r="D445" s="7">
        <f>IF(OR($F445="",E445=0,INDEX('Каталог поиска'!$D$2:$D$998,$F445)=0),"",IFERROR(INDEX('По размерам'!$A$2:$TY$86,MATCH($D$5,'По размерам'!$A$2:$A$86,0),INDEX('Каталог поиска'!$D$2:$D$998,$F445)),""))</f>
        <v/>
      </c>
      <c r="E445">
        <f>IF(OR($F445="",INDEX('Каталог поиска'!$D$2:$D$998,$F445)=0),"",IFERROR(INDEX('Количество значений'!$A$2:$TY$86,MATCH($D$5,'Количество значений'!$A$2:$A$86,0),INDEX('Каталог поиска'!$D$2:$D$998,$F445)),""))</f>
        <v/>
      </c>
      <c r="F445">
        <f>IFERROR(MATCH(433,'Каталог поиска'!$F$2:$F$998,0),"")</f>
        <v>433</v>
      </c>
    </row>
    <row r="446" spans="1:6" ht="36" customHeight="1">
      <c r="A446">
        <f>IF(F446="","",434)</f>
        <v>434</v>
      </c>
      <c r="B446" s="6" t="str">
        <f>IF($F446="","",INDEX('Каталог поиска'!$B$2:$B$998,$F446))</f>
        <v>Verify material 14</v>
      </c>
      <c r="C446" s="6" t="str">
        <f>IF($F446="","",INDEX('Каталог поиска'!$C$2:$C$998,$F446))</f>
        <v>PR</v>
      </c>
      <c r="D446" s="7">
        <f>IF(OR($F446="",E446=0,INDEX('Каталог поиска'!$D$2:$D$998,$F446)=0),"",IFERROR(INDEX('По размерам'!$A$2:$TY$86,MATCH($D$5,'По размерам'!$A$2:$A$86,0),INDEX('Каталог поиска'!$D$2:$D$998,$F446)),""))</f>
        <v/>
      </c>
      <c r="E446">
        <f>IF(OR($F446="",INDEX('Каталог поиска'!$D$2:$D$998,$F446)=0),"",IFERROR(INDEX('Количество значений'!$A$2:$TY$86,MATCH($D$5,'Количество значений'!$A$2:$A$86,0),INDEX('Каталог поиска'!$D$2:$D$998,$F446)),""))</f>
        <v/>
      </c>
      <c r="F446">
        <f>IFERROR(MATCH(434,'Каталог поиска'!$F$2:$F$998,0),"")</f>
        <v>434</v>
      </c>
    </row>
    <row r="447" spans="1:6" ht="36" customHeight="1">
      <c r="A447">
        <f>IF(F447="","",435)</f>
        <v>435</v>
      </c>
      <c r="B447" s="6" t="str">
        <f>IF($F447="","",INDEX('Каталог поиска'!$B$2:$B$998,$F447))</f>
        <v>Verify material 15(CCH)</v>
      </c>
      <c r="C447" s="6" t="str">
        <f>IF($F447="","",INDEX('Каталог поиска'!$C$2:$C$998,$F447))</f>
        <v>PS</v>
      </c>
      <c r="D447" s="7">
        <f>IF(OR($F447="",E447=0,INDEX('Каталог поиска'!$D$2:$D$998,$F447)=0),"",IFERROR(INDEX('По размерам'!$A$2:$TY$86,MATCH($D$5,'По размерам'!$A$2:$A$86,0),INDEX('Каталог поиска'!$D$2:$D$998,$F447)),""))</f>
        <v/>
      </c>
      <c r="E447">
        <f>IF(OR($F447="",INDEX('Каталог поиска'!$D$2:$D$998,$F447)=0),"",IFERROR(INDEX('Количество значений'!$A$2:$TY$86,MATCH($D$5,'Количество значений'!$A$2:$A$86,0),INDEX('Каталог поиска'!$D$2:$D$998,$F447)),""))</f>
        <v/>
      </c>
      <c r="F447">
        <f>IFERROR(MATCH(435,'Каталог поиска'!$F$2:$F$998,0),"")</f>
        <v>435</v>
      </c>
    </row>
    <row r="448" spans="1:6" ht="36" customHeight="1">
      <c r="A448">
        <f>IF(F448="","",436)</f>
        <v>436</v>
      </c>
      <c r="B448" s="6" t="str">
        <f>IF($F448="","",INDEX('Каталог поиска'!$B$2:$B$998,$F448))</f>
        <v>Verify material 16</v>
      </c>
      <c r="C448" s="6" t="str">
        <f>IF($F448="","",INDEX('Каталог поиска'!$C$2:$C$998,$F448))</f>
        <v>PT</v>
      </c>
      <c r="D448" s="7">
        <f>IF(OR($F448="",E448=0,INDEX('Каталог поиска'!$D$2:$D$998,$F448)=0),"",IFERROR(INDEX('По размерам'!$A$2:$TY$86,MATCH($D$5,'По размерам'!$A$2:$A$86,0),INDEX('Каталог поиска'!$D$2:$D$998,$F448)),""))</f>
        <v/>
      </c>
      <c r="E448">
        <f>IF(OR($F448="",INDEX('Каталог поиска'!$D$2:$D$998,$F448)=0),"",IFERROR(INDEX('Количество значений'!$A$2:$TY$86,MATCH($D$5,'Количество значений'!$A$2:$A$86,0),INDEX('Каталог поиска'!$D$2:$D$998,$F448)),""))</f>
        <v/>
      </c>
      <c r="F448">
        <f>IFERROR(MATCH(436,'Каталог поиска'!$F$2:$F$998,0),"")</f>
        <v>436</v>
      </c>
    </row>
    <row r="449" spans="1:6" ht="36" customHeight="1">
      <c r="A449">
        <f>IF(F449="","",437)</f>
        <v>437</v>
      </c>
      <c r="B449" s="6" t="str">
        <f>IF($F449="","",INDEX('Каталог поиска'!$B$2:$B$998,$F449))</f>
        <v>Verify material 17</v>
      </c>
      <c r="C449" s="6" t="str">
        <f>IF($F449="","",INDEX('Каталог поиска'!$C$2:$C$998,$F449))</f>
        <v>PU</v>
      </c>
      <c r="D449" s="7">
        <f>IF(OR($F449="",E449=0,INDEX('Каталог поиска'!$D$2:$D$998,$F449)=0),"",IFERROR(INDEX('По размерам'!$A$2:$TY$86,MATCH($D$5,'По размерам'!$A$2:$A$86,0),INDEX('Каталог поиска'!$D$2:$D$998,$F449)),""))</f>
        <v/>
      </c>
      <c r="E449">
        <f>IF(OR($F449="",INDEX('Каталог поиска'!$D$2:$D$998,$F449)=0),"",IFERROR(INDEX('Количество значений'!$A$2:$TY$86,MATCH($D$5,'Количество значений'!$A$2:$A$86,0),INDEX('Каталог поиска'!$D$2:$D$998,$F449)),""))</f>
        <v/>
      </c>
      <c r="F449">
        <f>IFERROR(MATCH(437,'Каталог поиска'!$F$2:$F$998,0),"")</f>
        <v>437</v>
      </c>
    </row>
    <row r="450" spans="1:6" ht="36" customHeight="1">
      <c r="A450">
        <f>IF(F450="","",438)</f>
        <v>438</v>
      </c>
      <c r="B450" s="6" t="str">
        <f>IF($F450="","",INDEX('Каталог поиска'!$B$2:$B$998,$F450))</f>
        <v>Verify material 18</v>
      </c>
      <c r="C450" s="6" t="str">
        <f>IF($F450="","",INDEX('Каталог поиска'!$C$2:$C$998,$F450))</f>
        <v>PV</v>
      </c>
      <c r="D450" s="7">
        <f>IF(OR($F450="",E450=0,INDEX('Каталог поиска'!$D$2:$D$998,$F450)=0),"",IFERROR(INDEX('По размерам'!$A$2:$TY$86,MATCH($D$5,'По размерам'!$A$2:$A$86,0),INDEX('Каталог поиска'!$D$2:$D$998,$F450)),""))</f>
        <v/>
      </c>
      <c r="E450">
        <f>IF(OR($F450="",INDEX('Каталог поиска'!$D$2:$D$998,$F450)=0),"",IFERROR(INDEX('Количество значений'!$A$2:$TY$86,MATCH($D$5,'Количество значений'!$A$2:$A$86,0),INDEX('Каталог поиска'!$D$2:$D$998,$F450)),""))</f>
        <v/>
      </c>
      <c r="F450">
        <f>IFERROR(MATCH(438,'Каталог поиска'!$F$2:$F$998,0),"")</f>
        <v>438</v>
      </c>
    </row>
    <row r="451" spans="1:6" ht="36" customHeight="1">
      <c r="A451">
        <f>IF(F451="","",439)</f>
        <v>439</v>
      </c>
      <c r="B451" s="6" t="str">
        <f>IF($F451="","",INDEX('Каталог поиска'!$B$2:$B$998,$F451))</f>
        <v>Verify material 19</v>
      </c>
      <c r="C451" s="6" t="str">
        <f>IF($F451="","",INDEX('Каталог поиска'!$C$2:$C$998,$F451))</f>
        <v>PW</v>
      </c>
      <c r="D451" s="7">
        <f>IF(OR($F451="",E451=0,INDEX('Каталог поиска'!$D$2:$D$998,$F451)=0),"",IFERROR(INDEX('По размерам'!$A$2:$TY$86,MATCH($D$5,'По размерам'!$A$2:$A$86,0),INDEX('Каталог поиска'!$D$2:$D$998,$F451)),""))</f>
        <v/>
      </c>
      <c r="E451">
        <f>IF(OR($F451="",INDEX('Каталог поиска'!$D$2:$D$998,$F451)=0),"",IFERROR(INDEX('Количество значений'!$A$2:$TY$86,MATCH($D$5,'Количество значений'!$A$2:$A$86,0),INDEX('Каталог поиска'!$D$2:$D$998,$F451)),""))</f>
        <v/>
      </c>
      <c r="F451">
        <f>IFERROR(MATCH(439,'Каталог поиска'!$F$2:$F$998,0),"")</f>
        <v>439</v>
      </c>
    </row>
    <row r="452" spans="1:6" ht="36" customHeight="1">
      <c r="A452">
        <f>IF(F452="","",440)</f>
        <v>440</v>
      </c>
      <c r="B452" s="6" t="str">
        <f>IF($F452="","",INDEX('Каталог поиска'!$B$2:$B$998,$F452))</f>
        <v>BOM_SIDE_PARTID</v>
      </c>
      <c r="C452" s="6" t="str">
        <f>IF($F452="","",INDEX('Каталог поиска'!$C$2:$C$998,$F452))</f>
        <v>PX</v>
      </c>
      <c r="D452" s="7">
        <f>IF(OR($F452="",E452=0,INDEX('Каталог поиска'!$D$2:$D$998,$F452)=0),"",IFERROR(INDEX('По размерам'!$A$2:$TY$86,MATCH($D$5,'По размерам'!$A$2:$A$86,0),INDEX('Каталог поиска'!$D$2:$D$998,$F452)),""))</f>
        <v>56</v>
      </c>
      <c r="E452">
        <f>IF(OR($F452="",INDEX('Каталог поиска'!$D$2:$D$998,$F452)=0),"",IFERROR(INDEX('Количество значений'!$A$2:$TY$86,MATCH($D$5,'Количество значений'!$A$2:$A$86,0),INDEX('Каталог поиска'!$D$2:$D$998,$F452)),""))</f>
        <v>4</v>
      </c>
      <c r="F452">
        <f>IFERROR(MATCH(440,'Каталог поиска'!$F$2:$F$998,0),"")</f>
        <v>440</v>
      </c>
    </row>
    <row r="453" spans="1:6" ht="36" customHeight="1">
      <c r="A453">
        <f>IF(F453="","",441)</f>
        <v>441</v>
      </c>
      <c r="B453" s="6" t="str">
        <f>IF($F453="","",INDEX('Каталог поиска'!$B$2:$B$998,$F453))</f>
        <v>BOM_SIDE_MACHINEGROUP</v>
      </c>
      <c r="C453" s="6" t="str">
        <f>IF($F453="","",INDEX('Каталог поиска'!$C$2:$C$998,$F453))</f>
        <v>PY</v>
      </c>
      <c r="D453" s="7">
        <f>IF(OR($F453="",E453=0,INDEX('Каталог поиска'!$D$2:$D$998,$F453)=0),"",IFERROR(INDEX('По размерам'!$A$2:$TY$86,MATCH($D$5,'По размерам'!$A$2:$A$86,0),INDEX('Каталог поиска'!$D$2:$D$998,$F453)),""))</f>
        <v>56.75</v>
      </c>
      <c r="E453">
        <f>IF(OR($F453="",INDEX('Каталог поиска'!$D$2:$D$998,$F453)=0),"",IFERROR(INDEX('Количество значений'!$A$2:$TY$86,MATCH($D$5,'Количество значений'!$A$2:$A$86,0),INDEX('Каталог поиска'!$D$2:$D$998,$F453)),""))</f>
        <v>4</v>
      </c>
      <c r="F453">
        <f>IFERROR(MATCH(441,'Каталог поиска'!$F$2:$F$998,0),"")</f>
        <v>441</v>
      </c>
    </row>
    <row r="454" spans="1:6" ht="36" customHeight="1">
      <c r="A454">
        <f>IF(F454="","",442)</f>
        <v>442</v>
      </c>
      <c r="B454" s="6" t="str">
        <f>IF($F454="","",INDEX('Каталог поиска'!$B$2:$B$998,$F454))</f>
        <v>BOM_SIDE_PARTNUMBER</v>
      </c>
      <c r="C454" s="6" t="str">
        <f>IF($F454="","",INDEX('Каталог поиска'!$C$2:$C$998,$F454))</f>
        <v>PZ</v>
      </c>
      <c r="D454" s="7">
        <f>IF(OR($F454="",E454=0,INDEX('Каталог поиска'!$D$2:$D$998,$F454)=0),"",IFERROR(INDEX('По размерам'!$A$2:$TY$86,MATCH($D$5,'По размерам'!$A$2:$A$86,0),INDEX('Каталог поиска'!$D$2:$D$998,$F454)),""))</f>
        <v/>
      </c>
      <c r="E454">
        <f>IF(OR($F454="",INDEX('Каталог поиска'!$D$2:$D$998,$F454)=0),"",IFERROR(INDEX('Количество значений'!$A$2:$TY$86,MATCH($D$5,'Количество значений'!$A$2:$A$86,0),INDEX('Каталог поиска'!$D$2:$D$998,$F454)),""))</f>
        <v/>
      </c>
      <c r="F454">
        <f>IFERROR(MATCH(442,'Каталог поиска'!$F$2:$F$998,0),"")</f>
        <v>442</v>
      </c>
    </row>
    <row r="455" spans="1:6" ht="36" customHeight="1">
      <c r="A455">
        <f>IF(F455="","",443)</f>
        <v>443</v>
      </c>
      <c r="B455" s="6" t="str">
        <f>IF($F455="","",INDEX('Каталог поиска'!$B$2:$B$998,$F455))</f>
        <v>BOM_SIDE_REVISIONNO</v>
      </c>
      <c r="C455" s="6" t="str">
        <f>IF($F455="","",INDEX('Каталог поиска'!$C$2:$C$998,$F455))</f>
        <v>QA</v>
      </c>
      <c r="D455" s="7">
        <f>IF(OR($F455="",E455=0,INDEX('Каталог поиска'!$D$2:$D$998,$F455)=0),"",IFERROR(INDEX('По размерам'!$A$2:$TY$86,MATCH($D$5,'По размерам'!$A$2:$A$86,0),INDEX('Каталог поиска'!$D$2:$D$998,$F455)),""))</f>
        <v>2</v>
      </c>
      <c r="E455">
        <f>IF(OR($F455="",INDEX('Каталог поиска'!$D$2:$D$998,$F455)=0),"",IFERROR(INDEX('Количество значений'!$A$2:$TY$86,MATCH($D$5,'Количество значений'!$A$2:$A$86,0),INDEX('Каталог поиска'!$D$2:$D$998,$F455)),""))</f>
        <v>4</v>
      </c>
      <c r="F455">
        <f>IFERROR(MATCH(443,'Каталог поиска'!$F$2:$F$998,0),"")</f>
        <v>443</v>
      </c>
    </row>
    <row r="456" spans="1:6" ht="36" customHeight="1">
      <c r="A456">
        <f>IF(F456="","",444)</f>
        <v>444</v>
      </c>
      <c r="B456" s="6" t="str">
        <f>IF($F456="","",INDEX('Каталог поиска'!$B$2:$B$998,$F456))</f>
        <v>BOM_SIDE_LENGTH</v>
      </c>
      <c r="C456" s="6" t="str">
        <f>IF($F456="","",INDEX('Каталог поиска'!$C$2:$C$998,$F456))</f>
        <v>QB</v>
      </c>
      <c r="D456" s="7">
        <f>IF(OR($F456="",E456=0,INDEX('Каталог поиска'!$D$2:$D$998,$F456)=0),"",IFERROR(INDEX('По размерам'!$A$2:$TY$86,MATCH($D$5,'По размерам'!$A$2:$A$86,0),INDEX('Каталог поиска'!$D$2:$D$998,$F456)),""))</f>
        <v>1045</v>
      </c>
      <c r="E456">
        <f>IF(OR($F456="",INDEX('Каталог поиска'!$D$2:$D$998,$F456)=0),"",IFERROR(INDEX('Количество значений'!$A$2:$TY$86,MATCH($D$5,'Количество значений'!$A$2:$A$86,0),INDEX('Каталог поиска'!$D$2:$D$998,$F456)),""))</f>
        <v>4</v>
      </c>
      <c r="F456">
        <f>IFERROR(MATCH(444,'Каталог поиска'!$F$2:$F$998,0),"")</f>
        <v>444</v>
      </c>
    </row>
    <row r="457" spans="1:6" ht="36" customHeight="1">
      <c r="A457">
        <f>IF(F457="","",445)</f>
        <v>445</v>
      </c>
      <c r="B457" s="6" t="str">
        <f>IF($F457="","",INDEX('Каталог поиска'!$B$2:$B$998,$F457))</f>
        <v>BOM_IL_PARTID</v>
      </c>
      <c r="C457" s="6" t="str">
        <f>IF($F457="","",INDEX('Каталог поиска'!$C$2:$C$998,$F457))</f>
        <v>QC</v>
      </c>
      <c r="D457" s="7">
        <f>IF(OR($F457="",E457=0,INDEX('Каталог поиска'!$D$2:$D$998,$F457)=0),"",IFERROR(INDEX('По размерам'!$A$2:$TY$86,MATCH($D$5,'По размерам'!$A$2:$A$86,0),INDEX('Каталог поиска'!$D$2:$D$998,$F457)),""))</f>
        <v>69</v>
      </c>
      <c r="E457">
        <f>IF(OR($F457="",INDEX('Каталог поиска'!$D$2:$D$998,$F457)=0),"",IFERROR(INDEX('Количество значений'!$A$2:$TY$86,MATCH($D$5,'Количество значений'!$A$2:$A$86,0),INDEX('Каталог поиска'!$D$2:$D$998,$F457)),""))</f>
        <v>4</v>
      </c>
      <c r="F457">
        <f>IFERROR(MATCH(445,'Каталог поиска'!$F$2:$F$998,0),"")</f>
        <v>445</v>
      </c>
    </row>
    <row r="458" spans="1:6" ht="36" customHeight="1">
      <c r="A458">
        <f>IF(F458="","",446)</f>
        <v>446</v>
      </c>
      <c r="B458" s="6" t="str">
        <f>IF($F458="","",INDEX('Каталог поиска'!$B$2:$B$998,$F458))</f>
        <v>BOM_IL_MACHINEGROUP</v>
      </c>
      <c r="C458" s="6" t="str">
        <f>IF($F458="","",INDEX('Каталог поиска'!$C$2:$C$998,$F458))</f>
        <v>QD</v>
      </c>
      <c r="D458" s="7">
        <f>IF(OR($F458="",E458=0,INDEX('Каталог поиска'!$D$2:$D$998,$F458)=0),"",IFERROR(INDEX('По размерам'!$A$2:$TY$86,MATCH($D$5,'По размерам'!$A$2:$A$86,0),INDEX('Каталог поиска'!$D$2:$D$998,$F458)),""))</f>
        <v>69</v>
      </c>
      <c r="E458">
        <f>IF(OR($F458="",INDEX('Каталог поиска'!$D$2:$D$998,$F458)=0),"",IFERROR(INDEX('Количество значений'!$A$2:$TY$86,MATCH($D$5,'Количество значений'!$A$2:$A$86,0),INDEX('Каталог поиска'!$D$2:$D$998,$F458)),""))</f>
        <v>4</v>
      </c>
      <c r="F458">
        <f>IFERROR(MATCH(446,'Каталог поиска'!$F$2:$F$998,0),"")</f>
        <v>446</v>
      </c>
    </row>
    <row r="459" spans="1:6" ht="36" customHeight="1">
      <c r="A459">
        <f>IF(F459="","",447)</f>
        <v>447</v>
      </c>
      <c r="B459" s="6" t="str">
        <f>IF($F459="","",INDEX('Каталог поиска'!$B$2:$B$998,$F459))</f>
        <v>BOM_IL_PARTNUMBER</v>
      </c>
      <c r="C459" s="6" t="str">
        <f>IF($F459="","",INDEX('Каталог поиска'!$C$2:$C$998,$F459))</f>
        <v>QE</v>
      </c>
      <c r="D459" s="7">
        <f>IF(OR($F459="",E459=0,INDEX('Каталог поиска'!$D$2:$D$998,$F459)=0),"",IFERROR(INDEX('По размерам'!$A$2:$TY$86,MATCH($D$5,'По размерам'!$A$2:$A$86,0),INDEX('Каталог поиска'!$D$2:$D$998,$F459)),""))</f>
        <v/>
      </c>
      <c r="E459">
        <f>IF(OR($F459="",INDEX('Каталог поиска'!$D$2:$D$998,$F459)=0),"",IFERROR(INDEX('Количество значений'!$A$2:$TY$86,MATCH($D$5,'Количество значений'!$A$2:$A$86,0),INDEX('Каталог поиска'!$D$2:$D$998,$F459)),""))</f>
        <v/>
      </c>
      <c r="F459">
        <f>IFERROR(MATCH(447,'Каталог поиска'!$F$2:$F$998,0),"")</f>
        <v>447</v>
      </c>
    </row>
    <row r="460" spans="1:6" ht="36" customHeight="1">
      <c r="A460">
        <f>IF(F460="","",448)</f>
        <v>448</v>
      </c>
      <c r="B460" s="6" t="str">
        <f>IF($F460="","",INDEX('Каталог поиска'!$B$2:$B$998,$F460))</f>
        <v>BOM_IL_REVISIONNO</v>
      </c>
      <c r="C460" s="6" t="str">
        <f>IF($F460="","",INDEX('Каталог поиска'!$C$2:$C$998,$F460))</f>
        <v>QF</v>
      </c>
      <c r="D460" s="7">
        <f>IF(OR($F460="",E460=0,INDEX('Каталог поиска'!$D$2:$D$998,$F460)=0),"",IFERROR(INDEX('По размерам'!$A$2:$TY$86,MATCH($D$5,'По размерам'!$A$2:$A$86,0),INDEX('Каталог поиска'!$D$2:$D$998,$F460)),""))</f>
        <v>1</v>
      </c>
      <c r="E460">
        <f>IF(OR($F460="",INDEX('Каталог поиска'!$D$2:$D$998,$F460)=0),"",IFERROR(INDEX('Количество значений'!$A$2:$TY$86,MATCH($D$5,'Количество значений'!$A$2:$A$86,0),INDEX('Каталог поиска'!$D$2:$D$998,$F460)),""))</f>
        <v>4</v>
      </c>
      <c r="F460">
        <f>IFERROR(MATCH(448,'Каталог поиска'!$F$2:$F$998,0),"")</f>
        <v>448</v>
      </c>
    </row>
    <row r="461" spans="1:6" ht="36" customHeight="1">
      <c r="A461">
        <f>IF(F461="","",449)</f>
        <v>449</v>
      </c>
      <c r="B461" s="6" t="str">
        <f>IF($F461="","",INDEX('Каталог поиска'!$B$2:$B$998,$F461))</f>
        <v>BOM_IL_LENGTH</v>
      </c>
      <c r="C461" s="6" t="str">
        <f>IF($F461="","",INDEX('Каталог поиска'!$C$2:$C$998,$F461))</f>
        <v>QG</v>
      </c>
      <c r="D461" s="7">
        <f>IF(OR($F461="",E461=0,INDEX('Каталог поиска'!$D$2:$D$998,$F461)=0),"",IFERROR(INDEX('По размерам'!$A$2:$TY$86,MATCH($D$5,'По размерам'!$A$2:$A$86,0),INDEX('Каталог поиска'!$D$2:$D$998,$F461)),""))</f>
        <v>1064</v>
      </c>
      <c r="E461">
        <f>IF(OR($F461="",INDEX('Каталог поиска'!$D$2:$D$998,$F461)=0),"",IFERROR(INDEX('Количество значений'!$A$2:$TY$86,MATCH($D$5,'Количество значений'!$A$2:$A$86,0),INDEX('Каталог поиска'!$D$2:$D$998,$F461)),""))</f>
        <v>4</v>
      </c>
      <c r="F461">
        <f>IFERROR(MATCH(449,'Каталог поиска'!$F$2:$F$998,0),"")</f>
        <v>449</v>
      </c>
    </row>
    <row r="462" spans="1:6" ht="36" customHeight="1">
      <c r="A462">
        <f>IF(F462="","",450)</f>
        <v>450</v>
      </c>
      <c r="B462" s="6" t="str">
        <f>IF($F462="","",INDEX('Каталог поиска'!$B$2:$B$998,$F462))</f>
        <v>BOM_CCH_PARTID</v>
      </c>
      <c r="C462" s="6" t="str">
        <f>IF($F462="","",INDEX('Каталог поиска'!$C$2:$C$998,$F462))</f>
        <v>QH</v>
      </c>
      <c r="D462" s="7">
        <f>IF(OR($F462="",E462=0,INDEX('Каталог поиска'!$D$2:$D$998,$F462)=0),"",IFERROR(INDEX('По размерам'!$A$2:$TY$86,MATCH($D$5,'По размерам'!$A$2:$A$86,0),INDEX('Каталог поиска'!$D$2:$D$998,$F462)),""))</f>
        <v>66</v>
      </c>
      <c r="E462">
        <f>IF(OR($F462="",INDEX('Каталог поиска'!$D$2:$D$998,$F462)=0),"",IFERROR(INDEX('Количество значений'!$A$2:$TY$86,MATCH($D$5,'Количество значений'!$A$2:$A$86,0),INDEX('Каталог поиска'!$D$2:$D$998,$F462)),""))</f>
        <v>4</v>
      </c>
      <c r="F462">
        <f>IFERROR(MATCH(450,'Каталог поиска'!$F$2:$F$998,0),"")</f>
        <v>450</v>
      </c>
    </row>
    <row r="463" spans="1:6" ht="36" customHeight="1">
      <c r="A463">
        <f>IF(F463="","",451)</f>
        <v>451</v>
      </c>
      <c r="B463" s="6" t="str">
        <f>IF($F463="","",INDEX('Каталог поиска'!$B$2:$B$998,$F463))</f>
        <v>BOM_CCH_MACHINEGROUP</v>
      </c>
      <c r="C463" s="6" t="str">
        <f>IF($F463="","",INDEX('Каталог поиска'!$C$2:$C$998,$F463))</f>
        <v>QI</v>
      </c>
      <c r="D463" s="7">
        <f>IF(OR($F463="",E463=0,INDEX('Каталог поиска'!$D$2:$D$998,$F463)=0),"",IFERROR(INDEX('По размерам'!$A$2:$TY$86,MATCH($D$5,'По размерам'!$A$2:$A$86,0),INDEX('Каталог поиска'!$D$2:$D$998,$F463)),""))</f>
        <v>66</v>
      </c>
      <c r="E463">
        <f>IF(OR($F463="",INDEX('Каталог поиска'!$D$2:$D$998,$F463)=0),"",IFERROR(INDEX('Количество значений'!$A$2:$TY$86,MATCH($D$5,'Количество значений'!$A$2:$A$86,0),INDEX('Каталог поиска'!$D$2:$D$998,$F463)),""))</f>
        <v>4</v>
      </c>
      <c r="F463">
        <f>IFERROR(MATCH(451,'Каталог поиска'!$F$2:$F$998,0),"")</f>
        <v>451</v>
      </c>
    </row>
    <row r="464" spans="1:6" ht="36" customHeight="1">
      <c r="A464">
        <f>IF(F464="","",452)</f>
        <v>452</v>
      </c>
      <c r="B464" s="6" t="str">
        <f>IF($F464="","",INDEX('Каталог поиска'!$B$2:$B$998,$F464))</f>
        <v>BOM_CCH_PARTNUMBER</v>
      </c>
      <c r="C464" s="6" t="str">
        <f>IF($F464="","",INDEX('Каталог поиска'!$C$2:$C$998,$F464))</f>
        <v>QJ</v>
      </c>
      <c r="D464" s="7">
        <f>IF(OR($F464="",E464=0,INDEX('Каталог поиска'!$D$2:$D$998,$F464)=0),"",IFERROR(INDEX('По размерам'!$A$2:$TY$86,MATCH($D$5,'По размерам'!$A$2:$A$86,0),INDEX('Каталог поиска'!$D$2:$D$998,$F464)),""))</f>
        <v/>
      </c>
      <c r="E464">
        <f>IF(OR($F464="",INDEX('Каталог поиска'!$D$2:$D$998,$F464)=0),"",IFERROR(INDEX('Количество значений'!$A$2:$TY$86,MATCH($D$5,'Количество значений'!$A$2:$A$86,0),INDEX('Каталог поиска'!$D$2:$D$998,$F464)),""))</f>
        <v/>
      </c>
      <c r="F464">
        <f>IFERROR(MATCH(452,'Каталог поиска'!$F$2:$F$998,0),"")</f>
        <v>452</v>
      </c>
    </row>
    <row r="465" spans="1:6" ht="36" customHeight="1">
      <c r="A465">
        <f>IF(F465="","",453)</f>
        <v>453</v>
      </c>
      <c r="B465" s="6" t="str">
        <f>IF($F465="","",INDEX('Каталог поиска'!$B$2:$B$998,$F465))</f>
        <v>BOM_CCH_REVISIONNO</v>
      </c>
      <c r="C465" s="6" t="str">
        <f>IF($F465="","",INDEX('Каталог поиска'!$C$2:$C$998,$F465))</f>
        <v>QK</v>
      </c>
      <c r="D465" s="7">
        <f>IF(OR($F465="",E465=0,INDEX('Каталог поиска'!$D$2:$D$998,$F465)=0),"",IFERROR(INDEX('По размерам'!$A$2:$TY$86,MATCH($D$5,'По размерам'!$A$2:$A$86,0),INDEX('Каталог поиска'!$D$2:$D$998,$F465)),""))</f>
        <v/>
      </c>
      <c r="E465">
        <f>IF(OR($F465="",INDEX('Каталог поиска'!$D$2:$D$998,$F465)=0),"",IFERROR(INDEX('Количество значений'!$A$2:$TY$86,MATCH($D$5,'Количество значений'!$A$2:$A$86,0),INDEX('Каталог поиска'!$D$2:$D$998,$F465)),""))</f>
        <v>0</v>
      </c>
      <c r="F465">
        <f>IFERROR(MATCH(453,'Каталог поиска'!$F$2:$F$998,0),"")</f>
        <v>453</v>
      </c>
    </row>
    <row r="466" spans="1:6" ht="36" customHeight="1">
      <c r="A466">
        <f>IF(F466="","",454)</f>
        <v>454</v>
      </c>
      <c r="B466" s="6" t="str">
        <f>IF($F466="","",INDEX('Каталог поиска'!$B$2:$B$998,$F466))</f>
        <v>BOM_CCH_LENGTH</v>
      </c>
      <c r="C466" s="6" t="str">
        <f>IF($F466="","",INDEX('Каталог поиска'!$C$2:$C$998,$F466))</f>
        <v>QL</v>
      </c>
      <c r="D466" s="7">
        <f>IF(OR($F466="",E466=0,INDEX('Каталог поиска'!$D$2:$D$998,$F466)=0),"",IFERROR(INDEX('По размерам'!$A$2:$TY$86,MATCH($D$5,'По размерам'!$A$2:$A$86,0),INDEX('Каталог поиска'!$D$2:$D$998,$F466)),""))</f>
        <v>0</v>
      </c>
      <c r="E466">
        <f>IF(OR($F466="",INDEX('Каталог поиска'!$D$2:$D$998,$F466)=0),"",IFERROR(INDEX('Количество значений'!$A$2:$TY$86,MATCH($D$5,'Количество значений'!$A$2:$A$86,0),INDEX('Каталог поиска'!$D$2:$D$998,$F466)),""))</f>
        <v>4</v>
      </c>
      <c r="F466">
        <f>IFERROR(MATCH(454,'Каталог поиска'!$F$2:$F$998,0),"")</f>
        <v>454</v>
      </c>
    </row>
    <row r="467" spans="1:6" ht="36" customHeight="1">
      <c r="A467">
        <f>IF(F467="","",455)</f>
        <v>455</v>
      </c>
      <c r="B467" s="6" t="str">
        <f>IF($F467="","",INDEX('Каталог поиска'!$B$2:$B$998,$F467))</f>
        <v>BOM_PLY1_PARTID</v>
      </c>
      <c r="C467" s="6" t="str">
        <f>IF($F467="","",INDEX('Каталог поиска'!$C$2:$C$998,$F467))</f>
        <v>QM</v>
      </c>
      <c r="D467" s="7">
        <f>IF(OR($F467="",E467=0,INDEX('Каталог поиска'!$D$2:$D$998,$F467)=0),"",IFERROR(INDEX('По размерам'!$A$2:$TY$86,MATCH($D$5,'По размерам'!$A$2:$A$86,0),INDEX('Каталог поиска'!$D$2:$D$998,$F467)),""))</f>
        <v>62.25</v>
      </c>
      <c r="E467">
        <f>IF(OR($F467="",INDEX('Каталог поиска'!$D$2:$D$998,$F467)=0),"",IFERROR(INDEX('Количество значений'!$A$2:$TY$86,MATCH($D$5,'Количество значений'!$A$2:$A$86,0),INDEX('Каталог поиска'!$D$2:$D$998,$F467)),""))</f>
        <v>4</v>
      </c>
      <c r="F467">
        <f>IFERROR(MATCH(455,'Каталог поиска'!$F$2:$F$998,0),"")</f>
        <v>455</v>
      </c>
    </row>
    <row r="468" spans="1:6" ht="36" customHeight="1">
      <c r="A468">
        <f>IF(F468="","",456)</f>
        <v>456</v>
      </c>
      <c r="B468" s="6" t="str">
        <f>IF($F468="","",INDEX('Каталог поиска'!$B$2:$B$998,$F468))</f>
        <v>BOM_PLY1_MACHINEGROUP</v>
      </c>
      <c r="C468" s="6" t="str">
        <f>IF($F468="","",INDEX('Каталог поиска'!$C$2:$C$998,$F468))</f>
        <v>QN</v>
      </c>
      <c r="D468" s="7">
        <f>IF(OR($F468="",E468=0,INDEX('Каталог поиска'!$D$2:$D$998,$F468)=0),"",IFERROR(INDEX('По размерам'!$A$2:$TY$86,MATCH($D$5,'По размерам'!$A$2:$A$86,0),INDEX('Каталог поиска'!$D$2:$D$998,$F468)),""))</f>
        <v>62.25</v>
      </c>
      <c r="E468">
        <f>IF(OR($F468="",INDEX('Каталог поиска'!$D$2:$D$998,$F468)=0),"",IFERROR(INDEX('Количество значений'!$A$2:$TY$86,MATCH($D$5,'Количество значений'!$A$2:$A$86,0),INDEX('Каталог поиска'!$D$2:$D$998,$F468)),""))</f>
        <v>4</v>
      </c>
      <c r="F468">
        <f>IFERROR(MATCH(456,'Каталог поиска'!$F$2:$F$998,0),"")</f>
        <v>456</v>
      </c>
    </row>
    <row r="469" spans="1:6" ht="36" customHeight="1">
      <c r="A469">
        <f>IF(F469="","",457)</f>
        <v>457</v>
      </c>
      <c r="B469" s="6" t="str">
        <f>IF($F469="","",INDEX('Каталог поиска'!$B$2:$B$998,$F469))</f>
        <v>BOM_PLY1_PARTNUMBER</v>
      </c>
      <c r="C469" s="6" t="str">
        <f>IF($F469="","",INDEX('Каталог поиска'!$C$2:$C$998,$F469))</f>
        <v>QO</v>
      </c>
      <c r="D469" s="7">
        <f>IF(OR($F469="",E469=0,INDEX('Каталог поиска'!$D$2:$D$998,$F469)=0),"",IFERROR(INDEX('По размерам'!$A$2:$TY$86,MATCH($D$5,'По размерам'!$A$2:$A$86,0),INDEX('Каталог поиска'!$D$2:$D$998,$F469)),""))</f>
        <v/>
      </c>
      <c r="E469">
        <f>IF(OR($F469="",INDEX('Каталог поиска'!$D$2:$D$998,$F469)=0),"",IFERROR(INDEX('Количество значений'!$A$2:$TY$86,MATCH($D$5,'Количество значений'!$A$2:$A$86,0),INDEX('Каталог поиска'!$D$2:$D$998,$F469)),""))</f>
        <v/>
      </c>
      <c r="F469">
        <f>IFERROR(MATCH(457,'Каталог поиска'!$F$2:$F$998,0),"")</f>
        <v>457</v>
      </c>
    </row>
    <row r="470" spans="1:6" ht="36" customHeight="1">
      <c r="A470">
        <f>IF(F470="","",458)</f>
        <v>458</v>
      </c>
      <c r="B470" s="6" t="str">
        <f>IF($F470="","",INDEX('Каталог поиска'!$B$2:$B$998,$F470))</f>
        <v>BOM_PLY1_REVISIONNO</v>
      </c>
      <c r="C470" s="6" t="str">
        <f>IF($F470="","",INDEX('Каталог поиска'!$C$2:$C$998,$F470))</f>
        <v>QP</v>
      </c>
      <c r="D470" s="7">
        <f>IF(OR($F470="",E470=0,INDEX('Каталог поиска'!$D$2:$D$998,$F470)=0),"",IFERROR(INDEX('По размерам'!$A$2:$TY$86,MATCH($D$5,'По размерам'!$A$2:$A$86,0),INDEX('Каталог поиска'!$D$2:$D$998,$F470)),""))</f>
        <v>1</v>
      </c>
      <c r="E470">
        <f>IF(OR($F470="",INDEX('Каталог поиска'!$D$2:$D$998,$F470)=0),"",IFERROR(INDEX('Количество значений'!$A$2:$TY$86,MATCH($D$5,'Количество значений'!$A$2:$A$86,0),INDEX('Каталог поиска'!$D$2:$D$998,$F470)),""))</f>
        <v>4</v>
      </c>
      <c r="F470">
        <f>IFERROR(MATCH(458,'Каталог поиска'!$F$2:$F$998,0),"")</f>
        <v>458</v>
      </c>
    </row>
    <row r="471" spans="1:6" ht="36" customHeight="1">
      <c r="A471">
        <f>IF(F471="","",459)</f>
        <v>459</v>
      </c>
      <c r="B471" s="6" t="str">
        <f>IF($F471="","",INDEX('Каталог поиска'!$B$2:$B$998,$F471))</f>
        <v>BOM_PLY1_LENGTH</v>
      </c>
      <c r="C471" s="6" t="str">
        <f>IF($F471="","",INDEX('Каталог поиска'!$C$2:$C$998,$F471))</f>
        <v>QQ</v>
      </c>
      <c r="D471" s="7">
        <f>IF(OR($F471="",E471=0,INDEX('Каталог поиска'!$D$2:$D$998,$F471)=0),"",IFERROR(INDEX('По размерам'!$A$2:$TY$86,MATCH($D$5,'По размерам'!$A$2:$A$86,0),INDEX('Каталог поиска'!$D$2:$D$998,$F471)),""))</f>
        <v>1062</v>
      </c>
      <c r="E471">
        <f>IF(OR($F471="",INDEX('Каталог поиска'!$D$2:$D$998,$F471)=0),"",IFERROR(INDEX('Количество значений'!$A$2:$TY$86,MATCH($D$5,'Количество значений'!$A$2:$A$86,0),INDEX('Каталог поиска'!$D$2:$D$998,$F471)),""))</f>
        <v>4</v>
      </c>
      <c r="F471">
        <f>IFERROR(MATCH(459,'Каталог поиска'!$F$2:$F$998,0),"")</f>
        <v>459</v>
      </c>
    </row>
    <row r="472" spans="1:6" ht="36" customHeight="1">
      <c r="A472">
        <f>IF(F472="","",460)</f>
        <v>460</v>
      </c>
      <c r="B472" s="6" t="str">
        <f>IF($F472="","",INDEX('Каталог поиска'!$B$2:$B$998,$F472))</f>
        <v>BOM_PLY2_PARTID</v>
      </c>
      <c r="C472" s="6" t="str">
        <f>IF($F472="","",INDEX('Каталог поиска'!$C$2:$C$998,$F472))</f>
        <v>QR</v>
      </c>
      <c r="D472" s="7">
        <f>IF(OR($F472="",E472=0,INDEX('Каталог поиска'!$D$2:$D$998,$F472)=0),"",IFERROR(INDEX('По размерам'!$A$2:$TY$86,MATCH($D$5,'По размерам'!$A$2:$A$86,0),INDEX('Каталог поиска'!$D$2:$D$998,$F472)),""))</f>
        <v/>
      </c>
      <c r="E472">
        <f>IF(OR($F472="",INDEX('Каталог поиска'!$D$2:$D$998,$F472)=0),"",IFERROR(INDEX('Количество значений'!$A$2:$TY$86,MATCH($D$5,'Количество значений'!$A$2:$A$86,0),INDEX('Каталог поиска'!$D$2:$D$998,$F472)),""))</f>
        <v>0</v>
      </c>
      <c r="F472">
        <f>IFERROR(MATCH(460,'Каталог поиска'!$F$2:$F$998,0),"")</f>
        <v>460</v>
      </c>
    </row>
    <row r="473" spans="1:6" ht="36" customHeight="1">
      <c r="A473">
        <f>IF(F473="","",461)</f>
        <v>461</v>
      </c>
      <c r="B473" s="6" t="str">
        <f>IF($F473="","",INDEX('Каталог поиска'!$B$2:$B$998,$F473))</f>
        <v>BOM_PLY2_MACHINEGROUP</v>
      </c>
      <c r="C473" s="6" t="str">
        <f>IF($F473="","",INDEX('Каталог поиска'!$C$2:$C$998,$F473))</f>
        <v>QS</v>
      </c>
      <c r="D473" s="7">
        <f>IF(OR($F473="",E473=0,INDEX('Каталог поиска'!$D$2:$D$998,$F473)=0),"",IFERROR(INDEX('По размерам'!$A$2:$TY$86,MATCH($D$5,'По размерам'!$A$2:$A$86,0),INDEX('Каталог поиска'!$D$2:$D$998,$F473)),""))</f>
        <v/>
      </c>
      <c r="E473">
        <f>IF(OR($F473="",INDEX('Каталог поиска'!$D$2:$D$998,$F473)=0),"",IFERROR(INDEX('Количество значений'!$A$2:$TY$86,MATCH($D$5,'Количество значений'!$A$2:$A$86,0),INDEX('Каталог поиска'!$D$2:$D$998,$F473)),""))</f>
        <v>0</v>
      </c>
      <c r="F473">
        <f>IFERROR(MATCH(461,'Каталог поиска'!$F$2:$F$998,0),"")</f>
        <v>461</v>
      </c>
    </row>
    <row r="474" spans="1:6" ht="36" customHeight="1">
      <c r="A474">
        <f>IF(F474="","",462)</f>
        <v>462</v>
      </c>
      <c r="B474" s="6" t="str">
        <f>IF($F474="","",INDEX('Каталог поиска'!$B$2:$B$998,$F474))</f>
        <v>BOM_PLY2_PARTNUMBER</v>
      </c>
      <c r="C474" s="6" t="str">
        <f>IF($F474="","",INDEX('Каталог поиска'!$C$2:$C$998,$F474))</f>
        <v>QT</v>
      </c>
      <c r="D474" s="7">
        <f>IF(OR($F474="",E474=0,INDEX('Каталог поиска'!$D$2:$D$998,$F474)=0),"",IFERROR(INDEX('По размерам'!$A$2:$TY$86,MATCH($D$5,'По размерам'!$A$2:$A$86,0),INDEX('Каталог поиска'!$D$2:$D$998,$F474)),""))</f>
        <v/>
      </c>
      <c r="E474">
        <f>IF(OR($F474="",INDEX('Каталог поиска'!$D$2:$D$998,$F474)=0),"",IFERROR(INDEX('Количество значений'!$A$2:$TY$86,MATCH($D$5,'Количество значений'!$A$2:$A$86,0),INDEX('Каталог поиска'!$D$2:$D$998,$F474)),""))</f>
        <v/>
      </c>
      <c r="F474">
        <f>IFERROR(MATCH(462,'Каталог поиска'!$F$2:$F$998,0),"")</f>
        <v>462</v>
      </c>
    </row>
    <row r="475" spans="1:6" ht="36" customHeight="1">
      <c r="A475">
        <f>IF(F475="","",463)</f>
        <v>463</v>
      </c>
      <c r="B475" s="6" t="str">
        <f>IF($F475="","",INDEX('Каталог поиска'!$B$2:$B$998,$F475))</f>
        <v>BOM_PLY2_REVISIONNO</v>
      </c>
      <c r="C475" s="6" t="str">
        <f>IF($F475="","",INDEX('Каталог поиска'!$C$2:$C$998,$F475))</f>
        <v>QU</v>
      </c>
      <c r="D475" s="7">
        <f>IF(OR($F475="",E475=0,INDEX('Каталог поиска'!$D$2:$D$998,$F475)=0),"",IFERROR(INDEX('По размерам'!$A$2:$TY$86,MATCH($D$5,'По размерам'!$A$2:$A$86,0),INDEX('Каталог поиска'!$D$2:$D$998,$F475)),""))</f>
        <v/>
      </c>
      <c r="E475">
        <f>IF(OR($F475="",INDEX('Каталог поиска'!$D$2:$D$998,$F475)=0),"",IFERROR(INDEX('Количество значений'!$A$2:$TY$86,MATCH($D$5,'Количество значений'!$A$2:$A$86,0),INDEX('Каталог поиска'!$D$2:$D$998,$F475)),""))</f>
        <v>0</v>
      </c>
      <c r="F475">
        <f>IFERROR(MATCH(463,'Каталог поиска'!$F$2:$F$998,0),"")</f>
        <v>463</v>
      </c>
    </row>
    <row r="476" spans="1:6" ht="36" customHeight="1">
      <c r="A476">
        <f>IF(F476="","",464)</f>
        <v>464</v>
      </c>
      <c r="B476" s="6" t="str">
        <f>IF($F476="","",INDEX('Каталог поиска'!$B$2:$B$998,$F476))</f>
        <v>BOM_PLY2_LENGTH</v>
      </c>
      <c r="C476" s="6" t="str">
        <f>IF($F476="","",INDEX('Каталог поиска'!$C$2:$C$998,$F476))</f>
        <v>QV</v>
      </c>
      <c r="D476" s="7">
        <f>IF(OR($F476="",E476=0,INDEX('Каталог поиска'!$D$2:$D$998,$F476)=0),"",IFERROR(INDEX('По размерам'!$A$2:$TY$86,MATCH($D$5,'По размерам'!$A$2:$A$86,0),INDEX('Каталог поиска'!$D$2:$D$998,$F476)),""))</f>
        <v/>
      </c>
      <c r="E476">
        <f>IF(OR($F476="",INDEX('Каталог поиска'!$D$2:$D$998,$F476)=0),"",IFERROR(INDEX('Количество значений'!$A$2:$TY$86,MATCH($D$5,'Количество значений'!$A$2:$A$86,0),INDEX('Каталог поиска'!$D$2:$D$998,$F476)),""))</f>
        <v>0</v>
      </c>
      <c r="F476">
        <f>IFERROR(MATCH(464,'Каталог поиска'!$F$2:$F$998,0),"")</f>
        <v>464</v>
      </c>
    </row>
    <row r="477" spans="1:6" ht="36" customHeight="1">
      <c r="A477">
        <f>IF(F477="","",465)</f>
        <v>465</v>
      </c>
      <c r="B477" s="6" t="str">
        <f>IF($F477="","",INDEX('Каталог поиска'!$B$2:$B$998,$F477))</f>
        <v>BOM_BDBF_PARTID</v>
      </c>
      <c r="C477" s="6" t="str">
        <f>IF($F477="","",INDEX('Каталог поиска'!$C$2:$C$998,$F477))</f>
        <v>QW</v>
      </c>
      <c r="D477" s="7">
        <f>IF(OR($F477="",E477=0,INDEX('Каталог поиска'!$D$2:$D$998,$F477)=0),"",IFERROR(INDEX('По размерам'!$A$2:$TY$86,MATCH($D$5,'По размерам'!$A$2:$A$86,0),INDEX('Каталог поиска'!$D$2:$D$998,$F477)),""))</f>
        <v>82</v>
      </c>
      <c r="E477">
        <f>IF(OR($F477="",INDEX('Каталог поиска'!$D$2:$D$998,$F477)=0),"",IFERROR(INDEX('Количество значений'!$A$2:$TY$86,MATCH($D$5,'Количество значений'!$A$2:$A$86,0),INDEX('Каталог поиска'!$D$2:$D$998,$F477)),""))</f>
        <v>4</v>
      </c>
      <c r="F477">
        <f>IFERROR(MATCH(465,'Каталог поиска'!$F$2:$F$998,0),"")</f>
        <v>465</v>
      </c>
    </row>
    <row r="478" spans="1:6" ht="36" customHeight="1">
      <c r="A478">
        <f>IF(F478="","",466)</f>
        <v>466</v>
      </c>
      <c r="B478" s="6" t="str">
        <f>IF($F478="","",INDEX('Каталог поиска'!$B$2:$B$998,$F478))</f>
        <v>BOM_BDBF_MACHINEGROUP</v>
      </c>
      <c r="C478" s="6" t="str">
        <f>IF($F478="","",INDEX('Каталог поиска'!$C$2:$C$998,$F478))</f>
        <v>QX</v>
      </c>
      <c r="D478" s="7">
        <f>IF(OR($F478="",E478=0,INDEX('Каталог поиска'!$D$2:$D$998,$F478)=0),"",IFERROR(INDEX('По размерам'!$A$2:$TY$86,MATCH($D$5,'По размерам'!$A$2:$A$86,0),INDEX('Каталог поиска'!$D$2:$D$998,$F478)),""))</f>
        <v>87.25</v>
      </c>
      <c r="E478">
        <f>IF(OR($F478="",INDEX('Каталог поиска'!$D$2:$D$998,$F478)=0),"",IFERROR(INDEX('Количество значений'!$A$2:$TY$86,MATCH($D$5,'Количество значений'!$A$2:$A$86,0),INDEX('Каталог поиска'!$D$2:$D$998,$F478)),""))</f>
        <v>4</v>
      </c>
      <c r="F478">
        <f>IFERROR(MATCH(466,'Каталог поиска'!$F$2:$F$998,0),"")</f>
        <v>466</v>
      </c>
    </row>
    <row r="479" spans="1:6" ht="36" customHeight="1">
      <c r="A479">
        <f>IF(F479="","",467)</f>
        <v>467</v>
      </c>
      <c r="B479" s="6" t="str">
        <f>IF($F479="","",INDEX('Каталог поиска'!$B$2:$B$998,$F479))</f>
        <v>BOM_BDBF_PARTNUMBER</v>
      </c>
      <c r="C479" s="6" t="str">
        <f>IF($F479="","",INDEX('Каталог поиска'!$C$2:$C$998,$F479))</f>
        <v>QY</v>
      </c>
      <c r="D479" s="7">
        <f>IF(OR($F479="",E479=0,INDEX('Каталог поиска'!$D$2:$D$998,$F479)=0),"",IFERROR(INDEX('По размерам'!$A$2:$TY$86,MATCH($D$5,'По размерам'!$A$2:$A$86,0),INDEX('Каталог поиска'!$D$2:$D$998,$F479)),""))</f>
        <v/>
      </c>
      <c r="E479">
        <f>IF(OR($F479="",INDEX('Каталог поиска'!$D$2:$D$998,$F479)=0),"",IFERROR(INDEX('Количество значений'!$A$2:$TY$86,MATCH($D$5,'Количество значений'!$A$2:$A$86,0),INDEX('Каталог поиска'!$D$2:$D$998,$F479)),""))</f>
        <v/>
      </c>
      <c r="F479">
        <f>IFERROR(MATCH(467,'Каталог поиска'!$F$2:$F$998,0),"")</f>
        <v>467</v>
      </c>
    </row>
    <row r="480" spans="1:6" ht="36" customHeight="1">
      <c r="A480">
        <f>IF(F480="","",468)</f>
        <v>468</v>
      </c>
      <c r="B480" s="6" t="str">
        <f>IF($F480="","",INDEX('Каталог поиска'!$B$2:$B$998,$F480))</f>
        <v>BOM_BDBF_REVISIONNO</v>
      </c>
      <c r="C480" s="6" t="str">
        <f>IF($F480="","",INDEX('Каталог поиска'!$C$2:$C$998,$F480))</f>
        <v>QZ</v>
      </c>
      <c r="D480" s="7">
        <f>IF(OR($F480="",E480=0,INDEX('Каталог поиска'!$D$2:$D$998,$F480)=0),"",IFERROR(INDEX('По размерам'!$A$2:$TY$86,MATCH($D$5,'По размерам'!$A$2:$A$86,0),INDEX('Каталог поиска'!$D$2:$D$998,$F480)),""))</f>
        <v>1.5</v>
      </c>
      <c r="E480">
        <f>IF(OR($F480="",INDEX('Каталог поиска'!$D$2:$D$998,$F480)=0),"",IFERROR(INDEX('Количество значений'!$A$2:$TY$86,MATCH($D$5,'Количество значений'!$A$2:$A$86,0),INDEX('Каталог поиска'!$D$2:$D$998,$F480)),""))</f>
        <v>4</v>
      </c>
      <c r="F480">
        <f>IFERROR(MATCH(468,'Каталог поиска'!$F$2:$F$998,0),"")</f>
        <v>468</v>
      </c>
    </row>
    <row r="481" spans="1:6" ht="36" customHeight="1">
      <c r="A481">
        <f>IF(F481="","",469)</f>
        <v>469</v>
      </c>
      <c r="B481" s="6" t="str">
        <f>IF($F481="","",INDEX('Каталог поиска'!$B$2:$B$998,$F481))</f>
        <v>BOM_FL_PARTID</v>
      </c>
      <c r="C481" s="6" t="str">
        <f>IF($F481="","",INDEX('Каталог поиска'!$C$2:$C$998,$F481))</f>
        <v>RA</v>
      </c>
      <c r="D481" s="7">
        <f>IF(OR($F481="",E481=0,INDEX('Каталог поиска'!$D$2:$D$998,$F481)=0),"",IFERROR(INDEX('По размерам'!$A$2:$TY$86,MATCH($D$5,'По размерам'!$A$2:$A$86,0),INDEX('Каталог поиска'!$D$2:$D$998,$F481)),""))</f>
        <v>66</v>
      </c>
      <c r="E481">
        <f>IF(OR($F481="",INDEX('Каталог поиска'!$D$2:$D$998,$F481)=0),"",IFERROR(INDEX('Количество значений'!$A$2:$TY$86,MATCH($D$5,'Количество значений'!$A$2:$A$86,0),INDEX('Каталог поиска'!$D$2:$D$998,$F481)),""))</f>
        <v>4</v>
      </c>
      <c r="F481">
        <f>IFERROR(MATCH(469,'Каталог поиска'!$F$2:$F$998,0),"")</f>
        <v>469</v>
      </c>
    </row>
    <row r="482" spans="1:6" ht="36" customHeight="1">
      <c r="A482">
        <f>IF(F482="","",470)</f>
        <v>470</v>
      </c>
      <c r="B482" s="6" t="str">
        <f>IF($F482="","",INDEX('Каталог поиска'!$B$2:$B$998,$F482))</f>
        <v>BOM_FL_MACHINEGROUP</v>
      </c>
      <c r="C482" s="6" t="str">
        <f>IF($F482="","",INDEX('Каталог поиска'!$C$2:$C$998,$F482))</f>
        <v>RB</v>
      </c>
      <c r="D482" s="7">
        <f>IF(OR($F482="",E482=0,INDEX('Каталог поиска'!$D$2:$D$998,$F482)=0),"",IFERROR(INDEX('По размерам'!$A$2:$TY$86,MATCH($D$5,'По размерам'!$A$2:$A$86,0),INDEX('Каталог поиска'!$D$2:$D$998,$F482)),""))</f>
        <v>66</v>
      </c>
      <c r="E482">
        <f>IF(OR($F482="",INDEX('Каталог поиска'!$D$2:$D$998,$F482)=0),"",IFERROR(INDEX('Количество значений'!$A$2:$TY$86,MATCH($D$5,'Количество значений'!$A$2:$A$86,0),INDEX('Каталог поиска'!$D$2:$D$998,$F482)),""))</f>
        <v>4</v>
      </c>
      <c r="F482">
        <f>IFERROR(MATCH(470,'Каталог поиска'!$F$2:$F$998,0),"")</f>
        <v>470</v>
      </c>
    </row>
    <row r="483" spans="1:6" ht="36" customHeight="1">
      <c r="A483">
        <f>IF(F483="","",471)</f>
        <v>471</v>
      </c>
      <c r="B483" s="6" t="str">
        <f>IF($F483="","",INDEX('Каталог поиска'!$B$2:$B$998,$F483))</f>
        <v>BOM_FL_PARTNUMBER</v>
      </c>
      <c r="C483" s="6" t="str">
        <f>IF($F483="","",INDEX('Каталог поиска'!$C$2:$C$998,$F483))</f>
        <v>RC</v>
      </c>
      <c r="D483" s="7">
        <f>IF(OR($F483="",E483=0,INDEX('Каталог поиска'!$D$2:$D$998,$F483)=0),"",IFERROR(INDEX('По размерам'!$A$2:$TY$86,MATCH($D$5,'По размерам'!$A$2:$A$86,0),INDEX('Каталог поиска'!$D$2:$D$998,$F483)),""))</f>
        <v/>
      </c>
      <c r="E483">
        <f>IF(OR($F483="",INDEX('Каталог поиска'!$D$2:$D$998,$F483)=0),"",IFERROR(INDEX('Количество значений'!$A$2:$TY$86,MATCH($D$5,'Количество значений'!$A$2:$A$86,0),INDEX('Каталог поиска'!$D$2:$D$998,$F483)),""))</f>
        <v/>
      </c>
      <c r="F483">
        <f>IFERROR(MATCH(471,'Каталог поиска'!$F$2:$F$998,0),"")</f>
        <v>471</v>
      </c>
    </row>
    <row r="484" spans="1:6" ht="36" customHeight="1">
      <c r="A484">
        <f>IF(F484="","",472)</f>
        <v>472</v>
      </c>
      <c r="B484" s="6" t="str">
        <f>IF($F484="","",INDEX('Каталог поиска'!$B$2:$B$998,$F484))</f>
        <v>BOM_FL_REVISIONNO</v>
      </c>
      <c r="C484" s="6" t="str">
        <f>IF($F484="","",INDEX('Каталог поиска'!$C$2:$C$998,$F484))</f>
        <v>RD</v>
      </c>
      <c r="D484" s="7">
        <f>IF(OR($F484="",E484=0,INDEX('Каталог поиска'!$D$2:$D$998,$F484)=0),"",IFERROR(INDEX('По размерам'!$A$2:$TY$86,MATCH($D$5,'По размерам'!$A$2:$A$86,0),INDEX('Каталог поиска'!$D$2:$D$998,$F484)),""))</f>
        <v/>
      </c>
      <c r="E484">
        <f>IF(OR($F484="",INDEX('Каталог поиска'!$D$2:$D$998,$F484)=0),"",IFERROR(INDEX('Количество значений'!$A$2:$TY$86,MATCH($D$5,'Количество значений'!$A$2:$A$86,0),INDEX('Каталог поиска'!$D$2:$D$998,$F484)),""))</f>
        <v>0</v>
      </c>
      <c r="F484">
        <f>IFERROR(MATCH(472,'Каталог поиска'!$F$2:$F$998,0),"")</f>
        <v>472</v>
      </c>
    </row>
    <row r="485" spans="1:6" ht="36" customHeight="1">
      <c r="A485">
        <f>IF(F485="","",473)</f>
        <v>473</v>
      </c>
      <c r="B485" s="6" t="str">
        <f>IF($F485="","",INDEX('Каталог поиска'!$B$2:$B$998,$F485))</f>
        <v>BOM_FL_LENGTH</v>
      </c>
      <c r="C485" s="6" t="str">
        <f>IF($F485="","",INDEX('Каталог поиска'!$C$2:$C$998,$F485))</f>
        <v>RE</v>
      </c>
      <c r="D485" s="7">
        <f>IF(OR($F485="",E485=0,INDEX('Каталог поиска'!$D$2:$D$998,$F485)=0),"",IFERROR(INDEX('По размерам'!$A$2:$TY$86,MATCH($D$5,'По размерам'!$A$2:$A$86,0),INDEX('Каталог поиска'!$D$2:$D$998,$F485)),""))</f>
        <v>0</v>
      </c>
      <c r="E485">
        <f>IF(OR($F485="",INDEX('Каталог поиска'!$D$2:$D$998,$F485)=0),"",IFERROR(INDEX('Количество значений'!$A$2:$TY$86,MATCH($D$5,'Количество значений'!$A$2:$A$86,0),INDEX('Каталог поиска'!$D$2:$D$998,$F485)),""))</f>
        <v>4</v>
      </c>
      <c r="F485">
        <f>IFERROR(MATCH(473,'Каталог поиска'!$F$2:$F$998,0),"")</f>
        <v>473</v>
      </c>
    </row>
    <row r="486" spans="1:6" ht="36" customHeight="1">
      <c r="A486">
        <f>IF(F486="","",474)</f>
        <v>474</v>
      </c>
      <c r="B486" s="6" t="str">
        <f>IF($F486="","",INDEX('Каталог поиска'!$B$2:$B$998,$F486))</f>
        <v>REF_PLYSQ1_REVISIONNO</v>
      </c>
      <c r="C486" s="6" t="str">
        <f>IF($F486="","",INDEX('Каталог поиска'!$C$2:$C$998,$F486))</f>
        <v>RF</v>
      </c>
      <c r="D486" s="7">
        <f>IF(OR($F486="",E486=0,INDEX('Каталог поиска'!$D$2:$D$998,$F486)=0),"",IFERROR(INDEX('По размерам'!$A$2:$TY$86,MATCH($D$5,'По размерам'!$A$2:$A$86,0),INDEX('Каталог поиска'!$D$2:$D$998,$F486)),""))</f>
        <v>1</v>
      </c>
      <c r="E486">
        <f>IF(OR($F486="",INDEX('Каталог поиска'!$D$2:$D$998,$F486)=0),"",IFERROR(INDEX('Количество значений'!$A$2:$TY$86,MATCH($D$5,'Количество значений'!$A$2:$A$86,0),INDEX('Каталог поиска'!$D$2:$D$998,$F486)),""))</f>
        <v>3</v>
      </c>
      <c r="F486">
        <f>IFERROR(MATCH(474,'Каталог поиска'!$F$2:$F$998,0),"")</f>
        <v>474</v>
      </c>
    </row>
    <row r="487" spans="1:6" ht="36" customHeight="1">
      <c r="A487">
        <f>IF(F487="","",475)</f>
        <v>475</v>
      </c>
      <c r="B487" s="6" t="str">
        <f>IF($F487="","",INDEX('Каталог поиска'!$B$2:$B$998,$F487))</f>
        <v>REF_PLYTPI1_REVISIONNO</v>
      </c>
      <c r="C487" s="6" t="str">
        <f>IF($F487="","",INDEX('Каталог поиска'!$C$2:$C$998,$F487))</f>
        <v>RG</v>
      </c>
      <c r="D487" s="7">
        <f>IF(OR($F487="",E487=0,INDEX('Каталог поиска'!$D$2:$D$998,$F487)=0),"",IFERROR(INDEX('По размерам'!$A$2:$TY$86,MATCH($D$5,'По размерам'!$A$2:$A$86,0),INDEX('Каталог поиска'!$D$2:$D$998,$F487)),""))</f>
        <v>1</v>
      </c>
      <c r="E487">
        <f>IF(OR($F487="",INDEX('Каталог поиска'!$D$2:$D$998,$F487)=0),"",IFERROR(INDEX('Количество значений'!$A$2:$TY$86,MATCH($D$5,'Количество значений'!$A$2:$A$86,0),INDEX('Каталог поиска'!$D$2:$D$998,$F487)),""))</f>
        <v>1</v>
      </c>
      <c r="F487">
        <f>IFERROR(MATCH(475,'Каталог поиска'!$F$2:$F$998,0),"")</f>
        <v>475</v>
      </c>
    </row>
    <row r="488" spans="1:6" ht="36" customHeight="1">
      <c r="A488">
        <f>IF(F488="","",476)</f>
        <v>476</v>
      </c>
      <c r="B488" s="6" t="str">
        <f>IF($F488="","",INDEX('Каталог поиска'!$B$2:$B$998,$F488))</f>
        <v>REF_PLYSQ2_REVISIONNO</v>
      </c>
      <c r="C488" s="6" t="str">
        <f>IF($F488="","",INDEX('Каталог поиска'!$C$2:$C$998,$F488))</f>
        <v>RH</v>
      </c>
      <c r="D488" s="7">
        <f>IF(OR($F488="",E488=0,INDEX('Каталог поиска'!$D$2:$D$998,$F488)=0),"",IFERROR(INDEX('По размерам'!$A$2:$TY$86,MATCH($D$5,'По размерам'!$A$2:$A$86,0),INDEX('Каталог поиска'!$D$2:$D$998,$F488)),""))</f>
        <v/>
      </c>
      <c r="E488">
        <f>IF(OR($F488="",INDEX('Каталог поиска'!$D$2:$D$998,$F488)=0),"",IFERROR(INDEX('Количество значений'!$A$2:$TY$86,MATCH($D$5,'Количество значений'!$A$2:$A$86,0),INDEX('Каталог поиска'!$D$2:$D$998,$F488)),""))</f>
        <v>0</v>
      </c>
      <c r="F488">
        <f>IFERROR(MATCH(476,'Каталог поиска'!$F$2:$F$998,0),"")</f>
        <v>476</v>
      </c>
    </row>
    <row r="489" spans="1:6" ht="36" customHeight="1">
      <c r="A489">
        <f>IF(F489="","",477)</f>
        <v>477</v>
      </c>
      <c r="B489" s="6" t="str">
        <f>IF($F489="","",INDEX('Каталог поиска'!$B$2:$B$998,$F489))</f>
        <v>REF_PLYTPI2_REVISIONNO</v>
      </c>
      <c r="C489" s="6" t="str">
        <f>IF($F489="","",INDEX('Каталог поиска'!$C$2:$C$998,$F489))</f>
        <v>RI</v>
      </c>
      <c r="D489" s="7">
        <f>IF(OR($F489="",E489=0,INDEX('Каталог поиска'!$D$2:$D$998,$F489)=0),"",IFERROR(INDEX('По размерам'!$A$2:$TY$86,MATCH($D$5,'По размерам'!$A$2:$A$86,0),INDEX('Каталог поиска'!$D$2:$D$998,$F489)),""))</f>
        <v/>
      </c>
      <c r="E489">
        <f>IF(OR($F489="",INDEX('Каталог поиска'!$D$2:$D$998,$F489)=0),"",IFERROR(INDEX('Количество значений'!$A$2:$TY$86,MATCH($D$5,'Количество значений'!$A$2:$A$86,0),INDEX('Каталог поиска'!$D$2:$D$998,$F489)),""))</f>
        <v>0</v>
      </c>
      <c r="F489">
        <f>IFERROR(MATCH(477,'Каталог поиска'!$F$2:$F$998,0),"")</f>
        <v>477</v>
      </c>
    </row>
    <row r="490" spans="1:6" ht="36" customHeight="1">
      <c r="A490">
        <f>IF(F490="","",478)</f>
        <v>478</v>
      </c>
      <c r="B490" s="6" t="str">
        <f>IF($F490="","",INDEX('Каталог поиска'!$B$2:$B$998,$F490))</f>
        <v>REF_BEAD_REVISIONNO</v>
      </c>
      <c r="C490" s="6" t="str">
        <f>IF($F490="","",INDEX('Каталог поиска'!$C$2:$C$998,$F490))</f>
        <v>RJ</v>
      </c>
      <c r="D490" s="7">
        <f>IF(OR($F490="",E490=0,INDEX('Каталог поиска'!$D$2:$D$998,$F490)=0),"",IFERROR(INDEX('По размерам'!$A$2:$TY$86,MATCH($D$5,'По размерам'!$A$2:$A$86,0),INDEX('Каталог поиска'!$D$2:$D$998,$F490)),""))</f>
        <v>3</v>
      </c>
      <c r="E490">
        <f>IF(OR($F490="",INDEX('Каталог поиска'!$D$2:$D$998,$F490)=0),"",IFERROR(INDEX('Количество значений'!$A$2:$TY$86,MATCH($D$5,'Количество значений'!$A$2:$A$86,0),INDEX('Каталог поиска'!$D$2:$D$998,$F490)),""))</f>
        <v>4</v>
      </c>
      <c r="F490">
        <f>IFERROR(MATCH(478,'Каталог поиска'!$F$2:$F$998,0),"")</f>
        <v>478</v>
      </c>
    </row>
    <row r="491" spans="1:6" ht="36" customHeight="1">
      <c r="A491">
        <f>IF(F491="","",479)</f>
        <v>479</v>
      </c>
      <c r="B491" s="6" t="str">
        <f>IF($F491="","",INDEX('Каталог поиска'!$B$2:$B$998,$F491))</f>
        <v>REF_CCH_TREAT_REVISIONNO</v>
      </c>
      <c r="C491" s="6" t="str">
        <f>IF($F491="","",INDEX('Каталог поиска'!$C$2:$C$998,$F491))</f>
        <v>RK</v>
      </c>
      <c r="D491" s="7">
        <f>IF(OR($F491="",E491=0,INDEX('Каталог поиска'!$D$2:$D$998,$F491)=0),"",IFERROR(INDEX('По размерам'!$A$2:$TY$86,MATCH($D$5,'По размерам'!$A$2:$A$86,0),INDEX('Каталог поиска'!$D$2:$D$998,$F491)),""))</f>
        <v/>
      </c>
      <c r="E491">
        <f>IF(OR($F491="",INDEX('Каталог поиска'!$D$2:$D$998,$F491)=0),"",IFERROR(INDEX('Количество значений'!$A$2:$TY$86,MATCH($D$5,'Количество значений'!$A$2:$A$86,0),INDEX('Каталог поиска'!$D$2:$D$998,$F491)),""))</f>
        <v>0</v>
      </c>
      <c r="F491">
        <f>IFERROR(MATCH(479,'Каталог поиска'!$F$2:$F$998,0),"")</f>
        <v>479</v>
      </c>
    </row>
    <row r="492" spans="1:6" ht="36" customHeight="1">
      <c r="A492">
        <f>IF(F492="","",480)</f>
        <v>480</v>
      </c>
      <c r="B492" s="6" t="str">
        <f>IF($F492="","",INDEX('Каталог поиска'!$B$2:$B$998,$F492))</f>
        <v>REF_PLY1_TREAT_REVISIONNO</v>
      </c>
      <c r="C492" s="6" t="str">
        <f>IF($F492="","",INDEX('Каталог поиска'!$C$2:$C$998,$F492))</f>
        <v>RL</v>
      </c>
      <c r="D492" s="7">
        <f>IF(OR($F492="",E492=0,INDEX('Каталог поиска'!$D$2:$D$998,$F492)=0),"",IFERROR(INDEX('По размерам'!$A$2:$TY$86,MATCH($D$5,'По размерам'!$A$2:$A$86,0),INDEX('Каталог поиска'!$D$2:$D$998,$F492)),""))</f>
        <v>2</v>
      </c>
      <c r="E492">
        <f>IF(OR($F492="",INDEX('Каталог поиска'!$D$2:$D$998,$F492)=0),"",IFERROR(INDEX('Количество значений'!$A$2:$TY$86,MATCH($D$5,'Количество значений'!$A$2:$A$86,0),INDEX('Каталог поиска'!$D$2:$D$998,$F492)),""))</f>
        <v>4</v>
      </c>
      <c r="F492">
        <f>IFERROR(MATCH(480,'Каталог поиска'!$F$2:$F$998,0),"")</f>
        <v>480</v>
      </c>
    </row>
    <row r="493" spans="1:6" ht="36" customHeight="1">
      <c r="A493">
        <f>IF(F493="","",481)</f>
        <v>481</v>
      </c>
      <c r="B493" s="6" t="str">
        <f>IF($F493="","",INDEX('Каталог поиска'!$B$2:$B$998,$F493))</f>
        <v>REF_PLU2_TREAT_REVISIONNO</v>
      </c>
      <c r="C493" s="6" t="str">
        <f>IF($F493="","",INDEX('Каталог поиска'!$C$2:$C$998,$F493))</f>
        <v>RM</v>
      </c>
      <c r="D493" s="7">
        <f>IF(OR($F493="",E493=0,INDEX('Каталог поиска'!$D$2:$D$998,$F493)=0),"",IFERROR(INDEX('По размерам'!$A$2:$TY$86,MATCH($D$5,'По размерам'!$A$2:$A$86,0),INDEX('Каталог поиска'!$D$2:$D$998,$F493)),""))</f>
        <v/>
      </c>
      <c r="E493">
        <f>IF(OR($F493="",INDEX('Каталог поиска'!$D$2:$D$998,$F493)=0),"",IFERROR(INDEX('Количество значений'!$A$2:$TY$86,MATCH($D$5,'Количество значений'!$A$2:$A$86,0),INDEX('Каталог поиска'!$D$2:$D$998,$F493)),""))</f>
        <v>0</v>
      </c>
      <c r="F493">
        <f>IFERROR(MATCH(481,'Каталог поиска'!$F$2:$F$998,0),"")</f>
        <v>481</v>
      </c>
    </row>
    <row r="494" spans="1:6" ht="36" customHeight="1">
      <c r="A494">
        <f>IF(F494="","",482)</f>
        <v>482</v>
      </c>
      <c r="B494" s="6" t="str">
        <f>IF($F494="","",INDEX('Каталог поиска'!$B$2:$B$998,$F494))</f>
        <v>REF_FL_TREAT_REVISIONNO</v>
      </c>
      <c r="C494" s="6" t="str">
        <f>IF($F494="","",INDEX('Каталог поиска'!$C$2:$C$998,$F494))</f>
        <v>RN</v>
      </c>
      <c r="D494" s="7">
        <f>IF(OR($F494="",E494=0,INDEX('Каталог поиска'!$D$2:$D$998,$F494)=0),"",IFERROR(INDEX('По размерам'!$A$2:$TY$86,MATCH($D$5,'По размерам'!$A$2:$A$86,0),INDEX('Каталог поиска'!$D$2:$D$998,$F494)),""))</f>
        <v/>
      </c>
      <c r="E494">
        <f>IF(OR($F494="",INDEX('Каталог поиска'!$D$2:$D$998,$F494)=0),"",IFERROR(INDEX('Количество значений'!$A$2:$TY$86,MATCH($D$5,'Количество значений'!$A$2:$A$86,0),INDEX('Каталог поиска'!$D$2:$D$998,$F494)),""))</f>
        <v>0</v>
      </c>
      <c r="F494">
        <f>IFERROR(MATCH(482,'Каталог поиска'!$F$2:$F$998,0),"")</f>
        <v>482</v>
      </c>
    </row>
    <row r="495" spans="1:6" ht="36" customHeight="1">
      <c r="A495">
        <f>IF(F495="","",483)</f>
        <v>483</v>
      </c>
      <c r="B495" s="6" t="str">
        <f>IF($F495="","",INDEX('Каталог поиска'!$B$2:$B$998,$F495))</f>
        <v>IL Mass</v>
      </c>
      <c r="C495" s="6" t="str">
        <f>IF($F495="","",INDEX('Каталог поиска'!$C$2:$C$998,$F495))</f>
        <v>RO</v>
      </c>
      <c r="D495" s="7">
        <f>IF(OR($F495="",E495=0,INDEX('Каталог поиска'!$D$2:$D$998,$F495)=0),"",IFERROR(INDEX('По размерам'!$A$2:$TY$86,MATCH($D$5,'По размерам'!$A$2:$A$86,0),INDEX('Каталог поиска'!$D$2:$D$998,$F495)),""))</f>
        <v>463.5</v>
      </c>
      <c r="E495">
        <f>IF(OR($F495="",INDEX('Каталог поиска'!$D$2:$D$998,$F495)=0),"",IFERROR(INDEX('Количество значений'!$A$2:$TY$86,MATCH($D$5,'Количество значений'!$A$2:$A$86,0),INDEX('Каталог поиска'!$D$2:$D$998,$F495)),""))</f>
        <v>4</v>
      </c>
      <c r="F495">
        <f>IFERROR(MATCH(483,'Каталог поиска'!$F$2:$F$998,0),"")</f>
        <v>483</v>
      </c>
    </row>
    <row r="496" spans="1:6" ht="36" customHeight="1">
      <c r="A496">
        <f>IF(F496="","",484)</f>
        <v>484</v>
      </c>
      <c r="B496" s="6" t="str">
        <f>IF($F496="","",INDEX('Каталог поиска'!$B$2:$B$998,$F496))</f>
        <v>CCH Mass</v>
      </c>
      <c r="C496" s="6" t="str">
        <f>IF($F496="","",INDEX('Каталог поиска'!$C$2:$C$998,$F496))</f>
        <v>RP</v>
      </c>
      <c r="D496" s="7">
        <f>IF(OR($F496="",E496=0,INDEX('Каталог поиска'!$D$2:$D$998,$F496)=0),"",IFERROR(INDEX('По размерам'!$A$2:$TY$86,MATCH($D$5,'По размерам'!$A$2:$A$86,0),INDEX('Каталог поиска'!$D$2:$D$998,$F496)),""))</f>
        <v/>
      </c>
      <c r="E496">
        <f>IF(OR($F496="",INDEX('Каталог поиска'!$D$2:$D$998,$F496)=0),"",IFERROR(INDEX('Количество значений'!$A$2:$TY$86,MATCH($D$5,'Количество значений'!$A$2:$A$86,0),INDEX('Каталог поиска'!$D$2:$D$998,$F496)),""))</f>
        <v>0</v>
      </c>
      <c r="F496">
        <f>IFERROR(MATCH(484,'Каталог поиска'!$F$2:$F$998,0),"")</f>
        <v>484</v>
      </c>
    </row>
    <row r="497" spans="1:6" ht="36" customHeight="1">
      <c r="A497">
        <f>IF(F497="","",485)</f>
        <v>485</v>
      </c>
      <c r="B497" s="6" t="str">
        <f>IF($F497="","",INDEX('Каталог поиска'!$B$2:$B$998,$F497))</f>
        <v>PLY1 - Mass</v>
      </c>
      <c r="C497" s="6" t="str">
        <f>IF($F497="","",INDEX('Каталог поиска'!$C$2:$C$998,$F497))</f>
        <v>RQ</v>
      </c>
      <c r="D497" s="7">
        <f>IF(OR($F497="",E497=0,INDEX('Каталог поиска'!$D$2:$D$998,$F497)=0),"",IFERROR(INDEX('По размерам'!$A$2:$TY$86,MATCH($D$5,'По размерам'!$A$2:$A$86,0),INDEX('Каталог поиска'!$D$2:$D$998,$F497)),""))</f>
        <v>774</v>
      </c>
      <c r="E497">
        <f>IF(OR($F497="",INDEX('Каталог поиска'!$D$2:$D$998,$F497)=0),"",IFERROR(INDEX('Количество значений'!$A$2:$TY$86,MATCH($D$5,'Количество значений'!$A$2:$A$86,0),INDEX('Каталог поиска'!$D$2:$D$998,$F497)),""))</f>
        <v>4</v>
      </c>
      <c r="F497">
        <f>IFERROR(MATCH(485,'Каталог поиска'!$F$2:$F$998,0),"")</f>
        <v>485</v>
      </c>
    </row>
    <row r="498" spans="1:6" ht="36" customHeight="1">
      <c r="A498">
        <f>IF(F498="","",486)</f>
        <v>486</v>
      </c>
      <c r="B498" s="6" t="str">
        <f>IF($F498="","",INDEX('Каталог поиска'!$B$2:$B$998,$F498))</f>
        <v>PLY2 - Mass</v>
      </c>
      <c r="C498" s="6" t="str">
        <f>IF($F498="","",INDEX('Каталог поиска'!$C$2:$C$998,$F498))</f>
        <v>RR</v>
      </c>
      <c r="D498" s="7">
        <f>IF(OR($F498="",E498=0,INDEX('Каталог поиска'!$D$2:$D$998,$F498)=0),"",IFERROR(INDEX('По размерам'!$A$2:$TY$86,MATCH($D$5,'По размерам'!$A$2:$A$86,0),INDEX('Каталог поиска'!$D$2:$D$998,$F498)),""))</f>
        <v/>
      </c>
      <c r="E498">
        <f>IF(OR($F498="",INDEX('Каталог поиска'!$D$2:$D$998,$F498)=0),"",IFERROR(INDEX('Количество значений'!$A$2:$TY$86,MATCH($D$5,'Количество значений'!$A$2:$A$86,0),INDEX('Каталог поиска'!$D$2:$D$998,$F498)),""))</f>
        <v>0</v>
      </c>
      <c r="F498">
        <f>IFERROR(MATCH(486,'Каталог поиска'!$F$2:$F$998,0),"")</f>
        <v>486</v>
      </c>
    </row>
    <row r="499" spans="1:6" ht="36" customHeight="1">
      <c r="A499">
        <f>IF(F499="","",487)</f>
        <v>487</v>
      </c>
      <c r="B499" s="6" t="str">
        <f>IF($F499="","",INDEX('Каталог поиска'!$B$2:$B$998,$F499))</f>
        <v>FL Mass</v>
      </c>
      <c r="C499" s="6" t="str">
        <f>IF($F499="","",INDEX('Каталог поиска'!$C$2:$C$998,$F499))</f>
        <v>RS</v>
      </c>
      <c r="D499" s="7">
        <f>IF(OR($F499="",E499=0,INDEX('Каталог поиска'!$D$2:$D$998,$F499)=0),"",IFERROR(INDEX('По размерам'!$A$2:$TY$86,MATCH($D$5,'По размерам'!$A$2:$A$86,0),INDEX('Каталог поиска'!$D$2:$D$998,$F499)),""))</f>
        <v/>
      </c>
      <c r="E499">
        <f>IF(OR($F499="",INDEX('Каталог поиска'!$D$2:$D$998,$F499)=0),"",IFERROR(INDEX('Количество значений'!$A$2:$TY$86,MATCH($D$5,'Количество значений'!$A$2:$A$86,0),INDEX('Каталог поиска'!$D$2:$D$998,$F499)),""))</f>
        <v>0</v>
      </c>
      <c r="F499">
        <f>IFERROR(MATCH(487,'Каталог поиска'!$F$2:$F$998,0),"")</f>
        <v>487</v>
      </c>
    </row>
    <row r="500" spans="1:6" ht="36" customHeight="1">
      <c r="A500">
        <f>IF(F500="","",488)</f>
        <v>488</v>
      </c>
      <c r="B500" s="6" t="str">
        <f>IF($F500="","",INDEX('Каталог поиска'!$B$2:$B$998,$F500))</f>
        <v>BEAD - Mass</v>
      </c>
      <c r="C500" s="6" t="str">
        <f>IF($F500="","",INDEX('Каталог поиска'!$C$2:$C$998,$F500))</f>
        <v>RT</v>
      </c>
      <c r="D500" s="7">
        <f>IF(OR($F500="",E500=0,INDEX('Каталог поиска'!$D$2:$D$998,$F500)=0),"",IFERROR(INDEX('По размерам'!$A$2:$TY$86,MATCH($D$5,'По размерам'!$A$2:$A$86,0),INDEX('Каталог поиска'!$D$2:$D$998,$F500)),""))</f>
        <v>147</v>
      </c>
      <c r="E500">
        <f>IF(OR($F500="",INDEX('Каталог поиска'!$D$2:$D$998,$F500)=0),"",IFERROR(INDEX('Количество значений'!$A$2:$TY$86,MATCH($D$5,'Количество значений'!$A$2:$A$86,0),INDEX('Каталог поиска'!$D$2:$D$998,$F500)),""))</f>
        <v>4</v>
      </c>
      <c r="F500">
        <f>IFERROR(MATCH(488,'Каталог поиска'!$F$2:$F$998,0),"")</f>
        <v>488</v>
      </c>
    </row>
    <row r="501" spans="1:6" ht="36" customHeight="1">
      <c r="A501">
        <f>IF(F501="","",489)</f>
        <v>489</v>
      </c>
      <c r="B501" s="6" t="str">
        <f>IF($F501="","",INDEX('Каталог поиска'!$B$2:$B$998,$F501))</f>
        <v>BBF - Mass</v>
      </c>
      <c r="C501" s="6" t="str">
        <f>IF($F501="","",INDEX('Каталог поиска'!$C$2:$C$998,$F501))</f>
        <v>RU</v>
      </c>
      <c r="D501" s="7">
        <f>IF(OR($F501="",E501=0,INDEX('Каталог поиска'!$D$2:$D$998,$F501)=0),"",IFERROR(INDEX('По размерам'!$A$2:$TY$86,MATCH($D$5,'По размерам'!$A$2:$A$86,0),INDEX('Каталог поиска'!$D$2:$D$998,$F501)),""))</f>
        <v>141.5</v>
      </c>
      <c r="E501">
        <f>IF(OR($F501="",INDEX('Каталог поиска'!$D$2:$D$998,$F501)=0),"",IFERROR(INDEX('Количество значений'!$A$2:$TY$86,MATCH($D$5,'Количество значений'!$A$2:$A$86,0),INDEX('Каталог поиска'!$D$2:$D$998,$F501)),""))</f>
        <v>4</v>
      </c>
      <c r="F501">
        <f>IFERROR(MATCH(489,'Каталог поиска'!$F$2:$F$998,0),"")</f>
        <v>489</v>
      </c>
    </row>
    <row r="502" spans="1:6" ht="36" customHeight="1">
      <c r="A502">
        <f>IF(F502="","",490)</f>
        <v>490</v>
      </c>
      <c r="B502" s="6" t="str">
        <f>IF($F502="","",INDEX('Каталог поиска'!$B$2:$B$998,$F502))</f>
        <v>BBF - BD PartNumber</v>
      </c>
      <c r="C502" s="6" t="str">
        <f>IF($F502="","",INDEX('Каталог поиска'!$C$2:$C$998,$F502))</f>
        <v>RV</v>
      </c>
      <c r="D502" s="7">
        <f>IF(OR($F502="",E502=0,INDEX('Каталог поиска'!$D$2:$D$998,$F502)=0),"",IFERROR(INDEX('По размерам'!$A$2:$TY$86,MATCH($D$5,'По размерам'!$A$2:$A$86,0),INDEX('Каталог поиска'!$D$2:$D$998,$F502)),""))</f>
        <v/>
      </c>
      <c r="E502">
        <f>IF(OR($F502="",INDEX('Каталог поиска'!$D$2:$D$998,$F502)=0),"",IFERROR(INDEX('Количество значений'!$A$2:$TY$86,MATCH($D$5,'Количество значений'!$A$2:$A$86,0),INDEX('Каталог поиска'!$D$2:$D$998,$F502)),""))</f>
        <v/>
      </c>
      <c r="F502">
        <f>IFERROR(MATCH(490,'Каталог поиска'!$F$2:$F$998,0),"")</f>
        <v>490</v>
      </c>
    </row>
    <row r="503" spans="1:6" ht="36" customHeight="1">
      <c r="A503">
        <f>IF(F503="","",491)</f>
        <v>491</v>
      </c>
      <c r="B503" s="6" t="str">
        <f>IF($F503="","",INDEX('Каталог поиска'!$B$2:$B$998,$F503))</f>
        <v>S/W gum band item1</v>
      </c>
      <c r="C503" s="6" t="str">
        <f>IF($F503="","",INDEX('Каталог поиска'!$C$2:$C$998,$F503))</f>
        <v>RW</v>
      </c>
      <c r="D503" s="7">
        <f>IF(OR($F503="",E503=0,INDEX('Каталог поиска'!$D$2:$D$998,$F503)=0),"",IFERROR(INDEX('По размерам'!$A$2:$TY$86,MATCH($D$5,'По размерам'!$A$2:$A$86,0),INDEX('Каталог поиска'!$D$2:$D$998,$F503)),""))</f>
        <v/>
      </c>
      <c r="E503">
        <f>IF(OR($F503="",INDEX('Каталог поиска'!$D$2:$D$998,$F503)=0),"",IFERROR(INDEX('Количество значений'!$A$2:$TY$86,MATCH($D$5,'Количество значений'!$A$2:$A$86,0),INDEX('Каталог поиска'!$D$2:$D$998,$F503)),""))</f>
        <v/>
      </c>
      <c r="F503">
        <f>IFERROR(MATCH(491,'Каталог поиска'!$F$2:$F$998,0),"")</f>
        <v>491</v>
      </c>
    </row>
    <row r="504" spans="1:6" ht="36" customHeight="1">
      <c r="A504">
        <f>IF(F504="","",492)</f>
        <v>492</v>
      </c>
      <c r="B504" s="6" t="str">
        <f>IF($F504="","",INDEX('Каталог поиска'!$B$2:$B$998,$F504))</f>
        <v>S/W gum band width1</v>
      </c>
      <c r="C504" s="6" t="str">
        <f>IF($F504="","",INDEX('Каталог поиска'!$C$2:$C$998,$F504))</f>
        <v>RX</v>
      </c>
      <c r="D504" s="7">
        <f>IF(OR($F504="",E504=0,INDEX('Каталог поиска'!$D$2:$D$998,$F504)=0),"",IFERROR(INDEX('По размерам'!$A$2:$TY$86,MATCH($D$5,'По размерам'!$A$2:$A$86,0),INDEX('Каталог поиска'!$D$2:$D$998,$F504)),""))</f>
        <v>15</v>
      </c>
      <c r="E504">
        <f>IF(OR($F504="",INDEX('Каталог поиска'!$D$2:$D$998,$F504)=0),"",IFERROR(INDEX('Количество значений'!$A$2:$TY$86,MATCH($D$5,'Количество значений'!$A$2:$A$86,0),INDEX('Каталог поиска'!$D$2:$D$998,$F504)),""))</f>
        <v>4</v>
      </c>
      <c r="F504">
        <f>IFERROR(MATCH(492,'Каталог поиска'!$F$2:$F$998,0),"")</f>
        <v>492</v>
      </c>
    </row>
    <row r="505" spans="1:6" ht="36" customHeight="1">
      <c r="A505">
        <f>IF(F505="","",493)</f>
        <v>493</v>
      </c>
      <c r="B505" s="6" t="str">
        <f>IF($F505="","",INDEX('Каталог поиска'!$B$2:$B$998,$F505))</f>
        <v>S/W gauge criteria</v>
      </c>
      <c r="C505" s="6" t="str">
        <f>IF($F505="","",INDEX('Каталог поиска'!$C$2:$C$998,$F505))</f>
        <v>RY</v>
      </c>
      <c r="D505" s="7">
        <f>IF(OR($F505="",E505=0,INDEX('Каталог поиска'!$D$2:$D$998,$F505)=0),"",IFERROR(INDEX('По размерам'!$A$2:$TY$86,MATCH($D$5,'По размерам'!$A$2:$A$86,0),INDEX('Каталог поиска'!$D$2:$D$998,$F505)),""))</f>
        <v>4</v>
      </c>
      <c r="E505">
        <f>IF(OR($F505="",INDEX('Каталог поиска'!$D$2:$D$998,$F505)=0),"",IFERROR(INDEX('Количество значений'!$A$2:$TY$86,MATCH($D$5,'Количество значений'!$A$2:$A$86,0),INDEX('Каталог поиска'!$D$2:$D$998,$F505)),""))</f>
        <v>4</v>
      </c>
      <c r="F505">
        <f>IFERROR(MATCH(493,'Каталог поиска'!$F$2:$F$998,0),"")</f>
        <v>493</v>
      </c>
    </row>
    <row r="506" spans="1:6" ht="36" customHeight="1">
      <c r="A506">
        <f>IF(F506="","",494)</f>
        <v>494</v>
      </c>
      <c r="B506" s="6" t="str">
        <f>IF($F506="","",INDEX('Каталог поиска'!$B$2:$B$998,$F506))</f>
        <v>S/W gum band item2</v>
      </c>
      <c r="C506" s="6" t="str">
        <f>IF($F506="","",INDEX('Каталог поиска'!$C$2:$C$998,$F506))</f>
        <v>RZ</v>
      </c>
      <c r="D506" s="7">
        <f>IF(OR($F506="",E506=0,INDEX('Каталог поиска'!$D$2:$D$998,$F506)=0),"",IFERROR(INDEX('По размерам'!$A$2:$TY$86,MATCH($D$5,'По размерам'!$A$2:$A$86,0),INDEX('Каталог поиска'!$D$2:$D$998,$F506)),""))</f>
        <v/>
      </c>
      <c r="E506">
        <f>IF(OR($F506="",INDEX('Каталог поиска'!$D$2:$D$998,$F506)=0),"",IFERROR(INDEX('Количество значений'!$A$2:$TY$86,MATCH($D$5,'Количество значений'!$A$2:$A$86,0),INDEX('Каталог поиска'!$D$2:$D$998,$F506)),""))</f>
        <v/>
      </c>
      <c r="F506">
        <f>IFERROR(MATCH(494,'Каталог поиска'!$F$2:$F$998,0),"")</f>
        <v>494</v>
      </c>
    </row>
    <row r="507" spans="1:6" ht="36" customHeight="1">
      <c r="A507">
        <f>IF(F507="","",495)</f>
        <v>495</v>
      </c>
      <c r="B507" s="6" t="str">
        <f>IF($F507="","",INDEX('Каталог поиска'!$B$2:$B$998,$F507))</f>
        <v>S/W gum band width2</v>
      </c>
      <c r="C507" s="6" t="str">
        <f>IF($F507="","",INDEX('Каталог поиска'!$C$2:$C$998,$F507))</f>
        <v>SA</v>
      </c>
      <c r="D507" s="7">
        <f>IF(OR($F507="",E507=0,INDEX('Каталог поиска'!$D$2:$D$998,$F507)=0),"",IFERROR(INDEX('По размерам'!$A$2:$TY$86,MATCH($D$5,'По размерам'!$A$2:$A$86,0),INDEX('Каталог поиска'!$D$2:$D$998,$F507)),""))</f>
        <v>15</v>
      </c>
      <c r="E507">
        <f>IF(OR($F507="",INDEX('Каталог поиска'!$D$2:$D$998,$F507)=0),"",IFERROR(INDEX('Количество значений'!$A$2:$TY$86,MATCH($D$5,'Количество значений'!$A$2:$A$86,0),INDEX('Каталог поиска'!$D$2:$D$998,$F507)),""))</f>
        <v>4</v>
      </c>
      <c r="F507">
        <f>IFERROR(MATCH(495,'Каталог поиска'!$F$2:$F$998,0),"")</f>
        <v>495</v>
      </c>
    </row>
    <row r="508" spans="1:6" ht="36" customHeight="1">
      <c r="A508">
        <f>IF(F508="","",496)</f>
        <v>496</v>
      </c>
      <c r="B508" s="6" t="str">
        <f>IF($F508="","",INDEX('Каталог поиска'!$B$2:$B$998,$F508))</f>
        <v>PLYSQ1 Code</v>
      </c>
      <c r="C508" s="6" t="str">
        <f>IF($F508="","",INDEX('Каталог поиска'!$C$2:$C$998,$F508))</f>
        <v>SB</v>
      </c>
      <c r="D508" s="7">
        <f>IF(OR($F508="",E508=0,INDEX('Каталог поиска'!$D$2:$D$998,$F508)=0),"",IFERROR(INDEX('По размерам'!$A$2:$TY$86,MATCH($D$5,'По размерам'!$A$2:$A$86,0),INDEX('Каталог поиска'!$D$2:$D$998,$F508)),""))</f>
        <v/>
      </c>
      <c r="E508">
        <f>IF(OR($F508="",INDEX('Каталог поиска'!$D$2:$D$998,$F508)=0),"",IFERROR(INDEX('Количество значений'!$A$2:$TY$86,MATCH($D$5,'Количество значений'!$A$2:$A$86,0),INDEX('Каталог поиска'!$D$2:$D$998,$F508)),""))</f>
        <v/>
      </c>
      <c r="F508">
        <f>IFERROR(MATCH(496,'Каталог поиска'!$F$2:$F$998,0),"")</f>
        <v>496</v>
      </c>
    </row>
    <row r="509" spans="1:6" ht="36" customHeight="1">
      <c r="A509">
        <f>IF(F509="","",497)</f>
        <v>497</v>
      </c>
      <c r="B509" s="6" t="str">
        <f>IF($F509="","",INDEX('Каталог поиска'!$B$2:$B$998,$F509))</f>
        <v>PLYSQ1 Code select</v>
      </c>
      <c r="C509" s="6" t="str">
        <f>IF($F509="","",INDEX('Каталог поиска'!$C$2:$C$998,$F509))</f>
        <v>SC</v>
      </c>
      <c r="D509" s="7">
        <f>IF(OR($F509="",E509=0,INDEX('Каталог поиска'!$D$2:$D$998,$F509)=0),"",IFERROR(INDEX('По размерам'!$A$2:$TY$86,MATCH($D$5,'По размерам'!$A$2:$A$86,0),INDEX('Каталог поиска'!$D$2:$D$998,$F509)),""))</f>
        <v/>
      </c>
      <c r="E509">
        <f>IF(OR($F509="",INDEX('Каталог поиска'!$D$2:$D$998,$F509)=0),"",IFERROR(INDEX('Количество значений'!$A$2:$TY$86,MATCH($D$5,'Количество значений'!$A$2:$A$86,0),INDEX('Каталог поиска'!$D$2:$D$998,$F509)),""))</f>
        <v/>
      </c>
      <c r="F509">
        <f>IFERROR(MATCH(497,'Каталог поиска'!$F$2:$F$998,0),"")</f>
        <v>497</v>
      </c>
    </row>
    <row r="510" spans="1:6" ht="36" customHeight="1">
      <c r="A510">
        <f>IF(F510="","",498)</f>
        <v>498</v>
      </c>
      <c r="B510" s="6" t="str">
        <f>IF($F510="","",INDEX('Каталог поиска'!$B$2:$B$998,$F510))</f>
        <v>PLYSQ1S_REVISIONNO</v>
      </c>
      <c r="C510" s="6" t="str">
        <f>IF($F510="","",INDEX('Каталог поиска'!$C$2:$C$998,$F510))</f>
        <v>SD</v>
      </c>
      <c r="D510" s="7">
        <f>IF(OR($F510="",E510=0,INDEX('Каталог поиска'!$D$2:$D$998,$F510)=0),"",IFERROR(INDEX('По размерам'!$A$2:$TY$86,MATCH($D$5,'По размерам'!$A$2:$A$86,0),INDEX('Каталог поиска'!$D$2:$D$998,$F510)),""))</f>
        <v>1</v>
      </c>
      <c r="E510">
        <f>IF(OR($F510="",INDEX('Каталог поиска'!$D$2:$D$998,$F510)=0),"",IFERROR(INDEX('Количество значений'!$A$2:$TY$86,MATCH($D$5,'Количество значений'!$A$2:$A$86,0),INDEX('Каталог поиска'!$D$2:$D$998,$F510)),""))</f>
        <v>4</v>
      </c>
      <c r="F510">
        <f>IFERROR(MATCH(498,'Каталог поиска'!$F$2:$F$998,0),"")</f>
        <v>498</v>
      </c>
    </row>
    <row r="511" spans="1:6" ht="36" customHeight="1">
      <c r="A511">
        <f>IF(F511="","",499)</f>
        <v>499</v>
      </c>
      <c r="B511" s="6" t="str">
        <f>IF($F511="","",INDEX('Каталог поиска'!$B$2:$B$998,$F511))</f>
        <v>PLYSQ2 Code</v>
      </c>
      <c r="C511" s="6" t="str">
        <f>IF($F511="","",INDEX('Каталог поиска'!$C$2:$C$998,$F511))</f>
        <v>SE</v>
      </c>
      <c r="D511" s="7">
        <f>IF(OR($F511="",E511=0,INDEX('Каталог поиска'!$D$2:$D$998,$F511)=0),"",IFERROR(INDEX('По размерам'!$A$2:$TY$86,MATCH($D$5,'По размерам'!$A$2:$A$86,0),INDEX('Каталог поиска'!$D$2:$D$998,$F511)),""))</f>
        <v/>
      </c>
      <c r="E511">
        <f>IF(OR($F511="",INDEX('Каталог поиска'!$D$2:$D$998,$F511)=0),"",IFERROR(INDEX('Количество значений'!$A$2:$TY$86,MATCH($D$5,'Количество значений'!$A$2:$A$86,0),INDEX('Каталог поиска'!$D$2:$D$998,$F511)),""))</f>
        <v/>
      </c>
      <c r="F511">
        <f>IFERROR(MATCH(499,'Каталог поиска'!$F$2:$F$998,0),"")</f>
        <v>499</v>
      </c>
    </row>
    <row r="512" spans="1:6" ht="36" customHeight="1">
      <c r="A512">
        <f>IF(F512="","",500)</f>
        <v>500</v>
      </c>
      <c r="B512" s="6" t="str">
        <f>IF($F512="","",INDEX('Каталог поиска'!$B$2:$B$998,$F512))</f>
        <v>PLYSQ2 Code select</v>
      </c>
      <c r="C512" s="6" t="str">
        <f>IF($F512="","",INDEX('Каталог поиска'!$C$2:$C$998,$F512))</f>
        <v>SF</v>
      </c>
      <c r="D512" s="7">
        <f>IF(OR($F512="",E512=0,INDEX('Каталог поиска'!$D$2:$D$998,$F512)=0),"",IFERROR(INDEX('По размерам'!$A$2:$TY$86,MATCH($D$5,'По размерам'!$A$2:$A$86,0),INDEX('Каталог поиска'!$D$2:$D$998,$F512)),""))</f>
        <v/>
      </c>
      <c r="E512">
        <f>IF(OR($F512="",INDEX('Каталог поиска'!$D$2:$D$998,$F512)=0),"",IFERROR(INDEX('Количество значений'!$A$2:$TY$86,MATCH($D$5,'Количество значений'!$A$2:$A$86,0),INDEX('Каталог поиска'!$D$2:$D$998,$F512)),""))</f>
        <v/>
      </c>
      <c r="F512">
        <f>IFERROR(MATCH(500,'Каталог поиска'!$F$2:$F$998,0),"")</f>
        <v>500</v>
      </c>
    </row>
    <row r="513" spans="1:6" ht="36" customHeight="1">
      <c r="A513">
        <f>IF(F513="","",501)</f>
        <v>501</v>
      </c>
      <c r="B513" s="6" t="str">
        <f>IF($F513="","",INDEX('Каталог поиска'!$B$2:$B$998,$F513))</f>
        <v>PLYSQ2S_REVISIONNO</v>
      </c>
      <c r="C513" s="6" t="str">
        <f>IF($F513="","",INDEX('Каталог поиска'!$C$2:$C$998,$F513))</f>
        <v>SG</v>
      </c>
      <c r="D513" s="7">
        <f>IF(OR($F513="",E513=0,INDEX('Каталог поиска'!$D$2:$D$998,$F513)=0),"",IFERROR(INDEX('По размерам'!$A$2:$TY$86,MATCH($D$5,'По размерам'!$A$2:$A$86,0),INDEX('Каталог поиска'!$D$2:$D$998,$F513)),""))</f>
        <v/>
      </c>
      <c r="E513">
        <f>IF(OR($F513="",INDEX('Каталог поиска'!$D$2:$D$998,$F513)=0),"",IFERROR(INDEX('Количество значений'!$A$2:$TY$86,MATCH($D$5,'Количество значений'!$A$2:$A$86,0),INDEX('Каталог поиска'!$D$2:$D$998,$F513)),""))</f>
        <v>0</v>
      </c>
      <c r="F513">
        <f>IFERROR(MATCH(501,'Каталог поиска'!$F$2:$F$998,0),"")</f>
        <v>501</v>
      </c>
    </row>
    <row r="514" spans="1:6" ht="36" customHeight="1">
      <c r="A514">
        <f>IF(F514="","",502)</f>
        <v>502</v>
      </c>
      <c r="B514" s="6" t="str">
        <f>IF($F514="","",INDEX('Каталог поиска'!$B$2:$B$998,$F514))</f>
        <v>IL_COEFFICIENT</v>
      </c>
      <c r="C514" s="6" t="str">
        <f>IF($F514="","",INDEX('Каталог поиска'!$C$2:$C$998,$F514))</f>
        <v>SH</v>
      </c>
      <c r="D514" s="7">
        <f>IF(OR($F514="",E514=0,INDEX('Каталог поиска'!$D$2:$D$998,$F514)=0),"",IFERROR(INDEX('По размерам'!$A$2:$TY$86,MATCH($D$5,'По размерам'!$A$2:$A$86,0),INDEX('Каталог поиска'!$D$2:$D$998,$F514)),""))</f>
        <v>0.995</v>
      </c>
      <c r="E514">
        <f>IF(OR($F514="",INDEX('Каталог поиска'!$D$2:$D$998,$F514)=0),"",IFERROR(INDEX('Количество значений'!$A$2:$TY$86,MATCH($D$5,'Количество значений'!$A$2:$A$86,0),INDEX('Каталог поиска'!$D$2:$D$998,$F514)),""))</f>
        <v>4</v>
      </c>
      <c r="F514">
        <f>IFERROR(MATCH(502,'Каталог поиска'!$F$2:$F$998,0),"")</f>
        <v>502</v>
      </c>
    </row>
    <row r="515" spans="1:6" ht="36" customHeight="1">
      <c r="A515">
        <f>IF(F515="","",503)</f>
        <v>503</v>
      </c>
      <c r="B515" s="6" t="str">
        <f>IF($F515="","",INDEX('Каталог поиска'!$B$2:$B$998,$F515))</f>
        <v>1P_COEEFICIENT</v>
      </c>
      <c r="C515" s="6" t="str">
        <f>IF($F515="","",INDEX('Каталог поиска'!$C$2:$C$998,$F515))</f>
        <v>SI</v>
      </c>
      <c r="D515" s="7">
        <f>IF(OR($F515="",E515=0,INDEX('Каталог поиска'!$D$2:$D$998,$F515)=0),"",IFERROR(INDEX('По размерам'!$A$2:$TY$86,MATCH($D$5,'По размерам'!$A$2:$A$86,0),INDEX('Каталог поиска'!$D$2:$D$998,$F515)),""))</f>
        <v>0.995</v>
      </c>
      <c r="E515">
        <f>IF(OR($F515="",INDEX('Каталог поиска'!$D$2:$D$998,$F515)=0),"",IFERROR(INDEX('Количество значений'!$A$2:$TY$86,MATCH($D$5,'Количество значений'!$A$2:$A$86,0),INDEX('Каталог поиска'!$D$2:$D$998,$F515)),""))</f>
        <v>4</v>
      </c>
      <c r="F515">
        <f>IFERROR(MATCH(503,'Каталог поиска'!$F$2:$F$998,0),"")</f>
        <v>503</v>
      </c>
    </row>
    <row r="516" spans="1:6" ht="36" customHeight="1">
      <c r="A516">
        <f>IF(F516="","",504)</f>
        <v>504</v>
      </c>
      <c r="B516" s="6" t="str">
        <f>IF($F516="","",INDEX('Каталог поиска'!$B$2:$B$998,$F516))</f>
        <v>2P_COEEFICIENT</v>
      </c>
      <c r="C516" s="6" t="str">
        <f>IF($F516="","",INDEX('Каталог поиска'!$C$2:$C$998,$F516))</f>
        <v>SJ</v>
      </c>
      <c r="D516" s="7">
        <f>IF(OR($F516="",E516=0,INDEX('Каталог поиска'!$D$2:$D$998,$F516)=0),"",IFERROR(INDEX('По размерам'!$A$2:$TY$86,MATCH($D$5,'По размерам'!$A$2:$A$86,0),INDEX('Каталог поиска'!$D$2:$D$998,$F516)),""))</f>
        <v>0.995</v>
      </c>
      <c r="E516">
        <f>IF(OR($F516="",INDEX('Каталог поиска'!$D$2:$D$998,$F516)=0),"",IFERROR(INDEX('Количество значений'!$A$2:$TY$86,MATCH($D$5,'Количество значений'!$A$2:$A$86,0),INDEX('Каталог поиска'!$D$2:$D$998,$F516)),""))</f>
        <v>4</v>
      </c>
      <c r="F516">
        <f>IFERROR(MATCH(504,'Каталог поиска'!$F$2:$F$998,0),"")</f>
        <v>504</v>
      </c>
    </row>
    <row r="517" spans="1:6" ht="36" customHeight="1">
      <c r="A517">
        <f>IF(F517="","",505)</f>
        <v>505</v>
      </c>
      <c r="B517" s="6" t="str">
        <f>IF($F517="","",INDEX('Каталог поиска'!$B$2:$B$998,$F517))</f>
        <v>SIDE_ADJUSTMENT</v>
      </c>
      <c r="C517" s="6" t="str">
        <f>IF($F517="","",INDEX('Каталог поиска'!$C$2:$C$998,$F517))</f>
        <v>SK</v>
      </c>
      <c r="D517" s="7">
        <f>IF(OR($F517="",E517=0,INDEX('Каталог поиска'!$D$2:$D$998,$F517)=0),"",IFERROR(INDEX('По размерам'!$A$2:$TY$86,MATCH($D$5,'По размерам'!$A$2:$A$86,0),INDEX('Каталог поиска'!$D$2:$D$998,$F517)),""))</f>
        <v>15</v>
      </c>
      <c r="E517">
        <f>IF(OR($F517="",INDEX('Каталог поиска'!$D$2:$D$998,$F517)=0),"",IFERROR(INDEX('Количество значений'!$A$2:$TY$86,MATCH($D$5,'Количество значений'!$A$2:$A$86,0),INDEX('Каталог поиска'!$D$2:$D$998,$F517)),""))</f>
        <v>4</v>
      </c>
      <c r="F517">
        <f>IFERROR(MATCH(505,'Каталог поиска'!$F$2:$F$998,0),"")</f>
        <v>505</v>
      </c>
    </row>
    <row r="518" spans="1:6" ht="36" customHeight="1">
      <c r="A518">
        <f>IF(F518="","",506)</f>
        <v>506</v>
      </c>
      <c r="B518" s="6" t="str">
        <f>IF($F518="","",INDEX('Каталог поиска'!$B$2:$B$998,$F518))</f>
        <v>PRD_CODE_INVALID</v>
      </c>
      <c r="C518" s="6" t="str">
        <f>IF($F518="","",INDEX('Каталог поиска'!$C$2:$C$998,$F518))</f>
        <v>SL</v>
      </c>
      <c r="D518" s="7">
        <f>IF(OR($F518="",E518=0,INDEX('Каталог поиска'!$D$2:$D$998,$F518)=0),"",IFERROR(INDEX('По размерам'!$A$2:$TY$86,MATCH($D$5,'По размерам'!$A$2:$A$86,0),INDEX('Каталог поиска'!$D$2:$D$998,$F518)),""))</f>
        <v>0</v>
      </c>
      <c r="E518">
        <f>IF(OR($F518="",INDEX('Каталог поиска'!$D$2:$D$998,$F518)=0),"",IFERROR(INDEX('Количество значений'!$A$2:$TY$86,MATCH($D$5,'Количество значений'!$A$2:$A$86,0),INDEX('Каталог поиска'!$D$2:$D$998,$F518)),""))</f>
        <v>4</v>
      </c>
      <c r="F518">
        <f>IFERROR(MATCH(506,'Каталог поиска'!$F$2:$F$998,0),"")</f>
        <v>506</v>
      </c>
    </row>
    <row r="519" spans="1:6" ht="36" customHeight="1">
      <c r="A519">
        <f>IF(F519="","",507)</f>
        <v>507</v>
      </c>
      <c r="B519" s="6" t="str">
        <f>IF($F519="","",INDEX('Каталог поиска'!$B$2:$B$998,$F519))</f>
        <v>PLY1_TPI_REQUIRED</v>
      </c>
      <c r="C519" s="6" t="str">
        <f>IF($F519="","",INDEX('Каталог поиска'!$C$2:$C$998,$F519))</f>
        <v>SM</v>
      </c>
      <c r="D519" s="7">
        <f>IF(OR($F519="",E519=0,INDEX('Каталог поиска'!$D$2:$D$998,$F519)=0),"",IFERROR(INDEX('По размерам'!$A$2:$TY$86,MATCH($D$5,'По размерам'!$A$2:$A$86,0),INDEX('Каталог поиска'!$D$2:$D$998,$F519)),""))</f>
        <v>0</v>
      </c>
      <c r="E519">
        <f>IF(OR($F519="",INDEX('Каталог поиска'!$D$2:$D$998,$F519)=0),"",IFERROR(INDEX('Количество значений'!$A$2:$TY$86,MATCH($D$5,'Количество значений'!$A$2:$A$86,0),INDEX('Каталог поиска'!$D$2:$D$998,$F519)),""))</f>
        <v>4</v>
      </c>
      <c r="F519">
        <f>IFERROR(MATCH(507,'Каталог поиска'!$F$2:$F$998,0),"")</f>
        <v>507</v>
      </c>
    </row>
    <row r="520" spans="1:6" ht="36" customHeight="1">
      <c r="A520">
        <f>IF(F520="","",508)</f>
        <v>508</v>
      </c>
      <c r="B520" s="6" t="str">
        <f>IF($F520="","",INDEX('Каталог поиска'!$B$2:$B$998,$F520))</f>
        <v>PLY2_TPI_REQUIRED</v>
      </c>
      <c r="C520" s="6" t="str">
        <f>IF($F520="","",INDEX('Каталог поиска'!$C$2:$C$998,$F520))</f>
        <v>SN</v>
      </c>
      <c r="D520" s="7">
        <f>IF(OR($F520="",E520=0,INDEX('Каталог поиска'!$D$2:$D$998,$F520)=0),"",IFERROR(INDEX('По размерам'!$A$2:$TY$86,MATCH($D$5,'По размерам'!$A$2:$A$86,0),INDEX('Каталог поиска'!$D$2:$D$998,$F520)),""))</f>
        <v>0</v>
      </c>
      <c r="E520">
        <f>IF(OR($F520="",INDEX('Каталог поиска'!$D$2:$D$998,$F520)=0),"",IFERROR(INDEX('Количество значений'!$A$2:$TY$86,MATCH($D$5,'Количество значений'!$A$2:$A$86,0),INDEX('Каталог поиска'!$D$2:$D$998,$F520)),""))</f>
        <v>4</v>
      </c>
      <c r="F520">
        <f>IFERROR(MATCH(508,'Каталог поиска'!$F$2:$F$998,0),"")</f>
        <v>508</v>
      </c>
    </row>
    <row r="521" spans="1:6" ht="36" customHeight="1">
      <c r="A521">
        <f>IF(F521="","",509)</f>
        <v>509</v>
      </c>
      <c r="B521" s="6" t="str">
        <f>IF($F521="","",INDEX('Каталог поиска'!$B$2:$B$998,$F521))</f>
        <v>SIDE_DATA_INVALID</v>
      </c>
      <c r="C521" s="6" t="str">
        <f>IF($F521="","",INDEX('Каталог поиска'!$C$2:$C$998,$F521))</f>
        <v>SO</v>
      </c>
      <c r="D521" s="7">
        <f>IF(OR($F521="",E521=0,INDEX('Каталог поиска'!$D$2:$D$998,$F521)=0),"",IFERROR(INDEX('По размерам'!$A$2:$TY$86,MATCH($D$5,'По размерам'!$A$2:$A$86,0),INDEX('Каталог поиска'!$D$2:$D$998,$F521)),""))</f>
        <v>0</v>
      </c>
      <c r="E521">
        <f>IF(OR($F521="",INDEX('Каталог поиска'!$D$2:$D$998,$F521)=0),"",IFERROR(INDEX('Количество значений'!$A$2:$TY$86,MATCH($D$5,'Количество значений'!$A$2:$A$86,0),INDEX('Каталог поиска'!$D$2:$D$998,$F521)),""))</f>
        <v>4</v>
      </c>
      <c r="F521">
        <f>IFERROR(MATCH(509,'Каталог поиска'!$F$2:$F$998,0),"")</f>
        <v>509</v>
      </c>
    </row>
    <row r="522" spans="1:6" ht="36" customHeight="1">
      <c r="A522">
        <f>IF(F522="","",510)</f>
        <v>510</v>
      </c>
      <c r="B522" s="6" t="str">
        <f>IF($F522="","",INDEX('Каталог поиска'!$B$2:$B$998,$F522))</f>
        <v>IL_DATA_INVALID</v>
      </c>
      <c r="C522" s="6" t="str">
        <f>IF($F522="","",INDEX('Каталог поиска'!$C$2:$C$998,$F522))</f>
        <v>SP</v>
      </c>
      <c r="D522" s="7">
        <f>IF(OR($F522="",E522=0,INDEX('Каталог поиска'!$D$2:$D$998,$F522)=0),"",IFERROR(INDEX('По размерам'!$A$2:$TY$86,MATCH($D$5,'По размерам'!$A$2:$A$86,0),INDEX('Каталог поиска'!$D$2:$D$998,$F522)),""))</f>
        <v>0</v>
      </c>
      <c r="E522">
        <f>IF(OR($F522="",INDEX('Каталог поиска'!$D$2:$D$998,$F522)=0),"",IFERROR(INDEX('Количество значений'!$A$2:$TY$86,MATCH($D$5,'Количество значений'!$A$2:$A$86,0),INDEX('Каталог поиска'!$D$2:$D$998,$F522)),""))</f>
        <v>4</v>
      </c>
      <c r="F522">
        <f>IFERROR(MATCH(510,'Каталог поиска'!$F$2:$F$998,0),"")</f>
        <v>510</v>
      </c>
    </row>
    <row r="523" spans="1:6" ht="36" customHeight="1">
      <c r="A523">
        <f>IF(F523="","",511)</f>
        <v>511</v>
      </c>
      <c r="B523" s="6" t="str">
        <f>IF($F523="","",INDEX('Каталог поиска'!$B$2:$B$998,$F523))</f>
        <v>CCH_DATA_INVALID</v>
      </c>
      <c r="C523" s="6" t="str">
        <f>IF($F523="","",INDEX('Каталог поиска'!$C$2:$C$998,$F523))</f>
        <v>SQ</v>
      </c>
      <c r="D523" s="7">
        <f>IF(OR($F523="",E523=0,INDEX('Каталог поиска'!$D$2:$D$998,$F523)=0),"",IFERROR(INDEX('По размерам'!$A$2:$TY$86,MATCH($D$5,'По размерам'!$A$2:$A$86,0),INDEX('Каталог поиска'!$D$2:$D$998,$F523)),""))</f>
        <v>0</v>
      </c>
      <c r="E523">
        <f>IF(OR($F523="",INDEX('Каталог поиска'!$D$2:$D$998,$F523)=0),"",IFERROR(INDEX('Количество значений'!$A$2:$TY$86,MATCH($D$5,'Количество значений'!$A$2:$A$86,0),INDEX('Каталог поиска'!$D$2:$D$998,$F523)),""))</f>
        <v>4</v>
      </c>
      <c r="F523">
        <f>IFERROR(MATCH(511,'Каталог поиска'!$F$2:$F$998,0),"")</f>
        <v>511</v>
      </c>
    </row>
    <row r="524" spans="1:6" ht="36" customHeight="1">
      <c r="A524">
        <f>IF(F524="","",512)</f>
        <v>512</v>
      </c>
      <c r="B524" s="6" t="str">
        <f>IF($F524="","",INDEX('Каталог поиска'!$B$2:$B$998,$F524))</f>
        <v>CCH_REVISION_INVALID</v>
      </c>
      <c r="C524" s="6" t="str">
        <f>IF($F524="","",INDEX('Каталог поиска'!$C$2:$C$998,$F524))</f>
        <v>SR</v>
      </c>
      <c r="D524" s="7">
        <f>IF(OR($F524="",E524=0,INDEX('Каталог поиска'!$D$2:$D$998,$F524)=0),"",IFERROR(INDEX('По размерам'!$A$2:$TY$86,MATCH($D$5,'По размерам'!$A$2:$A$86,0),INDEX('Каталог поиска'!$D$2:$D$998,$F524)),""))</f>
        <v>0</v>
      </c>
      <c r="E524">
        <f>IF(OR($F524="",INDEX('Каталог поиска'!$D$2:$D$998,$F524)=0),"",IFERROR(INDEX('Количество значений'!$A$2:$TY$86,MATCH($D$5,'Количество значений'!$A$2:$A$86,0),INDEX('Каталог поиска'!$D$2:$D$998,$F524)),""))</f>
        <v>4</v>
      </c>
      <c r="F524">
        <f>IFERROR(MATCH(512,'Каталог поиска'!$F$2:$F$998,0),"")</f>
        <v>512</v>
      </c>
    </row>
    <row r="525" spans="1:6" ht="36" customHeight="1">
      <c r="A525">
        <f>IF(F525="","",513)</f>
        <v>513</v>
      </c>
      <c r="B525" s="6" t="str">
        <f>IF($F525="","",INDEX('Каталог поиска'!$B$2:$B$998,$F525))</f>
        <v>PLY1_DATA_INVALID</v>
      </c>
      <c r="C525" s="6" t="str">
        <f>IF($F525="","",INDEX('Каталог поиска'!$C$2:$C$998,$F525))</f>
        <v>SS</v>
      </c>
      <c r="D525" s="7">
        <f>IF(OR($F525="",E525=0,INDEX('Каталог поиска'!$D$2:$D$998,$F525)=0),"",IFERROR(INDEX('По размерам'!$A$2:$TY$86,MATCH($D$5,'По размерам'!$A$2:$A$86,0),INDEX('Каталог поиска'!$D$2:$D$998,$F525)),""))</f>
        <v>0</v>
      </c>
      <c r="E525">
        <f>IF(OR($F525="",INDEX('Каталог поиска'!$D$2:$D$998,$F525)=0),"",IFERROR(INDEX('Количество значений'!$A$2:$TY$86,MATCH($D$5,'Количество значений'!$A$2:$A$86,0),INDEX('Каталог поиска'!$D$2:$D$998,$F525)),""))</f>
        <v>4</v>
      </c>
      <c r="F525">
        <f>IFERROR(MATCH(513,'Каталог поиска'!$F$2:$F$998,0),"")</f>
        <v>513</v>
      </c>
    </row>
    <row r="526" spans="1:6" ht="36" customHeight="1">
      <c r="A526">
        <f>IF(F526="","",514)</f>
        <v>514</v>
      </c>
      <c r="B526" s="6" t="str">
        <f>IF($F526="","",INDEX('Каталог поиска'!$B$2:$B$998,$F526))</f>
        <v>PLY2_DATA_INVALID</v>
      </c>
      <c r="C526" s="6" t="str">
        <f>IF($F526="","",INDEX('Каталог поиска'!$C$2:$C$998,$F526))</f>
        <v>ST</v>
      </c>
      <c r="D526" s="7">
        <f>IF(OR($F526="",E526=0,INDEX('Каталог поиска'!$D$2:$D$998,$F526)=0),"",IFERROR(INDEX('По размерам'!$A$2:$TY$86,MATCH($D$5,'По размерам'!$A$2:$A$86,0),INDEX('Каталог поиска'!$D$2:$D$998,$F526)),""))</f>
        <v>0</v>
      </c>
      <c r="E526">
        <f>IF(OR($F526="",INDEX('Каталог поиска'!$D$2:$D$998,$F526)=0),"",IFERROR(INDEX('Количество значений'!$A$2:$TY$86,MATCH($D$5,'Количество значений'!$A$2:$A$86,0),INDEX('Каталог поиска'!$D$2:$D$998,$F526)),""))</f>
        <v>4</v>
      </c>
      <c r="F526">
        <f>IFERROR(MATCH(514,'Каталог поиска'!$F$2:$F$998,0),"")</f>
        <v>514</v>
      </c>
    </row>
    <row r="527" spans="1:6" ht="36" customHeight="1">
      <c r="A527">
        <f>IF(F527="","",515)</f>
        <v>515</v>
      </c>
      <c r="B527" s="6" t="str">
        <f>IF($F527="","",INDEX('Каталог поиска'!$B$2:$B$998,$F527))</f>
        <v>PLY2_REVISION_INVALID</v>
      </c>
      <c r="C527" s="6" t="str">
        <f>IF($F527="","",INDEX('Каталог поиска'!$C$2:$C$998,$F527))</f>
        <v>SU</v>
      </c>
      <c r="D527" s="7">
        <f>IF(OR($F527="",E527=0,INDEX('Каталог поиска'!$D$2:$D$998,$F527)=0),"",IFERROR(INDEX('По размерам'!$A$2:$TY$86,MATCH($D$5,'По размерам'!$A$2:$A$86,0),INDEX('Каталог поиска'!$D$2:$D$998,$F527)),""))</f>
        <v>0</v>
      </c>
      <c r="E527">
        <f>IF(OR($F527="",INDEX('Каталог поиска'!$D$2:$D$998,$F527)=0),"",IFERROR(INDEX('Количество значений'!$A$2:$TY$86,MATCH($D$5,'Количество значений'!$A$2:$A$86,0),INDEX('Каталог поиска'!$D$2:$D$998,$F527)),""))</f>
        <v>4</v>
      </c>
      <c r="F527">
        <f>IFERROR(MATCH(515,'Каталог поиска'!$F$2:$F$998,0),"")</f>
        <v>515</v>
      </c>
    </row>
    <row r="528" spans="1:6" ht="36" customHeight="1">
      <c r="A528">
        <f>IF(F528="","",516)</f>
        <v>516</v>
      </c>
      <c r="B528" s="6" t="str">
        <f>IF($F528="","",INDEX('Каталог поиска'!$B$2:$B$998,$F528))</f>
        <v>FL_DATA_INVALID</v>
      </c>
      <c r="C528" s="6" t="str">
        <f>IF($F528="","",INDEX('Каталог поиска'!$C$2:$C$998,$F528))</f>
        <v>SV</v>
      </c>
      <c r="D528" s="7">
        <f>IF(OR($F528="",E528=0,INDEX('Каталог поиска'!$D$2:$D$998,$F528)=0),"",IFERROR(INDEX('По размерам'!$A$2:$TY$86,MATCH($D$5,'По размерам'!$A$2:$A$86,0),INDEX('Каталог поиска'!$D$2:$D$998,$F528)),""))</f>
        <v>0</v>
      </c>
      <c r="E528">
        <f>IF(OR($F528="",INDEX('Каталог поиска'!$D$2:$D$998,$F528)=0),"",IFERROR(INDEX('Количество значений'!$A$2:$TY$86,MATCH($D$5,'Количество значений'!$A$2:$A$86,0),INDEX('Каталог поиска'!$D$2:$D$998,$F528)),""))</f>
        <v>4</v>
      </c>
      <c r="F528">
        <f>IFERROR(MATCH(516,'Каталог поиска'!$F$2:$F$998,0),"")</f>
        <v>516</v>
      </c>
    </row>
    <row r="529" spans="1:6" ht="36" customHeight="1">
      <c r="A529">
        <f>IF(F529="","",517)</f>
        <v>517</v>
      </c>
      <c r="B529" s="6" t="str">
        <f>IF($F529="","",INDEX('Каталог поиска'!$B$2:$B$998,$F529))</f>
        <v>FL_REVISION_INVALID</v>
      </c>
      <c r="C529" s="6" t="str">
        <f>IF($F529="","",INDEX('Каталог поиска'!$C$2:$C$998,$F529))</f>
        <v>SW</v>
      </c>
      <c r="D529" s="7">
        <f>IF(OR($F529="",E529=0,INDEX('Каталог поиска'!$D$2:$D$998,$F529)=0),"",IFERROR(INDEX('По размерам'!$A$2:$TY$86,MATCH($D$5,'По размерам'!$A$2:$A$86,0),INDEX('Каталог поиска'!$D$2:$D$998,$F529)),""))</f>
        <v>0</v>
      </c>
      <c r="E529">
        <f>IF(OR($F529="",INDEX('Каталог поиска'!$D$2:$D$998,$F529)=0),"",IFERROR(INDEX('Количество значений'!$A$2:$TY$86,MATCH($D$5,'Количество значений'!$A$2:$A$86,0),INDEX('Каталог поиска'!$D$2:$D$998,$F529)),""))</f>
        <v>4</v>
      </c>
      <c r="F529">
        <f>IFERROR(MATCH(517,'Каталог поиска'!$F$2:$F$998,0),"")</f>
        <v>517</v>
      </c>
    </row>
    <row r="530" spans="1:6" ht="36" customHeight="1">
      <c r="A530">
        <f>IF(F530="","",518)</f>
        <v>518</v>
      </c>
      <c r="B530" s="6" t="str">
        <f>IF($F530="","",INDEX('Каталог поиска'!$B$2:$B$998,$F530))</f>
        <v>BDBF_DATA_INVALID</v>
      </c>
      <c r="C530" s="6" t="str">
        <f>IF($F530="","",INDEX('Каталог поиска'!$C$2:$C$998,$F530))</f>
        <v>SX</v>
      </c>
      <c r="D530" s="7">
        <f>IF(OR($F530="",E530=0,INDEX('Каталог поиска'!$D$2:$D$998,$F530)=0),"",IFERROR(INDEX('По размерам'!$A$2:$TY$86,MATCH($D$5,'По размерам'!$A$2:$A$86,0),INDEX('Каталог поиска'!$D$2:$D$998,$F530)),""))</f>
        <v>0</v>
      </c>
      <c r="E530">
        <f>IF(OR($F530="",INDEX('Каталог поиска'!$D$2:$D$998,$F530)=0),"",IFERROR(INDEX('Количество значений'!$A$2:$TY$86,MATCH($D$5,'Количество значений'!$A$2:$A$86,0),INDEX('Каталог поиска'!$D$2:$D$998,$F530)),""))</f>
        <v>4</v>
      </c>
      <c r="F530">
        <f>IFERROR(MATCH(518,'Каталог поиска'!$F$2:$F$998,0),"")</f>
        <v>518</v>
      </c>
    </row>
    <row r="531" spans="1:6" ht="36" customHeight="1">
      <c r="A531">
        <f>IF(F531="","",519)</f>
        <v>519</v>
      </c>
      <c r="B531" s="6" t="str">
        <f>IF($F531="","",INDEX('Каталог поиска'!$B$2:$B$998,$F531))</f>
        <v>CCH_REQUIRED</v>
      </c>
      <c r="C531" s="6" t="str">
        <f>IF($F531="","",INDEX('Каталог поиска'!$C$2:$C$998,$F531))</f>
        <v>SY</v>
      </c>
      <c r="D531" s="7">
        <f>IF(OR($F531="",E531=0,INDEX('Каталог поиска'!$D$2:$D$998,$F531)=0),"",IFERROR(INDEX('По размерам'!$A$2:$TY$86,MATCH($D$5,'По размерам'!$A$2:$A$86,0),INDEX('Каталог поиска'!$D$2:$D$998,$F531)),""))</f>
        <v/>
      </c>
      <c r="E531">
        <f>IF(OR($F531="",INDEX('Каталог поиска'!$D$2:$D$998,$F531)=0),"",IFERROR(INDEX('Количество значений'!$A$2:$TY$86,MATCH($D$5,'Количество значений'!$A$2:$A$86,0),INDEX('Каталог поиска'!$D$2:$D$998,$F531)),""))</f>
        <v>0</v>
      </c>
      <c r="F531">
        <f>IFERROR(MATCH(519,'Каталог поиска'!$F$2:$F$998,0),"")</f>
        <v>519</v>
      </c>
    </row>
    <row r="532" spans="1:6" ht="36" customHeight="1">
      <c r="A532">
        <f>IF(F532="","",520)</f>
        <v>520</v>
      </c>
      <c r="B532" s="6" t="str">
        <f>IF($F532="","",INDEX('Каталог поиска'!$B$2:$B$998,$F532))</f>
        <v>PLY2_REQUIRED</v>
      </c>
      <c r="C532" s="6" t="str">
        <f>IF($F532="","",INDEX('Каталог поиска'!$C$2:$C$998,$F532))</f>
        <v>SZ</v>
      </c>
      <c r="D532" s="7">
        <f>IF(OR($F532="",E532=0,INDEX('Каталог поиска'!$D$2:$D$998,$F532)=0),"",IFERROR(INDEX('По размерам'!$A$2:$TY$86,MATCH($D$5,'По размерам'!$A$2:$A$86,0),INDEX('Каталог поиска'!$D$2:$D$998,$F532)),""))</f>
        <v/>
      </c>
      <c r="E532">
        <f>IF(OR($F532="",INDEX('Каталог поиска'!$D$2:$D$998,$F532)=0),"",IFERROR(INDEX('Количество значений'!$A$2:$TY$86,MATCH($D$5,'Количество значений'!$A$2:$A$86,0),INDEX('Каталог поиска'!$D$2:$D$998,$F532)),""))</f>
        <v>0</v>
      </c>
      <c r="F532">
        <f>IFERROR(MATCH(520,'Каталог поиска'!$F$2:$F$998,0),"")</f>
        <v>520</v>
      </c>
    </row>
    <row r="533" spans="1:6" ht="36" customHeight="1">
      <c r="A533">
        <f>IF(F533="","",521)</f>
        <v>521</v>
      </c>
      <c r="B533" s="6" t="str">
        <f>IF($F533="","",INDEX('Каталог поиска'!$B$2:$B$998,$F533))</f>
        <v>FL_REQUIRED</v>
      </c>
      <c r="C533" s="6" t="str">
        <f>IF($F533="","",INDEX('Каталог поиска'!$C$2:$C$998,$F533))</f>
        <v>TA</v>
      </c>
      <c r="D533" s="7">
        <f>IF(OR($F533="",E533=0,INDEX('Каталог поиска'!$D$2:$D$998,$F533)=0),"",IFERROR(INDEX('По размерам'!$A$2:$TY$86,MATCH($D$5,'По размерам'!$A$2:$A$86,0),INDEX('Каталог поиска'!$D$2:$D$998,$F533)),""))</f>
        <v/>
      </c>
      <c r="E533">
        <f>IF(OR($F533="",INDEX('Каталог поиска'!$D$2:$D$998,$F533)=0),"",IFERROR(INDEX('Количество значений'!$A$2:$TY$86,MATCH($D$5,'Количество значений'!$A$2:$A$86,0),INDEX('Каталог поиска'!$D$2:$D$998,$F533)),""))</f>
        <v>0</v>
      </c>
      <c r="F533">
        <f>IFERROR(MATCH(521,'Каталог поиска'!$F$2:$F$998,0),"")</f>
        <v>521</v>
      </c>
    </row>
    <row r="534" spans="1:6" ht="36" customHeight="1">
      <c r="A534">
        <f>IF(F534="","",522)</f>
        <v>522</v>
      </c>
      <c r="B534" s="6" t="str">
        <f>IF($F534="","",INDEX('Каталог поиска'!$B$2:$B$998,$F534))</f>
        <v>PROCESS1ST_056_UNIT:10M/MIN</v>
      </c>
      <c r="C534" s="6" t="str">
        <f>IF($F534="","",INDEX('Каталог поиска'!$C$2:$C$998,$F534))</f>
        <v>TB</v>
      </c>
      <c r="D534" s="7">
        <f>IF(OR($F534="",E534=0,INDEX('Каталог поиска'!$D$2:$D$998,$F534)=0),"",IFERROR(INDEX('По размерам'!$A$2:$TY$86,MATCH($D$5,'По размерам'!$A$2:$A$86,0),INDEX('Каталог поиска'!$D$2:$D$998,$F534)),""))</f>
        <v>0</v>
      </c>
      <c r="E534">
        <f>IF(OR($F534="",INDEX('Каталог поиска'!$D$2:$D$998,$F534)=0),"",IFERROR(INDEX('Количество значений'!$A$2:$TY$86,MATCH($D$5,'Количество значений'!$A$2:$A$86,0),INDEX('Каталог поиска'!$D$2:$D$998,$F534)),""))</f>
        <v>4</v>
      </c>
      <c r="F534">
        <f>IFERROR(MATCH(522,'Каталог поиска'!$F$2:$F$998,0),"")</f>
        <v>522</v>
      </c>
    </row>
    <row r="535" spans="1:6" ht="36" customHeight="1">
      <c r="A535">
        <f>IF(F535="","",523)</f>
        <v>523</v>
      </c>
      <c r="B535" s="6" t="str">
        <f>IF($F535="","",INDEX('Каталог поиска'!$B$2:$B$998,$F535))</f>
        <v>PROCESS1ST_057_UNIT:10M/MIN</v>
      </c>
      <c r="C535" s="6" t="str">
        <f>IF($F535="","",INDEX('Каталог поиска'!$C$2:$C$998,$F535))</f>
        <v>TC</v>
      </c>
      <c r="D535" s="7">
        <f>IF(OR($F535="",E535=0,INDEX('Каталог поиска'!$D$2:$D$998,$F535)=0),"",IFERROR(INDEX('По размерам'!$A$2:$TY$86,MATCH($D$5,'По размерам'!$A$2:$A$86,0),INDEX('Каталог поиска'!$D$2:$D$998,$F535)),""))</f>
        <v>0</v>
      </c>
      <c r="E535">
        <f>IF(OR($F535="",INDEX('Каталог поиска'!$D$2:$D$998,$F535)=0),"",IFERROR(INDEX('Количество значений'!$A$2:$TY$86,MATCH($D$5,'Количество значений'!$A$2:$A$86,0),INDEX('Каталог поиска'!$D$2:$D$998,$F535)),""))</f>
        <v>4</v>
      </c>
      <c r="F535">
        <f>IFERROR(MATCH(523,'Каталог поиска'!$F$2:$F$998,0),"")</f>
        <v>523</v>
      </c>
    </row>
    <row r="536" spans="1:6" ht="36" customHeight="1">
      <c r="A536">
        <f>IF(F536="","",524)</f>
        <v>524</v>
      </c>
      <c r="B536" s="6" t="str">
        <f>IF($F536="","",INDEX('Каталог поиска'!$B$2:$B$998,$F536))</f>
        <v>Bead width(mm)</v>
      </c>
      <c r="C536" s="6" t="str">
        <f>IF($F536="","",INDEX('Каталог поиска'!$C$2:$C$998,$F536))</f>
        <v>TD</v>
      </c>
      <c r="D536" s="7">
        <f>IF(OR($F536="",E536=0,INDEX('Каталог поиска'!$D$2:$D$998,$F536)=0),"",IFERROR(INDEX('По размерам'!$A$2:$TY$86,MATCH($D$5,'По размерам'!$A$2:$A$86,0),INDEX('Каталог поиска'!$D$2:$D$998,$F536)),""))</f>
        <v>7.5</v>
      </c>
      <c r="E536">
        <f>IF(OR($F536="",INDEX('Каталог поиска'!$D$2:$D$998,$F536)=0),"",IFERROR(INDEX('Количество значений'!$A$2:$TY$86,MATCH($D$5,'Количество значений'!$A$2:$A$86,0),INDEX('Каталог поиска'!$D$2:$D$998,$F536)),""))</f>
        <v>4</v>
      </c>
      <c r="F536">
        <f>IFERROR(MATCH(524,'Каталог поиска'!$F$2:$F$998,0),"")</f>
        <v>524</v>
      </c>
    </row>
    <row r="537" spans="1:6" ht="36" customHeight="1">
      <c r="A537">
        <f>IF(F537="","",525)</f>
        <v>525</v>
      </c>
      <c r="B537" s="6" t="str">
        <f>IF($F537="","",INDEX('Каталог поиска'!$B$2:$B$998,$F537))</f>
        <v>BD treat(wire)code</v>
      </c>
      <c r="C537" s="6" t="str">
        <f>IF($F537="","",INDEX('Каталог поиска'!$C$2:$C$998,$F537))</f>
        <v>TE</v>
      </c>
      <c r="D537" s="7">
        <f>IF(OR($F537="",E537=0,INDEX('Каталог поиска'!$D$2:$D$998,$F537)=0),"",IFERROR(INDEX('По размерам'!$A$2:$TY$86,MATCH($D$5,'По размерам'!$A$2:$A$86,0),INDEX('Каталог поиска'!$D$2:$D$998,$F537)),""))</f>
        <v/>
      </c>
      <c r="E537">
        <f>IF(OR($F537="",INDEX('Каталог поиска'!$D$2:$D$998,$F537)=0),"",IFERROR(INDEX('Количество значений'!$A$2:$TY$86,MATCH($D$5,'Количество значений'!$A$2:$A$86,0),INDEX('Каталог поиска'!$D$2:$D$998,$F537)),""))</f>
        <v/>
      </c>
      <c r="F537">
        <f>IFERROR(MATCH(525,'Каталог поиска'!$F$2:$F$998,0),"")</f>
        <v>525</v>
      </c>
    </row>
    <row r="538" spans="1:6" ht="36" customHeight="1">
      <c r="A538">
        <f>IF(F538="","",526)</f>
        <v>526</v>
      </c>
      <c r="B538" s="6" t="str">
        <f>IF($F538="","",INDEX('Каталог поиска'!$B$2:$B$998,$F538))</f>
        <v>BD structure</v>
      </c>
      <c r="C538" s="6" t="str">
        <f>IF($F538="","",INDEX('Каталог поиска'!$C$2:$C$998,$F538))</f>
        <v>TF</v>
      </c>
      <c r="D538" s="7">
        <f>IF(OR($F538="",E538=0,INDEX('Каталог поиска'!$D$2:$D$998,$F538)=0),"",IFERROR(INDEX('По размерам'!$A$2:$TY$86,MATCH($D$5,'По размерам'!$A$2:$A$86,0),INDEX('Каталог поиска'!$D$2:$D$998,$F538)),""))</f>
        <v/>
      </c>
      <c r="E538">
        <f>IF(OR($F538="",INDEX('Каталог поиска'!$D$2:$D$998,$F538)=0),"",IFERROR(INDEX('Количество значений'!$A$2:$TY$86,MATCH($D$5,'Количество значений'!$A$2:$A$86,0),INDEX('Каталог поиска'!$D$2:$D$998,$F538)),""))</f>
        <v/>
      </c>
      <c r="F538">
        <f>IFERROR(MATCH(526,'Каталог поиска'!$F$2:$F$998,0),"")</f>
        <v>526</v>
      </c>
    </row>
    <row r="539" spans="1:6" ht="36" customHeight="1">
      <c r="A539">
        <f>IF(F539="","",527)</f>
        <v>527</v>
      </c>
      <c r="B539" s="6" t="str">
        <f>IF($F539="","",INDEX('Каталог поиска'!$B$2:$B$998,$F539))</f>
        <v>Side construction type</v>
      </c>
      <c r="C539" s="6" t="str">
        <f>IF($F539="","",INDEX('Каталог поиска'!$C$2:$C$998,$F539))</f>
        <v>TG</v>
      </c>
      <c r="D539" s="7">
        <f>IF(OR($F539="",E539=0,INDEX('Каталог поиска'!$D$2:$D$998,$F539)=0),"",IFERROR(INDEX('По размерам'!$A$2:$TY$86,MATCH($D$5,'По размерам'!$A$2:$A$86,0),INDEX('Каталог поиска'!$D$2:$D$998,$F539)),""))</f>
        <v/>
      </c>
      <c r="E539">
        <f>IF(OR($F539="",INDEX('Каталог поиска'!$D$2:$D$998,$F539)=0),"",IFERROR(INDEX('Количество значений'!$A$2:$TY$86,MATCH($D$5,'Количество значений'!$A$2:$A$86,0),INDEX('Каталог поиска'!$D$2:$D$998,$F539)),""))</f>
        <v/>
      </c>
      <c r="F539">
        <f>IFERROR(MATCH(527,'Каталог поиска'!$F$2:$F$998,0),"")</f>
        <v>527</v>
      </c>
    </row>
    <row r="540" spans="1:6" ht="36" customHeight="1">
      <c r="A540">
        <f>IF(F540="","",528)</f>
        <v>528</v>
      </c>
      <c r="B540" s="6" t="str">
        <f>IF($F540="","",INDEX('Каталог поиска'!$B$2:$B$998,$F540))</f>
        <v>Top 90 Gum No.</v>
      </c>
      <c r="C540" s="6" t="str">
        <f>IF($F540="","",INDEX('Каталог поиска'!$C$2:$C$998,$F540))</f>
        <v>TH</v>
      </c>
      <c r="D540" s="7">
        <f>IF(OR($F540="",E540=0,INDEX('Каталог поиска'!$D$2:$D$998,$F540)=0),"",IFERROR(INDEX('По размерам'!$A$2:$TY$86,MATCH($D$5,'По размерам'!$A$2:$A$86,0),INDEX('Каталог поиска'!$D$2:$D$998,$F540)),""))</f>
        <v/>
      </c>
      <c r="E540">
        <f>IF(OR($F540="",INDEX('Каталог поиска'!$D$2:$D$998,$F540)=0),"",IFERROR(INDEX('Количество значений'!$A$2:$TY$86,MATCH($D$5,'Количество значений'!$A$2:$A$86,0),INDEX('Каталог поиска'!$D$2:$D$998,$F540)),""))</f>
        <v/>
      </c>
      <c r="F540">
        <f>IFERROR(MATCH(528,'Каталог поиска'!$F$2:$F$998,0),"")</f>
        <v>528</v>
      </c>
    </row>
    <row r="541" spans="1:6" ht="36" customHeight="1">
      <c r="A541">
        <f>IF(F541="","",529)</f>
        <v>529</v>
      </c>
      <c r="B541" s="6" t="str">
        <f>IF($F541="","",INDEX('Каталог поиска'!$B$2:$B$998,$F541))</f>
        <v>Upper 90 Gum No.</v>
      </c>
      <c r="C541" s="6" t="str">
        <f>IF($F541="","",INDEX('Каталог поиска'!$C$2:$C$998,$F541))</f>
        <v>TI</v>
      </c>
      <c r="D541" s="7">
        <f>IF(OR($F541="",E541=0,INDEX('Каталог поиска'!$D$2:$D$998,$F541)=0),"",IFERROR(INDEX('По размерам'!$A$2:$TY$86,MATCH($D$5,'По размерам'!$A$2:$A$86,0),INDEX('Каталог поиска'!$D$2:$D$998,$F541)),""))</f>
        <v/>
      </c>
      <c r="E541">
        <f>IF(OR($F541="",INDEX('Каталог поиска'!$D$2:$D$998,$F541)=0),"",IFERROR(INDEX('Количество значений'!$A$2:$TY$86,MATCH($D$5,'Количество значений'!$A$2:$A$86,0),INDEX('Каталог поиска'!$D$2:$D$998,$F541)),""))</f>
        <v/>
      </c>
      <c r="F541">
        <f>IFERROR(MATCH(529,'Каталог поиска'!$F$2:$F$998,0),"")</f>
        <v>529</v>
      </c>
    </row>
    <row r="542" spans="1:6" ht="36" customHeight="1">
      <c r="A542">
        <f>IF(F542="","",530)</f>
        <v>530</v>
      </c>
      <c r="B542" s="6" t="str">
        <f>IF($F542="","",INDEX('Каталог поиска'!$B$2:$B$998,$F542))</f>
        <v>Lower 90 Gum No.</v>
      </c>
      <c r="C542" s="6" t="str">
        <f>IF($F542="","",INDEX('Каталог поиска'!$C$2:$C$998,$F542))</f>
        <v>TJ</v>
      </c>
      <c r="D542" s="7">
        <f>IF(OR($F542="",E542=0,INDEX('Каталог поиска'!$D$2:$D$998,$F542)=0),"",IFERROR(INDEX('По размерам'!$A$2:$TY$86,MATCH($D$5,'По размерам'!$A$2:$A$86,0),INDEX('Каталог поиска'!$D$2:$D$998,$F542)),""))</f>
        <v/>
      </c>
      <c r="E542">
        <f>IF(OR($F542="",INDEX('Каталог поиска'!$D$2:$D$998,$F542)=0),"",IFERROR(INDEX('Количество значений'!$A$2:$TY$86,MATCH($D$5,'Количество значений'!$A$2:$A$86,0),INDEX('Каталог поиска'!$D$2:$D$998,$F542)),""))</f>
        <v/>
      </c>
      <c r="F542">
        <f>IFERROR(MATCH(530,'Каталог поиска'!$F$2:$F$998,0),"")</f>
        <v>530</v>
      </c>
    </row>
    <row r="543" spans="1:6" ht="36" customHeight="1">
      <c r="A543">
        <f>IF(F543="","",531)</f>
        <v>531</v>
      </c>
      <c r="B543" s="6" t="str">
        <f>IF($F543="","",INDEX('Каталог поиска'!$B$2:$B$998,$F543))</f>
        <v>Bottom 60 Gum No.</v>
      </c>
      <c r="C543" s="6" t="str">
        <f>IF($F543="","",INDEX('Каталог поиска'!$C$2:$C$998,$F543))</f>
        <v>TK</v>
      </c>
      <c r="D543" s="7">
        <f>IF(OR($F543="",E543=0,INDEX('Каталог поиска'!$D$2:$D$998,$F543)=0),"",IFERROR(INDEX('По размерам'!$A$2:$TY$86,MATCH($D$5,'По размерам'!$A$2:$A$86,0),INDEX('Каталог поиска'!$D$2:$D$998,$F543)),""))</f>
        <v/>
      </c>
      <c r="E543">
        <f>IF(OR($F543="",INDEX('Каталог поиска'!$D$2:$D$998,$F543)=0),"",IFERROR(INDEX('Количество значений'!$A$2:$TY$86,MATCH($D$5,'Количество значений'!$A$2:$A$86,0),INDEX('Каталог поиска'!$D$2:$D$998,$F543)),""))</f>
        <v/>
      </c>
      <c r="F543">
        <f>IFERROR(MATCH(531,'Каталог поиска'!$F$2:$F$998,0),"")</f>
        <v>531</v>
      </c>
    </row>
    <row r="544" spans="1:6" ht="36" customHeight="1">
      <c r="A544">
        <f>IF(F544="","",532)</f>
        <v>532</v>
      </c>
      <c r="B544" s="6" t="str">
        <f>IF($F544="","",INDEX('Каталог поиска'!$B$2:$B$998,$F544))</f>
        <v>1st character of GT code</v>
      </c>
      <c r="C544" s="6" t="str">
        <f>IF($F544="","",INDEX('Каталог поиска'!$C$2:$C$998,$F544))</f>
        <v>TL</v>
      </c>
      <c r="D544" s="7">
        <f>IF(OR($F544="",E544=0,INDEX('Каталог поиска'!$D$2:$D$998,$F544)=0),"",IFERROR(INDEX('По размерам'!$A$2:$TY$86,MATCH($D$5,'По размерам'!$A$2:$A$86,0),INDEX('Каталог поиска'!$D$2:$D$998,$F544)),""))</f>
        <v/>
      </c>
      <c r="E544">
        <f>IF(OR($F544="",INDEX('Каталог поиска'!$D$2:$D$998,$F544)=0),"",IFERROR(INDEX('Количество значений'!$A$2:$TY$86,MATCH($D$5,'Количество значений'!$A$2:$A$86,0),INDEX('Каталог поиска'!$D$2:$D$998,$F544)),""))</f>
        <v/>
      </c>
      <c r="F544">
        <f>IFERROR(MATCH(532,'Каталог поиска'!$F$2:$F$998,0),"")</f>
        <v>532</v>
      </c>
    </row>
    <row r="545" spans="1:6" ht="36" customHeight="1">
      <c r="A545">
        <f>IF(F545="","",533)</f>
        <v>533</v>
      </c>
      <c r="B545" s="6" t="str">
        <f>IF($F545="","",INDEX('Каталог поиска'!$B$2:$B$998,$F545))</f>
        <v>BLDG_MC_BY_BLDGSIZE</v>
      </c>
      <c r="C545" s="6" t="str">
        <f>IF($F545="","",INDEX('Каталог поиска'!$C$2:$C$998,$F545))</f>
        <v>TM</v>
      </c>
      <c r="D545" s="7">
        <f>IF(OR($F545="",E545=0,INDEX('Каталог поиска'!$D$2:$D$998,$F545)=0),"",IFERROR(INDEX('По размерам'!$A$2:$TY$86,MATCH($D$5,'По размерам'!$A$2:$A$86,0),INDEX('Каталог поиска'!$D$2:$D$998,$F545)),""))</f>
        <v/>
      </c>
      <c r="E545">
        <f>IF(OR($F545="",INDEX('Каталог поиска'!$D$2:$D$998,$F545)=0),"",IFERROR(INDEX('Количество значений'!$A$2:$TY$86,MATCH($D$5,'Количество значений'!$A$2:$A$86,0),INDEX('Каталог поиска'!$D$2:$D$998,$F545)),""))</f>
        <v/>
      </c>
      <c r="F545">
        <f>IFERROR(MATCH(533,'Каталог поиска'!$F$2:$F$998,0),"")</f>
        <v>533</v>
      </c>
    </row>
    <row r="546" spans="1:6" ht="36" customHeight="1">
      <c r="A546">
        <f>IF(F546="","",534)</f>
        <v>534</v>
      </c>
      <c r="B546" s="6" t="str">
        <f>IF($F546="","",INDEX('Каталог поиска'!$B$2:$B$998,$F546))</f>
        <v>Check building MC with spec data bank  Size_TYPE</v>
      </c>
      <c r="C546" s="6" t="str">
        <f>IF($F546="","",INDEX('Каталог поиска'!$C$2:$C$998,$F546))</f>
        <v>TN</v>
      </c>
      <c r="D546" s="7">
        <f>IF(OR($F546="",E546=0,INDEX('Каталог поиска'!$D$2:$D$998,$F546)=0),"",IFERROR(INDEX('По размерам'!$A$2:$TY$86,MATCH($D$5,'По размерам'!$A$2:$A$86,0),INDEX('Каталог поиска'!$D$2:$D$998,$F546)),""))</f>
        <v>0</v>
      </c>
      <c r="E546">
        <f>IF(OR($F546="",INDEX('Каталог поиска'!$D$2:$D$998,$F546)=0),"",IFERROR(INDEX('Количество значений'!$A$2:$TY$86,MATCH($D$5,'Количество значений'!$A$2:$A$86,0),INDEX('Каталог поиска'!$D$2:$D$998,$F546)),""))</f>
        <v>4</v>
      </c>
      <c r="F546">
        <f>IFERROR(MATCH(534,'Каталог поиска'!$F$2:$F$998,0),"")</f>
        <v>534</v>
      </c>
    </row>
    <row r="547" spans="1:6" ht="36" customHeight="1">
      <c r="A547">
        <f>IF(F547="","",535)</f>
        <v>535</v>
      </c>
      <c r="B547" s="6" t="str">
        <f>IF($F547="","",INDEX('Каталог поиска'!$B$2:$B$998,$F547))</f>
        <v>REF_BEAD_MACHINEGROUP</v>
      </c>
      <c r="C547" s="6" t="str">
        <f>IF($F547="","",INDEX('Каталог поиска'!$C$2:$C$998,$F547))</f>
        <v>TO</v>
      </c>
      <c r="D547" s="7">
        <f>IF(OR($F547="",E547=0,INDEX('Каталог поиска'!$D$2:$D$998,$F547)=0),"",IFERROR(INDEX('По размерам'!$A$2:$TY$86,MATCH($D$5,'По размерам'!$A$2:$A$86,0),INDEX('Каталог поиска'!$D$2:$D$998,$F547)),""))</f>
        <v/>
      </c>
      <c r="E547">
        <f>IF(OR($F547="",INDEX('Каталог поиска'!$D$2:$D$998,$F547)=0),"",IFERROR(INDEX('Количество значений'!$A$2:$TY$86,MATCH($D$5,'Количество значений'!$A$2:$A$86,0),INDEX('Каталог поиска'!$D$2:$D$998,$F547)),""))</f>
        <v/>
      </c>
      <c r="F547">
        <f>IFERROR(MATCH(535,'Каталог поиска'!$F$2:$F$998,0),"")</f>
        <v>535</v>
      </c>
    </row>
  </sheetData>
  <mergeCells count="2">
    <mergeCell ref="A1:E2"/>
    <mergeCell ref="A9:E10"/>
  </mergeCells>
  <conditionalFormatting sqref="A13:E547">
    <cfRule type="expression" dxfId="0" priority="1">
      <formula>MOD(ROW(),2)=0</formula>
    </cfRule>
  </conditionalFormatting>
  <dataValidations count="2">
    <dataValidation type="list" allowBlank="1" showInputMessage="1" showErrorMessage="1" errorTitle="Выберите источник" error="Допустимы только 1ST или 2ST." sqref="D4">
      <formula1>"1ST,2ST"</formula1>
    </dataValidation>
    <dataValidation type="list" allowBlank="1" showInputMessage="1" showErrorMessage="1" sqref="D5">
      <formula1>SizesForSearch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3A63"/>
  </sheetPr>
  <dimension ref="B2:E28"/>
  <sheetViews>
    <sheetView showGridLines="0" workbookViewId="0"/>
  </sheetViews>
  <sheetFormatPr defaultRowHeight="25" customHeight="1"/>
  <cols>
    <col min="1" max="1" width="3.7109375" customWidth="1"/>
    <col min="2" max="2" width="29.7109375" customWidth="1"/>
    <col min="3" max="5" width="22.7109375" customWidth="1"/>
    <col min="6" max="6" width="3.7109375" customWidth="1"/>
  </cols>
  <sheetData>
    <row r="2" spans="2:5" ht="25" customHeight="1">
      <c r="B2" s="1" t="s">
        <v>5796</v>
      </c>
      <c r="C2" s="1"/>
      <c r="D2" s="1"/>
      <c r="E2" s="1"/>
    </row>
    <row r="3" spans="2:5" ht="25" customHeight="1">
      <c r="B3" s="1"/>
      <c r="C3" s="1"/>
      <c r="D3" s="1"/>
      <c r="E3" s="1"/>
    </row>
    <row r="4" spans="2:5" ht="25" customHeight="1">
      <c r="B4" s="4" t="s">
        <v>5797</v>
      </c>
      <c r="C4" s="4"/>
      <c r="D4" s="4"/>
      <c r="E4" s="4"/>
    </row>
    <row r="5" spans="2:5" ht="25" customHeight="1">
      <c r="B5" s="4"/>
      <c r="C5" s="4"/>
      <c r="D5" s="4"/>
      <c r="E5" s="4"/>
    </row>
    <row r="7" spans="2:5" ht="25" customHeight="1">
      <c r="B7" s="8" t="s">
        <v>5798</v>
      </c>
      <c r="C7" s="8"/>
      <c r="D7" s="8" t="s">
        <v>5799</v>
      </c>
      <c r="E7" s="8"/>
    </row>
    <row r="8" spans="2:5" ht="25" customHeight="1">
      <c r="B8" s="8"/>
      <c r="C8" s="8"/>
      <c r="D8" s="8"/>
      <c r="E8" s="8"/>
    </row>
    <row r="9" spans="2:5" ht="25" customHeight="1">
      <c r="B9" s="8"/>
      <c r="C9" s="8"/>
      <c r="D9" s="8"/>
      <c r="E9" s="8"/>
    </row>
    <row r="11" spans="2:5" ht="25" customHeight="1">
      <c r="B11" s="9" t="s">
        <v>5800</v>
      </c>
      <c r="C11" s="9"/>
      <c r="D11" s="9"/>
      <c r="E11" s="9"/>
    </row>
    <row r="12" spans="2:5" ht="25" customHeight="1">
      <c r="B12" s="9"/>
      <c r="C12" s="9"/>
      <c r="D12" s="9"/>
      <c r="E12" s="9"/>
    </row>
    <row r="14" spans="2:5" ht="25" customHeight="1">
      <c r="B14" s="2" t="s">
        <v>5801</v>
      </c>
      <c r="C14" s="2"/>
      <c r="D14" s="2"/>
      <c r="E14" s="2"/>
    </row>
    <row r="15" spans="2:5" ht="25" customHeight="1">
      <c r="B15" s="2"/>
      <c r="C15" s="2"/>
      <c r="D15" s="2"/>
      <c r="E15" s="2"/>
    </row>
    <row r="16" spans="2:5" ht="25" customHeight="1">
      <c r="B16" s="2" t="s">
        <v>5802</v>
      </c>
      <c r="C16" s="2"/>
      <c r="D16" s="2"/>
      <c r="E16" s="2"/>
    </row>
    <row r="17" spans="2:5" ht="25" customHeight="1">
      <c r="B17" s="2"/>
      <c r="C17" s="2"/>
      <c r="D17" s="2"/>
      <c r="E17" s="2"/>
    </row>
    <row r="18" spans="2:5" ht="25" customHeight="1">
      <c r="B18" s="2" t="s">
        <v>5803</v>
      </c>
      <c r="C18" s="2"/>
      <c r="D18" s="2"/>
      <c r="E18" s="2"/>
    </row>
    <row r="19" spans="2:5" ht="25" customHeight="1">
      <c r="B19" s="2"/>
      <c r="C19" s="2"/>
      <c r="D19" s="2"/>
      <c r="E19" s="2"/>
    </row>
    <row r="21" spans="2:5" ht="25" customHeight="1">
      <c r="B21" s="10" t="s">
        <v>5804</v>
      </c>
      <c r="D21" s="10" t="s">
        <v>5805</v>
      </c>
    </row>
    <row r="24" spans="2:5" ht="25" customHeight="1">
      <c r="B24" s="4" t="s">
        <v>5806</v>
      </c>
      <c r="C24" s="4"/>
      <c r="D24" s="4"/>
      <c r="E24" s="4"/>
    </row>
    <row r="25" spans="2:5" ht="25" customHeight="1">
      <c r="B25" s="4"/>
      <c r="C25" s="4"/>
      <c r="D25" s="4"/>
      <c r="E25" s="4"/>
    </row>
    <row r="27" spans="2:5" ht="25" customHeight="1">
      <c r="B27" s="9" t="s">
        <v>6340</v>
      </c>
      <c r="C27" s="9"/>
      <c r="D27" s="9"/>
      <c r="E27" s="9"/>
    </row>
    <row r="28" spans="2:5" ht="25" customHeight="1">
      <c r="B28" s="9"/>
      <c r="C28" s="9"/>
      <c r="D28" s="9"/>
      <c r="E28" s="9"/>
    </row>
  </sheetData>
  <mergeCells count="10">
    <mergeCell ref="B2:E3"/>
    <mergeCell ref="B4:E5"/>
    <mergeCell ref="B7:C9"/>
    <mergeCell ref="D7:E9"/>
    <mergeCell ref="B11:E12"/>
    <mergeCell ref="B14:E15"/>
    <mergeCell ref="B16:E17"/>
    <mergeCell ref="B18:E19"/>
    <mergeCell ref="B24:E25"/>
    <mergeCell ref="B27:E28"/>
  </mergeCells>
  <hyperlinks>
    <hyperlink ref="B11" location="'По размерам'!A1" display="Открыть сводную таблицу →"/>
    <hyperlink ref="B21" location="'Количество значений'!A1" display="Количество значений →"/>
    <hyperlink ref="D21" location="'Инструкция'!A1" display="Инструкция →"/>
    <hyperlink ref="B27" location="'Поиск параметров'!D4" display="Поиск параметров: выбор 1ST / 2ST →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3A63"/>
    <pageSetUpPr fitToPage="1"/>
  </sheetPr>
  <dimension ref="A1:TY86"/>
  <sheetViews>
    <sheetView showGridLines="0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style="11" customWidth="1"/>
    <col min="2" max="545" width="23.7109375" customWidth="1"/>
  </cols>
  <sheetData>
    <row r="1" spans="1:545" ht="112" customHeight="1">
      <c r="A1" s="5" t="s">
        <v>26</v>
      </c>
      <c r="B1" s="5" t="s">
        <v>5080</v>
      </c>
      <c r="C1" s="5" t="s">
        <v>5081</v>
      </c>
      <c r="D1" s="5" t="s">
        <v>5123</v>
      </c>
      <c r="E1" s="5" t="s">
        <v>5124</v>
      </c>
      <c r="F1" s="5" t="s">
        <v>5126</v>
      </c>
      <c r="G1" s="5" t="s">
        <v>5192</v>
      </c>
      <c r="H1" s="5" t="s">
        <v>5193</v>
      </c>
      <c r="I1" s="5" t="s">
        <v>5194</v>
      </c>
      <c r="J1" s="5" t="s">
        <v>5195</v>
      </c>
      <c r="K1" s="5" t="s">
        <v>5196</v>
      </c>
      <c r="L1" s="5" t="s">
        <v>5197</v>
      </c>
      <c r="M1" s="5" t="s">
        <v>5198</v>
      </c>
      <c r="N1" s="5" t="s">
        <v>5199</v>
      </c>
      <c r="O1" s="5" t="s">
        <v>5200</v>
      </c>
      <c r="P1" s="5" t="s">
        <v>5201</v>
      </c>
      <c r="Q1" s="5" t="s">
        <v>5202</v>
      </c>
      <c r="R1" s="5" t="s">
        <v>5203</v>
      </c>
      <c r="S1" s="5" t="s">
        <v>5204</v>
      </c>
      <c r="T1" s="5" t="s">
        <v>5205</v>
      </c>
      <c r="U1" s="5" t="s">
        <v>5206</v>
      </c>
      <c r="V1" s="5" t="s">
        <v>5207</v>
      </c>
      <c r="W1" s="5" t="s">
        <v>5208</v>
      </c>
      <c r="X1" s="5" t="s">
        <v>5209</v>
      </c>
      <c r="Y1" s="5" t="s">
        <v>5210</v>
      </c>
      <c r="Z1" s="5" t="s">
        <v>5211</v>
      </c>
      <c r="AA1" s="5" t="s">
        <v>5212</v>
      </c>
      <c r="AB1" s="5" t="s">
        <v>5213</v>
      </c>
      <c r="AC1" s="5" t="s">
        <v>5214</v>
      </c>
      <c r="AD1" s="5" t="s">
        <v>5215</v>
      </c>
      <c r="AE1" s="5" t="s">
        <v>5216</v>
      </c>
      <c r="AF1" s="5" t="s">
        <v>5217</v>
      </c>
      <c r="AG1" s="5" t="s">
        <v>5218</v>
      </c>
      <c r="AH1" s="5" t="s">
        <v>5219</v>
      </c>
      <c r="AI1" s="5" t="s">
        <v>5220</v>
      </c>
      <c r="AJ1" s="5" t="s">
        <v>5221</v>
      </c>
      <c r="AK1" s="5" t="s">
        <v>5222</v>
      </c>
      <c r="AL1" s="5" t="s">
        <v>5223</v>
      </c>
      <c r="AM1" s="5" t="s">
        <v>5224</v>
      </c>
      <c r="AN1" s="5" t="s">
        <v>5225</v>
      </c>
      <c r="AO1" s="5" t="s">
        <v>5226</v>
      </c>
      <c r="AP1" s="5" t="s">
        <v>5227</v>
      </c>
      <c r="AQ1" s="5" t="s">
        <v>5228</v>
      </c>
      <c r="AR1" s="5" t="s">
        <v>5229</v>
      </c>
      <c r="AS1" s="5" t="s">
        <v>5230</v>
      </c>
      <c r="AT1" s="5" t="s">
        <v>5231</v>
      </c>
      <c r="AU1" s="5" t="s">
        <v>5232</v>
      </c>
      <c r="AV1" s="5" t="s">
        <v>5233</v>
      </c>
      <c r="AW1" s="5" t="s">
        <v>5234</v>
      </c>
      <c r="AX1" s="5" t="s">
        <v>5235</v>
      </c>
      <c r="AY1" s="5" t="s">
        <v>5236</v>
      </c>
      <c r="AZ1" s="5" t="s">
        <v>5237</v>
      </c>
      <c r="BA1" s="5" t="s">
        <v>5238</v>
      </c>
      <c r="BB1" s="5" t="s">
        <v>5239</v>
      </c>
      <c r="BC1" s="5" t="s">
        <v>5240</v>
      </c>
      <c r="BD1" s="5" t="s">
        <v>5241</v>
      </c>
      <c r="BE1" s="5" t="s">
        <v>5242</v>
      </c>
      <c r="BF1" s="5" t="s">
        <v>5243</v>
      </c>
      <c r="BG1" s="5" t="s">
        <v>5244</v>
      </c>
      <c r="BH1" s="5" t="s">
        <v>5245</v>
      </c>
      <c r="BI1" s="5" t="s">
        <v>5246</v>
      </c>
      <c r="BJ1" s="5" t="s">
        <v>5247</v>
      </c>
      <c r="BK1" s="5" t="s">
        <v>5248</v>
      </c>
      <c r="BL1" s="5" t="s">
        <v>5249</v>
      </c>
      <c r="BM1" s="5" t="s">
        <v>5250</v>
      </c>
      <c r="BN1" s="5" t="s">
        <v>5251</v>
      </c>
      <c r="BO1" s="5" t="s">
        <v>5252</v>
      </c>
      <c r="BP1" s="5" t="s">
        <v>5253</v>
      </c>
      <c r="BQ1" s="5" t="s">
        <v>5254</v>
      </c>
      <c r="BR1" s="5" t="s">
        <v>5255</v>
      </c>
      <c r="BS1" s="5" t="s">
        <v>5256</v>
      </c>
      <c r="BT1" s="5" t="s">
        <v>5257</v>
      </c>
      <c r="BU1" s="5" t="s">
        <v>5258</v>
      </c>
      <c r="BV1" s="5" t="s">
        <v>5259</v>
      </c>
      <c r="BW1" s="5" t="s">
        <v>5260</v>
      </c>
      <c r="BX1" s="5" t="s">
        <v>5261</v>
      </c>
      <c r="BY1" s="5" t="s">
        <v>5262</v>
      </c>
      <c r="BZ1" s="5" t="s">
        <v>5263</v>
      </c>
      <c r="CA1" s="5" t="s">
        <v>5264</v>
      </c>
      <c r="CB1" s="5" t="s">
        <v>5265</v>
      </c>
      <c r="CC1" s="5" t="s">
        <v>5266</v>
      </c>
      <c r="CD1" s="5" t="s">
        <v>5267</v>
      </c>
      <c r="CE1" s="5" t="s">
        <v>5268</v>
      </c>
      <c r="CF1" s="5" t="s">
        <v>5269</v>
      </c>
      <c r="CG1" s="5" t="s">
        <v>5270</v>
      </c>
      <c r="CH1" s="5" t="s">
        <v>5271</v>
      </c>
      <c r="CI1" s="5" t="s">
        <v>5272</v>
      </c>
      <c r="CJ1" s="5" t="s">
        <v>5273</v>
      </c>
      <c r="CK1" s="5" t="s">
        <v>5274</v>
      </c>
      <c r="CL1" s="5" t="s">
        <v>5275</v>
      </c>
      <c r="CM1" s="5" t="s">
        <v>5276</v>
      </c>
      <c r="CN1" s="5" t="s">
        <v>5277</v>
      </c>
      <c r="CO1" s="5" t="s">
        <v>5278</v>
      </c>
      <c r="CP1" s="5" t="s">
        <v>5279</v>
      </c>
      <c r="CQ1" s="5" t="s">
        <v>5280</v>
      </c>
      <c r="CR1" s="5" t="s">
        <v>5281</v>
      </c>
      <c r="CS1" s="5" t="s">
        <v>5282</v>
      </c>
      <c r="CT1" s="5" t="s">
        <v>5283</v>
      </c>
      <c r="CU1" s="5" t="s">
        <v>5284</v>
      </c>
      <c r="CV1" s="5" t="s">
        <v>5285</v>
      </c>
      <c r="CW1" s="5" t="s">
        <v>5286</v>
      </c>
      <c r="CX1" s="5" t="s">
        <v>5287</v>
      </c>
      <c r="CY1" s="5" t="s">
        <v>5288</v>
      </c>
      <c r="CZ1" s="5" t="s">
        <v>5289</v>
      </c>
      <c r="DA1" s="5" t="s">
        <v>5290</v>
      </c>
      <c r="DB1" s="5" t="s">
        <v>5291</v>
      </c>
      <c r="DC1" s="5" t="s">
        <v>5292</v>
      </c>
      <c r="DD1" s="5" t="s">
        <v>5293</v>
      </c>
      <c r="DE1" s="5" t="s">
        <v>5294</v>
      </c>
      <c r="DF1" s="5" t="s">
        <v>5295</v>
      </c>
      <c r="DG1" s="5" t="s">
        <v>5296</v>
      </c>
      <c r="DH1" s="5" t="s">
        <v>5297</v>
      </c>
      <c r="DI1" s="5" t="s">
        <v>5298</v>
      </c>
      <c r="DJ1" s="5" t="s">
        <v>5299</v>
      </c>
      <c r="DK1" s="5" t="s">
        <v>5300</v>
      </c>
      <c r="DL1" s="5" t="s">
        <v>5301</v>
      </c>
      <c r="DM1" s="5" t="s">
        <v>5302</v>
      </c>
      <c r="DN1" s="5" t="s">
        <v>5303</v>
      </c>
      <c r="DO1" s="5" t="s">
        <v>5304</v>
      </c>
      <c r="DP1" s="5" t="s">
        <v>5305</v>
      </c>
      <c r="DQ1" s="5" t="s">
        <v>5306</v>
      </c>
      <c r="DR1" s="5" t="s">
        <v>5307</v>
      </c>
      <c r="DS1" s="5" t="s">
        <v>5308</v>
      </c>
      <c r="DT1" s="5" t="s">
        <v>5309</v>
      </c>
      <c r="DU1" s="5" t="s">
        <v>5310</v>
      </c>
      <c r="DV1" s="5" t="s">
        <v>5311</v>
      </c>
      <c r="DW1" s="5" t="s">
        <v>5312</v>
      </c>
      <c r="DX1" s="5" t="s">
        <v>5313</v>
      </c>
      <c r="DY1" s="5" t="s">
        <v>5314</v>
      </c>
      <c r="DZ1" s="5" t="s">
        <v>5315</v>
      </c>
      <c r="EA1" s="5" t="s">
        <v>5316</v>
      </c>
      <c r="EB1" s="5" t="s">
        <v>5317</v>
      </c>
      <c r="EC1" s="5" t="s">
        <v>5318</v>
      </c>
      <c r="ED1" s="5" t="s">
        <v>5319</v>
      </c>
      <c r="EE1" s="5" t="s">
        <v>5320</v>
      </c>
      <c r="EF1" s="5" t="s">
        <v>5321</v>
      </c>
      <c r="EG1" s="5" t="s">
        <v>5322</v>
      </c>
      <c r="EH1" s="5" t="s">
        <v>5323</v>
      </c>
      <c r="EI1" s="5" t="s">
        <v>5324</v>
      </c>
      <c r="EJ1" s="5" t="s">
        <v>5325</v>
      </c>
      <c r="EK1" s="5" t="s">
        <v>5326</v>
      </c>
      <c r="EL1" s="5" t="s">
        <v>5327</v>
      </c>
      <c r="EM1" s="5" t="s">
        <v>5328</v>
      </c>
      <c r="EN1" s="5" t="s">
        <v>5329</v>
      </c>
      <c r="EO1" s="5" t="s">
        <v>5330</v>
      </c>
      <c r="EP1" s="5" t="s">
        <v>5331</v>
      </c>
      <c r="EQ1" s="5" t="s">
        <v>5332</v>
      </c>
      <c r="ER1" s="5" t="s">
        <v>5333</v>
      </c>
      <c r="ES1" s="5" t="s">
        <v>5334</v>
      </c>
      <c r="ET1" s="5" t="s">
        <v>5335</v>
      </c>
      <c r="EU1" s="5" t="s">
        <v>5336</v>
      </c>
      <c r="EV1" s="5" t="s">
        <v>5337</v>
      </c>
      <c r="EW1" s="5" t="s">
        <v>5338</v>
      </c>
      <c r="EX1" s="5" t="s">
        <v>5339</v>
      </c>
      <c r="EY1" s="5" t="s">
        <v>5340</v>
      </c>
      <c r="EZ1" s="5" t="s">
        <v>5341</v>
      </c>
      <c r="FA1" s="5" t="s">
        <v>5342</v>
      </c>
      <c r="FB1" s="5" t="s">
        <v>5343</v>
      </c>
      <c r="FC1" s="5" t="s">
        <v>5344</v>
      </c>
      <c r="FD1" s="5" t="s">
        <v>5345</v>
      </c>
      <c r="FE1" s="5" t="s">
        <v>5346</v>
      </c>
      <c r="FF1" s="5" t="s">
        <v>5347</v>
      </c>
      <c r="FG1" s="5" t="s">
        <v>5348</v>
      </c>
      <c r="FH1" s="5" t="s">
        <v>5349</v>
      </c>
      <c r="FI1" s="5" t="s">
        <v>5350</v>
      </c>
      <c r="FJ1" s="5" t="s">
        <v>5351</v>
      </c>
      <c r="FK1" s="5" t="s">
        <v>5352</v>
      </c>
      <c r="FL1" s="5" t="s">
        <v>5353</v>
      </c>
      <c r="FM1" s="5" t="s">
        <v>5354</v>
      </c>
      <c r="FN1" s="5" t="s">
        <v>5355</v>
      </c>
      <c r="FO1" s="5" t="s">
        <v>5356</v>
      </c>
      <c r="FP1" s="5" t="s">
        <v>5357</v>
      </c>
      <c r="FQ1" s="5" t="s">
        <v>5358</v>
      </c>
      <c r="FR1" s="5" t="s">
        <v>5359</v>
      </c>
      <c r="FS1" s="5" t="s">
        <v>5360</v>
      </c>
      <c r="FT1" s="5" t="s">
        <v>5361</v>
      </c>
      <c r="FU1" s="5" t="s">
        <v>5362</v>
      </c>
      <c r="FV1" s="5" t="s">
        <v>5363</v>
      </c>
      <c r="FW1" s="5" t="s">
        <v>5364</v>
      </c>
      <c r="FX1" s="5" t="s">
        <v>5365</v>
      </c>
      <c r="FY1" s="5" t="s">
        <v>5366</v>
      </c>
      <c r="FZ1" s="5" t="s">
        <v>5367</v>
      </c>
      <c r="GA1" s="5" t="s">
        <v>5368</v>
      </c>
      <c r="GB1" s="5" t="s">
        <v>5369</v>
      </c>
      <c r="GC1" s="5" t="s">
        <v>5370</v>
      </c>
      <c r="GD1" s="5" t="s">
        <v>5371</v>
      </c>
      <c r="GE1" s="5" t="s">
        <v>5372</v>
      </c>
      <c r="GF1" s="5" t="s">
        <v>5373</v>
      </c>
      <c r="GG1" s="5" t="s">
        <v>5374</v>
      </c>
      <c r="GH1" s="5" t="s">
        <v>5375</v>
      </c>
      <c r="GI1" s="5" t="s">
        <v>5376</v>
      </c>
      <c r="GJ1" s="5" t="s">
        <v>5377</v>
      </c>
      <c r="GK1" s="5" t="s">
        <v>5378</v>
      </c>
      <c r="GL1" s="5" t="s">
        <v>5379</v>
      </c>
      <c r="GM1" s="5" t="s">
        <v>5380</v>
      </c>
      <c r="GN1" s="5" t="s">
        <v>5381</v>
      </c>
      <c r="GO1" s="5" t="s">
        <v>5382</v>
      </c>
      <c r="GP1" s="5" t="s">
        <v>5383</v>
      </c>
      <c r="GQ1" s="5" t="s">
        <v>5384</v>
      </c>
      <c r="GR1" s="5" t="s">
        <v>5385</v>
      </c>
      <c r="GS1" s="5" t="s">
        <v>5386</v>
      </c>
      <c r="GT1" s="5" t="s">
        <v>5387</v>
      </c>
      <c r="GU1" s="5" t="s">
        <v>5388</v>
      </c>
      <c r="GV1" s="5" t="s">
        <v>5389</v>
      </c>
      <c r="GW1" s="5" t="s">
        <v>5390</v>
      </c>
      <c r="GX1" s="5" t="s">
        <v>5391</v>
      </c>
      <c r="GY1" s="5" t="s">
        <v>5392</v>
      </c>
      <c r="GZ1" s="5" t="s">
        <v>5393</v>
      </c>
      <c r="HA1" s="5" t="s">
        <v>5394</v>
      </c>
      <c r="HB1" s="5" t="s">
        <v>5395</v>
      </c>
      <c r="HC1" s="5" t="s">
        <v>5396</v>
      </c>
      <c r="HD1" s="5" t="s">
        <v>5397</v>
      </c>
      <c r="HE1" s="5" t="s">
        <v>5398</v>
      </c>
      <c r="HF1" s="5" t="s">
        <v>5399</v>
      </c>
      <c r="HG1" s="5" t="s">
        <v>5400</v>
      </c>
      <c r="HH1" s="5" t="s">
        <v>5401</v>
      </c>
      <c r="HI1" s="5" t="s">
        <v>5402</v>
      </c>
      <c r="HJ1" s="5" t="s">
        <v>5403</v>
      </c>
      <c r="HK1" s="5" t="s">
        <v>5404</v>
      </c>
      <c r="HL1" s="5" t="s">
        <v>5405</v>
      </c>
      <c r="HM1" s="5" t="s">
        <v>5406</v>
      </c>
      <c r="HN1" s="5" t="s">
        <v>5407</v>
      </c>
      <c r="HO1" s="5" t="s">
        <v>5408</v>
      </c>
      <c r="HP1" s="5" t="s">
        <v>5409</v>
      </c>
      <c r="HQ1" s="5" t="s">
        <v>5410</v>
      </c>
      <c r="HR1" s="5" t="s">
        <v>5411</v>
      </c>
      <c r="HS1" s="5" t="s">
        <v>5412</v>
      </c>
      <c r="HT1" s="5" t="s">
        <v>5413</v>
      </c>
      <c r="HU1" s="5" t="s">
        <v>5414</v>
      </c>
      <c r="HV1" s="5" t="s">
        <v>5415</v>
      </c>
      <c r="HW1" s="5" t="s">
        <v>5416</v>
      </c>
      <c r="HX1" s="5" t="s">
        <v>5417</v>
      </c>
      <c r="HY1" s="5" t="s">
        <v>5418</v>
      </c>
      <c r="HZ1" s="5" t="s">
        <v>5419</v>
      </c>
      <c r="IA1" s="5" t="s">
        <v>5420</v>
      </c>
      <c r="IB1" s="5" t="s">
        <v>5421</v>
      </c>
      <c r="IC1" s="5" t="s">
        <v>5422</v>
      </c>
      <c r="ID1" s="5" t="s">
        <v>5423</v>
      </c>
      <c r="IE1" s="5" t="s">
        <v>5424</v>
      </c>
      <c r="IF1" s="5" t="s">
        <v>5425</v>
      </c>
      <c r="IG1" s="5" t="s">
        <v>5426</v>
      </c>
      <c r="IH1" s="5" t="s">
        <v>5427</v>
      </c>
      <c r="II1" s="5" t="s">
        <v>5428</v>
      </c>
      <c r="IJ1" s="5" t="s">
        <v>5429</v>
      </c>
      <c r="IK1" s="5" t="s">
        <v>5430</v>
      </c>
      <c r="IL1" s="5" t="s">
        <v>5431</v>
      </c>
      <c r="IM1" s="5" t="s">
        <v>5432</v>
      </c>
      <c r="IN1" s="5" t="s">
        <v>5433</v>
      </c>
      <c r="IO1" s="5" t="s">
        <v>5434</v>
      </c>
      <c r="IP1" s="5" t="s">
        <v>5435</v>
      </c>
      <c r="IQ1" s="5" t="s">
        <v>5436</v>
      </c>
      <c r="IR1" s="5" t="s">
        <v>5437</v>
      </c>
      <c r="IS1" s="5" t="s">
        <v>5438</v>
      </c>
      <c r="IT1" s="5" t="s">
        <v>5439</v>
      </c>
      <c r="IU1" s="5" t="s">
        <v>5440</v>
      </c>
      <c r="IV1" s="5" t="s">
        <v>5441</v>
      </c>
      <c r="IW1" s="5" t="s">
        <v>5442</v>
      </c>
      <c r="IX1" s="5" t="s">
        <v>5443</v>
      </c>
      <c r="IY1" s="5" t="s">
        <v>5444</v>
      </c>
      <c r="IZ1" s="5" t="s">
        <v>5445</v>
      </c>
      <c r="JA1" s="5" t="s">
        <v>5446</v>
      </c>
      <c r="JB1" s="5" t="s">
        <v>5447</v>
      </c>
      <c r="JC1" s="5" t="s">
        <v>5448</v>
      </c>
      <c r="JD1" s="5" t="s">
        <v>5449</v>
      </c>
      <c r="JE1" s="5" t="s">
        <v>5450</v>
      </c>
      <c r="JF1" s="5" t="s">
        <v>5451</v>
      </c>
      <c r="JG1" s="5" t="s">
        <v>5452</v>
      </c>
      <c r="JH1" s="5" t="s">
        <v>5453</v>
      </c>
      <c r="JI1" s="5" t="s">
        <v>5454</v>
      </c>
      <c r="JJ1" s="5" t="s">
        <v>5455</v>
      </c>
      <c r="JK1" s="5" t="s">
        <v>5456</v>
      </c>
      <c r="JL1" s="12" t="s">
        <v>5457</v>
      </c>
      <c r="JM1" s="12" t="s">
        <v>5458</v>
      </c>
      <c r="JN1" s="12" t="s">
        <v>5459</v>
      </c>
      <c r="JO1" s="12" t="s">
        <v>5460</v>
      </c>
      <c r="JP1" s="12" t="s">
        <v>5461</v>
      </c>
      <c r="JQ1" s="12" t="s">
        <v>5527</v>
      </c>
      <c r="JR1" s="12" t="s">
        <v>5528</v>
      </c>
      <c r="JS1" s="12" t="s">
        <v>5529</v>
      </c>
      <c r="JT1" s="12" t="s">
        <v>5530</v>
      </c>
      <c r="JU1" s="12" t="s">
        <v>5531</v>
      </c>
      <c r="JV1" s="12" t="s">
        <v>5532</v>
      </c>
      <c r="JW1" s="12" t="s">
        <v>5533</v>
      </c>
      <c r="JX1" s="12" t="s">
        <v>5534</v>
      </c>
      <c r="JY1" s="12" t="s">
        <v>5535</v>
      </c>
      <c r="JZ1" s="12" t="s">
        <v>5536</v>
      </c>
      <c r="KA1" s="12" t="s">
        <v>5537</v>
      </c>
      <c r="KB1" s="12" t="s">
        <v>5538</v>
      </c>
      <c r="KC1" s="12" t="s">
        <v>5539</v>
      </c>
      <c r="KD1" s="12" t="s">
        <v>5540</v>
      </c>
      <c r="KE1" s="12" t="s">
        <v>5541</v>
      </c>
      <c r="KF1" s="12" t="s">
        <v>5542</v>
      </c>
      <c r="KG1" s="12" t="s">
        <v>5543</v>
      </c>
      <c r="KH1" s="12" t="s">
        <v>5544</v>
      </c>
      <c r="KI1" s="12" t="s">
        <v>5545</v>
      </c>
      <c r="KJ1" s="12" t="s">
        <v>5546</v>
      </c>
      <c r="KK1" s="12" t="s">
        <v>5547</v>
      </c>
      <c r="KL1" s="12" t="s">
        <v>5548</v>
      </c>
      <c r="KM1" s="12" t="s">
        <v>5549</v>
      </c>
      <c r="KN1" s="12" t="s">
        <v>5550</v>
      </c>
      <c r="KO1" s="12" t="s">
        <v>5551</v>
      </c>
      <c r="KP1" s="12" t="s">
        <v>5552</v>
      </c>
      <c r="KQ1" s="12" t="s">
        <v>5553</v>
      </c>
      <c r="KR1" s="12" t="s">
        <v>5554</v>
      </c>
      <c r="KS1" s="12" t="s">
        <v>5555</v>
      </c>
      <c r="KT1" s="12" t="s">
        <v>5556</v>
      </c>
      <c r="KU1" s="12" t="s">
        <v>5557</v>
      </c>
      <c r="KV1" s="12" t="s">
        <v>5558</v>
      </c>
      <c r="KW1" s="12" t="s">
        <v>5559</v>
      </c>
      <c r="KX1" s="12" t="s">
        <v>5560</v>
      </c>
      <c r="KY1" s="12" t="s">
        <v>5561</v>
      </c>
      <c r="KZ1" s="12" t="s">
        <v>5562</v>
      </c>
      <c r="LA1" s="12" t="s">
        <v>5563</v>
      </c>
      <c r="LB1" s="12" t="s">
        <v>5564</v>
      </c>
      <c r="LC1" s="12" t="s">
        <v>5565</v>
      </c>
      <c r="LD1" s="12" t="s">
        <v>5566</v>
      </c>
      <c r="LE1" s="12" t="s">
        <v>5567</v>
      </c>
      <c r="LF1" s="12" t="s">
        <v>5568</v>
      </c>
      <c r="LG1" s="12" t="s">
        <v>5569</v>
      </c>
      <c r="LH1" s="12" t="s">
        <v>5570</v>
      </c>
      <c r="LI1" s="12" t="s">
        <v>5571</v>
      </c>
      <c r="LJ1" s="12" t="s">
        <v>5572</v>
      </c>
      <c r="LK1" s="12" t="s">
        <v>5573</v>
      </c>
      <c r="LL1" s="12" t="s">
        <v>5574</v>
      </c>
      <c r="LM1" s="12" t="s">
        <v>5575</v>
      </c>
      <c r="LN1" s="12" t="s">
        <v>5576</v>
      </c>
      <c r="LO1" s="12" t="s">
        <v>5577</v>
      </c>
      <c r="LP1" s="12" t="s">
        <v>5578</v>
      </c>
      <c r="LQ1" s="12" t="s">
        <v>5579</v>
      </c>
      <c r="LR1" s="12" t="s">
        <v>5580</v>
      </c>
      <c r="LS1" s="12" t="s">
        <v>5581</v>
      </c>
      <c r="LT1" s="12" t="s">
        <v>5582</v>
      </c>
      <c r="LU1" s="12" t="s">
        <v>5583</v>
      </c>
      <c r="LV1" s="12" t="s">
        <v>5584</v>
      </c>
      <c r="LW1" s="12" t="s">
        <v>5585</v>
      </c>
      <c r="LX1" s="12" t="s">
        <v>5586</v>
      </c>
      <c r="LY1" s="12" t="s">
        <v>5587</v>
      </c>
      <c r="LZ1" s="12" t="s">
        <v>5588</v>
      </c>
      <c r="MA1" s="12" t="s">
        <v>5589</v>
      </c>
      <c r="MB1" s="12" t="s">
        <v>5590</v>
      </c>
      <c r="MC1" s="12" t="s">
        <v>5591</v>
      </c>
      <c r="MD1" s="12" t="s">
        <v>5592</v>
      </c>
      <c r="ME1" s="12" t="s">
        <v>5593</v>
      </c>
      <c r="MF1" s="12" t="s">
        <v>5594</v>
      </c>
      <c r="MG1" s="12" t="s">
        <v>5595</v>
      </c>
      <c r="MH1" s="12" t="s">
        <v>5596</v>
      </c>
      <c r="MI1" s="12" t="s">
        <v>5597</v>
      </c>
      <c r="MJ1" s="12" t="s">
        <v>5598</v>
      </c>
      <c r="MK1" s="12" t="s">
        <v>5599</v>
      </c>
      <c r="ML1" s="12" t="s">
        <v>5600</v>
      </c>
      <c r="MM1" s="12" t="s">
        <v>5601</v>
      </c>
      <c r="MN1" s="12" t="s">
        <v>5602</v>
      </c>
      <c r="MO1" s="12" t="s">
        <v>5603</v>
      </c>
      <c r="MP1" s="12" t="s">
        <v>5604</v>
      </c>
      <c r="MQ1" s="12" t="s">
        <v>5605</v>
      </c>
      <c r="MR1" s="12" t="s">
        <v>5606</v>
      </c>
      <c r="MS1" s="12" t="s">
        <v>5607</v>
      </c>
      <c r="MT1" s="12" t="s">
        <v>5608</v>
      </c>
      <c r="MU1" s="12" t="s">
        <v>5609</v>
      </c>
      <c r="MV1" s="12" t="s">
        <v>5610</v>
      </c>
      <c r="MW1" s="12" t="s">
        <v>5611</v>
      </c>
      <c r="MX1" s="12" t="s">
        <v>5612</v>
      </c>
      <c r="MY1" s="12" t="s">
        <v>5613</v>
      </c>
      <c r="MZ1" s="12" t="s">
        <v>5614</v>
      </c>
      <c r="NA1" s="12" t="s">
        <v>5615</v>
      </c>
      <c r="NB1" s="12" t="s">
        <v>5616</v>
      </c>
      <c r="NC1" s="12" t="s">
        <v>5617</v>
      </c>
      <c r="ND1" s="12" t="s">
        <v>5618</v>
      </c>
      <c r="NE1" s="12" t="s">
        <v>5619</v>
      </c>
      <c r="NF1" s="12" t="s">
        <v>5620</v>
      </c>
      <c r="NG1" s="12" t="s">
        <v>5621</v>
      </c>
      <c r="NH1" s="12" t="s">
        <v>5622</v>
      </c>
      <c r="NI1" s="12" t="s">
        <v>5623</v>
      </c>
      <c r="NJ1" s="12" t="s">
        <v>5624</v>
      </c>
      <c r="NK1" s="12" t="s">
        <v>5625</v>
      </c>
      <c r="NL1" s="12" t="s">
        <v>5626</v>
      </c>
      <c r="NM1" s="12" t="s">
        <v>5627</v>
      </c>
      <c r="NN1" s="12" t="s">
        <v>5628</v>
      </c>
      <c r="NO1" s="12" t="s">
        <v>5629</v>
      </c>
      <c r="NP1" s="12" t="s">
        <v>5630</v>
      </c>
      <c r="NQ1" s="12" t="s">
        <v>5631</v>
      </c>
      <c r="NR1" s="12" t="s">
        <v>5632</v>
      </c>
      <c r="NS1" s="12" t="s">
        <v>5633</v>
      </c>
      <c r="NT1" s="12" t="s">
        <v>5634</v>
      </c>
      <c r="NU1" s="12" t="s">
        <v>5635</v>
      </c>
      <c r="NV1" s="12" t="s">
        <v>5636</v>
      </c>
      <c r="NW1" s="12" t="s">
        <v>5637</v>
      </c>
      <c r="NX1" s="12" t="s">
        <v>5638</v>
      </c>
      <c r="NY1" s="12" t="s">
        <v>5639</v>
      </c>
      <c r="NZ1" s="12" t="s">
        <v>5640</v>
      </c>
      <c r="OA1" s="12" t="s">
        <v>5641</v>
      </c>
      <c r="OB1" s="12" t="s">
        <v>5642</v>
      </c>
      <c r="OC1" s="12" t="s">
        <v>5643</v>
      </c>
      <c r="OD1" s="12" t="s">
        <v>5644</v>
      </c>
      <c r="OE1" s="12" t="s">
        <v>5645</v>
      </c>
      <c r="OF1" s="12" t="s">
        <v>5646</v>
      </c>
      <c r="OG1" s="12" t="s">
        <v>5647</v>
      </c>
      <c r="OH1" s="12" t="s">
        <v>5648</v>
      </c>
      <c r="OI1" s="12" t="s">
        <v>5649</v>
      </c>
      <c r="OJ1" s="12" t="s">
        <v>5650</v>
      </c>
      <c r="OK1" s="12" t="s">
        <v>5651</v>
      </c>
      <c r="OL1" s="12" t="s">
        <v>5652</v>
      </c>
      <c r="OM1" s="12" t="s">
        <v>5653</v>
      </c>
      <c r="ON1" s="12" t="s">
        <v>5654</v>
      </c>
      <c r="OO1" s="12" t="s">
        <v>5655</v>
      </c>
      <c r="OP1" s="12" t="s">
        <v>5656</v>
      </c>
      <c r="OQ1" s="12" t="s">
        <v>5657</v>
      </c>
      <c r="OR1" s="12" t="s">
        <v>5658</v>
      </c>
      <c r="OS1" s="12" t="s">
        <v>5659</v>
      </c>
      <c r="OT1" s="12" t="s">
        <v>5660</v>
      </c>
      <c r="OU1" s="12" t="s">
        <v>5661</v>
      </c>
      <c r="OV1" s="12" t="s">
        <v>5662</v>
      </c>
      <c r="OW1" s="12" t="s">
        <v>5663</v>
      </c>
      <c r="OX1" s="12" t="s">
        <v>5664</v>
      </c>
      <c r="OY1" s="12" t="s">
        <v>5665</v>
      </c>
      <c r="OZ1" s="12" t="s">
        <v>5666</v>
      </c>
      <c r="PA1" s="12" t="s">
        <v>5667</v>
      </c>
      <c r="PB1" s="12" t="s">
        <v>5668</v>
      </c>
      <c r="PC1" s="12" t="s">
        <v>5669</v>
      </c>
      <c r="PD1" s="12" t="s">
        <v>5670</v>
      </c>
      <c r="PE1" s="12" t="s">
        <v>5671</v>
      </c>
      <c r="PF1" s="12" t="s">
        <v>5672</v>
      </c>
      <c r="PG1" s="12" t="s">
        <v>5673</v>
      </c>
      <c r="PH1" s="12" t="s">
        <v>5674</v>
      </c>
      <c r="PI1" s="12" t="s">
        <v>5675</v>
      </c>
      <c r="PJ1" s="12" t="s">
        <v>5676</v>
      </c>
      <c r="PK1" s="12" t="s">
        <v>5677</v>
      </c>
      <c r="PL1" s="12" t="s">
        <v>5678</v>
      </c>
      <c r="PM1" s="12" t="s">
        <v>5679</v>
      </c>
      <c r="PN1" s="12" t="s">
        <v>5680</v>
      </c>
      <c r="PO1" s="12" t="s">
        <v>5681</v>
      </c>
      <c r="PP1" s="12" t="s">
        <v>5682</v>
      </c>
      <c r="PQ1" s="12" t="s">
        <v>5683</v>
      </c>
      <c r="PR1" s="12" t="s">
        <v>5684</v>
      </c>
      <c r="PS1" s="12" t="s">
        <v>5685</v>
      </c>
      <c r="PT1" s="12" t="s">
        <v>5686</v>
      </c>
      <c r="PU1" s="12" t="s">
        <v>5687</v>
      </c>
      <c r="PV1" s="12" t="s">
        <v>5688</v>
      </c>
      <c r="PW1" s="12" t="s">
        <v>5689</v>
      </c>
      <c r="PX1" s="12" t="s">
        <v>5690</v>
      </c>
      <c r="PY1" s="12" t="s">
        <v>5691</v>
      </c>
      <c r="PZ1" s="12" t="s">
        <v>5692</v>
      </c>
      <c r="QA1" s="12" t="s">
        <v>5693</v>
      </c>
      <c r="QB1" s="12" t="s">
        <v>5694</v>
      </c>
      <c r="QC1" s="12" t="s">
        <v>5695</v>
      </c>
      <c r="QD1" s="12" t="s">
        <v>5696</v>
      </c>
      <c r="QE1" s="12" t="s">
        <v>5697</v>
      </c>
      <c r="QF1" s="12" t="s">
        <v>5698</v>
      </c>
      <c r="QG1" s="12" t="s">
        <v>5699</v>
      </c>
      <c r="QH1" s="12" t="s">
        <v>5700</v>
      </c>
      <c r="QI1" s="12" t="s">
        <v>5701</v>
      </c>
      <c r="QJ1" s="12" t="s">
        <v>5702</v>
      </c>
      <c r="QK1" s="12" t="s">
        <v>5703</v>
      </c>
      <c r="QL1" s="12" t="s">
        <v>5704</v>
      </c>
      <c r="QM1" s="12" t="s">
        <v>5705</v>
      </c>
      <c r="QN1" s="12" t="s">
        <v>5706</v>
      </c>
      <c r="QO1" s="12" t="s">
        <v>5707</v>
      </c>
      <c r="QP1" s="12" t="s">
        <v>5708</v>
      </c>
      <c r="QQ1" s="12" t="s">
        <v>5709</v>
      </c>
      <c r="QR1" s="12" t="s">
        <v>5710</v>
      </c>
      <c r="QS1" s="12" t="s">
        <v>5711</v>
      </c>
      <c r="QT1" s="12" t="s">
        <v>5712</v>
      </c>
      <c r="QU1" s="12" t="s">
        <v>5713</v>
      </c>
      <c r="QV1" s="12" t="s">
        <v>5714</v>
      </c>
      <c r="QW1" s="12" t="s">
        <v>5715</v>
      </c>
      <c r="QX1" s="12" t="s">
        <v>5716</v>
      </c>
      <c r="QY1" s="12" t="s">
        <v>5717</v>
      </c>
      <c r="QZ1" s="12" t="s">
        <v>5718</v>
      </c>
      <c r="RA1" s="12" t="s">
        <v>5719</v>
      </c>
      <c r="RB1" s="12" t="s">
        <v>5720</v>
      </c>
      <c r="RC1" s="12" t="s">
        <v>5721</v>
      </c>
      <c r="RD1" s="12" t="s">
        <v>5722</v>
      </c>
      <c r="RE1" s="12" t="s">
        <v>5723</v>
      </c>
      <c r="RF1" s="12" t="s">
        <v>5724</v>
      </c>
      <c r="RG1" s="12" t="s">
        <v>5725</v>
      </c>
      <c r="RH1" s="12" t="s">
        <v>5726</v>
      </c>
      <c r="RI1" s="12" t="s">
        <v>5727</v>
      </c>
      <c r="RJ1" s="12" t="s">
        <v>5728</v>
      </c>
      <c r="RK1" s="12" t="s">
        <v>5729</v>
      </c>
      <c r="RL1" s="12" t="s">
        <v>5730</v>
      </c>
      <c r="RM1" s="12" t="s">
        <v>5731</v>
      </c>
      <c r="RN1" s="12" t="s">
        <v>5732</v>
      </c>
      <c r="RO1" s="12" t="s">
        <v>5733</v>
      </c>
      <c r="RP1" s="12" t="s">
        <v>5734</v>
      </c>
      <c r="RQ1" s="12" t="s">
        <v>5735</v>
      </c>
      <c r="RR1" s="12" t="s">
        <v>5736</v>
      </c>
      <c r="RS1" s="12" t="s">
        <v>5737</v>
      </c>
      <c r="RT1" s="12" t="s">
        <v>5738</v>
      </c>
      <c r="RU1" s="12" t="s">
        <v>5739</v>
      </c>
      <c r="RV1" s="12" t="s">
        <v>5740</v>
      </c>
      <c r="RW1" s="12" t="s">
        <v>5741</v>
      </c>
      <c r="RX1" s="12" t="s">
        <v>5742</v>
      </c>
      <c r="RY1" s="12" t="s">
        <v>5743</v>
      </c>
      <c r="RZ1" s="12" t="s">
        <v>5744</v>
      </c>
      <c r="SA1" s="12" t="s">
        <v>5745</v>
      </c>
      <c r="SB1" s="12" t="s">
        <v>5746</v>
      </c>
      <c r="SC1" s="12" t="s">
        <v>5747</v>
      </c>
      <c r="SD1" s="12" t="s">
        <v>5748</v>
      </c>
      <c r="SE1" s="12" t="s">
        <v>5749</v>
      </c>
      <c r="SF1" s="12" t="s">
        <v>5750</v>
      </c>
      <c r="SG1" s="12" t="s">
        <v>5751</v>
      </c>
      <c r="SH1" s="12" t="s">
        <v>5752</v>
      </c>
      <c r="SI1" s="12" t="s">
        <v>5753</v>
      </c>
      <c r="SJ1" s="12" t="s">
        <v>5754</v>
      </c>
      <c r="SK1" s="12" t="s">
        <v>5755</v>
      </c>
      <c r="SL1" s="12" t="s">
        <v>5756</v>
      </c>
      <c r="SM1" s="12" t="s">
        <v>5757</v>
      </c>
      <c r="SN1" s="12" t="s">
        <v>5758</v>
      </c>
      <c r="SO1" s="12" t="s">
        <v>5759</v>
      </c>
      <c r="SP1" s="12" t="s">
        <v>5760</v>
      </c>
      <c r="SQ1" s="12" t="s">
        <v>5761</v>
      </c>
      <c r="SR1" s="12" t="s">
        <v>5762</v>
      </c>
      <c r="SS1" s="12" t="s">
        <v>5763</v>
      </c>
      <c r="ST1" s="12" t="s">
        <v>5764</v>
      </c>
      <c r="SU1" s="12" t="s">
        <v>5765</v>
      </c>
      <c r="SV1" s="12" t="s">
        <v>5766</v>
      </c>
      <c r="SW1" s="12" t="s">
        <v>5767</v>
      </c>
      <c r="SX1" s="12" t="s">
        <v>5768</v>
      </c>
      <c r="SY1" s="12" t="s">
        <v>5769</v>
      </c>
      <c r="SZ1" s="12" t="s">
        <v>5770</v>
      </c>
      <c r="TA1" s="12" t="s">
        <v>5771</v>
      </c>
      <c r="TB1" s="12" t="s">
        <v>5772</v>
      </c>
      <c r="TC1" s="12" t="s">
        <v>5773</v>
      </c>
      <c r="TD1" s="12" t="s">
        <v>5774</v>
      </c>
      <c r="TE1" s="12" t="s">
        <v>5775</v>
      </c>
      <c r="TF1" s="12" t="s">
        <v>5776</v>
      </c>
      <c r="TG1" s="12" t="s">
        <v>5777</v>
      </c>
      <c r="TH1" s="12" t="s">
        <v>5778</v>
      </c>
      <c r="TI1" s="12" t="s">
        <v>5779</v>
      </c>
      <c r="TJ1" s="12" t="s">
        <v>5780</v>
      </c>
      <c r="TK1" s="12" t="s">
        <v>5781</v>
      </c>
      <c r="TL1" s="12" t="s">
        <v>5782</v>
      </c>
      <c r="TM1" s="12" t="s">
        <v>5783</v>
      </c>
      <c r="TN1" s="12" t="s">
        <v>5784</v>
      </c>
      <c r="TO1" s="12" t="s">
        <v>5785</v>
      </c>
      <c r="TP1" s="12" t="s">
        <v>5786</v>
      </c>
      <c r="TQ1" s="12" t="s">
        <v>5787</v>
      </c>
      <c r="TR1" s="12" t="s">
        <v>5788</v>
      </c>
      <c r="TS1" s="12" t="s">
        <v>5789</v>
      </c>
      <c r="TT1" s="12" t="s">
        <v>5790</v>
      </c>
      <c r="TU1" s="12" t="s">
        <v>5791</v>
      </c>
      <c r="TV1" s="12" t="s">
        <v>5792</v>
      </c>
      <c r="TW1" s="12" t="s">
        <v>5793</v>
      </c>
      <c r="TX1" s="12" t="s">
        <v>5794</v>
      </c>
      <c r="TY1" s="12" t="s">
        <v>5795</v>
      </c>
    </row>
    <row r="2" spans="1:545" ht="32" customHeight="1">
      <c r="A2" s="11" t="s">
        <v>1455</v>
      </c>
      <c r="B2">
        <f>COUNTIF('Данные 1st'!$S$2:$S$317,$A2)</f>
        <v>4</v>
      </c>
      <c r="C2" s="6" t="s">
        <v>5082</v>
      </c>
      <c r="D2" s="6" t="s">
        <v>513</v>
      </c>
      <c r="E2" s="6" t="s">
        <v>5125</v>
      </c>
      <c r="F2" s="6" t="s">
        <v>5127</v>
      </c>
      <c r="G2" s="7">
        <f>IFERROR(AVERAGEIF('Данные 1st'!$S$2:$S$317,$A2,'Данные 1st'!$AE$2:$AE$317),"")</f>
        <v>153.25</v>
      </c>
      <c r="H2" s="7">
        <f>IFERROR(AVERAGEIF('Данные 1st'!$S$2:$S$317,$A2,'Данные 1st'!$AF$2:$AF$317),"")</f>
        <v>1.5</v>
      </c>
      <c r="I2" s="7">
        <f>IFERROR(AVERAGEIF('Данные 1st'!$S$2:$S$317,$A2,'Данные 1st'!$AJ$2:$AJ$317),"")</f>
        <v>163.75</v>
      </c>
      <c r="J2" s="7">
        <f>IFERROR(AVERAGEIF('Данные 1st'!$S$2:$S$317,$A2,'Данные 1st'!$AL$2:$AL$317),"")</f>
        <v>1.5</v>
      </c>
      <c r="K2" s="7">
        <f>IFERROR(AVERAGEIF('Данные 1st'!$S$2:$S$317,$A2,'Данные 1st'!$AR$2:$AR$317),"")</f>
        <v>0</v>
      </c>
      <c r="L2" s="7">
        <f>IFERROR(AVERAGEIF('Данные 1st'!$S$2:$S$317,$A2,'Данные 1st'!$AS$2:$AS$317),"")</f>
        <v>1.5</v>
      </c>
      <c r="M2" s="7">
        <f>IFERROR(AVERAGEIF('Данные 1st'!$S$2:$S$317,$A2,'Данные 1st'!$AY$2:$AY$317),"")</f>
        <v>239.375</v>
      </c>
      <c r="N2" s="7">
        <f>IFERROR(AVERAGEIF('Данные 1st'!$S$2:$S$317,$A2,'Данные 1st'!$AZ$2:$AZ$317),"")</f>
        <v>1.5</v>
      </c>
      <c r="O2" s="7">
        <f>IFERROR(AVERAGEIF('Данные 1st'!$S$2:$S$317,$A2,'Данные 1st'!$BF$2:$BF$317),"")</f>
        <v/>
      </c>
      <c r="P2" s="7">
        <f>IFERROR(AVERAGEIF('Данные 1st'!$S$2:$S$317,$A2,'Данные 1st'!$BG$2:$BG$317),"")</f>
        <v>1.5</v>
      </c>
      <c r="Q2" s="7">
        <f>IFERROR(AVERAGEIF('Данные 1st'!$S$2:$S$317,$A2,'Данные 1st'!$BM$2:$BM$317),"")</f>
        <v/>
      </c>
      <c r="R2" s="7">
        <f>IFERROR(AVERAGEIF('Данные 1st'!$S$2:$S$317,$A2,'Данные 1st'!$BN$2:$BN$317),"")</f>
        <v>1.5</v>
      </c>
      <c r="S2" s="7">
        <f>IFERROR(AVERAGEIF('Данные 1st'!$S$2:$S$317,$A2,'Данные 1st'!$BT$2:$BT$317),"")</f>
        <v>175.75</v>
      </c>
      <c r="T2" s="7">
        <f>IFERROR(AVERAGEIF('Данные 1st'!$S$2:$S$317,$A2,'Данные 1st'!$BU$2:$BU$317),"")</f>
        <v>0.5</v>
      </c>
      <c r="U2" s="7">
        <f>IFERROR(AVERAGEIF('Данные 1st'!$S$2:$S$317,$A2,'Данные 1st'!$BW$2:$BW$317),"")</f>
        <v>351.5</v>
      </c>
      <c r="V2" s="7">
        <f>IFERROR(AVERAGEIF('Данные 1st'!$S$2:$S$317,$A2,'Данные 1st'!$BX$2:$BX$317),"")</f>
        <v>1</v>
      </c>
      <c r="W2" s="7">
        <f>IFERROR(AVERAGEIF('Данные 1st'!$S$2:$S$317,$A2,'Данные 1st'!$BZ$2:$BZ$317),"")</f>
        <v>300</v>
      </c>
      <c r="X2" s="7">
        <f>IFERROR(AVERAGEIF('Данные 1st'!$S$2:$S$317,$A2,'Данные 1st'!$CA$2:$CA$317),"")</f>
        <v>445</v>
      </c>
      <c r="Y2" s="7">
        <f>IFERROR(AVERAGEIF('Данные 1st'!$S$2:$S$317,$A2,'Данные 1st'!$CD$2:$CD$317),"")</f>
        <v>369</v>
      </c>
      <c r="Z2" s="7">
        <f>IFERROR(AVERAGEIF('Данные 1st'!$S$2:$S$317,$A2,'Данные 1st'!$CF$2:$CF$317),"")</f>
        <v>15</v>
      </c>
      <c r="AA2" s="7">
        <f>IFERROR(AVERAGEIF('Данные 1st'!$S$2:$S$317,$A2,'Данные 1st'!$CI$2:$CI$317),"")</f>
        <v>72.5</v>
      </c>
      <c r="AB2" s="7">
        <f>IFERROR(AVERAGEIF('Данные 1st'!$S$2:$S$317,$A2,'Данные 1st'!$CJ$2:$CJ$317),"")</f>
        <v>1050</v>
      </c>
      <c r="AC2" s="7">
        <f>IFERROR(AVERAGEIF('Данные 1st'!$S$2:$S$317,$A2,'Данные 1st'!$CK$2:$CK$317),"")</f>
        <v>2</v>
      </c>
      <c r="AD2" s="7">
        <f>IFERROR(AVERAGEIF('Данные 1st'!$S$2:$S$317,$A2,'Данные 1st'!$CL$2:$CL$317),"")</f>
        <v>1144</v>
      </c>
      <c r="AE2" s="7">
        <f>IFERROR(AVERAGEIF('Данные 1st'!$S$2:$S$317,$A2,'Данные 1st'!$CM$2:$CM$317),"")</f>
        <v>2</v>
      </c>
      <c r="AF2" s="7">
        <f>IFERROR(AVERAGEIF('Данные 1st'!$S$2:$S$317,$A2,'Данные 1st'!$CT$2:$CT$317),"")</f>
        <v>327.5</v>
      </c>
      <c r="AG2" s="7">
        <f>IFERROR(AVERAGEIF('Данные 1st'!$S$2:$S$317,$A2,'Данные 1st'!$CU$2:$CU$317),"")</f>
        <v>5</v>
      </c>
      <c r="AH2" s="7">
        <f>IFERROR(AVERAGEIF('Данные 1st'!$S$2:$S$317,$A2,'Данные 1st'!$CV$2:$CV$317),"")</f>
        <v>1.2</v>
      </c>
      <c r="AI2" s="7">
        <f>IFERROR(AVERAGEIF('Данные 1st'!$S$2:$S$317,$A2,'Данные 1st'!$CW$2:$CW$317),"")</f>
        <v>1064</v>
      </c>
      <c r="AJ2" s="7">
        <f>IFERROR(AVERAGEIF('Данные 1st'!$S$2:$S$317,$A2,'Данные 1st'!$CX$2:$CX$317),"")</f>
        <v>493</v>
      </c>
      <c r="AK2" s="7">
        <f>IFERROR(AVERAGEIF('Данные 1st'!$S$2:$S$317,$A2,'Данные 1st'!$CZ$2:$CZ$317),"")</f>
        <v/>
      </c>
      <c r="AL2" s="7">
        <f>IFERROR(AVERAGEIF('Данные 1st'!$S$2:$S$317,$A2,'Данные 1st'!$DA$2:$DA$317),"")</f>
        <v/>
      </c>
      <c r="AM2" s="7">
        <f>IFERROR(AVERAGEIF('Данные 1st'!$S$2:$S$317,$A2,'Данные 1st'!$DB$2:$DB$317),"")</f>
        <v/>
      </c>
      <c r="AN2" s="7">
        <f>IFERROR(AVERAGEIF('Данные 1st'!$S$2:$S$317,$A2,'Данные 1st'!$DC$2:$DC$317),"")</f>
        <v/>
      </c>
      <c r="AO2" s="7">
        <f>IFERROR(AVERAGEIF('Данные 1st'!$S$2:$S$317,$A2,'Данные 1st'!$DD$2:$DD$317),"")</f>
        <v>0</v>
      </c>
      <c r="AP2" s="7">
        <f>IFERROR(AVERAGEIF('Данные 1st'!$S$2:$S$317,$A2,'Данные 1st'!$DF$2:$DF$317),"")</f>
        <v>478.75</v>
      </c>
      <c r="AQ2" s="7">
        <f>IFERROR(AVERAGEIF('Данные 1st'!$S$2:$S$317,$A2,'Данные 1st'!$DG$2:$DG$317),"")</f>
        <v>3</v>
      </c>
      <c r="AR2" s="7">
        <f>IFERROR(AVERAGEIF('Данные 1st'!$S$2:$S$317,$A2,'Данные 1st'!$DH$2:$DH$317),"")</f>
        <v>1.18</v>
      </c>
      <c r="AS2" s="7">
        <f>IFERROR(AVERAGEIF('Данные 1st'!$S$2:$S$317,$A2,'Данные 1st'!$DI$2:$DI$317),"")</f>
        <v>1062</v>
      </c>
      <c r="AT2" s="7">
        <f>IFERROR(AVERAGEIF('Данные 1st'!$S$2:$S$317,$A2,'Данные 1st'!$DJ$2:$DJ$317),"")</f>
        <v>822</v>
      </c>
      <c r="AU2" s="7">
        <f>IFERROR(AVERAGEIF('Данные 1st'!$S$2:$S$317,$A2,'Данные 1st'!$DL$2:$DL$317),"")</f>
        <v/>
      </c>
      <c r="AV2" s="7">
        <f>IFERROR(AVERAGEIF('Данные 1st'!$S$2:$S$317,$A2,'Данные 1st'!$DM$2:$DM$317),"")</f>
        <v/>
      </c>
      <c r="AW2" s="7">
        <f>IFERROR(AVERAGEIF('Данные 1st'!$S$2:$S$317,$A2,'Данные 1st'!$DN$2:$DN$317),"")</f>
        <v/>
      </c>
      <c r="AX2" s="7">
        <f>IFERROR(AVERAGEIF('Данные 1st'!$S$2:$S$317,$A2,'Данные 1st'!$DO$2:$DO$317),"")</f>
        <v/>
      </c>
      <c r="AY2" s="7">
        <f>IFERROR(AVERAGEIF('Данные 1st'!$S$2:$S$317,$A2,'Данные 1st'!$DP$2:$DP$317),"")</f>
        <v/>
      </c>
      <c r="AZ2" s="7">
        <f>IFERROR(AVERAGEIF('Данные 1st'!$S$2:$S$317,$A2,'Данные 1st'!$DR$2:$DR$317),"")</f>
        <v/>
      </c>
      <c r="BA2" s="7">
        <f>IFERROR(AVERAGEIF('Данные 1st'!$S$2:$S$317,$A2,'Данные 1st'!$DS$2:$DS$317),"")</f>
        <v/>
      </c>
      <c r="BB2" s="7">
        <f>IFERROR(AVERAGEIF('Данные 1st'!$S$2:$S$317,$A2,'Данные 1st'!$DT$2:$DT$317),"")</f>
        <v/>
      </c>
      <c r="BC2" s="7">
        <f>IFERROR(AVERAGEIF('Данные 1st'!$S$2:$S$317,$A2,'Данные 1st'!$DU$2:$DU$317),"")</f>
        <v/>
      </c>
      <c r="BD2" s="7">
        <f>IFERROR(AVERAGEIF('Данные 1st'!$S$2:$S$317,$A2,'Данные 1st'!$DV$2:$DV$317),"")</f>
        <v/>
      </c>
      <c r="BE2" s="7">
        <f>IFERROR(AVERAGEIF('Данные 1st'!$S$2:$S$317,$A2,'Данные 1st'!$DX$2:$DX$317),"")</f>
        <v>7.5</v>
      </c>
      <c r="BF2" s="7">
        <f>IFERROR(AVERAGEIF('Данные 1st'!$S$2:$S$317,$A2,'Данные 1st'!$EA$2:$EA$317),"")</f>
        <v>1123.4</v>
      </c>
      <c r="BG2" s="7">
        <f>IFERROR(AVERAGEIF('Данные 1st'!$S$2:$S$317,$A2,'Данные 1st'!$EB$2:$EB$317),"")</f>
        <v>147</v>
      </c>
      <c r="BH2" s="7">
        <f>IFERROR(AVERAGEIF('Данные 1st'!$S$2:$S$317,$A2,'Данные 1st'!$ED$2:$ED$317),"")</f>
        <v>30</v>
      </c>
      <c r="BI2" s="7">
        <f>IFERROR(AVERAGEIF('Данные 1st'!$S$2:$S$317,$A2,'Данные 1st'!$EE$2:$EE$317),"")</f>
        <v>3</v>
      </c>
      <c r="BJ2" s="7">
        <f>IFERROR(AVERAGEIF('Данные 1st'!$S$2:$S$317,$A2,'Данные 1st'!$EG$2:$EG$317),"")</f>
        <v>1154.25</v>
      </c>
      <c r="BK2" s="7">
        <f>IFERROR(AVERAGEIF('Данные 1st'!$S$2:$S$317,$A2,'Данные 1st'!$EH$2:$EH$317),"")</f>
        <v>141.5</v>
      </c>
      <c r="BL2" s="7">
        <f>IFERROR(AVERAGEIF('Данные 1st'!$S$2:$S$317,$A2,'Данные 1st'!$EJ$2:$EJ$317),"")</f>
        <v>0</v>
      </c>
      <c r="BM2" s="7">
        <f>IFERROR(AVERAGEIF('Данные 1st'!$S$2:$S$317,$A2,'Данные 1st'!$EK$2:$EK$317),"")</f>
        <v>1</v>
      </c>
      <c r="BN2" s="7">
        <f>IFERROR(AVERAGEIF('Данные 1st'!$S$2:$S$317,$A2,'Данные 1st'!$EN$2:$EN$317),"")</f>
        <v>0</v>
      </c>
      <c r="BO2" s="7">
        <f>IFERROR(AVERAGEIF('Данные 1st'!$S$2:$S$317,$A2,'Данные 1st'!$EQ$2:$EQ$317),"")</f>
        <v>94</v>
      </c>
      <c r="BP2" s="7">
        <f>IFERROR(AVERAGEIF('Данные 1st'!$S$2:$S$317,$A2,'Данные 1st'!$ER$2:$ER$317),"")</f>
        <v>3</v>
      </c>
      <c r="BQ2" s="7">
        <f>IFERROR(AVERAGEIF('Данные 1st'!$S$2:$S$317,$A2,'Данные 1st'!$ES$2:$ES$317),"")</f>
        <v>5.0</v>
      </c>
      <c r="BR2" s="7">
        <f>IFERROR(AVERAGEIF('Данные 1st'!$S$2:$S$317,$A2,'Данные 1st'!$ET$2:$ET$317),"")</f>
        <v>1045</v>
      </c>
      <c r="BS2" s="7">
        <f>IFERROR(AVERAGEIF('Данные 1st'!$S$2:$S$317,$A2,'Данные 1st'!$EU$2:$EU$317),"")</f>
        <v>357.275</v>
      </c>
      <c r="BT2" s="7">
        <f>IFERROR(AVERAGEIF('Данные 1st'!$S$2:$S$317,$A2,'Данные 1st'!$EV$2:$EV$317),"")</f>
        <v>373.25</v>
      </c>
      <c r="BU2" s="7">
        <f>IFERROR(AVERAGEIF('Данные 1st'!$S$2:$S$317,$A2,'Данные 1st'!$EX$2:$EX$317),"")</f>
        <v>70</v>
      </c>
      <c r="BV2" s="7">
        <f>IFERROR(AVERAGEIF('Данные 1st'!$S$2:$S$317,$A2,'Данные 1st'!$EY$2:$EY$317),"")</f>
        <v>2</v>
      </c>
      <c r="BW2" s="7">
        <f>IFERROR(AVERAGEIF('Данные 1st'!$S$2:$S$317,$A2,'Данные 1st'!$EZ$2:$EZ$317),"")</f>
        <v>4.15</v>
      </c>
      <c r="BX2" s="7">
        <f>IFERROR(AVERAGEIF('Данные 1st'!$S$2:$S$317,$A2,'Данные 1st'!$FA$2:$FA$317),"")</f>
        <v>1045</v>
      </c>
      <c r="BY2" s="7">
        <f>IFERROR(AVERAGEIF('Данные 1st'!$S$2:$S$317,$A2,'Данные 1st'!$FB$2:$FB$317),"")</f>
        <v>207.10000000000002</v>
      </c>
      <c r="BZ2" s="7">
        <f>IFERROR(AVERAGEIF('Данные 1st'!$S$2:$S$317,$A2,'Данные 1st'!$FC$2:$FC$317),"")</f>
        <v>216.5</v>
      </c>
      <c r="CA2" s="7">
        <f>IFERROR(AVERAGEIF('Данные 1st'!$S$2:$S$317,$A2,'Данные 1st'!$FE$2:$FE$317),"")</f>
        <v>0</v>
      </c>
      <c r="CB2" s="7">
        <f>IFERROR(AVERAGEIF('Данные 1st'!$S$2:$S$317,$A2,'Данные 1st'!$FF$2:$FF$317),"")</f>
        <v>2</v>
      </c>
      <c r="CC2" s="7">
        <f>IFERROR(AVERAGEIF('Данные 1st'!$S$2:$S$317,$A2,'Данные 1st'!$FI$2:$FI$317),"")</f>
        <v>0</v>
      </c>
      <c r="CD2" s="7">
        <f>IFERROR(AVERAGEIF('Данные 1st'!$S$2:$S$317,$A2,'Данные 1st'!$FL$2:$FL$317),"")</f>
        <v>0.4</v>
      </c>
      <c r="CE2" s="7">
        <f>IFERROR(AVERAGEIF('Данные 1st'!$S$2:$S$317,$A2,'Данные 1st'!$FM$2:$FM$317),"")</f>
        <v>60</v>
      </c>
      <c r="CF2" s="7">
        <f>IFERROR(AVERAGEIF('Данные 1st'!$S$2:$S$317,$A2,'Данные 1st'!$FN$2:$FN$317),"")</f>
        <v>165</v>
      </c>
      <c r="CG2" s="7">
        <f>IFERROR(AVERAGEIF('Данные 1st'!$S$2:$S$317,$A2,'Данные 1st'!$FO$2:$FO$317),"")</f>
        <v>80</v>
      </c>
      <c r="CH2" s="7">
        <f>IFERROR(AVERAGEIF('Данные 1st'!$S$2:$S$317,$A2,'Данные 1st'!$FP$2:$FP$317),"")</f>
        <v>110</v>
      </c>
      <c r="CI2" s="7">
        <f>IFERROR(AVERAGEIF('Данные 1st'!$S$2:$S$317,$A2,'Данные 1st'!$FS$2:$FS$317),"")</f>
        <v>0.4</v>
      </c>
      <c r="CJ2" s="7">
        <f>IFERROR(AVERAGEIF('Данные 1st'!$S$2:$S$317,$A2,'Данные 1st'!$FT$2:$FT$317),"")</f>
        <v>30</v>
      </c>
      <c r="CK2" s="7">
        <f>IFERROR(AVERAGEIF('Данные 1st'!$S$2:$S$317,$A2,'Данные 1st'!$FU$2:$FU$317),"")</f>
        <v>315</v>
      </c>
      <c r="CL2" s="7">
        <f>IFERROR(AVERAGEIF('Данные 1st'!$S$2:$S$317,$A2,'Данные 1st'!$FV$2:$FV$317),"")</f>
        <v>26.666666666666668</v>
      </c>
      <c r="CM2" s="7">
        <f>IFERROR(AVERAGEIF('Данные 1st'!$S$2:$S$317,$A2,'Данные 1st'!$FW$2:$FW$317),"")</f>
        <v>193.33333333333334</v>
      </c>
      <c r="CN2" s="7">
        <f>IFERROR(AVERAGEIF('Данные 1st'!$S$2:$S$317,$A2,'Данные 1st'!$FZ$2:$FZ$317),"")</f>
        <v>1</v>
      </c>
      <c r="CO2" s="7">
        <f>IFERROR(AVERAGEIF('Данные 1st'!$S$2:$S$317,$A2,'Данные 1st'!$GA$2:$GA$317),"")</f>
        <v>20</v>
      </c>
      <c r="CP2" s="7">
        <f>IFERROR(AVERAGEIF('Данные 1st'!$S$2:$S$317,$A2,'Данные 1st'!$GB$2:$GB$317),"")</f>
        <v>126</v>
      </c>
      <c r="CQ2" s="7">
        <f>IFERROR(AVERAGEIF('Данные 1st'!$S$2:$S$317,$A2,'Данные 1st'!$GH$2:$GH$317),"")</f>
        <v>1</v>
      </c>
      <c r="CR2" s="7">
        <f>IFERROR(AVERAGEIF('Данные 1st'!$S$2:$S$317,$A2,'Данные 1st'!$GI$2:$GI$317),"")</f>
        <v>20</v>
      </c>
      <c r="CS2" s="7">
        <f>IFERROR(AVERAGEIF('Данные 1st'!$S$2:$S$317,$A2,'Данные 1st'!$GJ$2:$GJ$317),"")</f>
        <v>126</v>
      </c>
      <c r="CT2" s="7">
        <f>IFERROR(AVERAGEIF('Данные 1st'!$S$2:$S$317,$A2,'Данные 1st'!$GS$2:$GS$317),"")</f>
        <v/>
      </c>
      <c r="CU2" s="7">
        <f>IFERROR(AVERAGEIF('Данные 1st'!$S$2:$S$317,$A2,'Данные 1st'!$GT$2:$GT$317),"")</f>
        <v/>
      </c>
      <c r="CV2" s="7">
        <f>IFERROR(AVERAGEIF('Данные 1st'!$S$2:$S$317,$A2,'Данные 1st'!$GU$2:$GU$317),"")</f>
        <v/>
      </c>
      <c r="CW2" s="7">
        <f>IFERROR(AVERAGEIF('Данные 1st'!$S$2:$S$317,$A2,'Данные 1st'!$GV$2:$GV$317),"")</f>
        <v/>
      </c>
      <c r="CX2" s="7">
        <f>IFERROR(AVERAGEIF('Данные 1st'!$S$2:$S$317,$A2,'Данные 1st'!$GW$2:$GW$317),"")</f>
        <v/>
      </c>
      <c r="CY2" s="7">
        <f>IFERROR(AVERAGEIF('Данные 1st'!$S$2:$S$317,$A2,'Данные 1st'!$GZ$2:$GZ$317),"")</f>
        <v/>
      </c>
      <c r="CZ2" s="7">
        <f>IFERROR(AVERAGEIF('Данные 1st'!$S$2:$S$317,$A2,'Данные 1st'!$HA$2:$HA$317),"")</f>
        <v/>
      </c>
      <c r="DA2" s="7">
        <f>IFERROR(AVERAGEIF('Данные 1st'!$S$2:$S$317,$A2,'Данные 1st'!$HB$2:$HB$317),"")</f>
        <v/>
      </c>
      <c r="DB2" s="7">
        <f>IFERROR(AVERAGEIF('Данные 1st'!$S$2:$S$317,$A2,'Данные 1st'!$HC$2:$HC$317),"")</f>
        <v>0.1</v>
      </c>
      <c r="DC2" s="7">
        <f>IFERROR(AVERAGEIF('Данные 1st'!$S$2:$S$317,$A2,'Данные 1st'!$HD$2:$HD$317),"")</f>
        <v>3</v>
      </c>
      <c r="DD2" s="7">
        <f>IFERROR(AVERAGEIF('Данные 1st'!$S$2:$S$317,$A2,'Данные 1st'!$HE$2:$HE$317),"")</f>
        <v>3</v>
      </c>
      <c r="DE2" s="7">
        <f>IFERROR(AVERAGEIF('Данные 1st'!$S$2:$S$317,$A2,'Данные 1st'!$HF$2:$HF$317),"")</f>
        <v>3</v>
      </c>
      <c r="DF2" s="7">
        <f>IFERROR(AVERAGEIF('Данные 1st'!$S$2:$S$317,$A2,'Данные 1st'!$HG$2:$HG$317),"")</f>
        <v>3</v>
      </c>
      <c r="DG2" s="7">
        <f>IFERROR(AVERAGEIF('Данные 1st'!$S$2:$S$317,$A2,'Данные 1st'!$HH$2:$HH$317),"")</f>
        <v>3</v>
      </c>
      <c r="DH2" s="7">
        <f>IFERROR(AVERAGEIF('Данные 1st'!$S$2:$S$317,$A2,'Данные 1st'!$HI$2:$HI$317),"")</f>
        <v>149</v>
      </c>
      <c r="DI2" s="7">
        <f>IFERROR(AVERAGEIF('Данные 1st'!$S$2:$S$317,$A2,'Данные 1st'!$HJ$2:$HJ$317),"")</f>
        <v>3</v>
      </c>
      <c r="DJ2" s="7">
        <f>IFERROR(AVERAGEIF('Данные 1st'!$S$2:$S$317,$A2,'Данные 1st'!$HK$2:$HK$317),"")</f>
        <v>55</v>
      </c>
      <c r="DK2" s="7">
        <f>IFERROR(AVERAGEIF('Данные 1st'!$S$2:$S$317,$A2,'Данные 1st'!$HL$2:$HL$317),"")</f>
        <v>2</v>
      </c>
      <c r="DL2" s="7">
        <f>IFERROR(AVERAGEIF('Данные 1st'!$S$2:$S$317,$A2,'Данные 1st'!$HM$2:$HM$317),"")</f>
        <v>0</v>
      </c>
      <c r="DM2" s="7">
        <f>IFERROR(AVERAGEIF('Данные 1st'!$S$2:$S$317,$A2,'Данные 1st'!$HN$2:$HN$317),"")</f>
        <v>2</v>
      </c>
      <c r="DN2" s="7">
        <f>IFERROR(AVERAGEIF('Данные 1st'!$S$2:$S$317,$A2,'Данные 1st'!$HO$2:$HO$317),"")</f>
        <v>79</v>
      </c>
      <c r="DO2" s="7">
        <f>IFERROR(AVERAGEIF('Данные 1st'!$S$2:$S$317,$A2,'Данные 1st'!$HP$2:$HP$317),"")</f>
        <v>3</v>
      </c>
      <c r="DP2" s="7">
        <f>IFERROR(AVERAGEIF('Данные 1st'!$S$2:$S$317,$A2,'Данные 1st'!$HQ$2:$HQ$317),"")</f>
        <v>0</v>
      </c>
      <c r="DQ2" s="7">
        <f>IFERROR(AVERAGEIF('Данные 1st'!$S$2:$S$317,$A2,'Данные 1st'!$HR$2:$HR$317),"")</f>
        <v>2</v>
      </c>
      <c r="DR2" s="7">
        <f>IFERROR(AVERAGEIF('Данные 1st'!$S$2:$S$317,$A2,'Данные 1st'!$HS$2:$HS$317),"")</f>
        <v>3071.5</v>
      </c>
      <c r="DS2" s="7">
        <f>IFERROR(AVERAGEIF('Данные 1st'!$S$2:$S$317,$A2,'Данные 1st'!$HT$2:$HT$317),"")</f>
        <v>90</v>
      </c>
      <c r="DT2" s="7">
        <f>IFERROR(AVERAGEIF('Данные 1st'!$S$2:$S$317,$A2,'Данные 1st'!$HU$2:$HU$317),"")</f>
        <v>180</v>
      </c>
      <c r="DU2" s="7">
        <f>IFERROR(AVERAGEIF('Данные 1st'!$S$2:$S$317,$A2,'Данные 1st'!$HW$2:$HW$317),"")</f>
        <v>0</v>
      </c>
      <c r="DV2" s="7">
        <f>IFERROR(AVERAGEIF('Данные 1st'!$S$2:$S$317,$A2,'Данные 1st'!$HX$2:$HX$317),"")</f>
        <v>399.25</v>
      </c>
      <c r="DW2" s="7">
        <f>IFERROR(AVERAGEIF('Данные 1st'!$S$2:$S$317,$A2,'Данные 1st'!$HY$2:$HY$317),"")</f>
        <v>0.18</v>
      </c>
      <c r="DX2" s="7">
        <f>IFERROR(AVERAGEIF('Данные 1st'!$S$2:$S$317,$A2,'Данные 1st'!$IA$2:$IA$317),"")</f>
        <v>0.15</v>
      </c>
      <c r="DY2" s="7">
        <f>IFERROR(AVERAGEIF('Данные 1st'!$S$2:$S$317,$A2,'Данные 1st'!$IB$2:$IB$317),"")</f>
        <v>0</v>
      </c>
      <c r="DZ2" s="7">
        <f>IFERROR(AVERAGEIF('Данные 1st'!$S$2:$S$317,$A2,'Данные 1st'!$IC$2:$IC$317),"")</f>
        <v>180</v>
      </c>
      <c r="EA2" s="7">
        <f>IFERROR(AVERAGEIF('Данные 1st'!$S$2:$S$317,$A2,'Данные 1st'!$ID$2:$ID$317),"")</f>
        <v>110</v>
      </c>
      <c r="EB2" s="7">
        <f>IFERROR(AVERAGEIF('Данные 1st'!$S$2:$S$317,$A2,'Данные 1st'!$IE$2:$IE$317),"")</f>
        <v>56.25</v>
      </c>
      <c r="EC2" s="7">
        <f>IFERROR(AVERAGEIF('Данные 1st'!$S$2:$S$317,$A2,'Данные 1st'!$IF$2:$IF$317),"")</f>
        <v>0</v>
      </c>
      <c r="ED2" s="7">
        <f>IFERROR(AVERAGEIF('Данные 1st'!$S$2:$S$317,$A2,'Данные 1st'!$IP$2:$IP$317),"")</f>
        <v>14</v>
      </c>
      <c r="EE2" s="7">
        <f>IFERROR(AVERAGEIF('Данные 1st'!$S$2:$S$317,$A2,'Данные 1st'!$IV$2:$IV$317),"")</f>
        <v>1050</v>
      </c>
      <c r="EF2" s="7">
        <f>IFERROR(AVERAGEIF('Данные 1st'!$S$2:$S$317,$A2,'Данные 1st'!$IW$2:$IW$317),"")</f>
        <v>351.5</v>
      </c>
      <c r="EG2" s="7">
        <f>IFERROR(AVERAGEIF('Данные 1st'!$S$2:$S$317,$A2,'Данные 1st'!$IX$2:$IX$317),"")</f>
        <v/>
      </c>
      <c r="EH2" s="7">
        <f>IFERROR(AVERAGEIF('Данные 1st'!$S$2:$S$317,$A2,'Данные 1st'!$IY$2:$IY$317),"")</f>
        <v/>
      </c>
      <c r="EI2" s="7">
        <f>IFERROR(AVERAGEIF('Данные 1st'!$S$2:$S$317,$A2,'Данные 1st'!$JD$2:$JD$317),"")</f>
        <v>1064</v>
      </c>
      <c r="EJ2" s="7">
        <f>IFERROR(AVERAGEIF('Данные 1st'!$S$2:$S$317,$A2,'Данные 1st'!$JE$2:$JE$317),"")</f>
        <v>1062</v>
      </c>
      <c r="EK2" s="7">
        <f>IFERROR(AVERAGEIF('Данные 1st'!$S$2:$S$317,$A2,'Данные 1st'!$JF$2:$JF$317),"")</f>
        <v>0</v>
      </c>
      <c r="EL2" s="7">
        <f>IFERROR(AVERAGEIF('Данные 1st'!$S$2:$S$317,$A2,'Данные 1st'!$JG$2:$JG$317),"")</f>
        <v>1045</v>
      </c>
      <c r="EM2" s="7">
        <f>IFERROR(AVERAGEIF('Данные 1st'!$S$2:$S$317,$A2,'Данные 1st'!$JH$2:$JH$317),"")</f>
        <v>0</v>
      </c>
      <c r="EN2" s="7">
        <f>IFERROR(AVERAGEIF('Данные 1st'!$S$2:$S$317,$A2,'Данные 1st'!$JJ$2:$JJ$317),"")</f>
        <v>180</v>
      </c>
      <c r="EO2" s="7">
        <f>IFERROR(AVERAGEIF('Данные 1st'!$S$2:$S$317,$A2,'Данные 1st'!$JK$2:$JK$317),"")</f>
        <v>399.25</v>
      </c>
      <c r="EP2" s="7">
        <f>IFERROR(AVERAGEIF('Данные 1st'!$S$2:$S$317,$A2,'Данные 1st'!$JL$2:$JL$317),"")</f>
        <v/>
      </c>
      <c r="EQ2" s="7">
        <f>IFERROR(AVERAGEIF('Данные 1st'!$S$2:$S$317,$A2,'Данные 1st'!$JM$2:$JM$317),"")</f>
        <v/>
      </c>
      <c r="ER2" s="7">
        <f>IFERROR(AVERAGEIF('Данные 1st'!$S$2:$S$317,$A2,'Данные 1st'!$JN$2:$JN$317),"")</f>
        <v>327.5</v>
      </c>
      <c r="ES2" s="7">
        <f>IFERROR(AVERAGEIF('Данные 1st'!$S$2:$S$317,$A2,'Данные 1st'!$JO$2:$JO$317),"")</f>
        <v>478.75</v>
      </c>
      <c r="ET2" s="7">
        <f>IFERROR(AVERAGEIF('Данные 1st'!$S$2:$S$317,$A2,'Данные 1st'!$JP$2:$JP$317),"")</f>
        <v>0</v>
      </c>
      <c r="EU2" s="7">
        <f>IFERROR(AVERAGEIF('Данные 1st'!$S$2:$S$317,$A2,'Данные 1st'!$JQ$2:$JQ$317),"")</f>
        <v>0</v>
      </c>
      <c r="EV2" s="7">
        <f>IFERROR(AVERAGEIF('Данные 1st'!$S$2:$S$317,$A2,'Данные 1st'!$JR$2:$JR$317),"")</f>
        <v>306.5</v>
      </c>
      <c r="EW2" s="7">
        <f>IFERROR(AVERAGEIF('Данные 1st'!$S$2:$S$317,$A2,'Данные 1st'!$JS$2:$JS$317),"")</f>
        <v>149</v>
      </c>
      <c r="EX2" s="7">
        <f>IFERROR(AVERAGEIF('Данные 1st'!$S$2:$S$317,$A2,'Данные 1st'!$JT$2:$JT$317),"")</f>
        <v/>
      </c>
      <c r="EY2" s="7">
        <f>IFERROR(AVERAGEIF('Данные 1st'!$S$2:$S$317,$A2,'Данные 1st'!$JU$2:$JU$317),"")</f>
        <v/>
      </c>
      <c r="EZ2" s="7">
        <f>IFERROR(AVERAGEIF('Данные 1st'!$S$2:$S$317,$A2,'Данные 1st'!$JV$2:$JV$317),"")</f>
        <v>8</v>
      </c>
      <c r="FA2" s="7">
        <f>IFERROR(AVERAGEIF('Данные 1st'!$S$2:$S$317,$A2,'Данные 1st'!$JW$2:$JW$317),"")</f>
        <v/>
      </c>
      <c r="FB2" s="7">
        <f>IFERROR(AVERAGEIF('Данные 1st'!$S$2:$S$317,$A2,'Данные 1st'!$JX$2:$JX$317),"")</f>
        <v>0</v>
      </c>
      <c r="FC2" s="7">
        <f>IFERROR(AVERAGEIF('Данные 1st'!$S$2:$S$317,$A2,'Данные 1st'!$JY$2:$JY$317),"")</f>
        <v/>
      </c>
      <c r="FD2" s="7">
        <f>IFERROR(AVERAGEIF('Данные 1st'!$S$2:$S$317,$A2,'Данные 1st'!$JZ$2:$JZ$317),"")</f>
        <v/>
      </c>
      <c r="FE2" s="7">
        <f>IFERROR(AVERAGEIF('Данные 1st'!$S$2:$S$317,$A2,'Данные 1st'!$KA$2:$KA$317),"")</f>
        <v>56.25</v>
      </c>
      <c r="FF2" s="7">
        <f>IFERROR(AVERAGEIF('Данные 1st'!$S$2:$S$317,$A2,'Данные 1st'!$KB$2:$KB$317),"")</f>
        <v>110</v>
      </c>
      <c r="FG2" s="7">
        <f>IFERROR(AVERAGEIF('Данные 1st'!$S$2:$S$317,$A2,'Данные 1st'!$KC$2:$KC$317),"")</f>
        <v>0</v>
      </c>
      <c r="FH2" s="7">
        <f>IFERROR(AVERAGEIF('Данные 1st'!$S$2:$S$317,$A2,'Данные 1st'!$KD$2:$KD$317),"")</f>
        <v>80</v>
      </c>
      <c r="FI2" s="7">
        <f>IFERROR(AVERAGEIF('Данные 1st'!$S$2:$S$317,$A2,'Данные 1st'!$KE$2:$KE$317),"")</f>
        <v/>
      </c>
      <c r="FJ2" s="7">
        <f>IFERROR(AVERAGEIF('Данные 1st'!$S$2:$S$317,$A2,'Данные 1st'!$KF$2:$KF$317),"")</f>
        <v>4</v>
      </c>
      <c r="FK2" s="7">
        <f>IFERROR(AVERAGEIF('Данные 1st'!$S$2:$S$317,$A2,'Данные 1st'!$KG$2:$KG$317),"")</f>
        <v>2.5</v>
      </c>
      <c r="FL2" s="7">
        <f>IFERROR(AVERAGEIF('Данные 1st'!$S$2:$S$317,$A2,'Данные 1st'!$KH$2:$KH$317),"")</f>
        <v>2</v>
      </c>
      <c r="FM2" s="7">
        <f>IFERROR(AVERAGEIF('Данные 1st'!$S$2:$S$317,$A2,'Данные 1st'!$KI$2:$KI$317),"")</f>
        <v>2</v>
      </c>
      <c r="FN2" s="7">
        <f>IFERROR(AVERAGEIF('Данные 1st'!$S$2:$S$317,$A2,'Данные 1st'!$KJ$2:$KJ$317),"")</f>
        <v>0</v>
      </c>
      <c r="FO2" s="7">
        <f>IFERROR(AVERAGEIF('Данные 1st'!$S$2:$S$317,$A2,'Данные 1st'!$KK$2:$KK$317),"")</f>
        <v>1.5</v>
      </c>
      <c r="FP2" s="7">
        <f>IFERROR(AVERAGEIF('Данные 1st'!$S$2:$S$317,$A2,'Данные 1st'!$KL$2:$KL$317),"")</f>
        <v>1.5</v>
      </c>
      <c r="FQ2" s="7">
        <f>IFERROR(AVERAGEIF('Данные 1st'!$S$2:$S$317,$A2,'Данные 1st'!$KM$2:$KM$317),"")</f>
        <v>0</v>
      </c>
      <c r="FR2" s="7">
        <f>IFERROR(AVERAGEIF('Данные 1st'!$S$2:$S$317,$A2,'Данные 1st'!$KN$2:$KN$317),"")</f>
        <v>0</v>
      </c>
      <c r="FS2" s="7">
        <f>IFERROR(AVERAGEIF('Данные 1st'!$S$2:$S$317,$A2,'Данные 1st'!$KR$2:$KR$317),"")</f>
        <v>37.5</v>
      </c>
      <c r="FT2" s="7">
        <f>IFERROR(AVERAGEIF('Данные 1st'!$S$2:$S$317,$A2,'Данные 1st'!$KS$2:$KS$317),"")</f>
        <v>60</v>
      </c>
      <c r="FU2" s="7">
        <f>IFERROR(AVERAGEIF('Данные 1st'!$S$2:$S$317,$A2,'Данные 1st'!$KT$2:$KT$317),"")</f>
        <v>0</v>
      </c>
      <c r="FV2" s="7">
        <f>IFERROR(AVERAGEIF('Данные 1st'!$S$2:$S$317,$A2,'Данные 1st'!$KV$2:$KV$317),"")</f>
        <v/>
      </c>
      <c r="FW2" s="7">
        <f>IFERROR(AVERAGEIF('Данные 1st'!$S$2:$S$317,$A2,'Данные 1st'!$KW$2:$KW$317),"")</f>
        <v/>
      </c>
      <c r="FX2" s="7">
        <f>IFERROR(AVERAGEIF('Данные 1st'!$S$2:$S$317,$A2,'Данные 1st'!$KX$2:$KX$317),"")</f>
        <v/>
      </c>
      <c r="FY2" s="7">
        <f>IFERROR(AVERAGEIF('Данные 1st'!$S$2:$S$317,$A2,'Данные 1st'!$KY$2:$KY$317),"")</f>
        <v/>
      </c>
      <c r="FZ2" s="7">
        <f>IFERROR(AVERAGEIF('Данные 1st'!$S$2:$S$317,$A2,'Данные 1st'!$KZ$2:$KZ$317),"")</f>
        <v/>
      </c>
      <c r="GA2" s="7">
        <f>IFERROR(AVERAGEIF('Данные 1st'!$S$2:$S$317,$A2,'Данные 1st'!$LA$2:$LA$317),"")</f>
        <v/>
      </c>
      <c r="GB2" s="7">
        <f>IFERROR(AVERAGEIF('Данные 1st'!$S$2:$S$317,$A2,'Данные 1st'!$LB$2:$LB$317),"")</f>
        <v/>
      </c>
      <c r="GC2" s="7">
        <f>IFERROR(AVERAGEIF('Данные 1st'!$S$2:$S$317,$A2,'Данные 1st'!$LC$2:$LC$317),"")</f>
        <v/>
      </c>
      <c r="GD2" s="7">
        <f>IFERROR(AVERAGEIF('Данные 1st'!$S$2:$S$317,$A2,'Данные 1st'!$LD$2:$LD$317),"")</f>
        <v/>
      </c>
      <c r="GE2" s="7">
        <f>IFERROR(AVERAGEIF('Данные 1st'!$S$2:$S$317,$A2,'Данные 1st'!$LE$2:$LE$317),"")</f>
        <v/>
      </c>
      <c r="GF2" s="7">
        <f>IFERROR(AVERAGEIF('Данные 1st'!$S$2:$S$317,$A2,'Данные 1st'!$LF$2:$LF$317),"")</f>
        <v/>
      </c>
      <c r="GG2" s="7">
        <f>IFERROR(AVERAGEIF('Данные 1st'!$S$2:$S$317,$A2,'Данные 1st'!$LG$2:$LG$317),"")</f>
        <v/>
      </c>
      <c r="GH2" s="7">
        <f>IFERROR(AVERAGEIF('Данные 1st'!$S$2:$S$317,$A2,'Данные 1st'!$LH$2:$LH$317),"")</f>
        <v/>
      </c>
      <c r="GI2" s="7">
        <f>IFERROR(AVERAGEIF('Данные 1st'!$S$2:$S$317,$A2,'Данные 1st'!$LI$2:$LI$317),"")</f>
        <v/>
      </c>
      <c r="GJ2" s="7">
        <f>IFERROR(AVERAGEIF('Данные 1st'!$S$2:$S$317,$A2,'Данные 1st'!$LJ$2:$LJ$317),"")</f>
        <v/>
      </c>
      <c r="GK2" s="7">
        <f>IFERROR(AVERAGEIF('Данные 1st'!$S$2:$S$317,$A2,'Данные 1st'!$LK$2:$LK$317),"")</f>
        <v>480</v>
      </c>
      <c r="GL2" s="7">
        <f>IFERROR(AVERAGEIF('Данные 1st'!$S$2:$S$317,$A2,'Данные 1st'!$LV$2:$LV$317),"")</f>
        <v/>
      </c>
      <c r="GM2" s="7">
        <f>IFERROR(AVERAGEIF('Данные 1st'!$S$2:$S$317,$A2,'Данные 1st'!$LW$2:$LW$317),"")</f>
        <v/>
      </c>
      <c r="GN2" s="7">
        <f>IFERROR(AVERAGEIF('Данные 1st'!$S$2:$S$317,$A2,'Данные 1st'!$LX$2:$LX$317),"")</f>
        <v>306.6666666666667</v>
      </c>
      <c r="GO2" s="7">
        <f>IFERROR(AVERAGEIF('Данные 1st'!$S$2:$S$317,$A2,'Данные 1st'!$LY$2:$LY$317),"")</f>
        <v>2.0</v>
      </c>
      <c r="GP2" s="7">
        <f>IFERROR(AVERAGEIF('Данные 1st'!$S$2:$S$317,$A2,'Данные 1st'!$LZ$2:$LZ$317),"")</f>
        <v>250</v>
      </c>
      <c r="GQ2" s="7">
        <f>IFERROR(AVERAGEIF('Данные 1st'!$S$2:$S$317,$A2,'Данные 1st'!$PG$2:$PG$317),"")</f>
        <v>1</v>
      </c>
      <c r="GR2" s="7">
        <f>IFERROR(AVERAGEIF('Данные 1st'!$S$2:$S$317,$A2,'Данные 1st'!$PX$2:$PX$317),"")</f>
        <v>56</v>
      </c>
      <c r="GS2" s="7">
        <f>IFERROR(AVERAGEIF('Данные 1st'!$S$2:$S$317,$A2,'Данные 1st'!$PY$2:$PY$317),"")</f>
        <v>56.75</v>
      </c>
      <c r="GT2" s="7">
        <f>IFERROR(AVERAGEIF('Данные 1st'!$S$2:$S$317,$A2,'Данные 1st'!$QA$2:$QA$317),"")</f>
        <v>2</v>
      </c>
      <c r="GU2" s="7">
        <f>IFERROR(AVERAGEIF('Данные 1st'!$S$2:$S$317,$A2,'Данные 1st'!$QB$2:$QB$317),"")</f>
        <v>1045</v>
      </c>
      <c r="GV2" s="7">
        <f>IFERROR(AVERAGEIF('Данные 1st'!$S$2:$S$317,$A2,'Данные 1st'!$QC$2:$QC$317),"")</f>
        <v>69</v>
      </c>
      <c r="GW2" s="7">
        <f>IFERROR(AVERAGEIF('Данные 1st'!$S$2:$S$317,$A2,'Данные 1st'!$QD$2:$QD$317),"")</f>
        <v>69</v>
      </c>
      <c r="GX2" s="7">
        <f>IFERROR(AVERAGEIF('Данные 1st'!$S$2:$S$317,$A2,'Данные 1st'!$QF$2:$QF$317),"")</f>
        <v>1</v>
      </c>
      <c r="GY2" s="7">
        <f>IFERROR(AVERAGEIF('Данные 1st'!$S$2:$S$317,$A2,'Данные 1st'!$QG$2:$QG$317),"")</f>
        <v>1064</v>
      </c>
      <c r="GZ2" s="7">
        <f>IFERROR(AVERAGEIF('Данные 1st'!$S$2:$S$317,$A2,'Данные 1st'!$QH$2:$QH$317),"")</f>
        <v>66</v>
      </c>
      <c r="HA2" s="7">
        <f>IFERROR(AVERAGEIF('Данные 1st'!$S$2:$S$317,$A2,'Данные 1st'!$QI$2:$QI$317),"")</f>
        <v>66</v>
      </c>
      <c r="HB2" s="7">
        <f>IFERROR(AVERAGEIF('Данные 1st'!$S$2:$S$317,$A2,'Данные 1st'!$QK$2:$QK$317),"")</f>
        <v/>
      </c>
      <c r="HC2" s="7">
        <f>IFERROR(AVERAGEIF('Данные 1st'!$S$2:$S$317,$A2,'Данные 1st'!$QL$2:$QL$317),"")</f>
        <v>0</v>
      </c>
      <c r="HD2" s="7">
        <f>IFERROR(AVERAGEIF('Данные 1st'!$S$2:$S$317,$A2,'Данные 1st'!$QM$2:$QM$317),"")</f>
        <v>62.25</v>
      </c>
      <c r="HE2" s="7">
        <f>IFERROR(AVERAGEIF('Данные 1st'!$S$2:$S$317,$A2,'Данные 1st'!$QN$2:$QN$317),"")</f>
        <v>62.25</v>
      </c>
      <c r="HF2" s="7">
        <f>IFERROR(AVERAGEIF('Данные 1st'!$S$2:$S$317,$A2,'Данные 1st'!$QP$2:$QP$317),"")</f>
        <v>1</v>
      </c>
      <c r="HG2" s="7">
        <f>IFERROR(AVERAGEIF('Данные 1st'!$S$2:$S$317,$A2,'Данные 1st'!$QQ$2:$QQ$317),"")</f>
        <v>1062</v>
      </c>
      <c r="HH2" s="7">
        <f>IFERROR(AVERAGEIF('Данные 1st'!$S$2:$S$317,$A2,'Данные 1st'!$QR$2:$QR$317),"")</f>
        <v/>
      </c>
      <c r="HI2" s="7">
        <f>IFERROR(AVERAGEIF('Данные 1st'!$S$2:$S$317,$A2,'Данные 1st'!$QS$2:$QS$317),"")</f>
        <v/>
      </c>
      <c r="HJ2" s="7">
        <f>IFERROR(AVERAGEIF('Данные 1st'!$S$2:$S$317,$A2,'Данные 1st'!$QU$2:$QU$317),"")</f>
        <v/>
      </c>
      <c r="HK2" s="7">
        <f>IFERROR(AVERAGEIF('Данные 1st'!$S$2:$S$317,$A2,'Данные 1st'!$QV$2:$QV$317),"")</f>
        <v/>
      </c>
      <c r="HL2" s="7">
        <f>IFERROR(AVERAGEIF('Данные 1st'!$S$2:$S$317,$A2,'Данные 1st'!$QW$2:$QW$317),"")</f>
        <v>82</v>
      </c>
      <c r="HM2" s="7">
        <f>IFERROR(AVERAGEIF('Данные 1st'!$S$2:$S$317,$A2,'Данные 1st'!$QX$2:$QX$317),"")</f>
        <v>87.25</v>
      </c>
      <c r="HN2" s="7">
        <f>IFERROR(AVERAGEIF('Данные 1st'!$S$2:$S$317,$A2,'Данные 1st'!$QZ$2:$QZ$317),"")</f>
        <v>1.5</v>
      </c>
      <c r="HO2" s="7">
        <f>IFERROR(AVERAGEIF('Данные 1st'!$S$2:$S$317,$A2,'Данные 1st'!$RA$2:$RA$317),"")</f>
        <v>66</v>
      </c>
      <c r="HP2" s="7">
        <f>IFERROR(AVERAGEIF('Данные 1st'!$S$2:$S$317,$A2,'Данные 1st'!$RB$2:$RB$317),"")</f>
        <v>66</v>
      </c>
      <c r="HQ2" s="7">
        <f>IFERROR(AVERAGEIF('Данные 1st'!$S$2:$S$317,$A2,'Данные 1st'!$RD$2:$RD$317),"")</f>
        <v/>
      </c>
      <c r="HR2" s="7">
        <f>IFERROR(AVERAGEIF('Данные 1st'!$S$2:$S$317,$A2,'Данные 1st'!$RE$2:$RE$317),"")</f>
        <v>0</v>
      </c>
      <c r="HS2" s="7">
        <f>IFERROR(AVERAGEIF('Данные 1st'!$S$2:$S$317,$A2,'Данные 1st'!$RF$2:$RF$317),"")</f>
        <v>1</v>
      </c>
      <c r="HT2" s="7">
        <f>IFERROR(AVERAGEIF('Данные 1st'!$S$2:$S$317,$A2,'Данные 1st'!$RG$2:$RG$317),"")</f>
        <v>1</v>
      </c>
      <c r="HU2" s="7">
        <f>IFERROR(AVERAGEIF('Данные 1st'!$S$2:$S$317,$A2,'Данные 1st'!$RH$2:$RH$317),"")</f>
        <v/>
      </c>
      <c r="HV2" s="7">
        <f>IFERROR(AVERAGEIF('Данные 1st'!$S$2:$S$317,$A2,'Данные 1st'!$RI$2:$RI$317),"")</f>
        <v/>
      </c>
      <c r="HW2" s="7">
        <f>IFERROR(AVERAGEIF('Данные 1st'!$S$2:$S$317,$A2,'Данные 1st'!$RJ$2:$RJ$317),"")</f>
        <v>3</v>
      </c>
      <c r="HX2" s="7">
        <f>IFERROR(AVERAGEIF('Данные 1st'!$S$2:$S$317,$A2,'Данные 1st'!$RK$2:$RK$317),"")</f>
        <v/>
      </c>
      <c r="HY2" s="7">
        <f>IFERROR(AVERAGEIF('Данные 1st'!$S$2:$S$317,$A2,'Данные 1st'!$RL$2:$RL$317),"")</f>
        <v>2</v>
      </c>
      <c r="HZ2" s="7">
        <f>IFERROR(AVERAGEIF('Данные 1st'!$S$2:$S$317,$A2,'Данные 1st'!$RM$2:$RM$317),"")</f>
        <v/>
      </c>
      <c r="IA2" s="7">
        <f>IFERROR(AVERAGEIF('Данные 1st'!$S$2:$S$317,$A2,'Данные 1st'!$RN$2:$RN$317),"")</f>
        <v/>
      </c>
      <c r="IB2" s="7">
        <f>IFERROR(AVERAGEIF('Данные 1st'!$S$2:$S$317,$A2,'Данные 1st'!$RO$2:$RO$317),"")</f>
        <v>463.5</v>
      </c>
      <c r="IC2" s="7">
        <f>IFERROR(AVERAGEIF('Данные 1st'!$S$2:$S$317,$A2,'Данные 1st'!$RP$2:$RP$317),"")</f>
        <v/>
      </c>
      <c r="ID2" s="7">
        <f>IFERROR(AVERAGEIF('Данные 1st'!$S$2:$S$317,$A2,'Данные 1st'!$RQ$2:$RQ$317),"")</f>
        <v>774</v>
      </c>
      <c r="IE2" s="7">
        <f>IFERROR(AVERAGEIF('Данные 1st'!$S$2:$S$317,$A2,'Данные 1st'!$RR$2:$RR$317),"")</f>
        <v/>
      </c>
      <c r="IF2" s="7">
        <f>IFERROR(AVERAGEIF('Данные 1st'!$S$2:$S$317,$A2,'Данные 1st'!$RS$2:$RS$317),"")</f>
        <v/>
      </c>
      <c r="IG2" s="7">
        <f>IFERROR(AVERAGEIF('Данные 1st'!$S$2:$S$317,$A2,'Данные 1st'!$RT$2:$RT$317),"")</f>
        <v>147</v>
      </c>
      <c r="IH2" s="7">
        <f>IFERROR(AVERAGEIF('Данные 1st'!$S$2:$S$317,$A2,'Данные 1st'!$RU$2:$RU$317),"")</f>
        <v>141.5</v>
      </c>
      <c r="II2" s="7">
        <f>IFERROR(AVERAGEIF('Данные 1st'!$S$2:$S$317,$A2,'Данные 1st'!$RX$2:$RX$317),"")</f>
        <v>15</v>
      </c>
      <c r="IJ2" s="7">
        <f>IFERROR(AVERAGEIF('Данные 1st'!$S$2:$S$317,$A2,'Данные 1st'!$RY$2:$RY$317),"")</f>
        <v>4</v>
      </c>
      <c r="IK2" s="7">
        <f>IFERROR(AVERAGEIF('Данные 1st'!$S$2:$S$317,$A2,'Данные 1st'!$SA$2:$SA$317),"")</f>
        <v>15</v>
      </c>
      <c r="IL2" s="7">
        <f>IFERROR(AVERAGEIF('Данные 1st'!$S$2:$S$317,$A2,'Данные 1st'!$SD$2:$SD$317),"")</f>
        <v>1</v>
      </c>
      <c r="IM2" s="7">
        <f>IFERROR(AVERAGEIF('Данные 1st'!$S$2:$S$317,$A2,'Данные 1st'!$SG$2:$SG$317),"")</f>
        <v/>
      </c>
      <c r="IN2" s="7">
        <f>IFERROR(AVERAGEIF('Данные 1st'!$S$2:$S$317,$A2,'Данные 1st'!$SH$2:$SH$317),"")</f>
        <v>0.995</v>
      </c>
      <c r="IO2" s="7">
        <f>IFERROR(AVERAGEIF('Данные 1st'!$S$2:$S$317,$A2,'Данные 1st'!$SI$2:$SI$317),"")</f>
        <v>0.995</v>
      </c>
      <c r="IP2" s="7">
        <f>IFERROR(AVERAGEIF('Данные 1st'!$S$2:$S$317,$A2,'Данные 1st'!$SJ$2:$SJ$317),"")</f>
        <v>0.995</v>
      </c>
      <c r="IQ2" s="7">
        <f>IFERROR(AVERAGEIF('Данные 1st'!$S$2:$S$317,$A2,'Данные 1st'!$SK$2:$SK$317),"")</f>
        <v>15</v>
      </c>
      <c r="IR2" s="7">
        <f>IFERROR(AVERAGEIF('Данные 1st'!$S$2:$S$317,$A2,'Данные 1st'!$SL$2:$SL$317),"")</f>
        <v>0</v>
      </c>
      <c r="IS2" s="7">
        <f>IFERROR(AVERAGEIF('Данные 1st'!$S$2:$S$317,$A2,'Данные 1st'!$SM$2:$SM$317),"")</f>
        <v>0</v>
      </c>
      <c r="IT2" s="7">
        <f>IFERROR(AVERAGEIF('Данные 1st'!$S$2:$S$317,$A2,'Данные 1st'!$SN$2:$SN$317),"")</f>
        <v>0</v>
      </c>
      <c r="IU2" s="7">
        <f>IFERROR(AVERAGEIF('Данные 1st'!$S$2:$S$317,$A2,'Данные 1st'!$SO$2:$SO$317),"")</f>
        <v>0</v>
      </c>
      <c r="IV2" s="7">
        <f>IFERROR(AVERAGEIF('Данные 1st'!$S$2:$S$317,$A2,'Данные 1st'!$SP$2:$SP$317),"")</f>
        <v>0</v>
      </c>
      <c r="IW2" s="7">
        <f>IFERROR(AVERAGEIF('Данные 1st'!$S$2:$S$317,$A2,'Данные 1st'!$SQ$2:$SQ$317),"")</f>
        <v>0</v>
      </c>
      <c r="IX2" s="7">
        <f>IFERROR(AVERAGEIF('Данные 1st'!$S$2:$S$317,$A2,'Данные 1st'!$SR$2:$SR$317),"")</f>
        <v>0</v>
      </c>
      <c r="IY2" s="7">
        <f>IFERROR(AVERAGEIF('Данные 1st'!$S$2:$S$317,$A2,'Данные 1st'!$SS$2:$SS$317),"")</f>
        <v>0</v>
      </c>
      <c r="IZ2" s="7">
        <f>IFERROR(AVERAGEIF('Данные 1st'!$S$2:$S$317,$A2,'Данные 1st'!$ST$2:$ST$317),"")</f>
        <v>0</v>
      </c>
      <c r="JA2" s="7">
        <f>IFERROR(AVERAGEIF('Данные 1st'!$S$2:$S$317,$A2,'Данные 1st'!$SU$2:$SU$317),"")</f>
        <v>0</v>
      </c>
      <c r="JB2" s="7">
        <f>IFERROR(AVERAGEIF('Данные 1st'!$S$2:$S$317,$A2,'Данные 1st'!$SV$2:$SV$317),"")</f>
        <v>0</v>
      </c>
      <c r="JC2" s="7">
        <f>IFERROR(AVERAGEIF('Данные 1st'!$S$2:$S$317,$A2,'Данные 1st'!$SW$2:$SW$317),"")</f>
        <v>0</v>
      </c>
      <c r="JD2" s="7">
        <f>IFERROR(AVERAGEIF('Данные 1st'!$S$2:$S$317,$A2,'Данные 1st'!$SX$2:$SX$317),"")</f>
        <v>0</v>
      </c>
      <c r="JE2" s="7">
        <f>IFERROR(AVERAGEIF('Данные 1st'!$S$2:$S$317,$A2,'Данные 1st'!$SY$2:$SY$317),"")</f>
        <v/>
      </c>
      <c r="JF2" s="7">
        <f>IFERROR(AVERAGEIF('Данные 1st'!$S$2:$S$317,$A2,'Данные 1st'!$SZ$2:$SZ$317),"")</f>
        <v/>
      </c>
      <c r="JG2" s="7">
        <f>IFERROR(AVERAGEIF('Данные 1st'!$S$2:$S$317,$A2,'Данные 1st'!$TA$2:$TA$317),"")</f>
        <v/>
      </c>
      <c r="JH2" s="7">
        <f>IFERROR(AVERAGEIF('Данные 1st'!$S$2:$S$317,$A2,'Данные 1st'!$TB$2:$TB$317),"")</f>
        <v>0</v>
      </c>
      <c r="JI2" s="7">
        <f>IFERROR(AVERAGEIF('Данные 1st'!$S$2:$S$317,$A2,'Данные 1st'!$TC$2:$TC$317),"")</f>
        <v>0</v>
      </c>
      <c r="JJ2" s="7">
        <f>IFERROR(AVERAGEIF('Данные 1st'!$S$2:$S$317,$A2,'Данные 1st'!$TD$2:$TD$317),"")</f>
        <v>7.5</v>
      </c>
      <c r="JK2" s="7">
        <f>IFERROR(AVERAGEIF('Данные 1st'!$S$2:$S$317,$A2,'Данные 1st'!$TN$2:$TN$317),"")</f>
        <v>0</v>
      </c>
      <c r="JL2">
        <f>COUNTIF('Данные 2st'!$Q$2:$Q$317,$A2)</f>
        <v>4</v>
      </c>
      <c r="JM2" s="6" t="s">
        <v>5082</v>
      </c>
      <c r="JN2" s="6" t="s">
        <v>513</v>
      </c>
      <c r="JO2" s="6" t="s">
        <v>5125</v>
      </c>
      <c r="JP2" s="6" t="s">
        <v>5462</v>
      </c>
      <c r="JQ2" s="7">
        <f>IFERROR(AVERAGEIF('Данные 2st'!$Q$2:$Q$317,$A2,'Данные 2st'!$AC$2:$AC$317),"")</f>
        <v>12.5</v>
      </c>
      <c r="JR2" s="7">
        <f>IFERROR(AVERAGEIF('Данные 2st'!$Q$2:$Q$317,$A2,'Данные 2st'!$AF$2:$AF$317),"")</f>
        <v>3071.5</v>
      </c>
      <c r="JS2" s="7">
        <f>IFERROR(AVERAGEIF('Данные 2st'!$Q$2:$Q$317,$A2,'Данные 2st'!$AW$2:$AW$317),"")</f>
        <v>6.4</v>
      </c>
      <c r="JT2" s="7">
        <f>IFERROR(AVERAGEIF('Данные 2st'!$Q$2:$Q$317,$A2,'Данные 2st'!$AX$2:$AX$317),"")</f>
        <v>-6</v>
      </c>
      <c r="JU2" s="7">
        <f>IFERROR(AVERAGEIF('Данные 2st'!$Q$2:$Q$317,$A2,'Данные 2st'!$AY$2:$AY$317),"")</f>
        <v>74.75</v>
      </c>
      <c r="JV2" s="7">
        <f>IFERROR(AVERAGEIF('Данные 2st'!$Q$2:$Q$317,$A2,'Данные 2st'!$AZ$2:$AZ$317),"")</f>
        <v>62.75</v>
      </c>
      <c r="JW2" s="7">
        <f>IFERROR(AVERAGEIF('Данные 2st'!$Q$2:$Q$317,$A2,'Данные 2st'!$BA$2:$BA$317),"")</f>
        <v/>
      </c>
      <c r="JX2" s="7">
        <f>IFERROR(AVERAGEIF('Данные 2st'!$Q$2:$Q$317,$A2,'Данные 2st'!$BB$2:$BB$317),"")</f>
        <v/>
      </c>
      <c r="JY2" s="7">
        <f>IFERROR(AVERAGEIF('Данные 2st'!$Q$2:$Q$317,$A2,'Данные 2st'!$BC$2:$BC$317),"")</f>
        <v/>
      </c>
      <c r="JZ2" s="7">
        <f>IFERROR(AVERAGEIF('Данные 2st'!$Q$2:$Q$317,$A2,'Данные 2st'!$BH$2:$BH$317),"")</f>
        <v>74.75</v>
      </c>
      <c r="KA2" s="7">
        <f>IFERROR(AVERAGEIF('Данные 2st'!$Q$2:$Q$317,$A2,'Данные 2st'!$BI$2:$BI$317),"")</f>
        <v>12</v>
      </c>
      <c r="KB2" s="7">
        <f>IFERROR(AVERAGEIF('Данные 2st'!$Q$2:$Q$317,$A2,'Данные 2st'!$BJ$2:$BJ$317),"")</f>
        <v>62.75</v>
      </c>
      <c r="KC2" s="7">
        <f>IFERROR(AVERAGEIF('Данные 2st'!$Q$2:$Q$317,$A2,'Данные 2st'!$BK$2:$BK$317),"")</f>
        <v>3.5</v>
      </c>
      <c r="KD2" s="7">
        <f>IFERROR(AVERAGEIF('Данные 2st'!$Q$2:$Q$317,$A2,'Данные 2st'!$BL$2:$BL$317),"")</f>
        <v>149.5</v>
      </c>
      <c r="KE2" s="7">
        <f>IFERROR(AVERAGEIF('Данные 2st'!$Q$2:$Q$317,$A2,'Данные 2st'!$BM$2:$BM$317),"")</f>
        <v>-6</v>
      </c>
      <c r="KF2" s="7">
        <f>IFERROR(AVERAGEIF('Данные 2st'!$Q$2:$Q$317,$A2,'Данные 2st'!$BN$2:$BN$317),"")</f>
        <v>0</v>
      </c>
      <c r="KG2" s="7">
        <f>IFERROR(AVERAGEIF('Данные 2st'!$Q$2:$Q$317,$A2,'Данные 2st'!$BO$2:$BO$317),"")</f>
        <v>0</v>
      </c>
      <c r="KH2" s="7">
        <f>IFERROR(AVERAGEIF('Данные 2st'!$Q$2:$Q$317,$A2,'Данные 2st'!$BP$2:$BP$317),"")</f>
        <v>0</v>
      </c>
      <c r="KI2" s="7">
        <f>IFERROR(AVERAGEIF('Данные 2st'!$Q$2:$Q$317,$A2,'Данные 2st'!$BR$2:$BR$317),"")</f>
        <v>142.5</v>
      </c>
      <c r="KJ2" s="7">
        <f>IFERROR(AVERAGEIF('Данные 2st'!$Q$2:$Q$317,$A2,'Данные 2st'!$BS$2:$BS$317),"")</f>
        <v>132.5</v>
      </c>
      <c r="KK2" s="7">
        <f>IFERROR(AVERAGEIF('Данные 2st'!$Q$2:$Q$317,$A2,'Данные 2st'!$BT$2:$BT$317),"")</f>
        <v>1706.25</v>
      </c>
      <c r="KL2" s="7">
        <f>IFERROR(AVERAGEIF('Данные 2st'!$Q$2:$Q$317,$A2,'Данные 2st'!$CV$2:$CV$317),"")</f>
        <v>98.25</v>
      </c>
      <c r="KM2" s="7">
        <f>IFERROR(AVERAGEIF('Данные 2st'!$Q$2:$Q$317,$A2,'Данные 2st'!$CW$2:$CW$317),"")</f>
        <v>3</v>
      </c>
      <c r="KN2" s="7">
        <f>IFERROR(AVERAGEIF('Данные 2st'!$Q$2:$Q$317,$A2,'Данные 2st'!$CX$2:$CX$317),"")</f>
        <v>65.75</v>
      </c>
      <c r="KO2" s="7">
        <f>IFERROR(AVERAGEIF('Данные 2st'!$Q$2:$Q$317,$A2,'Данные 2st'!$CY$2:$CY$317),"")</f>
        <v>5</v>
      </c>
      <c r="KP2" s="7">
        <f>IFERROR(AVERAGEIF('Данные 2st'!$Q$2:$Q$317,$A2,'Данные 2st'!$CZ$2:$CZ$317),"")</f>
        <v>116</v>
      </c>
      <c r="KQ2" s="7">
        <f>IFERROR(AVERAGEIF('Данные 2st'!$Q$2:$Q$317,$A2,'Данные 2st'!$DA$2:$DA$317),"")</f>
        <v>5</v>
      </c>
      <c r="KR2" s="7">
        <f>IFERROR(AVERAGEIF('Данные 2st'!$Q$2:$Q$317,$A2,'Данные 2st'!$DB$2:$DB$317),"")</f>
        <v>6970</v>
      </c>
      <c r="KS2" s="7">
        <f>IFERROR(AVERAGEIF('Данные 2st'!$Q$2:$Q$317,$A2,'Данные 2st'!$DC$2:$DC$317),"")</f>
        <v>205</v>
      </c>
      <c r="KT2" s="7">
        <f>IFERROR(AVERAGEIF('Данные 2st'!$Q$2:$Q$317,$A2,'Данные 2st'!$DD$2:$DD$317),"")</f>
        <v>259</v>
      </c>
      <c r="KU2" s="7">
        <f>IFERROR(AVERAGEIF('Данные 2st'!$Q$2:$Q$317,$A2,'Данные 2st'!$DE$2:$DE$317),"")</f>
        <v>1799</v>
      </c>
      <c r="KV2" s="7">
        <f>IFERROR(AVERAGEIF('Данные 2st'!$Q$2:$Q$317,$A2,'Данные 2st'!$DF$2:$DF$317),"")</f>
        <v>1799</v>
      </c>
      <c r="KW2" s="7">
        <f>IFERROR(AVERAGEIF('Данные 2st'!$Q$2:$Q$317,$A2,'Данные 2st'!$DG$2:$DG$317),"")</f>
        <v>1811</v>
      </c>
      <c r="KX2" s="7">
        <f>IFERROR(AVERAGEIF('Данные 2st'!$Q$2:$Q$317,$A2,'Данные 2st'!$DH$2:$DH$317),"")</f>
        <v/>
      </c>
      <c r="KY2" s="7">
        <f>IFERROR(AVERAGEIF('Данные 2st'!$Q$2:$Q$317,$A2,'Данные 2st'!$DI$2:$DI$317),"")</f>
        <v>1775</v>
      </c>
      <c r="KZ2" s="7">
        <f>IFERROR(AVERAGEIF('Данные 2st'!$Q$2:$Q$317,$A2,'Данные 2st'!$DK$2:$DK$317),"")</f>
        <v>142.5</v>
      </c>
      <c r="LA2" s="7">
        <f>IFERROR(AVERAGEIF('Данные 2st'!$Q$2:$Q$317,$A2,'Данные 2st'!$DM$2:$DM$317),"")</f>
        <v>63.5</v>
      </c>
      <c r="LB2" s="7">
        <f>IFERROR(AVERAGEIF('Данные 2st'!$Q$2:$Q$317,$A2,'Данные 2st'!$DN$2:$DN$317),"")</f>
        <v>0.84</v>
      </c>
      <c r="LC2" s="7">
        <f>IFERROR(AVERAGEIF('Данные 2st'!$Q$2:$Q$317,$A2,'Данные 2st'!$DO$2:$DO$317),"")</f>
        <v>1</v>
      </c>
      <c r="LD2" s="7">
        <f>IFERROR(AVERAGEIF('Данные 2st'!$Q$2:$Q$317,$A2,'Данные 2st'!$DP$2:$DP$317),"")</f>
        <v>1709.25</v>
      </c>
      <c r="LE2" s="7">
        <f>IFERROR(AVERAGEIF('Данные 2st'!$Q$2:$Q$317,$A2,'Данные 2st'!$DQ$2:$DQ$317),"")</f>
        <v>445</v>
      </c>
      <c r="LF2" s="7">
        <f>IFERROR(AVERAGEIF('Данные 2st'!$Q$2:$Q$317,$A2,'Данные 2st'!$DS$2:$DS$317),"")</f>
        <v>132.5</v>
      </c>
      <c r="LG2" s="7">
        <f>IFERROR(AVERAGEIF('Данные 2st'!$Q$2:$Q$317,$A2,'Данные 2st'!$DU$2:$DU$317),"")</f>
        <v>63.5</v>
      </c>
      <c r="LH2" s="7">
        <f>IFERROR(AVERAGEIF('Данные 2st'!$Q$2:$Q$317,$A2,'Данные 2st'!$DV$2:$DV$317),"")</f>
        <v>0.84</v>
      </c>
      <c r="LI2" s="7">
        <f>IFERROR(AVERAGEIF('Данные 2st'!$Q$2:$Q$317,$A2,'Данные 2st'!$DW$2:$DW$317),"")</f>
        <v>1</v>
      </c>
      <c r="LJ2" s="7">
        <f>IFERROR(AVERAGEIF('Данные 2st'!$Q$2:$Q$317,$A2,'Данные 2st'!$DX$2:$DX$317),"")</f>
        <v>1716.25</v>
      </c>
      <c r="LK2" s="7">
        <f>IFERROR(AVERAGEIF('Данные 2st'!$Q$2:$Q$317,$A2,'Данные 2st'!$DY$2:$DY$317),"")</f>
        <v>416</v>
      </c>
      <c r="LL2" s="7">
        <f>IFERROR(AVERAGEIF('Данные 2st'!$Q$2:$Q$317,$A2,'Данные 2st'!$EA$2:$EA$317),"")</f>
        <v>33</v>
      </c>
      <c r="LM2" s="7">
        <f>IFERROR(AVERAGEIF('Данные 2st'!$Q$2:$Q$317,$A2,'Данные 2st'!$EC$2:$EC$317),"")</f>
        <v>0.4</v>
      </c>
      <c r="LN2" s="7">
        <f>IFERROR(AVERAGEIF('Данные 2st'!$Q$2:$Q$317,$A2,'Данные 2st'!$ED$2:$ED$317),"")</f>
        <v>1709.25</v>
      </c>
      <c r="LO2" s="7">
        <f>IFERROR(AVERAGEIF('Данные 2st'!$Q$2:$Q$317,$A2,'Данные 2st'!$EE$2:$EE$317),"")</f>
        <v>49.75</v>
      </c>
      <c r="LP2" s="7">
        <f>IFERROR(AVERAGEIF('Данные 2st'!$Q$2:$Q$317,$A2,'Данные 2st'!$EG$2:$EG$317),"")</f>
        <v>33</v>
      </c>
      <c r="LQ2" s="7">
        <f>IFERROR(AVERAGEIF('Данные 2st'!$Q$2:$Q$317,$A2,'Данные 2st'!$EI$2:$EI$317),"")</f>
        <v>0.4</v>
      </c>
      <c r="LR2" s="7">
        <f>IFERROR(AVERAGEIF('Данные 2st'!$Q$2:$Q$317,$A2,'Данные 2st'!$EJ$2:$EJ$317),"")</f>
        <v>1716.25</v>
      </c>
      <c r="LS2" s="7">
        <f>IFERROR(AVERAGEIF('Данные 2st'!$Q$2:$Q$317,$A2,'Данные 2st'!$EK$2:$EK$317),"")</f>
        <v>50</v>
      </c>
      <c r="LT2" s="7">
        <f>IFERROR(AVERAGEIF('Данные 2st'!$Q$2:$Q$317,$A2,'Данные 2st'!$EM$2:$EM$317),"")</f>
        <v>12</v>
      </c>
      <c r="LU2" s="7">
        <f>IFERROR(AVERAGEIF('Данные 2st'!$Q$2:$Q$317,$A2,'Данные 2st'!$EN$2:$EN$317),"")</f>
        <v>0.5</v>
      </c>
      <c r="LV2" s="7">
        <f>IFERROR(AVERAGEIF('Данные 2st'!$Q$2:$Q$317,$A2,'Данные 2st'!$EO$2:$EO$317),"")</f>
        <v>0.8175</v>
      </c>
      <c r="LW2" s="7">
        <f>IFERROR(AVERAGEIF('Данные 2st'!$Q$2:$Q$317,$A2,'Данные 2st'!$EP$2:$EP$317),"")</f>
        <v>1716.81</v>
      </c>
      <c r="LX2" s="7">
        <f>IFERROR(AVERAGEIF('Данные 2st'!$Q$2:$Q$317,$A2,'Данные 2st'!$EQ$2:$EQ$317),"")</f>
        <v>21659.6025</v>
      </c>
      <c r="LY2" s="7">
        <f>IFERROR(AVERAGEIF('Данные 2st'!$Q$2:$Q$317,$A2,'Данные 2st'!$ER$2:$ER$317),"")</f>
        <v>3229.095</v>
      </c>
      <c r="LZ2" s="7">
        <f>IFERROR(AVERAGEIF('Данные 2st'!$Q$2:$Q$317,$A2,'Данные 2st'!$ES$2:$ES$317),"")</f>
        <v>0</v>
      </c>
      <c r="MA2" s="7">
        <f>IFERROR(AVERAGEIF('Данные 2st'!$Q$2:$Q$317,$A2,'Данные 2st'!$ET$2:$ET$317),"")</f>
        <v>0</v>
      </c>
      <c r="MB2" s="7">
        <f>IFERROR(AVERAGEIF('Данные 2st'!$Q$2:$Q$317,$A2,'Данные 2st'!$EU$2:$EU$317),"")</f>
        <v>1</v>
      </c>
      <c r="MC2" s="7">
        <f>IFERROR(AVERAGEIF('Данные 2st'!$Q$2:$Q$317,$A2,'Данные 2st'!$EV$2:$EV$317),"")</f>
        <v>24889.25</v>
      </c>
      <c r="MD2" s="7">
        <f>IFERROR(AVERAGEIF('Данные 2st'!$Q$2:$Q$317,$A2,'Данные 2st'!$EW$2:$EW$317),"")</f>
        <v>262</v>
      </c>
      <c r="ME2" s="7">
        <f>IFERROR(AVERAGEIF('Данные 2st'!$Q$2:$Q$317,$A2,'Данные 2st'!$EY$2:$EY$317),"")</f>
        <v>160.5</v>
      </c>
      <c r="MF2" s="7">
        <f>IFERROR(AVERAGEIF('Данные 2st'!$Q$2:$Q$317,$A2,'Данные 2st'!$FA$2:$FA$317),"")</f>
        <v>5.2</v>
      </c>
      <c r="MG2" s="7">
        <f>IFERROR(AVERAGEIF('Данные 2st'!$Q$2:$Q$317,$A2,'Данные 2st'!$FB$2:$FB$317),"")</f>
        <v>1</v>
      </c>
      <c r="MH2" s="7">
        <f>IFERROR(AVERAGEIF('Данные 2st'!$Q$2:$Q$317,$A2,'Данные 2st'!$FC$2:$FC$317),"")</f>
        <v>1</v>
      </c>
      <c r="MI2" s="7">
        <f>IFERROR(AVERAGEIF('Данные 2st'!$Q$2:$Q$317,$A2,'Данные 2st'!$FD$2:$FD$317),"")</f>
        <v>1747.75</v>
      </c>
      <c r="MJ2" s="7">
        <f>IFERROR(AVERAGEIF('Данные 2st'!$Q$2:$Q$317,$A2,'Данные 2st'!$FE$2:$FE$317),"")</f>
        <v>1608</v>
      </c>
      <c r="MK2" s="7">
        <f>IFERROR(AVERAGEIF('Данные 2st'!$Q$2:$Q$317,$A2,'Данные 2st'!$FG$2:$FG$317),"")</f>
        <v>163</v>
      </c>
      <c r="ML2" s="7">
        <f>IFERROR(AVERAGEIF('Данные 2st'!$Q$2:$Q$317,$A2,'Данные 2st'!$FI$2:$FI$317),"")</f>
        <v>2.475</v>
      </c>
      <c r="MM2" s="7">
        <f>IFERROR(AVERAGEIF('Данные 2st'!$Q$2:$Q$317,$A2,'Данные 2st'!$FJ$2:$FJ$317),"")</f>
        <v>1747.75</v>
      </c>
      <c r="MN2" s="7">
        <f>IFERROR(AVERAGEIF('Данные 2st'!$Q$2:$Q$317,$A2,'Данные 2st'!$FK$2:$FK$317),"")</f>
        <v>801.25</v>
      </c>
      <c r="MO2" s="7">
        <f>IFERROR(AVERAGEIF('Данные 2st'!$Q$2:$Q$317,$A2,'Данные 2st'!$FP$2:$FP$317),"")</f>
        <v>1747.75</v>
      </c>
      <c r="MP2" s="7">
        <f>IFERROR(AVERAGEIF('Данные 2st'!$Q$2:$Q$317,$A2,'Данные 2st'!$FQ$2:$FQ$317),"")</f>
        <v>119.5</v>
      </c>
      <c r="MQ2" s="7">
        <f>IFERROR(AVERAGEIF('Данные 2st'!$Q$2:$Q$317,$A2,'Данные 2st'!$FS$2:$FS$317),"")</f>
        <v>167</v>
      </c>
      <c r="MR2" s="7">
        <f>IFERROR(AVERAGEIF('Данные 2st'!$Q$2:$Q$317,$A2,'Данные 2st'!$FU$2:$FU$317),"")</f>
        <v>0.4</v>
      </c>
      <c r="MS2" s="7">
        <f>IFERROR(AVERAGEIF('Данные 2st'!$Q$2:$Q$317,$A2,'Данные 2st'!$FV$2:$FV$317),"")</f>
        <v>1747.75</v>
      </c>
      <c r="MT2" s="7">
        <f>IFERROR(AVERAGEIF('Данные 2st'!$Q$2:$Q$317,$A2,'Данные 2st'!$FW$2:$FW$317),"")</f>
        <v>130</v>
      </c>
      <c r="MU2" s="7">
        <f>IFERROR(AVERAGEIF('Данные 2st'!$Q$2:$Q$317,$A2,'Данные 2st'!$FY$2:$FY$317),"")</f>
        <v>8.333333333333334</v>
      </c>
      <c r="MV2" s="7">
        <f>IFERROR(AVERAGEIF('Данные 2st'!$Q$2:$Q$317,$A2,'Данные 2st'!$GB$2:$GB$317),"")</f>
        <v>1747.3333333333333</v>
      </c>
      <c r="MW2" s="7">
        <f>IFERROR(AVERAGEIF('Данные 2st'!$Q$2:$Q$317,$A2,'Данные 2st'!$GC$2:$GC$317),"")</f>
        <v>16</v>
      </c>
      <c r="MX2" s="7">
        <f>IFERROR(AVERAGEIF('Данные 2st'!$Q$2:$Q$317,$A2,'Данные 2st'!$GD$2:$GD$317),"")</f>
        <v>2670.75</v>
      </c>
      <c r="MY2" s="7">
        <f>IFERROR(AVERAGEIF('Данные 2st'!$Q$2:$Q$317,$A2,'Данные 2st'!$GN$2:$GN$317),"")</f>
        <v/>
      </c>
      <c r="MZ2" s="7">
        <f>IFERROR(AVERAGEIF('Данные 2st'!$Q$2:$Q$317,$A2,'Данные 2st'!$GQ$2:$GQ$317),"")</f>
        <v>0</v>
      </c>
      <c r="NA2" s="7">
        <f>IFERROR(AVERAGEIF('Данные 2st'!$Q$2:$Q$317,$A2,'Данные 2st'!$GV$2:$GV$317),"")</f>
        <v>8.075</v>
      </c>
      <c r="NB2" s="7">
        <f>IFERROR(AVERAGEIF('Данные 2st'!$Q$2:$Q$317,$A2,'Данные 2st'!$GW$2:$GW$317),"")</f>
        <v>9.55</v>
      </c>
      <c r="NC2" s="7">
        <f>IFERROR(AVERAGEIF('Данные 2st'!$Q$2:$Q$317,$A2,'Данные 2st'!$GX$2:$GX$317),"")</f>
        <v>0.5</v>
      </c>
      <c r="ND2" s="7">
        <f>IFERROR(AVERAGEIF('Данные 2st'!$Q$2:$Q$317,$A2,'Данные 2st'!$GY$2:$GY$317),"")</f>
        <v>133.5</v>
      </c>
      <c r="NE2" s="7">
        <f>IFERROR(AVERAGEIF('Данные 2st'!$Q$2:$Q$317,$A2,'Данные 2st'!$GZ$2:$GZ$317),"")</f>
        <v>3</v>
      </c>
      <c r="NF2" s="7">
        <f>IFERROR(AVERAGEIF('Данные 2st'!$Q$2:$Q$317,$A2,'Данные 2st'!$HA$2:$HA$317),"")</f>
        <v>179</v>
      </c>
      <c r="NG2" s="7">
        <f>IFERROR(AVERAGEIF('Данные 2st'!$Q$2:$Q$317,$A2,'Данные 2st'!$HB$2:$HB$317),"")</f>
        <v>3</v>
      </c>
      <c r="NH2" s="7">
        <f>IFERROR(AVERAGEIF('Данные 2st'!$Q$2:$Q$317,$A2,'Данные 2st'!$HC$2:$HC$317),"")</f>
        <v>1747.75</v>
      </c>
      <c r="NI2" s="7">
        <f>IFERROR(AVERAGEIF('Данные 2st'!$Q$2:$Q$317,$A2,'Данные 2st'!$HD$2:$HD$317),"")</f>
        <v>4</v>
      </c>
      <c r="NJ2" s="7">
        <f>IFERROR(AVERAGEIF('Данные 2st'!$Q$2:$Q$317,$A2,'Данные 2st'!$HM$2:$HM$317),"")</f>
        <v>14</v>
      </c>
      <c r="NK2" s="7">
        <f>IFERROR(AVERAGEIF('Данные 2st'!$Q$2:$Q$317,$A2,'Данные 2st'!$HR$2:$HR$317),"")</f>
        <v>1.25</v>
      </c>
      <c r="NL2" s="7">
        <f>IFERROR(AVERAGEIF('Данные 2st'!$Q$2:$Q$317,$A2,'Данные 2st'!$HS$2:$HS$317),"")</f>
        <v>1706.25</v>
      </c>
      <c r="NM2" s="7">
        <f>IFERROR(AVERAGEIF('Данные 2st'!$Q$2:$Q$317,$A2,'Данные 2st'!$HT$2:$HT$317),"")</f>
        <v>5.25</v>
      </c>
      <c r="NN2" s="7">
        <f>IFERROR(AVERAGEIF('Данные 2st'!$Q$2:$Q$317,$A2,'Данные 2st'!$HY$2:$HY$317),"")</f>
        <v>0</v>
      </c>
      <c r="NO2" s="7">
        <f>IFERROR(AVERAGEIF('Данные 2st'!$Q$2:$Q$317,$A2,'Данные 2st'!$HZ$2:$HZ$317),"")</f>
        <v>63.5</v>
      </c>
      <c r="NP2" s="7">
        <f>IFERROR(AVERAGEIF('Данные 2st'!$Q$2:$Q$317,$A2,'Данные 2st'!$IA$2:$IA$317),"")</f>
        <v>1709.25</v>
      </c>
      <c r="NQ2" s="7">
        <f>IFERROR(AVERAGEIF('Данные 2st'!$Q$2:$Q$317,$A2,'Данные 2st'!$IB$2:$IB$317),"")</f>
        <v>1716.25</v>
      </c>
      <c r="NR2" s="7">
        <f>IFERROR(AVERAGEIF('Данные 2st'!$Q$2:$Q$317,$A2,'Данные 2st'!$IC$2:$IC$317),"")</f>
        <v/>
      </c>
      <c r="NS2" s="7">
        <f>IFERROR(AVERAGEIF('Данные 2st'!$Q$2:$Q$317,$A2,'Данные 2st'!$ID$2:$ID$317),"")</f>
        <v>1747.75</v>
      </c>
      <c r="NT2" s="7">
        <f>IFERROR(AVERAGEIF('Данные 2st'!$Q$2:$Q$317,$A2,'Данные 2st'!$IE$2:$IE$317),"")</f>
        <v>1747.75</v>
      </c>
      <c r="NU2" s="7">
        <f>IFERROR(AVERAGEIF('Данные 2st'!$Q$2:$Q$317,$A2,'Данные 2st'!$IF$2:$IF$317),"")</f>
        <v>142.5</v>
      </c>
      <c r="NV2" s="7">
        <f>IFERROR(AVERAGEIF('Данные 2st'!$Q$2:$Q$317,$A2,'Данные 2st'!$IG$2:$IG$317),"")</f>
        <v>132.5</v>
      </c>
      <c r="NW2" s="7">
        <f>IFERROR(AVERAGEIF('Данные 2st'!$Q$2:$Q$317,$A2,'Данные 2st'!$IH$2:$IH$317),"")</f>
        <v>179</v>
      </c>
      <c r="NX2" s="7">
        <f>IFERROR(AVERAGEIF('Данные 2st'!$Q$2:$Q$317,$A2,'Данные 2st'!$IJ$2:$IJ$317),"")</f>
        <v>5</v>
      </c>
      <c r="NY2" s="7">
        <f>IFERROR(AVERAGEIF('Данные 2st'!$Q$2:$Q$317,$A2,'Данные 2st'!$IM$2:$IM$317),"")</f>
        <v>0</v>
      </c>
      <c r="NZ2" s="7">
        <f>IFERROR(AVERAGEIF('Данные 2st'!$Q$2:$Q$317,$A2,'Данные 2st'!$IN$2:$IN$317),"")</f>
        <v>270</v>
      </c>
      <c r="OA2" s="7">
        <f>IFERROR(AVERAGEIF('Данные 2st'!$Q$2:$Q$317,$A2,'Данные 2st'!$IO$2:$IO$317),"")</f>
        <v>0</v>
      </c>
      <c r="OB2" s="7">
        <f>IFERROR(AVERAGEIF('Данные 2st'!$Q$2:$Q$317,$A2,'Данные 2st'!$IP$2:$IP$317),"")</f>
        <v>180</v>
      </c>
      <c r="OC2" s="7">
        <f>IFERROR(AVERAGEIF('Данные 2st'!$Q$2:$Q$317,$A2,'Данные 2st'!$IQ$2:$IQ$317),"")</f>
        <v>0</v>
      </c>
      <c r="OD2" s="7">
        <f>IFERROR(AVERAGEIF('Данные 2st'!$Q$2:$Q$317,$A2,'Данные 2st'!$IR$2:$IR$317),"")</f>
        <v>330</v>
      </c>
      <c r="OE2" s="7">
        <f>IFERROR(AVERAGEIF('Данные 2st'!$Q$2:$Q$317,$A2,'Данные 2st'!$IT$2:$IT$317),"")</f>
        <v>92.5</v>
      </c>
      <c r="OF2" s="7">
        <f>IFERROR(AVERAGEIF('Данные 2st'!$Q$2:$Q$317,$A2,'Данные 2st'!$IU$2:$IU$317),"")</f>
        <v>0</v>
      </c>
      <c r="OG2" s="7">
        <f>IFERROR(AVERAGEIF('Данные 2st'!$Q$2:$Q$317,$A2,'Данные 2st'!$IV$2:$IV$317),"")</f>
        <v>6.4</v>
      </c>
      <c r="OH2" s="7">
        <f>IFERROR(AVERAGEIF('Данные 2st'!$Q$2:$Q$317,$A2,'Данные 2st'!$IW$2:$IW$317),"")</f>
        <v>-6</v>
      </c>
      <c r="OI2" s="7">
        <f>IFERROR(AVERAGEIF('Данные 2st'!$Q$2:$Q$317,$A2,'Данные 2st'!$IX$2:$IX$317),"")</f>
        <v>74.75</v>
      </c>
      <c r="OJ2" s="7">
        <f>IFERROR(AVERAGEIF('Данные 2st'!$Q$2:$Q$317,$A2,'Данные 2st'!$IY$2:$IY$317),"")</f>
        <v>62.75</v>
      </c>
      <c r="OK2" s="7">
        <f>IFERROR(AVERAGEIF('Данные 2st'!$Q$2:$Q$317,$A2,'Данные 2st'!$IZ$2:$IZ$317),"")</f>
        <v>0</v>
      </c>
      <c r="OL2" s="7">
        <f>IFERROR(AVERAGEIF('Данные 2st'!$Q$2:$Q$317,$A2,'Данные 2st'!$JA$2:$JA$317),"")</f>
        <v>0</v>
      </c>
      <c r="OM2" s="7">
        <f>IFERROR(AVERAGEIF('Данные 2st'!$Q$2:$Q$317,$A2,'Данные 2st'!$JB$2:$JB$317),"")</f>
        <v>0</v>
      </c>
      <c r="ON2" s="7">
        <f>IFERROR(AVERAGEIF('Данные 2st'!$Q$2:$Q$317,$A2,'Данные 2st'!$JC$2:$JC$317),"")</f>
        <v>0</v>
      </c>
      <c r="OO2" s="7">
        <f>IFERROR(AVERAGEIF('Данные 2st'!$Q$2:$Q$317,$A2,'Данные 2st'!$JD$2:$JD$317),"")</f>
        <v>0</v>
      </c>
      <c r="OP2" s="7">
        <f>IFERROR(AVERAGEIF('Данные 2st'!$Q$2:$Q$317,$A2,'Данные 2st'!$JE$2:$JE$317),"")</f>
        <v>0</v>
      </c>
      <c r="OQ2" s="7">
        <f>IFERROR(AVERAGEIF('Данные 2st'!$Q$2:$Q$317,$A2,'Данные 2st'!$JF$2:$JF$317),"")</f>
        <v>0</v>
      </c>
      <c r="OR2" s="7">
        <f>IFERROR(AVERAGEIF('Данные 2st'!$Q$2:$Q$317,$A2,'Данные 2st'!$JG$2:$JG$317),"")</f>
        <v>0</v>
      </c>
      <c r="OS2" s="7">
        <f>IFERROR(AVERAGEIF('Данные 2st'!$Q$2:$Q$317,$A2,'Данные 2st'!$JH$2:$JH$317),"")</f>
        <v>0</v>
      </c>
      <c r="OT2" s="7">
        <f>IFERROR(AVERAGEIF('Данные 2st'!$Q$2:$Q$317,$A2,'Данные 2st'!$JI$2:$JI$317),"")</f>
        <v>318</v>
      </c>
      <c r="OU2" s="7">
        <f>IFERROR(AVERAGEIF('Данные 2st'!$Q$2:$Q$317,$A2,'Данные 2st'!$JJ$2:$JJ$317),"")</f>
        <v>280</v>
      </c>
      <c r="OV2" s="7">
        <f>IFERROR(AVERAGEIF('Данные 2st'!$Q$2:$Q$317,$A2,'Данные 2st'!$JK$2:$JK$317),"")</f>
        <v>215.75</v>
      </c>
      <c r="OW2" s="7">
        <f>IFERROR(AVERAGEIF('Данные 2st'!$Q$2:$Q$317,$A2,'Данные 2st'!$JL$2:$JL$317),"")</f>
        <v>276.5</v>
      </c>
      <c r="OX2" s="7">
        <f>IFERROR(AVERAGEIF('Данные 2st'!$Q$2:$Q$317,$A2,'Данные 2st'!$JM$2:$JM$317),"")</f>
        <v>224.25</v>
      </c>
      <c r="OY2" s="7">
        <f>IFERROR(AVERAGEIF('Данные 2st'!$Q$2:$Q$317,$A2,'Данные 2st'!$JP$2:$JP$317),"")</f>
        <v>242.5</v>
      </c>
      <c r="OZ2" s="7">
        <f>IFERROR(AVERAGEIF('Данные 2st'!$Q$2:$Q$317,$A2,'Данные 2st'!$JQ$2:$JQ$317),"")</f>
        <v>282.5</v>
      </c>
      <c r="PA2" s="7">
        <f>IFERROR(AVERAGEIF('Данные 2st'!$Q$2:$Q$317,$A2,'Данные 2st'!$JR$2:$JR$317),"")</f>
        <v>358.5</v>
      </c>
      <c r="PB2" s="7">
        <f>IFERROR(AVERAGEIF('Данные 2st'!$Q$2:$Q$317,$A2,'Данные 2st'!$JS$2:$JS$317),"")</f>
        <v>278.75</v>
      </c>
      <c r="PC2" s="7">
        <f>IFERROR(AVERAGEIF('Данные 2st'!$Q$2:$Q$317,$A2,'Данные 2st'!$JT$2:$JT$317),"")</f>
        <v>0</v>
      </c>
      <c r="PD2" s="7">
        <f>IFERROR(AVERAGEIF('Данные 2st'!$Q$2:$Q$317,$A2,'Данные 2st'!$JU$2:$JU$317),"")</f>
        <v>0</v>
      </c>
      <c r="PE2" s="7">
        <f>IFERROR(AVERAGEIF('Данные 2st'!$Q$2:$Q$317,$A2,'Данные 2st'!$JV$2:$JV$317),"")</f>
        <v>335</v>
      </c>
      <c r="PF2" s="7">
        <f>IFERROR(AVERAGEIF('Данные 2st'!$Q$2:$Q$317,$A2,'Данные 2st'!$JW$2:$JW$317),"")</f>
        <v>337</v>
      </c>
      <c r="PG2" s="7">
        <f>IFERROR(AVERAGEIF('Данные 2st'!$Q$2:$Q$317,$A2,'Данные 2st'!$KF$2:$KF$317),"")</f>
        <v>0.19</v>
      </c>
      <c r="PH2" s="7">
        <f>IFERROR(AVERAGEIF('Данные 2st'!$Q$2:$Q$317,$A2,'Данные 2st'!$KG$2:$KG$317),"")</f>
        <v>0.1</v>
      </c>
      <c r="PI2" s="7">
        <f>IFERROR(AVERAGEIF('Данные 2st'!$Q$2:$Q$317,$A2,'Данные 2st'!$KM$2:$KM$317),"")</f>
        <v>1.5</v>
      </c>
      <c r="PJ2" s="7">
        <f>IFERROR(AVERAGEIF('Данные 2st'!$Q$2:$Q$317,$A2,'Данные 2st'!$KN$2:$KN$317),"")</f>
        <v>1.0</v>
      </c>
      <c r="PK2" s="7">
        <f>IFERROR(AVERAGEIF('Данные 2st'!$Q$2:$Q$317,$A2,'Данные 2st'!$KO$2:$KO$317),"")</f>
        <v>1</v>
      </c>
      <c r="PL2" s="7">
        <f>IFERROR(AVERAGEIF('Данные 2st'!$Q$2:$Q$317,$A2,'Данные 2st'!$KP$2:$KP$317),"")</f>
        <v>0.525</v>
      </c>
      <c r="PM2" s="7">
        <f>IFERROR(AVERAGEIF('Данные 2st'!$Q$2:$Q$317,$A2,'Данные 2st'!$KQ$2:$KQ$317),"")</f>
        <v>0.875</v>
      </c>
      <c r="PN2" s="7">
        <f>IFERROR(AVERAGEIF('Данные 2st'!$Q$2:$Q$317,$A2,'Данные 2st'!$KR$2:$KR$317),"")</f>
        <v>0.925</v>
      </c>
      <c r="PO2" s="7">
        <f>IFERROR(AVERAGEIF('Данные 2st'!$Q$2:$Q$317,$A2,'Данные 2st'!$KS$2:$KS$317),"")</f>
        <v>0</v>
      </c>
      <c r="PP2" s="7">
        <f>IFERROR(AVERAGEIF('Данные 2st'!$Q$2:$Q$317,$A2,'Данные 2st'!$KT$2:$KT$317),"")</f>
        <v>1.95</v>
      </c>
      <c r="PQ2" s="7">
        <f>IFERROR(AVERAGEIF('Данные 2st'!$Q$2:$Q$317,$A2,'Данные 2st'!$KU$2:$KU$317),"")</f>
        <v>0.25</v>
      </c>
      <c r="PR2" s="7">
        <f>IFERROR(AVERAGEIF('Данные 2st'!$Q$2:$Q$317,$A2,'Данные 2st'!$KV$2:$KV$317),"")</f>
        <v>0.7</v>
      </c>
      <c r="PS2" s="7">
        <f>IFERROR(AVERAGEIF('Данные 2st'!$Q$2:$Q$317,$A2,'Данные 2st'!$KW$2:$KW$317),"")</f>
        <v>1.1</v>
      </c>
      <c r="PT2" s="7">
        <f>IFERROR(AVERAGEIF('Данные 2st'!$Q$2:$Q$317,$A2,'Данные 2st'!$KX$2:$KX$317),"")</f>
        <v>2</v>
      </c>
      <c r="PU2" s="7">
        <f>IFERROR(AVERAGEIF('Данные 2st'!$Q$2:$Q$317,$A2,'Данные 2st'!$KY$2:$KY$317),"")</f>
        <v>0.5</v>
      </c>
      <c r="PV2" s="7">
        <f>IFERROR(AVERAGEIF('Данные 2st'!$Q$2:$Q$317,$A2,'Данные 2st'!$KZ$2:$KZ$317),"")</f>
        <v>3.7</v>
      </c>
      <c r="PW2" s="7">
        <f>IFERROR(AVERAGEIF('Данные 2st'!$Q$2:$Q$317,$A2,'Данные 2st'!$LA$2:$LA$317),"")</f>
        <v>2.35</v>
      </c>
      <c r="PX2" s="7">
        <f>IFERROR(AVERAGEIF('Данные 2st'!$Q$2:$Q$317,$A2,'Данные 2st'!$LB$2:$LB$317),"")</f>
        <v>10</v>
      </c>
      <c r="PY2" s="7">
        <f>IFERROR(AVERAGEIF('Данные 2st'!$Q$2:$Q$317,$A2,'Данные 2st'!$LC$2:$LC$317),"")</f>
        <v>2.725</v>
      </c>
      <c r="PZ2" s="7">
        <f>IFERROR(AVERAGEIF('Данные 2st'!$Q$2:$Q$317,$A2,'Данные 2st'!$LD$2:$LD$317),"")</f>
        <v>3.2</v>
      </c>
      <c r="QA2" s="7">
        <f>IFERROR(AVERAGEIF('Данные 2st'!$Q$2:$Q$317,$A2,'Данные 2st'!$LE$2:$LE$317),"")</f>
        <v>2.325</v>
      </c>
      <c r="QB2" s="7">
        <f>IFERROR(AVERAGEIF('Данные 2st'!$Q$2:$Q$317,$A2,'Данные 2st'!$LF$2:$LF$317),"")</f>
        <v>0</v>
      </c>
      <c r="QC2" s="7">
        <f>IFERROR(AVERAGEIF('Данные 2st'!$Q$2:$Q$317,$A2,'Данные 2st'!$LG$2:$LG$317),"")</f>
        <v>0</v>
      </c>
      <c r="QD2" s="7">
        <f>IFERROR(AVERAGEIF('Данные 2st'!$Q$2:$Q$317,$A2,'Данные 2st'!$LH$2:$LH$317),"")</f>
        <v>2.25</v>
      </c>
      <c r="QE2" s="7">
        <f>IFERROR(AVERAGEIF('Данные 2st'!$Q$2:$Q$317,$A2,'Данные 2st'!$LJ$2:$LJ$317),"")</f>
        <v>0.025</v>
      </c>
      <c r="QF2" s="7">
        <f>IFERROR(AVERAGEIF('Данные 2st'!$Q$2:$Q$317,$A2,'Данные 2st'!$LK$2:$LK$317),"")</f>
        <v>7.5</v>
      </c>
      <c r="QG2" s="7">
        <f>IFERROR(AVERAGEIF('Данные 2st'!$Q$2:$Q$317,$A2,'Данные 2st'!$LL$2:$LL$317),"")</f>
        <v>7.25</v>
      </c>
      <c r="QH2" s="7">
        <f>IFERROR(AVERAGEIF('Данные 2st'!$Q$2:$Q$317,$A2,'Данные 2st'!$LM$2:$LM$317),"")</f>
        <v>10</v>
      </c>
      <c r="QI2" s="7">
        <f>IFERROR(AVERAGEIF('Данные 2st'!$Q$2:$Q$317,$A2,'Данные 2st'!$LN$2:$LN$317),"")</f>
        <v>0.325</v>
      </c>
      <c r="QJ2" s="7">
        <f>IFERROR(AVERAGEIF('Данные 2st'!$Q$2:$Q$317,$A2,'Данные 2st'!$LO$2:$LO$317),"")</f>
        <v>1.175</v>
      </c>
      <c r="QK2" s="7">
        <f>IFERROR(AVERAGEIF('Данные 2st'!$Q$2:$Q$317,$A2,'Данные 2st'!$LP$2:$LP$317),"")</f>
        <v>0</v>
      </c>
      <c r="QL2" s="7">
        <f>IFERROR(AVERAGEIF('Данные 2st'!$Q$2:$Q$317,$A2,'Данные 2st'!$LQ$2:$LQ$317),"")</f>
        <v>0</v>
      </c>
      <c r="QM2" s="7">
        <f>IFERROR(AVERAGEIF('Данные 2st'!$Q$2:$Q$317,$A2,'Данные 2st'!$LW$2:$LW$317),"")</f>
        <v>0</v>
      </c>
      <c r="QN2" s="7">
        <f>IFERROR(AVERAGEIF('Данные 2st'!$Q$2:$Q$317,$A2,'Данные 2st'!$LX$2:$LX$317),"")</f>
        <v>0</v>
      </c>
      <c r="QO2" s="7">
        <f>IFERROR(AVERAGEIF('Данные 2st'!$Q$2:$Q$317,$A2,'Данные 2st'!$LY$2:$LY$317),"")</f>
        <v>0</v>
      </c>
      <c r="QP2" s="7">
        <f>IFERROR(AVERAGEIF('Данные 2st'!$Q$2:$Q$317,$A2,'Данные 2st'!$LZ$2:$LZ$317),"")</f>
        <v>0</v>
      </c>
      <c r="QQ2" s="7">
        <f>IFERROR(AVERAGEIF('Данные 2st'!$Q$2:$Q$317,$A2,'Данные 2st'!$MB$2:$MB$317),"")</f>
        <v>8.75</v>
      </c>
      <c r="QR2" s="7">
        <f>IFERROR(AVERAGEIF('Данные 2st'!$Q$2:$Q$317,$A2,'Данные 2st'!$MG$2:$MG$317),"")</f>
        <v/>
      </c>
      <c r="QS2" s="7">
        <f>IFERROR(AVERAGEIF('Данные 2st'!$Q$2:$Q$317,$A2,'Данные 2st'!$MH$2:$MH$317),"")</f>
        <v/>
      </c>
      <c r="QT2" s="7">
        <f>IFERROR(AVERAGEIF('Данные 2st'!$Q$2:$Q$317,$A2,'Данные 2st'!$MI$2:$MI$317),"")</f>
        <v>0</v>
      </c>
      <c r="QU2" s="7">
        <f>IFERROR(AVERAGEIF('Данные 2st'!$Q$2:$Q$317,$A2,'Данные 2st'!$MJ$2:$MJ$317),"")</f>
        <v>0</v>
      </c>
      <c r="QV2" s="7">
        <f>IFERROR(AVERAGEIF('Данные 2st'!$Q$2:$Q$317,$A2,'Данные 2st'!$MK$2:$MK$317),"")</f>
        <v/>
      </c>
      <c r="QW2" s="7">
        <f>IFERROR(AVERAGEIF('Данные 2st'!$Q$2:$Q$317,$A2,'Данные 2st'!$MM$2:$MM$317),"")</f>
        <v>333.5</v>
      </c>
      <c r="QX2" s="7">
        <f>IFERROR(AVERAGEIF('Данные 2st'!$Q$2:$Q$317,$A2,'Данные 2st'!$MQ$2:$MQ$317),"")</f>
        <v/>
      </c>
      <c r="QY2" s="7">
        <f>IFERROR(AVERAGEIF('Данные 2st'!$Q$2:$Q$317,$A2,'Данные 2st'!$MR$2:$MR$317),"")</f>
        <v/>
      </c>
      <c r="QZ2" s="7">
        <f>IFERROR(AVERAGEIF('Данные 2st'!$Q$2:$Q$317,$A2,'Данные 2st'!$MS$2:$MS$317),"")</f>
        <v/>
      </c>
      <c r="RA2" s="7">
        <f>IFERROR(AVERAGEIF('Данные 2st'!$Q$2:$Q$317,$A2,'Данные 2st'!$MT$2:$MT$317),"")</f>
        <v/>
      </c>
      <c r="RB2" s="7">
        <f>IFERROR(AVERAGEIF('Данные 2st'!$Q$2:$Q$317,$A2,'Данные 2st'!$MU$2:$MU$317),"")</f>
        <v/>
      </c>
      <c r="RC2" s="7">
        <f>IFERROR(AVERAGEIF('Данные 2st'!$Q$2:$Q$317,$A2,'Данные 2st'!$MV$2:$MV$317),"")</f>
        <v/>
      </c>
      <c r="RD2" s="7">
        <f>IFERROR(AVERAGEIF('Данные 2st'!$Q$2:$Q$317,$A2,'Данные 2st'!$MW$2:$MW$317),"")</f>
        <v/>
      </c>
      <c r="RE2" s="7">
        <f>IFERROR(AVERAGEIF('Данные 2st'!$Q$2:$Q$317,$A2,'Данные 2st'!$MX$2:$MX$317),"")</f>
        <v/>
      </c>
      <c r="RF2" s="7">
        <f>IFERROR(AVERAGEIF('Данные 2st'!$Q$2:$Q$317,$A2,'Данные 2st'!$MY$2:$MY$317),"")</f>
        <v/>
      </c>
      <c r="RG2" s="7">
        <f>IFERROR(AVERAGEIF('Данные 2st'!$Q$2:$Q$317,$A2,'Данные 2st'!$MZ$2:$MZ$317),"")</f>
        <v/>
      </c>
      <c r="RH2" s="7">
        <f>IFERROR(AVERAGEIF('Данные 2st'!$Q$2:$Q$317,$A2,'Данные 2st'!$NA$2:$NA$317),"")</f>
        <v/>
      </c>
      <c r="RI2" s="7">
        <f>IFERROR(AVERAGEIF('Данные 2st'!$Q$2:$Q$317,$A2,'Данные 2st'!$NB$2:$NB$317),"")</f>
        <v/>
      </c>
      <c r="RJ2" s="7">
        <f>IFERROR(AVERAGEIF('Данные 2st'!$Q$2:$Q$317,$A2,'Данные 2st'!$NC$2:$NC$317),"")</f>
        <v/>
      </c>
      <c r="RK2" s="7">
        <f>IFERROR(AVERAGEIF('Данные 2st'!$Q$2:$Q$317,$A2,'Данные 2st'!$ND$2:$ND$317),"")</f>
        <v/>
      </c>
      <c r="RL2" s="7">
        <f>IFERROR(AVERAGEIF('Данные 2st'!$Q$2:$Q$317,$A2,'Данные 2st'!$NE$2:$NE$317),"")</f>
        <v/>
      </c>
      <c r="RM2" s="7">
        <f>IFERROR(AVERAGEIF('Данные 2st'!$Q$2:$Q$317,$A2,'Данные 2st'!$NF$2:$NF$317),"")</f>
        <v/>
      </c>
      <c r="RN2" s="7">
        <f>IFERROR(AVERAGEIF('Данные 2st'!$Q$2:$Q$317,$A2,'Данные 2st'!$NG$2:$NG$317),"")</f>
        <v/>
      </c>
      <c r="RO2" s="7">
        <f>IFERROR(AVERAGEIF('Данные 2st'!$Q$2:$Q$317,$A2,'Данные 2st'!$NH$2:$NH$317),"")</f>
        <v/>
      </c>
      <c r="RP2" s="7">
        <f>IFERROR(AVERAGEIF('Данные 2st'!$Q$2:$Q$317,$A2,'Данные 2st'!$NJ$2:$NJ$317),"")</f>
        <v/>
      </c>
      <c r="RQ2" s="7">
        <f>IFERROR(AVERAGEIF('Данные 2st'!$Q$2:$Q$317,$A2,'Данные 2st'!$NK$2:$NK$317),"")</f>
        <v/>
      </c>
      <c r="RR2" s="7">
        <f>IFERROR(AVERAGEIF('Данные 2st'!$Q$2:$Q$317,$A2,'Данные 2st'!$NM$2:$NM$317),"")</f>
        <v/>
      </c>
      <c r="RS2" s="7">
        <f>IFERROR(AVERAGEIF('Данные 2st'!$Q$2:$Q$317,$A2,'Данные 2st'!$NN$2:$NN$317),"")</f>
        <v/>
      </c>
      <c r="RT2" s="7">
        <f>IFERROR(AVERAGEIF('Данные 2st'!$Q$2:$Q$317,$A2,'Данные 2st'!$NO$2:$NO$317),"")</f>
        <v/>
      </c>
      <c r="RU2" s="7">
        <f>IFERROR(AVERAGEIF('Данные 2st'!$Q$2:$Q$317,$A2,'Данные 2st'!$NP$2:$NP$317),"")</f>
        <v/>
      </c>
      <c r="RV2" s="7">
        <f>IFERROR(AVERAGEIF('Данные 2st'!$Q$2:$Q$317,$A2,'Данные 2st'!$NQ$2:$NQ$317),"")</f>
        <v/>
      </c>
      <c r="RW2" s="7">
        <f>IFERROR(AVERAGEIF('Данные 2st'!$Q$2:$Q$317,$A2,'Данные 2st'!$NR$2:$NR$317),"")</f>
        <v/>
      </c>
      <c r="RX2" s="7">
        <f>IFERROR(AVERAGEIF('Данные 2st'!$Q$2:$Q$317,$A2,'Данные 2st'!$NS$2:$NS$317),"")</f>
        <v/>
      </c>
      <c r="RY2" s="7">
        <f>IFERROR(AVERAGEIF('Данные 2st'!$Q$2:$Q$317,$A2,'Данные 2st'!$NT$2:$NT$317),"")</f>
        <v/>
      </c>
      <c r="RZ2" s="7">
        <f>IFERROR(AVERAGEIF('Данные 2st'!$Q$2:$Q$317,$A2,'Данные 2st'!$OK$2:$OK$317),"")</f>
        <v>61</v>
      </c>
      <c r="SA2" s="7">
        <f>IFERROR(AVERAGEIF('Данные 2st'!$Q$2:$Q$317,$A2,'Данные 2st'!$OL$2:$OL$317),"")</f>
        <v>61</v>
      </c>
      <c r="SB2" s="7">
        <f>IFERROR(AVERAGEIF('Данные 2st'!$Q$2:$Q$317,$A2,'Данные 2st'!$ON$2:$ON$317),"")</f>
        <v>3</v>
      </c>
      <c r="SC2" s="7">
        <f>IFERROR(AVERAGEIF('Данные 2st'!$Q$2:$Q$317,$A2,'Данные 2st'!$OO$2:$OO$317),"")</f>
        <v>1709.25</v>
      </c>
      <c r="SD2" s="7">
        <f>IFERROR(AVERAGEIF('Данные 2st'!$Q$2:$Q$317,$A2,'Данные 2st'!$OP$2:$OP$317),"")</f>
        <v>61</v>
      </c>
      <c r="SE2" s="7">
        <f>IFERROR(AVERAGEIF('Данные 2st'!$Q$2:$Q$317,$A2,'Данные 2st'!$OQ$2:$OQ$317),"")</f>
        <v>61</v>
      </c>
      <c r="SF2" s="7">
        <f>IFERROR(AVERAGEIF('Данные 2st'!$Q$2:$Q$317,$A2,'Данные 2st'!$OS$2:$OS$317),"")</f>
        <v>3</v>
      </c>
      <c r="SG2" s="7">
        <f>IFERROR(AVERAGEIF('Данные 2st'!$Q$2:$Q$317,$A2,'Данные 2st'!$OT$2:$OT$317),"")</f>
        <v>1716.25</v>
      </c>
      <c r="SH2" s="7">
        <f>IFERROR(AVERAGEIF('Данные 2st'!$Q$2:$Q$317,$A2,'Данные 2st'!$OU$2:$OU$317),"")</f>
        <v>65</v>
      </c>
      <c r="SI2" s="7">
        <f>IFERROR(AVERAGEIF('Данные 2st'!$Q$2:$Q$317,$A2,'Данные 2st'!$OV$2:$OV$317),"")</f>
        <v>65</v>
      </c>
      <c r="SJ2" s="7">
        <f>IFERROR(AVERAGEIF('Данные 2st'!$Q$2:$Q$317,$A2,'Данные 2st'!$OX$2:$OX$317),"")</f>
        <v>1.25</v>
      </c>
      <c r="SK2" s="7">
        <f>IFERROR(AVERAGEIF('Данные 2st'!$Q$2:$Q$317,$A2,'Данные 2st'!$OY$2:$OY$317),"")</f>
        <v>24889.25</v>
      </c>
      <c r="SL2" s="7">
        <f>IFERROR(AVERAGEIF('Данные 2st'!$Q$2:$Q$317,$A2,'Данные 2st'!$OZ$2:$OZ$317),"")</f>
        <v>51</v>
      </c>
      <c r="SM2" s="7">
        <f>IFERROR(AVERAGEIF('Данные 2st'!$Q$2:$Q$317,$A2,'Данные 2st'!$PA$2:$PA$317),"")</f>
        <v>51.5</v>
      </c>
      <c r="SN2" s="7">
        <f>IFERROR(AVERAGEIF('Данные 2st'!$Q$2:$Q$317,$A2,'Данные 2st'!$PC$2:$PC$317),"")</f>
        <v>3.5</v>
      </c>
      <c r="SO2" s="7">
        <f>IFERROR(AVERAGEIF('Данные 2st'!$Q$2:$Q$317,$A2,'Данные 2st'!$PD$2:$PD$317),"")</f>
        <v>1747.75</v>
      </c>
      <c r="SP2" s="7">
        <f>IFERROR(AVERAGEIF('Данные 2st'!$Q$2:$Q$317,$A2,'Данные 2st'!$PF$2:$PF$317),"")</f>
        <v>260.5</v>
      </c>
      <c r="SQ2" s="7">
        <f>IFERROR(AVERAGEIF('Данные 2st'!$Q$2:$Q$317,$A2,'Данные 2st'!$PG$2:$PG$317),"")</f>
        <v>29</v>
      </c>
      <c r="SR2" s="7">
        <f>IFERROR(AVERAGEIF('Данные 2st'!$Q$2:$Q$317,$A2,'Данные 2st'!$PH$2:$PH$317),"")</f>
        <v>242.5</v>
      </c>
      <c r="SS2" s="7">
        <f>IFERROR(AVERAGEIF('Данные 2st'!$Q$2:$Q$317,$A2,'Данные 2st'!$PI$2:$PI$317),"")</f>
        <v>29</v>
      </c>
      <c r="ST2" s="7">
        <f>IFERROR(AVERAGEIF('Данные 2st'!$Q$2:$Q$317,$A2,'Данные 2st'!$PJ$2:$PJ$317),"")</f>
        <v>68.4</v>
      </c>
      <c r="SU2" s="7">
        <f>IFERROR(AVERAGEIF('Данные 2st'!$Q$2:$Q$317,$A2,'Данные 2st'!$PK$2:$PK$317),"")</f>
        <v>1435.3333333333333</v>
      </c>
      <c r="SV2" s="7">
        <f>IFERROR(AVERAGEIF('Данные 2st'!$Q$2:$Q$317,$A2,'Данные 2st'!$PL$2:$PL$317),"")</f>
        <v>919.95</v>
      </c>
      <c r="SW2" s="7">
        <f>IFERROR(AVERAGEIF('Данные 2st'!$Q$2:$Q$317,$A2,'Данные 2st'!$PM$2:$PM$317),"")</f>
        <v>458.675</v>
      </c>
      <c r="SX2" s="7">
        <f>IFERROR(AVERAGEIF('Данные 2st'!$Q$2:$Q$317,$A2,'Данные 2st'!$PN$2:$PN$317),"")</f>
        <v>74.275</v>
      </c>
      <c r="SY2" s="7">
        <f>IFERROR(AVERAGEIF('Данные 2st'!$Q$2:$Q$317,$A2,'Данные 2st'!$PO$2:$PO$317),"")</f>
        <v>9.233333333333333</v>
      </c>
      <c r="SZ2" s="7">
        <f>IFERROR(AVERAGEIF('Данные 2st'!$Q$2:$Q$317,$A2,'Данные 2st'!$PP$2:$PP$317),"")</f>
        <v>10.5</v>
      </c>
      <c r="TA2" s="7">
        <f>IFERROR(AVERAGEIF('Данные 2st'!$Q$2:$Q$317,$A2,'Данные 2st'!$PQ$2:$PQ$317),"")</f>
        <v>8</v>
      </c>
      <c r="TB2" s="7">
        <f>IFERROR(AVERAGEIF('Данные 2st'!$Q$2:$Q$317,$A2,'Данные 2st'!$PR$2:$PR$317),"")</f>
        <v>8</v>
      </c>
      <c r="TC2" s="7">
        <f>IFERROR(AVERAGEIF('Данные 2st'!$Q$2:$Q$317,$A2,'Данные 2st'!$PS$2:$PS$317),"")</f>
        <v>6</v>
      </c>
      <c r="TD2" s="7">
        <f>IFERROR(AVERAGEIF('Данные 2st'!$Q$2:$Q$317,$A2,'Данные 2st'!$PT$2:$PT$317),"")</f>
        <v>179</v>
      </c>
      <c r="TE2" s="7">
        <f>IFERROR(AVERAGEIF('Данные 2st'!$Q$2:$Q$317,$A2,'Данные 2st'!$PU$2:$PU$317),"")</f>
        <v>8</v>
      </c>
      <c r="TF2" s="7">
        <f>IFERROR(AVERAGEIF('Данные 2st'!$Q$2:$Q$317,$A2,'Данные 2st'!$PX$2:$PX$317),"")</f>
        <v>0</v>
      </c>
      <c r="TG2" s="7">
        <f>IFERROR(AVERAGEIF('Данные 2st'!$Q$2:$Q$317,$A2,'Данные 2st'!$PY$2:$PY$317),"")</f>
        <v>0</v>
      </c>
      <c r="TH2" s="7">
        <f>IFERROR(AVERAGEIF('Данные 2st'!$Q$2:$Q$317,$A2,'Данные 2st'!$PZ$2:$PZ$317),"")</f>
        <v>0</v>
      </c>
      <c r="TI2" s="7">
        <f>IFERROR(AVERAGEIF('Данные 2st'!$Q$2:$Q$317,$A2,'Данные 2st'!$QA$2:$QA$317),"")</f>
        <v>0</v>
      </c>
      <c r="TJ2" s="7">
        <f>IFERROR(AVERAGEIF('Данные 2st'!$Q$2:$Q$317,$A2,'Данные 2st'!$QB$2:$QB$317),"")</f>
        <v>0</v>
      </c>
      <c r="TK2" s="7">
        <f>IFERROR(AVERAGEIF('Данные 2st'!$Q$2:$Q$317,$A2,'Данные 2st'!$QC$2:$QC$317),"")</f>
        <v>0</v>
      </c>
      <c r="TL2" s="7">
        <f>IFERROR(AVERAGEIF('Данные 2st'!$Q$2:$Q$317,$A2,'Данные 2st'!$QD$2:$QD$317),"")</f>
        <v>0</v>
      </c>
      <c r="TM2" s="7">
        <f>IFERROR(AVERAGEIF('Данные 2st'!$Q$2:$Q$317,$A2,'Данные 2st'!$QE$2:$QE$317),"")</f>
        <v>-1</v>
      </c>
      <c r="TN2" s="7">
        <f>IFERROR(AVERAGEIF('Данные 2st'!$Q$2:$Q$317,$A2,'Данные 2st'!$QF$2:$QF$317),"")</f>
        <v>1</v>
      </c>
      <c r="TO2" s="7">
        <f>IFERROR(AVERAGEIF('Данные 2st'!$Q$2:$Q$317,$A2,'Данные 2st'!$QG$2:$QG$317),"")</f>
        <v>0</v>
      </c>
      <c r="TP2" s="7">
        <f>IFERROR(AVERAGEIF('Данные 2st'!$Q$2:$Q$317,$A2,'Данные 2st'!$QH$2:$QH$317),"")</f>
        <v>5</v>
      </c>
      <c r="TQ2" s="7">
        <f>IFERROR(AVERAGEIF('Данные 2st'!$Q$2:$Q$317,$A2,'Данные 2st'!$QI$2:$QI$317),"")</f>
        <v>5</v>
      </c>
      <c r="TR2" s="7">
        <f>IFERROR(AVERAGEIF('Данные 2st'!$Q$2:$Q$317,$A2,'Данные 2st'!$QJ$2:$QJ$317),"")</f>
        <v>5</v>
      </c>
      <c r="TS2" s="7">
        <f>IFERROR(AVERAGEIF('Данные 2st'!$Q$2:$Q$317,$A2,'Данные 2st'!$QK$2:$QK$317),"")</f>
        <v>153.25</v>
      </c>
      <c r="TT2" s="7">
        <f>IFERROR(AVERAGEIF('Данные 2st'!$Q$2:$Q$317,$A2,'Данные 2st'!$QL$2:$QL$317),"")</f>
        <v>351.5</v>
      </c>
      <c r="TU2" s="7">
        <f>IFERROR(AVERAGEIF('Данные 2st'!$Q$2:$Q$317,$A2,'Данные 2st'!$QM$2:$QM$317),"")</f>
        <v>7.5</v>
      </c>
      <c r="TV2" s="7">
        <f>IFERROR(AVERAGEIF('Данные 2st'!$Q$2:$Q$317,$A2,'Данные 2st'!$QN$2:$QN$317),"")</f>
        <v>1123.4</v>
      </c>
      <c r="TW2" s="7">
        <f>IFERROR(AVERAGEIF('Данные 2st'!$Q$2:$Q$317,$A2,'Данные 2st'!$QQ$2:$QQ$317),"")</f>
        <v>0</v>
      </c>
      <c r="TX2" s="7">
        <f>IFERROR(AVERAGEIF('Данные 2st'!$Q$2:$Q$317,$A2,'Данные 2st'!$QS$2:$QS$317),"")</f>
        <v>30</v>
      </c>
      <c r="TY2" s="7">
        <f>IFERROR(AVERAGEIF('Данные 2st'!$Q$2:$Q$317,$A2,'Данные 2st'!$QT$2:$QT$317),"")</f>
        <v>40</v>
      </c>
    </row>
    <row r="3" spans="1:545" ht="32" customHeight="1">
      <c r="A3" s="11" t="s">
        <v>2333</v>
      </c>
      <c r="B3">
        <f>COUNTIF('Данные 1st'!$S$2:$S$317,$A3)</f>
        <v>1</v>
      </c>
      <c r="C3" s="6" t="s">
        <v>2336</v>
      </c>
      <c r="D3" s="6" t="s">
        <v>513</v>
      </c>
      <c r="E3" s="6" t="s">
        <v>517</v>
      </c>
      <c r="F3" s="6" t="s">
        <v>2331</v>
      </c>
      <c r="G3" s="7">
        <f>IFERROR(AVERAGEIF('Данные 1st'!$S$2:$S$317,$A3,'Данные 1st'!$AE$2:$AE$317),"")</f>
        <v>187</v>
      </c>
      <c r="H3" s="7">
        <f>IFERROR(AVERAGEIF('Данные 1st'!$S$2:$S$317,$A3,'Данные 1st'!$AF$2:$AF$317),"")</f>
        <v>1.5</v>
      </c>
      <c r="I3" s="7">
        <f>IFERROR(AVERAGEIF('Данные 1st'!$S$2:$S$317,$A3,'Данные 1st'!$AJ$2:$AJ$317),"")</f>
        <v>165</v>
      </c>
      <c r="J3" s="7">
        <f>IFERROR(AVERAGEIF('Данные 1st'!$S$2:$S$317,$A3,'Данные 1st'!$AL$2:$AL$317),"")</f>
        <v>1.5</v>
      </c>
      <c r="K3" s="7">
        <f>IFERROR(AVERAGEIF('Данные 1st'!$S$2:$S$317,$A3,'Данные 1st'!$AR$2:$AR$317),"")</f>
        <v>205</v>
      </c>
      <c r="L3" s="7">
        <f>IFERROR(AVERAGEIF('Данные 1st'!$S$2:$S$317,$A3,'Данные 1st'!$AS$2:$AS$317),"")</f>
        <v>1.5</v>
      </c>
      <c r="M3" s="7">
        <f>IFERROR(AVERAGEIF('Данные 1st'!$S$2:$S$317,$A3,'Данные 1st'!$AY$2:$AY$317),"")</f>
        <v>255</v>
      </c>
      <c r="N3" s="7">
        <f>IFERROR(AVERAGEIF('Данные 1st'!$S$2:$S$317,$A3,'Данные 1st'!$AZ$2:$AZ$317),"")</f>
        <v>1.5</v>
      </c>
      <c r="O3" s="7">
        <f>IFERROR(AVERAGEIF('Данные 1st'!$S$2:$S$317,$A3,'Данные 1st'!$BF$2:$BF$317),"")</f>
        <v/>
      </c>
      <c r="P3" s="7">
        <f>IFERROR(AVERAGEIF('Данные 1st'!$S$2:$S$317,$A3,'Данные 1st'!$BG$2:$BG$317),"")</f>
        <v>1.5</v>
      </c>
      <c r="Q3" s="7">
        <f>IFERROR(AVERAGEIF('Данные 1st'!$S$2:$S$317,$A3,'Данные 1st'!$BM$2:$BM$317),"")</f>
        <v/>
      </c>
      <c r="R3" s="7">
        <f>IFERROR(AVERAGEIF('Данные 1st'!$S$2:$S$317,$A3,'Данные 1st'!$BN$2:$BN$317),"")</f>
        <v>1.5</v>
      </c>
      <c r="S3" s="7">
        <f>IFERROR(AVERAGEIF('Данные 1st'!$S$2:$S$317,$A3,'Данные 1st'!$BT$2:$BT$317),"")</f>
        <v>184</v>
      </c>
      <c r="T3" s="7">
        <f>IFERROR(AVERAGEIF('Данные 1st'!$S$2:$S$317,$A3,'Данные 1st'!$BU$2:$BU$317),"")</f>
        <v>0.5</v>
      </c>
      <c r="U3" s="7">
        <f>IFERROR(AVERAGEIF('Данные 1st'!$S$2:$S$317,$A3,'Данные 1st'!$BW$2:$BW$317),"")</f>
        <v>368</v>
      </c>
      <c r="V3" s="7">
        <f>IFERROR(AVERAGEIF('Данные 1st'!$S$2:$S$317,$A3,'Данные 1st'!$BX$2:$BX$317),"")</f>
        <v>1</v>
      </c>
      <c r="W3" s="7">
        <f>IFERROR(AVERAGEIF('Данные 1st'!$S$2:$S$317,$A3,'Данные 1st'!$BZ$2:$BZ$317),"")</f>
        <v>300</v>
      </c>
      <c r="X3" s="7">
        <f>IFERROR(AVERAGEIF('Данные 1st'!$S$2:$S$317,$A3,'Данные 1st'!$CA$2:$CA$317),"")</f>
        <v>460</v>
      </c>
      <c r="Y3" s="7">
        <f>IFERROR(AVERAGEIF('Данные 1st'!$S$2:$S$317,$A3,'Данные 1st'!$CD$2:$CD$317),"")</f>
        <v>384</v>
      </c>
      <c r="Z3" s="7">
        <f>IFERROR(AVERAGEIF('Данные 1st'!$S$2:$S$317,$A3,'Данные 1st'!$CF$2:$CF$317),"")</f>
        <v>15</v>
      </c>
      <c r="AA3" s="7">
        <f>IFERROR(AVERAGEIF('Данные 1st'!$S$2:$S$317,$A3,'Данные 1st'!$CI$2:$CI$317),"")</f>
        <v>80</v>
      </c>
      <c r="AB3" s="7">
        <f>IFERROR(AVERAGEIF('Данные 1st'!$S$2:$S$317,$A3,'Данные 1st'!$CJ$2:$CJ$317),"")</f>
        <v>1050</v>
      </c>
      <c r="AC3" s="7">
        <f>IFERROR(AVERAGEIF('Данные 1st'!$S$2:$S$317,$A3,'Данные 1st'!$CK$2:$CK$317),"")</f>
        <v>2</v>
      </c>
      <c r="AD3" s="7">
        <f>IFERROR(AVERAGEIF('Данные 1st'!$S$2:$S$317,$A3,'Данные 1st'!$CL$2:$CL$317),"")</f>
        <v>1144</v>
      </c>
      <c r="AE3" s="7">
        <f>IFERROR(AVERAGEIF('Данные 1st'!$S$2:$S$317,$A3,'Данные 1st'!$CM$2:$CM$317),"")</f>
        <v>2</v>
      </c>
      <c r="AF3" s="7">
        <f>IFERROR(AVERAGEIF('Данные 1st'!$S$2:$S$317,$A3,'Данные 1st'!$CT$2:$CT$317),"")</f>
        <v>330</v>
      </c>
      <c r="AG3" s="7">
        <f>IFERROR(AVERAGEIF('Данные 1st'!$S$2:$S$317,$A3,'Данные 1st'!$CU$2:$CU$317),"")</f>
        <v>5</v>
      </c>
      <c r="AH3" s="7">
        <f>IFERROR(AVERAGEIF('Данные 1st'!$S$2:$S$317,$A3,'Данные 1st'!$CV$2:$CV$317),"")</f>
        <v>1.2</v>
      </c>
      <c r="AI3" s="7">
        <f>IFERROR(AVERAGEIF('Данные 1st'!$S$2:$S$317,$A3,'Данные 1st'!$CW$2:$CW$317),"")</f>
        <v>1069</v>
      </c>
      <c r="AJ3" s="7">
        <f>IFERROR(AVERAGEIF('Данные 1st'!$S$2:$S$317,$A3,'Данные 1st'!$CX$2:$CX$317),"")</f>
        <v>499</v>
      </c>
      <c r="AK3" s="7">
        <f>IFERROR(AVERAGEIF('Данные 1st'!$S$2:$S$317,$A3,'Данные 1st'!$CZ$2:$CZ$317),"")</f>
        <v>50</v>
      </c>
      <c r="AL3" s="7">
        <f>IFERROR(AVERAGEIF('Данные 1st'!$S$2:$S$317,$A3,'Данные 1st'!$DA$2:$DA$317),"")</f>
        <v>3</v>
      </c>
      <c r="AM3" s="7">
        <f>IFERROR(AVERAGEIF('Данные 1st'!$S$2:$S$317,$A3,'Данные 1st'!$DB$2:$DB$317),"")</f>
        <v>1</v>
      </c>
      <c r="AN3" s="7">
        <f>IFERROR(AVERAGEIF('Данные 1st'!$S$2:$S$317,$A3,'Данные 1st'!$DC$2:$DC$317),"")</f>
        <v>1069</v>
      </c>
      <c r="AO3" s="7">
        <f>IFERROR(AVERAGEIF('Данные 1st'!$S$2:$S$317,$A3,'Данные 1st'!$DD$2:$DD$317),"")</f>
        <v>56</v>
      </c>
      <c r="AP3" s="7">
        <f>IFERROR(AVERAGEIF('Данные 1st'!$S$2:$S$317,$A3,'Данные 1st'!$DF$2:$DF$317),"")</f>
        <v>510</v>
      </c>
      <c r="AQ3" s="7">
        <f>IFERROR(AVERAGEIF('Данные 1st'!$S$2:$S$317,$A3,'Данные 1st'!$DG$2:$DG$317),"")</f>
        <v>3</v>
      </c>
      <c r="AR3" s="7">
        <f>IFERROR(AVERAGEIF('Данные 1st'!$S$2:$S$317,$A3,'Данные 1st'!$DH$2:$DH$317),"")</f>
        <v>1.18</v>
      </c>
      <c r="AS3" s="7">
        <f>IFERROR(AVERAGEIF('Данные 1st'!$S$2:$S$317,$A3,'Данные 1st'!$DI$2:$DI$317),"")</f>
        <v>1062</v>
      </c>
      <c r="AT3" s="7">
        <f>IFERROR(AVERAGEIF('Данные 1st'!$S$2:$S$317,$A3,'Данные 1st'!$DJ$2:$DJ$317),"")</f>
        <v>902</v>
      </c>
      <c r="AU3" s="7">
        <f>IFERROR(AVERAGEIF('Данные 1st'!$S$2:$S$317,$A3,'Данные 1st'!$DL$2:$DL$317),"")</f>
        <v/>
      </c>
      <c r="AV3" s="7">
        <f>IFERROR(AVERAGEIF('Данные 1st'!$S$2:$S$317,$A3,'Данные 1st'!$DM$2:$DM$317),"")</f>
        <v/>
      </c>
      <c r="AW3" s="7">
        <f>IFERROR(AVERAGEIF('Данные 1st'!$S$2:$S$317,$A3,'Данные 1st'!$DN$2:$DN$317),"")</f>
        <v/>
      </c>
      <c r="AX3" s="7">
        <f>IFERROR(AVERAGEIF('Данные 1st'!$S$2:$S$317,$A3,'Данные 1st'!$DO$2:$DO$317),"")</f>
        <v/>
      </c>
      <c r="AY3" s="7">
        <f>IFERROR(AVERAGEIF('Данные 1st'!$S$2:$S$317,$A3,'Данные 1st'!$DP$2:$DP$317),"")</f>
        <v/>
      </c>
      <c r="AZ3" s="7">
        <f>IFERROR(AVERAGEIF('Данные 1st'!$S$2:$S$317,$A3,'Данные 1st'!$DR$2:$DR$317),"")</f>
        <v/>
      </c>
      <c r="BA3" s="7">
        <f>IFERROR(AVERAGEIF('Данные 1st'!$S$2:$S$317,$A3,'Данные 1st'!$DS$2:$DS$317),"")</f>
        <v/>
      </c>
      <c r="BB3" s="7">
        <f>IFERROR(AVERAGEIF('Данные 1st'!$S$2:$S$317,$A3,'Данные 1st'!$DT$2:$DT$317),"")</f>
        <v/>
      </c>
      <c r="BC3" s="7">
        <f>IFERROR(AVERAGEIF('Данные 1st'!$S$2:$S$317,$A3,'Данные 1st'!$DU$2:$DU$317),"")</f>
        <v/>
      </c>
      <c r="BD3" s="7">
        <f>IFERROR(AVERAGEIF('Данные 1st'!$S$2:$S$317,$A3,'Данные 1st'!$DV$2:$DV$317),"")</f>
        <v/>
      </c>
      <c r="BE3" s="7">
        <f>IFERROR(AVERAGEIF('Данные 1st'!$S$2:$S$317,$A3,'Данные 1st'!$DX$2:$DX$317),"")</f>
        <v>7.5</v>
      </c>
      <c r="BF3" s="7">
        <f>IFERROR(AVERAGEIF('Данные 1st'!$S$2:$S$317,$A3,'Данные 1st'!$EA$2:$EA$317),"")</f>
        <v>1123</v>
      </c>
      <c r="BG3" s="7">
        <f>IFERROR(AVERAGEIF('Данные 1st'!$S$2:$S$317,$A3,'Данные 1st'!$EB$2:$EB$317),"")</f>
        <v>147</v>
      </c>
      <c r="BH3" s="7">
        <f>IFERROR(AVERAGEIF('Данные 1st'!$S$2:$S$317,$A3,'Данные 1st'!$ED$2:$ED$317),"")</f>
        <v>15</v>
      </c>
      <c r="BI3" s="7">
        <f>IFERROR(AVERAGEIF('Данные 1st'!$S$2:$S$317,$A3,'Данные 1st'!$EE$2:$EE$317),"")</f>
        <v/>
      </c>
      <c r="BJ3" s="7">
        <f>IFERROR(AVERAGEIF('Данные 1st'!$S$2:$S$317,$A3,'Данные 1st'!$EG$2:$EG$317),"")</f>
        <v>1154</v>
      </c>
      <c r="BK3" s="7">
        <f>IFERROR(AVERAGEIF('Данные 1st'!$S$2:$S$317,$A3,'Данные 1st'!$EH$2:$EH$317),"")</f>
        <v>44</v>
      </c>
      <c r="BL3" s="7">
        <f>IFERROR(AVERAGEIF('Данные 1st'!$S$2:$S$317,$A3,'Данные 1st'!$EJ$2:$EJ$317),"")</f>
        <v>0</v>
      </c>
      <c r="BM3" s="7">
        <f>IFERROR(AVERAGEIF('Данные 1st'!$S$2:$S$317,$A3,'Данные 1st'!$EK$2:$EK$317),"")</f>
        <v>1</v>
      </c>
      <c r="BN3" s="7">
        <f>IFERROR(AVERAGEIF('Данные 1st'!$S$2:$S$317,$A3,'Данные 1st'!$EN$2:$EN$317),"")</f>
        <v>0</v>
      </c>
      <c r="BO3" s="7">
        <f>IFERROR(AVERAGEIF('Данные 1st'!$S$2:$S$317,$A3,'Данные 1st'!$EQ$2:$EQ$317),"")</f>
        <v>105</v>
      </c>
      <c r="BP3" s="7">
        <f>IFERROR(AVERAGEIF('Данные 1st'!$S$2:$S$317,$A3,'Данные 1st'!$ER$2:$ER$317),"")</f>
        <v>3</v>
      </c>
      <c r="BQ3" s="7">
        <f>IFERROR(AVERAGEIF('Данные 1st'!$S$2:$S$317,$A3,'Данные 1st'!$ES$2:$ES$317),"")</f>
        <v>5</v>
      </c>
      <c r="BR3" s="7">
        <f>IFERROR(AVERAGEIF('Данные 1st'!$S$2:$S$317,$A3,'Данные 1st'!$ET$2:$ET$317),"")</f>
        <v>1045</v>
      </c>
      <c r="BS3" s="7">
        <f>IFERROR(AVERAGEIF('Данные 1st'!$S$2:$S$317,$A3,'Данные 1st'!$EU$2:$EU$317),"")</f>
        <v>404</v>
      </c>
      <c r="BT3" s="7">
        <f>IFERROR(AVERAGEIF('Данные 1st'!$S$2:$S$317,$A3,'Данные 1st'!$EV$2:$EV$317),"")</f>
        <v>422</v>
      </c>
      <c r="BU3" s="7">
        <f>IFERROR(AVERAGEIF('Данные 1st'!$S$2:$S$317,$A3,'Данные 1st'!$EX$2:$EX$317),"")</f>
        <v>45</v>
      </c>
      <c r="BV3" s="7">
        <f>IFERROR(AVERAGEIF('Данные 1st'!$S$2:$S$317,$A3,'Данные 1st'!$EY$2:$EY$317),"")</f>
        <v>2</v>
      </c>
      <c r="BW3" s="7">
        <f>IFERROR(AVERAGEIF('Данные 1st'!$S$2:$S$317,$A3,'Данные 1st'!$EZ$2:$EZ$317),"")</f>
        <v>5</v>
      </c>
      <c r="BX3" s="7">
        <f>IFERROR(AVERAGEIF('Данные 1st'!$S$2:$S$317,$A3,'Данные 1st'!$FA$2:$FA$317),"")</f>
        <v>1045</v>
      </c>
      <c r="BY3" s="7">
        <f>IFERROR(AVERAGEIF('Данные 1st'!$S$2:$S$317,$A3,'Данные 1st'!$FB$2:$FB$317),"")</f>
        <v>174.3</v>
      </c>
      <c r="BZ3" s="7">
        <f>IFERROR(AVERAGEIF('Данные 1st'!$S$2:$S$317,$A3,'Данные 1st'!$FC$2:$FC$317),"")</f>
        <v>182</v>
      </c>
      <c r="CA3" s="7">
        <f>IFERROR(AVERAGEIF('Данные 1st'!$S$2:$S$317,$A3,'Данные 1st'!$FE$2:$FE$317),"")</f>
        <v>0</v>
      </c>
      <c r="CB3" s="7">
        <f>IFERROR(AVERAGEIF('Данные 1st'!$S$2:$S$317,$A3,'Данные 1st'!$FF$2:$FF$317),"")</f>
        <v>2</v>
      </c>
      <c r="CC3" s="7">
        <f>IFERROR(AVERAGEIF('Данные 1st'!$S$2:$S$317,$A3,'Данные 1st'!$FI$2:$FI$317),"")</f>
        <v>0</v>
      </c>
      <c r="CD3" s="7">
        <f>IFERROR(AVERAGEIF('Данные 1st'!$S$2:$S$317,$A3,'Данные 1st'!$FL$2:$FL$317),"")</f>
        <v>0.4</v>
      </c>
      <c r="CE3" s="7">
        <f>IFERROR(AVERAGEIF('Данные 1st'!$S$2:$S$317,$A3,'Данные 1st'!$FM$2:$FM$317),"")</f>
        <v>50</v>
      </c>
      <c r="CF3" s="7">
        <f>IFERROR(AVERAGEIF('Данные 1st'!$S$2:$S$317,$A3,'Данные 1st'!$FN$2:$FN$317),"")</f>
        <v>290</v>
      </c>
      <c r="CG3" s="7">
        <f>IFERROR(AVERAGEIF('Данные 1st'!$S$2:$S$317,$A3,'Данные 1st'!$FO$2:$FO$317),"")</f>
        <v>80</v>
      </c>
      <c r="CH3" s="7">
        <f>IFERROR(AVERAGEIF('Данные 1st'!$S$2:$S$317,$A3,'Данные 1st'!$FP$2:$FP$317),"")</f>
        <v>90</v>
      </c>
      <c r="CI3" s="7">
        <f>IFERROR(AVERAGEIF('Данные 1st'!$S$2:$S$317,$A3,'Данные 1st'!$FS$2:$FS$317),"")</f>
        <v>0.4</v>
      </c>
      <c r="CJ3" s="7">
        <f>IFERROR(AVERAGEIF('Данные 1st'!$S$2:$S$317,$A3,'Данные 1st'!$FT$2:$FT$317),"")</f>
        <v>50</v>
      </c>
      <c r="CK3" s="7">
        <f>IFERROR(AVERAGEIF('Данные 1st'!$S$2:$S$317,$A3,'Данные 1st'!$FU$2:$FU$317),"")</f>
        <v>200</v>
      </c>
      <c r="CL3" s="7">
        <f>IFERROR(AVERAGEIF('Данные 1st'!$S$2:$S$317,$A3,'Данные 1st'!$FV$2:$FV$317),"")</f>
        <v/>
      </c>
      <c r="CM3" s="7">
        <f>IFERROR(AVERAGEIF('Данные 1st'!$S$2:$S$317,$A3,'Данные 1st'!$FW$2:$FW$317),"")</f>
        <v/>
      </c>
      <c r="CN3" s="7">
        <f>IFERROR(AVERAGEIF('Данные 1st'!$S$2:$S$317,$A3,'Данные 1st'!$FZ$2:$FZ$317),"")</f>
        <v/>
      </c>
      <c r="CO3" s="7">
        <f>IFERROR(AVERAGEIF('Данные 1st'!$S$2:$S$317,$A3,'Данные 1st'!$GA$2:$GA$317),"")</f>
        <v/>
      </c>
      <c r="CP3" s="7">
        <f>IFERROR(AVERAGEIF('Данные 1st'!$S$2:$S$317,$A3,'Данные 1st'!$GB$2:$GB$317),"")</f>
        <v/>
      </c>
      <c r="CQ3" s="7">
        <f>IFERROR(AVERAGEIF('Данные 1st'!$S$2:$S$317,$A3,'Данные 1st'!$GH$2:$GH$317),"")</f>
        <v/>
      </c>
      <c r="CR3" s="7">
        <f>IFERROR(AVERAGEIF('Данные 1st'!$S$2:$S$317,$A3,'Данные 1st'!$GI$2:$GI$317),"")</f>
        <v/>
      </c>
      <c r="CS3" s="7">
        <f>IFERROR(AVERAGEIF('Данные 1st'!$S$2:$S$317,$A3,'Данные 1st'!$GJ$2:$GJ$317),"")</f>
        <v/>
      </c>
      <c r="CT3" s="7">
        <f>IFERROR(AVERAGEIF('Данные 1st'!$S$2:$S$317,$A3,'Данные 1st'!$GS$2:$GS$317),"")</f>
        <v/>
      </c>
      <c r="CU3" s="7">
        <f>IFERROR(AVERAGEIF('Данные 1st'!$S$2:$S$317,$A3,'Данные 1st'!$GT$2:$GT$317),"")</f>
        <v/>
      </c>
      <c r="CV3" s="7">
        <f>IFERROR(AVERAGEIF('Данные 1st'!$S$2:$S$317,$A3,'Данные 1st'!$GU$2:$GU$317),"")</f>
        <v/>
      </c>
      <c r="CW3" s="7">
        <f>IFERROR(AVERAGEIF('Данные 1st'!$S$2:$S$317,$A3,'Данные 1st'!$GV$2:$GV$317),"")</f>
        <v/>
      </c>
      <c r="CX3" s="7">
        <f>IFERROR(AVERAGEIF('Данные 1st'!$S$2:$S$317,$A3,'Данные 1st'!$GW$2:$GW$317),"")</f>
        <v/>
      </c>
      <c r="CY3" s="7">
        <f>IFERROR(AVERAGEIF('Данные 1st'!$S$2:$S$317,$A3,'Данные 1st'!$GZ$2:$GZ$317),"")</f>
        <v/>
      </c>
      <c r="CZ3" s="7">
        <f>IFERROR(AVERAGEIF('Данные 1st'!$S$2:$S$317,$A3,'Данные 1st'!$HA$2:$HA$317),"")</f>
        <v/>
      </c>
      <c r="DA3" s="7">
        <f>IFERROR(AVERAGEIF('Данные 1st'!$S$2:$S$317,$A3,'Данные 1st'!$HB$2:$HB$317),"")</f>
        <v/>
      </c>
      <c r="DB3" s="7">
        <f>IFERROR(AVERAGEIF('Данные 1st'!$S$2:$S$317,$A3,'Данные 1st'!$HC$2:$HC$317),"")</f>
        <v>0.1</v>
      </c>
      <c r="DC3" s="7">
        <f>IFERROR(AVERAGEIF('Данные 1st'!$S$2:$S$317,$A3,'Данные 1st'!$HD$2:$HD$317),"")</f>
        <v>3</v>
      </c>
      <c r="DD3" s="7">
        <f>IFERROR(AVERAGEIF('Данные 1st'!$S$2:$S$317,$A3,'Данные 1st'!$HE$2:$HE$317),"")</f>
        <v>3</v>
      </c>
      <c r="DE3" s="7">
        <f>IFERROR(AVERAGEIF('Данные 1st'!$S$2:$S$317,$A3,'Данные 1st'!$HF$2:$HF$317),"")</f>
        <v>3</v>
      </c>
      <c r="DF3" s="7">
        <f>IFERROR(AVERAGEIF('Данные 1st'!$S$2:$S$317,$A3,'Данные 1st'!$HG$2:$HG$317),"")</f>
        <v>3</v>
      </c>
      <c r="DG3" s="7">
        <f>IFERROR(AVERAGEIF('Данные 1st'!$S$2:$S$317,$A3,'Данные 1st'!$HH$2:$HH$317),"")</f>
        <v>3</v>
      </c>
      <c r="DH3" s="7">
        <f>IFERROR(AVERAGEIF('Данные 1st'!$S$2:$S$317,$A3,'Данные 1st'!$HI$2:$HI$317),"")</f>
        <v>135</v>
      </c>
      <c r="DI3" s="7">
        <f>IFERROR(AVERAGEIF('Данные 1st'!$S$2:$S$317,$A3,'Данные 1st'!$HJ$2:$HJ$317),"")</f>
        <v>3</v>
      </c>
      <c r="DJ3" s="7">
        <f>IFERROR(AVERAGEIF('Данные 1st'!$S$2:$S$317,$A3,'Данные 1st'!$HK$2:$HK$317),"")</f>
        <v>30</v>
      </c>
      <c r="DK3" s="7">
        <f>IFERROR(AVERAGEIF('Данные 1st'!$S$2:$S$317,$A3,'Данные 1st'!$HL$2:$HL$317),"")</f>
        <v>2</v>
      </c>
      <c r="DL3" s="7">
        <f>IFERROR(AVERAGEIF('Данные 1st'!$S$2:$S$317,$A3,'Данные 1st'!$HM$2:$HM$317),"")</f>
        <v>0</v>
      </c>
      <c r="DM3" s="7">
        <f>IFERROR(AVERAGEIF('Данные 1st'!$S$2:$S$317,$A3,'Данные 1st'!$HN$2:$HN$317),"")</f>
        <v>2</v>
      </c>
      <c r="DN3" s="7">
        <f>IFERROR(AVERAGEIF('Данные 1st'!$S$2:$S$317,$A3,'Данные 1st'!$HO$2:$HO$317),"")</f>
        <v>90</v>
      </c>
      <c r="DO3" s="7">
        <f>IFERROR(AVERAGEIF('Данные 1st'!$S$2:$S$317,$A3,'Данные 1st'!$HP$2:$HP$317),"")</f>
        <v>3</v>
      </c>
      <c r="DP3" s="7">
        <f>IFERROR(AVERAGEIF('Данные 1st'!$S$2:$S$317,$A3,'Данные 1st'!$HQ$2:$HQ$317),"")</f>
        <v>0</v>
      </c>
      <c r="DQ3" s="7">
        <f>IFERROR(AVERAGEIF('Данные 1st'!$S$2:$S$317,$A3,'Данные 1st'!$HR$2:$HR$317),"")</f>
        <v>2</v>
      </c>
      <c r="DR3" s="7">
        <f>IFERROR(AVERAGEIF('Данные 1st'!$S$2:$S$317,$A3,'Данные 1st'!$HS$2:$HS$317),"")</f>
        <v>3103</v>
      </c>
      <c r="DS3" s="7">
        <f>IFERROR(AVERAGEIF('Данные 1st'!$S$2:$S$317,$A3,'Данные 1st'!$HT$2:$HT$317),"")</f>
        <v>90</v>
      </c>
      <c r="DT3" s="7">
        <f>IFERROR(AVERAGEIF('Данные 1st'!$S$2:$S$317,$A3,'Данные 1st'!$HU$2:$HU$317),"")</f>
        <v>180</v>
      </c>
      <c r="DU3" s="7">
        <f>IFERROR(AVERAGEIF('Данные 1st'!$S$2:$S$317,$A3,'Данные 1st'!$HW$2:$HW$317),"")</f>
        <v>0</v>
      </c>
      <c r="DV3" s="7">
        <f>IFERROR(AVERAGEIF('Данные 1st'!$S$2:$S$317,$A3,'Данные 1st'!$HX$2:$HX$317),"")</f>
        <v>450</v>
      </c>
      <c r="DW3" s="7">
        <f>IFERROR(AVERAGEIF('Данные 1st'!$S$2:$S$317,$A3,'Данные 1st'!$HY$2:$HY$317),"")</f>
        <v>0.18</v>
      </c>
      <c r="DX3" s="7">
        <f>IFERROR(AVERAGEIF('Данные 1st'!$S$2:$S$317,$A3,'Данные 1st'!$IA$2:$IA$317),"")</f>
        <v>0.15</v>
      </c>
      <c r="DY3" s="7">
        <f>IFERROR(AVERAGEIF('Данные 1st'!$S$2:$S$317,$A3,'Данные 1st'!$IB$2:$IB$317),"")</f>
        <v>0</v>
      </c>
      <c r="DZ3" s="7">
        <f>IFERROR(AVERAGEIF('Данные 1st'!$S$2:$S$317,$A3,'Данные 1st'!$IC$2:$IC$317),"")</f>
        <v>180</v>
      </c>
      <c r="EA3" s="7">
        <f>IFERROR(AVERAGEIF('Данные 1st'!$S$2:$S$317,$A3,'Данные 1st'!$ID$2:$ID$317),"")</f>
        <v>110</v>
      </c>
      <c r="EB3" s="7">
        <f>IFERROR(AVERAGEIF('Данные 1st'!$S$2:$S$317,$A3,'Данные 1st'!$IE$2:$IE$317),"")</f>
        <v>0</v>
      </c>
      <c r="EC3" s="7">
        <f>IFERROR(AVERAGEIF('Данные 1st'!$S$2:$S$317,$A3,'Данные 1st'!$IF$2:$IF$317),"")</f>
        <v>0</v>
      </c>
      <c r="ED3" s="7">
        <f>IFERROR(AVERAGEIF('Данные 1st'!$S$2:$S$317,$A3,'Данные 1st'!$IP$2:$IP$317),"")</f>
        <v>14</v>
      </c>
      <c r="EE3" s="7">
        <f>IFERROR(AVERAGEIF('Данные 1st'!$S$2:$S$317,$A3,'Данные 1st'!$IV$2:$IV$317),"")</f>
        <v>1050</v>
      </c>
      <c r="EF3" s="7">
        <f>IFERROR(AVERAGEIF('Данные 1st'!$S$2:$S$317,$A3,'Данные 1st'!$IW$2:$IW$317),"")</f>
        <v>368</v>
      </c>
      <c r="EG3" s="7">
        <f>IFERROR(AVERAGEIF('Данные 1st'!$S$2:$S$317,$A3,'Данные 1st'!$IX$2:$IX$317),"")</f>
        <v/>
      </c>
      <c r="EH3" s="7">
        <f>IFERROR(AVERAGEIF('Данные 1st'!$S$2:$S$317,$A3,'Данные 1st'!$IY$2:$IY$317),"")</f>
        <v/>
      </c>
      <c r="EI3" s="7">
        <f>IFERROR(AVERAGEIF('Данные 1st'!$S$2:$S$317,$A3,'Данные 1st'!$JD$2:$JD$317),"")</f>
        <v>1069</v>
      </c>
      <c r="EJ3" s="7">
        <f>IFERROR(AVERAGEIF('Данные 1st'!$S$2:$S$317,$A3,'Данные 1st'!$JE$2:$JE$317),"")</f>
        <v>1062</v>
      </c>
      <c r="EK3" s="7">
        <f>IFERROR(AVERAGEIF('Данные 1st'!$S$2:$S$317,$A3,'Данные 1st'!$JF$2:$JF$317),"")</f>
        <v>0</v>
      </c>
      <c r="EL3" s="7">
        <f>IFERROR(AVERAGEIF('Данные 1st'!$S$2:$S$317,$A3,'Данные 1st'!$JG$2:$JG$317),"")</f>
        <v>1045</v>
      </c>
      <c r="EM3" s="7">
        <f>IFERROR(AVERAGEIF('Данные 1st'!$S$2:$S$317,$A3,'Данные 1st'!$JH$2:$JH$317),"")</f>
        <v>0</v>
      </c>
      <c r="EN3" s="7">
        <f>IFERROR(AVERAGEIF('Данные 1st'!$S$2:$S$317,$A3,'Данные 1st'!$JJ$2:$JJ$317),"")</f>
        <v>180</v>
      </c>
      <c r="EO3" s="7">
        <f>IFERROR(AVERAGEIF('Данные 1st'!$S$2:$S$317,$A3,'Данные 1st'!$JK$2:$JK$317),"")</f>
        <v>450</v>
      </c>
      <c r="EP3" s="7">
        <f>IFERROR(AVERAGEIF('Данные 1st'!$S$2:$S$317,$A3,'Данные 1st'!$JL$2:$JL$317),"")</f>
        <v/>
      </c>
      <c r="EQ3" s="7">
        <f>IFERROR(AVERAGEIF('Данные 1st'!$S$2:$S$317,$A3,'Данные 1st'!$JM$2:$JM$317),"")</f>
        <v/>
      </c>
      <c r="ER3" s="7">
        <f>IFERROR(AVERAGEIF('Данные 1st'!$S$2:$S$317,$A3,'Данные 1st'!$JN$2:$JN$317),"")</f>
        <v>330</v>
      </c>
      <c r="ES3" s="7">
        <f>IFERROR(AVERAGEIF('Данные 1st'!$S$2:$S$317,$A3,'Данные 1st'!$JO$2:$JO$317),"")</f>
        <v>510</v>
      </c>
      <c r="ET3" s="7">
        <f>IFERROR(AVERAGEIF('Данные 1st'!$S$2:$S$317,$A3,'Данные 1st'!$JP$2:$JP$317),"")</f>
        <v>0</v>
      </c>
      <c r="EU3" s="7">
        <f>IFERROR(AVERAGEIF('Данные 1st'!$S$2:$S$317,$A3,'Данные 1st'!$JQ$2:$JQ$317),"")</f>
        <v>0</v>
      </c>
      <c r="EV3" s="7">
        <f>IFERROR(AVERAGEIF('Данные 1st'!$S$2:$S$317,$A3,'Данные 1st'!$JR$2:$JR$317),"")</f>
        <v>374</v>
      </c>
      <c r="EW3" s="7">
        <f>IFERROR(AVERAGEIF('Данные 1st'!$S$2:$S$317,$A3,'Данные 1st'!$JS$2:$JS$317),"")</f>
        <v>135</v>
      </c>
      <c r="EX3" s="7">
        <f>IFERROR(AVERAGEIF('Данные 1st'!$S$2:$S$317,$A3,'Данные 1st'!$JT$2:$JT$317),"")</f>
        <v/>
      </c>
      <c r="EY3" s="7">
        <f>IFERROR(AVERAGEIF('Данные 1st'!$S$2:$S$317,$A3,'Данные 1st'!$JU$2:$JU$317),"")</f>
        <v/>
      </c>
      <c r="EZ3" s="7">
        <f>IFERROR(AVERAGEIF('Данные 1st'!$S$2:$S$317,$A3,'Данные 1st'!$JV$2:$JV$317),"")</f>
        <v>8</v>
      </c>
      <c r="FA3" s="7">
        <f>IFERROR(AVERAGEIF('Данные 1st'!$S$2:$S$317,$A3,'Данные 1st'!$JW$2:$JW$317),"")</f>
        <v/>
      </c>
      <c r="FB3" s="7">
        <f>IFERROR(AVERAGEIF('Данные 1st'!$S$2:$S$317,$A3,'Данные 1st'!$JX$2:$JX$317),"")</f>
        <v>410</v>
      </c>
      <c r="FC3" s="7">
        <f>IFERROR(AVERAGEIF('Данные 1st'!$S$2:$S$317,$A3,'Данные 1st'!$JY$2:$JY$317),"")</f>
        <v/>
      </c>
      <c r="FD3" s="7">
        <f>IFERROR(AVERAGEIF('Данные 1st'!$S$2:$S$317,$A3,'Данные 1st'!$JZ$2:$JZ$317),"")</f>
        <v/>
      </c>
      <c r="FE3" s="7">
        <f>IFERROR(AVERAGEIF('Данные 1st'!$S$2:$S$317,$A3,'Данные 1st'!$KA$2:$KA$317),"")</f>
        <v>0</v>
      </c>
      <c r="FF3" s="7">
        <f>IFERROR(AVERAGEIF('Данные 1st'!$S$2:$S$317,$A3,'Данные 1st'!$KB$2:$KB$317),"")</f>
        <v>110</v>
      </c>
      <c r="FG3" s="7">
        <f>IFERROR(AVERAGEIF('Данные 1st'!$S$2:$S$317,$A3,'Данные 1st'!$KC$2:$KC$317),"")</f>
        <v>0</v>
      </c>
      <c r="FH3" s="7">
        <f>IFERROR(AVERAGEIF('Данные 1st'!$S$2:$S$317,$A3,'Данные 1st'!$KD$2:$KD$317),"")</f>
        <v>80</v>
      </c>
      <c r="FI3" s="7">
        <f>IFERROR(AVERAGEIF('Данные 1st'!$S$2:$S$317,$A3,'Данные 1st'!$KE$2:$KE$317),"")</f>
        <v/>
      </c>
      <c r="FJ3" s="7">
        <f>IFERROR(AVERAGEIF('Данные 1st'!$S$2:$S$317,$A3,'Данные 1st'!$KF$2:$KF$317),"")</f>
        <v>3</v>
      </c>
      <c r="FK3" s="7">
        <f>IFERROR(AVERAGEIF('Данные 1st'!$S$2:$S$317,$A3,'Данные 1st'!$KG$2:$KG$317),"")</f>
        <v>2</v>
      </c>
      <c r="FL3" s="7">
        <f>IFERROR(AVERAGEIF('Данные 1st'!$S$2:$S$317,$A3,'Данные 1st'!$KH$2:$KH$317),"")</f>
        <v>2</v>
      </c>
      <c r="FM3" s="7">
        <f>IFERROR(AVERAGEIF('Данные 1st'!$S$2:$S$317,$A3,'Данные 1st'!$KI$2:$KI$317),"")</f>
        <v>2</v>
      </c>
      <c r="FN3" s="7">
        <f>IFERROR(AVERAGEIF('Данные 1st'!$S$2:$S$317,$A3,'Данные 1st'!$KJ$2:$KJ$317),"")</f>
        <v>0</v>
      </c>
      <c r="FO3" s="7">
        <f>IFERROR(AVERAGEIF('Данные 1st'!$S$2:$S$317,$A3,'Данные 1st'!$KK$2:$KK$317),"")</f>
        <v>1.5</v>
      </c>
      <c r="FP3" s="7">
        <f>IFERROR(AVERAGEIF('Данные 1st'!$S$2:$S$317,$A3,'Данные 1st'!$KL$2:$KL$317),"")</f>
        <v>1.5</v>
      </c>
      <c r="FQ3" s="7">
        <f>IFERROR(AVERAGEIF('Данные 1st'!$S$2:$S$317,$A3,'Данные 1st'!$KM$2:$KM$317),"")</f>
        <v>0</v>
      </c>
      <c r="FR3" s="7">
        <f>IFERROR(AVERAGEIF('Данные 1st'!$S$2:$S$317,$A3,'Данные 1st'!$KN$2:$KN$317),"")</f>
        <v>0</v>
      </c>
      <c r="FS3" s="7">
        <f>IFERROR(AVERAGEIF('Данные 1st'!$S$2:$S$317,$A3,'Данные 1st'!$KR$2:$KR$317),"")</f>
        <v>50</v>
      </c>
      <c r="FT3" s="7">
        <f>IFERROR(AVERAGEIF('Данные 1st'!$S$2:$S$317,$A3,'Данные 1st'!$KS$2:$KS$317),"")</f>
        <v>60</v>
      </c>
      <c r="FU3" s="7">
        <f>IFERROR(AVERAGEIF('Данные 1st'!$S$2:$S$317,$A3,'Данные 1st'!$KT$2:$KT$317),"")</f>
        <v>0</v>
      </c>
      <c r="FV3" s="7">
        <f>IFERROR(AVERAGEIF('Данные 1st'!$S$2:$S$317,$A3,'Данные 1st'!$KV$2:$KV$317),"")</f>
        <v/>
      </c>
      <c r="FW3" s="7">
        <f>IFERROR(AVERAGEIF('Данные 1st'!$S$2:$S$317,$A3,'Данные 1st'!$KW$2:$KW$317),"")</f>
        <v/>
      </c>
      <c r="FX3" s="7">
        <f>IFERROR(AVERAGEIF('Данные 1st'!$S$2:$S$317,$A3,'Данные 1st'!$KX$2:$KX$317),"")</f>
        <v/>
      </c>
      <c r="FY3" s="7">
        <f>IFERROR(AVERAGEIF('Данные 1st'!$S$2:$S$317,$A3,'Данные 1st'!$KY$2:$KY$317),"")</f>
        <v/>
      </c>
      <c r="FZ3" s="7">
        <f>IFERROR(AVERAGEIF('Данные 1st'!$S$2:$S$317,$A3,'Данные 1st'!$KZ$2:$KZ$317),"")</f>
        <v/>
      </c>
      <c r="GA3" s="7">
        <f>IFERROR(AVERAGEIF('Данные 1st'!$S$2:$S$317,$A3,'Данные 1st'!$LA$2:$LA$317),"")</f>
        <v/>
      </c>
      <c r="GB3" s="7">
        <f>IFERROR(AVERAGEIF('Данные 1st'!$S$2:$S$317,$A3,'Данные 1st'!$LB$2:$LB$317),"")</f>
        <v/>
      </c>
      <c r="GC3" s="7">
        <f>IFERROR(AVERAGEIF('Данные 1st'!$S$2:$S$317,$A3,'Данные 1st'!$LC$2:$LC$317),"")</f>
        <v/>
      </c>
      <c r="GD3" s="7">
        <f>IFERROR(AVERAGEIF('Данные 1st'!$S$2:$S$317,$A3,'Данные 1st'!$LD$2:$LD$317),"")</f>
        <v/>
      </c>
      <c r="GE3" s="7">
        <f>IFERROR(AVERAGEIF('Данные 1st'!$S$2:$S$317,$A3,'Данные 1st'!$LE$2:$LE$317),"")</f>
        <v/>
      </c>
      <c r="GF3" s="7">
        <f>IFERROR(AVERAGEIF('Данные 1st'!$S$2:$S$317,$A3,'Данные 1st'!$LF$2:$LF$317),"")</f>
        <v/>
      </c>
      <c r="GG3" s="7">
        <f>IFERROR(AVERAGEIF('Данные 1st'!$S$2:$S$317,$A3,'Данные 1st'!$LG$2:$LG$317),"")</f>
        <v/>
      </c>
      <c r="GH3" s="7">
        <f>IFERROR(AVERAGEIF('Данные 1st'!$S$2:$S$317,$A3,'Данные 1st'!$LH$2:$LH$317),"")</f>
        <v/>
      </c>
      <c r="GI3" s="7">
        <f>IFERROR(AVERAGEIF('Данные 1st'!$S$2:$S$317,$A3,'Данные 1st'!$LI$2:$LI$317),"")</f>
        <v/>
      </c>
      <c r="GJ3" s="7">
        <f>IFERROR(AVERAGEIF('Данные 1st'!$S$2:$S$317,$A3,'Данные 1st'!$LJ$2:$LJ$317),"")</f>
        <v/>
      </c>
      <c r="GK3" s="7">
        <f>IFERROR(AVERAGEIF('Данные 1st'!$S$2:$S$317,$A3,'Данные 1st'!$LK$2:$LK$317),"")</f>
        <v>480</v>
      </c>
      <c r="GL3" s="7">
        <f>IFERROR(AVERAGEIF('Данные 1st'!$S$2:$S$317,$A3,'Данные 1st'!$LV$2:$LV$317),"")</f>
        <v/>
      </c>
      <c r="GM3" s="7">
        <f>IFERROR(AVERAGEIF('Данные 1st'!$S$2:$S$317,$A3,'Данные 1st'!$LW$2:$LW$317),"")</f>
        <v/>
      </c>
      <c r="GN3" s="7">
        <f>IFERROR(AVERAGEIF('Данные 1st'!$S$2:$S$317,$A3,'Данные 1st'!$LX$2:$LX$317),"")</f>
        <v>350</v>
      </c>
      <c r="GO3" s="7">
        <f>IFERROR(AVERAGEIF('Данные 1st'!$S$2:$S$317,$A3,'Данные 1st'!$LY$2:$LY$317),"")</f>
        <v>2</v>
      </c>
      <c r="GP3" s="7">
        <f>IFERROR(AVERAGEIF('Данные 1st'!$S$2:$S$317,$A3,'Данные 1st'!$LZ$2:$LZ$317),"")</f>
        <v/>
      </c>
      <c r="GQ3" s="7">
        <f>IFERROR(AVERAGEIF('Данные 1st'!$S$2:$S$317,$A3,'Данные 1st'!$PG$2:$PG$317),"")</f>
        <v>1</v>
      </c>
      <c r="GR3" s="7">
        <f>IFERROR(AVERAGEIF('Данные 1st'!$S$2:$S$317,$A3,'Данные 1st'!$PX$2:$PX$317),"")</f>
        <v>56</v>
      </c>
      <c r="GS3" s="7">
        <f>IFERROR(AVERAGEIF('Данные 1st'!$S$2:$S$317,$A3,'Данные 1st'!$PY$2:$PY$317),"")</f>
        <v>57</v>
      </c>
      <c r="GT3" s="7">
        <f>IFERROR(AVERAGEIF('Данные 1st'!$S$2:$S$317,$A3,'Данные 1st'!$QA$2:$QA$317),"")</f>
        <v>1</v>
      </c>
      <c r="GU3" s="7">
        <f>IFERROR(AVERAGEIF('Данные 1st'!$S$2:$S$317,$A3,'Данные 1st'!$QB$2:$QB$317),"")</f>
        <v>1045</v>
      </c>
      <c r="GV3" s="7">
        <f>IFERROR(AVERAGEIF('Данные 1st'!$S$2:$S$317,$A3,'Данные 1st'!$QC$2:$QC$317),"")</f>
        <v>69</v>
      </c>
      <c r="GW3" s="7">
        <f>IFERROR(AVERAGEIF('Данные 1st'!$S$2:$S$317,$A3,'Данные 1st'!$QD$2:$QD$317),"")</f>
        <v>69</v>
      </c>
      <c r="GX3" s="7">
        <f>IFERROR(AVERAGEIF('Данные 1st'!$S$2:$S$317,$A3,'Данные 1st'!$QF$2:$QF$317),"")</f>
        <v>1</v>
      </c>
      <c r="GY3" s="7">
        <f>IFERROR(AVERAGEIF('Данные 1st'!$S$2:$S$317,$A3,'Данные 1st'!$QG$2:$QG$317),"")</f>
        <v>1069</v>
      </c>
      <c r="GZ3" s="7">
        <f>IFERROR(AVERAGEIF('Данные 1st'!$S$2:$S$317,$A3,'Данные 1st'!$QH$2:$QH$317),"")</f>
        <v>66</v>
      </c>
      <c r="HA3" s="7">
        <f>IFERROR(AVERAGEIF('Данные 1st'!$S$2:$S$317,$A3,'Данные 1st'!$QI$2:$QI$317),"")</f>
        <v>66</v>
      </c>
      <c r="HB3" s="7">
        <f>IFERROR(AVERAGEIF('Данные 1st'!$S$2:$S$317,$A3,'Данные 1st'!$QK$2:$QK$317),"")</f>
        <v>1</v>
      </c>
      <c r="HC3" s="7">
        <f>IFERROR(AVERAGEIF('Данные 1st'!$S$2:$S$317,$A3,'Данные 1st'!$QL$2:$QL$317),"")</f>
        <v>1069</v>
      </c>
      <c r="HD3" s="7">
        <f>IFERROR(AVERAGEIF('Данные 1st'!$S$2:$S$317,$A3,'Данные 1st'!$QM$2:$QM$317),"")</f>
        <v>62</v>
      </c>
      <c r="HE3" s="7">
        <f>IFERROR(AVERAGEIF('Данные 1st'!$S$2:$S$317,$A3,'Данные 1st'!$QN$2:$QN$317),"")</f>
        <v>62</v>
      </c>
      <c r="HF3" s="7">
        <f>IFERROR(AVERAGEIF('Данные 1st'!$S$2:$S$317,$A3,'Данные 1st'!$QP$2:$QP$317),"")</f>
        <v>1</v>
      </c>
      <c r="HG3" s="7">
        <f>IFERROR(AVERAGEIF('Данные 1st'!$S$2:$S$317,$A3,'Данные 1st'!$QQ$2:$QQ$317),"")</f>
        <v>1062</v>
      </c>
      <c r="HH3" s="7">
        <f>IFERROR(AVERAGEIF('Данные 1st'!$S$2:$S$317,$A3,'Данные 1st'!$QR$2:$QR$317),"")</f>
        <v/>
      </c>
      <c r="HI3" s="7">
        <f>IFERROR(AVERAGEIF('Данные 1st'!$S$2:$S$317,$A3,'Данные 1st'!$QS$2:$QS$317),"")</f>
        <v/>
      </c>
      <c r="HJ3" s="7">
        <f>IFERROR(AVERAGEIF('Данные 1st'!$S$2:$S$317,$A3,'Данные 1st'!$QU$2:$QU$317),"")</f>
        <v/>
      </c>
      <c r="HK3" s="7">
        <f>IFERROR(AVERAGEIF('Данные 1st'!$S$2:$S$317,$A3,'Данные 1st'!$QV$2:$QV$317),"")</f>
        <v/>
      </c>
      <c r="HL3" s="7">
        <f>IFERROR(AVERAGEIF('Данные 1st'!$S$2:$S$317,$A3,'Данные 1st'!$QW$2:$QW$317),"")</f>
        <v>82</v>
      </c>
      <c r="HM3" s="7">
        <f>IFERROR(AVERAGEIF('Данные 1st'!$S$2:$S$317,$A3,'Данные 1st'!$QX$2:$QX$317),"")</f>
        <v>89</v>
      </c>
      <c r="HN3" s="7">
        <f>IFERROR(AVERAGEIF('Данные 1st'!$S$2:$S$317,$A3,'Данные 1st'!$QZ$2:$QZ$317),"")</f>
        <v>3</v>
      </c>
      <c r="HO3" s="7">
        <f>IFERROR(AVERAGEIF('Данные 1st'!$S$2:$S$317,$A3,'Данные 1st'!$RA$2:$RA$317),"")</f>
        <v>66</v>
      </c>
      <c r="HP3" s="7">
        <f>IFERROR(AVERAGEIF('Данные 1st'!$S$2:$S$317,$A3,'Данные 1st'!$RB$2:$RB$317),"")</f>
        <v>66</v>
      </c>
      <c r="HQ3" s="7">
        <f>IFERROR(AVERAGEIF('Данные 1st'!$S$2:$S$317,$A3,'Данные 1st'!$RD$2:$RD$317),"")</f>
        <v/>
      </c>
      <c r="HR3" s="7">
        <f>IFERROR(AVERAGEIF('Данные 1st'!$S$2:$S$317,$A3,'Данные 1st'!$RE$2:$RE$317),"")</f>
        <v>0</v>
      </c>
      <c r="HS3" s="7">
        <f>IFERROR(AVERAGEIF('Данные 1st'!$S$2:$S$317,$A3,'Данные 1st'!$RF$2:$RF$317),"")</f>
        <v>1</v>
      </c>
      <c r="HT3" s="7">
        <f>IFERROR(AVERAGEIF('Данные 1st'!$S$2:$S$317,$A3,'Данные 1st'!$RG$2:$RG$317),"")</f>
        <v/>
      </c>
      <c r="HU3" s="7">
        <f>IFERROR(AVERAGEIF('Данные 1st'!$S$2:$S$317,$A3,'Данные 1st'!$RH$2:$RH$317),"")</f>
        <v/>
      </c>
      <c r="HV3" s="7">
        <f>IFERROR(AVERAGEIF('Данные 1st'!$S$2:$S$317,$A3,'Данные 1st'!$RI$2:$RI$317),"")</f>
        <v/>
      </c>
      <c r="HW3" s="7">
        <f>IFERROR(AVERAGEIF('Данные 1st'!$S$2:$S$317,$A3,'Данные 1st'!$RJ$2:$RJ$317),"")</f>
        <v>3</v>
      </c>
      <c r="HX3" s="7">
        <f>IFERROR(AVERAGEIF('Данные 1st'!$S$2:$S$317,$A3,'Данные 1st'!$RK$2:$RK$317),"")</f>
        <v>2</v>
      </c>
      <c r="HY3" s="7">
        <f>IFERROR(AVERAGEIF('Данные 1st'!$S$2:$S$317,$A3,'Данные 1st'!$RL$2:$RL$317),"")</f>
        <v>1</v>
      </c>
      <c r="HZ3" s="7">
        <f>IFERROR(AVERAGEIF('Данные 1st'!$S$2:$S$317,$A3,'Данные 1st'!$RM$2:$RM$317),"")</f>
        <v/>
      </c>
      <c r="IA3" s="7">
        <f>IFERROR(AVERAGEIF('Данные 1st'!$S$2:$S$317,$A3,'Данные 1st'!$RN$2:$RN$317),"")</f>
        <v/>
      </c>
      <c r="IB3" s="7">
        <f>IFERROR(AVERAGEIF('Данные 1st'!$S$2:$S$317,$A3,'Данные 1st'!$RO$2:$RO$317),"")</f>
        <v>467</v>
      </c>
      <c r="IC3" s="7">
        <f>IFERROR(AVERAGEIF('Данные 1st'!$S$2:$S$317,$A3,'Данные 1st'!$RP$2:$RP$317),"")</f>
        <v>105</v>
      </c>
      <c r="ID3" s="7">
        <f>IFERROR(AVERAGEIF('Данные 1st'!$S$2:$S$317,$A3,'Данные 1st'!$RQ$2:$RQ$317),"")</f>
        <v>849</v>
      </c>
      <c r="IE3" s="7">
        <f>IFERROR(AVERAGEIF('Данные 1st'!$S$2:$S$317,$A3,'Данные 1st'!$RR$2:$RR$317),"")</f>
        <v/>
      </c>
      <c r="IF3" s="7">
        <f>IFERROR(AVERAGEIF('Данные 1st'!$S$2:$S$317,$A3,'Данные 1st'!$RS$2:$RS$317),"")</f>
        <v/>
      </c>
      <c r="IG3" s="7">
        <f>IFERROR(AVERAGEIF('Данные 1st'!$S$2:$S$317,$A3,'Данные 1st'!$RT$2:$RT$317),"")</f>
        <v>147</v>
      </c>
      <c r="IH3" s="7">
        <f>IFERROR(AVERAGEIF('Данные 1st'!$S$2:$S$317,$A3,'Данные 1st'!$RU$2:$RU$317),"")</f>
        <v>44</v>
      </c>
      <c r="II3" s="7">
        <f>IFERROR(AVERAGEIF('Данные 1st'!$S$2:$S$317,$A3,'Данные 1st'!$RX$2:$RX$317),"")</f>
        <v>15</v>
      </c>
      <c r="IJ3" s="7">
        <f>IFERROR(AVERAGEIF('Данные 1st'!$S$2:$S$317,$A3,'Данные 1st'!$RY$2:$RY$317),"")</f>
        <v>4</v>
      </c>
      <c r="IK3" s="7">
        <f>IFERROR(AVERAGEIF('Данные 1st'!$S$2:$S$317,$A3,'Данные 1st'!$SA$2:$SA$317),"")</f>
        <v>15</v>
      </c>
      <c r="IL3" s="7">
        <f>IFERROR(AVERAGEIF('Данные 1st'!$S$2:$S$317,$A3,'Данные 1st'!$SD$2:$SD$317),"")</f>
        <v>1</v>
      </c>
      <c r="IM3" s="7">
        <f>IFERROR(AVERAGEIF('Данные 1st'!$S$2:$S$317,$A3,'Данные 1st'!$SG$2:$SG$317),"")</f>
        <v/>
      </c>
      <c r="IN3" s="7">
        <f>IFERROR(AVERAGEIF('Данные 1st'!$S$2:$S$317,$A3,'Данные 1st'!$SH$2:$SH$317),"")</f>
        <v>0.995</v>
      </c>
      <c r="IO3" s="7">
        <f>IFERROR(AVERAGEIF('Данные 1st'!$S$2:$S$317,$A3,'Данные 1st'!$SI$2:$SI$317),"")</f>
        <v>0.995</v>
      </c>
      <c r="IP3" s="7">
        <f>IFERROR(AVERAGEIF('Данные 1st'!$S$2:$S$317,$A3,'Данные 1st'!$SJ$2:$SJ$317),"")</f>
        <v>0.995</v>
      </c>
      <c r="IQ3" s="7">
        <f>IFERROR(AVERAGEIF('Данные 1st'!$S$2:$S$317,$A3,'Данные 1st'!$SK$2:$SK$317),"")</f>
        <v>15</v>
      </c>
      <c r="IR3" s="7">
        <f>IFERROR(AVERAGEIF('Данные 1st'!$S$2:$S$317,$A3,'Данные 1st'!$SL$2:$SL$317),"")</f>
        <v>0</v>
      </c>
      <c r="IS3" s="7">
        <f>IFERROR(AVERAGEIF('Данные 1st'!$S$2:$S$317,$A3,'Данные 1st'!$SM$2:$SM$317),"")</f>
        <v>0</v>
      </c>
      <c r="IT3" s="7">
        <f>IFERROR(AVERAGEIF('Данные 1st'!$S$2:$S$317,$A3,'Данные 1st'!$SN$2:$SN$317),"")</f>
        <v>0</v>
      </c>
      <c r="IU3" s="7">
        <f>IFERROR(AVERAGEIF('Данные 1st'!$S$2:$S$317,$A3,'Данные 1st'!$SO$2:$SO$317),"")</f>
        <v>0</v>
      </c>
      <c r="IV3" s="7">
        <f>IFERROR(AVERAGEIF('Данные 1st'!$S$2:$S$317,$A3,'Данные 1st'!$SP$2:$SP$317),"")</f>
        <v>0</v>
      </c>
      <c r="IW3" s="7">
        <f>IFERROR(AVERAGEIF('Данные 1st'!$S$2:$S$317,$A3,'Данные 1st'!$SQ$2:$SQ$317),"")</f>
        <v>0</v>
      </c>
      <c r="IX3" s="7">
        <f>IFERROR(AVERAGEIF('Данные 1st'!$S$2:$S$317,$A3,'Данные 1st'!$SR$2:$SR$317),"")</f>
        <v>0</v>
      </c>
      <c r="IY3" s="7">
        <f>IFERROR(AVERAGEIF('Данные 1st'!$S$2:$S$317,$A3,'Данные 1st'!$SS$2:$SS$317),"")</f>
        <v>0</v>
      </c>
      <c r="IZ3" s="7">
        <f>IFERROR(AVERAGEIF('Данные 1st'!$S$2:$S$317,$A3,'Данные 1st'!$ST$2:$ST$317),"")</f>
        <v>0</v>
      </c>
      <c r="JA3" s="7">
        <f>IFERROR(AVERAGEIF('Данные 1st'!$S$2:$S$317,$A3,'Данные 1st'!$SU$2:$SU$317),"")</f>
        <v>0</v>
      </c>
      <c r="JB3" s="7">
        <f>IFERROR(AVERAGEIF('Данные 1st'!$S$2:$S$317,$A3,'Данные 1st'!$SV$2:$SV$317),"")</f>
        <v>0</v>
      </c>
      <c r="JC3" s="7">
        <f>IFERROR(AVERAGEIF('Данные 1st'!$S$2:$S$317,$A3,'Данные 1st'!$SW$2:$SW$317),"")</f>
        <v>0</v>
      </c>
      <c r="JD3" s="7">
        <f>IFERROR(AVERAGEIF('Данные 1st'!$S$2:$S$317,$A3,'Данные 1st'!$SX$2:$SX$317),"")</f>
        <v>0</v>
      </c>
      <c r="JE3" s="7">
        <f>IFERROR(AVERAGEIF('Данные 1st'!$S$2:$S$317,$A3,'Данные 1st'!$SY$2:$SY$317),"")</f>
        <v>1</v>
      </c>
      <c r="JF3" s="7">
        <f>IFERROR(AVERAGEIF('Данные 1st'!$S$2:$S$317,$A3,'Данные 1st'!$SZ$2:$SZ$317),"")</f>
        <v/>
      </c>
      <c r="JG3" s="7">
        <f>IFERROR(AVERAGEIF('Данные 1st'!$S$2:$S$317,$A3,'Данные 1st'!$TA$2:$TA$317),"")</f>
        <v/>
      </c>
      <c r="JH3" s="7">
        <f>IFERROR(AVERAGEIF('Данные 1st'!$S$2:$S$317,$A3,'Данные 1st'!$TB$2:$TB$317),"")</f>
        <v>0</v>
      </c>
      <c r="JI3" s="7">
        <f>IFERROR(AVERAGEIF('Данные 1st'!$S$2:$S$317,$A3,'Данные 1st'!$TC$2:$TC$317),"")</f>
        <v>0</v>
      </c>
      <c r="JJ3" s="7">
        <f>IFERROR(AVERAGEIF('Данные 1st'!$S$2:$S$317,$A3,'Данные 1st'!$TD$2:$TD$317),"")</f>
        <v>7.5</v>
      </c>
      <c r="JK3" s="7">
        <f>IFERROR(AVERAGEIF('Данные 1st'!$S$2:$S$317,$A3,'Данные 1st'!$TN$2:$TN$317),"")</f>
        <v>0</v>
      </c>
      <c r="JL3">
        <f>COUNTIF('Данные 2st'!$Q$2:$Q$317,$A3)</f>
        <v>1</v>
      </c>
      <c r="JM3" s="6" t="s">
        <v>2336</v>
      </c>
      <c r="JN3" s="6" t="s">
        <v>513</v>
      </c>
      <c r="JO3" s="6" t="s">
        <v>517</v>
      </c>
      <c r="JP3" s="6" t="s">
        <v>2332</v>
      </c>
      <c r="JQ3" s="7">
        <f>IFERROR(AVERAGEIF('Данные 2st'!$Q$2:$Q$317,$A3,'Данные 2st'!$AC$2:$AC$317),"")</f>
        <v>15</v>
      </c>
      <c r="JR3" s="7">
        <f>IFERROR(AVERAGEIF('Данные 2st'!$Q$2:$Q$317,$A3,'Данные 2st'!$AF$2:$AF$317),"")</f>
        <v>3103</v>
      </c>
      <c r="JS3" s="7">
        <f>IFERROR(AVERAGEIF('Данные 2st'!$Q$2:$Q$317,$A3,'Данные 2st'!$AW$2:$AW$317),"")</f>
        <v>6.4</v>
      </c>
      <c r="JT3" s="7">
        <f>IFERROR(AVERAGEIF('Данные 2st'!$Q$2:$Q$317,$A3,'Данные 2st'!$AX$2:$AX$317),"")</f>
        <v>-6</v>
      </c>
      <c r="JU3" s="7">
        <f>IFERROR(AVERAGEIF('Данные 2st'!$Q$2:$Q$317,$A3,'Данные 2st'!$AY$2:$AY$317),"")</f>
        <v>76</v>
      </c>
      <c r="JV3" s="7">
        <f>IFERROR(AVERAGEIF('Данные 2st'!$Q$2:$Q$317,$A3,'Данные 2st'!$AZ$2:$AZ$317),"")</f>
        <v>67</v>
      </c>
      <c r="JW3" s="7">
        <f>IFERROR(AVERAGEIF('Данные 2st'!$Q$2:$Q$317,$A3,'Данные 2st'!$BA$2:$BA$317),"")</f>
        <v/>
      </c>
      <c r="JX3" s="7">
        <f>IFERROR(AVERAGEIF('Данные 2st'!$Q$2:$Q$317,$A3,'Данные 2st'!$BB$2:$BB$317),"")</f>
        <v/>
      </c>
      <c r="JY3" s="7">
        <f>IFERROR(AVERAGEIF('Данные 2st'!$Q$2:$Q$317,$A3,'Данные 2st'!$BC$2:$BC$317),"")</f>
        <v/>
      </c>
      <c r="JZ3" s="7">
        <f>IFERROR(AVERAGEIF('Данные 2st'!$Q$2:$Q$317,$A3,'Данные 2st'!$BH$2:$BH$317),"")</f>
        <v>76</v>
      </c>
      <c r="KA3" s="7">
        <f>IFERROR(AVERAGEIF('Данные 2st'!$Q$2:$Q$317,$A3,'Данные 2st'!$BI$2:$BI$317),"")</f>
        <v>9</v>
      </c>
      <c r="KB3" s="7">
        <f>IFERROR(AVERAGEIF('Данные 2st'!$Q$2:$Q$317,$A3,'Данные 2st'!$BJ$2:$BJ$317),"")</f>
        <v>67</v>
      </c>
      <c r="KC3" s="7">
        <f>IFERROR(AVERAGEIF('Данные 2st'!$Q$2:$Q$317,$A3,'Данные 2st'!$BK$2:$BK$317),"")</f>
        <v>3.5</v>
      </c>
      <c r="KD3" s="7">
        <f>IFERROR(AVERAGEIF('Данные 2st'!$Q$2:$Q$317,$A3,'Данные 2st'!$BL$2:$BL$317),"")</f>
        <v>152</v>
      </c>
      <c r="KE3" s="7">
        <f>IFERROR(AVERAGEIF('Данные 2st'!$Q$2:$Q$317,$A3,'Данные 2st'!$BM$2:$BM$317),"")</f>
        <v>-6</v>
      </c>
      <c r="KF3" s="7">
        <f>IFERROR(AVERAGEIF('Данные 2st'!$Q$2:$Q$317,$A3,'Данные 2st'!$BN$2:$BN$317),"")</f>
        <v>0</v>
      </c>
      <c r="KG3" s="7">
        <f>IFERROR(AVERAGEIF('Данные 2st'!$Q$2:$Q$317,$A3,'Данные 2st'!$BO$2:$BO$317),"")</f>
        <v/>
      </c>
      <c r="KH3" s="7">
        <f>IFERROR(AVERAGEIF('Данные 2st'!$Q$2:$Q$317,$A3,'Данные 2st'!$BP$2:$BP$317),"")</f>
        <v>0</v>
      </c>
      <c r="KI3" s="7">
        <f>IFERROR(AVERAGEIF('Данные 2st'!$Q$2:$Q$317,$A3,'Данные 2st'!$BR$2:$BR$317),"")</f>
        <v>145</v>
      </c>
      <c r="KJ3" s="7">
        <f>IFERROR(AVERAGEIF('Данные 2st'!$Q$2:$Q$317,$A3,'Данные 2st'!$BS$2:$BS$317),"")</f>
        <v>135</v>
      </c>
      <c r="KK3" s="7">
        <f>IFERROR(AVERAGEIF('Данные 2st'!$Q$2:$Q$317,$A3,'Данные 2st'!$BT$2:$BT$317),"")</f>
        <v>1765</v>
      </c>
      <c r="KL3" s="7">
        <f>IFERROR(AVERAGEIF('Данные 2st'!$Q$2:$Q$317,$A3,'Данные 2st'!$CV$2:$CV$317),"")</f>
        <v>99</v>
      </c>
      <c r="KM3" s="7">
        <f>IFERROR(AVERAGEIF('Данные 2st'!$Q$2:$Q$317,$A3,'Данные 2st'!$CW$2:$CW$317),"")</f>
        <v>3</v>
      </c>
      <c r="KN3" s="7">
        <f>IFERROR(AVERAGEIF('Данные 2st'!$Q$2:$Q$317,$A3,'Данные 2st'!$CX$2:$CX$317),"")</f>
        <v>59</v>
      </c>
      <c r="KO3" s="7">
        <f>IFERROR(AVERAGEIF('Данные 2st'!$Q$2:$Q$317,$A3,'Данные 2st'!$CY$2:$CY$317),"")</f>
        <v>5</v>
      </c>
      <c r="KP3" s="7">
        <f>IFERROR(AVERAGEIF('Данные 2st'!$Q$2:$Q$317,$A3,'Данные 2st'!$CZ$2:$CZ$317),"")</f>
        <v>115</v>
      </c>
      <c r="KQ3" s="7">
        <f>IFERROR(AVERAGEIF('Данные 2st'!$Q$2:$Q$317,$A3,'Данные 2st'!$DA$2:$DA$317),"")</f>
        <v>5</v>
      </c>
      <c r="KR3" s="7">
        <f>IFERROR(AVERAGEIF('Данные 2st'!$Q$2:$Q$317,$A3,'Данные 2st'!$DB$2:$DB$317),"")</f>
        <v>7500</v>
      </c>
      <c r="KS3" s="7">
        <f>IFERROR(AVERAGEIF('Данные 2st'!$Q$2:$Q$317,$A3,'Данные 2st'!$DC$2:$DC$317),"")</f>
        <v>130</v>
      </c>
      <c r="KT3" s="7">
        <f>IFERROR(AVERAGEIF('Данные 2st'!$Q$2:$Q$317,$A3,'Данные 2st'!$DD$2:$DD$317),"")</f>
        <v>273</v>
      </c>
      <c r="KU3" s="7">
        <f>IFERROR(AVERAGEIF('Данные 2st'!$Q$2:$Q$317,$A3,'Данные 2st'!$DE$2:$DE$317),"")</f>
        <v>1863</v>
      </c>
      <c r="KV3" s="7">
        <f>IFERROR(AVERAGEIF('Данные 2st'!$Q$2:$Q$317,$A3,'Данные 2st'!$DF$2:$DF$317),"")</f>
        <v>1863</v>
      </c>
      <c r="KW3" s="7">
        <f>IFERROR(AVERAGEIF('Данные 2st'!$Q$2:$Q$317,$A3,'Данные 2st'!$DG$2:$DG$317),"")</f>
        <v>1875</v>
      </c>
      <c r="KX3" s="7">
        <f>IFERROR(AVERAGEIF('Данные 2st'!$Q$2:$Q$317,$A3,'Данные 2st'!$DH$2:$DH$317),"")</f>
        <v>3</v>
      </c>
      <c r="KY3" s="7">
        <f>IFERROR(AVERAGEIF('Данные 2st'!$Q$2:$Q$317,$A3,'Данные 2st'!$DI$2:$DI$317),"")</f>
        <v/>
      </c>
      <c r="KZ3" s="7">
        <f>IFERROR(AVERAGEIF('Данные 2st'!$Q$2:$Q$317,$A3,'Данные 2st'!$DK$2:$DK$317),"")</f>
        <v>145</v>
      </c>
      <c r="LA3" s="7">
        <f>IFERROR(AVERAGEIF('Данные 2st'!$Q$2:$Q$317,$A3,'Данные 2st'!$DM$2:$DM$317),"")</f>
        <v>67</v>
      </c>
      <c r="LB3" s="7">
        <f>IFERROR(AVERAGEIF('Данные 2st'!$Q$2:$Q$317,$A3,'Данные 2st'!$DN$2:$DN$317),"")</f>
        <v>0.84</v>
      </c>
      <c r="LC3" s="7">
        <f>IFERROR(AVERAGEIF('Данные 2st'!$Q$2:$Q$317,$A3,'Данные 2st'!$DO$2:$DO$317),"")</f>
        <v>1</v>
      </c>
      <c r="LD3" s="7">
        <f>IFERROR(AVERAGEIF('Данные 2st'!$Q$2:$Q$317,$A3,'Данные 2st'!$DP$2:$DP$317),"")</f>
        <v>1768</v>
      </c>
      <c r="LE3" s="7">
        <f>IFERROR(AVERAGEIF('Данные 2st'!$Q$2:$Q$317,$A3,'Данные 2st'!$DQ$2:$DQ$317),"")</f>
        <v>469</v>
      </c>
      <c r="LF3" s="7">
        <f>IFERROR(AVERAGEIF('Данные 2st'!$Q$2:$Q$317,$A3,'Данные 2st'!$DS$2:$DS$317),"")</f>
        <v>135</v>
      </c>
      <c r="LG3" s="7">
        <f>IFERROR(AVERAGEIF('Данные 2st'!$Q$2:$Q$317,$A3,'Данные 2st'!$DU$2:$DU$317),"")</f>
        <v>67</v>
      </c>
      <c r="LH3" s="7">
        <f>IFERROR(AVERAGEIF('Данные 2st'!$Q$2:$Q$317,$A3,'Данные 2st'!$DV$2:$DV$317),"")</f>
        <v>0.84</v>
      </c>
      <c r="LI3" s="7">
        <f>IFERROR(AVERAGEIF('Данные 2st'!$Q$2:$Q$317,$A3,'Данные 2st'!$DW$2:$DW$317),"")</f>
        <v>1</v>
      </c>
      <c r="LJ3" s="7">
        <f>IFERROR(AVERAGEIF('Данные 2st'!$Q$2:$Q$317,$A3,'Данные 2st'!$DX$2:$DX$317),"")</f>
        <v>1775</v>
      </c>
      <c r="LK3" s="7">
        <f>IFERROR(AVERAGEIF('Данные 2st'!$Q$2:$Q$317,$A3,'Данные 2st'!$DY$2:$DY$317),"")</f>
        <v>438</v>
      </c>
      <c r="LL3" s="7">
        <f>IFERROR(AVERAGEIF('Данные 2st'!$Q$2:$Q$317,$A3,'Данные 2st'!$EA$2:$EA$317),"")</f>
        <v>33</v>
      </c>
      <c r="LM3" s="7">
        <f>IFERROR(AVERAGEIF('Данные 2st'!$Q$2:$Q$317,$A3,'Данные 2st'!$EC$2:$EC$317),"")</f>
        <v>0.4</v>
      </c>
      <c r="LN3" s="7">
        <f>IFERROR(AVERAGEIF('Данные 2st'!$Q$2:$Q$317,$A3,'Данные 2st'!$ED$2:$ED$317),"")</f>
        <v>1768</v>
      </c>
      <c r="LO3" s="7">
        <f>IFERROR(AVERAGEIF('Данные 2st'!$Q$2:$Q$317,$A3,'Данные 2st'!$EE$2:$EE$317),"")</f>
        <v>51</v>
      </c>
      <c r="LP3" s="7">
        <f>IFERROR(AVERAGEIF('Данные 2st'!$Q$2:$Q$317,$A3,'Данные 2st'!$EG$2:$EG$317),"")</f>
        <v>33</v>
      </c>
      <c r="LQ3" s="7">
        <f>IFERROR(AVERAGEIF('Данные 2st'!$Q$2:$Q$317,$A3,'Данные 2st'!$EI$2:$EI$317),"")</f>
        <v>0.4</v>
      </c>
      <c r="LR3" s="7">
        <f>IFERROR(AVERAGEIF('Данные 2st'!$Q$2:$Q$317,$A3,'Данные 2st'!$EJ$2:$EJ$317),"")</f>
        <v>1775</v>
      </c>
      <c r="LS3" s="7">
        <f>IFERROR(AVERAGEIF('Данные 2st'!$Q$2:$Q$317,$A3,'Данные 2st'!$EK$2:$EK$317),"")</f>
        <v>51</v>
      </c>
      <c r="LT3" s="7">
        <f>IFERROR(AVERAGEIF('Данные 2st'!$Q$2:$Q$317,$A3,'Данные 2st'!$EM$2:$EM$317),"")</f>
        <v>12</v>
      </c>
      <c r="LU3" s="7">
        <f>IFERROR(AVERAGEIF('Данные 2st'!$Q$2:$Q$317,$A3,'Данные 2st'!$EN$2:$EN$317),"")</f>
        <v>0.5</v>
      </c>
      <c r="LV3" s="7">
        <f>IFERROR(AVERAGEIF('Данные 2st'!$Q$2:$Q$317,$A3,'Данные 2st'!$EO$2:$EO$317),"")</f>
        <v>0.96</v>
      </c>
      <c r="LW3" s="7">
        <f>IFERROR(AVERAGEIF('Данные 2st'!$Q$2:$Q$317,$A3,'Данные 2st'!$EP$2:$EP$317),"")</f>
        <v>1775.56</v>
      </c>
      <c r="LX3" s="7">
        <f>IFERROR(AVERAGEIF('Данные 2st'!$Q$2:$Q$317,$A3,'Данные 2st'!$EQ$2:$EQ$317),"")</f>
        <v>22749.36</v>
      </c>
      <c r="LY3" s="7">
        <f>IFERROR(AVERAGEIF('Данные 2st'!$Q$2:$Q$317,$A3,'Данные 2st'!$ER$2:$ER$317),"")</f>
        <v>2505.36</v>
      </c>
      <c r="LZ3" s="7">
        <f>IFERROR(AVERAGEIF('Данные 2st'!$Q$2:$Q$317,$A3,'Данные 2st'!$ES$2:$ES$317),"")</f>
        <v>0</v>
      </c>
      <c r="MA3" s="7">
        <f>IFERROR(AVERAGEIF('Данные 2st'!$Q$2:$Q$317,$A3,'Данные 2st'!$ET$2:$ET$317),"")</f>
        <v>0</v>
      </c>
      <c r="MB3" s="7">
        <f>IFERROR(AVERAGEIF('Данные 2st'!$Q$2:$Q$317,$A3,'Данные 2st'!$EU$2:$EU$317),"")</f>
        <v>1</v>
      </c>
      <c r="MC3" s="7">
        <f>IFERROR(AVERAGEIF('Данные 2st'!$Q$2:$Q$317,$A3,'Данные 2st'!$EV$2:$EV$317),"")</f>
        <v>25255</v>
      </c>
      <c r="MD3" s="7">
        <f>IFERROR(AVERAGEIF('Данные 2st'!$Q$2:$Q$317,$A3,'Данные 2st'!$EW$2:$EW$317),"")</f>
        <v>304</v>
      </c>
      <c r="ME3" s="7">
        <f>IFERROR(AVERAGEIF('Данные 2st'!$Q$2:$Q$317,$A3,'Данные 2st'!$EY$2:$EY$317),"")</f>
        <v>154</v>
      </c>
      <c r="MF3" s="7">
        <f>IFERROR(AVERAGEIF('Данные 2st'!$Q$2:$Q$317,$A3,'Данные 2st'!$FA$2:$FA$317),"")</f>
        <v>4.2</v>
      </c>
      <c r="MG3" s="7">
        <f>IFERROR(AVERAGEIF('Данные 2st'!$Q$2:$Q$317,$A3,'Данные 2st'!$FB$2:$FB$317),"")</f>
        <v>1</v>
      </c>
      <c r="MH3" s="7">
        <f>IFERROR(AVERAGEIF('Данные 2st'!$Q$2:$Q$317,$A3,'Данные 2st'!$FC$2:$FC$317),"")</f>
        <v>1</v>
      </c>
      <c r="MI3" s="7">
        <f>IFERROR(AVERAGEIF('Данные 2st'!$Q$2:$Q$317,$A3,'Данные 2st'!$FD$2:$FD$317),"")</f>
        <v>1810</v>
      </c>
      <c r="MJ3" s="7">
        <f>IFERROR(AVERAGEIF('Данные 2st'!$Q$2:$Q$317,$A3,'Данные 2st'!$FE$2:$FE$317),"")</f>
        <v>1326</v>
      </c>
      <c r="MK3" s="7">
        <f>IFERROR(AVERAGEIF('Данные 2st'!$Q$2:$Q$317,$A3,'Данные 2st'!$FG$2:$FG$317),"")</f>
        <v>162</v>
      </c>
      <c r="ML3" s="7">
        <f>IFERROR(AVERAGEIF('Данные 2st'!$Q$2:$Q$317,$A3,'Данные 2st'!$FI$2:$FI$317),"")</f>
        <v>4.2</v>
      </c>
      <c r="MM3" s="7">
        <f>IFERROR(AVERAGEIF('Данные 2st'!$Q$2:$Q$317,$A3,'Данные 2st'!$FJ$2:$FJ$317),"")</f>
        <v>1810</v>
      </c>
      <c r="MN3" s="7">
        <f>IFERROR(AVERAGEIF('Данные 2st'!$Q$2:$Q$317,$A3,'Данные 2st'!$FK$2:$FK$317),"")</f>
        <v>1464</v>
      </c>
      <c r="MO3" s="7">
        <f>IFERROR(AVERAGEIF('Данные 2st'!$Q$2:$Q$317,$A3,'Данные 2st'!$FP$2:$FP$317),"")</f>
        <v>1810</v>
      </c>
      <c r="MP3" s="7">
        <f>IFERROR(AVERAGEIF('Данные 2st'!$Q$2:$Q$317,$A3,'Данные 2st'!$FQ$2:$FQ$317),"")</f>
        <v>153</v>
      </c>
      <c r="MQ3" s="7">
        <f>IFERROR(AVERAGEIF('Данные 2st'!$Q$2:$Q$317,$A3,'Данные 2st'!$FS$2:$FS$317),"")</f>
        <v>166</v>
      </c>
      <c r="MR3" s="7">
        <f>IFERROR(AVERAGEIF('Данные 2st'!$Q$2:$Q$317,$A3,'Данные 2st'!$FU$2:$FU$317),"")</f>
        <v>0.4</v>
      </c>
      <c r="MS3" s="7">
        <f>IFERROR(AVERAGEIF('Данные 2st'!$Q$2:$Q$317,$A3,'Данные 2st'!$FV$2:$FV$317),"")</f>
        <v>1810</v>
      </c>
      <c r="MT3" s="7">
        <f>IFERROR(AVERAGEIF('Данные 2st'!$Q$2:$Q$317,$A3,'Данные 2st'!$FW$2:$FW$317),"")</f>
        <v>134</v>
      </c>
      <c r="MU3" s="7">
        <f>IFERROR(AVERAGEIF('Данные 2st'!$Q$2:$Q$317,$A3,'Данные 2st'!$FY$2:$FY$317),"")</f>
        <v/>
      </c>
      <c r="MV3" s="7">
        <f>IFERROR(AVERAGEIF('Данные 2st'!$Q$2:$Q$317,$A3,'Данные 2st'!$GB$2:$GB$317),"")</f>
        <v/>
      </c>
      <c r="MW3" s="7">
        <f>IFERROR(AVERAGEIF('Данные 2st'!$Q$2:$Q$317,$A3,'Данные 2st'!$GC$2:$GC$317),"")</f>
        <v/>
      </c>
      <c r="MX3" s="7">
        <f>IFERROR(AVERAGEIF('Данные 2st'!$Q$2:$Q$317,$A3,'Данные 2st'!$GD$2:$GD$317),"")</f>
        <v>3077</v>
      </c>
      <c r="MY3" s="7">
        <f>IFERROR(AVERAGEIF('Данные 2st'!$Q$2:$Q$317,$A3,'Данные 2st'!$GN$2:$GN$317),"")</f>
        <v/>
      </c>
      <c r="MZ3" s="7">
        <f>IFERROR(AVERAGEIF('Данные 2st'!$Q$2:$Q$317,$A3,'Данные 2st'!$GQ$2:$GQ$317),"")</f>
        <v>0</v>
      </c>
      <c r="NA3" s="7">
        <f>IFERROR(AVERAGEIF('Данные 2st'!$Q$2:$Q$317,$A3,'Данные 2st'!$GV$2:$GV$317),"")</f>
        <v>8.8</v>
      </c>
      <c r="NB3" s="7">
        <f>IFERROR(AVERAGEIF('Данные 2st'!$Q$2:$Q$317,$A3,'Данные 2st'!$GW$2:$GW$317),"")</f>
        <v>10.7</v>
      </c>
      <c r="NC3" s="7">
        <f>IFERROR(AVERAGEIF('Данные 2st'!$Q$2:$Q$317,$A3,'Данные 2st'!$GX$2:$GX$317),"")</f>
        <v>0.5</v>
      </c>
      <c r="ND3" s="7">
        <f>IFERROR(AVERAGEIF('Данные 2st'!$Q$2:$Q$317,$A3,'Данные 2st'!$GY$2:$GY$317),"")</f>
        <v>136</v>
      </c>
      <c r="NE3" s="7">
        <f>IFERROR(AVERAGEIF('Данные 2st'!$Q$2:$Q$317,$A3,'Данные 2st'!$GZ$2:$GZ$317),"")</f>
        <v>3</v>
      </c>
      <c r="NF3" s="7">
        <f>IFERROR(AVERAGEIF('Данные 2st'!$Q$2:$Q$317,$A3,'Данные 2st'!$HA$2:$HA$317),"")</f>
        <v>178</v>
      </c>
      <c r="NG3" s="7">
        <f>IFERROR(AVERAGEIF('Данные 2st'!$Q$2:$Q$317,$A3,'Данные 2st'!$HB$2:$HB$317),"")</f>
        <v>3</v>
      </c>
      <c r="NH3" s="7">
        <f>IFERROR(AVERAGEIF('Данные 2st'!$Q$2:$Q$317,$A3,'Данные 2st'!$HC$2:$HC$317),"")</f>
        <v>1810</v>
      </c>
      <c r="NI3" s="7">
        <f>IFERROR(AVERAGEIF('Данные 2st'!$Q$2:$Q$317,$A3,'Данные 2st'!$HD$2:$HD$317),"")</f>
        <v>4</v>
      </c>
      <c r="NJ3" s="7">
        <f>IFERROR(AVERAGEIF('Данные 2st'!$Q$2:$Q$317,$A3,'Данные 2st'!$HM$2:$HM$317),"")</f>
        <v>14</v>
      </c>
      <c r="NK3" s="7">
        <f>IFERROR(AVERAGEIF('Данные 2st'!$Q$2:$Q$317,$A3,'Данные 2st'!$HR$2:$HR$317),"")</f>
        <v>2</v>
      </c>
      <c r="NL3" s="7">
        <f>IFERROR(AVERAGEIF('Данные 2st'!$Q$2:$Q$317,$A3,'Данные 2st'!$HS$2:$HS$317),"")</f>
        <v>1765</v>
      </c>
      <c r="NM3" s="7">
        <f>IFERROR(AVERAGEIF('Данные 2st'!$Q$2:$Q$317,$A3,'Данные 2st'!$HT$2:$HT$317),"")</f>
        <v>5</v>
      </c>
      <c r="NN3" s="7">
        <f>IFERROR(AVERAGEIF('Данные 2st'!$Q$2:$Q$317,$A3,'Данные 2st'!$HY$2:$HY$317),"")</f>
        <v>0</v>
      </c>
      <c r="NO3" s="7">
        <f>IFERROR(AVERAGEIF('Данные 2st'!$Q$2:$Q$317,$A3,'Данные 2st'!$HZ$2:$HZ$317),"")</f>
        <v>67</v>
      </c>
      <c r="NP3" s="7">
        <f>IFERROR(AVERAGEIF('Данные 2st'!$Q$2:$Q$317,$A3,'Данные 2st'!$IA$2:$IA$317),"")</f>
        <v>1768</v>
      </c>
      <c r="NQ3" s="7">
        <f>IFERROR(AVERAGEIF('Данные 2st'!$Q$2:$Q$317,$A3,'Данные 2st'!$IB$2:$IB$317),"")</f>
        <v>1775</v>
      </c>
      <c r="NR3" s="7">
        <f>IFERROR(AVERAGEIF('Данные 2st'!$Q$2:$Q$317,$A3,'Данные 2st'!$IC$2:$IC$317),"")</f>
        <v/>
      </c>
      <c r="NS3" s="7">
        <f>IFERROR(AVERAGEIF('Данные 2st'!$Q$2:$Q$317,$A3,'Данные 2st'!$ID$2:$ID$317),"")</f>
        <v>1810</v>
      </c>
      <c r="NT3" s="7">
        <f>IFERROR(AVERAGEIF('Данные 2st'!$Q$2:$Q$317,$A3,'Данные 2st'!$IE$2:$IE$317),"")</f>
        <v>1810</v>
      </c>
      <c r="NU3" s="7">
        <f>IFERROR(AVERAGEIF('Данные 2st'!$Q$2:$Q$317,$A3,'Данные 2st'!$IF$2:$IF$317),"")</f>
        <v>145</v>
      </c>
      <c r="NV3" s="7">
        <f>IFERROR(AVERAGEIF('Данные 2st'!$Q$2:$Q$317,$A3,'Данные 2st'!$IG$2:$IG$317),"")</f>
        <v>135</v>
      </c>
      <c r="NW3" s="7">
        <f>IFERROR(AVERAGEIF('Данные 2st'!$Q$2:$Q$317,$A3,'Данные 2st'!$IH$2:$IH$317),"")</f>
        <v>178</v>
      </c>
      <c r="NX3" s="7">
        <f>IFERROR(AVERAGEIF('Данные 2st'!$Q$2:$Q$317,$A3,'Данные 2st'!$IJ$2:$IJ$317),"")</f>
        <v>5</v>
      </c>
      <c r="NY3" s="7">
        <f>IFERROR(AVERAGEIF('Данные 2st'!$Q$2:$Q$317,$A3,'Данные 2st'!$IM$2:$IM$317),"")</f>
        <v>0</v>
      </c>
      <c r="NZ3" s="7">
        <f>IFERROR(AVERAGEIF('Данные 2st'!$Q$2:$Q$317,$A3,'Данные 2st'!$IN$2:$IN$317),"")</f>
        <v>270</v>
      </c>
      <c r="OA3" s="7">
        <f>IFERROR(AVERAGEIF('Данные 2st'!$Q$2:$Q$317,$A3,'Данные 2st'!$IO$2:$IO$317),"")</f>
        <v>0</v>
      </c>
      <c r="OB3" s="7">
        <f>IFERROR(AVERAGEIF('Данные 2st'!$Q$2:$Q$317,$A3,'Данные 2st'!$IP$2:$IP$317),"")</f>
        <v>180</v>
      </c>
      <c r="OC3" s="7">
        <f>IFERROR(AVERAGEIF('Данные 2st'!$Q$2:$Q$317,$A3,'Данные 2st'!$IQ$2:$IQ$317),"")</f>
        <v>0</v>
      </c>
      <c r="OD3" s="7">
        <f>IFERROR(AVERAGEIF('Данные 2st'!$Q$2:$Q$317,$A3,'Данные 2st'!$IR$2:$IR$317),"")</f>
        <v>330</v>
      </c>
      <c r="OE3" s="7">
        <f>IFERROR(AVERAGEIF('Данные 2st'!$Q$2:$Q$317,$A3,'Данные 2st'!$IT$2:$IT$317),"")</f>
        <v>90</v>
      </c>
      <c r="OF3" s="7">
        <f>IFERROR(AVERAGEIF('Данные 2st'!$Q$2:$Q$317,$A3,'Данные 2st'!$IU$2:$IU$317),"")</f>
        <v>0</v>
      </c>
      <c r="OG3" s="7">
        <f>IFERROR(AVERAGEIF('Данные 2st'!$Q$2:$Q$317,$A3,'Данные 2st'!$IV$2:$IV$317),"")</f>
        <v>6.4</v>
      </c>
      <c r="OH3" s="7">
        <f>IFERROR(AVERAGEIF('Данные 2st'!$Q$2:$Q$317,$A3,'Данные 2st'!$IW$2:$IW$317),"")</f>
        <v>-6</v>
      </c>
      <c r="OI3" s="7">
        <f>IFERROR(AVERAGEIF('Данные 2st'!$Q$2:$Q$317,$A3,'Данные 2st'!$IX$2:$IX$317),"")</f>
        <v>76</v>
      </c>
      <c r="OJ3" s="7">
        <f>IFERROR(AVERAGEIF('Данные 2st'!$Q$2:$Q$317,$A3,'Данные 2st'!$IY$2:$IY$317),"")</f>
        <v>67</v>
      </c>
      <c r="OK3" s="7">
        <f>IFERROR(AVERAGEIF('Данные 2st'!$Q$2:$Q$317,$A3,'Данные 2st'!$IZ$2:$IZ$317),"")</f>
        <v>0</v>
      </c>
      <c r="OL3" s="7">
        <f>IFERROR(AVERAGEIF('Данные 2st'!$Q$2:$Q$317,$A3,'Данные 2st'!$JA$2:$JA$317),"")</f>
        <v>0</v>
      </c>
      <c r="OM3" s="7">
        <f>IFERROR(AVERAGEIF('Данные 2st'!$Q$2:$Q$317,$A3,'Данные 2st'!$JB$2:$JB$317),"")</f>
        <v>0</v>
      </c>
      <c r="ON3" s="7">
        <f>IFERROR(AVERAGEIF('Данные 2st'!$Q$2:$Q$317,$A3,'Данные 2st'!$JC$2:$JC$317),"")</f>
        <v>0</v>
      </c>
      <c r="OO3" s="7">
        <f>IFERROR(AVERAGEIF('Данные 2st'!$Q$2:$Q$317,$A3,'Данные 2st'!$JD$2:$JD$317),"")</f>
        <v>0</v>
      </c>
      <c r="OP3" s="7">
        <f>IFERROR(AVERAGEIF('Данные 2st'!$Q$2:$Q$317,$A3,'Данные 2st'!$JE$2:$JE$317),"")</f>
        <v>0</v>
      </c>
      <c r="OQ3" s="7">
        <f>IFERROR(AVERAGEIF('Данные 2st'!$Q$2:$Q$317,$A3,'Данные 2st'!$JF$2:$JF$317),"")</f>
        <v>0</v>
      </c>
      <c r="OR3" s="7">
        <f>IFERROR(AVERAGEIF('Данные 2st'!$Q$2:$Q$317,$A3,'Данные 2st'!$JG$2:$JG$317),"")</f>
        <v>0</v>
      </c>
      <c r="OS3" s="7">
        <f>IFERROR(AVERAGEIF('Данные 2st'!$Q$2:$Q$317,$A3,'Данные 2st'!$JH$2:$JH$317),"")</f>
        <v>0</v>
      </c>
      <c r="OT3" s="7">
        <f>IFERROR(AVERAGEIF('Данные 2st'!$Q$2:$Q$317,$A3,'Данные 2st'!$JI$2:$JI$317),"")</f>
        <v>338</v>
      </c>
      <c r="OU3" s="7">
        <f>IFERROR(AVERAGEIF('Данные 2st'!$Q$2:$Q$317,$A3,'Данные 2st'!$JJ$2:$JJ$317),"")</f>
        <v>308</v>
      </c>
      <c r="OV3" s="7">
        <f>IFERROR(AVERAGEIF('Данные 2st'!$Q$2:$Q$317,$A3,'Данные 2st'!$JK$2:$JK$317),"")</f>
        <v>230</v>
      </c>
      <c r="OW3" s="7">
        <f>IFERROR(AVERAGEIF('Данные 2st'!$Q$2:$Q$317,$A3,'Данные 2st'!$JL$2:$JL$317),"")</f>
        <v>302</v>
      </c>
      <c r="OX3" s="7">
        <f>IFERROR(AVERAGEIF('Данные 2st'!$Q$2:$Q$317,$A3,'Данные 2st'!$JM$2:$JM$317),"")</f>
        <v>230</v>
      </c>
      <c r="OY3" s="7">
        <f>IFERROR(AVERAGEIF('Данные 2st'!$Q$2:$Q$317,$A3,'Данные 2st'!$JP$2:$JP$317),"")</f>
        <v>220</v>
      </c>
      <c r="OZ3" s="7">
        <f>IFERROR(AVERAGEIF('Данные 2st'!$Q$2:$Q$317,$A3,'Данные 2st'!$JQ$2:$JQ$317),"")</f>
        <v>280</v>
      </c>
      <c r="PA3" s="7">
        <f>IFERROR(AVERAGEIF('Данные 2st'!$Q$2:$Q$317,$A3,'Данные 2st'!$JR$2:$JR$317),"")</f>
        <v>355</v>
      </c>
      <c r="PB3" s="7">
        <f>IFERROR(AVERAGEIF('Данные 2st'!$Q$2:$Q$317,$A3,'Данные 2st'!$JS$2:$JS$317),"")</f>
        <v>275</v>
      </c>
      <c r="PC3" s="7">
        <f>IFERROR(AVERAGEIF('Данные 2st'!$Q$2:$Q$317,$A3,'Данные 2st'!$JT$2:$JT$317),"")</f>
        <v>0</v>
      </c>
      <c r="PD3" s="7">
        <f>IFERROR(AVERAGEIF('Данные 2st'!$Q$2:$Q$317,$A3,'Данные 2st'!$JU$2:$JU$317),"")</f>
        <v>0</v>
      </c>
      <c r="PE3" s="7">
        <f>IFERROR(AVERAGEIF('Данные 2st'!$Q$2:$Q$317,$A3,'Данные 2st'!$JV$2:$JV$317),"")</f>
        <v>335</v>
      </c>
      <c r="PF3" s="7">
        <f>IFERROR(AVERAGEIF('Данные 2st'!$Q$2:$Q$317,$A3,'Данные 2st'!$JW$2:$JW$317),"")</f>
        <v>337</v>
      </c>
      <c r="PG3" s="7">
        <f>IFERROR(AVERAGEIF('Данные 2st'!$Q$2:$Q$317,$A3,'Данные 2st'!$KF$2:$KF$317),"")</f>
        <v>0.2</v>
      </c>
      <c r="PH3" s="7">
        <f>IFERROR(AVERAGEIF('Данные 2st'!$Q$2:$Q$317,$A3,'Данные 2st'!$KG$2:$KG$317),"")</f>
        <v>0.1</v>
      </c>
      <c r="PI3" s="7">
        <f>IFERROR(AVERAGEIF('Данные 2st'!$Q$2:$Q$317,$A3,'Данные 2st'!$KM$2:$KM$317),"")</f>
        <v>0</v>
      </c>
      <c r="PJ3" s="7">
        <f>IFERROR(AVERAGEIF('Данные 2st'!$Q$2:$Q$317,$A3,'Данные 2st'!$KN$2:$KN$317),"")</f>
        <v>1.2</v>
      </c>
      <c r="PK3" s="7">
        <f>IFERROR(AVERAGEIF('Данные 2st'!$Q$2:$Q$317,$A3,'Данные 2st'!$KO$2:$KO$317),"")</f>
        <v>1</v>
      </c>
      <c r="PL3" s="7">
        <f>IFERROR(AVERAGEIF('Данные 2st'!$Q$2:$Q$317,$A3,'Данные 2st'!$KP$2:$KP$317),"")</f>
        <v>1.2</v>
      </c>
      <c r="PM3" s="7">
        <f>IFERROR(AVERAGEIF('Данные 2st'!$Q$2:$Q$317,$A3,'Данные 2st'!$KQ$2:$KQ$317),"")</f>
        <v>0.7</v>
      </c>
      <c r="PN3" s="7">
        <f>IFERROR(AVERAGEIF('Данные 2st'!$Q$2:$Q$317,$A3,'Данные 2st'!$KR$2:$KR$317),"")</f>
        <v>1</v>
      </c>
      <c r="PO3" s="7">
        <f>IFERROR(AVERAGEIF('Данные 2st'!$Q$2:$Q$317,$A3,'Данные 2st'!$KS$2:$KS$317),"")</f>
        <v>0</v>
      </c>
      <c r="PP3" s="7">
        <f>IFERROR(AVERAGEIF('Данные 2st'!$Q$2:$Q$317,$A3,'Данные 2st'!$KT$2:$KT$317),"")</f>
        <v>2.5</v>
      </c>
      <c r="PQ3" s="7">
        <f>IFERROR(AVERAGEIF('Данные 2st'!$Q$2:$Q$317,$A3,'Данные 2st'!$KU$2:$KU$317),"")</f>
        <v>0</v>
      </c>
      <c r="PR3" s="7">
        <f>IFERROR(AVERAGEIF('Данные 2st'!$Q$2:$Q$317,$A3,'Данные 2st'!$KV$2:$KV$317),"")</f>
        <v>0</v>
      </c>
      <c r="PS3" s="7">
        <f>IFERROR(AVERAGEIF('Данные 2st'!$Q$2:$Q$317,$A3,'Данные 2st'!$KW$2:$KW$317),"")</f>
        <v>1.4</v>
      </c>
      <c r="PT3" s="7">
        <f>IFERROR(AVERAGEIF('Данные 2st'!$Q$2:$Q$317,$A3,'Данные 2st'!$KX$2:$KX$317),"")</f>
        <v>1</v>
      </c>
      <c r="PU3" s="7">
        <f>IFERROR(AVERAGEIF('Данные 2st'!$Q$2:$Q$317,$A3,'Данные 2st'!$KY$2:$KY$317),"")</f>
        <v>0</v>
      </c>
      <c r="PV3" s="7">
        <f>IFERROR(AVERAGEIF('Данные 2st'!$Q$2:$Q$317,$A3,'Данные 2st'!$KZ$2:$KZ$317),"")</f>
        <v>3.5</v>
      </c>
      <c r="PW3" s="7">
        <f>IFERROR(AVERAGEIF('Данные 2st'!$Q$2:$Q$317,$A3,'Данные 2st'!$LA$2:$LA$317),"")</f>
        <v>2</v>
      </c>
      <c r="PX3" s="7">
        <f>IFERROR(AVERAGEIF('Данные 2st'!$Q$2:$Q$317,$A3,'Данные 2st'!$LB$2:$LB$317),"")</f>
        <v>10</v>
      </c>
      <c r="PY3" s="7">
        <f>IFERROR(AVERAGEIF('Данные 2st'!$Q$2:$Q$317,$A3,'Данные 2st'!$LC$2:$LC$317),"")</f>
        <v>3.5</v>
      </c>
      <c r="PZ3" s="7">
        <f>IFERROR(AVERAGEIF('Данные 2st'!$Q$2:$Q$317,$A3,'Данные 2st'!$LD$2:$LD$317),"")</f>
        <v>3</v>
      </c>
      <c r="QA3" s="7">
        <f>IFERROR(AVERAGEIF('Данные 2st'!$Q$2:$Q$317,$A3,'Данные 2st'!$LE$2:$LE$317),"")</f>
        <v>1.8</v>
      </c>
      <c r="QB3" s="7">
        <f>IFERROR(AVERAGEIF('Данные 2st'!$Q$2:$Q$317,$A3,'Данные 2st'!$LF$2:$LF$317),"")</f>
        <v>0</v>
      </c>
      <c r="QC3" s="7">
        <f>IFERROR(AVERAGEIF('Данные 2st'!$Q$2:$Q$317,$A3,'Данные 2st'!$LG$2:$LG$317),"")</f>
        <v>0</v>
      </c>
      <c r="QD3" s="7">
        <f>IFERROR(AVERAGEIF('Данные 2st'!$Q$2:$Q$317,$A3,'Данные 2st'!$LH$2:$LH$317),"")</f>
        <v>3</v>
      </c>
      <c r="QE3" s="7">
        <f>IFERROR(AVERAGEIF('Данные 2st'!$Q$2:$Q$317,$A3,'Данные 2st'!$LJ$2:$LJ$317),"")</f>
        <v>0</v>
      </c>
      <c r="QF3" s="7">
        <f>IFERROR(AVERAGEIF('Данные 2st'!$Q$2:$Q$317,$A3,'Данные 2st'!$LK$2:$LK$317),"")</f>
        <v>5</v>
      </c>
      <c r="QG3" s="7">
        <f>IFERROR(AVERAGEIF('Данные 2st'!$Q$2:$Q$317,$A3,'Данные 2st'!$LL$2:$LL$317),"")</f>
        <v>10</v>
      </c>
      <c r="QH3" s="7">
        <f>IFERROR(AVERAGEIF('Данные 2st'!$Q$2:$Q$317,$A3,'Данные 2st'!$LM$2:$LM$317),"")</f>
        <v>11</v>
      </c>
      <c r="QI3" s="7">
        <f>IFERROR(AVERAGEIF('Данные 2st'!$Q$2:$Q$317,$A3,'Данные 2st'!$LN$2:$LN$317),"")</f>
        <v>0.1</v>
      </c>
      <c r="QJ3" s="7">
        <f>IFERROR(AVERAGEIF('Данные 2st'!$Q$2:$Q$317,$A3,'Данные 2st'!$LO$2:$LO$317),"")</f>
        <v>1</v>
      </c>
      <c r="QK3" s="7">
        <f>IFERROR(AVERAGEIF('Данные 2st'!$Q$2:$Q$317,$A3,'Данные 2st'!$LP$2:$LP$317),"")</f>
        <v>0</v>
      </c>
      <c r="QL3" s="7">
        <f>IFERROR(AVERAGEIF('Данные 2st'!$Q$2:$Q$317,$A3,'Данные 2st'!$LQ$2:$LQ$317),"")</f>
        <v>0</v>
      </c>
      <c r="QM3" s="7">
        <f>IFERROR(AVERAGEIF('Данные 2st'!$Q$2:$Q$317,$A3,'Данные 2st'!$LW$2:$LW$317),"")</f>
        <v>1.4</v>
      </c>
      <c r="QN3" s="7">
        <f>IFERROR(AVERAGEIF('Данные 2st'!$Q$2:$Q$317,$A3,'Данные 2st'!$LX$2:$LX$317),"")</f>
        <v>1.4</v>
      </c>
      <c r="QO3" s="7">
        <f>IFERROR(AVERAGEIF('Данные 2st'!$Q$2:$Q$317,$A3,'Данные 2st'!$LY$2:$LY$317),"")</f>
        <v>2.1</v>
      </c>
      <c r="QP3" s="7">
        <f>IFERROR(AVERAGEIF('Данные 2st'!$Q$2:$Q$317,$A3,'Данные 2st'!$LZ$2:$LZ$317),"")</f>
        <v>2.1</v>
      </c>
      <c r="QQ3" s="7">
        <f>IFERROR(AVERAGEIF('Данные 2st'!$Q$2:$Q$317,$A3,'Данные 2st'!$MB$2:$MB$317),"")</f>
        <v>5</v>
      </c>
      <c r="QR3" s="7">
        <f>IFERROR(AVERAGEIF('Данные 2st'!$Q$2:$Q$317,$A3,'Данные 2st'!$MG$2:$MG$317),"")</f>
        <v>0</v>
      </c>
      <c r="QS3" s="7">
        <f>IFERROR(AVERAGEIF('Данные 2st'!$Q$2:$Q$317,$A3,'Данные 2st'!$MH$2:$MH$317),"")</f>
        <v>0</v>
      </c>
      <c r="QT3" s="7">
        <f>IFERROR(AVERAGEIF('Данные 2st'!$Q$2:$Q$317,$A3,'Данные 2st'!$MI$2:$MI$317),"")</f>
        <v>0</v>
      </c>
      <c r="QU3" s="7">
        <f>IFERROR(AVERAGEIF('Данные 2st'!$Q$2:$Q$317,$A3,'Данные 2st'!$MJ$2:$MJ$317),"")</f>
        <v>0</v>
      </c>
      <c r="QV3" s="7">
        <f>IFERROR(AVERAGEIF('Данные 2st'!$Q$2:$Q$317,$A3,'Данные 2st'!$MK$2:$MK$317),"")</f>
        <v>0</v>
      </c>
      <c r="QW3" s="7">
        <f>IFERROR(AVERAGEIF('Данные 2st'!$Q$2:$Q$317,$A3,'Данные 2st'!$MM$2:$MM$317),"")</f>
        <v>326</v>
      </c>
      <c r="QX3" s="7">
        <f>IFERROR(AVERAGEIF('Данные 2st'!$Q$2:$Q$317,$A3,'Данные 2st'!$MQ$2:$MQ$317),"")</f>
        <v/>
      </c>
      <c r="QY3" s="7">
        <f>IFERROR(AVERAGEIF('Данные 2st'!$Q$2:$Q$317,$A3,'Данные 2st'!$MR$2:$MR$317),"")</f>
        <v/>
      </c>
      <c r="QZ3" s="7">
        <f>IFERROR(AVERAGEIF('Данные 2st'!$Q$2:$Q$317,$A3,'Данные 2st'!$MS$2:$MS$317),"")</f>
        <v/>
      </c>
      <c r="RA3" s="7">
        <f>IFERROR(AVERAGEIF('Данные 2st'!$Q$2:$Q$317,$A3,'Данные 2st'!$MT$2:$MT$317),"")</f>
        <v/>
      </c>
      <c r="RB3" s="7">
        <f>IFERROR(AVERAGEIF('Данные 2st'!$Q$2:$Q$317,$A3,'Данные 2st'!$MU$2:$MU$317),"")</f>
        <v/>
      </c>
      <c r="RC3" s="7">
        <f>IFERROR(AVERAGEIF('Данные 2st'!$Q$2:$Q$317,$A3,'Данные 2st'!$MV$2:$MV$317),"")</f>
        <v/>
      </c>
      <c r="RD3" s="7">
        <f>IFERROR(AVERAGEIF('Данные 2st'!$Q$2:$Q$317,$A3,'Данные 2st'!$MW$2:$MW$317),"")</f>
        <v/>
      </c>
      <c r="RE3" s="7">
        <f>IFERROR(AVERAGEIF('Данные 2st'!$Q$2:$Q$317,$A3,'Данные 2st'!$MX$2:$MX$317),"")</f>
        <v/>
      </c>
      <c r="RF3" s="7">
        <f>IFERROR(AVERAGEIF('Данные 2st'!$Q$2:$Q$317,$A3,'Данные 2st'!$MY$2:$MY$317),"")</f>
        <v/>
      </c>
      <c r="RG3" s="7">
        <f>IFERROR(AVERAGEIF('Данные 2st'!$Q$2:$Q$317,$A3,'Данные 2st'!$MZ$2:$MZ$317),"")</f>
        <v/>
      </c>
      <c r="RH3" s="7">
        <f>IFERROR(AVERAGEIF('Данные 2st'!$Q$2:$Q$317,$A3,'Данные 2st'!$NA$2:$NA$317),"")</f>
        <v/>
      </c>
      <c r="RI3" s="7">
        <f>IFERROR(AVERAGEIF('Данные 2st'!$Q$2:$Q$317,$A3,'Данные 2st'!$NB$2:$NB$317),"")</f>
        <v/>
      </c>
      <c r="RJ3" s="7">
        <f>IFERROR(AVERAGEIF('Данные 2st'!$Q$2:$Q$317,$A3,'Данные 2st'!$NC$2:$NC$317),"")</f>
        <v/>
      </c>
      <c r="RK3" s="7">
        <f>IFERROR(AVERAGEIF('Данные 2st'!$Q$2:$Q$317,$A3,'Данные 2st'!$ND$2:$ND$317),"")</f>
        <v/>
      </c>
      <c r="RL3" s="7">
        <f>IFERROR(AVERAGEIF('Данные 2st'!$Q$2:$Q$317,$A3,'Данные 2st'!$NE$2:$NE$317),"")</f>
        <v/>
      </c>
      <c r="RM3" s="7">
        <f>IFERROR(AVERAGEIF('Данные 2st'!$Q$2:$Q$317,$A3,'Данные 2st'!$NF$2:$NF$317),"")</f>
        <v/>
      </c>
      <c r="RN3" s="7">
        <f>IFERROR(AVERAGEIF('Данные 2st'!$Q$2:$Q$317,$A3,'Данные 2st'!$NG$2:$NG$317),"")</f>
        <v/>
      </c>
      <c r="RO3" s="7">
        <f>IFERROR(AVERAGEIF('Данные 2st'!$Q$2:$Q$317,$A3,'Данные 2st'!$NH$2:$NH$317),"")</f>
        <v/>
      </c>
      <c r="RP3" s="7">
        <f>IFERROR(AVERAGEIF('Данные 2st'!$Q$2:$Q$317,$A3,'Данные 2st'!$NJ$2:$NJ$317),"")</f>
        <v/>
      </c>
      <c r="RQ3" s="7">
        <f>IFERROR(AVERAGEIF('Данные 2st'!$Q$2:$Q$317,$A3,'Данные 2st'!$NK$2:$NK$317),"")</f>
        <v/>
      </c>
      <c r="RR3" s="7">
        <f>IFERROR(AVERAGEIF('Данные 2st'!$Q$2:$Q$317,$A3,'Данные 2st'!$NM$2:$NM$317),"")</f>
        <v/>
      </c>
      <c r="RS3" s="7">
        <f>IFERROR(AVERAGEIF('Данные 2st'!$Q$2:$Q$317,$A3,'Данные 2st'!$NN$2:$NN$317),"")</f>
        <v/>
      </c>
      <c r="RT3" s="7">
        <f>IFERROR(AVERAGEIF('Данные 2st'!$Q$2:$Q$317,$A3,'Данные 2st'!$NO$2:$NO$317),"")</f>
        <v/>
      </c>
      <c r="RU3" s="7">
        <f>IFERROR(AVERAGEIF('Данные 2st'!$Q$2:$Q$317,$A3,'Данные 2st'!$NP$2:$NP$317),"")</f>
        <v/>
      </c>
      <c r="RV3" s="7">
        <f>IFERROR(AVERAGEIF('Данные 2st'!$Q$2:$Q$317,$A3,'Данные 2st'!$NQ$2:$NQ$317),"")</f>
        <v/>
      </c>
      <c r="RW3" s="7">
        <f>IFERROR(AVERAGEIF('Данные 2st'!$Q$2:$Q$317,$A3,'Данные 2st'!$NR$2:$NR$317),"")</f>
        <v/>
      </c>
      <c r="RX3" s="7">
        <f>IFERROR(AVERAGEIF('Данные 2st'!$Q$2:$Q$317,$A3,'Данные 2st'!$NS$2:$NS$317),"")</f>
        <v/>
      </c>
      <c r="RY3" s="7">
        <f>IFERROR(AVERAGEIF('Данные 2st'!$Q$2:$Q$317,$A3,'Данные 2st'!$NT$2:$NT$317),"")</f>
        <v/>
      </c>
      <c r="RZ3" s="7">
        <f>IFERROR(AVERAGEIF('Данные 2st'!$Q$2:$Q$317,$A3,'Данные 2st'!$OK$2:$OK$317),"")</f>
        <v>61</v>
      </c>
      <c r="SA3" s="7">
        <f>IFERROR(AVERAGEIF('Данные 2st'!$Q$2:$Q$317,$A3,'Данные 2st'!$OL$2:$OL$317),"")</f>
        <v>61</v>
      </c>
      <c r="SB3" s="7">
        <f>IFERROR(AVERAGEIF('Данные 2st'!$Q$2:$Q$317,$A3,'Данные 2st'!$ON$2:$ON$317),"")</f>
        <v>3</v>
      </c>
      <c r="SC3" s="7">
        <f>IFERROR(AVERAGEIF('Данные 2st'!$Q$2:$Q$317,$A3,'Данные 2st'!$OO$2:$OO$317),"")</f>
        <v>1768</v>
      </c>
      <c r="SD3" s="7">
        <f>IFERROR(AVERAGEIF('Данные 2st'!$Q$2:$Q$317,$A3,'Данные 2st'!$OP$2:$OP$317),"")</f>
        <v>61</v>
      </c>
      <c r="SE3" s="7">
        <f>IFERROR(AVERAGEIF('Данные 2st'!$Q$2:$Q$317,$A3,'Данные 2st'!$OQ$2:$OQ$317),"")</f>
        <v>61</v>
      </c>
      <c r="SF3" s="7">
        <f>IFERROR(AVERAGEIF('Данные 2st'!$Q$2:$Q$317,$A3,'Данные 2st'!$OS$2:$OS$317),"")</f>
        <v>3</v>
      </c>
      <c r="SG3" s="7">
        <f>IFERROR(AVERAGEIF('Данные 2st'!$Q$2:$Q$317,$A3,'Данные 2st'!$OT$2:$OT$317),"")</f>
        <v>1775</v>
      </c>
      <c r="SH3" s="7">
        <f>IFERROR(AVERAGEIF('Данные 2st'!$Q$2:$Q$317,$A3,'Данные 2st'!$OU$2:$OU$317),"")</f>
        <v>65</v>
      </c>
      <c r="SI3" s="7">
        <f>IFERROR(AVERAGEIF('Данные 2st'!$Q$2:$Q$317,$A3,'Данные 2st'!$OV$2:$OV$317),"")</f>
        <v>65</v>
      </c>
      <c r="SJ3" s="7">
        <f>IFERROR(AVERAGEIF('Данные 2st'!$Q$2:$Q$317,$A3,'Данные 2st'!$OX$2:$OX$317),"")</f>
        <v>1</v>
      </c>
      <c r="SK3" s="7">
        <f>IFERROR(AVERAGEIF('Данные 2st'!$Q$2:$Q$317,$A3,'Данные 2st'!$OY$2:$OY$317),"")</f>
        <v>25255</v>
      </c>
      <c r="SL3" s="7">
        <f>IFERROR(AVERAGEIF('Данные 2st'!$Q$2:$Q$317,$A3,'Данные 2st'!$OZ$2:$OZ$317),"")</f>
        <v>51</v>
      </c>
      <c r="SM3" s="7">
        <f>IFERROR(AVERAGEIF('Данные 2st'!$Q$2:$Q$317,$A3,'Данные 2st'!$PA$2:$PA$317),"")</f>
        <v>51</v>
      </c>
      <c r="SN3" s="7">
        <f>IFERROR(AVERAGEIF('Данные 2st'!$Q$2:$Q$317,$A3,'Данные 2st'!$PC$2:$PC$317),"")</f>
        <v>2</v>
      </c>
      <c r="SO3" s="7">
        <f>IFERROR(AVERAGEIF('Данные 2st'!$Q$2:$Q$317,$A3,'Данные 2st'!$PD$2:$PD$317),"")</f>
        <v>1810</v>
      </c>
      <c r="SP3" s="7">
        <f>IFERROR(AVERAGEIF('Данные 2st'!$Q$2:$Q$317,$A3,'Данные 2st'!$PF$2:$PF$317),"")</f>
        <v>265</v>
      </c>
      <c r="SQ3" s="7">
        <f>IFERROR(AVERAGEIF('Данные 2st'!$Q$2:$Q$317,$A3,'Данные 2st'!$PG$2:$PG$317),"")</f>
        <v>29</v>
      </c>
      <c r="SR3" s="7">
        <f>IFERROR(AVERAGEIF('Данные 2st'!$Q$2:$Q$317,$A3,'Данные 2st'!$PH$2:$PH$317),"")</f>
        <v>247</v>
      </c>
      <c r="SS3" s="7">
        <f>IFERROR(AVERAGEIF('Данные 2st'!$Q$2:$Q$317,$A3,'Данные 2st'!$PI$2:$PI$317),"")</f>
        <v>29</v>
      </c>
      <c r="ST3" s="7">
        <f>IFERROR(AVERAGEIF('Данные 2st'!$Q$2:$Q$317,$A3,'Данные 2st'!$PJ$2:$PJ$317),"")</f>
        <v>84.7</v>
      </c>
      <c r="SU3" s="7">
        <f>IFERROR(AVERAGEIF('Данные 2st'!$Q$2:$Q$317,$A3,'Данные 2st'!$PK$2:$PK$317),"")</f>
        <v>1708</v>
      </c>
      <c r="SV3" s="7">
        <f>IFERROR(AVERAGEIF('Данные 2st'!$Q$2:$Q$317,$A3,'Данные 2st'!$PL$2:$PL$317),"")</f>
        <v>732.8</v>
      </c>
      <c r="SW3" s="7">
        <f>IFERROR(AVERAGEIF('Данные 2st'!$Q$2:$Q$317,$A3,'Данные 2st'!$PM$2:$PM$317),"")</f>
        <v>808.9</v>
      </c>
      <c r="SX3" s="7">
        <f>IFERROR(AVERAGEIF('Данные 2st'!$Q$2:$Q$317,$A3,'Данные 2st'!$PN$2:$PN$317),"")</f>
        <v>74.2</v>
      </c>
      <c r="SY3" s="7">
        <f>IFERROR(AVERAGEIF('Данные 2st'!$Q$2:$Q$317,$A3,'Данные 2st'!$PO$2:$PO$317),"")</f>
        <v/>
      </c>
      <c r="SZ3" s="7">
        <f>IFERROR(AVERAGEIF('Данные 2st'!$Q$2:$Q$317,$A3,'Данные 2st'!$PP$2:$PP$317),"")</f>
        <v>12</v>
      </c>
      <c r="TA3" s="7">
        <f>IFERROR(AVERAGEIF('Данные 2st'!$Q$2:$Q$317,$A3,'Данные 2st'!$PQ$2:$PQ$317),"")</f>
        <v>8</v>
      </c>
      <c r="TB3" s="7">
        <f>IFERROR(AVERAGEIF('Данные 2st'!$Q$2:$Q$317,$A3,'Данные 2st'!$PR$2:$PR$317),"")</f>
        <v>8</v>
      </c>
      <c r="TC3" s="7">
        <f>IFERROR(AVERAGEIF('Данные 2st'!$Q$2:$Q$317,$A3,'Данные 2st'!$PS$2:$PS$317),"")</f>
        <v>6</v>
      </c>
      <c r="TD3" s="7">
        <f>IFERROR(AVERAGEIF('Данные 2st'!$Q$2:$Q$317,$A3,'Данные 2st'!$PT$2:$PT$317),"")</f>
        <v>178</v>
      </c>
      <c r="TE3" s="7">
        <f>IFERROR(AVERAGEIF('Данные 2st'!$Q$2:$Q$317,$A3,'Данные 2st'!$PU$2:$PU$317),"")</f>
        <v>8</v>
      </c>
      <c r="TF3" s="7">
        <f>IFERROR(AVERAGEIF('Данные 2st'!$Q$2:$Q$317,$A3,'Данные 2st'!$PX$2:$PX$317),"")</f>
        <v>0</v>
      </c>
      <c r="TG3" s="7">
        <f>IFERROR(AVERAGEIF('Данные 2st'!$Q$2:$Q$317,$A3,'Данные 2st'!$PY$2:$PY$317),"")</f>
        <v>0</v>
      </c>
      <c r="TH3" s="7">
        <f>IFERROR(AVERAGEIF('Данные 2st'!$Q$2:$Q$317,$A3,'Данные 2st'!$PZ$2:$PZ$317),"")</f>
        <v>0</v>
      </c>
      <c r="TI3" s="7">
        <f>IFERROR(AVERAGEIF('Данные 2st'!$Q$2:$Q$317,$A3,'Данные 2st'!$QA$2:$QA$317),"")</f>
        <v>0</v>
      </c>
      <c r="TJ3" s="7">
        <f>IFERROR(AVERAGEIF('Данные 2st'!$Q$2:$Q$317,$A3,'Данные 2st'!$QB$2:$QB$317),"")</f>
        <v>0</v>
      </c>
      <c r="TK3" s="7">
        <f>IFERROR(AVERAGEIF('Данные 2st'!$Q$2:$Q$317,$A3,'Данные 2st'!$QC$2:$QC$317),"")</f>
        <v>0</v>
      </c>
      <c r="TL3" s="7">
        <f>IFERROR(AVERAGEIF('Данные 2st'!$Q$2:$Q$317,$A3,'Данные 2st'!$QD$2:$QD$317),"")</f>
        <v>0</v>
      </c>
      <c r="TM3" s="7">
        <f>IFERROR(AVERAGEIF('Данные 2st'!$Q$2:$Q$317,$A3,'Данные 2st'!$QE$2:$QE$317),"")</f>
        <v>-1</v>
      </c>
      <c r="TN3" s="7">
        <f>IFERROR(AVERAGEIF('Данные 2st'!$Q$2:$Q$317,$A3,'Данные 2st'!$QF$2:$QF$317),"")</f>
        <v>1</v>
      </c>
      <c r="TO3" s="7">
        <f>IFERROR(AVERAGEIF('Данные 2st'!$Q$2:$Q$317,$A3,'Данные 2st'!$QG$2:$QG$317),"")</f>
        <v>0</v>
      </c>
      <c r="TP3" s="7">
        <f>IFERROR(AVERAGEIF('Данные 2st'!$Q$2:$Q$317,$A3,'Данные 2st'!$QH$2:$QH$317),"")</f>
        <v>5</v>
      </c>
      <c r="TQ3" s="7">
        <f>IFERROR(AVERAGEIF('Данные 2st'!$Q$2:$Q$317,$A3,'Данные 2st'!$QI$2:$QI$317),"")</f>
        <v>5</v>
      </c>
      <c r="TR3" s="7">
        <f>IFERROR(AVERAGEIF('Данные 2st'!$Q$2:$Q$317,$A3,'Данные 2st'!$QJ$2:$QJ$317),"")</f>
        <v>5</v>
      </c>
      <c r="TS3" s="7">
        <f>IFERROR(AVERAGEIF('Данные 2st'!$Q$2:$Q$317,$A3,'Данные 2st'!$QK$2:$QK$317),"")</f>
        <v>187</v>
      </c>
      <c r="TT3" s="7">
        <f>IFERROR(AVERAGEIF('Данные 2st'!$Q$2:$Q$317,$A3,'Данные 2st'!$QL$2:$QL$317),"")</f>
        <v>368</v>
      </c>
      <c r="TU3" s="7">
        <f>IFERROR(AVERAGEIF('Данные 2st'!$Q$2:$Q$317,$A3,'Данные 2st'!$QM$2:$QM$317),"")</f>
        <v>7.5</v>
      </c>
      <c r="TV3" s="7">
        <f>IFERROR(AVERAGEIF('Данные 2st'!$Q$2:$Q$317,$A3,'Данные 2st'!$QN$2:$QN$317),"")</f>
        <v>1123</v>
      </c>
      <c r="TW3" s="7">
        <f>IFERROR(AVERAGEIF('Данные 2st'!$Q$2:$Q$317,$A3,'Данные 2st'!$QQ$2:$QQ$317),"")</f>
        <v>0</v>
      </c>
      <c r="TX3" s="7">
        <f>IFERROR(AVERAGEIF('Данные 2st'!$Q$2:$Q$317,$A3,'Данные 2st'!$QS$2:$QS$317),"")</f>
        <v>40</v>
      </c>
      <c r="TY3" s="7">
        <f>IFERROR(AVERAGEIF('Данные 2st'!$Q$2:$Q$317,$A3,'Данные 2st'!$QT$2:$QT$317),"")</f>
        <v>50</v>
      </c>
    </row>
    <row r="4" spans="1:545" ht="32" customHeight="1">
      <c r="A4" s="11" t="s">
        <v>1795</v>
      </c>
      <c r="B4">
        <f>COUNTIF('Данные 1st'!$S$2:$S$317,$A4)</f>
        <v>3</v>
      </c>
      <c r="C4" s="6" t="s">
        <v>5083</v>
      </c>
      <c r="D4" s="6" t="s">
        <v>513</v>
      </c>
      <c r="E4" s="6" t="s">
        <v>5125</v>
      </c>
      <c r="F4" s="6" t="s">
        <v>5128</v>
      </c>
      <c r="G4" s="7">
        <f>IFERROR(AVERAGEIF('Данные 1st'!$S$2:$S$317,$A4,'Данные 1st'!$AE$2:$AE$317),"")</f>
        <v>147.66666666666666</v>
      </c>
      <c r="H4" s="7">
        <f>IFERROR(AVERAGEIF('Данные 1st'!$S$2:$S$317,$A4,'Данные 1st'!$AF$2:$AF$317),"")</f>
        <v>1.5</v>
      </c>
      <c r="I4" s="7">
        <f>IFERROR(AVERAGEIF('Данные 1st'!$S$2:$S$317,$A4,'Данные 1st'!$AJ$2:$AJ$317),"")</f>
        <v>159.16666666666666</v>
      </c>
      <c r="J4" s="7">
        <f>IFERROR(AVERAGEIF('Данные 1st'!$S$2:$S$317,$A4,'Данные 1st'!$AL$2:$AL$317),"")</f>
        <v>1.5</v>
      </c>
      <c r="K4" s="7">
        <f>IFERROR(AVERAGEIF('Данные 1st'!$S$2:$S$317,$A4,'Данные 1st'!$AR$2:$AR$317),"")</f>
        <v>0</v>
      </c>
      <c r="L4" s="7">
        <f>IFERROR(AVERAGEIF('Данные 1st'!$S$2:$S$317,$A4,'Данные 1st'!$AS$2:$AS$317),"")</f>
        <v>1.5</v>
      </c>
      <c r="M4" s="7">
        <f>IFERROR(AVERAGEIF('Данные 1st'!$S$2:$S$317,$A4,'Данные 1st'!$AY$2:$AY$317),"")</f>
        <v>248.33333333333334</v>
      </c>
      <c r="N4" s="7">
        <f>IFERROR(AVERAGEIF('Данные 1st'!$S$2:$S$317,$A4,'Данные 1st'!$AZ$2:$AZ$317),"")</f>
        <v>1.5</v>
      </c>
      <c r="O4" s="7">
        <f>IFERROR(AVERAGEIF('Данные 1st'!$S$2:$S$317,$A4,'Данные 1st'!$BF$2:$BF$317),"")</f>
        <v/>
      </c>
      <c r="P4" s="7">
        <f>IFERROR(AVERAGEIF('Данные 1st'!$S$2:$S$317,$A4,'Данные 1st'!$BG$2:$BG$317),"")</f>
        <v>1.5</v>
      </c>
      <c r="Q4" s="7">
        <f>IFERROR(AVERAGEIF('Данные 1st'!$S$2:$S$317,$A4,'Данные 1st'!$BM$2:$BM$317),"")</f>
        <v/>
      </c>
      <c r="R4" s="7">
        <f>IFERROR(AVERAGEIF('Данные 1st'!$S$2:$S$317,$A4,'Данные 1st'!$BN$2:$BN$317),"")</f>
        <v>1.5</v>
      </c>
      <c r="S4" s="7">
        <f>IFERROR(AVERAGEIF('Данные 1st'!$S$2:$S$317,$A4,'Данные 1st'!$BT$2:$BT$317),"")</f>
        <v>170.33333333333334</v>
      </c>
      <c r="T4" s="7">
        <f>IFERROR(AVERAGEIF('Данные 1st'!$S$2:$S$317,$A4,'Данные 1st'!$BU$2:$BU$317),"")</f>
        <v>0.5</v>
      </c>
      <c r="U4" s="7">
        <f>IFERROR(AVERAGEIF('Данные 1st'!$S$2:$S$317,$A4,'Данные 1st'!$BW$2:$BW$317),"")</f>
        <v>340.6666666666667</v>
      </c>
      <c r="V4" s="7">
        <f>IFERROR(AVERAGEIF('Данные 1st'!$S$2:$S$317,$A4,'Данные 1st'!$BX$2:$BX$317),"")</f>
        <v>1</v>
      </c>
      <c r="W4" s="7">
        <f>IFERROR(AVERAGEIF('Данные 1st'!$S$2:$S$317,$A4,'Данные 1st'!$BZ$2:$BZ$317),"")</f>
        <v>300</v>
      </c>
      <c r="X4" s="7">
        <f>IFERROR(AVERAGEIF('Данные 1st'!$S$2:$S$317,$A4,'Данные 1st'!$CA$2:$CA$317),"")</f>
        <v>406.6666666666667</v>
      </c>
      <c r="Y4" s="7">
        <f>IFERROR(AVERAGEIF('Данные 1st'!$S$2:$S$317,$A4,'Данные 1st'!$CD$2:$CD$317),"")</f>
        <v>367.3333333333333</v>
      </c>
      <c r="Z4" s="7">
        <f>IFERROR(AVERAGEIF('Данные 1st'!$S$2:$S$317,$A4,'Данные 1st'!$CF$2:$CF$317),"")</f>
        <v>15</v>
      </c>
      <c r="AA4" s="7">
        <f>IFERROR(AVERAGEIF('Данные 1st'!$S$2:$S$317,$A4,'Данные 1st'!$CI$2:$CI$317),"")</f>
        <v>53.333333333333336</v>
      </c>
      <c r="AB4" s="7">
        <f>IFERROR(AVERAGEIF('Данные 1st'!$S$2:$S$317,$A4,'Данные 1st'!$CJ$2:$CJ$317),"")</f>
        <v>1122</v>
      </c>
      <c r="AC4" s="7">
        <f>IFERROR(AVERAGEIF('Данные 1st'!$S$2:$S$317,$A4,'Данные 1st'!$CK$2:$CK$317),"")</f>
        <v>2</v>
      </c>
      <c r="AD4" s="7">
        <f>IFERROR(AVERAGEIF('Данные 1st'!$S$2:$S$317,$A4,'Данные 1st'!$CL$2:$CL$317),"")</f>
        <v>1222</v>
      </c>
      <c r="AE4" s="7">
        <f>IFERROR(AVERAGEIF('Данные 1st'!$S$2:$S$317,$A4,'Данные 1st'!$CM$2:$CM$317),"")</f>
        <v>2</v>
      </c>
      <c r="AF4" s="7">
        <f>IFERROR(AVERAGEIF('Данные 1st'!$S$2:$S$317,$A4,'Данные 1st'!$CT$2:$CT$317),"")</f>
        <v>318.3333333333333</v>
      </c>
      <c r="AG4" s="7">
        <f>IFERROR(AVERAGEIF('Данные 1st'!$S$2:$S$317,$A4,'Данные 1st'!$CU$2:$CU$317),"")</f>
        <v>5</v>
      </c>
      <c r="AH4" s="7">
        <f>IFERROR(AVERAGEIF('Данные 1st'!$S$2:$S$317,$A4,'Данные 1st'!$CV$2:$CV$317),"")</f>
        <v>1.2</v>
      </c>
      <c r="AI4" s="7">
        <f>IFERROR(AVERAGEIF('Данные 1st'!$S$2:$S$317,$A4,'Данные 1st'!$CW$2:$CW$317),"")</f>
        <v>1136</v>
      </c>
      <c r="AJ4" s="7">
        <f>IFERROR(AVERAGEIF('Данные 1st'!$S$2:$S$317,$A4,'Данные 1st'!$CX$2:$CX$317),"")</f>
        <v>512.3333333333334</v>
      </c>
      <c r="AK4" s="7">
        <f>IFERROR(AVERAGEIF('Данные 1st'!$S$2:$S$317,$A4,'Данные 1st'!$CZ$2:$CZ$317),"")</f>
        <v/>
      </c>
      <c r="AL4" s="7">
        <f>IFERROR(AVERAGEIF('Данные 1st'!$S$2:$S$317,$A4,'Данные 1st'!$DA$2:$DA$317),"")</f>
        <v/>
      </c>
      <c r="AM4" s="7">
        <f>IFERROR(AVERAGEIF('Данные 1st'!$S$2:$S$317,$A4,'Данные 1st'!$DB$2:$DB$317),"")</f>
        <v/>
      </c>
      <c r="AN4" s="7">
        <f>IFERROR(AVERAGEIF('Данные 1st'!$S$2:$S$317,$A4,'Данные 1st'!$DC$2:$DC$317),"")</f>
        <v/>
      </c>
      <c r="AO4" s="7">
        <f>IFERROR(AVERAGEIF('Данные 1st'!$S$2:$S$317,$A4,'Данные 1st'!$DD$2:$DD$317),"")</f>
        <v>0</v>
      </c>
      <c r="AP4" s="7">
        <f>IFERROR(AVERAGEIF('Данные 1st'!$S$2:$S$317,$A4,'Данные 1st'!$DF$2:$DF$317),"")</f>
        <v>496.6666666666667</v>
      </c>
      <c r="AQ4" s="7">
        <f>IFERROR(AVERAGEIF('Данные 1st'!$S$2:$S$317,$A4,'Данные 1st'!$DG$2:$DG$317),"")</f>
        <v>3</v>
      </c>
      <c r="AR4" s="7">
        <f>IFERROR(AVERAGEIF('Данные 1st'!$S$2:$S$317,$A4,'Данные 1st'!$DH$2:$DH$317),"")</f>
        <v>1.18</v>
      </c>
      <c r="AS4" s="7">
        <f>IFERROR(AVERAGEIF('Данные 1st'!$S$2:$S$317,$A4,'Данные 1st'!$DI$2:$DI$317),"")</f>
        <v>1134</v>
      </c>
      <c r="AT4" s="7">
        <f>IFERROR(AVERAGEIF('Данные 1st'!$S$2:$S$317,$A4,'Данные 1st'!$DJ$2:$DJ$317),"")</f>
        <v>924.3333333333334</v>
      </c>
      <c r="AU4" s="7">
        <f>IFERROR(AVERAGEIF('Данные 1st'!$S$2:$S$317,$A4,'Данные 1st'!$DL$2:$DL$317),"")</f>
        <v/>
      </c>
      <c r="AV4" s="7">
        <f>IFERROR(AVERAGEIF('Данные 1st'!$S$2:$S$317,$A4,'Данные 1st'!$DM$2:$DM$317),"")</f>
        <v/>
      </c>
      <c r="AW4" s="7">
        <f>IFERROR(AVERAGEIF('Данные 1st'!$S$2:$S$317,$A4,'Данные 1st'!$DN$2:$DN$317),"")</f>
        <v/>
      </c>
      <c r="AX4" s="7">
        <f>IFERROR(AVERAGEIF('Данные 1st'!$S$2:$S$317,$A4,'Данные 1st'!$DO$2:$DO$317),"")</f>
        <v/>
      </c>
      <c r="AY4" s="7">
        <f>IFERROR(AVERAGEIF('Данные 1st'!$S$2:$S$317,$A4,'Данные 1st'!$DP$2:$DP$317),"")</f>
        <v/>
      </c>
      <c r="AZ4" s="7">
        <f>IFERROR(AVERAGEIF('Данные 1st'!$S$2:$S$317,$A4,'Данные 1st'!$DR$2:$DR$317),"")</f>
        <v/>
      </c>
      <c r="BA4" s="7">
        <f>IFERROR(AVERAGEIF('Данные 1st'!$S$2:$S$317,$A4,'Данные 1st'!$DS$2:$DS$317),"")</f>
        <v/>
      </c>
      <c r="BB4" s="7">
        <f>IFERROR(AVERAGEIF('Данные 1st'!$S$2:$S$317,$A4,'Данные 1st'!$DT$2:$DT$317),"")</f>
        <v/>
      </c>
      <c r="BC4" s="7">
        <f>IFERROR(AVERAGEIF('Данные 1st'!$S$2:$S$317,$A4,'Данные 1st'!$DU$2:$DU$317),"")</f>
        <v/>
      </c>
      <c r="BD4" s="7">
        <f>IFERROR(AVERAGEIF('Данные 1st'!$S$2:$S$317,$A4,'Данные 1st'!$DV$2:$DV$317),"")</f>
        <v/>
      </c>
      <c r="BE4" s="7">
        <f>IFERROR(AVERAGEIF('Данные 1st'!$S$2:$S$317,$A4,'Данные 1st'!$DX$2:$DX$317),"")</f>
        <v>7.5</v>
      </c>
      <c r="BF4" s="7">
        <f>IFERROR(AVERAGEIF('Данные 1st'!$S$2:$S$317,$A4,'Данные 1st'!$EA$2:$EA$317),"")</f>
        <v>1203.7666666666667</v>
      </c>
      <c r="BG4" s="7">
        <f>IFERROR(AVERAGEIF('Данные 1st'!$S$2:$S$317,$A4,'Данные 1st'!$EB$2:$EB$317),"")</f>
        <v>161.66666666666666</v>
      </c>
      <c r="BH4" s="7">
        <f>IFERROR(AVERAGEIF('Данные 1st'!$S$2:$S$317,$A4,'Данные 1st'!$ED$2:$ED$317),"")</f>
        <v>28.333333333333332</v>
      </c>
      <c r="BI4" s="7">
        <f>IFERROR(AVERAGEIF('Данные 1st'!$S$2:$S$317,$A4,'Данные 1st'!$EE$2:$EE$317),"")</f>
        <v>3</v>
      </c>
      <c r="BJ4" s="7">
        <f>IFERROR(AVERAGEIF('Данные 1st'!$S$2:$S$317,$A4,'Данные 1st'!$EG$2:$EG$317),"")</f>
        <v>1234.3333333333333</v>
      </c>
      <c r="BK4" s="7">
        <f>IFERROR(AVERAGEIF('Данные 1st'!$S$2:$S$317,$A4,'Данные 1st'!$EH$2:$EH$317),"")</f>
        <v>143.33333333333334</v>
      </c>
      <c r="BL4" s="7">
        <f>IFERROR(AVERAGEIF('Данные 1st'!$S$2:$S$317,$A4,'Данные 1st'!$EJ$2:$EJ$317),"")</f>
        <v>0</v>
      </c>
      <c r="BM4" s="7">
        <f>IFERROR(AVERAGEIF('Данные 1st'!$S$2:$S$317,$A4,'Данные 1st'!$EK$2:$EK$317),"")</f>
        <v>1</v>
      </c>
      <c r="BN4" s="7">
        <f>IFERROR(AVERAGEIF('Данные 1st'!$S$2:$S$317,$A4,'Данные 1st'!$EN$2:$EN$317),"")</f>
        <v>0</v>
      </c>
      <c r="BO4" s="7">
        <f>IFERROR(AVERAGEIF('Данные 1st'!$S$2:$S$317,$A4,'Данные 1st'!$EQ$2:$EQ$317),"")</f>
        <v>71.66666666666667</v>
      </c>
      <c r="BP4" s="7">
        <f>IFERROR(AVERAGEIF('Данные 1st'!$S$2:$S$317,$A4,'Данные 1st'!$ER$2:$ER$317),"")</f>
        <v>3</v>
      </c>
      <c r="BQ4" s="7">
        <f>IFERROR(AVERAGEIF('Данные 1st'!$S$2:$S$317,$A4,'Данные 1st'!$ES$2:$ES$317),"")</f>
        <v>5.333333333333333</v>
      </c>
      <c r="BR4" s="7">
        <f>IFERROR(AVERAGEIF('Данные 1st'!$S$2:$S$317,$A4,'Данные 1st'!$ET$2:$ET$317),"")</f>
        <v>1119</v>
      </c>
      <c r="BS4" s="7">
        <f>IFERROR(AVERAGEIF('Данные 1st'!$S$2:$S$317,$A4,'Данные 1st'!$EU$2:$EU$317),"")</f>
        <v>292.6333333333333</v>
      </c>
      <c r="BT4" s="7">
        <f>IFERROR(AVERAGEIF('Данные 1st'!$S$2:$S$317,$A4,'Данные 1st'!$EV$2:$EV$317),"")</f>
        <v>327.3333333333333</v>
      </c>
      <c r="BU4" s="7">
        <f>IFERROR(AVERAGEIF('Данные 1st'!$S$2:$S$317,$A4,'Данные 1st'!$EX$2:$EX$317),"")</f>
        <v>70</v>
      </c>
      <c r="BV4" s="7">
        <f>IFERROR(AVERAGEIF('Данные 1st'!$S$2:$S$317,$A4,'Данные 1st'!$EY$2:$EY$317),"")</f>
        <v>2</v>
      </c>
      <c r="BW4" s="7">
        <f>IFERROR(AVERAGEIF('Данные 1st'!$S$2:$S$317,$A4,'Данные 1st'!$EZ$2:$EZ$317),"")</f>
        <v>4.266666666666667</v>
      </c>
      <c r="BX4" s="7">
        <f>IFERROR(AVERAGEIF('Данные 1st'!$S$2:$S$317,$A4,'Данные 1st'!$FA$2:$FA$317),"")</f>
        <v>1119</v>
      </c>
      <c r="BY4" s="7">
        <f>IFERROR(AVERAGEIF('Данные 1st'!$S$2:$S$317,$A4,'Данные 1st'!$FB$2:$FB$317),"")</f>
        <v>216.63333333333333</v>
      </c>
      <c r="BZ4" s="7">
        <f>IFERROR(AVERAGEIF('Данные 1st'!$S$2:$S$317,$A4,'Данные 1st'!$FC$2:$FC$317),"")</f>
        <v>242.33333333333334</v>
      </c>
      <c r="CA4" s="7">
        <f>IFERROR(AVERAGEIF('Данные 1st'!$S$2:$S$317,$A4,'Данные 1st'!$FE$2:$FE$317),"")</f>
        <v>0</v>
      </c>
      <c r="CB4" s="7">
        <f>IFERROR(AVERAGEIF('Данные 1st'!$S$2:$S$317,$A4,'Данные 1st'!$FF$2:$FF$317),"")</f>
        <v>2</v>
      </c>
      <c r="CC4" s="7">
        <f>IFERROR(AVERAGEIF('Данные 1st'!$S$2:$S$317,$A4,'Данные 1st'!$FI$2:$FI$317),"")</f>
        <v>0</v>
      </c>
      <c r="CD4" s="7">
        <f>IFERROR(AVERAGEIF('Данные 1st'!$S$2:$S$317,$A4,'Данные 1st'!$FL$2:$FL$317),"")</f>
        <v>0.4</v>
      </c>
      <c r="CE4" s="7">
        <f>IFERROR(AVERAGEIF('Данные 1st'!$S$2:$S$317,$A4,'Данные 1st'!$FM$2:$FM$317),"")</f>
        <v>85</v>
      </c>
      <c r="CF4" s="7">
        <f>IFERROR(AVERAGEIF('Данные 1st'!$S$2:$S$317,$A4,'Данные 1st'!$FN$2:$FN$317),"")</f>
        <v>96.66666666666667</v>
      </c>
      <c r="CG4" s="7">
        <f>IFERROR(AVERAGEIF('Данные 1st'!$S$2:$S$317,$A4,'Данные 1st'!$FO$2:$FO$317),"")</f>
        <v/>
      </c>
      <c r="CH4" s="7">
        <f>IFERROR(AVERAGEIF('Данные 1st'!$S$2:$S$317,$A4,'Данные 1st'!$FP$2:$FP$317),"")</f>
        <v/>
      </c>
      <c r="CI4" s="7">
        <f>IFERROR(AVERAGEIF('Данные 1st'!$S$2:$S$317,$A4,'Данные 1st'!$FS$2:$FS$317),"")</f>
        <v>0.4</v>
      </c>
      <c r="CJ4" s="7">
        <f>IFERROR(AVERAGEIF('Данные 1st'!$S$2:$S$317,$A4,'Данные 1st'!$FT$2:$FT$317),"")</f>
        <v>30</v>
      </c>
      <c r="CK4" s="7">
        <f>IFERROR(AVERAGEIF('Данные 1st'!$S$2:$S$317,$A4,'Данные 1st'!$FU$2:$FU$317),"")</f>
        <v>306.6666666666667</v>
      </c>
      <c r="CL4" s="7">
        <f>IFERROR(AVERAGEIF('Данные 1st'!$S$2:$S$317,$A4,'Данные 1st'!$FV$2:$FV$317),"")</f>
        <v>40</v>
      </c>
      <c r="CM4" s="7">
        <f>IFERROR(AVERAGEIF('Данные 1st'!$S$2:$S$317,$A4,'Данные 1st'!$FW$2:$FW$317),"")</f>
        <v>180</v>
      </c>
      <c r="CN4" s="7">
        <f>IFERROR(AVERAGEIF('Данные 1st'!$S$2:$S$317,$A4,'Данные 1st'!$FZ$2:$FZ$317),"")</f>
        <v>1</v>
      </c>
      <c r="CO4" s="7">
        <f>IFERROR(AVERAGEIF('Данные 1st'!$S$2:$S$317,$A4,'Данные 1st'!$GA$2:$GA$317),"")</f>
        <v>20</v>
      </c>
      <c r="CP4" s="7">
        <f>IFERROR(AVERAGEIF('Данные 1st'!$S$2:$S$317,$A4,'Данные 1st'!$GB$2:$GB$317),"")</f>
        <v>138.5</v>
      </c>
      <c r="CQ4" s="7">
        <f>IFERROR(AVERAGEIF('Данные 1st'!$S$2:$S$317,$A4,'Данные 1st'!$GH$2:$GH$317),"")</f>
        <v>1</v>
      </c>
      <c r="CR4" s="7">
        <f>IFERROR(AVERAGEIF('Данные 1st'!$S$2:$S$317,$A4,'Данные 1st'!$GI$2:$GI$317),"")</f>
        <v>20</v>
      </c>
      <c r="CS4" s="7">
        <f>IFERROR(AVERAGEIF('Данные 1st'!$S$2:$S$317,$A4,'Данные 1st'!$GJ$2:$GJ$317),"")</f>
        <v>138.5</v>
      </c>
      <c r="CT4" s="7">
        <f>IFERROR(AVERAGEIF('Данные 1st'!$S$2:$S$317,$A4,'Данные 1st'!$GS$2:$GS$317),"")</f>
        <v/>
      </c>
      <c r="CU4" s="7">
        <f>IFERROR(AVERAGEIF('Данные 1st'!$S$2:$S$317,$A4,'Данные 1st'!$GT$2:$GT$317),"")</f>
        <v/>
      </c>
      <c r="CV4" s="7">
        <f>IFERROR(AVERAGEIF('Данные 1st'!$S$2:$S$317,$A4,'Данные 1st'!$GU$2:$GU$317),"")</f>
        <v/>
      </c>
      <c r="CW4" s="7">
        <f>IFERROR(AVERAGEIF('Данные 1st'!$S$2:$S$317,$A4,'Данные 1st'!$GV$2:$GV$317),"")</f>
        <v/>
      </c>
      <c r="CX4" s="7">
        <f>IFERROR(AVERAGEIF('Данные 1st'!$S$2:$S$317,$A4,'Данные 1st'!$GW$2:$GW$317),"")</f>
        <v/>
      </c>
      <c r="CY4" s="7">
        <f>IFERROR(AVERAGEIF('Данные 1st'!$S$2:$S$317,$A4,'Данные 1st'!$GZ$2:$GZ$317),"")</f>
        <v/>
      </c>
      <c r="CZ4" s="7">
        <f>IFERROR(AVERAGEIF('Данные 1st'!$S$2:$S$317,$A4,'Данные 1st'!$HA$2:$HA$317),"")</f>
        <v/>
      </c>
      <c r="DA4" s="7">
        <f>IFERROR(AVERAGEIF('Данные 1st'!$S$2:$S$317,$A4,'Данные 1st'!$HB$2:$HB$317),"")</f>
        <v/>
      </c>
      <c r="DB4" s="7">
        <f>IFERROR(AVERAGEIF('Данные 1st'!$S$2:$S$317,$A4,'Данные 1st'!$HC$2:$HC$317),"")</f>
        <v>0.1</v>
      </c>
      <c r="DC4" s="7">
        <f>IFERROR(AVERAGEIF('Данные 1st'!$S$2:$S$317,$A4,'Данные 1st'!$HD$2:$HD$317),"")</f>
        <v>3</v>
      </c>
      <c r="DD4" s="7">
        <f>IFERROR(AVERAGEIF('Данные 1st'!$S$2:$S$317,$A4,'Данные 1st'!$HE$2:$HE$317),"")</f>
        <v>3</v>
      </c>
      <c r="DE4" s="7">
        <f>IFERROR(AVERAGEIF('Данные 1st'!$S$2:$S$317,$A4,'Данные 1st'!$HF$2:$HF$317),"")</f>
        <v>3</v>
      </c>
      <c r="DF4" s="7">
        <f>IFERROR(AVERAGEIF('Данные 1st'!$S$2:$S$317,$A4,'Данные 1st'!$HG$2:$HG$317),"")</f>
        <v>3</v>
      </c>
      <c r="DG4" s="7">
        <f>IFERROR(AVERAGEIF('Данные 1st'!$S$2:$S$317,$A4,'Данные 1st'!$HH$2:$HH$317),"")</f>
        <v>3</v>
      </c>
      <c r="DH4" s="7">
        <f>IFERROR(AVERAGEIF('Данные 1st'!$S$2:$S$317,$A4,'Данные 1st'!$HI$2:$HI$317),"")</f>
        <v>126.66666666666667</v>
      </c>
      <c r="DI4" s="7">
        <f>IFERROR(AVERAGEIF('Данные 1st'!$S$2:$S$317,$A4,'Данные 1st'!$HJ$2:$HJ$317),"")</f>
        <v>3</v>
      </c>
      <c r="DJ4" s="7">
        <f>IFERROR(AVERAGEIF('Данные 1st'!$S$2:$S$317,$A4,'Данные 1st'!$HK$2:$HK$317),"")</f>
        <v>55</v>
      </c>
      <c r="DK4" s="7">
        <f>IFERROR(AVERAGEIF('Данные 1st'!$S$2:$S$317,$A4,'Данные 1st'!$HL$2:$HL$317),"")</f>
        <v>2</v>
      </c>
      <c r="DL4" s="7">
        <f>IFERROR(AVERAGEIF('Данные 1st'!$S$2:$S$317,$A4,'Данные 1st'!$HM$2:$HM$317),"")</f>
        <v>0</v>
      </c>
      <c r="DM4" s="7">
        <f>IFERROR(AVERAGEIF('Данные 1st'!$S$2:$S$317,$A4,'Данные 1st'!$HN$2:$HN$317),"")</f>
        <v>2</v>
      </c>
      <c r="DN4" s="7">
        <f>IFERROR(AVERAGEIF('Данные 1st'!$S$2:$S$317,$A4,'Данные 1st'!$HO$2:$HO$317),"")</f>
        <v>56.666666666666664</v>
      </c>
      <c r="DO4" s="7">
        <f>IFERROR(AVERAGEIF('Данные 1st'!$S$2:$S$317,$A4,'Данные 1st'!$HP$2:$HP$317),"")</f>
        <v>3</v>
      </c>
      <c r="DP4" s="7">
        <f>IFERROR(AVERAGEIF('Данные 1st'!$S$2:$S$317,$A4,'Данные 1st'!$HQ$2:$HQ$317),"")</f>
        <v>0</v>
      </c>
      <c r="DQ4" s="7">
        <f>IFERROR(AVERAGEIF('Данные 1st'!$S$2:$S$317,$A4,'Данные 1st'!$HR$2:$HR$317),"")</f>
        <v>2</v>
      </c>
      <c r="DR4" s="7">
        <f>IFERROR(AVERAGEIF('Данные 1st'!$S$2:$S$317,$A4,'Данные 1st'!$HS$2:$HS$317),"")</f>
        <v>3186</v>
      </c>
      <c r="DS4" s="7">
        <f>IFERROR(AVERAGEIF('Данные 1st'!$S$2:$S$317,$A4,'Данные 1st'!$HT$2:$HT$317),"")</f>
        <v>93.33333333333333</v>
      </c>
      <c r="DT4" s="7">
        <f>IFERROR(AVERAGEIF('Данные 1st'!$S$2:$S$317,$A4,'Данные 1st'!$HU$2:$HU$317),"")</f>
        <v>180</v>
      </c>
      <c r="DU4" s="7">
        <f>IFERROR(AVERAGEIF('Данные 1st'!$S$2:$S$317,$A4,'Данные 1st'!$HW$2:$HW$317),"")</f>
        <v>6.666666666666667</v>
      </c>
      <c r="DV4" s="7">
        <f>IFERROR(AVERAGEIF('Данные 1st'!$S$2:$S$317,$A4,'Данные 1st'!$HX$2:$HX$317),"")</f>
        <v>386.6666666666667</v>
      </c>
      <c r="DW4" s="7">
        <f>IFERROR(AVERAGEIF('Данные 1st'!$S$2:$S$317,$A4,'Данные 1st'!$HY$2:$HY$317),"")</f>
        <v>0.18</v>
      </c>
      <c r="DX4" s="7">
        <f>IFERROR(AVERAGEIF('Данные 1st'!$S$2:$S$317,$A4,'Данные 1st'!$IA$2:$IA$317),"")</f>
        <v>0.15</v>
      </c>
      <c r="DY4" s="7">
        <f>IFERROR(AVERAGEIF('Данные 1st'!$S$2:$S$317,$A4,'Данные 1st'!$IB$2:$IB$317),"")</f>
        <v>0</v>
      </c>
      <c r="DZ4" s="7">
        <f>IFERROR(AVERAGEIF('Данные 1st'!$S$2:$S$317,$A4,'Данные 1st'!$IC$2:$IC$317),"")</f>
        <v>180</v>
      </c>
      <c r="EA4" s="7">
        <f>IFERROR(AVERAGEIF('Данные 1st'!$S$2:$S$317,$A4,'Данные 1st'!$ID$2:$ID$317),"")</f>
        <v>110</v>
      </c>
      <c r="EB4" s="7">
        <f>IFERROR(AVERAGEIF('Данные 1st'!$S$2:$S$317,$A4,'Данные 1st'!$IE$2:$IE$317),"")</f>
        <v>0</v>
      </c>
      <c r="EC4" s="7">
        <f>IFERROR(AVERAGEIF('Данные 1st'!$S$2:$S$317,$A4,'Данные 1st'!$IF$2:$IF$317),"")</f>
        <v>0</v>
      </c>
      <c r="ED4" s="7">
        <f>IFERROR(AVERAGEIF('Данные 1st'!$S$2:$S$317,$A4,'Данные 1st'!$IP$2:$IP$317),"")</f>
        <v>15</v>
      </c>
      <c r="EE4" s="7">
        <f>IFERROR(AVERAGEIF('Данные 1st'!$S$2:$S$317,$A4,'Данные 1st'!$IV$2:$IV$317),"")</f>
        <v>1122</v>
      </c>
      <c r="EF4" s="7">
        <f>IFERROR(AVERAGEIF('Данные 1st'!$S$2:$S$317,$A4,'Данные 1st'!$IW$2:$IW$317),"")</f>
        <v>340.6666666666667</v>
      </c>
      <c r="EG4" s="7">
        <f>IFERROR(AVERAGEIF('Данные 1st'!$S$2:$S$317,$A4,'Данные 1st'!$IX$2:$IX$317),"")</f>
        <v/>
      </c>
      <c r="EH4" s="7">
        <f>IFERROR(AVERAGEIF('Данные 1st'!$S$2:$S$317,$A4,'Данные 1st'!$IY$2:$IY$317),"")</f>
        <v/>
      </c>
      <c r="EI4" s="7">
        <f>IFERROR(AVERAGEIF('Данные 1st'!$S$2:$S$317,$A4,'Данные 1st'!$JD$2:$JD$317),"")</f>
        <v>1136</v>
      </c>
      <c r="EJ4" s="7">
        <f>IFERROR(AVERAGEIF('Данные 1st'!$S$2:$S$317,$A4,'Данные 1st'!$JE$2:$JE$317),"")</f>
        <v>1134</v>
      </c>
      <c r="EK4" s="7">
        <f>IFERROR(AVERAGEIF('Данные 1st'!$S$2:$S$317,$A4,'Данные 1st'!$JF$2:$JF$317),"")</f>
        <v>0</v>
      </c>
      <c r="EL4" s="7">
        <f>IFERROR(AVERAGEIF('Данные 1st'!$S$2:$S$317,$A4,'Данные 1st'!$JG$2:$JG$317),"")</f>
        <v>1119</v>
      </c>
      <c r="EM4" s="7">
        <f>IFERROR(AVERAGEIF('Данные 1st'!$S$2:$S$317,$A4,'Данные 1st'!$JH$2:$JH$317),"")</f>
        <v>0</v>
      </c>
      <c r="EN4" s="7">
        <f>IFERROR(AVERAGEIF('Данные 1st'!$S$2:$S$317,$A4,'Данные 1st'!$JJ$2:$JJ$317),"")</f>
        <v>180</v>
      </c>
      <c r="EO4" s="7">
        <f>IFERROR(AVERAGEIF('Данные 1st'!$S$2:$S$317,$A4,'Данные 1st'!$JK$2:$JK$317),"")</f>
        <v>386.6666666666667</v>
      </c>
      <c r="EP4" s="7">
        <f>IFERROR(AVERAGEIF('Данные 1st'!$S$2:$S$317,$A4,'Данные 1st'!$JL$2:$JL$317),"")</f>
        <v/>
      </c>
      <c r="EQ4" s="7">
        <f>IFERROR(AVERAGEIF('Данные 1st'!$S$2:$S$317,$A4,'Данные 1st'!$JM$2:$JM$317),"")</f>
        <v/>
      </c>
      <c r="ER4" s="7">
        <f>IFERROR(AVERAGEIF('Данные 1st'!$S$2:$S$317,$A4,'Данные 1st'!$JN$2:$JN$317),"")</f>
        <v>318.3333333333333</v>
      </c>
      <c r="ES4" s="7">
        <f>IFERROR(AVERAGEIF('Данные 1st'!$S$2:$S$317,$A4,'Данные 1st'!$JO$2:$JO$317),"")</f>
        <v>496.6666666666667</v>
      </c>
      <c r="ET4" s="7">
        <f>IFERROR(AVERAGEIF('Данные 1st'!$S$2:$S$317,$A4,'Данные 1st'!$JP$2:$JP$317),"")</f>
        <v>0</v>
      </c>
      <c r="EU4" s="7">
        <f>IFERROR(AVERAGEIF('Данные 1st'!$S$2:$S$317,$A4,'Данные 1st'!$JQ$2:$JQ$317),"")</f>
        <v>0</v>
      </c>
      <c r="EV4" s="7">
        <f>IFERROR(AVERAGEIF('Данные 1st'!$S$2:$S$317,$A4,'Данные 1st'!$JR$2:$JR$317),"")</f>
        <v>295.3333333333333</v>
      </c>
      <c r="EW4" s="7">
        <f>IFERROR(AVERAGEIF('Данные 1st'!$S$2:$S$317,$A4,'Данные 1st'!$JS$2:$JS$317),"")</f>
        <v>126.66666666666667</v>
      </c>
      <c r="EX4" s="7">
        <f>IFERROR(AVERAGEIF('Данные 1st'!$S$2:$S$317,$A4,'Данные 1st'!$JT$2:$JT$317),"")</f>
        <v/>
      </c>
      <c r="EY4" s="7">
        <f>IFERROR(AVERAGEIF('Данные 1st'!$S$2:$S$317,$A4,'Данные 1st'!$JU$2:$JU$317),"")</f>
        <v/>
      </c>
      <c r="EZ4" s="7">
        <f>IFERROR(AVERAGEIF('Данные 1st'!$S$2:$S$317,$A4,'Данные 1st'!$JV$2:$JV$317),"")</f>
        <v>8</v>
      </c>
      <c r="FA4" s="7">
        <f>IFERROR(AVERAGEIF('Данные 1st'!$S$2:$S$317,$A4,'Данные 1st'!$JW$2:$JW$317),"")</f>
        <v/>
      </c>
      <c r="FB4" s="7">
        <f>IFERROR(AVERAGEIF('Данные 1st'!$S$2:$S$317,$A4,'Данные 1st'!$JX$2:$JX$317),"")</f>
        <v>0</v>
      </c>
      <c r="FC4" s="7">
        <f>IFERROR(AVERAGEIF('Данные 1st'!$S$2:$S$317,$A4,'Данные 1st'!$JY$2:$JY$317),"")</f>
        <v/>
      </c>
      <c r="FD4" s="7">
        <f>IFERROR(AVERAGEIF('Данные 1st'!$S$2:$S$317,$A4,'Данные 1st'!$JZ$2:$JZ$317),"")</f>
        <v/>
      </c>
      <c r="FE4" s="7">
        <f>IFERROR(AVERAGEIF('Данные 1st'!$S$2:$S$317,$A4,'Данные 1st'!$KA$2:$KA$317),"")</f>
        <v>0</v>
      </c>
      <c r="FF4" s="7">
        <f>IFERROR(AVERAGEIF('Данные 1st'!$S$2:$S$317,$A4,'Данные 1st'!$KB$2:$KB$317),"")</f>
        <v>110</v>
      </c>
      <c r="FG4" s="7">
        <f>IFERROR(AVERAGEIF('Данные 1st'!$S$2:$S$317,$A4,'Данные 1st'!$KC$2:$KC$317),"")</f>
        <v>0</v>
      </c>
      <c r="FH4" s="7">
        <f>IFERROR(AVERAGEIF('Данные 1st'!$S$2:$S$317,$A4,'Данные 1st'!$KD$2:$KD$317),"")</f>
        <v>80</v>
      </c>
      <c r="FI4" s="7">
        <f>IFERROR(AVERAGEIF('Данные 1st'!$S$2:$S$317,$A4,'Данные 1st'!$KE$2:$KE$317),"")</f>
        <v/>
      </c>
      <c r="FJ4" s="7">
        <f>IFERROR(AVERAGEIF('Данные 1st'!$S$2:$S$317,$A4,'Данные 1st'!$KF$2:$KF$317),"")</f>
        <v>4</v>
      </c>
      <c r="FK4" s="7">
        <f>IFERROR(AVERAGEIF('Данные 1st'!$S$2:$S$317,$A4,'Данные 1st'!$KG$2:$KG$317),"")</f>
        <v>2.6666666666666665</v>
      </c>
      <c r="FL4" s="7">
        <f>IFERROR(AVERAGEIF('Данные 1st'!$S$2:$S$317,$A4,'Данные 1st'!$KH$2:$KH$317),"")</f>
        <v>2</v>
      </c>
      <c r="FM4" s="7">
        <f>IFERROR(AVERAGEIF('Данные 1st'!$S$2:$S$317,$A4,'Данные 1st'!$KI$2:$KI$317),"")</f>
        <v>2</v>
      </c>
      <c r="FN4" s="7">
        <f>IFERROR(AVERAGEIF('Данные 1st'!$S$2:$S$317,$A4,'Данные 1st'!$KJ$2:$KJ$317),"")</f>
        <v>0</v>
      </c>
      <c r="FO4" s="7">
        <f>IFERROR(AVERAGEIF('Данные 1st'!$S$2:$S$317,$A4,'Данные 1st'!$KK$2:$KK$317),"")</f>
        <v>1.5</v>
      </c>
      <c r="FP4" s="7">
        <f>IFERROR(AVERAGEIF('Данные 1st'!$S$2:$S$317,$A4,'Данные 1st'!$KL$2:$KL$317),"")</f>
        <v>1.5</v>
      </c>
      <c r="FQ4" s="7">
        <f>IFERROR(AVERAGEIF('Данные 1st'!$S$2:$S$317,$A4,'Данные 1st'!$KM$2:$KM$317),"")</f>
        <v>0</v>
      </c>
      <c r="FR4" s="7">
        <f>IFERROR(AVERAGEIF('Данные 1st'!$S$2:$S$317,$A4,'Данные 1st'!$KN$2:$KN$317),"")</f>
        <v>0</v>
      </c>
      <c r="FS4" s="7">
        <f>IFERROR(AVERAGEIF('Данные 1st'!$S$2:$S$317,$A4,'Данные 1st'!$KR$2:$KR$317),"")</f>
        <v>30</v>
      </c>
      <c r="FT4" s="7">
        <f>IFERROR(AVERAGEIF('Данные 1st'!$S$2:$S$317,$A4,'Данные 1st'!$KS$2:$KS$317),"")</f>
        <v>60</v>
      </c>
      <c r="FU4" s="7">
        <f>IFERROR(AVERAGEIF('Данные 1st'!$S$2:$S$317,$A4,'Данные 1st'!$KT$2:$KT$317),"")</f>
        <v>0</v>
      </c>
      <c r="FV4" s="7">
        <f>IFERROR(AVERAGEIF('Данные 1st'!$S$2:$S$317,$A4,'Данные 1st'!$KV$2:$KV$317),"")</f>
        <v/>
      </c>
      <c r="FW4" s="7">
        <f>IFERROR(AVERAGEIF('Данные 1st'!$S$2:$S$317,$A4,'Данные 1st'!$KW$2:$KW$317),"")</f>
        <v/>
      </c>
      <c r="FX4" s="7">
        <f>IFERROR(AVERAGEIF('Данные 1st'!$S$2:$S$317,$A4,'Данные 1st'!$KX$2:$KX$317),"")</f>
        <v/>
      </c>
      <c r="FY4" s="7">
        <f>IFERROR(AVERAGEIF('Данные 1st'!$S$2:$S$317,$A4,'Данные 1st'!$KY$2:$KY$317),"")</f>
        <v/>
      </c>
      <c r="FZ4" s="7">
        <f>IFERROR(AVERAGEIF('Данные 1st'!$S$2:$S$317,$A4,'Данные 1st'!$KZ$2:$KZ$317),"")</f>
        <v/>
      </c>
      <c r="GA4" s="7">
        <f>IFERROR(AVERAGEIF('Данные 1st'!$S$2:$S$317,$A4,'Данные 1st'!$LA$2:$LA$317),"")</f>
        <v/>
      </c>
      <c r="GB4" s="7">
        <f>IFERROR(AVERAGEIF('Данные 1st'!$S$2:$S$317,$A4,'Данные 1st'!$LB$2:$LB$317),"")</f>
        <v/>
      </c>
      <c r="GC4" s="7">
        <f>IFERROR(AVERAGEIF('Данные 1st'!$S$2:$S$317,$A4,'Данные 1st'!$LC$2:$LC$317),"")</f>
        <v/>
      </c>
      <c r="GD4" s="7">
        <f>IFERROR(AVERAGEIF('Данные 1st'!$S$2:$S$317,$A4,'Данные 1st'!$LD$2:$LD$317),"")</f>
        <v/>
      </c>
      <c r="GE4" s="7">
        <f>IFERROR(AVERAGEIF('Данные 1st'!$S$2:$S$317,$A4,'Данные 1st'!$LE$2:$LE$317),"")</f>
        <v/>
      </c>
      <c r="GF4" s="7">
        <f>IFERROR(AVERAGEIF('Данные 1st'!$S$2:$S$317,$A4,'Данные 1st'!$LF$2:$LF$317),"")</f>
        <v/>
      </c>
      <c r="GG4" s="7">
        <f>IFERROR(AVERAGEIF('Данные 1st'!$S$2:$S$317,$A4,'Данные 1st'!$LG$2:$LG$317),"")</f>
        <v/>
      </c>
      <c r="GH4" s="7">
        <f>IFERROR(AVERAGEIF('Данные 1st'!$S$2:$S$317,$A4,'Данные 1st'!$LH$2:$LH$317),"")</f>
        <v/>
      </c>
      <c r="GI4" s="7">
        <f>IFERROR(AVERAGEIF('Данные 1st'!$S$2:$S$317,$A4,'Данные 1st'!$LI$2:$LI$317),"")</f>
        <v/>
      </c>
      <c r="GJ4" s="7">
        <f>IFERROR(AVERAGEIF('Данные 1st'!$S$2:$S$317,$A4,'Данные 1st'!$LJ$2:$LJ$317),"")</f>
        <v/>
      </c>
      <c r="GK4" s="7">
        <f>IFERROR(AVERAGEIF('Данные 1st'!$S$2:$S$317,$A4,'Данные 1st'!$LK$2:$LK$317),"")</f>
        <v>480</v>
      </c>
      <c r="GL4" s="7">
        <f>IFERROR(AVERAGEIF('Данные 1st'!$S$2:$S$317,$A4,'Данные 1st'!$LV$2:$LV$317),"")</f>
        <v/>
      </c>
      <c r="GM4" s="7">
        <f>IFERROR(AVERAGEIF('Данные 1st'!$S$2:$S$317,$A4,'Данные 1st'!$LW$2:$LW$317),"")</f>
        <v/>
      </c>
      <c r="GN4" s="7">
        <f>IFERROR(AVERAGEIF('Данные 1st'!$S$2:$S$317,$A4,'Данные 1st'!$LX$2:$LX$317),"")</f>
        <v/>
      </c>
      <c r="GO4" s="7">
        <f>IFERROR(AVERAGEIF('Данные 1st'!$S$2:$S$317,$A4,'Данные 1st'!$LY$2:$LY$317),"")</f>
        <v/>
      </c>
      <c r="GP4" s="7">
        <f>IFERROR(AVERAGEIF('Данные 1st'!$S$2:$S$317,$A4,'Данные 1st'!$LZ$2:$LZ$317),"")</f>
        <v/>
      </c>
      <c r="GQ4" s="7">
        <f>IFERROR(AVERAGEIF('Данные 1st'!$S$2:$S$317,$A4,'Данные 1st'!$PG$2:$PG$317),"")</f>
        <v>1</v>
      </c>
      <c r="GR4" s="7">
        <f>IFERROR(AVERAGEIF('Данные 1st'!$S$2:$S$317,$A4,'Данные 1st'!$PX$2:$PX$317),"")</f>
        <v>56</v>
      </c>
      <c r="GS4" s="7">
        <f>IFERROR(AVERAGEIF('Данные 1st'!$S$2:$S$317,$A4,'Данные 1st'!$PY$2:$PY$317),"")</f>
        <v>56.666666666666664</v>
      </c>
      <c r="GT4" s="7">
        <f>IFERROR(AVERAGEIF('Данные 1st'!$S$2:$S$317,$A4,'Данные 1st'!$QA$2:$QA$317),"")</f>
        <v>1.6666666666666667</v>
      </c>
      <c r="GU4" s="7">
        <f>IFERROR(AVERAGEIF('Данные 1st'!$S$2:$S$317,$A4,'Данные 1st'!$QB$2:$QB$317),"")</f>
        <v>1119</v>
      </c>
      <c r="GV4" s="7">
        <f>IFERROR(AVERAGEIF('Данные 1st'!$S$2:$S$317,$A4,'Данные 1st'!$QC$2:$QC$317),"")</f>
        <v>69</v>
      </c>
      <c r="GW4" s="7">
        <f>IFERROR(AVERAGEIF('Данные 1st'!$S$2:$S$317,$A4,'Данные 1st'!$QD$2:$QD$317),"")</f>
        <v>69</v>
      </c>
      <c r="GX4" s="7">
        <f>IFERROR(AVERAGEIF('Данные 1st'!$S$2:$S$317,$A4,'Данные 1st'!$QF$2:$QF$317),"")</f>
        <v>1</v>
      </c>
      <c r="GY4" s="7">
        <f>IFERROR(AVERAGEIF('Данные 1st'!$S$2:$S$317,$A4,'Данные 1st'!$QG$2:$QG$317),"")</f>
        <v>1136</v>
      </c>
      <c r="GZ4" s="7">
        <f>IFERROR(AVERAGEIF('Данные 1st'!$S$2:$S$317,$A4,'Данные 1st'!$QH$2:$QH$317),"")</f>
        <v>66</v>
      </c>
      <c r="HA4" s="7">
        <f>IFERROR(AVERAGEIF('Данные 1st'!$S$2:$S$317,$A4,'Данные 1st'!$QI$2:$QI$317),"")</f>
        <v>66</v>
      </c>
      <c r="HB4" s="7">
        <f>IFERROR(AVERAGEIF('Данные 1st'!$S$2:$S$317,$A4,'Данные 1st'!$QK$2:$QK$317),"")</f>
        <v/>
      </c>
      <c r="HC4" s="7">
        <f>IFERROR(AVERAGEIF('Данные 1st'!$S$2:$S$317,$A4,'Данные 1st'!$QL$2:$QL$317),"")</f>
        <v>0</v>
      </c>
      <c r="HD4" s="7">
        <f>IFERROR(AVERAGEIF('Данные 1st'!$S$2:$S$317,$A4,'Данные 1st'!$QM$2:$QM$317),"")</f>
        <v>62.666666666666664</v>
      </c>
      <c r="HE4" s="7">
        <f>IFERROR(AVERAGEIF('Данные 1st'!$S$2:$S$317,$A4,'Данные 1st'!$QN$2:$QN$317),"")</f>
        <v>62.666666666666664</v>
      </c>
      <c r="HF4" s="7">
        <f>IFERROR(AVERAGEIF('Данные 1st'!$S$2:$S$317,$A4,'Данные 1st'!$QP$2:$QP$317),"")</f>
        <v>1</v>
      </c>
      <c r="HG4" s="7">
        <f>IFERROR(AVERAGEIF('Данные 1st'!$S$2:$S$317,$A4,'Данные 1st'!$QQ$2:$QQ$317),"")</f>
        <v>1134</v>
      </c>
      <c r="HH4" s="7">
        <f>IFERROR(AVERAGEIF('Данные 1st'!$S$2:$S$317,$A4,'Данные 1st'!$QR$2:$QR$317),"")</f>
        <v/>
      </c>
      <c r="HI4" s="7">
        <f>IFERROR(AVERAGEIF('Данные 1st'!$S$2:$S$317,$A4,'Данные 1st'!$QS$2:$QS$317),"")</f>
        <v/>
      </c>
      <c r="HJ4" s="7">
        <f>IFERROR(AVERAGEIF('Данные 1st'!$S$2:$S$317,$A4,'Данные 1st'!$QU$2:$QU$317),"")</f>
        <v/>
      </c>
      <c r="HK4" s="7">
        <f>IFERROR(AVERAGEIF('Данные 1st'!$S$2:$S$317,$A4,'Данные 1st'!$QV$2:$QV$317),"")</f>
        <v/>
      </c>
      <c r="HL4" s="7">
        <f>IFERROR(AVERAGEIF('Данные 1st'!$S$2:$S$317,$A4,'Данные 1st'!$QW$2:$QW$317),"")</f>
        <v>82</v>
      </c>
      <c r="HM4" s="7">
        <f>IFERROR(AVERAGEIF('Данные 1st'!$S$2:$S$317,$A4,'Данные 1st'!$QX$2:$QX$317),"")</f>
        <v>85</v>
      </c>
      <c r="HN4" s="7">
        <f>IFERROR(AVERAGEIF('Данные 1st'!$S$2:$S$317,$A4,'Данные 1st'!$QZ$2:$QZ$317),"")</f>
        <v>1.6666666666666667</v>
      </c>
      <c r="HO4" s="7">
        <f>IFERROR(AVERAGEIF('Данные 1st'!$S$2:$S$317,$A4,'Данные 1st'!$RA$2:$RA$317),"")</f>
        <v>66</v>
      </c>
      <c r="HP4" s="7">
        <f>IFERROR(AVERAGEIF('Данные 1st'!$S$2:$S$317,$A4,'Данные 1st'!$RB$2:$RB$317),"")</f>
        <v>66</v>
      </c>
      <c r="HQ4" s="7">
        <f>IFERROR(AVERAGEIF('Данные 1st'!$S$2:$S$317,$A4,'Данные 1st'!$RD$2:$RD$317),"")</f>
        <v/>
      </c>
      <c r="HR4" s="7">
        <f>IFERROR(AVERAGEIF('Данные 1st'!$S$2:$S$317,$A4,'Данные 1st'!$RE$2:$RE$317),"")</f>
        <v>0</v>
      </c>
      <c r="HS4" s="7">
        <f>IFERROR(AVERAGEIF('Данные 1st'!$S$2:$S$317,$A4,'Данные 1st'!$RF$2:$RF$317),"")</f>
        <v>1</v>
      </c>
      <c r="HT4" s="7">
        <f>IFERROR(AVERAGEIF('Данные 1st'!$S$2:$S$317,$A4,'Данные 1st'!$RG$2:$RG$317),"")</f>
        <v>1</v>
      </c>
      <c r="HU4" s="7">
        <f>IFERROR(AVERAGEIF('Данные 1st'!$S$2:$S$317,$A4,'Данные 1st'!$RH$2:$RH$317),"")</f>
        <v/>
      </c>
      <c r="HV4" s="7">
        <f>IFERROR(AVERAGEIF('Данные 1st'!$S$2:$S$317,$A4,'Данные 1st'!$RI$2:$RI$317),"")</f>
        <v/>
      </c>
      <c r="HW4" s="7">
        <f>IFERROR(AVERAGEIF('Данные 1st'!$S$2:$S$317,$A4,'Данные 1st'!$RJ$2:$RJ$317),"")</f>
        <v>1.6666666666666667</v>
      </c>
      <c r="HX4" s="7">
        <f>IFERROR(AVERAGEIF('Данные 1st'!$S$2:$S$317,$A4,'Данные 1st'!$RK$2:$RK$317),"")</f>
        <v/>
      </c>
      <c r="HY4" s="7">
        <f>IFERROR(AVERAGEIF('Данные 1st'!$S$2:$S$317,$A4,'Данные 1st'!$RL$2:$RL$317),"")</f>
        <v>1.3333333333333333</v>
      </c>
      <c r="HZ4" s="7">
        <f>IFERROR(AVERAGEIF('Данные 1st'!$S$2:$S$317,$A4,'Данные 1st'!$RM$2:$RM$317),"")</f>
        <v/>
      </c>
      <c r="IA4" s="7">
        <f>IFERROR(AVERAGEIF('Данные 1st'!$S$2:$S$317,$A4,'Данные 1st'!$RN$2:$RN$317),"")</f>
        <v/>
      </c>
      <c r="IB4" s="7">
        <f>IFERROR(AVERAGEIF('Данные 1st'!$S$2:$S$317,$A4,'Данные 1st'!$RO$2:$RO$317),"")</f>
        <v>450.6666666666667</v>
      </c>
      <c r="IC4" s="7">
        <f>IFERROR(AVERAGEIF('Данные 1st'!$S$2:$S$317,$A4,'Данные 1st'!$RP$2:$RP$317),"")</f>
        <v/>
      </c>
      <c r="ID4" s="7">
        <f>IFERROR(AVERAGEIF('Данные 1st'!$S$2:$S$317,$A4,'Данные 1st'!$RQ$2:$RQ$317),"")</f>
        <v>815</v>
      </c>
      <c r="IE4" s="7">
        <f>IFERROR(AVERAGEIF('Данные 1st'!$S$2:$S$317,$A4,'Данные 1st'!$RR$2:$RR$317),"")</f>
        <v/>
      </c>
      <c r="IF4" s="7">
        <f>IFERROR(AVERAGEIF('Данные 1st'!$S$2:$S$317,$A4,'Данные 1st'!$RS$2:$RS$317),"")</f>
        <v/>
      </c>
      <c r="IG4" s="7">
        <f>IFERROR(AVERAGEIF('Данные 1st'!$S$2:$S$317,$A4,'Данные 1st'!$RT$2:$RT$317),"")</f>
        <v>161.66666666666666</v>
      </c>
      <c r="IH4" s="7">
        <f>IFERROR(AVERAGEIF('Данные 1st'!$S$2:$S$317,$A4,'Данные 1st'!$RU$2:$RU$317),"")</f>
        <v>143.33333333333334</v>
      </c>
      <c r="II4" s="7">
        <f>IFERROR(AVERAGEIF('Данные 1st'!$S$2:$S$317,$A4,'Данные 1st'!$RX$2:$RX$317),"")</f>
        <v>15</v>
      </c>
      <c r="IJ4" s="7">
        <f>IFERROR(AVERAGEIF('Данные 1st'!$S$2:$S$317,$A4,'Данные 1st'!$RY$2:$RY$317),"")</f>
        <v>4</v>
      </c>
      <c r="IK4" s="7">
        <f>IFERROR(AVERAGEIF('Данные 1st'!$S$2:$S$317,$A4,'Данные 1st'!$SA$2:$SA$317),"")</f>
        <v>15</v>
      </c>
      <c r="IL4" s="7">
        <f>IFERROR(AVERAGEIF('Данные 1st'!$S$2:$S$317,$A4,'Данные 1st'!$SD$2:$SD$317),"")</f>
        <v>1</v>
      </c>
      <c r="IM4" s="7">
        <f>IFERROR(AVERAGEIF('Данные 1st'!$S$2:$S$317,$A4,'Данные 1st'!$SG$2:$SG$317),"")</f>
        <v/>
      </c>
      <c r="IN4" s="7">
        <f>IFERROR(AVERAGEIF('Данные 1st'!$S$2:$S$317,$A4,'Данные 1st'!$SH$2:$SH$317),"")</f>
        <v>0.995</v>
      </c>
      <c r="IO4" s="7">
        <f>IFERROR(AVERAGEIF('Данные 1st'!$S$2:$S$317,$A4,'Данные 1st'!$SI$2:$SI$317),"")</f>
        <v>0.995</v>
      </c>
      <c r="IP4" s="7">
        <f>IFERROR(AVERAGEIF('Данные 1st'!$S$2:$S$317,$A4,'Данные 1st'!$SJ$2:$SJ$317),"")</f>
        <v>0.995</v>
      </c>
      <c r="IQ4" s="7">
        <f>IFERROR(AVERAGEIF('Данные 1st'!$S$2:$S$317,$A4,'Данные 1st'!$SK$2:$SK$317),"")</f>
        <v>15</v>
      </c>
      <c r="IR4" s="7">
        <f>IFERROR(AVERAGEIF('Данные 1st'!$S$2:$S$317,$A4,'Данные 1st'!$SL$2:$SL$317),"")</f>
        <v>0</v>
      </c>
      <c r="IS4" s="7">
        <f>IFERROR(AVERAGEIF('Данные 1st'!$S$2:$S$317,$A4,'Данные 1st'!$SM$2:$SM$317),"")</f>
        <v>0</v>
      </c>
      <c r="IT4" s="7">
        <f>IFERROR(AVERAGEIF('Данные 1st'!$S$2:$S$317,$A4,'Данные 1st'!$SN$2:$SN$317),"")</f>
        <v>0</v>
      </c>
      <c r="IU4" s="7">
        <f>IFERROR(AVERAGEIF('Данные 1st'!$S$2:$S$317,$A4,'Данные 1st'!$SO$2:$SO$317),"")</f>
        <v>0</v>
      </c>
      <c r="IV4" s="7">
        <f>IFERROR(AVERAGEIF('Данные 1st'!$S$2:$S$317,$A4,'Данные 1st'!$SP$2:$SP$317),"")</f>
        <v>0</v>
      </c>
      <c r="IW4" s="7">
        <f>IFERROR(AVERAGEIF('Данные 1st'!$S$2:$S$317,$A4,'Данные 1st'!$SQ$2:$SQ$317),"")</f>
        <v>0</v>
      </c>
      <c r="IX4" s="7">
        <f>IFERROR(AVERAGEIF('Данные 1st'!$S$2:$S$317,$A4,'Данные 1st'!$SR$2:$SR$317),"")</f>
        <v>0</v>
      </c>
      <c r="IY4" s="7">
        <f>IFERROR(AVERAGEIF('Данные 1st'!$S$2:$S$317,$A4,'Данные 1st'!$SS$2:$SS$317),"")</f>
        <v>0</v>
      </c>
      <c r="IZ4" s="7">
        <f>IFERROR(AVERAGEIF('Данные 1st'!$S$2:$S$317,$A4,'Данные 1st'!$ST$2:$ST$317),"")</f>
        <v>0</v>
      </c>
      <c r="JA4" s="7">
        <f>IFERROR(AVERAGEIF('Данные 1st'!$S$2:$S$317,$A4,'Данные 1st'!$SU$2:$SU$317),"")</f>
        <v>0</v>
      </c>
      <c r="JB4" s="7">
        <f>IFERROR(AVERAGEIF('Данные 1st'!$S$2:$S$317,$A4,'Данные 1st'!$SV$2:$SV$317),"")</f>
        <v>0</v>
      </c>
      <c r="JC4" s="7">
        <f>IFERROR(AVERAGEIF('Данные 1st'!$S$2:$S$317,$A4,'Данные 1st'!$SW$2:$SW$317),"")</f>
        <v>0</v>
      </c>
      <c r="JD4" s="7">
        <f>IFERROR(AVERAGEIF('Данные 1st'!$S$2:$S$317,$A4,'Данные 1st'!$SX$2:$SX$317),"")</f>
        <v>0</v>
      </c>
      <c r="JE4" s="7">
        <f>IFERROR(AVERAGEIF('Данные 1st'!$S$2:$S$317,$A4,'Данные 1st'!$SY$2:$SY$317),"")</f>
        <v/>
      </c>
      <c r="JF4" s="7">
        <f>IFERROR(AVERAGEIF('Данные 1st'!$S$2:$S$317,$A4,'Данные 1st'!$SZ$2:$SZ$317),"")</f>
        <v/>
      </c>
      <c r="JG4" s="7">
        <f>IFERROR(AVERAGEIF('Данные 1st'!$S$2:$S$317,$A4,'Данные 1st'!$TA$2:$TA$317),"")</f>
        <v/>
      </c>
      <c r="JH4" s="7">
        <f>IFERROR(AVERAGEIF('Данные 1st'!$S$2:$S$317,$A4,'Данные 1st'!$TB$2:$TB$317),"")</f>
        <v>0</v>
      </c>
      <c r="JI4" s="7">
        <f>IFERROR(AVERAGEIF('Данные 1st'!$S$2:$S$317,$A4,'Данные 1st'!$TC$2:$TC$317),"")</f>
        <v>0</v>
      </c>
      <c r="JJ4" s="7">
        <f>IFERROR(AVERAGEIF('Данные 1st'!$S$2:$S$317,$A4,'Данные 1st'!$TD$2:$TD$317),"")</f>
        <v>7.5</v>
      </c>
      <c r="JK4" s="7">
        <f>IFERROR(AVERAGEIF('Данные 1st'!$S$2:$S$317,$A4,'Данные 1st'!$TN$2:$TN$317),"")</f>
        <v>0</v>
      </c>
      <c r="JL4">
        <f>COUNTIF('Данные 2st'!$Q$2:$Q$317,$A4)</f>
        <v>3</v>
      </c>
      <c r="JM4" s="6" t="s">
        <v>5083</v>
      </c>
      <c r="JN4" s="6" t="s">
        <v>513</v>
      </c>
      <c r="JO4" s="6" t="s">
        <v>5125</v>
      </c>
      <c r="JP4" s="6" t="s">
        <v>5463</v>
      </c>
      <c r="JQ4" s="7">
        <f>IFERROR(AVERAGEIF('Данные 2st'!$Q$2:$Q$317,$A4,'Данные 2st'!$AC$2:$AC$317),"")</f>
        <v>10.333333333333334</v>
      </c>
      <c r="JR4" s="7">
        <f>IFERROR(AVERAGEIF('Данные 2st'!$Q$2:$Q$317,$A4,'Данные 2st'!$AF$2:$AF$317),"")</f>
        <v>3186</v>
      </c>
      <c r="JS4" s="7">
        <f>IFERROR(AVERAGEIF('Данные 2st'!$Q$2:$Q$317,$A4,'Данные 2st'!$AW$2:$AW$317),"")</f>
        <v>6.4</v>
      </c>
      <c r="JT4" s="7">
        <f>IFERROR(AVERAGEIF('Данные 2st'!$Q$2:$Q$317,$A4,'Данные 2st'!$AX$2:$AX$317),"")</f>
        <v>-6</v>
      </c>
      <c r="JU4" s="7">
        <f>IFERROR(AVERAGEIF('Данные 2st'!$Q$2:$Q$317,$A4,'Данные 2st'!$AY$2:$AY$317),"")</f>
        <v>82.5</v>
      </c>
      <c r="JV4" s="7">
        <f>IFERROR(AVERAGEIF('Данные 2st'!$Q$2:$Q$317,$A4,'Данные 2st'!$AZ$2:$AZ$317),"")</f>
        <v>62.333333333333336</v>
      </c>
      <c r="JW4" s="7">
        <f>IFERROR(AVERAGEIF('Данные 2st'!$Q$2:$Q$317,$A4,'Данные 2st'!$BA$2:$BA$317),"")</f>
        <v/>
      </c>
      <c r="JX4" s="7">
        <f>IFERROR(AVERAGEIF('Данные 2st'!$Q$2:$Q$317,$A4,'Данные 2st'!$BB$2:$BB$317),"")</f>
        <v/>
      </c>
      <c r="JY4" s="7">
        <f>IFERROR(AVERAGEIF('Данные 2st'!$Q$2:$Q$317,$A4,'Данные 2st'!$BC$2:$BC$317),"")</f>
        <v/>
      </c>
      <c r="JZ4" s="7">
        <f>IFERROR(AVERAGEIF('Данные 2st'!$Q$2:$Q$317,$A4,'Данные 2st'!$BH$2:$BH$317),"")</f>
        <v>82.5</v>
      </c>
      <c r="KA4" s="7">
        <f>IFERROR(AVERAGEIF('Данные 2st'!$Q$2:$Q$317,$A4,'Данные 2st'!$BI$2:$BI$317),"")</f>
        <v>20.166666666666668</v>
      </c>
      <c r="KB4" s="7">
        <f>IFERROR(AVERAGEIF('Данные 2st'!$Q$2:$Q$317,$A4,'Данные 2st'!$BJ$2:$BJ$317),"")</f>
        <v>62.333333333333336</v>
      </c>
      <c r="KC4" s="7">
        <f>IFERROR(AVERAGEIF('Данные 2st'!$Q$2:$Q$317,$A4,'Данные 2st'!$BK$2:$BK$317),"")</f>
        <v>2.5</v>
      </c>
      <c r="KD4" s="7">
        <f>IFERROR(AVERAGEIF('Данные 2st'!$Q$2:$Q$317,$A4,'Данные 2st'!$BL$2:$BL$317),"")</f>
        <v>165</v>
      </c>
      <c r="KE4" s="7">
        <f>IFERROR(AVERAGEIF('Данные 2st'!$Q$2:$Q$317,$A4,'Данные 2st'!$BM$2:$BM$317),"")</f>
        <v>-6</v>
      </c>
      <c r="KF4" s="7">
        <f>IFERROR(AVERAGEIF('Данные 2st'!$Q$2:$Q$317,$A4,'Данные 2st'!$BN$2:$BN$317),"")</f>
        <v>0</v>
      </c>
      <c r="KG4" s="7">
        <f>IFERROR(AVERAGEIF('Данные 2st'!$Q$2:$Q$317,$A4,'Данные 2st'!$BO$2:$BO$317),"")</f>
        <v>0</v>
      </c>
      <c r="KH4" s="7">
        <f>IFERROR(AVERAGEIF('Данные 2st'!$Q$2:$Q$317,$A4,'Данные 2st'!$BP$2:$BP$317),"")</f>
        <v>0</v>
      </c>
      <c r="KI4" s="7">
        <f>IFERROR(AVERAGEIF('Данные 2st'!$Q$2:$Q$317,$A4,'Данные 2st'!$BR$2:$BR$317),"")</f>
        <v>160</v>
      </c>
      <c r="KJ4" s="7">
        <f>IFERROR(AVERAGEIF('Данные 2st'!$Q$2:$Q$317,$A4,'Данные 2st'!$BS$2:$BS$317),"")</f>
        <v>150</v>
      </c>
      <c r="KK4" s="7">
        <f>IFERROR(AVERAGEIF('Данные 2st'!$Q$2:$Q$317,$A4,'Данные 2st'!$BT$2:$BT$317),"")</f>
        <v>1703.3333333333333</v>
      </c>
      <c r="KL4" s="7">
        <f>IFERROR(AVERAGEIF('Данные 2st'!$Q$2:$Q$317,$A4,'Данные 2st'!$CV$2:$CV$317),"")</f>
        <v>109.33333333333333</v>
      </c>
      <c r="KM4" s="7">
        <f>IFERROR(AVERAGEIF('Данные 2st'!$Q$2:$Q$317,$A4,'Данные 2st'!$CW$2:$CW$317),"")</f>
        <v>3</v>
      </c>
      <c r="KN4" s="7">
        <f>IFERROR(AVERAGEIF('Данные 2st'!$Q$2:$Q$317,$A4,'Данные 2st'!$CX$2:$CX$317),"")</f>
        <v>82</v>
      </c>
      <c r="KO4" s="7">
        <f>IFERROR(AVERAGEIF('Данные 2st'!$Q$2:$Q$317,$A4,'Данные 2st'!$CY$2:$CY$317),"")</f>
        <v>5</v>
      </c>
      <c r="KP4" s="7">
        <f>IFERROR(AVERAGEIF('Данные 2st'!$Q$2:$Q$317,$A4,'Данные 2st'!$CZ$2:$CZ$317),"")</f>
        <v>96.66666666666667</v>
      </c>
      <c r="KQ4" s="7">
        <f>IFERROR(AVERAGEIF('Данные 2st'!$Q$2:$Q$317,$A4,'Данные 2st'!$DA$2:$DA$317),"")</f>
        <v>5</v>
      </c>
      <c r="KR4" s="7">
        <f>IFERROR(AVERAGEIF('Данные 2st'!$Q$2:$Q$317,$A4,'Данные 2st'!$DB$2:$DB$317),"")</f>
        <v>7453.333333333333</v>
      </c>
      <c r="KS4" s="7">
        <f>IFERROR(AVERAGEIF('Данные 2st'!$Q$2:$Q$317,$A4,'Данные 2st'!$DC$2:$DC$317),"")</f>
        <v>220</v>
      </c>
      <c r="KT4" s="7">
        <f>IFERROR(AVERAGEIF('Данные 2st'!$Q$2:$Q$317,$A4,'Данные 2st'!$DD$2:$DD$317),"")</f>
        <v>263.6666666666667</v>
      </c>
      <c r="KU4" s="7">
        <f>IFERROR(AVERAGEIF('Данные 2st'!$Q$2:$Q$317,$A4,'Данные 2st'!$DE$2:$DE$317),"")</f>
        <v>1788.3333333333333</v>
      </c>
      <c r="KV4" s="7">
        <f>IFERROR(AVERAGEIF('Данные 2st'!$Q$2:$Q$317,$A4,'Данные 2st'!$DF$2:$DF$317),"")</f>
        <v>1788.3333333333333</v>
      </c>
      <c r="KW4" s="7">
        <f>IFERROR(AVERAGEIF('Данные 2st'!$Q$2:$Q$317,$A4,'Данные 2st'!$DG$2:$DG$317),"")</f>
        <v>1816</v>
      </c>
      <c r="KX4" s="7">
        <f>IFERROR(AVERAGEIF('Данные 2st'!$Q$2:$Q$317,$A4,'Данные 2st'!$DH$2:$DH$317),"")</f>
        <v/>
      </c>
      <c r="KY4" s="7">
        <f>IFERROR(AVERAGEIF('Данные 2st'!$Q$2:$Q$317,$A4,'Данные 2st'!$DI$2:$DI$317),"")</f>
        <v/>
      </c>
      <c r="KZ4" s="7">
        <f>IFERROR(AVERAGEIF('Данные 2st'!$Q$2:$Q$317,$A4,'Данные 2st'!$DK$2:$DK$317),"")</f>
        <v>160</v>
      </c>
      <c r="LA4" s="7">
        <f>IFERROR(AVERAGEIF('Данные 2st'!$Q$2:$Q$317,$A4,'Данные 2st'!$DM$2:$DM$317),"")</f>
        <v>64.33333333333333</v>
      </c>
      <c r="LB4" s="7">
        <f>IFERROR(AVERAGEIF('Данные 2st'!$Q$2:$Q$317,$A4,'Данные 2st'!$DN$2:$DN$317),"")</f>
        <v>0.84</v>
      </c>
      <c r="LC4" s="7">
        <f>IFERROR(AVERAGEIF('Данные 2st'!$Q$2:$Q$317,$A4,'Данные 2st'!$DO$2:$DO$317),"")</f>
        <v>1</v>
      </c>
      <c r="LD4" s="7">
        <f>IFERROR(AVERAGEIF('Данные 2st'!$Q$2:$Q$317,$A4,'Данные 2st'!$DP$2:$DP$317),"")</f>
        <v>1706.3333333333333</v>
      </c>
      <c r="LE4" s="7">
        <f>IFERROR(AVERAGEIF('Данные 2st'!$Q$2:$Q$317,$A4,'Данные 2st'!$DQ$2:$DQ$317),"")</f>
        <v>498.6666666666667</v>
      </c>
      <c r="LF4" s="7">
        <f>IFERROR(AVERAGEIF('Данные 2st'!$Q$2:$Q$317,$A4,'Данные 2st'!$DS$2:$DS$317),"")</f>
        <v>150</v>
      </c>
      <c r="LG4" s="7">
        <f>IFERROR(AVERAGEIF('Данные 2st'!$Q$2:$Q$317,$A4,'Данные 2st'!$DU$2:$DU$317),"")</f>
        <v>64.33333333333333</v>
      </c>
      <c r="LH4" s="7">
        <f>IFERROR(AVERAGEIF('Данные 2st'!$Q$2:$Q$317,$A4,'Данные 2st'!$DV$2:$DV$317),"")</f>
        <v>0.84</v>
      </c>
      <c r="LI4" s="7">
        <f>IFERROR(AVERAGEIF('Данные 2st'!$Q$2:$Q$317,$A4,'Данные 2st'!$DW$2:$DW$317),"")</f>
        <v>1</v>
      </c>
      <c r="LJ4" s="7">
        <f>IFERROR(AVERAGEIF('Данные 2st'!$Q$2:$Q$317,$A4,'Данные 2st'!$DX$2:$DX$317),"")</f>
        <v>1713.3333333333333</v>
      </c>
      <c r="LK4" s="7">
        <f>IFERROR(AVERAGEIF('Данные 2st'!$Q$2:$Q$317,$A4,'Данные 2st'!$DY$2:$DY$317),"")</f>
        <v>469.3333333333333</v>
      </c>
      <c r="LL4" s="7">
        <f>IFERROR(AVERAGEIF('Данные 2st'!$Q$2:$Q$317,$A4,'Данные 2st'!$EA$2:$EA$317),"")</f>
        <v>33</v>
      </c>
      <c r="LM4" s="7">
        <f>IFERROR(AVERAGEIF('Данные 2st'!$Q$2:$Q$317,$A4,'Данные 2st'!$EC$2:$EC$317),"")</f>
        <v>0.4</v>
      </c>
      <c r="LN4" s="7">
        <f>IFERROR(AVERAGEIF('Данные 2st'!$Q$2:$Q$317,$A4,'Данные 2st'!$ED$2:$ED$317),"")</f>
        <v>1706.3333333333333</v>
      </c>
      <c r="LO4" s="7">
        <f>IFERROR(AVERAGEIF('Данные 2st'!$Q$2:$Q$317,$A4,'Данные 2st'!$EE$2:$EE$317),"")</f>
        <v>49.333333333333336</v>
      </c>
      <c r="LP4" s="7">
        <f>IFERROR(AVERAGEIF('Данные 2st'!$Q$2:$Q$317,$A4,'Данные 2st'!$EG$2:$EG$317),"")</f>
        <v>33</v>
      </c>
      <c r="LQ4" s="7">
        <f>IFERROR(AVERAGEIF('Данные 2st'!$Q$2:$Q$317,$A4,'Данные 2st'!$EI$2:$EI$317),"")</f>
        <v>0.4</v>
      </c>
      <c r="LR4" s="7">
        <f>IFERROR(AVERAGEIF('Данные 2st'!$Q$2:$Q$317,$A4,'Данные 2st'!$EJ$2:$EJ$317),"")</f>
        <v>1713.3333333333333</v>
      </c>
      <c r="LS4" s="7">
        <f>IFERROR(AVERAGEIF('Данные 2st'!$Q$2:$Q$317,$A4,'Данные 2st'!$EK$2:$EK$317),"")</f>
        <v>49.666666666666664</v>
      </c>
      <c r="LT4" s="7">
        <f>IFERROR(AVERAGEIF('Данные 2st'!$Q$2:$Q$317,$A4,'Данные 2st'!$EM$2:$EM$317),"")</f>
        <v>12</v>
      </c>
      <c r="LU4" s="7">
        <f>IFERROR(AVERAGEIF('Данные 2st'!$Q$2:$Q$317,$A4,'Данные 2st'!$EN$2:$EN$317),"")</f>
        <v>0.5</v>
      </c>
      <c r="LV4" s="7">
        <f>IFERROR(AVERAGEIF('Данные 2st'!$Q$2:$Q$317,$A4,'Данные 2st'!$EO$2:$EO$317),"")</f>
        <v>0.8333333333333334</v>
      </c>
      <c r="LW4" s="7">
        <f>IFERROR(AVERAGEIF('Данные 2st'!$Q$2:$Q$317,$A4,'Данные 2st'!$EP$2:$EP$317),"")</f>
        <v>1713.8933333333332</v>
      </c>
      <c r="LX4" s="7">
        <f>IFERROR(AVERAGEIF('Данные 2st'!$Q$2:$Q$317,$A4,'Данные 2st'!$EQ$2:$EQ$317),"")</f>
        <v>23696.02666666667</v>
      </c>
      <c r="LY4" s="7">
        <f>IFERROR(AVERAGEIF('Данные 2st'!$Q$2:$Q$317,$A4,'Данные 2st'!$ER$2:$ER$317),"")</f>
        <v>5424.606666666667</v>
      </c>
      <c r="LZ4" s="7">
        <f>IFERROR(AVERAGEIF('Данные 2st'!$Q$2:$Q$317,$A4,'Данные 2st'!$ES$2:$ES$317),"")</f>
        <v>0</v>
      </c>
      <c r="MA4" s="7">
        <f>IFERROR(AVERAGEIF('Данные 2st'!$Q$2:$Q$317,$A4,'Данные 2st'!$ET$2:$ET$317),"")</f>
        <v>0</v>
      </c>
      <c r="MB4" s="7">
        <f>IFERROR(AVERAGEIF('Данные 2st'!$Q$2:$Q$317,$A4,'Данные 2st'!$EU$2:$EU$317),"")</f>
        <v>1</v>
      </c>
      <c r="MC4" s="7">
        <f>IFERROR(AVERAGEIF('Данные 2st'!$Q$2:$Q$317,$A4,'Данные 2st'!$EV$2:$EV$317),"")</f>
        <v>29121</v>
      </c>
      <c r="MD4" s="7">
        <f>IFERROR(AVERAGEIF('Данные 2st'!$Q$2:$Q$317,$A4,'Данные 2st'!$EW$2:$EW$317),"")</f>
        <v>311</v>
      </c>
      <c r="ME4" s="7">
        <f>IFERROR(AVERAGEIF('Данные 2st'!$Q$2:$Q$317,$A4,'Данные 2st'!$EY$2:$EY$317),"")</f>
        <v>182.66666666666666</v>
      </c>
      <c r="MF4" s="7">
        <f>IFERROR(AVERAGEIF('Данные 2st'!$Q$2:$Q$317,$A4,'Данные 2st'!$FA$2:$FA$317),"")</f>
        <v>4.233333333333333</v>
      </c>
      <c r="MG4" s="7">
        <f>IFERROR(AVERAGEIF('Данные 2st'!$Q$2:$Q$317,$A4,'Данные 2st'!$FB$2:$FB$317),"")</f>
        <v>1</v>
      </c>
      <c r="MH4" s="7">
        <f>IFERROR(AVERAGEIF('Данные 2st'!$Q$2:$Q$317,$A4,'Данные 2st'!$FC$2:$FC$317),"")</f>
        <v>1</v>
      </c>
      <c r="MI4" s="7">
        <f>IFERROR(AVERAGEIF('Данные 2st'!$Q$2:$Q$317,$A4,'Данные 2st'!$FD$2:$FD$317),"")</f>
        <v>1740.6666666666667</v>
      </c>
      <c r="MJ4" s="7">
        <f>IFERROR(AVERAGEIF('Данные 2st'!$Q$2:$Q$317,$A4,'Данные 2st'!$FE$2:$FE$317),"")</f>
        <v>1895.3333333333333</v>
      </c>
      <c r="MK4" s="7">
        <f>IFERROR(AVERAGEIF('Данные 2st'!$Q$2:$Q$317,$A4,'Данные 2st'!$FG$2:$FG$317),"")</f>
        <v>182.66666666666666</v>
      </c>
      <c r="ML4" s="7">
        <f>IFERROR(AVERAGEIF('Данные 2st'!$Q$2:$Q$317,$A4,'Данные 2st'!$FI$2:$FI$317),"")</f>
        <v>2.033333333333333</v>
      </c>
      <c r="MM4" s="7">
        <f>IFERROR(AVERAGEIF('Данные 2st'!$Q$2:$Q$317,$A4,'Данные 2st'!$FJ$2:$FJ$317),"")</f>
        <v>1740.6666666666667</v>
      </c>
      <c r="MN4" s="7">
        <f>IFERROR(AVERAGEIF('Данные 2st'!$Q$2:$Q$317,$A4,'Данные 2st'!$FK$2:$FK$317),"")</f>
        <v>730</v>
      </c>
      <c r="MO4" s="7">
        <f>IFERROR(AVERAGEIF('Данные 2st'!$Q$2:$Q$317,$A4,'Данные 2st'!$FP$2:$FP$317),"")</f>
        <v>1740.6666666666667</v>
      </c>
      <c r="MP4" s="7">
        <f>IFERROR(AVERAGEIF('Данные 2st'!$Q$2:$Q$317,$A4,'Данные 2st'!$FQ$2:$FQ$317),"")</f>
        <v>99</v>
      </c>
      <c r="MQ4" s="7">
        <f>IFERROR(AVERAGEIF('Данные 2st'!$Q$2:$Q$317,$A4,'Данные 2st'!$FS$2:$FS$317),"")</f>
        <v>186.66666666666666</v>
      </c>
      <c r="MR4" s="7">
        <f>IFERROR(AVERAGEIF('Данные 2st'!$Q$2:$Q$317,$A4,'Данные 2st'!$FU$2:$FU$317),"")</f>
        <v>0.4</v>
      </c>
      <c r="MS4" s="7">
        <f>IFERROR(AVERAGEIF('Данные 2st'!$Q$2:$Q$317,$A4,'Данные 2st'!$FV$2:$FV$317),"")</f>
        <v>1740.6666666666667</v>
      </c>
      <c r="MT4" s="7">
        <f>IFERROR(AVERAGEIF('Данные 2st'!$Q$2:$Q$317,$A4,'Данные 2st'!$FW$2:$FW$317),"")</f>
        <v>144.66666666666666</v>
      </c>
      <c r="MU4" s="7">
        <f>IFERROR(AVERAGEIF('Данные 2st'!$Q$2:$Q$317,$A4,'Данные 2st'!$FY$2:$FY$317),"")</f>
        <v>8.333333333333334</v>
      </c>
      <c r="MV4" s="7">
        <f>IFERROR(AVERAGEIF('Данные 2st'!$Q$2:$Q$317,$A4,'Данные 2st'!$GB$2:$GB$317),"")</f>
        <v>1740.6666666666667</v>
      </c>
      <c r="MW4" s="7">
        <f>IFERROR(AVERAGEIF('Данные 2st'!$Q$2:$Q$317,$A4,'Данные 2st'!$GC$2:$GC$317),"")</f>
        <v>15.666666666666666</v>
      </c>
      <c r="MX4" s="7">
        <f>IFERROR(AVERAGEIF('Данные 2st'!$Q$2:$Q$317,$A4,'Данные 2st'!$GD$2:$GD$317),"")</f>
        <v>2884.6666666666665</v>
      </c>
      <c r="MY4" s="7">
        <f>IFERROR(AVERAGEIF('Данные 2st'!$Q$2:$Q$317,$A4,'Данные 2st'!$GN$2:$GN$317),"")</f>
        <v/>
      </c>
      <c r="MZ4" s="7">
        <f>IFERROR(AVERAGEIF('Данные 2st'!$Q$2:$Q$317,$A4,'Данные 2st'!$GQ$2:$GQ$317),"")</f>
        <v>0</v>
      </c>
      <c r="NA4" s="7">
        <f>IFERROR(AVERAGEIF('Данные 2st'!$Q$2:$Q$317,$A4,'Данные 2st'!$GV$2:$GV$317),"")</f>
        <v>6.666666666666667</v>
      </c>
      <c r="NB4" s="7">
        <f>IFERROR(AVERAGEIF('Данные 2st'!$Q$2:$Q$317,$A4,'Данные 2st'!$GW$2:$GW$317),"")</f>
        <v>9.566666666666666</v>
      </c>
      <c r="NC4" s="7">
        <f>IFERROR(AVERAGEIF('Данные 2st'!$Q$2:$Q$317,$A4,'Данные 2st'!$GX$2:$GX$317),"")</f>
        <v>0.5</v>
      </c>
      <c r="ND4" s="7">
        <f>IFERROR(AVERAGEIF('Данные 2st'!$Q$2:$Q$317,$A4,'Данные 2st'!$GY$2:$GY$317),"")</f>
        <v>155.33333333333334</v>
      </c>
      <c r="NE4" s="7">
        <f>IFERROR(AVERAGEIF('Данные 2st'!$Q$2:$Q$317,$A4,'Данные 2st'!$GZ$2:$GZ$317),"")</f>
        <v>3</v>
      </c>
      <c r="NF4" s="7">
        <f>IFERROR(AVERAGEIF('Данные 2st'!$Q$2:$Q$317,$A4,'Данные 2st'!$HA$2:$HA$317),"")</f>
        <v>197.33333333333334</v>
      </c>
      <c r="NG4" s="7">
        <f>IFERROR(AVERAGEIF('Данные 2st'!$Q$2:$Q$317,$A4,'Данные 2st'!$HB$2:$HB$317),"")</f>
        <v>3</v>
      </c>
      <c r="NH4" s="7">
        <f>IFERROR(AVERAGEIF('Данные 2st'!$Q$2:$Q$317,$A4,'Данные 2st'!$HC$2:$HC$317),"")</f>
        <v>1740.6666666666667</v>
      </c>
      <c r="NI4" s="7">
        <f>IFERROR(AVERAGEIF('Данные 2st'!$Q$2:$Q$317,$A4,'Данные 2st'!$HD$2:$HD$317),"")</f>
        <v>4</v>
      </c>
      <c r="NJ4" s="7">
        <f>IFERROR(AVERAGEIF('Данные 2st'!$Q$2:$Q$317,$A4,'Данные 2st'!$HM$2:$HM$317),"")</f>
        <v>15</v>
      </c>
      <c r="NK4" s="7">
        <f>IFERROR(AVERAGEIF('Данные 2st'!$Q$2:$Q$317,$A4,'Данные 2st'!$HR$2:$HR$317),"")</f>
        <v>3</v>
      </c>
      <c r="NL4" s="7">
        <f>IFERROR(AVERAGEIF('Данные 2st'!$Q$2:$Q$317,$A4,'Данные 2st'!$HS$2:$HS$317),"")</f>
        <v>1703.3333333333333</v>
      </c>
      <c r="NM4" s="7">
        <f>IFERROR(AVERAGEIF('Данные 2st'!$Q$2:$Q$317,$A4,'Данные 2st'!$HT$2:$HT$317),"")</f>
        <v>5</v>
      </c>
      <c r="NN4" s="7">
        <f>IFERROR(AVERAGEIF('Данные 2st'!$Q$2:$Q$317,$A4,'Данные 2st'!$HY$2:$HY$317),"")</f>
        <v>0</v>
      </c>
      <c r="NO4" s="7">
        <f>IFERROR(AVERAGEIF('Данные 2st'!$Q$2:$Q$317,$A4,'Данные 2st'!$HZ$2:$HZ$317),"")</f>
        <v>64.33333333333333</v>
      </c>
      <c r="NP4" s="7">
        <f>IFERROR(AVERAGEIF('Данные 2st'!$Q$2:$Q$317,$A4,'Данные 2st'!$IA$2:$IA$317),"")</f>
        <v>1706.3333333333333</v>
      </c>
      <c r="NQ4" s="7">
        <f>IFERROR(AVERAGEIF('Данные 2st'!$Q$2:$Q$317,$A4,'Данные 2st'!$IB$2:$IB$317),"")</f>
        <v>1713.3333333333333</v>
      </c>
      <c r="NR4" s="7">
        <f>IFERROR(AVERAGEIF('Данные 2st'!$Q$2:$Q$317,$A4,'Данные 2st'!$IC$2:$IC$317),"")</f>
        <v/>
      </c>
      <c r="NS4" s="7">
        <f>IFERROR(AVERAGEIF('Данные 2st'!$Q$2:$Q$317,$A4,'Данные 2st'!$ID$2:$ID$317),"")</f>
        <v>1740.6666666666667</v>
      </c>
      <c r="NT4" s="7">
        <f>IFERROR(AVERAGEIF('Данные 2st'!$Q$2:$Q$317,$A4,'Данные 2st'!$IE$2:$IE$317),"")</f>
        <v>1740.6666666666667</v>
      </c>
      <c r="NU4" s="7">
        <f>IFERROR(AVERAGEIF('Данные 2st'!$Q$2:$Q$317,$A4,'Данные 2st'!$IF$2:$IF$317),"")</f>
        <v>160</v>
      </c>
      <c r="NV4" s="7">
        <f>IFERROR(AVERAGEIF('Данные 2st'!$Q$2:$Q$317,$A4,'Данные 2st'!$IG$2:$IG$317),"")</f>
        <v>150</v>
      </c>
      <c r="NW4" s="7">
        <f>IFERROR(AVERAGEIF('Данные 2st'!$Q$2:$Q$317,$A4,'Данные 2st'!$IH$2:$IH$317),"")</f>
        <v>197.33333333333334</v>
      </c>
      <c r="NX4" s="7">
        <f>IFERROR(AVERAGEIF('Данные 2st'!$Q$2:$Q$317,$A4,'Данные 2st'!$IJ$2:$IJ$317),"")</f>
        <v>5</v>
      </c>
      <c r="NY4" s="7">
        <f>IFERROR(AVERAGEIF('Данные 2st'!$Q$2:$Q$317,$A4,'Данные 2st'!$IM$2:$IM$317),"")</f>
        <v>0</v>
      </c>
      <c r="NZ4" s="7">
        <f>IFERROR(AVERAGEIF('Данные 2st'!$Q$2:$Q$317,$A4,'Данные 2st'!$IN$2:$IN$317),"")</f>
        <v>270</v>
      </c>
      <c r="OA4" s="7">
        <f>IFERROR(AVERAGEIF('Данные 2st'!$Q$2:$Q$317,$A4,'Данные 2st'!$IO$2:$IO$317),"")</f>
        <v>0</v>
      </c>
      <c r="OB4" s="7">
        <f>IFERROR(AVERAGEIF('Данные 2st'!$Q$2:$Q$317,$A4,'Данные 2st'!$IP$2:$IP$317),"")</f>
        <v>180</v>
      </c>
      <c r="OC4" s="7">
        <f>IFERROR(AVERAGEIF('Данные 2st'!$Q$2:$Q$317,$A4,'Данные 2st'!$IQ$2:$IQ$317),"")</f>
        <v>0</v>
      </c>
      <c r="OD4" s="7">
        <f>IFERROR(AVERAGEIF('Данные 2st'!$Q$2:$Q$317,$A4,'Данные 2st'!$IR$2:$IR$317),"")</f>
        <v>330</v>
      </c>
      <c r="OE4" s="7">
        <f>IFERROR(AVERAGEIF('Данные 2st'!$Q$2:$Q$317,$A4,'Данные 2st'!$IT$2:$IT$317),"")</f>
        <v>90</v>
      </c>
      <c r="OF4" s="7">
        <f>IFERROR(AVERAGEIF('Данные 2st'!$Q$2:$Q$317,$A4,'Данные 2st'!$IU$2:$IU$317),"")</f>
        <v>0</v>
      </c>
      <c r="OG4" s="7">
        <f>IFERROR(AVERAGEIF('Данные 2st'!$Q$2:$Q$317,$A4,'Данные 2st'!$IV$2:$IV$317),"")</f>
        <v>6.4</v>
      </c>
      <c r="OH4" s="7">
        <f>IFERROR(AVERAGEIF('Данные 2st'!$Q$2:$Q$317,$A4,'Данные 2st'!$IW$2:$IW$317),"")</f>
        <v>-6</v>
      </c>
      <c r="OI4" s="7">
        <f>IFERROR(AVERAGEIF('Данные 2st'!$Q$2:$Q$317,$A4,'Данные 2st'!$IX$2:$IX$317),"")</f>
        <v>82.5</v>
      </c>
      <c r="OJ4" s="7">
        <f>IFERROR(AVERAGEIF('Данные 2st'!$Q$2:$Q$317,$A4,'Данные 2st'!$IY$2:$IY$317),"")</f>
        <v>62.333333333333336</v>
      </c>
      <c r="OK4" s="7">
        <f>IFERROR(AVERAGEIF('Данные 2st'!$Q$2:$Q$317,$A4,'Данные 2st'!$IZ$2:$IZ$317),"")</f>
        <v>0</v>
      </c>
      <c r="OL4" s="7">
        <f>IFERROR(AVERAGEIF('Данные 2st'!$Q$2:$Q$317,$A4,'Данные 2st'!$JA$2:$JA$317),"")</f>
        <v>0</v>
      </c>
      <c r="OM4" s="7">
        <f>IFERROR(AVERAGEIF('Данные 2st'!$Q$2:$Q$317,$A4,'Данные 2st'!$JB$2:$JB$317),"")</f>
        <v>0</v>
      </c>
      <c r="ON4" s="7">
        <f>IFERROR(AVERAGEIF('Данные 2st'!$Q$2:$Q$317,$A4,'Данные 2st'!$JC$2:$JC$317),"")</f>
        <v>0</v>
      </c>
      <c r="OO4" s="7">
        <f>IFERROR(AVERAGEIF('Данные 2st'!$Q$2:$Q$317,$A4,'Данные 2st'!$JD$2:$JD$317),"")</f>
        <v>0</v>
      </c>
      <c r="OP4" s="7">
        <f>IFERROR(AVERAGEIF('Данные 2st'!$Q$2:$Q$317,$A4,'Данные 2st'!$JE$2:$JE$317),"")</f>
        <v>0</v>
      </c>
      <c r="OQ4" s="7">
        <f>IFERROR(AVERAGEIF('Данные 2st'!$Q$2:$Q$317,$A4,'Данные 2st'!$JF$2:$JF$317),"")</f>
        <v>0</v>
      </c>
      <c r="OR4" s="7">
        <f>IFERROR(AVERAGEIF('Данные 2st'!$Q$2:$Q$317,$A4,'Данные 2st'!$JG$2:$JG$317),"")</f>
        <v>0</v>
      </c>
      <c r="OS4" s="7">
        <f>IFERROR(AVERAGEIF('Данные 2st'!$Q$2:$Q$317,$A4,'Данные 2st'!$JH$2:$JH$317),"")</f>
        <v>0</v>
      </c>
      <c r="OT4" s="7">
        <f>IFERROR(AVERAGEIF('Данные 2st'!$Q$2:$Q$317,$A4,'Данные 2st'!$JI$2:$JI$317),"")</f>
        <v>307.3333333333333</v>
      </c>
      <c r="OU4" s="7">
        <f>IFERROR(AVERAGEIF('Данные 2st'!$Q$2:$Q$317,$A4,'Данные 2st'!$JJ$2:$JJ$317),"")</f>
        <v>278</v>
      </c>
      <c r="OV4" s="7">
        <f>IFERROR(AVERAGEIF('Данные 2st'!$Q$2:$Q$317,$A4,'Данные 2st'!$JK$2:$JK$317),"")</f>
        <v>215.33333333333334</v>
      </c>
      <c r="OW4" s="7">
        <f>IFERROR(AVERAGEIF('Данные 2st'!$Q$2:$Q$317,$A4,'Данные 2st'!$JL$2:$JL$317),"")</f>
        <v>278</v>
      </c>
      <c r="OX4" s="7">
        <f>IFERROR(AVERAGEIF('Данные 2st'!$Q$2:$Q$317,$A4,'Данные 2st'!$JM$2:$JM$317),"")</f>
        <v>222.33333333333334</v>
      </c>
      <c r="OY4" s="7">
        <f>IFERROR(AVERAGEIF('Данные 2st'!$Q$2:$Q$317,$A4,'Данные 2st'!$JP$2:$JP$317),"")</f>
        <v>211.66666666666666</v>
      </c>
      <c r="OZ4" s="7">
        <f>IFERROR(AVERAGEIF('Данные 2st'!$Q$2:$Q$317,$A4,'Данные 2st'!$JQ$2:$JQ$317),"")</f>
        <v>245</v>
      </c>
      <c r="PA4" s="7">
        <f>IFERROR(AVERAGEIF('Данные 2st'!$Q$2:$Q$317,$A4,'Данные 2st'!$JR$2:$JR$317),"")</f>
        <v>340</v>
      </c>
      <c r="PB4" s="7">
        <f>IFERROR(AVERAGEIF('Данные 2st'!$Q$2:$Q$317,$A4,'Данные 2st'!$JS$2:$JS$317),"")</f>
        <v>280</v>
      </c>
      <c r="PC4" s="7">
        <f>IFERROR(AVERAGEIF('Данные 2st'!$Q$2:$Q$317,$A4,'Данные 2st'!$JT$2:$JT$317),"")</f>
        <v>0</v>
      </c>
      <c r="PD4" s="7">
        <f>IFERROR(AVERAGEIF('Данные 2st'!$Q$2:$Q$317,$A4,'Данные 2st'!$JU$2:$JU$317),"")</f>
        <v>0</v>
      </c>
      <c r="PE4" s="7">
        <f>IFERROR(AVERAGEIF('Данные 2st'!$Q$2:$Q$317,$A4,'Данные 2st'!$JV$2:$JV$317),"")</f>
        <v>333.3333333333333</v>
      </c>
      <c r="PF4" s="7">
        <f>IFERROR(AVERAGEIF('Данные 2st'!$Q$2:$Q$317,$A4,'Данные 2st'!$JW$2:$JW$317),"")</f>
        <v>334.6666666666667</v>
      </c>
      <c r="PG4" s="7">
        <f>IFERROR(AVERAGEIF('Данные 2st'!$Q$2:$Q$317,$A4,'Данные 2st'!$KF$2:$KF$317),"")</f>
        <v>0.16666666666666666</v>
      </c>
      <c r="PH4" s="7">
        <f>IFERROR(AVERAGEIF('Данные 2st'!$Q$2:$Q$317,$A4,'Данные 2st'!$KG$2:$KG$317),"")</f>
        <v>0.09666666666666666</v>
      </c>
      <c r="PI4" s="7">
        <f>IFERROR(AVERAGEIF('Данные 2st'!$Q$2:$Q$317,$A4,'Данные 2st'!$KM$2:$KM$317),"")</f>
        <v>0.3333333333333333</v>
      </c>
      <c r="PJ4" s="7">
        <f>IFERROR(AVERAGEIF('Данные 2st'!$Q$2:$Q$317,$A4,'Данные 2st'!$KN$2:$KN$317),"")</f>
        <v>1.1333333333333333</v>
      </c>
      <c r="PK4" s="7">
        <f>IFERROR(AVERAGEIF('Данные 2st'!$Q$2:$Q$317,$A4,'Данные 2st'!$KO$2:$KO$317),"")</f>
        <v>0</v>
      </c>
      <c r="PL4" s="7">
        <f>IFERROR(AVERAGEIF('Данные 2st'!$Q$2:$Q$317,$A4,'Данные 2st'!$KP$2:$KP$317),"")</f>
        <v>0</v>
      </c>
      <c r="PM4" s="7">
        <f>IFERROR(AVERAGEIF('Данные 2st'!$Q$2:$Q$317,$A4,'Данные 2st'!$KQ$2:$KQ$317),"")</f>
        <v>0.7666666666666667</v>
      </c>
      <c r="PN4" s="7">
        <f>IFERROR(AVERAGEIF('Данные 2st'!$Q$2:$Q$317,$A4,'Данные 2st'!$KR$2:$KR$317),"")</f>
        <v>0.9333333333333333</v>
      </c>
      <c r="PO4" s="7">
        <f>IFERROR(AVERAGEIF('Данные 2st'!$Q$2:$Q$317,$A4,'Данные 2st'!$KS$2:$KS$317),"")</f>
        <v>0</v>
      </c>
      <c r="PP4" s="7">
        <f>IFERROR(AVERAGEIF('Данные 2st'!$Q$2:$Q$317,$A4,'Данные 2st'!$KT$2:$KT$317),"")</f>
        <v>1.5</v>
      </c>
      <c r="PQ4" s="7">
        <f>IFERROR(AVERAGEIF('Данные 2st'!$Q$2:$Q$317,$A4,'Данные 2st'!$KU$2:$KU$317),"")</f>
        <v>0</v>
      </c>
      <c r="PR4" s="7">
        <f>IFERROR(AVERAGEIF('Данные 2st'!$Q$2:$Q$317,$A4,'Данные 2st'!$KV$2:$KV$317),"")</f>
        <v>0</v>
      </c>
      <c r="PS4" s="7">
        <f>IFERROR(AVERAGEIF('Данные 2st'!$Q$2:$Q$317,$A4,'Данные 2st'!$KW$2:$KW$317),"")</f>
        <v>1.4</v>
      </c>
      <c r="PT4" s="7">
        <f>IFERROR(AVERAGEIF('Данные 2st'!$Q$2:$Q$317,$A4,'Данные 2st'!$KX$2:$KX$317),"")</f>
        <v>1.6666666666666667</v>
      </c>
      <c r="PU4" s="7">
        <f>IFERROR(AVERAGEIF('Данные 2st'!$Q$2:$Q$317,$A4,'Данные 2st'!$KY$2:$KY$317),"")</f>
        <v>0.6666666666666666</v>
      </c>
      <c r="PV4" s="7">
        <f>IFERROR(AVERAGEIF('Данные 2st'!$Q$2:$Q$317,$A4,'Данные 2st'!$KZ$2:$KZ$317),"")</f>
        <v>0</v>
      </c>
      <c r="PW4" s="7">
        <f>IFERROR(AVERAGEIF('Данные 2st'!$Q$2:$Q$317,$A4,'Данные 2st'!$LA$2:$LA$317),"")</f>
        <v>0</v>
      </c>
      <c r="PX4" s="7">
        <f>IFERROR(AVERAGEIF('Данные 2st'!$Q$2:$Q$317,$A4,'Данные 2st'!$LB$2:$LB$317),"")</f>
        <v>0</v>
      </c>
      <c r="PY4" s="7">
        <f>IFERROR(AVERAGEIF('Данные 2st'!$Q$2:$Q$317,$A4,'Данные 2st'!$LC$2:$LC$317),"")</f>
        <v>0</v>
      </c>
      <c r="PZ4" s="7">
        <f>IFERROR(AVERAGEIF('Данные 2st'!$Q$2:$Q$317,$A4,'Данные 2st'!$LD$2:$LD$317),"")</f>
        <v>0</v>
      </c>
      <c r="QA4" s="7">
        <f>IFERROR(AVERAGEIF('Данные 2st'!$Q$2:$Q$317,$A4,'Данные 2st'!$LE$2:$LE$317),"")</f>
        <v>0</v>
      </c>
      <c r="QB4" s="7">
        <f>IFERROR(AVERAGEIF('Данные 2st'!$Q$2:$Q$317,$A4,'Данные 2st'!$LF$2:$LF$317),"")</f>
        <v>0</v>
      </c>
      <c r="QC4" s="7">
        <f>IFERROR(AVERAGEIF('Данные 2st'!$Q$2:$Q$317,$A4,'Данные 2st'!$LG$2:$LG$317),"")</f>
        <v>0</v>
      </c>
      <c r="QD4" s="7">
        <f>IFERROR(AVERAGEIF('Данные 2st'!$Q$2:$Q$317,$A4,'Данные 2st'!$LH$2:$LH$317),"")</f>
        <v>3</v>
      </c>
      <c r="QE4" s="7">
        <f>IFERROR(AVERAGEIF('Данные 2st'!$Q$2:$Q$317,$A4,'Данные 2st'!$LJ$2:$LJ$317),"")</f>
        <v>0</v>
      </c>
      <c r="QF4" s="7">
        <f>IFERROR(AVERAGEIF('Данные 2st'!$Q$2:$Q$317,$A4,'Данные 2st'!$LK$2:$LK$317),"")</f>
        <v>4.666666666666667</v>
      </c>
      <c r="QG4" s="7">
        <f>IFERROR(AVERAGEIF('Данные 2st'!$Q$2:$Q$317,$A4,'Данные 2st'!$LL$2:$LL$317),"")</f>
        <v>7.0</v>
      </c>
      <c r="QH4" s="7">
        <f>IFERROR(AVERAGEIF('Данные 2st'!$Q$2:$Q$317,$A4,'Данные 2st'!$LM$2:$LM$317),"")</f>
        <v>6.333333333333333</v>
      </c>
      <c r="QI4" s="7">
        <f>IFERROR(AVERAGEIF('Данные 2st'!$Q$2:$Q$317,$A4,'Данные 2st'!$LN$2:$LN$317),"")</f>
        <v>0.5333333333333333</v>
      </c>
      <c r="QJ4" s="7">
        <f>IFERROR(AVERAGEIF('Данные 2st'!$Q$2:$Q$317,$A4,'Данные 2st'!$LO$2:$LO$317),"")</f>
        <v>0.6666666666666666</v>
      </c>
      <c r="QK4" s="7">
        <f>IFERROR(AVERAGEIF('Данные 2st'!$Q$2:$Q$317,$A4,'Данные 2st'!$LP$2:$LP$317),"")</f>
        <v>0</v>
      </c>
      <c r="QL4" s="7">
        <f>IFERROR(AVERAGEIF('Данные 2st'!$Q$2:$Q$317,$A4,'Данные 2st'!$LQ$2:$LQ$317),"")</f>
        <v>0</v>
      </c>
      <c r="QM4" s="7">
        <f>IFERROR(AVERAGEIF('Данные 2st'!$Q$2:$Q$317,$A4,'Данные 2st'!$LW$2:$LW$317),"")</f>
        <v>1.8666666666666667</v>
      </c>
      <c r="QN4" s="7">
        <f>IFERROR(AVERAGEIF('Данные 2st'!$Q$2:$Q$317,$A4,'Данные 2st'!$LX$2:$LX$317),"")</f>
        <v>1.8666666666666667</v>
      </c>
      <c r="QO4" s="7">
        <f>IFERROR(AVERAGEIF('Данные 2st'!$Q$2:$Q$317,$A4,'Данные 2st'!$LY$2:$LY$317),"")</f>
        <v>1.9000000000000001</v>
      </c>
      <c r="QP4" s="7">
        <f>IFERROR(AVERAGEIF('Данные 2st'!$Q$2:$Q$317,$A4,'Данные 2st'!$LZ$2:$LZ$317),"")</f>
        <v>1.9000000000000001</v>
      </c>
      <c r="QQ4" s="7">
        <f>IFERROR(AVERAGEIF('Данные 2st'!$Q$2:$Q$317,$A4,'Данные 2st'!$MB$2:$MB$317),"")</f>
        <v>6.666666666666667</v>
      </c>
      <c r="QR4" s="7">
        <f>IFERROR(AVERAGEIF('Данные 2st'!$Q$2:$Q$317,$A4,'Данные 2st'!$MG$2:$MG$317),"")</f>
        <v>20</v>
      </c>
      <c r="QS4" s="7">
        <f>IFERROR(AVERAGEIF('Данные 2st'!$Q$2:$Q$317,$A4,'Данные 2st'!$MH$2:$MH$317),"")</f>
        <v>20</v>
      </c>
      <c r="QT4" s="7">
        <f>IFERROR(AVERAGEIF('Данные 2st'!$Q$2:$Q$317,$A4,'Данные 2st'!$MI$2:$MI$317),"")</f>
        <v>0</v>
      </c>
      <c r="QU4" s="7">
        <f>IFERROR(AVERAGEIF('Данные 2st'!$Q$2:$Q$317,$A4,'Данные 2st'!$MJ$2:$MJ$317),"")</f>
        <v>0</v>
      </c>
      <c r="QV4" s="7">
        <f>IFERROR(AVERAGEIF('Данные 2st'!$Q$2:$Q$317,$A4,'Данные 2st'!$MK$2:$MK$317),"")</f>
        <v/>
      </c>
      <c r="QW4" s="7">
        <f>IFERROR(AVERAGEIF('Данные 2st'!$Q$2:$Q$317,$A4,'Данные 2st'!$MM$2:$MM$317),"")</f>
        <v>331</v>
      </c>
      <c r="QX4" s="7">
        <f>IFERROR(AVERAGEIF('Данные 2st'!$Q$2:$Q$317,$A4,'Данные 2st'!$MQ$2:$MQ$317),"")</f>
        <v/>
      </c>
      <c r="QY4" s="7">
        <f>IFERROR(AVERAGEIF('Данные 2st'!$Q$2:$Q$317,$A4,'Данные 2st'!$MR$2:$MR$317),"")</f>
        <v/>
      </c>
      <c r="QZ4" s="7">
        <f>IFERROR(AVERAGEIF('Данные 2st'!$Q$2:$Q$317,$A4,'Данные 2st'!$MS$2:$MS$317),"")</f>
        <v/>
      </c>
      <c r="RA4" s="7">
        <f>IFERROR(AVERAGEIF('Данные 2st'!$Q$2:$Q$317,$A4,'Данные 2st'!$MT$2:$MT$317),"")</f>
        <v/>
      </c>
      <c r="RB4" s="7">
        <f>IFERROR(AVERAGEIF('Данные 2st'!$Q$2:$Q$317,$A4,'Данные 2st'!$MU$2:$MU$317),"")</f>
        <v/>
      </c>
      <c r="RC4" s="7">
        <f>IFERROR(AVERAGEIF('Данные 2st'!$Q$2:$Q$317,$A4,'Данные 2st'!$MV$2:$MV$317),"")</f>
        <v/>
      </c>
      <c r="RD4" s="7">
        <f>IFERROR(AVERAGEIF('Данные 2st'!$Q$2:$Q$317,$A4,'Данные 2st'!$MW$2:$MW$317),"")</f>
        <v/>
      </c>
      <c r="RE4" s="7">
        <f>IFERROR(AVERAGEIF('Данные 2st'!$Q$2:$Q$317,$A4,'Данные 2st'!$MX$2:$MX$317),"")</f>
        <v/>
      </c>
      <c r="RF4" s="7">
        <f>IFERROR(AVERAGEIF('Данные 2st'!$Q$2:$Q$317,$A4,'Данные 2st'!$MY$2:$MY$317),"")</f>
        <v/>
      </c>
      <c r="RG4" s="7">
        <f>IFERROR(AVERAGEIF('Данные 2st'!$Q$2:$Q$317,$A4,'Данные 2st'!$MZ$2:$MZ$317),"")</f>
        <v/>
      </c>
      <c r="RH4" s="7">
        <f>IFERROR(AVERAGEIF('Данные 2st'!$Q$2:$Q$317,$A4,'Данные 2st'!$NA$2:$NA$317),"")</f>
        <v/>
      </c>
      <c r="RI4" s="7">
        <f>IFERROR(AVERAGEIF('Данные 2st'!$Q$2:$Q$317,$A4,'Данные 2st'!$NB$2:$NB$317),"")</f>
        <v/>
      </c>
      <c r="RJ4" s="7">
        <f>IFERROR(AVERAGEIF('Данные 2st'!$Q$2:$Q$317,$A4,'Данные 2st'!$NC$2:$NC$317),"")</f>
        <v/>
      </c>
      <c r="RK4" s="7">
        <f>IFERROR(AVERAGEIF('Данные 2st'!$Q$2:$Q$317,$A4,'Данные 2st'!$ND$2:$ND$317),"")</f>
        <v/>
      </c>
      <c r="RL4" s="7">
        <f>IFERROR(AVERAGEIF('Данные 2st'!$Q$2:$Q$317,$A4,'Данные 2st'!$NE$2:$NE$317),"")</f>
        <v/>
      </c>
      <c r="RM4" s="7">
        <f>IFERROR(AVERAGEIF('Данные 2st'!$Q$2:$Q$317,$A4,'Данные 2st'!$NF$2:$NF$317),"")</f>
        <v/>
      </c>
      <c r="RN4" s="7">
        <f>IFERROR(AVERAGEIF('Данные 2st'!$Q$2:$Q$317,$A4,'Данные 2st'!$NG$2:$NG$317),"")</f>
        <v/>
      </c>
      <c r="RO4" s="7">
        <f>IFERROR(AVERAGEIF('Данные 2st'!$Q$2:$Q$317,$A4,'Данные 2st'!$NH$2:$NH$317),"")</f>
        <v>0</v>
      </c>
      <c r="RP4" s="7">
        <f>IFERROR(AVERAGEIF('Данные 2st'!$Q$2:$Q$317,$A4,'Данные 2st'!$NJ$2:$NJ$317),"")</f>
        <v>0</v>
      </c>
      <c r="RQ4" s="7">
        <f>IFERROR(AVERAGEIF('Данные 2st'!$Q$2:$Q$317,$A4,'Данные 2st'!$NK$2:$NK$317),"")</f>
        <v>0</v>
      </c>
      <c r="RR4" s="7">
        <f>IFERROR(AVERAGEIF('Данные 2st'!$Q$2:$Q$317,$A4,'Данные 2st'!$NM$2:$NM$317),"")</f>
        <v>0</v>
      </c>
      <c r="RS4" s="7">
        <f>IFERROR(AVERAGEIF('Данные 2st'!$Q$2:$Q$317,$A4,'Данные 2st'!$NN$2:$NN$317),"")</f>
        <v/>
      </c>
      <c r="RT4" s="7">
        <f>IFERROR(AVERAGEIF('Данные 2st'!$Q$2:$Q$317,$A4,'Данные 2st'!$NO$2:$NO$317),"")</f>
        <v/>
      </c>
      <c r="RU4" s="7">
        <f>IFERROR(AVERAGEIF('Данные 2st'!$Q$2:$Q$317,$A4,'Данные 2st'!$NP$2:$NP$317),"")</f>
        <v/>
      </c>
      <c r="RV4" s="7">
        <f>IFERROR(AVERAGEIF('Данные 2st'!$Q$2:$Q$317,$A4,'Данные 2st'!$NQ$2:$NQ$317),"")</f>
        <v/>
      </c>
      <c r="RW4" s="7">
        <f>IFERROR(AVERAGEIF('Данные 2st'!$Q$2:$Q$317,$A4,'Данные 2st'!$NR$2:$NR$317),"")</f>
        <v/>
      </c>
      <c r="RX4" s="7">
        <f>IFERROR(AVERAGEIF('Данные 2st'!$Q$2:$Q$317,$A4,'Данные 2st'!$NS$2:$NS$317),"")</f>
        <v/>
      </c>
      <c r="RY4" s="7">
        <f>IFERROR(AVERAGEIF('Данные 2st'!$Q$2:$Q$317,$A4,'Данные 2st'!$NT$2:$NT$317),"")</f>
        <v/>
      </c>
      <c r="RZ4" s="7">
        <f>IFERROR(AVERAGEIF('Данные 2st'!$Q$2:$Q$317,$A4,'Данные 2st'!$OK$2:$OK$317),"")</f>
        <v>61</v>
      </c>
      <c r="SA4" s="7">
        <f>IFERROR(AVERAGEIF('Данные 2st'!$Q$2:$Q$317,$A4,'Данные 2st'!$OL$2:$OL$317),"")</f>
        <v>61</v>
      </c>
      <c r="SB4" s="7">
        <f>IFERROR(AVERAGEIF('Данные 2st'!$Q$2:$Q$317,$A4,'Данные 2st'!$ON$2:$ON$317),"")</f>
        <v>2.6666666666666665</v>
      </c>
      <c r="SC4" s="7">
        <f>IFERROR(AVERAGEIF('Данные 2st'!$Q$2:$Q$317,$A4,'Данные 2st'!$OO$2:$OO$317),"")</f>
        <v>1706.3333333333333</v>
      </c>
      <c r="SD4" s="7">
        <f>IFERROR(AVERAGEIF('Данные 2st'!$Q$2:$Q$317,$A4,'Данные 2st'!$OP$2:$OP$317),"")</f>
        <v>61</v>
      </c>
      <c r="SE4" s="7">
        <f>IFERROR(AVERAGEIF('Данные 2st'!$Q$2:$Q$317,$A4,'Данные 2st'!$OQ$2:$OQ$317),"")</f>
        <v>61</v>
      </c>
      <c r="SF4" s="7">
        <f>IFERROR(AVERAGEIF('Данные 2st'!$Q$2:$Q$317,$A4,'Данные 2st'!$OS$2:$OS$317),"")</f>
        <v>2.6666666666666665</v>
      </c>
      <c r="SG4" s="7">
        <f>IFERROR(AVERAGEIF('Данные 2st'!$Q$2:$Q$317,$A4,'Данные 2st'!$OT$2:$OT$317),"")</f>
        <v>1713.3333333333333</v>
      </c>
      <c r="SH4" s="7">
        <f>IFERROR(AVERAGEIF('Данные 2st'!$Q$2:$Q$317,$A4,'Данные 2st'!$OU$2:$OU$317),"")</f>
        <v>65</v>
      </c>
      <c r="SI4" s="7">
        <f>IFERROR(AVERAGEIF('Данные 2st'!$Q$2:$Q$317,$A4,'Данные 2st'!$OV$2:$OV$317),"")</f>
        <v>65</v>
      </c>
      <c r="SJ4" s="7">
        <f>IFERROR(AVERAGEIF('Данные 2st'!$Q$2:$Q$317,$A4,'Данные 2st'!$OX$2:$OX$317),"")</f>
        <v>1</v>
      </c>
      <c r="SK4" s="7">
        <f>IFERROR(AVERAGEIF('Данные 2st'!$Q$2:$Q$317,$A4,'Данные 2st'!$OY$2:$OY$317),"")</f>
        <v>29121</v>
      </c>
      <c r="SL4" s="7">
        <f>IFERROR(AVERAGEIF('Данные 2st'!$Q$2:$Q$317,$A4,'Данные 2st'!$OZ$2:$OZ$317),"")</f>
        <v>51</v>
      </c>
      <c r="SM4" s="7">
        <f>IFERROR(AVERAGEIF('Данные 2st'!$Q$2:$Q$317,$A4,'Данные 2st'!$PA$2:$PA$317),"")</f>
        <v>51</v>
      </c>
      <c r="SN4" s="7">
        <f>IFERROR(AVERAGEIF('Данные 2st'!$Q$2:$Q$317,$A4,'Данные 2st'!$PC$2:$PC$317),"")</f>
        <v>2</v>
      </c>
      <c r="SO4" s="7">
        <f>IFERROR(AVERAGEIF('Данные 2st'!$Q$2:$Q$317,$A4,'Данные 2st'!$PD$2:$PD$317),"")</f>
        <v>1740.6666666666667</v>
      </c>
      <c r="SP4" s="7">
        <f>IFERROR(AVERAGEIF('Данные 2st'!$Q$2:$Q$317,$A4,'Данные 2st'!$PF$2:$PF$317),"")</f>
        <v>292.3333333333333</v>
      </c>
      <c r="SQ4" s="7">
        <f>IFERROR(AVERAGEIF('Данные 2st'!$Q$2:$Q$317,$A4,'Данные 2st'!$PG$2:$PG$317),"")</f>
        <v>29</v>
      </c>
      <c r="SR4" s="7">
        <f>IFERROR(AVERAGEIF('Данные 2st'!$Q$2:$Q$317,$A4,'Данные 2st'!$PH$2:$PH$317),"")</f>
        <v>274</v>
      </c>
      <c r="SS4" s="7">
        <f>IFERROR(AVERAGEIF('Данные 2st'!$Q$2:$Q$317,$A4,'Данные 2st'!$PI$2:$PI$317),"")</f>
        <v>29</v>
      </c>
      <c r="ST4" s="7">
        <f>IFERROR(AVERAGEIF('Данные 2st'!$Q$2:$Q$317,$A4,'Данные 2st'!$PJ$2:$PJ$317),"")</f>
        <v>56.9</v>
      </c>
      <c r="SU4" s="7">
        <f>IFERROR(AVERAGEIF('Данные 2st'!$Q$2:$Q$317,$A4,'Данные 2st'!$PK$2:$PK$317),"")</f>
        <v>1827</v>
      </c>
      <c r="SV4" s="7">
        <f>IFERROR(AVERAGEIF('Данные 2st'!$Q$2:$Q$317,$A4,'Данные 2st'!$PL$2:$PL$317),"")</f>
        <v>1088.9666666666667</v>
      </c>
      <c r="SW4" s="7">
        <f>IFERROR(AVERAGEIF('Данные 2st'!$Q$2:$Q$317,$A4,'Данные 2st'!$PM$2:$PM$317),"")</f>
        <v>419.79999999999995</v>
      </c>
      <c r="SX4" s="7">
        <f>IFERROR(AVERAGEIF('Данные 2st'!$Q$2:$Q$317,$A4,'Данные 2st'!$PN$2:$PN$317),"")</f>
        <v>82.96666666666667</v>
      </c>
      <c r="SY4" s="7">
        <f>IFERROR(AVERAGEIF('Данные 2st'!$Q$2:$Q$317,$A4,'Данные 2st'!$PO$2:$PO$317),"")</f>
        <v>9.066666666666666</v>
      </c>
      <c r="SZ4" s="7">
        <f>IFERROR(AVERAGEIF('Данные 2st'!$Q$2:$Q$317,$A4,'Данные 2st'!$PP$2:$PP$317),"")</f>
        <v>10.666666666666666</v>
      </c>
      <c r="TA4" s="7">
        <f>IFERROR(AVERAGEIF('Данные 2st'!$Q$2:$Q$317,$A4,'Данные 2st'!$PQ$2:$PQ$317),"")</f>
        <v>2</v>
      </c>
      <c r="TB4" s="7">
        <f>IFERROR(AVERAGEIF('Данные 2st'!$Q$2:$Q$317,$A4,'Данные 2st'!$PR$2:$PR$317),"")</f>
        <v>2</v>
      </c>
      <c r="TC4" s="7">
        <f>IFERROR(AVERAGEIF('Данные 2st'!$Q$2:$Q$317,$A4,'Данные 2st'!$PS$2:$PS$317),"")</f>
        <v>6</v>
      </c>
      <c r="TD4" s="7">
        <f>IFERROR(AVERAGEIF('Данные 2st'!$Q$2:$Q$317,$A4,'Данные 2st'!$PT$2:$PT$317),"")</f>
        <v>197.33333333333334</v>
      </c>
      <c r="TE4" s="7">
        <f>IFERROR(AVERAGEIF('Данные 2st'!$Q$2:$Q$317,$A4,'Данные 2st'!$PU$2:$PU$317),"")</f>
        <v>7.333333333333333</v>
      </c>
      <c r="TF4" s="7">
        <f>IFERROR(AVERAGEIF('Данные 2st'!$Q$2:$Q$317,$A4,'Данные 2st'!$PX$2:$PX$317),"")</f>
        <v>0</v>
      </c>
      <c r="TG4" s="7">
        <f>IFERROR(AVERAGEIF('Данные 2st'!$Q$2:$Q$317,$A4,'Данные 2st'!$PY$2:$PY$317),"")</f>
        <v>0</v>
      </c>
      <c r="TH4" s="7">
        <f>IFERROR(AVERAGEIF('Данные 2st'!$Q$2:$Q$317,$A4,'Данные 2st'!$PZ$2:$PZ$317),"")</f>
        <v>0</v>
      </c>
      <c r="TI4" s="7">
        <f>IFERROR(AVERAGEIF('Данные 2st'!$Q$2:$Q$317,$A4,'Данные 2st'!$QA$2:$QA$317),"")</f>
        <v>0</v>
      </c>
      <c r="TJ4" s="7">
        <f>IFERROR(AVERAGEIF('Данные 2st'!$Q$2:$Q$317,$A4,'Данные 2st'!$QB$2:$QB$317),"")</f>
        <v>0</v>
      </c>
      <c r="TK4" s="7">
        <f>IFERROR(AVERAGEIF('Данные 2st'!$Q$2:$Q$317,$A4,'Данные 2st'!$QC$2:$QC$317),"")</f>
        <v>0</v>
      </c>
      <c r="TL4" s="7">
        <f>IFERROR(AVERAGEIF('Данные 2st'!$Q$2:$Q$317,$A4,'Данные 2st'!$QD$2:$QD$317),"")</f>
        <v>0</v>
      </c>
      <c r="TM4" s="7">
        <f>IFERROR(AVERAGEIF('Данные 2st'!$Q$2:$Q$317,$A4,'Данные 2st'!$QE$2:$QE$317),"")</f>
        <v>-1</v>
      </c>
      <c r="TN4" s="7">
        <f>IFERROR(AVERAGEIF('Данные 2st'!$Q$2:$Q$317,$A4,'Данные 2st'!$QF$2:$QF$317),"")</f>
        <v>1</v>
      </c>
      <c r="TO4" s="7">
        <f>IFERROR(AVERAGEIF('Данные 2st'!$Q$2:$Q$317,$A4,'Данные 2st'!$QG$2:$QG$317),"")</f>
        <v>0</v>
      </c>
      <c r="TP4" s="7">
        <f>IFERROR(AVERAGEIF('Данные 2st'!$Q$2:$Q$317,$A4,'Данные 2st'!$QH$2:$QH$317),"")</f>
        <v>5</v>
      </c>
      <c r="TQ4" s="7">
        <f>IFERROR(AVERAGEIF('Данные 2st'!$Q$2:$Q$317,$A4,'Данные 2st'!$QI$2:$QI$317),"")</f>
        <v>5</v>
      </c>
      <c r="TR4" s="7">
        <f>IFERROR(AVERAGEIF('Данные 2st'!$Q$2:$Q$317,$A4,'Данные 2st'!$QJ$2:$QJ$317),"")</f>
        <v>5</v>
      </c>
      <c r="TS4" s="7">
        <f>IFERROR(AVERAGEIF('Данные 2st'!$Q$2:$Q$317,$A4,'Данные 2st'!$QK$2:$QK$317),"")</f>
        <v>147.66666666666666</v>
      </c>
      <c r="TT4" s="7">
        <f>IFERROR(AVERAGEIF('Данные 2st'!$Q$2:$Q$317,$A4,'Данные 2st'!$QL$2:$QL$317),"")</f>
        <v>340.6666666666667</v>
      </c>
      <c r="TU4" s="7">
        <f>IFERROR(AVERAGEIF('Данные 2st'!$Q$2:$Q$317,$A4,'Данные 2st'!$QM$2:$QM$317),"")</f>
        <v>7.5</v>
      </c>
      <c r="TV4" s="7">
        <f>IFERROR(AVERAGEIF('Данные 2st'!$Q$2:$Q$317,$A4,'Данные 2st'!$QN$2:$QN$317),"")</f>
        <v>1203.7666666666667</v>
      </c>
      <c r="TW4" s="7">
        <f>IFERROR(AVERAGEIF('Данные 2st'!$Q$2:$Q$317,$A4,'Данные 2st'!$QQ$2:$QQ$317),"")</f>
        <v>0</v>
      </c>
      <c r="TX4" s="7">
        <f>IFERROR(AVERAGEIF('Данные 2st'!$Q$2:$Q$317,$A4,'Данные 2st'!$QS$2:$QS$317),"")</f>
        <v>30</v>
      </c>
      <c r="TY4" s="7">
        <f>IFERROR(AVERAGEIF('Данные 2st'!$Q$2:$Q$317,$A4,'Данные 2st'!$QT$2:$QT$317),"")</f>
        <v>40</v>
      </c>
    </row>
    <row r="5" spans="1:545" ht="32" customHeight="1">
      <c r="A5" s="11" t="s">
        <v>1609</v>
      </c>
      <c r="B5">
        <f>COUNTIF('Данные 1st'!$S$2:$S$317,$A5)</f>
        <v>4</v>
      </c>
      <c r="C5" s="6" t="s">
        <v>5082</v>
      </c>
      <c r="D5" s="6" t="s">
        <v>513</v>
      </c>
      <c r="E5" s="6" t="s">
        <v>5125</v>
      </c>
      <c r="F5" s="6" t="s">
        <v>5129</v>
      </c>
      <c r="G5" s="7">
        <f>IFERROR(AVERAGEIF('Данные 1st'!$S$2:$S$317,$A5,'Данные 1st'!$AE$2:$AE$317),"")</f>
        <v>156.75</v>
      </c>
      <c r="H5" s="7">
        <f>IFERROR(AVERAGEIF('Данные 1st'!$S$2:$S$317,$A5,'Данные 1st'!$AF$2:$AF$317),"")</f>
        <v>1.5</v>
      </c>
      <c r="I5" s="7">
        <f>IFERROR(AVERAGEIF('Данные 1st'!$S$2:$S$317,$A5,'Данные 1st'!$AJ$2:$AJ$317),"")</f>
        <v>167.5</v>
      </c>
      <c r="J5" s="7">
        <f>IFERROR(AVERAGEIF('Данные 1st'!$S$2:$S$317,$A5,'Данные 1st'!$AL$2:$AL$317),"")</f>
        <v>1.5</v>
      </c>
      <c r="K5" s="7">
        <f>IFERROR(AVERAGEIF('Данные 1st'!$S$2:$S$317,$A5,'Данные 1st'!$AR$2:$AR$317),"")</f>
        <v>0</v>
      </c>
      <c r="L5" s="7">
        <f>IFERROR(AVERAGEIF('Данные 1st'!$S$2:$S$317,$A5,'Данные 1st'!$AS$2:$AS$317),"")</f>
        <v>1.5</v>
      </c>
      <c r="M5" s="7">
        <f>IFERROR(AVERAGEIF('Данные 1st'!$S$2:$S$317,$A5,'Данные 1st'!$AY$2:$AY$317),"")</f>
        <v>241.875</v>
      </c>
      <c r="N5" s="7">
        <f>IFERROR(AVERAGEIF('Данные 1st'!$S$2:$S$317,$A5,'Данные 1st'!$AZ$2:$AZ$317),"")</f>
        <v>1.5</v>
      </c>
      <c r="O5" s="7">
        <f>IFERROR(AVERAGEIF('Данные 1st'!$S$2:$S$317,$A5,'Данные 1st'!$BF$2:$BF$317),"")</f>
        <v/>
      </c>
      <c r="P5" s="7">
        <f>IFERROR(AVERAGEIF('Данные 1st'!$S$2:$S$317,$A5,'Данные 1st'!$BG$2:$BG$317),"")</f>
        <v>1.5</v>
      </c>
      <c r="Q5" s="7">
        <f>IFERROR(AVERAGEIF('Данные 1st'!$S$2:$S$317,$A5,'Данные 1st'!$BM$2:$BM$317),"")</f>
        <v/>
      </c>
      <c r="R5" s="7">
        <f>IFERROR(AVERAGEIF('Данные 1st'!$S$2:$S$317,$A5,'Данные 1st'!$BN$2:$BN$317),"")</f>
        <v>1.5</v>
      </c>
      <c r="S5" s="7">
        <f>IFERROR(AVERAGEIF('Данные 1st'!$S$2:$S$317,$A5,'Данные 1st'!$BT$2:$BT$317),"")</f>
        <v>178.75</v>
      </c>
      <c r="T5" s="7">
        <f>IFERROR(AVERAGEIF('Данные 1st'!$S$2:$S$317,$A5,'Данные 1st'!$BU$2:$BU$317),"")</f>
        <v>0.5</v>
      </c>
      <c r="U5" s="7">
        <f>IFERROR(AVERAGEIF('Данные 1st'!$S$2:$S$317,$A5,'Данные 1st'!$BW$2:$BW$317),"")</f>
        <v>357.5</v>
      </c>
      <c r="V5" s="7">
        <f>IFERROR(AVERAGEIF('Данные 1st'!$S$2:$S$317,$A5,'Данные 1st'!$BX$2:$BX$317),"")</f>
        <v>1</v>
      </c>
      <c r="W5" s="7">
        <f>IFERROR(AVERAGEIF('Данные 1st'!$S$2:$S$317,$A5,'Данные 1st'!$BZ$2:$BZ$317),"")</f>
        <v>300</v>
      </c>
      <c r="X5" s="7">
        <f>IFERROR(AVERAGEIF('Данные 1st'!$S$2:$S$317,$A5,'Данные 1st'!$CA$2:$CA$317),"")</f>
        <v>435</v>
      </c>
      <c r="Y5" s="7">
        <f>IFERROR(AVERAGEIF('Данные 1st'!$S$2:$S$317,$A5,'Данные 1st'!$CD$2:$CD$317),"")</f>
        <v>361.25</v>
      </c>
      <c r="Z5" s="7">
        <f>IFERROR(AVERAGEIF('Данные 1st'!$S$2:$S$317,$A5,'Данные 1st'!$CF$2:$CF$317),"")</f>
        <v>15</v>
      </c>
      <c r="AA5" s="7">
        <f>IFERROR(AVERAGEIF('Данные 1st'!$S$2:$S$317,$A5,'Данные 1st'!$CI$2:$CI$317),"")</f>
        <v>67.5</v>
      </c>
      <c r="AB5" s="7">
        <f>IFERROR(AVERAGEIF('Данные 1st'!$S$2:$S$317,$A5,'Данные 1st'!$CJ$2:$CJ$317),"")</f>
        <v>1050</v>
      </c>
      <c r="AC5" s="7">
        <f>IFERROR(AVERAGEIF('Данные 1st'!$S$2:$S$317,$A5,'Данные 1st'!$CK$2:$CK$317),"")</f>
        <v>2</v>
      </c>
      <c r="AD5" s="7">
        <f>IFERROR(AVERAGEIF('Данные 1st'!$S$2:$S$317,$A5,'Данные 1st'!$CL$2:$CL$317),"")</f>
        <v>1144</v>
      </c>
      <c r="AE5" s="7">
        <f>IFERROR(AVERAGEIF('Данные 1st'!$S$2:$S$317,$A5,'Данные 1st'!$CM$2:$CM$317),"")</f>
        <v>2</v>
      </c>
      <c r="AF5" s="7">
        <f>IFERROR(AVERAGEIF('Данные 1st'!$S$2:$S$317,$A5,'Данные 1st'!$CT$2:$CT$317),"")</f>
        <v>335</v>
      </c>
      <c r="AG5" s="7">
        <f>IFERROR(AVERAGEIF('Данные 1st'!$S$2:$S$317,$A5,'Данные 1st'!$CU$2:$CU$317),"")</f>
        <v>5</v>
      </c>
      <c r="AH5" s="7">
        <f>IFERROR(AVERAGEIF('Данные 1st'!$S$2:$S$317,$A5,'Данные 1st'!$CV$2:$CV$317),"")</f>
        <v>1.2</v>
      </c>
      <c r="AI5" s="7">
        <f>IFERROR(AVERAGEIF('Данные 1st'!$S$2:$S$317,$A5,'Данные 1st'!$CW$2:$CW$317),"")</f>
        <v>1064</v>
      </c>
      <c r="AJ5" s="7">
        <f>IFERROR(AVERAGEIF('Данные 1st'!$S$2:$S$317,$A5,'Данные 1st'!$CX$2:$CX$317),"")</f>
        <v>504.25</v>
      </c>
      <c r="AK5" s="7">
        <f>IFERROR(AVERAGEIF('Данные 1st'!$S$2:$S$317,$A5,'Данные 1st'!$CZ$2:$CZ$317),"")</f>
        <v/>
      </c>
      <c r="AL5" s="7">
        <f>IFERROR(AVERAGEIF('Данные 1st'!$S$2:$S$317,$A5,'Данные 1st'!$DA$2:$DA$317),"")</f>
        <v/>
      </c>
      <c r="AM5" s="7">
        <f>IFERROR(AVERAGEIF('Данные 1st'!$S$2:$S$317,$A5,'Данные 1st'!$DB$2:$DB$317),"")</f>
        <v/>
      </c>
      <c r="AN5" s="7">
        <f>IFERROR(AVERAGEIF('Данные 1st'!$S$2:$S$317,$A5,'Данные 1st'!$DC$2:$DC$317),"")</f>
        <v/>
      </c>
      <c r="AO5" s="7">
        <f>IFERROR(AVERAGEIF('Данные 1st'!$S$2:$S$317,$A5,'Данные 1st'!$DD$2:$DD$317),"")</f>
        <v>0</v>
      </c>
      <c r="AP5" s="7">
        <f>IFERROR(AVERAGEIF('Данные 1st'!$S$2:$S$317,$A5,'Данные 1st'!$DF$2:$DF$317),"")</f>
        <v>483.75</v>
      </c>
      <c r="AQ5" s="7">
        <f>IFERROR(AVERAGEIF('Данные 1st'!$S$2:$S$317,$A5,'Данные 1st'!$DG$2:$DG$317),"")</f>
        <v>3</v>
      </c>
      <c r="AR5" s="7">
        <f>IFERROR(AVERAGEIF('Данные 1st'!$S$2:$S$317,$A5,'Данные 1st'!$DH$2:$DH$317),"")</f>
        <v>1.18</v>
      </c>
      <c r="AS5" s="7">
        <f>IFERROR(AVERAGEIF('Данные 1st'!$S$2:$S$317,$A5,'Данные 1st'!$DI$2:$DI$317),"")</f>
        <v>1062</v>
      </c>
      <c r="AT5" s="7">
        <f>IFERROR(AVERAGEIF('Данные 1st'!$S$2:$S$317,$A5,'Данные 1st'!$DJ$2:$DJ$317),"")</f>
        <v>838.25</v>
      </c>
      <c r="AU5" s="7">
        <f>IFERROR(AVERAGEIF('Данные 1st'!$S$2:$S$317,$A5,'Данные 1st'!$DL$2:$DL$317),"")</f>
        <v/>
      </c>
      <c r="AV5" s="7">
        <f>IFERROR(AVERAGEIF('Данные 1st'!$S$2:$S$317,$A5,'Данные 1st'!$DM$2:$DM$317),"")</f>
        <v/>
      </c>
      <c r="AW5" s="7">
        <f>IFERROR(AVERAGEIF('Данные 1st'!$S$2:$S$317,$A5,'Данные 1st'!$DN$2:$DN$317),"")</f>
        <v/>
      </c>
      <c r="AX5" s="7">
        <f>IFERROR(AVERAGEIF('Данные 1st'!$S$2:$S$317,$A5,'Данные 1st'!$DO$2:$DO$317),"")</f>
        <v/>
      </c>
      <c r="AY5" s="7">
        <f>IFERROR(AVERAGEIF('Данные 1st'!$S$2:$S$317,$A5,'Данные 1st'!$DP$2:$DP$317),"")</f>
        <v/>
      </c>
      <c r="AZ5" s="7">
        <f>IFERROR(AVERAGEIF('Данные 1st'!$S$2:$S$317,$A5,'Данные 1st'!$DR$2:$DR$317),"")</f>
        <v/>
      </c>
      <c r="BA5" s="7">
        <f>IFERROR(AVERAGEIF('Данные 1st'!$S$2:$S$317,$A5,'Данные 1st'!$DS$2:$DS$317),"")</f>
        <v/>
      </c>
      <c r="BB5" s="7">
        <f>IFERROR(AVERAGEIF('Данные 1st'!$S$2:$S$317,$A5,'Данные 1st'!$DT$2:$DT$317),"")</f>
        <v/>
      </c>
      <c r="BC5" s="7">
        <f>IFERROR(AVERAGEIF('Данные 1st'!$S$2:$S$317,$A5,'Данные 1st'!$DU$2:$DU$317),"")</f>
        <v/>
      </c>
      <c r="BD5" s="7">
        <f>IFERROR(AVERAGEIF('Данные 1st'!$S$2:$S$317,$A5,'Данные 1st'!$DV$2:$DV$317),"")</f>
        <v/>
      </c>
      <c r="BE5" s="7">
        <f>IFERROR(AVERAGEIF('Данные 1st'!$S$2:$S$317,$A5,'Данные 1st'!$DX$2:$DX$317),"")</f>
        <v>7.5</v>
      </c>
      <c r="BF5" s="7">
        <f>IFERROR(AVERAGEIF('Данные 1st'!$S$2:$S$317,$A5,'Данные 1st'!$EA$2:$EA$317),"")</f>
        <v>1123.4</v>
      </c>
      <c r="BG5" s="7">
        <f>IFERROR(AVERAGEIF('Данные 1st'!$S$2:$S$317,$A5,'Данные 1st'!$EB$2:$EB$317),"")</f>
        <v>147</v>
      </c>
      <c r="BH5" s="7">
        <f>IFERROR(AVERAGEIF('Данные 1st'!$S$2:$S$317,$A5,'Данные 1st'!$ED$2:$ED$317),"")</f>
        <v>28.75</v>
      </c>
      <c r="BI5" s="7">
        <f>IFERROR(AVERAGEIF('Данные 1st'!$S$2:$S$317,$A5,'Данные 1st'!$EE$2:$EE$317),"")</f>
        <v>3</v>
      </c>
      <c r="BJ5" s="7">
        <f>IFERROR(AVERAGEIF('Данные 1st'!$S$2:$S$317,$A5,'Данные 1st'!$EG$2:$EG$317),"")</f>
        <v>1154.25</v>
      </c>
      <c r="BK5" s="7">
        <f>IFERROR(AVERAGEIF('Данные 1st'!$S$2:$S$317,$A5,'Данные 1st'!$EH$2:$EH$317),"")</f>
        <v>134.25</v>
      </c>
      <c r="BL5" s="7">
        <f>IFERROR(AVERAGEIF('Данные 1st'!$S$2:$S$317,$A5,'Данные 1st'!$EJ$2:$EJ$317),"")</f>
        <v>0</v>
      </c>
      <c r="BM5" s="7">
        <f>IFERROR(AVERAGEIF('Данные 1st'!$S$2:$S$317,$A5,'Данные 1st'!$EK$2:$EK$317),"")</f>
        <v>1</v>
      </c>
      <c r="BN5" s="7">
        <f>IFERROR(AVERAGEIF('Данные 1st'!$S$2:$S$317,$A5,'Данные 1st'!$EN$2:$EN$317),"")</f>
        <v>0</v>
      </c>
      <c r="BO5" s="7">
        <f>IFERROR(AVERAGEIF('Данные 1st'!$S$2:$S$317,$A5,'Данные 1st'!$EQ$2:$EQ$317),"")</f>
        <v>90.75</v>
      </c>
      <c r="BP5" s="7">
        <f>IFERROR(AVERAGEIF('Данные 1st'!$S$2:$S$317,$A5,'Данные 1st'!$ER$2:$ER$317),"")</f>
        <v>3</v>
      </c>
      <c r="BQ5" s="7">
        <f>IFERROR(AVERAGEIF('Данные 1st'!$S$2:$S$317,$A5,'Данные 1st'!$ES$2:$ES$317),"")</f>
        <v>5.025</v>
      </c>
      <c r="BR5" s="7">
        <f>IFERROR(AVERAGEIF('Данные 1st'!$S$2:$S$317,$A5,'Данные 1st'!$ET$2:$ET$317),"")</f>
        <v>1045.25</v>
      </c>
      <c r="BS5" s="7">
        <f>IFERROR(AVERAGEIF('Данные 1st'!$S$2:$S$317,$A5,'Данные 1st'!$EU$2:$EU$317),"")</f>
        <v>354.35</v>
      </c>
      <c r="BT5" s="7">
        <f>IFERROR(AVERAGEIF('Данные 1st'!$S$2:$S$317,$A5,'Данные 1st'!$EV$2:$EV$317),"")</f>
        <v>370.75</v>
      </c>
      <c r="BU5" s="7">
        <f>IFERROR(AVERAGEIF('Данные 1st'!$S$2:$S$317,$A5,'Данные 1st'!$EX$2:$EX$317),"")</f>
        <v>70</v>
      </c>
      <c r="BV5" s="7">
        <f>IFERROR(AVERAGEIF('Данные 1st'!$S$2:$S$317,$A5,'Данные 1st'!$EY$2:$EY$317),"")</f>
        <v>2</v>
      </c>
      <c r="BW5" s="7">
        <f>IFERROR(AVERAGEIF('Данные 1st'!$S$2:$S$317,$A5,'Данные 1st'!$EZ$2:$EZ$317),"")</f>
        <v>4.15</v>
      </c>
      <c r="BX5" s="7">
        <f>IFERROR(AVERAGEIF('Данные 1st'!$S$2:$S$317,$A5,'Данные 1st'!$FA$2:$FA$317),"")</f>
        <v>1045.25</v>
      </c>
      <c r="BY5" s="7">
        <f>IFERROR(AVERAGEIF('Данные 1st'!$S$2:$S$317,$A5,'Данные 1st'!$FB$2:$FB$317),"")</f>
        <v>205.9</v>
      </c>
      <c r="BZ5" s="7">
        <f>IFERROR(AVERAGEIF('Данные 1st'!$S$2:$S$317,$A5,'Данные 1st'!$FC$2:$FC$317),"")</f>
        <v>215.25</v>
      </c>
      <c r="CA5" s="7">
        <f>IFERROR(AVERAGEIF('Данные 1st'!$S$2:$S$317,$A5,'Данные 1st'!$FE$2:$FE$317),"")</f>
        <v>0</v>
      </c>
      <c r="CB5" s="7">
        <f>IFERROR(AVERAGEIF('Данные 1st'!$S$2:$S$317,$A5,'Данные 1st'!$FF$2:$FF$317),"")</f>
        <v>2</v>
      </c>
      <c r="CC5" s="7">
        <f>IFERROR(AVERAGEIF('Данные 1st'!$S$2:$S$317,$A5,'Данные 1st'!$FI$2:$FI$317),"")</f>
        <v>0</v>
      </c>
      <c r="CD5" s="7">
        <f>IFERROR(AVERAGEIF('Данные 1st'!$S$2:$S$317,$A5,'Данные 1st'!$FL$2:$FL$317),"")</f>
        <v>0.4</v>
      </c>
      <c r="CE5" s="7">
        <f>IFERROR(AVERAGEIF('Данные 1st'!$S$2:$S$317,$A5,'Данные 1st'!$FM$2:$FM$317),"")</f>
        <v>67.5</v>
      </c>
      <c r="CF5" s="7">
        <f>IFERROR(AVERAGEIF('Данные 1st'!$S$2:$S$317,$A5,'Данные 1st'!$FN$2:$FN$317),"")</f>
        <v>175</v>
      </c>
      <c r="CG5" s="7">
        <f>IFERROR(AVERAGEIF('Данные 1st'!$S$2:$S$317,$A5,'Данные 1st'!$FO$2:$FO$317),"")</f>
        <v>80</v>
      </c>
      <c r="CH5" s="7">
        <f>IFERROR(AVERAGEIF('Данные 1st'!$S$2:$S$317,$A5,'Данные 1st'!$FP$2:$FP$317),"")</f>
        <v>100</v>
      </c>
      <c r="CI5" s="7">
        <f>IFERROR(AVERAGEIF('Данные 1st'!$S$2:$S$317,$A5,'Данные 1st'!$FS$2:$FS$317),"")</f>
        <v>0.4</v>
      </c>
      <c r="CJ5" s="7">
        <f>IFERROR(AVERAGEIF('Данные 1st'!$S$2:$S$317,$A5,'Данные 1st'!$FT$2:$FT$317),"")</f>
        <v>30</v>
      </c>
      <c r="CK5" s="7">
        <f>IFERROR(AVERAGEIF('Данные 1st'!$S$2:$S$317,$A5,'Данные 1st'!$FU$2:$FU$317),"")</f>
        <v>320</v>
      </c>
      <c r="CL5" s="7">
        <f>IFERROR(AVERAGEIF('Данные 1st'!$S$2:$S$317,$A5,'Данные 1st'!$FV$2:$FV$317),"")</f>
        <v>30</v>
      </c>
      <c r="CM5" s="7">
        <f>IFERROR(AVERAGEIF('Данные 1st'!$S$2:$S$317,$A5,'Данные 1st'!$FW$2:$FW$317),"")</f>
        <v>206.66666666666666</v>
      </c>
      <c r="CN5" s="7">
        <f>IFERROR(AVERAGEIF('Данные 1st'!$S$2:$S$317,$A5,'Данные 1st'!$FZ$2:$FZ$317),"")</f>
        <v>1</v>
      </c>
      <c r="CO5" s="7">
        <f>IFERROR(AVERAGEIF('Данные 1st'!$S$2:$S$317,$A5,'Данные 1st'!$GA$2:$GA$317),"")</f>
        <v>20</v>
      </c>
      <c r="CP5" s="7">
        <f>IFERROR(AVERAGEIF('Данные 1st'!$S$2:$S$317,$A5,'Данные 1st'!$GB$2:$GB$317),"")</f>
        <v>140</v>
      </c>
      <c r="CQ5" s="7">
        <f>IFERROR(AVERAGEIF('Данные 1st'!$S$2:$S$317,$A5,'Данные 1st'!$GH$2:$GH$317),"")</f>
        <v>1</v>
      </c>
      <c r="CR5" s="7">
        <f>IFERROR(AVERAGEIF('Данные 1st'!$S$2:$S$317,$A5,'Данные 1st'!$GI$2:$GI$317),"")</f>
        <v>20</v>
      </c>
      <c r="CS5" s="7">
        <f>IFERROR(AVERAGEIF('Данные 1st'!$S$2:$S$317,$A5,'Данные 1st'!$GJ$2:$GJ$317),"")</f>
        <v>140</v>
      </c>
      <c r="CT5" s="7">
        <f>IFERROR(AVERAGEIF('Данные 1st'!$S$2:$S$317,$A5,'Данные 1st'!$GS$2:$GS$317),"")</f>
        <v/>
      </c>
      <c r="CU5" s="7">
        <f>IFERROR(AVERAGEIF('Данные 1st'!$S$2:$S$317,$A5,'Данные 1st'!$GT$2:$GT$317),"")</f>
        <v/>
      </c>
      <c r="CV5" s="7">
        <f>IFERROR(AVERAGEIF('Данные 1st'!$S$2:$S$317,$A5,'Данные 1st'!$GU$2:$GU$317),"")</f>
        <v/>
      </c>
      <c r="CW5" s="7">
        <f>IFERROR(AVERAGEIF('Данные 1st'!$S$2:$S$317,$A5,'Данные 1st'!$GV$2:$GV$317),"")</f>
        <v/>
      </c>
      <c r="CX5" s="7">
        <f>IFERROR(AVERAGEIF('Данные 1st'!$S$2:$S$317,$A5,'Данные 1st'!$GW$2:$GW$317),"")</f>
        <v/>
      </c>
      <c r="CY5" s="7">
        <f>IFERROR(AVERAGEIF('Данные 1st'!$S$2:$S$317,$A5,'Данные 1st'!$GZ$2:$GZ$317),"")</f>
        <v/>
      </c>
      <c r="CZ5" s="7">
        <f>IFERROR(AVERAGEIF('Данные 1st'!$S$2:$S$317,$A5,'Данные 1st'!$HA$2:$HA$317),"")</f>
        <v/>
      </c>
      <c r="DA5" s="7">
        <f>IFERROR(AVERAGEIF('Данные 1st'!$S$2:$S$317,$A5,'Данные 1st'!$HB$2:$HB$317),"")</f>
        <v/>
      </c>
      <c r="DB5" s="7">
        <f>IFERROR(AVERAGEIF('Данные 1st'!$S$2:$S$317,$A5,'Данные 1st'!$HC$2:$HC$317),"")</f>
        <v>0.1</v>
      </c>
      <c r="DC5" s="7">
        <f>IFERROR(AVERAGEIF('Данные 1st'!$S$2:$S$317,$A5,'Данные 1st'!$HD$2:$HD$317),"")</f>
        <v>3</v>
      </c>
      <c r="DD5" s="7">
        <f>IFERROR(AVERAGEIF('Данные 1st'!$S$2:$S$317,$A5,'Данные 1st'!$HE$2:$HE$317),"")</f>
        <v>3</v>
      </c>
      <c r="DE5" s="7">
        <f>IFERROR(AVERAGEIF('Данные 1st'!$S$2:$S$317,$A5,'Данные 1st'!$HF$2:$HF$317),"")</f>
        <v>3</v>
      </c>
      <c r="DF5" s="7">
        <f>IFERROR(AVERAGEIF('Данные 1st'!$S$2:$S$317,$A5,'Данные 1st'!$HG$2:$HG$317),"")</f>
        <v>3</v>
      </c>
      <c r="DG5" s="7">
        <f>IFERROR(AVERAGEIF('Данные 1st'!$S$2:$S$317,$A5,'Данные 1st'!$HH$2:$HH$317),"")</f>
        <v>3</v>
      </c>
      <c r="DH5" s="7">
        <f>IFERROR(AVERAGEIF('Данные 1st'!$S$2:$S$317,$A5,'Данные 1st'!$HI$2:$HI$317),"")</f>
        <v>145.75</v>
      </c>
      <c r="DI5" s="7">
        <f>IFERROR(AVERAGEIF('Данные 1st'!$S$2:$S$317,$A5,'Данные 1st'!$HJ$2:$HJ$317),"")</f>
        <v>3</v>
      </c>
      <c r="DJ5" s="7">
        <f>IFERROR(AVERAGEIF('Данные 1st'!$S$2:$S$317,$A5,'Данные 1st'!$HK$2:$HK$317),"")</f>
        <v>55</v>
      </c>
      <c r="DK5" s="7">
        <f>IFERROR(AVERAGEIF('Данные 1st'!$S$2:$S$317,$A5,'Данные 1st'!$HL$2:$HL$317),"")</f>
        <v>2</v>
      </c>
      <c r="DL5" s="7">
        <f>IFERROR(AVERAGEIF('Данные 1st'!$S$2:$S$317,$A5,'Данные 1st'!$HM$2:$HM$317),"")</f>
        <v>0</v>
      </c>
      <c r="DM5" s="7">
        <f>IFERROR(AVERAGEIF('Данные 1st'!$S$2:$S$317,$A5,'Данные 1st'!$HN$2:$HN$317),"")</f>
        <v>2</v>
      </c>
      <c r="DN5" s="7">
        <f>IFERROR(AVERAGEIF('Данные 1st'!$S$2:$S$317,$A5,'Данные 1st'!$HO$2:$HO$317),"")</f>
        <v>75.75</v>
      </c>
      <c r="DO5" s="7">
        <f>IFERROR(AVERAGEIF('Данные 1st'!$S$2:$S$317,$A5,'Данные 1st'!$HP$2:$HP$317),"")</f>
        <v>3</v>
      </c>
      <c r="DP5" s="7">
        <f>IFERROR(AVERAGEIF('Данные 1st'!$S$2:$S$317,$A5,'Данные 1st'!$HQ$2:$HQ$317),"")</f>
        <v>0</v>
      </c>
      <c r="DQ5" s="7">
        <f>IFERROR(AVERAGEIF('Данные 1st'!$S$2:$S$317,$A5,'Данные 1st'!$HR$2:$HR$317),"")</f>
        <v>2</v>
      </c>
      <c r="DR5" s="7">
        <f>IFERROR(AVERAGEIF('Данные 1st'!$S$2:$S$317,$A5,'Данные 1st'!$HS$2:$HS$317),"")</f>
        <v>3077</v>
      </c>
      <c r="DS5" s="7">
        <f>IFERROR(AVERAGEIF('Данные 1st'!$S$2:$S$317,$A5,'Данные 1st'!$HT$2:$HT$317),"")</f>
        <v>90</v>
      </c>
      <c r="DT5" s="7">
        <f>IFERROR(AVERAGEIF('Данные 1st'!$S$2:$S$317,$A5,'Данные 1st'!$HU$2:$HU$317),"")</f>
        <v>180</v>
      </c>
      <c r="DU5" s="7">
        <f>IFERROR(AVERAGEIF('Данные 1st'!$S$2:$S$317,$A5,'Данные 1st'!$HW$2:$HW$317),"")</f>
        <v>0</v>
      </c>
      <c r="DV5" s="7">
        <f>IFERROR(AVERAGEIF('Данные 1st'!$S$2:$S$317,$A5,'Данные 1st'!$HX$2:$HX$317),"")</f>
        <v>404.25</v>
      </c>
      <c r="DW5" s="7">
        <f>IFERROR(AVERAGEIF('Данные 1st'!$S$2:$S$317,$A5,'Данные 1st'!$HY$2:$HY$317),"")</f>
        <v>0.18</v>
      </c>
      <c r="DX5" s="7">
        <f>IFERROR(AVERAGEIF('Данные 1st'!$S$2:$S$317,$A5,'Данные 1st'!$IA$2:$IA$317),"")</f>
        <v>0.15</v>
      </c>
      <c r="DY5" s="7">
        <f>IFERROR(AVERAGEIF('Данные 1st'!$S$2:$S$317,$A5,'Данные 1st'!$IB$2:$IB$317),"")</f>
        <v>0</v>
      </c>
      <c r="DZ5" s="7">
        <f>IFERROR(AVERAGEIF('Данные 1st'!$S$2:$S$317,$A5,'Данные 1st'!$IC$2:$IC$317),"")</f>
        <v>179.5</v>
      </c>
      <c r="EA5" s="7">
        <f>IFERROR(AVERAGEIF('Данные 1st'!$S$2:$S$317,$A5,'Данные 1st'!$ID$2:$ID$317),"")</f>
        <v>110</v>
      </c>
      <c r="EB5" s="7">
        <f>IFERROR(AVERAGEIF('Данные 1st'!$S$2:$S$317,$A5,'Данные 1st'!$IE$2:$IE$317),"")</f>
        <v>0</v>
      </c>
      <c r="EC5" s="7">
        <f>IFERROR(AVERAGEIF('Данные 1st'!$S$2:$S$317,$A5,'Данные 1st'!$IF$2:$IF$317),"")</f>
        <v>0</v>
      </c>
      <c r="ED5" s="7">
        <f>IFERROR(AVERAGEIF('Данные 1st'!$S$2:$S$317,$A5,'Данные 1st'!$IP$2:$IP$317),"")</f>
        <v>14</v>
      </c>
      <c r="EE5" s="7">
        <f>IFERROR(AVERAGEIF('Данные 1st'!$S$2:$S$317,$A5,'Данные 1st'!$IV$2:$IV$317),"")</f>
        <v>1050</v>
      </c>
      <c r="EF5" s="7">
        <f>IFERROR(AVERAGEIF('Данные 1st'!$S$2:$S$317,$A5,'Данные 1st'!$IW$2:$IW$317),"")</f>
        <v>357.5</v>
      </c>
      <c r="EG5" s="7">
        <f>IFERROR(AVERAGEIF('Данные 1st'!$S$2:$S$317,$A5,'Данные 1st'!$IX$2:$IX$317),"")</f>
        <v/>
      </c>
      <c r="EH5" s="7">
        <f>IFERROR(AVERAGEIF('Данные 1st'!$S$2:$S$317,$A5,'Данные 1st'!$IY$2:$IY$317),"")</f>
        <v/>
      </c>
      <c r="EI5" s="7">
        <f>IFERROR(AVERAGEIF('Данные 1st'!$S$2:$S$317,$A5,'Данные 1st'!$JD$2:$JD$317),"")</f>
        <v>1064</v>
      </c>
      <c r="EJ5" s="7">
        <f>IFERROR(AVERAGEIF('Данные 1st'!$S$2:$S$317,$A5,'Данные 1st'!$JE$2:$JE$317),"")</f>
        <v>1062</v>
      </c>
      <c r="EK5" s="7">
        <f>IFERROR(AVERAGEIF('Данные 1st'!$S$2:$S$317,$A5,'Данные 1st'!$JF$2:$JF$317),"")</f>
        <v>0</v>
      </c>
      <c r="EL5" s="7">
        <f>IFERROR(AVERAGEIF('Данные 1st'!$S$2:$S$317,$A5,'Данные 1st'!$JG$2:$JG$317),"")</f>
        <v>1045.25</v>
      </c>
      <c r="EM5" s="7">
        <f>IFERROR(AVERAGEIF('Данные 1st'!$S$2:$S$317,$A5,'Данные 1st'!$JH$2:$JH$317),"")</f>
        <v>0</v>
      </c>
      <c r="EN5" s="7">
        <f>IFERROR(AVERAGEIF('Данные 1st'!$S$2:$S$317,$A5,'Данные 1st'!$JJ$2:$JJ$317),"")</f>
        <v>180</v>
      </c>
      <c r="EO5" s="7">
        <f>IFERROR(AVERAGEIF('Данные 1st'!$S$2:$S$317,$A5,'Данные 1st'!$JK$2:$JK$317),"")</f>
        <v>404.25</v>
      </c>
      <c r="EP5" s="7">
        <f>IFERROR(AVERAGEIF('Данные 1st'!$S$2:$S$317,$A5,'Данные 1st'!$JL$2:$JL$317),"")</f>
        <v/>
      </c>
      <c r="EQ5" s="7">
        <f>IFERROR(AVERAGEIF('Данные 1st'!$S$2:$S$317,$A5,'Данные 1st'!$JM$2:$JM$317),"")</f>
        <v/>
      </c>
      <c r="ER5" s="7">
        <f>IFERROR(AVERAGEIF('Данные 1st'!$S$2:$S$317,$A5,'Данные 1st'!$JN$2:$JN$317),"")</f>
        <v>335</v>
      </c>
      <c r="ES5" s="7">
        <f>IFERROR(AVERAGEIF('Данные 1st'!$S$2:$S$317,$A5,'Данные 1st'!$JO$2:$JO$317),"")</f>
        <v>483.75</v>
      </c>
      <c r="ET5" s="7">
        <f>IFERROR(AVERAGEIF('Данные 1st'!$S$2:$S$317,$A5,'Данные 1st'!$JP$2:$JP$317),"")</f>
        <v>0</v>
      </c>
      <c r="EU5" s="7">
        <f>IFERROR(AVERAGEIF('Данные 1st'!$S$2:$S$317,$A5,'Данные 1st'!$JQ$2:$JQ$317),"")</f>
        <v>0</v>
      </c>
      <c r="EV5" s="7">
        <f>IFERROR(AVERAGEIF('Данные 1st'!$S$2:$S$317,$A5,'Данные 1st'!$JR$2:$JR$317),"")</f>
        <v>313.5</v>
      </c>
      <c r="EW5" s="7">
        <f>IFERROR(AVERAGEIF('Данные 1st'!$S$2:$S$317,$A5,'Данные 1st'!$JS$2:$JS$317),"")</f>
        <v>145.75</v>
      </c>
      <c r="EX5" s="7">
        <f>IFERROR(AVERAGEIF('Данные 1st'!$S$2:$S$317,$A5,'Данные 1st'!$JT$2:$JT$317),"")</f>
        <v/>
      </c>
      <c r="EY5" s="7">
        <f>IFERROR(AVERAGEIF('Данные 1st'!$S$2:$S$317,$A5,'Данные 1st'!$JU$2:$JU$317),"")</f>
        <v/>
      </c>
      <c r="EZ5" s="7">
        <f>IFERROR(AVERAGEIF('Данные 1st'!$S$2:$S$317,$A5,'Данные 1st'!$JV$2:$JV$317),"")</f>
        <v>8</v>
      </c>
      <c r="FA5" s="7">
        <f>IFERROR(AVERAGEIF('Данные 1st'!$S$2:$S$317,$A5,'Данные 1st'!$JW$2:$JW$317),"")</f>
        <v/>
      </c>
      <c r="FB5" s="7">
        <f>IFERROR(AVERAGEIF('Данные 1st'!$S$2:$S$317,$A5,'Данные 1st'!$JX$2:$JX$317),"")</f>
        <v>0</v>
      </c>
      <c r="FC5" s="7">
        <f>IFERROR(AVERAGEIF('Данные 1st'!$S$2:$S$317,$A5,'Данные 1st'!$JY$2:$JY$317),"")</f>
        <v/>
      </c>
      <c r="FD5" s="7">
        <f>IFERROR(AVERAGEIF('Данные 1st'!$S$2:$S$317,$A5,'Данные 1st'!$JZ$2:$JZ$317),"")</f>
        <v/>
      </c>
      <c r="FE5" s="7">
        <f>IFERROR(AVERAGEIF('Данные 1st'!$S$2:$S$317,$A5,'Данные 1st'!$KA$2:$KA$317),"")</f>
        <v>0</v>
      </c>
      <c r="FF5" s="7">
        <f>IFERROR(AVERAGEIF('Данные 1st'!$S$2:$S$317,$A5,'Данные 1st'!$KB$2:$KB$317),"")</f>
        <v>110</v>
      </c>
      <c r="FG5" s="7">
        <f>IFERROR(AVERAGEIF('Данные 1st'!$S$2:$S$317,$A5,'Данные 1st'!$KC$2:$KC$317),"")</f>
        <v>0</v>
      </c>
      <c r="FH5" s="7">
        <f>IFERROR(AVERAGEIF('Данные 1st'!$S$2:$S$317,$A5,'Данные 1st'!$KD$2:$KD$317),"")</f>
        <v>80</v>
      </c>
      <c r="FI5" s="7">
        <f>IFERROR(AVERAGEIF('Данные 1st'!$S$2:$S$317,$A5,'Данные 1st'!$KE$2:$KE$317),"")</f>
        <v/>
      </c>
      <c r="FJ5" s="7">
        <f>IFERROR(AVERAGEIF('Данные 1st'!$S$2:$S$317,$A5,'Данные 1st'!$KF$2:$KF$317),"")</f>
        <v>4</v>
      </c>
      <c r="FK5" s="7">
        <f>IFERROR(AVERAGEIF('Данные 1st'!$S$2:$S$317,$A5,'Данные 1st'!$KG$2:$KG$317),"")</f>
        <v>2.5</v>
      </c>
      <c r="FL5" s="7">
        <f>IFERROR(AVERAGEIF('Данные 1st'!$S$2:$S$317,$A5,'Данные 1st'!$KH$2:$KH$317),"")</f>
        <v>2</v>
      </c>
      <c r="FM5" s="7">
        <f>IFERROR(AVERAGEIF('Данные 1st'!$S$2:$S$317,$A5,'Данные 1st'!$KI$2:$KI$317),"")</f>
        <v>2</v>
      </c>
      <c r="FN5" s="7">
        <f>IFERROR(AVERAGEIF('Данные 1st'!$S$2:$S$317,$A5,'Данные 1st'!$KJ$2:$KJ$317),"")</f>
        <v>0</v>
      </c>
      <c r="FO5" s="7">
        <f>IFERROR(AVERAGEIF('Данные 1st'!$S$2:$S$317,$A5,'Данные 1st'!$KK$2:$KK$317),"")</f>
        <v>1.5</v>
      </c>
      <c r="FP5" s="7">
        <f>IFERROR(AVERAGEIF('Данные 1st'!$S$2:$S$317,$A5,'Данные 1st'!$KL$2:$KL$317),"")</f>
        <v>1.5</v>
      </c>
      <c r="FQ5" s="7">
        <f>IFERROR(AVERAGEIF('Данные 1st'!$S$2:$S$317,$A5,'Данные 1st'!$KM$2:$KM$317),"")</f>
        <v>0</v>
      </c>
      <c r="FR5" s="7">
        <f>IFERROR(AVERAGEIF('Данные 1st'!$S$2:$S$317,$A5,'Данные 1st'!$KN$2:$KN$317),"")</f>
        <v>0</v>
      </c>
      <c r="FS5" s="7">
        <f>IFERROR(AVERAGEIF('Данные 1st'!$S$2:$S$317,$A5,'Данные 1st'!$KR$2:$KR$317),"")</f>
        <v>30</v>
      </c>
      <c r="FT5" s="7">
        <f>IFERROR(AVERAGEIF('Данные 1st'!$S$2:$S$317,$A5,'Данные 1st'!$KS$2:$KS$317),"")</f>
        <v>56.666666666666664</v>
      </c>
      <c r="FU5" s="7">
        <f>IFERROR(AVERAGEIF('Данные 1st'!$S$2:$S$317,$A5,'Данные 1st'!$KT$2:$KT$317),"")</f>
        <v>0</v>
      </c>
      <c r="FV5" s="7">
        <f>IFERROR(AVERAGEIF('Данные 1st'!$S$2:$S$317,$A5,'Данные 1st'!$KV$2:$KV$317),"")</f>
        <v/>
      </c>
      <c r="FW5" s="7">
        <f>IFERROR(AVERAGEIF('Данные 1st'!$S$2:$S$317,$A5,'Данные 1st'!$KW$2:$KW$317),"")</f>
        <v/>
      </c>
      <c r="FX5" s="7">
        <f>IFERROR(AVERAGEIF('Данные 1st'!$S$2:$S$317,$A5,'Данные 1st'!$KX$2:$KX$317),"")</f>
        <v/>
      </c>
      <c r="FY5" s="7">
        <f>IFERROR(AVERAGEIF('Данные 1st'!$S$2:$S$317,$A5,'Данные 1st'!$KY$2:$KY$317),"")</f>
        <v/>
      </c>
      <c r="FZ5" s="7">
        <f>IFERROR(AVERAGEIF('Данные 1st'!$S$2:$S$317,$A5,'Данные 1st'!$KZ$2:$KZ$317),"")</f>
        <v/>
      </c>
      <c r="GA5" s="7">
        <f>IFERROR(AVERAGEIF('Данные 1st'!$S$2:$S$317,$A5,'Данные 1st'!$LA$2:$LA$317),"")</f>
        <v/>
      </c>
      <c r="GB5" s="7">
        <f>IFERROR(AVERAGEIF('Данные 1st'!$S$2:$S$317,$A5,'Данные 1st'!$LB$2:$LB$317),"")</f>
        <v/>
      </c>
      <c r="GC5" s="7">
        <f>IFERROR(AVERAGEIF('Данные 1st'!$S$2:$S$317,$A5,'Данные 1st'!$LC$2:$LC$317),"")</f>
        <v/>
      </c>
      <c r="GD5" s="7">
        <f>IFERROR(AVERAGEIF('Данные 1st'!$S$2:$S$317,$A5,'Данные 1st'!$LD$2:$LD$317),"")</f>
        <v/>
      </c>
      <c r="GE5" s="7">
        <f>IFERROR(AVERAGEIF('Данные 1st'!$S$2:$S$317,$A5,'Данные 1st'!$LE$2:$LE$317),"")</f>
        <v/>
      </c>
      <c r="GF5" s="7">
        <f>IFERROR(AVERAGEIF('Данные 1st'!$S$2:$S$317,$A5,'Данные 1st'!$LF$2:$LF$317),"")</f>
        <v/>
      </c>
      <c r="GG5" s="7">
        <f>IFERROR(AVERAGEIF('Данные 1st'!$S$2:$S$317,$A5,'Данные 1st'!$LG$2:$LG$317),"")</f>
        <v/>
      </c>
      <c r="GH5" s="7">
        <f>IFERROR(AVERAGEIF('Данные 1st'!$S$2:$S$317,$A5,'Данные 1st'!$LH$2:$LH$317),"")</f>
        <v/>
      </c>
      <c r="GI5" s="7">
        <f>IFERROR(AVERAGEIF('Данные 1st'!$S$2:$S$317,$A5,'Данные 1st'!$LI$2:$LI$317),"")</f>
        <v/>
      </c>
      <c r="GJ5" s="7">
        <f>IFERROR(AVERAGEIF('Данные 1st'!$S$2:$S$317,$A5,'Данные 1st'!$LJ$2:$LJ$317),"")</f>
        <v/>
      </c>
      <c r="GK5" s="7">
        <f>IFERROR(AVERAGEIF('Данные 1st'!$S$2:$S$317,$A5,'Данные 1st'!$LK$2:$LK$317),"")</f>
        <v>480</v>
      </c>
      <c r="GL5" s="7">
        <f>IFERROR(AVERAGEIF('Данные 1st'!$S$2:$S$317,$A5,'Данные 1st'!$LV$2:$LV$317),"")</f>
        <v/>
      </c>
      <c r="GM5" s="7">
        <f>IFERROR(AVERAGEIF('Данные 1st'!$S$2:$S$317,$A5,'Данные 1st'!$LW$2:$LW$317),"")</f>
        <v/>
      </c>
      <c r="GN5" s="7">
        <f>IFERROR(AVERAGEIF('Данные 1st'!$S$2:$S$317,$A5,'Данные 1st'!$LX$2:$LX$317),"")</f>
        <v>322.5</v>
      </c>
      <c r="GO5" s="7">
        <f>IFERROR(AVERAGEIF('Данные 1st'!$S$2:$S$317,$A5,'Данные 1st'!$LY$2:$LY$317),"")</f>
        <v>2</v>
      </c>
      <c r="GP5" s="7">
        <f>IFERROR(AVERAGEIF('Данные 1st'!$S$2:$S$317,$A5,'Данные 1st'!$LZ$2:$LZ$317),"")</f>
        <v>252.5</v>
      </c>
      <c r="GQ5" s="7">
        <f>IFERROR(AVERAGEIF('Данные 1st'!$S$2:$S$317,$A5,'Данные 1st'!$PG$2:$PG$317),"")</f>
        <v>1</v>
      </c>
      <c r="GR5" s="7">
        <f>IFERROR(AVERAGEIF('Данные 1st'!$S$2:$S$317,$A5,'Данные 1st'!$PX$2:$PX$317),"")</f>
        <v>56</v>
      </c>
      <c r="GS5" s="7">
        <f>IFERROR(AVERAGEIF('Данные 1st'!$S$2:$S$317,$A5,'Данные 1st'!$PY$2:$PY$317),"")</f>
        <v>57</v>
      </c>
      <c r="GT5" s="7">
        <f>IFERROR(AVERAGEIF('Данные 1st'!$S$2:$S$317,$A5,'Данные 1st'!$QA$2:$QA$317),"")</f>
        <v>1.5</v>
      </c>
      <c r="GU5" s="7">
        <f>IFERROR(AVERAGEIF('Данные 1st'!$S$2:$S$317,$A5,'Данные 1st'!$QB$2:$QB$317),"")</f>
        <v>1045.25</v>
      </c>
      <c r="GV5" s="7">
        <f>IFERROR(AVERAGEIF('Данные 1st'!$S$2:$S$317,$A5,'Данные 1st'!$QC$2:$QC$317),"")</f>
        <v>69</v>
      </c>
      <c r="GW5" s="7">
        <f>IFERROR(AVERAGEIF('Данные 1st'!$S$2:$S$317,$A5,'Данные 1st'!$QD$2:$QD$317),"")</f>
        <v>69</v>
      </c>
      <c r="GX5" s="7">
        <f>IFERROR(AVERAGEIF('Данные 1st'!$S$2:$S$317,$A5,'Данные 1st'!$QF$2:$QF$317),"")</f>
        <v>1</v>
      </c>
      <c r="GY5" s="7">
        <f>IFERROR(AVERAGEIF('Данные 1st'!$S$2:$S$317,$A5,'Данные 1st'!$QG$2:$QG$317),"")</f>
        <v>1064</v>
      </c>
      <c r="GZ5" s="7">
        <f>IFERROR(AVERAGEIF('Данные 1st'!$S$2:$S$317,$A5,'Данные 1st'!$QH$2:$QH$317),"")</f>
        <v>66</v>
      </c>
      <c r="HA5" s="7">
        <f>IFERROR(AVERAGEIF('Данные 1st'!$S$2:$S$317,$A5,'Данные 1st'!$QI$2:$QI$317),"")</f>
        <v>66</v>
      </c>
      <c r="HB5" s="7">
        <f>IFERROR(AVERAGEIF('Данные 1st'!$S$2:$S$317,$A5,'Данные 1st'!$QK$2:$QK$317),"")</f>
        <v/>
      </c>
      <c r="HC5" s="7">
        <f>IFERROR(AVERAGEIF('Данные 1st'!$S$2:$S$317,$A5,'Данные 1st'!$QL$2:$QL$317),"")</f>
        <v>0</v>
      </c>
      <c r="HD5" s="7">
        <f>IFERROR(AVERAGEIF('Данные 1st'!$S$2:$S$317,$A5,'Данные 1st'!$QM$2:$QM$317),"")</f>
        <v>62.25</v>
      </c>
      <c r="HE5" s="7">
        <f>IFERROR(AVERAGEIF('Данные 1st'!$S$2:$S$317,$A5,'Данные 1st'!$QN$2:$QN$317),"")</f>
        <v>62.25</v>
      </c>
      <c r="HF5" s="7">
        <f>IFERROR(AVERAGEIF('Данные 1st'!$S$2:$S$317,$A5,'Данные 1st'!$QP$2:$QP$317),"")</f>
        <v>1</v>
      </c>
      <c r="HG5" s="7">
        <f>IFERROR(AVERAGEIF('Данные 1st'!$S$2:$S$317,$A5,'Данные 1st'!$QQ$2:$QQ$317),"")</f>
        <v>1062</v>
      </c>
      <c r="HH5" s="7">
        <f>IFERROR(AVERAGEIF('Данные 1st'!$S$2:$S$317,$A5,'Данные 1st'!$QR$2:$QR$317),"")</f>
        <v/>
      </c>
      <c r="HI5" s="7">
        <f>IFERROR(AVERAGEIF('Данные 1st'!$S$2:$S$317,$A5,'Данные 1st'!$QS$2:$QS$317),"")</f>
        <v/>
      </c>
      <c r="HJ5" s="7">
        <f>IFERROR(AVERAGEIF('Данные 1st'!$S$2:$S$317,$A5,'Данные 1st'!$QU$2:$QU$317),"")</f>
        <v/>
      </c>
      <c r="HK5" s="7">
        <f>IFERROR(AVERAGEIF('Данные 1st'!$S$2:$S$317,$A5,'Данные 1st'!$QV$2:$QV$317),"")</f>
        <v/>
      </c>
      <c r="HL5" s="7">
        <f>IFERROR(AVERAGEIF('Данные 1st'!$S$2:$S$317,$A5,'Данные 1st'!$QW$2:$QW$317),"")</f>
        <v>82</v>
      </c>
      <c r="HM5" s="7">
        <f>IFERROR(AVERAGEIF('Данные 1st'!$S$2:$S$317,$A5,'Данные 1st'!$QX$2:$QX$317),"")</f>
        <v>87.25</v>
      </c>
      <c r="HN5" s="7">
        <f>IFERROR(AVERAGEIF('Данные 1st'!$S$2:$S$317,$A5,'Данные 1st'!$QZ$2:$QZ$317),"")</f>
        <v>2.25</v>
      </c>
      <c r="HO5" s="7">
        <f>IFERROR(AVERAGEIF('Данные 1st'!$S$2:$S$317,$A5,'Данные 1st'!$RA$2:$RA$317),"")</f>
        <v>66</v>
      </c>
      <c r="HP5" s="7">
        <f>IFERROR(AVERAGEIF('Данные 1st'!$S$2:$S$317,$A5,'Данные 1st'!$RB$2:$RB$317),"")</f>
        <v>66</v>
      </c>
      <c r="HQ5" s="7">
        <f>IFERROR(AVERAGEIF('Данные 1st'!$S$2:$S$317,$A5,'Данные 1st'!$RD$2:$RD$317),"")</f>
        <v/>
      </c>
      <c r="HR5" s="7">
        <f>IFERROR(AVERAGEIF('Данные 1st'!$S$2:$S$317,$A5,'Данные 1st'!$RE$2:$RE$317),"")</f>
        <v>0</v>
      </c>
      <c r="HS5" s="7">
        <f>IFERROR(AVERAGEIF('Данные 1st'!$S$2:$S$317,$A5,'Данные 1st'!$RF$2:$RF$317),"")</f>
        <v>1</v>
      </c>
      <c r="HT5" s="7">
        <f>IFERROR(AVERAGEIF('Данные 1st'!$S$2:$S$317,$A5,'Данные 1st'!$RG$2:$RG$317),"")</f>
        <v>1</v>
      </c>
      <c r="HU5" s="7">
        <f>IFERROR(AVERAGEIF('Данные 1st'!$S$2:$S$317,$A5,'Данные 1st'!$RH$2:$RH$317),"")</f>
        <v/>
      </c>
      <c r="HV5" s="7">
        <f>IFERROR(AVERAGEIF('Данные 1st'!$S$2:$S$317,$A5,'Данные 1st'!$RI$2:$RI$317),"")</f>
        <v/>
      </c>
      <c r="HW5" s="7">
        <f>IFERROR(AVERAGEIF('Данные 1st'!$S$2:$S$317,$A5,'Данные 1st'!$RJ$2:$RJ$317),"")</f>
        <v>2.75</v>
      </c>
      <c r="HX5" s="7">
        <f>IFERROR(AVERAGEIF('Данные 1st'!$S$2:$S$317,$A5,'Данные 1st'!$RK$2:$RK$317),"")</f>
        <v/>
      </c>
      <c r="HY5" s="7">
        <f>IFERROR(AVERAGEIF('Данные 1st'!$S$2:$S$317,$A5,'Данные 1st'!$RL$2:$RL$317),"")</f>
        <v>1.75</v>
      </c>
      <c r="HZ5" s="7">
        <f>IFERROR(AVERAGEIF('Данные 1st'!$S$2:$S$317,$A5,'Данные 1st'!$RM$2:$RM$317),"")</f>
        <v/>
      </c>
      <c r="IA5" s="7">
        <f>IFERROR(AVERAGEIF('Данные 1st'!$S$2:$S$317,$A5,'Данные 1st'!$RN$2:$RN$317),"")</f>
        <v/>
      </c>
      <c r="IB5" s="7">
        <f>IFERROR(AVERAGEIF('Данные 1st'!$S$2:$S$317,$A5,'Данные 1st'!$RO$2:$RO$317),"")</f>
        <v>474</v>
      </c>
      <c r="IC5" s="7">
        <f>IFERROR(AVERAGEIF('Данные 1st'!$S$2:$S$317,$A5,'Данные 1st'!$RP$2:$RP$317),"")</f>
        <v/>
      </c>
      <c r="ID5" s="7">
        <f>IFERROR(AVERAGEIF('Данные 1st'!$S$2:$S$317,$A5,'Данные 1st'!$RQ$2:$RQ$317),"")</f>
        <v>789.25</v>
      </c>
      <c r="IE5" s="7">
        <f>IFERROR(AVERAGEIF('Данные 1st'!$S$2:$S$317,$A5,'Данные 1st'!$RR$2:$RR$317),"")</f>
        <v/>
      </c>
      <c r="IF5" s="7">
        <f>IFERROR(AVERAGEIF('Данные 1st'!$S$2:$S$317,$A5,'Данные 1st'!$RS$2:$RS$317),"")</f>
        <v/>
      </c>
      <c r="IG5" s="7">
        <f>IFERROR(AVERAGEIF('Данные 1st'!$S$2:$S$317,$A5,'Данные 1st'!$RT$2:$RT$317),"")</f>
        <v>147</v>
      </c>
      <c r="IH5" s="7">
        <f>IFERROR(AVERAGEIF('Данные 1st'!$S$2:$S$317,$A5,'Данные 1st'!$RU$2:$RU$317),"")</f>
        <v>134.25</v>
      </c>
      <c r="II5" s="7">
        <f>IFERROR(AVERAGEIF('Данные 1st'!$S$2:$S$317,$A5,'Данные 1st'!$RX$2:$RX$317),"")</f>
        <v>15</v>
      </c>
      <c r="IJ5" s="7">
        <f>IFERROR(AVERAGEIF('Данные 1st'!$S$2:$S$317,$A5,'Данные 1st'!$RY$2:$RY$317),"")</f>
        <v>4</v>
      </c>
      <c r="IK5" s="7">
        <f>IFERROR(AVERAGEIF('Данные 1st'!$S$2:$S$317,$A5,'Данные 1st'!$SA$2:$SA$317),"")</f>
        <v>15</v>
      </c>
      <c r="IL5" s="7">
        <f>IFERROR(AVERAGEIF('Данные 1st'!$S$2:$S$317,$A5,'Данные 1st'!$SD$2:$SD$317),"")</f>
        <v>1</v>
      </c>
      <c r="IM5" s="7">
        <f>IFERROR(AVERAGEIF('Данные 1st'!$S$2:$S$317,$A5,'Данные 1st'!$SG$2:$SG$317),"")</f>
        <v/>
      </c>
      <c r="IN5" s="7">
        <f>IFERROR(AVERAGEIF('Данные 1st'!$S$2:$S$317,$A5,'Данные 1st'!$SH$2:$SH$317),"")</f>
        <v>0.995</v>
      </c>
      <c r="IO5" s="7">
        <f>IFERROR(AVERAGEIF('Данные 1st'!$S$2:$S$317,$A5,'Данные 1st'!$SI$2:$SI$317),"")</f>
        <v>0.995</v>
      </c>
      <c r="IP5" s="7">
        <f>IFERROR(AVERAGEIF('Данные 1st'!$S$2:$S$317,$A5,'Данные 1st'!$SJ$2:$SJ$317),"")</f>
        <v>0.995</v>
      </c>
      <c r="IQ5" s="7">
        <f>IFERROR(AVERAGEIF('Данные 1st'!$S$2:$S$317,$A5,'Данные 1st'!$SK$2:$SK$317),"")</f>
        <v>15</v>
      </c>
      <c r="IR5" s="7">
        <f>IFERROR(AVERAGEIF('Данные 1st'!$S$2:$S$317,$A5,'Данные 1st'!$SL$2:$SL$317),"")</f>
        <v>0</v>
      </c>
      <c r="IS5" s="7">
        <f>IFERROR(AVERAGEIF('Данные 1st'!$S$2:$S$317,$A5,'Данные 1st'!$SM$2:$SM$317),"")</f>
        <v>0</v>
      </c>
      <c r="IT5" s="7">
        <f>IFERROR(AVERAGEIF('Данные 1st'!$S$2:$S$317,$A5,'Данные 1st'!$SN$2:$SN$317),"")</f>
        <v>0</v>
      </c>
      <c r="IU5" s="7">
        <f>IFERROR(AVERAGEIF('Данные 1st'!$S$2:$S$317,$A5,'Данные 1st'!$SO$2:$SO$317),"")</f>
        <v>0</v>
      </c>
      <c r="IV5" s="7">
        <f>IFERROR(AVERAGEIF('Данные 1st'!$S$2:$S$317,$A5,'Данные 1st'!$SP$2:$SP$317),"")</f>
        <v>0</v>
      </c>
      <c r="IW5" s="7">
        <f>IFERROR(AVERAGEIF('Данные 1st'!$S$2:$S$317,$A5,'Данные 1st'!$SQ$2:$SQ$317),"")</f>
        <v>0</v>
      </c>
      <c r="IX5" s="7">
        <f>IFERROR(AVERAGEIF('Данные 1st'!$S$2:$S$317,$A5,'Данные 1st'!$SR$2:$SR$317),"")</f>
        <v>0</v>
      </c>
      <c r="IY5" s="7">
        <f>IFERROR(AVERAGEIF('Данные 1st'!$S$2:$S$317,$A5,'Данные 1st'!$SS$2:$SS$317),"")</f>
        <v>0</v>
      </c>
      <c r="IZ5" s="7">
        <f>IFERROR(AVERAGEIF('Данные 1st'!$S$2:$S$317,$A5,'Данные 1st'!$ST$2:$ST$317),"")</f>
        <v>0</v>
      </c>
      <c r="JA5" s="7">
        <f>IFERROR(AVERAGEIF('Данные 1st'!$S$2:$S$317,$A5,'Данные 1st'!$SU$2:$SU$317),"")</f>
        <v>0</v>
      </c>
      <c r="JB5" s="7">
        <f>IFERROR(AVERAGEIF('Данные 1st'!$S$2:$S$317,$A5,'Данные 1st'!$SV$2:$SV$317),"")</f>
        <v>0</v>
      </c>
      <c r="JC5" s="7">
        <f>IFERROR(AVERAGEIF('Данные 1st'!$S$2:$S$317,$A5,'Данные 1st'!$SW$2:$SW$317),"")</f>
        <v>0</v>
      </c>
      <c r="JD5" s="7">
        <f>IFERROR(AVERAGEIF('Данные 1st'!$S$2:$S$317,$A5,'Данные 1st'!$SX$2:$SX$317),"")</f>
        <v>0</v>
      </c>
      <c r="JE5" s="7">
        <f>IFERROR(AVERAGEIF('Данные 1st'!$S$2:$S$317,$A5,'Данные 1st'!$SY$2:$SY$317),"")</f>
        <v/>
      </c>
      <c r="JF5" s="7">
        <f>IFERROR(AVERAGEIF('Данные 1st'!$S$2:$S$317,$A5,'Данные 1st'!$SZ$2:$SZ$317),"")</f>
        <v/>
      </c>
      <c r="JG5" s="7">
        <f>IFERROR(AVERAGEIF('Данные 1st'!$S$2:$S$317,$A5,'Данные 1st'!$TA$2:$TA$317),"")</f>
        <v/>
      </c>
      <c r="JH5" s="7">
        <f>IFERROR(AVERAGEIF('Данные 1st'!$S$2:$S$317,$A5,'Данные 1st'!$TB$2:$TB$317),"")</f>
        <v>0</v>
      </c>
      <c r="JI5" s="7">
        <f>IFERROR(AVERAGEIF('Данные 1st'!$S$2:$S$317,$A5,'Данные 1st'!$TC$2:$TC$317),"")</f>
        <v>0</v>
      </c>
      <c r="JJ5" s="7">
        <f>IFERROR(AVERAGEIF('Данные 1st'!$S$2:$S$317,$A5,'Данные 1st'!$TD$2:$TD$317),"")</f>
        <v>7.5</v>
      </c>
      <c r="JK5" s="7">
        <f>IFERROR(AVERAGEIF('Данные 1st'!$S$2:$S$317,$A5,'Данные 1st'!$TN$2:$TN$317),"")</f>
        <v>0</v>
      </c>
      <c r="JL5">
        <f>COUNTIF('Данные 2st'!$Q$2:$Q$317,$A5)</f>
        <v>4</v>
      </c>
      <c r="JM5" s="6" t="s">
        <v>5082</v>
      </c>
      <c r="JN5" s="6" t="s">
        <v>513</v>
      </c>
      <c r="JO5" s="6" t="s">
        <v>5125</v>
      </c>
      <c r="JP5" s="6" t="s">
        <v>5464</v>
      </c>
      <c r="JQ5" s="7">
        <f>IFERROR(AVERAGEIF('Данные 2st'!$Q$2:$Q$317,$A5,'Данные 2st'!$AC$2:$AC$317),"")</f>
        <v>12.75</v>
      </c>
      <c r="JR5" s="7">
        <f>IFERROR(AVERAGEIF('Данные 2st'!$Q$2:$Q$317,$A5,'Данные 2st'!$AF$2:$AF$317),"")</f>
        <v>3077</v>
      </c>
      <c r="JS5" s="7">
        <f>IFERROR(AVERAGEIF('Данные 2st'!$Q$2:$Q$317,$A5,'Данные 2st'!$AW$2:$AW$317),"")</f>
        <v>6.4</v>
      </c>
      <c r="JT5" s="7">
        <f>IFERROR(AVERAGEIF('Данные 2st'!$Q$2:$Q$317,$A5,'Данные 2st'!$AX$2:$AX$317),"")</f>
        <v>-6</v>
      </c>
      <c r="JU5" s="7">
        <f>IFERROR(AVERAGEIF('Данные 2st'!$Q$2:$Q$317,$A5,'Данные 2st'!$AY$2:$AY$317),"")</f>
        <v>81.25</v>
      </c>
      <c r="JV5" s="7">
        <f>IFERROR(AVERAGEIF('Данные 2st'!$Q$2:$Q$317,$A5,'Данные 2st'!$AZ$2:$AZ$317),"")</f>
        <v>69.875</v>
      </c>
      <c r="JW5" s="7">
        <f>IFERROR(AVERAGEIF('Данные 2st'!$Q$2:$Q$317,$A5,'Данные 2st'!$BA$2:$BA$317),"")</f>
        <v/>
      </c>
      <c r="JX5" s="7">
        <f>IFERROR(AVERAGEIF('Данные 2st'!$Q$2:$Q$317,$A5,'Данные 2st'!$BB$2:$BB$317),"")</f>
        <v/>
      </c>
      <c r="JY5" s="7">
        <f>IFERROR(AVERAGEIF('Данные 2st'!$Q$2:$Q$317,$A5,'Данные 2st'!$BC$2:$BC$317),"")</f>
        <v/>
      </c>
      <c r="JZ5" s="7">
        <f>IFERROR(AVERAGEIF('Данные 2st'!$Q$2:$Q$317,$A5,'Данные 2st'!$BH$2:$BH$317),"")</f>
        <v>81.25</v>
      </c>
      <c r="KA5" s="7">
        <f>IFERROR(AVERAGEIF('Данные 2st'!$Q$2:$Q$317,$A5,'Данные 2st'!$BI$2:$BI$317),"")</f>
        <v>11.375</v>
      </c>
      <c r="KB5" s="7">
        <f>IFERROR(AVERAGEIF('Данные 2st'!$Q$2:$Q$317,$A5,'Данные 2st'!$BJ$2:$BJ$317),"")</f>
        <v>69.875</v>
      </c>
      <c r="KC5" s="7">
        <f>IFERROR(AVERAGEIF('Данные 2st'!$Q$2:$Q$317,$A5,'Данные 2st'!$BK$2:$BK$317),"")</f>
        <v>3.125</v>
      </c>
      <c r="KD5" s="7">
        <f>IFERROR(AVERAGEIF('Данные 2st'!$Q$2:$Q$317,$A5,'Данные 2st'!$BL$2:$BL$317),"")</f>
        <v>162.5</v>
      </c>
      <c r="KE5" s="7">
        <f>IFERROR(AVERAGEIF('Данные 2st'!$Q$2:$Q$317,$A5,'Данные 2st'!$BM$2:$BM$317),"")</f>
        <v>-6</v>
      </c>
      <c r="KF5" s="7">
        <f>IFERROR(AVERAGEIF('Данные 2st'!$Q$2:$Q$317,$A5,'Данные 2st'!$BN$2:$BN$317),"")</f>
        <v>0</v>
      </c>
      <c r="KG5" s="7">
        <f>IFERROR(AVERAGEIF('Данные 2st'!$Q$2:$Q$317,$A5,'Данные 2st'!$BO$2:$BO$317),"")</f>
        <v>0</v>
      </c>
      <c r="KH5" s="7">
        <f>IFERROR(AVERAGEIF('Данные 2st'!$Q$2:$Q$317,$A5,'Данные 2st'!$BP$2:$BP$317),"")</f>
        <v>0</v>
      </c>
      <c r="KI5" s="7">
        <f>IFERROR(AVERAGEIF('Данные 2st'!$Q$2:$Q$317,$A5,'Данные 2st'!$BR$2:$BR$317),"")</f>
        <v>156.25</v>
      </c>
      <c r="KJ5" s="7">
        <f>IFERROR(AVERAGEIF('Данные 2st'!$Q$2:$Q$317,$A5,'Данные 2st'!$BS$2:$BS$317),"")</f>
        <v>146.25</v>
      </c>
      <c r="KK5" s="7">
        <f>IFERROR(AVERAGEIF('Данные 2st'!$Q$2:$Q$317,$A5,'Данные 2st'!$BT$2:$BT$317),"")</f>
        <v>1678.75</v>
      </c>
      <c r="KL5" s="7">
        <f>IFERROR(AVERAGEIF('Данные 2st'!$Q$2:$Q$317,$A5,'Данные 2st'!$CV$2:$CV$317),"")</f>
        <v>102.5</v>
      </c>
      <c r="KM5" s="7">
        <f>IFERROR(AVERAGEIF('Данные 2st'!$Q$2:$Q$317,$A5,'Данные 2st'!$CW$2:$CW$317),"")</f>
        <v>3</v>
      </c>
      <c r="KN5" s="7">
        <f>IFERROR(AVERAGEIF('Данные 2st'!$Q$2:$Q$317,$A5,'Данные 2st'!$CX$2:$CX$317),"")</f>
        <v>71.25</v>
      </c>
      <c r="KO5" s="7">
        <f>IFERROR(AVERAGEIF('Данные 2st'!$Q$2:$Q$317,$A5,'Данные 2st'!$CY$2:$CY$317),"")</f>
        <v>5</v>
      </c>
      <c r="KP5" s="7">
        <f>IFERROR(AVERAGEIF('Данные 2st'!$Q$2:$Q$317,$A5,'Данные 2st'!$CZ$2:$CZ$317),"")</f>
        <v>119.5</v>
      </c>
      <c r="KQ5" s="7">
        <f>IFERROR(AVERAGEIF('Данные 2st'!$Q$2:$Q$317,$A5,'Данные 2st'!$DA$2:$DA$317),"")</f>
        <v>5</v>
      </c>
      <c r="KR5" s="7">
        <f>IFERROR(AVERAGEIF('Данные 2st'!$Q$2:$Q$317,$A5,'Данные 2st'!$DB$2:$DB$317),"")</f>
        <v>7182.5</v>
      </c>
      <c r="KS5" s="7">
        <f>IFERROR(AVERAGEIF('Данные 2st'!$Q$2:$Q$317,$A5,'Данные 2st'!$DC$2:$DC$317),"")</f>
        <v>190</v>
      </c>
      <c r="KT5" s="7">
        <f>IFERROR(AVERAGEIF('Данные 2st'!$Q$2:$Q$317,$A5,'Данные 2st'!$DD$2:$DD$317),"")</f>
        <v>273.75</v>
      </c>
      <c r="KU5" s="7">
        <f>IFERROR(AVERAGEIF('Данные 2st'!$Q$2:$Q$317,$A5,'Данные 2st'!$DE$2:$DE$317),"")</f>
        <v>1770.25</v>
      </c>
      <c r="KV5" s="7">
        <f>IFERROR(AVERAGEIF('Данные 2st'!$Q$2:$Q$317,$A5,'Данные 2st'!$DF$2:$DF$317),"")</f>
        <v>1770.25</v>
      </c>
      <c r="KW5" s="7">
        <f>IFERROR(AVERAGEIF('Данные 2st'!$Q$2:$Q$317,$A5,'Данные 2st'!$DG$2:$DG$317),"")</f>
        <v>1789.25</v>
      </c>
      <c r="KX5" s="7">
        <f>IFERROR(AVERAGEIF('Данные 2st'!$Q$2:$Q$317,$A5,'Данные 2st'!$DH$2:$DH$317),"")</f>
        <v/>
      </c>
      <c r="KY5" s="7">
        <f>IFERROR(AVERAGEIF('Данные 2st'!$Q$2:$Q$317,$A5,'Данные 2st'!$DI$2:$DI$317),"")</f>
        <v/>
      </c>
      <c r="KZ5" s="7">
        <f>IFERROR(AVERAGEIF('Данные 2st'!$Q$2:$Q$317,$A5,'Данные 2st'!$DK$2:$DK$317),"")</f>
        <v>156.25</v>
      </c>
      <c r="LA5" s="7">
        <f>IFERROR(AVERAGEIF('Данные 2st'!$Q$2:$Q$317,$A5,'Данные 2st'!$DM$2:$DM$317),"")</f>
        <v>64</v>
      </c>
      <c r="LB5" s="7">
        <f>IFERROR(AVERAGEIF('Данные 2st'!$Q$2:$Q$317,$A5,'Данные 2st'!$DN$2:$DN$317),"")</f>
        <v>0.84</v>
      </c>
      <c r="LC5" s="7">
        <f>IFERROR(AVERAGEIF('Данные 2st'!$Q$2:$Q$317,$A5,'Данные 2st'!$DO$2:$DO$317),"")</f>
        <v>1</v>
      </c>
      <c r="LD5" s="7">
        <f>IFERROR(AVERAGEIF('Данные 2st'!$Q$2:$Q$317,$A5,'Данные 2st'!$DP$2:$DP$317),"")</f>
        <v>1681.75</v>
      </c>
      <c r="LE5" s="7">
        <f>IFERROR(AVERAGEIF('Данные 2st'!$Q$2:$Q$317,$A5,'Данные 2st'!$DQ$2:$DQ$317),"")</f>
        <v>480.25</v>
      </c>
      <c r="LF5" s="7">
        <f>IFERROR(AVERAGEIF('Данные 2st'!$Q$2:$Q$317,$A5,'Данные 2st'!$DS$2:$DS$317),"")</f>
        <v>146.25</v>
      </c>
      <c r="LG5" s="7">
        <f>IFERROR(AVERAGEIF('Данные 2st'!$Q$2:$Q$317,$A5,'Данные 2st'!$DU$2:$DU$317),"")</f>
        <v>64</v>
      </c>
      <c r="LH5" s="7">
        <f>IFERROR(AVERAGEIF('Данные 2st'!$Q$2:$Q$317,$A5,'Данные 2st'!$DV$2:$DV$317),"")</f>
        <v>0.84</v>
      </c>
      <c r="LI5" s="7">
        <f>IFERROR(AVERAGEIF('Данные 2st'!$Q$2:$Q$317,$A5,'Данные 2st'!$DW$2:$DW$317),"")</f>
        <v>1</v>
      </c>
      <c r="LJ5" s="7">
        <f>IFERROR(AVERAGEIF('Данные 2st'!$Q$2:$Q$317,$A5,'Данные 2st'!$DX$2:$DX$317),"")</f>
        <v>1688.75</v>
      </c>
      <c r="LK5" s="7">
        <f>IFERROR(AVERAGEIF('Данные 2st'!$Q$2:$Q$317,$A5,'Данные 2st'!$DY$2:$DY$317),"")</f>
        <v>451.25</v>
      </c>
      <c r="LL5" s="7">
        <f>IFERROR(AVERAGEIF('Данные 2st'!$Q$2:$Q$317,$A5,'Данные 2st'!$EA$2:$EA$317),"")</f>
        <v>33</v>
      </c>
      <c r="LM5" s="7">
        <f>IFERROR(AVERAGEIF('Данные 2st'!$Q$2:$Q$317,$A5,'Данные 2st'!$EC$2:$EC$317),"")</f>
        <v>0.4</v>
      </c>
      <c r="LN5" s="7">
        <f>IFERROR(AVERAGEIF('Данные 2st'!$Q$2:$Q$317,$A5,'Данные 2st'!$ED$2:$ED$317),"")</f>
        <v>1681.75</v>
      </c>
      <c r="LO5" s="7">
        <f>IFERROR(AVERAGEIF('Данные 2st'!$Q$2:$Q$317,$A5,'Данные 2st'!$EE$2:$EE$317),"")</f>
        <v>49</v>
      </c>
      <c r="LP5" s="7">
        <f>IFERROR(AVERAGEIF('Данные 2st'!$Q$2:$Q$317,$A5,'Данные 2st'!$EG$2:$EG$317),"")</f>
        <v>33</v>
      </c>
      <c r="LQ5" s="7">
        <f>IFERROR(AVERAGEIF('Данные 2st'!$Q$2:$Q$317,$A5,'Данные 2st'!$EI$2:$EI$317),"")</f>
        <v>0.4</v>
      </c>
      <c r="LR5" s="7">
        <f>IFERROR(AVERAGEIF('Данные 2st'!$Q$2:$Q$317,$A5,'Данные 2st'!$EJ$2:$EJ$317),"")</f>
        <v>1688.75</v>
      </c>
      <c r="LS5" s="7">
        <f>IFERROR(AVERAGEIF('Данные 2st'!$Q$2:$Q$317,$A5,'Данные 2st'!$EK$2:$EK$317),"")</f>
        <v>49</v>
      </c>
      <c r="LT5" s="7">
        <f>IFERROR(AVERAGEIF('Данные 2st'!$Q$2:$Q$317,$A5,'Данные 2st'!$EM$2:$EM$317),"")</f>
        <v>12</v>
      </c>
      <c r="LU5" s="7">
        <f>IFERROR(AVERAGEIF('Данные 2st'!$Q$2:$Q$317,$A5,'Данные 2st'!$EN$2:$EN$317),"")</f>
        <v>0.5</v>
      </c>
      <c r="LV5" s="7">
        <f>IFERROR(AVERAGEIF('Данные 2st'!$Q$2:$Q$317,$A5,'Данные 2st'!$EO$2:$EO$317),"")</f>
        <v>0.8175</v>
      </c>
      <c r="LW5" s="7">
        <f>IFERROR(AVERAGEIF('Данные 2st'!$Q$2:$Q$317,$A5,'Данные 2st'!$EP$2:$EP$317),"")</f>
        <v>1689.31</v>
      </c>
      <c r="LX5" s="7">
        <f>IFERROR(AVERAGEIF('Данные 2st'!$Q$2:$Q$317,$A5,'Данные 2st'!$EQ$2:$EQ$317),"")</f>
        <v>23029.51</v>
      </c>
      <c r="LY5" s="7">
        <f>IFERROR(AVERAGEIF('Данные 2st'!$Q$2:$Q$317,$A5,'Данные 2st'!$ER$2:$ER$317),"")</f>
        <v>3011.4775</v>
      </c>
      <c r="LZ5" s="7">
        <f>IFERROR(AVERAGEIF('Данные 2st'!$Q$2:$Q$317,$A5,'Данные 2st'!$ES$2:$ES$317),"")</f>
        <v>0</v>
      </c>
      <c r="MA5" s="7">
        <f>IFERROR(AVERAGEIF('Данные 2st'!$Q$2:$Q$317,$A5,'Данные 2st'!$ET$2:$ET$317),"")</f>
        <v>0</v>
      </c>
      <c r="MB5" s="7">
        <f>IFERROR(AVERAGEIF('Данные 2st'!$Q$2:$Q$317,$A5,'Данные 2st'!$EU$2:$EU$317),"")</f>
        <v>1</v>
      </c>
      <c r="MC5" s="7">
        <f>IFERROR(AVERAGEIF('Данные 2st'!$Q$2:$Q$317,$A5,'Данные 2st'!$EV$2:$EV$317),"")</f>
        <v>26041.25</v>
      </c>
      <c r="MD5" s="7">
        <f>IFERROR(AVERAGEIF('Данные 2st'!$Q$2:$Q$317,$A5,'Данные 2st'!$EW$2:$EW$317),"")</f>
        <v>274.5</v>
      </c>
      <c r="ME5" s="7">
        <f>IFERROR(AVERAGEIF('Данные 2st'!$Q$2:$Q$317,$A5,'Данные 2st'!$EY$2:$EY$317),"")</f>
        <v>172</v>
      </c>
      <c r="MF5" s="7">
        <f>IFERROR(AVERAGEIF('Данные 2st'!$Q$2:$Q$317,$A5,'Данные 2st'!$FA$2:$FA$317),"")</f>
        <v>4.5</v>
      </c>
      <c r="MG5" s="7">
        <f>IFERROR(AVERAGEIF('Данные 2st'!$Q$2:$Q$317,$A5,'Данные 2st'!$FB$2:$FB$317),"")</f>
        <v>1</v>
      </c>
      <c r="MH5" s="7">
        <f>IFERROR(AVERAGEIF('Данные 2st'!$Q$2:$Q$317,$A5,'Данные 2st'!$FC$2:$FC$317),"")</f>
        <v>1</v>
      </c>
      <c r="MI5" s="7">
        <f>IFERROR(AVERAGEIF('Данные 2st'!$Q$2:$Q$317,$A5,'Данные 2st'!$FD$2:$FD$317),"")</f>
        <v>1718.5</v>
      </c>
      <c r="MJ5" s="7">
        <f>IFERROR(AVERAGEIF('Данные 2st'!$Q$2:$Q$317,$A5,'Данные 2st'!$FE$2:$FE$317),"")</f>
        <v>1642.25</v>
      </c>
      <c r="MK5" s="7">
        <f>IFERROR(AVERAGEIF('Данные 2st'!$Q$2:$Q$317,$A5,'Данные 2st'!$FG$2:$FG$317),"")</f>
        <v>173</v>
      </c>
      <c r="ML5" s="7">
        <f>IFERROR(AVERAGEIF('Данные 2st'!$Q$2:$Q$317,$A5,'Данные 2st'!$FI$2:$FI$317),"")</f>
        <v>2.625</v>
      </c>
      <c r="MM5" s="7">
        <f>IFERROR(AVERAGEIF('Данные 2st'!$Q$2:$Q$317,$A5,'Данные 2st'!$FJ$2:$FJ$317),"")</f>
        <v>1718.5</v>
      </c>
      <c r="MN5" s="7">
        <f>IFERROR(AVERAGEIF('Данные 2st'!$Q$2:$Q$317,$A5,'Данные 2st'!$FK$2:$FK$317),"")</f>
        <v>895.25</v>
      </c>
      <c r="MO5" s="7">
        <f>IFERROR(AVERAGEIF('Данные 2st'!$Q$2:$Q$317,$A5,'Данные 2st'!$FP$2:$FP$317),"")</f>
        <v>1718.5</v>
      </c>
      <c r="MP5" s="7">
        <f>IFERROR(AVERAGEIF('Данные 2st'!$Q$2:$Q$317,$A5,'Данные 2st'!$FQ$2:$FQ$317),"")</f>
        <v>114.25</v>
      </c>
      <c r="MQ5" s="7">
        <f>IFERROR(AVERAGEIF('Данные 2st'!$Q$2:$Q$317,$A5,'Данные 2st'!$FS$2:$FS$317),"")</f>
        <v>177</v>
      </c>
      <c r="MR5" s="7">
        <f>IFERROR(AVERAGEIF('Данные 2st'!$Q$2:$Q$317,$A5,'Данные 2st'!$FU$2:$FU$317),"")</f>
        <v>0.4</v>
      </c>
      <c r="MS5" s="7">
        <f>IFERROR(AVERAGEIF('Данные 2st'!$Q$2:$Q$317,$A5,'Данные 2st'!$FV$2:$FV$317),"")</f>
        <v>1718.5</v>
      </c>
      <c r="MT5" s="7">
        <f>IFERROR(AVERAGEIF('Данные 2st'!$Q$2:$Q$317,$A5,'Данные 2st'!$FW$2:$FW$317),"")</f>
        <v>135.5</v>
      </c>
      <c r="MU5" s="7">
        <f>IFERROR(AVERAGEIF('Данные 2st'!$Q$2:$Q$317,$A5,'Данные 2st'!$FY$2:$FY$317),"")</f>
        <v>8.333333333333334</v>
      </c>
      <c r="MV5" s="7">
        <f>IFERROR(AVERAGEIF('Данные 2st'!$Q$2:$Q$317,$A5,'Данные 2st'!$GB$2:$GB$317),"")</f>
        <v>1717.3333333333333</v>
      </c>
      <c r="MW5" s="7">
        <f>IFERROR(AVERAGEIF('Данные 2st'!$Q$2:$Q$317,$A5,'Данные 2st'!$GC$2:$GC$317),"")</f>
        <v>15.666666666666666</v>
      </c>
      <c r="MX5" s="7">
        <f>IFERROR(AVERAGEIF('Данные 2st'!$Q$2:$Q$317,$A5,'Данные 2st'!$GD$2:$GD$317),"")</f>
        <v>2799</v>
      </c>
      <c r="MY5" s="7">
        <f>IFERROR(AVERAGEIF('Данные 2st'!$Q$2:$Q$317,$A5,'Данные 2st'!$GN$2:$GN$317),"")</f>
        <v/>
      </c>
      <c r="MZ5" s="7">
        <f>IFERROR(AVERAGEIF('Данные 2st'!$Q$2:$Q$317,$A5,'Данные 2st'!$GQ$2:$GQ$317),"")</f>
        <v>0</v>
      </c>
      <c r="NA5" s="7">
        <f>IFERROR(AVERAGEIF('Данные 2st'!$Q$2:$Q$317,$A5,'Данные 2st'!$GV$2:$GV$317),"")</f>
        <v>7.525</v>
      </c>
      <c r="NB5" s="7">
        <f>IFERROR(AVERAGEIF('Данные 2st'!$Q$2:$Q$317,$A5,'Данные 2st'!$GW$2:$GW$317),"")</f>
        <v>9.775</v>
      </c>
      <c r="NC5" s="7">
        <f>IFERROR(AVERAGEIF('Данные 2st'!$Q$2:$Q$317,$A5,'Данные 2st'!$GX$2:$GX$317),"")</f>
        <v>0.5</v>
      </c>
      <c r="ND5" s="7">
        <f>IFERROR(AVERAGEIF('Данные 2st'!$Q$2:$Q$317,$A5,'Данные 2st'!$GY$2:$GY$317),"")</f>
        <v>144</v>
      </c>
      <c r="NE5" s="7">
        <f>IFERROR(AVERAGEIF('Данные 2st'!$Q$2:$Q$317,$A5,'Данные 2st'!$GZ$2:$GZ$317),"")</f>
        <v>3</v>
      </c>
      <c r="NF5" s="7">
        <f>IFERROR(AVERAGEIF('Данные 2st'!$Q$2:$Q$317,$A5,'Данные 2st'!$HA$2:$HA$317),"")</f>
        <v>189.5</v>
      </c>
      <c r="NG5" s="7">
        <f>IFERROR(AVERAGEIF('Данные 2st'!$Q$2:$Q$317,$A5,'Данные 2st'!$HB$2:$HB$317),"")</f>
        <v>3</v>
      </c>
      <c r="NH5" s="7">
        <f>IFERROR(AVERAGEIF('Данные 2st'!$Q$2:$Q$317,$A5,'Данные 2st'!$HC$2:$HC$317),"")</f>
        <v>1718.5</v>
      </c>
      <c r="NI5" s="7">
        <f>IFERROR(AVERAGEIF('Данные 2st'!$Q$2:$Q$317,$A5,'Данные 2st'!$HD$2:$HD$317),"")</f>
        <v>4</v>
      </c>
      <c r="NJ5" s="7">
        <f>IFERROR(AVERAGEIF('Данные 2st'!$Q$2:$Q$317,$A5,'Данные 2st'!$HM$2:$HM$317),"")</f>
        <v>14</v>
      </c>
      <c r="NK5" s="7">
        <f>IFERROR(AVERAGEIF('Данные 2st'!$Q$2:$Q$317,$A5,'Данные 2st'!$HR$2:$HR$317),"")</f>
        <v>2.5</v>
      </c>
      <c r="NL5" s="7">
        <f>IFERROR(AVERAGEIF('Данные 2st'!$Q$2:$Q$317,$A5,'Данные 2st'!$HS$2:$HS$317),"")</f>
        <v>1678.75</v>
      </c>
      <c r="NM5" s="7">
        <f>IFERROR(AVERAGEIF('Данные 2st'!$Q$2:$Q$317,$A5,'Данные 2st'!$HT$2:$HT$317),"")</f>
        <v>5</v>
      </c>
      <c r="NN5" s="7">
        <f>IFERROR(AVERAGEIF('Данные 2st'!$Q$2:$Q$317,$A5,'Данные 2st'!$HY$2:$HY$317),"")</f>
        <v>0</v>
      </c>
      <c r="NO5" s="7">
        <f>IFERROR(AVERAGEIF('Данные 2st'!$Q$2:$Q$317,$A5,'Данные 2st'!$HZ$2:$HZ$317),"")</f>
        <v>64</v>
      </c>
      <c r="NP5" s="7">
        <f>IFERROR(AVERAGEIF('Данные 2st'!$Q$2:$Q$317,$A5,'Данные 2st'!$IA$2:$IA$317),"")</f>
        <v>1681.75</v>
      </c>
      <c r="NQ5" s="7">
        <f>IFERROR(AVERAGEIF('Данные 2st'!$Q$2:$Q$317,$A5,'Данные 2st'!$IB$2:$IB$317),"")</f>
        <v>1688.75</v>
      </c>
      <c r="NR5" s="7">
        <f>IFERROR(AVERAGEIF('Данные 2st'!$Q$2:$Q$317,$A5,'Данные 2st'!$IC$2:$IC$317),"")</f>
        <v/>
      </c>
      <c r="NS5" s="7">
        <f>IFERROR(AVERAGEIF('Данные 2st'!$Q$2:$Q$317,$A5,'Данные 2st'!$ID$2:$ID$317),"")</f>
        <v>1718.5</v>
      </c>
      <c r="NT5" s="7">
        <f>IFERROR(AVERAGEIF('Данные 2st'!$Q$2:$Q$317,$A5,'Данные 2st'!$IE$2:$IE$317),"")</f>
        <v>1718.5</v>
      </c>
      <c r="NU5" s="7">
        <f>IFERROR(AVERAGEIF('Данные 2st'!$Q$2:$Q$317,$A5,'Данные 2st'!$IF$2:$IF$317),"")</f>
        <v>156.25</v>
      </c>
      <c r="NV5" s="7">
        <f>IFERROR(AVERAGEIF('Данные 2st'!$Q$2:$Q$317,$A5,'Данные 2st'!$IG$2:$IG$317),"")</f>
        <v>146.25</v>
      </c>
      <c r="NW5" s="7">
        <f>IFERROR(AVERAGEIF('Данные 2st'!$Q$2:$Q$317,$A5,'Данные 2st'!$IH$2:$IH$317),"")</f>
        <v>189.5</v>
      </c>
      <c r="NX5" s="7">
        <f>IFERROR(AVERAGEIF('Данные 2st'!$Q$2:$Q$317,$A5,'Данные 2st'!$IJ$2:$IJ$317),"")</f>
        <v>5</v>
      </c>
      <c r="NY5" s="7">
        <f>IFERROR(AVERAGEIF('Данные 2st'!$Q$2:$Q$317,$A5,'Данные 2st'!$IM$2:$IM$317),"")</f>
        <v>0</v>
      </c>
      <c r="NZ5" s="7">
        <f>IFERROR(AVERAGEIF('Данные 2st'!$Q$2:$Q$317,$A5,'Данные 2st'!$IN$2:$IN$317),"")</f>
        <v>270</v>
      </c>
      <c r="OA5" s="7">
        <f>IFERROR(AVERAGEIF('Данные 2st'!$Q$2:$Q$317,$A5,'Данные 2st'!$IO$2:$IO$317),"")</f>
        <v>0</v>
      </c>
      <c r="OB5" s="7">
        <f>IFERROR(AVERAGEIF('Данные 2st'!$Q$2:$Q$317,$A5,'Данные 2st'!$IP$2:$IP$317),"")</f>
        <v>180</v>
      </c>
      <c r="OC5" s="7">
        <f>IFERROR(AVERAGEIF('Данные 2st'!$Q$2:$Q$317,$A5,'Данные 2st'!$IQ$2:$IQ$317),"")</f>
        <v>0</v>
      </c>
      <c r="OD5" s="7">
        <f>IFERROR(AVERAGEIF('Данные 2st'!$Q$2:$Q$317,$A5,'Данные 2st'!$IR$2:$IR$317),"")</f>
        <v>323.75</v>
      </c>
      <c r="OE5" s="7">
        <f>IFERROR(AVERAGEIF('Данные 2st'!$Q$2:$Q$317,$A5,'Данные 2st'!$IT$2:$IT$317),"")</f>
        <v>157.5</v>
      </c>
      <c r="OF5" s="7">
        <f>IFERROR(AVERAGEIF('Данные 2st'!$Q$2:$Q$317,$A5,'Данные 2st'!$IU$2:$IU$317),"")</f>
        <v>0</v>
      </c>
      <c r="OG5" s="7">
        <f>IFERROR(AVERAGEIF('Данные 2st'!$Q$2:$Q$317,$A5,'Данные 2st'!$IV$2:$IV$317),"")</f>
        <v>6.4</v>
      </c>
      <c r="OH5" s="7">
        <f>IFERROR(AVERAGEIF('Данные 2st'!$Q$2:$Q$317,$A5,'Данные 2st'!$IW$2:$IW$317),"")</f>
        <v>-6</v>
      </c>
      <c r="OI5" s="7">
        <f>IFERROR(AVERAGEIF('Данные 2st'!$Q$2:$Q$317,$A5,'Данные 2st'!$IX$2:$IX$317),"")</f>
        <v>81.25</v>
      </c>
      <c r="OJ5" s="7">
        <f>IFERROR(AVERAGEIF('Данные 2st'!$Q$2:$Q$317,$A5,'Данные 2st'!$IY$2:$IY$317),"")</f>
        <v>69.875</v>
      </c>
      <c r="OK5" s="7">
        <f>IFERROR(AVERAGEIF('Данные 2st'!$Q$2:$Q$317,$A5,'Данные 2st'!$IZ$2:$IZ$317),"")</f>
        <v>0</v>
      </c>
      <c r="OL5" s="7">
        <f>IFERROR(AVERAGEIF('Данные 2st'!$Q$2:$Q$317,$A5,'Данные 2st'!$JA$2:$JA$317),"")</f>
        <v>0</v>
      </c>
      <c r="OM5" s="7">
        <f>IFERROR(AVERAGEIF('Данные 2st'!$Q$2:$Q$317,$A5,'Данные 2st'!$JB$2:$JB$317),"")</f>
        <v>0</v>
      </c>
      <c r="ON5" s="7">
        <f>IFERROR(AVERAGEIF('Данные 2st'!$Q$2:$Q$317,$A5,'Данные 2st'!$JC$2:$JC$317),"")</f>
        <v>0</v>
      </c>
      <c r="OO5" s="7">
        <f>IFERROR(AVERAGEIF('Данные 2st'!$Q$2:$Q$317,$A5,'Данные 2st'!$JD$2:$JD$317),"")</f>
        <v>0</v>
      </c>
      <c r="OP5" s="7">
        <f>IFERROR(AVERAGEIF('Данные 2st'!$Q$2:$Q$317,$A5,'Данные 2st'!$JE$2:$JE$317),"")</f>
        <v>0</v>
      </c>
      <c r="OQ5" s="7">
        <f>IFERROR(AVERAGEIF('Данные 2st'!$Q$2:$Q$317,$A5,'Данные 2st'!$JF$2:$JF$317),"")</f>
        <v>0</v>
      </c>
      <c r="OR5" s="7">
        <f>IFERROR(AVERAGEIF('Данные 2st'!$Q$2:$Q$317,$A5,'Данные 2st'!$JG$2:$JG$317),"")</f>
        <v>0</v>
      </c>
      <c r="OS5" s="7">
        <f>IFERROR(AVERAGEIF('Данные 2st'!$Q$2:$Q$317,$A5,'Данные 2st'!$JH$2:$JH$317),"")</f>
        <v>0</v>
      </c>
      <c r="OT5" s="7">
        <f>IFERROR(AVERAGEIF('Данные 2st'!$Q$2:$Q$317,$A5,'Данные 2st'!$JI$2:$JI$317),"")</f>
        <v>323.5</v>
      </c>
      <c r="OU5" s="7">
        <f>IFERROR(AVERAGEIF('Данные 2st'!$Q$2:$Q$317,$A5,'Данные 2st'!$JJ$2:$JJ$317),"")</f>
        <v>288.5</v>
      </c>
      <c r="OV5" s="7">
        <f>IFERROR(AVERAGEIF('Данные 2st'!$Q$2:$Q$317,$A5,'Данные 2st'!$JK$2:$JK$317),"")</f>
        <v>217.5</v>
      </c>
      <c r="OW5" s="7">
        <f>IFERROR(AVERAGEIF('Данные 2st'!$Q$2:$Q$317,$A5,'Данные 2st'!$JL$2:$JL$317),"")</f>
        <v>287.5</v>
      </c>
      <c r="OX5" s="7">
        <f>IFERROR(AVERAGEIF('Данные 2st'!$Q$2:$Q$317,$A5,'Данные 2st'!$JM$2:$JM$317),"")</f>
        <v>224</v>
      </c>
      <c r="OY5" s="7">
        <f>IFERROR(AVERAGEIF('Данные 2st'!$Q$2:$Q$317,$A5,'Данные 2st'!$JP$2:$JP$317),"")</f>
        <v>245</v>
      </c>
      <c r="OZ5" s="7">
        <f>IFERROR(AVERAGEIF('Данные 2st'!$Q$2:$Q$317,$A5,'Данные 2st'!$JQ$2:$JQ$317),"")</f>
        <v>288.75</v>
      </c>
      <c r="PA5" s="7">
        <f>IFERROR(AVERAGEIF('Данные 2st'!$Q$2:$Q$317,$A5,'Данные 2st'!$JR$2:$JR$317),"")</f>
        <v>358.5</v>
      </c>
      <c r="PB5" s="7">
        <f>IFERROR(AVERAGEIF('Данные 2st'!$Q$2:$Q$317,$A5,'Данные 2st'!$JS$2:$JS$317),"")</f>
        <v>275</v>
      </c>
      <c r="PC5" s="7">
        <f>IFERROR(AVERAGEIF('Данные 2st'!$Q$2:$Q$317,$A5,'Данные 2st'!$JT$2:$JT$317),"")</f>
        <v>0</v>
      </c>
      <c r="PD5" s="7">
        <f>IFERROR(AVERAGEIF('Данные 2st'!$Q$2:$Q$317,$A5,'Данные 2st'!$JU$2:$JU$317),"")</f>
        <v>0</v>
      </c>
      <c r="PE5" s="7">
        <f>IFERROR(AVERAGEIF('Данные 2st'!$Q$2:$Q$317,$A5,'Данные 2st'!$JV$2:$JV$317),"")</f>
        <v>335</v>
      </c>
      <c r="PF5" s="7">
        <f>IFERROR(AVERAGEIF('Данные 2st'!$Q$2:$Q$317,$A5,'Данные 2st'!$JW$2:$JW$317),"")</f>
        <v>337</v>
      </c>
      <c r="PG5" s="7">
        <f>IFERROR(AVERAGEIF('Данные 2st'!$Q$2:$Q$317,$A5,'Данные 2st'!$KF$2:$KF$317),"")</f>
        <v>0.185</v>
      </c>
      <c r="PH5" s="7">
        <f>IFERROR(AVERAGEIF('Данные 2st'!$Q$2:$Q$317,$A5,'Данные 2st'!$KG$2:$KG$317),"")</f>
        <v>0.10250000000000001</v>
      </c>
      <c r="PI5" s="7">
        <f>IFERROR(AVERAGEIF('Данные 2st'!$Q$2:$Q$317,$A5,'Данные 2st'!$KM$2:$KM$317),"")</f>
        <v>0</v>
      </c>
      <c r="PJ5" s="7">
        <f>IFERROR(AVERAGEIF('Данные 2st'!$Q$2:$Q$317,$A5,'Данные 2st'!$KN$2:$KN$317),"")</f>
        <v>1.075</v>
      </c>
      <c r="PK5" s="7">
        <f>IFERROR(AVERAGEIF('Данные 2st'!$Q$2:$Q$317,$A5,'Данные 2st'!$KO$2:$KO$317),"")</f>
        <v>1.25</v>
      </c>
      <c r="PL5" s="7">
        <f>IFERROR(AVERAGEIF('Данные 2st'!$Q$2:$Q$317,$A5,'Данные 2st'!$KP$2:$KP$317),"")</f>
        <v>0.6499999999999999</v>
      </c>
      <c r="PM5" s="7">
        <f>IFERROR(AVERAGEIF('Данные 2st'!$Q$2:$Q$317,$A5,'Данные 2st'!$KQ$2:$KQ$317),"")</f>
        <v>0.825</v>
      </c>
      <c r="PN5" s="7">
        <f>IFERROR(AVERAGEIF('Данные 2st'!$Q$2:$Q$317,$A5,'Данные 2st'!$KR$2:$KR$317),"")</f>
        <v>1</v>
      </c>
      <c r="PO5" s="7">
        <f>IFERROR(AVERAGEIF('Данные 2st'!$Q$2:$Q$317,$A5,'Данные 2st'!$KS$2:$KS$317),"")</f>
        <v>0</v>
      </c>
      <c r="PP5" s="7">
        <f>IFERROR(AVERAGEIF('Данные 2st'!$Q$2:$Q$317,$A5,'Данные 2st'!$KT$2:$KT$317),"")</f>
        <v>2.15</v>
      </c>
      <c r="PQ5" s="7">
        <f>IFERROR(AVERAGEIF('Данные 2st'!$Q$2:$Q$317,$A5,'Данные 2st'!$KU$2:$KU$317),"")</f>
        <v>0.25</v>
      </c>
      <c r="PR5" s="7">
        <f>IFERROR(AVERAGEIF('Данные 2st'!$Q$2:$Q$317,$A5,'Данные 2st'!$KV$2:$KV$317),"")</f>
        <v>0.8</v>
      </c>
      <c r="PS5" s="7">
        <f>IFERROR(AVERAGEIF('Данные 2st'!$Q$2:$Q$317,$A5,'Данные 2st'!$KW$2:$KW$317),"")</f>
        <v>1.1</v>
      </c>
      <c r="PT5" s="7">
        <f>IFERROR(AVERAGEIF('Данные 2st'!$Q$2:$Q$317,$A5,'Данные 2st'!$KX$2:$KX$317),"")</f>
        <v>2</v>
      </c>
      <c r="PU5" s="7">
        <f>IFERROR(AVERAGEIF('Данные 2st'!$Q$2:$Q$317,$A5,'Данные 2st'!$KY$2:$KY$317),"")</f>
        <v>0.25</v>
      </c>
      <c r="PV5" s="7">
        <f>IFERROR(AVERAGEIF('Данные 2st'!$Q$2:$Q$317,$A5,'Данные 2st'!$KZ$2:$KZ$317),"")</f>
        <v>3.075</v>
      </c>
      <c r="PW5" s="7">
        <f>IFERROR(AVERAGEIF('Данные 2st'!$Q$2:$Q$317,$A5,'Данные 2st'!$LA$2:$LA$317),"")</f>
        <v>2.25</v>
      </c>
      <c r="PX5" s="7">
        <f>IFERROR(AVERAGEIF('Данные 2st'!$Q$2:$Q$317,$A5,'Данные 2st'!$LB$2:$LB$317),"")</f>
        <v>9.25</v>
      </c>
      <c r="PY5" s="7">
        <f>IFERROR(AVERAGEIF('Данные 2st'!$Q$2:$Q$317,$A5,'Данные 2st'!$LC$2:$LC$317),"")</f>
        <v>2.675</v>
      </c>
      <c r="PZ5" s="7">
        <f>IFERROR(AVERAGEIF('Данные 2st'!$Q$2:$Q$317,$A5,'Данные 2st'!$LD$2:$LD$317),"")</f>
        <v>2.9</v>
      </c>
      <c r="QA5" s="7">
        <f>IFERROR(AVERAGEIF('Данные 2st'!$Q$2:$Q$317,$A5,'Данные 2st'!$LE$2:$LE$317),"")</f>
        <v>1.875</v>
      </c>
      <c r="QB5" s="7">
        <f>IFERROR(AVERAGEIF('Данные 2st'!$Q$2:$Q$317,$A5,'Данные 2st'!$LF$2:$LF$317),"")</f>
        <v>0</v>
      </c>
      <c r="QC5" s="7">
        <f>IFERROR(AVERAGEIF('Данные 2st'!$Q$2:$Q$317,$A5,'Данные 2st'!$LG$2:$LG$317),"")</f>
        <v>0</v>
      </c>
      <c r="QD5" s="7">
        <f>IFERROR(AVERAGEIF('Данные 2st'!$Q$2:$Q$317,$A5,'Данные 2st'!$LH$2:$LH$317),"")</f>
        <v>2</v>
      </c>
      <c r="QE5" s="7">
        <f>IFERROR(AVERAGEIF('Данные 2st'!$Q$2:$Q$317,$A5,'Данные 2st'!$LJ$2:$LJ$317),"")</f>
        <v>0.75</v>
      </c>
      <c r="QF5" s="7">
        <f>IFERROR(AVERAGEIF('Данные 2st'!$Q$2:$Q$317,$A5,'Данные 2st'!$LK$2:$LK$317),"")</f>
        <v>6.375</v>
      </c>
      <c r="QG5" s="7">
        <f>IFERROR(AVERAGEIF('Данные 2st'!$Q$2:$Q$317,$A5,'Данные 2st'!$LL$2:$LL$317),"")</f>
        <v>5.75</v>
      </c>
      <c r="QH5" s="7">
        <f>IFERROR(AVERAGEIF('Данные 2st'!$Q$2:$Q$317,$A5,'Данные 2st'!$LM$2:$LM$317),"")</f>
        <v>7.75</v>
      </c>
      <c r="QI5" s="7">
        <f>IFERROR(AVERAGEIF('Данные 2st'!$Q$2:$Q$317,$A5,'Данные 2st'!$LN$2:$LN$317),"")</f>
        <v>0.25</v>
      </c>
      <c r="QJ5" s="7">
        <f>IFERROR(AVERAGEIF('Данные 2st'!$Q$2:$Q$317,$A5,'Данные 2st'!$LO$2:$LO$317),"")</f>
        <v>0.2</v>
      </c>
      <c r="QK5" s="7">
        <f>IFERROR(AVERAGEIF('Данные 2st'!$Q$2:$Q$317,$A5,'Данные 2st'!$LP$2:$LP$317),"")</f>
        <v>0</v>
      </c>
      <c r="QL5" s="7">
        <f>IFERROR(AVERAGEIF('Данные 2st'!$Q$2:$Q$317,$A5,'Данные 2st'!$LQ$2:$LQ$317),"")</f>
        <v>0</v>
      </c>
      <c r="QM5" s="7">
        <f>IFERROR(AVERAGEIF('Данные 2st'!$Q$2:$Q$317,$A5,'Данные 2st'!$LW$2:$LW$317),"")</f>
        <v>0.7</v>
      </c>
      <c r="QN5" s="7">
        <f>IFERROR(AVERAGEIF('Данные 2st'!$Q$2:$Q$317,$A5,'Данные 2st'!$LX$2:$LX$317),"")</f>
        <v>0.7</v>
      </c>
      <c r="QO5" s="7">
        <f>IFERROR(AVERAGEIF('Данные 2st'!$Q$2:$Q$317,$A5,'Данные 2st'!$LY$2:$LY$317),"")</f>
        <v>1.05</v>
      </c>
      <c r="QP5" s="7">
        <f>IFERROR(AVERAGEIF('Данные 2st'!$Q$2:$Q$317,$A5,'Данные 2st'!$LZ$2:$LZ$317),"")</f>
        <v>1.05</v>
      </c>
      <c r="QQ5" s="7">
        <f>IFERROR(AVERAGEIF('Данные 2st'!$Q$2:$Q$317,$A5,'Данные 2st'!$MB$2:$MB$317),"")</f>
        <v>5.625</v>
      </c>
      <c r="QR5" s="7">
        <f>IFERROR(AVERAGEIF('Данные 2st'!$Q$2:$Q$317,$A5,'Данные 2st'!$MG$2:$MG$317),"")</f>
        <v/>
      </c>
      <c r="QS5" s="7">
        <f>IFERROR(AVERAGEIF('Данные 2st'!$Q$2:$Q$317,$A5,'Данные 2st'!$MH$2:$MH$317),"")</f>
        <v/>
      </c>
      <c r="QT5" s="7">
        <f>IFERROR(AVERAGEIF('Данные 2st'!$Q$2:$Q$317,$A5,'Данные 2st'!$MI$2:$MI$317),"")</f>
        <v>0</v>
      </c>
      <c r="QU5" s="7">
        <f>IFERROR(AVERAGEIF('Данные 2st'!$Q$2:$Q$317,$A5,'Данные 2st'!$MJ$2:$MJ$317),"")</f>
        <v>0</v>
      </c>
      <c r="QV5" s="7">
        <f>IFERROR(AVERAGEIF('Данные 2st'!$Q$2:$Q$317,$A5,'Данные 2st'!$MK$2:$MK$317),"")</f>
        <v/>
      </c>
      <c r="QW5" s="7">
        <f>IFERROR(AVERAGEIF('Данные 2st'!$Q$2:$Q$317,$A5,'Данные 2st'!$MM$2:$MM$317),"")</f>
        <v>333.5</v>
      </c>
      <c r="QX5" s="7">
        <f>IFERROR(AVERAGEIF('Данные 2st'!$Q$2:$Q$317,$A5,'Данные 2st'!$MQ$2:$MQ$317),"")</f>
        <v/>
      </c>
      <c r="QY5" s="7">
        <f>IFERROR(AVERAGEIF('Данные 2st'!$Q$2:$Q$317,$A5,'Данные 2st'!$MR$2:$MR$317),"")</f>
        <v/>
      </c>
      <c r="QZ5" s="7">
        <f>IFERROR(AVERAGEIF('Данные 2st'!$Q$2:$Q$317,$A5,'Данные 2st'!$MS$2:$MS$317),"")</f>
        <v/>
      </c>
      <c r="RA5" s="7">
        <f>IFERROR(AVERAGEIF('Данные 2st'!$Q$2:$Q$317,$A5,'Данные 2st'!$MT$2:$MT$317),"")</f>
        <v/>
      </c>
      <c r="RB5" s="7">
        <f>IFERROR(AVERAGEIF('Данные 2st'!$Q$2:$Q$317,$A5,'Данные 2st'!$MU$2:$MU$317),"")</f>
        <v/>
      </c>
      <c r="RC5" s="7">
        <f>IFERROR(AVERAGEIF('Данные 2st'!$Q$2:$Q$317,$A5,'Данные 2st'!$MV$2:$MV$317),"")</f>
        <v/>
      </c>
      <c r="RD5" s="7">
        <f>IFERROR(AVERAGEIF('Данные 2st'!$Q$2:$Q$317,$A5,'Данные 2st'!$MW$2:$MW$317),"")</f>
        <v/>
      </c>
      <c r="RE5" s="7">
        <f>IFERROR(AVERAGEIF('Данные 2st'!$Q$2:$Q$317,$A5,'Данные 2st'!$MX$2:$MX$317),"")</f>
        <v/>
      </c>
      <c r="RF5" s="7">
        <f>IFERROR(AVERAGEIF('Данные 2st'!$Q$2:$Q$317,$A5,'Данные 2st'!$MY$2:$MY$317),"")</f>
        <v/>
      </c>
      <c r="RG5" s="7">
        <f>IFERROR(AVERAGEIF('Данные 2st'!$Q$2:$Q$317,$A5,'Данные 2st'!$MZ$2:$MZ$317),"")</f>
        <v/>
      </c>
      <c r="RH5" s="7">
        <f>IFERROR(AVERAGEIF('Данные 2st'!$Q$2:$Q$317,$A5,'Данные 2st'!$NA$2:$NA$317),"")</f>
        <v/>
      </c>
      <c r="RI5" s="7">
        <f>IFERROR(AVERAGEIF('Данные 2st'!$Q$2:$Q$317,$A5,'Данные 2st'!$NB$2:$NB$317),"")</f>
        <v/>
      </c>
      <c r="RJ5" s="7">
        <f>IFERROR(AVERAGEIF('Данные 2st'!$Q$2:$Q$317,$A5,'Данные 2st'!$NC$2:$NC$317),"")</f>
        <v/>
      </c>
      <c r="RK5" s="7">
        <f>IFERROR(AVERAGEIF('Данные 2st'!$Q$2:$Q$317,$A5,'Данные 2st'!$ND$2:$ND$317),"")</f>
        <v/>
      </c>
      <c r="RL5" s="7">
        <f>IFERROR(AVERAGEIF('Данные 2st'!$Q$2:$Q$317,$A5,'Данные 2st'!$NE$2:$NE$317),"")</f>
        <v/>
      </c>
      <c r="RM5" s="7">
        <f>IFERROR(AVERAGEIF('Данные 2st'!$Q$2:$Q$317,$A5,'Данные 2st'!$NF$2:$NF$317),"")</f>
        <v/>
      </c>
      <c r="RN5" s="7">
        <f>IFERROR(AVERAGEIF('Данные 2st'!$Q$2:$Q$317,$A5,'Данные 2st'!$NG$2:$NG$317),"")</f>
        <v/>
      </c>
      <c r="RO5" s="7">
        <f>IFERROR(AVERAGEIF('Данные 2st'!$Q$2:$Q$317,$A5,'Данные 2st'!$NH$2:$NH$317),"")</f>
        <v/>
      </c>
      <c r="RP5" s="7">
        <f>IFERROR(AVERAGEIF('Данные 2st'!$Q$2:$Q$317,$A5,'Данные 2st'!$NJ$2:$NJ$317),"")</f>
        <v/>
      </c>
      <c r="RQ5" s="7">
        <f>IFERROR(AVERAGEIF('Данные 2st'!$Q$2:$Q$317,$A5,'Данные 2st'!$NK$2:$NK$317),"")</f>
        <v/>
      </c>
      <c r="RR5" s="7">
        <f>IFERROR(AVERAGEIF('Данные 2st'!$Q$2:$Q$317,$A5,'Данные 2st'!$NM$2:$NM$317),"")</f>
        <v/>
      </c>
      <c r="RS5" s="7">
        <f>IFERROR(AVERAGEIF('Данные 2st'!$Q$2:$Q$317,$A5,'Данные 2st'!$NN$2:$NN$317),"")</f>
        <v/>
      </c>
      <c r="RT5" s="7">
        <f>IFERROR(AVERAGEIF('Данные 2st'!$Q$2:$Q$317,$A5,'Данные 2st'!$NO$2:$NO$317),"")</f>
        <v/>
      </c>
      <c r="RU5" s="7">
        <f>IFERROR(AVERAGEIF('Данные 2st'!$Q$2:$Q$317,$A5,'Данные 2st'!$NP$2:$NP$317),"")</f>
        <v/>
      </c>
      <c r="RV5" s="7">
        <f>IFERROR(AVERAGEIF('Данные 2st'!$Q$2:$Q$317,$A5,'Данные 2st'!$NQ$2:$NQ$317),"")</f>
        <v/>
      </c>
      <c r="RW5" s="7">
        <f>IFERROR(AVERAGEIF('Данные 2st'!$Q$2:$Q$317,$A5,'Данные 2st'!$NR$2:$NR$317),"")</f>
        <v/>
      </c>
      <c r="RX5" s="7">
        <f>IFERROR(AVERAGEIF('Данные 2st'!$Q$2:$Q$317,$A5,'Данные 2st'!$NS$2:$NS$317),"")</f>
        <v/>
      </c>
      <c r="RY5" s="7">
        <f>IFERROR(AVERAGEIF('Данные 2st'!$Q$2:$Q$317,$A5,'Данные 2st'!$NT$2:$NT$317),"")</f>
        <v/>
      </c>
      <c r="RZ5" s="7">
        <f>IFERROR(AVERAGEIF('Данные 2st'!$Q$2:$Q$317,$A5,'Данные 2st'!$OK$2:$OK$317),"")</f>
        <v>61</v>
      </c>
      <c r="SA5" s="7">
        <f>IFERROR(AVERAGEIF('Данные 2st'!$Q$2:$Q$317,$A5,'Данные 2st'!$OL$2:$OL$317),"")</f>
        <v>61</v>
      </c>
      <c r="SB5" s="7">
        <f>IFERROR(AVERAGEIF('Данные 2st'!$Q$2:$Q$317,$A5,'Данные 2st'!$ON$2:$ON$317),"")</f>
        <v>3</v>
      </c>
      <c r="SC5" s="7">
        <f>IFERROR(AVERAGEIF('Данные 2st'!$Q$2:$Q$317,$A5,'Данные 2st'!$OO$2:$OO$317),"")</f>
        <v>1681.75</v>
      </c>
      <c r="SD5" s="7">
        <f>IFERROR(AVERAGEIF('Данные 2st'!$Q$2:$Q$317,$A5,'Данные 2st'!$OP$2:$OP$317),"")</f>
        <v>61</v>
      </c>
      <c r="SE5" s="7">
        <f>IFERROR(AVERAGEIF('Данные 2st'!$Q$2:$Q$317,$A5,'Данные 2st'!$OQ$2:$OQ$317),"")</f>
        <v>61</v>
      </c>
      <c r="SF5" s="7">
        <f>IFERROR(AVERAGEIF('Данные 2st'!$Q$2:$Q$317,$A5,'Данные 2st'!$OS$2:$OS$317),"")</f>
        <v>3</v>
      </c>
      <c r="SG5" s="7">
        <f>IFERROR(AVERAGEIF('Данные 2st'!$Q$2:$Q$317,$A5,'Данные 2st'!$OT$2:$OT$317),"")</f>
        <v>1688.75</v>
      </c>
      <c r="SH5" s="7">
        <f>IFERROR(AVERAGEIF('Данные 2st'!$Q$2:$Q$317,$A5,'Данные 2st'!$OU$2:$OU$317),"")</f>
        <v>65</v>
      </c>
      <c r="SI5" s="7">
        <f>IFERROR(AVERAGEIF('Данные 2st'!$Q$2:$Q$317,$A5,'Данные 2st'!$OV$2:$OV$317),"")</f>
        <v>65</v>
      </c>
      <c r="SJ5" s="7">
        <f>IFERROR(AVERAGEIF('Данные 2st'!$Q$2:$Q$317,$A5,'Данные 2st'!$OX$2:$OX$317),"")</f>
        <v>1.25</v>
      </c>
      <c r="SK5" s="7">
        <f>IFERROR(AVERAGEIF('Данные 2st'!$Q$2:$Q$317,$A5,'Данные 2st'!$OY$2:$OY$317),"")</f>
        <v>26041.25</v>
      </c>
      <c r="SL5" s="7">
        <f>IFERROR(AVERAGEIF('Данные 2st'!$Q$2:$Q$317,$A5,'Данные 2st'!$OZ$2:$OZ$317),"")</f>
        <v>51</v>
      </c>
      <c r="SM5" s="7">
        <f>IFERROR(AVERAGEIF('Данные 2st'!$Q$2:$Q$317,$A5,'Данные 2st'!$PA$2:$PA$317),"")</f>
        <v>51.25</v>
      </c>
      <c r="SN5" s="7">
        <f>IFERROR(AVERAGEIF('Данные 2st'!$Q$2:$Q$317,$A5,'Данные 2st'!$PC$2:$PC$317),"")</f>
        <v>3.25</v>
      </c>
      <c r="SO5" s="7">
        <f>IFERROR(AVERAGEIF('Данные 2st'!$Q$2:$Q$317,$A5,'Данные 2st'!$PD$2:$PD$317),"")</f>
        <v>1718.5</v>
      </c>
      <c r="SP5" s="7">
        <f>IFERROR(AVERAGEIF('Данные 2st'!$Q$2:$Q$317,$A5,'Данные 2st'!$PF$2:$PF$317),"")</f>
        <v>285.5</v>
      </c>
      <c r="SQ5" s="7">
        <f>IFERROR(AVERAGEIF('Данные 2st'!$Q$2:$Q$317,$A5,'Данные 2st'!$PG$2:$PG$317),"")</f>
        <v>29</v>
      </c>
      <c r="SR5" s="7">
        <f>IFERROR(AVERAGEIF('Данные 2st'!$Q$2:$Q$317,$A5,'Данные 2st'!$PH$2:$PH$317),"")</f>
        <v>267.25</v>
      </c>
      <c r="SS5" s="7">
        <f>IFERROR(AVERAGEIF('Данные 2st'!$Q$2:$Q$317,$A5,'Данные 2st'!$PI$2:$PI$317),"")</f>
        <v>29</v>
      </c>
      <c r="ST5" s="7">
        <f>IFERROR(AVERAGEIF('Данные 2st'!$Q$2:$Q$317,$A5,'Данные 2st'!$PJ$2:$PJ$317),"")</f>
        <v>66.325</v>
      </c>
      <c r="SU5" s="7">
        <f>IFERROR(AVERAGEIF('Данные 2st'!$Q$2:$Q$317,$A5,'Данные 2st'!$PK$2:$PK$317),"")</f>
        <v>1706</v>
      </c>
      <c r="SV5" s="7">
        <f>IFERROR(AVERAGEIF('Данные 2st'!$Q$2:$Q$317,$A5,'Данные 2st'!$PL$2:$PL$317),"")</f>
        <v>955.775</v>
      </c>
      <c r="SW5" s="7">
        <f>IFERROR(AVERAGEIF('Данные 2st'!$Q$2:$Q$317,$A5,'Данные 2st'!$PM$2:$PM$317),"")</f>
        <v>520.475</v>
      </c>
      <c r="SX5" s="7">
        <f>IFERROR(AVERAGEIF('Данные 2st'!$Q$2:$Q$317,$A5,'Данные 2st'!$PN$2:$PN$317),"")</f>
        <v>78.75</v>
      </c>
      <c r="SY5" s="7">
        <f>IFERROR(AVERAGEIF('Данные 2st'!$Q$2:$Q$317,$A5,'Данные 2st'!$PO$2:$PO$317),"")</f>
        <v>9.233333333333334</v>
      </c>
      <c r="SZ5" s="7">
        <f>IFERROR(AVERAGEIF('Данные 2st'!$Q$2:$Q$317,$A5,'Данные 2st'!$PP$2:$PP$317),"")</f>
        <v>10.5</v>
      </c>
      <c r="TA5" s="7">
        <f>IFERROR(AVERAGEIF('Данные 2st'!$Q$2:$Q$317,$A5,'Данные 2st'!$PQ$2:$PQ$317),"")</f>
        <v>8</v>
      </c>
      <c r="TB5" s="7">
        <f>IFERROR(AVERAGEIF('Данные 2st'!$Q$2:$Q$317,$A5,'Данные 2st'!$PR$2:$PR$317),"")</f>
        <v>8</v>
      </c>
      <c r="TC5" s="7">
        <f>IFERROR(AVERAGEIF('Данные 2st'!$Q$2:$Q$317,$A5,'Данные 2st'!$PS$2:$PS$317),"")</f>
        <v>6</v>
      </c>
      <c r="TD5" s="7">
        <f>IFERROR(AVERAGEIF('Данные 2st'!$Q$2:$Q$317,$A5,'Данные 2st'!$PT$2:$PT$317),"")</f>
        <v>189.5</v>
      </c>
      <c r="TE5" s="7">
        <f>IFERROR(AVERAGEIF('Данные 2st'!$Q$2:$Q$317,$A5,'Данные 2st'!$PU$2:$PU$317),"")</f>
        <v>8.25</v>
      </c>
      <c r="TF5" s="7">
        <f>IFERROR(AVERAGEIF('Данные 2st'!$Q$2:$Q$317,$A5,'Данные 2st'!$PX$2:$PX$317),"")</f>
        <v>0</v>
      </c>
      <c r="TG5" s="7">
        <f>IFERROR(AVERAGEIF('Данные 2st'!$Q$2:$Q$317,$A5,'Данные 2st'!$PY$2:$PY$317),"")</f>
        <v>0</v>
      </c>
      <c r="TH5" s="7">
        <f>IFERROR(AVERAGEIF('Данные 2st'!$Q$2:$Q$317,$A5,'Данные 2st'!$PZ$2:$PZ$317),"")</f>
        <v>0</v>
      </c>
      <c r="TI5" s="7">
        <f>IFERROR(AVERAGEIF('Данные 2st'!$Q$2:$Q$317,$A5,'Данные 2st'!$QA$2:$QA$317),"")</f>
        <v>0</v>
      </c>
      <c r="TJ5" s="7">
        <f>IFERROR(AVERAGEIF('Данные 2st'!$Q$2:$Q$317,$A5,'Данные 2st'!$QB$2:$QB$317),"")</f>
        <v>0</v>
      </c>
      <c r="TK5" s="7">
        <f>IFERROR(AVERAGEIF('Данные 2st'!$Q$2:$Q$317,$A5,'Данные 2st'!$QC$2:$QC$317),"")</f>
        <v>0</v>
      </c>
      <c r="TL5" s="7">
        <f>IFERROR(AVERAGEIF('Данные 2st'!$Q$2:$Q$317,$A5,'Данные 2st'!$QD$2:$QD$317),"")</f>
        <v>0</v>
      </c>
      <c r="TM5" s="7">
        <f>IFERROR(AVERAGEIF('Данные 2st'!$Q$2:$Q$317,$A5,'Данные 2st'!$QE$2:$QE$317),"")</f>
        <v>-1</v>
      </c>
      <c r="TN5" s="7">
        <f>IFERROR(AVERAGEIF('Данные 2st'!$Q$2:$Q$317,$A5,'Данные 2st'!$QF$2:$QF$317),"")</f>
        <v>1</v>
      </c>
      <c r="TO5" s="7">
        <f>IFERROR(AVERAGEIF('Данные 2st'!$Q$2:$Q$317,$A5,'Данные 2st'!$QG$2:$QG$317),"")</f>
        <v>0</v>
      </c>
      <c r="TP5" s="7">
        <f>IFERROR(AVERAGEIF('Данные 2st'!$Q$2:$Q$317,$A5,'Данные 2st'!$QH$2:$QH$317),"")</f>
        <v>5</v>
      </c>
      <c r="TQ5" s="7">
        <f>IFERROR(AVERAGEIF('Данные 2st'!$Q$2:$Q$317,$A5,'Данные 2st'!$QI$2:$QI$317),"")</f>
        <v>5</v>
      </c>
      <c r="TR5" s="7">
        <f>IFERROR(AVERAGEIF('Данные 2st'!$Q$2:$Q$317,$A5,'Данные 2st'!$QJ$2:$QJ$317),"")</f>
        <v>5</v>
      </c>
      <c r="TS5" s="7">
        <f>IFERROR(AVERAGEIF('Данные 2st'!$Q$2:$Q$317,$A5,'Данные 2st'!$QK$2:$QK$317),"")</f>
        <v>156.75</v>
      </c>
      <c r="TT5" s="7">
        <f>IFERROR(AVERAGEIF('Данные 2st'!$Q$2:$Q$317,$A5,'Данные 2st'!$QL$2:$QL$317),"")</f>
        <v>357.5</v>
      </c>
      <c r="TU5" s="7">
        <f>IFERROR(AVERAGEIF('Данные 2st'!$Q$2:$Q$317,$A5,'Данные 2st'!$QM$2:$QM$317),"")</f>
        <v>7.5</v>
      </c>
      <c r="TV5" s="7">
        <f>IFERROR(AVERAGEIF('Данные 2st'!$Q$2:$Q$317,$A5,'Данные 2st'!$QN$2:$QN$317),"")</f>
        <v>1123.4</v>
      </c>
      <c r="TW5" s="7">
        <f>IFERROR(AVERAGEIF('Данные 2st'!$Q$2:$Q$317,$A5,'Данные 2st'!$QQ$2:$QQ$317),"")</f>
        <v>0</v>
      </c>
      <c r="TX5" s="7">
        <f>IFERROR(AVERAGEIF('Данные 2st'!$Q$2:$Q$317,$A5,'Данные 2st'!$QS$2:$QS$317),"")</f>
        <v>30</v>
      </c>
      <c r="TY5" s="7">
        <f>IFERROR(AVERAGEIF('Данные 2st'!$Q$2:$Q$317,$A5,'Данные 2st'!$QT$2:$QT$317),"")</f>
        <v>40</v>
      </c>
    </row>
    <row r="6" spans="1:545" ht="32" customHeight="1">
      <c r="A6" s="11" t="s">
        <v>1553</v>
      </c>
      <c r="B6">
        <f>COUNTIF('Данные 1st'!$S$2:$S$317,$A6)</f>
        <v>4</v>
      </c>
      <c r="C6" s="6" t="s">
        <v>5082</v>
      </c>
      <c r="D6" s="6" t="s">
        <v>513</v>
      </c>
      <c r="E6" s="6" t="s">
        <v>5125</v>
      </c>
      <c r="F6" s="6" t="s">
        <v>5130</v>
      </c>
      <c r="G6" s="7">
        <f>IFERROR(AVERAGEIF('Данные 1st'!$S$2:$S$317,$A6,'Данные 1st'!$AE$2:$AE$317),"")</f>
        <v>156.25</v>
      </c>
      <c r="H6" s="7">
        <f>IFERROR(AVERAGEIF('Данные 1st'!$S$2:$S$317,$A6,'Данные 1st'!$AF$2:$AF$317),"")</f>
        <v>1.5</v>
      </c>
      <c r="I6" s="7">
        <f>IFERROR(AVERAGEIF('Данные 1st'!$S$2:$S$317,$A6,'Данные 1st'!$AJ$2:$AJ$317),"")</f>
        <v>166.875</v>
      </c>
      <c r="J6" s="7">
        <f>IFERROR(AVERAGEIF('Данные 1st'!$S$2:$S$317,$A6,'Данные 1st'!$AL$2:$AL$317),"")</f>
        <v>1.5</v>
      </c>
      <c r="K6" s="7">
        <f>IFERROR(AVERAGEIF('Данные 1st'!$S$2:$S$317,$A6,'Данные 1st'!$AR$2:$AR$317),"")</f>
        <v>0</v>
      </c>
      <c r="L6" s="7">
        <f>IFERROR(AVERAGEIF('Данные 1st'!$S$2:$S$317,$A6,'Данные 1st'!$AS$2:$AS$317),"")</f>
        <v>1.5</v>
      </c>
      <c r="M6" s="7">
        <f>IFERROR(AVERAGEIF('Данные 1st'!$S$2:$S$317,$A6,'Данные 1st'!$AY$2:$AY$317),"")</f>
        <v>257.5</v>
      </c>
      <c r="N6" s="7">
        <f>IFERROR(AVERAGEIF('Данные 1st'!$S$2:$S$317,$A6,'Данные 1st'!$AZ$2:$AZ$317),"")</f>
        <v>1.5</v>
      </c>
      <c r="O6" s="7">
        <f>IFERROR(AVERAGEIF('Данные 1st'!$S$2:$S$317,$A6,'Данные 1st'!$BF$2:$BF$317),"")</f>
        <v/>
      </c>
      <c r="P6" s="7">
        <f>IFERROR(AVERAGEIF('Данные 1st'!$S$2:$S$317,$A6,'Данные 1st'!$BG$2:$BG$317),"")</f>
        <v>1.5</v>
      </c>
      <c r="Q6" s="7">
        <f>IFERROR(AVERAGEIF('Данные 1st'!$S$2:$S$317,$A6,'Данные 1st'!$BM$2:$BM$317),"")</f>
        <v/>
      </c>
      <c r="R6" s="7">
        <f>IFERROR(AVERAGEIF('Данные 1st'!$S$2:$S$317,$A6,'Данные 1st'!$BN$2:$BN$317),"")</f>
        <v>1.5</v>
      </c>
      <c r="S6" s="7">
        <f>IFERROR(AVERAGEIF('Данные 1st'!$S$2:$S$317,$A6,'Данные 1st'!$BT$2:$BT$317),"")</f>
        <v>178.5</v>
      </c>
      <c r="T6" s="7">
        <f>IFERROR(AVERAGEIF('Данные 1st'!$S$2:$S$317,$A6,'Данные 1st'!$BU$2:$BU$317),"")</f>
        <v>0.5</v>
      </c>
      <c r="U6" s="7">
        <f>IFERROR(AVERAGEIF('Данные 1st'!$S$2:$S$317,$A6,'Данные 1st'!$BW$2:$BW$317),"")</f>
        <v>357</v>
      </c>
      <c r="V6" s="7">
        <f>IFERROR(AVERAGEIF('Данные 1st'!$S$2:$S$317,$A6,'Данные 1st'!$BX$2:$BX$317),"")</f>
        <v>1</v>
      </c>
      <c r="W6" s="7">
        <f>IFERROR(AVERAGEIF('Данные 1st'!$S$2:$S$317,$A6,'Данные 1st'!$BZ$2:$BZ$317),"")</f>
        <v>300</v>
      </c>
      <c r="X6" s="7">
        <f>IFERROR(AVERAGEIF('Данные 1st'!$S$2:$S$317,$A6,'Данные 1st'!$CA$2:$CA$317),"")</f>
        <v>450</v>
      </c>
      <c r="Y6" s="7">
        <f>IFERROR(AVERAGEIF('Данные 1st'!$S$2:$S$317,$A6,'Данные 1st'!$CD$2:$CD$317),"")</f>
        <v>378</v>
      </c>
      <c r="Z6" s="7">
        <f>IFERROR(AVERAGEIF('Данные 1st'!$S$2:$S$317,$A6,'Данные 1st'!$CF$2:$CF$317),"")</f>
        <v>15</v>
      </c>
      <c r="AA6" s="7">
        <f>IFERROR(AVERAGEIF('Данные 1st'!$S$2:$S$317,$A6,'Данные 1st'!$CI$2:$CI$317),"")</f>
        <v>75</v>
      </c>
      <c r="AB6" s="7">
        <f>IFERROR(AVERAGEIF('Данные 1st'!$S$2:$S$317,$A6,'Данные 1st'!$CJ$2:$CJ$317),"")</f>
        <v>1122</v>
      </c>
      <c r="AC6" s="7">
        <f>IFERROR(AVERAGEIF('Данные 1st'!$S$2:$S$317,$A6,'Данные 1st'!$CK$2:$CK$317),"")</f>
        <v>2</v>
      </c>
      <c r="AD6" s="7">
        <f>IFERROR(AVERAGEIF('Данные 1st'!$S$2:$S$317,$A6,'Данные 1st'!$CL$2:$CL$317),"")</f>
        <v>1222</v>
      </c>
      <c r="AE6" s="7">
        <f>IFERROR(AVERAGEIF('Данные 1st'!$S$2:$S$317,$A6,'Данные 1st'!$CM$2:$CM$317),"")</f>
        <v>2</v>
      </c>
      <c r="AF6" s="7">
        <f>IFERROR(AVERAGEIF('Данные 1st'!$S$2:$S$317,$A6,'Данные 1st'!$CT$2:$CT$317),"")</f>
        <v>333.75</v>
      </c>
      <c r="AG6" s="7">
        <f>IFERROR(AVERAGEIF('Данные 1st'!$S$2:$S$317,$A6,'Данные 1st'!$CU$2:$CU$317),"")</f>
        <v>5</v>
      </c>
      <c r="AH6" s="7">
        <f>IFERROR(AVERAGEIF('Данные 1st'!$S$2:$S$317,$A6,'Данные 1st'!$CV$2:$CV$317),"")</f>
        <v>1.225</v>
      </c>
      <c r="AI6" s="7">
        <f>IFERROR(AVERAGEIF('Данные 1st'!$S$2:$S$317,$A6,'Данные 1st'!$CW$2:$CW$317),"")</f>
        <v>1136</v>
      </c>
      <c r="AJ6" s="7">
        <f>IFERROR(AVERAGEIF('Данные 1st'!$S$2:$S$317,$A6,'Данные 1st'!$CX$2:$CX$317),"")</f>
        <v>548</v>
      </c>
      <c r="AK6" s="7">
        <f>IFERROR(AVERAGEIF('Данные 1st'!$S$2:$S$317,$A6,'Данные 1st'!$CZ$2:$CZ$317),"")</f>
        <v/>
      </c>
      <c r="AL6" s="7">
        <f>IFERROR(AVERAGEIF('Данные 1st'!$S$2:$S$317,$A6,'Данные 1st'!$DA$2:$DA$317),"")</f>
        <v/>
      </c>
      <c r="AM6" s="7">
        <f>IFERROR(AVERAGEIF('Данные 1st'!$S$2:$S$317,$A6,'Данные 1st'!$DB$2:$DB$317),"")</f>
        <v/>
      </c>
      <c r="AN6" s="7">
        <f>IFERROR(AVERAGEIF('Данные 1st'!$S$2:$S$317,$A6,'Данные 1st'!$DC$2:$DC$317),"")</f>
        <v/>
      </c>
      <c r="AO6" s="7">
        <f>IFERROR(AVERAGEIF('Данные 1st'!$S$2:$S$317,$A6,'Данные 1st'!$DD$2:$DD$317),"")</f>
        <v>0</v>
      </c>
      <c r="AP6" s="7">
        <f>IFERROR(AVERAGEIF('Данные 1st'!$S$2:$S$317,$A6,'Данные 1st'!$DF$2:$DF$317),"")</f>
        <v>515</v>
      </c>
      <c r="AQ6" s="7">
        <f>IFERROR(AVERAGEIF('Данные 1st'!$S$2:$S$317,$A6,'Данные 1st'!$DG$2:$DG$317),"")</f>
        <v>3</v>
      </c>
      <c r="AR6" s="7">
        <f>IFERROR(AVERAGEIF('Данные 1st'!$S$2:$S$317,$A6,'Данные 1st'!$DH$2:$DH$317),"")</f>
        <v>1.105</v>
      </c>
      <c r="AS6" s="7">
        <f>IFERROR(AVERAGEIF('Данные 1st'!$S$2:$S$317,$A6,'Данные 1st'!$DI$2:$DI$317),"")</f>
        <v>1134</v>
      </c>
      <c r="AT6" s="7">
        <f>IFERROR(AVERAGEIF('Данные 1st'!$S$2:$S$317,$A6,'Данные 1st'!$DJ$2:$DJ$317),"")</f>
        <v>868.75</v>
      </c>
      <c r="AU6" s="7">
        <f>IFERROR(AVERAGEIF('Данные 1st'!$S$2:$S$317,$A6,'Данные 1st'!$DL$2:$DL$317),"")</f>
        <v/>
      </c>
      <c r="AV6" s="7">
        <f>IFERROR(AVERAGEIF('Данные 1st'!$S$2:$S$317,$A6,'Данные 1st'!$DM$2:$DM$317),"")</f>
        <v/>
      </c>
      <c r="AW6" s="7">
        <f>IFERROR(AVERAGEIF('Данные 1st'!$S$2:$S$317,$A6,'Данные 1st'!$DN$2:$DN$317),"")</f>
        <v/>
      </c>
      <c r="AX6" s="7">
        <f>IFERROR(AVERAGEIF('Данные 1st'!$S$2:$S$317,$A6,'Данные 1st'!$DO$2:$DO$317),"")</f>
        <v/>
      </c>
      <c r="AY6" s="7">
        <f>IFERROR(AVERAGEIF('Данные 1st'!$S$2:$S$317,$A6,'Данные 1st'!$DP$2:$DP$317),"")</f>
        <v/>
      </c>
      <c r="AZ6" s="7">
        <f>IFERROR(AVERAGEIF('Данные 1st'!$S$2:$S$317,$A6,'Данные 1st'!$DR$2:$DR$317),"")</f>
        <v/>
      </c>
      <c r="BA6" s="7">
        <f>IFERROR(AVERAGEIF('Данные 1st'!$S$2:$S$317,$A6,'Данные 1st'!$DS$2:$DS$317),"")</f>
        <v/>
      </c>
      <c r="BB6" s="7">
        <f>IFERROR(AVERAGEIF('Данные 1st'!$S$2:$S$317,$A6,'Данные 1st'!$DT$2:$DT$317),"")</f>
        <v/>
      </c>
      <c r="BC6" s="7">
        <f>IFERROR(AVERAGEIF('Данные 1st'!$S$2:$S$317,$A6,'Данные 1st'!$DU$2:$DU$317),"")</f>
        <v/>
      </c>
      <c r="BD6" s="7">
        <f>IFERROR(AVERAGEIF('Данные 1st'!$S$2:$S$317,$A6,'Данные 1st'!$DV$2:$DV$317),"")</f>
        <v/>
      </c>
      <c r="BE6" s="7">
        <f>IFERROR(AVERAGEIF('Данные 1st'!$S$2:$S$317,$A6,'Данные 1st'!$DX$2:$DX$317),"")</f>
        <v>7.5</v>
      </c>
      <c r="BF6" s="7">
        <f>IFERROR(AVERAGEIF('Данные 1st'!$S$2:$S$317,$A6,'Данные 1st'!$EA$2:$EA$317),"")</f>
        <v>1203.5</v>
      </c>
      <c r="BG6" s="7">
        <f>IFERROR(AVERAGEIF('Данные 1st'!$S$2:$S$317,$A6,'Данные 1st'!$EB$2:$EB$317),"")</f>
        <v>160.5</v>
      </c>
      <c r="BH6" s="7">
        <f>IFERROR(AVERAGEIF('Данные 1st'!$S$2:$S$317,$A6,'Данные 1st'!$ED$2:$ED$317),"")</f>
        <v>32.5</v>
      </c>
      <c r="BI6" s="7">
        <f>IFERROR(AVERAGEIF('Данные 1st'!$S$2:$S$317,$A6,'Данные 1st'!$EE$2:$EE$317),"")</f>
        <v>3</v>
      </c>
      <c r="BJ6" s="7">
        <f>IFERROR(AVERAGEIF('Данные 1st'!$S$2:$S$317,$A6,'Данные 1st'!$EG$2:$EG$317),"")</f>
        <v>1234</v>
      </c>
      <c r="BK6" s="7">
        <f>IFERROR(AVERAGEIF('Данные 1st'!$S$2:$S$317,$A6,'Данные 1st'!$EH$2:$EH$317),"")</f>
        <v>172.25</v>
      </c>
      <c r="BL6" s="7">
        <f>IFERROR(AVERAGEIF('Данные 1st'!$S$2:$S$317,$A6,'Данные 1st'!$EJ$2:$EJ$317),"")</f>
        <v>0</v>
      </c>
      <c r="BM6" s="7">
        <f>IFERROR(AVERAGEIF('Данные 1st'!$S$2:$S$317,$A6,'Данные 1st'!$EK$2:$EK$317),"")</f>
        <v>1</v>
      </c>
      <c r="BN6" s="7">
        <f>IFERROR(AVERAGEIF('Данные 1st'!$S$2:$S$317,$A6,'Данные 1st'!$EN$2:$EN$317),"")</f>
        <v>0</v>
      </c>
      <c r="BO6" s="7">
        <f>IFERROR(AVERAGEIF('Данные 1st'!$S$2:$S$317,$A6,'Данные 1st'!$EQ$2:$EQ$317),"")</f>
        <v>92.5</v>
      </c>
      <c r="BP6" s="7">
        <f>IFERROR(AVERAGEIF('Данные 1st'!$S$2:$S$317,$A6,'Данные 1st'!$ER$2:$ER$317),"")</f>
        <v>3</v>
      </c>
      <c r="BQ6" s="7">
        <f>IFERROR(AVERAGEIF('Данные 1st'!$S$2:$S$317,$A6,'Данные 1st'!$ES$2:$ES$317),"")</f>
        <v>5.025</v>
      </c>
      <c r="BR6" s="7">
        <f>IFERROR(AVERAGEIF('Данные 1st'!$S$2:$S$317,$A6,'Данные 1st'!$ET$2:$ET$317),"")</f>
        <v>1117.25</v>
      </c>
      <c r="BS6" s="7">
        <f>IFERROR(AVERAGEIF('Данные 1st'!$S$2:$S$317,$A6,'Данные 1st'!$EU$2:$EU$317),"")</f>
        <v>363.0</v>
      </c>
      <c r="BT6" s="7">
        <f>IFERROR(AVERAGEIF('Данные 1st'!$S$2:$S$317,$A6,'Данные 1st'!$EV$2:$EV$317),"")</f>
        <v>405.5</v>
      </c>
      <c r="BU6" s="7">
        <f>IFERROR(AVERAGEIF('Данные 1st'!$S$2:$S$317,$A6,'Данные 1st'!$EX$2:$EX$317),"")</f>
        <v>68.75</v>
      </c>
      <c r="BV6" s="7">
        <f>IFERROR(AVERAGEIF('Данные 1st'!$S$2:$S$317,$A6,'Данные 1st'!$EY$2:$EY$317),"")</f>
        <v>2</v>
      </c>
      <c r="BW6" s="7">
        <f>IFERROR(AVERAGEIF('Данные 1st'!$S$2:$S$317,$A6,'Данные 1st'!$EZ$2:$EZ$317),"")</f>
        <v>4.075</v>
      </c>
      <c r="BX6" s="7">
        <f>IFERROR(AVERAGEIF('Данные 1st'!$S$2:$S$317,$A6,'Данные 1st'!$FA$2:$FA$317),"")</f>
        <v>1117.25</v>
      </c>
      <c r="BY6" s="7">
        <f>IFERROR(AVERAGEIF('Данные 1st'!$S$2:$S$317,$A6,'Данные 1st'!$FB$2:$FB$317),"")</f>
        <v>199.425</v>
      </c>
      <c r="BZ6" s="7">
        <f>IFERROR(AVERAGEIF('Данные 1st'!$S$2:$S$317,$A6,'Данные 1st'!$FC$2:$FC$317),"")</f>
        <v>222.75</v>
      </c>
      <c r="CA6" s="7">
        <f>IFERROR(AVERAGEIF('Данные 1st'!$S$2:$S$317,$A6,'Данные 1st'!$FE$2:$FE$317),"")</f>
        <v>0</v>
      </c>
      <c r="CB6" s="7">
        <f>IFERROR(AVERAGEIF('Данные 1st'!$S$2:$S$317,$A6,'Данные 1st'!$FF$2:$FF$317),"")</f>
        <v>2</v>
      </c>
      <c r="CC6" s="7">
        <f>IFERROR(AVERAGEIF('Данные 1st'!$S$2:$S$317,$A6,'Данные 1st'!$FI$2:$FI$317),"")</f>
        <v>0</v>
      </c>
      <c r="CD6" s="7">
        <f>IFERROR(AVERAGEIF('Данные 1st'!$S$2:$S$317,$A6,'Данные 1st'!$FL$2:$FL$317),"")</f>
        <v>0.45</v>
      </c>
      <c r="CE6" s="7">
        <f>IFERROR(AVERAGEIF('Данные 1st'!$S$2:$S$317,$A6,'Данные 1st'!$FM$2:$FM$317),"")</f>
        <v>82.5</v>
      </c>
      <c r="CF6" s="7">
        <f>IFERROR(AVERAGEIF('Данные 1st'!$S$2:$S$317,$A6,'Данные 1st'!$FN$2:$FN$317),"")</f>
        <v>97.5</v>
      </c>
      <c r="CG6" s="7">
        <f>IFERROR(AVERAGEIF('Данные 1st'!$S$2:$S$317,$A6,'Данные 1st'!$FO$2:$FO$317),"")</f>
        <v/>
      </c>
      <c r="CH6" s="7">
        <f>IFERROR(AVERAGEIF('Данные 1st'!$S$2:$S$317,$A6,'Данные 1st'!$FP$2:$FP$317),"")</f>
        <v/>
      </c>
      <c r="CI6" s="7">
        <f>IFERROR(AVERAGEIF('Данные 1st'!$S$2:$S$317,$A6,'Данные 1st'!$FS$2:$FS$317),"")</f>
        <v>0.4</v>
      </c>
      <c r="CJ6" s="7">
        <f>IFERROR(AVERAGEIF('Данные 1st'!$S$2:$S$317,$A6,'Данные 1st'!$FT$2:$FT$317),"")</f>
        <v>42.5</v>
      </c>
      <c r="CK6" s="7">
        <f>IFERROR(AVERAGEIF('Данные 1st'!$S$2:$S$317,$A6,'Данные 1st'!$FU$2:$FU$317),"")</f>
        <v>297.5</v>
      </c>
      <c r="CL6" s="7">
        <f>IFERROR(AVERAGEIF('Данные 1st'!$S$2:$S$317,$A6,'Данные 1st'!$FV$2:$FV$317),"")</f>
        <v>30</v>
      </c>
      <c r="CM6" s="7">
        <f>IFERROR(AVERAGEIF('Данные 1st'!$S$2:$S$317,$A6,'Данные 1st'!$FW$2:$FW$317),"")</f>
        <v>210</v>
      </c>
      <c r="CN6" s="7">
        <f>IFERROR(AVERAGEIF('Данные 1st'!$S$2:$S$317,$A6,'Данные 1st'!$FZ$2:$FZ$317),"")</f>
        <v/>
      </c>
      <c r="CO6" s="7">
        <f>IFERROR(AVERAGEIF('Данные 1st'!$S$2:$S$317,$A6,'Данные 1st'!$GA$2:$GA$317),"")</f>
        <v/>
      </c>
      <c r="CP6" s="7">
        <f>IFERROR(AVERAGEIF('Данные 1st'!$S$2:$S$317,$A6,'Данные 1st'!$GB$2:$GB$317),"")</f>
        <v/>
      </c>
      <c r="CQ6" s="7">
        <f>IFERROR(AVERAGEIF('Данные 1st'!$S$2:$S$317,$A6,'Данные 1st'!$GH$2:$GH$317),"")</f>
        <v/>
      </c>
      <c r="CR6" s="7">
        <f>IFERROR(AVERAGEIF('Данные 1st'!$S$2:$S$317,$A6,'Данные 1st'!$GI$2:$GI$317),"")</f>
        <v/>
      </c>
      <c r="CS6" s="7">
        <f>IFERROR(AVERAGEIF('Данные 1st'!$S$2:$S$317,$A6,'Данные 1st'!$GJ$2:$GJ$317),"")</f>
        <v/>
      </c>
      <c r="CT6" s="7">
        <f>IFERROR(AVERAGEIF('Данные 1st'!$S$2:$S$317,$A6,'Данные 1st'!$GS$2:$GS$317),"")</f>
        <v/>
      </c>
      <c r="CU6" s="7">
        <f>IFERROR(AVERAGEIF('Данные 1st'!$S$2:$S$317,$A6,'Данные 1st'!$GT$2:$GT$317),"")</f>
        <v/>
      </c>
      <c r="CV6" s="7">
        <f>IFERROR(AVERAGEIF('Данные 1st'!$S$2:$S$317,$A6,'Данные 1st'!$GU$2:$GU$317),"")</f>
        <v/>
      </c>
      <c r="CW6" s="7">
        <f>IFERROR(AVERAGEIF('Данные 1st'!$S$2:$S$317,$A6,'Данные 1st'!$GV$2:$GV$317),"")</f>
        <v/>
      </c>
      <c r="CX6" s="7">
        <f>IFERROR(AVERAGEIF('Данные 1st'!$S$2:$S$317,$A6,'Данные 1st'!$GW$2:$GW$317),"")</f>
        <v/>
      </c>
      <c r="CY6" s="7">
        <f>IFERROR(AVERAGEIF('Данные 1st'!$S$2:$S$317,$A6,'Данные 1st'!$GZ$2:$GZ$317),"")</f>
        <v/>
      </c>
      <c r="CZ6" s="7">
        <f>IFERROR(AVERAGEIF('Данные 1st'!$S$2:$S$317,$A6,'Данные 1st'!$HA$2:$HA$317),"")</f>
        <v/>
      </c>
      <c r="DA6" s="7">
        <f>IFERROR(AVERAGEIF('Данные 1st'!$S$2:$S$317,$A6,'Данные 1st'!$HB$2:$HB$317),"")</f>
        <v/>
      </c>
      <c r="DB6" s="7">
        <f>IFERROR(AVERAGEIF('Данные 1st'!$S$2:$S$317,$A6,'Данные 1st'!$HC$2:$HC$317),"")</f>
        <v>0.1</v>
      </c>
      <c r="DC6" s="7">
        <f>IFERROR(AVERAGEIF('Данные 1st'!$S$2:$S$317,$A6,'Данные 1st'!$HD$2:$HD$317),"")</f>
        <v>3</v>
      </c>
      <c r="DD6" s="7">
        <f>IFERROR(AVERAGEIF('Данные 1st'!$S$2:$S$317,$A6,'Данные 1st'!$HE$2:$HE$317),"")</f>
        <v>3</v>
      </c>
      <c r="DE6" s="7">
        <f>IFERROR(AVERAGEIF('Данные 1st'!$S$2:$S$317,$A6,'Данные 1st'!$HF$2:$HF$317),"")</f>
        <v>3</v>
      </c>
      <c r="DF6" s="7">
        <f>IFERROR(AVERAGEIF('Данные 1st'!$S$2:$S$317,$A6,'Данные 1st'!$HG$2:$HG$317),"")</f>
        <v>3</v>
      </c>
      <c r="DG6" s="7">
        <f>IFERROR(AVERAGEIF('Данные 1st'!$S$2:$S$317,$A6,'Данные 1st'!$HH$2:$HH$317),"")</f>
        <v>3</v>
      </c>
      <c r="DH6" s="7">
        <f>IFERROR(AVERAGEIF('Данные 1st'!$S$2:$S$317,$A6,'Данные 1st'!$HI$2:$HI$317),"")</f>
        <v>146.25</v>
      </c>
      <c r="DI6" s="7">
        <f>IFERROR(AVERAGEIF('Данные 1st'!$S$2:$S$317,$A6,'Данные 1st'!$HJ$2:$HJ$317),"")</f>
        <v>3</v>
      </c>
      <c r="DJ6" s="7">
        <f>IFERROR(AVERAGEIF('Данные 1st'!$S$2:$S$317,$A6,'Данные 1st'!$HK$2:$HK$317),"")</f>
        <v>53.75</v>
      </c>
      <c r="DK6" s="7">
        <f>IFERROR(AVERAGEIF('Данные 1st'!$S$2:$S$317,$A6,'Данные 1st'!$HL$2:$HL$317),"")</f>
        <v>2</v>
      </c>
      <c r="DL6" s="7">
        <f>IFERROR(AVERAGEIF('Данные 1st'!$S$2:$S$317,$A6,'Данные 1st'!$HM$2:$HM$317),"")</f>
        <v>0</v>
      </c>
      <c r="DM6" s="7">
        <f>IFERROR(AVERAGEIF('Данные 1st'!$S$2:$S$317,$A6,'Данные 1st'!$HN$2:$HN$317),"")</f>
        <v>2</v>
      </c>
      <c r="DN6" s="7">
        <f>IFERROR(AVERAGEIF('Данные 1st'!$S$2:$S$317,$A6,'Данные 1st'!$HO$2:$HO$317),"")</f>
        <v>77.5</v>
      </c>
      <c r="DO6" s="7">
        <f>IFERROR(AVERAGEIF('Данные 1st'!$S$2:$S$317,$A6,'Данные 1st'!$HP$2:$HP$317),"")</f>
        <v>3</v>
      </c>
      <c r="DP6" s="7">
        <f>IFERROR(AVERAGEIF('Данные 1st'!$S$2:$S$317,$A6,'Данные 1st'!$HQ$2:$HQ$317),"")</f>
        <v>0</v>
      </c>
      <c r="DQ6" s="7">
        <f>IFERROR(AVERAGEIF('Данные 1st'!$S$2:$S$317,$A6,'Данные 1st'!$HR$2:$HR$317),"")</f>
        <v>2</v>
      </c>
      <c r="DR6" s="7">
        <f>IFERROR(AVERAGEIF('Данные 1st'!$S$2:$S$317,$A6,'Данные 1st'!$HS$2:$HS$317),"")</f>
        <v>3338.75</v>
      </c>
      <c r="DS6" s="7">
        <f>IFERROR(AVERAGEIF('Данные 1st'!$S$2:$S$317,$A6,'Данные 1st'!$HT$2:$HT$317),"")</f>
        <v>100</v>
      </c>
      <c r="DT6" s="7">
        <f>IFERROR(AVERAGEIF('Данные 1st'!$S$2:$S$317,$A6,'Данные 1st'!$HU$2:$HU$317),"")</f>
        <v>180</v>
      </c>
      <c r="DU6" s="7">
        <f>IFERROR(AVERAGEIF('Данные 1st'!$S$2:$S$317,$A6,'Данные 1st'!$HW$2:$HW$317),"")</f>
        <v>5</v>
      </c>
      <c r="DV6" s="7">
        <f>IFERROR(AVERAGEIF('Данные 1st'!$S$2:$S$317,$A6,'Данные 1st'!$HX$2:$HX$317),"")</f>
        <v>450</v>
      </c>
      <c r="DW6" s="7">
        <f>IFERROR(AVERAGEIF('Данные 1st'!$S$2:$S$317,$A6,'Данные 1st'!$HY$2:$HY$317),"")</f>
        <v>0.18</v>
      </c>
      <c r="DX6" s="7">
        <f>IFERROR(AVERAGEIF('Данные 1st'!$S$2:$S$317,$A6,'Данные 1st'!$IA$2:$IA$317),"")</f>
        <v>0.15</v>
      </c>
      <c r="DY6" s="7">
        <f>IFERROR(AVERAGEIF('Данные 1st'!$S$2:$S$317,$A6,'Данные 1st'!$IB$2:$IB$317),"")</f>
        <v>0</v>
      </c>
      <c r="DZ6" s="7">
        <f>IFERROR(AVERAGEIF('Данные 1st'!$S$2:$S$317,$A6,'Данные 1st'!$IC$2:$IC$317),"")</f>
        <v>180</v>
      </c>
      <c r="EA6" s="7">
        <f>IFERROR(AVERAGEIF('Данные 1st'!$S$2:$S$317,$A6,'Данные 1st'!$ID$2:$ID$317),"")</f>
        <v>110</v>
      </c>
      <c r="EB6" s="7">
        <f>IFERROR(AVERAGEIF('Данные 1st'!$S$2:$S$317,$A6,'Данные 1st'!$IE$2:$IE$317),"")</f>
        <v>0</v>
      </c>
      <c r="EC6" s="7">
        <f>IFERROR(AVERAGEIF('Данные 1st'!$S$2:$S$317,$A6,'Данные 1st'!$IF$2:$IF$317),"")</f>
        <v>0</v>
      </c>
      <c r="ED6" s="7">
        <f>IFERROR(AVERAGEIF('Данные 1st'!$S$2:$S$317,$A6,'Данные 1st'!$IP$2:$IP$317),"")</f>
        <v>15</v>
      </c>
      <c r="EE6" s="7">
        <f>IFERROR(AVERAGEIF('Данные 1st'!$S$2:$S$317,$A6,'Данные 1st'!$IV$2:$IV$317),"")</f>
        <v>1122</v>
      </c>
      <c r="EF6" s="7">
        <f>IFERROR(AVERAGEIF('Данные 1st'!$S$2:$S$317,$A6,'Данные 1st'!$IW$2:$IW$317),"")</f>
        <v>357</v>
      </c>
      <c r="EG6" s="7">
        <f>IFERROR(AVERAGEIF('Данные 1st'!$S$2:$S$317,$A6,'Данные 1st'!$IX$2:$IX$317),"")</f>
        <v/>
      </c>
      <c r="EH6" s="7">
        <f>IFERROR(AVERAGEIF('Данные 1st'!$S$2:$S$317,$A6,'Данные 1st'!$IY$2:$IY$317),"")</f>
        <v/>
      </c>
      <c r="EI6" s="7">
        <f>IFERROR(AVERAGEIF('Данные 1st'!$S$2:$S$317,$A6,'Данные 1st'!$JD$2:$JD$317),"")</f>
        <v>1136</v>
      </c>
      <c r="EJ6" s="7">
        <f>IFERROR(AVERAGEIF('Данные 1st'!$S$2:$S$317,$A6,'Данные 1st'!$JE$2:$JE$317),"")</f>
        <v>1134</v>
      </c>
      <c r="EK6" s="7">
        <f>IFERROR(AVERAGEIF('Данные 1st'!$S$2:$S$317,$A6,'Данные 1st'!$JF$2:$JF$317),"")</f>
        <v>0</v>
      </c>
      <c r="EL6" s="7">
        <f>IFERROR(AVERAGEIF('Данные 1st'!$S$2:$S$317,$A6,'Данные 1st'!$JG$2:$JG$317),"")</f>
        <v>1117.25</v>
      </c>
      <c r="EM6" s="7">
        <f>IFERROR(AVERAGEIF('Данные 1st'!$S$2:$S$317,$A6,'Данные 1st'!$JH$2:$JH$317),"")</f>
        <v>0</v>
      </c>
      <c r="EN6" s="7">
        <f>IFERROR(AVERAGEIF('Данные 1st'!$S$2:$S$317,$A6,'Данные 1st'!$JJ$2:$JJ$317),"")</f>
        <v>180</v>
      </c>
      <c r="EO6" s="7">
        <f>IFERROR(AVERAGEIF('Данные 1st'!$S$2:$S$317,$A6,'Данные 1st'!$JK$2:$JK$317),"")</f>
        <v>450</v>
      </c>
      <c r="EP6" s="7">
        <f>IFERROR(AVERAGEIF('Данные 1st'!$S$2:$S$317,$A6,'Данные 1st'!$JL$2:$JL$317),"")</f>
        <v/>
      </c>
      <c r="EQ6" s="7">
        <f>IFERROR(AVERAGEIF('Данные 1st'!$S$2:$S$317,$A6,'Данные 1st'!$JM$2:$JM$317),"")</f>
        <v/>
      </c>
      <c r="ER6" s="7">
        <f>IFERROR(AVERAGEIF('Данные 1st'!$S$2:$S$317,$A6,'Данные 1st'!$JN$2:$JN$317),"")</f>
        <v>333.75</v>
      </c>
      <c r="ES6" s="7">
        <f>IFERROR(AVERAGEIF('Данные 1st'!$S$2:$S$317,$A6,'Данные 1st'!$JO$2:$JO$317),"")</f>
        <v>515</v>
      </c>
      <c r="ET6" s="7">
        <f>IFERROR(AVERAGEIF('Данные 1st'!$S$2:$S$317,$A6,'Данные 1st'!$JP$2:$JP$317),"")</f>
        <v>0</v>
      </c>
      <c r="EU6" s="7">
        <f>IFERROR(AVERAGEIF('Данные 1st'!$S$2:$S$317,$A6,'Данные 1st'!$JQ$2:$JQ$317),"")</f>
        <v>0</v>
      </c>
      <c r="EV6" s="7">
        <f>IFERROR(AVERAGEIF('Данные 1st'!$S$2:$S$317,$A6,'Данные 1st'!$JR$2:$JR$317),"")</f>
        <v>312.5</v>
      </c>
      <c r="EW6" s="7">
        <f>IFERROR(AVERAGEIF('Данные 1st'!$S$2:$S$317,$A6,'Данные 1st'!$JS$2:$JS$317),"")</f>
        <v>146.25</v>
      </c>
      <c r="EX6" s="7">
        <f>IFERROR(AVERAGEIF('Данные 1st'!$S$2:$S$317,$A6,'Данные 1st'!$JT$2:$JT$317),"")</f>
        <v/>
      </c>
      <c r="EY6" s="7">
        <f>IFERROR(AVERAGEIF('Данные 1st'!$S$2:$S$317,$A6,'Данные 1st'!$JU$2:$JU$317),"")</f>
        <v/>
      </c>
      <c r="EZ6" s="7">
        <f>IFERROR(AVERAGEIF('Данные 1st'!$S$2:$S$317,$A6,'Данные 1st'!$JV$2:$JV$317),"")</f>
        <v>8</v>
      </c>
      <c r="FA6" s="7">
        <f>IFERROR(AVERAGEIF('Данные 1st'!$S$2:$S$317,$A6,'Данные 1st'!$JW$2:$JW$317),"")</f>
        <v/>
      </c>
      <c r="FB6" s="7">
        <f>IFERROR(AVERAGEIF('Данные 1st'!$S$2:$S$317,$A6,'Данные 1st'!$JX$2:$JX$317),"")</f>
        <v>0</v>
      </c>
      <c r="FC6" s="7">
        <f>IFERROR(AVERAGEIF('Данные 1st'!$S$2:$S$317,$A6,'Данные 1st'!$JY$2:$JY$317),"")</f>
        <v/>
      </c>
      <c r="FD6" s="7">
        <f>IFERROR(AVERAGEIF('Данные 1st'!$S$2:$S$317,$A6,'Данные 1st'!$JZ$2:$JZ$317),"")</f>
        <v/>
      </c>
      <c r="FE6" s="7">
        <f>IFERROR(AVERAGEIF('Данные 1st'!$S$2:$S$317,$A6,'Данные 1st'!$KA$2:$KA$317),"")</f>
        <v>0</v>
      </c>
      <c r="FF6" s="7">
        <f>IFERROR(AVERAGEIF('Данные 1st'!$S$2:$S$317,$A6,'Данные 1st'!$KB$2:$KB$317),"")</f>
        <v>110</v>
      </c>
      <c r="FG6" s="7">
        <f>IFERROR(AVERAGEIF('Данные 1st'!$S$2:$S$317,$A6,'Данные 1st'!$KC$2:$KC$317),"")</f>
        <v>0</v>
      </c>
      <c r="FH6" s="7">
        <f>IFERROR(AVERAGEIF('Данные 1st'!$S$2:$S$317,$A6,'Данные 1st'!$KD$2:$KD$317),"")</f>
        <v>80</v>
      </c>
      <c r="FI6" s="7">
        <f>IFERROR(AVERAGEIF('Данные 1st'!$S$2:$S$317,$A6,'Данные 1st'!$KE$2:$KE$317),"")</f>
        <v/>
      </c>
      <c r="FJ6" s="7">
        <f>IFERROR(AVERAGEIF('Данные 1st'!$S$2:$S$317,$A6,'Данные 1st'!$KF$2:$KF$317),"")</f>
        <v>4</v>
      </c>
      <c r="FK6" s="7">
        <f>IFERROR(AVERAGEIF('Данные 1st'!$S$2:$S$317,$A6,'Данные 1st'!$KG$2:$KG$317),"")</f>
        <v>2.5</v>
      </c>
      <c r="FL6" s="7">
        <f>IFERROR(AVERAGEIF('Данные 1st'!$S$2:$S$317,$A6,'Данные 1st'!$KH$2:$KH$317),"")</f>
        <v>2</v>
      </c>
      <c r="FM6" s="7">
        <f>IFERROR(AVERAGEIF('Данные 1st'!$S$2:$S$317,$A6,'Данные 1st'!$KI$2:$KI$317),"")</f>
        <v>2</v>
      </c>
      <c r="FN6" s="7">
        <f>IFERROR(AVERAGEIF('Данные 1st'!$S$2:$S$317,$A6,'Данные 1st'!$KJ$2:$KJ$317),"")</f>
        <v>0</v>
      </c>
      <c r="FO6" s="7">
        <f>IFERROR(AVERAGEIF('Данные 1st'!$S$2:$S$317,$A6,'Данные 1st'!$KK$2:$KK$317),"")</f>
        <v>1.5</v>
      </c>
      <c r="FP6" s="7">
        <f>IFERROR(AVERAGEIF('Данные 1st'!$S$2:$S$317,$A6,'Данные 1st'!$KL$2:$KL$317),"")</f>
        <v>1.5</v>
      </c>
      <c r="FQ6" s="7">
        <f>IFERROR(AVERAGEIF('Данные 1st'!$S$2:$S$317,$A6,'Данные 1st'!$KM$2:$KM$317),"")</f>
        <v>0</v>
      </c>
      <c r="FR6" s="7">
        <f>IFERROR(AVERAGEIF('Данные 1st'!$S$2:$S$317,$A6,'Данные 1st'!$KN$2:$KN$317),"")</f>
        <v>0</v>
      </c>
      <c r="FS6" s="7">
        <f>IFERROR(AVERAGEIF('Данные 1st'!$S$2:$S$317,$A6,'Данные 1st'!$KR$2:$KR$317),"")</f>
        <v>35</v>
      </c>
      <c r="FT6" s="7">
        <f>IFERROR(AVERAGEIF('Данные 1st'!$S$2:$S$317,$A6,'Данные 1st'!$KS$2:$KS$317),"")</f>
        <v>60</v>
      </c>
      <c r="FU6" s="7">
        <f>IFERROR(AVERAGEIF('Данные 1st'!$S$2:$S$317,$A6,'Данные 1st'!$KT$2:$KT$317),"")</f>
        <v>0</v>
      </c>
      <c r="FV6" s="7">
        <f>IFERROR(AVERAGEIF('Данные 1st'!$S$2:$S$317,$A6,'Данные 1st'!$KV$2:$KV$317),"")</f>
        <v/>
      </c>
      <c r="FW6" s="7">
        <f>IFERROR(AVERAGEIF('Данные 1st'!$S$2:$S$317,$A6,'Данные 1st'!$KW$2:$KW$317),"")</f>
        <v/>
      </c>
      <c r="FX6" s="7">
        <f>IFERROR(AVERAGEIF('Данные 1st'!$S$2:$S$317,$A6,'Данные 1st'!$KX$2:$KX$317),"")</f>
        <v/>
      </c>
      <c r="FY6" s="7">
        <f>IFERROR(AVERAGEIF('Данные 1st'!$S$2:$S$317,$A6,'Данные 1st'!$KY$2:$KY$317),"")</f>
        <v/>
      </c>
      <c r="FZ6" s="7">
        <f>IFERROR(AVERAGEIF('Данные 1st'!$S$2:$S$317,$A6,'Данные 1st'!$KZ$2:$KZ$317),"")</f>
        <v/>
      </c>
      <c r="GA6" s="7">
        <f>IFERROR(AVERAGEIF('Данные 1st'!$S$2:$S$317,$A6,'Данные 1st'!$LA$2:$LA$317),"")</f>
        <v/>
      </c>
      <c r="GB6" s="7">
        <f>IFERROR(AVERAGEIF('Данные 1st'!$S$2:$S$317,$A6,'Данные 1st'!$LB$2:$LB$317),"")</f>
        <v/>
      </c>
      <c r="GC6" s="7">
        <f>IFERROR(AVERAGEIF('Данные 1st'!$S$2:$S$317,$A6,'Данные 1st'!$LC$2:$LC$317),"")</f>
        <v/>
      </c>
      <c r="GD6" s="7">
        <f>IFERROR(AVERAGEIF('Данные 1st'!$S$2:$S$317,$A6,'Данные 1st'!$LD$2:$LD$317),"")</f>
        <v/>
      </c>
      <c r="GE6" s="7">
        <f>IFERROR(AVERAGEIF('Данные 1st'!$S$2:$S$317,$A6,'Данные 1st'!$LE$2:$LE$317),"")</f>
        <v/>
      </c>
      <c r="GF6" s="7">
        <f>IFERROR(AVERAGEIF('Данные 1st'!$S$2:$S$317,$A6,'Данные 1st'!$LF$2:$LF$317),"")</f>
        <v/>
      </c>
      <c r="GG6" s="7">
        <f>IFERROR(AVERAGEIF('Данные 1st'!$S$2:$S$317,$A6,'Данные 1st'!$LG$2:$LG$317),"")</f>
        <v/>
      </c>
      <c r="GH6" s="7">
        <f>IFERROR(AVERAGEIF('Данные 1st'!$S$2:$S$317,$A6,'Данные 1st'!$LH$2:$LH$317),"")</f>
        <v/>
      </c>
      <c r="GI6" s="7">
        <f>IFERROR(AVERAGEIF('Данные 1st'!$S$2:$S$317,$A6,'Данные 1st'!$LI$2:$LI$317),"")</f>
        <v/>
      </c>
      <c r="GJ6" s="7">
        <f>IFERROR(AVERAGEIF('Данные 1st'!$S$2:$S$317,$A6,'Данные 1st'!$LJ$2:$LJ$317),"")</f>
        <v/>
      </c>
      <c r="GK6" s="7">
        <f>IFERROR(AVERAGEIF('Данные 1st'!$S$2:$S$317,$A6,'Данные 1st'!$LK$2:$LK$317),"")</f>
        <v>480</v>
      </c>
      <c r="GL6" s="7">
        <f>IFERROR(AVERAGEIF('Данные 1st'!$S$2:$S$317,$A6,'Данные 1st'!$LV$2:$LV$317),"")</f>
        <v/>
      </c>
      <c r="GM6" s="7">
        <f>IFERROR(AVERAGEIF('Данные 1st'!$S$2:$S$317,$A6,'Данные 1st'!$LW$2:$LW$317),"")</f>
        <v/>
      </c>
      <c r="GN6" s="7">
        <f>IFERROR(AVERAGEIF('Данные 1st'!$S$2:$S$317,$A6,'Данные 1st'!$LX$2:$LX$317),"")</f>
        <v>165</v>
      </c>
      <c r="GO6" s="7">
        <f>IFERROR(AVERAGEIF('Данные 1st'!$S$2:$S$317,$A6,'Данные 1st'!$LY$2:$LY$317),"")</f>
        <v>1</v>
      </c>
      <c r="GP6" s="7">
        <f>IFERROR(AVERAGEIF('Данные 1st'!$S$2:$S$317,$A6,'Данные 1st'!$LZ$2:$LZ$317),"")</f>
        <v>0</v>
      </c>
      <c r="GQ6" s="7">
        <f>IFERROR(AVERAGEIF('Данные 1st'!$S$2:$S$317,$A6,'Данные 1st'!$PG$2:$PG$317),"")</f>
        <v>1</v>
      </c>
      <c r="GR6" s="7">
        <f>IFERROR(AVERAGEIF('Данные 1st'!$S$2:$S$317,$A6,'Данные 1st'!$PX$2:$PX$317),"")</f>
        <v>56</v>
      </c>
      <c r="GS6" s="7">
        <f>IFERROR(AVERAGEIF('Данные 1st'!$S$2:$S$317,$A6,'Данные 1st'!$PY$2:$PY$317),"")</f>
        <v>56.75</v>
      </c>
      <c r="GT6" s="7">
        <f>IFERROR(AVERAGEIF('Данные 1st'!$S$2:$S$317,$A6,'Данные 1st'!$QA$2:$QA$317),"")</f>
        <v>1.5</v>
      </c>
      <c r="GU6" s="7">
        <f>IFERROR(AVERAGEIF('Данные 1st'!$S$2:$S$317,$A6,'Данные 1st'!$QB$2:$QB$317),"")</f>
        <v>1117.25</v>
      </c>
      <c r="GV6" s="7">
        <f>IFERROR(AVERAGEIF('Данные 1st'!$S$2:$S$317,$A6,'Данные 1st'!$QC$2:$QC$317),"")</f>
        <v>69</v>
      </c>
      <c r="GW6" s="7">
        <f>IFERROR(AVERAGEIF('Данные 1st'!$S$2:$S$317,$A6,'Данные 1st'!$QD$2:$QD$317),"")</f>
        <v>69</v>
      </c>
      <c r="GX6" s="7">
        <f>IFERROR(AVERAGEIF('Данные 1st'!$S$2:$S$317,$A6,'Данные 1st'!$QF$2:$QF$317),"")</f>
        <v>1.25</v>
      </c>
      <c r="GY6" s="7">
        <f>IFERROR(AVERAGEIF('Данные 1st'!$S$2:$S$317,$A6,'Данные 1st'!$QG$2:$QG$317),"")</f>
        <v>1136</v>
      </c>
      <c r="GZ6" s="7">
        <f>IFERROR(AVERAGEIF('Данные 1st'!$S$2:$S$317,$A6,'Данные 1st'!$QH$2:$QH$317),"")</f>
        <v>66</v>
      </c>
      <c r="HA6" s="7">
        <f>IFERROR(AVERAGEIF('Данные 1st'!$S$2:$S$317,$A6,'Данные 1st'!$QI$2:$QI$317),"")</f>
        <v>66</v>
      </c>
      <c r="HB6" s="7">
        <f>IFERROR(AVERAGEIF('Данные 1st'!$S$2:$S$317,$A6,'Данные 1st'!$QK$2:$QK$317),"")</f>
        <v/>
      </c>
      <c r="HC6" s="7">
        <f>IFERROR(AVERAGEIF('Данные 1st'!$S$2:$S$317,$A6,'Данные 1st'!$QL$2:$QL$317),"")</f>
        <v>0</v>
      </c>
      <c r="HD6" s="7">
        <f>IFERROR(AVERAGEIF('Данные 1st'!$S$2:$S$317,$A6,'Данные 1st'!$QM$2:$QM$317),"")</f>
        <v>62</v>
      </c>
      <c r="HE6" s="7">
        <f>IFERROR(AVERAGEIF('Данные 1st'!$S$2:$S$317,$A6,'Данные 1st'!$QN$2:$QN$317),"")</f>
        <v>62</v>
      </c>
      <c r="HF6" s="7">
        <f>IFERROR(AVERAGEIF('Данные 1st'!$S$2:$S$317,$A6,'Данные 1st'!$QP$2:$QP$317),"")</f>
        <v>1</v>
      </c>
      <c r="HG6" s="7">
        <f>IFERROR(AVERAGEIF('Данные 1st'!$S$2:$S$317,$A6,'Данные 1st'!$QQ$2:$QQ$317),"")</f>
        <v>1134</v>
      </c>
      <c r="HH6" s="7">
        <f>IFERROR(AVERAGEIF('Данные 1st'!$S$2:$S$317,$A6,'Данные 1st'!$QR$2:$QR$317),"")</f>
        <v/>
      </c>
      <c r="HI6" s="7">
        <f>IFERROR(AVERAGEIF('Данные 1st'!$S$2:$S$317,$A6,'Данные 1st'!$QS$2:$QS$317),"")</f>
        <v/>
      </c>
      <c r="HJ6" s="7">
        <f>IFERROR(AVERAGEIF('Данные 1st'!$S$2:$S$317,$A6,'Данные 1st'!$QU$2:$QU$317),"")</f>
        <v/>
      </c>
      <c r="HK6" s="7">
        <f>IFERROR(AVERAGEIF('Данные 1st'!$S$2:$S$317,$A6,'Данные 1st'!$QV$2:$QV$317),"")</f>
        <v/>
      </c>
      <c r="HL6" s="7">
        <f>IFERROR(AVERAGEIF('Данные 1st'!$S$2:$S$317,$A6,'Данные 1st'!$QW$2:$QW$317),"")</f>
        <v>82</v>
      </c>
      <c r="HM6" s="7">
        <f>IFERROR(AVERAGEIF('Данные 1st'!$S$2:$S$317,$A6,'Данные 1st'!$QX$2:$QX$317),"")</f>
        <v>85.75</v>
      </c>
      <c r="HN6" s="7">
        <f>IFERROR(AVERAGEIF('Данные 1st'!$S$2:$S$317,$A6,'Данные 1st'!$QZ$2:$QZ$317),"")</f>
        <v>2.25</v>
      </c>
      <c r="HO6" s="7">
        <f>IFERROR(AVERAGEIF('Данные 1st'!$S$2:$S$317,$A6,'Данные 1st'!$RA$2:$RA$317),"")</f>
        <v>66</v>
      </c>
      <c r="HP6" s="7">
        <f>IFERROR(AVERAGEIF('Данные 1st'!$S$2:$S$317,$A6,'Данные 1st'!$RB$2:$RB$317),"")</f>
        <v>66</v>
      </c>
      <c r="HQ6" s="7">
        <f>IFERROR(AVERAGEIF('Данные 1st'!$S$2:$S$317,$A6,'Данные 1st'!$RD$2:$RD$317),"")</f>
        <v/>
      </c>
      <c r="HR6" s="7">
        <f>IFERROR(AVERAGEIF('Данные 1st'!$S$2:$S$317,$A6,'Данные 1st'!$RE$2:$RE$317),"")</f>
        <v>0</v>
      </c>
      <c r="HS6" s="7">
        <f>IFERROR(AVERAGEIF('Данные 1st'!$S$2:$S$317,$A6,'Данные 1st'!$RF$2:$RF$317),"")</f>
        <v>1</v>
      </c>
      <c r="HT6" s="7">
        <f>IFERROR(AVERAGEIF('Данные 1st'!$S$2:$S$317,$A6,'Данные 1st'!$RG$2:$RG$317),"")</f>
        <v/>
      </c>
      <c r="HU6" s="7">
        <f>IFERROR(AVERAGEIF('Данные 1st'!$S$2:$S$317,$A6,'Данные 1st'!$RH$2:$RH$317),"")</f>
        <v/>
      </c>
      <c r="HV6" s="7">
        <f>IFERROR(AVERAGEIF('Данные 1st'!$S$2:$S$317,$A6,'Данные 1st'!$RI$2:$RI$317),"")</f>
        <v/>
      </c>
      <c r="HW6" s="7">
        <f>IFERROR(AVERAGEIF('Данные 1st'!$S$2:$S$317,$A6,'Данные 1st'!$RJ$2:$RJ$317),"")</f>
        <v>1.75</v>
      </c>
      <c r="HX6" s="7">
        <f>IFERROR(AVERAGEIF('Данные 1st'!$S$2:$S$317,$A6,'Данные 1st'!$RK$2:$RK$317),"")</f>
        <v/>
      </c>
      <c r="HY6" s="7">
        <f>IFERROR(AVERAGEIF('Данные 1st'!$S$2:$S$317,$A6,'Данные 1st'!$RL$2:$RL$317),"")</f>
        <v>2.25</v>
      </c>
      <c r="HZ6" s="7">
        <f>IFERROR(AVERAGEIF('Данные 1st'!$S$2:$S$317,$A6,'Данные 1st'!$RM$2:$RM$317),"")</f>
        <v/>
      </c>
      <c r="IA6" s="7">
        <f>IFERROR(AVERAGEIF('Данные 1st'!$S$2:$S$317,$A6,'Данные 1st'!$RN$2:$RN$317),"")</f>
        <v/>
      </c>
      <c r="IB6" s="7">
        <f>IFERROR(AVERAGEIF('Данные 1st'!$S$2:$S$317,$A6,'Данные 1st'!$RO$2:$RO$317),"")</f>
        <v>482.5</v>
      </c>
      <c r="IC6" s="7">
        <f>IFERROR(AVERAGEIF('Данные 1st'!$S$2:$S$317,$A6,'Данные 1st'!$RP$2:$RP$317),"")</f>
        <v/>
      </c>
      <c r="ID6" s="7">
        <f>IFERROR(AVERAGEIF('Данные 1st'!$S$2:$S$317,$A6,'Данные 1st'!$RQ$2:$RQ$317),"")</f>
        <v>766.25</v>
      </c>
      <c r="IE6" s="7">
        <f>IFERROR(AVERAGEIF('Данные 1st'!$S$2:$S$317,$A6,'Данные 1st'!$RR$2:$RR$317),"")</f>
        <v/>
      </c>
      <c r="IF6" s="7">
        <f>IFERROR(AVERAGEIF('Данные 1st'!$S$2:$S$317,$A6,'Данные 1st'!$RS$2:$RS$317),"")</f>
        <v/>
      </c>
      <c r="IG6" s="7">
        <f>IFERROR(AVERAGEIF('Данные 1st'!$S$2:$S$317,$A6,'Данные 1st'!$RT$2:$RT$317),"")</f>
        <v>160.5</v>
      </c>
      <c r="IH6" s="7">
        <f>IFERROR(AVERAGEIF('Данные 1st'!$S$2:$S$317,$A6,'Данные 1st'!$RU$2:$RU$317),"")</f>
        <v>172.25</v>
      </c>
      <c r="II6" s="7">
        <f>IFERROR(AVERAGEIF('Данные 1st'!$S$2:$S$317,$A6,'Данные 1st'!$RX$2:$RX$317),"")</f>
        <v>15</v>
      </c>
      <c r="IJ6" s="7">
        <f>IFERROR(AVERAGEIF('Данные 1st'!$S$2:$S$317,$A6,'Данные 1st'!$RY$2:$RY$317),"")</f>
        <v>4</v>
      </c>
      <c r="IK6" s="7">
        <f>IFERROR(AVERAGEIF('Данные 1st'!$S$2:$S$317,$A6,'Данные 1st'!$SA$2:$SA$317),"")</f>
        <v>15</v>
      </c>
      <c r="IL6" s="7">
        <f>IFERROR(AVERAGEIF('Данные 1st'!$S$2:$S$317,$A6,'Данные 1st'!$SD$2:$SD$317),"")</f>
        <v>1</v>
      </c>
      <c r="IM6" s="7">
        <f>IFERROR(AVERAGEIF('Данные 1st'!$S$2:$S$317,$A6,'Данные 1st'!$SG$2:$SG$317),"")</f>
        <v/>
      </c>
      <c r="IN6" s="7">
        <f>IFERROR(AVERAGEIF('Данные 1st'!$S$2:$S$317,$A6,'Данные 1st'!$SH$2:$SH$317),"")</f>
        <v>0.995</v>
      </c>
      <c r="IO6" s="7">
        <f>IFERROR(AVERAGEIF('Данные 1st'!$S$2:$S$317,$A6,'Данные 1st'!$SI$2:$SI$317),"")</f>
        <v>0.995</v>
      </c>
      <c r="IP6" s="7">
        <f>IFERROR(AVERAGEIF('Данные 1st'!$S$2:$S$317,$A6,'Данные 1st'!$SJ$2:$SJ$317),"")</f>
        <v>0.995</v>
      </c>
      <c r="IQ6" s="7">
        <f>IFERROR(AVERAGEIF('Данные 1st'!$S$2:$S$317,$A6,'Данные 1st'!$SK$2:$SK$317),"")</f>
        <v>15</v>
      </c>
      <c r="IR6" s="7">
        <f>IFERROR(AVERAGEIF('Данные 1st'!$S$2:$S$317,$A6,'Данные 1st'!$SL$2:$SL$317),"")</f>
        <v>0</v>
      </c>
      <c r="IS6" s="7">
        <f>IFERROR(AVERAGEIF('Данные 1st'!$S$2:$S$317,$A6,'Данные 1st'!$SM$2:$SM$317),"")</f>
        <v>0</v>
      </c>
      <c r="IT6" s="7">
        <f>IFERROR(AVERAGEIF('Данные 1st'!$S$2:$S$317,$A6,'Данные 1st'!$SN$2:$SN$317),"")</f>
        <v>0</v>
      </c>
      <c r="IU6" s="7">
        <f>IFERROR(AVERAGEIF('Данные 1st'!$S$2:$S$317,$A6,'Данные 1st'!$SO$2:$SO$317),"")</f>
        <v>0</v>
      </c>
      <c r="IV6" s="7">
        <f>IFERROR(AVERAGEIF('Данные 1st'!$S$2:$S$317,$A6,'Данные 1st'!$SP$2:$SP$317),"")</f>
        <v>0</v>
      </c>
      <c r="IW6" s="7">
        <f>IFERROR(AVERAGEIF('Данные 1st'!$S$2:$S$317,$A6,'Данные 1st'!$SQ$2:$SQ$317),"")</f>
        <v>0</v>
      </c>
      <c r="IX6" s="7">
        <f>IFERROR(AVERAGEIF('Данные 1st'!$S$2:$S$317,$A6,'Данные 1st'!$SR$2:$SR$317),"")</f>
        <v>0</v>
      </c>
      <c r="IY6" s="7">
        <f>IFERROR(AVERAGEIF('Данные 1st'!$S$2:$S$317,$A6,'Данные 1st'!$SS$2:$SS$317),"")</f>
        <v>0</v>
      </c>
      <c r="IZ6" s="7">
        <f>IFERROR(AVERAGEIF('Данные 1st'!$S$2:$S$317,$A6,'Данные 1st'!$ST$2:$ST$317),"")</f>
        <v>0</v>
      </c>
      <c r="JA6" s="7">
        <f>IFERROR(AVERAGEIF('Данные 1st'!$S$2:$S$317,$A6,'Данные 1st'!$SU$2:$SU$317),"")</f>
        <v>0</v>
      </c>
      <c r="JB6" s="7">
        <f>IFERROR(AVERAGEIF('Данные 1st'!$S$2:$S$317,$A6,'Данные 1st'!$SV$2:$SV$317),"")</f>
        <v>0</v>
      </c>
      <c r="JC6" s="7">
        <f>IFERROR(AVERAGEIF('Данные 1st'!$S$2:$S$317,$A6,'Данные 1st'!$SW$2:$SW$317),"")</f>
        <v>0</v>
      </c>
      <c r="JD6" s="7">
        <f>IFERROR(AVERAGEIF('Данные 1st'!$S$2:$S$317,$A6,'Данные 1st'!$SX$2:$SX$317),"")</f>
        <v>0</v>
      </c>
      <c r="JE6" s="7">
        <f>IFERROR(AVERAGEIF('Данные 1st'!$S$2:$S$317,$A6,'Данные 1st'!$SY$2:$SY$317),"")</f>
        <v/>
      </c>
      <c r="JF6" s="7">
        <f>IFERROR(AVERAGEIF('Данные 1st'!$S$2:$S$317,$A6,'Данные 1st'!$SZ$2:$SZ$317),"")</f>
        <v/>
      </c>
      <c r="JG6" s="7">
        <f>IFERROR(AVERAGEIF('Данные 1st'!$S$2:$S$317,$A6,'Данные 1st'!$TA$2:$TA$317),"")</f>
        <v/>
      </c>
      <c r="JH6" s="7">
        <f>IFERROR(AVERAGEIF('Данные 1st'!$S$2:$S$317,$A6,'Данные 1st'!$TB$2:$TB$317),"")</f>
        <v>0</v>
      </c>
      <c r="JI6" s="7">
        <f>IFERROR(AVERAGEIF('Данные 1st'!$S$2:$S$317,$A6,'Данные 1st'!$TC$2:$TC$317),"")</f>
        <v>0</v>
      </c>
      <c r="JJ6" s="7">
        <f>IFERROR(AVERAGEIF('Данные 1st'!$S$2:$S$317,$A6,'Данные 1st'!$TD$2:$TD$317),"")</f>
        <v>7.5</v>
      </c>
      <c r="JK6" s="7">
        <f>IFERROR(AVERAGEIF('Данные 1st'!$S$2:$S$317,$A6,'Данные 1st'!$TN$2:$TN$317),"")</f>
        <v>0</v>
      </c>
      <c r="JL6">
        <f>COUNTIF('Данные 2st'!$Q$2:$Q$317,$A6)</f>
        <v>4</v>
      </c>
      <c r="JM6" s="6" t="s">
        <v>5082</v>
      </c>
      <c r="JN6" s="6" t="s">
        <v>513</v>
      </c>
      <c r="JO6" s="6" t="s">
        <v>5125</v>
      </c>
      <c r="JP6" s="6" t="s">
        <v>5465</v>
      </c>
      <c r="JQ6" s="7">
        <f>IFERROR(AVERAGEIF('Данные 2st'!$Q$2:$Q$317,$A6,'Данные 2st'!$AC$2:$AC$317),"")</f>
        <v>11.25</v>
      </c>
      <c r="JR6" s="7">
        <f>IFERROR(AVERAGEIF('Данные 2st'!$Q$2:$Q$317,$A6,'Данные 2st'!$AF$2:$AF$317),"")</f>
        <v>3338.75</v>
      </c>
      <c r="JS6" s="7">
        <f>IFERROR(AVERAGEIF('Данные 2st'!$Q$2:$Q$317,$A6,'Данные 2st'!$AW$2:$AW$317),"")</f>
        <v>6.4</v>
      </c>
      <c r="JT6" s="7">
        <f>IFERROR(AVERAGEIF('Данные 2st'!$Q$2:$Q$317,$A6,'Данные 2st'!$AX$2:$AX$317),"")</f>
        <v>-6</v>
      </c>
      <c r="JU6" s="7">
        <f>IFERROR(AVERAGEIF('Данные 2st'!$Q$2:$Q$317,$A6,'Данные 2st'!$AY$2:$AY$317),"")</f>
        <v>80.75</v>
      </c>
      <c r="JV6" s="7">
        <f>IFERROR(AVERAGEIF('Данные 2st'!$Q$2:$Q$317,$A6,'Данные 2st'!$AZ$2:$AZ$317),"")</f>
        <v>61.125</v>
      </c>
      <c r="JW6" s="7">
        <f>IFERROR(AVERAGEIF('Данные 2st'!$Q$2:$Q$317,$A6,'Данные 2st'!$BA$2:$BA$317),"")</f>
        <v/>
      </c>
      <c r="JX6" s="7">
        <f>IFERROR(AVERAGEIF('Данные 2st'!$Q$2:$Q$317,$A6,'Данные 2st'!$BB$2:$BB$317),"")</f>
        <v/>
      </c>
      <c r="JY6" s="7">
        <f>IFERROR(AVERAGEIF('Данные 2st'!$Q$2:$Q$317,$A6,'Данные 2st'!$BC$2:$BC$317),"")</f>
        <v/>
      </c>
      <c r="JZ6" s="7">
        <f>IFERROR(AVERAGEIF('Данные 2st'!$Q$2:$Q$317,$A6,'Данные 2st'!$BH$2:$BH$317),"")</f>
        <v>80.75</v>
      </c>
      <c r="KA6" s="7">
        <f>IFERROR(AVERAGEIF('Данные 2st'!$Q$2:$Q$317,$A6,'Данные 2st'!$BI$2:$BI$317),"")</f>
        <v>19.625</v>
      </c>
      <c r="KB6" s="7">
        <f>IFERROR(AVERAGEIF('Данные 2st'!$Q$2:$Q$317,$A6,'Данные 2st'!$BJ$2:$BJ$317),"")</f>
        <v>61.125</v>
      </c>
      <c r="KC6" s="7">
        <f>IFERROR(AVERAGEIF('Данные 2st'!$Q$2:$Q$317,$A6,'Данные 2st'!$BK$2:$BK$317),"")</f>
        <v>3.25</v>
      </c>
      <c r="KD6" s="7">
        <f>IFERROR(AVERAGEIF('Данные 2st'!$Q$2:$Q$317,$A6,'Данные 2st'!$BL$2:$BL$317),"")</f>
        <v>161.5</v>
      </c>
      <c r="KE6" s="7">
        <f>IFERROR(AVERAGEIF('Данные 2st'!$Q$2:$Q$317,$A6,'Данные 2st'!$BM$2:$BM$317),"")</f>
        <v>-6</v>
      </c>
      <c r="KF6" s="7">
        <f>IFERROR(AVERAGEIF('Данные 2st'!$Q$2:$Q$317,$A6,'Данные 2st'!$BN$2:$BN$317),"")</f>
        <v>0</v>
      </c>
      <c r="KG6" s="7">
        <f>IFERROR(AVERAGEIF('Данные 2st'!$Q$2:$Q$317,$A6,'Данные 2st'!$BO$2:$BO$317),"")</f>
        <v/>
      </c>
      <c r="KH6" s="7">
        <f>IFERROR(AVERAGEIF('Данные 2st'!$Q$2:$Q$317,$A6,'Данные 2st'!$BP$2:$BP$317),"")</f>
        <v>0</v>
      </c>
      <c r="KI6" s="7">
        <f>IFERROR(AVERAGEIF('Данные 2st'!$Q$2:$Q$317,$A6,'Данные 2st'!$BR$2:$BR$317),"")</f>
        <v>155</v>
      </c>
      <c r="KJ6" s="7">
        <f>IFERROR(AVERAGEIF('Данные 2st'!$Q$2:$Q$317,$A6,'Данные 2st'!$BS$2:$BS$317),"")</f>
        <v>145</v>
      </c>
      <c r="KK6" s="7">
        <f>IFERROR(AVERAGEIF('Данные 2st'!$Q$2:$Q$317,$A6,'Данные 2st'!$BT$2:$BT$317),"")</f>
        <v>1761.25</v>
      </c>
      <c r="KL6" s="7">
        <f>IFERROR(AVERAGEIF('Данные 2st'!$Q$2:$Q$317,$A6,'Данные 2st'!$CV$2:$CV$317),"")</f>
        <v>104.25</v>
      </c>
      <c r="KM6" s="7">
        <f>IFERROR(AVERAGEIF('Данные 2st'!$Q$2:$Q$317,$A6,'Данные 2st'!$CW$2:$CW$317),"")</f>
        <v>3</v>
      </c>
      <c r="KN6" s="7">
        <f>IFERROR(AVERAGEIF('Данные 2st'!$Q$2:$Q$317,$A6,'Данные 2st'!$CX$2:$CX$317),"")</f>
        <v>64.5</v>
      </c>
      <c r="KO6" s="7">
        <f>IFERROR(AVERAGEIF('Данные 2st'!$Q$2:$Q$317,$A6,'Данные 2st'!$CY$2:$CY$317),"")</f>
        <v>5</v>
      </c>
      <c r="KP6" s="7">
        <f>IFERROR(AVERAGEIF('Данные 2st'!$Q$2:$Q$317,$A6,'Данные 2st'!$CZ$2:$CZ$317),"")</f>
        <v>103.5</v>
      </c>
      <c r="KQ6" s="7">
        <f>IFERROR(AVERAGEIF('Данные 2st'!$Q$2:$Q$317,$A6,'Данные 2st'!$DA$2:$DA$317),"")</f>
        <v>5</v>
      </c>
      <c r="KR6" s="7">
        <f>IFERROR(AVERAGEIF('Данные 2st'!$Q$2:$Q$317,$A6,'Данные 2st'!$DB$2:$DB$317),"")</f>
        <v>7770</v>
      </c>
      <c r="KS6" s="7">
        <f>IFERROR(AVERAGEIF('Данные 2st'!$Q$2:$Q$317,$A6,'Данные 2st'!$DC$2:$DC$317),"")</f>
        <v>225</v>
      </c>
      <c r="KT6" s="7">
        <f>IFERROR(AVERAGEIF('Данные 2st'!$Q$2:$Q$317,$A6,'Данные 2st'!$DD$2:$DD$317),"")</f>
        <v>276.25</v>
      </c>
      <c r="KU6" s="7">
        <f>IFERROR(AVERAGEIF('Данные 2st'!$Q$2:$Q$317,$A6,'Данные 2st'!$DE$2:$DE$317),"")</f>
        <v>1852</v>
      </c>
      <c r="KV6" s="7">
        <f>IFERROR(AVERAGEIF('Данные 2st'!$Q$2:$Q$317,$A6,'Данные 2st'!$DF$2:$DF$317),"")</f>
        <v>1852</v>
      </c>
      <c r="KW6" s="7">
        <f>IFERROR(AVERAGEIF('Данные 2st'!$Q$2:$Q$317,$A6,'Данные 2st'!$DG$2:$DG$317),"")</f>
        <v>1870</v>
      </c>
      <c r="KX6" s="7">
        <f>IFERROR(AVERAGEIF('Данные 2st'!$Q$2:$Q$317,$A6,'Данные 2st'!$DH$2:$DH$317),"")</f>
        <v/>
      </c>
      <c r="KY6" s="7">
        <f>IFERROR(AVERAGEIF('Данные 2st'!$Q$2:$Q$317,$A6,'Данные 2st'!$DI$2:$DI$317),"")</f>
        <v/>
      </c>
      <c r="KZ6" s="7">
        <f>IFERROR(AVERAGEIF('Данные 2st'!$Q$2:$Q$317,$A6,'Данные 2st'!$DK$2:$DK$317),"")</f>
        <v>155</v>
      </c>
      <c r="LA6" s="7">
        <f>IFERROR(AVERAGEIF('Данные 2st'!$Q$2:$Q$317,$A6,'Данные 2st'!$DM$2:$DM$317),"")</f>
        <v>64.5</v>
      </c>
      <c r="LB6" s="7">
        <f>IFERROR(AVERAGEIF('Данные 2st'!$Q$2:$Q$317,$A6,'Данные 2st'!$DN$2:$DN$317),"")</f>
        <v>0.84</v>
      </c>
      <c r="LC6" s="7">
        <f>IFERROR(AVERAGEIF('Данные 2st'!$Q$2:$Q$317,$A6,'Данные 2st'!$DO$2:$DO$317),"")</f>
        <v>1</v>
      </c>
      <c r="LD6" s="7">
        <f>IFERROR(AVERAGEIF('Данные 2st'!$Q$2:$Q$317,$A6,'Данные 2st'!$DP$2:$DP$317),"")</f>
        <v>1764.25</v>
      </c>
      <c r="LE6" s="7">
        <f>IFERROR(AVERAGEIF('Данные 2st'!$Q$2:$Q$317,$A6,'Данные 2st'!$DQ$2:$DQ$317),"")</f>
        <v>499.25</v>
      </c>
      <c r="LF6" s="7">
        <f>IFERROR(AVERAGEIF('Данные 2st'!$Q$2:$Q$317,$A6,'Данные 2st'!$DS$2:$DS$317),"")</f>
        <v>145</v>
      </c>
      <c r="LG6" s="7">
        <f>IFERROR(AVERAGEIF('Данные 2st'!$Q$2:$Q$317,$A6,'Данные 2st'!$DU$2:$DU$317),"")</f>
        <v>64.5</v>
      </c>
      <c r="LH6" s="7">
        <f>IFERROR(AVERAGEIF('Данные 2st'!$Q$2:$Q$317,$A6,'Данные 2st'!$DV$2:$DV$317),"")</f>
        <v>0.84</v>
      </c>
      <c r="LI6" s="7">
        <f>IFERROR(AVERAGEIF('Данные 2st'!$Q$2:$Q$317,$A6,'Данные 2st'!$DW$2:$DW$317),"")</f>
        <v>1</v>
      </c>
      <c r="LJ6" s="7">
        <f>IFERROR(AVERAGEIF('Данные 2st'!$Q$2:$Q$317,$A6,'Данные 2st'!$DX$2:$DX$317),"")</f>
        <v>1771.25</v>
      </c>
      <c r="LK6" s="7">
        <f>IFERROR(AVERAGEIF('Данные 2st'!$Q$2:$Q$317,$A6,'Данные 2st'!$DY$2:$DY$317),"")</f>
        <v>469.25</v>
      </c>
      <c r="LL6" s="7">
        <f>IFERROR(AVERAGEIF('Данные 2st'!$Q$2:$Q$317,$A6,'Данные 2st'!$EA$2:$EA$317),"")</f>
        <v>33</v>
      </c>
      <c r="LM6" s="7">
        <f>IFERROR(AVERAGEIF('Данные 2st'!$Q$2:$Q$317,$A6,'Данные 2st'!$EC$2:$EC$317),"")</f>
        <v>0.4</v>
      </c>
      <c r="LN6" s="7">
        <f>IFERROR(AVERAGEIF('Данные 2st'!$Q$2:$Q$317,$A6,'Данные 2st'!$ED$2:$ED$317),"")</f>
        <v>1764.25</v>
      </c>
      <c r="LO6" s="7">
        <f>IFERROR(AVERAGEIF('Данные 2st'!$Q$2:$Q$317,$A6,'Данные 2st'!$EE$2:$EE$317),"")</f>
        <v>51</v>
      </c>
      <c r="LP6" s="7">
        <f>IFERROR(AVERAGEIF('Данные 2st'!$Q$2:$Q$317,$A6,'Данные 2st'!$EG$2:$EG$317),"")</f>
        <v>33</v>
      </c>
      <c r="LQ6" s="7">
        <f>IFERROR(AVERAGEIF('Данные 2st'!$Q$2:$Q$317,$A6,'Данные 2st'!$EI$2:$EI$317),"")</f>
        <v>0.4</v>
      </c>
      <c r="LR6" s="7">
        <f>IFERROR(AVERAGEIF('Данные 2st'!$Q$2:$Q$317,$A6,'Данные 2st'!$EJ$2:$EJ$317),"")</f>
        <v>1771.25</v>
      </c>
      <c r="LS6" s="7">
        <f>IFERROR(AVERAGEIF('Данные 2st'!$Q$2:$Q$317,$A6,'Данные 2st'!$EK$2:$EK$317),"")</f>
        <v>51.25</v>
      </c>
      <c r="LT6" s="7">
        <f>IFERROR(AVERAGEIF('Данные 2st'!$Q$2:$Q$317,$A6,'Данные 2st'!$EM$2:$EM$317),"")</f>
        <v>12</v>
      </c>
      <c r="LU6" s="7">
        <f>IFERROR(AVERAGEIF('Данные 2st'!$Q$2:$Q$317,$A6,'Данные 2st'!$EN$2:$EN$317),"")</f>
        <v>0.5</v>
      </c>
      <c r="LV6" s="7">
        <f>IFERROR(AVERAGEIF('Данные 2st'!$Q$2:$Q$317,$A6,'Данные 2st'!$EO$2:$EO$317),"")</f>
        <v>0.8975</v>
      </c>
      <c r="LW6" s="7">
        <f>IFERROR(AVERAGEIF('Данные 2st'!$Q$2:$Q$317,$A6,'Данные 2st'!$EP$2:$EP$317),"")</f>
        <v>1771.81</v>
      </c>
      <c r="LX6" s="7">
        <f>IFERROR(AVERAGEIF('Данные 2st'!$Q$2:$Q$317,$A6,'Данные 2st'!$EQ$2:$EQ$317),"")</f>
        <v>24014.72</v>
      </c>
      <c r="LY6" s="7">
        <f>IFERROR(AVERAGEIF('Данные 2st'!$Q$2:$Q$317,$A6,'Данные 2st'!$ER$2:$ER$317),"")</f>
        <v>5444.66</v>
      </c>
      <c r="LZ6" s="7">
        <f>IFERROR(AVERAGEIF('Данные 2st'!$Q$2:$Q$317,$A6,'Данные 2st'!$ES$2:$ES$317),"")</f>
        <v>0</v>
      </c>
      <c r="MA6" s="7">
        <f>IFERROR(AVERAGEIF('Данные 2st'!$Q$2:$Q$317,$A6,'Данные 2st'!$ET$2:$ET$317),"")</f>
        <v>0</v>
      </c>
      <c r="MB6" s="7">
        <f>IFERROR(AVERAGEIF('Данные 2st'!$Q$2:$Q$317,$A6,'Данные 2st'!$EU$2:$EU$317),"")</f>
        <v>1</v>
      </c>
      <c r="MC6" s="7">
        <f>IFERROR(AVERAGEIF('Данные 2st'!$Q$2:$Q$317,$A6,'Данные 2st'!$EV$2:$EV$317),"")</f>
        <v>29459.75</v>
      </c>
      <c r="MD6" s="7">
        <f>IFERROR(AVERAGEIF('Данные 2st'!$Q$2:$Q$317,$A6,'Данные 2st'!$EW$2:$EW$317),"")</f>
        <v>341</v>
      </c>
      <c r="ME6" s="7">
        <f>IFERROR(AVERAGEIF('Данные 2st'!$Q$2:$Q$317,$A6,'Данные 2st'!$EY$2:$EY$317),"")</f>
        <v>171.5</v>
      </c>
      <c r="MF6" s="7">
        <f>IFERROR(AVERAGEIF('Данные 2st'!$Q$2:$Q$317,$A6,'Данные 2st'!$FA$2:$FA$317),"")</f>
        <v>5.05</v>
      </c>
      <c r="MG6" s="7">
        <f>IFERROR(AVERAGEIF('Данные 2st'!$Q$2:$Q$317,$A6,'Данные 2st'!$FB$2:$FB$317),"")</f>
        <v>1</v>
      </c>
      <c r="MH6" s="7">
        <f>IFERROR(AVERAGEIF('Данные 2st'!$Q$2:$Q$317,$A6,'Данные 2st'!$FC$2:$FC$317),"")</f>
        <v>1</v>
      </c>
      <c r="MI6" s="7">
        <f>IFERROR(AVERAGEIF('Данные 2st'!$Q$2:$Q$317,$A6,'Данные 2st'!$FD$2:$FD$317),"")</f>
        <v>1803</v>
      </c>
      <c r="MJ6" s="7">
        <f>IFERROR(AVERAGEIF('Данные 2st'!$Q$2:$Q$317,$A6,'Данные 2st'!$FE$2:$FE$317),"")</f>
        <v>1828</v>
      </c>
      <c r="MK6" s="7">
        <f>IFERROR(AVERAGEIF('Данные 2st'!$Q$2:$Q$317,$A6,'Данные 2st'!$FG$2:$FG$317),"")</f>
        <v>173</v>
      </c>
      <c r="ML6" s="7">
        <f>IFERROR(AVERAGEIF('Данные 2st'!$Q$2:$Q$317,$A6,'Данные 2st'!$FI$2:$FI$317),"")</f>
        <v>2.5</v>
      </c>
      <c r="MM6" s="7">
        <f>IFERROR(AVERAGEIF('Данные 2st'!$Q$2:$Q$317,$A6,'Данные 2st'!$FJ$2:$FJ$317),"")</f>
        <v>1803</v>
      </c>
      <c r="MN6" s="7">
        <f>IFERROR(AVERAGEIF('Данные 2st'!$Q$2:$Q$317,$A6,'Данные 2st'!$FK$2:$FK$317),"")</f>
        <v>921.75</v>
      </c>
      <c r="MO6" s="7">
        <f>IFERROR(AVERAGEIF('Данные 2st'!$Q$2:$Q$317,$A6,'Данные 2st'!$FP$2:$FP$317),"")</f>
        <v>1803</v>
      </c>
      <c r="MP6" s="7">
        <f>IFERROR(AVERAGEIF('Данные 2st'!$Q$2:$Q$317,$A6,'Данные 2st'!$FQ$2:$FQ$317),"")</f>
        <v>111</v>
      </c>
      <c r="MQ6" s="7">
        <f>IFERROR(AVERAGEIF('Данные 2st'!$Q$2:$Q$317,$A6,'Данные 2st'!$FS$2:$FS$317),"")</f>
        <v>177</v>
      </c>
      <c r="MR6" s="7">
        <f>IFERROR(AVERAGEIF('Данные 2st'!$Q$2:$Q$317,$A6,'Данные 2st'!$FU$2:$FU$317),"")</f>
        <v>0.4</v>
      </c>
      <c r="MS6" s="7">
        <f>IFERROR(AVERAGEIF('Данные 2st'!$Q$2:$Q$317,$A6,'Данные 2st'!$FV$2:$FV$317),"")</f>
        <v>1803</v>
      </c>
      <c r="MT6" s="7">
        <f>IFERROR(AVERAGEIF('Данные 2st'!$Q$2:$Q$317,$A6,'Данные 2st'!$FW$2:$FW$317),"")</f>
        <v>142.5</v>
      </c>
      <c r="MU6" s="7">
        <f>IFERROR(AVERAGEIF('Данные 2st'!$Q$2:$Q$317,$A6,'Данные 2st'!$FY$2:$FY$317),"")</f>
        <v>8.333333333333334</v>
      </c>
      <c r="MV6" s="7">
        <f>IFERROR(AVERAGEIF('Данные 2st'!$Q$2:$Q$317,$A6,'Данные 2st'!$GB$2:$GB$317),"")</f>
        <v>1800.3333333333333</v>
      </c>
      <c r="MW6" s="7">
        <f>IFERROR(AVERAGEIF('Данные 2st'!$Q$2:$Q$317,$A6,'Данные 2st'!$GC$2:$GC$317),"")</f>
        <v>17</v>
      </c>
      <c r="MX6" s="7">
        <f>IFERROR(AVERAGEIF('Данные 2st'!$Q$2:$Q$317,$A6,'Данные 2st'!$GD$2:$GD$317),"")</f>
        <v>3016</v>
      </c>
      <c r="MY6" s="7">
        <f>IFERROR(AVERAGEIF('Данные 2st'!$Q$2:$Q$317,$A6,'Данные 2st'!$GN$2:$GN$317),"")</f>
        <v/>
      </c>
      <c r="MZ6" s="7">
        <f>IFERROR(AVERAGEIF('Данные 2st'!$Q$2:$Q$317,$A6,'Данные 2st'!$GQ$2:$GQ$317),"")</f>
        <v>0</v>
      </c>
      <c r="NA6" s="7">
        <f>IFERROR(AVERAGEIF('Данные 2st'!$Q$2:$Q$317,$A6,'Данные 2st'!$GV$2:$GV$317),"")</f>
        <v>7.949999999999999</v>
      </c>
      <c r="NB6" s="7">
        <f>IFERROR(AVERAGEIF('Данные 2st'!$Q$2:$Q$317,$A6,'Данные 2st'!$GW$2:$GW$317),"")</f>
        <v>9.65</v>
      </c>
      <c r="NC6" s="7">
        <f>IFERROR(AVERAGEIF('Данные 2st'!$Q$2:$Q$317,$A6,'Данные 2st'!$GX$2:$GX$317),"")</f>
        <v>0.5</v>
      </c>
      <c r="ND6" s="7">
        <f>IFERROR(AVERAGEIF('Данные 2st'!$Q$2:$Q$317,$A6,'Данные 2st'!$GY$2:$GY$317),"")</f>
        <v>143.5</v>
      </c>
      <c r="NE6" s="7">
        <f>IFERROR(AVERAGEIF('Данные 2st'!$Q$2:$Q$317,$A6,'Данные 2st'!$GZ$2:$GZ$317),"")</f>
        <v>3</v>
      </c>
      <c r="NF6" s="7">
        <f>IFERROR(AVERAGEIF('Данные 2st'!$Q$2:$Q$317,$A6,'Данные 2st'!$HA$2:$HA$317),"")</f>
        <v>190.5</v>
      </c>
      <c r="NG6" s="7">
        <f>IFERROR(AVERAGEIF('Данные 2st'!$Q$2:$Q$317,$A6,'Данные 2st'!$HB$2:$HB$317),"")</f>
        <v>3</v>
      </c>
      <c r="NH6" s="7">
        <f>IFERROR(AVERAGEIF('Данные 2st'!$Q$2:$Q$317,$A6,'Данные 2st'!$HC$2:$HC$317),"")</f>
        <v>1803</v>
      </c>
      <c r="NI6" s="7">
        <f>IFERROR(AVERAGEIF('Данные 2st'!$Q$2:$Q$317,$A6,'Данные 2st'!$HD$2:$HD$317),"")</f>
        <v>4</v>
      </c>
      <c r="NJ6" s="7">
        <f>IFERROR(AVERAGEIF('Данные 2st'!$Q$2:$Q$317,$A6,'Данные 2st'!$HM$2:$HM$317),"")</f>
        <v>15</v>
      </c>
      <c r="NK6" s="7">
        <f>IFERROR(AVERAGEIF('Данные 2st'!$Q$2:$Q$317,$A6,'Данные 2st'!$HR$2:$HR$317),"")</f>
        <v>2</v>
      </c>
      <c r="NL6" s="7">
        <f>IFERROR(AVERAGEIF('Данные 2st'!$Q$2:$Q$317,$A6,'Данные 2st'!$HS$2:$HS$317),"")</f>
        <v>1761.25</v>
      </c>
      <c r="NM6" s="7">
        <f>IFERROR(AVERAGEIF('Данные 2st'!$Q$2:$Q$317,$A6,'Данные 2st'!$HT$2:$HT$317),"")</f>
        <v>5</v>
      </c>
      <c r="NN6" s="7">
        <f>IFERROR(AVERAGEIF('Данные 2st'!$Q$2:$Q$317,$A6,'Данные 2st'!$HY$2:$HY$317),"")</f>
        <v>0</v>
      </c>
      <c r="NO6" s="7">
        <f>IFERROR(AVERAGEIF('Данные 2st'!$Q$2:$Q$317,$A6,'Данные 2st'!$HZ$2:$HZ$317),"")</f>
        <v>64.5</v>
      </c>
      <c r="NP6" s="7">
        <f>IFERROR(AVERAGEIF('Данные 2st'!$Q$2:$Q$317,$A6,'Данные 2st'!$IA$2:$IA$317),"")</f>
        <v>1764.25</v>
      </c>
      <c r="NQ6" s="7">
        <f>IFERROR(AVERAGEIF('Данные 2st'!$Q$2:$Q$317,$A6,'Данные 2st'!$IB$2:$IB$317),"")</f>
        <v>1771.25</v>
      </c>
      <c r="NR6" s="7">
        <f>IFERROR(AVERAGEIF('Данные 2st'!$Q$2:$Q$317,$A6,'Данные 2st'!$IC$2:$IC$317),"")</f>
        <v/>
      </c>
      <c r="NS6" s="7">
        <f>IFERROR(AVERAGEIF('Данные 2st'!$Q$2:$Q$317,$A6,'Данные 2st'!$ID$2:$ID$317),"")</f>
        <v>1803</v>
      </c>
      <c r="NT6" s="7">
        <f>IFERROR(AVERAGEIF('Данные 2st'!$Q$2:$Q$317,$A6,'Данные 2st'!$IE$2:$IE$317),"")</f>
        <v>1803</v>
      </c>
      <c r="NU6" s="7">
        <f>IFERROR(AVERAGEIF('Данные 2st'!$Q$2:$Q$317,$A6,'Данные 2st'!$IF$2:$IF$317),"")</f>
        <v>155</v>
      </c>
      <c r="NV6" s="7">
        <f>IFERROR(AVERAGEIF('Данные 2st'!$Q$2:$Q$317,$A6,'Данные 2st'!$IG$2:$IG$317),"")</f>
        <v>145</v>
      </c>
      <c r="NW6" s="7">
        <f>IFERROR(AVERAGEIF('Данные 2st'!$Q$2:$Q$317,$A6,'Данные 2st'!$IH$2:$IH$317),"")</f>
        <v>190.5</v>
      </c>
      <c r="NX6" s="7">
        <f>IFERROR(AVERAGEIF('Данные 2st'!$Q$2:$Q$317,$A6,'Данные 2st'!$IJ$2:$IJ$317),"")</f>
        <v>5</v>
      </c>
      <c r="NY6" s="7">
        <f>IFERROR(AVERAGEIF('Данные 2st'!$Q$2:$Q$317,$A6,'Данные 2st'!$IM$2:$IM$317),"")</f>
        <v>0</v>
      </c>
      <c r="NZ6" s="7">
        <f>IFERROR(AVERAGEIF('Данные 2st'!$Q$2:$Q$317,$A6,'Данные 2st'!$IN$2:$IN$317),"")</f>
        <v>270</v>
      </c>
      <c r="OA6" s="7">
        <f>IFERROR(AVERAGEIF('Данные 2st'!$Q$2:$Q$317,$A6,'Данные 2st'!$IO$2:$IO$317),"")</f>
        <v>0</v>
      </c>
      <c r="OB6" s="7">
        <f>IFERROR(AVERAGEIF('Данные 2st'!$Q$2:$Q$317,$A6,'Данные 2st'!$IP$2:$IP$317),"")</f>
        <v>180</v>
      </c>
      <c r="OC6" s="7">
        <f>IFERROR(AVERAGEIF('Данные 2st'!$Q$2:$Q$317,$A6,'Данные 2st'!$IQ$2:$IQ$317),"")</f>
        <v>0</v>
      </c>
      <c r="OD6" s="7">
        <f>IFERROR(AVERAGEIF('Данные 2st'!$Q$2:$Q$317,$A6,'Данные 2st'!$IR$2:$IR$317),"")</f>
        <v>330</v>
      </c>
      <c r="OE6" s="7">
        <f>IFERROR(AVERAGEIF('Данные 2st'!$Q$2:$Q$317,$A6,'Данные 2st'!$IT$2:$IT$317),"")</f>
        <v>90</v>
      </c>
      <c r="OF6" s="7">
        <f>IFERROR(AVERAGEIF('Данные 2st'!$Q$2:$Q$317,$A6,'Данные 2st'!$IU$2:$IU$317),"")</f>
        <v>0</v>
      </c>
      <c r="OG6" s="7">
        <f>IFERROR(AVERAGEIF('Данные 2st'!$Q$2:$Q$317,$A6,'Данные 2st'!$IV$2:$IV$317),"")</f>
        <v>6.4</v>
      </c>
      <c r="OH6" s="7">
        <f>IFERROR(AVERAGEIF('Данные 2st'!$Q$2:$Q$317,$A6,'Данные 2st'!$IW$2:$IW$317),"")</f>
        <v>-6</v>
      </c>
      <c r="OI6" s="7">
        <f>IFERROR(AVERAGEIF('Данные 2st'!$Q$2:$Q$317,$A6,'Данные 2st'!$IX$2:$IX$317),"")</f>
        <v>80.75</v>
      </c>
      <c r="OJ6" s="7">
        <f>IFERROR(AVERAGEIF('Данные 2st'!$Q$2:$Q$317,$A6,'Данные 2st'!$IY$2:$IY$317),"")</f>
        <v>61.125</v>
      </c>
      <c r="OK6" s="7">
        <f>IFERROR(AVERAGEIF('Данные 2st'!$Q$2:$Q$317,$A6,'Данные 2st'!$IZ$2:$IZ$317),"")</f>
        <v>0</v>
      </c>
      <c r="OL6" s="7">
        <f>IFERROR(AVERAGEIF('Данные 2st'!$Q$2:$Q$317,$A6,'Данные 2st'!$JA$2:$JA$317),"")</f>
        <v>0</v>
      </c>
      <c r="OM6" s="7">
        <f>IFERROR(AVERAGEIF('Данные 2st'!$Q$2:$Q$317,$A6,'Данные 2st'!$JB$2:$JB$317),"")</f>
        <v>0</v>
      </c>
      <c r="ON6" s="7">
        <f>IFERROR(AVERAGEIF('Данные 2st'!$Q$2:$Q$317,$A6,'Данные 2st'!$JC$2:$JC$317),"")</f>
        <v>0</v>
      </c>
      <c r="OO6" s="7">
        <f>IFERROR(AVERAGEIF('Данные 2st'!$Q$2:$Q$317,$A6,'Данные 2st'!$JD$2:$JD$317),"")</f>
        <v>0</v>
      </c>
      <c r="OP6" s="7">
        <f>IFERROR(AVERAGEIF('Данные 2st'!$Q$2:$Q$317,$A6,'Данные 2st'!$JE$2:$JE$317),"")</f>
        <v>0</v>
      </c>
      <c r="OQ6" s="7">
        <f>IFERROR(AVERAGEIF('Данные 2st'!$Q$2:$Q$317,$A6,'Данные 2st'!$JF$2:$JF$317),"")</f>
        <v>0</v>
      </c>
      <c r="OR6" s="7">
        <f>IFERROR(AVERAGEIF('Данные 2st'!$Q$2:$Q$317,$A6,'Данные 2st'!$JG$2:$JG$317),"")</f>
        <v>0</v>
      </c>
      <c r="OS6" s="7">
        <f>IFERROR(AVERAGEIF('Данные 2st'!$Q$2:$Q$317,$A6,'Данные 2st'!$JH$2:$JH$317),"")</f>
        <v>0</v>
      </c>
      <c r="OT6" s="7">
        <f>IFERROR(AVERAGEIF('Данные 2st'!$Q$2:$Q$317,$A6,'Данные 2st'!$JI$2:$JI$317),"")</f>
        <v>323</v>
      </c>
      <c r="OU6" s="7">
        <f>IFERROR(AVERAGEIF('Данные 2st'!$Q$2:$Q$317,$A6,'Данные 2st'!$JJ$2:$JJ$317),"")</f>
        <v>285.5</v>
      </c>
      <c r="OV6" s="7">
        <f>IFERROR(AVERAGEIF('Данные 2st'!$Q$2:$Q$317,$A6,'Данные 2st'!$JK$2:$JK$317),"")</f>
        <v>224.75</v>
      </c>
      <c r="OW6" s="7">
        <f>IFERROR(AVERAGEIF('Данные 2st'!$Q$2:$Q$317,$A6,'Данные 2st'!$JL$2:$JL$317),"")</f>
        <v>263</v>
      </c>
      <c r="OX6" s="7">
        <f>IFERROR(AVERAGEIF('Данные 2st'!$Q$2:$Q$317,$A6,'Данные 2st'!$JM$2:$JM$317),"")</f>
        <v>229</v>
      </c>
      <c r="OY6" s="7">
        <f>IFERROR(AVERAGEIF('Данные 2st'!$Q$2:$Q$317,$A6,'Данные 2st'!$JP$2:$JP$317),"")</f>
        <v>228.75</v>
      </c>
      <c r="OZ6" s="7">
        <f>IFERROR(AVERAGEIF('Данные 2st'!$Q$2:$Q$317,$A6,'Данные 2st'!$JQ$2:$JQ$317),"")</f>
        <v>271.25</v>
      </c>
      <c r="PA6" s="7">
        <f>IFERROR(AVERAGEIF('Данные 2st'!$Q$2:$Q$317,$A6,'Данные 2st'!$JR$2:$JR$317),"")</f>
        <v>345</v>
      </c>
      <c r="PB6" s="7">
        <f>IFERROR(AVERAGEIF('Данные 2st'!$Q$2:$Q$317,$A6,'Данные 2st'!$JS$2:$JS$317),"")</f>
        <v>277.5</v>
      </c>
      <c r="PC6" s="7">
        <f>IFERROR(AVERAGEIF('Данные 2st'!$Q$2:$Q$317,$A6,'Данные 2st'!$JT$2:$JT$317),"")</f>
        <v>0</v>
      </c>
      <c r="PD6" s="7">
        <f>IFERROR(AVERAGEIF('Данные 2st'!$Q$2:$Q$317,$A6,'Данные 2st'!$JU$2:$JU$317),"")</f>
        <v>0</v>
      </c>
      <c r="PE6" s="7">
        <f>IFERROR(AVERAGEIF('Данные 2st'!$Q$2:$Q$317,$A6,'Данные 2st'!$JV$2:$JV$317),"")</f>
        <v>335</v>
      </c>
      <c r="PF6" s="7">
        <f>IFERROR(AVERAGEIF('Данные 2st'!$Q$2:$Q$317,$A6,'Данные 2st'!$JW$2:$JW$317),"")</f>
        <v>337</v>
      </c>
      <c r="PG6" s="7">
        <f>IFERROR(AVERAGEIF('Данные 2st'!$Q$2:$Q$317,$A6,'Данные 2st'!$KF$2:$KF$317),"")</f>
        <v>0.16999999999999998</v>
      </c>
      <c r="PH6" s="7">
        <f>IFERROR(AVERAGEIF('Данные 2st'!$Q$2:$Q$317,$A6,'Данные 2st'!$KG$2:$KG$317),"")</f>
        <v>0.1</v>
      </c>
      <c r="PI6" s="7">
        <f>IFERROR(AVERAGEIF('Данные 2st'!$Q$2:$Q$317,$A6,'Данные 2st'!$KM$2:$KM$317),"")</f>
        <v>0.375</v>
      </c>
      <c r="PJ6" s="7">
        <f>IFERROR(AVERAGEIF('Данные 2st'!$Q$2:$Q$317,$A6,'Данные 2st'!$KN$2:$KN$317),"")</f>
        <v>1.175</v>
      </c>
      <c r="PK6" s="7">
        <f>IFERROR(AVERAGEIF('Данные 2st'!$Q$2:$Q$317,$A6,'Данные 2st'!$KO$2:$KO$317),"")</f>
        <v>0</v>
      </c>
      <c r="PL6" s="7">
        <f>IFERROR(AVERAGEIF('Данные 2st'!$Q$2:$Q$317,$A6,'Данные 2st'!$KP$2:$KP$317),"")</f>
        <v>0</v>
      </c>
      <c r="PM6" s="7">
        <f>IFERROR(AVERAGEIF('Данные 2st'!$Q$2:$Q$317,$A6,'Данные 2st'!$KQ$2:$KQ$317),"")</f>
        <v>0.825</v>
      </c>
      <c r="PN6" s="7">
        <f>IFERROR(AVERAGEIF('Данные 2st'!$Q$2:$Q$317,$A6,'Данные 2st'!$KR$2:$KR$317),"")</f>
        <v>0.95</v>
      </c>
      <c r="PO6" s="7">
        <f>IFERROR(AVERAGEIF('Данные 2st'!$Q$2:$Q$317,$A6,'Данные 2st'!$KS$2:$KS$317),"")</f>
        <v>0</v>
      </c>
      <c r="PP6" s="7">
        <f>IFERROR(AVERAGEIF('Данные 2st'!$Q$2:$Q$317,$A6,'Данные 2st'!$KT$2:$KT$317),"")</f>
        <v>2.0</v>
      </c>
      <c r="PQ6" s="7">
        <f>IFERROR(AVERAGEIF('Данные 2st'!$Q$2:$Q$317,$A6,'Данные 2st'!$KU$2:$KU$317),"")</f>
        <v>0</v>
      </c>
      <c r="PR6" s="7">
        <f>IFERROR(AVERAGEIF('Данные 2st'!$Q$2:$Q$317,$A6,'Данные 2st'!$KV$2:$KV$317),"")</f>
        <v>0</v>
      </c>
      <c r="PS6" s="7">
        <f>IFERROR(AVERAGEIF('Данные 2st'!$Q$2:$Q$317,$A6,'Данные 2st'!$KW$2:$KW$317),"")</f>
        <v>1.225</v>
      </c>
      <c r="PT6" s="7">
        <f>IFERROR(AVERAGEIF('Данные 2st'!$Q$2:$Q$317,$A6,'Данные 2st'!$KX$2:$KX$317),"")</f>
        <v>1.75</v>
      </c>
      <c r="PU6" s="7">
        <f>IFERROR(AVERAGEIF('Данные 2st'!$Q$2:$Q$317,$A6,'Данные 2st'!$KY$2:$KY$317),"")</f>
        <v>0.25</v>
      </c>
      <c r="PV6" s="7">
        <f>IFERROR(AVERAGEIF('Данные 2st'!$Q$2:$Q$317,$A6,'Данные 2st'!$KZ$2:$KZ$317),"")</f>
        <v>0</v>
      </c>
      <c r="PW6" s="7">
        <f>IFERROR(AVERAGEIF('Данные 2st'!$Q$2:$Q$317,$A6,'Данные 2st'!$LA$2:$LA$317),"")</f>
        <v>0</v>
      </c>
      <c r="PX6" s="7">
        <f>IFERROR(AVERAGEIF('Данные 2st'!$Q$2:$Q$317,$A6,'Данные 2st'!$LB$2:$LB$317),"")</f>
        <v>0</v>
      </c>
      <c r="PY6" s="7">
        <f>IFERROR(AVERAGEIF('Данные 2st'!$Q$2:$Q$317,$A6,'Данные 2st'!$LC$2:$LC$317),"")</f>
        <v>0</v>
      </c>
      <c r="PZ6" s="7">
        <f>IFERROR(AVERAGEIF('Данные 2st'!$Q$2:$Q$317,$A6,'Данные 2st'!$LD$2:$LD$317),"")</f>
        <v>0</v>
      </c>
      <c r="QA6" s="7">
        <f>IFERROR(AVERAGEIF('Данные 2st'!$Q$2:$Q$317,$A6,'Данные 2st'!$LE$2:$LE$317),"")</f>
        <v>0</v>
      </c>
      <c r="QB6" s="7">
        <f>IFERROR(AVERAGEIF('Данные 2st'!$Q$2:$Q$317,$A6,'Данные 2st'!$LF$2:$LF$317),"")</f>
        <v>0</v>
      </c>
      <c r="QC6" s="7">
        <f>IFERROR(AVERAGEIF('Данные 2st'!$Q$2:$Q$317,$A6,'Данные 2st'!$LG$2:$LG$317),"")</f>
        <v>0.25</v>
      </c>
      <c r="QD6" s="7">
        <f>IFERROR(AVERAGEIF('Данные 2st'!$Q$2:$Q$317,$A6,'Данные 2st'!$LH$2:$LH$317),"")</f>
        <v>3</v>
      </c>
      <c r="QE6" s="7">
        <f>IFERROR(AVERAGEIF('Данные 2st'!$Q$2:$Q$317,$A6,'Данные 2st'!$LJ$2:$LJ$317),"")</f>
        <v>0</v>
      </c>
      <c r="QF6" s="7">
        <f>IFERROR(AVERAGEIF('Данные 2st'!$Q$2:$Q$317,$A6,'Данные 2st'!$LK$2:$LK$317),"")</f>
        <v>4.5</v>
      </c>
      <c r="QG6" s="7">
        <f>IFERROR(AVERAGEIF('Данные 2st'!$Q$2:$Q$317,$A6,'Данные 2st'!$LL$2:$LL$317),"")</f>
        <v>6.5</v>
      </c>
      <c r="QH6" s="7">
        <f>IFERROR(AVERAGEIF('Данные 2st'!$Q$2:$Q$317,$A6,'Данные 2st'!$LM$2:$LM$317),"")</f>
        <v>5.5</v>
      </c>
      <c r="QI6" s="7">
        <f>IFERROR(AVERAGEIF('Данные 2st'!$Q$2:$Q$317,$A6,'Данные 2st'!$LN$2:$LN$317),"")</f>
        <v>0.525</v>
      </c>
      <c r="QJ6" s="7">
        <f>IFERROR(AVERAGEIF('Данные 2st'!$Q$2:$Q$317,$A6,'Данные 2st'!$LO$2:$LO$317),"")</f>
        <v>1.625</v>
      </c>
      <c r="QK6" s="7">
        <f>IFERROR(AVERAGEIF('Данные 2st'!$Q$2:$Q$317,$A6,'Данные 2st'!$LP$2:$LP$317),"")</f>
        <v>0</v>
      </c>
      <c r="QL6" s="7">
        <f>IFERROR(AVERAGEIF('Данные 2st'!$Q$2:$Q$317,$A6,'Данные 2st'!$LQ$2:$LQ$317),"")</f>
        <v>0</v>
      </c>
      <c r="QM6" s="7">
        <f>IFERROR(AVERAGEIF('Данные 2st'!$Q$2:$Q$317,$A6,'Данные 2st'!$LW$2:$LW$317),"")</f>
        <v>1.725</v>
      </c>
      <c r="QN6" s="7">
        <f>IFERROR(AVERAGEIF('Данные 2st'!$Q$2:$Q$317,$A6,'Данные 2st'!$LX$2:$LX$317),"")</f>
        <v>1.725</v>
      </c>
      <c r="QO6" s="7">
        <f>IFERROR(AVERAGEIF('Данные 2st'!$Q$2:$Q$317,$A6,'Данные 2st'!$LY$2:$LY$317),"")</f>
        <v>2.1</v>
      </c>
      <c r="QP6" s="7">
        <f>IFERROR(AVERAGEIF('Данные 2st'!$Q$2:$Q$317,$A6,'Данные 2st'!$LZ$2:$LZ$317),"")</f>
        <v>2.1</v>
      </c>
      <c r="QQ6" s="7">
        <f>IFERROR(AVERAGEIF('Данные 2st'!$Q$2:$Q$317,$A6,'Данные 2st'!$MB$2:$MB$317),"")</f>
        <v>5.25</v>
      </c>
      <c r="QR6" s="7">
        <f>IFERROR(AVERAGEIF('Данные 2st'!$Q$2:$Q$317,$A6,'Данные 2st'!$MG$2:$MG$317),"")</f>
        <v>10</v>
      </c>
      <c r="QS6" s="7">
        <f>IFERROR(AVERAGEIF('Данные 2st'!$Q$2:$Q$317,$A6,'Данные 2st'!$MH$2:$MH$317),"")</f>
        <v>10</v>
      </c>
      <c r="QT6" s="7">
        <f>IFERROR(AVERAGEIF('Данные 2st'!$Q$2:$Q$317,$A6,'Данные 2st'!$MI$2:$MI$317),"")</f>
        <v>0</v>
      </c>
      <c r="QU6" s="7">
        <f>IFERROR(AVERAGEIF('Данные 2st'!$Q$2:$Q$317,$A6,'Данные 2st'!$MJ$2:$MJ$317),"")</f>
        <v>0</v>
      </c>
      <c r="QV6" s="7">
        <f>IFERROR(AVERAGEIF('Данные 2st'!$Q$2:$Q$317,$A6,'Данные 2st'!$MK$2:$MK$317),"")</f>
        <v>0</v>
      </c>
      <c r="QW6" s="7">
        <f>IFERROR(AVERAGEIF('Данные 2st'!$Q$2:$Q$317,$A6,'Данные 2st'!$MM$2:$MM$317),"")</f>
        <v>341.5</v>
      </c>
      <c r="QX6" s="7">
        <f>IFERROR(AVERAGEIF('Данные 2st'!$Q$2:$Q$317,$A6,'Данные 2st'!$MQ$2:$MQ$317),"")</f>
        <v/>
      </c>
      <c r="QY6" s="7">
        <f>IFERROR(AVERAGEIF('Данные 2st'!$Q$2:$Q$317,$A6,'Данные 2st'!$MR$2:$MR$317),"")</f>
        <v/>
      </c>
      <c r="QZ6" s="7">
        <f>IFERROR(AVERAGEIF('Данные 2st'!$Q$2:$Q$317,$A6,'Данные 2st'!$MS$2:$MS$317),"")</f>
        <v/>
      </c>
      <c r="RA6" s="7">
        <f>IFERROR(AVERAGEIF('Данные 2st'!$Q$2:$Q$317,$A6,'Данные 2st'!$MT$2:$MT$317),"")</f>
        <v/>
      </c>
      <c r="RB6" s="7">
        <f>IFERROR(AVERAGEIF('Данные 2st'!$Q$2:$Q$317,$A6,'Данные 2st'!$MU$2:$MU$317),"")</f>
        <v/>
      </c>
      <c r="RC6" s="7">
        <f>IFERROR(AVERAGEIF('Данные 2st'!$Q$2:$Q$317,$A6,'Данные 2st'!$MV$2:$MV$317),"")</f>
        <v/>
      </c>
      <c r="RD6" s="7">
        <f>IFERROR(AVERAGEIF('Данные 2st'!$Q$2:$Q$317,$A6,'Данные 2st'!$MW$2:$MW$317),"")</f>
        <v/>
      </c>
      <c r="RE6" s="7">
        <f>IFERROR(AVERAGEIF('Данные 2st'!$Q$2:$Q$317,$A6,'Данные 2st'!$MX$2:$MX$317),"")</f>
        <v/>
      </c>
      <c r="RF6" s="7">
        <f>IFERROR(AVERAGEIF('Данные 2st'!$Q$2:$Q$317,$A6,'Данные 2st'!$MY$2:$MY$317),"")</f>
        <v/>
      </c>
      <c r="RG6" s="7">
        <f>IFERROR(AVERAGEIF('Данные 2st'!$Q$2:$Q$317,$A6,'Данные 2st'!$MZ$2:$MZ$317),"")</f>
        <v/>
      </c>
      <c r="RH6" s="7">
        <f>IFERROR(AVERAGEIF('Данные 2st'!$Q$2:$Q$317,$A6,'Данные 2st'!$NA$2:$NA$317),"")</f>
        <v/>
      </c>
      <c r="RI6" s="7">
        <f>IFERROR(AVERAGEIF('Данные 2st'!$Q$2:$Q$317,$A6,'Данные 2st'!$NB$2:$NB$317),"")</f>
        <v/>
      </c>
      <c r="RJ6" s="7">
        <f>IFERROR(AVERAGEIF('Данные 2st'!$Q$2:$Q$317,$A6,'Данные 2st'!$NC$2:$NC$317),"")</f>
        <v/>
      </c>
      <c r="RK6" s="7">
        <f>IFERROR(AVERAGEIF('Данные 2st'!$Q$2:$Q$317,$A6,'Данные 2st'!$ND$2:$ND$317),"")</f>
        <v/>
      </c>
      <c r="RL6" s="7">
        <f>IFERROR(AVERAGEIF('Данные 2st'!$Q$2:$Q$317,$A6,'Данные 2st'!$NE$2:$NE$317),"")</f>
        <v/>
      </c>
      <c r="RM6" s="7">
        <f>IFERROR(AVERAGEIF('Данные 2st'!$Q$2:$Q$317,$A6,'Данные 2st'!$NF$2:$NF$317),"")</f>
        <v/>
      </c>
      <c r="RN6" s="7">
        <f>IFERROR(AVERAGEIF('Данные 2st'!$Q$2:$Q$317,$A6,'Данные 2st'!$NG$2:$NG$317),"")</f>
        <v/>
      </c>
      <c r="RO6" s="7">
        <f>IFERROR(AVERAGEIF('Данные 2st'!$Q$2:$Q$317,$A6,'Данные 2st'!$NH$2:$NH$317),"")</f>
        <v>0</v>
      </c>
      <c r="RP6" s="7">
        <f>IFERROR(AVERAGEIF('Данные 2st'!$Q$2:$Q$317,$A6,'Данные 2st'!$NJ$2:$NJ$317),"")</f>
        <v>0</v>
      </c>
      <c r="RQ6" s="7">
        <f>IFERROR(AVERAGEIF('Данные 2st'!$Q$2:$Q$317,$A6,'Данные 2st'!$NK$2:$NK$317),"")</f>
        <v>0</v>
      </c>
      <c r="RR6" s="7">
        <f>IFERROR(AVERAGEIF('Данные 2st'!$Q$2:$Q$317,$A6,'Данные 2st'!$NM$2:$NM$317),"")</f>
        <v>0</v>
      </c>
      <c r="RS6" s="7">
        <f>IFERROR(AVERAGEIF('Данные 2st'!$Q$2:$Q$317,$A6,'Данные 2st'!$NN$2:$NN$317),"")</f>
        <v/>
      </c>
      <c r="RT6" s="7">
        <f>IFERROR(AVERAGEIF('Данные 2st'!$Q$2:$Q$317,$A6,'Данные 2st'!$NO$2:$NO$317),"")</f>
        <v/>
      </c>
      <c r="RU6" s="7">
        <f>IFERROR(AVERAGEIF('Данные 2st'!$Q$2:$Q$317,$A6,'Данные 2st'!$NP$2:$NP$317),"")</f>
        <v/>
      </c>
      <c r="RV6" s="7">
        <f>IFERROR(AVERAGEIF('Данные 2st'!$Q$2:$Q$317,$A6,'Данные 2st'!$NQ$2:$NQ$317),"")</f>
        <v/>
      </c>
      <c r="RW6" s="7">
        <f>IFERROR(AVERAGEIF('Данные 2st'!$Q$2:$Q$317,$A6,'Данные 2st'!$NR$2:$NR$317),"")</f>
        <v/>
      </c>
      <c r="RX6" s="7">
        <f>IFERROR(AVERAGEIF('Данные 2st'!$Q$2:$Q$317,$A6,'Данные 2st'!$NS$2:$NS$317),"")</f>
        <v/>
      </c>
      <c r="RY6" s="7">
        <f>IFERROR(AVERAGEIF('Данные 2st'!$Q$2:$Q$317,$A6,'Данные 2st'!$NT$2:$NT$317),"")</f>
        <v/>
      </c>
      <c r="RZ6" s="7">
        <f>IFERROR(AVERAGEIF('Данные 2st'!$Q$2:$Q$317,$A6,'Данные 2st'!$OK$2:$OK$317),"")</f>
        <v>61</v>
      </c>
      <c r="SA6" s="7">
        <f>IFERROR(AVERAGEIF('Данные 2st'!$Q$2:$Q$317,$A6,'Данные 2st'!$OL$2:$OL$317),"")</f>
        <v>61</v>
      </c>
      <c r="SB6" s="7">
        <f>IFERROR(AVERAGEIF('Данные 2st'!$Q$2:$Q$317,$A6,'Данные 2st'!$ON$2:$ON$317),"")</f>
        <v>3</v>
      </c>
      <c r="SC6" s="7">
        <f>IFERROR(AVERAGEIF('Данные 2st'!$Q$2:$Q$317,$A6,'Данные 2st'!$OO$2:$OO$317),"")</f>
        <v>1764.25</v>
      </c>
      <c r="SD6" s="7">
        <f>IFERROR(AVERAGEIF('Данные 2st'!$Q$2:$Q$317,$A6,'Данные 2st'!$OP$2:$OP$317),"")</f>
        <v>61</v>
      </c>
      <c r="SE6" s="7">
        <f>IFERROR(AVERAGEIF('Данные 2st'!$Q$2:$Q$317,$A6,'Данные 2st'!$OQ$2:$OQ$317),"")</f>
        <v>61</v>
      </c>
      <c r="SF6" s="7">
        <f>IFERROR(AVERAGEIF('Данные 2st'!$Q$2:$Q$317,$A6,'Данные 2st'!$OS$2:$OS$317),"")</f>
        <v>3</v>
      </c>
      <c r="SG6" s="7">
        <f>IFERROR(AVERAGEIF('Данные 2st'!$Q$2:$Q$317,$A6,'Данные 2st'!$OT$2:$OT$317),"")</f>
        <v>1771.25</v>
      </c>
      <c r="SH6" s="7">
        <f>IFERROR(AVERAGEIF('Данные 2st'!$Q$2:$Q$317,$A6,'Данные 2st'!$OU$2:$OU$317),"")</f>
        <v>65</v>
      </c>
      <c r="SI6" s="7">
        <f>IFERROR(AVERAGEIF('Данные 2st'!$Q$2:$Q$317,$A6,'Данные 2st'!$OV$2:$OV$317),"")</f>
        <v>65</v>
      </c>
      <c r="SJ6" s="7">
        <f>IFERROR(AVERAGEIF('Данные 2st'!$Q$2:$Q$317,$A6,'Данные 2st'!$OX$2:$OX$317),"")</f>
        <v>1.5</v>
      </c>
      <c r="SK6" s="7">
        <f>IFERROR(AVERAGEIF('Данные 2st'!$Q$2:$Q$317,$A6,'Данные 2st'!$OY$2:$OY$317),"")</f>
        <v>29459.75</v>
      </c>
      <c r="SL6" s="7">
        <f>IFERROR(AVERAGEIF('Данные 2st'!$Q$2:$Q$317,$A6,'Данные 2st'!$OZ$2:$OZ$317),"")</f>
        <v>51</v>
      </c>
      <c r="SM6" s="7">
        <f>IFERROR(AVERAGEIF('Данные 2st'!$Q$2:$Q$317,$A6,'Данные 2st'!$PA$2:$PA$317),"")</f>
        <v>51.5</v>
      </c>
      <c r="SN6" s="7">
        <f>IFERROR(AVERAGEIF('Данные 2st'!$Q$2:$Q$317,$A6,'Данные 2st'!$PC$2:$PC$317),"")</f>
        <v>3.5</v>
      </c>
      <c r="SO6" s="7">
        <f>IFERROR(AVERAGEIF('Данные 2st'!$Q$2:$Q$317,$A6,'Данные 2st'!$PD$2:$PD$317),"")</f>
        <v>1803</v>
      </c>
      <c r="SP6" s="7">
        <f>IFERROR(AVERAGEIF('Данные 2st'!$Q$2:$Q$317,$A6,'Данные 2st'!$PF$2:$PF$317),"")</f>
        <v>283</v>
      </c>
      <c r="SQ6" s="7">
        <f>IFERROR(AVERAGEIF('Данные 2st'!$Q$2:$Q$317,$A6,'Данные 2st'!$PG$2:$PG$317),"")</f>
        <v>29</v>
      </c>
      <c r="SR6" s="7">
        <f>IFERROR(AVERAGEIF('Данные 2st'!$Q$2:$Q$317,$A6,'Данные 2st'!$PH$2:$PH$317),"")</f>
        <v>265</v>
      </c>
      <c r="SS6" s="7">
        <f>IFERROR(AVERAGEIF('Данные 2st'!$Q$2:$Q$317,$A6,'Данные 2st'!$PI$2:$PI$317),"")</f>
        <v>29</v>
      </c>
      <c r="ST6" s="7">
        <f>IFERROR(AVERAGEIF('Данные 2st'!$Q$2:$Q$317,$A6,'Данные 2st'!$PJ$2:$PJ$317),"")</f>
        <v>61.525</v>
      </c>
      <c r="SU6" s="7">
        <f>IFERROR(AVERAGEIF('Данные 2st'!$Q$2:$Q$317,$A6,'Данные 2st'!$PK$2:$PK$317),"")</f>
        <v>1672</v>
      </c>
      <c r="SV6" s="7">
        <f>IFERROR(AVERAGEIF('Данные 2st'!$Q$2:$Q$317,$A6,'Данные 2st'!$PL$2:$PL$317),"")</f>
        <v>1013.95</v>
      </c>
      <c r="SW6" s="7">
        <f>IFERROR(AVERAGEIF('Данные 2st'!$Q$2:$Q$317,$A6,'Данные 2st'!$PM$2:$PM$317),"")</f>
        <v>510.925</v>
      </c>
      <c r="SX6" s="7">
        <f>IFERROR(AVERAGEIF('Данные 2st'!$Q$2:$Q$317,$A6,'Данные 2st'!$PN$2:$PN$317),"")</f>
        <v>78.975</v>
      </c>
      <c r="SY6" s="7">
        <f>IFERROR(AVERAGEIF('Данные 2st'!$Q$2:$Q$317,$A6,'Данные 2st'!$PO$2:$PO$317),"")</f>
        <v>9.4</v>
      </c>
      <c r="SZ6" s="7">
        <f>IFERROR(AVERAGEIF('Данные 2st'!$Q$2:$Q$317,$A6,'Данные 2st'!$PP$2:$PP$317),"")</f>
        <v>11.5</v>
      </c>
      <c r="TA6" s="7">
        <f>IFERROR(AVERAGEIF('Данные 2st'!$Q$2:$Q$317,$A6,'Данные 2st'!$PQ$2:$PQ$317),"")</f>
        <v>2</v>
      </c>
      <c r="TB6" s="7">
        <f>IFERROR(AVERAGEIF('Данные 2st'!$Q$2:$Q$317,$A6,'Данные 2st'!$PR$2:$PR$317),"")</f>
        <v>2</v>
      </c>
      <c r="TC6" s="7">
        <f>IFERROR(AVERAGEIF('Данные 2st'!$Q$2:$Q$317,$A6,'Данные 2st'!$PS$2:$PS$317),"")</f>
        <v>6</v>
      </c>
      <c r="TD6" s="7">
        <f>IFERROR(AVERAGEIF('Данные 2st'!$Q$2:$Q$317,$A6,'Данные 2st'!$PT$2:$PT$317),"")</f>
        <v>190.5</v>
      </c>
      <c r="TE6" s="7">
        <f>IFERROR(AVERAGEIF('Данные 2st'!$Q$2:$Q$317,$A6,'Данные 2st'!$PU$2:$PU$317),"")</f>
        <v>8.75</v>
      </c>
      <c r="TF6" s="7">
        <f>IFERROR(AVERAGEIF('Данные 2st'!$Q$2:$Q$317,$A6,'Данные 2st'!$PX$2:$PX$317),"")</f>
        <v>0</v>
      </c>
      <c r="TG6" s="7">
        <f>IFERROR(AVERAGEIF('Данные 2st'!$Q$2:$Q$317,$A6,'Данные 2st'!$PY$2:$PY$317),"")</f>
        <v>0</v>
      </c>
      <c r="TH6" s="7">
        <f>IFERROR(AVERAGEIF('Данные 2st'!$Q$2:$Q$317,$A6,'Данные 2st'!$PZ$2:$PZ$317),"")</f>
        <v>0</v>
      </c>
      <c r="TI6" s="7">
        <f>IFERROR(AVERAGEIF('Данные 2st'!$Q$2:$Q$317,$A6,'Данные 2st'!$QA$2:$QA$317),"")</f>
        <v>0</v>
      </c>
      <c r="TJ6" s="7">
        <f>IFERROR(AVERAGEIF('Данные 2st'!$Q$2:$Q$317,$A6,'Данные 2st'!$QB$2:$QB$317),"")</f>
        <v>0</v>
      </c>
      <c r="TK6" s="7">
        <f>IFERROR(AVERAGEIF('Данные 2st'!$Q$2:$Q$317,$A6,'Данные 2st'!$QC$2:$QC$317),"")</f>
        <v>0</v>
      </c>
      <c r="TL6" s="7">
        <f>IFERROR(AVERAGEIF('Данные 2st'!$Q$2:$Q$317,$A6,'Данные 2st'!$QD$2:$QD$317),"")</f>
        <v>0</v>
      </c>
      <c r="TM6" s="7">
        <f>IFERROR(AVERAGEIF('Данные 2st'!$Q$2:$Q$317,$A6,'Данные 2st'!$QE$2:$QE$317),"")</f>
        <v>-1</v>
      </c>
      <c r="TN6" s="7">
        <f>IFERROR(AVERAGEIF('Данные 2st'!$Q$2:$Q$317,$A6,'Данные 2st'!$QF$2:$QF$317),"")</f>
        <v>1</v>
      </c>
      <c r="TO6" s="7">
        <f>IFERROR(AVERAGEIF('Данные 2st'!$Q$2:$Q$317,$A6,'Данные 2st'!$QG$2:$QG$317),"")</f>
        <v>0</v>
      </c>
      <c r="TP6" s="7">
        <f>IFERROR(AVERAGEIF('Данные 2st'!$Q$2:$Q$317,$A6,'Данные 2st'!$QH$2:$QH$317),"")</f>
        <v>5</v>
      </c>
      <c r="TQ6" s="7">
        <f>IFERROR(AVERAGEIF('Данные 2st'!$Q$2:$Q$317,$A6,'Данные 2st'!$QI$2:$QI$317),"")</f>
        <v>5</v>
      </c>
      <c r="TR6" s="7">
        <f>IFERROR(AVERAGEIF('Данные 2st'!$Q$2:$Q$317,$A6,'Данные 2st'!$QJ$2:$QJ$317),"")</f>
        <v>5</v>
      </c>
      <c r="TS6" s="7">
        <f>IFERROR(AVERAGEIF('Данные 2st'!$Q$2:$Q$317,$A6,'Данные 2st'!$QK$2:$QK$317),"")</f>
        <v>156.25</v>
      </c>
      <c r="TT6" s="7">
        <f>IFERROR(AVERAGEIF('Данные 2st'!$Q$2:$Q$317,$A6,'Данные 2st'!$QL$2:$QL$317),"")</f>
        <v>357</v>
      </c>
      <c r="TU6" s="7">
        <f>IFERROR(AVERAGEIF('Данные 2st'!$Q$2:$Q$317,$A6,'Данные 2st'!$QM$2:$QM$317),"")</f>
        <v>7.5</v>
      </c>
      <c r="TV6" s="7">
        <f>IFERROR(AVERAGEIF('Данные 2st'!$Q$2:$Q$317,$A6,'Данные 2st'!$QN$2:$QN$317),"")</f>
        <v>1203.5</v>
      </c>
      <c r="TW6" s="7">
        <f>IFERROR(AVERAGEIF('Данные 2st'!$Q$2:$Q$317,$A6,'Данные 2st'!$QQ$2:$QQ$317),"")</f>
        <v>0</v>
      </c>
      <c r="TX6" s="7">
        <f>IFERROR(AVERAGEIF('Данные 2st'!$Q$2:$Q$317,$A6,'Данные 2st'!$QS$2:$QS$317),"")</f>
        <v>30</v>
      </c>
      <c r="TY6" s="7">
        <f>IFERROR(AVERAGEIF('Данные 2st'!$Q$2:$Q$317,$A6,'Данные 2st'!$QT$2:$QT$317),"")</f>
        <v>40</v>
      </c>
    </row>
    <row r="7" spans="1:545" ht="32" customHeight="1">
      <c r="A7" s="11" t="s">
        <v>1544</v>
      </c>
      <c r="B7">
        <f>COUNTIF('Данные 1st'!$S$2:$S$317,$A7)</f>
        <v>3</v>
      </c>
      <c r="C7" s="6" t="s">
        <v>5084</v>
      </c>
      <c r="D7" s="6" t="s">
        <v>513</v>
      </c>
      <c r="E7" s="6" t="s">
        <v>5125</v>
      </c>
      <c r="F7" s="6" t="s">
        <v>5131</v>
      </c>
      <c r="G7" s="7">
        <f>IFERROR(AVERAGEIF('Данные 1st'!$S$2:$S$317,$A7,'Данные 1st'!$AE$2:$AE$317),"")</f>
        <v>163</v>
      </c>
      <c r="H7" s="7">
        <f>IFERROR(AVERAGEIF('Данные 1st'!$S$2:$S$317,$A7,'Данные 1st'!$AF$2:$AF$317),"")</f>
        <v>1.5</v>
      </c>
      <c r="I7" s="7">
        <f>IFERROR(AVERAGEIF('Данные 1st'!$S$2:$S$317,$A7,'Данные 1st'!$AJ$2:$AJ$317),"")</f>
        <v>174.16666666666666</v>
      </c>
      <c r="J7" s="7">
        <f>IFERROR(AVERAGEIF('Данные 1st'!$S$2:$S$317,$A7,'Данные 1st'!$AL$2:$AL$317),"")</f>
        <v>1.5</v>
      </c>
      <c r="K7" s="7">
        <f>IFERROR(AVERAGEIF('Данные 1st'!$S$2:$S$317,$A7,'Данные 1st'!$AR$2:$AR$317),"")</f>
        <v>0</v>
      </c>
      <c r="L7" s="7">
        <f>IFERROR(AVERAGEIF('Данные 1st'!$S$2:$S$317,$A7,'Данные 1st'!$AS$2:$AS$317),"")</f>
        <v>1.5</v>
      </c>
      <c r="M7" s="7">
        <f>IFERROR(AVERAGEIF('Данные 1st'!$S$2:$S$317,$A7,'Данные 1st'!$AY$2:$AY$317),"")</f>
        <v>257.5</v>
      </c>
      <c r="N7" s="7">
        <f>IFERROR(AVERAGEIF('Данные 1st'!$S$2:$S$317,$A7,'Данные 1st'!$AZ$2:$AZ$317),"")</f>
        <v>1.5</v>
      </c>
      <c r="O7" s="7">
        <f>IFERROR(AVERAGEIF('Данные 1st'!$S$2:$S$317,$A7,'Данные 1st'!$BF$2:$BF$317),"")</f>
        <v/>
      </c>
      <c r="P7" s="7">
        <f>IFERROR(AVERAGEIF('Данные 1st'!$S$2:$S$317,$A7,'Данные 1st'!$BG$2:$BG$317),"")</f>
        <v>1.5</v>
      </c>
      <c r="Q7" s="7">
        <f>IFERROR(AVERAGEIF('Данные 1st'!$S$2:$S$317,$A7,'Данные 1st'!$BM$2:$BM$317),"")</f>
        <v/>
      </c>
      <c r="R7" s="7">
        <f>IFERROR(AVERAGEIF('Данные 1st'!$S$2:$S$317,$A7,'Данные 1st'!$BN$2:$BN$317),"")</f>
        <v>1.5</v>
      </c>
      <c r="S7" s="7">
        <f>IFERROR(AVERAGEIF('Данные 1st'!$S$2:$S$317,$A7,'Данные 1st'!$BT$2:$BT$317),"")</f>
        <v>185.66666666666666</v>
      </c>
      <c r="T7" s="7">
        <f>IFERROR(AVERAGEIF('Данные 1st'!$S$2:$S$317,$A7,'Данные 1st'!$BU$2:$BU$317),"")</f>
        <v>0.5</v>
      </c>
      <c r="U7" s="7">
        <f>IFERROR(AVERAGEIF('Данные 1st'!$S$2:$S$317,$A7,'Данные 1st'!$BW$2:$BW$317),"")</f>
        <v>371.3333333333333</v>
      </c>
      <c r="V7" s="7">
        <f>IFERROR(AVERAGEIF('Данные 1st'!$S$2:$S$317,$A7,'Данные 1st'!$BX$2:$BX$317),"")</f>
        <v>1</v>
      </c>
      <c r="W7" s="7">
        <f>IFERROR(AVERAGEIF('Данные 1st'!$S$2:$S$317,$A7,'Данные 1st'!$BZ$2:$BZ$317),"")</f>
        <v>300</v>
      </c>
      <c r="X7" s="7">
        <f>IFERROR(AVERAGEIF('Данные 1st'!$S$2:$S$317,$A7,'Данные 1st'!$CA$2:$CA$317),"")</f>
        <v>426.6666666666667</v>
      </c>
      <c r="Y7" s="7">
        <f>IFERROR(AVERAGEIF('Данные 1st'!$S$2:$S$317,$A7,'Данные 1st'!$CD$2:$CD$317),"")</f>
        <v>392.6666666666667</v>
      </c>
      <c r="Z7" s="7">
        <f>IFERROR(AVERAGEIF('Данные 1st'!$S$2:$S$317,$A7,'Данные 1st'!$CF$2:$CF$317),"")</f>
        <v>15</v>
      </c>
      <c r="AA7" s="7">
        <f>IFERROR(AVERAGEIF('Данные 1st'!$S$2:$S$317,$A7,'Данные 1st'!$CI$2:$CI$317),"")</f>
        <v>63.333333333333336</v>
      </c>
      <c r="AB7" s="7">
        <f>IFERROR(AVERAGEIF('Данные 1st'!$S$2:$S$317,$A7,'Данные 1st'!$CJ$2:$CJ$317),"")</f>
        <v>1050</v>
      </c>
      <c r="AC7" s="7">
        <f>IFERROR(AVERAGEIF('Данные 1st'!$S$2:$S$317,$A7,'Данные 1st'!$CK$2:$CK$317),"")</f>
        <v>2</v>
      </c>
      <c r="AD7" s="7">
        <f>IFERROR(AVERAGEIF('Данные 1st'!$S$2:$S$317,$A7,'Данные 1st'!$CL$2:$CL$317),"")</f>
        <v>1144</v>
      </c>
      <c r="AE7" s="7">
        <f>IFERROR(AVERAGEIF('Данные 1st'!$S$2:$S$317,$A7,'Данные 1st'!$CM$2:$CM$317),"")</f>
        <v>2</v>
      </c>
      <c r="AF7" s="7">
        <f>IFERROR(AVERAGEIF('Данные 1st'!$S$2:$S$317,$A7,'Данные 1st'!$CT$2:$CT$317),"")</f>
        <v>348.3333333333333</v>
      </c>
      <c r="AG7" s="7">
        <f>IFERROR(AVERAGEIF('Данные 1st'!$S$2:$S$317,$A7,'Данные 1st'!$CU$2:$CU$317),"")</f>
        <v>5</v>
      </c>
      <c r="AH7" s="7">
        <f>IFERROR(AVERAGEIF('Данные 1st'!$S$2:$S$317,$A7,'Данные 1st'!$CV$2:$CV$317),"")</f>
        <v>1.2</v>
      </c>
      <c r="AI7" s="7">
        <f>IFERROR(AVERAGEIF('Данные 1st'!$S$2:$S$317,$A7,'Данные 1st'!$CW$2:$CW$317),"")</f>
        <v>1064</v>
      </c>
      <c r="AJ7" s="7">
        <f>IFERROR(AVERAGEIF('Данные 1st'!$S$2:$S$317,$A7,'Данные 1st'!$CX$2:$CX$317),"")</f>
        <v>524.3333333333334</v>
      </c>
      <c r="AK7" s="7">
        <f>IFERROR(AVERAGEIF('Данные 1st'!$S$2:$S$317,$A7,'Данные 1st'!$CZ$2:$CZ$317),"")</f>
        <v/>
      </c>
      <c r="AL7" s="7">
        <f>IFERROR(AVERAGEIF('Данные 1st'!$S$2:$S$317,$A7,'Данные 1st'!$DA$2:$DA$317),"")</f>
        <v/>
      </c>
      <c r="AM7" s="7">
        <f>IFERROR(AVERAGEIF('Данные 1st'!$S$2:$S$317,$A7,'Данные 1st'!$DB$2:$DB$317),"")</f>
        <v/>
      </c>
      <c r="AN7" s="7">
        <f>IFERROR(AVERAGEIF('Данные 1st'!$S$2:$S$317,$A7,'Данные 1st'!$DC$2:$DC$317),"")</f>
        <v/>
      </c>
      <c r="AO7" s="7">
        <f>IFERROR(AVERAGEIF('Данные 1st'!$S$2:$S$317,$A7,'Данные 1st'!$DD$2:$DD$317),"")</f>
        <v>0</v>
      </c>
      <c r="AP7" s="7">
        <f>IFERROR(AVERAGEIF('Данные 1st'!$S$2:$S$317,$A7,'Данные 1st'!$DF$2:$DF$317),"")</f>
        <v>515</v>
      </c>
      <c r="AQ7" s="7">
        <f>IFERROR(AVERAGEIF('Данные 1st'!$S$2:$S$317,$A7,'Данные 1st'!$DG$2:$DG$317),"")</f>
        <v>3</v>
      </c>
      <c r="AR7" s="7">
        <f>IFERROR(AVERAGEIF('Данные 1st'!$S$2:$S$317,$A7,'Данные 1st'!$DH$2:$DH$317),"")</f>
        <v>1.18</v>
      </c>
      <c r="AS7" s="7">
        <f>IFERROR(AVERAGEIF('Данные 1st'!$S$2:$S$317,$A7,'Данные 1st'!$DI$2:$DI$317),"")</f>
        <v>1062</v>
      </c>
      <c r="AT7" s="7">
        <f>IFERROR(AVERAGEIF('Данные 1st'!$S$2:$S$317,$A7,'Данные 1st'!$DJ$2:$DJ$317),"")</f>
        <v>888.3333333333334</v>
      </c>
      <c r="AU7" s="7">
        <f>IFERROR(AVERAGEIF('Данные 1st'!$S$2:$S$317,$A7,'Данные 1st'!$DL$2:$DL$317),"")</f>
        <v/>
      </c>
      <c r="AV7" s="7">
        <f>IFERROR(AVERAGEIF('Данные 1st'!$S$2:$S$317,$A7,'Данные 1st'!$DM$2:$DM$317),"")</f>
        <v/>
      </c>
      <c r="AW7" s="7">
        <f>IFERROR(AVERAGEIF('Данные 1st'!$S$2:$S$317,$A7,'Данные 1st'!$DN$2:$DN$317),"")</f>
        <v/>
      </c>
      <c r="AX7" s="7">
        <f>IFERROR(AVERAGEIF('Данные 1st'!$S$2:$S$317,$A7,'Данные 1st'!$DO$2:$DO$317),"")</f>
        <v/>
      </c>
      <c r="AY7" s="7">
        <f>IFERROR(AVERAGEIF('Данные 1st'!$S$2:$S$317,$A7,'Данные 1st'!$DP$2:$DP$317),"")</f>
        <v/>
      </c>
      <c r="AZ7" s="7">
        <f>IFERROR(AVERAGEIF('Данные 1st'!$S$2:$S$317,$A7,'Данные 1st'!$DR$2:$DR$317),"")</f>
        <v/>
      </c>
      <c r="BA7" s="7">
        <f>IFERROR(AVERAGEIF('Данные 1st'!$S$2:$S$317,$A7,'Данные 1st'!$DS$2:$DS$317),"")</f>
        <v/>
      </c>
      <c r="BB7" s="7">
        <f>IFERROR(AVERAGEIF('Данные 1st'!$S$2:$S$317,$A7,'Данные 1st'!$DT$2:$DT$317),"")</f>
        <v/>
      </c>
      <c r="BC7" s="7">
        <f>IFERROR(AVERAGEIF('Данные 1st'!$S$2:$S$317,$A7,'Данные 1st'!$DU$2:$DU$317),"")</f>
        <v/>
      </c>
      <c r="BD7" s="7">
        <f>IFERROR(AVERAGEIF('Данные 1st'!$S$2:$S$317,$A7,'Данные 1st'!$DV$2:$DV$317),"")</f>
        <v/>
      </c>
      <c r="BE7" s="7">
        <f>IFERROR(AVERAGEIF('Данные 1st'!$S$2:$S$317,$A7,'Данные 1st'!$DX$2:$DX$317),"")</f>
        <v>7.5</v>
      </c>
      <c r="BF7" s="7">
        <f>IFERROR(AVERAGEIF('Данные 1st'!$S$2:$S$317,$A7,'Данные 1st'!$EA$2:$EA$317),"")</f>
        <v>1123.5333333333333</v>
      </c>
      <c r="BG7" s="7">
        <f>IFERROR(AVERAGEIF('Данные 1st'!$S$2:$S$317,$A7,'Данные 1st'!$EB$2:$EB$317),"")</f>
        <v>147</v>
      </c>
      <c r="BH7" s="7">
        <f>IFERROR(AVERAGEIF('Данные 1st'!$S$2:$S$317,$A7,'Данные 1st'!$ED$2:$ED$317),"")</f>
        <v>35</v>
      </c>
      <c r="BI7" s="7">
        <f>IFERROR(AVERAGEIF('Данные 1st'!$S$2:$S$317,$A7,'Данные 1st'!$EE$2:$EE$317),"")</f>
        <v>3</v>
      </c>
      <c r="BJ7" s="7">
        <f>IFERROR(AVERAGEIF('Данные 1st'!$S$2:$S$317,$A7,'Данные 1st'!$EG$2:$EG$317),"")</f>
        <v>1154.3333333333333</v>
      </c>
      <c r="BK7" s="7">
        <f>IFERROR(AVERAGEIF('Данные 1st'!$S$2:$S$317,$A7,'Данные 1st'!$EH$2:$EH$317),"")</f>
        <v>160.66666666666666</v>
      </c>
      <c r="BL7" s="7">
        <f>IFERROR(AVERAGEIF('Данные 1st'!$S$2:$S$317,$A7,'Данные 1st'!$EJ$2:$EJ$317),"")</f>
        <v>0</v>
      </c>
      <c r="BM7" s="7">
        <f>IFERROR(AVERAGEIF('Данные 1st'!$S$2:$S$317,$A7,'Данные 1st'!$EK$2:$EK$317),"")</f>
        <v>1</v>
      </c>
      <c r="BN7" s="7">
        <f>IFERROR(AVERAGEIF('Данные 1st'!$S$2:$S$317,$A7,'Данные 1st'!$EN$2:$EN$317),"")</f>
        <v>0</v>
      </c>
      <c r="BO7" s="7">
        <f>IFERROR(AVERAGEIF('Данные 1st'!$S$2:$S$317,$A7,'Данные 1st'!$EQ$2:$EQ$317),"")</f>
        <v>100.33333333333333</v>
      </c>
      <c r="BP7" s="7">
        <f>IFERROR(AVERAGEIF('Данные 1st'!$S$2:$S$317,$A7,'Данные 1st'!$ER$2:$ER$317),"")</f>
        <v>3</v>
      </c>
      <c r="BQ7" s="7">
        <f>IFERROR(AVERAGEIF('Данные 1st'!$S$2:$S$317,$A7,'Данные 1st'!$ES$2:$ES$317),"")</f>
        <v>5.466666666666667</v>
      </c>
      <c r="BR7" s="7">
        <f>IFERROR(AVERAGEIF('Данные 1st'!$S$2:$S$317,$A7,'Данные 1st'!$ET$2:$ET$317),"")</f>
        <v>1048</v>
      </c>
      <c r="BS7" s="7">
        <f>IFERROR(AVERAGEIF('Данные 1st'!$S$2:$S$317,$A7,'Данные 1st'!$EU$2:$EU$317),"")</f>
        <v>425.3666666666667</v>
      </c>
      <c r="BT7" s="7">
        <f>IFERROR(AVERAGEIF('Данные 1st'!$S$2:$S$317,$A7,'Данные 1st'!$EV$2:$EV$317),"")</f>
        <v>445.6666666666667</v>
      </c>
      <c r="BU7" s="7">
        <f>IFERROR(AVERAGEIF('Данные 1st'!$S$2:$S$317,$A7,'Данные 1st'!$EX$2:$EX$317),"")</f>
        <v>69.66666666666667</v>
      </c>
      <c r="BV7" s="7">
        <f>IFERROR(AVERAGEIF('Данные 1st'!$S$2:$S$317,$A7,'Данные 1st'!$EY$2:$EY$317),"")</f>
        <v>2</v>
      </c>
      <c r="BW7" s="7">
        <f>IFERROR(AVERAGEIF('Данные 1st'!$S$2:$S$317,$A7,'Данные 1st'!$EZ$2:$EZ$317),"")</f>
        <v>4.166666666666667</v>
      </c>
      <c r="BX7" s="7">
        <f>IFERROR(AVERAGEIF('Данные 1st'!$S$2:$S$317,$A7,'Данные 1st'!$FA$2:$FA$317),"")</f>
        <v>1048</v>
      </c>
      <c r="BY7" s="7">
        <f>IFERROR(AVERAGEIF('Данные 1st'!$S$2:$S$317,$A7,'Данные 1st'!$FB$2:$FB$317),"")</f>
        <v>208.0</v>
      </c>
      <c r="BZ7" s="7">
        <f>IFERROR(AVERAGEIF('Данные 1st'!$S$2:$S$317,$A7,'Данные 1st'!$FC$2:$FC$317),"")</f>
        <v>218</v>
      </c>
      <c r="CA7" s="7">
        <f>IFERROR(AVERAGEIF('Данные 1st'!$S$2:$S$317,$A7,'Данные 1st'!$FE$2:$FE$317),"")</f>
        <v>0</v>
      </c>
      <c r="CB7" s="7">
        <f>IFERROR(AVERAGEIF('Данные 1st'!$S$2:$S$317,$A7,'Данные 1st'!$FF$2:$FF$317),"")</f>
        <v>2</v>
      </c>
      <c r="CC7" s="7">
        <f>IFERROR(AVERAGEIF('Данные 1st'!$S$2:$S$317,$A7,'Данные 1st'!$FI$2:$FI$317),"")</f>
        <v>0</v>
      </c>
      <c r="CD7" s="7">
        <f>IFERROR(AVERAGEIF('Данные 1st'!$S$2:$S$317,$A7,'Данные 1st'!$FL$2:$FL$317),"")</f>
        <v>0.4</v>
      </c>
      <c r="CE7" s="7">
        <f>IFERROR(AVERAGEIF('Данные 1st'!$S$2:$S$317,$A7,'Данные 1st'!$FM$2:$FM$317),"")</f>
        <v>91.66666666666667</v>
      </c>
      <c r="CF7" s="7">
        <f>IFERROR(AVERAGEIF('Данные 1st'!$S$2:$S$317,$A7,'Данные 1st'!$FN$2:$FN$317),"")</f>
        <v>93.33333333333333</v>
      </c>
      <c r="CG7" s="7">
        <f>IFERROR(AVERAGEIF('Данные 1st'!$S$2:$S$317,$A7,'Данные 1st'!$FO$2:$FO$317),"")</f>
        <v/>
      </c>
      <c r="CH7" s="7">
        <f>IFERROR(AVERAGEIF('Данные 1st'!$S$2:$S$317,$A7,'Данные 1st'!$FP$2:$FP$317),"")</f>
        <v/>
      </c>
      <c r="CI7" s="7">
        <f>IFERROR(AVERAGEIF('Данные 1st'!$S$2:$S$317,$A7,'Данные 1st'!$FS$2:$FS$317),"")</f>
        <v>0.4</v>
      </c>
      <c r="CJ7" s="7">
        <f>IFERROR(AVERAGEIF('Данные 1st'!$S$2:$S$317,$A7,'Данные 1st'!$FT$2:$FT$317),"")</f>
        <v>30</v>
      </c>
      <c r="CK7" s="7">
        <f>IFERROR(AVERAGEIF('Данные 1st'!$S$2:$S$317,$A7,'Данные 1st'!$FU$2:$FU$317),"")</f>
        <v>290</v>
      </c>
      <c r="CL7" s="7">
        <f>IFERROR(AVERAGEIF('Данные 1st'!$S$2:$S$317,$A7,'Данные 1st'!$FV$2:$FV$317),"")</f>
        <v>30</v>
      </c>
      <c r="CM7" s="7">
        <f>IFERROR(AVERAGEIF('Данные 1st'!$S$2:$S$317,$A7,'Данные 1st'!$FW$2:$FW$317),"")</f>
        <v>210</v>
      </c>
      <c r="CN7" s="7">
        <f>IFERROR(AVERAGEIF('Данные 1st'!$S$2:$S$317,$A7,'Данные 1st'!$FZ$2:$FZ$317),"")</f>
        <v>1</v>
      </c>
      <c r="CO7" s="7">
        <f>IFERROR(AVERAGEIF('Данные 1st'!$S$2:$S$317,$A7,'Данные 1st'!$GA$2:$GA$317),"")</f>
        <v>20</v>
      </c>
      <c r="CP7" s="7">
        <f>IFERROR(AVERAGEIF('Данные 1st'!$S$2:$S$317,$A7,'Данные 1st'!$GB$2:$GB$317),"")</f>
        <v>130</v>
      </c>
      <c r="CQ7" s="7">
        <f>IFERROR(AVERAGEIF('Данные 1st'!$S$2:$S$317,$A7,'Данные 1st'!$GH$2:$GH$317),"")</f>
        <v>1</v>
      </c>
      <c r="CR7" s="7">
        <f>IFERROR(AVERAGEIF('Данные 1st'!$S$2:$S$317,$A7,'Данные 1st'!$GI$2:$GI$317),"")</f>
        <v>20</v>
      </c>
      <c r="CS7" s="7">
        <f>IFERROR(AVERAGEIF('Данные 1st'!$S$2:$S$317,$A7,'Данные 1st'!$GJ$2:$GJ$317),"")</f>
        <v>130</v>
      </c>
      <c r="CT7" s="7">
        <f>IFERROR(AVERAGEIF('Данные 1st'!$S$2:$S$317,$A7,'Данные 1st'!$GS$2:$GS$317),"")</f>
        <v/>
      </c>
      <c r="CU7" s="7">
        <f>IFERROR(AVERAGEIF('Данные 1st'!$S$2:$S$317,$A7,'Данные 1st'!$GT$2:$GT$317),"")</f>
        <v/>
      </c>
      <c r="CV7" s="7">
        <f>IFERROR(AVERAGEIF('Данные 1st'!$S$2:$S$317,$A7,'Данные 1st'!$GU$2:$GU$317),"")</f>
        <v/>
      </c>
      <c r="CW7" s="7">
        <f>IFERROR(AVERAGEIF('Данные 1st'!$S$2:$S$317,$A7,'Данные 1st'!$GV$2:$GV$317),"")</f>
        <v/>
      </c>
      <c r="CX7" s="7">
        <f>IFERROR(AVERAGEIF('Данные 1st'!$S$2:$S$317,$A7,'Данные 1st'!$GW$2:$GW$317),"")</f>
        <v/>
      </c>
      <c r="CY7" s="7">
        <f>IFERROR(AVERAGEIF('Данные 1st'!$S$2:$S$317,$A7,'Данные 1st'!$GZ$2:$GZ$317),"")</f>
        <v/>
      </c>
      <c r="CZ7" s="7">
        <f>IFERROR(AVERAGEIF('Данные 1st'!$S$2:$S$317,$A7,'Данные 1st'!$HA$2:$HA$317),"")</f>
        <v/>
      </c>
      <c r="DA7" s="7">
        <f>IFERROR(AVERAGEIF('Данные 1st'!$S$2:$S$317,$A7,'Данные 1st'!$HB$2:$HB$317),"")</f>
        <v/>
      </c>
      <c r="DB7" s="7">
        <f>IFERROR(AVERAGEIF('Данные 1st'!$S$2:$S$317,$A7,'Данные 1st'!$HC$2:$HC$317),"")</f>
        <v>0.1</v>
      </c>
      <c r="DC7" s="7">
        <f>IFERROR(AVERAGEIF('Данные 1st'!$S$2:$S$317,$A7,'Данные 1st'!$HD$2:$HD$317),"")</f>
        <v>3</v>
      </c>
      <c r="DD7" s="7">
        <f>IFERROR(AVERAGEIF('Данные 1st'!$S$2:$S$317,$A7,'Данные 1st'!$HE$2:$HE$317),"")</f>
        <v>3</v>
      </c>
      <c r="DE7" s="7">
        <f>IFERROR(AVERAGEIF('Данные 1st'!$S$2:$S$317,$A7,'Данные 1st'!$HF$2:$HF$317),"")</f>
        <v>3</v>
      </c>
      <c r="DF7" s="7">
        <f>IFERROR(AVERAGEIF('Данные 1st'!$S$2:$S$317,$A7,'Данные 1st'!$HG$2:$HG$317),"")</f>
        <v>3</v>
      </c>
      <c r="DG7" s="7">
        <f>IFERROR(AVERAGEIF('Данные 1st'!$S$2:$S$317,$A7,'Данные 1st'!$HH$2:$HH$317),"")</f>
        <v>3</v>
      </c>
      <c r="DH7" s="7">
        <f>IFERROR(AVERAGEIF('Данные 1st'!$S$2:$S$317,$A7,'Данные 1st'!$HI$2:$HI$317),"")</f>
        <v>155</v>
      </c>
      <c r="DI7" s="7">
        <f>IFERROR(AVERAGEIF('Данные 1st'!$S$2:$S$317,$A7,'Данные 1st'!$HJ$2:$HJ$317),"")</f>
        <v>3</v>
      </c>
      <c r="DJ7" s="7">
        <f>IFERROR(AVERAGEIF('Данные 1st'!$S$2:$S$317,$A7,'Данные 1st'!$HK$2:$HK$317),"")</f>
        <v>54.666666666666664</v>
      </c>
      <c r="DK7" s="7">
        <f>IFERROR(AVERAGEIF('Данные 1st'!$S$2:$S$317,$A7,'Данные 1st'!$HL$2:$HL$317),"")</f>
        <v>2</v>
      </c>
      <c r="DL7" s="7">
        <f>IFERROR(AVERAGEIF('Данные 1st'!$S$2:$S$317,$A7,'Данные 1st'!$HM$2:$HM$317),"")</f>
        <v>0</v>
      </c>
      <c r="DM7" s="7">
        <f>IFERROR(AVERAGEIF('Данные 1st'!$S$2:$S$317,$A7,'Данные 1st'!$HN$2:$HN$317),"")</f>
        <v>2</v>
      </c>
      <c r="DN7" s="7">
        <f>IFERROR(AVERAGEIF('Данные 1st'!$S$2:$S$317,$A7,'Данные 1st'!$HO$2:$HO$317),"")</f>
        <v>85.33333333333333</v>
      </c>
      <c r="DO7" s="7">
        <f>IFERROR(AVERAGEIF('Данные 1st'!$S$2:$S$317,$A7,'Данные 1st'!$HP$2:$HP$317),"")</f>
        <v>3</v>
      </c>
      <c r="DP7" s="7">
        <f>IFERROR(AVERAGEIF('Данные 1st'!$S$2:$S$317,$A7,'Данные 1st'!$HQ$2:$HQ$317),"")</f>
        <v>0</v>
      </c>
      <c r="DQ7" s="7">
        <f>IFERROR(AVERAGEIF('Данные 1st'!$S$2:$S$317,$A7,'Данные 1st'!$HR$2:$HR$317),"")</f>
        <v>2</v>
      </c>
      <c r="DR7" s="7">
        <f>IFERROR(AVERAGEIF('Данные 1st'!$S$2:$S$317,$A7,'Данные 1st'!$HS$2:$HS$317),"")</f>
        <v>3355.3333333333335</v>
      </c>
      <c r="DS7" s="7">
        <f>IFERROR(AVERAGEIF('Данные 1st'!$S$2:$S$317,$A7,'Данные 1st'!$HT$2:$HT$317),"")</f>
        <v>100</v>
      </c>
      <c r="DT7" s="7">
        <f>IFERROR(AVERAGEIF('Данные 1st'!$S$2:$S$317,$A7,'Данные 1st'!$HU$2:$HU$317),"")</f>
        <v>180</v>
      </c>
      <c r="DU7" s="7">
        <f>IFERROR(AVERAGEIF('Данные 1st'!$S$2:$S$317,$A7,'Данные 1st'!$HW$2:$HW$317),"")</f>
        <v>0</v>
      </c>
      <c r="DV7" s="7">
        <f>IFERROR(AVERAGEIF('Данные 1st'!$S$2:$S$317,$A7,'Данные 1st'!$HX$2:$HX$317),"")</f>
        <v>428.6666666666667</v>
      </c>
      <c r="DW7" s="7">
        <f>IFERROR(AVERAGEIF('Данные 1st'!$S$2:$S$317,$A7,'Данные 1st'!$HY$2:$HY$317),"")</f>
        <v>0.18</v>
      </c>
      <c r="DX7" s="7">
        <f>IFERROR(AVERAGEIF('Данные 1st'!$S$2:$S$317,$A7,'Данные 1st'!$IA$2:$IA$317),"")</f>
        <v>0.15</v>
      </c>
      <c r="DY7" s="7">
        <f>IFERROR(AVERAGEIF('Данные 1st'!$S$2:$S$317,$A7,'Данные 1st'!$IB$2:$IB$317),"")</f>
        <v>0</v>
      </c>
      <c r="DZ7" s="7">
        <f>IFERROR(AVERAGEIF('Данные 1st'!$S$2:$S$317,$A7,'Данные 1st'!$IC$2:$IC$317),"")</f>
        <v>180</v>
      </c>
      <c r="EA7" s="7">
        <f>IFERROR(AVERAGEIF('Данные 1st'!$S$2:$S$317,$A7,'Данные 1st'!$ID$2:$ID$317),"")</f>
        <v>110</v>
      </c>
      <c r="EB7" s="7">
        <f>IFERROR(AVERAGEIF('Данные 1st'!$S$2:$S$317,$A7,'Данные 1st'!$IE$2:$IE$317),"")</f>
        <v>0</v>
      </c>
      <c r="EC7" s="7">
        <f>IFERROR(AVERAGEIF('Данные 1st'!$S$2:$S$317,$A7,'Данные 1st'!$IF$2:$IF$317),"")</f>
        <v>0</v>
      </c>
      <c r="ED7" s="7">
        <f>IFERROR(AVERAGEIF('Данные 1st'!$S$2:$S$317,$A7,'Данные 1st'!$IP$2:$IP$317),"")</f>
        <v>14</v>
      </c>
      <c r="EE7" s="7">
        <f>IFERROR(AVERAGEIF('Данные 1st'!$S$2:$S$317,$A7,'Данные 1st'!$IV$2:$IV$317),"")</f>
        <v>1050</v>
      </c>
      <c r="EF7" s="7">
        <f>IFERROR(AVERAGEIF('Данные 1st'!$S$2:$S$317,$A7,'Данные 1st'!$IW$2:$IW$317),"")</f>
        <v>371.3333333333333</v>
      </c>
      <c r="EG7" s="7">
        <f>IFERROR(AVERAGEIF('Данные 1st'!$S$2:$S$317,$A7,'Данные 1st'!$IX$2:$IX$317),"")</f>
        <v/>
      </c>
      <c r="EH7" s="7">
        <f>IFERROR(AVERAGEIF('Данные 1st'!$S$2:$S$317,$A7,'Данные 1st'!$IY$2:$IY$317),"")</f>
        <v/>
      </c>
      <c r="EI7" s="7">
        <f>IFERROR(AVERAGEIF('Данные 1st'!$S$2:$S$317,$A7,'Данные 1st'!$JD$2:$JD$317),"")</f>
        <v>1064</v>
      </c>
      <c r="EJ7" s="7">
        <f>IFERROR(AVERAGEIF('Данные 1st'!$S$2:$S$317,$A7,'Данные 1st'!$JE$2:$JE$317),"")</f>
        <v>1062</v>
      </c>
      <c r="EK7" s="7">
        <f>IFERROR(AVERAGEIF('Данные 1st'!$S$2:$S$317,$A7,'Данные 1st'!$JF$2:$JF$317),"")</f>
        <v>0</v>
      </c>
      <c r="EL7" s="7">
        <f>IFERROR(AVERAGEIF('Данные 1st'!$S$2:$S$317,$A7,'Данные 1st'!$JG$2:$JG$317),"")</f>
        <v>1048</v>
      </c>
      <c r="EM7" s="7">
        <f>IFERROR(AVERAGEIF('Данные 1st'!$S$2:$S$317,$A7,'Данные 1st'!$JH$2:$JH$317),"")</f>
        <v>0</v>
      </c>
      <c r="EN7" s="7">
        <f>IFERROR(AVERAGEIF('Данные 1st'!$S$2:$S$317,$A7,'Данные 1st'!$JJ$2:$JJ$317),"")</f>
        <v>180</v>
      </c>
      <c r="EO7" s="7">
        <f>IFERROR(AVERAGEIF('Данные 1st'!$S$2:$S$317,$A7,'Данные 1st'!$JK$2:$JK$317),"")</f>
        <v>428.6666666666667</v>
      </c>
      <c r="EP7" s="7">
        <f>IFERROR(AVERAGEIF('Данные 1st'!$S$2:$S$317,$A7,'Данные 1st'!$JL$2:$JL$317),"")</f>
        <v/>
      </c>
      <c r="EQ7" s="7">
        <f>IFERROR(AVERAGEIF('Данные 1st'!$S$2:$S$317,$A7,'Данные 1st'!$JM$2:$JM$317),"")</f>
        <v/>
      </c>
      <c r="ER7" s="7">
        <f>IFERROR(AVERAGEIF('Данные 1st'!$S$2:$S$317,$A7,'Данные 1st'!$JN$2:$JN$317),"")</f>
        <v>348.3333333333333</v>
      </c>
      <c r="ES7" s="7">
        <f>IFERROR(AVERAGEIF('Данные 1st'!$S$2:$S$317,$A7,'Данные 1st'!$JO$2:$JO$317),"")</f>
        <v>515</v>
      </c>
      <c r="ET7" s="7">
        <f>IFERROR(AVERAGEIF('Данные 1st'!$S$2:$S$317,$A7,'Данные 1st'!$JP$2:$JP$317),"")</f>
        <v>0</v>
      </c>
      <c r="EU7" s="7">
        <f>IFERROR(AVERAGEIF('Данные 1st'!$S$2:$S$317,$A7,'Данные 1st'!$JQ$2:$JQ$317),"")</f>
        <v>0</v>
      </c>
      <c r="EV7" s="7">
        <f>IFERROR(AVERAGEIF('Данные 1st'!$S$2:$S$317,$A7,'Данные 1st'!$JR$2:$JR$317),"")</f>
        <v>326</v>
      </c>
      <c r="EW7" s="7">
        <f>IFERROR(AVERAGEIF('Данные 1st'!$S$2:$S$317,$A7,'Данные 1st'!$JS$2:$JS$317),"")</f>
        <v>155</v>
      </c>
      <c r="EX7" s="7">
        <f>IFERROR(AVERAGEIF('Данные 1st'!$S$2:$S$317,$A7,'Данные 1st'!$JT$2:$JT$317),"")</f>
        <v/>
      </c>
      <c r="EY7" s="7">
        <f>IFERROR(AVERAGEIF('Данные 1st'!$S$2:$S$317,$A7,'Данные 1st'!$JU$2:$JU$317),"")</f>
        <v/>
      </c>
      <c r="EZ7" s="7">
        <f>IFERROR(AVERAGEIF('Данные 1st'!$S$2:$S$317,$A7,'Данные 1st'!$JV$2:$JV$317),"")</f>
        <v>8</v>
      </c>
      <c r="FA7" s="7">
        <f>IFERROR(AVERAGEIF('Данные 1st'!$S$2:$S$317,$A7,'Данные 1st'!$JW$2:$JW$317),"")</f>
        <v/>
      </c>
      <c r="FB7" s="7">
        <f>IFERROR(AVERAGEIF('Данные 1st'!$S$2:$S$317,$A7,'Данные 1st'!$JX$2:$JX$317),"")</f>
        <v>0</v>
      </c>
      <c r="FC7" s="7">
        <f>IFERROR(AVERAGEIF('Данные 1st'!$S$2:$S$317,$A7,'Данные 1st'!$JY$2:$JY$317),"")</f>
        <v/>
      </c>
      <c r="FD7" s="7">
        <f>IFERROR(AVERAGEIF('Данные 1st'!$S$2:$S$317,$A7,'Данные 1st'!$JZ$2:$JZ$317),"")</f>
        <v/>
      </c>
      <c r="FE7" s="7">
        <f>IFERROR(AVERAGEIF('Данные 1st'!$S$2:$S$317,$A7,'Данные 1st'!$KA$2:$KA$317),"")</f>
        <v>0</v>
      </c>
      <c r="FF7" s="7">
        <f>IFERROR(AVERAGEIF('Данные 1st'!$S$2:$S$317,$A7,'Данные 1st'!$KB$2:$KB$317),"")</f>
        <v>110</v>
      </c>
      <c r="FG7" s="7">
        <f>IFERROR(AVERAGEIF('Данные 1st'!$S$2:$S$317,$A7,'Данные 1st'!$KC$2:$KC$317),"")</f>
        <v>0</v>
      </c>
      <c r="FH7" s="7">
        <f>IFERROR(AVERAGEIF('Данные 1st'!$S$2:$S$317,$A7,'Данные 1st'!$KD$2:$KD$317),"")</f>
        <v>80</v>
      </c>
      <c r="FI7" s="7">
        <f>IFERROR(AVERAGEIF('Данные 1st'!$S$2:$S$317,$A7,'Данные 1st'!$KE$2:$KE$317),"")</f>
        <v/>
      </c>
      <c r="FJ7" s="7">
        <f>IFERROR(AVERAGEIF('Данные 1st'!$S$2:$S$317,$A7,'Данные 1st'!$KF$2:$KF$317),"")</f>
        <v>3.6666666666666665</v>
      </c>
      <c r="FK7" s="7">
        <f>IFERROR(AVERAGEIF('Данные 1st'!$S$2:$S$317,$A7,'Данные 1st'!$KG$2:$KG$317),"")</f>
        <v>2.3333333333333335</v>
      </c>
      <c r="FL7" s="7">
        <f>IFERROR(AVERAGEIF('Данные 1st'!$S$2:$S$317,$A7,'Данные 1st'!$KH$2:$KH$317),"")</f>
        <v>2</v>
      </c>
      <c r="FM7" s="7">
        <f>IFERROR(AVERAGEIF('Данные 1st'!$S$2:$S$317,$A7,'Данные 1st'!$KI$2:$KI$317),"")</f>
        <v>2</v>
      </c>
      <c r="FN7" s="7">
        <f>IFERROR(AVERAGEIF('Данные 1st'!$S$2:$S$317,$A7,'Данные 1st'!$KJ$2:$KJ$317),"")</f>
        <v>0</v>
      </c>
      <c r="FO7" s="7">
        <f>IFERROR(AVERAGEIF('Данные 1st'!$S$2:$S$317,$A7,'Данные 1st'!$KK$2:$KK$317),"")</f>
        <v>1.5</v>
      </c>
      <c r="FP7" s="7">
        <f>IFERROR(AVERAGEIF('Данные 1st'!$S$2:$S$317,$A7,'Данные 1st'!$KL$2:$KL$317),"")</f>
        <v>1.5</v>
      </c>
      <c r="FQ7" s="7">
        <f>IFERROR(AVERAGEIF('Данные 1st'!$S$2:$S$317,$A7,'Данные 1st'!$KM$2:$KM$317),"")</f>
        <v>0</v>
      </c>
      <c r="FR7" s="7">
        <f>IFERROR(AVERAGEIF('Данные 1st'!$S$2:$S$317,$A7,'Данные 1st'!$KN$2:$KN$317),"")</f>
        <v>0</v>
      </c>
      <c r="FS7" s="7">
        <f>IFERROR(AVERAGEIF('Данные 1st'!$S$2:$S$317,$A7,'Данные 1st'!$KR$2:$KR$317),"")</f>
        <v>50</v>
      </c>
      <c r="FT7" s="7">
        <f>IFERROR(AVERAGEIF('Данные 1st'!$S$2:$S$317,$A7,'Данные 1st'!$KS$2:$KS$317),"")</f>
        <v>60</v>
      </c>
      <c r="FU7" s="7">
        <f>IFERROR(AVERAGEIF('Данные 1st'!$S$2:$S$317,$A7,'Данные 1st'!$KT$2:$KT$317),"")</f>
        <v>0</v>
      </c>
      <c r="FV7" s="7">
        <f>IFERROR(AVERAGEIF('Данные 1st'!$S$2:$S$317,$A7,'Данные 1st'!$KV$2:$KV$317),"")</f>
        <v/>
      </c>
      <c r="FW7" s="7">
        <f>IFERROR(AVERAGEIF('Данные 1st'!$S$2:$S$317,$A7,'Данные 1st'!$KW$2:$KW$317),"")</f>
        <v/>
      </c>
      <c r="FX7" s="7">
        <f>IFERROR(AVERAGEIF('Данные 1st'!$S$2:$S$317,$A7,'Данные 1st'!$KX$2:$KX$317),"")</f>
        <v/>
      </c>
      <c r="FY7" s="7">
        <f>IFERROR(AVERAGEIF('Данные 1st'!$S$2:$S$317,$A7,'Данные 1st'!$KY$2:$KY$317),"")</f>
        <v/>
      </c>
      <c r="FZ7" s="7">
        <f>IFERROR(AVERAGEIF('Данные 1st'!$S$2:$S$317,$A7,'Данные 1st'!$KZ$2:$KZ$317),"")</f>
        <v/>
      </c>
      <c r="GA7" s="7">
        <f>IFERROR(AVERAGEIF('Данные 1st'!$S$2:$S$317,$A7,'Данные 1st'!$LA$2:$LA$317),"")</f>
        <v/>
      </c>
      <c r="GB7" s="7">
        <f>IFERROR(AVERAGEIF('Данные 1st'!$S$2:$S$317,$A7,'Данные 1st'!$LB$2:$LB$317),"")</f>
        <v/>
      </c>
      <c r="GC7" s="7">
        <f>IFERROR(AVERAGEIF('Данные 1st'!$S$2:$S$317,$A7,'Данные 1st'!$LC$2:$LC$317),"")</f>
        <v/>
      </c>
      <c r="GD7" s="7">
        <f>IFERROR(AVERAGEIF('Данные 1st'!$S$2:$S$317,$A7,'Данные 1st'!$LD$2:$LD$317),"")</f>
        <v/>
      </c>
      <c r="GE7" s="7">
        <f>IFERROR(AVERAGEIF('Данные 1st'!$S$2:$S$317,$A7,'Данные 1st'!$LE$2:$LE$317),"")</f>
        <v/>
      </c>
      <c r="GF7" s="7">
        <f>IFERROR(AVERAGEIF('Данные 1st'!$S$2:$S$317,$A7,'Данные 1st'!$LF$2:$LF$317),"")</f>
        <v/>
      </c>
      <c r="GG7" s="7">
        <f>IFERROR(AVERAGEIF('Данные 1st'!$S$2:$S$317,$A7,'Данные 1st'!$LG$2:$LG$317),"")</f>
        <v/>
      </c>
      <c r="GH7" s="7">
        <f>IFERROR(AVERAGEIF('Данные 1st'!$S$2:$S$317,$A7,'Данные 1st'!$LH$2:$LH$317),"")</f>
        <v/>
      </c>
      <c r="GI7" s="7">
        <f>IFERROR(AVERAGEIF('Данные 1st'!$S$2:$S$317,$A7,'Данные 1st'!$LI$2:$LI$317),"")</f>
        <v/>
      </c>
      <c r="GJ7" s="7">
        <f>IFERROR(AVERAGEIF('Данные 1st'!$S$2:$S$317,$A7,'Данные 1st'!$LJ$2:$LJ$317),"")</f>
        <v/>
      </c>
      <c r="GK7" s="7">
        <f>IFERROR(AVERAGEIF('Данные 1st'!$S$2:$S$317,$A7,'Данные 1st'!$LK$2:$LK$317),"")</f>
        <v>480</v>
      </c>
      <c r="GL7" s="7">
        <f>IFERROR(AVERAGEIF('Данные 1st'!$S$2:$S$317,$A7,'Данные 1st'!$LV$2:$LV$317),"")</f>
        <v/>
      </c>
      <c r="GM7" s="7">
        <f>IFERROR(AVERAGEIF('Данные 1st'!$S$2:$S$317,$A7,'Данные 1st'!$LW$2:$LW$317),"")</f>
        <v/>
      </c>
      <c r="GN7" s="7">
        <f>IFERROR(AVERAGEIF('Данные 1st'!$S$2:$S$317,$A7,'Данные 1st'!$LX$2:$LX$317),"")</f>
        <v/>
      </c>
      <c r="GO7" s="7">
        <f>IFERROR(AVERAGEIF('Данные 1st'!$S$2:$S$317,$A7,'Данные 1st'!$LY$2:$LY$317),"")</f>
        <v/>
      </c>
      <c r="GP7" s="7">
        <f>IFERROR(AVERAGEIF('Данные 1st'!$S$2:$S$317,$A7,'Данные 1st'!$LZ$2:$LZ$317),"")</f>
        <v/>
      </c>
      <c r="GQ7" s="7">
        <f>IFERROR(AVERAGEIF('Данные 1st'!$S$2:$S$317,$A7,'Данные 1st'!$PG$2:$PG$317),"")</f>
        <v>1</v>
      </c>
      <c r="GR7" s="7">
        <f>IFERROR(AVERAGEIF('Данные 1st'!$S$2:$S$317,$A7,'Данные 1st'!$PX$2:$PX$317),"")</f>
        <v>56</v>
      </c>
      <c r="GS7" s="7">
        <f>IFERROR(AVERAGEIF('Данные 1st'!$S$2:$S$317,$A7,'Данные 1st'!$PY$2:$PY$317),"")</f>
        <v>56.666666666666664</v>
      </c>
      <c r="GT7" s="7">
        <f>IFERROR(AVERAGEIF('Данные 1st'!$S$2:$S$317,$A7,'Данные 1st'!$QA$2:$QA$317),"")</f>
        <v>2</v>
      </c>
      <c r="GU7" s="7">
        <f>IFERROR(AVERAGEIF('Данные 1st'!$S$2:$S$317,$A7,'Данные 1st'!$QB$2:$QB$317),"")</f>
        <v>1048</v>
      </c>
      <c r="GV7" s="7">
        <f>IFERROR(AVERAGEIF('Данные 1st'!$S$2:$S$317,$A7,'Данные 1st'!$QC$2:$QC$317),"")</f>
        <v>69</v>
      </c>
      <c r="GW7" s="7">
        <f>IFERROR(AVERAGEIF('Данные 1st'!$S$2:$S$317,$A7,'Данные 1st'!$QD$2:$QD$317),"")</f>
        <v>69</v>
      </c>
      <c r="GX7" s="7">
        <f>IFERROR(AVERAGEIF('Данные 1st'!$S$2:$S$317,$A7,'Данные 1st'!$QF$2:$QF$317),"")</f>
        <v>1</v>
      </c>
      <c r="GY7" s="7">
        <f>IFERROR(AVERAGEIF('Данные 1st'!$S$2:$S$317,$A7,'Данные 1st'!$QG$2:$QG$317),"")</f>
        <v>1064</v>
      </c>
      <c r="GZ7" s="7">
        <f>IFERROR(AVERAGEIF('Данные 1st'!$S$2:$S$317,$A7,'Данные 1st'!$QH$2:$QH$317),"")</f>
        <v>66</v>
      </c>
      <c r="HA7" s="7">
        <f>IFERROR(AVERAGEIF('Данные 1st'!$S$2:$S$317,$A7,'Данные 1st'!$QI$2:$QI$317),"")</f>
        <v>66</v>
      </c>
      <c r="HB7" s="7">
        <f>IFERROR(AVERAGEIF('Данные 1st'!$S$2:$S$317,$A7,'Данные 1st'!$QK$2:$QK$317),"")</f>
        <v/>
      </c>
      <c r="HC7" s="7">
        <f>IFERROR(AVERAGEIF('Данные 1st'!$S$2:$S$317,$A7,'Данные 1st'!$QL$2:$QL$317),"")</f>
        <v>0</v>
      </c>
      <c r="HD7" s="7">
        <f>IFERROR(AVERAGEIF('Данные 1st'!$S$2:$S$317,$A7,'Данные 1st'!$QM$2:$QM$317),"")</f>
        <v>62.333333333333336</v>
      </c>
      <c r="HE7" s="7">
        <f>IFERROR(AVERAGEIF('Данные 1st'!$S$2:$S$317,$A7,'Данные 1st'!$QN$2:$QN$317),"")</f>
        <v>62.333333333333336</v>
      </c>
      <c r="HF7" s="7">
        <f>IFERROR(AVERAGEIF('Данные 1st'!$S$2:$S$317,$A7,'Данные 1st'!$QP$2:$QP$317),"")</f>
        <v>1</v>
      </c>
      <c r="HG7" s="7">
        <f>IFERROR(AVERAGEIF('Данные 1st'!$S$2:$S$317,$A7,'Данные 1st'!$QQ$2:$QQ$317),"")</f>
        <v>1062</v>
      </c>
      <c r="HH7" s="7">
        <f>IFERROR(AVERAGEIF('Данные 1st'!$S$2:$S$317,$A7,'Данные 1st'!$QR$2:$QR$317),"")</f>
        <v/>
      </c>
      <c r="HI7" s="7">
        <f>IFERROR(AVERAGEIF('Данные 1st'!$S$2:$S$317,$A7,'Данные 1st'!$QS$2:$QS$317),"")</f>
        <v/>
      </c>
      <c r="HJ7" s="7">
        <f>IFERROR(AVERAGEIF('Данные 1st'!$S$2:$S$317,$A7,'Данные 1st'!$QU$2:$QU$317),"")</f>
        <v/>
      </c>
      <c r="HK7" s="7">
        <f>IFERROR(AVERAGEIF('Данные 1st'!$S$2:$S$317,$A7,'Данные 1st'!$QV$2:$QV$317),"")</f>
        <v/>
      </c>
      <c r="HL7" s="7">
        <f>IFERROR(AVERAGEIF('Данные 1st'!$S$2:$S$317,$A7,'Данные 1st'!$QW$2:$QW$317),"")</f>
        <v>82</v>
      </c>
      <c r="HM7" s="7">
        <f>IFERROR(AVERAGEIF('Данные 1st'!$S$2:$S$317,$A7,'Данные 1st'!$QX$2:$QX$317),"")</f>
        <v>89</v>
      </c>
      <c r="HN7" s="7">
        <f>IFERROR(AVERAGEIF('Данные 1st'!$S$2:$S$317,$A7,'Данные 1st'!$QZ$2:$QZ$317),"")</f>
        <v>1.6666666666666667</v>
      </c>
      <c r="HO7" s="7">
        <f>IFERROR(AVERAGEIF('Данные 1st'!$S$2:$S$317,$A7,'Данные 1st'!$RA$2:$RA$317),"")</f>
        <v>66</v>
      </c>
      <c r="HP7" s="7">
        <f>IFERROR(AVERAGEIF('Данные 1st'!$S$2:$S$317,$A7,'Данные 1st'!$RB$2:$RB$317),"")</f>
        <v>66</v>
      </c>
      <c r="HQ7" s="7">
        <f>IFERROR(AVERAGEIF('Данные 1st'!$S$2:$S$317,$A7,'Данные 1st'!$RD$2:$RD$317),"")</f>
        <v/>
      </c>
      <c r="HR7" s="7">
        <f>IFERROR(AVERAGEIF('Данные 1st'!$S$2:$S$317,$A7,'Данные 1st'!$RE$2:$RE$317),"")</f>
        <v>0</v>
      </c>
      <c r="HS7" s="7">
        <f>IFERROR(AVERAGEIF('Данные 1st'!$S$2:$S$317,$A7,'Данные 1st'!$RF$2:$RF$317),"")</f>
        <v>1</v>
      </c>
      <c r="HT7" s="7">
        <f>IFERROR(AVERAGEIF('Данные 1st'!$S$2:$S$317,$A7,'Данные 1st'!$RG$2:$RG$317),"")</f>
        <v>1</v>
      </c>
      <c r="HU7" s="7">
        <f>IFERROR(AVERAGEIF('Данные 1st'!$S$2:$S$317,$A7,'Данные 1st'!$RH$2:$RH$317),"")</f>
        <v/>
      </c>
      <c r="HV7" s="7">
        <f>IFERROR(AVERAGEIF('Данные 1st'!$S$2:$S$317,$A7,'Данные 1st'!$RI$2:$RI$317),"")</f>
        <v/>
      </c>
      <c r="HW7" s="7">
        <f>IFERROR(AVERAGEIF('Данные 1st'!$S$2:$S$317,$A7,'Данные 1st'!$RJ$2:$RJ$317),"")</f>
        <v>2.6666666666666665</v>
      </c>
      <c r="HX7" s="7">
        <f>IFERROR(AVERAGEIF('Данные 1st'!$S$2:$S$317,$A7,'Данные 1st'!$RK$2:$RK$317),"")</f>
        <v/>
      </c>
      <c r="HY7" s="7">
        <f>IFERROR(AVERAGEIF('Данные 1st'!$S$2:$S$317,$A7,'Данные 1st'!$RL$2:$RL$317),"")</f>
        <v>1.6666666666666667</v>
      </c>
      <c r="HZ7" s="7">
        <f>IFERROR(AVERAGEIF('Данные 1st'!$S$2:$S$317,$A7,'Данные 1st'!$RM$2:$RM$317),"")</f>
        <v/>
      </c>
      <c r="IA7" s="7">
        <f>IFERROR(AVERAGEIF('Данные 1st'!$S$2:$S$317,$A7,'Данные 1st'!$RN$2:$RN$317),"")</f>
        <v/>
      </c>
      <c r="IB7" s="7">
        <f>IFERROR(AVERAGEIF('Данные 1st'!$S$2:$S$317,$A7,'Данные 1st'!$RO$2:$RO$317),"")</f>
        <v>492.6666666666667</v>
      </c>
      <c r="IC7" s="7">
        <f>IFERROR(AVERAGEIF('Данные 1st'!$S$2:$S$317,$A7,'Данные 1st'!$RP$2:$RP$317),"")</f>
        <v/>
      </c>
      <c r="ID7" s="7">
        <f>IFERROR(AVERAGEIF('Данные 1st'!$S$2:$S$317,$A7,'Данные 1st'!$RQ$2:$RQ$317),"")</f>
        <v>836.6666666666666</v>
      </c>
      <c r="IE7" s="7">
        <f>IFERROR(AVERAGEIF('Данные 1st'!$S$2:$S$317,$A7,'Данные 1st'!$RR$2:$RR$317),"")</f>
        <v/>
      </c>
      <c r="IF7" s="7">
        <f>IFERROR(AVERAGEIF('Данные 1st'!$S$2:$S$317,$A7,'Данные 1st'!$RS$2:$RS$317),"")</f>
        <v/>
      </c>
      <c r="IG7" s="7">
        <f>IFERROR(AVERAGEIF('Данные 1st'!$S$2:$S$317,$A7,'Данные 1st'!$RT$2:$RT$317),"")</f>
        <v>147</v>
      </c>
      <c r="IH7" s="7">
        <f>IFERROR(AVERAGEIF('Данные 1st'!$S$2:$S$317,$A7,'Данные 1st'!$RU$2:$RU$317),"")</f>
        <v>160.66666666666666</v>
      </c>
      <c r="II7" s="7">
        <f>IFERROR(AVERAGEIF('Данные 1st'!$S$2:$S$317,$A7,'Данные 1st'!$RX$2:$RX$317),"")</f>
        <v>15</v>
      </c>
      <c r="IJ7" s="7">
        <f>IFERROR(AVERAGEIF('Данные 1st'!$S$2:$S$317,$A7,'Данные 1st'!$RY$2:$RY$317),"")</f>
        <v>4</v>
      </c>
      <c r="IK7" s="7">
        <f>IFERROR(AVERAGEIF('Данные 1st'!$S$2:$S$317,$A7,'Данные 1st'!$SA$2:$SA$317),"")</f>
        <v>15</v>
      </c>
      <c r="IL7" s="7">
        <f>IFERROR(AVERAGEIF('Данные 1st'!$S$2:$S$317,$A7,'Данные 1st'!$SD$2:$SD$317),"")</f>
        <v>1</v>
      </c>
      <c r="IM7" s="7">
        <f>IFERROR(AVERAGEIF('Данные 1st'!$S$2:$S$317,$A7,'Данные 1st'!$SG$2:$SG$317),"")</f>
        <v/>
      </c>
      <c r="IN7" s="7">
        <f>IFERROR(AVERAGEIF('Данные 1st'!$S$2:$S$317,$A7,'Данные 1st'!$SH$2:$SH$317),"")</f>
        <v>0.995</v>
      </c>
      <c r="IO7" s="7">
        <f>IFERROR(AVERAGEIF('Данные 1st'!$S$2:$S$317,$A7,'Данные 1st'!$SI$2:$SI$317),"")</f>
        <v>0.995</v>
      </c>
      <c r="IP7" s="7">
        <f>IFERROR(AVERAGEIF('Данные 1st'!$S$2:$S$317,$A7,'Данные 1st'!$SJ$2:$SJ$317),"")</f>
        <v>0.995</v>
      </c>
      <c r="IQ7" s="7">
        <f>IFERROR(AVERAGEIF('Данные 1st'!$S$2:$S$317,$A7,'Данные 1st'!$SK$2:$SK$317),"")</f>
        <v>15</v>
      </c>
      <c r="IR7" s="7">
        <f>IFERROR(AVERAGEIF('Данные 1st'!$S$2:$S$317,$A7,'Данные 1st'!$SL$2:$SL$317),"")</f>
        <v>0</v>
      </c>
      <c r="IS7" s="7">
        <f>IFERROR(AVERAGEIF('Данные 1st'!$S$2:$S$317,$A7,'Данные 1st'!$SM$2:$SM$317),"")</f>
        <v>0</v>
      </c>
      <c r="IT7" s="7">
        <f>IFERROR(AVERAGEIF('Данные 1st'!$S$2:$S$317,$A7,'Данные 1st'!$SN$2:$SN$317),"")</f>
        <v>0</v>
      </c>
      <c r="IU7" s="7">
        <f>IFERROR(AVERAGEIF('Данные 1st'!$S$2:$S$317,$A7,'Данные 1st'!$SO$2:$SO$317),"")</f>
        <v>0</v>
      </c>
      <c r="IV7" s="7">
        <f>IFERROR(AVERAGEIF('Данные 1st'!$S$2:$S$317,$A7,'Данные 1st'!$SP$2:$SP$317),"")</f>
        <v>0</v>
      </c>
      <c r="IW7" s="7">
        <f>IFERROR(AVERAGEIF('Данные 1st'!$S$2:$S$317,$A7,'Данные 1st'!$SQ$2:$SQ$317),"")</f>
        <v>0</v>
      </c>
      <c r="IX7" s="7">
        <f>IFERROR(AVERAGEIF('Данные 1st'!$S$2:$S$317,$A7,'Данные 1st'!$SR$2:$SR$317),"")</f>
        <v>0</v>
      </c>
      <c r="IY7" s="7">
        <f>IFERROR(AVERAGEIF('Данные 1st'!$S$2:$S$317,$A7,'Данные 1st'!$SS$2:$SS$317),"")</f>
        <v>0</v>
      </c>
      <c r="IZ7" s="7">
        <f>IFERROR(AVERAGEIF('Данные 1st'!$S$2:$S$317,$A7,'Данные 1st'!$ST$2:$ST$317),"")</f>
        <v>0</v>
      </c>
      <c r="JA7" s="7">
        <f>IFERROR(AVERAGEIF('Данные 1st'!$S$2:$S$317,$A7,'Данные 1st'!$SU$2:$SU$317),"")</f>
        <v>0</v>
      </c>
      <c r="JB7" s="7">
        <f>IFERROR(AVERAGEIF('Данные 1st'!$S$2:$S$317,$A7,'Данные 1st'!$SV$2:$SV$317),"")</f>
        <v>0</v>
      </c>
      <c r="JC7" s="7">
        <f>IFERROR(AVERAGEIF('Данные 1st'!$S$2:$S$317,$A7,'Данные 1st'!$SW$2:$SW$317),"")</f>
        <v>0</v>
      </c>
      <c r="JD7" s="7">
        <f>IFERROR(AVERAGEIF('Данные 1st'!$S$2:$S$317,$A7,'Данные 1st'!$SX$2:$SX$317),"")</f>
        <v>0</v>
      </c>
      <c r="JE7" s="7">
        <f>IFERROR(AVERAGEIF('Данные 1st'!$S$2:$S$317,$A7,'Данные 1st'!$SY$2:$SY$317),"")</f>
        <v/>
      </c>
      <c r="JF7" s="7">
        <f>IFERROR(AVERAGEIF('Данные 1st'!$S$2:$S$317,$A7,'Данные 1st'!$SZ$2:$SZ$317),"")</f>
        <v/>
      </c>
      <c r="JG7" s="7">
        <f>IFERROR(AVERAGEIF('Данные 1st'!$S$2:$S$317,$A7,'Данные 1st'!$TA$2:$TA$317),"")</f>
        <v/>
      </c>
      <c r="JH7" s="7">
        <f>IFERROR(AVERAGEIF('Данные 1st'!$S$2:$S$317,$A7,'Данные 1st'!$TB$2:$TB$317),"")</f>
        <v>0</v>
      </c>
      <c r="JI7" s="7">
        <f>IFERROR(AVERAGEIF('Данные 1st'!$S$2:$S$317,$A7,'Данные 1st'!$TC$2:$TC$317),"")</f>
        <v>0</v>
      </c>
      <c r="JJ7" s="7">
        <f>IFERROR(AVERAGEIF('Данные 1st'!$S$2:$S$317,$A7,'Данные 1st'!$TD$2:$TD$317),"")</f>
        <v>7.5</v>
      </c>
      <c r="JK7" s="7">
        <f>IFERROR(AVERAGEIF('Данные 1st'!$S$2:$S$317,$A7,'Данные 1st'!$TN$2:$TN$317),"")</f>
        <v>0</v>
      </c>
      <c r="JL7">
        <f>COUNTIF('Данные 2st'!$Q$2:$Q$317,$A7)</f>
        <v>3</v>
      </c>
      <c r="JM7" s="6" t="s">
        <v>5084</v>
      </c>
      <c r="JN7" s="6" t="s">
        <v>513</v>
      </c>
      <c r="JO7" s="6" t="s">
        <v>5125</v>
      </c>
      <c r="JP7" s="6" t="s">
        <v>5466</v>
      </c>
      <c r="JQ7" s="7">
        <f>IFERROR(AVERAGEIF('Данные 2st'!$Q$2:$Q$317,$A7,'Данные 2st'!$AC$2:$AC$317),"")</f>
        <v>13.666666666666666</v>
      </c>
      <c r="JR7" s="7">
        <f>IFERROR(AVERAGEIF('Данные 2st'!$Q$2:$Q$317,$A7,'Данные 2st'!$AF$2:$AF$317),"")</f>
        <v>3355.3333333333335</v>
      </c>
      <c r="JS7" s="7">
        <f>IFERROR(AVERAGEIF('Данные 2st'!$Q$2:$Q$317,$A7,'Данные 2st'!$AW$2:$AW$317),"")</f>
        <v>6.4</v>
      </c>
      <c r="JT7" s="7">
        <f>IFERROR(AVERAGEIF('Данные 2st'!$Q$2:$Q$317,$A7,'Данные 2st'!$AX$2:$AX$317),"")</f>
        <v>-6</v>
      </c>
      <c r="JU7" s="7">
        <f>IFERROR(AVERAGEIF('Данные 2st'!$Q$2:$Q$317,$A7,'Данные 2st'!$AY$2:$AY$317),"")</f>
        <v>80.0</v>
      </c>
      <c r="JV7" s="7">
        <f>IFERROR(AVERAGEIF('Данные 2st'!$Q$2:$Q$317,$A7,'Данные 2st'!$AZ$2:$AZ$317),"")</f>
        <v>70.83333333333333</v>
      </c>
      <c r="JW7" s="7">
        <f>IFERROR(AVERAGEIF('Данные 2st'!$Q$2:$Q$317,$A7,'Данные 2st'!$BA$2:$BA$317),"")</f>
        <v/>
      </c>
      <c r="JX7" s="7">
        <f>IFERROR(AVERAGEIF('Данные 2st'!$Q$2:$Q$317,$A7,'Данные 2st'!$BB$2:$BB$317),"")</f>
        <v/>
      </c>
      <c r="JY7" s="7">
        <f>IFERROR(AVERAGEIF('Данные 2st'!$Q$2:$Q$317,$A7,'Данные 2st'!$BC$2:$BC$317),"")</f>
        <v/>
      </c>
      <c r="JZ7" s="7">
        <f>IFERROR(AVERAGEIF('Данные 2st'!$Q$2:$Q$317,$A7,'Данные 2st'!$BH$2:$BH$317),"")</f>
        <v>80.0</v>
      </c>
      <c r="KA7" s="7">
        <f>IFERROR(AVERAGEIF('Данные 2st'!$Q$2:$Q$317,$A7,'Данные 2st'!$BI$2:$BI$317),"")</f>
        <v>9.166666666666666</v>
      </c>
      <c r="KB7" s="7">
        <f>IFERROR(AVERAGEIF('Данные 2st'!$Q$2:$Q$317,$A7,'Данные 2st'!$BJ$2:$BJ$317),"")</f>
        <v>70.83333333333333</v>
      </c>
      <c r="KC7" s="7">
        <f>IFERROR(AVERAGEIF('Данные 2st'!$Q$2:$Q$317,$A7,'Данные 2st'!$BK$2:$BK$317),"")</f>
        <v>3.3333333333333335</v>
      </c>
      <c r="KD7" s="7">
        <f>IFERROR(AVERAGEIF('Данные 2st'!$Q$2:$Q$317,$A7,'Данные 2st'!$BL$2:$BL$317),"")</f>
        <v>160</v>
      </c>
      <c r="KE7" s="7">
        <f>IFERROR(AVERAGEIF('Данные 2st'!$Q$2:$Q$317,$A7,'Данные 2st'!$BM$2:$BM$317),"")</f>
        <v>-6</v>
      </c>
      <c r="KF7" s="7">
        <f>IFERROR(AVERAGEIF('Данные 2st'!$Q$2:$Q$317,$A7,'Данные 2st'!$BN$2:$BN$317),"")</f>
        <v>0</v>
      </c>
      <c r="KG7" s="7">
        <f>IFERROR(AVERAGEIF('Данные 2st'!$Q$2:$Q$317,$A7,'Данные 2st'!$BO$2:$BO$317),"")</f>
        <v/>
      </c>
      <c r="KH7" s="7">
        <f>IFERROR(AVERAGEIF('Данные 2st'!$Q$2:$Q$317,$A7,'Данные 2st'!$BP$2:$BP$317),"")</f>
        <v>0</v>
      </c>
      <c r="KI7" s="7">
        <f>IFERROR(AVERAGEIF('Данные 2st'!$Q$2:$Q$317,$A7,'Данные 2st'!$BR$2:$BR$317),"")</f>
        <v>153.33333333333334</v>
      </c>
      <c r="KJ7" s="7">
        <f>IFERROR(AVERAGEIF('Данные 2st'!$Q$2:$Q$317,$A7,'Данные 2st'!$BS$2:$BS$317),"")</f>
        <v>143.33333333333334</v>
      </c>
      <c r="KK7" s="7">
        <f>IFERROR(AVERAGEIF('Данные 2st'!$Q$2:$Q$317,$A7,'Данные 2st'!$BT$2:$BT$317),"")</f>
        <v>1736.6666666666667</v>
      </c>
      <c r="KL7" s="7">
        <f>IFERROR(AVERAGEIF('Данные 2st'!$Q$2:$Q$317,$A7,'Данные 2st'!$CV$2:$CV$317),"")</f>
        <v>104</v>
      </c>
      <c r="KM7" s="7">
        <f>IFERROR(AVERAGEIF('Данные 2st'!$Q$2:$Q$317,$A7,'Данные 2st'!$CW$2:$CW$317),"")</f>
        <v>3</v>
      </c>
      <c r="KN7" s="7">
        <f>IFERROR(AVERAGEIF('Данные 2st'!$Q$2:$Q$317,$A7,'Данные 2st'!$CX$2:$CX$317),"")</f>
        <v>73</v>
      </c>
      <c r="KO7" s="7">
        <f>IFERROR(AVERAGEIF('Данные 2st'!$Q$2:$Q$317,$A7,'Данные 2st'!$CY$2:$CY$317),"")</f>
        <v>5</v>
      </c>
      <c r="KP7" s="7">
        <f>IFERROR(AVERAGEIF('Данные 2st'!$Q$2:$Q$317,$A7,'Данные 2st'!$CZ$2:$CZ$317),"")</f>
        <v>118.33333333333333</v>
      </c>
      <c r="KQ7" s="7">
        <f>IFERROR(AVERAGEIF('Данные 2st'!$Q$2:$Q$317,$A7,'Данные 2st'!$DA$2:$DA$317),"")</f>
        <v>5</v>
      </c>
      <c r="KR7" s="7">
        <f>IFERROR(AVERAGEIF('Данные 2st'!$Q$2:$Q$317,$A7,'Данные 2st'!$DB$2:$DB$317),"")</f>
        <v>7696.666666666667</v>
      </c>
      <c r="KS7" s="7">
        <f>IFERROR(AVERAGEIF('Данные 2st'!$Q$2:$Q$317,$A7,'Данные 2st'!$DC$2:$DC$317),"")</f>
        <v>226.66666666666666</v>
      </c>
      <c r="KT7" s="7">
        <f>IFERROR(AVERAGEIF('Данные 2st'!$Q$2:$Q$317,$A7,'Данные 2st'!$DD$2:$DD$317),"")</f>
        <v>274</v>
      </c>
      <c r="KU7" s="7">
        <f>IFERROR(AVERAGEIF('Данные 2st'!$Q$2:$Q$317,$A7,'Данные 2st'!$DE$2:$DE$317),"")</f>
        <v>1830.6666666666667</v>
      </c>
      <c r="KV7" s="7">
        <f>IFERROR(AVERAGEIF('Данные 2st'!$Q$2:$Q$317,$A7,'Данные 2st'!$DF$2:$DF$317),"")</f>
        <v>1830.6666666666667</v>
      </c>
      <c r="KW7" s="7">
        <f>IFERROR(AVERAGEIF('Данные 2st'!$Q$2:$Q$317,$A7,'Данные 2st'!$DG$2:$DG$317),"")</f>
        <v>1848</v>
      </c>
      <c r="KX7" s="7">
        <f>IFERROR(AVERAGEIF('Данные 2st'!$Q$2:$Q$317,$A7,'Данные 2st'!$DH$2:$DH$317),"")</f>
        <v/>
      </c>
      <c r="KY7" s="7">
        <f>IFERROR(AVERAGEIF('Данные 2st'!$Q$2:$Q$317,$A7,'Данные 2st'!$DI$2:$DI$317),"")</f>
        <v/>
      </c>
      <c r="KZ7" s="7">
        <f>IFERROR(AVERAGEIF('Данные 2st'!$Q$2:$Q$317,$A7,'Данные 2st'!$DK$2:$DK$317),"")</f>
        <v>153.33333333333334</v>
      </c>
      <c r="LA7" s="7">
        <f>IFERROR(AVERAGEIF('Данные 2st'!$Q$2:$Q$317,$A7,'Данные 2st'!$DM$2:$DM$317),"")</f>
        <v>65</v>
      </c>
      <c r="LB7" s="7">
        <f>IFERROR(AVERAGEIF('Данные 2st'!$Q$2:$Q$317,$A7,'Данные 2st'!$DN$2:$DN$317),"")</f>
        <v>0.84</v>
      </c>
      <c r="LC7" s="7">
        <f>IFERROR(AVERAGEIF('Данные 2st'!$Q$2:$Q$317,$A7,'Данные 2st'!$DO$2:$DO$317),"")</f>
        <v>1</v>
      </c>
      <c r="LD7" s="7">
        <f>IFERROR(AVERAGEIF('Данные 2st'!$Q$2:$Q$317,$A7,'Данные 2st'!$DP$2:$DP$317),"")</f>
        <v>1739.6666666666667</v>
      </c>
      <c r="LE7" s="7">
        <f>IFERROR(AVERAGEIF('Данные 2st'!$Q$2:$Q$317,$A7,'Данные 2st'!$DQ$2:$DQ$317),"")</f>
        <v>487</v>
      </c>
      <c r="LF7" s="7">
        <f>IFERROR(AVERAGEIF('Данные 2st'!$Q$2:$Q$317,$A7,'Данные 2st'!$DS$2:$DS$317),"")</f>
        <v>143.33333333333334</v>
      </c>
      <c r="LG7" s="7">
        <f>IFERROR(AVERAGEIF('Данные 2st'!$Q$2:$Q$317,$A7,'Данные 2st'!$DU$2:$DU$317),"")</f>
        <v>65</v>
      </c>
      <c r="LH7" s="7">
        <f>IFERROR(AVERAGEIF('Данные 2st'!$Q$2:$Q$317,$A7,'Данные 2st'!$DV$2:$DV$317),"")</f>
        <v>0.84</v>
      </c>
      <c r="LI7" s="7">
        <f>IFERROR(AVERAGEIF('Данные 2st'!$Q$2:$Q$317,$A7,'Данные 2st'!$DW$2:$DW$317),"")</f>
        <v>1</v>
      </c>
      <c r="LJ7" s="7">
        <f>IFERROR(AVERAGEIF('Данные 2st'!$Q$2:$Q$317,$A7,'Данные 2st'!$DX$2:$DX$317),"")</f>
        <v>1746.6666666666667</v>
      </c>
      <c r="LK7" s="7">
        <f>IFERROR(AVERAGEIF('Данные 2st'!$Q$2:$Q$317,$A7,'Данные 2st'!$DY$2:$DY$317),"")</f>
        <v>457.6666666666667</v>
      </c>
      <c r="LL7" s="7">
        <f>IFERROR(AVERAGEIF('Данные 2st'!$Q$2:$Q$317,$A7,'Данные 2st'!$EA$2:$EA$317),"")</f>
        <v>33</v>
      </c>
      <c r="LM7" s="7">
        <f>IFERROR(AVERAGEIF('Данные 2st'!$Q$2:$Q$317,$A7,'Данные 2st'!$EC$2:$EC$317),"")</f>
        <v>0.4</v>
      </c>
      <c r="LN7" s="7">
        <f>IFERROR(AVERAGEIF('Данные 2st'!$Q$2:$Q$317,$A7,'Данные 2st'!$ED$2:$ED$317),"")</f>
        <v>1739.6666666666667</v>
      </c>
      <c r="LO7" s="7">
        <f>IFERROR(AVERAGEIF('Данные 2st'!$Q$2:$Q$317,$A7,'Данные 2st'!$EE$2:$EE$317),"")</f>
        <v>50.666666666666664</v>
      </c>
      <c r="LP7" s="7">
        <f>IFERROR(AVERAGEIF('Данные 2st'!$Q$2:$Q$317,$A7,'Данные 2st'!$EG$2:$EG$317),"")</f>
        <v>33</v>
      </c>
      <c r="LQ7" s="7">
        <f>IFERROR(AVERAGEIF('Данные 2st'!$Q$2:$Q$317,$A7,'Данные 2st'!$EI$2:$EI$317),"")</f>
        <v>0.4</v>
      </c>
      <c r="LR7" s="7">
        <f>IFERROR(AVERAGEIF('Данные 2st'!$Q$2:$Q$317,$A7,'Данные 2st'!$EJ$2:$EJ$317),"")</f>
        <v>1746.6666666666667</v>
      </c>
      <c r="LS7" s="7">
        <f>IFERROR(AVERAGEIF('Данные 2st'!$Q$2:$Q$317,$A7,'Данные 2st'!$EK$2:$EK$317),"")</f>
        <v>50.666666666666664</v>
      </c>
      <c r="LT7" s="7">
        <f>IFERROR(AVERAGEIF('Данные 2st'!$Q$2:$Q$317,$A7,'Данные 2st'!$EM$2:$EM$317),"")</f>
        <v>12</v>
      </c>
      <c r="LU7" s="7">
        <f>IFERROR(AVERAGEIF('Данные 2st'!$Q$2:$Q$317,$A7,'Данные 2st'!$EN$2:$EN$317),"")</f>
        <v>0.5</v>
      </c>
      <c r="LV7" s="7">
        <f>IFERROR(AVERAGEIF('Данные 2st'!$Q$2:$Q$317,$A7,'Данные 2st'!$EO$2:$EO$317),"")</f>
        <v>0.8333333333333334</v>
      </c>
      <c r="LW7" s="7">
        <f>IFERROR(AVERAGEIF('Данные 2st'!$Q$2:$Q$317,$A7,'Данные 2st'!$EP$2:$EP$317),"")</f>
        <v>1747.2266666666667</v>
      </c>
      <c r="LX7" s="7">
        <f>IFERROR(AVERAGEIF('Данные 2st'!$Q$2:$Q$317,$A7,'Данные 2st'!$EQ$2:$EQ$317),"")</f>
        <v>23477.836666666666</v>
      </c>
      <c r="LY7" s="7">
        <f>IFERROR(AVERAGEIF('Данные 2st'!$Q$2:$Q$317,$A7,'Данные 2st'!$ER$2:$ER$317),"")</f>
        <v>2510.116666666667</v>
      </c>
      <c r="LZ7" s="7">
        <f>IFERROR(AVERAGEIF('Данные 2st'!$Q$2:$Q$317,$A7,'Данные 2st'!$ES$2:$ES$317),"")</f>
        <v>0</v>
      </c>
      <c r="MA7" s="7">
        <f>IFERROR(AVERAGEIF('Данные 2st'!$Q$2:$Q$317,$A7,'Данные 2st'!$ET$2:$ET$317),"")</f>
        <v>0</v>
      </c>
      <c r="MB7" s="7">
        <f>IFERROR(AVERAGEIF('Данные 2st'!$Q$2:$Q$317,$A7,'Данные 2st'!$EU$2:$EU$317),"")</f>
        <v>1</v>
      </c>
      <c r="MC7" s="7">
        <f>IFERROR(AVERAGEIF('Данные 2st'!$Q$2:$Q$317,$A7,'Данные 2st'!$EV$2:$EV$317),"")</f>
        <v>25988.666666666668</v>
      </c>
      <c r="MD7" s="7">
        <f>IFERROR(AVERAGEIF('Данные 2st'!$Q$2:$Q$317,$A7,'Данные 2st'!$EW$2:$EW$317),"")</f>
        <v>278</v>
      </c>
      <c r="ME7" s="7">
        <f>IFERROR(AVERAGEIF('Данные 2st'!$Q$2:$Q$317,$A7,'Данные 2st'!$EY$2:$EY$317),"")</f>
        <v>170</v>
      </c>
      <c r="MF7" s="7">
        <f>IFERROR(AVERAGEIF('Данные 2st'!$Q$2:$Q$317,$A7,'Данные 2st'!$FA$2:$FA$317),"")</f>
        <v>4.633333333333334</v>
      </c>
      <c r="MG7" s="7">
        <f>IFERROR(AVERAGEIF('Данные 2st'!$Q$2:$Q$317,$A7,'Данные 2st'!$FB$2:$FB$317),"")</f>
        <v>1</v>
      </c>
      <c r="MH7" s="7">
        <f>IFERROR(AVERAGEIF('Данные 2st'!$Q$2:$Q$317,$A7,'Данные 2st'!$FC$2:$FC$317),"")</f>
        <v>1</v>
      </c>
      <c r="MI7" s="7">
        <f>IFERROR(AVERAGEIF('Данные 2st'!$Q$2:$Q$317,$A7,'Данные 2st'!$FD$2:$FD$317),"")</f>
        <v>1778.6666666666667</v>
      </c>
      <c r="MJ7" s="7">
        <f>IFERROR(AVERAGEIF('Данные 2st'!$Q$2:$Q$317,$A7,'Данные 2st'!$FE$2:$FE$317),"")</f>
        <v>1617</v>
      </c>
      <c r="MK7" s="7">
        <f>IFERROR(AVERAGEIF('Данные 2st'!$Q$2:$Q$317,$A7,'Данные 2st'!$FG$2:$FG$317),"")</f>
        <v>174</v>
      </c>
      <c r="ML7" s="7">
        <f>IFERROR(AVERAGEIF('Данные 2st'!$Q$2:$Q$317,$A7,'Данные 2st'!$FI$2:$FI$317),"")</f>
        <v>3.2</v>
      </c>
      <c r="MM7" s="7">
        <f>IFERROR(AVERAGEIF('Данные 2st'!$Q$2:$Q$317,$A7,'Данные 2st'!$FJ$2:$FJ$317),"")</f>
        <v>1778.6666666666667</v>
      </c>
      <c r="MN7" s="7">
        <f>IFERROR(AVERAGEIF('Данные 2st'!$Q$2:$Q$317,$A7,'Данные 2st'!$FK$2:$FK$317),"")</f>
        <v>1123.6666666666667</v>
      </c>
      <c r="MO7" s="7">
        <f>IFERROR(AVERAGEIF('Данные 2st'!$Q$2:$Q$317,$A7,'Данные 2st'!$FP$2:$FP$317),"")</f>
        <v>1778.6666666666667</v>
      </c>
      <c r="MP7" s="7">
        <f>IFERROR(AVERAGEIF('Данные 2st'!$Q$2:$Q$317,$A7,'Данные 2st'!$FQ$2:$FQ$317),"")</f>
        <v>122.66666666666667</v>
      </c>
      <c r="MQ7" s="7">
        <f>IFERROR(AVERAGEIF('Данные 2st'!$Q$2:$Q$317,$A7,'Данные 2st'!$FS$2:$FS$317),"")</f>
        <v>178</v>
      </c>
      <c r="MR7" s="7">
        <f>IFERROR(AVERAGEIF('Данные 2st'!$Q$2:$Q$317,$A7,'Данные 2st'!$FU$2:$FU$317),"")</f>
        <v>0.4</v>
      </c>
      <c r="MS7" s="7">
        <f>IFERROR(AVERAGEIF('Данные 2st'!$Q$2:$Q$317,$A7,'Данные 2st'!$FV$2:$FV$317),"")</f>
        <v>1778.6666666666667</v>
      </c>
      <c r="MT7" s="7">
        <f>IFERROR(AVERAGEIF('Данные 2st'!$Q$2:$Q$317,$A7,'Данные 2st'!$FW$2:$FW$317),"")</f>
        <v>141</v>
      </c>
      <c r="MU7" s="7">
        <f>IFERROR(AVERAGEIF('Данные 2st'!$Q$2:$Q$317,$A7,'Данные 2st'!$FY$2:$FY$317),"")</f>
        <v>7.5</v>
      </c>
      <c r="MV7" s="7">
        <f>IFERROR(AVERAGEIF('Данные 2st'!$Q$2:$Q$317,$A7,'Данные 2st'!$GB$2:$GB$317),"")</f>
        <v>1775.5</v>
      </c>
      <c r="MW7" s="7">
        <f>IFERROR(AVERAGEIF('Данные 2st'!$Q$2:$Q$317,$A7,'Данные 2st'!$GC$2:$GC$317),"")</f>
        <v>16</v>
      </c>
      <c r="MX7" s="7">
        <f>IFERROR(AVERAGEIF('Данные 2st'!$Q$2:$Q$317,$A7,'Данные 2st'!$GD$2:$GD$317),"")</f>
        <v>3015</v>
      </c>
      <c r="MY7" s="7">
        <f>IFERROR(AVERAGEIF('Данные 2st'!$Q$2:$Q$317,$A7,'Данные 2st'!$GN$2:$GN$317),"")</f>
        <v/>
      </c>
      <c r="MZ7" s="7">
        <f>IFERROR(AVERAGEIF('Данные 2st'!$Q$2:$Q$317,$A7,'Данные 2st'!$GQ$2:$GQ$317),"")</f>
        <v>0</v>
      </c>
      <c r="NA7" s="7">
        <f>IFERROR(AVERAGEIF('Данные 2st'!$Q$2:$Q$317,$A7,'Данные 2st'!$GV$2:$GV$317),"")</f>
        <v>8.233333333333334</v>
      </c>
      <c r="NB7" s="7">
        <f>IFERROR(AVERAGEIF('Данные 2st'!$Q$2:$Q$317,$A7,'Данные 2st'!$GW$2:$GW$317),"")</f>
        <v>10.0</v>
      </c>
      <c r="NC7" s="7">
        <f>IFERROR(AVERAGEIF('Данные 2st'!$Q$2:$Q$317,$A7,'Данные 2st'!$GX$2:$GX$317),"")</f>
        <v>0.5</v>
      </c>
      <c r="ND7" s="7">
        <f>IFERROR(AVERAGEIF('Данные 2st'!$Q$2:$Q$317,$A7,'Данные 2st'!$GY$2:$GY$317),"")</f>
        <v>144.66666666666666</v>
      </c>
      <c r="NE7" s="7">
        <f>IFERROR(AVERAGEIF('Данные 2st'!$Q$2:$Q$317,$A7,'Данные 2st'!$GZ$2:$GZ$317),"")</f>
        <v>3</v>
      </c>
      <c r="NF7" s="7">
        <f>IFERROR(AVERAGEIF('Данные 2st'!$Q$2:$Q$317,$A7,'Данные 2st'!$HA$2:$HA$317),"")</f>
        <v>190.66666666666666</v>
      </c>
      <c r="NG7" s="7">
        <f>IFERROR(AVERAGEIF('Данные 2st'!$Q$2:$Q$317,$A7,'Данные 2st'!$HB$2:$HB$317),"")</f>
        <v>3</v>
      </c>
      <c r="NH7" s="7">
        <f>IFERROR(AVERAGEIF('Данные 2st'!$Q$2:$Q$317,$A7,'Данные 2st'!$HC$2:$HC$317),"")</f>
        <v>1778.6666666666667</v>
      </c>
      <c r="NI7" s="7">
        <f>IFERROR(AVERAGEIF('Данные 2st'!$Q$2:$Q$317,$A7,'Данные 2st'!$HD$2:$HD$317),"")</f>
        <v>4</v>
      </c>
      <c r="NJ7" s="7">
        <f>IFERROR(AVERAGEIF('Данные 2st'!$Q$2:$Q$317,$A7,'Данные 2st'!$HM$2:$HM$317),"")</f>
        <v>14</v>
      </c>
      <c r="NK7" s="7">
        <f>IFERROR(AVERAGEIF('Данные 2st'!$Q$2:$Q$317,$A7,'Данные 2st'!$HR$2:$HR$317),"")</f>
        <v>2.3333333333333335</v>
      </c>
      <c r="NL7" s="7">
        <f>IFERROR(AVERAGEIF('Данные 2st'!$Q$2:$Q$317,$A7,'Данные 2st'!$HS$2:$HS$317),"")</f>
        <v>1736.6666666666667</v>
      </c>
      <c r="NM7" s="7">
        <f>IFERROR(AVERAGEIF('Данные 2st'!$Q$2:$Q$317,$A7,'Данные 2st'!$HT$2:$HT$317),"")</f>
        <v>5</v>
      </c>
      <c r="NN7" s="7">
        <f>IFERROR(AVERAGEIF('Данные 2st'!$Q$2:$Q$317,$A7,'Данные 2st'!$HY$2:$HY$317),"")</f>
        <v>0</v>
      </c>
      <c r="NO7" s="7">
        <f>IFERROR(AVERAGEIF('Данные 2st'!$Q$2:$Q$317,$A7,'Данные 2st'!$HZ$2:$HZ$317),"")</f>
        <v>65</v>
      </c>
      <c r="NP7" s="7">
        <f>IFERROR(AVERAGEIF('Данные 2st'!$Q$2:$Q$317,$A7,'Данные 2st'!$IA$2:$IA$317),"")</f>
        <v>1739.6666666666667</v>
      </c>
      <c r="NQ7" s="7">
        <f>IFERROR(AVERAGEIF('Данные 2st'!$Q$2:$Q$317,$A7,'Данные 2st'!$IB$2:$IB$317),"")</f>
        <v>1746.6666666666667</v>
      </c>
      <c r="NR7" s="7">
        <f>IFERROR(AVERAGEIF('Данные 2st'!$Q$2:$Q$317,$A7,'Данные 2st'!$IC$2:$IC$317),"")</f>
        <v/>
      </c>
      <c r="NS7" s="7">
        <f>IFERROR(AVERAGEIF('Данные 2st'!$Q$2:$Q$317,$A7,'Данные 2st'!$ID$2:$ID$317),"")</f>
        <v>1778.6666666666667</v>
      </c>
      <c r="NT7" s="7">
        <f>IFERROR(AVERAGEIF('Данные 2st'!$Q$2:$Q$317,$A7,'Данные 2st'!$IE$2:$IE$317),"")</f>
        <v>1778.6666666666667</v>
      </c>
      <c r="NU7" s="7">
        <f>IFERROR(AVERAGEIF('Данные 2st'!$Q$2:$Q$317,$A7,'Данные 2st'!$IF$2:$IF$317),"")</f>
        <v>153.33333333333334</v>
      </c>
      <c r="NV7" s="7">
        <f>IFERROR(AVERAGEIF('Данные 2st'!$Q$2:$Q$317,$A7,'Данные 2st'!$IG$2:$IG$317),"")</f>
        <v>143.33333333333334</v>
      </c>
      <c r="NW7" s="7">
        <f>IFERROR(AVERAGEIF('Данные 2st'!$Q$2:$Q$317,$A7,'Данные 2st'!$IH$2:$IH$317),"")</f>
        <v>190.66666666666666</v>
      </c>
      <c r="NX7" s="7">
        <f>IFERROR(AVERAGEIF('Данные 2st'!$Q$2:$Q$317,$A7,'Данные 2st'!$IJ$2:$IJ$317),"")</f>
        <v>5</v>
      </c>
      <c r="NY7" s="7">
        <f>IFERROR(AVERAGEIF('Данные 2st'!$Q$2:$Q$317,$A7,'Данные 2st'!$IM$2:$IM$317),"")</f>
        <v>0</v>
      </c>
      <c r="NZ7" s="7">
        <f>IFERROR(AVERAGEIF('Данные 2st'!$Q$2:$Q$317,$A7,'Данные 2st'!$IN$2:$IN$317),"")</f>
        <v>270</v>
      </c>
      <c r="OA7" s="7">
        <f>IFERROR(AVERAGEIF('Данные 2st'!$Q$2:$Q$317,$A7,'Данные 2st'!$IO$2:$IO$317),"")</f>
        <v>0</v>
      </c>
      <c r="OB7" s="7">
        <f>IFERROR(AVERAGEIF('Данные 2st'!$Q$2:$Q$317,$A7,'Данные 2st'!$IP$2:$IP$317),"")</f>
        <v>180</v>
      </c>
      <c r="OC7" s="7">
        <f>IFERROR(AVERAGEIF('Данные 2st'!$Q$2:$Q$317,$A7,'Данные 2st'!$IQ$2:$IQ$317),"")</f>
        <v>0</v>
      </c>
      <c r="OD7" s="7">
        <f>IFERROR(AVERAGEIF('Данные 2st'!$Q$2:$Q$317,$A7,'Данные 2st'!$IR$2:$IR$317),"")</f>
        <v>328.3333333333333</v>
      </c>
      <c r="OE7" s="7">
        <f>IFERROR(AVERAGEIF('Данные 2st'!$Q$2:$Q$317,$A7,'Данные 2st'!$IT$2:$IT$317),"")</f>
        <v>90</v>
      </c>
      <c r="OF7" s="7">
        <f>IFERROR(AVERAGEIF('Данные 2st'!$Q$2:$Q$317,$A7,'Данные 2st'!$IU$2:$IU$317),"")</f>
        <v>0</v>
      </c>
      <c r="OG7" s="7">
        <f>IFERROR(AVERAGEIF('Данные 2st'!$Q$2:$Q$317,$A7,'Данные 2st'!$IV$2:$IV$317),"")</f>
        <v>6.4</v>
      </c>
      <c r="OH7" s="7">
        <f>IFERROR(AVERAGEIF('Данные 2st'!$Q$2:$Q$317,$A7,'Данные 2st'!$IW$2:$IW$317),"")</f>
        <v>-6</v>
      </c>
      <c r="OI7" s="7">
        <f>IFERROR(AVERAGEIF('Данные 2st'!$Q$2:$Q$317,$A7,'Данные 2st'!$IX$2:$IX$317),"")</f>
        <v>80.0</v>
      </c>
      <c r="OJ7" s="7">
        <f>IFERROR(AVERAGEIF('Данные 2st'!$Q$2:$Q$317,$A7,'Данные 2st'!$IY$2:$IY$317),"")</f>
        <v>70.83333333333333</v>
      </c>
      <c r="OK7" s="7">
        <f>IFERROR(AVERAGEIF('Данные 2st'!$Q$2:$Q$317,$A7,'Данные 2st'!$IZ$2:$IZ$317),"")</f>
        <v>0</v>
      </c>
      <c r="OL7" s="7">
        <f>IFERROR(AVERAGEIF('Данные 2st'!$Q$2:$Q$317,$A7,'Данные 2st'!$JA$2:$JA$317),"")</f>
        <v>0</v>
      </c>
      <c r="OM7" s="7">
        <f>IFERROR(AVERAGEIF('Данные 2st'!$Q$2:$Q$317,$A7,'Данные 2st'!$JB$2:$JB$317),"")</f>
        <v>0</v>
      </c>
      <c r="ON7" s="7">
        <f>IFERROR(AVERAGEIF('Данные 2st'!$Q$2:$Q$317,$A7,'Данные 2st'!$JC$2:$JC$317),"")</f>
        <v>0</v>
      </c>
      <c r="OO7" s="7">
        <f>IFERROR(AVERAGEIF('Данные 2st'!$Q$2:$Q$317,$A7,'Данные 2st'!$JD$2:$JD$317),"")</f>
        <v>0</v>
      </c>
      <c r="OP7" s="7">
        <f>IFERROR(AVERAGEIF('Данные 2st'!$Q$2:$Q$317,$A7,'Данные 2st'!$JE$2:$JE$317),"")</f>
        <v>0</v>
      </c>
      <c r="OQ7" s="7">
        <f>IFERROR(AVERAGEIF('Данные 2st'!$Q$2:$Q$317,$A7,'Данные 2st'!$JF$2:$JF$317),"")</f>
        <v>0</v>
      </c>
      <c r="OR7" s="7">
        <f>IFERROR(AVERAGEIF('Данные 2st'!$Q$2:$Q$317,$A7,'Данные 2st'!$JG$2:$JG$317),"")</f>
        <v>0</v>
      </c>
      <c r="OS7" s="7">
        <f>IFERROR(AVERAGEIF('Данные 2st'!$Q$2:$Q$317,$A7,'Данные 2st'!$JH$2:$JH$317),"")</f>
        <v>0</v>
      </c>
      <c r="OT7" s="7">
        <f>IFERROR(AVERAGEIF('Данные 2st'!$Q$2:$Q$317,$A7,'Данные 2st'!$JI$2:$JI$317),"")</f>
        <v>338.6666666666667</v>
      </c>
      <c r="OU7" s="7">
        <f>IFERROR(AVERAGEIF('Данные 2st'!$Q$2:$Q$317,$A7,'Данные 2st'!$JJ$2:$JJ$317),"")</f>
        <v>306.6666666666667</v>
      </c>
      <c r="OV7" s="7">
        <f>IFERROR(AVERAGEIF('Данные 2st'!$Q$2:$Q$317,$A7,'Данные 2st'!$JK$2:$JK$317),"")</f>
        <v>228.33333333333334</v>
      </c>
      <c r="OW7" s="7">
        <f>IFERROR(AVERAGEIF('Данные 2st'!$Q$2:$Q$317,$A7,'Данные 2st'!$JL$2:$JL$317),"")</f>
        <v>302.6666666666667</v>
      </c>
      <c r="OX7" s="7">
        <f>IFERROR(AVERAGEIF('Данные 2st'!$Q$2:$Q$317,$A7,'Данные 2st'!$JM$2:$JM$317),"")</f>
        <v>239</v>
      </c>
      <c r="OY7" s="7">
        <f>IFERROR(AVERAGEIF('Данные 2st'!$Q$2:$Q$317,$A7,'Данные 2st'!$JP$2:$JP$317),"")</f>
        <v>235</v>
      </c>
      <c r="OZ7" s="7">
        <f>IFERROR(AVERAGEIF('Данные 2st'!$Q$2:$Q$317,$A7,'Данные 2st'!$JQ$2:$JQ$317),"")</f>
        <v>275</v>
      </c>
      <c r="PA7" s="7">
        <f>IFERROR(AVERAGEIF('Данные 2st'!$Q$2:$Q$317,$A7,'Данные 2st'!$JR$2:$JR$317),"")</f>
        <v>358.3333333333333</v>
      </c>
      <c r="PB7" s="7">
        <f>IFERROR(AVERAGEIF('Данные 2st'!$Q$2:$Q$317,$A7,'Данные 2st'!$JS$2:$JS$317),"")</f>
        <v>280</v>
      </c>
      <c r="PC7" s="7">
        <f>IFERROR(AVERAGEIF('Данные 2st'!$Q$2:$Q$317,$A7,'Данные 2st'!$JT$2:$JT$317),"")</f>
        <v>0</v>
      </c>
      <c r="PD7" s="7">
        <f>IFERROR(AVERAGEIF('Данные 2st'!$Q$2:$Q$317,$A7,'Данные 2st'!$JU$2:$JU$317),"")</f>
        <v>0</v>
      </c>
      <c r="PE7" s="7">
        <f>IFERROR(AVERAGEIF('Данные 2st'!$Q$2:$Q$317,$A7,'Данные 2st'!$JV$2:$JV$317),"")</f>
        <v>335</v>
      </c>
      <c r="PF7" s="7">
        <f>IFERROR(AVERAGEIF('Данные 2st'!$Q$2:$Q$317,$A7,'Данные 2st'!$JW$2:$JW$317),"")</f>
        <v>337</v>
      </c>
      <c r="PG7" s="7">
        <f>IFERROR(AVERAGEIF('Данные 2st'!$Q$2:$Q$317,$A7,'Данные 2st'!$KF$2:$KF$317),"")</f>
        <v>0.18666666666666668</v>
      </c>
      <c r="PH7" s="7">
        <f>IFERROR(AVERAGEIF('Данные 2st'!$Q$2:$Q$317,$A7,'Данные 2st'!$KG$2:$KG$317),"")</f>
        <v>0.09666666666666666</v>
      </c>
      <c r="PI7" s="7">
        <f>IFERROR(AVERAGEIF('Данные 2st'!$Q$2:$Q$317,$A7,'Данные 2st'!$KM$2:$KM$317),"")</f>
        <v>1</v>
      </c>
      <c r="PJ7" s="7">
        <f>IFERROR(AVERAGEIF('Данные 2st'!$Q$2:$Q$317,$A7,'Данные 2st'!$KN$2:$KN$317),"")</f>
        <v>1.4</v>
      </c>
      <c r="PK7" s="7">
        <f>IFERROR(AVERAGEIF('Данные 2st'!$Q$2:$Q$317,$A7,'Данные 2st'!$KO$2:$KO$317),"")</f>
        <v>1.3333333333333333</v>
      </c>
      <c r="PL7" s="7">
        <f>IFERROR(AVERAGEIF('Данные 2st'!$Q$2:$Q$317,$A7,'Данные 2st'!$KP$2:$KP$317),"")</f>
        <v>1.0</v>
      </c>
      <c r="PM7" s="7">
        <f>IFERROR(AVERAGEIF('Данные 2st'!$Q$2:$Q$317,$A7,'Данные 2st'!$KQ$2:$KQ$317),"")</f>
        <v>0.7666666666666667</v>
      </c>
      <c r="PN7" s="7">
        <f>IFERROR(AVERAGEIF('Данные 2st'!$Q$2:$Q$317,$A7,'Данные 2st'!$KR$2:$KR$317),"")</f>
        <v>1.2666666666666666</v>
      </c>
      <c r="PO7" s="7">
        <f>IFERROR(AVERAGEIF('Данные 2st'!$Q$2:$Q$317,$A7,'Данные 2st'!$KS$2:$KS$317),"")</f>
        <v>0</v>
      </c>
      <c r="PP7" s="7">
        <f>IFERROR(AVERAGEIF('Данные 2st'!$Q$2:$Q$317,$A7,'Данные 2st'!$KT$2:$KT$317),"")</f>
        <v>2.2666666666666666</v>
      </c>
      <c r="PQ7" s="7">
        <f>IFERROR(AVERAGEIF('Данные 2st'!$Q$2:$Q$317,$A7,'Данные 2st'!$KU$2:$KU$317),"")</f>
        <v>0.3333333333333333</v>
      </c>
      <c r="PR7" s="7">
        <f>IFERROR(AVERAGEIF('Данные 2st'!$Q$2:$Q$317,$A7,'Данные 2st'!$KV$2:$KV$317),"")</f>
        <v>0.9333333333333332</v>
      </c>
      <c r="PS7" s="7">
        <f>IFERROR(AVERAGEIF('Данные 2st'!$Q$2:$Q$317,$A7,'Данные 2st'!$KW$2:$KW$317),"")</f>
        <v>1.0666666666666667</v>
      </c>
      <c r="PT7" s="7">
        <f>IFERROR(AVERAGEIF('Данные 2st'!$Q$2:$Q$317,$A7,'Данные 2st'!$KX$2:$KX$317),"")</f>
        <v>2</v>
      </c>
      <c r="PU7" s="7">
        <f>IFERROR(AVERAGEIF('Данные 2st'!$Q$2:$Q$317,$A7,'Данные 2st'!$KY$2:$KY$317),"")</f>
        <v>0.3333333333333333</v>
      </c>
      <c r="PV7" s="7">
        <f>IFERROR(AVERAGEIF('Данные 2st'!$Q$2:$Q$317,$A7,'Данные 2st'!$KZ$2:$KZ$317),"")</f>
        <v>3.433333333333333</v>
      </c>
      <c r="PW7" s="7">
        <f>IFERROR(AVERAGEIF('Данные 2st'!$Q$2:$Q$317,$A7,'Данные 2st'!$LA$2:$LA$317),"")</f>
        <v>1.8666666666666667</v>
      </c>
      <c r="PX7" s="7">
        <f>IFERROR(AVERAGEIF('Данные 2st'!$Q$2:$Q$317,$A7,'Данные 2st'!$LB$2:$LB$317),"")</f>
        <v>9.333333333333334</v>
      </c>
      <c r="PY7" s="7">
        <f>IFERROR(AVERAGEIF('Данные 2st'!$Q$2:$Q$317,$A7,'Данные 2st'!$LC$2:$LC$317),"")</f>
        <v>2.8333333333333335</v>
      </c>
      <c r="PZ7" s="7">
        <f>IFERROR(AVERAGEIF('Данные 2st'!$Q$2:$Q$317,$A7,'Данные 2st'!$LD$2:$LD$317),"")</f>
        <v>3.2666666666666666</v>
      </c>
      <c r="QA7" s="7">
        <f>IFERROR(AVERAGEIF('Данные 2st'!$Q$2:$Q$317,$A7,'Данные 2st'!$LE$2:$LE$317),"")</f>
        <v>2.566666666666667</v>
      </c>
      <c r="QB7" s="7">
        <f>IFERROR(AVERAGEIF('Данные 2st'!$Q$2:$Q$317,$A7,'Данные 2st'!$LF$2:$LF$317),"")</f>
        <v>0</v>
      </c>
      <c r="QC7" s="7">
        <f>IFERROR(AVERAGEIF('Данные 2st'!$Q$2:$Q$317,$A7,'Данные 2st'!$LG$2:$LG$317),"")</f>
        <v>0</v>
      </c>
      <c r="QD7" s="7">
        <f>IFERROR(AVERAGEIF('Данные 2st'!$Q$2:$Q$317,$A7,'Данные 2st'!$LH$2:$LH$317),"")</f>
        <v>2</v>
      </c>
      <c r="QE7" s="7">
        <f>IFERROR(AVERAGEIF('Данные 2st'!$Q$2:$Q$317,$A7,'Данные 2st'!$LJ$2:$LJ$317),"")</f>
        <v>0.3333333333333333</v>
      </c>
      <c r="QF7" s="7">
        <f>IFERROR(AVERAGEIF('Данные 2st'!$Q$2:$Q$317,$A7,'Данные 2st'!$LK$2:$LK$317),"")</f>
        <v>7.666666666666667</v>
      </c>
      <c r="QG7" s="7">
        <f>IFERROR(AVERAGEIF('Данные 2st'!$Q$2:$Q$317,$A7,'Данные 2st'!$LL$2:$LL$317),"")</f>
        <v>8.333333333333334</v>
      </c>
      <c r="QH7" s="7">
        <f>IFERROR(AVERAGEIF('Данные 2st'!$Q$2:$Q$317,$A7,'Данные 2st'!$LM$2:$LM$317),"")</f>
        <v>7.333333333333333</v>
      </c>
      <c r="QI7" s="7">
        <f>IFERROR(AVERAGEIF('Данные 2st'!$Q$2:$Q$317,$A7,'Данные 2st'!$LN$2:$LN$317),"")</f>
        <v>0.1</v>
      </c>
      <c r="QJ7" s="7">
        <f>IFERROR(AVERAGEIF('Данные 2st'!$Q$2:$Q$317,$A7,'Данные 2st'!$LO$2:$LO$317),"")</f>
        <v>0.5666666666666667</v>
      </c>
      <c r="QK7" s="7">
        <f>IFERROR(AVERAGEIF('Данные 2st'!$Q$2:$Q$317,$A7,'Данные 2st'!$LP$2:$LP$317),"")</f>
        <v>0</v>
      </c>
      <c r="QL7" s="7">
        <f>IFERROR(AVERAGEIF('Данные 2st'!$Q$2:$Q$317,$A7,'Данные 2st'!$LQ$2:$LQ$317),"")</f>
        <v>0</v>
      </c>
      <c r="QM7" s="7">
        <f>IFERROR(AVERAGEIF('Данные 2st'!$Q$2:$Q$317,$A7,'Данные 2st'!$LW$2:$LW$317),"")</f>
        <v>0.4666666666666666</v>
      </c>
      <c r="QN7" s="7">
        <f>IFERROR(AVERAGEIF('Данные 2st'!$Q$2:$Q$317,$A7,'Данные 2st'!$LX$2:$LX$317),"")</f>
        <v>0.4666666666666666</v>
      </c>
      <c r="QO7" s="7">
        <f>IFERROR(AVERAGEIF('Данные 2st'!$Q$2:$Q$317,$A7,'Данные 2st'!$LY$2:$LY$317),"")</f>
        <v>0.7000000000000001</v>
      </c>
      <c r="QP7" s="7">
        <f>IFERROR(AVERAGEIF('Данные 2st'!$Q$2:$Q$317,$A7,'Данные 2st'!$LZ$2:$LZ$317),"")</f>
        <v>0.7000000000000001</v>
      </c>
      <c r="QQ7" s="7">
        <f>IFERROR(AVERAGEIF('Данные 2st'!$Q$2:$Q$317,$A7,'Данные 2st'!$MB$2:$MB$317),"")</f>
        <v>4.5</v>
      </c>
      <c r="QR7" s="7">
        <f>IFERROR(AVERAGEIF('Данные 2st'!$Q$2:$Q$317,$A7,'Данные 2st'!$MG$2:$MG$317),"")</f>
        <v>0</v>
      </c>
      <c r="QS7" s="7">
        <f>IFERROR(AVERAGEIF('Данные 2st'!$Q$2:$Q$317,$A7,'Данные 2st'!$MH$2:$MH$317),"")</f>
        <v>0</v>
      </c>
      <c r="QT7" s="7">
        <f>IFERROR(AVERAGEIF('Данные 2st'!$Q$2:$Q$317,$A7,'Данные 2st'!$MI$2:$MI$317),"")</f>
        <v>0</v>
      </c>
      <c r="QU7" s="7">
        <f>IFERROR(AVERAGEIF('Данные 2st'!$Q$2:$Q$317,$A7,'Данные 2st'!$MJ$2:$MJ$317),"")</f>
        <v>0</v>
      </c>
      <c r="QV7" s="7">
        <f>IFERROR(AVERAGEIF('Данные 2st'!$Q$2:$Q$317,$A7,'Данные 2st'!$MK$2:$MK$317),"")</f>
        <v>0</v>
      </c>
      <c r="QW7" s="7">
        <f>IFERROR(AVERAGEIF('Данные 2st'!$Q$2:$Q$317,$A7,'Данные 2st'!$MM$2:$MM$317),"")</f>
        <v>363.3333333333333</v>
      </c>
      <c r="QX7" s="7">
        <f>IFERROR(AVERAGEIF('Данные 2st'!$Q$2:$Q$317,$A7,'Данные 2st'!$MQ$2:$MQ$317),"")</f>
        <v/>
      </c>
      <c r="QY7" s="7">
        <f>IFERROR(AVERAGEIF('Данные 2st'!$Q$2:$Q$317,$A7,'Данные 2st'!$MR$2:$MR$317),"")</f>
        <v/>
      </c>
      <c r="QZ7" s="7">
        <f>IFERROR(AVERAGEIF('Данные 2st'!$Q$2:$Q$317,$A7,'Данные 2st'!$MS$2:$MS$317),"")</f>
        <v/>
      </c>
      <c r="RA7" s="7">
        <f>IFERROR(AVERAGEIF('Данные 2st'!$Q$2:$Q$317,$A7,'Данные 2st'!$MT$2:$MT$317),"")</f>
        <v/>
      </c>
      <c r="RB7" s="7">
        <f>IFERROR(AVERAGEIF('Данные 2st'!$Q$2:$Q$317,$A7,'Данные 2st'!$MU$2:$MU$317),"")</f>
        <v/>
      </c>
      <c r="RC7" s="7">
        <f>IFERROR(AVERAGEIF('Данные 2st'!$Q$2:$Q$317,$A7,'Данные 2st'!$MV$2:$MV$317),"")</f>
        <v/>
      </c>
      <c r="RD7" s="7">
        <f>IFERROR(AVERAGEIF('Данные 2st'!$Q$2:$Q$317,$A7,'Данные 2st'!$MW$2:$MW$317),"")</f>
        <v/>
      </c>
      <c r="RE7" s="7">
        <f>IFERROR(AVERAGEIF('Данные 2st'!$Q$2:$Q$317,$A7,'Данные 2st'!$MX$2:$MX$317),"")</f>
        <v/>
      </c>
      <c r="RF7" s="7">
        <f>IFERROR(AVERAGEIF('Данные 2st'!$Q$2:$Q$317,$A7,'Данные 2st'!$MY$2:$MY$317),"")</f>
        <v/>
      </c>
      <c r="RG7" s="7">
        <f>IFERROR(AVERAGEIF('Данные 2st'!$Q$2:$Q$317,$A7,'Данные 2st'!$MZ$2:$MZ$317),"")</f>
        <v/>
      </c>
      <c r="RH7" s="7">
        <f>IFERROR(AVERAGEIF('Данные 2st'!$Q$2:$Q$317,$A7,'Данные 2st'!$NA$2:$NA$317),"")</f>
        <v/>
      </c>
      <c r="RI7" s="7">
        <f>IFERROR(AVERAGEIF('Данные 2st'!$Q$2:$Q$317,$A7,'Данные 2st'!$NB$2:$NB$317),"")</f>
        <v/>
      </c>
      <c r="RJ7" s="7">
        <f>IFERROR(AVERAGEIF('Данные 2st'!$Q$2:$Q$317,$A7,'Данные 2st'!$NC$2:$NC$317),"")</f>
        <v/>
      </c>
      <c r="RK7" s="7">
        <f>IFERROR(AVERAGEIF('Данные 2st'!$Q$2:$Q$317,$A7,'Данные 2st'!$ND$2:$ND$317),"")</f>
        <v/>
      </c>
      <c r="RL7" s="7">
        <f>IFERROR(AVERAGEIF('Данные 2st'!$Q$2:$Q$317,$A7,'Данные 2st'!$NE$2:$NE$317),"")</f>
        <v/>
      </c>
      <c r="RM7" s="7">
        <f>IFERROR(AVERAGEIF('Данные 2st'!$Q$2:$Q$317,$A7,'Данные 2st'!$NF$2:$NF$317),"")</f>
        <v/>
      </c>
      <c r="RN7" s="7">
        <f>IFERROR(AVERAGEIF('Данные 2st'!$Q$2:$Q$317,$A7,'Данные 2st'!$NG$2:$NG$317),"")</f>
        <v/>
      </c>
      <c r="RO7" s="7">
        <f>IFERROR(AVERAGEIF('Данные 2st'!$Q$2:$Q$317,$A7,'Данные 2st'!$NH$2:$NH$317),"")</f>
        <v/>
      </c>
      <c r="RP7" s="7">
        <f>IFERROR(AVERAGEIF('Данные 2st'!$Q$2:$Q$317,$A7,'Данные 2st'!$NJ$2:$NJ$317),"")</f>
        <v/>
      </c>
      <c r="RQ7" s="7">
        <f>IFERROR(AVERAGEIF('Данные 2st'!$Q$2:$Q$317,$A7,'Данные 2st'!$NK$2:$NK$317),"")</f>
        <v/>
      </c>
      <c r="RR7" s="7">
        <f>IFERROR(AVERAGEIF('Данные 2st'!$Q$2:$Q$317,$A7,'Данные 2st'!$NM$2:$NM$317),"")</f>
        <v/>
      </c>
      <c r="RS7" s="7">
        <f>IFERROR(AVERAGEIF('Данные 2st'!$Q$2:$Q$317,$A7,'Данные 2st'!$NN$2:$NN$317),"")</f>
        <v/>
      </c>
      <c r="RT7" s="7">
        <f>IFERROR(AVERAGEIF('Данные 2st'!$Q$2:$Q$317,$A7,'Данные 2st'!$NO$2:$NO$317),"")</f>
        <v/>
      </c>
      <c r="RU7" s="7">
        <f>IFERROR(AVERAGEIF('Данные 2st'!$Q$2:$Q$317,$A7,'Данные 2st'!$NP$2:$NP$317),"")</f>
        <v/>
      </c>
      <c r="RV7" s="7">
        <f>IFERROR(AVERAGEIF('Данные 2st'!$Q$2:$Q$317,$A7,'Данные 2st'!$NQ$2:$NQ$317),"")</f>
        <v/>
      </c>
      <c r="RW7" s="7">
        <f>IFERROR(AVERAGEIF('Данные 2st'!$Q$2:$Q$317,$A7,'Данные 2st'!$NR$2:$NR$317),"")</f>
        <v/>
      </c>
      <c r="RX7" s="7">
        <f>IFERROR(AVERAGEIF('Данные 2st'!$Q$2:$Q$317,$A7,'Данные 2st'!$NS$2:$NS$317),"")</f>
        <v/>
      </c>
      <c r="RY7" s="7">
        <f>IFERROR(AVERAGEIF('Данные 2st'!$Q$2:$Q$317,$A7,'Данные 2st'!$NT$2:$NT$317),"")</f>
        <v/>
      </c>
      <c r="RZ7" s="7">
        <f>IFERROR(AVERAGEIF('Данные 2st'!$Q$2:$Q$317,$A7,'Данные 2st'!$OK$2:$OK$317),"")</f>
        <v>61</v>
      </c>
      <c r="SA7" s="7">
        <f>IFERROR(AVERAGEIF('Данные 2st'!$Q$2:$Q$317,$A7,'Данные 2st'!$OL$2:$OL$317),"")</f>
        <v>61</v>
      </c>
      <c r="SB7" s="7">
        <f>IFERROR(AVERAGEIF('Данные 2st'!$Q$2:$Q$317,$A7,'Данные 2st'!$ON$2:$ON$317),"")</f>
        <v>3</v>
      </c>
      <c r="SC7" s="7">
        <f>IFERROR(AVERAGEIF('Данные 2st'!$Q$2:$Q$317,$A7,'Данные 2st'!$OO$2:$OO$317),"")</f>
        <v>1739.6666666666667</v>
      </c>
      <c r="SD7" s="7">
        <f>IFERROR(AVERAGEIF('Данные 2st'!$Q$2:$Q$317,$A7,'Данные 2st'!$OP$2:$OP$317),"")</f>
        <v>61</v>
      </c>
      <c r="SE7" s="7">
        <f>IFERROR(AVERAGEIF('Данные 2st'!$Q$2:$Q$317,$A7,'Данные 2st'!$OQ$2:$OQ$317),"")</f>
        <v>61</v>
      </c>
      <c r="SF7" s="7">
        <f>IFERROR(AVERAGEIF('Данные 2st'!$Q$2:$Q$317,$A7,'Данные 2st'!$OS$2:$OS$317),"")</f>
        <v>3</v>
      </c>
      <c r="SG7" s="7">
        <f>IFERROR(AVERAGEIF('Данные 2st'!$Q$2:$Q$317,$A7,'Данные 2st'!$OT$2:$OT$317),"")</f>
        <v>1746.6666666666667</v>
      </c>
      <c r="SH7" s="7">
        <f>IFERROR(AVERAGEIF('Данные 2st'!$Q$2:$Q$317,$A7,'Данные 2st'!$OU$2:$OU$317),"")</f>
        <v>65</v>
      </c>
      <c r="SI7" s="7">
        <f>IFERROR(AVERAGEIF('Данные 2st'!$Q$2:$Q$317,$A7,'Данные 2st'!$OV$2:$OV$317),"")</f>
        <v>65</v>
      </c>
      <c r="SJ7" s="7">
        <f>IFERROR(AVERAGEIF('Данные 2st'!$Q$2:$Q$317,$A7,'Данные 2st'!$OX$2:$OX$317),"")</f>
        <v>1.3333333333333333</v>
      </c>
      <c r="SK7" s="7">
        <f>IFERROR(AVERAGEIF('Данные 2st'!$Q$2:$Q$317,$A7,'Данные 2st'!$OY$2:$OY$317),"")</f>
        <v>25988.666666666668</v>
      </c>
      <c r="SL7" s="7">
        <f>IFERROR(AVERAGEIF('Данные 2st'!$Q$2:$Q$317,$A7,'Данные 2st'!$OZ$2:$OZ$317),"")</f>
        <v>51</v>
      </c>
      <c r="SM7" s="7">
        <f>IFERROR(AVERAGEIF('Данные 2st'!$Q$2:$Q$317,$A7,'Данные 2st'!$PA$2:$PA$317),"")</f>
        <v>51.333333333333336</v>
      </c>
      <c r="SN7" s="7">
        <f>IFERROR(AVERAGEIF('Данные 2st'!$Q$2:$Q$317,$A7,'Данные 2st'!$PC$2:$PC$317),"")</f>
        <v>3</v>
      </c>
      <c r="SO7" s="7">
        <f>IFERROR(AVERAGEIF('Данные 2st'!$Q$2:$Q$317,$A7,'Данные 2st'!$PD$2:$PD$317),"")</f>
        <v>1778.6666666666667</v>
      </c>
      <c r="SP7" s="7">
        <f>IFERROR(AVERAGEIF('Данные 2st'!$Q$2:$Q$317,$A7,'Данные 2st'!$PF$2:$PF$317),"")</f>
        <v>280</v>
      </c>
      <c r="SQ7" s="7">
        <f>IFERROR(AVERAGEIF('Данные 2st'!$Q$2:$Q$317,$A7,'Данные 2st'!$PG$2:$PG$317),"")</f>
        <v>29</v>
      </c>
      <c r="SR7" s="7">
        <f>IFERROR(AVERAGEIF('Данные 2st'!$Q$2:$Q$317,$A7,'Данные 2st'!$PH$2:$PH$317),"")</f>
        <v>262</v>
      </c>
      <c r="SS7" s="7">
        <f>IFERROR(AVERAGEIF('Данные 2st'!$Q$2:$Q$317,$A7,'Данные 2st'!$PI$2:$PI$317),"")</f>
        <v>29</v>
      </c>
      <c r="ST7" s="7">
        <f>IFERROR(AVERAGEIF('Данные 2st'!$Q$2:$Q$317,$A7,'Данные 2st'!$PJ$2:$PJ$317),"")</f>
        <v>69.13333333333334</v>
      </c>
      <c r="SU7" s="7">
        <f>IFERROR(AVERAGEIF('Данные 2st'!$Q$2:$Q$317,$A7,'Данные 2st'!$PK$2:$PK$317),"")</f>
        <v>1704</v>
      </c>
      <c r="SV7" s="7">
        <f>IFERROR(AVERAGEIF('Данные 2st'!$Q$2:$Q$317,$A7,'Данные 2st'!$PL$2:$PL$317),"")</f>
        <v>909.1666666666666</v>
      </c>
      <c r="SW7" s="7">
        <f>IFERROR(AVERAGEIF('Данные 2st'!$Q$2:$Q$317,$A7,'Данные 2st'!$PM$2:$PM$317),"")</f>
        <v>631.4666666666667</v>
      </c>
      <c r="SX7" s="7">
        <f>IFERROR(AVERAGEIF('Данные 2st'!$Q$2:$Q$317,$A7,'Данные 2st'!$PN$2:$PN$317),"")</f>
        <v>79.23333333333333</v>
      </c>
      <c r="SY7" s="7">
        <f>IFERROR(AVERAGEIF('Данные 2st'!$Q$2:$Q$317,$A7,'Данные 2st'!$PO$2:$PO$317),"")</f>
        <v>9.25</v>
      </c>
      <c r="SZ7" s="7">
        <f>IFERROR(AVERAGEIF('Данные 2st'!$Q$2:$Q$317,$A7,'Данные 2st'!$PP$2:$PP$317),"")</f>
        <v>10.666666666666666</v>
      </c>
      <c r="TA7" s="7">
        <f>IFERROR(AVERAGEIF('Данные 2st'!$Q$2:$Q$317,$A7,'Данные 2st'!$PQ$2:$PQ$317),"")</f>
        <v>8</v>
      </c>
      <c r="TB7" s="7">
        <f>IFERROR(AVERAGEIF('Данные 2st'!$Q$2:$Q$317,$A7,'Данные 2st'!$PR$2:$PR$317),"")</f>
        <v>8</v>
      </c>
      <c r="TC7" s="7">
        <f>IFERROR(AVERAGEIF('Данные 2st'!$Q$2:$Q$317,$A7,'Данные 2st'!$PS$2:$PS$317),"")</f>
        <v>6</v>
      </c>
      <c r="TD7" s="7">
        <f>IFERROR(AVERAGEIF('Данные 2st'!$Q$2:$Q$317,$A7,'Данные 2st'!$PT$2:$PT$317),"")</f>
        <v>190.66666666666666</v>
      </c>
      <c r="TE7" s="7">
        <f>IFERROR(AVERAGEIF('Данные 2st'!$Q$2:$Q$317,$A7,'Данные 2st'!$PU$2:$PU$317),"")</f>
        <v>8.333333333333334</v>
      </c>
      <c r="TF7" s="7">
        <f>IFERROR(AVERAGEIF('Данные 2st'!$Q$2:$Q$317,$A7,'Данные 2st'!$PX$2:$PX$317),"")</f>
        <v>0</v>
      </c>
      <c r="TG7" s="7">
        <f>IFERROR(AVERAGEIF('Данные 2st'!$Q$2:$Q$317,$A7,'Данные 2st'!$PY$2:$PY$317),"")</f>
        <v>0</v>
      </c>
      <c r="TH7" s="7">
        <f>IFERROR(AVERAGEIF('Данные 2st'!$Q$2:$Q$317,$A7,'Данные 2st'!$PZ$2:$PZ$317),"")</f>
        <v>0</v>
      </c>
      <c r="TI7" s="7">
        <f>IFERROR(AVERAGEIF('Данные 2st'!$Q$2:$Q$317,$A7,'Данные 2st'!$QA$2:$QA$317),"")</f>
        <v>0</v>
      </c>
      <c r="TJ7" s="7">
        <f>IFERROR(AVERAGEIF('Данные 2st'!$Q$2:$Q$317,$A7,'Данные 2st'!$QB$2:$QB$317),"")</f>
        <v>0</v>
      </c>
      <c r="TK7" s="7">
        <f>IFERROR(AVERAGEIF('Данные 2st'!$Q$2:$Q$317,$A7,'Данные 2st'!$QC$2:$QC$317),"")</f>
        <v>0</v>
      </c>
      <c r="TL7" s="7">
        <f>IFERROR(AVERAGEIF('Данные 2st'!$Q$2:$Q$317,$A7,'Данные 2st'!$QD$2:$QD$317),"")</f>
        <v>0</v>
      </c>
      <c r="TM7" s="7">
        <f>IFERROR(AVERAGEIF('Данные 2st'!$Q$2:$Q$317,$A7,'Данные 2st'!$QE$2:$QE$317),"")</f>
        <v>-1</v>
      </c>
      <c r="TN7" s="7">
        <f>IFERROR(AVERAGEIF('Данные 2st'!$Q$2:$Q$317,$A7,'Данные 2st'!$QF$2:$QF$317),"")</f>
        <v>1</v>
      </c>
      <c r="TO7" s="7">
        <f>IFERROR(AVERAGEIF('Данные 2st'!$Q$2:$Q$317,$A7,'Данные 2st'!$QG$2:$QG$317),"")</f>
        <v>0</v>
      </c>
      <c r="TP7" s="7">
        <f>IFERROR(AVERAGEIF('Данные 2st'!$Q$2:$Q$317,$A7,'Данные 2st'!$QH$2:$QH$317),"")</f>
        <v>5</v>
      </c>
      <c r="TQ7" s="7">
        <f>IFERROR(AVERAGEIF('Данные 2st'!$Q$2:$Q$317,$A7,'Данные 2st'!$QI$2:$QI$317),"")</f>
        <v>5</v>
      </c>
      <c r="TR7" s="7">
        <f>IFERROR(AVERAGEIF('Данные 2st'!$Q$2:$Q$317,$A7,'Данные 2st'!$QJ$2:$QJ$317),"")</f>
        <v>5</v>
      </c>
      <c r="TS7" s="7">
        <f>IFERROR(AVERAGEIF('Данные 2st'!$Q$2:$Q$317,$A7,'Данные 2st'!$QK$2:$QK$317),"")</f>
        <v>163</v>
      </c>
      <c r="TT7" s="7">
        <f>IFERROR(AVERAGEIF('Данные 2st'!$Q$2:$Q$317,$A7,'Данные 2st'!$QL$2:$QL$317),"")</f>
        <v>371.3333333333333</v>
      </c>
      <c r="TU7" s="7">
        <f>IFERROR(AVERAGEIF('Данные 2st'!$Q$2:$Q$317,$A7,'Данные 2st'!$QM$2:$QM$317),"")</f>
        <v>7.5</v>
      </c>
      <c r="TV7" s="7">
        <f>IFERROR(AVERAGEIF('Данные 2st'!$Q$2:$Q$317,$A7,'Данные 2st'!$QN$2:$QN$317),"")</f>
        <v>1123.5333333333333</v>
      </c>
      <c r="TW7" s="7">
        <f>IFERROR(AVERAGEIF('Данные 2st'!$Q$2:$Q$317,$A7,'Данные 2st'!$QQ$2:$QQ$317),"")</f>
        <v>0</v>
      </c>
      <c r="TX7" s="7">
        <f>IFERROR(AVERAGEIF('Данные 2st'!$Q$2:$Q$317,$A7,'Данные 2st'!$QS$2:$QS$317),"")</f>
        <v>30</v>
      </c>
      <c r="TY7" s="7">
        <f>IFERROR(AVERAGEIF('Данные 2st'!$Q$2:$Q$317,$A7,'Данные 2st'!$QT$2:$QT$317),"")</f>
        <v>40</v>
      </c>
    </row>
    <row r="8" spans="1:545" ht="32" customHeight="1">
      <c r="A8" s="11" t="s">
        <v>1480</v>
      </c>
      <c r="B8">
        <f>COUNTIF('Данные 1st'!$S$2:$S$317,$A8)</f>
        <v>7</v>
      </c>
      <c r="C8" s="6" t="s">
        <v>5082</v>
      </c>
      <c r="D8" s="6" t="s">
        <v>513</v>
      </c>
      <c r="E8" s="6" t="s">
        <v>5125</v>
      </c>
      <c r="F8" s="6" t="s">
        <v>5132</v>
      </c>
      <c r="G8" s="7">
        <f>IFERROR(AVERAGEIF('Данные 1st'!$S$2:$S$317,$A8,'Данные 1st'!$AE$2:$AE$317),"")</f>
        <v>171.71428571428572</v>
      </c>
      <c r="H8" s="7">
        <f>IFERROR(AVERAGEIF('Данные 1st'!$S$2:$S$317,$A8,'Данные 1st'!$AF$2:$AF$317),"")</f>
        <v>1.5</v>
      </c>
      <c r="I8" s="7">
        <f>IFERROR(AVERAGEIF('Данные 1st'!$S$2:$S$317,$A8,'Данные 1st'!$AJ$2:$AJ$317),"")</f>
        <v>173.21428571428572</v>
      </c>
      <c r="J8" s="7">
        <f>IFERROR(AVERAGEIF('Данные 1st'!$S$2:$S$317,$A8,'Данные 1st'!$AL$2:$AL$317),"")</f>
        <v>1.5</v>
      </c>
      <c r="K8" s="7">
        <f>IFERROR(AVERAGEIF('Данные 1st'!$S$2:$S$317,$A8,'Данные 1st'!$AR$2:$AR$317),"")</f>
        <v>58.714285714285715</v>
      </c>
      <c r="L8" s="7">
        <f>IFERROR(AVERAGEIF('Данные 1st'!$S$2:$S$317,$A8,'Данные 1st'!$AS$2:$AS$317),"")</f>
        <v>1.5</v>
      </c>
      <c r="M8" s="7">
        <f>IFERROR(AVERAGEIF('Данные 1st'!$S$2:$S$317,$A8,'Данные 1st'!$AY$2:$AY$317),"")</f>
        <v>294.64285714285717</v>
      </c>
      <c r="N8" s="7">
        <f>IFERROR(AVERAGEIF('Данные 1st'!$S$2:$S$317,$A8,'Данные 1st'!$AZ$2:$AZ$317),"")</f>
        <v>1.5</v>
      </c>
      <c r="O8" s="7">
        <f>IFERROR(AVERAGEIF('Данные 1st'!$S$2:$S$317,$A8,'Данные 1st'!$BF$2:$BF$317),"")</f>
        <v/>
      </c>
      <c r="P8" s="7">
        <f>IFERROR(AVERAGEIF('Данные 1st'!$S$2:$S$317,$A8,'Данные 1st'!$BG$2:$BG$317),"")</f>
        <v>1.5</v>
      </c>
      <c r="Q8" s="7">
        <f>IFERROR(AVERAGEIF('Данные 1st'!$S$2:$S$317,$A8,'Данные 1st'!$BM$2:$BM$317),"")</f>
        <v/>
      </c>
      <c r="R8" s="7">
        <f>IFERROR(AVERAGEIF('Данные 1st'!$S$2:$S$317,$A8,'Данные 1st'!$BN$2:$BN$317),"")</f>
        <v>1.5</v>
      </c>
      <c r="S8" s="7">
        <f>IFERROR(AVERAGEIF('Данные 1st'!$S$2:$S$317,$A8,'Данные 1st'!$BT$2:$BT$317),"")</f>
        <v>186.42857142857142</v>
      </c>
      <c r="T8" s="7">
        <f>IFERROR(AVERAGEIF('Данные 1st'!$S$2:$S$317,$A8,'Данные 1st'!$BU$2:$BU$317),"")</f>
        <v>0.5</v>
      </c>
      <c r="U8" s="7">
        <f>IFERROR(AVERAGEIF('Данные 1st'!$S$2:$S$317,$A8,'Данные 1st'!$BW$2:$BW$317),"")</f>
        <v>372.85714285714283</v>
      </c>
      <c r="V8" s="7">
        <f>IFERROR(AVERAGEIF('Данные 1st'!$S$2:$S$317,$A8,'Данные 1st'!$BX$2:$BX$317),"")</f>
        <v>1</v>
      </c>
      <c r="W8" s="7">
        <f>IFERROR(AVERAGEIF('Данные 1st'!$S$2:$S$317,$A8,'Данные 1st'!$BZ$2:$BZ$317),"")</f>
        <v>300</v>
      </c>
      <c r="X8" s="7">
        <f>IFERROR(AVERAGEIF('Данные 1st'!$S$2:$S$317,$A8,'Данные 1st'!$CA$2:$CA$317),"")</f>
        <v>488.57142857142856</v>
      </c>
      <c r="Y8" s="7">
        <f>IFERROR(AVERAGEIF('Данные 1st'!$S$2:$S$317,$A8,'Данные 1st'!$CD$2:$CD$317),"")</f>
        <v>392.2857142857143</v>
      </c>
      <c r="Z8" s="7">
        <f>IFERROR(AVERAGEIF('Данные 1st'!$S$2:$S$317,$A8,'Данные 1st'!$CF$2:$CF$317),"")</f>
        <v>15</v>
      </c>
      <c r="AA8" s="7">
        <f>IFERROR(AVERAGEIF('Данные 1st'!$S$2:$S$317,$A8,'Данные 1st'!$CI$2:$CI$317),"")</f>
        <v>94.28571428571429</v>
      </c>
      <c r="AB8" s="7">
        <f>IFERROR(AVERAGEIF('Данные 1st'!$S$2:$S$317,$A8,'Данные 1st'!$CJ$2:$CJ$317),"")</f>
        <v>1122</v>
      </c>
      <c r="AC8" s="7">
        <f>IFERROR(AVERAGEIF('Данные 1st'!$S$2:$S$317,$A8,'Данные 1st'!$CK$2:$CK$317),"")</f>
        <v>2</v>
      </c>
      <c r="AD8" s="7">
        <f>IFERROR(AVERAGEIF('Данные 1st'!$S$2:$S$317,$A8,'Данные 1st'!$CL$2:$CL$317),"")</f>
        <v>1222</v>
      </c>
      <c r="AE8" s="7">
        <f>IFERROR(AVERAGEIF('Данные 1st'!$S$2:$S$317,$A8,'Данные 1st'!$CM$2:$CM$317),"")</f>
        <v>2</v>
      </c>
      <c r="AF8" s="7">
        <f>IFERROR(AVERAGEIF('Данные 1st'!$S$2:$S$317,$A8,'Данные 1st'!$CT$2:$CT$317),"")</f>
        <v>346.42857142857144</v>
      </c>
      <c r="AG8" s="7">
        <f>IFERROR(AVERAGEIF('Данные 1st'!$S$2:$S$317,$A8,'Данные 1st'!$CU$2:$CU$317),"")</f>
        <v>5</v>
      </c>
      <c r="AH8" s="7">
        <f>IFERROR(AVERAGEIF('Данные 1st'!$S$2:$S$317,$A8,'Данные 1st'!$CV$2:$CV$317),"")</f>
        <v>1.2285714285714286</v>
      </c>
      <c r="AI8" s="7">
        <f>IFERROR(AVERAGEIF('Данные 1st'!$S$2:$S$317,$A8,'Данные 1st'!$CW$2:$CW$317),"")</f>
        <v>1137.4285714285713</v>
      </c>
      <c r="AJ8" s="7">
        <f>IFERROR(AVERAGEIF('Данные 1st'!$S$2:$S$317,$A8,'Данные 1st'!$CX$2:$CX$317),"")</f>
        <v>570.7142857142857</v>
      </c>
      <c r="AK8" s="7">
        <f>IFERROR(AVERAGEIF('Данные 1st'!$S$2:$S$317,$A8,'Данные 1st'!$CZ$2:$CZ$317),"")</f>
        <v>50</v>
      </c>
      <c r="AL8" s="7">
        <f>IFERROR(AVERAGEIF('Данные 1st'!$S$2:$S$317,$A8,'Данные 1st'!$DA$2:$DA$317),"")</f>
        <v>3</v>
      </c>
      <c r="AM8" s="7">
        <f>IFERROR(AVERAGEIF('Данные 1st'!$S$2:$S$317,$A8,'Данные 1st'!$DB$2:$DB$317),"")</f>
        <v>1</v>
      </c>
      <c r="AN8" s="7">
        <f>IFERROR(AVERAGEIF('Данные 1st'!$S$2:$S$317,$A8,'Данные 1st'!$DC$2:$DC$317),"")</f>
        <v>1141</v>
      </c>
      <c r="AO8" s="7">
        <f>IFERROR(AVERAGEIF('Данные 1st'!$S$2:$S$317,$A8,'Данные 1st'!$DD$2:$DD$317),"")</f>
        <v>17.142857142857142</v>
      </c>
      <c r="AP8" s="7">
        <f>IFERROR(AVERAGEIF('Данные 1st'!$S$2:$S$317,$A8,'Данные 1st'!$DF$2:$DF$317),"")</f>
        <v>589.2857142857143</v>
      </c>
      <c r="AQ8" s="7">
        <f>IFERROR(AVERAGEIF('Данные 1st'!$S$2:$S$317,$A8,'Данные 1st'!$DG$2:$DG$317),"")</f>
        <v>3</v>
      </c>
      <c r="AR8" s="7">
        <f>IFERROR(AVERAGEIF('Данные 1st'!$S$2:$S$317,$A8,'Данные 1st'!$DH$2:$DH$317),"")</f>
        <v>1.0085714285714285</v>
      </c>
      <c r="AS8" s="7">
        <f>IFERROR(AVERAGEIF('Данные 1st'!$S$2:$S$317,$A8,'Данные 1st'!$DI$2:$DI$317),"")</f>
        <v>1134</v>
      </c>
      <c r="AT8" s="7">
        <f>IFERROR(AVERAGEIF('Данные 1st'!$S$2:$S$317,$A8,'Данные 1st'!$DJ$2:$DJ$317),"")</f>
        <v>905.1428571428571</v>
      </c>
      <c r="AU8" s="7">
        <f>IFERROR(AVERAGEIF('Данные 1st'!$S$2:$S$317,$A8,'Данные 1st'!$DL$2:$DL$317),"")</f>
        <v/>
      </c>
      <c r="AV8" s="7">
        <f>IFERROR(AVERAGEIF('Данные 1st'!$S$2:$S$317,$A8,'Данные 1st'!$DM$2:$DM$317),"")</f>
        <v/>
      </c>
      <c r="AW8" s="7">
        <f>IFERROR(AVERAGEIF('Данные 1st'!$S$2:$S$317,$A8,'Данные 1st'!$DN$2:$DN$317),"")</f>
        <v/>
      </c>
      <c r="AX8" s="7">
        <f>IFERROR(AVERAGEIF('Данные 1st'!$S$2:$S$317,$A8,'Данные 1st'!$DO$2:$DO$317),"")</f>
        <v/>
      </c>
      <c r="AY8" s="7">
        <f>IFERROR(AVERAGEIF('Данные 1st'!$S$2:$S$317,$A8,'Данные 1st'!$DP$2:$DP$317),"")</f>
        <v/>
      </c>
      <c r="AZ8" s="7">
        <f>IFERROR(AVERAGEIF('Данные 1st'!$S$2:$S$317,$A8,'Данные 1st'!$DR$2:$DR$317),"")</f>
        <v/>
      </c>
      <c r="BA8" s="7">
        <f>IFERROR(AVERAGEIF('Данные 1st'!$S$2:$S$317,$A8,'Данные 1st'!$DS$2:$DS$317),"")</f>
        <v/>
      </c>
      <c r="BB8" s="7">
        <f>IFERROR(AVERAGEIF('Данные 1st'!$S$2:$S$317,$A8,'Данные 1st'!$DT$2:$DT$317),"")</f>
        <v/>
      </c>
      <c r="BC8" s="7">
        <f>IFERROR(AVERAGEIF('Данные 1st'!$S$2:$S$317,$A8,'Данные 1st'!$DU$2:$DU$317),"")</f>
        <v/>
      </c>
      <c r="BD8" s="7">
        <f>IFERROR(AVERAGEIF('Данные 1st'!$S$2:$S$317,$A8,'Данные 1st'!$DV$2:$DV$317),"")</f>
        <v/>
      </c>
      <c r="BE8" s="7">
        <f>IFERROR(AVERAGEIF('Данные 1st'!$S$2:$S$317,$A8,'Данные 1st'!$DX$2:$DX$317),"")</f>
        <v>7.5</v>
      </c>
      <c r="BF8" s="7">
        <f>IFERROR(AVERAGEIF('Данные 1st'!$S$2:$S$317,$A8,'Данные 1st'!$EA$2:$EA$317),"")</f>
        <v>1202.9285714285716</v>
      </c>
      <c r="BG8" s="7">
        <f>IFERROR(AVERAGEIF('Данные 1st'!$S$2:$S$317,$A8,'Данные 1st'!$EB$2:$EB$317),"")</f>
        <v>157</v>
      </c>
      <c r="BH8" s="7">
        <f>IFERROR(AVERAGEIF('Данные 1st'!$S$2:$S$317,$A8,'Данные 1st'!$ED$2:$ED$317),"")</f>
        <v>33.57142857142857</v>
      </c>
      <c r="BI8" s="7">
        <f>IFERROR(AVERAGEIF('Данные 1st'!$S$2:$S$317,$A8,'Данные 1st'!$EE$2:$EE$317),"")</f>
        <v>3</v>
      </c>
      <c r="BJ8" s="7">
        <f>IFERROR(AVERAGEIF('Данные 1st'!$S$2:$S$317,$A8,'Данные 1st'!$EG$2:$EG$317),"")</f>
        <v>1233.2857142857142</v>
      </c>
      <c r="BK8" s="7">
        <f>IFERROR(AVERAGEIF('Данные 1st'!$S$2:$S$317,$A8,'Данные 1st'!$EH$2:$EH$317),"")</f>
        <v>162.71428571428572</v>
      </c>
      <c r="BL8" s="7">
        <f>IFERROR(AVERAGEIF('Данные 1st'!$S$2:$S$317,$A8,'Данные 1st'!$EJ$2:$EJ$317),"")</f>
        <v>0</v>
      </c>
      <c r="BM8" s="7">
        <f>IFERROR(AVERAGEIF('Данные 1st'!$S$2:$S$317,$A8,'Данные 1st'!$EK$2:$EK$317),"")</f>
        <v>1</v>
      </c>
      <c r="BN8" s="7">
        <f>IFERROR(AVERAGEIF('Данные 1st'!$S$2:$S$317,$A8,'Данные 1st'!$EN$2:$EN$317),"")</f>
        <v>0</v>
      </c>
      <c r="BO8" s="7">
        <f>IFERROR(AVERAGEIF('Данные 1st'!$S$2:$S$317,$A8,'Данные 1st'!$EQ$2:$EQ$317),"")</f>
        <v>97.14285714285714</v>
      </c>
      <c r="BP8" s="7">
        <f>IFERROR(AVERAGEIF('Данные 1st'!$S$2:$S$317,$A8,'Данные 1st'!$ER$2:$ER$317),"")</f>
        <v>3</v>
      </c>
      <c r="BQ8" s="7">
        <f>IFERROR(AVERAGEIF('Данные 1st'!$S$2:$S$317,$A8,'Данные 1st'!$ES$2:$ES$317),"")</f>
        <v>5.071428571428571</v>
      </c>
      <c r="BR8" s="7">
        <f>IFERROR(AVERAGEIF('Данные 1st'!$S$2:$S$317,$A8,'Данные 1st'!$ET$2:$ET$317),"")</f>
        <v>1117.4285714285713</v>
      </c>
      <c r="BS8" s="7">
        <f>IFERROR(AVERAGEIF('Данные 1st'!$S$2:$S$317,$A8,'Данные 1st'!$EU$2:$EU$317),"")</f>
        <v>374.8</v>
      </c>
      <c r="BT8" s="7">
        <f>IFERROR(AVERAGEIF('Данные 1st'!$S$2:$S$317,$A8,'Данные 1st'!$EV$2:$EV$317),"")</f>
        <v>418.7142857142857</v>
      </c>
      <c r="BU8" s="7">
        <f>IFERROR(AVERAGEIF('Данные 1st'!$S$2:$S$317,$A8,'Данные 1st'!$EX$2:$EX$317),"")</f>
        <v>62.857142857142854</v>
      </c>
      <c r="BV8" s="7">
        <f>IFERROR(AVERAGEIF('Данные 1st'!$S$2:$S$317,$A8,'Данные 1st'!$EY$2:$EY$317),"")</f>
        <v>2</v>
      </c>
      <c r="BW8" s="7">
        <f>IFERROR(AVERAGEIF('Данные 1st'!$S$2:$S$317,$A8,'Данные 1st'!$EZ$2:$EZ$317),"")</f>
        <v>4.085714285714285</v>
      </c>
      <c r="BX8" s="7">
        <f>IFERROR(AVERAGEIF('Данные 1st'!$S$2:$S$317,$A8,'Данные 1st'!$FA$2:$FA$317),"")</f>
        <v>1117.4285714285713</v>
      </c>
      <c r="BY8" s="7">
        <f>IFERROR(AVERAGEIF('Данные 1st'!$S$2:$S$317,$A8,'Данные 1st'!$FB$2:$FB$317),"")</f>
        <v>179.78571428571428</v>
      </c>
      <c r="BZ8" s="7">
        <f>IFERROR(AVERAGEIF('Данные 1st'!$S$2:$S$317,$A8,'Данные 1st'!$FC$2:$FC$317),"")</f>
        <v>200.85714285714286</v>
      </c>
      <c r="CA8" s="7">
        <f>IFERROR(AVERAGEIF('Данные 1st'!$S$2:$S$317,$A8,'Данные 1st'!$FE$2:$FE$317),"")</f>
        <v>0</v>
      </c>
      <c r="CB8" s="7">
        <f>IFERROR(AVERAGEIF('Данные 1st'!$S$2:$S$317,$A8,'Данные 1st'!$FF$2:$FF$317),"")</f>
        <v>2</v>
      </c>
      <c r="CC8" s="7">
        <f>IFERROR(AVERAGEIF('Данные 1st'!$S$2:$S$317,$A8,'Данные 1st'!$FI$2:$FI$317),"")</f>
        <v>0</v>
      </c>
      <c r="CD8" s="7">
        <f>IFERROR(AVERAGEIF('Данные 1st'!$S$2:$S$317,$A8,'Данные 1st'!$FL$2:$FL$317),"")</f>
        <v>0.5142857142857142</v>
      </c>
      <c r="CE8" s="7">
        <f>IFERROR(AVERAGEIF('Данные 1st'!$S$2:$S$317,$A8,'Данные 1st'!$FM$2:$FM$317),"")</f>
        <v>72.14285714285714</v>
      </c>
      <c r="CF8" s="7">
        <f>IFERROR(AVERAGEIF('Данные 1st'!$S$2:$S$317,$A8,'Данные 1st'!$FN$2:$FN$317),"")</f>
        <v>155.71428571428572</v>
      </c>
      <c r="CG8" s="7">
        <f>IFERROR(AVERAGEIF('Данные 1st'!$S$2:$S$317,$A8,'Данные 1st'!$FO$2:$FO$317),"")</f>
        <v>70</v>
      </c>
      <c r="CH8" s="7">
        <f>IFERROR(AVERAGEIF('Данные 1st'!$S$2:$S$317,$A8,'Данные 1st'!$FP$2:$FP$317),"")</f>
        <v>95</v>
      </c>
      <c r="CI8" s="7">
        <f>IFERROR(AVERAGEIF('Данные 1st'!$S$2:$S$317,$A8,'Данные 1st'!$FS$2:$FS$317),"")</f>
        <v>0.4</v>
      </c>
      <c r="CJ8" s="7">
        <f>IFERROR(AVERAGEIF('Данные 1st'!$S$2:$S$317,$A8,'Данные 1st'!$FT$2:$FT$317),"")</f>
        <v>30</v>
      </c>
      <c r="CK8" s="7">
        <f>IFERROR(AVERAGEIF('Данные 1st'!$S$2:$S$317,$A8,'Данные 1st'!$FU$2:$FU$317),"")</f>
        <v>335</v>
      </c>
      <c r="CL8" s="7">
        <f>IFERROR(AVERAGEIF('Данные 1st'!$S$2:$S$317,$A8,'Данные 1st'!$FV$2:$FV$317),"")</f>
        <v>30</v>
      </c>
      <c r="CM8" s="7">
        <f>IFERROR(AVERAGEIF('Данные 1st'!$S$2:$S$317,$A8,'Данные 1st'!$FW$2:$FW$317),"")</f>
        <v>200</v>
      </c>
      <c r="CN8" s="7">
        <f>IFERROR(AVERAGEIF('Данные 1st'!$S$2:$S$317,$A8,'Данные 1st'!$FZ$2:$FZ$317),"")</f>
        <v>1</v>
      </c>
      <c r="CO8" s="7">
        <f>IFERROR(AVERAGEIF('Данные 1st'!$S$2:$S$317,$A8,'Данные 1st'!$GA$2:$GA$317),"")</f>
        <v>20</v>
      </c>
      <c r="CP8" s="7">
        <f>IFERROR(AVERAGEIF('Данные 1st'!$S$2:$S$317,$A8,'Данные 1st'!$GB$2:$GB$317),"")</f>
        <v>130</v>
      </c>
      <c r="CQ8" s="7">
        <f>IFERROR(AVERAGEIF('Данные 1st'!$S$2:$S$317,$A8,'Данные 1st'!$GH$2:$GH$317),"")</f>
        <v>1</v>
      </c>
      <c r="CR8" s="7">
        <f>IFERROR(AVERAGEIF('Данные 1st'!$S$2:$S$317,$A8,'Данные 1st'!$GI$2:$GI$317),"")</f>
        <v>20</v>
      </c>
      <c r="CS8" s="7">
        <f>IFERROR(AVERAGEIF('Данные 1st'!$S$2:$S$317,$A8,'Данные 1st'!$GJ$2:$GJ$317),"")</f>
        <v>130</v>
      </c>
      <c r="CT8" s="7">
        <f>IFERROR(AVERAGEIF('Данные 1st'!$S$2:$S$317,$A8,'Данные 1st'!$GS$2:$GS$317),"")</f>
        <v/>
      </c>
      <c r="CU8" s="7">
        <f>IFERROR(AVERAGEIF('Данные 1st'!$S$2:$S$317,$A8,'Данные 1st'!$GT$2:$GT$317),"")</f>
        <v/>
      </c>
      <c r="CV8" s="7">
        <f>IFERROR(AVERAGEIF('Данные 1st'!$S$2:$S$317,$A8,'Данные 1st'!$GU$2:$GU$317),"")</f>
        <v/>
      </c>
      <c r="CW8" s="7">
        <f>IFERROR(AVERAGEIF('Данные 1st'!$S$2:$S$317,$A8,'Данные 1st'!$GV$2:$GV$317),"")</f>
        <v/>
      </c>
      <c r="CX8" s="7">
        <f>IFERROR(AVERAGEIF('Данные 1st'!$S$2:$S$317,$A8,'Данные 1st'!$GW$2:$GW$317),"")</f>
        <v/>
      </c>
      <c r="CY8" s="7">
        <f>IFERROR(AVERAGEIF('Данные 1st'!$S$2:$S$317,$A8,'Данные 1st'!$GZ$2:$GZ$317),"")</f>
        <v/>
      </c>
      <c r="CZ8" s="7">
        <f>IFERROR(AVERAGEIF('Данные 1st'!$S$2:$S$317,$A8,'Данные 1st'!$HA$2:$HA$317),"")</f>
        <v/>
      </c>
      <c r="DA8" s="7">
        <f>IFERROR(AVERAGEIF('Данные 1st'!$S$2:$S$317,$A8,'Данные 1st'!$HB$2:$HB$317),"")</f>
        <v/>
      </c>
      <c r="DB8" s="7">
        <f>IFERROR(AVERAGEIF('Данные 1st'!$S$2:$S$317,$A8,'Данные 1st'!$HC$2:$HC$317),"")</f>
        <v>0.1</v>
      </c>
      <c r="DC8" s="7">
        <f>IFERROR(AVERAGEIF('Данные 1st'!$S$2:$S$317,$A8,'Данные 1st'!$HD$2:$HD$317),"")</f>
        <v>3</v>
      </c>
      <c r="DD8" s="7">
        <f>IFERROR(AVERAGEIF('Данные 1st'!$S$2:$S$317,$A8,'Данные 1st'!$HE$2:$HE$317),"")</f>
        <v>3</v>
      </c>
      <c r="DE8" s="7">
        <f>IFERROR(AVERAGEIF('Данные 1st'!$S$2:$S$317,$A8,'Данные 1st'!$HF$2:$HF$317),"")</f>
        <v>3</v>
      </c>
      <c r="DF8" s="7">
        <f>IFERROR(AVERAGEIF('Данные 1st'!$S$2:$S$317,$A8,'Данные 1st'!$HG$2:$HG$317),"")</f>
        <v>3</v>
      </c>
      <c r="DG8" s="7">
        <f>IFERROR(AVERAGEIF('Данные 1st'!$S$2:$S$317,$A8,'Данные 1st'!$HH$2:$HH$317),"")</f>
        <v>3</v>
      </c>
      <c r="DH8" s="7">
        <f>IFERROR(AVERAGEIF('Данные 1st'!$S$2:$S$317,$A8,'Данные 1st'!$HI$2:$HI$317),"")</f>
        <v>145</v>
      </c>
      <c r="DI8" s="7">
        <f>IFERROR(AVERAGEIF('Данные 1st'!$S$2:$S$317,$A8,'Данные 1st'!$HJ$2:$HJ$317),"")</f>
        <v>3</v>
      </c>
      <c r="DJ8" s="7">
        <f>IFERROR(AVERAGEIF('Данные 1st'!$S$2:$S$317,$A8,'Данные 1st'!$HK$2:$HK$317),"")</f>
        <v>47.857142857142854</v>
      </c>
      <c r="DK8" s="7">
        <f>IFERROR(AVERAGEIF('Данные 1st'!$S$2:$S$317,$A8,'Данные 1st'!$HL$2:$HL$317),"")</f>
        <v>2</v>
      </c>
      <c r="DL8" s="7">
        <f>IFERROR(AVERAGEIF('Данные 1st'!$S$2:$S$317,$A8,'Данные 1st'!$HM$2:$HM$317),"")</f>
        <v>0</v>
      </c>
      <c r="DM8" s="7">
        <f>IFERROR(AVERAGEIF('Данные 1st'!$S$2:$S$317,$A8,'Данные 1st'!$HN$2:$HN$317),"")</f>
        <v>2</v>
      </c>
      <c r="DN8" s="7">
        <f>IFERROR(AVERAGEIF('Данные 1st'!$S$2:$S$317,$A8,'Данные 1st'!$HO$2:$HO$317),"")</f>
        <v>82.14285714285714</v>
      </c>
      <c r="DO8" s="7">
        <f>IFERROR(AVERAGEIF('Данные 1st'!$S$2:$S$317,$A8,'Данные 1st'!$HP$2:$HP$317),"")</f>
        <v>3</v>
      </c>
      <c r="DP8" s="7">
        <f>IFERROR(AVERAGEIF('Данные 1st'!$S$2:$S$317,$A8,'Данные 1st'!$HQ$2:$HQ$317),"")</f>
        <v>0</v>
      </c>
      <c r="DQ8" s="7">
        <f>IFERROR(AVERAGEIF('Данные 1st'!$S$2:$S$317,$A8,'Данные 1st'!$HR$2:$HR$317),"")</f>
        <v>2</v>
      </c>
      <c r="DR8" s="7">
        <f>IFERROR(AVERAGEIF('Данные 1st'!$S$2:$S$317,$A8,'Данные 1st'!$HS$2:$HS$317),"")</f>
        <v>3388.714285714286</v>
      </c>
      <c r="DS8" s="7">
        <f>IFERROR(AVERAGEIF('Данные 1st'!$S$2:$S$317,$A8,'Данные 1st'!$HT$2:$HT$317),"")</f>
        <v>100</v>
      </c>
      <c r="DT8" s="7">
        <f>IFERROR(AVERAGEIF('Данные 1st'!$S$2:$S$317,$A8,'Данные 1st'!$HU$2:$HU$317),"")</f>
        <v>180</v>
      </c>
      <c r="DU8" s="7">
        <f>IFERROR(AVERAGEIF('Данные 1st'!$S$2:$S$317,$A8,'Данные 1st'!$HW$2:$HW$317),"")</f>
        <v>11.428571428571429</v>
      </c>
      <c r="DV8" s="7">
        <f>IFERROR(AVERAGEIF('Данные 1st'!$S$2:$S$317,$A8,'Данные 1st'!$HX$2:$HX$317),"")</f>
        <v>423.2857142857143</v>
      </c>
      <c r="DW8" s="7">
        <f>IFERROR(AVERAGEIF('Данные 1st'!$S$2:$S$317,$A8,'Данные 1st'!$HY$2:$HY$317),"")</f>
        <v>0.18</v>
      </c>
      <c r="DX8" s="7">
        <f>IFERROR(AVERAGEIF('Данные 1st'!$S$2:$S$317,$A8,'Данные 1st'!$IA$2:$IA$317),"")</f>
        <v>0.15</v>
      </c>
      <c r="DY8" s="7">
        <f>IFERROR(AVERAGEIF('Данные 1st'!$S$2:$S$317,$A8,'Данные 1st'!$IB$2:$IB$317),"")</f>
        <v>0</v>
      </c>
      <c r="DZ8" s="7">
        <f>IFERROR(AVERAGEIF('Данные 1st'!$S$2:$S$317,$A8,'Данные 1st'!$IC$2:$IC$317),"")</f>
        <v>180</v>
      </c>
      <c r="EA8" s="7">
        <f>IFERROR(AVERAGEIF('Данные 1st'!$S$2:$S$317,$A8,'Данные 1st'!$ID$2:$ID$317),"")</f>
        <v>110</v>
      </c>
      <c r="EB8" s="7">
        <f>IFERROR(AVERAGEIF('Данные 1st'!$S$2:$S$317,$A8,'Данные 1st'!$IE$2:$IE$317),"")</f>
        <v>0</v>
      </c>
      <c r="EC8" s="7">
        <f>IFERROR(AVERAGEIF('Данные 1st'!$S$2:$S$317,$A8,'Данные 1st'!$IF$2:$IF$317),"")</f>
        <v>0</v>
      </c>
      <c r="ED8" s="7">
        <f>IFERROR(AVERAGEIF('Данные 1st'!$S$2:$S$317,$A8,'Данные 1st'!$IP$2:$IP$317),"")</f>
        <v>15</v>
      </c>
      <c r="EE8" s="7">
        <f>IFERROR(AVERAGEIF('Данные 1st'!$S$2:$S$317,$A8,'Данные 1st'!$IV$2:$IV$317),"")</f>
        <v>1122</v>
      </c>
      <c r="EF8" s="7">
        <f>IFERROR(AVERAGEIF('Данные 1st'!$S$2:$S$317,$A8,'Данные 1st'!$IW$2:$IW$317),"")</f>
        <v>372.85714285714283</v>
      </c>
      <c r="EG8" s="7">
        <f>IFERROR(AVERAGEIF('Данные 1st'!$S$2:$S$317,$A8,'Данные 1st'!$IX$2:$IX$317),"")</f>
        <v/>
      </c>
      <c r="EH8" s="7">
        <f>IFERROR(AVERAGEIF('Данные 1st'!$S$2:$S$317,$A8,'Данные 1st'!$IY$2:$IY$317),"")</f>
        <v/>
      </c>
      <c r="EI8" s="7">
        <f>IFERROR(AVERAGEIF('Данные 1st'!$S$2:$S$317,$A8,'Данные 1st'!$JD$2:$JD$317),"")</f>
        <v>1137.4285714285713</v>
      </c>
      <c r="EJ8" s="7">
        <f>IFERROR(AVERAGEIF('Данные 1st'!$S$2:$S$317,$A8,'Данные 1st'!$JE$2:$JE$317),"")</f>
        <v>1134</v>
      </c>
      <c r="EK8" s="7">
        <f>IFERROR(AVERAGEIF('Данные 1st'!$S$2:$S$317,$A8,'Данные 1st'!$JF$2:$JF$317),"")</f>
        <v>0</v>
      </c>
      <c r="EL8" s="7">
        <f>IFERROR(AVERAGEIF('Данные 1st'!$S$2:$S$317,$A8,'Данные 1st'!$JG$2:$JG$317),"")</f>
        <v>1117.4285714285713</v>
      </c>
      <c r="EM8" s="7">
        <f>IFERROR(AVERAGEIF('Данные 1st'!$S$2:$S$317,$A8,'Данные 1st'!$JH$2:$JH$317),"")</f>
        <v>0</v>
      </c>
      <c r="EN8" s="7">
        <f>IFERROR(AVERAGEIF('Данные 1st'!$S$2:$S$317,$A8,'Данные 1st'!$JJ$2:$JJ$317),"")</f>
        <v>180</v>
      </c>
      <c r="EO8" s="7">
        <f>IFERROR(AVERAGEIF('Данные 1st'!$S$2:$S$317,$A8,'Данные 1st'!$JK$2:$JK$317),"")</f>
        <v>423.2857142857143</v>
      </c>
      <c r="EP8" s="7">
        <f>IFERROR(AVERAGEIF('Данные 1st'!$S$2:$S$317,$A8,'Данные 1st'!$JL$2:$JL$317),"")</f>
        <v/>
      </c>
      <c r="EQ8" s="7">
        <f>IFERROR(AVERAGEIF('Данные 1st'!$S$2:$S$317,$A8,'Данные 1st'!$JM$2:$JM$317),"")</f>
        <v/>
      </c>
      <c r="ER8" s="7">
        <f>IFERROR(AVERAGEIF('Данные 1st'!$S$2:$S$317,$A8,'Данные 1st'!$JN$2:$JN$317),"")</f>
        <v>346.42857142857144</v>
      </c>
      <c r="ES8" s="7">
        <f>IFERROR(AVERAGEIF('Данные 1st'!$S$2:$S$317,$A8,'Данные 1st'!$JO$2:$JO$317),"")</f>
        <v>589.2857142857143</v>
      </c>
      <c r="ET8" s="7">
        <f>IFERROR(AVERAGEIF('Данные 1st'!$S$2:$S$317,$A8,'Данные 1st'!$JP$2:$JP$317),"")</f>
        <v>0</v>
      </c>
      <c r="EU8" s="7">
        <f>IFERROR(AVERAGEIF('Данные 1st'!$S$2:$S$317,$A8,'Данные 1st'!$JQ$2:$JQ$317),"")</f>
        <v>0</v>
      </c>
      <c r="EV8" s="7">
        <f>IFERROR(AVERAGEIF('Данные 1st'!$S$2:$S$317,$A8,'Данные 1st'!$JR$2:$JR$317),"")</f>
        <v>343.42857142857144</v>
      </c>
      <c r="EW8" s="7">
        <f>IFERROR(AVERAGEIF('Данные 1st'!$S$2:$S$317,$A8,'Данные 1st'!$JS$2:$JS$317),"")</f>
        <v>145</v>
      </c>
      <c r="EX8" s="7">
        <f>IFERROR(AVERAGEIF('Данные 1st'!$S$2:$S$317,$A8,'Данные 1st'!$JT$2:$JT$317),"")</f>
        <v/>
      </c>
      <c r="EY8" s="7">
        <f>IFERROR(AVERAGEIF('Данные 1st'!$S$2:$S$317,$A8,'Данные 1st'!$JU$2:$JU$317),"")</f>
        <v/>
      </c>
      <c r="EZ8" s="7">
        <f>IFERROR(AVERAGEIF('Данные 1st'!$S$2:$S$317,$A8,'Данные 1st'!$JV$2:$JV$317),"")</f>
        <v>8</v>
      </c>
      <c r="FA8" s="7">
        <f>IFERROR(AVERAGEIF('Данные 1st'!$S$2:$S$317,$A8,'Данные 1st'!$JW$2:$JW$317),"")</f>
        <v/>
      </c>
      <c r="FB8" s="7">
        <f>IFERROR(AVERAGEIF('Данные 1st'!$S$2:$S$317,$A8,'Данные 1st'!$JX$2:$JX$317),"")</f>
        <v>117.42857142857143</v>
      </c>
      <c r="FC8" s="7">
        <f>IFERROR(AVERAGEIF('Данные 1st'!$S$2:$S$317,$A8,'Данные 1st'!$JY$2:$JY$317),"")</f>
        <v/>
      </c>
      <c r="FD8" s="7">
        <f>IFERROR(AVERAGEIF('Данные 1st'!$S$2:$S$317,$A8,'Данные 1st'!$JZ$2:$JZ$317),"")</f>
        <v/>
      </c>
      <c r="FE8" s="7">
        <f>IFERROR(AVERAGEIF('Данные 1st'!$S$2:$S$317,$A8,'Данные 1st'!$KA$2:$KA$317),"")</f>
        <v>0</v>
      </c>
      <c r="FF8" s="7">
        <f>IFERROR(AVERAGEIF('Данные 1st'!$S$2:$S$317,$A8,'Данные 1st'!$KB$2:$KB$317),"")</f>
        <v>110</v>
      </c>
      <c r="FG8" s="7">
        <f>IFERROR(AVERAGEIF('Данные 1st'!$S$2:$S$317,$A8,'Данные 1st'!$KC$2:$KC$317),"")</f>
        <v>0</v>
      </c>
      <c r="FH8" s="7">
        <f>IFERROR(AVERAGEIF('Данные 1st'!$S$2:$S$317,$A8,'Данные 1st'!$KD$2:$KD$317),"")</f>
        <v>126.28571428571429</v>
      </c>
      <c r="FI8" s="7">
        <f>IFERROR(AVERAGEIF('Данные 1st'!$S$2:$S$317,$A8,'Данные 1st'!$KE$2:$KE$317),"")</f>
        <v/>
      </c>
      <c r="FJ8" s="7">
        <f>IFERROR(AVERAGEIF('Данные 1st'!$S$2:$S$317,$A8,'Данные 1st'!$KF$2:$KF$317),"")</f>
        <v>4</v>
      </c>
      <c r="FK8" s="7">
        <f>IFERROR(AVERAGEIF('Данные 1st'!$S$2:$S$317,$A8,'Данные 1st'!$KG$2:$KG$317),"")</f>
        <v>2.857142857142857</v>
      </c>
      <c r="FL8" s="7">
        <f>IFERROR(AVERAGEIF('Данные 1st'!$S$2:$S$317,$A8,'Данные 1st'!$KH$2:$KH$317),"")</f>
        <v>2</v>
      </c>
      <c r="FM8" s="7">
        <f>IFERROR(AVERAGEIF('Данные 1st'!$S$2:$S$317,$A8,'Данные 1st'!$KI$2:$KI$317),"")</f>
        <v>2</v>
      </c>
      <c r="FN8" s="7">
        <f>IFERROR(AVERAGEIF('Данные 1st'!$S$2:$S$317,$A8,'Данные 1st'!$KJ$2:$KJ$317),"")</f>
        <v>0</v>
      </c>
      <c r="FO8" s="7">
        <f>IFERROR(AVERAGEIF('Данные 1st'!$S$2:$S$317,$A8,'Данные 1st'!$KK$2:$KK$317),"")</f>
        <v>1.5</v>
      </c>
      <c r="FP8" s="7">
        <f>IFERROR(AVERAGEIF('Данные 1st'!$S$2:$S$317,$A8,'Данные 1st'!$KL$2:$KL$317),"")</f>
        <v>1.5</v>
      </c>
      <c r="FQ8" s="7">
        <f>IFERROR(AVERAGEIF('Данные 1st'!$S$2:$S$317,$A8,'Данные 1st'!$KM$2:$KM$317),"")</f>
        <v>0</v>
      </c>
      <c r="FR8" s="7">
        <f>IFERROR(AVERAGEIF('Данные 1st'!$S$2:$S$317,$A8,'Данные 1st'!$KN$2:$KN$317),"")</f>
        <v>0</v>
      </c>
      <c r="FS8" s="7">
        <f>IFERROR(AVERAGEIF('Данные 1st'!$S$2:$S$317,$A8,'Данные 1st'!$KR$2:$KR$317),"")</f>
        <v>34.285714285714285</v>
      </c>
      <c r="FT8" s="7">
        <f>IFERROR(AVERAGEIF('Данные 1st'!$S$2:$S$317,$A8,'Данные 1st'!$KS$2:$KS$317),"")</f>
        <v>60</v>
      </c>
      <c r="FU8" s="7">
        <f>IFERROR(AVERAGEIF('Данные 1st'!$S$2:$S$317,$A8,'Данные 1st'!$KT$2:$KT$317),"")</f>
        <v>0</v>
      </c>
      <c r="FV8" s="7">
        <f>IFERROR(AVERAGEIF('Данные 1st'!$S$2:$S$317,$A8,'Данные 1st'!$KV$2:$KV$317),"")</f>
        <v/>
      </c>
      <c r="FW8" s="7">
        <f>IFERROR(AVERAGEIF('Данные 1st'!$S$2:$S$317,$A8,'Данные 1st'!$KW$2:$KW$317),"")</f>
        <v/>
      </c>
      <c r="FX8" s="7">
        <f>IFERROR(AVERAGEIF('Данные 1st'!$S$2:$S$317,$A8,'Данные 1st'!$KX$2:$KX$317),"")</f>
        <v/>
      </c>
      <c r="FY8" s="7">
        <f>IFERROR(AVERAGEIF('Данные 1st'!$S$2:$S$317,$A8,'Данные 1st'!$KY$2:$KY$317),"")</f>
        <v/>
      </c>
      <c r="FZ8" s="7">
        <f>IFERROR(AVERAGEIF('Данные 1st'!$S$2:$S$317,$A8,'Данные 1st'!$KZ$2:$KZ$317),"")</f>
        <v/>
      </c>
      <c r="GA8" s="7">
        <f>IFERROR(AVERAGEIF('Данные 1st'!$S$2:$S$317,$A8,'Данные 1st'!$LA$2:$LA$317),"")</f>
        <v/>
      </c>
      <c r="GB8" s="7">
        <f>IFERROR(AVERAGEIF('Данные 1st'!$S$2:$S$317,$A8,'Данные 1st'!$LB$2:$LB$317),"")</f>
        <v/>
      </c>
      <c r="GC8" s="7">
        <f>IFERROR(AVERAGEIF('Данные 1st'!$S$2:$S$317,$A8,'Данные 1st'!$LC$2:$LC$317),"")</f>
        <v/>
      </c>
      <c r="GD8" s="7">
        <f>IFERROR(AVERAGEIF('Данные 1st'!$S$2:$S$317,$A8,'Данные 1st'!$LD$2:$LD$317),"")</f>
        <v/>
      </c>
      <c r="GE8" s="7">
        <f>IFERROR(AVERAGEIF('Данные 1st'!$S$2:$S$317,$A8,'Данные 1st'!$LE$2:$LE$317),"")</f>
        <v/>
      </c>
      <c r="GF8" s="7">
        <f>IFERROR(AVERAGEIF('Данные 1st'!$S$2:$S$317,$A8,'Данные 1st'!$LF$2:$LF$317),"")</f>
        <v/>
      </c>
      <c r="GG8" s="7">
        <f>IFERROR(AVERAGEIF('Данные 1st'!$S$2:$S$317,$A8,'Данные 1st'!$LG$2:$LG$317),"")</f>
        <v/>
      </c>
      <c r="GH8" s="7">
        <f>IFERROR(AVERAGEIF('Данные 1st'!$S$2:$S$317,$A8,'Данные 1st'!$LH$2:$LH$317),"")</f>
        <v/>
      </c>
      <c r="GI8" s="7">
        <f>IFERROR(AVERAGEIF('Данные 1st'!$S$2:$S$317,$A8,'Данные 1st'!$LI$2:$LI$317),"")</f>
        <v/>
      </c>
      <c r="GJ8" s="7">
        <f>IFERROR(AVERAGEIF('Данные 1st'!$S$2:$S$317,$A8,'Данные 1st'!$LJ$2:$LJ$317),"")</f>
        <v/>
      </c>
      <c r="GK8" s="7">
        <f>IFERROR(AVERAGEIF('Данные 1st'!$S$2:$S$317,$A8,'Данные 1st'!$LK$2:$LK$317),"")</f>
        <v>453.7142857142857</v>
      </c>
      <c r="GL8" s="7">
        <f>IFERROR(AVERAGEIF('Данные 1st'!$S$2:$S$317,$A8,'Данные 1st'!$LV$2:$LV$317),"")</f>
        <v/>
      </c>
      <c r="GM8" s="7">
        <f>IFERROR(AVERAGEIF('Данные 1st'!$S$2:$S$317,$A8,'Данные 1st'!$LW$2:$LW$317),"")</f>
        <v/>
      </c>
      <c r="GN8" s="7">
        <f>IFERROR(AVERAGEIF('Данные 1st'!$S$2:$S$317,$A8,'Данные 1st'!$LX$2:$LX$317),"")</f>
        <v>360</v>
      </c>
      <c r="GO8" s="7">
        <f>IFERROR(AVERAGEIF('Данные 1st'!$S$2:$S$317,$A8,'Данные 1st'!$LY$2:$LY$317),"")</f>
        <v>2.5</v>
      </c>
      <c r="GP8" s="7">
        <f>IFERROR(AVERAGEIF('Данные 1st'!$S$2:$S$317,$A8,'Данные 1st'!$LZ$2:$LZ$317),"")</f>
        <v/>
      </c>
      <c r="GQ8" s="7">
        <f>IFERROR(AVERAGEIF('Данные 1st'!$S$2:$S$317,$A8,'Данные 1st'!$PG$2:$PG$317),"")</f>
        <v>1</v>
      </c>
      <c r="GR8" s="7">
        <f>IFERROR(AVERAGEIF('Данные 1st'!$S$2:$S$317,$A8,'Данные 1st'!$PX$2:$PX$317),"")</f>
        <v>56</v>
      </c>
      <c r="GS8" s="7">
        <f>IFERROR(AVERAGEIF('Данные 1st'!$S$2:$S$317,$A8,'Данные 1st'!$PY$2:$PY$317),"")</f>
        <v>56.714285714285715</v>
      </c>
      <c r="GT8" s="7">
        <f>IFERROR(AVERAGEIF('Данные 1st'!$S$2:$S$317,$A8,'Данные 1st'!$QA$2:$QA$317),"")</f>
        <v>1.1428571428571428</v>
      </c>
      <c r="GU8" s="7">
        <f>IFERROR(AVERAGEIF('Данные 1st'!$S$2:$S$317,$A8,'Данные 1st'!$QB$2:$QB$317),"")</f>
        <v>1117.4285714285713</v>
      </c>
      <c r="GV8" s="7">
        <f>IFERROR(AVERAGEIF('Данные 1st'!$S$2:$S$317,$A8,'Данные 1st'!$QC$2:$QC$317),"")</f>
        <v>69</v>
      </c>
      <c r="GW8" s="7">
        <f>IFERROR(AVERAGEIF('Данные 1st'!$S$2:$S$317,$A8,'Данные 1st'!$QD$2:$QD$317),"")</f>
        <v>69</v>
      </c>
      <c r="GX8" s="7">
        <f>IFERROR(AVERAGEIF('Данные 1st'!$S$2:$S$317,$A8,'Данные 1st'!$QF$2:$QF$317),"")</f>
        <v>1.2857142857142858</v>
      </c>
      <c r="GY8" s="7">
        <f>IFERROR(AVERAGEIF('Данные 1st'!$S$2:$S$317,$A8,'Данные 1st'!$QG$2:$QG$317),"")</f>
        <v>1137.4285714285713</v>
      </c>
      <c r="GZ8" s="7">
        <f>IFERROR(AVERAGEIF('Данные 1st'!$S$2:$S$317,$A8,'Данные 1st'!$QH$2:$QH$317),"")</f>
        <v>66</v>
      </c>
      <c r="HA8" s="7">
        <f>IFERROR(AVERAGEIF('Данные 1st'!$S$2:$S$317,$A8,'Данные 1st'!$QI$2:$QI$317),"")</f>
        <v>66</v>
      </c>
      <c r="HB8" s="7">
        <f>IFERROR(AVERAGEIF('Данные 1st'!$S$2:$S$317,$A8,'Данные 1st'!$QK$2:$QK$317),"")</f>
        <v>1</v>
      </c>
      <c r="HC8" s="7">
        <f>IFERROR(AVERAGEIF('Данные 1st'!$S$2:$S$317,$A8,'Данные 1st'!$QL$2:$QL$317),"")</f>
        <v>326</v>
      </c>
      <c r="HD8" s="7">
        <f>IFERROR(AVERAGEIF('Данные 1st'!$S$2:$S$317,$A8,'Данные 1st'!$QM$2:$QM$317),"")</f>
        <v>62.285714285714285</v>
      </c>
      <c r="HE8" s="7">
        <f>IFERROR(AVERAGEIF('Данные 1st'!$S$2:$S$317,$A8,'Данные 1st'!$QN$2:$QN$317),"")</f>
        <v>62.285714285714285</v>
      </c>
      <c r="HF8" s="7">
        <f>IFERROR(AVERAGEIF('Данные 1st'!$S$2:$S$317,$A8,'Данные 1st'!$QP$2:$QP$317),"")</f>
        <v>1</v>
      </c>
      <c r="HG8" s="7">
        <f>IFERROR(AVERAGEIF('Данные 1st'!$S$2:$S$317,$A8,'Данные 1st'!$QQ$2:$QQ$317),"")</f>
        <v>1134</v>
      </c>
      <c r="HH8" s="7">
        <f>IFERROR(AVERAGEIF('Данные 1st'!$S$2:$S$317,$A8,'Данные 1st'!$QR$2:$QR$317),"")</f>
        <v/>
      </c>
      <c r="HI8" s="7">
        <f>IFERROR(AVERAGEIF('Данные 1st'!$S$2:$S$317,$A8,'Данные 1st'!$QS$2:$QS$317),"")</f>
        <v/>
      </c>
      <c r="HJ8" s="7">
        <f>IFERROR(AVERAGEIF('Данные 1st'!$S$2:$S$317,$A8,'Данные 1st'!$QU$2:$QU$317),"")</f>
        <v/>
      </c>
      <c r="HK8" s="7">
        <f>IFERROR(AVERAGEIF('Данные 1st'!$S$2:$S$317,$A8,'Данные 1st'!$QV$2:$QV$317),"")</f>
        <v/>
      </c>
      <c r="HL8" s="7">
        <f>IFERROR(AVERAGEIF('Данные 1st'!$S$2:$S$317,$A8,'Данные 1st'!$QW$2:$QW$317),"")</f>
        <v>82</v>
      </c>
      <c r="HM8" s="7">
        <f>IFERROR(AVERAGEIF('Данные 1st'!$S$2:$S$317,$A8,'Данные 1st'!$QX$2:$QX$317),"")</f>
        <v>88.14285714285714</v>
      </c>
      <c r="HN8" s="7">
        <f>IFERROR(AVERAGEIF('Данные 1st'!$S$2:$S$317,$A8,'Данные 1st'!$QZ$2:$QZ$317),"")</f>
        <v>1.1428571428571428</v>
      </c>
      <c r="HO8" s="7">
        <f>IFERROR(AVERAGEIF('Данные 1st'!$S$2:$S$317,$A8,'Данные 1st'!$RA$2:$RA$317),"")</f>
        <v>66</v>
      </c>
      <c r="HP8" s="7">
        <f>IFERROR(AVERAGEIF('Данные 1st'!$S$2:$S$317,$A8,'Данные 1st'!$RB$2:$RB$317),"")</f>
        <v>66</v>
      </c>
      <c r="HQ8" s="7">
        <f>IFERROR(AVERAGEIF('Данные 1st'!$S$2:$S$317,$A8,'Данные 1st'!$RD$2:$RD$317),"")</f>
        <v/>
      </c>
      <c r="HR8" s="7">
        <f>IFERROR(AVERAGEIF('Данные 1st'!$S$2:$S$317,$A8,'Данные 1st'!$RE$2:$RE$317),"")</f>
        <v>0</v>
      </c>
      <c r="HS8" s="7">
        <f>IFERROR(AVERAGEIF('Данные 1st'!$S$2:$S$317,$A8,'Данные 1st'!$RF$2:$RF$317),"")</f>
        <v>1</v>
      </c>
      <c r="HT8" s="7">
        <f>IFERROR(AVERAGEIF('Данные 1st'!$S$2:$S$317,$A8,'Данные 1st'!$RG$2:$RG$317),"")</f>
        <v>1</v>
      </c>
      <c r="HU8" s="7">
        <f>IFERROR(AVERAGEIF('Данные 1st'!$S$2:$S$317,$A8,'Данные 1st'!$RH$2:$RH$317),"")</f>
        <v/>
      </c>
      <c r="HV8" s="7">
        <f>IFERROR(AVERAGEIF('Данные 1st'!$S$2:$S$317,$A8,'Данные 1st'!$RI$2:$RI$317),"")</f>
        <v/>
      </c>
      <c r="HW8" s="7">
        <f>IFERROR(AVERAGEIF('Данные 1st'!$S$2:$S$317,$A8,'Данные 1st'!$RJ$2:$RJ$317),"")</f>
        <v>1.7142857142857142</v>
      </c>
      <c r="HX8" s="7">
        <f>IFERROR(AVERAGEIF('Данные 1st'!$S$2:$S$317,$A8,'Данные 1st'!$RK$2:$RK$317),"")</f>
        <v>2</v>
      </c>
      <c r="HY8" s="7">
        <f>IFERROR(AVERAGEIF('Данные 1st'!$S$2:$S$317,$A8,'Данные 1st'!$RL$2:$RL$317),"")</f>
        <v>2.5714285714285716</v>
      </c>
      <c r="HZ8" s="7">
        <f>IFERROR(AVERAGEIF('Данные 1st'!$S$2:$S$317,$A8,'Данные 1st'!$RM$2:$RM$317),"")</f>
        <v/>
      </c>
      <c r="IA8" s="7">
        <f>IFERROR(AVERAGEIF('Данные 1st'!$S$2:$S$317,$A8,'Данные 1st'!$RN$2:$RN$317),"")</f>
        <v/>
      </c>
      <c r="IB8" s="7">
        <f>IFERROR(AVERAGEIF('Данные 1st'!$S$2:$S$317,$A8,'Данные 1st'!$RO$2:$RO$317),"")</f>
        <v>501.85714285714283</v>
      </c>
      <c r="IC8" s="7">
        <f>IFERROR(AVERAGEIF('Данные 1st'!$S$2:$S$317,$A8,'Данные 1st'!$RP$2:$RP$317),"")</f>
        <v>105</v>
      </c>
      <c r="ID8" s="7">
        <f>IFERROR(AVERAGEIF('Данные 1st'!$S$2:$S$317,$A8,'Данные 1st'!$RQ$2:$RQ$317),"")</f>
        <v>798.1428571428571</v>
      </c>
      <c r="IE8" s="7">
        <f>IFERROR(AVERAGEIF('Данные 1st'!$S$2:$S$317,$A8,'Данные 1st'!$RR$2:$RR$317),"")</f>
        <v/>
      </c>
      <c r="IF8" s="7">
        <f>IFERROR(AVERAGEIF('Данные 1st'!$S$2:$S$317,$A8,'Данные 1st'!$RS$2:$RS$317),"")</f>
        <v/>
      </c>
      <c r="IG8" s="7">
        <f>IFERROR(AVERAGEIF('Данные 1st'!$S$2:$S$317,$A8,'Данные 1st'!$RT$2:$RT$317),"")</f>
        <v>157</v>
      </c>
      <c r="IH8" s="7">
        <f>IFERROR(AVERAGEIF('Данные 1st'!$S$2:$S$317,$A8,'Данные 1st'!$RU$2:$RU$317),"")</f>
        <v>162.71428571428572</v>
      </c>
      <c r="II8" s="7">
        <f>IFERROR(AVERAGEIF('Данные 1st'!$S$2:$S$317,$A8,'Данные 1st'!$RX$2:$RX$317),"")</f>
        <v>15</v>
      </c>
      <c r="IJ8" s="7">
        <f>IFERROR(AVERAGEIF('Данные 1st'!$S$2:$S$317,$A8,'Данные 1st'!$RY$2:$RY$317),"")</f>
        <v>4</v>
      </c>
      <c r="IK8" s="7">
        <f>IFERROR(AVERAGEIF('Данные 1st'!$S$2:$S$317,$A8,'Данные 1st'!$SA$2:$SA$317),"")</f>
        <v>15</v>
      </c>
      <c r="IL8" s="7">
        <f>IFERROR(AVERAGEIF('Данные 1st'!$S$2:$S$317,$A8,'Данные 1st'!$SD$2:$SD$317),"")</f>
        <v>1</v>
      </c>
      <c r="IM8" s="7">
        <f>IFERROR(AVERAGEIF('Данные 1st'!$S$2:$S$317,$A8,'Данные 1st'!$SG$2:$SG$317),"")</f>
        <v/>
      </c>
      <c r="IN8" s="7">
        <f>IFERROR(AVERAGEIF('Данные 1st'!$S$2:$S$317,$A8,'Данные 1st'!$SH$2:$SH$317),"")</f>
        <v>0.995</v>
      </c>
      <c r="IO8" s="7">
        <f>IFERROR(AVERAGEIF('Данные 1st'!$S$2:$S$317,$A8,'Данные 1st'!$SI$2:$SI$317),"")</f>
        <v>0.995</v>
      </c>
      <c r="IP8" s="7">
        <f>IFERROR(AVERAGEIF('Данные 1st'!$S$2:$S$317,$A8,'Данные 1st'!$SJ$2:$SJ$317),"")</f>
        <v>0.995</v>
      </c>
      <c r="IQ8" s="7">
        <f>IFERROR(AVERAGEIF('Данные 1st'!$S$2:$S$317,$A8,'Данные 1st'!$SK$2:$SK$317),"")</f>
        <v>15</v>
      </c>
      <c r="IR8" s="7">
        <f>IFERROR(AVERAGEIF('Данные 1st'!$S$2:$S$317,$A8,'Данные 1st'!$SL$2:$SL$317),"")</f>
        <v>0</v>
      </c>
      <c r="IS8" s="7">
        <f>IFERROR(AVERAGEIF('Данные 1st'!$S$2:$S$317,$A8,'Данные 1st'!$SM$2:$SM$317),"")</f>
        <v>0</v>
      </c>
      <c r="IT8" s="7">
        <f>IFERROR(AVERAGEIF('Данные 1st'!$S$2:$S$317,$A8,'Данные 1st'!$SN$2:$SN$317),"")</f>
        <v>0</v>
      </c>
      <c r="IU8" s="7">
        <f>IFERROR(AVERAGEIF('Данные 1st'!$S$2:$S$317,$A8,'Данные 1st'!$SO$2:$SO$317),"")</f>
        <v>0</v>
      </c>
      <c r="IV8" s="7">
        <f>IFERROR(AVERAGEIF('Данные 1st'!$S$2:$S$317,$A8,'Данные 1st'!$SP$2:$SP$317),"")</f>
        <v>0</v>
      </c>
      <c r="IW8" s="7">
        <f>IFERROR(AVERAGEIF('Данные 1st'!$S$2:$S$317,$A8,'Данные 1st'!$SQ$2:$SQ$317),"")</f>
        <v>0</v>
      </c>
      <c r="IX8" s="7">
        <f>IFERROR(AVERAGEIF('Данные 1st'!$S$2:$S$317,$A8,'Данные 1st'!$SR$2:$SR$317),"")</f>
        <v>0</v>
      </c>
      <c r="IY8" s="7">
        <f>IFERROR(AVERAGEIF('Данные 1st'!$S$2:$S$317,$A8,'Данные 1st'!$SS$2:$SS$317),"")</f>
        <v>0</v>
      </c>
      <c r="IZ8" s="7">
        <f>IFERROR(AVERAGEIF('Данные 1st'!$S$2:$S$317,$A8,'Данные 1st'!$ST$2:$ST$317),"")</f>
        <v>0</v>
      </c>
      <c r="JA8" s="7">
        <f>IFERROR(AVERAGEIF('Данные 1st'!$S$2:$S$317,$A8,'Данные 1st'!$SU$2:$SU$317),"")</f>
        <v>0</v>
      </c>
      <c r="JB8" s="7">
        <f>IFERROR(AVERAGEIF('Данные 1st'!$S$2:$S$317,$A8,'Данные 1st'!$SV$2:$SV$317),"")</f>
        <v>0</v>
      </c>
      <c r="JC8" s="7">
        <f>IFERROR(AVERAGEIF('Данные 1st'!$S$2:$S$317,$A8,'Данные 1st'!$SW$2:$SW$317),"")</f>
        <v>0</v>
      </c>
      <c r="JD8" s="7">
        <f>IFERROR(AVERAGEIF('Данные 1st'!$S$2:$S$317,$A8,'Данные 1st'!$SX$2:$SX$317),"")</f>
        <v>0</v>
      </c>
      <c r="JE8" s="7">
        <f>IFERROR(AVERAGEIF('Данные 1st'!$S$2:$S$317,$A8,'Данные 1st'!$SY$2:$SY$317),"")</f>
        <v>1</v>
      </c>
      <c r="JF8" s="7">
        <f>IFERROR(AVERAGEIF('Данные 1st'!$S$2:$S$317,$A8,'Данные 1st'!$SZ$2:$SZ$317),"")</f>
        <v/>
      </c>
      <c r="JG8" s="7">
        <f>IFERROR(AVERAGEIF('Данные 1st'!$S$2:$S$317,$A8,'Данные 1st'!$TA$2:$TA$317),"")</f>
        <v/>
      </c>
      <c r="JH8" s="7">
        <f>IFERROR(AVERAGEIF('Данные 1st'!$S$2:$S$317,$A8,'Данные 1st'!$TB$2:$TB$317),"")</f>
        <v>0.2857142857142857</v>
      </c>
      <c r="JI8" s="7">
        <f>IFERROR(AVERAGEIF('Данные 1st'!$S$2:$S$317,$A8,'Данные 1st'!$TC$2:$TC$317),"")</f>
        <v>0</v>
      </c>
      <c r="JJ8" s="7">
        <f>IFERROR(AVERAGEIF('Данные 1st'!$S$2:$S$317,$A8,'Данные 1st'!$TD$2:$TD$317),"")</f>
        <v>7.5</v>
      </c>
      <c r="JK8" s="7">
        <f>IFERROR(AVERAGEIF('Данные 1st'!$S$2:$S$317,$A8,'Данные 1st'!$TN$2:$TN$317),"")</f>
        <v>0</v>
      </c>
      <c r="JL8">
        <f>COUNTIF('Данные 2st'!$Q$2:$Q$317,$A8)</f>
        <v>7</v>
      </c>
      <c r="JM8" s="6" t="s">
        <v>5082</v>
      </c>
      <c r="JN8" s="6" t="s">
        <v>513</v>
      </c>
      <c r="JO8" s="6" t="s">
        <v>5125</v>
      </c>
      <c r="JP8" s="6" t="s">
        <v>5467</v>
      </c>
      <c r="JQ8" s="7">
        <f>IFERROR(AVERAGEIF('Данные 2st'!$Q$2:$Q$317,$A8,'Данные 2st'!$AC$2:$AC$317),"")</f>
        <v>12.142857142857142</v>
      </c>
      <c r="JR8" s="7">
        <f>IFERROR(AVERAGEIF('Данные 2st'!$Q$2:$Q$317,$A8,'Данные 2st'!$AF$2:$AF$317),"")</f>
        <v>3388.714285714286</v>
      </c>
      <c r="JS8" s="7">
        <f>IFERROR(AVERAGEIF('Данные 2st'!$Q$2:$Q$317,$A8,'Данные 2st'!$AW$2:$AW$317),"")</f>
        <v>6.4</v>
      </c>
      <c r="JT8" s="7">
        <f>IFERROR(AVERAGEIF('Данные 2st'!$Q$2:$Q$317,$A8,'Данные 2st'!$AX$2:$AX$317),"")</f>
        <v>-6</v>
      </c>
      <c r="JU8" s="7">
        <f>IFERROR(AVERAGEIF('Данные 2st'!$Q$2:$Q$317,$A8,'Данные 2st'!$AY$2:$AY$317),"")</f>
        <v>78.28571428571429</v>
      </c>
      <c r="JV8" s="7">
        <f>IFERROR(AVERAGEIF('Данные 2st'!$Q$2:$Q$317,$A8,'Данные 2st'!$AZ$2:$AZ$317),"")</f>
        <v>66.64285714285714</v>
      </c>
      <c r="JW8" s="7">
        <f>IFERROR(AVERAGEIF('Данные 2st'!$Q$2:$Q$317,$A8,'Данные 2st'!$BA$2:$BA$317),"")</f>
        <v/>
      </c>
      <c r="JX8" s="7">
        <f>IFERROR(AVERAGEIF('Данные 2st'!$Q$2:$Q$317,$A8,'Данные 2st'!$BB$2:$BB$317),"")</f>
        <v/>
      </c>
      <c r="JY8" s="7">
        <f>IFERROR(AVERAGEIF('Данные 2st'!$Q$2:$Q$317,$A8,'Данные 2st'!$BC$2:$BC$317),"")</f>
        <v/>
      </c>
      <c r="JZ8" s="7">
        <f>IFERROR(AVERAGEIF('Данные 2st'!$Q$2:$Q$317,$A8,'Данные 2st'!$BH$2:$BH$317),"")</f>
        <v>78.28571428571429</v>
      </c>
      <c r="KA8" s="7">
        <f>IFERROR(AVERAGEIF('Данные 2st'!$Q$2:$Q$317,$A8,'Данные 2st'!$BI$2:$BI$317),"")</f>
        <v>11.642857142857142</v>
      </c>
      <c r="KB8" s="7">
        <f>IFERROR(AVERAGEIF('Данные 2st'!$Q$2:$Q$317,$A8,'Данные 2st'!$BJ$2:$BJ$317),"")</f>
        <v>66.64285714285714</v>
      </c>
      <c r="KC8" s="7">
        <f>IFERROR(AVERAGEIF('Данные 2st'!$Q$2:$Q$317,$A8,'Данные 2st'!$BK$2:$BK$317),"")</f>
        <v>2.9285714285714284</v>
      </c>
      <c r="KD8" s="7">
        <f>IFERROR(AVERAGEIF('Данные 2st'!$Q$2:$Q$317,$A8,'Данные 2st'!$BL$2:$BL$317),"")</f>
        <v>156.57142857142858</v>
      </c>
      <c r="KE8" s="7">
        <f>IFERROR(AVERAGEIF('Данные 2st'!$Q$2:$Q$317,$A8,'Данные 2st'!$BM$2:$BM$317),"")</f>
        <v>-6</v>
      </c>
      <c r="KF8" s="7">
        <f>IFERROR(AVERAGEIF('Данные 2st'!$Q$2:$Q$317,$A8,'Данные 2st'!$BN$2:$BN$317),"")</f>
        <v>0</v>
      </c>
      <c r="KG8" s="7">
        <f>IFERROR(AVERAGEIF('Данные 2st'!$Q$2:$Q$317,$A8,'Данные 2st'!$BO$2:$BO$317),"")</f>
        <v>0</v>
      </c>
      <c r="KH8" s="7">
        <f>IFERROR(AVERAGEIF('Данные 2st'!$Q$2:$Q$317,$A8,'Данные 2st'!$BP$2:$BP$317),"")</f>
        <v>0</v>
      </c>
      <c r="KI8" s="7">
        <f>IFERROR(AVERAGEIF('Данные 2st'!$Q$2:$Q$317,$A8,'Данные 2st'!$BR$2:$BR$317),"")</f>
        <v>150.71428571428572</v>
      </c>
      <c r="KJ8" s="7">
        <f>IFERROR(AVERAGEIF('Данные 2st'!$Q$2:$Q$317,$A8,'Данные 2st'!$BS$2:$BS$317),"")</f>
        <v>140.71428571428572</v>
      </c>
      <c r="KK8" s="7">
        <f>IFERROR(AVERAGEIF('Данные 2st'!$Q$2:$Q$317,$A8,'Данные 2st'!$BT$2:$BT$317),"")</f>
        <v>1818.5714285714287</v>
      </c>
      <c r="KL8" s="7">
        <f>IFERROR(AVERAGEIF('Данные 2st'!$Q$2:$Q$317,$A8,'Данные 2st'!$CV$2:$CV$317),"")</f>
        <v>102.14285714285714</v>
      </c>
      <c r="KM8" s="7">
        <f>IFERROR(AVERAGEIF('Данные 2st'!$Q$2:$Q$317,$A8,'Данные 2st'!$CW$2:$CW$317),"")</f>
        <v>3</v>
      </c>
      <c r="KN8" s="7">
        <f>IFERROR(AVERAGEIF('Данные 2st'!$Q$2:$Q$317,$A8,'Данные 2st'!$CX$2:$CX$317),"")</f>
        <v>68.14285714285714</v>
      </c>
      <c r="KO8" s="7">
        <f>IFERROR(AVERAGEIF('Данные 2st'!$Q$2:$Q$317,$A8,'Данные 2st'!$CY$2:$CY$317),"")</f>
        <v>5</v>
      </c>
      <c r="KP8" s="7">
        <f>IFERROR(AVERAGEIF('Данные 2st'!$Q$2:$Q$317,$A8,'Данные 2st'!$CZ$2:$CZ$317),"")</f>
        <v>81.85714285714286</v>
      </c>
      <c r="KQ8" s="7">
        <f>IFERROR(AVERAGEIF('Данные 2st'!$Q$2:$Q$317,$A8,'Данные 2st'!$DA$2:$DA$317),"")</f>
        <v>5</v>
      </c>
      <c r="KR8" s="7">
        <f>IFERROR(AVERAGEIF('Данные 2st'!$Q$2:$Q$317,$A8,'Данные 2st'!$DB$2:$DB$317),"")</f>
        <v>7610</v>
      </c>
      <c r="KS8" s="7">
        <f>IFERROR(AVERAGEIF('Данные 2st'!$Q$2:$Q$317,$A8,'Данные 2st'!$DC$2:$DC$317),"")</f>
        <v>208.57142857142858</v>
      </c>
      <c r="KT8" s="7">
        <f>IFERROR(AVERAGEIF('Данные 2st'!$Q$2:$Q$317,$A8,'Данные 2st'!$DD$2:$DD$317),"")</f>
        <v>273.42857142857144</v>
      </c>
      <c r="KU8" s="7">
        <f>IFERROR(AVERAGEIF('Данные 2st'!$Q$2:$Q$317,$A8,'Данные 2st'!$DE$2:$DE$317),"")</f>
        <v>1910.5714285714287</v>
      </c>
      <c r="KV8" s="7">
        <f>IFERROR(AVERAGEIF('Данные 2st'!$Q$2:$Q$317,$A8,'Данные 2st'!$DF$2:$DF$317),"")</f>
        <v>1910.5714285714287</v>
      </c>
      <c r="KW8" s="7">
        <f>IFERROR(AVERAGEIF('Данные 2st'!$Q$2:$Q$317,$A8,'Данные 2st'!$DG$2:$DG$317),"")</f>
        <v>1926</v>
      </c>
      <c r="KX8" s="7">
        <f>IFERROR(AVERAGEIF('Данные 2st'!$Q$2:$Q$317,$A8,'Данные 2st'!$DH$2:$DH$317),"")</f>
        <v>2</v>
      </c>
      <c r="KY8" s="7">
        <f>IFERROR(AVERAGEIF('Данные 2st'!$Q$2:$Q$317,$A8,'Данные 2st'!$DI$2:$DI$317),"")</f>
        <v/>
      </c>
      <c r="KZ8" s="7">
        <f>IFERROR(AVERAGEIF('Данные 2st'!$Q$2:$Q$317,$A8,'Данные 2st'!$DK$2:$DK$317),"")</f>
        <v>150.71428571428572</v>
      </c>
      <c r="LA8" s="7">
        <f>IFERROR(AVERAGEIF('Данные 2st'!$Q$2:$Q$317,$A8,'Данные 2st'!$DM$2:$DM$317),"")</f>
        <v>64.42857142857143</v>
      </c>
      <c r="LB8" s="7">
        <f>IFERROR(AVERAGEIF('Данные 2st'!$Q$2:$Q$317,$A8,'Данные 2st'!$DN$2:$DN$317),"")</f>
        <v>0.84</v>
      </c>
      <c r="LC8" s="7">
        <f>IFERROR(AVERAGEIF('Данные 2st'!$Q$2:$Q$317,$A8,'Данные 2st'!$DO$2:$DO$317),"")</f>
        <v>1</v>
      </c>
      <c r="LD8" s="7">
        <f>IFERROR(AVERAGEIF('Данные 2st'!$Q$2:$Q$317,$A8,'Данные 2st'!$DP$2:$DP$317),"")</f>
        <v>1821.5714285714287</v>
      </c>
      <c r="LE8" s="7">
        <f>IFERROR(AVERAGEIF('Данные 2st'!$Q$2:$Q$317,$A8,'Данные 2st'!$DQ$2:$DQ$317),"")</f>
        <v>501.2857142857143</v>
      </c>
      <c r="LF8" s="7">
        <f>IFERROR(AVERAGEIF('Данные 2st'!$Q$2:$Q$317,$A8,'Данные 2st'!$DS$2:$DS$317),"")</f>
        <v>140.71428571428572</v>
      </c>
      <c r="LG8" s="7">
        <f>IFERROR(AVERAGEIF('Данные 2st'!$Q$2:$Q$317,$A8,'Данные 2st'!$DU$2:$DU$317),"")</f>
        <v>64.42857142857143</v>
      </c>
      <c r="LH8" s="7">
        <f>IFERROR(AVERAGEIF('Данные 2st'!$Q$2:$Q$317,$A8,'Данные 2st'!$DV$2:$DV$317),"")</f>
        <v>0.84</v>
      </c>
      <c r="LI8" s="7">
        <f>IFERROR(AVERAGEIF('Данные 2st'!$Q$2:$Q$317,$A8,'Данные 2st'!$DW$2:$DW$317),"")</f>
        <v>1</v>
      </c>
      <c r="LJ8" s="7">
        <f>IFERROR(AVERAGEIF('Данные 2st'!$Q$2:$Q$317,$A8,'Данные 2st'!$DX$2:$DX$317),"")</f>
        <v>1828.5714285714287</v>
      </c>
      <c r="LK8" s="7">
        <f>IFERROR(AVERAGEIF('Данные 2st'!$Q$2:$Q$317,$A8,'Данные 2st'!$DY$2:$DY$317),"")</f>
        <v>470.42857142857144</v>
      </c>
      <c r="LL8" s="7">
        <f>IFERROR(AVERAGEIF('Данные 2st'!$Q$2:$Q$317,$A8,'Данные 2st'!$EA$2:$EA$317),"")</f>
        <v>33</v>
      </c>
      <c r="LM8" s="7">
        <f>IFERROR(AVERAGEIF('Данные 2st'!$Q$2:$Q$317,$A8,'Данные 2st'!$EC$2:$EC$317),"")</f>
        <v>0.4</v>
      </c>
      <c r="LN8" s="7">
        <f>IFERROR(AVERAGEIF('Данные 2st'!$Q$2:$Q$317,$A8,'Данные 2st'!$ED$2:$ED$317),"")</f>
        <v>1821.5714285714287</v>
      </c>
      <c r="LO8" s="7">
        <f>IFERROR(AVERAGEIF('Данные 2st'!$Q$2:$Q$317,$A8,'Данные 2st'!$EE$2:$EE$317),"")</f>
        <v>52.857142857142854</v>
      </c>
      <c r="LP8" s="7">
        <f>IFERROR(AVERAGEIF('Данные 2st'!$Q$2:$Q$317,$A8,'Данные 2st'!$EG$2:$EG$317),"")</f>
        <v>33</v>
      </c>
      <c r="LQ8" s="7">
        <f>IFERROR(AVERAGEIF('Данные 2st'!$Q$2:$Q$317,$A8,'Данные 2st'!$EI$2:$EI$317),"")</f>
        <v>0.4</v>
      </c>
      <c r="LR8" s="7">
        <f>IFERROR(AVERAGEIF('Данные 2st'!$Q$2:$Q$317,$A8,'Данные 2st'!$EJ$2:$EJ$317),"")</f>
        <v>1828.5714285714287</v>
      </c>
      <c r="LS8" s="7">
        <f>IFERROR(AVERAGEIF('Данные 2st'!$Q$2:$Q$317,$A8,'Данные 2st'!$EK$2:$EK$317),"")</f>
        <v>53</v>
      </c>
      <c r="LT8" s="7">
        <f>IFERROR(AVERAGEIF('Данные 2st'!$Q$2:$Q$317,$A8,'Данные 2st'!$EM$2:$EM$317),"")</f>
        <v>12</v>
      </c>
      <c r="LU8" s="7">
        <f>IFERROR(AVERAGEIF('Данные 2st'!$Q$2:$Q$317,$A8,'Данные 2st'!$EN$2:$EN$317),"")</f>
        <v>0.5</v>
      </c>
      <c r="LV8" s="7">
        <f>IFERROR(AVERAGEIF('Данные 2st'!$Q$2:$Q$317,$A8,'Данные 2st'!$EO$2:$EO$317),"")</f>
        <v>0.8428571428571429</v>
      </c>
      <c r="LW8" s="7">
        <f>IFERROR(AVERAGEIF('Данные 2st'!$Q$2:$Q$317,$A8,'Данные 2st'!$EP$2:$EP$317),"")</f>
        <v>1829.1314285714286</v>
      </c>
      <c r="LX8" s="7">
        <f>IFERROR(AVERAGEIF('Данные 2st'!$Q$2:$Q$317,$A8,'Данные 2st'!$EQ$2:$EQ$317),"")</f>
        <v>24087.734285714287</v>
      </c>
      <c r="LY8" s="7">
        <f>IFERROR(AVERAGEIF('Данные 2st'!$Q$2:$Q$317,$A8,'Данные 2st'!$ER$2:$ER$317),"")</f>
        <v>3336.2742857142857</v>
      </c>
      <c r="LZ8" s="7">
        <f>IFERROR(AVERAGEIF('Данные 2st'!$Q$2:$Q$317,$A8,'Данные 2st'!$ES$2:$ES$317),"")</f>
        <v>0</v>
      </c>
      <c r="MA8" s="7">
        <f>IFERROR(AVERAGEIF('Данные 2st'!$Q$2:$Q$317,$A8,'Данные 2st'!$ET$2:$ET$317),"")</f>
        <v>0</v>
      </c>
      <c r="MB8" s="7">
        <f>IFERROR(AVERAGEIF('Данные 2st'!$Q$2:$Q$317,$A8,'Данные 2st'!$EU$2:$EU$317),"")</f>
        <v>1</v>
      </c>
      <c r="MC8" s="7">
        <f>IFERROR(AVERAGEIF('Данные 2st'!$Q$2:$Q$317,$A8,'Данные 2st'!$EV$2:$EV$317),"")</f>
        <v>27424.571428571428</v>
      </c>
      <c r="MD8" s="7">
        <f>IFERROR(AVERAGEIF('Данные 2st'!$Q$2:$Q$317,$A8,'Данные 2st'!$EW$2:$EW$317),"")</f>
        <v>297.57142857142856</v>
      </c>
      <c r="ME8" s="7">
        <f>IFERROR(AVERAGEIF('Данные 2st'!$Q$2:$Q$317,$A8,'Данные 2st'!$EY$2:$EY$317),"")</f>
        <v>167.42857142857142</v>
      </c>
      <c r="MF8" s="7">
        <f>IFERROR(AVERAGEIF('Данные 2st'!$Q$2:$Q$317,$A8,'Данные 2st'!$FA$2:$FA$317),"")</f>
        <v>4.2</v>
      </c>
      <c r="MG8" s="7">
        <f>IFERROR(AVERAGEIF('Данные 2st'!$Q$2:$Q$317,$A8,'Данные 2st'!$FB$2:$FB$317),"")</f>
        <v>1</v>
      </c>
      <c r="MH8" s="7">
        <f>IFERROR(AVERAGEIF('Данные 2st'!$Q$2:$Q$317,$A8,'Данные 2st'!$FC$2:$FC$317),"")</f>
        <v>1</v>
      </c>
      <c r="MI8" s="7">
        <f>IFERROR(AVERAGEIF('Данные 2st'!$Q$2:$Q$317,$A8,'Данные 2st'!$FD$2:$FD$317),"")</f>
        <v>1857.2857142857142</v>
      </c>
      <c r="MJ8" s="7">
        <f>IFERROR(AVERAGEIF('Данные 2st'!$Q$2:$Q$317,$A8,'Данные 2st'!$FE$2:$FE$317),"")</f>
        <v>1614.142857142857</v>
      </c>
      <c r="MK8" s="7">
        <f>IFERROR(AVERAGEIF('Данные 2st'!$Q$2:$Q$317,$A8,'Данные 2st'!$FG$2:$FG$317),"")</f>
        <v>172</v>
      </c>
      <c r="ML8" s="7">
        <f>IFERROR(AVERAGEIF('Данные 2st'!$Q$2:$Q$317,$A8,'Данные 2st'!$FI$2:$FI$317),"")</f>
        <v>2.5714285714285716</v>
      </c>
      <c r="MM8" s="7">
        <f>IFERROR(AVERAGEIF('Данные 2st'!$Q$2:$Q$317,$A8,'Данные 2st'!$FJ$2:$FJ$317),"")</f>
        <v>1857.2857142857142</v>
      </c>
      <c r="MN8" s="7">
        <f>IFERROR(AVERAGEIF('Данные 2st'!$Q$2:$Q$317,$A8,'Данные 2st'!$FK$2:$FK$317),"")</f>
        <v>923.5714285714286</v>
      </c>
      <c r="MO8" s="7">
        <f>IFERROR(AVERAGEIF('Данные 2st'!$Q$2:$Q$317,$A8,'Данные 2st'!$FP$2:$FP$317),"")</f>
        <v>1857.2857142857142</v>
      </c>
      <c r="MP8" s="7">
        <f>IFERROR(AVERAGEIF('Данные 2st'!$Q$2:$Q$317,$A8,'Данные 2st'!$FQ$2:$FQ$317),"")</f>
        <v>147.28571428571428</v>
      </c>
      <c r="MQ8" s="7">
        <f>IFERROR(AVERAGEIF('Данные 2st'!$Q$2:$Q$317,$A8,'Данные 2st'!$FS$2:$FS$317),"")</f>
        <v>176</v>
      </c>
      <c r="MR8" s="7">
        <f>IFERROR(AVERAGEIF('Данные 2st'!$Q$2:$Q$317,$A8,'Данные 2st'!$FU$2:$FU$317),"")</f>
        <v>0.4</v>
      </c>
      <c r="MS8" s="7">
        <f>IFERROR(AVERAGEIF('Данные 2st'!$Q$2:$Q$317,$A8,'Данные 2st'!$FV$2:$FV$317),"")</f>
        <v>1857.2857142857142</v>
      </c>
      <c r="MT8" s="7">
        <f>IFERROR(AVERAGEIF('Данные 2st'!$Q$2:$Q$317,$A8,'Данные 2st'!$FW$2:$FW$317),"")</f>
        <v>145.28571428571428</v>
      </c>
      <c r="MU8" s="7">
        <f>IFERROR(AVERAGEIF('Данные 2st'!$Q$2:$Q$317,$A8,'Данные 2st'!$FY$2:$FY$317),"")</f>
        <v>9</v>
      </c>
      <c r="MV8" s="7">
        <f>IFERROR(AVERAGEIF('Данные 2st'!$Q$2:$Q$317,$A8,'Данные 2st'!$GB$2:$GB$317),"")</f>
        <v>1855</v>
      </c>
      <c r="MW8" s="7">
        <f>IFERROR(AVERAGEIF('Данные 2st'!$Q$2:$Q$317,$A8,'Данные 2st'!$GC$2:$GC$317),"")</f>
        <v>16.4</v>
      </c>
      <c r="MX8" s="7">
        <f>IFERROR(AVERAGEIF('Данные 2st'!$Q$2:$Q$317,$A8,'Данные 2st'!$GD$2:$GD$317),"")</f>
        <v>2842</v>
      </c>
      <c r="MY8" s="7">
        <f>IFERROR(AVERAGEIF('Данные 2st'!$Q$2:$Q$317,$A8,'Данные 2st'!$GN$2:$GN$317),"")</f>
        <v/>
      </c>
      <c r="MZ8" s="7">
        <f>IFERROR(AVERAGEIF('Данные 2st'!$Q$2:$Q$317,$A8,'Данные 2st'!$GQ$2:$GQ$317),"")</f>
        <v>0</v>
      </c>
      <c r="NA8" s="7">
        <f>IFERROR(AVERAGEIF('Данные 2st'!$Q$2:$Q$317,$A8,'Данные 2st'!$GV$2:$GV$317),"")</f>
        <v>7.171428571428572</v>
      </c>
      <c r="NB8" s="7">
        <f>IFERROR(AVERAGEIF('Данные 2st'!$Q$2:$Q$317,$A8,'Данные 2st'!$GW$2:$GW$317),"")</f>
        <v>9.4</v>
      </c>
      <c r="NC8" s="7">
        <f>IFERROR(AVERAGEIF('Данные 2st'!$Q$2:$Q$317,$A8,'Данные 2st'!$GX$2:$GX$317),"")</f>
        <v>0.5</v>
      </c>
      <c r="ND8" s="7">
        <f>IFERROR(AVERAGEIF('Данные 2st'!$Q$2:$Q$317,$A8,'Данные 2st'!$GY$2:$GY$317),"")</f>
        <v>140.28571428571428</v>
      </c>
      <c r="NE8" s="7">
        <f>IFERROR(AVERAGEIF('Данные 2st'!$Q$2:$Q$317,$A8,'Данные 2st'!$GZ$2:$GZ$317),"")</f>
        <v>3</v>
      </c>
      <c r="NF8" s="7">
        <f>IFERROR(AVERAGEIF('Данные 2st'!$Q$2:$Q$317,$A8,'Данные 2st'!$HA$2:$HA$317),"")</f>
        <v>188.28571428571428</v>
      </c>
      <c r="NG8" s="7">
        <f>IFERROR(AVERAGEIF('Данные 2st'!$Q$2:$Q$317,$A8,'Данные 2st'!$HB$2:$HB$317),"")</f>
        <v>3</v>
      </c>
      <c r="NH8" s="7">
        <f>IFERROR(AVERAGEIF('Данные 2st'!$Q$2:$Q$317,$A8,'Данные 2st'!$HC$2:$HC$317),"")</f>
        <v>1857.2857142857142</v>
      </c>
      <c r="NI8" s="7">
        <f>IFERROR(AVERAGEIF('Данные 2st'!$Q$2:$Q$317,$A8,'Данные 2st'!$HD$2:$HD$317),"")</f>
        <v>4</v>
      </c>
      <c r="NJ8" s="7">
        <f>IFERROR(AVERAGEIF('Данные 2st'!$Q$2:$Q$317,$A8,'Данные 2st'!$HM$2:$HM$317),"")</f>
        <v>15</v>
      </c>
      <c r="NK8" s="7">
        <f>IFERROR(AVERAGEIF('Данные 2st'!$Q$2:$Q$317,$A8,'Данные 2st'!$HR$2:$HR$317),"")</f>
        <v>2.4285714285714284</v>
      </c>
      <c r="NL8" s="7">
        <f>IFERROR(AVERAGEIF('Данные 2st'!$Q$2:$Q$317,$A8,'Данные 2st'!$HS$2:$HS$317),"")</f>
        <v>1818.5714285714287</v>
      </c>
      <c r="NM8" s="7">
        <f>IFERROR(AVERAGEIF('Данные 2st'!$Q$2:$Q$317,$A8,'Данные 2st'!$HT$2:$HT$317),"")</f>
        <v>5</v>
      </c>
      <c r="NN8" s="7">
        <f>IFERROR(AVERAGEIF('Данные 2st'!$Q$2:$Q$317,$A8,'Данные 2st'!$HY$2:$HY$317),"")</f>
        <v>0</v>
      </c>
      <c r="NO8" s="7">
        <f>IFERROR(AVERAGEIF('Данные 2st'!$Q$2:$Q$317,$A8,'Данные 2st'!$HZ$2:$HZ$317),"")</f>
        <v>64.42857142857143</v>
      </c>
      <c r="NP8" s="7">
        <f>IFERROR(AVERAGEIF('Данные 2st'!$Q$2:$Q$317,$A8,'Данные 2st'!$IA$2:$IA$317),"")</f>
        <v>1821.5714285714287</v>
      </c>
      <c r="NQ8" s="7">
        <f>IFERROR(AVERAGEIF('Данные 2st'!$Q$2:$Q$317,$A8,'Данные 2st'!$IB$2:$IB$317),"")</f>
        <v>1828.5714285714287</v>
      </c>
      <c r="NR8" s="7">
        <f>IFERROR(AVERAGEIF('Данные 2st'!$Q$2:$Q$317,$A8,'Данные 2st'!$IC$2:$IC$317),"")</f>
        <v/>
      </c>
      <c r="NS8" s="7">
        <f>IFERROR(AVERAGEIF('Данные 2st'!$Q$2:$Q$317,$A8,'Данные 2st'!$ID$2:$ID$317),"")</f>
        <v>1857.2857142857142</v>
      </c>
      <c r="NT8" s="7">
        <f>IFERROR(AVERAGEIF('Данные 2st'!$Q$2:$Q$317,$A8,'Данные 2st'!$IE$2:$IE$317),"")</f>
        <v>1857.2857142857142</v>
      </c>
      <c r="NU8" s="7">
        <f>IFERROR(AVERAGEIF('Данные 2st'!$Q$2:$Q$317,$A8,'Данные 2st'!$IF$2:$IF$317),"")</f>
        <v>150.71428571428572</v>
      </c>
      <c r="NV8" s="7">
        <f>IFERROR(AVERAGEIF('Данные 2st'!$Q$2:$Q$317,$A8,'Данные 2st'!$IG$2:$IG$317),"")</f>
        <v>140.71428571428572</v>
      </c>
      <c r="NW8" s="7">
        <f>IFERROR(AVERAGEIF('Данные 2st'!$Q$2:$Q$317,$A8,'Данные 2st'!$IH$2:$IH$317),"")</f>
        <v>188.28571428571428</v>
      </c>
      <c r="NX8" s="7">
        <f>IFERROR(AVERAGEIF('Данные 2st'!$Q$2:$Q$317,$A8,'Данные 2st'!$IJ$2:$IJ$317),"")</f>
        <v>5</v>
      </c>
      <c r="NY8" s="7">
        <f>IFERROR(AVERAGEIF('Данные 2st'!$Q$2:$Q$317,$A8,'Данные 2st'!$IM$2:$IM$317),"")</f>
        <v>0</v>
      </c>
      <c r="NZ8" s="7">
        <f>IFERROR(AVERAGEIF('Данные 2st'!$Q$2:$Q$317,$A8,'Данные 2st'!$IN$2:$IN$317),"")</f>
        <v>270</v>
      </c>
      <c r="OA8" s="7">
        <f>IFERROR(AVERAGEIF('Данные 2st'!$Q$2:$Q$317,$A8,'Данные 2st'!$IO$2:$IO$317),"")</f>
        <v>0</v>
      </c>
      <c r="OB8" s="7">
        <f>IFERROR(AVERAGEIF('Данные 2st'!$Q$2:$Q$317,$A8,'Данные 2st'!$IP$2:$IP$317),"")</f>
        <v>180</v>
      </c>
      <c r="OC8" s="7">
        <f>IFERROR(AVERAGEIF('Данные 2st'!$Q$2:$Q$317,$A8,'Данные 2st'!$IQ$2:$IQ$317),"")</f>
        <v>0</v>
      </c>
      <c r="OD8" s="7">
        <f>IFERROR(AVERAGEIF('Данные 2st'!$Q$2:$Q$317,$A8,'Данные 2st'!$IR$2:$IR$317),"")</f>
        <v>327.7142857142857</v>
      </c>
      <c r="OE8" s="7">
        <f>IFERROR(AVERAGEIF('Данные 2st'!$Q$2:$Q$317,$A8,'Данные 2st'!$IT$2:$IT$317),"")</f>
        <v>90</v>
      </c>
      <c r="OF8" s="7">
        <f>IFERROR(AVERAGEIF('Данные 2st'!$Q$2:$Q$317,$A8,'Данные 2st'!$IU$2:$IU$317),"")</f>
        <v>0</v>
      </c>
      <c r="OG8" s="7">
        <f>IFERROR(AVERAGEIF('Данные 2st'!$Q$2:$Q$317,$A8,'Данные 2st'!$IV$2:$IV$317),"")</f>
        <v>6.4</v>
      </c>
      <c r="OH8" s="7">
        <f>IFERROR(AVERAGEIF('Данные 2st'!$Q$2:$Q$317,$A8,'Данные 2st'!$IW$2:$IW$317),"")</f>
        <v>-6</v>
      </c>
      <c r="OI8" s="7">
        <f>IFERROR(AVERAGEIF('Данные 2st'!$Q$2:$Q$317,$A8,'Данные 2st'!$IX$2:$IX$317),"")</f>
        <v>78.28571428571429</v>
      </c>
      <c r="OJ8" s="7">
        <f>IFERROR(AVERAGEIF('Данные 2st'!$Q$2:$Q$317,$A8,'Данные 2st'!$IY$2:$IY$317),"")</f>
        <v>66.64285714285714</v>
      </c>
      <c r="OK8" s="7">
        <f>IFERROR(AVERAGEIF('Данные 2st'!$Q$2:$Q$317,$A8,'Данные 2st'!$IZ$2:$IZ$317),"")</f>
        <v>0</v>
      </c>
      <c r="OL8" s="7">
        <f>IFERROR(AVERAGEIF('Данные 2st'!$Q$2:$Q$317,$A8,'Данные 2st'!$JA$2:$JA$317),"")</f>
        <v>0</v>
      </c>
      <c r="OM8" s="7">
        <f>IFERROR(AVERAGEIF('Данные 2st'!$Q$2:$Q$317,$A8,'Данные 2st'!$JB$2:$JB$317),"")</f>
        <v>0</v>
      </c>
      <c r="ON8" s="7">
        <f>IFERROR(AVERAGEIF('Данные 2st'!$Q$2:$Q$317,$A8,'Данные 2st'!$JC$2:$JC$317),"")</f>
        <v>0</v>
      </c>
      <c r="OO8" s="7">
        <f>IFERROR(AVERAGEIF('Данные 2st'!$Q$2:$Q$317,$A8,'Данные 2st'!$JD$2:$JD$317),"")</f>
        <v>0</v>
      </c>
      <c r="OP8" s="7">
        <f>IFERROR(AVERAGEIF('Данные 2st'!$Q$2:$Q$317,$A8,'Данные 2st'!$JE$2:$JE$317),"")</f>
        <v>0</v>
      </c>
      <c r="OQ8" s="7">
        <f>IFERROR(AVERAGEIF('Данные 2st'!$Q$2:$Q$317,$A8,'Данные 2st'!$JF$2:$JF$317),"")</f>
        <v>0</v>
      </c>
      <c r="OR8" s="7">
        <f>IFERROR(AVERAGEIF('Данные 2st'!$Q$2:$Q$317,$A8,'Данные 2st'!$JG$2:$JG$317),"")</f>
        <v>0</v>
      </c>
      <c r="OS8" s="7">
        <f>IFERROR(AVERAGEIF('Данные 2st'!$Q$2:$Q$317,$A8,'Данные 2st'!$JH$2:$JH$317),"")</f>
        <v>0</v>
      </c>
      <c r="OT8" s="7">
        <f>IFERROR(AVERAGEIF('Данные 2st'!$Q$2:$Q$317,$A8,'Данные 2st'!$JI$2:$JI$317),"")</f>
        <v>339.42857142857144</v>
      </c>
      <c r="OU8" s="7">
        <f>IFERROR(AVERAGEIF('Данные 2st'!$Q$2:$Q$317,$A8,'Данные 2st'!$JJ$2:$JJ$317),"")</f>
        <v>307.7142857142857</v>
      </c>
      <c r="OV8" s="7">
        <f>IFERROR(AVERAGEIF('Данные 2st'!$Q$2:$Q$317,$A8,'Данные 2st'!$JK$2:$JK$317),"")</f>
        <v>228</v>
      </c>
      <c r="OW8" s="7">
        <f>IFERROR(AVERAGEIF('Данные 2st'!$Q$2:$Q$317,$A8,'Данные 2st'!$JL$2:$JL$317),"")</f>
        <v>304.85714285714283</v>
      </c>
      <c r="OX8" s="7">
        <f>IFERROR(AVERAGEIF('Данные 2st'!$Q$2:$Q$317,$A8,'Данные 2st'!$JM$2:$JM$317),"")</f>
        <v>233.42857142857142</v>
      </c>
      <c r="OY8" s="7">
        <f>IFERROR(AVERAGEIF('Данные 2st'!$Q$2:$Q$317,$A8,'Данные 2st'!$JP$2:$JP$317),"")</f>
        <v>220</v>
      </c>
      <c r="OZ8" s="7">
        <f>IFERROR(AVERAGEIF('Данные 2st'!$Q$2:$Q$317,$A8,'Данные 2st'!$JQ$2:$JQ$317),"")</f>
        <v>271.42857142857144</v>
      </c>
      <c r="PA8" s="7">
        <f>IFERROR(AVERAGEIF('Данные 2st'!$Q$2:$Q$317,$A8,'Данные 2st'!$JR$2:$JR$317),"")</f>
        <v>350.42857142857144</v>
      </c>
      <c r="PB8" s="7">
        <f>IFERROR(AVERAGEIF('Данные 2st'!$Q$2:$Q$317,$A8,'Данные 2st'!$JS$2:$JS$317),"")</f>
        <v>269.57142857142856</v>
      </c>
      <c r="PC8" s="7">
        <f>IFERROR(AVERAGEIF('Данные 2st'!$Q$2:$Q$317,$A8,'Данные 2st'!$JT$2:$JT$317),"")</f>
        <v>0</v>
      </c>
      <c r="PD8" s="7">
        <f>IFERROR(AVERAGEIF('Данные 2st'!$Q$2:$Q$317,$A8,'Данные 2st'!$JU$2:$JU$317),"")</f>
        <v>0</v>
      </c>
      <c r="PE8" s="7">
        <f>IFERROR(AVERAGEIF('Данные 2st'!$Q$2:$Q$317,$A8,'Данные 2st'!$JV$2:$JV$317),"")</f>
        <v>335</v>
      </c>
      <c r="PF8" s="7">
        <f>IFERROR(AVERAGEIF('Данные 2st'!$Q$2:$Q$317,$A8,'Данные 2st'!$JW$2:$JW$317),"")</f>
        <v>337</v>
      </c>
      <c r="PG8" s="7">
        <f>IFERROR(AVERAGEIF('Данные 2st'!$Q$2:$Q$317,$A8,'Данные 2st'!$KF$2:$KF$317),"")</f>
        <v>0.18857142857142858</v>
      </c>
      <c r="PH8" s="7">
        <f>IFERROR(AVERAGEIF('Данные 2st'!$Q$2:$Q$317,$A8,'Данные 2st'!$KG$2:$KG$317),"")</f>
        <v>0.09</v>
      </c>
      <c r="PI8" s="7">
        <f>IFERROR(AVERAGEIF('Данные 2st'!$Q$2:$Q$317,$A8,'Данные 2st'!$KM$2:$KM$317),"")</f>
        <v>0.2857142857142857</v>
      </c>
      <c r="PJ8" s="7">
        <f>IFERROR(AVERAGEIF('Данные 2st'!$Q$2:$Q$317,$A8,'Данные 2st'!$KN$2:$KN$317),"")</f>
        <v>1.1428571428571428</v>
      </c>
      <c r="PK8" s="7">
        <f>IFERROR(AVERAGEIF('Данные 2st'!$Q$2:$Q$317,$A8,'Данные 2st'!$KO$2:$KO$317),"")</f>
        <v>0.5714285714285714</v>
      </c>
      <c r="PL8" s="7">
        <f>IFERROR(AVERAGEIF('Данные 2st'!$Q$2:$Q$317,$A8,'Данные 2st'!$KP$2:$KP$317),"")</f>
        <v>0.2857142857142857</v>
      </c>
      <c r="PM8" s="7">
        <f>IFERROR(AVERAGEIF('Данные 2st'!$Q$2:$Q$317,$A8,'Данные 2st'!$KQ$2:$KQ$317),"")</f>
        <v>0.9428571428571428</v>
      </c>
      <c r="PN8" s="7">
        <f>IFERROR(AVERAGEIF('Данные 2st'!$Q$2:$Q$317,$A8,'Данные 2st'!$KR$2:$KR$317),"")</f>
        <v>1.0857142857142856</v>
      </c>
      <c r="PO8" s="7">
        <f>IFERROR(AVERAGEIF('Данные 2st'!$Q$2:$Q$317,$A8,'Данные 2st'!$KS$2:$KS$317),"")</f>
        <v>0</v>
      </c>
      <c r="PP8" s="7">
        <f>IFERROR(AVERAGEIF('Данные 2st'!$Q$2:$Q$317,$A8,'Данные 2st'!$KT$2:$KT$317),"")</f>
        <v>1.8285714285714285</v>
      </c>
      <c r="PQ8" s="7">
        <f>IFERROR(AVERAGEIF('Данные 2st'!$Q$2:$Q$317,$A8,'Данные 2st'!$KU$2:$KU$317),"")</f>
        <v>0.42857142857142855</v>
      </c>
      <c r="PR8" s="7">
        <f>IFERROR(AVERAGEIF('Данные 2st'!$Q$2:$Q$317,$A8,'Данные 2st'!$KV$2:$KV$317),"")</f>
        <v>0.39999999999999997</v>
      </c>
      <c r="PS8" s="7">
        <f>IFERROR(AVERAGEIF('Данные 2st'!$Q$2:$Q$317,$A8,'Данные 2st'!$KW$2:$KW$317),"")</f>
        <v>1.0857142857142856</v>
      </c>
      <c r="PT8" s="7">
        <f>IFERROR(AVERAGEIF('Данные 2st'!$Q$2:$Q$317,$A8,'Данные 2st'!$KX$2:$KX$317),"")</f>
        <v>2.0714285714285716</v>
      </c>
      <c r="PU8" s="7">
        <f>IFERROR(AVERAGEIF('Данные 2st'!$Q$2:$Q$317,$A8,'Данные 2st'!$KY$2:$KY$317),"")</f>
        <v>0.5714285714285714</v>
      </c>
      <c r="PV8" s="7">
        <f>IFERROR(AVERAGEIF('Данные 2st'!$Q$2:$Q$317,$A8,'Данные 2st'!$KZ$2:$KZ$317),"")</f>
        <v>0.8571428571428571</v>
      </c>
      <c r="PW8" s="7">
        <f>IFERROR(AVERAGEIF('Данные 2st'!$Q$2:$Q$317,$A8,'Данные 2st'!$LA$2:$LA$317),"")</f>
        <v>0.39999999999999997</v>
      </c>
      <c r="PX8" s="7">
        <f>IFERROR(AVERAGEIF('Данные 2st'!$Q$2:$Q$317,$A8,'Данные 2st'!$LB$2:$LB$317),"")</f>
        <v>2.2857142857142856</v>
      </c>
      <c r="PY8" s="7">
        <f>IFERROR(AVERAGEIF('Данные 2st'!$Q$2:$Q$317,$A8,'Данные 2st'!$LC$2:$LC$317),"")</f>
        <v>0.7999999999999999</v>
      </c>
      <c r="PZ8" s="7">
        <f>IFERROR(AVERAGEIF('Данные 2st'!$Q$2:$Q$317,$A8,'Данные 2st'!$LD$2:$LD$317),"")</f>
        <v>1.0</v>
      </c>
      <c r="QA8" s="7">
        <f>IFERROR(AVERAGEIF('Данные 2st'!$Q$2:$Q$317,$A8,'Данные 2st'!$LE$2:$LE$317),"")</f>
        <v>0.4571428571428572</v>
      </c>
      <c r="QB8" s="7">
        <f>IFERROR(AVERAGEIF('Данные 2st'!$Q$2:$Q$317,$A8,'Данные 2st'!$LF$2:$LF$317),"")</f>
        <v>0</v>
      </c>
      <c r="QC8" s="7">
        <f>IFERROR(AVERAGEIF('Данные 2st'!$Q$2:$Q$317,$A8,'Данные 2st'!$LG$2:$LG$317),"")</f>
        <v>0</v>
      </c>
      <c r="QD8" s="7">
        <f>IFERROR(AVERAGEIF('Данные 2st'!$Q$2:$Q$317,$A8,'Данные 2st'!$LH$2:$LH$317),"")</f>
        <v>2.2142857142857144</v>
      </c>
      <c r="QE8" s="7">
        <f>IFERROR(AVERAGEIF('Данные 2st'!$Q$2:$Q$317,$A8,'Данные 2st'!$LJ$2:$LJ$317),"")</f>
        <v>0.2857142857142857</v>
      </c>
      <c r="QF8" s="7">
        <f>IFERROR(AVERAGEIF('Данные 2st'!$Q$2:$Q$317,$A8,'Данные 2st'!$LK$2:$LK$317),"")</f>
        <v>3.4285714285714284</v>
      </c>
      <c r="QG8" s="7">
        <f>IFERROR(AVERAGEIF('Данные 2st'!$Q$2:$Q$317,$A8,'Данные 2st'!$LL$2:$LL$317),"")</f>
        <v>5.071428571428571</v>
      </c>
      <c r="QH8" s="7">
        <f>IFERROR(AVERAGEIF('Данные 2st'!$Q$2:$Q$317,$A8,'Данные 2st'!$LM$2:$LM$317),"")</f>
        <v>4.571428571428571</v>
      </c>
      <c r="QI8" s="7">
        <f>IFERROR(AVERAGEIF('Данные 2st'!$Q$2:$Q$317,$A8,'Данные 2st'!$LN$2:$LN$317),"")</f>
        <v>0.35714285714285715</v>
      </c>
      <c r="QJ8" s="7">
        <f>IFERROR(AVERAGEIF('Данные 2st'!$Q$2:$Q$317,$A8,'Данные 2st'!$LO$2:$LO$317),"")</f>
        <v>0.6714285714285715</v>
      </c>
      <c r="QK8" s="7">
        <f>IFERROR(AVERAGEIF('Данные 2st'!$Q$2:$Q$317,$A8,'Данные 2st'!$LP$2:$LP$317),"")</f>
        <v>0</v>
      </c>
      <c r="QL8" s="7">
        <f>IFERROR(AVERAGEIF('Данные 2st'!$Q$2:$Q$317,$A8,'Данные 2st'!$LQ$2:$LQ$317),"")</f>
        <v>0</v>
      </c>
      <c r="QM8" s="7">
        <f>IFERROR(AVERAGEIF('Данные 2st'!$Q$2:$Q$317,$A8,'Данные 2st'!$LW$2:$LW$317),"")</f>
        <v>1.4</v>
      </c>
      <c r="QN8" s="7">
        <f>IFERROR(AVERAGEIF('Данные 2st'!$Q$2:$Q$317,$A8,'Данные 2st'!$LX$2:$LX$317),"")</f>
        <v>1.4</v>
      </c>
      <c r="QO8" s="7">
        <f>IFERROR(AVERAGEIF('Данные 2st'!$Q$2:$Q$317,$A8,'Данные 2st'!$LY$2:$LY$317),"")</f>
        <v>1.9000000000000001</v>
      </c>
      <c r="QP8" s="7">
        <f>IFERROR(AVERAGEIF('Данные 2st'!$Q$2:$Q$317,$A8,'Данные 2st'!$LZ$2:$LZ$317),"")</f>
        <v>1.9000000000000001</v>
      </c>
      <c r="QQ8" s="7">
        <f>IFERROR(AVERAGEIF('Данные 2st'!$Q$2:$Q$317,$A8,'Данные 2st'!$MB$2:$MB$317),"")</f>
        <v>1.1428571428571428</v>
      </c>
      <c r="QR8" s="7">
        <f>IFERROR(AVERAGEIF('Данные 2st'!$Q$2:$Q$317,$A8,'Данные 2st'!$MG$2:$MG$317),"")</f>
        <v>20</v>
      </c>
      <c r="QS8" s="7">
        <f>IFERROR(AVERAGEIF('Данные 2st'!$Q$2:$Q$317,$A8,'Данные 2st'!$MH$2:$MH$317),"")</f>
        <v>0</v>
      </c>
      <c r="QT8" s="7">
        <f>IFERROR(AVERAGEIF('Данные 2st'!$Q$2:$Q$317,$A8,'Данные 2st'!$MI$2:$MI$317),"")</f>
        <v>0</v>
      </c>
      <c r="QU8" s="7">
        <f>IFERROR(AVERAGEIF('Данные 2st'!$Q$2:$Q$317,$A8,'Данные 2st'!$MJ$2:$MJ$317),"")</f>
        <v>0</v>
      </c>
      <c r="QV8" s="7">
        <f>IFERROR(AVERAGEIF('Данные 2st'!$Q$2:$Q$317,$A8,'Данные 2st'!$MK$2:$MK$317),"")</f>
        <v>0</v>
      </c>
      <c r="QW8" s="7">
        <f>IFERROR(AVERAGEIF('Данные 2st'!$Q$2:$Q$317,$A8,'Данные 2st'!$MM$2:$MM$317),"")</f>
        <v>355.14285714285717</v>
      </c>
      <c r="QX8" s="7">
        <f>IFERROR(AVERAGEIF('Данные 2st'!$Q$2:$Q$317,$A8,'Данные 2st'!$MQ$2:$MQ$317),"")</f>
        <v/>
      </c>
      <c r="QY8" s="7">
        <f>IFERROR(AVERAGEIF('Данные 2st'!$Q$2:$Q$317,$A8,'Данные 2st'!$MR$2:$MR$317),"")</f>
        <v/>
      </c>
      <c r="QZ8" s="7">
        <f>IFERROR(AVERAGEIF('Данные 2st'!$Q$2:$Q$317,$A8,'Данные 2st'!$MS$2:$MS$317),"")</f>
        <v/>
      </c>
      <c r="RA8" s="7">
        <f>IFERROR(AVERAGEIF('Данные 2st'!$Q$2:$Q$317,$A8,'Данные 2st'!$MT$2:$MT$317),"")</f>
        <v/>
      </c>
      <c r="RB8" s="7">
        <f>IFERROR(AVERAGEIF('Данные 2st'!$Q$2:$Q$317,$A8,'Данные 2st'!$MU$2:$MU$317),"")</f>
        <v/>
      </c>
      <c r="RC8" s="7">
        <f>IFERROR(AVERAGEIF('Данные 2st'!$Q$2:$Q$317,$A8,'Данные 2st'!$MV$2:$MV$317),"")</f>
        <v/>
      </c>
      <c r="RD8" s="7">
        <f>IFERROR(AVERAGEIF('Данные 2st'!$Q$2:$Q$317,$A8,'Данные 2st'!$MW$2:$MW$317),"")</f>
        <v/>
      </c>
      <c r="RE8" s="7">
        <f>IFERROR(AVERAGEIF('Данные 2st'!$Q$2:$Q$317,$A8,'Данные 2st'!$MX$2:$MX$317),"")</f>
        <v/>
      </c>
      <c r="RF8" s="7">
        <f>IFERROR(AVERAGEIF('Данные 2st'!$Q$2:$Q$317,$A8,'Данные 2st'!$MY$2:$MY$317),"")</f>
        <v/>
      </c>
      <c r="RG8" s="7">
        <f>IFERROR(AVERAGEIF('Данные 2st'!$Q$2:$Q$317,$A8,'Данные 2st'!$MZ$2:$MZ$317),"")</f>
        <v/>
      </c>
      <c r="RH8" s="7">
        <f>IFERROR(AVERAGEIF('Данные 2st'!$Q$2:$Q$317,$A8,'Данные 2st'!$NA$2:$NA$317),"")</f>
        <v/>
      </c>
      <c r="RI8" s="7">
        <f>IFERROR(AVERAGEIF('Данные 2st'!$Q$2:$Q$317,$A8,'Данные 2st'!$NB$2:$NB$317),"")</f>
        <v/>
      </c>
      <c r="RJ8" s="7">
        <f>IFERROR(AVERAGEIF('Данные 2st'!$Q$2:$Q$317,$A8,'Данные 2st'!$NC$2:$NC$317),"")</f>
        <v/>
      </c>
      <c r="RK8" s="7">
        <f>IFERROR(AVERAGEIF('Данные 2st'!$Q$2:$Q$317,$A8,'Данные 2st'!$ND$2:$ND$317),"")</f>
        <v/>
      </c>
      <c r="RL8" s="7">
        <f>IFERROR(AVERAGEIF('Данные 2st'!$Q$2:$Q$317,$A8,'Данные 2st'!$NE$2:$NE$317),"")</f>
        <v/>
      </c>
      <c r="RM8" s="7">
        <f>IFERROR(AVERAGEIF('Данные 2st'!$Q$2:$Q$317,$A8,'Данные 2st'!$NF$2:$NF$317),"")</f>
        <v/>
      </c>
      <c r="RN8" s="7">
        <f>IFERROR(AVERAGEIF('Данные 2st'!$Q$2:$Q$317,$A8,'Данные 2st'!$NG$2:$NG$317),"")</f>
        <v/>
      </c>
      <c r="RO8" s="7">
        <f>IFERROR(AVERAGEIF('Данные 2st'!$Q$2:$Q$317,$A8,'Данные 2st'!$NH$2:$NH$317),"")</f>
        <v/>
      </c>
      <c r="RP8" s="7">
        <f>IFERROR(AVERAGEIF('Данные 2st'!$Q$2:$Q$317,$A8,'Данные 2st'!$NJ$2:$NJ$317),"")</f>
        <v/>
      </c>
      <c r="RQ8" s="7">
        <f>IFERROR(AVERAGEIF('Данные 2st'!$Q$2:$Q$317,$A8,'Данные 2st'!$NK$2:$NK$317),"")</f>
        <v/>
      </c>
      <c r="RR8" s="7">
        <f>IFERROR(AVERAGEIF('Данные 2st'!$Q$2:$Q$317,$A8,'Данные 2st'!$NM$2:$NM$317),"")</f>
        <v/>
      </c>
      <c r="RS8" s="7">
        <f>IFERROR(AVERAGEIF('Данные 2st'!$Q$2:$Q$317,$A8,'Данные 2st'!$NN$2:$NN$317),"")</f>
        <v/>
      </c>
      <c r="RT8" s="7">
        <f>IFERROR(AVERAGEIF('Данные 2st'!$Q$2:$Q$317,$A8,'Данные 2st'!$NO$2:$NO$317),"")</f>
        <v/>
      </c>
      <c r="RU8" s="7">
        <f>IFERROR(AVERAGEIF('Данные 2st'!$Q$2:$Q$317,$A8,'Данные 2st'!$NP$2:$NP$317),"")</f>
        <v/>
      </c>
      <c r="RV8" s="7">
        <f>IFERROR(AVERAGEIF('Данные 2st'!$Q$2:$Q$317,$A8,'Данные 2st'!$NQ$2:$NQ$317),"")</f>
        <v/>
      </c>
      <c r="RW8" s="7">
        <f>IFERROR(AVERAGEIF('Данные 2st'!$Q$2:$Q$317,$A8,'Данные 2st'!$NR$2:$NR$317),"")</f>
        <v/>
      </c>
      <c r="RX8" s="7">
        <f>IFERROR(AVERAGEIF('Данные 2st'!$Q$2:$Q$317,$A8,'Данные 2st'!$NS$2:$NS$317),"")</f>
        <v/>
      </c>
      <c r="RY8" s="7">
        <f>IFERROR(AVERAGEIF('Данные 2st'!$Q$2:$Q$317,$A8,'Данные 2st'!$NT$2:$NT$317),"")</f>
        <v/>
      </c>
      <c r="RZ8" s="7">
        <f>IFERROR(AVERAGEIF('Данные 2st'!$Q$2:$Q$317,$A8,'Данные 2st'!$OK$2:$OK$317),"")</f>
        <v>61</v>
      </c>
      <c r="SA8" s="7">
        <f>IFERROR(AVERAGEIF('Данные 2st'!$Q$2:$Q$317,$A8,'Данные 2st'!$OL$2:$OL$317),"")</f>
        <v>61</v>
      </c>
      <c r="SB8" s="7">
        <f>IFERROR(AVERAGEIF('Данные 2st'!$Q$2:$Q$317,$A8,'Данные 2st'!$ON$2:$ON$317),"")</f>
        <v>2.7142857142857144</v>
      </c>
      <c r="SC8" s="7">
        <f>IFERROR(AVERAGEIF('Данные 2st'!$Q$2:$Q$317,$A8,'Данные 2st'!$OO$2:$OO$317),"")</f>
        <v>1821.5714285714287</v>
      </c>
      <c r="SD8" s="7">
        <f>IFERROR(AVERAGEIF('Данные 2st'!$Q$2:$Q$317,$A8,'Данные 2st'!$OP$2:$OP$317),"")</f>
        <v>61</v>
      </c>
      <c r="SE8" s="7">
        <f>IFERROR(AVERAGEIF('Данные 2st'!$Q$2:$Q$317,$A8,'Данные 2st'!$OQ$2:$OQ$317),"")</f>
        <v>61</v>
      </c>
      <c r="SF8" s="7">
        <f>IFERROR(AVERAGEIF('Данные 2st'!$Q$2:$Q$317,$A8,'Данные 2st'!$OS$2:$OS$317),"")</f>
        <v>2.7142857142857144</v>
      </c>
      <c r="SG8" s="7">
        <f>IFERROR(AVERAGEIF('Данные 2st'!$Q$2:$Q$317,$A8,'Данные 2st'!$OT$2:$OT$317),"")</f>
        <v>1828.5714285714287</v>
      </c>
      <c r="SH8" s="7">
        <f>IFERROR(AVERAGEIF('Данные 2st'!$Q$2:$Q$317,$A8,'Данные 2st'!$OU$2:$OU$317),"")</f>
        <v>65</v>
      </c>
      <c r="SI8" s="7">
        <f>IFERROR(AVERAGEIF('Данные 2st'!$Q$2:$Q$317,$A8,'Данные 2st'!$OV$2:$OV$317),"")</f>
        <v>65</v>
      </c>
      <c r="SJ8" s="7">
        <f>IFERROR(AVERAGEIF('Данные 2st'!$Q$2:$Q$317,$A8,'Данные 2st'!$OX$2:$OX$317),"")</f>
        <v>1.1428571428571428</v>
      </c>
      <c r="SK8" s="7">
        <f>IFERROR(AVERAGEIF('Данные 2st'!$Q$2:$Q$317,$A8,'Данные 2st'!$OY$2:$OY$317),"")</f>
        <v>27424.571428571428</v>
      </c>
      <c r="SL8" s="7">
        <f>IFERROR(AVERAGEIF('Данные 2st'!$Q$2:$Q$317,$A8,'Данные 2st'!$OZ$2:$OZ$317),"")</f>
        <v>51</v>
      </c>
      <c r="SM8" s="7">
        <f>IFERROR(AVERAGEIF('Данные 2st'!$Q$2:$Q$317,$A8,'Данные 2st'!$PA$2:$PA$317),"")</f>
        <v>51.42857142857143</v>
      </c>
      <c r="SN8" s="7">
        <f>IFERROR(AVERAGEIF('Данные 2st'!$Q$2:$Q$317,$A8,'Данные 2st'!$PC$2:$PC$317),"")</f>
        <v>1.7142857142857142</v>
      </c>
      <c r="SO8" s="7">
        <f>IFERROR(AVERAGEIF('Данные 2st'!$Q$2:$Q$317,$A8,'Данные 2st'!$PD$2:$PD$317),"")</f>
        <v>1857.2857142857142</v>
      </c>
      <c r="SP8" s="7">
        <f>IFERROR(AVERAGEIF('Данные 2st'!$Q$2:$Q$317,$A8,'Данные 2st'!$PF$2:$PF$317),"")</f>
        <v>275.2857142857143</v>
      </c>
      <c r="SQ8" s="7">
        <f>IFERROR(AVERAGEIF('Данные 2st'!$Q$2:$Q$317,$A8,'Данные 2st'!$PG$2:$PG$317),"")</f>
        <v>29</v>
      </c>
      <c r="SR8" s="7">
        <f>IFERROR(AVERAGEIF('Данные 2st'!$Q$2:$Q$317,$A8,'Данные 2st'!$PH$2:$PH$317),"")</f>
        <v>257.2857142857143</v>
      </c>
      <c r="SS8" s="7">
        <f>IFERROR(AVERAGEIF('Данные 2st'!$Q$2:$Q$317,$A8,'Данные 2st'!$PI$2:$PI$317),"")</f>
        <v>29</v>
      </c>
      <c r="ST8" s="7">
        <f>IFERROR(AVERAGEIF('Данные 2st'!$Q$2:$Q$317,$A8,'Данные 2st'!$PJ$2:$PJ$317),"")</f>
        <v>79.3</v>
      </c>
      <c r="SU8" s="7">
        <f>IFERROR(AVERAGEIF('Данные 2st'!$Q$2:$Q$317,$A8,'Данные 2st'!$PK$2:$PK$317),"")</f>
        <v>1412.4285714285713</v>
      </c>
      <c r="SV8" s="7">
        <f>IFERROR(AVERAGEIF('Данные 2st'!$Q$2:$Q$317,$A8,'Данные 2st'!$PL$2:$PL$317),"")</f>
        <v>869.3571428571429</v>
      </c>
      <c r="SW8" s="7">
        <f>IFERROR(AVERAGEIF('Данные 2st'!$Q$2:$Q$317,$A8,'Данные 2st'!$PM$2:$PM$317),"")</f>
        <v>496.9857142857143</v>
      </c>
      <c r="SX8" s="7">
        <f>IFERROR(AVERAGEIF('Данные 2st'!$Q$2:$Q$317,$A8,'Данные 2st'!$PN$2:$PN$317),"")</f>
        <v>78.31428571428572</v>
      </c>
      <c r="SY8" s="7">
        <f>IFERROR(AVERAGEIF('Данные 2st'!$Q$2:$Q$317,$A8,'Данные 2st'!$PO$2:$PO$317),"")</f>
        <v>8.78</v>
      </c>
      <c r="SZ8" s="7">
        <f>IFERROR(AVERAGEIF('Данные 2st'!$Q$2:$Q$317,$A8,'Данные 2st'!$PP$2:$PP$317),"")</f>
        <v>10.857142857142858</v>
      </c>
      <c r="TA8" s="7">
        <f>IFERROR(AVERAGEIF('Данные 2st'!$Q$2:$Q$317,$A8,'Данные 2st'!$PQ$2:$PQ$317),"")</f>
        <v>2</v>
      </c>
      <c r="TB8" s="7">
        <f>IFERROR(AVERAGEIF('Данные 2st'!$Q$2:$Q$317,$A8,'Данные 2st'!$PR$2:$PR$317),"")</f>
        <v>1.1428571428571428</v>
      </c>
      <c r="TC8" s="7">
        <f>IFERROR(AVERAGEIF('Данные 2st'!$Q$2:$Q$317,$A8,'Данные 2st'!$PS$2:$PS$317),"")</f>
        <v>6</v>
      </c>
      <c r="TD8" s="7">
        <f>IFERROR(AVERAGEIF('Данные 2st'!$Q$2:$Q$317,$A8,'Данные 2st'!$PT$2:$PT$317),"")</f>
        <v>188.28571428571428</v>
      </c>
      <c r="TE8" s="7">
        <f>IFERROR(AVERAGEIF('Данные 2st'!$Q$2:$Q$317,$A8,'Данные 2st'!$PU$2:$PU$317),"")</f>
        <v>8.142857142857142</v>
      </c>
      <c r="TF8" s="7">
        <f>IFERROR(AVERAGEIF('Данные 2st'!$Q$2:$Q$317,$A8,'Данные 2st'!$PX$2:$PX$317),"")</f>
        <v>0</v>
      </c>
      <c r="TG8" s="7">
        <f>IFERROR(AVERAGEIF('Данные 2st'!$Q$2:$Q$317,$A8,'Данные 2st'!$PY$2:$PY$317),"")</f>
        <v>0</v>
      </c>
      <c r="TH8" s="7">
        <f>IFERROR(AVERAGEIF('Данные 2st'!$Q$2:$Q$317,$A8,'Данные 2st'!$PZ$2:$PZ$317),"")</f>
        <v>0</v>
      </c>
      <c r="TI8" s="7">
        <f>IFERROR(AVERAGEIF('Данные 2st'!$Q$2:$Q$317,$A8,'Данные 2st'!$QA$2:$QA$317),"")</f>
        <v>0</v>
      </c>
      <c r="TJ8" s="7">
        <f>IFERROR(AVERAGEIF('Данные 2st'!$Q$2:$Q$317,$A8,'Данные 2st'!$QB$2:$QB$317),"")</f>
        <v>0</v>
      </c>
      <c r="TK8" s="7">
        <f>IFERROR(AVERAGEIF('Данные 2st'!$Q$2:$Q$317,$A8,'Данные 2st'!$QC$2:$QC$317),"")</f>
        <v>0</v>
      </c>
      <c r="TL8" s="7">
        <f>IFERROR(AVERAGEIF('Данные 2st'!$Q$2:$Q$317,$A8,'Данные 2st'!$QD$2:$QD$317),"")</f>
        <v>0</v>
      </c>
      <c r="TM8" s="7">
        <f>IFERROR(AVERAGEIF('Данные 2st'!$Q$2:$Q$317,$A8,'Данные 2st'!$QE$2:$QE$317),"")</f>
        <v>-1</v>
      </c>
      <c r="TN8" s="7">
        <f>IFERROR(AVERAGEIF('Данные 2st'!$Q$2:$Q$317,$A8,'Данные 2st'!$QF$2:$QF$317),"")</f>
        <v>1</v>
      </c>
      <c r="TO8" s="7">
        <f>IFERROR(AVERAGEIF('Данные 2st'!$Q$2:$Q$317,$A8,'Данные 2st'!$QG$2:$QG$317),"")</f>
        <v>0</v>
      </c>
      <c r="TP8" s="7">
        <f>IFERROR(AVERAGEIF('Данные 2st'!$Q$2:$Q$317,$A8,'Данные 2st'!$QH$2:$QH$317),"")</f>
        <v>5</v>
      </c>
      <c r="TQ8" s="7">
        <f>IFERROR(AVERAGEIF('Данные 2st'!$Q$2:$Q$317,$A8,'Данные 2st'!$QI$2:$QI$317),"")</f>
        <v>5</v>
      </c>
      <c r="TR8" s="7">
        <f>IFERROR(AVERAGEIF('Данные 2st'!$Q$2:$Q$317,$A8,'Данные 2st'!$QJ$2:$QJ$317),"")</f>
        <v>5</v>
      </c>
      <c r="TS8" s="7">
        <f>IFERROR(AVERAGEIF('Данные 2st'!$Q$2:$Q$317,$A8,'Данные 2st'!$QK$2:$QK$317),"")</f>
        <v>171.71428571428572</v>
      </c>
      <c r="TT8" s="7">
        <f>IFERROR(AVERAGEIF('Данные 2st'!$Q$2:$Q$317,$A8,'Данные 2st'!$QL$2:$QL$317),"")</f>
        <v>372.85714285714283</v>
      </c>
      <c r="TU8" s="7">
        <f>IFERROR(AVERAGEIF('Данные 2st'!$Q$2:$Q$317,$A8,'Данные 2st'!$QM$2:$QM$317),"")</f>
        <v>7.5</v>
      </c>
      <c r="TV8" s="7">
        <f>IFERROR(AVERAGEIF('Данные 2st'!$Q$2:$Q$317,$A8,'Данные 2st'!$QN$2:$QN$317),"")</f>
        <v>1202.9285714285716</v>
      </c>
      <c r="TW8" s="7">
        <f>IFERROR(AVERAGEIF('Данные 2st'!$Q$2:$Q$317,$A8,'Данные 2st'!$QQ$2:$QQ$317),"")</f>
        <v>0</v>
      </c>
      <c r="TX8" s="7">
        <f>IFERROR(AVERAGEIF('Данные 2st'!$Q$2:$Q$317,$A8,'Данные 2st'!$QS$2:$QS$317),"")</f>
        <v>32.857142857142854</v>
      </c>
      <c r="TY8" s="7">
        <f>IFERROR(AVERAGEIF('Данные 2st'!$Q$2:$Q$317,$A8,'Данные 2st'!$QT$2:$QT$317),"")</f>
        <v>42.857142857142854</v>
      </c>
    </row>
    <row r="9" spans="1:545" ht="32" customHeight="1">
      <c r="A9" s="11" t="s">
        <v>2501</v>
      </c>
      <c r="B9">
        <f>COUNTIF('Данные 1st'!$S$2:$S$317,$A9)</f>
        <v>1</v>
      </c>
      <c r="C9" s="6" t="s">
        <v>2336</v>
      </c>
      <c r="D9" s="6" t="s">
        <v>513</v>
      </c>
      <c r="E9" s="6" t="s">
        <v>517</v>
      </c>
      <c r="F9" s="6" t="s">
        <v>2498</v>
      </c>
      <c r="G9" s="7">
        <f>IFERROR(AVERAGEIF('Данные 1st'!$S$2:$S$317,$A9,'Данные 1st'!$AE$2:$AE$317),"")</f>
        <v>173</v>
      </c>
      <c r="H9" s="7">
        <f>IFERROR(AVERAGEIF('Данные 1st'!$S$2:$S$317,$A9,'Данные 1st'!$AF$2:$AF$317),"")</f>
        <v>1.5</v>
      </c>
      <c r="I9" s="7">
        <f>IFERROR(AVERAGEIF('Данные 1st'!$S$2:$S$317,$A9,'Данные 1st'!$AJ$2:$AJ$317),"")</f>
        <v>185</v>
      </c>
      <c r="J9" s="7">
        <f>IFERROR(AVERAGEIF('Данные 1st'!$S$2:$S$317,$A9,'Данные 1st'!$AL$2:$AL$317),"")</f>
        <v>1.5</v>
      </c>
      <c r="K9" s="7">
        <f>IFERROR(AVERAGEIF('Данные 1st'!$S$2:$S$317,$A9,'Данные 1st'!$AR$2:$AR$317),"")</f>
        <v>0</v>
      </c>
      <c r="L9" s="7">
        <f>IFERROR(AVERAGEIF('Данные 1st'!$S$2:$S$317,$A9,'Данные 1st'!$AS$2:$AS$317),"")</f>
        <v>1.5</v>
      </c>
      <c r="M9" s="7">
        <f>IFERROR(AVERAGEIF('Данные 1st'!$S$2:$S$317,$A9,'Данные 1st'!$AY$2:$AY$317),"")</f>
        <v>270</v>
      </c>
      <c r="N9" s="7">
        <f>IFERROR(AVERAGEIF('Данные 1st'!$S$2:$S$317,$A9,'Данные 1st'!$AZ$2:$AZ$317),"")</f>
        <v>1.5</v>
      </c>
      <c r="O9" s="7">
        <f>IFERROR(AVERAGEIF('Данные 1st'!$S$2:$S$317,$A9,'Данные 1st'!$BF$2:$BF$317),"")</f>
        <v/>
      </c>
      <c r="P9" s="7">
        <f>IFERROR(AVERAGEIF('Данные 1st'!$S$2:$S$317,$A9,'Данные 1st'!$BG$2:$BG$317),"")</f>
        <v>1.5</v>
      </c>
      <c r="Q9" s="7">
        <f>IFERROR(AVERAGEIF('Данные 1st'!$S$2:$S$317,$A9,'Данные 1st'!$BM$2:$BM$317),"")</f>
        <v/>
      </c>
      <c r="R9" s="7">
        <f>IFERROR(AVERAGEIF('Данные 1st'!$S$2:$S$317,$A9,'Данные 1st'!$BN$2:$BN$317),"")</f>
        <v>1.5</v>
      </c>
      <c r="S9" s="7">
        <f>IFERROR(AVERAGEIF('Данные 1st'!$S$2:$S$317,$A9,'Данные 1st'!$BT$2:$BT$317),"")</f>
        <v>195</v>
      </c>
      <c r="T9" s="7">
        <f>IFERROR(AVERAGEIF('Данные 1st'!$S$2:$S$317,$A9,'Данные 1st'!$BU$2:$BU$317),"")</f>
        <v>0.5</v>
      </c>
      <c r="U9" s="7">
        <f>IFERROR(AVERAGEIF('Данные 1st'!$S$2:$S$317,$A9,'Данные 1st'!$BW$2:$BW$317),"")</f>
        <v>390</v>
      </c>
      <c r="V9" s="7">
        <f>IFERROR(AVERAGEIF('Данные 1st'!$S$2:$S$317,$A9,'Данные 1st'!$BX$2:$BX$317),"")</f>
        <v>1</v>
      </c>
      <c r="W9" s="7">
        <f>IFERROR(AVERAGEIF('Данные 1st'!$S$2:$S$317,$A9,'Данные 1st'!$BZ$2:$BZ$317),"")</f>
        <v>300</v>
      </c>
      <c r="X9" s="7">
        <f>IFERROR(AVERAGEIF('Данные 1st'!$S$2:$S$317,$A9,'Данные 1st'!$CA$2:$CA$317),"")</f>
        <v>400</v>
      </c>
      <c r="Y9" s="7">
        <f>IFERROR(AVERAGEIF('Данные 1st'!$S$2:$S$317,$A9,'Данные 1st'!$CD$2:$CD$317),"")</f>
        <v>412</v>
      </c>
      <c r="Z9" s="7">
        <f>IFERROR(AVERAGEIF('Данные 1st'!$S$2:$S$317,$A9,'Данные 1st'!$CF$2:$CF$317),"")</f>
        <v>15</v>
      </c>
      <c r="AA9" s="7">
        <f>IFERROR(AVERAGEIF('Данные 1st'!$S$2:$S$317,$A9,'Данные 1st'!$CI$2:$CI$317),"")</f>
        <v>50</v>
      </c>
      <c r="AB9" s="7">
        <f>IFERROR(AVERAGEIF('Данные 1st'!$S$2:$S$317,$A9,'Данные 1st'!$CJ$2:$CJ$317),"")</f>
        <v>1050</v>
      </c>
      <c r="AC9" s="7">
        <f>IFERROR(AVERAGEIF('Данные 1st'!$S$2:$S$317,$A9,'Данные 1st'!$CK$2:$CK$317),"")</f>
        <v>2</v>
      </c>
      <c r="AD9" s="7">
        <f>IFERROR(AVERAGEIF('Данные 1st'!$S$2:$S$317,$A9,'Данные 1st'!$CL$2:$CL$317),"")</f>
        <v>1144</v>
      </c>
      <c r="AE9" s="7">
        <f>IFERROR(AVERAGEIF('Данные 1st'!$S$2:$S$317,$A9,'Данные 1st'!$CM$2:$CM$317),"")</f>
        <v>2</v>
      </c>
      <c r="AF9" s="7">
        <f>IFERROR(AVERAGEIF('Данные 1st'!$S$2:$S$317,$A9,'Данные 1st'!$CT$2:$CT$317),"")</f>
        <v>370</v>
      </c>
      <c r="AG9" s="7">
        <f>IFERROR(AVERAGEIF('Данные 1st'!$S$2:$S$317,$A9,'Данные 1st'!$CU$2:$CU$317),"")</f>
        <v>5</v>
      </c>
      <c r="AH9" s="7">
        <f>IFERROR(AVERAGEIF('Данные 1st'!$S$2:$S$317,$A9,'Данные 1st'!$CV$2:$CV$317),"")</f>
        <v>1.2</v>
      </c>
      <c r="AI9" s="7">
        <f>IFERROR(AVERAGEIF('Данные 1st'!$S$2:$S$317,$A9,'Данные 1st'!$CW$2:$CW$317),"")</f>
        <v>1064</v>
      </c>
      <c r="AJ9" s="7">
        <f>IFERROR(AVERAGEIF('Данные 1st'!$S$2:$S$317,$A9,'Данные 1st'!$CX$2:$CX$317),"")</f>
        <v>558</v>
      </c>
      <c r="AK9" s="7">
        <f>IFERROR(AVERAGEIF('Данные 1st'!$S$2:$S$317,$A9,'Данные 1st'!$CZ$2:$CZ$317),"")</f>
        <v/>
      </c>
      <c r="AL9" s="7">
        <f>IFERROR(AVERAGEIF('Данные 1st'!$S$2:$S$317,$A9,'Данные 1st'!$DA$2:$DA$317),"")</f>
        <v/>
      </c>
      <c r="AM9" s="7">
        <f>IFERROR(AVERAGEIF('Данные 1st'!$S$2:$S$317,$A9,'Данные 1st'!$DB$2:$DB$317),"")</f>
        <v/>
      </c>
      <c r="AN9" s="7">
        <f>IFERROR(AVERAGEIF('Данные 1st'!$S$2:$S$317,$A9,'Данные 1st'!$DC$2:$DC$317),"")</f>
        <v/>
      </c>
      <c r="AO9" s="7">
        <f>IFERROR(AVERAGEIF('Данные 1st'!$S$2:$S$317,$A9,'Данные 1st'!$DD$2:$DD$317),"")</f>
        <v>0</v>
      </c>
      <c r="AP9" s="7">
        <f>IFERROR(AVERAGEIF('Данные 1st'!$S$2:$S$317,$A9,'Данные 1st'!$DF$2:$DF$317),"")</f>
        <v>540</v>
      </c>
      <c r="AQ9" s="7">
        <f>IFERROR(AVERAGEIF('Данные 1st'!$S$2:$S$317,$A9,'Данные 1st'!$DG$2:$DG$317),"")</f>
        <v>3</v>
      </c>
      <c r="AR9" s="7">
        <f>IFERROR(AVERAGEIF('Данные 1st'!$S$2:$S$317,$A9,'Данные 1st'!$DH$2:$DH$317),"")</f>
        <v>1.18</v>
      </c>
      <c r="AS9" s="7">
        <f>IFERROR(AVERAGEIF('Данные 1st'!$S$2:$S$317,$A9,'Данные 1st'!$DI$2:$DI$317),"")</f>
        <v>1062</v>
      </c>
      <c r="AT9" s="7">
        <f>IFERROR(AVERAGEIF('Данные 1st'!$S$2:$S$317,$A9,'Данные 1st'!$DJ$2:$DJ$317),"")</f>
        <v>900</v>
      </c>
      <c r="AU9" s="7">
        <f>IFERROR(AVERAGEIF('Данные 1st'!$S$2:$S$317,$A9,'Данные 1st'!$DL$2:$DL$317),"")</f>
        <v/>
      </c>
      <c r="AV9" s="7">
        <f>IFERROR(AVERAGEIF('Данные 1st'!$S$2:$S$317,$A9,'Данные 1st'!$DM$2:$DM$317),"")</f>
        <v/>
      </c>
      <c r="AW9" s="7">
        <f>IFERROR(AVERAGEIF('Данные 1st'!$S$2:$S$317,$A9,'Данные 1st'!$DN$2:$DN$317),"")</f>
        <v/>
      </c>
      <c r="AX9" s="7">
        <f>IFERROR(AVERAGEIF('Данные 1st'!$S$2:$S$317,$A9,'Данные 1st'!$DO$2:$DO$317),"")</f>
        <v/>
      </c>
      <c r="AY9" s="7">
        <f>IFERROR(AVERAGEIF('Данные 1st'!$S$2:$S$317,$A9,'Данные 1st'!$DP$2:$DP$317),"")</f>
        <v/>
      </c>
      <c r="AZ9" s="7">
        <f>IFERROR(AVERAGEIF('Данные 1st'!$S$2:$S$317,$A9,'Данные 1st'!$DR$2:$DR$317),"")</f>
        <v/>
      </c>
      <c r="BA9" s="7">
        <f>IFERROR(AVERAGEIF('Данные 1st'!$S$2:$S$317,$A9,'Данные 1st'!$DS$2:$DS$317),"")</f>
        <v/>
      </c>
      <c r="BB9" s="7">
        <f>IFERROR(AVERAGEIF('Данные 1st'!$S$2:$S$317,$A9,'Данные 1st'!$DT$2:$DT$317),"")</f>
        <v/>
      </c>
      <c r="BC9" s="7">
        <f>IFERROR(AVERAGEIF('Данные 1st'!$S$2:$S$317,$A9,'Данные 1st'!$DU$2:$DU$317),"")</f>
        <v/>
      </c>
      <c r="BD9" s="7">
        <f>IFERROR(AVERAGEIF('Данные 1st'!$S$2:$S$317,$A9,'Данные 1st'!$DV$2:$DV$317),"")</f>
        <v/>
      </c>
      <c r="BE9" s="7">
        <f>IFERROR(AVERAGEIF('Данные 1st'!$S$2:$S$317,$A9,'Данные 1st'!$DX$2:$DX$317),"")</f>
        <v>7.5</v>
      </c>
      <c r="BF9" s="7">
        <f>IFERROR(AVERAGEIF('Данные 1st'!$S$2:$S$317,$A9,'Данные 1st'!$EA$2:$EA$317),"")</f>
        <v>1123</v>
      </c>
      <c r="BG9" s="7">
        <f>IFERROR(AVERAGEIF('Данные 1st'!$S$2:$S$317,$A9,'Данные 1st'!$EB$2:$EB$317),"")</f>
        <v>147</v>
      </c>
      <c r="BH9" s="7">
        <f>IFERROR(AVERAGEIF('Данные 1st'!$S$2:$S$317,$A9,'Данные 1st'!$ED$2:$ED$317),"")</f>
        <v>15</v>
      </c>
      <c r="BI9" s="7">
        <f>IFERROR(AVERAGEIF('Данные 1st'!$S$2:$S$317,$A9,'Данные 1st'!$EE$2:$EE$317),"")</f>
        <v/>
      </c>
      <c r="BJ9" s="7">
        <f>IFERROR(AVERAGEIF('Данные 1st'!$S$2:$S$317,$A9,'Данные 1st'!$EG$2:$EG$317),"")</f>
        <v>1154</v>
      </c>
      <c r="BK9" s="7">
        <f>IFERROR(AVERAGEIF('Данные 1st'!$S$2:$S$317,$A9,'Данные 1st'!$EH$2:$EH$317),"")</f>
        <v>44</v>
      </c>
      <c r="BL9" s="7">
        <f>IFERROR(AVERAGEIF('Данные 1st'!$S$2:$S$317,$A9,'Данные 1st'!$EJ$2:$EJ$317),"")</f>
        <v>0</v>
      </c>
      <c r="BM9" s="7">
        <f>IFERROR(AVERAGEIF('Данные 1st'!$S$2:$S$317,$A9,'Данные 1st'!$EK$2:$EK$317),"")</f>
        <v>1</v>
      </c>
      <c r="BN9" s="7">
        <f>IFERROR(AVERAGEIF('Данные 1st'!$S$2:$S$317,$A9,'Данные 1st'!$EN$2:$EN$317),"")</f>
        <v>0</v>
      </c>
      <c r="BO9" s="7">
        <f>IFERROR(AVERAGEIF('Данные 1st'!$S$2:$S$317,$A9,'Данные 1st'!$EQ$2:$EQ$317),"")</f>
        <v>115</v>
      </c>
      <c r="BP9" s="7">
        <f>IFERROR(AVERAGEIF('Данные 1st'!$S$2:$S$317,$A9,'Данные 1st'!$ER$2:$ER$317),"")</f>
        <v>3</v>
      </c>
      <c r="BQ9" s="7">
        <f>IFERROR(AVERAGEIF('Данные 1st'!$S$2:$S$317,$A9,'Данные 1st'!$ES$2:$ES$317),"")</f>
        <v>6</v>
      </c>
      <c r="BR9" s="7">
        <f>IFERROR(AVERAGEIF('Данные 1st'!$S$2:$S$317,$A9,'Данные 1st'!$ET$2:$ET$317),"")</f>
        <v>1052</v>
      </c>
      <c r="BS9" s="7">
        <f>IFERROR(AVERAGEIF('Данные 1st'!$S$2:$S$317,$A9,'Данные 1st'!$EU$2:$EU$317),"")</f>
        <v>543.4</v>
      </c>
      <c r="BT9" s="7">
        <f>IFERROR(AVERAGEIF('Данные 1st'!$S$2:$S$317,$A9,'Данные 1st'!$EV$2:$EV$317),"")</f>
        <v>572</v>
      </c>
      <c r="BU9" s="7">
        <f>IFERROR(AVERAGEIF('Данные 1st'!$S$2:$S$317,$A9,'Данные 1st'!$EX$2:$EX$317),"")</f>
        <v>70</v>
      </c>
      <c r="BV9" s="7">
        <f>IFERROR(AVERAGEIF('Данные 1st'!$S$2:$S$317,$A9,'Данные 1st'!$EY$2:$EY$317),"")</f>
        <v>2</v>
      </c>
      <c r="BW9" s="7">
        <f>IFERROR(AVERAGEIF('Данные 1st'!$S$2:$S$317,$A9,'Данные 1st'!$EZ$2:$EZ$317),"")</f>
        <v>4.3</v>
      </c>
      <c r="BX9" s="7">
        <f>IFERROR(AVERAGEIF('Данные 1st'!$S$2:$S$317,$A9,'Данные 1st'!$FA$2:$FA$317),"")</f>
        <v>1052</v>
      </c>
      <c r="BY9" s="7">
        <f>IFERROR(AVERAGEIF('Данные 1st'!$S$2:$S$317,$A9,'Данные 1st'!$FB$2:$FB$317),"")</f>
        <v>171.7</v>
      </c>
      <c r="BZ9" s="7">
        <f>IFERROR(AVERAGEIF('Данные 1st'!$S$2:$S$317,$A9,'Данные 1st'!$FC$2:$FC$317),"")</f>
        <v>181</v>
      </c>
      <c r="CA9" s="7">
        <f>IFERROR(AVERAGEIF('Данные 1st'!$S$2:$S$317,$A9,'Данные 1st'!$FE$2:$FE$317),"")</f>
        <v>0</v>
      </c>
      <c r="CB9" s="7">
        <f>IFERROR(AVERAGEIF('Данные 1st'!$S$2:$S$317,$A9,'Данные 1st'!$FF$2:$FF$317),"")</f>
        <v>2</v>
      </c>
      <c r="CC9" s="7">
        <f>IFERROR(AVERAGEIF('Данные 1st'!$S$2:$S$317,$A9,'Данные 1st'!$FI$2:$FI$317),"")</f>
        <v>0</v>
      </c>
      <c r="CD9" s="7">
        <f>IFERROR(AVERAGEIF('Данные 1st'!$S$2:$S$317,$A9,'Данные 1st'!$FL$2:$FL$317),"")</f>
        <v>0.4</v>
      </c>
      <c r="CE9" s="7">
        <f>IFERROR(AVERAGEIF('Данные 1st'!$S$2:$S$317,$A9,'Данные 1st'!$FM$2:$FM$317),"")</f>
        <v>70</v>
      </c>
      <c r="CF9" s="7">
        <f>IFERROR(AVERAGEIF('Данные 1st'!$S$2:$S$317,$A9,'Данные 1st'!$FN$2:$FN$317),"")</f>
        <v>100</v>
      </c>
      <c r="CG9" s="7">
        <f>IFERROR(AVERAGEIF('Данные 1st'!$S$2:$S$317,$A9,'Данные 1st'!$FO$2:$FO$317),"")</f>
        <v/>
      </c>
      <c r="CH9" s="7">
        <f>IFERROR(AVERAGEIF('Данные 1st'!$S$2:$S$317,$A9,'Данные 1st'!$FP$2:$FP$317),"")</f>
        <v/>
      </c>
      <c r="CI9" s="7">
        <f>IFERROR(AVERAGEIF('Данные 1st'!$S$2:$S$317,$A9,'Данные 1st'!$FS$2:$FS$317),"")</f>
        <v>0.4</v>
      </c>
      <c r="CJ9" s="7">
        <f>IFERROR(AVERAGEIF('Данные 1st'!$S$2:$S$317,$A9,'Данные 1st'!$FT$2:$FT$317),"")</f>
        <v>30</v>
      </c>
      <c r="CK9" s="7">
        <f>IFERROR(AVERAGEIF('Данные 1st'!$S$2:$S$317,$A9,'Данные 1st'!$FU$2:$FU$317),"")</f>
        <v>360</v>
      </c>
      <c r="CL9" s="7">
        <f>IFERROR(AVERAGEIF('Данные 1st'!$S$2:$S$317,$A9,'Данные 1st'!$FV$2:$FV$317),"")</f>
        <v>30</v>
      </c>
      <c r="CM9" s="7">
        <f>IFERROR(AVERAGEIF('Данные 1st'!$S$2:$S$317,$A9,'Данные 1st'!$FW$2:$FW$317),"")</f>
        <v>220</v>
      </c>
      <c r="CN9" s="7">
        <f>IFERROR(AVERAGEIF('Данные 1st'!$S$2:$S$317,$A9,'Данные 1st'!$FZ$2:$FZ$317),"")</f>
        <v/>
      </c>
      <c r="CO9" s="7">
        <f>IFERROR(AVERAGEIF('Данные 1st'!$S$2:$S$317,$A9,'Данные 1st'!$GA$2:$GA$317),"")</f>
        <v/>
      </c>
      <c r="CP9" s="7">
        <f>IFERROR(AVERAGEIF('Данные 1st'!$S$2:$S$317,$A9,'Данные 1st'!$GB$2:$GB$317),"")</f>
        <v/>
      </c>
      <c r="CQ9" s="7">
        <f>IFERROR(AVERAGEIF('Данные 1st'!$S$2:$S$317,$A9,'Данные 1st'!$GH$2:$GH$317),"")</f>
        <v/>
      </c>
      <c r="CR9" s="7">
        <f>IFERROR(AVERAGEIF('Данные 1st'!$S$2:$S$317,$A9,'Данные 1st'!$GI$2:$GI$317),"")</f>
        <v/>
      </c>
      <c r="CS9" s="7">
        <f>IFERROR(AVERAGEIF('Данные 1st'!$S$2:$S$317,$A9,'Данные 1st'!$GJ$2:$GJ$317),"")</f>
        <v/>
      </c>
      <c r="CT9" s="7">
        <f>IFERROR(AVERAGEIF('Данные 1st'!$S$2:$S$317,$A9,'Данные 1st'!$GS$2:$GS$317),"")</f>
        <v/>
      </c>
      <c r="CU9" s="7">
        <f>IFERROR(AVERAGEIF('Данные 1st'!$S$2:$S$317,$A9,'Данные 1st'!$GT$2:$GT$317),"")</f>
        <v/>
      </c>
      <c r="CV9" s="7">
        <f>IFERROR(AVERAGEIF('Данные 1st'!$S$2:$S$317,$A9,'Данные 1st'!$GU$2:$GU$317),"")</f>
        <v/>
      </c>
      <c r="CW9" s="7">
        <f>IFERROR(AVERAGEIF('Данные 1st'!$S$2:$S$317,$A9,'Данные 1st'!$GV$2:$GV$317),"")</f>
        <v/>
      </c>
      <c r="CX9" s="7">
        <f>IFERROR(AVERAGEIF('Данные 1st'!$S$2:$S$317,$A9,'Данные 1st'!$GW$2:$GW$317),"")</f>
        <v/>
      </c>
      <c r="CY9" s="7">
        <f>IFERROR(AVERAGEIF('Данные 1st'!$S$2:$S$317,$A9,'Данные 1st'!$GZ$2:$GZ$317),"")</f>
        <v/>
      </c>
      <c r="CZ9" s="7">
        <f>IFERROR(AVERAGEIF('Данные 1st'!$S$2:$S$317,$A9,'Данные 1st'!$HA$2:$HA$317),"")</f>
        <v/>
      </c>
      <c r="DA9" s="7">
        <f>IFERROR(AVERAGEIF('Данные 1st'!$S$2:$S$317,$A9,'Данные 1st'!$HB$2:$HB$317),"")</f>
        <v/>
      </c>
      <c r="DB9" s="7">
        <f>IFERROR(AVERAGEIF('Данные 1st'!$S$2:$S$317,$A9,'Данные 1st'!$HC$2:$HC$317),"")</f>
        <v>0.1</v>
      </c>
      <c r="DC9" s="7">
        <f>IFERROR(AVERAGEIF('Данные 1st'!$S$2:$S$317,$A9,'Данные 1st'!$HD$2:$HD$317),"")</f>
        <v>3</v>
      </c>
      <c r="DD9" s="7">
        <f>IFERROR(AVERAGEIF('Данные 1st'!$S$2:$S$317,$A9,'Данные 1st'!$HE$2:$HE$317),"")</f>
        <v>3</v>
      </c>
      <c r="DE9" s="7">
        <f>IFERROR(AVERAGEIF('Данные 1st'!$S$2:$S$317,$A9,'Данные 1st'!$HF$2:$HF$317),"")</f>
        <v>3</v>
      </c>
      <c r="DF9" s="7">
        <f>IFERROR(AVERAGEIF('Данные 1st'!$S$2:$S$317,$A9,'Данные 1st'!$HG$2:$HG$317),"")</f>
        <v>3</v>
      </c>
      <c r="DG9" s="7">
        <f>IFERROR(AVERAGEIF('Данные 1st'!$S$2:$S$317,$A9,'Данные 1st'!$HH$2:$HH$317),"")</f>
        <v>3</v>
      </c>
      <c r="DH9" s="7">
        <f>IFERROR(AVERAGEIF('Данные 1st'!$S$2:$S$317,$A9,'Данные 1st'!$HI$2:$HI$317),"")</f>
        <v>170</v>
      </c>
      <c r="DI9" s="7">
        <f>IFERROR(AVERAGEIF('Данные 1st'!$S$2:$S$317,$A9,'Данные 1st'!$HJ$2:$HJ$317),"")</f>
        <v>3</v>
      </c>
      <c r="DJ9" s="7">
        <f>IFERROR(AVERAGEIF('Данные 1st'!$S$2:$S$317,$A9,'Данные 1st'!$HK$2:$HK$317),"")</f>
        <v>55</v>
      </c>
      <c r="DK9" s="7">
        <f>IFERROR(AVERAGEIF('Данные 1st'!$S$2:$S$317,$A9,'Данные 1st'!$HL$2:$HL$317),"")</f>
        <v>2</v>
      </c>
      <c r="DL9" s="7">
        <f>IFERROR(AVERAGEIF('Данные 1st'!$S$2:$S$317,$A9,'Данные 1st'!$HM$2:$HM$317),"")</f>
        <v>0</v>
      </c>
      <c r="DM9" s="7">
        <f>IFERROR(AVERAGEIF('Данные 1st'!$S$2:$S$317,$A9,'Данные 1st'!$HN$2:$HN$317),"")</f>
        <v>2</v>
      </c>
      <c r="DN9" s="7">
        <f>IFERROR(AVERAGEIF('Данные 1st'!$S$2:$S$317,$A9,'Данные 1st'!$HO$2:$HO$317),"")</f>
        <v>100</v>
      </c>
      <c r="DO9" s="7">
        <f>IFERROR(AVERAGEIF('Данные 1st'!$S$2:$S$317,$A9,'Данные 1st'!$HP$2:$HP$317),"")</f>
        <v>3</v>
      </c>
      <c r="DP9" s="7">
        <f>IFERROR(AVERAGEIF('Данные 1st'!$S$2:$S$317,$A9,'Данные 1st'!$HQ$2:$HQ$317),"")</f>
        <v>0</v>
      </c>
      <c r="DQ9" s="7">
        <f>IFERROR(AVERAGEIF('Данные 1st'!$S$2:$S$317,$A9,'Данные 1st'!$HR$2:$HR$317),"")</f>
        <v>2</v>
      </c>
      <c r="DR9" s="7">
        <f>IFERROR(AVERAGEIF('Данные 1st'!$S$2:$S$317,$A9,'Данные 1st'!$HS$2:$HS$317),"")</f>
        <v>3346</v>
      </c>
      <c r="DS9" s="7">
        <f>IFERROR(AVERAGEIF('Данные 1st'!$S$2:$S$317,$A9,'Данные 1st'!$HT$2:$HT$317),"")</f>
        <v>100</v>
      </c>
      <c r="DT9" s="7">
        <f>IFERROR(AVERAGEIF('Данные 1st'!$S$2:$S$317,$A9,'Данные 1st'!$HU$2:$HU$317),"")</f>
        <v>180</v>
      </c>
      <c r="DU9" s="7">
        <f>IFERROR(AVERAGEIF('Данные 1st'!$S$2:$S$317,$A9,'Данные 1st'!$HW$2:$HW$317),"")</f>
        <v>0</v>
      </c>
      <c r="DV9" s="7">
        <f>IFERROR(AVERAGEIF('Данные 1st'!$S$2:$S$317,$A9,'Данные 1st'!$HX$2:$HX$317),"")</f>
        <v>420</v>
      </c>
      <c r="DW9" s="7">
        <f>IFERROR(AVERAGEIF('Данные 1st'!$S$2:$S$317,$A9,'Данные 1st'!$HY$2:$HY$317),"")</f>
        <v>0.18</v>
      </c>
      <c r="DX9" s="7">
        <f>IFERROR(AVERAGEIF('Данные 1st'!$S$2:$S$317,$A9,'Данные 1st'!$IA$2:$IA$317),"")</f>
        <v>0.15</v>
      </c>
      <c r="DY9" s="7">
        <f>IFERROR(AVERAGEIF('Данные 1st'!$S$2:$S$317,$A9,'Данные 1st'!$IB$2:$IB$317),"")</f>
        <v>0</v>
      </c>
      <c r="DZ9" s="7">
        <f>IFERROR(AVERAGEIF('Данные 1st'!$S$2:$S$317,$A9,'Данные 1st'!$IC$2:$IC$317),"")</f>
        <v>180</v>
      </c>
      <c r="EA9" s="7">
        <f>IFERROR(AVERAGEIF('Данные 1st'!$S$2:$S$317,$A9,'Данные 1st'!$ID$2:$ID$317),"")</f>
        <v>110</v>
      </c>
      <c r="EB9" s="7">
        <f>IFERROR(AVERAGEIF('Данные 1st'!$S$2:$S$317,$A9,'Данные 1st'!$IE$2:$IE$317),"")</f>
        <v>0</v>
      </c>
      <c r="EC9" s="7">
        <f>IFERROR(AVERAGEIF('Данные 1st'!$S$2:$S$317,$A9,'Данные 1st'!$IF$2:$IF$317),"")</f>
        <v>0</v>
      </c>
      <c r="ED9" s="7">
        <f>IFERROR(AVERAGEIF('Данные 1st'!$S$2:$S$317,$A9,'Данные 1st'!$IP$2:$IP$317),"")</f>
        <v>14</v>
      </c>
      <c r="EE9" s="7">
        <f>IFERROR(AVERAGEIF('Данные 1st'!$S$2:$S$317,$A9,'Данные 1st'!$IV$2:$IV$317),"")</f>
        <v>1050</v>
      </c>
      <c r="EF9" s="7">
        <f>IFERROR(AVERAGEIF('Данные 1st'!$S$2:$S$317,$A9,'Данные 1st'!$IW$2:$IW$317),"")</f>
        <v>390</v>
      </c>
      <c r="EG9" s="7">
        <f>IFERROR(AVERAGEIF('Данные 1st'!$S$2:$S$317,$A9,'Данные 1st'!$IX$2:$IX$317),"")</f>
        <v/>
      </c>
      <c r="EH9" s="7">
        <f>IFERROR(AVERAGEIF('Данные 1st'!$S$2:$S$317,$A9,'Данные 1st'!$IY$2:$IY$317),"")</f>
        <v/>
      </c>
      <c r="EI9" s="7">
        <f>IFERROR(AVERAGEIF('Данные 1st'!$S$2:$S$317,$A9,'Данные 1st'!$JD$2:$JD$317),"")</f>
        <v>1064</v>
      </c>
      <c r="EJ9" s="7">
        <f>IFERROR(AVERAGEIF('Данные 1st'!$S$2:$S$317,$A9,'Данные 1st'!$JE$2:$JE$317),"")</f>
        <v>1062</v>
      </c>
      <c r="EK9" s="7">
        <f>IFERROR(AVERAGEIF('Данные 1st'!$S$2:$S$317,$A9,'Данные 1st'!$JF$2:$JF$317),"")</f>
        <v>0</v>
      </c>
      <c r="EL9" s="7">
        <f>IFERROR(AVERAGEIF('Данные 1st'!$S$2:$S$317,$A9,'Данные 1st'!$JG$2:$JG$317),"")</f>
        <v>1052</v>
      </c>
      <c r="EM9" s="7">
        <f>IFERROR(AVERAGEIF('Данные 1st'!$S$2:$S$317,$A9,'Данные 1st'!$JH$2:$JH$317),"")</f>
        <v>0</v>
      </c>
      <c r="EN9" s="7">
        <f>IFERROR(AVERAGEIF('Данные 1st'!$S$2:$S$317,$A9,'Данные 1st'!$JJ$2:$JJ$317),"")</f>
        <v>180</v>
      </c>
      <c r="EO9" s="7">
        <f>IFERROR(AVERAGEIF('Данные 1st'!$S$2:$S$317,$A9,'Данные 1st'!$JK$2:$JK$317),"")</f>
        <v>420</v>
      </c>
      <c r="EP9" s="7">
        <f>IFERROR(AVERAGEIF('Данные 1st'!$S$2:$S$317,$A9,'Данные 1st'!$JL$2:$JL$317),"")</f>
        <v/>
      </c>
      <c r="EQ9" s="7">
        <f>IFERROR(AVERAGEIF('Данные 1st'!$S$2:$S$317,$A9,'Данные 1st'!$JM$2:$JM$317),"")</f>
        <v/>
      </c>
      <c r="ER9" s="7">
        <f>IFERROR(AVERAGEIF('Данные 1st'!$S$2:$S$317,$A9,'Данные 1st'!$JN$2:$JN$317),"")</f>
        <v>370</v>
      </c>
      <c r="ES9" s="7">
        <f>IFERROR(AVERAGEIF('Данные 1st'!$S$2:$S$317,$A9,'Данные 1st'!$JO$2:$JO$317),"")</f>
        <v>540</v>
      </c>
      <c r="ET9" s="7">
        <f>IFERROR(AVERAGEIF('Данные 1st'!$S$2:$S$317,$A9,'Данные 1st'!$JP$2:$JP$317),"")</f>
        <v>0</v>
      </c>
      <c r="EU9" s="7">
        <f>IFERROR(AVERAGEIF('Данные 1st'!$S$2:$S$317,$A9,'Данные 1st'!$JQ$2:$JQ$317),"")</f>
        <v>0</v>
      </c>
      <c r="EV9" s="7">
        <f>IFERROR(AVERAGEIF('Данные 1st'!$S$2:$S$317,$A9,'Данные 1st'!$JR$2:$JR$317),"")</f>
        <v>346</v>
      </c>
      <c r="EW9" s="7">
        <f>IFERROR(AVERAGEIF('Данные 1st'!$S$2:$S$317,$A9,'Данные 1st'!$JS$2:$JS$317),"")</f>
        <v>170</v>
      </c>
      <c r="EX9" s="7">
        <f>IFERROR(AVERAGEIF('Данные 1st'!$S$2:$S$317,$A9,'Данные 1st'!$JT$2:$JT$317),"")</f>
        <v/>
      </c>
      <c r="EY9" s="7">
        <f>IFERROR(AVERAGEIF('Данные 1st'!$S$2:$S$317,$A9,'Данные 1st'!$JU$2:$JU$317),"")</f>
        <v/>
      </c>
      <c r="EZ9" s="7">
        <f>IFERROR(AVERAGEIF('Данные 1st'!$S$2:$S$317,$A9,'Данные 1st'!$JV$2:$JV$317),"")</f>
        <v>8</v>
      </c>
      <c r="FA9" s="7">
        <f>IFERROR(AVERAGEIF('Данные 1st'!$S$2:$S$317,$A9,'Данные 1st'!$JW$2:$JW$317),"")</f>
        <v/>
      </c>
      <c r="FB9" s="7">
        <f>IFERROR(AVERAGEIF('Данные 1st'!$S$2:$S$317,$A9,'Данные 1st'!$JX$2:$JX$317),"")</f>
        <v>0</v>
      </c>
      <c r="FC9" s="7">
        <f>IFERROR(AVERAGEIF('Данные 1st'!$S$2:$S$317,$A9,'Данные 1st'!$JY$2:$JY$317),"")</f>
        <v/>
      </c>
      <c r="FD9" s="7">
        <f>IFERROR(AVERAGEIF('Данные 1st'!$S$2:$S$317,$A9,'Данные 1st'!$JZ$2:$JZ$317),"")</f>
        <v/>
      </c>
      <c r="FE9" s="7">
        <f>IFERROR(AVERAGEIF('Данные 1st'!$S$2:$S$317,$A9,'Данные 1st'!$KA$2:$KA$317),"")</f>
        <v>0</v>
      </c>
      <c r="FF9" s="7">
        <f>IFERROR(AVERAGEIF('Данные 1st'!$S$2:$S$317,$A9,'Данные 1st'!$KB$2:$KB$317),"")</f>
        <v>110</v>
      </c>
      <c r="FG9" s="7">
        <f>IFERROR(AVERAGEIF('Данные 1st'!$S$2:$S$317,$A9,'Данные 1st'!$KC$2:$KC$317),"")</f>
        <v>0</v>
      </c>
      <c r="FH9" s="7">
        <f>IFERROR(AVERAGEIF('Данные 1st'!$S$2:$S$317,$A9,'Данные 1st'!$KD$2:$KD$317),"")</f>
        <v>80</v>
      </c>
      <c r="FI9" s="7">
        <f>IFERROR(AVERAGEIF('Данные 1st'!$S$2:$S$317,$A9,'Данные 1st'!$KE$2:$KE$317),"")</f>
        <v/>
      </c>
      <c r="FJ9" s="7">
        <f>IFERROR(AVERAGEIF('Данные 1st'!$S$2:$S$317,$A9,'Данные 1st'!$KF$2:$KF$317),"")</f>
        <v>4</v>
      </c>
      <c r="FK9" s="7">
        <f>IFERROR(AVERAGEIF('Данные 1st'!$S$2:$S$317,$A9,'Данные 1st'!$KG$2:$KG$317),"")</f>
        <v>2</v>
      </c>
      <c r="FL9" s="7">
        <f>IFERROR(AVERAGEIF('Данные 1st'!$S$2:$S$317,$A9,'Данные 1st'!$KH$2:$KH$317),"")</f>
        <v>2</v>
      </c>
      <c r="FM9" s="7">
        <f>IFERROR(AVERAGEIF('Данные 1st'!$S$2:$S$317,$A9,'Данные 1st'!$KI$2:$KI$317),"")</f>
        <v>2</v>
      </c>
      <c r="FN9" s="7">
        <f>IFERROR(AVERAGEIF('Данные 1st'!$S$2:$S$317,$A9,'Данные 1st'!$KJ$2:$KJ$317),"")</f>
        <v>0</v>
      </c>
      <c r="FO9" s="7">
        <f>IFERROR(AVERAGEIF('Данные 1st'!$S$2:$S$317,$A9,'Данные 1st'!$KK$2:$KK$317),"")</f>
        <v>1.5</v>
      </c>
      <c r="FP9" s="7">
        <f>IFERROR(AVERAGEIF('Данные 1st'!$S$2:$S$317,$A9,'Данные 1st'!$KL$2:$KL$317),"")</f>
        <v>1.5</v>
      </c>
      <c r="FQ9" s="7">
        <f>IFERROR(AVERAGEIF('Данные 1st'!$S$2:$S$317,$A9,'Данные 1st'!$KM$2:$KM$317),"")</f>
        <v>0</v>
      </c>
      <c r="FR9" s="7">
        <f>IFERROR(AVERAGEIF('Данные 1st'!$S$2:$S$317,$A9,'Данные 1st'!$KN$2:$KN$317),"")</f>
        <v>0</v>
      </c>
      <c r="FS9" s="7">
        <f>IFERROR(AVERAGEIF('Данные 1st'!$S$2:$S$317,$A9,'Данные 1st'!$KR$2:$KR$317),"")</f>
        <v>50</v>
      </c>
      <c r="FT9" s="7">
        <f>IFERROR(AVERAGEIF('Данные 1st'!$S$2:$S$317,$A9,'Данные 1st'!$KS$2:$KS$317),"")</f>
        <v/>
      </c>
      <c r="FU9" s="7">
        <f>IFERROR(AVERAGEIF('Данные 1st'!$S$2:$S$317,$A9,'Данные 1st'!$KT$2:$KT$317),"")</f>
        <v>0</v>
      </c>
      <c r="FV9" s="7">
        <f>IFERROR(AVERAGEIF('Данные 1st'!$S$2:$S$317,$A9,'Данные 1st'!$KV$2:$KV$317),"")</f>
        <v/>
      </c>
      <c r="FW9" s="7">
        <f>IFERROR(AVERAGEIF('Данные 1st'!$S$2:$S$317,$A9,'Данные 1st'!$KW$2:$KW$317),"")</f>
        <v/>
      </c>
      <c r="FX9" s="7">
        <f>IFERROR(AVERAGEIF('Данные 1st'!$S$2:$S$317,$A9,'Данные 1st'!$KX$2:$KX$317),"")</f>
        <v/>
      </c>
      <c r="FY9" s="7">
        <f>IFERROR(AVERAGEIF('Данные 1st'!$S$2:$S$317,$A9,'Данные 1st'!$KY$2:$KY$317),"")</f>
        <v/>
      </c>
      <c r="FZ9" s="7">
        <f>IFERROR(AVERAGEIF('Данные 1st'!$S$2:$S$317,$A9,'Данные 1st'!$KZ$2:$KZ$317),"")</f>
        <v/>
      </c>
      <c r="GA9" s="7">
        <f>IFERROR(AVERAGEIF('Данные 1st'!$S$2:$S$317,$A9,'Данные 1st'!$LA$2:$LA$317),"")</f>
        <v/>
      </c>
      <c r="GB9" s="7">
        <f>IFERROR(AVERAGEIF('Данные 1st'!$S$2:$S$317,$A9,'Данные 1st'!$LB$2:$LB$317),"")</f>
        <v/>
      </c>
      <c r="GC9" s="7">
        <f>IFERROR(AVERAGEIF('Данные 1st'!$S$2:$S$317,$A9,'Данные 1st'!$LC$2:$LC$317),"")</f>
        <v/>
      </c>
      <c r="GD9" s="7">
        <f>IFERROR(AVERAGEIF('Данные 1st'!$S$2:$S$317,$A9,'Данные 1st'!$LD$2:$LD$317),"")</f>
        <v/>
      </c>
      <c r="GE9" s="7">
        <f>IFERROR(AVERAGEIF('Данные 1st'!$S$2:$S$317,$A9,'Данные 1st'!$LE$2:$LE$317),"")</f>
        <v/>
      </c>
      <c r="GF9" s="7">
        <f>IFERROR(AVERAGEIF('Данные 1st'!$S$2:$S$317,$A9,'Данные 1st'!$LF$2:$LF$317),"")</f>
        <v/>
      </c>
      <c r="GG9" s="7">
        <f>IFERROR(AVERAGEIF('Данные 1st'!$S$2:$S$317,$A9,'Данные 1st'!$LG$2:$LG$317),"")</f>
        <v/>
      </c>
      <c r="GH9" s="7">
        <f>IFERROR(AVERAGEIF('Данные 1st'!$S$2:$S$317,$A9,'Данные 1st'!$LH$2:$LH$317),"")</f>
        <v/>
      </c>
      <c r="GI9" s="7">
        <f>IFERROR(AVERAGEIF('Данные 1st'!$S$2:$S$317,$A9,'Данные 1st'!$LI$2:$LI$317),"")</f>
        <v/>
      </c>
      <c r="GJ9" s="7">
        <f>IFERROR(AVERAGEIF('Данные 1st'!$S$2:$S$317,$A9,'Данные 1st'!$LJ$2:$LJ$317),"")</f>
        <v/>
      </c>
      <c r="GK9" s="7">
        <f>IFERROR(AVERAGEIF('Данные 1st'!$S$2:$S$317,$A9,'Данные 1st'!$LK$2:$LK$317),"")</f>
        <v>480</v>
      </c>
      <c r="GL9" s="7">
        <f>IFERROR(AVERAGEIF('Данные 1st'!$S$2:$S$317,$A9,'Данные 1st'!$LV$2:$LV$317),"")</f>
        <v/>
      </c>
      <c r="GM9" s="7">
        <f>IFERROR(AVERAGEIF('Данные 1st'!$S$2:$S$317,$A9,'Данные 1st'!$LW$2:$LW$317),"")</f>
        <v/>
      </c>
      <c r="GN9" s="7">
        <f>IFERROR(AVERAGEIF('Данные 1st'!$S$2:$S$317,$A9,'Данные 1st'!$LX$2:$LX$317),"")</f>
        <v/>
      </c>
      <c r="GO9" s="7">
        <f>IFERROR(AVERAGEIF('Данные 1st'!$S$2:$S$317,$A9,'Данные 1st'!$LY$2:$LY$317),"")</f>
        <v/>
      </c>
      <c r="GP9" s="7">
        <f>IFERROR(AVERAGEIF('Данные 1st'!$S$2:$S$317,$A9,'Данные 1st'!$LZ$2:$LZ$317),"")</f>
        <v/>
      </c>
      <c r="GQ9" s="7">
        <f>IFERROR(AVERAGEIF('Данные 1st'!$S$2:$S$317,$A9,'Данные 1st'!$PG$2:$PG$317),"")</f>
        <v>1</v>
      </c>
      <c r="GR9" s="7">
        <f>IFERROR(AVERAGEIF('Данные 1st'!$S$2:$S$317,$A9,'Данные 1st'!$PX$2:$PX$317),"")</f>
        <v>56</v>
      </c>
      <c r="GS9" s="7">
        <f>IFERROR(AVERAGEIF('Данные 1st'!$S$2:$S$317,$A9,'Данные 1st'!$PY$2:$PY$317),"")</f>
        <v>57</v>
      </c>
      <c r="GT9" s="7">
        <f>IFERROR(AVERAGEIF('Данные 1st'!$S$2:$S$317,$A9,'Данные 1st'!$QA$2:$QA$317),"")</f>
        <v>1</v>
      </c>
      <c r="GU9" s="7">
        <f>IFERROR(AVERAGEIF('Данные 1st'!$S$2:$S$317,$A9,'Данные 1st'!$QB$2:$QB$317),"")</f>
        <v>1052</v>
      </c>
      <c r="GV9" s="7">
        <f>IFERROR(AVERAGEIF('Данные 1st'!$S$2:$S$317,$A9,'Данные 1st'!$QC$2:$QC$317),"")</f>
        <v>69</v>
      </c>
      <c r="GW9" s="7">
        <f>IFERROR(AVERAGEIF('Данные 1st'!$S$2:$S$317,$A9,'Данные 1st'!$QD$2:$QD$317),"")</f>
        <v>69</v>
      </c>
      <c r="GX9" s="7">
        <f>IFERROR(AVERAGEIF('Данные 1st'!$S$2:$S$317,$A9,'Данные 1st'!$QF$2:$QF$317),"")</f>
        <v>1</v>
      </c>
      <c r="GY9" s="7">
        <f>IFERROR(AVERAGEIF('Данные 1st'!$S$2:$S$317,$A9,'Данные 1st'!$QG$2:$QG$317),"")</f>
        <v>1064</v>
      </c>
      <c r="GZ9" s="7">
        <f>IFERROR(AVERAGEIF('Данные 1st'!$S$2:$S$317,$A9,'Данные 1st'!$QH$2:$QH$317),"")</f>
        <v>66</v>
      </c>
      <c r="HA9" s="7">
        <f>IFERROR(AVERAGEIF('Данные 1st'!$S$2:$S$317,$A9,'Данные 1st'!$QI$2:$QI$317),"")</f>
        <v>66</v>
      </c>
      <c r="HB9" s="7">
        <f>IFERROR(AVERAGEIF('Данные 1st'!$S$2:$S$317,$A9,'Данные 1st'!$QK$2:$QK$317),"")</f>
        <v/>
      </c>
      <c r="HC9" s="7">
        <f>IFERROR(AVERAGEIF('Данные 1st'!$S$2:$S$317,$A9,'Данные 1st'!$QL$2:$QL$317),"")</f>
        <v>0</v>
      </c>
      <c r="HD9" s="7">
        <f>IFERROR(AVERAGEIF('Данные 1st'!$S$2:$S$317,$A9,'Данные 1st'!$QM$2:$QM$317),"")</f>
        <v>62</v>
      </c>
      <c r="HE9" s="7">
        <f>IFERROR(AVERAGEIF('Данные 1st'!$S$2:$S$317,$A9,'Данные 1st'!$QN$2:$QN$317),"")</f>
        <v>62</v>
      </c>
      <c r="HF9" s="7">
        <f>IFERROR(AVERAGEIF('Данные 1st'!$S$2:$S$317,$A9,'Данные 1st'!$QP$2:$QP$317),"")</f>
        <v>1</v>
      </c>
      <c r="HG9" s="7">
        <f>IFERROR(AVERAGEIF('Данные 1st'!$S$2:$S$317,$A9,'Данные 1st'!$QQ$2:$QQ$317),"")</f>
        <v>1062</v>
      </c>
      <c r="HH9" s="7">
        <f>IFERROR(AVERAGEIF('Данные 1st'!$S$2:$S$317,$A9,'Данные 1st'!$QR$2:$QR$317),"")</f>
        <v/>
      </c>
      <c r="HI9" s="7">
        <f>IFERROR(AVERAGEIF('Данные 1st'!$S$2:$S$317,$A9,'Данные 1st'!$QS$2:$QS$317),"")</f>
        <v/>
      </c>
      <c r="HJ9" s="7">
        <f>IFERROR(AVERAGEIF('Данные 1st'!$S$2:$S$317,$A9,'Данные 1st'!$QU$2:$QU$317),"")</f>
        <v/>
      </c>
      <c r="HK9" s="7">
        <f>IFERROR(AVERAGEIF('Данные 1st'!$S$2:$S$317,$A9,'Данные 1st'!$QV$2:$QV$317),"")</f>
        <v/>
      </c>
      <c r="HL9" s="7">
        <f>IFERROR(AVERAGEIF('Данные 1st'!$S$2:$S$317,$A9,'Данные 1st'!$QW$2:$QW$317),"")</f>
        <v>82</v>
      </c>
      <c r="HM9" s="7">
        <f>IFERROR(AVERAGEIF('Данные 1st'!$S$2:$S$317,$A9,'Данные 1st'!$QX$2:$QX$317),"")</f>
        <v>89</v>
      </c>
      <c r="HN9" s="7">
        <f>IFERROR(AVERAGEIF('Данные 1st'!$S$2:$S$317,$A9,'Данные 1st'!$QZ$2:$QZ$317),"")</f>
        <v>3</v>
      </c>
      <c r="HO9" s="7">
        <f>IFERROR(AVERAGEIF('Данные 1st'!$S$2:$S$317,$A9,'Данные 1st'!$RA$2:$RA$317),"")</f>
        <v>66</v>
      </c>
      <c r="HP9" s="7">
        <f>IFERROR(AVERAGEIF('Данные 1st'!$S$2:$S$317,$A9,'Данные 1st'!$RB$2:$RB$317),"")</f>
        <v>66</v>
      </c>
      <c r="HQ9" s="7">
        <f>IFERROR(AVERAGEIF('Данные 1st'!$S$2:$S$317,$A9,'Данные 1st'!$RD$2:$RD$317),"")</f>
        <v/>
      </c>
      <c r="HR9" s="7">
        <f>IFERROR(AVERAGEIF('Данные 1st'!$S$2:$S$317,$A9,'Данные 1st'!$RE$2:$RE$317),"")</f>
        <v>0</v>
      </c>
      <c r="HS9" s="7">
        <f>IFERROR(AVERAGEIF('Данные 1st'!$S$2:$S$317,$A9,'Данные 1st'!$RF$2:$RF$317),"")</f>
        <v>1</v>
      </c>
      <c r="HT9" s="7">
        <f>IFERROR(AVERAGEIF('Данные 1st'!$S$2:$S$317,$A9,'Данные 1st'!$RG$2:$RG$317),"")</f>
        <v/>
      </c>
      <c r="HU9" s="7">
        <f>IFERROR(AVERAGEIF('Данные 1st'!$S$2:$S$317,$A9,'Данные 1st'!$RH$2:$RH$317),"")</f>
        <v/>
      </c>
      <c r="HV9" s="7">
        <f>IFERROR(AVERAGEIF('Данные 1st'!$S$2:$S$317,$A9,'Данные 1st'!$RI$2:$RI$317),"")</f>
        <v/>
      </c>
      <c r="HW9" s="7">
        <f>IFERROR(AVERAGEIF('Данные 1st'!$S$2:$S$317,$A9,'Данные 1st'!$RJ$2:$RJ$317),"")</f>
        <v>3</v>
      </c>
      <c r="HX9" s="7">
        <f>IFERROR(AVERAGEIF('Данные 1st'!$S$2:$S$317,$A9,'Данные 1st'!$RK$2:$RK$317),"")</f>
        <v/>
      </c>
      <c r="HY9" s="7">
        <f>IFERROR(AVERAGEIF('Данные 1st'!$S$2:$S$317,$A9,'Данные 1st'!$RL$2:$RL$317),"")</f>
        <v>2</v>
      </c>
      <c r="HZ9" s="7">
        <f>IFERROR(AVERAGEIF('Данные 1st'!$S$2:$S$317,$A9,'Данные 1st'!$RM$2:$RM$317),"")</f>
        <v/>
      </c>
      <c r="IA9" s="7">
        <f>IFERROR(AVERAGEIF('Данные 1st'!$S$2:$S$317,$A9,'Данные 1st'!$RN$2:$RN$317),"")</f>
        <v/>
      </c>
      <c r="IB9" s="7">
        <f>IFERROR(AVERAGEIF('Данные 1st'!$S$2:$S$317,$A9,'Данные 1st'!$RO$2:$RO$317),"")</f>
        <v>524</v>
      </c>
      <c r="IC9" s="7">
        <f>IFERROR(AVERAGEIF('Данные 1st'!$S$2:$S$317,$A9,'Данные 1st'!$RP$2:$RP$317),"")</f>
        <v/>
      </c>
      <c r="ID9" s="7">
        <f>IFERROR(AVERAGEIF('Данные 1st'!$S$2:$S$317,$A9,'Данные 1st'!$RQ$2:$RQ$317),"")</f>
        <v>847</v>
      </c>
      <c r="IE9" s="7">
        <f>IFERROR(AVERAGEIF('Данные 1st'!$S$2:$S$317,$A9,'Данные 1st'!$RR$2:$RR$317),"")</f>
        <v/>
      </c>
      <c r="IF9" s="7">
        <f>IFERROR(AVERAGEIF('Данные 1st'!$S$2:$S$317,$A9,'Данные 1st'!$RS$2:$RS$317),"")</f>
        <v/>
      </c>
      <c r="IG9" s="7">
        <f>IFERROR(AVERAGEIF('Данные 1st'!$S$2:$S$317,$A9,'Данные 1st'!$RT$2:$RT$317),"")</f>
        <v>147</v>
      </c>
      <c r="IH9" s="7">
        <f>IFERROR(AVERAGEIF('Данные 1st'!$S$2:$S$317,$A9,'Данные 1st'!$RU$2:$RU$317),"")</f>
        <v>44</v>
      </c>
      <c r="II9" s="7">
        <f>IFERROR(AVERAGEIF('Данные 1st'!$S$2:$S$317,$A9,'Данные 1st'!$RX$2:$RX$317),"")</f>
        <v>15</v>
      </c>
      <c r="IJ9" s="7">
        <f>IFERROR(AVERAGEIF('Данные 1st'!$S$2:$S$317,$A9,'Данные 1st'!$RY$2:$RY$317),"")</f>
        <v>4</v>
      </c>
      <c r="IK9" s="7">
        <f>IFERROR(AVERAGEIF('Данные 1st'!$S$2:$S$317,$A9,'Данные 1st'!$SA$2:$SA$317),"")</f>
        <v>15</v>
      </c>
      <c r="IL9" s="7">
        <f>IFERROR(AVERAGEIF('Данные 1st'!$S$2:$S$317,$A9,'Данные 1st'!$SD$2:$SD$317),"")</f>
        <v>1</v>
      </c>
      <c r="IM9" s="7">
        <f>IFERROR(AVERAGEIF('Данные 1st'!$S$2:$S$317,$A9,'Данные 1st'!$SG$2:$SG$317),"")</f>
        <v/>
      </c>
      <c r="IN9" s="7">
        <f>IFERROR(AVERAGEIF('Данные 1st'!$S$2:$S$317,$A9,'Данные 1st'!$SH$2:$SH$317),"")</f>
        <v>0.995</v>
      </c>
      <c r="IO9" s="7">
        <f>IFERROR(AVERAGEIF('Данные 1st'!$S$2:$S$317,$A9,'Данные 1st'!$SI$2:$SI$317),"")</f>
        <v>0.995</v>
      </c>
      <c r="IP9" s="7">
        <f>IFERROR(AVERAGEIF('Данные 1st'!$S$2:$S$317,$A9,'Данные 1st'!$SJ$2:$SJ$317),"")</f>
        <v>0.995</v>
      </c>
      <c r="IQ9" s="7">
        <f>IFERROR(AVERAGEIF('Данные 1st'!$S$2:$S$317,$A9,'Данные 1st'!$SK$2:$SK$317),"")</f>
        <v>15</v>
      </c>
      <c r="IR9" s="7">
        <f>IFERROR(AVERAGEIF('Данные 1st'!$S$2:$S$317,$A9,'Данные 1st'!$SL$2:$SL$317),"")</f>
        <v>0</v>
      </c>
      <c r="IS9" s="7">
        <f>IFERROR(AVERAGEIF('Данные 1st'!$S$2:$S$317,$A9,'Данные 1st'!$SM$2:$SM$317),"")</f>
        <v>0</v>
      </c>
      <c r="IT9" s="7">
        <f>IFERROR(AVERAGEIF('Данные 1st'!$S$2:$S$317,$A9,'Данные 1st'!$SN$2:$SN$317),"")</f>
        <v>0</v>
      </c>
      <c r="IU9" s="7">
        <f>IFERROR(AVERAGEIF('Данные 1st'!$S$2:$S$317,$A9,'Данные 1st'!$SO$2:$SO$317),"")</f>
        <v>0</v>
      </c>
      <c r="IV9" s="7">
        <f>IFERROR(AVERAGEIF('Данные 1st'!$S$2:$S$317,$A9,'Данные 1st'!$SP$2:$SP$317),"")</f>
        <v>0</v>
      </c>
      <c r="IW9" s="7">
        <f>IFERROR(AVERAGEIF('Данные 1st'!$S$2:$S$317,$A9,'Данные 1st'!$SQ$2:$SQ$317),"")</f>
        <v>0</v>
      </c>
      <c r="IX9" s="7">
        <f>IFERROR(AVERAGEIF('Данные 1st'!$S$2:$S$317,$A9,'Данные 1st'!$SR$2:$SR$317),"")</f>
        <v>0</v>
      </c>
      <c r="IY9" s="7">
        <f>IFERROR(AVERAGEIF('Данные 1st'!$S$2:$S$317,$A9,'Данные 1st'!$SS$2:$SS$317),"")</f>
        <v>0</v>
      </c>
      <c r="IZ9" s="7">
        <f>IFERROR(AVERAGEIF('Данные 1st'!$S$2:$S$317,$A9,'Данные 1st'!$ST$2:$ST$317),"")</f>
        <v>0</v>
      </c>
      <c r="JA9" s="7">
        <f>IFERROR(AVERAGEIF('Данные 1st'!$S$2:$S$317,$A9,'Данные 1st'!$SU$2:$SU$317),"")</f>
        <v>0</v>
      </c>
      <c r="JB9" s="7">
        <f>IFERROR(AVERAGEIF('Данные 1st'!$S$2:$S$317,$A9,'Данные 1st'!$SV$2:$SV$317),"")</f>
        <v>0</v>
      </c>
      <c r="JC9" s="7">
        <f>IFERROR(AVERAGEIF('Данные 1st'!$S$2:$S$317,$A9,'Данные 1st'!$SW$2:$SW$317),"")</f>
        <v>0</v>
      </c>
      <c r="JD9" s="7">
        <f>IFERROR(AVERAGEIF('Данные 1st'!$S$2:$S$317,$A9,'Данные 1st'!$SX$2:$SX$317),"")</f>
        <v>0</v>
      </c>
      <c r="JE9" s="7">
        <f>IFERROR(AVERAGEIF('Данные 1st'!$S$2:$S$317,$A9,'Данные 1st'!$SY$2:$SY$317),"")</f>
        <v/>
      </c>
      <c r="JF9" s="7">
        <f>IFERROR(AVERAGEIF('Данные 1st'!$S$2:$S$317,$A9,'Данные 1st'!$SZ$2:$SZ$317),"")</f>
        <v/>
      </c>
      <c r="JG9" s="7">
        <f>IFERROR(AVERAGEIF('Данные 1st'!$S$2:$S$317,$A9,'Данные 1st'!$TA$2:$TA$317),"")</f>
        <v/>
      </c>
      <c r="JH9" s="7">
        <f>IFERROR(AVERAGEIF('Данные 1st'!$S$2:$S$317,$A9,'Данные 1st'!$TB$2:$TB$317),"")</f>
        <v>0</v>
      </c>
      <c r="JI9" s="7">
        <f>IFERROR(AVERAGEIF('Данные 1st'!$S$2:$S$317,$A9,'Данные 1st'!$TC$2:$TC$317),"")</f>
        <v>0</v>
      </c>
      <c r="JJ9" s="7">
        <f>IFERROR(AVERAGEIF('Данные 1st'!$S$2:$S$317,$A9,'Данные 1st'!$TD$2:$TD$317),"")</f>
        <v>7.5</v>
      </c>
      <c r="JK9" s="7">
        <f>IFERROR(AVERAGEIF('Данные 1st'!$S$2:$S$317,$A9,'Данные 1st'!$TN$2:$TN$317),"")</f>
        <v>0</v>
      </c>
      <c r="JL9">
        <f>COUNTIF('Данные 2st'!$Q$2:$Q$317,$A9)</f>
        <v>1</v>
      </c>
      <c r="JM9" s="6" t="s">
        <v>2336</v>
      </c>
      <c r="JN9" s="6" t="s">
        <v>513</v>
      </c>
      <c r="JO9" s="6" t="s">
        <v>517</v>
      </c>
      <c r="JP9" s="6" t="s">
        <v>2500</v>
      </c>
      <c r="JQ9" s="7">
        <f>IFERROR(AVERAGEIF('Данные 2st'!$Q$2:$Q$317,$A9,'Данные 2st'!$AC$2:$AC$317),"")</f>
        <v>10</v>
      </c>
      <c r="JR9" s="7">
        <f>IFERROR(AVERAGEIF('Данные 2st'!$Q$2:$Q$317,$A9,'Данные 2st'!$AF$2:$AF$317),"")</f>
        <v>3346</v>
      </c>
      <c r="JS9" s="7">
        <f>IFERROR(AVERAGEIF('Данные 2st'!$Q$2:$Q$317,$A9,'Данные 2st'!$AW$2:$AW$317),"")</f>
        <v>6.4</v>
      </c>
      <c r="JT9" s="7">
        <f>IFERROR(AVERAGEIF('Данные 2st'!$Q$2:$Q$317,$A9,'Данные 2st'!$AX$2:$AX$317),"")</f>
        <v>-6</v>
      </c>
      <c r="JU9" s="7">
        <f>IFERROR(AVERAGEIF('Данные 2st'!$Q$2:$Q$317,$A9,'Данные 2st'!$AY$2:$AY$317),"")</f>
        <v>83</v>
      </c>
      <c r="JV9" s="7">
        <f>IFERROR(AVERAGEIF('Данные 2st'!$Q$2:$Q$317,$A9,'Данные 2st'!$AZ$2:$AZ$317),"")</f>
        <v>74</v>
      </c>
      <c r="JW9" s="7">
        <f>IFERROR(AVERAGEIF('Данные 2st'!$Q$2:$Q$317,$A9,'Данные 2st'!$BA$2:$BA$317),"")</f>
        <v/>
      </c>
      <c r="JX9" s="7">
        <f>IFERROR(AVERAGEIF('Данные 2st'!$Q$2:$Q$317,$A9,'Данные 2st'!$BB$2:$BB$317),"")</f>
        <v/>
      </c>
      <c r="JY9" s="7">
        <f>IFERROR(AVERAGEIF('Данные 2st'!$Q$2:$Q$317,$A9,'Данные 2st'!$BC$2:$BC$317),"")</f>
        <v/>
      </c>
      <c r="JZ9" s="7">
        <f>IFERROR(AVERAGEIF('Данные 2st'!$Q$2:$Q$317,$A9,'Данные 2st'!$BH$2:$BH$317),"")</f>
        <v>83</v>
      </c>
      <c r="KA9" s="7">
        <f>IFERROR(AVERAGEIF('Данные 2st'!$Q$2:$Q$317,$A9,'Данные 2st'!$BI$2:$BI$317),"")</f>
        <v>9</v>
      </c>
      <c r="KB9" s="7">
        <f>IFERROR(AVERAGEIF('Данные 2st'!$Q$2:$Q$317,$A9,'Данные 2st'!$BJ$2:$BJ$317),"")</f>
        <v>74</v>
      </c>
      <c r="KC9" s="7">
        <f>IFERROR(AVERAGEIF('Данные 2st'!$Q$2:$Q$317,$A9,'Данные 2st'!$BK$2:$BK$317),"")</f>
        <v>3</v>
      </c>
      <c r="KD9" s="7">
        <f>IFERROR(AVERAGEIF('Данные 2st'!$Q$2:$Q$317,$A9,'Данные 2st'!$BL$2:$BL$317),"")</f>
        <v>166</v>
      </c>
      <c r="KE9" s="7">
        <f>IFERROR(AVERAGEIF('Данные 2st'!$Q$2:$Q$317,$A9,'Данные 2st'!$BM$2:$BM$317),"")</f>
        <v>-6</v>
      </c>
      <c r="KF9" s="7">
        <f>IFERROR(AVERAGEIF('Данные 2st'!$Q$2:$Q$317,$A9,'Данные 2st'!$BN$2:$BN$317),"")</f>
        <v>0</v>
      </c>
      <c r="KG9" s="7">
        <f>IFERROR(AVERAGEIF('Данные 2st'!$Q$2:$Q$317,$A9,'Данные 2st'!$BO$2:$BO$317),"")</f>
        <v/>
      </c>
      <c r="KH9" s="7">
        <f>IFERROR(AVERAGEIF('Данные 2st'!$Q$2:$Q$317,$A9,'Данные 2st'!$BP$2:$BP$317),"")</f>
        <v>0</v>
      </c>
      <c r="KI9" s="7">
        <f>IFERROR(AVERAGEIF('Данные 2st'!$Q$2:$Q$317,$A9,'Данные 2st'!$BR$2:$BR$317),"")</f>
        <v>160</v>
      </c>
      <c r="KJ9" s="7">
        <f>IFERROR(AVERAGEIF('Данные 2st'!$Q$2:$Q$317,$A9,'Данные 2st'!$BS$2:$BS$317),"")</f>
        <v>150</v>
      </c>
      <c r="KK9" s="7">
        <f>IFERROR(AVERAGEIF('Данные 2st'!$Q$2:$Q$317,$A9,'Данные 2st'!$BT$2:$BT$317),"")</f>
        <v>1800</v>
      </c>
      <c r="KL9" s="7">
        <f>IFERROR(AVERAGEIF('Данные 2st'!$Q$2:$Q$317,$A9,'Данные 2st'!$CV$2:$CV$317),"")</f>
        <v>107</v>
      </c>
      <c r="KM9" s="7">
        <f>IFERROR(AVERAGEIF('Данные 2st'!$Q$2:$Q$317,$A9,'Данные 2st'!$CW$2:$CW$317),"")</f>
        <v>3</v>
      </c>
      <c r="KN9" s="7">
        <f>IFERROR(AVERAGEIF('Данные 2st'!$Q$2:$Q$317,$A9,'Данные 2st'!$CX$2:$CX$317),"")</f>
        <v>67</v>
      </c>
      <c r="KO9" s="7">
        <f>IFERROR(AVERAGEIF('Данные 2st'!$Q$2:$Q$317,$A9,'Данные 2st'!$CY$2:$CY$317),"")</f>
        <v>5</v>
      </c>
      <c r="KP9" s="7">
        <f>IFERROR(AVERAGEIF('Данные 2st'!$Q$2:$Q$317,$A9,'Данные 2st'!$CZ$2:$CZ$317),"")</f>
        <v>123</v>
      </c>
      <c r="KQ9" s="7">
        <f>IFERROR(AVERAGEIF('Данные 2st'!$Q$2:$Q$317,$A9,'Данные 2st'!$DA$2:$DA$317),"")</f>
        <v>5</v>
      </c>
      <c r="KR9" s="7">
        <f>IFERROR(AVERAGEIF('Данные 2st'!$Q$2:$Q$317,$A9,'Данные 2st'!$DB$2:$DB$317),"")</f>
        <v>8200</v>
      </c>
      <c r="KS9" s="7">
        <f>IFERROR(AVERAGEIF('Данные 2st'!$Q$2:$Q$317,$A9,'Данные 2st'!$DC$2:$DC$317),"")</f>
        <v>240</v>
      </c>
      <c r="KT9" s="7">
        <f>IFERROR(AVERAGEIF('Данные 2st'!$Q$2:$Q$317,$A9,'Данные 2st'!$DD$2:$DD$317),"")</f>
        <v>281</v>
      </c>
      <c r="KU9" s="7">
        <f>IFERROR(AVERAGEIF('Данные 2st'!$Q$2:$Q$317,$A9,'Данные 2st'!$DE$2:$DE$317),"")</f>
        <v>1894</v>
      </c>
      <c r="KV9" s="7">
        <f>IFERROR(AVERAGEIF('Данные 2st'!$Q$2:$Q$317,$A9,'Данные 2st'!$DF$2:$DF$317),"")</f>
        <v>1894</v>
      </c>
      <c r="KW9" s="7">
        <f>IFERROR(AVERAGEIF('Данные 2st'!$Q$2:$Q$317,$A9,'Данные 2st'!$DG$2:$DG$317),"")</f>
        <v>1920</v>
      </c>
      <c r="KX9" s="7">
        <f>IFERROR(AVERAGEIF('Данные 2st'!$Q$2:$Q$317,$A9,'Данные 2st'!$DH$2:$DH$317),"")</f>
        <v/>
      </c>
      <c r="KY9" s="7">
        <f>IFERROR(AVERAGEIF('Данные 2st'!$Q$2:$Q$317,$A9,'Данные 2st'!$DI$2:$DI$317),"")</f>
        <v/>
      </c>
      <c r="KZ9" s="7">
        <f>IFERROR(AVERAGEIF('Данные 2st'!$Q$2:$Q$317,$A9,'Данные 2st'!$DK$2:$DK$317),"")</f>
        <v>160</v>
      </c>
      <c r="LA9" s="7">
        <f>IFERROR(AVERAGEIF('Данные 2st'!$Q$2:$Q$317,$A9,'Данные 2st'!$DM$2:$DM$317),"")</f>
        <v>67</v>
      </c>
      <c r="LB9" s="7">
        <f>IFERROR(AVERAGEIF('Данные 2st'!$Q$2:$Q$317,$A9,'Данные 2st'!$DN$2:$DN$317),"")</f>
        <v>0.84</v>
      </c>
      <c r="LC9" s="7">
        <f>IFERROR(AVERAGEIF('Данные 2st'!$Q$2:$Q$317,$A9,'Данные 2st'!$DO$2:$DO$317),"")</f>
        <v>1</v>
      </c>
      <c r="LD9" s="7">
        <f>IFERROR(AVERAGEIF('Данные 2st'!$Q$2:$Q$317,$A9,'Данные 2st'!$DP$2:$DP$317),"")</f>
        <v>1803</v>
      </c>
      <c r="LE9" s="7">
        <f>IFERROR(AVERAGEIF('Данные 2st'!$Q$2:$Q$317,$A9,'Данные 2st'!$DQ$2:$DQ$317),"")</f>
        <v>526</v>
      </c>
      <c r="LF9" s="7">
        <f>IFERROR(AVERAGEIF('Данные 2st'!$Q$2:$Q$317,$A9,'Данные 2st'!$DS$2:$DS$317),"")</f>
        <v>150</v>
      </c>
      <c r="LG9" s="7">
        <f>IFERROR(AVERAGEIF('Данные 2st'!$Q$2:$Q$317,$A9,'Данные 2st'!$DU$2:$DU$317),"")</f>
        <v>67</v>
      </c>
      <c r="LH9" s="7">
        <f>IFERROR(AVERAGEIF('Данные 2st'!$Q$2:$Q$317,$A9,'Данные 2st'!$DV$2:$DV$317),"")</f>
        <v>0.84</v>
      </c>
      <c r="LI9" s="7">
        <f>IFERROR(AVERAGEIF('Данные 2st'!$Q$2:$Q$317,$A9,'Данные 2st'!$DW$2:$DW$317),"")</f>
        <v>1</v>
      </c>
      <c r="LJ9" s="7">
        <f>IFERROR(AVERAGEIF('Данные 2st'!$Q$2:$Q$317,$A9,'Данные 2st'!$DX$2:$DX$317),"")</f>
        <v>1810</v>
      </c>
      <c r="LK9" s="7">
        <f>IFERROR(AVERAGEIF('Данные 2st'!$Q$2:$Q$317,$A9,'Данные 2st'!$DY$2:$DY$317),"")</f>
        <v>496</v>
      </c>
      <c r="LL9" s="7">
        <f>IFERROR(AVERAGEIF('Данные 2st'!$Q$2:$Q$317,$A9,'Данные 2st'!$EA$2:$EA$317),"")</f>
        <v>33</v>
      </c>
      <c r="LM9" s="7">
        <f>IFERROR(AVERAGEIF('Данные 2st'!$Q$2:$Q$317,$A9,'Данные 2st'!$EC$2:$EC$317),"")</f>
        <v>0.4</v>
      </c>
      <c r="LN9" s="7">
        <f>IFERROR(AVERAGEIF('Данные 2st'!$Q$2:$Q$317,$A9,'Данные 2st'!$ED$2:$ED$317),"")</f>
        <v>1803</v>
      </c>
      <c r="LO9" s="7">
        <f>IFERROR(AVERAGEIF('Данные 2st'!$Q$2:$Q$317,$A9,'Данные 2st'!$EE$2:$EE$317),"")</f>
        <v>52</v>
      </c>
      <c r="LP9" s="7">
        <f>IFERROR(AVERAGEIF('Данные 2st'!$Q$2:$Q$317,$A9,'Данные 2st'!$EG$2:$EG$317),"")</f>
        <v>33</v>
      </c>
      <c r="LQ9" s="7">
        <f>IFERROR(AVERAGEIF('Данные 2st'!$Q$2:$Q$317,$A9,'Данные 2st'!$EI$2:$EI$317),"")</f>
        <v>0.4</v>
      </c>
      <c r="LR9" s="7">
        <f>IFERROR(AVERAGEIF('Данные 2st'!$Q$2:$Q$317,$A9,'Данные 2st'!$EJ$2:$EJ$317),"")</f>
        <v>1810</v>
      </c>
      <c r="LS9" s="7">
        <f>IFERROR(AVERAGEIF('Данные 2st'!$Q$2:$Q$317,$A9,'Данные 2st'!$EK$2:$EK$317),"")</f>
        <v>52</v>
      </c>
      <c r="LT9" s="7">
        <f>IFERROR(AVERAGEIF('Данные 2st'!$Q$2:$Q$317,$A9,'Данные 2st'!$EM$2:$EM$317),"")</f>
        <v>12</v>
      </c>
      <c r="LU9" s="7">
        <f>IFERROR(AVERAGEIF('Данные 2st'!$Q$2:$Q$317,$A9,'Данные 2st'!$EN$2:$EN$317),"")</f>
        <v>0.5</v>
      </c>
      <c r="LV9" s="7">
        <f>IFERROR(AVERAGEIF('Данные 2st'!$Q$2:$Q$317,$A9,'Данные 2st'!$EO$2:$EO$317),"")</f>
        <v>0.96</v>
      </c>
      <c r="LW9" s="7">
        <f>IFERROR(AVERAGEIF('Данные 2st'!$Q$2:$Q$317,$A9,'Данные 2st'!$EP$2:$EP$317),"")</f>
        <v>1810.56</v>
      </c>
      <c r="LX9" s="7">
        <f>IFERROR(AVERAGEIF('Данные 2st'!$Q$2:$Q$317,$A9,'Данные 2st'!$EQ$2:$EQ$317),"")</f>
        <v>25178.1</v>
      </c>
      <c r="LY9" s="7">
        <f>IFERROR(AVERAGEIF('Данные 2st'!$Q$2:$Q$317,$A9,'Данные 2st'!$ER$2:$ER$317),"")</f>
        <v>2554.58</v>
      </c>
      <c r="LZ9" s="7">
        <f>IFERROR(AVERAGEIF('Данные 2st'!$Q$2:$Q$317,$A9,'Данные 2st'!$ES$2:$ES$317),"")</f>
        <v>0</v>
      </c>
      <c r="MA9" s="7">
        <f>IFERROR(AVERAGEIF('Данные 2st'!$Q$2:$Q$317,$A9,'Данные 2st'!$ET$2:$ET$317),"")</f>
        <v>0</v>
      </c>
      <c r="MB9" s="7">
        <f>IFERROR(AVERAGEIF('Данные 2st'!$Q$2:$Q$317,$A9,'Данные 2st'!$EU$2:$EU$317),"")</f>
        <v>1</v>
      </c>
      <c r="MC9" s="7">
        <f>IFERROR(AVERAGEIF('Данные 2st'!$Q$2:$Q$317,$A9,'Данные 2st'!$EV$2:$EV$317),"")</f>
        <v>27733</v>
      </c>
      <c r="MD9" s="7">
        <f>IFERROR(AVERAGEIF('Данные 2st'!$Q$2:$Q$317,$A9,'Данные 2st'!$EW$2:$EW$317),"")</f>
        <v>333</v>
      </c>
      <c r="ME9" s="7">
        <f>IFERROR(AVERAGEIF('Данные 2st'!$Q$2:$Q$317,$A9,'Данные 2st'!$EY$2:$EY$317),"")</f>
        <v>168</v>
      </c>
      <c r="MF9" s="7">
        <f>IFERROR(AVERAGEIF('Данные 2st'!$Q$2:$Q$317,$A9,'Данные 2st'!$FA$2:$FA$317),"")</f>
        <v>4.8</v>
      </c>
      <c r="MG9" s="7">
        <f>IFERROR(AVERAGEIF('Данные 2st'!$Q$2:$Q$317,$A9,'Данные 2st'!$FB$2:$FB$317),"")</f>
        <v>1</v>
      </c>
      <c r="MH9" s="7">
        <f>IFERROR(AVERAGEIF('Данные 2st'!$Q$2:$Q$317,$A9,'Данные 2st'!$FC$2:$FC$317),"")</f>
        <v>1</v>
      </c>
      <c r="MI9" s="7">
        <f>IFERROR(AVERAGEIF('Данные 2st'!$Q$2:$Q$317,$A9,'Данные 2st'!$FD$2:$FD$317),"")</f>
        <v>1845</v>
      </c>
      <c r="MJ9" s="7">
        <f>IFERROR(AVERAGEIF('Данные 2st'!$Q$2:$Q$317,$A9,'Данные 2st'!$FE$2:$FE$317),"")</f>
        <v>1582</v>
      </c>
      <c r="MK9" s="7">
        <f>IFERROR(AVERAGEIF('Данные 2st'!$Q$2:$Q$317,$A9,'Данные 2st'!$FG$2:$FG$317),"")</f>
        <v>176</v>
      </c>
      <c r="ML9" s="7">
        <f>IFERROR(AVERAGEIF('Данные 2st'!$Q$2:$Q$317,$A9,'Данные 2st'!$FI$2:$FI$317),"")</f>
        <v>3.8</v>
      </c>
      <c r="MM9" s="7">
        <f>IFERROR(AVERAGEIF('Данные 2st'!$Q$2:$Q$317,$A9,'Данные 2st'!$FJ$2:$FJ$317),"")</f>
        <v>1845</v>
      </c>
      <c r="MN9" s="7">
        <f>IFERROR(AVERAGEIF('Данные 2st'!$Q$2:$Q$317,$A9,'Данные 2st'!$FK$2:$FK$317),"")</f>
        <v>1474</v>
      </c>
      <c r="MO9" s="7">
        <f>IFERROR(AVERAGEIF('Данные 2st'!$Q$2:$Q$317,$A9,'Данные 2st'!$FP$2:$FP$317),"")</f>
        <v>1845</v>
      </c>
      <c r="MP9" s="7">
        <f>IFERROR(AVERAGEIF('Данные 2st'!$Q$2:$Q$317,$A9,'Данные 2st'!$FQ$2:$FQ$317),"")</f>
        <v>183</v>
      </c>
      <c r="MQ9" s="7">
        <f>IFERROR(AVERAGEIF('Данные 2st'!$Q$2:$Q$317,$A9,'Данные 2st'!$FS$2:$FS$317),"")</f>
        <v>180</v>
      </c>
      <c r="MR9" s="7">
        <f>IFERROR(AVERAGEIF('Данные 2st'!$Q$2:$Q$317,$A9,'Данные 2st'!$FU$2:$FU$317),"")</f>
        <v>0.4</v>
      </c>
      <c r="MS9" s="7">
        <f>IFERROR(AVERAGEIF('Данные 2st'!$Q$2:$Q$317,$A9,'Данные 2st'!$FV$2:$FV$317),"")</f>
        <v>1845</v>
      </c>
      <c r="MT9" s="7">
        <f>IFERROR(AVERAGEIF('Данные 2st'!$Q$2:$Q$317,$A9,'Данные 2st'!$FW$2:$FW$317),"")</f>
        <v>148</v>
      </c>
      <c r="MU9" s="7">
        <f>IFERROR(AVERAGEIF('Данные 2st'!$Q$2:$Q$317,$A9,'Данные 2st'!$FY$2:$FY$317),"")</f>
        <v/>
      </c>
      <c r="MV9" s="7">
        <f>IFERROR(AVERAGEIF('Данные 2st'!$Q$2:$Q$317,$A9,'Данные 2st'!$GB$2:$GB$317),"")</f>
        <v/>
      </c>
      <c r="MW9" s="7">
        <f>IFERROR(AVERAGEIF('Данные 2st'!$Q$2:$Q$317,$A9,'Данные 2st'!$GC$2:$GC$317),"")</f>
        <v/>
      </c>
      <c r="MX9" s="7">
        <f>IFERROR(AVERAGEIF('Данные 2st'!$Q$2:$Q$317,$A9,'Данные 2st'!$GD$2:$GD$317),"")</f>
        <v>3387</v>
      </c>
      <c r="MY9" s="7">
        <f>IFERROR(AVERAGEIF('Данные 2st'!$Q$2:$Q$317,$A9,'Данные 2st'!$GN$2:$GN$317),"")</f>
        <v/>
      </c>
      <c r="MZ9" s="7">
        <f>IFERROR(AVERAGEIF('Данные 2st'!$Q$2:$Q$317,$A9,'Данные 2st'!$GQ$2:$GQ$317),"")</f>
        <v>0</v>
      </c>
      <c r="NA9" s="7">
        <f>IFERROR(AVERAGEIF('Данные 2st'!$Q$2:$Q$317,$A9,'Данные 2st'!$GV$2:$GV$317),"")</f>
        <v>9</v>
      </c>
      <c r="NB9" s="7">
        <f>IFERROR(AVERAGEIF('Данные 2st'!$Q$2:$Q$317,$A9,'Данные 2st'!$GW$2:$GW$317),"")</f>
        <v>10.1</v>
      </c>
      <c r="NC9" s="7">
        <f>IFERROR(AVERAGEIF('Данные 2st'!$Q$2:$Q$317,$A9,'Данные 2st'!$GX$2:$GX$317),"")</f>
        <v>0.5</v>
      </c>
      <c r="ND9" s="7">
        <f>IFERROR(AVERAGEIF('Данные 2st'!$Q$2:$Q$317,$A9,'Данные 2st'!$GY$2:$GY$317),"")</f>
        <v>150</v>
      </c>
      <c r="NE9" s="7">
        <f>IFERROR(AVERAGEIF('Данные 2st'!$Q$2:$Q$317,$A9,'Данные 2st'!$GZ$2:$GZ$317),"")</f>
        <v>3</v>
      </c>
      <c r="NF9" s="7">
        <f>IFERROR(AVERAGEIF('Данные 2st'!$Q$2:$Q$317,$A9,'Данные 2st'!$HA$2:$HA$317),"")</f>
        <v>194</v>
      </c>
      <c r="NG9" s="7">
        <f>IFERROR(AVERAGEIF('Данные 2st'!$Q$2:$Q$317,$A9,'Данные 2st'!$HB$2:$HB$317),"")</f>
        <v>3</v>
      </c>
      <c r="NH9" s="7">
        <f>IFERROR(AVERAGEIF('Данные 2st'!$Q$2:$Q$317,$A9,'Данные 2st'!$HC$2:$HC$317),"")</f>
        <v>1845</v>
      </c>
      <c r="NI9" s="7">
        <f>IFERROR(AVERAGEIF('Данные 2st'!$Q$2:$Q$317,$A9,'Данные 2st'!$HD$2:$HD$317),"")</f>
        <v>4</v>
      </c>
      <c r="NJ9" s="7">
        <f>IFERROR(AVERAGEIF('Данные 2st'!$Q$2:$Q$317,$A9,'Данные 2st'!$HM$2:$HM$317),"")</f>
        <v>14</v>
      </c>
      <c r="NK9" s="7">
        <f>IFERROR(AVERAGEIF('Данные 2st'!$Q$2:$Q$317,$A9,'Данные 2st'!$HR$2:$HR$317),"")</f>
        <v>3</v>
      </c>
      <c r="NL9" s="7">
        <f>IFERROR(AVERAGEIF('Данные 2st'!$Q$2:$Q$317,$A9,'Данные 2st'!$HS$2:$HS$317),"")</f>
        <v>1800</v>
      </c>
      <c r="NM9" s="7">
        <f>IFERROR(AVERAGEIF('Данные 2st'!$Q$2:$Q$317,$A9,'Данные 2st'!$HT$2:$HT$317),"")</f>
        <v>5</v>
      </c>
      <c r="NN9" s="7">
        <f>IFERROR(AVERAGEIF('Данные 2st'!$Q$2:$Q$317,$A9,'Данные 2st'!$HY$2:$HY$317),"")</f>
        <v>0</v>
      </c>
      <c r="NO9" s="7">
        <f>IFERROR(AVERAGEIF('Данные 2st'!$Q$2:$Q$317,$A9,'Данные 2st'!$HZ$2:$HZ$317),"")</f>
        <v>67</v>
      </c>
      <c r="NP9" s="7">
        <f>IFERROR(AVERAGEIF('Данные 2st'!$Q$2:$Q$317,$A9,'Данные 2st'!$IA$2:$IA$317),"")</f>
        <v>1803</v>
      </c>
      <c r="NQ9" s="7">
        <f>IFERROR(AVERAGEIF('Данные 2st'!$Q$2:$Q$317,$A9,'Данные 2st'!$IB$2:$IB$317),"")</f>
        <v>1810</v>
      </c>
      <c r="NR9" s="7">
        <f>IFERROR(AVERAGEIF('Данные 2st'!$Q$2:$Q$317,$A9,'Данные 2st'!$IC$2:$IC$317),"")</f>
        <v/>
      </c>
      <c r="NS9" s="7">
        <f>IFERROR(AVERAGEIF('Данные 2st'!$Q$2:$Q$317,$A9,'Данные 2st'!$ID$2:$ID$317),"")</f>
        <v>1845</v>
      </c>
      <c r="NT9" s="7">
        <f>IFERROR(AVERAGEIF('Данные 2st'!$Q$2:$Q$317,$A9,'Данные 2st'!$IE$2:$IE$317),"")</f>
        <v>1845</v>
      </c>
      <c r="NU9" s="7">
        <f>IFERROR(AVERAGEIF('Данные 2st'!$Q$2:$Q$317,$A9,'Данные 2st'!$IF$2:$IF$317),"")</f>
        <v>160</v>
      </c>
      <c r="NV9" s="7">
        <f>IFERROR(AVERAGEIF('Данные 2st'!$Q$2:$Q$317,$A9,'Данные 2st'!$IG$2:$IG$317),"")</f>
        <v>150</v>
      </c>
      <c r="NW9" s="7">
        <f>IFERROR(AVERAGEIF('Данные 2st'!$Q$2:$Q$317,$A9,'Данные 2st'!$IH$2:$IH$317),"")</f>
        <v>194</v>
      </c>
      <c r="NX9" s="7">
        <f>IFERROR(AVERAGEIF('Данные 2st'!$Q$2:$Q$317,$A9,'Данные 2st'!$IJ$2:$IJ$317),"")</f>
        <v>5</v>
      </c>
      <c r="NY9" s="7">
        <f>IFERROR(AVERAGEIF('Данные 2st'!$Q$2:$Q$317,$A9,'Данные 2st'!$IM$2:$IM$317),"")</f>
        <v>0</v>
      </c>
      <c r="NZ9" s="7">
        <f>IFERROR(AVERAGEIF('Данные 2st'!$Q$2:$Q$317,$A9,'Данные 2st'!$IN$2:$IN$317),"")</f>
        <v>270</v>
      </c>
      <c r="OA9" s="7">
        <f>IFERROR(AVERAGEIF('Данные 2st'!$Q$2:$Q$317,$A9,'Данные 2st'!$IO$2:$IO$317),"")</f>
        <v>0</v>
      </c>
      <c r="OB9" s="7">
        <f>IFERROR(AVERAGEIF('Данные 2st'!$Q$2:$Q$317,$A9,'Данные 2st'!$IP$2:$IP$317),"")</f>
        <v>180</v>
      </c>
      <c r="OC9" s="7">
        <f>IFERROR(AVERAGEIF('Данные 2st'!$Q$2:$Q$317,$A9,'Данные 2st'!$IQ$2:$IQ$317),"")</f>
        <v>0</v>
      </c>
      <c r="OD9" s="7">
        <f>IFERROR(AVERAGEIF('Данные 2st'!$Q$2:$Q$317,$A9,'Данные 2st'!$IR$2:$IR$317),"")</f>
        <v>330</v>
      </c>
      <c r="OE9" s="7">
        <f>IFERROR(AVERAGEIF('Данные 2st'!$Q$2:$Q$317,$A9,'Данные 2st'!$IT$2:$IT$317),"")</f>
        <v>90</v>
      </c>
      <c r="OF9" s="7">
        <f>IFERROR(AVERAGEIF('Данные 2st'!$Q$2:$Q$317,$A9,'Данные 2st'!$IU$2:$IU$317),"")</f>
        <v>0</v>
      </c>
      <c r="OG9" s="7">
        <f>IFERROR(AVERAGEIF('Данные 2st'!$Q$2:$Q$317,$A9,'Данные 2st'!$IV$2:$IV$317),"")</f>
        <v>6.4</v>
      </c>
      <c r="OH9" s="7">
        <f>IFERROR(AVERAGEIF('Данные 2st'!$Q$2:$Q$317,$A9,'Данные 2st'!$IW$2:$IW$317),"")</f>
        <v>-6</v>
      </c>
      <c r="OI9" s="7">
        <f>IFERROR(AVERAGEIF('Данные 2st'!$Q$2:$Q$317,$A9,'Данные 2st'!$IX$2:$IX$317),"")</f>
        <v>83</v>
      </c>
      <c r="OJ9" s="7">
        <f>IFERROR(AVERAGEIF('Данные 2st'!$Q$2:$Q$317,$A9,'Данные 2st'!$IY$2:$IY$317),"")</f>
        <v>74</v>
      </c>
      <c r="OK9" s="7">
        <f>IFERROR(AVERAGEIF('Данные 2st'!$Q$2:$Q$317,$A9,'Данные 2st'!$IZ$2:$IZ$317),"")</f>
        <v>0</v>
      </c>
      <c r="OL9" s="7">
        <f>IFERROR(AVERAGEIF('Данные 2st'!$Q$2:$Q$317,$A9,'Данные 2st'!$JA$2:$JA$317),"")</f>
        <v>0</v>
      </c>
      <c r="OM9" s="7">
        <f>IFERROR(AVERAGEIF('Данные 2st'!$Q$2:$Q$317,$A9,'Данные 2st'!$JB$2:$JB$317),"")</f>
        <v>0</v>
      </c>
      <c r="ON9" s="7">
        <f>IFERROR(AVERAGEIF('Данные 2st'!$Q$2:$Q$317,$A9,'Данные 2st'!$JC$2:$JC$317),"")</f>
        <v>0</v>
      </c>
      <c r="OO9" s="7">
        <f>IFERROR(AVERAGEIF('Данные 2st'!$Q$2:$Q$317,$A9,'Данные 2st'!$JD$2:$JD$317),"")</f>
        <v>0</v>
      </c>
      <c r="OP9" s="7">
        <f>IFERROR(AVERAGEIF('Данные 2st'!$Q$2:$Q$317,$A9,'Данные 2st'!$JE$2:$JE$317),"")</f>
        <v>0</v>
      </c>
      <c r="OQ9" s="7">
        <f>IFERROR(AVERAGEIF('Данные 2st'!$Q$2:$Q$317,$A9,'Данные 2st'!$JF$2:$JF$317),"")</f>
        <v>0</v>
      </c>
      <c r="OR9" s="7">
        <f>IFERROR(AVERAGEIF('Данные 2st'!$Q$2:$Q$317,$A9,'Данные 2st'!$JG$2:$JG$317),"")</f>
        <v>0</v>
      </c>
      <c r="OS9" s="7">
        <f>IFERROR(AVERAGEIF('Данные 2st'!$Q$2:$Q$317,$A9,'Данные 2st'!$JH$2:$JH$317),"")</f>
        <v>0</v>
      </c>
      <c r="OT9" s="7">
        <f>IFERROR(AVERAGEIF('Данные 2st'!$Q$2:$Q$317,$A9,'Данные 2st'!$JI$2:$JI$317),"")</f>
        <v>356</v>
      </c>
      <c r="OU9" s="7">
        <f>IFERROR(AVERAGEIF('Данные 2st'!$Q$2:$Q$317,$A9,'Данные 2st'!$JJ$2:$JJ$317),"")</f>
        <v>292</v>
      </c>
      <c r="OV9" s="7">
        <f>IFERROR(AVERAGEIF('Данные 2st'!$Q$2:$Q$317,$A9,'Данные 2st'!$JK$2:$JK$317),"")</f>
        <v>240</v>
      </c>
      <c r="OW9" s="7">
        <f>IFERROR(AVERAGEIF('Данные 2st'!$Q$2:$Q$317,$A9,'Данные 2st'!$JL$2:$JL$317),"")</f>
        <v>292</v>
      </c>
      <c r="OX9" s="7">
        <f>IFERROR(AVERAGEIF('Данные 2st'!$Q$2:$Q$317,$A9,'Данные 2st'!$JM$2:$JM$317),"")</f>
        <v>240</v>
      </c>
      <c r="OY9" s="7">
        <f>IFERROR(AVERAGEIF('Данные 2st'!$Q$2:$Q$317,$A9,'Данные 2st'!$JP$2:$JP$317),"")</f>
        <v>235</v>
      </c>
      <c r="OZ9" s="7">
        <f>IFERROR(AVERAGEIF('Данные 2st'!$Q$2:$Q$317,$A9,'Данные 2st'!$JQ$2:$JQ$317),"")</f>
        <v>275</v>
      </c>
      <c r="PA9" s="7">
        <f>IFERROR(AVERAGEIF('Данные 2st'!$Q$2:$Q$317,$A9,'Данные 2st'!$JR$2:$JR$317),"")</f>
        <v>364</v>
      </c>
      <c r="PB9" s="7">
        <f>IFERROR(AVERAGEIF('Данные 2st'!$Q$2:$Q$317,$A9,'Данные 2st'!$JS$2:$JS$317),"")</f>
        <v>275</v>
      </c>
      <c r="PC9" s="7">
        <f>IFERROR(AVERAGEIF('Данные 2st'!$Q$2:$Q$317,$A9,'Данные 2st'!$JT$2:$JT$317),"")</f>
        <v>0</v>
      </c>
      <c r="PD9" s="7">
        <f>IFERROR(AVERAGEIF('Данные 2st'!$Q$2:$Q$317,$A9,'Данные 2st'!$JU$2:$JU$317),"")</f>
        <v>0</v>
      </c>
      <c r="PE9" s="7">
        <f>IFERROR(AVERAGEIF('Данные 2st'!$Q$2:$Q$317,$A9,'Данные 2st'!$JV$2:$JV$317),"")</f>
        <v>335</v>
      </c>
      <c r="PF9" s="7">
        <f>IFERROR(AVERAGEIF('Данные 2st'!$Q$2:$Q$317,$A9,'Данные 2st'!$JW$2:$JW$317),"")</f>
        <v>337</v>
      </c>
      <c r="PG9" s="7">
        <f>IFERROR(AVERAGEIF('Данные 2st'!$Q$2:$Q$317,$A9,'Данные 2st'!$KF$2:$KF$317),"")</f>
        <v>0.18</v>
      </c>
      <c r="PH9" s="7">
        <f>IFERROR(AVERAGEIF('Данные 2st'!$Q$2:$Q$317,$A9,'Данные 2st'!$KG$2:$KG$317),"")</f>
        <v>0.11</v>
      </c>
      <c r="PI9" s="7">
        <f>IFERROR(AVERAGEIF('Данные 2st'!$Q$2:$Q$317,$A9,'Данные 2st'!$KM$2:$KM$317),"")</f>
        <v>0</v>
      </c>
      <c r="PJ9" s="7">
        <f>IFERROR(AVERAGEIF('Данные 2st'!$Q$2:$Q$317,$A9,'Данные 2st'!$KN$2:$KN$317),"")</f>
        <v>1.2</v>
      </c>
      <c r="PK9" s="7">
        <f>IFERROR(AVERAGEIF('Данные 2st'!$Q$2:$Q$317,$A9,'Данные 2st'!$KO$2:$KO$317),"")</f>
        <v>1</v>
      </c>
      <c r="PL9" s="7">
        <f>IFERROR(AVERAGEIF('Данные 2st'!$Q$2:$Q$317,$A9,'Данные 2st'!$KP$2:$KP$317),"")</f>
        <v>0.4</v>
      </c>
      <c r="PM9" s="7">
        <f>IFERROR(AVERAGEIF('Данные 2st'!$Q$2:$Q$317,$A9,'Данные 2st'!$KQ$2:$KQ$317),"")</f>
        <v>1</v>
      </c>
      <c r="PN9" s="7">
        <f>IFERROR(AVERAGEIF('Данные 2st'!$Q$2:$Q$317,$A9,'Данные 2st'!$KR$2:$KR$317),"")</f>
        <v>1</v>
      </c>
      <c r="PO9" s="7">
        <f>IFERROR(AVERAGEIF('Данные 2st'!$Q$2:$Q$317,$A9,'Данные 2st'!$KS$2:$KS$317),"")</f>
        <v>0</v>
      </c>
      <c r="PP9" s="7">
        <f>IFERROR(AVERAGEIF('Данные 2st'!$Q$2:$Q$317,$A9,'Данные 2st'!$KT$2:$KT$317),"")</f>
        <v>2.6</v>
      </c>
      <c r="PQ9" s="7">
        <f>IFERROR(AVERAGEIF('Данные 2st'!$Q$2:$Q$317,$A9,'Данные 2st'!$KU$2:$KU$317),"")</f>
        <v>0</v>
      </c>
      <c r="PR9" s="7">
        <f>IFERROR(AVERAGEIF('Данные 2st'!$Q$2:$Q$317,$A9,'Данные 2st'!$KV$2:$KV$317),"")</f>
        <v>0</v>
      </c>
      <c r="PS9" s="7">
        <f>IFERROR(AVERAGEIF('Данные 2st'!$Q$2:$Q$317,$A9,'Данные 2st'!$KW$2:$KW$317),"")</f>
        <v>0.8</v>
      </c>
      <c r="PT9" s="7">
        <f>IFERROR(AVERAGEIF('Данные 2st'!$Q$2:$Q$317,$A9,'Данные 2st'!$KX$2:$KX$317),"")</f>
        <v>2</v>
      </c>
      <c r="PU9" s="7">
        <f>IFERROR(AVERAGEIF('Данные 2st'!$Q$2:$Q$317,$A9,'Данные 2st'!$KY$2:$KY$317),"")</f>
        <v>2.5</v>
      </c>
      <c r="PV9" s="7">
        <f>IFERROR(AVERAGEIF('Данные 2st'!$Q$2:$Q$317,$A9,'Данные 2st'!$KZ$2:$KZ$317),"")</f>
        <v>4</v>
      </c>
      <c r="PW9" s="7">
        <f>IFERROR(AVERAGEIF('Данные 2st'!$Q$2:$Q$317,$A9,'Данные 2st'!$LA$2:$LA$317),"")</f>
        <v>2.4</v>
      </c>
      <c r="PX9" s="7">
        <f>IFERROR(AVERAGEIF('Данные 2st'!$Q$2:$Q$317,$A9,'Данные 2st'!$LB$2:$LB$317),"")</f>
        <v>10</v>
      </c>
      <c r="PY9" s="7">
        <f>IFERROR(AVERAGEIF('Данные 2st'!$Q$2:$Q$317,$A9,'Данные 2st'!$LC$2:$LC$317),"")</f>
        <v>2.4</v>
      </c>
      <c r="PZ9" s="7">
        <f>IFERROR(AVERAGEIF('Данные 2st'!$Q$2:$Q$317,$A9,'Данные 2st'!$LD$2:$LD$317),"")</f>
        <v>3.5</v>
      </c>
      <c r="QA9" s="7">
        <f>IFERROR(AVERAGEIF('Данные 2st'!$Q$2:$Q$317,$A9,'Данные 2st'!$LE$2:$LE$317),"")</f>
        <v>2</v>
      </c>
      <c r="QB9" s="7">
        <f>IFERROR(AVERAGEIF('Данные 2st'!$Q$2:$Q$317,$A9,'Данные 2st'!$LF$2:$LF$317),"")</f>
        <v>0</v>
      </c>
      <c r="QC9" s="7">
        <f>IFERROR(AVERAGEIF('Данные 2st'!$Q$2:$Q$317,$A9,'Данные 2st'!$LG$2:$LG$317),"")</f>
        <v>0</v>
      </c>
      <c r="QD9" s="7">
        <f>IFERROR(AVERAGEIF('Данные 2st'!$Q$2:$Q$317,$A9,'Данные 2st'!$LH$2:$LH$317),"")</f>
        <v>3</v>
      </c>
      <c r="QE9" s="7">
        <f>IFERROR(AVERAGEIF('Данные 2st'!$Q$2:$Q$317,$A9,'Данные 2st'!$LJ$2:$LJ$317),"")</f>
        <v>0</v>
      </c>
      <c r="QF9" s="7">
        <f>IFERROR(AVERAGEIF('Данные 2st'!$Q$2:$Q$317,$A9,'Данные 2st'!$LK$2:$LK$317),"")</f>
        <v>8</v>
      </c>
      <c r="QG9" s="7">
        <f>IFERROR(AVERAGEIF('Данные 2st'!$Q$2:$Q$317,$A9,'Данные 2st'!$LL$2:$LL$317),"")</f>
        <v>7</v>
      </c>
      <c r="QH9" s="7">
        <f>IFERROR(AVERAGEIF('Данные 2st'!$Q$2:$Q$317,$A9,'Данные 2st'!$LM$2:$LM$317),"")</f>
        <v>11</v>
      </c>
      <c r="QI9" s="7">
        <f>IFERROR(AVERAGEIF('Данные 2st'!$Q$2:$Q$317,$A9,'Данные 2st'!$LN$2:$LN$317),"")</f>
        <v>1</v>
      </c>
      <c r="QJ9" s="7">
        <f>IFERROR(AVERAGEIF('Данные 2st'!$Q$2:$Q$317,$A9,'Данные 2st'!$LO$2:$LO$317),"")</f>
        <v>0.1</v>
      </c>
      <c r="QK9" s="7">
        <f>IFERROR(AVERAGEIF('Данные 2st'!$Q$2:$Q$317,$A9,'Данные 2st'!$LP$2:$LP$317),"")</f>
        <v>0</v>
      </c>
      <c r="QL9" s="7">
        <f>IFERROR(AVERAGEIF('Данные 2st'!$Q$2:$Q$317,$A9,'Данные 2st'!$LQ$2:$LQ$317),"")</f>
        <v>0</v>
      </c>
      <c r="QM9" s="7">
        <f>IFERROR(AVERAGEIF('Данные 2st'!$Q$2:$Q$317,$A9,'Данные 2st'!$LW$2:$LW$317),"")</f>
        <v>0</v>
      </c>
      <c r="QN9" s="7">
        <f>IFERROR(AVERAGEIF('Данные 2st'!$Q$2:$Q$317,$A9,'Данные 2st'!$LX$2:$LX$317),"")</f>
        <v>0</v>
      </c>
      <c r="QO9" s="7">
        <f>IFERROR(AVERAGEIF('Данные 2st'!$Q$2:$Q$317,$A9,'Данные 2st'!$LY$2:$LY$317),"")</f>
        <v>0</v>
      </c>
      <c r="QP9" s="7">
        <f>IFERROR(AVERAGEIF('Данные 2st'!$Q$2:$Q$317,$A9,'Данные 2st'!$LZ$2:$LZ$317),"")</f>
        <v>0</v>
      </c>
      <c r="QQ9" s="7">
        <f>IFERROR(AVERAGEIF('Данные 2st'!$Q$2:$Q$317,$A9,'Данные 2st'!$MB$2:$MB$317),"")</f>
        <v>10</v>
      </c>
      <c r="QR9" s="7">
        <f>IFERROR(AVERAGEIF('Данные 2st'!$Q$2:$Q$317,$A9,'Данные 2st'!$MG$2:$MG$317),"")</f>
        <v/>
      </c>
      <c r="QS9" s="7">
        <f>IFERROR(AVERAGEIF('Данные 2st'!$Q$2:$Q$317,$A9,'Данные 2st'!$MH$2:$MH$317),"")</f>
        <v/>
      </c>
      <c r="QT9" s="7">
        <f>IFERROR(AVERAGEIF('Данные 2st'!$Q$2:$Q$317,$A9,'Данные 2st'!$MI$2:$MI$317),"")</f>
        <v>0</v>
      </c>
      <c r="QU9" s="7">
        <f>IFERROR(AVERAGEIF('Данные 2st'!$Q$2:$Q$317,$A9,'Данные 2st'!$MJ$2:$MJ$317),"")</f>
        <v>0</v>
      </c>
      <c r="QV9" s="7">
        <f>IFERROR(AVERAGEIF('Данные 2st'!$Q$2:$Q$317,$A9,'Данные 2st'!$MK$2:$MK$317),"")</f>
        <v/>
      </c>
      <c r="QW9" s="7">
        <f>IFERROR(AVERAGEIF('Данные 2st'!$Q$2:$Q$317,$A9,'Данные 2st'!$MM$2:$MM$317),"")</f>
        <v>390</v>
      </c>
      <c r="QX9" s="7">
        <f>IFERROR(AVERAGEIF('Данные 2st'!$Q$2:$Q$317,$A9,'Данные 2st'!$MQ$2:$MQ$317),"")</f>
        <v/>
      </c>
      <c r="QY9" s="7">
        <f>IFERROR(AVERAGEIF('Данные 2st'!$Q$2:$Q$317,$A9,'Данные 2st'!$MR$2:$MR$317),"")</f>
        <v/>
      </c>
      <c r="QZ9" s="7">
        <f>IFERROR(AVERAGEIF('Данные 2st'!$Q$2:$Q$317,$A9,'Данные 2st'!$MS$2:$MS$317),"")</f>
        <v/>
      </c>
      <c r="RA9" s="7">
        <f>IFERROR(AVERAGEIF('Данные 2st'!$Q$2:$Q$317,$A9,'Данные 2st'!$MT$2:$MT$317),"")</f>
        <v/>
      </c>
      <c r="RB9" s="7">
        <f>IFERROR(AVERAGEIF('Данные 2st'!$Q$2:$Q$317,$A9,'Данные 2st'!$MU$2:$MU$317),"")</f>
        <v/>
      </c>
      <c r="RC9" s="7">
        <f>IFERROR(AVERAGEIF('Данные 2st'!$Q$2:$Q$317,$A9,'Данные 2st'!$MV$2:$MV$317),"")</f>
        <v/>
      </c>
      <c r="RD9" s="7">
        <f>IFERROR(AVERAGEIF('Данные 2st'!$Q$2:$Q$317,$A9,'Данные 2st'!$MW$2:$MW$317),"")</f>
        <v/>
      </c>
      <c r="RE9" s="7">
        <f>IFERROR(AVERAGEIF('Данные 2st'!$Q$2:$Q$317,$A9,'Данные 2st'!$MX$2:$MX$317),"")</f>
        <v/>
      </c>
      <c r="RF9" s="7">
        <f>IFERROR(AVERAGEIF('Данные 2st'!$Q$2:$Q$317,$A9,'Данные 2st'!$MY$2:$MY$317),"")</f>
        <v/>
      </c>
      <c r="RG9" s="7">
        <f>IFERROR(AVERAGEIF('Данные 2st'!$Q$2:$Q$317,$A9,'Данные 2st'!$MZ$2:$MZ$317),"")</f>
        <v/>
      </c>
      <c r="RH9" s="7">
        <f>IFERROR(AVERAGEIF('Данные 2st'!$Q$2:$Q$317,$A9,'Данные 2st'!$NA$2:$NA$317),"")</f>
        <v/>
      </c>
      <c r="RI9" s="7">
        <f>IFERROR(AVERAGEIF('Данные 2st'!$Q$2:$Q$317,$A9,'Данные 2st'!$NB$2:$NB$317),"")</f>
        <v/>
      </c>
      <c r="RJ9" s="7">
        <f>IFERROR(AVERAGEIF('Данные 2st'!$Q$2:$Q$317,$A9,'Данные 2st'!$NC$2:$NC$317),"")</f>
        <v/>
      </c>
      <c r="RK9" s="7">
        <f>IFERROR(AVERAGEIF('Данные 2st'!$Q$2:$Q$317,$A9,'Данные 2st'!$ND$2:$ND$317),"")</f>
        <v/>
      </c>
      <c r="RL9" s="7">
        <f>IFERROR(AVERAGEIF('Данные 2st'!$Q$2:$Q$317,$A9,'Данные 2st'!$NE$2:$NE$317),"")</f>
        <v/>
      </c>
      <c r="RM9" s="7">
        <f>IFERROR(AVERAGEIF('Данные 2st'!$Q$2:$Q$317,$A9,'Данные 2st'!$NF$2:$NF$317),"")</f>
        <v/>
      </c>
      <c r="RN9" s="7">
        <f>IFERROR(AVERAGEIF('Данные 2st'!$Q$2:$Q$317,$A9,'Данные 2st'!$NG$2:$NG$317),"")</f>
        <v/>
      </c>
      <c r="RO9" s="7">
        <f>IFERROR(AVERAGEIF('Данные 2st'!$Q$2:$Q$317,$A9,'Данные 2st'!$NH$2:$NH$317),"")</f>
        <v/>
      </c>
      <c r="RP9" s="7">
        <f>IFERROR(AVERAGEIF('Данные 2st'!$Q$2:$Q$317,$A9,'Данные 2st'!$NJ$2:$NJ$317),"")</f>
        <v/>
      </c>
      <c r="RQ9" s="7">
        <f>IFERROR(AVERAGEIF('Данные 2st'!$Q$2:$Q$317,$A9,'Данные 2st'!$NK$2:$NK$317),"")</f>
        <v/>
      </c>
      <c r="RR9" s="7">
        <f>IFERROR(AVERAGEIF('Данные 2st'!$Q$2:$Q$317,$A9,'Данные 2st'!$NM$2:$NM$317),"")</f>
        <v/>
      </c>
      <c r="RS9" s="7">
        <f>IFERROR(AVERAGEIF('Данные 2st'!$Q$2:$Q$317,$A9,'Данные 2st'!$NN$2:$NN$317),"")</f>
        <v/>
      </c>
      <c r="RT9" s="7">
        <f>IFERROR(AVERAGEIF('Данные 2st'!$Q$2:$Q$317,$A9,'Данные 2st'!$NO$2:$NO$317),"")</f>
        <v/>
      </c>
      <c r="RU9" s="7">
        <f>IFERROR(AVERAGEIF('Данные 2st'!$Q$2:$Q$317,$A9,'Данные 2st'!$NP$2:$NP$317),"")</f>
        <v/>
      </c>
      <c r="RV9" s="7">
        <f>IFERROR(AVERAGEIF('Данные 2st'!$Q$2:$Q$317,$A9,'Данные 2st'!$NQ$2:$NQ$317),"")</f>
        <v/>
      </c>
      <c r="RW9" s="7">
        <f>IFERROR(AVERAGEIF('Данные 2st'!$Q$2:$Q$317,$A9,'Данные 2st'!$NR$2:$NR$317),"")</f>
        <v/>
      </c>
      <c r="RX9" s="7">
        <f>IFERROR(AVERAGEIF('Данные 2st'!$Q$2:$Q$317,$A9,'Данные 2st'!$NS$2:$NS$317),"")</f>
        <v/>
      </c>
      <c r="RY9" s="7">
        <f>IFERROR(AVERAGEIF('Данные 2st'!$Q$2:$Q$317,$A9,'Данные 2st'!$NT$2:$NT$317),"")</f>
        <v/>
      </c>
      <c r="RZ9" s="7">
        <f>IFERROR(AVERAGEIF('Данные 2st'!$Q$2:$Q$317,$A9,'Данные 2st'!$OK$2:$OK$317),"")</f>
        <v>61</v>
      </c>
      <c r="SA9" s="7">
        <f>IFERROR(AVERAGEIF('Данные 2st'!$Q$2:$Q$317,$A9,'Данные 2st'!$OL$2:$OL$317),"")</f>
        <v>61</v>
      </c>
      <c r="SB9" s="7">
        <f>IFERROR(AVERAGEIF('Данные 2st'!$Q$2:$Q$317,$A9,'Данные 2st'!$ON$2:$ON$317),"")</f>
        <v>3</v>
      </c>
      <c r="SC9" s="7">
        <f>IFERROR(AVERAGEIF('Данные 2st'!$Q$2:$Q$317,$A9,'Данные 2st'!$OO$2:$OO$317),"")</f>
        <v>1803</v>
      </c>
      <c r="SD9" s="7">
        <f>IFERROR(AVERAGEIF('Данные 2st'!$Q$2:$Q$317,$A9,'Данные 2st'!$OP$2:$OP$317),"")</f>
        <v>61</v>
      </c>
      <c r="SE9" s="7">
        <f>IFERROR(AVERAGEIF('Данные 2st'!$Q$2:$Q$317,$A9,'Данные 2st'!$OQ$2:$OQ$317),"")</f>
        <v>61</v>
      </c>
      <c r="SF9" s="7">
        <f>IFERROR(AVERAGEIF('Данные 2st'!$Q$2:$Q$317,$A9,'Данные 2st'!$OS$2:$OS$317),"")</f>
        <v>3</v>
      </c>
      <c r="SG9" s="7">
        <f>IFERROR(AVERAGEIF('Данные 2st'!$Q$2:$Q$317,$A9,'Данные 2st'!$OT$2:$OT$317),"")</f>
        <v>1810</v>
      </c>
      <c r="SH9" s="7">
        <f>IFERROR(AVERAGEIF('Данные 2st'!$Q$2:$Q$317,$A9,'Данные 2st'!$OU$2:$OU$317),"")</f>
        <v>65</v>
      </c>
      <c r="SI9" s="7">
        <f>IFERROR(AVERAGEIF('Данные 2st'!$Q$2:$Q$317,$A9,'Данные 2st'!$OV$2:$OV$317),"")</f>
        <v>65</v>
      </c>
      <c r="SJ9" s="7">
        <f>IFERROR(AVERAGEIF('Данные 2st'!$Q$2:$Q$317,$A9,'Данные 2st'!$OX$2:$OX$317),"")</f>
        <v>2</v>
      </c>
      <c r="SK9" s="7">
        <f>IFERROR(AVERAGEIF('Данные 2st'!$Q$2:$Q$317,$A9,'Данные 2st'!$OY$2:$OY$317),"")</f>
        <v>27733</v>
      </c>
      <c r="SL9" s="7">
        <f>IFERROR(AVERAGEIF('Данные 2st'!$Q$2:$Q$317,$A9,'Данные 2st'!$OZ$2:$OZ$317),"")</f>
        <v>51</v>
      </c>
      <c r="SM9" s="7">
        <f>IFERROR(AVERAGEIF('Данные 2st'!$Q$2:$Q$317,$A9,'Данные 2st'!$PA$2:$PA$317),"")</f>
        <v>51</v>
      </c>
      <c r="SN9" s="7">
        <f>IFERROR(AVERAGEIF('Данные 2st'!$Q$2:$Q$317,$A9,'Данные 2st'!$PC$2:$PC$317),"")</f>
        <v>5</v>
      </c>
      <c r="SO9" s="7">
        <f>IFERROR(AVERAGEIF('Данные 2st'!$Q$2:$Q$317,$A9,'Данные 2st'!$PD$2:$PD$317),"")</f>
        <v>1845</v>
      </c>
      <c r="SP9" s="7">
        <f>IFERROR(AVERAGEIF('Данные 2st'!$Q$2:$Q$317,$A9,'Данные 2st'!$PF$2:$PF$317),"")</f>
        <v>292</v>
      </c>
      <c r="SQ9" s="7">
        <f>IFERROR(AVERAGEIF('Данные 2st'!$Q$2:$Q$317,$A9,'Данные 2st'!$PG$2:$PG$317),"")</f>
        <v>29</v>
      </c>
      <c r="SR9" s="7">
        <f>IFERROR(AVERAGEIF('Данные 2st'!$Q$2:$Q$317,$A9,'Данные 2st'!$PH$2:$PH$317),"")</f>
        <v>274</v>
      </c>
      <c r="SS9" s="7">
        <f>IFERROR(AVERAGEIF('Данные 2st'!$Q$2:$Q$317,$A9,'Данные 2st'!$PI$2:$PI$317),"")</f>
        <v>29</v>
      </c>
      <c r="ST9" s="7">
        <f>IFERROR(AVERAGEIF('Данные 2st'!$Q$2:$Q$317,$A9,'Данные 2st'!$PJ$2:$PJ$317),"")</f>
        <v>99.3</v>
      </c>
      <c r="SU9" s="7">
        <f>IFERROR(AVERAGEIF('Данные 2st'!$Q$2:$Q$317,$A9,'Данные 2st'!$PK$2:$PK$317),"")</f>
        <v>1830</v>
      </c>
      <c r="SV9" s="7">
        <f>IFERROR(AVERAGEIF('Данные 2st'!$Q$2:$Q$317,$A9,'Данные 2st'!$PL$2:$PL$317),"")</f>
        <v>857.5</v>
      </c>
      <c r="SW9" s="7">
        <f>IFERROR(AVERAGEIF('Данные 2st'!$Q$2:$Q$317,$A9,'Данные 2st'!$PM$2:$PM$317),"")</f>
        <v>799</v>
      </c>
      <c r="SX9" s="7">
        <f>IFERROR(AVERAGEIF('Данные 2st'!$Q$2:$Q$317,$A9,'Данные 2st'!$PN$2:$PN$317),"")</f>
        <v>80.4</v>
      </c>
      <c r="SY9" s="7">
        <f>IFERROR(AVERAGEIF('Данные 2st'!$Q$2:$Q$317,$A9,'Данные 2st'!$PO$2:$PO$317),"")</f>
        <v/>
      </c>
      <c r="SZ9" s="7">
        <f>IFERROR(AVERAGEIF('Данные 2st'!$Q$2:$Q$317,$A9,'Данные 2st'!$PP$2:$PP$317),"")</f>
        <v>12</v>
      </c>
      <c r="TA9" s="7">
        <f>IFERROR(AVERAGEIF('Данные 2st'!$Q$2:$Q$317,$A9,'Данные 2st'!$PQ$2:$PQ$317),"")</f>
        <v>8</v>
      </c>
      <c r="TB9" s="7">
        <f>IFERROR(AVERAGEIF('Данные 2st'!$Q$2:$Q$317,$A9,'Данные 2st'!$PR$2:$PR$317),"")</f>
        <v>9</v>
      </c>
      <c r="TC9" s="7">
        <f>IFERROR(AVERAGEIF('Данные 2st'!$Q$2:$Q$317,$A9,'Данные 2st'!$PS$2:$PS$317),"")</f>
        <v>6</v>
      </c>
      <c r="TD9" s="7">
        <f>IFERROR(AVERAGEIF('Данные 2st'!$Q$2:$Q$317,$A9,'Данные 2st'!$PT$2:$PT$317),"")</f>
        <v>194</v>
      </c>
      <c r="TE9" s="7">
        <f>IFERROR(AVERAGEIF('Данные 2st'!$Q$2:$Q$317,$A9,'Данные 2st'!$PU$2:$PU$317),"")</f>
        <v>9</v>
      </c>
      <c r="TF9" s="7">
        <f>IFERROR(AVERAGEIF('Данные 2st'!$Q$2:$Q$317,$A9,'Данные 2st'!$PX$2:$PX$317),"")</f>
        <v>0</v>
      </c>
      <c r="TG9" s="7">
        <f>IFERROR(AVERAGEIF('Данные 2st'!$Q$2:$Q$317,$A9,'Данные 2st'!$PY$2:$PY$317),"")</f>
        <v>0</v>
      </c>
      <c r="TH9" s="7">
        <f>IFERROR(AVERAGEIF('Данные 2st'!$Q$2:$Q$317,$A9,'Данные 2st'!$PZ$2:$PZ$317),"")</f>
        <v>0</v>
      </c>
      <c r="TI9" s="7">
        <f>IFERROR(AVERAGEIF('Данные 2st'!$Q$2:$Q$317,$A9,'Данные 2st'!$QA$2:$QA$317),"")</f>
        <v>0</v>
      </c>
      <c r="TJ9" s="7">
        <f>IFERROR(AVERAGEIF('Данные 2st'!$Q$2:$Q$317,$A9,'Данные 2st'!$QB$2:$QB$317),"")</f>
        <v>0</v>
      </c>
      <c r="TK9" s="7">
        <f>IFERROR(AVERAGEIF('Данные 2st'!$Q$2:$Q$317,$A9,'Данные 2st'!$QC$2:$QC$317),"")</f>
        <v>0</v>
      </c>
      <c r="TL9" s="7">
        <f>IFERROR(AVERAGEIF('Данные 2st'!$Q$2:$Q$317,$A9,'Данные 2st'!$QD$2:$QD$317),"")</f>
        <v>0</v>
      </c>
      <c r="TM9" s="7">
        <f>IFERROR(AVERAGEIF('Данные 2st'!$Q$2:$Q$317,$A9,'Данные 2st'!$QE$2:$QE$317),"")</f>
        <v>-1</v>
      </c>
      <c r="TN9" s="7">
        <f>IFERROR(AVERAGEIF('Данные 2st'!$Q$2:$Q$317,$A9,'Данные 2st'!$QF$2:$QF$317),"")</f>
        <v>1</v>
      </c>
      <c r="TO9" s="7">
        <f>IFERROR(AVERAGEIF('Данные 2st'!$Q$2:$Q$317,$A9,'Данные 2st'!$QG$2:$QG$317),"")</f>
        <v>0</v>
      </c>
      <c r="TP9" s="7">
        <f>IFERROR(AVERAGEIF('Данные 2st'!$Q$2:$Q$317,$A9,'Данные 2st'!$QH$2:$QH$317),"")</f>
        <v>5</v>
      </c>
      <c r="TQ9" s="7">
        <f>IFERROR(AVERAGEIF('Данные 2st'!$Q$2:$Q$317,$A9,'Данные 2st'!$QI$2:$QI$317),"")</f>
        <v>5</v>
      </c>
      <c r="TR9" s="7">
        <f>IFERROR(AVERAGEIF('Данные 2st'!$Q$2:$Q$317,$A9,'Данные 2st'!$QJ$2:$QJ$317),"")</f>
        <v>5</v>
      </c>
      <c r="TS9" s="7">
        <f>IFERROR(AVERAGEIF('Данные 2st'!$Q$2:$Q$317,$A9,'Данные 2st'!$QK$2:$QK$317),"")</f>
        <v>173</v>
      </c>
      <c r="TT9" s="7">
        <f>IFERROR(AVERAGEIF('Данные 2st'!$Q$2:$Q$317,$A9,'Данные 2st'!$QL$2:$QL$317),"")</f>
        <v>390</v>
      </c>
      <c r="TU9" s="7">
        <f>IFERROR(AVERAGEIF('Данные 2st'!$Q$2:$Q$317,$A9,'Данные 2st'!$QM$2:$QM$317),"")</f>
        <v>7.5</v>
      </c>
      <c r="TV9" s="7">
        <f>IFERROR(AVERAGEIF('Данные 2st'!$Q$2:$Q$317,$A9,'Данные 2st'!$QN$2:$QN$317),"")</f>
        <v>1123</v>
      </c>
      <c r="TW9" s="7">
        <f>IFERROR(AVERAGEIF('Данные 2st'!$Q$2:$Q$317,$A9,'Данные 2st'!$QQ$2:$QQ$317),"")</f>
        <v>0</v>
      </c>
      <c r="TX9" s="7">
        <f>IFERROR(AVERAGEIF('Данные 2st'!$Q$2:$Q$317,$A9,'Данные 2st'!$QS$2:$QS$317),"")</f>
        <v>30</v>
      </c>
      <c r="TY9" s="7">
        <f>IFERROR(AVERAGEIF('Данные 2st'!$Q$2:$Q$317,$A9,'Данные 2st'!$QT$2:$QT$317),"")</f>
        <v>40</v>
      </c>
    </row>
    <row r="10" spans="1:545" ht="32" customHeight="1">
      <c r="A10" s="11" t="s">
        <v>2077</v>
      </c>
      <c r="B10">
        <f>COUNTIF('Данные 1st'!$S$2:$S$317,$A10)</f>
        <v>3</v>
      </c>
      <c r="C10" s="6" t="s">
        <v>5085</v>
      </c>
      <c r="D10" s="6" t="s">
        <v>513</v>
      </c>
      <c r="E10" s="6" t="s">
        <v>5125</v>
      </c>
      <c r="F10" s="6" t="s">
        <v>5133</v>
      </c>
      <c r="G10" s="7">
        <f>IFERROR(AVERAGEIF('Данные 1st'!$S$2:$S$317,$A10,'Данные 1st'!$AE$2:$AE$317),"")</f>
        <v>165</v>
      </c>
      <c r="H10" s="7">
        <f>IFERROR(AVERAGEIF('Данные 1st'!$S$2:$S$317,$A10,'Данные 1st'!$AF$2:$AF$317),"")</f>
        <v>1.5</v>
      </c>
      <c r="I10" s="7">
        <f>IFERROR(AVERAGEIF('Данные 1st'!$S$2:$S$317,$A10,'Данные 1st'!$AJ$2:$AJ$317),"")</f>
        <v>166.66666666666666</v>
      </c>
      <c r="J10" s="7">
        <f>IFERROR(AVERAGEIF('Данные 1st'!$S$2:$S$317,$A10,'Данные 1st'!$AL$2:$AL$317),"")</f>
        <v>1.5</v>
      </c>
      <c r="K10" s="7">
        <f>IFERROR(AVERAGEIF('Данные 1st'!$S$2:$S$317,$A10,'Данные 1st'!$AR$2:$AR$317),"")</f>
        <v>66</v>
      </c>
      <c r="L10" s="7">
        <f>IFERROR(AVERAGEIF('Данные 1st'!$S$2:$S$317,$A10,'Данные 1st'!$AS$2:$AS$317),"")</f>
        <v>1.5</v>
      </c>
      <c r="M10" s="7">
        <f>IFERROR(AVERAGEIF('Данные 1st'!$S$2:$S$317,$A10,'Данные 1st'!$AY$2:$AY$317),"")</f>
        <v>282.5</v>
      </c>
      <c r="N10" s="7">
        <f>IFERROR(AVERAGEIF('Данные 1st'!$S$2:$S$317,$A10,'Данные 1st'!$AZ$2:$AZ$317),"")</f>
        <v>1.5</v>
      </c>
      <c r="O10" s="7">
        <f>IFERROR(AVERAGEIF('Данные 1st'!$S$2:$S$317,$A10,'Данные 1st'!$BF$2:$BF$317),"")</f>
        <v/>
      </c>
      <c r="P10" s="7">
        <f>IFERROR(AVERAGEIF('Данные 1st'!$S$2:$S$317,$A10,'Данные 1st'!$BG$2:$BG$317),"")</f>
        <v>1.5</v>
      </c>
      <c r="Q10" s="7">
        <f>IFERROR(AVERAGEIF('Данные 1st'!$S$2:$S$317,$A10,'Данные 1st'!$BM$2:$BM$317),"")</f>
        <v/>
      </c>
      <c r="R10" s="7">
        <f>IFERROR(AVERAGEIF('Данные 1st'!$S$2:$S$317,$A10,'Данные 1st'!$BN$2:$BN$317),"")</f>
        <v>1.5</v>
      </c>
      <c r="S10" s="7">
        <f>IFERROR(AVERAGEIF('Данные 1st'!$S$2:$S$317,$A10,'Данные 1st'!$BT$2:$BT$317),"")</f>
        <v>179.66666666666666</v>
      </c>
      <c r="T10" s="7">
        <f>IFERROR(AVERAGEIF('Данные 1st'!$S$2:$S$317,$A10,'Данные 1st'!$BU$2:$BU$317),"")</f>
        <v>0.5</v>
      </c>
      <c r="U10" s="7">
        <f>IFERROR(AVERAGEIF('Данные 1st'!$S$2:$S$317,$A10,'Данные 1st'!$BW$2:$BW$317),"")</f>
        <v>359.3333333333333</v>
      </c>
      <c r="V10" s="7">
        <f>IFERROR(AVERAGEIF('Данные 1st'!$S$2:$S$317,$A10,'Данные 1st'!$BX$2:$BX$317),"")</f>
        <v>1</v>
      </c>
      <c r="W10" s="7">
        <f>IFERROR(AVERAGEIF('Данные 1st'!$S$2:$S$317,$A10,'Данные 1st'!$BZ$2:$BZ$317),"")</f>
        <v>300</v>
      </c>
      <c r="X10" s="7">
        <f>IFERROR(AVERAGEIF('Данные 1st'!$S$2:$S$317,$A10,'Данные 1st'!$CA$2:$CA$317),"")</f>
        <v>453.3333333333333</v>
      </c>
      <c r="Y10" s="7">
        <f>IFERROR(AVERAGEIF('Данные 1st'!$S$2:$S$317,$A10,'Данные 1st'!$CD$2:$CD$317),"")</f>
        <v>376</v>
      </c>
      <c r="Z10" s="7">
        <f>IFERROR(AVERAGEIF('Данные 1st'!$S$2:$S$317,$A10,'Данные 1st'!$CF$2:$CF$317),"")</f>
        <v>15</v>
      </c>
      <c r="AA10" s="7">
        <f>IFERROR(AVERAGEIF('Данные 1st'!$S$2:$S$317,$A10,'Данные 1st'!$CI$2:$CI$317),"")</f>
        <v>76.66666666666667</v>
      </c>
      <c r="AB10" s="7">
        <f>IFERROR(AVERAGEIF('Данные 1st'!$S$2:$S$317,$A10,'Данные 1st'!$CJ$2:$CJ$317),"")</f>
        <v>1122</v>
      </c>
      <c r="AC10" s="7">
        <f>IFERROR(AVERAGEIF('Данные 1st'!$S$2:$S$317,$A10,'Данные 1st'!$CK$2:$CK$317),"")</f>
        <v>2</v>
      </c>
      <c r="AD10" s="7">
        <f>IFERROR(AVERAGEIF('Данные 1st'!$S$2:$S$317,$A10,'Данные 1st'!$CL$2:$CL$317),"")</f>
        <v>1222</v>
      </c>
      <c r="AE10" s="7">
        <f>IFERROR(AVERAGEIF('Данные 1st'!$S$2:$S$317,$A10,'Данные 1st'!$CM$2:$CM$317),"")</f>
        <v>2</v>
      </c>
      <c r="AF10" s="7">
        <f>IFERROR(AVERAGEIF('Данные 1st'!$S$2:$S$317,$A10,'Данные 1st'!$CT$2:$CT$317),"")</f>
        <v>333.3333333333333</v>
      </c>
      <c r="AG10" s="7">
        <f>IFERROR(AVERAGEIF('Данные 1st'!$S$2:$S$317,$A10,'Данные 1st'!$CU$2:$CU$317),"")</f>
        <v>5</v>
      </c>
      <c r="AH10" s="7">
        <f>IFERROR(AVERAGEIF('Данные 1st'!$S$2:$S$317,$A10,'Данные 1st'!$CV$2:$CV$317),"")</f>
        <v>1.2</v>
      </c>
      <c r="AI10" s="7">
        <f>IFERROR(AVERAGEIF('Данные 1st'!$S$2:$S$317,$A10,'Данные 1st'!$CW$2:$CW$317),"")</f>
        <v>1137.6666666666667</v>
      </c>
      <c r="AJ10" s="7">
        <f>IFERROR(AVERAGEIF('Данные 1st'!$S$2:$S$317,$A10,'Данные 1st'!$CX$2:$CX$317),"")</f>
        <v>536.3333333333334</v>
      </c>
      <c r="AK10" s="7">
        <f>IFERROR(AVERAGEIF('Данные 1st'!$S$2:$S$317,$A10,'Данные 1st'!$CZ$2:$CZ$317),"")</f>
        <v>50</v>
      </c>
      <c r="AL10" s="7">
        <f>IFERROR(AVERAGEIF('Данные 1st'!$S$2:$S$317,$A10,'Данные 1st'!$DA$2:$DA$317),"")</f>
        <v>3</v>
      </c>
      <c r="AM10" s="7">
        <f>IFERROR(AVERAGEIF('Данные 1st'!$S$2:$S$317,$A10,'Данные 1st'!$DB$2:$DB$317),"")</f>
        <v>1</v>
      </c>
      <c r="AN10" s="7">
        <f>IFERROR(AVERAGEIF('Данные 1st'!$S$2:$S$317,$A10,'Данные 1st'!$DC$2:$DC$317),"")</f>
        <v>1141</v>
      </c>
      <c r="AO10" s="7">
        <f>IFERROR(AVERAGEIF('Данные 1st'!$S$2:$S$317,$A10,'Данные 1st'!$DD$2:$DD$317),"")</f>
        <v>20</v>
      </c>
      <c r="AP10" s="7">
        <f>IFERROR(AVERAGEIF('Данные 1st'!$S$2:$S$317,$A10,'Данные 1st'!$DF$2:$DF$317),"")</f>
        <v>565</v>
      </c>
      <c r="AQ10" s="7">
        <f>IFERROR(AVERAGEIF('Данные 1st'!$S$2:$S$317,$A10,'Данные 1st'!$DG$2:$DG$317),"")</f>
        <v>3</v>
      </c>
      <c r="AR10" s="7">
        <f>IFERROR(AVERAGEIF('Данные 1st'!$S$2:$S$317,$A10,'Данные 1st'!$DH$2:$DH$317),"")</f>
        <v>0.98</v>
      </c>
      <c r="AS10" s="7">
        <f>IFERROR(AVERAGEIF('Данные 1st'!$S$2:$S$317,$A10,'Данные 1st'!$DI$2:$DI$317),"")</f>
        <v>1134</v>
      </c>
      <c r="AT10" s="7">
        <f>IFERROR(AVERAGEIF('Данные 1st'!$S$2:$S$317,$A10,'Данные 1st'!$DJ$2:$DJ$317),"")</f>
        <v>881.3333333333334</v>
      </c>
      <c r="AU10" s="7">
        <f>IFERROR(AVERAGEIF('Данные 1st'!$S$2:$S$317,$A10,'Данные 1st'!$DL$2:$DL$317),"")</f>
        <v/>
      </c>
      <c r="AV10" s="7">
        <f>IFERROR(AVERAGEIF('Данные 1st'!$S$2:$S$317,$A10,'Данные 1st'!$DM$2:$DM$317),"")</f>
        <v/>
      </c>
      <c r="AW10" s="7">
        <f>IFERROR(AVERAGEIF('Данные 1st'!$S$2:$S$317,$A10,'Данные 1st'!$DN$2:$DN$317),"")</f>
        <v/>
      </c>
      <c r="AX10" s="7">
        <f>IFERROR(AVERAGEIF('Данные 1st'!$S$2:$S$317,$A10,'Данные 1st'!$DO$2:$DO$317),"")</f>
        <v/>
      </c>
      <c r="AY10" s="7">
        <f>IFERROR(AVERAGEIF('Данные 1st'!$S$2:$S$317,$A10,'Данные 1st'!$DP$2:$DP$317),"")</f>
        <v/>
      </c>
      <c r="AZ10" s="7">
        <f>IFERROR(AVERAGEIF('Данные 1st'!$S$2:$S$317,$A10,'Данные 1st'!$DR$2:$DR$317),"")</f>
        <v/>
      </c>
      <c r="BA10" s="7">
        <f>IFERROR(AVERAGEIF('Данные 1st'!$S$2:$S$317,$A10,'Данные 1st'!$DS$2:$DS$317),"")</f>
        <v/>
      </c>
      <c r="BB10" s="7">
        <f>IFERROR(AVERAGEIF('Данные 1st'!$S$2:$S$317,$A10,'Данные 1st'!$DT$2:$DT$317),"")</f>
        <v/>
      </c>
      <c r="BC10" s="7">
        <f>IFERROR(AVERAGEIF('Данные 1st'!$S$2:$S$317,$A10,'Данные 1st'!$DU$2:$DU$317),"")</f>
        <v/>
      </c>
      <c r="BD10" s="7">
        <f>IFERROR(AVERAGEIF('Данные 1st'!$S$2:$S$317,$A10,'Данные 1st'!$DV$2:$DV$317),"")</f>
        <v/>
      </c>
      <c r="BE10" s="7">
        <f>IFERROR(AVERAGEIF('Данные 1st'!$S$2:$S$317,$A10,'Данные 1st'!$DX$2:$DX$317),"")</f>
        <v>7.5</v>
      </c>
      <c r="BF10" s="7">
        <f>IFERROR(AVERAGEIF('Данные 1st'!$S$2:$S$317,$A10,'Данные 1st'!$EA$2:$EA$317),"")</f>
        <v>1203.2333333333333</v>
      </c>
      <c r="BG10" s="7">
        <f>IFERROR(AVERAGEIF('Данные 1st'!$S$2:$S$317,$A10,'Данные 1st'!$EB$2:$EB$317),"")</f>
        <v>157</v>
      </c>
      <c r="BH10" s="7">
        <f>IFERROR(AVERAGEIF('Данные 1st'!$S$2:$S$317,$A10,'Данные 1st'!$ED$2:$ED$317),"")</f>
        <v>25</v>
      </c>
      <c r="BI10" s="7">
        <f>IFERROR(AVERAGEIF('Данные 1st'!$S$2:$S$317,$A10,'Данные 1st'!$EE$2:$EE$317),"")</f>
        <v>3</v>
      </c>
      <c r="BJ10" s="7">
        <f>IFERROR(AVERAGEIF('Данные 1st'!$S$2:$S$317,$A10,'Данные 1st'!$EG$2:$EG$317),"")</f>
        <v>1233.6666666666667</v>
      </c>
      <c r="BK10" s="7">
        <f>IFERROR(AVERAGEIF('Данные 1st'!$S$2:$S$317,$A10,'Данные 1st'!$EH$2:$EH$317),"")</f>
        <v>128.66666666666666</v>
      </c>
      <c r="BL10" s="7">
        <f>IFERROR(AVERAGEIF('Данные 1st'!$S$2:$S$317,$A10,'Данные 1st'!$EJ$2:$EJ$317),"")</f>
        <v>0</v>
      </c>
      <c r="BM10" s="7">
        <f>IFERROR(AVERAGEIF('Данные 1st'!$S$2:$S$317,$A10,'Данные 1st'!$EK$2:$EK$317),"")</f>
        <v>1</v>
      </c>
      <c r="BN10" s="7">
        <f>IFERROR(AVERAGEIF('Данные 1st'!$S$2:$S$317,$A10,'Данные 1st'!$EN$2:$EN$317),"")</f>
        <v>0</v>
      </c>
      <c r="BO10" s="7">
        <f>IFERROR(AVERAGEIF('Данные 1st'!$S$2:$S$317,$A10,'Данные 1st'!$EQ$2:$EQ$317),"")</f>
        <v>81.66666666666667</v>
      </c>
      <c r="BP10" s="7">
        <f>IFERROR(AVERAGEIF('Данные 1st'!$S$2:$S$317,$A10,'Данные 1st'!$ER$2:$ER$317),"")</f>
        <v>3</v>
      </c>
      <c r="BQ10" s="7">
        <f>IFERROR(AVERAGEIF('Данные 1st'!$S$2:$S$317,$A10,'Данные 1st'!$ES$2:$ES$317),"")</f>
        <v>4.633333333333334</v>
      </c>
      <c r="BR10" s="7">
        <f>IFERROR(AVERAGEIF('Данные 1st'!$S$2:$S$317,$A10,'Данные 1st'!$ET$2:$ET$317),"")</f>
        <v>1114.6666666666667</v>
      </c>
      <c r="BS10" s="7">
        <f>IFERROR(AVERAGEIF('Данные 1st'!$S$2:$S$317,$A10,'Данные 1st'!$EU$2:$EU$317),"")</f>
        <v>289.3666666666667</v>
      </c>
      <c r="BT10" s="7">
        <f>IFERROR(AVERAGEIF('Данные 1st'!$S$2:$S$317,$A10,'Данные 1st'!$EV$2:$EV$317),"")</f>
        <v>322.3333333333333</v>
      </c>
      <c r="BU10" s="7">
        <f>IFERROR(AVERAGEIF('Данные 1st'!$S$2:$S$317,$A10,'Данные 1st'!$EX$2:$EX$317),"")</f>
        <v>61.666666666666664</v>
      </c>
      <c r="BV10" s="7">
        <f>IFERROR(AVERAGEIF('Данные 1st'!$S$2:$S$317,$A10,'Данные 1st'!$EY$2:$EY$317),"")</f>
        <v>2</v>
      </c>
      <c r="BW10" s="7">
        <f>IFERROR(AVERAGEIF('Данные 1st'!$S$2:$S$317,$A10,'Данные 1st'!$EZ$2:$EZ$317),"")</f>
        <v>4.333333333333333</v>
      </c>
      <c r="BX10" s="7">
        <f>IFERROR(AVERAGEIF('Данные 1st'!$S$2:$S$317,$A10,'Данные 1st'!$FA$2:$FA$317),"")</f>
        <v>1114.6666666666667</v>
      </c>
      <c r="BY10" s="7">
        <f>IFERROR(AVERAGEIF('Данные 1st'!$S$2:$S$317,$A10,'Данные 1st'!$FB$2:$FB$317),"")</f>
        <v>189.86666666666667</v>
      </c>
      <c r="BZ10" s="7">
        <f>IFERROR(AVERAGEIF('Данные 1st'!$S$2:$S$317,$A10,'Данные 1st'!$FC$2:$FC$317),"")</f>
        <v>211.66666666666666</v>
      </c>
      <c r="CA10" s="7">
        <f>IFERROR(AVERAGEIF('Данные 1st'!$S$2:$S$317,$A10,'Данные 1st'!$FE$2:$FE$317),"")</f>
        <v>0</v>
      </c>
      <c r="CB10" s="7">
        <f>IFERROR(AVERAGEIF('Данные 1st'!$S$2:$S$317,$A10,'Данные 1st'!$FF$2:$FF$317),"")</f>
        <v>2</v>
      </c>
      <c r="CC10" s="7">
        <f>IFERROR(AVERAGEIF('Данные 1st'!$S$2:$S$317,$A10,'Данные 1st'!$FI$2:$FI$317),"")</f>
        <v>0</v>
      </c>
      <c r="CD10" s="7">
        <f>IFERROR(AVERAGEIF('Данные 1st'!$S$2:$S$317,$A10,'Данные 1st'!$FL$2:$FL$317),"")</f>
        <v>0.5333333333333333</v>
      </c>
      <c r="CE10" s="7">
        <f>IFERROR(AVERAGEIF('Данные 1st'!$S$2:$S$317,$A10,'Данные 1st'!$FM$2:$FM$317),"")</f>
        <v>61.666666666666664</v>
      </c>
      <c r="CF10" s="7">
        <f>IFERROR(AVERAGEIF('Данные 1st'!$S$2:$S$317,$A10,'Данные 1st'!$FN$2:$FN$317),"")</f>
        <v>173.33333333333334</v>
      </c>
      <c r="CG10" s="7">
        <f>IFERROR(AVERAGEIF('Данные 1st'!$S$2:$S$317,$A10,'Данные 1st'!$FO$2:$FO$317),"")</f>
        <v>60</v>
      </c>
      <c r="CH10" s="7">
        <f>IFERROR(AVERAGEIF('Данные 1st'!$S$2:$S$317,$A10,'Данные 1st'!$FP$2:$FP$317),"")</f>
        <v>100</v>
      </c>
      <c r="CI10" s="7">
        <f>IFERROR(AVERAGEIF('Данные 1st'!$S$2:$S$317,$A10,'Данные 1st'!$FS$2:$FS$317),"")</f>
        <v>0.4</v>
      </c>
      <c r="CJ10" s="7">
        <f>IFERROR(AVERAGEIF('Данные 1st'!$S$2:$S$317,$A10,'Данные 1st'!$FT$2:$FT$317),"")</f>
        <v>87.5</v>
      </c>
      <c r="CK10" s="7">
        <f>IFERROR(AVERAGEIF('Данные 1st'!$S$2:$S$317,$A10,'Данные 1st'!$FU$2:$FU$317),"")</f>
        <v>200</v>
      </c>
      <c r="CL10" s="7">
        <f>IFERROR(AVERAGEIF('Данные 1st'!$S$2:$S$317,$A10,'Данные 1st'!$FV$2:$FV$317),"")</f>
        <v/>
      </c>
      <c r="CM10" s="7">
        <f>IFERROR(AVERAGEIF('Данные 1st'!$S$2:$S$317,$A10,'Данные 1st'!$FW$2:$FW$317),"")</f>
        <v/>
      </c>
      <c r="CN10" s="7">
        <f>IFERROR(AVERAGEIF('Данные 1st'!$S$2:$S$317,$A10,'Данные 1st'!$FZ$2:$FZ$317),"")</f>
        <v>1</v>
      </c>
      <c r="CO10" s="7">
        <f>IFERROR(AVERAGEIF('Данные 1st'!$S$2:$S$317,$A10,'Данные 1st'!$GA$2:$GA$317),"")</f>
        <v>20</v>
      </c>
      <c r="CP10" s="7">
        <f>IFERROR(AVERAGEIF('Данные 1st'!$S$2:$S$317,$A10,'Данные 1st'!$GB$2:$GB$317),"")</f>
        <v>146</v>
      </c>
      <c r="CQ10" s="7">
        <f>IFERROR(AVERAGEIF('Данные 1st'!$S$2:$S$317,$A10,'Данные 1st'!$GH$2:$GH$317),"")</f>
        <v>1</v>
      </c>
      <c r="CR10" s="7">
        <f>IFERROR(AVERAGEIF('Данные 1st'!$S$2:$S$317,$A10,'Данные 1st'!$GI$2:$GI$317),"")</f>
        <v>20</v>
      </c>
      <c r="CS10" s="7">
        <f>IFERROR(AVERAGEIF('Данные 1st'!$S$2:$S$317,$A10,'Данные 1st'!$GJ$2:$GJ$317),"")</f>
        <v>146</v>
      </c>
      <c r="CT10" s="7">
        <f>IFERROR(AVERAGEIF('Данные 1st'!$S$2:$S$317,$A10,'Данные 1st'!$GS$2:$GS$317),"")</f>
        <v/>
      </c>
      <c r="CU10" s="7">
        <f>IFERROR(AVERAGEIF('Данные 1st'!$S$2:$S$317,$A10,'Данные 1st'!$GT$2:$GT$317),"")</f>
        <v/>
      </c>
      <c r="CV10" s="7">
        <f>IFERROR(AVERAGEIF('Данные 1st'!$S$2:$S$317,$A10,'Данные 1st'!$GU$2:$GU$317),"")</f>
        <v/>
      </c>
      <c r="CW10" s="7">
        <f>IFERROR(AVERAGEIF('Данные 1st'!$S$2:$S$317,$A10,'Данные 1st'!$GV$2:$GV$317),"")</f>
        <v/>
      </c>
      <c r="CX10" s="7">
        <f>IFERROR(AVERAGEIF('Данные 1st'!$S$2:$S$317,$A10,'Данные 1st'!$GW$2:$GW$317),"")</f>
        <v/>
      </c>
      <c r="CY10" s="7">
        <f>IFERROR(AVERAGEIF('Данные 1st'!$S$2:$S$317,$A10,'Данные 1st'!$GZ$2:$GZ$317),"")</f>
        <v/>
      </c>
      <c r="CZ10" s="7">
        <f>IFERROR(AVERAGEIF('Данные 1st'!$S$2:$S$317,$A10,'Данные 1st'!$HA$2:$HA$317),"")</f>
        <v/>
      </c>
      <c r="DA10" s="7">
        <f>IFERROR(AVERAGEIF('Данные 1st'!$S$2:$S$317,$A10,'Данные 1st'!$HB$2:$HB$317),"")</f>
        <v/>
      </c>
      <c r="DB10" s="7">
        <f>IFERROR(AVERAGEIF('Данные 1st'!$S$2:$S$317,$A10,'Данные 1st'!$HC$2:$HC$317),"")</f>
        <v>0.1</v>
      </c>
      <c r="DC10" s="7">
        <f>IFERROR(AVERAGEIF('Данные 1st'!$S$2:$S$317,$A10,'Данные 1st'!$HD$2:$HD$317),"")</f>
        <v>3</v>
      </c>
      <c r="DD10" s="7">
        <f>IFERROR(AVERAGEIF('Данные 1st'!$S$2:$S$317,$A10,'Данные 1st'!$HE$2:$HE$317),"")</f>
        <v>3</v>
      </c>
      <c r="DE10" s="7">
        <f>IFERROR(AVERAGEIF('Данные 1st'!$S$2:$S$317,$A10,'Данные 1st'!$HF$2:$HF$317),"")</f>
        <v>3</v>
      </c>
      <c r="DF10" s="7">
        <f>IFERROR(AVERAGEIF('Данные 1st'!$S$2:$S$317,$A10,'Данные 1st'!$HG$2:$HG$317),"")</f>
        <v>3</v>
      </c>
      <c r="DG10" s="7">
        <f>IFERROR(AVERAGEIF('Данные 1st'!$S$2:$S$317,$A10,'Данные 1st'!$HH$2:$HH$317),"")</f>
        <v>3</v>
      </c>
      <c r="DH10" s="7">
        <f>IFERROR(AVERAGEIF('Данные 1st'!$S$2:$S$317,$A10,'Данные 1st'!$HI$2:$HI$317),"")</f>
        <v>128.33333333333334</v>
      </c>
      <c r="DI10" s="7">
        <f>IFERROR(AVERAGEIF('Данные 1st'!$S$2:$S$317,$A10,'Данные 1st'!$HJ$2:$HJ$317),"")</f>
        <v>3</v>
      </c>
      <c r="DJ10" s="7">
        <f>IFERROR(AVERAGEIF('Данные 1st'!$S$2:$S$317,$A10,'Данные 1st'!$HK$2:$HK$317),"")</f>
        <v>46.666666666666664</v>
      </c>
      <c r="DK10" s="7">
        <f>IFERROR(AVERAGEIF('Данные 1st'!$S$2:$S$317,$A10,'Данные 1st'!$HL$2:$HL$317),"")</f>
        <v>2</v>
      </c>
      <c r="DL10" s="7">
        <f>IFERROR(AVERAGEIF('Данные 1st'!$S$2:$S$317,$A10,'Данные 1st'!$HM$2:$HM$317),"")</f>
        <v>0</v>
      </c>
      <c r="DM10" s="7">
        <f>IFERROR(AVERAGEIF('Данные 1st'!$S$2:$S$317,$A10,'Данные 1st'!$HN$2:$HN$317),"")</f>
        <v>2</v>
      </c>
      <c r="DN10" s="7">
        <f>IFERROR(AVERAGEIF('Данные 1st'!$S$2:$S$317,$A10,'Данные 1st'!$HO$2:$HO$317),"")</f>
        <v>66.66666666666667</v>
      </c>
      <c r="DO10" s="7">
        <f>IFERROR(AVERAGEIF('Данные 1st'!$S$2:$S$317,$A10,'Данные 1st'!$HP$2:$HP$317),"")</f>
        <v>3</v>
      </c>
      <c r="DP10" s="7">
        <f>IFERROR(AVERAGEIF('Данные 1st'!$S$2:$S$317,$A10,'Данные 1st'!$HQ$2:$HQ$317),"")</f>
        <v>0</v>
      </c>
      <c r="DQ10" s="7">
        <f>IFERROR(AVERAGEIF('Данные 1st'!$S$2:$S$317,$A10,'Данные 1st'!$HR$2:$HR$317),"")</f>
        <v>2</v>
      </c>
      <c r="DR10" s="7">
        <f>IFERROR(AVERAGEIF('Данные 1st'!$S$2:$S$317,$A10,'Данные 1st'!$HS$2:$HS$317),"")</f>
        <v>3097</v>
      </c>
      <c r="DS10" s="7">
        <f>IFERROR(AVERAGEIF('Данные 1st'!$S$2:$S$317,$A10,'Данные 1st'!$HT$2:$HT$317),"")</f>
        <v>93.33333333333333</v>
      </c>
      <c r="DT10" s="7">
        <f>IFERROR(AVERAGEIF('Данные 1st'!$S$2:$S$317,$A10,'Данные 1st'!$HU$2:$HU$317),"")</f>
        <v>180</v>
      </c>
      <c r="DU10" s="7">
        <f>IFERROR(AVERAGEIF('Данные 1st'!$S$2:$S$317,$A10,'Данные 1st'!$HW$2:$HW$317),"")</f>
        <v>13.333333333333334</v>
      </c>
      <c r="DV10" s="7">
        <f>IFERROR(AVERAGEIF('Данные 1st'!$S$2:$S$317,$A10,'Данные 1st'!$HX$2:$HX$317),"")</f>
        <v>426.6666666666667</v>
      </c>
      <c r="DW10" s="7">
        <f>IFERROR(AVERAGEIF('Данные 1st'!$S$2:$S$317,$A10,'Данные 1st'!$HY$2:$HY$317),"")</f>
        <v>0.18</v>
      </c>
      <c r="DX10" s="7">
        <f>IFERROR(AVERAGEIF('Данные 1st'!$S$2:$S$317,$A10,'Данные 1st'!$IA$2:$IA$317),"")</f>
        <v>0.15</v>
      </c>
      <c r="DY10" s="7">
        <f>IFERROR(AVERAGEIF('Данные 1st'!$S$2:$S$317,$A10,'Данные 1st'!$IB$2:$IB$317),"")</f>
        <v>0</v>
      </c>
      <c r="DZ10" s="7">
        <f>IFERROR(AVERAGEIF('Данные 1st'!$S$2:$S$317,$A10,'Данные 1st'!$IC$2:$IC$317),"")</f>
        <v>180</v>
      </c>
      <c r="EA10" s="7">
        <f>IFERROR(AVERAGEIF('Данные 1st'!$S$2:$S$317,$A10,'Данные 1st'!$ID$2:$ID$317),"")</f>
        <v>110</v>
      </c>
      <c r="EB10" s="7">
        <f>IFERROR(AVERAGEIF('Данные 1st'!$S$2:$S$317,$A10,'Данные 1st'!$IE$2:$IE$317),"")</f>
        <v>0</v>
      </c>
      <c r="EC10" s="7">
        <f>IFERROR(AVERAGEIF('Данные 1st'!$S$2:$S$317,$A10,'Данные 1st'!$IF$2:$IF$317),"")</f>
        <v>0</v>
      </c>
      <c r="ED10" s="7">
        <f>IFERROR(AVERAGEIF('Данные 1st'!$S$2:$S$317,$A10,'Данные 1st'!$IP$2:$IP$317),"")</f>
        <v>15</v>
      </c>
      <c r="EE10" s="7">
        <f>IFERROR(AVERAGEIF('Данные 1st'!$S$2:$S$317,$A10,'Данные 1st'!$IV$2:$IV$317),"")</f>
        <v>1122</v>
      </c>
      <c r="EF10" s="7">
        <f>IFERROR(AVERAGEIF('Данные 1st'!$S$2:$S$317,$A10,'Данные 1st'!$IW$2:$IW$317),"")</f>
        <v>359.3333333333333</v>
      </c>
      <c r="EG10" s="7">
        <f>IFERROR(AVERAGEIF('Данные 1st'!$S$2:$S$317,$A10,'Данные 1st'!$IX$2:$IX$317),"")</f>
        <v/>
      </c>
      <c r="EH10" s="7">
        <f>IFERROR(AVERAGEIF('Данные 1st'!$S$2:$S$317,$A10,'Данные 1st'!$IY$2:$IY$317),"")</f>
        <v/>
      </c>
      <c r="EI10" s="7">
        <f>IFERROR(AVERAGEIF('Данные 1st'!$S$2:$S$317,$A10,'Данные 1st'!$JD$2:$JD$317),"")</f>
        <v>1137.6666666666667</v>
      </c>
      <c r="EJ10" s="7">
        <f>IFERROR(AVERAGEIF('Данные 1st'!$S$2:$S$317,$A10,'Данные 1st'!$JE$2:$JE$317),"")</f>
        <v>1134</v>
      </c>
      <c r="EK10" s="7">
        <f>IFERROR(AVERAGEIF('Данные 1st'!$S$2:$S$317,$A10,'Данные 1st'!$JF$2:$JF$317),"")</f>
        <v>0</v>
      </c>
      <c r="EL10" s="7">
        <f>IFERROR(AVERAGEIF('Данные 1st'!$S$2:$S$317,$A10,'Данные 1st'!$JG$2:$JG$317),"")</f>
        <v>1114.6666666666667</v>
      </c>
      <c r="EM10" s="7">
        <f>IFERROR(AVERAGEIF('Данные 1st'!$S$2:$S$317,$A10,'Данные 1st'!$JH$2:$JH$317),"")</f>
        <v>0</v>
      </c>
      <c r="EN10" s="7">
        <f>IFERROR(AVERAGEIF('Данные 1st'!$S$2:$S$317,$A10,'Данные 1st'!$JJ$2:$JJ$317),"")</f>
        <v>180</v>
      </c>
      <c r="EO10" s="7">
        <f>IFERROR(AVERAGEIF('Данные 1st'!$S$2:$S$317,$A10,'Данные 1st'!$JK$2:$JK$317),"")</f>
        <v>426.6666666666667</v>
      </c>
      <c r="EP10" s="7">
        <f>IFERROR(AVERAGEIF('Данные 1st'!$S$2:$S$317,$A10,'Данные 1st'!$JL$2:$JL$317),"")</f>
        <v/>
      </c>
      <c r="EQ10" s="7">
        <f>IFERROR(AVERAGEIF('Данные 1st'!$S$2:$S$317,$A10,'Данные 1st'!$JM$2:$JM$317),"")</f>
        <v/>
      </c>
      <c r="ER10" s="7">
        <f>IFERROR(AVERAGEIF('Данные 1st'!$S$2:$S$317,$A10,'Данные 1st'!$JN$2:$JN$317),"")</f>
        <v>333.3333333333333</v>
      </c>
      <c r="ES10" s="7">
        <f>IFERROR(AVERAGEIF('Данные 1st'!$S$2:$S$317,$A10,'Данные 1st'!$JO$2:$JO$317),"")</f>
        <v>565</v>
      </c>
      <c r="ET10" s="7">
        <f>IFERROR(AVERAGEIF('Данные 1st'!$S$2:$S$317,$A10,'Данные 1st'!$JP$2:$JP$317),"")</f>
        <v>0</v>
      </c>
      <c r="EU10" s="7">
        <f>IFERROR(AVERAGEIF('Данные 1st'!$S$2:$S$317,$A10,'Данные 1st'!$JQ$2:$JQ$317),"")</f>
        <v>0</v>
      </c>
      <c r="EV10" s="7">
        <f>IFERROR(AVERAGEIF('Данные 1st'!$S$2:$S$317,$A10,'Данные 1st'!$JR$2:$JR$317),"")</f>
        <v>330</v>
      </c>
      <c r="EW10" s="7">
        <f>IFERROR(AVERAGEIF('Данные 1st'!$S$2:$S$317,$A10,'Данные 1st'!$JS$2:$JS$317),"")</f>
        <v>128.33333333333334</v>
      </c>
      <c r="EX10" s="7">
        <f>IFERROR(AVERAGEIF('Данные 1st'!$S$2:$S$317,$A10,'Данные 1st'!$JT$2:$JT$317),"")</f>
        <v/>
      </c>
      <c r="EY10" s="7">
        <f>IFERROR(AVERAGEIF('Данные 1st'!$S$2:$S$317,$A10,'Данные 1st'!$JU$2:$JU$317),"")</f>
        <v/>
      </c>
      <c r="EZ10" s="7">
        <f>IFERROR(AVERAGEIF('Данные 1st'!$S$2:$S$317,$A10,'Данные 1st'!$JV$2:$JV$317),"")</f>
        <v>8</v>
      </c>
      <c r="FA10" s="7">
        <f>IFERROR(AVERAGEIF('Данные 1st'!$S$2:$S$317,$A10,'Данные 1st'!$JW$2:$JW$317),"")</f>
        <v/>
      </c>
      <c r="FB10" s="7">
        <f>IFERROR(AVERAGEIF('Данные 1st'!$S$2:$S$317,$A10,'Данные 1st'!$JX$2:$JX$317),"")</f>
        <v>132</v>
      </c>
      <c r="FC10" s="7">
        <f>IFERROR(AVERAGEIF('Данные 1st'!$S$2:$S$317,$A10,'Данные 1st'!$JY$2:$JY$317),"")</f>
        <v/>
      </c>
      <c r="FD10" s="7">
        <f>IFERROR(AVERAGEIF('Данные 1st'!$S$2:$S$317,$A10,'Данные 1st'!$JZ$2:$JZ$317),"")</f>
        <v/>
      </c>
      <c r="FE10" s="7">
        <f>IFERROR(AVERAGEIF('Данные 1st'!$S$2:$S$317,$A10,'Данные 1st'!$KA$2:$KA$317),"")</f>
        <v>0</v>
      </c>
      <c r="FF10" s="7">
        <f>IFERROR(AVERAGEIF('Данные 1st'!$S$2:$S$317,$A10,'Данные 1st'!$KB$2:$KB$317),"")</f>
        <v>110</v>
      </c>
      <c r="FG10" s="7">
        <f>IFERROR(AVERAGEIF('Данные 1st'!$S$2:$S$317,$A10,'Данные 1st'!$KC$2:$KC$317),"")</f>
        <v>0</v>
      </c>
      <c r="FH10" s="7">
        <f>IFERROR(AVERAGEIF('Данные 1st'!$S$2:$S$317,$A10,'Данные 1st'!$KD$2:$KD$317),"")</f>
        <v>80</v>
      </c>
      <c r="FI10" s="7">
        <f>IFERROR(AVERAGEIF('Данные 1st'!$S$2:$S$317,$A10,'Данные 1st'!$KE$2:$KE$317),"")</f>
        <v/>
      </c>
      <c r="FJ10" s="7">
        <f>IFERROR(AVERAGEIF('Данные 1st'!$S$2:$S$317,$A10,'Данные 1st'!$KF$2:$KF$317),"")</f>
        <v>4</v>
      </c>
      <c r="FK10" s="7">
        <f>IFERROR(AVERAGEIF('Данные 1st'!$S$2:$S$317,$A10,'Данные 1st'!$KG$2:$KG$317),"")</f>
        <v>3.3333333333333335</v>
      </c>
      <c r="FL10" s="7">
        <f>IFERROR(AVERAGEIF('Данные 1st'!$S$2:$S$317,$A10,'Данные 1st'!$KH$2:$KH$317),"")</f>
        <v>2</v>
      </c>
      <c r="FM10" s="7">
        <f>IFERROR(AVERAGEIF('Данные 1st'!$S$2:$S$317,$A10,'Данные 1st'!$KI$2:$KI$317),"")</f>
        <v>2</v>
      </c>
      <c r="FN10" s="7">
        <f>IFERROR(AVERAGEIF('Данные 1st'!$S$2:$S$317,$A10,'Данные 1st'!$KJ$2:$KJ$317),"")</f>
        <v>0</v>
      </c>
      <c r="FO10" s="7">
        <f>IFERROR(AVERAGEIF('Данные 1st'!$S$2:$S$317,$A10,'Данные 1st'!$KK$2:$KK$317),"")</f>
        <v>1.5</v>
      </c>
      <c r="FP10" s="7">
        <f>IFERROR(AVERAGEIF('Данные 1st'!$S$2:$S$317,$A10,'Данные 1st'!$KL$2:$KL$317),"")</f>
        <v>1.5</v>
      </c>
      <c r="FQ10" s="7">
        <f>IFERROR(AVERAGEIF('Данные 1st'!$S$2:$S$317,$A10,'Данные 1st'!$KM$2:$KM$317),"")</f>
        <v>0</v>
      </c>
      <c r="FR10" s="7">
        <f>IFERROR(AVERAGEIF('Данные 1st'!$S$2:$S$317,$A10,'Данные 1st'!$KN$2:$KN$317),"")</f>
        <v>0</v>
      </c>
      <c r="FS10" s="7">
        <f>IFERROR(AVERAGEIF('Данные 1st'!$S$2:$S$317,$A10,'Данные 1st'!$KR$2:$KR$317),"")</f>
        <v>36.666666666666664</v>
      </c>
      <c r="FT10" s="7">
        <f>IFERROR(AVERAGEIF('Данные 1st'!$S$2:$S$317,$A10,'Данные 1st'!$KS$2:$KS$317),"")</f>
        <v>60</v>
      </c>
      <c r="FU10" s="7">
        <f>IFERROR(AVERAGEIF('Данные 1st'!$S$2:$S$317,$A10,'Данные 1st'!$KT$2:$KT$317),"")</f>
        <v>0</v>
      </c>
      <c r="FV10" s="7">
        <f>IFERROR(AVERAGEIF('Данные 1st'!$S$2:$S$317,$A10,'Данные 1st'!$KV$2:$KV$317),"")</f>
        <v/>
      </c>
      <c r="FW10" s="7">
        <f>IFERROR(AVERAGEIF('Данные 1st'!$S$2:$S$317,$A10,'Данные 1st'!$KW$2:$KW$317),"")</f>
        <v/>
      </c>
      <c r="FX10" s="7">
        <f>IFERROR(AVERAGEIF('Данные 1st'!$S$2:$S$317,$A10,'Данные 1st'!$KX$2:$KX$317),"")</f>
        <v/>
      </c>
      <c r="FY10" s="7">
        <f>IFERROR(AVERAGEIF('Данные 1st'!$S$2:$S$317,$A10,'Данные 1st'!$KY$2:$KY$317),"")</f>
        <v/>
      </c>
      <c r="FZ10" s="7">
        <f>IFERROR(AVERAGEIF('Данные 1st'!$S$2:$S$317,$A10,'Данные 1st'!$KZ$2:$KZ$317),"")</f>
        <v/>
      </c>
      <c r="GA10" s="7">
        <f>IFERROR(AVERAGEIF('Данные 1st'!$S$2:$S$317,$A10,'Данные 1st'!$LA$2:$LA$317),"")</f>
        <v/>
      </c>
      <c r="GB10" s="7">
        <f>IFERROR(AVERAGEIF('Данные 1st'!$S$2:$S$317,$A10,'Данные 1st'!$LB$2:$LB$317),"")</f>
        <v/>
      </c>
      <c r="GC10" s="7">
        <f>IFERROR(AVERAGEIF('Данные 1st'!$S$2:$S$317,$A10,'Данные 1st'!$LC$2:$LC$317),"")</f>
        <v/>
      </c>
      <c r="GD10" s="7">
        <f>IFERROR(AVERAGEIF('Данные 1st'!$S$2:$S$317,$A10,'Данные 1st'!$LD$2:$LD$317),"")</f>
        <v/>
      </c>
      <c r="GE10" s="7">
        <f>IFERROR(AVERAGEIF('Данные 1st'!$S$2:$S$317,$A10,'Данные 1st'!$LE$2:$LE$317),"")</f>
        <v/>
      </c>
      <c r="GF10" s="7">
        <f>IFERROR(AVERAGEIF('Данные 1st'!$S$2:$S$317,$A10,'Данные 1st'!$LF$2:$LF$317),"")</f>
        <v/>
      </c>
      <c r="GG10" s="7">
        <f>IFERROR(AVERAGEIF('Данные 1st'!$S$2:$S$317,$A10,'Данные 1st'!$LG$2:$LG$317),"")</f>
        <v/>
      </c>
      <c r="GH10" s="7">
        <f>IFERROR(AVERAGEIF('Данные 1st'!$S$2:$S$317,$A10,'Данные 1st'!$LH$2:$LH$317),"")</f>
        <v/>
      </c>
      <c r="GI10" s="7">
        <f>IFERROR(AVERAGEIF('Данные 1st'!$S$2:$S$317,$A10,'Данные 1st'!$LI$2:$LI$317),"")</f>
        <v/>
      </c>
      <c r="GJ10" s="7">
        <f>IFERROR(AVERAGEIF('Данные 1st'!$S$2:$S$317,$A10,'Данные 1st'!$LJ$2:$LJ$317),"")</f>
        <v/>
      </c>
      <c r="GK10" s="7">
        <f>IFERROR(AVERAGEIF('Данные 1st'!$S$2:$S$317,$A10,'Данные 1st'!$LK$2:$LK$317),"")</f>
        <v>480</v>
      </c>
      <c r="GL10" s="7">
        <f>IFERROR(AVERAGEIF('Данные 1st'!$S$2:$S$317,$A10,'Данные 1st'!$LV$2:$LV$317),"")</f>
        <v/>
      </c>
      <c r="GM10" s="7">
        <f>IFERROR(AVERAGEIF('Данные 1st'!$S$2:$S$317,$A10,'Данные 1st'!$LW$2:$LW$317),"")</f>
        <v/>
      </c>
      <c r="GN10" s="7">
        <f>IFERROR(AVERAGEIF('Данные 1st'!$S$2:$S$317,$A10,'Данные 1st'!$LX$2:$LX$317),"")</f>
        <v>380</v>
      </c>
      <c r="GO10" s="7">
        <f>IFERROR(AVERAGEIF('Данные 1st'!$S$2:$S$317,$A10,'Данные 1st'!$LY$2:$LY$317),"")</f>
        <v>2</v>
      </c>
      <c r="GP10" s="7">
        <f>IFERROR(AVERAGEIF('Данные 1st'!$S$2:$S$317,$A10,'Данные 1st'!$LZ$2:$LZ$317),"")</f>
        <v/>
      </c>
      <c r="GQ10" s="7">
        <f>IFERROR(AVERAGEIF('Данные 1st'!$S$2:$S$317,$A10,'Данные 1st'!$PG$2:$PG$317),"")</f>
        <v>1</v>
      </c>
      <c r="GR10" s="7">
        <f>IFERROR(AVERAGEIF('Данные 1st'!$S$2:$S$317,$A10,'Данные 1st'!$PX$2:$PX$317),"")</f>
        <v>56</v>
      </c>
      <c r="GS10" s="7">
        <f>IFERROR(AVERAGEIF('Данные 1st'!$S$2:$S$317,$A10,'Данные 1st'!$PY$2:$PY$317),"")</f>
        <v>57</v>
      </c>
      <c r="GT10" s="7">
        <f>IFERROR(AVERAGEIF('Данные 1st'!$S$2:$S$317,$A10,'Данные 1st'!$QA$2:$QA$317),"")</f>
        <v>1.6666666666666667</v>
      </c>
      <c r="GU10" s="7">
        <f>IFERROR(AVERAGEIF('Данные 1st'!$S$2:$S$317,$A10,'Данные 1st'!$QB$2:$QB$317),"")</f>
        <v>1114.6666666666667</v>
      </c>
      <c r="GV10" s="7">
        <f>IFERROR(AVERAGEIF('Данные 1st'!$S$2:$S$317,$A10,'Данные 1st'!$QC$2:$QC$317),"")</f>
        <v>69</v>
      </c>
      <c r="GW10" s="7">
        <f>IFERROR(AVERAGEIF('Данные 1st'!$S$2:$S$317,$A10,'Данные 1st'!$QD$2:$QD$317),"")</f>
        <v>69</v>
      </c>
      <c r="GX10" s="7">
        <f>IFERROR(AVERAGEIF('Данные 1st'!$S$2:$S$317,$A10,'Данные 1st'!$QF$2:$QF$317),"")</f>
        <v>1</v>
      </c>
      <c r="GY10" s="7">
        <f>IFERROR(AVERAGEIF('Данные 1st'!$S$2:$S$317,$A10,'Данные 1st'!$QG$2:$QG$317),"")</f>
        <v>1137.6666666666667</v>
      </c>
      <c r="GZ10" s="7">
        <f>IFERROR(AVERAGEIF('Данные 1st'!$S$2:$S$317,$A10,'Данные 1st'!$QH$2:$QH$317),"")</f>
        <v>66</v>
      </c>
      <c r="HA10" s="7">
        <f>IFERROR(AVERAGEIF('Данные 1st'!$S$2:$S$317,$A10,'Данные 1st'!$QI$2:$QI$317),"")</f>
        <v>66</v>
      </c>
      <c r="HB10" s="7">
        <f>IFERROR(AVERAGEIF('Данные 1st'!$S$2:$S$317,$A10,'Данные 1st'!$QK$2:$QK$317),"")</f>
        <v>1</v>
      </c>
      <c r="HC10" s="7">
        <f>IFERROR(AVERAGEIF('Данные 1st'!$S$2:$S$317,$A10,'Данные 1st'!$QL$2:$QL$317),"")</f>
        <v>380.3333333333333</v>
      </c>
      <c r="HD10" s="7">
        <f>IFERROR(AVERAGEIF('Данные 1st'!$S$2:$S$317,$A10,'Данные 1st'!$QM$2:$QM$317),"")</f>
        <v>62.333333333333336</v>
      </c>
      <c r="HE10" s="7">
        <f>IFERROR(AVERAGEIF('Данные 1st'!$S$2:$S$317,$A10,'Данные 1st'!$QN$2:$QN$317),"")</f>
        <v>62.333333333333336</v>
      </c>
      <c r="HF10" s="7">
        <f>IFERROR(AVERAGEIF('Данные 1st'!$S$2:$S$317,$A10,'Данные 1st'!$QP$2:$QP$317),"")</f>
        <v>1</v>
      </c>
      <c r="HG10" s="7">
        <f>IFERROR(AVERAGEIF('Данные 1st'!$S$2:$S$317,$A10,'Данные 1st'!$QQ$2:$QQ$317),"")</f>
        <v>1134</v>
      </c>
      <c r="HH10" s="7">
        <f>IFERROR(AVERAGEIF('Данные 1st'!$S$2:$S$317,$A10,'Данные 1st'!$QR$2:$QR$317),"")</f>
        <v/>
      </c>
      <c r="HI10" s="7">
        <f>IFERROR(AVERAGEIF('Данные 1st'!$S$2:$S$317,$A10,'Данные 1st'!$QS$2:$QS$317),"")</f>
        <v/>
      </c>
      <c r="HJ10" s="7">
        <f>IFERROR(AVERAGEIF('Данные 1st'!$S$2:$S$317,$A10,'Данные 1st'!$QU$2:$QU$317),"")</f>
        <v/>
      </c>
      <c r="HK10" s="7">
        <f>IFERROR(AVERAGEIF('Данные 1st'!$S$2:$S$317,$A10,'Данные 1st'!$QV$2:$QV$317),"")</f>
        <v/>
      </c>
      <c r="HL10" s="7">
        <f>IFERROR(AVERAGEIF('Данные 1st'!$S$2:$S$317,$A10,'Данные 1st'!$QW$2:$QW$317),"")</f>
        <v>82</v>
      </c>
      <c r="HM10" s="7">
        <f>IFERROR(AVERAGEIF('Данные 1st'!$S$2:$S$317,$A10,'Данные 1st'!$QX$2:$QX$317),"")</f>
        <v>84</v>
      </c>
      <c r="HN10" s="7">
        <f>IFERROR(AVERAGEIF('Данные 1st'!$S$2:$S$317,$A10,'Данные 1st'!$QZ$2:$QZ$317),"")</f>
        <v>1.6666666666666667</v>
      </c>
      <c r="HO10" s="7">
        <f>IFERROR(AVERAGEIF('Данные 1st'!$S$2:$S$317,$A10,'Данные 1st'!$RA$2:$RA$317),"")</f>
        <v>66</v>
      </c>
      <c r="HP10" s="7">
        <f>IFERROR(AVERAGEIF('Данные 1st'!$S$2:$S$317,$A10,'Данные 1st'!$RB$2:$RB$317),"")</f>
        <v>66</v>
      </c>
      <c r="HQ10" s="7">
        <f>IFERROR(AVERAGEIF('Данные 1st'!$S$2:$S$317,$A10,'Данные 1st'!$RD$2:$RD$317),"")</f>
        <v/>
      </c>
      <c r="HR10" s="7">
        <f>IFERROR(AVERAGEIF('Данные 1st'!$S$2:$S$317,$A10,'Данные 1st'!$RE$2:$RE$317),"")</f>
        <v>0</v>
      </c>
      <c r="HS10" s="7">
        <f>IFERROR(AVERAGEIF('Данные 1st'!$S$2:$S$317,$A10,'Данные 1st'!$RF$2:$RF$317),"")</f>
        <v>1</v>
      </c>
      <c r="HT10" s="7">
        <f>IFERROR(AVERAGEIF('Данные 1st'!$S$2:$S$317,$A10,'Данные 1st'!$RG$2:$RG$317),"")</f>
        <v>1</v>
      </c>
      <c r="HU10" s="7">
        <f>IFERROR(AVERAGEIF('Данные 1st'!$S$2:$S$317,$A10,'Данные 1st'!$RH$2:$RH$317),"")</f>
        <v/>
      </c>
      <c r="HV10" s="7">
        <f>IFERROR(AVERAGEIF('Данные 1st'!$S$2:$S$317,$A10,'Данные 1st'!$RI$2:$RI$317),"")</f>
        <v/>
      </c>
      <c r="HW10" s="7">
        <f>IFERROR(AVERAGEIF('Данные 1st'!$S$2:$S$317,$A10,'Данные 1st'!$RJ$2:$RJ$317),"")</f>
        <v>2</v>
      </c>
      <c r="HX10" s="7">
        <f>IFERROR(AVERAGEIF('Данные 1st'!$S$2:$S$317,$A10,'Данные 1st'!$RK$2:$RK$317),"")</f>
        <v>2</v>
      </c>
      <c r="HY10" s="7">
        <f>IFERROR(AVERAGEIF('Данные 1st'!$S$2:$S$317,$A10,'Данные 1st'!$RL$2:$RL$317),"")</f>
        <v>3</v>
      </c>
      <c r="HZ10" s="7">
        <f>IFERROR(AVERAGEIF('Данные 1st'!$S$2:$S$317,$A10,'Данные 1st'!$RM$2:$RM$317),"")</f>
        <v/>
      </c>
      <c r="IA10" s="7">
        <f>IFERROR(AVERAGEIF('Данные 1st'!$S$2:$S$317,$A10,'Данные 1st'!$RN$2:$RN$317),"")</f>
        <v/>
      </c>
      <c r="IB10" s="7">
        <f>IFERROR(AVERAGEIF('Данные 1st'!$S$2:$S$317,$A10,'Данные 1st'!$RO$2:$RO$317),"")</f>
        <v>471.6666666666667</v>
      </c>
      <c r="IC10" s="7">
        <f>IFERROR(AVERAGEIF('Данные 1st'!$S$2:$S$317,$A10,'Данные 1st'!$RP$2:$RP$317),"")</f>
        <v>105</v>
      </c>
      <c r="ID10" s="7">
        <f>IFERROR(AVERAGEIF('Данные 1st'!$S$2:$S$317,$A10,'Данные 1st'!$RQ$2:$RQ$317),"")</f>
        <v>777.3333333333334</v>
      </c>
      <c r="IE10" s="7">
        <f>IFERROR(AVERAGEIF('Данные 1st'!$S$2:$S$317,$A10,'Данные 1st'!$RR$2:$RR$317),"")</f>
        <v/>
      </c>
      <c r="IF10" s="7">
        <f>IFERROR(AVERAGEIF('Данные 1st'!$S$2:$S$317,$A10,'Данные 1st'!$RS$2:$RS$317),"")</f>
        <v/>
      </c>
      <c r="IG10" s="7">
        <f>IFERROR(AVERAGEIF('Данные 1st'!$S$2:$S$317,$A10,'Данные 1st'!$RT$2:$RT$317),"")</f>
        <v>157</v>
      </c>
      <c r="IH10" s="7">
        <f>IFERROR(AVERAGEIF('Данные 1st'!$S$2:$S$317,$A10,'Данные 1st'!$RU$2:$RU$317),"")</f>
        <v>128.66666666666666</v>
      </c>
      <c r="II10" s="7">
        <f>IFERROR(AVERAGEIF('Данные 1st'!$S$2:$S$317,$A10,'Данные 1st'!$RX$2:$RX$317),"")</f>
        <v>15</v>
      </c>
      <c r="IJ10" s="7">
        <f>IFERROR(AVERAGEIF('Данные 1st'!$S$2:$S$317,$A10,'Данные 1st'!$RY$2:$RY$317),"")</f>
        <v>4</v>
      </c>
      <c r="IK10" s="7">
        <f>IFERROR(AVERAGEIF('Данные 1st'!$S$2:$S$317,$A10,'Данные 1st'!$SA$2:$SA$317),"")</f>
        <v>15</v>
      </c>
      <c r="IL10" s="7">
        <f>IFERROR(AVERAGEIF('Данные 1st'!$S$2:$S$317,$A10,'Данные 1st'!$SD$2:$SD$317),"")</f>
        <v>1</v>
      </c>
      <c r="IM10" s="7">
        <f>IFERROR(AVERAGEIF('Данные 1st'!$S$2:$S$317,$A10,'Данные 1st'!$SG$2:$SG$317),"")</f>
        <v/>
      </c>
      <c r="IN10" s="7">
        <f>IFERROR(AVERAGEIF('Данные 1st'!$S$2:$S$317,$A10,'Данные 1st'!$SH$2:$SH$317),"")</f>
        <v>0.995</v>
      </c>
      <c r="IO10" s="7">
        <f>IFERROR(AVERAGEIF('Данные 1st'!$S$2:$S$317,$A10,'Данные 1st'!$SI$2:$SI$317),"")</f>
        <v>0.995</v>
      </c>
      <c r="IP10" s="7">
        <f>IFERROR(AVERAGEIF('Данные 1st'!$S$2:$S$317,$A10,'Данные 1st'!$SJ$2:$SJ$317),"")</f>
        <v>0.995</v>
      </c>
      <c r="IQ10" s="7">
        <f>IFERROR(AVERAGEIF('Данные 1st'!$S$2:$S$317,$A10,'Данные 1st'!$SK$2:$SK$317),"")</f>
        <v>15</v>
      </c>
      <c r="IR10" s="7">
        <f>IFERROR(AVERAGEIF('Данные 1st'!$S$2:$S$317,$A10,'Данные 1st'!$SL$2:$SL$317),"")</f>
        <v>0</v>
      </c>
      <c r="IS10" s="7">
        <f>IFERROR(AVERAGEIF('Данные 1st'!$S$2:$S$317,$A10,'Данные 1st'!$SM$2:$SM$317),"")</f>
        <v>0</v>
      </c>
      <c r="IT10" s="7">
        <f>IFERROR(AVERAGEIF('Данные 1st'!$S$2:$S$317,$A10,'Данные 1st'!$SN$2:$SN$317),"")</f>
        <v>0</v>
      </c>
      <c r="IU10" s="7">
        <f>IFERROR(AVERAGEIF('Данные 1st'!$S$2:$S$317,$A10,'Данные 1st'!$SO$2:$SO$317),"")</f>
        <v>0</v>
      </c>
      <c r="IV10" s="7">
        <f>IFERROR(AVERAGEIF('Данные 1st'!$S$2:$S$317,$A10,'Данные 1st'!$SP$2:$SP$317),"")</f>
        <v>0</v>
      </c>
      <c r="IW10" s="7">
        <f>IFERROR(AVERAGEIF('Данные 1st'!$S$2:$S$317,$A10,'Данные 1st'!$SQ$2:$SQ$317),"")</f>
        <v>0</v>
      </c>
      <c r="IX10" s="7">
        <f>IFERROR(AVERAGEIF('Данные 1st'!$S$2:$S$317,$A10,'Данные 1st'!$SR$2:$SR$317),"")</f>
        <v>0</v>
      </c>
      <c r="IY10" s="7">
        <f>IFERROR(AVERAGEIF('Данные 1st'!$S$2:$S$317,$A10,'Данные 1st'!$SS$2:$SS$317),"")</f>
        <v>0</v>
      </c>
      <c r="IZ10" s="7">
        <f>IFERROR(AVERAGEIF('Данные 1st'!$S$2:$S$317,$A10,'Данные 1st'!$ST$2:$ST$317),"")</f>
        <v>0</v>
      </c>
      <c r="JA10" s="7">
        <f>IFERROR(AVERAGEIF('Данные 1st'!$S$2:$S$317,$A10,'Данные 1st'!$SU$2:$SU$317),"")</f>
        <v>0</v>
      </c>
      <c r="JB10" s="7">
        <f>IFERROR(AVERAGEIF('Данные 1st'!$S$2:$S$317,$A10,'Данные 1st'!$SV$2:$SV$317),"")</f>
        <v>0</v>
      </c>
      <c r="JC10" s="7">
        <f>IFERROR(AVERAGEIF('Данные 1st'!$S$2:$S$317,$A10,'Данные 1st'!$SW$2:$SW$317),"")</f>
        <v>0</v>
      </c>
      <c r="JD10" s="7">
        <f>IFERROR(AVERAGEIF('Данные 1st'!$S$2:$S$317,$A10,'Данные 1st'!$SX$2:$SX$317),"")</f>
        <v>0</v>
      </c>
      <c r="JE10" s="7">
        <f>IFERROR(AVERAGEIF('Данные 1st'!$S$2:$S$317,$A10,'Данные 1st'!$SY$2:$SY$317),"")</f>
        <v>1</v>
      </c>
      <c r="JF10" s="7">
        <f>IFERROR(AVERAGEIF('Данные 1st'!$S$2:$S$317,$A10,'Данные 1st'!$SZ$2:$SZ$317),"")</f>
        <v/>
      </c>
      <c r="JG10" s="7">
        <f>IFERROR(AVERAGEIF('Данные 1st'!$S$2:$S$317,$A10,'Данные 1st'!$TA$2:$TA$317),"")</f>
        <v/>
      </c>
      <c r="JH10" s="7">
        <f>IFERROR(AVERAGEIF('Данные 1st'!$S$2:$S$317,$A10,'Данные 1st'!$TB$2:$TB$317),"")</f>
        <v>0</v>
      </c>
      <c r="JI10" s="7">
        <f>IFERROR(AVERAGEIF('Данные 1st'!$S$2:$S$317,$A10,'Данные 1st'!$TC$2:$TC$317),"")</f>
        <v>0</v>
      </c>
      <c r="JJ10" s="7">
        <f>IFERROR(AVERAGEIF('Данные 1st'!$S$2:$S$317,$A10,'Данные 1st'!$TD$2:$TD$317),"")</f>
        <v>7.5</v>
      </c>
      <c r="JK10" s="7">
        <f>IFERROR(AVERAGEIF('Данные 1st'!$S$2:$S$317,$A10,'Данные 1st'!$TN$2:$TN$317),"")</f>
        <v>0</v>
      </c>
      <c r="JL10">
        <f>COUNTIF('Данные 2st'!$Q$2:$Q$317,$A10)</f>
        <v>3</v>
      </c>
      <c r="JM10" s="6" t="s">
        <v>5085</v>
      </c>
      <c r="JN10" s="6" t="s">
        <v>513</v>
      </c>
      <c r="JO10" s="6" t="s">
        <v>5125</v>
      </c>
      <c r="JP10" s="6" t="s">
        <v>5468</v>
      </c>
      <c r="JQ10" s="7">
        <f>IFERROR(AVERAGEIF('Данные 2st'!$Q$2:$Q$317,$A10,'Данные 2st'!$AC$2:$AC$317),"")</f>
        <v>10.333333333333334</v>
      </c>
      <c r="JR10" s="7">
        <f>IFERROR(AVERAGEIF('Данные 2st'!$Q$2:$Q$317,$A10,'Данные 2st'!$AF$2:$AF$317),"")</f>
        <v>3097</v>
      </c>
      <c r="JS10" s="7">
        <f>IFERROR(AVERAGEIF('Данные 2st'!$Q$2:$Q$317,$A10,'Данные 2st'!$AW$2:$AW$317),"")</f>
        <v>6.4</v>
      </c>
      <c r="JT10" s="7">
        <f>IFERROR(AVERAGEIF('Данные 2st'!$Q$2:$Q$317,$A10,'Данные 2st'!$AX$2:$AX$317),"")</f>
        <v>-6</v>
      </c>
      <c r="JU10" s="7">
        <f>IFERROR(AVERAGEIF('Данные 2st'!$Q$2:$Q$317,$A10,'Данные 2st'!$AY$2:$AY$317),"")</f>
        <v>85.33333333333333</v>
      </c>
      <c r="JV10" s="7">
        <f>IFERROR(AVERAGEIF('Данные 2st'!$Q$2:$Q$317,$A10,'Данные 2st'!$AZ$2:$AZ$317),"")</f>
        <v>73.66666666666667</v>
      </c>
      <c r="JW10" s="7">
        <f>IFERROR(AVERAGEIF('Данные 2st'!$Q$2:$Q$317,$A10,'Данные 2st'!$BA$2:$BA$317),"")</f>
        <v/>
      </c>
      <c r="JX10" s="7">
        <f>IFERROR(AVERAGEIF('Данные 2st'!$Q$2:$Q$317,$A10,'Данные 2st'!$BB$2:$BB$317),"")</f>
        <v/>
      </c>
      <c r="JY10" s="7">
        <f>IFERROR(AVERAGEIF('Данные 2st'!$Q$2:$Q$317,$A10,'Данные 2st'!$BC$2:$BC$317),"")</f>
        <v/>
      </c>
      <c r="JZ10" s="7">
        <f>IFERROR(AVERAGEIF('Данные 2st'!$Q$2:$Q$317,$A10,'Данные 2st'!$BH$2:$BH$317),"")</f>
        <v>85.33333333333333</v>
      </c>
      <c r="KA10" s="7">
        <f>IFERROR(AVERAGEIF('Данные 2st'!$Q$2:$Q$317,$A10,'Данные 2st'!$BI$2:$BI$317),"")</f>
        <v>11.666666666666666</v>
      </c>
      <c r="KB10" s="7">
        <f>IFERROR(AVERAGEIF('Данные 2st'!$Q$2:$Q$317,$A10,'Данные 2st'!$BJ$2:$BJ$317),"")</f>
        <v>73.66666666666667</v>
      </c>
      <c r="KC10" s="7">
        <f>IFERROR(AVERAGEIF('Данные 2st'!$Q$2:$Q$317,$A10,'Данные 2st'!$BK$2:$BK$317),"")</f>
        <v>2.8333333333333335</v>
      </c>
      <c r="KD10" s="7">
        <f>IFERROR(AVERAGEIF('Данные 2st'!$Q$2:$Q$317,$A10,'Данные 2st'!$BL$2:$BL$317),"")</f>
        <v>170.66666666666666</v>
      </c>
      <c r="KE10" s="7">
        <f>IFERROR(AVERAGEIF('Данные 2st'!$Q$2:$Q$317,$A10,'Данные 2st'!$BM$2:$BM$317),"")</f>
        <v>-6</v>
      </c>
      <c r="KF10" s="7">
        <f>IFERROR(AVERAGEIF('Данные 2st'!$Q$2:$Q$317,$A10,'Данные 2st'!$BN$2:$BN$317),"")</f>
        <v>0</v>
      </c>
      <c r="KG10" s="7">
        <f>IFERROR(AVERAGEIF('Данные 2st'!$Q$2:$Q$317,$A10,'Данные 2st'!$BO$2:$BO$317),"")</f>
        <v>0</v>
      </c>
      <c r="KH10" s="7">
        <f>IFERROR(AVERAGEIF('Данные 2st'!$Q$2:$Q$317,$A10,'Данные 2st'!$BP$2:$BP$317),"")</f>
        <v>0</v>
      </c>
      <c r="KI10" s="7">
        <f>IFERROR(AVERAGEIF('Данные 2st'!$Q$2:$Q$317,$A10,'Данные 2st'!$BR$2:$BR$317),"")</f>
        <v>165</v>
      </c>
      <c r="KJ10" s="7">
        <f>IFERROR(AVERAGEIF('Данные 2st'!$Q$2:$Q$317,$A10,'Данные 2st'!$BS$2:$BS$317),"")</f>
        <v>155</v>
      </c>
      <c r="KK10" s="7">
        <f>IFERROR(AVERAGEIF('Данные 2st'!$Q$2:$Q$317,$A10,'Данные 2st'!$BT$2:$BT$317),"")</f>
        <v>1738.3333333333333</v>
      </c>
      <c r="KL10" s="7">
        <f>IFERROR(AVERAGEIF('Данные 2st'!$Q$2:$Q$317,$A10,'Данные 2st'!$CV$2:$CV$317),"")</f>
        <v>106.66666666666667</v>
      </c>
      <c r="KM10" s="7">
        <f>IFERROR(AVERAGEIF('Данные 2st'!$Q$2:$Q$317,$A10,'Данные 2st'!$CW$2:$CW$317),"")</f>
        <v>3</v>
      </c>
      <c r="KN10" s="7">
        <f>IFERROR(AVERAGEIF('Данные 2st'!$Q$2:$Q$317,$A10,'Данные 2st'!$CX$2:$CX$317),"")</f>
        <v>75.66666666666667</v>
      </c>
      <c r="KO10" s="7">
        <f>IFERROR(AVERAGEIF('Данные 2st'!$Q$2:$Q$317,$A10,'Данные 2st'!$CY$2:$CY$317),"")</f>
        <v>5</v>
      </c>
      <c r="KP10" s="7">
        <f>IFERROR(AVERAGEIF('Данные 2st'!$Q$2:$Q$317,$A10,'Данные 2st'!$CZ$2:$CZ$317),"")</f>
        <v>81.33333333333333</v>
      </c>
      <c r="KQ10" s="7">
        <f>IFERROR(AVERAGEIF('Данные 2st'!$Q$2:$Q$317,$A10,'Данные 2st'!$DA$2:$DA$317),"")</f>
        <v>5</v>
      </c>
      <c r="KR10" s="7">
        <f>IFERROR(AVERAGEIF('Данные 2st'!$Q$2:$Q$317,$A10,'Данные 2st'!$DB$2:$DB$317),"")</f>
        <v>7390</v>
      </c>
      <c r="KS10" s="7">
        <f>IFERROR(AVERAGEIF('Данные 2st'!$Q$2:$Q$317,$A10,'Данные 2st'!$DC$2:$DC$317),"")</f>
        <v>183.33333333333334</v>
      </c>
      <c r="KT10" s="7">
        <f>IFERROR(AVERAGEIF('Данные 2st'!$Q$2:$Q$317,$A10,'Данные 2st'!$DD$2:$DD$317),"")</f>
        <v>276</v>
      </c>
      <c r="KU10" s="7">
        <f>IFERROR(AVERAGEIF('Данные 2st'!$Q$2:$Q$317,$A10,'Данные 2st'!$DE$2:$DE$317),"")</f>
        <v>1830.3333333333333</v>
      </c>
      <c r="KV10" s="7">
        <f>IFERROR(AVERAGEIF('Данные 2st'!$Q$2:$Q$317,$A10,'Данные 2st'!$DF$2:$DF$317),"")</f>
        <v>1828.6666666666667</v>
      </c>
      <c r="KW10" s="7">
        <f>IFERROR(AVERAGEIF('Данные 2st'!$Q$2:$Q$317,$A10,'Данные 2st'!$DG$2:$DG$317),"")</f>
        <v>1846</v>
      </c>
      <c r="KX10" s="7">
        <f>IFERROR(AVERAGEIF('Данные 2st'!$Q$2:$Q$317,$A10,'Данные 2st'!$DH$2:$DH$317),"")</f>
        <v>3</v>
      </c>
      <c r="KY10" s="7">
        <f>IFERROR(AVERAGEIF('Данные 2st'!$Q$2:$Q$317,$A10,'Данные 2st'!$DI$2:$DI$317),"")</f>
        <v/>
      </c>
      <c r="KZ10" s="7">
        <f>IFERROR(AVERAGEIF('Данные 2st'!$Q$2:$Q$317,$A10,'Данные 2st'!$DK$2:$DK$317),"")</f>
        <v>165</v>
      </c>
      <c r="LA10" s="7">
        <f>IFERROR(AVERAGEIF('Данные 2st'!$Q$2:$Q$317,$A10,'Данные 2st'!$DM$2:$DM$317),"")</f>
        <v>63.666666666666664</v>
      </c>
      <c r="LB10" s="7">
        <f>IFERROR(AVERAGEIF('Данные 2st'!$Q$2:$Q$317,$A10,'Данные 2st'!$DN$2:$DN$317),"")</f>
        <v>0.84</v>
      </c>
      <c r="LC10" s="7">
        <f>IFERROR(AVERAGEIF('Данные 2st'!$Q$2:$Q$317,$A10,'Данные 2st'!$DO$2:$DO$317),"")</f>
        <v>1</v>
      </c>
      <c r="LD10" s="7">
        <f>IFERROR(AVERAGEIF('Данные 2st'!$Q$2:$Q$317,$A10,'Данные 2st'!$DP$2:$DP$317),"")</f>
        <v>1741.3333333333333</v>
      </c>
      <c r="LE10" s="7">
        <f>IFERROR(AVERAGEIF('Данные 2st'!$Q$2:$Q$317,$A10,'Данные 2st'!$DQ$2:$DQ$317),"")</f>
        <v>525</v>
      </c>
      <c r="LF10" s="7">
        <f>IFERROR(AVERAGEIF('Данные 2st'!$Q$2:$Q$317,$A10,'Данные 2st'!$DS$2:$DS$317),"")</f>
        <v>155</v>
      </c>
      <c r="LG10" s="7">
        <f>IFERROR(AVERAGEIF('Данные 2st'!$Q$2:$Q$317,$A10,'Данные 2st'!$DU$2:$DU$317),"")</f>
        <v>63.666666666666664</v>
      </c>
      <c r="LH10" s="7">
        <f>IFERROR(AVERAGEIF('Данные 2st'!$Q$2:$Q$317,$A10,'Данные 2st'!$DV$2:$DV$317),"")</f>
        <v>0.84</v>
      </c>
      <c r="LI10" s="7">
        <f>IFERROR(AVERAGEIF('Данные 2st'!$Q$2:$Q$317,$A10,'Данные 2st'!$DW$2:$DW$317),"")</f>
        <v>1</v>
      </c>
      <c r="LJ10" s="7">
        <f>IFERROR(AVERAGEIF('Данные 2st'!$Q$2:$Q$317,$A10,'Данные 2st'!$DX$2:$DX$317),"")</f>
        <v>1748.3333333333333</v>
      </c>
      <c r="LK10" s="7">
        <f>IFERROR(AVERAGEIF('Данные 2st'!$Q$2:$Q$317,$A10,'Данные 2st'!$DY$2:$DY$317),"")</f>
        <v>495</v>
      </c>
      <c r="LL10" s="7">
        <f>IFERROR(AVERAGEIF('Данные 2st'!$Q$2:$Q$317,$A10,'Данные 2st'!$EA$2:$EA$317),"")</f>
        <v>33</v>
      </c>
      <c r="LM10" s="7">
        <f>IFERROR(AVERAGEIF('Данные 2st'!$Q$2:$Q$317,$A10,'Данные 2st'!$EC$2:$EC$317),"")</f>
        <v>0.4</v>
      </c>
      <c r="LN10" s="7">
        <f>IFERROR(AVERAGEIF('Данные 2st'!$Q$2:$Q$317,$A10,'Данные 2st'!$ED$2:$ED$317),"")</f>
        <v>1741.3333333333333</v>
      </c>
      <c r="LO10" s="7">
        <f>IFERROR(AVERAGEIF('Данные 2st'!$Q$2:$Q$317,$A10,'Данные 2st'!$EE$2:$EE$317),"")</f>
        <v>50.666666666666664</v>
      </c>
      <c r="LP10" s="7">
        <f>IFERROR(AVERAGEIF('Данные 2st'!$Q$2:$Q$317,$A10,'Данные 2st'!$EG$2:$EG$317),"")</f>
        <v>33</v>
      </c>
      <c r="LQ10" s="7">
        <f>IFERROR(AVERAGEIF('Данные 2st'!$Q$2:$Q$317,$A10,'Данные 2st'!$EI$2:$EI$317),"")</f>
        <v>0.4</v>
      </c>
      <c r="LR10" s="7">
        <f>IFERROR(AVERAGEIF('Данные 2st'!$Q$2:$Q$317,$A10,'Данные 2st'!$EJ$2:$EJ$317),"")</f>
        <v>1748.3333333333333</v>
      </c>
      <c r="LS10" s="7">
        <f>IFERROR(AVERAGEIF('Данные 2st'!$Q$2:$Q$317,$A10,'Данные 2st'!$EK$2:$EK$317),"")</f>
        <v>50.666666666666664</v>
      </c>
      <c r="LT10" s="7">
        <f>IFERROR(AVERAGEIF('Данные 2st'!$Q$2:$Q$317,$A10,'Данные 2st'!$EM$2:$EM$317),"")</f>
        <v>12</v>
      </c>
      <c r="LU10" s="7">
        <f>IFERROR(AVERAGEIF('Данные 2st'!$Q$2:$Q$317,$A10,'Данные 2st'!$EN$2:$EN$317),"")</f>
        <v>0.5</v>
      </c>
      <c r="LV10" s="7">
        <f>IFERROR(AVERAGEIF('Данные 2st'!$Q$2:$Q$317,$A10,'Данные 2st'!$EO$2:$EO$317),"")</f>
        <v>0.8333333333333334</v>
      </c>
      <c r="LW10" s="7">
        <f>IFERROR(AVERAGEIF('Данные 2st'!$Q$2:$Q$317,$A10,'Данные 2st'!$EP$2:$EP$317),"")</f>
        <v>1748.8933333333332</v>
      </c>
      <c r="LX10" s="7">
        <f>IFERROR(AVERAGEIF('Данные 2st'!$Q$2:$Q$317,$A10,'Данные 2st'!$EQ$2:$EQ$317),"")</f>
        <v>24955.91</v>
      </c>
      <c r="LY10" s="7">
        <f>IFERROR(AVERAGEIF('Данные 2st'!$Q$2:$Q$317,$A10,'Данные 2st'!$ER$2:$ER$317),"")</f>
        <v>3191.92</v>
      </c>
      <c r="LZ10" s="7">
        <f>IFERROR(AVERAGEIF('Данные 2st'!$Q$2:$Q$317,$A10,'Данные 2st'!$ES$2:$ES$317),"")</f>
        <v>0</v>
      </c>
      <c r="MA10" s="7">
        <f>IFERROR(AVERAGEIF('Данные 2st'!$Q$2:$Q$317,$A10,'Данные 2st'!$ET$2:$ET$317),"")</f>
        <v>0</v>
      </c>
      <c r="MB10" s="7">
        <f>IFERROR(AVERAGEIF('Данные 2st'!$Q$2:$Q$317,$A10,'Данные 2st'!$EU$2:$EU$317),"")</f>
        <v>1</v>
      </c>
      <c r="MC10" s="7">
        <f>IFERROR(AVERAGEIF('Данные 2st'!$Q$2:$Q$317,$A10,'Данные 2st'!$EV$2:$EV$317),"")</f>
        <v>28148.333333333332</v>
      </c>
      <c r="MD10" s="7">
        <f>IFERROR(AVERAGEIF('Данные 2st'!$Q$2:$Q$317,$A10,'Данные 2st'!$EW$2:$EW$317),"")</f>
        <v>302.3333333333333</v>
      </c>
      <c r="ME10" s="7">
        <f>IFERROR(AVERAGEIF('Данные 2st'!$Q$2:$Q$317,$A10,'Данные 2st'!$EY$2:$EY$317),"")</f>
        <v>177.33333333333334</v>
      </c>
      <c r="MF10" s="7">
        <f>IFERROR(AVERAGEIF('Данные 2st'!$Q$2:$Q$317,$A10,'Данные 2st'!$FA$2:$FA$317),"")</f>
        <v>5.0</v>
      </c>
      <c r="MG10" s="7">
        <f>IFERROR(AVERAGEIF('Данные 2st'!$Q$2:$Q$317,$A10,'Данные 2st'!$FB$2:$FB$317),"")</f>
        <v>1</v>
      </c>
      <c r="MH10" s="7">
        <f>IFERROR(AVERAGEIF('Данные 2st'!$Q$2:$Q$317,$A10,'Данные 2st'!$FC$2:$FC$317),"")</f>
        <v>1</v>
      </c>
      <c r="MI10" s="7">
        <f>IFERROR(AVERAGEIF('Данные 2st'!$Q$2:$Q$317,$A10,'Данные 2st'!$FD$2:$FD$317),"")</f>
        <v>1778.6666666666667</v>
      </c>
      <c r="MJ10" s="7">
        <f>IFERROR(AVERAGEIF('Данные 2st'!$Q$2:$Q$317,$A10,'Данные 2st'!$FE$2:$FE$317),"")</f>
        <v>1768.3333333333333</v>
      </c>
      <c r="MK10" s="7">
        <f>IFERROR(AVERAGEIF('Данные 2st'!$Q$2:$Q$317,$A10,'Данные 2st'!$FG$2:$FG$317),"")</f>
        <v>180.66666666666666</v>
      </c>
      <c r="ML10" s="7">
        <f>IFERROR(AVERAGEIF('Данные 2st'!$Q$2:$Q$317,$A10,'Данные 2st'!$FI$2:$FI$317),"")</f>
        <v>2.2666666666666666</v>
      </c>
      <c r="MM10" s="7">
        <f>IFERROR(AVERAGEIF('Данные 2st'!$Q$2:$Q$317,$A10,'Данные 2st'!$FJ$2:$FJ$317),"")</f>
        <v>1778.6666666666667</v>
      </c>
      <c r="MN10" s="7">
        <f>IFERROR(AVERAGEIF('Данные 2st'!$Q$2:$Q$317,$A10,'Данные 2st'!$FK$2:$FK$317),"")</f>
        <v>806</v>
      </c>
      <c r="MO10" s="7">
        <f>IFERROR(AVERAGEIF('Данные 2st'!$Q$2:$Q$317,$A10,'Данные 2st'!$FP$2:$FP$317),"")</f>
        <v>1778.6666666666667</v>
      </c>
      <c r="MP10" s="7">
        <f>IFERROR(AVERAGEIF('Данные 2st'!$Q$2:$Q$317,$A10,'Данные 2st'!$FQ$2:$FQ$317),"")</f>
        <v>135.33333333333334</v>
      </c>
      <c r="MQ10" s="7">
        <f>IFERROR(AVERAGEIF('Данные 2st'!$Q$2:$Q$317,$A10,'Данные 2st'!$FS$2:$FS$317),"")</f>
        <v>184.66666666666666</v>
      </c>
      <c r="MR10" s="7">
        <f>IFERROR(AVERAGEIF('Данные 2st'!$Q$2:$Q$317,$A10,'Данные 2st'!$FU$2:$FU$317),"")</f>
        <v>0.4</v>
      </c>
      <c r="MS10" s="7">
        <f>IFERROR(AVERAGEIF('Данные 2st'!$Q$2:$Q$317,$A10,'Данные 2st'!$FV$2:$FV$317),"")</f>
        <v>1778.6666666666667</v>
      </c>
      <c r="MT10" s="7">
        <f>IFERROR(AVERAGEIF('Данные 2st'!$Q$2:$Q$317,$A10,'Данные 2st'!$FW$2:$FW$317),"")</f>
        <v>145.66666666666666</v>
      </c>
      <c r="MU10" s="7">
        <f>IFERROR(AVERAGEIF('Данные 2st'!$Q$2:$Q$317,$A10,'Данные 2st'!$FY$2:$FY$317),"")</f>
        <v>10</v>
      </c>
      <c r="MV10" s="7">
        <f>IFERROR(AVERAGEIF('Данные 2st'!$Q$2:$Q$317,$A10,'Данные 2st'!$GB$2:$GB$317),"")</f>
        <v>1784</v>
      </c>
      <c r="MW10" s="7">
        <f>IFERROR(AVERAGEIF('Данные 2st'!$Q$2:$Q$317,$A10,'Данные 2st'!$GC$2:$GC$317),"")</f>
        <v>15</v>
      </c>
      <c r="MX10" s="7">
        <f>IFERROR(AVERAGEIF('Данные 2st'!$Q$2:$Q$317,$A10,'Данные 2st'!$GD$2:$GD$317),"")</f>
        <v>2865.3333333333335</v>
      </c>
      <c r="MY10" s="7">
        <f>IFERROR(AVERAGEIF('Данные 2st'!$Q$2:$Q$317,$A10,'Данные 2st'!$GN$2:$GN$317),"")</f>
        <v/>
      </c>
      <c r="MZ10" s="7">
        <f>IFERROR(AVERAGEIF('Данные 2st'!$Q$2:$Q$317,$A10,'Данные 2st'!$GQ$2:$GQ$317),"")</f>
        <v>0</v>
      </c>
      <c r="NA10" s="7">
        <f>IFERROR(AVERAGEIF('Данные 2st'!$Q$2:$Q$317,$A10,'Данные 2st'!$GV$2:$GV$317),"")</f>
        <v>7.666666666666667</v>
      </c>
      <c r="NB10" s="7">
        <f>IFERROR(AVERAGEIF('Данные 2st'!$Q$2:$Q$317,$A10,'Данные 2st'!$GW$2:$GW$317),"")</f>
        <v>9.0</v>
      </c>
      <c r="NC10" s="7">
        <f>IFERROR(AVERAGEIF('Данные 2st'!$Q$2:$Q$317,$A10,'Данные 2st'!$GX$2:$GX$317),"")</f>
        <v>0.5</v>
      </c>
      <c r="ND10" s="7">
        <f>IFERROR(AVERAGEIF('Данные 2st'!$Q$2:$Q$317,$A10,'Данные 2st'!$GY$2:$GY$317),"")</f>
        <v>149.33333333333334</v>
      </c>
      <c r="NE10" s="7">
        <f>IFERROR(AVERAGEIF('Данные 2st'!$Q$2:$Q$317,$A10,'Данные 2st'!$GZ$2:$GZ$317),"")</f>
        <v>3</v>
      </c>
      <c r="NF10" s="7">
        <f>IFERROR(AVERAGEIF('Данные 2st'!$Q$2:$Q$317,$A10,'Данные 2st'!$HA$2:$HA$317),"")</f>
        <v>199.33333333333334</v>
      </c>
      <c r="NG10" s="7">
        <f>IFERROR(AVERAGEIF('Данные 2st'!$Q$2:$Q$317,$A10,'Данные 2st'!$HB$2:$HB$317),"")</f>
        <v>3</v>
      </c>
      <c r="NH10" s="7">
        <f>IFERROR(AVERAGEIF('Данные 2st'!$Q$2:$Q$317,$A10,'Данные 2st'!$HC$2:$HC$317),"")</f>
        <v>1778.6666666666667</v>
      </c>
      <c r="NI10" s="7">
        <f>IFERROR(AVERAGEIF('Данные 2st'!$Q$2:$Q$317,$A10,'Данные 2st'!$HD$2:$HD$317),"")</f>
        <v>4</v>
      </c>
      <c r="NJ10" s="7">
        <f>IFERROR(AVERAGEIF('Данные 2st'!$Q$2:$Q$317,$A10,'Данные 2st'!$HM$2:$HM$317),"")</f>
        <v>15</v>
      </c>
      <c r="NK10" s="7">
        <f>IFERROR(AVERAGEIF('Данные 2st'!$Q$2:$Q$317,$A10,'Данные 2st'!$HR$2:$HR$317),"")</f>
        <v>1</v>
      </c>
      <c r="NL10" s="7">
        <f>IFERROR(AVERAGEIF('Данные 2st'!$Q$2:$Q$317,$A10,'Данные 2st'!$HS$2:$HS$317),"")</f>
        <v>1738.3333333333333</v>
      </c>
      <c r="NM10" s="7">
        <f>IFERROR(AVERAGEIF('Данные 2st'!$Q$2:$Q$317,$A10,'Данные 2st'!$HT$2:$HT$317),"")</f>
        <v>5</v>
      </c>
      <c r="NN10" s="7">
        <f>IFERROR(AVERAGEIF('Данные 2st'!$Q$2:$Q$317,$A10,'Данные 2st'!$HY$2:$HY$317),"")</f>
        <v>0</v>
      </c>
      <c r="NO10" s="7">
        <f>IFERROR(AVERAGEIF('Данные 2st'!$Q$2:$Q$317,$A10,'Данные 2st'!$HZ$2:$HZ$317),"")</f>
        <v>63.666666666666664</v>
      </c>
      <c r="NP10" s="7">
        <f>IFERROR(AVERAGEIF('Данные 2st'!$Q$2:$Q$317,$A10,'Данные 2st'!$IA$2:$IA$317),"")</f>
        <v>1741.3333333333333</v>
      </c>
      <c r="NQ10" s="7">
        <f>IFERROR(AVERAGEIF('Данные 2st'!$Q$2:$Q$317,$A10,'Данные 2st'!$IB$2:$IB$317),"")</f>
        <v>1748.3333333333333</v>
      </c>
      <c r="NR10" s="7">
        <f>IFERROR(AVERAGEIF('Данные 2st'!$Q$2:$Q$317,$A10,'Данные 2st'!$IC$2:$IC$317),"")</f>
        <v/>
      </c>
      <c r="NS10" s="7">
        <f>IFERROR(AVERAGEIF('Данные 2st'!$Q$2:$Q$317,$A10,'Данные 2st'!$ID$2:$ID$317),"")</f>
        <v>1778.6666666666667</v>
      </c>
      <c r="NT10" s="7">
        <f>IFERROR(AVERAGEIF('Данные 2st'!$Q$2:$Q$317,$A10,'Данные 2st'!$IE$2:$IE$317),"")</f>
        <v>1778.6666666666667</v>
      </c>
      <c r="NU10" s="7">
        <f>IFERROR(AVERAGEIF('Данные 2st'!$Q$2:$Q$317,$A10,'Данные 2st'!$IF$2:$IF$317),"")</f>
        <v>165</v>
      </c>
      <c r="NV10" s="7">
        <f>IFERROR(AVERAGEIF('Данные 2st'!$Q$2:$Q$317,$A10,'Данные 2st'!$IG$2:$IG$317),"")</f>
        <v>155</v>
      </c>
      <c r="NW10" s="7">
        <f>IFERROR(AVERAGEIF('Данные 2st'!$Q$2:$Q$317,$A10,'Данные 2st'!$IH$2:$IH$317),"")</f>
        <v>199.33333333333334</v>
      </c>
      <c r="NX10" s="7">
        <f>IFERROR(AVERAGEIF('Данные 2st'!$Q$2:$Q$317,$A10,'Данные 2st'!$IJ$2:$IJ$317),"")</f>
        <v>5</v>
      </c>
      <c r="NY10" s="7">
        <f>IFERROR(AVERAGEIF('Данные 2st'!$Q$2:$Q$317,$A10,'Данные 2st'!$IM$2:$IM$317),"")</f>
        <v>0</v>
      </c>
      <c r="NZ10" s="7">
        <f>IFERROR(AVERAGEIF('Данные 2st'!$Q$2:$Q$317,$A10,'Данные 2st'!$IN$2:$IN$317),"")</f>
        <v>270</v>
      </c>
      <c r="OA10" s="7">
        <f>IFERROR(AVERAGEIF('Данные 2st'!$Q$2:$Q$317,$A10,'Данные 2st'!$IO$2:$IO$317),"")</f>
        <v>0</v>
      </c>
      <c r="OB10" s="7">
        <f>IFERROR(AVERAGEIF('Данные 2st'!$Q$2:$Q$317,$A10,'Данные 2st'!$IP$2:$IP$317),"")</f>
        <v>180</v>
      </c>
      <c r="OC10" s="7">
        <f>IFERROR(AVERAGEIF('Данные 2st'!$Q$2:$Q$317,$A10,'Данные 2st'!$IQ$2:$IQ$317),"")</f>
        <v>0</v>
      </c>
      <c r="OD10" s="7">
        <f>IFERROR(AVERAGEIF('Данные 2st'!$Q$2:$Q$317,$A10,'Данные 2st'!$IR$2:$IR$317),"")</f>
        <v>316.6666666666667</v>
      </c>
      <c r="OE10" s="7">
        <f>IFERROR(AVERAGEIF('Данные 2st'!$Q$2:$Q$317,$A10,'Данные 2st'!$IT$2:$IT$317),"")</f>
        <v>90</v>
      </c>
      <c r="OF10" s="7">
        <f>IFERROR(AVERAGEIF('Данные 2st'!$Q$2:$Q$317,$A10,'Данные 2st'!$IU$2:$IU$317),"")</f>
        <v>0</v>
      </c>
      <c r="OG10" s="7">
        <f>IFERROR(AVERAGEIF('Данные 2st'!$Q$2:$Q$317,$A10,'Данные 2st'!$IV$2:$IV$317),"")</f>
        <v>6.4</v>
      </c>
      <c r="OH10" s="7">
        <f>IFERROR(AVERAGEIF('Данные 2st'!$Q$2:$Q$317,$A10,'Данные 2st'!$IW$2:$IW$317),"")</f>
        <v>-6</v>
      </c>
      <c r="OI10" s="7">
        <f>IFERROR(AVERAGEIF('Данные 2st'!$Q$2:$Q$317,$A10,'Данные 2st'!$IX$2:$IX$317),"")</f>
        <v>85.33333333333333</v>
      </c>
      <c r="OJ10" s="7">
        <f>IFERROR(AVERAGEIF('Данные 2st'!$Q$2:$Q$317,$A10,'Данные 2st'!$IY$2:$IY$317),"")</f>
        <v>73.66666666666667</v>
      </c>
      <c r="OK10" s="7">
        <f>IFERROR(AVERAGEIF('Данные 2st'!$Q$2:$Q$317,$A10,'Данные 2st'!$IZ$2:$IZ$317),"")</f>
        <v>0</v>
      </c>
      <c r="OL10" s="7">
        <f>IFERROR(AVERAGEIF('Данные 2st'!$Q$2:$Q$317,$A10,'Данные 2st'!$JA$2:$JA$317),"")</f>
        <v>0</v>
      </c>
      <c r="OM10" s="7">
        <f>IFERROR(AVERAGEIF('Данные 2st'!$Q$2:$Q$317,$A10,'Данные 2st'!$JB$2:$JB$317),"")</f>
        <v>0</v>
      </c>
      <c r="ON10" s="7">
        <f>IFERROR(AVERAGEIF('Данные 2st'!$Q$2:$Q$317,$A10,'Данные 2st'!$JC$2:$JC$317),"")</f>
        <v>0</v>
      </c>
      <c r="OO10" s="7">
        <f>IFERROR(AVERAGEIF('Данные 2st'!$Q$2:$Q$317,$A10,'Данные 2st'!$JD$2:$JD$317),"")</f>
        <v>0</v>
      </c>
      <c r="OP10" s="7">
        <f>IFERROR(AVERAGEIF('Данные 2st'!$Q$2:$Q$317,$A10,'Данные 2st'!$JE$2:$JE$317),"")</f>
        <v>0</v>
      </c>
      <c r="OQ10" s="7">
        <f>IFERROR(AVERAGEIF('Данные 2st'!$Q$2:$Q$317,$A10,'Данные 2st'!$JF$2:$JF$317),"")</f>
        <v>0</v>
      </c>
      <c r="OR10" s="7">
        <f>IFERROR(AVERAGEIF('Данные 2st'!$Q$2:$Q$317,$A10,'Данные 2st'!$JG$2:$JG$317),"")</f>
        <v>0</v>
      </c>
      <c r="OS10" s="7">
        <f>IFERROR(AVERAGEIF('Данные 2st'!$Q$2:$Q$317,$A10,'Данные 2st'!$JH$2:$JH$317),"")</f>
        <v>0</v>
      </c>
      <c r="OT10" s="7">
        <f>IFERROR(AVERAGEIF('Данные 2st'!$Q$2:$Q$317,$A10,'Данные 2st'!$JI$2:$JI$317),"")</f>
        <v>326.6666666666667</v>
      </c>
      <c r="OU10" s="7">
        <f>IFERROR(AVERAGEIF('Данные 2st'!$Q$2:$Q$317,$A10,'Данные 2st'!$JJ$2:$JJ$317),"")</f>
        <v>290</v>
      </c>
      <c r="OV10" s="7">
        <f>IFERROR(AVERAGEIF('Данные 2st'!$Q$2:$Q$317,$A10,'Данные 2st'!$JK$2:$JK$317),"")</f>
        <v>223.66666666666666</v>
      </c>
      <c r="OW10" s="7">
        <f>IFERROR(AVERAGEIF('Данные 2st'!$Q$2:$Q$317,$A10,'Данные 2st'!$JL$2:$JL$317),"")</f>
        <v>287.3333333333333</v>
      </c>
      <c r="OX10" s="7">
        <f>IFERROR(AVERAGEIF('Данные 2st'!$Q$2:$Q$317,$A10,'Данные 2st'!$JM$2:$JM$317),"")</f>
        <v>228.33333333333334</v>
      </c>
      <c r="OY10" s="7">
        <f>IFERROR(AVERAGEIF('Данные 2st'!$Q$2:$Q$317,$A10,'Данные 2st'!$JP$2:$JP$317),"")</f>
        <v>216.33333333333334</v>
      </c>
      <c r="OZ10" s="7">
        <f>IFERROR(AVERAGEIF('Данные 2st'!$Q$2:$Q$317,$A10,'Данные 2st'!$JQ$2:$JQ$317),"")</f>
        <v>253.66666666666666</v>
      </c>
      <c r="PA10" s="7">
        <f>IFERROR(AVERAGEIF('Данные 2st'!$Q$2:$Q$317,$A10,'Данные 2st'!$JR$2:$JR$317),"")</f>
        <v>344</v>
      </c>
      <c r="PB10" s="7">
        <f>IFERROR(AVERAGEIF('Данные 2st'!$Q$2:$Q$317,$A10,'Данные 2st'!$JS$2:$JS$317),"")</f>
        <v>270</v>
      </c>
      <c r="PC10" s="7">
        <f>IFERROR(AVERAGEIF('Данные 2st'!$Q$2:$Q$317,$A10,'Данные 2st'!$JT$2:$JT$317),"")</f>
        <v>0</v>
      </c>
      <c r="PD10" s="7">
        <f>IFERROR(AVERAGEIF('Данные 2st'!$Q$2:$Q$317,$A10,'Данные 2st'!$JU$2:$JU$317),"")</f>
        <v>0</v>
      </c>
      <c r="PE10" s="7">
        <f>IFERROR(AVERAGEIF('Данные 2st'!$Q$2:$Q$317,$A10,'Данные 2st'!$JV$2:$JV$317),"")</f>
        <v>335</v>
      </c>
      <c r="PF10" s="7">
        <f>IFERROR(AVERAGEIF('Данные 2st'!$Q$2:$Q$317,$A10,'Данные 2st'!$JW$2:$JW$317),"")</f>
        <v>337</v>
      </c>
      <c r="PG10" s="7">
        <f>IFERROR(AVERAGEIF('Данные 2st'!$Q$2:$Q$317,$A10,'Данные 2st'!$KF$2:$KF$317),"")</f>
        <v>0.19333333333333333</v>
      </c>
      <c r="PH10" s="7">
        <f>IFERROR(AVERAGEIF('Данные 2st'!$Q$2:$Q$317,$A10,'Данные 2st'!$KG$2:$KG$317),"")</f>
        <v>0.1</v>
      </c>
      <c r="PI10" s="7">
        <f>IFERROR(AVERAGEIF('Данные 2st'!$Q$2:$Q$317,$A10,'Данные 2st'!$KM$2:$KM$317),"")</f>
        <v>0.6666666666666666</v>
      </c>
      <c r="PJ10" s="7">
        <f>IFERROR(AVERAGEIF('Данные 2st'!$Q$2:$Q$317,$A10,'Данные 2st'!$KN$2:$KN$317),"")</f>
        <v>1</v>
      </c>
      <c r="PK10" s="7">
        <f>IFERROR(AVERAGEIF('Данные 2st'!$Q$2:$Q$317,$A10,'Данные 2st'!$KO$2:$KO$317),"")</f>
        <v>0</v>
      </c>
      <c r="PL10" s="7">
        <f>IFERROR(AVERAGEIF('Данные 2st'!$Q$2:$Q$317,$A10,'Данные 2st'!$KP$2:$KP$317),"")</f>
        <v>0</v>
      </c>
      <c r="PM10" s="7">
        <f>IFERROR(AVERAGEIF('Данные 2st'!$Q$2:$Q$317,$A10,'Данные 2st'!$KQ$2:$KQ$317),"")</f>
        <v>0.7666666666666667</v>
      </c>
      <c r="PN10" s="7">
        <f>IFERROR(AVERAGEIF('Данные 2st'!$Q$2:$Q$317,$A10,'Данные 2st'!$KR$2:$KR$317),"")</f>
        <v>0.8333333333333334</v>
      </c>
      <c r="PO10" s="7">
        <f>IFERROR(AVERAGEIF('Данные 2st'!$Q$2:$Q$317,$A10,'Данные 2st'!$KS$2:$KS$317),"")</f>
        <v>0</v>
      </c>
      <c r="PP10" s="7">
        <f>IFERROR(AVERAGEIF('Данные 2st'!$Q$2:$Q$317,$A10,'Данные 2st'!$KT$2:$KT$317),"")</f>
        <v>1.6</v>
      </c>
      <c r="PQ10" s="7">
        <f>IFERROR(AVERAGEIF('Данные 2st'!$Q$2:$Q$317,$A10,'Данные 2st'!$KU$2:$KU$317),"")</f>
        <v>0</v>
      </c>
      <c r="PR10" s="7">
        <f>IFERROR(AVERAGEIF('Данные 2st'!$Q$2:$Q$317,$A10,'Данные 2st'!$KV$2:$KV$317),"")</f>
        <v>0</v>
      </c>
      <c r="PS10" s="7">
        <f>IFERROR(AVERAGEIF('Данные 2st'!$Q$2:$Q$317,$A10,'Данные 2st'!$KW$2:$KW$317),"")</f>
        <v>1.2666666666666666</v>
      </c>
      <c r="PT10" s="7">
        <f>IFERROR(AVERAGEIF('Данные 2st'!$Q$2:$Q$317,$A10,'Данные 2st'!$KX$2:$KX$317),"")</f>
        <v>2</v>
      </c>
      <c r="PU10" s="7">
        <f>IFERROR(AVERAGEIF('Данные 2st'!$Q$2:$Q$317,$A10,'Данные 2st'!$KY$2:$KY$317),"")</f>
        <v>0</v>
      </c>
      <c r="PV10" s="7">
        <f>IFERROR(AVERAGEIF('Данные 2st'!$Q$2:$Q$317,$A10,'Данные 2st'!$KZ$2:$KZ$317),"")</f>
        <v>0</v>
      </c>
      <c r="PW10" s="7">
        <f>IFERROR(AVERAGEIF('Данные 2st'!$Q$2:$Q$317,$A10,'Данные 2st'!$LA$2:$LA$317),"")</f>
        <v>0</v>
      </c>
      <c r="PX10" s="7">
        <f>IFERROR(AVERAGEIF('Данные 2st'!$Q$2:$Q$317,$A10,'Данные 2st'!$LB$2:$LB$317),"")</f>
        <v>0</v>
      </c>
      <c r="PY10" s="7">
        <f>IFERROR(AVERAGEIF('Данные 2st'!$Q$2:$Q$317,$A10,'Данные 2st'!$LC$2:$LC$317),"")</f>
        <v>0</v>
      </c>
      <c r="PZ10" s="7">
        <f>IFERROR(AVERAGEIF('Данные 2st'!$Q$2:$Q$317,$A10,'Данные 2st'!$LD$2:$LD$317),"")</f>
        <v>0</v>
      </c>
      <c r="QA10" s="7">
        <f>IFERROR(AVERAGEIF('Данные 2st'!$Q$2:$Q$317,$A10,'Данные 2st'!$LE$2:$LE$317),"")</f>
        <v>0</v>
      </c>
      <c r="QB10" s="7">
        <f>IFERROR(AVERAGEIF('Данные 2st'!$Q$2:$Q$317,$A10,'Данные 2st'!$LF$2:$LF$317),"")</f>
        <v>0</v>
      </c>
      <c r="QC10" s="7">
        <f>IFERROR(AVERAGEIF('Данные 2st'!$Q$2:$Q$317,$A10,'Данные 2st'!$LG$2:$LG$317),"")</f>
        <v>0</v>
      </c>
      <c r="QD10" s="7">
        <f>IFERROR(AVERAGEIF('Данные 2st'!$Q$2:$Q$317,$A10,'Данные 2st'!$LH$2:$LH$317),"")</f>
        <v>2.8666666666666667</v>
      </c>
      <c r="QE10" s="7">
        <f>IFERROR(AVERAGEIF('Данные 2st'!$Q$2:$Q$317,$A10,'Данные 2st'!$LJ$2:$LJ$317),"")</f>
        <v>0</v>
      </c>
      <c r="QF10" s="7">
        <f>IFERROR(AVERAGEIF('Данные 2st'!$Q$2:$Q$317,$A10,'Данные 2st'!$LK$2:$LK$317),"")</f>
        <v>4.666666666666667</v>
      </c>
      <c r="QG10" s="7">
        <f>IFERROR(AVERAGEIF('Данные 2st'!$Q$2:$Q$317,$A10,'Данные 2st'!$LL$2:$LL$317),"")</f>
        <v>2.6666666666666665</v>
      </c>
      <c r="QH10" s="7">
        <f>IFERROR(AVERAGEIF('Данные 2st'!$Q$2:$Q$317,$A10,'Данные 2st'!$LM$2:$LM$317),"")</f>
        <v>6.666666666666667</v>
      </c>
      <c r="QI10" s="7">
        <f>IFERROR(AVERAGEIF('Данные 2st'!$Q$2:$Q$317,$A10,'Данные 2st'!$LN$2:$LN$317),"")</f>
        <v>0.43333333333333335</v>
      </c>
      <c r="QJ10" s="7">
        <f>IFERROR(AVERAGEIF('Данные 2st'!$Q$2:$Q$317,$A10,'Данные 2st'!$LO$2:$LO$317),"")</f>
        <v>0.23333333333333334</v>
      </c>
      <c r="QK10" s="7">
        <f>IFERROR(AVERAGEIF('Данные 2st'!$Q$2:$Q$317,$A10,'Данные 2st'!$LP$2:$LP$317),"")</f>
        <v>0</v>
      </c>
      <c r="QL10" s="7">
        <f>IFERROR(AVERAGEIF('Данные 2st'!$Q$2:$Q$317,$A10,'Данные 2st'!$LQ$2:$LQ$317),"")</f>
        <v>0</v>
      </c>
      <c r="QM10" s="7">
        <f>IFERROR(AVERAGEIF('Данные 2st'!$Q$2:$Q$317,$A10,'Данные 2st'!$LW$2:$LW$317),"")</f>
        <v>1.4</v>
      </c>
      <c r="QN10" s="7">
        <f>IFERROR(AVERAGEIF('Данные 2st'!$Q$2:$Q$317,$A10,'Данные 2st'!$LX$2:$LX$317),"")</f>
        <v>1.4</v>
      </c>
      <c r="QO10" s="7">
        <f>IFERROR(AVERAGEIF('Данные 2st'!$Q$2:$Q$317,$A10,'Данные 2st'!$LY$2:$LY$317),"")</f>
        <v>2.1</v>
      </c>
      <c r="QP10" s="7">
        <f>IFERROR(AVERAGEIF('Данные 2st'!$Q$2:$Q$317,$A10,'Данные 2st'!$LZ$2:$LZ$317),"")</f>
        <v>2.1</v>
      </c>
      <c r="QQ10" s="7">
        <f>IFERROR(AVERAGEIF('Данные 2st'!$Q$2:$Q$317,$A10,'Данные 2st'!$MB$2:$MB$317),"")</f>
        <v>0</v>
      </c>
      <c r="QR10" s="7">
        <f>IFERROR(AVERAGEIF('Данные 2st'!$Q$2:$Q$317,$A10,'Данные 2st'!$MG$2:$MG$317),"")</f>
        <v>0</v>
      </c>
      <c r="QS10" s="7">
        <f>IFERROR(AVERAGEIF('Данные 2st'!$Q$2:$Q$317,$A10,'Данные 2st'!$MH$2:$MH$317),"")</f>
        <v>0</v>
      </c>
      <c r="QT10" s="7">
        <f>IFERROR(AVERAGEIF('Данные 2st'!$Q$2:$Q$317,$A10,'Данные 2st'!$MI$2:$MI$317),"")</f>
        <v>0</v>
      </c>
      <c r="QU10" s="7">
        <f>IFERROR(AVERAGEIF('Данные 2st'!$Q$2:$Q$317,$A10,'Данные 2st'!$MJ$2:$MJ$317),"")</f>
        <v>0</v>
      </c>
      <c r="QV10" s="7">
        <f>IFERROR(AVERAGEIF('Данные 2st'!$Q$2:$Q$317,$A10,'Данные 2st'!$MK$2:$MK$317),"")</f>
        <v>0</v>
      </c>
      <c r="QW10" s="7">
        <f>IFERROR(AVERAGEIF('Данные 2st'!$Q$2:$Q$317,$A10,'Данные 2st'!$MM$2:$MM$317),"")</f>
        <v>342</v>
      </c>
      <c r="QX10" s="7">
        <f>IFERROR(AVERAGEIF('Данные 2st'!$Q$2:$Q$317,$A10,'Данные 2st'!$MQ$2:$MQ$317),"")</f>
        <v/>
      </c>
      <c r="QY10" s="7">
        <f>IFERROR(AVERAGEIF('Данные 2st'!$Q$2:$Q$317,$A10,'Данные 2st'!$MR$2:$MR$317),"")</f>
        <v/>
      </c>
      <c r="QZ10" s="7">
        <f>IFERROR(AVERAGEIF('Данные 2st'!$Q$2:$Q$317,$A10,'Данные 2st'!$MS$2:$MS$317),"")</f>
        <v/>
      </c>
      <c r="RA10" s="7">
        <f>IFERROR(AVERAGEIF('Данные 2st'!$Q$2:$Q$317,$A10,'Данные 2st'!$MT$2:$MT$317),"")</f>
        <v/>
      </c>
      <c r="RB10" s="7">
        <f>IFERROR(AVERAGEIF('Данные 2st'!$Q$2:$Q$317,$A10,'Данные 2st'!$MU$2:$MU$317),"")</f>
        <v/>
      </c>
      <c r="RC10" s="7">
        <f>IFERROR(AVERAGEIF('Данные 2st'!$Q$2:$Q$317,$A10,'Данные 2st'!$MV$2:$MV$317),"")</f>
        <v/>
      </c>
      <c r="RD10" s="7">
        <f>IFERROR(AVERAGEIF('Данные 2st'!$Q$2:$Q$317,$A10,'Данные 2st'!$MW$2:$MW$317),"")</f>
        <v/>
      </c>
      <c r="RE10" s="7">
        <f>IFERROR(AVERAGEIF('Данные 2st'!$Q$2:$Q$317,$A10,'Данные 2st'!$MX$2:$MX$317),"")</f>
        <v/>
      </c>
      <c r="RF10" s="7">
        <f>IFERROR(AVERAGEIF('Данные 2st'!$Q$2:$Q$317,$A10,'Данные 2st'!$MY$2:$MY$317),"")</f>
        <v/>
      </c>
      <c r="RG10" s="7">
        <f>IFERROR(AVERAGEIF('Данные 2st'!$Q$2:$Q$317,$A10,'Данные 2st'!$MZ$2:$MZ$317),"")</f>
        <v/>
      </c>
      <c r="RH10" s="7">
        <f>IFERROR(AVERAGEIF('Данные 2st'!$Q$2:$Q$317,$A10,'Данные 2st'!$NA$2:$NA$317),"")</f>
        <v/>
      </c>
      <c r="RI10" s="7">
        <f>IFERROR(AVERAGEIF('Данные 2st'!$Q$2:$Q$317,$A10,'Данные 2st'!$NB$2:$NB$317),"")</f>
        <v/>
      </c>
      <c r="RJ10" s="7">
        <f>IFERROR(AVERAGEIF('Данные 2st'!$Q$2:$Q$317,$A10,'Данные 2st'!$NC$2:$NC$317),"")</f>
        <v/>
      </c>
      <c r="RK10" s="7">
        <f>IFERROR(AVERAGEIF('Данные 2st'!$Q$2:$Q$317,$A10,'Данные 2st'!$ND$2:$ND$317),"")</f>
        <v/>
      </c>
      <c r="RL10" s="7">
        <f>IFERROR(AVERAGEIF('Данные 2st'!$Q$2:$Q$317,$A10,'Данные 2st'!$NE$2:$NE$317),"")</f>
        <v/>
      </c>
      <c r="RM10" s="7">
        <f>IFERROR(AVERAGEIF('Данные 2st'!$Q$2:$Q$317,$A10,'Данные 2st'!$NF$2:$NF$317),"")</f>
        <v/>
      </c>
      <c r="RN10" s="7">
        <f>IFERROR(AVERAGEIF('Данные 2st'!$Q$2:$Q$317,$A10,'Данные 2st'!$NG$2:$NG$317),"")</f>
        <v/>
      </c>
      <c r="RO10" s="7">
        <f>IFERROR(AVERAGEIF('Данные 2st'!$Q$2:$Q$317,$A10,'Данные 2st'!$NH$2:$NH$317),"")</f>
        <v/>
      </c>
      <c r="RP10" s="7">
        <f>IFERROR(AVERAGEIF('Данные 2st'!$Q$2:$Q$317,$A10,'Данные 2st'!$NJ$2:$NJ$317),"")</f>
        <v/>
      </c>
      <c r="RQ10" s="7">
        <f>IFERROR(AVERAGEIF('Данные 2st'!$Q$2:$Q$317,$A10,'Данные 2st'!$NK$2:$NK$317),"")</f>
        <v/>
      </c>
      <c r="RR10" s="7">
        <f>IFERROR(AVERAGEIF('Данные 2st'!$Q$2:$Q$317,$A10,'Данные 2st'!$NM$2:$NM$317),"")</f>
        <v/>
      </c>
      <c r="RS10" s="7">
        <f>IFERROR(AVERAGEIF('Данные 2st'!$Q$2:$Q$317,$A10,'Данные 2st'!$NN$2:$NN$317),"")</f>
        <v/>
      </c>
      <c r="RT10" s="7">
        <f>IFERROR(AVERAGEIF('Данные 2st'!$Q$2:$Q$317,$A10,'Данные 2st'!$NO$2:$NO$317),"")</f>
        <v/>
      </c>
      <c r="RU10" s="7">
        <f>IFERROR(AVERAGEIF('Данные 2st'!$Q$2:$Q$317,$A10,'Данные 2st'!$NP$2:$NP$317),"")</f>
        <v/>
      </c>
      <c r="RV10" s="7">
        <f>IFERROR(AVERAGEIF('Данные 2st'!$Q$2:$Q$317,$A10,'Данные 2st'!$NQ$2:$NQ$317),"")</f>
        <v/>
      </c>
      <c r="RW10" s="7">
        <f>IFERROR(AVERAGEIF('Данные 2st'!$Q$2:$Q$317,$A10,'Данные 2st'!$NR$2:$NR$317),"")</f>
        <v/>
      </c>
      <c r="RX10" s="7">
        <f>IFERROR(AVERAGEIF('Данные 2st'!$Q$2:$Q$317,$A10,'Данные 2st'!$NS$2:$NS$317),"")</f>
        <v/>
      </c>
      <c r="RY10" s="7">
        <f>IFERROR(AVERAGEIF('Данные 2st'!$Q$2:$Q$317,$A10,'Данные 2st'!$NT$2:$NT$317),"")</f>
        <v/>
      </c>
      <c r="RZ10" s="7">
        <f>IFERROR(AVERAGEIF('Данные 2st'!$Q$2:$Q$317,$A10,'Данные 2st'!$OK$2:$OK$317),"")</f>
        <v>61</v>
      </c>
      <c r="SA10" s="7">
        <f>IFERROR(AVERAGEIF('Данные 2st'!$Q$2:$Q$317,$A10,'Данные 2st'!$OL$2:$OL$317),"")</f>
        <v>61</v>
      </c>
      <c r="SB10" s="7">
        <f>IFERROR(AVERAGEIF('Данные 2st'!$Q$2:$Q$317,$A10,'Данные 2st'!$ON$2:$ON$317),"")</f>
        <v>3</v>
      </c>
      <c r="SC10" s="7">
        <f>IFERROR(AVERAGEIF('Данные 2st'!$Q$2:$Q$317,$A10,'Данные 2st'!$OO$2:$OO$317),"")</f>
        <v>1741.3333333333333</v>
      </c>
      <c r="SD10" s="7">
        <f>IFERROR(AVERAGEIF('Данные 2st'!$Q$2:$Q$317,$A10,'Данные 2st'!$OP$2:$OP$317),"")</f>
        <v>61</v>
      </c>
      <c r="SE10" s="7">
        <f>IFERROR(AVERAGEIF('Данные 2st'!$Q$2:$Q$317,$A10,'Данные 2st'!$OQ$2:$OQ$317),"")</f>
        <v>61</v>
      </c>
      <c r="SF10" s="7">
        <f>IFERROR(AVERAGEIF('Данные 2st'!$Q$2:$Q$317,$A10,'Данные 2st'!$OS$2:$OS$317),"")</f>
        <v>3</v>
      </c>
      <c r="SG10" s="7">
        <f>IFERROR(AVERAGEIF('Данные 2st'!$Q$2:$Q$317,$A10,'Данные 2st'!$OT$2:$OT$317),"")</f>
        <v>1748.3333333333333</v>
      </c>
      <c r="SH10" s="7">
        <f>IFERROR(AVERAGEIF('Данные 2st'!$Q$2:$Q$317,$A10,'Данные 2st'!$OU$2:$OU$317),"")</f>
        <v>65</v>
      </c>
      <c r="SI10" s="7">
        <f>IFERROR(AVERAGEIF('Данные 2st'!$Q$2:$Q$317,$A10,'Данные 2st'!$OV$2:$OV$317),"")</f>
        <v>65</v>
      </c>
      <c r="SJ10" s="7">
        <f>IFERROR(AVERAGEIF('Данные 2st'!$Q$2:$Q$317,$A10,'Данные 2st'!$OX$2:$OX$317),"")</f>
        <v>1.3333333333333333</v>
      </c>
      <c r="SK10" s="7">
        <f>IFERROR(AVERAGEIF('Данные 2st'!$Q$2:$Q$317,$A10,'Данные 2st'!$OY$2:$OY$317),"")</f>
        <v>28148.333333333332</v>
      </c>
      <c r="SL10" s="7">
        <f>IFERROR(AVERAGEIF('Данные 2st'!$Q$2:$Q$317,$A10,'Данные 2st'!$OZ$2:$OZ$317),"")</f>
        <v>51</v>
      </c>
      <c r="SM10" s="7">
        <f>IFERROR(AVERAGEIF('Данные 2st'!$Q$2:$Q$317,$A10,'Данные 2st'!$PA$2:$PA$317),"")</f>
        <v>51.666666666666664</v>
      </c>
      <c r="SN10" s="7">
        <f>IFERROR(AVERAGEIF('Данные 2st'!$Q$2:$Q$317,$A10,'Данные 2st'!$PC$2:$PC$317),"")</f>
        <v>2.6666666666666665</v>
      </c>
      <c r="SO10" s="7">
        <f>IFERROR(AVERAGEIF('Данные 2st'!$Q$2:$Q$317,$A10,'Данные 2st'!$PD$2:$PD$317),"")</f>
        <v>1778.6666666666667</v>
      </c>
      <c r="SP10" s="7">
        <f>IFERROR(AVERAGEIF('Данные 2st'!$Q$2:$Q$317,$A10,'Данные 2st'!$PF$2:$PF$317),"")</f>
        <v>301.6666666666667</v>
      </c>
      <c r="SQ10" s="7">
        <f>IFERROR(AVERAGEIF('Данные 2st'!$Q$2:$Q$317,$A10,'Данные 2st'!$PG$2:$PG$317),"")</f>
        <v>29</v>
      </c>
      <c r="SR10" s="7">
        <f>IFERROR(AVERAGEIF('Данные 2st'!$Q$2:$Q$317,$A10,'Данные 2st'!$PH$2:$PH$317),"")</f>
        <v>283</v>
      </c>
      <c r="SS10" s="7">
        <f>IFERROR(AVERAGEIF('Данные 2st'!$Q$2:$Q$317,$A10,'Данные 2st'!$PI$2:$PI$317),"")</f>
        <v>29</v>
      </c>
      <c r="ST10" s="7">
        <f>IFERROR(AVERAGEIF('Данные 2st'!$Q$2:$Q$317,$A10,'Данные 2st'!$PJ$2:$PJ$317),"")</f>
        <v>76.5</v>
      </c>
      <c r="SU10" s="7">
        <f>IFERROR(AVERAGEIF('Данные 2st'!$Q$2:$Q$317,$A10,'Данные 2st'!$PK$2:$PK$317),"")</f>
        <v>1723</v>
      </c>
      <c r="SV10" s="7">
        <f>IFERROR(AVERAGEIF('Данные 2st'!$Q$2:$Q$317,$A10,'Данные 2st'!$PL$2:$PL$317),"")</f>
        <v>993.5</v>
      </c>
      <c r="SW10" s="7">
        <f>IFERROR(AVERAGEIF('Данные 2st'!$Q$2:$Q$317,$A10,'Данные 2st'!$PM$2:$PM$317),"")</f>
        <v>454.7</v>
      </c>
      <c r="SX10" s="7">
        <f>IFERROR(AVERAGEIF('Данные 2st'!$Q$2:$Q$317,$A10,'Данные 2st'!$PN$2:$PN$317),"")</f>
        <v>81.89999999999999</v>
      </c>
      <c r="SY10" s="7">
        <f>IFERROR(AVERAGEIF('Данные 2st'!$Q$2:$Q$317,$A10,'Данные 2st'!$PO$2:$PO$317),"")</f>
        <v>8.5</v>
      </c>
      <c r="SZ10" s="7">
        <f>IFERROR(AVERAGEIF('Данные 2st'!$Q$2:$Q$317,$A10,'Данные 2st'!$PP$2:$PP$317),"")</f>
        <v>10.666666666666666</v>
      </c>
      <c r="TA10" s="7">
        <f>IFERROR(AVERAGEIF('Данные 2st'!$Q$2:$Q$317,$A10,'Данные 2st'!$PQ$2:$PQ$317),"")</f>
        <v>2</v>
      </c>
      <c r="TB10" s="7">
        <f>IFERROR(AVERAGEIF('Данные 2st'!$Q$2:$Q$317,$A10,'Данные 2st'!$PR$2:$PR$317),"")</f>
        <v>2</v>
      </c>
      <c r="TC10" s="7">
        <f>IFERROR(AVERAGEIF('Данные 2st'!$Q$2:$Q$317,$A10,'Данные 2st'!$PS$2:$PS$317),"")</f>
        <v>6</v>
      </c>
      <c r="TD10" s="7">
        <f>IFERROR(AVERAGEIF('Данные 2st'!$Q$2:$Q$317,$A10,'Данные 2st'!$PT$2:$PT$317),"")</f>
        <v>199.33333333333334</v>
      </c>
      <c r="TE10" s="7">
        <f>IFERROR(AVERAGEIF('Данные 2st'!$Q$2:$Q$317,$A10,'Данные 2st'!$PU$2:$PU$317),"")</f>
        <v>9.333333333333334</v>
      </c>
      <c r="TF10" s="7">
        <f>IFERROR(AVERAGEIF('Данные 2st'!$Q$2:$Q$317,$A10,'Данные 2st'!$PX$2:$PX$317),"")</f>
        <v>0</v>
      </c>
      <c r="TG10" s="7">
        <f>IFERROR(AVERAGEIF('Данные 2st'!$Q$2:$Q$317,$A10,'Данные 2st'!$PY$2:$PY$317),"")</f>
        <v>0</v>
      </c>
      <c r="TH10" s="7">
        <f>IFERROR(AVERAGEIF('Данные 2st'!$Q$2:$Q$317,$A10,'Данные 2st'!$PZ$2:$PZ$317),"")</f>
        <v>0</v>
      </c>
      <c r="TI10" s="7">
        <f>IFERROR(AVERAGEIF('Данные 2st'!$Q$2:$Q$317,$A10,'Данные 2st'!$QA$2:$QA$317),"")</f>
        <v>0</v>
      </c>
      <c r="TJ10" s="7">
        <f>IFERROR(AVERAGEIF('Данные 2st'!$Q$2:$Q$317,$A10,'Данные 2st'!$QB$2:$QB$317),"")</f>
        <v>0</v>
      </c>
      <c r="TK10" s="7">
        <f>IFERROR(AVERAGEIF('Данные 2st'!$Q$2:$Q$317,$A10,'Данные 2st'!$QC$2:$QC$317),"")</f>
        <v>0</v>
      </c>
      <c r="TL10" s="7">
        <f>IFERROR(AVERAGEIF('Данные 2st'!$Q$2:$Q$317,$A10,'Данные 2st'!$QD$2:$QD$317),"")</f>
        <v>0</v>
      </c>
      <c r="TM10" s="7">
        <f>IFERROR(AVERAGEIF('Данные 2st'!$Q$2:$Q$317,$A10,'Данные 2st'!$QE$2:$QE$317),"")</f>
        <v>-1</v>
      </c>
      <c r="TN10" s="7">
        <f>IFERROR(AVERAGEIF('Данные 2st'!$Q$2:$Q$317,$A10,'Данные 2st'!$QF$2:$QF$317),"")</f>
        <v>1</v>
      </c>
      <c r="TO10" s="7">
        <f>IFERROR(AVERAGEIF('Данные 2st'!$Q$2:$Q$317,$A10,'Данные 2st'!$QG$2:$QG$317),"")</f>
        <v>0</v>
      </c>
      <c r="TP10" s="7">
        <f>IFERROR(AVERAGEIF('Данные 2st'!$Q$2:$Q$317,$A10,'Данные 2st'!$QH$2:$QH$317),"")</f>
        <v>5</v>
      </c>
      <c r="TQ10" s="7">
        <f>IFERROR(AVERAGEIF('Данные 2st'!$Q$2:$Q$317,$A10,'Данные 2st'!$QI$2:$QI$317),"")</f>
        <v>5</v>
      </c>
      <c r="TR10" s="7">
        <f>IFERROR(AVERAGEIF('Данные 2st'!$Q$2:$Q$317,$A10,'Данные 2st'!$QJ$2:$QJ$317),"")</f>
        <v>5</v>
      </c>
      <c r="TS10" s="7">
        <f>IFERROR(AVERAGEIF('Данные 2st'!$Q$2:$Q$317,$A10,'Данные 2st'!$QK$2:$QK$317),"")</f>
        <v>165</v>
      </c>
      <c r="TT10" s="7">
        <f>IFERROR(AVERAGEIF('Данные 2st'!$Q$2:$Q$317,$A10,'Данные 2st'!$QL$2:$QL$317),"")</f>
        <v>359.3333333333333</v>
      </c>
      <c r="TU10" s="7">
        <f>IFERROR(AVERAGEIF('Данные 2st'!$Q$2:$Q$317,$A10,'Данные 2st'!$QM$2:$QM$317),"")</f>
        <v>7.5</v>
      </c>
      <c r="TV10" s="7">
        <f>IFERROR(AVERAGEIF('Данные 2st'!$Q$2:$Q$317,$A10,'Данные 2st'!$QN$2:$QN$317),"")</f>
        <v>1203.2333333333333</v>
      </c>
      <c r="TW10" s="7">
        <f>IFERROR(AVERAGEIF('Данные 2st'!$Q$2:$Q$317,$A10,'Данные 2st'!$QQ$2:$QQ$317),"")</f>
        <v>0</v>
      </c>
      <c r="TX10" s="7">
        <f>IFERROR(AVERAGEIF('Данные 2st'!$Q$2:$Q$317,$A10,'Данные 2st'!$QS$2:$QS$317),"")</f>
        <v>33.333333333333336</v>
      </c>
      <c r="TY10" s="7">
        <f>IFERROR(AVERAGEIF('Данные 2st'!$Q$2:$Q$317,$A10,'Данные 2st'!$QT$2:$QT$317),"")</f>
        <v>43.333333333333336</v>
      </c>
    </row>
    <row r="11" spans="1:545" ht="32" customHeight="1">
      <c r="A11" s="11" t="s">
        <v>1811</v>
      </c>
      <c r="B11">
        <f>COUNTIF('Данные 1st'!$S$2:$S$317,$A11)</f>
        <v>3</v>
      </c>
      <c r="C11" s="6" t="s">
        <v>5084</v>
      </c>
      <c r="D11" s="6" t="s">
        <v>513</v>
      </c>
      <c r="E11" s="6" t="s">
        <v>5125</v>
      </c>
      <c r="F11" s="6" t="s">
        <v>5134</v>
      </c>
      <c r="G11" s="7">
        <f>IFERROR(AVERAGEIF('Данные 1st'!$S$2:$S$317,$A11,'Данные 1st'!$AE$2:$AE$317),"")</f>
        <v>160.33333333333334</v>
      </c>
      <c r="H11" s="7">
        <f>IFERROR(AVERAGEIF('Данные 1st'!$S$2:$S$317,$A11,'Данные 1st'!$AF$2:$AF$317),"")</f>
        <v>1.5</v>
      </c>
      <c r="I11" s="7">
        <f>IFERROR(AVERAGEIF('Данные 1st'!$S$2:$S$317,$A11,'Данные 1st'!$AJ$2:$AJ$317),"")</f>
        <v>171.66666666666666</v>
      </c>
      <c r="J11" s="7">
        <f>IFERROR(AVERAGEIF('Данные 1st'!$S$2:$S$317,$A11,'Данные 1st'!$AL$2:$AL$317),"")</f>
        <v>1.5</v>
      </c>
      <c r="K11" s="7">
        <f>IFERROR(AVERAGEIF('Данные 1st'!$S$2:$S$317,$A11,'Данные 1st'!$AR$2:$AR$317),"")</f>
        <v>0</v>
      </c>
      <c r="L11" s="7">
        <f>IFERROR(AVERAGEIF('Данные 1st'!$S$2:$S$317,$A11,'Данные 1st'!$AS$2:$AS$317),"")</f>
        <v>1.5</v>
      </c>
      <c r="M11" s="7">
        <f>IFERROR(AVERAGEIF('Данные 1st'!$S$2:$S$317,$A11,'Данные 1st'!$AY$2:$AY$317),"")</f>
        <v>245.0</v>
      </c>
      <c r="N11" s="7">
        <f>IFERROR(AVERAGEIF('Данные 1st'!$S$2:$S$317,$A11,'Данные 1st'!$AZ$2:$AZ$317),"")</f>
        <v>1.5</v>
      </c>
      <c r="O11" s="7">
        <f>IFERROR(AVERAGEIF('Данные 1st'!$S$2:$S$317,$A11,'Данные 1st'!$BF$2:$BF$317),"")</f>
        <v/>
      </c>
      <c r="P11" s="7">
        <f>IFERROR(AVERAGEIF('Данные 1st'!$S$2:$S$317,$A11,'Данные 1st'!$BG$2:$BG$317),"")</f>
        <v>1.5</v>
      </c>
      <c r="Q11" s="7">
        <f>IFERROR(AVERAGEIF('Данные 1st'!$S$2:$S$317,$A11,'Данные 1st'!$BM$2:$BM$317),"")</f>
        <v/>
      </c>
      <c r="R11" s="7">
        <f>IFERROR(AVERAGEIF('Данные 1st'!$S$2:$S$317,$A11,'Данные 1st'!$BN$2:$BN$317),"")</f>
        <v>1.5</v>
      </c>
      <c r="S11" s="7">
        <f>IFERROR(AVERAGEIF('Данные 1st'!$S$2:$S$317,$A11,'Данные 1st'!$BT$2:$BT$317),"")</f>
        <v>182.33333333333334</v>
      </c>
      <c r="T11" s="7">
        <f>IFERROR(AVERAGEIF('Данные 1st'!$S$2:$S$317,$A11,'Данные 1st'!$BU$2:$BU$317),"")</f>
        <v>0.5</v>
      </c>
      <c r="U11" s="7">
        <f>IFERROR(AVERAGEIF('Данные 1st'!$S$2:$S$317,$A11,'Данные 1st'!$BW$2:$BW$317),"")</f>
        <v>364.6666666666667</v>
      </c>
      <c r="V11" s="7">
        <f>IFERROR(AVERAGEIF('Данные 1st'!$S$2:$S$317,$A11,'Данные 1st'!$BX$2:$BX$317),"")</f>
        <v>1</v>
      </c>
      <c r="W11" s="7">
        <f>IFERROR(AVERAGEIF('Данные 1st'!$S$2:$S$317,$A11,'Данные 1st'!$BZ$2:$BZ$317),"")</f>
        <v>300</v>
      </c>
      <c r="X11" s="7">
        <f>IFERROR(AVERAGEIF('Данные 1st'!$S$2:$S$317,$A11,'Данные 1st'!$CA$2:$CA$317),"")</f>
        <v>460</v>
      </c>
      <c r="Y11" s="7">
        <f>IFERROR(AVERAGEIF('Данные 1st'!$S$2:$S$317,$A11,'Данные 1st'!$CD$2:$CD$317),"")</f>
        <v>387.3333333333333</v>
      </c>
      <c r="Z11" s="7">
        <f>IFERROR(AVERAGEIF('Данные 1st'!$S$2:$S$317,$A11,'Данные 1st'!$CF$2:$CF$317),"")</f>
        <v>15</v>
      </c>
      <c r="AA11" s="7">
        <f>IFERROR(AVERAGEIF('Данные 1st'!$S$2:$S$317,$A11,'Данные 1st'!$CI$2:$CI$317),"")</f>
        <v>80</v>
      </c>
      <c r="AB11" s="7">
        <f>IFERROR(AVERAGEIF('Данные 1st'!$S$2:$S$317,$A11,'Данные 1st'!$CJ$2:$CJ$317),"")</f>
        <v>1200</v>
      </c>
      <c r="AC11" s="7">
        <f>IFERROR(AVERAGEIF('Данные 1st'!$S$2:$S$317,$A11,'Данные 1st'!$CK$2:$CK$317),"")</f>
        <v>2</v>
      </c>
      <c r="AD11" s="7">
        <f>IFERROR(AVERAGEIF('Данные 1st'!$S$2:$S$317,$A11,'Данные 1st'!$CL$2:$CL$317),"")</f>
        <v>1301</v>
      </c>
      <c r="AE11" s="7">
        <f>IFERROR(AVERAGEIF('Данные 1st'!$S$2:$S$317,$A11,'Данные 1st'!$CM$2:$CM$317),"")</f>
        <v>2</v>
      </c>
      <c r="AF11" s="7">
        <f>IFERROR(AVERAGEIF('Данные 1st'!$S$2:$S$317,$A11,'Данные 1st'!$CT$2:$CT$317),"")</f>
        <v>343.3333333333333</v>
      </c>
      <c r="AG11" s="7">
        <f>IFERROR(AVERAGEIF('Данные 1st'!$S$2:$S$317,$A11,'Данные 1st'!$CU$2:$CU$317),"")</f>
        <v>5</v>
      </c>
      <c r="AH11" s="7">
        <f>IFERROR(AVERAGEIF('Данные 1st'!$S$2:$S$317,$A11,'Данные 1st'!$CV$2:$CV$317),"")</f>
        <v>1.2333333333333334</v>
      </c>
      <c r="AI11" s="7">
        <f>IFERROR(AVERAGEIF('Данные 1st'!$S$2:$S$317,$A11,'Данные 1st'!$CW$2:$CW$317),"")</f>
        <v>1213</v>
      </c>
      <c r="AJ11" s="7">
        <f>IFERROR(AVERAGEIF('Данные 1st'!$S$2:$S$317,$A11,'Данные 1st'!$CX$2:$CX$317),"")</f>
        <v>606</v>
      </c>
      <c r="AK11" s="7">
        <f>IFERROR(AVERAGEIF('Данные 1st'!$S$2:$S$317,$A11,'Данные 1st'!$CZ$2:$CZ$317),"")</f>
        <v/>
      </c>
      <c r="AL11" s="7">
        <f>IFERROR(AVERAGEIF('Данные 1st'!$S$2:$S$317,$A11,'Данные 1st'!$DA$2:$DA$317),"")</f>
        <v/>
      </c>
      <c r="AM11" s="7">
        <f>IFERROR(AVERAGEIF('Данные 1st'!$S$2:$S$317,$A11,'Данные 1st'!$DB$2:$DB$317),"")</f>
        <v/>
      </c>
      <c r="AN11" s="7">
        <f>IFERROR(AVERAGEIF('Данные 1st'!$S$2:$S$317,$A11,'Данные 1st'!$DC$2:$DC$317),"")</f>
        <v/>
      </c>
      <c r="AO11" s="7">
        <f>IFERROR(AVERAGEIF('Данные 1st'!$S$2:$S$317,$A11,'Данные 1st'!$DD$2:$DD$317),"")</f>
        <v>0</v>
      </c>
      <c r="AP11" s="7">
        <f>IFERROR(AVERAGEIF('Данные 1st'!$S$2:$S$317,$A11,'Данные 1st'!$DF$2:$DF$317),"")</f>
        <v>490</v>
      </c>
      <c r="AQ11" s="7">
        <f>IFERROR(AVERAGEIF('Данные 1st'!$S$2:$S$317,$A11,'Данные 1st'!$DG$2:$DG$317),"")</f>
        <v>3</v>
      </c>
      <c r="AR11" s="7">
        <f>IFERROR(AVERAGEIF('Данные 1st'!$S$2:$S$317,$A11,'Данные 1st'!$DH$2:$DH$317),"")</f>
        <v>1.2066666666666666</v>
      </c>
      <c r="AS11" s="7">
        <f>IFERROR(AVERAGEIF('Данные 1st'!$S$2:$S$317,$A11,'Данные 1st'!$DI$2:$DI$317),"")</f>
        <v>1211.3333333333333</v>
      </c>
      <c r="AT11" s="7">
        <f>IFERROR(AVERAGEIF('Данные 1st'!$S$2:$S$317,$A11,'Данные 1st'!$DJ$2:$DJ$317),"")</f>
        <v>1029</v>
      </c>
      <c r="AU11" s="7">
        <f>IFERROR(AVERAGEIF('Данные 1st'!$S$2:$S$317,$A11,'Данные 1st'!$DL$2:$DL$317),"")</f>
        <v/>
      </c>
      <c r="AV11" s="7">
        <f>IFERROR(AVERAGEIF('Данные 1st'!$S$2:$S$317,$A11,'Данные 1st'!$DM$2:$DM$317),"")</f>
        <v/>
      </c>
      <c r="AW11" s="7">
        <f>IFERROR(AVERAGEIF('Данные 1st'!$S$2:$S$317,$A11,'Данные 1st'!$DN$2:$DN$317),"")</f>
        <v/>
      </c>
      <c r="AX11" s="7">
        <f>IFERROR(AVERAGEIF('Данные 1st'!$S$2:$S$317,$A11,'Данные 1st'!$DO$2:$DO$317),"")</f>
        <v/>
      </c>
      <c r="AY11" s="7">
        <f>IFERROR(AVERAGEIF('Данные 1st'!$S$2:$S$317,$A11,'Данные 1st'!$DP$2:$DP$317),"")</f>
        <v/>
      </c>
      <c r="AZ11" s="7">
        <f>IFERROR(AVERAGEIF('Данные 1st'!$S$2:$S$317,$A11,'Данные 1st'!$DR$2:$DR$317),"")</f>
        <v/>
      </c>
      <c r="BA11" s="7">
        <f>IFERROR(AVERAGEIF('Данные 1st'!$S$2:$S$317,$A11,'Данные 1st'!$DS$2:$DS$317),"")</f>
        <v/>
      </c>
      <c r="BB11" s="7">
        <f>IFERROR(AVERAGEIF('Данные 1st'!$S$2:$S$317,$A11,'Данные 1st'!$DT$2:$DT$317),"")</f>
        <v/>
      </c>
      <c r="BC11" s="7">
        <f>IFERROR(AVERAGEIF('Данные 1st'!$S$2:$S$317,$A11,'Данные 1st'!$DU$2:$DU$317),"")</f>
        <v/>
      </c>
      <c r="BD11" s="7">
        <f>IFERROR(AVERAGEIF('Данные 1st'!$S$2:$S$317,$A11,'Данные 1st'!$DV$2:$DV$317),"")</f>
        <v/>
      </c>
      <c r="BE11" s="7">
        <f>IFERROR(AVERAGEIF('Данные 1st'!$S$2:$S$317,$A11,'Данные 1st'!$DX$2:$DX$317),"")</f>
        <v>7.5</v>
      </c>
      <c r="BF11" s="7">
        <f>IFERROR(AVERAGEIF('Данные 1st'!$S$2:$S$317,$A11,'Данные 1st'!$EA$2:$EA$317),"")</f>
        <v>1283.5666666666666</v>
      </c>
      <c r="BG11" s="7">
        <f>IFERROR(AVERAGEIF('Данные 1st'!$S$2:$S$317,$A11,'Данные 1st'!$EB$2:$EB$317),"")</f>
        <v>192.33333333333334</v>
      </c>
      <c r="BH11" s="7">
        <f>IFERROR(AVERAGEIF('Данные 1st'!$S$2:$S$317,$A11,'Данные 1st'!$ED$2:$ED$317),"")</f>
        <v>28.333333333333332</v>
      </c>
      <c r="BI11" s="7">
        <f>IFERROR(AVERAGEIF('Данные 1st'!$S$2:$S$317,$A11,'Данные 1st'!$EE$2:$EE$317),"")</f>
        <v>3</v>
      </c>
      <c r="BJ11" s="7">
        <f>IFERROR(AVERAGEIF('Данные 1st'!$S$2:$S$317,$A11,'Данные 1st'!$EG$2:$EG$317),"")</f>
        <v>1317.6666666666667</v>
      </c>
      <c r="BK11" s="7">
        <f>IFERROR(AVERAGEIF('Данные 1st'!$S$2:$S$317,$A11,'Данные 1st'!$EH$2:$EH$317),"")</f>
        <v>153.33333333333334</v>
      </c>
      <c r="BL11" s="7">
        <f>IFERROR(AVERAGEIF('Данные 1st'!$S$2:$S$317,$A11,'Данные 1st'!$EJ$2:$EJ$317),"")</f>
        <v>0</v>
      </c>
      <c r="BM11" s="7">
        <f>IFERROR(AVERAGEIF('Данные 1st'!$S$2:$S$317,$A11,'Данные 1st'!$EK$2:$EK$317),"")</f>
        <v>1</v>
      </c>
      <c r="BN11" s="7">
        <f>IFERROR(AVERAGEIF('Данные 1st'!$S$2:$S$317,$A11,'Данные 1st'!$EN$2:$EN$317),"")</f>
        <v>0</v>
      </c>
      <c r="BO11" s="7">
        <f>IFERROR(AVERAGEIF('Данные 1st'!$S$2:$S$317,$A11,'Данные 1st'!$EQ$2:$EQ$317),"")</f>
        <v>75</v>
      </c>
      <c r="BP11" s="7">
        <f>IFERROR(AVERAGEIF('Данные 1st'!$S$2:$S$317,$A11,'Данные 1st'!$ER$2:$ER$317),"")</f>
        <v>3</v>
      </c>
      <c r="BQ11" s="7">
        <f>IFERROR(AVERAGEIF('Данные 1st'!$S$2:$S$317,$A11,'Данные 1st'!$ES$2:$ES$317),"")</f>
        <v>5</v>
      </c>
      <c r="BR11" s="7">
        <f>IFERROR(AVERAGEIF('Данные 1st'!$S$2:$S$317,$A11,'Данные 1st'!$ET$2:$ET$317),"")</f>
        <v>1194</v>
      </c>
      <c r="BS11" s="7">
        <f>IFERROR(AVERAGEIF('Данные 1st'!$S$2:$S$317,$A11,'Данные 1st'!$EU$2:$EU$317),"")</f>
        <v>299.73333333333335</v>
      </c>
      <c r="BT11" s="7">
        <f>IFERROR(AVERAGEIF('Данные 1st'!$S$2:$S$317,$A11,'Данные 1st'!$EV$2:$EV$317),"")</f>
        <v>358</v>
      </c>
      <c r="BU11" s="7">
        <f>IFERROR(AVERAGEIF('Данные 1st'!$S$2:$S$317,$A11,'Данные 1st'!$EX$2:$EX$317),"")</f>
        <v>70</v>
      </c>
      <c r="BV11" s="7">
        <f>IFERROR(AVERAGEIF('Данные 1st'!$S$2:$S$317,$A11,'Данные 1st'!$EY$2:$EY$317),"")</f>
        <v>2</v>
      </c>
      <c r="BW11" s="7">
        <f>IFERROR(AVERAGEIF('Данные 1st'!$S$2:$S$317,$A11,'Данные 1st'!$EZ$2:$EZ$317),"")</f>
        <v>4.433333333333334</v>
      </c>
      <c r="BX11" s="7">
        <f>IFERROR(AVERAGEIF('Данные 1st'!$S$2:$S$317,$A11,'Данные 1st'!$FA$2:$FA$317),"")</f>
        <v>1194</v>
      </c>
      <c r="BY11" s="7">
        <f>IFERROR(AVERAGEIF('Данные 1st'!$S$2:$S$317,$A11,'Данные 1st'!$FB$2:$FB$317),"")</f>
        <v>213.56666666666666</v>
      </c>
      <c r="BZ11" s="7">
        <f>IFERROR(AVERAGEIF('Данные 1st'!$S$2:$S$317,$A11,'Данные 1st'!$FC$2:$FC$317),"")</f>
        <v>255</v>
      </c>
      <c r="CA11" s="7">
        <f>IFERROR(AVERAGEIF('Данные 1st'!$S$2:$S$317,$A11,'Данные 1st'!$FE$2:$FE$317),"")</f>
        <v>0</v>
      </c>
      <c r="CB11" s="7">
        <f>IFERROR(AVERAGEIF('Данные 1st'!$S$2:$S$317,$A11,'Данные 1st'!$FF$2:$FF$317),"")</f>
        <v>2</v>
      </c>
      <c r="CC11" s="7">
        <f>IFERROR(AVERAGEIF('Данные 1st'!$S$2:$S$317,$A11,'Данные 1st'!$FI$2:$FI$317),"")</f>
        <v>0</v>
      </c>
      <c r="CD11" s="7">
        <f>IFERROR(AVERAGEIF('Данные 1st'!$S$2:$S$317,$A11,'Данные 1st'!$FL$2:$FL$317),"")</f>
        <v>0.4</v>
      </c>
      <c r="CE11" s="7">
        <f>IFERROR(AVERAGEIF('Данные 1st'!$S$2:$S$317,$A11,'Данные 1st'!$FM$2:$FM$317),"")</f>
        <v>75</v>
      </c>
      <c r="CF11" s="7">
        <f>IFERROR(AVERAGEIF('Данные 1st'!$S$2:$S$317,$A11,'Данные 1st'!$FN$2:$FN$317),"")</f>
        <v>123.33333333333333</v>
      </c>
      <c r="CG11" s="7">
        <f>IFERROR(AVERAGEIF('Данные 1st'!$S$2:$S$317,$A11,'Данные 1st'!$FO$2:$FO$317),"")</f>
        <v/>
      </c>
      <c r="CH11" s="7">
        <f>IFERROR(AVERAGEIF('Данные 1st'!$S$2:$S$317,$A11,'Данные 1st'!$FP$2:$FP$317),"")</f>
        <v/>
      </c>
      <c r="CI11" s="7">
        <f>IFERROR(AVERAGEIF('Данные 1st'!$S$2:$S$317,$A11,'Данные 1st'!$FS$2:$FS$317),"")</f>
        <v>0.4</v>
      </c>
      <c r="CJ11" s="7">
        <f>IFERROR(AVERAGEIF('Данные 1st'!$S$2:$S$317,$A11,'Данные 1st'!$FT$2:$FT$317),"")</f>
        <v>43.333333333333336</v>
      </c>
      <c r="CK11" s="7">
        <f>IFERROR(AVERAGEIF('Данные 1st'!$S$2:$S$317,$A11,'Данные 1st'!$FU$2:$FU$317),"")</f>
        <v>263.3333333333333</v>
      </c>
      <c r="CL11" s="7">
        <f>IFERROR(AVERAGEIF('Данные 1st'!$S$2:$S$317,$A11,'Данные 1st'!$FV$2:$FV$317),"")</f>
        <v>80</v>
      </c>
      <c r="CM11" s="7">
        <f>IFERROR(AVERAGEIF('Данные 1st'!$S$2:$S$317,$A11,'Данные 1st'!$FW$2:$FW$317),"")</f>
        <v>120</v>
      </c>
      <c r="CN11" s="7">
        <f>IFERROR(AVERAGEIF('Данные 1st'!$S$2:$S$317,$A11,'Данные 1st'!$FZ$2:$FZ$317),"")</f>
        <v>1</v>
      </c>
      <c r="CO11" s="7">
        <f>IFERROR(AVERAGEIF('Данные 1st'!$S$2:$S$317,$A11,'Данные 1st'!$GA$2:$GA$317),"")</f>
        <v>20</v>
      </c>
      <c r="CP11" s="7">
        <f>IFERROR(AVERAGEIF('Данные 1st'!$S$2:$S$317,$A11,'Данные 1st'!$GB$2:$GB$317),"")</f>
        <v>146.66666666666666</v>
      </c>
      <c r="CQ11" s="7">
        <f>IFERROR(AVERAGEIF('Данные 1st'!$S$2:$S$317,$A11,'Данные 1st'!$GH$2:$GH$317),"")</f>
        <v>1</v>
      </c>
      <c r="CR11" s="7">
        <f>IFERROR(AVERAGEIF('Данные 1st'!$S$2:$S$317,$A11,'Данные 1st'!$GI$2:$GI$317),"")</f>
        <v>20</v>
      </c>
      <c r="CS11" s="7">
        <f>IFERROR(AVERAGEIF('Данные 1st'!$S$2:$S$317,$A11,'Данные 1st'!$GJ$2:$GJ$317),"")</f>
        <v>146.66666666666666</v>
      </c>
      <c r="CT11" s="7">
        <f>IFERROR(AVERAGEIF('Данные 1st'!$S$2:$S$317,$A11,'Данные 1st'!$GS$2:$GS$317),"")</f>
        <v/>
      </c>
      <c r="CU11" s="7">
        <f>IFERROR(AVERAGEIF('Данные 1st'!$S$2:$S$317,$A11,'Данные 1st'!$GT$2:$GT$317),"")</f>
        <v/>
      </c>
      <c r="CV11" s="7">
        <f>IFERROR(AVERAGEIF('Данные 1st'!$S$2:$S$317,$A11,'Данные 1st'!$GU$2:$GU$317),"")</f>
        <v/>
      </c>
      <c r="CW11" s="7">
        <f>IFERROR(AVERAGEIF('Данные 1st'!$S$2:$S$317,$A11,'Данные 1st'!$GV$2:$GV$317),"")</f>
        <v/>
      </c>
      <c r="CX11" s="7">
        <f>IFERROR(AVERAGEIF('Данные 1st'!$S$2:$S$317,$A11,'Данные 1st'!$GW$2:$GW$317),"")</f>
        <v/>
      </c>
      <c r="CY11" s="7">
        <f>IFERROR(AVERAGEIF('Данные 1st'!$S$2:$S$317,$A11,'Данные 1st'!$GZ$2:$GZ$317),"")</f>
        <v/>
      </c>
      <c r="CZ11" s="7">
        <f>IFERROR(AVERAGEIF('Данные 1st'!$S$2:$S$317,$A11,'Данные 1st'!$HA$2:$HA$317),"")</f>
        <v/>
      </c>
      <c r="DA11" s="7">
        <f>IFERROR(AVERAGEIF('Данные 1st'!$S$2:$S$317,$A11,'Данные 1st'!$HB$2:$HB$317),"")</f>
        <v/>
      </c>
      <c r="DB11" s="7">
        <f>IFERROR(AVERAGEIF('Данные 1st'!$S$2:$S$317,$A11,'Данные 1st'!$HC$2:$HC$317),"")</f>
        <v>0.1</v>
      </c>
      <c r="DC11" s="7">
        <f>IFERROR(AVERAGEIF('Данные 1st'!$S$2:$S$317,$A11,'Данные 1st'!$HD$2:$HD$317),"")</f>
        <v>3</v>
      </c>
      <c r="DD11" s="7">
        <f>IFERROR(AVERAGEIF('Данные 1st'!$S$2:$S$317,$A11,'Данные 1st'!$HE$2:$HE$317),"")</f>
        <v>3</v>
      </c>
      <c r="DE11" s="7">
        <f>IFERROR(AVERAGEIF('Данные 1st'!$S$2:$S$317,$A11,'Данные 1st'!$HF$2:$HF$317),"")</f>
        <v>3</v>
      </c>
      <c r="DF11" s="7">
        <f>IFERROR(AVERAGEIF('Данные 1st'!$S$2:$S$317,$A11,'Данные 1st'!$HG$2:$HG$317),"")</f>
        <v>3</v>
      </c>
      <c r="DG11" s="7">
        <f>IFERROR(AVERAGEIF('Данные 1st'!$S$2:$S$317,$A11,'Данные 1st'!$HH$2:$HH$317),"")</f>
        <v>3</v>
      </c>
      <c r="DH11" s="7">
        <f>IFERROR(AVERAGEIF('Данные 1st'!$S$2:$S$317,$A11,'Данные 1st'!$HI$2:$HI$317),"")</f>
        <v>130</v>
      </c>
      <c r="DI11" s="7">
        <f>IFERROR(AVERAGEIF('Данные 1st'!$S$2:$S$317,$A11,'Данные 1st'!$HJ$2:$HJ$317),"")</f>
        <v>3</v>
      </c>
      <c r="DJ11" s="7">
        <f>IFERROR(AVERAGEIF('Данные 1st'!$S$2:$S$317,$A11,'Данные 1st'!$HK$2:$HK$317),"")</f>
        <v>55</v>
      </c>
      <c r="DK11" s="7">
        <f>IFERROR(AVERAGEIF('Данные 1st'!$S$2:$S$317,$A11,'Данные 1st'!$HL$2:$HL$317),"")</f>
        <v>2</v>
      </c>
      <c r="DL11" s="7">
        <f>IFERROR(AVERAGEIF('Данные 1st'!$S$2:$S$317,$A11,'Данные 1st'!$HM$2:$HM$317),"")</f>
        <v>0</v>
      </c>
      <c r="DM11" s="7">
        <f>IFERROR(AVERAGEIF('Данные 1st'!$S$2:$S$317,$A11,'Данные 1st'!$HN$2:$HN$317),"")</f>
        <v>2</v>
      </c>
      <c r="DN11" s="7">
        <f>IFERROR(AVERAGEIF('Данные 1st'!$S$2:$S$317,$A11,'Данные 1st'!$HO$2:$HO$317),"")</f>
        <v>60</v>
      </c>
      <c r="DO11" s="7">
        <f>IFERROR(AVERAGEIF('Данные 1st'!$S$2:$S$317,$A11,'Данные 1st'!$HP$2:$HP$317),"")</f>
        <v>3</v>
      </c>
      <c r="DP11" s="7">
        <f>IFERROR(AVERAGEIF('Данные 1st'!$S$2:$S$317,$A11,'Данные 1st'!$HQ$2:$HQ$317),"")</f>
        <v>0</v>
      </c>
      <c r="DQ11" s="7">
        <f>IFERROR(AVERAGEIF('Данные 1st'!$S$2:$S$317,$A11,'Данные 1st'!$HR$2:$HR$317),"")</f>
        <v>2</v>
      </c>
      <c r="DR11" s="7">
        <f>IFERROR(AVERAGEIF('Данные 1st'!$S$2:$S$317,$A11,'Данные 1st'!$HS$2:$HS$317),"")</f>
        <v>3552.3333333333335</v>
      </c>
      <c r="DS11" s="7">
        <f>IFERROR(AVERAGEIF('Данные 1st'!$S$2:$S$317,$A11,'Данные 1st'!$HT$2:$HT$317),"")</f>
        <v>106.66666666666667</v>
      </c>
      <c r="DT11" s="7">
        <f>IFERROR(AVERAGEIF('Данные 1st'!$S$2:$S$317,$A11,'Данные 1st'!$HU$2:$HU$317),"")</f>
        <v>180</v>
      </c>
      <c r="DU11" s="7">
        <f>IFERROR(AVERAGEIF('Данные 1st'!$S$2:$S$317,$A11,'Данные 1st'!$HW$2:$HW$317),"")</f>
        <v>0</v>
      </c>
      <c r="DV11" s="7">
        <f>IFERROR(AVERAGEIF('Данные 1st'!$S$2:$S$317,$A11,'Данные 1st'!$HX$2:$HX$317),"")</f>
        <v>433.3333333333333</v>
      </c>
      <c r="DW11" s="7">
        <f>IFERROR(AVERAGEIF('Данные 1st'!$S$2:$S$317,$A11,'Данные 1st'!$HY$2:$HY$317),"")</f>
        <v>0.18</v>
      </c>
      <c r="DX11" s="7">
        <f>IFERROR(AVERAGEIF('Данные 1st'!$S$2:$S$317,$A11,'Данные 1st'!$IA$2:$IA$317),"")</f>
        <v>0.15</v>
      </c>
      <c r="DY11" s="7">
        <f>IFERROR(AVERAGEIF('Данные 1st'!$S$2:$S$317,$A11,'Данные 1st'!$IB$2:$IB$317),"")</f>
        <v>0</v>
      </c>
      <c r="DZ11" s="7">
        <f>IFERROR(AVERAGEIF('Данные 1st'!$S$2:$S$317,$A11,'Данные 1st'!$IC$2:$IC$317),"")</f>
        <v>180</v>
      </c>
      <c r="EA11" s="7">
        <f>IFERROR(AVERAGEIF('Данные 1st'!$S$2:$S$317,$A11,'Данные 1st'!$ID$2:$ID$317),"")</f>
        <v>108.33333333333333</v>
      </c>
      <c r="EB11" s="7">
        <f>IFERROR(AVERAGEIF('Данные 1st'!$S$2:$S$317,$A11,'Данные 1st'!$IE$2:$IE$317),"")</f>
        <v>0</v>
      </c>
      <c r="EC11" s="7">
        <f>IFERROR(AVERAGEIF('Данные 1st'!$S$2:$S$317,$A11,'Данные 1st'!$IF$2:$IF$317),"")</f>
        <v>0</v>
      </c>
      <c r="ED11" s="7">
        <f>IFERROR(AVERAGEIF('Данные 1st'!$S$2:$S$317,$A11,'Данные 1st'!$IP$2:$IP$317),"")</f>
        <v>16</v>
      </c>
      <c r="EE11" s="7">
        <f>IFERROR(AVERAGEIF('Данные 1st'!$S$2:$S$317,$A11,'Данные 1st'!$IV$2:$IV$317),"")</f>
        <v>1200</v>
      </c>
      <c r="EF11" s="7">
        <f>IFERROR(AVERAGEIF('Данные 1st'!$S$2:$S$317,$A11,'Данные 1st'!$IW$2:$IW$317),"")</f>
        <v>364.6666666666667</v>
      </c>
      <c r="EG11" s="7">
        <f>IFERROR(AVERAGEIF('Данные 1st'!$S$2:$S$317,$A11,'Данные 1st'!$IX$2:$IX$317),"")</f>
        <v/>
      </c>
      <c r="EH11" s="7">
        <f>IFERROR(AVERAGEIF('Данные 1st'!$S$2:$S$317,$A11,'Данные 1st'!$IY$2:$IY$317),"")</f>
        <v/>
      </c>
      <c r="EI11" s="7">
        <f>IFERROR(AVERAGEIF('Данные 1st'!$S$2:$S$317,$A11,'Данные 1st'!$JD$2:$JD$317),"")</f>
        <v>1213</v>
      </c>
      <c r="EJ11" s="7">
        <f>IFERROR(AVERAGEIF('Данные 1st'!$S$2:$S$317,$A11,'Данные 1st'!$JE$2:$JE$317),"")</f>
        <v>1211.3333333333333</v>
      </c>
      <c r="EK11" s="7">
        <f>IFERROR(AVERAGEIF('Данные 1st'!$S$2:$S$317,$A11,'Данные 1st'!$JF$2:$JF$317),"")</f>
        <v>0</v>
      </c>
      <c r="EL11" s="7">
        <f>IFERROR(AVERAGEIF('Данные 1st'!$S$2:$S$317,$A11,'Данные 1st'!$JG$2:$JG$317),"")</f>
        <v>1194</v>
      </c>
      <c r="EM11" s="7">
        <f>IFERROR(AVERAGEIF('Данные 1st'!$S$2:$S$317,$A11,'Данные 1st'!$JH$2:$JH$317),"")</f>
        <v>0</v>
      </c>
      <c r="EN11" s="7">
        <f>IFERROR(AVERAGEIF('Данные 1st'!$S$2:$S$317,$A11,'Данные 1st'!$JJ$2:$JJ$317),"")</f>
        <v>180</v>
      </c>
      <c r="EO11" s="7">
        <f>IFERROR(AVERAGEIF('Данные 1st'!$S$2:$S$317,$A11,'Данные 1st'!$JK$2:$JK$317),"")</f>
        <v>433.3333333333333</v>
      </c>
      <c r="EP11" s="7">
        <f>IFERROR(AVERAGEIF('Данные 1st'!$S$2:$S$317,$A11,'Данные 1st'!$JL$2:$JL$317),"")</f>
        <v/>
      </c>
      <c r="EQ11" s="7">
        <f>IFERROR(AVERAGEIF('Данные 1st'!$S$2:$S$317,$A11,'Данные 1st'!$JM$2:$JM$317),"")</f>
        <v/>
      </c>
      <c r="ER11" s="7">
        <f>IFERROR(AVERAGEIF('Данные 1st'!$S$2:$S$317,$A11,'Данные 1st'!$JN$2:$JN$317),"")</f>
        <v>343.3333333333333</v>
      </c>
      <c r="ES11" s="7">
        <f>IFERROR(AVERAGEIF('Данные 1st'!$S$2:$S$317,$A11,'Данные 1st'!$JO$2:$JO$317),"")</f>
        <v>490</v>
      </c>
      <c r="ET11" s="7">
        <f>IFERROR(AVERAGEIF('Данные 1st'!$S$2:$S$317,$A11,'Данные 1st'!$JP$2:$JP$317),"")</f>
        <v>0</v>
      </c>
      <c r="EU11" s="7">
        <f>IFERROR(AVERAGEIF('Данные 1st'!$S$2:$S$317,$A11,'Данные 1st'!$JQ$2:$JQ$317),"")</f>
        <v>0</v>
      </c>
      <c r="EV11" s="7">
        <f>IFERROR(AVERAGEIF('Данные 1st'!$S$2:$S$317,$A11,'Данные 1st'!$JR$2:$JR$317),"")</f>
        <v>320.6666666666667</v>
      </c>
      <c r="EW11" s="7">
        <f>IFERROR(AVERAGEIF('Данные 1st'!$S$2:$S$317,$A11,'Данные 1st'!$JS$2:$JS$317),"")</f>
        <v>130</v>
      </c>
      <c r="EX11" s="7">
        <f>IFERROR(AVERAGEIF('Данные 1st'!$S$2:$S$317,$A11,'Данные 1st'!$JT$2:$JT$317),"")</f>
        <v/>
      </c>
      <c r="EY11" s="7">
        <f>IFERROR(AVERAGEIF('Данные 1st'!$S$2:$S$317,$A11,'Данные 1st'!$JU$2:$JU$317),"")</f>
        <v/>
      </c>
      <c r="EZ11" s="7">
        <f>IFERROR(AVERAGEIF('Данные 1st'!$S$2:$S$317,$A11,'Данные 1st'!$JV$2:$JV$317),"")</f>
        <v>8</v>
      </c>
      <c r="FA11" s="7">
        <f>IFERROR(AVERAGEIF('Данные 1st'!$S$2:$S$317,$A11,'Данные 1st'!$JW$2:$JW$317),"")</f>
        <v/>
      </c>
      <c r="FB11" s="7">
        <f>IFERROR(AVERAGEIF('Данные 1st'!$S$2:$S$317,$A11,'Данные 1st'!$JX$2:$JX$317),"")</f>
        <v>0</v>
      </c>
      <c r="FC11" s="7">
        <f>IFERROR(AVERAGEIF('Данные 1st'!$S$2:$S$317,$A11,'Данные 1st'!$JY$2:$JY$317),"")</f>
        <v/>
      </c>
      <c r="FD11" s="7">
        <f>IFERROR(AVERAGEIF('Данные 1st'!$S$2:$S$317,$A11,'Данные 1st'!$JZ$2:$JZ$317),"")</f>
        <v/>
      </c>
      <c r="FE11" s="7">
        <f>IFERROR(AVERAGEIF('Данные 1st'!$S$2:$S$317,$A11,'Данные 1st'!$KA$2:$KA$317),"")</f>
        <v>0</v>
      </c>
      <c r="FF11" s="7">
        <f>IFERROR(AVERAGEIF('Данные 1st'!$S$2:$S$317,$A11,'Данные 1st'!$KB$2:$KB$317),"")</f>
        <v>108.33333333333333</v>
      </c>
      <c r="FG11" s="7">
        <f>IFERROR(AVERAGEIF('Данные 1st'!$S$2:$S$317,$A11,'Данные 1st'!$KC$2:$KC$317),"")</f>
        <v>0</v>
      </c>
      <c r="FH11" s="7">
        <f>IFERROR(AVERAGEIF('Данные 1st'!$S$2:$S$317,$A11,'Данные 1st'!$KD$2:$KD$317),"")</f>
        <v>80</v>
      </c>
      <c r="FI11" s="7">
        <f>IFERROR(AVERAGEIF('Данные 1st'!$S$2:$S$317,$A11,'Данные 1st'!$KE$2:$KE$317),"")</f>
        <v/>
      </c>
      <c r="FJ11" s="7">
        <f>IFERROR(AVERAGEIF('Данные 1st'!$S$2:$S$317,$A11,'Данные 1st'!$KF$2:$KF$317),"")</f>
        <v>4</v>
      </c>
      <c r="FK11" s="7">
        <f>IFERROR(AVERAGEIF('Данные 1st'!$S$2:$S$317,$A11,'Данные 1st'!$KG$2:$KG$317),"")</f>
        <v>2</v>
      </c>
      <c r="FL11" s="7">
        <f>IFERROR(AVERAGEIF('Данные 1st'!$S$2:$S$317,$A11,'Данные 1st'!$KH$2:$KH$317),"")</f>
        <v>2</v>
      </c>
      <c r="FM11" s="7">
        <f>IFERROR(AVERAGEIF('Данные 1st'!$S$2:$S$317,$A11,'Данные 1st'!$KI$2:$KI$317),"")</f>
        <v>2</v>
      </c>
      <c r="FN11" s="7">
        <f>IFERROR(AVERAGEIF('Данные 1st'!$S$2:$S$317,$A11,'Данные 1st'!$KJ$2:$KJ$317),"")</f>
        <v>0</v>
      </c>
      <c r="FO11" s="7">
        <f>IFERROR(AVERAGEIF('Данные 1st'!$S$2:$S$317,$A11,'Данные 1st'!$KK$2:$KK$317),"")</f>
        <v>1.5</v>
      </c>
      <c r="FP11" s="7">
        <f>IFERROR(AVERAGEIF('Данные 1st'!$S$2:$S$317,$A11,'Данные 1st'!$KL$2:$KL$317),"")</f>
        <v>1.5</v>
      </c>
      <c r="FQ11" s="7">
        <f>IFERROR(AVERAGEIF('Данные 1st'!$S$2:$S$317,$A11,'Данные 1st'!$KM$2:$KM$317),"")</f>
        <v>0</v>
      </c>
      <c r="FR11" s="7">
        <f>IFERROR(AVERAGEIF('Данные 1st'!$S$2:$S$317,$A11,'Данные 1st'!$KN$2:$KN$317),"")</f>
        <v>0</v>
      </c>
      <c r="FS11" s="7">
        <f>IFERROR(AVERAGEIF('Данные 1st'!$S$2:$S$317,$A11,'Данные 1st'!$KR$2:$KR$317),"")</f>
        <v>36.666666666666664</v>
      </c>
      <c r="FT11" s="7">
        <f>IFERROR(AVERAGEIF('Данные 1st'!$S$2:$S$317,$A11,'Данные 1st'!$KS$2:$KS$317),"")</f>
        <v>60</v>
      </c>
      <c r="FU11" s="7">
        <f>IFERROR(AVERAGEIF('Данные 1st'!$S$2:$S$317,$A11,'Данные 1st'!$KT$2:$KT$317),"")</f>
        <v>0</v>
      </c>
      <c r="FV11" s="7">
        <f>IFERROR(AVERAGEIF('Данные 1st'!$S$2:$S$317,$A11,'Данные 1st'!$KV$2:$KV$317),"")</f>
        <v/>
      </c>
      <c r="FW11" s="7">
        <f>IFERROR(AVERAGEIF('Данные 1st'!$S$2:$S$317,$A11,'Данные 1st'!$KW$2:$KW$317),"")</f>
        <v/>
      </c>
      <c r="FX11" s="7">
        <f>IFERROR(AVERAGEIF('Данные 1st'!$S$2:$S$317,$A11,'Данные 1st'!$KX$2:$KX$317),"")</f>
        <v/>
      </c>
      <c r="FY11" s="7">
        <f>IFERROR(AVERAGEIF('Данные 1st'!$S$2:$S$317,$A11,'Данные 1st'!$KY$2:$KY$317),"")</f>
        <v/>
      </c>
      <c r="FZ11" s="7">
        <f>IFERROR(AVERAGEIF('Данные 1st'!$S$2:$S$317,$A11,'Данные 1st'!$KZ$2:$KZ$317),"")</f>
        <v/>
      </c>
      <c r="GA11" s="7">
        <f>IFERROR(AVERAGEIF('Данные 1st'!$S$2:$S$317,$A11,'Данные 1st'!$LA$2:$LA$317),"")</f>
        <v/>
      </c>
      <c r="GB11" s="7">
        <f>IFERROR(AVERAGEIF('Данные 1st'!$S$2:$S$317,$A11,'Данные 1st'!$LB$2:$LB$317),"")</f>
        <v/>
      </c>
      <c r="GC11" s="7">
        <f>IFERROR(AVERAGEIF('Данные 1st'!$S$2:$S$317,$A11,'Данные 1st'!$LC$2:$LC$317),"")</f>
        <v/>
      </c>
      <c r="GD11" s="7">
        <f>IFERROR(AVERAGEIF('Данные 1st'!$S$2:$S$317,$A11,'Данные 1st'!$LD$2:$LD$317),"")</f>
        <v/>
      </c>
      <c r="GE11" s="7">
        <f>IFERROR(AVERAGEIF('Данные 1st'!$S$2:$S$317,$A11,'Данные 1st'!$LE$2:$LE$317),"")</f>
        <v/>
      </c>
      <c r="GF11" s="7">
        <f>IFERROR(AVERAGEIF('Данные 1st'!$S$2:$S$317,$A11,'Данные 1st'!$LF$2:$LF$317),"")</f>
        <v/>
      </c>
      <c r="GG11" s="7">
        <f>IFERROR(AVERAGEIF('Данные 1st'!$S$2:$S$317,$A11,'Данные 1st'!$LG$2:$LG$317),"")</f>
        <v/>
      </c>
      <c r="GH11" s="7">
        <f>IFERROR(AVERAGEIF('Данные 1st'!$S$2:$S$317,$A11,'Данные 1st'!$LH$2:$LH$317),"")</f>
        <v/>
      </c>
      <c r="GI11" s="7">
        <f>IFERROR(AVERAGEIF('Данные 1st'!$S$2:$S$317,$A11,'Данные 1st'!$LI$2:$LI$317),"")</f>
        <v/>
      </c>
      <c r="GJ11" s="7">
        <f>IFERROR(AVERAGEIF('Данные 1st'!$S$2:$S$317,$A11,'Данные 1st'!$LJ$2:$LJ$317),"")</f>
        <v/>
      </c>
      <c r="GK11" s="7">
        <f>IFERROR(AVERAGEIF('Данные 1st'!$S$2:$S$317,$A11,'Данные 1st'!$LK$2:$LK$317),"")</f>
        <v>480</v>
      </c>
      <c r="GL11" s="7">
        <f>IFERROR(AVERAGEIF('Данные 1st'!$S$2:$S$317,$A11,'Данные 1st'!$LV$2:$LV$317),"")</f>
        <v/>
      </c>
      <c r="GM11" s="7">
        <f>IFERROR(AVERAGEIF('Данные 1st'!$S$2:$S$317,$A11,'Данные 1st'!$LW$2:$LW$317),"")</f>
        <v/>
      </c>
      <c r="GN11" s="7">
        <f>IFERROR(AVERAGEIF('Данные 1st'!$S$2:$S$317,$A11,'Данные 1st'!$LX$2:$LX$317),"")</f>
        <v>0</v>
      </c>
      <c r="GO11" s="7">
        <f>IFERROR(AVERAGEIF('Данные 1st'!$S$2:$S$317,$A11,'Данные 1st'!$LY$2:$LY$317),"")</f>
        <v>0</v>
      </c>
      <c r="GP11" s="7">
        <f>IFERROR(AVERAGEIF('Данные 1st'!$S$2:$S$317,$A11,'Данные 1st'!$LZ$2:$LZ$317),"")</f>
        <v>0</v>
      </c>
      <c r="GQ11" s="7">
        <f>IFERROR(AVERAGEIF('Данные 1st'!$S$2:$S$317,$A11,'Данные 1st'!$PG$2:$PG$317),"")</f>
        <v>1</v>
      </c>
      <c r="GR11" s="7">
        <f>IFERROR(AVERAGEIF('Данные 1st'!$S$2:$S$317,$A11,'Данные 1st'!$PX$2:$PX$317),"")</f>
        <v>56</v>
      </c>
      <c r="GS11" s="7">
        <f>IFERROR(AVERAGEIF('Данные 1st'!$S$2:$S$317,$A11,'Данные 1st'!$PY$2:$PY$317),"")</f>
        <v>56.666666666666664</v>
      </c>
      <c r="GT11" s="7">
        <f>IFERROR(AVERAGEIF('Данные 1st'!$S$2:$S$317,$A11,'Данные 1st'!$QA$2:$QA$317),"")</f>
        <v>1.3333333333333333</v>
      </c>
      <c r="GU11" s="7">
        <f>IFERROR(AVERAGEIF('Данные 1st'!$S$2:$S$317,$A11,'Данные 1st'!$QB$2:$QB$317),"")</f>
        <v>1194</v>
      </c>
      <c r="GV11" s="7">
        <f>IFERROR(AVERAGEIF('Данные 1st'!$S$2:$S$317,$A11,'Данные 1st'!$QC$2:$QC$317),"")</f>
        <v>69</v>
      </c>
      <c r="GW11" s="7">
        <f>IFERROR(AVERAGEIF('Данные 1st'!$S$2:$S$317,$A11,'Данные 1st'!$QD$2:$QD$317),"")</f>
        <v>69</v>
      </c>
      <c r="GX11" s="7">
        <f>IFERROR(AVERAGEIF('Данные 1st'!$S$2:$S$317,$A11,'Данные 1st'!$QF$2:$QF$317),"")</f>
        <v>1.3333333333333333</v>
      </c>
      <c r="GY11" s="7">
        <f>IFERROR(AVERAGEIF('Данные 1st'!$S$2:$S$317,$A11,'Данные 1st'!$QG$2:$QG$317),"")</f>
        <v>1213</v>
      </c>
      <c r="GZ11" s="7">
        <f>IFERROR(AVERAGEIF('Данные 1st'!$S$2:$S$317,$A11,'Данные 1st'!$QH$2:$QH$317),"")</f>
        <v>66</v>
      </c>
      <c r="HA11" s="7">
        <f>IFERROR(AVERAGEIF('Данные 1st'!$S$2:$S$317,$A11,'Данные 1st'!$QI$2:$QI$317),"")</f>
        <v>66</v>
      </c>
      <c r="HB11" s="7">
        <f>IFERROR(AVERAGEIF('Данные 1st'!$S$2:$S$317,$A11,'Данные 1st'!$QK$2:$QK$317),"")</f>
        <v/>
      </c>
      <c r="HC11" s="7">
        <f>IFERROR(AVERAGEIF('Данные 1st'!$S$2:$S$317,$A11,'Данные 1st'!$QL$2:$QL$317),"")</f>
        <v>0</v>
      </c>
      <c r="HD11" s="7">
        <f>IFERROR(AVERAGEIF('Данные 1st'!$S$2:$S$317,$A11,'Данные 1st'!$QM$2:$QM$317),"")</f>
        <v>63</v>
      </c>
      <c r="HE11" s="7">
        <f>IFERROR(AVERAGEIF('Данные 1st'!$S$2:$S$317,$A11,'Данные 1st'!$QN$2:$QN$317),"")</f>
        <v>63</v>
      </c>
      <c r="HF11" s="7">
        <f>IFERROR(AVERAGEIF('Данные 1st'!$S$2:$S$317,$A11,'Данные 1st'!$QP$2:$QP$317),"")</f>
        <v>1</v>
      </c>
      <c r="HG11" s="7">
        <f>IFERROR(AVERAGEIF('Данные 1st'!$S$2:$S$317,$A11,'Данные 1st'!$QQ$2:$QQ$317),"")</f>
        <v>1211.3333333333333</v>
      </c>
      <c r="HH11" s="7">
        <f>IFERROR(AVERAGEIF('Данные 1st'!$S$2:$S$317,$A11,'Данные 1st'!$QR$2:$QR$317),"")</f>
        <v/>
      </c>
      <c r="HI11" s="7">
        <f>IFERROR(AVERAGEIF('Данные 1st'!$S$2:$S$317,$A11,'Данные 1st'!$QS$2:$QS$317),"")</f>
        <v/>
      </c>
      <c r="HJ11" s="7">
        <f>IFERROR(AVERAGEIF('Данные 1st'!$S$2:$S$317,$A11,'Данные 1st'!$QU$2:$QU$317),"")</f>
        <v/>
      </c>
      <c r="HK11" s="7">
        <f>IFERROR(AVERAGEIF('Данные 1st'!$S$2:$S$317,$A11,'Данные 1st'!$QV$2:$QV$317),"")</f>
        <v/>
      </c>
      <c r="HL11" s="7">
        <f>IFERROR(AVERAGEIF('Данные 1st'!$S$2:$S$317,$A11,'Данные 1st'!$QW$2:$QW$317),"")</f>
        <v>82</v>
      </c>
      <c r="HM11" s="7">
        <f>IFERROR(AVERAGEIF('Данные 1st'!$S$2:$S$317,$A11,'Данные 1st'!$QX$2:$QX$317),"")</f>
        <v>84.33333333333333</v>
      </c>
      <c r="HN11" s="7">
        <f>IFERROR(AVERAGEIF('Данные 1st'!$S$2:$S$317,$A11,'Данные 1st'!$QZ$2:$QZ$317),"")</f>
        <v>2.3333333333333335</v>
      </c>
      <c r="HO11" s="7">
        <f>IFERROR(AVERAGEIF('Данные 1st'!$S$2:$S$317,$A11,'Данные 1st'!$RA$2:$RA$317),"")</f>
        <v>66</v>
      </c>
      <c r="HP11" s="7">
        <f>IFERROR(AVERAGEIF('Данные 1st'!$S$2:$S$317,$A11,'Данные 1st'!$RB$2:$RB$317),"")</f>
        <v>66</v>
      </c>
      <c r="HQ11" s="7">
        <f>IFERROR(AVERAGEIF('Данные 1st'!$S$2:$S$317,$A11,'Данные 1st'!$RD$2:$RD$317),"")</f>
        <v/>
      </c>
      <c r="HR11" s="7">
        <f>IFERROR(AVERAGEIF('Данные 1st'!$S$2:$S$317,$A11,'Данные 1st'!$RE$2:$RE$317),"")</f>
        <v>0</v>
      </c>
      <c r="HS11" s="7">
        <f>IFERROR(AVERAGEIF('Данные 1st'!$S$2:$S$317,$A11,'Данные 1st'!$RF$2:$RF$317),"")</f>
        <v/>
      </c>
      <c r="HT11" s="7">
        <f>IFERROR(AVERAGEIF('Данные 1st'!$S$2:$S$317,$A11,'Данные 1st'!$RG$2:$RG$317),"")</f>
        <v>1</v>
      </c>
      <c r="HU11" s="7">
        <f>IFERROR(AVERAGEIF('Данные 1st'!$S$2:$S$317,$A11,'Данные 1st'!$RH$2:$RH$317),"")</f>
        <v/>
      </c>
      <c r="HV11" s="7">
        <f>IFERROR(AVERAGEIF('Данные 1st'!$S$2:$S$317,$A11,'Данные 1st'!$RI$2:$RI$317),"")</f>
        <v/>
      </c>
      <c r="HW11" s="7">
        <f>IFERROR(AVERAGEIF('Данные 1st'!$S$2:$S$317,$A11,'Данные 1st'!$RJ$2:$RJ$317),"")</f>
        <v>1.3333333333333333</v>
      </c>
      <c r="HX11" s="7">
        <f>IFERROR(AVERAGEIF('Данные 1st'!$S$2:$S$317,$A11,'Данные 1st'!$RK$2:$RK$317),"")</f>
        <v/>
      </c>
      <c r="HY11" s="7">
        <f>IFERROR(AVERAGEIF('Данные 1st'!$S$2:$S$317,$A11,'Данные 1st'!$RL$2:$RL$317),"")</f>
        <v>1.3333333333333333</v>
      </c>
      <c r="HZ11" s="7">
        <f>IFERROR(AVERAGEIF('Данные 1st'!$S$2:$S$317,$A11,'Данные 1st'!$RM$2:$RM$317),"")</f>
        <v/>
      </c>
      <c r="IA11" s="7">
        <f>IFERROR(AVERAGEIF('Данные 1st'!$S$2:$S$317,$A11,'Данные 1st'!$RN$2:$RN$317),"")</f>
        <v/>
      </c>
      <c r="IB11" s="7">
        <f>IFERROR(AVERAGEIF('Данные 1st'!$S$2:$S$317,$A11,'Данные 1st'!$RO$2:$RO$317),"")</f>
        <v>499.6666666666667</v>
      </c>
      <c r="IC11" s="7">
        <f>IFERROR(AVERAGEIF('Данные 1st'!$S$2:$S$317,$A11,'Данные 1st'!$RP$2:$RP$317),"")</f>
        <v/>
      </c>
      <c r="ID11" s="7">
        <f>IFERROR(AVERAGEIF('Данные 1st'!$S$2:$S$317,$A11,'Данные 1st'!$RQ$2:$RQ$317),"")</f>
        <v>849.3333333333334</v>
      </c>
      <c r="IE11" s="7">
        <f>IFERROR(AVERAGEIF('Данные 1st'!$S$2:$S$317,$A11,'Данные 1st'!$RR$2:$RR$317),"")</f>
        <v/>
      </c>
      <c r="IF11" s="7">
        <f>IFERROR(AVERAGEIF('Данные 1st'!$S$2:$S$317,$A11,'Данные 1st'!$RS$2:$RS$317),"")</f>
        <v/>
      </c>
      <c r="IG11" s="7">
        <f>IFERROR(AVERAGEIF('Данные 1st'!$S$2:$S$317,$A11,'Данные 1st'!$RT$2:$RT$317),"")</f>
        <v>192.33333333333334</v>
      </c>
      <c r="IH11" s="7">
        <f>IFERROR(AVERAGEIF('Данные 1st'!$S$2:$S$317,$A11,'Данные 1st'!$RU$2:$RU$317),"")</f>
        <v>153.33333333333334</v>
      </c>
      <c r="II11" s="7">
        <f>IFERROR(AVERAGEIF('Данные 1st'!$S$2:$S$317,$A11,'Данные 1st'!$RX$2:$RX$317),"")</f>
        <v>15</v>
      </c>
      <c r="IJ11" s="7">
        <f>IFERROR(AVERAGEIF('Данные 1st'!$S$2:$S$317,$A11,'Данные 1st'!$RY$2:$RY$317),"")</f>
        <v>4</v>
      </c>
      <c r="IK11" s="7">
        <f>IFERROR(AVERAGEIF('Данные 1st'!$S$2:$S$317,$A11,'Данные 1st'!$SA$2:$SA$317),"")</f>
        <v>15</v>
      </c>
      <c r="IL11" s="7">
        <f>IFERROR(AVERAGEIF('Данные 1st'!$S$2:$S$317,$A11,'Данные 1st'!$SD$2:$SD$317),"")</f>
        <v>1</v>
      </c>
      <c r="IM11" s="7">
        <f>IFERROR(AVERAGEIF('Данные 1st'!$S$2:$S$317,$A11,'Данные 1st'!$SG$2:$SG$317),"")</f>
        <v/>
      </c>
      <c r="IN11" s="7">
        <f>IFERROR(AVERAGEIF('Данные 1st'!$S$2:$S$317,$A11,'Данные 1st'!$SH$2:$SH$317),"")</f>
        <v>0.995</v>
      </c>
      <c r="IO11" s="7">
        <f>IFERROR(AVERAGEIF('Данные 1st'!$S$2:$S$317,$A11,'Данные 1st'!$SI$2:$SI$317),"")</f>
        <v>0.995</v>
      </c>
      <c r="IP11" s="7">
        <f>IFERROR(AVERAGEIF('Данные 1st'!$S$2:$S$317,$A11,'Данные 1st'!$SJ$2:$SJ$317),"")</f>
        <v>0.995</v>
      </c>
      <c r="IQ11" s="7">
        <f>IFERROR(AVERAGEIF('Данные 1st'!$S$2:$S$317,$A11,'Данные 1st'!$SK$2:$SK$317),"")</f>
        <v>15</v>
      </c>
      <c r="IR11" s="7">
        <f>IFERROR(AVERAGEIF('Данные 1st'!$S$2:$S$317,$A11,'Данные 1st'!$SL$2:$SL$317),"")</f>
        <v>0</v>
      </c>
      <c r="IS11" s="7">
        <f>IFERROR(AVERAGEIF('Данные 1st'!$S$2:$S$317,$A11,'Данные 1st'!$SM$2:$SM$317),"")</f>
        <v>0</v>
      </c>
      <c r="IT11" s="7">
        <f>IFERROR(AVERAGEIF('Данные 1st'!$S$2:$S$317,$A11,'Данные 1st'!$SN$2:$SN$317),"")</f>
        <v>0</v>
      </c>
      <c r="IU11" s="7">
        <f>IFERROR(AVERAGEIF('Данные 1st'!$S$2:$S$317,$A11,'Данные 1st'!$SO$2:$SO$317),"")</f>
        <v>0</v>
      </c>
      <c r="IV11" s="7">
        <f>IFERROR(AVERAGEIF('Данные 1st'!$S$2:$S$317,$A11,'Данные 1st'!$SP$2:$SP$317),"")</f>
        <v>0</v>
      </c>
      <c r="IW11" s="7">
        <f>IFERROR(AVERAGEIF('Данные 1st'!$S$2:$S$317,$A11,'Данные 1st'!$SQ$2:$SQ$317),"")</f>
        <v>0</v>
      </c>
      <c r="IX11" s="7">
        <f>IFERROR(AVERAGEIF('Данные 1st'!$S$2:$S$317,$A11,'Данные 1st'!$SR$2:$SR$317),"")</f>
        <v>0</v>
      </c>
      <c r="IY11" s="7">
        <f>IFERROR(AVERAGEIF('Данные 1st'!$S$2:$S$317,$A11,'Данные 1st'!$SS$2:$SS$317),"")</f>
        <v>0</v>
      </c>
      <c r="IZ11" s="7">
        <f>IFERROR(AVERAGEIF('Данные 1st'!$S$2:$S$317,$A11,'Данные 1st'!$ST$2:$ST$317),"")</f>
        <v>0</v>
      </c>
      <c r="JA11" s="7">
        <f>IFERROR(AVERAGEIF('Данные 1st'!$S$2:$S$317,$A11,'Данные 1st'!$SU$2:$SU$317),"")</f>
        <v>0</v>
      </c>
      <c r="JB11" s="7">
        <f>IFERROR(AVERAGEIF('Данные 1st'!$S$2:$S$317,$A11,'Данные 1st'!$SV$2:$SV$317),"")</f>
        <v>0</v>
      </c>
      <c r="JC11" s="7">
        <f>IFERROR(AVERAGEIF('Данные 1st'!$S$2:$S$317,$A11,'Данные 1st'!$SW$2:$SW$317),"")</f>
        <v>0</v>
      </c>
      <c r="JD11" s="7">
        <f>IFERROR(AVERAGEIF('Данные 1st'!$S$2:$S$317,$A11,'Данные 1st'!$SX$2:$SX$317),"")</f>
        <v>0</v>
      </c>
      <c r="JE11" s="7">
        <f>IFERROR(AVERAGEIF('Данные 1st'!$S$2:$S$317,$A11,'Данные 1st'!$SY$2:$SY$317),"")</f>
        <v/>
      </c>
      <c r="JF11" s="7">
        <f>IFERROR(AVERAGEIF('Данные 1st'!$S$2:$S$317,$A11,'Данные 1st'!$SZ$2:$SZ$317),"")</f>
        <v/>
      </c>
      <c r="JG11" s="7">
        <f>IFERROR(AVERAGEIF('Данные 1st'!$S$2:$S$317,$A11,'Данные 1st'!$TA$2:$TA$317),"")</f>
        <v/>
      </c>
      <c r="JH11" s="7">
        <f>IFERROR(AVERAGEIF('Данные 1st'!$S$2:$S$317,$A11,'Данные 1st'!$TB$2:$TB$317),"")</f>
        <v>0</v>
      </c>
      <c r="JI11" s="7">
        <f>IFERROR(AVERAGEIF('Данные 1st'!$S$2:$S$317,$A11,'Данные 1st'!$TC$2:$TC$317),"")</f>
        <v>0</v>
      </c>
      <c r="JJ11" s="7">
        <f>IFERROR(AVERAGEIF('Данные 1st'!$S$2:$S$317,$A11,'Данные 1st'!$TD$2:$TD$317),"")</f>
        <v>7.5</v>
      </c>
      <c r="JK11" s="7">
        <f>IFERROR(AVERAGEIF('Данные 1st'!$S$2:$S$317,$A11,'Данные 1st'!$TN$2:$TN$317),"")</f>
        <v>0</v>
      </c>
      <c r="JL11">
        <f>COUNTIF('Данные 2st'!$Q$2:$Q$317,$A11)</f>
        <v>3</v>
      </c>
      <c r="JM11" s="6" t="s">
        <v>5084</v>
      </c>
      <c r="JN11" s="6" t="s">
        <v>513</v>
      </c>
      <c r="JO11" s="6" t="s">
        <v>5125</v>
      </c>
      <c r="JP11" s="6" t="s">
        <v>5469</v>
      </c>
      <c r="JQ11" s="7">
        <f>IFERROR(AVERAGEIF('Данные 2st'!$Q$2:$Q$317,$A11,'Данные 2st'!$AC$2:$AC$317),"")</f>
        <v>12</v>
      </c>
      <c r="JR11" s="7">
        <f>IFERROR(AVERAGEIF('Данные 2st'!$Q$2:$Q$317,$A11,'Данные 2st'!$AF$2:$AF$317),"")</f>
        <v>3552.3333333333335</v>
      </c>
      <c r="JS11" s="7">
        <f>IFERROR(AVERAGEIF('Данные 2st'!$Q$2:$Q$317,$A11,'Данные 2st'!$AW$2:$AW$317),"")</f>
        <v>6.4</v>
      </c>
      <c r="JT11" s="7">
        <f>IFERROR(AVERAGEIF('Данные 2st'!$Q$2:$Q$317,$A11,'Данные 2st'!$AX$2:$AX$317),"")</f>
        <v>-6</v>
      </c>
      <c r="JU11" s="7">
        <f>IFERROR(AVERAGEIF('Данные 2st'!$Q$2:$Q$317,$A11,'Данные 2st'!$AY$2:$AY$317),"")</f>
        <v>88.5</v>
      </c>
      <c r="JV11" s="7">
        <f>IFERROR(AVERAGEIF('Данные 2st'!$Q$2:$Q$317,$A11,'Данные 2st'!$AZ$2:$AZ$317),"")</f>
        <v>72.66666666666667</v>
      </c>
      <c r="JW11" s="7">
        <f>IFERROR(AVERAGEIF('Данные 2st'!$Q$2:$Q$317,$A11,'Данные 2st'!$BA$2:$BA$317),"")</f>
        <v/>
      </c>
      <c r="JX11" s="7">
        <f>IFERROR(AVERAGEIF('Данные 2st'!$Q$2:$Q$317,$A11,'Данные 2st'!$BB$2:$BB$317),"")</f>
        <v/>
      </c>
      <c r="JY11" s="7">
        <f>IFERROR(AVERAGEIF('Данные 2st'!$Q$2:$Q$317,$A11,'Данные 2st'!$BC$2:$BC$317),"")</f>
        <v/>
      </c>
      <c r="JZ11" s="7">
        <f>IFERROR(AVERAGEIF('Данные 2st'!$Q$2:$Q$317,$A11,'Данные 2st'!$BH$2:$BH$317),"")</f>
        <v>88.5</v>
      </c>
      <c r="KA11" s="7">
        <f>IFERROR(AVERAGEIF('Данные 2st'!$Q$2:$Q$317,$A11,'Данные 2st'!$BI$2:$BI$317),"")</f>
        <v>15.833333333333334</v>
      </c>
      <c r="KB11" s="7">
        <f>IFERROR(AVERAGEIF('Данные 2st'!$Q$2:$Q$317,$A11,'Данные 2st'!$BJ$2:$BJ$317),"")</f>
        <v>72.66666666666667</v>
      </c>
      <c r="KC11" s="7">
        <f>IFERROR(AVERAGEIF('Данные 2st'!$Q$2:$Q$317,$A11,'Данные 2st'!$BK$2:$BK$317),"")</f>
        <v>2.6666666666666665</v>
      </c>
      <c r="KD11" s="7">
        <f>IFERROR(AVERAGEIF('Данные 2st'!$Q$2:$Q$317,$A11,'Данные 2st'!$BL$2:$BL$317),"")</f>
        <v>177</v>
      </c>
      <c r="KE11" s="7">
        <f>IFERROR(AVERAGEIF('Данные 2st'!$Q$2:$Q$317,$A11,'Данные 2st'!$BM$2:$BM$317),"")</f>
        <v>-6</v>
      </c>
      <c r="KF11" s="7">
        <f>IFERROR(AVERAGEIF('Данные 2st'!$Q$2:$Q$317,$A11,'Данные 2st'!$BN$2:$BN$317),"")</f>
        <v>0</v>
      </c>
      <c r="KG11" s="7">
        <f>IFERROR(AVERAGEIF('Данные 2st'!$Q$2:$Q$317,$A11,'Данные 2st'!$BO$2:$BO$317),"")</f>
        <v/>
      </c>
      <c r="KH11" s="7">
        <f>IFERROR(AVERAGEIF('Данные 2st'!$Q$2:$Q$317,$A11,'Данные 2st'!$BP$2:$BP$317),"")</f>
        <v>0</v>
      </c>
      <c r="KI11" s="7">
        <f>IFERROR(AVERAGEIF('Данные 2st'!$Q$2:$Q$317,$A11,'Данные 2st'!$BR$2:$BR$317),"")</f>
        <v>171.66666666666666</v>
      </c>
      <c r="KJ11" s="7">
        <f>IFERROR(AVERAGEIF('Данные 2st'!$Q$2:$Q$317,$A11,'Данные 2st'!$BS$2:$BS$317),"")</f>
        <v>161.66666666666666</v>
      </c>
      <c r="KK11" s="7">
        <f>IFERROR(AVERAGEIF('Данные 2st'!$Q$2:$Q$317,$A11,'Данные 2st'!$BT$2:$BT$317),"")</f>
        <v>1810</v>
      </c>
      <c r="KL11" s="7">
        <f>IFERROR(AVERAGEIF('Данные 2st'!$Q$2:$Q$317,$A11,'Данные 2st'!$CV$2:$CV$317),"")</f>
        <v>113</v>
      </c>
      <c r="KM11" s="7">
        <f>IFERROR(AVERAGEIF('Данные 2st'!$Q$2:$Q$317,$A11,'Данные 2st'!$CW$2:$CW$317),"")</f>
        <v>3</v>
      </c>
      <c r="KN11" s="7">
        <f>IFERROR(AVERAGEIF('Данные 2st'!$Q$2:$Q$317,$A11,'Данные 2st'!$CX$2:$CX$317),"")</f>
        <v>93.33333333333333</v>
      </c>
      <c r="KO11" s="7">
        <f>IFERROR(AVERAGEIF('Данные 2st'!$Q$2:$Q$317,$A11,'Данные 2st'!$CY$2:$CY$317),"")</f>
        <v>5</v>
      </c>
      <c r="KP11" s="7">
        <f>IFERROR(AVERAGEIF('Данные 2st'!$Q$2:$Q$317,$A11,'Данные 2st'!$CZ$2:$CZ$317),"")</f>
        <v>123.66666666666667</v>
      </c>
      <c r="KQ11" s="7">
        <f>IFERROR(AVERAGEIF('Данные 2st'!$Q$2:$Q$317,$A11,'Данные 2st'!$DA$2:$DA$317),"")</f>
        <v>5</v>
      </c>
      <c r="KR11" s="7">
        <f>IFERROR(AVERAGEIF('Данные 2st'!$Q$2:$Q$317,$A11,'Данные 2st'!$DB$2:$DB$317),"")</f>
        <v>8606.666666666666</v>
      </c>
      <c r="KS11" s="7">
        <f>IFERROR(AVERAGEIF('Данные 2st'!$Q$2:$Q$317,$A11,'Данные 2st'!$DC$2:$DC$317),"")</f>
        <v>223.33333333333334</v>
      </c>
      <c r="KT11" s="7">
        <f>IFERROR(AVERAGEIF('Данные 2st'!$Q$2:$Q$317,$A11,'Данные 2st'!$DD$2:$DD$317),"")</f>
        <v>283</v>
      </c>
      <c r="KU11" s="7">
        <f>IFERROR(AVERAGEIF('Данные 2st'!$Q$2:$Q$317,$A11,'Данные 2st'!$DE$2:$DE$317),"")</f>
        <v>1903</v>
      </c>
      <c r="KV11" s="7">
        <f>IFERROR(AVERAGEIF('Данные 2st'!$Q$2:$Q$317,$A11,'Данные 2st'!$DF$2:$DF$317),"")</f>
        <v>1903</v>
      </c>
      <c r="KW11" s="7">
        <f>IFERROR(AVERAGEIF('Данные 2st'!$Q$2:$Q$317,$A11,'Данные 2st'!$DG$2:$DG$317),"")</f>
        <v>1924</v>
      </c>
      <c r="KX11" s="7">
        <f>IFERROR(AVERAGEIF('Данные 2st'!$Q$2:$Q$317,$A11,'Данные 2st'!$DH$2:$DH$317),"")</f>
        <v/>
      </c>
      <c r="KY11" s="7">
        <f>IFERROR(AVERAGEIF('Данные 2st'!$Q$2:$Q$317,$A11,'Данные 2st'!$DI$2:$DI$317),"")</f>
        <v/>
      </c>
      <c r="KZ11" s="7">
        <f>IFERROR(AVERAGEIF('Данные 2st'!$Q$2:$Q$317,$A11,'Данные 2st'!$DK$2:$DK$317),"")</f>
        <v>171.66666666666666</v>
      </c>
      <c r="LA11" s="7">
        <f>IFERROR(AVERAGEIF('Данные 2st'!$Q$2:$Q$317,$A11,'Данные 2st'!$DM$2:$DM$317),"")</f>
        <v>64.33333333333333</v>
      </c>
      <c r="LB11" s="7">
        <f>IFERROR(AVERAGEIF('Данные 2st'!$Q$2:$Q$317,$A11,'Данные 2st'!$DN$2:$DN$317),"")</f>
        <v>0.84</v>
      </c>
      <c r="LC11" s="7">
        <f>IFERROR(AVERAGEIF('Данные 2st'!$Q$2:$Q$317,$A11,'Данные 2st'!$DO$2:$DO$317),"")</f>
        <v>1</v>
      </c>
      <c r="LD11" s="7">
        <f>IFERROR(AVERAGEIF('Данные 2st'!$Q$2:$Q$317,$A11,'Данные 2st'!$DP$2:$DP$317),"")</f>
        <v>1813</v>
      </c>
      <c r="LE11" s="7">
        <f>IFERROR(AVERAGEIF('Данные 2st'!$Q$2:$Q$317,$A11,'Данные 2st'!$DQ$2:$DQ$317),"")</f>
        <v>569.3333333333334</v>
      </c>
      <c r="LF11" s="7">
        <f>IFERROR(AVERAGEIF('Данные 2st'!$Q$2:$Q$317,$A11,'Данные 2st'!$DS$2:$DS$317),"")</f>
        <v>161.66666666666666</v>
      </c>
      <c r="LG11" s="7">
        <f>IFERROR(AVERAGEIF('Данные 2st'!$Q$2:$Q$317,$A11,'Данные 2st'!$DU$2:$DU$317),"")</f>
        <v>64.33333333333333</v>
      </c>
      <c r="LH11" s="7">
        <f>IFERROR(AVERAGEIF('Данные 2st'!$Q$2:$Q$317,$A11,'Данные 2st'!$DV$2:$DV$317),"")</f>
        <v>0.84</v>
      </c>
      <c r="LI11" s="7">
        <f>IFERROR(AVERAGEIF('Данные 2st'!$Q$2:$Q$317,$A11,'Данные 2st'!$DW$2:$DW$317),"")</f>
        <v>1</v>
      </c>
      <c r="LJ11" s="7">
        <f>IFERROR(AVERAGEIF('Данные 2st'!$Q$2:$Q$317,$A11,'Данные 2st'!$DX$2:$DX$317),"")</f>
        <v>1820</v>
      </c>
      <c r="LK11" s="7">
        <f>IFERROR(AVERAGEIF('Данные 2st'!$Q$2:$Q$317,$A11,'Данные 2st'!$DY$2:$DY$317),"")</f>
        <v>537.3333333333334</v>
      </c>
      <c r="LL11" s="7">
        <f>IFERROR(AVERAGEIF('Данные 2st'!$Q$2:$Q$317,$A11,'Данные 2st'!$EA$2:$EA$317),"")</f>
        <v>33</v>
      </c>
      <c r="LM11" s="7">
        <f>IFERROR(AVERAGEIF('Данные 2st'!$Q$2:$Q$317,$A11,'Данные 2st'!$EC$2:$EC$317),"")</f>
        <v>0.4</v>
      </c>
      <c r="LN11" s="7">
        <f>IFERROR(AVERAGEIF('Данные 2st'!$Q$2:$Q$317,$A11,'Данные 2st'!$ED$2:$ED$317),"")</f>
        <v>1813</v>
      </c>
      <c r="LO11" s="7">
        <f>IFERROR(AVERAGEIF('Данные 2st'!$Q$2:$Q$317,$A11,'Данные 2st'!$EE$2:$EE$317),"")</f>
        <v>53</v>
      </c>
      <c r="LP11" s="7">
        <f>IFERROR(AVERAGEIF('Данные 2st'!$Q$2:$Q$317,$A11,'Данные 2st'!$EG$2:$EG$317),"")</f>
        <v>33</v>
      </c>
      <c r="LQ11" s="7">
        <f>IFERROR(AVERAGEIF('Данные 2st'!$Q$2:$Q$317,$A11,'Данные 2st'!$EI$2:$EI$317),"")</f>
        <v>0.4</v>
      </c>
      <c r="LR11" s="7">
        <f>IFERROR(AVERAGEIF('Данные 2st'!$Q$2:$Q$317,$A11,'Данные 2st'!$EJ$2:$EJ$317),"")</f>
        <v>1820</v>
      </c>
      <c r="LS11" s="7">
        <f>IFERROR(AVERAGEIF('Данные 2st'!$Q$2:$Q$317,$A11,'Данные 2st'!$EK$2:$EK$317),"")</f>
        <v>53</v>
      </c>
      <c r="LT11" s="7">
        <f>IFERROR(AVERAGEIF('Данные 2st'!$Q$2:$Q$317,$A11,'Данные 2st'!$EM$2:$EM$317),"")</f>
        <v>12</v>
      </c>
      <c r="LU11" s="7">
        <f>IFERROR(AVERAGEIF('Данные 2st'!$Q$2:$Q$317,$A11,'Данные 2st'!$EN$2:$EN$317),"")</f>
        <v>0.5</v>
      </c>
      <c r="LV11" s="7">
        <f>IFERROR(AVERAGEIF('Данные 2st'!$Q$2:$Q$317,$A11,'Данные 2st'!$EO$2:$EO$317),"")</f>
        <v>0.94</v>
      </c>
      <c r="LW11" s="7">
        <f>IFERROR(AVERAGEIF('Данные 2st'!$Q$2:$Q$317,$A11,'Данные 2st'!$EP$2:$EP$317),"")</f>
        <v>1820.56</v>
      </c>
      <c r="LX11" s="7">
        <f>IFERROR(AVERAGEIF('Данные 2st'!$Q$2:$Q$317,$A11,'Данные 2st'!$EQ$2:$EQ$317),"")</f>
        <v>26881.70666666667</v>
      </c>
      <c r="LY11" s="7">
        <f>IFERROR(AVERAGEIF('Данные 2st'!$Q$2:$Q$317,$A11,'Данные 2st'!$ER$2:$ER$317),"")</f>
        <v>4518.616666666667</v>
      </c>
      <c r="LZ11" s="7">
        <f>IFERROR(AVERAGEIF('Данные 2st'!$Q$2:$Q$317,$A11,'Данные 2st'!$ES$2:$ES$317),"")</f>
        <v>0</v>
      </c>
      <c r="MA11" s="7">
        <f>IFERROR(AVERAGEIF('Данные 2st'!$Q$2:$Q$317,$A11,'Данные 2st'!$ET$2:$ET$317),"")</f>
        <v>0</v>
      </c>
      <c r="MB11" s="7">
        <f>IFERROR(AVERAGEIF('Данные 2st'!$Q$2:$Q$317,$A11,'Данные 2st'!$EU$2:$EU$317),"")</f>
        <v>1</v>
      </c>
      <c r="MC11" s="7">
        <f>IFERROR(AVERAGEIF('Данные 2st'!$Q$2:$Q$317,$A11,'Данные 2st'!$EV$2:$EV$317),"")</f>
        <v>31400.666666666668</v>
      </c>
      <c r="MD11" s="7">
        <f>IFERROR(AVERAGEIF('Данные 2st'!$Q$2:$Q$317,$A11,'Данные 2st'!$EW$2:$EW$317),"")</f>
        <v>377.6666666666667</v>
      </c>
      <c r="ME11" s="7">
        <f>IFERROR(AVERAGEIF('Данные 2st'!$Q$2:$Q$317,$A11,'Данные 2st'!$EY$2:$EY$317),"")</f>
        <v>186</v>
      </c>
      <c r="MF11" s="7">
        <f>IFERROR(AVERAGEIF('Данные 2st'!$Q$2:$Q$317,$A11,'Данные 2st'!$FA$2:$FA$317),"")</f>
        <v>4.466666666666667</v>
      </c>
      <c r="MG11" s="7">
        <f>IFERROR(AVERAGEIF('Данные 2st'!$Q$2:$Q$317,$A11,'Данные 2st'!$FB$2:$FB$317),"")</f>
        <v>1</v>
      </c>
      <c r="MH11" s="7">
        <f>IFERROR(AVERAGEIF('Данные 2st'!$Q$2:$Q$317,$A11,'Данные 2st'!$FC$2:$FC$317),"")</f>
        <v>1</v>
      </c>
      <c r="MI11" s="7">
        <f>IFERROR(AVERAGEIF('Данные 2st'!$Q$2:$Q$317,$A11,'Данные 2st'!$FD$2:$FD$317),"")</f>
        <v>1851</v>
      </c>
      <c r="MJ11" s="7">
        <f>IFERROR(AVERAGEIF('Данные 2st'!$Q$2:$Q$317,$A11,'Данные 2st'!$FE$2:$FE$317),"")</f>
        <v>2055.6666666666665</v>
      </c>
      <c r="MK11" s="7">
        <f>IFERROR(AVERAGEIF('Данные 2st'!$Q$2:$Q$317,$A11,'Данные 2st'!$FG$2:$FG$317),"")</f>
        <v>188</v>
      </c>
      <c r="ML11" s="7">
        <f>IFERROR(AVERAGEIF('Данные 2st'!$Q$2:$Q$317,$A11,'Данные 2st'!$FI$2:$FI$317),"")</f>
        <v>2.7666666666666666</v>
      </c>
      <c r="MM11" s="7">
        <f>IFERROR(AVERAGEIF('Данные 2st'!$Q$2:$Q$317,$A11,'Данные 2st'!$FJ$2:$FJ$317),"")</f>
        <v>1851</v>
      </c>
      <c r="MN11" s="7">
        <f>IFERROR(AVERAGEIF('Данные 2st'!$Q$2:$Q$317,$A11,'Данные 2st'!$FK$2:$FK$317),"")</f>
        <v>1083.6666666666667</v>
      </c>
      <c r="MO11" s="7">
        <f>IFERROR(AVERAGEIF('Данные 2st'!$Q$2:$Q$317,$A11,'Данные 2st'!$FP$2:$FP$317),"")</f>
        <v>1851</v>
      </c>
      <c r="MP11" s="7">
        <f>IFERROR(AVERAGEIF('Данные 2st'!$Q$2:$Q$317,$A11,'Данные 2st'!$FQ$2:$FQ$317),"")</f>
        <v>152</v>
      </c>
      <c r="MQ11" s="7">
        <f>IFERROR(AVERAGEIF('Данные 2st'!$Q$2:$Q$317,$A11,'Данные 2st'!$FS$2:$FS$317),"")</f>
        <v>192</v>
      </c>
      <c r="MR11" s="7">
        <f>IFERROR(AVERAGEIF('Данные 2st'!$Q$2:$Q$317,$A11,'Данные 2st'!$FU$2:$FU$317),"")</f>
        <v>0.4</v>
      </c>
      <c r="MS11" s="7">
        <f>IFERROR(AVERAGEIF('Данные 2st'!$Q$2:$Q$317,$A11,'Данные 2st'!$FV$2:$FV$317),"")</f>
        <v>1851</v>
      </c>
      <c r="MT11" s="7">
        <f>IFERROR(AVERAGEIF('Данные 2st'!$Q$2:$Q$317,$A11,'Данные 2st'!$FW$2:$FW$317),"")</f>
        <v>158.33333333333334</v>
      </c>
      <c r="MU11" s="7">
        <f>IFERROR(AVERAGEIF('Данные 2st'!$Q$2:$Q$317,$A11,'Данные 2st'!$FY$2:$FY$317),"")</f>
        <v>7.5</v>
      </c>
      <c r="MV11" s="7">
        <f>IFERROR(AVERAGEIF('Данные 2st'!$Q$2:$Q$317,$A11,'Данные 2st'!$GB$2:$GB$317),"")</f>
        <v>1850</v>
      </c>
      <c r="MW11" s="7">
        <f>IFERROR(AVERAGEIF('Данные 2st'!$Q$2:$Q$317,$A11,'Данные 2st'!$GC$2:$GC$317),"")</f>
        <v>17.5</v>
      </c>
      <c r="MX11" s="7">
        <f>IFERROR(AVERAGEIF('Данные 2st'!$Q$2:$Q$317,$A11,'Данные 2st'!$GD$2:$GD$317),"")</f>
        <v>3461.3333333333335</v>
      </c>
      <c r="MY11" s="7">
        <f>IFERROR(AVERAGEIF('Данные 2st'!$Q$2:$Q$317,$A11,'Данные 2st'!$GN$2:$GN$317),"")</f>
        <v/>
      </c>
      <c r="MZ11" s="7">
        <f>IFERROR(AVERAGEIF('Данные 2st'!$Q$2:$Q$317,$A11,'Данные 2st'!$GQ$2:$GQ$317),"")</f>
        <v>0</v>
      </c>
      <c r="NA11" s="7">
        <f>IFERROR(AVERAGEIF('Данные 2st'!$Q$2:$Q$317,$A11,'Данные 2st'!$GV$2:$GV$317),"")</f>
        <v>7.633333333333334</v>
      </c>
      <c r="NB11" s="7">
        <f>IFERROR(AVERAGEIF('Данные 2st'!$Q$2:$Q$317,$A11,'Данные 2st'!$GW$2:$GW$317),"")</f>
        <v>10.4</v>
      </c>
      <c r="NC11" s="7">
        <f>IFERROR(AVERAGEIF('Данные 2st'!$Q$2:$Q$317,$A11,'Данные 2st'!$GX$2:$GX$317),"")</f>
        <v>0.5</v>
      </c>
      <c r="ND11" s="7">
        <f>IFERROR(AVERAGEIF('Данные 2st'!$Q$2:$Q$317,$A11,'Данные 2st'!$GY$2:$GY$317),"")</f>
        <v>161.33333333333334</v>
      </c>
      <c r="NE11" s="7">
        <f>IFERROR(AVERAGEIF('Данные 2st'!$Q$2:$Q$317,$A11,'Данные 2st'!$GZ$2:$GZ$317),"")</f>
        <v>3</v>
      </c>
      <c r="NF11" s="7">
        <f>IFERROR(AVERAGEIF('Данные 2st'!$Q$2:$Q$317,$A11,'Данные 2st'!$HA$2:$HA$317),"")</f>
        <v>206.66666666666666</v>
      </c>
      <c r="NG11" s="7">
        <f>IFERROR(AVERAGEIF('Данные 2st'!$Q$2:$Q$317,$A11,'Данные 2st'!$HB$2:$HB$317),"")</f>
        <v>3</v>
      </c>
      <c r="NH11" s="7">
        <f>IFERROR(AVERAGEIF('Данные 2st'!$Q$2:$Q$317,$A11,'Данные 2st'!$HC$2:$HC$317),"")</f>
        <v>1851</v>
      </c>
      <c r="NI11" s="7">
        <f>IFERROR(AVERAGEIF('Данные 2st'!$Q$2:$Q$317,$A11,'Данные 2st'!$HD$2:$HD$317),"")</f>
        <v>4</v>
      </c>
      <c r="NJ11" s="7">
        <f>IFERROR(AVERAGEIF('Данные 2st'!$Q$2:$Q$317,$A11,'Данные 2st'!$HM$2:$HM$317),"")</f>
        <v>16</v>
      </c>
      <c r="NK11" s="7">
        <f>IFERROR(AVERAGEIF('Данные 2st'!$Q$2:$Q$317,$A11,'Данные 2st'!$HR$2:$HR$317),"")</f>
        <v>3</v>
      </c>
      <c r="NL11" s="7">
        <f>IFERROR(AVERAGEIF('Данные 2st'!$Q$2:$Q$317,$A11,'Данные 2st'!$HS$2:$HS$317),"")</f>
        <v>1810</v>
      </c>
      <c r="NM11" s="7">
        <f>IFERROR(AVERAGEIF('Данные 2st'!$Q$2:$Q$317,$A11,'Данные 2st'!$HT$2:$HT$317),"")</f>
        <v>5.166666666666667</v>
      </c>
      <c r="NN11" s="7">
        <f>IFERROR(AVERAGEIF('Данные 2st'!$Q$2:$Q$317,$A11,'Данные 2st'!$HY$2:$HY$317),"")</f>
        <v>0</v>
      </c>
      <c r="NO11" s="7">
        <f>IFERROR(AVERAGEIF('Данные 2st'!$Q$2:$Q$317,$A11,'Данные 2st'!$HZ$2:$HZ$317),"")</f>
        <v>64.33333333333333</v>
      </c>
      <c r="NP11" s="7">
        <f>IFERROR(AVERAGEIF('Данные 2st'!$Q$2:$Q$317,$A11,'Данные 2st'!$IA$2:$IA$317),"")</f>
        <v>1813</v>
      </c>
      <c r="NQ11" s="7">
        <f>IFERROR(AVERAGEIF('Данные 2st'!$Q$2:$Q$317,$A11,'Данные 2st'!$IB$2:$IB$317),"")</f>
        <v>1820</v>
      </c>
      <c r="NR11" s="7">
        <f>IFERROR(AVERAGEIF('Данные 2st'!$Q$2:$Q$317,$A11,'Данные 2st'!$IC$2:$IC$317),"")</f>
        <v/>
      </c>
      <c r="NS11" s="7">
        <f>IFERROR(AVERAGEIF('Данные 2st'!$Q$2:$Q$317,$A11,'Данные 2st'!$ID$2:$ID$317),"")</f>
        <v>1851</v>
      </c>
      <c r="NT11" s="7">
        <f>IFERROR(AVERAGEIF('Данные 2st'!$Q$2:$Q$317,$A11,'Данные 2st'!$IE$2:$IE$317),"")</f>
        <v>1851</v>
      </c>
      <c r="NU11" s="7">
        <f>IFERROR(AVERAGEIF('Данные 2st'!$Q$2:$Q$317,$A11,'Данные 2st'!$IF$2:$IF$317),"")</f>
        <v>171.66666666666666</v>
      </c>
      <c r="NV11" s="7">
        <f>IFERROR(AVERAGEIF('Данные 2st'!$Q$2:$Q$317,$A11,'Данные 2st'!$IG$2:$IG$317),"")</f>
        <v>161.66666666666666</v>
      </c>
      <c r="NW11" s="7">
        <f>IFERROR(AVERAGEIF('Данные 2st'!$Q$2:$Q$317,$A11,'Данные 2st'!$IH$2:$IH$317),"")</f>
        <v>206.66666666666666</v>
      </c>
      <c r="NX11" s="7">
        <f>IFERROR(AVERAGEIF('Данные 2st'!$Q$2:$Q$317,$A11,'Данные 2st'!$IJ$2:$IJ$317),"")</f>
        <v>5</v>
      </c>
      <c r="NY11" s="7">
        <f>IFERROR(AVERAGEIF('Данные 2st'!$Q$2:$Q$317,$A11,'Данные 2st'!$IM$2:$IM$317),"")</f>
        <v>0</v>
      </c>
      <c r="NZ11" s="7">
        <f>IFERROR(AVERAGEIF('Данные 2st'!$Q$2:$Q$317,$A11,'Данные 2st'!$IN$2:$IN$317),"")</f>
        <v>270</v>
      </c>
      <c r="OA11" s="7">
        <f>IFERROR(AVERAGEIF('Данные 2st'!$Q$2:$Q$317,$A11,'Данные 2st'!$IO$2:$IO$317),"")</f>
        <v>0</v>
      </c>
      <c r="OB11" s="7">
        <f>IFERROR(AVERAGEIF('Данные 2st'!$Q$2:$Q$317,$A11,'Данные 2st'!$IP$2:$IP$317),"")</f>
        <v>180</v>
      </c>
      <c r="OC11" s="7">
        <f>IFERROR(AVERAGEIF('Данные 2st'!$Q$2:$Q$317,$A11,'Данные 2st'!$IQ$2:$IQ$317),"")</f>
        <v>0</v>
      </c>
      <c r="OD11" s="7">
        <f>IFERROR(AVERAGEIF('Данные 2st'!$Q$2:$Q$317,$A11,'Данные 2st'!$IR$2:$IR$317),"")</f>
        <v>330</v>
      </c>
      <c r="OE11" s="7">
        <f>IFERROR(AVERAGEIF('Данные 2st'!$Q$2:$Q$317,$A11,'Данные 2st'!$IT$2:$IT$317),"")</f>
        <v>90</v>
      </c>
      <c r="OF11" s="7">
        <f>IFERROR(AVERAGEIF('Данные 2st'!$Q$2:$Q$317,$A11,'Данные 2st'!$IU$2:$IU$317),"")</f>
        <v>0</v>
      </c>
      <c r="OG11" s="7">
        <f>IFERROR(AVERAGEIF('Данные 2st'!$Q$2:$Q$317,$A11,'Данные 2st'!$IV$2:$IV$317),"")</f>
        <v>6.4</v>
      </c>
      <c r="OH11" s="7">
        <f>IFERROR(AVERAGEIF('Данные 2st'!$Q$2:$Q$317,$A11,'Данные 2st'!$IW$2:$IW$317),"")</f>
        <v>-6</v>
      </c>
      <c r="OI11" s="7">
        <f>IFERROR(AVERAGEIF('Данные 2st'!$Q$2:$Q$317,$A11,'Данные 2st'!$IX$2:$IX$317),"")</f>
        <v>88.5</v>
      </c>
      <c r="OJ11" s="7">
        <f>IFERROR(AVERAGEIF('Данные 2st'!$Q$2:$Q$317,$A11,'Данные 2st'!$IY$2:$IY$317),"")</f>
        <v>72.66666666666667</v>
      </c>
      <c r="OK11" s="7">
        <f>IFERROR(AVERAGEIF('Данные 2st'!$Q$2:$Q$317,$A11,'Данные 2st'!$IZ$2:$IZ$317),"")</f>
        <v>0</v>
      </c>
      <c r="OL11" s="7">
        <f>IFERROR(AVERAGEIF('Данные 2st'!$Q$2:$Q$317,$A11,'Данные 2st'!$JA$2:$JA$317),"")</f>
        <v>0</v>
      </c>
      <c r="OM11" s="7">
        <f>IFERROR(AVERAGEIF('Данные 2st'!$Q$2:$Q$317,$A11,'Данные 2st'!$JB$2:$JB$317),"")</f>
        <v>0</v>
      </c>
      <c r="ON11" s="7">
        <f>IFERROR(AVERAGEIF('Данные 2st'!$Q$2:$Q$317,$A11,'Данные 2st'!$JC$2:$JC$317),"")</f>
        <v>0</v>
      </c>
      <c r="OO11" s="7">
        <f>IFERROR(AVERAGEIF('Данные 2st'!$Q$2:$Q$317,$A11,'Данные 2st'!$JD$2:$JD$317),"")</f>
        <v>0</v>
      </c>
      <c r="OP11" s="7">
        <f>IFERROR(AVERAGEIF('Данные 2st'!$Q$2:$Q$317,$A11,'Данные 2st'!$JE$2:$JE$317),"")</f>
        <v>0</v>
      </c>
      <c r="OQ11" s="7">
        <f>IFERROR(AVERAGEIF('Данные 2st'!$Q$2:$Q$317,$A11,'Данные 2st'!$JF$2:$JF$317),"")</f>
        <v>0</v>
      </c>
      <c r="OR11" s="7">
        <f>IFERROR(AVERAGEIF('Данные 2st'!$Q$2:$Q$317,$A11,'Данные 2st'!$JG$2:$JG$317),"")</f>
        <v>0</v>
      </c>
      <c r="OS11" s="7">
        <f>IFERROR(AVERAGEIF('Данные 2st'!$Q$2:$Q$317,$A11,'Данные 2st'!$JH$2:$JH$317),"")</f>
        <v>0</v>
      </c>
      <c r="OT11" s="7">
        <f>IFERROR(AVERAGEIF('Данные 2st'!$Q$2:$Q$317,$A11,'Данные 2st'!$JI$2:$JI$317),"")</f>
        <v>330</v>
      </c>
      <c r="OU11" s="7">
        <f>IFERROR(AVERAGEIF('Данные 2st'!$Q$2:$Q$317,$A11,'Данные 2st'!$JJ$2:$JJ$317),"")</f>
        <v>298</v>
      </c>
      <c r="OV11" s="7">
        <f>IFERROR(AVERAGEIF('Данные 2st'!$Q$2:$Q$317,$A11,'Данные 2st'!$JK$2:$JK$317),"")</f>
        <v>217.33333333333334</v>
      </c>
      <c r="OW11" s="7">
        <f>IFERROR(AVERAGEIF('Данные 2st'!$Q$2:$Q$317,$A11,'Данные 2st'!$JL$2:$JL$317),"")</f>
        <v>297</v>
      </c>
      <c r="OX11" s="7">
        <f>IFERROR(AVERAGEIF('Данные 2st'!$Q$2:$Q$317,$A11,'Данные 2st'!$JM$2:$JM$317),"")</f>
        <v>219.33333333333334</v>
      </c>
      <c r="OY11" s="7">
        <f>IFERROR(AVERAGEIF('Данные 2st'!$Q$2:$Q$317,$A11,'Данные 2st'!$JP$2:$JP$317),"")</f>
        <v>223.33333333333334</v>
      </c>
      <c r="OZ11" s="7">
        <f>IFERROR(AVERAGEIF('Данные 2st'!$Q$2:$Q$317,$A11,'Данные 2st'!$JQ$2:$JQ$317),"")</f>
        <v>275.6666666666667</v>
      </c>
      <c r="PA11" s="7">
        <f>IFERROR(AVERAGEIF('Данные 2st'!$Q$2:$Q$317,$A11,'Данные 2st'!$JR$2:$JR$317),"")</f>
        <v>341.6666666666667</v>
      </c>
      <c r="PB11" s="7">
        <f>IFERROR(AVERAGEIF('Данные 2st'!$Q$2:$Q$317,$A11,'Данные 2st'!$JS$2:$JS$317),"")</f>
        <v>273.3333333333333</v>
      </c>
      <c r="PC11" s="7">
        <f>IFERROR(AVERAGEIF('Данные 2st'!$Q$2:$Q$317,$A11,'Данные 2st'!$JT$2:$JT$317),"")</f>
        <v>0</v>
      </c>
      <c r="PD11" s="7">
        <f>IFERROR(AVERAGEIF('Данные 2st'!$Q$2:$Q$317,$A11,'Данные 2st'!$JU$2:$JU$317),"")</f>
        <v>0</v>
      </c>
      <c r="PE11" s="7">
        <f>IFERROR(AVERAGEIF('Данные 2st'!$Q$2:$Q$317,$A11,'Данные 2st'!$JV$2:$JV$317),"")</f>
        <v>321</v>
      </c>
      <c r="PF11" s="7">
        <f>IFERROR(AVERAGEIF('Данные 2st'!$Q$2:$Q$317,$A11,'Данные 2st'!$JW$2:$JW$317),"")</f>
        <v>327</v>
      </c>
      <c r="PG11" s="7">
        <f>IFERROR(AVERAGEIF('Данные 2st'!$Q$2:$Q$317,$A11,'Данные 2st'!$KF$2:$KF$317),"")</f>
        <v>0.15666666666666668</v>
      </c>
      <c r="PH11" s="7">
        <f>IFERROR(AVERAGEIF('Данные 2st'!$Q$2:$Q$317,$A11,'Данные 2st'!$KG$2:$KG$317),"")</f>
        <v>0.10333333333333333</v>
      </c>
      <c r="PI11" s="7">
        <f>IFERROR(AVERAGEIF('Данные 2st'!$Q$2:$Q$317,$A11,'Данные 2st'!$KM$2:$KM$317),"")</f>
        <v>1.3333333333333333</v>
      </c>
      <c r="PJ11" s="7">
        <f>IFERROR(AVERAGEIF('Данные 2st'!$Q$2:$Q$317,$A11,'Данные 2st'!$KN$2:$KN$317),"")</f>
        <v>1.2666666666666666</v>
      </c>
      <c r="PK11" s="7">
        <f>IFERROR(AVERAGEIF('Данные 2st'!$Q$2:$Q$317,$A11,'Данные 2st'!$KO$2:$KO$317),"")</f>
        <v>0</v>
      </c>
      <c r="PL11" s="7">
        <f>IFERROR(AVERAGEIF('Данные 2st'!$Q$2:$Q$317,$A11,'Данные 2st'!$KP$2:$KP$317),"")</f>
        <v>0</v>
      </c>
      <c r="PM11" s="7">
        <f>IFERROR(AVERAGEIF('Данные 2st'!$Q$2:$Q$317,$A11,'Данные 2st'!$KQ$2:$KQ$317),"")</f>
        <v>0.8666666666666667</v>
      </c>
      <c r="PN11" s="7">
        <f>IFERROR(AVERAGEIF('Данные 2st'!$Q$2:$Q$317,$A11,'Данные 2st'!$KR$2:$KR$317),"")</f>
        <v>1.3333333333333333</v>
      </c>
      <c r="PO11" s="7">
        <f>IFERROR(AVERAGEIF('Данные 2st'!$Q$2:$Q$317,$A11,'Данные 2st'!$KS$2:$KS$317),"")</f>
        <v>0</v>
      </c>
      <c r="PP11" s="7">
        <f>IFERROR(AVERAGEIF('Данные 2st'!$Q$2:$Q$317,$A11,'Данные 2st'!$KT$2:$KT$317),"")</f>
        <v>1.8333333333333333</v>
      </c>
      <c r="PQ11" s="7">
        <f>IFERROR(AVERAGEIF('Данные 2st'!$Q$2:$Q$317,$A11,'Данные 2st'!$KU$2:$KU$317),"")</f>
        <v>0</v>
      </c>
      <c r="PR11" s="7">
        <f>IFERROR(AVERAGEIF('Данные 2st'!$Q$2:$Q$317,$A11,'Данные 2st'!$KV$2:$KV$317),"")</f>
        <v>0</v>
      </c>
      <c r="PS11" s="7">
        <f>IFERROR(AVERAGEIF('Данные 2st'!$Q$2:$Q$317,$A11,'Данные 2st'!$KW$2:$KW$317),"")</f>
        <v>1.2</v>
      </c>
      <c r="PT11" s="7">
        <f>IFERROR(AVERAGEIF('Данные 2st'!$Q$2:$Q$317,$A11,'Данные 2st'!$KX$2:$KX$317),"")</f>
        <v>2</v>
      </c>
      <c r="PU11" s="7">
        <f>IFERROR(AVERAGEIF('Данные 2st'!$Q$2:$Q$317,$A11,'Данные 2st'!$KY$2:$KY$317),"")</f>
        <v>2</v>
      </c>
      <c r="PV11" s="7">
        <f>IFERROR(AVERAGEIF('Данные 2st'!$Q$2:$Q$317,$A11,'Данные 2st'!$KZ$2:$KZ$317),"")</f>
        <v>0</v>
      </c>
      <c r="PW11" s="7">
        <f>IFERROR(AVERAGEIF('Данные 2st'!$Q$2:$Q$317,$A11,'Данные 2st'!$LA$2:$LA$317),"")</f>
        <v>0</v>
      </c>
      <c r="PX11" s="7">
        <f>IFERROR(AVERAGEIF('Данные 2st'!$Q$2:$Q$317,$A11,'Данные 2st'!$LB$2:$LB$317),"")</f>
        <v>0</v>
      </c>
      <c r="PY11" s="7">
        <f>IFERROR(AVERAGEIF('Данные 2st'!$Q$2:$Q$317,$A11,'Данные 2st'!$LC$2:$LC$317),"")</f>
        <v>0</v>
      </c>
      <c r="PZ11" s="7">
        <f>IFERROR(AVERAGEIF('Данные 2st'!$Q$2:$Q$317,$A11,'Данные 2st'!$LD$2:$LD$317),"")</f>
        <v>0</v>
      </c>
      <c r="QA11" s="7">
        <f>IFERROR(AVERAGEIF('Данные 2st'!$Q$2:$Q$317,$A11,'Данные 2st'!$LE$2:$LE$317),"")</f>
        <v>0</v>
      </c>
      <c r="QB11" s="7">
        <f>IFERROR(AVERAGEIF('Данные 2st'!$Q$2:$Q$317,$A11,'Данные 2st'!$LF$2:$LF$317),"")</f>
        <v>0</v>
      </c>
      <c r="QC11" s="7">
        <f>IFERROR(AVERAGEIF('Данные 2st'!$Q$2:$Q$317,$A11,'Данные 2st'!$LG$2:$LG$317),"")</f>
        <v>0</v>
      </c>
      <c r="QD11" s="7">
        <f>IFERROR(AVERAGEIF('Данные 2st'!$Q$2:$Q$317,$A11,'Данные 2st'!$LH$2:$LH$317),"")</f>
        <v>2</v>
      </c>
      <c r="QE11" s="7">
        <f>IFERROR(AVERAGEIF('Данные 2st'!$Q$2:$Q$317,$A11,'Данные 2st'!$LJ$2:$LJ$317),"")</f>
        <v>0</v>
      </c>
      <c r="QF11" s="7">
        <f>IFERROR(AVERAGEIF('Данные 2st'!$Q$2:$Q$317,$A11,'Данные 2st'!$LK$2:$LK$317),"")</f>
        <v>4.666666666666667</v>
      </c>
      <c r="QG11" s="7">
        <f>IFERROR(AVERAGEIF('Данные 2st'!$Q$2:$Q$317,$A11,'Данные 2st'!$LL$2:$LL$317),"")</f>
        <v>6.333333333333333</v>
      </c>
      <c r="QH11" s="7">
        <f>IFERROR(AVERAGEIF('Данные 2st'!$Q$2:$Q$317,$A11,'Данные 2st'!$LM$2:$LM$317),"")</f>
        <v>6</v>
      </c>
      <c r="QI11" s="7">
        <f>IFERROR(AVERAGEIF('Данные 2st'!$Q$2:$Q$317,$A11,'Данные 2st'!$LN$2:$LN$317),"")</f>
        <v>0.3</v>
      </c>
      <c r="QJ11" s="7">
        <f>IFERROR(AVERAGEIF('Данные 2st'!$Q$2:$Q$317,$A11,'Данные 2st'!$LO$2:$LO$317),"")</f>
        <v>0.5</v>
      </c>
      <c r="QK11" s="7">
        <f>IFERROR(AVERAGEIF('Данные 2st'!$Q$2:$Q$317,$A11,'Данные 2st'!$LP$2:$LP$317),"")</f>
        <v>0</v>
      </c>
      <c r="QL11" s="7">
        <f>IFERROR(AVERAGEIF('Данные 2st'!$Q$2:$Q$317,$A11,'Данные 2st'!$LQ$2:$LQ$317),"")</f>
        <v>0</v>
      </c>
      <c r="QM11" s="7">
        <f>IFERROR(AVERAGEIF('Данные 2st'!$Q$2:$Q$317,$A11,'Данные 2st'!$LW$2:$LW$317),"")</f>
        <v>1.4</v>
      </c>
      <c r="QN11" s="7">
        <f>IFERROR(AVERAGEIF('Данные 2st'!$Q$2:$Q$317,$A11,'Данные 2st'!$LX$2:$LX$317),"")</f>
        <v>1.4</v>
      </c>
      <c r="QO11" s="7">
        <f>IFERROR(AVERAGEIF('Данные 2st'!$Q$2:$Q$317,$A11,'Данные 2st'!$LY$2:$LY$317),"")</f>
        <v>1.9666666666666668</v>
      </c>
      <c r="QP11" s="7">
        <f>IFERROR(AVERAGEIF('Данные 2st'!$Q$2:$Q$317,$A11,'Данные 2st'!$LZ$2:$LZ$317),"")</f>
        <v>1.9666666666666668</v>
      </c>
      <c r="QQ11" s="7">
        <f>IFERROR(AVERAGEIF('Данные 2st'!$Q$2:$Q$317,$A11,'Данные 2st'!$MB$2:$MB$317),"")</f>
        <v>3.3333333333333335</v>
      </c>
      <c r="QR11" s="7">
        <f>IFERROR(AVERAGEIF('Данные 2st'!$Q$2:$Q$317,$A11,'Данные 2st'!$MG$2:$MG$317),"")</f>
        <v>0</v>
      </c>
      <c r="QS11" s="7">
        <f>IFERROR(AVERAGEIF('Данные 2st'!$Q$2:$Q$317,$A11,'Данные 2st'!$MH$2:$MH$317),"")</f>
        <v>0</v>
      </c>
      <c r="QT11" s="7">
        <f>IFERROR(AVERAGEIF('Данные 2st'!$Q$2:$Q$317,$A11,'Данные 2st'!$MI$2:$MI$317),"")</f>
        <v>0</v>
      </c>
      <c r="QU11" s="7">
        <f>IFERROR(AVERAGEIF('Данные 2st'!$Q$2:$Q$317,$A11,'Данные 2st'!$MJ$2:$MJ$317),"")</f>
        <v>0</v>
      </c>
      <c r="QV11" s="7">
        <f>IFERROR(AVERAGEIF('Данные 2st'!$Q$2:$Q$317,$A11,'Данные 2st'!$MK$2:$MK$317),"")</f>
        <v>0</v>
      </c>
      <c r="QW11" s="7">
        <f>IFERROR(AVERAGEIF('Данные 2st'!$Q$2:$Q$317,$A11,'Данные 2st'!$MM$2:$MM$317),"")</f>
        <v>352.6666666666667</v>
      </c>
      <c r="QX11" s="7">
        <f>IFERROR(AVERAGEIF('Данные 2st'!$Q$2:$Q$317,$A11,'Данные 2st'!$MQ$2:$MQ$317),"")</f>
        <v/>
      </c>
      <c r="QY11" s="7">
        <f>IFERROR(AVERAGEIF('Данные 2st'!$Q$2:$Q$317,$A11,'Данные 2st'!$MR$2:$MR$317),"")</f>
        <v/>
      </c>
      <c r="QZ11" s="7">
        <f>IFERROR(AVERAGEIF('Данные 2st'!$Q$2:$Q$317,$A11,'Данные 2st'!$MS$2:$MS$317),"")</f>
        <v/>
      </c>
      <c r="RA11" s="7">
        <f>IFERROR(AVERAGEIF('Данные 2st'!$Q$2:$Q$317,$A11,'Данные 2st'!$MT$2:$MT$317),"")</f>
        <v/>
      </c>
      <c r="RB11" s="7">
        <f>IFERROR(AVERAGEIF('Данные 2st'!$Q$2:$Q$317,$A11,'Данные 2st'!$MU$2:$MU$317),"")</f>
        <v/>
      </c>
      <c r="RC11" s="7">
        <f>IFERROR(AVERAGEIF('Данные 2st'!$Q$2:$Q$317,$A11,'Данные 2st'!$MV$2:$MV$317),"")</f>
        <v/>
      </c>
      <c r="RD11" s="7">
        <f>IFERROR(AVERAGEIF('Данные 2st'!$Q$2:$Q$317,$A11,'Данные 2st'!$MW$2:$MW$317),"")</f>
        <v/>
      </c>
      <c r="RE11" s="7">
        <f>IFERROR(AVERAGEIF('Данные 2st'!$Q$2:$Q$317,$A11,'Данные 2st'!$MX$2:$MX$317),"")</f>
        <v/>
      </c>
      <c r="RF11" s="7">
        <f>IFERROR(AVERAGEIF('Данные 2st'!$Q$2:$Q$317,$A11,'Данные 2st'!$MY$2:$MY$317),"")</f>
        <v/>
      </c>
      <c r="RG11" s="7">
        <f>IFERROR(AVERAGEIF('Данные 2st'!$Q$2:$Q$317,$A11,'Данные 2st'!$MZ$2:$MZ$317),"")</f>
        <v/>
      </c>
      <c r="RH11" s="7">
        <f>IFERROR(AVERAGEIF('Данные 2st'!$Q$2:$Q$317,$A11,'Данные 2st'!$NA$2:$NA$317),"")</f>
        <v/>
      </c>
      <c r="RI11" s="7">
        <f>IFERROR(AVERAGEIF('Данные 2st'!$Q$2:$Q$317,$A11,'Данные 2st'!$NB$2:$NB$317),"")</f>
        <v/>
      </c>
      <c r="RJ11" s="7">
        <f>IFERROR(AVERAGEIF('Данные 2st'!$Q$2:$Q$317,$A11,'Данные 2st'!$NC$2:$NC$317),"")</f>
        <v/>
      </c>
      <c r="RK11" s="7">
        <f>IFERROR(AVERAGEIF('Данные 2st'!$Q$2:$Q$317,$A11,'Данные 2st'!$ND$2:$ND$317),"")</f>
        <v/>
      </c>
      <c r="RL11" s="7">
        <f>IFERROR(AVERAGEIF('Данные 2st'!$Q$2:$Q$317,$A11,'Данные 2st'!$NE$2:$NE$317),"")</f>
        <v/>
      </c>
      <c r="RM11" s="7">
        <f>IFERROR(AVERAGEIF('Данные 2st'!$Q$2:$Q$317,$A11,'Данные 2st'!$NF$2:$NF$317),"")</f>
        <v/>
      </c>
      <c r="RN11" s="7">
        <f>IFERROR(AVERAGEIF('Данные 2st'!$Q$2:$Q$317,$A11,'Данные 2st'!$NG$2:$NG$317),"")</f>
        <v/>
      </c>
      <c r="RO11" s="7">
        <f>IFERROR(AVERAGEIF('Данные 2st'!$Q$2:$Q$317,$A11,'Данные 2st'!$NH$2:$NH$317),"")</f>
        <v>0</v>
      </c>
      <c r="RP11" s="7">
        <f>IFERROR(AVERAGEIF('Данные 2st'!$Q$2:$Q$317,$A11,'Данные 2st'!$NJ$2:$NJ$317),"")</f>
        <v>0</v>
      </c>
      <c r="RQ11" s="7">
        <f>IFERROR(AVERAGEIF('Данные 2st'!$Q$2:$Q$317,$A11,'Данные 2st'!$NK$2:$NK$317),"")</f>
        <v>0</v>
      </c>
      <c r="RR11" s="7">
        <f>IFERROR(AVERAGEIF('Данные 2st'!$Q$2:$Q$317,$A11,'Данные 2st'!$NM$2:$NM$317),"")</f>
        <v>0</v>
      </c>
      <c r="RS11" s="7">
        <f>IFERROR(AVERAGEIF('Данные 2st'!$Q$2:$Q$317,$A11,'Данные 2st'!$NN$2:$NN$317),"")</f>
        <v/>
      </c>
      <c r="RT11" s="7">
        <f>IFERROR(AVERAGEIF('Данные 2st'!$Q$2:$Q$317,$A11,'Данные 2st'!$NO$2:$NO$317),"")</f>
        <v/>
      </c>
      <c r="RU11" s="7">
        <f>IFERROR(AVERAGEIF('Данные 2st'!$Q$2:$Q$317,$A11,'Данные 2st'!$NP$2:$NP$317),"")</f>
        <v/>
      </c>
      <c r="RV11" s="7">
        <f>IFERROR(AVERAGEIF('Данные 2st'!$Q$2:$Q$317,$A11,'Данные 2st'!$NQ$2:$NQ$317),"")</f>
        <v/>
      </c>
      <c r="RW11" s="7">
        <f>IFERROR(AVERAGEIF('Данные 2st'!$Q$2:$Q$317,$A11,'Данные 2st'!$NR$2:$NR$317),"")</f>
        <v/>
      </c>
      <c r="RX11" s="7">
        <f>IFERROR(AVERAGEIF('Данные 2st'!$Q$2:$Q$317,$A11,'Данные 2st'!$NS$2:$NS$317),"")</f>
        <v/>
      </c>
      <c r="RY11" s="7">
        <f>IFERROR(AVERAGEIF('Данные 2st'!$Q$2:$Q$317,$A11,'Данные 2st'!$NT$2:$NT$317),"")</f>
        <v/>
      </c>
      <c r="RZ11" s="7">
        <f>IFERROR(AVERAGEIF('Данные 2st'!$Q$2:$Q$317,$A11,'Данные 2st'!$OK$2:$OK$317),"")</f>
        <v>61</v>
      </c>
      <c r="SA11" s="7">
        <f>IFERROR(AVERAGEIF('Данные 2st'!$Q$2:$Q$317,$A11,'Данные 2st'!$OL$2:$OL$317),"")</f>
        <v>61</v>
      </c>
      <c r="SB11" s="7">
        <f>IFERROR(AVERAGEIF('Данные 2st'!$Q$2:$Q$317,$A11,'Данные 2st'!$ON$2:$ON$317),"")</f>
        <v>3</v>
      </c>
      <c r="SC11" s="7">
        <f>IFERROR(AVERAGEIF('Данные 2st'!$Q$2:$Q$317,$A11,'Данные 2st'!$OO$2:$OO$317),"")</f>
        <v>1813</v>
      </c>
      <c r="SD11" s="7">
        <f>IFERROR(AVERAGEIF('Данные 2st'!$Q$2:$Q$317,$A11,'Данные 2st'!$OP$2:$OP$317),"")</f>
        <v>61</v>
      </c>
      <c r="SE11" s="7">
        <f>IFERROR(AVERAGEIF('Данные 2st'!$Q$2:$Q$317,$A11,'Данные 2st'!$OQ$2:$OQ$317),"")</f>
        <v>61</v>
      </c>
      <c r="SF11" s="7">
        <f>IFERROR(AVERAGEIF('Данные 2st'!$Q$2:$Q$317,$A11,'Данные 2st'!$OS$2:$OS$317),"")</f>
        <v>3</v>
      </c>
      <c r="SG11" s="7">
        <f>IFERROR(AVERAGEIF('Данные 2st'!$Q$2:$Q$317,$A11,'Данные 2st'!$OT$2:$OT$317),"")</f>
        <v>1820</v>
      </c>
      <c r="SH11" s="7">
        <f>IFERROR(AVERAGEIF('Данные 2st'!$Q$2:$Q$317,$A11,'Данные 2st'!$OU$2:$OU$317),"")</f>
        <v>65</v>
      </c>
      <c r="SI11" s="7">
        <f>IFERROR(AVERAGEIF('Данные 2st'!$Q$2:$Q$317,$A11,'Данные 2st'!$OV$2:$OV$317),"")</f>
        <v>65</v>
      </c>
      <c r="SJ11" s="7">
        <f>IFERROR(AVERAGEIF('Данные 2st'!$Q$2:$Q$317,$A11,'Данные 2st'!$OX$2:$OX$317),"")</f>
        <v>1.3333333333333333</v>
      </c>
      <c r="SK11" s="7">
        <f>IFERROR(AVERAGEIF('Данные 2st'!$Q$2:$Q$317,$A11,'Данные 2st'!$OY$2:$OY$317),"")</f>
        <v>31400.666666666668</v>
      </c>
      <c r="SL11" s="7">
        <f>IFERROR(AVERAGEIF('Данные 2st'!$Q$2:$Q$317,$A11,'Данные 2st'!$OZ$2:$OZ$317),"")</f>
        <v>51</v>
      </c>
      <c r="SM11" s="7">
        <f>IFERROR(AVERAGEIF('Данные 2st'!$Q$2:$Q$317,$A11,'Данные 2st'!$PA$2:$PA$317),"")</f>
        <v>51.333333333333336</v>
      </c>
      <c r="SN11" s="7">
        <f>IFERROR(AVERAGEIF('Данные 2st'!$Q$2:$Q$317,$A11,'Данные 2st'!$PC$2:$PC$317),"")</f>
        <v>1.6666666666666667</v>
      </c>
      <c r="SO11" s="7">
        <f>IFERROR(AVERAGEIF('Данные 2st'!$Q$2:$Q$317,$A11,'Данные 2st'!$PD$2:$PD$317),"")</f>
        <v>1851</v>
      </c>
      <c r="SP11" s="7">
        <f>IFERROR(AVERAGEIF('Данные 2st'!$Q$2:$Q$317,$A11,'Данные 2st'!$PF$2:$PF$317),"")</f>
        <v>314</v>
      </c>
      <c r="SQ11" s="7">
        <f>IFERROR(AVERAGEIF('Данные 2st'!$Q$2:$Q$317,$A11,'Данные 2st'!$PG$2:$PG$317),"")</f>
        <v>29</v>
      </c>
      <c r="SR11" s="7">
        <f>IFERROR(AVERAGEIF('Данные 2st'!$Q$2:$Q$317,$A11,'Данные 2st'!$PH$2:$PH$317),"")</f>
        <v>295.3333333333333</v>
      </c>
      <c r="SS11" s="7">
        <f>IFERROR(AVERAGEIF('Данные 2st'!$Q$2:$Q$317,$A11,'Данные 2st'!$PI$2:$PI$317),"")</f>
        <v>29</v>
      </c>
      <c r="ST11" s="7">
        <f>IFERROR(AVERAGEIF('Данные 2st'!$Q$2:$Q$317,$A11,'Данные 2st'!$PJ$2:$PJ$317),"")</f>
        <v>82.1</v>
      </c>
      <c r="SU11" s="7">
        <f>IFERROR(AVERAGEIF('Данные 2st'!$Q$2:$Q$317,$A11,'Данные 2st'!$PK$2:$PK$317),"")</f>
        <v>2222</v>
      </c>
      <c r="SV11" s="7">
        <f>IFERROR(AVERAGEIF('Данные 2st'!$Q$2:$Q$317,$A11,'Данные 2st'!$PL$2:$PL$317),"")</f>
        <v>1110.3333333333335</v>
      </c>
      <c r="SW11" s="7">
        <f>IFERROR(AVERAGEIF('Данные 2st'!$Q$2:$Q$317,$A11,'Данные 2st'!$PM$2:$PM$317),"")</f>
        <v>584.7</v>
      </c>
      <c r="SX11" s="7">
        <f>IFERROR(AVERAGEIF('Данные 2st'!$Q$2:$Q$317,$A11,'Данные 2st'!$PN$2:$PN$317),"")</f>
        <v>85.5</v>
      </c>
      <c r="SY11" s="7">
        <f>IFERROR(AVERAGEIF('Данные 2st'!$Q$2:$Q$317,$A11,'Данные 2st'!$PO$2:$PO$317),"")</f>
        <v>9.55</v>
      </c>
      <c r="SZ11" s="7">
        <f>IFERROR(AVERAGEIF('Данные 2st'!$Q$2:$Q$317,$A11,'Данные 2st'!$PP$2:$PP$317),"")</f>
        <v>12</v>
      </c>
      <c r="TA11" s="7">
        <f>IFERROR(AVERAGEIF('Данные 2st'!$Q$2:$Q$317,$A11,'Данные 2st'!$PQ$2:$PQ$317),"")</f>
        <v>2</v>
      </c>
      <c r="TB11" s="7">
        <f>IFERROR(AVERAGEIF('Данные 2st'!$Q$2:$Q$317,$A11,'Данные 2st'!$PR$2:$PR$317),"")</f>
        <v>2</v>
      </c>
      <c r="TC11" s="7">
        <f>IFERROR(AVERAGEIF('Данные 2st'!$Q$2:$Q$317,$A11,'Данные 2st'!$PS$2:$PS$317),"")</f>
        <v>6</v>
      </c>
      <c r="TD11" s="7">
        <f>IFERROR(AVERAGEIF('Данные 2st'!$Q$2:$Q$317,$A11,'Данные 2st'!$PT$2:$PT$317),"")</f>
        <v>206.66666666666666</v>
      </c>
      <c r="TE11" s="7">
        <f>IFERROR(AVERAGEIF('Данные 2st'!$Q$2:$Q$317,$A11,'Данные 2st'!$PU$2:$PU$317),"")</f>
        <v>9.333333333333334</v>
      </c>
      <c r="TF11" s="7">
        <f>IFERROR(AVERAGEIF('Данные 2st'!$Q$2:$Q$317,$A11,'Данные 2st'!$PX$2:$PX$317),"")</f>
        <v>0</v>
      </c>
      <c r="TG11" s="7">
        <f>IFERROR(AVERAGEIF('Данные 2st'!$Q$2:$Q$317,$A11,'Данные 2st'!$PY$2:$PY$317),"")</f>
        <v>0</v>
      </c>
      <c r="TH11" s="7">
        <f>IFERROR(AVERAGEIF('Данные 2st'!$Q$2:$Q$317,$A11,'Данные 2st'!$PZ$2:$PZ$317),"")</f>
        <v>0</v>
      </c>
      <c r="TI11" s="7">
        <f>IFERROR(AVERAGEIF('Данные 2st'!$Q$2:$Q$317,$A11,'Данные 2st'!$QA$2:$QA$317),"")</f>
        <v>0</v>
      </c>
      <c r="TJ11" s="7">
        <f>IFERROR(AVERAGEIF('Данные 2st'!$Q$2:$Q$317,$A11,'Данные 2st'!$QB$2:$QB$317),"")</f>
        <v>0</v>
      </c>
      <c r="TK11" s="7">
        <f>IFERROR(AVERAGEIF('Данные 2st'!$Q$2:$Q$317,$A11,'Данные 2st'!$QC$2:$QC$317),"")</f>
        <v>0</v>
      </c>
      <c r="TL11" s="7">
        <f>IFERROR(AVERAGEIF('Данные 2st'!$Q$2:$Q$317,$A11,'Данные 2st'!$QD$2:$QD$317),"")</f>
        <v>0</v>
      </c>
      <c r="TM11" s="7">
        <f>IFERROR(AVERAGEIF('Данные 2st'!$Q$2:$Q$317,$A11,'Данные 2st'!$QE$2:$QE$317),"")</f>
        <v>-1</v>
      </c>
      <c r="TN11" s="7">
        <f>IFERROR(AVERAGEIF('Данные 2st'!$Q$2:$Q$317,$A11,'Данные 2st'!$QF$2:$QF$317),"")</f>
        <v>1</v>
      </c>
      <c r="TO11" s="7">
        <f>IFERROR(AVERAGEIF('Данные 2st'!$Q$2:$Q$317,$A11,'Данные 2st'!$QG$2:$QG$317),"")</f>
        <v>0</v>
      </c>
      <c r="TP11" s="7">
        <f>IFERROR(AVERAGEIF('Данные 2st'!$Q$2:$Q$317,$A11,'Данные 2st'!$QH$2:$QH$317),"")</f>
        <v>5</v>
      </c>
      <c r="TQ11" s="7">
        <f>IFERROR(AVERAGEIF('Данные 2st'!$Q$2:$Q$317,$A11,'Данные 2st'!$QI$2:$QI$317),"")</f>
        <v>5</v>
      </c>
      <c r="TR11" s="7">
        <f>IFERROR(AVERAGEIF('Данные 2st'!$Q$2:$Q$317,$A11,'Данные 2st'!$QJ$2:$QJ$317),"")</f>
        <v>5</v>
      </c>
      <c r="TS11" s="7">
        <f>IFERROR(AVERAGEIF('Данные 2st'!$Q$2:$Q$317,$A11,'Данные 2st'!$QK$2:$QK$317),"")</f>
        <v>160.33333333333334</v>
      </c>
      <c r="TT11" s="7">
        <f>IFERROR(AVERAGEIF('Данные 2st'!$Q$2:$Q$317,$A11,'Данные 2st'!$QL$2:$QL$317),"")</f>
        <v>364.6666666666667</v>
      </c>
      <c r="TU11" s="7">
        <f>IFERROR(AVERAGEIF('Данные 2st'!$Q$2:$Q$317,$A11,'Данные 2st'!$QM$2:$QM$317),"")</f>
        <v>7.5</v>
      </c>
      <c r="TV11" s="7">
        <f>IFERROR(AVERAGEIF('Данные 2st'!$Q$2:$Q$317,$A11,'Данные 2st'!$QN$2:$QN$317),"")</f>
        <v>1283.5666666666666</v>
      </c>
      <c r="TW11" s="7">
        <f>IFERROR(AVERAGEIF('Данные 2st'!$Q$2:$Q$317,$A11,'Данные 2st'!$QQ$2:$QQ$317),"")</f>
        <v>0</v>
      </c>
      <c r="TX11" s="7">
        <f>IFERROR(AVERAGEIF('Данные 2st'!$Q$2:$Q$317,$A11,'Данные 2st'!$QS$2:$QS$317),"")</f>
        <v>30</v>
      </c>
      <c r="TY11" s="7">
        <f>IFERROR(AVERAGEIF('Данные 2st'!$Q$2:$Q$317,$A11,'Данные 2st'!$QT$2:$QT$317),"")</f>
        <v>40</v>
      </c>
    </row>
    <row r="12" spans="1:545" ht="32" customHeight="1">
      <c r="A12" s="11" t="s">
        <v>1766</v>
      </c>
      <c r="B12">
        <f>COUNTIF('Данные 1st'!$S$2:$S$317,$A12)</f>
        <v>2</v>
      </c>
      <c r="C12" s="6" t="s">
        <v>5086</v>
      </c>
      <c r="D12" s="6" t="s">
        <v>513</v>
      </c>
      <c r="E12" s="6" t="s">
        <v>5125</v>
      </c>
      <c r="F12" s="6" t="s">
        <v>5135</v>
      </c>
      <c r="G12" s="7">
        <f>IFERROR(AVERAGEIF('Данные 1st'!$S$2:$S$317,$A12,'Данные 1st'!$AE$2:$AE$317),"")</f>
        <v>166.5</v>
      </c>
      <c r="H12" s="7">
        <f>IFERROR(AVERAGEIF('Данные 1st'!$S$2:$S$317,$A12,'Данные 1st'!$AF$2:$AF$317),"")</f>
        <v>1.5</v>
      </c>
      <c r="I12" s="7">
        <f>IFERROR(AVERAGEIF('Данные 1st'!$S$2:$S$317,$A12,'Данные 1st'!$AJ$2:$AJ$317),"")</f>
        <v>177.5</v>
      </c>
      <c r="J12" s="7">
        <f>IFERROR(AVERAGEIF('Данные 1st'!$S$2:$S$317,$A12,'Данные 1st'!$AL$2:$AL$317),"")</f>
        <v>1.5</v>
      </c>
      <c r="K12" s="7">
        <f>IFERROR(AVERAGEIF('Данные 1st'!$S$2:$S$317,$A12,'Данные 1st'!$AR$2:$AR$317),"")</f>
        <v>0</v>
      </c>
      <c r="L12" s="7">
        <f>IFERROR(AVERAGEIF('Данные 1st'!$S$2:$S$317,$A12,'Данные 1st'!$AS$2:$AS$317),"")</f>
        <v>1.5</v>
      </c>
      <c r="M12" s="7">
        <f>IFERROR(AVERAGEIF('Данные 1st'!$S$2:$S$317,$A12,'Данные 1st'!$AY$2:$AY$317),"")</f>
        <v>291.25</v>
      </c>
      <c r="N12" s="7">
        <f>IFERROR(AVERAGEIF('Данные 1st'!$S$2:$S$317,$A12,'Данные 1st'!$AZ$2:$AZ$317),"")</f>
        <v>1.5</v>
      </c>
      <c r="O12" s="7">
        <f>IFERROR(AVERAGEIF('Данные 1st'!$S$2:$S$317,$A12,'Данные 1st'!$BF$2:$BF$317),"")</f>
        <v/>
      </c>
      <c r="P12" s="7">
        <f>IFERROR(AVERAGEIF('Данные 1st'!$S$2:$S$317,$A12,'Данные 1st'!$BG$2:$BG$317),"")</f>
        <v>1.5</v>
      </c>
      <c r="Q12" s="7">
        <f>IFERROR(AVERAGEIF('Данные 1st'!$S$2:$S$317,$A12,'Данные 1st'!$BM$2:$BM$317),"")</f>
        <v/>
      </c>
      <c r="R12" s="7">
        <f>IFERROR(AVERAGEIF('Данные 1st'!$S$2:$S$317,$A12,'Данные 1st'!$BN$2:$BN$317),"")</f>
        <v>1.5</v>
      </c>
      <c r="S12" s="7">
        <f>IFERROR(AVERAGEIF('Данные 1st'!$S$2:$S$317,$A12,'Данные 1st'!$BT$2:$BT$317),"")</f>
        <v>188.5</v>
      </c>
      <c r="T12" s="7">
        <f>IFERROR(AVERAGEIF('Данные 1st'!$S$2:$S$317,$A12,'Данные 1st'!$BU$2:$BU$317),"")</f>
        <v>0.5</v>
      </c>
      <c r="U12" s="7">
        <f>IFERROR(AVERAGEIF('Данные 1st'!$S$2:$S$317,$A12,'Данные 1st'!$BW$2:$BW$317),"")</f>
        <v>377</v>
      </c>
      <c r="V12" s="7">
        <f>IFERROR(AVERAGEIF('Данные 1st'!$S$2:$S$317,$A12,'Данные 1st'!$BX$2:$BX$317),"")</f>
        <v>1</v>
      </c>
      <c r="W12" s="7">
        <f>IFERROR(AVERAGEIF('Данные 1st'!$S$2:$S$317,$A12,'Данные 1st'!$BZ$2:$BZ$317),"")</f>
        <v>300</v>
      </c>
      <c r="X12" s="7">
        <f>IFERROR(AVERAGEIF('Данные 1st'!$S$2:$S$317,$A12,'Данные 1st'!$CA$2:$CA$317),"")</f>
        <v>450</v>
      </c>
      <c r="Y12" s="7">
        <f>IFERROR(AVERAGEIF('Данные 1st'!$S$2:$S$317,$A12,'Данные 1st'!$CD$2:$CD$317),"")</f>
        <v>394</v>
      </c>
      <c r="Z12" s="7">
        <f>IFERROR(AVERAGEIF('Данные 1st'!$S$2:$S$317,$A12,'Данные 1st'!$CF$2:$CF$317),"")</f>
        <v>15</v>
      </c>
      <c r="AA12" s="7">
        <f>IFERROR(AVERAGEIF('Данные 1st'!$S$2:$S$317,$A12,'Данные 1st'!$CI$2:$CI$317),"")</f>
        <v>75</v>
      </c>
      <c r="AB12" s="7">
        <f>IFERROR(AVERAGEIF('Данные 1st'!$S$2:$S$317,$A12,'Данные 1st'!$CJ$2:$CJ$317),"")</f>
        <v>1122</v>
      </c>
      <c r="AC12" s="7">
        <f>IFERROR(AVERAGEIF('Данные 1st'!$S$2:$S$317,$A12,'Данные 1st'!$CK$2:$CK$317),"")</f>
        <v>2</v>
      </c>
      <c r="AD12" s="7">
        <f>IFERROR(AVERAGEIF('Данные 1st'!$S$2:$S$317,$A12,'Данные 1st'!$CL$2:$CL$317),"")</f>
        <v>1222</v>
      </c>
      <c r="AE12" s="7">
        <f>IFERROR(AVERAGEIF('Данные 1st'!$S$2:$S$317,$A12,'Данные 1st'!$CM$2:$CM$317),"")</f>
        <v>2</v>
      </c>
      <c r="AF12" s="7">
        <f>IFERROR(AVERAGEIF('Данные 1st'!$S$2:$S$317,$A12,'Данные 1st'!$CT$2:$CT$317),"")</f>
        <v>355</v>
      </c>
      <c r="AG12" s="7">
        <f>IFERROR(AVERAGEIF('Данные 1st'!$S$2:$S$317,$A12,'Данные 1st'!$CU$2:$CU$317),"")</f>
        <v>5</v>
      </c>
      <c r="AH12" s="7">
        <f>IFERROR(AVERAGEIF('Данные 1st'!$S$2:$S$317,$A12,'Данные 1st'!$CV$2:$CV$317),"")</f>
        <v>1.2</v>
      </c>
      <c r="AI12" s="7">
        <f>IFERROR(AVERAGEIF('Данные 1st'!$S$2:$S$317,$A12,'Данные 1st'!$CW$2:$CW$317),"")</f>
        <v>1136</v>
      </c>
      <c r="AJ12" s="7">
        <f>IFERROR(AVERAGEIF('Данные 1st'!$S$2:$S$317,$A12,'Данные 1st'!$CX$2:$CX$317),"")</f>
        <v>571</v>
      </c>
      <c r="AK12" s="7">
        <f>IFERROR(AVERAGEIF('Данные 1st'!$S$2:$S$317,$A12,'Данные 1st'!$CZ$2:$CZ$317),"")</f>
        <v/>
      </c>
      <c r="AL12" s="7">
        <f>IFERROR(AVERAGEIF('Данные 1st'!$S$2:$S$317,$A12,'Данные 1st'!$DA$2:$DA$317),"")</f>
        <v/>
      </c>
      <c r="AM12" s="7">
        <f>IFERROR(AVERAGEIF('Данные 1st'!$S$2:$S$317,$A12,'Данные 1st'!$DB$2:$DB$317),"")</f>
        <v/>
      </c>
      <c r="AN12" s="7">
        <f>IFERROR(AVERAGEIF('Данные 1st'!$S$2:$S$317,$A12,'Данные 1st'!$DC$2:$DC$317),"")</f>
        <v/>
      </c>
      <c r="AO12" s="7">
        <f>IFERROR(AVERAGEIF('Данные 1st'!$S$2:$S$317,$A12,'Данные 1st'!$DD$2:$DD$317),"")</f>
        <v>0</v>
      </c>
      <c r="AP12" s="7">
        <f>IFERROR(AVERAGEIF('Данные 1st'!$S$2:$S$317,$A12,'Данные 1st'!$DF$2:$DF$317),"")</f>
        <v>582.5</v>
      </c>
      <c r="AQ12" s="7">
        <f>IFERROR(AVERAGEIF('Данные 1st'!$S$2:$S$317,$A12,'Данные 1st'!$DG$2:$DG$317),"")</f>
        <v>3</v>
      </c>
      <c r="AR12" s="7">
        <f>IFERROR(AVERAGEIF('Данные 1st'!$S$2:$S$317,$A12,'Данные 1st'!$DH$2:$DH$317),"")</f>
        <v>1.18</v>
      </c>
      <c r="AS12" s="7">
        <f>IFERROR(AVERAGEIF('Данные 1st'!$S$2:$S$317,$A12,'Данные 1st'!$DI$2:$DI$317),"")</f>
        <v>1134</v>
      </c>
      <c r="AT12" s="7">
        <f>IFERROR(AVERAGEIF('Данные 1st'!$S$2:$S$317,$A12,'Данные 1st'!$DJ$2:$DJ$317),"")</f>
        <v>1000.5</v>
      </c>
      <c r="AU12" s="7">
        <f>IFERROR(AVERAGEIF('Данные 1st'!$S$2:$S$317,$A12,'Данные 1st'!$DL$2:$DL$317),"")</f>
        <v/>
      </c>
      <c r="AV12" s="7">
        <f>IFERROR(AVERAGEIF('Данные 1st'!$S$2:$S$317,$A12,'Данные 1st'!$DM$2:$DM$317),"")</f>
        <v/>
      </c>
      <c r="AW12" s="7">
        <f>IFERROR(AVERAGEIF('Данные 1st'!$S$2:$S$317,$A12,'Данные 1st'!$DN$2:$DN$317),"")</f>
        <v/>
      </c>
      <c r="AX12" s="7">
        <f>IFERROR(AVERAGEIF('Данные 1st'!$S$2:$S$317,$A12,'Данные 1st'!$DO$2:$DO$317),"")</f>
        <v/>
      </c>
      <c r="AY12" s="7">
        <f>IFERROR(AVERAGEIF('Данные 1st'!$S$2:$S$317,$A12,'Данные 1st'!$DP$2:$DP$317),"")</f>
        <v/>
      </c>
      <c r="AZ12" s="7">
        <f>IFERROR(AVERAGEIF('Данные 1st'!$S$2:$S$317,$A12,'Данные 1st'!$DR$2:$DR$317),"")</f>
        <v/>
      </c>
      <c r="BA12" s="7">
        <f>IFERROR(AVERAGEIF('Данные 1st'!$S$2:$S$317,$A12,'Данные 1st'!$DS$2:$DS$317),"")</f>
        <v/>
      </c>
      <c r="BB12" s="7">
        <f>IFERROR(AVERAGEIF('Данные 1st'!$S$2:$S$317,$A12,'Данные 1st'!$DT$2:$DT$317),"")</f>
        <v/>
      </c>
      <c r="BC12" s="7">
        <f>IFERROR(AVERAGEIF('Данные 1st'!$S$2:$S$317,$A12,'Данные 1st'!$DU$2:$DU$317),"")</f>
        <v/>
      </c>
      <c r="BD12" s="7">
        <f>IFERROR(AVERAGEIF('Данные 1st'!$S$2:$S$317,$A12,'Данные 1st'!$DV$2:$DV$317),"")</f>
        <v/>
      </c>
      <c r="BE12" s="7">
        <f>IFERROR(AVERAGEIF('Данные 1st'!$S$2:$S$317,$A12,'Данные 1st'!$DX$2:$DX$317),"")</f>
        <v>7.5</v>
      </c>
      <c r="BF12" s="7">
        <f>IFERROR(AVERAGEIF('Данные 1st'!$S$2:$S$317,$A12,'Данные 1st'!$EA$2:$EA$317),"")</f>
        <v>1203.5</v>
      </c>
      <c r="BG12" s="7">
        <f>IFERROR(AVERAGEIF('Данные 1st'!$S$2:$S$317,$A12,'Данные 1st'!$EB$2:$EB$317),"")</f>
        <v>185</v>
      </c>
      <c r="BH12" s="7">
        <f>IFERROR(AVERAGEIF('Данные 1st'!$S$2:$S$317,$A12,'Данные 1st'!$ED$2:$ED$317),"")</f>
        <v>32.5</v>
      </c>
      <c r="BI12" s="7">
        <f>IFERROR(AVERAGEIF('Данные 1st'!$S$2:$S$317,$A12,'Данные 1st'!$EE$2:$EE$317),"")</f>
        <v>3</v>
      </c>
      <c r="BJ12" s="7">
        <f>IFERROR(AVERAGEIF('Данные 1st'!$S$2:$S$317,$A12,'Данные 1st'!$EG$2:$EG$317),"")</f>
        <v>1239.5</v>
      </c>
      <c r="BK12" s="7">
        <f>IFERROR(AVERAGEIF('Данные 1st'!$S$2:$S$317,$A12,'Данные 1st'!$EH$2:$EH$317),"")</f>
        <v>171.5</v>
      </c>
      <c r="BL12" s="7">
        <f>IFERROR(AVERAGEIF('Данные 1st'!$S$2:$S$317,$A12,'Данные 1st'!$EJ$2:$EJ$317),"")</f>
        <v>0</v>
      </c>
      <c r="BM12" s="7">
        <f>IFERROR(AVERAGEIF('Данные 1st'!$S$2:$S$317,$A12,'Данные 1st'!$EK$2:$EK$317),"")</f>
        <v>1</v>
      </c>
      <c r="BN12" s="7">
        <f>IFERROR(AVERAGEIF('Данные 1st'!$S$2:$S$317,$A12,'Данные 1st'!$EN$2:$EN$317),"")</f>
        <v>0</v>
      </c>
      <c r="BO12" s="7">
        <f>IFERROR(AVERAGEIF('Данные 1st'!$S$2:$S$317,$A12,'Данные 1st'!$EQ$2:$EQ$317),"")</f>
        <v>97.5</v>
      </c>
      <c r="BP12" s="7">
        <f>IFERROR(AVERAGEIF('Данные 1st'!$S$2:$S$317,$A12,'Данные 1st'!$ER$2:$ER$317),"")</f>
        <v>3</v>
      </c>
      <c r="BQ12" s="7">
        <f>IFERROR(AVERAGEIF('Данные 1st'!$S$2:$S$317,$A12,'Данные 1st'!$ES$2:$ES$317),"")</f>
        <v>5.25</v>
      </c>
      <c r="BR12" s="7">
        <f>IFERROR(AVERAGEIF('Данные 1st'!$S$2:$S$317,$A12,'Данные 1st'!$ET$2:$ET$317),"")</f>
        <v>1118.5</v>
      </c>
      <c r="BS12" s="7">
        <f>IFERROR(AVERAGEIF('Данные 1st'!$S$2:$S$317,$A12,'Данные 1st'!$EU$2:$EU$317),"")</f>
        <v>418.4</v>
      </c>
      <c r="BT12" s="7">
        <f>IFERROR(AVERAGEIF('Данные 1st'!$S$2:$S$317,$A12,'Данные 1st'!$EV$2:$EV$317),"")</f>
        <v>468</v>
      </c>
      <c r="BU12" s="7">
        <f>IFERROR(AVERAGEIF('Данные 1st'!$S$2:$S$317,$A12,'Данные 1st'!$EX$2:$EX$317),"")</f>
        <v>70</v>
      </c>
      <c r="BV12" s="7">
        <f>IFERROR(AVERAGEIF('Данные 1st'!$S$2:$S$317,$A12,'Данные 1st'!$EY$2:$EY$317),"")</f>
        <v>2</v>
      </c>
      <c r="BW12" s="7">
        <f>IFERROR(AVERAGEIF('Данные 1st'!$S$2:$S$317,$A12,'Данные 1st'!$EZ$2:$EZ$317),"")</f>
        <v>4.4</v>
      </c>
      <c r="BX12" s="7">
        <f>IFERROR(AVERAGEIF('Данные 1st'!$S$2:$S$317,$A12,'Данные 1st'!$FA$2:$FA$317),"")</f>
        <v>1118.5</v>
      </c>
      <c r="BY12" s="7">
        <f>IFERROR(AVERAGEIF('Данные 1st'!$S$2:$S$317,$A12,'Данные 1st'!$FB$2:$FB$317),"")</f>
        <v>188.6</v>
      </c>
      <c r="BZ12" s="7">
        <f>IFERROR(AVERAGEIF('Данные 1st'!$S$2:$S$317,$A12,'Данные 1st'!$FC$2:$FC$317),"")</f>
        <v>211</v>
      </c>
      <c r="CA12" s="7">
        <f>IFERROR(AVERAGEIF('Данные 1st'!$S$2:$S$317,$A12,'Данные 1st'!$FE$2:$FE$317),"")</f>
        <v>0</v>
      </c>
      <c r="CB12" s="7">
        <f>IFERROR(AVERAGEIF('Данные 1st'!$S$2:$S$317,$A12,'Данные 1st'!$FF$2:$FF$317),"")</f>
        <v>2</v>
      </c>
      <c r="CC12" s="7">
        <f>IFERROR(AVERAGEIF('Данные 1st'!$S$2:$S$317,$A12,'Данные 1st'!$FI$2:$FI$317),"")</f>
        <v>0</v>
      </c>
      <c r="CD12" s="7">
        <f>IFERROR(AVERAGEIF('Данные 1st'!$S$2:$S$317,$A12,'Данные 1st'!$FL$2:$FL$317),"")</f>
        <v>0.4</v>
      </c>
      <c r="CE12" s="7">
        <f>IFERROR(AVERAGEIF('Данные 1st'!$S$2:$S$317,$A12,'Данные 1st'!$FM$2:$FM$317),"")</f>
        <v>75</v>
      </c>
      <c r="CF12" s="7">
        <f>IFERROR(AVERAGEIF('Данные 1st'!$S$2:$S$317,$A12,'Данные 1st'!$FN$2:$FN$317),"")</f>
        <v>110</v>
      </c>
      <c r="CG12" s="7">
        <f>IFERROR(AVERAGEIF('Данные 1st'!$S$2:$S$317,$A12,'Данные 1st'!$FO$2:$FO$317),"")</f>
        <v/>
      </c>
      <c r="CH12" s="7">
        <f>IFERROR(AVERAGEIF('Данные 1st'!$S$2:$S$317,$A12,'Данные 1st'!$FP$2:$FP$317),"")</f>
        <v/>
      </c>
      <c r="CI12" s="7">
        <f>IFERROR(AVERAGEIF('Данные 1st'!$S$2:$S$317,$A12,'Данные 1st'!$FS$2:$FS$317),"")</f>
        <v>0.4</v>
      </c>
      <c r="CJ12" s="7">
        <f>IFERROR(AVERAGEIF('Данные 1st'!$S$2:$S$317,$A12,'Данные 1st'!$FT$2:$FT$317),"")</f>
        <v>30</v>
      </c>
      <c r="CK12" s="7">
        <f>IFERROR(AVERAGEIF('Данные 1st'!$S$2:$S$317,$A12,'Данные 1st'!$FU$2:$FU$317),"")</f>
        <v>340</v>
      </c>
      <c r="CL12" s="7">
        <f>IFERROR(AVERAGEIF('Данные 1st'!$S$2:$S$317,$A12,'Данные 1st'!$FV$2:$FV$317),"")</f>
        <v/>
      </c>
      <c r="CM12" s="7">
        <f>IFERROR(AVERAGEIF('Данные 1st'!$S$2:$S$317,$A12,'Данные 1st'!$FW$2:$FW$317),"")</f>
        <v/>
      </c>
      <c r="CN12" s="7">
        <f>IFERROR(AVERAGEIF('Данные 1st'!$S$2:$S$317,$A12,'Данные 1st'!$FZ$2:$FZ$317),"")</f>
        <v/>
      </c>
      <c r="CO12" s="7">
        <f>IFERROR(AVERAGEIF('Данные 1st'!$S$2:$S$317,$A12,'Данные 1st'!$GA$2:$GA$317),"")</f>
        <v/>
      </c>
      <c r="CP12" s="7">
        <f>IFERROR(AVERAGEIF('Данные 1st'!$S$2:$S$317,$A12,'Данные 1st'!$GB$2:$GB$317),"")</f>
        <v/>
      </c>
      <c r="CQ12" s="7">
        <f>IFERROR(AVERAGEIF('Данные 1st'!$S$2:$S$317,$A12,'Данные 1st'!$GH$2:$GH$317),"")</f>
        <v/>
      </c>
      <c r="CR12" s="7">
        <f>IFERROR(AVERAGEIF('Данные 1st'!$S$2:$S$317,$A12,'Данные 1st'!$GI$2:$GI$317),"")</f>
        <v/>
      </c>
      <c r="CS12" s="7">
        <f>IFERROR(AVERAGEIF('Данные 1st'!$S$2:$S$317,$A12,'Данные 1st'!$GJ$2:$GJ$317),"")</f>
        <v/>
      </c>
      <c r="CT12" s="7">
        <f>IFERROR(AVERAGEIF('Данные 1st'!$S$2:$S$317,$A12,'Данные 1st'!$GS$2:$GS$317),"")</f>
        <v/>
      </c>
      <c r="CU12" s="7">
        <f>IFERROR(AVERAGEIF('Данные 1st'!$S$2:$S$317,$A12,'Данные 1st'!$GT$2:$GT$317),"")</f>
        <v/>
      </c>
      <c r="CV12" s="7">
        <f>IFERROR(AVERAGEIF('Данные 1st'!$S$2:$S$317,$A12,'Данные 1st'!$GU$2:$GU$317),"")</f>
        <v/>
      </c>
      <c r="CW12" s="7">
        <f>IFERROR(AVERAGEIF('Данные 1st'!$S$2:$S$317,$A12,'Данные 1st'!$GV$2:$GV$317),"")</f>
        <v/>
      </c>
      <c r="CX12" s="7">
        <f>IFERROR(AVERAGEIF('Данные 1st'!$S$2:$S$317,$A12,'Данные 1st'!$GW$2:$GW$317),"")</f>
        <v/>
      </c>
      <c r="CY12" s="7">
        <f>IFERROR(AVERAGEIF('Данные 1st'!$S$2:$S$317,$A12,'Данные 1st'!$GZ$2:$GZ$317),"")</f>
        <v/>
      </c>
      <c r="CZ12" s="7">
        <f>IFERROR(AVERAGEIF('Данные 1st'!$S$2:$S$317,$A12,'Данные 1st'!$HA$2:$HA$317),"")</f>
        <v/>
      </c>
      <c r="DA12" s="7">
        <f>IFERROR(AVERAGEIF('Данные 1st'!$S$2:$S$317,$A12,'Данные 1st'!$HB$2:$HB$317),"")</f>
        <v/>
      </c>
      <c r="DB12" s="7">
        <f>IFERROR(AVERAGEIF('Данные 1st'!$S$2:$S$317,$A12,'Данные 1st'!$HC$2:$HC$317),"")</f>
        <v>0.1</v>
      </c>
      <c r="DC12" s="7">
        <f>IFERROR(AVERAGEIF('Данные 1st'!$S$2:$S$317,$A12,'Данные 1st'!$HD$2:$HD$317),"")</f>
        <v>3</v>
      </c>
      <c r="DD12" s="7">
        <f>IFERROR(AVERAGEIF('Данные 1st'!$S$2:$S$317,$A12,'Данные 1st'!$HE$2:$HE$317),"")</f>
        <v>3</v>
      </c>
      <c r="DE12" s="7">
        <f>IFERROR(AVERAGEIF('Данные 1st'!$S$2:$S$317,$A12,'Данные 1st'!$HF$2:$HF$317),"")</f>
        <v>3</v>
      </c>
      <c r="DF12" s="7">
        <f>IFERROR(AVERAGEIF('Данные 1st'!$S$2:$S$317,$A12,'Данные 1st'!$HG$2:$HG$317),"")</f>
        <v>3</v>
      </c>
      <c r="DG12" s="7">
        <f>IFERROR(AVERAGEIF('Данные 1st'!$S$2:$S$317,$A12,'Данные 1st'!$HH$2:$HH$317),"")</f>
        <v>3</v>
      </c>
      <c r="DH12" s="7">
        <f>IFERROR(AVERAGEIF('Данные 1st'!$S$2:$S$317,$A12,'Данные 1st'!$HI$2:$HI$317),"")</f>
        <v>152.5</v>
      </c>
      <c r="DI12" s="7">
        <f>IFERROR(AVERAGEIF('Данные 1st'!$S$2:$S$317,$A12,'Данные 1st'!$HJ$2:$HJ$317),"")</f>
        <v>3</v>
      </c>
      <c r="DJ12" s="7">
        <f>IFERROR(AVERAGEIF('Данные 1st'!$S$2:$S$317,$A12,'Данные 1st'!$HK$2:$HK$317),"")</f>
        <v>55</v>
      </c>
      <c r="DK12" s="7">
        <f>IFERROR(AVERAGEIF('Данные 1st'!$S$2:$S$317,$A12,'Данные 1st'!$HL$2:$HL$317),"")</f>
        <v>2</v>
      </c>
      <c r="DL12" s="7">
        <f>IFERROR(AVERAGEIF('Данные 1st'!$S$2:$S$317,$A12,'Данные 1st'!$HM$2:$HM$317),"")</f>
        <v>0</v>
      </c>
      <c r="DM12" s="7">
        <f>IFERROR(AVERAGEIF('Данные 1st'!$S$2:$S$317,$A12,'Данные 1st'!$HN$2:$HN$317),"")</f>
        <v>2</v>
      </c>
      <c r="DN12" s="7">
        <f>IFERROR(AVERAGEIF('Данные 1st'!$S$2:$S$317,$A12,'Данные 1st'!$HO$2:$HO$317),"")</f>
        <v>82.5</v>
      </c>
      <c r="DO12" s="7">
        <f>IFERROR(AVERAGEIF('Данные 1st'!$S$2:$S$317,$A12,'Данные 1st'!$HP$2:$HP$317),"")</f>
        <v>3</v>
      </c>
      <c r="DP12" s="7">
        <f>IFERROR(AVERAGEIF('Данные 1st'!$S$2:$S$317,$A12,'Данные 1st'!$HQ$2:$HQ$317),"")</f>
        <v>0</v>
      </c>
      <c r="DQ12" s="7">
        <f>IFERROR(AVERAGEIF('Данные 1st'!$S$2:$S$317,$A12,'Данные 1st'!$HR$2:$HR$317),"")</f>
        <v>2</v>
      </c>
      <c r="DR12" s="7">
        <f>IFERROR(AVERAGEIF('Данные 1st'!$S$2:$S$317,$A12,'Данные 1st'!$HS$2:$HS$317),"")</f>
        <v>3642.5</v>
      </c>
      <c r="DS12" s="7">
        <f>IFERROR(AVERAGEIF('Данные 1st'!$S$2:$S$317,$A12,'Данные 1st'!$HT$2:$HT$317),"")</f>
        <v>110</v>
      </c>
      <c r="DT12" s="7">
        <f>IFERROR(AVERAGEIF('Данные 1st'!$S$2:$S$317,$A12,'Данные 1st'!$HU$2:$HU$317),"")</f>
        <v>180</v>
      </c>
      <c r="DU12" s="7">
        <f>IFERROR(AVERAGEIF('Данные 1st'!$S$2:$S$317,$A12,'Данные 1st'!$HW$2:$HW$317),"")</f>
        <v>10</v>
      </c>
      <c r="DV12" s="7">
        <f>IFERROR(AVERAGEIF('Данные 1st'!$S$2:$S$317,$A12,'Данные 1st'!$HX$2:$HX$317),"")</f>
        <v>440</v>
      </c>
      <c r="DW12" s="7">
        <f>IFERROR(AVERAGEIF('Данные 1st'!$S$2:$S$317,$A12,'Данные 1st'!$HY$2:$HY$317),"")</f>
        <v>0.18</v>
      </c>
      <c r="DX12" s="7">
        <f>IFERROR(AVERAGEIF('Данные 1st'!$S$2:$S$317,$A12,'Данные 1st'!$IA$2:$IA$317),"")</f>
        <v>0.15</v>
      </c>
      <c r="DY12" s="7">
        <f>IFERROR(AVERAGEIF('Данные 1st'!$S$2:$S$317,$A12,'Данные 1st'!$IB$2:$IB$317),"")</f>
        <v>0</v>
      </c>
      <c r="DZ12" s="7">
        <f>IFERROR(AVERAGEIF('Данные 1st'!$S$2:$S$317,$A12,'Данные 1st'!$IC$2:$IC$317),"")</f>
        <v>180</v>
      </c>
      <c r="EA12" s="7">
        <f>IFERROR(AVERAGEIF('Данные 1st'!$S$2:$S$317,$A12,'Данные 1st'!$ID$2:$ID$317),"")</f>
        <v>110</v>
      </c>
      <c r="EB12" s="7">
        <f>IFERROR(AVERAGEIF('Данные 1st'!$S$2:$S$317,$A12,'Данные 1st'!$IE$2:$IE$317),"")</f>
        <v>0</v>
      </c>
      <c r="EC12" s="7">
        <f>IFERROR(AVERAGEIF('Данные 1st'!$S$2:$S$317,$A12,'Данные 1st'!$IF$2:$IF$317),"")</f>
        <v>0</v>
      </c>
      <c r="ED12" s="7">
        <f>IFERROR(AVERAGEIF('Данные 1st'!$S$2:$S$317,$A12,'Данные 1st'!$IP$2:$IP$317),"")</f>
        <v>15</v>
      </c>
      <c r="EE12" s="7">
        <f>IFERROR(AVERAGEIF('Данные 1st'!$S$2:$S$317,$A12,'Данные 1st'!$IV$2:$IV$317),"")</f>
        <v>1122</v>
      </c>
      <c r="EF12" s="7">
        <f>IFERROR(AVERAGEIF('Данные 1st'!$S$2:$S$317,$A12,'Данные 1st'!$IW$2:$IW$317),"")</f>
        <v>377</v>
      </c>
      <c r="EG12" s="7">
        <f>IFERROR(AVERAGEIF('Данные 1st'!$S$2:$S$317,$A12,'Данные 1st'!$IX$2:$IX$317),"")</f>
        <v/>
      </c>
      <c r="EH12" s="7">
        <f>IFERROR(AVERAGEIF('Данные 1st'!$S$2:$S$317,$A12,'Данные 1st'!$IY$2:$IY$317),"")</f>
        <v/>
      </c>
      <c r="EI12" s="7">
        <f>IFERROR(AVERAGEIF('Данные 1st'!$S$2:$S$317,$A12,'Данные 1st'!$JD$2:$JD$317),"")</f>
        <v>1136</v>
      </c>
      <c r="EJ12" s="7">
        <f>IFERROR(AVERAGEIF('Данные 1st'!$S$2:$S$317,$A12,'Данные 1st'!$JE$2:$JE$317),"")</f>
        <v>1134</v>
      </c>
      <c r="EK12" s="7">
        <f>IFERROR(AVERAGEIF('Данные 1st'!$S$2:$S$317,$A12,'Данные 1st'!$JF$2:$JF$317),"")</f>
        <v>0</v>
      </c>
      <c r="EL12" s="7">
        <f>IFERROR(AVERAGEIF('Данные 1st'!$S$2:$S$317,$A12,'Данные 1st'!$JG$2:$JG$317),"")</f>
        <v>1118.5</v>
      </c>
      <c r="EM12" s="7">
        <f>IFERROR(AVERAGEIF('Данные 1st'!$S$2:$S$317,$A12,'Данные 1st'!$JH$2:$JH$317),"")</f>
        <v>0</v>
      </c>
      <c r="EN12" s="7">
        <f>IFERROR(AVERAGEIF('Данные 1st'!$S$2:$S$317,$A12,'Данные 1st'!$JJ$2:$JJ$317),"")</f>
        <v>180</v>
      </c>
      <c r="EO12" s="7">
        <f>IFERROR(AVERAGEIF('Данные 1st'!$S$2:$S$317,$A12,'Данные 1st'!$JK$2:$JK$317),"")</f>
        <v>440</v>
      </c>
      <c r="EP12" s="7">
        <f>IFERROR(AVERAGEIF('Данные 1st'!$S$2:$S$317,$A12,'Данные 1st'!$JL$2:$JL$317),"")</f>
        <v/>
      </c>
      <c r="EQ12" s="7">
        <f>IFERROR(AVERAGEIF('Данные 1st'!$S$2:$S$317,$A12,'Данные 1st'!$JM$2:$JM$317),"")</f>
        <v/>
      </c>
      <c r="ER12" s="7">
        <f>IFERROR(AVERAGEIF('Данные 1st'!$S$2:$S$317,$A12,'Данные 1st'!$JN$2:$JN$317),"")</f>
        <v>355</v>
      </c>
      <c r="ES12" s="7">
        <f>IFERROR(AVERAGEIF('Данные 1st'!$S$2:$S$317,$A12,'Данные 1st'!$JO$2:$JO$317),"")</f>
        <v>582.5</v>
      </c>
      <c r="ET12" s="7">
        <f>IFERROR(AVERAGEIF('Данные 1st'!$S$2:$S$317,$A12,'Данные 1st'!$JP$2:$JP$317),"")</f>
        <v>0</v>
      </c>
      <c r="EU12" s="7">
        <f>IFERROR(AVERAGEIF('Данные 1st'!$S$2:$S$317,$A12,'Данные 1st'!$JQ$2:$JQ$317),"")</f>
        <v>0</v>
      </c>
      <c r="EV12" s="7">
        <f>IFERROR(AVERAGEIF('Данные 1st'!$S$2:$S$317,$A12,'Данные 1st'!$JR$2:$JR$317),"")</f>
        <v>333</v>
      </c>
      <c r="EW12" s="7">
        <f>IFERROR(AVERAGEIF('Данные 1st'!$S$2:$S$317,$A12,'Данные 1st'!$JS$2:$JS$317),"")</f>
        <v>152.5</v>
      </c>
      <c r="EX12" s="7">
        <f>IFERROR(AVERAGEIF('Данные 1st'!$S$2:$S$317,$A12,'Данные 1st'!$JT$2:$JT$317),"")</f>
        <v/>
      </c>
      <c r="EY12" s="7">
        <f>IFERROR(AVERAGEIF('Данные 1st'!$S$2:$S$317,$A12,'Данные 1st'!$JU$2:$JU$317),"")</f>
        <v/>
      </c>
      <c r="EZ12" s="7">
        <f>IFERROR(AVERAGEIF('Данные 1st'!$S$2:$S$317,$A12,'Данные 1st'!$JV$2:$JV$317),"")</f>
        <v>8</v>
      </c>
      <c r="FA12" s="7">
        <f>IFERROR(AVERAGEIF('Данные 1st'!$S$2:$S$317,$A12,'Данные 1st'!$JW$2:$JW$317),"")</f>
        <v/>
      </c>
      <c r="FB12" s="7">
        <f>IFERROR(AVERAGEIF('Данные 1st'!$S$2:$S$317,$A12,'Данные 1st'!$JX$2:$JX$317),"")</f>
        <v>0</v>
      </c>
      <c r="FC12" s="7">
        <f>IFERROR(AVERAGEIF('Данные 1st'!$S$2:$S$317,$A12,'Данные 1st'!$JY$2:$JY$317),"")</f>
        <v/>
      </c>
      <c r="FD12" s="7">
        <f>IFERROR(AVERAGEIF('Данные 1st'!$S$2:$S$317,$A12,'Данные 1st'!$JZ$2:$JZ$317),"")</f>
        <v/>
      </c>
      <c r="FE12" s="7">
        <f>IFERROR(AVERAGEIF('Данные 1st'!$S$2:$S$317,$A12,'Данные 1st'!$KA$2:$KA$317),"")</f>
        <v>0</v>
      </c>
      <c r="FF12" s="7">
        <f>IFERROR(AVERAGEIF('Данные 1st'!$S$2:$S$317,$A12,'Данные 1st'!$KB$2:$KB$317),"")</f>
        <v>110</v>
      </c>
      <c r="FG12" s="7">
        <f>IFERROR(AVERAGEIF('Данные 1st'!$S$2:$S$317,$A12,'Данные 1st'!$KC$2:$KC$317),"")</f>
        <v>0</v>
      </c>
      <c r="FH12" s="7">
        <f>IFERROR(AVERAGEIF('Данные 1st'!$S$2:$S$317,$A12,'Данные 1st'!$KD$2:$KD$317),"")</f>
        <v>80</v>
      </c>
      <c r="FI12" s="7">
        <f>IFERROR(AVERAGEIF('Данные 1st'!$S$2:$S$317,$A12,'Данные 1st'!$KE$2:$KE$317),"")</f>
        <v/>
      </c>
      <c r="FJ12" s="7">
        <f>IFERROR(AVERAGEIF('Данные 1st'!$S$2:$S$317,$A12,'Данные 1st'!$KF$2:$KF$317),"")</f>
        <v>4</v>
      </c>
      <c r="FK12" s="7">
        <f>IFERROR(AVERAGEIF('Данные 1st'!$S$2:$S$317,$A12,'Данные 1st'!$KG$2:$KG$317),"")</f>
        <v>3</v>
      </c>
      <c r="FL12" s="7">
        <f>IFERROR(AVERAGEIF('Данные 1st'!$S$2:$S$317,$A12,'Данные 1st'!$KH$2:$KH$317),"")</f>
        <v>2</v>
      </c>
      <c r="FM12" s="7">
        <f>IFERROR(AVERAGEIF('Данные 1st'!$S$2:$S$317,$A12,'Данные 1st'!$KI$2:$KI$317),"")</f>
        <v>2</v>
      </c>
      <c r="FN12" s="7">
        <f>IFERROR(AVERAGEIF('Данные 1st'!$S$2:$S$317,$A12,'Данные 1st'!$KJ$2:$KJ$317),"")</f>
        <v>0</v>
      </c>
      <c r="FO12" s="7">
        <f>IFERROR(AVERAGEIF('Данные 1st'!$S$2:$S$317,$A12,'Данные 1st'!$KK$2:$KK$317),"")</f>
        <v>1.5</v>
      </c>
      <c r="FP12" s="7">
        <f>IFERROR(AVERAGEIF('Данные 1st'!$S$2:$S$317,$A12,'Данные 1st'!$KL$2:$KL$317),"")</f>
        <v>1.5</v>
      </c>
      <c r="FQ12" s="7">
        <f>IFERROR(AVERAGEIF('Данные 1st'!$S$2:$S$317,$A12,'Данные 1st'!$KM$2:$KM$317),"")</f>
        <v>0</v>
      </c>
      <c r="FR12" s="7">
        <f>IFERROR(AVERAGEIF('Данные 1st'!$S$2:$S$317,$A12,'Данные 1st'!$KN$2:$KN$317),"")</f>
        <v>0</v>
      </c>
      <c r="FS12" s="7">
        <f>IFERROR(AVERAGEIF('Данные 1st'!$S$2:$S$317,$A12,'Данные 1st'!$KR$2:$KR$317),"")</f>
        <v>40</v>
      </c>
      <c r="FT12" s="7">
        <f>IFERROR(AVERAGEIF('Данные 1st'!$S$2:$S$317,$A12,'Данные 1st'!$KS$2:$KS$317),"")</f>
        <v>60</v>
      </c>
      <c r="FU12" s="7">
        <f>IFERROR(AVERAGEIF('Данные 1st'!$S$2:$S$317,$A12,'Данные 1st'!$KT$2:$KT$317),"")</f>
        <v>0</v>
      </c>
      <c r="FV12" s="7">
        <f>IFERROR(AVERAGEIF('Данные 1st'!$S$2:$S$317,$A12,'Данные 1st'!$KV$2:$KV$317),"")</f>
        <v/>
      </c>
      <c r="FW12" s="7">
        <f>IFERROR(AVERAGEIF('Данные 1st'!$S$2:$S$317,$A12,'Данные 1st'!$KW$2:$KW$317),"")</f>
        <v/>
      </c>
      <c r="FX12" s="7">
        <f>IFERROR(AVERAGEIF('Данные 1st'!$S$2:$S$317,$A12,'Данные 1st'!$KX$2:$KX$317),"")</f>
        <v/>
      </c>
      <c r="FY12" s="7">
        <f>IFERROR(AVERAGEIF('Данные 1st'!$S$2:$S$317,$A12,'Данные 1st'!$KY$2:$KY$317),"")</f>
        <v/>
      </c>
      <c r="FZ12" s="7">
        <f>IFERROR(AVERAGEIF('Данные 1st'!$S$2:$S$317,$A12,'Данные 1st'!$KZ$2:$KZ$317),"")</f>
        <v/>
      </c>
      <c r="GA12" s="7">
        <f>IFERROR(AVERAGEIF('Данные 1st'!$S$2:$S$317,$A12,'Данные 1st'!$LA$2:$LA$317),"")</f>
        <v/>
      </c>
      <c r="GB12" s="7">
        <f>IFERROR(AVERAGEIF('Данные 1st'!$S$2:$S$317,$A12,'Данные 1st'!$LB$2:$LB$317),"")</f>
        <v/>
      </c>
      <c r="GC12" s="7">
        <f>IFERROR(AVERAGEIF('Данные 1st'!$S$2:$S$317,$A12,'Данные 1st'!$LC$2:$LC$317),"")</f>
        <v/>
      </c>
      <c r="GD12" s="7">
        <f>IFERROR(AVERAGEIF('Данные 1st'!$S$2:$S$317,$A12,'Данные 1st'!$LD$2:$LD$317),"")</f>
        <v/>
      </c>
      <c r="GE12" s="7">
        <f>IFERROR(AVERAGEIF('Данные 1st'!$S$2:$S$317,$A12,'Данные 1st'!$LE$2:$LE$317),"")</f>
        <v/>
      </c>
      <c r="GF12" s="7">
        <f>IFERROR(AVERAGEIF('Данные 1st'!$S$2:$S$317,$A12,'Данные 1st'!$LF$2:$LF$317),"")</f>
        <v/>
      </c>
      <c r="GG12" s="7">
        <f>IFERROR(AVERAGEIF('Данные 1st'!$S$2:$S$317,$A12,'Данные 1st'!$LG$2:$LG$317),"")</f>
        <v/>
      </c>
      <c r="GH12" s="7">
        <f>IFERROR(AVERAGEIF('Данные 1st'!$S$2:$S$317,$A12,'Данные 1st'!$LH$2:$LH$317),"")</f>
        <v/>
      </c>
      <c r="GI12" s="7">
        <f>IFERROR(AVERAGEIF('Данные 1st'!$S$2:$S$317,$A12,'Данные 1st'!$LI$2:$LI$317),"")</f>
        <v/>
      </c>
      <c r="GJ12" s="7">
        <f>IFERROR(AVERAGEIF('Данные 1st'!$S$2:$S$317,$A12,'Данные 1st'!$LJ$2:$LJ$317),"")</f>
        <v/>
      </c>
      <c r="GK12" s="7">
        <f>IFERROR(AVERAGEIF('Данные 1st'!$S$2:$S$317,$A12,'Данные 1st'!$LK$2:$LK$317),"")</f>
        <v>480</v>
      </c>
      <c r="GL12" s="7">
        <f>IFERROR(AVERAGEIF('Данные 1st'!$S$2:$S$317,$A12,'Данные 1st'!$LV$2:$LV$317),"")</f>
        <v/>
      </c>
      <c r="GM12" s="7">
        <f>IFERROR(AVERAGEIF('Данные 1st'!$S$2:$S$317,$A12,'Данные 1st'!$LW$2:$LW$317),"")</f>
        <v/>
      </c>
      <c r="GN12" s="7">
        <f>IFERROR(AVERAGEIF('Данные 1st'!$S$2:$S$317,$A12,'Данные 1st'!$LX$2:$LX$317),"")</f>
        <v>300</v>
      </c>
      <c r="GO12" s="7">
        <f>IFERROR(AVERAGEIF('Данные 1st'!$S$2:$S$317,$A12,'Данные 1st'!$LY$2:$LY$317),"")</f>
        <v>2</v>
      </c>
      <c r="GP12" s="7">
        <f>IFERROR(AVERAGEIF('Данные 1st'!$S$2:$S$317,$A12,'Данные 1st'!$LZ$2:$LZ$317),"")</f>
        <v>320</v>
      </c>
      <c r="GQ12" s="7">
        <f>IFERROR(AVERAGEIF('Данные 1st'!$S$2:$S$317,$A12,'Данные 1st'!$PG$2:$PG$317),"")</f>
        <v>1</v>
      </c>
      <c r="GR12" s="7">
        <f>IFERROR(AVERAGEIF('Данные 1st'!$S$2:$S$317,$A12,'Данные 1st'!$PX$2:$PX$317),"")</f>
        <v>56</v>
      </c>
      <c r="GS12" s="7">
        <f>IFERROR(AVERAGEIF('Данные 1st'!$S$2:$S$317,$A12,'Данные 1st'!$PY$2:$PY$317),"")</f>
        <v>57</v>
      </c>
      <c r="GT12" s="7">
        <f>IFERROR(AVERAGEIF('Данные 1st'!$S$2:$S$317,$A12,'Данные 1st'!$QA$2:$QA$317),"")</f>
        <v>2</v>
      </c>
      <c r="GU12" s="7">
        <f>IFERROR(AVERAGEIF('Данные 1st'!$S$2:$S$317,$A12,'Данные 1st'!$QB$2:$QB$317),"")</f>
        <v>1118.5</v>
      </c>
      <c r="GV12" s="7">
        <f>IFERROR(AVERAGEIF('Данные 1st'!$S$2:$S$317,$A12,'Данные 1st'!$QC$2:$QC$317),"")</f>
        <v>69</v>
      </c>
      <c r="GW12" s="7">
        <f>IFERROR(AVERAGEIF('Данные 1st'!$S$2:$S$317,$A12,'Данные 1st'!$QD$2:$QD$317),"")</f>
        <v>69</v>
      </c>
      <c r="GX12" s="7">
        <f>IFERROR(AVERAGEIF('Данные 1st'!$S$2:$S$317,$A12,'Данные 1st'!$QF$2:$QF$317),"")</f>
        <v>1</v>
      </c>
      <c r="GY12" s="7">
        <f>IFERROR(AVERAGEIF('Данные 1st'!$S$2:$S$317,$A12,'Данные 1st'!$QG$2:$QG$317),"")</f>
        <v>1136</v>
      </c>
      <c r="GZ12" s="7">
        <f>IFERROR(AVERAGEIF('Данные 1st'!$S$2:$S$317,$A12,'Данные 1st'!$QH$2:$QH$317),"")</f>
        <v>66</v>
      </c>
      <c r="HA12" s="7">
        <f>IFERROR(AVERAGEIF('Данные 1st'!$S$2:$S$317,$A12,'Данные 1st'!$QI$2:$QI$317),"")</f>
        <v>66</v>
      </c>
      <c r="HB12" s="7">
        <f>IFERROR(AVERAGEIF('Данные 1st'!$S$2:$S$317,$A12,'Данные 1st'!$QK$2:$QK$317),"")</f>
        <v/>
      </c>
      <c r="HC12" s="7">
        <f>IFERROR(AVERAGEIF('Данные 1st'!$S$2:$S$317,$A12,'Данные 1st'!$QL$2:$QL$317),"")</f>
        <v>0</v>
      </c>
      <c r="HD12" s="7">
        <f>IFERROR(AVERAGEIF('Данные 1st'!$S$2:$S$317,$A12,'Данные 1st'!$QM$2:$QM$317),"")</f>
        <v>62</v>
      </c>
      <c r="HE12" s="7">
        <f>IFERROR(AVERAGEIF('Данные 1st'!$S$2:$S$317,$A12,'Данные 1st'!$QN$2:$QN$317),"")</f>
        <v>62</v>
      </c>
      <c r="HF12" s="7">
        <f>IFERROR(AVERAGEIF('Данные 1st'!$S$2:$S$317,$A12,'Данные 1st'!$QP$2:$QP$317),"")</f>
        <v>1</v>
      </c>
      <c r="HG12" s="7">
        <f>IFERROR(AVERAGEIF('Данные 1st'!$S$2:$S$317,$A12,'Данные 1st'!$QQ$2:$QQ$317),"")</f>
        <v>1134</v>
      </c>
      <c r="HH12" s="7">
        <f>IFERROR(AVERAGEIF('Данные 1st'!$S$2:$S$317,$A12,'Данные 1st'!$QR$2:$QR$317),"")</f>
        <v/>
      </c>
      <c r="HI12" s="7">
        <f>IFERROR(AVERAGEIF('Данные 1st'!$S$2:$S$317,$A12,'Данные 1st'!$QS$2:$QS$317),"")</f>
        <v/>
      </c>
      <c r="HJ12" s="7">
        <f>IFERROR(AVERAGEIF('Данные 1st'!$S$2:$S$317,$A12,'Данные 1st'!$QU$2:$QU$317),"")</f>
        <v/>
      </c>
      <c r="HK12" s="7">
        <f>IFERROR(AVERAGEIF('Данные 1st'!$S$2:$S$317,$A12,'Данные 1st'!$QV$2:$QV$317),"")</f>
        <v/>
      </c>
      <c r="HL12" s="7">
        <f>IFERROR(AVERAGEIF('Данные 1st'!$S$2:$S$317,$A12,'Данные 1st'!$QW$2:$QW$317),"")</f>
        <v>82</v>
      </c>
      <c r="HM12" s="7">
        <f>IFERROR(AVERAGEIF('Данные 1st'!$S$2:$S$317,$A12,'Данные 1st'!$QX$2:$QX$317),"")</f>
        <v>85.5</v>
      </c>
      <c r="HN12" s="7">
        <f>IFERROR(AVERAGEIF('Данные 1st'!$S$2:$S$317,$A12,'Данные 1st'!$QZ$2:$QZ$317),"")</f>
        <v>1.5</v>
      </c>
      <c r="HO12" s="7">
        <f>IFERROR(AVERAGEIF('Данные 1st'!$S$2:$S$317,$A12,'Данные 1st'!$RA$2:$RA$317),"")</f>
        <v>66</v>
      </c>
      <c r="HP12" s="7">
        <f>IFERROR(AVERAGEIF('Данные 1st'!$S$2:$S$317,$A12,'Данные 1st'!$RB$2:$RB$317),"")</f>
        <v>66</v>
      </c>
      <c r="HQ12" s="7">
        <f>IFERROR(AVERAGEIF('Данные 1st'!$S$2:$S$317,$A12,'Данные 1st'!$RD$2:$RD$317),"")</f>
        <v/>
      </c>
      <c r="HR12" s="7">
        <f>IFERROR(AVERAGEIF('Данные 1st'!$S$2:$S$317,$A12,'Данные 1st'!$RE$2:$RE$317),"")</f>
        <v>0</v>
      </c>
      <c r="HS12" s="7">
        <f>IFERROR(AVERAGEIF('Данные 1st'!$S$2:$S$317,$A12,'Данные 1st'!$RF$2:$RF$317),"")</f>
        <v>1</v>
      </c>
      <c r="HT12" s="7">
        <f>IFERROR(AVERAGEIF('Данные 1st'!$S$2:$S$317,$A12,'Данные 1st'!$RG$2:$RG$317),"")</f>
        <v/>
      </c>
      <c r="HU12" s="7">
        <f>IFERROR(AVERAGEIF('Данные 1st'!$S$2:$S$317,$A12,'Данные 1st'!$RH$2:$RH$317),"")</f>
        <v/>
      </c>
      <c r="HV12" s="7">
        <f>IFERROR(AVERAGEIF('Данные 1st'!$S$2:$S$317,$A12,'Данные 1st'!$RI$2:$RI$317),"")</f>
        <v/>
      </c>
      <c r="HW12" s="7">
        <f>IFERROR(AVERAGEIF('Данные 1st'!$S$2:$S$317,$A12,'Данные 1st'!$RJ$2:$RJ$317),"")</f>
        <v>1.5</v>
      </c>
      <c r="HX12" s="7">
        <f>IFERROR(AVERAGEIF('Данные 1st'!$S$2:$S$317,$A12,'Данные 1st'!$RK$2:$RK$317),"")</f>
        <v/>
      </c>
      <c r="HY12" s="7">
        <f>IFERROR(AVERAGEIF('Данные 1st'!$S$2:$S$317,$A12,'Данные 1st'!$RL$2:$RL$317),"")</f>
        <v>2</v>
      </c>
      <c r="HZ12" s="7">
        <f>IFERROR(AVERAGEIF('Данные 1st'!$S$2:$S$317,$A12,'Данные 1st'!$RM$2:$RM$317),"")</f>
        <v/>
      </c>
      <c r="IA12" s="7">
        <f>IFERROR(AVERAGEIF('Данные 1st'!$S$2:$S$317,$A12,'Данные 1st'!$RN$2:$RN$317),"")</f>
        <v/>
      </c>
      <c r="IB12" s="7">
        <f>IFERROR(AVERAGEIF('Данные 1st'!$S$2:$S$317,$A12,'Данные 1st'!$RO$2:$RO$317),"")</f>
        <v>503</v>
      </c>
      <c r="IC12" s="7">
        <f>IFERROR(AVERAGEIF('Данные 1st'!$S$2:$S$317,$A12,'Данные 1st'!$RP$2:$RP$317),"")</f>
        <v/>
      </c>
      <c r="ID12" s="7">
        <f>IFERROR(AVERAGEIF('Данные 1st'!$S$2:$S$317,$A12,'Данные 1st'!$RQ$2:$RQ$317),"")</f>
        <v>882</v>
      </c>
      <c r="IE12" s="7">
        <f>IFERROR(AVERAGEIF('Данные 1st'!$S$2:$S$317,$A12,'Данные 1st'!$RR$2:$RR$317),"")</f>
        <v/>
      </c>
      <c r="IF12" s="7">
        <f>IFERROR(AVERAGEIF('Данные 1st'!$S$2:$S$317,$A12,'Данные 1st'!$RS$2:$RS$317),"")</f>
        <v/>
      </c>
      <c r="IG12" s="7">
        <f>IFERROR(AVERAGEIF('Данные 1st'!$S$2:$S$317,$A12,'Данные 1st'!$RT$2:$RT$317),"")</f>
        <v>185</v>
      </c>
      <c r="IH12" s="7">
        <f>IFERROR(AVERAGEIF('Данные 1st'!$S$2:$S$317,$A12,'Данные 1st'!$RU$2:$RU$317),"")</f>
        <v>171.5</v>
      </c>
      <c r="II12" s="7">
        <f>IFERROR(AVERAGEIF('Данные 1st'!$S$2:$S$317,$A12,'Данные 1st'!$RX$2:$RX$317),"")</f>
        <v>15</v>
      </c>
      <c r="IJ12" s="7">
        <f>IFERROR(AVERAGEIF('Данные 1st'!$S$2:$S$317,$A12,'Данные 1st'!$RY$2:$RY$317),"")</f>
        <v>4</v>
      </c>
      <c r="IK12" s="7">
        <f>IFERROR(AVERAGEIF('Данные 1st'!$S$2:$S$317,$A12,'Данные 1st'!$SA$2:$SA$317),"")</f>
        <v>15</v>
      </c>
      <c r="IL12" s="7">
        <f>IFERROR(AVERAGEIF('Данные 1st'!$S$2:$S$317,$A12,'Данные 1st'!$SD$2:$SD$317),"")</f>
        <v>1</v>
      </c>
      <c r="IM12" s="7">
        <f>IFERROR(AVERAGEIF('Данные 1st'!$S$2:$S$317,$A12,'Данные 1st'!$SG$2:$SG$317),"")</f>
        <v/>
      </c>
      <c r="IN12" s="7">
        <f>IFERROR(AVERAGEIF('Данные 1st'!$S$2:$S$317,$A12,'Данные 1st'!$SH$2:$SH$317),"")</f>
        <v>0.995</v>
      </c>
      <c r="IO12" s="7">
        <f>IFERROR(AVERAGEIF('Данные 1st'!$S$2:$S$317,$A12,'Данные 1st'!$SI$2:$SI$317),"")</f>
        <v>0.995</v>
      </c>
      <c r="IP12" s="7">
        <f>IFERROR(AVERAGEIF('Данные 1st'!$S$2:$S$317,$A12,'Данные 1st'!$SJ$2:$SJ$317),"")</f>
        <v>0.995</v>
      </c>
      <c r="IQ12" s="7">
        <f>IFERROR(AVERAGEIF('Данные 1st'!$S$2:$S$317,$A12,'Данные 1st'!$SK$2:$SK$317),"")</f>
        <v>15</v>
      </c>
      <c r="IR12" s="7">
        <f>IFERROR(AVERAGEIF('Данные 1st'!$S$2:$S$317,$A12,'Данные 1st'!$SL$2:$SL$317),"")</f>
        <v>0</v>
      </c>
      <c r="IS12" s="7">
        <f>IFERROR(AVERAGEIF('Данные 1st'!$S$2:$S$317,$A12,'Данные 1st'!$SM$2:$SM$317),"")</f>
        <v>0</v>
      </c>
      <c r="IT12" s="7">
        <f>IFERROR(AVERAGEIF('Данные 1st'!$S$2:$S$317,$A12,'Данные 1st'!$SN$2:$SN$317),"")</f>
        <v>0</v>
      </c>
      <c r="IU12" s="7">
        <f>IFERROR(AVERAGEIF('Данные 1st'!$S$2:$S$317,$A12,'Данные 1st'!$SO$2:$SO$317),"")</f>
        <v>0</v>
      </c>
      <c r="IV12" s="7">
        <f>IFERROR(AVERAGEIF('Данные 1st'!$S$2:$S$317,$A12,'Данные 1st'!$SP$2:$SP$317),"")</f>
        <v>0</v>
      </c>
      <c r="IW12" s="7">
        <f>IFERROR(AVERAGEIF('Данные 1st'!$S$2:$S$317,$A12,'Данные 1st'!$SQ$2:$SQ$317),"")</f>
        <v>0</v>
      </c>
      <c r="IX12" s="7">
        <f>IFERROR(AVERAGEIF('Данные 1st'!$S$2:$S$317,$A12,'Данные 1st'!$SR$2:$SR$317),"")</f>
        <v>0</v>
      </c>
      <c r="IY12" s="7">
        <f>IFERROR(AVERAGEIF('Данные 1st'!$S$2:$S$317,$A12,'Данные 1st'!$SS$2:$SS$317),"")</f>
        <v>0</v>
      </c>
      <c r="IZ12" s="7">
        <f>IFERROR(AVERAGEIF('Данные 1st'!$S$2:$S$317,$A12,'Данные 1st'!$ST$2:$ST$317),"")</f>
        <v>0</v>
      </c>
      <c r="JA12" s="7">
        <f>IFERROR(AVERAGEIF('Данные 1st'!$S$2:$S$317,$A12,'Данные 1st'!$SU$2:$SU$317),"")</f>
        <v>0</v>
      </c>
      <c r="JB12" s="7">
        <f>IFERROR(AVERAGEIF('Данные 1st'!$S$2:$S$317,$A12,'Данные 1st'!$SV$2:$SV$317),"")</f>
        <v>0</v>
      </c>
      <c r="JC12" s="7">
        <f>IFERROR(AVERAGEIF('Данные 1st'!$S$2:$S$317,$A12,'Данные 1st'!$SW$2:$SW$317),"")</f>
        <v>0</v>
      </c>
      <c r="JD12" s="7">
        <f>IFERROR(AVERAGEIF('Данные 1st'!$S$2:$S$317,$A12,'Данные 1st'!$SX$2:$SX$317),"")</f>
        <v>0</v>
      </c>
      <c r="JE12" s="7">
        <f>IFERROR(AVERAGEIF('Данные 1st'!$S$2:$S$317,$A12,'Данные 1st'!$SY$2:$SY$317),"")</f>
        <v/>
      </c>
      <c r="JF12" s="7">
        <f>IFERROR(AVERAGEIF('Данные 1st'!$S$2:$S$317,$A12,'Данные 1st'!$SZ$2:$SZ$317),"")</f>
        <v/>
      </c>
      <c r="JG12" s="7">
        <f>IFERROR(AVERAGEIF('Данные 1st'!$S$2:$S$317,$A12,'Данные 1st'!$TA$2:$TA$317),"")</f>
        <v/>
      </c>
      <c r="JH12" s="7">
        <f>IFERROR(AVERAGEIF('Данные 1st'!$S$2:$S$317,$A12,'Данные 1st'!$TB$2:$TB$317),"")</f>
        <v>0</v>
      </c>
      <c r="JI12" s="7">
        <f>IFERROR(AVERAGEIF('Данные 1st'!$S$2:$S$317,$A12,'Данные 1st'!$TC$2:$TC$317),"")</f>
        <v>0</v>
      </c>
      <c r="JJ12" s="7">
        <f>IFERROR(AVERAGEIF('Данные 1st'!$S$2:$S$317,$A12,'Данные 1st'!$TD$2:$TD$317),"")</f>
        <v>7.5</v>
      </c>
      <c r="JK12" s="7">
        <f>IFERROR(AVERAGEIF('Данные 1st'!$S$2:$S$317,$A12,'Данные 1st'!$TN$2:$TN$317),"")</f>
        <v>0</v>
      </c>
      <c r="JL12">
        <f>COUNTIF('Данные 2st'!$Q$2:$Q$317,$A12)</f>
        <v>2</v>
      </c>
      <c r="JM12" s="6" t="s">
        <v>5086</v>
      </c>
      <c r="JN12" s="6" t="s">
        <v>513</v>
      </c>
      <c r="JO12" s="6" t="s">
        <v>5125</v>
      </c>
      <c r="JP12" s="6" t="s">
        <v>5470</v>
      </c>
      <c r="JQ12" s="7">
        <f>IFERROR(AVERAGEIF('Данные 2st'!$Q$2:$Q$317,$A12,'Данные 2st'!$AC$2:$AC$317),"")</f>
        <v>13.5</v>
      </c>
      <c r="JR12" s="7">
        <f>IFERROR(AVERAGEIF('Данные 2st'!$Q$2:$Q$317,$A12,'Данные 2st'!$AF$2:$AF$317),"")</f>
        <v>3642.5</v>
      </c>
      <c r="JS12" s="7">
        <f>IFERROR(AVERAGEIF('Данные 2st'!$Q$2:$Q$317,$A12,'Данные 2st'!$AW$2:$AW$317),"")</f>
        <v>6.4</v>
      </c>
      <c r="JT12" s="7">
        <f>IFERROR(AVERAGEIF('Данные 2st'!$Q$2:$Q$317,$A12,'Данные 2st'!$AX$2:$AX$317),"")</f>
        <v>-6</v>
      </c>
      <c r="JU12" s="7">
        <f>IFERROR(AVERAGEIF('Данные 2st'!$Q$2:$Q$317,$A12,'Данные 2st'!$AY$2:$AY$317),"")</f>
        <v>87.25</v>
      </c>
      <c r="JV12" s="7">
        <f>IFERROR(AVERAGEIF('Данные 2st'!$Q$2:$Q$317,$A12,'Данные 2st'!$AZ$2:$AZ$317),"")</f>
        <v>73</v>
      </c>
      <c r="JW12" s="7">
        <f>IFERROR(AVERAGEIF('Данные 2st'!$Q$2:$Q$317,$A12,'Данные 2st'!$BA$2:$BA$317),"")</f>
        <v/>
      </c>
      <c r="JX12" s="7">
        <f>IFERROR(AVERAGEIF('Данные 2st'!$Q$2:$Q$317,$A12,'Данные 2st'!$BB$2:$BB$317),"")</f>
        <v/>
      </c>
      <c r="JY12" s="7">
        <f>IFERROR(AVERAGEIF('Данные 2st'!$Q$2:$Q$317,$A12,'Данные 2st'!$BC$2:$BC$317),"")</f>
        <v/>
      </c>
      <c r="JZ12" s="7">
        <f>IFERROR(AVERAGEIF('Данные 2st'!$Q$2:$Q$317,$A12,'Данные 2st'!$BH$2:$BH$317),"")</f>
        <v>87.25</v>
      </c>
      <c r="KA12" s="7">
        <f>IFERROR(AVERAGEIF('Данные 2st'!$Q$2:$Q$317,$A12,'Данные 2st'!$BI$2:$BI$317),"")</f>
        <v>14.25</v>
      </c>
      <c r="KB12" s="7">
        <f>IFERROR(AVERAGEIF('Данные 2st'!$Q$2:$Q$317,$A12,'Данные 2st'!$BJ$2:$BJ$317),"")</f>
        <v>73</v>
      </c>
      <c r="KC12" s="7">
        <f>IFERROR(AVERAGEIF('Данные 2st'!$Q$2:$Q$317,$A12,'Данные 2st'!$BK$2:$BK$317),"")</f>
        <v>3.5</v>
      </c>
      <c r="KD12" s="7">
        <f>IFERROR(AVERAGEIF('Данные 2st'!$Q$2:$Q$317,$A12,'Данные 2st'!$BL$2:$BL$317),"")</f>
        <v>174.5</v>
      </c>
      <c r="KE12" s="7">
        <f>IFERROR(AVERAGEIF('Данные 2st'!$Q$2:$Q$317,$A12,'Данные 2st'!$BM$2:$BM$317),"")</f>
        <v>-6</v>
      </c>
      <c r="KF12" s="7">
        <f>IFERROR(AVERAGEIF('Данные 2st'!$Q$2:$Q$317,$A12,'Данные 2st'!$BN$2:$BN$317),"")</f>
        <v>0</v>
      </c>
      <c r="KG12" s="7">
        <f>IFERROR(AVERAGEIF('Данные 2st'!$Q$2:$Q$317,$A12,'Данные 2st'!$BO$2:$BO$317),"")</f>
        <v/>
      </c>
      <c r="KH12" s="7">
        <f>IFERROR(AVERAGEIF('Данные 2st'!$Q$2:$Q$317,$A12,'Данные 2st'!$BP$2:$BP$317),"")</f>
        <v>0</v>
      </c>
      <c r="KI12" s="7">
        <f>IFERROR(AVERAGEIF('Данные 2st'!$Q$2:$Q$317,$A12,'Данные 2st'!$BR$2:$BR$317),"")</f>
        <v>167.5</v>
      </c>
      <c r="KJ12" s="7">
        <f>IFERROR(AVERAGEIF('Данные 2st'!$Q$2:$Q$317,$A12,'Данные 2st'!$BS$2:$BS$317),"")</f>
        <v>157.5</v>
      </c>
      <c r="KK12" s="7">
        <f>IFERROR(AVERAGEIF('Данные 2st'!$Q$2:$Q$317,$A12,'Данные 2st'!$BT$2:$BT$317),"")</f>
        <v>1795</v>
      </c>
      <c r="KL12" s="7">
        <f>IFERROR(AVERAGEIF('Данные 2st'!$Q$2:$Q$317,$A12,'Данные 2st'!$CV$2:$CV$317),"")</f>
        <v>108.5</v>
      </c>
      <c r="KM12" s="7">
        <f>IFERROR(AVERAGEIF('Данные 2st'!$Q$2:$Q$317,$A12,'Данные 2st'!$CW$2:$CW$317),"")</f>
        <v>3</v>
      </c>
      <c r="KN12" s="7">
        <f>IFERROR(AVERAGEIF('Данные 2st'!$Q$2:$Q$317,$A12,'Данные 2st'!$CX$2:$CX$317),"")</f>
        <v>69.5</v>
      </c>
      <c r="KO12" s="7">
        <f>IFERROR(AVERAGEIF('Данные 2st'!$Q$2:$Q$317,$A12,'Данные 2st'!$CY$2:$CY$317),"")</f>
        <v>5</v>
      </c>
      <c r="KP12" s="7">
        <f>IFERROR(AVERAGEIF('Данные 2st'!$Q$2:$Q$317,$A12,'Данные 2st'!$CZ$2:$CZ$317),"")</f>
        <v>90.5</v>
      </c>
      <c r="KQ12" s="7">
        <f>IFERROR(AVERAGEIF('Данные 2st'!$Q$2:$Q$317,$A12,'Данные 2st'!$DA$2:$DA$317),"")</f>
        <v>5</v>
      </c>
      <c r="KR12" s="7">
        <f>IFERROR(AVERAGEIF('Данные 2st'!$Q$2:$Q$317,$A12,'Данные 2st'!$DB$2:$DB$317),"")</f>
        <v>8240</v>
      </c>
      <c r="KS12" s="7">
        <f>IFERROR(AVERAGEIF('Данные 2st'!$Q$2:$Q$317,$A12,'Данные 2st'!$DC$2:$DC$317),"")</f>
        <v>240</v>
      </c>
      <c r="KT12" s="7">
        <f>IFERROR(AVERAGEIF('Данные 2st'!$Q$2:$Q$317,$A12,'Данные 2st'!$DD$2:$DD$317),"")</f>
        <v>285</v>
      </c>
      <c r="KU12" s="7">
        <f>IFERROR(AVERAGEIF('Данные 2st'!$Q$2:$Q$317,$A12,'Данные 2st'!$DE$2:$DE$317),"")</f>
        <v>1890.5</v>
      </c>
      <c r="KV12" s="7">
        <f>IFERROR(AVERAGEIF('Данные 2st'!$Q$2:$Q$317,$A12,'Данные 2st'!$DF$2:$DF$317),"")</f>
        <v>1890.5</v>
      </c>
      <c r="KW12" s="7">
        <f>IFERROR(AVERAGEIF('Данные 2st'!$Q$2:$Q$317,$A12,'Данные 2st'!$DG$2:$DG$317),"")</f>
        <v>1908</v>
      </c>
      <c r="KX12" s="7">
        <f>IFERROR(AVERAGEIF('Данные 2st'!$Q$2:$Q$317,$A12,'Данные 2st'!$DH$2:$DH$317),"")</f>
        <v/>
      </c>
      <c r="KY12" s="7">
        <f>IFERROR(AVERAGEIF('Данные 2st'!$Q$2:$Q$317,$A12,'Данные 2st'!$DI$2:$DI$317),"")</f>
        <v/>
      </c>
      <c r="KZ12" s="7">
        <f>IFERROR(AVERAGEIF('Данные 2st'!$Q$2:$Q$317,$A12,'Данные 2st'!$DK$2:$DK$317),"")</f>
        <v>167.5</v>
      </c>
      <c r="LA12" s="7">
        <f>IFERROR(AVERAGEIF('Данные 2st'!$Q$2:$Q$317,$A12,'Данные 2st'!$DM$2:$DM$317),"")</f>
        <v>64</v>
      </c>
      <c r="LB12" s="7">
        <f>IFERROR(AVERAGEIF('Данные 2st'!$Q$2:$Q$317,$A12,'Данные 2st'!$DN$2:$DN$317),"")</f>
        <v>0.84</v>
      </c>
      <c r="LC12" s="7">
        <f>IFERROR(AVERAGEIF('Данные 2st'!$Q$2:$Q$317,$A12,'Данные 2st'!$DO$2:$DO$317),"")</f>
        <v>1</v>
      </c>
      <c r="LD12" s="7">
        <f>IFERROR(AVERAGEIF('Данные 2st'!$Q$2:$Q$317,$A12,'Данные 2st'!$DP$2:$DP$317),"")</f>
        <v>1798</v>
      </c>
      <c r="LE12" s="7">
        <f>IFERROR(AVERAGEIF('Данные 2st'!$Q$2:$Q$317,$A12,'Данные 2st'!$DQ$2:$DQ$317),"")</f>
        <v>550</v>
      </c>
      <c r="LF12" s="7">
        <f>IFERROR(AVERAGEIF('Данные 2st'!$Q$2:$Q$317,$A12,'Данные 2st'!$DS$2:$DS$317),"")</f>
        <v>157.5</v>
      </c>
      <c r="LG12" s="7">
        <f>IFERROR(AVERAGEIF('Данные 2st'!$Q$2:$Q$317,$A12,'Данные 2st'!$DU$2:$DU$317),"")</f>
        <v>64</v>
      </c>
      <c r="LH12" s="7">
        <f>IFERROR(AVERAGEIF('Данные 2st'!$Q$2:$Q$317,$A12,'Данные 2st'!$DV$2:$DV$317),"")</f>
        <v>0.84</v>
      </c>
      <c r="LI12" s="7">
        <f>IFERROR(AVERAGEIF('Данные 2st'!$Q$2:$Q$317,$A12,'Данные 2st'!$DW$2:$DW$317),"")</f>
        <v>1</v>
      </c>
      <c r="LJ12" s="7">
        <f>IFERROR(AVERAGEIF('Данные 2st'!$Q$2:$Q$317,$A12,'Данные 2st'!$DX$2:$DX$317),"")</f>
        <v>1805</v>
      </c>
      <c r="LK12" s="7">
        <f>IFERROR(AVERAGEIF('Данные 2st'!$Q$2:$Q$317,$A12,'Данные 2st'!$DY$2:$DY$317),"")</f>
        <v>520</v>
      </c>
      <c r="LL12" s="7">
        <f>IFERROR(AVERAGEIF('Данные 2st'!$Q$2:$Q$317,$A12,'Данные 2st'!$EA$2:$EA$317),"")</f>
        <v>33</v>
      </c>
      <c r="LM12" s="7">
        <f>IFERROR(AVERAGEIF('Данные 2st'!$Q$2:$Q$317,$A12,'Данные 2st'!$EC$2:$EC$317),"")</f>
        <v>0.4</v>
      </c>
      <c r="LN12" s="7">
        <f>IFERROR(AVERAGEIF('Данные 2st'!$Q$2:$Q$317,$A12,'Данные 2st'!$ED$2:$ED$317),"")</f>
        <v>1798</v>
      </c>
      <c r="LO12" s="7">
        <f>IFERROR(AVERAGEIF('Данные 2st'!$Q$2:$Q$317,$A12,'Данные 2st'!$EE$2:$EE$317),"")</f>
        <v>52</v>
      </c>
      <c r="LP12" s="7">
        <f>IFERROR(AVERAGEIF('Данные 2st'!$Q$2:$Q$317,$A12,'Данные 2st'!$EG$2:$EG$317),"")</f>
        <v>33</v>
      </c>
      <c r="LQ12" s="7">
        <f>IFERROR(AVERAGEIF('Данные 2st'!$Q$2:$Q$317,$A12,'Данные 2st'!$EI$2:$EI$317),"")</f>
        <v>0.4</v>
      </c>
      <c r="LR12" s="7">
        <f>IFERROR(AVERAGEIF('Данные 2st'!$Q$2:$Q$317,$A12,'Данные 2st'!$EJ$2:$EJ$317),"")</f>
        <v>1805</v>
      </c>
      <c r="LS12" s="7">
        <f>IFERROR(AVERAGEIF('Данные 2st'!$Q$2:$Q$317,$A12,'Данные 2st'!$EK$2:$EK$317),"")</f>
        <v>52</v>
      </c>
      <c r="LT12" s="7">
        <f>IFERROR(AVERAGEIF('Данные 2st'!$Q$2:$Q$317,$A12,'Данные 2st'!$EM$2:$EM$317),"")</f>
        <v>12</v>
      </c>
      <c r="LU12" s="7">
        <f>IFERROR(AVERAGEIF('Данные 2st'!$Q$2:$Q$317,$A12,'Данные 2st'!$EN$2:$EN$317),"")</f>
        <v>0.5</v>
      </c>
      <c r="LV12" s="7">
        <f>IFERROR(AVERAGEIF('Данные 2st'!$Q$2:$Q$317,$A12,'Данные 2st'!$EO$2:$EO$317),"")</f>
        <v>0.865</v>
      </c>
      <c r="LW12" s="7">
        <f>IFERROR(AVERAGEIF('Данные 2st'!$Q$2:$Q$317,$A12,'Данные 2st'!$EP$2:$EP$317),"")</f>
        <v>1805.56</v>
      </c>
      <c r="LX12" s="7">
        <f>IFERROR(AVERAGEIF('Данные 2st'!$Q$2:$Q$317,$A12,'Данные 2st'!$EQ$2:$EQ$317),"")</f>
        <v>26307.575</v>
      </c>
      <c r="LY12" s="7">
        <f>IFERROR(AVERAGEIF('Данные 2st'!$Q$2:$Q$317,$A12,'Данные 2st'!$ER$2:$ER$317),"")</f>
        <v>4031.8050000000003</v>
      </c>
      <c r="LZ12" s="7">
        <f>IFERROR(AVERAGEIF('Данные 2st'!$Q$2:$Q$317,$A12,'Данные 2st'!$ES$2:$ES$317),"")</f>
        <v>0</v>
      </c>
      <c r="MA12" s="7">
        <f>IFERROR(AVERAGEIF('Данные 2st'!$Q$2:$Q$317,$A12,'Данные 2st'!$ET$2:$ET$317),"")</f>
        <v>0</v>
      </c>
      <c r="MB12" s="7">
        <f>IFERROR(AVERAGEIF('Данные 2st'!$Q$2:$Q$317,$A12,'Данные 2st'!$EU$2:$EU$317),"")</f>
        <v>1</v>
      </c>
      <c r="MC12" s="7">
        <f>IFERROR(AVERAGEIF('Данные 2st'!$Q$2:$Q$317,$A12,'Данные 2st'!$EV$2:$EV$317),"")</f>
        <v>30340</v>
      </c>
      <c r="MD12" s="7">
        <f>IFERROR(AVERAGEIF('Данные 2st'!$Q$2:$Q$317,$A12,'Данные 2st'!$EW$2:$EW$317),"")</f>
        <v>333.5</v>
      </c>
      <c r="ME12" s="7">
        <f>IFERROR(AVERAGEIF('Данные 2st'!$Q$2:$Q$317,$A12,'Данные 2st'!$EY$2:$EY$317),"")</f>
        <v>180</v>
      </c>
      <c r="MF12" s="7">
        <f>IFERROR(AVERAGEIF('Данные 2st'!$Q$2:$Q$317,$A12,'Данные 2st'!$FA$2:$FA$317),"")</f>
        <v>5.2</v>
      </c>
      <c r="MG12" s="7">
        <f>IFERROR(AVERAGEIF('Данные 2st'!$Q$2:$Q$317,$A12,'Данные 2st'!$FB$2:$FB$317),"")</f>
        <v>1</v>
      </c>
      <c r="MH12" s="7">
        <f>IFERROR(AVERAGEIF('Данные 2st'!$Q$2:$Q$317,$A12,'Данные 2st'!$FC$2:$FC$317),"")</f>
        <v>1</v>
      </c>
      <c r="MI12" s="7">
        <f>IFERROR(AVERAGEIF('Данные 2st'!$Q$2:$Q$317,$A12,'Данные 2st'!$FD$2:$FD$317),"")</f>
        <v>1836</v>
      </c>
      <c r="MJ12" s="7">
        <f>IFERROR(AVERAGEIF('Данные 2st'!$Q$2:$Q$317,$A12,'Данные 2st'!$FE$2:$FE$317),"")</f>
        <v>1848.5</v>
      </c>
      <c r="MK12" s="7">
        <f>IFERROR(AVERAGEIF('Данные 2st'!$Q$2:$Q$317,$A12,'Данные 2st'!$FG$2:$FG$317),"")</f>
        <v>184</v>
      </c>
      <c r="ML12" s="7">
        <f>IFERROR(AVERAGEIF('Данные 2st'!$Q$2:$Q$317,$A12,'Данные 2st'!$FI$2:$FI$317),"")</f>
        <v>2.3</v>
      </c>
      <c r="MM12" s="7">
        <f>IFERROR(AVERAGEIF('Данные 2st'!$Q$2:$Q$317,$A12,'Данные 2st'!$FJ$2:$FJ$317),"")</f>
        <v>1836</v>
      </c>
      <c r="MN12" s="7">
        <f>IFERROR(AVERAGEIF('Данные 2st'!$Q$2:$Q$317,$A12,'Данные 2st'!$FK$2:$FK$317),"")</f>
        <v>950.5</v>
      </c>
      <c r="MO12" s="7">
        <f>IFERROR(AVERAGEIF('Данные 2st'!$Q$2:$Q$317,$A12,'Данные 2st'!$FP$2:$FP$317),"")</f>
        <v>1836</v>
      </c>
      <c r="MP12" s="7">
        <f>IFERROR(AVERAGEIF('Данные 2st'!$Q$2:$Q$317,$A12,'Данные 2st'!$FQ$2:$FQ$317),"")</f>
        <v>124</v>
      </c>
      <c r="MQ12" s="7">
        <f>IFERROR(AVERAGEIF('Данные 2st'!$Q$2:$Q$317,$A12,'Данные 2st'!$FS$2:$FS$317),"")</f>
        <v>188</v>
      </c>
      <c r="MR12" s="7">
        <f>IFERROR(AVERAGEIF('Данные 2st'!$Q$2:$Q$317,$A12,'Данные 2st'!$FU$2:$FU$317),"")</f>
        <v>0.4</v>
      </c>
      <c r="MS12" s="7">
        <f>IFERROR(AVERAGEIF('Данные 2st'!$Q$2:$Q$317,$A12,'Данные 2st'!$FV$2:$FV$317),"")</f>
        <v>1836</v>
      </c>
      <c r="MT12" s="7">
        <f>IFERROR(AVERAGEIF('Данные 2st'!$Q$2:$Q$317,$A12,'Данные 2st'!$FW$2:$FW$317),"")</f>
        <v>154</v>
      </c>
      <c r="MU12" s="7">
        <f>IFERROR(AVERAGEIF('Данные 2st'!$Q$2:$Q$317,$A12,'Данные 2st'!$FY$2:$FY$317),"")</f>
        <v>10</v>
      </c>
      <c r="MV12" s="7">
        <f>IFERROR(AVERAGEIF('Данные 2st'!$Q$2:$Q$317,$A12,'Данные 2st'!$GB$2:$GB$317),"")</f>
        <v>1834</v>
      </c>
      <c r="MW12" s="7">
        <f>IFERROR(AVERAGEIF('Данные 2st'!$Q$2:$Q$317,$A12,'Данные 2st'!$GC$2:$GC$317),"")</f>
        <v>16</v>
      </c>
      <c r="MX12" s="7">
        <f>IFERROR(AVERAGEIF('Данные 2st'!$Q$2:$Q$317,$A12,'Данные 2st'!$GD$2:$GD$317),"")</f>
        <v>3085</v>
      </c>
      <c r="MY12" s="7">
        <f>IFERROR(AVERAGEIF('Данные 2st'!$Q$2:$Q$317,$A12,'Данные 2st'!$GN$2:$GN$317),"")</f>
        <v/>
      </c>
      <c r="MZ12" s="7">
        <f>IFERROR(AVERAGEIF('Данные 2st'!$Q$2:$Q$317,$A12,'Данные 2st'!$GQ$2:$GQ$317),"")</f>
        <v>0</v>
      </c>
      <c r="NA12" s="7">
        <f>IFERROR(AVERAGEIF('Данные 2st'!$Q$2:$Q$317,$A12,'Данные 2st'!$GV$2:$GV$317),"")</f>
        <v>7.9</v>
      </c>
      <c r="NB12" s="7">
        <f>IFERROR(AVERAGEIF('Данные 2st'!$Q$2:$Q$317,$A12,'Данные 2st'!$GW$2:$GW$317),"")</f>
        <v>9.45</v>
      </c>
      <c r="NC12" s="7">
        <f>IFERROR(AVERAGEIF('Данные 2st'!$Q$2:$Q$317,$A12,'Данные 2st'!$GX$2:$GX$317),"")</f>
        <v>0.5</v>
      </c>
      <c r="ND12" s="7">
        <f>IFERROR(AVERAGEIF('Данные 2st'!$Q$2:$Q$317,$A12,'Данные 2st'!$GY$2:$GY$317),"")</f>
        <v>153</v>
      </c>
      <c r="NE12" s="7">
        <f>IFERROR(AVERAGEIF('Данные 2st'!$Q$2:$Q$317,$A12,'Данные 2st'!$GZ$2:$GZ$317),"")</f>
        <v>3</v>
      </c>
      <c r="NF12" s="7">
        <f>IFERROR(AVERAGEIF('Данные 2st'!$Q$2:$Q$317,$A12,'Данные 2st'!$HA$2:$HA$317),"")</f>
        <v>201</v>
      </c>
      <c r="NG12" s="7">
        <f>IFERROR(AVERAGEIF('Данные 2st'!$Q$2:$Q$317,$A12,'Данные 2st'!$HB$2:$HB$317),"")</f>
        <v>3</v>
      </c>
      <c r="NH12" s="7">
        <f>IFERROR(AVERAGEIF('Данные 2st'!$Q$2:$Q$317,$A12,'Данные 2st'!$HC$2:$HC$317),"")</f>
        <v>1836</v>
      </c>
      <c r="NI12" s="7">
        <f>IFERROR(AVERAGEIF('Данные 2st'!$Q$2:$Q$317,$A12,'Данные 2st'!$HD$2:$HD$317),"")</f>
        <v>4</v>
      </c>
      <c r="NJ12" s="7">
        <f>IFERROR(AVERAGEIF('Данные 2st'!$Q$2:$Q$317,$A12,'Данные 2st'!$HM$2:$HM$317),"")</f>
        <v>15</v>
      </c>
      <c r="NK12" s="7">
        <f>IFERROR(AVERAGEIF('Данные 2st'!$Q$2:$Q$317,$A12,'Данные 2st'!$HR$2:$HR$317),"")</f>
        <v>1</v>
      </c>
      <c r="NL12" s="7">
        <f>IFERROR(AVERAGEIF('Данные 2st'!$Q$2:$Q$317,$A12,'Данные 2st'!$HS$2:$HS$317),"")</f>
        <v>1795</v>
      </c>
      <c r="NM12" s="7">
        <f>IFERROR(AVERAGEIF('Данные 2st'!$Q$2:$Q$317,$A12,'Данные 2st'!$HT$2:$HT$317),"")</f>
        <v>5</v>
      </c>
      <c r="NN12" s="7">
        <f>IFERROR(AVERAGEIF('Данные 2st'!$Q$2:$Q$317,$A12,'Данные 2st'!$HY$2:$HY$317),"")</f>
        <v>0</v>
      </c>
      <c r="NO12" s="7">
        <f>IFERROR(AVERAGEIF('Данные 2st'!$Q$2:$Q$317,$A12,'Данные 2st'!$HZ$2:$HZ$317),"")</f>
        <v>64</v>
      </c>
      <c r="NP12" s="7">
        <f>IFERROR(AVERAGEIF('Данные 2st'!$Q$2:$Q$317,$A12,'Данные 2st'!$IA$2:$IA$317),"")</f>
        <v>1798</v>
      </c>
      <c r="NQ12" s="7">
        <f>IFERROR(AVERAGEIF('Данные 2st'!$Q$2:$Q$317,$A12,'Данные 2st'!$IB$2:$IB$317),"")</f>
        <v>1805</v>
      </c>
      <c r="NR12" s="7">
        <f>IFERROR(AVERAGEIF('Данные 2st'!$Q$2:$Q$317,$A12,'Данные 2st'!$IC$2:$IC$317),"")</f>
        <v/>
      </c>
      <c r="NS12" s="7">
        <f>IFERROR(AVERAGEIF('Данные 2st'!$Q$2:$Q$317,$A12,'Данные 2st'!$ID$2:$ID$317),"")</f>
        <v>1836</v>
      </c>
      <c r="NT12" s="7">
        <f>IFERROR(AVERAGEIF('Данные 2st'!$Q$2:$Q$317,$A12,'Данные 2st'!$IE$2:$IE$317),"")</f>
        <v>1836</v>
      </c>
      <c r="NU12" s="7">
        <f>IFERROR(AVERAGEIF('Данные 2st'!$Q$2:$Q$317,$A12,'Данные 2st'!$IF$2:$IF$317),"")</f>
        <v>167.5</v>
      </c>
      <c r="NV12" s="7">
        <f>IFERROR(AVERAGEIF('Данные 2st'!$Q$2:$Q$317,$A12,'Данные 2st'!$IG$2:$IG$317),"")</f>
        <v>157.5</v>
      </c>
      <c r="NW12" s="7">
        <f>IFERROR(AVERAGEIF('Данные 2st'!$Q$2:$Q$317,$A12,'Данные 2st'!$IH$2:$IH$317),"")</f>
        <v>201</v>
      </c>
      <c r="NX12" s="7">
        <f>IFERROR(AVERAGEIF('Данные 2st'!$Q$2:$Q$317,$A12,'Данные 2st'!$IJ$2:$IJ$317),"")</f>
        <v>5</v>
      </c>
      <c r="NY12" s="7">
        <f>IFERROR(AVERAGEIF('Данные 2st'!$Q$2:$Q$317,$A12,'Данные 2st'!$IM$2:$IM$317),"")</f>
        <v>0</v>
      </c>
      <c r="NZ12" s="7">
        <f>IFERROR(AVERAGEIF('Данные 2st'!$Q$2:$Q$317,$A12,'Данные 2st'!$IN$2:$IN$317),"")</f>
        <v>270</v>
      </c>
      <c r="OA12" s="7">
        <f>IFERROR(AVERAGEIF('Данные 2st'!$Q$2:$Q$317,$A12,'Данные 2st'!$IO$2:$IO$317),"")</f>
        <v>0</v>
      </c>
      <c r="OB12" s="7">
        <f>IFERROR(AVERAGEIF('Данные 2st'!$Q$2:$Q$317,$A12,'Данные 2st'!$IP$2:$IP$317),"")</f>
        <v>180</v>
      </c>
      <c r="OC12" s="7">
        <f>IFERROR(AVERAGEIF('Данные 2st'!$Q$2:$Q$317,$A12,'Данные 2st'!$IQ$2:$IQ$317),"")</f>
        <v>0</v>
      </c>
      <c r="OD12" s="7">
        <f>IFERROR(AVERAGEIF('Данные 2st'!$Q$2:$Q$317,$A12,'Данные 2st'!$IR$2:$IR$317),"")</f>
        <v>320</v>
      </c>
      <c r="OE12" s="7">
        <f>IFERROR(AVERAGEIF('Данные 2st'!$Q$2:$Q$317,$A12,'Данные 2st'!$IT$2:$IT$317),"")</f>
        <v>90</v>
      </c>
      <c r="OF12" s="7">
        <f>IFERROR(AVERAGEIF('Данные 2st'!$Q$2:$Q$317,$A12,'Данные 2st'!$IU$2:$IU$317),"")</f>
        <v>0</v>
      </c>
      <c r="OG12" s="7">
        <f>IFERROR(AVERAGEIF('Данные 2st'!$Q$2:$Q$317,$A12,'Данные 2st'!$IV$2:$IV$317),"")</f>
        <v>6.4</v>
      </c>
      <c r="OH12" s="7">
        <f>IFERROR(AVERAGEIF('Данные 2st'!$Q$2:$Q$317,$A12,'Данные 2st'!$IW$2:$IW$317),"")</f>
        <v>-6</v>
      </c>
      <c r="OI12" s="7">
        <f>IFERROR(AVERAGEIF('Данные 2st'!$Q$2:$Q$317,$A12,'Данные 2st'!$IX$2:$IX$317),"")</f>
        <v>87.25</v>
      </c>
      <c r="OJ12" s="7">
        <f>IFERROR(AVERAGEIF('Данные 2st'!$Q$2:$Q$317,$A12,'Данные 2st'!$IY$2:$IY$317),"")</f>
        <v>73</v>
      </c>
      <c r="OK12" s="7">
        <f>IFERROR(AVERAGEIF('Данные 2st'!$Q$2:$Q$317,$A12,'Данные 2st'!$IZ$2:$IZ$317),"")</f>
        <v>0</v>
      </c>
      <c r="OL12" s="7">
        <f>IFERROR(AVERAGEIF('Данные 2st'!$Q$2:$Q$317,$A12,'Данные 2st'!$JA$2:$JA$317),"")</f>
        <v>0</v>
      </c>
      <c r="OM12" s="7">
        <f>IFERROR(AVERAGEIF('Данные 2st'!$Q$2:$Q$317,$A12,'Данные 2st'!$JB$2:$JB$317),"")</f>
        <v>0</v>
      </c>
      <c r="ON12" s="7">
        <f>IFERROR(AVERAGEIF('Данные 2st'!$Q$2:$Q$317,$A12,'Данные 2st'!$JC$2:$JC$317),"")</f>
        <v>0</v>
      </c>
      <c r="OO12" s="7">
        <f>IFERROR(AVERAGEIF('Данные 2st'!$Q$2:$Q$317,$A12,'Данные 2st'!$JD$2:$JD$317),"")</f>
        <v>0</v>
      </c>
      <c r="OP12" s="7">
        <f>IFERROR(AVERAGEIF('Данные 2st'!$Q$2:$Q$317,$A12,'Данные 2st'!$JE$2:$JE$317),"")</f>
        <v>0</v>
      </c>
      <c r="OQ12" s="7">
        <f>IFERROR(AVERAGEIF('Данные 2st'!$Q$2:$Q$317,$A12,'Данные 2st'!$JF$2:$JF$317),"")</f>
        <v>0</v>
      </c>
      <c r="OR12" s="7">
        <f>IFERROR(AVERAGEIF('Данные 2st'!$Q$2:$Q$317,$A12,'Данные 2st'!$JG$2:$JG$317),"")</f>
        <v>0</v>
      </c>
      <c r="OS12" s="7">
        <f>IFERROR(AVERAGEIF('Данные 2st'!$Q$2:$Q$317,$A12,'Данные 2st'!$JH$2:$JH$317),"")</f>
        <v>0</v>
      </c>
      <c r="OT12" s="7">
        <f>IFERROR(AVERAGEIF('Данные 2st'!$Q$2:$Q$317,$A12,'Данные 2st'!$JI$2:$JI$317),"")</f>
        <v>343</v>
      </c>
      <c r="OU12" s="7">
        <f>IFERROR(AVERAGEIF('Данные 2st'!$Q$2:$Q$317,$A12,'Данные 2st'!$JJ$2:$JJ$317),"")</f>
        <v>315</v>
      </c>
      <c r="OV12" s="7">
        <f>IFERROR(AVERAGEIF('Данные 2st'!$Q$2:$Q$317,$A12,'Данные 2st'!$JK$2:$JK$317),"")</f>
        <v>225</v>
      </c>
      <c r="OW12" s="7">
        <f>IFERROR(AVERAGEIF('Данные 2st'!$Q$2:$Q$317,$A12,'Данные 2st'!$JL$2:$JL$317),"")</f>
        <v>299</v>
      </c>
      <c r="OX12" s="7">
        <f>IFERROR(AVERAGEIF('Данные 2st'!$Q$2:$Q$317,$A12,'Данные 2st'!$JM$2:$JM$317),"")</f>
        <v>237.5</v>
      </c>
      <c r="OY12" s="7">
        <f>IFERROR(AVERAGEIF('Данные 2st'!$Q$2:$Q$317,$A12,'Данные 2st'!$JP$2:$JP$317),"")</f>
        <v>222.5</v>
      </c>
      <c r="OZ12" s="7">
        <f>IFERROR(AVERAGEIF('Данные 2st'!$Q$2:$Q$317,$A12,'Данные 2st'!$JQ$2:$JQ$317),"")</f>
        <v>275</v>
      </c>
      <c r="PA12" s="7">
        <f>IFERROR(AVERAGEIF('Данные 2st'!$Q$2:$Q$317,$A12,'Данные 2st'!$JR$2:$JR$317),"")</f>
        <v>340</v>
      </c>
      <c r="PB12" s="7">
        <f>IFERROR(AVERAGEIF('Данные 2st'!$Q$2:$Q$317,$A12,'Данные 2st'!$JS$2:$JS$317),"")</f>
        <v>265</v>
      </c>
      <c r="PC12" s="7">
        <f>IFERROR(AVERAGEIF('Данные 2st'!$Q$2:$Q$317,$A12,'Данные 2st'!$JT$2:$JT$317),"")</f>
        <v>0</v>
      </c>
      <c r="PD12" s="7">
        <f>IFERROR(AVERAGEIF('Данные 2st'!$Q$2:$Q$317,$A12,'Данные 2st'!$JU$2:$JU$317),"")</f>
        <v>0</v>
      </c>
      <c r="PE12" s="7">
        <f>IFERROR(AVERAGEIF('Данные 2st'!$Q$2:$Q$317,$A12,'Данные 2st'!$JV$2:$JV$317),"")</f>
        <v>332.5</v>
      </c>
      <c r="PF12" s="7">
        <f>IFERROR(AVERAGEIF('Данные 2st'!$Q$2:$Q$317,$A12,'Данные 2st'!$JW$2:$JW$317),"")</f>
        <v>331</v>
      </c>
      <c r="PG12" s="7">
        <f>IFERROR(AVERAGEIF('Данные 2st'!$Q$2:$Q$317,$A12,'Данные 2st'!$KF$2:$KF$317),"")</f>
        <v>0.18</v>
      </c>
      <c r="PH12" s="7">
        <f>IFERROR(AVERAGEIF('Данные 2st'!$Q$2:$Q$317,$A12,'Данные 2st'!$KG$2:$KG$317),"")</f>
        <v>0.1</v>
      </c>
      <c r="PI12" s="7">
        <f>IFERROR(AVERAGEIF('Данные 2st'!$Q$2:$Q$317,$A12,'Данные 2st'!$KM$2:$KM$317),"")</f>
        <v>0.5</v>
      </c>
      <c r="PJ12" s="7">
        <f>IFERROR(AVERAGEIF('Данные 2st'!$Q$2:$Q$317,$A12,'Данные 2st'!$KN$2:$KN$317),"")</f>
        <v>1.15</v>
      </c>
      <c r="PK12" s="7">
        <f>IFERROR(AVERAGEIF('Данные 2st'!$Q$2:$Q$317,$A12,'Данные 2st'!$KO$2:$KO$317),"")</f>
        <v>0</v>
      </c>
      <c r="PL12" s="7">
        <f>IFERROR(AVERAGEIF('Данные 2st'!$Q$2:$Q$317,$A12,'Данные 2st'!$KP$2:$KP$317),"")</f>
        <v>0</v>
      </c>
      <c r="PM12" s="7">
        <f>IFERROR(AVERAGEIF('Данные 2st'!$Q$2:$Q$317,$A12,'Данные 2st'!$KQ$2:$KQ$317),"")</f>
        <v>0.6</v>
      </c>
      <c r="PN12" s="7">
        <f>IFERROR(AVERAGEIF('Данные 2st'!$Q$2:$Q$317,$A12,'Данные 2st'!$KR$2:$KR$317),"")</f>
        <v>1.25</v>
      </c>
      <c r="PO12" s="7">
        <f>IFERROR(AVERAGEIF('Данные 2st'!$Q$2:$Q$317,$A12,'Данные 2st'!$KS$2:$KS$317),"")</f>
        <v>0</v>
      </c>
      <c r="PP12" s="7">
        <f>IFERROR(AVERAGEIF('Данные 2st'!$Q$2:$Q$317,$A12,'Данные 2st'!$KT$2:$KT$317),"")</f>
        <v>2.05</v>
      </c>
      <c r="PQ12" s="7">
        <f>IFERROR(AVERAGEIF('Данные 2st'!$Q$2:$Q$317,$A12,'Данные 2st'!$KU$2:$KU$317),"")</f>
        <v>0</v>
      </c>
      <c r="PR12" s="7">
        <f>IFERROR(AVERAGEIF('Данные 2st'!$Q$2:$Q$317,$A12,'Данные 2st'!$KV$2:$KV$317),"")</f>
        <v>0</v>
      </c>
      <c r="PS12" s="7">
        <f>IFERROR(AVERAGEIF('Данные 2st'!$Q$2:$Q$317,$A12,'Данные 2st'!$KW$2:$KW$317),"")</f>
        <v>1.0</v>
      </c>
      <c r="PT12" s="7">
        <f>IFERROR(AVERAGEIF('Данные 2st'!$Q$2:$Q$317,$A12,'Данные 2st'!$KX$2:$KX$317),"")</f>
        <v>2</v>
      </c>
      <c r="PU12" s="7">
        <f>IFERROR(AVERAGEIF('Данные 2st'!$Q$2:$Q$317,$A12,'Данные 2st'!$KY$2:$KY$317),"")</f>
        <v>0</v>
      </c>
      <c r="PV12" s="7">
        <f>IFERROR(AVERAGEIF('Данные 2st'!$Q$2:$Q$317,$A12,'Данные 2st'!$KZ$2:$KZ$317),"")</f>
        <v>0</v>
      </c>
      <c r="PW12" s="7">
        <f>IFERROR(AVERAGEIF('Данные 2st'!$Q$2:$Q$317,$A12,'Данные 2st'!$LA$2:$LA$317),"")</f>
        <v>0</v>
      </c>
      <c r="PX12" s="7">
        <f>IFERROR(AVERAGEIF('Данные 2st'!$Q$2:$Q$317,$A12,'Данные 2st'!$LB$2:$LB$317),"")</f>
        <v>0</v>
      </c>
      <c r="PY12" s="7">
        <f>IFERROR(AVERAGEIF('Данные 2st'!$Q$2:$Q$317,$A12,'Данные 2st'!$LC$2:$LC$317),"")</f>
        <v>0</v>
      </c>
      <c r="PZ12" s="7">
        <f>IFERROR(AVERAGEIF('Данные 2st'!$Q$2:$Q$317,$A12,'Данные 2st'!$LD$2:$LD$317),"")</f>
        <v>0</v>
      </c>
      <c r="QA12" s="7">
        <f>IFERROR(AVERAGEIF('Данные 2st'!$Q$2:$Q$317,$A12,'Данные 2st'!$LE$2:$LE$317),"")</f>
        <v>0</v>
      </c>
      <c r="QB12" s="7">
        <f>IFERROR(AVERAGEIF('Данные 2st'!$Q$2:$Q$317,$A12,'Данные 2st'!$LF$2:$LF$317),"")</f>
        <v>0</v>
      </c>
      <c r="QC12" s="7">
        <f>IFERROR(AVERAGEIF('Данные 2st'!$Q$2:$Q$317,$A12,'Данные 2st'!$LG$2:$LG$317),"")</f>
        <v>0</v>
      </c>
      <c r="QD12" s="7">
        <f>IFERROR(AVERAGEIF('Данные 2st'!$Q$2:$Q$317,$A12,'Данные 2st'!$LH$2:$LH$317),"")</f>
        <v>3.25</v>
      </c>
      <c r="QE12" s="7">
        <f>IFERROR(AVERAGEIF('Данные 2st'!$Q$2:$Q$317,$A12,'Данные 2st'!$LJ$2:$LJ$317),"")</f>
        <v>0</v>
      </c>
      <c r="QF12" s="7">
        <f>IFERROR(AVERAGEIF('Данные 2st'!$Q$2:$Q$317,$A12,'Данные 2st'!$LK$2:$LK$317),"")</f>
        <v>4.5</v>
      </c>
      <c r="QG12" s="7">
        <f>IFERROR(AVERAGEIF('Данные 2st'!$Q$2:$Q$317,$A12,'Данные 2st'!$LL$2:$LL$317),"")</f>
        <v>3.25</v>
      </c>
      <c r="QH12" s="7">
        <f>IFERROR(AVERAGEIF('Данные 2st'!$Q$2:$Q$317,$A12,'Данные 2st'!$LM$2:$LM$317),"")</f>
        <v>6.5</v>
      </c>
      <c r="QI12" s="7">
        <f>IFERROR(AVERAGEIF('Данные 2st'!$Q$2:$Q$317,$A12,'Данные 2st'!$LN$2:$LN$317),"")</f>
        <v>0.4</v>
      </c>
      <c r="QJ12" s="7">
        <f>IFERROR(AVERAGEIF('Данные 2st'!$Q$2:$Q$317,$A12,'Данные 2st'!$LO$2:$LO$317),"")</f>
        <v>0.75</v>
      </c>
      <c r="QK12" s="7">
        <f>IFERROR(AVERAGEIF('Данные 2st'!$Q$2:$Q$317,$A12,'Данные 2st'!$LP$2:$LP$317),"")</f>
        <v>0</v>
      </c>
      <c r="QL12" s="7">
        <f>IFERROR(AVERAGEIF('Данные 2st'!$Q$2:$Q$317,$A12,'Данные 2st'!$LQ$2:$LQ$317),"")</f>
        <v>0</v>
      </c>
      <c r="QM12" s="7">
        <f>IFERROR(AVERAGEIF('Данные 2st'!$Q$2:$Q$317,$A12,'Данные 2st'!$LW$2:$LW$317),"")</f>
        <v>1.4</v>
      </c>
      <c r="QN12" s="7">
        <f>IFERROR(AVERAGEIF('Данные 2st'!$Q$2:$Q$317,$A12,'Данные 2st'!$LX$2:$LX$317),"")</f>
        <v>1.4</v>
      </c>
      <c r="QO12" s="7">
        <f>IFERROR(AVERAGEIF('Данные 2st'!$Q$2:$Q$317,$A12,'Данные 2st'!$LY$2:$LY$317),"")</f>
        <v>2.1</v>
      </c>
      <c r="QP12" s="7">
        <f>IFERROR(AVERAGEIF('Данные 2st'!$Q$2:$Q$317,$A12,'Данные 2st'!$LZ$2:$LZ$317),"")</f>
        <v>2.1</v>
      </c>
      <c r="QQ12" s="7">
        <f>IFERROR(AVERAGEIF('Данные 2st'!$Q$2:$Q$317,$A12,'Данные 2st'!$MB$2:$MB$317),"")</f>
        <v>0</v>
      </c>
      <c r="QR12" s="7">
        <f>IFERROR(AVERAGEIF('Данные 2st'!$Q$2:$Q$317,$A12,'Данные 2st'!$MG$2:$MG$317),"")</f>
        <v>0</v>
      </c>
      <c r="QS12" s="7">
        <f>IFERROR(AVERAGEIF('Данные 2st'!$Q$2:$Q$317,$A12,'Данные 2st'!$MH$2:$MH$317),"")</f>
        <v>0</v>
      </c>
      <c r="QT12" s="7">
        <f>IFERROR(AVERAGEIF('Данные 2st'!$Q$2:$Q$317,$A12,'Данные 2st'!$MI$2:$MI$317),"")</f>
        <v>0</v>
      </c>
      <c r="QU12" s="7">
        <f>IFERROR(AVERAGEIF('Данные 2st'!$Q$2:$Q$317,$A12,'Данные 2st'!$MJ$2:$MJ$317),"")</f>
        <v>0</v>
      </c>
      <c r="QV12" s="7">
        <f>IFERROR(AVERAGEIF('Данные 2st'!$Q$2:$Q$317,$A12,'Данные 2st'!$MK$2:$MK$317),"")</f>
        <v>0</v>
      </c>
      <c r="QW12" s="7">
        <f>IFERROR(AVERAGEIF('Данные 2st'!$Q$2:$Q$317,$A12,'Данные 2st'!$MM$2:$MM$317),"")</f>
        <v>366</v>
      </c>
      <c r="QX12" s="7">
        <f>IFERROR(AVERAGEIF('Данные 2st'!$Q$2:$Q$317,$A12,'Данные 2st'!$MQ$2:$MQ$317),"")</f>
        <v/>
      </c>
      <c r="QY12" s="7">
        <f>IFERROR(AVERAGEIF('Данные 2st'!$Q$2:$Q$317,$A12,'Данные 2st'!$MR$2:$MR$317),"")</f>
        <v/>
      </c>
      <c r="QZ12" s="7">
        <f>IFERROR(AVERAGEIF('Данные 2st'!$Q$2:$Q$317,$A12,'Данные 2st'!$MS$2:$MS$317),"")</f>
        <v/>
      </c>
      <c r="RA12" s="7">
        <f>IFERROR(AVERAGEIF('Данные 2st'!$Q$2:$Q$317,$A12,'Данные 2st'!$MT$2:$MT$317),"")</f>
        <v/>
      </c>
      <c r="RB12" s="7">
        <f>IFERROR(AVERAGEIF('Данные 2st'!$Q$2:$Q$317,$A12,'Данные 2st'!$MU$2:$MU$317),"")</f>
        <v/>
      </c>
      <c r="RC12" s="7">
        <f>IFERROR(AVERAGEIF('Данные 2st'!$Q$2:$Q$317,$A12,'Данные 2st'!$MV$2:$MV$317),"")</f>
        <v/>
      </c>
      <c r="RD12" s="7">
        <f>IFERROR(AVERAGEIF('Данные 2st'!$Q$2:$Q$317,$A12,'Данные 2st'!$MW$2:$MW$317),"")</f>
        <v/>
      </c>
      <c r="RE12" s="7">
        <f>IFERROR(AVERAGEIF('Данные 2st'!$Q$2:$Q$317,$A12,'Данные 2st'!$MX$2:$MX$317),"")</f>
        <v/>
      </c>
      <c r="RF12" s="7">
        <f>IFERROR(AVERAGEIF('Данные 2st'!$Q$2:$Q$317,$A12,'Данные 2st'!$MY$2:$MY$317),"")</f>
        <v/>
      </c>
      <c r="RG12" s="7">
        <f>IFERROR(AVERAGEIF('Данные 2st'!$Q$2:$Q$317,$A12,'Данные 2st'!$MZ$2:$MZ$317),"")</f>
        <v/>
      </c>
      <c r="RH12" s="7">
        <f>IFERROR(AVERAGEIF('Данные 2st'!$Q$2:$Q$317,$A12,'Данные 2st'!$NA$2:$NA$317),"")</f>
        <v/>
      </c>
      <c r="RI12" s="7">
        <f>IFERROR(AVERAGEIF('Данные 2st'!$Q$2:$Q$317,$A12,'Данные 2st'!$NB$2:$NB$317),"")</f>
        <v/>
      </c>
      <c r="RJ12" s="7">
        <f>IFERROR(AVERAGEIF('Данные 2st'!$Q$2:$Q$317,$A12,'Данные 2st'!$NC$2:$NC$317),"")</f>
        <v/>
      </c>
      <c r="RK12" s="7">
        <f>IFERROR(AVERAGEIF('Данные 2st'!$Q$2:$Q$317,$A12,'Данные 2st'!$ND$2:$ND$317),"")</f>
        <v/>
      </c>
      <c r="RL12" s="7">
        <f>IFERROR(AVERAGEIF('Данные 2st'!$Q$2:$Q$317,$A12,'Данные 2st'!$NE$2:$NE$317),"")</f>
        <v/>
      </c>
      <c r="RM12" s="7">
        <f>IFERROR(AVERAGEIF('Данные 2st'!$Q$2:$Q$317,$A12,'Данные 2st'!$NF$2:$NF$317),"")</f>
        <v/>
      </c>
      <c r="RN12" s="7">
        <f>IFERROR(AVERAGEIF('Данные 2st'!$Q$2:$Q$317,$A12,'Данные 2st'!$NG$2:$NG$317),"")</f>
        <v/>
      </c>
      <c r="RO12" s="7">
        <f>IFERROR(AVERAGEIF('Данные 2st'!$Q$2:$Q$317,$A12,'Данные 2st'!$NH$2:$NH$317),"")</f>
        <v/>
      </c>
      <c r="RP12" s="7">
        <f>IFERROR(AVERAGEIF('Данные 2st'!$Q$2:$Q$317,$A12,'Данные 2st'!$NJ$2:$NJ$317),"")</f>
        <v/>
      </c>
      <c r="RQ12" s="7">
        <f>IFERROR(AVERAGEIF('Данные 2st'!$Q$2:$Q$317,$A12,'Данные 2st'!$NK$2:$NK$317),"")</f>
        <v/>
      </c>
      <c r="RR12" s="7">
        <f>IFERROR(AVERAGEIF('Данные 2st'!$Q$2:$Q$317,$A12,'Данные 2st'!$NM$2:$NM$317),"")</f>
        <v/>
      </c>
      <c r="RS12" s="7">
        <f>IFERROR(AVERAGEIF('Данные 2st'!$Q$2:$Q$317,$A12,'Данные 2st'!$NN$2:$NN$317),"")</f>
        <v/>
      </c>
      <c r="RT12" s="7">
        <f>IFERROR(AVERAGEIF('Данные 2st'!$Q$2:$Q$317,$A12,'Данные 2st'!$NO$2:$NO$317),"")</f>
        <v/>
      </c>
      <c r="RU12" s="7">
        <f>IFERROR(AVERAGEIF('Данные 2st'!$Q$2:$Q$317,$A12,'Данные 2st'!$NP$2:$NP$317),"")</f>
        <v/>
      </c>
      <c r="RV12" s="7">
        <f>IFERROR(AVERAGEIF('Данные 2st'!$Q$2:$Q$317,$A12,'Данные 2st'!$NQ$2:$NQ$317),"")</f>
        <v/>
      </c>
      <c r="RW12" s="7">
        <f>IFERROR(AVERAGEIF('Данные 2st'!$Q$2:$Q$317,$A12,'Данные 2st'!$NR$2:$NR$317),"")</f>
        <v/>
      </c>
      <c r="RX12" s="7">
        <f>IFERROR(AVERAGEIF('Данные 2st'!$Q$2:$Q$317,$A12,'Данные 2st'!$NS$2:$NS$317),"")</f>
        <v/>
      </c>
      <c r="RY12" s="7">
        <f>IFERROR(AVERAGEIF('Данные 2st'!$Q$2:$Q$317,$A12,'Данные 2st'!$NT$2:$NT$317),"")</f>
        <v/>
      </c>
      <c r="RZ12" s="7">
        <f>IFERROR(AVERAGEIF('Данные 2st'!$Q$2:$Q$317,$A12,'Данные 2st'!$OK$2:$OK$317),"")</f>
        <v>61</v>
      </c>
      <c r="SA12" s="7">
        <f>IFERROR(AVERAGEIF('Данные 2st'!$Q$2:$Q$317,$A12,'Данные 2st'!$OL$2:$OL$317),"")</f>
        <v>61</v>
      </c>
      <c r="SB12" s="7">
        <f>IFERROR(AVERAGEIF('Данные 2st'!$Q$2:$Q$317,$A12,'Данные 2st'!$ON$2:$ON$317),"")</f>
        <v>3</v>
      </c>
      <c r="SC12" s="7">
        <f>IFERROR(AVERAGEIF('Данные 2st'!$Q$2:$Q$317,$A12,'Данные 2st'!$OO$2:$OO$317),"")</f>
        <v>1798</v>
      </c>
      <c r="SD12" s="7">
        <f>IFERROR(AVERAGEIF('Данные 2st'!$Q$2:$Q$317,$A12,'Данные 2st'!$OP$2:$OP$317),"")</f>
        <v>61</v>
      </c>
      <c r="SE12" s="7">
        <f>IFERROR(AVERAGEIF('Данные 2st'!$Q$2:$Q$317,$A12,'Данные 2st'!$OQ$2:$OQ$317),"")</f>
        <v>61</v>
      </c>
      <c r="SF12" s="7">
        <f>IFERROR(AVERAGEIF('Данные 2st'!$Q$2:$Q$317,$A12,'Данные 2st'!$OS$2:$OS$317),"")</f>
        <v>3</v>
      </c>
      <c r="SG12" s="7">
        <f>IFERROR(AVERAGEIF('Данные 2st'!$Q$2:$Q$317,$A12,'Данные 2st'!$OT$2:$OT$317),"")</f>
        <v>1805</v>
      </c>
      <c r="SH12" s="7">
        <f>IFERROR(AVERAGEIF('Данные 2st'!$Q$2:$Q$317,$A12,'Данные 2st'!$OU$2:$OU$317),"")</f>
        <v>65</v>
      </c>
      <c r="SI12" s="7">
        <f>IFERROR(AVERAGEIF('Данные 2st'!$Q$2:$Q$317,$A12,'Данные 2st'!$OV$2:$OV$317),"")</f>
        <v>65</v>
      </c>
      <c r="SJ12" s="7">
        <f>IFERROR(AVERAGEIF('Данные 2st'!$Q$2:$Q$317,$A12,'Данные 2st'!$OX$2:$OX$317),"")</f>
        <v>1.5</v>
      </c>
      <c r="SK12" s="7">
        <f>IFERROR(AVERAGEIF('Данные 2st'!$Q$2:$Q$317,$A12,'Данные 2st'!$OY$2:$OY$317),"")</f>
        <v>30340</v>
      </c>
      <c r="SL12" s="7">
        <f>IFERROR(AVERAGEIF('Данные 2st'!$Q$2:$Q$317,$A12,'Данные 2st'!$OZ$2:$OZ$317),"")</f>
        <v>51</v>
      </c>
      <c r="SM12" s="7">
        <f>IFERROR(AVERAGEIF('Данные 2st'!$Q$2:$Q$317,$A12,'Данные 2st'!$PA$2:$PA$317),"")</f>
        <v>51.5</v>
      </c>
      <c r="SN12" s="7">
        <f>IFERROR(AVERAGEIF('Данные 2st'!$Q$2:$Q$317,$A12,'Данные 2st'!$PC$2:$PC$317),"")</f>
        <v>1</v>
      </c>
      <c r="SO12" s="7">
        <f>IFERROR(AVERAGEIF('Данные 2st'!$Q$2:$Q$317,$A12,'Данные 2st'!$PD$2:$PD$317),"")</f>
        <v>1836</v>
      </c>
      <c r="SP12" s="7">
        <f>IFERROR(AVERAGEIF('Данные 2st'!$Q$2:$Q$317,$A12,'Данные 2st'!$PF$2:$PF$317),"")</f>
        <v>306</v>
      </c>
      <c r="SQ12" s="7">
        <f>IFERROR(AVERAGEIF('Данные 2st'!$Q$2:$Q$317,$A12,'Данные 2st'!$PG$2:$PG$317),"")</f>
        <v>29</v>
      </c>
      <c r="SR12" s="7">
        <f>IFERROR(AVERAGEIF('Данные 2st'!$Q$2:$Q$317,$A12,'Данные 2st'!$PH$2:$PH$317),"")</f>
        <v>288</v>
      </c>
      <c r="SS12" s="7">
        <f>IFERROR(AVERAGEIF('Данные 2st'!$Q$2:$Q$317,$A12,'Данные 2st'!$PI$2:$PI$317),"")</f>
        <v>29</v>
      </c>
      <c r="ST12" s="7">
        <f>IFERROR(AVERAGEIF('Данные 2st'!$Q$2:$Q$317,$A12,'Данные 2st'!$PJ$2:$PJ$317),"")</f>
        <v>67.55</v>
      </c>
      <c r="SU12" s="7">
        <f>IFERROR(AVERAGEIF('Данные 2st'!$Q$2:$Q$317,$A12,'Данные 2st'!$PK$2:$PK$317),"")</f>
        <v>1709.5</v>
      </c>
      <c r="SV12" s="7">
        <f>IFERROR(AVERAGEIF('Данные 2st'!$Q$2:$Q$317,$A12,'Данные 2st'!$PL$2:$PL$317),"")</f>
        <v>1006.9000000000001</v>
      </c>
      <c r="SW12" s="7">
        <f>IFERROR(AVERAGEIF('Данные 2st'!$Q$2:$Q$317,$A12,'Данные 2st'!$PM$2:$PM$317),"")</f>
        <v>517.6</v>
      </c>
      <c r="SX12" s="7">
        <f>IFERROR(AVERAGEIF('Данные 2st'!$Q$2:$Q$317,$A12,'Данные 2st'!$PN$2:$PN$317),"")</f>
        <v>83.8</v>
      </c>
      <c r="SY12" s="7">
        <f>IFERROR(AVERAGEIF('Данные 2st'!$Q$2:$Q$317,$A12,'Данные 2st'!$PO$2:$PO$317),"")</f>
        <v>8.7</v>
      </c>
      <c r="SZ12" s="7">
        <f>IFERROR(AVERAGEIF('Данные 2st'!$Q$2:$Q$317,$A12,'Данные 2st'!$PP$2:$PP$317),"")</f>
        <v>11</v>
      </c>
      <c r="TA12" s="7">
        <f>IFERROR(AVERAGEIF('Данные 2st'!$Q$2:$Q$317,$A12,'Данные 2st'!$PQ$2:$PQ$317),"")</f>
        <v>2</v>
      </c>
      <c r="TB12" s="7">
        <f>IFERROR(AVERAGEIF('Данные 2st'!$Q$2:$Q$317,$A12,'Данные 2st'!$PR$2:$PR$317),"")</f>
        <v>2</v>
      </c>
      <c r="TC12" s="7">
        <f>IFERROR(AVERAGEIF('Данные 2st'!$Q$2:$Q$317,$A12,'Данные 2st'!$PS$2:$PS$317),"")</f>
        <v>6</v>
      </c>
      <c r="TD12" s="7">
        <f>IFERROR(AVERAGEIF('Данные 2st'!$Q$2:$Q$317,$A12,'Данные 2st'!$PT$2:$PT$317),"")</f>
        <v>201</v>
      </c>
      <c r="TE12" s="7">
        <f>IFERROR(AVERAGEIF('Данные 2st'!$Q$2:$Q$317,$A12,'Данные 2st'!$PU$2:$PU$317),"")</f>
        <v>8.5</v>
      </c>
      <c r="TF12" s="7">
        <f>IFERROR(AVERAGEIF('Данные 2st'!$Q$2:$Q$317,$A12,'Данные 2st'!$PX$2:$PX$317),"")</f>
        <v>0</v>
      </c>
      <c r="TG12" s="7">
        <f>IFERROR(AVERAGEIF('Данные 2st'!$Q$2:$Q$317,$A12,'Данные 2st'!$PY$2:$PY$317),"")</f>
        <v>0</v>
      </c>
      <c r="TH12" s="7">
        <f>IFERROR(AVERAGEIF('Данные 2st'!$Q$2:$Q$317,$A12,'Данные 2st'!$PZ$2:$PZ$317),"")</f>
        <v>0</v>
      </c>
      <c r="TI12" s="7">
        <f>IFERROR(AVERAGEIF('Данные 2st'!$Q$2:$Q$317,$A12,'Данные 2st'!$QA$2:$QA$317),"")</f>
        <v>0</v>
      </c>
      <c r="TJ12" s="7">
        <f>IFERROR(AVERAGEIF('Данные 2st'!$Q$2:$Q$317,$A12,'Данные 2st'!$QB$2:$QB$317),"")</f>
        <v>0</v>
      </c>
      <c r="TK12" s="7">
        <f>IFERROR(AVERAGEIF('Данные 2st'!$Q$2:$Q$317,$A12,'Данные 2st'!$QC$2:$QC$317),"")</f>
        <v>0</v>
      </c>
      <c r="TL12" s="7">
        <f>IFERROR(AVERAGEIF('Данные 2st'!$Q$2:$Q$317,$A12,'Данные 2st'!$QD$2:$QD$317),"")</f>
        <v>0</v>
      </c>
      <c r="TM12" s="7">
        <f>IFERROR(AVERAGEIF('Данные 2st'!$Q$2:$Q$317,$A12,'Данные 2st'!$QE$2:$QE$317),"")</f>
        <v>-1</v>
      </c>
      <c r="TN12" s="7">
        <f>IFERROR(AVERAGEIF('Данные 2st'!$Q$2:$Q$317,$A12,'Данные 2st'!$QF$2:$QF$317),"")</f>
        <v>1</v>
      </c>
      <c r="TO12" s="7">
        <f>IFERROR(AVERAGEIF('Данные 2st'!$Q$2:$Q$317,$A12,'Данные 2st'!$QG$2:$QG$317),"")</f>
        <v>0</v>
      </c>
      <c r="TP12" s="7">
        <f>IFERROR(AVERAGEIF('Данные 2st'!$Q$2:$Q$317,$A12,'Данные 2st'!$QH$2:$QH$317),"")</f>
        <v>5</v>
      </c>
      <c r="TQ12" s="7">
        <f>IFERROR(AVERAGEIF('Данные 2st'!$Q$2:$Q$317,$A12,'Данные 2st'!$QI$2:$QI$317),"")</f>
        <v>5</v>
      </c>
      <c r="TR12" s="7">
        <f>IFERROR(AVERAGEIF('Данные 2st'!$Q$2:$Q$317,$A12,'Данные 2st'!$QJ$2:$QJ$317),"")</f>
        <v>5</v>
      </c>
      <c r="TS12" s="7">
        <f>IFERROR(AVERAGEIF('Данные 2st'!$Q$2:$Q$317,$A12,'Данные 2st'!$QK$2:$QK$317),"")</f>
        <v>166.5</v>
      </c>
      <c r="TT12" s="7">
        <f>IFERROR(AVERAGEIF('Данные 2st'!$Q$2:$Q$317,$A12,'Данные 2st'!$QL$2:$QL$317),"")</f>
        <v>377</v>
      </c>
      <c r="TU12" s="7">
        <f>IFERROR(AVERAGEIF('Данные 2st'!$Q$2:$Q$317,$A12,'Данные 2st'!$QM$2:$QM$317),"")</f>
        <v>7.5</v>
      </c>
      <c r="TV12" s="7">
        <f>IFERROR(AVERAGEIF('Данные 2st'!$Q$2:$Q$317,$A12,'Данные 2st'!$QN$2:$QN$317),"")</f>
        <v>1203.5</v>
      </c>
      <c r="TW12" s="7">
        <f>IFERROR(AVERAGEIF('Данные 2st'!$Q$2:$Q$317,$A12,'Данные 2st'!$QQ$2:$QQ$317),"")</f>
        <v>0</v>
      </c>
      <c r="TX12" s="7">
        <f>IFERROR(AVERAGEIF('Данные 2st'!$Q$2:$Q$317,$A12,'Данные 2st'!$QS$2:$QS$317),"")</f>
        <v>30</v>
      </c>
      <c r="TY12" s="7">
        <f>IFERROR(AVERAGEIF('Данные 2st'!$Q$2:$Q$317,$A12,'Данные 2st'!$QT$2:$QT$317),"")</f>
        <v>40</v>
      </c>
    </row>
    <row r="13" spans="1:545" ht="32" customHeight="1">
      <c r="A13" s="11" t="s">
        <v>1617</v>
      </c>
      <c r="B13">
        <f>COUNTIF('Данные 1st'!$S$2:$S$317,$A13)</f>
        <v>5</v>
      </c>
      <c r="C13" s="6" t="s">
        <v>5082</v>
      </c>
      <c r="D13" s="6" t="s">
        <v>513</v>
      </c>
      <c r="E13" s="6" t="s">
        <v>5125</v>
      </c>
      <c r="F13" s="6" t="s">
        <v>5136</v>
      </c>
      <c r="G13" s="7">
        <f>IFERROR(AVERAGEIF('Данные 1st'!$S$2:$S$317,$A13,'Данные 1st'!$AE$2:$AE$317),"")</f>
        <v>173.4</v>
      </c>
      <c r="H13" s="7">
        <f>IFERROR(AVERAGEIF('Данные 1st'!$S$2:$S$317,$A13,'Данные 1st'!$AF$2:$AF$317),"")</f>
        <v>1.5</v>
      </c>
      <c r="I13" s="7">
        <f>IFERROR(AVERAGEIF('Данные 1st'!$S$2:$S$317,$A13,'Данные 1st'!$AJ$2:$AJ$317),"")</f>
        <v>185</v>
      </c>
      <c r="J13" s="7">
        <f>IFERROR(AVERAGEIF('Данные 1st'!$S$2:$S$317,$A13,'Данные 1st'!$AL$2:$AL$317),"")</f>
        <v>1.5</v>
      </c>
      <c r="K13" s="7">
        <f>IFERROR(AVERAGEIF('Данные 1st'!$S$2:$S$317,$A13,'Данные 1st'!$AR$2:$AR$317),"")</f>
        <v>0</v>
      </c>
      <c r="L13" s="7">
        <f>IFERROR(AVERAGEIF('Данные 1st'!$S$2:$S$317,$A13,'Данные 1st'!$AS$2:$AS$317),"")</f>
        <v>1.5</v>
      </c>
      <c r="M13" s="7">
        <f>IFERROR(AVERAGEIF('Данные 1st'!$S$2:$S$317,$A13,'Данные 1st'!$AY$2:$AY$317),"")</f>
        <v>314.5</v>
      </c>
      <c r="N13" s="7">
        <f>IFERROR(AVERAGEIF('Данные 1st'!$S$2:$S$317,$A13,'Данные 1st'!$AZ$2:$AZ$317),"")</f>
        <v>1.5</v>
      </c>
      <c r="O13" s="7">
        <f>IFERROR(AVERAGEIF('Данные 1st'!$S$2:$S$317,$A13,'Данные 1st'!$BF$2:$BF$317),"")</f>
        <v/>
      </c>
      <c r="P13" s="7">
        <f>IFERROR(AVERAGEIF('Данные 1st'!$S$2:$S$317,$A13,'Данные 1st'!$BG$2:$BG$317),"")</f>
        <v>1.5</v>
      </c>
      <c r="Q13" s="7">
        <f>IFERROR(AVERAGEIF('Данные 1st'!$S$2:$S$317,$A13,'Данные 1st'!$BM$2:$BM$317),"")</f>
        <v/>
      </c>
      <c r="R13" s="7">
        <f>IFERROR(AVERAGEIF('Данные 1st'!$S$2:$S$317,$A13,'Данные 1st'!$BN$2:$BN$317),"")</f>
        <v>1.5</v>
      </c>
      <c r="S13" s="7">
        <f>IFERROR(AVERAGEIF('Данные 1st'!$S$2:$S$317,$A13,'Данные 1st'!$BT$2:$BT$317),"")</f>
        <v>195.8</v>
      </c>
      <c r="T13" s="7">
        <f>IFERROR(AVERAGEIF('Данные 1st'!$S$2:$S$317,$A13,'Данные 1st'!$BU$2:$BU$317),"")</f>
        <v>0.5</v>
      </c>
      <c r="U13" s="7">
        <f>IFERROR(AVERAGEIF('Данные 1st'!$S$2:$S$317,$A13,'Данные 1st'!$BW$2:$BW$317),"")</f>
        <v>391.6</v>
      </c>
      <c r="V13" s="7">
        <f>IFERROR(AVERAGEIF('Данные 1st'!$S$2:$S$317,$A13,'Данные 1st'!$BX$2:$BX$317),"")</f>
        <v>1</v>
      </c>
      <c r="W13" s="7">
        <f>IFERROR(AVERAGEIF('Данные 1st'!$S$2:$S$317,$A13,'Данные 1st'!$BZ$2:$BZ$317),"")</f>
        <v>300</v>
      </c>
      <c r="X13" s="7">
        <f>IFERROR(AVERAGEIF('Данные 1st'!$S$2:$S$317,$A13,'Данные 1st'!$CA$2:$CA$317),"")</f>
        <v>492</v>
      </c>
      <c r="Y13" s="7">
        <f>IFERROR(AVERAGEIF('Данные 1st'!$S$2:$S$317,$A13,'Данные 1st'!$CD$2:$CD$317),"")</f>
        <v>395.6</v>
      </c>
      <c r="Z13" s="7">
        <f>IFERROR(AVERAGEIF('Данные 1st'!$S$2:$S$317,$A13,'Данные 1st'!$CF$2:$CF$317),"")</f>
        <v>15</v>
      </c>
      <c r="AA13" s="7">
        <f>IFERROR(AVERAGEIF('Данные 1st'!$S$2:$S$317,$A13,'Данные 1st'!$CI$2:$CI$317),"")</f>
        <v>96</v>
      </c>
      <c r="AB13" s="7">
        <f>IFERROR(AVERAGEIF('Данные 1st'!$S$2:$S$317,$A13,'Данные 1st'!$CJ$2:$CJ$317),"")</f>
        <v>1122</v>
      </c>
      <c r="AC13" s="7">
        <f>IFERROR(AVERAGEIF('Данные 1st'!$S$2:$S$317,$A13,'Данные 1st'!$CK$2:$CK$317),"")</f>
        <v>2</v>
      </c>
      <c r="AD13" s="7">
        <f>IFERROR(AVERAGEIF('Данные 1st'!$S$2:$S$317,$A13,'Данные 1st'!$CL$2:$CL$317),"")</f>
        <v>1222</v>
      </c>
      <c r="AE13" s="7">
        <f>IFERROR(AVERAGEIF('Данные 1st'!$S$2:$S$317,$A13,'Данные 1st'!$CM$2:$CM$317),"")</f>
        <v>2</v>
      </c>
      <c r="AF13" s="7">
        <f>IFERROR(AVERAGEIF('Данные 1st'!$S$2:$S$317,$A13,'Данные 1st'!$CT$2:$CT$317),"")</f>
        <v>370</v>
      </c>
      <c r="AG13" s="7">
        <f>IFERROR(AVERAGEIF('Данные 1st'!$S$2:$S$317,$A13,'Данные 1st'!$CU$2:$CU$317),"")</f>
        <v>5</v>
      </c>
      <c r="AH13" s="7">
        <f>IFERROR(AVERAGEIF('Данные 1st'!$S$2:$S$317,$A13,'Данные 1st'!$CV$2:$CV$317),"")</f>
        <v>1.2</v>
      </c>
      <c r="AI13" s="7">
        <f>IFERROR(AVERAGEIF('Данные 1st'!$S$2:$S$317,$A13,'Данные 1st'!$CW$2:$CW$317),"")</f>
        <v>1136</v>
      </c>
      <c r="AJ13" s="7">
        <f>IFERROR(AVERAGEIF('Данные 1st'!$S$2:$S$317,$A13,'Данные 1st'!$CX$2:$CX$317),"")</f>
        <v>595</v>
      </c>
      <c r="AK13" s="7">
        <f>IFERROR(AVERAGEIF('Данные 1st'!$S$2:$S$317,$A13,'Данные 1st'!$CZ$2:$CZ$317),"")</f>
        <v/>
      </c>
      <c r="AL13" s="7">
        <f>IFERROR(AVERAGEIF('Данные 1st'!$S$2:$S$317,$A13,'Данные 1st'!$DA$2:$DA$317),"")</f>
        <v/>
      </c>
      <c r="AM13" s="7">
        <f>IFERROR(AVERAGEIF('Данные 1st'!$S$2:$S$317,$A13,'Данные 1st'!$DB$2:$DB$317),"")</f>
        <v/>
      </c>
      <c r="AN13" s="7">
        <f>IFERROR(AVERAGEIF('Данные 1st'!$S$2:$S$317,$A13,'Данные 1st'!$DC$2:$DC$317),"")</f>
        <v/>
      </c>
      <c r="AO13" s="7">
        <f>IFERROR(AVERAGEIF('Данные 1st'!$S$2:$S$317,$A13,'Данные 1st'!$DD$2:$DD$317),"")</f>
        <v>0</v>
      </c>
      <c r="AP13" s="7">
        <f>IFERROR(AVERAGEIF('Данные 1st'!$S$2:$S$317,$A13,'Данные 1st'!$DF$2:$DF$317),"")</f>
        <v>629</v>
      </c>
      <c r="AQ13" s="7">
        <f>IFERROR(AVERAGEIF('Данные 1st'!$S$2:$S$317,$A13,'Данные 1st'!$DG$2:$DG$317),"")</f>
        <v>3</v>
      </c>
      <c r="AR13" s="7">
        <f>IFERROR(AVERAGEIF('Данные 1st'!$S$2:$S$317,$A13,'Данные 1st'!$DH$2:$DH$317),"")</f>
        <v>1.06</v>
      </c>
      <c r="AS13" s="7">
        <f>IFERROR(AVERAGEIF('Данные 1st'!$S$2:$S$317,$A13,'Данные 1st'!$DI$2:$DI$317),"")</f>
        <v>1134</v>
      </c>
      <c r="AT13" s="7">
        <f>IFERROR(AVERAGEIF('Данные 1st'!$S$2:$S$317,$A13,'Данные 1st'!$DJ$2:$DJ$317),"")</f>
        <v>1000.2</v>
      </c>
      <c r="AU13" s="7">
        <f>IFERROR(AVERAGEIF('Данные 1st'!$S$2:$S$317,$A13,'Данные 1st'!$DL$2:$DL$317),"")</f>
        <v/>
      </c>
      <c r="AV13" s="7">
        <f>IFERROR(AVERAGEIF('Данные 1st'!$S$2:$S$317,$A13,'Данные 1st'!$DM$2:$DM$317),"")</f>
        <v/>
      </c>
      <c r="AW13" s="7">
        <f>IFERROR(AVERAGEIF('Данные 1st'!$S$2:$S$317,$A13,'Данные 1st'!$DN$2:$DN$317),"")</f>
        <v/>
      </c>
      <c r="AX13" s="7">
        <f>IFERROR(AVERAGEIF('Данные 1st'!$S$2:$S$317,$A13,'Данные 1st'!$DO$2:$DO$317),"")</f>
        <v/>
      </c>
      <c r="AY13" s="7">
        <f>IFERROR(AVERAGEIF('Данные 1st'!$S$2:$S$317,$A13,'Данные 1st'!$DP$2:$DP$317),"")</f>
        <v/>
      </c>
      <c r="AZ13" s="7">
        <f>IFERROR(AVERAGEIF('Данные 1st'!$S$2:$S$317,$A13,'Данные 1st'!$DR$2:$DR$317),"")</f>
        <v/>
      </c>
      <c r="BA13" s="7">
        <f>IFERROR(AVERAGEIF('Данные 1st'!$S$2:$S$317,$A13,'Данные 1st'!$DS$2:$DS$317),"")</f>
        <v/>
      </c>
      <c r="BB13" s="7">
        <f>IFERROR(AVERAGEIF('Данные 1st'!$S$2:$S$317,$A13,'Данные 1st'!$DT$2:$DT$317),"")</f>
        <v/>
      </c>
      <c r="BC13" s="7">
        <f>IFERROR(AVERAGEIF('Данные 1st'!$S$2:$S$317,$A13,'Данные 1st'!$DU$2:$DU$317),"")</f>
        <v/>
      </c>
      <c r="BD13" s="7">
        <f>IFERROR(AVERAGEIF('Данные 1st'!$S$2:$S$317,$A13,'Данные 1st'!$DV$2:$DV$317),"")</f>
        <v/>
      </c>
      <c r="BE13" s="7">
        <f>IFERROR(AVERAGEIF('Данные 1st'!$S$2:$S$317,$A13,'Данные 1st'!$DX$2:$DX$317),"")</f>
        <v>7.5</v>
      </c>
      <c r="BF13" s="7">
        <f>IFERROR(AVERAGEIF('Данные 1st'!$S$2:$S$317,$A13,'Данные 1st'!$EA$2:$EA$317),"")</f>
        <v>1203.34</v>
      </c>
      <c r="BG13" s="7">
        <f>IFERROR(AVERAGEIF('Данные 1st'!$S$2:$S$317,$A13,'Данные 1st'!$EB$2:$EB$317),"")</f>
        <v>157</v>
      </c>
      <c r="BH13" s="7">
        <f>IFERROR(AVERAGEIF('Данные 1st'!$S$2:$S$317,$A13,'Данные 1st'!$ED$2:$ED$317),"")</f>
        <v>35</v>
      </c>
      <c r="BI13" s="7">
        <f>IFERROR(AVERAGEIF('Данные 1st'!$S$2:$S$317,$A13,'Данные 1st'!$EE$2:$EE$317),"")</f>
        <v>3</v>
      </c>
      <c r="BJ13" s="7">
        <f>IFERROR(AVERAGEIF('Данные 1st'!$S$2:$S$317,$A13,'Данные 1st'!$EG$2:$EG$317),"")</f>
        <v>1233.8</v>
      </c>
      <c r="BK13" s="7">
        <f>IFERROR(AVERAGEIF('Данные 1st'!$S$2:$S$317,$A13,'Данные 1st'!$EH$2:$EH$317),"")</f>
        <v>173.8</v>
      </c>
      <c r="BL13" s="7">
        <f>IFERROR(AVERAGEIF('Данные 1st'!$S$2:$S$317,$A13,'Данные 1st'!$EJ$2:$EJ$317),"")</f>
        <v>0</v>
      </c>
      <c r="BM13" s="7">
        <f>IFERROR(AVERAGEIF('Данные 1st'!$S$2:$S$317,$A13,'Данные 1st'!$EK$2:$EK$317),"")</f>
        <v>1</v>
      </c>
      <c r="BN13" s="7">
        <f>IFERROR(AVERAGEIF('Данные 1st'!$S$2:$S$317,$A13,'Данные 1st'!$EN$2:$EN$317),"")</f>
        <v>0</v>
      </c>
      <c r="BO13" s="7">
        <f>IFERROR(AVERAGEIF('Данные 1st'!$S$2:$S$317,$A13,'Данные 1st'!$EQ$2:$EQ$317),"")</f>
        <v>107</v>
      </c>
      <c r="BP13" s="7">
        <f>IFERROR(AVERAGEIF('Данные 1st'!$S$2:$S$317,$A13,'Данные 1st'!$ER$2:$ER$317),"")</f>
        <v>3</v>
      </c>
      <c r="BQ13" s="7">
        <f>IFERROR(AVERAGEIF('Данные 1st'!$S$2:$S$317,$A13,'Данные 1st'!$ES$2:$ES$317),"")</f>
        <v>4.42</v>
      </c>
      <c r="BR13" s="7">
        <f>IFERROR(AVERAGEIF('Данные 1st'!$S$2:$S$317,$A13,'Данные 1st'!$ET$2:$ET$317),"")</f>
        <v>1113.4</v>
      </c>
      <c r="BS13" s="7">
        <f>IFERROR(AVERAGEIF('Данные 1st'!$S$2:$S$317,$A13,'Данные 1st'!$EU$2:$EU$317),"")</f>
        <v>375.26</v>
      </c>
      <c r="BT13" s="7">
        <f>IFERROR(AVERAGEIF('Данные 1st'!$S$2:$S$317,$A13,'Данные 1st'!$EV$2:$EV$317),"")</f>
        <v>418</v>
      </c>
      <c r="BU13" s="7">
        <f>IFERROR(AVERAGEIF('Данные 1st'!$S$2:$S$317,$A13,'Данные 1st'!$EX$2:$EX$317),"")</f>
        <v>70</v>
      </c>
      <c r="BV13" s="7">
        <f>IFERROR(AVERAGEIF('Данные 1st'!$S$2:$S$317,$A13,'Данные 1st'!$EY$2:$EY$317),"")</f>
        <v>2</v>
      </c>
      <c r="BW13" s="7">
        <f>IFERROR(AVERAGEIF('Данные 1st'!$S$2:$S$317,$A13,'Данные 1st'!$EZ$2:$EZ$317),"")</f>
        <v>3.58</v>
      </c>
      <c r="BX13" s="7">
        <f>IFERROR(AVERAGEIF('Данные 1st'!$S$2:$S$317,$A13,'Данные 1st'!$FA$2:$FA$317),"")</f>
        <v>1113.4</v>
      </c>
      <c r="BY13" s="7">
        <f>IFERROR(AVERAGEIF('Данные 1st'!$S$2:$S$317,$A13,'Данные 1st'!$FB$2:$FB$317),"")</f>
        <v>199.20000000000002</v>
      </c>
      <c r="BZ13" s="7">
        <f>IFERROR(AVERAGEIF('Данные 1st'!$S$2:$S$317,$A13,'Данные 1st'!$FC$2:$FC$317),"")</f>
        <v>221.8</v>
      </c>
      <c r="CA13" s="7">
        <f>IFERROR(AVERAGEIF('Данные 1st'!$S$2:$S$317,$A13,'Данные 1st'!$FE$2:$FE$317),"")</f>
        <v>0</v>
      </c>
      <c r="CB13" s="7">
        <f>IFERROR(AVERAGEIF('Данные 1st'!$S$2:$S$317,$A13,'Данные 1st'!$FF$2:$FF$317),"")</f>
        <v>2</v>
      </c>
      <c r="CC13" s="7">
        <f>IFERROR(AVERAGEIF('Данные 1st'!$S$2:$S$317,$A13,'Данные 1st'!$FI$2:$FI$317),"")</f>
        <v>0</v>
      </c>
      <c r="CD13" s="7">
        <f>IFERROR(AVERAGEIF('Данные 1st'!$S$2:$S$317,$A13,'Данные 1st'!$FL$2:$FL$317),"")</f>
        <v>0.48</v>
      </c>
      <c r="CE13" s="7">
        <f>IFERROR(AVERAGEIF('Данные 1st'!$S$2:$S$317,$A13,'Данные 1st'!$FM$2:$FM$317),"")</f>
        <v>84</v>
      </c>
      <c r="CF13" s="7">
        <f>IFERROR(AVERAGEIF('Данные 1st'!$S$2:$S$317,$A13,'Данные 1st'!$FN$2:$FN$317),"")</f>
        <v>106</v>
      </c>
      <c r="CG13" s="7">
        <f>IFERROR(AVERAGEIF('Данные 1st'!$S$2:$S$317,$A13,'Данные 1st'!$FO$2:$FO$317),"")</f>
        <v/>
      </c>
      <c r="CH13" s="7">
        <f>IFERROR(AVERAGEIF('Данные 1st'!$S$2:$S$317,$A13,'Данные 1st'!$FP$2:$FP$317),"")</f>
        <v/>
      </c>
      <c r="CI13" s="7">
        <f>IFERROR(AVERAGEIF('Данные 1st'!$S$2:$S$317,$A13,'Данные 1st'!$FS$2:$FS$317),"")</f>
        <v>0.48</v>
      </c>
      <c r="CJ13" s="7">
        <f>IFERROR(AVERAGEIF('Данные 1st'!$S$2:$S$317,$A13,'Данные 1st'!$FT$2:$FT$317),"")</f>
        <v>30</v>
      </c>
      <c r="CK13" s="7">
        <f>IFERROR(AVERAGEIF('Данные 1st'!$S$2:$S$317,$A13,'Данные 1st'!$FU$2:$FU$317),"")</f>
        <v>355.2</v>
      </c>
      <c r="CL13" s="7">
        <f>IFERROR(AVERAGEIF('Данные 1st'!$S$2:$S$317,$A13,'Данные 1st'!$FV$2:$FV$317),"")</f>
        <v>30</v>
      </c>
      <c r="CM13" s="7">
        <f>IFERROR(AVERAGEIF('Данные 1st'!$S$2:$S$317,$A13,'Данные 1st'!$FW$2:$FW$317),"")</f>
        <v>215</v>
      </c>
      <c r="CN13" s="7">
        <f>IFERROR(AVERAGEIF('Данные 1st'!$S$2:$S$317,$A13,'Данные 1st'!$FZ$2:$FZ$317),"")</f>
        <v/>
      </c>
      <c r="CO13" s="7">
        <f>IFERROR(AVERAGEIF('Данные 1st'!$S$2:$S$317,$A13,'Данные 1st'!$GA$2:$GA$317),"")</f>
        <v/>
      </c>
      <c r="CP13" s="7">
        <f>IFERROR(AVERAGEIF('Данные 1st'!$S$2:$S$317,$A13,'Данные 1st'!$GB$2:$GB$317),"")</f>
        <v/>
      </c>
      <c r="CQ13" s="7">
        <f>IFERROR(AVERAGEIF('Данные 1st'!$S$2:$S$317,$A13,'Данные 1st'!$GH$2:$GH$317),"")</f>
        <v/>
      </c>
      <c r="CR13" s="7">
        <f>IFERROR(AVERAGEIF('Данные 1st'!$S$2:$S$317,$A13,'Данные 1st'!$GI$2:$GI$317),"")</f>
        <v/>
      </c>
      <c r="CS13" s="7">
        <f>IFERROR(AVERAGEIF('Данные 1st'!$S$2:$S$317,$A13,'Данные 1st'!$GJ$2:$GJ$317),"")</f>
        <v/>
      </c>
      <c r="CT13" s="7">
        <f>IFERROR(AVERAGEIF('Данные 1st'!$S$2:$S$317,$A13,'Данные 1st'!$GS$2:$GS$317),"")</f>
        <v/>
      </c>
      <c r="CU13" s="7">
        <f>IFERROR(AVERAGEIF('Данные 1st'!$S$2:$S$317,$A13,'Данные 1st'!$GT$2:$GT$317),"")</f>
        <v/>
      </c>
      <c r="CV13" s="7">
        <f>IFERROR(AVERAGEIF('Данные 1st'!$S$2:$S$317,$A13,'Данные 1st'!$GU$2:$GU$317),"")</f>
        <v/>
      </c>
      <c r="CW13" s="7">
        <f>IFERROR(AVERAGEIF('Данные 1st'!$S$2:$S$317,$A13,'Данные 1st'!$GV$2:$GV$317),"")</f>
        <v/>
      </c>
      <c r="CX13" s="7">
        <f>IFERROR(AVERAGEIF('Данные 1st'!$S$2:$S$317,$A13,'Данные 1st'!$GW$2:$GW$317),"")</f>
        <v/>
      </c>
      <c r="CY13" s="7">
        <f>IFERROR(AVERAGEIF('Данные 1st'!$S$2:$S$317,$A13,'Данные 1st'!$GZ$2:$GZ$317),"")</f>
        <v/>
      </c>
      <c r="CZ13" s="7">
        <f>IFERROR(AVERAGEIF('Данные 1st'!$S$2:$S$317,$A13,'Данные 1st'!$HA$2:$HA$317),"")</f>
        <v/>
      </c>
      <c r="DA13" s="7">
        <f>IFERROR(AVERAGEIF('Данные 1st'!$S$2:$S$317,$A13,'Данные 1st'!$HB$2:$HB$317),"")</f>
        <v/>
      </c>
      <c r="DB13" s="7">
        <f>IFERROR(AVERAGEIF('Данные 1st'!$S$2:$S$317,$A13,'Данные 1st'!$HC$2:$HC$317),"")</f>
        <v>0.1</v>
      </c>
      <c r="DC13" s="7">
        <f>IFERROR(AVERAGEIF('Данные 1st'!$S$2:$S$317,$A13,'Данные 1st'!$HD$2:$HD$317),"")</f>
        <v>3</v>
      </c>
      <c r="DD13" s="7">
        <f>IFERROR(AVERAGEIF('Данные 1st'!$S$2:$S$317,$A13,'Данные 1st'!$HE$2:$HE$317),"")</f>
        <v>3</v>
      </c>
      <c r="DE13" s="7">
        <f>IFERROR(AVERAGEIF('Данные 1st'!$S$2:$S$317,$A13,'Данные 1st'!$HF$2:$HF$317),"")</f>
        <v>3</v>
      </c>
      <c r="DF13" s="7">
        <f>IFERROR(AVERAGEIF('Данные 1st'!$S$2:$S$317,$A13,'Данные 1st'!$HG$2:$HG$317),"")</f>
        <v>3</v>
      </c>
      <c r="DG13" s="7">
        <f>IFERROR(AVERAGEIF('Данные 1st'!$S$2:$S$317,$A13,'Данные 1st'!$HH$2:$HH$317),"")</f>
        <v>3</v>
      </c>
      <c r="DH13" s="7">
        <f>IFERROR(AVERAGEIF('Данные 1st'!$S$2:$S$317,$A13,'Данные 1st'!$HI$2:$HI$317),"")</f>
        <v>162</v>
      </c>
      <c r="DI13" s="7">
        <f>IFERROR(AVERAGEIF('Данные 1st'!$S$2:$S$317,$A13,'Данные 1st'!$HJ$2:$HJ$317),"")</f>
        <v>3</v>
      </c>
      <c r="DJ13" s="7">
        <f>IFERROR(AVERAGEIF('Данные 1st'!$S$2:$S$317,$A13,'Данные 1st'!$HK$2:$HK$317),"")</f>
        <v>55</v>
      </c>
      <c r="DK13" s="7">
        <f>IFERROR(AVERAGEIF('Данные 1st'!$S$2:$S$317,$A13,'Данные 1st'!$HL$2:$HL$317),"")</f>
        <v>2</v>
      </c>
      <c r="DL13" s="7">
        <f>IFERROR(AVERAGEIF('Данные 1st'!$S$2:$S$317,$A13,'Данные 1st'!$HM$2:$HM$317),"")</f>
        <v>0</v>
      </c>
      <c r="DM13" s="7">
        <f>IFERROR(AVERAGEIF('Данные 1st'!$S$2:$S$317,$A13,'Данные 1st'!$HN$2:$HN$317),"")</f>
        <v>2</v>
      </c>
      <c r="DN13" s="7">
        <f>IFERROR(AVERAGEIF('Данные 1st'!$S$2:$S$317,$A13,'Данные 1st'!$HO$2:$HO$317),"")</f>
        <v>92</v>
      </c>
      <c r="DO13" s="7">
        <f>IFERROR(AVERAGEIF('Данные 1st'!$S$2:$S$317,$A13,'Данные 1st'!$HP$2:$HP$317),"")</f>
        <v>3</v>
      </c>
      <c r="DP13" s="7">
        <f>IFERROR(AVERAGEIF('Данные 1st'!$S$2:$S$317,$A13,'Данные 1st'!$HQ$2:$HQ$317),"")</f>
        <v>0</v>
      </c>
      <c r="DQ13" s="7">
        <f>IFERROR(AVERAGEIF('Данные 1st'!$S$2:$S$317,$A13,'Данные 1st'!$HR$2:$HR$317),"")</f>
        <v>2</v>
      </c>
      <c r="DR13" s="7">
        <f>IFERROR(AVERAGEIF('Данные 1st'!$S$2:$S$317,$A13,'Данные 1st'!$HS$2:$HS$317),"")</f>
        <v>3536.4</v>
      </c>
      <c r="DS13" s="7">
        <f>IFERROR(AVERAGEIF('Данные 1st'!$S$2:$S$317,$A13,'Данные 1st'!$HT$2:$HT$317),"")</f>
        <v>106</v>
      </c>
      <c r="DT13" s="7">
        <f>IFERROR(AVERAGEIF('Данные 1st'!$S$2:$S$317,$A13,'Данные 1st'!$HU$2:$HU$317),"")</f>
        <v>180</v>
      </c>
      <c r="DU13" s="7">
        <f>IFERROR(AVERAGEIF('Данные 1st'!$S$2:$S$317,$A13,'Данные 1st'!$HW$2:$HW$317),"")</f>
        <v>12</v>
      </c>
      <c r="DV13" s="7">
        <f>IFERROR(AVERAGEIF('Данные 1st'!$S$2:$S$317,$A13,'Данные 1st'!$HX$2:$HX$317),"")</f>
        <v>482</v>
      </c>
      <c r="DW13" s="7">
        <f>IFERROR(AVERAGEIF('Данные 1st'!$S$2:$S$317,$A13,'Данные 1st'!$HY$2:$HY$317),"")</f>
        <v>0.18</v>
      </c>
      <c r="DX13" s="7">
        <f>IFERROR(AVERAGEIF('Данные 1st'!$S$2:$S$317,$A13,'Данные 1st'!$IA$2:$IA$317),"")</f>
        <v>0.15</v>
      </c>
      <c r="DY13" s="7">
        <f>IFERROR(AVERAGEIF('Данные 1st'!$S$2:$S$317,$A13,'Данные 1st'!$IB$2:$IB$317),"")</f>
        <v>0</v>
      </c>
      <c r="DZ13" s="7">
        <f>IFERROR(AVERAGEIF('Данные 1st'!$S$2:$S$317,$A13,'Данные 1st'!$IC$2:$IC$317),"")</f>
        <v>180</v>
      </c>
      <c r="EA13" s="7">
        <f>IFERROR(AVERAGEIF('Данные 1st'!$S$2:$S$317,$A13,'Данные 1st'!$ID$2:$ID$317),"")</f>
        <v>109</v>
      </c>
      <c r="EB13" s="7">
        <f>IFERROR(AVERAGEIF('Данные 1st'!$S$2:$S$317,$A13,'Данные 1st'!$IE$2:$IE$317),"")</f>
        <v>0</v>
      </c>
      <c r="EC13" s="7">
        <f>IFERROR(AVERAGEIF('Данные 1st'!$S$2:$S$317,$A13,'Данные 1st'!$IF$2:$IF$317),"")</f>
        <v>0</v>
      </c>
      <c r="ED13" s="7">
        <f>IFERROR(AVERAGEIF('Данные 1st'!$S$2:$S$317,$A13,'Данные 1st'!$IP$2:$IP$317),"")</f>
        <v>15</v>
      </c>
      <c r="EE13" s="7">
        <f>IFERROR(AVERAGEIF('Данные 1st'!$S$2:$S$317,$A13,'Данные 1st'!$IV$2:$IV$317),"")</f>
        <v>1122</v>
      </c>
      <c r="EF13" s="7">
        <f>IFERROR(AVERAGEIF('Данные 1st'!$S$2:$S$317,$A13,'Данные 1st'!$IW$2:$IW$317),"")</f>
        <v>391.6</v>
      </c>
      <c r="EG13" s="7">
        <f>IFERROR(AVERAGEIF('Данные 1st'!$S$2:$S$317,$A13,'Данные 1st'!$IX$2:$IX$317),"")</f>
        <v/>
      </c>
      <c r="EH13" s="7">
        <f>IFERROR(AVERAGEIF('Данные 1st'!$S$2:$S$317,$A13,'Данные 1st'!$IY$2:$IY$317),"")</f>
        <v/>
      </c>
      <c r="EI13" s="7">
        <f>IFERROR(AVERAGEIF('Данные 1st'!$S$2:$S$317,$A13,'Данные 1st'!$JD$2:$JD$317),"")</f>
        <v>1136</v>
      </c>
      <c r="EJ13" s="7">
        <f>IFERROR(AVERAGEIF('Данные 1st'!$S$2:$S$317,$A13,'Данные 1st'!$JE$2:$JE$317),"")</f>
        <v>1134</v>
      </c>
      <c r="EK13" s="7">
        <f>IFERROR(AVERAGEIF('Данные 1st'!$S$2:$S$317,$A13,'Данные 1st'!$JF$2:$JF$317),"")</f>
        <v>0</v>
      </c>
      <c r="EL13" s="7">
        <f>IFERROR(AVERAGEIF('Данные 1st'!$S$2:$S$317,$A13,'Данные 1st'!$JG$2:$JG$317),"")</f>
        <v>1113.4</v>
      </c>
      <c r="EM13" s="7">
        <f>IFERROR(AVERAGEIF('Данные 1st'!$S$2:$S$317,$A13,'Данные 1st'!$JH$2:$JH$317),"")</f>
        <v>0</v>
      </c>
      <c r="EN13" s="7">
        <f>IFERROR(AVERAGEIF('Данные 1st'!$S$2:$S$317,$A13,'Данные 1st'!$JJ$2:$JJ$317),"")</f>
        <v>180</v>
      </c>
      <c r="EO13" s="7">
        <f>IFERROR(AVERAGEIF('Данные 1st'!$S$2:$S$317,$A13,'Данные 1st'!$JK$2:$JK$317),"")</f>
        <v>482</v>
      </c>
      <c r="EP13" s="7">
        <f>IFERROR(AVERAGEIF('Данные 1st'!$S$2:$S$317,$A13,'Данные 1st'!$JL$2:$JL$317),"")</f>
        <v/>
      </c>
      <c r="EQ13" s="7">
        <f>IFERROR(AVERAGEIF('Данные 1st'!$S$2:$S$317,$A13,'Данные 1st'!$JM$2:$JM$317),"")</f>
        <v/>
      </c>
      <c r="ER13" s="7">
        <f>IFERROR(AVERAGEIF('Данные 1st'!$S$2:$S$317,$A13,'Данные 1st'!$JN$2:$JN$317),"")</f>
        <v>370</v>
      </c>
      <c r="ES13" s="7">
        <f>IFERROR(AVERAGEIF('Данные 1st'!$S$2:$S$317,$A13,'Данные 1st'!$JO$2:$JO$317),"")</f>
        <v>629</v>
      </c>
      <c r="ET13" s="7">
        <f>IFERROR(AVERAGEIF('Данные 1st'!$S$2:$S$317,$A13,'Данные 1st'!$JP$2:$JP$317),"")</f>
        <v>0</v>
      </c>
      <c r="EU13" s="7">
        <f>IFERROR(AVERAGEIF('Данные 1st'!$S$2:$S$317,$A13,'Данные 1st'!$JQ$2:$JQ$317),"")</f>
        <v>0</v>
      </c>
      <c r="EV13" s="7">
        <f>IFERROR(AVERAGEIF('Данные 1st'!$S$2:$S$317,$A13,'Данные 1st'!$JR$2:$JR$317),"")</f>
        <v>346.8</v>
      </c>
      <c r="EW13" s="7">
        <f>IFERROR(AVERAGEIF('Данные 1st'!$S$2:$S$317,$A13,'Данные 1st'!$JS$2:$JS$317),"")</f>
        <v>162</v>
      </c>
      <c r="EX13" s="7">
        <f>IFERROR(AVERAGEIF('Данные 1st'!$S$2:$S$317,$A13,'Данные 1st'!$JT$2:$JT$317),"")</f>
        <v/>
      </c>
      <c r="EY13" s="7">
        <f>IFERROR(AVERAGEIF('Данные 1st'!$S$2:$S$317,$A13,'Данные 1st'!$JU$2:$JU$317),"")</f>
        <v/>
      </c>
      <c r="EZ13" s="7">
        <f>IFERROR(AVERAGEIF('Данные 1st'!$S$2:$S$317,$A13,'Данные 1st'!$JV$2:$JV$317),"")</f>
        <v>8</v>
      </c>
      <c r="FA13" s="7">
        <f>IFERROR(AVERAGEIF('Данные 1st'!$S$2:$S$317,$A13,'Данные 1st'!$JW$2:$JW$317),"")</f>
        <v/>
      </c>
      <c r="FB13" s="7">
        <f>IFERROR(AVERAGEIF('Данные 1st'!$S$2:$S$317,$A13,'Данные 1st'!$JX$2:$JX$317),"")</f>
        <v>0</v>
      </c>
      <c r="FC13" s="7">
        <f>IFERROR(AVERAGEIF('Данные 1st'!$S$2:$S$317,$A13,'Данные 1st'!$JY$2:$JY$317),"")</f>
        <v/>
      </c>
      <c r="FD13" s="7">
        <f>IFERROR(AVERAGEIF('Данные 1st'!$S$2:$S$317,$A13,'Данные 1st'!$JZ$2:$JZ$317),"")</f>
        <v/>
      </c>
      <c r="FE13" s="7">
        <f>IFERROR(AVERAGEIF('Данные 1st'!$S$2:$S$317,$A13,'Данные 1st'!$KA$2:$KA$317),"")</f>
        <v>0</v>
      </c>
      <c r="FF13" s="7">
        <f>IFERROR(AVERAGEIF('Данные 1st'!$S$2:$S$317,$A13,'Данные 1st'!$KB$2:$KB$317),"")</f>
        <v>109</v>
      </c>
      <c r="FG13" s="7">
        <f>IFERROR(AVERAGEIF('Данные 1st'!$S$2:$S$317,$A13,'Данные 1st'!$KC$2:$KC$317),"")</f>
        <v>0</v>
      </c>
      <c r="FH13" s="7">
        <f>IFERROR(AVERAGEIF('Данные 1st'!$S$2:$S$317,$A13,'Данные 1st'!$KD$2:$KD$317),"")</f>
        <v>80</v>
      </c>
      <c r="FI13" s="7">
        <f>IFERROR(AVERAGEIF('Данные 1st'!$S$2:$S$317,$A13,'Данные 1st'!$KE$2:$KE$317),"")</f>
        <v/>
      </c>
      <c r="FJ13" s="7">
        <f>IFERROR(AVERAGEIF('Данные 1st'!$S$2:$S$317,$A13,'Данные 1st'!$KF$2:$KF$317),"")</f>
        <v>3.6</v>
      </c>
      <c r="FK13" s="7">
        <f>IFERROR(AVERAGEIF('Данные 1st'!$S$2:$S$317,$A13,'Данные 1st'!$KG$2:$KG$317),"")</f>
        <v>3.6</v>
      </c>
      <c r="FL13" s="7">
        <f>IFERROR(AVERAGEIF('Данные 1st'!$S$2:$S$317,$A13,'Данные 1st'!$KH$2:$KH$317),"")</f>
        <v>2</v>
      </c>
      <c r="FM13" s="7">
        <f>IFERROR(AVERAGEIF('Данные 1st'!$S$2:$S$317,$A13,'Данные 1st'!$KI$2:$KI$317),"")</f>
        <v>2</v>
      </c>
      <c r="FN13" s="7">
        <f>IFERROR(AVERAGEIF('Данные 1st'!$S$2:$S$317,$A13,'Данные 1st'!$KJ$2:$KJ$317),"")</f>
        <v>0</v>
      </c>
      <c r="FO13" s="7">
        <f>IFERROR(AVERAGEIF('Данные 1st'!$S$2:$S$317,$A13,'Данные 1st'!$KK$2:$KK$317),"")</f>
        <v>1.5</v>
      </c>
      <c r="FP13" s="7">
        <f>IFERROR(AVERAGEIF('Данные 1st'!$S$2:$S$317,$A13,'Данные 1st'!$KL$2:$KL$317),"")</f>
        <v>1.5</v>
      </c>
      <c r="FQ13" s="7">
        <f>IFERROR(AVERAGEIF('Данные 1st'!$S$2:$S$317,$A13,'Данные 1st'!$KM$2:$KM$317),"")</f>
        <v>0</v>
      </c>
      <c r="FR13" s="7">
        <f>IFERROR(AVERAGEIF('Данные 1st'!$S$2:$S$317,$A13,'Данные 1st'!$KN$2:$KN$317),"")</f>
        <v>0</v>
      </c>
      <c r="FS13" s="7">
        <f>IFERROR(AVERAGEIF('Данные 1st'!$S$2:$S$317,$A13,'Данные 1st'!$KR$2:$KR$317),"")</f>
        <v>32</v>
      </c>
      <c r="FT13" s="7">
        <f>IFERROR(AVERAGEIF('Данные 1st'!$S$2:$S$317,$A13,'Данные 1st'!$KS$2:$KS$317),"")</f>
        <v>56</v>
      </c>
      <c r="FU13" s="7">
        <f>IFERROR(AVERAGEIF('Данные 1st'!$S$2:$S$317,$A13,'Данные 1st'!$KT$2:$KT$317),"")</f>
        <v>0</v>
      </c>
      <c r="FV13" s="7">
        <f>IFERROR(AVERAGEIF('Данные 1st'!$S$2:$S$317,$A13,'Данные 1st'!$KV$2:$KV$317),"")</f>
        <v/>
      </c>
      <c r="FW13" s="7">
        <f>IFERROR(AVERAGEIF('Данные 1st'!$S$2:$S$317,$A13,'Данные 1st'!$KW$2:$KW$317),"")</f>
        <v/>
      </c>
      <c r="FX13" s="7">
        <f>IFERROR(AVERAGEIF('Данные 1st'!$S$2:$S$317,$A13,'Данные 1st'!$KX$2:$KX$317),"")</f>
        <v/>
      </c>
      <c r="FY13" s="7">
        <f>IFERROR(AVERAGEIF('Данные 1st'!$S$2:$S$317,$A13,'Данные 1st'!$KY$2:$KY$317),"")</f>
        <v/>
      </c>
      <c r="FZ13" s="7">
        <f>IFERROR(AVERAGEIF('Данные 1st'!$S$2:$S$317,$A13,'Данные 1st'!$KZ$2:$KZ$317),"")</f>
        <v/>
      </c>
      <c r="GA13" s="7">
        <f>IFERROR(AVERAGEIF('Данные 1st'!$S$2:$S$317,$A13,'Данные 1st'!$LA$2:$LA$317),"")</f>
        <v/>
      </c>
      <c r="GB13" s="7">
        <f>IFERROR(AVERAGEIF('Данные 1st'!$S$2:$S$317,$A13,'Данные 1st'!$LB$2:$LB$317),"")</f>
        <v/>
      </c>
      <c r="GC13" s="7">
        <f>IFERROR(AVERAGEIF('Данные 1st'!$S$2:$S$317,$A13,'Данные 1st'!$LC$2:$LC$317),"")</f>
        <v/>
      </c>
      <c r="GD13" s="7">
        <f>IFERROR(AVERAGEIF('Данные 1st'!$S$2:$S$317,$A13,'Данные 1st'!$LD$2:$LD$317),"")</f>
        <v/>
      </c>
      <c r="GE13" s="7">
        <f>IFERROR(AVERAGEIF('Данные 1st'!$S$2:$S$317,$A13,'Данные 1st'!$LE$2:$LE$317),"")</f>
        <v/>
      </c>
      <c r="GF13" s="7">
        <f>IFERROR(AVERAGEIF('Данные 1st'!$S$2:$S$317,$A13,'Данные 1st'!$LF$2:$LF$317),"")</f>
        <v/>
      </c>
      <c r="GG13" s="7">
        <f>IFERROR(AVERAGEIF('Данные 1st'!$S$2:$S$317,$A13,'Данные 1st'!$LG$2:$LG$317),"")</f>
        <v/>
      </c>
      <c r="GH13" s="7">
        <f>IFERROR(AVERAGEIF('Данные 1st'!$S$2:$S$317,$A13,'Данные 1st'!$LH$2:$LH$317),"")</f>
        <v/>
      </c>
      <c r="GI13" s="7">
        <f>IFERROR(AVERAGEIF('Данные 1st'!$S$2:$S$317,$A13,'Данные 1st'!$LI$2:$LI$317),"")</f>
        <v/>
      </c>
      <c r="GJ13" s="7">
        <f>IFERROR(AVERAGEIF('Данные 1st'!$S$2:$S$317,$A13,'Данные 1st'!$LJ$2:$LJ$317),"")</f>
        <v/>
      </c>
      <c r="GK13" s="7">
        <f>IFERROR(AVERAGEIF('Данные 1st'!$S$2:$S$317,$A13,'Данные 1st'!$LK$2:$LK$317),"")</f>
        <v>480</v>
      </c>
      <c r="GL13" s="7">
        <f>IFERROR(AVERAGEIF('Данные 1st'!$S$2:$S$317,$A13,'Данные 1st'!$LV$2:$LV$317),"")</f>
        <v/>
      </c>
      <c r="GM13" s="7">
        <f>IFERROR(AVERAGEIF('Данные 1st'!$S$2:$S$317,$A13,'Данные 1st'!$LW$2:$LW$317),"")</f>
        <v/>
      </c>
      <c r="GN13" s="7">
        <f>IFERROR(AVERAGEIF('Данные 1st'!$S$2:$S$317,$A13,'Данные 1st'!$LX$2:$LX$317),"")</f>
        <v>520</v>
      </c>
      <c r="GO13" s="7">
        <f>IFERROR(AVERAGEIF('Данные 1st'!$S$2:$S$317,$A13,'Данные 1st'!$LY$2:$LY$317),"")</f>
        <v>2</v>
      </c>
      <c r="GP13" s="7">
        <f>IFERROR(AVERAGEIF('Данные 1st'!$S$2:$S$317,$A13,'Данные 1st'!$LZ$2:$LZ$317),"")</f>
        <v/>
      </c>
      <c r="GQ13" s="7">
        <f>IFERROR(AVERAGEIF('Данные 1st'!$S$2:$S$317,$A13,'Данные 1st'!$PG$2:$PG$317),"")</f>
        <v>1</v>
      </c>
      <c r="GR13" s="7">
        <f>IFERROR(AVERAGEIF('Данные 1st'!$S$2:$S$317,$A13,'Данные 1st'!$PX$2:$PX$317),"")</f>
        <v>56</v>
      </c>
      <c r="GS13" s="7">
        <f>IFERROR(AVERAGEIF('Данные 1st'!$S$2:$S$317,$A13,'Данные 1st'!$PY$2:$PY$317),"")</f>
        <v>56.8</v>
      </c>
      <c r="GT13" s="7">
        <f>IFERROR(AVERAGEIF('Данные 1st'!$S$2:$S$317,$A13,'Данные 1st'!$QA$2:$QA$317),"")</f>
        <v>1.6</v>
      </c>
      <c r="GU13" s="7">
        <f>IFERROR(AVERAGEIF('Данные 1st'!$S$2:$S$317,$A13,'Данные 1st'!$QB$2:$QB$317),"")</f>
        <v>1113.4</v>
      </c>
      <c r="GV13" s="7">
        <f>IFERROR(AVERAGEIF('Данные 1st'!$S$2:$S$317,$A13,'Данные 1st'!$QC$2:$QC$317),"")</f>
        <v>69</v>
      </c>
      <c r="GW13" s="7">
        <f>IFERROR(AVERAGEIF('Данные 1st'!$S$2:$S$317,$A13,'Данные 1st'!$QD$2:$QD$317),"")</f>
        <v>69</v>
      </c>
      <c r="GX13" s="7">
        <f>IFERROR(AVERAGEIF('Данные 1st'!$S$2:$S$317,$A13,'Данные 1st'!$QF$2:$QF$317),"")</f>
        <v>1</v>
      </c>
      <c r="GY13" s="7">
        <f>IFERROR(AVERAGEIF('Данные 1st'!$S$2:$S$317,$A13,'Данные 1st'!$QG$2:$QG$317),"")</f>
        <v>1136</v>
      </c>
      <c r="GZ13" s="7">
        <f>IFERROR(AVERAGEIF('Данные 1st'!$S$2:$S$317,$A13,'Данные 1st'!$QH$2:$QH$317),"")</f>
        <v>66</v>
      </c>
      <c r="HA13" s="7">
        <f>IFERROR(AVERAGEIF('Данные 1st'!$S$2:$S$317,$A13,'Данные 1st'!$QI$2:$QI$317),"")</f>
        <v>66</v>
      </c>
      <c r="HB13" s="7">
        <f>IFERROR(AVERAGEIF('Данные 1st'!$S$2:$S$317,$A13,'Данные 1st'!$QK$2:$QK$317),"")</f>
        <v/>
      </c>
      <c r="HC13" s="7">
        <f>IFERROR(AVERAGEIF('Данные 1st'!$S$2:$S$317,$A13,'Данные 1st'!$QL$2:$QL$317),"")</f>
        <v>0</v>
      </c>
      <c r="HD13" s="7">
        <f>IFERROR(AVERAGEIF('Данные 1st'!$S$2:$S$317,$A13,'Данные 1st'!$QM$2:$QM$317),"")</f>
        <v>62</v>
      </c>
      <c r="HE13" s="7">
        <f>IFERROR(AVERAGEIF('Данные 1st'!$S$2:$S$317,$A13,'Данные 1st'!$QN$2:$QN$317),"")</f>
        <v>62</v>
      </c>
      <c r="HF13" s="7">
        <f>IFERROR(AVERAGEIF('Данные 1st'!$S$2:$S$317,$A13,'Данные 1st'!$QP$2:$QP$317),"")</f>
        <v>1</v>
      </c>
      <c r="HG13" s="7">
        <f>IFERROR(AVERAGEIF('Данные 1st'!$S$2:$S$317,$A13,'Данные 1st'!$QQ$2:$QQ$317),"")</f>
        <v>1134</v>
      </c>
      <c r="HH13" s="7">
        <f>IFERROR(AVERAGEIF('Данные 1st'!$S$2:$S$317,$A13,'Данные 1st'!$QR$2:$QR$317),"")</f>
        <v/>
      </c>
      <c r="HI13" s="7">
        <f>IFERROR(AVERAGEIF('Данные 1st'!$S$2:$S$317,$A13,'Данные 1st'!$QS$2:$QS$317),"")</f>
        <v/>
      </c>
      <c r="HJ13" s="7">
        <f>IFERROR(AVERAGEIF('Данные 1st'!$S$2:$S$317,$A13,'Данные 1st'!$QU$2:$QU$317),"")</f>
        <v/>
      </c>
      <c r="HK13" s="7">
        <f>IFERROR(AVERAGEIF('Данные 1st'!$S$2:$S$317,$A13,'Данные 1st'!$QV$2:$QV$317),"")</f>
        <v/>
      </c>
      <c r="HL13" s="7">
        <f>IFERROR(AVERAGEIF('Данные 1st'!$S$2:$S$317,$A13,'Данные 1st'!$QW$2:$QW$317),"")</f>
        <v>82</v>
      </c>
      <c r="HM13" s="7">
        <f>IFERROR(AVERAGEIF('Данные 1st'!$S$2:$S$317,$A13,'Данные 1st'!$QX$2:$QX$317),"")</f>
        <v>85.6</v>
      </c>
      <c r="HN13" s="7">
        <f>IFERROR(AVERAGEIF('Данные 1st'!$S$2:$S$317,$A13,'Данные 1st'!$QZ$2:$QZ$317),"")</f>
        <v>2.2</v>
      </c>
      <c r="HO13" s="7">
        <f>IFERROR(AVERAGEIF('Данные 1st'!$S$2:$S$317,$A13,'Данные 1st'!$RA$2:$RA$317),"")</f>
        <v>66</v>
      </c>
      <c r="HP13" s="7">
        <f>IFERROR(AVERAGEIF('Данные 1st'!$S$2:$S$317,$A13,'Данные 1st'!$RB$2:$RB$317),"")</f>
        <v>66</v>
      </c>
      <c r="HQ13" s="7">
        <f>IFERROR(AVERAGEIF('Данные 1st'!$S$2:$S$317,$A13,'Данные 1st'!$RD$2:$RD$317),"")</f>
        <v/>
      </c>
      <c r="HR13" s="7">
        <f>IFERROR(AVERAGEIF('Данные 1st'!$S$2:$S$317,$A13,'Данные 1st'!$RE$2:$RE$317),"")</f>
        <v>0</v>
      </c>
      <c r="HS13" s="7">
        <f>IFERROR(AVERAGEIF('Данные 1st'!$S$2:$S$317,$A13,'Данные 1st'!$RF$2:$RF$317),"")</f>
        <v>1</v>
      </c>
      <c r="HT13" s="7">
        <f>IFERROR(AVERAGEIF('Данные 1st'!$S$2:$S$317,$A13,'Данные 1st'!$RG$2:$RG$317),"")</f>
        <v/>
      </c>
      <c r="HU13" s="7">
        <f>IFERROR(AVERAGEIF('Данные 1st'!$S$2:$S$317,$A13,'Данные 1st'!$RH$2:$RH$317),"")</f>
        <v/>
      </c>
      <c r="HV13" s="7">
        <f>IFERROR(AVERAGEIF('Данные 1st'!$S$2:$S$317,$A13,'Данные 1st'!$RI$2:$RI$317),"")</f>
        <v/>
      </c>
      <c r="HW13" s="7">
        <f>IFERROR(AVERAGEIF('Данные 1st'!$S$2:$S$317,$A13,'Данные 1st'!$RJ$2:$RJ$317),"")</f>
        <v>2</v>
      </c>
      <c r="HX13" s="7">
        <f>IFERROR(AVERAGEIF('Данные 1st'!$S$2:$S$317,$A13,'Данные 1st'!$RK$2:$RK$317),"")</f>
        <v/>
      </c>
      <c r="HY13" s="7">
        <f>IFERROR(AVERAGEIF('Данные 1st'!$S$2:$S$317,$A13,'Данные 1st'!$RL$2:$RL$317),"")</f>
        <v>2.8</v>
      </c>
      <c r="HZ13" s="7">
        <f>IFERROR(AVERAGEIF('Данные 1st'!$S$2:$S$317,$A13,'Данные 1st'!$RM$2:$RM$317),"")</f>
        <v/>
      </c>
      <c r="IA13" s="7">
        <f>IFERROR(AVERAGEIF('Данные 1st'!$S$2:$S$317,$A13,'Данные 1st'!$RN$2:$RN$317),"")</f>
        <v/>
      </c>
      <c r="IB13" s="7">
        <f>IFERROR(AVERAGEIF('Данные 1st'!$S$2:$S$317,$A13,'Данные 1st'!$RO$2:$RO$317),"")</f>
        <v>524</v>
      </c>
      <c r="IC13" s="7">
        <f>IFERROR(AVERAGEIF('Данные 1st'!$S$2:$S$317,$A13,'Данные 1st'!$RP$2:$RP$317),"")</f>
        <v/>
      </c>
      <c r="ID13" s="7">
        <f>IFERROR(AVERAGEIF('Данные 1st'!$S$2:$S$317,$A13,'Данные 1st'!$RQ$2:$RQ$317),"")</f>
        <v>882</v>
      </c>
      <c r="IE13" s="7">
        <f>IFERROR(AVERAGEIF('Данные 1st'!$S$2:$S$317,$A13,'Данные 1st'!$RR$2:$RR$317),"")</f>
        <v/>
      </c>
      <c r="IF13" s="7">
        <f>IFERROR(AVERAGEIF('Данные 1st'!$S$2:$S$317,$A13,'Данные 1st'!$RS$2:$RS$317),"")</f>
        <v/>
      </c>
      <c r="IG13" s="7">
        <f>IFERROR(AVERAGEIF('Данные 1st'!$S$2:$S$317,$A13,'Данные 1st'!$RT$2:$RT$317),"")</f>
        <v>157</v>
      </c>
      <c r="IH13" s="7">
        <f>IFERROR(AVERAGEIF('Данные 1st'!$S$2:$S$317,$A13,'Данные 1st'!$RU$2:$RU$317),"")</f>
        <v>173.8</v>
      </c>
      <c r="II13" s="7">
        <f>IFERROR(AVERAGEIF('Данные 1st'!$S$2:$S$317,$A13,'Данные 1st'!$RX$2:$RX$317),"")</f>
        <v>15</v>
      </c>
      <c r="IJ13" s="7">
        <f>IFERROR(AVERAGEIF('Данные 1st'!$S$2:$S$317,$A13,'Данные 1st'!$RY$2:$RY$317),"")</f>
        <v>4</v>
      </c>
      <c r="IK13" s="7">
        <f>IFERROR(AVERAGEIF('Данные 1st'!$S$2:$S$317,$A13,'Данные 1st'!$SA$2:$SA$317),"")</f>
        <v>15</v>
      </c>
      <c r="IL13" s="7">
        <f>IFERROR(AVERAGEIF('Данные 1st'!$S$2:$S$317,$A13,'Данные 1st'!$SD$2:$SD$317),"")</f>
        <v>1</v>
      </c>
      <c r="IM13" s="7">
        <f>IFERROR(AVERAGEIF('Данные 1st'!$S$2:$S$317,$A13,'Данные 1st'!$SG$2:$SG$317),"")</f>
        <v/>
      </c>
      <c r="IN13" s="7">
        <f>IFERROR(AVERAGEIF('Данные 1st'!$S$2:$S$317,$A13,'Данные 1st'!$SH$2:$SH$317),"")</f>
        <v>0.995</v>
      </c>
      <c r="IO13" s="7">
        <f>IFERROR(AVERAGEIF('Данные 1st'!$S$2:$S$317,$A13,'Данные 1st'!$SI$2:$SI$317),"")</f>
        <v>0.995</v>
      </c>
      <c r="IP13" s="7">
        <f>IFERROR(AVERAGEIF('Данные 1st'!$S$2:$S$317,$A13,'Данные 1st'!$SJ$2:$SJ$317),"")</f>
        <v>0.995</v>
      </c>
      <c r="IQ13" s="7">
        <f>IFERROR(AVERAGEIF('Данные 1st'!$S$2:$S$317,$A13,'Данные 1st'!$SK$2:$SK$317),"")</f>
        <v>15</v>
      </c>
      <c r="IR13" s="7">
        <f>IFERROR(AVERAGEIF('Данные 1st'!$S$2:$S$317,$A13,'Данные 1st'!$SL$2:$SL$317),"")</f>
        <v>0</v>
      </c>
      <c r="IS13" s="7">
        <f>IFERROR(AVERAGEIF('Данные 1st'!$S$2:$S$317,$A13,'Данные 1st'!$SM$2:$SM$317),"")</f>
        <v>0</v>
      </c>
      <c r="IT13" s="7">
        <f>IFERROR(AVERAGEIF('Данные 1st'!$S$2:$S$317,$A13,'Данные 1st'!$SN$2:$SN$317),"")</f>
        <v>0</v>
      </c>
      <c r="IU13" s="7">
        <f>IFERROR(AVERAGEIF('Данные 1st'!$S$2:$S$317,$A13,'Данные 1st'!$SO$2:$SO$317),"")</f>
        <v>0</v>
      </c>
      <c r="IV13" s="7">
        <f>IFERROR(AVERAGEIF('Данные 1st'!$S$2:$S$317,$A13,'Данные 1st'!$SP$2:$SP$317),"")</f>
        <v>0</v>
      </c>
      <c r="IW13" s="7">
        <f>IFERROR(AVERAGEIF('Данные 1st'!$S$2:$S$317,$A13,'Данные 1st'!$SQ$2:$SQ$317),"")</f>
        <v>0</v>
      </c>
      <c r="IX13" s="7">
        <f>IFERROR(AVERAGEIF('Данные 1st'!$S$2:$S$317,$A13,'Данные 1st'!$SR$2:$SR$317),"")</f>
        <v>0</v>
      </c>
      <c r="IY13" s="7">
        <f>IFERROR(AVERAGEIF('Данные 1st'!$S$2:$S$317,$A13,'Данные 1st'!$SS$2:$SS$317),"")</f>
        <v>0</v>
      </c>
      <c r="IZ13" s="7">
        <f>IFERROR(AVERAGEIF('Данные 1st'!$S$2:$S$317,$A13,'Данные 1st'!$ST$2:$ST$317),"")</f>
        <v>0</v>
      </c>
      <c r="JA13" s="7">
        <f>IFERROR(AVERAGEIF('Данные 1st'!$S$2:$S$317,$A13,'Данные 1st'!$SU$2:$SU$317),"")</f>
        <v>0</v>
      </c>
      <c r="JB13" s="7">
        <f>IFERROR(AVERAGEIF('Данные 1st'!$S$2:$S$317,$A13,'Данные 1st'!$SV$2:$SV$317),"")</f>
        <v>0</v>
      </c>
      <c r="JC13" s="7">
        <f>IFERROR(AVERAGEIF('Данные 1st'!$S$2:$S$317,$A13,'Данные 1st'!$SW$2:$SW$317),"")</f>
        <v>0</v>
      </c>
      <c r="JD13" s="7">
        <f>IFERROR(AVERAGEIF('Данные 1st'!$S$2:$S$317,$A13,'Данные 1st'!$SX$2:$SX$317),"")</f>
        <v>0</v>
      </c>
      <c r="JE13" s="7">
        <f>IFERROR(AVERAGEIF('Данные 1st'!$S$2:$S$317,$A13,'Данные 1st'!$SY$2:$SY$317),"")</f>
        <v/>
      </c>
      <c r="JF13" s="7">
        <f>IFERROR(AVERAGEIF('Данные 1st'!$S$2:$S$317,$A13,'Данные 1st'!$SZ$2:$SZ$317),"")</f>
        <v/>
      </c>
      <c r="JG13" s="7">
        <f>IFERROR(AVERAGEIF('Данные 1st'!$S$2:$S$317,$A13,'Данные 1st'!$TA$2:$TA$317),"")</f>
        <v/>
      </c>
      <c r="JH13" s="7">
        <f>IFERROR(AVERAGEIF('Данные 1st'!$S$2:$S$317,$A13,'Данные 1st'!$TB$2:$TB$317),"")</f>
        <v>0</v>
      </c>
      <c r="JI13" s="7">
        <f>IFERROR(AVERAGEIF('Данные 1st'!$S$2:$S$317,$A13,'Данные 1st'!$TC$2:$TC$317),"")</f>
        <v>0</v>
      </c>
      <c r="JJ13" s="7">
        <f>IFERROR(AVERAGEIF('Данные 1st'!$S$2:$S$317,$A13,'Данные 1st'!$TD$2:$TD$317),"")</f>
        <v>7.5</v>
      </c>
      <c r="JK13" s="7">
        <f>IFERROR(AVERAGEIF('Данные 1st'!$S$2:$S$317,$A13,'Данные 1st'!$TN$2:$TN$317),"")</f>
        <v>0</v>
      </c>
      <c r="JL13">
        <f>COUNTIF('Данные 2st'!$Q$2:$Q$317,$A13)</f>
        <v>5</v>
      </c>
      <c r="JM13" s="6" t="s">
        <v>5082</v>
      </c>
      <c r="JN13" s="6" t="s">
        <v>513</v>
      </c>
      <c r="JO13" s="6" t="s">
        <v>5125</v>
      </c>
      <c r="JP13" s="6" t="s">
        <v>5471</v>
      </c>
      <c r="JQ13" s="7">
        <f>IFERROR(AVERAGEIF('Данные 2st'!$Q$2:$Q$317,$A13,'Данные 2st'!$AC$2:$AC$317),"")</f>
        <v>11.4</v>
      </c>
      <c r="JR13" s="7">
        <f>IFERROR(AVERAGEIF('Данные 2st'!$Q$2:$Q$317,$A13,'Данные 2st'!$AF$2:$AF$317),"")</f>
        <v>3536.4</v>
      </c>
      <c r="JS13" s="7">
        <f>IFERROR(AVERAGEIF('Данные 2st'!$Q$2:$Q$317,$A13,'Данные 2st'!$AW$2:$AW$317),"")</f>
        <v>6.4</v>
      </c>
      <c r="JT13" s="7">
        <f>IFERROR(AVERAGEIF('Данные 2st'!$Q$2:$Q$317,$A13,'Данные 2st'!$AX$2:$AX$317),"")</f>
        <v>-6</v>
      </c>
      <c r="JU13" s="7">
        <f>IFERROR(AVERAGEIF('Данные 2st'!$Q$2:$Q$317,$A13,'Данные 2st'!$AY$2:$AY$317),"")</f>
        <v>83.2</v>
      </c>
      <c r="JV13" s="7">
        <f>IFERROR(AVERAGEIF('Данные 2st'!$Q$2:$Q$317,$A13,'Данные 2st'!$AZ$2:$AZ$317),"")</f>
        <v>71.1</v>
      </c>
      <c r="JW13" s="7">
        <f>IFERROR(AVERAGEIF('Данные 2st'!$Q$2:$Q$317,$A13,'Данные 2st'!$BA$2:$BA$317),"")</f>
        <v/>
      </c>
      <c r="JX13" s="7">
        <f>IFERROR(AVERAGEIF('Данные 2st'!$Q$2:$Q$317,$A13,'Данные 2st'!$BB$2:$BB$317),"")</f>
        <v/>
      </c>
      <c r="JY13" s="7">
        <f>IFERROR(AVERAGEIF('Данные 2st'!$Q$2:$Q$317,$A13,'Данные 2st'!$BC$2:$BC$317),"")</f>
        <v/>
      </c>
      <c r="JZ13" s="7">
        <f>IFERROR(AVERAGEIF('Данные 2st'!$Q$2:$Q$317,$A13,'Данные 2st'!$BH$2:$BH$317),"")</f>
        <v>83.2</v>
      </c>
      <c r="KA13" s="7">
        <f>IFERROR(AVERAGEIF('Данные 2st'!$Q$2:$Q$317,$A13,'Данные 2st'!$BI$2:$BI$317),"")</f>
        <v>12.1</v>
      </c>
      <c r="KB13" s="7">
        <f>IFERROR(AVERAGEIF('Данные 2st'!$Q$2:$Q$317,$A13,'Данные 2st'!$BJ$2:$BJ$317),"")</f>
        <v>71.1</v>
      </c>
      <c r="KC13" s="7">
        <f>IFERROR(AVERAGEIF('Данные 2st'!$Q$2:$Q$317,$A13,'Данные 2st'!$BK$2:$BK$317),"")</f>
        <v>3.2</v>
      </c>
      <c r="KD13" s="7">
        <f>IFERROR(AVERAGEIF('Данные 2st'!$Q$2:$Q$317,$A13,'Данные 2st'!$BL$2:$BL$317),"")</f>
        <v>166.4</v>
      </c>
      <c r="KE13" s="7">
        <f>IFERROR(AVERAGEIF('Данные 2st'!$Q$2:$Q$317,$A13,'Данные 2st'!$BM$2:$BM$317),"")</f>
        <v>-6</v>
      </c>
      <c r="KF13" s="7">
        <f>IFERROR(AVERAGEIF('Данные 2st'!$Q$2:$Q$317,$A13,'Данные 2st'!$BN$2:$BN$317),"")</f>
        <v>0</v>
      </c>
      <c r="KG13" s="7">
        <f>IFERROR(AVERAGEIF('Данные 2st'!$Q$2:$Q$317,$A13,'Данные 2st'!$BO$2:$BO$317),"")</f>
        <v>0</v>
      </c>
      <c r="KH13" s="7">
        <f>IFERROR(AVERAGEIF('Данные 2st'!$Q$2:$Q$317,$A13,'Данные 2st'!$BP$2:$BP$317),"")</f>
        <v>0</v>
      </c>
      <c r="KI13" s="7">
        <f>IFERROR(AVERAGEIF('Данные 2st'!$Q$2:$Q$317,$A13,'Данные 2st'!$BR$2:$BR$317),"")</f>
        <v>160</v>
      </c>
      <c r="KJ13" s="7">
        <f>IFERROR(AVERAGEIF('Данные 2st'!$Q$2:$Q$317,$A13,'Данные 2st'!$BS$2:$BS$317),"")</f>
        <v>150</v>
      </c>
      <c r="KK13" s="7">
        <f>IFERROR(AVERAGEIF('Данные 2st'!$Q$2:$Q$317,$A13,'Данные 2st'!$BT$2:$BT$317),"")</f>
        <v>1858</v>
      </c>
      <c r="KL13" s="7">
        <f>IFERROR(AVERAGEIF('Данные 2st'!$Q$2:$Q$317,$A13,'Данные 2st'!$CV$2:$CV$317),"")</f>
        <v>105.8</v>
      </c>
      <c r="KM13" s="7">
        <f>IFERROR(AVERAGEIF('Данные 2st'!$Q$2:$Q$317,$A13,'Данные 2st'!$CW$2:$CW$317),"")</f>
        <v>3</v>
      </c>
      <c r="KN13" s="7">
        <f>IFERROR(AVERAGEIF('Данные 2st'!$Q$2:$Q$317,$A13,'Данные 2st'!$CX$2:$CX$317),"")</f>
        <v>65.2</v>
      </c>
      <c r="KO13" s="7">
        <f>IFERROR(AVERAGEIF('Данные 2st'!$Q$2:$Q$317,$A13,'Данные 2st'!$CY$2:$CY$317),"")</f>
        <v>5</v>
      </c>
      <c r="KP13" s="7">
        <f>IFERROR(AVERAGEIF('Данные 2st'!$Q$2:$Q$317,$A13,'Данные 2st'!$CZ$2:$CZ$317),"")</f>
        <v>81.2</v>
      </c>
      <c r="KQ13" s="7">
        <f>IFERROR(AVERAGEIF('Данные 2st'!$Q$2:$Q$317,$A13,'Данные 2st'!$DA$2:$DA$317),"")</f>
        <v>5</v>
      </c>
      <c r="KR13" s="7">
        <f>IFERROR(AVERAGEIF('Данные 2st'!$Q$2:$Q$317,$A13,'Данные 2st'!$DB$2:$DB$317),"")</f>
        <v>8112</v>
      </c>
      <c r="KS13" s="7">
        <f>IFERROR(AVERAGEIF('Данные 2st'!$Q$2:$Q$317,$A13,'Данные 2st'!$DC$2:$DC$317),"")</f>
        <v>238</v>
      </c>
      <c r="KT13" s="7">
        <f>IFERROR(AVERAGEIF('Данные 2st'!$Q$2:$Q$317,$A13,'Данные 2st'!$DD$2:$DD$317),"")</f>
        <v>289.6</v>
      </c>
      <c r="KU13" s="7">
        <f>IFERROR(AVERAGEIF('Данные 2st'!$Q$2:$Q$317,$A13,'Данные 2st'!$DE$2:$DE$317),"")</f>
        <v>1958</v>
      </c>
      <c r="KV13" s="7">
        <f>IFERROR(AVERAGEIF('Данные 2st'!$Q$2:$Q$317,$A13,'Данные 2st'!$DF$2:$DF$317),"")</f>
        <v>1953</v>
      </c>
      <c r="KW13" s="7">
        <f>IFERROR(AVERAGEIF('Данные 2st'!$Q$2:$Q$317,$A13,'Данные 2st'!$DG$2:$DG$317),"")</f>
        <v>1970.6</v>
      </c>
      <c r="KX13" s="7">
        <f>IFERROR(AVERAGEIF('Данные 2st'!$Q$2:$Q$317,$A13,'Данные 2st'!$DH$2:$DH$317),"")</f>
        <v/>
      </c>
      <c r="KY13" s="7">
        <f>IFERROR(AVERAGEIF('Данные 2st'!$Q$2:$Q$317,$A13,'Данные 2st'!$DI$2:$DI$317),"")</f>
        <v/>
      </c>
      <c r="KZ13" s="7">
        <f>IFERROR(AVERAGEIF('Данные 2st'!$Q$2:$Q$317,$A13,'Данные 2st'!$DK$2:$DK$317),"")</f>
        <v>160</v>
      </c>
      <c r="LA13" s="7">
        <f>IFERROR(AVERAGEIF('Данные 2st'!$Q$2:$Q$317,$A13,'Данные 2st'!$DM$2:$DM$317),"")</f>
        <v>64.2</v>
      </c>
      <c r="LB13" s="7">
        <f>IFERROR(AVERAGEIF('Данные 2st'!$Q$2:$Q$317,$A13,'Данные 2st'!$DN$2:$DN$317),"")</f>
        <v>0.84</v>
      </c>
      <c r="LC13" s="7">
        <f>IFERROR(AVERAGEIF('Данные 2st'!$Q$2:$Q$317,$A13,'Данные 2st'!$DO$2:$DO$317),"")</f>
        <v>1</v>
      </c>
      <c r="LD13" s="7">
        <f>IFERROR(AVERAGEIF('Данные 2st'!$Q$2:$Q$317,$A13,'Данные 2st'!$DP$2:$DP$317),"")</f>
        <v>1861</v>
      </c>
      <c r="LE13" s="7">
        <f>IFERROR(AVERAGEIF('Данные 2st'!$Q$2:$Q$317,$A13,'Данные 2st'!$DQ$2:$DQ$317),"")</f>
        <v>543.6</v>
      </c>
      <c r="LF13" s="7">
        <f>IFERROR(AVERAGEIF('Данные 2st'!$Q$2:$Q$317,$A13,'Данные 2st'!$DS$2:$DS$317),"")</f>
        <v>150</v>
      </c>
      <c r="LG13" s="7">
        <f>IFERROR(AVERAGEIF('Данные 2st'!$Q$2:$Q$317,$A13,'Данные 2st'!$DU$2:$DU$317),"")</f>
        <v>64.2</v>
      </c>
      <c r="LH13" s="7">
        <f>IFERROR(AVERAGEIF('Данные 2st'!$Q$2:$Q$317,$A13,'Данные 2st'!$DV$2:$DV$317),"")</f>
        <v>0.84</v>
      </c>
      <c r="LI13" s="7">
        <f>IFERROR(AVERAGEIF('Данные 2st'!$Q$2:$Q$317,$A13,'Данные 2st'!$DW$2:$DW$317),"")</f>
        <v>1</v>
      </c>
      <c r="LJ13" s="7">
        <f>IFERROR(AVERAGEIF('Данные 2st'!$Q$2:$Q$317,$A13,'Данные 2st'!$DX$2:$DX$317),"")</f>
        <v>1868</v>
      </c>
      <c r="LK13" s="7">
        <f>IFERROR(AVERAGEIF('Данные 2st'!$Q$2:$Q$317,$A13,'Данные 2st'!$DY$2:$DY$317),"")</f>
        <v>512</v>
      </c>
      <c r="LL13" s="7">
        <f>IFERROR(AVERAGEIF('Данные 2st'!$Q$2:$Q$317,$A13,'Данные 2st'!$EA$2:$EA$317),"")</f>
        <v>33</v>
      </c>
      <c r="LM13" s="7">
        <f>IFERROR(AVERAGEIF('Данные 2st'!$Q$2:$Q$317,$A13,'Данные 2st'!$EC$2:$EC$317),"")</f>
        <v>0.4</v>
      </c>
      <c r="LN13" s="7">
        <f>IFERROR(AVERAGEIF('Данные 2st'!$Q$2:$Q$317,$A13,'Данные 2st'!$ED$2:$ED$317),"")</f>
        <v>1861</v>
      </c>
      <c r="LO13" s="7">
        <f>IFERROR(AVERAGEIF('Данные 2st'!$Q$2:$Q$317,$A13,'Данные 2st'!$EE$2:$EE$317),"")</f>
        <v>54</v>
      </c>
      <c r="LP13" s="7">
        <f>IFERROR(AVERAGEIF('Данные 2st'!$Q$2:$Q$317,$A13,'Данные 2st'!$EG$2:$EG$317),"")</f>
        <v>33</v>
      </c>
      <c r="LQ13" s="7">
        <f>IFERROR(AVERAGEIF('Данные 2st'!$Q$2:$Q$317,$A13,'Данные 2st'!$EI$2:$EI$317),"")</f>
        <v>0.4</v>
      </c>
      <c r="LR13" s="7">
        <f>IFERROR(AVERAGEIF('Данные 2st'!$Q$2:$Q$317,$A13,'Данные 2st'!$EJ$2:$EJ$317),"")</f>
        <v>1868</v>
      </c>
      <c r="LS13" s="7">
        <f>IFERROR(AVERAGEIF('Данные 2st'!$Q$2:$Q$317,$A13,'Данные 2st'!$EK$2:$EK$317),"")</f>
        <v>54.4</v>
      </c>
      <c r="LT13" s="7">
        <f>IFERROR(AVERAGEIF('Данные 2st'!$Q$2:$Q$317,$A13,'Данные 2st'!$EM$2:$EM$317),"")</f>
        <v>12</v>
      </c>
      <c r="LU13" s="7">
        <f>IFERROR(AVERAGEIF('Данные 2st'!$Q$2:$Q$317,$A13,'Данные 2st'!$EN$2:$EN$317),"")</f>
        <v>0.5</v>
      </c>
      <c r="LV13" s="7">
        <f>IFERROR(AVERAGEIF('Данные 2st'!$Q$2:$Q$317,$A13,'Данные 2st'!$EO$2:$EO$317),"")</f>
        <v>0.846</v>
      </c>
      <c r="LW13" s="7">
        <f>IFERROR(AVERAGEIF('Данные 2st'!$Q$2:$Q$317,$A13,'Данные 2st'!$EP$2:$EP$317),"")</f>
        <v>1868.56</v>
      </c>
      <c r="LX13" s="7">
        <f>IFERROR(AVERAGEIF('Данные 2st'!$Q$2:$Q$317,$A13,'Данные 2st'!$EQ$2:$EQ$317),"")</f>
        <v>26038.43</v>
      </c>
      <c r="LY13" s="7">
        <f>IFERROR(AVERAGEIF('Данные 2st'!$Q$2:$Q$317,$A13,'Данные 2st'!$ER$2:$ER$317),"")</f>
        <v>3537.908</v>
      </c>
      <c r="LZ13" s="7">
        <f>IFERROR(AVERAGEIF('Данные 2st'!$Q$2:$Q$317,$A13,'Данные 2st'!$ES$2:$ES$317),"")</f>
        <v>0</v>
      </c>
      <c r="MA13" s="7">
        <f>IFERROR(AVERAGEIF('Данные 2st'!$Q$2:$Q$317,$A13,'Данные 2st'!$ET$2:$ET$317),"")</f>
        <v>0</v>
      </c>
      <c r="MB13" s="7">
        <f>IFERROR(AVERAGEIF('Данные 2st'!$Q$2:$Q$317,$A13,'Данные 2st'!$EU$2:$EU$317),"")</f>
        <v>1</v>
      </c>
      <c r="MC13" s="7">
        <f>IFERROR(AVERAGEIF('Данные 2st'!$Q$2:$Q$317,$A13,'Данные 2st'!$EV$2:$EV$317),"")</f>
        <v>29576.8</v>
      </c>
      <c r="MD13" s="7">
        <f>IFERROR(AVERAGEIF('Данные 2st'!$Q$2:$Q$317,$A13,'Данные 2st'!$EW$2:$EW$317),"")</f>
        <v>319</v>
      </c>
      <c r="ME13" s="7">
        <f>IFERROR(AVERAGEIF('Данные 2st'!$Q$2:$Q$317,$A13,'Данные 2st'!$EY$2:$EY$317),"")</f>
        <v>176.8</v>
      </c>
      <c r="MF13" s="7">
        <f>IFERROR(AVERAGEIF('Данные 2st'!$Q$2:$Q$317,$A13,'Данные 2st'!$FA$2:$FA$317),"")</f>
        <v>4.78</v>
      </c>
      <c r="MG13" s="7">
        <f>IFERROR(AVERAGEIF('Данные 2st'!$Q$2:$Q$317,$A13,'Данные 2st'!$FB$2:$FB$317),"")</f>
        <v>1</v>
      </c>
      <c r="MH13" s="7">
        <f>IFERROR(AVERAGEIF('Данные 2st'!$Q$2:$Q$317,$A13,'Данные 2st'!$FC$2:$FC$317),"")</f>
        <v>1</v>
      </c>
      <c r="MI13" s="7">
        <f>IFERROR(AVERAGEIF('Данные 2st'!$Q$2:$Q$317,$A13,'Данные 2st'!$FD$2:$FD$317),"")</f>
        <v>1897.4</v>
      </c>
      <c r="MJ13" s="7">
        <f>IFERROR(AVERAGEIF('Данные 2st'!$Q$2:$Q$317,$A13,'Данные 2st'!$FE$2:$FE$317),"")</f>
        <v>1966</v>
      </c>
      <c r="MK13" s="7">
        <f>IFERROR(AVERAGEIF('Данные 2st'!$Q$2:$Q$317,$A13,'Данные 2st'!$FG$2:$FG$317),"")</f>
        <v>177.6</v>
      </c>
      <c r="ML13" s="7">
        <f>IFERROR(AVERAGEIF('Данные 2st'!$Q$2:$Q$317,$A13,'Данные 2st'!$FI$2:$FI$317),"")</f>
        <v>2.1799999999999997</v>
      </c>
      <c r="MM13" s="7">
        <f>IFERROR(AVERAGEIF('Данные 2st'!$Q$2:$Q$317,$A13,'Данные 2st'!$FJ$2:$FJ$317),"")</f>
        <v>1897.4</v>
      </c>
      <c r="MN13" s="7">
        <f>IFERROR(AVERAGEIF('Данные 2st'!$Q$2:$Q$317,$A13,'Данные 2st'!$FK$2:$FK$317),"")</f>
        <v>832</v>
      </c>
      <c r="MO13" s="7">
        <f>IFERROR(AVERAGEIF('Данные 2st'!$Q$2:$Q$317,$A13,'Данные 2st'!$FP$2:$FP$317),"")</f>
        <v>1897.4</v>
      </c>
      <c r="MP13" s="7">
        <f>IFERROR(AVERAGEIF('Данные 2st'!$Q$2:$Q$317,$A13,'Данные 2st'!$FQ$2:$FQ$317),"")</f>
        <v>125.2</v>
      </c>
      <c r="MQ13" s="7">
        <f>IFERROR(AVERAGEIF('Данные 2st'!$Q$2:$Q$317,$A13,'Данные 2st'!$FS$2:$FS$317),"")</f>
        <v>181.6</v>
      </c>
      <c r="MR13" s="7">
        <f>IFERROR(AVERAGEIF('Данные 2st'!$Q$2:$Q$317,$A13,'Данные 2st'!$FU$2:$FU$317),"")</f>
        <v>0.4</v>
      </c>
      <c r="MS13" s="7">
        <f>IFERROR(AVERAGEIF('Данные 2st'!$Q$2:$Q$317,$A13,'Данные 2st'!$FV$2:$FV$317),"")</f>
        <v>1897.4</v>
      </c>
      <c r="MT13" s="7">
        <f>IFERROR(AVERAGEIF('Данные 2st'!$Q$2:$Q$317,$A13,'Данные 2st'!$FW$2:$FW$317),"")</f>
        <v>153.4</v>
      </c>
      <c r="MU13" s="7">
        <f>IFERROR(AVERAGEIF('Данные 2st'!$Q$2:$Q$317,$A13,'Данные 2st'!$FY$2:$FY$317),"")</f>
        <v>8.75</v>
      </c>
      <c r="MV13" s="7">
        <f>IFERROR(AVERAGEIF('Данные 2st'!$Q$2:$Q$317,$A13,'Данные 2st'!$GB$2:$GB$317),"")</f>
        <v>1897.5</v>
      </c>
      <c r="MW13" s="7">
        <f>IFERROR(AVERAGEIF('Данные 2st'!$Q$2:$Q$317,$A13,'Данные 2st'!$GC$2:$GC$317),"")</f>
        <v>16.5</v>
      </c>
      <c r="MX13" s="7">
        <f>IFERROR(AVERAGEIF('Данные 2st'!$Q$2:$Q$317,$A13,'Данные 2st'!$GD$2:$GD$317),"")</f>
        <v>3089.8</v>
      </c>
      <c r="MY13" s="7">
        <f>IFERROR(AVERAGEIF('Данные 2st'!$Q$2:$Q$317,$A13,'Данные 2st'!$GN$2:$GN$317),"")</f>
        <v/>
      </c>
      <c r="MZ13" s="7">
        <f>IFERROR(AVERAGEIF('Данные 2st'!$Q$2:$Q$317,$A13,'Данные 2st'!$GQ$2:$GQ$317),"")</f>
        <v>0</v>
      </c>
      <c r="NA13" s="7">
        <f>IFERROR(AVERAGEIF('Данные 2st'!$Q$2:$Q$317,$A13,'Данные 2st'!$GV$2:$GV$317),"")</f>
        <v>7.36</v>
      </c>
      <c r="NB13" s="7">
        <f>IFERROR(AVERAGEIF('Данные 2st'!$Q$2:$Q$317,$A13,'Данные 2st'!$GW$2:$GW$317),"")</f>
        <v>9.16</v>
      </c>
      <c r="NC13" s="7">
        <f>IFERROR(AVERAGEIF('Данные 2st'!$Q$2:$Q$317,$A13,'Данные 2st'!$GX$2:$GX$317),"")</f>
        <v>0.5</v>
      </c>
      <c r="ND13" s="7">
        <f>IFERROR(AVERAGEIF('Данные 2st'!$Q$2:$Q$317,$A13,'Данные 2st'!$GY$2:$GY$317),"")</f>
        <v>143.6</v>
      </c>
      <c r="NE13" s="7">
        <f>IFERROR(AVERAGEIF('Данные 2st'!$Q$2:$Q$317,$A13,'Данные 2st'!$GZ$2:$GZ$317),"")</f>
        <v>3</v>
      </c>
      <c r="NF13" s="7">
        <f>IFERROR(AVERAGEIF('Данные 2st'!$Q$2:$Q$317,$A13,'Данные 2st'!$HA$2:$HA$317),"")</f>
        <v>197.2</v>
      </c>
      <c r="NG13" s="7">
        <f>IFERROR(AVERAGEIF('Данные 2st'!$Q$2:$Q$317,$A13,'Данные 2st'!$HB$2:$HB$317),"")</f>
        <v>3</v>
      </c>
      <c r="NH13" s="7">
        <f>IFERROR(AVERAGEIF('Данные 2st'!$Q$2:$Q$317,$A13,'Данные 2st'!$HC$2:$HC$317),"")</f>
        <v>1897.4</v>
      </c>
      <c r="NI13" s="7">
        <f>IFERROR(AVERAGEIF('Данные 2st'!$Q$2:$Q$317,$A13,'Данные 2st'!$HD$2:$HD$317),"")</f>
        <v>4</v>
      </c>
      <c r="NJ13" s="7">
        <f>IFERROR(AVERAGEIF('Данные 2st'!$Q$2:$Q$317,$A13,'Данные 2st'!$HM$2:$HM$317),"")</f>
        <v>15</v>
      </c>
      <c r="NK13" s="7">
        <f>IFERROR(AVERAGEIF('Данные 2st'!$Q$2:$Q$317,$A13,'Данные 2st'!$HR$2:$HR$317),"")</f>
        <v>1.8</v>
      </c>
      <c r="NL13" s="7">
        <f>IFERROR(AVERAGEIF('Данные 2st'!$Q$2:$Q$317,$A13,'Данные 2st'!$HS$2:$HS$317),"")</f>
        <v>1858</v>
      </c>
      <c r="NM13" s="7">
        <f>IFERROR(AVERAGEIF('Данные 2st'!$Q$2:$Q$317,$A13,'Данные 2st'!$HT$2:$HT$317),"")</f>
        <v>5</v>
      </c>
      <c r="NN13" s="7">
        <f>IFERROR(AVERAGEIF('Данные 2st'!$Q$2:$Q$317,$A13,'Данные 2st'!$HY$2:$HY$317),"")</f>
        <v>0</v>
      </c>
      <c r="NO13" s="7">
        <f>IFERROR(AVERAGEIF('Данные 2st'!$Q$2:$Q$317,$A13,'Данные 2st'!$HZ$2:$HZ$317),"")</f>
        <v>64.2</v>
      </c>
      <c r="NP13" s="7">
        <f>IFERROR(AVERAGEIF('Данные 2st'!$Q$2:$Q$317,$A13,'Данные 2st'!$IA$2:$IA$317),"")</f>
        <v>1861</v>
      </c>
      <c r="NQ13" s="7">
        <f>IFERROR(AVERAGEIF('Данные 2st'!$Q$2:$Q$317,$A13,'Данные 2st'!$IB$2:$IB$317),"")</f>
        <v>1868</v>
      </c>
      <c r="NR13" s="7">
        <f>IFERROR(AVERAGEIF('Данные 2st'!$Q$2:$Q$317,$A13,'Данные 2st'!$IC$2:$IC$317),"")</f>
        <v/>
      </c>
      <c r="NS13" s="7">
        <f>IFERROR(AVERAGEIF('Данные 2st'!$Q$2:$Q$317,$A13,'Данные 2st'!$ID$2:$ID$317),"")</f>
        <v>1897.4</v>
      </c>
      <c r="NT13" s="7">
        <f>IFERROR(AVERAGEIF('Данные 2st'!$Q$2:$Q$317,$A13,'Данные 2st'!$IE$2:$IE$317),"")</f>
        <v>1897.4</v>
      </c>
      <c r="NU13" s="7">
        <f>IFERROR(AVERAGEIF('Данные 2st'!$Q$2:$Q$317,$A13,'Данные 2st'!$IF$2:$IF$317),"")</f>
        <v>160</v>
      </c>
      <c r="NV13" s="7">
        <f>IFERROR(AVERAGEIF('Данные 2st'!$Q$2:$Q$317,$A13,'Данные 2st'!$IG$2:$IG$317),"")</f>
        <v>150</v>
      </c>
      <c r="NW13" s="7">
        <f>IFERROR(AVERAGEIF('Данные 2st'!$Q$2:$Q$317,$A13,'Данные 2st'!$IH$2:$IH$317),"")</f>
        <v>197.2</v>
      </c>
      <c r="NX13" s="7">
        <f>IFERROR(AVERAGEIF('Данные 2st'!$Q$2:$Q$317,$A13,'Данные 2st'!$IJ$2:$IJ$317),"")</f>
        <v>5</v>
      </c>
      <c r="NY13" s="7">
        <f>IFERROR(AVERAGEIF('Данные 2st'!$Q$2:$Q$317,$A13,'Данные 2st'!$IM$2:$IM$317),"")</f>
        <v>0</v>
      </c>
      <c r="NZ13" s="7">
        <f>IFERROR(AVERAGEIF('Данные 2st'!$Q$2:$Q$317,$A13,'Данные 2st'!$IN$2:$IN$317),"")</f>
        <v>270</v>
      </c>
      <c r="OA13" s="7">
        <f>IFERROR(AVERAGEIF('Данные 2st'!$Q$2:$Q$317,$A13,'Данные 2st'!$IO$2:$IO$317),"")</f>
        <v>0</v>
      </c>
      <c r="OB13" s="7">
        <f>IFERROR(AVERAGEIF('Данные 2st'!$Q$2:$Q$317,$A13,'Данные 2st'!$IP$2:$IP$317),"")</f>
        <v>180</v>
      </c>
      <c r="OC13" s="7">
        <f>IFERROR(AVERAGEIF('Данные 2st'!$Q$2:$Q$317,$A13,'Данные 2st'!$IQ$2:$IQ$317),"")</f>
        <v>0</v>
      </c>
      <c r="OD13" s="7">
        <f>IFERROR(AVERAGEIF('Данные 2st'!$Q$2:$Q$317,$A13,'Данные 2st'!$IR$2:$IR$317),"")</f>
        <v>318</v>
      </c>
      <c r="OE13" s="7">
        <f>IFERROR(AVERAGEIF('Данные 2st'!$Q$2:$Q$317,$A13,'Данные 2st'!$IT$2:$IT$317),"")</f>
        <v>90</v>
      </c>
      <c r="OF13" s="7">
        <f>IFERROR(AVERAGEIF('Данные 2st'!$Q$2:$Q$317,$A13,'Данные 2st'!$IU$2:$IU$317),"")</f>
        <v>0</v>
      </c>
      <c r="OG13" s="7">
        <f>IFERROR(AVERAGEIF('Данные 2st'!$Q$2:$Q$317,$A13,'Данные 2st'!$IV$2:$IV$317),"")</f>
        <v>6.4</v>
      </c>
      <c r="OH13" s="7">
        <f>IFERROR(AVERAGEIF('Данные 2st'!$Q$2:$Q$317,$A13,'Данные 2st'!$IW$2:$IW$317),"")</f>
        <v>-6</v>
      </c>
      <c r="OI13" s="7">
        <f>IFERROR(AVERAGEIF('Данные 2st'!$Q$2:$Q$317,$A13,'Данные 2st'!$IX$2:$IX$317),"")</f>
        <v>83.2</v>
      </c>
      <c r="OJ13" s="7">
        <f>IFERROR(AVERAGEIF('Данные 2st'!$Q$2:$Q$317,$A13,'Данные 2st'!$IY$2:$IY$317),"")</f>
        <v>71.1</v>
      </c>
      <c r="OK13" s="7">
        <f>IFERROR(AVERAGEIF('Данные 2st'!$Q$2:$Q$317,$A13,'Данные 2st'!$IZ$2:$IZ$317),"")</f>
        <v>0</v>
      </c>
      <c r="OL13" s="7">
        <f>IFERROR(AVERAGEIF('Данные 2st'!$Q$2:$Q$317,$A13,'Данные 2st'!$JA$2:$JA$317),"")</f>
        <v>0</v>
      </c>
      <c r="OM13" s="7">
        <f>IFERROR(AVERAGEIF('Данные 2st'!$Q$2:$Q$317,$A13,'Данные 2st'!$JB$2:$JB$317),"")</f>
        <v>0</v>
      </c>
      <c r="ON13" s="7">
        <f>IFERROR(AVERAGEIF('Данные 2st'!$Q$2:$Q$317,$A13,'Данные 2st'!$JC$2:$JC$317),"")</f>
        <v>0</v>
      </c>
      <c r="OO13" s="7">
        <f>IFERROR(AVERAGEIF('Данные 2st'!$Q$2:$Q$317,$A13,'Данные 2st'!$JD$2:$JD$317),"")</f>
        <v>0</v>
      </c>
      <c r="OP13" s="7">
        <f>IFERROR(AVERAGEIF('Данные 2st'!$Q$2:$Q$317,$A13,'Данные 2st'!$JE$2:$JE$317),"")</f>
        <v>0</v>
      </c>
      <c r="OQ13" s="7">
        <f>IFERROR(AVERAGEIF('Данные 2st'!$Q$2:$Q$317,$A13,'Данные 2st'!$JF$2:$JF$317),"")</f>
        <v>0</v>
      </c>
      <c r="OR13" s="7">
        <f>IFERROR(AVERAGEIF('Данные 2st'!$Q$2:$Q$317,$A13,'Данные 2st'!$JG$2:$JG$317),"")</f>
        <v>0</v>
      </c>
      <c r="OS13" s="7">
        <f>IFERROR(AVERAGEIF('Данные 2st'!$Q$2:$Q$317,$A13,'Данные 2st'!$JH$2:$JH$317),"")</f>
        <v>0</v>
      </c>
      <c r="OT13" s="7">
        <f>IFERROR(AVERAGEIF('Данные 2st'!$Q$2:$Q$317,$A13,'Данные 2st'!$JI$2:$JI$317),"")</f>
        <v>357.2</v>
      </c>
      <c r="OU13" s="7">
        <f>IFERROR(AVERAGEIF('Данные 2st'!$Q$2:$Q$317,$A13,'Данные 2st'!$JJ$2:$JJ$317),"")</f>
        <v>327.6</v>
      </c>
      <c r="OV13" s="7">
        <f>IFERROR(AVERAGEIF('Данные 2st'!$Q$2:$Q$317,$A13,'Данные 2st'!$JK$2:$JK$317),"")</f>
        <v>241</v>
      </c>
      <c r="OW13" s="7">
        <f>IFERROR(AVERAGEIF('Данные 2st'!$Q$2:$Q$317,$A13,'Данные 2st'!$JL$2:$JL$317),"")</f>
        <v>325.2</v>
      </c>
      <c r="OX13" s="7">
        <f>IFERROR(AVERAGEIF('Данные 2st'!$Q$2:$Q$317,$A13,'Данные 2st'!$JM$2:$JM$317),"")</f>
        <v>243</v>
      </c>
      <c r="OY13" s="7">
        <f>IFERROR(AVERAGEIF('Данные 2st'!$Q$2:$Q$317,$A13,'Данные 2st'!$JP$2:$JP$317),"")</f>
        <v>215</v>
      </c>
      <c r="OZ13" s="7">
        <f>IFERROR(AVERAGEIF('Данные 2st'!$Q$2:$Q$317,$A13,'Данные 2st'!$JQ$2:$JQ$317),"")</f>
        <v>265.2</v>
      </c>
      <c r="PA13" s="7">
        <f>IFERROR(AVERAGEIF('Данные 2st'!$Q$2:$Q$317,$A13,'Данные 2st'!$JR$2:$JR$317),"")</f>
        <v>354</v>
      </c>
      <c r="PB13" s="7">
        <f>IFERROR(AVERAGEIF('Данные 2st'!$Q$2:$Q$317,$A13,'Данные 2st'!$JS$2:$JS$317),"")</f>
        <v>265</v>
      </c>
      <c r="PC13" s="7">
        <f>IFERROR(AVERAGEIF('Данные 2st'!$Q$2:$Q$317,$A13,'Данные 2st'!$JT$2:$JT$317),"")</f>
        <v>0</v>
      </c>
      <c r="PD13" s="7">
        <f>IFERROR(AVERAGEIF('Данные 2st'!$Q$2:$Q$317,$A13,'Данные 2st'!$JU$2:$JU$317),"")</f>
        <v>0</v>
      </c>
      <c r="PE13" s="7">
        <f>IFERROR(AVERAGEIF('Данные 2st'!$Q$2:$Q$317,$A13,'Данные 2st'!$JV$2:$JV$317),"")</f>
        <v>337</v>
      </c>
      <c r="PF13" s="7">
        <f>IFERROR(AVERAGEIF('Данные 2st'!$Q$2:$Q$317,$A13,'Данные 2st'!$JW$2:$JW$317),"")</f>
        <v>337</v>
      </c>
      <c r="PG13" s="7">
        <f>IFERROR(AVERAGEIF('Данные 2st'!$Q$2:$Q$317,$A13,'Данные 2st'!$KF$2:$KF$317),"")</f>
        <v>0.188</v>
      </c>
      <c r="PH13" s="7">
        <f>IFERROR(AVERAGEIF('Данные 2st'!$Q$2:$Q$317,$A13,'Данные 2st'!$KG$2:$KG$317),"")</f>
        <v>0.1</v>
      </c>
      <c r="PI13" s="7">
        <f>IFERROR(AVERAGEIF('Данные 2st'!$Q$2:$Q$317,$A13,'Данные 2st'!$KM$2:$KM$317),"")</f>
        <v>1</v>
      </c>
      <c r="PJ13" s="7">
        <f>IFERROR(AVERAGEIF('Данные 2st'!$Q$2:$Q$317,$A13,'Данные 2st'!$KN$2:$KN$317),"")</f>
        <v>1.2</v>
      </c>
      <c r="PK13" s="7">
        <f>IFERROR(AVERAGEIF('Данные 2st'!$Q$2:$Q$317,$A13,'Данные 2st'!$KO$2:$KO$317),"")</f>
        <v>0</v>
      </c>
      <c r="PL13" s="7">
        <f>IFERROR(AVERAGEIF('Данные 2st'!$Q$2:$Q$317,$A13,'Данные 2st'!$KP$2:$KP$317),"")</f>
        <v>0</v>
      </c>
      <c r="PM13" s="7">
        <f>IFERROR(AVERAGEIF('Данные 2st'!$Q$2:$Q$317,$A13,'Данные 2st'!$KQ$2:$KQ$317),"")</f>
        <v>0.96</v>
      </c>
      <c r="PN13" s="7">
        <f>IFERROR(AVERAGEIF('Данные 2st'!$Q$2:$Q$317,$A13,'Данные 2st'!$KR$2:$KR$317),"")</f>
        <v>1.08</v>
      </c>
      <c r="PO13" s="7">
        <f>IFERROR(AVERAGEIF('Данные 2st'!$Q$2:$Q$317,$A13,'Данные 2st'!$KS$2:$KS$317),"")</f>
        <v>0</v>
      </c>
      <c r="PP13" s="7">
        <f>IFERROR(AVERAGEIF('Данные 2st'!$Q$2:$Q$317,$A13,'Данные 2st'!$KT$2:$KT$317),"")</f>
        <v>2.48</v>
      </c>
      <c r="PQ13" s="7">
        <f>IFERROR(AVERAGEIF('Данные 2st'!$Q$2:$Q$317,$A13,'Данные 2st'!$KU$2:$KU$317),"")</f>
        <v>0</v>
      </c>
      <c r="PR13" s="7">
        <f>IFERROR(AVERAGEIF('Данные 2st'!$Q$2:$Q$317,$A13,'Данные 2st'!$KV$2:$KV$317),"")</f>
        <v>0</v>
      </c>
      <c r="PS13" s="7">
        <f>IFERROR(AVERAGEIF('Данные 2st'!$Q$2:$Q$317,$A13,'Данные 2st'!$KW$2:$KW$317),"")</f>
        <v>1.16</v>
      </c>
      <c r="PT13" s="7">
        <f>IFERROR(AVERAGEIF('Данные 2st'!$Q$2:$Q$317,$A13,'Данные 2st'!$KX$2:$KX$317),"")</f>
        <v>2</v>
      </c>
      <c r="PU13" s="7">
        <f>IFERROR(AVERAGEIF('Данные 2st'!$Q$2:$Q$317,$A13,'Данные 2st'!$KY$2:$KY$317),"")</f>
        <v>0.4</v>
      </c>
      <c r="PV13" s="7">
        <f>IFERROR(AVERAGEIF('Данные 2st'!$Q$2:$Q$317,$A13,'Данные 2st'!$KZ$2:$KZ$317),"")</f>
        <v>0</v>
      </c>
      <c r="PW13" s="7">
        <f>IFERROR(AVERAGEIF('Данные 2st'!$Q$2:$Q$317,$A13,'Данные 2st'!$LA$2:$LA$317),"")</f>
        <v>0</v>
      </c>
      <c r="PX13" s="7">
        <f>IFERROR(AVERAGEIF('Данные 2st'!$Q$2:$Q$317,$A13,'Данные 2st'!$LB$2:$LB$317),"")</f>
        <v>0</v>
      </c>
      <c r="PY13" s="7">
        <f>IFERROR(AVERAGEIF('Данные 2st'!$Q$2:$Q$317,$A13,'Данные 2st'!$LC$2:$LC$317),"")</f>
        <v>0</v>
      </c>
      <c r="PZ13" s="7">
        <f>IFERROR(AVERAGEIF('Данные 2st'!$Q$2:$Q$317,$A13,'Данные 2st'!$LD$2:$LD$317),"")</f>
        <v>0</v>
      </c>
      <c r="QA13" s="7">
        <f>IFERROR(AVERAGEIF('Данные 2st'!$Q$2:$Q$317,$A13,'Данные 2st'!$LE$2:$LE$317),"")</f>
        <v>0</v>
      </c>
      <c r="QB13" s="7">
        <f>IFERROR(AVERAGEIF('Данные 2st'!$Q$2:$Q$317,$A13,'Данные 2st'!$LF$2:$LF$317),"")</f>
        <v>0</v>
      </c>
      <c r="QC13" s="7">
        <f>IFERROR(AVERAGEIF('Данные 2st'!$Q$2:$Q$317,$A13,'Данные 2st'!$LG$2:$LG$317),"")</f>
        <v>0</v>
      </c>
      <c r="QD13" s="7">
        <f>IFERROR(AVERAGEIF('Данные 2st'!$Q$2:$Q$317,$A13,'Данные 2st'!$LH$2:$LH$317),"")</f>
        <v>2.4</v>
      </c>
      <c r="QE13" s="7">
        <f>IFERROR(AVERAGEIF('Данные 2st'!$Q$2:$Q$317,$A13,'Данные 2st'!$LJ$2:$LJ$317),"")</f>
        <v>0</v>
      </c>
      <c r="QF13" s="7">
        <f>IFERROR(AVERAGEIF('Данные 2st'!$Q$2:$Q$317,$A13,'Данные 2st'!$LK$2:$LK$317),"")</f>
        <v>3.8</v>
      </c>
      <c r="QG13" s="7">
        <f>IFERROR(AVERAGEIF('Данные 2st'!$Q$2:$Q$317,$A13,'Данные 2st'!$LL$2:$LL$317),"")</f>
        <v>7.4</v>
      </c>
      <c r="QH13" s="7">
        <f>IFERROR(AVERAGEIF('Данные 2st'!$Q$2:$Q$317,$A13,'Данные 2st'!$LM$2:$LM$317),"")</f>
        <v>5.2</v>
      </c>
      <c r="QI13" s="7">
        <f>IFERROR(AVERAGEIF('Данные 2st'!$Q$2:$Q$317,$A13,'Данные 2st'!$LN$2:$LN$317),"")</f>
        <v>0.58</v>
      </c>
      <c r="QJ13" s="7">
        <f>IFERROR(AVERAGEIF('Данные 2st'!$Q$2:$Q$317,$A13,'Данные 2st'!$LO$2:$LO$317),"")</f>
        <v>1.5</v>
      </c>
      <c r="QK13" s="7">
        <f>IFERROR(AVERAGEIF('Данные 2st'!$Q$2:$Q$317,$A13,'Данные 2st'!$LP$2:$LP$317),"")</f>
        <v>0</v>
      </c>
      <c r="QL13" s="7">
        <f>IFERROR(AVERAGEIF('Данные 2st'!$Q$2:$Q$317,$A13,'Данные 2st'!$LQ$2:$LQ$317),"")</f>
        <v>0</v>
      </c>
      <c r="QM13" s="7">
        <f>IFERROR(AVERAGEIF('Данные 2st'!$Q$2:$Q$317,$A13,'Данные 2st'!$LW$2:$LW$317),"")</f>
        <v>1.4</v>
      </c>
      <c r="QN13" s="7">
        <f>IFERROR(AVERAGEIF('Данные 2st'!$Q$2:$Q$317,$A13,'Данные 2st'!$LX$2:$LX$317),"")</f>
        <v>1.4</v>
      </c>
      <c r="QO13" s="7">
        <f>IFERROR(AVERAGEIF('Данные 2st'!$Q$2:$Q$317,$A13,'Данные 2st'!$LY$2:$LY$317),"")</f>
        <v>2.02</v>
      </c>
      <c r="QP13" s="7">
        <f>IFERROR(AVERAGEIF('Данные 2st'!$Q$2:$Q$317,$A13,'Данные 2st'!$LZ$2:$LZ$317),"")</f>
        <v>2.02</v>
      </c>
      <c r="QQ13" s="7">
        <f>IFERROR(AVERAGEIF('Данные 2st'!$Q$2:$Q$317,$A13,'Данные 2st'!$MB$2:$MB$317),"")</f>
        <v>5</v>
      </c>
      <c r="QR13" s="7">
        <f>IFERROR(AVERAGEIF('Данные 2st'!$Q$2:$Q$317,$A13,'Данные 2st'!$MG$2:$MG$317),"")</f>
        <v/>
      </c>
      <c r="QS13" s="7">
        <f>IFERROR(AVERAGEIF('Данные 2st'!$Q$2:$Q$317,$A13,'Данные 2st'!$MH$2:$MH$317),"")</f>
        <v/>
      </c>
      <c r="QT13" s="7">
        <f>IFERROR(AVERAGEIF('Данные 2st'!$Q$2:$Q$317,$A13,'Данные 2st'!$MI$2:$MI$317),"")</f>
        <v>0</v>
      </c>
      <c r="QU13" s="7">
        <f>IFERROR(AVERAGEIF('Данные 2st'!$Q$2:$Q$317,$A13,'Данные 2st'!$MJ$2:$MJ$317),"")</f>
        <v>0</v>
      </c>
      <c r="QV13" s="7">
        <f>IFERROR(AVERAGEIF('Данные 2st'!$Q$2:$Q$317,$A13,'Данные 2st'!$MK$2:$MK$317),"")</f>
        <v/>
      </c>
      <c r="QW13" s="7">
        <f>IFERROR(AVERAGEIF('Данные 2st'!$Q$2:$Q$317,$A13,'Данные 2st'!$MM$2:$MM$317),"")</f>
        <v>361.2</v>
      </c>
      <c r="QX13" s="7">
        <f>IFERROR(AVERAGEIF('Данные 2st'!$Q$2:$Q$317,$A13,'Данные 2st'!$MQ$2:$MQ$317),"")</f>
        <v/>
      </c>
      <c r="QY13" s="7">
        <f>IFERROR(AVERAGEIF('Данные 2st'!$Q$2:$Q$317,$A13,'Данные 2st'!$MR$2:$MR$317),"")</f>
        <v/>
      </c>
      <c r="QZ13" s="7">
        <f>IFERROR(AVERAGEIF('Данные 2st'!$Q$2:$Q$317,$A13,'Данные 2st'!$MS$2:$MS$317),"")</f>
        <v/>
      </c>
      <c r="RA13" s="7">
        <f>IFERROR(AVERAGEIF('Данные 2st'!$Q$2:$Q$317,$A13,'Данные 2st'!$MT$2:$MT$317),"")</f>
        <v/>
      </c>
      <c r="RB13" s="7">
        <f>IFERROR(AVERAGEIF('Данные 2st'!$Q$2:$Q$317,$A13,'Данные 2st'!$MU$2:$MU$317),"")</f>
        <v/>
      </c>
      <c r="RC13" s="7">
        <f>IFERROR(AVERAGEIF('Данные 2st'!$Q$2:$Q$317,$A13,'Данные 2st'!$MV$2:$MV$317),"")</f>
        <v/>
      </c>
      <c r="RD13" s="7">
        <f>IFERROR(AVERAGEIF('Данные 2st'!$Q$2:$Q$317,$A13,'Данные 2st'!$MW$2:$MW$317),"")</f>
        <v/>
      </c>
      <c r="RE13" s="7">
        <f>IFERROR(AVERAGEIF('Данные 2st'!$Q$2:$Q$317,$A13,'Данные 2st'!$MX$2:$MX$317),"")</f>
        <v/>
      </c>
      <c r="RF13" s="7">
        <f>IFERROR(AVERAGEIF('Данные 2st'!$Q$2:$Q$317,$A13,'Данные 2st'!$MY$2:$MY$317),"")</f>
        <v/>
      </c>
      <c r="RG13" s="7">
        <f>IFERROR(AVERAGEIF('Данные 2st'!$Q$2:$Q$317,$A13,'Данные 2st'!$MZ$2:$MZ$317),"")</f>
        <v/>
      </c>
      <c r="RH13" s="7">
        <f>IFERROR(AVERAGEIF('Данные 2st'!$Q$2:$Q$317,$A13,'Данные 2st'!$NA$2:$NA$317),"")</f>
        <v/>
      </c>
      <c r="RI13" s="7">
        <f>IFERROR(AVERAGEIF('Данные 2st'!$Q$2:$Q$317,$A13,'Данные 2st'!$NB$2:$NB$317),"")</f>
        <v/>
      </c>
      <c r="RJ13" s="7">
        <f>IFERROR(AVERAGEIF('Данные 2st'!$Q$2:$Q$317,$A13,'Данные 2st'!$NC$2:$NC$317),"")</f>
        <v/>
      </c>
      <c r="RK13" s="7">
        <f>IFERROR(AVERAGEIF('Данные 2st'!$Q$2:$Q$317,$A13,'Данные 2st'!$ND$2:$ND$317),"")</f>
        <v/>
      </c>
      <c r="RL13" s="7">
        <f>IFERROR(AVERAGEIF('Данные 2st'!$Q$2:$Q$317,$A13,'Данные 2st'!$NE$2:$NE$317),"")</f>
        <v/>
      </c>
      <c r="RM13" s="7">
        <f>IFERROR(AVERAGEIF('Данные 2st'!$Q$2:$Q$317,$A13,'Данные 2st'!$NF$2:$NF$317),"")</f>
        <v/>
      </c>
      <c r="RN13" s="7">
        <f>IFERROR(AVERAGEIF('Данные 2st'!$Q$2:$Q$317,$A13,'Данные 2st'!$NG$2:$NG$317),"")</f>
        <v/>
      </c>
      <c r="RO13" s="7">
        <f>IFERROR(AVERAGEIF('Данные 2st'!$Q$2:$Q$317,$A13,'Данные 2st'!$NH$2:$NH$317),"")</f>
        <v/>
      </c>
      <c r="RP13" s="7">
        <f>IFERROR(AVERAGEIF('Данные 2st'!$Q$2:$Q$317,$A13,'Данные 2st'!$NJ$2:$NJ$317),"")</f>
        <v/>
      </c>
      <c r="RQ13" s="7">
        <f>IFERROR(AVERAGEIF('Данные 2st'!$Q$2:$Q$317,$A13,'Данные 2st'!$NK$2:$NK$317),"")</f>
        <v/>
      </c>
      <c r="RR13" s="7">
        <f>IFERROR(AVERAGEIF('Данные 2st'!$Q$2:$Q$317,$A13,'Данные 2st'!$NM$2:$NM$317),"")</f>
        <v/>
      </c>
      <c r="RS13" s="7">
        <f>IFERROR(AVERAGEIF('Данные 2st'!$Q$2:$Q$317,$A13,'Данные 2st'!$NN$2:$NN$317),"")</f>
        <v/>
      </c>
      <c r="RT13" s="7">
        <f>IFERROR(AVERAGEIF('Данные 2st'!$Q$2:$Q$317,$A13,'Данные 2st'!$NO$2:$NO$317),"")</f>
        <v/>
      </c>
      <c r="RU13" s="7">
        <f>IFERROR(AVERAGEIF('Данные 2st'!$Q$2:$Q$317,$A13,'Данные 2st'!$NP$2:$NP$317),"")</f>
        <v/>
      </c>
      <c r="RV13" s="7">
        <f>IFERROR(AVERAGEIF('Данные 2st'!$Q$2:$Q$317,$A13,'Данные 2st'!$NQ$2:$NQ$317),"")</f>
        <v/>
      </c>
      <c r="RW13" s="7">
        <f>IFERROR(AVERAGEIF('Данные 2st'!$Q$2:$Q$317,$A13,'Данные 2st'!$NR$2:$NR$317),"")</f>
        <v/>
      </c>
      <c r="RX13" s="7">
        <f>IFERROR(AVERAGEIF('Данные 2st'!$Q$2:$Q$317,$A13,'Данные 2st'!$NS$2:$NS$317),"")</f>
        <v/>
      </c>
      <c r="RY13" s="7">
        <f>IFERROR(AVERAGEIF('Данные 2st'!$Q$2:$Q$317,$A13,'Данные 2st'!$NT$2:$NT$317),"")</f>
        <v/>
      </c>
      <c r="RZ13" s="7">
        <f>IFERROR(AVERAGEIF('Данные 2st'!$Q$2:$Q$317,$A13,'Данные 2st'!$OK$2:$OK$317),"")</f>
        <v>61</v>
      </c>
      <c r="SA13" s="7">
        <f>IFERROR(AVERAGEIF('Данные 2st'!$Q$2:$Q$317,$A13,'Данные 2st'!$OL$2:$OL$317),"")</f>
        <v>61</v>
      </c>
      <c r="SB13" s="7">
        <f>IFERROR(AVERAGEIF('Данные 2st'!$Q$2:$Q$317,$A13,'Данные 2st'!$ON$2:$ON$317),"")</f>
        <v>2.8</v>
      </c>
      <c r="SC13" s="7">
        <f>IFERROR(AVERAGEIF('Данные 2st'!$Q$2:$Q$317,$A13,'Данные 2st'!$OO$2:$OO$317),"")</f>
        <v>1861</v>
      </c>
      <c r="SD13" s="7">
        <f>IFERROR(AVERAGEIF('Данные 2st'!$Q$2:$Q$317,$A13,'Данные 2st'!$OP$2:$OP$317),"")</f>
        <v>61</v>
      </c>
      <c r="SE13" s="7">
        <f>IFERROR(AVERAGEIF('Данные 2st'!$Q$2:$Q$317,$A13,'Данные 2st'!$OQ$2:$OQ$317),"")</f>
        <v>61</v>
      </c>
      <c r="SF13" s="7">
        <f>IFERROR(AVERAGEIF('Данные 2st'!$Q$2:$Q$317,$A13,'Данные 2st'!$OS$2:$OS$317),"")</f>
        <v>2.8</v>
      </c>
      <c r="SG13" s="7">
        <f>IFERROR(AVERAGEIF('Данные 2st'!$Q$2:$Q$317,$A13,'Данные 2st'!$OT$2:$OT$317),"")</f>
        <v>1868</v>
      </c>
      <c r="SH13" s="7">
        <f>IFERROR(AVERAGEIF('Данные 2st'!$Q$2:$Q$317,$A13,'Данные 2st'!$OU$2:$OU$317),"")</f>
        <v>65</v>
      </c>
      <c r="SI13" s="7">
        <f>IFERROR(AVERAGEIF('Данные 2st'!$Q$2:$Q$317,$A13,'Данные 2st'!$OV$2:$OV$317),"")</f>
        <v>65</v>
      </c>
      <c r="SJ13" s="7">
        <f>IFERROR(AVERAGEIF('Данные 2st'!$Q$2:$Q$317,$A13,'Данные 2st'!$OX$2:$OX$317),"")</f>
        <v>1.4</v>
      </c>
      <c r="SK13" s="7">
        <f>IFERROR(AVERAGEIF('Данные 2st'!$Q$2:$Q$317,$A13,'Данные 2st'!$OY$2:$OY$317),"")</f>
        <v>29576.8</v>
      </c>
      <c r="SL13" s="7">
        <f>IFERROR(AVERAGEIF('Данные 2st'!$Q$2:$Q$317,$A13,'Данные 2st'!$OZ$2:$OZ$317),"")</f>
        <v>51</v>
      </c>
      <c r="SM13" s="7">
        <f>IFERROR(AVERAGEIF('Данные 2st'!$Q$2:$Q$317,$A13,'Данные 2st'!$PA$2:$PA$317),"")</f>
        <v>51.2</v>
      </c>
      <c r="SN13" s="7">
        <f>IFERROR(AVERAGEIF('Данные 2st'!$Q$2:$Q$317,$A13,'Данные 2st'!$PC$2:$PC$317),"")</f>
        <v>1.6</v>
      </c>
      <c r="SO13" s="7">
        <f>IFERROR(AVERAGEIF('Данные 2st'!$Q$2:$Q$317,$A13,'Данные 2st'!$PD$2:$PD$317),"")</f>
        <v>1897.4</v>
      </c>
      <c r="SP13" s="7">
        <f>IFERROR(AVERAGEIF('Данные 2st'!$Q$2:$Q$317,$A13,'Данные 2st'!$PF$2:$PF$317),"")</f>
        <v>292.2</v>
      </c>
      <c r="SQ13" s="7">
        <f>IFERROR(AVERAGEIF('Данные 2st'!$Q$2:$Q$317,$A13,'Данные 2st'!$PG$2:$PG$317),"")</f>
        <v>29</v>
      </c>
      <c r="SR13" s="7">
        <f>IFERROR(AVERAGEIF('Данные 2st'!$Q$2:$Q$317,$A13,'Данные 2st'!$PH$2:$PH$317),"")</f>
        <v>274</v>
      </c>
      <c r="SS13" s="7">
        <f>IFERROR(AVERAGEIF('Данные 2st'!$Q$2:$Q$317,$A13,'Данные 2st'!$PI$2:$PI$317),"")</f>
        <v>29</v>
      </c>
      <c r="ST13" s="7">
        <f>IFERROR(AVERAGEIF('Данные 2st'!$Q$2:$Q$317,$A13,'Данные 2st'!$PJ$2:$PJ$317),"")</f>
        <v>66.06</v>
      </c>
      <c r="SU13" s="7">
        <f>IFERROR(AVERAGEIF('Данные 2st'!$Q$2:$Q$317,$A13,'Данные 2st'!$PK$2:$PK$317),"")</f>
        <v>1699.5</v>
      </c>
      <c r="SV13" s="7">
        <f>IFERROR(AVERAGEIF('Данные 2st'!$Q$2:$Q$317,$A13,'Данные 2st'!$PL$2:$PL$317),"")</f>
        <v>1036.56</v>
      </c>
      <c r="SW13" s="7">
        <f>IFERROR(AVERAGEIF('Данные 2st'!$Q$2:$Q$317,$A13,'Данные 2st'!$PM$2:$PM$317),"")</f>
        <v>438.82</v>
      </c>
      <c r="SX13" s="7">
        <f>IFERROR(AVERAGEIF('Данные 2st'!$Q$2:$Q$317,$A13,'Данные 2st'!$PN$2:$PN$317),"")</f>
        <v>80.8</v>
      </c>
      <c r="SY13" s="7">
        <f>IFERROR(AVERAGEIF('Данные 2st'!$Q$2:$Q$317,$A13,'Данные 2st'!$PO$2:$PO$317),"")</f>
        <v>8.775</v>
      </c>
      <c r="SZ13" s="7">
        <f>IFERROR(AVERAGEIF('Данные 2st'!$Q$2:$Q$317,$A13,'Данные 2st'!$PP$2:$PP$317),"")</f>
        <v>10.8</v>
      </c>
      <c r="TA13" s="7">
        <f>IFERROR(AVERAGEIF('Данные 2st'!$Q$2:$Q$317,$A13,'Данные 2st'!$PQ$2:$PQ$317),"")</f>
        <v>1.6</v>
      </c>
      <c r="TB13" s="7">
        <f>IFERROR(AVERAGEIF('Данные 2st'!$Q$2:$Q$317,$A13,'Данные 2st'!$PR$2:$PR$317),"")</f>
        <v>1</v>
      </c>
      <c r="TC13" s="7">
        <f>IFERROR(AVERAGEIF('Данные 2st'!$Q$2:$Q$317,$A13,'Данные 2st'!$PS$2:$PS$317),"")</f>
        <v>7</v>
      </c>
      <c r="TD13" s="7">
        <f>IFERROR(AVERAGEIF('Данные 2st'!$Q$2:$Q$317,$A13,'Данные 2st'!$PT$2:$PT$317),"")</f>
        <v>197.2</v>
      </c>
      <c r="TE13" s="7">
        <f>IFERROR(AVERAGEIF('Данные 2st'!$Q$2:$Q$317,$A13,'Данные 2st'!$PU$2:$PU$317),"")</f>
        <v>9.8</v>
      </c>
      <c r="TF13" s="7">
        <f>IFERROR(AVERAGEIF('Данные 2st'!$Q$2:$Q$317,$A13,'Данные 2st'!$PX$2:$PX$317),"")</f>
        <v>0</v>
      </c>
      <c r="TG13" s="7">
        <f>IFERROR(AVERAGEIF('Данные 2st'!$Q$2:$Q$317,$A13,'Данные 2st'!$PY$2:$PY$317),"")</f>
        <v>0</v>
      </c>
      <c r="TH13" s="7">
        <f>IFERROR(AVERAGEIF('Данные 2st'!$Q$2:$Q$317,$A13,'Данные 2st'!$PZ$2:$PZ$317),"")</f>
        <v>0</v>
      </c>
      <c r="TI13" s="7">
        <f>IFERROR(AVERAGEIF('Данные 2st'!$Q$2:$Q$317,$A13,'Данные 2st'!$QA$2:$QA$317),"")</f>
        <v>0</v>
      </c>
      <c r="TJ13" s="7">
        <f>IFERROR(AVERAGEIF('Данные 2st'!$Q$2:$Q$317,$A13,'Данные 2st'!$QB$2:$QB$317),"")</f>
        <v>0</v>
      </c>
      <c r="TK13" s="7">
        <f>IFERROR(AVERAGEIF('Данные 2st'!$Q$2:$Q$317,$A13,'Данные 2st'!$QC$2:$QC$317),"")</f>
        <v>0</v>
      </c>
      <c r="TL13" s="7">
        <f>IFERROR(AVERAGEIF('Данные 2st'!$Q$2:$Q$317,$A13,'Данные 2st'!$QD$2:$QD$317),"")</f>
        <v>0</v>
      </c>
      <c r="TM13" s="7">
        <f>IFERROR(AVERAGEIF('Данные 2st'!$Q$2:$Q$317,$A13,'Данные 2st'!$QE$2:$QE$317),"")</f>
        <v>-1</v>
      </c>
      <c r="TN13" s="7">
        <f>IFERROR(AVERAGEIF('Данные 2st'!$Q$2:$Q$317,$A13,'Данные 2st'!$QF$2:$QF$317),"")</f>
        <v>1</v>
      </c>
      <c r="TO13" s="7">
        <f>IFERROR(AVERAGEIF('Данные 2st'!$Q$2:$Q$317,$A13,'Данные 2st'!$QG$2:$QG$317),"")</f>
        <v>0</v>
      </c>
      <c r="TP13" s="7">
        <f>IFERROR(AVERAGEIF('Данные 2st'!$Q$2:$Q$317,$A13,'Данные 2st'!$QH$2:$QH$317),"")</f>
        <v>5</v>
      </c>
      <c r="TQ13" s="7">
        <f>IFERROR(AVERAGEIF('Данные 2st'!$Q$2:$Q$317,$A13,'Данные 2st'!$QI$2:$QI$317),"")</f>
        <v>5</v>
      </c>
      <c r="TR13" s="7">
        <f>IFERROR(AVERAGEIF('Данные 2st'!$Q$2:$Q$317,$A13,'Данные 2st'!$QJ$2:$QJ$317),"")</f>
        <v>5</v>
      </c>
      <c r="TS13" s="7">
        <f>IFERROR(AVERAGEIF('Данные 2st'!$Q$2:$Q$317,$A13,'Данные 2st'!$QK$2:$QK$317),"")</f>
        <v>173.4</v>
      </c>
      <c r="TT13" s="7">
        <f>IFERROR(AVERAGEIF('Данные 2st'!$Q$2:$Q$317,$A13,'Данные 2st'!$QL$2:$QL$317),"")</f>
        <v>391.6</v>
      </c>
      <c r="TU13" s="7">
        <f>IFERROR(AVERAGEIF('Данные 2st'!$Q$2:$Q$317,$A13,'Данные 2st'!$QM$2:$QM$317),"")</f>
        <v>7.5</v>
      </c>
      <c r="TV13" s="7">
        <f>IFERROR(AVERAGEIF('Данные 2st'!$Q$2:$Q$317,$A13,'Данные 2st'!$QN$2:$QN$317),"")</f>
        <v>1203.34</v>
      </c>
      <c r="TW13" s="7">
        <f>IFERROR(AVERAGEIF('Данные 2st'!$Q$2:$Q$317,$A13,'Данные 2st'!$QQ$2:$QQ$317),"")</f>
        <v>0</v>
      </c>
      <c r="TX13" s="7">
        <f>IFERROR(AVERAGEIF('Данные 2st'!$Q$2:$Q$317,$A13,'Данные 2st'!$QS$2:$QS$317),"")</f>
        <v>30</v>
      </c>
      <c r="TY13" s="7">
        <f>IFERROR(AVERAGEIF('Данные 2st'!$Q$2:$Q$317,$A13,'Данные 2st'!$QT$2:$QT$317),"")</f>
        <v>40</v>
      </c>
    </row>
    <row r="14" spans="1:545" ht="32" customHeight="1">
      <c r="A14" s="11" t="s">
        <v>1015</v>
      </c>
      <c r="B14">
        <f>COUNTIF('Данные 1st'!$S$2:$S$317,$A14)</f>
        <v>6</v>
      </c>
      <c r="C14" s="6" t="s">
        <v>5087</v>
      </c>
      <c r="D14" s="6" t="s">
        <v>513</v>
      </c>
      <c r="E14" s="6" t="s">
        <v>5125</v>
      </c>
      <c r="F14" s="6" t="s">
        <v>5137</v>
      </c>
      <c r="G14" s="7">
        <f>IFERROR(AVERAGEIF('Данные 1st'!$S$2:$S$317,$A14,'Данные 1st'!$AE$2:$AE$317),"")</f>
        <v>165</v>
      </c>
      <c r="H14" s="7">
        <f>IFERROR(AVERAGEIF('Данные 1st'!$S$2:$S$317,$A14,'Данные 1st'!$AF$2:$AF$317),"")</f>
        <v>1.5</v>
      </c>
      <c r="I14" s="7">
        <f>IFERROR(AVERAGEIF('Данные 1st'!$S$2:$S$317,$A14,'Данные 1st'!$AJ$2:$AJ$317),"")</f>
        <v>171.25</v>
      </c>
      <c r="J14" s="7">
        <f>IFERROR(AVERAGEIF('Данные 1st'!$S$2:$S$317,$A14,'Данные 1st'!$AL$2:$AL$317),"")</f>
        <v>1.5</v>
      </c>
      <c r="K14" s="7">
        <f>IFERROR(AVERAGEIF('Данные 1st'!$S$2:$S$317,$A14,'Данные 1st'!$AR$2:$AR$317),"")</f>
        <v>34.5</v>
      </c>
      <c r="L14" s="7">
        <f>IFERROR(AVERAGEIF('Данные 1st'!$S$2:$S$317,$A14,'Данные 1st'!$AS$2:$AS$317),"")</f>
        <v>1.5</v>
      </c>
      <c r="M14" s="7">
        <f>IFERROR(AVERAGEIF('Данные 1st'!$S$2:$S$317,$A14,'Данные 1st'!$AY$2:$AY$317),"")</f>
        <v>251.25</v>
      </c>
      <c r="N14" s="7">
        <f>IFERROR(AVERAGEIF('Данные 1st'!$S$2:$S$317,$A14,'Данные 1st'!$AZ$2:$AZ$317),"")</f>
        <v>1.5</v>
      </c>
      <c r="O14" s="7">
        <f>IFERROR(AVERAGEIF('Данные 1st'!$S$2:$S$317,$A14,'Данные 1st'!$BF$2:$BF$317),"")</f>
        <v/>
      </c>
      <c r="P14" s="7">
        <f>IFERROR(AVERAGEIF('Данные 1st'!$S$2:$S$317,$A14,'Данные 1st'!$BG$2:$BG$317),"")</f>
        <v>1.5</v>
      </c>
      <c r="Q14" s="7">
        <f>IFERROR(AVERAGEIF('Данные 1st'!$S$2:$S$317,$A14,'Данные 1st'!$BM$2:$BM$317),"")</f>
        <v/>
      </c>
      <c r="R14" s="7">
        <f>IFERROR(AVERAGEIF('Данные 1st'!$S$2:$S$317,$A14,'Данные 1st'!$BN$2:$BN$317),"")</f>
        <v>1.5</v>
      </c>
      <c r="S14" s="7">
        <f>IFERROR(AVERAGEIF('Данные 1st'!$S$2:$S$317,$A14,'Данные 1st'!$BT$2:$BT$317),"")</f>
        <v>183.66666666666666</v>
      </c>
      <c r="T14" s="7">
        <f>IFERROR(AVERAGEIF('Данные 1st'!$S$2:$S$317,$A14,'Данные 1st'!$BU$2:$BU$317),"")</f>
        <v>0.5</v>
      </c>
      <c r="U14" s="7">
        <f>IFERROR(AVERAGEIF('Данные 1st'!$S$2:$S$317,$A14,'Данные 1st'!$BW$2:$BW$317),"")</f>
        <v>367.3333333333333</v>
      </c>
      <c r="V14" s="7">
        <f>IFERROR(AVERAGEIF('Данные 1st'!$S$2:$S$317,$A14,'Данные 1st'!$BX$2:$BX$317),"")</f>
        <v>1</v>
      </c>
      <c r="W14" s="7">
        <f>IFERROR(AVERAGEIF('Данные 1st'!$S$2:$S$317,$A14,'Данные 1st'!$BZ$2:$BZ$317),"")</f>
        <v>300</v>
      </c>
      <c r="X14" s="7">
        <f>IFERROR(AVERAGEIF('Данные 1st'!$S$2:$S$317,$A14,'Данные 1st'!$CA$2:$CA$317),"")</f>
        <v>436.6666666666667</v>
      </c>
      <c r="Y14" s="7">
        <f>IFERROR(AVERAGEIF('Данные 1st'!$S$2:$S$317,$A14,'Данные 1st'!$CD$2:$CD$317),"")</f>
        <v>381</v>
      </c>
      <c r="Z14" s="7">
        <f>IFERROR(AVERAGEIF('Данные 1st'!$S$2:$S$317,$A14,'Данные 1st'!$CF$2:$CF$317),"")</f>
        <v>15</v>
      </c>
      <c r="AA14" s="7">
        <f>IFERROR(AVERAGEIF('Данные 1st'!$S$2:$S$317,$A14,'Данные 1st'!$CI$2:$CI$317),"")</f>
        <v>68.33333333333333</v>
      </c>
      <c r="AB14" s="7">
        <f>IFERROR(AVERAGEIF('Данные 1st'!$S$2:$S$317,$A14,'Данные 1st'!$CJ$2:$CJ$317),"")</f>
        <v>1301</v>
      </c>
      <c r="AC14" s="7">
        <f>IFERROR(AVERAGEIF('Данные 1st'!$S$2:$S$317,$A14,'Данные 1st'!$CK$2:$CK$317),"")</f>
        <v>2</v>
      </c>
      <c r="AD14" s="7">
        <f>IFERROR(AVERAGEIF('Данные 1st'!$S$2:$S$317,$A14,'Данные 1st'!$CL$2:$CL$317),"")</f>
        <v>1395</v>
      </c>
      <c r="AE14" s="7">
        <f>IFERROR(AVERAGEIF('Данные 1st'!$S$2:$S$317,$A14,'Данные 1st'!$CM$2:$CM$317),"")</f>
        <v>2</v>
      </c>
      <c r="AF14" s="7">
        <f>IFERROR(AVERAGEIF('Данные 1st'!$S$2:$S$317,$A14,'Данные 1st'!$CT$2:$CT$317),"")</f>
        <v>342.5</v>
      </c>
      <c r="AG14" s="7">
        <f>IFERROR(AVERAGEIF('Данные 1st'!$S$2:$S$317,$A14,'Данные 1st'!$CU$2:$CU$317),"")</f>
        <v>5</v>
      </c>
      <c r="AH14" s="7">
        <f>IFERROR(AVERAGEIF('Данные 1st'!$S$2:$S$317,$A14,'Данные 1st'!$CV$2:$CV$317),"")</f>
        <v>1.2</v>
      </c>
      <c r="AI14" s="7">
        <f>IFERROR(AVERAGEIF('Данные 1st'!$S$2:$S$317,$A14,'Данные 1st'!$CW$2:$CW$317),"")</f>
        <v>1314.8333333333333</v>
      </c>
      <c r="AJ14" s="7">
        <f>IFERROR(AVERAGEIF('Данные 1st'!$S$2:$S$317,$A14,'Данные 1st'!$CX$2:$CX$317),"")</f>
        <v>636.8333333333334</v>
      </c>
      <c r="AK14" s="7">
        <f>IFERROR(AVERAGEIF('Данные 1st'!$S$2:$S$317,$A14,'Данные 1st'!$CZ$2:$CZ$317),"")</f>
        <v>50</v>
      </c>
      <c r="AL14" s="7">
        <f>IFERROR(AVERAGEIF('Данные 1st'!$S$2:$S$317,$A14,'Данные 1st'!$DA$2:$DA$317),"")</f>
        <v>3</v>
      </c>
      <c r="AM14" s="7">
        <f>IFERROR(AVERAGEIF('Данные 1st'!$S$2:$S$317,$A14,'Данные 1st'!$DB$2:$DB$317),"")</f>
        <v>1</v>
      </c>
      <c r="AN14" s="7">
        <f>IFERROR(AVERAGEIF('Данные 1st'!$S$2:$S$317,$A14,'Данные 1st'!$DC$2:$DC$317),"")</f>
        <v>1319</v>
      </c>
      <c r="AO14" s="7">
        <f>IFERROR(AVERAGEIF('Данные 1st'!$S$2:$S$317,$A14,'Данные 1st'!$DD$2:$DD$317),"")</f>
        <v>11.5</v>
      </c>
      <c r="AP14" s="7">
        <f>IFERROR(AVERAGEIF('Данные 1st'!$S$2:$S$317,$A14,'Данные 1st'!$DF$2:$DF$317),"")</f>
        <v>502.5</v>
      </c>
      <c r="AQ14" s="7">
        <f>IFERROR(AVERAGEIF('Данные 1st'!$S$2:$S$317,$A14,'Данные 1st'!$DG$2:$DG$317),"")</f>
        <v>3</v>
      </c>
      <c r="AR14" s="7">
        <f>IFERROR(AVERAGEIF('Данные 1st'!$S$2:$S$317,$A14,'Данные 1st'!$DH$2:$DH$317),"")</f>
        <v>1.1433333333333333</v>
      </c>
      <c r="AS14" s="7">
        <f>IFERROR(AVERAGEIF('Данные 1st'!$S$2:$S$317,$A14,'Данные 1st'!$DI$2:$DI$317),"")</f>
        <v>1312</v>
      </c>
      <c r="AT14" s="7">
        <f>IFERROR(AVERAGEIF('Данные 1st'!$S$2:$S$317,$A14,'Данные 1st'!$DJ$2:$DJ$317),"")</f>
        <v>1091.1666666666667</v>
      </c>
      <c r="AU14" s="7">
        <f>IFERROR(AVERAGEIF('Данные 1st'!$S$2:$S$317,$A14,'Данные 1st'!$DL$2:$DL$317),"")</f>
        <v/>
      </c>
      <c r="AV14" s="7">
        <f>IFERROR(AVERAGEIF('Данные 1st'!$S$2:$S$317,$A14,'Данные 1st'!$DM$2:$DM$317),"")</f>
        <v/>
      </c>
      <c r="AW14" s="7">
        <f>IFERROR(AVERAGEIF('Данные 1st'!$S$2:$S$317,$A14,'Данные 1st'!$DN$2:$DN$317),"")</f>
        <v/>
      </c>
      <c r="AX14" s="7">
        <f>IFERROR(AVERAGEIF('Данные 1st'!$S$2:$S$317,$A14,'Данные 1st'!$DO$2:$DO$317),"")</f>
        <v/>
      </c>
      <c r="AY14" s="7">
        <f>IFERROR(AVERAGEIF('Данные 1st'!$S$2:$S$317,$A14,'Данные 1st'!$DP$2:$DP$317),"")</f>
        <v/>
      </c>
      <c r="AZ14" s="7">
        <f>IFERROR(AVERAGEIF('Данные 1st'!$S$2:$S$317,$A14,'Данные 1st'!$DR$2:$DR$317),"")</f>
        <v/>
      </c>
      <c r="BA14" s="7">
        <f>IFERROR(AVERAGEIF('Данные 1st'!$S$2:$S$317,$A14,'Данные 1st'!$DS$2:$DS$317),"")</f>
        <v/>
      </c>
      <c r="BB14" s="7">
        <f>IFERROR(AVERAGEIF('Данные 1st'!$S$2:$S$317,$A14,'Данные 1st'!$DT$2:$DT$317),"")</f>
        <v/>
      </c>
      <c r="BC14" s="7">
        <f>IFERROR(AVERAGEIF('Данные 1st'!$S$2:$S$317,$A14,'Данные 1st'!$DU$2:$DU$317),"")</f>
        <v/>
      </c>
      <c r="BD14" s="7">
        <f>IFERROR(AVERAGEIF('Данные 1st'!$S$2:$S$317,$A14,'Данные 1st'!$DV$2:$DV$317),"")</f>
        <v/>
      </c>
      <c r="BE14" s="7">
        <f>IFERROR(AVERAGEIF('Данные 1st'!$S$2:$S$317,$A14,'Данные 1st'!$DX$2:$DX$317),"")</f>
        <v>7.5</v>
      </c>
      <c r="BF14" s="7">
        <f>IFERROR(AVERAGEIF('Данные 1st'!$S$2:$S$317,$A14,'Данные 1st'!$EA$2:$EA$317),"")</f>
        <v>1380.8666666666668</v>
      </c>
      <c r="BG14" s="7">
        <f>IFERROR(AVERAGEIF('Данные 1st'!$S$2:$S$317,$A14,'Данные 1st'!$EB$2:$EB$317),"")</f>
        <v>228.5</v>
      </c>
      <c r="BH14" s="7">
        <f>IFERROR(AVERAGEIF('Данные 1st'!$S$2:$S$317,$A14,'Данные 1st'!$ED$2:$ED$317),"")</f>
        <v>25</v>
      </c>
      <c r="BI14" s="7">
        <f>IFERROR(AVERAGEIF('Данные 1st'!$S$2:$S$317,$A14,'Данные 1st'!$EE$2:$EE$317),"")</f>
        <v>3</v>
      </c>
      <c r="BJ14" s="7">
        <f>IFERROR(AVERAGEIF('Данные 1st'!$S$2:$S$317,$A14,'Данные 1st'!$EG$2:$EG$317),"")</f>
        <v>1418.3333333333333</v>
      </c>
      <c r="BK14" s="7">
        <f>IFERROR(AVERAGEIF('Данные 1st'!$S$2:$S$317,$A14,'Данные 1st'!$EH$2:$EH$317),"")</f>
        <v>154</v>
      </c>
      <c r="BL14" s="7">
        <f>IFERROR(AVERAGEIF('Данные 1st'!$S$2:$S$317,$A14,'Данные 1st'!$EJ$2:$EJ$317),"")</f>
        <v>0</v>
      </c>
      <c r="BM14" s="7">
        <f>IFERROR(AVERAGEIF('Данные 1st'!$S$2:$S$317,$A14,'Данные 1st'!$EK$2:$EK$317),"")</f>
        <v>1</v>
      </c>
      <c r="BN14" s="7">
        <f>IFERROR(AVERAGEIF('Данные 1st'!$S$2:$S$317,$A14,'Данные 1st'!$EN$2:$EN$317),"")</f>
        <v>0</v>
      </c>
      <c r="BO14" s="7">
        <f>IFERROR(AVERAGEIF('Данные 1st'!$S$2:$S$317,$A14,'Данные 1st'!$EQ$2:$EQ$317),"")</f>
        <v>72.5</v>
      </c>
      <c r="BP14" s="7">
        <f>IFERROR(AVERAGEIF('Данные 1st'!$S$2:$S$317,$A14,'Данные 1st'!$ER$2:$ER$317),"")</f>
        <v>3</v>
      </c>
      <c r="BQ14" s="7">
        <f>IFERROR(AVERAGEIF('Данные 1st'!$S$2:$S$317,$A14,'Данные 1st'!$ES$2:$ES$317),"")</f>
        <v>5.083333333333333</v>
      </c>
      <c r="BR14" s="7">
        <f>IFERROR(AVERAGEIF('Данные 1st'!$S$2:$S$317,$A14,'Данные 1st'!$ET$2:$ET$317),"")</f>
        <v>1295.5</v>
      </c>
      <c r="BS14" s="7">
        <f>IFERROR(AVERAGEIF('Данные 1st'!$S$2:$S$317,$A14,'Данные 1st'!$EU$2:$EU$317),"")</f>
        <v>293.0</v>
      </c>
      <c r="BT14" s="7">
        <f>IFERROR(AVERAGEIF('Данные 1st'!$S$2:$S$317,$A14,'Данные 1st'!$EV$2:$EV$317),"")</f>
        <v>379.5</v>
      </c>
      <c r="BU14" s="7">
        <f>IFERROR(AVERAGEIF('Данные 1st'!$S$2:$S$317,$A14,'Данные 1st'!$EX$2:$EX$317),"")</f>
        <v>65</v>
      </c>
      <c r="BV14" s="7">
        <f>IFERROR(AVERAGEIF('Данные 1st'!$S$2:$S$317,$A14,'Данные 1st'!$EY$2:$EY$317),"")</f>
        <v>2</v>
      </c>
      <c r="BW14" s="7">
        <f>IFERROR(AVERAGEIF('Данные 1st'!$S$2:$S$317,$A14,'Данные 1st'!$EZ$2:$EZ$317),"")</f>
        <v>4.216666666666667</v>
      </c>
      <c r="BX14" s="7">
        <f>IFERROR(AVERAGEIF('Данные 1st'!$S$2:$S$317,$A14,'Данные 1st'!$FA$2:$FA$317),"")</f>
        <v>1295.5</v>
      </c>
      <c r="BY14" s="7">
        <f>IFERROR(AVERAGEIF('Данные 1st'!$S$2:$S$317,$A14,'Данные 1st'!$FB$2:$FB$317),"")</f>
        <v>199.85</v>
      </c>
      <c r="BZ14" s="7">
        <f>IFERROR(AVERAGEIF('Данные 1st'!$S$2:$S$317,$A14,'Данные 1st'!$FC$2:$FC$317),"")</f>
        <v>259</v>
      </c>
      <c r="CA14" s="7">
        <f>IFERROR(AVERAGEIF('Данные 1st'!$S$2:$S$317,$A14,'Данные 1st'!$FE$2:$FE$317),"")</f>
        <v>0</v>
      </c>
      <c r="CB14" s="7">
        <f>IFERROR(AVERAGEIF('Данные 1st'!$S$2:$S$317,$A14,'Данные 1st'!$FF$2:$FF$317),"")</f>
        <v>2</v>
      </c>
      <c r="CC14" s="7">
        <f>IFERROR(AVERAGEIF('Данные 1st'!$S$2:$S$317,$A14,'Данные 1st'!$FI$2:$FI$317),"")</f>
        <v>0</v>
      </c>
      <c r="CD14" s="7">
        <f>IFERROR(AVERAGEIF('Данные 1st'!$S$2:$S$317,$A14,'Данные 1st'!$FL$2:$FL$317),"")</f>
        <v>0.43333333333333335</v>
      </c>
      <c r="CE14" s="7">
        <f>IFERROR(AVERAGEIF('Данные 1st'!$S$2:$S$317,$A14,'Данные 1st'!$FM$2:$FM$317),"")</f>
        <v>76.66666666666667</v>
      </c>
      <c r="CF14" s="7">
        <f>IFERROR(AVERAGEIF('Данные 1st'!$S$2:$S$317,$A14,'Данные 1st'!$FN$2:$FN$317),"")</f>
        <v>155</v>
      </c>
      <c r="CG14" s="7">
        <f>IFERROR(AVERAGEIF('Данные 1st'!$S$2:$S$317,$A14,'Данные 1st'!$FO$2:$FO$317),"")</f>
        <v>55</v>
      </c>
      <c r="CH14" s="7">
        <f>IFERROR(AVERAGEIF('Данные 1st'!$S$2:$S$317,$A14,'Данные 1st'!$FP$2:$FP$317),"")</f>
        <v>130</v>
      </c>
      <c r="CI14" s="7">
        <f>IFERROR(AVERAGEIF('Данные 1st'!$S$2:$S$317,$A14,'Данные 1st'!$FS$2:$FS$317),"")</f>
        <v>0.4666666666666667</v>
      </c>
      <c r="CJ14" s="7">
        <f>IFERROR(AVERAGEIF('Данные 1st'!$S$2:$S$317,$A14,'Данные 1st'!$FT$2:$FT$317),"")</f>
        <v>32.5</v>
      </c>
      <c r="CK14" s="7">
        <f>IFERROR(AVERAGEIF('Данные 1st'!$S$2:$S$317,$A14,'Данные 1st'!$FU$2:$FU$317),"")</f>
        <v>311.6666666666667</v>
      </c>
      <c r="CL14" s="7">
        <f>IFERROR(AVERAGEIF('Данные 1st'!$S$2:$S$317,$A14,'Данные 1st'!$FV$2:$FV$317),"")</f>
        <v>70</v>
      </c>
      <c r="CM14" s="7">
        <f>IFERROR(AVERAGEIF('Данные 1st'!$S$2:$S$317,$A14,'Данные 1st'!$FW$2:$FW$317),"")</f>
        <v>140</v>
      </c>
      <c r="CN14" s="7">
        <f>IFERROR(AVERAGEIF('Данные 1st'!$S$2:$S$317,$A14,'Данные 1st'!$FZ$2:$FZ$317),"")</f>
        <v>1</v>
      </c>
      <c r="CO14" s="7">
        <f>IFERROR(AVERAGEIF('Данные 1st'!$S$2:$S$317,$A14,'Данные 1st'!$GA$2:$GA$317),"")</f>
        <v>20</v>
      </c>
      <c r="CP14" s="7">
        <f>IFERROR(AVERAGEIF('Данные 1st'!$S$2:$S$317,$A14,'Данные 1st'!$GB$2:$GB$317),"")</f>
        <v>162</v>
      </c>
      <c r="CQ14" s="7">
        <f>IFERROR(AVERAGEIF('Данные 1st'!$S$2:$S$317,$A14,'Данные 1st'!$GH$2:$GH$317),"")</f>
        <v>1</v>
      </c>
      <c r="CR14" s="7">
        <f>IFERROR(AVERAGEIF('Данные 1st'!$S$2:$S$317,$A14,'Данные 1st'!$GI$2:$GI$317),"")</f>
        <v>20</v>
      </c>
      <c r="CS14" s="7">
        <f>IFERROR(AVERAGEIF('Данные 1st'!$S$2:$S$317,$A14,'Данные 1st'!$GJ$2:$GJ$317),"")</f>
        <v>162</v>
      </c>
      <c r="CT14" s="7">
        <f>IFERROR(AVERAGEIF('Данные 1st'!$S$2:$S$317,$A14,'Данные 1st'!$GS$2:$GS$317),"")</f>
        <v/>
      </c>
      <c r="CU14" s="7">
        <f>IFERROR(AVERAGEIF('Данные 1st'!$S$2:$S$317,$A14,'Данные 1st'!$GT$2:$GT$317),"")</f>
        <v/>
      </c>
      <c r="CV14" s="7">
        <f>IFERROR(AVERAGEIF('Данные 1st'!$S$2:$S$317,$A14,'Данные 1st'!$GU$2:$GU$317),"")</f>
        <v/>
      </c>
      <c r="CW14" s="7">
        <f>IFERROR(AVERAGEIF('Данные 1st'!$S$2:$S$317,$A14,'Данные 1st'!$GV$2:$GV$317),"")</f>
        <v/>
      </c>
      <c r="CX14" s="7">
        <f>IFERROR(AVERAGEIF('Данные 1st'!$S$2:$S$317,$A14,'Данные 1st'!$GW$2:$GW$317),"")</f>
        <v/>
      </c>
      <c r="CY14" s="7">
        <f>IFERROR(AVERAGEIF('Данные 1st'!$S$2:$S$317,$A14,'Данные 1st'!$GZ$2:$GZ$317),"")</f>
        <v/>
      </c>
      <c r="CZ14" s="7">
        <f>IFERROR(AVERAGEIF('Данные 1st'!$S$2:$S$317,$A14,'Данные 1st'!$HA$2:$HA$317),"")</f>
        <v/>
      </c>
      <c r="DA14" s="7">
        <f>IFERROR(AVERAGEIF('Данные 1st'!$S$2:$S$317,$A14,'Данные 1st'!$HB$2:$HB$317),"")</f>
        <v/>
      </c>
      <c r="DB14" s="7">
        <f>IFERROR(AVERAGEIF('Данные 1st'!$S$2:$S$317,$A14,'Данные 1st'!$HC$2:$HC$317),"")</f>
        <v>0.1</v>
      </c>
      <c r="DC14" s="7">
        <f>IFERROR(AVERAGEIF('Данные 1st'!$S$2:$S$317,$A14,'Данные 1st'!$HD$2:$HD$317),"")</f>
        <v>3</v>
      </c>
      <c r="DD14" s="7">
        <f>IFERROR(AVERAGEIF('Данные 1st'!$S$2:$S$317,$A14,'Данные 1st'!$HE$2:$HE$317),"")</f>
        <v>3</v>
      </c>
      <c r="DE14" s="7">
        <f>IFERROR(AVERAGEIF('Данные 1st'!$S$2:$S$317,$A14,'Данные 1st'!$HF$2:$HF$317),"")</f>
        <v>3</v>
      </c>
      <c r="DF14" s="7">
        <f>IFERROR(AVERAGEIF('Данные 1st'!$S$2:$S$317,$A14,'Данные 1st'!$HG$2:$HG$317),"")</f>
        <v>3</v>
      </c>
      <c r="DG14" s="7">
        <f>IFERROR(AVERAGEIF('Данные 1st'!$S$2:$S$317,$A14,'Данные 1st'!$HH$2:$HH$317),"")</f>
        <v>3</v>
      </c>
      <c r="DH14" s="7">
        <f>IFERROR(AVERAGEIF('Данные 1st'!$S$2:$S$317,$A14,'Данные 1st'!$HI$2:$HI$317),"")</f>
        <v>122.5</v>
      </c>
      <c r="DI14" s="7">
        <f>IFERROR(AVERAGEIF('Данные 1st'!$S$2:$S$317,$A14,'Данные 1st'!$HJ$2:$HJ$317),"")</f>
        <v>3</v>
      </c>
      <c r="DJ14" s="7">
        <f>IFERROR(AVERAGEIF('Данные 1st'!$S$2:$S$317,$A14,'Данные 1st'!$HK$2:$HK$317),"")</f>
        <v>50</v>
      </c>
      <c r="DK14" s="7">
        <f>IFERROR(AVERAGEIF('Данные 1st'!$S$2:$S$317,$A14,'Данные 1st'!$HL$2:$HL$317),"")</f>
        <v>2</v>
      </c>
      <c r="DL14" s="7">
        <f>IFERROR(AVERAGEIF('Данные 1st'!$S$2:$S$317,$A14,'Данные 1st'!$HM$2:$HM$317),"")</f>
        <v>0</v>
      </c>
      <c r="DM14" s="7">
        <f>IFERROR(AVERAGEIF('Данные 1st'!$S$2:$S$317,$A14,'Данные 1st'!$HN$2:$HN$317),"")</f>
        <v>2</v>
      </c>
      <c r="DN14" s="7">
        <f>IFERROR(AVERAGEIF('Данные 1st'!$S$2:$S$317,$A14,'Данные 1st'!$HO$2:$HO$317),"")</f>
        <v>57.5</v>
      </c>
      <c r="DO14" s="7">
        <f>IFERROR(AVERAGEIF('Данные 1st'!$S$2:$S$317,$A14,'Данные 1st'!$HP$2:$HP$317),"")</f>
        <v>3</v>
      </c>
      <c r="DP14" s="7">
        <f>IFERROR(AVERAGEIF('Данные 1st'!$S$2:$S$317,$A14,'Данные 1st'!$HQ$2:$HQ$317),"")</f>
        <v>0</v>
      </c>
      <c r="DQ14" s="7">
        <f>IFERROR(AVERAGEIF('Данные 1st'!$S$2:$S$317,$A14,'Данные 1st'!$HR$2:$HR$317),"")</f>
        <v>2</v>
      </c>
      <c r="DR14" s="7">
        <f>IFERROR(AVERAGEIF('Данные 1st'!$S$2:$S$317,$A14,'Данные 1st'!$HS$2:$HS$317),"")</f>
        <v>3793</v>
      </c>
      <c r="DS14" s="7">
        <f>IFERROR(AVERAGEIF('Данные 1st'!$S$2:$S$317,$A14,'Данные 1st'!$HT$2:$HT$317),"")</f>
        <v>115</v>
      </c>
      <c r="DT14" s="7">
        <f>IFERROR(AVERAGEIF('Данные 1st'!$S$2:$S$317,$A14,'Данные 1st'!$HU$2:$HU$317),"")</f>
        <v>180</v>
      </c>
      <c r="DU14" s="7">
        <f>IFERROR(AVERAGEIF('Данные 1st'!$S$2:$S$317,$A14,'Данные 1st'!$HW$2:$HW$317),"")</f>
        <v>3.3333333333333335</v>
      </c>
      <c r="DV14" s="7">
        <f>IFERROR(AVERAGEIF('Данные 1st'!$S$2:$S$317,$A14,'Данные 1st'!$HX$2:$HX$317),"")</f>
        <v>423.3333333333333</v>
      </c>
      <c r="DW14" s="7">
        <f>IFERROR(AVERAGEIF('Данные 1st'!$S$2:$S$317,$A14,'Данные 1st'!$HY$2:$HY$317),"")</f>
        <v>0.18</v>
      </c>
      <c r="DX14" s="7">
        <f>IFERROR(AVERAGEIF('Данные 1st'!$S$2:$S$317,$A14,'Данные 1st'!$IA$2:$IA$317),"")</f>
        <v>0.15</v>
      </c>
      <c r="DY14" s="7">
        <f>IFERROR(AVERAGEIF('Данные 1st'!$S$2:$S$317,$A14,'Данные 1st'!$IB$2:$IB$317),"")</f>
        <v>0</v>
      </c>
      <c r="DZ14" s="7">
        <f>IFERROR(AVERAGEIF('Данные 1st'!$S$2:$S$317,$A14,'Данные 1st'!$IC$2:$IC$317),"")</f>
        <v>180</v>
      </c>
      <c r="EA14" s="7">
        <f>IFERROR(AVERAGEIF('Данные 1st'!$S$2:$S$317,$A14,'Данные 1st'!$ID$2:$ID$317),"")</f>
        <v>109.16666666666667</v>
      </c>
      <c r="EB14" s="7">
        <f>IFERROR(AVERAGEIF('Данные 1st'!$S$2:$S$317,$A14,'Данные 1st'!$IE$2:$IE$317),"")</f>
        <v>0</v>
      </c>
      <c r="EC14" s="7">
        <f>IFERROR(AVERAGEIF('Данные 1st'!$S$2:$S$317,$A14,'Данные 1st'!$IF$2:$IF$317),"")</f>
        <v>0</v>
      </c>
      <c r="ED14" s="7">
        <f>IFERROR(AVERAGEIF('Данные 1st'!$S$2:$S$317,$A14,'Данные 1st'!$IP$2:$IP$317),"")</f>
        <v>17</v>
      </c>
      <c r="EE14" s="7">
        <f>IFERROR(AVERAGEIF('Данные 1st'!$S$2:$S$317,$A14,'Данные 1st'!$IV$2:$IV$317),"")</f>
        <v>1301</v>
      </c>
      <c r="EF14" s="7">
        <f>IFERROR(AVERAGEIF('Данные 1st'!$S$2:$S$317,$A14,'Данные 1st'!$IW$2:$IW$317),"")</f>
        <v>367.3333333333333</v>
      </c>
      <c r="EG14" s="7">
        <f>IFERROR(AVERAGEIF('Данные 1st'!$S$2:$S$317,$A14,'Данные 1st'!$IX$2:$IX$317),"")</f>
        <v/>
      </c>
      <c r="EH14" s="7">
        <f>IFERROR(AVERAGEIF('Данные 1st'!$S$2:$S$317,$A14,'Данные 1st'!$IY$2:$IY$317),"")</f>
        <v/>
      </c>
      <c r="EI14" s="7">
        <f>IFERROR(AVERAGEIF('Данные 1st'!$S$2:$S$317,$A14,'Данные 1st'!$JD$2:$JD$317),"")</f>
        <v>1314.8333333333333</v>
      </c>
      <c r="EJ14" s="7">
        <f>IFERROR(AVERAGEIF('Данные 1st'!$S$2:$S$317,$A14,'Данные 1st'!$JE$2:$JE$317),"")</f>
        <v>1312</v>
      </c>
      <c r="EK14" s="7">
        <f>IFERROR(AVERAGEIF('Данные 1st'!$S$2:$S$317,$A14,'Данные 1st'!$JF$2:$JF$317),"")</f>
        <v>0</v>
      </c>
      <c r="EL14" s="7">
        <f>IFERROR(AVERAGEIF('Данные 1st'!$S$2:$S$317,$A14,'Данные 1st'!$JG$2:$JG$317),"")</f>
        <v>1295.5</v>
      </c>
      <c r="EM14" s="7">
        <f>IFERROR(AVERAGEIF('Данные 1st'!$S$2:$S$317,$A14,'Данные 1st'!$JH$2:$JH$317),"")</f>
        <v>0</v>
      </c>
      <c r="EN14" s="7">
        <f>IFERROR(AVERAGEIF('Данные 1st'!$S$2:$S$317,$A14,'Данные 1st'!$JJ$2:$JJ$317),"")</f>
        <v>180</v>
      </c>
      <c r="EO14" s="7">
        <f>IFERROR(AVERAGEIF('Данные 1st'!$S$2:$S$317,$A14,'Данные 1st'!$JK$2:$JK$317),"")</f>
        <v>423.3333333333333</v>
      </c>
      <c r="EP14" s="7">
        <f>IFERROR(AVERAGEIF('Данные 1st'!$S$2:$S$317,$A14,'Данные 1st'!$JL$2:$JL$317),"")</f>
        <v/>
      </c>
      <c r="EQ14" s="7">
        <f>IFERROR(AVERAGEIF('Данные 1st'!$S$2:$S$317,$A14,'Данные 1st'!$JM$2:$JM$317),"")</f>
        <v/>
      </c>
      <c r="ER14" s="7">
        <f>IFERROR(AVERAGEIF('Данные 1st'!$S$2:$S$317,$A14,'Данные 1st'!$JN$2:$JN$317),"")</f>
        <v>342.5</v>
      </c>
      <c r="ES14" s="7">
        <f>IFERROR(AVERAGEIF('Данные 1st'!$S$2:$S$317,$A14,'Данные 1st'!$JO$2:$JO$317),"")</f>
        <v>502.5</v>
      </c>
      <c r="ET14" s="7">
        <f>IFERROR(AVERAGEIF('Данные 1st'!$S$2:$S$317,$A14,'Данные 1st'!$JP$2:$JP$317),"")</f>
        <v>0</v>
      </c>
      <c r="EU14" s="7">
        <f>IFERROR(AVERAGEIF('Данные 1st'!$S$2:$S$317,$A14,'Данные 1st'!$JQ$2:$JQ$317),"")</f>
        <v>0</v>
      </c>
      <c r="EV14" s="7">
        <f>IFERROR(AVERAGEIF('Данные 1st'!$S$2:$S$317,$A14,'Данные 1st'!$JR$2:$JR$317),"")</f>
        <v>330</v>
      </c>
      <c r="EW14" s="7">
        <f>IFERROR(AVERAGEIF('Данные 1st'!$S$2:$S$317,$A14,'Данные 1st'!$JS$2:$JS$317),"")</f>
        <v>122.5</v>
      </c>
      <c r="EX14" s="7">
        <f>IFERROR(AVERAGEIF('Данные 1st'!$S$2:$S$317,$A14,'Данные 1st'!$JT$2:$JT$317),"")</f>
        <v/>
      </c>
      <c r="EY14" s="7">
        <f>IFERROR(AVERAGEIF('Данные 1st'!$S$2:$S$317,$A14,'Данные 1st'!$JU$2:$JU$317),"")</f>
        <v/>
      </c>
      <c r="EZ14" s="7">
        <f>IFERROR(AVERAGEIF('Данные 1st'!$S$2:$S$317,$A14,'Данные 1st'!$JV$2:$JV$317),"")</f>
        <v>8</v>
      </c>
      <c r="FA14" s="7">
        <f>IFERROR(AVERAGEIF('Данные 1st'!$S$2:$S$317,$A14,'Данные 1st'!$JW$2:$JW$317),"")</f>
        <v/>
      </c>
      <c r="FB14" s="7">
        <f>IFERROR(AVERAGEIF('Данные 1st'!$S$2:$S$317,$A14,'Данные 1st'!$JX$2:$JX$317),"")</f>
        <v>69</v>
      </c>
      <c r="FC14" s="7">
        <f>IFERROR(AVERAGEIF('Данные 1st'!$S$2:$S$317,$A14,'Данные 1st'!$JY$2:$JY$317),"")</f>
        <v/>
      </c>
      <c r="FD14" s="7">
        <f>IFERROR(AVERAGEIF('Данные 1st'!$S$2:$S$317,$A14,'Данные 1st'!$JZ$2:$JZ$317),"")</f>
        <v/>
      </c>
      <c r="FE14" s="7">
        <f>IFERROR(AVERAGEIF('Данные 1st'!$S$2:$S$317,$A14,'Данные 1st'!$KA$2:$KA$317),"")</f>
        <v>0</v>
      </c>
      <c r="FF14" s="7">
        <f>IFERROR(AVERAGEIF('Данные 1st'!$S$2:$S$317,$A14,'Данные 1st'!$KB$2:$KB$317),"")</f>
        <v>109.16666666666667</v>
      </c>
      <c r="FG14" s="7">
        <f>IFERROR(AVERAGEIF('Данные 1st'!$S$2:$S$317,$A14,'Данные 1st'!$KC$2:$KC$317),"")</f>
        <v>0</v>
      </c>
      <c r="FH14" s="7">
        <f>IFERROR(AVERAGEIF('Данные 1st'!$S$2:$S$317,$A14,'Данные 1st'!$KD$2:$KD$317),"")</f>
        <v>80</v>
      </c>
      <c r="FI14" s="7">
        <f>IFERROR(AVERAGEIF('Данные 1st'!$S$2:$S$317,$A14,'Данные 1st'!$KE$2:$KE$317),"")</f>
        <v/>
      </c>
      <c r="FJ14" s="7">
        <f>IFERROR(AVERAGEIF('Данные 1st'!$S$2:$S$317,$A14,'Данные 1st'!$KF$2:$KF$317),"")</f>
        <v>4</v>
      </c>
      <c r="FK14" s="7">
        <f>IFERROR(AVERAGEIF('Данные 1st'!$S$2:$S$317,$A14,'Данные 1st'!$KG$2:$KG$317),"")</f>
        <v>2</v>
      </c>
      <c r="FL14" s="7">
        <f>IFERROR(AVERAGEIF('Данные 1st'!$S$2:$S$317,$A14,'Данные 1st'!$KH$2:$KH$317),"")</f>
        <v>2</v>
      </c>
      <c r="FM14" s="7">
        <f>IFERROR(AVERAGEIF('Данные 1st'!$S$2:$S$317,$A14,'Данные 1st'!$KI$2:$KI$317),"")</f>
        <v>2</v>
      </c>
      <c r="FN14" s="7">
        <f>IFERROR(AVERAGEIF('Данные 1st'!$S$2:$S$317,$A14,'Данные 1st'!$KJ$2:$KJ$317),"")</f>
        <v>0</v>
      </c>
      <c r="FO14" s="7">
        <f>IFERROR(AVERAGEIF('Данные 1st'!$S$2:$S$317,$A14,'Данные 1st'!$KK$2:$KK$317),"")</f>
        <v>1.5</v>
      </c>
      <c r="FP14" s="7">
        <f>IFERROR(AVERAGEIF('Данные 1st'!$S$2:$S$317,$A14,'Данные 1st'!$KL$2:$KL$317),"")</f>
        <v>1.5</v>
      </c>
      <c r="FQ14" s="7">
        <f>IFERROR(AVERAGEIF('Данные 1st'!$S$2:$S$317,$A14,'Данные 1st'!$KM$2:$KM$317),"")</f>
        <v>0</v>
      </c>
      <c r="FR14" s="7">
        <f>IFERROR(AVERAGEIF('Данные 1st'!$S$2:$S$317,$A14,'Данные 1st'!$KN$2:$KN$317),"")</f>
        <v>0</v>
      </c>
      <c r="FS14" s="7">
        <f>IFERROR(AVERAGEIF('Данные 1st'!$S$2:$S$317,$A14,'Данные 1st'!$KR$2:$KR$317),"")</f>
        <v>46.666666666666664</v>
      </c>
      <c r="FT14" s="7">
        <f>IFERROR(AVERAGEIF('Данные 1st'!$S$2:$S$317,$A14,'Данные 1st'!$KS$2:$KS$317),"")</f>
        <v>60</v>
      </c>
      <c r="FU14" s="7">
        <f>IFERROR(AVERAGEIF('Данные 1st'!$S$2:$S$317,$A14,'Данные 1st'!$KT$2:$KT$317),"")</f>
        <v>0</v>
      </c>
      <c r="FV14" s="7">
        <f>IFERROR(AVERAGEIF('Данные 1st'!$S$2:$S$317,$A14,'Данные 1st'!$KV$2:$KV$317),"")</f>
        <v/>
      </c>
      <c r="FW14" s="7">
        <f>IFERROR(AVERAGEIF('Данные 1st'!$S$2:$S$317,$A14,'Данные 1st'!$KW$2:$KW$317),"")</f>
        <v/>
      </c>
      <c r="FX14" s="7">
        <f>IFERROR(AVERAGEIF('Данные 1st'!$S$2:$S$317,$A14,'Данные 1st'!$KX$2:$KX$317),"")</f>
        <v/>
      </c>
      <c r="FY14" s="7">
        <f>IFERROR(AVERAGEIF('Данные 1st'!$S$2:$S$317,$A14,'Данные 1st'!$KY$2:$KY$317),"")</f>
        <v/>
      </c>
      <c r="FZ14" s="7">
        <f>IFERROR(AVERAGEIF('Данные 1st'!$S$2:$S$317,$A14,'Данные 1st'!$KZ$2:$KZ$317),"")</f>
        <v/>
      </c>
      <c r="GA14" s="7">
        <f>IFERROR(AVERAGEIF('Данные 1st'!$S$2:$S$317,$A14,'Данные 1st'!$LA$2:$LA$317),"")</f>
        <v/>
      </c>
      <c r="GB14" s="7">
        <f>IFERROR(AVERAGEIF('Данные 1st'!$S$2:$S$317,$A14,'Данные 1st'!$LB$2:$LB$317),"")</f>
        <v/>
      </c>
      <c r="GC14" s="7">
        <f>IFERROR(AVERAGEIF('Данные 1st'!$S$2:$S$317,$A14,'Данные 1st'!$LC$2:$LC$317),"")</f>
        <v/>
      </c>
      <c r="GD14" s="7">
        <f>IFERROR(AVERAGEIF('Данные 1st'!$S$2:$S$317,$A14,'Данные 1st'!$LD$2:$LD$317),"")</f>
        <v/>
      </c>
      <c r="GE14" s="7">
        <f>IFERROR(AVERAGEIF('Данные 1st'!$S$2:$S$317,$A14,'Данные 1st'!$LE$2:$LE$317),"")</f>
        <v/>
      </c>
      <c r="GF14" s="7">
        <f>IFERROR(AVERAGEIF('Данные 1st'!$S$2:$S$317,$A14,'Данные 1st'!$LF$2:$LF$317),"")</f>
        <v/>
      </c>
      <c r="GG14" s="7">
        <f>IFERROR(AVERAGEIF('Данные 1st'!$S$2:$S$317,$A14,'Данные 1st'!$LG$2:$LG$317),"")</f>
        <v/>
      </c>
      <c r="GH14" s="7">
        <f>IFERROR(AVERAGEIF('Данные 1st'!$S$2:$S$317,$A14,'Данные 1st'!$LH$2:$LH$317),"")</f>
        <v/>
      </c>
      <c r="GI14" s="7">
        <f>IFERROR(AVERAGEIF('Данные 1st'!$S$2:$S$317,$A14,'Данные 1st'!$LI$2:$LI$317),"")</f>
        <v/>
      </c>
      <c r="GJ14" s="7">
        <f>IFERROR(AVERAGEIF('Данные 1st'!$S$2:$S$317,$A14,'Данные 1st'!$LJ$2:$LJ$317),"")</f>
        <v/>
      </c>
      <c r="GK14" s="7">
        <f>IFERROR(AVERAGEIF('Данные 1st'!$S$2:$S$317,$A14,'Данные 1st'!$LK$2:$LK$317),"")</f>
        <v>480</v>
      </c>
      <c r="GL14" s="7">
        <f>IFERROR(AVERAGEIF('Данные 1st'!$S$2:$S$317,$A14,'Данные 1st'!$LV$2:$LV$317),"")</f>
        <v/>
      </c>
      <c r="GM14" s="7">
        <f>IFERROR(AVERAGEIF('Данные 1st'!$S$2:$S$317,$A14,'Данные 1st'!$LW$2:$LW$317),"")</f>
        <v/>
      </c>
      <c r="GN14" s="7">
        <f>IFERROR(AVERAGEIF('Данные 1st'!$S$2:$S$317,$A14,'Данные 1st'!$LX$2:$LX$317),"")</f>
        <v>340</v>
      </c>
      <c r="GO14" s="7">
        <f>IFERROR(AVERAGEIF('Данные 1st'!$S$2:$S$317,$A14,'Данные 1st'!$LY$2:$LY$317),"")</f>
        <v/>
      </c>
      <c r="GP14" s="7">
        <f>IFERROR(AVERAGEIF('Данные 1st'!$S$2:$S$317,$A14,'Данные 1st'!$LZ$2:$LZ$317),"")</f>
        <v/>
      </c>
      <c r="GQ14" s="7">
        <f>IFERROR(AVERAGEIF('Данные 1st'!$S$2:$S$317,$A14,'Данные 1st'!$PG$2:$PG$317),"")</f>
        <v>1</v>
      </c>
      <c r="GR14" s="7">
        <f>IFERROR(AVERAGEIF('Данные 1st'!$S$2:$S$317,$A14,'Данные 1st'!$PX$2:$PX$317),"")</f>
        <v>56</v>
      </c>
      <c r="GS14" s="7">
        <f>IFERROR(AVERAGEIF('Данные 1st'!$S$2:$S$317,$A14,'Данные 1st'!$PY$2:$PY$317),"")</f>
        <v>56.5</v>
      </c>
      <c r="GT14" s="7">
        <f>IFERROR(AVERAGEIF('Данные 1st'!$S$2:$S$317,$A14,'Данные 1st'!$QA$2:$QA$317),"")</f>
        <v>1.1666666666666667</v>
      </c>
      <c r="GU14" s="7">
        <f>IFERROR(AVERAGEIF('Данные 1st'!$S$2:$S$317,$A14,'Данные 1st'!$QB$2:$QB$317),"")</f>
        <v>1295.5</v>
      </c>
      <c r="GV14" s="7">
        <f>IFERROR(AVERAGEIF('Данные 1st'!$S$2:$S$317,$A14,'Данные 1st'!$QC$2:$QC$317),"")</f>
        <v>69</v>
      </c>
      <c r="GW14" s="7">
        <f>IFERROR(AVERAGEIF('Данные 1st'!$S$2:$S$317,$A14,'Данные 1st'!$QD$2:$QD$317),"")</f>
        <v>69</v>
      </c>
      <c r="GX14" s="7">
        <f>IFERROR(AVERAGEIF('Данные 1st'!$S$2:$S$317,$A14,'Данные 1st'!$QF$2:$QF$317),"")</f>
        <v>1</v>
      </c>
      <c r="GY14" s="7">
        <f>IFERROR(AVERAGEIF('Данные 1st'!$S$2:$S$317,$A14,'Данные 1st'!$QG$2:$QG$317),"")</f>
        <v>1314.8333333333333</v>
      </c>
      <c r="GZ14" s="7">
        <f>IFERROR(AVERAGEIF('Данные 1st'!$S$2:$S$317,$A14,'Данные 1st'!$QH$2:$QH$317),"")</f>
        <v>66</v>
      </c>
      <c r="HA14" s="7">
        <f>IFERROR(AVERAGEIF('Данные 1st'!$S$2:$S$317,$A14,'Данные 1st'!$QI$2:$QI$317),"")</f>
        <v>66</v>
      </c>
      <c r="HB14" s="7">
        <f>IFERROR(AVERAGEIF('Данные 1st'!$S$2:$S$317,$A14,'Данные 1st'!$QK$2:$QK$317),"")</f>
        <v>1</v>
      </c>
      <c r="HC14" s="7">
        <f>IFERROR(AVERAGEIF('Данные 1st'!$S$2:$S$317,$A14,'Данные 1st'!$QL$2:$QL$317),"")</f>
        <v>219.83333333333334</v>
      </c>
      <c r="HD14" s="7">
        <f>IFERROR(AVERAGEIF('Данные 1st'!$S$2:$S$317,$A14,'Данные 1st'!$QM$2:$QM$317),"")</f>
        <v>62.833333333333336</v>
      </c>
      <c r="HE14" s="7">
        <f>IFERROR(AVERAGEIF('Данные 1st'!$S$2:$S$317,$A14,'Данные 1st'!$QN$2:$QN$317),"")</f>
        <v>62.833333333333336</v>
      </c>
      <c r="HF14" s="7">
        <f>IFERROR(AVERAGEIF('Данные 1st'!$S$2:$S$317,$A14,'Данные 1st'!$QP$2:$QP$317),"")</f>
        <v>1</v>
      </c>
      <c r="HG14" s="7">
        <f>IFERROR(AVERAGEIF('Данные 1st'!$S$2:$S$317,$A14,'Данные 1st'!$QQ$2:$QQ$317),"")</f>
        <v>1312</v>
      </c>
      <c r="HH14" s="7">
        <f>IFERROR(AVERAGEIF('Данные 1st'!$S$2:$S$317,$A14,'Данные 1st'!$QR$2:$QR$317),"")</f>
        <v/>
      </c>
      <c r="HI14" s="7">
        <f>IFERROR(AVERAGEIF('Данные 1st'!$S$2:$S$317,$A14,'Данные 1st'!$QS$2:$QS$317),"")</f>
        <v/>
      </c>
      <c r="HJ14" s="7">
        <f>IFERROR(AVERAGEIF('Данные 1st'!$S$2:$S$317,$A14,'Данные 1st'!$QU$2:$QU$317),"")</f>
        <v/>
      </c>
      <c r="HK14" s="7">
        <f>IFERROR(AVERAGEIF('Данные 1st'!$S$2:$S$317,$A14,'Данные 1st'!$QV$2:$QV$317),"")</f>
        <v/>
      </c>
      <c r="HL14" s="7">
        <f>IFERROR(AVERAGEIF('Данные 1st'!$S$2:$S$317,$A14,'Данные 1st'!$QW$2:$QW$317),"")</f>
        <v>82</v>
      </c>
      <c r="HM14" s="7">
        <f>IFERROR(AVERAGEIF('Данные 1st'!$S$2:$S$317,$A14,'Данные 1st'!$QX$2:$QX$317),"")</f>
        <v>83.66666666666667</v>
      </c>
      <c r="HN14" s="7">
        <f>IFERROR(AVERAGEIF('Данные 1st'!$S$2:$S$317,$A14,'Данные 1st'!$QZ$2:$QZ$317),"")</f>
        <v>1.6666666666666667</v>
      </c>
      <c r="HO14" s="7">
        <f>IFERROR(AVERAGEIF('Данные 1st'!$S$2:$S$317,$A14,'Данные 1st'!$RA$2:$RA$317),"")</f>
        <v>66</v>
      </c>
      <c r="HP14" s="7">
        <f>IFERROR(AVERAGEIF('Данные 1st'!$S$2:$S$317,$A14,'Данные 1st'!$RB$2:$RB$317),"")</f>
        <v>66</v>
      </c>
      <c r="HQ14" s="7">
        <f>IFERROR(AVERAGEIF('Данные 1st'!$S$2:$S$317,$A14,'Данные 1st'!$RD$2:$RD$317),"")</f>
        <v/>
      </c>
      <c r="HR14" s="7">
        <f>IFERROR(AVERAGEIF('Данные 1st'!$S$2:$S$317,$A14,'Данные 1st'!$RE$2:$RE$317),"")</f>
        <v>0</v>
      </c>
      <c r="HS14" s="7">
        <f>IFERROR(AVERAGEIF('Данные 1st'!$S$2:$S$317,$A14,'Данные 1st'!$RF$2:$RF$317),"")</f>
        <v>1</v>
      </c>
      <c r="HT14" s="7">
        <f>IFERROR(AVERAGEIF('Данные 1st'!$S$2:$S$317,$A14,'Данные 1st'!$RG$2:$RG$317),"")</f>
        <v>1</v>
      </c>
      <c r="HU14" s="7">
        <f>IFERROR(AVERAGEIF('Данные 1st'!$S$2:$S$317,$A14,'Данные 1st'!$RH$2:$RH$317),"")</f>
        <v/>
      </c>
      <c r="HV14" s="7">
        <f>IFERROR(AVERAGEIF('Данные 1st'!$S$2:$S$317,$A14,'Данные 1st'!$RI$2:$RI$317),"")</f>
        <v/>
      </c>
      <c r="HW14" s="7">
        <f>IFERROR(AVERAGEIF('Данные 1st'!$S$2:$S$317,$A14,'Данные 1st'!$RJ$2:$RJ$317),"")</f>
        <v>1.3333333333333333</v>
      </c>
      <c r="HX14" s="7">
        <f>IFERROR(AVERAGEIF('Данные 1st'!$S$2:$S$317,$A14,'Данные 1st'!$RK$2:$RK$317),"")</f>
        <v>2</v>
      </c>
      <c r="HY14" s="7">
        <f>IFERROR(AVERAGEIF('Данные 1st'!$S$2:$S$317,$A14,'Данные 1st'!$RL$2:$RL$317),"")</f>
        <v>2</v>
      </c>
      <c r="HZ14" s="7">
        <f>IFERROR(AVERAGEIF('Данные 1st'!$S$2:$S$317,$A14,'Данные 1st'!$RM$2:$RM$317),"")</f>
        <v/>
      </c>
      <c r="IA14" s="7">
        <f>IFERROR(AVERAGEIF('Данные 1st'!$S$2:$S$317,$A14,'Данные 1st'!$RN$2:$RN$317),"")</f>
        <v/>
      </c>
      <c r="IB14" s="7">
        <f>IFERROR(AVERAGEIF('Данные 1st'!$S$2:$S$317,$A14,'Данные 1st'!$RO$2:$RO$317),"")</f>
        <v>484.5</v>
      </c>
      <c r="IC14" s="7">
        <f>IFERROR(AVERAGEIF('Данные 1st'!$S$2:$S$317,$A14,'Данные 1st'!$RP$2:$RP$317),"")</f>
        <v>105</v>
      </c>
      <c r="ID14" s="7">
        <f>IFERROR(AVERAGEIF('Данные 1st'!$S$2:$S$317,$A14,'Данные 1st'!$RQ$2:$RQ$317),"")</f>
        <v>831.6666666666666</v>
      </c>
      <c r="IE14" s="7">
        <f>IFERROR(AVERAGEIF('Данные 1st'!$S$2:$S$317,$A14,'Данные 1st'!$RR$2:$RR$317),"")</f>
        <v/>
      </c>
      <c r="IF14" s="7">
        <f>IFERROR(AVERAGEIF('Данные 1st'!$S$2:$S$317,$A14,'Данные 1st'!$RS$2:$RS$317),"")</f>
        <v/>
      </c>
      <c r="IG14" s="7">
        <f>IFERROR(AVERAGEIF('Данные 1st'!$S$2:$S$317,$A14,'Данные 1st'!$RT$2:$RT$317),"")</f>
        <v>228.5</v>
      </c>
      <c r="IH14" s="7">
        <f>IFERROR(AVERAGEIF('Данные 1st'!$S$2:$S$317,$A14,'Данные 1st'!$RU$2:$RU$317),"")</f>
        <v>154</v>
      </c>
      <c r="II14" s="7">
        <f>IFERROR(AVERAGEIF('Данные 1st'!$S$2:$S$317,$A14,'Данные 1st'!$RX$2:$RX$317),"")</f>
        <v>15</v>
      </c>
      <c r="IJ14" s="7">
        <f>IFERROR(AVERAGEIF('Данные 1st'!$S$2:$S$317,$A14,'Данные 1st'!$RY$2:$RY$317),"")</f>
        <v>4</v>
      </c>
      <c r="IK14" s="7">
        <f>IFERROR(AVERAGEIF('Данные 1st'!$S$2:$S$317,$A14,'Данные 1st'!$SA$2:$SA$317),"")</f>
        <v>15</v>
      </c>
      <c r="IL14" s="7">
        <f>IFERROR(AVERAGEIF('Данные 1st'!$S$2:$S$317,$A14,'Данные 1st'!$SD$2:$SD$317),"")</f>
        <v>1</v>
      </c>
      <c r="IM14" s="7">
        <f>IFERROR(AVERAGEIF('Данные 1st'!$S$2:$S$317,$A14,'Данные 1st'!$SG$2:$SG$317),"")</f>
        <v/>
      </c>
      <c r="IN14" s="7">
        <f>IFERROR(AVERAGEIF('Данные 1st'!$S$2:$S$317,$A14,'Данные 1st'!$SH$2:$SH$317),"")</f>
        <v>0.995</v>
      </c>
      <c r="IO14" s="7">
        <f>IFERROR(AVERAGEIF('Данные 1st'!$S$2:$S$317,$A14,'Данные 1st'!$SI$2:$SI$317),"")</f>
        <v>0.995</v>
      </c>
      <c r="IP14" s="7">
        <f>IFERROR(AVERAGEIF('Данные 1st'!$S$2:$S$317,$A14,'Данные 1st'!$SJ$2:$SJ$317),"")</f>
        <v>0.995</v>
      </c>
      <c r="IQ14" s="7">
        <f>IFERROR(AVERAGEIF('Данные 1st'!$S$2:$S$317,$A14,'Данные 1st'!$SK$2:$SK$317),"")</f>
        <v>15</v>
      </c>
      <c r="IR14" s="7">
        <f>IFERROR(AVERAGEIF('Данные 1st'!$S$2:$S$317,$A14,'Данные 1st'!$SL$2:$SL$317),"")</f>
        <v>0</v>
      </c>
      <c r="IS14" s="7">
        <f>IFERROR(AVERAGEIF('Данные 1st'!$S$2:$S$317,$A14,'Данные 1st'!$SM$2:$SM$317),"")</f>
        <v>0</v>
      </c>
      <c r="IT14" s="7">
        <f>IFERROR(AVERAGEIF('Данные 1st'!$S$2:$S$317,$A14,'Данные 1st'!$SN$2:$SN$317),"")</f>
        <v>0</v>
      </c>
      <c r="IU14" s="7">
        <f>IFERROR(AVERAGEIF('Данные 1st'!$S$2:$S$317,$A14,'Данные 1st'!$SO$2:$SO$317),"")</f>
        <v>0</v>
      </c>
      <c r="IV14" s="7">
        <f>IFERROR(AVERAGEIF('Данные 1st'!$S$2:$S$317,$A14,'Данные 1st'!$SP$2:$SP$317),"")</f>
        <v>0</v>
      </c>
      <c r="IW14" s="7">
        <f>IFERROR(AVERAGEIF('Данные 1st'!$S$2:$S$317,$A14,'Данные 1st'!$SQ$2:$SQ$317),"")</f>
        <v>0</v>
      </c>
      <c r="IX14" s="7">
        <f>IFERROR(AVERAGEIF('Данные 1st'!$S$2:$S$317,$A14,'Данные 1st'!$SR$2:$SR$317),"")</f>
        <v>0</v>
      </c>
      <c r="IY14" s="7">
        <f>IFERROR(AVERAGEIF('Данные 1st'!$S$2:$S$317,$A14,'Данные 1st'!$SS$2:$SS$317),"")</f>
        <v>0</v>
      </c>
      <c r="IZ14" s="7">
        <f>IFERROR(AVERAGEIF('Данные 1st'!$S$2:$S$317,$A14,'Данные 1st'!$ST$2:$ST$317),"")</f>
        <v>0</v>
      </c>
      <c r="JA14" s="7">
        <f>IFERROR(AVERAGEIF('Данные 1st'!$S$2:$S$317,$A14,'Данные 1st'!$SU$2:$SU$317),"")</f>
        <v>0</v>
      </c>
      <c r="JB14" s="7">
        <f>IFERROR(AVERAGEIF('Данные 1st'!$S$2:$S$317,$A14,'Данные 1st'!$SV$2:$SV$317),"")</f>
        <v>0</v>
      </c>
      <c r="JC14" s="7">
        <f>IFERROR(AVERAGEIF('Данные 1st'!$S$2:$S$317,$A14,'Данные 1st'!$SW$2:$SW$317),"")</f>
        <v>0</v>
      </c>
      <c r="JD14" s="7">
        <f>IFERROR(AVERAGEIF('Данные 1st'!$S$2:$S$317,$A14,'Данные 1st'!$SX$2:$SX$317),"")</f>
        <v>0</v>
      </c>
      <c r="JE14" s="7">
        <f>IFERROR(AVERAGEIF('Данные 1st'!$S$2:$S$317,$A14,'Данные 1st'!$SY$2:$SY$317),"")</f>
        <v>1</v>
      </c>
      <c r="JF14" s="7">
        <f>IFERROR(AVERAGEIF('Данные 1st'!$S$2:$S$317,$A14,'Данные 1st'!$SZ$2:$SZ$317),"")</f>
        <v/>
      </c>
      <c r="JG14" s="7">
        <f>IFERROR(AVERAGEIF('Данные 1st'!$S$2:$S$317,$A14,'Данные 1st'!$TA$2:$TA$317),"")</f>
        <v/>
      </c>
      <c r="JH14" s="7">
        <f>IFERROR(AVERAGEIF('Данные 1st'!$S$2:$S$317,$A14,'Данные 1st'!$TB$2:$TB$317),"")</f>
        <v>0</v>
      </c>
      <c r="JI14" s="7">
        <f>IFERROR(AVERAGEIF('Данные 1st'!$S$2:$S$317,$A14,'Данные 1st'!$TC$2:$TC$317),"")</f>
        <v>0</v>
      </c>
      <c r="JJ14" s="7">
        <f>IFERROR(AVERAGEIF('Данные 1st'!$S$2:$S$317,$A14,'Данные 1st'!$TD$2:$TD$317),"")</f>
        <v>7.5</v>
      </c>
      <c r="JK14" s="7">
        <f>IFERROR(AVERAGEIF('Данные 1st'!$S$2:$S$317,$A14,'Данные 1st'!$TN$2:$TN$317),"")</f>
        <v>0</v>
      </c>
      <c r="JL14">
        <f>COUNTIF('Данные 2st'!$Q$2:$Q$317,$A14)</f>
        <v>6</v>
      </c>
      <c r="JM14" s="6" t="s">
        <v>5087</v>
      </c>
      <c r="JN14" s="6" t="s">
        <v>513</v>
      </c>
      <c r="JO14" s="6" t="s">
        <v>5125</v>
      </c>
      <c r="JP14" s="6" t="s">
        <v>5472</v>
      </c>
      <c r="JQ14" s="7">
        <f>IFERROR(AVERAGEIF('Данные 2st'!$Q$2:$Q$317,$A14,'Данные 2st'!$AC$2:$AC$317),"")</f>
        <v>9.833333333333334</v>
      </c>
      <c r="JR14" s="7">
        <f>IFERROR(AVERAGEIF('Данные 2st'!$Q$2:$Q$317,$A14,'Данные 2st'!$AF$2:$AF$317),"")</f>
        <v>3793</v>
      </c>
      <c r="JS14" s="7">
        <f>IFERROR(AVERAGEIF('Данные 2st'!$Q$2:$Q$317,$A14,'Данные 2st'!$AW$2:$AW$317),"")</f>
        <v>6.4</v>
      </c>
      <c r="JT14" s="7">
        <f>IFERROR(AVERAGEIF('Данные 2st'!$Q$2:$Q$317,$A14,'Данные 2st'!$AX$2:$AX$317),"")</f>
        <v>-6</v>
      </c>
      <c r="JU14" s="7">
        <f>IFERROR(AVERAGEIF('Данные 2st'!$Q$2:$Q$317,$A14,'Данные 2st'!$AY$2:$AY$317),"")</f>
        <v>94.58333333333333</v>
      </c>
      <c r="JV14" s="7">
        <f>IFERROR(AVERAGEIF('Данные 2st'!$Q$2:$Q$317,$A14,'Данные 2st'!$AZ$2:$AZ$317),"")</f>
        <v>72.33333333333333</v>
      </c>
      <c r="JW14" s="7">
        <f>IFERROR(AVERAGEIF('Данные 2st'!$Q$2:$Q$317,$A14,'Данные 2st'!$BA$2:$BA$317),"")</f>
        <v/>
      </c>
      <c r="JX14" s="7">
        <f>IFERROR(AVERAGEIF('Данные 2st'!$Q$2:$Q$317,$A14,'Данные 2st'!$BB$2:$BB$317),"")</f>
        <v/>
      </c>
      <c r="JY14" s="7">
        <f>IFERROR(AVERAGEIF('Данные 2st'!$Q$2:$Q$317,$A14,'Данные 2st'!$BC$2:$BC$317),"")</f>
        <v/>
      </c>
      <c r="JZ14" s="7">
        <f>IFERROR(AVERAGEIF('Данные 2st'!$Q$2:$Q$317,$A14,'Данные 2st'!$BH$2:$BH$317),"")</f>
        <v>94.58333333333333</v>
      </c>
      <c r="KA14" s="7">
        <f>IFERROR(AVERAGEIF('Данные 2st'!$Q$2:$Q$317,$A14,'Данные 2st'!$BI$2:$BI$317),"")</f>
        <v>22.25</v>
      </c>
      <c r="KB14" s="7">
        <f>IFERROR(AVERAGEIF('Данные 2st'!$Q$2:$Q$317,$A14,'Данные 2st'!$BJ$2:$BJ$317),"")</f>
        <v>72.33333333333333</v>
      </c>
      <c r="KC14" s="7">
        <f>IFERROR(AVERAGEIF('Данные 2st'!$Q$2:$Q$317,$A14,'Данные 2st'!$BK$2:$BK$317),"")</f>
        <v>2.9166666666666665</v>
      </c>
      <c r="KD14" s="7">
        <f>IFERROR(AVERAGEIF('Данные 2st'!$Q$2:$Q$317,$A14,'Данные 2st'!$BL$2:$BL$317),"")</f>
        <v>189.16666666666666</v>
      </c>
      <c r="KE14" s="7">
        <f>IFERROR(AVERAGEIF('Данные 2st'!$Q$2:$Q$317,$A14,'Данные 2st'!$BM$2:$BM$317),"")</f>
        <v>-6</v>
      </c>
      <c r="KF14" s="7">
        <f>IFERROR(AVERAGEIF('Данные 2st'!$Q$2:$Q$317,$A14,'Данные 2st'!$BN$2:$BN$317),"")</f>
        <v>0</v>
      </c>
      <c r="KG14" s="7">
        <f>IFERROR(AVERAGEIF('Данные 2st'!$Q$2:$Q$317,$A14,'Данные 2st'!$BO$2:$BO$317),"")</f>
        <v>0</v>
      </c>
      <c r="KH14" s="7">
        <f>IFERROR(AVERAGEIF('Данные 2st'!$Q$2:$Q$317,$A14,'Данные 2st'!$BP$2:$BP$317),"")</f>
        <v>0</v>
      </c>
      <c r="KI14" s="7">
        <f>IFERROR(AVERAGEIF('Данные 2st'!$Q$2:$Q$317,$A14,'Данные 2st'!$BR$2:$BR$317),"")</f>
        <v>183.33333333333334</v>
      </c>
      <c r="KJ14" s="7">
        <f>IFERROR(AVERAGEIF('Данные 2st'!$Q$2:$Q$317,$A14,'Данные 2st'!$BS$2:$BS$317),"")</f>
        <v>173.33333333333334</v>
      </c>
      <c r="KK14" s="7">
        <f>IFERROR(AVERAGEIF('Данные 2st'!$Q$2:$Q$317,$A14,'Данные 2st'!$BT$2:$BT$317),"")</f>
        <v>1863.3333333333333</v>
      </c>
      <c r="KL14" s="7">
        <f>IFERROR(AVERAGEIF('Данные 2st'!$Q$2:$Q$317,$A14,'Данные 2st'!$CV$2:$CV$317),"")</f>
        <v>116.5</v>
      </c>
      <c r="KM14" s="7">
        <f>IFERROR(AVERAGEIF('Данные 2st'!$Q$2:$Q$317,$A14,'Данные 2st'!$CW$2:$CW$317),"")</f>
        <v>3</v>
      </c>
      <c r="KN14" s="7">
        <f>IFERROR(AVERAGEIF('Данные 2st'!$Q$2:$Q$317,$A14,'Данные 2st'!$CX$2:$CX$317),"")</f>
        <v>94.66666666666667</v>
      </c>
      <c r="KO14" s="7">
        <f>IFERROR(AVERAGEIF('Данные 2st'!$Q$2:$Q$317,$A14,'Данные 2st'!$CY$2:$CY$317),"")</f>
        <v>5</v>
      </c>
      <c r="KP14" s="7">
        <f>IFERROR(AVERAGEIF('Данные 2st'!$Q$2:$Q$317,$A14,'Данные 2st'!$CZ$2:$CZ$317),"")</f>
        <v>117.83333333333333</v>
      </c>
      <c r="KQ14" s="7">
        <f>IFERROR(AVERAGEIF('Данные 2st'!$Q$2:$Q$317,$A14,'Данные 2st'!$DA$2:$DA$317),"")</f>
        <v>5</v>
      </c>
      <c r="KR14" s="7">
        <f>IFERROR(AVERAGEIF('Данные 2st'!$Q$2:$Q$317,$A14,'Данные 2st'!$DB$2:$DB$317),"")</f>
        <v>8968.333333333334</v>
      </c>
      <c r="KS14" s="7">
        <f>IFERROR(AVERAGEIF('Данные 2st'!$Q$2:$Q$317,$A14,'Данные 2st'!$DC$2:$DC$317),"")</f>
        <v>263.3333333333333</v>
      </c>
      <c r="KT14" s="7">
        <f>IFERROR(AVERAGEIF('Данные 2st'!$Q$2:$Q$317,$A14,'Данные 2st'!$DD$2:$DD$317),"")</f>
        <v>293</v>
      </c>
      <c r="KU14" s="7">
        <f>IFERROR(AVERAGEIF('Данные 2st'!$Q$2:$Q$317,$A14,'Данные 2st'!$DE$2:$DE$317),"")</f>
        <v>1962.5</v>
      </c>
      <c r="KV14" s="7">
        <f>IFERROR(AVERAGEIF('Данные 2st'!$Q$2:$Q$317,$A14,'Данные 2st'!$DF$2:$DF$317),"")</f>
        <v>1961.6666666666667</v>
      </c>
      <c r="KW14" s="7">
        <f>IFERROR(AVERAGEIF('Данные 2st'!$Q$2:$Q$317,$A14,'Данные 2st'!$DG$2:$DG$317),"")</f>
        <v>1979.1666666666667</v>
      </c>
      <c r="KX14" s="7">
        <f>IFERROR(AVERAGEIF('Данные 2st'!$Q$2:$Q$317,$A14,'Данные 2st'!$DH$2:$DH$317),"")</f>
        <v>3</v>
      </c>
      <c r="KY14" s="7">
        <f>IFERROR(AVERAGEIF('Данные 2st'!$Q$2:$Q$317,$A14,'Данные 2st'!$DI$2:$DI$317),"")</f>
        <v/>
      </c>
      <c r="KZ14" s="7">
        <f>IFERROR(AVERAGEIF('Данные 2st'!$Q$2:$Q$317,$A14,'Данные 2st'!$DK$2:$DK$317),"")</f>
        <v>183.33333333333334</v>
      </c>
      <c r="LA14" s="7">
        <f>IFERROR(AVERAGEIF('Данные 2st'!$Q$2:$Q$317,$A14,'Данные 2st'!$DM$2:$DM$317),"")</f>
        <v>64.66666666666667</v>
      </c>
      <c r="LB14" s="7">
        <f>IFERROR(AVERAGEIF('Данные 2st'!$Q$2:$Q$317,$A14,'Данные 2st'!$DN$2:$DN$317),"")</f>
        <v>0.84</v>
      </c>
      <c r="LC14" s="7">
        <f>IFERROR(AVERAGEIF('Данные 2st'!$Q$2:$Q$317,$A14,'Данные 2st'!$DO$2:$DO$317),"")</f>
        <v>1</v>
      </c>
      <c r="LD14" s="7">
        <f>IFERROR(AVERAGEIF('Данные 2st'!$Q$2:$Q$317,$A14,'Данные 2st'!$DP$2:$DP$317),"")</f>
        <v>1866.3333333333333</v>
      </c>
      <c r="LE14" s="7">
        <f>IFERROR(AVERAGEIF('Данные 2st'!$Q$2:$Q$317,$A14,'Данные 2st'!$DQ$2:$DQ$317),"")</f>
        <v>625.3333333333334</v>
      </c>
      <c r="LF14" s="7">
        <f>IFERROR(AVERAGEIF('Данные 2st'!$Q$2:$Q$317,$A14,'Данные 2st'!$DS$2:$DS$317),"")</f>
        <v>173.33333333333334</v>
      </c>
      <c r="LG14" s="7">
        <f>IFERROR(AVERAGEIF('Данные 2st'!$Q$2:$Q$317,$A14,'Данные 2st'!$DU$2:$DU$317),"")</f>
        <v>64.66666666666667</v>
      </c>
      <c r="LH14" s="7">
        <f>IFERROR(AVERAGEIF('Данные 2st'!$Q$2:$Q$317,$A14,'Данные 2st'!$DV$2:$DV$317),"")</f>
        <v>0.84</v>
      </c>
      <c r="LI14" s="7">
        <f>IFERROR(AVERAGEIF('Данные 2st'!$Q$2:$Q$317,$A14,'Данные 2st'!$DW$2:$DW$317),"")</f>
        <v>1</v>
      </c>
      <c r="LJ14" s="7">
        <f>IFERROR(AVERAGEIF('Данные 2st'!$Q$2:$Q$317,$A14,'Данные 2st'!$DX$2:$DX$317),"")</f>
        <v>1873.3333333333333</v>
      </c>
      <c r="LK14" s="7">
        <f>IFERROR(AVERAGEIF('Данные 2st'!$Q$2:$Q$317,$A14,'Данные 2st'!$DY$2:$DY$317),"")</f>
        <v>593.3333333333334</v>
      </c>
      <c r="LL14" s="7">
        <f>IFERROR(AVERAGEIF('Данные 2st'!$Q$2:$Q$317,$A14,'Данные 2st'!$EA$2:$EA$317),"")</f>
        <v>33</v>
      </c>
      <c r="LM14" s="7">
        <f>IFERROR(AVERAGEIF('Данные 2st'!$Q$2:$Q$317,$A14,'Данные 2st'!$EC$2:$EC$317),"")</f>
        <v>0.4</v>
      </c>
      <c r="LN14" s="7">
        <f>IFERROR(AVERAGEIF('Данные 2st'!$Q$2:$Q$317,$A14,'Данные 2st'!$ED$2:$ED$317),"")</f>
        <v>1866.3333333333333</v>
      </c>
      <c r="LO14" s="7">
        <f>IFERROR(AVERAGEIF('Данные 2st'!$Q$2:$Q$317,$A14,'Данные 2st'!$EE$2:$EE$317),"")</f>
        <v>54.166666666666664</v>
      </c>
      <c r="LP14" s="7">
        <f>IFERROR(AVERAGEIF('Данные 2st'!$Q$2:$Q$317,$A14,'Данные 2st'!$EG$2:$EG$317),"")</f>
        <v>33</v>
      </c>
      <c r="LQ14" s="7">
        <f>IFERROR(AVERAGEIF('Данные 2st'!$Q$2:$Q$317,$A14,'Данные 2st'!$EI$2:$EI$317),"")</f>
        <v>0.4</v>
      </c>
      <c r="LR14" s="7">
        <f>IFERROR(AVERAGEIF('Данные 2st'!$Q$2:$Q$317,$A14,'Данные 2st'!$EJ$2:$EJ$317),"")</f>
        <v>1873.3333333333333</v>
      </c>
      <c r="LS14" s="7">
        <f>IFERROR(AVERAGEIF('Данные 2st'!$Q$2:$Q$317,$A14,'Данные 2st'!$EK$2:$EK$317),"")</f>
        <v>54.166666666666664</v>
      </c>
      <c r="LT14" s="7">
        <f>IFERROR(AVERAGEIF('Данные 2st'!$Q$2:$Q$317,$A14,'Данные 2st'!$EM$2:$EM$317),"")</f>
        <v>12</v>
      </c>
      <c r="LU14" s="7">
        <f>IFERROR(AVERAGEIF('Данные 2st'!$Q$2:$Q$317,$A14,'Данные 2st'!$EN$2:$EN$317),"")</f>
        <v>0.5</v>
      </c>
      <c r="LV14" s="7">
        <f>IFERROR(AVERAGEIF('Данные 2st'!$Q$2:$Q$317,$A14,'Данные 2st'!$EO$2:$EO$317),"")</f>
        <v>0.9183333333333333</v>
      </c>
      <c r="LW14" s="7">
        <f>IFERROR(AVERAGEIF('Данные 2st'!$Q$2:$Q$317,$A14,'Данные 2st'!$EP$2:$EP$317),"")</f>
        <v>1873.8933333333332</v>
      </c>
      <c r="LX14" s="7">
        <f>IFERROR(AVERAGEIF('Данные 2st'!$Q$2:$Q$317,$A14,'Данные 2st'!$EQ$2:$EQ$317),"")</f>
        <v>29447.083333333332</v>
      </c>
      <c r="LY14" s="7">
        <f>IFERROR(AVERAGEIF('Данные 2st'!$Q$2:$Q$317,$A14,'Данные 2st'!$ER$2:$ER$317),"")</f>
        <v>6538.133333333333</v>
      </c>
      <c r="LZ14" s="7">
        <f>IFERROR(AVERAGEIF('Данные 2st'!$Q$2:$Q$317,$A14,'Данные 2st'!$ES$2:$ES$317),"")</f>
        <v>0</v>
      </c>
      <c r="MA14" s="7">
        <f>IFERROR(AVERAGEIF('Данные 2st'!$Q$2:$Q$317,$A14,'Данные 2st'!$ET$2:$ET$317),"")</f>
        <v>0</v>
      </c>
      <c r="MB14" s="7">
        <f>IFERROR(AVERAGEIF('Данные 2st'!$Q$2:$Q$317,$A14,'Данные 2st'!$EU$2:$EU$317),"")</f>
        <v>1</v>
      </c>
      <c r="MC14" s="7">
        <f>IFERROR(AVERAGEIF('Данные 2st'!$Q$2:$Q$317,$A14,'Данные 2st'!$EV$2:$EV$317),"")</f>
        <v>35985.833333333336</v>
      </c>
      <c r="MD14" s="7">
        <f>IFERROR(AVERAGEIF('Данные 2st'!$Q$2:$Q$317,$A14,'Данные 2st'!$EW$2:$EW$317),"")</f>
        <v>421.5</v>
      </c>
      <c r="ME14" s="7">
        <f>IFERROR(AVERAGEIF('Данные 2st'!$Q$2:$Q$317,$A14,'Данные 2st'!$EY$2:$EY$317),"")</f>
        <v>198</v>
      </c>
      <c r="MF14" s="7">
        <f>IFERROR(AVERAGEIF('Данные 2st'!$Q$2:$Q$317,$A14,'Данные 2st'!$FA$2:$FA$317),"")</f>
        <v>5.25</v>
      </c>
      <c r="MG14" s="7">
        <f>IFERROR(AVERAGEIF('Данные 2st'!$Q$2:$Q$317,$A14,'Данные 2st'!$FB$2:$FB$317),"")</f>
        <v>1</v>
      </c>
      <c r="MH14" s="7">
        <f>IFERROR(AVERAGEIF('Данные 2st'!$Q$2:$Q$317,$A14,'Данные 2st'!$FC$2:$FC$317),"")</f>
        <v>1</v>
      </c>
      <c r="MI14" s="7">
        <f>IFERROR(AVERAGEIF('Данные 2st'!$Q$2:$Q$317,$A14,'Данные 2st'!$FD$2:$FD$317),"")</f>
        <v>1905.1666666666667</v>
      </c>
      <c r="MJ14" s="7">
        <f>IFERROR(AVERAGEIF('Данные 2st'!$Q$2:$Q$317,$A14,'Данные 2st'!$FE$2:$FE$317),"")</f>
        <v>2133</v>
      </c>
      <c r="MK14" s="7">
        <f>IFERROR(AVERAGEIF('Данные 2st'!$Q$2:$Q$317,$A14,'Данные 2st'!$FG$2:$FG$317),"")</f>
        <v>199</v>
      </c>
      <c r="ML14" s="7">
        <f>IFERROR(AVERAGEIF('Данные 2st'!$Q$2:$Q$317,$A14,'Данные 2st'!$FI$2:$FI$317),"")</f>
        <v>2.3</v>
      </c>
      <c r="MM14" s="7">
        <f>IFERROR(AVERAGEIF('Данные 2st'!$Q$2:$Q$317,$A14,'Данные 2st'!$FJ$2:$FJ$317),"")</f>
        <v>1905.1666666666667</v>
      </c>
      <c r="MN14" s="7">
        <f>IFERROR(AVERAGEIF('Данные 2st'!$Q$2:$Q$317,$A14,'Данные 2st'!$FK$2:$FK$317),"")</f>
        <v>992.6666666666666</v>
      </c>
      <c r="MO14" s="7">
        <f>IFERROR(AVERAGEIF('Данные 2st'!$Q$2:$Q$317,$A14,'Данные 2st'!$FP$2:$FP$317),"")</f>
        <v>1905.1666666666667</v>
      </c>
      <c r="MP14" s="7">
        <f>IFERROR(AVERAGEIF('Данные 2st'!$Q$2:$Q$317,$A14,'Данные 2st'!$FQ$2:$FQ$317),"")</f>
        <v>126</v>
      </c>
      <c r="MQ14" s="7">
        <f>IFERROR(AVERAGEIF('Данные 2st'!$Q$2:$Q$317,$A14,'Данные 2st'!$FS$2:$FS$317),"")</f>
        <v>203</v>
      </c>
      <c r="MR14" s="7">
        <f>IFERROR(AVERAGEIF('Данные 2st'!$Q$2:$Q$317,$A14,'Данные 2st'!$FU$2:$FU$317),"")</f>
        <v>0.4</v>
      </c>
      <c r="MS14" s="7">
        <f>IFERROR(AVERAGEIF('Данные 2st'!$Q$2:$Q$317,$A14,'Данные 2st'!$FV$2:$FV$317),"")</f>
        <v>1905.1666666666667</v>
      </c>
      <c r="MT14" s="7">
        <f>IFERROR(AVERAGEIF('Данные 2st'!$Q$2:$Q$317,$A14,'Данные 2st'!$FW$2:$FW$317),"")</f>
        <v>156.33333333333334</v>
      </c>
      <c r="MU14" s="7">
        <f>IFERROR(AVERAGEIF('Данные 2st'!$Q$2:$Q$317,$A14,'Данные 2st'!$FY$2:$FY$317),"")</f>
        <v>6</v>
      </c>
      <c r="MV14" s="7">
        <f>IFERROR(AVERAGEIF('Данные 2st'!$Q$2:$Q$317,$A14,'Данные 2st'!$GB$2:$GB$317),"")</f>
        <v>1904.2</v>
      </c>
      <c r="MW14" s="7">
        <f>IFERROR(AVERAGEIF('Данные 2st'!$Q$2:$Q$317,$A14,'Данные 2st'!$GC$2:$GC$317),"")</f>
        <v>17.4</v>
      </c>
      <c r="MX14" s="7">
        <f>IFERROR(AVERAGEIF('Данные 2st'!$Q$2:$Q$317,$A14,'Данные 2st'!$GD$2:$GD$317),"")</f>
        <v>3422.5</v>
      </c>
      <c r="MY14" s="7">
        <f>IFERROR(AVERAGEIF('Данные 2st'!$Q$2:$Q$317,$A14,'Данные 2st'!$GN$2:$GN$317),"")</f>
        <v/>
      </c>
      <c r="MZ14" s="7">
        <f>IFERROR(AVERAGEIF('Данные 2st'!$Q$2:$Q$317,$A14,'Данные 2st'!$GQ$2:$GQ$317),"")</f>
        <v>0</v>
      </c>
      <c r="NA14" s="7">
        <f>IFERROR(AVERAGEIF('Данные 2st'!$Q$2:$Q$317,$A14,'Данные 2st'!$GV$2:$GV$317),"")</f>
        <v>7.95</v>
      </c>
      <c r="NB14" s="7">
        <f>IFERROR(AVERAGEIF('Данные 2st'!$Q$2:$Q$317,$A14,'Данные 2st'!$GW$2:$GW$317),"")</f>
        <v>9.333333333333334</v>
      </c>
      <c r="NC14" s="7">
        <f>IFERROR(AVERAGEIF('Данные 2st'!$Q$2:$Q$317,$A14,'Данные 2st'!$GX$2:$GX$317),"")</f>
        <v>0.5</v>
      </c>
      <c r="ND14" s="7">
        <f>IFERROR(AVERAGEIF('Данные 2st'!$Q$2:$Q$317,$A14,'Данные 2st'!$GY$2:$GY$317),"")</f>
        <v>174</v>
      </c>
      <c r="NE14" s="7">
        <f>IFERROR(AVERAGEIF('Данные 2st'!$Q$2:$Q$317,$A14,'Данные 2st'!$GZ$2:$GZ$317),"")</f>
        <v>3</v>
      </c>
      <c r="NF14" s="7">
        <f>IFERROR(AVERAGEIF('Данные 2st'!$Q$2:$Q$317,$A14,'Данные 2st'!$HA$2:$HA$317),"")</f>
        <v>217</v>
      </c>
      <c r="NG14" s="7">
        <f>IFERROR(AVERAGEIF('Данные 2st'!$Q$2:$Q$317,$A14,'Данные 2st'!$HB$2:$HB$317),"")</f>
        <v>3</v>
      </c>
      <c r="NH14" s="7">
        <f>IFERROR(AVERAGEIF('Данные 2st'!$Q$2:$Q$317,$A14,'Данные 2st'!$HC$2:$HC$317),"")</f>
        <v>1905.1666666666667</v>
      </c>
      <c r="NI14" s="7">
        <f>IFERROR(AVERAGEIF('Данные 2st'!$Q$2:$Q$317,$A14,'Данные 2st'!$HD$2:$HD$317),"")</f>
        <v>4</v>
      </c>
      <c r="NJ14" s="7">
        <f>IFERROR(AVERAGEIF('Данные 2st'!$Q$2:$Q$317,$A14,'Данные 2st'!$HM$2:$HM$317),"")</f>
        <v>17</v>
      </c>
      <c r="NK14" s="7">
        <f>IFERROR(AVERAGEIF('Данные 2st'!$Q$2:$Q$317,$A14,'Данные 2st'!$HR$2:$HR$317),"")</f>
        <v>3</v>
      </c>
      <c r="NL14" s="7">
        <f>IFERROR(AVERAGEIF('Данные 2st'!$Q$2:$Q$317,$A14,'Данные 2st'!$HS$2:$HS$317),"")</f>
        <v>1863.3333333333333</v>
      </c>
      <c r="NM14" s="7">
        <f>IFERROR(AVERAGEIF('Данные 2st'!$Q$2:$Q$317,$A14,'Данные 2st'!$HT$2:$HT$317),"")</f>
        <v>5</v>
      </c>
      <c r="NN14" s="7">
        <f>IFERROR(AVERAGEIF('Данные 2st'!$Q$2:$Q$317,$A14,'Данные 2st'!$HY$2:$HY$317),"")</f>
        <v>0</v>
      </c>
      <c r="NO14" s="7">
        <f>IFERROR(AVERAGEIF('Данные 2st'!$Q$2:$Q$317,$A14,'Данные 2st'!$HZ$2:$HZ$317),"")</f>
        <v>64.66666666666667</v>
      </c>
      <c r="NP14" s="7">
        <f>IFERROR(AVERAGEIF('Данные 2st'!$Q$2:$Q$317,$A14,'Данные 2st'!$IA$2:$IA$317),"")</f>
        <v>1866.3333333333333</v>
      </c>
      <c r="NQ14" s="7">
        <f>IFERROR(AVERAGEIF('Данные 2st'!$Q$2:$Q$317,$A14,'Данные 2st'!$IB$2:$IB$317),"")</f>
        <v>1873.3333333333333</v>
      </c>
      <c r="NR14" s="7">
        <f>IFERROR(AVERAGEIF('Данные 2st'!$Q$2:$Q$317,$A14,'Данные 2st'!$IC$2:$IC$317),"")</f>
        <v/>
      </c>
      <c r="NS14" s="7">
        <f>IFERROR(AVERAGEIF('Данные 2st'!$Q$2:$Q$317,$A14,'Данные 2st'!$ID$2:$ID$317),"")</f>
        <v>1905.1666666666667</v>
      </c>
      <c r="NT14" s="7">
        <f>IFERROR(AVERAGEIF('Данные 2st'!$Q$2:$Q$317,$A14,'Данные 2st'!$IE$2:$IE$317),"")</f>
        <v>1905.1666666666667</v>
      </c>
      <c r="NU14" s="7">
        <f>IFERROR(AVERAGEIF('Данные 2st'!$Q$2:$Q$317,$A14,'Данные 2st'!$IF$2:$IF$317),"")</f>
        <v>183.33333333333334</v>
      </c>
      <c r="NV14" s="7">
        <f>IFERROR(AVERAGEIF('Данные 2st'!$Q$2:$Q$317,$A14,'Данные 2st'!$IG$2:$IG$317),"")</f>
        <v>173.33333333333334</v>
      </c>
      <c r="NW14" s="7">
        <f>IFERROR(AVERAGEIF('Данные 2st'!$Q$2:$Q$317,$A14,'Данные 2st'!$IH$2:$IH$317),"")</f>
        <v>217</v>
      </c>
      <c r="NX14" s="7">
        <f>IFERROR(AVERAGEIF('Данные 2st'!$Q$2:$Q$317,$A14,'Данные 2st'!$IJ$2:$IJ$317),"")</f>
        <v>5</v>
      </c>
      <c r="NY14" s="7">
        <f>IFERROR(AVERAGEIF('Данные 2st'!$Q$2:$Q$317,$A14,'Данные 2st'!$IM$2:$IM$317),"")</f>
        <v>0</v>
      </c>
      <c r="NZ14" s="7">
        <f>IFERROR(AVERAGEIF('Данные 2st'!$Q$2:$Q$317,$A14,'Данные 2st'!$IN$2:$IN$317),"")</f>
        <v>180</v>
      </c>
      <c r="OA14" s="7">
        <f>IFERROR(AVERAGEIF('Данные 2st'!$Q$2:$Q$317,$A14,'Данные 2st'!$IO$2:$IO$317),"")</f>
        <v>0</v>
      </c>
      <c r="OB14" s="7">
        <f>IFERROR(AVERAGEIF('Данные 2st'!$Q$2:$Q$317,$A14,'Данные 2st'!$IP$2:$IP$317),"")</f>
        <v>180</v>
      </c>
      <c r="OC14" s="7">
        <f>IFERROR(AVERAGEIF('Данные 2st'!$Q$2:$Q$317,$A14,'Данные 2st'!$IQ$2:$IQ$317),"")</f>
        <v>0</v>
      </c>
      <c r="OD14" s="7">
        <f>IFERROR(AVERAGEIF('Данные 2st'!$Q$2:$Q$317,$A14,'Данные 2st'!$IR$2:$IR$317),"")</f>
        <v>330</v>
      </c>
      <c r="OE14" s="7">
        <f>IFERROR(AVERAGEIF('Данные 2st'!$Q$2:$Q$317,$A14,'Данные 2st'!$IT$2:$IT$317),"")</f>
        <v>90</v>
      </c>
      <c r="OF14" s="7">
        <f>IFERROR(AVERAGEIF('Данные 2st'!$Q$2:$Q$317,$A14,'Данные 2st'!$IU$2:$IU$317),"")</f>
        <v>0</v>
      </c>
      <c r="OG14" s="7">
        <f>IFERROR(AVERAGEIF('Данные 2st'!$Q$2:$Q$317,$A14,'Данные 2st'!$IV$2:$IV$317),"")</f>
        <v>6.4</v>
      </c>
      <c r="OH14" s="7">
        <f>IFERROR(AVERAGEIF('Данные 2st'!$Q$2:$Q$317,$A14,'Данные 2st'!$IW$2:$IW$317),"")</f>
        <v>-6</v>
      </c>
      <c r="OI14" s="7">
        <f>IFERROR(AVERAGEIF('Данные 2st'!$Q$2:$Q$317,$A14,'Данные 2st'!$IX$2:$IX$317),"")</f>
        <v>94.58333333333333</v>
      </c>
      <c r="OJ14" s="7">
        <f>IFERROR(AVERAGEIF('Данные 2st'!$Q$2:$Q$317,$A14,'Данные 2st'!$IY$2:$IY$317),"")</f>
        <v>72.33333333333333</v>
      </c>
      <c r="OK14" s="7">
        <f>IFERROR(AVERAGEIF('Данные 2st'!$Q$2:$Q$317,$A14,'Данные 2st'!$IZ$2:$IZ$317),"")</f>
        <v>0</v>
      </c>
      <c r="OL14" s="7">
        <f>IFERROR(AVERAGEIF('Данные 2st'!$Q$2:$Q$317,$A14,'Данные 2st'!$JA$2:$JA$317),"")</f>
        <v>0</v>
      </c>
      <c r="OM14" s="7">
        <f>IFERROR(AVERAGEIF('Данные 2st'!$Q$2:$Q$317,$A14,'Данные 2st'!$JB$2:$JB$317),"")</f>
        <v>0</v>
      </c>
      <c r="ON14" s="7">
        <f>IFERROR(AVERAGEIF('Данные 2st'!$Q$2:$Q$317,$A14,'Данные 2st'!$JC$2:$JC$317),"")</f>
        <v>0</v>
      </c>
      <c r="OO14" s="7">
        <f>IFERROR(AVERAGEIF('Данные 2st'!$Q$2:$Q$317,$A14,'Данные 2st'!$JD$2:$JD$317),"")</f>
        <v>0</v>
      </c>
      <c r="OP14" s="7">
        <f>IFERROR(AVERAGEIF('Данные 2st'!$Q$2:$Q$317,$A14,'Данные 2st'!$JE$2:$JE$317),"")</f>
        <v>0</v>
      </c>
      <c r="OQ14" s="7">
        <f>IFERROR(AVERAGEIF('Данные 2st'!$Q$2:$Q$317,$A14,'Данные 2st'!$JF$2:$JF$317),"")</f>
        <v>0</v>
      </c>
      <c r="OR14" s="7">
        <f>IFERROR(AVERAGEIF('Данные 2st'!$Q$2:$Q$317,$A14,'Данные 2st'!$JG$2:$JG$317),"")</f>
        <v>0</v>
      </c>
      <c r="OS14" s="7">
        <f>IFERROR(AVERAGEIF('Данные 2st'!$Q$2:$Q$317,$A14,'Данные 2st'!$JH$2:$JH$317),"")</f>
        <v>0</v>
      </c>
      <c r="OT14" s="7">
        <f>IFERROR(AVERAGEIF('Данные 2st'!$Q$2:$Q$317,$A14,'Данные 2st'!$JI$2:$JI$317),"")</f>
        <v>333.3333333333333</v>
      </c>
      <c r="OU14" s="7">
        <f>IFERROR(AVERAGEIF('Данные 2st'!$Q$2:$Q$317,$A14,'Данные 2st'!$JJ$2:$JJ$317),"")</f>
        <v>305.3333333333333</v>
      </c>
      <c r="OV14" s="7">
        <f>IFERROR(AVERAGEIF('Данные 2st'!$Q$2:$Q$317,$A14,'Данные 2st'!$JK$2:$JK$317),"")</f>
        <v>228.83333333333334</v>
      </c>
      <c r="OW14" s="7">
        <f>IFERROR(AVERAGEIF('Данные 2st'!$Q$2:$Q$317,$A14,'Данные 2st'!$JL$2:$JL$317),"")</f>
        <v>303.6666666666667</v>
      </c>
      <c r="OX14" s="7">
        <f>IFERROR(AVERAGEIF('Данные 2st'!$Q$2:$Q$317,$A14,'Данные 2st'!$JM$2:$JM$317),"")</f>
        <v>232</v>
      </c>
      <c r="OY14" s="7">
        <f>IFERROR(AVERAGEIF('Данные 2st'!$Q$2:$Q$317,$A14,'Данные 2st'!$JP$2:$JP$317),"")</f>
        <v>217.5</v>
      </c>
      <c r="OZ14" s="7">
        <f>IFERROR(AVERAGEIF('Данные 2st'!$Q$2:$Q$317,$A14,'Данные 2st'!$JQ$2:$JQ$317),"")</f>
        <v>260.8333333333333</v>
      </c>
      <c r="PA14" s="7">
        <f>IFERROR(AVERAGEIF('Данные 2st'!$Q$2:$Q$317,$A14,'Данные 2st'!$JR$2:$JR$317),"")</f>
        <v>325</v>
      </c>
      <c r="PB14" s="7">
        <f>IFERROR(AVERAGEIF('Данные 2st'!$Q$2:$Q$317,$A14,'Данные 2st'!$JS$2:$JS$317),"")</f>
        <v>275.8333333333333</v>
      </c>
      <c r="PC14" s="7">
        <f>IFERROR(AVERAGEIF('Данные 2st'!$Q$2:$Q$317,$A14,'Данные 2st'!$JT$2:$JT$317),"")</f>
        <v>0</v>
      </c>
      <c r="PD14" s="7">
        <f>IFERROR(AVERAGEIF('Данные 2st'!$Q$2:$Q$317,$A14,'Данные 2st'!$JU$2:$JU$317),"")</f>
        <v>0</v>
      </c>
      <c r="PE14" s="7">
        <f>IFERROR(AVERAGEIF('Данные 2st'!$Q$2:$Q$317,$A14,'Данные 2st'!$JV$2:$JV$317),"")</f>
        <v>306.6666666666667</v>
      </c>
      <c r="PF14" s="7">
        <f>IFERROR(AVERAGEIF('Данные 2st'!$Q$2:$Q$317,$A14,'Данные 2st'!$JW$2:$JW$317),"")</f>
        <v>315.6666666666667</v>
      </c>
      <c r="PG14" s="7">
        <f>IFERROR(AVERAGEIF('Данные 2st'!$Q$2:$Q$317,$A14,'Данные 2st'!$KF$2:$KF$317),"")</f>
        <v>0.18</v>
      </c>
      <c r="PH14" s="7">
        <f>IFERROR(AVERAGEIF('Данные 2st'!$Q$2:$Q$317,$A14,'Данные 2st'!$KG$2:$KG$317),"")</f>
        <v>0.1</v>
      </c>
      <c r="PI14" s="7">
        <f>IFERROR(AVERAGEIF('Данные 2st'!$Q$2:$Q$317,$A14,'Данные 2st'!$KM$2:$KM$317),"")</f>
        <v>0.5</v>
      </c>
      <c r="PJ14" s="7">
        <f>IFERROR(AVERAGEIF('Данные 2st'!$Q$2:$Q$317,$A14,'Данные 2st'!$KN$2:$KN$317),"")</f>
        <v>1.1666666666666665</v>
      </c>
      <c r="PK14" s="7">
        <f>IFERROR(AVERAGEIF('Данные 2st'!$Q$2:$Q$317,$A14,'Данные 2st'!$KO$2:$KO$317),"")</f>
        <v>0</v>
      </c>
      <c r="PL14" s="7">
        <f>IFERROR(AVERAGEIF('Данные 2st'!$Q$2:$Q$317,$A14,'Данные 2st'!$KP$2:$KP$317),"")</f>
        <v>0</v>
      </c>
      <c r="PM14" s="7">
        <f>IFERROR(AVERAGEIF('Данные 2st'!$Q$2:$Q$317,$A14,'Данные 2st'!$KQ$2:$KQ$317),"")</f>
        <v>0.6166666666666667</v>
      </c>
      <c r="PN14" s="7">
        <f>IFERROR(AVERAGEIF('Данные 2st'!$Q$2:$Q$317,$A14,'Данные 2st'!$KR$2:$KR$317),"")</f>
        <v>0.8</v>
      </c>
      <c r="PO14" s="7">
        <f>IFERROR(AVERAGEIF('Данные 2st'!$Q$2:$Q$317,$A14,'Данные 2st'!$KS$2:$KS$317),"")</f>
        <v>0</v>
      </c>
      <c r="PP14" s="7">
        <f>IFERROR(AVERAGEIF('Данные 2st'!$Q$2:$Q$317,$A14,'Данные 2st'!$KT$2:$KT$317),"")</f>
        <v>2.066666666666667</v>
      </c>
      <c r="PQ14" s="7">
        <f>IFERROR(AVERAGEIF('Данные 2st'!$Q$2:$Q$317,$A14,'Данные 2st'!$KU$2:$KU$317),"")</f>
        <v>0</v>
      </c>
      <c r="PR14" s="7">
        <f>IFERROR(AVERAGEIF('Данные 2st'!$Q$2:$Q$317,$A14,'Данные 2st'!$KV$2:$KV$317),"")</f>
        <v>0</v>
      </c>
      <c r="PS14" s="7">
        <f>IFERROR(AVERAGEIF('Данные 2st'!$Q$2:$Q$317,$A14,'Данные 2st'!$KW$2:$KW$317),"")</f>
        <v>1.0333333333333332</v>
      </c>
      <c r="PT14" s="7">
        <f>IFERROR(AVERAGEIF('Данные 2st'!$Q$2:$Q$317,$A14,'Данные 2st'!$KX$2:$KX$317),"")</f>
        <v>1.8333333333333333</v>
      </c>
      <c r="PU14" s="7">
        <f>IFERROR(AVERAGEIF('Данные 2st'!$Q$2:$Q$317,$A14,'Данные 2st'!$KY$2:$KY$317),"")</f>
        <v>0.6666666666666666</v>
      </c>
      <c r="PV14" s="7">
        <f>IFERROR(AVERAGEIF('Данные 2st'!$Q$2:$Q$317,$A14,'Данные 2st'!$KZ$2:$KZ$317),"")</f>
        <v>0</v>
      </c>
      <c r="PW14" s="7">
        <f>IFERROR(AVERAGEIF('Данные 2st'!$Q$2:$Q$317,$A14,'Данные 2st'!$LA$2:$LA$317),"")</f>
        <v>0</v>
      </c>
      <c r="PX14" s="7">
        <f>IFERROR(AVERAGEIF('Данные 2st'!$Q$2:$Q$317,$A14,'Данные 2st'!$LB$2:$LB$317),"")</f>
        <v>0</v>
      </c>
      <c r="PY14" s="7">
        <f>IFERROR(AVERAGEIF('Данные 2st'!$Q$2:$Q$317,$A14,'Данные 2st'!$LC$2:$LC$317),"")</f>
        <v>0</v>
      </c>
      <c r="PZ14" s="7">
        <f>IFERROR(AVERAGEIF('Данные 2st'!$Q$2:$Q$317,$A14,'Данные 2st'!$LD$2:$LD$317),"")</f>
        <v>0</v>
      </c>
      <c r="QA14" s="7">
        <f>IFERROR(AVERAGEIF('Данные 2st'!$Q$2:$Q$317,$A14,'Данные 2st'!$LE$2:$LE$317),"")</f>
        <v>0</v>
      </c>
      <c r="QB14" s="7">
        <f>IFERROR(AVERAGEIF('Данные 2st'!$Q$2:$Q$317,$A14,'Данные 2st'!$LF$2:$LF$317),"")</f>
        <v>0</v>
      </c>
      <c r="QC14" s="7">
        <f>IFERROR(AVERAGEIF('Данные 2st'!$Q$2:$Q$317,$A14,'Данные 2st'!$LG$2:$LG$317),"")</f>
        <v>0</v>
      </c>
      <c r="QD14" s="7">
        <f>IFERROR(AVERAGEIF('Данные 2st'!$Q$2:$Q$317,$A14,'Данные 2st'!$LH$2:$LH$317),"")</f>
        <v>1</v>
      </c>
      <c r="QE14" s="7">
        <f>IFERROR(AVERAGEIF('Данные 2st'!$Q$2:$Q$317,$A14,'Данные 2st'!$LJ$2:$LJ$317),"")</f>
        <v>0</v>
      </c>
      <c r="QF14" s="7">
        <f>IFERROR(AVERAGEIF('Данные 2st'!$Q$2:$Q$317,$A14,'Данные 2st'!$LK$2:$LK$317),"")</f>
        <v>4</v>
      </c>
      <c r="QG14" s="7">
        <f>IFERROR(AVERAGEIF('Данные 2st'!$Q$2:$Q$317,$A14,'Данные 2st'!$LL$2:$LL$317),"")</f>
        <v>5</v>
      </c>
      <c r="QH14" s="7">
        <f>IFERROR(AVERAGEIF('Данные 2st'!$Q$2:$Q$317,$A14,'Данные 2st'!$LM$2:$LM$317),"")</f>
        <v>6</v>
      </c>
      <c r="QI14" s="7">
        <f>IFERROR(AVERAGEIF('Данные 2st'!$Q$2:$Q$317,$A14,'Данные 2st'!$LN$2:$LN$317),"")</f>
        <v>0.23333333333333334</v>
      </c>
      <c r="QJ14" s="7">
        <f>IFERROR(AVERAGEIF('Данные 2st'!$Q$2:$Q$317,$A14,'Данные 2st'!$LO$2:$LO$317),"")</f>
        <v>1.3666666666666667</v>
      </c>
      <c r="QK14" s="7">
        <f>IFERROR(AVERAGEIF('Данные 2st'!$Q$2:$Q$317,$A14,'Данные 2st'!$LP$2:$LP$317),"")</f>
        <v>0</v>
      </c>
      <c r="QL14" s="7">
        <f>IFERROR(AVERAGEIF('Данные 2st'!$Q$2:$Q$317,$A14,'Данные 2st'!$LQ$2:$LQ$317),"")</f>
        <v>0</v>
      </c>
      <c r="QM14" s="7">
        <f>IFERROR(AVERAGEIF('Данные 2st'!$Q$2:$Q$317,$A14,'Данные 2st'!$LW$2:$LW$317),"")</f>
        <v>1.7333333333333334</v>
      </c>
      <c r="QN14" s="7">
        <f>IFERROR(AVERAGEIF('Данные 2st'!$Q$2:$Q$317,$A14,'Данные 2st'!$LX$2:$LX$317),"")</f>
        <v>1.7333333333333334</v>
      </c>
      <c r="QO14" s="7">
        <f>IFERROR(AVERAGEIF('Данные 2st'!$Q$2:$Q$317,$A14,'Данные 2st'!$LY$2:$LY$317),"")</f>
        <v>1.8499999999999999</v>
      </c>
      <c r="QP14" s="7">
        <f>IFERROR(AVERAGEIF('Данные 2st'!$Q$2:$Q$317,$A14,'Данные 2st'!$LZ$2:$LZ$317),"")</f>
        <v>1.8499999999999999</v>
      </c>
      <c r="QQ14" s="7">
        <f>IFERROR(AVERAGEIF('Данные 2st'!$Q$2:$Q$317,$A14,'Данные 2st'!$MB$2:$MB$317),"")</f>
        <v>4.416666666666667</v>
      </c>
      <c r="QR14" s="7">
        <f>IFERROR(AVERAGEIF('Данные 2st'!$Q$2:$Q$317,$A14,'Данные 2st'!$MG$2:$MG$317),"")</f>
        <v>0</v>
      </c>
      <c r="QS14" s="7">
        <f>IFERROR(AVERAGEIF('Данные 2st'!$Q$2:$Q$317,$A14,'Данные 2st'!$MH$2:$MH$317),"")</f>
        <v>0</v>
      </c>
      <c r="QT14" s="7">
        <f>IFERROR(AVERAGEIF('Данные 2st'!$Q$2:$Q$317,$A14,'Данные 2st'!$MI$2:$MI$317),"")</f>
        <v>0</v>
      </c>
      <c r="QU14" s="7">
        <f>IFERROR(AVERAGEIF('Данные 2st'!$Q$2:$Q$317,$A14,'Данные 2st'!$MJ$2:$MJ$317),"")</f>
        <v>0</v>
      </c>
      <c r="QV14" s="7">
        <f>IFERROR(AVERAGEIF('Данные 2st'!$Q$2:$Q$317,$A14,'Данные 2st'!$MK$2:$MK$317),"")</f>
        <v>0</v>
      </c>
      <c r="QW14" s="7">
        <f>IFERROR(AVERAGEIF('Данные 2st'!$Q$2:$Q$317,$A14,'Данные 2st'!$MM$2:$MM$317),"")</f>
        <v>390.5</v>
      </c>
      <c r="QX14" s="7">
        <f>IFERROR(AVERAGEIF('Данные 2st'!$Q$2:$Q$317,$A14,'Данные 2st'!$MQ$2:$MQ$317),"")</f>
        <v/>
      </c>
      <c r="QY14" s="7">
        <f>IFERROR(AVERAGEIF('Данные 2st'!$Q$2:$Q$317,$A14,'Данные 2st'!$MR$2:$MR$317),"")</f>
        <v/>
      </c>
      <c r="QZ14" s="7">
        <f>IFERROR(AVERAGEIF('Данные 2st'!$Q$2:$Q$317,$A14,'Данные 2st'!$MS$2:$MS$317),"")</f>
        <v/>
      </c>
      <c r="RA14" s="7">
        <f>IFERROR(AVERAGEIF('Данные 2st'!$Q$2:$Q$317,$A14,'Данные 2st'!$MT$2:$MT$317),"")</f>
        <v/>
      </c>
      <c r="RB14" s="7">
        <f>IFERROR(AVERAGEIF('Данные 2st'!$Q$2:$Q$317,$A14,'Данные 2st'!$MU$2:$MU$317),"")</f>
        <v/>
      </c>
      <c r="RC14" s="7">
        <f>IFERROR(AVERAGEIF('Данные 2st'!$Q$2:$Q$317,$A14,'Данные 2st'!$MV$2:$MV$317),"")</f>
        <v/>
      </c>
      <c r="RD14" s="7">
        <f>IFERROR(AVERAGEIF('Данные 2st'!$Q$2:$Q$317,$A14,'Данные 2st'!$MW$2:$MW$317),"")</f>
        <v/>
      </c>
      <c r="RE14" s="7">
        <f>IFERROR(AVERAGEIF('Данные 2st'!$Q$2:$Q$317,$A14,'Данные 2st'!$MX$2:$MX$317),"")</f>
        <v/>
      </c>
      <c r="RF14" s="7">
        <f>IFERROR(AVERAGEIF('Данные 2st'!$Q$2:$Q$317,$A14,'Данные 2st'!$MY$2:$MY$317),"")</f>
        <v/>
      </c>
      <c r="RG14" s="7">
        <f>IFERROR(AVERAGEIF('Данные 2st'!$Q$2:$Q$317,$A14,'Данные 2st'!$MZ$2:$MZ$317),"")</f>
        <v/>
      </c>
      <c r="RH14" s="7">
        <f>IFERROR(AVERAGEIF('Данные 2st'!$Q$2:$Q$317,$A14,'Данные 2st'!$NA$2:$NA$317),"")</f>
        <v/>
      </c>
      <c r="RI14" s="7">
        <f>IFERROR(AVERAGEIF('Данные 2st'!$Q$2:$Q$317,$A14,'Данные 2st'!$NB$2:$NB$317),"")</f>
        <v/>
      </c>
      <c r="RJ14" s="7">
        <f>IFERROR(AVERAGEIF('Данные 2st'!$Q$2:$Q$317,$A14,'Данные 2st'!$NC$2:$NC$317),"")</f>
        <v/>
      </c>
      <c r="RK14" s="7">
        <f>IFERROR(AVERAGEIF('Данные 2st'!$Q$2:$Q$317,$A14,'Данные 2st'!$ND$2:$ND$317),"")</f>
        <v/>
      </c>
      <c r="RL14" s="7">
        <f>IFERROR(AVERAGEIF('Данные 2st'!$Q$2:$Q$317,$A14,'Данные 2st'!$NE$2:$NE$317),"")</f>
        <v/>
      </c>
      <c r="RM14" s="7">
        <f>IFERROR(AVERAGEIF('Данные 2st'!$Q$2:$Q$317,$A14,'Данные 2st'!$NF$2:$NF$317),"")</f>
        <v/>
      </c>
      <c r="RN14" s="7">
        <f>IFERROR(AVERAGEIF('Данные 2st'!$Q$2:$Q$317,$A14,'Данные 2st'!$NG$2:$NG$317),"")</f>
        <v/>
      </c>
      <c r="RO14" s="7">
        <f>IFERROR(AVERAGEIF('Данные 2st'!$Q$2:$Q$317,$A14,'Данные 2st'!$NH$2:$NH$317),"")</f>
        <v/>
      </c>
      <c r="RP14" s="7">
        <f>IFERROR(AVERAGEIF('Данные 2st'!$Q$2:$Q$317,$A14,'Данные 2st'!$NJ$2:$NJ$317),"")</f>
        <v/>
      </c>
      <c r="RQ14" s="7">
        <f>IFERROR(AVERAGEIF('Данные 2st'!$Q$2:$Q$317,$A14,'Данные 2st'!$NK$2:$NK$317),"")</f>
        <v/>
      </c>
      <c r="RR14" s="7">
        <f>IFERROR(AVERAGEIF('Данные 2st'!$Q$2:$Q$317,$A14,'Данные 2st'!$NM$2:$NM$317),"")</f>
        <v/>
      </c>
      <c r="RS14" s="7">
        <f>IFERROR(AVERAGEIF('Данные 2st'!$Q$2:$Q$317,$A14,'Данные 2st'!$NN$2:$NN$317),"")</f>
        <v/>
      </c>
      <c r="RT14" s="7">
        <f>IFERROR(AVERAGEIF('Данные 2st'!$Q$2:$Q$317,$A14,'Данные 2st'!$NO$2:$NO$317),"")</f>
        <v/>
      </c>
      <c r="RU14" s="7">
        <f>IFERROR(AVERAGEIF('Данные 2st'!$Q$2:$Q$317,$A14,'Данные 2st'!$NP$2:$NP$317),"")</f>
        <v/>
      </c>
      <c r="RV14" s="7">
        <f>IFERROR(AVERAGEIF('Данные 2st'!$Q$2:$Q$317,$A14,'Данные 2st'!$NQ$2:$NQ$317),"")</f>
        <v/>
      </c>
      <c r="RW14" s="7">
        <f>IFERROR(AVERAGEIF('Данные 2st'!$Q$2:$Q$317,$A14,'Данные 2st'!$NR$2:$NR$317),"")</f>
        <v/>
      </c>
      <c r="RX14" s="7">
        <f>IFERROR(AVERAGEIF('Данные 2st'!$Q$2:$Q$317,$A14,'Данные 2st'!$NS$2:$NS$317),"")</f>
        <v/>
      </c>
      <c r="RY14" s="7">
        <f>IFERROR(AVERAGEIF('Данные 2st'!$Q$2:$Q$317,$A14,'Данные 2st'!$NT$2:$NT$317),"")</f>
        <v/>
      </c>
      <c r="RZ14" s="7">
        <f>IFERROR(AVERAGEIF('Данные 2st'!$Q$2:$Q$317,$A14,'Данные 2st'!$OK$2:$OK$317),"")</f>
        <v>61</v>
      </c>
      <c r="SA14" s="7">
        <f>IFERROR(AVERAGEIF('Данные 2st'!$Q$2:$Q$317,$A14,'Данные 2st'!$OL$2:$OL$317),"")</f>
        <v>61</v>
      </c>
      <c r="SB14" s="7">
        <f>IFERROR(AVERAGEIF('Данные 2st'!$Q$2:$Q$317,$A14,'Данные 2st'!$ON$2:$ON$317),"")</f>
        <v>3</v>
      </c>
      <c r="SC14" s="7">
        <f>IFERROR(AVERAGEIF('Данные 2st'!$Q$2:$Q$317,$A14,'Данные 2st'!$OO$2:$OO$317),"")</f>
        <v>1866.3333333333333</v>
      </c>
      <c r="SD14" s="7">
        <f>IFERROR(AVERAGEIF('Данные 2st'!$Q$2:$Q$317,$A14,'Данные 2st'!$OP$2:$OP$317),"")</f>
        <v>61</v>
      </c>
      <c r="SE14" s="7">
        <f>IFERROR(AVERAGEIF('Данные 2st'!$Q$2:$Q$317,$A14,'Данные 2st'!$OQ$2:$OQ$317),"")</f>
        <v>61</v>
      </c>
      <c r="SF14" s="7">
        <f>IFERROR(AVERAGEIF('Данные 2st'!$Q$2:$Q$317,$A14,'Данные 2st'!$OS$2:$OS$317),"")</f>
        <v>3</v>
      </c>
      <c r="SG14" s="7">
        <f>IFERROR(AVERAGEIF('Данные 2st'!$Q$2:$Q$317,$A14,'Данные 2st'!$OT$2:$OT$317),"")</f>
        <v>1873.3333333333333</v>
      </c>
      <c r="SH14" s="7">
        <f>IFERROR(AVERAGEIF('Данные 2st'!$Q$2:$Q$317,$A14,'Данные 2st'!$OU$2:$OU$317),"")</f>
        <v>65</v>
      </c>
      <c r="SI14" s="7">
        <f>IFERROR(AVERAGEIF('Данные 2st'!$Q$2:$Q$317,$A14,'Данные 2st'!$OV$2:$OV$317),"")</f>
        <v>65</v>
      </c>
      <c r="SJ14" s="7">
        <f>IFERROR(AVERAGEIF('Данные 2st'!$Q$2:$Q$317,$A14,'Данные 2st'!$OX$2:$OX$317),"")</f>
        <v>1.6666666666666667</v>
      </c>
      <c r="SK14" s="7">
        <f>IFERROR(AVERAGEIF('Данные 2st'!$Q$2:$Q$317,$A14,'Данные 2st'!$OY$2:$OY$317),"")</f>
        <v>35985.833333333336</v>
      </c>
      <c r="SL14" s="7">
        <f>IFERROR(AVERAGEIF('Данные 2st'!$Q$2:$Q$317,$A14,'Данные 2st'!$OZ$2:$OZ$317),"")</f>
        <v>51</v>
      </c>
      <c r="SM14" s="7">
        <f>IFERROR(AVERAGEIF('Данные 2st'!$Q$2:$Q$317,$A14,'Данные 2st'!$PA$2:$PA$317),"")</f>
        <v>51.5</v>
      </c>
      <c r="SN14" s="7">
        <f>IFERROR(AVERAGEIF('Данные 2st'!$Q$2:$Q$317,$A14,'Данные 2st'!$PC$2:$PC$317),"")</f>
        <v>2.1666666666666665</v>
      </c>
      <c r="SO14" s="7">
        <f>IFERROR(AVERAGEIF('Данные 2st'!$Q$2:$Q$317,$A14,'Данные 2st'!$PD$2:$PD$317),"")</f>
        <v>1905.1666666666667</v>
      </c>
      <c r="SP14" s="7">
        <f>IFERROR(AVERAGEIF('Данные 2st'!$Q$2:$Q$317,$A14,'Данные 2st'!$PF$2:$PF$317),"")</f>
        <v>335</v>
      </c>
      <c r="SQ14" s="7">
        <f>IFERROR(AVERAGEIF('Данные 2st'!$Q$2:$Q$317,$A14,'Данные 2st'!$PG$2:$PG$317),"")</f>
        <v>29</v>
      </c>
      <c r="SR14" s="7">
        <f>IFERROR(AVERAGEIF('Данные 2st'!$Q$2:$Q$317,$A14,'Данные 2st'!$PH$2:$PH$317),"")</f>
        <v>316.8333333333333</v>
      </c>
      <c r="SS14" s="7">
        <f>IFERROR(AVERAGEIF('Данные 2st'!$Q$2:$Q$317,$A14,'Данные 2st'!$PI$2:$PI$317),"")</f>
        <v>29</v>
      </c>
      <c r="ST14" s="7">
        <f>IFERROR(AVERAGEIF('Данные 2st'!$Q$2:$Q$317,$A14,'Данные 2st'!$PJ$2:$PJ$317),"")</f>
        <v>66.15</v>
      </c>
      <c r="SU14" s="7">
        <f>IFERROR(AVERAGEIF('Данные 2st'!$Q$2:$Q$317,$A14,'Данные 2st'!$PK$2:$PK$317),"")</f>
        <v>1838.6</v>
      </c>
      <c r="SV14" s="7">
        <f>IFERROR(AVERAGEIF('Данные 2st'!$Q$2:$Q$317,$A14,'Данные 2st'!$PL$2:$PL$317),"")</f>
        <v>1119.5833333333333</v>
      </c>
      <c r="SW14" s="7">
        <f>IFERROR(AVERAGEIF('Данные 2st'!$Q$2:$Q$317,$A14,'Данные 2st'!$PM$2:$PM$317),"")</f>
        <v>521.3833333333333</v>
      </c>
      <c r="SX14" s="7">
        <f>IFERROR(AVERAGEIF('Данные 2st'!$Q$2:$Q$317,$A14,'Данные 2st'!$PN$2:$PN$317),"")</f>
        <v>82.13333333333333</v>
      </c>
      <c r="SY14" s="7">
        <f>IFERROR(AVERAGEIF('Данные 2st'!$Q$2:$Q$317,$A14,'Данные 2st'!$PO$2:$PO$317),"")</f>
        <v>9.02</v>
      </c>
      <c r="SZ14" s="7">
        <f>IFERROR(AVERAGEIF('Данные 2st'!$Q$2:$Q$317,$A14,'Данные 2st'!$PP$2:$PP$317),"")</f>
        <v>11.666666666666666</v>
      </c>
      <c r="TA14" s="7">
        <f>IFERROR(AVERAGEIF('Данные 2st'!$Q$2:$Q$317,$A14,'Данные 2st'!$PQ$2:$PQ$317),"")</f>
        <v>1.8333333333333333</v>
      </c>
      <c r="TB14" s="7">
        <f>IFERROR(AVERAGEIF('Данные 2st'!$Q$2:$Q$317,$A14,'Данные 2st'!$PR$2:$PR$317),"")</f>
        <v>1</v>
      </c>
      <c r="TC14" s="7">
        <f>IFERROR(AVERAGEIF('Данные 2st'!$Q$2:$Q$317,$A14,'Данные 2st'!$PS$2:$PS$317),"")</f>
        <v>7</v>
      </c>
      <c r="TD14" s="7">
        <f>IFERROR(AVERAGEIF('Данные 2st'!$Q$2:$Q$317,$A14,'Данные 2st'!$PT$2:$PT$317),"")</f>
        <v>217</v>
      </c>
      <c r="TE14" s="7">
        <f>IFERROR(AVERAGEIF('Данные 2st'!$Q$2:$Q$317,$A14,'Данные 2st'!$PU$2:$PU$317),"")</f>
        <v>9</v>
      </c>
      <c r="TF14" s="7">
        <f>IFERROR(AVERAGEIF('Данные 2st'!$Q$2:$Q$317,$A14,'Данные 2st'!$PX$2:$PX$317),"")</f>
        <v>0</v>
      </c>
      <c r="TG14" s="7">
        <f>IFERROR(AVERAGEIF('Данные 2st'!$Q$2:$Q$317,$A14,'Данные 2st'!$PY$2:$PY$317),"")</f>
        <v>0</v>
      </c>
      <c r="TH14" s="7">
        <f>IFERROR(AVERAGEIF('Данные 2st'!$Q$2:$Q$317,$A14,'Данные 2st'!$PZ$2:$PZ$317),"")</f>
        <v>0</v>
      </c>
      <c r="TI14" s="7">
        <f>IFERROR(AVERAGEIF('Данные 2st'!$Q$2:$Q$317,$A14,'Данные 2st'!$QA$2:$QA$317),"")</f>
        <v>0</v>
      </c>
      <c r="TJ14" s="7">
        <f>IFERROR(AVERAGEIF('Данные 2st'!$Q$2:$Q$317,$A14,'Данные 2st'!$QB$2:$QB$317),"")</f>
        <v>0</v>
      </c>
      <c r="TK14" s="7">
        <f>IFERROR(AVERAGEIF('Данные 2st'!$Q$2:$Q$317,$A14,'Данные 2st'!$QC$2:$QC$317),"")</f>
        <v>0</v>
      </c>
      <c r="TL14" s="7">
        <f>IFERROR(AVERAGEIF('Данные 2st'!$Q$2:$Q$317,$A14,'Данные 2st'!$QD$2:$QD$317),"")</f>
        <v>0</v>
      </c>
      <c r="TM14" s="7">
        <f>IFERROR(AVERAGEIF('Данные 2st'!$Q$2:$Q$317,$A14,'Данные 2st'!$QE$2:$QE$317),"")</f>
        <v>-1</v>
      </c>
      <c r="TN14" s="7">
        <f>IFERROR(AVERAGEIF('Данные 2st'!$Q$2:$Q$317,$A14,'Данные 2st'!$QF$2:$QF$317),"")</f>
        <v>1</v>
      </c>
      <c r="TO14" s="7">
        <f>IFERROR(AVERAGEIF('Данные 2st'!$Q$2:$Q$317,$A14,'Данные 2st'!$QG$2:$QG$317),"")</f>
        <v>0</v>
      </c>
      <c r="TP14" s="7">
        <f>IFERROR(AVERAGEIF('Данные 2st'!$Q$2:$Q$317,$A14,'Данные 2st'!$QH$2:$QH$317),"")</f>
        <v>5</v>
      </c>
      <c r="TQ14" s="7">
        <f>IFERROR(AVERAGEIF('Данные 2st'!$Q$2:$Q$317,$A14,'Данные 2st'!$QI$2:$QI$317),"")</f>
        <v>5</v>
      </c>
      <c r="TR14" s="7">
        <f>IFERROR(AVERAGEIF('Данные 2st'!$Q$2:$Q$317,$A14,'Данные 2st'!$QJ$2:$QJ$317),"")</f>
        <v>5</v>
      </c>
      <c r="TS14" s="7">
        <f>IFERROR(AVERAGEIF('Данные 2st'!$Q$2:$Q$317,$A14,'Данные 2st'!$QK$2:$QK$317),"")</f>
        <v>165</v>
      </c>
      <c r="TT14" s="7">
        <f>IFERROR(AVERAGEIF('Данные 2st'!$Q$2:$Q$317,$A14,'Данные 2st'!$QL$2:$QL$317),"")</f>
        <v>367.3333333333333</v>
      </c>
      <c r="TU14" s="7">
        <f>IFERROR(AVERAGEIF('Данные 2st'!$Q$2:$Q$317,$A14,'Данные 2st'!$QM$2:$QM$317),"")</f>
        <v>7.5</v>
      </c>
      <c r="TV14" s="7">
        <f>IFERROR(AVERAGEIF('Данные 2st'!$Q$2:$Q$317,$A14,'Данные 2st'!$QN$2:$QN$317),"")</f>
        <v>1380.8666666666668</v>
      </c>
      <c r="TW14" s="7">
        <f>IFERROR(AVERAGEIF('Данные 2st'!$Q$2:$Q$317,$A14,'Данные 2st'!$QQ$2:$QQ$317),"")</f>
        <v>0</v>
      </c>
      <c r="TX14" s="7">
        <f>IFERROR(AVERAGEIF('Данные 2st'!$Q$2:$Q$317,$A14,'Данные 2st'!$QS$2:$QS$317),"")</f>
        <v>31.666666666666668</v>
      </c>
      <c r="TY14" s="7">
        <f>IFERROR(AVERAGEIF('Данные 2st'!$Q$2:$Q$317,$A14,'Данные 2st'!$QT$2:$QT$317),"")</f>
        <v>41.666666666666664</v>
      </c>
    </row>
    <row r="15" spans="1:545" ht="32" customHeight="1">
      <c r="A15" s="11" t="s">
        <v>518</v>
      </c>
      <c r="B15">
        <f>COUNTIF('Данные 1st'!$S$2:$S$317,$A15)</f>
        <v>23</v>
      </c>
      <c r="C15" s="6" t="s">
        <v>5088</v>
      </c>
      <c r="D15" s="6" t="s">
        <v>513</v>
      </c>
      <c r="E15" s="6" t="s">
        <v>5125</v>
      </c>
      <c r="F15" s="6" t="s">
        <v>5138</v>
      </c>
      <c r="G15" s="7">
        <f>IFERROR(AVERAGEIF('Данные 1st'!$S$2:$S$317,$A15,'Данные 1st'!$AE$2:$AE$317),"")</f>
        <v>168.43478260869566</v>
      </c>
      <c r="H15" s="7">
        <f>IFERROR(AVERAGEIF('Данные 1st'!$S$2:$S$317,$A15,'Данные 1st'!$AF$2:$AF$317),"")</f>
        <v>1.5</v>
      </c>
      <c r="I15" s="7">
        <f>IFERROR(AVERAGEIF('Данные 1st'!$S$2:$S$317,$A15,'Данные 1st'!$AJ$2:$AJ$317),"")</f>
        <v>174.7826086956522</v>
      </c>
      <c r="J15" s="7">
        <f>IFERROR(AVERAGEIF('Данные 1st'!$S$2:$S$317,$A15,'Данные 1st'!$AL$2:$AL$317),"")</f>
        <v>1.5</v>
      </c>
      <c r="K15" s="7">
        <f>IFERROR(AVERAGEIF('Данные 1st'!$S$2:$S$317,$A15,'Данные 1st'!$AR$2:$AR$317),"")</f>
        <v>36.91304347826087</v>
      </c>
      <c r="L15" s="7">
        <f>IFERROR(AVERAGEIF('Данные 1st'!$S$2:$S$317,$A15,'Данные 1st'!$AS$2:$AS$317),"")</f>
        <v>1.5</v>
      </c>
      <c r="M15" s="7">
        <f>IFERROR(AVERAGEIF('Данные 1st'!$S$2:$S$317,$A15,'Данные 1st'!$AY$2:$AY$317),"")</f>
        <v>276.7391304347826</v>
      </c>
      <c r="N15" s="7">
        <f>IFERROR(AVERAGEIF('Данные 1st'!$S$2:$S$317,$A15,'Данные 1st'!$AZ$2:$AZ$317),"")</f>
        <v>1.5</v>
      </c>
      <c r="O15" s="7">
        <f>IFERROR(AVERAGEIF('Данные 1st'!$S$2:$S$317,$A15,'Данные 1st'!$BF$2:$BF$317),"")</f>
        <v/>
      </c>
      <c r="P15" s="7">
        <f>IFERROR(AVERAGEIF('Данные 1st'!$S$2:$S$317,$A15,'Данные 1st'!$BG$2:$BG$317),"")</f>
        <v>1.5</v>
      </c>
      <c r="Q15" s="7">
        <f>IFERROR(AVERAGEIF('Данные 1st'!$S$2:$S$317,$A15,'Данные 1st'!$BM$2:$BM$317),"")</f>
        <v/>
      </c>
      <c r="R15" s="7">
        <f>IFERROR(AVERAGEIF('Данные 1st'!$S$2:$S$317,$A15,'Данные 1st'!$BN$2:$BN$317),"")</f>
        <v>1.5</v>
      </c>
      <c r="S15" s="7">
        <f>IFERROR(AVERAGEIF('Данные 1st'!$S$2:$S$317,$A15,'Данные 1st'!$BT$2:$BT$317),"")</f>
        <v>186.7391304347826</v>
      </c>
      <c r="T15" s="7">
        <f>IFERROR(AVERAGEIF('Данные 1st'!$S$2:$S$317,$A15,'Данные 1st'!$BU$2:$BU$317),"")</f>
        <v>0.5</v>
      </c>
      <c r="U15" s="7">
        <f>IFERROR(AVERAGEIF('Данные 1st'!$S$2:$S$317,$A15,'Данные 1st'!$BW$2:$BW$317),"")</f>
        <v>373.4782608695652</v>
      </c>
      <c r="V15" s="7">
        <f>IFERROR(AVERAGEIF('Данные 1st'!$S$2:$S$317,$A15,'Данные 1st'!$BX$2:$BX$317),"")</f>
        <v>1</v>
      </c>
      <c r="W15" s="7">
        <f>IFERROR(AVERAGEIF('Данные 1st'!$S$2:$S$317,$A15,'Данные 1st'!$BZ$2:$BZ$317),"")</f>
        <v>300</v>
      </c>
      <c r="X15" s="7">
        <f>IFERROR(AVERAGEIF('Данные 1st'!$S$2:$S$317,$A15,'Данные 1st'!$CA$2:$CA$317),"")</f>
        <v>457.39130434782606</v>
      </c>
      <c r="Y15" s="7">
        <f>IFERROR(AVERAGEIF('Данные 1st'!$S$2:$S$317,$A15,'Данные 1st'!$CD$2:$CD$317),"")</f>
        <v>389.8695652173913</v>
      </c>
      <c r="Z15" s="7">
        <f>IFERROR(AVERAGEIF('Данные 1st'!$S$2:$S$317,$A15,'Данные 1st'!$CF$2:$CF$317),"")</f>
        <v>15</v>
      </c>
      <c r="AA15" s="7">
        <f>IFERROR(AVERAGEIF('Данные 1st'!$S$2:$S$317,$A15,'Данные 1st'!$CI$2:$CI$317),"")</f>
        <v>78.69565217391305</v>
      </c>
      <c r="AB15" s="7">
        <f>IFERROR(AVERAGEIF('Данные 1st'!$S$2:$S$317,$A15,'Данные 1st'!$CJ$2:$CJ$317),"")</f>
        <v>1200</v>
      </c>
      <c r="AC15" s="7">
        <f>IFERROR(AVERAGEIF('Данные 1st'!$S$2:$S$317,$A15,'Данные 1st'!$CK$2:$CK$317),"")</f>
        <v>2</v>
      </c>
      <c r="AD15" s="7">
        <f>IFERROR(AVERAGEIF('Данные 1st'!$S$2:$S$317,$A15,'Данные 1st'!$CL$2:$CL$317),"")</f>
        <v>1301</v>
      </c>
      <c r="AE15" s="7">
        <f>IFERROR(AVERAGEIF('Данные 1st'!$S$2:$S$317,$A15,'Данные 1st'!$CM$2:$CM$317),"")</f>
        <v>2</v>
      </c>
      <c r="AF15" s="7">
        <f>IFERROR(AVERAGEIF('Данные 1st'!$S$2:$S$317,$A15,'Данные 1st'!$CT$2:$CT$317),"")</f>
        <v>349.5652173913044</v>
      </c>
      <c r="AG15" s="7">
        <f>IFERROR(AVERAGEIF('Данные 1st'!$S$2:$S$317,$A15,'Данные 1st'!$CU$2:$CU$317),"")</f>
        <v>5</v>
      </c>
      <c r="AH15" s="7">
        <f>IFERROR(AVERAGEIF('Данные 1st'!$S$2:$S$317,$A15,'Данные 1st'!$CV$2:$CV$317),"")</f>
        <v>1.2695652173913043</v>
      </c>
      <c r="AI15" s="7">
        <f>IFERROR(AVERAGEIF('Данные 1st'!$S$2:$S$317,$A15,'Данные 1st'!$CW$2:$CW$317),"")</f>
        <v>1216.4782608695652</v>
      </c>
      <c r="AJ15" s="7">
        <f>IFERROR(AVERAGEIF('Данные 1st'!$S$2:$S$317,$A15,'Данные 1st'!$CX$2:$CX$317),"")</f>
        <v>636.9565217391304</v>
      </c>
      <c r="AK15" s="7">
        <f>IFERROR(AVERAGEIF('Данные 1st'!$S$2:$S$317,$A15,'Данные 1st'!$CZ$2:$CZ$317),"")</f>
        <v>50</v>
      </c>
      <c r="AL15" s="7">
        <f>IFERROR(AVERAGEIF('Данные 1st'!$S$2:$S$317,$A15,'Данные 1st'!$DA$2:$DA$317),"")</f>
        <v>3</v>
      </c>
      <c r="AM15" s="7">
        <f>IFERROR(AVERAGEIF('Данные 1st'!$S$2:$S$317,$A15,'Данные 1st'!$DB$2:$DB$317),"")</f>
        <v>1.1400000000000001</v>
      </c>
      <c r="AN15" s="7">
        <f>IFERROR(AVERAGEIF('Данные 1st'!$S$2:$S$317,$A15,'Данные 1st'!$DC$2:$DC$317),"")</f>
        <v>1218</v>
      </c>
      <c r="AO15" s="7">
        <f>IFERROR(AVERAGEIF('Данные 1st'!$S$2:$S$317,$A15,'Данные 1st'!$DD$2:$DD$317),"")</f>
        <v>13.043478260869565</v>
      </c>
      <c r="AP15" s="7">
        <f>IFERROR(AVERAGEIF('Данные 1st'!$S$2:$S$317,$A15,'Данные 1st'!$DF$2:$DF$317),"")</f>
        <v>553.4782608695652</v>
      </c>
      <c r="AQ15" s="7">
        <f>IFERROR(AVERAGEIF('Данные 1st'!$S$2:$S$317,$A15,'Данные 1st'!$DG$2:$DG$317),"")</f>
        <v>3</v>
      </c>
      <c r="AR15" s="7">
        <f>IFERROR(AVERAGEIF('Данные 1st'!$S$2:$S$317,$A15,'Данные 1st'!$DH$2:$DH$317),"")</f>
        <v>1.18</v>
      </c>
      <c r="AS15" s="7">
        <f>IFERROR(AVERAGEIF('Данные 1st'!$S$2:$S$317,$A15,'Данные 1st'!$DI$2:$DI$317),"")</f>
        <v>1210.6521739130435</v>
      </c>
      <c r="AT15" s="7">
        <f>IFERROR(AVERAGEIF('Данные 1st'!$S$2:$S$317,$A15,'Данные 1st'!$DJ$2:$DJ$317),"")</f>
        <v>1038.5652173913043</v>
      </c>
      <c r="AU15" s="7">
        <f>IFERROR(AVERAGEIF('Данные 1st'!$S$2:$S$317,$A15,'Данные 1st'!$DL$2:$DL$317),"")</f>
        <v/>
      </c>
      <c r="AV15" s="7">
        <f>IFERROR(AVERAGEIF('Данные 1st'!$S$2:$S$317,$A15,'Данные 1st'!$DM$2:$DM$317),"")</f>
        <v/>
      </c>
      <c r="AW15" s="7">
        <f>IFERROR(AVERAGEIF('Данные 1st'!$S$2:$S$317,$A15,'Данные 1st'!$DN$2:$DN$317),"")</f>
        <v/>
      </c>
      <c r="AX15" s="7">
        <f>IFERROR(AVERAGEIF('Данные 1st'!$S$2:$S$317,$A15,'Данные 1st'!$DO$2:$DO$317),"")</f>
        <v/>
      </c>
      <c r="AY15" s="7">
        <f>IFERROR(AVERAGEIF('Данные 1st'!$S$2:$S$317,$A15,'Данные 1st'!$DP$2:$DP$317),"")</f>
        <v/>
      </c>
      <c r="AZ15" s="7">
        <f>IFERROR(AVERAGEIF('Данные 1st'!$S$2:$S$317,$A15,'Данные 1st'!$DR$2:$DR$317),"")</f>
        <v/>
      </c>
      <c r="BA15" s="7">
        <f>IFERROR(AVERAGEIF('Данные 1st'!$S$2:$S$317,$A15,'Данные 1st'!$DS$2:$DS$317),"")</f>
        <v/>
      </c>
      <c r="BB15" s="7">
        <f>IFERROR(AVERAGEIF('Данные 1st'!$S$2:$S$317,$A15,'Данные 1st'!$DT$2:$DT$317),"")</f>
        <v/>
      </c>
      <c r="BC15" s="7">
        <f>IFERROR(AVERAGEIF('Данные 1st'!$S$2:$S$317,$A15,'Данные 1st'!$DU$2:$DU$317),"")</f>
        <v/>
      </c>
      <c r="BD15" s="7">
        <f>IFERROR(AVERAGEIF('Данные 1st'!$S$2:$S$317,$A15,'Данные 1st'!$DV$2:$DV$317),"")</f>
        <v/>
      </c>
      <c r="BE15" s="7">
        <f>IFERROR(AVERAGEIF('Данные 1st'!$S$2:$S$317,$A15,'Данные 1st'!$DX$2:$DX$317),"")</f>
        <v>7.5</v>
      </c>
      <c r="BF15" s="7">
        <f>IFERROR(AVERAGEIF('Данные 1st'!$S$2:$S$317,$A15,'Данные 1st'!$EA$2:$EA$317),"")</f>
        <v>1220.5739130434783</v>
      </c>
      <c r="BG15" s="7">
        <f>IFERROR(AVERAGEIF('Данные 1st'!$S$2:$S$317,$A15,'Данные 1st'!$EB$2:$EB$317),"")</f>
        <v>187.1304347826087</v>
      </c>
      <c r="BH15" s="7">
        <f>IFERROR(AVERAGEIF('Данные 1st'!$S$2:$S$317,$A15,'Данные 1st'!$ED$2:$ED$317),"")</f>
        <v>28.043478260869566</v>
      </c>
      <c r="BI15" s="7">
        <f>IFERROR(AVERAGEIF('Данные 1st'!$S$2:$S$317,$A15,'Данные 1st'!$EE$2:$EE$317),"")</f>
        <v>3</v>
      </c>
      <c r="BJ15" s="7">
        <f>IFERROR(AVERAGEIF('Данные 1st'!$S$2:$S$317,$A15,'Данные 1st'!$EG$2:$EG$317),"")</f>
        <v>1255.304347826087</v>
      </c>
      <c r="BK15" s="7">
        <f>IFERROR(AVERAGEIF('Данные 1st'!$S$2:$S$317,$A15,'Данные 1st'!$EH$2:$EH$317),"")</f>
        <v>139.17391304347825</v>
      </c>
      <c r="BL15" s="7">
        <f>IFERROR(AVERAGEIF('Данные 1st'!$S$2:$S$317,$A15,'Данные 1st'!$EJ$2:$EJ$317),"")</f>
        <v>0</v>
      </c>
      <c r="BM15" s="7">
        <f>IFERROR(AVERAGEIF('Данные 1st'!$S$2:$S$317,$A15,'Данные 1st'!$EK$2:$EK$317),"")</f>
        <v>1</v>
      </c>
      <c r="BN15" s="7">
        <f>IFERROR(AVERAGEIF('Данные 1st'!$S$2:$S$317,$A15,'Данные 1st'!$EN$2:$EN$317),"")</f>
        <v>0</v>
      </c>
      <c r="BO15" s="7">
        <f>IFERROR(AVERAGEIF('Данные 1st'!$S$2:$S$317,$A15,'Данные 1st'!$EQ$2:$EQ$317),"")</f>
        <v>96.52173913043478</v>
      </c>
      <c r="BP15" s="7">
        <f>IFERROR(AVERAGEIF('Данные 1st'!$S$2:$S$317,$A15,'Данные 1st'!$ER$2:$ER$317),"")</f>
        <v>3</v>
      </c>
      <c r="BQ15" s="7">
        <f>IFERROR(AVERAGEIF('Данные 1st'!$S$2:$S$317,$A15,'Данные 1st'!$ES$2:$ES$317),"")</f>
        <v>5.086956521739131</v>
      </c>
      <c r="BR15" s="7">
        <f>IFERROR(AVERAGEIF('Данные 1st'!$S$2:$S$317,$A15,'Данные 1st'!$ET$2:$ET$317),"")</f>
        <v>1194.695652173913</v>
      </c>
      <c r="BS15" s="7">
        <f>IFERROR(AVERAGEIF('Данные 1st'!$S$2:$S$317,$A15,'Данные 1st'!$EU$2:$EU$317),"")</f>
        <v>374.1391304347826</v>
      </c>
      <c r="BT15" s="7">
        <f>IFERROR(AVERAGEIF('Данные 1st'!$S$2:$S$317,$A15,'Данные 1st'!$EV$2:$EV$317),"")</f>
        <v>446.95652173913044</v>
      </c>
      <c r="BU15" s="7">
        <f>IFERROR(AVERAGEIF('Данные 1st'!$S$2:$S$317,$A15,'Данные 1st'!$EX$2:$EX$317),"")</f>
        <v>65.8695652173913</v>
      </c>
      <c r="BV15" s="7">
        <f>IFERROR(AVERAGEIF('Данные 1st'!$S$2:$S$317,$A15,'Данные 1st'!$EY$2:$EY$317),"")</f>
        <v>2</v>
      </c>
      <c r="BW15" s="7">
        <f>IFERROR(AVERAGEIF('Данные 1st'!$S$2:$S$317,$A15,'Данные 1st'!$EZ$2:$EZ$317),"")</f>
        <v>4.004347826086956</v>
      </c>
      <c r="BX15" s="7">
        <f>IFERROR(AVERAGEIF('Данные 1st'!$S$2:$S$317,$A15,'Данные 1st'!$FA$2:$FA$317),"")</f>
        <v>1194.695652173913</v>
      </c>
      <c r="BY15" s="7">
        <f>IFERROR(AVERAGEIF('Данные 1st'!$S$2:$S$317,$A15,'Данные 1st'!$FB$2:$FB$317),"")</f>
        <v>188.63478260869564</v>
      </c>
      <c r="BZ15" s="7">
        <f>IFERROR(AVERAGEIF('Данные 1st'!$S$2:$S$317,$A15,'Данные 1st'!$FC$2:$FC$317),"")</f>
        <v>225.47826086956522</v>
      </c>
      <c r="CA15" s="7">
        <f>IFERROR(AVERAGEIF('Данные 1st'!$S$2:$S$317,$A15,'Данные 1st'!$FE$2:$FE$317),"")</f>
        <v>0</v>
      </c>
      <c r="CB15" s="7">
        <f>IFERROR(AVERAGEIF('Данные 1st'!$S$2:$S$317,$A15,'Данные 1st'!$FF$2:$FF$317),"")</f>
        <v>2</v>
      </c>
      <c r="CC15" s="7">
        <f>IFERROR(AVERAGEIF('Данные 1st'!$S$2:$S$317,$A15,'Данные 1st'!$FI$2:$FI$317),"")</f>
        <v>0</v>
      </c>
      <c r="CD15" s="7">
        <f>IFERROR(AVERAGEIF('Данные 1st'!$S$2:$S$317,$A15,'Данные 1st'!$FL$2:$FL$317),"")</f>
        <v>0.4</v>
      </c>
      <c r="CE15" s="7">
        <f>IFERROR(AVERAGEIF('Данные 1st'!$S$2:$S$317,$A15,'Данные 1st'!$FM$2:$FM$317),"")</f>
        <v>68.04347826086956</v>
      </c>
      <c r="CF15" s="7">
        <f>IFERROR(AVERAGEIF('Данные 1st'!$S$2:$S$317,$A15,'Данные 1st'!$FN$2:$FN$317),"")</f>
        <v>146.95652173913044</v>
      </c>
      <c r="CG15" s="7">
        <f>IFERROR(AVERAGEIF('Данные 1st'!$S$2:$S$317,$A15,'Данные 1st'!$FO$2:$FO$317),"")</f>
        <v>67.5</v>
      </c>
      <c r="CH15" s="7">
        <f>IFERROR(AVERAGEIF('Данные 1st'!$S$2:$S$317,$A15,'Данные 1st'!$FP$2:$FP$317),"")</f>
        <v>110</v>
      </c>
      <c r="CI15" s="7">
        <f>IFERROR(AVERAGEIF('Данные 1st'!$S$2:$S$317,$A15,'Данные 1st'!$FS$2:$FS$317),"")</f>
        <v>0.41111111111111115</v>
      </c>
      <c r="CJ15" s="7">
        <f>IFERROR(AVERAGEIF('Данные 1st'!$S$2:$S$317,$A15,'Данные 1st'!$FT$2:$FT$317),"")</f>
        <v>32.5</v>
      </c>
      <c r="CK15" s="7">
        <f>IFERROR(AVERAGEIF('Данные 1st'!$S$2:$S$317,$A15,'Данные 1st'!$FU$2:$FU$317),"")</f>
        <v>330.1111111111111</v>
      </c>
      <c r="CL15" s="7">
        <f>IFERROR(AVERAGEIF('Данные 1st'!$S$2:$S$317,$A15,'Данные 1st'!$FV$2:$FV$317),"")</f>
        <v>30</v>
      </c>
      <c r="CM15" s="7">
        <f>IFERROR(AVERAGEIF('Данные 1st'!$S$2:$S$317,$A15,'Данные 1st'!$FW$2:$FW$317),"")</f>
        <v>211</v>
      </c>
      <c r="CN15" s="7">
        <f>IFERROR(AVERAGEIF('Данные 1st'!$S$2:$S$317,$A15,'Данные 1st'!$FZ$2:$FZ$317),"")</f>
        <v>1.6</v>
      </c>
      <c r="CO15" s="7">
        <f>IFERROR(AVERAGEIF('Данные 1st'!$S$2:$S$317,$A15,'Данные 1st'!$GA$2:$GA$317),"")</f>
        <v>20</v>
      </c>
      <c r="CP15" s="7">
        <f>IFERROR(AVERAGEIF('Данные 1st'!$S$2:$S$317,$A15,'Данные 1st'!$GB$2:$GB$317),"")</f>
        <v>156</v>
      </c>
      <c r="CQ15" s="7">
        <f>IFERROR(AVERAGEIF('Данные 1st'!$S$2:$S$317,$A15,'Данные 1st'!$GH$2:$GH$317),"")</f>
        <v>1.6</v>
      </c>
      <c r="CR15" s="7">
        <f>IFERROR(AVERAGEIF('Данные 1st'!$S$2:$S$317,$A15,'Данные 1st'!$GI$2:$GI$317),"")</f>
        <v>20</v>
      </c>
      <c r="CS15" s="7">
        <f>IFERROR(AVERAGEIF('Данные 1st'!$S$2:$S$317,$A15,'Данные 1st'!$GJ$2:$GJ$317),"")</f>
        <v>156</v>
      </c>
      <c r="CT15" s="7">
        <f>IFERROR(AVERAGEIF('Данные 1st'!$S$2:$S$317,$A15,'Данные 1st'!$GS$2:$GS$317),"")</f>
        <v/>
      </c>
      <c r="CU15" s="7">
        <f>IFERROR(AVERAGEIF('Данные 1st'!$S$2:$S$317,$A15,'Данные 1st'!$GT$2:$GT$317),"")</f>
        <v/>
      </c>
      <c r="CV15" s="7">
        <f>IFERROR(AVERAGEIF('Данные 1st'!$S$2:$S$317,$A15,'Данные 1st'!$GU$2:$GU$317),"")</f>
        <v/>
      </c>
      <c r="CW15" s="7">
        <f>IFERROR(AVERAGEIF('Данные 1st'!$S$2:$S$317,$A15,'Данные 1st'!$GV$2:$GV$317),"")</f>
        <v/>
      </c>
      <c r="CX15" s="7">
        <f>IFERROR(AVERAGEIF('Данные 1st'!$S$2:$S$317,$A15,'Данные 1st'!$GW$2:$GW$317),"")</f>
        <v/>
      </c>
      <c r="CY15" s="7">
        <f>IFERROR(AVERAGEIF('Данные 1st'!$S$2:$S$317,$A15,'Данные 1st'!$GZ$2:$GZ$317),"")</f>
        <v/>
      </c>
      <c r="CZ15" s="7">
        <f>IFERROR(AVERAGEIF('Данные 1st'!$S$2:$S$317,$A15,'Данные 1st'!$HA$2:$HA$317),"")</f>
        <v/>
      </c>
      <c r="DA15" s="7">
        <f>IFERROR(AVERAGEIF('Данные 1st'!$S$2:$S$317,$A15,'Данные 1st'!$HB$2:$HB$317),"")</f>
        <v/>
      </c>
      <c r="DB15" s="7">
        <f>IFERROR(AVERAGEIF('Данные 1st'!$S$2:$S$317,$A15,'Данные 1st'!$HC$2:$HC$317),"")</f>
        <v>0.1</v>
      </c>
      <c r="DC15" s="7">
        <f>IFERROR(AVERAGEIF('Данные 1st'!$S$2:$S$317,$A15,'Данные 1st'!$HD$2:$HD$317),"")</f>
        <v>3</v>
      </c>
      <c r="DD15" s="7">
        <f>IFERROR(AVERAGEIF('Данные 1st'!$S$2:$S$317,$A15,'Данные 1st'!$HE$2:$HE$317),"")</f>
        <v>3</v>
      </c>
      <c r="DE15" s="7">
        <f>IFERROR(AVERAGEIF('Данные 1st'!$S$2:$S$317,$A15,'Данные 1st'!$HF$2:$HF$317),"")</f>
        <v>3</v>
      </c>
      <c r="DF15" s="7">
        <f>IFERROR(AVERAGEIF('Данные 1st'!$S$2:$S$317,$A15,'Данные 1st'!$HG$2:$HG$317),"")</f>
        <v>3</v>
      </c>
      <c r="DG15" s="7">
        <f>IFERROR(AVERAGEIF('Данные 1st'!$S$2:$S$317,$A15,'Данные 1st'!$HH$2:$HH$317),"")</f>
        <v>3</v>
      </c>
      <c r="DH15" s="7">
        <f>IFERROR(AVERAGEIF('Данные 1st'!$S$2:$S$317,$A15,'Данные 1st'!$HI$2:$HI$317),"")</f>
        <v>147.17391304347825</v>
      </c>
      <c r="DI15" s="7">
        <f>IFERROR(AVERAGEIF('Данные 1st'!$S$2:$S$317,$A15,'Данные 1st'!$HJ$2:$HJ$317),"")</f>
        <v>3</v>
      </c>
      <c r="DJ15" s="7">
        <f>IFERROR(AVERAGEIF('Данные 1st'!$S$2:$S$317,$A15,'Данные 1st'!$HK$2:$HK$317),"")</f>
        <v>50.65217391304348</v>
      </c>
      <c r="DK15" s="7">
        <f>IFERROR(AVERAGEIF('Данные 1st'!$S$2:$S$317,$A15,'Данные 1st'!$HL$2:$HL$317),"")</f>
        <v>2</v>
      </c>
      <c r="DL15" s="7">
        <f>IFERROR(AVERAGEIF('Данные 1st'!$S$2:$S$317,$A15,'Данные 1st'!$HM$2:$HM$317),"")</f>
        <v>0</v>
      </c>
      <c r="DM15" s="7">
        <f>IFERROR(AVERAGEIF('Данные 1st'!$S$2:$S$317,$A15,'Данные 1st'!$HN$2:$HN$317),"")</f>
        <v>2</v>
      </c>
      <c r="DN15" s="7">
        <f>IFERROR(AVERAGEIF('Данные 1st'!$S$2:$S$317,$A15,'Данные 1st'!$HO$2:$HO$317),"")</f>
        <v>81.30434782608695</v>
      </c>
      <c r="DO15" s="7">
        <f>IFERROR(AVERAGEIF('Данные 1st'!$S$2:$S$317,$A15,'Данные 1st'!$HP$2:$HP$317),"")</f>
        <v>3</v>
      </c>
      <c r="DP15" s="7">
        <f>IFERROR(AVERAGEIF('Данные 1st'!$S$2:$S$317,$A15,'Данные 1st'!$HQ$2:$HQ$317),"")</f>
        <v>0</v>
      </c>
      <c r="DQ15" s="7">
        <f>IFERROR(AVERAGEIF('Данные 1st'!$S$2:$S$317,$A15,'Данные 1st'!$HR$2:$HR$317),"")</f>
        <v>2</v>
      </c>
      <c r="DR15" s="7">
        <f>IFERROR(AVERAGEIF('Данные 1st'!$S$2:$S$317,$A15,'Данные 1st'!$HS$2:$HS$317),"")</f>
        <v>3699.086956521739</v>
      </c>
      <c r="DS15" s="7">
        <f>IFERROR(AVERAGEIF('Данные 1st'!$S$2:$S$317,$A15,'Данные 1st'!$HT$2:$HT$317),"")</f>
        <v>108.69565217391305</v>
      </c>
      <c r="DT15" s="7">
        <f>IFERROR(AVERAGEIF('Данные 1st'!$S$2:$S$317,$A15,'Данные 1st'!$HU$2:$HU$317),"")</f>
        <v>174.7826086956522</v>
      </c>
      <c r="DU15" s="7">
        <f>IFERROR(AVERAGEIF('Данные 1st'!$S$2:$S$317,$A15,'Данные 1st'!$HW$2:$HW$317),"")</f>
        <v>7.826086956521739</v>
      </c>
      <c r="DV15" s="7">
        <f>IFERROR(AVERAGEIF('Данные 1st'!$S$2:$S$317,$A15,'Данные 1st'!$HX$2:$HX$317),"")</f>
        <v>418.7826086956522</v>
      </c>
      <c r="DW15" s="7">
        <f>IFERROR(AVERAGEIF('Данные 1st'!$S$2:$S$317,$A15,'Данные 1st'!$HY$2:$HY$317),"")</f>
        <v>0.18</v>
      </c>
      <c r="DX15" s="7">
        <f>IFERROR(AVERAGEIF('Данные 1st'!$S$2:$S$317,$A15,'Данные 1st'!$IA$2:$IA$317),"")</f>
        <v>0.15</v>
      </c>
      <c r="DY15" s="7">
        <f>IFERROR(AVERAGEIF('Данные 1st'!$S$2:$S$317,$A15,'Данные 1st'!$IB$2:$IB$317),"")</f>
        <v>0</v>
      </c>
      <c r="DZ15" s="7">
        <f>IFERROR(AVERAGEIF('Данные 1st'!$S$2:$S$317,$A15,'Данные 1st'!$IC$2:$IC$317),"")</f>
        <v>176.08695652173913</v>
      </c>
      <c r="EA15" s="7">
        <f>IFERROR(AVERAGEIF('Данные 1st'!$S$2:$S$317,$A15,'Данные 1st'!$ID$2:$ID$317),"")</f>
        <v>110</v>
      </c>
      <c r="EB15" s="7">
        <f>IFERROR(AVERAGEIF('Данные 1st'!$S$2:$S$317,$A15,'Данные 1st'!$IE$2:$IE$317),"")</f>
        <v>89.30434782608695</v>
      </c>
      <c r="EC15" s="7">
        <f>IFERROR(AVERAGEIF('Данные 1st'!$S$2:$S$317,$A15,'Данные 1st'!$IF$2:$IF$317),"")</f>
        <v>1.4782608695652173</v>
      </c>
      <c r="ED15" s="7">
        <f>IFERROR(AVERAGEIF('Данные 1st'!$S$2:$S$317,$A15,'Данные 1st'!$IP$2:$IP$317),"")</f>
        <v>16</v>
      </c>
      <c r="EE15" s="7">
        <f>IFERROR(AVERAGEIF('Данные 1st'!$S$2:$S$317,$A15,'Данные 1st'!$IV$2:$IV$317),"")</f>
        <v>1200</v>
      </c>
      <c r="EF15" s="7">
        <f>IFERROR(AVERAGEIF('Данные 1st'!$S$2:$S$317,$A15,'Данные 1st'!$IW$2:$IW$317),"")</f>
        <v>373.4782608695652</v>
      </c>
      <c r="EG15" s="7">
        <f>IFERROR(AVERAGEIF('Данные 1st'!$S$2:$S$317,$A15,'Данные 1st'!$IX$2:$IX$317),"")</f>
        <v>0</v>
      </c>
      <c r="EH15" s="7">
        <f>IFERROR(AVERAGEIF('Данные 1st'!$S$2:$S$317,$A15,'Данные 1st'!$IY$2:$IY$317),"")</f>
        <v>0</v>
      </c>
      <c r="EI15" s="7">
        <f>IFERROR(AVERAGEIF('Данные 1st'!$S$2:$S$317,$A15,'Данные 1st'!$JD$2:$JD$317),"")</f>
        <v>1216.4782608695652</v>
      </c>
      <c r="EJ15" s="7">
        <f>IFERROR(AVERAGEIF('Данные 1st'!$S$2:$S$317,$A15,'Данные 1st'!$JE$2:$JE$317),"")</f>
        <v>1210.6521739130435</v>
      </c>
      <c r="EK15" s="7">
        <f>IFERROR(AVERAGEIF('Данные 1st'!$S$2:$S$317,$A15,'Данные 1st'!$JF$2:$JF$317),"")</f>
        <v>0</v>
      </c>
      <c r="EL15" s="7">
        <f>IFERROR(AVERAGEIF('Данные 1st'!$S$2:$S$317,$A15,'Данные 1st'!$JG$2:$JG$317),"")</f>
        <v>1194.695652173913</v>
      </c>
      <c r="EM15" s="7">
        <f>IFERROR(AVERAGEIF('Данные 1st'!$S$2:$S$317,$A15,'Данные 1st'!$JH$2:$JH$317),"")</f>
        <v>0</v>
      </c>
      <c r="EN15" s="7">
        <f>IFERROR(AVERAGEIF('Данные 1st'!$S$2:$S$317,$A15,'Данные 1st'!$JJ$2:$JJ$317),"")</f>
        <v>174.7826086956522</v>
      </c>
      <c r="EO15" s="7">
        <f>IFERROR(AVERAGEIF('Данные 1st'!$S$2:$S$317,$A15,'Данные 1st'!$JK$2:$JK$317),"")</f>
        <v>418.7826086956522</v>
      </c>
      <c r="EP15" s="7">
        <f>IFERROR(AVERAGEIF('Данные 1st'!$S$2:$S$317,$A15,'Данные 1st'!$JL$2:$JL$317),"")</f>
        <v>0</v>
      </c>
      <c r="EQ15" s="7">
        <f>IFERROR(AVERAGEIF('Данные 1st'!$S$2:$S$317,$A15,'Данные 1st'!$JM$2:$JM$317),"")</f>
        <v>0</v>
      </c>
      <c r="ER15" s="7">
        <f>IFERROR(AVERAGEIF('Данные 1st'!$S$2:$S$317,$A15,'Данные 1st'!$JN$2:$JN$317),"")</f>
        <v>349.5652173913044</v>
      </c>
      <c r="ES15" s="7">
        <f>IFERROR(AVERAGEIF('Данные 1st'!$S$2:$S$317,$A15,'Данные 1st'!$JO$2:$JO$317),"")</f>
        <v>553.4782608695652</v>
      </c>
      <c r="ET15" s="7">
        <f>IFERROR(AVERAGEIF('Данные 1st'!$S$2:$S$317,$A15,'Данные 1st'!$JP$2:$JP$317),"")</f>
        <v>0</v>
      </c>
      <c r="EU15" s="7">
        <f>IFERROR(AVERAGEIF('Данные 1st'!$S$2:$S$317,$A15,'Данные 1st'!$JQ$2:$JQ$317),"")</f>
        <v>0</v>
      </c>
      <c r="EV15" s="7">
        <f>IFERROR(AVERAGEIF('Данные 1st'!$S$2:$S$317,$A15,'Данные 1st'!$JR$2:$JR$317),"")</f>
        <v>336.8695652173913</v>
      </c>
      <c r="EW15" s="7">
        <f>IFERROR(AVERAGEIF('Данные 1st'!$S$2:$S$317,$A15,'Данные 1st'!$JS$2:$JS$317),"")</f>
        <v>147.17391304347825</v>
      </c>
      <c r="EX15" s="7">
        <f>IFERROR(AVERAGEIF('Данные 1st'!$S$2:$S$317,$A15,'Данные 1st'!$JT$2:$JT$317),"")</f>
        <v>0</v>
      </c>
      <c r="EY15" s="7">
        <f>IFERROR(AVERAGEIF('Данные 1st'!$S$2:$S$317,$A15,'Данные 1st'!$JU$2:$JU$317),"")</f>
        <v>0</v>
      </c>
      <c r="EZ15" s="7">
        <f>IFERROR(AVERAGEIF('Данные 1st'!$S$2:$S$317,$A15,'Данные 1st'!$JV$2:$JV$317),"")</f>
        <v>8</v>
      </c>
      <c r="FA15" s="7">
        <f>IFERROR(AVERAGEIF('Данные 1st'!$S$2:$S$317,$A15,'Данные 1st'!$JW$2:$JW$317),"")</f>
        <v>0</v>
      </c>
      <c r="FB15" s="7">
        <f>IFERROR(AVERAGEIF('Данные 1st'!$S$2:$S$317,$A15,'Данные 1st'!$JX$2:$JX$317),"")</f>
        <v>73.82608695652173</v>
      </c>
      <c r="FC15" s="7">
        <f>IFERROR(AVERAGEIF('Данные 1st'!$S$2:$S$317,$A15,'Данные 1st'!$JY$2:$JY$317),"")</f>
        <v>0</v>
      </c>
      <c r="FD15" s="7">
        <f>IFERROR(AVERAGEIF('Данные 1st'!$S$2:$S$317,$A15,'Данные 1st'!$JZ$2:$JZ$317),"")</f>
        <v>0</v>
      </c>
      <c r="FE15" s="7">
        <f>IFERROR(AVERAGEIF('Данные 1st'!$S$2:$S$317,$A15,'Данные 1st'!$KA$2:$KA$317),"")</f>
        <v>89.30434782608695</v>
      </c>
      <c r="FF15" s="7">
        <f>IFERROR(AVERAGEIF('Данные 1st'!$S$2:$S$317,$A15,'Данные 1st'!$KB$2:$KB$317),"")</f>
        <v>110</v>
      </c>
      <c r="FG15" s="7">
        <f>IFERROR(AVERAGEIF('Данные 1st'!$S$2:$S$317,$A15,'Данные 1st'!$KC$2:$KC$317),"")</f>
        <v>1.4782608695652173</v>
      </c>
      <c r="FH15" s="7">
        <f>IFERROR(AVERAGEIF('Данные 1st'!$S$2:$S$317,$A15,'Данные 1st'!$KD$2:$KD$317),"")</f>
        <v>80</v>
      </c>
      <c r="FI15" s="7">
        <f>IFERROR(AVERAGEIF('Данные 1st'!$S$2:$S$317,$A15,'Данные 1st'!$KE$2:$KE$317),"")</f>
        <v>0</v>
      </c>
      <c r="FJ15" s="7">
        <f>IFERROR(AVERAGEIF('Данные 1st'!$S$2:$S$317,$A15,'Данные 1st'!$KF$2:$KF$317),"")</f>
        <v>3.869565217391304</v>
      </c>
      <c r="FK15" s="7">
        <f>IFERROR(AVERAGEIF('Данные 1st'!$S$2:$S$317,$A15,'Данные 1st'!$KG$2:$KG$317),"")</f>
        <v>2.5217391304347827</v>
      </c>
      <c r="FL15" s="7">
        <f>IFERROR(AVERAGEIF('Данные 1st'!$S$2:$S$317,$A15,'Данные 1st'!$KH$2:$KH$317),"")</f>
        <v>2</v>
      </c>
      <c r="FM15" s="7">
        <f>IFERROR(AVERAGEIF('Данные 1st'!$S$2:$S$317,$A15,'Данные 1st'!$KI$2:$KI$317),"")</f>
        <v>2</v>
      </c>
      <c r="FN15" s="7">
        <f>IFERROR(AVERAGEIF('Данные 1st'!$S$2:$S$317,$A15,'Данные 1st'!$KJ$2:$KJ$317),"")</f>
        <v>0</v>
      </c>
      <c r="FO15" s="7">
        <f>IFERROR(AVERAGEIF('Данные 1st'!$S$2:$S$317,$A15,'Данные 1st'!$KK$2:$KK$317),"")</f>
        <v>1.5</v>
      </c>
      <c r="FP15" s="7">
        <f>IFERROR(AVERAGEIF('Данные 1st'!$S$2:$S$317,$A15,'Данные 1st'!$KL$2:$KL$317),"")</f>
        <v>1.5</v>
      </c>
      <c r="FQ15" s="7">
        <f>IFERROR(AVERAGEIF('Данные 1st'!$S$2:$S$317,$A15,'Данные 1st'!$KM$2:$KM$317),"")</f>
        <v>0</v>
      </c>
      <c r="FR15" s="7">
        <f>IFERROR(AVERAGEIF('Данные 1st'!$S$2:$S$317,$A15,'Данные 1st'!$KN$2:$KN$317),"")</f>
        <v>0</v>
      </c>
      <c r="FS15" s="7">
        <f>IFERROR(AVERAGEIF('Данные 1st'!$S$2:$S$317,$A15,'Данные 1st'!$KR$2:$KR$317),"")</f>
        <v>28.26086956521739</v>
      </c>
      <c r="FT15" s="7">
        <f>IFERROR(AVERAGEIF('Данные 1st'!$S$2:$S$317,$A15,'Данные 1st'!$KS$2:$KS$317),"")</f>
        <v>60</v>
      </c>
      <c r="FU15" s="7">
        <f>IFERROR(AVERAGEIF('Данные 1st'!$S$2:$S$317,$A15,'Данные 1st'!$KT$2:$KT$317),"")</f>
        <v>0</v>
      </c>
      <c r="FV15" s="7">
        <f>IFERROR(AVERAGEIF('Данные 1st'!$S$2:$S$317,$A15,'Данные 1st'!$KV$2:$KV$317),"")</f>
        <v>0</v>
      </c>
      <c r="FW15" s="7">
        <f>IFERROR(AVERAGEIF('Данные 1st'!$S$2:$S$317,$A15,'Данные 1st'!$KW$2:$KW$317),"")</f>
        <v>0</v>
      </c>
      <c r="FX15" s="7">
        <f>IFERROR(AVERAGEIF('Данные 1st'!$S$2:$S$317,$A15,'Данные 1st'!$KX$2:$KX$317),"")</f>
        <v>0</v>
      </c>
      <c r="FY15" s="7">
        <f>IFERROR(AVERAGEIF('Данные 1st'!$S$2:$S$317,$A15,'Данные 1st'!$KY$2:$KY$317),"")</f>
        <v>0</v>
      </c>
      <c r="FZ15" s="7">
        <f>IFERROR(AVERAGEIF('Данные 1st'!$S$2:$S$317,$A15,'Данные 1st'!$KZ$2:$KZ$317),"")</f>
        <v>0</v>
      </c>
      <c r="GA15" s="7">
        <f>IFERROR(AVERAGEIF('Данные 1st'!$S$2:$S$317,$A15,'Данные 1st'!$LA$2:$LA$317),"")</f>
        <v>0</v>
      </c>
      <c r="GB15" s="7">
        <f>IFERROR(AVERAGEIF('Данные 1st'!$S$2:$S$317,$A15,'Данные 1st'!$LB$2:$LB$317),"")</f>
        <v>0</v>
      </c>
      <c r="GC15" s="7">
        <f>IFERROR(AVERAGEIF('Данные 1st'!$S$2:$S$317,$A15,'Данные 1st'!$LC$2:$LC$317),"")</f>
        <v>0</v>
      </c>
      <c r="GD15" s="7">
        <f>IFERROR(AVERAGEIF('Данные 1st'!$S$2:$S$317,$A15,'Данные 1st'!$LD$2:$LD$317),"")</f>
        <v>0</v>
      </c>
      <c r="GE15" s="7">
        <f>IFERROR(AVERAGEIF('Данные 1st'!$S$2:$S$317,$A15,'Данные 1st'!$LE$2:$LE$317),"")</f>
        <v>0</v>
      </c>
      <c r="GF15" s="7">
        <f>IFERROR(AVERAGEIF('Данные 1st'!$S$2:$S$317,$A15,'Данные 1st'!$LF$2:$LF$317),"")</f>
        <v>0</v>
      </c>
      <c r="GG15" s="7">
        <f>IFERROR(AVERAGEIF('Данные 1st'!$S$2:$S$317,$A15,'Данные 1st'!$LG$2:$LG$317),"")</f>
        <v>0</v>
      </c>
      <c r="GH15" s="7">
        <f>IFERROR(AVERAGEIF('Данные 1st'!$S$2:$S$317,$A15,'Данные 1st'!$LH$2:$LH$317),"")</f>
        <v>0</v>
      </c>
      <c r="GI15" s="7">
        <f>IFERROR(AVERAGEIF('Данные 1st'!$S$2:$S$317,$A15,'Данные 1st'!$LI$2:$LI$317),"")</f>
        <v>0</v>
      </c>
      <c r="GJ15" s="7">
        <f>IFERROR(AVERAGEIF('Данные 1st'!$S$2:$S$317,$A15,'Данные 1st'!$LJ$2:$LJ$317),"")</f>
        <v>0</v>
      </c>
      <c r="GK15" s="7">
        <f>IFERROR(AVERAGEIF('Данные 1st'!$S$2:$S$317,$A15,'Данные 1st'!$LK$2:$LK$317),"")</f>
        <v>480</v>
      </c>
      <c r="GL15" s="7">
        <f>IFERROR(AVERAGEIF('Данные 1st'!$S$2:$S$317,$A15,'Данные 1st'!$LV$2:$LV$317),"")</f>
        <v>0</v>
      </c>
      <c r="GM15" s="7">
        <f>IFERROR(AVERAGEIF('Данные 1st'!$S$2:$S$317,$A15,'Данные 1st'!$LW$2:$LW$317),"")</f>
        <v>0</v>
      </c>
      <c r="GN15" s="7">
        <f>IFERROR(AVERAGEIF('Данные 1st'!$S$2:$S$317,$A15,'Данные 1st'!$LX$2:$LX$317),"")</f>
        <v>234.77777777777777</v>
      </c>
      <c r="GO15" s="7">
        <f>IFERROR(AVERAGEIF('Данные 1st'!$S$2:$S$317,$A15,'Данные 1st'!$LY$2:$LY$317),"")</f>
        <v>1.2777777777777777</v>
      </c>
      <c r="GP15" s="7">
        <f>IFERROR(AVERAGEIF('Данные 1st'!$S$2:$S$317,$A15,'Данные 1st'!$LZ$2:$LZ$317),"")</f>
        <v>88</v>
      </c>
      <c r="GQ15" s="7">
        <f>IFERROR(AVERAGEIF('Данные 1st'!$S$2:$S$317,$A15,'Данные 1st'!$PG$2:$PG$317),"")</f>
        <v>1</v>
      </c>
      <c r="GR15" s="7">
        <f>IFERROR(AVERAGEIF('Данные 1st'!$S$2:$S$317,$A15,'Данные 1st'!$PX$2:$PX$317),"")</f>
        <v>56</v>
      </c>
      <c r="GS15" s="7">
        <f>IFERROR(AVERAGEIF('Данные 1st'!$S$2:$S$317,$A15,'Данные 1st'!$PY$2:$PY$317),"")</f>
        <v>56.869565217391305</v>
      </c>
      <c r="GT15" s="7">
        <f>IFERROR(AVERAGEIF('Данные 1st'!$S$2:$S$317,$A15,'Данные 1st'!$QA$2:$QA$317),"")</f>
        <v>1.173913043478261</v>
      </c>
      <c r="GU15" s="7">
        <f>IFERROR(AVERAGEIF('Данные 1st'!$S$2:$S$317,$A15,'Данные 1st'!$QB$2:$QB$317),"")</f>
        <v>1194.695652173913</v>
      </c>
      <c r="GV15" s="7">
        <f>IFERROR(AVERAGEIF('Данные 1st'!$S$2:$S$317,$A15,'Данные 1st'!$QC$2:$QC$317),"")</f>
        <v>69</v>
      </c>
      <c r="GW15" s="7">
        <f>IFERROR(AVERAGEIF('Данные 1st'!$S$2:$S$317,$A15,'Данные 1st'!$QD$2:$QD$317),"")</f>
        <v>69</v>
      </c>
      <c r="GX15" s="7">
        <f>IFERROR(AVERAGEIF('Данные 1st'!$S$2:$S$317,$A15,'Данные 1st'!$QF$2:$QF$317),"")</f>
        <v>1.1304347826086956</v>
      </c>
      <c r="GY15" s="7">
        <f>IFERROR(AVERAGEIF('Данные 1st'!$S$2:$S$317,$A15,'Данные 1st'!$QG$2:$QG$317),"")</f>
        <v>1216.4782608695652</v>
      </c>
      <c r="GZ15" s="7">
        <f>IFERROR(AVERAGEIF('Данные 1st'!$S$2:$S$317,$A15,'Данные 1st'!$QH$2:$QH$317),"")</f>
        <v>66</v>
      </c>
      <c r="HA15" s="7">
        <f>IFERROR(AVERAGEIF('Данные 1st'!$S$2:$S$317,$A15,'Данные 1st'!$QI$2:$QI$317),"")</f>
        <v>66</v>
      </c>
      <c r="HB15" s="7">
        <f>IFERROR(AVERAGEIF('Данные 1st'!$S$2:$S$317,$A15,'Данные 1st'!$QK$2:$QK$317),"")</f>
        <v>1</v>
      </c>
      <c r="HC15" s="7">
        <f>IFERROR(AVERAGEIF('Данные 1st'!$S$2:$S$317,$A15,'Данные 1st'!$QL$2:$QL$317),"")</f>
        <v>211.82608695652175</v>
      </c>
      <c r="HD15" s="7">
        <f>IFERROR(AVERAGEIF('Данные 1st'!$S$2:$S$317,$A15,'Данные 1st'!$QM$2:$QM$317),"")</f>
        <v>62.04347826086956</v>
      </c>
      <c r="HE15" s="7">
        <f>IFERROR(AVERAGEIF('Данные 1st'!$S$2:$S$317,$A15,'Данные 1st'!$QN$2:$QN$317),"")</f>
        <v>62.04347826086956</v>
      </c>
      <c r="HF15" s="7">
        <f>IFERROR(AVERAGEIF('Данные 1st'!$S$2:$S$317,$A15,'Данные 1st'!$QP$2:$QP$317),"")</f>
        <v>1</v>
      </c>
      <c r="HG15" s="7">
        <f>IFERROR(AVERAGEIF('Данные 1st'!$S$2:$S$317,$A15,'Данные 1st'!$QQ$2:$QQ$317),"")</f>
        <v>1210.6521739130435</v>
      </c>
      <c r="HH15" s="7">
        <f>IFERROR(AVERAGEIF('Данные 1st'!$S$2:$S$317,$A15,'Данные 1st'!$QR$2:$QR$317),"")</f>
        <v/>
      </c>
      <c r="HI15" s="7">
        <f>IFERROR(AVERAGEIF('Данные 1st'!$S$2:$S$317,$A15,'Данные 1st'!$QS$2:$QS$317),"")</f>
        <v/>
      </c>
      <c r="HJ15" s="7">
        <f>IFERROR(AVERAGEIF('Данные 1st'!$S$2:$S$317,$A15,'Данные 1st'!$QU$2:$QU$317),"")</f>
        <v/>
      </c>
      <c r="HK15" s="7">
        <f>IFERROR(AVERAGEIF('Данные 1st'!$S$2:$S$317,$A15,'Данные 1st'!$QV$2:$QV$317),"")</f>
        <v/>
      </c>
      <c r="HL15" s="7">
        <f>IFERROR(AVERAGEIF('Данные 1st'!$S$2:$S$317,$A15,'Данные 1st'!$QW$2:$QW$317),"")</f>
        <v>82</v>
      </c>
      <c r="HM15" s="7">
        <f>IFERROR(AVERAGEIF('Данные 1st'!$S$2:$S$317,$A15,'Данные 1st'!$QX$2:$QX$317),"")</f>
        <v>87.6086956521739</v>
      </c>
      <c r="HN15" s="7">
        <f>IFERROR(AVERAGEIF('Данные 1st'!$S$2:$S$317,$A15,'Данные 1st'!$QZ$2:$QZ$317),"")</f>
        <v>1.0869565217391304</v>
      </c>
      <c r="HO15" s="7">
        <f>IFERROR(AVERAGEIF('Данные 1st'!$S$2:$S$317,$A15,'Данные 1st'!$RA$2:$RA$317),"")</f>
        <v>66</v>
      </c>
      <c r="HP15" s="7">
        <f>IFERROR(AVERAGEIF('Данные 1st'!$S$2:$S$317,$A15,'Данные 1st'!$RB$2:$RB$317),"")</f>
        <v>66</v>
      </c>
      <c r="HQ15" s="7">
        <f>IFERROR(AVERAGEIF('Данные 1st'!$S$2:$S$317,$A15,'Данные 1st'!$RD$2:$RD$317),"")</f>
        <v/>
      </c>
      <c r="HR15" s="7">
        <f>IFERROR(AVERAGEIF('Данные 1st'!$S$2:$S$317,$A15,'Данные 1st'!$RE$2:$RE$317),"")</f>
        <v>0</v>
      </c>
      <c r="HS15" s="7">
        <f>IFERROR(AVERAGEIF('Данные 1st'!$S$2:$S$317,$A15,'Данные 1st'!$RF$2:$RF$317),"")</f>
        <v>1</v>
      </c>
      <c r="HT15" s="7">
        <f>IFERROR(AVERAGEIF('Данные 1st'!$S$2:$S$317,$A15,'Данные 1st'!$RG$2:$RG$317),"")</f>
        <v>1</v>
      </c>
      <c r="HU15" s="7">
        <f>IFERROR(AVERAGEIF('Данные 1st'!$S$2:$S$317,$A15,'Данные 1st'!$RH$2:$RH$317),"")</f>
        <v/>
      </c>
      <c r="HV15" s="7">
        <f>IFERROR(AVERAGEIF('Данные 1st'!$S$2:$S$317,$A15,'Данные 1st'!$RI$2:$RI$317),"")</f>
        <v/>
      </c>
      <c r="HW15" s="7">
        <f>IFERROR(AVERAGEIF('Данные 1st'!$S$2:$S$317,$A15,'Данные 1st'!$RJ$2:$RJ$317),"")</f>
        <v>1.0869565217391304</v>
      </c>
      <c r="HX15" s="7">
        <f>IFERROR(AVERAGEIF('Данные 1st'!$S$2:$S$317,$A15,'Данные 1st'!$RK$2:$RK$317),"")</f>
        <v>1.5</v>
      </c>
      <c r="HY15" s="7">
        <f>IFERROR(AVERAGEIF('Данные 1st'!$S$2:$S$317,$A15,'Данные 1st'!$RL$2:$RL$317),"")</f>
        <v>1.3043478260869565</v>
      </c>
      <c r="HZ15" s="7">
        <f>IFERROR(AVERAGEIF('Данные 1st'!$S$2:$S$317,$A15,'Данные 1st'!$RM$2:$RM$317),"")</f>
        <v/>
      </c>
      <c r="IA15" s="7">
        <f>IFERROR(AVERAGEIF('Данные 1st'!$S$2:$S$317,$A15,'Данные 1st'!$RN$2:$RN$317),"")</f>
        <v/>
      </c>
      <c r="IB15" s="7">
        <f>IFERROR(AVERAGEIF('Данные 1st'!$S$2:$S$317,$A15,'Данные 1st'!$RO$2:$RO$317),"")</f>
        <v>523.4782608695652</v>
      </c>
      <c r="IC15" s="7">
        <f>IFERROR(AVERAGEIF('Данные 1st'!$S$2:$S$317,$A15,'Данные 1st'!$RP$2:$RP$317),"")</f>
        <v>123.5</v>
      </c>
      <c r="ID15" s="7">
        <f>IFERROR(AVERAGEIF('Данные 1st'!$S$2:$S$317,$A15,'Данные 1st'!$RQ$2:$RQ$317),"")</f>
        <v>857.8260869565217</v>
      </c>
      <c r="IE15" s="7">
        <f>IFERROR(AVERAGEIF('Данные 1st'!$S$2:$S$317,$A15,'Данные 1st'!$RR$2:$RR$317),"")</f>
        <v/>
      </c>
      <c r="IF15" s="7">
        <f>IFERROR(AVERAGEIF('Данные 1st'!$S$2:$S$317,$A15,'Данные 1st'!$RS$2:$RS$317),"")</f>
        <v/>
      </c>
      <c r="IG15" s="7">
        <f>IFERROR(AVERAGEIF('Данные 1st'!$S$2:$S$317,$A15,'Данные 1st'!$RT$2:$RT$317),"")</f>
        <v>187.1304347826087</v>
      </c>
      <c r="IH15" s="7">
        <f>IFERROR(AVERAGEIF('Данные 1st'!$S$2:$S$317,$A15,'Данные 1st'!$RU$2:$RU$317),"")</f>
        <v>139.17391304347825</v>
      </c>
      <c r="II15" s="7">
        <f>IFERROR(AVERAGEIF('Данные 1st'!$S$2:$S$317,$A15,'Данные 1st'!$RX$2:$RX$317),"")</f>
        <v>15</v>
      </c>
      <c r="IJ15" s="7">
        <f>IFERROR(AVERAGEIF('Данные 1st'!$S$2:$S$317,$A15,'Данные 1st'!$RY$2:$RY$317),"")</f>
        <v>4</v>
      </c>
      <c r="IK15" s="7">
        <f>IFERROR(AVERAGEIF('Данные 1st'!$S$2:$S$317,$A15,'Данные 1st'!$SA$2:$SA$317),"")</f>
        <v>15</v>
      </c>
      <c r="IL15" s="7">
        <f>IFERROR(AVERAGEIF('Данные 1st'!$S$2:$S$317,$A15,'Данные 1st'!$SD$2:$SD$317),"")</f>
        <v>1</v>
      </c>
      <c r="IM15" s="7">
        <f>IFERROR(AVERAGEIF('Данные 1st'!$S$2:$S$317,$A15,'Данные 1st'!$SG$2:$SG$317),"")</f>
        <v/>
      </c>
      <c r="IN15" s="7">
        <f>IFERROR(AVERAGEIF('Данные 1st'!$S$2:$S$317,$A15,'Данные 1st'!$SH$2:$SH$317),"")</f>
        <v>0.995</v>
      </c>
      <c r="IO15" s="7">
        <f>IFERROR(AVERAGEIF('Данные 1st'!$S$2:$S$317,$A15,'Данные 1st'!$SI$2:$SI$317),"")</f>
        <v>0.995</v>
      </c>
      <c r="IP15" s="7">
        <f>IFERROR(AVERAGEIF('Данные 1st'!$S$2:$S$317,$A15,'Данные 1st'!$SJ$2:$SJ$317),"")</f>
        <v>0.995</v>
      </c>
      <c r="IQ15" s="7">
        <f>IFERROR(AVERAGEIF('Данные 1st'!$S$2:$S$317,$A15,'Данные 1st'!$SK$2:$SK$317),"")</f>
        <v>15</v>
      </c>
      <c r="IR15" s="7">
        <f>IFERROR(AVERAGEIF('Данные 1st'!$S$2:$S$317,$A15,'Данные 1st'!$SL$2:$SL$317),"")</f>
        <v>0</v>
      </c>
      <c r="IS15" s="7">
        <f>IFERROR(AVERAGEIF('Данные 1st'!$S$2:$S$317,$A15,'Данные 1st'!$SM$2:$SM$317),"")</f>
        <v>0</v>
      </c>
      <c r="IT15" s="7">
        <f>IFERROR(AVERAGEIF('Данные 1st'!$S$2:$S$317,$A15,'Данные 1st'!$SN$2:$SN$317),"")</f>
        <v>0</v>
      </c>
      <c r="IU15" s="7">
        <f>IFERROR(AVERAGEIF('Данные 1st'!$S$2:$S$317,$A15,'Данные 1st'!$SO$2:$SO$317),"")</f>
        <v>0</v>
      </c>
      <c r="IV15" s="7">
        <f>IFERROR(AVERAGEIF('Данные 1st'!$S$2:$S$317,$A15,'Данные 1st'!$SP$2:$SP$317),"")</f>
        <v>0</v>
      </c>
      <c r="IW15" s="7">
        <f>IFERROR(AVERAGEIF('Данные 1st'!$S$2:$S$317,$A15,'Данные 1st'!$SQ$2:$SQ$317),"")</f>
        <v>0</v>
      </c>
      <c r="IX15" s="7">
        <f>IFERROR(AVERAGEIF('Данные 1st'!$S$2:$S$317,$A15,'Данные 1st'!$SR$2:$SR$317),"")</f>
        <v>0</v>
      </c>
      <c r="IY15" s="7">
        <f>IFERROR(AVERAGEIF('Данные 1st'!$S$2:$S$317,$A15,'Данные 1st'!$SS$2:$SS$317),"")</f>
        <v>0</v>
      </c>
      <c r="IZ15" s="7">
        <f>IFERROR(AVERAGEIF('Данные 1st'!$S$2:$S$317,$A15,'Данные 1st'!$ST$2:$ST$317),"")</f>
        <v>0</v>
      </c>
      <c r="JA15" s="7">
        <f>IFERROR(AVERAGEIF('Данные 1st'!$S$2:$S$317,$A15,'Данные 1st'!$SU$2:$SU$317),"")</f>
        <v>0</v>
      </c>
      <c r="JB15" s="7">
        <f>IFERROR(AVERAGEIF('Данные 1st'!$S$2:$S$317,$A15,'Данные 1st'!$SV$2:$SV$317),"")</f>
        <v>0</v>
      </c>
      <c r="JC15" s="7">
        <f>IFERROR(AVERAGEIF('Данные 1st'!$S$2:$S$317,$A15,'Данные 1st'!$SW$2:$SW$317),"")</f>
        <v>0</v>
      </c>
      <c r="JD15" s="7">
        <f>IFERROR(AVERAGEIF('Данные 1st'!$S$2:$S$317,$A15,'Данные 1st'!$SX$2:$SX$317),"")</f>
        <v>0</v>
      </c>
      <c r="JE15" s="7">
        <f>IFERROR(AVERAGEIF('Данные 1st'!$S$2:$S$317,$A15,'Данные 1st'!$SY$2:$SY$317),"")</f>
        <v>1</v>
      </c>
      <c r="JF15" s="7">
        <f>IFERROR(AVERAGEIF('Данные 1st'!$S$2:$S$317,$A15,'Данные 1st'!$SZ$2:$SZ$317),"")</f>
        <v/>
      </c>
      <c r="JG15" s="7">
        <f>IFERROR(AVERAGEIF('Данные 1st'!$S$2:$S$317,$A15,'Данные 1st'!$TA$2:$TA$317),"")</f>
        <v/>
      </c>
      <c r="JH15" s="7">
        <f>IFERROR(AVERAGEIF('Данные 1st'!$S$2:$S$317,$A15,'Данные 1st'!$TB$2:$TB$317),"")</f>
        <v>0</v>
      </c>
      <c r="JI15" s="7">
        <f>IFERROR(AVERAGEIF('Данные 1st'!$S$2:$S$317,$A15,'Данные 1st'!$TC$2:$TC$317),"")</f>
        <v>0</v>
      </c>
      <c r="JJ15" s="7">
        <f>IFERROR(AVERAGEIF('Данные 1st'!$S$2:$S$317,$A15,'Данные 1st'!$TD$2:$TD$317),"")</f>
        <v>7.5</v>
      </c>
      <c r="JK15" s="7">
        <f>IFERROR(AVERAGEIF('Данные 1st'!$S$2:$S$317,$A15,'Данные 1st'!$TN$2:$TN$317),"")</f>
        <v>0</v>
      </c>
      <c r="JL15">
        <f>COUNTIF('Данные 2st'!$Q$2:$Q$317,$A15)</f>
        <v>23</v>
      </c>
      <c r="JM15" s="6" t="s">
        <v>5088</v>
      </c>
      <c r="JN15" s="6" t="s">
        <v>513</v>
      </c>
      <c r="JO15" s="6" t="s">
        <v>5125</v>
      </c>
      <c r="JP15" s="6" t="s">
        <v>5473</v>
      </c>
      <c r="JQ15" s="7">
        <f>IFERROR(AVERAGEIF('Данные 2st'!$Q$2:$Q$317,$A15,'Данные 2st'!$AC$2:$AC$317),"")</f>
        <v>9.956521739130435</v>
      </c>
      <c r="JR15" s="7">
        <f>IFERROR(AVERAGEIF('Данные 2st'!$Q$2:$Q$317,$A15,'Данные 2st'!$AF$2:$AF$317),"")</f>
        <v>3699.086956521739</v>
      </c>
      <c r="JS15" s="7">
        <f>IFERROR(AVERAGEIF('Данные 2st'!$Q$2:$Q$317,$A15,'Данные 2st'!$AW$2:$AW$317),"")</f>
        <v>6.347826086956522</v>
      </c>
      <c r="JT15" s="7">
        <f>IFERROR(AVERAGEIF('Данные 2st'!$Q$2:$Q$317,$A15,'Данные 2st'!$AX$2:$AX$317),"")</f>
        <v>-6</v>
      </c>
      <c r="JU15" s="7">
        <f>IFERROR(AVERAGEIF('Данные 2st'!$Q$2:$Q$317,$A15,'Данные 2st'!$AY$2:$AY$317),"")</f>
        <v>85.8913043478261</v>
      </c>
      <c r="JV15" s="7">
        <f>IFERROR(AVERAGEIF('Данные 2st'!$Q$2:$Q$317,$A15,'Данные 2st'!$AZ$2:$AZ$317),"")</f>
        <v>70.41304347826087</v>
      </c>
      <c r="JW15" s="7">
        <f>IFERROR(AVERAGEIF('Данные 2st'!$Q$2:$Q$317,$A15,'Данные 2st'!$BA$2:$BA$317),"")</f>
        <v>12.5</v>
      </c>
      <c r="JX15" s="7">
        <f>IFERROR(AVERAGEIF('Данные 2st'!$Q$2:$Q$317,$A15,'Данные 2st'!$BB$2:$BB$317),"")</f>
        <v/>
      </c>
      <c r="JY15" s="7">
        <f>IFERROR(AVERAGEIF('Данные 2st'!$Q$2:$Q$317,$A15,'Данные 2st'!$BC$2:$BC$317),"")</f>
        <v/>
      </c>
      <c r="JZ15" s="7">
        <f>IFERROR(AVERAGEIF('Данные 2st'!$Q$2:$Q$317,$A15,'Данные 2st'!$BH$2:$BH$317),"")</f>
        <v>85.8913043478261</v>
      </c>
      <c r="KA15" s="7">
        <f>IFERROR(AVERAGEIF('Данные 2st'!$Q$2:$Q$317,$A15,'Данные 2st'!$BI$2:$BI$317),"")</f>
        <v>15.478260869565217</v>
      </c>
      <c r="KB15" s="7">
        <f>IFERROR(AVERAGEIF('Данные 2st'!$Q$2:$Q$317,$A15,'Данные 2st'!$BJ$2:$BJ$317),"")</f>
        <v>70.41304347826087</v>
      </c>
      <c r="KC15" s="7">
        <f>IFERROR(AVERAGEIF('Данные 2st'!$Q$2:$Q$317,$A15,'Данные 2st'!$BK$2:$BK$317),"")</f>
        <v>3.282608695652174</v>
      </c>
      <c r="KD15" s="7">
        <f>IFERROR(AVERAGEIF('Данные 2st'!$Q$2:$Q$317,$A15,'Данные 2st'!$BL$2:$BL$317),"")</f>
        <v>171.7826086956522</v>
      </c>
      <c r="KE15" s="7">
        <f>IFERROR(AVERAGEIF('Данные 2st'!$Q$2:$Q$317,$A15,'Данные 2st'!$BM$2:$BM$317),"")</f>
        <v>-6</v>
      </c>
      <c r="KF15" s="7">
        <f>IFERROR(AVERAGEIF('Данные 2st'!$Q$2:$Q$317,$A15,'Данные 2st'!$BN$2:$BN$317),"")</f>
        <v>0</v>
      </c>
      <c r="KG15" s="7">
        <f>IFERROR(AVERAGEIF('Данные 2st'!$Q$2:$Q$317,$A15,'Данные 2st'!$BO$2:$BO$317),"")</f>
        <v>0</v>
      </c>
      <c r="KH15" s="7">
        <f>IFERROR(AVERAGEIF('Данные 2st'!$Q$2:$Q$317,$A15,'Данные 2st'!$BP$2:$BP$317),"")</f>
        <v>0</v>
      </c>
      <c r="KI15" s="7">
        <f>IFERROR(AVERAGEIF('Данные 2st'!$Q$2:$Q$317,$A15,'Данные 2st'!$BR$2:$BR$317),"")</f>
        <v>165.2173913043478</v>
      </c>
      <c r="KJ15" s="7">
        <f>IFERROR(AVERAGEIF('Данные 2st'!$Q$2:$Q$317,$A15,'Данные 2st'!$BS$2:$BS$317),"")</f>
        <v>155.2173913043478</v>
      </c>
      <c r="KK15" s="7">
        <f>IFERROR(AVERAGEIF('Данные 2st'!$Q$2:$Q$317,$A15,'Данные 2st'!$BT$2:$BT$317),"")</f>
        <v>1788.0434782608695</v>
      </c>
      <c r="KL15" s="7">
        <f>IFERROR(AVERAGEIF('Данные 2st'!$Q$2:$Q$317,$A15,'Данные 2st'!$CV$2:$CV$317),"")</f>
        <v>109.26086956521739</v>
      </c>
      <c r="KM15" s="7">
        <f>IFERROR(AVERAGEIF('Данные 2st'!$Q$2:$Q$317,$A15,'Данные 2st'!$CW$2:$CW$317),"")</f>
        <v>3</v>
      </c>
      <c r="KN15" s="7">
        <f>IFERROR(AVERAGEIF('Данные 2st'!$Q$2:$Q$317,$A15,'Данные 2st'!$CX$2:$CX$317),"")</f>
        <v>70.8695652173913</v>
      </c>
      <c r="KO15" s="7">
        <f>IFERROR(AVERAGEIF('Данные 2st'!$Q$2:$Q$317,$A15,'Данные 2st'!$CY$2:$CY$317),"")</f>
        <v>5</v>
      </c>
      <c r="KP15" s="7">
        <f>IFERROR(AVERAGEIF('Данные 2st'!$Q$2:$Q$317,$A15,'Данные 2st'!$CZ$2:$CZ$317),"")</f>
        <v>101.26086956521739</v>
      </c>
      <c r="KQ15" s="7">
        <f>IFERROR(AVERAGEIF('Данные 2st'!$Q$2:$Q$317,$A15,'Данные 2st'!$DA$2:$DA$317),"")</f>
        <v>5</v>
      </c>
      <c r="KR15" s="7">
        <f>IFERROR(AVERAGEIF('Данные 2st'!$Q$2:$Q$317,$A15,'Данные 2st'!$DB$2:$DB$317),"")</f>
        <v>8628.695652173914</v>
      </c>
      <c r="KS15" s="7">
        <f>IFERROR(AVERAGEIF('Данные 2st'!$Q$2:$Q$317,$A15,'Данные 2st'!$DC$2:$DC$317),"")</f>
        <v>236.08695652173913</v>
      </c>
      <c r="KT15" s="7">
        <f>IFERROR(AVERAGEIF('Данные 2st'!$Q$2:$Q$317,$A15,'Данные 2st'!$DD$2:$DD$317),"")</f>
        <v>292</v>
      </c>
      <c r="KU15" s="7">
        <f>IFERROR(AVERAGEIF('Данные 2st'!$Q$2:$Q$317,$A15,'Данные 2st'!$DE$2:$DE$317),"")</f>
        <v>1889.9565217391305</v>
      </c>
      <c r="KV15" s="7">
        <f>IFERROR(AVERAGEIF('Данные 2st'!$Q$2:$Q$317,$A15,'Данные 2st'!$DF$2:$DF$317),"")</f>
        <v>1889.9565217391305</v>
      </c>
      <c r="KW15" s="7">
        <f>IFERROR(AVERAGEIF('Данные 2st'!$Q$2:$Q$317,$A15,'Данные 2st'!$DG$2:$DG$317),"")</f>
        <v>1902.5652173913043</v>
      </c>
      <c r="KX15" s="7">
        <f>IFERROR(AVERAGEIF('Данные 2st'!$Q$2:$Q$317,$A15,'Данные 2st'!$DH$2:$DH$317),"")</f>
        <v>1.25</v>
      </c>
      <c r="KY15" s="7">
        <f>IFERROR(AVERAGEIF('Данные 2st'!$Q$2:$Q$317,$A15,'Данные 2st'!$DI$2:$DI$317),"")</f>
        <v/>
      </c>
      <c r="KZ15" s="7">
        <f>IFERROR(AVERAGEIF('Данные 2st'!$Q$2:$Q$317,$A15,'Данные 2st'!$DK$2:$DK$317),"")</f>
        <v>165.2173913043478</v>
      </c>
      <c r="LA15" s="7">
        <f>IFERROR(AVERAGEIF('Данные 2st'!$Q$2:$Q$317,$A15,'Данные 2st'!$DM$2:$DM$317),"")</f>
        <v>62.82608695652174</v>
      </c>
      <c r="LB15" s="7">
        <f>IFERROR(AVERAGEIF('Данные 2st'!$Q$2:$Q$317,$A15,'Данные 2st'!$DN$2:$DN$317),"")</f>
        <v>0.9252173913043478</v>
      </c>
      <c r="LC15" s="7">
        <f>IFERROR(AVERAGEIF('Данные 2st'!$Q$2:$Q$317,$A15,'Данные 2st'!$DO$2:$DO$317),"")</f>
        <v>1</v>
      </c>
      <c r="LD15" s="7">
        <f>IFERROR(AVERAGEIF('Данные 2st'!$Q$2:$Q$317,$A15,'Данные 2st'!$DP$2:$DP$317),"")</f>
        <v>1791.2173913043478</v>
      </c>
      <c r="LE15" s="7">
        <f>IFERROR(AVERAGEIF('Данные 2st'!$Q$2:$Q$317,$A15,'Данные 2st'!$DQ$2:$DQ$317),"")</f>
        <v>579.3478260869565</v>
      </c>
      <c r="LF15" s="7">
        <f>IFERROR(AVERAGEIF('Данные 2st'!$Q$2:$Q$317,$A15,'Данные 2st'!$DS$2:$DS$317),"")</f>
        <v>155.2173913043478</v>
      </c>
      <c r="LG15" s="7">
        <f>IFERROR(AVERAGEIF('Данные 2st'!$Q$2:$Q$317,$A15,'Данные 2st'!$DU$2:$DU$317),"")</f>
        <v>62.82608695652174</v>
      </c>
      <c r="LH15" s="7">
        <f>IFERROR(AVERAGEIF('Данные 2st'!$Q$2:$Q$317,$A15,'Данные 2st'!$DV$2:$DV$317),"")</f>
        <v>0.9252173913043478</v>
      </c>
      <c r="LI15" s="7">
        <f>IFERROR(AVERAGEIF('Данные 2st'!$Q$2:$Q$317,$A15,'Данные 2st'!$DW$2:$DW$317),"")</f>
        <v>1</v>
      </c>
      <c r="LJ15" s="7">
        <f>IFERROR(AVERAGEIF('Данные 2st'!$Q$2:$Q$317,$A15,'Данные 2st'!$DX$2:$DX$317),"")</f>
        <v>1799.5217391304348</v>
      </c>
      <c r="LK15" s="7">
        <f>IFERROR(AVERAGEIF('Данные 2st'!$Q$2:$Q$317,$A15,'Данные 2st'!$DY$2:$DY$317),"")</f>
        <v>547.6086956521739</v>
      </c>
      <c r="LL15" s="7">
        <f>IFERROR(AVERAGEIF('Данные 2st'!$Q$2:$Q$317,$A15,'Данные 2st'!$EA$2:$EA$317),"")</f>
        <v>29.608695652173914</v>
      </c>
      <c r="LM15" s="7">
        <f>IFERROR(AVERAGEIF('Данные 2st'!$Q$2:$Q$317,$A15,'Данные 2st'!$EC$2:$EC$317),"")</f>
        <v>0.5043478260869565</v>
      </c>
      <c r="LN15" s="7">
        <f>IFERROR(AVERAGEIF('Данные 2st'!$Q$2:$Q$317,$A15,'Данные 2st'!$ED$2:$ED$317),"")</f>
        <v>1791.2173913043478</v>
      </c>
      <c r="LO15" s="7">
        <f>IFERROR(AVERAGEIF('Данные 2st'!$Q$2:$Q$317,$A15,'Данные 2st'!$EE$2:$EE$317),"")</f>
        <v>54.78260869565217</v>
      </c>
      <c r="LP15" s="7">
        <f>IFERROR(AVERAGEIF('Данные 2st'!$Q$2:$Q$317,$A15,'Данные 2st'!$EG$2:$EG$317),"")</f>
        <v>24.391304347826086</v>
      </c>
      <c r="LQ15" s="7">
        <f>IFERROR(AVERAGEIF('Данные 2st'!$Q$2:$Q$317,$A15,'Данные 2st'!$EI$2:$EI$317),"")</f>
        <v>0.2956521739130435</v>
      </c>
      <c r="LR15" s="7">
        <f>IFERROR(AVERAGEIF('Данные 2st'!$Q$2:$Q$317,$A15,'Данные 2st'!$EJ$2:$EJ$317),"")</f>
        <v>1780.2941176470588</v>
      </c>
      <c r="LS15" s="7">
        <f>IFERROR(AVERAGEIF('Данные 2st'!$Q$2:$Q$317,$A15,'Данные 2st'!$EK$2:$EK$317),"")</f>
        <v>51.88235294117647</v>
      </c>
      <c r="LT15" s="7">
        <f>IFERROR(AVERAGEIF('Данные 2st'!$Q$2:$Q$317,$A15,'Данные 2st'!$EM$2:$EM$317),"")</f>
        <v>12</v>
      </c>
      <c r="LU15" s="7">
        <f>IFERROR(AVERAGEIF('Данные 2st'!$Q$2:$Q$317,$A15,'Данные 2st'!$EN$2:$EN$317),"")</f>
        <v>0.5</v>
      </c>
      <c r="LV15" s="7">
        <f>IFERROR(AVERAGEIF('Данные 2st'!$Q$2:$Q$317,$A15,'Данные 2st'!$EO$2:$EO$317),"")</f>
        <v>0.9121739130434783</v>
      </c>
      <c r="LW15" s="7">
        <f>IFERROR(AVERAGEIF('Данные 2st'!$Q$2:$Q$317,$A15,'Данные 2st'!$EP$2:$EP$317),"")</f>
        <v>1799.6739130434783</v>
      </c>
      <c r="LX15" s="7">
        <f>IFERROR(AVERAGEIF('Данные 2st'!$Q$2:$Q$317,$A15,'Данные 2st'!$EQ$2:$EQ$317),"")</f>
        <v>26178.251304347825</v>
      </c>
      <c r="LY15" s="7">
        <f>IFERROR(AVERAGEIF('Данные 2st'!$Q$2:$Q$317,$A15,'Данные 2st'!$ER$2:$ER$317),"")</f>
        <v>4461.942173913043</v>
      </c>
      <c r="LZ15" s="7">
        <f>IFERROR(AVERAGEIF('Данные 2st'!$Q$2:$Q$317,$A15,'Данные 2st'!$ES$2:$ES$317),"")</f>
        <v>0</v>
      </c>
      <c r="MA15" s="7">
        <f>IFERROR(AVERAGEIF('Данные 2st'!$Q$2:$Q$317,$A15,'Данные 2st'!$ET$2:$ET$317),"")</f>
        <v>0</v>
      </c>
      <c r="MB15" s="7">
        <f>IFERROR(AVERAGEIF('Данные 2st'!$Q$2:$Q$317,$A15,'Данные 2st'!$EU$2:$EU$317),"")</f>
        <v>1</v>
      </c>
      <c r="MC15" s="7">
        <f>IFERROR(AVERAGEIF('Данные 2st'!$Q$2:$Q$317,$A15,'Данные 2st'!$EV$2:$EV$317),"")</f>
        <v>30640.478260869564</v>
      </c>
      <c r="MD15" s="7">
        <f>IFERROR(AVERAGEIF('Данные 2st'!$Q$2:$Q$317,$A15,'Данные 2st'!$EW$2:$EW$317),"")</f>
        <v>361.3478260869565</v>
      </c>
      <c r="ME15" s="7">
        <f>IFERROR(AVERAGEIF('Данные 2st'!$Q$2:$Q$317,$A15,'Данные 2st'!$EY$2:$EY$317),"")</f>
        <v>180.34782608695653</v>
      </c>
      <c r="MF15" s="7">
        <f>IFERROR(AVERAGEIF('Данные 2st'!$Q$2:$Q$317,$A15,'Данные 2st'!$FA$2:$FA$317),"")</f>
        <v>5.069565217391304</v>
      </c>
      <c r="MG15" s="7">
        <f>IFERROR(AVERAGEIF('Данные 2st'!$Q$2:$Q$317,$A15,'Данные 2st'!$FB$2:$FB$317),"")</f>
        <v>1</v>
      </c>
      <c r="MH15" s="7">
        <f>IFERROR(AVERAGEIF('Данные 2st'!$Q$2:$Q$317,$A15,'Данные 2st'!$FC$2:$FC$317),"")</f>
        <v>1</v>
      </c>
      <c r="MI15" s="7">
        <f>IFERROR(AVERAGEIF('Данные 2st'!$Q$2:$Q$317,$A15,'Данные 2st'!$FD$2:$FD$317),"")</f>
        <v>1832.304347826087</v>
      </c>
      <c r="MJ15" s="7">
        <f>IFERROR(AVERAGEIF('Данные 2st'!$Q$2:$Q$317,$A15,'Данные 2st'!$FE$2:$FE$317),"")</f>
        <v>1938.7391304347825</v>
      </c>
      <c r="MK15" s="7">
        <f>IFERROR(AVERAGEIF('Данные 2st'!$Q$2:$Q$317,$A15,'Данные 2st'!$FG$2:$FG$317),"")</f>
        <v>181.65217391304347</v>
      </c>
      <c r="ML15" s="7">
        <f>IFERROR(AVERAGEIF('Данные 2st'!$Q$2:$Q$317,$A15,'Данные 2st'!$FI$2:$FI$317),"")</f>
        <v>2.917391304347826</v>
      </c>
      <c r="MM15" s="7">
        <f>IFERROR(AVERAGEIF('Данные 2st'!$Q$2:$Q$317,$A15,'Данные 2st'!$FJ$2:$FJ$317),"")</f>
        <v>1832.304347826087</v>
      </c>
      <c r="MN15" s="7">
        <f>IFERROR(AVERAGEIF('Данные 2st'!$Q$2:$Q$317,$A15,'Данные 2st'!$FK$2:$FK$317),"")</f>
        <v>1097.5652173913043</v>
      </c>
      <c r="MO15" s="7">
        <f>IFERROR(AVERAGEIF('Данные 2st'!$Q$2:$Q$317,$A15,'Данные 2st'!$FP$2:$FP$317),"")</f>
        <v>1832.304347826087</v>
      </c>
      <c r="MP15" s="7">
        <f>IFERROR(AVERAGEIF('Данные 2st'!$Q$2:$Q$317,$A15,'Данные 2st'!$FQ$2:$FQ$317),"")</f>
        <v>153.47826086956522</v>
      </c>
      <c r="MQ15" s="7">
        <f>IFERROR(AVERAGEIF('Данные 2st'!$Q$2:$Q$317,$A15,'Данные 2st'!$FS$2:$FS$317),"")</f>
        <v>184</v>
      </c>
      <c r="MR15" s="7">
        <f>IFERROR(AVERAGEIF('Данные 2st'!$Q$2:$Q$317,$A15,'Данные 2st'!$FU$2:$FU$317),"")</f>
        <v>0.4</v>
      </c>
      <c r="MS15" s="7">
        <f>IFERROR(AVERAGEIF('Данные 2st'!$Q$2:$Q$317,$A15,'Данные 2st'!$FV$2:$FV$317),"")</f>
        <v>1832.304347826087</v>
      </c>
      <c r="MT15" s="7">
        <f>IFERROR(AVERAGEIF('Данные 2st'!$Q$2:$Q$317,$A15,'Данные 2st'!$FW$2:$FW$317),"")</f>
        <v>136.95652173913044</v>
      </c>
      <c r="MU15" s="7">
        <f>IFERROR(AVERAGEIF('Данные 2st'!$Q$2:$Q$317,$A15,'Данные 2st'!$FY$2:$FY$317),"")</f>
        <v>5</v>
      </c>
      <c r="MV15" s="7">
        <f>IFERROR(AVERAGEIF('Данные 2st'!$Q$2:$Q$317,$A15,'Данные 2st'!$GB$2:$GB$317),"")</f>
        <v>1824.45</v>
      </c>
      <c r="MW15" s="7">
        <f>IFERROR(AVERAGEIF('Данные 2st'!$Q$2:$Q$317,$A15,'Данные 2st'!$GC$2:$GC$317),"")</f>
        <v>17.7</v>
      </c>
      <c r="MX15" s="7">
        <f>IFERROR(AVERAGEIF('Данные 2st'!$Q$2:$Q$317,$A15,'Данные 2st'!$GD$2:$GD$317),"")</f>
        <v>3342.1304347826085</v>
      </c>
      <c r="MY15" s="7">
        <f>IFERROR(AVERAGEIF('Данные 2st'!$Q$2:$Q$317,$A15,'Данные 2st'!$GN$2:$GN$317),"")</f>
        <v>-75</v>
      </c>
      <c r="MZ15" s="7">
        <f>IFERROR(AVERAGEIF('Данные 2st'!$Q$2:$Q$317,$A15,'Данные 2st'!$GQ$2:$GQ$317),"")</f>
        <v>0</v>
      </c>
      <c r="NA15" s="7">
        <f>IFERROR(AVERAGEIF('Данные 2st'!$Q$2:$Q$317,$A15,'Данные 2st'!$GV$2:$GV$317),"")</f>
        <v>8.369565217391305</v>
      </c>
      <c r="NB15" s="7">
        <f>IFERROR(AVERAGEIF('Данные 2st'!$Q$2:$Q$317,$A15,'Данные 2st'!$GW$2:$GW$317),"")</f>
        <v>10.178260869565218</v>
      </c>
      <c r="NC15" s="7">
        <f>IFERROR(AVERAGEIF('Данные 2st'!$Q$2:$Q$317,$A15,'Данные 2st'!$GX$2:$GX$317),"")</f>
        <v>0.5</v>
      </c>
      <c r="ND15" s="7">
        <f>IFERROR(AVERAGEIF('Данные 2st'!$Q$2:$Q$317,$A15,'Данные 2st'!$GY$2:$GY$317),"")</f>
        <v>156.34782608695653</v>
      </c>
      <c r="NE15" s="7">
        <f>IFERROR(AVERAGEIF('Данные 2st'!$Q$2:$Q$317,$A15,'Данные 2st'!$GZ$2:$GZ$317),"")</f>
        <v>3</v>
      </c>
      <c r="NF15" s="7">
        <f>IFERROR(AVERAGEIF('Данные 2st'!$Q$2:$Q$317,$A15,'Данные 2st'!$HA$2:$HA$317),"")</f>
        <v>203.04347826086956</v>
      </c>
      <c r="NG15" s="7">
        <f>IFERROR(AVERAGEIF('Данные 2st'!$Q$2:$Q$317,$A15,'Данные 2st'!$HB$2:$HB$317),"")</f>
        <v>3</v>
      </c>
      <c r="NH15" s="7">
        <f>IFERROR(AVERAGEIF('Данные 2st'!$Q$2:$Q$317,$A15,'Данные 2st'!$HC$2:$HC$317),"")</f>
        <v>1832.304347826087</v>
      </c>
      <c r="NI15" s="7">
        <f>IFERROR(AVERAGEIF('Данные 2st'!$Q$2:$Q$317,$A15,'Данные 2st'!$HD$2:$HD$317),"")</f>
        <v>4</v>
      </c>
      <c r="NJ15" s="7">
        <f>IFERROR(AVERAGEIF('Данные 2st'!$Q$2:$Q$317,$A15,'Данные 2st'!$HM$2:$HM$317),"")</f>
        <v>16</v>
      </c>
      <c r="NK15" s="7">
        <f>IFERROR(AVERAGEIF('Данные 2st'!$Q$2:$Q$317,$A15,'Данные 2st'!$HR$2:$HR$317),"")</f>
        <v>2.0869565217391304</v>
      </c>
      <c r="NL15" s="7">
        <f>IFERROR(AVERAGEIF('Данные 2st'!$Q$2:$Q$317,$A15,'Данные 2st'!$HS$2:$HS$317),"")</f>
        <v>1788.0434782608695</v>
      </c>
      <c r="NM15" s="7">
        <f>IFERROR(AVERAGEIF('Данные 2st'!$Q$2:$Q$317,$A15,'Данные 2st'!$HT$2:$HT$317),"")</f>
        <v>5</v>
      </c>
      <c r="NN15" s="7">
        <f>IFERROR(AVERAGEIF('Данные 2st'!$Q$2:$Q$317,$A15,'Данные 2st'!$HY$2:$HY$317),"")</f>
        <v>0</v>
      </c>
      <c r="NO15" s="7">
        <f>IFERROR(AVERAGEIF('Данные 2st'!$Q$2:$Q$317,$A15,'Данные 2st'!$HZ$2:$HZ$317),"")</f>
        <v>62.82608695652174</v>
      </c>
      <c r="NP15" s="7">
        <f>IFERROR(AVERAGEIF('Данные 2st'!$Q$2:$Q$317,$A15,'Данные 2st'!$IA$2:$IA$317),"")</f>
        <v>1791.2173913043478</v>
      </c>
      <c r="NQ15" s="7">
        <f>IFERROR(AVERAGEIF('Данные 2st'!$Q$2:$Q$317,$A15,'Данные 2st'!$IB$2:$IB$317),"")</f>
        <v>1799.5217391304348</v>
      </c>
      <c r="NR15" s="7">
        <f>IFERROR(AVERAGEIF('Данные 2st'!$Q$2:$Q$317,$A15,'Данные 2st'!$IC$2:$IC$317),"")</f>
        <v>0</v>
      </c>
      <c r="NS15" s="7">
        <f>IFERROR(AVERAGEIF('Данные 2st'!$Q$2:$Q$317,$A15,'Данные 2st'!$ID$2:$ID$317),"")</f>
        <v>1832.304347826087</v>
      </c>
      <c r="NT15" s="7">
        <f>IFERROR(AVERAGEIF('Данные 2st'!$Q$2:$Q$317,$A15,'Данные 2st'!$IE$2:$IE$317),"")</f>
        <v>1832.304347826087</v>
      </c>
      <c r="NU15" s="7">
        <f>IFERROR(AVERAGEIF('Данные 2st'!$Q$2:$Q$317,$A15,'Данные 2st'!$IF$2:$IF$317),"")</f>
        <v>165.2173913043478</v>
      </c>
      <c r="NV15" s="7">
        <f>IFERROR(AVERAGEIF('Данные 2st'!$Q$2:$Q$317,$A15,'Данные 2st'!$IG$2:$IG$317),"")</f>
        <v>155.2173913043478</v>
      </c>
      <c r="NW15" s="7">
        <f>IFERROR(AVERAGEIF('Данные 2st'!$Q$2:$Q$317,$A15,'Данные 2st'!$IH$2:$IH$317),"")</f>
        <v>203.04347826086956</v>
      </c>
      <c r="NX15" s="7">
        <f>IFERROR(AVERAGEIF('Данные 2st'!$Q$2:$Q$317,$A15,'Данные 2st'!$IJ$2:$IJ$317),"")</f>
        <v>5</v>
      </c>
      <c r="NY15" s="7">
        <f>IFERROR(AVERAGEIF('Данные 2st'!$Q$2:$Q$317,$A15,'Данные 2st'!$IM$2:$IM$317),"")</f>
        <v>0</v>
      </c>
      <c r="NZ15" s="7">
        <f>IFERROR(AVERAGEIF('Данные 2st'!$Q$2:$Q$317,$A15,'Данные 2st'!$IN$2:$IN$317),"")</f>
        <v>270</v>
      </c>
      <c r="OA15" s="7">
        <f>IFERROR(AVERAGEIF('Данные 2st'!$Q$2:$Q$317,$A15,'Данные 2st'!$IO$2:$IO$317),"")</f>
        <v>0</v>
      </c>
      <c r="OB15" s="7">
        <f>IFERROR(AVERAGEIF('Данные 2st'!$Q$2:$Q$317,$A15,'Данные 2st'!$IP$2:$IP$317),"")</f>
        <v>180</v>
      </c>
      <c r="OC15" s="7">
        <f>IFERROR(AVERAGEIF('Данные 2st'!$Q$2:$Q$317,$A15,'Данные 2st'!$IQ$2:$IQ$317),"")</f>
        <v>0</v>
      </c>
      <c r="OD15" s="7">
        <f>IFERROR(AVERAGEIF('Данные 2st'!$Q$2:$Q$317,$A15,'Данные 2st'!$IR$2:$IR$317),"")</f>
        <v>326.95652173913044</v>
      </c>
      <c r="OE15" s="7">
        <f>IFERROR(AVERAGEIF('Данные 2st'!$Q$2:$Q$317,$A15,'Данные 2st'!$IT$2:$IT$317),"")</f>
        <v>93.91304347826087</v>
      </c>
      <c r="OF15" s="7">
        <f>IFERROR(AVERAGEIF('Данные 2st'!$Q$2:$Q$317,$A15,'Данные 2st'!$IU$2:$IU$317),"")</f>
        <v>0</v>
      </c>
      <c r="OG15" s="7">
        <f>IFERROR(AVERAGEIF('Данные 2st'!$Q$2:$Q$317,$A15,'Данные 2st'!$IV$2:$IV$317),"")</f>
        <v>6.4</v>
      </c>
      <c r="OH15" s="7">
        <f>IFERROR(AVERAGEIF('Данные 2st'!$Q$2:$Q$317,$A15,'Данные 2st'!$IW$2:$IW$317),"")</f>
        <v>-6</v>
      </c>
      <c r="OI15" s="7">
        <f>IFERROR(AVERAGEIF('Данные 2st'!$Q$2:$Q$317,$A15,'Данные 2st'!$IX$2:$IX$317),"")</f>
        <v>85.8913043478261</v>
      </c>
      <c r="OJ15" s="7">
        <f>IFERROR(AVERAGEIF('Данные 2st'!$Q$2:$Q$317,$A15,'Данные 2st'!$IY$2:$IY$317),"")</f>
        <v>70.41304347826087</v>
      </c>
      <c r="OK15" s="7">
        <f>IFERROR(AVERAGEIF('Данные 2st'!$Q$2:$Q$317,$A15,'Данные 2st'!$IZ$2:$IZ$317),"")</f>
        <v>0.5434782608695652</v>
      </c>
      <c r="OL15" s="7">
        <f>IFERROR(AVERAGEIF('Данные 2st'!$Q$2:$Q$317,$A15,'Данные 2st'!$JA$2:$JA$317),"")</f>
        <v>0</v>
      </c>
      <c r="OM15" s="7">
        <f>IFERROR(AVERAGEIF('Данные 2st'!$Q$2:$Q$317,$A15,'Данные 2st'!$JB$2:$JB$317),"")</f>
        <v>0</v>
      </c>
      <c r="ON15" s="7">
        <f>IFERROR(AVERAGEIF('Данные 2st'!$Q$2:$Q$317,$A15,'Данные 2st'!$JC$2:$JC$317),"")</f>
        <v>0</v>
      </c>
      <c r="OO15" s="7">
        <f>IFERROR(AVERAGEIF('Данные 2st'!$Q$2:$Q$317,$A15,'Данные 2st'!$JD$2:$JD$317),"")</f>
        <v>0</v>
      </c>
      <c r="OP15" s="7">
        <f>IFERROR(AVERAGEIF('Данные 2st'!$Q$2:$Q$317,$A15,'Данные 2st'!$JE$2:$JE$317),"")</f>
        <v>0</v>
      </c>
      <c r="OQ15" s="7">
        <f>IFERROR(AVERAGEIF('Данные 2st'!$Q$2:$Q$317,$A15,'Данные 2st'!$JF$2:$JF$317),"")</f>
        <v>0</v>
      </c>
      <c r="OR15" s="7">
        <f>IFERROR(AVERAGEIF('Данные 2st'!$Q$2:$Q$317,$A15,'Данные 2st'!$JG$2:$JG$317),"")</f>
        <v>0</v>
      </c>
      <c r="OS15" s="7">
        <f>IFERROR(AVERAGEIF('Данные 2st'!$Q$2:$Q$317,$A15,'Данные 2st'!$JH$2:$JH$317),"")</f>
        <v>0</v>
      </c>
      <c r="OT15" s="7">
        <f>IFERROR(AVERAGEIF('Данные 2st'!$Q$2:$Q$317,$A15,'Данные 2st'!$JI$2:$JI$317),"")</f>
        <v>341.9130434782609</v>
      </c>
      <c r="OU15" s="7">
        <f>IFERROR(AVERAGEIF('Данные 2st'!$Q$2:$Q$317,$A15,'Данные 2st'!$JJ$2:$JJ$317),"")</f>
        <v>309.4782608695652</v>
      </c>
      <c r="OV15" s="7">
        <f>IFERROR(AVERAGEIF('Данные 2st'!$Q$2:$Q$317,$A15,'Данные 2st'!$JK$2:$JK$317),"")</f>
        <v>228.34782608695653</v>
      </c>
      <c r="OW15" s="7">
        <f>IFERROR(AVERAGEIF('Данные 2st'!$Q$2:$Q$317,$A15,'Данные 2st'!$JL$2:$JL$317),"")</f>
        <v>306.2608695652174</v>
      </c>
      <c r="OX15" s="7">
        <f>IFERROR(AVERAGEIF('Данные 2st'!$Q$2:$Q$317,$A15,'Данные 2st'!$JM$2:$JM$317),"")</f>
        <v>240.3913043478261</v>
      </c>
      <c r="OY15" s="7">
        <f>IFERROR(AVERAGEIF('Данные 2st'!$Q$2:$Q$317,$A15,'Данные 2st'!$JP$2:$JP$317),"")</f>
        <v>221.1304347826087</v>
      </c>
      <c r="OZ15" s="7">
        <f>IFERROR(AVERAGEIF('Данные 2st'!$Q$2:$Q$317,$A15,'Данные 2st'!$JQ$2:$JQ$317),"")</f>
        <v>263.4782608695652</v>
      </c>
      <c r="PA15" s="7">
        <f>IFERROR(AVERAGEIF('Данные 2st'!$Q$2:$Q$317,$A15,'Данные 2st'!$JR$2:$JR$317),"")</f>
        <v>343.69565217391306</v>
      </c>
      <c r="PB15" s="7">
        <f>IFERROR(AVERAGEIF('Данные 2st'!$Q$2:$Q$317,$A15,'Данные 2st'!$JS$2:$JS$317),"")</f>
        <v>274.3478260869565</v>
      </c>
      <c r="PC15" s="7">
        <f>IFERROR(AVERAGEIF('Данные 2st'!$Q$2:$Q$317,$A15,'Данные 2st'!$JT$2:$JT$317),"")</f>
        <v>0</v>
      </c>
      <c r="PD15" s="7">
        <f>IFERROR(AVERAGEIF('Данные 2st'!$Q$2:$Q$317,$A15,'Данные 2st'!$JU$2:$JU$317),"")</f>
        <v>0</v>
      </c>
      <c r="PE15" s="7">
        <f>IFERROR(AVERAGEIF('Данные 2st'!$Q$2:$Q$317,$A15,'Данные 2st'!$JV$2:$JV$317),"")</f>
        <v>318.04347826086956</v>
      </c>
      <c r="PF15" s="7">
        <f>IFERROR(AVERAGEIF('Данные 2st'!$Q$2:$Q$317,$A15,'Данные 2st'!$JW$2:$JW$317),"")</f>
        <v>319.30434782608694</v>
      </c>
      <c r="PG15" s="7">
        <f>IFERROR(AVERAGEIF('Данные 2st'!$Q$2:$Q$317,$A15,'Данные 2st'!$KF$2:$KF$317),"")</f>
        <v>0.1891304347826087</v>
      </c>
      <c r="PH15" s="7">
        <f>IFERROR(AVERAGEIF('Данные 2st'!$Q$2:$Q$317,$A15,'Данные 2st'!$KG$2:$KG$317),"")</f>
        <v>0.10478260869565217</v>
      </c>
      <c r="PI15" s="7">
        <f>IFERROR(AVERAGEIF('Данные 2st'!$Q$2:$Q$317,$A15,'Данные 2st'!$KM$2:$KM$317),"")</f>
        <v>0.5434782608695652</v>
      </c>
      <c r="PJ15" s="7">
        <f>IFERROR(AVERAGEIF('Данные 2st'!$Q$2:$Q$317,$A15,'Данные 2st'!$KN$2:$KN$317),"")</f>
        <v>1.317391304347826</v>
      </c>
      <c r="PK15" s="7">
        <f>IFERROR(AVERAGEIF('Данные 2st'!$Q$2:$Q$317,$A15,'Данные 2st'!$KO$2:$KO$317),"")</f>
        <v>0.391304347826087</v>
      </c>
      <c r="PL15" s="7">
        <f>IFERROR(AVERAGEIF('Данные 2st'!$Q$2:$Q$317,$A15,'Данные 2st'!$KP$2:$KP$317),"")</f>
        <v>0.46956521739130436</v>
      </c>
      <c r="PM15" s="7">
        <f>IFERROR(AVERAGEIF('Данные 2st'!$Q$2:$Q$317,$A15,'Данные 2st'!$KQ$2:$KQ$317),"")</f>
        <v>0.908695652173913</v>
      </c>
      <c r="PN15" s="7">
        <f>IFERROR(AVERAGEIF('Данные 2st'!$Q$2:$Q$317,$A15,'Данные 2st'!$KR$2:$KR$317),"")</f>
        <v>1.017391304347826</v>
      </c>
      <c r="PO15" s="7">
        <f>IFERROR(AVERAGEIF('Данные 2st'!$Q$2:$Q$317,$A15,'Данные 2st'!$KS$2:$KS$317),"")</f>
        <v>0</v>
      </c>
      <c r="PP15" s="7">
        <f>IFERROR(AVERAGEIF('Данные 2st'!$Q$2:$Q$317,$A15,'Данные 2st'!$KT$2:$KT$317),"")</f>
        <v>2.1956521739130435</v>
      </c>
      <c r="PQ15" s="7">
        <f>IFERROR(AVERAGEIF('Данные 2st'!$Q$2:$Q$317,$A15,'Данные 2st'!$KU$2:$KU$317),"")</f>
        <v>0</v>
      </c>
      <c r="PR15" s="7">
        <f>IFERROR(AVERAGEIF('Данные 2st'!$Q$2:$Q$317,$A15,'Данные 2st'!$KV$2:$KV$317),"")</f>
        <v>0</v>
      </c>
      <c r="PS15" s="7">
        <f>IFERROR(AVERAGEIF('Данные 2st'!$Q$2:$Q$317,$A15,'Данные 2st'!$KW$2:$KW$317),"")</f>
        <v>1.2304347826086957</v>
      </c>
      <c r="PT15" s="7">
        <f>IFERROR(AVERAGEIF('Данные 2st'!$Q$2:$Q$317,$A15,'Данные 2st'!$KX$2:$KX$317),"")</f>
        <v>1.8695652173913044</v>
      </c>
      <c r="PU15" s="7">
        <f>IFERROR(AVERAGEIF('Данные 2st'!$Q$2:$Q$317,$A15,'Данные 2st'!$KY$2:$KY$317),"")</f>
        <v>0.043478260869565216</v>
      </c>
      <c r="PV15" s="7">
        <f>IFERROR(AVERAGEIF('Данные 2st'!$Q$2:$Q$317,$A15,'Данные 2st'!$KZ$2:$KZ$317),"")</f>
        <v>1.3695652173913044</v>
      </c>
      <c r="PW15" s="7">
        <f>IFERROR(AVERAGEIF('Данные 2st'!$Q$2:$Q$317,$A15,'Данные 2st'!$LA$2:$LA$317),"")</f>
        <v>0.782608695652174</v>
      </c>
      <c r="PX15" s="7">
        <f>IFERROR(AVERAGEIF('Данные 2st'!$Q$2:$Q$317,$A15,'Данные 2st'!$LB$2:$LB$317),"")</f>
        <v>3.9130434782608696</v>
      </c>
      <c r="PY15" s="7">
        <f>IFERROR(AVERAGEIF('Данные 2st'!$Q$2:$Q$317,$A15,'Данные 2st'!$LC$2:$LC$317),"")</f>
        <v>1.3695652173913044</v>
      </c>
      <c r="PZ15" s="7">
        <f>IFERROR(AVERAGEIF('Данные 2st'!$Q$2:$Q$317,$A15,'Данные 2st'!$LD$2:$LD$317),"")</f>
        <v>1.173913043478261</v>
      </c>
      <c r="QA15" s="7">
        <f>IFERROR(AVERAGEIF('Данные 2st'!$Q$2:$Q$317,$A15,'Данные 2st'!$LE$2:$LE$317),"")</f>
        <v>0.782608695652174</v>
      </c>
      <c r="QB15" s="7">
        <f>IFERROR(AVERAGEIF('Данные 2st'!$Q$2:$Q$317,$A15,'Данные 2st'!$LF$2:$LF$317),"")</f>
        <v>0</v>
      </c>
      <c r="QC15" s="7">
        <f>IFERROR(AVERAGEIF('Данные 2st'!$Q$2:$Q$317,$A15,'Данные 2st'!$LG$2:$LG$317),"")</f>
        <v>0</v>
      </c>
      <c r="QD15" s="7">
        <f>IFERROR(AVERAGEIF('Данные 2st'!$Q$2:$Q$317,$A15,'Данные 2st'!$LH$2:$LH$317),"")</f>
        <v>3</v>
      </c>
      <c r="QE15" s="7">
        <f>IFERROR(AVERAGEIF('Данные 2st'!$Q$2:$Q$317,$A15,'Данные 2st'!$LJ$2:$LJ$317),"")</f>
        <v>0.0391304347826087</v>
      </c>
      <c r="QF15" s="7">
        <f>IFERROR(AVERAGEIF('Данные 2st'!$Q$2:$Q$317,$A15,'Данные 2st'!$LK$2:$LK$317),"")</f>
        <v>5.565217391304348</v>
      </c>
      <c r="QG15" s="7">
        <f>IFERROR(AVERAGEIF('Данные 2st'!$Q$2:$Q$317,$A15,'Данные 2st'!$LL$2:$LL$317),"")</f>
        <v>4.608695652173913</v>
      </c>
      <c r="QH15" s="7">
        <f>IFERROR(AVERAGEIF('Данные 2st'!$Q$2:$Q$317,$A15,'Данные 2st'!$LM$2:$LM$317),"")</f>
        <v>8.478260869565217</v>
      </c>
      <c r="QI15" s="7">
        <f>IFERROR(AVERAGEIF('Данные 2st'!$Q$2:$Q$317,$A15,'Данные 2st'!$LN$2:$LN$317),"")</f>
        <v>0.4956521739130435</v>
      </c>
      <c r="QJ15" s="7">
        <f>IFERROR(AVERAGEIF('Данные 2st'!$Q$2:$Q$317,$A15,'Данные 2st'!$LO$2:$LO$317),"")</f>
        <v>0.782608695652174</v>
      </c>
      <c r="QK15" s="7">
        <f>IFERROR(AVERAGEIF('Данные 2st'!$Q$2:$Q$317,$A15,'Данные 2st'!$LP$2:$LP$317),"")</f>
        <v>0</v>
      </c>
      <c r="QL15" s="7">
        <f>IFERROR(AVERAGEIF('Данные 2st'!$Q$2:$Q$317,$A15,'Данные 2st'!$LQ$2:$LQ$317),"")</f>
        <v>0</v>
      </c>
      <c r="QM15" s="7">
        <f>IFERROR(AVERAGEIF('Данные 2st'!$Q$2:$Q$317,$A15,'Данные 2st'!$LW$2:$LW$317),"")</f>
        <v>0.8869565217391304</v>
      </c>
      <c r="QN15" s="7">
        <f>IFERROR(AVERAGEIF('Данные 2st'!$Q$2:$Q$317,$A15,'Данные 2st'!$LX$2:$LX$317),"")</f>
        <v>0.8869565217391304</v>
      </c>
      <c r="QO15" s="7">
        <f>IFERROR(AVERAGEIF('Данные 2st'!$Q$2:$Q$317,$A15,'Данные 2st'!$LY$2:$LY$317),"")</f>
        <v>1.2739130434782608</v>
      </c>
      <c r="QP15" s="7">
        <f>IFERROR(AVERAGEIF('Данные 2st'!$Q$2:$Q$317,$A15,'Данные 2st'!$LZ$2:$LZ$317),"")</f>
        <v>1.2739130434782608</v>
      </c>
      <c r="QQ15" s="7">
        <f>IFERROR(AVERAGEIF('Данные 2st'!$Q$2:$Q$317,$A15,'Данные 2st'!$MB$2:$MB$317),"")</f>
        <v>6.043478260869565</v>
      </c>
      <c r="QR15" s="7">
        <f>IFERROR(AVERAGEIF('Данные 2st'!$Q$2:$Q$317,$A15,'Данные 2st'!$MG$2:$MG$317),"")</f>
        <v>0</v>
      </c>
      <c r="QS15" s="7">
        <f>IFERROR(AVERAGEIF('Данные 2st'!$Q$2:$Q$317,$A15,'Данные 2st'!$MH$2:$MH$317),"")</f>
        <v>0</v>
      </c>
      <c r="QT15" s="7">
        <f>IFERROR(AVERAGEIF('Данные 2st'!$Q$2:$Q$317,$A15,'Данные 2st'!$MI$2:$MI$317),"")</f>
        <v>0</v>
      </c>
      <c r="QU15" s="7">
        <f>IFERROR(AVERAGEIF('Данные 2st'!$Q$2:$Q$317,$A15,'Данные 2st'!$MJ$2:$MJ$317),"")</f>
        <v>0</v>
      </c>
      <c r="QV15" s="7">
        <f>IFERROR(AVERAGEIF('Данные 2st'!$Q$2:$Q$317,$A15,'Данные 2st'!$MK$2:$MK$317),"")</f>
        <v>0</v>
      </c>
      <c r="QW15" s="7">
        <f>IFERROR(AVERAGEIF('Данные 2st'!$Q$2:$Q$317,$A15,'Данные 2st'!$MM$2:$MM$317),"")</f>
        <v>331.27272727272725</v>
      </c>
      <c r="QX15" s="7">
        <f>IFERROR(AVERAGEIF('Данные 2st'!$Q$2:$Q$317,$A15,'Данные 2st'!$MQ$2:$MQ$317),"")</f>
        <v>0</v>
      </c>
      <c r="QY15" s="7">
        <f>IFERROR(AVERAGEIF('Данные 2st'!$Q$2:$Q$317,$A15,'Данные 2st'!$MR$2:$MR$317),"")</f>
        <v>0</v>
      </c>
      <c r="QZ15" s="7">
        <f>IFERROR(AVERAGEIF('Данные 2st'!$Q$2:$Q$317,$A15,'Данные 2st'!$MS$2:$MS$317),"")</f>
        <v>0</v>
      </c>
      <c r="RA15" s="7">
        <f>IFERROR(AVERAGEIF('Данные 2st'!$Q$2:$Q$317,$A15,'Данные 2st'!$MT$2:$MT$317),"")</f>
        <v>0</v>
      </c>
      <c r="RB15" s="7">
        <f>IFERROR(AVERAGEIF('Данные 2st'!$Q$2:$Q$317,$A15,'Данные 2st'!$MU$2:$MU$317),"")</f>
        <v>0</v>
      </c>
      <c r="RC15" s="7">
        <f>IFERROR(AVERAGEIF('Данные 2st'!$Q$2:$Q$317,$A15,'Данные 2st'!$MV$2:$MV$317),"")</f>
        <v>0</v>
      </c>
      <c r="RD15" s="7">
        <f>IFERROR(AVERAGEIF('Данные 2st'!$Q$2:$Q$317,$A15,'Данные 2st'!$MW$2:$MW$317),"")</f>
        <v>0</v>
      </c>
      <c r="RE15" s="7">
        <f>IFERROR(AVERAGEIF('Данные 2st'!$Q$2:$Q$317,$A15,'Данные 2st'!$MX$2:$MX$317),"")</f>
        <v>0</v>
      </c>
      <c r="RF15" s="7">
        <f>IFERROR(AVERAGEIF('Данные 2st'!$Q$2:$Q$317,$A15,'Данные 2st'!$MY$2:$MY$317),"")</f>
        <v>0</v>
      </c>
      <c r="RG15" s="7">
        <f>IFERROR(AVERAGEIF('Данные 2st'!$Q$2:$Q$317,$A15,'Данные 2st'!$MZ$2:$MZ$317),"")</f>
        <v>0</v>
      </c>
      <c r="RH15" s="7">
        <f>IFERROR(AVERAGEIF('Данные 2st'!$Q$2:$Q$317,$A15,'Данные 2st'!$NA$2:$NA$317),"")</f>
        <v>0</v>
      </c>
      <c r="RI15" s="7">
        <f>IFERROR(AVERAGEIF('Данные 2st'!$Q$2:$Q$317,$A15,'Данные 2st'!$NB$2:$NB$317),"")</f>
        <v>0</v>
      </c>
      <c r="RJ15" s="7">
        <f>IFERROR(AVERAGEIF('Данные 2st'!$Q$2:$Q$317,$A15,'Данные 2st'!$NC$2:$NC$317),"")</f>
        <v>0</v>
      </c>
      <c r="RK15" s="7">
        <f>IFERROR(AVERAGEIF('Данные 2st'!$Q$2:$Q$317,$A15,'Данные 2st'!$ND$2:$ND$317),"")</f>
        <v>0</v>
      </c>
      <c r="RL15" s="7">
        <f>IFERROR(AVERAGEIF('Данные 2st'!$Q$2:$Q$317,$A15,'Данные 2st'!$NE$2:$NE$317),"")</f>
        <v>0</v>
      </c>
      <c r="RM15" s="7">
        <f>IFERROR(AVERAGEIF('Данные 2st'!$Q$2:$Q$317,$A15,'Данные 2st'!$NF$2:$NF$317),"")</f>
        <v>0</v>
      </c>
      <c r="RN15" s="7">
        <f>IFERROR(AVERAGEIF('Данные 2st'!$Q$2:$Q$317,$A15,'Данные 2st'!$NG$2:$NG$317),"")</f>
        <v>0</v>
      </c>
      <c r="RO15" s="7">
        <f>IFERROR(AVERAGEIF('Данные 2st'!$Q$2:$Q$317,$A15,'Данные 2st'!$NH$2:$NH$317),"")</f>
        <v>0</v>
      </c>
      <c r="RP15" s="7">
        <f>IFERROR(AVERAGEIF('Данные 2st'!$Q$2:$Q$317,$A15,'Данные 2st'!$NJ$2:$NJ$317),"")</f>
        <v>0</v>
      </c>
      <c r="RQ15" s="7">
        <f>IFERROR(AVERAGEIF('Данные 2st'!$Q$2:$Q$317,$A15,'Данные 2st'!$NK$2:$NK$317),"")</f>
        <v>0</v>
      </c>
      <c r="RR15" s="7">
        <f>IFERROR(AVERAGEIF('Данные 2st'!$Q$2:$Q$317,$A15,'Данные 2st'!$NM$2:$NM$317),"")</f>
        <v>0</v>
      </c>
      <c r="RS15" s="7">
        <f>IFERROR(AVERAGEIF('Данные 2st'!$Q$2:$Q$317,$A15,'Данные 2st'!$NN$2:$NN$317),"")</f>
        <v>0</v>
      </c>
      <c r="RT15" s="7">
        <f>IFERROR(AVERAGEIF('Данные 2st'!$Q$2:$Q$317,$A15,'Данные 2st'!$NO$2:$NO$317),"")</f>
        <v>0</v>
      </c>
      <c r="RU15" s="7">
        <f>IFERROR(AVERAGEIF('Данные 2st'!$Q$2:$Q$317,$A15,'Данные 2st'!$NP$2:$NP$317),"")</f>
        <v>0</v>
      </c>
      <c r="RV15" s="7">
        <f>IFERROR(AVERAGEIF('Данные 2st'!$Q$2:$Q$317,$A15,'Данные 2st'!$NQ$2:$NQ$317),"")</f>
        <v>0</v>
      </c>
      <c r="RW15" s="7">
        <f>IFERROR(AVERAGEIF('Данные 2st'!$Q$2:$Q$317,$A15,'Данные 2st'!$NR$2:$NR$317),"")</f>
        <v>0</v>
      </c>
      <c r="RX15" s="7">
        <f>IFERROR(AVERAGEIF('Данные 2st'!$Q$2:$Q$317,$A15,'Данные 2st'!$NS$2:$NS$317),"")</f>
        <v>0</v>
      </c>
      <c r="RY15" s="7">
        <f>IFERROR(AVERAGEIF('Данные 2st'!$Q$2:$Q$317,$A15,'Данные 2st'!$NT$2:$NT$317),"")</f>
        <v>0</v>
      </c>
      <c r="RZ15" s="7">
        <f>IFERROR(AVERAGEIF('Данные 2st'!$Q$2:$Q$317,$A15,'Данные 2st'!$OK$2:$OK$317),"")</f>
        <v>61</v>
      </c>
      <c r="SA15" s="7">
        <f>IFERROR(AVERAGEIF('Данные 2st'!$Q$2:$Q$317,$A15,'Данные 2st'!$OL$2:$OL$317),"")</f>
        <v>61</v>
      </c>
      <c r="SB15" s="7">
        <f>IFERROR(AVERAGEIF('Данные 2st'!$Q$2:$Q$317,$A15,'Данные 2st'!$ON$2:$ON$317),"")</f>
        <v>1.4782608695652173</v>
      </c>
      <c r="SC15" s="7">
        <f>IFERROR(AVERAGEIF('Данные 2st'!$Q$2:$Q$317,$A15,'Данные 2st'!$OO$2:$OO$317),"")</f>
        <v>1791.2173913043478</v>
      </c>
      <c r="SD15" s="7">
        <f>IFERROR(AVERAGEIF('Данные 2st'!$Q$2:$Q$317,$A15,'Данные 2st'!$OP$2:$OP$317),"")</f>
        <v>61</v>
      </c>
      <c r="SE15" s="7">
        <f>IFERROR(AVERAGEIF('Данные 2st'!$Q$2:$Q$317,$A15,'Данные 2st'!$OQ$2:$OQ$317),"")</f>
        <v>61</v>
      </c>
      <c r="SF15" s="7">
        <f>IFERROR(AVERAGEIF('Данные 2st'!$Q$2:$Q$317,$A15,'Данные 2st'!$OS$2:$OS$317),"")</f>
        <v>1.4782608695652173</v>
      </c>
      <c r="SG15" s="7">
        <f>IFERROR(AVERAGEIF('Данные 2st'!$Q$2:$Q$317,$A15,'Данные 2st'!$OT$2:$OT$317),"")</f>
        <v>1799.5217391304348</v>
      </c>
      <c r="SH15" s="7">
        <f>IFERROR(AVERAGEIF('Данные 2st'!$Q$2:$Q$317,$A15,'Данные 2st'!$OU$2:$OU$317),"")</f>
        <v>65</v>
      </c>
      <c r="SI15" s="7">
        <f>IFERROR(AVERAGEIF('Данные 2st'!$Q$2:$Q$317,$A15,'Данные 2st'!$OV$2:$OV$317),"")</f>
        <v>65</v>
      </c>
      <c r="SJ15" s="7">
        <f>IFERROR(AVERAGEIF('Данные 2st'!$Q$2:$Q$317,$A15,'Данные 2st'!$OX$2:$OX$317),"")</f>
        <v>1.2173913043478262</v>
      </c>
      <c r="SK15" s="7">
        <f>IFERROR(AVERAGEIF('Данные 2st'!$Q$2:$Q$317,$A15,'Данные 2st'!$OY$2:$OY$317),"")</f>
        <v>30640.478260869564</v>
      </c>
      <c r="SL15" s="7">
        <f>IFERROR(AVERAGEIF('Данные 2st'!$Q$2:$Q$317,$A15,'Данные 2st'!$OZ$2:$OZ$317),"")</f>
        <v>51</v>
      </c>
      <c r="SM15" s="7">
        <f>IFERROR(AVERAGEIF('Данные 2st'!$Q$2:$Q$317,$A15,'Данные 2st'!$PA$2:$PA$317),"")</f>
        <v>51.30434782608695</v>
      </c>
      <c r="SN15" s="7">
        <f>IFERROR(AVERAGEIF('Данные 2st'!$Q$2:$Q$317,$A15,'Данные 2st'!$PC$2:$PC$317),"")</f>
        <v>1.7826086956521738</v>
      </c>
      <c r="SO15" s="7">
        <f>IFERROR(AVERAGEIF('Данные 2st'!$Q$2:$Q$317,$A15,'Данные 2st'!$PD$2:$PD$317),"")</f>
        <v>1832.304347826087</v>
      </c>
      <c r="SP15" s="7">
        <f>IFERROR(AVERAGEIF('Данные 2st'!$Q$2:$Q$317,$A15,'Данные 2st'!$PF$2:$PF$317),"")</f>
        <v>321.7391304347826</v>
      </c>
      <c r="SQ15" s="7">
        <f>IFERROR(AVERAGEIF('Данные 2st'!$Q$2:$Q$317,$A15,'Данные 2st'!$PG$2:$PG$317),"")</f>
        <v>30.565217391304348</v>
      </c>
      <c r="SR15" s="7">
        <f>IFERROR(AVERAGEIF('Данные 2st'!$Q$2:$Q$317,$A15,'Данные 2st'!$PH$2:$PH$317),"")</f>
        <v>302.60869565217394</v>
      </c>
      <c r="SS15" s="7">
        <f>IFERROR(AVERAGEIF('Данные 2st'!$Q$2:$Q$317,$A15,'Данные 2st'!$PI$2:$PI$317),"")</f>
        <v>21.434782608695652</v>
      </c>
      <c r="ST15" s="7">
        <f>IFERROR(AVERAGEIF('Данные 2st'!$Q$2:$Q$317,$A15,'Данные 2st'!$PJ$2:$PJ$317),"")</f>
        <v>84.14782608695653</v>
      </c>
      <c r="SU15" s="7">
        <f>IFERROR(AVERAGEIF('Данные 2st'!$Q$2:$Q$317,$A15,'Данные 2st'!$PK$2:$PK$317),"")</f>
        <v>1835.8</v>
      </c>
      <c r="SV15" s="7">
        <f>IFERROR(AVERAGEIF('Данные 2st'!$Q$2:$Q$317,$A15,'Данные 2st'!$PL$2:$PL$317),"")</f>
        <v>1052.4478260869564</v>
      </c>
      <c r="SW15" s="7">
        <f>IFERROR(AVERAGEIF('Данные 2st'!$Q$2:$Q$317,$A15,'Данные 2st'!$PM$2:$PM$317),"")</f>
        <v>604.8869565217391</v>
      </c>
      <c r="SX15" s="7">
        <f>IFERROR(AVERAGEIF('Данные 2st'!$Q$2:$Q$317,$A15,'Данные 2st'!$PN$2:$PN$317),"")</f>
        <v>81.80952380952381</v>
      </c>
      <c r="SY15" s="7">
        <f>IFERROR(AVERAGEIF('Данные 2st'!$Q$2:$Q$317,$A15,'Данные 2st'!$PO$2:$PO$317),"")</f>
        <v>9.719999999999999</v>
      </c>
      <c r="SZ15" s="7">
        <f>IFERROR(AVERAGEIF('Данные 2st'!$Q$2:$Q$317,$A15,'Данные 2st'!$PP$2:$PP$317),"")</f>
        <v>11.826086956521738</v>
      </c>
      <c r="TA15" s="7">
        <f>IFERROR(AVERAGEIF('Данные 2st'!$Q$2:$Q$317,$A15,'Данные 2st'!$PQ$2:$PQ$317),"")</f>
        <v>2</v>
      </c>
      <c r="TB15" s="7">
        <f>IFERROR(AVERAGEIF('Данные 2st'!$Q$2:$Q$317,$A15,'Данные 2st'!$PR$2:$PR$317),"")</f>
        <v>1</v>
      </c>
      <c r="TC15" s="7">
        <f>IFERROR(AVERAGEIF('Данные 2st'!$Q$2:$Q$317,$A15,'Данные 2st'!$PS$2:$PS$317),"")</f>
        <v>6.434782608695652</v>
      </c>
      <c r="TD15" s="7">
        <f>IFERROR(AVERAGEIF('Данные 2st'!$Q$2:$Q$317,$A15,'Данные 2st'!$PT$2:$PT$317),"")</f>
        <v>203.04347826086956</v>
      </c>
      <c r="TE15" s="7">
        <f>IFERROR(AVERAGEIF('Данные 2st'!$Q$2:$Q$317,$A15,'Данные 2st'!$PU$2:$PU$317),"")</f>
        <v>10.695652173913043</v>
      </c>
      <c r="TF15" s="7">
        <f>IFERROR(AVERAGEIF('Данные 2st'!$Q$2:$Q$317,$A15,'Данные 2st'!$PX$2:$PX$317),"")</f>
        <v>0</v>
      </c>
      <c r="TG15" s="7">
        <f>IFERROR(AVERAGEIF('Данные 2st'!$Q$2:$Q$317,$A15,'Данные 2st'!$PY$2:$PY$317),"")</f>
        <v>0</v>
      </c>
      <c r="TH15" s="7">
        <f>IFERROR(AVERAGEIF('Данные 2st'!$Q$2:$Q$317,$A15,'Данные 2st'!$PZ$2:$PZ$317),"")</f>
        <v>0</v>
      </c>
      <c r="TI15" s="7">
        <f>IFERROR(AVERAGEIF('Данные 2st'!$Q$2:$Q$317,$A15,'Данные 2st'!$QA$2:$QA$317),"")</f>
        <v>0</v>
      </c>
      <c r="TJ15" s="7">
        <f>IFERROR(AVERAGEIF('Данные 2st'!$Q$2:$Q$317,$A15,'Данные 2st'!$QB$2:$QB$317),"")</f>
        <v>0</v>
      </c>
      <c r="TK15" s="7">
        <f>IFERROR(AVERAGEIF('Данные 2st'!$Q$2:$Q$317,$A15,'Данные 2st'!$QC$2:$QC$317),"")</f>
        <v>0</v>
      </c>
      <c r="TL15" s="7">
        <f>IFERROR(AVERAGEIF('Данные 2st'!$Q$2:$Q$317,$A15,'Данные 2st'!$QD$2:$QD$317),"")</f>
        <v>0</v>
      </c>
      <c r="TM15" s="7">
        <f>IFERROR(AVERAGEIF('Данные 2st'!$Q$2:$Q$317,$A15,'Данные 2st'!$QE$2:$QE$317),"")</f>
        <v>-1</v>
      </c>
      <c r="TN15" s="7">
        <f>IFERROR(AVERAGEIF('Данные 2st'!$Q$2:$Q$317,$A15,'Данные 2st'!$QF$2:$QF$317),"")</f>
        <v>1</v>
      </c>
      <c r="TO15" s="7">
        <f>IFERROR(AVERAGEIF('Данные 2st'!$Q$2:$Q$317,$A15,'Данные 2st'!$QG$2:$QG$317),"")</f>
        <v>0</v>
      </c>
      <c r="TP15" s="7">
        <f>IFERROR(AVERAGEIF('Данные 2st'!$Q$2:$Q$317,$A15,'Данные 2st'!$QH$2:$QH$317),"")</f>
        <v>5</v>
      </c>
      <c r="TQ15" s="7">
        <f>IFERROR(AVERAGEIF('Данные 2st'!$Q$2:$Q$317,$A15,'Данные 2st'!$QI$2:$QI$317),"")</f>
        <v>5</v>
      </c>
      <c r="TR15" s="7">
        <f>IFERROR(AVERAGEIF('Данные 2st'!$Q$2:$Q$317,$A15,'Данные 2st'!$QJ$2:$QJ$317),"")</f>
        <v>5</v>
      </c>
      <c r="TS15" s="7">
        <f>IFERROR(AVERAGEIF('Данные 2st'!$Q$2:$Q$317,$A15,'Данные 2st'!$QK$2:$QK$317),"")</f>
        <v>168.43478260869566</v>
      </c>
      <c r="TT15" s="7">
        <f>IFERROR(AVERAGEIF('Данные 2st'!$Q$2:$Q$317,$A15,'Данные 2st'!$QL$2:$QL$317),"")</f>
        <v>373.4782608695652</v>
      </c>
      <c r="TU15" s="7">
        <f>IFERROR(AVERAGEIF('Данные 2st'!$Q$2:$Q$317,$A15,'Данные 2st'!$QM$2:$QM$317),"")</f>
        <v>7.5</v>
      </c>
      <c r="TV15" s="7">
        <f>IFERROR(AVERAGEIF('Данные 2st'!$Q$2:$Q$317,$A15,'Данные 2st'!$QN$2:$QN$317),"")</f>
        <v>1220.5739130434783</v>
      </c>
      <c r="TW15" s="7">
        <f>IFERROR(AVERAGEIF('Данные 2st'!$Q$2:$Q$317,$A15,'Данные 2st'!$QQ$2:$QQ$317),"")</f>
        <v>0</v>
      </c>
      <c r="TX15" s="7">
        <f>IFERROR(AVERAGEIF('Данные 2st'!$Q$2:$Q$317,$A15,'Данные 2st'!$QS$2:$QS$317),"")</f>
        <v>32</v>
      </c>
      <c r="TY15" s="7">
        <f>IFERROR(AVERAGEIF('Данные 2st'!$Q$2:$Q$317,$A15,'Данные 2st'!$QT$2:$QT$317),"")</f>
        <v>42</v>
      </c>
    </row>
    <row r="16" spans="1:545" ht="32" customHeight="1">
      <c r="A16" s="11" t="s">
        <v>1221</v>
      </c>
      <c r="B16">
        <f>COUNTIF('Данные 1st'!$S$2:$S$317,$A16)</f>
        <v>1</v>
      </c>
      <c r="C16" s="6" t="s">
        <v>573</v>
      </c>
      <c r="D16" s="6" t="s">
        <v>513</v>
      </c>
      <c r="E16" s="6" t="s">
        <v>567</v>
      </c>
      <c r="F16" s="6" t="s">
        <v>1219</v>
      </c>
      <c r="G16" s="7">
        <f>IFERROR(AVERAGEIF('Данные 1st'!$S$2:$S$317,$A16,'Данные 1st'!$AE$2:$AE$317),"")</f>
        <v>169</v>
      </c>
      <c r="H16" s="7">
        <f>IFERROR(AVERAGEIF('Данные 1st'!$S$2:$S$317,$A16,'Данные 1st'!$AF$2:$AF$317),"")</f>
        <v>1.5</v>
      </c>
      <c r="I16" s="7">
        <f>IFERROR(AVERAGEIF('Данные 1st'!$S$2:$S$317,$A16,'Данные 1st'!$AJ$2:$AJ$317),"")</f>
        <v>180</v>
      </c>
      <c r="J16" s="7">
        <f>IFERROR(AVERAGEIF('Данные 1st'!$S$2:$S$317,$A16,'Данные 1st'!$AL$2:$AL$317),"")</f>
        <v>1.5</v>
      </c>
      <c r="K16" s="7">
        <f>IFERROR(AVERAGEIF('Данные 1st'!$S$2:$S$317,$A16,'Данные 1st'!$AR$2:$AR$317),"")</f>
        <v>0</v>
      </c>
      <c r="L16" s="7">
        <f>IFERROR(AVERAGEIF('Данные 1st'!$S$2:$S$317,$A16,'Данные 1st'!$AS$2:$AS$317),"")</f>
        <v>1.5</v>
      </c>
      <c r="M16" s="7">
        <f>IFERROR(AVERAGEIF('Данные 1st'!$S$2:$S$317,$A16,'Данные 1st'!$AY$2:$AY$317),"")</f>
        <v>255</v>
      </c>
      <c r="N16" s="7">
        <f>IFERROR(AVERAGEIF('Данные 1st'!$S$2:$S$317,$A16,'Данные 1st'!$AZ$2:$AZ$317),"")</f>
        <v>1.5</v>
      </c>
      <c r="O16" s="7">
        <f>IFERROR(AVERAGEIF('Данные 1st'!$S$2:$S$317,$A16,'Данные 1st'!$BF$2:$BF$317),"")</f>
        <v/>
      </c>
      <c r="P16" s="7">
        <f>IFERROR(AVERAGEIF('Данные 1st'!$S$2:$S$317,$A16,'Данные 1st'!$BG$2:$BG$317),"")</f>
        <v>1.5</v>
      </c>
      <c r="Q16" s="7">
        <f>IFERROR(AVERAGEIF('Данные 1st'!$S$2:$S$317,$A16,'Данные 1st'!$BM$2:$BM$317),"")</f>
        <v/>
      </c>
      <c r="R16" s="7">
        <f>IFERROR(AVERAGEIF('Данные 1st'!$S$2:$S$317,$A16,'Данные 1st'!$BN$2:$BN$317),"")</f>
        <v>1.5</v>
      </c>
      <c r="S16" s="7">
        <f>IFERROR(AVERAGEIF('Данные 1st'!$S$2:$S$317,$A16,'Данные 1st'!$BT$2:$BT$317),"")</f>
        <v>191</v>
      </c>
      <c r="T16" s="7">
        <f>IFERROR(AVERAGEIF('Данные 1st'!$S$2:$S$317,$A16,'Данные 1st'!$BU$2:$BU$317),"")</f>
        <v>0.5</v>
      </c>
      <c r="U16" s="7">
        <f>IFERROR(AVERAGEIF('Данные 1st'!$S$2:$S$317,$A16,'Данные 1st'!$BW$2:$BW$317),"")</f>
        <v>382</v>
      </c>
      <c r="V16" s="7">
        <f>IFERROR(AVERAGEIF('Данные 1st'!$S$2:$S$317,$A16,'Данные 1st'!$BX$2:$BX$317),"")</f>
        <v>1</v>
      </c>
      <c r="W16" s="7">
        <f>IFERROR(AVERAGEIF('Данные 1st'!$S$2:$S$317,$A16,'Данные 1st'!$BZ$2:$BZ$317),"")</f>
        <v>300</v>
      </c>
      <c r="X16" s="7">
        <f>IFERROR(AVERAGEIF('Данные 1st'!$S$2:$S$317,$A16,'Данные 1st'!$CA$2:$CA$317),"")</f>
        <v>460</v>
      </c>
      <c r="Y16" s="7">
        <f>IFERROR(AVERAGEIF('Данные 1st'!$S$2:$S$317,$A16,'Данные 1st'!$CD$2:$CD$317),"")</f>
        <v>402</v>
      </c>
      <c r="Z16" s="7">
        <f>IFERROR(AVERAGEIF('Данные 1st'!$S$2:$S$317,$A16,'Данные 1st'!$CF$2:$CF$317),"")</f>
        <v>15</v>
      </c>
      <c r="AA16" s="7">
        <f>IFERROR(AVERAGEIF('Данные 1st'!$S$2:$S$317,$A16,'Данные 1st'!$CI$2:$CI$317),"")</f>
        <v>80</v>
      </c>
      <c r="AB16" s="7">
        <f>IFERROR(AVERAGEIF('Данные 1st'!$S$2:$S$317,$A16,'Данные 1st'!$CJ$2:$CJ$317),"")</f>
        <v>1301</v>
      </c>
      <c r="AC16" s="7">
        <f>IFERROR(AVERAGEIF('Данные 1st'!$S$2:$S$317,$A16,'Данные 1st'!$CK$2:$CK$317),"")</f>
        <v>2</v>
      </c>
      <c r="AD16" s="7">
        <f>IFERROR(AVERAGEIF('Данные 1st'!$S$2:$S$317,$A16,'Данные 1st'!$CL$2:$CL$317),"")</f>
        <v>1395</v>
      </c>
      <c r="AE16" s="7">
        <f>IFERROR(AVERAGEIF('Данные 1st'!$S$2:$S$317,$A16,'Данные 1st'!$CM$2:$CM$317),"")</f>
        <v>2</v>
      </c>
      <c r="AF16" s="7">
        <f>IFERROR(AVERAGEIF('Данные 1st'!$S$2:$S$317,$A16,'Данные 1st'!$CT$2:$CT$317),"")</f>
        <v>360</v>
      </c>
      <c r="AG16" s="7">
        <f>IFERROR(AVERAGEIF('Данные 1st'!$S$2:$S$317,$A16,'Данные 1st'!$CU$2:$CU$317),"")</f>
        <v>5</v>
      </c>
      <c r="AH16" s="7">
        <f>IFERROR(AVERAGEIF('Данные 1st'!$S$2:$S$317,$A16,'Данные 1st'!$CV$2:$CV$317),"")</f>
        <v>1.2</v>
      </c>
      <c r="AI16" s="7">
        <f>IFERROR(AVERAGEIF('Данные 1st'!$S$2:$S$317,$A16,'Данные 1st'!$CW$2:$CW$317),"")</f>
        <v>1314</v>
      </c>
      <c r="AJ16" s="7">
        <f>IFERROR(AVERAGEIF('Данные 1st'!$S$2:$S$317,$A16,'Данные 1st'!$CX$2:$CX$317),"")</f>
        <v>669</v>
      </c>
      <c r="AK16" s="7">
        <f>IFERROR(AVERAGEIF('Данные 1st'!$S$2:$S$317,$A16,'Данные 1st'!$CZ$2:$CZ$317),"")</f>
        <v/>
      </c>
      <c r="AL16" s="7">
        <f>IFERROR(AVERAGEIF('Данные 1st'!$S$2:$S$317,$A16,'Данные 1st'!$DA$2:$DA$317),"")</f>
        <v/>
      </c>
      <c r="AM16" s="7">
        <f>IFERROR(AVERAGEIF('Данные 1st'!$S$2:$S$317,$A16,'Данные 1st'!$DB$2:$DB$317),"")</f>
        <v/>
      </c>
      <c r="AN16" s="7">
        <f>IFERROR(AVERAGEIF('Данные 1st'!$S$2:$S$317,$A16,'Данные 1st'!$DC$2:$DC$317),"")</f>
        <v/>
      </c>
      <c r="AO16" s="7">
        <f>IFERROR(AVERAGEIF('Данные 1st'!$S$2:$S$317,$A16,'Данные 1st'!$DD$2:$DD$317),"")</f>
        <v>0</v>
      </c>
      <c r="AP16" s="7">
        <f>IFERROR(AVERAGEIF('Данные 1st'!$S$2:$S$317,$A16,'Данные 1st'!$DF$2:$DF$317),"")</f>
        <v>510</v>
      </c>
      <c r="AQ16" s="7">
        <f>IFERROR(AVERAGEIF('Данные 1st'!$S$2:$S$317,$A16,'Данные 1st'!$DG$2:$DG$317),"")</f>
        <v>3</v>
      </c>
      <c r="AR16" s="7">
        <f>IFERROR(AVERAGEIF('Данные 1st'!$S$2:$S$317,$A16,'Данные 1st'!$DH$2:$DH$317),"")</f>
        <v>1.18</v>
      </c>
      <c r="AS16" s="7">
        <f>IFERROR(AVERAGEIF('Данные 1st'!$S$2:$S$317,$A16,'Данные 1st'!$DI$2:$DI$317),"")</f>
        <v>1312</v>
      </c>
      <c r="AT16" s="7">
        <f>IFERROR(AVERAGEIF('Данные 1st'!$S$2:$S$317,$A16,'Данные 1st'!$DJ$2:$DJ$317),"")</f>
        <v>1080</v>
      </c>
      <c r="AU16" s="7">
        <f>IFERROR(AVERAGEIF('Данные 1st'!$S$2:$S$317,$A16,'Данные 1st'!$DL$2:$DL$317),"")</f>
        <v/>
      </c>
      <c r="AV16" s="7">
        <f>IFERROR(AVERAGEIF('Данные 1st'!$S$2:$S$317,$A16,'Данные 1st'!$DM$2:$DM$317),"")</f>
        <v/>
      </c>
      <c r="AW16" s="7">
        <f>IFERROR(AVERAGEIF('Данные 1st'!$S$2:$S$317,$A16,'Данные 1st'!$DN$2:$DN$317),"")</f>
        <v/>
      </c>
      <c r="AX16" s="7">
        <f>IFERROR(AVERAGEIF('Данные 1st'!$S$2:$S$317,$A16,'Данные 1st'!$DO$2:$DO$317),"")</f>
        <v/>
      </c>
      <c r="AY16" s="7">
        <f>IFERROR(AVERAGEIF('Данные 1st'!$S$2:$S$317,$A16,'Данные 1st'!$DP$2:$DP$317),"")</f>
        <v/>
      </c>
      <c r="AZ16" s="7">
        <f>IFERROR(AVERAGEIF('Данные 1st'!$S$2:$S$317,$A16,'Данные 1st'!$DR$2:$DR$317),"")</f>
        <v/>
      </c>
      <c r="BA16" s="7">
        <f>IFERROR(AVERAGEIF('Данные 1st'!$S$2:$S$317,$A16,'Данные 1st'!$DS$2:$DS$317),"")</f>
        <v/>
      </c>
      <c r="BB16" s="7">
        <f>IFERROR(AVERAGEIF('Данные 1st'!$S$2:$S$317,$A16,'Данные 1st'!$DT$2:$DT$317),"")</f>
        <v/>
      </c>
      <c r="BC16" s="7">
        <f>IFERROR(AVERAGEIF('Данные 1st'!$S$2:$S$317,$A16,'Данные 1st'!$DU$2:$DU$317),"")</f>
        <v/>
      </c>
      <c r="BD16" s="7">
        <f>IFERROR(AVERAGEIF('Данные 1st'!$S$2:$S$317,$A16,'Данные 1st'!$DV$2:$DV$317),"")</f>
        <v/>
      </c>
      <c r="BE16" s="7">
        <f>IFERROR(AVERAGEIF('Данные 1st'!$S$2:$S$317,$A16,'Данные 1st'!$DX$2:$DX$317),"")</f>
        <v>7.5</v>
      </c>
      <c r="BF16" s="7">
        <f>IFERROR(AVERAGEIF('Данные 1st'!$S$2:$S$317,$A16,'Данные 1st'!$EA$2:$EA$317),"")</f>
        <v>1381.4</v>
      </c>
      <c r="BG16" s="7">
        <f>IFERROR(AVERAGEIF('Данные 1st'!$S$2:$S$317,$A16,'Данные 1st'!$EB$2:$EB$317),"")</f>
        <v>261</v>
      </c>
      <c r="BH16" s="7">
        <f>IFERROR(AVERAGEIF('Данные 1st'!$S$2:$S$317,$A16,'Данные 1st'!$ED$2:$ED$317),"")</f>
        <v>35</v>
      </c>
      <c r="BI16" s="7">
        <f>IFERROR(AVERAGEIF('Данные 1st'!$S$2:$S$317,$A16,'Данные 1st'!$EE$2:$EE$317),"")</f>
        <v>3</v>
      </c>
      <c r="BJ16" s="7">
        <f>IFERROR(AVERAGEIF('Данные 1st'!$S$2:$S$317,$A16,'Данные 1st'!$EG$2:$EG$317),"")</f>
        <v>1422</v>
      </c>
      <c r="BK16" s="7">
        <f>IFERROR(AVERAGEIF('Данные 1st'!$S$2:$S$317,$A16,'Данные 1st'!$EH$2:$EH$317),"")</f>
        <v>198</v>
      </c>
      <c r="BL16" s="7">
        <f>IFERROR(AVERAGEIF('Данные 1st'!$S$2:$S$317,$A16,'Данные 1st'!$EJ$2:$EJ$317),"")</f>
        <v>0</v>
      </c>
      <c r="BM16" s="7">
        <f>IFERROR(AVERAGEIF('Данные 1st'!$S$2:$S$317,$A16,'Данные 1st'!$EK$2:$EK$317),"")</f>
        <v>1</v>
      </c>
      <c r="BN16" s="7">
        <f>IFERROR(AVERAGEIF('Данные 1st'!$S$2:$S$317,$A16,'Данные 1st'!$EN$2:$EN$317),"")</f>
        <v>0</v>
      </c>
      <c r="BO16" s="7">
        <f>IFERROR(AVERAGEIF('Данные 1st'!$S$2:$S$317,$A16,'Данные 1st'!$EQ$2:$EQ$317),"")</f>
        <v>95</v>
      </c>
      <c r="BP16" s="7">
        <f>IFERROR(AVERAGEIF('Данные 1st'!$S$2:$S$317,$A16,'Данные 1st'!$ER$2:$ER$317),"")</f>
        <v>3</v>
      </c>
      <c r="BQ16" s="7">
        <f>IFERROR(AVERAGEIF('Данные 1st'!$S$2:$S$317,$A16,'Данные 1st'!$ES$2:$ES$317),"")</f>
        <v>5</v>
      </c>
      <c r="BR16" s="7">
        <f>IFERROR(AVERAGEIF('Данные 1st'!$S$2:$S$317,$A16,'Данные 1st'!$ET$2:$ET$317),"")</f>
        <v>1295</v>
      </c>
      <c r="BS16" s="7">
        <f>IFERROR(AVERAGEIF('Данные 1st'!$S$2:$S$317,$A16,'Данные 1st'!$EU$2:$EU$317),"")</f>
        <v>381</v>
      </c>
      <c r="BT16" s="7">
        <f>IFERROR(AVERAGEIF('Данные 1st'!$S$2:$S$317,$A16,'Данные 1st'!$EV$2:$EV$317),"")</f>
        <v>493</v>
      </c>
      <c r="BU16" s="7">
        <f>IFERROR(AVERAGEIF('Данные 1st'!$S$2:$S$317,$A16,'Данные 1st'!$EX$2:$EX$317),"")</f>
        <v>70</v>
      </c>
      <c r="BV16" s="7">
        <f>IFERROR(AVERAGEIF('Данные 1st'!$S$2:$S$317,$A16,'Данные 1st'!$EY$2:$EY$317),"")</f>
        <v>2</v>
      </c>
      <c r="BW16" s="7">
        <f>IFERROR(AVERAGEIF('Данные 1st'!$S$2:$S$317,$A16,'Данные 1st'!$EZ$2:$EZ$317),"")</f>
        <v>4.5</v>
      </c>
      <c r="BX16" s="7">
        <f>IFERROR(AVERAGEIF('Данные 1st'!$S$2:$S$317,$A16,'Данные 1st'!$FA$2:$FA$317),"")</f>
        <v>1295</v>
      </c>
      <c r="BY16" s="7">
        <f>IFERROR(AVERAGEIF('Данные 1st'!$S$2:$S$317,$A16,'Данные 1st'!$FB$2:$FB$317),"")</f>
        <v>219.6</v>
      </c>
      <c r="BZ16" s="7">
        <f>IFERROR(AVERAGEIF('Данные 1st'!$S$2:$S$317,$A16,'Данные 1st'!$FC$2:$FC$317),"")</f>
        <v>284</v>
      </c>
      <c r="CA16" s="7">
        <f>IFERROR(AVERAGEIF('Данные 1st'!$S$2:$S$317,$A16,'Данные 1st'!$FE$2:$FE$317),"")</f>
        <v>0</v>
      </c>
      <c r="CB16" s="7">
        <f>IFERROR(AVERAGEIF('Данные 1st'!$S$2:$S$317,$A16,'Данные 1st'!$FF$2:$FF$317),"")</f>
        <v>2</v>
      </c>
      <c r="CC16" s="7">
        <f>IFERROR(AVERAGEIF('Данные 1st'!$S$2:$S$317,$A16,'Данные 1st'!$FI$2:$FI$317),"")</f>
        <v>0</v>
      </c>
      <c r="CD16" s="7">
        <f>IFERROR(AVERAGEIF('Данные 1st'!$S$2:$S$317,$A16,'Данные 1st'!$FL$2:$FL$317),"")</f>
        <v>0.4</v>
      </c>
      <c r="CE16" s="7">
        <f>IFERROR(AVERAGEIF('Данные 1st'!$S$2:$S$317,$A16,'Данные 1st'!$FM$2:$FM$317),"")</f>
        <v>90</v>
      </c>
      <c r="CF16" s="7">
        <f>IFERROR(AVERAGEIF('Данные 1st'!$S$2:$S$317,$A16,'Данные 1st'!$FN$2:$FN$317),"")</f>
        <v>130</v>
      </c>
      <c r="CG16" s="7">
        <f>IFERROR(AVERAGEIF('Данные 1st'!$S$2:$S$317,$A16,'Данные 1st'!$FO$2:$FO$317),"")</f>
        <v/>
      </c>
      <c r="CH16" s="7">
        <f>IFERROR(AVERAGEIF('Данные 1st'!$S$2:$S$317,$A16,'Данные 1st'!$FP$2:$FP$317),"")</f>
        <v/>
      </c>
      <c r="CI16" s="7">
        <f>IFERROR(AVERAGEIF('Данные 1st'!$S$2:$S$317,$A16,'Данные 1st'!$FS$2:$FS$317),"")</f>
        <v>0.4</v>
      </c>
      <c r="CJ16" s="7">
        <f>IFERROR(AVERAGEIF('Данные 1st'!$S$2:$S$317,$A16,'Данные 1st'!$FT$2:$FT$317),"")</f>
        <v>30</v>
      </c>
      <c r="CK16" s="7">
        <f>IFERROR(AVERAGEIF('Данные 1st'!$S$2:$S$317,$A16,'Данные 1st'!$FU$2:$FU$317),"")</f>
        <v>350</v>
      </c>
      <c r="CL16" s="7">
        <f>IFERROR(AVERAGEIF('Данные 1st'!$S$2:$S$317,$A16,'Данные 1st'!$FV$2:$FV$317),"")</f>
        <v>30</v>
      </c>
      <c r="CM16" s="7">
        <f>IFERROR(AVERAGEIF('Данные 1st'!$S$2:$S$317,$A16,'Данные 1st'!$FW$2:$FW$317),"")</f>
        <v>220</v>
      </c>
      <c r="CN16" s="7">
        <f>IFERROR(AVERAGEIF('Данные 1st'!$S$2:$S$317,$A16,'Данные 1st'!$FZ$2:$FZ$317),"")</f>
        <v/>
      </c>
      <c r="CO16" s="7">
        <f>IFERROR(AVERAGEIF('Данные 1st'!$S$2:$S$317,$A16,'Данные 1st'!$GA$2:$GA$317),"")</f>
        <v/>
      </c>
      <c r="CP16" s="7">
        <f>IFERROR(AVERAGEIF('Данные 1st'!$S$2:$S$317,$A16,'Данные 1st'!$GB$2:$GB$317),"")</f>
        <v/>
      </c>
      <c r="CQ16" s="7">
        <f>IFERROR(AVERAGEIF('Данные 1st'!$S$2:$S$317,$A16,'Данные 1st'!$GH$2:$GH$317),"")</f>
        <v/>
      </c>
      <c r="CR16" s="7">
        <f>IFERROR(AVERAGEIF('Данные 1st'!$S$2:$S$317,$A16,'Данные 1st'!$GI$2:$GI$317),"")</f>
        <v/>
      </c>
      <c r="CS16" s="7">
        <f>IFERROR(AVERAGEIF('Данные 1st'!$S$2:$S$317,$A16,'Данные 1st'!$GJ$2:$GJ$317),"")</f>
        <v/>
      </c>
      <c r="CT16" s="7">
        <f>IFERROR(AVERAGEIF('Данные 1st'!$S$2:$S$317,$A16,'Данные 1st'!$GS$2:$GS$317),"")</f>
        <v/>
      </c>
      <c r="CU16" s="7">
        <f>IFERROR(AVERAGEIF('Данные 1st'!$S$2:$S$317,$A16,'Данные 1st'!$GT$2:$GT$317),"")</f>
        <v/>
      </c>
      <c r="CV16" s="7">
        <f>IFERROR(AVERAGEIF('Данные 1st'!$S$2:$S$317,$A16,'Данные 1st'!$GU$2:$GU$317),"")</f>
        <v/>
      </c>
      <c r="CW16" s="7">
        <f>IFERROR(AVERAGEIF('Данные 1st'!$S$2:$S$317,$A16,'Данные 1st'!$GV$2:$GV$317),"")</f>
        <v/>
      </c>
      <c r="CX16" s="7">
        <f>IFERROR(AVERAGEIF('Данные 1st'!$S$2:$S$317,$A16,'Данные 1st'!$GW$2:$GW$317),"")</f>
        <v/>
      </c>
      <c r="CY16" s="7">
        <f>IFERROR(AVERAGEIF('Данные 1st'!$S$2:$S$317,$A16,'Данные 1st'!$GZ$2:$GZ$317),"")</f>
        <v/>
      </c>
      <c r="CZ16" s="7">
        <f>IFERROR(AVERAGEIF('Данные 1st'!$S$2:$S$317,$A16,'Данные 1st'!$HA$2:$HA$317),"")</f>
        <v/>
      </c>
      <c r="DA16" s="7">
        <f>IFERROR(AVERAGEIF('Данные 1st'!$S$2:$S$317,$A16,'Данные 1st'!$HB$2:$HB$317),"")</f>
        <v/>
      </c>
      <c r="DB16" s="7">
        <f>IFERROR(AVERAGEIF('Данные 1st'!$S$2:$S$317,$A16,'Данные 1st'!$HC$2:$HC$317),"")</f>
        <v>0.1</v>
      </c>
      <c r="DC16" s="7">
        <f>IFERROR(AVERAGEIF('Данные 1st'!$S$2:$S$317,$A16,'Данные 1st'!$HD$2:$HD$317),"")</f>
        <v>3</v>
      </c>
      <c r="DD16" s="7">
        <f>IFERROR(AVERAGEIF('Данные 1st'!$S$2:$S$317,$A16,'Данные 1st'!$HE$2:$HE$317),"")</f>
        <v>3</v>
      </c>
      <c r="DE16" s="7">
        <f>IFERROR(AVERAGEIF('Данные 1st'!$S$2:$S$317,$A16,'Данные 1st'!$HF$2:$HF$317),"")</f>
        <v>3</v>
      </c>
      <c r="DF16" s="7">
        <f>IFERROR(AVERAGEIF('Данные 1st'!$S$2:$S$317,$A16,'Данные 1st'!$HG$2:$HG$317),"")</f>
        <v>3</v>
      </c>
      <c r="DG16" s="7">
        <f>IFERROR(AVERAGEIF('Данные 1st'!$S$2:$S$317,$A16,'Данные 1st'!$HH$2:$HH$317),"")</f>
        <v>3</v>
      </c>
      <c r="DH16" s="7">
        <f>IFERROR(AVERAGEIF('Данные 1st'!$S$2:$S$317,$A16,'Данные 1st'!$HI$2:$HI$317),"")</f>
        <v>150</v>
      </c>
      <c r="DI16" s="7">
        <f>IFERROR(AVERAGEIF('Данные 1st'!$S$2:$S$317,$A16,'Данные 1st'!$HJ$2:$HJ$317),"")</f>
        <v>3</v>
      </c>
      <c r="DJ16" s="7">
        <f>IFERROR(AVERAGEIF('Данные 1st'!$S$2:$S$317,$A16,'Данные 1st'!$HK$2:$HK$317),"")</f>
        <v>55</v>
      </c>
      <c r="DK16" s="7">
        <f>IFERROR(AVERAGEIF('Данные 1st'!$S$2:$S$317,$A16,'Данные 1st'!$HL$2:$HL$317),"")</f>
        <v>2</v>
      </c>
      <c r="DL16" s="7">
        <f>IFERROR(AVERAGEIF('Данные 1st'!$S$2:$S$317,$A16,'Данные 1st'!$HM$2:$HM$317),"")</f>
        <v>0</v>
      </c>
      <c r="DM16" s="7">
        <f>IFERROR(AVERAGEIF('Данные 1st'!$S$2:$S$317,$A16,'Данные 1st'!$HN$2:$HN$317),"")</f>
        <v>2</v>
      </c>
      <c r="DN16" s="7">
        <f>IFERROR(AVERAGEIF('Данные 1st'!$S$2:$S$317,$A16,'Данные 1st'!$HO$2:$HO$317),"")</f>
        <v>80</v>
      </c>
      <c r="DO16" s="7">
        <f>IFERROR(AVERAGEIF('Данные 1st'!$S$2:$S$317,$A16,'Данные 1st'!$HP$2:$HP$317),"")</f>
        <v>3</v>
      </c>
      <c r="DP16" s="7">
        <f>IFERROR(AVERAGEIF('Данные 1st'!$S$2:$S$317,$A16,'Данные 1st'!$HQ$2:$HQ$317),"")</f>
        <v>0</v>
      </c>
      <c r="DQ16" s="7">
        <f>IFERROR(AVERAGEIF('Данные 1st'!$S$2:$S$317,$A16,'Данные 1st'!$HR$2:$HR$317),"")</f>
        <v>2</v>
      </c>
      <c r="DR16" s="7">
        <f>IFERROR(AVERAGEIF('Данные 1st'!$S$2:$S$317,$A16,'Данные 1st'!$HS$2:$HS$317),"")</f>
        <v>4221</v>
      </c>
      <c r="DS16" s="7">
        <f>IFERROR(AVERAGEIF('Данные 1st'!$S$2:$S$317,$A16,'Данные 1st'!$HT$2:$HT$317),"")</f>
        <v>130</v>
      </c>
      <c r="DT16" s="7">
        <f>IFERROR(AVERAGEIF('Данные 1st'!$S$2:$S$317,$A16,'Данные 1st'!$HU$2:$HU$317),"")</f>
        <v>180</v>
      </c>
      <c r="DU16" s="7">
        <f>IFERROR(AVERAGEIF('Данные 1st'!$S$2:$S$317,$A16,'Данные 1st'!$HW$2:$HW$317),"")</f>
        <v>0</v>
      </c>
      <c r="DV16" s="7">
        <f>IFERROR(AVERAGEIF('Данные 1st'!$S$2:$S$317,$A16,'Данные 1st'!$HX$2:$HX$317),"")</f>
        <v>456</v>
      </c>
      <c r="DW16" s="7">
        <f>IFERROR(AVERAGEIF('Данные 1st'!$S$2:$S$317,$A16,'Данные 1st'!$HY$2:$HY$317),"")</f>
        <v>0.18</v>
      </c>
      <c r="DX16" s="7">
        <f>IFERROR(AVERAGEIF('Данные 1st'!$S$2:$S$317,$A16,'Данные 1st'!$IA$2:$IA$317),"")</f>
        <v>0.15</v>
      </c>
      <c r="DY16" s="7">
        <f>IFERROR(AVERAGEIF('Данные 1st'!$S$2:$S$317,$A16,'Данные 1st'!$IB$2:$IB$317),"")</f>
        <v>0</v>
      </c>
      <c r="DZ16" s="7">
        <f>IFERROR(AVERAGEIF('Данные 1st'!$S$2:$S$317,$A16,'Данные 1st'!$IC$2:$IC$317),"")</f>
        <v>180</v>
      </c>
      <c r="EA16" s="7">
        <f>IFERROR(AVERAGEIF('Данные 1st'!$S$2:$S$317,$A16,'Данные 1st'!$ID$2:$ID$317),"")</f>
        <v>110</v>
      </c>
      <c r="EB16" s="7">
        <f>IFERROR(AVERAGEIF('Данные 1st'!$S$2:$S$317,$A16,'Данные 1st'!$IE$2:$IE$317),"")</f>
        <v>0</v>
      </c>
      <c r="EC16" s="7">
        <f>IFERROR(AVERAGEIF('Данные 1st'!$S$2:$S$317,$A16,'Данные 1st'!$IF$2:$IF$317),"")</f>
        <v>0</v>
      </c>
      <c r="ED16" s="7">
        <f>IFERROR(AVERAGEIF('Данные 1st'!$S$2:$S$317,$A16,'Данные 1st'!$IP$2:$IP$317),"")</f>
        <v>17</v>
      </c>
      <c r="EE16" s="7">
        <f>IFERROR(AVERAGEIF('Данные 1st'!$S$2:$S$317,$A16,'Данные 1st'!$IV$2:$IV$317),"")</f>
        <v>1301</v>
      </c>
      <c r="EF16" s="7">
        <f>IFERROR(AVERAGEIF('Данные 1st'!$S$2:$S$317,$A16,'Данные 1st'!$IW$2:$IW$317),"")</f>
        <v>382</v>
      </c>
      <c r="EG16" s="7">
        <f>IFERROR(AVERAGEIF('Данные 1st'!$S$2:$S$317,$A16,'Данные 1st'!$IX$2:$IX$317),"")</f>
        <v/>
      </c>
      <c r="EH16" s="7">
        <f>IFERROR(AVERAGEIF('Данные 1st'!$S$2:$S$317,$A16,'Данные 1st'!$IY$2:$IY$317),"")</f>
        <v/>
      </c>
      <c r="EI16" s="7">
        <f>IFERROR(AVERAGEIF('Данные 1st'!$S$2:$S$317,$A16,'Данные 1st'!$JD$2:$JD$317),"")</f>
        <v>1314</v>
      </c>
      <c r="EJ16" s="7">
        <f>IFERROR(AVERAGEIF('Данные 1st'!$S$2:$S$317,$A16,'Данные 1st'!$JE$2:$JE$317),"")</f>
        <v>1312</v>
      </c>
      <c r="EK16" s="7">
        <f>IFERROR(AVERAGEIF('Данные 1st'!$S$2:$S$317,$A16,'Данные 1st'!$JF$2:$JF$317),"")</f>
        <v>0</v>
      </c>
      <c r="EL16" s="7">
        <f>IFERROR(AVERAGEIF('Данные 1st'!$S$2:$S$317,$A16,'Данные 1st'!$JG$2:$JG$317),"")</f>
        <v>1295</v>
      </c>
      <c r="EM16" s="7">
        <f>IFERROR(AVERAGEIF('Данные 1st'!$S$2:$S$317,$A16,'Данные 1st'!$JH$2:$JH$317),"")</f>
        <v>0</v>
      </c>
      <c r="EN16" s="7">
        <f>IFERROR(AVERAGEIF('Данные 1st'!$S$2:$S$317,$A16,'Данные 1st'!$JJ$2:$JJ$317),"")</f>
        <v>180</v>
      </c>
      <c r="EO16" s="7">
        <f>IFERROR(AVERAGEIF('Данные 1st'!$S$2:$S$317,$A16,'Данные 1st'!$JK$2:$JK$317),"")</f>
        <v>456</v>
      </c>
      <c r="EP16" s="7">
        <f>IFERROR(AVERAGEIF('Данные 1st'!$S$2:$S$317,$A16,'Данные 1st'!$JL$2:$JL$317),"")</f>
        <v/>
      </c>
      <c r="EQ16" s="7">
        <f>IFERROR(AVERAGEIF('Данные 1st'!$S$2:$S$317,$A16,'Данные 1st'!$JM$2:$JM$317),"")</f>
        <v/>
      </c>
      <c r="ER16" s="7">
        <f>IFERROR(AVERAGEIF('Данные 1st'!$S$2:$S$317,$A16,'Данные 1st'!$JN$2:$JN$317),"")</f>
        <v>360</v>
      </c>
      <c r="ES16" s="7">
        <f>IFERROR(AVERAGEIF('Данные 1st'!$S$2:$S$317,$A16,'Данные 1st'!$JO$2:$JO$317),"")</f>
        <v>510</v>
      </c>
      <c r="ET16" s="7">
        <f>IFERROR(AVERAGEIF('Данные 1st'!$S$2:$S$317,$A16,'Данные 1st'!$JP$2:$JP$317),"")</f>
        <v>0</v>
      </c>
      <c r="EU16" s="7">
        <f>IFERROR(AVERAGEIF('Данные 1st'!$S$2:$S$317,$A16,'Данные 1st'!$JQ$2:$JQ$317),"")</f>
        <v>0</v>
      </c>
      <c r="EV16" s="7">
        <f>IFERROR(AVERAGEIF('Данные 1st'!$S$2:$S$317,$A16,'Данные 1st'!$JR$2:$JR$317),"")</f>
        <v>338</v>
      </c>
      <c r="EW16" s="7">
        <f>IFERROR(AVERAGEIF('Данные 1st'!$S$2:$S$317,$A16,'Данные 1st'!$JS$2:$JS$317),"")</f>
        <v>150</v>
      </c>
      <c r="EX16" s="7">
        <f>IFERROR(AVERAGEIF('Данные 1st'!$S$2:$S$317,$A16,'Данные 1st'!$JT$2:$JT$317),"")</f>
        <v/>
      </c>
      <c r="EY16" s="7">
        <f>IFERROR(AVERAGEIF('Данные 1st'!$S$2:$S$317,$A16,'Данные 1st'!$JU$2:$JU$317),"")</f>
        <v/>
      </c>
      <c r="EZ16" s="7">
        <f>IFERROR(AVERAGEIF('Данные 1st'!$S$2:$S$317,$A16,'Данные 1st'!$JV$2:$JV$317),"")</f>
        <v>8</v>
      </c>
      <c r="FA16" s="7">
        <f>IFERROR(AVERAGEIF('Данные 1st'!$S$2:$S$317,$A16,'Данные 1st'!$JW$2:$JW$317),"")</f>
        <v/>
      </c>
      <c r="FB16" s="7">
        <f>IFERROR(AVERAGEIF('Данные 1st'!$S$2:$S$317,$A16,'Данные 1st'!$JX$2:$JX$317),"")</f>
        <v>0</v>
      </c>
      <c r="FC16" s="7">
        <f>IFERROR(AVERAGEIF('Данные 1st'!$S$2:$S$317,$A16,'Данные 1st'!$JY$2:$JY$317),"")</f>
        <v/>
      </c>
      <c r="FD16" s="7">
        <f>IFERROR(AVERAGEIF('Данные 1st'!$S$2:$S$317,$A16,'Данные 1st'!$JZ$2:$JZ$317),"")</f>
        <v/>
      </c>
      <c r="FE16" s="7">
        <f>IFERROR(AVERAGEIF('Данные 1st'!$S$2:$S$317,$A16,'Данные 1st'!$KA$2:$KA$317),"")</f>
        <v>0</v>
      </c>
      <c r="FF16" s="7">
        <f>IFERROR(AVERAGEIF('Данные 1st'!$S$2:$S$317,$A16,'Данные 1st'!$KB$2:$KB$317),"")</f>
        <v>110</v>
      </c>
      <c r="FG16" s="7">
        <f>IFERROR(AVERAGEIF('Данные 1st'!$S$2:$S$317,$A16,'Данные 1st'!$KC$2:$KC$317),"")</f>
        <v>0</v>
      </c>
      <c r="FH16" s="7">
        <f>IFERROR(AVERAGEIF('Данные 1st'!$S$2:$S$317,$A16,'Данные 1st'!$KD$2:$KD$317),"")</f>
        <v>80</v>
      </c>
      <c r="FI16" s="7">
        <f>IFERROR(AVERAGEIF('Данные 1st'!$S$2:$S$317,$A16,'Данные 1st'!$KE$2:$KE$317),"")</f>
        <v/>
      </c>
      <c r="FJ16" s="7">
        <f>IFERROR(AVERAGEIF('Данные 1st'!$S$2:$S$317,$A16,'Данные 1st'!$KF$2:$KF$317),"")</f>
        <v>4</v>
      </c>
      <c r="FK16" s="7">
        <f>IFERROR(AVERAGEIF('Данные 1st'!$S$2:$S$317,$A16,'Данные 1st'!$KG$2:$KG$317),"")</f>
        <v>2</v>
      </c>
      <c r="FL16" s="7">
        <f>IFERROR(AVERAGEIF('Данные 1st'!$S$2:$S$317,$A16,'Данные 1st'!$KH$2:$KH$317),"")</f>
        <v>2</v>
      </c>
      <c r="FM16" s="7">
        <f>IFERROR(AVERAGEIF('Данные 1st'!$S$2:$S$317,$A16,'Данные 1st'!$KI$2:$KI$317),"")</f>
        <v>2</v>
      </c>
      <c r="FN16" s="7">
        <f>IFERROR(AVERAGEIF('Данные 1st'!$S$2:$S$317,$A16,'Данные 1st'!$KJ$2:$KJ$317),"")</f>
        <v>0</v>
      </c>
      <c r="FO16" s="7">
        <f>IFERROR(AVERAGEIF('Данные 1st'!$S$2:$S$317,$A16,'Данные 1st'!$KK$2:$KK$317),"")</f>
        <v>1.5</v>
      </c>
      <c r="FP16" s="7">
        <f>IFERROR(AVERAGEIF('Данные 1st'!$S$2:$S$317,$A16,'Данные 1st'!$KL$2:$KL$317),"")</f>
        <v>1.5</v>
      </c>
      <c r="FQ16" s="7">
        <f>IFERROR(AVERAGEIF('Данные 1st'!$S$2:$S$317,$A16,'Данные 1st'!$KM$2:$KM$317),"")</f>
        <v>0</v>
      </c>
      <c r="FR16" s="7">
        <f>IFERROR(AVERAGEIF('Данные 1st'!$S$2:$S$317,$A16,'Данные 1st'!$KN$2:$KN$317),"")</f>
        <v>0</v>
      </c>
      <c r="FS16" s="7">
        <f>IFERROR(AVERAGEIF('Данные 1st'!$S$2:$S$317,$A16,'Данные 1st'!$KR$2:$KR$317),"")</f>
        <v>20</v>
      </c>
      <c r="FT16" s="7">
        <f>IFERROR(AVERAGEIF('Данные 1st'!$S$2:$S$317,$A16,'Данные 1st'!$KS$2:$KS$317),"")</f>
        <v>60</v>
      </c>
      <c r="FU16" s="7">
        <f>IFERROR(AVERAGEIF('Данные 1st'!$S$2:$S$317,$A16,'Данные 1st'!$KT$2:$KT$317),"")</f>
        <v>0</v>
      </c>
      <c r="FV16" s="7">
        <f>IFERROR(AVERAGEIF('Данные 1st'!$S$2:$S$317,$A16,'Данные 1st'!$KV$2:$KV$317),"")</f>
        <v/>
      </c>
      <c r="FW16" s="7">
        <f>IFERROR(AVERAGEIF('Данные 1st'!$S$2:$S$317,$A16,'Данные 1st'!$KW$2:$KW$317),"")</f>
        <v/>
      </c>
      <c r="FX16" s="7">
        <f>IFERROR(AVERAGEIF('Данные 1st'!$S$2:$S$317,$A16,'Данные 1st'!$KX$2:$KX$317),"")</f>
        <v/>
      </c>
      <c r="FY16" s="7">
        <f>IFERROR(AVERAGEIF('Данные 1st'!$S$2:$S$317,$A16,'Данные 1st'!$KY$2:$KY$317),"")</f>
        <v/>
      </c>
      <c r="FZ16" s="7">
        <f>IFERROR(AVERAGEIF('Данные 1st'!$S$2:$S$317,$A16,'Данные 1st'!$KZ$2:$KZ$317),"")</f>
        <v/>
      </c>
      <c r="GA16" s="7">
        <f>IFERROR(AVERAGEIF('Данные 1st'!$S$2:$S$317,$A16,'Данные 1st'!$LA$2:$LA$317),"")</f>
        <v/>
      </c>
      <c r="GB16" s="7">
        <f>IFERROR(AVERAGEIF('Данные 1st'!$S$2:$S$317,$A16,'Данные 1st'!$LB$2:$LB$317),"")</f>
        <v/>
      </c>
      <c r="GC16" s="7">
        <f>IFERROR(AVERAGEIF('Данные 1st'!$S$2:$S$317,$A16,'Данные 1st'!$LC$2:$LC$317),"")</f>
        <v/>
      </c>
      <c r="GD16" s="7">
        <f>IFERROR(AVERAGEIF('Данные 1st'!$S$2:$S$317,$A16,'Данные 1st'!$LD$2:$LD$317),"")</f>
        <v/>
      </c>
      <c r="GE16" s="7">
        <f>IFERROR(AVERAGEIF('Данные 1st'!$S$2:$S$317,$A16,'Данные 1st'!$LE$2:$LE$317),"")</f>
        <v/>
      </c>
      <c r="GF16" s="7">
        <f>IFERROR(AVERAGEIF('Данные 1st'!$S$2:$S$317,$A16,'Данные 1st'!$LF$2:$LF$317),"")</f>
        <v/>
      </c>
      <c r="GG16" s="7">
        <f>IFERROR(AVERAGEIF('Данные 1st'!$S$2:$S$317,$A16,'Данные 1st'!$LG$2:$LG$317),"")</f>
        <v/>
      </c>
      <c r="GH16" s="7">
        <f>IFERROR(AVERAGEIF('Данные 1st'!$S$2:$S$317,$A16,'Данные 1st'!$LH$2:$LH$317),"")</f>
        <v/>
      </c>
      <c r="GI16" s="7">
        <f>IFERROR(AVERAGEIF('Данные 1st'!$S$2:$S$317,$A16,'Данные 1st'!$LI$2:$LI$317),"")</f>
        <v/>
      </c>
      <c r="GJ16" s="7">
        <f>IFERROR(AVERAGEIF('Данные 1st'!$S$2:$S$317,$A16,'Данные 1st'!$LJ$2:$LJ$317),"")</f>
        <v/>
      </c>
      <c r="GK16" s="7">
        <f>IFERROR(AVERAGEIF('Данные 1st'!$S$2:$S$317,$A16,'Данные 1st'!$LK$2:$LK$317),"")</f>
        <v>480</v>
      </c>
      <c r="GL16" s="7">
        <f>IFERROR(AVERAGEIF('Данные 1st'!$S$2:$S$317,$A16,'Данные 1st'!$LV$2:$LV$317),"")</f>
        <v>0</v>
      </c>
      <c r="GM16" s="7">
        <f>IFERROR(AVERAGEIF('Данные 1st'!$S$2:$S$317,$A16,'Данные 1st'!$LW$2:$LW$317),"")</f>
        <v>0</v>
      </c>
      <c r="GN16" s="7">
        <f>IFERROR(AVERAGEIF('Данные 1st'!$S$2:$S$317,$A16,'Данные 1st'!$LX$2:$LX$317),"")</f>
        <v>325</v>
      </c>
      <c r="GO16" s="7">
        <f>IFERROR(AVERAGEIF('Данные 1st'!$S$2:$S$317,$A16,'Данные 1st'!$LY$2:$LY$317),"")</f>
        <v>1</v>
      </c>
      <c r="GP16" s="7">
        <f>IFERROR(AVERAGEIF('Данные 1st'!$S$2:$S$317,$A16,'Данные 1st'!$LZ$2:$LZ$317),"")</f>
        <v/>
      </c>
      <c r="GQ16" s="7">
        <f>IFERROR(AVERAGEIF('Данные 1st'!$S$2:$S$317,$A16,'Данные 1st'!$PG$2:$PG$317),"")</f>
        <v>1</v>
      </c>
      <c r="GR16" s="7">
        <f>IFERROR(AVERAGEIF('Данные 1st'!$S$2:$S$317,$A16,'Данные 1st'!$PX$2:$PX$317),"")</f>
        <v>56</v>
      </c>
      <c r="GS16" s="7">
        <f>IFERROR(AVERAGEIF('Данные 1st'!$S$2:$S$317,$A16,'Данные 1st'!$PY$2:$PY$317),"")</f>
        <v>56</v>
      </c>
      <c r="GT16" s="7">
        <f>IFERROR(AVERAGEIF('Данные 1st'!$S$2:$S$317,$A16,'Данные 1st'!$QA$2:$QA$317),"")</f>
        <v>2</v>
      </c>
      <c r="GU16" s="7">
        <f>IFERROR(AVERAGEIF('Данные 1st'!$S$2:$S$317,$A16,'Данные 1st'!$QB$2:$QB$317),"")</f>
        <v>1295</v>
      </c>
      <c r="GV16" s="7">
        <f>IFERROR(AVERAGEIF('Данные 1st'!$S$2:$S$317,$A16,'Данные 1st'!$QC$2:$QC$317),"")</f>
        <v>69</v>
      </c>
      <c r="GW16" s="7">
        <f>IFERROR(AVERAGEIF('Данные 1st'!$S$2:$S$317,$A16,'Данные 1st'!$QD$2:$QD$317),"")</f>
        <v>69</v>
      </c>
      <c r="GX16" s="7">
        <f>IFERROR(AVERAGEIF('Данные 1st'!$S$2:$S$317,$A16,'Данные 1st'!$QF$2:$QF$317),"")</f>
        <v>1</v>
      </c>
      <c r="GY16" s="7">
        <f>IFERROR(AVERAGEIF('Данные 1st'!$S$2:$S$317,$A16,'Данные 1st'!$QG$2:$QG$317),"")</f>
        <v>1314</v>
      </c>
      <c r="GZ16" s="7">
        <f>IFERROR(AVERAGEIF('Данные 1st'!$S$2:$S$317,$A16,'Данные 1st'!$QH$2:$QH$317),"")</f>
        <v>66</v>
      </c>
      <c r="HA16" s="7">
        <f>IFERROR(AVERAGEIF('Данные 1st'!$S$2:$S$317,$A16,'Данные 1st'!$QI$2:$QI$317),"")</f>
        <v>66</v>
      </c>
      <c r="HB16" s="7">
        <f>IFERROR(AVERAGEIF('Данные 1st'!$S$2:$S$317,$A16,'Данные 1st'!$QK$2:$QK$317),"")</f>
        <v/>
      </c>
      <c r="HC16" s="7">
        <f>IFERROR(AVERAGEIF('Данные 1st'!$S$2:$S$317,$A16,'Данные 1st'!$QL$2:$QL$317),"")</f>
        <v>0</v>
      </c>
      <c r="HD16" s="7">
        <f>IFERROR(AVERAGEIF('Данные 1st'!$S$2:$S$317,$A16,'Данные 1st'!$QM$2:$QM$317),"")</f>
        <v>62</v>
      </c>
      <c r="HE16" s="7">
        <f>IFERROR(AVERAGEIF('Данные 1st'!$S$2:$S$317,$A16,'Данные 1st'!$QN$2:$QN$317),"")</f>
        <v>62</v>
      </c>
      <c r="HF16" s="7">
        <f>IFERROR(AVERAGEIF('Данные 1st'!$S$2:$S$317,$A16,'Данные 1st'!$QP$2:$QP$317),"")</f>
        <v>1</v>
      </c>
      <c r="HG16" s="7">
        <f>IFERROR(AVERAGEIF('Данные 1st'!$S$2:$S$317,$A16,'Данные 1st'!$QQ$2:$QQ$317),"")</f>
        <v>1312</v>
      </c>
      <c r="HH16" s="7">
        <f>IFERROR(AVERAGEIF('Данные 1st'!$S$2:$S$317,$A16,'Данные 1st'!$QR$2:$QR$317),"")</f>
        <v/>
      </c>
      <c r="HI16" s="7">
        <f>IFERROR(AVERAGEIF('Данные 1st'!$S$2:$S$317,$A16,'Данные 1st'!$QS$2:$QS$317),"")</f>
        <v/>
      </c>
      <c r="HJ16" s="7">
        <f>IFERROR(AVERAGEIF('Данные 1st'!$S$2:$S$317,$A16,'Данные 1st'!$QU$2:$QU$317),"")</f>
        <v/>
      </c>
      <c r="HK16" s="7">
        <f>IFERROR(AVERAGEIF('Данные 1st'!$S$2:$S$317,$A16,'Данные 1st'!$QV$2:$QV$317),"")</f>
        <v/>
      </c>
      <c r="HL16" s="7">
        <f>IFERROR(AVERAGEIF('Данные 1st'!$S$2:$S$317,$A16,'Данные 1st'!$QW$2:$QW$317),"")</f>
        <v>82</v>
      </c>
      <c r="HM16" s="7">
        <f>IFERROR(AVERAGEIF('Данные 1st'!$S$2:$S$317,$A16,'Данные 1st'!$QX$2:$QX$317),"")</f>
        <v>88</v>
      </c>
      <c r="HN16" s="7">
        <f>IFERROR(AVERAGEIF('Данные 1st'!$S$2:$S$317,$A16,'Данные 1st'!$QZ$2:$QZ$317),"")</f>
        <v>1</v>
      </c>
      <c r="HO16" s="7">
        <f>IFERROR(AVERAGEIF('Данные 1st'!$S$2:$S$317,$A16,'Данные 1st'!$RA$2:$RA$317),"")</f>
        <v>66</v>
      </c>
      <c r="HP16" s="7">
        <f>IFERROR(AVERAGEIF('Данные 1st'!$S$2:$S$317,$A16,'Данные 1st'!$RB$2:$RB$317),"")</f>
        <v>66</v>
      </c>
      <c r="HQ16" s="7">
        <f>IFERROR(AVERAGEIF('Данные 1st'!$S$2:$S$317,$A16,'Данные 1st'!$RD$2:$RD$317),"")</f>
        <v/>
      </c>
      <c r="HR16" s="7">
        <f>IFERROR(AVERAGEIF('Данные 1st'!$S$2:$S$317,$A16,'Данные 1st'!$RE$2:$RE$317),"")</f>
        <v>0</v>
      </c>
      <c r="HS16" s="7">
        <f>IFERROR(AVERAGEIF('Данные 1st'!$S$2:$S$317,$A16,'Данные 1st'!$RF$2:$RF$317),"")</f>
        <v>1</v>
      </c>
      <c r="HT16" s="7">
        <f>IFERROR(AVERAGEIF('Данные 1st'!$S$2:$S$317,$A16,'Данные 1st'!$RG$2:$RG$317),"")</f>
        <v/>
      </c>
      <c r="HU16" s="7">
        <f>IFERROR(AVERAGEIF('Данные 1st'!$S$2:$S$317,$A16,'Данные 1st'!$RH$2:$RH$317),"")</f>
        <v/>
      </c>
      <c r="HV16" s="7">
        <f>IFERROR(AVERAGEIF('Данные 1st'!$S$2:$S$317,$A16,'Данные 1st'!$RI$2:$RI$317),"")</f>
        <v/>
      </c>
      <c r="HW16" s="7">
        <f>IFERROR(AVERAGEIF('Данные 1st'!$S$2:$S$317,$A16,'Данные 1st'!$RJ$2:$RJ$317),"")</f>
        <v>1</v>
      </c>
      <c r="HX16" s="7">
        <f>IFERROR(AVERAGEIF('Данные 1st'!$S$2:$S$317,$A16,'Данные 1st'!$RK$2:$RK$317),"")</f>
        <v/>
      </c>
      <c r="HY16" s="7">
        <f>IFERROR(AVERAGEIF('Данные 1st'!$S$2:$S$317,$A16,'Данные 1st'!$RL$2:$RL$317),"")</f>
        <v>1</v>
      </c>
      <c r="HZ16" s="7">
        <f>IFERROR(AVERAGEIF('Данные 1st'!$S$2:$S$317,$A16,'Данные 1st'!$RM$2:$RM$317),"")</f>
        <v/>
      </c>
      <c r="IA16" s="7">
        <f>IFERROR(AVERAGEIF('Данные 1st'!$S$2:$S$317,$A16,'Данные 1st'!$RN$2:$RN$317),"")</f>
        <v/>
      </c>
      <c r="IB16" s="7">
        <f>IFERROR(AVERAGEIF('Данные 1st'!$S$2:$S$317,$A16,'Данные 1st'!$RO$2:$RO$317),"")</f>
        <v>509</v>
      </c>
      <c r="IC16" s="7">
        <f>IFERROR(AVERAGEIF('Данные 1st'!$S$2:$S$317,$A16,'Данные 1st'!$RP$2:$RP$317),"")</f>
        <v/>
      </c>
      <c r="ID16" s="7">
        <f>IFERROR(AVERAGEIF('Данные 1st'!$S$2:$S$317,$A16,'Данные 1st'!$RQ$2:$RQ$317),"")</f>
        <v>823</v>
      </c>
      <c r="IE16" s="7">
        <f>IFERROR(AVERAGEIF('Данные 1st'!$S$2:$S$317,$A16,'Данные 1st'!$RR$2:$RR$317),"")</f>
        <v/>
      </c>
      <c r="IF16" s="7">
        <f>IFERROR(AVERAGEIF('Данные 1st'!$S$2:$S$317,$A16,'Данные 1st'!$RS$2:$RS$317),"")</f>
        <v/>
      </c>
      <c r="IG16" s="7">
        <f>IFERROR(AVERAGEIF('Данные 1st'!$S$2:$S$317,$A16,'Данные 1st'!$RT$2:$RT$317),"")</f>
        <v>261</v>
      </c>
      <c r="IH16" s="7">
        <f>IFERROR(AVERAGEIF('Данные 1st'!$S$2:$S$317,$A16,'Данные 1st'!$RU$2:$RU$317),"")</f>
        <v>198</v>
      </c>
      <c r="II16" s="7">
        <f>IFERROR(AVERAGEIF('Данные 1st'!$S$2:$S$317,$A16,'Данные 1st'!$RX$2:$RX$317),"")</f>
        <v>15</v>
      </c>
      <c r="IJ16" s="7">
        <f>IFERROR(AVERAGEIF('Данные 1st'!$S$2:$S$317,$A16,'Данные 1st'!$RY$2:$RY$317),"")</f>
        <v>4</v>
      </c>
      <c r="IK16" s="7">
        <f>IFERROR(AVERAGEIF('Данные 1st'!$S$2:$S$317,$A16,'Данные 1st'!$SA$2:$SA$317),"")</f>
        <v>15</v>
      </c>
      <c r="IL16" s="7">
        <f>IFERROR(AVERAGEIF('Данные 1st'!$S$2:$S$317,$A16,'Данные 1st'!$SD$2:$SD$317),"")</f>
        <v>1</v>
      </c>
      <c r="IM16" s="7">
        <f>IFERROR(AVERAGEIF('Данные 1st'!$S$2:$S$317,$A16,'Данные 1st'!$SG$2:$SG$317),"")</f>
        <v/>
      </c>
      <c r="IN16" s="7">
        <f>IFERROR(AVERAGEIF('Данные 1st'!$S$2:$S$317,$A16,'Данные 1st'!$SH$2:$SH$317),"")</f>
        <v>0.995</v>
      </c>
      <c r="IO16" s="7">
        <f>IFERROR(AVERAGEIF('Данные 1st'!$S$2:$S$317,$A16,'Данные 1st'!$SI$2:$SI$317),"")</f>
        <v>0.995</v>
      </c>
      <c r="IP16" s="7">
        <f>IFERROR(AVERAGEIF('Данные 1st'!$S$2:$S$317,$A16,'Данные 1st'!$SJ$2:$SJ$317),"")</f>
        <v>0.995</v>
      </c>
      <c r="IQ16" s="7">
        <f>IFERROR(AVERAGEIF('Данные 1st'!$S$2:$S$317,$A16,'Данные 1st'!$SK$2:$SK$317),"")</f>
        <v>15</v>
      </c>
      <c r="IR16" s="7">
        <f>IFERROR(AVERAGEIF('Данные 1st'!$S$2:$S$317,$A16,'Данные 1st'!$SL$2:$SL$317),"")</f>
        <v>0</v>
      </c>
      <c r="IS16" s="7">
        <f>IFERROR(AVERAGEIF('Данные 1st'!$S$2:$S$317,$A16,'Данные 1st'!$SM$2:$SM$317),"")</f>
        <v>0</v>
      </c>
      <c r="IT16" s="7">
        <f>IFERROR(AVERAGEIF('Данные 1st'!$S$2:$S$317,$A16,'Данные 1st'!$SN$2:$SN$317),"")</f>
        <v>0</v>
      </c>
      <c r="IU16" s="7">
        <f>IFERROR(AVERAGEIF('Данные 1st'!$S$2:$S$317,$A16,'Данные 1st'!$SO$2:$SO$317),"")</f>
        <v>0</v>
      </c>
      <c r="IV16" s="7">
        <f>IFERROR(AVERAGEIF('Данные 1st'!$S$2:$S$317,$A16,'Данные 1st'!$SP$2:$SP$317),"")</f>
        <v>0</v>
      </c>
      <c r="IW16" s="7">
        <f>IFERROR(AVERAGEIF('Данные 1st'!$S$2:$S$317,$A16,'Данные 1st'!$SQ$2:$SQ$317),"")</f>
        <v>0</v>
      </c>
      <c r="IX16" s="7">
        <f>IFERROR(AVERAGEIF('Данные 1st'!$S$2:$S$317,$A16,'Данные 1st'!$SR$2:$SR$317),"")</f>
        <v>0</v>
      </c>
      <c r="IY16" s="7">
        <f>IFERROR(AVERAGEIF('Данные 1st'!$S$2:$S$317,$A16,'Данные 1st'!$SS$2:$SS$317),"")</f>
        <v>0</v>
      </c>
      <c r="IZ16" s="7">
        <f>IFERROR(AVERAGEIF('Данные 1st'!$S$2:$S$317,$A16,'Данные 1st'!$ST$2:$ST$317),"")</f>
        <v>0</v>
      </c>
      <c r="JA16" s="7">
        <f>IFERROR(AVERAGEIF('Данные 1st'!$S$2:$S$317,$A16,'Данные 1st'!$SU$2:$SU$317),"")</f>
        <v>0</v>
      </c>
      <c r="JB16" s="7">
        <f>IFERROR(AVERAGEIF('Данные 1st'!$S$2:$S$317,$A16,'Данные 1st'!$SV$2:$SV$317),"")</f>
        <v>0</v>
      </c>
      <c r="JC16" s="7">
        <f>IFERROR(AVERAGEIF('Данные 1st'!$S$2:$S$317,$A16,'Данные 1st'!$SW$2:$SW$317),"")</f>
        <v>0</v>
      </c>
      <c r="JD16" s="7">
        <f>IFERROR(AVERAGEIF('Данные 1st'!$S$2:$S$317,$A16,'Данные 1st'!$SX$2:$SX$317),"")</f>
        <v>0</v>
      </c>
      <c r="JE16" s="7">
        <f>IFERROR(AVERAGEIF('Данные 1st'!$S$2:$S$317,$A16,'Данные 1st'!$SY$2:$SY$317),"")</f>
        <v/>
      </c>
      <c r="JF16" s="7">
        <f>IFERROR(AVERAGEIF('Данные 1st'!$S$2:$S$317,$A16,'Данные 1st'!$SZ$2:$SZ$317),"")</f>
        <v/>
      </c>
      <c r="JG16" s="7">
        <f>IFERROR(AVERAGEIF('Данные 1st'!$S$2:$S$317,$A16,'Данные 1st'!$TA$2:$TA$317),"")</f>
        <v/>
      </c>
      <c r="JH16" s="7">
        <f>IFERROR(AVERAGEIF('Данные 1st'!$S$2:$S$317,$A16,'Данные 1st'!$TB$2:$TB$317),"")</f>
        <v>0</v>
      </c>
      <c r="JI16" s="7">
        <f>IFERROR(AVERAGEIF('Данные 1st'!$S$2:$S$317,$A16,'Данные 1st'!$TC$2:$TC$317),"")</f>
        <v>0</v>
      </c>
      <c r="JJ16" s="7">
        <f>IFERROR(AVERAGEIF('Данные 1st'!$S$2:$S$317,$A16,'Данные 1st'!$TD$2:$TD$317),"")</f>
        <v>7.5</v>
      </c>
      <c r="JK16" s="7">
        <f>IFERROR(AVERAGEIF('Данные 1st'!$S$2:$S$317,$A16,'Данные 1st'!$TN$2:$TN$317),"")</f>
        <v>0</v>
      </c>
      <c r="JL16">
        <f>COUNTIF('Данные 2st'!$Q$2:$Q$317,$A16)</f>
        <v>1</v>
      </c>
      <c r="JM16" s="6" t="s">
        <v>573</v>
      </c>
      <c r="JN16" s="6" t="s">
        <v>513</v>
      </c>
      <c r="JO16" s="6" t="s">
        <v>567</v>
      </c>
      <c r="JP16" s="6" t="s">
        <v>1220</v>
      </c>
      <c r="JQ16" s="7">
        <f>IFERROR(AVERAGEIF('Данные 2st'!$Q$2:$Q$317,$A16,'Данные 2st'!$AC$2:$AC$317),"")</f>
        <v>9</v>
      </c>
      <c r="JR16" s="7">
        <f>IFERROR(AVERAGEIF('Данные 2st'!$Q$2:$Q$317,$A16,'Данные 2st'!$AF$2:$AF$317),"")</f>
        <v>4221</v>
      </c>
      <c r="JS16" s="7">
        <f>IFERROR(AVERAGEIF('Данные 2st'!$Q$2:$Q$317,$A16,'Данные 2st'!$AW$2:$AW$317),"")</f>
        <v>6</v>
      </c>
      <c r="JT16" s="7">
        <f>IFERROR(AVERAGEIF('Данные 2st'!$Q$2:$Q$317,$A16,'Данные 2st'!$AX$2:$AX$317),"")</f>
        <v>-6</v>
      </c>
      <c r="JU16" s="7">
        <f>IFERROR(AVERAGEIF('Данные 2st'!$Q$2:$Q$317,$A16,'Данные 2st'!$AY$2:$AY$317),"")</f>
        <v>93.5</v>
      </c>
      <c r="JV16" s="7">
        <f>IFERROR(AVERAGEIF('Данные 2st'!$Q$2:$Q$317,$A16,'Данные 2st'!$AZ$2:$AZ$317),"")</f>
        <v>66</v>
      </c>
      <c r="JW16" s="7">
        <f>IFERROR(AVERAGEIF('Данные 2st'!$Q$2:$Q$317,$A16,'Данные 2st'!$BA$2:$BA$317),"")</f>
        <v/>
      </c>
      <c r="JX16" s="7">
        <f>IFERROR(AVERAGEIF('Данные 2st'!$Q$2:$Q$317,$A16,'Данные 2st'!$BB$2:$BB$317),"")</f>
        <v/>
      </c>
      <c r="JY16" s="7">
        <f>IFERROR(AVERAGEIF('Данные 2st'!$Q$2:$Q$317,$A16,'Данные 2st'!$BC$2:$BC$317),"")</f>
        <v/>
      </c>
      <c r="JZ16" s="7">
        <f>IFERROR(AVERAGEIF('Данные 2st'!$Q$2:$Q$317,$A16,'Данные 2st'!$BH$2:$BH$317),"")</f>
        <v>93.5</v>
      </c>
      <c r="KA16" s="7">
        <f>IFERROR(AVERAGEIF('Данные 2st'!$Q$2:$Q$317,$A16,'Данные 2st'!$BI$2:$BI$317),"")</f>
        <v>27.5</v>
      </c>
      <c r="KB16" s="7">
        <f>IFERROR(AVERAGEIF('Данные 2st'!$Q$2:$Q$317,$A16,'Данные 2st'!$BJ$2:$BJ$317),"")</f>
        <v>66</v>
      </c>
      <c r="KC16" s="7">
        <f>IFERROR(AVERAGEIF('Данные 2st'!$Q$2:$Q$317,$A16,'Данные 2st'!$BK$2:$BK$317),"")</f>
        <v>3.5</v>
      </c>
      <c r="KD16" s="7">
        <f>IFERROR(AVERAGEIF('Данные 2st'!$Q$2:$Q$317,$A16,'Данные 2st'!$BL$2:$BL$317),"")</f>
        <v>187</v>
      </c>
      <c r="KE16" s="7">
        <f>IFERROR(AVERAGEIF('Данные 2st'!$Q$2:$Q$317,$A16,'Данные 2st'!$BM$2:$BM$317),"")</f>
        <v>-6</v>
      </c>
      <c r="KF16" s="7">
        <f>IFERROR(AVERAGEIF('Данные 2st'!$Q$2:$Q$317,$A16,'Данные 2st'!$BN$2:$BN$317),"")</f>
        <v>0</v>
      </c>
      <c r="KG16" s="7">
        <f>IFERROR(AVERAGEIF('Данные 2st'!$Q$2:$Q$317,$A16,'Данные 2st'!$BO$2:$BO$317),"")</f>
        <v/>
      </c>
      <c r="KH16" s="7">
        <f>IFERROR(AVERAGEIF('Данные 2st'!$Q$2:$Q$317,$A16,'Данные 2st'!$BP$2:$BP$317),"")</f>
        <v>0</v>
      </c>
      <c r="KI16" s="7">
        <f>IFERROR(AVERAGEIF('Данные 2st'!$Q$2:$Q$317,$A16,'Данные 2st'!$BR$2:$BR$317),"")</f>
        <v>180</v>
      </c>
      <c r="KJ16" s="7">
        <f>IFERROR(AVERAGEIF('Данные 2st'!$Q$2:$Q$317,$A16,'Данные 2st'!$BS$2:$BS$317),"")</f>
        <v>170</v>
      </c>
      <c r="KK16" s="7">
        <f>IFERROR(AVERAGEIF('Данные 2st'!$Q$2:$Q$317,$A16,'Данные 2st'!$BT$2:$BT$317),"")</f>
        <v>1925</v>
      </c>
      <c r="KL16" s="7">
        <f>IFERROR(AVERAGEIF('Данные 2st'!$Q$2:$Q$317,$A16,'Данные 2st'!$CV$2:$CV$317),"")</f>
        <v>116</v>
      </c>
      <c r="KM16" s="7">
        <f>IFERROR(AVERAGEIF('Данные 2st'!$Q$2:$Q$317,$A16,'Данные 2st'!$CW$2:$CW$317),"")</f>
        <v>3</v>
      </c>
      <c r="KN16" s="7">
        <f>IFERROR(AVERAGEIF('Данные 2st'!$Q$2:$Q$317,$A16,'Данные 2st'!$CX$2:$CX$317),"")</f>
        <v>78</v>
      </c>
      <c r="KO16" s="7">
        <f>IFERROR(AVERAGEIF('Данные 2st'!$Q$2:$Q$317,$A16,'Данные 2st'!$CY$2:$CY$317),"")</f>
        <v>5</v>
      </c>
      <c r="KP16" s="7">
        <f>IFERROR(AVERAGEIF('Данные 2st'!$Q$2:$Q$317,$A16,'Данные 2st'!$CZ$2:$CZ$317),"")</f>
        <v>131</v>
      </c>
      <c r="KQ16" s="7">
        <f>IFERROR(AVERAGEIF('Данные 2st'!$Q$2:$Q$317,$A16,'Данные 2st'!$DA$2:$DA$317),"")</f>
        <v>5</v>
      </c>
      <c r="KR16" s="7">
        <f>IFERROR(AVERAGEIF('Данные 2st'!$Q$2:$Q$317,$A16,'Данные 2st'!$DB$2:$DB$317),"")</f>
        <v>9380</v>
      </c>
      <c r="KS16" s="7">
        <f>IFERROR(AVERAGEIF('Данные 2st'!$Q$2:$Q$317,$A16,'Данные 2st'!$DC$2:$DC$317),"")</f>
        <v>280</v>
      </c>
      <c r="KT16" s="7">
        <f>IFERROR(AVERAGEIF('Данные 2st'!$Q$2:$Q$317,$A16,'Данные 2st'!$DD$2:$DD$317),"")</f>
        <v>302</v>
      </c>
      <c r="KU16" s="7">
        <f>IFERROR(AVERAGEIF('Данные 2st'!$Q$2:$Q$317,$A16,'Данные 2st'!$DE$2:$DE$317),"")</f>
        <v>2031</v>
      </c>
      <c r="KV16" s="7">
        <f>IFERROR(AVERAGEIF('Данные 2st'!$Q$2:$Q$317,$A16,'Данные 2st'!$DF$2:$DF$317),"")</f>
        <v>2031</v>
      </c>
      <c r="KW16" s="7">
        <f>IFERROR(AVERAGEIF('Данные 2st'!$Q$2:$Q$317,$A16,'Данные 2st'!$DG$2:$DG$317),"")</f>
        <v>2041</v>
      </c>
      <c r="KX16" s="7">
        <f>IFERROR(AVERAGEIF('Данные 2st'!$Q$2:$Q$317,$A16,'Данные 2st'!$DH$2:$DH$317),"")</f>
        <v/>
      </c>
      <c r="KY16" s="7">
        <f>IFERROR(AVERAGEIF('Данные 2st'!$Q$2:$Q$317,$A16,'Данные 2st'!$DI$2:$DI$317),"")</f>
        <v/>
      </c>
      <c r="KZ16" s="7">
        <f>IFERROR(AVERAGEIF('Данные 2st'!$Q$2:$Q$317,$A16,'Данные 2st'!$DK$2:$DK$317),"")</f>
        <v>180</v>
      </c>
      <c r="LA16" s="7">
        <f>IFERROR(AVERAGEIF('Данные 2st'!$Q$2:$Q$317,$A16,'Данные 2st'!$DM$2:$DM$317),"")</f>
        <v>65</v>
      </c>
      <c r="LB16" s="7">
        <f>IFERROR(AVERAGEIF('Данные 2st'!$Q$2:$Q$317,$A16,'Данные 2st'!$DN$2:$DN$317),"")</f>
        <v>0.84</v>
      </c>
      <c r="LC16" s="7">
        <f>IFERROR(AVERAGEIF('Данные 2st'!$Q$2:$Q$317,$A16,'Данные 2st'!$DO$2:$DO$317),"")</f>
        <v>1</v>
      </c>
      <c r="LD16" s="7">
        <f>IFERROR(AVERAGEIF('Данные 2st'!$Q$2:$Q$317,$A16,'Данные 2st'!$DP$2:$DP$317),"")</f>
        <v>1928</v>
      </c>
      <c r="LE16" s="7">
        <f>IFERROR(AVERAGEIF('Данные 2st'!$Q$2:$Q$317,$A16,'Данные 2st'!$DQ$2:$DQ$317),"")</f>
        <v>634</v>
      </c>
      <c r="LF16" s="7">
        <f>IFERROR(AVERAGEIF('Данные 2st'!$Q$2:$Q$317,$A16,'Данные 2st'!$DS$2:$DS$317),"")</f>
        <v>170</v>
      </c>
      <c r="LG16" s="7">
        <f>IFERROR(AVERAGEIF('Данные 2st'!$Q$2:$Q$317,$A16,'Данные 2st'!$DU$2:$DU$317),"")</f>
        <v>65</v>
      </c>
      <c r="LH16" s="7">
        <f>IFERROR(AVERAGEIF('Данные 2st'!$Q$2:$Q$317,$A16,'Данные 2st'!$DV$2:$DV$317),"")</f>
        <v>0.84</v>
      </c>
      <c r="LI16" s="7">
        <f>IFERROR(AVERAGEIF('Данные 2st'!$Q$2:$Q$317,$A16,'Данные 2st'!$DW$2:$DW$317),"")</f>
        <v>1</v>
      </c>
      <c r="LJ16" s="7">
        <f>IFERROR(AVERAGEIF('Данные 2st'!$Q$2:$Q$317,$A16,'Данные 2st'!$DX$2:$DX$317),"")</f>
        <v>1935</v>
      </c>
      <c r="LK16" s="7">
        <f>IFERROR(AVERAGEIF('Данные 2st'!$Q$2:$Q$317,$A16,'Данные 2st'!$DY$2:$DY$317),"")</f>
        <v>602</v>
      </c>
      <c r="LL16" s="7">
        <f>IFERROR(AVERAGEIF('Данные 2st'!$Q$2:$Q$317,$A16,'Данные 2st'!$EA$2:$EA$317),"")</f>
        <v>33</v>
      </c>
      <c r="LM16" s="7">
        <f>IFERROR(AVERAGEIF('Данные 2st'!$Q$2:$Q$317,$A16,'Данные 2st'!$EC$2:$EC$317),"")</f>
        <v>0.4</v>
      </c>
      <c r="LN16" s="7">
        <f>IFERROR(AVERAGEIF('Данные 2st'!$Q$2:$Q$317,$A16,'Данные 2st'!$ED$2:$ED$317),"")</f>
        <v>1928</v>
      </c>
      <c r="LO16" s="7">
        <f>IFERROR(AVERAGEIF('Данные 2st'!$Q$2:$Q$317,$A16,'Данные 2st'!$EE$2:$EE$317),"")</f>
        <v>56</v>
      </c>
      <c r="LP16" s="7">
        <f>IFERROR(AVERAGEIF('Данные 2st'!$Q$2:$Q$317,$A16,'Данные 2st'!$EG$2:$EG$317),"")</f>
        <v>33</v>
      </c>
      <c r="LQ16" s="7">
        <f>IFERROR(AVERAGEIF('Данные 2st'!$Q$2:$Q$317,$A16,'Данные 2st'!$EI$2:$EI$317),"")</f>
        <v>0.4</v>
      </c>
      <c r="LR16" s="7">
        <f>IFERROR(AVERAGEIF('Данные 2st'!$Q$2:$Q$317,$A16,'Данные 2st'!$EJ$2:$EJ$317),"")</f>
        <v>1935</v>
      </c>
      <c r="LS16" s="7">
        <f>IFERROR(AVERAGEIF('Данные 2st'!$Q$2:$Q$317,$A16,'Данные 2st'!$EK$2:$EK$317),"")</f>
        <v>56</v>
      </c>
      <c r="LT16" s="7">
        <f>IFERROR(AVERAGEIF('Данные 2st'!$Q$2:$Q$317,$A16,'Данные 2st'!$EM$2:$EM$317),"")</f>
        <v>12</v>
      </c>
      <c r="LU16" s="7">
        <f>IFERROR(AVERAGEIF('Данные 2st'!$Q$2:$Q$317,$A16,'Данные 2st'!$EN$2:$EN$317),"")</f>
        <v>0.5</v>
      </c>
      <c r="LV16" s="7">
        <f>IFERROR(AVERAGEIF('Данные 2st'!$Q$2:$Q$317,$A16,'Данные 2st'!$EO$2:$EO$317),"")</f>
        <v>0.96</v>
      </c>
      <c r="LW16" s="7">
        <f>IFERROR(AVERAGEIF('Данные 2st'!$Q$2:$Q$317,$A16,'Данные 2st'!$EP$2:$EP$317),"")</f>
        <v>1935.56</v>
      </c>
      <c r="LX16" s="7">
        <f>IFERROR(AVERAGEIF('Данные 2st'!$Q$2:$Q$317,$A16,'Данные 2st'!$EQ$2:$EQ$317),"")</f>
        <v>32098.04</v>
      </c>
      <c r="LY16" s="7">
        <f>IFERROR(AVERAGEIF('Данные 2st'!$Q$2:$Q$317,$A16,'Данные 2st'!$ER$2:$ER$317),"")</f>
        <v>8898.96</v>
      </c>
      <c r="LZ16" s="7">
        <f>IFERROR(AVERAGEIF('Данные 2st'!$Q$2:$Q$317,$A16,'Данные 2st'!$ES$2:$ES$317),"")</f>
        <v>0</v>
      </c>
      <c r="MA16" s="7">
        <f>IFERROR(AVERAGEIF('Данные 2st'!$Q$2:$Q$317,$A16,'Данные 2st'!$ET$2:$ET$317),"")</f>
        <v>0</v>
      </c>
      <c r="MB16" s="7">
        <f>IFERROR(AVERAGEIF('Данные 2st'!$Q$2:$Q$317,$A16,'Данные 2st'!$EU$2:$EU$317),"")</f>
        <v>1</v>
      </c>
      <c r="MC16" s="7">
        <f>IFERROR(AVERAGEIF('Данные 2st'!$Q$2:$Q$317,$A16,'Данные 2st'!$EV$2:$EV$317),"")</f>
        <v>40997</v>
      </c>
      <c r="MD16" s="7">
        <f>IFERROR(AVERAGEIF('Данные 2st'!$Q$2:$Q$317,$A16,'Данные 2st'!$EW$2:$EW$317),"")</f>
        <v>492</v>
      </c>
      <c r="ME16" s="7">
        <f>IFERROR(AVERAGEIF('Данные 2st'!$Q$2:$Q$317,$A16,'Данные 2st'!$EY$2:$EY$317),"")</f>
        <v>200</v>
      </c>
      <c r="MF16" s="7">
        <f>IFERROR(AVERAGEIF('Данные 2st'!$Q$2:$Q$317,$A16,'Данные 2st'!$FA$2:$FA$317),"")</f>
        <v>7.4</v>
      </c>
      <c r="MG16" s="7">
        <f>IFERROR(AVERAGEIF('Данные 2st'!$Q$2:$Q$317,$A16,'Данные 2st'!$FB$2:$FB$317),"")</f>
        <v>1</v>
      </c>
      <c r="MH16" s="7">
        <f>IFERROR(AVERAGEIF('Данные 2st'!$Q$2:$Q$317,$A16,'Данные 2st'!$FC$2:$FC$317),"")</f>
        <v>1</v>
      </c>
      <c r="MI16" s="7">
        <f>IFERROR(AVERAGEIF('Данные 2st'!$Q$2:$Q$317,$A16,'Данные 2st'!$FD$2:$FD$317),"")</f>
        <v>1970</v>
      </c>
      <c r="MJ16" s="7">
        <f>IFERROR(AVERAGEIF('Данные 2st'!$Q$2:$Q$317,$A16,'Данные 2st'!$FE$2:$FE$317),"")</f>
        <v>2539</v>
      </c>
      <c r="MK16" s="7">
        <f>IFERROR(AVERAGEIF('Данные 2st'!$Q$2:$Q$317,$A16,'Данные 2st'!$FG$2:$FG$317),"")</f>
        <v>200</v>
      </c>
      <c r="ML16" s="7">
        <f>IFERROR(AVERAGEIF('Данные 2st'!$Q$2:$Q$317,$A16,'Данные 2st'!$FI$2:$FI$317),"")</f>
        <v>1.2</v>
      </c>
      <c r="MM16" s="7">
        <f>IFERROR(AVERAGEIF('Данные 2st'!$Q$2:$Q$317,$A16,'Данные 2st'!$FJ$2:$FJ$317),"")</f>
        <v>1970</v>
      </c>
      <c r="MN16" s="7">
        <f>IFERROR(AVERAGEIF('Данные 2st'!$Q$2:$Q$317,$A16,'Данные 2st'!$FK$2:$FK$317),"")</f>
        <v>473</v>
      </c>
      <c r="MO16" s="7">
        <f>IFERROR(AVERAGEIF('Данные 2st'!$Q$2:$Q$317,$A16,'Данные 2st'!$FP$2:$FP$317),"")</f>
        <v>1970</v>
      </c>
      <c r="MP16" s="7">
        <f>IFERROR(AVERAGEIF('Данные 2st'!$Q$2:$Q$317,$A16,'Данные 2st'!$FQ$2:$FQ$317),"")</f>
        <v>102</v>
      </c>
      <c r="MQ16" s="7">
        <f>IFERROR(AVERAGEIF('Данные 2st'!$Q$2:$Q$317,$A16,'Данные 2st'!$FS$2:$FS$317),"")</f>
        <v>204</v>
      </c>
      <c r="MR16" s="7">
        <f>IFERROR(AVERAGEIF('Данные 2st'!$Q$2:$Q$317,$A16,'Данные 2st'!$FU$2:$FU$317),"")</f>
        <v>0.4</v>
      </c>
      <c r="MS16" s="7">
        <f>IFERROR(AVERAGEIF('Данные 2st'!$Q$2:$Q$317,$A16,'Данные 2st'!$FV$2:$FV$317),"")</f>
        <v>1970</v>
      </c>
      <c r="MT16" s="7">
        <f>IFERROR(AVERAGEIF('Данные 2st'!$Q$2:$Q$317,$A16,'Данные 2st'!$FW$2:$FW$317),"")</f>
        <v>179</v>
      </c>
      <c r="MU16" s="7">
        <f>IFERROR(AVERAGEIF('Данные 2st'!$Q$2:$Q$317,$A16,'Данные 2st'!$FY$2:$FY$317),"")</f>
        <v>5</v>
      </c>
      <c r="MV16" s="7">
        <f>IFERROR(AVERAGEIF('Данные 2st'!$Q$2:$Q$317,$A16,'Данные 2st'!$GB$2:$GB$317),"")</f>
        <v>1970</v>
      </c>
      <c r="MW16" s="7">
        <f>IFERROR(AVERAGEIF('Данные 2st'!$Q$2:$Q$317,$A16,'Данные 2st'!$GC$2:$GC$317),"")</f>
        <v>18</v>
      </c>
      <c r="MX16" s="7">
        <f>IFERROR(AVERAGEIF('Данные 2st'!$Q$2:$Q$317,$A16,'Данные 2st'!$GD$2:$GD$317),"")</f>
        <v>3311</v>
      </c>
      <c r="MY16" s="7">
        <f>IFERROR(AVERAGEIF('Данные 2st'!$Q$2:$Q$317,$A16,'Данные 2st'!$GN$2:$GN$317),"")</f>
        <v/>
      </c>
      <c r="MZ16" s="7">
        <f>IFERROR(AVERAGEIF('Данные 2st'!$Q$2:$Q$317,$A16,'Данные 2st'!$GQ$2:$GQ$317),"")</f>
        <v>0</v>
      </c>
      <c r="NA16" s="7">
        <f>IFERROR(AVERAGEIF('Данные 2st'!$Q$2:$Q$317,$A16,'Данные 2st'!$GV$2:$GV$317),"")</f>
        <v>9</v>
      </c>
      <c r="NB16" s="7">
        <f>IFERROR(AVERAGEIF('Данные 2st'!$Q$2:$Q$317,$A16,'Данные 2st'!$GW$2:$GW$317),"")</f>
        <v>7.8</v>
      </c>
      <c r="NC16" s="7">
        <f>IFERROR(AVERAGEIF('Данные 2st'!$Q$2:$Q$317,$A16,'Данные 2st'!$GX$2:$GX$317),"")</f>
        <v>0.5</v>
      </c>
      <c r="ND16" s="7">
        <f>IFERROR(AVERAGEIF('Данные 2st'!$Q$2:$Q$317,$A16,'Данные 2st'!$GY$2:$GY$317),"")</f>
        <v>170</v>
      </c>
      <c r="NE16" s="7">
        <f>IFERROR(AVERAGEIF('Данные 2st'!$Q$2:$Q$317,$A16,'Данные 2st'!$GZ$2:$GZ$317),"")</f>
        <v>3</v>
      </c>
      <c r="NF16" s="7">
        <f>IFERROR(AVERAGEIF('Данные 2st'!$Q$2:$Q$317,$A16,'Данные 2st'!$HA$2:$HA$317),"")</f>
        <v>220</v>
      </c>
      <c r="NG16" s="7">
        <f>IFERROR(AVERAGEIF('Данные 2st'!$Q$2:$Q$317,$A16,'Данные 2st'!$HB$2:$HB$317),"")</f>
        <v>3</v>
      </c>
      <c r="NH16" s="7">
        <f>IFERROR(AVERAGEIF('Данные 2st'!$Q$2:$Q$317,$A16,'Данные 2st'!$HC$2:$HC$317),"")</f>
        <v>1970</v>
      </c>
      <c r="NI16" s="7">
        <f>IFERROR(AVERAGEIF('Данные 2st'!$Q$2:$Q$317,$A16,'Данные 2st'!$HD$2:$HD$317),"")</f>
        <v>4</v>
      </c>
      <c r="NJ16" s="7">
        <f>IFERROR(AVERAGEIF('Данные 2st'!$Q$2:$Q$317,$A16,'Данные 2st'!$HM$2:$HM$317),"")</f>
        <v>17</v>
      </c>
      <c r="NK16" s="7">
        <f>IFERROR(AVERAGEIF('Данные 2st'!$Q$2:$Q$317,$A16,'Данные 2st'!$HR$2:$HR$317),"")</f>
        <v>2</v>
      </c>
      <c r="NL16" s="7">
        <f>IFERROR(AVERAGEIF('Данные 2st'!$Q$2:$Q$317,$A16,'Данные 2st'!$HS$2:$HS$317),"")</f>
        <v>1925</v>
      </c>
      <c r="NM16" s="7">
        <f>IFERROR(AVERAGEIF('Данные 2st'!$Q$2:$Q$317,$A16,'Данные 2st'!$HT$2:$HT$317),"")</f>
        <v>5</v>
      </c>
      <c r="NN16" s="7">
        <f>IFERROR(AVERAGEIF('Данные 2st'!$Q$2:$Q$317,$A16,'Данные 2st'!$HY$2:$HY$317),"")</f>
        <v>0</v>
      </c>
      <c r="NO16" s="7">
        <f>IFERROR(AVERAGEIF('Данные 2st'!$Q$2:$Q$317,$A16,'Данные 2st'!$HZ$2:$HZ$317),"")</f>
        <v>65</v>
      </c>
      <c r="NP16" s="7">
        <f>IFERROR(AVERAGEIF('Данные 2st'!$Q$2:$Q$317,$A16,'Данные 2st'!$IA$2:$IA$317),"")</f>
        <v>1928</v>
      </c>
      <c r="NQ16" s="7">
        <f>IFERROR(AVERAGEIF('Данные 2st'!$Q$2:$Q$317,$A16,'Данные 2st'!$IB$2:$IB$317),"")</f>
        <v>1935</v>
      </c>
      <c r="NR16" s="7">
        <f>IFERROR(AVERAGEIF('Данные 2st'!$Q$2:$Q$317,$A16,'Данные 2st'!$IC$2:$IC$317),"")</f>
        <v/>
      </c>
      <c r="NS16" s="7">
        <f>IFERROR(AVERAGEIF('Данные 2st'!$Q$2:$Q$317,$A16,'Данные 2st'!$ID$2:$ID$317),"")</f>
        <v>1970</v>
      </c>
      <c r="NT16" s="7">
        <f>IFERROR(AVERAGEIF('Данные 2st'!$Q$2:$Q$317,$A16,'Данные 2st'!$IE$2:$IE$317),"")</f>
        <v>1970</v>
      </c>
      <c r="NU16" s="7">
        <f>IFERROR(AVERAGEIF('Данные 2st'!$Q$2:$Q$317,$A16,'Данные 2st'!$IF$2:$IF$317),"")</f>
        <v>180</v>
      </c>
      <c r="NV16" s="7">
        <f>IFERROR(AVERAGEIF('Данные 2st'!$Q$2:$Q$317,$A16,'Данные 2st'!$IG$2:$IG$317),"")</f>
        <v>170</v>
      </c>
      <c r="NW16" s="7">
        <f>IFERROR(AVERAGEIF('Данные 2st'!$Q$2:$Q$317,$A16,'Данные 2st'!$IH$2:$IH$317),"")</f>
        <v>220</v>
      </c>
      <c r="NX16" s="7">
        <f>IFERROR(AVERAGEIF('Данные 2st'!$Q$2:$Q$317,$A16,'Данные 2st'!$IJ$2:$IJ$317),"")</f>
        <v>5</v>
      </c>
      <c r="NY16" s="7">
        <f>IFERROR(AVERAGEIF('Данные 2st'!$Q$2:$Q$317,$A16,'Данные 2st'!$IM$2:$IM$317),"")</f>
        <v>0</v>
      </c>
      <c r="NZ16" s="7">
        <f>IFERROR(AVERAGEIF('Данные 2st'!$Q$2:$Q$317,$A16,'Данные 2st'!$IN$2:$IN$317),"")</f>
        <v>270</v>
      </c>
      <c r="OA16" s="7">
        <f>IFERROR(AVERAGEIF('Данные 2st'!$Q$2:$Q$317,$A16,'Данные 2st'!$IO$2:$IO$317),"")</f>
        <v>0</v>
      </c>
      <c r="OB16" s="7">
        <f>IFERROR(AVERAGEIF('Данные 2st'!$Q$2:$Q$317,$A16,'Данные 2st'!$IP$2:$IP$317),"")</f>
        <v>180</v>
      </c>
      <c r="OC16" s="7">
        <f>IFERROR(AVERAGEIF('Данные 2st'!$Q$2:$Q$317,$A16,'Данные 2st'!$IQ$2:$IQ$317),"")</f>
        <v>0</v>
      </c>
      <c r="OD16" s="7">
        <f>IFERROR(AVERAGEIF('Данные 2st'!$Q$2:$Q$317,$A16,'Данные 2st'!$IR$2:$IR$317),"")</f>
        <v>325</v>
      </c>
      <c r="OE16" s="7">
        <f>IFERROR(AVERAGEIF('Данные 2st'!$Q$2:$Q$317,$A16,'Данные 2st'!$IT$2:$IT$317),"")</f>
        <v>90</v>
      </c>
      <c r="OF16" s="7">
        <f>IFERROR(AVERAGEIF('Данные 2st'!$Q$2:$Q$317,$A16,'Данные 2st'!$IU$2:$IU$317),"")</f>
        <v>0</v>
      </c>
      <c r="OG16" s="7">
        <f>IFERROR(AVERAGEIF('Данные 2st'!$Q$2:$Q$317,$A16,'Данные 2st'!$IV$2:$IV$317),"")</f>
        <v>6.4</v>
      </c>
      <c r="OH16" s="7">
        <f>IFERROR(AVERAGEIF('Данные 2st'!$Q$2:$Q$317,$A16,'Данные 2st'!$IW$2:$IW$317),"")</f>
        <v>-6</v>
      </c>
      <c r="OI16" s="7">
        <f>IFERROR(AVERAGEIF('Данные 2st'!$Q$2:$Q$317,$A16,'Данные 2st'!$IX$2:$IX$317),"")</f>
        <v>93.5</v>
      </c>
      <c r="OJ16" s="7">
        <f>IFERROR(AVERAGEIF('Данные 2st'!$Q$2:$Q$317,$A16,'Данные 2st'!$IY$2:$IY$317),"")</f>
        <v>66</v>
      </c>
      <c r="OK16" s="7">
        <f>IFERROR(AVERAGEIF('Данные 2st'!$Q$2:$Q$317,$A16,'Данные 2st'!$IZ$2:$IZ$317),"")</f>
        <v>0</v>
      </c>
      <c r="OL16" s="7">
        <f>IFERROR(AVERAGEIF('Данные 2st'!$Q$2:$Q$317,$A16,'Данные 2st'!$JA$2:$JA$317),"")</f>
        <v>0</v>
      </c>
      <c r="OM16" s="7">
        <f>IFERROR(AVERAGEIF('Данные 2st'!$Q$2:$Q$317,$A16,'Данные 2st'!$JB$2:$JB$317),"")</f>
        <v>0</v>
      </c>
      <c r="ON16" s="7">
        <f>IFERROR(AVERAGEIF('Данные 2st'!$Q$2:$Q$317,$A16,'Данные 2st'!$JC$2:$JC$317),"")</f>
        <v>0</v>
      </c>
      <c r="OO16" s="7">
        <f>IFERROR(AVERAGEIF('Данные 2st'!$Q$2:$Q$317,$A16,'Данные 2st'!$JD$2:$JD$317),"")</f>
        <v>0</v>
      </c>
      <c r="OP16" s="7">
        <f>IFERROR(AVERAGEIF('Данные 2st'!$Q$2:$Q$317,$A16,'Данные 2st'!$JE$2:$JE$317),"")</f>
        <v>0</v>
      </c>
      <c r="OQ16" s="7">
        <f>IFERROR(AVERAGEIF('Данные 2st'!$Q$2:$Q$317,$A16,'Данные 2st'!$JF$2:$JF$317),"")</f>
        <v>0</v>
      </c>
      <c r="OR16" s="7">
        <f>IFERROR(AVERAGEIF('Данные 2st'!$Q$2:$Q$317,$A16,'Данные 2st'!$JG$2:$JG$317),"")</f>
        <v>0</v>
      </c>
      <c r="OS16" s="7">
        <f>IFERROR(AVERAGEIF('Данные 2st'!$Q$2:$Q$317,$A16,'Данные 2st'!$JH$2:$JH$317),"")</f>
        <v>0</v>
      </c>
      <c r="OT16" s="7">
        <f>IFERROR(AVERAGEIF('Данные 2st'!$Q$2:$Q$317,$A16,'Данные 2st'!$JI$2:$JI$317),"")</f>
        <v>348</v>
      </c>
      <c r="OU16" s="7">
        <f>IFERROR(AVERAGEIF('Данные 2st'!$Q$2:$Q$317,$A16,'Данные 2st'!$JJ$2:$JJ$317),"")</f>
        <v>318</v>
      </c>
      <c r="OV16" s="7">
        <f>IFERROR(AVERAGEIF('Данные 2st'!$Q$2:$Q$317,$A16,'Данные 2st'!$JK$2:$JK$317),"")</f>
        <v>250</v>
      </c>
      <c r="OW16" s="7">
        <f>IFERROR(AVERAGEIF('Данные 2st'!$Q$2:$Q$317,$A16,'Данные 2st'!$JL$2:$JL$317),"")</f>
        <v>318</v>
      </c>
      <c r="OX16" s="7">
        <f>IFERROR(AVERAGEIF('Данные 2st'!$Q$2:$Q$317,$A16,'Данные 2st'!$JM$2:$JM$317),"")</f>
        <v>250</v>
      </c>
      <c r="OY16" s="7">
        <f>IFERROR(AVERAGEIF('Данные 2st'!$Q$2:$Q$317,$A16,'Данные 2st'!$JP$2:$JP$317),"")</f>
        <v>200</v>
      </c>
      <c r="OZ16" s="7">
        <f>IFERROR(AVERAGEIF('Данные 2st'!$Q$2:$Q$317,$A16,'Данные 2st'!$JQ$2:$JQ$317),"")</f>
        <v>255</v>
      </c>
      <c r="PA16" s="7">
        <f>IFERROR(AVERAGEIF('Данные 2st'!$Q$2:$Q$317,$A16,'Данные 2st'!$JR$2:$JR$317),"")</f>
        <v>330</v>
      </c>
      <c r="PB16" s="7">
        <f>IFERROR(AVERAGEIF('Данные 2st'!$Q$2:$Q$317,$A16,'Данные 2st'!$JS$2:$JS$317),"")</f>
        <v>265</v>
      </c>
      <c r="PC16" s="7">
        <f>IFERROR(AVERAGEIF('Данные 2st'!$Q$2:$Q$317,$A16,'Данные 2st'!$JT$2:$JT$317),"")</f>
        <v>0</v>
      </c>
      <c r="PD16" s="7">
        <f>IFERROR(AVERAGEIF('Данные 2st'!$Q$2:$Q$317,$A16,'Данные 2st'!$JU$2:$JU$317),"")</f>
        <v>0</v>
      </c>
      <c r="PE16" s="7">
        <f>IFERROR(AVERAGEIF('Данные 2st'!$Q$2:$Q$317,$A16,'Данные 2st'!$JV$2:$JV$317),"")</f>
        <v>305</v>
      </c>
      <c r="PF16" s="7">
        <f>IFERROR(AVERAGEIF('Данные 2st'!$Q$2:$Q$317,$A16,'Данные 2st'!$JW$2:$JW$317),"")</f>
        <v>307</v>
      </c>
      <c r="PG16" s="7">
        <f>IFERROR(AVERAGEIF('Данные 2st'!$Q$2:$Q$317,$A16,'Данные 2st'!$KF$2:$KF$317),"")</f>
        <v>0.18</v>
      </c>
      <c r="PH16" s="7">
        <f>IFERROR(AVERAGEIF('Данные 2st'!$Q$2:$Q$317,$A16,'Данные 2st'!$KG$2:$KG$317),"")</f>
        <v>0.1</v>
      </c>
      <c r="PI16" s="7">
        <f>IFERROR(AVERAGEIF('Данные 2st'!$Q$2:$Q$317,$A16,'Данные 2st'!$KM$2:$KM$317),"")</f>
        <v>1</v>
      </c>
      <c r="PJ16" s="7">
        <f>IFERROR(AVERAGEIF('Данные 2st'!$Q$2:$Q$317,$A16,'Данные 2st'!$KN$2:$KN$317),"")</f>
        <v>1.3</v>
      </c>
      <c r="PK16" s="7">
        <f>IFERROR(AVERAGEIF('Данные 2st'!$Q$2:$Q$317,$A16,'Данные 2st'!$KO$2:$KO$317),"")</f>
        <v>0</v>
      </c>
      <c r="PL16" s="7">
        <f>IFERROR(AVERAGEIF('Данные 2st'!$Q$2:$Q$317,$A16,'Данные 2st'!$KP$2:$KP$317),"")</f>
        <v>0</v>
      </c>
      <c r="PM16" s="7">
        <f>IFERROR(AVERAGEIF('Данные 2st'!$Q$2:$Q$317,$A16,'Данные 2st'!$KQ$2:$KQ$317),"")</f>
        <v>0.8</v>
      </c>
      <c r="PN16" s="7">
        <f>IFERROR(AVERAGEIF('Данные 2st'!$Q$2:$Q$317,$A16,'Данные 2st'!$KR$2:$KR$317),"")</f>
        <v>0.6</v>
      </c>
      <c r="PO16" s="7">
        <f>IFERROR(AVERAGEIF('Данные 2st'!$Q$2:$Q$317,$A16,'Данные 2st'!$KS$2:$KS$317),"")</f>
        <v>0</v>
      </c>
      <c r="PP16" s="7">
        <f>IFERROR(AVERAGEIF('Данные 2st'!$Q$2:$Q$317,$A16,'Данные 2st'!$KT$2:$KT$317),"")</f>
        <v>2.3</v>
      </c>
      <c r="PQ16" s="7">
        <f>IFERROR(AVERAGEIF('Данные 2st'!$Q$2:$Q$317,$A16,'Данные 2st'!$KU$2:$KU$317),"")</f>
        <v>0</v>
      </c>
      <c r="PR16" s="7">
        <f>IFERROR(AVERAGEIF('Данные 2st'!$Q$2:$Q$317,$A16,'Данные 2st'!$KV$2:$KV$317),"")</f>
        <v>0</v>
      </c>
      <c r="PS16" s="7">
        <f>IFERROR(AVERAGEIF('Данные 2st'!$Q$2:$Q$317,$A16,'Данные 2st'!$KW$2:$KW$317),"")</f>
        <v>1.4</v>
      </c>
      <c r="PT16" s="7">
        <f>IFERROR(AVERAGEIF('Данные 2st'!$Q$2:$Q$317,$A16,'Данные 2st'!$KX$2:$KX$317),"")</f>
        <v>1</v>
      </c>
      <c r="PU16" s="7">
        <f>IFERROR(AVERAGEIF('Данные 2st'!$Q$2:$Q$317,$A16,'Данные 2st'!$KY$2:$KY$317),"")</f>
        <v>0</v>
      </c>
      <c r="PV16" s="7">
        <f>IFERROR(AVERAGEIF('Данные 2st'!$Q$2:$Q$317,$A16,'Данные 2st'!$KZ$2:$KZ$317),"")</f>
        <v>0</v>
      </c>
      <c r="PW16" s="7">
        <f>IFERROR(AVERAGEIF('Данные 2st'!$Q$2:$Q$317,$A16,'Данные 2st'!$LA$2:$LA$317),"")</f>
        <v>0</v>
      </c>
      <c r="PX16" s="7">
        <f>IFERROR(AVERAGEIF('Данные 2st'!$Q$2:$Q$317,$A16,'Данные 2st'!$LB$2:$LB$317),"")</f>
        <v>0</v>
      </c>
      <c r="PY16" s="7">
        <f>IFERROR(AVERAGEIF('Данные 2st'!$Q$2:$Q$317,$A16,'Данные 2st'!$LC$2:$LC$317),"")</f>
        <v>0</v>
      </c>
      <c r="PZ16" s="7">
        <f>IFERROR(AVERAGEIF('Данные 2st'!$Q$2:$Q$317,$A16,'Данные 2st'!$LD$2:$LD$317),"")</f>
        <v>0</v>
      </c>
      <c r="QA16" s="7">
        <f>IFERROR(AVERAGEIF('Данные 2st'!$Q$2:$Q$317,$A16,'Данные 2st'!$LE$2:$LE$317),"")</f>
        <v>0</v>
      </c>
      <c r="QB16" s="7">
        <f>IFERROR(AVERAGEIF('Данные 2st'!$Q$2:$Q$317,$A16,'Данные 2st'!$LF$2:$LF$317),"")</f>
        <v>0</v>
      </c>
      <c r="QC16" s="7">
        <f>IFERROR(AVERAGEIF('Данные 2st'!$Q$2:$Q$317,$A16,'Данные 2st'!$LG$2:$LG$317),"")</f>
        <v>0</v>
      </c>
      <c r="QD16" s="7">
        <f>IFERROR(AVERAGEIF('Данные 2st'!$Q$2:$Q$317,$A16,'Данные 2st'!$LH$2:$LH$317),"")</f>
        <v>3</v>
      </c>
      <c r="QE16" s="7">
        <f>IFERROR(AVERAGEIF('Данные 2st'!$Q$2:$Q$317,$A16,'Данные 2st'!$LJ$2:$LJ$317),"")</f>
        <v>0</v>
      </c>
      <c r="QF16" s="7">
        <f>IFERROR(AVERAGEIF('Данные 2st'!$Q$2:$Q$317,$A16,'Данные 2st'!$LK$2:$LK$317),"")</f>
        <v>7</v>
      </c>
      <c r="QG16" s="7">
        <f>IFERROR(AVERAGEIF('Данные 2st'!$Q$2:$Q$317,$A16,'Данные 2st'!$LL$2:$LL$317),"")</f>
        <v>2</v>
      </c>
      <c r="QH16" s="7">
        <f>IFERROR(AVERAGEIF('Данные 2st'!$Q$2:$Q$317,$A16,'Данные 2st'!$LM$2:$LM$317),"")</f>
        <v>10</v>
      </c>
      <c r="QI16" s="7">
        <f>IFERROR(AVERAGEIF('Данные 2st'!$Q$2:$Q$317,$A16,'Данные 2st'!$LN$2:$LN$317),"")</f>
        <v>0.5</v>
      </c>
      <c r="QJ16" s="7">
        <f>IFERROR(AVERAGEIF('Данные 2st'!$Q$2:$Q$317,$A16,'Данные 2st'!$LO$2:$LO$317),"")</f>
        <v>3</v>
      </c>
      <c r="QK16" s="7">
        <f>IFERROR(AVERAGEIF('Данные 2st'!$Q$2:$Q$317,$A16,'Данные 2st'!$LP$2:$LP$317),"")</f>
        <v>0</v>
      </c>
      <c r="QL16" s="7">
        <f>IFERROR(AVERAGEIF('Данные 2st'!$Q$2:$Q$317,$A16,'Данные 2st'!$LQ$2:$LQ$317),"")</f>
        <v>0</v>
      </c>
      <c r="QM16" s="7">
        <f>IFERROR(AVERAGEIF('Данные 2st'!$Q$2:$Q$317,$A16,'Данные 2st'!$LW$2:$LW$317),"")</f>
        <v>1.4</v>
      </c>
      <c r="QN16" s="7">
        <f>IFERROR(AVERAGEIF('Данные 2st'!$Q$2:$Q$317,$A16,'Данные 2st'!$LX$2:$LX$317),"")</f>
        <v>1.4</v>
      </c>
      <c r="QO16" s="7">
        <f>IFERROR(AVERAGEIF('Данные 2st'!$Q$2:$Q$317,$A16,'Данные 2st'!$LY$2:$LY$317),"")</f>
        <v>2.1</v>
      </c>
      <c r="QP16" s="7">
        <f>IFERROR(AVERAGEIF('Данные 2st'!$Q$2:$Q$317,$A16,'Данные 2st'!$LZ$2:$LZ$317),"")</f>
        <v>2.1</v>
      </c>
      <c r="QQ16" s="7">
        <f>IFERROR(AVERAGEIF('Данные 2st'!$Q$2:$Q$317,$A16,'Данные 2st'!$MB$2:$MB$317),"")</f>
        <v>5</v>
      </c>
      <c r="QR16" s="7">
        <f>IFERROR(AVERAGEIF('Данные 2st'!$Q$2:$Q$317,$A16,'Данные 2st'!$MG$2:$MG$317),"")</f>
        <v>0</v>
      </c>
      <c r="QS16" s="7">
        <f>IFERROR(AVERAGEIF('Данные 2st'!$Q$2:$Q$317,$A16,'Данные 2st'!$MH$2:$MH$317),"")</f>
        <v>0</v>
      </c>
      <c r="QT16" s="7">
        <f>IFERROR(AVERAGEIF('Данные 2st'!$Q$2:$Q$317,$A16,'Данные 2st'!$MI$2:$MI$317),"")</f>
        <v>0</v>
      </c>
      <c r="QU16" s="7">
        <f>IFERROR(AVERAGEIF('Данные 2st'!$Q$2:$Q$317,$A16,'Данные 2st'!$MJ$2:$MJ$317),"")</f>
        <v>0</v>
      </c>
      <c r="QV16" s="7">
        <f>IFERROR(AVERAGEIF('Данные 2st'!$Q$2:$Q$317,$A16,'Данные 2st'!$MK$2:$MK$317),"")</f>
        <v>0</v>
      </c>
      <c r="QW16" s="7">
        <f>IFERROR(AVERAGEIF('Данные 2st'!$Q$2:$Q$317,$A16,'Данные 2st'!$MM$2:$MM$317),"")</f>
        <v>358</v>
      </c>
      <c r="QX16" s="7">
        <f>IFERROR(AVERAGEIF('Данные 2st'!$Q$2:$Q$317,$A16,'Данные 2st'!$MQ$2:$MQ$317),"")</f>
        <v/>
      </c>
      <c r="QY16" s="7">
        <f>IFERROR(AVERAGEIF('Данные 2st'!$Q$2:$Q$317,$A16,'Данные 2st'!$MR$2:$MR$317),"")</f>
        <v/>
      </c>
      <c r="QZ16" s="7">
        <f>IFERROR(AVERAGEIF('Данные 2st'!$Q$2:$Q$317,$A16,'Данные 2st'!$MS$2:$MS$317),"")</f>
        <v/>
      </c>
      <c r="RA16" s="7">
        <f>IFERROR(AVERAGEIF('Данные 2st'!$Q$2:$Q$317,$A16,'Данные 2st'!$MT$2:$MT$317),"")</f>
        <v/>
      </c>
      <c r="RB16" s="7">
        <f>IFERROR(AVERAGEIF('Данные 2st'!$Q$2:$Q$317,$A16,'Данные 2st'!$MU$2:$MU$317),"")</f>
        <v/>
      </c>
      <c r="RC16" s="7">
        <f>IFERROR(AVERAGEIF('Данные 2st'!$Q$2:$Q$317,$A16,'Данные 2st'!$MV$2:$MV$317),"")</f>
        <v/>
      </c>
      <c r="RD16" s="7">
        <f>IFERROR(AVERAGEIF('Данные 2st'!$Q$2:$Q$317,$A16,'Данные 2st'!$MW$2:$MW$317),"")</f>
        <v/>
      </c>
      <c r="RE16" s="7">
        <f>IFERROR(AVERAGEIF('Данные 2st'!$Q$2:$Q$317,$A16,'Данные 2st'!$MX$2:$MX$317),"")</f>
        <v/>
      </c>
      <c r="RF16" s="7">
        <f>IFERROR(AVERAGEIF('Данные 2st'!$Q$2:$Q$317,$A16,'Данные 2st'!$MY$2:$MY$317),"")</f>
        <v/>
      </c>
      <c r="RG16" s="7">
        <f>IFERROR(AVERAGEIF('Данные 2st'!$Q$2:$Q$317,$A16,'Данные 2st'!$MZ$2:$MZ$317),"")</f>
        <v/>
      </c>
      <c r="RH16" s="7">
        <f>IFERROR(AVERAGEIF('Данные 2st'!$Q$2:$Q$317,$A16,'Данные 2st'!$NA$2:$NA$317),"")</f>
        <v/>
      </c>
      <c r="RI16" s="7">
        <f>IFERROR(AVERAGEIF('Данные 2st'!$Q$2:$Q$317,$A16,'Данные 2st'!$NB$2:$NB$317),"")</f>
        <v/>
      </c>
      <c r="RJ16" s="7">
        <f>IFERROR(AVERAGEIF('Данные 2st'!$Q$2:$Q$317,$A16,'Данные 2st'!$NC$2:$NC$317),"")</f>
        <v/>
      </c>
      <c r="RK16" s="7">
        <f>IFERROR(AVERAGEIF('Данные 2st'!$Q$2:$Q$317,$A16,'Данные 2st'!$ND$2:$ND$317),"")</f>
        <v/>
      </c>
      <c r="RL16" s="7">
        <f>IFERROR(AVERAGEIF('Данные 2st'!$Q$2:$Q$317,$A16,'Данные 2st'!$NE$2:$NE$317),"")</f>
        <v/>
      </c>
      <c r="RM16" s="7">
        <f>IFERROR(AVERAGEIF('Данные 2st'!$Q$2:$Q$317,$A16,'Данные 2st'!$NF$2:$NF$317),"")</f>
        <v/>
      </c>
      <c r="RN16" s="7">
        <f>IFERROR(AVERAGEIF('Данные 2st'!$Q$2:$Q$317,$A16,'Данные 2st'!$NG$2:$NG$317),"")</f>
        <v/>
      </c>
      <c r="RO16" s="7">
        <f>IFERROR(AVERAGEIF('Данные 2st'!$Q$2:$Q$317,$A16,'Данные 2st'!$NH$2:$NH$317),"")</f>
        <v/>
      </c>
      <c r="RP16" s="7">
        <f>IFERROR(AVERAGEIF('Данные 2st'!$Q$2:$Q$317,$A16,'Данные 2st'!$NJ$2:$NJ$317),"")</f>
        <v/>
      </c>
      <c r="RQ16" s="7">
        <f>IFERROR(AVERAGEIF('Данные 2st'!$Q$2:$Q$317,$A16,'Данные 2st'!$NK$2:$NK$317),"")</f>
        <v/>
      </c>
      <c r="RR16" s="7">
        <f>IFERROR(AVERAGEIF('Данные 2st'!$Q$2:$Q$317,$A16,'Данные 2st'!$NM$2:$NM$317),"")</f>
        <v/>
      </c>
      <c r="RS16" s="7">
        <f>IFERROR(AVERAGEIF('Данные 2st'!$Q$2:$Q$317,$A16,'Данные 2st'!$NN$2:$NN$317),"")</f>
        <v/>
      </c>
      <c r="RT16" s="7">
        <f>IFERROR(AVERAGEIF('Данные 2st'!$Q$2:$Q$317,$A16,'Данные 2st'!$NO$2:$NO$317),"")</f>
        <v/>
      </c>
      <c r="RU16" s="7">
        <f>IFERROR(AVERAGEIF('Данные 2st'!$Q$2:$Q$317,$A16,'Данные 2st'!$NP$2:$NP$317),"")</f>
        <v/>
      </c>
      <c r="RV16" s="7">
        <f>IFERROR(AVERAGEIF('Данные 2st'!$Q$2:$Q$317,$A16,'Данные 2st'!$NQ$2:$NQ$317),"")</f>
        <v/>
      </c>
      <c r="RW16" s="7">
        <f>IFERROR(AVERAGEIF('Данные 2st'!$Q$2:$Q$317,$A16,'Данные 2st'!$NR$2:$NR$317),"")</f>
        <v/>
      </c>
      <c r="RX16" s="7">
        <f>IFERROR(AVERAGEIF('Данные 2st'!$Q$2:$Q$317,$A16,'Данные 2st'!$NS$2:$NS$317),"")</f>
        <v/>
      </c>
      <c r="RY16" s="7">
        <f>IFERROR(AVERAGEIF('Данные 2st'!$Q$2:$Q$317,$A16,'Данные 2st'!$NT$2:$NT$317),"")</f>
        <v/>
      </c>
      <c r="RZ16" s="7">
        <f>IFERROR(AVERAGEIF('Данные 2st'!$Q$2:$Q$317,$A16,'Данные 2st'!$OK$2:$OK$317),"")</f>
        <v>61</v>
      </c>
      <c r="SA16" s="7">
        <f>IFERROR(AVERAGEIF('Данные 2st'!$Q$2:$Q$317,$A16,'Данные 2st'!$OL$2:$OL$317),"")</f>
        <v>61</v>
      </c>
      <c r="SB16" s="7">
        <f>IFERROR(AVERAGEIF('Данные 2st'!$Q$2:$Q$317,$A16,'Данные 2st'!$ON$2:$ON$317),"")</f>
        <v>2</v>
      </c>
      <c r="SC16" s="7">
        <f>IFERROR(AVERAGEIF('Данные 2st'!$Q$2:$Q$317,$A16,'Данные 2st'!$OO$2:$OO$317),"")</f>
        <v>1928</v>
      </c>
      <c r="SD16" s="7">
        <f>IFERROR(AVERAGEIF('Данные 2st'!$Q$2:$Q$317,$A16,'Данные 2st'!$OP$2:$OP$317),"")</f>
        <v>61</v>
      </c>
      <c r="SE16" s="7">
        <f>IFERROR(AVERAGEIF('Данные 2st'!$Q$2:$Q$317,$A16,'Данные 2st'!$OQ$2:$OQ$317),"")</f>
        <v>61</v>
      </c>
      <c r="SF16" s="7">
        <f>IFERROR(AVERAGEIF('Данные 2st'!$Q$2:$Q$317,$A16,'Данные 2st'!$OS$2:$OS$317),"")</f>
        <v>2</v>
      </c>
      <c r="SG16" s="7">
        <f>IFERROR(AVERAGEIF('Данные 2st'!$Q$2:$Q$317,$A16,'Данные 2st'!$OT$2:$OT$317),"")</f>
        <v>1935</v>
      </c>
      <c r="SH16" s="7">
        <f>IFERROR(AVERAGEIF('Данные 2st'!$Q$2:$Q$317,$A16,'Данные 2st'!$OU$2:$OU$317),"")</f>
        <v>65</v>
      </c>
      <c r="SI16" s="7">
        <f>IFERROR(AVERAGEIF('Данные 2st'!$Q$2:$Q$317,$A16,'Данные 2st'!$OV$2:$OV$317),"")</f>
        <v>65</v>
      </c>
      <c r="SJ16" s="7">
        <f>IFERROR(AVERAGEIF('Данные 2st'!$Q$2:$Q$317,$A16,'Данные 2st'!$OX$2:$OX$317),"")</f>
        <v>1</v>
      </c>
      <c r="SK16" s="7">
        <f>IFERROR(AVERAGEIF('Данные 2st'!$Q$2:$Q$317,$A16,'Данные 2st'!$OY$2:$OY$317),"")</f>
        <v>40997</v>
      </c>
      <c r="SL16" s="7">
        <f>IFERROR(AVERAGEIF('Данные 2st'!$Q$2:$Q$317,$A16,'Данные 2st'!$OZ$2:$OZ$317),"")</f>
        <v>51</v>
      </c>
      <c r="SM16" s="7">
        <f>IFERROR(AVERAGEIF('Данные 2st'!$Q$2:$Q$317,$A16,'Данные 2st'!$PA$2:$PA$317),"")</f>
        <v>52</v>
      </c>
      <c r="SN16" s="7">
        <f>IFERROR(AVERAGEIF('Данные 2st'!$Q$2:$Q$317,$A16,'Данные 2st'!$PC$2:$PC$317),"")</f>
        <v>1</v>
      </c>
      <c r="SO16" s="7">
        <f>IFERROR(AVERAGEIF('Данные 2st'!$Q$2:$Q$317,$A16,'Данные 2st'!$PD$2:$PD$317),"")</f>
        <v>1970</v>
      </c>
      <c r="SP16" s="7">
        <f>IFERROR(AVERAGEIF('Данные 2st'!$Q$2:$Q$317,$A16,'Данные 2st'!$PF$2:$PF$317),"")</f>
        <v>329</v>
      </c>
      <c r="SQ16" s="7">
        <f>IFERROR(AVERAGEIF('Данные 2st'!$Q$2:$Q$317,$A16,'Данные 2st'!$PG$2:$PG$317),"")</f>
        <v>29</v>
      </c>
      <c r="SR16" s="7">
        <f>IFERROR(AVERAGEIF('Данные 2st'!$Q$2:$Q$317,$A16,'Данные 2st'!$PH$2:$PH$317),"")</f>
        <v>311</v>
      </c>
      <c r="SS16" s="7">
        <f>IFERROR(AVERAGEIF('Данные 2st'!$Q$2:$Q$317,$A16,'Данные 2st'!$PI$2:$PI$317),"")</f>
        <v>29</v>
      </c>
      <c r="ST16" s="7">
        <f>IFERROR(AVERAGEIF('Данные 2st'!$Q$2:$Q$317,$A16,'Данные 2st'!$PJ$2:$PJ$317),"")</f>
        <v>52</v>
      </c>
      <c r="SU16" s="7">
        <f>IFERROR(AVERAGEIF('Данные 2st'!$Q$2:$Q$317,$A16,'Данные 2st'!$PK$2:$PK$317),"")</f>
        <v/>
      </c>
      <c r="SV16" s="7">
        <f>IFERROR(AVERAGEIF('Данные 2st'!$Q$2:$Q$317,$A16,'Данные 2st'!$PL$2:$PL$317),"")</f>
        <v>1288.7</v>
      </c>
      <c r="SW16" s="7">
        <f>IFERROR(AVERAGEIF('Данные 2st'!$Q$2:$Q$317,$A16,'Данные 2st'!$PM$2:$PM$317),"")</f>
        <v>240</v>
      </c>
      <c r="SX16" s="7">
        <f>IFERROR(AVERAGEIF('Данные 2st'!$Q$2:$Q$317,$A16,'Данные 2st'!$PN$2:$PN$317),"")</f>
        <v>90.7</v>
      </c>
      <c r="SY16" s="7">
        <f>IFERROR(AVERAGEIF('Данные 2st'!$Q$2:$Q$317,$A16,'Данные 2st'!$PO$2:$PO$317),"")</f>
        <v>9.1</v>
      </c>
      <c r="SZ16" s="7">
        <f>IFERROR(AVERAGEIF('Данные 2st'!$Q$2:$Q$317,$A16,'Данные 2st'!$PP$2:$PP$317),"")</f>
        <v>12</v>
      </c>
      <c r="TA16" s="7">
        <f>IFERROR(AVERAGEIF('Данные 2st'!$Q$2:$Q$317,$A16,'Данные 2st'!$PQ$2:$PQ$317),"")</f>
        <v>1</v>
      </c>
      <c r="TB16" s="7">
        <f>IFERROR(AVERAGEIF('Данные 2st'!$Q$2:$Q$317,$A16,'Данные 2st'!$PR$2:$PR$317),"")</f>
        <v>1</v>
      </c>
      <c r="TC16" s="7">
        <f>IFERROR(AVERAGEIF('Данные 2st'!$Q$2:$Q$317,$A16,'Данные 2st'!$PS$2:$PS$317),"")</f>
        <v>7</v>
      </c>
      <c r="TD16" s="7">
        <f>IFERROR(AVERAGEIF('Данные 2st'!$Q$2:$Q$317,$A16,'Данные 2st'!$PT$2:$PT$317),"")</f>
        <v>220</v>
      </c>
      <c r="TE16" s="7">
        <f>IFERROR(AVERAGEIF('Данные 2st'!$Q$2:$Q$317,$A16,'Данные 2st'!$PU$2:$PU$317),"")</f>
        <v>10</v>
      </c>
      <c r="TF16" s="7">
        <f>IFERROR(AVERAGEIF('Данные 2st'!$Q$2:$Q$317,$A16,'Данные 2st'!$PX$2:$PX$317),"")</f>
        <v>0</v>
      </c>
      <c r="TG16" s="7">
        <f>IFERROR(AVERAGEIF('Данные 2st'!$Q$2:$Q$317,$A16,'Данные 2st'!$PY$2:$PY$317),"")</f>
        <v>0</v>
      </c>
      <c r="TH16" s="7">
        <f>IFERROR(AVERAGEIF('Данные 2st'!$Q$2:$Q$317,$A16,'Данные 2st'!$PZ$2:$PZ$317),"")</f>
        <v>0</v>
      </c>
      <c r="TI16" s="7">
        <f>IFERROR(AVERAGEIF('Данные 2st'!$Q$2:$Q$317,$A16,'Данные 2st'!$QA$2:$QA$317),"")</f>
        <v>0</v>
      </c>
      <c r="TJ16" s="7">
        <f>IFERROR(AVERAGEIF('Данные 2st'!$Q$2:$Q$317,$A16,'Данные 2st'!$QB$2:$QB$317),"")</f>
        <v>0</v>
      </c>
      <c r="TK16" s="7">
        <f>IFERROR(AVERAGEIF('Данные 2st'!$Q$2:$Q$317,$A16,'Данные 2st'!$QC$2:$QC$317),"")</f>
        <v>0</v>
      </c>
      <c r="TL16" s="7">
        <f>IFERROR(AVERAGEIF('Данные 2st'!$Q$2:$Q$317,$A16,'Данные 2st'!$QD$2:$QD$317),"")</f>
        <v>0</v>
      </c>
      <c r="TM16" s="7">
        <f>IFERROR(AVERAGEIF('Данные 2st'!$Q$2:$Q$317,$A16,'Данные 2st'!$QE$2:$QE$317),"")</f>
        <v>-1</v>
      </c>
      <c r="TN16" s="7">
        <f>IFERROR(AVERAGEIF('Данные 2st'!$Q$2:$Q$317,$A16,'Данные 2st'!$QF$2:$QF$317),"")</f>
        <v>1</v>
      </c>
      <c r="TO16" s="7">
        <f>IFERROR(AVERAGEIF('Данные 2st'!$Q$2:$Q$317,$A16,'Данные 2st'!$QG$2:$QG$317),"")</f>
        <v>0</v>
      </c>
      <c r="TP16" s="7">
        <f>IFERROR(AVERAGEIF('Данные 2st'!$Q$2:$Q$317,$A16,'Данные 2st'!$QH$2:$QH$317),"")</f>
        <v>5</v>
      </c>
      <c r="TQ16" s="7">
        <f>IFERROR(AVERAGEIF('Данные 2st'!$Q$2:$Q$317,$A16,'Данные 2st'!$QI$2:$QI$317),"")</f>
        <v>5</v>
      </c>
      <c r="TR16" s="7">
        <f>IFERROR(AVERAGEIF('Данные 2st'!$Q$2:$Q$317,$A16,'Данные 2st'!$QJ$2:$QJ$317),"")</f>
        <v>5</v>
      </c>
      <c r="TS16" s="7">
        <f>IFERROR(AVERAGEIF('Данные 2st'!$Q$2:$Q$317,$A16,'Данные 2st'!$QK$2:$QK$317),"")</f>
        <v>169</v>
      </c>
      <c r="TT16" s="7">
        <f>IFERROR(AVERAGEIF('Данные 2st'!$Q$2:$Q$317,$A16,'Данные 2st'!$QL$2:$QL$317),"")</f>
        <v>382</v>
      </c>
      <c r="TU16" s="7">
        <f>IFERROR(AVERAGEIF('Данные 2st'!$Q$2:$Q$317,$A16,'Данные 2st'!$QM$2:$QM$317),"")</f>
        <v>7.5</v>
      </c>
      <c r="TV16" s="7">
        <f>IFERROR(AVERAGEIF('Данные 2st'!$Q$2:$Q$317,$A16,'Данные 2st'!$QN$2:$QN$317),"")</f>
        <v>1381.4</v>
      </c>
      <c r="TW16" s="7">
        <f>IFERROR(AVERAGEIF('Данные 2st'!$Q$2:$Q$317,$A16,'Данные 2st'!$QQ$2:$QQ$317),"")</f>
        <v>0</v>
      </c>
      <c r="TX16" s="7">
        <f>IFERROR(AVERAGEIF('Данные 2st'!$Q$2:$Q$317,$A16,'Данные 2st'!$QS$2:$QS$317),"")</f>
        <v>30</v>
      </c>
      <c r="TY16" s="7">
        <f>IFERROR(AVERAGEIF('Данные 2st'!$Q$2:$Q$317,$A16,'Данные 2st'!$QT$2:$QT$317),"")</f>
        <v>40</v>
      </c>
    </row>
    <row r="17" spans="1:545" ht="32" customHeight="1">
      <c r="A17" s="11" t="s">
        <v>1681</v>
      </c>
      <c r="B17">
        <f>COUNTIF('Данные 1st'!$S$2:$S$317,$A17)</f>
        <v>5</v>
      </c>
      <c r="C17" s="6" t="s">
        <v>5082</v>
      </c>
      <c r="D17" s="6" t="s">
        <v>513</v>
      </c>
      <c r="E17" s="6" t="s">
        <v>5125</v>
      </c>
      <c r="F17" s="6" t="s">
        <v>5139</v>
      </c>
      <c r="G17" s="7">
        <f>IFERROR(AVERAGEIF('Данные 1st'!$S$2:$S$317,$A17,'Данные 1st'!$AE$2:$AE$317),"")</f>
        <v>182.2</v>
      </c>
      <c r="H17" s="7">
        <f>IFERROR(AVERAGEIF('Данные 1st'!$S$2:$S$317,$A17,'Данные 1st'!$AF$2:$AF$317),"")</f>
        <v>1.5</v>
      </c>
      <c r="I17" s="7">
        <f>IFERROR(AVERAGEIF('Данные 1st'!$S$2:$S$317,$A17,'Данные 1st'!$AJ$2:$AJ$317),"")</f>
        <v>187.0</v>
      </c>
      <c r="J17" s="7">
        <f>IFERROR(AVERAGEIF('Данные 1st'!$S$2:$S$317,$A17,'Данные 1st'!$AL$2:$AL$317),"")</f>
        <v>1.5</v>
      </c>
      <c r="K17" s="7">
        <f>IFERROR(AVERAGEIF('Данные 1st'!$S$2:$S$317,$A17,'Данные 1st'!$AR$2:$AR$317),"")</f>
        <v>44.4</v>
      </c>
      <c r="L17" s="7">
        <f>IFERROR(AVERAGEIF('Данные 1st'!$S$2:$S$317,$A17,'Данные 1st'!$AS$2:$AS$317),"")</f>
        <v>1.5</v>
      </c>
      <c r="M17" s="7">
        <f>IFERROR(AVERAGEIF('Данные 1st'!$S$2:$S$317,$A17,'Данные 1st'!$AY$2:$AY$317),"")</f>
        <v>326.0</v>
      </c>
      <c r="N17" s="7">
        <f>IFERROR(AVERAGEIF('Данные 1st'!$S$2:$S$317,$A17,'Данные 1st'!$AZ$2:$AZ$317),"")</f>
        <v>1.5</v>
      </c>
      <c r="O17" s="7">
        <f>IFERROR(AVERAGEIF('Данные 1st'!$S$2:$S$317,$A17,'Данные 1st'!$BF$2:$BF$317),"")</f>
        <v/>
      </c>
      <c r="P17" s="7">
        <f>IFERROR(AVERAGEIF('Данные 1st'!$S$2:$S$317,$A17,'Данные 1st'!$BG$2:$BG$317),"")</f>
        <v>1.5</v>
      </c>
      <c r="Q17" s="7">
        <f>IFERROR(AVERAGEIF('Данные 1st'!$S$2:$S$317,$A17,'Данные 1st'!$BM$2:$BM$317),"")</f>
        <v/>
      </c>
      <c r="R17" s="7">
        <f>IFERROR(AVERAGEIF('Данные 1st'!$S$2:$S$317,$A17,'Данные 1st'!$BN$2:$BN$317),"")</f>
        <v>1.5</v>
      </c>
      <c r="S17" s="7">
        <f>IFERROR(AVERAGEIF('Данные 1st'!$S$2:$S$317,$A17,'Данные 1st'!$BT$2:$BT$317),"")</f>
        <v>200</v>
      </c>
      <c r="T17" s="7">
        <f>IFERROR(AVERAGEIF('Данные 1st'!$S$2:$S$317,$A17,'Данные 1st'!$BU$2:$BU$317),"")</f>
        <v>0.5</v>
      </c>
      <c r="U17" s="7">
        <f>IFERROR(AVERAGEIF('Данные 1st'!$S$2:$S$317,$A17,'Данные 1st'!$BW$2:$BW$317),"")</f>
        <v>400</v>
      </c>
      <c r="V17" s="7">
        <f>IFERROR(AVERAGEIF('Данные 1st'!$S$2:$S$317,$A17,'Данные 1st'!$BX$2:$BX$317),"")</f>
        <v>1</v>
      </c>
      <c r="W17" s="7">
        <f>IFERROR(AVERAGEIF('Данные 1st'!$S$2:$S$317,$A17,'Данные 1st'!$BZ$2:$BZ$317),"")</f>
        <v>368</v>
      </c>
      <c r="X17" s="7">
        <f>IFERROR(AVERAGEIF('Данные 1st'!$S$2:$S$317,$A17,'Данные 1st'!$CA$2:$CA$317),"")</f>
        <v>524</v>
      </c>
      <c r="Y17" s="7">
        <f>IFERROR(AVERAGEIF('Данные 1st'!$S$2:$S$317,$A17,'Данные 1st'!$CD$2:$CD$317),"")</f>
        <v>418.8</v>
      </c>
      <c r="Z17" s="7">
        <f>IFERROR(AVERAGEIF('Данные 1st'!$S$2:$S$317,$A17,'Данные 1st'!$CF$2:$CF$317),"")</f>
        <v>15</v>
      </c>
      <c r="AA17" s="7">
        <f>IFERROR(AVERAGEIF('Данные 1st'!$S$2:$S$317,$A17,'Данные 1st'!$CI$2:$CI$317),"")</f>
        <v>78</v>
      </c>
      <c r="AB17" s="7">
        <f>IFERROR(AVERAGEIF('Данные 1st'!$S$2:$S$317,$A17,'Данные 1st'!$CJ$2:$CJ$317),"")</f>
        <v>1200</v>
      </c>
      <c r="AC17" s="7">
        <f>IFERROR(AVERAGEIF('Данные 1st'!$S$2:$S$317,$A17,'Данные 1st'!$CK$2:$CK$317),"")</f>
        <v>2</v>
      </c>
      <c r="AD17" s="7">
        <f>IFERROR(AVERAGEIF('Данные 1st'!$S$2:$S$317,$A17,'Данные 1st'!$CL$2:$CL$317),"")</f>
        <v>1301</v>
      </c>
      <c r="AE17" s="7">
        <f>IFERROR(AVERAGEIF('Данные 1st'!$S$2:$S$317,$A17,'Данные 1st'!$CM$2:$CM$317),"")</f>
        <v>2</v>
      </c>
      <c r="AF17" s="7">
        <f>IFERROR(AVERAGEIF('Данные 1st'!$S$2:$S$317,$A17,'Данные 1st'!$CT$2:$CT$317),"")</f>
        <v>374</v>
      </c>
      <c r="AG17" s="7">
        <f>IFERROR(AVERAGEIF('Данные 1st'!$S$2:$S$317,$A17,'Данные 1st'!$CU$2:$CU$317),"")</f>
        <v>5</v>
      </c>
      <c r="AH17" s="7">
        <f>IFERROR(AVERAGEIF('Данные 1st'!$S$2:$S$317,$A17,'Данные 1st'!$CV$2:$CV$317),"")</f>
        <v>1.22</v>
      </c>
      <c r="AI17" s="7">
        <f>IFERROR(AVERAGEIF('Данные 1st'!$S$2:$S$317,$A17,'Данные 1st'!$CW$2:$CW$317),"")</f>
        <v>1214</v>
      </c>
      <c r="AJ17" s="7">
        <f>IFERROR(AVERAGEIF('Данные 1st'!$S$2:$S$317,$A17,'Данные 1st'!$CX$2:$CX$317),"")</f>
        <v>653.8</v>
      </c>
      <c r="AK17" s="7">
        <f>IFERROR(AVERAGEIF('Данные 1st'!$S$2:$S$317,$A17,'Данные 1st'!$CZ$2:$CZ$317),"")</f>
        <v>50</v>
      </c>
      <c r="AL17" s="7">
        <f>IFERROR(AVERAGEIF('Данные 1st'!$S$2:$S$317,$A17,'Данные 1st'!$DA$2:$DA$317),"")</f>
        <v>3</v>
      </c>
      <c r="AM17" s="7">
        <f>IFERROR(AVERAGEIF('Данные 1st'!$S$2:$S$317,$A17,'Данные 1st'!$DB$2:$DB$317),"")</f>
        <v>1</v>
      </c>
      <c r="AN17" s="7">
        <f>IFERROR(AVERAGEIF('Данные 1st'!$S$2:$S$317,$A17,'Данные 1st'!$DC$2:$DC$317),"")</f>
        <v>1218</v>
      </c>
      <c r="AO17" s="7">
        <f>IFERROR(AVERAGEIF('Данные 1st'!$S$2:$S$317,$A17,'Данные 1st'!$DD$2:$DD$317),"")</f>
        <v>12.8</v>
      </c>
      <c r="AP17" s="7">
        <f>IFERROR(AVERAGEIF('Данные 1st'!$S$2:$S$317,$A17,'Данные 1st'!$DF$2:$DF$317),"")</f>
        <v>652</v>
      </c>
      <c r="AQ17" s="7">
        <f>IFERROR(AVERAGEIF('Данные 1st'!$S$2:$S$317,$A17,'Данные 1st'!$DG$2:$DG$317),"")</f>
        <v>3</v>
      </c>
      <c r="AR17" s="7">
        <f>IFERROR(AVERAGEIF('Данные 1st'!$S$2:$S$317,$A17,'Данные 1st'!$DH$2:$DH$317),"")</f>
        <v>1.0</v>
      </c>
      <c r="AS17" s="7">
        <f>IFERROR(AVERAGEIF('Данные 1st'!$S$2:$S$317,$A17,'Данные 1st'!$DI$2:$DI$317),"")</f>
        <v>1211.2</v>
      </c>
      <c r="AT17" s="7">
        <f>IFERROR(AVERAGEIF('Данные 1st'!$S$2:$S$317,$A17,'Данные 1st'!$DJ$2:$DJ$317),"")</f>
        <v>1038.6</v>
      </c>
      <c r="AU17" s="7">
        <f>IFERROR(AVERAGEIF('Данные 1st'!$S$2:$S$317,$A17,'Данные 1st'!$DL$2:$DL$317),"")</f>
        <v/>
      </c>
      <c r="AV17" s="7">
        <f>IFERROR(AVERAGEIF('Данные 1st'!$S$2:$S$317,$A17,'Данные 1st'!$DM$2:$DM$317),"")</f>
        <v/>
      </c>
      <c r="AW17" s="7">
        <f>IFERROR(AVERAGEIF('Данные 1st'!$S$2:$S$317,$A17,'Данные 1st'!$DN$2:$DN$317),"")</f>
        <v/>
      </c>
      <c r="AX17" s="7">
        <f>IFERROR(AVERAGEIF('Данные 1st'!$S$2:$S$317,$A17,'Данные 1st'!$DO$2:$DO$317),"")</f>
        <v/>
      </c>
      <c r="AY17" s="7">
        <f>IFERROR(AVERAGEIF('Данные 1st'!$S$2:$S$317,$A17,'Данные 1st'!$DP$2:$DP$317),"")</f>
        <v/>
      </c>
      <c r="AZ17" s="7">
        <f>IFERROR(AVERAGEIF('Данные 1st'!$S$2:$S$317,$A17,'Данные 1st'!$DR$2:$DR$317),"")</f>
        <v/>
      </c>
      <c r="BA17" s="7">
        <f>IFERROR(AVERAGEIF('Данные 1st'!$S$2:$S$317,$A17,'Данные 1st'!$DS$2:$DS$317),"")</f>
        <v/>
      </c>
      <c r="BB17" s="7">
        <f>IFERROR(AVERAGEIF('Данные 1st'!$S$2:$S$317,$A17,'Данные 1st'!$DT$2:$DT$317),"")</f>
        <v/>
      </c>
      <c r="BC17" s="7">
        <f>IFERROR(AVERAGEIF('Данные 1st'!$S$2:$S$317,$A17,'Данные 1st'!$DU$2:$DU$317),"")</f>
        <v/>
      </c>
      <c r="BD17" s="7">
        <f>IFERROR(AVERAGEIF('Данные 1st'!$S$2:$S$317,$A17,'Данные 1st'!$DV$2:$DV$317),"")</f>
        <v/>
      </c>
      <c r="BE17" s="7">
        <f>IFERROR(AVERAGEIF('Данные 1st'!$S$2:$S$317,$A17,'Данные 1st'!$DX$2:$DX$317),"")</f>
        <v>7.5</v>
      </c>
      <c r="BF17" s="7">
        <f>IFERROR(AVERAGEIF('Данные 1st'!$S$2:$S$317,$A17,'Данные 1st'!$EA$2:$EA$317),"")</f>
        <v>1283.1399999999999</v>
      </c>
      <c r="BG17" s="7">
        <f>IFERROR(AVERAGEIF('Данные 1st'!$S$2:$S$317,$A17,'Данные 1st'!$EB$2:$EB$317),"")</f>
        <v>203.4</v>
      </c>
      <c r="BH17" s="7">
        <f>IFERROR(AVERAGEIF('Данные 1st'!$S$2:$S$317,$A17,'Данные 1st'!$ED$2:$ED$317),"")</f>
        <v>38</v>
      </c>
      <c r="BI17" s="7">
        <f>IFERROR(AVERAGEIF('Данные 1st'!$S$2:$S$317,$A17,'Данные 1st'!$EE$2:$EE$317),"")</f>
        <v>3</v>
      </c>
      <c r="BJ17" s="7">
        <f>IFERROR(AVERAGEIF('Данные 1st'!$S$2:$S$317,$A17,'Данные 1st'!$EG$2:$EG$317),"")</f>
        <v>1319.8</v>
      </c>
      <c r="BK17" s="7">
        <f>IFERROR(AVERAGEIF('Данные 1st'!$S$2:$S$317,$A17,'Данные 1st'!$EH$2:$EH$317),"")</f>
        <v>204.4</v>
      </c>
      <c r="BL17" s="7">
        <f>IFERROR(AVERAGEIF('Данные 1st'!$S$2:$S$317,$A17,'Данные 1st'!$EJ$2:$EJ$317),"")</f>
        <v>0</v>
      </c>
      <c r="BM17" s="7">
        <f>IFERROR(AVERAGEIF('Данные 1st'!$S$2:$S$317,$A17,'Данные 1st'!$EK$2:$EK$317),"")</f>
        <v>1</v>
      </c>
      <c r="BN17" s="7">
        <f>IFERROR(AVERAGEIF('Данные 1st'!$S$2:$S$317,$A17,'Данные 1st'!$EN$2:$EN$317),"")</f>
        <v>0</v>
      </c>
      <c r="BO17" s="7">
        <f>IFERROR(AVERAGEIF('Данные 1st'!$S$2:$S$317,$A17,'Данные 1st'!$EQ$2:$EQ$317),"")</f>
        <v>99</v>
      </c>
      <c r="BP17" s="7">
        <f>IFERROR(AVERAGEIF('Данные 1st'!$S$2:$S$317,$A17,'Данные 1st'!$ER$2:$ER$317),"")</f>
        <v>3</v>
      </c>
      <c r="BQ17" s="7">
        <f>IFERROR(AVERAGEIF('Данные 1st'!$S$2:$S$317,$A17,'Данные 1st'!$ES$2:$ES$317),"")</f>
        <v>5.24</v>
      </c>
      <c r="BR17" s="7">
        <f>IFERROR(AVERAGEIF('Данные 1st'!$S$2:$S$317,$A17,'Данные 1st'!$ET$2:$ET$317),"")</f>
        <v>1196</v>
      </c>
      <c r="BS17" s="7">
        <f>IFERROR(AVERAGEIF('Данные 1st'!$S$2:$S$317,$A17,'Данные 1st'!$EU$2:$EU$317),"")</f>
        <v>395.06</v>
      </c>
      <c r="BT17" s="7">
        <f>IFERROR(AVERAGEIF('Данные 1st'!$S$2:$S$317,$A17,'Данные 1st'!$EV$2:$EV$317),"")</f>
        <v>472.6</v>
      </c>
      <c r="BU17" s="7">
        <f>IFERROR(AVERAGEIF('Данные 1st'!$S$2:$S$317,$A17,'Данные 1st'!$EX$2:$EX$317),"")</f>
        <v>65</v>
      </c>
      <c r="BV17" s="7">
        <f>IFERROR(AVERAGEIF('Данные 1st'!$S$2:$S$317,$A17,'Данные 1st'!$EY$2:$EY$317),"")</f>
        <v>2</v>
      </c>
      <c r="BW17" s="7">
        <f>IFERROR(AVERAGEIF('Данные 1st'!$S$2:$S$317,$A17,'Данные 1st'!$EZ$2:$EZ$317),"")</f>
        <v>4.1</v>
      </c>
      <c r="BX17" s="7">
        <f>IFERROR(AVERAGEIF('Данные 1st'!$S$2:$S$317,$A17,'Данные 1st'!$FA$2:$FA$317),"")</f>
        <v>1196</v>
      </c>
      <c r="BY17" s="7">
        <f>IFERROR(AVERAGEIF('Данные 1st'!$S$2:$S$317,$A17,'Данные 1st'!$FB$2:$FB$317),"")</f>
        <v>196.26</v>
      </c>
      <c r="BZ17" s="7">
        <f>IFERROR(AVERAGEIF('Данные 1st'!$S$2:$S$317,$A17,'Данные 1st'!$FC$2:$FC$317),"")</f>
        <v>235</v>
      </c>
      <c r="CA17" s="7">
        <f>IFERROR(AVERAGEIF('Данные 1st'!$S$2:$S$317,$A17,'Данные 1st'!$FE$2:$FE$317),"")</f>
        <v>0</v>
      </c>
      <c r="CB17" s="7">
        <f>IFERROR(AVERAGEIF('Данные 1st'!$S$2:$S$317,$A17,'Данные 1st'!$FF$2:$FF$317),"")</f>
        <v>2</v>
      </c>
      <c r="CC17" s="7">
        <f>IFERROR(AVERAGEIF('Данные 1st'!$S$2:$S$317,$A17,'Данные 1st'!$FI$2:$FI$317),"")</f>
        <v>0</v>
      </c>
      <c r="CD17" s="7">
        <f>IFERROR(AVERAGEIF('Данные 1st'!$S$2:$S$317,$A17,'Данные 1st'!$FL$2:$FL$317),"")</f>
        <v>0.52</v>
      </c>
      <c r="CE17" s="7">
        <f>IFERROR(AVERAGEIF('Данные 1st'!$S$2:$S$317,$A17,'Данные 1st'!$FM$2:$FM$317),"")</f>
        <v>70</v>
      </c>
      <c r="CF17" s="7">
        <f>IFERROR(AVERAGEIF('Данные 1st'!$S$2:$S$317,$A17,'Данные 1st'!$FN$2:$FN$317),"")</f>
        <v>158</v>
      </c>
      <c r="CG17" s="7">
        <f>IFERROR(AVERAGEIF('Данные 1st'!$S$2:$S$317,$A17,'Данные 1st'!$FO$2:$FO$317),"")</f>
        <v>75</v>
      </c>
      <c r="CH17" s="7">
        <f>IFERROR(AVERAGEIF('Данные 1st'!$S$2:$S$317,$A17,'Данные 1st'!$FP$2:$FP$317),"")</f>
        <v>100</v>
      </c>
      <c r="CI17" s="7">
        <f>IFERROR(AVERAGEIF('Данные 1st'!$S$2:$S$317,$A17,'Данные 1st'!$FS$2:$FS$317),"")</f>
        <v>0.4</v>
      </c>
      <c r="CJ17" s="7">
        <f>IFERROR(AVERAGEIF('Данные 1st'!$S$2:$S$317,$A17,'Данные 1st'!$FT$2:$FT$317),"")</f>
        <v>30</v>
      </c>
      <c r="CK17" s="7">
        <f>IFERROR(AVERAGEIF('Данные 1st'!$S$2:$S$317,$A17,'Данные 1st'!$FU$2:$FU$317),"")</f>
        <v>362.5</v>
      </c>
      <c r="CL17" s="7">
        <f>IFERROR(AVERAGEIF('Данные 1st'!$S$2:$S$317,$A17,'Данные 1st'!$FV$2:$FV$317),"")</f>
        <v>30</v>
      </c>
      <c r="CM17" s="7">
        <f>IFERROR(AVERAGEIF('Данные 1st'!$S$2:$S$317,$A17,'Данные 1st'!$FW$2:$FW$317),"")</f>
        <v>260</v>
      </c>
      <c r="CN17" s="7">
        <f>IFERROR(AVERAGEIF('Данные 1st'!$S$2:$S$317,$A17,'Данные 1st'!$FZ$2:$FZ$317),"")</f>
        <v/>
      </c>
      <c r="CO17" s="7">
        <f>IFERROR(AVERAGEIF('Данные 1st'!$S$2:$S$317,$A17,'Данные 1st'!$GA$2:$GA$317),"")</f>
        <v/>
      </c>
      <c r="CP17" s="7">
        <f>IFERROR(AVERAGEIF('Данные 1st'!$S$2:$S$317,$A17,'Данные 1st'!$GB$2:$GB$317),"")</f>
        <v/>
      </c>
      <c r="CQ17" s="7">
        <f>IFERROR(AVERAGEIF('Данные 1st'!$S$2:$S$317,$A17,'Данные 1st'!$GH$2:$GH$317),"")</f>
        <v/>
      </c>
      <c r="CR17" s="7">
        <f>IFERROR(AVERAGEIF('Данные 1st'!$S$2:$S$317,$A17,'Данные 1st'!$GI$2:$GI$317),"")</f>
        <v/>
      </c>
      <c r="CS17" s="7">
        <f>IFERROR(AVERAGEIF('Данные 1st'!$S$2:$S$317,$A17,'Данные 1st'!$GJ$2:$GJ$317),"")</f>
        <v/>
      </c>
      <c r="CT17" s="7">
        <f>IFERROR(AVERAGEIF('Данные 1st'!$S$2:$S$317,$A17,'Данные 1st'!$GS$2:$GS$317),"")</f>
        <v/>
      </c>
      <c r="CU17" s="7">
        <f>IFERROR(AVERAGEIF('Данные 1st'!$S$2:$S$317,$A17,'Данные 1st'!$GT$2:$GT$317),"")</f>
        <v/>
      </c>
      <c r="CV17" s="7">
        <f>IFERROR(AVERAGEIF('Данные 1st'!$S$2:$S$317,$A17,'Данные 1st'!$GU$2:$GU$317),"")</f>
        <v/>
      </c>
      <c r="CW17" s="7">
        <f>IFERROR(AVERAGEIF('Данные 1st'!$S$2:$S$317,$A17,'Данные 1st'!$GV$2:$GV$317),"")</f>
        <v/>
      </c>
      <c r="CX17" s="7">
        <f>IFERROR(AVERAGEIF('Данные 1st'!$S$2:$S$317,$A17,'Данные 1st'!$GW$2:$GW$317),"")</f>
        <v/>
      </c>
      <c r="CY17" s="7">
        <f>IFERROR(AVERAGEIF('Данные 1st'!$S$2:$S$317,$A17,'Данные 1st'!$GZ$2:$GZ$317),"")</f>
        <v/>
      </c>
      <c r="CZ17" s="7">
        <f>IFERROR(AVERAGEIF('Данные 1st'!$S$2:$S$317,$A17,'Данные 1st'!$HA$2:$HA$317),"")</f>
        <v/>
      </c>
      <c r="DA17" s="7">
        <f>IFERROR(AVERAGEIF('Данные 1st'!$S$2:$S$317,$A17,'Данные 1st'!$HB$2:$HB$317),"")</f>
        <v/>
      </c>
      <c r="DB17" s="7">
        <f>IFERROR(AVERAGEIF('Данные 1st'!$S$2:$S$317,$A17,'Данные 1st'!$HC$2:$HC$317),"")</f>
        <v>0.1</v>
      </c>
      <c r="DC17" s="7">
        <f>IFERROR(AVERAGEIF('Данные 1st'!$S$2:$S$317,$A17,'Данные 1st'!$HD$2:$HD$317),"")</f>
        <v>3</v>
      </c>
      <c r="DD17" s="7">
        <f>IFERROR(AVERAGEIF('Данные 1st'!$S$2:$S$317,$A17,'Данные 1st'!$HE$2:$HE$317),"")</f>
        <v>3</v>
      </c>
      <c r="DE17" s="7">
        <f>IFERROR(AVERAGEIF('Данные 1st'!$S$2:$S$317,$A17,'Данные 1st'!$HF$2:$HF$317),"")</f>
        <v>3</v>
      </c>
      <c r="DF17" s="7">
        <f>IFERROR(AVERAGEIF('Данные 1st'!$S$2:$S$317,$A17,'Данные 1st'!$HG$2:$HG$317),"")</f>
        <v>3</v>
      </c>
      <c r="DG17" s="7">
        <f>IFERROR(AVERAGEIF('Данные 1st'!$S$2:$S$317,$A17,'Данные 1st'!$HH$2:$HH$317),"")</f>
        <v>3</v>
      </c>
      <c r="DH17" s="7">
        <f>IFERROR(AVERAGEIF('Данные 1st'!$S$2:$S$317,$A17,'Данные 1st'!$HI$2:$HI$317),"")</f>
        <v>149</v>
      </c>
      <c r="DI17" s="7">
        <f>IFERROR(AVERAGEIF('Данные 1st'!$S$2:$S$317,$A17,'Данные 1st'!$HJ$2:$HJ$317),"")</f>
        <v>3</v>
      </c>
      <c r="DJ17" s="7">
        <f>IFERROR(AVERAGEIF('Данные 1st'!$S$2:$S$317,$A17,'Данные 1st'!$HK$2:$HK$317),"")</f>
        <v>50</v>
      </c>
      <c r="DK17" s="7">
        <f>IFERROR(AVERAGEIF('Данные 1st'!$S$2:$S$317,$A17,'Данные 1st'!$HL$2:$HL$317),"")</f>
        <v>2</v>
      </c>
      <c r="DL17" s="7">
        <f>IFERROR(AVERAGEIF('Данные 1st'!$S$2:$S$317,$A17,'Данные 1st'!$HM$2:$HM$317),"")</f>
        <v>0</v>
      </c>
      <c r="DM17" s="7">
        <f>IFERROR(AVERAGEIF('Данные 1st'!$S$2:$S$317,$A17,'Данные 1st'!$HN$2:$HN$317),"")</f>
        <v>2</v>
      </c>
      <c r="DN17" s="7">
        <f>IFERROR(AVERAGEIF('Данные 1st'!$S$2:$S$317,$A17,'Данные 1st'!$HO$2:$HO$317),"")</f>
        <v>84</v>
      </c>
      <c r="DO17" s="7">
        <f>IFERROR(AVERAGEIF('Данные 1st'!$S$2:$S$317,$A17,'Данные 1st'!$HP$2:$HP$317),"")</f>
        <v>3</v>
      </c>
      <c r="DP17" s="7">
        <f>IFERROR(AVERAGEIF('Данные 1st'!$S$2:$S$317,$A17,'Данные 1st'!$HQ$2:$HQ$317),"")</f>
        <v>0</v>
      </c>
      <c r="DQ17" s="7">
        <f>IFERROR(AVERAGEIF('Данные 1st'!$S$2:$S$317,$A17,'Данные 1st'!$HR$2:$HR$317),"")</f>
        <v>2</v>
      </c>
      <c r="DR17" s="7">
        <f>IFERROR(AVERAGEIF('Данные 1st'!$S$2:$S$317,$A17,'Данные 1st'!$HS$2:$HS$317),"")</f>
        <v>3948.8</v>
      </c>
      <c r="DS17" s="7">
        <f>IFERROR(AVERAGEIF('Данные 1st'!$S$2:$S$317,$A17,'Данные 1st'!$HT$2:$HT$317),"")</f>
        <v>120</v>
      </c>
      <c r="DT17" s="7">
        <f>IFERROR(AVERAGEIF('Данные 1st'!$S$2:$S$317,$A17,'Данные 1st'!$HU$2:$HU$317),"")</f>
        <v>180</v>
      </c>
      <c r="DU17" s="7">
        <f>IFERROR(AVERAGEIF('Данные 1st'!$S$2:$S$317,$A17,'Данные 1st'!$HW$2:$HW$317),"")</f>
        <v>16</v>
      </c>
      <c r="DV17" s="7">
        <f>IFERROR(AVERAGEIF('Данные 1st'!$S$2:$S$317,$A17,'Данные 1st'!$HX$2:$HX$317),"")</f>
        <v>459.4</v>
      </c>
      <c r="DW17" s="7">
        <f>IFERROR(AVERAGEIF('Данные 1st'!$S$2:$S$317,$A17,'Данные 1st'!$HY$2:$HY$317),"")</f>
        <v>0.18</v>
      </c>
      <c r="DX17" s="7">
        <f>IFERROR(AVERAGEIF('Данные 1st'!$S$2:$S$317,$A17,'Данные 1st'!$IA$2:$IA$317),"")</f>
        <v>0.15</v>
      </c>
      <c r="DY17" s="7">
        <f>IFERROR(AVERAGEIF('Данные 1st'!$S$2:$S$317,$A17,'Данные 1st'!$IB$2:$IB$317),"")</f>
        <v>0</v>
      </c>
      <c r="DZ17" s="7">
        <f>IFERROR(AVERAGEIF('Данные 1st'!$S$2:$S$317,$A17,'Данные 1st'!$IC$2:$IC$317),"")</f>
        <v>180</v>
      </c>
      <c r="EA17" s="7">
        <f>IFERROR(AVERAGEIF('Данные 1st'!$S$2:$S$317,$A17,'Данные 1st'!$ID$2:$ID$317),"")</f>
        <v>110</v>
      </c>
      <c r="EB17" s="7">
        <f>IFERROR(AVERAGEIF('Данные 1st'!$S$2:$S$317,$A17,'Данные 1st'!$IE$2:$IE$317),"")</f>
        <v>0</v>
      </c>
      <c r="EC17" s="7">
        <f>IFERROR(AVERAGEIF('Данные 1st'!$S$2:$S$317,$A17,'Данные 1st'!$IF$2:$IF$317),"")</f>
        <v>0</v>
      </c>
      <c r="ED17" s="7">
        <f>IFERROR(AVERAGEIF('Данные 1st'!$S$2:$S$317,$A17,'Данные 1st'!$IP$2:$IP$317),"")</f>
        <v>16</v>
      </c>
      <c r="EE17" s="7">
        <f>IFERROR(AVERAGEIF('Данные 1st'!$S$2:$S$317,$A17,'Данные 1st'!$IV$2:$IV$317),"")</f>
        <v>1200</v>
      </c>
      <c r="EF17" s="7">
        <f>IFERROR(AVERAGEIF('Данные 1st'!$S$2:$S$317,$A17,'Данные 1st'!$IW$2:$IW$317),"")</f>
        <v>400</v>
      </c>
      <c r="EG17" s="7">
        <f>IFERROR(AVERAGEIF('Данные 1st'!$S$2:$S$317,$A17,'Данные 1st'!$IX$2:$IX$317),"")</f>
        <v/>
      </c>
      <c r="EH17" s="7">
        <f>IFERROR(AVERAGEIF('Данные 1st'!$S$2:$S$317,$A17,'Данные 1st'!$IY$2:$IY$317),"")</f>
        <v/>
      </c>
      <c r="EI17" s="7">
        <f>IFERROR(AVERAGEIF('Данные 1st'!$S$2:$S$317,$A17,'Данные 1st'!$JD$2:$JD$317),"")</f>
        <v>1214</v>
      </c>
      <c r="EJ17" s="7">
        <f>IFERROR(AVERAGEIF('Данные 1st'!$S$2:$S$317,$A17,'Данные 1st'!$JE$2:$JE$317),"")</f>
        <v>1211.2</v>
      </c>
      <c r="EK17" s="7">
        <f>IFERROR(AVERAGEIF('Данные 1st'!$S$2:$S$317,$A17,'Данные 1st'!$JF$2:$JF$317),"")</f>
        <v>0</v>
      </c>
      <c r="EL17" s="7">
        <f>IFERROR(AVERAGEIF('Данные 1st'!$S$2:$S$317,$A17,'Данные 1st'!$JG$2:$JG$317),"")</f>
        <v>1196</v>
      </c>
      <c r="EM17" s="7">
        <f>IFERROR(AVERAGEIF('Данные 1st'!$S$2:$S$317,$A17,'Данные 1st'!$JH$2:$JH$317),"")</f>
        <v>0</v>
      </c>
      <c r="EN17" s="7">
        <f>IFERROR(AVERAGEIF('Данные 1st'!$S$2:$S$317,$A17,'Данные 1st'!$JJ$2:$JJ$317),"")</f>
        <v>180</v>
      </c>
      <c r="EO17" s="7">
        <f>IFERROR(AVERAGEIF('Данные 1st'!$S$2:$S$317,$A17,'Данные 1st'!$JK$2:$JK$317),"")</f>
        <v>459.4</v>
      </c>
      <c r="EP17" s="7">
        <f>IFERROR(AVERAGEIF('Данные 1st'!$S$2:$S$317,$A17,'Данные 1st'!$JL$2:$JL$317),"")</f>
        <v/>
      </c>
      <c r="EQ17" s="7">
        <f>IFERROR(AVERAGEIF('Данные 1st'!$S$2:$S$317,$A17,'Данные 1st'!$JM$2:$JM$317),"")</f>
        <v/>
      </c>
      <c r="ER17" s="7">
        <f>IFERROR(AVERAGEIF('Данные 1st'!$S$2:$S$317,$A17,'Данные 1st'!$JN$2:$JN$317),"")</f>
        <v>374</v>
      </c>
      <c r="ES17" s="7">
        <f>IFERROR(AVERAGEIF('Данные 1st'!$S$2:$S$317,$A17,'Данные 1st'!$JO$2:$JO$317),"")</f>
        <v>652</v>
      </c>
      <c r="ET17" s="7">
        <f>IFERROR(AVERAGEIF('Данные 1st'!$S$2:$S$317,$A17,'Данные 1st'!$JP$2:$JP$317),"")</f>
        <v>0</v>
      </c>
      <c r="EU17" s="7">
        <f>IFERROR(AVERAGEIF('Данные 1st'!$S$2:$S$317,$A17,'Данные 1st'!$JQ$2:$JQ$317),"")</f>
        <v>0</v>
      </c>
      <c r="EV17" s="7">
        <f>IFERROR(AVERAGEIF('Данные 1st'!$S$2:$S$317,$A17,'Данные 1st'!$JR$2:$JR$317),"")</f>
        <v>364.4</v>
      </c>
      <c r="EW17" s="7">
        <f>IFERROR(AVERAGEIF('Данные 1st'!$S$2:$S$317,$A17,'Данные 1st'!$JS$2:$JS$317),"")</f>
        <v>149</v>
      </c>
      <c r="EX17" s="7">
        <f>IFERROR(AVERAGEIF('Данные 1st'!$S$2:$S$317,$A17,'Данные 1st'!$JT$2:$JT$317),"")</f>
        <v/>
      </c>
      <c r="EY17" s="7">
        <f>IFERROR(AVERAGEIF('Данные 1st'!$S$2:$S$317,$A17,'Данные 1st'!$JU$2:$JU$317),"")</f>
        <v/>
      </c>
      <c r="EZ17" s="7">
        <f>IFERROR(AVERAGEIF('Данные 1st'!$S$2:$S$317,$A17,'Данные 1st'!$JV$2:$JV$317),"")</f>
        <v>8</v>
      </c>
      <c r="FA17" s="7">
        <f>IFERROR(AVERAGEIF('Данные 1st'!$S$2:$S$317,$A17,'Данные 1st'!$JW$2:$JW$317),"")</f>
        <v/>
      </c>
      <c r="FB17" s="7">
        <f>IFERROR(AVERAGEIF('Данные 1st'!$S$2:$S$317,$A17,'Данные 1st'!$JX$2:$JX$317),"")</f>
        <v>88.8</v>
      </c>
      <c r="FC17" s="7">
        <f>IFERROR(AVERAGEIF('Данные 1st'!$S$2:$S$317,$A17,'Данные 1st'!$JY$2:$JY$317),"")</f>
        <v/>
      </c>
      <c r="FD17" s="7">
        <f>IFERROR(AVERAGEIF('Данные 1st'!$S$2:$S$317,$A17,'Данные 1st'!$JZ$2:$JZ$317),"")</f>
        <v/>
      </c>
      <c r="FE17" s="7">
        <f>IFERROR(AVERAGEIF('Данные 1st'!$S$2:$S$317,$A17,'Данные 1st'!$KA$2:$KA$317),"")</f>
        <v>0</v>
      </c>
      <c r="FF17" s="7">
        <f>IFERROR(AVERAGEIF('Данные 1st'!$S$2:$S$317,$A17,'Данные 1st'!$KB$2:$KB$317),"")</f>
        <v>110</v>
      </c>
      <c r="FG17" s="7">
        <f>IFERROR(AVERAGEIF('Данные 1st'!$S$2:$S$317,$A17,'Данные 1st'!$KC$2:$KC$317),"")</f>
        <v>0</v>
      </c>
      <c r="FH17" s="7">
        <f>IFERROR(AVERAGEIF('Данные 1st'!$S$2:$S$317,$A17,'Данные 1st'!$KD$2:$KD$317),"")</f>
        <v>80</v>
      </c>
      <c r="FI17" s="7">
        <f>IFERROR(AVERAGEIF('Данные 1st'!$S$2:$S$317,$A17,'Данные 1st'!$KE$2:$KE$317),"")</f>
        <v/>
      </c>
      <c r="FJ17" s="7">
        <f>IFERROR(AVERAGEIF('Данные 1st'!$S$2:$S$317,$A17,'Данные 1st'!$KF$2:$KF$317),"")</f>
        <v>4</v>
      </c>
      <c r="FK17" s="7">
        <f>IFERROR(AVERAGEIF('Данные 1st'!$S$2:$S$317,$A17,'Данные 1st'!$KG$2:$KG$317),"")</f>
        <v>2.4</v>
      </c>
      <c r="FL17" s="7">
        <f>IFERROR(AVERAGEIF('Данные 1st'!$S$2:$S$317,$A17,'Данные 1st'!$KH$2:$KH$317),"")</f>
        <v>2</v>
      </c>
      <c r="FM17" s="7">
        <f>IFERROR(AVERAGEIF('Данные 1st'!$S$2:$S$317,$A17,'Данные 1st'!$KI$2:$KI$317),"")</f>
        <v>2</v>
      </c>
      <c r="FN17" s="7">
        <f>IFERROR(AVERAGEIF('Данные 1st'!$S$2:$S$317,$A17,'Данные 1st'!$KJ$2:$KJ$317),"")</f>
        <v>0</v>
      </c>
      <c r="FO17" s="7">
        <f>IFERROR(AVERAGEIF('Данные 1st'!$S$2:$S$317,$A17,'Данные 1st'!$KK$2:$KK$317),"")</f>
        <v>1.5</v>
      </c>
      <c r="FP17" s="7">
        <f>IFERROR(AVERAGEIF('Данные 1st'!$S$2:$S$317,$A17,'Данные 1st'!$KL$2:$KL$317),"")</f>
        <v>1.5</v>
      </c>
      <c r="FQ17" s="7">
        <f>IFERROR(AVERAGEIF('Данные 1st'!$S$2:$S$317,$A17,'Данные 1st'!$KM$2:$KM$317),"")</f>
        <v>0</v>
      </c>
      <c r="FR17" s="7">
        <f>IFERROR(AVERAGEIF('Данные 1st'!$S$2:$S$317,$A17,'Данные 1st'!$KN$2:$KN$317),"")</f>
        <v>0</v>
      </c>
      <c r="FS17" s="7">
        <f>IFERROR(AVERAGEIF('Данные 1st'!$S$2:$S$317,$A17,'Данные 1st'!$KR$2:$KR$317),"")</f>
        <v>28</v>
      </c>
      <c r="FT17" s="7">
        <f>IFERROR(AVERAGEIF('Данные 1st'!$S$2:$S$317,$A17,'Данные 1st'!$KS$2:$KS$317),"")</f>
        <v>54</v>
      </c>
      <c r="FU17" s="7">
        <f>IFERROR(AVERAGEIF('Данные 1st'!$S$2:$S$317,$A17,'Данные 1st'!$KT$2:$KT$317),"")</f>
        <v>0</v>
      </c>
      <c r="FV17" s="7">
        <f>IFERROR(AVERAGEIF('Данные 1st'!$S$2:$S$317,$A17,'Данные 1st'!$KV$2:$KV$317),"")</f>
        <v/>
      </c>
      <c r="FW17" s="7">
        <f>IFERROR(AVERAGEIF('Данные 1st'!$S$2:$S$317,$A17,'Данные 1st'!$KW$2:$KW$317),"")</f>
        <v/>
      </c>
      <c r="FX17" s="7">
        <f>IFERROR(AVERAGEIF('Данные 1st'!$S$2:$S$317,$A17,'Данные 1st'!$KX$2:$KX$317),"")</f>
        <v/>
      </c>
      <c r="FY17" s="7">
        <f>IFERROR(AVERAGEIF('Данные 1st'!$S$2:$S$317,$A17,'Данные 1st'!$KY$2:$KY$317),"")</f>
        <v/>
      </c>
      <c r="FZ17" s="7">
        <f>IFERROR(AVERAGEIF('Данные 1st'!$S$2:$S$317,$A17,'Данные 1st'!$KZ$2:$KZ$317),"")</f>
        <v/>
      </c>
      <c r="GA17" s="7">
        <f>IFERROR(AVERAGEIF('Данные 1st'!$S$2:$S$317,$A17,'Данные 1st'!$LA$2:$LA$317),"")</f>
        <v/>
      </c>
      <c r="GB17" s="7">
        <f>IFERROR(AVERAGEIF('Данные 1st'!$S$2:$S$317,$A17,'Данные 1st'!$LB$2:$LB$317),"")</f>
        <v/>
      </c>
      <c r="GC17" s="7">
        <f>IFERROR(AVERAGEIF('Данные 1st'!$S$2:$S$317,$A17,'Данные 1st'!$LC$2:$LC$317),"")</f>
        <v/>
      </c>
      <c r="GD17" s="7">
        <f>IFERROR(AVERAGEIF('Данные 1st'!$S$2:$S$317,$A17,'Данные 1st'!$LD$2:$LD$317),"")</f>
        <v/>
      </c>
      <c r="GE17" s="7">
        <f>IFERROR(AVERAGEIF('Данные 1st'!$S$2:$S$317,$A17,'Данные 1st'!$LE$2:$LE$317),"")</f>
        <v/>
      </c>
      <c r="GF17" s="7">
        <f>IFERROR(AVERAGEIF('Данные 1st'!$S$2:$S$317,$A17,'Данные 1st'!$LF$2:$LF$317),"")</f>
        <v/>
      </c>
      <c r="GG17" s="7">
        <f>IFERROR(AVERAGEIF('Данные 1st'!$S$2:$S$317,$A17,'Данные 1st'!$LG$2:$LG$317),"")</f>
        <v/>
      </c>
      <c r="GH17" s="7">
        <f>IFERROR(AVERAGEIF('Данные 1st'!$S$2:$S$317,$A17,'Данные 1st'!$LH$2:$LH$317),"")</f>
        <v/>
      </c>
      <c r="GI17" s="7">
        <f>IFERROR(AVERAGEIF('Данные 1st'!$S$2:$S$317,$A17,'Данные 1st'!$LI$2:$LI$317),"")</f>
        <v/>
      </c>
      <c r="GJ17" s="7">
        <f>IFERROR(AVERAGEIF('Данные 1st'!$S$2:$S$317,$A17,'Данные 1st'!$LJ$2:$LJ$317),"")</f>
        <v/>
      </c>
      <c r="GK17" s="7">
        <f>IFERROR(AVERAGEIF('Данные 1st'!$S$2:$S$317,$A17,'Данные 1st'!$LK$2:$LK$317),"")</f>
        <v>480</v>
      </c>
      <c r="GL17" s="7">
        <f>IFERROR(AVERAGEIF('Данные 1st'!$S$2:$S$317,$A17,'Данные 1st'!$LV$2:$LV$317),"")</f>
        <v/>
      </c>
      <c r="GM17" s="7">
        <f>IFERROR(AVERAGEIF('Данные 1st'!$S$2:$S$317,$A17,'Данные 1st'!$LW$2:$LW$317),"")</f>
        <v/>
      </c>
      <c r="GN17" s="7">
        <f>IFERROR(AVERAGEIF('Данные 1st'!$S$2:$S$317,$A17,'Данные 1st'!$LX$2:$LX$317),"")</f>
        <v/>
      </c>
      <c r="GO17" s="7">
        <f>IFERROR(AVERAGEIF('Данные 1st'!$S$2:$S$317,$A17,'Данные 1st'!$LY$2:$LY$317),"")</f>
        <v/>
      </c>
      <c r="GP17" s="7">
        <f>IFERROR(AVERAGEIF('Данные 1st'!$S$2:$S$317,$A17,'Данные 1st'!$LZ$2:$LZ$317),"")</f>
        <v/>
      </c>
      <c r="GQ17" s="7">
        <f>IFERROR(AVERAGEIF('Данные 1st'!$S$2:$S$317,$A17,'Данные 1st'!$PG$2:$PG$317),"")</f>
        <v>1</v>
      </c>
      <c r="GR17" s="7">
        <f>IFERROR(AVERAGEIF('Данные 1st'!$S$2:$S$317,$A17,'Данные 1st'!$PX$2:$PX$317),"")</f>
        <v>56</v>
      </c>
      <c r="GS17" s="7">
        <f>IFERROR(AVERAGEIF('Данные 1st'!$S$2:$S$317,$A17,'Данные 1st'!$PY$2:$PY$317),"")</f>
        <v>56.8</v>
      </c>
      <c r="GT17" s="7">
        <f>IFERROR(AVERAGEIF('Данные 1st'!$S$2:$S$317,$A17,'Данные 1st'!$QA$2:$QA$317),"")</f>
        <v>1.2</v>
      </c>
      <c r="GU17" s="7">
        <f>IFERROR(AVERAGEIF('Данные 1st'!$S$2:$S$317,$A17,'Данные 1st'!$QB$2:$QB$317),"")</f>
        <v>1196</v>
      </c>
      <c r="GV17" s="7">
        <f>IFERROR(AVERAGEIF('Данные 1st'!$S$2:$S$317,$A17,'Данные 1st'!$QC$2:$QC$317),"")</f>
        <v>69</v>
      </c>
      <c r="GW17" s="7">
        <f>IFERROR(AVERAGEIF('Данные 1st'!$S$2:$S$317,$A17,'Данные 1st'!$QD$2:$QD$317),"")</f>
        <v>69</v>
      </c>
      <c r="GX17" s="7">
        <f>IFERROR(AVERAGEIF('Данные 1st'!$S$2:$S$317,$A17,'Данные 1st'!$QF$2:$QF$317),"")</f>
        <v>1.2</v>
      </c>
      <c r="GY17" s="7">
        <f>IFERROR(AVERAGEIF('Данные 1st'!$S$2:$S$317,$A17,'Данные 1st'!$QG$2:$QG$317),"")</f>
        <v>1214</v>
      </c>
      <c r="GZ17" s="7">
        <f>IFERROR(AVERAGEIF('Данные 1st'!$S$2:$S$317,$A17,'Данные 1st'!$QH$2:$QH$317),"")</f>
        <v>66</v>
      </c>
      <c r="HA17" s="7">
        <f>IFERROR(AVERAGEIF('Данные 1st'!$S$2:$S$317,$A17,'Данные 1st'!$QI$2:$QI$317),"")</f>
        <v>66</v>
      </c>
      <c r="HB17" s="7">
        <f>IFERROR(AVERAGEIF('Данные 1st'!$S$2:$S$317,$A17,'Данные 1st'!$QK$2:$QK$317),"")</f>
        <v>1</v>
      </c>
      <c r="HC17" s="7">
        <f>IFERROR(AVERAGEIF('Данные 1st'!$S$2:$S$317,$A17,'Данные 1st'!$QL$2:$QL$317),"")</f>
        <v>243.6</v>
      </c>
      <c r="HD17" s="7">
        <f>IFERROR(AVERAGEIF('Данные 1st'!$S$2:$S$317,$A17,'Данные 1st'!$QM$2:$QM$317),"")</f>
        <v>62</v>
      </c>
      <c r="HE17" s="7">
        <f>IFERROR(AVERAGEIF('Данные 1st'!$S$2:$S$317,$A17,'Данные 1st'!$QN$2:$QN$317),"")</f>
        <v>62</v>
      </c>
      <c r="HF17" s="7">
        <f>IFERROR(AVERAGEIF('Данные 1st'!$S$2:$S$317,$A17,'Данные 1st'!$QP$2:$QP$317),"")</f>
        <v>1</v>
      </c>
      <c r="HG17" s="7">
        <f>IFERROR(AVERAGEIF('Данные 1st'!$S$2:$S$317,$A17,'Данные 1st'!$QQ$2:$QQ$317),"")</f>
        <v>1211.2</v>
      </c>
      <c r="HH17" s="7">
        <f>IFERROR(AVERAGEIF('Данные 1st'!$S$2:$S$317,$A17,'Данные 1st'!$QR$2:$QR$317),"")</f>
        <v/>
      </c>
      <c r="HI17" s="7">
        <f>IFERROR(AVERAGEIF('Данные 1st'!$S$2:$S$317,$A17,'Данные 1st'!$QS$2:$QS$317),"")</f>
        <v/>
      </c>
      <c r="HJ17" s="7">
        <f>IFERROR(AVERAGEIF('Данные 1st'!$S$2:$S$317,$A17,'Данные 1st'!$QU$2:$QU$317),"")</f>
        <v/>
      </c>
      <c r="HK17" s="7">
        <f>IFERROR(AVERAGEIF('Данные 1st'!$S$2:$S$317,$A17,'Данные 1st'!$QV$2:$QV$317),"")</f>
        <v/>
      </c>
      <c r="HL17" s="7">
        <f>IFERROR(AVERAGEIF('Данные 1st'!$S$2:$S$317,$A17,'Данные 1st'!$QW$2:$QW$317),"")</f>
        <v>82</v>
      </c>
      <c r="HM17" s="7">
        <f>IFERROR(AVERAGEIF('Данные 1st'!$S$2:$S$317,$A17,'Данные 1st'!$QX$2:$QX$317),"")</f>
        <v>87.4</v>
      </c>
      <c r="HN17" s="7">
        <f>IFERROR(AVERAGEIF('Данные 1st'!$S$2:$S$317,$A17,'Данные 1st'!$QZ$2:$QZ$317),"")</f>
        <v>1</v>
      </c>
      <c r="HO17" s="7">
        <f>IFERROR(AVERAGEIF('Данные 1st'!$S$2:$S$317,$A17,'Данные 1st'!$RA$2:$RA$317),"")</f>
        <v>66</v>
      </c>
      <c r="HP17" s="7">
        <f>IFERROR(AVERAGEIF('Данные 1st'!$S$2:$S$317,$A17,'Данные 1st'!$RB$2:$RB$317),"")</f>
        <v>66</v>
      </c>
      <c r="HQ17" s="7">
        <f>IFERROR(AVERAGEIF('Данные 1st'!$S$2:$S$317,$A17,'Данные 1st'!$RD$2:$RD$317),"")</f>
        <v/>
      </c>
      <c r="HR17" s="7">
        <f>IFERROR(AVERAGEIF('Данные 1st'!$S$2:$S$317,$A17,'Данные 1st'!$RE$2:$RE$317),"")</f>
        <v>0</v>
      </c>
      <c r="HS17" s="7">
        <f>IFERROR(AVERAGEIF('Данные 1st'!$S$2:$S$317,$A17,'Данные 1st'!$RF$2:$RF$317),"")</f>
        <v>1</v>
      </c>
      <c r="HT17" s="7">
        <f>IFERROR(AVERAGEIF('Данные 1st'!$S$2:$S$317,$A17,'Данные 1st'!$RG$2:$RG$317),"")</f>
        <v/>
      </c>
      <c r="HU17" s="7">
        <f>IFERROR(AVERAGEIF('Данные 1st'!$S$2:$S$317,$A17,'Данные 1st'!$RH$2:$RH$317),"")</f>
        <v/>
      </c>
      <c r="HV17" s="7">
        <f>IFERROR(AVERAGEIF('Данные 1st'!$S$2:$S$317,$A17,'Данные 1st'!$RI$2:$RI$317),"")</f>
        <v/>
      </c>
      <c r="HW17" s="7">
        <f>IFERROR(AVERAGEIF('Данные 1st'!$S$2:$S$317,$A17,'Данные 1st'!$RJ$2:$RJ$317),"")</f>
        <v>1.2</v>
      </c>
      <c r="HX17" s="7">
        <f>IFERROR(AVERAGEIF('Данные 1st'!$S$2:$S$317,$A17,'Данные 1st'!$RK$2:$RK$317),"")</f>
        <v>2</v>
      </c>
      <c r="HY17" s="7">
        <f>IFERROR(AVERAGEIF('Данные 1st'!$S$2:$S$317,$A17,'Данные 1st'!$RL$2:$RL$317),"")</f>
        <v>3</v>
      </c>
      <c r="HZ17" s="7">
        <f>IFERROR(AVERAGEIF('Данные 1st'!$S$2:$S$317,$A17,'Данные 1st'!$RM$2:$RM$317),"")</f>
        <v/>
      </c>
      <c r="IA17" s="7">
        <f>IFERROR(AVERAGEIF('Данные 1st'!$S$2:$S$317,$A17,'Данные 1st'!$RN$2:$RN$317),"")</f>
        <v/>
      </c>
      <c r="IB17" s="7">
        <f>IFERROR(AVERAGEIF('Данные 1st'!$S$2:$S$317,$A17,'Данные 1st'!$RO$2:$RO$317),"")</f>
        <v>538.4</v>
      </c>
      <c r="IC17" s="7">
        <f>IFERROR(AVERAGEIF('Данные 1st'!$S$2:$S$317,$A17,'Данные 1st'!$RP$2:$RP$317),"")</f>
        <v>105</v>
      </c>
      <c r="ID17" s="7">
        <f>IFERROR(AVERAGEIF('Данные 1st'!$S$2:$S$317,$A17,'Данные 1st'!$RQ$2:$RQ$317),"")</f>
        <v>857.6</v>
      </c>
      <c r="IE17" s="7">
        <f>IFERROR(AVERAGEIF('Данные 1st'!$S$2:$S$317,$A17,'Данные 1st'!$RR$2:$RR$317),"")</f>
        <v/>
      </c>
      <c r="IF17" s="7">
        <f>IFERROR(AVERAGEIF('Данные 1st'!$S$2:$S$317,$A17,'Данные 1st'!$RS$2:$RS$317),"")</f>
        <v/>
      </c>
      <c r="IG17" s="7">
        <f>IFERROR(AVERAGEIF('Данные 1st'!$S$2:$S$317,$A17,'Данные 1st'!$RT$2:$RT$317),"")</f>
        <v>203.4</v>
      </c>
      <c r="IH17" s="7">
        <f>IFERROR(AVERAGEIF('Данные 1st'!$S$2:$S$317,$A17,'Данные 1st'!$RU$2:$RU$317),"")</f>
        <v>204.4</v>
      </c>
      <c r="II17" s="7">
        <f>IFERROR(AVERAGEIF('Данные 1st'!$S$2:$S$317,$A17,'Данные 1st'!$RX$2:$RX$317),"")</f>
        <v>15</v>
      </c>
      <c r="IJ17" s="7">
        <f>IFERROR(AVERAGEIF('Данные 1st'!$S$2:$S$317,$A17,'Данные 1st'!$RY$2:$RY$317),"")</f>
        <v>4</v>
      </c>
      <c r="IK17" s="7">
        <f>IFERROR(AVERAGEIF('Данные 1st'!$S$2:$S$317,$A17,'Данные 1st'!$SA$2:$SA$317),"")</f>
        <v>15</v>
      </c>
      <c r="IL17" s="7">
        <f>IFERROR(AVERAGEIF('Данные 1st'!$S$2:$S$317,$A17,'Данные 1st'!$SD$2:$SD$317),"")</f>
        <v>1</v>
      </c>
      <c r="IM17" s="7">
        <f>IFERROR(AVERAGEIF('Данные 1st'!$S$2:$S$317,$A17,'Данные 1st'!$SG$2:$SG$317),"")</f>
        <v/>
      </c>
      <c r="IN17" s="7">
        <f>IFERROR(AVERAGEIF('Данные 1st'!$S$2:$S$317,$A17,'Данные 1st'!$SH$2:$SH$317),"")</f>
        <v>0.995</v>
      </c>
      <c r="IO17" s="7">
        <f>IFERROR(AVERAGEIF('Данные 1st'!$S$2:$S$317,$A17,'Данные 1st'!$SI$2:$SI$317),"")</f>
        <v>0.995</v>
      </c>
      <c r="IP17" s="7">
        <f>IFERROR(AVERAGEIF('Данные 1st'!$S$2:$S$317,$A17,'Данные 1st'!$SJ$2:$SJ$317),"")</f>
        <v>0.995</v>
      </c>
      <c r="IQ17" s="7">
        <f>IFERROR(AVERAGEIF('Данные 1st'!$S$2:$S$317,$A17,'Данные 1st'!$SK$2:$SK$317),"")</f>
        <v>15</v>
      </c>
      <c r="IR17" s="7">
        <f>IFERROR(AVERAGEIF('Данные 1st'!$S$2:$S$317,$A17,'Данные 1st'!$SL$2:$SL$317),"")</f>
        <v>0</v>
      </c>
      <c r="IS17" s="7">
        <f>IFERROR(AVERAGEIF('Данные 1st'!$S$2:$S$317,$A17,'Данные 1st'!$SM$2:$SM$317),"")</f>
        <v>0</v>
      </c>
      <c r="IT17" s="7">
        <f>IFERROR(AVERAGEIF('Данные 1st'!$S$2:$S$317,$A17,'Данные 1st'!$SN$2:$SN$317),"")</f>
        <v>0</v>
      </c>
      <c r="IU17" s="7">
        <f>IFERROR(AVERAGEIF('Данные 1st'!$S$2:$S$317,$A17,'Данные 1st'!$SO$2:$SO$317),"")</f>
        <v>0</v>
      </c>
      <c r="IV17" s="7">
        <f>IFERROR(AVERAGEIF('Данные 1st'!$S$2:$S$317,$A17,'Данные 1st'!$SP$2:$SP$317),"")</f>
        <v>0</v>
      </c>
      <c r="IW17" s="7">
        <f>IFERROR(AVERAGEIF('Данные 1st'!$S$2:$S$317,$A17,'Данные 1st'!$SQ$2:$SQ$317),"")</f>
        <v>0</v>
      </c>
      <c r="IX17" s="7">
        <f>IFERROR(AVERAGEIF('Данные 1st'!$S$2:$S$317,$A17,'Данные 1st'!$SR$2:$SR$317),"")</f>
        <v>0</v>
      </c>
      <c r="IY17" s="7">
        <f>IFERROR(AVERAGEIF('Данные 1st'!$S$2:$S$317,$A17,'Данные 1st'!$SS$2:$SS$317),"")</f>
        <v>0</v>
      </c>
      <c r="IZ17" s="7">
        <f>IFERROR(AVERAGEIF('Данные 1st'!$S$2:$S$317,$A17,'Данные 1st'!$ST$2:$ST$317),"")</f>
        <v>0</v>
      </c>
      <c r="JA17" s="7">
        <f>IFERROR(AVERAGEIF('Данные 1st'!$S$2:$S$317,$A17,'Данные 1st'!$SU$2:$SU$317),"")</f>
        <v>0</v>
      </c>
      <c r="JB17" s="7">
        <f>IFERROR(AVERAGEIF('Данные 1st'!$S$2:$S$317,$A17,'Данные 1st'!$SV$2:$SV$317),"")</f>
        <v>0</v>
      </c>
      <c r="JC17" s="7">
        <f>IFERROR(AVERAGEIF('Данные 1st'!$S$2:$S$317,$A17,'Данные 1st'!$SW$2:$SW$317),"")</f>
        <v>0</v>
      </c>
      <c r="JD17" s="7">
        <f>IFERROR(AVERAGEIF('Данные 1st'!$S$2:$S$317,$A17,'Данные 1st'!$SX$2:$SX$317),"")</f>
        <v>0</v>
      </c>
      <c r="JE17" s="7">
        <f>IFERROR(AVERAGEIF('Данные 1st'!$S$2:$S$317,$A17,'Данные 1st'!$SY$2:$SY$317),"")</f>
        <v>1</v>
      </c>
      <c r="JF17" s="7">
        <f>IFERROR(AVERAGEIF('Данные 1st'!$S$2:$S$317,$A17,'Данные 1st'!$SZ$2:$SZ$317),"")</f>
        <v/>
      </c>
      <c r="JG17" s="7">
        <f>IFERROR(AVERAGEIF('Данные 1st'!$S$2:$S$317,$A17,'Данные 1st'!$TA$2:$TA$317),"")</f>
        <v/>
      </c>
      <c r="JH17" s="7">
        <f>IFERROR(AVERAGEIF('Данные 1st'!$S$2:$S$317,$A17,'Данные 1st'!$TB$2:$TB$317),"")</f>
        <v>0.4</v>
      </c>
      <c r="JI17" s="7">
        <f>IFERROR(AVERAGEIF('Данные 1st'!$S$2:$S$317,$A17,'Данные 1st'!$TC$2:$TC$317),"")</f>
        <v>0</v>
      </c>
      <c r="JJ17" s="7">
        <f>IFERROR(AVERAGEIF('Данные 1st'!$S$2:$S$317,$A17,'Данные 1st'!$TD$2:$TD$317),"")</f>
        <v>7.5</v>
      </c>
      <c r="JK17" s="7">
        <f>IFERROR(AVERAGEIF('Данные 1st'!$S$2:$S$317,$A17,'Данные 1st'!$TN$2:$TN$317),"")</f>
        <v>0</v>
      </c>
      <c r="JL17">
        <f>COUNTIF('Данные 2st'!$Q$2:$Q$317,$A17)</f>
        <v>5</v>
      </c>
      <c r="JM17" s="6" t="s">
        <v>5082</v>
      </c>
      <c r="JN17" s="6" t="s">
        <v>513</v>
      </c>
      <c r="JO17" s="6" t="s">
        <v>5125</v>
      </c>
      <c r="JP17" s="6" t="s">
        <v>5474</v>
      </c>
      <c r="JQ17" s="7">
        <f>IFERROR(AVERAGEIF('Данные 2st'!$Q$2:$Q$317,$A17,'Данные 2st'!$AC$2:$AC$317),"")</f>
        <v>10.8</v>
      </c>
      <c r="JR17" s="7">
        <f>IFERROR(AVERAGEIF('Данные 2st'!$Q$2:$Q$317,$A17,'Данные 2st'!$AF$2:$AF$317),"")</f>
        <v>3960.6</v>
      </c>
      <c r="JS17" s="7">
        <f>IFERROR(AVERAGEIF('Данные 2st'!$Q$2:$Q$317,$A17,'Данные 2st'!$AW$2:$AW$317),"")</f>
        <v>6.4</v>
      </c>
      <c r="JT17" s="7">
        <f>IFERROR(AVERAGEIF('Данные 2st'!$Q$2:$Q$317,$A17,'Данные 2st'!$AX$2:$AX$317),"")</f>
        <v>-6</v>
      </c>
      <c r="JU17" s="7">
        <f>IFERROR(AVERAGEIF('Данные 2st'!$Q$2:$Q$317,$A17,'Данные 2st'!$AY$2:$AY$317),"")</f>
        <v>91.5</v>
      </c>
      <c r="JV17" s="7">
        <f>IFERROR(AVERAGEIF('Данные 2st'!$Q$2:$Q$317,$A17,'Данные 2st'!$AZ$2:$AZ$317),"")</f>
        <v>74.5</v>
      </c>
      <c r="JW17" s="7">
        <f>IFERROR(AVERAGEIF('Данные 2st'!$Q$2:$Q$317,$A17,'Данные 2st'!$BA$2:$BA$317),"")</f>
        <v/>
      </c>
      <c r="JX17" s="7">
        <f>IFERROR(AVERAGEIF('Данные 2st'!$Q$2:$Q$317,$A17,'Данные 2st'!$BB$2:$BB$317),"")</f>
        <v/>
      </c>
      <c r="JY17" s="7">
        <f>IFERROR(AVERAGEIF('Данные 2st'!$Q$2:$Q$317,$A17,'Данные 2st'!$BC$2:$BC$317),"")</f>
        <v/>
      </c>
      <c r="JZ17" s="7">
        <f>IFERROR(AVERAGEIF('Данные 2st'!$Q$2:$Q$317,$A17,'Данные 2st'!$BH$2:$BH$317),"")</f>
        <v>91.5</v>
      </c>
      <c r="KA17" s="7">
        <f>IFERROR(AVERAGEIF('Данные 2st'!$Q$2:$Q$317,$A17,'Данные 2st'!$BI$2:$BI$317),"")</f>
        <v>17.0</v>
      </c>
      <c r="KB17" s="7">
        <f>IFERROR(AVERAGEIF('Данные 2st'!$Q$2:$Q$317,$A17,'Данные 2st'!$BJ$2:$BJ$317),"")</f>
        <v>74.5</v>
      </c>
      <c r="KC17" s="7">
        <f>IFERROR(AVERAGEIF('Данные 2st'!$Q$2:$Q$317,$A17,'Данные 2st'!$BK$2:$BK$317),"")</f>
        <v>3.0</v>
      </c>
      <c r="KD17" s="7">
        <f>IFERROR(AVERAGEIF('Данные 2st'!$Q$2:$Q$317,$A17,'Данные 2st'!$BL$2:$BL$317),"")</f>
        <v>183</v>
      </c>
      <c r="KE17" s="7">
        <f>IFERROR(AVERAGEIF('Данные 2st'!$Q$2:$Q$317,$A17,'Данные 2st'!$BM$2:$BM$317),"")</f>
        <v>-6</v>
      </c>
      <c r="KF17" s="7">
        <f>IFERROR(AVERAGEIF('Данные 2st'!$Q$2:$Q$317,$A17,'Данные 2st'!$BN$2:$BN$317),"")</f>
        <v>0</v>
      </c>
      <c r="KG17" s="7">
        <f>IFERROR(AVERAGEIF('Данные 2st'!$Q$2:$Q$317,$A17,'Данные 2st'!$BO$2:$BO$317),"")</f>
        <v/>
      </c>
      <c r="KH17" s="7">
        <f>IFERROR(AVERAGEIF('Данные 2st'!$Q$2:$Q$317,$A17,'Данные 2st'!$BP$2:$BP$317),"")</f>
        <v>0</v>
      </c>
      <c r="KI17" s="7">
        <f>IFERROR(AVERAGEIF('Данные 2st'!$Q$2:$Q$317,$A17,'Данные 2st'!$BR$2:$BR$317),"")</f>
        <v>177</v>
      </c>
      <c r="KJ17" s="7">
        <f>IFERROR(AVERAGEIF('Данные 2st'!$Q$2:$Q$317,$A17,'Данные 2st'!$BS$2:$BS$317),"")</f>
        <v>167</v>
      </c>
      <c r="KK17" s="7">
        <f>IFERROR(AVERAGEIF('Данные 2st'!$Q$2:$Q$317,$A17,'Данные 2st'!$BT$2:$BT$317),"")</f>
        <v>1908</v>
      </c>
      <c r="KL17" s="7">
        <f>IFERROR(AVERAGEIF('Данные 2st'!$Q$2:$Q$317,$A17,'Данные 2st'!$CV$2:$CV$317),"")</f>
        <v>114.6</v>
      </c>
      <c r="KM17" s="7">
        <f>IFERROR(AVERAGEIF('Данные 2st'!$Q$2:$Q$317,$A17,'Данные 2st'!$CW$2:$CW$317),"")</f>
        <v>3</v>
      </c>
      <c r="KN17" s="7">
        <f>IFERROR(AVERAGEIF('Данные 2st'!$Q$2:$Q$317,$A17,'Данные 2st'!$CX$2:$CX$317),"")</f>
        <v>76.2</v>
      </c>
      <c r="KO17" s="7">
        <f>IFERROR(AVERAGEIF('Данные 2st'!$Q$2:$Q$317,$A17,'Данные 2st'!$CY$2:$CY$317),"")</f>
        <v>5</v>
      </c>
      <c r="KP17" s="7">
        <f>IFERROR(AVERAGEIF('Данные 2st'!$Q$2:$Q$317,$A17,'Данные 2st'!$CZ$2:$CZ$317),"")</f>
        <v>78.8</v>
      </c>
      <c r="KQ17" s="7">
        <f>IFERROR(AVERAGEIF('Данные 2st'!$Q$2:$Q$317,$A17,'Данные 2st'!$DA$2:$DA$317),"")</f>
        <v>5</v>
      </c>
      <c r="KR17" s="7">
        <f>IFERROR(AVERAGEIF('Данные 2st'!$Q$2:$Q$317,$A17,'Данные 2st'!$DB$2:$DB$317),"")</f>
        <v>9360</v>
      </c>
      <c r="KS17" s="7">
        <f>IFERROR(AVERAGEIF('Данные 2st'!$Q$2:$Q$317,$A17,'Данные 2st'!$DC$2:$DC$317),"")</f>
        <v>276</v>
      </c>
      <c r="KT17" s="7">
        <f>IFERROR(AVERAGEIF('Данные 2st'!$Q$2:$Q$317,$A17,'Данные 2st'!$DD$2:$DD$317),"")</f>
        <v>304.4</v>
      </c>
      <c r="KU17" s="7">
        <f>IFERROR(AVERAGEIF('Данные 2st'!$Q$2:$Q$317,$A17,'Данные 2st'!$DE$2:$DE$317),"")</f>
        <v>2008</v>
      </c>
      <c r="KV17" s="7">
        <f>IFERROR(AVERAGEIF('Данные 2st'!$Q$2:$Q$317,$A17,'Данные 2st'!$DF$2:$DF$317),"")</f>
        <v>2008</v>
      </c>
      <c r="KW17" s="7">
        <f>IFERROR(AVERAGEIF('Данные 2st'!$Q$2:$Q$317,$A17,'Данные 2st'!$DG$2:$DG$317),"")</f>
        <v>2024.2</v>
      </c>
      <c r="KX17" s="7">
        <f>IFERROR(AVERAGEIF('Данные 2st'!$Q$2:$Q$317,$A17,'Данные 2st'!$DH$2:$DH$317),"")</f>
        <v>3</v>
      </c>
      <c r="KY17" s="7">
        <f>IFERROR(AVERAGEIF('Данные 2st'!$Q$2:$Q$317,$A17,'Данные 2st'!$DI$2:$DI$317),"")</f>
        <v/>
      </c>
      <c r="KZ17" s="7">
        <f>IFERROR(AVERAGEIF('Данные 2st'!$Q$2:$Q$317,$A17,'Данные 2st'!$DK$2:$DK$317),"")</f>
        <v>177</v>
      </c>
      <c r="LA17" s="7">
        <f>IFERROR(AVERAGEIF('Данные 2st'!$Q$2:$Q$317,$A17,'Данные 2st'!$DM$2:$DM$317),"")</f>
        <v>65</v>
      </c>
      <c r="LB17" s="7">
        <f>IFERROR(AVERAGEIF('Данные 2st'!$Q$2:$Q$317,$A17,'Данные 2st'!$DN$2:$DN$317),"")</f>
        <v>0.84</v>
      </c>
      <c r="LC17" s="7">
        <f>IFERROR(AVERAGEIF('Данные 2st'!$Q$2:$Q$317,$A17,'Данные 2st'!$DO$2:$DO$317),"")</f>
        <v>1</v>
      </c>
      <c r="LD17" s="7">
        <f>IFERROR(AVERAGEIF('Данные 2st'!$Q$2:$Q$317,$A17,'Данные 2st'!$DP$2:$DP$317),"")</f>
        <v>1911</v>
      </c>
      <c r="LE17" s="7">
        <f>IFERROR(AVERAGEIF('Данные 2st'!$Q$2:$Q$317,$A17,'Данные 2st'!$DQ$2:$DQ$317),"")</f>
        <v>618.4</v>
      </c>
      <c r="LF17" s="7">
        <f>IFERROR(AVERAGEIF('Данные 2st'!$Q$2:$Q$317,$A17,'Данные 2st'!$DS$2:$DS$317),"")</f>
        <v>167</v>
      </c>
      <c r="LG17" s="7">
        <f>IFERROR(AVERAGEIF('Данные 2st'!$Q$2:$Q$317,$A17,'Данные 2st'!$DU$2:$DU$317),"")</f>
        <v>65</v>
      </c>
      <c r="LH17" s="7">
        <f>IFERROR(AVERAGEIF('Данные 2st'!$Q$2:$Q$317,$A17,'Данные 2st'!$DV$2:$DV$317),"")</f>
        <v>0.84</v>
      </c>
      <c r="LI17" s="7">
        <f>IFERROR(AVERAGEIF('Данные 2st'!$Q$2:$Q$317,$A17,'Данные 2st'!$DW$2:$DW$317),"")</f>
        <v>1</v>
      </c>
      <c r="LJ17" s="7">
        <f>IFERROR(AVERAGEIF('Данные 2st'!$Q$2:$Q$317,$A17,'Данные 2st'!$DX$2:$DX$317),"")</f>
        <v>1918</v>
      </c>
      <c r="LK17" s="7">
        <f>IFERROR(AVERAGEIF('Данные 2st'!$Q$2:$Q$317,$A17,'Данные 2st'!$DY$2:$DY$317),"")</f>
        <v>585.2</v>
      </c>
      <c r="LL17" s="7">
        <f>IFERROR(AVERAGEIF('Данные 2st'!$Q$2:$Q$317,$A17,'Данные 2st'!$EA$2:$EA$317),"")</f>
        <v>33</v>
      </c>
      <c r="LM17" s="7">
        <f>IFERROR(AVERAGEIF('Данные 2st'!$Q$2:$Q$317,$A17,'Данные 2st'!$EC$2:$EC$317),"")</f>
        <v>0.4</v>
      </c>
      <c r="LN17" s="7">
        <f>IFERROR(AVERAGEIF('Данные 2st'!$Q$2:$Q$317,$A17,'Данные 2st'!$ED$2:$ED$317),"")</f>
        <v>1911</v>
      </c>
      <c r="LO17" s="7">
        <f>IFERROR(AVERAGEIF('Данные 2st'!$Q$2:$Q$317,$A17,'Данные 2st'!$EE$2:$EE$317),"")</f>
        <v>55.2</v>
      </c>
      <c r="LP17" s="7">
        <f>IFERROR(AVERAGEIF('Данные 2st'!$Q$2:$Q$317,$A17,'Данные 2st'!$EG$2:$EG$317),"")</f>
        <v>33</v>
      </c>
      <c r="LQ17" s="7">
        <f>IFERROR(AVERAGEIF('Данные 2st'!$Q$2:$Q$317,$A17,'Данные 2st'!$EI$2:$EI$317),"")</f>
        <v>0.4</v>
      </c>
      <c r="LR17" s="7">
        <f>IFERROR(AVERAGEIF('Данные 2st'!$Q$2:$Q$317,$A17,'Данные 2st'!$EJ$2:$EJ$317),"")</f>
        <v>1918</v>
      </c>
      <c r="LS17" s="7">
        <f>IFERROR(AVERAGEIF('Данные 2st'!$Q$2:$Q$317,$A17,'Данные 2st'!$EK$2:$EK$317),"")</f>
        <v>55.6</v>
      </c>
      <c r="LT17" s="7">
        <f>IFERROR(AVERAGEIF('Данные 2st'!$Q$2:$Q$317,$A17,'Данные 2st'!$EM$2:$EM$317),"")</f>
        <v>12</v>
      </c>
      <c r="LU17" s="7">
        <f>IFERROR(AVERAGEIF('Данные 2st'!$Q$2:$Q$317,$A17,'Данные 2st'!$EN$2:$EN$317),"")</f>
        <v>0.5</v>
      </c>
      <c r="LV17" s="7">
        <f>IFERROR(AVERAGEIF('Данные 2st'!$Q$2:$Q$317,$A17,'Данные 2st'!$EO$2:$EO$317),"")</f>
        <v>0.91</v>
      </c>
      <c r="LW17" s="7">
        <f>IFERROR(AVERAGEIF('Данные 2st'!$Q$2:$Q$317,$A17,'Данные 2st'!$EP$2:$EP$317),"")</f>
        <v>1918.56</v>
      </c>
      <c r="LX17" s="7">
        <f>IFERROR(AVERAGEIF('Данные 2st'!$Q$2:$Q$317,$A17,'Данные 2st'!$EQ$2:$EQ$317),"")</f>
        <v>29224.784</v>
      </c>
      <c r="LY17" s="7">
        <f>IFERROR(AVERAGEIF('Данные 2st'!$Q$2:$Q$317,$A17,'Данные 2st'!$ER$2:$ER$317),"")</f>
        <v>5109.71</v>
      </c>
      <c r="LZ17" s="7">
        <f>IFERROR(AVERAGEIF('Данные 2st'!$Q$2:$Q$317,$A17,'Данные 2st'!$ES$2:$ES$317),"")</f>
        <v>0</v>
      </c>
      <c r="MA17" s="7">
        <f>IFERROR(AVERAGEIF('Данные 2st'!$Q$2:$Q$317,$A17,'Данные 2st'!$ET$2:$ET$317),"")</f>
        <v>0</v>
      </c>
      <c r="MB17" s="7">
        <f>IFERROR(AVERAGEIF('Данные 2st'!$Q$2:$Q$317,$A17,'Данные 2st'!$EU$2:$EU$317),"")</f>
        <v>1</v>
      </c>
      <c r="MC17" s="7">
        <f>IFERROR(AVERAGEIF('Данные 2st'!$Q$2:$Q$317,$A17,'Данные 2st'!$EV$2:$EV$317),"")</f>
        <v>34335</v>
      </c>
      <c r="MD17" s="7">
        <f>IFERROR(AVERAGEIF('Данные 2st'!$Q$2:$Q$317,$A17,'Данные 2st'!$EW$2:$EW$317),"")</f>
        <v>397.8</v>
      </c>
      <c r="ME17" s="7">
        <f>IFERROR(AVERAGEIF('Данные 2st'!$Q$2:$Q$317,$A17,'Данные 2st'!$EY$2:$EY$317),"")</f>
        <v>190.8</v>
      </c>
      <c r="MF17" s="7">
        <f>IFERROR(AVERAGEIF('Данные 2st'!$Q$2:$Q$317,$A17,'Данные 2st'!$FA$2:$FA$317),"")</f>
        <v>4.96</v>
      </c>
      <c r="MG17" s="7">
        <f>IFERROR(AVERAGEIF('Данные 2st'!$Q$2:$Q$317,$A17,'Данные 2st'!$FB$2:$FB$317),"")</f>
        <v>1</v>
      </c>
      <c r="MH17" s="7">
        <f>IFERROR(AVERAGEIF('Данные 2st'!$Q$2:$Q$317,$A17,'Данные 2st'!$FC$2:$FC$317),"")</f>
        <v>1</v>
      </c>
      <c r="MI17" s="7">
        <f>IFERROR(AVERAGEIF('Данные 2st'!$Q$2:$Q$317,$A17,'Данные 2st'!$FD$2:$FD$317),"")</f>
        <v>1950.8</v>
      </c>
      <c r="MJ17" s="7">
        <f>IFERROR(AVERAGEIF('Данные 2st'!$Q$2:$Q$317,$A17,'Данные 2st'!$FE$2:$FE$317),"")</f>
        <v>2051.4</v>
      </c>
      <c r="MK17" s="7">
        <f>IFERROR(AVERAGEIF('Данные 2st'!$Q$2:$Q$317,$A17,'Данные 2st'!$FG$2:$FG$317),"")</f>
        <v>192.8</v>
      </c>
      <c r="ML17" s="7">
        <f>IFERROR(AVERAGEIF('Данные 2st'!$Q$2:$Q$317,$A17,'Данные 2st'!$FI$2:$FI$317),"")</f>
        <v>3.02</v>
      </c>
      <c r="MM17" s="7">
        <f>IFERROR(AVERAGEIF('Данные 2st'!$Q$2:$Q$317,$A17,'Данные 2st'!$FJ$2:$FJ$317),"")</f>
        <v>1950.8</v>
      </c>
      <c r="MN17" s="7">
        <f>IFERROR(AVERAGEIF('Данные 2st'!$Q$2:$Q$317,$A17,'Данные 2st'!$FK$2:$FK$317),"")</f>
        <v>1312</v>
      </c>
      <c r="MO17" s="7">
        <f>IFERROR(AVERAGEIF('Данные 2st'!$Q$2:$Q$317,$A17,'Данные 2st'!$FP$2:$FP$317),"")</f>
        <v>1950.8</v>
      </c>
      <c r="MP17" s="7">
        <f>IFERROR(AVERAGEIF('Данные 2st'!$Q$2:$Q$317,$A17,'Данные 2st'!$FQ$2:$FQ$317),"")</f>
        <v>136.2</v>
      </c>
      <c r="MQ17" s="7">
        <f>IFERROR(AVERAGEIF('Данные 2st'!$Q$2:$Q$317,$A17,'Данные 2st'!$FS$2:$FS$317),"")</f>
        <v>196.8</v>
      </c>
      <c r="MR17" s="7">
        <f>IFERROR(AVERAGEIF('Данные 2st'!$Q$2:$Q$317,$A17,'Данные 2st'!$FU$2:$FU$317),"")</f>
        <v>0.4</v>
      </c>
      <c r="MS17" s="7">
        <f>IFERROR(AVERAGEIF('Данные 2st'!$Q$2:$Q$317,$A17,'Данные 2st'!$FV$2:$FV$317),"")</f>
        <v>1950.8</v>
      </c>
      <c r="MT17" s="7">
        <f>IFERROR(AVERAGEIF('Данные 2st'!$Q$2:$Q$317,$A17,'Данные 2st'!$FW$2:$FW$317),"")</f>
        <v>171.4</v>
      </c>
      <c r="MU17" s="7">
        <f>IFERROR(AVERAGEIF('Данные 2st'!$Q$2:$Q$317,$A17,'Данные 2st'!$FY$2:$FY$317),"")</f>
        <v>6.666666666666667</v>
      </c>
      <c r="MV17" s="7">
        <f>IFERROR(AVERAGEIF('Данные 2st'!$Q$2:$Q$317,$A17,'Данные 2st'!$GB$2:$GB$317),"")</f>
        <v>1952</v>
      </c>
      <c r="MW17" s="7">
        <f>IFERROR(AVERAGEIF('Данные 2st'!$Q$2:$Q$317,$A17,'Данные 2st'!$GC$2:$GC$317),"")</f>
        <v>18.666666666666668</v>
      </c>
      <c r="MX17" s="7">
        <f>IFERROR(AVERAGEIF('Данные 2st'!$Q$2:$Q$317,$A17,'Данные 2st'!$GD$2:$GD$317),"")</f>
        <v>3682.2</v>
      </c>
      <c r="MY17" s="7">
        <f>IFERROR(AVERAGEIF('Данные 2st'!$Q$2:$Q$317,$A17,'Данные 2st'!$GN$2:$GN$317),"")</f>
        <v/>
      </c>
      <c r="MZ17" s="7">
        <f>IFERROR(AVERAGEIF('Данные 2st'!$Q$2:$Q$317,$A17,'Данные 2st'!$GQ$2:$GQ$317),"")</f>
        <v>0</v>
      </c>
      <c r="NA17" s="7">
        <f>IFERROR(AVERAGEIF('Данные 2st'!$Q$2:$Q$317,$A17,'Данные 2st'!$GV$2:$GV$317),"")</f>
        <v>8.379999999999999</v>
      </c>
      <c r="NB17" s="7">
        <f>IFERROR(AVERAGEIF('Данные 2st'!$Q$2:$Q$317,$A17,'Данные 2st'!$GW$2:$GW$317),"")</f>
        <v>9.64</v>
      </c>
      <c r="NC17" s="7">
        <f>IFERROR(AVERAGEIF('Данные 2st'!$Q$2:$Q$317,$A17,'Данные 2st'!$GX$2:$GX$317),"")</f>
        <v>0.5</v>
      </c>
      <c r="ND17" s="7">
        <f>IFERROR(AVERAGEIF('Данные 2st'!$Q$2:$Q$317,$A17,'Данные 2st'!$GY$2:$GY$317),"")</f>
        <v>159.6</v>
      </c>
      <c r="NE17" s="7">
        <f>IFERROR(AVERAGEIF('Данные 2st'!$Q$2:$Q$317,$A17,'Данные 2st'!$GZ$2:$GZ$317),"")</f>
        <v>3</v>
      </c>
      <c r="NF17" s="7">
        <f>IFERROR(AVERAGEIF('Данные 2st'!$Q$2:$Q$317,$A17,'Данные 2st'!$HA$2:$HA$317),"")</f>
        <v>213.6</v>
      </c>
      <c r="NG17" s="7">
        <f>IFERROR(AVERAGEIF('Данные 2st'!$Q$2:$Q$317,$A17,'Данные 2st'!$HB$2:$HB$317),"")</f>
        <v>3</v>
      </c>
      <c r="NH17" s="7">
        <f>IFERROR(AVERAGEIF('Данные 2st'!$Q$2:$Q$317,$A17,'Данные 2st'!$HC$2:$HC$317),"")</f>
        <v>1950.8</v>
      </c>
      <c r="NI17" s="7">
        <f>IFERROR(AVERAGEIF('Данные 2st'!$Q$2:$Q$317,$A17,'Данные 2st'!$HD$2:$HD$317),"")</f>
        <v>4</v>
      </c>
      <c r="NJ17" s="7">
        <f>IFERROR(AVERAGEIF('Данные 2st'!$Q$2:$Q$317,$A17,'Данные 2st'!$HM$2:$HM$317),"")</f>
        <v>16</v>
      </c>
      <c r="NK17" s="7">
        <f>IFERROR(AVERAGEIF('Данные 2st'!$Q$2:$Q$317,$A17,'Данные 2st'!$HR$2:$HR$317),"")</f>
        <v>2.6</v>
      </c>
      <c r="NL17" s="7">
        <f>IFERROR(AVERAGEIF('Данные 2st'!$Q$2:$Q$317,$A17,'Данные 2st'!$HS$2:$HS$317),"")</f>
        <v>1908</v>
      </c>
      <c r="NM17" s="7">
        <f>IFERROR(AVERAGEIF('Данные 2st'!$Q$2:$Q$317,$A17,'Данные 2st'!$HT$2:$HT$317),"")</f>
        <v>5</v>
      </c>
      <c r="NN17" s="7">
        <f>IFERROR(AVERAGEIF('Данные 2st'!$Q$2:$Q$317,$A17,'Данные 2st'!$HY$2:$HY$317),"")</f>
        <v>0</v>
      </c>
      <c r="NO17" s="7">
        <f>IFERROR(AVERAGEIF('Данные 2st'!$Q$2:$Q$317,$A17,'Данные 2st'!$HZ$2:$HZ$317),"")</f>
        <v>65</v>
      </c>
      <c r="NP17" s="7">
        <f>IFERROR(AVERAGEIF('Данные 2st'!$Q$2:$Q$317,$A17,'Данные 2st'!$IA$2:$IA$317),"")</f>
        <v>1911</v>
      </c>
      <c r="NQ17" s="7">
        <f>IFERROR(AVERAGEIF('Данные 2st'!$Q$2:$Q$317,$A17,'Данные 2st'!$IB$2:$IB$317),"")</f>
        <v>1918</v>
      </c>
      <c r="NR17" s="7">
        <f>IFERROR(AVERAGEIF('Данные 2st'!$Q$2:$Q$317,$A17,'Данные 2st'!$IC$2:$IC$317),"")</f>
        <v/>
      </c>
      <c r="NS17" s="7">
        <f>IFERROR(AVERAGEIF('Данные 2st'!$Q$2:$Q$317,$A17,'Данные 2st'!$ID$2:$ID$317),"")</f>
        <v>1950.8</v>
      </c>
      <c r="NT17" s="7">
        <f>IFERROR(AVERAGEIF('Данные 2st'!$Q$2:$Q$317,$A17,'Данные 2st'!$IE$2:$IE$317),"")</f>
        <v>1950.8</v>
      </c>
      <c r="NU17" s="7">
        <f>IFERROR(AVERAGEIF('Данные 2st'!$Q$2:$Q$317,$A17,'Данные 2st'!$IF$2:$IF$317),"")</f>
        <v>177</v>
      </c>
      <c r="NV17" s="7">
        <f>IFERROR(AVERAGEIF('Данные 2st'!$Q$2:$Q$317,$A17,'Данные 2st'!$IG$2:$IG$317),"")</f>
        <v>167</v>
      </c>
      <c r="NW17" s="7">
        <f>IFERROR(AVERAGEIF('Данные 2st'!$Q$2:$Q$317,$A17,'Данные 2st'!$IH$2:$IH$317),"")</f>
        <v>213.6</v>
      </c>
      <c r="NX17" s="7">
        <f>IFERROR(AVERAGEIF('Данные 2st'!$Q$2:$Q$317,$A17,'Данные 2st'!$IJ$2:$IJ$317),"")</f>
        <v>5</v>
      </c>
      <c r="NY17" s="7">
        <f>IFERROR(AVERAGEIF('Данные 2st'!$Q$2:$Q$317,$A17,'Данные 2st'!$IM$2:$IM$317),"")</f>
        <v>0</v>
      </c>
      <c r="NZ17" s="7">
        <f>IFERROR(AVERAGEIF('Данные 2st'!$Q$2:$Q$317,$A17,'Данные 2st'!$IN$2:$IN$317),"")</f>
        <v>216</v>
      </c>
      <c r="OA17" s="7">
        <f>IFERROR(AVERAGEIF('Данные 2st'!$Q$2:$Q$317,$A17,'Данные 2st'!$IO$2:$IO$317),"")</f>
        <v>0</v>
      </c>
      <c r="OB17" s="7">
        <f>IFERROR(AVERAGEIF('Данные 2st'!$Q$2:$Q$317,$A17,'Данные 2st'!$IP$2:$IP$317),"")</f>
        <v>180</v>
      </c>
      <c r="OC17" s="7">
        <f>IFERROR(AVERAGEIF('Данные 2st'!$Q$2:$Q$317,$A17,'Данные 2st'!$IQ$2:$IQ$317),"")</f>
        <v>0</v>
      </c>
      <c r="OD17" s="7">
        <f>IFERROR(AVERAGEIF('Данные 2st'!$Q$2:$Q$317,$A17,'Данные 2st'!$IR$2:$IR$317),"")</f>
        <v>328</v>
      </c>
      <c r="OE17" s="7">
        <f>IFERROR(AVERAGEIF('Данные 2st'!$Q$2:$Q$317,$A17,'Данные 2st'!$IT$2:$IT$317),"")</f>
        <v>90</v>
      </c>
      <c r="OF17" s="7">
        <f>IFERROR(AVERAGEIF('Данные 2st'!$Q$2:$Q$317,$A17,'Данные 2st'!$IU$2:$IU$317),"")</f>
        <v>0</v>
      </c>
      <c r="OG17" s="7">
        <f>IFERROR(AVERAGEIF('Данные 2st'!$Q$2:$Q$317,$A17,'Данные 2st'!$IV$2:$IV$317),"")</f>
        <v>6.4</v>
      </c>
      <c r="OH17" s="7">
        <f>IFERROR(AVERAGEIF('Данные 2st'!$Q$2:$Q$317,$A17,'Данные 2st'!$IW$2:$IW$317),"")</f>
        <v>-6</v>
      </c>
      <c r="OI17" s="7">
        <f>IFERROR(AVERAGEIF('Данные 2st'!$Q$2:$Q$317,$A17,'Данные 2st'!$IX$2:$IX$317),"")</f>
        <v>91.5</v>
      </c>
      <c r="OJ17" s="7">
        <f>IFERROR(AVERAGEIF('Данные 2st'!$Q$2:$Q$317,$A17,'Данные 2st'!$IY$2:$IY$317),"")</f>
        <v>74.5</v>
      </c>
      <c r="OK17" s="7">
        <f>IFERROR(AVERAGEIF('Данные 2st'!$Q$2:$Q$317,$A17,'Данные 2st'!$IZ$2:$IZ$317),"")</f>
        <v>0</v>
      </c>
      <c r="OL17" s="7">
        <f>IFERROR(AVERAGEIF('Данные 2st'!$Q$2:$Q$317,$A17,'Данные 2st'!$JA$2:$JA$317),"")</f>
        <v>0</v>
      </c>
      <c r="OM17" s="7">
        <f>IFERROR(AVERAGEIF('Данные 2st'!$Q$2:$Q$317,$A17,'Данные 2st'!$JB$2:$JB$317),"")</f>
        <v>0</v>
      </c>
      <c r="ON17" s="7">
        <f>IFERROR(AVERAGEIF('Данные 2st'!$Q$2:$Q$317,$A17,'Данные 2st'!$JC$2:$JC$317),"")</f>
        <v>0</v>
      </c>
      <c r="OO17" s="7">
        <f>IFERROR(AVERAGEIF('Данные 2st'!$Q$2:$Q$317,$A17,'Данные 2st'!$JD$2:$JD$317),"")</f>
        <v>0</v>
      </c>
      <c r="OP17" s="7">
        <f>IFERROR(AVERAGEIF('Данные 2st'!$Q$2:$Q$317,$A17,'Данные 2st'!$JE$2:$JE$317),"")</f>
        <v>0</v>
      </c>
      <c r="OQ17" s="7">
        <f>IFERROR(AVERAGEIF('Данные 2st'!$Q$2:$Q$317,$A17,'Данные 2st'!$JF$2:$JF$317),"")</f>
        <v>0</v>
      </c>
      <c r="OR17" s="7">
        <f>IFERROR(AVERAGEIF('Данные 2st'!$Q$2:$Q$317,$A17,'Данные 2st'!$JG$2:$JG$317),"")</f>
        <v>0</v>
      </c>
      <c r="OS17" s="7">
        <f>IFERROR(AVERAGEIF('Данные 2st'!$Q$2:$Q$317,$A17,'Данные 2st'!$JH$2:$JH$317),"")</f>
        <v>0</v>
      </c>
      <c r="OT17" s="7">
        <f>IFERROR(AVERAGEIF('Данные 2st'!$Q$2:$Q$317,$A17,'Данные 2st'!$JI$2:$JI$317),"")</f>
        <v>367.6</v>
      </c>
      <c r="OU17" s="7">
        <f>IFERROR(AVERAGEIF('Данные 2st'!$Q$2:$Q$317,$A17,'Данные 2st'!$JJ$2:$JJ$317),"")</f>
        <v>338.4</v>
      </c>
      <c r="OV17" s="7">
        <f>IFERROR(AVERAGEIF('Данные 2st'!$Q$2:$Q$317,$A17,'Данные 2st'!$JK$2:$JK$317),"")</f>
        <v>250.8</v>
      </c>
      <c r="OW17" s="7">
        <f>IFERROR(AVERAGEIF('Данные 2st'!$Q$2:$Q$317,$A17,'Данные 2st'!$JL$2:$JL$317),"")</f>
        <v>337.2</v>
      </c>
      <c r="OX17" s="7">
        <f>IFERROR(AVERAGEIF('Данные 2st'!$Q$2:$Q$317,$A17,'Данные 2st'!$JM$2:$JM$317),"")</f>
        <v>254.6</v>
      </c>
      <c r="OY17" s="7">
        <f>IFERROR(AVERAGEIF('Данные 2st'!$Q$2:$Q$317,$A17,'Данные 2st'!$JP$2:$JP$317),"")</f>
        <v>206.2</v>
      </c>
      <c r="OZ17" s="7">
        <f>IFERROR(AVERAGEIF('Данные 2st'!$Q$2:$Q$317,$A17,'Данные 2st'!$JQ$2:$JQ$317),"")</f>
        <v>262</v>
      </c>
      <c r="PA17" s="7">
        <f>IFERROR(AVERAGEIF('Данные 2st'!$Q$2:$Q$317,$A17,'Данные 2st'!$JR$2:$JR$317),"")</f>
        <v>340</v>
      </c>
      <c r="PB17" s="7">
        <f>IFERROR(AVERAGEIF('Данные 2st'!$Q$2:$Q$317,$A17,'Данные 2st'!$JS$2:$JS$317),"")</f>
        <v>258</v>
      </c>
      <c r="PC17" s="7">
        <f>IFERROR(AVERAGEIF('Данные 2st'!$Q$2:$Q$317,$A17,'Данные 2st'!$JT$2:$JT$317),"")</f>
        <v>0</v>
      </c>
      <c r="PD17" s="7">
        <f>IFERROR(AVERAGEIF('Данные 2st'!$Q$2:$Q$317,$A17,'Данные 2st'!$JU$2:$JU$317),"")</f>
        <v>0</v>
      </c>
      <c r="PE17" s="7">
        <f>IFERROR(AVERAGEIF('Данные 2st'!$Q$2:$Q$317,$A17,'Данные 2st'!$JV$2:$JV$317),"")</f>
        <v>329</v>
      </c>
      <c r="PF17" s="7">
        <f>IFERROR(AVERAGEIF('Данные 2st'!$Q$2:$Q$317,$A17,'Данные 2st'!$JW$2:$JW$317),"")</f>
        <v>329</v>
      </c>
      <c r="PG17" s="7">
        <f>IFERROR(AVERAGEIF('Данные 2st'!$Q$2:$Q$317,$A17,'Данные 2st'!$KF$2:$KF$317),"")</f>
        <v>0.184</v>
      </c>
      <c r="PH17" s="7">
        <f>IFERROR(AVERAGEIF('Данные 2st'!$Q$2:$Q$317,$A17,'Данные 2st'!$KG$2:$KG$317),"")</f>
        <v>0.096</v>
      </c>
      <c r="PI17" s="7">
        <f>IFERROR(AVERAGEIF('Данные 2st'!$Q$2:$Q$317,$A17,'Данные 2st'!$KM$2:$KM$317),"")</f>
        <v>0.4</v>
      </c>
      <c r="PJ17" s="7">
        <f>IFERROR(AVERAGEIF('Данные 2st'!$Q$2:$Q$317,$A17,'Данные 2st'!$KN$2:$KN$317),"")</f>
        <v>1.44</v>
      </c>
      <c r="PK17" s="7">
        <f>IFERROR(AVERAGEIF('Данные 2st'!$Q$2:$Q$317,$A17,'Данные 2st'!$KO$2:$KO$317),"")</f>
        <v>0</v>
      </c>
      <c r="PL17" s="7">
        <f>IFERROR(AVERAGEIF('Данные 2st'!$Q$2:$Q$317,$A17,'Данные 2st'!$KP$2:$KP$317),"")</f>
        <v>0</v>
      </c>
      <c r="PM17" s="7">
        <f>IFERROR(AVERAGEIF('Данные 2st'!$Q$2:$Q$317,$A17,'Данные 2st'!$KQ$2:$KQ$317),"")</f>
        <v>0.98</v>
      </c>
      <c r="PN17" s="7">
        <f>IFERROR(AVERAGEIF('Данные 2st'!$Q$2:$Q$317,$A17,'Данные 2st'!$KR$2:$KR$317),"")</f>
        <v>1.4</v>
      </c>
      <c r="PO17" s="7">
        <f>IFERROR(AVERAGEIF('Данные 2st'!$Q$2:$Q$317,$A17,'Данные 2st'!$KS$2:$KS$317),"")</f>
        <v>0</v>
      </c>
      <c r="PP17" s="7">
        <f>IFERROR(AVERAGEIF('Данные 2st'!$Q$2:$Q$317,$A17,'Данные 2st'!$KT$2:$KT$317),"")</f>
        <v>2.66</v>
      </c>
      <c r="PQ17" s="7">
        <f>IFERROR(AVERAGEIF('Данные 2st'!$Q$2:$Q$317,$A17,'Данные 2st'!$KU$2:$KU$317),"")</f>
        <v>0</v>
      </c>
      <c r="PR17" s="7">
        <f>IFERROR(AVERAGEIF('Данные 2st'!$Q$2:$Q$317,$A17,'Данные 2st'!$KV$2:$KV$317),"")</f>
        <v>0</v>
      </c>
      <c r="PS17" s="7">
        <f>IFERROR(AVERAGEIF('Данные 2st'!$Q$2:$Q$317,$A17,'Данные 2st'!$KW$2:$KW$317),"")</f>
        <v>0.92</v>
      </c>
      <c r="PT17" s="7">
        <f>IFERROR(AVERAGEIF('Данные 2st'!$Q$2:$Q$317,$A17,'Данные 2st'!$KX$2:$KX$317),"")</f>
        <v>1.4</v>
      </c>
      <c r="PU17" s="7">
        <f>IFERROR(AVERAGEIF('Данные 2st'!$Q$2:$Q$317,$A17,'Данные 2st'!$KY$2:$KY$317),"")</f>
        <v>0.2</v>
      </c>
      <c r="PV17" s="7">
        <f>IFERROR(AVERAGEIF('Данные 2st'!$Q$2:$Q$317,$A17,'Данные 2st'!$KZ$2:$KZ$317),"")</f>
        <v>0</v>
      </c>
      <c r="PW17" s="7">
        <f>IFERROR(AVERAGEIF('Данные 2st'!$Q$2:$Q$317,$A17,'Данные 2st'!$LA$2:$LA$317),"")</f>
        <v>0</v>
      </c>
      <c r="PX17" s="7">
        <f>IFERROR(AVERAGEIF('Данные 2st'!$Q$2:$Q$317,$A17,'Данные 2st'!$LB$2:$LB$317),"")</f>
        <v>0</v>
      </c>
      <c r="PY17" s="7">
        <f>IFERROR(AVERAGEIF('Данные 2st'!$Q$2:$Q$317,$A17,'Данные 2st'!$LC$2:$LC$317),"")</f>
        <v>0</v>
      </c>
      <c r="PZ17" s="7">
        <f>IFERROR(AVERAGEIF('Данные 2st'!$Q$2:$Q$317,$A17,'Данные 2st'!$LD$2:$LD$317),"")</f>
        <v>0</v>
      </c>
      <c r="QA17" s="7">
        <f>IFERROR(AVERAGEIF('Данные 2st'!$Q$2:$Q$317,$A17,'Данные 2st'!$LE$2:$LE$317),"")</f>
        <v>0</v>
      </c>
      <c r="QB17" s="7">
        <f>IFERROR(AVERAGEIF('Данные 2st'!$Q$2:$Q$317,$A17,'Данные 2st'!$LF$2:$LF$317),"")</f>
        <v>0</v>
      </c>
      <c r="QC17" s="7">
        <f>IFERROR(AVERAGEIF('Данные 2st'!$Q$2:$Q$317,$A17,'Данные 2st'!$LG$2:$LG$317),"")</f>
        <v>0</v>
      </c>
      <c r="QD17" s="7">
        <f>IFERROR(AVERAGEIF('Данные 2st'!$Q$2:$Q$317,$A17,'Данные 2st'!$LH$2:$LH$317),"")</f>
        <v>3</v>
      </c>
      <c r="QE17" s="7">
        <f>IFERROR(AVERAGEIF('Данные 2st'!$Q$2:$Q$317,$A17,'Данные 2st'!$LJ$2:$LJ$317),"")</f>
        <v>0</v>
      </c>
      <c r="QF17" s="7">
        <f>IFERROR(AVERAGEIF('Данные 2st'!$Q$2:$Q$317,$A17,'Данные 2st'!$LK$2:$LK$317),"")</f>
        <v>6.2</v>
      </c>
      <c r="QG17" s="7">
        <f>IFERROR(AVERAGEIF('Данные 2st'!$Q$2:$Q$317,$A17,'Данные 2st'!$LL$2:$LL$317),"")</f>
        <v>4.4</v>
      </c>
      <c r="QH17" s="7">
        <f>IFERROR(AVERAGEIF('Данные 2st'!$Q$2:$Q$317,$A17,'Данные 2st'!$LM$2:$LM$317),"")</f>
        <v>7.6</v>
      </c>
      <c r="QI17" s="7">
        <f>IFERROR(AVERAGEIF('Данные 2st'!$Q$2:$Q$317,$A17,'Данные 2st'!$LN$2:$LN$317),"")</f>
        <v>0.33999999999999997</v>
      </c>
      <c r="QJ17" s="7">
        <f>IFERROR(AVERAGEIF('Данные 2st'!$Q$2:$Q$317,$A17,'Данные 2st'!$LO$2:$LO$317),"")</f>
        <v>0.33999999999999997</v>
      </c>
      <c r="QK17" s="7">
        <f>IFERROR(AVERAGEIF('Данные 2st'!$Q$2:$Q$317,$A17,'Данные 2st'!$LP$2:$LP$317),"")</f>
        <v>0</v>
      </c>
      <c r="QL17" s="7">
        <f>IFERROR(AVERAGEIF('Данные 2st'!$Q$2:$Q$317,$A17,'Данные 2st'!$LQ$2:$LQ$317),"")</f>
        <v>0</v>
      </c>
      <c r="QM17" s="7">
        <f>IFERROR(AVERAGEIF('Данные 2st'!$Q$2:$Q$317,$A17,'Данные 2st'!$LW$2:$LW$317),"")</f>
        <v>1.4</v>
      </c>
      <c r="QN17" s="7">
        <f>IFERROR(AVERAGEIF('Данные 2st'!$Q$2:$Q$317,$A17,'Данные 2st'!$LX$2:$LX$317),"")</f>
        <v>1.4</v>
      </c>
      <c r="QO17" s="7">
        <f>IFERROR(AVERAGEIF('Данные 2st'!$Q$2:$Q$317,$A17,'Данные 2st'!$LY$2:$LY$317),"")</f>
        <v>1.96</v>
      </c>
      <c r="QP17" s="7">
        <f>IFERROR(AVERAGEIF('Данные 2st'!$Q$2:$Q$317,$A17,'Данные 2st'!$LZ$2:$LZ$317),"")</f>
        <v>1.96</v>
      </c>
      <c r="QQ17" s="7">
        <f>IFERROR(AVERAGEIF('Данные 2st'!$Q$2:$Q$317,$A17,'Данные 2st'!$MB$2:$MB$317),"")</f>
        <v>4.2</v>
      </c>
      <c r="QR17" s="7">
        <f>IFERROR(AVERAGEIF('Данные 2st'!$Q$2:$Q$317,$A17,'Данные 2st'!$MG$2:$MG$317),"")</f>
        <v/>
      </c>
      <c r="QS17" s="7">
        <f>IFERROR(AVERAGEIF('Данные 2st'!$Q$2:$Q$317,$A17,'Данные 2st'!$MH$2:$MH$317),"")</f>
        <v/>
      </c>
      <c r="QT17" s="7">
        <f>IFERROR(AVERAGEIF('Данные 2st'!$Q$2:$Q$317,$A17,'Данные 2st'!$MI$2:$MI$317),"")</f>
        <v>0</v>
      </c>
      <c r="QU17" s="7">
        <f>IFERROR(AVERAGEIF('Данные 2st'!$Q$2:$Q$317,$A17,'Данные 2st'!$MJ$2:$MJ$317),"")</f>
        <v>0</v>
      </c>
      <c r="QV17" s="7">
        <f>IFERROR(AVERAGEIF('Данные 2st'!$Q$2:$Q$317,$A17,'Данные 2st'!$MK$2:$MK$317),"")</f>
        <v/>
      </c>
      <c r="QW17" s="7">
        <f>IFERROR(AVERAGEIF('Данные 2st'!$Q$2:$Q$317,$A17,'Данные 2st'!$MM$2:$MM$317),"")</f>
        <v>388</v>
      </c>
      <c r="QX17" s="7">
        <f>IFERROR(AVERAGEIF('Данные 2st'!$Q$2:$Q$317,$A17,'Данные 2st'!$MQ$2:$MQ$317),"")</f>
        <v/>
      </c>
      <c r="QY17" s="7">
        <f>IFERROR(AVERAGEIF('Данные 2st'!$Q$2:$Q$317,$A17,'Данные 2st'!$MR$2:$MR$317),"")</f>
        <v/>
      </c>
      <c r="QZ17" s="7">
        <f>IFERROR(AVERAGEIF('Данные 2st'!$Q$2:$Q$317,$A17,'Данные 2st'!$MS$2:$MS$317),"")</f>
        <v/>
      </c>
      <c r="RA17" s="7">
        <f>IFERROR(AVERAGEIF('Данные 2st'!$Q$2:$Q$317,$A17,'Данные 2st'!$MT$2:$MT$317),"")</f>
        <v/>
      </c>
      <c r="RB17" s="7">
        <f>IFERROR(AVERAGEIF('Данные 2st'!$Q$2:$Q$317,$A17,'Данные 2st'!$MU$2:$MU$317),"")</f>
        <v/>
      </c>
      <c r="RC17" s="7">
        <f>IFERROR(AVERAGEIF('Данные 2st'!$Q$2:$Q$317,$A17,'Данные 2st'!$MV$2:$MV$317),"")</f>
        <v/>
      </c>
      <c r="RD17" s="7">
        <f>IFERROR(AVERAGEIF('Данные 2st'!$Q$2:$Q$317,$A17,'Данные 2st'!$MW$2:$MW$317),"")</f>
        <v/>
      </c>
      <c r="RE17" s="7">
        <f>IFERROR(AVERAGEIF('Данные 2st'!$Q$2:$Q$317,$A17,'Данные 2st'!$MX$2:$MX$317),"")</f>
        <v/>
      </c>
      <c r="RF17" s="7">
        <f>IFERROR(AVERAGEIF('Данные 2st'!$Q$2:$Q$317,$A17,'Данные 2st'!$MY$2:$MY$317),"")</f>
        <v/>
      </c>
      <c r="RG17" s="7">
        <f>IFERROR(AVERAGEIF('Данные 2st'!$Q$2:$Q$317,$A17,'Данные 2st'!$MZ$2:$MZ$317),"")</f>
        <v/>
      </c>
      <c r="RH17" s="7">
        <f>IFERROR(AVERAGEIF('Данные 2st'!$Q$2:$Q$317,$A17,'Данные 2st'!$NA$2:$NA$317),"")</f>
        <v/>
      </c>
      <c r="RI17" s="7">
        <f>IFERROR(AVERAGEIF('Данные 2st'!$Q$2:$Q$317,$A17,'Данные 2st'!$NB$2:$NB$317),"")</f>
        <v/>
      </c>
      <c r="RJ17" s="7">
        <f>IFERROR(AVERAGEIF('Данные 2st'!$Q$2:$Q$317,$A17,'Данные 2st'!$NC$2:$NC$317),"")</f>
        <v/>
      </c>
      <c r="RK17" s="7">
        <f>IFERROR(AVERAGEIF('Данные 2st'!$Q$2:$Q$317,$A17,'Данные 2st'!$ND$2:$ND$317),"")</f>
        <v/>
      </c>
      <c r="RL17" s="7">
        <f>IFERROR(AVERAGEIF('Данные 2st'!$Q$2:$Q$317,$A17,'Данные 2st'!$NE$2:$NE$317),"")</f>
        <v/>
      </c>
      <c r="RM17" s="7">
        <f>IFERROR(AVERAGEIF('Данные 2st'!$Q$2:$Q$317,$A17,'Данные 2st'!$NF$2:$NF$317),"")</f>
        <v/>
      </c>
      <c r="RN17" s="7">
        <f>IFERROR(AVERAGEIF('Данные 2st'!$Q$2:$Q$317,$A17,'Данные 2st'!$NG$2:$NG$317),"")</f>
        <v/>
      </c>
      <c r="RO17" s="7">
        <f>IFERROR(AVERAGEIF('Данные 2st'!$Q$2:$Q$317,$A17,'Данные 2st'!$NH$2:$NH$317),"")</f>
        <v>0</v>
      </c>
      <c r="RP17" s="7">
        <f>IFERROR(AVERAGEIF('Данные 2st'!$Q$2:$Q$317,$A17,'Данные 2st'!$NJ$2:$NJ$317),"")</f>
        <v>0</v>
      </c>
      <c r="RQ17" s="7">
        <f>IFERROR(AVERAGEIF('Данные 2st'!$Q$2:$Q$317,$A17,'Данные 2st'!$NK$2:$NK$317),"")</f>
        <v>0</v>
      </c>
      <c r="RR17" s="7">
        <f>IFERROR(AVERAGEIF('Данные 2st'!$Q$2:$Q$317,$A17,'Данные 2st'!$NM$2:$NM$317),"")</f>
        <v>0</v>
      </c>
      <c r="RS17" s="7">
        <f>IFERROR(AVERAGEIF('Данные 2st'!$Q$2:$Q$317,$A17,'Данные 2st'!$NN$2:$NN$317),"")</f>
        <v/>
      </c>
      <c r="RT17" s="7">
        <f>IFERROR(AVERAGEIF('Данные 2st'!$Q$2:$Q$317,$A17,'Данные 2st'!$NO$2:$NO$317),"")</f>
        <v/>
      </c>
      <c r="RU17" s="7">
        <f>IFERROR(AVERAGEIF('Данные 2st'!$Q$2:$Q$317,$A17,'Данные 2st'!$NP$2:$NP$317),"")</f>
        <v/>
      </c>
      <c r="RV17" s="7">
        <f>IFERROR(AVERAGEIF('Данные 2st'!$Q$2:$Q$317,$A17,'Данные 2st'!$NQ$2:$NQ$317),"")</f>
        <v/>
      </c>
      <c r="RW17" s="7">
        <f>IFERROR(AVERAGEIF('Данные 2st'!$Q$2:$Q$317,$A17,'Данные 2st'!$NR$2:$NR$317),"")</f>
        <v/>
      </c>
      <c r="RX17" s="7">
        <f>IFERROR(AVERAGEIF('Данные 2st'!$Q$2:$Q$317,$A17,'Данные 2st'!$NS$2:$NS$317),"")</f>
        <v/>
      </c>
      <c r="RY17" s="7">
        <f>IFERROR(AVERAGEIF('Данные 2st'!$Q$2:$Q$317,$A17,'Данные 2st'!$NT$2:$NT$317),"")</f>
        <v/>
      </c>
      <c r="RZ17" s="7">
        <f>IFERROR(AVERAGEIF('Данные 2st'!$Q$2:$Q$317,$A17,'Данные 2st'!$OK$2:$OK$317),"")</f>
        <v>61</v>
      </c>
      <c r="SA17" s="7">
        <f>IFERROR(AVERAGEIF('Данные 2st'!$Q$2:$Q$317,$A17,'Данные 2st'!$OL$2:$OL$317),"")</f>
        <v>61</v>
      </c>
      <c r="SB17" s="7">
        <f>IFERROR(AVERAGEIF('Данные 2st'!$Q$2:$Q$317,$A17,'Данные 2st'!$ON$2:$ON$317),"")</f>
        <v>2.8</v>
      </c>
      <c r="SC17" s="7">
        <f>IFERROR(AVERAGEIF('Данные 2st'!$Q$2:$Q$317,$A17,'Данные 2st'!$OO$2:$OO$317),"")</f>
        <v>1911</v>
      </c>
      <c r="SD17" s="7">
        <f>IFERROR(AVERAGEIF('Данные 2st'!$Q$2:$Q$317,$A17,'Данные 2st'!$OP$2:$OP$317),"")</f>
        <v>61</v>
      </c>
      <c r="SE17" s="7">
        <f>IFERROR(AVERAGEIF('Данные 2st'!$Q$2:$Q$317,$A17,'Данные 2st'!$OQ$2:$OQ$317),"")</f>
        <v>61</v>
      </c>
      <c r="SF17" s="7">
        <f>IFERROR(AVERAGEIF('Данные 2st'!$Q$2:$Q$317,$A17,'Данные 2st'!$OS$2:$OS$317),"")</f>
        <v>2.8</v>
      </c>
      <c r="SG17" s="7">
        <f>IFERROR(AVERAGEIF('Данные 2st'!$Q$2:$Q$317,$A17,'Данные 2st'!$OT$2:$OT$317),"")</f>
        <v>1918</v>
      </c>
      <c r="SH17" s="7">
        <f>IFERROR(AVERAGEIF('Данные 2st'!$Q$2:$Q$317,$A17,'Данные 2st'!$OU$2:$OU$317),"")</f>
        <v>65</v>
      </c>
      <c r="SI17" s="7">
        <f>IFERROR(AVERAGEIF('Данные 2st'!$Q$2:$Q$317,$A17,'Данные 2st'!$OV$2:$OV$317),"")</f>
        <v>65</v>
      </c>
      <c r="SJ17" s="7">
        <f>IFERROR(AVERAGEIF('Данные 2st'!$Q$2:$Q$317,$A17,'Данные 2st'!$OX$2:$OX$317),"")</f>
        <v>1.4</v>
      </c>
      <c r="SK17" s="7">
        <f>IFERROR(AVERAGEIF('Данные 2st'!$Q$2:$Q$317,$A17,'Данные 2st'!$OY$2:$OY$317),"")</f>
        <v>34335</v>
      </c>
      <c r="SL17" s="7">
        <f>IFERROR(AVERAGEIF('Данные 2st'!$Q$2:$Q$317,$A17,'Данные 2st'!$OZ$2:$OZ$317),"")</f>
        <v>51</v>
      </c>
      <c r="SM17" s="7">
        <f>IFERROR(AVERAGEIF('Данные 2st'!$Q$2:$Q$317,$A17,'Данные 2st'!$PA$2:$PA$317),"")</f>
        <v>51.8</v>
      </c>
      <c r="SN17" s="7">
        <f>IFERROR(AVERAGEIF('Данные 2st'!$Q$2:$Q$317,$A17,'Данные 2st'!$PC$2:$PC$317),"")</f>
        <v>2.2</v>
      </c>
      <c r="SO17" s="7">
        <f>IFERROR(AVERAGEIF('Данные 2st'!$Q$2:$Q$317,$A17,'Данные 2st'!$PD$2:$PD$317),"")</f>
        <v>1950.8</v>
      </c>
      <c r="SP17" s="7">
        <f>IFERROR(AVERAGEIF('Данные 2st'!$Q$2:$Q$317,$A17,'Данные 2st'!$PF$2:$PF$317),"")</f>
        <v>323.6</v>
      </c>
      <c r="SQ17" s="7">
        <f>IFERROR(AVERAGEIF('Данные 2st'!$Q$2:$Q$317,$A17,'Данные 2st'!$PG$2:$PG$317),"")</f>
        <v>29</v>
      </c>
      <c r="SR17" s="7">
        <f>IFERROR(AVERAGEIF('Данные 2st'!$Q$2:$Q$317,$A17,'Данные 2st'!$PH$2:$PH$317),"")</f>
        <v>305.2</v>
      </c>
      <c r="SS17" s="7">
        <f>IFERROR(AVERAGEIF('Данные 2st'!$Q$2:$Q$317,$A17,'Данные 2st'!$PI$2:$PI$317),"")</f>
        <v>29</v>
      </c>
      <c r="ST17" s="7">
        <f>IFERROR(AVERAGEIF('Данные 2st'!$Q$2:$Q$317,$A17,'Данные 2st'!$PJ$2:$PJ$317),"")</f>
        <v>69.8</v>
      </c>
      <c r="SU17" s="7">
        <f>IFERROR(AVERAGEIF('Данные 2st'!$Q$2:$Q$317,$A17,'Данные 2st'!$PK$2:$PK$317),"")</f>
        <v>1893</v>
      </c>
      <c r="SV17" s="7">
        <f>IFERROR(AVERAGEIF('Данные 2st'!$Q$2:$Q$317,$A17,'Данные 2st'!$PL$2:$PL$317),"")</f>
        <v>1051.52</v>
      </c>
      <c r="SW17" s="7">
        <f>IFERROR(AVERAGEIF('Данные 2st'!$Q$2:$Q$317,$A17,'Данные 2st'!$PM$2:$PM$317),"")</f>
        <v>673.12</v>
      </c>
      <c r="SX17" s="7">
        <f>IFERROR(AVERAGEIF('Данные 2st'!$Q$2:$Q$317,$A17,'Данные 2st'!$PN$2:$PN$317),"")</f>
        <v>87.86</v>
      </c>
      <c r="SY17" s="7">
        <f>IFERROR(AVERAGEIF('Данные 2st'!$Q$2:$Q$317,$A17,'Данные 2st'!$PO$2:$PO$317),"")</f>
        <v>9.466666666666667</v>
      </c>
      <c r="SZ17" s="7">
        <f>IFERROR(AVERAGEIF('Данные 2st'!$Q$2:$Q$317,$A17,'Данные 2st'!$PP$2:$PP$317),"")</f>
        <v>11.6</v>
      </c>
      <c r="TA17" s="7">
        <f>IFERROR(AVERAGEIF('Данные 2st'!$Q$2:$Q$317,$A17,'Данные 2st'!$PQ$2:$PQ$317),"")</f>
        <v>1</v>
      </c>
      <c r="TB17" s="7">
        <f>IFERROR(AVERAGEIF('Данные 2st'!$Q$2:$Q$317,$A17,'Данные 2st'!$PR$2:$PR$317),"")</f>
        <v>1</v>
      </c>
      <c r="TC17" s="7">
        <f>IFERROR(AVERAGEIF('Данные 2st'!$Q$2:$Q$317,$A17,'Данные 2st'!$PS$2:$PS$317),"")</f>
        <v>7</v>
      </c>
      <c r="TD17" s="7">
        <f>IFERROR(AVERAGEIF('Данные 2st'!$Q$2:$Q$317,$A17,'Данные 2st'!$PT$2:$PT$317),"")</f>
        <v>213.6</v>
      </c>
      <c r="TE17" s="7">
        <f>IFERROR(AVERAGEIF('Данные 2st'!$Q$2:$Q$317,$A17,'Данные 2st'!$PU$2:$PU$317),"")</f>
        <v>10.4</v>
      </c>
      <c r="TF17" s="7">
        <f>IFERROR(AVERAGEIF('Данные 2st'!$Q$2:$Q$317,$A17,'Данные 2st'!$PX$2:$PX$317),"")</f>
        <v>0</v>
      </c>
      <c r="TG17" s="7">
        <f>IFERROR(AVERAGEIF('Данные 2st'!$Q$2:$Q$317,$A17,'Данные 2st'!$PY$2:$PY$317),"")</f>
        <v>0</v>
      </c>
      <c r="TH17" s="7">
        <f>IFERROR(AVERAGEIF('Данные 2st'!$Q$2:$Q$317,$A17,'Данные 2st'!$PZ$2:$PZ$317),"")</f>
        <v>0</v>
      </c>
      <c r="TI17" s="7">
        <f>IFERROR(AVERAGEIF('Данные 2st'!$Q$2:$Q$317,$A17,'Данные 2st'!$QA$2:$QA$317),"")</f>
        <v>0</v>
      </c>
      <c r="TJ17" s="7">
        <f>IFERROR(AVERAGEIF('Данные 2st'!$Q$2:$Q$317,$A17,'Данные 2st'!$QB$2:$QB$317),"")</f>
        <v>0</v>
      </c>
      <c r="TK17" s="7">
        <f>IFERROR(AVERAGEIF('Данные 2st'!$Q$2:$Q$317,$A17,'Данные 2st'!$QC$2:$QC$317),"")</f>
        <v>0</v>
      </c>
      <c r="TL17" s="7">
        <f>IFERROR(AVERAGEIF('Данные 2st'!$Q$2:$Q$317,$A17,'Данные 2st'!$QD$2:$QD$317),"")</f>
        <v>0</v>
      </c>
      <c r="TM17" s="7">
        <f>IFERROR(AVERAGEIF('Данные 2st'!$Q$2:$Q$317,$A17,'Данные 2st'!$QE$2:$QE$317),"")</f>
        <v>-1</v>
      </c>
      <c r="TN17" s="7">
        <f>IFERROR(AVERAGEIF('Данные 2st'!$Q$2:$Q$317,$A17,'Данные 2st'!$QF$2:$QF$317),"")</f>
        <v>1</v>
      </c>
      <c r="TO17" s="7">
        <f>IFERROR(AVERAGEIF('Данные 2st'!$Q$2:$Q$317,$A17,'Данные 2st'!$QG$2:$QG$317),"")</f>
        <v>0</v>
      </c>
      <c r="TP17" s="7">
        <f>IFERROR(AVERAGEIF('Данные 2st'!$Q$2:$Q$317,$A17,'Данные 2st'!$QH$2:$QH$317),"")</f>
        <v>5</v>
      </c>
      <c r="TQ17" s="7">
        <f>IFERROR(AVERAGEIF('Данные 2st'!$Q$2:$Q$317,$A17,'Данные 2st'!$QI$2:$QI$317),"")</f>
        <v>5</v>
      </c>
      <c r="TR17" s="7">
        <f>IFERROR(AVERAGEIF('Данные 2st'!$Q$2:$Q$317,$A17,'Данные 2st'!$QJ$2:$QJ$317),"")</f>
        <v>5</v>
      </c>
      <c r="TS17" s="7">
        <f>IFERROR(AVERAGEIF('Данные 2st'!$Q$2:$Q$317,$A17,'Данные 2st'!$QK$2:$QK$317),"")</f>
        <v>186.8</v>
      </c>
      <c r="TT17" s="7">
        <f>IFERROR(AVERAGEIF('Данные 2st'!$Q$2:$Q$317,$A17,'Данные 2st'!$QL$2:$QL$317),"")</f>
        <v>400</v>
      </c>
      <c r="TU17" s="7">
        <f>IFERROR(AVERAGEIF('Данные 2st'!$Q$2:$Q$317,$A17,'Данные 2st'!$QM$2:$QM$317),"")</f>
        <v>7.5</v>
      </c>
      <c r="TV17" s="7">
        <f>IFERROR(AVERAGEIF('Данные 2st'!$Q$2:$Q$317,$A17,'Данные 2st'!$QN$2:$QN$317),"")</f>
        <v>1283.1399999999999</v>
      </c>
      <c r="TW17" s="7">
        <f>IFERROR(AVERAGEIF('Данные 2st'!$Q$2:$Q$317,$A17,'Данные 2st'!$QQ$2:$QQ$317),"")</f>
        <v>0</v>
      </c>
      <c r="TX17" s="7">
        <f>IFERROR(AVERAGEIF('Данные 2st'!$Q$2:$Q$317,$A17,'Данные 2st'!$QS$2:$QS$317),"")</f>
        <v>34</v>
      </c>
      <c r="TY17" s="7">
        <f>IFERROR(AVERAGEIF('Данные 2st'!$Q$2:$Q$317,$A17,'Данные 2st'!$QT$2:$QT$317),"")</f>
        <v>44</v>
      </c>
    </row>
    <row r="18" spans="1:545" ht="32" customHeight="1">
      <c r="A18" s="11" t="s">
        <v>1718</v>
      </c>
      <c r="B18">
        <f>COUNTIF('Данные 1st'!$S$2:$S$317,$A18)</f>
        <v>4</v>
      </c>
      <c r="C18" s="6" t="s">
        <v>5082</v>
      </c>
      <c r="D18" s="6" t="s">
        <v>513</v>
      </c>
      <c r="E18" s="6" t="s">
        <v>5125</v>
      </c>
      <c r="F18" s="6" t="s">
        <v>5140</v>
      </c>
      <c r="G18" s="7">
        <f>IFERROR(AVERAGEIF('Данные 1st'!$S$2:$S$317,$A18,'Данные 1st'!$AE$2:$AE$317),"")</f>
        <v>191.75</v>
      </c>
      <c r="H18" s="7">
        <f>IFERROR(AVERAGEIF('Данные 1st'!$S$2:$S$317,$A18,'Данные 1st'!$AF$2:$AF$317),"")</f>
        <v>1.5</v>
      </c>
      <c r="I18" s="7">
        <f>IFERROR(AVERAGEIF('Данные 1st'!$S$2:$S$317,$A18,'Данные 1st'!$AJ$2:$AJ$317),"")</f>
        <v>194.375</v>
      </c>
      <c r="J18" s="7">
        <f>IFERROR(AVERAGEIF('Данные 1st'!$S$2:$S$317,$A18,'Данные 1st'!$AL$2:$AL$317),"")</f>
        <v>1.5</v>
      </c>
      <c r="K18" s="7">
        <f>IFERROR(AVERAGEIF('Данные 1st'!$S$2:$S$317,$A18,'Данные 1st'!$AR$2:$AR$317),"")</f>
        <v>56.75</v>
      </c>
      <c r="L18" s="7">
        <f>IFERROR(AVERAGEIF('Данные 1st'!$S$2:$S$317,$A18,'Данные 1st'!$AS$2:$AS$317),"")</f>
        <v>1.5</v>
      </c>
      <c r="M18" s="7">
        <f>IFERROR(AVERAGEIF('Данные 1st'!$S$2:$S$317,$A18,'Данные 1st'!$AY$2:$AY$317),"")</f>
        <v>323.125</v>
      </c>
      <c r="N18" s="7">
        <f>IFERROR(AVERAGEIF('Данные 1st'!$S$2:$S$317,$A18,'Данные 1st'!$AZ$2:$AZ$317),"")</f>
        <v>1.5</v>
      </c>
      <c r="O18" s="7">
        <f>IFERROR(AVERAGEIF('Данные 1st'!$S$2:$S$317,$A18,'Данные 1st'!$BF$2:$BF$317),"")</f>
        <v>232.5</v>
      </c>
      <c r="P18" s="7">
        <f>IFERROR(AVERAGEIF('Данные 1st'!$S$2:$S$317,$A18,'Данные 1st'!$BG$2:$BG$317),"")</f>
        <v>1.5</v>
      </c>
      <c r="Q18" s="7">
        <f>IFERROR(AVERAGEIF('Данные 1st'!$S$2:$S$317,$A18,'Данные 1st'!$BM$2:$BM$317),"")</f>
        <v/>
      </c>
      <c r="R18" s="7">
        <f>IFERROR(AVERAGEIF('Данные 1st'!$S$2:$S$317,$A18,'Данные 1st'!$BN$2:$BN$317),"")</f>
        <v>1.5</v>
      </c>
      <c r="S18" s="7">
        <f>IFERROR(AVERAGEIF('Данные 1st'!$S$2:$S$317,$A18,'Данные 1st'!$BT$2:$BT$317),"")</f>
        <v>208</v>
      </c>
      <c r="T18" s="7">
        <f>IFERROR(AVERAGEIF('Данные 1st'!$S$2:$S$317,$A18,'Данные 1st'!$BU$2:$BU$317),"")</f>
        <v>0.5</v>
      </c>
      <c r="U18" s="7">
        <f>IFERROR(AVERAGEIF('Данные 1st'!$S$2:$S$317,$A18,'Данные 1st'!$BW$2:$BW$317),"")</f>
        <v>416</v>
      </c>
      <c r="V18" s="7">
        <f>IFERROR(AVERAGEIF('Данные 1st'!$S$2:$S$317,$A18,'Данные 1st'!$BX$2:$BX$317),"")</f>
        <v>1</v>
      </c>
      <c r="W18" s="7">
        <f>IFERROR(AVERAGEIF('Данные 1st'!$S$2:$S$317,$A18,'Данные 1st'!$BZ$2:$BZ$317),"")</f>
        <v>300</v>
      </c>
      <c r="X18" s="7">
        <f>IFERROR(AVERAGEIF('Данные 1st'!$S$2:$S$317,$A18,'Данные 1st'!$CA$2:$CA$317),"")</f>
        <v>500</v>
      </c>
      <c r="Y18" s="7">
        <f>IFERROR(AVERAGEIF('Данные 1st'!$S$2:$S$317,$A18,'Данные 1st'!$CD$2:$CD$317),"")</f>
        <v>424.5</v>
      </c>
      <c r="Z18" s="7">
        <f>IFERROR(AVERAGEIF('Данные 1st'!$S$2:$S$317,$A18,'Данные 1st'!$CF$2:$CF$317),"")</f>
        <v>15</v>
      </c>
      <c r="AA18" s="7">
        <f>IFERROR(AVERAGEIF('Данные 1st'!$S$2:$S$317,$A18,'Данные 1st'!$CI$2:$CI$317),"")</f>
        <v>100</v>
      </c>
      <c r="AB18" s="7">
        <f>IFERROR(AVERAGEIF('Данные 1st'!$S$2:$S$317,$A18,'Данные 1st'!$CJ$2:$CJ$317),"")</f>
        <v>1122</v>
      </c>
      <c r="AC18" s="7">
        <f>IFERROR(AVERAGEIF('Данные 1st'!$S$2:$S$317,$A18,'Данные 1st'!$CK$2:$CK$317),"")</f>
        <v>2</v>
      </c>
      <c r="AD18" s="7">
        <f>IFERROR(AVERAGEIF('Данные 1st'!$S$2:$S$317,$A18,'Данные 1st'!$CL$2:$CL$317),"")</f>
        <v>1222</v>
      </c>
      <c r="AE18" s="7">
        <f>IFERROR(AVERAGEIF('Данные 1st'!$S$2:$S$317,$A18,'Данные 1st'!$CM$2:$CM$317),"")</f>
        <v>2</v>
      </c>
      <c r="AF18" s="7">
        <f>IFERROR(AVERAGEIF('Данные 1st'!$S$2:$S$317,$A18,'Данные 1st'!$CT$2:$CT$317),"")</f>
        <v>388.75</v>
      </c>
      <c r="AG18" s="7">
        <f>IFERROR(AVERAGEIF('Данные 1st'!$S$2:$S$317,$A18,'Данные 1st'!$CU$2:$CU$317),"")</f>
        <v>5</v>
      </c>
      <c r="AH18" s="7">
        <f>IFERROR(AVERAGEIF('Данные 1st'!$S$2:$S$317,$A18,'Данные 1st'!$CV$2:$CV$317),"")</f>
        <v>1.25</v>
      </c>
      <c r="AI18" s="7">
        <f>IFERROR(AVERAGEIF('Данные 1st'!$S$2:$S$317,$A18,'Данные 1st'!$CW$2:$CW$317),"")</f>
        <v>1137.25</v>
      </c>
      <c r="AJ18" s="7">
        <f>IFERROR(AVERAGEIF('Данные 1st'!$S$2:$S$317,$A18,'Данные 1st'!$CX$2:$CX$317),"")</f>
        <v>652.25</v>
      </c>
      <c r="AK18" s="7">
        <f>IFERROR(AVERAGEIF('Данные 1st'!$S$2:$S$317,$A18,'Данные 1st'!$CZ$2:$CZ$317),"")</f>
        <v>50</v>
      </c>
      <c r="AL18" s="7">
        <f>IFERROR(AVERAGEIF('Данные 1st'!$S$2:$S$317,$A18,'Данные 1st'!$DA$2:$DA$317),"")</f>
        <v>3</v>
      </c>
      <c r="AM18" s="7">
        <f>IFERROR(AVERAGEIF('Данные 1st'!$S$2:$S$317,$A18,'Данные 1st'!$DB$2:$DB$317),"")</f>
        <v>1</v>
      </c>
      <c r="AN18" s="7">
        <f>IFERROR(AVERAGEIF('Данные 1st'!$S$2:$S$317,$A18,'Данные 1st'!$DC$2:$DC$317),"")</f>
        <v>1141</v>
      </c>
      <c r="AO18" s="7">
        <f>IFERROR(AVERAGEIF('Данные 1st'!$S$2:$S$317,$A18,'Данные 1st'!$DD$2:$DD$317),"")</f>
        <v>15</v>
      </c>
      <c r="AP18" s="7">
        <f>IFERROR(AVERAGEIF('Данные 1st'!$S$2:$S$317,$A18,'Данные 1st'!$DF$2:$DF$317),"")</f>
        <v>646.25</v>
      </c>
      <c r="AQ18" s="7">
        <f>IFERROR(AVERAGEIF('Данные 1st'!$S$2:$S$317,$A18,'Данные 1st'!$DG$2:$DG$317),"")</f>
        <v>3</v>
      </c>
      <c r="AR18" s="7">
        <f>IFERROR(AVERAGEIF('Данные 1st'!$S$2:$S$317,$A18,'Данные 1st'!$DH$2:$DH$317),"")</f>
        <v>1.03</v>
      </c>
      <c r="AS18" s="7">
        <f>IFERROR(AVERAGEIF('Данные 1st'!$S$2:$S$317,$A18,'Данные 1st'!$DI$2:$DI$317),"")</f>
        <v>1133.75</v>
      </c>
      <c r="AT18" s="7">
        <f>IFERROR(AVERAGEIF('Данные 1st'!$S$2:$S$317,$A18,'Данные 1st'!$DJ$2:$DJ$317),"")</f>
        <v>1018.25</v>
      </c>
      <c r="AU18" s="7">
        <f>IFERROR(AVERAGEIF('Данные 1st'!$S$2:$S$317,$A18,'Данные 1st'!$DL$2:$DL$317),"")</f>
        <v>465</v>
      </c>
      <c r="AV18" s="7">
        <f>IFERROR(AVERAGEIF('Данные 1st'!$S$2:$S$317,$A18,'Данные 1st'!$DM$2:$DM$317),"")</f>
        <v>3</v>
      </c>
      <c r="AW18" s="7">
        <f>IFERROR(AVERAGEIF('Данные 1st'!$S$2:$S$317,$A18,'Данные 1st'!$DN$2:$DN$317),"")</f>
        <v>0.88</v>
      </c>
      <c r="AX18" s="7">
        <f>IFERROR(AVERAGEIF('Данные 1st'!$S$2:$S$317,$A18,'Данные 1st'!$DO$2:$DO$317),"")</f>
        <v>1138</v>
      </c>
      <c r="AY18" s="7">
        <f>IFERROR(AVERAGEIF('Данные 1st'!$S$2:$S$317,$A18,'Данные 1st'!$DP$2:$DP$317),"")</f>
        <v>582</v>
      </c>
      <c r="AZ18" s="7">
        <f>IFERROR(AVERAGEIF('Данные 1st'!$S$2:$S$317,$A18,'Данные 1st'!$DR$2:$DR$317),"")</f>
        <v/>
      </c>
      <c r="BA18" s="7">
        <f>IFERROR(AVERAGEIF('Данные 1st'!$S$2:$S$317,$A18,'Данные 1st'!$DS$2:$DS$317),"")</f>
        <v/>
      </c>
      <c r="BB18" s="7">
        <f>IFERROR(AVERAGEIF('Данные 1st'!$S$2:$S$317,$A18,'Данные 1st'!$DT$2:$DT$317),"")</f>
        <v/>
      </c>
      <c r="BC18" s="7">
        <f>IFERROR(AVERAGEIF('Данные 1st'!$S$2:$S$317,$A18,'Данные 1st'!$DU$2:$DU$317),"")</f>
        <v/>
      </c>
      <c r="BD18" s="7">
        <f>IFERROR(AVERAGEIF('Данные 1st'!$S$2:$S$317,$A18,'Данные 1st'!$DV$2:$DV$317),"")</f>
        <v/>
      </c>
      <c r="BE18" s="7">
        <f>IFERROR(AVERAGEIF('Данные 1st'!$S$2:$S$317,$A18,'Данные 1st'!$DX$2:$DX$317),"")</f>
        <v>7.5</v>
      </c>
      <c r="BF18" s="7">
        <f>IFERROR(AVERAGEIF('Данные 1st'!$S$2:$S$317,$A18,'Данные 1st'!$EA$2:$EA$317),"")</f>
        <v>1203.9</v>
      </c>
      <c r="BG18" s="7">
        <f>IFERROR(AVERAGEIF('Данные 1st'!$S$2:$S$317,$A18,'Данные 1st'!$EB$2:$EB$317),"")</f>
        <v>171.25</v>
      </c>
      <c r="BH18" s="7">
        <f>IFERROR(AVERAGEIF('Данные 1st'!$S$2:$S$317,$A18,'Данные 1st'!$ED$2:$ED$317),"")</f>
        <v>41.25</v>
      </c>
      <c r="BI18" s="7">
        <f>IFERROR(AVERAGEIF('Данные 1st'!$S$2:$S$317,$A18,'Данные 1st'!$EE$2:$EE$317),"")</f>
        <v>3</v>
      </c>
      <c r="BJ18" s="7">
        <f>IFERROR(AVERAGEIF('Данные 1st'!$S$2:$S$317,$A18,'Данные 1st'!$EG$2:$EG$317),"")</f>
        <v>1237</v>
      </c>
      <c r="BK18" s="7">
        <f>IFERROR(AVERAGEIF('Данные 1st'!$S$2:$S$317,$A18,'Данные 1st'!$EH$2:$EH$317),"")</f>
        <v>205.25</v>
      </c>
      <c r="BL18" s="7">
        <f>IFERROR(AVERAGEIF('Данные 1st'!$S$2:$S$317,$A18,'Данные 1st'!$EJ$2:$EJ$317),"")</f>
        <v>0</v>
      </c>
      <c r="BM18" s="7">
        <f>IFERROR(AVERAGEIF('Данные 1st'!$S$2:$S$317,$A18,'Данные 1st'!$EK$2:$EK$317),"")</f>
        <v>1</v>
      </c>
      <c r="BN18" s="7">
        <f>IFERROR(AVERAGEIF('Данные 1st'!$S$2:$S$317,$A18,'Данные 1st'!$EN$2:$EN$317),"")</f>
        <v>0</v>
      </c>
      <c r="BO18" s="7">
        <f>IFERROR(AVERAGEIF('Данные 1st'!$S$2:$S$317,$A18,'Данные 1st'!$EQ$2:$EQ$317),"")</f>
        <v>117.5</v>
      </c>
      <c r="BP18" s="7">
        <f>IFERROR(AVERAGEIF('Данные 1st'!$S$2:$S$317,$A18,'Данные 1st'!$ER$2:$ER$317),"")</f>
        <v>3</v>
      </c>
      <c r="BQ18" s="7">
        <f>IFERROR(AVERAGEIF('Данные 1st'!$S$2:$S$317,$A18,'Данные 1st'!$ES$2:$ES$317),"")</f>
        <v>5.45</v>
      </c>
      <c r="BR18" s="7">
        <f>IFERROR(AVERAGEIF('Данные 1st'!$S$2:$S$317,$A18,'Данные 1st'!$ET$2:$ET$317),"")</f>
        <v>1119.75</v>
      </c>
      <c r="BS18" s="7">
        <f>IFERROR(AVERAGEIF('Данные 1st'!$S$2:$S$317,$A18,'Данные 1st'!$EU$2:$EU$317),"")</f>
        <v>499.775</v>
      </c>
      <c r="BT18" s="7">
        <f>IFERROR(AVERAGEIF('Данные 1st'!$S$2:$S$317,$A18,'Данные 1st'!$EV$2:$EV$317),"")</f>
        <v>559.75</v>
      </c>
      <c r="BU18" s="7">
        <f>IFERROR(AVERAGEIF('Данные 1st'!$S$2:$S$317,$A18,'Данные 1st'!$EX$2:$EX$317),"")</f>
        <v>63.75</v>
      </c>
      <c r="BV18" s="7">
        <f>IFERROR(AVERAGEIF('Данные 1st'!$S$2:$S$317,$A18,'Данные 1st'!$EY$2:$EY$317),"")</f>
        <v>2</v>
      </c>
      <c r="BW18" s="7">
        <f>IFERROR(AVERAGEIF('Данные 1st'!$S$2:$S$317,$A18,'Данные 1st'!$EZ$2:$EZ$317),"")</f>
        <v>4.25</v>
      </c>
      <c r="BX18" s="7">
        <f>IFERROR(AVERAGEIF('Данные 1st'!$S$2:$S$317,$A18,'Данные 1st'!$FA$2:$FA$317),"")</f>
        <v>1119.75</v>
      </c>
      <c r="BY18" s="7">
        <f>IFERROR(AVERAGEIF('Данные 1st'!$S$2:$S$317,$A18,'Данные 1st'!$FB$2:$FB$317),"")</f>
        <v>192.2</v>
      </c>
      <c r="BZ18" s="7">
        <f>IFERROR(AVERAGEIF('Данные 1st'!$S$2:$S$317,$A18,'Данные 1st'!$FC$2:$FC$317),"")</f>
        <v>215</v>
      </c>
      <c r="CA18" s="7">
        <f>IFERROR(AVERAGEIF('Данные 1st'!$S$2:$S$317,$A18,'Данные 1st'!$FE$2:$FE$317),"")</f>
        <v>0</v>
      </c>
      <c r="CB18" s="7">
        <f>IFERROR(AVERAGEIF('Данные 1st'!$S$2:$S$317,$A18,'Данные 1st'!$FF$2:$FF$317),"")</f>
        <v>2</v>
      </c>
      <c r="CC18" s="7">
        <f>IFERROR(AVERAGEIF('Данные 1st'!$S$2:$S$317,$A18,'Данные 1st'!$FI$2:$FI$317),"")</f>
        <v>0</v>
      </c>
      <c r="CD18" s="7">
        <f>IFERROR(AVERAGEIF('Данные 1st'!$S$2:$S$317,$A18,'Данные 1st'!$FL$2:$FL$317),"")</f>
        <v>0.45</v>
      </c>
      <c r="CE18" s="7">
        <f>IFERROR(AVERAGEIF('Данные 1st'!$S$2:$S$317,$A18,'Данные 1st'!$FM$2:$FM$317),"")</f>
        <v>81.25</v>
      </c>
      <c r="CF18" s="7">
        <f>IFERROR(AVERAGEIF('Данные 1st'!$S$2:$S$317,$A18,'Данные 1st'!$FN$2:$FN$317),"")</f>
        <v>160</v>
      </c>
      <c r="CG18" s="7">
        <f>IFERROR(AVERAGEIF('Данные 1st'!$S$2:$S$317,$A18,'Данные 1st'!$FO$2:$FO$317),"")</f>
        <v>70</v>
      </c>
      <c r="CH18" s="7">
        <f>IFERROR(AVERAGEIF('Данные 1st'!$S$2:$S$317,$A18,'Данные 1st'!$FP$2:$FP$317),"")</f>
        <v>130</v>
      </c>
      <c r="CI18" s="7">
        <f>IFERROR(AVERAGEIF('Данные 1st'!$S$2:$S$317,$A18,'Данные 1st'!$FS$2:$FS$317),"")</f>
        <v>0.4666666666666667</v>
      </c>
      <c r="CJ18" s="7">
        <f>IFERROR(AVERAGEIF('Данные 1st'!$S$2:$S$317,$A18,'Данные 1st'!$FT$2:$FT$317),"")</f>
        <v>63.333333333333336</v>
      </c>
      <c r="CK18" s="7">
        <f>IFERROR(AVERAGEIF('Данные 1st'!$S$2:$S$317,$A18,'Данные 1st'!$FU$2:$FU$317),"")</f>
        <v>283.3333333333333</v>
      </c>
      <c r="CL18" s="7">
        <f>IFERROR(AVERAGEIF('Данные 1st'!$S$2:$S$317,$A18,'Данные 1st'!$FV$2:$FV$317),"")</f>
        <v/>
      </c>
      <c r="CM18" s="7">
        <f>IFERROR(AVERAGEIF('Данные 1st'!$S$2:$S$317,$A18,'Данные 1st'!$FW$2:$FW$317),"")</f>
        <v/>
      </c>
      <c r="CN18" s="7">
        <f>IFERROR(AVERAGEIF('Данные 1st'!$S$2:$S$317,$A18,'Данные 1st'!$FZ$2:$FZ$317),"")</f>
        <v/>
      </c>
      <c r="CO18" s="7">
        <f>IFERROR(AVERAGEIF('Данные 1st'!$S$2:$S$317,$A18,'Данные 1st'!$GA$2:$GA$317),"")</f>
        <v/>
      </c>
      <c r="CP18" s="7">
        <f>IFERROR(AVERAGEIF('Данные 1st'!$S$2:$S$317,$A18,'Данные 1st'!$GB$2:$GB$317),"")</f>
        <v/>
      </c>
      <c r="CQ18" s="7">
        <f>IFERROR(AVERAGEIF('Данные 1st'!$S$2:$S$317,$A18,'Данные 1st'!$GH$2:$GH$317),"")</f>
        <v/>
      </c>
      <c r="CR18" s="7">
        <f>IFERROR(AVERAGEIF('Данные 1st'!$S$2:$S$317,$A18,'Данные 1st'!$GI$2:$GI$317),"")</f>
        <v/>
      </c>
      <c r="CS18" s="7">
        <f>IFERROR(AVERAGEIF('Данные 1st'!$S$2:$S$317,$A18,'Данные 1st'!$GJ$2:$GJ$317),"")</f>
        <v/>
      </c>
      <c r="CT18" s="7">
        <f>IFERROR(AVERAGEIF('Данные 1st'!$S$2:$S$317,$A18,'Данные 1st'!$GS$2:$GS$317),"")</f>
        <v>0.4</v>
      </c>
      <c r="CU18" s="7">
        <f>IFERROR(AVERAGEIF('Данные 1st'!$S$2:$S$317,$A18,'Данные 1st'!$GT$2:$GT$317),"")</f>
        <v>30</v>
      </c>
      <c r="CV18" s="7">
        <f>IFERROR(AVERAGEIF('Данные 1st'!$S$2:$S$317,$A18,'Данные 1st'!$GU$2:$GU$317),"")</f>
        <v>380</v>
      </c>
      <c r="CW18" s="7">
        <f>IFERROR(AVERAGEIF('Данные 1st'!$S$2:$S$317,$A18,'Данные 1st'!$GV$2:$GV$317),"")</f>
        <v>30</v>
      </c>
      <c r="CX18" s="7">
        <f>IFERROR(AVERAGEIF('Данные 1st'!$S$2:$S$317,$A18,'Данные 1st'!$GW$2:$GW$317),"")</f>
        <v>240</v>
      </c>
      <c r="CY18" s="7">
        <f>IFERROR(AVERAGEIF('Данные 1st'!$S$2:$S$317,$A18,'Данные 1st'!$GZ$2:$GZ$317),"")</f>
        <v/>
      </c>
      <c r="CZ18" s="7">
        <f>IFERROR(AVERAGEIF('Данные 1st'!$S$2:$S$317,$A18,'Данные 1st'!$HA$2:$HA$317),"")</f>
        <v/>
      </c>
      <c r="DA18" s="7">
        <f>IFERROR(AVERAGEIF('Данные 1st'!$S$2:$S$317,$A18,'Данные 1st'!$HB$2:$HB$317),"")</f>
        <v/>
      </c>
      <c r="DB18" s="7">
        <f>IFERROR(AVERAGEIF('Данные 1st'!$S$2:$S$317,$A18,'Данные 1st'!$HC$2:$HC$317),"")</f>
        <v>0.1</v>
      </c>
      <c r="DC18" s="7">
        <f>IFERROR(AVERAGEIF('Данные 1st'!$S$2:$S$317,$A18,'Данные 1st'!$HD$2:$HD$317),"")</f>
        <v>3</v>
      </c>
      <c r="DD18" s="7">
        <f>IFERROR(AVERAGEIF('Данные 1st'!$S$2:$S$317,$A18,'Данные 1st'!$HE$2:$HE$317),"")</f>
        <v>3</v>
      </c>
      <c r="DE18" s="7">
        <f>IFERROR(AVERAGEIF('Данные 1st'!$S$2:$S$317,$A18,'Данные 1st'!$HF$2:$HF$317),"")</f>
        <v>3</v>
      </c>
      <c r="DF18" s="7">
        <f>IFERROR(AVERAGEIF('Данные 1st'!$S$2:$S$317,$A18,'Данные 1st'!$HG$2:$HG$317),"")</f>
        <v>3</v>
      </c>
      <c r="DG18" s="7">
        <f>IFERROR(AVERAGEIF('Данные 1st'!$S$2:$S$317,$A18,'Данные 1st'!$HH$2:$HH$317),"")</f>
        <v>3</v>
      </c>
      <c r="DH18" s="7">
        <f>IFERROR(AVERAGEIF('Данные 1st'!$S$2:$S$317,$A18,'Данные 1st'!$HI$2:$HI$317),"")</f>
        <v>166.25</v>
      </c>
      <c r="DI18" s="7">
        <f>IFERROR(AVERAGEIF('Данные 1st'!$S$2:$S$317,$A18,'Данные 1st'!$HJ$2:$HJ$317),"")</f>
        <v>3</v>
      </c>
      <c r="DJ18" s="7">
        <f>IFERROR(AVERAGEIF('Данные 1st'!$S$2:$S$317,$A18,'Данные 1st'!$HK$2:$HK$317),"")</f>
        <v>48.75</v>
      </c>
      <c r="DK18" s="7">
        <f>IFERROR(AVERAGEIF('Данные 1st'!$S$2:$S$317,$A18,'Данные 1st'!$HL$2:$HL$317),"")</f>
        <v>2</v>
      </c>
      <c r="DL18" s="7">
        <f>IFERROR(AVERAGEIF('Данные 1st'!$S$2:$S$317,$A18,'Данные 1st'!$HM$2:$HM$317),"")</f>
        <v>0</v>
      </c>
      <c r="DM18" s="7">
        <f>IFERROR(AVERAGEIF('Данные 1st'!$S$2:$S$317,$A18,'Данные 1st'!$HN$2:$HN$317),"")</f>
        <v>2</v>
      </c>
      <c r="DN18" s="7">
        <f>IFERROR(AVERAGEIF('Данные 1st'!$S$2:$S$317,$A18,'Данные 1st'!$HO$2:$HO$317),"")</f>
        <v>102.5</v>
      </c>
      <c r="DO18" s="7">
        <f>IFERROR(AVERAGEIF('Данные 1st'!$S$2:$S$317,$A18,'Данные 1st'!$HP$2:$HP$317),"")</f>
        <v>3</v>
      </c>
      <c r="DP18" s="7">
        <f>IFERROR(AVERAGEIF('Данные 1st'!$S$2:$S$317,$A18,'Данные 1st'!$HQ$2:$HQ$317),"")</f>
        <v>0</v>
      </c>
      <c r="DQ18" s="7">
        <f>IFERROR(AVERAGEIF('Данные 1st'!$S$2:$S$317,$A18,'Данные 1st'!$HR$2:$HR$317),"")</f>
        <v>2</v>
      </c>
      <c r="DR18" s="7">
        <f>IFERROR(AVERAGEIF('Данные 1st'!$S$2:$S$317,$A18,'Данные 1st'!$HS$2:$HS$317),"")</f>
        <v>4148.5</v>
      </c>
      <c r="DS18" s="7">
        <f>IFERROR(AVERAGEIF('Данные 1st'!$S$2:$S$317,$A18,'Данные 1st'!$HT$2:$HT$317),"")</f>
        <v>122.5</v>
      </c>
      <c r="DT18" s="7">
        <f>IFERROR(AVERAGEIF('Данные 1st'!$S$2:$S$317,$A18,'Данные 1st'!$HU$2:$HU$317),"")</f>
        <v>180</v>
      </c>
      <c r="DU18" s="7">
        <f>IFERROR(AVERAGEIF('Данные 1st'!$S$2:$S$317,$A18,'Данные 1st'!$HW$2:$HW$317),"")</f>
        <v>10</v>
      </c>
      <c r="DV18" s="7">
        <f>IFERROR(AVERAGEIF('Данные 1st'!$S$2:$S$317,$A18,'Данные 1st'!$HX$2:$HX$317),"")</f>
        <v>494</v>
      </c>
      <c r="DW18" s="7">
        <f>IFERROR(AVERAGEIF('Данные 1st'!$S$2:$S$317,$A18,'Данные 1st'!$HY$2:$HY$317),"")</f>
        <v>0.18</v>
      </c>
      <c r="DX18" s="7">
        <f>IFERROR(AVERAGEIF('Данные 1st'!$S$2:$S$317,$A18,'Данные 1st'!$IA$2:$IA$317),"")</f>
        <v>0.15</v>
      </c>
      <c r="DY18" s="7">
        <f>IFERROR(AVERAGEIF('Данные 1st'!$S$2:$S$317,$A18,'Данные 1st'!$IB$2:$IB$317),"")</f>
        <v>0</v>
      </c>
      <c r="DZ18" s="7">
        <f>IFERROR(AVERAGEIF('Данные 1st'!$S$2:$S$317,$A18,'Данные 1st'!$IC$2:$IC$317),"")</f>
        <v>180</v>
      </c>
      <c r="EA18" s="7">
        <f>IFERROR(AVERAGEIF('Данные 1st'!$S$2:$S$317,$A18,'Данные 1st'!$ID$2:$ID$317),"")</f>
        <v>110</v>
      </c>
      <c r="EB18" s="7">
        <f>IFERROR(AVERAGEIF('Данные 1st'!$S$2:$S$317,$A18,'Данные 1st'!$IE$2:$IE$317),"")</f>
        <v>56.25</v>
      </c>
      <c r="EC18" s="7">
        <f>IFERROR(AVERAGEIF('Данные 1st'!$S$2:$S$317,$A18,'Данные 1st'!$IF$2:$IF$317),"")</f>
        <v>0</v>
      </c>
      <c r="ED18" s="7">
        <f>IFERROR(AVERAGEIF('Данные 1st'!$S$2:$S$317,$A18,'Данные 1st'!$IP$2:$IP$317),"")</f>
        <v>15</v>
      </c>
      <c r="EE18" s="7">
        <f>IFERROR(AVERAGEIF('Данные 1st'!$S$2:$S$317,$A18,'Данные 1st'!$IV$2:$IV$317),"")</f>
        <v>1122</v>
      </c>
      <c r="EF18" s="7">
        <f>IFERROR(AVERAGEIF('Данные 1st'!$S$2:$S$317,$A18,'Данные 1st'!$IW$2:$IW$317),"")</f>
        <v>416</v>
      </c>
      <c r="EG18" s="7">
        <f>IFERROR(AVERAGEIF('Данные 1st'!$S$2:$S$317,$A18,'Данные 1st'!$IX$2:$IX$317),"")</f>
        <v/>
      </c>
      <c r="EH18" s="7">
        <f>IFERROR(AVERAGEIF('Данные 1st'!$S$2:$S$317,$A18,'Данные 1st'!$IY$2:$IY$317),"")</f>
        <v/>
      </c>
      <c r="EI18" s="7">
        <f>IFERROR(AVERAGEIF('Данные 1st'!$S$2:$S$317,$A18,'Данные 1st'!$JD$2:$JD$317),"")</f>
        <v>1137.25</v>
      </c>
      <c r="EJ18" s="7">
        <f>IFERROR(AVERAGEIF('Данные 1st'!$S$2:$S$317,$A18,'Данные 1st'!$JE$2:$JE$317),"")</f>
        <v>1133.75</v>
      </c>
      <c r="EK18" s="7">
        <f>IFERROR(AVERAGEIF('Данные 1st'!$S$2:$S$317,$A18,'Данные 1st'!$JF$2:$JF$317),"")</f>
        <v>284.5</v>
      </c>
      <c r="EL18" s="7">
        <f>IFERROR(AVERAGEIF('Данные 1st'!$S$2:$S$317,$A18,'Данные 1st'!$JG$2:$JG$317),"")</f>
        <v>1119.75</v>
      </c>
      <c r="EM18" s="7">
        <f>IFERROR(AVERAGEIF('Данные 1st'!$S$2:$S$317,$A18,'Данные 1st'!$JH$2:$JH$317),"")</f>
        <v>0</v>
      </c>
      <c r="EN18" s="7">
        <f>IFERROR(AVERAGEIF('Данные 1st'!$S$2:$S$317,$A18,'Данные 1st'!$JJ$2:$JJ$317),"")</f>
        <v>180</v>
      </c>
      <c r="EO18" s="7">
        <f>IFERROR(AVERAGEIF('Данные 1st'!$S$2:$S$317,$A18,'Данные 1st'!$JK$2:$JK$317),"")</f>
        <v>494</v>
      </c>
      <c r="EP18" s="7">
        <f>IFERROR(AVERAGEIF('Данные 1st'!$S$2:$S$317,$A18,'Данные 1st'!$JL$2:$JL$317),"")</f>
        <v/>
      </c>
      <c r="EQ18" s="7">
        <f>IFERROR(AVERAGEIF('Данные 1st'!$S$2:$S$317,$A18,'Данные 1st'!$JM$2:$JM$317),"")</f>
        <v/>
      </c>
      <c r="ER18" s="7">
        <f>IFERROR(AVERAGEIF('Данные 1st'!$S$2:$S$317,$A18,'Данные 1st'!$JN$2:$JN$317),"")</f>
        <v>388.75</v>
      </c>
      <c r="ES18" s="7">
        <f>IFERROR(AVERAGEIF('Данные 1st'!$S$2:$S$317,$A18,'Данные 1st'!$JO$2:$JO$317),"")</f>
        <v>646.25</v>
      </c>
      <c r="ET18" s="7">
        <f>IFERROR(AVERAGEIF('Данные 1st'!$S$2:$S$317,$A18,'Данные 1st'!$JP$2:$JP$317),"")</f>
        <v>116.25</v>
      </c>
      <c r="EU18" s="7">
        <f>IFERROR(AVERAGEIF('Данные 1st'!$S$2:$S$317,$A18,'Данные 1st'!$JQ$2:$JQ$317),"")</f>
        <v>0</v>
      </c>
      <c r="EV18" s="7">
        <f>IFERROR(AVERAGEIF('Данные 1st'!$S$2:$S$317,$A18,'Данные 1st'!$JR$2:$JR$317),"")</f>
        <v>383.5</v>
      </c>
      <c r="EW18" s="7">
        <f>IFERROR(AVERAGEIF('Данные 1st'!$S$2:$S$317,$A18,'Данные 1st'!$JS$2:$JS$317),"")</f>
        <v>166.25</v>
      </c>
      <c r="EX18" s="7">
        <f>IFERROR(AVERAGEIF('Данные 1st'!$S$2:$S$317,$A18,'Данные 1st'!$JT$2:$JT$317),"")</f>
        <v/>
      </c>
      <c r="EY18" s="7">
        <f>IFERROR(AVERAGEIF('Данные 1st'!$S$2:$S$317,$A18,'Данные 1st'!$JU$2:$JU$317),"")</f>
        <v/>
      </c>
      <c r="EZ18" s="7">
        <f>IFERROR(AVERAGEIF('Данные 1st'!$S$2:$S$317,$A18,'Данные 1st'!$JV$2:$JV$317),"")</f>
        <v>8</v>
      </c>
      <c r="FA18" s="7">
        <f>IFERROR(AVERAGEIF('Данные 1st'!$S$2:$S$317,$A18,'Данные 1st'!$JW$2:$JW$317),"")</f>
        <v/>
      </c>
      <c r="FB18" s="7">
        <f>IFERROR(AVERAGEIF('Данные 1st'!$S$2:$S$317,$A18,'Данные 1st'!$JX$2:$JX$317),"")</f>
        <v>113.5</v>
      </c>
      <c r="FC18" s="7">
        <f>IFERROR(AVERAGEIF('Данные 1st'!$S$2:$S$317,$A18,'Данные 1st'!$JY$2:$JY$317),"")</f>
        <v/>
      </c>
      <c r="FD18" s="7">
        <f>IFERROR(AVERAGEIF('Данные 1st'!$S$2:$S$317,$A18,'Данные 1st'!$JZ$2:$JZ$317),"")</f>
        <v/>
      </c>
      <c r="FE18" s="7">
        <f>IFERROR(AVERAGEIF('Данные 1st'!$S$2:$S$317,$A18,'Данные 1st'!$KA$2:$KA$317),"")</f>
        <v>56.25</v>
      </c>
      <c r="FF18" s="7">
        <f>IFERROR(AVERAGEIF('Данные 1st'!$S$2:$S$317,$A18,'Данные 1st'!$KB$2:$KB$317),"")</f>
        <v>110</v>
      </c>
      <c r="FG18" s="7">
        <f>IFERROR(AVERAGEIF('Данные 1st'!$S$2:$S$317,$A18,'Данные 1st'!$KC$2:$KC$317),"")</f>
        <v>0</v>
      </c>
      <c r="FH18" s="7">
        <f>IFERROR(AVERAGEIF('Данные 1st'!$S$2:$S$317,$A18,'Данные 1st'!$KD$2:$KD$317),"")</f>
        <v>80</v>
      </c>
      <c r="FI18" s="7">
        <f>IFERROR(AVERAGEIF('Данные 1st'!$S$2:$S$317,$A18,'Данные 1st'!$KE$2:$KE$317),"")</f>
        <v/>
      </c>
      <c r="FJ18" s="7">
        <f>IFERROR(AVERAGEIF('Данные 1st'!$S$2:$S$317,$A18,'Данные 1st'!$KF$2:$KF$317),"")</f>
        <v>3.25</v>
      </c>
      <c r="FK18" s="7">
        <f>IFERROR(AVERAGEIF('Данные 1st'!$S$2:$S$317,$A18,'Данные 1st'!$KG$2:$KG$317),"")</f>
        <v>3.5</v>
      </c>
      <c r="FL18" s="7">
        <f>IFERROR(AVERAGEIF('Данные 1st'!$S$2:$S$317,$A18,'Данные 1st'!$KH$2:$KH$317),"")</f>
        <v>2</v>
      </c>
      <c r="FM18" s="7">
        <f>IFERROR(AVERAGEIF('Данные 1st'!$S$2:$S$317,$A18,'Данные 1st'!$KI$2:$KI$317),"")</f>
        <v>2</v>
      </c>
      <c r="FN18" s="7">
        <f>IFERROR(AVERAGEIF('Данные 1st'!$S$2:$S$317,$A18,'Данные 1st'!$KJ$2:$KJ$317),"")</f>
        <v>0</v>
      </c>
      <c r="FO18" s="7">
        <f>IFERROR(AVERAGEIF('Данные 1st'!$S$2:$S$317,$A18,'Данные 1st'!$KK$2:$KK$317),"")</f>
        <v>1.5</v>
      </c>
      <c r="FP18" s="7">
        <f>IFERROR(AVERAGEIF('Данные 1st'!$S$2:$S$317,$A18,'Данные 1st'!$KL$2:$KL$317),"")</f>
        <v>1.5</v>
      </c>
      <c r="FQ18" s="7">
        <f>IFERROR(AVERAGEIF('Данные 1st'!$S$2:$S$317,$A18,'Данные 1st'!$KM$2:$KM$317),"")</f>
        <v>0</v>
      </c>
      <c r="FR18" s="7">
        <f>IFERROR(AVERAGEIF('Данные 1st'!$S$2:$S$317,$A18,'Данные 1st'!$KN$2:$KN$317),"")</f>
        <v>0</v>
      </c>
      <c r="FS18" s="7">
        <f>IFERROR(AVERAGEIF('Данные 1st'!$S$2:$S$317,$A18,'Данные 1st'!$KR$2:$KR$317),"")</f>
        <v>40</v>
      </c>
      <c r="FT18" s="7">
        <f>IFERROR(AVERAGEIF('Данные 1st'!$S$2:$S$317,$A18,'Данные 1st'!$KS$2:$KS$317),"")</f>
        <v>60</v>
      </c>
      <c r="FU18" s="7">
        <f>IFERROR(AVERAGEIF('Данные 1st'!$S$2:$S$317,$A18,'Данные 1st'!$KT$2:$KT$317),"")</f>
        <v>0</v>
      </c>
      <c r="FV18" s="7">
        <f>IFERROR(AVERAGEIF('Данные 1st'!$S$2:$S$317,$A18,'Данные 1st'!$KV$2:$KV$317),"")</f>
        <v/>
      </c>
      <c r="FW18" s="7">
        <f>IFERROR(AVERAGEIF('Данные 1st'!$S$2:$S$317,$A18,'Данные 1st'!$KW$2:$KW$317),"")</f>
        <v/>
      </c>
      <c r="FX18" s="7">
        <f>IFERROR(AVERAGEIF('Данные 1st'!$S$2:$S$317,$A18,'Данные 1st'!$KX$2:$KX$317),"")</f>
        <v/>
      </c>
      <c r="FY18" s="7">
        <f>IFERROR(AVERAGEIF('Данные 1st'!$S$2:$S$317,$A18,'Данные 1st'!$KY$2:$KY$317),"")</f>
        <v/>
      </c>
      <c r="FZ18" s="7">
        <f>IFERROR(AVERAGEIF('Данные 1st'!$S$2:$S$317,$A18,'Данные 1st'!$KZ$2:$KZ$317),"")</f>
        <v/>
      </c>
      <c r="GA18" s="7">
        <f>IFERROR(AVERAGEIF('Данные 1st'!$S$2:$S$317,$A18,'Данные 1st'!$LA$2:$LA$317),"")</f>
        <v/>
      </c>
      <c r="GB18" s="7">
        <f>IFERROR(AVERAGEIF('Данные 1st'!$S$2:$S$317,$A18,'Данные 1st'!$LB$2:$LB$317),"")</f>
        <v/>
      </c>
      <c r="GC18" s="7">
        <f>IFERROR(AVERAGEIF('Данные 1st'!$S$2:$S$317,$A18,'Данные 1st'!$LC$2:$LC$317),"")</f>
        <v/>
      </c>
      <c r="GD18" s="7">
        <f>IFERROR(AVERAGEIF('Данные 1st'!$S$2:$S$317,$A18,'Данные 1st'!$LD$2:$LD$317),"")</f>
        <v/>
      </c>
      <c r="GE18" s="7">
        <f>IFERROR(AVERAGEIF('Данные 1st'!$S$2:$S$317,$A18,'Данные 1st'!$LE$2:$LE$317),"")</f>
        <v/>
      </c>
      <c r="GF18" s="7">
        <f>IFERROR(AVERAGEIF('Данные 1st'!$S$2:$S$317,$A18,'Данные 1st'!$LF$2:$LF$317),"")</f>
        <v/>
      </c>
      <c r="GG18" s="7">
        <f>IFERROR(AVERAGEIF('Данные 1st'!$S$2:$S$317,$A18,'Данные 1st'!$LG$2:$LG$317),"")</f>
        <v/>
      </c>
      <c r="GH18" s="7">
        <f>IFERROR(AVERAGEIF('Данные 1st'!$S$2:$S$317,$A18,'Данные 1st'!$LH$2:$LH$317),"")</f>
        <v/>
      </c>
      <c r="GI18" s="7">
        <f>IFERROR(AVERAGEIF('Данные 1st'!$S$2:$S$317,$A18,'Данные 1st'!$LI$2:$LI$317),"")</f>
        <v/>
      </c>
      <c r="GJ18" s="7">
        <f>IFERROR(AVERAGEIF('Данные 1st'!$S$2:$S$317,$A18,'Данные 1st'!$LJ$2:$LJ$317),"")</f>
        <v/>
      </c>
      <c r="GK18" s="7">
        <f>IFERROR(AVERAGEIF('Данные 1st'!$S$2:$S$317,$A18,'Данные 1st'!$LK$2:$LK$317),"")</f>
        <v>480</v>
      </c>
      <c r="GL18" s="7">
        <f>IFERROR(AVERAGEIF('Данные 1st'!$S$2:$S$317,$A18,'Данные 1st'!$LV$2:$LV$317),"")</f>
        <v/>
      </c>
      <c r="GM18" s="7">
        <f>IFERROR(AVERAGEIF('Данные 1st'!$S$2:$S$317,$A18,'Данные 1st'!$LW$2:$LW$317),"")</f>
        <v/>
      </c>
      <c r="GN18" s="7">
        <f>IFERROR(AVERAGEIF('Данные 1st'!$S$2:$S$317,$A18,'Данные 1st'!$LX$2:$LX$317),"")</f>
        <v/>
      </c>
      <c r="GO18" s="7">
        <f>IFERROR(AVERAGEIF('Данные 1st'!$S$2:$S$317,$A18,'Данные 1st'!$LY$2:$LY$317),"")</f>
        <v/>
      </c>
      <c r="GP18" s="7">
        <f>IFERROR(AVERAGEIF('Данные 1st'!$S$2:$S$317,$A18,'Данные 1st'!$LZ$2:$LZ$317),"")</f>
        <v/>
      </c>
      <c r="GQ18" s="7">
        <f>IFERROR(AVERAGEIF('Данные 1st'!$S$2:$S$317,$A18,'Данные 1st'!$PG$2:$PG$317),"")</f>
        <v>1</v>
      </c>
      <c r="GR18" s="7">
        <f>IFERROR(AVERAGEIF('Данные 1st'!$S$2:$S$317,$A18,'Данные 1st'!$PX$2:$PX$317),"")</f>
        <v>56</v>
      </c>
      <c r="GS18" s="7">
        <f>IFERROR(AVERAGEIF('Данные 1st'!$S$2:$S$317,$A18,'Данные 1st'!$PY$2:$PY$317),"")</f>
        <v>56.75</v>
      </c>
      <c r="GT18" s="7">
        <f>IFERROR(AVERAGEIF('Данные 1st'!$S$2:$S$317,$A18,'Данные 1st'!$QA$2:$QA$317),"")</f>
        <v>1.5</v>
      </c>
      <c r="GU18" s="7">
        <f>IFERROR(AVERAGEIF('Данные 1st'!$S$2:$S$317,$A18,'Данные 1st'!$QB$2:$QB$317),"")</f>
        <v>1119.75</v>
      </c>
      <c r="GV18" s="7">
        <f>IFERROR(AVERAGEIF('Данные 1st'!$S$2:$S$317,$A18,'Данные 1st'!$QC$2:$QC$317),"")</f>
        <v>69</v>
      </c>
      <c r="GW18" s="7">
        <f>IFERROR(AVERAGEIF('Данные 1st'!$S$2:$S$317,$A18,'Данные 1st'!$QD$2:$QD$317),"")</f>
        <v>69</v>
      </c>
      <c r="GX18" s="7">
        <f>IFERROR(AVERAGEIF('Данные 1st'!$S$2:$S$317,$A18,'Данные 1st'!$QF$2:$QF$317),"")</f>
        <v>1.5</v>
      </c>
      <c r="GY18" s="7">
        <f>IFERROR(AVERAGEIF('Данные 1st'!$S$2:$S$317,$A18,'Данные 1st'!$QG$2:$QG$317),"")</f>
        <v>1137.25</v>
      </c>
      <c r="GZ18" s="7">
        <f>IFERROR(AVERAGEIF('Данные 1st'!$S$2:$S$317,$A18,'Данные 1st'!$QH$2:$QH$317),"")</f>
        <v>66</v>
      </c>
      <c r="HA18" s="7">
        <f>IFERROR(AVERAGEIF('Данные 1st'!$S$2:$S$317,$A18,'Данные 1st'!$QI$2:$QI$317),"")</f>
        <v>66</v>
      </c>
      <c r="HB18" s="7">
        <f>IFERROR(AVERAGEIF('Данные 1st'!$S$2:$S$317,$A18,'Данные 1st'!$QK$2:$QK$317),"")</f>
        <v>1</v>
      </c>
      <c r="HC18" s="7">
        <f>IFERROR(AVERAGEIF('Данные 1st'!$S$2:$S$317,$A18,'Данные 1st'!$QL$2:$QL$317),"")</f>
        <v>285.25</v>
      </c>
      <c r="HD18" s="7">
        <f>IFERROR(AVERAGEIF('Данные 1st'!$S$2:$S$317,$A18,'Данные 1st'!$QM$2:$QM$317),"")</f>
        <v>62</v>
      </c>
      <c r="HE18" s="7">
        <f>IFERROR(AVERAGEIF('Данные 1st'!$S$2:$S$317,$A18,'Данные 1st'!$QN$2:$QN$317),"")</f>
        <v>62</v>
      </c>
      <c r="HF18" s="7">
        <f>IFERROR(AVERAGEIF('Данные 1st'!$S$2:$S$317,$A18,'Данные 1st'!$QP$2:$QP$317),"")</f>
        <v>1</v>
      </c>
      <c r="HG18" s="7">
        <f>IFERROR(AVERAGEIF('Данные 1st'!$S$2:$S$317,$A18,'Данные 1st'!$QQ$2:$QQ$317),"")</f>
        <v>1133.75</v>
      </c>
      <c r="HH18" s="7">
        <f>IFERROR(AVERAGEIF('Данные 1st'!$S$2:$S$317,$A18,'Данные 1st'!$QR$2:$QR$317),"")</f>
        <v>62</v>
      </c>
      <c r="HI18" s="7">
        <f>IFERROR(AVERAGEIF('Данные 1st'!$S$2:$S$317,$A18,'Данные 1st'!$QS$2:$QS$317),"")</f>
        <v>62</v>
      </c>
      <c r="HJ18" s="7">
        <f>IFERROR(AVERAGEIF('Данные 1st'!$S$2:$S$317,$A18,'Данные 1st'!$QU$2:$QU$317),"")</f>
        <v>1</v>
      </c>
      <c r="HK18" s="7">
        <f>IFERROR(AVERAGEIF('Данные 1st'!$S$2:$S$317,$A18,'Данные 1st'!$QV$2:$QV$317),"")</f>
        <v>1138</v>
      </c>
      <c r="HL18" s="7">
        <f>IFERROR(AVERAGEIF('Данные 1st'!$S$2:$S$317,$A18,'Данные 1st'!$QW$2:$QW$317),"")</f>
        <v>82</v>
      </c>
      <c r="HM18" s="7">
        <f>IFERROR(AVERAGEIF('Данные 1st'!$S$2:$S$317,$A18,'Данные 1st'!$QX$2:$QX$317),"")</f>
        <v>88.5</v>
      </c>
      <c r="HN18" s="7">
        <f>IFERROR(AVERAGEIF('Данные 1st'!$S$2:$S$317,$A18,'Данные 1st'!$QZ$2:$QZ$317),"")</f>
        <v>1</v>
      </c>
      <c r="HO18" s="7">
        <f>IFERROR(AVERAGEIF('Данные 1st'!$S$2:$S$317,$A18,'Данные 1st'!$RA$2:$RA$317),"")</f>
        <v>66</v>
      </c>
      <c r="HP18" s="7">
        <f>IFERROR(AVERAGEIF('Данные 1st'!$S$2:$S$317,$A18,'Данные 1st'!$RB$2:$RB$317),"")</f>
        <v>66</v>
      </c>
      <c r="HQ18" s="7">
        <f>IFERROR(AVERAGEIF('Данные 1st'!$S$2:$S$317,$A18,'Данные 1st'!$RD$2:$RD$317),"")</f>
        <v/>
      </c>
      <c r="HR18" s="7">
        <f>IFERROR(AVERAGEIF('Данные 1st'!$S$2:$S$317,$A18,'Данные 1st'!$RE$2:$RE$317),"")</f>
        <v>0</v>
      </c>
      <c r="HS18" s="7">
        <f>IFERROR(AVERAGEIF('Данные 1st'!$S$2:$S$317,$A18,'Данные 1st'!$RF$2:$RF$317),"")</f>
        <v>1</v>
      </c>
      <c r="HT18" s="7">
        <f>IFERROR(AVERAGEIF('Данные 1st'!$S$2:$S$317,$A18,'Данные 1st'!$RG$2:$RG$317),"")</f>
        <v/>
      </c>
      <c r="HU18" s="7">
        <f>IFERROR(AVERAGEIF('Данные 1st'!$S$2:$S$317,$A18,'Данные 1st'!$RH$2:$RH$317),"")</f>
        <v>1</v>
      </c>
      <c r="HV18" s="7">
        <f>IFERROR(AVERAGEIF('Данные 1st'!$S$2:$S$317,$A18,'Данные 1st'!$RI$2:$RI$317),"")</f>
        <v/>
      </c>
      <c r="HW18" s="7">
        <f>IFERROR(AVERAGEIF('Данные 1st'!$S$2:$S$317,$A18,'Данные 1st'!$RJ$2:$RJ$317),"")</f>
        <v>1.25</v>
      </c>
      <c r="HX18" s="7">
        <f>IFERROR(AVERAGEIF('Данные 1st'!$S$2:$S$317,$A18,'Данные 1st'!$RK$2:$RK$317),"")</f>
        <v>2</v>
      </c>
      <c r="HY18" s="7">
        <f>IFERROR(AVERAGEIF('Данные 1st'!$S$2:$S$317,$A18,'Данные 1st'!$RL$2:$RL$317),"")</f>
        <v>2.5</v>
      </c>
      <c r="HZ18" s="7">
        <f>IFERROR(AVERAGEIF('Данные 1st'!$S$2:$S$317,$A18,'Данные 1st'!$RM$2:$RM$317),"")</f>
        <v>4</v>
      </c>
      <c r="IA18" s="7">
        <f>IFERROR(AVERAGEIF('Данные 1st'!$S$2:$S$317,$A18,'Данные 1st'!$RN$2:$RN$317),"")</f>
        <v/>
      </c>
      <c r="IB18" s="7">
        <f>IFERROR(AVERAGEIF('Данные 1st'!$S$2:$S$317,$A18,'Данные 1st'!$RO$2:$RO$317),"")</f>
        <v>573.5</v>
      </c>
      <c r="IC18" s="7">
        <f>IFERROR(AVERAGEIF('Данные 1st'!$S$2:$S$317,$A18,'Данные 1st'!$RP$2:$RP$317),"")</f>
        <v>105</v>
      </c>
      <c r="ID18" s="7">
        <f>IFERROR(AVERAGEIF('Данные 1st'!$S$2:$S$317,$A18,'Данные 1st'!$RQ$2:$RQ$317),"")</f>
        <v>898</v>
      </c>
      <c r="IE18" s="7">
        <f>IFERROR(AVERAGEIF('Данные 1st'!$S$2:$S$317,$A18,'Данные 1st'!$RR$2:$RR$317),"")</f>
        <v>511</v>
      </c>
      <c r="IF18" s="7">
        <f>IFERROR(AVERAGEIF('Данные 1st'!$S$2:$S$317,$A18,'Данные 1st'!$RS$2:$RS$317),"")</f>
        <v/>
      </c>
      <c r="IG18" s="7">
        <f>IFERROR(AVERAGEIF('Данные 1st'!$S$2:$S$317,$A18,'Данные 1st'!$RT$2:$RT$317),"")</f>
        <v>171.25</v>
      </c>
      <c r="IH18" s="7">
        <f>IFERROR(AVERAGEIF('Данные 1st'!$S$2:$S$317,$A18,'Данные 1st'!$RU$2:$RU$317),"")</f>
        <v>205.25</v>
      </c>
      <c r="II18" s="7">
        <f>IFERROR(AVERAGEIF('Данные 1st'!$S$2:$S$317,$A18,'Данные 1st'!$RX$2:$RX$317),"")</f>
        <v>15</v>
      </c>
      <c r="IJ18" s="7">
        <f>IFERROR(AVERAGEIF('Данные 1st'!$S$2:$S$317,$A18,'Данные 1st'!$RY$2:$RY$317),"")</f>
        <v>4</v>
      </c>
      <c r="IK18" s="7">
        <f>IFERROR(AVERAGEIF('Данные 1st'!$S$2:$S$317,$A18,'Данные 1st'!$SA$2:$SA$317),"")</f>
        <v>15</v>
      </c>
      <c r="IL18" s="7">
        <f>IFERROR(AVERAGEIF('Данные 1st'!$S$2:$S$317,$A18,'Данные 1st'!$SD$2:$SD$317),"")</f>
        <v>1</v>
      </c>
      <c r="IM18" s="7">
        <f>IFERROR(AVERAGEIF('Данные 1st'!$S$2:$S$317,$A18,'Данные 1st'!$SG$2:$SG$317),"")</f>
        <v>1</v>
      </c>
      <c r="IN18" s="7">
        <f>IFERROR(AVERAGEIF('Данные 1st'!$S$2:$S$317,$A18,'Данные 1st'!$SH$2:$SH$317),"")</f>
        <v>0.995</v>
      </c>
      <c r="IO18" s="7">
        <f>IFERROR(AVERAGEIF('Данные 1st'!$S$2:$S$317,$A18,'Данные 1st'!$SI$2:$SI$317),"")</f>
        <v>0.995</v>
      </c>
      <c r="IP18" s="7">
        <f>IFERROR(AVERAGEIF('Данные 1st'!$S$2:$S$317,$A18,'Данные 1st'!$SJ$2:$SJ$317),"")</f>
        <v>0.995</v>
      </c>
      <c r="IQ18" s="7">
        <f>IFERROR(AVERAGEIF('Данные 1st'!$S$2:$S$317,$A18,'Данные 1st'!$SK$2:$SK$317),"")</f>
        <v>15</v>
      </c>
      <c r="IR18" s="7">
        <f>IFERROR(AVERAGEIF('Данные 1st'!$S$2:$S$317,$A18,'Данные 1st'!$SL$2:$SL$317),"")</f>
        <v>0</v>
      </c>
      <c r="IS18" s="7">
        <f>IFERROR(AVERAGEIF('Данные 1st'!$S$2:$S$317,$A18,'Данные 1st'!$SM$2:$SM$317),"")</f>
        <v>0</v>
      </c>
      <c r="IT18" s="7">
        <f>IFERROR(AVERAGEIF('Данные 1st'!$S$2:$S$317,$A18,'Данные 1st'!$SN$2:$SN$317),"")</f>
        <v>0</v>
      </c>
      <c r="IU18" s="7">
        <f>IFERROR(AVERAGEIF('Данные 1st'!$S$2:$S$317,$A18,'Данные 1st'!$SO$2:$SO$317),"")</f>
        <v>0</v>
      </c>
      <c r="IV18" s="7">
        <f>IFERROR(AVERAGEIF('Данные 1st'!$S$2:$S$317,$A18,'Данные 1st'!$SP$2:$SP$317),"")</f>
        <v>0</v>
      </c>
      <c r="IW18" s="7">
        <f>IFERROR(AVERAGEIF('Данные 1st'!$S$2:$S$317,$A18,'Данные 1st'!$SQ$2:$SQ$317),"")</f>
        <v>0</v>
      </c>
      <c r="IX18" s="7">
        <f>IFERROR(AVERAGEIF('Данные 1st'!$S$2:$S$317,$A18,'Данные 1st'!$SR$2:$SR$317),"")</f>
        <v>0</v>
      </c>
      <c r="IY18" s="7">
        <f>IFERROR(AVERAGEIF('Данные 1st'!$S$2:$S$317,$A18,'Данные 1st'!$SS$2:$SS$317),"")</f>
        <v>0</v>
      </c>
      <c r="IZ18" s="7">
        <f>IFERROR(AVERAGEIF('Данные 1st'!$S$2:$S$317,$A18,'Данные 1st'!$ST$2:$ST$317),"")</f>
        <v>0</v>
      </c>
      <c r="JA18" s="7">
        <f>IFERROR(AVERAGEIF('Данные 1st'!$S$2:$S$317,$A18,'Данные 1st'!$SU$2:$SU$317),"")</f>
        <v>0</v>
      </c>
      <c r="JB18" s="7">
        <f>IFERROR(AVERAGEIF('Данные 1st'!$S$2:$S$317,$A18,'Данные 1st'!$SV$2:$SV$317),"")</f>
        <v>0</v>
      </c>
      <c r="JC18" s="7">
        <f>IFERROR(AVERAGEIF('Данные 1st'!$S$2:$S$317,$A18,'Данные 1st'!$SW$2:$SW$317),"")</f>
        <v>0</v>
      </c>
      <c r="JD18" s="7">
        <f>IFERROR(AVERAGEIF('Данные 1st'!$S$2:$S$317,$A18,'Данные 1st'!$SX$2:$SX$317),"")</f>
        <v>0</v>
      </c>
      <c r="JE18" s="7">
        <f>IFERROR(AVERAGEIF('Данные 1st'!$S$2:$S$317,$A18,'Данные 1st'!$SY$2:$SY$317),"")</f>
        <v>1</v>
      </c>
      <c r="JF18" s="7">
        <f>IFERROR(AVERAGEIF('Данные 1st'!$S$2:$S$317,$A18,'Данные 1st'!$SZ$2:$SZ$317),"")</f>
        <v>1</v>
      </c>
      <c r="JG18" s="7">
        <f>IFERROR(AVERAGEIF('Данные 1st'!$S$2:$S$317,$A18,'Данные 1st'!$TA$2:$TA$317),"")</f>
        <v/>
      </c>
      <c r="JH18" s="7">
        <f>IFERROR(AVERAGEIF('Данные 1st'!$S$2:$S$317,$A18,'Данные 1st'!$TB$2:$TB$317),"")</f>
        <v>0</v>
      </c>
      <c r="JI18" s="7">
        <f>IFERROR(AVERAGEIF('Данные 1st'!$S$2:$S$317,$A18,'Данные 1st'!$TC$2:$TC$317),"")</f>
        <v>0</v>
      </c>
      <c r="JJ18" s="7">
        <f>IFERROR(AVERAGEIF('Данные 1st'!$S$2:$S$317,$A18,'Данные 1st'!$TD$2:$TD$317),"")</f>
        <v>7.5</v>
      </c>
      <c r="JK18" s="7">
        <f>IFERROR(AVERAGEIF('Данные 1st'!$S$2:$S$317,$A18,'Данные 1st'!$TN$2:$TN$317),"")</f>
        <v>0</v>
      </c>
      <c r="JL18">
        <f>COUNTIF('Данные 2st'!$Q$2:$Q$317,$A18)</f>
        <v>4</v>
      </c>
      <c r="JM18" s="6" t="s">
        <v>5082</v>
      </c>
      <c r="JN18" s="6" t="s">
        <v>513</v>
      </c>
      <c r="JO18" s="6" t="s">
        <v>5125</v>
      </c>
      <c r="JP18" s="6" t="s">
        <v>5475</v>
      </c>
      <c r="JQ18" s="7">
        <f>IFERROR(AVERAGEIF('Данные 2st'!$Q$2:$Q$317,$A18,'Данные 2st'!$AC$2:$AC$317),"")</f>
        <v>12.5</v>
      </c>
      <c r="JR18" s="7">
        <f>IFERROR(AVERAGEIF('Данные 2st'!$Q$2:$Q$317,$A18,'Данные 2st'!$AF$2:$AF$317),"")</f>
        <v>4148.5</v>
      </c>
      <c r="JS18" s="7">
        <f>IFERROR(AVERAGEIF('Данные 2st'!$Q$2:$Q$317,$A18,'Данные 2st'!$AW$2:$AW$317),"")</f>
        <v>6.4</v>
      </c>
      <c r="JT18" s="7">
        <f>IFERROR(AVERAGEIF('Данные 2st'!$Q$2:$Q$317,$A18,'Данные 2st'!$AX$2:$AX$317),"")</f>
        <v>-6</v>
      </c>
      <c r="JU18" s="7">
        <f>IFERROR(AVERAGEIF('Данные 2st'!$Q$2:$Q$317,$A18,'Данные 2st'!$AY$2:$AY$317),"")</f>
        <v>87.625</v>
      </c>
      <c r="JV18" s="7">
        <f>IFERROR(AVERAGEIF('Данные 2st'!$Q$2:$Q$317,$A18,'Данные 2st'!$AZ$2:$AZ$317),"")</f>
        <v>70.375</v>
      </c>
      <c r="JW18" s="7">
        <f>IFERROR(AVERAGEIF('Данные 2st'!$Q$2:$Q$317,$A18,'Данные 2st'!$BA$2:$BA$317),"")</f>
        <v/>
      </c>
      <c r="JX18" s="7">
        <f>IFERROR(AVERAGEIF('Данные 2st'!$Q$2:$Q$317,$A18,'Данные 2st'!$BB$2:$BB$317),"")</f>
        <v/>
      </c>
      <c r="JY18" s="7">
        <f>IFERROR(AVERAGEIF('Данные 2st'!$Q$2:$Q$317,$A18,'Данные 2st'!$BC$2:$BC$317),"")</f>
        <v/>
      </c>
      <c r="JZ18" s="7">
        <f>IFERROR(AVERAGEIF('Данные 2st'!$Q$2:$Q$317,$A18,'Данные 2st'!$BH$2:$BH$317),"")</f>
        <v>87.625</v>
      </c>
      <c r="KA18" s="7">
        <f>IFERROR(AVERAGEIF('Данные 2st'!$Q$2:$Q$317,$A18,'Данные 2st'!$BI$2:$BI$317),"")</f>
        <v>17.25</v>
      </c>
      <c r="KB18" s="7">
        <f>IFERROR(AVERAGEIF('Данные 2st'!$Q$2:$Q$317,$A18,'Данные 2st'!$BJ$2:$BJ$317),"")</f>
        <v>70.375</v>
      </c>
      <c r="KC18" s="7">
        <f>IFERROR(AVERAGEIF('Данные 2st'!$Q$2:$Q$317,$A18,'Данные 2st'!$BK$2:$BK$317),"")</f>
        <v>3.25</v>
      </c>
      <c r="KD18" s="7">
        <f>IFERROR(AVERAGEIF('Данные 2st'!$Q$2:$Q$317,$A18,'Данные 2st'!$BL$2:$BL$317),"")</f>
        <v>175.25</v>
      </c>
      <c r="KE18" s="7">
        <f>IFERROR(AVERAGEIF('Данные 2st'!$Q$2:$Q$317,$A18,'Данные 2st'!$BM$2:$BM$317),"")</f>
        <v>-6</v>
      </c>
      <c r="KF18" s="7">
        <f>IFERROR(AVERAGEIF('Данные 2st'!$Q$2:$Q$317,$A18,'Данные 2st'!$BN$2:$BN$317),"")</f>
        <v>0</v>
      </c>
      <c r="KG18" s="7">
        <f>IFERROR(AVERAGEIF('Данные 2st'!$Q$2:$Q$317,$A18,'Данные 2st'!$BO$2:$BO$317),"")</f>
        <v>0</v>
      </c>
      <c r="KH18" s="7">
        <f>IFERROR(AVERAGEIF('Данные 2st'!$Q$2:$Q$317,$A18,'Данные 2st'!$BP$2:$BP$317),"")</f>
        <v>0</v>
      </c>
      <c r="KI18" s="7">
        <f>IFERROR(AVERAGEIF('Данные 2st'!$Q$2:$Q$317,$A18,'Данные 2st'!$BR$2:$BR$317),"")</f>
        <v>168.75</v>
      </c>
      <c r="KJ18" s="7">
        <f>IFERROR(AVERAGEIF('Данные 2st'!$Q$2:$Q$317,$A18,'Данные 2st'!$BS$2:$BS$317),"")</f>
        <v>158.75</v>
      </c>
      <c r="KK18" s="7">
        <f>IFERROR(AVERAGEIF('Данные 2st'!$Q$2:$Q$317,$A18,'Данные 2st'!$BT$2:$BT$317),"")</f>
        <v>1896.25</v>
      </c>
      <c r="KL18" s="7">
        <f>IFERROR(AVERAGEIF('Данные 2st'!$Q$2:$Q$317,$A18,'Данные 2st'!$CV$2:$CV$317),"")</f>
        <v>113.25</v>
      </c>
      <c r="KM18" s="7">
        <f>IFERROR(AVERAGEIF('Данные 2st'!$Q$2:$Q$317,$A18,'Данные 2st'!$CW$2:$CW$317),"")</f>
        <v>3</v>
      </c>
      <c r="KN18" s="7">
        <f>IFERROR(AVERAGEIF('Данные 2st'!$Q$2:$Q$317,$A18,'Данные 2st'!$CX$2:$CX$317),"")</f>
        <v>69.75</v>
      </c>
      <c r="KO18" s="7">
        <f>IFERROR(AVERAGEIF('Данные 2st'!$Q$2:$Q$317,$A18,'Данные 2st'!$CY$2:$CY$317),"")</f>
        <v>5</v>
      </c>
      <c r="KP18" s="7">
        <f>IFERROR(AVERAGEIF('Данные 2st'!$Q$2:$Q$317,$A18,'Данные 2st'!$CZ$2:$CZ$317),"")</f>
        <v>97.5</v>
      </c>
      <c r="KQ18" s="7">
        <f>IFERROR(AVERAGEIF('Данные 2st'!$Q$2:$Q$317,$A18,'Данные 2st'!$DA$2:$DA$317),"")</f>
        <v>5</v>
      </c>
      <c r="KR18" s="7">
        <f>IFERROR(AVERAGEIF('Данные 2st'!$Q$2:$Q$317,$A18,'Данные 2st'!$DB$2:$DB$317),"")</f>
        <v>9235</v>
      </c>
      <c r="KS18" s="7">
        <f>IFERROR(AVERAGEIF('Данные 2st'!$Q$2:$Q$317,$A18,'Данные 2st'!$DC$2:$DC$317),"")</f>
        <v>275</v>
      </c>
      <c r="KT18" s="7">
        <f>IFERROR(AVERAGEIF('Данные 2st'!$Q$2:$Q$317,$A18,'Данные 2st'!$DD$2:$DD$317),"")</f>
        <v>310</v>
      </c>
      <c r="KU18" s="7">
        <f>IFERROR(AVERAGEIF('Данные 2st'!$Q$2:$Q$317,$A18,'Данные 2st'!$DE$2:$DE$317),"")</f>
        <v>1991.75</v>
      </c>
      <c r="KV18" s="7">
        <f>IFERROR(AVERAGEIF('Данные 2st'!$Q$2:$Q$317,$A18,'Данные 2st'!$DF$2:$DF$317),"")</f>
        <v>1991.75</v>
      </c>
      <c r="KW18" s="7">
        <f>IFERROR(AVERAGEIF('Данные 2st'!$Q$2:$Q$317,$A18,'Данные 2st'!$DG$2:$DG$317),"")</f>
        <v>2009.75</v>
      </c>
      <c r="KX18" s="7">
        <f>IFERROR(AVERAGEIF('Данные 2st'!$Q$2:$Q$317,$A18,'Данные 2st'!$DH$2:$DH$317),"")</f>
        <v>3</v>
      </c>
      <c r="KY18" s="7">
        <f>IFERROR(AVERAGEIF('Данные 2st'!$Q$2:$Q$317,$A18,'Данные 2st'!$DI$2:$DI$317),"")</f>
        <v/>
      </c>
      <c r="KZ18" s="7">
        <f>IFERROR(AVERAGEIF('Данные 2st'!$Q$2:$Q$317,$A18,'Данные 2st'!$DK$2:$DK$317),"")</f>
        <v>168.75</v>
      </c>
      <c r="LA18" s="7">
        <f>IFERROR(AVERAGEIF('Данные 2st'!$Q$2:$Q$317,$A18,'Данные 2st'!$DM$2:$DM$317),"")</f>
        <v>64.5</v>
      </c>
      <c r="LB18" s="7">
        <f>IFERROR(AVERAGEIF('Данные 2st'!$Q$2:$Q$317,$A18,'Данные 2st'!$DN$2:$DN$317),"")</f>
        <v>0.905</v>
      </c>
      <c r="LC18" s="7">
        <f>IFERROR(AVERAGEIF('Данные 2st'!$Q$2:$Q$317,$A18,'Данные 2st'!$DO$2:$DO$317),"")</f>
        <v>1</v>
      </c>
      <c r="LD18" s="7">
        <f>IFERROR(AVERAGEIF('Данные 2st'!$Q$2:$Q$317,$A18,'Данные 2st'!$DP$2:$DP$317),"")</f>
        <v>1899.25</v>
      </c>
      <c r="LE18" s="7">
        <f>IFERROR(AVERAGEIF('Данные 2st'!$Q$2:$Q$317,$A18,'Данные 2st'!$DQ$2:$DQ$317),"")</f>
        <v>610.75</v>
      </c>
      <c r="LF18" s="7">
        <f>IFERROR(AVERAGEIF('Данные 2st'!$Q$2:$Q$317,$A18,'Данные 2st'!$DS$2:$DS$317),"")</f>
        <v>158.75</v>
      </c>
      <c r="LG18" s="7">
        <f>IFERROR(AVERAGEIF('Данные 2st'!$Q$2:$Q$317,$A18,'Данные 2st'!$DU$2:$DU$317),"")</f>
        <v>64.5</v>
      </c>
      <c r="LH18" s="7">
        <f>IFERROR(AVERAGEIF('Данные 2st'!$Q$2:$Q$317,$A18,'Данные 2st'!$DV$2:$DV$317),"")</f>
        <v>0.905</v>
      </c>
      <c r="LI18" s="7">
        <f>IFERROR(AVERAGEIF('Данные 2st'!$Q$2:$Q$317,$A18,'Данные 2st'!$DW$2:$DW$317),"")</f>
        <v>1</v>
      </c>
      <c r="LJ18" s="7">
        <f>IFERROR(AVERAGEIF('Данные 2st'!$Q$2:$Q$317,$A18,'Данные 2st'!$DX$2:$DX$317),"")</f>
        <v>1907.5</v>
      </c>
      <c r="LK18" s="7">
        <f>IFERROR(AVERAGEIF('Данные 2st'!$Q$2:$Q$317,$A18,'Данные 2st'!$DY$2:$DY$317),"")</f>
        <v>577.25</v>
      </c>
      <c r="LL18" s="7">
        <f>IFERROR(AVERAGEIF('Данные 2st'!$Q$2:$Q$317,$A18,'Данные 2st'!$EA$2:$EA$317),"")</f>
        <v>29.75</v>
      </c>
      <c r="LM18" s="7">
        <f>IFERROR(AVERAGEIF('Данные 2st'!$Q$2:$Q$317,$A18,'Данные 2st'!$EC$2:$EC$317),"")</f>
        <v>0.5</v>
      </c>
      <c r="LN18" s="7">
        <f>IFERROR(AVERAGEIF('Данные 2st'!$Q$2:$Q$317,$A18,'Данные 2st'!$ED$2:$ED$317),"")</f>
        <v>1899.25</v>
      </c>
      <c r="LO18" s="7">
        <f>IFERROR(AVERAGEIF('Данные 2st'!$Q$2:$Q$317,$A18,'Данные 2st'!$EE$2:$EE$317),"")</f>
        <v>58</v>
      </c>
      <c r="LP18" s="7">
        <f>IFERROR(AVERAGEIF('Данные 2st'!$Q$2:$Q$317,$A18,'Данные 2st'!$EG$2:$EG$317),"")</f>
        <v>24.75</v>
      </c>
      <c r="LQ18" s="7">
        <f>IFERROR(AVERAGEIF('Данные 2st'!$Q$2:$Q$317,$A18,'Данные 2st'!$EI$2:$EI$317),"")</f>
        <v>0.30000000000000004</v>
      </c>
      <c r="LR18" s="7">
        <f>IFERROR(AVERAGEIF('Данные 2st'!$Q$2:$Q$317,$A18,'Данные 2st'!$EJ$2:$EJ$317),"")</f>
        <v>1903.3333333333333</v>
      </c>
      <c r="LS18" s="7">
        <f>IFERROR(AVERAGEIF('Данные 2st'!$Q$2:$Q$317,$A18,'Данные 2st'!$EK$2:$EK$317),"")</f>
        <v>55.333333333333336</v>
      </c>
      <c r="LT18" s="7">
        <f>IFERROR(AVERAGEIF('Данные 2st'!$Q$2:$Q$317,$A18,'Данные 2st'!$EM$2:$EM$317),"")</f>
        <v>12</v>
      </c>
      <c r="LU18" s="7">
        <f>IFERROR(AVERAGEIF('Данные 2st'!$Q$2:$Q$317,$A18,'Данные 2st'!$EN$2:$EN$317),"")</f>
        <v>0.5</v>
      </c>
      <c r="LV18" s="7">
        <f>IFERROR(AVERAGEIF('Данные 2st'!$Q$2:$Q$317,$A18,'Данные 2st'!$EO$2:$EO$317),"")</f>
        <v>0.8975</v>
      </c>
      <c r="LW18" s="7">
        <f>IFERROR(AVERAGEIF('Данные 2st'!$Q$2:$Q$317,$A18,'Данные 2st'!$EP$2:$EP$317),"")</f>
        <v>1907.6275</v>
      </c>
      <c r="LX18" s="7">
        <f>IFERROR(AVERAGEIF('Данные 2st'!$Q$2:$Q$317,$A18,'Данные 2st'!$EQ$2:$EQ$317),"")</f>
        <v>27903.845</v>
      </c>
      <c r="LY18" s="7">
        <f>IFERROR(AVERAGEIF('Данные 2st'!$Q$2:$Q$317,$A18,'Данные 2st'!$ER$2:$ER$317),"")</f>
        <v>5158.112499999999</v>
      </c>
      <c r="LZ18" s="7">
        <f>IFERROR(AVERAGEIF('Данные 2st'!$Q$2:$Q$317,$A18,'Данные 2st'!$ES$2:$ES$317),"")</f>
        <v>0</v>
      </c>
      <c r="MA18" s="7">
        <f>IFERROR(AVERAGEIF('Данные 2st'!$Q$2:$Q$317,$A18,'Данные 2st'!$ET$2:$ET$317),"")</f>
        <v>0</v>
      </c>
      <c r="MB18" s="7">
        <f>IFERROR(AVERAGEIF('Данные 2st'!$Q$2:$Q$317,$A18,'Данные 2st'!$EU$2:$EU$317),"")</f>
        <v>1</v>
      </c>
      <c r="MC18" s="7">
        <f>IFERROR(AVERAGEIF('Данные 2st'!$Q$2:$Q$317,$A18,'Данные 2st'!$EV$2:$EV$317),"")</f>
        <v>33062.5</v>
      </c>
      <c r="MD18" s="7">
        <f>IFERROR(AVERAGEIF('Данные 2st'!$Q$2:$Q$317,$A18,'Данные 2st'!$EW$2:$EW$317),"")</f>
        <v>379.5</v>
      </c>
      <c r="ME18" s="7">
        <f>IFERROR(AVERAGEIF('Данные 2st'!$Q$2:$Q$317,$A18,'Данные 2st'!$EY$2:$EY$317),"")</f>
        <v>187.5</v>
      </c>
      <c r="MF18" s="7">
        <f>IFERROR(AVERAGEIF('Данные 2st'!$Q$2:$Q$317,$A18,'Данные 2st'!$FA$2:$FA$317),"")</f>
        <v>4.325</v>
      </c>
      <c r="MG18" s="7">
        <f>IFERROR(AVERAGEIF('Данные 2st'!$Q$2:$Q$317,$A18,'Данные 2st'!$FB$2:$FB$317),"")</f>
        <v>1</v>
      </c>
      <c r="MH18" s="7">
        <f>IFERROR(AVERAGEIF('Данные 2st'!$Q$2:$Q$317,$A18,'Данные 2st'!$FC$2:$FC$317),"")</f>
        <v>1</v>
      </c>
      <c r="MI18" s="7">
        <f>IFERROR(AVERAGEIF('Данные 2st'!$Q$2:$Q$317,$A18,'Данные 2st'!$FD$2:$FD$317),"")</f>
        <v>1937.5</v>
      </c>
      <c r="MJ18" s="7">
        <f>IFERROR(AVERAGEIF('Данные 2st'!$Q$2:$Q$317,$A18,'Данные 2st'!$FE$2:$FE$317),"")</f>
        <v>1872.75</v>
      </c>
      <c r="MK18" s="7">
        <f>IFERROR(AVERAGEIF('Данные 2st'!$Q$2:$Q$317,$A18,'Данные 2st'!$FG$2:$FG$317),"")</f>
        <v>190</v>
      </c>
      <c r="ML18" s="7">
        <f>IFERROR(AVERAGEIF('Данные 2st'!$Q$2:$Q$317,$A18,'Данные 2st'!$FI$2:$FI$317),"")</f>
        <v>2.825</v>
      </c>
      <c r="MM18" s="7">
        <f>IFERROR(AVERAGEIF('Данные 2st'!$Q$2:$Q$317,$A18,'Данные 2st'!$FJ$2:$FJ$317),"")</f>
        <v>1937.5</v>
      </c>
      <c r="MN18" s="7">
        <f>IFERROR(AVERAGEIF('Данные 2st'!$Q$2:$Q$317,$A18,'Данные 2st'!$FK$2:$FK$317),"")</f>
        <v>1188.25</v>
      </c>
      <c r="MO18" s="7">
        <f>IFERROR(AVERAGEIF('Данные 2st'!$Q$2:$Q$317,$A18,'Данные 2st'!$FP$2:$FP$317),"")</f>
        <v>1937.5</v>
      </c>
      <c r="MP18" s="7">
        <f>IFERROR(AVERAGEIF('Данные 2st'!$Q$2:$Q$317,$A18,'Данные 2st'!$FQ$2:$FQ$317),"")</f>
        <v>172.25</v>
      </c>
      <c r="MQ18" s="7">
        <f>IFERROR(AVERAGEIF('Данные 2st'!$Q$2:$Q$317,$A18,'Данные 2st'!$FS$2:$FS$317),"")</f>
        <v>194</v>
      </c>
      <c r="MR18" s="7">
        <f>IFERROR(AVERAGEIF('Данные 2st'!$Q$2:$Q$317,$A18,'Данные 2st'!$FU$2:$FU$317),"")</f>
        <v>0.4</v>
      </c>
      <c r="MS18" s="7">
        <f>IFERROR(AVERAGEIF('Данные 2st'!$Q$2:$Q$317,$A18,'Данные 2st'!$FV$2:$FV$317),"")</f>
        <v>1937.5</v>
      </c>
      <c r="MT18" s="7">
        <f>IFERROR(AVERAGEIF('Данные 2st'!$Q$2:$Q$317,$A18,'Данные 2st'!$FW$2:$FW$317),"")</f>
        <v>167.75</v>
      </c>
      <c r="MU18" s="7">
        <f>IFERROR(AVERAGEIF('Данные 2st'!$Q$2:$Q$317,$A18,'Данные 2st'!$FY$2:$FY$317),"")</f>
        <v>6.666666666666667</v>
      </c>
      <c r="MV18" s="7">
        <f>IFERROR(AVERAGEIF('Данные 2st'!$Q$2:$Q$317,$A18,'Данные 2st'!$GB$2:$GB$317),"")</f>
        <v>1933.6666666666667</v>
      </c>
      <c r="MW18" s="7">
        <f>IFERROR(AVERAGEIF('Данные 2st'!$Q$2:$Q$317,$A18,'Данные 2st'!$GC$2:$GC$317),"")</f>
        <v>17.666666666666668</v>
      </c>
      <c r="MX18" s="7">
        <f>IFERROR(AVERAGEIF('Данные 2st'!$Q$2:$Q$317,$A18,'Данные 2st'!$GD$2:$GD$317),"")</f>
        <v>3414.25</v>
      </c>
      <c r="MY18" s="7">
        <f>IFERROR(AVERAGEIF('Данные 2st'!$Q$2:$Q$317,$A18,'Данные 2st'!$GN$2:$GN$317),"")</f>
        <v/>
      </c>
      <c r="MZ18" s="7">
        <f>IFERROR(AVERAGEIF('Данные 2st'!$Q$2:$Q$317,$A18,'Данные 2st'!$GQ$2:$GQ$317),"")</f>
        <v>0</v>
      </c>
      <c r="NA18" s="7">
        <f>IFERROR(AVERAGEIF('Данные 2st'!$Q$2:$Q$317,$A18,'Данные 2st'!$GV$2:$GV$317),"")</f>
        <v>7.55</v>
      </c>
      <c r="NB18" s="7">
        <f>IFERROR(AVERAGEIF('Данные 2st'!$Q$2:$Q$317,$A18,'Данные 2st'!$GW$2:$GW$317),"")</f>
        <v>9.35</v>
      </c>
      <c r="NC18" s="7">
        <f>IFERROR(AVERAGEIF('Данные 2st'!$Q$2:$Q$317,$A18,'Данные 2st'!$GX$2:$GX$317),"")</f>
        <v>0.5</v>
      </c>
      <c r="ND18" s="7">
        <f>IFERROR(AVERAGEIF('Данные 2st'!$Q$2:$Q$317,$A18,'Данные 2st'!$GY$2:$GY$317),"")</f>
        <v>161</v>
      </c>
      <c r="NE18" s="7">
        <f>IFERROR(AVERAGEIF('Данные 2st'!$Q$2:$Q$317,$A18,'Данные 2st'!$GZ$2:$GZ$317),"")</f>
        <v>3</v>
      </c>
      <c r="NF18" s="7">
        <f>IFERROR(AVERAGEIF('Данные 2st'!$Q$2:$Q$317,$A18,'Данные 2st'!$HA$2:$HA$317),"")</f>
        <v>210.5</v>
      </c>
      <c r="NG18" s="7">
        <f>IFERROR(AVERAGEIF('Данные 2st'!$Q$2:$Q$317,$A18,'Данные 2st'!$HB$2:$HB$317),"")</f>
        <v>3</v>
      </c>
      <c r="NH18" s="7">
        <f>IFERROR(AVERAGEIF('Данные 2st'!$Q$2:$Q$317,$A18,'Данные 2st'!$HC$2:$HC$317),"")</f>
        <v>1937.5</v>
      </c>
      <c r="NI18" s="7">
        <f>IFERROR(AVERAGEIF('Данные 2st'!$Q$2:$Q$317,$A18,'Данные 2st'!$HD$2:$HD$317),"")</f>
        <v>4</v>
      </c>
      <c r="NJ18" s="7">
        <f>IFERROR(AVERAGEIF('Данные 2st'!$Q$2:$Q$317,$A18,'Данные 2st'!$HM$2:$HM$317),"")</f>
        <v>15</v>
      </c>
      <c r="NK18" s="7">
        <f>IFERROR(AVERAGEIF('Данные 2st'!$Q$2:$Q$317,$A18,'Данные 2st'!$HR$2:$HR$317),"")</f>
        <v>2.25</v>
      </c>
      <c r="NL18" s="7">
        <f>IFERROR(AVERAGEIF('Данные 2st'!$Q$2:$Q$317,$A18,'Данные 2st'!$HS$2:$HS$317),"")</f>
        <v>1896.25</v>
      </c>
      <c r="NM18" s="7">
        <f>IFERROR(AVERAGEIF('Данные 2st'!$Q$2:$Q$317,$A18,'Данные 2st'!$HT$2:$HT$317),"")</f>
        <v>5</v>
      </c>
      <c r="NN18" s="7">
        <f>IFERROR(AVERAGEIF('Данные 2st'!$Q$2:$Q$317,$A18,'Данные 2st'!$HY$2:$HY$317),"")</f>
        <v>0</v>
      </c>
      <c r="NO18" s="7">
        <f>IFERROR(AVERAGEIF('Данные 2st'!$Q$2:$Q$317,$A18,'Данные 2st'!$HZ$2:$HZ$317),"")</f>
        <v>64.5</v>
      </c>
      <c r="NP18" s="7">
        <f>IFERROR(AVERAGEIF('Данные 2st'!$Q$2:$Q$317,$A18,'Данные 2st'!$IA$2:$IA$317),"")</f>
        <v>1899.25</v>
      </c>
      <c r="NQ18" s="7">
        <f>IFERROR(AVERAGEIF('Данные 2st'!$Q$2:$Q$317,$A18,'Данные 2st'!$IB$2:$IB$317),"")</f>
        <v>1907.5</v>
      </c>
      <c r="NR18" s="7">
        <f>IFERROR(AVERAGEIF('Данные 2st'!$Q$2:$Q$317,$A18,'Данные 2st'!$IC$2:$IC$317),"")</f>
        <v/>
      </c>
      <c r="NS18" s="7">
        <f>IFERROR(AVERAGEIF('Данные 2st'!$Q$2:$Q$317,$A18,'Данные 2st'!$ID$2:$ID$317),"")</f>
        <v>1937.5</v>
      </c>
      <c r="NT18" s="7">
        <f>IFERROR(AVERAGEIF('Данные 2st'!$Q$2:$Q$317,$A18,'Данные 2st'!$IE$2:$IE$317),"")</f>
        <v>1937.5</v>
      </c>
      <c r="NU18" s="7">
        <f>IFERROR(AVERAGEIF('Данные 2st'!$Q$2:$Q$317,$A18,'Данные 2st'!$IF$2:$IF$317),"")</f>
        <v>168.75</v>
      </c>
      <c r="NV18" s="7">
        <f>IFERROR(AVERAGEIF('Данные 2st'!$Q$2:$Q$317,$A18,'Данные 2st'!$IG$2:$IG$317),"")</f>
        <v>158.75</v>
      </c>
      <c r="NW18" s="7">
        <f>IFERROR(AVERAGEIF('Данные 2st'!$Q$2:$Q$317,$A18,'Данные 2st'!$IH$2:$IH$317),"")</f>
        <v>210.5</v>
      </c>
      <c r="NX18" s="7">
        <f>IFERROR(AVERAGEIF('Данные 2st'!$Q$2:$Q$317,$A18,'Данные 2st'!$IJ$2:$IJ$317),"")</f>
        <v>5</v>
      </c>
      <c r="NY18" s="7">
        <f>IFERROR(AVERAGEIF('Данные 2st'!$Q$2:$Q$317,$A18,'Данные 2st'!$IM$2:$IM$317),"")</f>
        <v>0</v>
      </c>
      <c r="NZ18" s="7">
        <f>IFERROR(AVERAGEIF('Данные 2st'!$Q$2:$Q$317,$A18,'Данные 2st'!$IN$2:$IN$317),"")</f>
        <v>270</v>
      </c>
      <c r="OA18" s="7">
        <f>IFERROR(AVERAGEIF('Данные 2st'!$Q$2:$Q$317,$A18,'Данные 2st'!$IO$2:$IO$317),"")</f>
        <v>0</v>
      </c>
      <c r="OB18" s="7">
        <f>IFERROR(AVERAGEIF('Данные 2st'!$Q$2:$Q$317,$A18,'Данные 2st'!$IP$2:$IP$317),"")</f>
        <v>180</v>
      </c>
      <c r="OC18" s="7">
        <f>IFERROR(AVERAGEIF('Данные 2st'!$Q$2:$Q$317,$A18,'Данные 2st'!$IQ$2:$IQ$317),"")</f>
        <v>0</v>
      </c>
      <c r="OD18" s="7">
        <f>IFERROR(AVERAGEIF('Данные 2st'!$Q$2:$Q$317,$A18,'Данные 2st'!$IR$2:$IR$317),"")</f>
        <v>328.75</v>
      </c>
      <c r="OE18" s="7">
        <f>IFERROR(AVERAGEIF('Данные 2st'!$Q$2:$Q$317,$A18,'Данные 2st'!$IT$2:$IT$317),"")</f>
        <v>90</v>
      </c>
      <c r="OF18" s="7">
        <f>IFERROR(AVERAGEIF('Данные 2st'!$Q$2:$Q$317,$A18,'Данные 2st'!$IU$2:$IU$317),"")</f>
        <v>0</v>
      </c>
      <c r="OG18" s="7">
        <f>IFERROR(AVERAGEIF('Данные 2st'!$Q$2:$Q$317,$A18,'Данные 2st'!$IV$2:$IV$317),"")</f>
        <v>6.4</v>
      </c>
      <c r="OH18" s="7">
        <f>IFERROR(AVERAGEIF('Данные 2st'!$Q$2:$Q$317,$A18,'Данные 2st'!$IW$2:$IW$317),"")</f>
        <v>-6</v>
      </c>
      <c r="OI18" s="7">
        <f>IFERROR(AVERAGEIF('Данные 2st'!$Q$2:$Q$317,$A18,'Данные 2st'!$IX$2:$IX$317),"")</f>
        <v>87.625</v>
      </c>
      <c r="OJ18" s="7">
        <f>IFERROR(AVERAGEIF('Данные 2st'!$Q$2:$Q$317,$A18,'Данные 2st'!$IY$2:$IY$317),"")</f>
        <v>70.375</v>
      </c>
      <c r="OK18" s="7">
        <f>IFERROR(AVERAGEIF('Данные 2st'!$Q$2:$Q$317,$A18,'Данные 2st'!$IZ$2:$IZ$317),"")</f>
        <v>0</v>
      </c>
      <c r="OL18" s="7">
        <f>IFERROR(AVERAGEIF('Данные 2st'!$Q$2:$Q$317,$A18,'Данные 2st'!$JA$2:$JA$317),"")</f>
        <v>0</v>
      </c>
      <c r="OM18" s="7">
        <f>IFERROR(AVERAGEIF('Данные 2st'!$Q$2:$Q$317,$A18,'Данные 2st'!$JB$2:$JB$317),"")</f>
        <v>0</v>
      </c>
      <c r="ON18" s="7">
        <f>IFERROR(AVERAGEIF('Данные 2st'!$Q$2:$Q$317,$A18,'Данные 2st'!$JC$2:$JC$317),"")</f>
        <v>0</v>
      </c>
      <c r="OO18" s="7">
        <f>IFERROR(AVERAGEIF('Данные 2st'!$Q$2:$Q$317,$A18,'Данные 2st'!$JD$2:$JD$317),"")</f>
        <v>0</v>
      </c>
      <c r="OP18" s="7">
        <f>IFERROR(AVERAGEIF('Данные 2st'!$Q$2:$Q$317,$A18,'Данные 2st'!$JE$2:$JE$317),"")</f>
        <v>0</v>
      </c>
      <c r="OQ18" s="7">
        <f>IFERROR(AVERAGEIF('Данные 2st'!$Q$2:$Q$317,$A18,'Данные 2st'!$JF$2:$JF$317),"")</f>
        <v>0</v>
      </c>
      <c r="OR18" s="7">
        <f>IFERROR(AVERAGEIF('Данные 2st'!$Q$2:$Q$317,$A18,'Данные 2st'!$JG$2:$JG$317),"")</f>
        <v>0</v>
      </c>
      <c r="OS18" s="7">
        <f>IFERROR(AVERAGEIF('Данные 2st'!$Q$2:$Q$317,$A18,'Данные 2st'!$JH$2:$JH$317),"")</f>
        <v>0</v>
      </c>
      <c r="OT18" s="7">
        <f>IFERROR(AVERAGEIF('Данные 2st'!$Q$2:$Q$317,$A18,'Данные 2st'!$JI$2:$JI$317),"")</f>
        <v>383</v>
      </c>
      <c r="OU18" s="7">
        <f>IFERROR(AVERAGEIF('Данные 2st'!$Q$2:$Q$317,$A18,'Данные 2st'!$JJ$2:$JJ$317),"")</f>
        <v>350.5</v>
      </c>
      <c r="OV18" s="7">
        <f>IFERROR(AVERAGEIF('Данные 2st'!$Q$2:$Q$317,$A18,'Данные 2st'!$JK$2:$JK$317),"")</f>
        <v>255.5</v>
      </c>
      <c r="OW18" s="7">
        <f>IFERROR(AVERAGEIF('Данные 2st'!$Q$2:$Q$317,$A18,'Данные 2st'!$JL$2:$JL$317),"")</f>
        <v>346</v>
      </c>
      <c r="OX18" s="7">
        <f>IFERROR(AVERAGEIF('Данные 2st'!$Q$2:$Q$317,$A18,'Данные 2st'!$JM$2:$JM$317),"")</f>
        <v>262.75</v>
      </c>
      <c r="OY18" s="7">
        <f>IFERROR(AVERAGEIF('Данные 2st'!$Q$2:$Q$317,$A18,'Данные 2st'!$JP$2:$JP$317),"")</f>
        <v>212.75</v>
      </c>
      <c r="OZ18" s="7">
        <f>IFERROR(AVERAGEIF('Данные 2st'!$Q$2:$Q$317,$A18,'Данные 2st'!$JQ$2:$JQ$317),"")</f>
        <v>262.5</v>
      </c>
      <c r="PA18" s="7">
        <f>IFERROR(AVERAGEIF('Данные 2st'!$Q$2:$Q$317,$A18,'Данные 2st'!$JR$2:$JR$317),"")</f>
        <v>353.5</v>
      </c>
      <c r="PB18" s="7">
        <f>IFERROR(AVERAGEIF('Данные 2st'!$Q$2:$Q$317,$A18,'Данные 2st'!$JS$2:$JS$317),"")</f>
        <v>252.5</v>
      </c>
      <c r="PC18" s="7">
        <f>IFERROR(AVERAGEIF('Данные 2st'!$Q$2:$Q$317,$A18,'Данные 2st'!$JT$2:$JT$317),"")</f>
        <v>0</v>
      </c>
      <c r="PD18" s="7">
        <f>IFERROR(AVERAGEIF('Данные 2st'!$Q$2:$Q$317,$A18,'Данные 2st'!$JU$2:$JU$317),"")</f>
        <v>0</v>
      </c>
      <c r="PE18" s="7">
        <f>IFERROR(AVERAGEIF('Данные 2st'!$Q$2:$Q$317,$A18,'Данные 2st'!$JV$2:$JV$317),"")</f>
        <v>335</v>
      </c>
      <c r="PF18" s="7">
        <f>IFERROR(AVERAGEIF('Данные 2st'!$Q$2:$Q$317,$A18,'Данные 2st'!$JW$2:$JW$317),"")</f>
        <v>337</v>
      </c>
      <c r="PG18" s="7">
        <f>IFERROR(AVERAGEIF('Данные 2st'!$Q$2:$Q$317,$A18,'Данные 2st'!$KF$2:$KF$317),"")</f>
        <v>0.175</v>
      </c>
      <c r="PH18" s="7">
        <f>IFERROR(AVERAGEIF('Данные 2st'!$Q$2:$Q$317,$A18,'Данные 2st'!$KG$2:$KG$317),"")</f>
        <v>0.0975</v>
      </c>
      <c r="PI18" s="7">
        <f>IFERROR(AVERAGEIF('Данные 2st'!$Q$2:$Q$317,$A18,'Данные 2st'!$KM$2:$KM$317),"")</f>
        <v>0.375</v>
      </c>
      <c r="PJ18" s="7">
        <f>IFERROR(AVERAGEIF('Данные 2st'!$Q$2:$Q$317,$A18,'Данные 2st'!$KN$2:$KN$317),"")</f>
        <v>1.375</v>
      </c>
      <c r="PK18" s="7">
        <f>IFERROR(AVERAGEIF('Данные 2st'!$Q$2:$Q$317,$A18,'Данные 2st'!$KO$2:$KO$317),"")</f>
        <v>0</v>
      </c>
      <c r="PL18" s="7">
        <f>IFERROR(AVERAGEIF('Данные 2st'!$Q$2:$Q$317,$A18,'Данные 2st'!$KP$2:$KP$317),"")</f>
        <v>0</v>
      </c>
      <c r="PM18" s="7">
        <f>IFERROR(AVERAGEIF('Данные 2st'!$Q$2:$Q$317,$A18,'Данные 2st'!$KQ$2:$KQ$317),"")</f>
        <v>0.95</v>
      </c>
      <c r="PN18" s="7">
        <f>IFERROR(AVERAGEIF('Данные 2st'!$Q$2:$Q$317,$A18,'Данные 2st'!$KR$2:$KR$317),"")</f>
        <v>1.2</v>
      </c>
      <c r="PO18" s="7">
        <f>IFERROR(AVERAGEIF('Данные 2st'!$Q$2:$Q$317,$A18,'Данные 2st'!$KS$2:$KS$317),"")</f>
        <v>0</v>
      </c>
      <c r="PP18" s="7">
        <f>IFERROR(AVERAGEIF('Данные 2st'!$Q$2:$Q$317,$A18,'Данные 2st'!$KT$2:$KT$317),"")</f>
        <v>2.1</v>
      </c>
      <c r="PQ18" s="7">
        <f>IFERROR(AVERAGEIF('Данные 2st'!$Q$2:$Q$317,$A18,'Данные 2st'!$KU$2:$KU$317),"")</f>
        <v>0</v>
      </c>
      <c r="PR18" s="7">
        <f>IFERROR(AVERAGEIF('Данные 2st'!$Q$2:$Q$317,$A18,'Данные 2st'!$KV$2:$KV$317),"")</f>
        <v>0</v>
      </c>
      <c r="PS18" s="7">
        <f>IFERROR(AVERAGEIF('Данные 2st'!$Q$2:$Q$317,$A18,'Данные 2st'!$KW$2:$KW$317),"")</f>
        <v>1.275</v>
      </c>
      <c r="PT18" s="7">
        <f>IFERROR(AVERAGEIF('Данные 2st'!$Q$2:$Q$317,$A18,'Данные 2st'!$KX$2:$KX$317),"")</f>
        <v>1.875</v>
      </c>
      <c r="PU18" s="7">
        <f>IFERROR(AVERAGEIF('Данные 2st'!$Q$2:$Q$317,$A18,'Данные 2st'!$KY$2:$KY$317),"")</f>
        <v>0</v>
      </c>
      <c r="PV18" s="7">
        <f>IFERROR(AVERAGEIF('Данные 2st'!$Q$2:$Q$317,$A18,'Данные 2st'!$KZ$2:$KZ$317),"")</f>
        <v>0</v>
      </c>
      <c r="PW18" s="7">
        <f>IFERROR(AVERAGEIF('Данные 2st'!$Q$2:$Q$317,$A18,'Данные 2st'!$LA$2:$LA$317),"")</f>
        <v>0</v>
      </c>
      <c r="PX18" s="7">
        <f>IFERROR(AVERAGEIF('Данные 2st'!$Q$2:$Q$317,$A18,'Данные 2st'!$LB$2:$LB$317),"")</f>
        <v>0</v>
      </c>
      <c r="PY18" s="7">
        <f>IFERROR(AVERAGEIF('Данные 2st'!$Q$2:$Q$317,$A18,'Данные 2st'!$LC$2:$LC$317),"")</f>
        <v>0</v>
      </c>
      <c r="PZ18" s="7">
        <f>IFERROR(AVERAGEIF('Данные 2st'!$Q$2:$Q$317,$A18,'Данные 2st'!$LD$2:$LD$317),"")</f>
        <v>0</v>
      </c>
      <c r="QA18" s="7">
        <f>IFERROR(AVERAGEIF('Данные 2st'!$Q$2:$Q$317,$A18,'Данные 2st'!$LE$2:$LE$317),"")</f>
        <v>0</v>
      </c>
      <c r="QB18" s="7">
        <f>IFERROR(AVERAGEIF('Данные 2st'!$Q$2:$Q$317,$A18,'Данные 2st'!$LF$2:$LF$317),"")</f>
        <v>0</v>
      </c>
      <c r="QC18" s="7">
        <f>IFERROR(AVERAGEIF('Данные 2st'!$Q$2:$Q$317,$A18,'Данные 2st'!$LG$2:$LG$317),"")</f>
        <v>0</v>
      </c>
      <c r="QD18" s="7">
        <f>IFERROR(AVERAGEIF('Данные 2st'!$Q$2:$Q$317,$A18,'Данные 2st'!$LH$2:$LH$317),"")</f>
        <v>3</v>
      </c>
      <c r="QE18" s="7">
        <f>IFERROR(AVERAGEIF('Данные 2st'!$Q$2:$Q$317,$A18,'Данные 2st'!$LJ$2:$LJ$317),"")</f>
        <v>0</v>
      </c>
      <c r="QF18" s="7">
        <f>IFERROR(AVERAGEIF('Данные 2st'!$Q$2:$Q$317,$A18,'Данные 2st'!$LK$2:$LK$317),"")</f>
        <v>6.25</v>
      </c>
      <c r="QG18" s="7">
        <f>IFERROR(AVERAGEIF('Данные 2st'!$Q$2:$Q$317,$A18,'Данные 2st'!$LL$2:$LL$317),"")</f>
        <v>4.75</v>
      </c>
      <c r="QH18" s="7">
        <f>IFERROR(AVERAGEIF('Данные 2st'!$Q$2:$Q$317,$A18,'Данные 2st'!$LM$2:$LM$317),"")</f>
        <v>6</v>
      </c>
      <c r="QI18" s="7">
        <f>IFERROR(AVERAGEIF('Данные 2st'!$Q$2:$Q$317,$A18,'Данные 2st'!$LN$2:$LN$317),"")</f>
        <v>0.25</v>
      </c>
      <c r="QJ18" s="7">
        <f>IFERROR(AVERAGEIF('Данные 2st'!$Q$2:$Q$317,$A18,'Данные 2st'!$LO$2:$LO$317),"")</f>
        <v>2.275</v>
      </c>
      <c r="QK18" s="7">
        <f>IFERROR(AVERAGEIF('Данные 2st'!$Q$2:$Q$317,$A18,'Данные 2st'!$LP$2:$LP$317),"")</f>
        <v>0</v>
      </c>
      <c r="QL18" s="7">
        <f>IFERROR(AVERAGEIF('Данные 2st'!$Q$2:$Q$317,$A18,'Данные 2st'!$LQ$2:$LQ$317),"")</f>
        <v>0</v>
      </c>
      <c r="QM18" s="7">
        <f>IFERROR(AVERAGEIF('Данные 2st'!$Q$2:$Q$317,$A18,'Данные 2st'!$LW$2:$LW$317),"")</f>
        <v>2.225</v>
      </c>
      <c r="QN18" s="7">
        <f>IFERROR(AVERAGEIF('Данные 2st'!$Q$2:$Q$317,$A18,'Данные 2st'!$LX$2:$LX$317),"")</f>
        <v>2.225</v>
      </c>
      <c r="QO18" s="7">
        <f>IFERROR(AVERAGEIF('Данные 2st'!$Q$2:$Q$317,$A18,'Данные 2st'!$LY$2:$LY$317),"")</f>
        <v>2.025</v>
      </c>
      <c r="QP18" s="7">
        <f>IFERROR(AVERAGEIF('Данные 2st'!$Q$2:$Q$317,$A18,'Данные 2st'!$LZ$2:$LZ$317),"")</f>
        <v>2.025</v>
      </c>
      <c r="QQ18" s="7">
        <f>IFERROR(AVERAGEIF('Данные 2st'!$Q$2:$Q$317,$A18,'Данные 2st'!$MB$2:$MB$317),"")</f>
        <v>7.375</v>
      </c>
      <c r="QR18" s="7">
        <f>IFERROR(AVERAGEIF('Данные 2st'!$Q$2:$Q$317,$A18,'Данные 2st'!$MG$2:$MG$317),"")</f>
        <v>10</v>
      </c>
      <c r="QS18" s="7">
        <f>IFERROR(AVERAGEIF('Данные 2st'!$Q$2:$Q$317,$A18,'Данные 2st'!$MH$2:$MH$317),"")</f>
        <v>10</v>
      </c>
      <c r="QT18" s="7">
        <f>IFERROR(AVERAGEIF('Данные 2st'!$Q$2:$Q$317,$A18,'Данные 2st'!$MI$2:$MI$317),"")</f>
        <v>0</v>
      </c>
      <c r="QU18" s="7">
        <f>IFERROR(AVERAGEIF('Данные 2st'!$Q$2:$Q$317,$A18,'Данные 2st'!$MJ$2:$MJ$317),"")</f>
        <v>0</v>
      </c>
      <c r="QV18" s="7">
        <f>IFERROR(AVERAGEIF('Данные 2st'!$Q$2:$Q$317,$A18,'Данные 2st'!$MK$2:$MK$317),"")</f>
        <v>0</v>
      </c>
      <c r="QW18" s="7">
        <f>IFERROR(AVERAGEIF('Данные 2st'!$Q$2:$Q$317,$A18,'Данные 2st'!$MM$2:$MM$317),"")</f>
        <v>390</v>
      </c>
      <c r="QX18" s="7">
        <f>IFERROR(AVERAGEIF('Данные 2st'!$Q$2:$Q$317,$A18,'Данные 2st'!$MQ$2:$MQ$317),"")</f>
        <v/>
      </c>
      <c r="QY18" s="7">
        <f>IFERROR(AVERAGEIF('Данные 2st'!$Q$2:$Q$317,$A18,'Данные 2st'!$MR$2:$MR$317),"")</f>
        <v/>
      </c>
      <c r="QZ18" s="7">
        <f>IFERROR(AVERAGEIF('Данные 2st'!$Q$2:$Q$317,$A18,'Данные 2st'!$MS$2:$MS$317),"")</f>
        <v/>
      </c>
      <c r="RA18" s="7">
        <f>IFERROR(AVERAGEIF('Данные 2st'!$Q$2:$Q$317,$A18,'Данные 2st'!$MT$2:$MT$317),"")</f>
        <v/>
      </c>
      <c r="RB18" s="7">
        <f>IFERROR(AVERAGEIF('Данные 2st'!$Q$2:$Q$317,$A18,'Данные 2st'!$MU$2:$MU$317),"")</f>
        <v/>
      </c>
      <c r="RC18" s="7">
        <f>IFERROR(AVERAGEIF('Данные 2st'!$Q$2:$Q$317,$A18,'Данные 2st'!$MV$2:$MV$317),"")</f>
        <v/>
      </c>
      <c r="RD18" s="7">
        <f>IFERROR(AVERAGEIF('Данные 2st'!$Q$2:$Q$317,$A18,'Данные 2st'!$MW$2:$MW$317),"")</f>
        <v/>
      </c>
      <c r="RE18" s="7">
        <f>IFERROR(AVERAGEIF('Данные 2st'!$Q$2:$Q$317,$A18,'Данные 2st'!$MX$2:$MX$317),"")</f>
        <v/>
      </c>
      <c r="RF18" s="7">
        <f>IFERROR(AVERAGEIF('Данные 2st'!$Q$2:$Q$317,$A18,'Данные 2st'!$MY$2:$MY$317),"")</f>
        <v/>
      </c>
      <c r="RG18" s="7">
        <f>IFERROR(AVERAGEIF('Данные 2st'!$Q$2:$Q$317,$A18,'Данные 2st'!$MZ$2:$MZ$317),"")</f>
        <v/>
      </c>
      <c r="RH18" s="7">
        <f>IFERROR(AVERAGEIF('Данные 2st'!$Q$2:$Q$317,$A18,'Данные 2st'!$NA$2:$NA$317),"")</f>
        <v/>
      </c>
      <c r="RI18" s="7">
        <f>IFERROR(AVERAGEIF('Данные 2st'!$Q$2:$Q$317,$A18,'Данные 2st'!$NB$2:$NB$317),"")</f>
        <v/>
      </c>
      <c r="RJ18" s="7">
        <f>IFERROR(AVERAGEIF('Данные 2st'!$Q$2:$Q$317,$A18,'Данные 2st'!$NC$2:$NC$317),"")</f>
        <v/>
      </c>
      <c r="RK18" s="7">
        <f>IFERROR(AVERAGEIF('Данные 2st'!$Q$2:$Q$317,$A18,'Данные 2st'!$ND$2:$ND$317),"")</f>
        <v/>
      </c>
      <c r="RL18" s="7">
        <f>IFERROR(AVERAGEIF('Данные 2st'!$Q$2:$Q$317,$A18,'Данные 2st'!$NE$2:$NE$317),"")</f>
        <v/>
      </c>
      <c r="RM18" s="7">
        <f>IFERROR(AVERAGEIF('Данные 2st'!$Q$2:$Q$317,$A18,'Данные 2st'!$NF$2:$NF$317),"")</f>
        <v/>
      </c>
      <c r="RN18" s="7">
        <f>IFERROR(AVERAGEIF('Данные 2st'!$Q$2:$Q$317,$A18,'Данные 2st'!$NG$2:$NG$317),"")</f>
        <v/>
      </c>
      <c r="RO18" s="7">
        <f>IFERROR(AVERAGEIF('Данные 2st'!$Q$2:$Q$317,$A18,'Данные 2st'!$NH$2:$NH$317),"")</f>
        <v/>
      </c>
      <c r="RP18" s="7">
        <f>IFERROR(AVERAGEIF('Данные 2st'!$Q$2:$Q$317,$A18,'Данные 2st'!$NJ$2:$NJ$317),"")</f>
        <v/>
      </c>
      <c r="RQ18" s="7">
        <f>IFERROR(AVERAGEIF('Данные 2st'!$Q$2:$Q$317,$A18,'Данные 2st'!$NK$2:$NK$317),"")</f>
        <v/>
      </c>
      <c r="RR18" s="7">
        <f>IFERROR(AVERAGEIF('Данные 2st'!$Q$2:$Q$317,$A18,'Данные 2st'!$NM$2:$NM$317),"")</f>
        <v/>
      </c>
      <c r="RS18" s="7">
        <f>IFERROR(AVERAGEIF('Данные 2st'!$Q$2:$Q$317,$A18,'Данные 2st'!$NN$2:$NN$317),"")</f>
        <v/>
      </c>
      <c r="RT18" s="7">
        <f>IFERROR(AVERAGEIF('Данные 2st'!$Q$2:$Q$317,$A18,'Данные 2st'!$NO$2:$NO$317),"")</f>
        <v/>
      </c>
      <c r="RU18" s="7">
        <f>IFERROR(AVERAGEIF('Данные 2st'!$Q$2:$Q$317,$A18,'Данные 2st'!$NP$2:$NP$317),"")</f>
        <v/>
      </c>
      <c r="RV18" s="7">
        <f>IFERROR(AVERAGEIF('Данные 2st'!$Q$2:$Q$317,$A18,'Данные 2st'!$NQ$2:$NQ$317),"")</f>
        <v/>
      </c>
      <c r="RW18" s="7">
        <f>IFERROR(AVERAGEIF('Данные 2st'!$Q$2:$Q$317,$A18,'Данные 2st'!$NR$2:$NR$317),"")</f>
        <v/>
      </c>
      <c r="RX18" s="7">
        <f>IFERROR(AVERAGEIF('Данные 2st'!$Q$2:$Q$317,$A18,'Данные 2st'!$NS$2:$NS$317),"")</f>
        <v/>
      </c>
      <c r="RY18" s="7">
        <f>IFERROR(AVERAGEIF('Данные 2st'!$Q$2:$Q$317,$A18,'Данные 2st'!$NT$2:$NT$317),"")</f>
        <v/>
      </c>
      <c r="RZ18" s="7">
        <f>IFERROR(AVERAGEIF('Данные 2st'!$Q$2:$Q$317,$A18,'Данные 2st'!$OK$2:$OK$317),"")</f>
        <v>61</v>
      </c>
      <c r="SA18" s="7">
        <f>IFERROR(AVERAGEIF('Данные 2st'!$Q$2:$Q$317,$A18,'Данные 2st'!$OL$2:$OL$317),"")</f>
        <v>61</v>
      </c>
      <c r="SB18" s="7">
        <f>IFERROR(AVERAGEIF('Данные 2st'!$Q$2:$Q$317,$A18,'Данные 2st'!$ON$2:$ON$317),"")</f>
        <v>2.5</v>
      </c>
      <c r="SC18" s="7">
        <f>IFERROR(AVERAGEIF('Данные 2st'!$Q$2:$Q$317,$A18,'Данные 2st'!$OO$2:$OO$317),"")</f>
        <v>1899.25</v>
      </c>
      <c r="SD18" s="7">
        <f>IFERROR(AVERAGEIF('Данные 2st'!$Q$2:$Q$317,$A18,'Данные 2st'!$OP$2:$OP$317),"")</f>
        <v>61</v>
      </c>
      <c r="SE18" s="7">
        <f>IFERROR(AVERAGEIF('Данные 2st'!$Q$2:$Q$317,$A18,'Данные 2st'!$OQ$2:$OQ$317),"")</f>
        <v>61</v>
      </c>
      <c r="SF18" s="7">
        <f>IFERROR(AVERAGEIF('Данные 2st'!$Q$2:$Q$317,$A18,'Данные 2st'!$OS$2:$OS$317),"")</f>
        <v>2.5</v>
      </c>
      <c r="SG18" s="7">
        <f>IFERROR(AVERAGEIF('Данные 2st'!$Q$2:$Q$317,$A18,'Данные 2st'!$OT$2:$OT$317),"")</f>
        <v>1907.5</v>
      </c>
      <c r="SH18" s="7">
        <f>IFERROR(AVERAGEIF('Данные 2st'!$Q$2:$Q$317,$A18,'Данные 2st'!$OU$2:$OU$317),"")</f>
        <v>65</v>
      </c>
      <c r="SI18" s="7">
        <f>IFERROR(AVERAGEIF('Данные 2st'!$Q$2:$Q$317,$A18,'Данные 2st'!$OV$2:$OV$317),"")</f>
        <v>65</v>
      </c>
      <c r="SJ18" s="7">
        <f>IFERROR(AVERAGEIF('Данные 2st'!$Q$2:$Q$317,$A18,'Данные 2st'!$OX$2:$OX$317),"")</f>
        <v>1.25</v>
      </c>
      <c r="SK18" s="7">
        <f>IFERROR(AVERAGEIF('Данные 2st'!$Q$2:$Q$317,$A18,'Данные 2st'!$OY$2:$OY$317),"")</f>
        <v>33062.5</v>
      </c>
      <c r="SL18" s="7">
        <f>IFERROR(AVERAGEIF('Данные 2st'!$Q$2:$Q$317,$A18,'Данные 2st'!$OZ$2:$OZ$317),"")</f>
        <v>51</v>
      </c>
      <c r="SM18" s="7">
        <f>IFERROR(AVERAGEIF('Данные 2st'!$Q$2:$Q$317,$A18,'Данные 2st'!$PA$2:$PA$317),"")</f>
        <v>51.25</v>
      </c>
      <c r="SN18" s="7">
        <f>IFERROR(AVERAGEIF('Данные 2st'!$Q$2:$Q$317,$A18,'Данные 2st'!$PC$2:$PC$317),"")</f>
        <v>2</v>
      </c>
      <c r="SO18" s="7">
        <f>IFERROR(AVERAGEIF('Данные 2st'!$Q$2:$Q$317,$A18,'Данные 2st'!$PD$2:$PD$317),"")</f>
        <v>1937.5</v>
      </c>
      <c r="SP18" s="7">
        <f>IFERROR(AVERAGEIF('Данные 2st'!$Q$2:$Q$317,$A18,'Данные 2st'!$PF$2:$PF$317),"")</f>
        <v>321.5</v>
      </c>
      <c r="SQ18" s="7">
        <f>IFERROR(AVERAGEIF('Данные 2st'!$Q$2:$Q$317,$A18,'Данные 2st'!$PG$2:$PG$317),"")</f>
        <v>30.5</v>
      </c>
      <c r="SR18" s="7">
        <f>IFERROR(AVERAGEIF('Данные 2st'!$Q$2:$Q$317,$A18,'Данные 2st'!$PH$2:$PH$317),"")</f>
        <v>302.5</v>
      </c>
      <c r="SS18" s="7">
        <f>IFERROR(AVERAGEIF('Данные 2st'!$Q$2:$Q$317,$A18,'Данные 2st'!$PI$2:$PI$317),"")</f>
        <v>21.75</v>
      </c>
      <c r="ST18" s="7">
        <f>IFERROR(AVERAGEIF('Данные 2st'!$Q$2:$Q$317,$A18,'Данные 2st'!$PJ$2:$PJ$317),"")</f>
        <v>88.75</v>
      </c>
      <c r="SU18" s="7">
        <f>IFERROR(AVERAGEIF('Данные 2st'!$Q$2:$Q$317,$A18,'Данные 2st'!$PK$2:$PK$317),"")</f>
        <v>1618.6666666666667</v>
      </c>
      <c r="SV18" s="7">
        <f>IFERROR(AVERAGEIF('Данные 2st'!$Q$2:$Q$317,$A18,'Данные 2st'!$PL$2:$PL$317),"")</f>
        <v>966.975</v>
      </c>
      <c r="SW18" s="7">
        <f>IFERROR(AVERAGEIF('Данные 2st'!$Q$2:$Q$317,$A18,'Данные 2st'!$PM$2:$PM$317),"")</f>
        <v>613.0</v>
      </c>
      <c r="SX18" s="7">
        <f>IFERROR(AVERAGEIF('Данные 2st'!$Q$2:$Q$317,$A18,'Данные 2st'!$PN$2:$PN$317),"")</f>
        <v>86.7</v>
      </c>
      <c r="SY18" s="7">
        <f>IFERROR(AVERAGEIF('Данные 2st'!$Q$2:$Q$317,$A18,'Данные 2st'!$PO$2:$PO$317),"")</f>
        <v>9.2</v>
      </c>
      <c r="SZ18" s="7">
        <f>IFERROR(AVERAGEIF('Данные 2st'!$Q$2:$Q$317,$A18,'Данные 2st'!$PP$2:$PP$317),"")</f>
        <v>11.5</v>
      </c>
      <c r="TA18" s="7">
        <f>IFERROR(AVERAGEIF('Данные 2st'!$Q$2:$Q$317,$A18,'Данные 2st'!$PQ$2:$PQ$317),"")</f>
        <v>1</v>
      </c>
      <c r="TB18" s="7">
        <f>IFERROR(AVERAGEIF('Данные 2st'!$Q$2:$Q$317,$A18,'Данные 2st'!$PR$2:$PR$317),"")</f>
        <v>1</v>
      </c>
      <c r="TC18" s="7">
        <f>IFERROR(AVERAGEIF('Данные 2st'!$Q$2:$Q$317,$A18,'Данные 2st'!$PS$2:$PS$317),"")</f>
        <v>7</v>
      </c>
      <c r="TD18" s="7">
        <f>IFERROR(AVERAGEIF('Данные 2st'!$Q$2:$Q$317,$A18,'Данные 2st'!$PT$2:$PT$317),"")</f>
        <v>210.5</v>
      </c>
      <c r="TE18" s="7">
        <f>IFERROR(AVERAGEIF('Данные 2st'!$Q$2:$Q$317,$A18,'Данные 2st'!$PU$2:$PU$317),"")</f>
        <v>10.25</v>
      </c>
      <c r="TF18" s="7">
        <f>IFERROR(AVERAGEIF('Данные 2st'!$Q$2:$Q$317,$A18,'Данные 2st'!$PX$2:$PX$317),"")</f>
        <v>0</v>
      </c>
      <c r="TG18" s="7">
        <f>IFERROR(AVERAGEIF('Данные 2st'!$Q$2:$Q$317,$A18,'Данные 2st'!$PY$2:$PY$317),"")</f>
        <v>0</v>
      </c>
      <c r="TH18" s="7">
        <f>IFERROR(AVERAGEIF('Данные 2st'!$Q$2:$Q$317,$A18,'Данные 2st'!$PZ$2:$PZ$317),"")</f>
        <v>0</v>
      </c>
      <c r="TI18" s="7">
        <f>IFERROR(AVERAGEIF('Данные 2st'!$Q$2:$Q$317,$A18,'Данные 2st'!$QA$2:$QA$317),"")</f>
        <v>0</v>
      </c>
      <c r="TJ18" s="7">
        <f>IFERROR(AVERAGEIF('Данные 2st'!$Q$2:$Q$317,$A18,'Данные 2st'!$QB$2:$QB$317),"")</f>
        <v>0</v>
      </c>
      <c r="TK18" s="7">
        <f>IFERROR(AVERAGEIF('Данные 2st'!$Q$2:$Q$317,$A18,'Данные 2st'!$QC$2:$QC$317),"")</f>
        <v>0</v>
      </c>
      <c r="TL18" s="7">
        <f>IFERROR(AVERAGEIF('Данные 2st'!$Q$2:$Q$317,$A18,'Данные 2st'!$QD$2:$QD$317),"")</f>
        <v>0</v>
      </c>
      <c r="TM18" s="7">
        <f>IFERROR(AVERAGEIF('Данные 2st'!$Q$2:$Q$317,$A18,'Данные 2st'!$QE$2:$QE$317),"")</f>
        <v>-1</v>
      </c>
      <c r="TN18" s="7">
        <f>IFERROR(AVERAGEIF('Данные 2st'!$Q$2:$Q$317,$A18,'Данные 2st'!$QF$2:$QF$317),"")</f>
        <v>1</v>
      </c>
      <c r="TO18" s="7">
        <f>IFERROR(AVERAGEIF('Данные 2st'!$Q$2:$Q$317,$A18,'Данные 2st'!$QG$2:$QG$317),"")</f>
        <v>0</v>
      </c>
      <c r="TP18" s="7">
        <f>IFERROR(AVERAGEIF('Данные 2st'!$Q$2:$Q$317,$A18,'Данные 2st'!$QH$2:$QH$317),"")</f>
        <v>5</v>
      </c>
      <c r="TQ18" s="7">
        <f>IFERROR(AVERAGEIF('Данные 2st'!$Q$2:$Q$317,$A18,'Данные 2st'!$QI$2:$QI$317),"")</f>
        <v>5</v>
      </c>
      <c r="TR18" s="7">
        <f>IFERROR(AVERAGEIF('Данные 2st'!$Q$2:$Q$317,$A18,'Данные 2st'!$QJ$2:$QJ$317),"")</f>
        <v>5</v>
      </c>
      <c r="TS18" s="7">
        <f>IFERROR(AVERAGEIF('Данные 2st'!$Q$2:$Q$317,$A18,'Данные 2st'!$QK$2:$QK$317),"")</f>
        <v>191.75</v>
      </c>
      <c r="TT18" s="7">
        <f>IFERROR(AVERAGEIF('Данные 2st'!$Q$2:$Q$317,$A18,'Данные 2st'!$QL$2:$QL$317),"")</f>
        <v>416</v>
      </c>
      <c r="TU18" s="7">
        <f>IFERROR(AVERAGEIF('Данные 2st'!$Q$2:$Q$317,$A18,'Данные 2st'!$QM$2:$QM$317),"")</f>
        <v>7.5</v>
      </c>
      <c r="TV18" s="7">
        <f>IFERROR(AVERAGEIF('Данные 2st'!$Q$2:$Q$317,$A18,'Данные 2st'!$QN$2:$QN$317),"")</f>
        <v>1203.9</v>
      </c>
      <c r="TW18" s="7">
        <f>IFERROR(AVERAGEIF('Данные 2st'!$Q$2:$Q$317,$A18,'Данные 2st'!$QQ$2:$QQ$317),"")</f>
        <v>0</v>
      </c>
      <c r="TX18" s="7">
        <f>IFERROR(AVERAGEIF('Данные 2st'!$Q$2:$Q$317,$A18,'Данные 2st'!$QS$2:$QS$317),"")</f>
        <v>32.5</v>
      </c>
      <c r="TY18" s="7">
        <f>IFERROR(AVERAGEIF('Данные 2st'!$Q$2:$Q$317,$A18,'Данные 2st'!$QT$2:$QT$317),"")</f>
        <v>42.5</v>
      </c>
    </row>
    <row r="19" spans="1:545" ht="32" customHeight="1">
      <c r="A19" s="11" t="s">
        <v>609</v>
      </c>
      <c r="B19">
        <f>COUNTIF('Данные 1st'!$S$2:$S$317,$A19)</f>
        <v>4</v>
      </c>
      <c r="C19" s="6" t="s">
        <v>5089</v>
      </c>
      <c r="D19" s="6" t="s">
        <v>513</v>
      </c>
      <c r="E19" s="6" t="s">
        <v>5125</v>
      </c>
      <c r="F19" s="6" t="s">
        <v>5141</v>
      </c>
      <c r="G19" s="7">
        <f>IFERROR(AVERAGEIF('Данные 1st'!$S$2:$S$317,$A19,'Данные 1st'!$AE$2:$AE$317),"")</f>
        <v>186.5</v>
      </c>
      <c r="H19" s="7">
        <f>IFERROR(AVERAGEIF('Данные 1st'!$S$2:$S$317,$A19,'Данные 1st'!$AF$2:$AF$317),"")</f>
        <v>1.5</v>
      </c>
      <c r="I19" s="7">
        <f>IFERROR(AVERAGEIF('Данные 1st'!$S$2:$S$317,$A19,'Данные 1st'!$AJ$2:$AJ$317),"")</f>
        <v>198.125</v>
      </c>
      <c r="J19" s="7">
        <f>IFERROR(AVERAGEIF('Данные 1st'!$S$2:$S$317,$A19,'Данные 1st'!$AL$2:$AL$317),"")</f>
        <v>1.5</v>
      </c>
      <c r="K19" s="7">
        <f>IFERROR(AVERAGEIF('Данные 1st'!$S$2:$S$317,$A19,'Данные 1st'!$AR$2:$AR$317),"")</f>
        <v>0</v>
      </c>
      <c r="L19" s="7">
        <f>IFERROR(AVERAGEIF('Данные 1st'!$S$2:$S$317,$A19,'Данные 1st'!$AS$2:$AS$317),"")</f>
        <v>1.5</v>
      </c>
      <c r="M19" s="7">
        <f>IFERROR(AVERAGEIF('Данные 1st'!$S$2:$S$317,$A19,'Данные 1st'!$AY$2:$AY$317),"")</f>
        <v>284.375</v>
      </c>
      <c r="N19" s="7">
        <f>IFERROR(AVERAGEIF('Данные 1st'!$S$2:$S$317,$A19,'Данные 1st'!$AZ$2:$AZ$317),"")</f>
        <v>1.5</v>
      </c>
      <c r="O19" s="7">
        <f>IFERROR(AVERAGEIF('Данные 1st'!$S$2:$S$317,$A19,'Данные 1st'!$BF$2:$BF$317),"")</f>
        <v>232.5</v>
      </c>
      <c r="P19" s="7">
        <f>IFERROR(AVERAGEIF('Данные 1st'!$S$2:$S$317,$A19,'Данные 1st'!$BG$2:$BG$317),"")</f>
        <v>1.5</v>
      </c>
      <c r="Q19" s="7">
        <f>IFERROR(AVERAGEIF('Данные 1st'!$S$2:$S$317,$A19,'Данные 1st'!$BM$2:$BM$317),"")</f>
        <v/>
      </c>
      <c r="R19" s="7">
        <f>IFERROR(AVERAGEIF('Данные 1st'!$S$2:$S$317,$A19,'Данные 1st'!$BN$2:$BN$317),"")</f>
        <v>1.5</v>
      </c>
      <c r="S19" s="7">
        <f>IFERROR(AVERAGEIF('Данные 1st'!$S$2:$S$317,$A19,'Данные 1st'!$BT$2:$BT$317),"")</f>
        <v>208.5</v>
      </c>
      <c r="T19" s="7">
        <f>IFERROR(AVERAGEIF('Данные 1st'!$S$2:$S$317,$A19,'Данные 1st'!$BU$2:$BU$317),"")</f>
        <v>0.5</v>
      </c>
      <c r="U19" s="7">
        <f>IFERROR(AVERAGEIF('Данные 1st'!$S$2:$S$317,$A19,'Данные 1st'!$BW$2:$BW$317),"")</f>
        <v>417</v>
      </c>
      <c r="V19" s="7">
        <f>IFERROR(AVERAGEIF('Данные 1st'!$S$2:$S$317,$A19,'Данные 1st'!$BX$2:$BX$317),"")</f>
        <v>1</v>
      </c>
      <c r="W19" s="7">
        <f>IFERROR(AVERAGEIF('Данные 1st'!$S$2:$S$317,$A19,'Данные 1st'!$BZ$2:$BZ$317),"")</f>
        <v>342.5</v>
      </c>
      <c r="X19" s="7">
        <f>IFERROR(AVERAGEIF('Данные 1st'!$S$2:$S$317,$A19,'Данные 1st'!$CA$2:$CA$317),"")</f>
        <v>507.5</v>
      </c>
      <c r="Y19" s="7">
        <f>IFERROR(AVERAGEIF('Данные 1st'!$S$2:$S$317,$A19,'Данные 1st'!$CD$2:$CD$317),"")</f>
        <v>432</v>
      </c>
      <c r="Z19" s="7">
        <f>IFERROR(AVERAGEIF('Данные 1st'!$S$2:$S$317,$A19,'Данные 1st'!$CF$2:$CF$317),"")</f>
        <v>15</v>
      </c>
      <c r="AA19" s="7">
        <f>IFERROR(AVERAGEIF('Данные 1st'!$S$2:$S$317,$A19,'Данные 1st'!$CI$2:$CI$317),"")</f>
        <v>82.5</v>
      </c>
      <c r="AB19" s="7">
        <f>IFERROR(AVERAGEIF('Данные 1st'!$S$2:$S$317,$A19,'Данные 1st'!$CJ$2:$CJ$317),"")</f>
        <v>1200</v>
      </c>
      <c r="AC19" s="7">
        <f>IFERROR(AVERAGEIF('Данные 1st'!$S$2:$S$317,$A19,'Данные 1st'!$CK$2:$CK$317),"")</f>
        <v>2</v>
      </c>
      <c r="AD19" s="7">
        <f>IFERROR(AVERAGEIF('Данные 1st'!$S$2:$S$317,$A19,'Данные 1st'!$CL$2:$CL$317),"")</f>
        <v>1301</v>
      </c>
      <c r="AE19" s="7">
        <f>IFERROR(AVERAGEIF('Данные 1st'!$S$2:$S$317,$A19,'Данные 1st'!$CM$2:$CM$317),"")</f>
        <v>2</v>
      </c>
      <c r="AF19" s="7">
        <f>IFERROR(AVERAGEIF('Данные 1st'!$S$2:$S$317,$A19,'Данные 1st'!$CT$2:$CT$317),"")</f>
        <v>396.25</v>
      </c>
      <c r="AG19" s="7">
        <f>IFERROR(AVERAGEIF('Данные 1st'!$S$2:$S$317,$A19,'Данные 1st'!$CU$2:$CU$317),"")</f>
        <v>5</v>
      </c>
      <c r="AH19" s="7">
        <f>IFERROR(AVERAGEIF('Данные 1st'!$S$2:$S$317,$A19,'Данные 1st'!$CV$2:$CV$317),"")</f>
        <v>1.2</v>
      </c>
      <c r="AI19" s="7">
        <f>IFERROR(AVERAGEIF('Данные 1st'!$S$2:$S$317,$A19,'Данные 1st'!$CW$2:$CW$317),"")</f>
        <v>1213</v>
      </c>
      <c r="AJ19" s="7">
        <f>IFERROR(AVERAGEIF('Данные 1st'!$S$2:$S$317,$A19,'Данные 1st'!$CX$2:$CX$317),"")</f>
        <v>680.5</v>
      </c>
      <c r="AK19" s="7">
        <f>IFERROR(AVERAGEIF('Данные 1st'!$S$2:$S$317,$A19,'Данные 1st'!$CZ$2:$CZ$317),"")</f>
        <v/>
      </c>
      <c r="AL19" s="7">
        <f>IFERROR(AVERAGEIF('Данные 1st'!$S$2:$S$317,$A19,'Данные 1st'!$DA$2:$DA$317),"")</f>
        <v/>
      </c>
      <c r="AM19" s="7">
        <f>IFERROR(AVERAGEIF('Данные 1st'!$S$2:$S$317,$A19,'Данные 1st'!$DB$2:$DB$317),"")</f>
        <v/>
      </c>
      <c r="AN19" s="7">
        <f>IFERROR(AVERAGEIF('Данные 1st'!$S$2:$S$317,$A19,'Данные 1st'!$DC$2:$DC$317),"")</f>
        <v/>
      </c>
      <c r="AO19" s="7">
        <f>IFERROR(AVERAGEIF('Данные 1st'!$S$2:$S$317,$A19,'Данные 1st'!$DD$2:$DD$317),"")</f>
        <v>0</v>
      </c>
      <c r="AP19" s="7">
        <f>IFERROR(AVERAGEIF('Данные 1st'!$S$2:$S$317,$A19,'Данные 1st'!$DF$2:$DF$317),"")</f>
        <v>568.75</v>
      </c>
      <c r="AQ19" s="7">
        <f>IFERROR(AVERAGEIF('Данные 1st'!$S$2:$S$317,$A19,'Данные 1st'!$DG$2:$DG$317),"")</f>
        <v>3</v>
      </c>
      <c r="AR19" s="7">
        <f>IFERROR(AVERAGEIF('Данные 1st'!$S$2:$S$317,$A19,'Данные 1st'!$DH$2:$DH$317),"")</f>
        <v>1.04</v>
      </c>
      <c r="AS19" s="7">
        <f>IFERROR(AVERAGEIF('Данные 1st'!$S$2:$S$317,$A19,'Данные 1st'!$DI$2:$DI$317),"")</f>
        <v>1210.5</v>
      </c>
      <c r="AT19" s="7">
        <f>IFERROR(AVERAGEIF('Данные 1st'!$S$2:$S$317,$A19,'Данные 1st'!$DJ$2:$DJ$317),"")</f>
        <v>957.75</v>
      </c>
      <c r="AU19" s="7">
        <f>IFERROR(AVERAGEIF('Данные 1st'!$S$2:$S$317,$A19,'Данные 1st'!$DL$2:$DL$317),"")</f>
        <v>465</v>
      </c>
      <c r="AV19" s="7">
        <f>IFERROR(AVERAGEIF('Данные 1st'!$S$2:$S$317,$A19,'Данные 1st'!$DM$2:$DM$317),"")</f>
        <v>3</v>
      </c>
      <c r="AW19" s="7">
        <f>IFERROR(AVERAGEIF('Данные 1st'!$S$2:$S$317,$A19,'Данные 1st'!$DN$2:$DN$317),"")</f>
        <v>0.88</v>
      </c>
      <c r="AX19" s="7">
        <f>IFERROR(AVERAGEIF('Данные 1st'!$S$2:$S$317,$A19,'Данные 1st'!$DO$2:$DO$317),"")</f>
        <v>1216</v>
      </c>
      <c r="AY19" s="7">
        <f>IFERROR(AVERAGEIF('Данные 1st'!$S$2:$S$317,$A19,'Данные 1st'!$DP$2:$DP$317),"")</f>
        <v>642.5</v>
      </c>
      <c r="AZ19" s="7">
        <f>IFERROR(AVERAGEIF('Данные 1st'!$S$2:$S$317,$A19,'Данные 1st'!$DR$2:$DR$317),"")</f>
        <v/>
      </c>
      <c r="BA19" s="7">
        <f>IFERROR(AVERAGEIF('Данные 1st'!$S$2:$S$317,$A19,'Данные 1st'!$DS$2:$DS$317),"")</f>
        <v/>
      </c>
      <c r="BB19" s="7">
        <f>IFERROR(AVERAGEIF('Данные 1st'!$S$2:$S$317,$A19,'Данные 1st'!$DT$2:$DT$317),"")</f>
        <v/>
      </c>
      <c r="BC19" s="7">
        <f>IFERROR(AVERAGEIF('Данные 1st'!$S$2:$S$317,$A19,'Данные 1st'!$DU$2:$DU$317),"")</f>
        <v/>
      </c>
      <c r="BD19" s="7">
        <f>IFERROR(AVERAGEIF('Данные 1st'!$S$2:$S$317,$A19,'Данные 1st'!$DV$2:$DV$317),"")</f>
        <v/>
      </c>
      <c r="BE19" s="7">
        <f>IFERROR(AVERAGEIF('Данные 1st'!$S$2:$S$317,$A19,'Данные 1st'!$DX$2:$DX$317),"")</f>
        <v>7.5</v>
      </c>
      <c r="BF19" s="7">
        <f>IFERROR(AVERAGEIF('Данные 1st'!$S$2:$S$317,$A19,'Данные 1st'!$EA$2:$EA$317),"")</f>
        <v>1284.5</v>
      </c>
      <c r="BG19" s="7">
        <f>IFERROR(AVERAGEIF('Данные 1st'!$S$2:$S$317,$A19,'Данные 1st'!$EB$2:$EB$317),"")</f>
        <v>231.5</v>
      </c>
      <c r="BH19" s="7">
        <f>IFERROR(AVERAGEIF('Данные 1st'!$S$2:$S$317,$A19,'Данные 1st'!$ED$2:$ED$317),"")</f>
        <v>41.25</v>
      </c>
      <c r="BI19" s="7">
        <f>IFERROR(AVERAGEIF('Данные 1st'!$S$2:$S$317,$A19,'Данные 1st'!$EE$2:$EE$317),"")</f>
        <v>3</v>
      </c>
      <c r="BJ19" s="7">
        <f>IFERROR(AVERAGEIF('Данные 1st'!$S$2:$S$317,$A19,'Данные 1st'!$EG$2:$EG$317),"")</f>
        <v>1325.5</v>
      </c>
      <c r="BK19" s="7">
        <f>IFERROR(AVERAGEIF('Данные 1st'!$S$2:$S$317,$A19,'Данные 1st'!$EH$2:$EH$317),"")</f>
        <v>230.5</v>
      </c>
      <c r="BL19" s="7">
        <f>IFERROR(AVERAGEIF('Данные 1st'!$S$2:$S$317,$A19,'Данные 1st'!$EJ$2:$EJ$317),"")</f>
        <v>0</v>
      </c>
      <c r="BM19" s="7">
        <f>IFERROR(AVERAGEIF('Данные 1st'!$S$2:$S$317,$A19,'Данные 1st'!$EK$2:$EK$317),"")</f>
        <v>1</v>
      </c>
      <c r="BN19" s="7">
        <f>IFERROR(AVERAGEIF('Данные 1st'!$S$2:$S$317,$A19,'Данные 1st'!$EN$2:$EN$317),"")</f>
        <v>0</v>
      </c>
      <c r="BO19" s="7">
        <f>IFERROR(AVERAGEIF('Данные 1st'!$S$2:$S$317,$A19,'Данные 1st'!$EQ$2:$EQ$317),"")</f>
        <v>121.25</v>
      </c>
      <c r="BP19" s="7">
        <f>IFERROR(AVERAGEIF('Данные 1st'!$S$2:$S$317,$A19,'Данные 1st'!$ER$2:$ER$317),"")</f>
        <v>3</v>
      </c>
      <c r="BQ19" s="7">
        <f>IFERROR(AVERAGEIF('Данные 1st'!$S$2:$S$317,$A19,'Данные 1st'!$ES$2:$ES$317),"")</f>
        <v>5.875</v>
      </c>
      <c r="BR19" s="7">
        <f>IFERROR(AVERAGEIF('Данные 1st'!$S$2:$S$317,$A19,'Данные 1st'!$ET$2:$ET$317),"")</f>
        <v>1200.25</v>
      </c>
      <c r="BS19" s="7">
        <f>IFERROR(AVERAGEIF('Данные 1st'!$S$2:$S$317,$A19,'Данные 1st'!$EU$2:$EU$317),"")</f>
        <v>547.625</v>
      </c>
      <c r="BT19" s="7">
        <f>IFERROR(AVERAGEIF('Данные 1st'!$S$2:$S$317,$A19,'Данные 1st'!$EV$2:$EV$317),"")</f>
        <v>657.25</v>
      </c>
      <c r="BU19" s="7">
        <f>IFERROR(AVERAGEIF('Данные 1st'!$S$2:$S$317,$A19,'Данные 1st'!$EX$2:$EX$317),"")</f>
        <v>70</v>
      </c>
      <c r="BV19" s="7">
        <f>IFERROR(AVERAGEIF('Данные 1st'!$S$2:$S$317,$A19,'Данные 1st'!$EY$2:$EY$317),"")</f>
        <v>2</v>
      </c>
      <c r="BW19" s="7">
        <f>IFERROR(AVERAGEIF('Данные 1st'!$S$2:$S$317,$A19,'Данные 1st'!$EZ$2:$EZ$317),"")</f>
        <v>4.375</v>
      </c>
      <c r="BX19" s="7">
        <f>IFERROR(AVERAGEIF('Данные 1st'!$S$2:$S$317,$A19,'Данные 1st'!$FA$2:$FA$317),"")</f>
        <v>1200.25</v>
      </c>
      <c r="BY19" s="7">
        <f>IFERROR(AVERAGEIF('Данные 1st'!$S$2:$S$317,$A19,'Данные 1st'!$FB$2:$FB$317),"")</f>
        <v>211.625</v>
      </c>
      <c r="BZ19" s="7">
        <f>IFERROR(AVERAGEIF('Данные 1st'!$S$2:$S$317,$A19,'Данные 1st'!$FC$2:$FC$317),"")</f>
        <v>254.25</v>
      </c>
      <c r="CA19" s="7">
        <f>IFERROR(AVERAGEIF('Данные 1st'!$S$2:$S$317,$A19,'Данные 1st'!$FE$2:$FE$317),"")</f>
        <v>0</v>
      </c>
      <c r="CB19" s="7">
        <f>IFERROR(AVERAGEIF('Данные 1st'!$S$2:$S$317,$A19,'Данные 1st'!$FF$2:$FF$317),"")</f>
        <v>2</v>
      </c>
      <c r="CC19" s="7">
        <f>IFERROR(AVERAGEIF('Данные 1st'!$S$2:$S$317,$A19,'Данные 1st'!$FI$2:$FI$317),"")</f>
        <v>0</v>
      </c>
      <c r="CD19" s="7">
        <f>IFERROR(AVERAGEIF('Данные 1st'!$S$2:$S$317,$A19,'Данные 1st'!$FL$2:$FL$317),"")</f>
        <v>0.4</v>
      </c>
      <c r="CE19" s="7">
        <f>IFERROR(AVERAGEIF('Данные 1st'!$S$2:$S$317,$A19,'Данные 1st'!$FM$2:$FM$317),"")</f>
        <v>105</v>
      </c>
      <c r="CF19" s="7">
        <f>IFERROR(AVERAGEIF('Данные 1st'!$S$2:$S$317,$A19,'Данные 1st'!$FN$2:$FN$317),"")</f>
        <v>115</v>
      </c>
      <c r="CG19" s="7">
        <f>IFERROR(AVERAGEIF('Данные 1st'!$S$2:$S$317,$A19,'Данные 1st'!$FO$2:$FO$317),"")</f>
        <v/>
      </c>
      <c r="CH19" s="7">
        <f>IFERROR(AVERAGEIF('Данные 1st'!$S$2:$S$317,$A19,'Данные 1st'!$FP$2:$FP$317),"")</f>
        <v/>
      </c>
      <c r="CI19" s="7">
        <f>IFERROR(AVERAGEIF('Данные 1st'!$S$2:$S$317,$A19,'Данные 1st'!$FS$2:$FS$317),"")</f>
        <v>0.4</v>
      </c>
      <c r="CJ19" s="7">
        <f>IFERROR(AVERAGEIF('Данные 1st'!$S$2:$S$317,$A19,'Данные 1st'!$FT$2:$FT$317),"")</f>
        <v>30</v>
      </c>
      <c r="CK19" s="7">
        <f>IFERROR(AVERAGEIF('Данные 1st'!$S$2:$S$317,$A19,'Данные 1st'!$FU$2:$FU$317),"")</f>
        <v>380</v>
      </c>
      <c r="CL19" s="7">
        <f>IFERROR(AVERAGEIF('Данные 1st'!$S$2:$S$317,$A19,'Данные 1st'!$FV$2:$FV$317),"")</f>
        <v>30</v>
      </c>
      <c r="CM19" s="7">
        <f>IFERROR(AVERAGEIF('Данные 1st'!$S$2:$S$317,$A19,'Данные 1st'!$FW$2:$FW$317),"")</f>
        <v>240</v>
      </c>
      <c r="CN19" s="7">
        <f>IFERROR(AVERAGEIF('Данные 1st'!$S$2:$S$317,$A19,'Данные 1st'!$FZ$2:$FZ$317),"")</f>
        <v/>
      </c>
      <c r="CO19" s="7">
        <f>IFERROR(AVERAGEIF('Данные 1st'!$S$2:$S$317,$A19,'Данные 1st'!$GA$2:$GA$317),"")</f>
        <v/>
      </c>
      <c r="CP19" s="7">
        <f>IFERROR(AVERAGEIF('Данные 1st'!$S$2:$S$317,$A19,'Данные 1st'!$GB$2:$GB$317),"")</f>
        <v/>
      </c>
      <c r="CQ19" s="7">
        <f>IFERROR(AVERAGEIF('Данные 1st'!$S$2:$S$317,$A19,'Данные 1st'!$GH$2:$GH$317),"")</f>
        <v/>
      </c>
      <c r="CR19" s="7">
        <f>IFERROR(AVERAGEIF('Данные 1st'!$S$2:$S$317,$A19,'Данные 1st'!$GI$2:$GI$317),"")</f>
        <v/>
      </c>
      <c r="CS19" s="7">
        <f>IFERROR(AVERAGEIF('Данные 1st'!$S$2:$S$317,$A19,'Данные 1st'!$GJ$2:$GJ$317),"")</f>
        <v/>
      </c>
      <c r="CT19" s="7">
        <f>IFERROR(AVERAGEIF('Данные 1st'!$S$2:$S$317,$A19,'Данные 1st'!$GS$2:$GS$317),"")</f>
        <v>0.4</v>
      </c>
      <c r="CU19" s="7">
        <f>IFERROR(AVERAGEIF('Данные 1st'!$S$2:$S$317,$A19,'Данные 1st'!$GT$2:$GT$317),"")</f>
        <v>65</v>
      </c>
      <c r="CV19" s="7">
        <f>IFERROR(AVERAGEIF('Данные 1st'!$S$2:$S$317,$A19,'Данные 1st'!$GU$2:$GU$317),"")</f>
        <v>315</v>
      </c>
      <c r="CW19" s="7">
        <f>IFERROR(AVERAGEIF('Данные 1st'!$S$2:$S$317,$A19,'Данные 1st'!$GV$2:$GV$317),"")</f>
        <v>30</v>
      </c>
      <c r="CX19" s="7">
        <f>IFERROR(AVERAGEIF('Данные 1st'!$S$2:$S$317,$A19,'Данные 1st'!$GW$2:$GW$317),"")</f>
        <v>250</v>
      </c>
      <c r="CY19" s="7">
        <f>IFERROR(AVERAGEIF('Данные 1st'!$S$2:$S$317,$A19,'Данные 1st'!$GZ$2:$GZ$317),"")</f>
        <v/>
      </c>
      <c r="CZ19" s="7">
        <f>IFERROR(AVERAGEIF('Данные 1st'!$S$2:$S$317,$A19,'Данные 1st'!$HA$2:$HA$317),"")</f>
        <v/>
      </c>
      <c r="DA19" s="7">
        <f>IFERROR(AVERAGEIF('Данные 1st'!$S$2:$S$317,$A19,'Данные 1st'!$HB$2:$HB$317),"")</f>
        <v/>
      </c>
      <c r="DB19" s="7">
        <f>IFERROR(AVERAGEIF('Данные 1st'!$S$2:$S$317,$A19,'Данные 1st'!$HC$2:$HC$317),"")</f>
        <v>0.1</v>
      </c>
      <c r="DC19" s="7">
        <f>IFERROR(AVERAGEIF('Данные 1st'!$S$2:$S$317,$A19,'Данные 1st'!$HD$2:$HD$317),"")</f>
        <v>3</v>
      </c>
      <c r="DD19" s="7">
        <f>IFERROR(AVERAGEIF('Данные 1st'!$S$2:$S$317,$A19,'Данные 1st'!$HE$2:$HE$317),"")</f>
        <v>3</v>
      </c>
      <c r="DE19" s="7">
        <f>IFERROR(AVERAGEIF('Данные 1st'!$S$2:$S$317,$A19,'Данные 1st'!$HF$2:$HF$317),"")</f>
        <v>3</v>
      </c>
      <c r="DF19" s="7">
        <f>IFERROR(AVERAGEIF('Данные 1st'!$S$2:$S$317,$A19,'Данные 1st'!$HG$2:$HG$317),"")</f>
        <v>3</v>
      </c>
      <c r="DG19" s="7">
        <f>IFERROR(AVERAGEIF('Данные 1st'!$S$2:$S$317,$A19,'Данные 1st'!$HH$2:$HH$317),"")</f>
        <v>3</v>
      </c>
      <c r="DH19" s="7">
        <f>IFERROR(AVERAGEIF('Данные 1st'!$S$2:$S$317,$A19,'Данные 1st'!$HI$2:$HI$317),"")</f>
        <v>176.25</v>
      </c>
      <c r="DI19" s="7">
        <f>IFERROR(AVERAGEIF('Данные 1st'!$S$2:$S$317,$A19,'Данные 1st'!$HJ$2:$HJ$317),"")</f>
        <v>3</v>
      </c>
      <c r="DJ19" s="7">
        <f>IFERROR(AVERAGEIF('Данные 1st'!$S$2:$S$317,$A19,'Данные 1st'!$HK$2:$HK$317),"")</f>
        <v>55</v>
      </c>
      <c r="DK19" s="7">
        <f>IFERROR(AVERAGEIF('Данные 1st'!$S$2:$S$317,$A19,'Данные 1st'!$HL$2:$HL$317),"")</f>
        <v>2</v>
      </c>
      <c r="DL19" s="7">
        <f>IFERROR(AVERAGEIF('Данные 1st'!$S$2:$S$317,$A19,'Данные 1st'!$HM$2:$HM$317),"")</f>
        <v>0</v>
      </c>
      <c r="DM19" s="7">
        <f>IFERROR(AVERAGEIF('Данные 1st'!$S$2:$S$317,$A19,'Данные 1st'!$HN$2:$HN$317),"")</f>
        <v>2</v>
      </c>
      <c r="DN19" s="7">
        <f>IFERROR(AVERAGEIF('Данные 1st'!$S$2:$S$317,$A19,'Данные 1st'!$HO$2:$HO$317),"")</f>
        <v>106.25</v>
      </c>
      <c r="DO19" s="7">
        <f>IFERROR(AVERAGEIF('Данные 1st'!$S$2:$S$317,$A19,'Данные 1st'!$HP$2:$HP$317),"")</f>
        <v>3</v>
      </c>
      <c r="DP19" s="7">
        <f>IFERROR(AVERAGEIF('Данные 1st'!$S$2:$S$317,$A19,'Данные 1st'!$HQ$2:$HQ$317),"")</f>
        <v>0</v>
      </c>
      <c r="DQ19" s="7">
        <f>IFERROR(AVERAGEIF('Данные 1st'!$S$2:$S$317,$A19,'Данные 1st'!$HR$2:$HR$317),"")</f>
        <v>2</v>
      </c>
      <c r="DR19" s="7">
        <f>IFERROR(AVERAGEIF('Данные 1st'!$S$2:$S$317,$A19,'Данные 1st'!$HS$2:$HS$317),"")</f>
        <v>4706.5</v>
      </c>
      <c r="DS19" s="7">
        <f>IFERROR(AVERAGEIF('Данные 1st'!$S$2:$S$317,$A19,'Данные 1st'!$HT$2:$HT$317),"")</f>
        <v>142.5</v>
      </c>
      <c r="DT19" s="7">
        <f>IFERROR(AVERAGEIF('Данные 1st'!$S$2:$S$317,$A19,'Данные 1st'!$HU$2:$HU$317),"")</f>
        <v>180</v>
      </c>
      <c r="DU19" s="7">
        <f>IFERROR(AVERAGEIF('Данные 1st'!$S$2:$S$317,$A19,'Данные 1st'!$HW$2:$HW$317),"")</f>
        <v>0</v>
      </c>
      <c r="DV19" s="7">
        <f>IFERROR(AVERAGEIF('Данные 1st'!$S$2:$S$317,$A19,'Данные 1st'!$HX$2:$HX$317),"")</f>
        <v>472.5</v>
      </c>
      <c r="DW19" s="7">
        <f>IFERROR(AVERAGEIF('Данные 1st'!$S$2:$S$317,$A19,'Данные 1st'!$HY$2:$HY$317),"")</f>
        <v>0.18</v>
      </c>
      <c r="DX19" s="7">
        <f>IFERROR(AVERAGEIF('Данные 1st'!$S$2:$S$317,$A19,'Данные 1st'!$IA$2:$IA$317),"")</f>
        <v>0.15</v>
      </c>
      <c r="DY19" s="7">
        <f>IFERROR(AVERAGEIF('Данные 1st'!$S$2:$S$317,$A19,'Данные 1st'!$IB$2:$IB$317),"")</f>
        <v>0</v>
      </c>
      <c r="DZ19" s="7">
        <f>IFERROR(AVERAGEIF('Данные 1st'!$S$2:$S$317,$A19,'Данные 1st'!$IC$2:$IC$317),"")</f>
        <v>180</v>
      </c>
      <c r="EA19" s="7">
        <f>IFERROR(AVERAGEIF('Данные 1st'!$S$2:$S$317,$A19,'Данные 1st'!$ID$2:$ID$317),"")</f>
        <v>110</v>
      </c>
      <c r="EB19" s="7">
        <f>IFERROR(AVERAGEIF('Данные 1st'!$S$2:$S$317,$A19,'Данные 1st'!$IE$2:$IE$317),"")</f>
        <v>112.5</v>
      </c>
      <c r="EC19" s="7">
        <f>IFERROR(AVERAGEIF('Данные 1st'!$S$2:$S$317,$A19,'Данные 1st'!$IF$2:$IF$317),"")</f>
        <v>0</v>
      </c>
      <c r="ED19" s="7">
        <f>IFERROR(AVERAGEIF('Данные 1st'!$S$2:$S$317,$A19,'Данные 1st'!$IP$2:$IP$317),"")</f>
        <v>16</v>
      </c>
      <c r="EE19" s="7">
        <f>IFERROR(AVERAGEIF('Данные 1st'!$S$2:$S$317,$A19,'Данные 1st'!$IV$2:$IV$317),"")</f>
        <v>1200</v>
      </c>
      <c r="EF19" s="7">
        <f>IFERROR(AVERAGEIF('Данные 1st'!$S$2:$S$317,$A19,'Данные 1st'!$IW$2:$IW$317),"")</f>
        <v>417</v>
      </c>
      <c r="EG19" s="7">
        <f>IFERROR(AVERAGEIF('Данные 1st'!$S$2:$S$317,$A19,'Данные 1st'!$IX$2:$IX$317),"")</f>
        <v/>
      </c>
      <c r="EH19" s="7">
        <f>IFERROR(AVERAGEIF('Данные 1st'!$S$2:$S$317,$A19,'Данные 1st'!$IY$2:$IY$317),"")</f>
        <v/>
      </c>
      <c r="EI19" s="7">
        <f>IFERROR(AVERAGEIF('Данные 1st'!$S$2:$S$317,$A19,'Данные 1st'!$JD$2:$JD$317),"")</f>
        <v>1213</v>
      </c>
      <c r="EJ19" s="7">
        <f>IFERROR(AVERAGEIF('Данные 1st'!$S$2:$S$317,$A19,'Данные 1st'!$JE$2:$JE$317),"")</f>
        <v>1210.5</v>
      </c>
      <c r="EK19" s="7">
        <f>IFERROR(AVERAGEIF('Данные 1st'!$S$2:$S$317,$A19,'Данные 1st'!$JF$2:$JF$317),"")</f>
        <v>608</v>
      </c>
      <c r="EL19" s="7">
        <f>IFERROR(AVERAGEIF('Данные 1st'!$S$2:$S$317,$A19,'Данные 1st'!$JG$2:$JG$317),"")</f>
        <v>1200.25</v>
      </c>
      <c r="EM19" s="7">
        <f>IFERROR(AVERAGEIF('Данные 1st'!$S$2:$S$317,$A19,'Данные 1st'!$JH$2:$JH$317),"")</f>
        <v>0</v>
      </c>
      <c r="EN19" s="7">
        <f>IFERROR(AVERAGEIF('Данные 1st'!$S$2:$S$317,$A19,'Данные 1st'!$JJ$2:$JJ$317),"")</f>
        <v>180</v>
      </c>
      <c r="EO19" s="7">
        <f>IFERROR(AVERAGEIF('Данные 1st'!$S$2:$S$317,$A19,'Данные 1st'!$JK$2:$JK$317),"")</f>
        <v>472.5</v>
      </c>
      <c r="EP19" s="7">
        <f>IFERROR(AVERAGEIF('Данные 1st'!$S$2:$S$317,$A19,'Данные 1st'!$JL$2:$JL$317),"")</f>
        <v/>
      </c>
      <c r="EQ19" s="7">
        <f>IFERROR(AVERAGEIF('Данные 1st'!$S$2:$S$317,$A19,'Данные 1st'!$JM$2:$JM$317),"")</f>
        <v/>
      </c>
      <c r="ER19" s="7">
        <f>IFERROR(AVERAGEIF('Данные 1st'!$S$2:$S$317,$A19,'Данные 1st'!$JN$2:$JN$317),"")</f>
        <v>396.25</v>
      </c>
      <c r="ES19" s="7">
        <f>IFERROR(AVERAGEIF('Данные 1st'!$S$2:$S$317,$A19,'Данные 1st'!$JO$2:$JO$317),"")</f>
        <v>568.75</v>
      </c>
      <c r="ET19" s="7">
        <f>IFERROR(AVERAGEIF('Данные 1st'!$S$2:$S$317,$A19,'Данные 1st'!$JP$2:$JP$317),"")</f>
        <v>232.5</v>
      </c>
      <c r="EU19" s="7">
        <f>IFERROR(AVERAGEIF('Данные 1st'!$S$2:$S$317,$A19,'Данные 1st'!$JQ$2:$JQ$317),"")</f>
        <v>0</v>
      </c>
      <c r="EV19" s="7">
        <f>IFERROR(AVERAGEIF('Данные 1st'!$S$2:$S$317,$A19,'Данные 1st'!$JR$2:$JR$317),"")</f>
        <v>373</v>
      </c>
      <c r="EW19" s="7">
        <f>IFERROR(AVERAGEIF('Данные 1st'!$S$2:$S$317,$A19,'Данные 1st'!$JS$2:$JS$317),"")</f>
        <v>176.25</v>
      </c>
      <c r="EX19" s="7">
        <f>IFERROR(AVERAGEIF('Данные 1st'!$S$2:$S$317,$A19,'Данные 1st'!$JT$2:$JT$317),"")</f>
        <v/>
      </c>
      <c r="EY19" s="7">
        <f>IFERROR(AVERAGEIF('Данные 1st'!$S$2:$S$317,$A19,'Данные 1st'!$JU$2:$JU$317),"")</f>
        <v/>
      </c>
      <c r="EZ19" s="7">
        <f>IFERROR(AVERAGEIF('Данные 1st'!$S$2:$S$317,$A19,'Данные 1st'!$JV$2:$JV$317),"")</f>
        <v>8</v>
      </c>
      <c r="FA19" s="7">
        <f>IFERROR(AVERAGEIF('Данные 1st'!$S$2:$S$317,$A19,'Данные 1st'!$JW$2:$JW$317),"")</f>
        <v/>
      </c>
      <c r="FB19" s="7">
        <f>IFERROR(AVERAGEIF('Данные 1st'!$S$2:$S$317,$A19,'Данные 1st'!$JX$2:$JX$317),"")</f>
        <v>0</v>
      </c>
      <c r="FC19" s="7">
        <f>IFERROR(AVERAGEIF('Данные 1st'!$S$2:$S$317,$A19,'Данные 1st'!$JY$2:$JY$317),"")</f>
        <v/>
      </c>
      <c r="FD19" s="7">
        <f>IFERROR(AVERAGEIF('Данные 1st'!$S$2:$S$317,$A19,'Данные 1st'!$JZ$2:$JZ$317),"")</f>
        <v/>
      </c>
      <c r="FE19" s="7">
        <f>IFERROR(AVERAGEIF('Данные 1st'!$S$2:$S$317,$A19,'Данные 1st'!$KA$2:$KA$317),"")</f>
        <v>112.5</v>
      </c>
      <c r="FF19" s="7">
        <f>IFERROR(AVERAGEIF('Данные 1st'!$S$2:$S$317,$A19,'Данные 1st'!$KB$2:$KB$317),"")</f>
        <v>110</v>
      </c>
      <c r="FG19" s="7">
        <f>IFERROR(AVERAGEIF('Данные 1st'!$S$2:$S$317,$A19,'Данные 1st'!$KC$2:$KC$317),"")</f>
        <v>0</v>
      </c>
      <c r="FH19" s="7">
        <f>IFERROR(AVERAGEIF('Данные 1st'!$S$2:$S$317,$A19,'Данные 1st'!$KD$2:$KD$317),"")</f>
        <v>80</v>
      </c>
      <c r="FI19" s="7">
        <f>IFERROR(AVERAGEIF('Данные 1st'!$S$2:$S$317,$A19,'Данные 1st'!$KE$2:$KE$317),"")</f>
        <v/>
      </c>
      <c r="FJ19" s="7">
        <f>IFERROR(AVERAGEIF('Данные 1st'!$S$2:$S$317,$A19,'Данные 1st'!$KF$2:$KF$317),"")</f>
        <v>4</v>
      </c>
      <c r="FK19" s="7">
        <f>IFERROR(AVERAGEIF('Данные 1st'!$S$2:$S$317,$A19,'Данные 1st'!$KG$2:$KG$317),"")</f>
        <v>3.5</v>
      </c>
      <c r="FL19" s="7">
        <f>IFERROR(AVERAGEIF('Данные 1st'!$S$2:$S$317,$A19,'Данные 1st'!$KH$2:$KH$317),"")</f>
        <v>2</v>
      </c>
      <c r="FM19" s="7">
        <f>IFERROR(AVERAGEIF('Данные 1st'!$S$2:$S$317,$A19,'Данные 1st'!$KI$2:$KI$317),"")</f>
        <v>2</v>
      </c>
      <c r="FN19" s="7">
        <f>IFERROR(AVERAGEIF('Данные 1st'!$S$2:$S$317,$A19,'Данные 1st'!$KJ$2:$KJ$317),"")</f>
        <v>0</v>
      </c>
      <c r="FO19" s="7">
        <f>IFERROR(AVERAGEIF('Данные 1st'!$S$2:$S$317,$A19,'Данные 1st'!$KK$2:$KK$317),"")</f>
        <v>1.5</v>
      </c>
      <c r="FP19" s="7">
        <f>IFERROR(AVERAGEIF('Данные 1st'!$S$2:$S$317,$A19,'Данные 1st'!$KL$2:$KL$317),"")</f>
        <v>1.5</v>
      </c>
      <c r="FQ19" s="7">
        <f>IFERROR(AVERAGEIF('Данные 1st'!$S$2:$S$317,$A19,'Данные 1st'!$KM$2:$KM$317),"")</f>
        <v>0</v>
      </c>
      <c r="FR19" s="7">
        <f>IFERROR(AVERAGEIF('Данные 1st'!$S$2:$S$317,$A19,'Данные 1st'!$KN$2:$KN$317),"")</f>
        <v>0</v>
      </c>
      <c r="FS19" s="7">
        <f>IFERROR(AVERAGEIF('Данные 1st'!$S$2:$S$317,$A19,'Данные 1st'!$KR$2:$KR$317),"")</f>
        <v>30</v>
      </c>
      <c r="FT19" s="7">
        <f>IFERROR(AVERAGEIF('Данные 1st'!$S$2:$S$317,$A19,'Данные 1st'!$KS$2:$KS$317),"")</f>
        <v>60</v>
      </c>
      <c r="FU19" s="7">
        <f>IFERROR(AVERAGEIF('Данные 1st'!$S$2:$S$317,$A19,'Данные 1st'!$KT$2:$KT$317),"")</f>
        <v>0</v>
      </c>
      <c r="FV19" s="7">
        <f>IFERROR(AVERAGEIF('Данные 1st'!$S$2:$S$317,$A19,'Данные 1st'!$KV$2:$KV$317),"")</f>
        <v/>
      </c>
      <c r="FW19" s="7">
        <f>IFERROR(AVERAGEIF('Данные 1st'!$S$2:$S$317,$A19,'Данные 1st'!$KW$2:$KW$317),"")</f>
        <v/>
      </c>
      <c r="FX19" s="7">
        <f>IFERROR(AVERAGEIF('Данные 1st'!$S$2:$S$317,$A19,'Данные 1st'!$KX$2:$KX$317),"")</f>
        <v/>
      </c>
      <c r="FY19" s="7">
        <f>IFERROR(AVERAGEIF('Данные 1st'!$S$2:$S$317,$A19,'Данные 1st'!$KY$2:$KY$317),"")</f>
        <v/>
      </c>
      <c r="FZ19" s="7">
        <f>IFERROR(AVERAGEIF('Данные 1st'!$S$2:$S$317,$A19,'Данные 1st'!$KZ$2:$KZ$317),"")</f>
        <v/>
      </c>
      <c r="GA19" s="7">
        <f>IFERROR(AVERAGEIF('Данные 1st'!$S$2:$S$317,$A19,'Данные 1st'!$LA$2:$LA$317),"")</f>
        <v/>
      </c>
      <c r="GB19" s="7">
        <f>IFERROR(AVERAGEIF('Данные 1st'!$S$2:$S$317,$A19,'Данные 1st'!$LB$2:$LB$317),"")</f>
        <v/>
      </c>
      <c r="GC19" s="7">
        <f>IFERROR(AVERAGEIF('Данные 1st'!$S$2:$S$317,$A19,'Данные 1st'!$LC$2:$LC$317),"")</f>
        <v/>
      </c>
      <c r="GD19" s="7">
        <f>IFERROR(AVERAGEIF('Данные 1st'!$S$2:$S$317,$A19,'Данные 1st'!$LD$2:$LD$317),"")</f>
        <v/>
      </c>
      <c r="GE19" s="7">
        <f>IFERROR(AVERAGEIF('Данные 1st'!$S$2:$S$317,$A19,'Данные 1st'!$LE$2:$LE$317),"")</f>
        <v/>
      </c>
      <c r="GF19" s="7">
        <f>IFERROR(AVERAGEIF('Данные 1st'!$S$2:$S$317,$A19,'Данные 1st'!$LF$2:$LF$317),"")</f>
        <v/>
      </c>
      <c r="GG19" s="7">
        <f>IFERROR(AVERAGEIF('Данные 1st'!$S$2:$S$317,$A19,'Данные 1st'!$LG$2:$LG$317),"")</f>
        <v/>
      </c>
      <c r="GH19" s="7">
        <f>IFERROR(AVERAGEIF('Данные 1st'!$S$2:$S$317,$A19,'Данные 1st'!$LH$2:$LH$317),"")</f>
        <v/>
      </c>
      <c r="GI19" s="7">
        <f>IFERROR(AVERAGEIF('Данные 1st'!$S$2:$S$317,$A19,'Данные 1st'!$LI$2:$LI$317),"")</f>
        <v/>
      </c>
      <c r="GJ19" s="7">
        <f>IFERROR(AVERAGEIF('Данные 1st'!$S$2:$S$317,$A19,'Данные 1st'!$LJ$2:$LJ$317),"")</f>
        <v/>
      </c>
      <c r="GK19" s="7">
        <f>IFERROR(AVERAGEIF('Данные 1st'!$S$2:$S$317,$A19,'Данные 1st'!$LK$2:$LK$317),"")</f>
        <v>480</v>
      </c>
      <c r="GL19" s="7">
        <f>IFERROR(AVERAGEIF('Данные 1st'!$S$2:$S$317,$A19,'Данные 1st'!$LV$2:$LV$317),"")</f>
        <v/>
      </c>
      <c r="GM19" s="7">
        <f>IFERROR(AVERAGEIF('Данные 1st'!$S$2:$S$317,$A19,'Данные 1st'!$LW$2:$LW$317),"")</f>
        <v/>
      </c>
      <c r="GN19" s="7">
        <f>IFERROR(AVERAGEIF('Данные 1st'!$S$2:$S$317,$A19,'Данные 1st'!$LX$2:$LX$317),"")</f>
        <v>410</v>
      </c>
      <c r="GO19" s="7">
        <f>IFERROR(AVERAGEIF('Данные 1st'!$S$2:$S$317,$A19,'Данные 1st'!$LY$2:$LY$317),"")</f>
        <v/>
      </c>
      <c r="GP19" s="7">
        <f>IFERROR(AVERAGEIF('Данные 1st'!$S$2:$S$317,$A19,'Данные 1st'!$LZ$2:$LZ$317),"")</f>
        <v/>
      </c>
      <c r="GQ19" s="7">
        <f>IFERROR(AVERAGEIF('Данные 1st'!$S$2:$S$317,$A19,'Данные 1st'!$PG$2:$PG$317),"")</f>
        <v>1</v>
      </c>
      <c r="GR19" s="7">
        <f>IFERROR(AVERAGEIF('Данные 1st'!$S$2:$S$317,$A19,'Данные 1st'!$PX$2:$PX$317),"")</f>
        <v>56</v>
      </c>
      <c r="GS19" s="7">
        <f>IFERROR(AVERAGEIF('Данные 1st'!$S$2:$S$317,$A19,'Данные 1st'!$PY$2:$PY$317),"")</f>
        <v>56.5</v>
      </c>
      <c r="GT19" s="7">
        <f>IFERROR(AVERAGEIF('Данные 1st'!$S$2:$S$317,$A19,'Данные 1st'!$QA$2:$QA$317),"")</f>
        <v>2</v>
      </c>
      <c r="GU19" s="7">
        <f>IFERROR(AVERAGEIF('Данные 1st'!$S$2:$S$317,$A19,'Данные 1st'!$QB$2:$QB$317),"")</f>
        <v>1200.25</v>
      </c>
      <c r="GV19" s="7">
        <f>IFERROR(AVERAGEIF('Данные 1st'!$S$2:$S$317,$A19,'Данные 1st'!$QC$2:$QC$317),"")</f>
        <v>69</v>
      </c>
      <c r="GW19" s="7">
        <f>IFERROR(AVERAGEIF('Данные 1st'!$S$2:$S$317,$A19,'Данные 1st'!$QD$2:$QD$317),"")</f>
        <v>69</v>
      </c>
      <c r="GX19" s="7">
        <f>IFERROR(AVERAGEIF('Данные 1st'!$S$2:$S$317,$A19,'Данные 1st'!$QF$2:$QF$317),"")</f>
        <v>1</v>
      </c>
      <c r="GY19" s="7">
        <f>IFERROR(AVERAGEIF('Данные 1st'!$S$2:$S$317,$A19,'Данные 1st'!$QG$2:$QG$317),"")</f>
        <v>1213</v>
      </c>
      <c r="GZ19" s="7">
        <f>IFERROR(AVERAGEIF('Данные 1st'!$S$2:$S$317,$A19,'Данные 1st'!$QH$2:$QH$317),"")</f>
        <v>66</v>
      </c>
      <c r="HA19" s="7">
        <f>IFERROR(AVERAGEIF('Данные 1st'!$S$2:$S$317,$A19,'Данные 1st'!$QI$2:$QI$317),"")</f>
        <v>66</v>
      </c>
      <c r="HB19" s="7">
        <f>IFERROR(AVERAGEIF('Данные 1st'!$S$2:$S$317,$A19,'Данные 1st'!$QK$2:$QK$317),"")</f>
        <v/>
      </c>
      <c r="HC19" s="7">
        <f>IFERROR(AVERAGEIF('Данные 1st'!$S$2:$S$317,$A19,'Данные 1st'!$QL$2:$QL$317),"")</f>
        <v>0</v>
      </c>
      <c r="HD19" s="7">
        <f>IFERROR(AVERAGEIF('Данные 1st'!$S$2:$S$317,$A19,'Данные 1st'!$QM$2:$QM$317),"")</f>
        <v>62</v>
      </c>
      <c r="HE19" s="7">
        <f>IFERROR(AVERAGEIF('Данные 1st'!$S$2:$S$317,$A19,'Данные 1st'!$QN$2:$QN$317),"")</f>
        <v>62</v>
      </c>
      <c r="HF19" s="7">
        <f>IFERROR(AVERAGEIF('Данные 1st'!$S$2:$S$317,$A19,'Данные 1st'!$QP$2:$QP$317),"")</f>
        <v>1</v>
      </c>
      <c r="HG19" s="7">
        <f>IFERROR(AVERAGEIF('Данные 1st'!$S$2:$S$317,$A19,'Данные 1st'!$QQ$2:$QQ$317),"")</f>
        <v>1210.5</v>
      </c>
      <c r="HH19" s="7">
        <f>IFERROR(AVERAGEIF('Данные 1st'!$S$2:$S$317,$A19,'Данные 1st'!$QR$2:$QR$317),"")</f>
        <v>62</v>
      </c>
      <c r="HI19" s="7">
        <f>IFERROR(AVERAGEIF('Данные 1st'!$S$2:$S$317,$A19,'Данные 1st'!$QS$2:$QS$317),"")</f>
        <v>62</v>
      </c>
      <c r="HJ19" s="7">
        <f>IFERROR(AVERAGEIF('Данные 1st'!$S$2:$S$317,$A19,'Данные 1st'!$QU$2:$QU$317),"")</f>
        <v>1</v>
      </c>
      <c r="HK19" s="7">
        <f>IFERROR(AVERAGEIF('Данные 1st'!$S$2:$S$317,$A19,'Данные 1st'!$QV$2:$QV$317),"")</f>
        <v>1216</v>
      </c>
      <c r="HL19" s="7">
        <f>IFERROR(AVERAGEIF('Данные 1st'!$S$2:$S$317,$A19,'Данные 1st'!$QW$2:$QW$317),"")</f>
        <v>82</v>
      </c>
      <c r="HM19" s="7">
        <f>IFERROR(AVERAGEIF('Данные 1st'!$S$2:$S$317,$A19,'Данные 1st'!$QX$2:$QX$317),"")</f>
        <v>86.75</v>
      </c>
      <c r="HN19" s="7">
        <f>IFERROR(AVERAGEIF('Данные 1st'!$S$2:$S$317,$A19,'Данные 1st'!$QZ$2:$QZ$317),"")</f>
        <v>1</v>
      </c>
      <c r="HO19" s="7">
        <f>IFERROR(AVERAGEIF('Данные 1st'!$S$2:$S$317,$A19,'Данные 1st'!$RA$2:$RA$317),"")</f>
        <v>66</v>
      </c>
      <c r="HP19" s="7">
        <f>IFERROR(AVERAGEIF('Данные 1st'!$S$2:$S$317,$A19,'Данные 1st'!$RB$2:$RB$317),"")</f>
        <v>66</v>
      </c>
      <c r="HQ19" s="7">
        <f>IFERROR(AVERAGEIF('Данные 1st'!$S$2:$S$317,$A19,'Данные 1st'!$RD$2:$RD$317),"")</f>
        <v/>
      </c>
      <c r="HR19" s="7">
        <f>IFERROR(AVERAGEIF('Данные 1st'!$S$2:$S$317,$A19,'Данные 1st'!$RE$2:$RE$317),"")</f>
        <v>0</v>
      </c>
      <c r="HS19" s="7">
        <f>IFERROR(AVERAGEIF('Данные 1st'!$S$2:$S$317,$A19,'Данные 1st'!$RF$2:$RF$317),"")</f>
        <v>1</v>
      </c>
      <c r="HT19" s="7">
        <f>IFERROR(AVERAGEIF('Данные 1st'!$S$2:$S$317,$A19,'Данные 1st'!$RG$2:$RG$317),"")</f>
        <v/>
      </c>
      <c r="HU19" s="7">
        <f>IFERROR(AVERAGEIF('Данные 1st'!$S$2:$S$317,$A19,'Данные 1st'!$RH$2:$RH$317),"")</f>
        <v>1</v>
      </c>
      <c r="HV19" s="7">
        <f>IFERROR(AVERAGEIF('Данные 1st'!$S$2:$S$317,$A19,'Данные 1st'!$RI$2:$RI$317),"")</f>
        <v/>
      </c>
      <c r="HW19" s="7">
        <f>IFERROR(AVERAGEIF('Данные 1st'!$S$2:$S$317,$A19,'Данные 1st'!$RJ$2:$RJ$317),"")</f>
        <v>1</v>
      </c>
      <c r="HX19" s="7">
        <f>IFERROR(AVERAGEIF('Данные 1st'!$S$2:$S$317,$A19,'Данные 1st'!$RK$2:$RK$317),"")</f>
        <v/>
      </c>
      <c r="HY19" s="7">
        <f>IFERROR(AVERAGEIF('Данные 1st'!$S$2:$S$317,$A19,'Данные 1st'!$RL$2:$RL$317),"")</f>
        <v>2.75</v>
      </c>
      <c r="HZ19" s="7">
        <f>IFERROR(AVERAGEIF('Данные 1st'!$S$2:$S$317,$A19,'Данные 1st'!$RM$2:$RM$317),"")</f>
        <v>4</v>
      </c>
      <c r="IA19" s="7">
        <f>IFERROR(AVERAGEIF('Данные 1st'!$S$2:$S$317,$A19,'Данные 1st'!$RN$2:$RN$317),"")</f>
        <v/>
      </c>
      <c r="IB19" s="7">
        <f>IFERROR(AVERAGEIF('Данные 1st'!$S$2:$S$317,$A19,'Данные 1st'!$RO$2:$RO$317),"")</f>
        <v>561</v>
      </c>
      <c r="IC19" s="7">
        <f>IFERROR(AVERAGEIF('Данные 1st'!$S$2:$S$317,$A19,'Данные 1st'!$RP$2:$RP$317),"")</f>
        <v/>
      </c>
      <c r="ID19" s="7">
        <f>IFERROR(AVERAGEIF('Данные 1st'!$S$2:$S$317,$A19,'Данные 1st'!$RQ$2:$RQ$317),"")</f>
        <v>791.25</v>
      </c>
      <c r="IE19" s="7">
        <f>IFERROR(AVERAGEIF('Данные 1st'!$S$2:$S$317,$A19,'Данные 1st'!$RR$2:$RR$317),"")</f>
        <v>528.5</v>
      </c>
      <c r="IF19" s="7">
        <f>IFERROR(AVERAGEIF('Данные 1st'!$S$2:$S$317,$A19,'Данные 1st'!$RS$2:$RS$317),"")</f>
        <v/>
      </c>
      <c r="IG19" s="7">
        <f>IFERROR(AVERAGEIF('Данные 1st'!$S$2:$S$317,$A19,'Данные 1st'!$RT$2:$RT$317),"")</f>
        <v>231.5</v>
      </c>
      <c r="IH19" s="7">
        <f>IFERROR(AVERAGEIF('Данные 1st'!$S$2:$S$317,$A19,'Данные 1st'!$RU$2:$RU$317),"")</f>
        <v>230.5</v>
      </c>
      <c r="II19" s="7">
        <f>IFERROR(AVERAGEIF('Данные 1st'!$S$2:$S$317,$A19,'Данные 1st'!$RX$2:$RX$317),"")</f>
        <v>15</v>
      </c>
      <c r="IJ19" s="7">
        <f>IFERROR(AVERAGEIF('Данные 1st'!$S$2:$S$317,$A19,'Данные 1st'!$RY$2:$RY$317),"")</f>
        <v>4</v>
      </c>
      <c r="IK19" s="7">
        <f>IFERROR(AVERAGEIF('Данные 1st'!$S$2:$S$317,$A19,'Данные 1st'!$SA$2:$SA$317),"")</f>
        <v>15</v>
      </c>
      <c r="IL19" s="7">
        <f>IFERROR(AVERAGEIF('Данные 1st'!$S$2:$S$317,$A19,'Данные 1st'!$SD$2:$SD$317),"")</f>
        <v>1</v>
      </c>
      <c r="IM19" s="7">
        <f>IFERROR(AVERAGEIF('Данные 1st'!$S$2:$S$317,$A19,'Данные 1st'!$SG$2:$SG$317),"")</f>
        <v>1</v>
      </c>
      <c r="IN19" s="7">
        <f>IFERROR(AVERAGEIF('Данные 1st'!$S$2:$S$317,$A19,'Данные 1st'!$SH$2:$SH$317),"")</f>
        <v>0.995</v>
      </c>
      <c r="IO19" s="7">
        <f>IFERROR(AVERAGEIF('Данные 1st'!$S$2:$S$317,$A19,'Данные 1st'!$SI$2:$SI$317),"")</f>
        <v>0.995</v>
      </c>
      <c r="IP19" s="7">
        <f>IFERROR(AVERAGEIF('Данные 1st'!$S$2:$S$317,$A19,'Данные 1st'!$SJ$2:$SJ$317),"")</f>
        <v>0.995</v>
      </c>
      <c r="IQ19" s="7">
        <f>IFERROR(AVERAGEIF('Данные 1st'!$S$2:$S$317,$A19,'Данные 1st'!$SK$2:$SK$317),"")</f>
        <v>15</v>
      </c>
      <c r="IR19" s="7">
        <f>IFERROR(AVERAGEIF('Данные 1st'!$S$2:$S$317,$A19,'Данные 1st'!$SL$2:$SL$317),"")</f>
        <v>0</v>
      </c>
      <c r="IS19" s="7">
        <f>IFERROR(AVERAGEIF('Данные 1st'!$S$2:$S$317,$A19,'Данные 1st'!$SM$2:$SM$317),"")</f>
        <v>0</v>
      </c>
      <c r="IT19" s="7">
        <f>IFERROR(AVERAGEIF('Данные 1st'!$S$2:$S$317,$A19,'Данные 1st'!$SN$2:$SN$317),"")</f>
        <v>0</v>
      </c>
      <c r="IU19" s="7">
        <f>IFERROR(AVERAGEIF('Данные 1st'!$S$2:$S$317,$A19,'Данные 1st'!$SO$2:$SO$317),"")</f>
        <v>0</v>
      </c>
      <c r="IV19" s="7">
        <f>IFERROR(AVERAGEIF('Данные 1st'!$S$2:$S$317,$A19,'Данные 1st'!$SP$2:$SP$317),"")</f>
        <v>0</v>
      </c>
      <c r="IW19" s="7">
        <f>IFERROR(AVERAGEIF('Данные 1st'!$S$2:$S$317,$A19,'Данные 1st'!$SQ$2:$SQ$317),"")</f>
        <v>0</v>
      </c>
      <c r="IX19" s="7">
        <f>IFERROR(AVERAGEIF('Данные 1st'!$S$2:$S$317,$A19,'Данные 1st'!$SR$2:$SR$317),"")</f>
        <v>0</v>
      </c>
      <c r="IY19" s="7">
        <f>IFERROR(AVERAGEIF('Данные 1st'!$S$2:$S$317,$A19,'Данные 1st'!$SS$2:$SS$317),"")</f>
        <v>0</v>
      </c>
      <c r="IZ19" s="7">
        <f>IFERROR(AVERAGEIF('Данные 1st'!$S$2:$S$317,$A19,'Данные 1st'!$ST$2:$ST$317),"")</f>
        <v>0</v>
      </c>
      <c r="JA19" s="7">
        <f>IFERROR(AVERAGEIF('Данные 1st'!$S$2:$S$317,$A19,'Данные 1st'!$SU$2:$SU$317),"")</f>
        <v>0</v>
      </c>
      <c r="JB19" s="7">
        <f>IFERROR(AVERAGEIF('Данные 1st'!$S$2:$S$317,$A19,'Данные 1st'!$SV$2:$SV$317),"")</f>
        <v>0</v>
      </c>
      <c r="JC19" s="7">
        <f>IFERROR(AVERAGEIF('Данные 1st'!$S$2:$S$317,$A19,'Данные 1st'!$SW$2:$SW$317),"")</f>
        <v>0</v>
      </c>
      <c r="JD19" s="7">
        <f>IFERROR(AVERAGEIF('Данные 1st'!$S$2:$S$317,$A19,'Данные 1st'!$SX$2:$SX$317),"")</f>
        <v>0</v>
      </c>
      <c r="JE19" s="7">
        <f>IFERROR(AVERAGEIF('Данные 1st'!$S$2:$S$317,$A19,'Данные 1st'!$SY$2:$SY$317),"")</f>
        <v/>
      </c>
      <c r="JF19" s="7">
        <f>IFERROR(AVERAGEIF('Данные 1st'!$S$2:$S$317,$A19,'Данные 1st'!$SZ$2:$SZ$317),"")</f>
        <v>1</v>
      </c>
      <c r="JG19" s="7">
        <f>IFERROR(AVERAGEIF('Данные 1st'!$S$2:$S$317,$A19,'Данные 1st'!$TA$2:$TA$317),"")</f>
        <v/>
      </c>
      <c r="JH19" s="7">
        <f>IFERROR(AVERAGEIF('Данные 1st'!$S$2:$S$317,$A19,'Данные 1st'!$TB$2:$TB$317),"")</f>
        <v>0</v>
      </c>
      <c r="JI19" s="7">
        <f>IFERROR(AVERAGEIF('Данные 1st'!$S$2:$S$317,$A19,'Данные 1st'!$TC$2:$TC$317),"")</f>
        <v>0</v>
      </c>
      <c r="JJ19" s="7">
        <f>IFERROR(AVERAGEIF('Данные 1st'!$S$2:$S$317,$A19,'Данные 1st'!$TD$2:$TD$317),"")</f>
        <v>7.5</v>
      </c>
      <c r="JK19" s="7">
        <f>IFERROR(AVERAGEIF('Данные 1st'!$S$2:$S$317,$A19,'Данные 1st'!$TN$2:$TN$317),"")</f>
        <v>0</v>
      </c>
      <c r="JL19">
        <f>COUNTIF('Данные 2st'!$Q$2:$Q$317,$A19)</f>
        <v>4</v>
      </c>
      <c r="JM19" s="6" t="s">
        <v>5089</v>
      </c>
      <c r="JN19" s="6" t="s">
        <v>513</v>
      </c>
      <c r="JO19" s="6" t="s">
        <v>5125</v>
      </c>
      <c r="JP19" s="6" t="s">
        <v>5476</v>
      </c>
      <c r="JQ19" s="7">
        <f>IFERROR(AVERAGEIF('Данные 2st'!$Q$2:$Q$317,$A19,'Данные 2st'!$AC$2:$AC$317),"")</f>
        <v>11.25</v>
      </c>
      <c r="JR19" s="7">
        <f>IFERROR(AVERAGEIF('Данные 2st'!$Q$2:$Q$317,$A19,'Данные 2st'!$AF$2:$AF$317),"")</f>
        <v>4706.5</v>
      </c>
      <c r="JS19" s="7">
        <f>IFERROR(AVERAGEIF('Данные 2st'!$Q$2:$Q$317,$A19,'Данные 2st'!$AW$2:$AW$317),"")</f>
        <v>6.4</v>
      </c>
      <c r="JT19" s="7">
        <f>IFERROR(AVERAGEIF('Данные 2st'!$Q$2:$Q$317,$A19,'Данные 2st'!$AX$2:$AX$317),"")</f>
        <v>-6</v>
      </c>
      <c r="JU19" s="7">
        <f>IFERROR(AVERAGEIF('Данные 2st'!$Q$2:$Q$317,$A19,'Данные 2st'!$AY$2:$AY$317),"")</f>
        <v>86.125</v>
      </c>
      <c r="JV19" s="7">
        <f>IFERROR(AVERAGEIF('Данные 2st'!$Q$2:$Q$317,$A19,'Данные 2st'!$AZ$2:$AZ$317),"")</f>
        <v>71.5</v>
      </c>
      <c r="JW19" s="7">
        <f>IFERROR(AVERAGEIF('Данные 2st'!$Q$2:$Q$317,$A19,'Данные 2st'!$BA$2:$BA$317),"")</f>
        <v/>
      </c>
      <c r="JX19" s="7">
        <f>IFERROR(AVERAGEIF('Данные 2st'!$Q$2:$Q$317,$A19,'Данные 2st'!$BB$2:$BB$317),"")</f>
        <v/>
      </c>
      <c r="JY19" s="7">
        <f>IFERROR(AVERAGEIF('Данные 2st'!$Q$2:$Q$317,$A19,'Данные 2st'!$BC$2:$BC$317),"")</f>
        <v/>
      </c>
      <c r="JZ19" s="7">
        <f>IFERROR(AVERAGEIF('Данные 2st'!$Q$2:$Q$317,$A19,'Данные 2st'!$BH$2:$BH$317),"")</f>
        <v>86.125</v>
      </c>
      <c r="KA19" s="7">
        <f>IFERROR(AVERAGEIF('Данные 2st'!$Q$2:$Q$317,$A19,'Данные 2st'!$BI$2:$BI$317),"")</f>
        <v>14.625</v>
      </c>
      <c r="KB19" s="7">
        <f>IFERROR(AVERAGEIF('Данные 2st'!$Q$2:$Q$317,$A19,'Данные 2st'!$BJ$2:$BJ$317),"")</f>
        <v>71.5</v>
      </c>
      <c r="KC19" s="7">
        <f>IFERROR(AVERAGEIF('Данные 2st'!$Q$2:$Q$317,$A19,'Данные 2st'!$BK$2:$BK$317),"")</f>
        <v>3.0</v>
      </c>
      <c r="KD19" s="7">
        <f>IFERROR(AVERAGEIF('Данные 2st'!$Q$2:$Q$317,$A19,'Данные 2st'!$BL$2:$BL$317),"")</f>
        <v>172.25</v>
      </c>
      <c r="KE19" s="7">
        <f>IFERROR(AVERAGEIF('Данные 2st'!$Q$2:$Q$317,$A19,'Данные 2st'!$BM$2:$BM$317),"")</f>
        <v>-6</v>
      </c>
      <c r="KF19" s="7">
        <f>IFERROR(AVERAGEIF('Данные 2st'!$Q$2:$Q$317,$A19,'Данные 2st'!$BN$2:$BN$317),"")</f>
        <v>0</v>
      </c>
      <c r="KG19" s="7">
        <f>IFERROR(AVERAGEIF('Данные 2st'!$Q$2:$Q$317,$A19,'Данные 2st'!$BO$2:$BO$317),"")</f>
        <v>0</v>
      </c>
      <c r="KH19" s="7">
        <f>IFERROR(AVERAGEIF('Данные 2st'!$Q$2:$Q$317,$A19,'Данные 2st'!$BP$2:$BP$317),"")</f>
        <v>0</v>
      </c>
      <c r="KI19" s="7">
        <f>IFERROR(AVERAGEIF('Данные 2st'!$Q$2:$Q$317,$A19,'Данные 2st'!$BR$2:$BR$317),"")</f>
        <v>166.25</v>
      </c>
      <c r="KJ19" s="7">
        <f>IFERROR(AVERAGEIF('Данные 2st'!$Q$2:$Q$317,$A19,'Данные 2st'!$BS$2:$BS$317),"")</f>
        <v>156.25</v>
      </c>
      <c r="KK19" s="7">
        <f>IFERROR(AVERAGEIF('Данные 2st'!$Q$2:$Q$317,$A19,'Данные 2st'!$BT$2:$BT$317),"")</f>
        <v>1966.25</v>
      </c>
      <c r="KL19" s="7">
        <f>IFERROR(AVERAGEIF('Данные 2st'!$Q$2:$Q$317,$A19,'Данные 2st'!$CV$2:$CV$317),"")</f>
        <v>111.25</v>
      </c>
      <c r="KM19" s="7">
        <f>IFERROR(AVERAGEIF('Данные 2st'!$Q$2:$Q$317,$A19,'Данные 2st'!$CW$2:$CW$317),"")</f>
        <v>3</v>
      </c>
      <c r="KN19" s="7">
        <f>IFERROR(AVERAGEIF('Данные 2st'!$Q$2:$Q$317,$A19,'Данные 2st'!$CX$2:$CX$317),"")</f>
        <v>67.75</v>
      </c>
      <c r="KO19" s="7">
        <f>IFERROR(AVERAGEIF('Данные 2st'!$Q$2:$Q$317,$A19,'Данные 2st'!$CY$2:$CY$317),"")</f>
        <v>5</v>
      </c>
      <c r="KP19" s="7">
        <f>IFERROR(AVERAGEIF('Данные 2st'!$Q$2:$Q$317,$A19,'Данные 2st'!$CZ$2:$CZ$317),"")</f>
        <v>136.75</v>
      </c>
      <c r="KQ19" s="7">
        <f>IFERROR(AVERAGEIF('Данные 2st'!$Q$2:$Q$317,$A19,'Данные 2st'!$DA$2:$DA$317),"")</f>
        <v>5</v>
      </c>
      <c r="KR19" s="7">
        <f>IFERROR(AVERAGEIF('Данные 2st'!$Q$2:$Q$317,$A19,'Данные 2st'!$DB$2:$DB$317),"")</f>
        <v>9802.5</v>
      </c>
      <c r="KS19" s="7">
        <f>IFERROR(AVERAGEIF('Данные 2st'!$Q$2:$Q$317,$A19,'Данные 2st'!$DC$2:$DC$317),"")</f>
        <v>290</v>
      </c>
      <c r="KT19" s="7">
        <f>IFERROR(AVERAGEIF('Данные 2st'!$Q$2:$Q$317,$A19,'Данные 2st'!$DD$2:$DD$317),"")</f>
        <v>317</v>
      </c>
      <c r="KU19" s="7">
        <f>IFERROR(AVERAGEIF('Данные 2st'!$Q$2:$Q$317,$A19,'Данные 2st'!$DE$2:$DE$317),"")</f>
        <v>2073.75</v>
      </c>
      <c r="KV19" s="7">
        <f>IFERROR(AVERAGEIF('Данные 2st'!$Q$2:$Q$317,$A19,'Данные 2st'!$DF$2:$DF$317),"")</f>
        <v>2070</v>
      </c>
      <c r="KW19" s="7">
        <f>IFERROR(AVERAGEIF('Данные 2st'!$Q$2:$Q$317,$A19,'Данные 2st'!$DG$2:$DG$317),"")</f>
        <v>2087.25</v>
      </c>
      <c r="KX19" s="7">
        <f>IFERROR(AVERAGEIF('Данные 2st'!$Q$2:$Q$317,$A19,'Данные 2st'!$DH$2:$DH$317),"")</f>
        <v/>
      </c>
      <c r="KY19" s="7">
        <f>IFERROR(AVERAGEIF('Данные 2st'!$Q$2:$Q$317,$A19,'Данные 2st'!$DI$2:$DI$317),"")</f>
        <v>2152</v>
      </c>
      <c r="KZ19" s="7">
        <f>IFERROR(AVERAGEIF('Данные 2st'!$Q$2:$Q$317,$A19,'Данные 2st'!$DK$2:$DK$317),"")</f>
        <v>166.25</v>
      </c>
      <c r="LA19" s="7">
        <f>IFERROR(AVERAGEIF('Данные 2st'!$Q$2:$Q$317,$A19,'Данные 2st'!$DM$2:$DM$317),"")</f>
        <v>64.5</v>
      </c>
      <c r="LB19" s="7">
        <f>IFERROR(AVERAGEIF('Данные 2st'!$Q$2:$Q$317,$A19,'Данные 2st'!$DN$2:$DN$317),"")</f>
        <v>0.995</v>
      </c>
      <c r="LC19" s="7">
        <f>IFERROR(AVERAGEIF('Данные 2st'!$Q$2:$Q$317,$A19,'Данные 2st'!$DO$2:$DO$317),"")</f>
        <v>1</v>
      </c>
      <c r="LD19" s="7">
        <f>IFERROR(AVERAGEIF('Данные 2st'!$Q$2:$Q$317,$A19,'Данные 2st'!$DP$2:$DP$317),"")</f>
        <v>1969.5</v>
      </c>
      <c r="LE19" s="7">
        <f>IFERROR(AVERAGEIF('Данные 2st'!$Q$2:$Q$317,$A19,'Данные 2st'!$DQ$2:$DQ$317),"")</f>
        <v>662.25</v>
      </c>
      <c r="LF19" s="7">
        <f>IFERROR(AVERAGEIF('Данные 2st'!$Q$2:$Q$317,$A19,'Данные 2st'!$DS$2:$DS$317),"")</f>
        <v>156.25</v>
      </c>
      <c r="LG19" s="7">
        <f>IFERROR(AVERAGEIF('Данные 2st'!$Q$2:$Q$317,$A19,'Данные 2st'!$DU$2:$DU$317),"")</f>
        <v>64.5</v>
      </c>
      <c r="LH19" s="7">
        <f>IFERROR(AVERAGEIF('Данные 2st'!$Q$2:$Q$317,$A19,'Данные 2st'!$DV$2:$DV$317),"")</f>
        <v>0.995</v>
      </c>
      <c r="LI19" s="7">
        <f>IFERROR(AVERAGEIF('Данные 2st'!$Q$2:$Q$317,$A19,'Данные 2st'!$DW$2:$DW$317),"")</f>
        <v>1</v>
      </c>
      <c r="LJ19" s="7">
        <f>IFERROR(AVERAGEIF('Данные 2st'!$Q$2:$Q$317,$A19,'Данные 2st'!$DX$2:$DX$317),"")</f>
        <v>1979</v>
      </c>
      <c r="LK19" s="7">
        <f>IFERROR(AVERAGEIF('Данные 2st'!$Q$2:$Q$317,$A19,'Данные 2st'!$DY$2:$DY$317),"")</f>
        <v>625.25</v>
      </c>
      <c r="LL19" s="7">
        <f>IFERROR(AVERAGEIF('Данные 2st'!$Q$2:$Q$317,$A19,'Данные 2st'!$EA$2:$EA$317),"")</f>
        <v>26.5</v>
      </c>
      <c r="LM19" s="7">
        <f>IFERROR(AVERAGEIF('Данные 2st'!$Q$2:$Q$317,$A19,'Данные 2st'!$EC$2:$EC$317),"")</f>
        <v>0.6000000000000001</v>
      </c>
      <c r="LN19" s="7">
        <f>IFERROR(AVERAGEIF('Данные 2st'!$Q$2:$Q$317,$A19,'Данные 2st'!$ED$2:$ED$317),"")</f>
        <v>1969.5</v>
      </c>
      <c r="LO19" s="7">
        <f>IFERROR(AVERAGEIF('Данные 2st'!$Q$2:$Q$317,$A19,'Данные 2st'!$EE$2:$EE$317),"")</f>
        <v>63</v>
      </c>
      <c r="LP19" s="7">
        <f>IFERROR(AVERAGEIF('Данные 2st'!$Q$2:$Q$317,$A19,'Данные 2st'!$EG$2:$EG$317),"")</f>
        <v>16.5</v>
      </c>
      <c r="LQ19" s="7">
        <f>IFERROR(AVERAGEIF('Данные 2st'!$Q$2:$Q$317,$A19,'Данные 2st'!$EI$2:$EI$317),"")</f>
        <v>0.2</v>
      </c>
      <c r="LR19" s="7">
        <f>IFERROR(AVERAGEIF('Данные 2st'!$Q$2:$Q$317,$A19,'Данные 2st'!$EJ$2:$EJ$317),"")</f>
        <v>1975</v>
      </c>
      <c r="LS19" s="7">
        <f>IFERROR(AVERAGEIF('Данные 2st'!$Q$2:$Q$317,$A19,'Данные 2st'!$EK$2:$EK$317),"")</f>
        <v>57</v>
      </c>
      <c r="LT19" s="7">
        <f>IFERROR(AVERAGEIF('Данные 2st'!$Q$2:$Q$317,$A19,'Данные 2st'!$EM$2:$EM$317),"")</f>
        <v>12</v>
      </c>
      <c r="LU19" s="7">
        <f>IFERROR(AVERAGEIF('Данные 2st'!$Q$2:$Q$317,$A19,'Данные 2st'!$EN$2:$EN$317),"")</f>
        <v>0.5</v>
      </c>
      <c r="LV19" s="7">
        <f>IFERROR(AVERAGEIF('Данные 2st'!$Q$2:$Q$317,$A19,'Данные 2st'!$EO$2:$EO$317),"")</f>
        <v>0.96</v>
      </c>
      <c r="LW19" s="7">
        <f>IFERROR(AVERAGEIF('Данные 2st'!$Q$2:$Q$317,$A19,'Данные 2st'!$EP$2:$EP$317),"")</f>
        <v>1978.7575</v>
      </c>
      <c r="LX19" s="7">
        <f>IFERROR(AVERAGEIF('Данные 2st'!$Q$2:$Q$317,$A19,'Данные 2st'!$EQ$2:$EQ$317),"")</f>
        <v>28479.43</v>
      </c>
      <c r="LY19" s="7">
        <f>IFERROR(AVERAGEIF('Данные 2st'!$Q$2:$Q$317,$A19,'Данные 2st'!$ER$2:$ER$317),"")</f>
        <v>4540.045</v>
      </c>
      <c r="LZ19" s="7">
        <f>IFERROR(AVERAGEIF('Данные 2st'!$Q$2:$Q$317,$A19,'Данные 2st'!$ES$2:$ES$317),"")</f>
        <v>0</v>
      </c>
      <c r="MA19" s="7">
        <f>IFERROR(AVERAGEIF('Данные 2st'!$Q$2:$Q$317,$A19,'Данные 2st'!$ET$2:$ET$317),"")</f>
        <v>0</v>
      </c>
      <c r="MB19" s="7">
        <f>IFERROR(AVERAGEIF('Данные 2st'!$Q$2:$Q$317,$A19,'Данные 2st'!$EU$2:$EU$317),"")</f>
        <v>1</v>
      </c>
      <c r="MC19" s="7">
        <f>IFERROR(AVERAGEIF('Данные 2st'!$Q$2:$Q$317,$A19,'Данные 2st'!$EV$2:$EV$317),"")</f>
        <v>33019.75</v>
      </c>
      <c r="MD19" s="7">
        <f>IFERROR(AVERAGEIF('Данные 2st'!$Q$2:$Q$317,$A19,'Данные 2st'!$EW$2:$EW$317),"")</f>
        <v>397</v>
      </c>
      <c r="ME19" s="7">
        <f>IFERROR(AVERAGEIF('Данные 2st'!$Q$2:$Q$317,$A19,'Данные 2st'!$EY$2:$EY$317),"")</f>
        <v>193.5</v>
      </c>
      <c r="MF19" s="7">
        <f>IFERROR(AVERAGEIF('Данные 2st'!$Q$2:$Q$317,$A19,'Данные 2st'!$FA$2:$FA$317),"")</f>
        <v>5.0</v>
      </c>
      <c r="MG19" s="7">
        <f>IFERROR(AVERAGEIF('Данные 2st'!$Q$2:$Q$317,$A19,'Данные 2st'!$FB$2:$FB$317),"")</f>
        <v>1</v>
      </c>
      <c r="MH19" s="7">
        <f>IFERROR(AVERAGEIF('Данные 2st'!$Q$2:$Q$317,$A19,'Данные 2st'!$FC$2:$FC$317),"")</f>
        <v>1</v>
      </c>
      <c r="MI19" s="7">
        <f>IFERROR(AVERAGEIF('Данные 2st'!$Q$2:$Q$317,$A19,'Данные 2st'!$FD$2:$FD$317),"")</f>
        <v>2009.25</v>
      </c>
      <c r="MJ19" s="7">
        <f>IFERROR(AVERAGEIF('Данные 2st'!$Q$2:$Q$317,$A19,'Данные 2st'!$FE$2:$FE$317),"")</f>
        <v>2106.5</v>
      </c>
      <c r="MK19" s="7">
        <f>IFERROR(AVERAGEIF('Данные 2st'!$Q$2:$Q$317,$A19,'Данные 2st'!$FG$2:$FG$317),"")</f>
        <v>193.5</v>
      </c>
      <c r="ML19" s="7">
        <f>IFERROR(AVERAGEIF('Данные 2st'!$Q$2:$Q$317,$A19,'Данные 2st'!$FI$2:$FI$317),"")</f>
        <v>2.225</v>
      </c>
      <c r="MM19" s="7">
        <f>IFERROR(AVERAGEIF('Данные 2st'!$Q$2:$Q$317,$A19,'Данные 2st'!$FJ$2:$FJ$317),"")</f>
        <v>2009.25</v>
      </c>
      <c r="MN19" s="7">
        <f>IFERROR(AVERAGEIF('Данные 2st'!$Q$2:$Q$317,$A19,'Данные 2st'!$FK$2:$FK$317),"")</f>
        <v>908.25</v>
      </c>
      <c r="MO19" s="7">
        <f>IFERROR(AVERAGEIF('Данные 2st'!$Q$2:$Q$317,$A19,'Данные 2st'!$FP$2:$FP$317),"")</f>
        <v>2009.25</v>
      </c>
      <c r="MP19" s="7">
        <f>IFERROR(AVERAGEIF('Данные 2st'!$Q$2:$Q$317,$A19,'Данные 2st'!$FQ$2:$FQ$317),"")</f>
        <v>104</v>
      </c>
      <c r="MQ19" s="7">
        <f>IFERROR(AVERAGEIF('Данные 2st'!$Q$2:$Q$317,$A19,'Данные 2st'!$FS$2:$FS$317),"")</f>
        <v>197.5</v>
      </c>
      <c r="MR19" s="7">
        <f>IFERROR(AVERAGEIF('Данные 2st'!$Q$2:$Q$317,$A19,'Данные 2st'!$FU$2:$FU$317),"")</f>
        <v>0.4</v>
      </c>
      <c r="MS19" s="7">
        <f>IFERROR(AVERAGEIF('Данные 2st'!$Q$2:$Q$317,$A19,'Данные 2st'!$FV$2:$FV$317),"")</f>
        <v>2009.25</v>
      </c>
      <c r="MT19" s="7">
        <f>IFERROR(AVERAGEIF('Данные 2st'!$Q$2:$Q$317,$A19,'Данные 2st'!$FW$2:$FW$317),"")</f>
        <v>176.25</v>
      </c>
      <c r="MU19" s="7">
        <f>IFERROR(AVERAGEIF('Данные 2st'!$Q$2:$Q$317,$A19,'Данные 2st'!$FY$2:$FY$317),"")</f>
        <v>6.25</v>
      </c>
      <c r="MV19" s="7">
        <f>IFERROR(AVERAGEIF('Данные 2st'!$Q$2:$Q$317,$A19,'Данные 2st'!$GB$2:$GB$317),"")</f>
        <v>2009.25</v>
      </c>
      <c r="MW19" s="7">
        <f>IFERROR(AVERAGEIF('Данные 2st'!$Q$2:$Q$317,$A19,'Данные 2st'!$GC$2:$GC$317),"")</f>
        <v>18</v>
      </c>
      <c r="MX19" s="7">
        <f>IFERROR(AVERAGEIF('Данные 2st'!$Q$2:$Q$317,$A19,'Данные 2st'!$GD$2:$GD$317),"")</f>
        <v>3313</v>
      </c>
      <c r="MY19" s="7">
        <f>IFERROR(AVERAGEIF('Данные 2st'!$Q$2:$Q$317,$A19,'Данные 2st'!$GN$2:$GN$317),"")</f>
        <v/>
      </c>
      <c r="MZ19" s="7">
        <f>IFERROR(AVERAGEIF('Данные 2st'!$Q$2:$Q$317,$A19,'Данные 2st'!$GQ$2:$GQ$317),"")</f>
        <v>0</v>
      </c>
      <c r="NA19" s="7">
        <f>IFERROR(AVERAGEIF('Данные 2st'!$Q$2:$Q$317,$A19,'Данные 2st'!$GV$2:$GV$317),"")</f>
        <v>7.625</v>
      </c>
      <c r="NB19" s="7">
        <f>IFERROR(AVERAGEIF('Данные 2st'!$Q$2:$Q$317,$A19,'Данные 2st'!$GW$2:$GW$317),"")</f>
        <v>8.525</v>
      </c>
      <c r="NC19" s="7">
        <f>IFERROR(AVERAGEIF('Данные 2st'!$Q$2:$Q$317,$A19,'Данные 2st'!$GX$2:$GX$317),"")</f>
        <v>0.5</v>
      </c>
      <c r="ND19" s="7">
        <f>IFERROR(AVERAGEIF('Данные 2st'!$Q$2:$Q$317,$A19,'Данные 2st'!$GY$2:$GY$317),"")</f>
        <v>159</v>
      </c>
      <c r="NE19" s="7">
        <f>IFERROR(AVERAGEIF('Данные 2st'!$Q$2:$Q$317,$A19,'Данные 2st'!$GZ$2:$GZ$317),"")</f>
        <v>3</v>
      </c>
      <c r="NF19" s="7">
        <f>IFERROR(AVERAGEIF('Данные 2st'!$Q$2:$Q$317,$A19,'Данные 2st'!$HA$2:$HA$317),"")</f>
        <v>211</v>
      </c>
      <c r="NG19" s="7">
        <f>IFERROR(AVERAGEIF('Данные 2st'!$Q$2:$Q$317,$A19,'Данные 2st'!$HB$2:$HB$317),"")</f>
        <v>3</v>
      </c>
      <c r="NH19" s="7">
        <f>IFERROR(AVERAGEIF('Данные 2st'!$Q$2:$Q$317,$A19,'Данные 2st'!$HC$2:$HC$317),"")</f>
        <v>2009.25</v>
      </c>
      <c r="NI19" s="7">
        <f>IFERROR(AVERAGEIF('Данные 2st'!$Q$2:$Q$317,$A19,'Данные 2st'!$HD$2:$HD$317),"")</f>
        <v>4</v>
      </c>
      <c r="NJ19" s="7">
        <f>IFERROR(AVERAGEIF('Данные 2st'!$Q$2:$Q$317,$A19,'Данные 2st'!$HM$2:$HM$317),"")</f>
        <v>16</v>
      </c>
      <c r="NK19" s="7">
        <f>IFERROR(AVERAGEIF('Данные 2st'!$Q$2:$Q$317,$A19,'Данные 2st'!$HR$2:$HR$317),"")</f>
        <v>3</v>
      </c>
      <c r="NL19" s="7">
        <f>IFERROR(AVERAGEIF('Данные 2st'!$Q$2:$Q$317,$A19,'Данные 2st'!$HS$2:$HS$317),"")</f>
        <v>1966.25</v>
      </c>
      <c r="NM19" s="7">
        <f>IFERROR(AVERAGEIF('Данные 2st'!$Q$2:$Q$317,$A19,'Данные 2st'!$HT$2:$HT$317),"")</f>
        <v>5</v>
      </c>
      <c r="NN19" s="7">
        <f>IFERROR(AVERAGEIF('Данные 2st'!$Q$2:$Q$317,$A19,'Данные 2st'!$HY$2:$HY$317),"")</f>
        <v>0</v>
      </c>
      <c r="NO19" s="7">
        <f>IFERROR(AVERAGEIF('Данные 2st'!$Q$2:$Q$317,$A19,'Данные 2st'!$HZ$2:$HZ$317),"")</f>
        <v>64.5</v>
      </c>
      <c r="NP19" s="7">
        <f>IFERROR(AVERAGEIF('Данные 2st'!$Q$2:$Q$317,$A19,'Данные 2st'!$IA$2:$IA$317),"")</f>
        <v>1969.5</v>
      </c>
      <c r="NQ19" s="7">
        <f>IFERROR(AVERAGEIF('Данные 2st'!$Q$2:$Q$317,$A19,'Данные 2st'!$IB$2:$IB$317),"")</f>
        <v>1979</v>
      </c>
      <c r="NR19" s="7">
        <f>IFERROR(AVERAGEIF('Данные 2st'!$Q$2:$Q$317,$A19,'Данные 2st'!$IC$2:$IC$317),"")</f>
        <v/>
      </c>
      <c r="NS19" s="7">
        <f>IFERROR(AVERAGEIF('Данные 2st'!$Q$2:$Q$317,$A19,'Данные 2st'!$ID$2:$ID$317),"")</f>
        <v>2009.25</v>
      </c>
      <c r="NT19" s="7">
        <f>IFERROR(AVERAGEIF('Данные 2st'!$Q$2:$Q$317,$A19,'Данные 2st'!$IE$2:$IE$317),"")</f>
        <v>2009.25</v>
      </c>
      <c r="NU19" s="7">
        <f>IFERROR(AVERAGEIF('Данные 2st'!$Q$2:$Q$317,$A19,'Данные 2st'!$IF$2:$IF$317),"")</f>
        <v>166.25</v>
      </c>
      <c r="NV19" s="7">
        <f>IFERROR(AVERAGEIF('Данные 2st'!$Q$2:$Q$317,$A19,'Данные 2st'!$IG$2:$IG$317),"")</f>
        <v>156.25</v>
      </c>
      <c r="NW19" s="7">
        <f>IFERROR(AVERAGEIF('Данные 2st'!$Q$2:$Q$317,$A19,'Данные 2st'!$IH$2:$IH$317),"")</f>
        <v>211</v>
      </c>
      <c r="NX19" s="7">
        <f>IFERROR(AVERAGEIF('Данные 2st'!$Q$2:$Q$317,$A19,'Данные 2st'!$IJ$2:$IJ$317),"")</f>
        <v>5</v>
      </c>
      <c r="NY19" s="7">
        <f>IFERROR(AVERAGEIF('Данные 2st'!$Q$2:$Q$317,$A19,'Данные 2st'!$IM$2:$IM$317),"")</f>
        <v>0</v>
      </c>
      <c r="NZ19" s="7">
        <f>IFERROR(AVERAGEIF('Данные 2st'!$Q$2:$Q$317,$A19,'Данные 2st'!$IN$2:$IN$317),"")</f>
        <v>270</v>
      </c>
      <c r="OA19" s="7">
        <f>IFERROR(AVERAGEIF('Данные 2st'!$Q$2:$Q$317,$A19,'Данные 2st'!$IO$2:$IO$317),"")</f>
        <v>0</v>
      </c>
      <c r="OB19" s="7">
        <f>IFERROR(AVERAGEIF('Данные 2st'!$Q$2:$Q$317,$A19,'Данные 2st'!$IP$2:$IP$317),"")</f>
        <v>180</v>
      </c>
      <c r="OC19" s="7">
        <f>IFERROR(AVERAGEIF('Данные 2st'!$Q$2:$Q$317,$A19,'Данные 2st'!$IQ$2:$IQ$317),"")</f>
        <v>0</v>
      </c>
      <c r="OD19" s="7">
        <f>IFERROR(AVERAGEIF('Данные 2st'!$Q$2:$Q$317,$A19,'Данные 2st'!$IR$2:$IR$317),"")</f>
        <v>328.75</v>
      </c>
      <c r="OE19" s="7">
        <f>IFERROR(AVERAGEIF('Данные 2st'!$Q$2:$Q$317,$A19,'Данные 2st'!$IT$2:$IT$317),"")</f>
        <v>90</v>
      </c>
      <c r="OF19" s="7">
        <f>IFERROR(AVERAGEIF('Данные 2st'!$Q$2:$Q$317,$A19,'Данные 2st'!$IU$2:$IU$317),"")</f>
        <v>0</v>
      </c>
      <c r="OG19" s="7">
        <f>IFERROR(AVERAGEIF('Данные 2st'!$Q$2:$Q$317,$A19,'Данные 2st'!$IV$2:$IV$317),"")</f>
        <v>6.4</v>
      </c>
      <c r="OH19" s="7">
        <f>IFERROR(AVERAGEIF('Данные 2st'!$Q$2:$Q$317,$A19,'Данные 2st'!$IW$2:$IW$317),"")</f>
        <v>-6</v>
      </c>
      <c r="OI19" s="7">
        <f>IFERROR(AVERAGEIF('Данные 2st'!$Q$2:$Q$317,$A19,'Данные 2st'!$IX$2:$IX$317),"")</f>
        <v>86.125</v>
      </c>
      <c r="OJ19" s="7">
        <f>IFERROR(AVERAGEIF('Данные 2st'!$Q$2:$Q$317,$A19,'Данные 2st'!$IY$2:$IY$317),"")</f>
        <v>71.5</v>
      </c>
      <c r="OK19" s="7">
        <f>IFERROR(AVERAGEIF('Данные 2st'!$Q$2:$Q$317,$A19,'Данные 2st'!$IZ$2:$IZ$317),"")</f>
        <v>0</v>
      </c>
      <c r="OL19" s="7">
        <f>IFERROR(AVERAGEIF('Данные 2st'!$Q$2:$Q$317,$A19,'Данные 2st'!$JA$2:$JA$317),"")</f>
        <v>0</v>
      </c>
      <c r="OM19" s="7">
        <f>IFERROR(AVERAGEIF('Данные 2st'!$Q$2:$Q$317,$A19,'Данные 2st'!$JB$2:$JB$317),"")</f>
        <v>0</v>
      </c>
      <c r="ON19" s="7">
        <f>IFERROR(AVERAGEIF('Данные 2st'!$Q$2:$Q$317,$A19,'Данные 2st'!$JC$2:$JC$317),"")</f>
        <v>0</v>
      </c>
      <c r="OO19" s="7">
        <f>IFERROR(AVERAGEIF('Данные 2st'!$Q$2:$Q$317,$A19,'Данные 2st'!$JD$2:$JD$317),"")</f>
        <v>0</v>
      </c>
      <c r="OP19" s="7">
        <f>IFERROR(AVERAGEIF('Данные 2st'!$Q$2:$Q$317,$A19,'Данные 2st'!$JE$2:$JE$317),"")</f>
        <v>0</v>
      </c>
      <c r="OQ19" s="7">
        <f>IFERROR(AVERAGEIF('Данные 2st'!$Q$2:$Q$317,$A19,'Данные 2st'!$JF$2:$JF$317),"")</f>
        <v>0</v>
      </c>
      <c r="OR19" s="7">
        <f>IFERROR(AVERAGEIF('Данные 2st'!$Q$2:$Q$317,$A19,'Данные 2st'!$JG$2:$JG$317),"")</f>
        <v>0</v>
      </c>
      <c r="OS19" s="7">
        <f>IFERROR(AVERAGEIF('Данные 2st'!$Q$2:$Q$317,$A19,'Данные 2st'!$JH$2:$JH$317),"")</f>
        <v>0</v>
      </c>
      <c r="OT19" s="7">
        <f>IFERROR(AVERAGEIF('Данные 2st'!$Q$2:$Q$317,$A19,'Данные 2st'!$JI$2:$JI$317),"")</f>
        <v>383</v>
      </c>
      <c r="OU19" s="7">
        <f>IFERROR(AVERAGEIF('Данные 2st'!$Q$2:$Q$317,$A19,'Данные 2st'!$JJ$2:$JJ$317),"")</f>
        <v>351.5</v>
      </c>
      <c r="OV19" s="7">
        <f>IFERROR(AVERAGEIF('Данные 2st'!$Q$2:$Q$317,$A19,'Данные 2st'!$JK$2:$JK$317),"")</f>
        <v>254.5</v>
      </c>
      <c r="OW19" s="7">
        <f>IFERROR(AVERAGEIF('Данные 2st'!$Q$2:$Q$317,$A19,'Данные 2st'!$JL$2:$JL$317),"")</f>
        <v>349</v>
      </c>
      <c r="OX19" s="7">
        <f>IFERROR(AVERAGEIF('Данные 2st'!$Q$2:$Q$317,$A19,'Данные 2st'!$JM$2:$JM$317),"")</f>
        <v>271.25</v>
      </c>
      <c r="OY19" s="7">
        <f>IFERROR(AVERAGEIF('Данные 2st'!$Q$2:$Q$317,$A19,'Данные 2st'!$JP$2:$JP$317),"")</f>
        <v>205</v>
      </c>
      <c r="OZ19" s="7">
        <f>IFERROR(AVERAGEIF('Данные 2st'!$Q$2:$Q$317,$A19,'Данные 2st'!$JQ$2:$JQ$317),"")</f>
        <v>248.25</v>
      </c>
      <c r="PA19" s="7">
        <f>IFERROR(AVERAGEIF('Данные 2st'!$Q$2:$Q$317,$A19,'Данные 2st'!$JR$2:$JR$317),"")</f>
        <v>345</v>
      </c>
      <c r="PB19" s="7">
        <f>IFERROR(AVERAGEIF('Данные 2st'!$Q$2:$Q$317,$A19,'Данные 2st'!$JS$2:$JS$317),"")</f>
        <v>252.75</v>
      </c>
      <c r="PC19" s="7">
        <f>IFERROR(AVERAGEIF('Данные 2st'!$Q$2:$Q$317,$A19,'Данные 2st'!$JT$2:$JT$317),"")</f>
        <v>0</v>
      </c>
      <c r="PD19" s="7">
        <f>IFERROR(AVERAGEIF('Данные 2st'!$Q$2:$Q$317,$A19,'Данные 2st'!$JU$2:$JU$317),"")</f>
        <v>0</v>
      </c>
      <c r="PE19" s="7">
        <f>IFERROR(AVERAGEIF('Данные 2st'!$Q$2:$Q$317,$A19,'Данные 2st'!$JV$2:$JV$317),"")</f>
        <v>327.5</v>
      </c>
      <c r="PF19" s="7">
        <f>IFERROR(AVERAGEIF('Данные 2st'!$Q$2:$Q$317,$A19,'Данные 2st'!$JW$2:$JW$317),"")</f>
        <v>329.5</v>
      </c>
      <c r="PG19" s="7">
        <f>IFERROR(AVERAGEIF('Данные 2st'!$Q$2:$Q$317,$A19,'Данные 2st'!$KF$2:$KF$317),"")</f>
        <v>0.1925</v>
      </c>
      <c r="PH19" s="7">
        <f>IFERROR(AVERAGEIF('Данные 2st'!$Q$2:$Q$317,$A19,'Данные 2st'!$KG$2:$KG$317),"")</f>
        <v>0.10250000000000001</v>
      </c>
      <c r="PI19" s="7">
        <f>IFERROR(AVERAGEIF('Данные 2st'!$Q$2:$Q$317,$A19,'Данные 2st'!$KM$2:$KM$317),"")</f>
        <v>0.25</v>
      </c>
      <c r="PJ19" s="7">
        <f>IFERROR(AVERAGEIF('Данные 2st'!$Q$2:$Q$317,$A19,'Данные 2st'!$KN$2:$KN$317),"")</f>
        <v>1.575</v>
      </c>
      <c r="PK19" s="7">
        <f>IFERROR(AVERAGEIF('Данные 2st'!$Q$2:$Q$317,$A19,'Данные 2st'!$KO$2:$KO$317),"")</f>
        <v>0</v>
      </c>
      <c r="PL19" s="7">
        <f>IFERROR(AVERAGEIF('Данные 2st'!$Q$2:$Q$317,$A19,'Данные 2st'!$KP$2:$KP$317),"")</f>
        <v>0</v>
      </c>
      <c r="PM19" s="7">
        <f>IFERROR(AVERAGEIF('Данные 2st'!$Q$2:$Q$317,$A19,'Данные 2st'!$KQ$2:$KQ$317),"")</f>
        <v>0.9</v>
      </c>
      <c r="PN19" s="7">
        <f>IFERROR(AVERAGEIF('Данные 2st'!$Q$2:$Q$317,$A19,'Данные 2st'!$KR$2:$KR$317),"")</f>
        <v>0.9750000000000001</v>
      </c>
      <c r="PO19" s="7">
        <f>IFERROR(AVERAGEIF('Данные 2st'!$Q$2:$Q$317,$A19,'Данные 2st'!$KS$2:$KS$317),"")</f>
        <v>0</v>
      </c>
      <c r="PP19" s="7">
        <f>IFERROR(AVERAGEIF('Данные 2st'!$Q$2:$Q$317,$A19,'Данные 2st'!$KT$2:$KT$317),"")</f>
        <v>2.125</v>
      </c>
      <c r="PQ19" s="7">
        <f>IFERROR(AVERAGEIF('Данные 2st'!$Q$2:$Q$317,$A19,'Данные 2st'!$KU$2:$KU$317),"")</f>
        <v>0</v>
      </c>
      <c r="PR19" s="7">
        <f>IFERROR(AVERAGEIF('Данные 2st'!$Q$2:$Q$317,$A19,'Данные 2st'!$KV$2:$KV$317),"")</f>
        <v>0</v>
      </c>
      <c r="PS19" s="7">
        <f>IFERROR(AVERAGEIF('Данные 2st'!$Q$2:$Q$317,$A19,'Данные 2st'!$KW$2:$KW$317),"")</f>
        <v>1.0</v>
      </c>
      <c r="PT19" s="7">
        <f>IFERROR(AVERAGEIF('Данные 2st'!$Q$2:$Q$317,$A19,'Данные 2st'!$KX$2:$KX$317),"")</f>
        <v>1.75</v>
      </c>
      <c r="PU19" s="7">
        <f>IFERROR(AVERAGEIF('Данные 2st'!$Q$2:$Q$317,$A19,'Данные 2st'!$KY$2:$KY$317),"")</f>
        <v>0</v>
      </c>
      <c r="PV19" s="7">
        <f>IFERROR(AVERAGEIF('Данные 2st'!$Q$2:$Q$317,$A19,'Данные 2st'!$KZ$2:$KZ$317),"")</f>
        <v>0</v>
      </c>
      <c r="PW19" s="7">
        <f>IFERROR(AVERAGEIF('Данные 2st'!$Q$2:$Q$317,$A19,'Данные 2st'!$LA$2:$LA$317),"")</f>
        <v>0</v>
      </c>
      <c r="PX19" s="7">
        <f>IFERROR(AVERAGEIF('Данные 2st'!$Q$2:$Q$317,$A19,'Данные 2st'!$LB$2:$LB$317),"")</f>
        <v>0</v>
      </c>
      <c r="PY19" s="7">
        <f>IFERROR(AVERAGEIF('Данные 2st'!$Q$2:$Q$317,$A19,'Данные 2st'!$LC$2:$LC$317),"")</f>
        <v>0</v>
      </c>
      <c r="PZ19" s="7">
        <f>IFERROR(AVERAGEIF('Данные 2st'!$Q$2:$Q$317,$A19,'Данные 2st'!$LD$2:$LD$317),"")</f>
        <v>0</v>
      </c>
      <c r="QA19" s="7">
        <f>IFERROR(AVERAGEIF('Данные 2st'!$Q$2:$Q$317,$A19,'Данные 2st'!$LE$2:$LE$317),"")</f>
        <v>0</v>
      </c>
      <c r="QB19" s="7">
        <f>IFERROR(AVERAGEIF('Данные 2st'!$Q$2:$Q$317,$A19,'Данные 2st'!$LF$2:$LF$317),"")</f>
        <v>0</v>
      </c>
      <c r="QC19" s="7">
        <f>IFERROR(AVERAGEIF('Данные 2st'!$Q$2:$Q$317,$A19,'Данные 2st'!$LG$2:$LG$317),"")</f>
        <v>0</v>
      </c>
      <c r="QD19" s="7">
        <f>IFERROR(AVERAGEIF('Данные 2st'!$Q$2:$Q$317,$A19,'Данные 2st'!$LH$2:$LH$317),"")</f>
        <v>3</v>
      </c>
      <c r="QE19" s="7">
        <f>IFERROR(AVERAGEIF('Данные 2st'!$Q$2:$Q$317,$A19,'Данные 2st'!$LJ$2:$LJ$317),"")</f>
        <v>0</v>
      </c>
      <c r="QF19" s="7">
        <f>IFERROR(AVERAGEIF('Данные 2st'!$Q$2:$Q$317,$A19,'Данные 2st'!$LK$2:$LK$317),"")</f>
        <v>5.375</v>
      </c>
      <c r="QG19" s="7">
        <f>IFERROR(AVERAGEIF('Данные 2st'!$Q$2:$Q$317,$A19,'Данные 2st'!$LL$2:$LL$317),"")</f>
        <v>4.5</v>
      </c>
      <c r="QH19" s="7">
        <f>IFERROR(AVERAGEIF('Данные 2st'!$Q$2:$Q$317,$A19,'Данные 2st'!$LM$2:$LM$317),"")</f>
        <v>6.75</v>
      </c>
      <c r="QI19" s="7">
        <f>IFERROR(AVERAGEIF('Данные 2st'!$Q$2:$Q$317,$A19,'Данные 2st'!$LN$2:$LN$317),"")</f>
        <v>0.55</v>
      </c>
      <c r="QJ19" s="7">
        <f>IFERROR(AVERAGEIF('Данные 2st'!$Q$2:$Q$317,$A19,'Данные 2st'!$LO$2:$LO$317),"")</f>
        <v>2.75</v>
      </c>
      <c r="QK19" s="7">
        <f>IFERROR(AVERAGEIF('Данные 2st'!$Q$2:$Q$317,$A19,'Данные 2st'!$LP$2:$LP$317),"")</f>
        <v>0</v>
      </c>
      <c r="QL19" s="7">
        <f>IFERROR(AVERAGEIF('Данные 2st'!$Q$2:$Q$317,$A19,'Данные 2st'!$LQ$2:$LQ$317),"")</f>
        <v>0</v>
      </c>
      <c r="QM19" s="7">
        <f>IFERROR(AVERAGEIF('Данные 2st'!$Q$2:$Q$317,$A19,'Данные 2st'!$LW$2:$LW$317),"")</f>
        <v>1.9500000000000002</v>
      </c>
      <c r="QN19" s="7">
        <f>IFERROR(AVERAGEIF('Данные 2st'!$Q$2:$Q$317,$A19,'Данные 2st'!$LX$2:$LX$317),"")</f>
        <v>1.9500000000000002</v>
      </c>
      <c r="QO19" s="7">
        <f>IFERROR(AVERAGEIF('Данные 2st'!$Q$2:$Q$317,$A19,'Данные 2st'!$LY$2:$LY$317),"")</f>
        <v>2.1</v>
      </c>
      <c r="QP19" s="7">
        <f>IFERROR(AVERAGEIF('Данные 2st'!$Q$2:$Q$317,$A19,'Данные 2st'!$LZ$2:$LZ$317),"")</f>
        <v>2.1</v>
      </c>
      <c r="QQ19" s="7">
        <f>IFERROR(AVERAGEIF('Данные 2st'!$Q$2:$Q$317,$A19,'Данные 2st'!$MB$2:$MB$317),"")</f>
        <v>5</v>
      </c>
      <c r="QR19" s="7">
        <f>IFERROR(AVERAGEIF('Данные 2st'!$Q$2:$Q$317,$A19,'Данные 2st'!$MG$2:$MG$317),"")</f>
        <v>20</v>
      </c>
      <c r="QS19" s="7">
        <f>IFERROR(AVERAGEIF('Данные 2st'!$Q$2:$Q$317,$A19,'Данные 2st'!$MH$2:$MH$317),"")</f>
        <v>20</v>
      </c>
      <c r="QT19" s="7">
        <f>IFERROR(AVERAGEIF('Данные 2st'!$Q$2:$Q$317,$A19,'Данные 2st'!$MI$2:$MI$317),"")</f>
        <v>0</v>
      </c>
      <c r="QU19" s="7">
        <f>IFERROR(AVERAGEIF('Данные 2st'!$Q$2:$Q$317,$A19,'Данные 2st'!$MJ$2:$MJ$317),"")</f>
        <v>0</v>
      </c>
      <c r="QV19" s="7">
        <f>IFERROR(AVERAGEIF('Данные 2st'!$Q$2:$Q$317,$A19,'Данные 2st'!$MK$2:$MK$317),"")</f>
        <v/>
      </c>
      <c r="QW19" s="7">
        <f>IFERROR(AVERAGEIF('Данные 2st'!$Q$2:$Q$317,$A19,'Данные 2st'!$MM$2:$MM$317),"")</f>
        <v>397.5</v>
      </c>
      <c r="QX19" s="7">
        <f>IFERROR(AVERAGEIF('Данные 2st'!$Q$2:$Q$317,$A19,'Данные 2st'!$MQ$2:$MQ$317),"")</f>
        <v/>
      </c>
      <c r="QY19" s="7">
        <f>IFERROR(AVERAGEIF('Данные 2st'!$Q$2:$Q$317,$A19,'Данные 2st'!$MR$2:$MR$317),"")</f>
        <v/>
      </c>
      <c r="QZ19" s="7">
        <f>IFERROR(AVERAGEIF('Данные 2st'!$Q$2:$Q$317,$A19,'Данные 2st'!$MS$2:$MS$317),"")</f>
        <v/>
      </c>
      <c r="RA19" s="7">
        <f>IFERROR(AVERAGEIF('Данные 2st'!$Q$2:$Q$317,$A19,'Данные 2st'!$MT$2:$MT$317),"")</f>
        <v/>
      </c>
      <c r="RB19" s="7">
        <f>IFERROR(AVERAGEIF('Данные 2st'!$Q$2:$Q$317,$A19,'Данные 2st'!$MU$2:$MU$317),"")</f>
        <v/>
      </c>
      <c r="RC19" s="7">
        <f>IFERROR(AVERAGEIF('Данные 2st'!$Q$2:$Q$317,$A19,'Данные 2st'!$MV$2:$MV$317),"")</f>
        <v/>
      </c>
      <c r="RD19" s="7">
        <f>IFERROR(AVERAGEIF('Данные 2st'!$Q$2:$Q$317,$A19,'Данные 2st'!$MW$2:$MW$317),"")</f>
        <v/>
      </c>
      <c r="RE19" s="7">
        <f>IFERROR(AVERAGEIF('Данные 2st'!$Q$2:$Q$317,$A19,'Данные 2st'!$MX$2:$MX$317),"")</f>
        <v/>
      </c>
      <c r="RF19" s="7">
        <f>IFERROR(AVERAGEIF('Данные 2st'!$Q$2:$Q$317,$A19,'Данные 2st'!$MY$2:$MY$317),"")</f>
        <v/>
      </c>
      <c r="RG19" s="7">
        <f>IFERROR(AVERAGEIF('Данные 2st'!$Q$2:$Q$317,$A19,'Данные 2st'!$MZ$2:$MZ$317),"")</f>
        <v/>
      </c>
      <c r="RH19" s="7">
        <f>IFERROR(AVERAGEIF('Данные 2st'!$Q$2:$Q$317,$A19,'Данные 2st'!$NA$2:$NA$317),"")</f>
        <v/>
      </c>
      <c r="RI19" s="7">
        <f>IFERROR(AVERAGEIF('Данные 2st'!$Q$2:$Q$317,$A19,'Данные 2st'!$NB$2:$NB$317),"")</f>
        <v/>
      </c>
      <c r="RJ19" s="7">
        <f>IFERROR(AVERAGEIF('Данные 2st'!$Q$2:$Q$317,$A19,'Данные 2st'!$NC$2:$NC$317),"")</f>
        <v/>
      </c>
      <c r="RK19" s="7">
        <f>IFERROR(AVERAGEIF('Данные 2st'!$Q$2:$Q$317,$A19,'Данные 2st'!$ND$2:$ND$317),"")</f>
        <v/>
      </c>
      <c r="RL19" s="7">
        <f>IFERROR(AVERAGEIF('Данные 2st'!$Q$2:$Q$317,$A19,'Данные 2st'!$NE$2:$NE$317),"")</f>
        <v/>
      </c>
      <c r="RM19" s="7">
        <f>IFERROR(AVERAGEIF('Данные 2st'!$Q$2:$Q$317,$A19,'Данные 2st'!$NF$2:$NF$317),"")</f>
        <v/>
      </c>
      <c r="RN19" s="7">
        <f>IFERROR(AVERAGEIF('Данные 2st'!$Q$2:$Q$317,$A19,'Данные 2st'!$NG$2:$NG$317),"")</f>
        <v/>
      </c>
      <c r="RO19" s="7">
        <f>IFERROR(AVERAGEIF('Данные 2st'!$Q$2:$Q$317,$A19,'Данные 2st'!$NH$2:$NH$317),"")</f>
        <v>0</v>
      </c>
      <c r="RP19" s="7">
        <f>IFERROR(AVERAGEIF('Данные 2st'!$Q$2:$Q$317,$A19,'Данные 2st'!$NJ$2:$NJ$317),"")</f>
        <v>0</v>
      </c>
      <c r="RQ19" s="7">
        <f>IFERROR(AVERAGEIF('Данные 2st'!$Q$2:$Q$317,$A19,'Данные 2st'!$NK$2:$NK$317),"")</f>
        <v>0</v>
      </c>
      <c r="RR19" s="7">
        <f>IFERROR(AVERAGEIF('Данные 2st'!$Q$2:$Q$317,$A19,'Данные 2st'!$NM$2:$NM$317),"")</f>
        <v>0</v>
      </c>
      <c r="RS19" s="7">
        <f>IFERROR(AVERAGEIF('Данные 2st'!$Q$2:$Q$317,$A19,'Данные 2st'!$NN$2:$NN$317),"")</f>
        <v/>
      </c>
      <c r="RT19" s="7">
        <f>IFERROR(AVERAGEIF('Данные 2st'!$Q$2:$Q$317,$A19,'Данные 2st'!$NO$2:$NO$317),"")</f>
        <v/>
      </c>
      <c r="RU19" s="7">
        <f>IFERROR(AVERAGEIF('Данные 2st'!$Q$2:$Q$317,$A19,'Данные 2st'!$NP$2:$NP$317),"")</f>
        <v/>
      </c>
      <c r="RV19" s="7">
        <f>IFERROR(AVERAGEIF('Данные 2st'!$Q$2:$Q$317,$A19,'Данные 2st'!$NQ$2:$NQ$317),"")</f>
        <v/>
      </c>
      <c r="RW19" s="7">
        <f>IFERROR(AVERAGEIF('Данные 2st'!$Q$2:$Q$317,$A19,'Данные 2st'!$NR$2:$NR$317),"")</f>
        <v/>
      </c>
      <c r="RX19" s="7">
        <f>IFERROR(AVERAGEIF('Данные 2st'!$Q$2:$Q$317,$A19,'Данные 2st'!$NS$2:$NS$317),"")</f>
        <v/>
      </c>
      <c r="RY19" s="7">
        <f>IFERROR(AVERAGEIF('Данные 2st'!$Q$2:$Q$317,$A19,'Данные 2st'!$NT$2:$NT$317),"")</f>
        <v/>
      </c>
      <c r="RZ19" s="7">
        <f>IFERROR(AVERAGEIF('Данные 2st'!$Q$2:$Q$317,$A19,'Данные 2st'!$OK$2:$OK$317),"")</f>
        <v>61</v>
      </c>
      <c r="SA19" s="7">
        <f>IFERROR(AVERAGEIF('Данные 2st'!$Q$2:$Q$317,$A19,'Данные 2st'!$OL$2:$OL$317),"")</f>
        <v>61</v>
      </c>
      <c r="SB19" s="7">
        <f>IFERROR(AVERAGEIF('Данные 2st'!$Q$2:$Q$317,$A19,'Данные 2st'!$ON$2:$ON$317),"")</f>
        <v>2</v>
      </c>
      <c r="SC19" s="7">
        <f>IFERROR(AVERAGEIF('Данные 2st'!$Q$2:$Q$317,$A19,'Данные 2st'!$OO$2:$OO$317),"")</f>
        <v>1969.5</v>
      </c>
      <c r="SD19" s="7">
        <f>IFERROR(AVERAGEIF('Данные 2st'!$Q$2:$Q$317,$A19,'Данные 2st'!$OP$2:$OP$317),"")</f>
        <v>61</v>
      </c>
      <c r="SE19" s="7">
        <f>IFERROR(AVERAGEIF('Данные 2st'!$Q$2:$Q$317,$A19,'Данные 2st'!$OQ$2:$OQ$317),"")</f>
        <v>61</v>
      </c>
      <c r="SF19" s="7">
        <f>IFERROR(AVERAGEIF('Данные 2st'!$Q$2:$Q$317,$A19,'Данные 2st'!$OS$2:$OS$317),"")</f>
        <v>2</v>
      </c>
      <c r="SG19" s="7">
        <f>IFERROR(AVERAGEIF('Данные 2st'!$Q$2:$Q$317,$A19,'Данные 2st'!$OT$2:$OT$317),"")</f>
        <v>1979</v>
      </c>
      <c r="SH19" s="7">
        <f>IFERROR(AVERAGEIF('Данные 2st'!$Q$2:$Q$317,$A19,'Данные 2st'!$OU$2:$OU$317),"")</f>
        <v>65</v>
      </c>
      <c r="SI19" s="7">
        <f>IFERROR(AVERAGEIF('Данные 2st'!$Q$2:$Q$317,$A19,'Данные 2st'!$OV$2:$OV$317),"")</f>
        <v>65</v>
      </c>
      <c r="SJ19" s="7">
        <f>IFERROR(AVERAGEIF('Данные 2st'!$Q$2:$Q$317,$A19,'Данные 2st'!$OX$2:$OX$317),"")</f>
        <v>1.75</v>
      </c>
      <c r="SK19" s="7">
        <f>IFERROR(AVERAGEIF('Данные 2st'!$Q$2:$Q$317,$A19,'Данные 2st'!$OY$2:$OY$317),"")</f>
        <v>33019.75</v>
      </c>
      <c r="SL19" s="7">
        <f>IFERROR(AVERAGEIF('Данные 2st'!$Q$2:$Q$317,$A19,'Данные 2st'!$OZ$2:$OZ$317),"")</f>
        <v>51</v>
      </c>
      <c r="SM19" s="7">
        <f>IFERROR(AVERAGEIF('Данные 2st'!$Q$2:$Q$317,$A19,'Данные 2st'!$PA$2:$PA$317),"")</f>
        <v>51.5</v>
      </c>
      <c r="SN19" s="7">
        <f>IFERROR(AVERAGEIF('Данные 2st'!$Q$2:$Q$317,$A19,'Данные 2st'!$PC$2:$PC$317),"")</f>
        <v>2</v>
      </c>
      <c r="SO19" s="7">
        <f>IFERROR(AVERAGEIF('Данные 2st'!$Q$2:$Q$317,$A19,'Данные 2st'!$PD$2:$PD$317),"")</f>
        <v>2009.25</v>
      </c>
      <c r="SP19" s="7">
        <f>IFERROR(AVERAGEIF('Данные 2st'!$Q$2:$Q$317,$A19,'Данные 2st'!$PF$2:$PF$317),"")</f>
        <v>336.25</v>
      </c>
      <c r="SQ19" s="7">
        <f>IFERROR(AVERAGEIF('Данные 2st'!$Q$2:$Q$317,$A19,'Данные 2st'!$PG$2:$PG$317),"")</f>
        <v>32</v>
      </c>
      <c r="SR19" s="7">
        <f>IFERROR(AVERAGEIF('Данные 2st'!$Q$2:$Q$317,$A19,'Данные 2st'!$PH$2:$PH$317),"")</f>
        <v>316</v>
      </c>
      <c r="SS19" s="7">
        <f>IFERROR(AVERAGEIF('Данные 2st'!$Q$2:$Q$317,$A19,'Данные 2st'!$PI$2:$PI$317),"")</f>
        <v>14.5</v>
      </c>
      <c r="ST19" s="7">
        <f>IFERROR(AVERAGEIF('Данные 2st'!$Q$2:$Q$317,$A19,'Данные 2st'!$PJ$2:$PJ$317),"")</f>
        <v>51.7</v>
      </c>
      <c r="SU19" s="7">
        <f>IFERROR(AVERAGEIF('Данные 2st'!$Q$2:$Q$317,$A19,'Данные 2st'!$PK$2:$PK$317),"")</f>
        <v>1701.6666666666667</v>
      </c>
      <c r="SV19" s="7">
        <f>IFERROR(AVERAGEIF('Данные 2st'!$Q$2:$Q$317,$A19,'Данные 2st'!$PL$2:$PL$317),"")</f>
        <v>1048.575</v>
      </c>
      <c r="SW19" s="7">
        <f>IFERROR(AVERAGEIF('Данные 2st'!$Q$2:$Q$317,$A19,'Данные 2st'!$PM$2:$PM$317),"")</f>
        <v>452.125</v>
      </c>
      <c r="SX19" s="7">
        <f>IFERROR(AVERAGEIF('Данные 2st'!$Q$2:$Q$317,$A19,'Данные 2st'!$PN$2:$PN$317),"")</f>
        <v>87.77499999999999</v>
      </c>
      <c r="SY19" s="7">
        <f>IFERROR(AVERAGEIF('Данные 2st'!$Q$2:$Q$317,$A19,'Данные 2st'!$PO$2:$PO$317),"")</f>
        <v>8.95</v>
      </c>
      <c r="SZ19" s="7">
        <f>IFERROR(AVERAGEIF('Данные 2st'!$Q$2:$Q$317,$A19,'Данные 2st'!$PP$2:$PP$317),"")</f>
        <v>12</v>
      </c>
      <c r="TA19" s="7">
        <f>IFERROR(AVERAGEIF('Данные 2st'!$Q$2:$Q$317,$A19,'Данные 2st'!$PQ$2:$PQ$317),"")</f>
        <v>2</v>
      </c>
      <c r="TB19" s="7">
        <f>IFERROR(AVERAGEIF('Данные 2st'!$Q$2:$Q$317,$A19,'Данные 2st'!$PR$2:$PR$317),"")</f>
        <v>3</v>
      </c>
      <c r="TC19" s="7">
        <f>IFERROR(AVERAGEIF('Данные 2st'!$Q$2:$Q$317,$A19,'Данные 2st'!$PS$2:$PS$317),"")</f>
        <v>8</v>
      </c>
      <c r="TD19" s="7">
        <f>IFERROR(AVERAGEIF('Данные 2st'!$Q$2:$Q$317,$A19,'Данные 2st'!$PT$2:$PT$317),"")</f>
        <v>211</v>
      </c>
      <c r="TE19" s="7">
        <f>IFERROR(AVERAGEIF('Данные 2st'!$Q$2:$Q$317,$A19,'Данные 2st'!$PU$2:$PU$317),"")</f>
        <v>8.75</v>
      </c>
      <c r="TF19" s="7">
        <f>IFERROR(AVERAGEIF('Данные 2st'!$Q$2:$Q$317,$A19,'Данные 2st'!$PX$2:$PX$317),"")</f>
        <v>0</v>
      </c>
      <c r="TG19" s="7">
        <f>IFERROR(AVERAGEIF('Данные 2st'!$Q$2:$Q$317,$A19,'Данные 2st'!$PY$2:$PY$317),"")</f>
        <v>0</v>
      </c>
      <c r="TH19" s="7">
        <f>IFERROR(AVERAGEIF('Данные 2st'!$Q$2:$Q$317,$A19,'Данные 2st'!$PZ$2:$PZ$317),"")</f>
        <v>0</v>
      </c>
      <c r="TI19" s="7">
        <f>IFERROR(AVERAGEIF('Данные 2st'!$Q$2:$Q$317,$A19,'Данные 2st'!$QA$2:$QA$317),"")</f>
        <v>0</v>
      </c>
      <c r="TJ19" s="7">
        <f>IFERROR(AVERAGEIF('Данные 2st'!$Q$2:$Q$317,$A19,'Данные 2st'!$QB$2:$QB$317),"")</f>
        <v>0</v>
      </c>
      <c r="TK19" s="7">
        <f>IFERROR(AVERAGEIF('Данные 2st'!$Q$2:$Q$317,$A19,'Данные 2st'!$QC$2:$QC$317),"")</f>
        <v>0</v>
      </c>
      <c r="TL19" s="7">
        <f>IFERROR(AVERAGEIF('Данные 2st'!$Q$2:$Q$317,$A19,'Данные 2st'!$QD$2:$QD$317),"")</f>
        <v>0</v>
      </c>
      <c r="TM19" s="7">
        <f>IFERROR(AVERAGEIF('Данные 2st'!$Q$2:$Q$317,$A19,'Данные 2st'!$QE$2:$QE$317),"")</f>
        <v>-1</v>
      </c>
      <c r="TN19" s="7">
        <f>IFERROR(AVERAGEIF('Данные 2st'!$Q$2:$Q$317,$A19,'Данные 2st'!$QF$2:$QF$317),"")</f>
        <v>1</v>
      </c>
      <c r="TO19" s="7">
        <f>IFERROR(AVERAGEIF('Данные 2st'!$Q$2:$Q$317,$A19,'Данные 2st'!$QG$2:$QG$317),"")</f>
        <v>0</v>
      </c>
      <c r="TP19" s="7">
        <f>IFERROR(AVERAGEIF('Данные 2st'!$Q$2:$Q$317,$A19,'Данные 2st'!$QH$2:$QH$317),"")</f>
        <v>5</v>
      </c>
      <c r="TQ19" s="7">
        <f>IFERROR(AVERAGEIF('Данные 2st'!$Q$2:$Q$317,$A19,'Данные 2st'!$QI$2:$QI$317),"")</f>
        <v>5</v>
      </c>
      <c r="TR19" s="7">
        <f>IFERROR(AVERAGEIF('Данные 2st'!$Q$2:$Q$317,$A19,'Данные 2st'!$QJ$2:$QJ$317),"")</f>
        <v>5</v>
      </c>
      <c r="TS19" s="7">
        <f>IFERROR(AVERAGEIF('Данные 2st'!$Q$2:$Q$317,$A19,'Данные 2st'!$QK$2:$QK$317),"")</f>
        <v>186.5</v>
      </c>
      <c r="TT19" s="7">
        <f>IFERROR(AVERAGEIF('Данные 2st'!$Q$2:$Q$317,$A19,'Данные 2st'!$QL$2:$QL$317),"")</f>
        <v>417</v>
      </c>
      <c r="TU19" s="7">
        <f>IFERROR(AVERAGEIF('Данные 2st'!$Q$2:$Q$317,$A19,'Данные 2st'!$QM$2:$QM$317),"")</f>
        <v>7.5</v>
      </c>
      <c r="TV19" s="7">
        <f>IFERROR(AVERAGEIF('Данные 2st'!$Q$2:$Q$317,$A19,'Данные 2st'!$QN$2:$QN$317),"")</f>
        <v>1284.5</v>
      </c>
      <c r="TW19" s="7">
        <f>IFERROR(AVERAGEIF('Данные 2st'!$Q$2:$Q$317,$A19,'Данные 2st'!$QQ$2:$QQ$317),"")</f>
        <v>0</v>
      </c>
      <c r="TX19" s="7">
        <f>IFERROR(AVERAGEIF('Данные 2st'!$Q$2:$Q$317,$A19,'Данные 2st'!$QS$2:$QS$317),"")</f>
        <v>30</v>
      </c>
      <c r="TY19" s="7">
        <f>IFERROR(AVERAGEIF('Данные 2st'!$Q$2:$Q$317,$A19,'Данные 2st'!$QT$2:$QT$317),"")</f>
        <v>40</v>
      </c>
    </row>
    <row r="20" spans="1:545" ht="32" customHeight="1">
      <c r="A20" s="11" t="s">
        <v>1670</v>
      </c>
      <c r="B20">
        <f>COUNTIF('Данные 1st'!$S$2:$S$317,$A20)</f>
        <v>3</v>
      </c>
      <c r="C20" s="6" t="s">
        <v>5090</v>
      </c>
      <c r="D20" s="6" t="s">
        <v>513</v>
      </c>
      <c r="E20" s="6" t="s">
        <v>5125</v>
      </c>
      <c r="F20" s="6" t="s">
        <v>5142</v>
      </c>
      <c r="G20" s="7">
        <f>IFERROR(AVERAGEIF('Данные 1st'!$S$2:$S$317,$A20,'Данные 1st'!$AE$2:$AE$317),"")</f>
        <v>196</v>
      </c>
      <c r="H20" s="7">
        <f>IFERROR(AVERAGEIF('Данные 1st'!$S$2:$S$317,$A20,'Данные 1st'!$AF$2:$AF$317),"")</f>
        <v>1.5</v>
      </c>
      <c r="I20" s="7">
        <f>IFERROR(AVERAGEIF('Данные 1st'!$S$2:$S$317,$A20,'Данные 1st'!$AJ$2:$AJ$317),"")</f>
        <v>207.5</v>
      </c>
      <c r="J20" s="7">
        <f>IFERROR(AVERAGEIF('Данные 1st'!$S$2:$S$317,$A20,'Данные 1st'!$AL$2:$AL$317),"")</f>
        <v>1.5</v>
      </c>
      <c r="K20" s="7">
        <f>IFERROR(AVERAGEIF('Данные 1st'!$S$2:$S$317,$A20,'Данные 1st'!$AR$2:$AR$317),"")</f>
        <v>0</v>
      </c>
      <c r="L20" s="7">
        <f>IFERROR(AVERAGEIF('Данные 1st'!$S$2:$S$317,$A20,'Данные 1st'!$AS$2:$AS$317),"")</f>
        <v>1.5</v>
      </c>
      <c r="M20" s="7">
        <f>IFERROR(AVERAGEIF('Данные 1st'!$S$2:$S$317,$A20,'Данные 1st'!$AY$2:$AY$317),"")</f>
        <v>321.6666666666667</v>
      </c>
      <c r="N20" s="7">
        <f>IFERROR(AVERAGEIF('Данные 1st'!$S$2:$S$317,$A20,'Данные 1st'!$AZ$2:$AZ$317),"")</f>
        <v>1.5</v>
      </c>
      <c r="O20" s="7">
        <f>IFERROR(AVERAGEIF('Данные 1st'!$S$2:$S$317,$A20,'Данные 1st'!$BF$2:$BF$317),"")</f>
        <v>241.25</v>
      </c>
      <c r="P20" s="7">
        <f>IFERROR(AVERAGEIF('Данные 1st'!$S$2:$S$317,$A20,'Данные 1st'!$BG$2:$BG$317),"")</f>
        <v>1.5</v>
      </c>
      <c r="Q20" s="7">
        <f>IFERROR(AVERAGEIF('Данные 1st'!$S$2:$S$317,$A20,'Данные 1st'!$BM$2:$BM$317),"")</f>
        <v/>
      </c>
      <c r="R20" s="7">
        <f>IFERROR(AVERAGEIF('Данные 1st'!$S$2:$S$317,$A20,'Данные 1st'!$BN$2:$BN$317),"")</f>
        <v>1.5</v>
      </c>
      <c r="S20" s="7">
        <f>IFERROR(AVERAGEIF('Данные 1st'!$S$2:$S$317,$A20,'Данные 1st'!$BT$2:$BT$317),"")</f>
        <v>218.33333333333334</v>
      </c>
      <c r="T20" s="7">
        <f>IFERROR(AVERAGEIF('Данные 1st'!$S$2:$S$317,$A20,'Данные 1st'!$BU$2:$BU$317),"")</f>
        <v>0.5</v>
      </c>
      <c r="U20" s="7">
        <f>IFERROR(AVERAGEIF('Данные 1st'!$S$2:$S$317,$A20,'Данные 1st'!$BW$2:$BW$317),"")</f>
        <v>436.6666666666667</v>
      </c>
      <c r="V20" s="7">
        <f>IFERROR(AVERAGEIF('Данные 1st'!$S$2:$S$317,$A20,'Данные 1st'!$BX$2:$BX$317),"")</f>
        <v>1</v>
      </c>
      <c r="W20" s="7">
        <f>IFERROR(AVERAGEIF('Данные 1st'!$S$2:$S$317,$A20,'Данные 1st'!$BZ$2:$BZ$317),"")</f>
        <v>300</v>
      </c>
      <c r="X20" s="7">
        <f>IFERROR(AVERAGEIF('Данные 1st'!$S$2:$S$317,$A20,'Данные 1st'!$CA$2:$CA$317),"")</f>
        <v>520</v>
      </c>
      <c r="Y20" s="7">
        <f>IFERROR(AVERAGEIF('Данные 1st'!$S$2:$S$317,$A20,'Данные 1st'!$CD$2:$CD$317),"")</f>
        <v>451.3333333333333</v>
      </c>
      <c r="Z20" s="7">
        <f>IFERROR(AVERAGEIF('Данные 1st'!$S$2:$S$317,$A20,'Данные 1st'!$CF$2:$CF$317),"")</f>
        <v>15</v>
      </c>
      <c r="AA20" s="7">
        <f>IFERROR(AVERAGEIF('Данные 1st'!$S$2:$S$317,$A20,'Данные 1st'!$CI$2:$CI$317),"")</f>
        <v>110</v>
      </c>
      <c r="AB20" s="7">
        <f>IFERROR(AVERAGEIF('Данные 1st'!$S$2:$S$317,$A20,'Данные 1st'!$CJ$2:$CJ$317),"")</f>
        <v>1122</v>
      </c>
      <c r="AC20" s="7">
        <f>IFERROR(AVERAGEIF('Данные 1st'!$S$2:$S$317,$A20,'Данные 1st'!$CK$2:$CK$317),"")</f>
        <v>2</v>
      </c>
      <c r="AD20" s="7">
        <f>IFERROR(AVERAGEIF('Данные 1st'!$S$2:$S$317,$A20,'Данные 1st'!$CL$2:$CL$317),"")</f>
        <v>1222</v>
      </c>
      <c r="AE20" s="7">
        <f>IFERROR(AVERAGEIF('Данные 1st'!$S$2:$S$317,$A20,'Данные 1st'!$CM$2:$CM$317),"")</f>
        <v>2</v>
      </c>
      <c r="AF20" s="7">
        <f>IFERROR(AVERAGEIF('Данные 1st'!$S$2:$S$317,$A20,'Данные 1st'!$CT$2:$CT$317),"")</f>
        <v>415</v>
      </c>
      <c r="AG20" s="7">
        <f>IFERROR(AVERAGEIF('Данные 1st'!$S$2:$S$317,$A20,'Данные 1st'!$CU$2:$CU$317),"")</f>
        <v>5</v>
      </c>
      <c r="AH20" s="7">
        <f>IFERROR(AVERAGEIF('Данные 1st'!$S$2:$S$317,$A20,'Данные 1st'!$CV$2:$CV$317),"")</f>
        <v>1.2333333333333334</v>
      </c>
      <c r="AI20" s="7">
        <f>IFERROR(AVERAGEIF('Данные 1st'!$S$2:$S$317,$A20,'Данные 1st'!$CW$2:$CW$317),"")</f>
        <v>1136</v>
      </c>
      <c r="AJ20" s="7">
        <f>IFERROR(AVERAGEIF('Данные 1st'!$S$2:$S$317,$A20,'Данные 1st'!$CX$2:$CX$317),"")</f>
        <v>687</v>
      </c>
      <c r="AK20" s="7">
        <f>IFERROR(AVERAGEIF('Данные 1st'!$S$2:$S$317,$A20,'Данные 1st'!$CZ$2:$CZ$317),"")</f>
        <v/>
      </c>
      <c r="AL20" s="7">
        <f>IFERROR(AVERAGEIF('Данные 1st'!$S$2:$S$317,$A20,'Данные 1st'!$DA$2:$DA$317),"")</f>
        <v/>
      </c>
      <c r="AM20" s="7">
        <f>IFERROR(AVERAGEIF('Данные 1st'!$S$2:$S$317,$A20,'Данные 1st'!$DB$2:$DB$317),"")</f>
        <v/>
      </c>
      <c r="AN20" s="7">
        <f>IFERROR(AVERAGEIF('Данные 1st'!$S$2:$S$317,$A20,'Данные 1st'!$DC$2:$DC$317),"")</f>
        <v/>
      </c>
      <c r="AO20" s="7">
        <f>IFERROR(AVERAGEIF('Данные 1st'!$S$2:$S$317,$A20,'Данные 1st'!$DD$2:$DD$317),"")</f>
        <v>0</v>
      </c>
      <c r="AP20" s="7">
        <f>IFERROR(AVERAGEIF('Данные 1st'!$S$2:$S$317,$A20,'Данные 1st'!$DF$2:$DF$317),"")</f>
        <v>643.3333333333334</v>
      </c>
      <c r="AQ20" s="7">
        <f>IFERROR(AVERAGEIF('Данные 1st'!$S$2:$S$317,$A20,'Данные 1st'!$DG$2:$DG$317),"")</f>
        <v>3</v>
      </c>
      <c r="AR20" s="7">
        <f>IFERROR(AVERAGEIF('Данные 1st'!$S$2:$S$317,$A20,'Данные 1st'!$DH$2:$DH$317),"")</f>
        <v>0.98</v>
      </c>
      <c r="AS20" s="7">
        <f>IFERROR(AVERAGEIF('Данные 1st'!$S$2:$S$317,$A20,'Данные 1st'!$DI$2:$DI$317),"")</f>
        <v>1133.3333333333333</v>
      </c>
      <c r="AT20" s="7">
        <f>IFERROR(AVERAGEIF('Данные 1st'!$S$2:$S$317,$A20,'Данные 1st'!$DJ$2:$DJ$317),"")</f>
        <v>950.6666666666666</v>
      </c>
      <c r="AU20" s="7">
        <f>IFERROR(AVERAGEIF('Данные 1st'!$S$2:$S$317,$A20,'Данные 1st'!$DL$2:$DL$317),"")</f>
        <v>482.5</v>
      </c>
      <c r="AV20" s="7">
        <f>IFERROR(AVERAGEIF('Данные 1st'!$S$2:$S$317,$A20,'Данные 1st'!$DM$2:$DM$317),"")</f>
        <v>3</v>
      </c>
      <c r="AW20" s="7">
        <f>IFERROR(AVERAGEIF('Данные 1st'!$S$2:$S$317,$A20,'Данные 1st'!$DN$2:$DN$317),"")</f>
        <v>0.88</v>
      </c>
      <c r="AX20" s="7">
        <f>IFERROR(AVERAGEIF('Данные 1st'!$S$2:$S$317,$A20,'Данные 1st'!$DO$2:$DO$317),"")</f>
        <v>1138.5</v>
      </c>
      <c r="AY20" s="7">
        <f>IFERROR(AVERAGEIF('Данные 1st'!$S$2:$S$317,$A20,'Данные 1st'!$DP$2:$DP$317),"")</f>
        <v>635</v>
      </c>
      <c r="AZ20" s="7">
        <f>IFERROR(AVERAGEIF('Данные 1st'!$S$2:$S$317,$A20,'Данные 1st'!$DR$2:$DR$317),"")</f>
        <v/>
      </c>
      <c r="BA20" s="7">
        <f>IFERROR(AVERAGEIF('Данные 1st'!$S$2:$S$317,$A20,'Данные 1st'!$DS$2:$DS$317),"")</f>
        <v/>
      </c>
      <c r="BB20" s="7">
        <f>IFERROR(AVERAGEIF('Данные 1st'!$S$2:$S$317,$A20,'Данные 1st'!$DT$2:$DT$317),"")</f>
        <v/>
      </c>
      <c r="BC20" s="7">
        <f>IFERROR(AVERAGEIF('Данные 1st'!$S$2:$S$317,$A20,'Данные 1st'!$DU$2:$DU$317),"")</f>
        <v/>
      </c>
      <c r="BD20" s="7">
        <f>IFERROR(AVERAGEIF('Данные 1st'!$S$2:$S$317,$A20,'Данные 1st'!$DV$2:$DV$317),"")</f>
        <v/>
      </c>
      <c r="BE20" s="7">
        <f>IFERROR(AVERAGEIF('Данные 1st'!$S$2:$S$317,$A20,'Данные 1st'!$DX$2:$DX$317),"")</f>
        <v>7.5</v>
      </c>
      <c r="BF20" s="7">
        <f>IFERROR(AVERAGEIF('Данные 1st'!$S$2:$S$317,$A20,'Данные 1st'!$EA$2:$EA$317),"")</f>
        <v>1205.3666666666668</v>
      </c>
      <c r="BG20" s="7">
        <f>IFERROR(AVERAGEIF('Данные 1st'!$S$2:$S$317,$A20,'Данные 1st'!$EB$2:$EB$317),"")</f>
        <v>223.33333333333334</v>
      </c>
      <c r="BH20" s="7">
        <f>IFERROR(AVERAGEIF('Данные 1st'!$S$2:$S$317,$A20,'Данные 1st'!$ED$2:$ED$317),"")</f>
        <v>35</v>
      </c>
      <c r="BI20" s="7">
        <f>IFERROR(AVERAGEIF('Данные 1st'!$S$2:$S$317,$A20,'Данные 1st'!$EE$2:$EE$317),"")</f>
        <v>3</v>
      </c>
      <c r="BJ20" s="7">
        <f>IFERROR(AVERAGEIF('Данные 1st'!$S$2:$S$317,$A20,'Данные 1st'!$EG$2:$EG$317),"")</f>
        <v>1246.3333333333333</v>
      </c>
      <c r="BK20" s="7">
        <f>IFERROR(AVERAGEIF('Данные 1st'!$S$2:$S$317,$A20,'Данные 1st'!$EH$2:$EH$317),"")</f>
        <v>173.33333333333334</v>
      </c>
      <c r="BL20" s="7">
        <f>IFERROR(AVERAGEIF('Данные 1st'!$S$2:$S$317,$A20,'Данные 1st'!$EJ$2:$EJ$317),"")</f>
        <v>0</v>
      </c>
      <c r="BM20" s="7">
        <f>IFERROR(AVERAGEIF('Данные 1st'!$S$2:$S$317,$A20,'Данные 1st'!$EK$2:$EK$317),"")</f>
        <v>1</v>
      </c>
      <c r="BN20" s="7">
        <f>IFERROR(AVERAGEIF('Данные 1st'!$S$2:$S$317,$A20,'Данные 1st'!$EN$2:$EN$317),"")</f>
        <v>0</v>
      </c>
      <c r="BO20" s="7">
        <f>IFERROR(AVERAGEIF('Данные 1st'!$S$2:$S$317,$A20,'Данные 1st'!$EQ$2:$EQ$317),"")</f>
        <v>128.33333333333334</v>
      </c>
      <c r="BP20" s="7">
        <f>IFERROR(AVERAGEIF('Данные 1st'!$S$2:$S$317,$A20,'Данные 1st'!$ER$2:$ER$317),"")</f>
        <v>3</v>
      </c>
      <c r="BQ20" s="7">
        <f>IFERROR(AVERAGEIF('Данные 1st'!$S$2:$S$317,$A20,'Данные 1st'!$ES$2:$ES$317),"")</f>
        <v>5.666666666666667</v>
      </c>
      <c r="BR20" s="7">
        <f>IFERROR(AVERAGEIF('Данные 1st'!$S$2:$S$317,$A20,'Данные 1st'!$ET$2:$ET$317),"")</f>
        <v>1121</v>
      </c>
      <c r="BS20" s="7">
        <f>IFERROR(AVERAGEIF('Данные 1st'!$S$2:$S$317,$A20,'Данные 1st'!$EU$2:$EU$317),"")</f>
        <v>557.2</v>
      </c>
      <c r="BT20" s="7">
        <f>IFERROR(AVERAGEIF('Данные 1st'!$S$2:$S$317,$A20,'Данные 1st'!$EV$2:$EV$317),"")</f>
        <v>624.3333333333334</v>
      </c>
      <c r="BU20" s="7">
        <f>IFERROR(AVERAGEIF('Данные 1st'!$S$2:$S$317,$A20,'Данные 1st'!$EX$2:$EX$317),"")</f>
        <v>70</v>
      </c>
      <c r="BV20" s="7">
        <f>IFERROR(AVERAGEIF('Данные 1st'!$S$2:$S$317,$A20,'Данные 1st'!$EY$2:$EY$317),"")</f>
        <v>2</v>
      </c>
      <c r="BW20" s="7">
        <f>IFERROR(AVERAGEIF('Данные 1st'!$S$2:$S$317,$A20,'Данные 1st'!$EZ$2:$EZ$317),"")</f>
        <v>4.3</v>
      </c>
      <c r="BX20" s="7">
        <f>IFERROR(AVERAGEIF('Данные 1st'!$S$2:$S$317,$A20,'Данные 1st'!$FA$2:$FA$317),"")</f>
        <v>1121</v>
      </c>
      <c r="BY20" s="7">
        <f>IFERROR(AVERAGEIF('Данные 1st'!$S$2:$S$317,$A20,'Данные 1st'!$FB$2:$FB$317),"")</f>
        <v>208.3</v>
      </c>
      <c r="BZ20" s="7">
        <f>IFERROR(AVERAGEIF('Данные 1st'!$S$2:$S$317,$A20,'Данные 1st'!$FC$2:$FC$317),"")</f>
        <v>233.66666666666666</v>
      </c>
      <c r="CA20" s="7">
        <f>IFERROR(AVERAGEIF('Данные 1st'!$S$2:$S$317,$A20,'Данные 1st'!$FE$2:$FE$317),"")</f>
        <v>0</v>
      </c>
      <c r="CB20" s="7">
        <f>IFERROR(AVERAGEIF('Данные 1st'!$S$2:$S$317,$A20,'Данные 1st'!$FF$2:$FF$317),"")</f>
        <v>2</v>
      </c>
      <c r="CC20" s="7">
        <f>IFERROR(AVERAGEIF('Данные 1st'!$S$2:$S$317,$A20,'Данные 1st'!$FI$2:$FI$317),"")</f>
        <v>0</v>
      </c>
      <c r="CD20" s="7">
        <f>IFERROR(AVERAGEIF('Данные 1st'!$S$2:$S$317,$A20,'Данные 1st'!$FL$2:$FL$317),"")</f>
        <v>0.4</v>
      </c>
      <c r="CE20" s="7">
        <f>IFERROR(AVERAGEIF('Данные 1st'!$S$2:$S$317,$A20,'Данные 1st'!$FM$2:$FM$317),"")</f>
        <v>116.66666666666667</v>
      </c>
      <c r="CF20" s="7">
        <f>IFERROR(AVERAGEIF('Данные 1st'!$S$2:$S$317,$A20,'Данные 1st'!$FN$2:$FN$317),"")</f>
        <v>113.33333333333333</v>
      </c>
      <c r="CG20" s="7">
        <f>IFERROR(AVERAGEIF('Данные 1st'!$S$2:$S$317,$A20,'Данные 1st'!$FO$2:$FO$317),"")</f>
        <v/>
      </c>
      <c r="CH20" s="7">
        <f>IFERROR(AVERAGEIF('Данные 1st'!$S$2:$S$317,$A20,'Данные 1st'!$FP$2:$FP$317),"")</f>
        <v/>
      </c>
      <c r="CI20" s="7">
        <f>IFERROR(AVERAGEIF('Данные 1st'!$S$2:$S$317,$A20,'Данные 1st'!$FS$2:$FS$317),"")</f>
        <v>0.4</v>
      </c>
      <c r="CJ20" s="7">
        <f>IFERROR(AVERAGEIF('Данные 1st'!$S$2:$S$317,$A20,'Данные 1st'!$FT$2:$FT$317),"")</f>
        <v>30</v>
      </c>
      <c r="CK20" s="7">
        <f>IFERROR(AVERAGEIF('Данные 1st'!$S$2:$S$317,$A20,'Данные 1st'!$FU$2:$FU$317),"")</f>
        <v>400</v>
      </c>
      <c r="CL20" s="7">
        <f>IFERROR(AVERAGEIF('Данные 1st'!$S$2:$S$317,$A20,'Данные 1st'!$FV$2:$FV$317),"")</f>
        <v/>
      </c>
      <c r="CM20" s="7">
        <f>IFERROR(AVERAGEIF('Данные 1st'!$S$2:$S$317,$A20,'Данные 1st'!$FW$2:$FW$317),"")</f>
        <v/>
      </c>
      <c r="CN20" s="7">
        <f>IFERROR(AVERAGEIF('Данные 1st'!$S$2:$S$317,$A20,'Данные 1st'!$FZ$2:$FZ$317),"")</f>
        <v/>
      </c>
      <c r="CO20" s="7">
        <f>IFERROR(AVERAGEIF('Данные 1st'!$S$2:$S$317,$A20,'Данные 1st'!$GA$2:$GA$317),"")</f>
        <v/>
      </c>
      <c r="CP20" s="7">
        <f>IFERROR(AVERAGEIF('Данные 1st'!$S$2:$S$317,$A20,'Данные 1st'!$GB$2:$GB$317),"")</f>
        <v/>
      </c>
      <c r="CQ20" s="7">
        <f>IFERROR(AVERAGEIF('Данные 1st'!$S$2:$S$317,$A20,'Данные 1st'!$GH$2:$GH$317),"")</f>
        <v/>
      </c>
      <c r="CR20" s="7">
        <f>IFERROR(AVERAGEIF('Данные 1st'!$S$2:$S$317,$A20,'Данные 1st'!$GI$2:$GI$317),"")</f>
        <v/>
      </c>
      <c r="CS20" s="7">
        <f>IFERROR(AVERAGEIF('Данные 1st'!$S$2:$S$317,$A20,'Данные 1st'!$GJ$2:$GJ$317),"")</f>
        <v/>
      </c>
      <c r="CT20" s="7">
        <f>IFERROR(AVERAGEIF('Данные 1st'!$S$2:$S$317,$A20,'Данные 1st'!$GS$2:$GS$317),"")</f>
        <v>0.4</v>
      </c>
      <c r="CU20" s="7">
        <f>IFERROR(AVERAGEIF('Данные 1st'!$S$2:$S$317,$A20,'Данные 1st'!$GT$2:$GT$317),"")</f>
        <v>92.5</v>
      </c>
      <c r="CV20" s="7">
        <f>IFERROR(AVERAGEIF('Данные 1st'!$S$2:$S$317,$A20,'Данные 1st'!$GU$2:$GU$317),"")</f>
        <v>275</v>
      </c>
      <c r="CW20" s="7">
        <f>IFERROR(AVERAGEIF('Данные 1st'!$S$2:$S$317,$A20,'Данные 1st'!$GV$2:$GV$317),"")</f>
        <v/>
      </c>
      <c r="CX20" s="7">
        <f>IFERROR(AVERAGEIF('Данные 1st'!$S$2:$S$317,$A20,'Данные 1st'!$GW$2:$GW$317),"")</f>
        <v/>
      </c>
      <c r="CY20" s="7">
        <f>IFERROR(AVERAGEIF('Данные 1st'!$S$2:$S$317,$A20,'Данные 1st'!$GZ$2:$GZ$317),"")</f>
        <v/>
      </c>
      <c r="CZ20" s="7">
        <f>IFERROR(AVERAGEIF('Данные 1st'!$S$2:$S$317,$A20,'Данные 1st'!$HA$2:$HA$317),"")</f>
        <v/>
      </c>
      <c r="DA20" s="7">
        <f>IFERROR(AVERAGEIF('Данные 1st'!$S$2:$S$317,$A20,'Данные 1st'!$HB$2:$HB$317),"")</f>
        <v/>
      </c>
      <c r="DB20" s="7">
        <f>IFERROR(AVERAGEIF('Данные 1st'!$S$2:$S$317,$A20,'Данные 1st'!$HC$2:$HC$317),"")</f>
        <v>0.1</v>
      </c>
      <c r="DC20" s="7">
        <f>IFERROR(AVERAGEIF('Данные 1st'!$S$2:$S$317,$A20,'Данные 1st'!$HD$2:$HD$317),"")</f>
        <v>3</v>
      </c>
      <c r="DD20" s="7">
        <f>IFERROR(AVERAGEIF('Данные 1st'!$S$2:$S$317,$A20,'Данные 1st'!$HE$2:$HE$317),"")</f>
        <v>3</v>
      </c>
      <c r="DE20" s="7">
        <f>IFERROR(AVERAGEIF('Данные 1st'!$S$2:$S$317,$A20,'Данные 1st'!$HF$2:$HF$317),"")</f>
        <v>3</v>
      </c>
      <c r="DF20" s="7">
        <f>IFERROR(AVERAGEIF('Данные 1st'!$S$2:$S$317,$A20,'Данные 1st'!$HG$2:$HG$317),"")</f>
        <v>3</v>
      </c>
      <c r="DG20" s="7">
        <f>IFERROR(AVERAGEIF('Данные 1st'!$S$2:$S$317,$A20,'Данные 1st'!$HH$2:$HH$317),"")</f>
        <v>3</v>
      </c>
      <c r="DH20" s="7">
        <f>IFERROR(AVERAGEIF('Данные 1st'!$S$2:$S$317,$A20,'Данные 1st'!$HI$2:$HI$317),"")</f>
        <v>183.33333333333334</v>
      </c>
      <c r="DI20" s="7">
        <f>IFERROR(AVERAGEIF('Данные 1st'!$S$2:$S$317,$A20,'Данные 1st'!$HJ$2:$HJ$317),"")</f>
        <v>3</v>
      </c>
      <c r="DJ20" s="7">
        <f>IFERROR(AVERAGEIF('Данные 1st'!$S$2:$S$317,$A20,'Данные 1st'!$HK$2:$HK$317),"")</f>
        <v>55</v>
      </c>
      <c r="DK20" s="7">
        <f>IFERROR(AVERAGEIF('Данные 1st'!$S$2:$S$317,$A20,'Данные 1st'!$HL$2:$HL$317),"")</f>
        <v>2</v>
      </c>
      <c r="DL20" s="7">
        <f>IFERROR(AVERAGEIF('Данные 1st'!$S$2:$S$317,$A20,'Данные 1st'!$HM$2:$HM$317),"")</f>
        <v>0</v>
      </c>
      <c r="DM20" s="7">
        <f>IFERROR(AVERAGEIF('Данные 1st'!$S$2:$S$317,$A20,'Данные 1st'!$HN$2:$HN$317),"")</f>
        <v>2</v>
      </c>
      <c r="DN20" s="7">
        <f>IFERROR(AVERAGEIF('Данные 1st'!$S$2:$S$317,$A20,'Данные 1st'!$HO$2:$HO$317),"")</f>
        <v>113.33333333333333</v>
      </c>
      <c r="DO20" s="7">
        <f>IFERROR(AVERAGEIF('Данные 1st'!$S$2:$S$317,$A20,'Данные 1st'!$HP$2:$HP$317),"")</f>
        <v>3</v>
      </c>
      <c r="DP20" s="7">
        <f>IFERROR(AVERAGEIF('Данные 1st'!$S$2:$S$317,$A20,'Данные 1st'!$HQ$2:$HQ$317),"")</f>
        <v>0</v>
      </c>
      <c r="DQ20" s="7">
        <f>IFERROR(AVERAGEIF('Данные 1st'!$S$2:$S$317,$A20,'Данные 1st'!$HR$2:$HR$317),"")</f>
        <v>2</v>
      </c>
      <c r="DR20" s="7">
        <f>IFERROR(AVERAGEIF('Данные 1st'!$S$2:$S$317,$A20,'Данные 1st'!$HS$2:$HS$317),"")</f>
        <v>4570.333333333333</v>
      </c>
      <c r="DS20" s="7">
        <f>IFERROR(AVERAGEIF('Данные 1st'!$S$2:$S$317,$A20,'Данные 1st'!$HT$2:$HT$317),"")</f>
        <v>140</v>
      </c>
      <c r="DT20" s="7">
        <f>IFERROR(AVERAGEIF('Данные 1st'!$S$2:$S$317,$A20,'Данные 1st'!$HU$2:$HU$317),"")</f>
        <v>180</v>
      </c>
      <c r="DU20" s="7">
        <f>IFERROR(AVERAGEIF('Данные 1st'!$S$2:$S$317,$A20,'Данные 1st'!$HW$2:$HW$317),"")</f>
        <v>6.666666666666667</v>
      </c>
      <c r="DV20" s="7">
        <f>IFERROR(AVERAGEIF('Данные 1st'!$S$2:$S$317,$A20,'Данные 1st'!$HX$2:$HX$317),"")</f>
        <v>485</v>
      </c>
      <c r="DW20" s="7">
        <f>IFERROR(AVERAGEIF('Данные 1st'!$S$2:$S$317,$A20,'Данные 1st'!$HY$2:$HY$317),"")</f>
        <v>0.18</v>
      </c>
      <c r="DX20" s="7">
        <f>IFERROR(AVERAGEIF('Данные 1st'!$S$2:$S$317,$A20,'Данные 1st'!$IA$2:$IA$317),"")</f>
        <v>0.15</v>
      </c>
      <c r="DY20" s="7">
        <f>IFERROR(AVERAGEIF('Данные 1st'!$S$2:$S$317,$A20,'Данные 1st'!$IB$2:$IB$317),"")</f>
        <v>0</v>
      </c>
      <c r="DZ20" s="7">
        <f>IFERROR(AVERAGEIF('Данные 1st'!$S$2:$S$317,$A20,'Данные 1st'!$IC$2:$IC$317),"")</f>
        <v>180</v>
      </c>
      <c r="EA20" s="7">
        <f>IFERROR(AVERAGEIF('Данные 1st'!$S$2:$S$317,$A20,'Данные 1st'!$ID$2:$ID$317),"")</f>
        <v>110</v>
      </c>
      <c r="EB20" s="7">
        <f>IFERROR(AVERAGEIF('Данные 1st'!$S$2:$S$317,$A20,'Данные 1st'!$IE$2:$IE$317),"")</f>
        <v>150</v>
      </c>
      <c r="EC20" s="7">
        <f>IFERROR(AVERAGEIF('Данные 1st'!$S$2:$S$317,$A20,'Данные 1st'!$IF$2:$IF$317),"")</f>
        <v>0</v>
      </c>
      <c r="ED20" s="7">
        <f>IFERROR(AVERAGEIF('Данные 1st'!$S$2:$S$317,$A20,'Данные 1st'!$IP$2:$IP$317),"")</f>
        <v>15</v>
      </c>
      <c r="EE20" s="7">
        <f>IFERROR(AVERAGEIF('Данные 1st'!$S$2:$S$317,$A20,'Данные 1st'!$IV$2:$IV$317),"")</f>
        <v>1122</v>
      </c>
      <c r="EF20" s="7">
        <f>IFERROR(AVERAGEIF('Данные 1st'!$S$2:$S$317,$A20,'Данные 1st'!$IW$2:$IW$317),"")</f>
        <v>436.6666666666667</v>
      </c>
      <c r="EG20" s="7">
        <f>IFERROR(AVERAGEIF('Данные 1st'!$S$2:$S$317,$A20,'Данные 1st'!$IX$2:$IX$317),"")</f>
        <v/>
      </c>
      <c r="EH20" s="7">
        <f>IFERROR(AVERAGEIF('Данные 1st'!$S$2:$S$317,$A20,'Данные 1st'!$IY$2:$IY$317),"")</f>
        <v/>
      </c>
      <c r="EI20" s="7">
        <f>IFERROR(AVERAGEIF('Данные 1st'!$S$2:$S$317,$A20,'Данные 1st'!$JD$2:$JD$317),"")</f>
        <v>1136</v>
      </c>
      <c r="EJ20" s="7">
        <f>IFERROR(AVERAGEIF('Данные 1st'!$S$2:$S$317,$A20,'Данные 1st'!$JE$2:$JE$317),"")</f>
        <v>1133.3333333333333</v>
      </c>
      <c r="EK20" s="7">
        <f>IFERROR(AVERAGEIF('Данные 1st'!$S$2:$S$317,$A20,'Данные 1st'!$JF$2:$JF$317),"")</f>
        <v>759</v>
      </c>
      <c r="EL20" s="7">
        <f>IFERROR(AVERAGEIF('Данные 1st'!$S$2:$S$317,$A20,'Данные 1st'!$JG$2:$JG$317),"")</f>
        <v>1121</v>
      </c>
      <c r="EM20" s="7">
        <f>IFERROR(AVERAGEIF('Данные 1st'!$S$2:$S$317,$A20,'Данные 1st'!$JH$2:$JH$317),"")</f>
        <v>0</v>
      </c>
      <c r="EN20" s="7">
        <f>IFERROR(AVERAGEIF('Данные 1st'!$S$2:$S$317,$A20,'Данные 1st'!$JJ$2:$JJ$317),"")</f>
        <v>180</v>
      </c>
      <c r="EO20" s="7">
        <f>IFERROR(AVERAGEIF('Данные 1st'!$S$2:$S$317,$A20,'Данные 1st'!$JK$2:$JK$317),"")</f>
        <v>485</v>
      </c>
      <c r="EP20" s="7">
        <f>IFERROR(AVERAGEIF('Данные 1st'!$S$2:$S$317,$A20,'Данные 1st'!$JL$2:$JL$317),"")</f>
        <v/>
      </c>
      <c r="EQ20" s="7">
        <f>IFERROR(AVERAGEIF('Данные 1st'!$S$2:$S$317,$A20,'Данные 1st'!$JM$2:$JM$317),"")</f>
        <v/>
      </c>
      <c r="ER20" s="7">
        <f>IFERROR(AVERAGEIF('Данные 1st'!$S$2:$S$317,$A20,'Данные 1st'!$JN$2:$JN$317),"")</f>
        <v>415</v>
      </c>
      <c r="ES20" s="7">
        <f>IFERROR(AVERAGEIF('Данные 1st'!$S$2:$S$317,$A20,'Данные 1st'!$JO$2:$JO$317),"")</f>
        <v>643.3333333333334</v>
      </c>
      <c r="ET20" s="7">
        <f>IFERROR(AVERAGEIF('Данные 1st'!$S$2:$S$317,$A20,'Данные 1st'!$JP$2:$JP$317),"")</f>
        <v>321.6666666666667</v>
      </c>
      <c r="EU20" s="7">
        <f>IFERROR(AVERAGEIF('Данные 1st'!$S$2:$S$317,$A20,'Данные 1st'!$JQ$2:$JQ$317),"")</f>
        <v>0</v>
      </c>
      <c r="EV20" s="7">
        <f>IFERROR(AVERAGEIF('Данные 1st'!$S$2:$S$317,$A20,'Данные 1st'!$JR$2:$JR$317),"")</f>
        <v>392</v>
      </c>
      <c r="EW20" s="7">
        <f>IFERROR(AVERAGEIF('Данные 1st'!$S$2:$S$317,$A20,'Данные 1st'!$JS$2:$JS$317),"")</f>
        <v>183.33333333333334</v>
      </c>
      <c r="EX20" s="7">
        <f>IFERROR(AVERAGEIF('Данные 1st'!$S$2:$S$317,$A20,'Данные 1st'!$JT$2:$JT$317),"")</f>
        <v/>
      </c>
      <c r="EY20" s="7">
        <f>IFERROR(AVERAGEIF('Данные 1st'!$S$2:$S$317,$A20,'Данные 1st'!$JU$2:$JU$317),"")</f>
        <v/>
      </c>
      <c r="EZ20" s="7">
        <f>IFERROR(AVERAGEIF('Данные 1st'!$S$2:$S$317,$A20,'Данные 1st'!$JV$2:$JV$317),"")</f>
        <v>8</v>
      </c>
      <c r="FA20" s="7">
        <f>IFERROR(AVERAGEIF('Данные 1st'!$S$2:$S$317,$A20,'Данные 1st'!$JW$2:$JW$317),"")</f>
        <v/>
      </c>
      <c r="FB20" s="7">
        <f>IFERROR(AVERAGEIF('Данные 1st'!$S$2:$S$317,$A20,'Данные 1st'!$JX$2:$JX$317),"")</f>
        <v>0</v>
      </c>
      <c r="FC20" s="7">
        <f>IFERROR(AVERAGEIF('Данные 1st'!$S$2:$S$317,$A20,'Данные 1st'!$JY$2:$JY$317),"")</f>
        <v/>
      </c>
      <c r="FD20" s="7">
        <f>IFERROR(AVERAGEIF('Данные 1st'!$S$2:$S$317,$A20,'Данные 1st'!$JZ$2:$JZ$317),"")</f>
        <v/>
      </c>
      <c r="FE20" s="7">
        <f>IFERROR(AVERAGEIF('Данные 1st'!$S$2:$S$317,$A20,'Данные 1st'!$KA$2:$KA$317),"")</f>
        <v>150</v>
      </c>
      <c r="FF20" s="7">
        <f>IFERROR(AVERAGEIF('Данные 1st'!$S$2:$S$317,$A20,'Данные 1st'!$KB$2:$KB$317),"")</f>
        <v>110</v>
      </c>
      <c r="FG20" s="7">
        <f>IFERROR(AVERAGEIF('Данные 1st'!$S$2:$S$317,$A20,'Данные 1st'!$KC$2:$KC$317),"")</f>
        <v>0</v>
      </c>
      <c r="FH20" s="7">
        <f>IFERROR(AVERAGEIF('Данные 1st'!$S$2:$S$317,$A20,'Данные 1st'!$KD$2:$KD$317),"")</f>
        <v>80</v>
      </c>
      <c r="FI20" s="7">
        <f>IFERROR(AVERAGEIF('Данные 1st'!$S$2:$S$317,$A20,'Данные 1st'!$KE$2:$KE$317),"")</f>
        <v/>
      </c>
      <c r="FJ20" s="7">
        <f>IFERROR(AVERAGEIF('Данные 1st'!$S$2:$S$317,$A20,'Данные 1st'!$KF$2:$KF$317),"")</f>
        <v>4</v>
      </c>
      <c r="FK20" s="7">
        <f>IFERROR(AVERAGEIF('Данные 1st'!$S$2:$S$317,$A20,'Данные 1st'!$KG$2:$KG$317),"")</f>
        <v>3.3333333333333335</v>
      </c>
      <c r="FL20" s="7">
        <f>IFERROR(AVERAGEIF('Данные 1st'!$S$2:$S$317,$A20,'Данные 1st'!$KH$2:$KH$317),"")</f>
        <v>2</v>
      </c>
      <c r="FM20" s="7">
        <f>IFERROR(AVERAGEIF('Данные 1st'!$S$2:$S$317,$A20,'Данные 1st'!$KI$2:$KI$317),"")</f>
        <v>2</v>
      </c>
      <c r="FN20" s="7">
        <f>IFERROR(AVERAGEIF('Данные 1st'!$S$2:$S$317,$A20,'Данные 1st'!$KJ$2:$KJ$317),"")</f>
        <v>0</v>
      </c>
      <c r="FO20" s="7">
        <f>IFERROR(AVERAGEIF('Данные 1st'!$S$2:$S$317,$A20,'Данные 1st'!$KK$2:$KK$317),"")</f>
        <v>1.5</v>
      </c>
      <c r="FP20" s="7">
        <f>IFERROR(AVERAGEIF('Данные 1st'!$S$2:$S$317,$A20,'Данные 1st'!$KL$2:$KL$317),"")</f>
        <v>1.5</v>
      </c>
      <c r="FQ20" s="7">
        <f>IFERROR(AVERAGEIF('Данные 1st'!$S$2:$S$317,$A20,'Данные 1st'!$KM$2:$KM$317),"")</f>
        <v>0</v>
      </c>
      <c r="FR20" s="7">
        <f>IFERROR(AVERAGEIF('Данные 1st'!$S$2:$S$317,$A20,'Данные 1st'!$KN$2:$KN$317),"")</f>
        <v>0</v>
      </c>
      <c r="FS20" s="7">
        <f>IFERROR(AVERAGEIF('Данные 1st'!$S$2:$S$317,$A20,'Данные 1st'!$KR$2:$KR$317),"")</f>
        <v>28.333333333333332</v>
      </c>
      <c r="FT20" s="7">
        <f>IFERROR(AVERAGEIF('Данные 1st'!$S$2:$S$317,$A20,'Данные 1st'!$KS$2:$KS$317),"")</f>
        <v>55</v>
      </c>
      <c r="FU20" s="7">
        <f>IFERROR(AVERAGEIF('Данные 1st'!$S$2:$S$317,$A20,'Данные 1st'!$KT$2:$KT$317),"")</f>
        <v>0</v>
      </c>
      <c r="FV20" s="7">
        <f>IFERROR(AVERAGEIF('Данные 1st'!$S$2:$S$317,$A20,'Данные 1st'!$KV$2:$KV$317),"")</f>
        <v/>
      </c>
      <c r="FW20" s="7">
        <f>IFERROR(AVERAGEIF('Данные 1st'!$S$2:$S$317,$A20,'Данные 1st'!$KW$2:$KW$317),"")</f>
        <v/>
      </c>
      <c r="FX20" s="7">
        <f>IFERROR(AVERAGEIF('Данные 1st'!$S$2:$S$317,$A20,'Данные 1st'!$KX$2:$KX$317),"")</f>
        <v/>
      </c>
      <c r="FY20" s="7">
        <f>IFERROR(AVERAGEIF('Данные 1st'!$S$2:$S$317,$A20,'Данные 1st'!$KY$2:$KY$317),"")</f>
        <v/>
      </c>
      <c r="FZ20" s="7">
        <f>IFERROR(AVERAGEIF('Данные 1st'!$S$2:$S$317,$A20,'Данные 1st'!$KZ$2:$KZ$317),"")</f>
        <v/>
      </c>
      <c r="GA20" s="7">
        <f>IFERROR(AVERAGEIF('Данные 1st'!$S$2:$S$317,$A20,'Данные 1st'!$LA$2:$LA$317),"")</f>
        <v/>
      </c>
      <c r="GB20" s="7">
        <f>IFERROR(AVERAGEIF('Данные 1st'!$S$2:$S$317,$A20,'Данные 1st'!$LB$2:$LB$317),"")</f>
        <v/>
      </c>
      <c r="GC20" s="7">
        <f>IFERROR(AVERAGEIF('Данные 1st'!$S$2:$S$317,$A20,'Данные 1st'!$LC$2:$LC$317),"")</f>
        <v/>
      </c>
      <c r="GD20" s="7">
        <f>IFERROR(AVERAGEIF('Данные 1st'!$S$2:$S$317,$A20,'Данные 1st'!$LD$2:$LD$317),"")</f>
        <v/>
      </c>
      <c r="GE20" s="7">
        <f>IFERROR(AVERAGEIF('Данные 1st'!$S$2:$S$317,$A20,'Данные 1st'!$LE$2:$LE$317),"")</f>
        <v/>
      </c>
      <c r="GF20" s="7">
        <f>IFERROR(AVERAGEIF('Данные 1st'!$S$2:$S$317,$A20,'Данные 1st'!$LF$2:$LF$317),"")</f>
        <v/>
      </c>
      <c r="GG20" s="7">
        <f>IFERROR(AVERAGEIF('Данные 1st'!$S$2:$S$317,$A20,'Данные 1st'!$LG$2:$LG$317),"")</f>
        <v/>
      </c>
      <c r="GH20" s="7">
        <f>IFERROR(AVERAGEIF('Данные 1st'!$S$2:$S$317,$A20,'Данные 1st'!$LH$2:$LH$317),"")</f>
        <v/>
      </c>
      <c r="GI20" s="7">
        <f>IFERROR(AVERAGEIF('Данные 1st'!$S$2:$S$317,$A20,'Данные 1st'!$LI$2:$LI$317),"")</f>
        <v/>
      </c>
      <c r="GJ20" s="7">
        <f>IFERROR(AVERAGEIF('Данные 1st'!$S$2:$S$317,$A20,'Данные 1st'!$LJ$2:$LJ$317),"")</f>
        <v/>
      </c>
      <c r="GK20" s="7">
        <f>IFERROR(AVERAGEIF('Данные 1st'!$S$2:$S$317,$A20,'Данные 1st'!$LK$2:$LK$317),"")</f>
        <v>480</v>
      </c>
      <c r="GL20" s="7">
        <f>IFERROR(AVERAGEIF('Данные 1st'!$S$2:$S$317,$A20,'Данные 1st'!$LV$2:$LV$317),"")</f>
        <v/>
      </c>
      <c r="GM20" s="7">
        <f>IFERROR(AVERAGEIF('Данные 1st'!$S$2:$S$317,$A20,'Данные 1st'!$LW$2:$LW$317),"")</f>
        <v/>
      </c>
      <c r="GN20" s="7">
        <f>IFERROR(AVERAGEIF('Данные 1st'!$S$2:$S$317,$A20,'Данные 1st'!$LX$2:$LX$317),"")</f>
        <v/>
      </c>
      <c r="GO20" s="7">
        <f>IFERROR(AVERAGEIF('Данные 1st'!$S$2:$S$317,$A20,'Данные 1st'!$LY$2:$LY$317),"")</f>
        <v/>
      </c>
      <c r="GP20" s="7">
        <f>IFERROR(AVERAGEIF('Данные 1st'!$S$2:$S$317,$A20,'Данные 1st'!$LZ$2:$LZ$317),"")</f>
        <v/>
      </c>
      <c r="GQ20" s="7">
        <f>IFERROR(AVERAGEIF('Данные 1st'!$S$2:$S$317,$A20,'Данные 1st'!$PG$2:$PG$317),"")</f>
        <v>1</v>
      </c>
      <c r="GR20" s="7">
        <f>IFERROR(AVERAGEIF('Данные 1st'!$S$2:$S$317,$A20,'Данные 1st'!$PX$2:$PX$317),"")</f>
        <v>56</v>
      </c>
      <c r="GS20" s="7">
        <f>IFERROR(AVERAGEIF('Данные 1st'!$S$2:$S$317,$A20,'Данные 1st'!$PY$2:$PY$317),"")</f>
        <v>56.666666666666664</v>
      </c>
      <c r="GT20" s="7">
        <f>IFERROR(AVERAGEIF('Данные 1st'!$S$2:$S$317,$A20,'Данные 1st'!$QA$2:$QA$317),"")</f>
        <v>2.3333333333333335</v>
      </c>
      <c r="GU20" s="7">
        <f>IFERROR(AVERAGEIF('Данные 1st'!$S$2:$S$317,$A20,'Данные 1st'!$QB$2:$QB$317),"")</f>
        <v>1121</v>
      </c>
      <c r="GV20" s="7">
        <f>IFERROR(AVERAGEIF('Данные 1st'!$S$2:$S$317,$A20,'Данные 1st'!$QC$2:$QC$317),"")</f>
        <v>69</v>
      </c>
      <c r="GW20" s="7">
        <f>IFERROR(AVERAGEIF('Данные 1st'!$S$2:$S$317,$A20,'Данные 1st'!$QD$2:$QD$317),"")</f>
        <v>69</v>
      </c>
      <c r="GX20" s="7">
        <f>IFERROR(AVERAGEIF('Данные 1st'!$S$2:$S$317,$A20,'Данные 1st'!$QF$2:$QF$317),"")</f>
        <v>1.3333333333333333</v>
      </c>
      <c r="GY20" s="7">
        <f>IFERROR(AVERAGEIF('Данные 1st'!$S$2:$S$317,$A20,'Данные 1st'!$QG$2:$QG$317),"")</f>
        <v>1136</v>
      </c>
      <c r="GZ20" s="7">
        <f>IFERROR(AVERAGEIF('Данные 1st'!$S$2:$S$317,$A20,'Данные 1st'!$QH$2:$QH$317),"")</f>
        <v>66</v>
      </c>
      <c r="HA20" s="7">
        <f>IFERROR(AVERAGEIF('Данные 1st'!$S$2:$S$317,$A20,'Данные 1st'!$QI$2:$QI$317),"")</f>
        <v>66</v>
      </c>
      <c r="HB20" s="7">
        <f>IFERROR(AVERAGEIF('Данные 1st'!$S$2:$S$317,$A20,'Данные 1st'!$QK$2:$QK$317),"")</f>
        <v/>
      </c>
      <c r="HC20" s="7">
        <f>IFERROR(AVERAGEIF('Данные 1st'!$S$2:$S$317,$A20,'Данные 1st'!$QL$2:$QL$317),"")</f>
        <v>0</v>
      </c>
      <c r="HD20" s="7">
        <f>IFERROR(AVERAGEIF('Данные 1st'!$S$2:$S$317,$A20,'Данные 1st'!$QM$2:$QM$317),"")</f>
        <v>62</v>
      </c>
      <c r="HE20" s="7">
        <f>IFERROR(AVERAGEIF('Данные 1st'!$S$2:$S$317,$A20,'Данные 1st'!$QN$2:$QN$317),"")</f>
        <v>62</v>
      </c>
      <c r="HF20" s="7">
        <f>IFERROR(AVERAGEIF('Данные 1st'!$S$2:$S$317,$A20,'Данные 1st'!$QP$2:$QP$317),"")</f>
        <v>1</v>
      </c>
      <c r="HG20" s="7">
        <f>IFERROR(AVERAGEIF('Данные 1st'!$S$2:$S$317,$A20,'Данные 1st'!$QQ$2:$QQ$317),"")</f>
        <v>1133.3333333333333</v>
      </c>
      <c r="HH20" s="7">
        <f>IFERROR(AVERAGEIF('Данные 1st'!$S$2:$S$317,$A20,'Данные 1st'!$QR$2:$QR$317),"")</f>
        <v>62</v>
      </c>
      <c r="HI20" s="7">
        <f>IFERROR(AVERAGEIF('Данные 1st'!$S$2:$S$317,$A20,'Данные 1st'!$QS$2:$QS$317),"")</f>
        <v>62</v>
      </c>
      <c r="HJ20" s="7">
        <f>IFERROR(AVERAGEIF('Данные 1st'!$S$2:$S$317,$A20,'Данные 1st'!$QU$2:$QU$317),"")</f>
        <v>1</v>
      </c>
      <c r="HK20" s="7">
        <f>IFERROR(AVERAGEIF('Данные 1st'!$S$2:$S$317,$A20,'Данные 1st'!$QV$2:$QV$317),"")</f>
        <v>1138.5</v>
      </c>
      <c r="HL20" s="7">
        <f>IFERROR(AVERAGEIF('Данные 1st'!$S$2:$S$317,$A20,'Данные 1st'!$QW$2:$QW$317),"")</f>
        <v>82</v>
      </c>
      <c r="HM20" s="7">
        <f>IFERROR(AVERAGEIF('Данные 1st'!$S$2:$S$317,$A20,'Данные 1st'!$QX$2:$QX$317),"")</f>
        <v>88.33333333333333</v>
      </c>
      <c r="HN20" s="7">
        <f>IFERROR(AVERAGEIF('Данные 1st'!$S$2:$S$317,$A20,'Данные 1st'!$QZ$2:$QZ$317),"")</f>
        <v>1.6666666666666667</v>
      </c>
      <c r="HO20" s="7">
        <f>IFERROR(AVERAGEIF('Данные 1st'!$S$2:$S$317,$A20,'Данные 1st'!$RA$2:$RA$317),"")</f>
        <v>66</v>
      </c>
      <c r="HP20" s="7">
        <f>IFERROR(AVERAGEIF('Данные 1st'!$S$2:$S$317,$A20,'Данные 1st'!$RB$2:$RB$317),"")</f>
        <v>66</v>
      </c>
      <c r="HQ20" s="7">
        <f>IFERROR(AVERAGEIF('Данные 1st'!$S$2:$S$317,$A20,'Данные 1st'!$RD$2:$RD$317),"")</f>
        <v/>
      </c>
      <c r="HR20" s="7">
        <f>IFERROR(AVERAGEIF('Данные 1st'!$S$2:$S$317,$A20,'Данные 1st'!$RE$2:$RE$317),"")</f>
        <v>0</v>
      </c>
      <c r="HS20" s="7">
        <f>IFERROR(AVERAGEIF('Данные 1st'!$S$2:$S$317,$A20,'Данные 1st'!$RF$2:$RF$317),"")</f>
        <v>1</v>
      </c>
      <c r="HT20" s="7">
        <f>IFERROR(AVERAGEIF('Данные 1st'!$S$2:$S$317,$A20,'Данные 1st'!$RG$2:$RG$317),"")</f>
        <v/>
      </c>
      <c r="HU20" s="7">
        <f>IFERROR(AVERAGEIF('Данные 1st'!$S$2:$S$317,$A20,'Данные 1st'!$RH$2:$RH$317),"")</f>
        <v>1</v>
      </c>
      <c r="HV20" s="7">
        <f>IFERROR(AVERAGEIF('Данные 1st'!$S$2:$S$317,$A20,'Данные 1st'!$RI$2:$RI$317),"")</f>
        <v/>
      </c>
      <c r="HW20" s="7">
        <f>IFERROR(AVERAGEIF('Данные 1st'!$S$2:$S$317,$A20,'Данные 1st'!$RJ$2:$RJ$317),"")</f>
        <v>1.6666666666666667</v>
      </c>
      <c r="HX20" s="7">
        <f>IFERROR(AVERAGEIF('Данные 1st'!$S$2:$S$317,$A20,'Данные 1st'!$RK$2:$RK$317),"")</f>
        <v/>
      </c>
      <c r="HY20" s="7">
        <f>IFERROR(AVERAGEIF('Данные 1st'!$S$2:$S$317,$A20,'Данные 1st'!$RL$2:$RL$317),"")</f>
        <v>2.6666666666666665</v>
      </c>
      <c r="HZ20" s="7">
        <f>IFERROR(AVERAGEIF('Данные 1st'!$S$2:$S$317,$A20,'Данные 1st'!$RM$2:$RM$317),"")</f>
        <v>3.5</v>
      </c>
      <c r="IA20" s="7">
        <f>IFERROR(AVERAGEIF('Данные 1st'!$S$2:$S$317,$A20,'Данные 1st'!$RN$2:$RN$317),"")</f>
        <v/>
      </c>
      <c r="IB20" s="7">
        <f>IFERROR(AVERAGEIF('Данные 1st'!$S$2:$S$317,$A20,'Данные 1st'!$RO$2:$RO$317),"")</f>
        <v>604.6666666666666</v>
      </c>
      <c r="IC20" s="7">
        <f>IFERROR(AVERAGEIF('Данные 1st'!$S$2:$S$317,$A20,'Данные 1st'!$RP$2:$RP$317),"")</f>
        <v/>
      </c>
      <c r="ID20" s="7">
        <f>IFERROR(AVERAGEIF('Данные 1st'!$S$2:$S$317,$A20,'Данные 1st'!$RQ$2:$RQ$317),"")</f>
        <v>838.6666666666666</v>
      </c>
      <c r="IE20" s="7">
        <f>IFERROR(AVERAGEIF('Данные 1st'!$S$2:$S$317,$A20,'Данные 1st'!$RR$2:$RR$317),"")</f>
        <v>557.5</v>
      </c>
      <c r="IF20" s="7">
        <f>IFERROR(AVERAGEIF('Данные 1st'!$S$2:$S$317,$A20,'Данные 1st'!$RS$2:$RS$317),"")</f>
        <v/>
      </c>
      <c r="IG20" s="7">
        <f>IFERROR(AVERAGEIF('Данные 1st'!$S$2:$S$317,$A20,'Данные 1st'!$RT$2:$RT$317),"")</f>
        <v>223.33333333333334</v>
      </c>
      <c r="IH20" s="7">
        <f>IFERROR(AVERAGEIF('Данные 1st'!$S$2:$S$317,$A20,'Данные 1st'!$RU$2:$RU$317),"")</f>
        <v>173.33333333333334</v>
      </c>
      <c r="II20" s="7">
        <f>IFERROR(AVERAGEIF('Данные 1st'!$S$2:$S$317,$A20,'Данные 1st'!$RX$2:$RX$317),"")</f>
        <v>15</v>
      </c>
      <c r="IJ20" s="7">
        <f>IFERROR(AVERAGEIF('Данные 1st'!$S$2:$S$317,$A20,'Данные 1st'!$RY$2:$RY$317),"")</f>
        <v>4</v>
      </c>
      <c r="IK20" s="7">
        <f>IFERROR(AVERAGEIF('Данные 1st'!$S$2:$S$317,$A20,'Данные 1st'!$SA$2:$SA$317),"")</f>
        <v>15</v>
      </c>
      <c r="IL20" s="7">
        <f>IFERROR(AVERAGEIF('Данные 1st'!$S$2:$S$317,$A20,'Данные 1st'!$SD$2:$SD$317),"")</f>
        <v>1</v>
      </c>
      <c r="IM20" s="7">
        <f>IFERROR(AVERAGEIF('Данные 1st'!$S$2:$S$317,$A20,'Данные 1st'!$SG$2:$SG$317),"")</f>
        <v>1</v>
      </c>
      <c r="IN20" s="7">
        <f>IFERROR(AVERAGEIF('Данные 1st'!$S$2:$S$317,$A20,'Данные 1st'!$SH$2:$SH$317),"")</f>
        <v>0.995</v>
      </c>
      <c r="IO20" s="7">
        <f>IFERROR(AVERAGEIF('Данные 1st'!$S$2:$S$317,$A20,'Данные 1st'!$SI$2:$SI$317),"")</f>
        <v>0.995</v>
      </c>
      <c r="IP20" s="7">
        <f>IFERROR(AVERAGEIF('Данные 1st'!$S$2:$S$317,$A20,'Данные 1st'!$SJ$2:$SJ$317),"")</f>
        <v>0.995</v>
      </c>
      <c r="IQ20" s="7">
        <f>IFERROR(AVERAGEIF('Данные 1st'!$S$2:$S$317,$A20,'Данные 1st'!$SK$2:$SK$317),"")</f>
        <v>15</v>
      </c>
      <c r="IR20" s="7">
        <f>IFERROR(AVERAGEIF('Данные 1st'!$S$2:$S$317,$A20,'Данные 1st'!$SL$2:$SL$317),"")</f>
        <v>0</v>
      </c>
      <c r="IS20" s="7">
        <f>IFERROR(AVERAGEIF('Данные 1st'!$S$2:$S$317,$A20,'Данные 1st'!$SM$2:$SM$317),"")</f>
        <v>0</v>
      </c>
      <c r="IT20" s="7">
        <f>IFERROR(AVERAGEIF('Данные 1st'!$S$2:$S$317,$A20,'Данные 1st'!$SN$2:$SN$317),"")</f>
        <v>0</v>
      </c>
      <c r="IU20" s="7">
        <f>IFERROR(AVERAGEIF('Данные 1st'!$S$2:$S$317,$A20,'Данные 1st'!$SO$2:$SO$317),"")</f>
        <v>0</v>
      </c>
      <c r="IV20" s="7">
        <f>IFERROR(AVERAGEIF('Данные 1st'!$S$2:$S$317,$A20,'Данные 1st'!$SP$2:$SP$317),"")</f>
        <v>0</v>
      </c>
      <c r="IW20" s="7">
        <f>IFERROR(AVERAGEIF('Данные 1st'!$S$2:$S$317,$A20,'Данные 1st'!$SQ$2:$SQ$317),"")</f>
        <v>0</v>
      </c>
      <c r="IX20" s="7">
        <f>IFERROR(AVERAGEIF('Данные 1st'!$S$2:$S$317,$A20,'Данные 1st'!$SR$2:$SR$317),"")</f>
        <v>0</v>
      </c>
      <c r="IY20" s="7">
        <f>IFERROR(AVERAGEIF('Данные 1st'!$S$2:$S$317,$A20,'Данные 1st'!$SS$2:$SS$317),"")</f>
        <v>0</v>
      </c>
      <c r="IZ20" s="7">
        <f>IFERROR(AVERAGEIF('Данные 1st'!$S$2:$S$317,$A20,'Данные 1st'!$ST$2:$ST$317),"")</f>
        <v>0</v>
      </c>
      <c r="JA20" s="7">
        <f>IFERROR(AVERAGEIF('Данные 1st'!$S$2:$S$317,$A20,'Данные 1st'!$SU$2:$SU$317),"")</f>
        <v>0</v>
      </c>
      <c r="JB20" s="7">
        <f>IFERROR(AVERAGEIF('Данные 1st'!$S$2:$S$317,$A20,'Данные 1st'!$SV$2:$SV$317),"")</f>
        <v>0</v>
      </c>
      <c r="JC20" s="7">
        <f>IFERROR(AVERAGEIF('Данные 1st'!$S$2:$S$317,$A20,'Данные 1st'!$SW$2:$SW$317),"")</f>
        <v>0</v>
      </c>
      <c r="JD20" s="7">
        <f>IFERROR(AVERAGEIF('Данные 1st'!$S$2:$S$317,$A20,'Данные 1st'!$SX$2:$SX$317),"")</f>
        <v>0</v>
      </c>
      <c r="JE20" s="7">
        <f>IFERROR(AVERAGEIF('Данные 1st'!$S$2:$S$317,$A20,'Данные 1st'!$SY$2:$SY$317),"")</f>
        <v/>
      </c>
      <c r="JF20" s="7">
        <f>IFERROR(AVERAGEIF('Данные 1st'!$S$2:$S$317,$A20,'Данные 1st'!$SZ$2:$SZ$317),"")</f>
        <v>1</v>
      </c>
      <c r="JG20" s="7">
        <f>IFERROR(AVERAGEIF('Данные 1st'!$S$2:$S$317,$A20,'Данные 1st'!$TA$2:$TA$317),"")</f>
        <v/>
      </c>
      <c r="JH20" s="7">
        <f>IFERROR(AVERAGEIF('Данные 1st'!$S$2:$S$317,$A20,'Данные 1st'!$TB$2:$TB$317),"")</f>
        <v>0.3333333333333333</v>
      </c>
      <c r="JI20" s="7">
        <f>IFERROR(AVERAGEIF('Данные 1st'!$S$2:$S$317,$A20,'Данные 1st'!$TC$2:$TC$317),"")</f>
        <v>0</v>
      </c>
      <c r="JJ20" s="7">
        <f>IFERROR(AVERAGEIF('Данные 1st'!$S$2:$S$317,$A20,'Данные 1st'!$TD$2:$TD$317),"")</f>
        <v>7.5</v>
      </c>
      <c r="JK20" s="7">
        <f>IFERROR(AVERAGEIF('Данные 1st'!$S$2:$S$317,$A20,'Данные 1st'!$TN$2:$TN$317),"")</f>
        <v>0</v>
      </c>
      <c r="JL20">
        <f>COUNTIF('Данные 2st'!$Q$2:$Q$317,$A20)</f>
        <v>3</v>
      </c>
      <c r="JM20" s="6" t="s">
        <v>5090</v>
      </c>
      <c r="JN20" s="6" t="s">
        <v>513</v>
      </c>
      <c r="JO20" s="6" t="s">
        <v>5125</v>
      </c>
      <c r="JP20" s="6" t="s">
        <v>5477</v>
      </c>
      <c r="JQ20" s="7">
        <f>IFERROR(AVERAGEIF('Данные 2st'!$Q$2:$Q$317,$A20,'Данные 2st'!$AC$2:$AC$317),"")</f>
        <v>13.666666666666666</v>
      </c>
      <c r="JR20" s="7">
        <f>IFERROR(AVERAGEIF('Данные 2st'!$Q$2:$Q$317,$A20,'Данные 2st'!$AF$2:$AF$317),"")</f>
        <v>4570.333333333333</v>
      </c>
      <c r="JS20" s="7">
        <f>IFERROR(AVERAGEIF('Данные 2st'!$Q$2:$Q$317,$A20,'Данные 2st'!$AW$2:$AW$317),"")</f>
        <v>6.4</v>
      </c>
      <c r="JT20" s="7">
        <f>IFERROR(AVERAGEIF('Данные 2st'!$Q$2:$Q$317,$A20,'Данные 2st'!$AX$2:$AX$317),"")</f>
        <v>-6</v>
      </c>
      <c r="JU20" s="7">
        <f>IFERROR(AVERAGEIF('Данные 2st'!$Q$2:$Q$317,$A20,'Данные 2st'!$AY$2:$AY$317),"")</f>
        <v>86.33333333333333</v>
      </c>
      <c r="JV20" s="7">
        <f>IFERROR(AVERAGEIF('Данные 2st'!$Q$2:$Q$317,$A20,'Данные 2st'!$AZ$2:$AZ$317),"")</f>
        <v>67.33333333333333</v>
      </c>
      <c r="JW20" s="7">
        <f>IFERROR(AVERAGEIF('Данные 2st'!$Q$2:$Q$317,$A20,'Данные 2st'!$BA$2:$BA$317),"")</f>
        <v/>
      </c>
      <c r="JX20" s="7">
        <f>IFERROR(AVERAGEIF('Данные 2st'!$Q$2:$Q$317,$A20,'Данные 2st'!$BB$2:$BB$317),"")</f>
        <v/>
      </c>
      <c r="JY20" s="7">
        <f>IFERROR(AVERAGEIF('Данные 2st'!$Q$2:$Q$317,$A20,'Данные 2st'!$BC$2:$BC$317),"")</f>
        <v/>
      </c>
      <c r="JZ20" s="7">
        <f>IFERROR(AVERAGEIF('Данные 2st'!$Q$2:$Q$317,$A20,'Данные 2st'!$BH$2:$BH$317),"")</f>
        <v>86.33333333333333</v>
      </c>
      <c r="KA20" s="7">
        <f>IFERROR(AVERAGEIF('Данные 2st'!$Q$2:$Q$317,$A20,'Данные 2st'!$BI$2:$BI$317),"")</f>
        <v>19.0</v>
      </c>
      <c r="KB20" s="7">
        <f>IFERROR(AVERAGEIF('Данные 2st'!$Q$2:$Q$317,$A20,'Данные 2st'!$BJ$2:$BJ$317),"")</f>
        <v>67.33333333333333</v>
      </c>
      <c r="KC20" s="7">
        <f>IFERROR(AVERAGEIF('Данные 2st'!$Q$2:$Q$317,$A20,'Данные 2st'!$BK$2:$BK$317),"")</f>
        <v>3.0</v>
      </c>
      <c r="KD20" s="7">
        <f>IFERROR(AVERAGEIF('Данные 2st'!$Q$2:$Q$317,$A20,'Данные 2st'!$BL$2:$BL$317),"")</f>
        <v>172.66666666666666</v>
      </c>
      <c r="KE20" s="7">
        <f>IFERROR(AVERAGEIF('Данные 2st'!$Q$2:$Q$317,$A20,'Данные 2st'!$BM$2:$BM$317),"")</f>
        <v>-6</v>
      </c>
      <c r="KF20" s="7">
        <f>IFERROR(AVERAGEIF('Данные 2st'!$Q$2:$Q$317,$A20,'Данные 2st'!$BN$2:$BN$317),"")</f>
        <v>0</v>
      </c>
      <c r="KG20" s="7">
        <f>IFERROR(AVERAGEIF('Данные 2st'!$Q$2:$Q$317,$A20,'Данные 2st'!$BO$2:$BO$317),"")</f>
        <v/>
      </c>
      <c r="KH20" s="7">
        <f>IFERROR(AVERAGEIF('Данные 2st'!$Q$2:$Q$317,$A20,'Данные 2st'!$BP$2:$BP$317),"")</f>
        <v>0</v>
      </c>
      <c r="KI20" s="7">
        <f>IFERROR(AVERAGEIF('Данные 2st'!$Q$2:$Q$317,$A20,'Данные 2st'!$BR$2:$BR$317),"")</f>
        <v>166.66666666666666</v>
      </c>
      <c r="KJ20" s="7">
        <f>IFERROR(AVERAGEIF('Данные 2st'!$Q$2:$Q$317,$A20,'Данные 2st'!$BS$2:$BS$317),"")</f>
        <v>156.66666666666666</v>
      </c>
      <c r="KK20" s="7">
        <f>IFERROR(AVERAGEIF('Данные 2st'!$Q$2:$Q$317,$A20,'Данные 2st'!$BT$2:$BT$317),"")</f>
        <v>1951.6666666666667</v>
      </c>
      <c r="KL20" s="7">
        <f>IFERROR(AVERAGEIF('Данные 2st'!$Q$2:$Q$317,$A20,'Данные 2st'!$CV$2:$CV$317),"")</f>
        <v>115.66666666666667</v>
      </c>
      <c r="KM20" s="7">
        <f>IFERROR(AVERAGEIF('Данные 2st'!$Q$2:$Q$317,$A20,'Данные 2st'!$CW$2:$CW$317),"")</f>
        <v>3</v>
      </c>
      <c r="KN20" s="7">
        <f>IFERROR(AVERAGEIF('Данные 2st'!$Q$2:$Q$317,$A20,'Данные 2st'!$CX$2:$CX$317),"")</f>
        <v>68.33333333333333</v>
      </c>
      <c r="KO20" s="7">
        <f>IFERROR(AVERAGEIF('Данные 2st'!$Q$2:$Q$317,$A20,'Данные 2st'!$CY$2:$CY$317),"")</f>
        <v>5</v>
      </c>
      <c r="KP20" s="7">
        <f>IFERROR(AVERAGEIF('Данные 2st'!$Q$2:$Q$317,$A20,'Данные 2st'!$CZ$2:$CZ$317),"")</f>
        <v>120</v>
      </c>
      <c r="KQ20" s="7">
        <f>IFERROR(AVERAGEIF('Данные 2st'!$Q$2:$Q$317,$A20,'Данные 2st'!$DA$2:$DA$317),"")</f>
        <v>5</v>
      </c>
      <c r="KR20" s="7">
        <f>IFERROR(AVERAGEIF('Данные 2st'!$Q$2:$Q$317,$A20,'Данные 2st'!$DB$2:$DB$317),"")</f>
        <v>10046.666666666666</v>
      </c>
      <c r="KS20" s="7">
        <f>IFERROR(AVERAGEIF('Данные 2st'!$Q$2:$Q$317,$A20,'Данные 2st'!$DC$2:$DC$317),"")</f>
        <v>296.6666666666667</v>
      </c>
      <c r="KT20" s="7">
        <f>IFERROR(AVERAGEIF('Данные 2st'!$Q$2:$Q$317,$A20,'Данные 2st'!$DD$2:$DD$317),"")</f>
        <v>323.6666666666667</v>
      </c>
      <c r="KU20" s="7">
        <f>IFERROR(AVERAGEIF('Данные 2st'!$Q$2:$Q$317,$A20,'Данные 2st'!$DE$2:$DE$317),"")</f>
        <v>2064.3333333333335</v>
      </c>
      <c r="KV20" s="7">
        <f>IFERROR(AVERAGEIF('Данные 2st'!$Q$2:$Q$317,$A20,'Данные 2st'!$DF$2:$DF$317),"")</f>
        <v>2052.6666666666665</v>
      </c>
      <c r="KW20" s="7">
        <f>IFERROR(AVERAGEIF('Данные 2st'!$Q$2:$Q$317,$A20,'Данные 2st'!$DG$2:$DG$317),"")</f>
        <v>2076</v>
      </c>
      <c r="KX20" s="7">
        <f>IFERROR(AVERAGEIF('Данные 2st'!$Q$2:$Q$317,$A20,'Данные 2st'!$DH$2:$DH$317),"")</f>
        <v/>
      </c>
      <c r="KY20" s="7">
        <f>IFERROR(AVERAGEIF('Данные 2st'!$Q$2:$Q$317,$A20,'Данные 2st'!$DI$2:$DI$317),"")</f>
        <v/>
      </c>
      <c r="KZ20" s="7">
        <f>IFERROR(AVERAGEIF('Данные 2st'!$Q$2:$Q$317,$A20,'Данные 2st'!$DK$2:$DK$317),"")</f>
        <v>166.66666666666666</v>
      </c>
      <c r="LA20" s="7">
        <f>IFERROR(AVERAGEIF('Данные 2st'!$Q$2:$Q$317,$A20,'Данные 2st'!$DM$2:$DM$317),"")</f>
        <v>63.666666666666664</v>
      </c>
      <c r="LB20" s="7">
        <f>IFERROR(AVERAGEIF('Данные 2st'!$Q$2:$Q$317,$A20,'Данные 2st'!$DN$2:$DN$317),"")</f>
        <v>0.9266666666666666</v>
      </c>
      <c r="LC20" s="7">
        <f>IFERROR(AVERAGEIF('Данные 2st'!$Q$2:$Q$317,$A20,'Данные 2st'!$DO$2:$DO$317),"")</f>
        <v>1</v>
      </c>
      <c r="LD20" s="7">
        <f>IFERROR(AVERAGEIF('Данные 2st'!$Q$2:$Q$317,$A20,'Данные 2st'!$DP$2:$DP$317),"")</f>
        <v>1954.6666666666667</v>
      </c>
      <c r="LE20" s="7">
        <f>IFERROR(AVERAGEIF('Данные 2st'!$Q$2:$Q$317,$A20,'Данные 2st'!$DQ$2:$DQ$317),"")</f>
        <v>633</v>
      </c>
      <c r="LF20" s="7">
        <f>IFERROR(AVERAGEIF('Данные 2st'!$Q$2:$Q$317,$A20,'Данные 2st'!$DS$2:$DS$317),"")</f>
        <v>156.66666666666666</v>
      </c>
      <c r="LG20" s="7">
        <f>IFERROR(AVERAGEIF('Данные 2st'!$Q$2:$Q$317,$A20,'Данные 2st'!$DU$2:$DU$317),"")</f>
        <v>63.666666666666664</v>
      </c>
      <c r="LH20" s="7">
        <f>IFERROR(AVERAGEIF('Данные 2st'!$Q$2:$Q$317,$A20,'Данные 2st'!$DV$2:$DV$317),"")</f>
        <v>0.9266666666666666</v>
      </c>
      <c r="LI20" s="7">
        <f>IFERROR(AVERAGEIF('Данные 2st'!$Q$2:$Q$317,$A20,'Данные 2st'!$DW$2:$DW$317),"")</f>
        <v>1</v>
      </c>
      <c r="LJ20" s="7">
        <f>IFERROR(AVERAGEIF('Данные 2st'!$Q$2:$Q$317,$A20,'Данные 2st'!$DX$2:$DX$317),"")</f>
        <v>1963.3333333333333</v>
      </c>
      <c r="LK20" s="7">
        <f>IFERROR(AVERAGEIF('Данные 2st'!$Q$2:$Q$317,$A20,'Данные 2st'!$DY$2:$DY$317),"")</f>
        <v>597</v>
      </c>
      <c r="LL20" s="7">
        <f>IFERROR(AVERAGEIF('Данные 2st'!$Q$2:$Q$317,$A20,'Данные 2st'!$EA$2:$EA$317),"")</f>
        <v>28.666666666666668</v>
      </c>
      <c r="LM20" s="7">
        <f>IFERROR(AVERAGEIF('Данные 2st'!$Q$2:$Q$317,$A20,'Данные 2st'!$EC$2:$EC$317),"")</f>
        <v>0.5333333333333333</v>
      </c>
      <c r="LN20" s="7">
        <f>IFERROR(AVERAGEIF('Данные 2st'!$Q$2:$Q$317,$A20,'Данные 2st'!$ED$2:$ED$317),"")</f>
        <v>1954.6666666666667</v>
      </c>
      <c r="LO20" s="7">
        <f>IFERROR(AVERAGEIF('Данные 2st'!$Q$2:$Q$317,$A20,'Данные 2st'!$EE$2:$EE$317),"")</f>
        <v>60.666666666666664</v>
      </c>
      <c r="LP20" s="7">
        <f>IFERROR(AVERAGEIF('Данные 2st'!$Q$2:$Q$317,$A20,'Данные 2st'!$EG$2:$EG$317),"")</f>
        <v>22</v>
      </c>
      <c r="LQ20" s="7">
        <f>IFERROR(AVERAGEIF('Данные 2st'!$Q$2:$Q$317,$A20,'Данные 2st'!$EI$2:$EI$317),"")</f>
        <v>0.26666666666666666</v>
      </c>
      <c r="LR20" s="7">
        <f>IFERROR(AVERAGEIF('Данные 2st'!$Q$2:$Q$317,$A20,'Данные 2st'!$EJ$2:$EJ$317),"")</f>
        <v>1960</v>
      </c>
      <c r="LS20" s="7">
        <f>IFERROR(AVERAGEIF('Данные 2st'!$Q$2:$Q$317,$A20,'Данные 2st'!$EK$2:$EK$317),"")</f>
        <v>57</v>
      </c>
      <c r="LT20" s="7">
        <f>IFERROR(AVERAGEIF('Данные 2st'!$Q$2:$Q$317,$A20,'Данные 2st'!$EM$2:$EM$317),"")</f>
        <v>12</v>
      </c>
      <c r="LU20" s="7">
        <f>IFERROR(AVERAGEIF('Данные 2st'!$Q$2:$Q$317,$A20,'Данные 2st'!$EN$2:$EN$317),"")</f>
        <v>0.5</v>
      </c>
      <c r="LV20" s="7">
        <f>IFERROR(AVERAGEIF('Данные 2st'!$Q$2:$Q$317,$A20,'Данные 2st'!$EO$2:$EO$317),"")</f>
        <v>0.92</v>
      </c>
      <c r="LW20" s="7">
        <f>IFERROR(AVERAGEIF('Данные 2st'!$Q$2:$Q$317,$A20,'Данные 2st'!$EP$2:$EP$317),"")</f>
        <v>1963.3166666666666</v>
      </c>
      <c r="LX20" s="7">
        <f>IFERROR(AVERAGEIF('Данные 2st'!$Q$2:$Q$317,$A20,'Данные 2st'!$EQ$2:$EQ$317),"")</f>
        <v>28324.266666666666</v>
      </c>
      <c r="LY20" s="7">
        <f>IFERROR(AVERAGEIF('Данные 2st'!$Q$2:$Q$317,$A20,'Данные 2st'!$ER$2:$ER$317),"")</f>
        <v>5846.1866666666665</v>
      </c>
      <c r="LZ20" s="7">
        <f>IFERROR(AVERAGEIF('Данные 2st'!$Q$2:$Q$317,$A20,'Данные 2st'!$ES$2:$ES$317),"")</f>
        <v>0</v>
      </c>
      <c r="MA20" s="7">
        <f>IFERROR(AVERAGEIF('Данные 2st'!$Q$2:$Q$317,$A20,'Данные 2st'!$ET$2:$ET$317),"")</f>
        <v>0</v>
      </c>
      <c r="MB20" s="7">
        <f>IFERROR(AVERAGEIF('Данные 2st'!$Q$2:$Q$317,$A20,'Данные 2st'!$EU$2:$EU$317),"")</f>
        <v>1</v>
      </c>
      <c r="MC20" s="7">
        <f>IFERROR(AVERAGEIF('Данные 2st'!$Q$2:$Q$317,$A20,'Данные 2st'!$EV$2:$EV$317),"")</f>
        <v>34171</v>
      </c>
      <c r="MD20" s="7">
        <f>IFERROR(AVERAGEIF('Данные 2st'!$Q$2:$Q$317,$A20,'Данные 2st'!$EW$2:$EW$317),"")</f>
        <v>410.3333333333333</v>
      </c>
      <c r="ME20" s="7">
        <f>IFERROR(AVERAGEIF('Данные 2st'!$Q$2:$Q$317,$A20,'Данные 2st'!$EY$2:$EY$317),"")</f>
        <v>190</v>
      </c>
      <c r="MF20" s="7">
        <f>IFERROR(AVERAGEIF('Данные 2st'!$Q$2:$Q$317,$A20,'Данные 2st'!$FA$2:$FA$317),"")</f>
        <v>4.7</v>
      </c>
      <c r="MG20" s="7">
        <f>IFERROR(AVERAGEIF('Данные 2st'!$Q$2:$Q$317,$A20,'Данные 2st'!$FB$2:$FB$317),"")</f>
        <v>1</v>
      </c>
      <c r="MH20" s="7">
        <f>IFERROR(AVERAGEIF('Данные 2st'!$Q$2:$Q$317,$A20,'Данные 2st'!$FC$2:$FC$317),"")</f>
        <v>1</v>
      </c>
      <c r="MI20" s="7">
        <f>IFERROR(AVERAGEIF('Данные 2st'!$Q$2:$Q$317,$A20,'Данные 2st'!$FD$2:$FD$317),"")</f>
        <v>1994.6666666666667</v>
      </c>
      <c r="MJ20" s="7">
        <f>IFERROR(AVERAGEIF('Данные 2st'!$Q$2:$Q$317,$A20,'Данные 2st'!$FE$2:$FE$317),"")</f>
        <v>2130.3333333333335</v>
      </c>
      <c r="MK20" s="7">
        <f>IFERROR(AVERAGEIF('Данные 2st'!$Q$2:$Q$317,$A20,'Данные 2st'!$FG$2:$FG$317),"")</f>
        <v>193.33333333333334</v>
      </c>
      <c r="ML20" s="7">
        <f>IFERROR(AVERAGEIF('Данные 2st'!$Q$2:$Q$317,$A20,'Данные 2st'!$FI$2:$FI$317),"")</f>
        <v>2.8</v>
      </c>
      <c r="MM20" s="7">
        <f>IFERROR(AVERAGEIF('Данные 2st'!$Q$2:$Q$317,$A20,'Данные 2st'!$FJ$2:$FJ$317),"")</f>
        <v>1994.6666666666667</v>
      </c>
      <c r="MN20" s="7">
        <f>IFERROR(AVERAGEIF('Данные 2st'!$Q$2:$Q$317,$A20,'Данные 2st'!$FK$2:$FK$317),"")</f>
        <v>1249</v>
      </c>
      <c r="MO20" s="7">
        <f>IFERROR(AVERAGEIF('Данные 2st'!$Q$2:$Q$317,$A20,'Данные 2st'!$FP$2:$FP$317),"")</f>
        <v>1994.6666666666667</v>
      </c>
      <c r="MP20" s="7">
        <f>IFERROR(AVERAGEIF('Данные 2st'!$Q$2:$Q$317,$A20,'Данные 2st'!$FQ$2:$FQ$317),"")</f>
        <v>168</v>
      </c>
      <c r="MQ20" s="7">
        <f>IFERROR(AVERAGEIF('Данные 2st'!$Q$2:$Q$317,$A20,'Данные 2st'!$FS$2:$FS$317),"")</f>
        <v>197.33333333333334</v>
      </c>
      <c r="MR20" s="7">
        <f>IFERROR(AVERAGEIF('Данные 2st'!$Q$2:$Q$317,$A20,'Данные 2st'!$FU$2:$FU$317),"")</f>
        <v>0.4</v>
      </c>
      <c r="MS20" s="7">
        <f>IFERROR(AVERAGEIF('Данные 2st'!$Q$2:$Q$317,$A20,'Данные 2st'!$FV$2:$FV$317),"")</f>
        <v>1994.6666666666667</v>
      </c>
      <c r="MT20" s="7">
        <f>IFERROR(AVERAGEIF('Данные 2st'!$Q$2:$Q$317,$A20,'Данные 2st'!$FW$2:$FW$317),"")</f>
        <v>175.33333333333334</v>
      </c>
      <c r="MU20" s="7">
        <f>IFERROR(AVERAGEIF('Данные 2st'!$Q$2:$Q$317,$A20,'Данные 2st'!$FY$2:$FY$317),"")</f>
        <v>7.5</v>
      </c>
      <c r="MV20" s="7">
        <f>IFERROR(AVERAGEIF('Данные 2st'!$Q$2:$Q$317,$A20,'Данные 2st'!$GB$2:$GB$317),"")</f>
        <v>1991</v>
      </c>
      <c r="MW20" s="7">
        <f>IFERROR(AVERAGEIF('Данные 2st'!$Q$2:$Q$317,$A20,'Данные 2st'!$GC$2:$GC$317),"")</f>
        <v>19</v>
      </c>
      <c r="MX20" s="7">
        <f>IFERROR(AVERAGEIF('Данные 2st'!$Q$2:$Q$317,$A20,'Данные 2st'!$GD$2:$GD$317),"")</f>
        <v>3735.3333333333335</v>
      </c>
      <c r="MY20" s="7">
        <f>IFERROR(AVERAGEIF('Данные 2st'!$Q$2:$Q$317,$A20,'Данные 2st'!$GN$2:$GN$317),"")</f>
        <v/>
      </c>
      <c r="MZ20" s="7">
        <f>IFERROR(AVERAGEIF('Данные 2st'!$Q$2:$Q$317,$A20,'Данные 2st'!$GQ$2:$GQ$317),"")</f>
        <v>0</v>
      </c>
      <c r="NA20" s="7">
        <f>IFERROR(AVERAGEIF('Данные 2st'!$Q$2:$Q$317,$A20,'Данные 2st'!$GV$2:$GV$317),"")</f>
        <v>7.9</v>
      </c>
      <c r="NB20" s="7">
        <f>IFERROR(AVERAGEIF('Данные 2st'!$Q$2:$Q$317,$A20,'Данные 2st'!$GW$2:$GW$317),"")</f>
        <v>9.966666666666667</v>
      </c>
      <c r="NC20" s="7">
        <f>IFERROR(AVERAGEIF('Данные 2st'!$Q$2:$Q$317,$A20,'Данные 2st'!$GX$2:$GX$317),"")</f>
        <v>0.5</v>
      </c>
      <c r="ND20" s="7">
        <f>IFERROR(AVERAGEIF('Данные 2st'!$Q$2:$Q$317,$A20,'Данные 2st'!$GY$2:$GY$317),"")</f>
        <v>160</v>
      </c>
      <c r="NE20" s="7">
        <f>IFERROR(AVERAGEIF('Данные 2st'!$Q$2:$Q$317,$A20,'Данные 2st'!$GZ$2:$GZ$317),"")</f>
        <v>3</v>
      </c>
      <c r="NF20" s="7">
        <f>IFERROR(AVERAGEIF('Данные 2st'!$Q$2:$Q$317,$A20,'Данные 2st'!$HA$2:$HA$317),"")</f>
        <v>213.33333333333334</v>
      </c>
      <c r="NG20" s="7">
        <f>IFERROR(AVERAGEIF('Данные 2st'!$Q$2:$Q$317,$A20,'Данные 2st'!$HB$2:$HB$317),"")</f>
        <v>3</v>
      </c>
      <c r="NH20" s="7">
        <f>IFERROR(AVERAGEIF('Данные 2st'!$Q$2:$Q$317,$A20,'Данные 2st'!$HC$2:$HC$317),"")</f>
        <v>1994.6666666666667</v>
      </c>
      <c r="NI20" s="7">
        <f>IFERROR(AVERAGEIF('Данные 2st'!$Q$2:$Q$317,$A20,'Данные 2st'!$HD$2:$HD$317),"")</f>
        <v>4</v>
      </c>
      <c r="NJ20" s="7">
        <f>IFERROR(AVERAGEIF('Данные 2st'!$Q$2:$Q$317,$A20,'Данные 2st'!$HM$2:$HM$317),"")</f>
        <v>15</v>
      </c>
      <c r="NK20" s="7">
        <f>IFERROR(AVERAGEIF('Данные 2st'!$Q$2:$Q$317,$A20,'Данные 2st'!$HR$2:$HR$317),"")</f>
        <v>2.6666666666666665</v>
      </c>
      <c r="NL20" s="7">
        <f>IFERROR(AVERAGEIF('Данные 2st'!$Q$2:$Q$317,$A20,'Данные 2st'!$HS$2:$HS$317),"")</f>
        <v>1951.6666666666667</v>
      </c>
      <c r="NM20" s="7">
        <f>IFERROR(AVERAGEIF('Данные 2st'!$Q$2:$Q$317,$A20,'Данные 2st'!$HT$2:$HT$317),"")</f>
        <v>5</v>
      </c>
      <c r="NN20" s="7">
        <f>IFERROR(AVERAGEIF('Данные 2st'!$Q$2:$Q$317,$A20,'Данные 2st'!$HY$2:$HY$317),"")</f>
        <v>0</v>
      </c>
      <c r="NO20" s="7">
        <f>IFERROR(AVERAGEIF('Данные 2st'!$Q$2:$Q$317,$A20,'Данные 2st'!$HZ$2:$HZ$317),"")</f>
        <v>63.666666666666664</v>
      </c>
      <c r="NP20" s="7">
        <f>IFERROR(AVERAGEIF('Данные 2st'!$Q$2:$Q$317,$A20,'Данные 2st'!$IA$2:$IA$317),"")</f>
        <v>1954.6666666666667</v>
      </c>
      <c r="NQ20" s="7">
        <f>IFERROR(AVERAGEIF('Данные 2st'!$Q$2:$Q$317,$A20,'Данные 2st'!$IB$2:$IB$317),"")</f>
        <v>1963.3333333333333</v>
      </c>
      <c r="NR20" s="7">
        <f>IFERROR(AVERAGEIF('Данные 2st'!$Q$2:$Q$317,$A20,'Данные 2st'!$IC$2:$IC$317),"")</f>
        <v/>
      </c>
      <c r="NS20" s="7">
        <f>IFERROR(AVERAGEIF('Данные 2st'!$Q$2:$Q$317,$A20,'Данные 2st'!$ID$2:$ID$317),"")</f>
        <v>1994.6666666666667</v>
      </c>
      <c r="NT20" s="7">
        <f>IFERROR(AVERAGEIF('Данные 2st'!$Q$2:$Q$317,$A20,'Данные 2st'!$IE$2:$IE$317),"")</f>
        <v>1994.6666666666667</v>
      </c>
      <c r="NU20" s="7">
        <f>IFERROR(AVERAGEIF('Данные 2st'!$Q$2:$Q$317,$A20,'Данные 2st'!$IF$2:$IF$317),"")</f>
        <v>166.66666666666666</v>
      </c>
      <c r="NV20" s="7">
        <f>IFERROR(AVERAGEIF('Данные 2st'!$Q$2:$Q$317,$A20,'Данные 2st'!$IG$2:$IG$317),"")</f>
        <v>156.66666666666666</v>
      </c>
      <c r="NW20" s="7">
        <f>IFERROR(AVERAGEIF('Данные 2st'!$Q$2:$Q$317,$A20,'Данные 2st'!$IH$2:$IH$317),"")</f>
        <v>213.33333333333334</v>
      </c>
      <c r="NX20" s="7">
        <f>IFERROR(AVERAGEIF('Данные 2st'!$Q$2:$Q$317,$A20,'Данные 2st'!$IJ$2:$IJ$317),"")</f>
        <v>5</v>
      </c>
      <c r="NY20" s="7">
        <f>IFERROR(AVERAGEIF('Данные 2st'!$Q$2:$Q$317,$A20,'Данные 2st'!$IM$2:$IM$317),"")</f>
        <v>0</v>
      </c>
      <c r="NZ20" s="7">
        <f>IFERROR(AVERAGEIF('Данные 2st'!$Q$2:$Q$317,$A20,'Данные 2st'!$IN$2:$IN$317),"")</f>
        <v>270</v>
      </c>
      <c r="OA20" s="7">
        <f>IFERROR(AVERAGEIF('Данные 2st'!$Q$2:$Q$317,$A20,'Данные 2st'!$IO$2:$IO$317),"")</f>
        <v>0</v>
      </c>
      <c r="OB20" s="7">
        <f>IFERROR(AVERAGEIF('Данные 2st'!$Q$2:$Q$317,$A20,'Данные 2st'!$IP$2:$IP$317),"")</f>
        <v>180</v>
      </c>
      <c r="OC20" s="7">
        <f>IFERROR(AVERAGEIF('Данные 2st'!$Q$2:$Q$317,$A20,'Данные 2st'!$IQ$2:$IQ$317),"")</f>
        <v>0</v>
      </c>
      <c r="OD20" s="7">
        <f>IFERROR(AVERAGEIF('Данные 2st'!$Q$2:$Q$317,$A20,'Данные 2st'!$IR$2:$IR$317),"")</f>
        <v>328.3333333333333</v>
      </c>
      <c r="OE20" s="7">
        <f>IFERROR(AVERAGEIF('Данные 2st'!$Q$2:$Q$317,$A20,'Данные 2st'!$IT$2:$IT$317),"")</f>
        <v>90</v>
      </c>
      <c r="OF20" s="7">
        <f>IFERROR(AVERAGEIF('Данные 2st'!$Q$2:$Q$317,$A20,'Данные 2st'!$IU$2:$IU$317),"")</f>
        <v>0</v>
      </c>
      <c r="OG20" s="7">
        <f>IFERROR(AVERAGEIF('Данные 2st'!$Q$2:$Q$317,$A20,'Данные 2st'!$IV$2:$IV$317),"")</f>
        <v>6.4</v>
      </c>
      <c r="OH20" s="7">
        <f>IFERROR(AVERAGEIF('Данные 2st'!$Q$2:$Q$317,$A20,'Данные 2st'!$IW$2:$IW$317),"")</f>
        <v>-6</v>
      </c>
      <c r="OI20" s="7">
        <f>IFERROR(AVERAGEIF('Данные 2st'!$Q$2:$Q$317,$A20,'Данные 2st'!$IX$2:$IX$317),"")</f>
        <v>86.33333333333333</v>
      </c>
      <c r="OJ20" s="7">
        <f>IFERROR(AVERAGEIF('Данные 2st'!$Q$2:$Q$317,$A20,'Данные 2st'!$IY$2:$IY$317),"")</f>
        <v>67.33333333333333</v>
      </c>
      <c r="OK20" s="7">
        <f>IFERROR(AVERAGEIF('Данные 2st'!$Q$2:$Q$317,$A20,'Данные 2st'!$IZ$2:$IZ$317),"")</f>
        <v>0</v>
      </c>
      <c r="OL20" s="7">
        <f>IFERROR(AVERAGEIF('Данные 2st'!$Q$2:$Q$317,$A20,'Данные 2st'!$JA$2:$JA$317),"")</f>
        <v>0</v>
      </c>
      <c r="OM20" s="7">
        <f>IFERROR(AVERAGEIF('Данные 2st'!$Q$2:$Q$317,$A20,'Данные 2st'!$JB$2:$JB$317),"")</f>
        <v>0</v>
      </c>
      <c r="ON20" s="7">
        <f>IFERROR(AVERAGEIF('Данные 2st'!$Q$2:$Q$317,$A20,'Данные 2st'!$JC$2:$JC$317),"")</f>
        <v>0</v>
      </c>
      <c r="OO20" s="7">
        <f>IFERROR(AVERAGEIF('Данные 2st'!$Q$2:$Q$317,$A20,'Данные 2st'!$JD$2:$JD$317),"")</f>
        <v>0</v>
      </c>
      <c r="OP20" s="7">
        <f>IFERROR(AVERAGEIF('Данные 2st'!$Q$2:$Q$317,$A20,'Данные 2st'!$JE$2:$JE$317),"")</f>
        <v>0</v>
      </c>
      <c r="OQ20" s="7">
        <f>IFERROR(AVERAGEIF('Данные 2st'!$Q$2:$Q$317,$A20,'Данные 2st'!$JF$2:$JF$317),"")</f>
        <v>0</v>
      </c>
      <c r="OR20" s="7">
        <f>IFERROR(AVERAGEIF('Данные 2st'!$Q$2:$Q$317,$A20,'Данные 2st'!$JG$2:$JG$317),"")</f>
        <v>0</v>
      </c>
      <c r="OS20" s="7">
        <f>IFERROR(AVERAGEIF('Данные 2st'!$Q$2:$Q$317,$A20,'Данные 2st'!$JH$2:$JH$317),"")</f>
        <v>0</v>
      </c>
      <c r="OT20" s="7">
        <f>IFERROR(AVERAGEIF('Данные 2st'!$Q$2:$Q$317,$A20,'Данные 2st'!$JI$2:$JI$317),"")</f>
        <v>402.6666666666667</v>
      </c>
      <c r="OU20" s="7">
        <f>IFERROR(AVERAGEIF('Данные 2st'!$Q$2:$Q$317,$A20,'Данные 2st'!$JJ$2:$JJ$317),"")</f>
        <v>372.6666666666667</v>
      </c>
      <c r="OV20" s="7">
        <f>IFERROR(AVERAGEIF('Данные 2st'!$Q$2:$Q$317,$A20,'Данные 2st'!$JK$2:$JK$317),"")</f>
        <v>281.6666666666667</v>
      </c>
      <c r="OW20" s="7">
        <f>IFERROR(AVERAGEIF('Данные 2st'!$Q$2:$Q$317,$A20,'Данные 2st'!$JL$2:$JL$317),"")</f>
        <v>369.3333333333333</v>
      </c>
      <c r="OX20" s="7">
        <f>IFERROR(AVERAGEIF('Данные 2st'!$Q$2:$Q$317,$A20,'Данные 2st'!$JM$2:$JM$317),"")</f>
        <v>285</v>
      </c>
      <c r="OY20" s="7">
        <f>IFERROR(AVERAGEIF('Данные 2st'!$Q$2:$Q$317,$A20,'Данные 2st'!$JP$2:$JP$317),"")</f>
        <v>208.33333333333334</v>
      </c>
      <c r="OZ20" s="7">
        <f>IFERROR(AVERAGEIF('Данные 2st'!$Q$2:$Q$317,$A20,'Данные 2st'!$JQ$2:$JQ$317),"")</f>
        <v>260</v>
      </c>
      <c r="PA20" s="7">
        <f>IFERROR(AVERAGEIF('Данные 2st'!$Q$2:$Q$317,$A20,'Данные 2st'!$JR$2:$JR$317),"")</f>
        <v>375</v>
      </c>
      <c r="PB20" s="7">
        <f>IFERROR(AVERAGEIF('Данные 2st'!$Q$2:$Q$317,$A20,'Данные 2st'!$JS$2:$JS$317),"")</f>
        <v>256.6666666666667</v>
      </c>
      <c r="PC20" s="7">
        <f>IFERROR(AVERAGEIF('Данные 2st'!$Q$2:$Q$317,$A20,'Данные 2st'!$JT$2:$JT$317),"")</f>
        <v>0</v>
      </c>
      <c r="PD20" s="7">
        <f>IFERROR(AVERAGEIF('Данные 2st'!$Q$2:$Q$317,$A20,'Данные 2st'!$JU$2:$JU$317),"")</f>
        <v>0</v>
      </c>
      <c r="PE20" s="7">
        <f>IFERROR(AVERAGEIF('Данные 2st'!$Q$2:$Q$317,$A20,'Данные 2st'!$JV$2:$JV$317),"")</f>
        <v>335</v>
      </c>
      <c r="PF20" s="7">
        <f>IFERROR(AVERAGEIF('Данные 2st'!$Q$2:$Q$317,$A20,'Данные 2st'!$JW$2:$JW$317),"")</f>
        <v>337</v>
      </c>
      <c r="PG20" s="7">
        <f>IFERROR(AVERAGEIF('Данные 2st'!$Q$2:$Q$317,$A20,'Данные 2st'!$KF$2:$KF$317),"")</f>
        <v>0.18666666666666668</v>
      </c>
      <c r="PH20" s="7">
        <f>IFERROR(AVERAGEIF('Данные 2st'!$Q$2:$Q$317,$A20,'Данные 2st'!$KG$2:$KG$317),"")</f>
        <v>0.1</v>
      </c>
      <c r="PI20" s="7">
        <f>IFERROR(AVERAGEIF('Данные 2st'!$Q$2:$Q$317,$A20,'Данные 2st'!$KM$2:$KM$317),"")</f>
        <v>0.3333333333333333</v>
      </c>
      <c r="PJ20" s="7">
        <f>IFERROR(AVERAGEIF('Данные 2st'!$Q$2:$Q$317,$A20,'Данные 2st'!$KN$2:$KN$317),"")</f>
        <v>1.3</v>
      </c>
      <c r="PK20" s="7">
        <f>IFERROR(AVERAGEIF('Данные 2st'!$Q$2:$Q$317,$A20,'Данные 2st'!$KO$2:$KO$317),"")</f>
        <v>0</v>
      </c>
      <c r="PL20" s="7">
        <f>IFERROR(AVERAGEIF('Данные 2st'!$Q$2:$Q$317,$A20,'Данные 2st'!$KP$2:$KP$317),"")</f>
        <v>0</v>
      </c>
      <c r="PM20" s="7">
        <f>IFERROR(AVERAGEIF('Данные 2st'!$Q$2:$Q$317,$A20,'Данные 2st'!$KQ$2:$KQ$317),"")</f>
        <v>0.7666666666666667</v>
      </c>
      <c r="PN20" s="7">
        <f>IFERROR(AVERAGEIF('Данные 2st'!$Q$2:$Q$317,$A20,'Данные 2st'!$KR$2:$KR$317),"")</f>
        <v>0.8</v>
      </c>
      <c r="PO20" s="7">
        <f>IFERROR(AVERAGEIF('Данные 2st'!$Q$2:$Q$317,$A20,'Данные 2st'!$KS$2:$KS$317),"")</f>
        <v>0</v>
      </c>
      <c r="PP20" s="7">
        <f>IFERROR(AVERAGEIF('Данные 2st'!$Q$2:$Q$317,$A20,'Данные 2st'!$KT$2:$KT$317),"")</f>
        <v>2.4</v>
      </c>
      <c r="PQ20" s="7">
        <f>IFERROR(AVERAGEIF('Данные 2st'!$Q$2:$Q$317,$A20,'Данные 2st'!$KU$2:$KU$317),"")</f>
        <v>0</v>
      </c>
      <c r="PR20" s="7">
        <f>IFERROR(AVERAGEIF('Данные 2st'!$Q$2:$Q$317,$A20,'Данные 2st'!$KV$2:$KV$317),"")</f>
        <v>0</v>
      </c>
      <c r="PS20" s="7">
        <f>IFERROR(AVERAGEIF('Данные 2st'!$Q$2:$Q$317,$A20,'Данные 2st'!$KW$2:$KW$317),"")</f>
        <v>1.0</v>
      </c>
      <c r="PT20" s="7">
        <f>IFERROR(AVERAGEIF('Данные 2st'!$Q$2:$Q$317,$A20,'Данные 2st'!$KX$2:$KX$317),"")</f>
        <v>1.6666666666666667</v>
      </c>
      <c r="PU20" s="7">
        <f>IFERROR(AVERAGEIF('Данные 2st'!$Q$2:$Q$317,$A20,'Данные 2st'!$KY$2:$KY$317),"")</f>
        <v>0</v>
      </c>
      <c r="PV20" s="7">
        <f>IFERROR(AVERAGEIF('Данные 2st'!$Q$2:$Q$317,$A20,'Данные 2st'!$KZ$2:$KZ$317),"")</f>
        <v>0</v>
      </c>
      <c r="PW20" s="7">
        <f>IFERROR(AVERAGEIF('Данные 2st'!$Q$2:$Q$317,$A20,'Данные 2st'!$LA$2:$LA$317),"")</f>
        <v>0</v>
      </c>
      <c r="PX20" s="7">
        <f>IFERROR(AVERAGEIF('Данные 2st'!$Q$2:$Q$317,$A20,'Данные 2st'!$LB$2:$LB$317),"")</f>
        <v>0</v>
      </c>
      <c r="PY20" s="7">
        <f>IFERROR(AVERAGEIF('Данные 2st'!$Q$2:$Q$317,$A20,'Данные 2st'!$LC$2:$LC$317),"")</f>
        <v>0</v>
      </c>
      <c r="PZ20" s="7">
        <f>IFERROR(AVERAGEIF('Данные 2st'!$Q$2:$Q$317,$A20,'Данные 2st'!$LD$2:$LD$317),"")</f>
        <v>0</v>
      </c>
      <c r="QA20" s="7">
        <f>IFERROR(AVERAGEIF('Данные 2st'!$Q$2:$Q$317,$A20,'Данные 2st'!$LE$2:$LE$317),"")</f>
        <v>0</v>
      </c>
      <c r="QB20" s="7">
        <f>IFERROR(AVERAGEIF('Данные 2st'!$Q$2:$Q$317,$A20,'Данные 2st'!$LF$2:$LF$317),"")</f>
        <v>0</v>
      </c>
      <c r="QC20" s="7">
        <f>IFERROR(AVERAGEIF('Данные 2st'!$Q$2:$Q$317,$A20,'Данные 2st'!$LG$2:$LG$317),"")</f>
        <v>0</v>
      </c>
      <c r="QD20" s="7">
        <f>IFERROR(AVERAGEIF('Данные 2st'!$Q$2:$Q$317,$A20,'Данные 2st'!$LH$2:$LH$317),"")</f>
        <v>3</v>
      </c>
      <c r="QE20" s="7">
        <f>IFERROR(AVERAGEIF('Данные 2st'!$Q$2:$Q$317,$A20,'Данные 2st'!$LJ$2:$LJ$317),"")</f>
        <v>0</v>
      </c>
      <c r="QF20" s="7">
        <f>IFERROR(AVERAGEIF('Данные 2st'!$Q$2:$Q$317,$A20,'Данные 2st'!$LK$2:$LK$317),"")</f>
        <v>6.666666666666667</v>
      </c>
      <c r="QG20" s="7">
        <f>IFERROR(AVERAGEIF('Данные 2st'!$Q$2:$Q$317,$A20,'Данные 2st'!$LL$2:$LL$317),"")</f>
        <v>6.166666666666667</v>
      </c>
      <c r="QH20" s="7">
        <f>IFERROR(AVERAGEIF('Данные 2st'!$Q$2:$Q$317,$A20,'Данные 2st'!$LM$2:$LM$317),"")</f>
        <v>7.666666666666667</v>
      </c>
      <c r="QI20" s="7">
        <f>IFERROR(AVERAGEIF('Данные 2st'!$Q$2:$Q$317,$A20,'Данные 2st'!$LN$2:$LN$317),"")</f>
        <v>0.4666666666666667</v>
      </c>
      <c r="QJ20" s="7">
        <f>IFERROR(AVERAGEIF('Данные 2st'!$Q$2:$Q$317,$A20,'Данные 2st'!$LO$2:$LO$317),"")</f>
        <v>2.1666666666666665</v>
      </c>
      <c r="QK20" s="7">
        <f>IFERROR(AVERAGEIF('Данные 2st'!$Q$2:$Q$317,$A20,'Данные 2st'!$LP$2:$LP$317),"")</f>
        <v>0</v>
      </c>
      <c r="QL20" s="7">
        <f>IFERROR(AVERAGEIF('Данные 2st'!$Q$2:$Q$317,$A20,'Данные 2st'!$LQ$2:$LQ$317),"")</f>
        <v>0</v>
      </c>
      <c r="QM20" s="7">
        <f>IFERROR(AVERAGEIF('Данные 2st'!$Q$2:$Q$317,$A20,'Данные 2st'!$LW$2:$LW$317),"")</f>
        <v>2.0</v>
      </c>
      <c r="QN20" s="7">
        <f>IFERROR(AVERAGEIF('Данные 2st'!$Q$2:$Q$317,$A20,'Данные 2st'!$LX$2:$LX$317),"")</f>
        <v>2.0</v>
      </c>
      <c r="QO20" s="7">
        <f>IFERROR(AVERAGEIF('Данные 2st'!$Q$2:$Q$317,$A20,'Данные 2st'!$LY$2:$LY$317),"")</f>
        <v>2.1</v>
      </c>
      <c r="QP20" s="7">
        <f>IFERROR(AVERAGEIF('Данные 2st'!$Q$2:$Q$317,$A20,'Данные 2st'!$LZ$2:$LZ$317),"")</f>
        <v>2.1</v>
      </c>
      <c r="QQ20" s="7">
        <f>IFERROR(AVERAGEIF('Данные 2st'!$Q$2:$Q$317,$A20,'Данные 2st'!$MB$2:$MB$317),"")</f>
        <v>6.333333333333333</v>
      </c>
      <c r="QR20" s="7">
        <f>IFERROR(AVERAGEIF('Данные 2st'!$Q$2:$Q$317,$A20,'Данные 2st'!$MG$2:$MG$317),"")</f>
        <v>20</v>
      </c>
      <c r="QS20" s="7">
        <f>IFERROR(AVERAGEIF('Данные 2st'!$Q$2:$Q$317,$A20,'Данные 2st'!$MH$2:$MH$317),"")</f>
        <v>20</v>
      </c>
      <c r="QT20" s="7">
        <f>IFERROR(AVERAGEIF('Данные 2st'!$Q$2:$Q$317,$A20,'Данные 2st'!$MI$2:$MI$317),"")</f>
        <v>0</v>
      </c>
      <c r="QU20" s="7">
        <f>IFERROR(AVERAGEIF('Данные 2st'!$Q$2:$Q$317,$A20,'Данные 2st'!$MJ$2:$MJ$317),"")</f>
        <v>0</v>
      </c>
      <c r="QV20" s="7">
        <f>IFERROR(AVERAGEIF('Данные 2st'!$Q$2:$Q$317,$A20,'Данные 2st'!$MK$2:$MK$317),"")</f>
        <v/>
      </c>
      <c r="QW20" s="7">
        <f>IFERROR(AVERAGEIF('Данные 2st'!$Q$2:$Q$317,$A20,'Данные 2st'!$MM$2:$MM$317),"")</f>
        <v>390</v>
      </c>
      <c r="QX20" s="7">
        <f>IFERROR(AVERAGEIF('Данные 2st'!$Q$2:$Q$317,$A20,'Данные 2st'!$MQ$2:$MQ$317),"")</f>
        <v/>
      </c>
      <c r="QY20" s="7">
        <f>IFERROR(AVERAGEIF('Данные 2st'!$Q$2:$Q$317,$A20,'Данные 2st'!$MR$2:$MR$317),"")</f>
        <v/>
      </c>
      <c r="QZ20" s="7">
        <f>IFERROR(AVERAGEIF('Данные 2st'!$Q$2:$Q$317,$A20,'Данные 2st'!$MS$2:$MS$317),"")</f>
        <v/>
      </c>
      <c r="RA20" s="7">
        <f>IFERROR(AVERAGEIF('Данные 2st'!$Q$2:$Q$317,$A20,'Данные 2st'!$MT$2:$MT$317),"")</f>
        <v/>
      </c>
      <c r="RB20" s="7">
        <f>IFERROR(AVERAGEIF('Данные 2st'!$Q$2:$Q$317,$A20,'Данные 2st'!$MU$2:$MU$317),"")</f>
        <v/>
      </c>
      <c r="RC20" s="7">
        <f>IFERROR(AVERAGEIF('Данные 2st'!$Q$2:$Q$317,$A20,'Данные 2st'!$MV$2:$MV$317),"")</f>
        <v/>
      </c>
      <c r="RD20" s="7">
        <f>IFERROR(AVERAGEIF('Данные 2st'!$Q$2:$Q$317,$A20,'Данные 2st'!$MW$2:$MW$317),"")</f>
        <v/>
      </c>
      <c r="RE20" s="7">
        <f>IFERROR(AVERAGEIF('Данные 2st'!$Q$2:$Q$317,$A20,'Данные 2st'!$MX$2:$MX$317),"")</f>
        <v/>
      </c>
      <c r="RF20" s="7">
        <f>IFERROR(AVERAGEIF('Данные 2st'!$Q$2:$Q$317,$A20,'Данные 2st'!$MY$2:$MY$317),"")</f>
        <v/>
      </c>
      <c r="RG20" s="7">
        <f>IFERROR(AVERAGEIF('Данные 2st'!$Q$2:$Q$317,$A20,'Данные 2st'!$MZ$2:$MZ$317),"")</f>
        <v/>
      </c>
      <c r="RH20" s="7">
        <f>IFERROR(AVERAGEIF('Данные 2st'!$Q$2:$Q$317,$A20,'Данные 2st'!$NA$2:$NA$317),"")</f>
        <v/>
      </c>
      <c r="RI20" s="7">
        <f>IFERROR(AVERAGEIF('Данные 2st'!$Q$2:$Q$317,$A20,'Данные 2st'!$NB$2:$NB$317),"")</f>
        <v/>
      </c>
      <c r="RJ20" s="7">
        <f>IFERROR(AVERAGEIF('Данные 2st'!$Q$2:$Q$317,$A20,'Данные 2st'!$NC$2:$NC$317),"")</f>
        <v/>
      </c>
      <c r="RK20" s="7">
        <f>IFERROR(AVERAGEIF('Данные 2st'!$Q$2:$Q$317,$A20,'Данные 2st'!$ND$2:$ND$317),"")</f>
        <v/>
      </c>
      <c r="RL20" s="7">
        <f>IFERROR(AVERAGEIF('Данные 2st'!$Q$2:$Q$317,$A20,'Данные 2st'!$NE$2:$NE$317),"")</f>
        <v/>
      </c>
      <c r="RM20" s="7">
        <f>IFERROR(AVERAGEIF('Данные 2st'!$Q$2:$Q$317,$A20,'Данные 2st'!$NF$2:$NF$317),"")</f>
        <v/>
      </c>
      <c r="RN20" s="7">
        <f>IFERROR(AVERAGEIF('Данные 2st'!$Q$2:$Q$317,$A20,'Данные 2st'!$NG$2:$NG$317),"")</f>
        <v/>
      </c>
      <c r="RO20" s="7">
        <f>IFERROR(AVERAGEIF('Данные 2st'!$Q$2:$Q$317,$A20,'Данные 2st'!$NH$2:$NH$317),"")</f>
        <v/>
      </c>
      <c r="RP20" s="7">
        <f>IFERROR(AVERAGEIF('Данные 2st'!$Q$2:$Q$317,$A20,'Данные 2st'!$NJ$2:$NJ$317),"")</f>
        <v/>
      </c>
      <c r="RQ20" s="7">
        <f>IFERROR(AVERAGEIF('Данные 2st'!$Q$2:$Q$317,$A20,'Данные 2st'!$NK$2:$NK$317),"")</f>
        <v/>
      </c>
      <c r="RR20" s="7">
        <f>IFERROR(AVERAGEIF('Данные 2st'!$Q$2:$Q$317,$A20,'Данные 2st'!$NM$2:$NM$317),"")</f>
        <v/>
      </c>
      <c r="RS20" s="7">
        <f>IFERROR(AVERAGEIF('Данные 2st'!$Q$2:$Q$317,$A20,'Данные 2st'!$NN$2:$NN$317),"")</f>
        <v/>
      </c>
      <c r="RT20" s="7">
        <f>IFERROR(AVERAGEIF('Данные 2st'!$Q$2:$Q$317,$A20,'Данные 2st'!$NO$2:$NO$317),"")</f>
        <v/>
      </c>
      <c r="RU20" s="7">
        <f>IFERROR(AVERAGEIF('Данные 2st'!$Q$2:$Q$317,$A20,'Данные 2st'!$NP$2:$NP$317),"")</f>
        <v/>
      </c>
      <c r="RV20" s="7">
        <f>IFERROR(AVERAGEIF('Данные 2st'!$Q$2:$Q$317,$A20,'Данные 2st'!$NQ$2:$NQ$317),"")</f>
        <v/>
      </c>
      <c r="RW20" s="7">
        <f>IFERROR(AVERAGEIF('Данные 2st'!$Q$2:$Q$317,$A20,'Данные 2st'!$NR$2:$NR$317),"")</f>
        <v/>
      </c>
      <c r="RX20" s="7">
        <f>IFERROR(AVERAGEIF('Данные 2st'!$Q$2:$Q$317,$A20,'Данные 2st'!$NS$2:$NS$317),"")</f>
        <v/>
      </c>
      <c r="RY20" s="7">
        <f>IFERROR(AVERAGEIF('Данные 2st'!$Q$2:$Q$317,$A20,'Данные 2st'!$NT$2:$NT$317),"")</f>
        <v/>
      </c>
      <c r="RZ20" s="7">
        <f>IFERROR(AVERAGEIF('Данные 2st'!$Q$2:$Q$317,$A20,'Данные 2st'!$OK$2:$OK$317),"")</f>
        <v>61</v>
      </c>
      <c r="SA20" s="7">
        <f>IFERROR(AVERAGEIF('Данные 2st'!$Q$2:$Q$317,$A20,'Данные 2st'!$OL$2:$OL$317),"")</f>
        <v>61</v>
      </c>
      <c r="SB20" s="7">
        <f>IFERROR(AVERAGEIF('Данные 2st'!$Q$2:$Q$317,$A20,'Данные 2st'!$ON$2:$ON$317),"")</f>
        <v>2</v>
      </c>
      <c r="SC20" s="7">
        <f>IFERROR(AVERAGEIF('Данные 2st'!$Q$2:$Q$317,$A20,'Данные 2st'!$OO$2:$OO$317),"")</f>
        <v>1954.6666666666667</v>
      </c>
      <c r="SD20" s="7">
        <f>IFERROR(AVERAGEIF('Данные 2st'!$Q$2:$Q$317,$A20,'Данные 2st'!$OP$2:$OP$317),"")</f>
        <v>61</v>
      </c>
      <c r="SE20" s="7">
        <f>IFERROR(AVERAGEIF('Данные 2st'!$Q$2:$Q$317,$A20,'Данные 2st'!$OQ$2:$OQ$317),"")</f>
        <v>61</v>
      </c>
      <c r="SF20" s="7">
        <f>IFERROR(AVERAGEIF('Данные 2st'!$Q$2:$Q$317,$A20,'Данные 2st'!$OS$2:$OS$317),"")</f>
        <v>2</v>
      </c>
      <c r="SG20" s="7">
        <f>IFERROR(AVERAGEIF('Данные 2st'!$Q$2:$Q$317,$A20,'Данные 2st'!$OT$2:$OT$317),"")</f>
        <v>1963.3333333333333</v>
      </c>
      <c r="SH20" s="7">
        <f>IFERROR(AVERAGEIF('Данные 2st'!$Q$2:$Q$317,$A20,'Данные 2st'!$OU$2:$OU$317),"")</f>
        <v>65</v>
      </c>
      <c r="SI20" s="7">
        <f>IFERROR(AVERAGEIF('Данные 2st'!$Q$2:$Q$317,$A20,'Данные 2st'!$OV$2:$OV$317),"")</f>
        <v>65</v>
      </c>
      <c r="SJ20" s="7">
        <f>IFERROR(AVERAGEIF('Данные 2st'!$Q$2:$Q$317,$A20,'Данные 2st'!$OX$2:$OX$317),"")</f>
        <v>1.3333333333333333</v>
      </c>
      <c r="SK20" s="7">
        <f>IFERROR(AVERAGEIF('Данные 2st'!$Q$2:$Q$317,$A20,'Данные 2st'!$OY$2:$OY$317),"")</f>
        <v>34171</v>
      </c>
      <c r="SL20" s="7">
        <f>IFERROR(AVERAGEIF('Данные 2st'!$Q$2:$Q$317,$A20,'Данные 2st'!$OZ$2:$OZ$317),"")</f>
        <v>51</v>
      </c>
      <c r="SM20" s="7">
        <f>IFERROR(AVERAGEIF('Данные 2st'!$Q$2:$Q$317,$A20,'Данные 2st'!$PA$2:$PA$317),"")</f>
        <v>51.333333333333336</v>
      </c>
      <c r="SN20" s="7">
        <f>IFERROR(AVERAGEIF('Данные 2st'!$Q$2:$Q$317,$A20,'Данные 2st'!$PC$2:$PC$317),"")</f>
        <v>1.3333333333333333</v>
      </c>
      <c r="SO20" s="7">
        <f>IFERROR(AVERAGEIF('Данные 2st'!$Q$2:$Q$317,$A20,'Данные 2st'!$PD$2:$PD$317),"")</f>
        <v>1994.6666666666667</v>
      </c>
      <c r="SP20" s="7">
        <f>IFERROR(AVERAGEIF('Данные 2st'!$Q$2:$Q$317,$A20,'Данные 2st'!$PF$2:$PF$317),"")</f>
        <v>323.6666666666667</v>
      </c>
      <c r="SQ20" s="7">
        <f>IFERROR(AVERAGEIF('Данные 2st'!$Q$2:$Q$317,$A20,'Данные 2st'!$PG$2:$PG$317),"")</f>
        <v>31</v>
      </c>
      <c r="SR20" s="7">
        <f>IFERROR(AVERAGEIF('Данные 2st'!$Q$2:$Q$317,$A20,'Данные 2st'!$PH$2:$PH$317),"")</f>
        <v>304</v>
      </c>
      <c r="SS20" s="7">
        <f>IFERROR(AVERAGEIF('Данные 2st'!$Q$2:$Q$317,$A20,'Данные 2st'!$PI$2:$PI$317),"")</f>
        <v>19.333333333333332</v>
      </c>
      <c r="ST20" s="7">
        <f>IFERROR(AVERAGEIF('Данные 2st'!$Q$2:$Q$317,$A20,'Данные 2st'!$PJ$2:$PJ$317),"")</f>
        <v>84.1</v>
      </c>
      <c r="SU20" s="7">
        <f>IFERROR(AVERAGEIF('Данные 2st'!$Q$2:$Q$317,$A20,'Данные 2st'!$PK$2:$PK$317),"")</f>
        <v>1793.5</v>
      </c>
      <c r="SV20" s="7">
        <f>IFERROR(AVERAGEIF('Данные 2st'!$Q$2:$Q$317,$A20,'Данные 2st'!$PL$2:$PL$317),"")</f>
        <v>1068.5</v>
      </c>
      <c r="SW20" s="7">
        <f>IFERROR(AVERAGEIF('Данные 2st'!$Q$2:$Q$317,$A20,'Данные 2st'!$PM$2:$PM$317),"")</f>
        <v>625.5</v>
      </c>
      <c r="SX20" s="7">
        <f>IFERROR(AVERAGEIF('Данные 2st'!$Q$2:$Q$317,$A20,'Данные 2st'!$PN$2:$PN$317),"")</f>
        <v>87.9</v>
      </c>
      <c r="SY20" s="7">
        <f>IFERROR(AVERAGEIF('Данные 2st'!$Q$2:$Q$317,$A20,'Данные 2st'!$PO$2:$PO$317),"")</f>
        <v>9.5</v>
      </c>
      <c r="SZ20" s="7">
        <f>IFERROR(AVERAGEIF('Данные 2st'!$Q$2:$Q$317,$A20,'Данные 2st'!$PP$2:$PP$317),"")</f>
        <v>12</v>
      </c>
      <c r="TA20" s="7">
        <f>IFERROR(AVERAGEIF('Данные 2st'!$Q$2:$Q$317,$A20,'Данные 2st'!$PQ$2:$PQ$317),"")</f>
        <v>1</v>
      </c>
      <c r="TB20" s="7">
        <f>IFERROR(AVERAGEIF('Данные 2st'!$Q$2:$Q$317,$A20,'Данные 2st'!$PR$2:$PR$317),"")</f>
        <v>3</v>
      </c>
      <c r="TC20" s="7">
        <f>IFERROR(AVERAGEIF('Данные 2st'!$Q$2:$Q$317,$A20,'Данные 2st'!$PS$2:$PS$317),"")</f>
        <v>7.666666666666667</v>
      </c>
      <c r="TD20" s="7">
        <f>IFERROR(AVERAGEIF('Данные 2st'!$Q$2:$Q$317,$A20,'Данные 2st'!$PT$2:$PT$317),"")</f>
        <v>213.33333333333334</v>
      </c>
      <c r="TE20" s="7">
        <f>IFERROR(AVERAGEIF('Данные 2st'!$Q$2:$Q$317,$A20,'Данные 2st'!$PU$2:$PU$317),"")</f>
        <v>10</v>
      </c>
      <c r="TF20" s="7">
        <f>IFERROR(AVERAGEIF('Данные 2st'!$Q$2:$Q$317,$A20,'Данные 2st'!$PX$2:$PX$317),"")</f>
        <v>0</v>
      </c>
      <c r="TG20" s="7">
        <f>IFERROR(AVERAGEIF('Данные 2st'!$Q$2:$Q$317,$A20,'Данные 2st'!$PY$2:$PY$317),"")</f>
        <v>0</v>
      </c>
      <c r="TH20" s="7">
        <f>IFERROR(AVERAGEIF('Данные 2st'!$Q$2:$Q$317,$A20,'Данные 2st'!$PZ$2:$PZ$317),"")</f>
        <v>0</v>
      </c>
      <c r="TI20" s="7">
        <f>IFERROR(AVERAGEIF('Данные 2st'!$Q$2:$Q$317,$A20,'Данные 2st'!$QA$2:$QA$317),"")</f>
        <v>0</v>
      </c>
      <c r="TJ20" s="7">
        <f>IFERROR(AVERAGEIF('Данные 2st'!$Q$2:$Q$317,$A20,'Данные 2st'!$QB$2:$QB$317),"")</f>
        <v>0</v>
      </c>
      <c r="TK20" s="7">
        <f>IFERROR(AVERAGEIF('Данные 2st'!$Q$2:$Q$317,$A20,'Данные 2st'!$QC$2:$QC$317),"")</f>
        <v>0</v>
      </c>
      <c r="TL20" s="7">
        <f>IFERROR(AVERAGEIF('Данные 2st'!$Q$2:$Q$317,$A20,'Данные 2st'!$QD$2:$QD$317),"")</f>
        <v>0</v>
      </c>
      <c r="TM20" s="7">
        <f>IFERROR(AVERAGEIF('Данные 2st'!$Q$2:$Q$317,$A20,'Данные 2st'!$QE$2:$QE$317),"")</f>
        <v>-1</v>
      </c>
      <c r="TN20" s="7">
        <f>IFERROR(AVERAGEIF('Данные 2st'!$Q$2:$Q$317,$A20,'Данные 2st'!$QF$2:$QF$317),"")</f>
        <v>1</v>
      </c>
      <c r="TO20" s="7">
        <f>IFERROR(AVERAGEIF('Данные 2st'!$Q$2:$Q$317,$A20,'Данные 2st'!$QG$2:$QG$317),"")</f>
        <v>0</v>
      </c>
      <c r="TP20" s="7">
        <f>IFERROR(AVERAGEIF('Данные 2st'!$Q$2:$Q$317,$A20,'Данные 2st'!$QH$2:$QH$317),"")</f>
        <v>5</v>
      </c>
      <c r="TQ20" s="7">
        <f>IFERROR(AVERAGEIF('Данные 2st'!$Q$2:$Q$317,$A20,'Данные 2st'!$QI$2:$QI$317),"")</f>
        <v>5</v>
      </c>
      <c r="TR20" s="7">
        <f>IFERROR(AVERAGEIF('Данные 2st'!$Q$2:$Q$317,$A20,'Данные 2st'!$QJ$2:$QJ$317),"")</f>
        <v>5</v>
      </c>
      <c r="TS20" s="7">
        <f>IFERROR(AVERAGEIF('Данные 2st'!$Q$2:$Q$317,$A20,'Данные 2st'!$QK$2:$QK$317),"")</f>
        <v>196</v>
      </c>
      <c r="TT20" s="7">
        <f>IFERROR(AVERAGEIF('Данные 2st'!$Q$2:$Q$317,$A20,'Данные 2st'!$QL$2:$QL$317),"")</f>
        <v>436.6666666666667</v>
      </c>
      <c r="TU20" s="7">
        <f>IFERROR(AVERAGEIF('Данные 2st'!$Q$2:$Q$317,$A20,'Данные 2st'!$QM$2:$QM$317),"")</f>
        <v>7.5</v>
      </c>
      <c r="TV20" s="7">
        <f>IFERROR(AVERAGEIF('Данные 2st'!$Q$2:$Q$317,$A20,'Данные 2st'!$QN$2:$QN$317),"")</f>
        <v>1205.3666666666668</v>
      </c>
      <c r="TW20" s="7">
        <f>IFERROR(AVERAGEIF('Данные 2st'!$Q$2:$Q$317,$A20,'Данные 2st'!$QQ$2:$QQ$317),"")</f>
        <v>0</v>
      </c>
      <c r="TX20" s="7">
        <f>IFERROR(AVERAGEIF('Данные 2st'!$Q$2:$Q$317,$A20,'Данные 2st'!$QS$2:$QS$317),"")</f>
        <v>30</v>
      </c>
      <c r="TY20" s="7">
        <f>IFERROR(AVERAGEIF('Данные 2st'!$Q$2:$Q$317,$A20,'Данные 2st'!$QT$2:$QT$317),"")</f>
        <v>40</v>
      </c>
    </row>
    <row r="21" spans="1:545" ht="32" customHeight="1">
      <c r="A21" s="11" t="s">
        <v>631</v>
      </c>
      <c r="B21">
        <f>COUNTIF('Данные 1st'!$S$2:$S$317,$A21)</f>
        <v>5</v>
      </c>
      <c r="C21" s="6" t="s">
        <v>5091</v>
      </c>
      <c r="D21" s="6" t="s">
        <v>513</v>
      </c>
      <c r="E21" s="6" t="s">
        <v>5125</v>
      </c>
      <c r="F21" s="6" t="s">
        <v>5143</v>
      </c>
      <c r="G21" s="7">
        <f>IFERROR(AVERAGEIF('Данные 1st'!$S$2:$S$317,$A21,'Данные 1st'!$AE$2:$AE$317),"")</f>
        <v>170</v>
      </c>
      <c r="H21" s="7">
        <f>IFERROR(AVERAGEIF('Данные 1st'!$S$2:$S$317,$A21,'Данные 1st'!$AF$2:$AF$317),"")</f>
        <v>1.5</v>
      </c>
      <c r="I21" s="7">
        <f>IFERROR(AVERAGEIF('Данные 1st'!$S$2:$S$317,$A21,'Данные 1st'!$AJ$2:$AJ$317),"")</f>
        <v>182.0</v>
      </c>
      <c r="J21" s="7">
        <f>IFERROR(AVERAGEIF('Данные 1st'!$S$2:$S$317,$A21,'Данные 1st'!$AL$2:$AL$317),"")</f>
        <v>1.5</v>
      </c>
      <c r="K21" s="7">
        <f>IFERROR(AVERAGEIF('Данные 1st'!$S$2:$S$317,$A21,'Данные 1st'!$AR$2:$AR$317),"")</f>
        <v>0</v>
      </c>
      <c r="L21" s="7">
        <f>IFERROR(AVERAGEIF('Данные 1st'!$S$2:$S$317,$A21,'Данные 1st'!$AS$2:$AS$317),"")</f>
        <v>1.5</v>
      </c>
      <c r="M21" s="7">
        <f>IFERROR(AVERAGEIF('Данные 1st'!$S$2:$S$317,$A21,'Данные 1st'!$AY$2:$AY$317),"")</f>
        <v>265.5</v>
      </c>
      <c r="N21" s="7">
        <f>IFERROR(AVERAGEIF('Данные 1st'!$S$2:$S$317,$A21,'Данные 1st'!$AZ$2:$AZ$317),"")</f>
        <v>1.5</v>
      </c>
      <c r="O21" s="7">
        <f>IFERROR(AVERAGEIF('Данные 1st'!$S$2:$S$317,$A21,'Данные 1st'!$BF$2:$BF$317),"")</f>
        <v/>
      </c>
      <c r="P21" s="7">
        <f>IFERROR(AVERAGEIF('Данные 1st'!$S$2:$S$317,$A21,'Данные 1st'!$BG$2:$BG$317),"")</f>
        <v>1.5</v>
      </c>
      <c r="Q21" s="7">
        <f>IFERROR(AVERAGEIF('Данные 1st'!$S$2:$S$317,$A21,'Данные 1st'!$BM$2:$BM$317),"")</f>
        <v/>
      </c>
      <c r="R21" s="7">
        <f>IFERROR(AVERAGEIF('Данные 1st'!$S$2:$S$317,$A21,'Данные 1st'!$BN$2:$BN$317),"")</f>
        <v>1.5</v>
      </c>
      <c r="S21" s="7">
        <f>IFERROR(AVERAGEIF('Данные 1st'!$S$2:$S$317,$A21,'Данные 1st'!$BT$2:$BT$317),"")</f>
        <v>192.4</v>
      </c>
      <c r="T21" s="7">
        <f>IFERROR(AVERAGEIF('Данные 1st'!$S$2:$S$317,$A21,'Данные 1st'!$BU$2:$BU$317),"")</f>
        <v>0.5</v>
      </c>
      <c r="U21" s="7">
        <f>IFERROR(AVERAGEIF('Данные 1st'!$S$2:$S$317,$A21,'Данные 1st'!$BW$2:$BW$317),"")</f>
        <v>384.8</v>
      </c>
      <c r="V21" s="7">
        <f>IFERROR(AVERAGEIF('Данные 1st'!$S$2:$S$317,$A21,'Данные 1st'!$BX$2:$BX$317),"")</f>
        <v>1</v>
      </c>
      <c r="W21" s="7">
        <f>IFERROR(AVERAGEIF('Данные 1st'!$S$2:$S$317,$A21,'Данные 1st'!$BZ$2:$BZ$317),"")</f>
        <v>300</v>
      </c>
      <c r="X21" s="7">
        <f>IFERROR(AVERAGEIF('Данные 1st'!$S$2:$S$317,$A21,'Данные 1st'!$CA$2:$CA$317),"")</f>
        <v>452</v>
      </c>
      <c r="Y21" s="7">
        <f>IFERROR(AVERAGEIF('Данные 1st'!$S$2:$S$317,$A21,'Данные 1st'!$CD$2:$CD$317),"")</f>
        <v>401.6</v>
      </c>
      <c r="Z21" s="7">
        <f>IFERROR(AVERAGEIF('Данные 1st'!$S$2:$S$317,$A21,'Данные 1st'!$CF$2:$CF$317),"")</f>
        <v>15</v>
      </c>
      <c r="AA21" s="7">
        <f>IFERROR(AVERAGEIF('Данные 1st'!$S$2:$S$317,$A21,'Данные 1st'!$CI$2:$CI$317),"")</f>
        <v>76</v>
      </c>
      <c r="AB21" s="7">
        <f>IFERROR(AVERAGEIF('Данные 1st'!$S$2:$S$317,$A21,'Данные 1st'!$CJ$2:$CJ$317),"")</f>
        <v>1301</v>
      </c>
      <c r="AC21" s="7">
        <f>IFERROR(AVERAGEIF('Данные 1st'!$S$2:$S$317,$A21,'Данные 1st'!$CK$2:$CK$317),"")</f>
        <v>2</v>
      </c>
      <c r="AD21" s="7">
        <f>IFERROR(AVERAGEIF('Данные 1st'!$S$2:$S$317,$A21,'Данные 1st'!$CL$2:$CL$317),"")</f>
        <v>1395</v>
      </c>
      <c r="AE21" s="7">
        <f>IFERROR(AVERAGEIF('Данные 1st'!$S$2:$S$317,$A21,'Данные 1st'!$CM$2:$CM$317),"")</f>
        <v>2</v>
      </c>
      <c r="AF21" s="7">
        <f>IFERROR(AVERAGEIF('Данные 1st'!$S$2:$S$317,$A21,'Данные 1st'!$CT$2:$CT$317),"")</f>
        <v>364</v>
      </c>
      <c r="AG21" s="7">
        <f>IFERROR(AVERAGEIF('Данные 1st'!$S$2:$S$317,$A21,'Данные 1st'!$CU$2:$CU$317),"")</f>
        <v>5</v>
      </c>
      <c r="AH21" s="7">
        <f>IFERROR(AVERAGEIF('Данные 1st'!$S$2:$S$317,$A21,'Данные 1st'!$CV$2:$CV$317),"")</f>
        <v>1.22</v>
      </c>
      <c r="AI21" s="7">
        <f>IFERROR(AVERAGEIF('Данные 1st'!$S$2:$S$317,$A21,'Данные 1st'!$CW$2:$CW$317),"")</f>
        <v>1314</v>
      </c>
      <c r="AJ21" s="7">
        <f>IFERROR(AVERAGEIF('Данные 1st'!$S$2:$S$317,$A21,'Данные 1st'!$CX$2:$CX$317),"")</f>
        <v>689.2</v>
      </c>
      <c r="AK21" s="7">
        <f>IFERROR(AVERAGEIF('Данные 1st'!$S$2:$S$317,$A21,'Данные 1st'!$CZ$2:$CZ$317),"")</f>
        <v/>
      </c>
      <c r="AL21" s="7">
        <f>IFERROR(AVERAGEIF('Данные 1st'!$S$2:$S$317,$A21,'Данные 1st'!$DA$2:$DA$317),"")</f>
        <v/>
      </c>
      <c r="AM21" s="7">
        <f>IFERROR(AVERAGEIF('Данные 1st'!$S$2:$S$317,$A21,'Данные 1st'!$DB$2:$DB$317),"")</f>
        <v/>
      </c>
      <c r="AN21" s="7">
        <f>IFERROR(AVERAGEIF('Данные 1st'!$S$2:$S$317,$A21,'Данные 1st'!$DC$2:$DC$317),"")</f>
        <v/>
      </c>
      <c r="AO21" s="7">
        <f>IFERROR(AVERAGEIF('Данные 1st'!$S$2:$S$317,$A21,'Данные 1st'!$DD$2:$DD$317),"")</f>
        <v>0</v>
      </c>
      <c r="AP21" s="7">
        <f>IFERROR(AVERAGEIF('Данные 1st'!$S$2:$S$317,$A21,'Данные 1st'!$DF$2:$DF$317),"")</f>
        <v>531</v>
      </c>
      <c r="AQ21" s="7">
        <f>IFERROR(AVERAGEIF('Данные 1st'!$S$2:$S$317,$A21,'Данные 1st'!$DG$2:$DG$317),"")</f>
        <v>3</v>
      </c>
      <c r="AR21" s="7">
        <f>IFERROR(AVERAGEIF('Данные 1st'!$S$2:$S$317,$A21,'Данные 1st'!$DH$2:$DH$317),"")</f>
        <v>1.188</v>
      </c>
      <c r="AS21" s="7">
        <f>IFERROR(AVERAGEIF('Данные 1st'!$S$2:$S$317,$A21,'Данные 1st'!$DI$2:$DI$317),"")</f>
        <v>1312</v>
      </c>
      <c r="AT21" s="7">
        <f>IFERROR(AVERAGEIF('Данные 1st'!$S$2:$S$317,$A21,'Данные 1st'!$DJ$2:$DJ$317),"")</f>
        <v>1162.6</v>
      </c>
      <c r="AU21" s="7">
        <f>IFERROR(AVERAGEIF('Данные 1st'!$S$2:$S$317,$A21,'Данные 1st'!$DL$2:$DL$317),"")</f>
        <v/>
      </c>
      <c r="AV21" s="7">
        <f>IFERROR(AVERAGEIF('Данные 1st'!$S$2:$S$317,$A21,'Данные 1st'!$DM$2:$DM$317),"")</f>
        <v/>
      </c>
      <c r="AW21" s="7">
        <f>IFERROR(AVERAGEIF('Данные 1st'!$S$2:$S$317,$A21,'Данные 1st'!$DN$2:$DN$317),"")</f>
        <v/>
      </c>
      <c r="AX21" s="7">
        <f>IFERROR(AVERAGEIF('Данные 1st'!$S$2:$S$317,$A21,'Данные 1st'!$DO$2:$DO$317),"")</f>
        <v/>
      </c>
      <c r="AY21" s="7">
        <f>IFERROR(AVERAGEIF('Данные 1st'!$S$2:$S$317,$A21,'Данные 1st'!$DP$2:$DP$317),"")</f>
        <v/>
      </c>
      <c r="AZ21" s="7">
        <f>IFERROR(AVERAGEIF('Данные 1st'!$S$2:$S$317,$A21,'Данные 1st'!$DR$2:$DR$317),"")</f>
        <v/>
      </c>
      <c r="BA21" s="7">
        <f>IFERROR(AVERAGEIF('Данные 1st'!$S$2:$S$317,$A21,'Данные 1st'!$DS$2:$DS$317),"")</f>
        <v/>
      </c>
      <c r="BB21" s="7">
        <f>IFERROR(AVERAGEIF('Данные 1st'!$S$2:$S$317,$A21,'Данные 1st'!$DT$2:$DT$317),"")</f>
        <v/>
      </c>
      <c r="BC21" s="7">
        <f>IFERROR(AVERAGEIF('Данные 1st'!$S$2:$S$317,$A21,'Данные 1st'!$DU$2:$DU$317),"")</f>
        <v/>
      </c>
      <c r="BD21" s="7">
        <f>IFERROR(AVERAGEIF('Данные 1st'!$S$2:$S$317,$A21,'Данные 1st'!$DV$2:$DV$317),"")</f>
        <v/>
      </c>
      <c r="BE21" s="7">
        <f>IFERROR(AVERAGEIF('Данные 1st'!$S$2:$S$317,$A21,'Данные 1st'!$DX$2:$DX$317),"")</f>
        <v>7.5</v>
      </c>
      <c r="BF21" s="7">
        <f>IFERROR(AVERAGEIF('Данные 1st'!$S$2:$S$317,$A21,'Данные 1st'!$EA$2:$EA$317),"")</f>
        <v>1380.44</v>
      </c>
      <c r="BG21" s="7">
        <f>IFERROR(AVERAGEIF('Данные 1st'!$S$2:$S$317,$A21,'Данные 1st'!$EB$2:$EB$317),"")</f>
        <v>222</v>
      </c>
      <c r="BH21" s="7">
        <f>IFERROR(AVERAGEIF('Данные 1st'!$S$2:$S$317,$A21,'Данные 1st'!$ED$2:$ED$317),"")</f>
        <v>28</v>
      </c>
      <c r="BI21" s="7">
        <f>IFERROR(AVERAGEIF('Данные 1st'!$S$2:$S$317,$A21,'Данные 1st'!$EE$2:$EE$317),"")</f>
        <v>3</v>
      </c>
      <c r="BJ21" s="7">
        <f>IFERROR(AVERAGEIF('Данные 1st'!$S$2:$S$317,$A21,'Данные 1st'!$EG$2:$EG$317),"")</f>
        <v>1417.4</v>
      </c>
      <c r="BK21" s="7">
        <f>IFERROR(AVERAGEIF('Данные 1st'!$S$2:$S$317,$A21,'Данные 1st'!$EH$2:$EH$317),"")</f>
        <v>165.4</v>
      </c>
      <c r="BL21" s="7">
        <f>IFERROR(AVERAGEIF('Данные 1st'!$S$2:$S$317,$A21,'Данные 1st'!$EJ$2:$EJ$317),"")</f>
        <v>0</v>
      </c>
      <c r="BM21" s="7">
        <f>IFERROR(AVERAGEIF('Данные 1st'!$S$2:$S$317,$A21,'Данные 1st'!$EK$2:$EK$317),"")</f>
        <v>1</v>
      </c>
      <c r="BN21" s="7">
        <f>IFERROR(AVERAGEIF('Данные 1st'!$S$2:$S$317,$A21,'Данные 1st'!$EN$2:$EN$317),"")</f>
        <v>0</v>
      </c>
      <c r="BO21" s="7">
        <f>IFERROR(AVERAGEIF('Данные 1st'!$S$2:$S$317,$A21,'Данные 1st'!$EQ$2:$EQ$317),"")</f>
        <v>77</v>
      </c>
      <c r="BP21" s="7">
        <f>IFERROR(AVERAGEIF('Данные 1st'!$S$2:$S$317,$A21,'Данные 1st'!$ER$2:$ER$317),"")</f>
        <v>3</v>
      </c>
      <c r="BQ21" s="7">
        <f>IFERROR(AVERAGEIF('Данные 1st'!$S$2:$S$317,$A21,'Данные 1st'!$ES$2:$ES$317),"")</f>
        <v>5.06</v>
      </c>
      <c r="BR21" s="7">
        <f>IFERROR(AVERAGEIF('Данные 1st'!$S$2:$S$317,$A21,'Данные 1st'!$ET$2:$ET$317),"")</f>
        <v>1295.4</v>
      </c>
      <c r="BS21" s="7">
        <f>IFERROR(AVERAGEIF('Данные 1st'!$S$2:$S$317,$A21,'Данные 1st'!$EU$2:$EU$317),"")</f>
        <v>312.18</v>
      </c>
      <c r="BT21" s="7">
        <f>IFERROR(AVERAGEIF('Данные 1st'!$S$2:$S$317,$A21,'Данные 1st'!$EV$2:$EV$317),"")</f>
        <v>404.4</v>
      </c>
      <c r="BU21" s="7">
        <f>IFERROR(AVERAGEIF('Данные 1st'!$S$2:$S$317,$A21,'Данные 1st'!$EX$2:$EX$317),"")</f>
        <v>70</v>
      </c>
      <c r="BV21" s="7">
        <f>IFERROR(AVERAGEIF('Данные 1st'!$S$2:$S$317,$A21,'Данные 1st'!$EY$2:$EY$317),"")</f>
        <v>2</v>
      </c>
      <c r="BW21" s="7">
        <f>IFERROR(AVERAGEIF('Данные 1st'!$S$2:$S$317,$A21,'Данные 1st'!$EZ$2:$EZ$317),"")</f>
        <v>4.34</v>
      </c>
      <c r="BX21" s="7">
        <f>IFERROR(AVERAGEIF('Данные 1st'!$S$2:$S$317,$A21,'Данные 1st'!$FA$2:$FA$317),"")</f>
        <v>1295.4</v>
      </c>
      <c r="BY21" s="7">
        <f>IFERROR(AVERAGEIF('Данные 1st'!$S$2:$S$317,$A21,'Данные 1st'!$FB$2:$FB$317),"")</f>
        <v>218.28</v>
      </c>
      <c r="BZ21" s="7">
        <f>IFERROR(AVERAGEIF('Данные 1st'!$S$2:$S$317,$A21,'Данные 1st'!$FC$2:$FC$317),"")</f>
        <v>282.6</v>
      </c>
      <c r="CA21" s="7">
        <f>IFERROR(AVERAGEIF('Данные 1st'!$S$2:$S$317,$A21,'Данные 1st'!$FE$2:$FE$317),"")</f>
        <v>0</v>
      </c>
      <c r="CB21" s="7">
        <f>IFERROR(AVERAGEIF('Данные 1st'!$S$2:$S$317,$A21,'Данные 1st'!$FF$2:$FF$317),"")</f>
        <v>2</v>
      </c>
      <c r="CC21" s="7">
        <f>IFERROR(AVERAGEIF('Данные 1st'!$S$2:$S$317,$A21,'Данные 1st'!$FI$2:$FI$317),"")</f>
        <v>0</v>
      </c>
      <c r="CD21" s="7">
        <f>IFERROR(AVERAGEIF('Данные 1st'!$S$2:$S$317,$A21,'Данные 1st'!$FL$2:$FL$317),"")</f>
        <v>0.4</v>
      </c>
      <c r="CE21" s="7">
        <f>IFERROR(AVERAGEIF('Данные 1st'!$S$2:$S$317,$A21,'Данные 1st'!$FM$2:$FM$317),"")</f>
        <v>83</v>
      </c>
      <c r="CF21" s="7">
        <f>IFERROR(AVERAGEIF('Данные 1st'!$S$2:$S$317,$A21,'Данные 1st'!$FN$2:$FN$317),"")</f>
        <v>140</v>
      </c>
      <c r="CG21" s="7">
        <f>IFERROR(AVERAGEIF('Данные 1st'!$S$2:$S$317,$A21,'Данные 1st'!$FO$2:$FO$317),"")</f>
        <v/>
      </c>
      <c r="CH21" s="7">
        <f>IFERROR(AVERAGEIF('Данные 1st'!$S$2:$S$317,$A21,'Данные 1st'!$FP$2:$FP$317),"")</f>
        <v/>
      </c>
      <c r="CI21" s="7">
        <f>IFERROR(AVERAGEIF('Данные 1st'!$S$2:$S$317,$A21,'Данные 1st'!$FS$2:$FS$317),"")</f>
        <v>0.4</v>
      </c>
      <c r="CJ21" s="7">
        <f>IFERROR(AVERAGEIF('Данные 1st'!$S$2:$S$317,$A21,'Данные 1st'!$FT$2:$FT$317),"")</f>
        <v>30</v>
      </c>
      <c r="CK21" s="7">
        <f>IFERROR(AVERAGEIF('Данные 1st'!$S$2:$S$317,$A21,'Данные 1st'!$FU$2:$FU$317),"")</f>
        <v>350</v>
      </c>
      <c r="CL21" s="7">
        <f>IFERROR(AVERAGEIF('Данные 1st'!$S$2:$S$317,$A21,'Данные 1st'!$FV$2:$FV$317),"")</f>
        <v>65</v>
      </c>
      <c r="CM21" s="7">
        <f>IFERROR(AVERAGEIF('Данные 1st'!$S$2:$S$317,$A21,'Данные 1st'!$FW$2:$FW$317),"")</f>
        <v>170</v>
      </c>
      <c r="CN21" s="7">
        <f>IFERROR(AVERAGEIF('Данные 1st'!$S$2:$S$317,$A21,'Данные 1st'!$FZ$2:$FZ$317),"")</f>
        <v>1.15</v>
      </c>
      <c r="CO21" s="7">
        <f>IFERROR(AVERAGEIF('Данные 1st'!$S$2:$S$317,$A21,'Данные 1st'!$GA$2:$GA$317),"")</f>
        <v>20</v>
      </c>
      <c r="CP21" s="7">
        <f>IFERROR(AVERAGEIF('Данные 1st'!$S$2:$S$317,$A21,'Данные 1st'!$GB$2:$GB$317),"")</f>
        <v>169.5</v>
      </c>
      <c r="CQ21" s="7">
        <f>IFERROR(AVERAGEIF('Данные 1st'!$S$2:$S$317,$A21,'Данные 1st'!$GH$2:$GH$317),"")</f>
        <v>1.15</v>
      </c>
      <c r="CR21" s="7">
        <f>IFERROR(AVERAGEIF('Данные 1st'!$S$2:$S$317,$A21,'Данные 1st'!$GI$2:$GI$317),"")</f>
        <v>20</v>
      </c>
      <c r="CS21" s="7">
        <f>IFERROR(AVERAGEIF('Данные 1st'!$S$2:$S$317,$A21,'Данные 1st'!$GJ$2:$GJ$317),"")</f>
        <v>169.5</v>
      </c>
      <c r="CT21" s="7">
        <f>IFERROR(AVERAGEIF('Данные 1st'!$S$2:$S$317,$A21,'Данные 1st'!$GS$2:$GS$317),"")</f>
        <v/>
      </c>
      <c r="CU21" s="7">
        <f>IFERROR(AVERAGEIF('Данные 1st'!$S$2:$S$317,$A21,'Данные 1st'!$GT$2:$GT$317),"")</f>
        <v/>
      </c>
      <c r="CV21" s="7">
        <f>IFERROR(AVERAGEIF('Данные 1st'!$S$2:$S$317,$A21,'Данные 1st'!$GU$2:$GU$317),"")</f>
        <v/>
      </c>
      <c r="CW21" s="7">
        <f>IFERROR(AVERAGEIF('Данные 1st'!$S$2:$S$317,$A21,'Данные 1st'!$GV$2:$GV$317),"")</f>
        <v/>
      </c>
      <c r="CX21" s="7">
        <f>IFERROR(AVERAGEIF('Данные 1st'!$S$2:$S$317,$A21,'Данные 1st'!$GW$2:$GW$317),"")</f>
        <v/>
      </c>
      <c r="CY21" s="7">
        <f>IFERROR(AVERAGEIF('Данные 1st'!$S$2:$S$317,$A21,'Данные 1st'!$GZ$2:$GZ$317),"")</f>
        <v/>
      </c>
      <c r="CZ21" s="7">
        <f>IFERROR(AVERAGEIF('Данные 1st'!$S$2:$S$317,$A21,'Данные 1st'!$HA$2:$HA$317),"")</f>
        <v/>
      </c>
      <c r="DA21" s="7">
        <f>IFERROR(AVERAGEIF('Данные 1st'!$S$2:$S$317,$A21,'Данные 1st'!$HB$2:$HB$317),"")</f>
        <v/>
      </c>
      <c r="DB21" s="7">
        <f>IFERROR(AVERAGEIF('Данные 1st'!$S$2:$S$317,$A21,'Данные 1st'!$HC$2:$HC$317),"")</f>
        <v>0.1</v>
      </c>
      <c r="DC21" s="7">
        <f>IFERROR(AVERAGEIF('Данные 1st'!$S$2:$S$317,$A21,'Данные 1st'!$HD$2:$HD$317),"")</f>
        <v>3</v>
      </c>
      <c r="DD21" s="7">
        <f>IFERROR(AVERAGEIF('Данные 1st'!$S$2:$S$317,$A21,'Данные 1st'!$HE$2:$HE$317),"")</f>
        <v>3</v>
      </c>
      <c r="DE21" s="7">
        <f>IFERROR(AVERAGEIF('Данные 1st'!$S$2:$S$317,$A21,'Данные 1st'!$HF$2:$HF$317),"")</f>
        <v>3</v>
      </c>
      <c r="DF21" s="7">
        <f>IFERROR(AVERAGEIF('Данные 1st'!$S$2:$S$317,$A21,'Данные 1st'!$HG$2:$HG$317),"")</f>
        <v>3</v>
      </c>
      <c r="DG21" s="7">
        <f>IFERROR(AVERAGEIF('Данные 1st'!$S$2:$S$317,$A21,'Данные 1st'!$HH$2:$HH$317),"")</f>
        <v>3</v>
      </c>
      <c r="DH21" s="7">
        <f>IFERROR(AVERAGEIF('Данные 1st'!$S$2:$S$317,$A21,'Данные 1st'!$HI$2:$HI$317),"")</f>
        <v>132</v>
      </c>
      <c r="DI21" s="7">
        <f>IFERROR(AVERAGEIF('Данные 1st'!$S$2:$S$317,$A21,'Данные 1st'!$HJ$2:$HJ$317),"")</f>
        <v>3</v>
      </c>
      <c r="DJ21" s="7">
        <f>IFERROR(AVERAGEIF('Данные 1st'!$S$2:$S$317,$A21,'Данные 1st'!$HK$2:$HK$317),"")</f>
        <v>55</v>
      </c>
      <c r="DK21" s="7">
        <f>IFERROR(AVERAGEIF('Данные 1st'!$S$2:$S$317,$A21,'Данные 1st'!$HL$2:$HL$317),"")</f>
        <v>2</v>
      </c>
      <c r="DL21" s="7">
        <f>IFERROR(AVERAGEIF('Данные 1st'!$S$2:$S$317,$A21,'Данные 1st'!$HM$2:$HM$317),"")</f>
        <v>0</v>
      </c>
      <c r="DM21" s="7">
        <f>IFERROR(AVERAGEIF('Данные 1st'!$S$2:$S$317,$A21,'Данные 1st'!$HN$2:$HN$317),"")</f>
        <v>2</v>
      </c>
      <c r="DN21" s="7">
        <f>IFERROR(AVERAGEIF('Данные 1st'!$S$2:$S$317,$A21,'Данные 1st'!$HO$2:$HO$317),"")</f>
        <v>62</v>
      </c>
      <c r="DO21" s="7">
        <f>IFERROR(AVERAGEIF('Данные 1st'!$S$2:$S$317,$A21,'Данные 1st'!$HP$2:$HP$317),"")</f>
        <v>3</v>
      </c>
      <c r="DP21" s="7">
        <f>IFERROR(AVERAGEIF('Данные 1st'!$S$2:$S$317,$A21,'Данные 1st'!$HQ$2:$HQ$317),"")</f>
        <v>0</v>
      </c>
      <c r="DQ21" s="7">
        <f>IFERROR(AVERAGEIF('Данные 1st'!$S$2:$S$317,$A21,'Данные 1st'!$HR$2:$HR$317),"")</f>
        <v>2</v>
      </c>
      <c r="DR21" s="7">
        <f>IFERROR(AVERAGEIF('Данные 1st'!$S$2:$S$317,$A21,'Данные 1st'!$HS$2:$HS$317),"")</f>
        <v>4000.6</v>
      </c>
      <c r="DS21" s="7">
        <f>IFERROR(AVERAGEIF('Данные 1st'!$S$2:$S$317,$A21,'Данные 1st'!$HT$2:$HT$317),"")</f>
        <v>122</v>
      </c>
      <c r="DT21" s="7">
        <f>IFERROR(AVERAGEIF('Данные 1st'!$S$2:$S$317,$A21,'Данные 1st'!$HU$2:$HU$317),"")</f>
        <v>180</v>
      </c>
      <c r="DU21" s="7">
        <f>IFERROR(AVERAGEIF('Данные 1st'!$S$2:$S$317,$A21,'Данные 1st'!$HW$2:$HW$317),"")</f>
        <v>4</v>
      </c>
      <c r="DV21" s="7">
        <f>IFERROR(AVERAGEIF('Данные 1st'!$S$2:$S$317,$A21,'Данные 1st'!$HX$2:$HX$317),"")</f>
        <v>426.8</v>
      </c>
      <c r="DW21" s="7">
        <f>IFERROR(AVERAGEIF('Данные 1st'!$S$2:$S$317,$A21,'Данные 1st'!$HY$2:$HY$317),"")</f>
        <v>0.18</v>
      </c>
      <c r="DX21" s="7">
        <f>IFERROR(AVERAGEIF('Данные 1st'!$S$2:$S$317,$A21,'Данные 1st'!$IA$2:$IA$317),"")</f>
        <v>0.15</v>
      </c>
      <c r="DY21" s="7">
        <f>IFERROR(AVERAGEIF('Данные 1st'!$S$2:$S$317,$A21,'Данные 1st'!$IB$2:$IB$317),"")</f>
        <v>0</v>
      </c>
      <c r="DZ21" s="7">
        <f>IFERROR(AVERAGEIF('Данные 1st'!$S$2:$S$317,$A21,'Данные 1st'!$IC$2:$IC$317),"")</f>
        <v>180</v>
      </c>
      <c r="EA21" s="7">
        <f>IFERROR(AVERAGEIF('Данные 1st'!$S$2:$S$317,$A21,'Данные 1st'!$ID$2:$ID$317),"")</f>
        <v>110</v>
      </c>
      <c r="EB21" s="7">
        <f>IFERROR(AVERAGEIF('Данные 1st'!$S$2:$S$317,$A21,'Данные 1st'!$IE$2:$IE$317),"")</f>
        <v>0</v>
      </c>
      <c r="EC21" s="7">
        <f>IFERROR(AVERAGEIF('Данные 1st'!$S$2:$S$317,$A21,'Данные 1st'!$IF$2:$IF$317),"")</f>
        <v>0</v>
      </c>
      <c r="ED21" s="7">
        <f>IFERROR(AVERAGEIF('Данные 1st'!$S$2:$S$317,$A21,'Данные 1st'!$IP$2:$IP$317),"")</f>
        <v>17</v>
      </c>
      <c r="EE21" s="7">
        <f>IFERROR(AVERAGEIF('Данные 1st'!$S$2:$S$317,$A21,'Данные 1st'!$IV$2:$IV$317),"")</f>
        <v>1301</v>
      </c>
      <c r="EF21" s="7">
        <f>IFERROR(AVERAGEIF('Данные 1st'!$S$2:$S$317,$A21,'Данные 1st'!$IW$2:$IW$317),"")</f>
        <v>384.8</v>
      </c>
      <c r="EG21" s="7">
        <f>IFERROR(AVERAGEIF('Данные 1st'!$S$2:$S$317,$A21,'Данные 1st'!$IX$2:$IX$317),"")</f>
        <v/>
      </c>
      <c r="EH21" s="7">
        <f>IFERROR(AVERAGEIF('Данные 1st'!$S$2:$S$317,$A21,'Данные 1st'!$IY$2:$IY$317),"")</f>
        <v/>
      </c>
      <c r="EI21" s="7">
        <f>IFERROR(AVERAGEIF('Данные 1st'!$S$2:$S$317,$A21,'Данные 1st'!$JD$2:$JD$317),"")</f>
        <v>1314</v>
      </c>
      <c r="EJ21" s="7">
        <f>IFERROR(AVERAGEIF('Данные 1st'!$S$2:$S$317,$A21,'Данные 1st'!$JE$2:$JE$317),"")</f>
        <v>1312</v>
      </c>
      <c r="EK21" s="7">
        <f>IFERROR(AVERAGEIF('Данные 1st'!$S$2:$S$317,$A21,'Данные 1st'!$JF$2:$JF$317),"")</f>
        <v>0</v>
      </c>
      <c r="EL21" s="7">
        <f>IFERROR(AVERAGEIF('Данные 1st'!$S$2:$S$317,$A21,'Данные 1st'!$JG$2:$JG$317),"")</f>
        <v>1295.4</v>
      </c>
      <c r="EM21" s="7">
        <f>IFERROR(AVERAGEIF('Данные 1st'!$S$2:$S$317,$A21,'Данные 1st'!$JH$2:$JH$317),"")</f>
        <v>0</v>
      </c>
      <c r="EN21" s="7">
        <f>IFERROR(AVERAGEIF('Данные 1st'!$S$2:$S$317,$A21,'Данные 1st'!$JJ$2:$JJ$317),"")</f>
        <v>180</v>
      </c>
      <c r="EO21" s="7">
        <f>IFERROR(AVERAGEIF('Данные 1st'!$S$2:$S$317,$A21,'Данные 1st'!$JK$2:$JK$317),"")</f>
        <v>426.8</v>
      </c>
      <c r="EP21" s="7">
        <f>IFERROR(AVERAGEIF('Данные 1st'!$S$2:$S$317,$A21,'Данные 1st'!$JL$2:$JL$317),"")</f>
        <v/>
      </c>
      <c r="EQ21" s="7">
        <f>IFERROR(AVERAGEIF('Данные 1st'!$S$2:$S$317,$A21,'Данные 1st'!$JM$2:$JM$317),"")</f>
        <v/>
      </c>
      <c r="ER21" s="7">
        <f>IFERROR(AVERAGEIF('Данные 1st'!$S$2:$S$317,$A21,'Данные 1st'!$JN$2:$JN$317),"")</f>
        <v>364</v>
      </c>
      <c r="ES21" s="7">
        <f>IFERROR(AVERAGEIF('Данные 1st'!$S$2:$S$317,$A21,'Данные 1st'!$JO$2:$JO$317),"")</f>
        <v>531</v>
      </c>
      <c r="ET21" s="7">
        <f>IFERROR(AVERAGEIF('Данные 1st'!$S$2:$S$317,$A21,'Данные 1st'!$JP$2:$JP$317),"")</f>
        <v>0</v>
      </c>
      <c r="EU21" s="7">
        <f>IFERROR(AVERAGEIF('Данные 1st'!$S$2:$S$317,$A21,'Данные 1st'!$JQ$2:$JQ$317),"")</f>
        <v>0</v>
      </c>
      <c r="EV21" s="7">
        <f>IFERROR(AVERAGEIF('Данные 1st'!$S$2:$S$317,$A21,'Данные 1st'!$JR$2:$JR$317),"")</f>
        <v>340</v>
      </c>
      <c r="EW21" s="7">
        <f>IFERROR(AVERAGEIF('Данные 1st'!$S$2:$S$317,$A21,'Данные 1st'!$JS$2:$JS$317),"")</f>
        <v>132</v>
      </c>
      <c r="EX21" s="7">
        <f>IFERROR(AVERAGEIF('Данные 1st'!$S$2:$S$317,$A21,'Данные 1st'!$JT$2:$JT$317),"")</f>
        <v/>
      </c>
      <c r="EY21" s="7">
        <f>IFERROR(AVERAGEIF('Данные 1st'!$S$2:$S$317,$A21,'Данные 1st'!$JU$2:$JU$317),"")</f>
        <v/>
      </c>
      <c r="EZ21" s="7">
        <f>IFERROR(AVERAGEIF('Данные 1st'!$S$2:$S$317,$A21,'Данные 1st'!$JV$2:$JV$317),"")</f>
        <v>8</v>
      </c>
      <c r="FA21" s="7">
        <f>IFERROR(AVERAGEIF('Данные 1st'!$S$2:$S$317,$A21,'Данные 1st'!$JW$2:$JW$317),"")</f>
        <v/>
      </c>
      <c r="FB21" s="7">
        <f>IFERROR(AVERAGEIF('Данные 1st'!$S$2:$S$317,$A21,'Данные 1st'!$JX$2:$JX$317),"")</f>
        <v>0</v>
      </c>
      <c r="FC21" s="7">
        <f>IFERROR(AVERAGEIF('Данные 1st'!$S$2:$S$317,$A21,'Данные 1st'!$JY$2:$JY$317),"")</f>
        <v/>
      </c>
      <c r="FD21" s="7">
        <f>IFERROR(AVERAGEIF('Данные 1st'!$S$2:$S$317,$A21,'Данные 1st'!$JZ$2:$JZ$317),"")</f>
        <v/>
      </c>
      <c r="FE21" s="7">
        <f>IFERROR(AVERAGEIF('Данные 1st'!$S$2:$S$317,$A21,'Данные 1st'!$KA$2:$KA$317),"")</f>
        <v>0</v>
      </c>
      <c r="FF21" s="7">
        <f>IFERROR(AVERAGEIF('Данные 1st'!$S$2:$S$317,$A21,'Данные 1st'!$KB$2:$KB$317),"")</f>
        <v>110</v>
      </c>
      <c r="FG21" s="7">
        <f>IFERROR(AVERAGEIF('Данные 1st'!$S$2:$S$317,$A21,'Данные 1st'!$KC$2:$KC$317),"")</f>
        <v>0</v>
      </c>
      <c r="FH21" s="7">
        <f>IFERROR(AVERAGEIF('Данные 1st'!$S$2:$S$317,$A21,'Данные 1st'!$KD$2:$KD$317),"")</f>
        <v>80</v>
      </c>
      <c r="FI21" s="7">
        <f>IFERROR(AVERAGEIF('Данные 1st'!$S$2:$S$317,$A21,'Данные 1st'!$KE$2:$KE$317),"")</f>
        <v/>
      </c>
      <c r="FJ21" s="7">
        <f>IFERROR(AVERAGEIF('Данные 1st'!$S$2:$S$317,$A21,'Данные 1st'!$KF$2:$KF$317),"")</f>
        <v>4</v>
      </c>
      <c r="FK21" s="7">
        <f>IFERROR(AVERAGEIF('Данные 1st'!$S$2:$S$317,$A21,'Данные 1st'!$KG$2:$KG$317),"")</f>
        <v>2.2</v>
      </c>
      <c r="FL21" s="7">
        <f>IFERROR(AVERAGEIF('Данные 1st'!$S$2:$S$317,$A21,'Данные 1st'!$KH$2:$KH$317),"")</f>
        <v>2</v>
      </c>
      <c r="FM21" s="7">
        <f>IFERROR(AVERAGEIF('Данные 1st'!$S$2:$S$317,$A21,'Данные 1st'!$KI$2:$KI$317),"")</f>
        <v>2</v>
      </c>
      <c r="FN21" s="7">
        <f>IFERROR(AVERAGEIF('Данные 1st'!$S$2:$S$317,$A21,'Данные 1st'!$KJ$2:$KJ$317),"")</f>
        <v>0</v>
      </c>
      <c r="FO21" s="7">
        <f>IFERROR(AVERAGEIF('Данные 1st'!$S$2:$S$317,$A21,'Данные 1st'!$KK$2:$KK$317),"")</f>
        <v>1.5</v>
      </c>
      <c r="FP21" s="7">
        <f>IFERROR(AVERAGEIF('Данные 1st'!$S$2:$S$317,$A21,'Данные 1st'!$KL$2:$KL$317),"")</f>
        <v>1.5</v>
      </c>
      <c r="FQ21" s="7">
        <f>IFERROR(AVERAGEIF('Данные 1st'!$S$2:$S$317,$A21,'Данные 1st'!$KM$2:$KM$317),"")</f>
        <v>0</v>
      </c>
      <c r="FR21" s="7">
        <f>IFERROR(AVERAGEIF('Данные 1st'!$S$2:$S$317,$A21,'Данные 1st'!$KN$2:$KN$317),"")</f>
        <v>0</v>
      </c>
      <c r="FS21" s="7">
        <f>IFERROR(AVERAGEIF('Данные 1st'!$S$2:$S$317,$A21,'Данные 1st'!$KR$2:$KR$317),"")</f>
        <v>42</v>
      </c>
      <c r="FT21" s="7">
        <f>IFERROR(AVERAGEIF('Данные 1st'!$S$2:$S$317,$A21,'Данные 1st'!$KS$2:$KS$317),"")</f>
        <v>60</v>
      </c>
      <c r="FU21" s="7">
        <f>IFERROR(AVERAGEIF('Данные 1st'!$S$2:$S$317,$A21,'Данные 1st'!$KT$2:$KT$317),"")</f>
        <v>0</v>
      </c>
      <c r="FV21" s="7">
        <f>IFERROR(AVERAGEIF('Данные 1st'!$S$2:$S$317,$A21,'Данные 1st'!$KV$2:$KV$317),"")</f>
        <v/>
      </c>
      <c r="FW21" s="7">
        <f>IFERROR(AVERAGEIF('Данные 1st'!$S$2:$S$317,$A21,'Данные 1st'!$KW$2:$KW$317),"")</f>
        <v/>
      </c>
      <c r="FX21" s="7">
        <f>IFERROR(AVERAGEIF('Данные 1st'!$S$2:$S$317,$A21,'Данные 1st'!$KX$2:$KX$317),"")</f>
        <v/>
      </c>
      <c r="FY21" s="7">
        <f>IFERROR(AVERAGEIF('Данные 1st'!$S$2:$S$317,$A21,'Данные 1st'!$KY$2:$KY$317),"")</f>
        <v/>
      </c>
      <c r="FZ21" s="7">
        <f>IFERROR(AVERAGEIF('Данные 1st'!$S$2:$S$317,$A21,'Данные 1st'!$KZ$2:$KZ$317),"")</f>
        <v/>
      </c>
      <c r="GA21" s="7">
        <f>IFERROR(AVERAGEIF('Данные 1st'!$S$2:$S$317,$A21,'Данные 1st'!$LA$2:$LA$317),"")</f>
        <v/>
      </c>
      <c r="GB21" s="7">
        <f>IFERROR(AVERAGEIF('Данные 1st'!$S$2:$S$317,$A21,'Данные 1st'!$LB$2:$LB$317),"")</f>
        <v/>
      </c>
      <c r="GC21" s="7">
        <f>IFERROR(AVERAGEIF('Данные 1st'!$S$2:$S$317,$A21,'Данные 1st'!$LC$2:$LC$317),"")</f>
        <v/>
      </c>
      <c r="GD21" s="7">
        <f>IFERROR(AVERAGEIF('Данные 1st'!$S$2:$S$317,$A21,'Данные 1st'!$LD$2:$LD$317),"")</f>
        <v/>
      </c>
      <c r="GE21" s="7">
        <f>IFERROR(AVERAGEIF('Данные 1st'!$S$2:$S$317,$A21,'Данные 1st'!$LE$2:$LE$317),"")</f>
        <v/>
      </c>
      <c r="GF21" s="7">
        <f>IFERROR(AVERAGEIF('Данные 1st'!$S$2:$S$317,$A21,'Данные 1st'!$LF$2:$LF$317),"")</f>
        <v/>
      </c>
      <c r="GG21" s="7">
        <f>IFERROR(AVERAGEIF('Данные 1st'!$S$2:$S$317,$A21,'Данные 1st'!$LG$2:$LG$317),"")</f>
        <v/>
      </c>
      <c r="GH21" s="7">
        <f>IFERROR(AVERAGEIF('Данные 1st'!$S$2:$S$317,$A21,'Данные 1st'!$LH$2:$LH$317),"")</f>
        <v/>
      </c>
      <c r="GI21" s="7">
        <f>IFERROR(AVERAGEIF('Данные 1st'!$S$2:$S$317,$A21,'Данные 1st'!$LI$2:$LI$317),"")</f>
        <v/>
      </c>
      <c r="GJ21" s="7">
        <f>IFERROR(AVERAGEIF('Данные 1st'!$S$2:$S$317,$A21,'Данные 1st'!$LJ$2:$LJ$317),"")</f>
        <v/>
      </c>
      <c r="GK21" s="7">
        <f>IFERROR(AVERAGEIF('Данные 1st'!$S$2:$S$317,$A21,'Данные 1st'!$LK$2:$LK$317),"")</f>
        <v>480</v>
      </c>
      <c r="GL21" s="7">
        <f>IFERROR(AVERAGEIF('Данные 1st'!$S$2:$S$317,$A21,'Данные 1st'!$LV$2:$LV$317),"")</f>
        <v/>
      </c>
      <c r="GM21" s="7">
        <f>IFERROR(AVERAGEIF('Данные 1st'!$S$2:$S$317,$A21,'Данные 1st'!$LW$2:$LW$317),"")</f>
        <v/>
      </c>
      <c r="GN21" s="7">
        <f>IFERROR(AVERAGEIF('Данные 1st'!$S$2:$S$317,$A21,'Данные 1st'!$LX$2:$LX$317),"")</f>
        <v/>
      </c>
      <c r="GO21" s="7">
        <f>IFERROR(AVERAGEIF('Данные 1st'!$S$2:$S$317,$A21,'Данные 1st'!$LY$2:$LY$317),"")</f>
        <v/>
      </c>
      <c r="GP21" s="7">
        <f>IFERROR(AVERAGEIF('Данные 1st'!$S$2:$S$317,$A21,'Данные 1st'!$LZ$2:$LZ$317),"")</f>
        <v/>
      </c>
      <c r="GQ21" s="7">
        <f>IFERROR(AVERAGEIF('Данные 1st'!$S$2:$S$317,$A21,'Данные 1st'!$PG$2:$PG$317),"")</f>
        <v>1</v>
      </c>
      <c r="GR21" s="7">
        <f>IFERROR(AVERAGEIF('Данные 1st'!$S$2:$S$317,$A21,'Данные 1st'!$PX$2:$PX$317),"")</f>
        <v>56</v>
      </c>
      <c r="GS21" s="7">
        <f>IFERROR(AVERAGEIF('Данные 1st'!$S$2:$S$317,$A21,'Данные 1st'!$PY$2:$PY$317),"")</f>
        <v>56.4</v>
      </c>
      <c r="GT21" s="7">
        <f>IFERROR(AVERAGEIF('Данные 1st'!$S$2:$S$317,$A21,'Данные 1st'!$QA$2:$QA$317),"")</f>
        <v>2</v>
      </c>
      <c r="GU21" s="7">
        <f>IFERROR(AVERAGEIF('Данные 1st'!$S$2:$S$317,$A21,'Данные 1st'!$QB$2:$QB$317),"")</f>
        <v>1295.4</v>
      </c>
      <c r="GV21" s="7">
        <f>IFERROR(AVERAGEIF('Данные 1st'!$S$2:$S$317,$A21,'Данные 1st'!$QC$2:$QC$317),"")</f>
        <v>69</v>
      </c>
      <c r="GW21" s="7">
        <f>IFERROR(AVERAGEIF('Данные 1st'!$S$2:$S$317,$A21,'Данные 1st'!$QD$2:$QD$317),"")</f>
        <v>69</v>
      </c>
      <c r="GX21" s="7">
        <f>IFERROR(AVERAGEIF('Данные 1st'!$S$2:$S$317,$A21,'Данные 1st'!$QF$2:$QF$317),"")</f>
        <v>1.2</v>
      </c>
      <c r="GY21" s="7">
        <f>IFERROR(AVERAGEIF('Данные 1st'!$S$2:$S$317,$A21,'Данные 1st'!$QG$2:$QG$317),"")</f>
        <v>1314</v>
      </c>
      <c r="GZ21" s="7">
        <f>IFERROR(AVERAGEIF('Данные 1st'!$S$2:$S$317,$A21,'Данные 1st'!$QH$2:$QH$317),"")</f>
        <v>66</v>
      </c>
      <c r="HA21" s="7">
        <f>IFERROR(AVERAGEIF('Данные 1st'!$S$2:$S$317,$A21,'Данные 1st'!$QI$2:$QI$317),"")</f>
        <v>66</v>
      </c>
      <c r="HB21" s="7">
        <f>IFERROR(AVERAGEIF('Данные 1st'!$S$2:$S$317,$A21,'Данные 1st'!$QK$2:$QK$317),"")</f>
        <v/>
      </c>
      <c r="HC21" s="7">
        <f>IFERROR(AVERAGEIF('Данные 1st'!$S$2:$S$317,$A21,'Данные 1st'!$QL$2:$QL$317),"")</f>
        <v>0</v>
      </c>
      <c r="HD21" s="7">
        <f>IFERROR(AVERAGEIF('Данные 1st'!$S$2:$S$317,$A21,'Данные 1st'!$QM$2:$QM$317),"")</f>
        <v>62.8</v>
      </c>
      <c r="HE21" s="7">
        <f>IFERROR(AVERAGEIF('Данные 1st'!$S$2:$S$317,$A21,'Данные 1st'!$QN$2:$QN$317),"")</f>
        <v>62.8</v>
      </c>
      <c r="HF21" s="7">
        <f>IFERROR(AVERAGEIF('Данные 1st'!$S$2:$S$317,$A21,'Данные 1st'!$QP$2:$QP$317),"")</f>
        <v>1</v>
      </c>
      <c r="HG21" s="7">
        <f>IFERROR(AVERAGEIF('Данные 1st'!$S$2:$S$317,$A21,'Данные 1st'!$QQ$2:$QQ$317),"")</f>
        <v>1312</v>
      </c>
      <c r="HH21" s="7">
        <f>IFERROR(AVERAGEIF('Данные 1st'!$S$2:$S$317,$A21,'Данные 1st'!$QR$2:$QR$317),"")</f>
        <v/>
      </c>
      <c r="HI21" s="7">
        <f>IFERROR(AVERAGEIF('Данные 1st'!$S$2:$S$317,$A21,'Данные 1st'!$QS$2:$QS$317),"")</f>
        <v/>
      </c>
      <c r="HJ21" s="7">
        <f>IFERROR(AVERAGEIF('Данные 1st'!$S$2:$S$317,$A21,'Данные 1st'!$QU$2:$QU$317),"")</f>
        <v/>
      </c>
      <c r="HK21" s="7">
        <f>IFERROR(AVERAGEIF('Данные 1st'!$S$2:$S$317,$A21,'Данные 1st'!$QV$2:$QV$317),"")</f>
        <v/>
      </c>
      <c r="HL21" s="7">
        <f>IFERROR(AVERAGEIF('Данные 1st'!$S$2:$S$317,$A21,'Данные 1st'!$QW$2:$QW$317),"")</f>
        <v>82</v>
      </c>
      <c r="HM21" s="7">
        <f>IFERROR(AVERAGEIF('Данные 1st'!$S$2:$S$317,$A21,'Данные 1st'!$QX$2:$QX$317),"")</f>
        <v>85</v>
      </c>
      <c r="HN21" s="7">
        <f>IFERROR(AVERAGEIF('Данные 1st'!$S$2:$S$317,$A21,'Данные 1st'!$QZ$2:$QZ$317),"")</f>
        <v>1.8</v>
      </c>
      <c r="HO21" s="7">
        <f>IFERROR(AVERAGEIF('Данные 1st'!$S$2:$S$317,$A21,'Данные 1st'!$RA$2:$RA$317),"")</f>
        <v>66</v>
      </c>
      <c r="HP21" s="7">
        <f>IFERROR(AVERAGEIF('Данные 1st'!$S$2:$S$317,$A21,'Данные 1st'!$RB$2:$RB$317),"")</f>
        <v>66</v>
      </c>
      <c r="HQ21" s="7">
        <f>IFERROR(AVERAGEIF('Данные 1st'!$S$2:$S$317,$A21,'Данные 1st'!$RD$2:$RD$317),"")</f>
        <v/>
      </c>
      <c r="HR21" s="7">
        <f>IFERROR(AVERAGEIF('Данные 1st'!$S$2:$S$317,$A21,'Данные 1st'!$RE$2:$RE$317),"")</f>
        <v>0</v>
      </c>
      <c r="HS21" s="7">
        <f>IFERROR(AVERAGEIF('Данные 1st'!$S$2:$S$317,$A21,'Данные 1st'!$RF$2:$RF$317),"")</f>
        <v>1</v>
      </c>
      <c r="HT21" s="7">
        <f>IFERROR(AVERAGEIF('Данные 1st'!$S$2:$S$317,$A21,'Данные 1st'!$RG$2:$RG$317),"")</f>
        <v>1</v>
      </c>
      <c r="HU21" s="7">
        <f>IFERROR(AVERAGEIF('Данные 1st'!$S$2:$S$317,$A21,'Данные 1st'!$RH$2:$RH$317),"")</f>
        <v/>
      </c>
      <c r="HV21" s="7">
        <f>IFERROR(AVERAGEIF('Данные 1st'!$S$2:$S$317,$A21,'Данные 1st'!$RI$2:$RI$317),"")</f>
        <v/>
      </c>
      <c r="HW21" s="7">
        <f>IFERROR(AVERAGEIF('Данные 1st'!$S$2:$S$317,$A21,'Данные 1st'!$RJ$2:$RJ$317),"")</f>
        <v>1.4</v>
      </c>
      <c r="HX21" s="7">
        <f>IFERROR(AVERAGEIF('Данные 1st'!$S$2:$S$317,$A21,'Данные 1st'!$RK$2:$RK$317),"")</f>
        <v/>
      </c>
      <c r="HY21" s="7">
        <f>IFERROR(AVERAGEIF('Данные 1st'!$S$2:$S$317,$A21,'Данные 1st'!$RL$2:$RL$317),"")</f>
        <v>1.8</v>
      </c>
      <c r="HZ21" s="7">
        <f>IFERROR(AVERAGEIF('Данные 1st'!$S$2:$S$317,$A21,'Данные 1st'!$RM$2:$RM$317),"")</f>
        <v/>
      </c>
      <c r="IA21" s="7">
        <f>IFERROR(AVERAGEIF('Данные 1st'!$S$2:$S$317,$A21,'Данные 1st'!$RN$2:$RN$317),"")</f>
        <v/>
      </c>
      <c r="IB21" s="7">
        <f>IFERROR(AVERAGEIF('Данные 1st'!$S$2:$S$317,$A21,'Данные 1st'!$RO$2:$RO$317),"")</f>
        <v>524.4</v>
      </c>
      <c r="IC21" s="7">
        <f>IFERROR(AVERAGEIF('Данные 1st'!$S$2:$S$317,$A21,'Данные 1st'!$RP$2:$RP$317),"")</f>
        <v/>
      </c>
      <c r="ID21" s="7">
        <f>IFERROR(AVERAGEIF('Данные 1st'!$S$2:$S$317,$A21,'Данные 1st'!$RQ$2:$RQ$317),"")</f>
        <v>886.2</v>
      </c>
      <c r="IE21" s="7">
        <f>IFERROR(AVERAGEIF('Данные 1st'!$S$2:$S$317,$A21,'Данные 1st'!$RR$2:$RR$317),"")</f>
        <v/>
      </c>
      <c r="IF21" s="7">
        <f>IFERROR(AVERAGEIF('Данные 1st'!$S$2:$S$317,$A21,'Данные 1st'!$RS$2:$RS$317),"")</f>
        <v/>
      </c>
      <c r="IG21" s="7">
        <f>IFERROR(AVERAGEIF('Данные 1st'!$S$2:$S$317,$A21,'Данные 1st'!$RT$2:$RT$317),"")</f>
        <v>222</v>
      </c>
      <c r="IH21" s="7">
        <f>IFERROR(AVERAGEIF('Данные 1st'!$S$2:$S$317,$A21,'Данные 1st'!$RU$2:$RU$317),"")</f>
        <v>165.4</v>
      </c>
      <c r="II21" s="7">
        <f>IFERROR(AVERAGEIF('Данные 1st'!$S$2:$S$317,$A21,'Данные 1st'!$RX$2:$RX$317),"")</f>
        <v>15</v>
      </c>
      <c r="IJ21" s="7">
        <f>IFERROR(AVERAGEIF('Данные 1st'!$S$2:$S$317,$A21,'Данные 1st'!$RY$2:$RY$317),"")</f>
        <v>4</v>
      </c>
      <c r="IK21" s="7">
        <f>IFERROR(AVERAGEIF('Данные 1st'!$S$2:$S$317,$A21,'Данные 1st'!$SA$2:$SA$317),"")</f>
        <v>15</v>
      </c>
      <c r="IL21" s="7">
        <f>IFERROR(AVERAGEIF('Данные 1st'!$S$2:$S$317,$A21,'Данные 1st'!$SD$2:$SD$317),"")</f>
        <v>1</v>
      </c>
      <c r="IM21" s="7">
        <f>IFERROR(AVERAGEIF('Данные 1st'!$S$2:$S$317,$A21,'Данные 1st'!$SG$2:$SG$317),"")</f>
        <v/>
      </c>
      <c r="IN21" s="7">
        <f>IFERROR(AVERAGEIF('Данные 1st'!$S$2:$S$317,$A21,'Данные 1st'!$SH$2:$SH$317),"")</f>
        <v>0.995</v>
      </c>
      <c r="IO21" s="7">
        <f>IFERROR(AVERAGEIF('Данные 1st'!$S$2:$S$317,$A21,'Данные 1st'!$SI$2:$SI$317),"")</f>
        <v>0.995</v>
      </c>
      <c r="IP21" s="7">
        <f>IFERROR(AVERAGEIF('Данные 1st'!$S$2:$S$317,$A21,'Данные 1st'!$SJ$2:$SJ$317),"")</f>
        <v>0.995</v>
      </c>
      <c r="IQ21" s="7">
        <f>IFERROR(AVERAGEIF('Данные 1st'!$S$2:$S$317,$A21,'Данные 1st'!$SK$2:$SK$317),"")</f>
        <v>15</v>
      </c>
      <c r="IR21" s="7">
        <f>IFERROR(AVERAGEIF('Данные 1st'!$S$2:$S$317,$A21,'Данные 1st'!$SL$2:$SL$317),"")</f>
        <v>0</v>
      </c>
      <c r="IS21" s="7">
        <f>IFERROR(AVERAGEIF('Данные 1st'!$S$2:$S$317,$A21,'Данные 1st'!$SM$2:$SM$317),"")</f>
        <v>0</v>
      </c>
      <c r="IT21" s="7">
        <f>IFERROR(AVERAGEIF('Данные 1st'!$S$2:$S$317,$A21,'Данные 1st'!$SN$2:$SN$317),"")</f>
        <v>0</v>
      </c>
      <c r="IU21" s="7">
        <f>IFERROR(AVERAGEIF('Данные 1st'!$S$2:$S$317,$A21,'Данные 1st'!$SO$2:$SO$317),"")</f>
        <v>0</v>
      </c>
      <c r="IV21" s="7">
        <f>IFERROR(AVERAGEIF('Данные 1st'!$S$2:$S$317,$A21,'Данные 1st'!$SP$2:$SP$317),"")</f>
        <v>0</v>
      </c>
      <c r="IW21" s="7">
        <f>IFERROR(AVERAGEIF('Данные 1st'!$S$2:$S$317,$A21,'Данные 1st'!$SQ$2:$SQ$317),"")</f>
        <v>0</v>
      </c>
      <c r="IX21" s="7">
        <f>IFERROR(AVERAGEIF('Данные 1st'!$S$2:$S$317,$A21,'Данные 1st'!$SR$2:$SR$317),"")</f>
        <v>0</v>
      </c>
      <c r="IY21" s="7">
        <f>IFERROR(AVERAGEIF('Данные 1st'!$S$2:$S$317,$A21,'Данные 1st'!$SS$2:$SS$317),"")</f>
        <v>0</v>
      </c>
      <c r="IZ21" s="7">
        <f>IFERROR(AVERAGEIF('Данные 1st'!$S$2:$S$317,$A21,'Данные 1st'!$ST$2:$ST$317),"")</f>
        <v>0</v>
      </c>
      <c r="JA21" s="7">
        <f>IFERROR(AVERAGEIF('Данные 1st'!$S$2:$S$317,$A21,'Данные 1st'!$SU$2:$SU$317),"")</f>
        <v>0</v>
      </c>
      <c r="JB21" s="7">
        <f>IFERROR(AVERAGEIF('Данные 1st'!$S$2:$S$317,$A21,'Данные 1st'!$SV$2:$SV$317),"")</f>
        <v>0</v>
      </c>
      <c r="JC21" s="7">
        <f>IFERROR(AVERAGEIF('Данные 1st'!$S$2:$S$317,$A21,'Данные 1st'!$SW$2:$SW$317),"")</f>
        <v>0</v>
      </c>
      <c r="JD21" s="7">
        <f>IFERROR(AVERAGEIF('Данные 1st'!$S$2:$S$317,$A21,'Данные 1st'!$SX$2:$SX$317),"")</f>
        <v>0</v>
      </c>
      <c r="JE21" s="7">
        <f>IFERROR(AVERAGEIF('Данные 1st'!$S$2:$S$317,$A21,'Данные 1st'!$SY$2:$SY$317),"")</f>
        <v/>
      </c>
      <c r="JF21" s="7">
        <f>IFERROR(AVERAGEIF('Данные 1st'!$S$2:$S$317,$A21,'Данные 1st'!$SZ$2:$SZ$317),"")</f>
        <v/>
      </c>
      <c r="JG21" s="7">
        <f>IFERROR(AVERAGEIF('Данные 1st'!$S$2:$S$317,$A21,'Данные 1st'!$TA$2:$TA$317),"")</f>
        <v/>
      </c>
      <c r="JH21" s="7">
        <f>IFERROR(AVERAGEIF('Данные 1st'!$S$2:$S$317,$A21,'Данные 1st'!$TB$2:$TB$317),"")</f>
        <v>0</v>
      </c>
      <c r="JI21" s="7">
        <f>IFERROR(AVERAGEIF('Данные 1st'!$S$2:$S$317,$A21,'Данные 1st'!$TC$2:$TC$317),"")</f>
        <v>0</v>
      </c>
      <c r="JJ21" s="7">
        <f>IFERROR(AVERAGEIF('Данные 1st'!$S$2:$S$317,$A21,'Данные 1st'!$TD$2:$TD$317),"")</f>
        <v>7.5</v>
      </c>
      <c r="JK21" s="7">
        <f>IFERROR(AVERAGEIF('Данные 1st'!$S$2:$S$317,$A21,'Данные 1st'!$TN$2:$TN$317),"")</f>
        <v>0</v>
      </c>
      <c r="JL21">
        <f>COUNTIF('Данные 2st'!$Q$2:$Q$317,$A21)</f>
        <v>5</v>
      </c>
      <c r="JM21" s="6" t="s">
        <v>5091</v>
      </c>
      <c r="JN21" s="6" t="s">
        <v>513</v>
      </c>
      <c r="JO21" s="6" t="s">
        <v>5125</v>
      </c>
      <c r="JP21" s="6" t="s">
        <v>5478</v>
      </c>
      <c r="JQ21" s="7">
        <f>IFERROR(AVERAGEIF('Данные 2st'!$Q$2:$Q$317,$A21,'Данные 2st'!$AC$2:$AC$317),"")</f>
        <v>10.8</v>
      </c>
      <c r="JR21" s="7">
        <f>IFERROR(AVERAGEIF('Данные 2st'!$Q$2:$Q$317,$A21,'Данные 2st'!$AF$2:$AF$317),"")</f>
        <v>4000.6</v>
      </c>
      <c r="JS21" s="7">
        <f>IFERROR(AVERAGEIF('Данные 2st'!$Q$2:$Q$317,$A21,'Данные 2st'!$AW$2:$AW$317),"")</f>
        <v>6.4</v>
      </c>
      <c r="JT21" s="7">
        <f>IFERROR(AVERAGEIF('Данные 2st'!$Q$2:$Q$317,$A21,'Данные 2st'!$AX$2:$AX$317),"")</f>
        <v>-7.2</v>
      </c>
      <c r="JU21" s="7">
        <f>IFERROR(AVERAGEIF('Данные 2st'!$Q$2:$Q$317,$A21,'Данные 2st'!$AY$2:$AY$317),"")</f>
        <v>99.5</v>
      </c>
      <c r="JV21" s="7">
        <f>IFERROR(AVERAGEIF('Данные 2st'!$Q$2:$Q$317,$A21,'Данные 2st'!$AZ$2:$AZ$317),"")</f>
        <v>80.1</v>
      </c>
      <c r="JW21" s="7">
        <f>IFERROR(AVERAGEIF('Данные 2st'!$Q$2:$Q$317,$A21,'Данные 2st'!$BA$2:$BA$317),"")</f>
        <v/>
      </c>
      <c r="JX21" s="7">
        <f>IFERROR(AVERAGEIF('Данные 2st'!$Q$2:$Q$317,$A21,'Данные 2st'!$BB$2:$BB$317),"")</f>
        <v/>
      </c>
      <c r="JY21" s="7">
        <f>IFERROR(AVERAGEIF('Данные 2st'!$Q$2:$Q$317,$A21,'Данные 2st'!$BC$2:$BC$317),"")</f>
        <v/>
      </c>
      <c r="JZ21" s="7">
        <f>IFERROR(AVERAGEIF('Данные 2st'!$Q$2:$Q$317,$A21,'Данные 2st'!$BH$2:$BH$317),"")</f>
        <v>99.5</v>
      </c>
      <c r="KA21" s="7">
        <f>IFERROR(AVERAGEIF('Данные 2st'!$Q$2:$Q$317,$A21,'Данные 2st'!$BI$2:$BI$317),"")</f>
        <v>19.4</v>
      </c>
      <c r="KB21" s="7">
        <f>IFERROR(AVERAGEIF('Данные 2st'!$Q$2:$Q$317,$A21,'Данные 2st'!$BJ$2:$BJ$317),"")</f>
        <v>80.1</v>
      </c>
      <c r="KC21" s="7">
        <f>IFERROR(AVERAGEIF('Данные 2st'!$Q$2:$Q$317,$A21,'Данные 2st'!$BK$2:$BK$317),"")</f>
        <v>3.0</v>
      </c>
      <c r="KD21" s="7">
        <f>IFERROR(AVERAGEIF('Данные 2st'!$Q$2:$Q$317,$A21,'Данные 2st'!$BL$2:$BL$317),"")</f>
        <v>199</v>
      </c>
      <c r="KE21" s="7">
        <f>IFERROR(AVERAGEIF('Данные 2st'!$Q$2:$Q$317,$A21,'Данные 2st'!$BM$2:$BM$317),"")</f>
        <v>-7.2</v>
      </c>
      <c r="KF21" s="7">
        <f>IFERROR(AVERAGEIF('Данные 2st'!$Q$2:$Q$317,$A21,'Данные 2st'!$BN$2:$BN$317),"")</f>
        <v>0</v>
      </c>
      <c r="KG21" s="7">
        <f>IFERROR(AVERAGEIF('Данные 2st'!$Q$2:$Q$317,$A21,'Данные 2st'!$BO$2:$BO$317),"")</f>
        <v>0</v>
      </c>
      <c r="KH21" s="7">
        <f>IFERROR(AVERAGEIF('Данные 2st'!$Q$2:$Q$317,$A21,'Данные 2st'!$BP$2:$BP$317),"")</f>
        <v>0</v>
      </c>
      <c r="KI21" s="7">
        <f>IFERROR(AVERAGEIF('Данные 2st'!$Q$2:$Q$317,$A21,'Данные 2st'!$BR$2:$BR$317),"")</f>
        <v>193</v>
      </c>
      <c r="KJ21" s="7">
        <f>IFERROR(AVERAGEIF('Данные 2st'!$Q$2:$Q$317,$A21,'Данные 2st'!$BS$2:$BS$317),"")</f>
        <v>183</v>
      </c>
      <c r="KK21" s="7">
        <f>IFERROR(AVERAGEIF('Данные 2st'!$Q$2:$Q$317,$A21,'Данные 2st'!$BT$2:$BT$317),"")</f>
        <v>1886</v>
      </c>
      <c r="KL21" s="7">
        <f>IFERROR(AVERAGEIF('Данные 2st'!$Q$2:$Q$317,$A21,'Данные 2st'!$CV$2:$CV$317),"")</f>
        <v>123.8</v>
      </c>
      <c r="KM21" s="7">
        <f>IFERROR(AVERAGEIF('Данные 2st'!$Q$2:$Q$317,$A21,'Данные 2st'!$CW$2:$CW$317),"")</f>
        <v>3</v>
      </c>
      <c r="KN21" s="7">
        <f>IFERROR(AVERAGEIF('Данные 2st'!$Q$2:$Q$317,$A21,'Данные 2st'!$CX$2:$CX$317),"")</f>
        <v>99.8</v>
      </c>
      <c r="KO21" s="7">
        <f>IFERROR(AVERAGEIF('Данные 2st'!$Q$2:$Q$317,$A21,'Данные 2st'!$CY$2:$CY$317),"")</f>
        <v>5</v>
      </c>
      <c r="KP21" s="7">
        <f>IFERROR(AVERAGEIF('Данные 2st'!$Q$2:$Q$317,$A21,'Данные 2st'!$CZ$2:$CZ$317),"")</f>
        <v>123.4</v>
      </c>
      <c r="KQ21" s="7">
        <f>IFERROR(AVERAGEIF('Данные 2st'!$Q$2:$Q$317,$A21,'Данные 2st'!$DA$2:$DA$317),"")</f>
        <v>5</v>
      </c>
      <c r="KR21" s="7">
        <f>IFERROR(AVERAGEIF('Данные 2st'!$Q$2:$Q$317,$A21,'Данные 2st'!$DB$2:$DB$317),"")</f>
        <v>9732</v>
      </c>
      <c r="KS21" s="7">
        <f>IFERROR(AVERAGEIF('Данные 2st'!$Q$2:$Q$317,$A21,'Данные 2st'!$DC$2:$DC$317),"")</f>
        <v>288</v>
      </c>
      <c r="KT21" s="7">
        <f>IFERROR(AVERAGEIF('Данные 2st'!$Q$2:$Q$317,$A21,'Данные 2st'!$DD$2:$DD$317),"")</f>
        <v>313.6</v>
      </c>
      <c r="KU21" s="7">
        <f>IFERROR(AVERAGEIF('Данные 2st'!$Q$2:$Q$317,$A21,'Данные 2st'!$DE$2:$DE$317),"")</f>
        <v>1990.6</v>
      </c>
      <c r="KV21" s="7">
        <f>IFERROR(AVERAGEIF('Данные 2st'!$Q$2:$Q$317,$A21,'Данные 2st'!$DF$2:$DF$317),"")</f>
        <v>1990.6</v>
      </c>
      <c r="KW21" s="7">
        <f>IFERROR(AVERAGEIF('Данные 2st'!$Q$2:$Q$317,$A21,'Данные 2st'!$DG$2:$DG$317),"")</f>
        <v>2006.2</v>
      </c>
      <c r="KX21" s="7">
        <f>IFERROR(AVERAGEIF('Данные 2st'!$Q$2:$Q$317,$A21,'Данные 2st'!$DH$2:$DH$317),"")</f>
        <v/>
      </c>
      <c r="KY21" s="7">
        <f>IFERROR(AVERAGEIF('Данные 2st'!$Q$2:$Q$317,$A21,'Данные 2st'!$DI$2:$DI$317),"")</f>
        <v/>
      </c>
      <c r="KZ21" s="7">
        <f>IFERROR(AVERAGEIF('Данные 2st'!$Q$2:$Q$317,$A21,'Данные 2st'!$DK$2:$DK$317),"")</f>
        <v>193</v>
      </c>
      <c r="LA21" s="7">
        <f>IFERROR(AVERAGEIF('Данные 2st'!$Q$2:$Q$317,$A21,'Данные 2st'!$DM$2:$DM$317),"")</f>
        <v>63.4</v>
      </c>
      <c r="LB21" s="7">
        <f>IFERROR(AVERAGEIF('Данные 2st'!$Q$2:$Q$317,$A21,'Данные 2st'!$DN$2:$DN$317),"")</f>
        <v>0.892</v>
      </c>
      <c r="LC21" s="7">
        <f>IFERROR(AVERAGEIF('Данные 2st'!$Q$2:$Q$317,$A21,'Данные 2st'!$DO$2:$DO$317),"")</f>
        <v>1</v>
      </c>
      <c r="LD21" s="7">
        <f>IFERROR(AVERAGEIF('Данные 2st'!$Q$2:$Q$317,$A21,'Данные 2st'!$DP$2:$DP$317),"")</f>
        <v>1889</v>
      </c>
      <c r="LE21" s="7">
        <f>IFERROR(AVERAGEIF('Данные 2st'!$Q$2:$Q$317,$A21,'Данные 2st'!$DQ$2:$DQ$317),"")</f>
        <v>690</v>
      </c>
      <c r="LF21" s="7">
        <f>IFERROR(AVERAGEIF('Данные 2st'!$Q$2:$Q$317,$A21,'Данные 2st'!$DS$2:$DS$317),"")</f>
        <v>183</v>
      </c>
      <c r="LG21" s="7">
        <f>IFERROR(AVERAGEIF('Данные 2st'!$Q$2:$Q$317,$A21,'Данные 2st'!$DU$2:$DU$317),"")</f>
        <v>63.4</v>
      </c>
      <c r="LH21" s="7">
        <f>IFERROR(AVERAGEIF('Данные 2st'!$Q$2:$Q$317,$A21,'Данные 2st'!$DV$2:$DV$317),"")</f>
        <v>0.892</v>
      </c>
      <c r="LI21" s="7">
        <f>IFERROR(AVERAGEIF('Данные 2st'!$Q$2:$Q$317,$A21,'Данные 2st'!$DW$2:$DW$317),"")</f>
        <v>1</v>
      </c>
      <c r="LJ21" s="7">
        <f>IFERROR(AVERAGEIF('Данные 2st'!$Q$2:$Q$317,$A21,'Данные 2st'!$DX$2:$DX$317),"")</f>
        <v>1897</v>
      </c>
      <c r="LK21" s="7">
        <f>IFERROR(AVERAGEIF('Данные 2st'!$Q$2:$Q$317,$A21,'Данные 2st'!$DY$2:$DY$317),"")</f>
        <v>657.2</v>
      </c>
      <c r="LL21" s="7">
        <f>IFERROR(AVERAGEIF('Данные 2st'!$Q$2:$Q$317,$A21,'Данные 2st'!$EA$2:$EA$317),"")</f>
        <v>30.4</v>
      </c>
      <c r="LM21" s="7">
        <f>IFERROR(AVERAGEIF('Данные 2st'!$Q$2:$Q$317,$A21,'Данные 2st'!$EC$2:$EC$317),"")</f>
        <v>0.48000000000000004</v>
      </c>
      <c r="LN21" s="7">
        <f>IFERROR(AVERAGEIF('Данные 2st'!$Q$2:$Q$317,$A21,'Данные 2st'!$ED$2:$ED$317),"")</f>
        <v>1889</v>
      </c>
      <c r="LO21" s="7">
        <f>IFERROR(AVERAGEIF('Данные 2st'!$Q$2:$Q$317,$A21,'Данные 2st'!$EE$2:$EE$317),"")</f>
        <v>57</v>
      </c>
      <c r="LP21" s="7">
        <f>IFERROR(AVERAGEIF('Данные 2st'!$Q$2:$Q$317,$A21,'Данные 2st'!$EG$2:$EG$317),"")</f>
        <v>26.4</v>
      </c>
      <c r="LQ21" s="7">
        <f>IFERROR(AVERAGEIF('Данные 2st'!$Q$2:$Q$317,$A21,'Данные 2st'!$EI$2:$EI$317),"")</f>
        <v>0.32</v>
      </c>
      <c r="LR21" s="7">
        <f>IFERROR(AVERAGEIF('Данные 2st'!$Q$2:$Q$317,$A21,'Данные 2st'!$EJ$2:$EJ$317),"")</f>
        <v>1895</v>
      </c>
      <c r="LS21" s="7">
        <f>IFERROR(AVERAGEIF('Данные 2st'!$Q$2:$Q$317,$A21,'Данные 2st'!$EK$2:$EK$317),"")</f>
        <v>55</v>
      </c>
      <c r="LT21" s="7">
        <f>IFERROR(AVERAGEIF('Данные 2st'!$Q$2:$Q$317,$A21,'Данные 2st'!$EM$2:$EM$317),"")</f>
        <v>12</v>
      </c>
      <c r="LU21" s="7">
        <f>IFERROR(AVERAGEIF('Данные 2st'!$Q$2:$Q$317,$A21,'Данные 2st'!$EN$2:$EN$317),"")</f>
        <v>0.5</v>
      </c>
      <c r="LV21" s="7">
        <f>IFERROR(AVERAGEIF('Данные 2st'!$Q$2:$Q$317,$A21,'Данные 2st'!$EO$2:$EO$317),"")</f>
        <v>0.91</v>
      </c>
      <c r="LW21" s="7">
        <f>IFERROR(AVERAGEIF('Данные 2st'!$Q$2:$Q$317,$A21,'Данные 2st'!$EP$2:$EP$317),"")</f>
        <v>1897.214</v>
      </c>
      <c r="LX21" s="7">
        <f>IFERROR(AVERAGEIF('Данные 2st'!$Q$2:$Q$317,$A21,'Данные 2st'!$EQ$2:$EQ$317),"")</f>
        <v>31630.682</v>
      </c>
      <c r="LY21" s="7">
        <f>IFERROR(AVERAGEIF('Данные 2st'!$Q$2:$Q$317,$A21,'Данные 2st'!$ER$2:$ER$317),"")</f>
        <v>5772.5380000000005</v>
      </c>
      <c r="LZ21" s="7">
        <f>IFERROR(AVERAGEIF('Данные 2st'!$Q$2:$Q$317,$A21,'Данные 2st'!$ES$2:$ES$317),"")</f>
        <v>0</v>
      </c>
      <c r="MA21" s="7">
        <f>IFERROR(AVERAGEIF('Данные 2st'!$Q$2:$Q$317,$A21,'Данные 2st'!$ET$2:$ET$317),"")</f>
        <v>0</v>
      </c>
      <c r="MB21" s="7">
        <f>IFERROR(AVERAGEIF('Данные 2st'!$Q$2:$Q$317,$A21,'Данные 2st'!$EU$2:$EU$317),"")</f>
        <v>1</v>
      </c>
      <c r="MC21" s="7">
        <f>IFERROR(AVERAGEIF('Данные 2st'!$Q$2:$Q$317,$A21,'Данные 2st'!$EV$2:$EV$317),"")</f>
        <v>37403.6</v>
      </c>
      <c r="MD21" s="7">
        <f>IFERROR(AVERAGEIF('Данные 2st'!$Q$2:$Q$317,$A21,'Данные 2st'!$EW$2:$EW$317),"")</f>
        <v>435.2</v>
      </c>
      <c r="ME21" s="7">
        <f>IFERROR(AVERAGEIF('Данные 2st'!$Q$2:$Q$317,$A21,'Данные 2st'!$EY$2:$EY$317),"")</f>
        <v>209.2</v>
      </c>
      <c r="MF21" s="7">
        <f>IFERROR(AVERAGEIF('Данные 2st'!$Q$2:$Q$317,$A21,'Данные 2st'!$FA$2:$FA$317),"")</f>
        <v>5.0</v>
      </c>
      <c r="MG21" s="7">
        <f>IFERROR(AVERAGEIF('Данные 2st'!$Q$2:$Q$317,$A21,'Данные 2st'!$FB$2:$FB$317),"")</f>
        <v>1</v>
      </c>
      <c r="MH21" s="7">
        <f>IFERROR(AVERAGEIF('Данные 2st'!$Q$2:$Q$317,$A21,'Данные 2st'!$FC$2:$FC$317),"")</f>
        <v>1</v>
      </c>
      <c r="MI21" s="7">
        <f>IFERROR(AVERAGEIF('Данные 2st'!$Q$2:$Q$317,$A21,'Данные 2st'!$FD$2:$FD$317),"")</f>
        <v>1929.2</v>
      </c>
      <c r="MJ21" s="7">
        <f>IFERROR(AVERAGEIF('Данные 2st'!$Q$2:$Q$317,$A21,'Данные 2st'!$FE$2:$FE$317),"")</f>
        <v>2209.6</v>
      </c>
      <c r="MK21" s="7">
        <f>IFERROR(AVERAGEIF('Данные 2st'!$Q$2:$Q$317,$A21,'Данные 2st'!$FG$2:$FG$317),"")</f>
        <v>210.4</v>
      </c>
      <c r="ML21" s="7">
        <f>IFERROR(AVERAGEIF('Данные 2st'!$Q$2:$Q$317,$A21,'Данные 2st'!$FI$2:$FI$317),"")</f>
        <v>2.86</v>
      </c>
      <c r="MM21" s="7">
        <f>IFERROR(AVERAGEIF('Данные 2st'!$Q$2:$Q$317,$A21,'Данные 2st'!$FJ$2:$FJ$317),"")</f>
        <v>1929.2</v>
      </c>
      <c r="MN21" s="7">
        <f>IFERROR(AVERAGEIF('Данные 2st'!$Q$2:$Q$317,$A21,'Данные 2st'!$FK$2:$FK$317),"")</f>
        <v>1256.6</v>
      </c>
      <c r="MO21" s="7">
        <f>IFERROR(AVERAGEIF('Данные 2st'!$Q$2:$Q$317,$A21,'Данные 2st'!$FP$2:$FP$317),"")</f>
        <v>1929.2</v>
      </c>
      <c r="MP21" s="7">
        <f>IFERROR(AVERAGEIF('Данные 2st'!$Q$2:$Q$317,$A21,'Данные 2st'!$FQ$2:$FQ$317),"")</f>
        <v>180.4</v>
      </c>
      <c r="MQ21" s="7">
        <f>IFERROR(AVERAGEIF('Данные 2st'!$Q$2:$Q$317,$A21,'Данные 2st'!$FS$2:$FS$317),"")</f>
        <v>214.4</v>
      </c>
      <c r="MR21" s="7">
        <f>IFERROR(AVERAGEIF('Данные 2st'!$Q$2:$Q$317,$A21,'Данные 2st'!$FU$2:$FU$317),"")</f>
        <v>0.4</v>
      </c>
      <c r="MS21" s="7">
        <f>IFERROR(AVERAGEIF('Данные 2st'!$Q$2:$Q$317,$A21,'Данные 2st'!$FV$2:$FV$317),"")</f>
        <v>1929.2</v>
      </c>
      <c r="MT21" s="7">
        <f>IFERROR(AVERAGEIF('Данные 2st'!$Q$2:$Q$317,$A21,'Данные 2st'!$FW$2:$FW$317),"")</f>
        <v>184.2</v>
      </c>
      <c r="MU21" s="7">
        <f>IFERROR(AVERAGEIF('Данные 2st'!$Q$2:$Q$317,$A21,'Данные 2st'!$FY$2:$FY$317),"")</f>
        <v>5</v>
      </c>
      <c r="MV21" s="7">
        <f>IFERROR(AVERAGEIF('Данные 2st'!$Q$2:$Q$317,$A21,'Данные 2st'!$GB$2:$GB$317),"")</f>
        <v>1931.25</v>
      </c>
      <c r="MW21" s="7">
        <f>IFERROR(AVERAGEIF('Данные 2st'!$Q$2:$Q$317,$A21,'Данные 2st'!$GC$2:$GC$317),"")</f>
        <v>17.5</v>
      </c>
      <c r="MX21" s="7">
        <f>IFERROR(AVERAGEIF('Данные 2st'!$Q$2:$Q$317,$A21,'Данные 2st'!$GD$2:$GD$317),"")</f>
        <v>3844.8</v>
      </c>
      <c r="MY21" s="7">
        <f>IFERROR(AVERAGEIF('Данные 2st'!$Q$2:$Q$317,$A21,'Данные 2st'!$GN$2:$GN$317),"")</f>
        <v/>
      </c>
      <c r="MZ21" s="7">
        <f>IFERROR(AVERAGEIF('Данные 2st'!$Q$2:$Q$317,$A21,'Данные 2st'!$GQ$2:$GQ$317),"")</f>
        <v>0</v>
      </c>
      <c r="NA21" s="7">
        <f>IFERROR(AVERAGEIF('Данные 2st'!$Q$2:$Q$317,$A21,'Данные 2st'!$GV$2:$GV$317),"")</f>
        <v>8.26</v>
      </c>
      <c r="NB21" s="7">
        <f>IFERROR(AVERAGEIF('Данные 2st'!$Q$2:$Q$317,$A21,'Данные 2st'!$GW$2:$GW$317),"")</f>
        <v>9.78</v>
      </c>
      <c r="NC21" s="7">
        <f>IFERROR(AVERAGEIF('Данные 2st'!$Q$2:$Q$317,$A21,'Данные 2st'!$GX$2:$GX$317),"")</f>
        <v>0.5</v>
      </c>
      <c r="ND21" s="7">
        <f>IFERROR(AVERAGEIF('Данные 2st'!$Q$2:$Q$317,$A21,'Данные 2st'!$GY$2:$GY$317),"")</f>
        <v>186</v>
      </c>
      <c r="NE21" s="7">
        <f>IFERROR(AVERAGEIF('Данные 2st'!$Q$2:$Q$317,$A21,'Данные 2st'!$GZ$2:$GZ$317),"")</f>
        <v>3</v>
      </c>
      <c r="NF21" s="7">
        <f>IFERROR(AVERAGEIF('Данные 2st'!$Q$2:$Q$317,$A21,'Данные 2st'!$HA$2:$HA$317),"")</f>
        <v>233.2</v>
      </c>
      <c r="NG21" s="7">
        <f>IFERROR(AVERAGEIF('Данные 2st'!$Q$2:$Q$317,$A21,'Данные 2st'!$HB$2:$HB$317),"")</f>
        <v>3</v>
      </c>
      <c r="NH21" s="7">
        <f>IFERROR(AVERAGEIF('Данные 2st'!$Q$2:$Q$317,$A21,'Данные 2st'!$HC$2:$HC$317),"")</f>
        <v>1929.2</v>
      </c>
      <c r="NI21" s="7">
        <f>IFERROR(AVERAGEIF('Данные 2st'!$Q$2:$Q$317,$A21,'Данные 2st'!$HD$2:$HD$317),"")</f>
        <v>4</v>
      </c>
      <c r="NJ21" s="7">
        <f>IFERROR(AVERAGEIF('Данные 2st'!$Q$2:$Q$317,$A21,'Данные 2st'!$HM$2:$HM$317),"")</f>
        <v>17</v>
      </c>
      <c r="NK21" s="7">
        <f>IFERROR(AVERAGEIF('Данные 2st'!$Q$2:$Q$317,$A21,'Данные 2st'!$HR$2:$HR$317),"")</f>
        <v>1</v>
      </c>
      <c r="NL21" s="7">
        <f>IFERROR(AVERAGEIF('Данные 2st'!$Q$2:$Q$317,$A21,'Данные 2st'!$HS$2:$HS$317),"")</f>
        <v>1886</v>
      </c>
      <c r="NM21" s="7">
        <f>IFERROR(AVERAGEIF('Данные 2st'!$Q$2:$Q$317,$A21,'Данные 2st'!$HT$2:$HT$317),"")</f>
        <v>5</v>
      </c>
      <c r="NN21" s="7">
        <f>IFERROR(AVERAGEIF('Данные 2st'!$Q$2:$Q$317,$A21,'Данные 2st'!$HY$2:$HY$317),"")</f>
        <v>0</v>
      </c>
      <c r="NO21" s="7">
        <f>IFERROR(AVERAGEIF('Данные 2st'!$Q$2:$Q$317,$A21,'Данные 2st'!$HZ$2:$HZ$317),"")</f>
        <v>63.4</v>
      </c>
      <c r="NP21" s="7">
        <f>IFERROR(AVERAGEIF('Данные 2st'!$Q$2:$Q$317,$A21,'Данные 2st'!$IA$2:$IA$317),"")</f>
        <v>1889</v>
      </c>
      <c r="NQ21" s="7">
        <f>IFERROR(AVERAGEIF('Данные 2st'!$Q$2:$Q$317,$A21,'Данные 2st'!$IB$2:$IB$317),"")</f>
        <v>1897</v>
      </c>
      <c r="NR21" s="7">
        <f>IFERROR(AVERAGEIF('Данные 2st'!$Q$2:$Q$317,$A21,'Данные 2st'!$IC$2:$IC$317),"")</f>
        <v/>
      </c>
      <c r="NS21" s="7">
        <f>IFERROR(AVERAGEIF('Данные 2st'!$Q$2:$Q$317,$A21,'Данные 2st'!$ID$2:$ID$317),"")</f>
        <v>1929.2</v>
      </c>
      <c r="NT21" s="7">
        <f>IFERROR(AVERAGEIF('Данные 2st'!$Q$2:$Q$317,$A21,'Данные 2st'!$IE$2:$IE$317),"")</f>
        <v>1929.2</v>
      </c>
      <c r="NU21" s="7">
        <f>IFERROR(AVERAGEIF('Данные 2st'!$Q$2:$Q$317,$A21,'Данные 2st'!$IF$2:$IF$317),"")</f>
        <v>193</v>
      </c>
      <c r="NV21" s="7">
        <f>IFERROR(AVERAGEIF('Данные 2st'!$Q$2:$Q$317,$A21,'Данные 2st'!$IG$2:$IG$317),"")</f>
        <v>183</v>
      </c>
      <c r="NW21" s="7">
        <f>IFERROR(AVERAGEIF('Данные 2st'!$Q$2:$Q$317,$A21,'Данные 2st'!$IH$2:$IH$317),"")</f>
        <v>233.2</v>
      </c>
      <c r="NX21" s="7">
        <f>IFERROR(AVERAGEIF('Данные 2st'!$Q$2:$Q$317,$A21,'Данные 2st'!$IJ$2:$IJ$317),"")</f>
        <v>5</v>
      </c>
      <c r="NY21" s="7">
        <f>IFERROR(AVERAGEIF('Данные 2st'!$Q$2:$Q$317,$A21,'Данные 2st'!$IM$2:$IM$317),"")</f>
        <v>0</v>
      </c>
      <c r="NZ21" s="7">
        <f>IFERROR(AVERAGEIF('Данные 2st'!$Q$2:$Q$317,$A21,'Данные 2st'!$IN$2:$IN$317),"")</f>
        <v>270</v>
      </c>
      <c r="OA21" s="7">
        <f>IFERROR(AVERAGEIF('Данные 2st'!$Q$2:$Q$317,$A21,'Данные 2st'!$IO$2:$IO$317),"")</f>
        <v>0</v>
      </c>
      <c r="OB21" s="7">
        <f>IFERROR(AVERAGEIF('Данные 2st'!$Q$2:$Q$317,$A21,'Данные 2st'!$IP$2:$IP$317),"")</f>
        <v>180</v>
      </c>
      <c r="OC21" s="7">
        <f>IFERROR(AVERAGEIF('Данные 2st'!$Q$2:$Q$317,$A21,'Данные 2st'!$IQ$2:$IQ$317),"")</f>
        <v>0</v>
      </c>
      <c r="OD21" s="7">
        <f>IFERROR(AVERAGEIF('Данные 2st'!$Q$2:$Q$317,$A21,'Данные 2st'!$IR$2:$IR$317),"")</f>
        <v>330</v>
      </c>
      <c r="OE21" s="7">
        <f>IFERROR(AVERAGEIF('Данные 2st'!$Q$2:$Q$317,$A21,'Данные 2st'!$IT$2:$IT$317),"")</f>
        <v>90</v>
      </c>
      <c r="OF21" s="7">
        <f>IFERROR(AVERAGEIF('Данные 2st'!$Q$2:$Q$317,$A21,'Данные 2st'!$IU$2:$IU$317),"")</f>
        <v>0</v>
      </c>
      <c r="OG21" s="7">
        <f>IFERROR(AVERAGEIF('Данные 2st'!$Q$2:$Q$317,$A21,'Данные 2st'!$IV$2:$IV$317),"")</f>
        <v>6.4</v>
      </c>
      <c r="OH21" s="7">
        <f>IFERROR(AVERAGEIF('Данные 2st'!$Q$2:$Q$317,$A21,'Данные 2st'!$IW$2:$IW$317),"")</f>
        <v>-7.2</v>
      </c>
      <c r="OI21" s="7">
        <f>IFERROR(AVERAGEIF('Данные 2st'!$Q$2:$Q$317,$A21,'Данные 2st'!$IX$2:$IX$317),"")</f>
        <v>99.5</v>
      </c>
      <c r="OJ21" s="7">
        <f>IFERROR(AVERAGEIF('Данные 2st'!$Q$2:$Q$317,$A21,'Данные 2st'!$IY$2:$IY$317),"")</f>
        <v>80.1</v>
      </c>
      <c r="OK21" s="7">
        <f>IFERROR(AVERAGEIF('Данные 2st'!$Q$2:$Q$317,$A21,'Данные 2st'!$IZ$2:$IZ$317),"")</f>
        <v>0</v>
      </c>
      <c r="OL21" s="7">
        <f>IFERROR(AVERAGEIF('Данные 2st'!$Q$2:$Q$317,$A21,'Данные 2st'!$JA$2:$JA$317),"")</f>
        <v>0</v>
      </c>
      <c r="OM21" s="7">
        <f>IFERROR(AVERAGEIF('Данные 2st'!$Q$2:$Q$317,$A21,'Данные 2st'!$JB$2:$JB$317),"")</f>
        <v>0</v>
      </c>
      <c r="ON21" s="7">
        <f>IFERROR(AVERAGEIF('Данные 2st'!$Q$2:$Q$317,$A21,'Данные 2st'!$JC$2:$JC$317),"")</f>
        <v>0</v>
      </c>
      <c r="OO21" s="7">
        <f>IFERROR(AVERAGEIF('Данные 2st'!$Q$2:$Q$317,$A21,'Данные 2st'!$JD$2:$JD$317),"")</f>
        <v>0</v>
      </c>
      <c r="OP21" s="7">
        <f>IFERROR(AVERAGEIF('Данные 2st'!$Q$2:$Q$317,$A21,'Данные 2st'!$JE$2:$JE$317),"")</f>
        <v>0</v>
      </c>
      <c r="OQ21" s="7">
        <f>IFERROR(AVERAGEIF('Данные 2st'!$Q$2:$Q$317,$A21,'Данные 2st'!$JF$2:$JF$317),"")</f>
        <v>0</v>
      </c>
      <c r="OR21" s="7">
        <f>IFERROR(AVERAGEIF('Данные 2st'!$Q$2:$Q$317,$A21,'Данные 2st'!$JG$2:$JG$317),"")</f>
        <v>0</v>
      </c>
      <c r="OS21" s="7">
        <f>IFERROR(AVERAGEIF('Данные 2st'!$Q$2:$Q$317,$A21,'Данные 2st'!$JH$2:$JH$317),"")</f>
        <v>0</v>
      </c>
      <c r="OT21" s="7">
        <f>IFERROR(AVERAGEIF('Данные 2st'!$Q$2:$Q$317,$A21,'Данные 2st'!$JI$2:$JI$317),"")</f>
        <v>350</v>
      </c>
      <c r="OU21" s="7">
        <f>IFERROR(AVERAGEIF('Данные 2st'!$Q$2:$Q$317,$A21,'Данные 2st'!$JJ$2:$JJ$317),"")</f>
        <v>317.2</v>
      </c>
      <c r="OV21" s="7">
        <f>IFERROR(AVERAGEIF('Данные 2st'!$Q$2:$Q$317,$A21,'Данные 2st'!$JK$2:$JK$317),"")</f>
        <v>237.4</v>
      </c>
      <c r="OW21" s="7">
        <f>IFERROR(AVERAGEIF('Данные 2st'!$Q$2:$Q$317,$A21,'Данные 2st'!$JL$2:$JL$317),"")</f>
        <v>314.6</v>
      </c>
      <c r="OX21" s="7">
        <f>IFERROR(AVERAGEIF('Данные 2st'!$Q$2:$Q$317,$A21,'Данные 2st'!$JM$2:$JM$317),"")</f>
        <v>250</v>
      </c>
      <c r="OY21" s="7">
        <f>IFERROR(AVERAGEIF('Данные 2st'!$Q$2:$Q$317,$A21,'Данные 2st'!$JP$2:$JP$317),"")</f>
        <v>224.8</v>
      </c>
      <c r="OZ21" s="7">
        <f>IFERROR(AVERAGEIF('Данные 2st'!$Q$2:$Q$317,$A21,'Данные 2st'!$JQ$2:$JQ$317),"")</f>
        <v>261.4</v>
      </c>
      <c r="PA21" s="7">
        <f>IFERROR(AVERAGEIF('Данные 2st'!$Q$2:$Q$317,$A21,'Данные 2st'!$JR$2:$JR$317),"")</f>
        <v>332.8</v>
      </c>
      <c r="PB21" s="7">
        <f>IFERROR(AVERAGEIF('Данные 2st'!$Q$2:$Q$317,$A21,'Данные 2st'!$JS$2:$JS$317),"")</f>
        <v>262.2</v>
      </c>
      <c r="PC21" s="7">
        <f>IFERROR(AVERAGEIF('Данные 2st'!$Q$2:$Q$317,$A21,'Данные 2st'!$JT$2:$JT$317),"")</f>
        <v>0</v>
      </c>
      <c r="PD21" s="7">
        <f>IFERROR(AVERAGEIF('Данные 2st'!$Q$2:$Q$317,$A21,'Данные 2st'!$JU$2:$JU$317),"")</f>
        <v>0</v>
      </c>
      <c r="PE21" s="7">
        <f>IFERROR(AVERAGEIF('Данные 2st'!$Q$2:$Q$317,$A21,'Данные 2st'!$JV$2:$JV$317),"")</f>
        <v>319.6</v>
      </c>
      <c r="PF21" s="7">
        <f>IFERROR(AVERAGEIF('Данные 2st'!$Q$2:$Q$317,$A21,'Данные 2st'!$JW$2:$JW$317),"")</f>
        <v>319</v>
      </c>
      <c r="PG21" s="7">
        <f>IFERROR(AVERAGEIF('Данные 2st'!$Q$2:$Q$317,$A21,'Данные 2st'!$KF$2:$KF$317),"")</f>
        <v>0.192</v>
      </c>
      <c r="PH21" s="7">
        <f>IFERROR(AVERAGEIF('Данные 2st'!$Q$2:$Q$317,$A21,'Данные 2st'!$KG$2:$KG$317),"")</f>
        <v>0.10200000000000001</v>
      </c>
      <c r="PI21" s="7">
        <f>IFERROR(AVERAGEIF('Данные 2st'!$Q$2:$Q$317,$A21,'Данные 2st'!$KM$2:$KM$317),"")</f>
        <v>0.9</v>
      </c>
      <c r="PJ21" s="7">
        <f>IFERROR(AVERAGEIF('Данные 2st'!$Q$2:$Q$317,$A21,'Данные 2st'!$KN$2:$KN$317),"")</f>
        <v>1.4200000000000002</v>
      </c>
      <c r="PK21" s="7">
        <f>IFERROR(AVERAGEIF('Данные 2st'!$Q$2:$Q$317,$A21,'Данные 2st'!$KO$2:$KO$317),"")</f>
        <v>0</v>
      </c>
      <c r="PL21" s="7">
        <f>IFERROR(AVERAGEIF('Данные 2st'!$Q$2:$Q$317,$A21,'Данные 2st'!$KP$2:$KP$317),"")</f>
        <v>0</v>
      </c>
      <c r="PM21" s="7">
        <f>IFERROR(AVERAGEIF('Данные 2st'!$Q$2:$Q$317,$A21,'Данные 2st'!$KQ$2:$KQ$317),"")</f>
        <v>0.78</v>
      </c>
      <c r="PN21" s="7">
        <f>IFERROR(AVERAGEIF('Данные 2st'!$Q$2:$Q$317,$A21,'Данные 2st'!$KR$2:$KR$317),"")</f>
        <v>1.14</v>
      </c>
      <c r="PO21" s="7">
        <f>IFERROR(AVERAGEIF('Данные 2st'!$Q$2:$Q$317,$A21,'Данные 2st'!$KS$2:$KS$317),"")</f>
        <v>0.2</v>
      </c>
      <c r="PP21" s="7">
        <f>IFERROR(AVERAGEIF('Данные 2st'!$Q$2:$Q$317,$A21,'Данные 2st'!$KT$2:$KT$317),"")</f>
        <v>2.32</v>
      </c>
      <c r="PQ21" s="7">
        <f>IFERROR(AVERAGEIF('Данные 2st'!$Q$2:$Q$317,$A21,'Данные 2st'!$KU$2:$KU$317),"")</f>
        <v>0</v>
      </c>
      <c r="PR21" s="7">
        <f>IFERROR(AVERAGEIF('Данные 2st'!$Q$2:$Q$317,$A21,'Данные 2st'!$KV$2:$KV$317),"")</f>
        <v>0</v>
      </c>
      <c r="PS21" s="7">
        <f>IFERROR(AVERAGEIF('Данные 2st'!$Q$2:$Q$317,$A21,'Данные 2st'!$KW$2:$KW$317),"")</f>
        <v>1.04</v>
      </c>
      <c r="PT21" s="7">
        <f>IFERROR(AVERAGEIF('Данные 2st'!$Q$2:$Q$317,$A21,'Данные 2st'!$KX$2:$KX$317),"")</f>
        <v>2</v>
      </c>
      <c r="PU21" s="7">
        <f>IFERROR(AVERAGEIF('Данные 2st'!$Q$2:$Q$317,$A21,'Данные 2st'!$KY$2:$KY$317),"")</f>
        <v>0</v>
      </c>
      <c r="PV21" s="7">
        <f>IFERROR(AVERAGEIF('Данные 2st'!$Q$2:$Q$317,$A21,'Данные 2st'!$KZ$2:$KZ$317),"")</f>
        <v>0</v>
      </c>
      <c r="PW21" s="7">
        <f>IFERROR(AVERAGEIF('Данные 2st'!$Q$2:$Q$317,$A21,'Данные 2st'!$LA$2:$LA$317),"")</f>
        <v>0</v>
      </c>
      <c r="PX21" s="7">
        <f>IFERROR(AVERAGEIF('Данные 2st'!$Q$2:$Q$317,$A21,'Данные 2st'!$LB$2:$LB$317),"")</f>
        <v>0</v>
      </c>
      <c r="PY21" s="7">
        <f>IFERROR(AVERAGEIF('Данные 2st'!$Q$2:$Q$317,$A21,'Данные 2st'!$LC$2:$LC$317),"")</f>
        <v>0</v>
      </c>
      <c r="PZ21" s="7">
        <f>IFERROR(AVERAGEIF('Данные 2st'!$Q$2:$Q$317,$A21,'Данные 2st'!$LD$2:$LD$317),"")</f>
        <v>0</v>
      </c>
      <c r="QA21" s="7">
        <f>IFERROR(AVERAGEIF('Данные 2st'!$Q$2:$Q$317,$A21,'Данные 2st'!$LE$2:$LE$317),"")</f>
        <v>0</v>
      </c>
      <c r="QB21" s="7">
        <f>IFERROR(AVERAGEIF('Данные 2st'!$Q$2:$Q$317,$A21,'Данные 2st'!$LF$2:$LF$317),"")</f>
        <v>0</v>
      </c>
      <c r="QC21" s="7">
        <f>IFERROR(AVERAGEIF('Данные 2st'!$Q$2:$Q$317,$A21,'Данные 2st'!$LG$2:$LG$317),"")</f>
        <v>0</v>
      </c>
      <c r="QD21" s="7">
        <f>IFERROR(AVERAGEIF('Данные 2st'!$Q$2:$Q$317,$A21,'Данные 2st'!$LH$2:$LH$317),"")</f>
        <v>3</v>
      </c>
      <c r="QE21" s="7">
        <f>IFERROR(AVERAGEIF('Данные 2st'!$Q$2:$Q$317,$A21,'Данные 2st'!$LJ$2:$LJ$317),"")</f>
        <v>0</v>
      </c>
      <c r="QF21" s="7">
        <f>IFERROR(AVERAGEIF('Данные 2st'!$Q$2:$Q$317,$A21,'Данные 2st'!$LK$2:$LK$317),"")</f>
        <v>4.8</v>
      </c>
      <c r="QG21" s="7">
        <f>IFERROR(AVERAGEIF('Данные 2st'!$Q$2:$Q$317,$A21,'Данные 2st'!$LL$2:$LL$317),"")</f>
        <v>5.6</v>
      </c>
      <c r="QH21" s="7">
        <f>IFERROR(AVERAGEIF('Данные 2st'!$Q$2:$Q$317,$A21,'Данные 2st'!$LM$2:$LM$317),"")</f>
        <v>7.4</v>
      </c>
      <c r="QI21" s="7">
        <f>IFERROR(AVERAGEIF('Данные 2st'!$Q$2:$Q$317,$A21,'Данные 2st'!$LN$2:$LN$317),"")</f>
        <v>0.38</v>
      </c>
      <c r="QJ21" s="7">
        <f>IFERROR(AVERAGEIF('Данные 2st'!$Q$2:$Q$317,$A21,'Данные 2st'!$LO$2:$LO$317),"")</f>
        <v>3.0</v>
      </c>
      <c r="QK21" s="7">
        <f>IFERROR(AVERAGEIF('Данные 2st'!$Q$2:$Q$317,$A21,'Данные 2st'!$LP$2:$LP$317),"")</f>
        <v>0</v>
      </c>
      <c r="QL21" s="7">
        <f>IFERROR(AVERAGEIF('Данные 2st'!$Q$2:$Q$317,$A21,'Данные 2st'!$LQ$2:$LQ$317),"")</f>
        <v>0</v>
      </c>
      <c r="QM21" s="7">
        <f>IFERROR(AVERAGEIF('Данные 2st'!$Q$2:$Q$317,$A21,'Данные 2st'!$LW$2:$LW$317),"")</f>
        <v>1.5</v>
      </c>
      <c r="QN21" s="7">
        <f>IFERROR(AVERAGEIF('Данные 2st'!$Q$2:$Q$317,$A21,'Данные 2st'!$LX$2:$LX$317),"")</f>
        <v>1.5</v>
      </c>
      <c r="QO21" s="7">
        <f>IFERROR(AVERAGEIF('Данные 2st'!$Q$2:$Q$317,$A21,'Данные 2st'!$LY$2:$LY$317),"")</f>
        <v>1.98</v>
      </c>
      <c r="QP21" s="7">
        <f>IFERROR(AVERAGEIF('Данные 2st'!$Q$2:$Q$317,$A21,'Данные 2st'!$LZ$2:$LZ$317),"")</f>
        <v>1.98</v>
      </c>
      <c r="QQ21" s="7">
        <f>IFERROR(AVERAGEIF('Данные 2st'!$Q$2:$Q$317,$A21,'Данные 2st'!$MB$2:$MB$317),"")</f>
        <v>3.6</v>
      </c>
      <c r="QR21" s="7">
        <f>IFERROR(AVERAGEIF('Данные 2st'!$Q$2:$Q$317,$A21,'Данные 2st'!$MG$2:$MG$317),"")</f>
        <v>0</v>
      </c>
      <c r="QS21" s="7">
        <f>IFERROR(AVERAGEIF('Данные 2st'!$Q$2:$Q$317,$A21,'Данные 2st'!$MH$2:$MH$317),"")</f>
        <v>0</v>
      </c>
      <c r="QT21" s="7">
        <f>IFERROR(AVERAGEIF('Данные 2st'!$Q$2:$Q$317,$A21,'Данные 2st'!$MI$2:$MI$317),"")</f>
        <v>0</v>
      </c>
      <c r="QU21" s="7">
        <f>IFERROR(AVERAGEIF('Данные 2st'!$Q$2:$Q$317,$A21,'Данные 2st'!$MJ$2:$MJ$317),"")</f>
        <v>0</v>
      </c>
      <c r="QV21" s="7">
        <f>IFERROR(AVERAGEIF('Данные 2st'!$Q$2:$Q$317,$A21,'Данные 2st'!$MK$2:$MK$317),"")</f>
        <v>0</v>
      </c>
      <c r="QW21" s="7">
        <f>IFERROR(AVERAGEIF('Данные 2st'!$Q$2:$Q$317,$A21,'Данные 2st'!$MM$2:$MM$317),"")</f>
        <v>383.2</v>
      </c>
      <c r="QX21" s="7">
        <f>IFERROR(AVERAGEIF('Данные 2st'!$Q$2:$Q$317,$A21,'Данные 2st'!$MQ$2:$MQ$317),"")</f>
        <v/>
      </c>
      <c r="QY21" s="7">
        <f>IFERROR(AVERAGEIF('Данные 2st'!$Q$2:$Q$317,$A21,'Данные 2st'!$MR$2:$MR$317),"")</f>
        <v/>
      </c>
      <c r="QZ21" s="7">
        <f>IFERROR(AVERAGEIF('Данные 2st'!$Q$2:$Q$317,$A21,'Данные 2st'!$MS$2:$MS$317),"")</f>
        <v/>
      </c>
      <c r="RA21" s="7">
        <f>IFERROR(AVERAGEIF('Данные 2st'!$Q$2:$Q$317,$A21,'Данные 2st'!$MT$2:$MT$317),"")</f>
        <v/>
      </c>
      <c r="RB21" s="7">
        <f>IFERROR(AVERAGEIF('Данные 2st'!$Q$2:$Q$317,$A21,'Данные 2st'!$MU$2:$MU$317),"")</f>
        <v/>
      </c>
      <c r="RC21" s="7">
        <f>IFERROR(AVERAGEIF('Данные 2st'!$Q$2:$Q$317,$A21,'Данные 2st'!$MV$2:$MV$317),"")</f>
        <v/>
      </c>
      <c r="RD21" s="7">
        <f>IFERROR(AVERAGEIF('Данные 2st'!$Q$2:$Q$317,$A21,'Данные 2st'!$MW$2:$MW$317),"")</f>
        <v/>
      </c>
      <c r="RE21" s="7">
        <f>IFERROR(AVERAGEIF('Данные 2st'!$Q$2:$Q$317,$A21,'Данные 2st'!$MX$2:$MX$317),"")</f>
        <v/>
      </c>
      <c r="RF21" s="7">
        <f>IFERROR(AVERAGEIF('Данные 2st'!$Q$2:$Q$317,$A21,'Данные 2st'!$MY$2:$MY$317),"")</f>
        <v/>
      </c>
      <c r="RG21" s="7">
        <f>IFERROR(AVERAGEIF('Данные 2st'!$Q$2:$Q$317,$A21,'Данные 2st'!$MZ$2:$MZ$317),"")</f>
        <v/>
      </c>
      <c r="RH21" s="7">
        <f>IFERROR(AVERAGEIF('Данные 2st'!$Q$2:$Q$317,$A21,'Данные 2st'!$NA$2:$NA$317),"")</f>
        <v/>
      </c>
      <c r="RI21" s="7">
        <f>IFERROR(AVERAGEIF('Данные 2st'!$Q$2:$Q$317,$A21,'Данные 2st'!$NB$2:$NB$317),"")</f>
        <v/>
      </c>
      <c r="RJ21" s="7">
        <f>IFERROR(AVERAGEIF('Данные 2st'!$Q$2:$Q$317,$A21,'Данные 2st'!$NC$2:$NC$317),"")</f>
        <v/>
      </c>
      <c r="RK21" s="7">
        <f>IFERROR(AVERAGEIF('Данные 2st'!$Q$2:$Q$317,$A21,'Данные 2st'!$ND$2:$ND$317),"")</f>
        <v/>
      </c>
      <c r="RL21" s="7">
        <f>IFERROR(AVERAGEIF('Данные 2st'!$Q$2:$Q$317,$A21,'Данные 2st'!$NE$2:$NE$317),"")</f>
        <v/>
      </c>
      <c r="RM21" s="7">
        <f>IFERROR(AVERAGEIF('Данные 2st'!$Q$2:$Q$317,$A21,'Данные 2st'!$NF$2:$NF$317),"")</f>
        <v/>
      </c>
      <c r="RN21" s="7">
        <f>IFERROR(AVERAGEIF('Данные 2st'!$Q$2:$Q$317,$A21,'Данные 2st'!$NG$2:$NG$317),"")</f>
        <v/>
      </c>
      <c r="RO21" s="7">
        <f>IFERROR(AVERAGEIF('Данные 2st'!$Q$2:$Q$317,$A21,'Данные 2st'!$NH$2:$NH$317),"")</f>
        <v/>
      </c>
      <c r="RP21" s="7">
        <f>IFERROR(AVERAGEIF('Данные 2st'!$Q$2:$Q$317,$A21,'Данные 2st'!$NJ$2:$NJ$317),"")</f>
        <v/>
      </c>
      <c r="RQ21" s="7">
        <f>IFERROR(AVERAGEIF('Данные 2st'!$Q$2:$Q$317,$A21,'Данные 2st'!$NK$2:$NK$317),"")</f>
        <v/>
      </c>
      <c r="RR21" s="7">
        <f>IFERROR(AVERAGEIF('Данные 2st'!$Q$2:$Q$317,$A21,'Данные 2st'!$NM$2:$NM$317),"")</f>
        <v/>
      </c>
      <c r="RS21" s="7">
        <f>IFERROR(AVERAGEIF('Данные 2st'!$Q$2:$Q$317,$A21,'Данные 2st'!$NN$2:$NN$317),"")</f>
        <v/>
      </c>
      <c r="RT21" s="7">
        <f>IFERROR(AVERAGEIF('Данные 2st'!$Q$2:$Q$317,$A21,'Данные 2st'!$NO$2:$NO$317),"")</f>
        <v/>
      </c>
      <c r="RU21" s="7">
        <f>IFERROR(AVERAGEIF('Данные 2st'!$Q$2:$Q$317,$A21,'Данные 2st'!$NP$2:$NP$317),"")</f>
        <v/>
      </c>
      <c r="RV21" s="7">
        <f>IFERROR(AVERAGEIF('Данные 2st'!$Q$2:$Q$317,$A21,'Данные 2st'!$NQ$2:$NQ$317),"")</f>
        <v/>
      </c>
      <c r="RW21" s="7">
        <f>IFERROR(AVERAGEIF('Данные 2st'!$Q$2:$Q$317,$A21,'Данные 2st'!$NR$2:$NR$317),"")</f>
        <v/>
      </c>
      <c r="RX21" s="7">
        <f>IFERROR(AVERAGEIF('Данные 2st'!$Q$2:$Q$317,$A21,'Данные 2st'!$NS$2:$NS$317),"")</f>
        <v/>
      </c>
      <c r="RY21" s="7">
        <f>IFERROR(AVERAGEIF('Данные 2st'!$Q$2:$Q$317,$A21,'Данные 2st'!$NT$2:$NT$317),"")</f>
        <v/>
      </c>
      <c r="RZ21" s="7">
        <f>IFERROR(AVERAGEIF('Данные 2st'!$Q$2:$Q$317,$A21,'Данные 2st'!$OK$2:$OK$317),"")</f>
        <v>61</v>
      </c>
      <c r="SA21" s="7">
        <f>IFERROR(AVERAGEIF('Данные 2st'!$Q$2:$Q$317,$A21,'Данные 2st'!$OL$2:$OL$317),"")</f>
        <v>61</v>
      </c>
      <c r="SB21" s="7">
        <f>IFERROR(AVERAGEIF('Данные 2st'!$Q$2:$Q$317,$A21,'Данные 2st'!$ON$2:$ON$317),"")</f>
        <v>2.2</v>
      </c>
      <c r="SC21" s="7">
        <f>IFERROR(AVERAGEIF('Данные 2st'!$Q$2:$Q$317,$A21,'Данные 2st'!$OO$2:$OO$317),"")</f>
        <v>1889</v>
      </c>
      <c r="SD21" s="7">
        <f>IFERROR(AVERAGEIF('Данные 2st'!$Q$2:$Q$317,$A21,'Данные 2st'!$OP$2:$OP$317),"")</f>
        <v>61</v>
      </c>
      <c r="SE21" s="7">
        <f>IFERROR(AVERAGEIF('Данные 2st'!$Q$2:$Q$317,$A21,'Данные 2st'!$OQ$2:$OQ$317),"")</f>
        <v>61</v>
      </c>
      <c r="SF21" s="7">
        <f>IFERROR(AVERAGEIF('Данные 2st'!$Q$2:$Q$317,$A21,'Данные 2st'!$OS$2:$OS$317),"")</f>
        <v>2.2</v>
      </c>
      <c r="SG21" s="7">
        <f>IFERROR(AVERAGEIF('Данные 2st'!$Q$2:$Q$317,$A21,'Данные 2st'!$OT$2:$OT$317),"")</f>
        <v>1897</v>
      </c>
      <c r="SH21" s="7">
        <f>IFERROR(AVERAGEIF('Данные 2st'!$Q$2:$Q$317,$A21,'Данные 2st'!$OU$2:$OU$317),"")</f>
        <v>65</v>
      </c>
      <c r="SI21" s="7">
        <f>IFERROR(AVERAGEIF('Данные 2st'!$Q$2:$Q$317,$A21,'Данные 2st'!$OV$2:$OV$317),"")</f>
        <v>65</v>
      </c>
      <c r="SJ21" s="7">
        <f>IFERROR(AVERAGEIF('Данные 2st'!$Q$2:$Q$317,$A21,'Данные 2st'!$OX$2:$OX$317),"")</f>
        <v>1.6</v>
      </c>
      <c r="SK21" s="7">
        <f>IFERROR(AVERAGEIF('Данные 2st'!$Q$2:$Q$317,$A21,'Данные 2st'!$OY$2:$OY$317),"")</f>
        <v>37403.6</v>
      </c>
      <c r="SL21" s="7">
        <f>IFERROR(AVERAGEIF('Данные 2st'!$Q$2:$Q$317,$A21,'Данные 2st'!$OZ$2:$OZ$317),"")</f>
        <v>51</v>
      </c>
      <c r="SM21" s="7">
        <f>IFERROR(AVERAGEIF('Данные 2st'!$Q$2:$Q$317,$A21,'Данные 2st'!$PA$2:$PA$317),"")</f>
        <v>51.6</v>
      </c>
      <c r="SN21" s="7">
        <f>IFERROR(AVERAGEIF('Данные 2st'!$Q$2:$Q$317,$A21,'Данные 2st'!$PC$2:$PC$317),"")</f>
        <v>2</v>
      </c>
      <c r="SO21" s="7">
        <f>IFERROR(AVERAGEIF('Данные 2st'!$Q$2:$Q$317,$A21,'Данные 2st'!$PD$2:$PD$317),"")</f>
        <v>1929.2</v>
      </c>
      <c r="SP21" s="7">
        <f>IFERROR(AVERAGEIF('Данные 2st'!$Q$2:$Q$317,$A21,'Данные 2st'!$PF$2:$PF$317),"")</f>
        <v>365.2</v>
      </c>
      <c r="SQ21" s="7">
        <f>IFERROR(AVERAGEIF('Данные 2st'!$Q$2:$Q$317,$A21,'Данные 2st'!$PG$2:$PG$317),"")</f>
        <v>30.2</v>
      </c>
      <c r="SR21" s="7">
        <f>IFERROR(AVERAGEIF('Данные 2st'!$Q$2:$Q$317,$A21,'Данные 2st'!$PH$2:$PH$317),"")</f>
        <v>346.4</v>
      </c>
      <c r="SS21" s="7">
        <f>IFERROR(AVERAGEIF('Данные 2st'!$Q$2:$Q$317,$A21,'Данные 2st'!$PI$2:$PI$317),"")</f>
        <v>23.2</v>
      </c>
      <c r="ST21" s="7">
        <f>IFERROR(AVERAGEIF('Данные 2st'!$Q$2:$Q$317,$A21,'Данные 2st'!$PJ$2:$PJ$317),"")</f>
        <v>93.52</v>
      </c>
      <c r="SU21" s="7">
        <f>IFERROR(AVERAGEIF('Данные 2st'!$Q$2:$Q$317,$A21,'Данные 2st'!$PK$2:$PK$317),"")</f>
        <v>2103.8</v>
      </c>
      <c r="SV21" s="7">
        <f>IFERROR(AVERAGEIF('Данные 2st'!$Q$2:$Q$317,$A21,'Данные 2st'!$PL$2:$PL$317),"")</f>
        <v>1145.14</v>
      </c>
      <c r="SW21" s="7">
        <f>IFERROR(AVERAGEIF('Данные 2st'!$Q$2:$Q$317,$A21,'Данные 2st'!$PM$2:$PM$317),"")</f>
        <v>652.14</v>
      </c>
      <c r="SX21" s="7">
        <f>IFERROR(AVERAGEIF('Данные 2st'!$Q$2:$Q$317,$A21,'Данные 2st'!$PN$2:$PN$317),"")</f>
        <v>95.46000000000001</v>
      </c>
      <c r="SY21" s="7">
        <f>IFERROR(AVERAGEIF('Данные 2st'!$Q$2:$Q$317,$A21,'Данные 2st'!$PO$2:$PO$317),"")</f>
        <v>9.05</v>
      </c>
      <c r="SZ21" s="7">
        <f>IFERROR(AVERAGEIF('Данные 2st'!$Q$2:$Q$317,$A21,'Данные 2st'!$PP$2:$PP$317),"")</f>
        <v>11.6</v>
      </c>
      <c r="TA21" s="7">
        <f>IFERROR(AVERAGEIF('Данные 2st'!$Q$2:$Q$317,$A21,'Данные 2st'!$PQ$2:$PQ$317),"")</f>
        <v>1</v>
      </c>
      <c r="TB21" s="7">
        <f>IFERROR(AVERAGEIF('Данные 2st'!$Q$2:$Q$317,$A21,'Данные 2st'!$PR$2:$PR$317),"")</f>
        <v>1</v>
      </c>
      <c r="TC21" s="7">
        <f>IFERROR(AVERAGEIF('Данные 2st'!$Q$2:$Q$317,$A21,'Данные 2st'!$PS$2:$PS$317),"")</f>
        <v>7</v>
      </c>
      <c r="TD21" s="7">
        <f>IFERROR(AVERAGEIF('Данные 2st'!$Q$2:$Q$317,$A21,'Данные 2st'!$PT$2:$PT$317),"")</f>
        <v>233.2</v>
      </c>
      <c r="TE21" s="7">
        <f>IFERROR(AVERAGEIF('Данные 2st'!$Q$2:$Q$317,$A21,'Данные 2st'!$PU$2:$PU$317),"")</f>
        <v>11.4</v>
      </c>
      <c r="TF21" s="7">
        <f>IFERROR(AVERAGEIF('Данные 2st'!$Q$2:$Q$317,$A21,'Данные 2st'!$PX$2:$PX$317),"")</f>
        <v>0</v>
      </c>
      <c r="TG21" s="7">
        <f>IFERROR(AVERAGEIF('Данные 2st'!$Q$2:$Q$317,$A21,'Данные 2st'!$PY$2:$PY$317),"")</f>
        <v>0</v>
      </c>
      <c r="TH21" s="7">
        <f>IFERROR(AVERAGEIF('Данные 2st'!$Q$2:$Q$317,$A21,'Данные 2st'!$PZ$2:$PZ$317),"")</f>
        <v>0</v>
      </c>
      <c r="TI21" s="7">
        <f>IFERROR(AVERAGEIF('Данные 2st'!$Q$2:$Q$317,$A21,'Данные 2st'!$QA$2:$QA$317),"")</f>
        <v>0</v>
      </c>
      <c r="TJ21" s="7">
        <f>IFERROR(AVERAGEIF('Данные 2st'!$Q$2:$Q$317,$A21,'Данные 2st'!$QB$2:$QB$317),"")</f>
        <v>0</v>
      </c>
      <c r="TK21" s="7">
        <f>IFERROR(AVERAGEIF('Данные 2st'!$Q$2:$Q$317,$A21,'Данные 2st'!$QC$2:$QC$317),"")</f>
        <v>0</v>
      </c>
      <c r="TL21" s="7">
        <f>IFERROR(AVERAGEIF('Данные 2st'!$Q$2:$Q$317,$A21,'Данные 2st'!$QD$2:$QD$317),"")</f>
        <v>0</v>
      </c>
      <c r="TM21" s="7">
        <f>IFERROR(AVERAGEIF('Данные 2st'!$Q$2:$Q$317,$A21,'Данные 2st'!$QE$2:$QE$317),"")</f>
        <v>-1</v>
      </c>
      <c r="TN21" s="7">
        <f>IFERROR(AVERAGEIF('Данные 2st'!$Q$2:$Q$317,$A21,'Данные 2st'!$QF$2:$QF$317),"")</f>
        <v>1</v>
      </c>
      <c r="TO21" s="7">
        <f>IFERROR(AVERAGEIF('Данные 2st'!$Q$2:$Q$317,$A21,'Данные 2st'!$QG$2:$QG$317),"")</f>
        <v>0</v>
      </c>
      <c r="TP21" s="7">
        <f>IFERROR(AVERAGEIF('Данные 2st'!$Q$2:$Q$317,$A21,'Данные 2st'!$QH$2:$QH$317),"")</f>
        <v>5</v>
      </c>
      <c r="TQ21" s="7">
        <f>IFERROR(AVERAGEIF('Данные 2st'!$Q$2:$Q$317,$A21,'Данные 2st'!$QI$2:$QI$317),"")</f>
        <v>5</v>
      </c>
      <c r="TR21" s="7">
        <f>IFERROR(AVERAGEIF('Данные 2st'!$Q$2:$Q$317,$A21,'Данные 2st'!$QJ$2:$QJ$317),"")</f>
        <v>5</v>
      </c>
      <c r="TS21" s="7">
        <f>IFERROR(AVERAGEIF('Данные 2st'!$Q$2:$Q$317,$A21,'Данные 2st'!$QK$2:$QK$317),"")</f>
        <v>170</v>
      </c>
      <c r="TT21" s="7">
        <f>IFERROR(AVERAGEIF('Данные 2st'!$Q$2:$Q$317,$A21,'Данные 2st'!$QL$2:$QL$317),"")</f>
        <v>384.8</v>
      </c>
      <c r="TU21" s="7">
        <f>IFERROR(AVERAGEIF('Данные 2st'!$Q$2:$Q$317,$A21,'Данные 2st'!$QM$2:$QM$317),"")</f>
        <v>7.5</v>
      </c>
      <c r="TV21" s="7">
        <f>IFERROR(AVERAGEIF('Данные 2st'!$Q$2:$Q$317,$A21,'Данные 2st'!$QN$2:$QN$317),"")</f>
        <v>1380.44</v>
      </c>
      <c r="TW21" s="7">
        <f>IFERROR(AVERAGEIF('Данные 2st'!$Q$2:$Q$317,$A21,'Данные 2st'!$QQ$2:$QQ$317),"")</f>
        <v>0</v>
      </c>
      <c r="TX21" s="7">
        <f>IFERROR(AVERAGEIF('Данные 2st'!$Q$2:$Q$317,$A21,'Данные 2st'!$QS$2:$QS$317),"")</f>
        <v>30</v>
      </c>
      <c r="TY21" s="7">
        <f>IFERROR(AVERAGEIF('Данные 2st'!$Q$2:$Q$317,$A21,'Данные 2st'!$QT$2:$QT$317),"")</f>
        <v>40</v>
      </c>
    </row>
    <row r="22" spans="1:545" ht="32" customHeight="1">
      <c r="A22" s="11" t="s">
        <v>1728</v>
      </c>
      <c r="B22">
        <f>COUNTIF('Данные 1st'!$S$2:$S$317,$A22)</f>
        <v>4</v>
      </c>
      <c r="C22" s="6" t="s">
        <v>5082</v>
      </c>
      <c r="D22" s="6" t="s">
        <v>513</v>
      </c>
      <c r="E22" s="6" t="s">
        <v>5125</v>
      </c>
      <c r="F22" s="6" t="s">
        <v>5144</v>
      </c>
      <c r="G22" s="7">
        <f>IFERROR(AVERAGEIF('Данные 1st'!$S$2:$S$317,$A22,'Данные 1st'!$AE$2:$AE$317),"")</f>
        <v>179</v>
      </c>
      <c r="H22" s="7">
        <f>IFERROR(AVERAGEIF('Данные 1st'!$S$2:$S$317,$A22,'Данные 1st'!$AF$2:$AF$317),"")</f>
        <v>1.5</v>
      </c>
      <c r="I22" s="7">
        <f>IFERROR(AVERAGEIF('Данные 1st'!$S$2:$S$317,$A22,'Данные 1st'!$AJ$2:$AJ$317),"")</f>
        <v>190.625</v>
      </c>
      <c r="J22" s="7">
        <f>IFERROR(AVERAGEIF('Данные 1st'!$S$2:$S$317,$A22,'Данные 1st'!$AL$2:$AL$317),"")</f>
        <v>1.5</v>
      </c>
      <c r="K22" s="7">
        <f>IFERROR(AVERAGEIF('Данные 1st'!$S$2:$S$317,$A22,'Данные 1st'!$AR$2:$AR$317),"")</f>
        <v>0</v>
      </c>
      <c r="L22" s="7">
        <f>IFERROR(AVERAGEIF('Данные 1st'!$S$2:$S$317,$A22,'Данные 1st'!$AS$2:$AS$317),"")</f>
        <v>1.5</v>
      </c>
      <c r="M22" s="7">
        <f>IFERROR(AVERAGEIF('Данные 1st'!$S$2:$S$317,$A22,'Данные 1st'!$AY$2:$AY$317),"")</f>
        <v>300.625</v>
      </c>
      <c r="N22" s="7">
        <f>IFERROR(AVERAGEIF('Данные 1st'!$S$2:$S$317,$A22,'Данные 1st'!$AZ$2:$AZ$317),"")</f>
        <v>1.5</v>
      </c>
      <c r="O22" s="7">
        <f>IFERROR(AVERAGEIF('Данные 1st'!$S$2:$S$317,$A22,'Данные 1st'!$BF$2:$BF$317),"")</f>
        <v/>
      </c>
      <c r="P22" s="7">
        <f>IFERROR(AVERAGEIF('Данные 1st'!$S$2:$S$317,$A22,'Данные 1st'!$BG$2:$BG$317),"")</f>
        <v>1.5</v>
      </c>
      <c r="Q22" s="7">
        <f>IFERROR(AVERAGEIF('Данные 1st'!$S$2:$S$317,$A22,'Данные 1st'!$BM$2:$BM$317),"")</f>
        <v/>
      </c>
      <c r="R22" s="7">
        <f>IFERROR(AVERAGEIF('Данные 1st'!$S$2:$S$317,$A22,'Данные 1st'!$BN$2:$BN$317),"")</f>
        <v>1.5</v>
      </c>
      <c r="S22" s="7">
        <f>IFERROR(AVERAGEIF('Данные 1st'!$S$2:$S$317,$A22,'Данные 1st'!$BT$2:$BT$317),"")</f>
        <v>200.75</v>
      </c>
      <c r="T22" s="7">
        <f>IFERROR(AVERAGEIF('Данные 1st'!$S$2:$S$317,$A22,'Данные 1st'!$BU$2:$BU$317),"")</f>
        <v>0.5</v>
      </c>
      <c r="U22" s="7">
        <f>IFERROR(AVERAGEIF('Данные 1st'!$S$2:$S$317,$A22,'Данные 1st'!$BW$2:$BW$317),"")</f>
        <v>401.5</v>
      </c>
      <c r="V22" s="7">
        <f>IFERROR(AVERAGEIF('Данные 1st'!$S$2:$S$317,$A22,'Данные 1st'!$BX$2:$BX$317),"")</f>
        <v>1</v>
      </c>
      <c r="W22" s="7">
        <f>IFERROR(AVERAGEIF('Данные 1st'!$S$2:$S$317,$A22,'Данные 1st'!$BZ$2:$BZ$317),"")</f>
        <v>300</v>
      </c>
      <c r="X22" s="7">
        <f>IFERROR(AVERAGEIF('Данные 1st'!$S$2:$S$317,$A22,'Данные 1st'!$CA$2:$CA$317),"")</f>
        <v>480</v>
      </c>
      <c r="Y22" s="7">
        <f>IFERROR(AVERAGEIF('Данные 1st'!$S$2:$S$317,$A22,'Данные 1st'!$CD$2:$CD$317),"")</f>
        <v>414.5</v>
      </c>
      <c r="Z22" s="7">
        <f>IFERROR(AVERAGEIF('Данные 1st'!$S$2:$S$317,$A22,'Данные 1st'!$CF$2:$CF$317),"")</f>
        <v>15</v>
      </c>
      <c r="AA22" s="7">
        <f>IFERROR(AVERAGEIF('Данные 1st'!$S$2:$S$317,$A22,'Данные 1st'!$CI$2:$CI$317),"")</f>
        <v>90</v>
      </c>
      <c r="AB22" s="7">
        <f>IFERROR(AVERAGEIF('Данные 1st'!$S$2:$S$317,$A22,'Данные 1st'!$CJ$2:$CJ$317),"")</f>
        <v>1200</v>
      </c>
      <c r="AC22" s="7">
        <f>IFERROR(AVERAGEIF('Данные 1st'!$S$2:$S$317,$A22,'Данные 1st'!$CK$2:$CK$317),"")</f>
        <v>2</v>
      </c>
      <c r="AD22" s="7">
        <f>IFERROR(AVERAGEIF('Данные 1st'!$S$2:$S$317,$A22,'Данные 1st'!$CL$2:$CL$317),"")</f>
        <v>1301</v>
      </c>
      <c r="AE22" s="7">
        <f>IFERROR(AVERAGEIF('Данные 1st'!$S$2:$S$317,$A22,'Данные 1st'!$CM$2:$CM$317),"")</f>
        <v>2</v>
      </c>
      <c r="AF22" s="7">
        <f>IFERROR(AVERAGEIF('Данные 1st'!$S$2:$S$317,$A22,'Данные 1st'!$CT$2:$CT$317),"")</f>
        <v>381.25</v>
      </c>
      <c r="AG22" s="7">
        <f>IFERROR(AVERAGEIF('Данные 1st'!$S$2:$S$317,$A22,'Данные 1st'!$CU$2:$CU$317),"")</f>
        <v>5</v>
      </c>
      <c r="AH22" s="7">
        <f>IFERROR(AVERAGEIF('Данные 1st'!$S$2:$S$317,$A22,'Данные 1st'!$CV$2:$CV$317),"")</f>
        <v>1.225</v>
      </c>
      <c r="AI22" s="7">
        <f>IFERROR(AVERAGEIF('Данные 1st'!$S$2:$S$317,$A22,'Данные 1st'!$CW$2:$CW$317),"")</f>
        <v>1213</v>
      </c>
      <c r="AJ22" s="7">
        <f>IFERROR(AVERAGEIF('Данные 1st'!$S$2:$S$317,$A22,'Данные 1st'!$CX$2:$CX$317),"")</f>
        <v>668.25</v>
      </c>
      <c r="AK22" s="7">
        <f>IFERROR(AVERAGEIF('Данные 1st'!$S$2:$S$317,$A22,'Данные 1st'!$CZ$2:$CZ$317),"")</f>
        <v/>
      </c>
      <c r="AL22" s="7">
        <f>IFERROR(AVERAGEIF('Данные 1st'!$S$2:$S$317,$A22,'Данные 1st'!$DA$2:$DA$317),"")</f>
        <v/>
      </c>
      <c r="AM22" s="7">
        <f>IFERROR(AVERAGEIF('Данные 1st'!$S$2:$S$317,$A22,'Данные 1st'!$DB$2:$DB$317),"")</f>
        <v/>
      </c>
      <c r="AN22" s="7">
        <f>IFERROR(AVERAGEIF('Данные 1st'!$S$2:$S$317,$A22,'Данные 1st'!$DC$2:$DC$317),"")</f>
        <v/>
      </c>
      <c r="AO22" s="7">
        <f>IFERROR(AVERAGEIF('Данные 1st'!$S$2:$S$317,$A22,'Данные 1st'!$DD$2:$DD$317),"")</f>
        <v>0</v>
      </c>
      <c r="AP22" s="7">
        <f>IFERROR(AVERAGEIF('Данные 1st'!$S$2:$S$317,$A22,'Данные 1st'!$DF$2:$DF$317),"")</f>
        <v>601.25</v>
      </c>
      <c r="AQ22" s="7">
        <f>IFERROR(AVERAGEIF('Данные 1st'!$S$2:$S$317,$A22,'Данные 1st'!$DG$2:$DG$317),"")</f>
        <v>3</v>
      </c>
      <c r="AR22" s="7">
        <f>IFERROR(AVERAGEIF('Данные 1st'!$S$2:$S$317,$A22,'Данные 1st'!$DH$2:$DH$317),"")</f>
        <v>1.19</v>
      </c>
      <c r="AS22" s="7">
        <f>IFERROR(AVERAGEIF('Данные 1st'!$S$2:$S$317,$A22,'Данные 1st'!$DI$2:$DI$317),"")</f>
        <v>1211.25</v>
      </c>
      <c r="AT22" s="7">
        <f>IFERROR(AVERAGEIF('Данные 1st'!$S$2:$S$317,$A22,'Данные 1st'!$DJ$2:$DJ$317),"")</f>
        <v>1167.25</v>
      </c>
      <c r="AU22" s="7">
        <f>IFERROR(AVERAGEIF('Данные 1st'!$S$2:$S$317,$A22,'Данные 1st'!$DL$2:$DL$317),"")</f>
        <v/>
      </c>
      <c r="AV22" s="7">
        <f>IFERROR(AVERAGEIF('Данные 1st'!$S$2:$S$317,$A22,'Данные 1st'!$DM$2:$DM$317),"")</f>
        <v/>
      </c>
      <c r="AW22" s="7">
        <f>IFERROR(AVERAGEIF('Данные 1st'!$S$2:$S$317,$A22,'Данные 1st'!$DN$2:$DN$317),"")</f>
        <v/>
      </c>
      <c r="AX22" s="7">
        <f>IFERROR(AVERAGEIF('Данные 1st'!$S$2:$S$317,$A22,'Данные 1st'!$DO$2:$DO$317),"")</f>
        <v/>
      </c>
      <c r="AY22" s="7">
        <f>IFERROR(AVERAGEIF('Данные 1st'!$S$2:$S$317,$A22,'Данные 1st'!$DP$2:$DP$317),"")</f>
        <v/>
      </c>
      <c r="AZ22" s="7">
        <f>IFERROR(AVERAGEIF('Данные 1st'!$S$2:$S$317,$A22,'Данные 1st'!$DR$2:$DR$317),"")</f>
        <v/>
      </c>
      <c r="BA22" s="7">
        <f>IFERROR(AVERAGEIF('Данные 1st'!$S$2:$S$317,$A22,'Данные 1st'!$DS$2:$DS$317),"")</f>
        <v/>
      </c>
      <c r="BB22" s="7">
        <f>IFERROR(AVERAGEIF('Данные 1st'!$S$2:$S$317,$A22,'Данные 1st'!$DT$2:$DT$317),"")</f>
        <v/>
      </c>
      <c r="BC22" s="7">
        <f>IFERROR(AVERAGEIF('Данные 1st'!$S$2:$S$317,$A22,'Данные 1st'!$DU$2:$DU$317),"")</f>
        <v/>
      </c>
      <c r="BD22" s="7">
        <f>IFERROR(AVERAGEIF('Данные 1st'!$S$2:$S$317,$A22,'Данные 1st'!$DV$2:$DV$317),"")</f>
        <v/>
      </c>
      <c r="BE22" s="7">
        <f>IFERROR(AVERAGEIF('Данные 1st'!$S$2:$S$317,$A22,'Данные 1st'!$DX$2:$DX$317),"")</f>
        <v>7.5</v>
      </c>
      <c r="BF22" s="7">
        <f>IFERROR(AVERAGEIF('Данные 1st'!$S$2:$S$317,$A22,'Данные 1st'!$EA$2:$EA$317),"")</f>
        <v>1283.6999999999998</v>
      </c>
      <c r="BG22" s="7">
        <f>IFERROR(AVERAGEIF('Данные 1st'!$S$2:$S$317,$A22,'Данные 1st'!$EB$2:$EB$317),"")</f>
        <v>235.25</v>
      </c>
      <c r="BH22" s="7">
        <f>IFERROR(AVERAGEIF('Данные 1st'!$S$2:$S$317,$A22,'Данные 1st'!$ED$2:$ED$317),"")</f>
        <v>32.5</v>
      </c>
      <c r="BI22" s="7">
        <f>IFERROR(AVERAGEIF('Данные 1st'!$S$2:$S$317,$A22,'Данные 1st'!$EE$2:$EE$317),"")</f>
        <v>3</v>
      </c>
      <c r="BJ22" s="7">
        <f>IFERROR(AVERAGEIF('Данные 1st'!$S$2:$S$317,$A22,'Данные 1st'!$EG$2:$EG$317),"")</f>
        <v>1324.5</v>
      </c>
      <c r="BK22" s="7">
        <f>IFERROR(AVERAGEIF('Данные 1st'!$S$2:$S$317,$A22,'Данные 1st'!$EH$2:$EH$317),"")</f>
        <v>173.25</v>
      </c>
      <c r="BL22" s="7">
        <f>IFERROR(AVERAGEIF('Данные 1st'!$S$2:$S$317,$A22,'Данные 1st'!$EJ$2:$EJ$317),"")</f>
        <v>0</v>
      </c>
      <c r="BM22" s="7">
        <f>IFERROR(AVERAGEIF('Данные 1st'!$S$2:$S$317,$A22,'Данные 1st'!$EK$2:$EK$317),"")</f>
        <v>1</v>
      </c>
      <c r="BN22" s="7">
        <f>IFERROR(AVERAGEIF('Данные 1st'!$S$2:$S$317,$A22,'Данные 1st'!$EN$2:$EN$317),"")</f>
        <v>0</v>
      </c>
      <c r="BO22" s="7">
        <f>IFERROR(AVERAGEIF('Данные 1st'!$S$2:$S$317,$A22,'Данные 1st'!$EQ$2:$EQ$317),"")</f>
        <v>95</v>
      </c>
      <c r="BP22" s="7">
        <f>IFERROR(AVERAGEIF('Данные 1st'!$S$2:$S$317,$A22,'Данные 1st'!$ER$2:$ER$317),"")</f>
        <v>3</v>
      </c>
      <c r="BQ22" s="7">
        <f>IFERROR(AVERAGEIF('Данные 1st'!$S$2:$S$317,$A22,'Данные 1st'!$ES$2:$ES$317),"")</f>
        <v>5.5</v>
      </c>
      <c r="BR22" s="7">
        <f>IFERROR(AVERAGEIF('Данные 1st'!$S$2:$S$317,$A22,'Данные 1st'!$ET$2:$ET$317),"")</f>
        <v>1198</v>
      </c>
      <c r="BS22" s="7">
        <f>IFERROR(AVERAGEIF('Данные 1st'!$S$2:$S$317,$A22,'Данные 1st'!$EU$2:$EU$317),"")</f>
        <v>407.125</v>
      </c>
      <c r="BT22" s="7">
        <f>IFERROR(AVERAGEIF('Данные 1st'!$S$2:$S$317,$A22,'Данные 1st'!$EV$2:$EV$317),"")</f>
        <v>487.75</v>
      </c>
      <c r="BU22" s="7">
        <f>IFERROR(AVERAGEIF('Данные 1st'!$S$2:$S$317,$A22,'Данные 1st'!$EX$2:$EX$317),"")</f>
        <v>70</v>
      </c>
      <c r="BV22" s="7">
        <f>IFERROR(AVERAGEIF('Данные 1st'!$S$2:$S$317,$A22,'Данные 1st'!$EY$2:$EY$317),"")</f>
        <v>2</v>
      </c>
      <c r="BW22" s="7">
        <f>IFERROR(AVERAGEIF('Данные 1st'!$S$2:$S$317,$A22,'Данные 1st'!$EZ$2:$EZ$317),"")</f>
        <v>4.4</v>
      </c>
      <c r="BX22" s="7">
        <f>IFERROR(AVERAGEIF('Данные 1st'!$S$2:$S$317,$A22,'Данные 1st'!$FA$2:$FA$317),"")</f>
        <v>1198</v>
      </c>
      <c r="BY22" s="7">
        <f>IFERROR(AVERAGEIF('Данные 1st'!$S$2:$S$317,$A22,'Данные 1st'!$FB$2:$FB$317),"")</f>
        <v>215.3</v>
      </c>
      <c r="BZ22" s="7">
        <f>IFERROR(AVERAGEIF('Данные 1st'!$S$2:$S$317,$A22,'Данные 1st'!$FC$2:$FC$317),"")</f>
        <v>258</v>
      </c>
      <c r="CA22" s="7">
        <f>IFERROR(AVERAGEIF('Данные 1st'!$S$2:$S$317,$A22,'Данные 1st'!$FE$2:$FE$317),"")</f>
        <v>0</v>
      </c>
      <c r="CB22" s="7">
        <f>IFERROR(AVERAGEIF('Данные 1st'!$S$2:$S$317,$A22,'Данные 1st'!$FF$2:$FF$317),"")</f>
        <v>2</v>
      </c>
      <c r="CC22" s="7">
        <f>IFERROR(AVERAGEIF('Данные 1st'!$S$2:$S$317,$A22,'Данные 1st'!$FI$2:$FI$317),"")</f>
        <v>0</v>
      </c>
      <c r="CD22" s="7">
        <f>IFERROR(AVERAGEIF('Данные 1st'!$S$2:$S$317,$A22,'Данные 1st'!$FL$2:$FL$317),"")</f>
        <v>0.4</v>
      </c>
      <c r="CE22" s="7">
        <f>IFERROR(AVERAGEIF('Данные 1st'!$S$2:$S$317,$A22,'Данные 1st'!$FM$2:$FM$317),"")</f>
        <v>93.75</v>
      </c>
      <c r="CF22" s="7">
        <f>IFERROR(AVERAGEIF('Данные 1st'!$S$2:$S$317,$A22,'Данные 1st'!$FN$2:$FN$317),"")</f>
        <v>122.5</v>
      </c>
      <c r="CG22" s="7">
        <f>IFERROR(AVERAGEIF('Данные 1st'!$S$2:$S$317,$A22,'Данные 1st'!$FO$2:$FO$317),"")</f>
        <v/>
      </c>
      <c r="CH22" s="7">
        <f>IFERROR(AVERAGEIF('Данные 1st'!$S$2:$S$317,$A22,'Данные 1st'!$FP$2:$FP$317),"")</f>
        <v/>
      </c>
      <c r="CI22" s="7">
        <f>IFERROR(AVERAGEIF('Данные 1st'!$S$2:$S$317,$A22,'Данные 1st'!$FS$2:$FS$317),"")</f>
        <v>0.4</v>
      </c>
      <c r="CJ22" s="7">
        <f>IFERROR(AVERAGEIF('Данные 1st'!$S$2:$S$317,$A22,'Данные 1st'!$FT$2:$FT$317),"")</f>
        <v>43.75</v>
      </c>
      <c r="CK22" s="7">
        <f>IFERROR(AVERAGEIF('Данные 1st'!$S$2:$S$317,$A22,'Данные 1st'!$FU$2:$FU$317),"")</f>
        <v>310</v>
      </c>
      <c r="CL22" s="7">
        <f>IFERROR(AVERAGEIF('Данные 1st'!$S$2:$S$317,$A22,'Данные 1st'!$FV$2:$FV$317),"")</f>
        <v/>
      </c>
      <c r="CM22" s="7">
        <f>IFERROR(AVERAGEIF('Данные 1st'!$S$2:$S$317,$A22,'Данные 1st'!$FW$2:$FW$317),"")</f>
        <v/>
      </c>
      <c r="CN22" s="7">
        <f>IFERROR(AVERAGEIF('Данные 1st'!$S$2:$S$317,$A22,'Данные 1st'!$FZ$2:$FZ$317),"")</f>
        <v>1</v>
      </c>
      <c r="CO22" s="7">
        <f>IFERROR(AVERAGEIF('Данные 1st'!$S$2:$S$317,$A22,'Данные 1st'!$GA$2:$GA$317),"")</f>
        <v>20</v>
      </c>
      <c r="CP22" s="7">
        <f>IFERROR(AVERAGEIF('Данные 1st'!$S$2:$S$317,$A22,'Данные 1st'!$GB$2:$GB$317),"")</f>
        <v>163.5</v>
      </c>
      <c r="CQ22" s="7">
        <f>IFERROR(AVERAGEIF('Данные 1st'!$S$2:$S$317,$A22,'Данные 1st'!$GH$2:$GH$317),"")</f>
        <v>1</v>
      </c>
      <c r="CR22" s="7">
        <f>IFERROR(AVERAGEIF('Данные 1st'!$S$2:$S$317,$A22,'Данные 1st'!$GI$2:$GI$317),"")</f>
        <v>20</v>
      </c>
      <c r="CS22" s="7">
        <f>IFERROR(AVERAGEIF('Данные 1st'!$S$2:$S$317,$A22,'Данные 1st'!$GJ$2:$GJ$317),"")</f>
        <v>163.5</v>
      </c>
      <c r="CT22" s="7">
        <f>IFERROR(AVERAGEIF('Данные 1st'!$S$2:$S$317,$A22,'Данные 1st'!$GS$2:$GS$317),"")</f>
        <v/>
      </c>
      <c r="CU22" s="7">
        <f>IFERROR(AVERAGEIF('Данные 1st'!$S$2:$S$317,$A22,'Данные 1st'!$GT$2:$GT$317),"")</f>
        <v/>
      </c>
      <c r="CV22" s="7">
        <f>IFERROR(AVERAGEIF('Данные 1st'!$S$2:$S$317,$A22,'Данные 1st'!$GU$2:$GU$317),"")</f>
        <v/>
      </c>
      <c r="CW22" s="7">
        <f>IFERROR(AVERAGEIF('Данные 1st'!$S$2:$S$317,$A22,'Данные 1st'!$GV$2:$GV$317),"")</f>
        <v/>
      </c>
      <c r="CX22" s="7">
        <f>IFERROR(AVERAGEIF('Данные 1st'!$S$2:$S$317,$A22,'Данные 1st'!$GW$2:$GW$317),"")</f>
        <v/>
      </c>
      <c r="CY22" s="7">
        <f>IFERROR(AVERAGEIF('Данные 1st'!$S$2:$S$317,$A22,'Данные 1st'!$GZ$2:$GZ$317),"")</f>
        <v/>
      </c>
      <c r="CZ22" s="7">
        <f>IFERROR(AVERAGEIF('Данные 1st'!$S$2:$S$317,$A22,'Данные 1st'!$HA$2:$HA$317),"")</f>
        <v/>
      </c>
      <c r="DA22" s="7">
        <f>IFERROR(AVERAGEIF('Данные 1st'!$S$2:$S$317,$A22,'Данные 1st'!$HB$2:$HB$317),"")</f>
        <v/>
      </c>
      <c r="DB22" s="7">
        <f>IFERROR(AVERAGEIF('Данные 1st'!$S$2:$S$317,$A22,'Данные 1st'!$HC$2:$HC$317),"")</f>
        <v>0.1</v>
      </c>
      <c r="DC22" s="7">
        <f>IFERROR(AVERAGEIF('Данные 1st'!$S$2:$S$317,$A22,'Данные 1st'!$HD$2:$HD$317),"")</f>
        <v>3</v>
      </c>
      <c r="DD22" s="7">
        <f>IFERROR(AVERAGEIF('Данные 1st'!$S$2:$S$317,$A22,'Данные 1st'!$HE$2:$HE$317),"")</f>
        <v>3</v>
      </c>
      <c r="DE22" s="7">
        <f>IFERROR(AVERAGEIF('Данные 1st'!$S$2:$S$317,$A22,'Данные 1st'!$HF$2:$HF$317),"")</f>
        <v>3</v>
      </c>
      <c r="DF22" s="7">
        <f>IFERROR(AVERAGEIF('Данные 1st'!$S$2:$S$317,$A22,'Данные 1st'!$HG$2:$HG$317),"")</f>
        <v>3</v>
      </c>
      <c r="DG22" s="7">
        <f>IFERROR(AVERAGEIF('Данные 1st'!$S$2:$S$317,$A22,'Данные 1st'!$HH$2:$HH$317),"")</f>
        <v>3</v>
      </c>
      <c r="DH22" s="7">
        <f>IFERROR(AVERAGEIF('Данные 1st'!$S$2:$S$317,$A22,'Данные 1st'!$HI$2:$HI$317),"")</f>
        <v>150</v>
      </c>
      <c r="DI22" s="7">
        <f>IFERROR(AVERAGEIF('Данные 1st'!$S$2:$S$317,$A22,'Данные 1st'!$HJ$2:$HJ$317),"")</f>
        <v>3</v>
      </c>
      <c r="DJ22" s="7">
        <f>IFERROR(AVERAGEIF('Данные 1st'!$S$2:$S$317,$A22,'Данные 1st'!$HK$2:$HK$317),"")</f>
        <v>55</v>
      </c>
      <c r="DK22" s="7">
        <f>IFERROR(AVERAGEIF('Данные 1st'!$S$2:$S$317,$A22,'Данные 1st'!$HL$2:$HL$317),"")</f>
        <v>2</v>
      </c>
      <c r="DL22" s="7">
        <f>IFERROR(AVERAGEIF('Данные 1st'!$S$2:$S$317,$A22,'Данные 1st'!$HM$2:$HM$317),"")</f>
        <v>0</v>
      </c>
      <c r="DM22" s="7">
        <f>IFERROR(AVERAGEIF('Данные 1st'!$S$2:$S$317,$A22,'Данные 1st'!$HN$2:$HN$317),"")</f>
        <v>2</v>
      </c>
      <c r="DN22" s="7">
        <f>IFERROR(AVERAGEIF('Данные 1st'!$S$2:$S$317,$A22,'Данные 1st'!$HO$2:$HO$317),"")</f>
        <v>80</v>
      </c>
      <c r="DO22" s="7">
        <f>IFERROR(AVERAGEIF('Данные 1st'!$S$2:$S$317,$A22,'Данные 1st'!$HP$2:$HP$317),"")</f>
        <v>3</v>
      </c>
      <c r="DP22" s="7">
        <f>IFERROR(AVERAGEIF('Данные 1st'!$S$2:$S$317,$A22,'Данные 1st'!$HQ$2:$HQ$317),"")</f>
        <v>0</v>
      </c>
      <c r="DQ22" s="7">
        <f>IFERROR(AVERAGEIF('Данные 1st'!$S$2:$S$317,$A22,'Данные 1st'!$HR$2:$HR$317),"")</f>
        <v>2</v>
      </c>
      <c r="DR22" s="7">
        <f>IFERROR(AVERAGEIF('Данные 1st'!$S$2:$S$317,$A22,'Данные 1st'!$HS$2:$HS$317),"")</f>
        <v>4144</v>
      </c>
      <c r="DS22" s="7">
        <f>IFERROR(AVERAGEIF('Данные 1st'!$S$2:$S$317,$A22,'Данные 1st'!$HT$2:$HT$317),"")</f>
        <v>122.5</v>
      </c>
      <c r="DT22" s="7">
        <f>IFERROR(AVERAGEIF('Данные 1st'!$S$2:$S$317,$A22,'Данные 1st'!$HU$2:$HU$317),"")</f>
        <v>180</v>
      </c>
      <c r="DU22" s="7">
        <f>IFERROR(AVERAGEIF('Данные 1st'!$S$2:$S$317,$A22,'Данные 1st'!$HW$2:$HW$317),"")</f>
        <v>10</v>
      </c>
      <c r="DV22" s="7">
        <f>IFERROR(AVERAGEIF('Данные 1st'!$S$2:$S$317,$A22,'Данные 1st'!$HX$2:$HX$317),"")</f>
        <v>452.5</v>
      </c>
      <c r="DW22" s="7">
        <f>IFERROR(AVERAGEIF('Данные 1st'!$S$2:$S$317,$A22,'Данные 1st'!$HY$2:$HY$317),"")</f>
        <v>0.18</v>
      </c>
      <c r="DX22" s="7">
        <f>IFERROR(AVERAGEIF('Данные 1st'!$S$2:$S$317,$A22,'Данные 1st'!$IA$2:$IA$317),"")</f>
        <v>0.15</v>
      </c>
      <c r="DY22" s="7">
        <f>IFERROR(AVERAGEIF('Данные 1st'!$S$2:$S$317,$A22,'Данные 1st'!$IB$2:$IB$317),"")</f>
        <v>0</v>
      </c>
      <c r="DZ22" s="7">
        <f>IFERROR(AVERAGEIF('Данные 1st'!$S$2:$S$317,$A22,'Данные 1st'!$IC$2:$IC$317),"")</f>
        <v>180</v>
      </c>
      <c r="EA22" s="7">
        <f>IFERROR(AVERAGEIF('Данные 1st'!$S$2:$S$317,$A22,'Данные 1st'!$ID$2:$ID$317),"")</f>
        <v>110</v>
      </c>
      <c r="EB22" s="7">
        <f>IFERROR(AVERAGEIF('Данные 1st'!$S$2:$S$317,$A22,'Данные 1st'!$IE$2:$IE$317),"")</f>
        <v>0</v>
      </c>
      <c r="EC22" s="7">
        <f>IFERROR(AVERAGEIF('Данные 1st'!$S$2:$S$317,$A22,'Данные 1st'!$IF$2:$IF$317),"")</f>
        <v>0</v>
      </c>
      <c r="ED22" s="7">
        <f>IFERROR(AVERAGEIF('Данные 1st'!$S$2:$S$317,$A22,'Данные 1st'!$IP$2:$IP$317),"")</f>
        <v>16</v>
      </c>
      <c r="EE22" s="7">
        <f>IFERROR(AVERAGEIF('Данные 1st'!$S$2:$S$317,$A22,'Данные 1st'!$IV$2:$IV$317),"")</f>
        <v>1200</v>
      </c>
      <c r="EF22" s="7">
        <f>IFERROR(AVERAGEIF('Данные 1st'!$S$2:$S$317,$A22,'Данные 1st'!$IW$2:$IW$317),"")</f>
        <v>401.5</v>
      </c>
      <c r="EG22" s="7">
        <f>IFERROR(AVERAGEIF('Данные 1st'!$S$2:$S$317,$A22,'Данные 1st'!$IX$2:$IX$317),"")</f>
        <v/>
      </c>
      <c r="EH22" s="7">
        <f>IFERROR(AVERAGEIF('Данные 1st'!$S$2:$S$317,$A22,'Данные 1st'!$IY$2:$IY$317),"")</f>
        <v/>
      </c>
      <c r="EI22" s="7">
        <f>IFERROR(AVERAGEIF('Данные 1st'!$S$2:$S$317,$A22,'Данные 1st'!$JD$2:$JD$317),"")</f>
        <v>1213</v>
      </c>
      <c r="EJ22" s="7">
        <f>IFERROR(AVERAGEIF('Данные 1st'!$S$2:$S$317,$A22,'Данные 1st'!$JE$2:$JE$317),"")</f>
        <v>1211.25</v>
      </c>
      <c r="EK22" s="7">
        <f>IFERROR(AVERAGEIF('Данные 1st'!$S$2:$S$317,$A22,'Данные 1st'!$JF$2:$JF$317),"")</f>
        <v>0</v>
      </c>
      <c r="EL22" s="7">
        <f>IFERROR(AVERAGEIF('Данные 1st'!$S$2:$S$317,$A22,'Данные 1st'!$JG$2:$JG$317),"")</f>
        <v>1198</v>
      </c>
      <c r="EM22" s="7">
        <f>IFERROR(AVERAGEIF('Данные 1st'!$S$2:$S$317,$A22,'Данные 1st'!$JH$2:$JH$317),"")</f>
        <v>0</v>
      </c>
      <c r="EN22" s="7">
        <f>IFERROR(AVERAGEIF('Данные 1st'!$S$2:$S$317,$A22,'Данные 1st'!$JJ$2:$JJ$317),"")</f>
        <v>180</v>
      </c>
      <c r="EO22" s="7">
        <f>IFERROR(AVERAGEIF('Данные 1st'!$S$2:$S$317,$A22,'Данные 1st'!$JK$2:$JK$317),"")</f>
        <v>452.5</v>
      </c>
      <c r="EP22" s="7">
        <f>IFERROR(AVERAGEIF('Данные 1st'!$S$2:$S$317,$A22,'Данные 1st'!$JL$2:$JL$317),"")</f>
        <v/>
      </c>
      <c r="EQ22" s="7">
        <f>IFERROR(AVERAGEIF('Данные 1st'!$S$2:$S$317,$A22,'Данные 1st'!$JM$2:$JM$317),"")</f>
        <v/>
      </c>
      <c r="ER22" s="7">
        <f>IFERROR(AVERAGEIF('Данные 1st'!$S$2:$S$317,$A22,'Данные 1st'!$JN$2:$JN$317),"")</f>
        <v>381.25</v>
      </c>
      <c r="ES22" s="7">
        <f>IFERROR(AVERAGEIF('Данные 1st'!$S$2:$S$317,$A22,'Данные 1st'!$JO$2:$JO$317),"")</f>
        <v>601.25</v>
      </c>
      <c r="ET22" s="7">
        <f>IFERROR(AVERAGEIF('Данные 1st'!$S$2:$S$317,$A22,'Данные 1st'!$JP$2:$JP$317),"")</f>
        <v>0</v>
      </c>
      <c r="EU22" s="7">
        <f>IFERROR(AVERAGEIF('Данные 1st'!$S$2:$S$317,$A22,'Данные 1st'!$JQ$2:$JQ$317),"")</f>
        <v>0</v>
      </c>
      <c r="EV22" s="7">
        <f>IFERROR(AVERAGEIF('Данные 1st'!$S$2:$S$317,$A22,'Данные 1st'!$JR$2:$JR$317),"")</f>
        <v>358</v>
      </c>
      <c r="EW22" s="7">
        <f>IFERROR(AVERAGEIF('Данные 1st'!$S$2:$S$317,$A22,'Данные 1st'!$JS$2:$JS$317),"")</f>
        <v>150</v>
      </c>
      <c r="EX22" s="7">
        <f>IFERROR(AVERAGEIF('Данные 1st'!$S$2:$S$317,$A22,'Данные 1st'!$JT$2:$JT$317),"")</f>
        <v/>
      </c>
      <c r="EY22" s="7">
        <f>IFERROR(AVERAGEIF('Данные 1st'!$S$2:$S$317,$A22,'Данные 1st'!$JU$2:$JU$317),"")</f>
        <v/>
      </c>
      <c r="EZ22" s="7">
        <f>IFERROR(AVERAGEIF('Данные 1st'!$S$2:$S$317,$A22,'Данные 1st'!$JV$2:$JV$317),"")</f>
        <v>8</v>
      </c>
      <c r="FA22" s="7">
        <f>IFERROR(AVERAGEIF('Данные 1st'!$S$2:$S$317,$A22,'Данные 1st'!$JW$2:$JW$317),"")</f>
        <v/>
      </c>
      <c r="FB22" s="7">
        <f>IFERROR(AVERAGEIF('Данные 1st'!$S$2:$S$317,$A22,'Данные 1st'!$JX$2:$JX$317),"")</f>
        <v>0</v>
      </c>
      <c r="FC22" s="7">
        <f>IFERROR(AVERAGEIF('Данные 1st'!$S$2:$S$317,$A22,'Данные 1st'!$JY$2:$JY$317),"")</f>
        <v/>
      </c>
      <c r="FD22" s="7">
        <f>IFERROR(AVERAGEIF('Данные 1st'!$S$2:$S$317,$A22,'Данные 1st'!$JZ$2:$JZ$317),"")</f>
        <v/>
      </c>
      <c r="FE22" s="7">
        <f>IFERROR(AVERAGEIF('Данные 1st'!$S$2:$S$317,$A22,'Данные 1st'!$KA$2:$KA$317),"")</f>
        <v>0</v>
      </c>
      <c r="FF22" s="7">
        <f>IFERROR(AVERAGEIF('Данные 1st'!$S$2:$S$317,$A22,'Данные 1st'!$KB$2:$KB$317),"")</f>
        <v>110</v>
      </c>
      <c r="FG22" s="7">
        <f>IFERROR(AVERAGEIF('Данные 1st'!$S$2:$S$317,$A22,'Данные 1st'!$KC$2:$KC$317),"")</f>
        <v>0</v>
      </c>
      <c r="FH22" s="7">
        <f>IFERROR(AVERAGEIF('Данные 1st'!$S$2:$S$317,$A22,'Данные 1st'!$KD$2:$KD$317),"")</f>
        <v>80</v>
      </c>
      <c r="FI22" s="7">
        <f>IFERROR(AVERAGEIF('Данные 1st'!$S$2:$S$317,$A22,'Данные 1st'!$KE$2:$KE$317),"")</f>
        <v/>
      </c>
      <c r="FJ22" s="7">
        <f>IFERROR(AVERAGEIF('Данные 1st'!$S$2:$S$317,$A22,'Данные 1st'!$KF$2:$KF$317),"")</f>
        <v>4</v>
      </c>
      <c r="FK22" s="7">
        <f>IFERROR(AVERAGEIF('Данные 1st'!$S$2:$S$317,$A22,'Данные 1st'!$KG$2:$KG$317),"")</f>
        <v>2.5</v>
      </c>
      <c r="FL22" s="7">
        <f>IFERROR(AVERAGEIF('Данные 1st'!$S$2:$S$317,$A22,'Данные 1st'!$KH$2:$KH$317),"")</f>
        <v>2</v>
      </c>
      <c r="FM22" s="7">
        <f>IFERROR(AVERAGEIF('Данные 1st'!$S$2:$S$317,$A22,'Данные 1st'!$KI$2:$KI$317),"")</f>
        <v>2</v>
      </c>
      <c r="FN22" s="7">
        <f>IFERROR(AVERAGEIF('Данные 1st'!$S$2:$S$317,$A22,'Данные 1st'!$KJ$2:$KJ$317),"")</f>
        <v>0</v>
      </c>
      <c r="FO22" s="7">
        <f>IFERROR(AVERAGEIF('Данные 1st'!$S$2:$S$317,$A22,'Данные 1st'!$KK$2:$KK$317),"")</f>
        <v>1.5</v>
      </c>
      <c r="FP22" s="7">
        <f>IFERROR(AVERAGEIF('Данные 1st'!$S$2:$S$317,$A22,'Данные 1st'!$KL$2:$KL$317),"")</f>
        <v>1.5</v>
      </c>
      <c r="FQ22" s="7">
        <f>IFERROR(AVERAGEIF('Данные 1st'!$S$2:$S$317,$A22,'Данные 1st'!$KM$2:$KM$317),"")</f>
        <v>0</v>
      </c>
      <c r="FR22" s="7">
        <f>IFERROR(AVERAGEIF('Данные 1st'!$S$2:$S$317,$A22,'Данные 1st'!$KN$2:$KN$317),"")</f>
        <v>0</v>
      </c>
      <c r="FS22" s="7">
        <f>IFERROR(AVERAGEIF('Данные 1st'!$S$2:$S$317,$A22,'Данные 1st'!$KR$2:$KR$317),"")</f>
        <v>35</v>
      </c>
      <c r="FT22" s="7">
        <f>IFERROR(AVERAGEIF('Данные 1st'!$S$2:$S$317,$A22,'Данные 1st'!$KS$2:$KS$317),"")</f>
        <v>60</v>
      </c>
      <c r="FU22" s="7">
        <f>IFERROR(AVERAGEIF('Данные 1st'!$S$2:$S$317,$A22,'Данные 1st'!$KT$2:$KT$317),"")</f>
        <v>0</v>
      </c>
      <c r="FV22" s="7">
        <f>IFERROR(AVERAGEIF('Данные 1st'!$S$2:$S$317,$A22,'Данные 1st'!$KV$2:$KV$317),"")</f>
        <v/>
      </c>
      <c r="FW22" s="7">
        <f>IFERROR(AVERAGEIF('Данные 1st'!$S$2:$S$317,$A22,'Данные 1st'!$KW$2:$KW$317),"")</f>
        <v/>
      </c>
      <c r="FX22" s="7">
        <f>IFERROR(AVERAGEIF('Данные 1st'!$S$2:$S$317,$A22,'Данные 1st'!$KX$2:$KX$317),"")</f>
        <v/>
      </c>
      <c r="FY22" s="7">
        <f>IFERROR(AVERAGEIF('Данные 1st'!$S$2:$S$317,$A22,'Данные 1st'!$KY$2:$KY$317),"")</f>
        <v/>
      </c>
      <c r="FZ22" s="7">
        <f>IFERROR(AVERAGEIF('Данные 1st'!$S$2:$S$317,$A22,'Данные 1st'!$KZ$2:$KZ$317),"")</f>
        <v/>
      </c>
      <c r="GA22" s="7">
        <f>IFERROR(AVERAGEIF('Данные 1st'!$S$2:$S$317,$A22,'Данные 1st'!$LA$2:$LA$317),"")</f>
        <v/>
      </c>
      <c r="GB22" s="7">
        <f>IFERROR(AVERAGEIF('Данные 1st'!$S$2:$S$317,$A22,'Данные 1st'!$LB$2:$LB$317),"")</f>
        <v/>
      </c>
      <c r="GC22" s="7">
        <f>IFERROR(AVERAGEIF('Данные 1st'!$S$2:$S$317,$A22,'Данные 1st'!$LC$2:$LC$317),"")</f>
        <v/>
      </c>
      <c r="GD22" s="7">
        <f>IFERROR(AVERAGEIF('Данные 1st'!$S$2:$S$317,$A22,'Данные 1st'!$LD$2:$LD$317),"")</f>
        <v/>
      </c>
      <c r="GE22" s="7">
        <f>IFERROR(AVERAGEIF('Данные 1st'!$S$2:$S$317,$A22,'Данные 1st'!$LE$2:$LE$317),"")</f>
        <v/>
      </c>
      <c r="GF22" s="7">
        <f>IFERROR(AVERAGEIF('Данные 1st'!$S$2:$S$317,$A22,'Данные 1st'!$LF$2:$LF$317),"")</f>
        <v/>
      </c>
      <c r="GG22" s="7">
        <f>IFERROR(AVERAGEIF('Данные 1st'!$S$2:$S$317,$A22,'Данные 1st'!$LG$2:$LG$317),"")</f>
        <v/>
      </c>
      <c r="GH22" s="7">
        <f>IFERROR(AVERAGEIF('Данные 1st'!$S$2:$S$317,$A22,'Данные 1st'!$LH$2:$LH$317),"")</f>
        <v/>
      </c>
      <c r="GI22" s="7">
        <f>IFERROR(AVERAGEIF('Данные 1st'!$S$2:$S$317,$A22,'Данные 1st'!$LI$2:$LI$317),"")</f>
        <v/>
      </c>
      <c r="GJ22" s="7">
        <f>IFERROR(AVERAGEIF('Данные 1st'!$S$2:$S$317,$A22,'Данные 1st'!$LJ$2:$LJ$317),"")</f>
        <v/>
      </c>
      <c r="GK22" s="7">
        <f>IFERROR(AVERAGEIF('Данные 1st'!$S$2:$S$317,$A22,'Данные 1st'!$LK$2:$LK$317),"")</f>
        <v>480</v>
      </c>
      <c r="GL22" s="7">
        <f>IFERROR(AVERAGEIF('Данные 1st'!$S$2:$S$317,$A22,'Данные 1st'!$LV$2:$LV$317),"")</f>
        <v/>
      </c>
      <c r="GM22" s="7">
        <f>IFERROR(AVERAGEIF('Данные 1st'!$S$2:$S$317,$A22,'Данные 1st'!$LW$2:$LW$317),"")</f>
        <v/>
      </c>
      <c r="GN22" s="7">
        <f>IFERROR(AVERAGEIF('Данные 1st'!$S$2:$S$317,$A22,'Данные 1st'!$LX$2:$LX$317),"")</f>
        <v/>
      </c>
      <c r="GO22" s="7">
        <f>IFERROR(AVERAGEIF('Данные 1st'!$S$2:$S$317,$A22,'Данные 1st'!$LY$2:$LY$317),"")</f>
        <v/>
      </c>
      <c r="GP22" s="7">
        <f>IFERROR(AVERAGEIF('Данные 1st'!$S$2:$S$317,$A22,'Данные 1st'!$LZ$2:$LZ$317),"")</f>
        <v/>
      </c>
      <c r="GQ22" s="7">
        <f>IFERROR(AVERAGEIF('Данные 1st'!$S$2:$S$317,$A22,'Данные 1st'!$PG$2:$PG$317),"")</f>
        <v>1</v>
      </c>
      <c r="GR22" s="7">
        <f>IFERROR(AVERAGEIF('Данные 1st'!$S$2:$S$317,$A22,'Данные 1st'!$PX$2:$PX$317),"")</f>
        <v>56</v>
      </c>
      <c r="GS22" s="7">
        <f>IFERROR(AVERAGEIF('Данные 1st'!$S$2:$S$317,$A22,'Данные 1st'!$PY$2:$PY$317),"")</f>
        <v>56.75</v>
      </c>
      <c r="GT22" s="7">
        <f>IFERROR(AVERAGEIF('Данные 1st'!$S$2:$S$317,$A22,'Данные 1st'!$QA$2:$QA$317),"")</f>
        <v>1.5</v>
      </c>
      <c r="GU22" s="7">
        <f>IFERROR(AVERAGEIF('Данные 1st'!$S$2:$S$317,$A22,'Данные 1st'!$QB$2:$QB$317),"")</f>
        <v>1198</v>
      </c>
      <c r="GV22" s="7">
        <f>IFERROR(AVERAGEIF('Данные 1st'!$S$2:$S$317,$A22,'Данные 1st'!$QC$2:$QC$317),"")</f>
        <v>69</v>
      </c>
      <c r="GW22" s="7">
        <f>IFERROR(AVERAGEIF('Данные 1st'!$S$2:$S$317,$A22,'Данные 1st'!$QD$2:$QD$317),"")</f>
        <v>69</v>
      </c>
      <c r="GX22" s="7">
        <f>IFERROR(AVERAGEIF('Данные 1st'!$S$2:$S$317,$A22,'Данные 1st'!$QF$2:$QF$317),"")</f>
        <v>1.25</v>
      </c>
      <c r="GY22" s="7">
        <f>IFERROR(AVERAGEIF('Данные 1st'!$S$2:$S$317,$A22,'Данные 1st'!$QG$2:$QG$317),"")</f>
        <v>1213</v>
      </c>
      <c r="GZ22" s="7">
        <f>IFERROR(AVERAGEIF('Данные 1st'!$S$2:$S$317,$A22,'Данные 1st'!$QH$2:$QH$317),"")</f>
        <v>66</v>
      </c>
      <c r="HA22" s="7">
        <f>IFERROR(AVERAGEIF('Данные 1st'!$S$2:$S$317,$A22,'Данные 1st'!$QI$2:$QI$317),"")</f>
        <v>66</v>
      </c>
      <c r="HB22" s="7">
        <f>IFERROR(AVERAGEIF('Данные 1st'!$S$2:$S$317,$A22,'Данные 1st'!$QK$2:$QK$317),"")</f>
        <v/>
      </c>
      <c r="HC22" s="7">
        <f>IFERROR(AVERAGEIF('Данные 1st'!$S$2:$S$317,$A22,'Данные 1st'!$QL$2:$QL$317),"")</f>
        <v>0</v>
      </c>
      <c r="HD22" s="7">
        <f>IFERROR(AVERAGEIF('Данные 1st'!$S$2:$S$317,$A22,'Данные 1st'!$QM$2:$QM$317),"")</f>
        <v>62.5</v>
      </c>
      <c r="HE22" s="7">
        <f>IFERROR(AVERAGEIF('Данные 1st'!$S$2:$S$317,$A22,'Данные 1st'!$QN$2:$QN$317),"")</f>
        <v>62.5</v>
      </c>
      <c r="HF22" s="7">
        <f>IFERROR(AVERAGEIF('Данные 1st'!$S$2:$S$317,$A22,'Данные 1st'!$QP$2:$QP$317),"")</f>
        <v>1</v>
      </c>
      <c r="HG22" s="7">
        <f>IFERROR(AVERAGEIF('Данные 1st'!$S$2:$S$317,$A22,'Данные 1st'!$QQ$2:$QQ$317),"")</f>
        <v>1211.25</v>
      </c>
      <c r="HH22" s="7">
        <f>IFERROR(AVERAGEIF('Данные 1st'!$S$2:$S$317,$A22,'Данные 1st'!$QR$2:$QR$317),"")</f>
        <v/>
      </c>
      <c r="HI22" s="7">
        <f>IFERROR(AVERAGEIF('Данные 1st'!$S$2:$S$317,$A22,'Данные 1st'!$QS$2:$QS$317),"")</f>
        <v/>
      </c>
      <c r="HJ22" s="7">
        <f>IFERROR(AVERAGEIF('Данные 1st'!$S$2:$S$317,$A22,'Данные 1st'!$QU$2:$QU$317),"")</f>
        <v/>
      </c>
      <c r="HK22" s="7">
        <f>IFERROR(AVERAGEIF('Данные 1st'!$S$2:$S$317,$A22,'Данные 1st'!$QV$2:$QV$317),"")</f>
        <v/>
      </c>
      <c r="HL22" s="7">
        <f>IFERROR(AVERAGEIF('Данные 1st'!$S$2:$S$317,$A22,'Данные 1st'!$QW$2:$QW$317),"")</f>
        <v>82</v>
      </c>
      <c r="HM22" s="7">
        <f>IFERROR(AVERAGEIF('Данные 1st'!$S$2:$S$317,$A22,'Данные 1st'!$QX$2:$QX$317),"")</f>
        <v>87.5</v>
      </c>
      <c r="HN22" s="7">
        <f>IFERROR(AVERAGEIF('Данные 1st'!$S$2:$S$317,$A22,'Данные 1st'!$QZ$2:$QZ$317),"")</f>
        <v>1.25</v>
      </c>
      <c r="HO22" s="7">
        <f>IFERROR(AVERAGEIF('Данные 1st'!$S$2:$S$317,$A22,'Данные 1st'!$RA$2:$RA$317),"")</f>
        <v>66</v>
      </c>
      <c r="HP22" s="7">
        <f>IFERROR(AVERAGEIF('Данные 1st'!$S$2:$S$317,$A22,'Данные 1st'!$RB$2:$RB$317),"")</f>
        <v>66</v>
      </c>
      <c r="HQ22" s="7">
        <f>IFERROR(AVERAGEIF('Данные 1st'!$S$2:$S$317,$A22,'Данные 1st'!$RD$2:$RD$317),"")</f>
        <v/>
      </c>
      <c r="HR22" s="7">
        <f>IFERROR(AVERAGEIF('Данные 1st'!$S$2:$S$317,$A22,'Данные 1st'!$RE$2:$RE$317),"")</f>
        <v>0</v>
      </c>
      <c r="HS22" s="7">
        <f>IFERROR(AVERAGEIF('Данные 1st'!$S$2:$S$317,$A22,'Данные 1st'!$RF$2:$RF$317),"")</f>
        <v>1</v>
      </c>
      <c r="HT22" s="7">
        <f>IFERROR(AVERAGEIF('Данные 1st'!$S$2:$S$317,$A22,'Данные 1st'!$RG$2:$RG$317),"")</f>
        <v>1</v>
      </c>
      <c r="HU22" s="7">
        <f>IFERROR(AVERAGEIF('Данные 1st'!$S$2:$S$317,$A22,'Данные 1st'!$RH$2:$RH$317),"")</f>
        <v/>
      </c>
      <c r="HV22" s="7">
        <f>IFERROR(AVERAGEIF('Данные 1st'!$S$2:$S$317,$A22,'Данные 1st'!$RI$2:$RI$317),"")</f>
        <v/>
      </c>
      <c r="HW22" s="7">
        <f>IFERROR(AVERAGEIF('Данные 1st'!$S$2:$S$317,$A22,'Данные 1st'!$RJ$2:$RJ$317),"")</f>
        <v>1</v>
      </c>
      <c r="HX22" s="7">
        <f>IFERROR(AVERAGEIF('Данные 1st'!$S$2:$S$317,$A22,'Данные 1st'!$RK$2:$RK$317),"")</f>
        <v/>
      </c>
      <c r="HY22" s="7">
        <f>IFERROR(AVERAGEIF('Данные 1st'!$S$2:$S$317,$A22,'Данные 1st'!$RL$2:$RL$317),"")</f>
        <v>1.5</v>
      </c>
      <c r="HZ22" s="7">
        <f>IFERROR(AVERAGEIF('Данные 1st'!$S$2:$S$317,$A22,'Данные 1st'!$RM$2:$RM$317),"")</f>
        <v/>
      </c>
      <c r="IA22" s="7">
        <f>IFERROR(AVERAGEIF('Данные 1st'!$S$2:$S$317,$A22,'Данные 1st'!$RN$2:$RN$317),"")</f>
        <v/>
      </c>
      <c r="IB22" s="7">
        <f>IFERROR(AVERAGEIF('Данные 1st'!$S$2:$S$317,$A22,'Данные 1st'!$RO$2:$RO$317),"")</f>
        <v>551</v>
      </c>
      <c r="IC22" s="7">
        <f>IFERROR(AVERAGEIF('Данные 1st'!$S$2:$S$317,$A22,'Данные 1st'!$RP$2:$RP$317),"")</f>
        <v/>
      </c>
      <c r="ID22" s="7">
        <f>IFERROR(AVERAGEIF('Данные 1st'!$S$2:$S$317,$A22,'Данные 1st'!$RQ$2:$RQ$317),"")</f>
        <v>963.75</v>
      </c>
      <c r="IE22" s="7">
        <f>IFERROR(AVERAGEIF('Данные 1st'!$S$2:$S$317,$A22,'Данные 1st'!$RR$2:$RR$317),"")</f>
        <v/>
      </c>
      <c r="IF22" s="7">
        <f>IFERROR(AVERAGEIF('Данные 1st'!$S$2:$S$317,$A22,'Данные 1st'!$RS$2:$RS$317),"")</f>
        <v/>
      </c>
      <c r="IG22" s="7">
        <f>IFERROR(AVERAGEIF('Данные 1st'!$S$2:$S$317,$A22,'Данные 1st'!$RT$2:$RT$317),"")</f>
        <v>235.25</v>
      </c>
      <c r="IH22" s="7">
        <f>IFERROR(AVERAGEIF('Данные 1st'!$S$2:$S$317,$A22,'Данные 1st'!$RU$2:$RU$317),"")</f>
        <v>173.25</v>
      </c>
      <c r="II22" s="7">
        <f>IFERROR(AVERAGEIF('Данные 1st'!$S$2:$S$317,$A22,'Данные 1st'!$RX$2:$RX$317),"")</f>
        <v>15</v>
      </c>
      <c r="IJ22" s="7">
        <f>IFERROR(AVERAGEIF('Данные 1st'!$S$2:$S$317,$A22,'Данные 1st'!$RY$2:$RY$317),"")</f>
        <v>4</v>
      </c>
      <c r="IK22" s="7">
        <f>IFERROR(AVERAGEIF('Данные 1st'!$S$2:$S$317,$A22,'Данные 1st'!$SA$2:$SA$317),"")</f>
        <v>15</v>
      </c>
      <c r="IL22" s="7">
        <f>IFERROR(AVERAGEIF('Данные 1st'!$S$2:$S$317,$A22,'Данные 1st'!$SD$2:$SD$317),"")</f>
        <v>1</v>
      </c>
      <c r="IM22" s="7">
        <f>IFERROR(AVERAGEIF('Данные 1st'!$S$2:$S$317,$A22,'Данные 1st'!$SG$2:$SG$317),"")</f>
        <v/>
      </c>
      <c r="IN22" s="7">
        <f>IFERROR(AVERAGEIF('Данные 1st'!$S$2:$S$317,$A22,'Данные 1st'!$SH$2:$SH$317),"")</f>
        <v>0.995</v>
      </c>
      <c r="IO22" s="7">
        <f>IFERROR(AVERAGEIF('Данные 1st'!$S$2:$S$317,$A22,'Данные 1st'!$SI$2:$SI$317),"")</f>
        <v>0.995</v>
      </c>
      <c r="IP22" s="7">
        <f>IFERROR(AVERAGEIF('Данные 1st'!$S$2:$S$317,$A22,'Данные 1st'!$SJ$2:$SJ$317),"")</f>
        <v>0.995</v>
      </c>
      <c r="IQ22" s="7">
        <f>IFERROR(AVERAGEIF('Данные 1st'!$S$2:$S$317,$A22,'Данные 1st'!$SK$2:$SK$317),"")</f>
        <v>15</v>
      </c>
      <c r="IR22" s="7">
        <f>IFERROR(AVERAGEIF('Данные 1st'!$S$2:$S$317,$A22,'Данные 1st'!$SL$2:$SL$317),"")</f>
        <v>0</v>
      </c>
      <c r="IS22" s="7">
        <f>IFERROR(AVERAGEIF('Данные 1st'!$S$2:$S$317,$A22,'Данные 1st'!$SM$2:$SM$317),"")</f>
        <v>0</v>
      </c>
      <c r="IT22" s="7">
        <f>IFERROR(AVERAGEIF('Данные 1st'!$S$2:$S$317,$A22,'Данные 1st'!$SN$2:$SN$317),"")</f>
        <v>0</v>
      </c>
      <c r="IU22" s="7">
        <f>IFERROR(AVERAGEIF('Данные 1st'!$S$2:$S$317,$A22,'Данные 1st'!$SO$2:$SO$317),"")</f>
        <v>0</v>
      </c>
      <c r="IV22" s="7">
        <f>IFERROR(AVERAGEIF('Данные 1st'!$S$2:$S$317,$A22,'Данные 1st'!$SP$2:$SP$317),"")</f>
        <v>0</v>
      </c>
      <c r="IW22" s="7">
        <f>IFERROR(AVERAGEIF('Данные 1st'!$S$2:$S$317,$A22,'Данные 1st'!$SQ$2:$SQ$317),"")</f>
        <v>0</v>
      </c>
      <c r="IX22" s="7">
        <f>IFERROR(AVERAGEIF('Данные 1st'!$S$2:$S$317,$A22,'Данные 1st'!$SR$2:$SR$317),"")</f>
        <v>0</v>
      </c>
      <c r="IY22" s="7">
        <f>IFERROR(AVERAGEIF('Данные 1st'!$S$2:$S$317,$A22,'Данные 1st'!$SS$2:$SS$317),"")</f>
        <v>0</v>
      </c>
      <c r="IZ22" s="7">
        <f>IFERROR(AVERAGEIF('Данные 1st'!$S$2:$S$317,$A22,'Данные 1st'!$ST$2:$ST$317),"")</f>
        <v>0</v>
      </c>
      <c r="JA22" s="7">
        <f>IFERROR(AVERAGEIF('Данные 1st'!$S$2:$S$317,$A22,'Данные 1st'!$SU$2:$SU$317),"")</f>
        <v>0</v>
      </c>
      <c r="JB22" s="7">
        <f>IFERROR(AVERAGEIF('Данные 1st'!$S$2:$S$317,$A22,'Данные 1st'!$SV$2:$SV$317),"")</f>
        <v>0</v>
      </c>
      <c r="JC22" s="7">
        <f>IFERROR(AVERAGEIF('Данные 1st'!$S$2:$S$317,$A22,'Данные 1st'!$SW$2:$SW$317),"")</f>
        <v>0</v>
      </c>
      <c r="JD22" s="7">
        <f>IFERROR(AVERAGEIF('Данные 1st'!$S$2:$S$317,$A22,'Данные 1st'!$SX$2:$SX$317),"")</f>
        <v>0</v>
      </c>
      <c r="JE22" s="7">
        <f>IFERROR(AVERAGEIF('Данные 1st'!$S$2:$S$317,$A22,'Данные 1st'!$SY$2:$SY$317),"")</f>
        <v/>
      </c>
      <c r="JF22" s="7">
        <f>IFERROR(AVERAGEIF('Данные 1st'!$S$2:$S$317,$A22,'Данные 1st'!$SZ$2:$SZ$317),"")</f>
        <v/>
      </c>
      <c r="JG22" s="7">
        <f>IFERROR(AVERAGEIF('Данные 1st'!$S$2:$S$317,$A22,'Данные 1st'!$TA$2:$TA$317),"")</f>
        <v/>
      </c>
      <c r="JH22" s="7">
        <f>IFERROR(AVERAGEIF('Данные 1st'!$S$2:$S$317,$A22,'Данные 1st'!$TB$2:$TB$317),"")</f>
        <v>0</v>
      </c>
      <c r="JI22" s="7">
        <f>IFERROR(AVERAGEIF('Данные 1st'!$S$2:$S$317,$A22,'Данные 1st'!$TC$2:$TC$317),"")</f>
        <v>0</v>
      </c>
      <c r="JJ22" s="7">
        <f>IFERROR(AVERAGEIF('Данные 1st'!$S$2:$S$317,$A22,'Данные 1st'!$TD$2:$TD$317),"")</f>
        <v>7.5</v>
      </c>
      <c r="JK22" s="7">
        <f>IFERROR(AVERAGEIF('Данные 1st'!$S$2:$S$317,$A22,'Данные 1st'!$TN$2:$TN$317),"")</f>
        <v>0</v>
      </c>
      <c r="JL22">
        <f>COUNTIF('Данные 2st'!$Q$2:$Q$317,$A22)</f>
        <v>4</v>
      </c>
      <c r="JM22" s="6" t="s">
        <v>5082</v>
      </c>
      <c r="JN22" s="6" t="s">
        <v>513</v>
      </c>
      <c r="JO22" s="6" t="s">
        <v>5125</v>
      </c>
      <c r="JP22" s="6" t="s">
        <v>5479</v>
      </c>
      <c r="JQ22" s="7">
        <f>IFERROR(AVERAGEIF('Данные 2st'!$Q$2:$Q$317,$A22,'Данные 2st'!$AC$2:$AC$317),"")</f>
        <v>11.25</v>
      </c>
      <c r="JR22" s="7">
        <f>IFERROR(AVERAGEIF('Данные 2st'!$Q$2:$Q$317,$A22,'Данные 2st'!$AF$2:$AF$317),"")</f>
        <v>4144</v>
      </c>
      <c r="JS22" s="7">
        <f>IFERROR(AVERAGEIF('Данные 2st'!$Q$2:$Q$317,$A22,'Данные 2st'!$AW$2:$AW$317),"")</f>
        <v>6.4</v>
      </c>
      <c r="JT22" s="7">
        <f>IFERROR(AVERAGEIF('Данные 2st'!$Q$2:$Q$317,$A22,'Данные 2st'!$AX$2:$AX$317),"")</f>
        <v>-6</v>
      </c>
      <c r="JU22" s="7">
        <f>IFERROR(AVERAGEIF('Данные 2st'!$Q$2:$Q$317,$A22,'Данные 2st'!$AY$2:$AY$317),"")</f>
        <v>95.875</v>
      </c>
      <c r="JV22" s="7">
        <f>IFERROR(AVERAGEIF('Данные 2st'!$Q$2:$Q$317,$A22,'Данные 2st'!$AZ$2:$AZ$317),"")</f>
        <v>72.625</v>
      </c>
      <c r="JW22" s="7">
        <f>IFERROR(AVERAGEIF('Данные 2st'!$Q$2:$Q$317,$A22,'Данные 2st'!$BA$2:$BA$317),"")</f>
        <v/>
      </c>
      <c r="JX22" s="7">
        <f>IFERROR(AVERAGEIF('Данные 2st'!$Q$2:$Q$317,$A22,'Данные 2st'!$BB$2:$BB$317),"")</f>
        <v/>
      </c>
      <c r="JY22" s="7">
        <f>IFERROR(AVERAGEIF('Данные 2st'!$Q$2:$Q$317,$A22,'Данные 2st'!$BC$2:$BC$317),"")</f>
        <v/>
      </c>
      <c r="JZ22" s="7">
        <f>IFERROR(AVERAGEIF('Данные 2st'!$Q$2:$Q$317,$A22,'Данные 2st'!$BH$2:$BH$317),"")</f>
        <v>95.875</v>
      </c>
      <c r="KA22" s="7">
        <f>IFERROR(AVERAGEIF('Данные 2st'!$Q$2:$Q$317,$A22,'Данные 2st'!$BI$2:$BI$317),"")</f>
        <v>23.25</v>
      </c>
      <c r="KB22" s="7">
        <f>IFERROR(AVERAGEIF('Данные 2st'!$Q$2:$Q$317,$A22,'Данные 2st'!$BJ$2:$BJ$317),"")</f>
        <v>72.625</v>
      </c>
      <c r="KC22" s="7">
        <f>IFERROR(AVERAGEIF('Данные 2st'!$Q$2:$Q$317,$A22,'Данные 2st'!$BK$2:$BK$317),"")</f>
        <v>2.75</v>
      </c>
      <c r="KD22" s="7">
        <f>IFERROR(AVERAGEIF('Данные 2st'!$Q$2:$Q$317,$A22,'Данные 2st'!$BL$2:$BL$317),"")</f>
        <v>191.75</v>
      </c>
      <c r="KE22" s="7">
        <f>IFERROR(AVERAGEIF('Данные 2st'!$Q$2:$Q$317,$A22,'Данные 2st'!$BM$2:$BM$317),"")</f>
        <v>-6</v>
      </c>
      <c r="KF22" s="7">
        <f>IFERROR(AVERAGEIF('Данные 2st'!$Q$2:$Q$317,$A22,'Данные 2st'!$BN$2:$BN$317),"")</f>
        <v>0</v>
      </c>
      <c r="KG22" s="7">
        <f>IFERROR(AVERAGEIF('Данные 2st'!$Q$2:$Q$317,$A22,'Данные 2st'!$BO$2:$BO$317),"")</f>
        <v>0</v>
      </c>
      <c r="KH22" s="7">
        <f>IFERROR(AVERAGEIF('Данные 2st'!$Q$2:$Q$317,$A22,'Данные 2st'!$BP$2:$BP$317),"")</f>
        <v>0</v>
      </c>
      <c r="KI22" s="7">
        <f>IFERROR(AVERAGEIF('Данные 2st'!$Q$2:$Q$317,$A22,'Данные 2st'!$BR$2:$BR$317),"")</f>
        <v>186.25</v>
      </c>
      <c r="KJ22" s="7">
        <f>IFERROR(AVERAGEIF('Данные 2st'!$Q$2:$Q$317,$A22,'Данные 2st'!$BS$2:$BS$317),"")</f>
        <v>176.25</v>
      </c>
      <c r="KK22" s="7">
        <f>IFERROR(AVERAGEIF('Данные 2st'!$Q$2:$Q$317,$A22,'Данные 2st'!$BT$2:$BT$317),"")</f>
        <v>1875</v>
      </c>
      <c r="KL22" s="7">
        <f>IFERROR(AVERAGEIF('Данные 2st'!$Q$2:$Q$317,$A22,'Данные 2st'!$CV$2:$CV$317),"")</f>
        <v>122.5</v>
      </c>
      <c r="KM22" s="7">
        <f>IFERROR(AVERAGEIF('Данные 2st'!$Q$2:$Q$317,$A22,'Данные 2st'!$CW$2:$CW$317),"")</f>
        <v>3</v>
      </c>
      <c r="KN22" s="7">
        <f>IFERROR(AVERAGEIF('Данные 2st'!$Q$2:$Q$317,$A22,'Данные 2st'!$CX$2:$CX$317),"")</f>
        <v>91</v>
      </c>
      <c r="KO22" s="7">
        <f>IFERROR(AVERAGEIF('Данные 2st'!$Q$2:$Q$317,$A22,'Данные 2st'!$CY$2:$CY$317),"")</f>
        <v>5</v>
      </c>
      <c r="KP22" s="7">
        <f>IFERROR(AVERAGEIF('Данные 2st'!$Q$2:$Q$317,$A22,'Данные 2st'!$CZ$2:$CZ$317),"")</f>
        <v>106.5</v>
      </c>
      <c r="KQ22" s="7">
        <f>IFERROR(AVERAGEIF('Данные 2st'!$Q$2:$Q$317,$A22,'Данные 2st'!$DA$2:$DA$317),"")</f>
        <v>5</v>
      </c>
      <c r="KR22" s="7">
        <f>IFERROR(AVERAGEIF('Данные 2st'!$Q$2:$Q$317,$A22,'Данные 2st'!$DB$2:$DB$317),"")</f>
        <v>9745</v>
      </c>
      <c r="KS22" s="7">
        <f>IFERROR(AVERAGEIF('Данные 2st'!$Q$2:$Q$317,$A22,'Данные 2st'!$DC$2:$DC$317),"")</f>
        <v>285</v>
      </c>
      <c r="KT22" s="7">
        <f>IFERROR(AVERAGEIF('Данные 2st'!$Q$2:$Q$317,$A22,'Данные 2st'!$DD$2:$DD$317),"")</f>
        <v>315.75</v>
      </c>
      <c r="KU22" s="7">
        <f>IFERROR(AVERAGEIF('Данные 2st'!$Q$2:$Q$317,$A22,'Данные 2st'!$DE$2:$DE$317),"")</f>
        <v>1967.75</v>
      </c>
      <c r="KV22" s="7">
        <f>IFERROR(AVERAGEIF('Данные 2st'!$Q$2:$Q$317,$A22,'Данные 2st'!$DF$2:$DF$317),"")</f>
        <v>1967.75</v>
      </c>
      <c r="KW22" s="7">
        <f>IFERROR(AVERAGEIF('Данные 2st'!$Q$2:$Q$317,$A22,'Данные 2st'!$DG$2:$DG$317),"")</f>
        <v>1995.25</v>
      </c>
      <c r="KX22" s="7">
        <f>IFERROR(AVERAGEIF('Данные 2st'!$Q$2:$Q$317,$A22,'Данные 2st'!$DH$2:$DH$317),"")</f>
        <v/>
      </c>
      <c r="KY22" s="7">
        <f>IFERROR(AVERAGEIF('Данные 2st'!$Q$2:$Q$317,$A22,'Данные 2st'!$DI$2:$DI$317),"")</f>
        <v/>
      </c>
      <c r="KZ22" s="7">
        <f>IFERROR(AVERAGEIF('Данные 2st'!$Q$2:$Q$317,$A22,'Данные 2st'!$DK$2:$DK$317),"")</f>
        <v>186.25</v>
      </c>
      <c r="LA22" s="7">
        <f>IFERROR(AVERAGEIF('Данные 2st'!$Q$2:$Q$317,$A22,'Данные 2st'!$DM$2:$DM$317),"")</f>
        <v>64.5</v>
      </c>
      <c r="LB22" s="7">
        <f>IFERROR(AVERAGEIF('Данные 2st'!$Q$2:$Q$317,$A22,'Данные 2st'!$DN$2:$DN$317),"")</f>
        <v>0.905</v>
      </c>
      <c r="LC22" s="7">
        <f>IFERROR(AVERAGEIF('Данные 2st'!$Q$2:$Q$317,$A22,'Данные 2st'!$DO$2:$DO$317),"")</f>
        <v>1</v>
      </c>
      <c r="LD22" s="7">
        <f>IFERROR(AVERAGEIF('Данные 2st'!$Q$2:$Q$317,$A22,'Данные 2st'!$DP$2:$DP$317),"")</f>
        <v>1878</v>
      </c>
      <c r="LE22" s="7">
        <f>IFERROR(AVERAGEIF('Данные 2st'!$Q$2:$Q$317,$A22,'Данные 2st'!$DQ$2:$DQ$317),"")</f>
        <v>667</v>
      </c>
      <c r="LF22" s="7">
        <f>IFERROR(AVERAGEIF('Данные 2st'!$Q$2:$Q$317,$A22,'Данные 2st'!$DS$2:$DS$317),"")</f>
        <v>176.25</v>
      </c>
      <c r="LG22" s="7">
        <f>IFERROR(AVERAGEIF('Данные 2st'!$Q$2:$Q$317,$A22,'Данные 2st'!$DU$2:$DU$317),"")</f>
        <v>64.5</v>
      </c>
      <c r="LH22" s="7">
        <f>IFERROR(AVERAGEIF('Данные 2st'!$Q$2:$Q$317,$A22,'Данные 2st'!$DV$2:$DV$317),"")</f>
        <v>0.905</v>
      </c>
      <c r="LI22" s="7">
        <f>IFERROR(AVERAGEIF('Данные 2st'!$Q$2:$Q$317,$A22,'Данные 2st'!$DW$2:$DW$317),"")</f>
        <v>1</v>
      </c>
      <c r="LJ22" s="7">
        <f>IFERROR(AVERAGEIF('Данные 2st'!$Q$2:$Q$317,$A22,'Данные 2st'!$DX$2:$DX$317),"")</f>
        <v>1886.25</v>
      </c>
      <c r="LK22" s="7">
        <f>IFERROR(AVERAGEIF('Данные 2st'!$Q$2:$Q$317,$A22,'Данные 2st'!$DY$2:$DY$317),"")</f>
        <v>635</v>
      </c>
      <c r="LL22" s="7">
        <f>IFERROR(AVERAGEIF('Данные 2st'!$Q$2:$Q$317,$A22,'Данные 2st'!$EA$2:$EA$317),"")</f>
        <v>29.75</v>
      </c>
      <c r="LM22" s="7">
        <f>IFERROR(AVERAGEIF('Данные 2st'!$Q$2:$Q$317,$A22,'Данные 2st'!$EC$2:$EC$317),"")</f>
        <v>0.5</v>
      </c>
      <c r="LN22" s="7">
        <f>IFERROR(AVERAGEIF('Данные 2st'!$Q$2:$Q$317,$A22,'Данные 2st'!$ED$2:$ED$317),"")</f>
        <v>1878</v>
      </c>
      <c r="LO22" s="7">
        <f>IFERROR(AVERAGEIF('Данные 2st'!$Q$2:$Q$317,$A22,'Данные 2st'!$EE$2:$EE$317),"")</f>
        <v>57.25</v>
      </c>
      <c r="LP22" s="7">
        <f>IFERROR(AVERAGEIF('Данные 2st'!$Q$2:$Q$317,$A22,'Данные 2st'!$EG$2:$EG$317),"")</f>
        <v>24.75</v>
      </c>
      <c r="LQ22" s="7">
        <f>IFERROR(AVERAGEIF('Данные 2st'!$Q$2:$Q$317,$A22,'Данные 2st'!$EI$2:$EI$317),"")</f>
        <v>0.30000000000000004</v>
      </c>
      <c r="LR22" s="7">
        <f>IFERROR(AVERAGEIF('Данные 2st'!$Q$2:$Q$317,$A22,'Данные 2st'!$EJ$2:$EJ$317),"")</f>
        <v>1881.6666666666667</v>
      </c>
      <c r="LS22" s="7">
        <f>IFERROR(AVERAGEIF('Данные 2st'!$Q$2:$Q$317,$A22,'Данные 2st'!$EK$2:$EK$317),"")</f>
        <v>54.666666666666664</v>
      </c>
      <c r="LT22" s="7">
        <f>IFERROR(AVERAGEIF('Данные 2st'!$Q$2:$Q$317,$A22,'Данные 2st'!$EM$2:$EM$317),"")</f>
        <v>12</v>
      </c>
      <c r="LU22" s="7">
        <f>IFERROR(AVERAGEIF('Данные 2st'!$Q$2:$Q$317,$A22,'Данные 2st'!$EN$2:$EN$317),"")</f>
        <v>0.5</v>
      </c>
      <c r="LV22" s="7">
        <f>IFERROR(AVERAGEIF('Данные 2st'!$Q$2:$Q$317,$A22,'Данные 2st'!$EO$2:$EO$317),"")</f>
        <v>0.945</v>
      </c>
      <c r="LW22" s="7">
        <f>IFERROR(AVERAGEIF('Данные 2st'!$Q$2:$Q$317,$A22,'Данные 2st'!$EP$2:$EP$317),"")</f>
        <v>1886.3775</v>
      </c>
      <c r="LX22" s="7">
        <f>IFERROR(AVERAGEIF('Данные 2st'!$Q$2:$Q$317,$A22,'Данные 2st'!$EQ$2:$EQ$317),"")</f>
        <v>30025.89</v>
      </c>
      <c r="LY22" s="7">
        <f>IFERROR(AVERAGEIF('Данные 2st'!$Q$2:$Q$317,$A22,'Данные 2st'!$ER$2:$ER$317),"")</f>
        <v>6881.6925</v>
      </c>
      <c r="LZ22" s="7">
        <f>IFERROR(AVERAGEIF('Данные 2st'!$Q$2:$Q$317,$A22,'Данные 2st'!$ES$2:$ES$317),"")</f>
        <v>0</v>
      </c>
      <c r="MA22" s="7">
        <f>IFERROR(AVERAGEIF('Данные 2st'!$Q$2:$Q$317,$A22,'Данные 2st'!$ET$2:$ET$317),"")</f>
        <v>0</v>
      </c>
      <c r="MB22" s="7">
        <f>IFERROR(AVERAGEIF('Данные 2st'!$Q$2:$Q$317,$A22,'Данные 2st'!$EU$2:$EU$317),"")</f>
        <v>1</v>
      </c>
      <c r="MC22" s="7">
        <f>IFERROR(AVERAGEIF('Данные 2st'!$Q$2:$Q$317,$A22,'Данные 2st'!$EV$2:$EV$317),"")</f>
        <v>36908</v>
      </c>
      <c r="MD22" s="7">
        <f>IFERROR(AVERAGEIF('Данные 2st'!$Q$2:$Q$317,$A22,'Данные 2st'!$EW$2:$EW$317),"")</f>
        <v>443.5</v>
      </c>
      <c r="ME22" s="7">
        <f>IFERROR(AVERAGEIF('Данные 2st'!$Q$2:$Q$317,$A22,'Данные 2st'!$EY$2:$EY$317),"")</f>
        <v>202.5</v>
      </c>
      <c r="MF22" s="7">
        <f>IFERROR(AVERAGEIF('Данные 2st'!$Q$2:$Q$317,$A22,'Данные 2st'!$FA$2:$FA$317),"")</f>
        <v>4.975</v>
      </c>
      <c r="MG22" s="7">
        <f>IFERROR(AVERAGEIF('Данные 2st'!$Q$2:$Q$317,$A22,'Данные 2st'!$FB$2:$FB$317),"")</f>
        <v>1</v>
      </c>
      <c r="MH22" s="7">
        <f>IFERROR(AVERAGEIF('Данные 2st'!$Q$2:$Q$317,$A22,'Данные 2st'!$FC$2:$FC$317),"")</f>
        <v>1</v>
      </c>
      <c r="MI22" s="7">
        <f>IFERROR(AVERAGEIF('Данные 2st'!$Q$2:$Q$317,$A22,'Данные 2st'!$FD$2:$FD$317),"")</f>
        <v>1918.5</v>
      </c>
      <c r="MJ22" s="7">
        <f>IFERROR(AVERAGEIF('Данные 2st'!$Q$2:$Q$317,$A22,'Данные 2st'!$FE$2:$FE$317),"")</f>
        <v>2169</v>
      </c>
      <c r="MK22" s="7">
        <f>IFERROR(AVERAGEIF('Данные 2st'!$Q$2:$Q$317,$A22,'Данные 2st'!$FG$2:$FG$317),"")</f>
        <v>205</v>
      </c>
      <c r="ML22" s="7">
        <f>IFERROR(AVERAGEIF('Данные 2st'!$Q$2:$Q$317,$A22,'Данные 2st'!$FI$2:$FI$317),"")</f>
        <v>2.75</v>
      </c>
      <c r="MM22" s="7">
        <f>IFERROR(AVERAGEIF('Данные 2st'!$Q$2:$Q$317,$A22,'Данные 2st'!$FJ$2:$FJ$317),"")</f>
        <v>1918.5</v>
      </c>
      <c r="MN22" s="7">
        <f>IFERROR(AVERAGEIF('Данные 2st'!$Q$2:$Q$317,$A22,'Данные 2st'!$FK$2:$FK$317),"")</f>
        <v>1230</v>
      </c>
      <c r="MO22" s="7">
        <f>IFERROR(AVERAGEIF('Данные 2st'!$Q$2:$Q$317,$A22,'Данные 2st'!$FP$2:$FP$317),"")</f>
        <v>1918.5</v>
      </c>
      <c r="MP22" s="7">
        <f>IFERROR(AVERAGEIF('Данные 2st'!$Q$2:$Q$317,$A22,'Данные 2st'!$FQ$2:$FQ$317),"")</f>
        <v>164</v>
      </c>
      <c r="MQ22" s="7">
        <f>IFERROR(AVERAGEIF('Данные 2st'!$Q$2:$Q$317,$A22,'Данные 2st'!$FS$2:$FS$317),"")</f>
        <v>209</v>
      </c>
      <c r="MR22" s="7">
        <f>IFERROR(AVERAGEIF('Данные 2st'!$Q$2:$Q$317,$A22,'Данные 2st'!$FU$2:$FU$317),"")</f>
        <v>0.4</v>
      </c>
      <c r="MS22" s="7">
        <f>IFERROR(AVERAGEIF('Данные 2st'!$Q$2:$Q$317,$A22,'Данные 2st'!$FV$2:$FV$317),"")</f>
        <v>1918.5</v>
      </c>
      <c r="MT22" s="7">
        <f>IFERROR(AVERAGEIF('Данные 2st'!$Q$2:$Q$317,$A22,'Данные 2st'!$FW$2:$FW$317),"")</f>
        <v>178.5</v>
      </c>
      <c r="MU22" s="7">
        <f>IFERROR(AVERAGEIF('Данные 2st'!$Q$2:$Q$317,$A22,'Данные 2st'!$FY$2:$FY$317),"")</f>
        <v>5</v>
      </c>
      <c r="MV22" s="7">
        <f>IFERROR(AVERAGEIF('Данные 2st'!$Q$2:$Q$317,$A22,'Данные 2st'!$GB$2:$GB$317),"")</f>
        <v>1921</v>
      </c>
      <c r="MW22" s="7">
        <f>IFERROR(AVERAGEIF('Данные 2st'!$Q$2:$Q$317,$A22,'Данные 2st'!$GC$2:$GC$317),"")</f>
        <v>17.333333333333332</v>
      </c>
      <c r="MX22" s="7">
        <f>IFERROR(AVERAGEIF('Данные 2st'!$Q$2:$Q$317,$A22,'Данные 2st'!$GD$2:$GD$317),"")</f>
        <v>3754.5</v>
      </c>
      <c r="MY22" s="7">
        <f>IFERROR(AVERAGEIF('Данные 2st'!$Q$2:$Q$317,$A22,'Данные 2st'!$GN$2:$GN$317),"")</f>
        <v/>
      </c>
      <c r="MZ22" s="7">
        <f>IFERROR(AVERAGEIF('Данные 2st'!$Q$2:$Q$317,$A22,'Данные 2st'!$GQ$2:$GQ$317),"")</f>
        <v>0</v>
      </c>
      <c r="NA22" s="7">
        <f>IFERROR(AVERAGEIF('Данные 2st'!$Q$2:$Q$317,$A22,'Данные 2st'!$GV$2:$GV$317),"")</f>
        <v>8.125</v>
      </c>
      <c r="NB22" s="7">
        <f>IFERROR(AVERAGEIF('Данные 2st'!$Q$2:$Q$317,$A22,'Данные 2st'!$GW$2:$GW$317),"")</f>
        <v>9.95</v>
      </c>
      <c r="NC22" s="7">
        <f>IFERROR(AVERAGEIF('Данные 2st'!$Q$2:$Q$317,$A22,'Данные 2st'!$GX$2:$GX$317),"")</f>
        <v>0.5</v>
      </c>
      <c r="ND22" s="7">
        <f>IFERROR(AVERAGEIF('Данные 2st'!$Q$2:$Q$317,$A22,'Данные 2st'!$GY$2:$GY$317),"")</f>
        <v>175.5</v>
      </c>
      <c r="NE22" s="7">
        <f>IFERROR(AVERAGEIF('Данные 2st'!$Q$2:$Q$317,$A22,'Данные 2st'!$GZ$2:$GZ$317),"")</f>
        <v>3</v>
      </c>
      <c r="NF22" s="7">
        <f>IFERROR(AVERAGEIF('Данные 2st'!$Q$2:$Q$317,$A22,'Данные 2st'!$HA$2:$HA$317),"")</f>
        <v>225.5</v>
      </c>
      <c r="NG22" s="7">
        <f>IFERROR(AVERAGEIF('Данные 2st'!$Q$2:$Q$317,$A22,'Данные 2st'!$HB$2:$HB$317),"")</f>
        <v>3</v>
      </c>
      <c r="NH22" s="7">
        <f>IFERROR(AVERAGEIF('Данные 2st'!$Q$2:$Q$317,$A22,'Данные 2st'!$HC$2:$HC$317),"")</f>
        <v>1918.5</v>
      </c>
      <c r="NI22" s="7">
        <f>IFERROR(AVERAGEIF('Данные 2st'!$Q$2:$Q$317,$A22,'Данные 2st'!$HD$2:$HD$317),"")</f>
        <v>4</v>
      </c>
      <c r="NJ22" s="7">
        <f>IFERROR(AVERAGEIF('Данные 2st'!$Q$2:$Q$317,$A22,'Данные 2st'!$HM$2:$HM$317),"")</f>
        <v>16</v>
      </c>
      <c r="NK22" s="7">
        <f>IFERROR(AVERAGEIF('Данные 2st'!$Q$2:$Q$317,$A22,'Данные 2st'!$HR$2:$HR$317),"")</f>
        <v>2</v>
      </c>
      <c r="NL22" s="7">
        <f>IFERROR(AVERAGEIF('Данные 2st'!$Q$2:$Q$317,$A22,'Данные 2st'!$HS$2:$HS$317),"")</f>
        <v>1875</v>
      </c>
      <c r="NM22" s="7">
        <f>IFERROR(AVERAGEIF('Данные 2st'!$Q$2:$Q$317,$A22,'Данные 2st'!$HT$2:$HT$317),"")</f>
        <v>5</v>
      </c>
      <c r="NN22" s="7">
        <f>IFERROR(AVERAGEIF('Данные 2st'!$Q$2:$Q$317,$A22,'Данные 2st'!$HY$2:$HY$317),"")</f>
        <v>0</v>
      </c>
      <c r="NO22" s="7">
        <f>IFERROR(AVERAGEIF('Данные 2st'!$Q$2:$Q$317,$A22,'Данные 2st'!$HZ$2:$HZ$317),"")</f>
        <v>64.5</v>
      </c>
      <c r="NP22" s="7">
        <f>IFERROR(AVERAGEIF('Данные 2st'!$Q$2:$Q$317,$A22,'Данные 2st'!$IA$2:$IA$317),"")</f>
        <v>1878</v>
      </c>
      <c r="NQ22" s="7">
        <f>IFERROR(AVERAGEIF('Данные 2st'!$Q$2:$Q$317,$A22,'Данные 2st'!$IB$2:$IB$317),"")</f>
        <v>1886.25</v>
      </c>
      <c r="NR22" s="7">
        <f>IFERROR(AVERAGEIF('Данные 2st'!$Q$2:$Q$317,$A22,'Данные 2st'!$IC$2:$IC$317),"")</f>
        <v/>
      </c>
      <c r="NS22" s="7">
        <f>IFERROR(AVERAGEIF('Данные 2st'!$Q$2:$Q$317,$A22,'Данные 2st'!$ID$2:$ID$317),"")</f>
        <v>1918.5</v>
      </c>
      <c r="NT22" s="7">
        <f>IFERROR(AVERAGEIF('Данные 2st'!$Q$2:$Q$317,$A22,'Данные 2st'!$IE$2:$IE$317),"")</f>
        <v>1918.5</v>
      </c>
      <c r="NU22" s="7">
        <f>IFERROR(AVERAGEIF('Данные 2st'!$Q$2:$Q$317,$A22,'Данные 2st'!$IF$2:$IF$317),"")</f>
        <v>186.25</v>
      </c>
      <c r="NV22" s="7">
        <f>IFERROR(AVERAGEIF('Данные 2st'!$Q$2:$Q$317,$A22,'Данные 2st'!$IG$2:$IG$317),"")</f>
        <v>176.25</v>
      </c>
      <c r="NW22" s="7">
        <f>IFERROR(AVERAGEIF('Данные 2st'!$Q$2:$Q$317,$A22,'Данные 2st'!$IH$2:$IH$317),"")</f>
        <v>225.5</v>
      </c>
      <c r="NX22" s="7">
        <f>IFERROR(AVERAGEIF('Данные 2st'!$Q$2:$Q$317,$A22,'Данные 2st'!$IJ$2:$IJ$317),"")</f>
        <v>5</v>
      </c>
      <c r="NY22" s="7">
        <f>IFERROR(AVERAGEIF('Данные 2st'!$Q$2:$Q$317,$A22,'Данные 2st'!$IM$2:$IM$317),"")</f>
        <v>0</v>
      </c>
      <c r="NZ22" s="7">
        <f>IFERROR(AVERAGEIF('Данные 2st'!$Q$2:$Q$317,$A22,'Данные 2st'!$IN$2:$IN$317),"")</f>
        <v>270</v>
      </c>
      <c r="OA22" s="7">
        <f>IFERROR(AVERAGEIF('Данные 2st'!$Q$2:$Q$317,$A22,'Данные 2st'!$IO$2:$IO$317),"")</f>
        <v>0</v>
      </c>
      <c r="OB22" s="7">
        <f>IFERROR(AVERAGEIF('Данные 2st'!$Q$2:$Q$317,$A22,'Данные 2st'!$IP$2:$IP$317),"")</f>
        <v>180</v>
      </c>
      <c r="OC22" s="7">
        <f>IFERROR(AVERAGEIF('Данные 2st'!$Q$2:$Q$317,$A22,'Данные 2st'!$IQ$2:$IQ$317),"")</f>
        <v>0</v>
      </c>
      <c r="OD22" s="7">
        <f>IFERROR(AVERAGEIF('Данные 2st'!$Q$2:$Q$317,$A22,'Данные 2st'!$IR$2:$IR$317),"")</f>
        <v>328.75</v>
      </c>
      <c r="OE22" s="7">
        <f>IFERROR(AVERAGEIF('Данные 2st'!$Q$2:$Q$317,$A22,'Данные 2st'!$IT$2:$IT$317),"")</f>
        <v>90</v>
      </c>
      <c r="OF22" s="7">
        <f>IFERROR(AVERAGEIF('Данные 2st'!$Q$2:$Q$317,$A22,'Данные 2st'!$IU$2:$IU$317),"")</f>
        <v>0</v>
      </c>
      <c r="OG22" s="7">
        <f>IFERROR(AVERAGEIF('Данные 2st'!$Q$2:$Q$317,$A22,'Данные 2st'!$IV$2:$IV$317),"")</f>
        <v>6.4</v>
      </c>
      <c r="OH22" s="7">
        <f>IFERROR(AVERAGEIF('Данные 2st'!$Q$2:$Q$317,$A22,'Данные 2st'!$IW$2:$IW$317),"")</f>
        <v>-6</v>
      </c>
      <c r="OI22" s="7">
        <f>IFERROR(AVERAGEIF('Данные 2st'!$Q$2:$Q$317,$A22,'Данные 2st'!$IX$2:$IX$317),"")</f>
        <v>95.875</v>
      </c>
      <c r="OJ22" s="7">
        <f>IFERROR(AVERAGEIF('Данные 2st'!$Q$2:$Q$317,$A22,'Данные 2st'!$IY$2:$IY$317),"")</f>
        <v>72.625</v>
      </c>
      <c r="OK22" s="7">
        <f>IFERROR(AVERAGEIF('Данные 2st'!$Q$2:$Q$317,$A22,'Данные 2st'!$IZ$2:$IZ$317),"")</f>
        <v>0</v>
      </c>
      <c r="OL22" s="7">
        <f>IFERROR(AVERAGEIF('Данные 2st'!$Q$2:$Q$317,$A22,'Данные 2st'!$JA$2:$JA$317),"")</f>
        <v>0</v>
      </c>
      <c r="OM22" s="7">
        <f>IFERROR(AVERAGEIF('Данные 2st'!$Q$2:$Q$317,$A22,'Данные 2st'!$JB$2:$JB$317),"")</f>
        <v>0</v>
      </c>
      <c r="ON22" s="7">
        <f>IFERROR(AVERAGEIF('Данные 2st'!$Q$2:$Q$317,$A22,'Данные 2st'!$JC$2:$JC$317),"")</f>
        <v>0</v>
      </c>
      <c r="OO22" s="7">
        <f>IFERROR(AVERAGEIF('Данные 2st'!$Q$2:$Q$317,$A22,'Данные 2st'!$JD$2:$JD$317),"")</f>
        <v>0</v>
      </c>
      <c r="OP22" s="7">
        <f>IFERROR(AVERAGEIF('Данные 2st'!$Q$2:$Q$317,$A22,'Данные 2st'!$JE$2:$JE$317),"")</f>
        <v>0</v>
      </c>
      <c r="OQ22" s="7">
        <f>IFERROR(AVERAGEIF('Данные 2st'!$Q$2:$Q$317,$A22,'Данные 2st'!$JF$2:$JF$317),"")</f>
        <v>0</v>
      </c>
      <c r="OR22" s="7">
        <f>IFERROR(AVERAGEIF('Данные 2st'!$Q$2:$Q$317,$A22,'Данные 2st'!$JG$2:$JG$317),"")</f>
        <v>0</v>
      </c>
      <c r="OS22" s="7">
        <f>IFERROR(AVERAGEIF('Данные 2st'!$Q$2:$Q$317,$A22,'Данные 2st'!$JH$2:$JH$317),"")</f>
        <v>0</v>
      </c>
      <c r="OT22" s="7">
        <f>IFERROR(AVERAGEIF('Данные 2st'!$Q$2:$Q$317,$A22,'Данные 2st'!$JI$2:$JI$317),"")</f>
        <v>368.5</v>
      </c>
      <c r="OU22" s="7">
        <f>IFERROR(AVERAGEIF('Данные 2st'!$Q$2:$Q$317,$A22,'Данные 2st'!$JJ$2:$JJ$317),"")</f>
        <v>335</v>
      </c>
      <c r="OV22" s="7">
        <f>IFERROR(AVERAGEIF('Данные 2st'!$Q$2:$Q$317,$A22,'Данные 2st'!$JK$2:$JK$317),"")</f>
        <v>255</v>
      </c>
      <c r="OW22" s="7">
        <f>IFERROR(AVERAGEIF('Данные 2st'!$Q$2:$Q$317,$A22,'Данные 2st'!$JL$2:$JL$317),"")</f>
        <v>333</v>
      </c>
      <c r="OX22" s="7">
        <f>IFERROR(AVERAGEIF('Данные 2st'!$Q$2:$Q$317,$A22,'Данные 2st'!$JM$2:$JM$317),"")</f>
        <v>269.25</v>
      </c>
      <c r="OY22" s="7">
        <f>IFERROR(AVERAGEIF('Данные 2st'!$Q$2:$Q$317,$A22,'Данные 2st'!$JP$2:$JP$317),"")</f>
        <v>216.25</v>
      </c>
      <c r="OZ22" s="7">
        <f>IFERROR(AVERAGEIF('Данные 2st'!$Q$2:$Q$317,$A22,'Данные 2st'!$JQ$2:$JQ$317),"")</f>
        <v>248.25</v>
      </c>
      <c r="PA22" s="7">
        <f>IFERROR(AVERAGEIF('Данные 2st'!$Q$2:$Q$317,$A22,'Данные 2st'!$JR$2:$JR$317),"")</f>
        <v>344.5</v>
      </c>
      <c r="PB22" s="7">
        <f>IFERROR(AVERAGEIF('Данные 2st'!$Q$2:$Q$317,$A22,'Данные 2st'!$JS$2:$JS$317),"")</f>
        <v>256.25</v>
      </c>
      <c r="PC22" s="7">
        <f>IFERROR(AVERAGEIF('Данные 2st'!$Q$2:$Q$317,$A22,'Данные 2st'!$JT$2:$JT$317),"")</f>
        <v>0</v>
      </c>
      <c r="PD22" s="7">
        <f>IFERROR(AVERAGEIF('Данные 2st'!$Q$2:$Q$317,$A22,'Данные 2st'!$JU$2:$JU$317),"")</f>
        <v>0</v>
      </c>
      <c r="PE22" s="7">
        <f>IFERROR(AVERAGEIF('Данные 2st'!$Q$2:$Q$317,$A22,'Данные 2st'!$JV$2:$JV$317),"")</f>
        <v>335</v>
      </c>
      <c r="PF22" s="7">
        <f>IFERROR(AVERAGEIF('Данные 2st'!$Q$2:$Q$317,$A22,'Данные 2st'!$JW$2:$JW$317),"")</f>
        <v>337</v>
      </c>
      <c r="PG22" s="7">
        <f>IFERROR(AVERAGEIF('Данные 2st'!$Q$2:$Q$317,$A22,'Данные 2st'!$KF$2:$KF$317),"")</f>
        <v>0.165</v>
      </c>
      <c r="PH22" s="7">
        <f>IFERROR(AVERAGEIF('Данные 2st'!$Q$2:$Q$317,$A22,'Данные 2st'!$KG$2:$KG$317),"")</f>
        <v>0.0975</v>
      </c>
      <c r="PI22" s="7">
        <f>IFERROR(AVERAGEIF('Данные 2st'!$Q$2:$Q$317,$A22,'Данные 2st'!$KM$2:$KM$317),"")</f>
        <v>0.75</v>
      </c>
      <c r="PJ22" s="7">
        <f>IFERROR(AVERAGEIF('Данные 2st'!$Q$2:$Q$317,$A22,'Данные 2st'!$KN$2:$KN$317),"")</f>
        <v>1.65</v>
      </c>
      <c r="PK22" s="7">
        <f>IFERROR(AVERAGEIF('Данные 2st'!$Q$2:$Q$317,$A22,'Данные 2st'!$KO$2:$KO$317),"")</f>
        <v>0</v>
      </c>
      <c r="PL22" s="7">
        <f>IFERROR(AVERAGEIF('Данные 2st'!$Q$2:$Q$317,$A22,'Данные 2st'!$KP$2:$KP$317),"")</f>
        <v>0</v>
      </c>
      <c r="PM22" s="7">
        <f>IFERROR(AVERAGEIF('Данные 2st'!$Q$2:$Q$317,$A22,'Данные 2st'!$KQ$2:$KQ$317),"")</f>
        <v>0.7250000000000001</v>
      </c>
      <c r="PN22" s="7">
        <f>IFERROR(AVERAGEIF('Данные 2st'!$Q$2:$Q$317,$A22,'Данные 2st'!$KR$2:$KR$317),"")</f>
        <v>1.0</v>
      </c>
      <c r="PO22" s="7">
        <f>IFERROR(AVERAGEIF('Данные 2st'!$Q$2:$Q$317,$A22,'Данные 2st'!$KS$2:$KS$317),"")</f>
        <v>0</v>
      </c>
      <c r="PP22" s="7">
        <f>IFERROR(AVERAGEIF('Данные 2st'!$Q$2:$Q$317,$A22,'Данные 2st'!$KT$2:$KT$317),"")</f>
        <v>2.1</v>
      </c>
      <c r="PQ22" s="7">
        <f>IFERROR(AVERAGEIF('Данные 2st'!$Q$2:$Q$317,$A22,'Данные 2st'!$KU$2:$KU$317),"")</f>
        <v>0</v>
      </c>
      <c r="PR22" s="7">
        <f>IFERROR(AVERAGEIF('Данные 2st'!$Q$2:$Q$317,$A22,'Данные 2st'!$KV$2:$KV$317),"")</f>
        <v>0</v>
      </c>
      <c r="PS22" s="7">
        <f>IFERROR(AVERAGEIF('Данные 2st'!$Q$2:$Q$317,$A22,'Данные 2st'!$KW$2:$KW$317),"")</f>
        <v>0.9</v>
      </c>
      <c r="PT22" s="7">
        <f>IFERROR(AVERAGEIF('Данные 2st'!$Q$2:$Q$317,$A22,'Данные 2st'!$KX$2:$KX$317),"")</f>
        <v>1.75</v>
      </c>
      <c r="PU22" s="7">
        <f>IFERROR(AVERAGEIF('Данные 2st'!$Q$2:$Q$317,$A22,'Данные 2st'!$KY$2:$KY$317),"")</f>
        <v>0.25</v>
      </c>
      <c r="PV22" s="7">
        <f>IFERROR(AVERAGEIF('Данные 2st'!$Q$2:$Q$317,$A22,'Данные 2st'!$KZ$2:$KZ$317),"")</f>
        <v>0</v>
      </c>
      <c r="PW22" s="7">
        <f>IFERROR(AVERAGEIF('Данные 2st'!$Q$2:$Q$317,$A22,'Данные 2st'!$LA$2:$LA$317),"")</f>
        <v>0</v>
      </c>
      <c r="PX22" s="7">
        <f>IFERROR(AVERAGEIF('Данные 2st'!$Q$2:$Q$317,$A22,'Данные 2st'!$LB$2:$LB$317),"")</f>
        <v>0</v>
      </c>
      <c r="PY22" s="7">
        <f>IFERROR(AVERAGEIF('Данные 2st'!$Q$2:$Q$317,$A22,'Данные 2st'!$LC$2:$LC$317),"")</f>
        <v>0</v>
      </c>
      <c r="PZ22" s="7">
        <f>IFERROR(AVERAGEIF('Данные 2st'!$Q$2:$Q$317,$A22,'Данные 2st'!$LD$2:$LD$317),"")</f>
        <v>0</v>
      </c>
      <c r="QA22" s="7">
        <f>IFERROR(AVERAGEIF('Данные 2st'!$Q$2:$Q$317,$A22,'Данные 2st'!$LE$2:$LE$317),"")</f>
        <v>0</v>
      </c>
      <c r="QB22" s="7">
        <f>IFERROR(AVERAGEIF('Данные 2st'!$Q$2:$Q$317,$A22,'Данные 2st'!$LF$2:$LF$317),"")</f>
        <v>0</v>
      </c>
      <c r="QC22" s="7">
        <f>IFERROR(AVERAGEIF('Данные 2st'!$Q$2:$Q$317,$A22,'Данные 2st'!$LG$2:$LG$317),"")</f>
        <v>0</v>
      </c>
      <c r="QD22" s="7">
        <f>IFERROR(AVERAGEIF('Данные 2st'!$Q$2:$Q$317,$A22,'Данные 2st'!$LH$2:$LH$317),"")</f>
        <v>2.25</v>
      </c>
      <c r="QE22" s="7">
        <f>IFERROR(AVERAGEIF('Данные 2st'!$Q$2:$Q$317,$A22,'Данные 2st'!$LJ$2:$LJ$317),"")</f>
        <v>0</v>
      </c>
      <c r="QF22" s="7">
        <f>IFERROR(AVERAGEIF('Данные 2st'!$Q$2:$Q$317,$A22,'Данные 2st'!$LK$2:$LK$317),"")</f>
        <v>4.75</v>
      </c>
      <c r="QG22" s="7">
        <f>IFERROR(AVERAGEIF('Данные 2st'!$Q$2:$Q$317,$A22,'Данные 2st'!$LL$2:$LL$317),"")</f>
        <v>6.0</v>
      </c>
      <c r="QH22" s="7">
        <f>IFERROR(AVERAGEIF('Данные 2st'!$Q$2:$Q$317,$A22,'Данные 2st'!$LM$2:$LM$317),"")</f>
        <v>7.0</v>
      </c>
      <c r="QI22" s="7">
        <f>IFERROR(AVERAGEIF('Данные 2st'!$Q$2:$Q$317,$A22,'Данные 2st'!$LN$2:$LN$317),"")</f>
        <v>1.55</v>
      </c>
      <c r="QJ22" s="7">
        <f>IFERROR(AVERAGEIF('Данные 2st'!$Q$2:$Q$317,$A22,'Данные 2st'!$LO$2:$LO$317),"")</f>
        <v>2.525</v>
      </c>
      <c r="QK22" s="7">
        <f>IFERROR(AVERAGEIF('Данные 2st'!$Q$2:$Q$317,$A22,'Данные 2st'!$LP$2:$LP$317),"")</f>
        <v>0</v>
      </c>
      <c r="QL22" s="7">
        <f>IFERROR(AVERAGEIF('Данные 2st'!$Q$2:$Q$317,$A22,'Данные 2st'!$LQ$2:$LQ$317),"")</f>
        <v>0</v>
      </c>
      <c r="QM22" s="7">
        <f>IFERROR(AVERAGEIF('Данные 2st'!$Q$2:$Q$317,$A22,'Данные 2st'!$LW$2:$LW$317),"")</f>
        <v>1.35</v>
      </c>
      <c r="QN22" s="7">
        <f>IFERROR(AVERAGEIF('Данные 2st'!$Q$2:$Q$317,$A22,'Данные 2st'!$LX$2:$LX$317),"")</f>
        <v>1.35</v>
      </c>
      <c r="QO22" s="7">
        <f>IFERROR(AVERAGEIF('Данные 2st'!$Q$2:$Q$317,$A22,'Данные 2st'!$LY$2:$LY$317),"")</f>
        <v>1.65</v>
      </c>
      <c r="QP22" s="7">
        <f>IFERROR(AVERAGEIF('Данные 2st'!$Q$2:$Q$317,$A22,'Данные 2st'!$LZ$2:$LZ$317),"")</f>
        <v>1.65</v>
      </c>
      <c r="QQ22" s="7">
        <f>IFERROR(AVERAGEIF('Данные 2st'!$Q$2:$Q$317,$A22,'Данные 2st'!$MB$2:$MB$317),"")</f>
        <v>3.375</v>
      </c>
      <c r="QR22" s="7">
        <f>IFERROR(AVERAGEIF('Данные 2st'!$Q$2:$Q$317,$A22,'Данные 2st'!$MG$2:$MG$317),"")</f>
        <v>0</v>
      </c>
      <c r="QS22" s="7">
        <f>IFERROR(AVERAGEIF('Данные 2st'!$Q$2:$Q$317,$A22,'Данные 2st'!$MH$2:$MH$317),"")</f>
        <v>0</v>
      </c>
      <c r="QT22" s="7">
        <f>IFERROR(AVERAGEIF('Данные 2st'!$Q$2:$Q$317,$A22,'Данные 2st'!$MI$2:$MI$317),"")</f>
        <v>0</v>
      </c>
      <c r="QU22" s="7">
        <f>IFERROR(AVERAGEIF('Данные 2st'!$Q$2:$Q$317,$A22,'Данные 2st'!$MJ$2:$MJ$317),"")</f>
        <v>0</v>
      </c>
      <c r="QV22" s="7">
        <f>IFERROR(AVERAGEIF('Данные 2st'!$Q$2:$Q$317,$A22,'Данные 2st'!$MK$2:$MK$317),"")</f>
        <v>0</v>
      </c>
      <c r="QW22" s="7">
        <f>IFERROR(AVERAGEIF('Данные 2st'!$Q$2:$Q$317,$A22,'Данные 2st'!$MM$2:$MM$317),"")</f>
        <v>390</v>
      </c>
      <c r="QX22" s="7">
        <f>IFERROR(AVERAGEIF('Данные 2st'!$Q$2:$Q$317,$A22,'Данные 2st'!$MQ$2:$MQ$317),"")</f>
        <v/>
      </c>
      <c r="QY22" s="7">
        <f>IFERROR(AVERAGEIF('Данные 2st'!$Q$2:$Q$317,$A22,'Данные 2st'!$MR$2:$MR$317),"")</f>
        <v/>
      </c>
      <c r="QZ22" s="7">
        <f>IFERROR(AVERAGEIF('Данные 2st'!$Q$2:$Q$317,$A22,'Данные 2st'!$MS$2:$MS$317),"")</f>
        <v/>
      </c>
      <c r="RA22" s="7">
        <f>IFERROR(AVERAGEIF('Данные 2st'!$Q$2:$Q$317,$A22,'Данные 2st'!$MT$2:$MT$317),"")</f>
        <v/>
      </c>
      <c r="RB22" s="7">
        <f>IFERROR(AVERAGEIF('Данные 2st'!$Q$2:$Q$317,$A22,'Данные 2st'!$MU$2:$MU$317),"")</f>
        <v/>
      </c>
      <c r="RC22" s="7">
        <f>IFERROR(AVERAGEIF('Данные 2st'!$Q$2:$Q$317,$A22,'Данные 2st'!$MV$2:$MV$317),"")</f>
        <v/>
      </c>
      <c r="RD22" s="7">
        <f>IFERROR(AVERAGEIF('Данные 2st'!$Q$2:$Q$317,$A22,'Данные 2st'!$MW$2:$MW$317),"")</f>
        <v/>
      </c>
      <c r="RE22" s="7">
        <f>IFERROR(AVERAGEIF('Данные 2st'!$Q$2:$Q$317,$A22,'Данные 2st'!$MX$2:$MX$317),"")</f>
        <v/>
      </c>
      <c r="RF22" s="7">
        <f>IFERROR(AVERAGEIF('Данные 2st'!$Q$2:$Q$317,$A22,'Данные 2st'!$MY$2:$MY$317),"")</f>
        <v/>
      </c>
      <c r="RG22" s="7">
        <f>IFERROR(AVERAGEIF('Данные 2st'!$Q$2:$Q$317,$A22,'Данные 2st'!$MZ$2:$MZ$317),"")</f>
        <v/>
      </c>
      <c r="RH22" s="7">
        <f>IFERROR(AVERAGEIF('Данные 2st'!$Q$2:$Q$317,$A22,'Данные 2st'!$NA$2:$NA$317),"")</f>
        <v/>
      </c>
      <c r="RI22" s="7">
        <f>IFERROR(AVERAGEIF('Данные 2st'!$Q$2:$Q$317,$A22,'Данные 2st'!$NB$2:$NB$317),"")</f>
        <v/>
      </c>
      <c r="RJ22" s="7">
        <f>IFERROR(AVERAGEIF('Данные 2st'!$Q$2:$Q$317,$A22,'Данные 2st'!$NC$2:$NC$317),"")</f>
        <v/>
      </c>
      <c r="RK22" s="7">
        <f>IFERROR(AVERAGEIF('Данные 2st'!$Q$2:$Q$317,$A22,'Данные 2st'!$ND$2:$ND$317),"")</f>
        <v/>
      </c>
      <c r="RL22" s="7">
        <f>IFERROR(AVERAGEIF('Данные 2st'!$Q$2:$Q$317,$A22,'Данные 2st'!$NE$2:$NE$317),"")</f>
        <v/>
      </c>
      <c r="RM22" s="7">
        <f>IFERROR(AVERAGEIF('Данные 2st'!$Q$2:$Q$317,$A22,'Данные 2st'!$NF$2:$NF$317),"")</f>
        <v/>
      </c>
      <c r="RN22" s="7">
        <f>IFERROR(AVERAGEIF('Данные 2st'!$Q$2:$Q$317,$A22,'Данные 2st'!$NG$2:$NG$317),"")</f>
        <v/>
      </c>
      <c r="RO22" s="7">
        <f>IFERROR(AVERAGEIF('Данные 2st'!$Q$2:$Q$317,$A22,'Данные 2st'!$NH$2:$NH$317),"")</f>
        <v>0</v>
      </c>
      <c r="RP22" s="7">
        <f>IFERROR(AVERAGEIF('Данные 2st'!$Q$2:$Q$317,$A22,'Данные 2st'!$NJ$2:$NJ$317),"")</f>
        <v>0</v>
      </c>
      <c r="RQ22" s="7">
        <f>IFERROR(AVERAGEIF('Данные 2st'!$Q$2:$Q$317,$A22,'Данные 2st'!$NK$2:$NK$317),"")</f>
        <v>0</v>
      </c>
      <c r="RR22" s="7">
        <f>IFERROR(AVERAGEIF('Данные 2st'!$Q$2:$Q$317,$A22,'Данные 2st'!$NM$2:$NM$317),"")</f>
        <v>0</v>
      </c>
      <c r="RS22" s="7">
        <f>IFERROR(AVERAGEIF('Данные 2st'!$Q$2:$Q$317,$A22,'Данные 2st'!$NN$2:$NN$317),"")</f>
        <v/>
      </c>
      <c r="RT22" s="7">
        <f>IFERROR(AVERAGEIF('Данные 2st'!$Q$2:$Q$317,$A22,'Данные 2st'!$NO$2:$NO$317),"")</f>
        <v/>
      </c>
      <c r="RU22" s="7">
        <f>IFERROR(AVERAGEIF('Данные 2st'!$Q$2:$Q$317,$A22,'Данные 2st'!$NP$2:$NP$317),"")</f>
        <v/>
      </c>
      <c r="RV22" s="7">
        <f>IFERROR(AVERAGEIF('Данные 2st'!$Q$2:$Q$317,$A22,'Данные 2st'!$NQ$2:$NQ$317),"")</f>
        <v/>
      </c>
      <c r="RW22" s="7">
        <f>IFERROR(AVERAGEIF('Данные 2st'!$Q$2:$Q$317,$A22,'Данные 2st'!$NR$2:$NR$317),"")</f>
        <v/>
      </c>
      <c r="RX22" s="7">
        <f>IFERROR(AVERAGEIF('Данные 2st'!$Q$2:$Q$317,$A22,'Данные 2st'!$NS$2:$NS$317),"")</f>
        <v/>
      </c>
      <c r="RY22" s="7">
        <f>IFERROR(AVERAGEIF('Данные 2st'!$Q$2:$Q$317,$A22,'Данные 2st'!$NT$2:$NT$317),"")</f>
        <v/>
      </c>
      <c r="RZ22" s="7">
        <f>IFERROR(AVERAGEIF('Данные 2st'!$Q$2:$Q$317,$A22,'Данные 2st'!$OK$2:$OK$317),"")</f>
        <v>61</v>
      </c>
      <c r="SA22" s="7">
        <f>IFERROR(AVERAGEIF('Данные 2st'!$Q$2:$Q$317,$A22,'Данные 2st'!$OL$2:$OL$317),"")</f>
        <v>61</v>
      </c>
      <c r="SB22" s="7">
        <f>IFERROR(AVERAGEIF('Данные 2st'!$Q$2:$Q$317,$A22,'Данные 2st'!$ON$2:$ON$317),"")</f>
        <v>2.5</v>
      </c>
      <c r="SC22" s="7">
        <f>IFERROR(AVERAGEIF('Данные 2st'!$Q$2:$Q$317,$A22,'Данные 2st'!$OO$2:$OO$317),"")</f>
        <v>1878</v>
      </c>
      <c r="SD22" s="7">
        <f>IFERROR(AVERAGEIF('Данные 2st'!$Q$2:$Q$317,$A22,'Данные 2st'!$OP$2:$OP$317),"")</f>
        <v>61</v>
      </c>
      <c r="SE22" s="7">
        <f>IFERROR(AVERAGEIF('Данные 2st'!$Q$2:$Q$317,$A22,'Данные 2st'!$OQ$2:$OQ$317),"")</f>
        <v>61</v>
      </c>
      <c r="SF22" s="7">
        <f>IFERROR(AVERAGEIF('Данные 2st'!$Q$2:$Q$317,$A22,'Данные 2st'!$OS$2:$OS$317),"")</f>
        <v>2.5</v>
      </c>
      <c r="SG22" s="7">
        <f>IFERROR(AVERAGEIF('Данные 2st'!$Q$2:$Q$317,$A22,'Данные 2st'!$OT$2:$OT$317),"")</f>
        <v>1886.25</v>
      </c>
      <c r="SH22" s="7">
        <f>IFERROR(AVERAGEIF('Данные 2st'!$Q$2:$Q$317,$A22,'Данные 2st'!$OU$2:$OU$317),"")</f>
        <v>65</v>
      </c>
      <c r="SI22" s="7">
        <f>IFERROR(AVERAGEIF('Данные 2st'!$Q$2:$Q$317,$A22,'Данные 2st'!$OV$2:$OV$317),"")</f>
        <v>65</v>
      </c>
      <c r="SJ22" s="7">
        <f>IFERROR(AVERAGEIF('Данные 2st'!$Q$2:$Q$317,$A22,'Данные 2st'!$OX$2:$OX$317),"")</f>
        <v>1.5</v>
      </c>
      <c r="SK22" s="7">
        <f>IFERROR(AVERAGEIF('Данные 2st'!$Q$2:$Q$317,$A22,'Данные 2st'!$OY$2:$OY$317),"")</f>
        <v>36908</v>
      </c>
      <c r="SL22" s="7">
        <f>IFERROR(AVERAGEIF('Данные 2st'!$Q$2:$Q$317,$A22,'Данные 2st'!$OZ$2:$OZ$317),"")</f>
        <v>51</v>
      </c>
      <c r="SM22" s="7">
        <f>IFERROR(AVERAGEIF('Данные 2st'!$Q$2:$Q$317,$A22,'Данные 2st'!$PA$2:$PA$317),"")</f>
        <v>51.5</v>
      </c>
      <c r="SN22" s="7">
        <f>IFERROR(AVERAGEIF('Данные 2st'!$Q$2:$Q$317,$A22,'Данные 2st'!$PC$2:$PC$317),"")</f>
        <v>1.5</v>
      </c>
      <c r="SO22" s="7">
        <f>IFERROR(AVERAGEIF('Данные 2st'!$Q$2:$Q$317,$A22,'Данные 2st'!$PD$2:$PD$317),"")</f>
        <v>1918.5</v>
      </c>
      <c r="SP22" s="7">
        <f>IFERROR(AVERAGEIF('Данные 2st'!$Q$2:$Q$317,$A22,'Данные 2st'!$PF$2:$PF$317),"")</f>
        <v>355.25</v>
      </c>
      <c r="SQ22" s="7">
        <f>IFERROR(AVERAGEIF('Данные 2st'!$Q$2:$Q$317,$A22,'Данные 2st'!$PG$2:$PG$317),"")</f>
        <v>30.5</v>
      </c>
      <c r="SR22" s="7">
        <f>IFERROR(AVERAGEIF('Данные 2st'!$Q$2:$Q$317,$A22,'Данные 2st'!$PH$2:$PH$317),"")</f>
        <v>336.5</v>
      </c>
      <c r="SS22" s="7">
        <f>IFERROR(AVERAGEIF('Данные 2st'!$Q$2:$Q$317,$A22,'Данные 2st'!$PI$2:$PI$317),"")</f>
        <v>21.75</v>
      </c>
      <c r="ST22" s="7">
        <f>IFERROR(AVERAGEIF('Данные 2st'!$Q$2:$Q$317,$A22,'Данные 2st'!$PJ$2:$PJ$317),"")</f>
        <v>85.6</v>
      </c>
      <c r="SU22" s="7">
        <f>IFERROR(AVERAGEIF('Данные 2st'!$Q$2:$Q$317,$A22,'Данные 2st'!$PK$2:$PK$317),"")</f>
        <v>1833.3333333333333</v>
      </c>
      <c r="SV22" s="7">
        <f>IFERROR(AVERAGEIF('Данные 2st'!$Q$2:$Q$317,$A22,'Данные 2st'!$PL$2:$PL$317),"")</f>
        <v>1130.5</v>
      </c>
      <c r="SW22" s="7">
        <f>IFERROR(AVERAGEIF('Данные 2st'!$Q$2:$Q$317,$A22,'Данные 2st'!$PM$2:$PM$317),"")</f>
        <v>641.85</v>
      </c>
      <c r="SX22" s="7">
        <f>IFERROR(AVERAGEIF('Данные 2st'!$Q$2:$Q$317,$A22,'Данные 2st'!$PN$2:$PN$317),"")</f>
        <v>93.05</v>
      </c>
      <c r="SY22" s="7">
        <f>IFERROR(AVERAGEIF('Данные 2st'!$Q$2:$Q$317,$A22,'Данные 2st'!$PO$2:$PO$317),"")</f>
        <v>9.0</v>
      </c>
      <c r="SZ22" s="7">
        <f>IFERROR(AVERAGEIF('Данные 2st'!$Q$2:$Q$317,$A22,'Данные 2st'!$PP$2:$PP$317),"")</f>
        <v>12</v>
      </c>
      <c r="TA22" s="7">
        <f>IFERROR(AVERAGEIF('Данные 2st'!$Q$2:$Q$317,$A22,'Данные 2st'!$PQ$2:$PQ$317),"")</f>
        <v>1.25</v>
      </c>
      <c r="TB22" s="7">
        <f>IFERROR(AVERAGEIF('Данные 2st'!$Q$2:$Q$317,$A22,'Данные 2st'!$PR$2:$PR$317),"")</f>
        <v>1</v>
      </c>
      <c r="TC22" s="7">
        <f>IFERROR(AVERAGEIF('Данные 2st'!$Q$2:$Q$317,$A22,'Данные 2st'!$PS$2:$PS$317),"")</f>
        <v>7</v>
      </c>
      <c r="TD22" s="7">
        <f>IFERROR(AVERAGEIF('Данные 2st'!$Q$2:$Q$317,$A22,'Данные 2st'!$PT$2:$PT$317),"")</f>
        <v>225.5</v>
      </c>
      <c r="TE22" s="7">
        <f>IFERROR(AVERAGEIF('Данные 2st'!$Q$2:$Q$317,$A22,'Данные 2st'!$PU$2:$PU$317),"")</f>
        <v>10.25</v>
      </c>
      <c r="TF22" s="7">
        <f>IFERROR(AVERAGEIF('Данные 2st'!$Q$2:$Q$317,$A22,'Данные 2st'!$PX$2:$PX$317),"")</f>
        <v>0</v>
      </c>
      <c r="TG22" s="7">
        <f>IFERROR(AVERAGEIF('Данные 2st'!$Q$2:$Q$317,$A22,'Данные 2st'!$PY$2:$PY$317),"")</f>
        <v>0</v>
      </c>
      <c r="TH22" s="7">
        <f>IFERROR(AVERAGEIF('Данные 2st'!$Q$2:$Q$317,$A22,'Данные 2st'!$PZ$2:$PZ$317),"")</f>
        <v>0</v>
      </c>
      <c r="TI22" s="7">
        <f>IFERROR(AVERAGEIF('Данные 2st'!$Q$2:$Q$317,$A22,'Данные 2st'!$QA$2:$QA$317),"")</f>
        <v>0</v>
      </c>
      <c r="TJ22" s="7">
        <f>IFERROR(AVERAGEIF('Данные 2st'!$Q$2:$Q$317,$A22,'Данные 2st'!$QB$2:$QB$317),"")</f>
        <v>0</v>
      </c>
      <c r="TK22" s="7">
        <f>IFERROR(AVERAGEIF('Данные 2st'!$Q$2:$Q$317,$A22,'Данные 2st'!$QC$2:$QC$317),"")</f>
        <v>0</v>
      </c>
      <c r="TL22" s="7">
        <f>IFERROR(AVERAGEIF('Данные 2st'!$Q$2:$Q$317,$A22,'Данные 2st'!$QD$2:$QD$317),"")</f>
        <v>0</v>
      </c>
      <c r="TM22" s="7">
        <f>IFERROR(AVERAGEIF('Данные 2st'!$Q$2:$Q$317,$A22,'Данные 2st'!$QE$2:$QE$317),"")</f>
        <v>-1</v>
      </c>
      <c r="TN22" s="7">
        <f>IFERROR(AVERAGEIF('Данные 2st'!$Q$2:$Q$317,$A22,'Данные 2st'!$QF$2:$QF$317),"")</f>
        <v>1</v>
      </c>
      <c r="TO22" s="7">
        <f>IFERROR(AVERAGEIF('Данные 2st'!$Q$2:$Q$317,$A22,'Данные 2st'!$QG$2:$QG$317),"")</f>
        <v>0</v>
      </c>
      <c r="TP22" s="7">
        <f>IFERROR(AVERAGEIF('Данные 2st'!$Q$2:$Q$317,$A22,'Данные 2st'!$QH$2:$QH$317),"")</f>
        <v>5</v>
      </c>
      <c r="TQ22" s="7">
        <f>IFERROR(AVERAGEIF('Данные 2st'!$Q$2:$Q$317,$A22,'Данные 2st'!$QI$2:$QI$317),"")</f>
        <v>5</v>
      </c>
      <c r="TR22" s="7">
        <f>IFERROR(AVERAGEIF('Данные 2st'!$Q$2:$Q$317,$A22,'Данные 2st'!$QJ$2:$QJ$317),"")</f>
        <v>5</v>
      </c>
      <c r="TS22" s="7">
        <f>IFERROR(AVERAGEIF('Данные 2st'!$Q$2:$Q$317,$A22,'Данные 2st'!$QK$2:$QK$317),"")</f>
        <v>179</v>
      </c>
      <c r="TT22" s="7">
        <f>IFERROR(AVERAGEIF('Данные 2st'!$Q$2:$Q$317,$A22,'Данные 2st'!$QL$2:$QL$317),"")</f>
        <v>401.5</v>
      </c>
      <c r="TU22" s="7">
        <f>IFERROR(AVERAGEIF('Данные 2st'!$Q$2:$Q$317,$A22,'Данные 2st'!$QM$2:$QM$317),"")</f>
        <v>7.5</v>
      </c>
      <c r="TV22" s="7">
        <f>IFERROR(AVERAGEIF('Данные 2st'!$Q$2:$Q$317,$A22,'Данные 2st'!$QN$2:$QN$317),"")</f>
        <v>1283.6999999999998</v>
      </c>
      <c r="TW22" s="7">
        <f>IFERROR(AVERAGEIF('Данные 2st'!$Q$2:$Q$317,$A22,'Данные 2st'!$QQ$2:$QQ$317),"")</f>
        <v>0</v>
      </c>
      <c r="TX22" s="7">
        <f>IFERROR(AVERAGEIF('Данные 2st'!$Q$2:$Q$317,$A22,'Данные 2st'!$QS$2:$QS$317),"")</f>
        <v>30</v>
      </c>
      <c r="TY22" s="7">
        <f>IFERROR(AVERAGEIF('Данные 2st'!$Q$2:$Q$317,$A22,'Данные 2st'!$QT$2:$QT$317),"")</f>
        <v>40</v>
      </c>
    </row>
    <row r="23" spans="1:545" ht="32" customHeight="1">
      <c r="A23" s="11" t="s">
        <v>939</v>
      </c>
      <c r="B23">
        <f>COUNTIF('Данные 1st'!$S$2:$S$317,$A23)</f>
        <v>5</v>
      </c>
      <c r="C23" s="6" t="s">
        <v>5087</v>
      </c>
      <c r="D23" s="6" t="s">
        <v>513</v>
      </c>
      <c r="E23" s="6" t="s">
        <v>5125</v>
      </c>
      <c r="F23" s="6" t="s">
        <v>5145</v>
      </c>
      <c r="G23" s="7">
        <f>IFERROR(AVERAGEIF('Данные 1st'!$S$2:$S$317,$A23,'Данные 1st'!$AE$2:$AE$317),"")</f>
        <v>179.6</v>
      </c>
      <c r="H23" s="7">
        <f>IFERROR(AVERAGEIF('Данные 1st'!$S$2:$S$317,$A23,'Данные 1st'!$AF$2:$AF$317),"")</f>
        <v>1.5</v>
      </c>
      <c r="I23" s="7">
        <f>IFERROR(AVERAGEIF('Данные 1st'!$S$2:$S$317,$A23,'Данные 1st'!$AJ$2:$AJ$317),"")</f>
        <v>185.5</v>
      </c>
      <c r="J23" s="7">
        <f>IFERROR(AVERAGEIF('Данные 1st'!$S$2:$S$317,$A23,'Данные 1st'!$AL$2:$AL$317),"")</f>
        <v>1.5</v>
      </c>
      <c r="K23" s="7">
        <f>IFERROR(AVERAGEIF('Данные 1st'!$S$2:$S$317,$A23,'Данные 1st'!$AR$2:$AR$317),"")</f>
        <v>44</v>
      </c>
      <c r="L23" s="7">
        <f>IFERROR(AVERAGEIF('Данные 1st'!$S$2:$S$317,$A23,'Данные 1st'!$AS$2:$AS$317),"")</f>
        <v>1.5</v>
      </c>
      <c r="M23" s="7">
        <f>IFERROR(AVERAGEIF('Данные 1st'!$S$2:$S$317,$A23,'Данные 1st'!$AY$2:$AY$317),"")</f>
        <v>290.0</v>
      </c>
      <c r="N23" s="7">
        <f>IFERROR(AVERAGEIF('Данные 1st'!$S$2:$S$317,$A23,'Данные 1st'!$AZ$2:$AZ$317),"")</f>
        <v>1.5</v>
      </c>
      <c r="O23" s="7">
        <f>IFERROR(AVERAGEIF('Данные 1st'!$S$2:$S$317,$A23,'Данные 1st'!$BF$2:$BF$317),"")</f>
        <v/>
      </c>
      <c r="P23" s="7">
        <f>IFERROR(AVERAGEIF('Данные 1st'!$S$2:$S$317,$A23,'Данные 1st'!$BG$2:$BG$317),"")</f>
        <v>1.5</v>
      </c>
      <c r="Q23" s="7">
        <f>IFERROR(AVERAGEIF('Данные 1st'!$S$2:$S$317,$A23,'Данные 1st'!$BM$2:$BM$317),"")</f>
        <v/>
      </c>
      <c r="R23" s="7">
        <f>IFERROR(AVERAGEIF('Данные 1st'!$S$2:$S$317,$A23,'Данные 1st'!$BN$2:$BN$317),"")</f>
        <v>1.5</v>
      </c>
      <c r="S23" s="7">
        <f>IFERROR(AVERAGEIF('Данные 1st'!$S$2:$S$317,$A23,'Данные 1st'!$BT$2:$BT$317),"")</f>
        <v>197.4</v>
      </c>
      <c r="T23" s="7">
        <f>IFERROR(AVERAGEIF('Данные 1st'!$S$2:$S$317,$A23,'Данные 1st'!$BU$2:$BU$317),"")</f>
        <v>0.5</v>
      </c>
      <c r="U23" s="7">
        <f>IFERROR(AVERAGEIF('Данные 1st'!$S$2:$S$317,$A23,'Данные 1st'!$BW$2:$BW$317),"")</f>
        <v>394.8</v>
      </c>
      <c r="V23" s="7">
        <f>IFERROR(AVERAGEIF('Данные 1st'!$S$2:$S$317,$A23,'Данные 1st'!$BX$2:$BX$317),"")</f>
        <v>1</v>
      </c>
      <c r="W23" s="7">
        <f>IFERROR(AVERAGEIF('Данные 1st'!$S$2:$S$317,$A23,'Данные 1st'!$BZ$2:$BZ$317),"")</f>
        <v>300</v>
      </c>
      <c r="X23" s="7">
        <f>IFERROR(AVERAGEIF('Данные 1st'!$S$2:$S$317,$A23,'Данные 1st'!$CA$2:$CA$317),"")</f>
        <v>496</v>
      </c>
      <c r="Y23" s="7">
        <f>IFERROR(AVERAGEIF('Данные 1st'!$S$2:$S$317,$A23,'Данные 1st'!$CD$2:$CD$317),"")</f>
        <v>410.8</v>
      </c>
      <c r="Z23" s="7">
        <f>IFERROR(AVERAGEIF('Данные 1st'!$S$2:$S$317,$A23,'Данные 1st'!$CF$2:$CF$317),"")</f>
        <v>15</v>
      </c>
      <c r="AA23" s="7">
        <f>IFERROR(AVERAGEIF('Данные 1st'!$S$2:$S$317,$A23,'Данные 1st'!$CI$2:$CI$317),"")</f>
        <v>98</v>
      </c>
      <c r="AB23" s="7">
        <f>IFERROR(AVERAGEIF('Данные 1st'!$S$2:$S$317,$A23,'Данные 1st'!$CJ$2:$CJ$317),"")</f>
        <v>1301</v>
      </c>
      <c r="AC23" s="7">
        <f>IFERROR(AVERAGEIF('Данные 1st'!$S$2:$S$317,$A23,'Данные 1st'!$CK$2:$CK$317),"")</f>
        <v>2</v>
      </c>
      <c r="AD23" s="7">
        <f>IFERROR(AVERAGEIF('Данные 1st'!$S$2:$S$317,$A23,'Данные 1st'!$CL$2:$CL$317),"")</f>
        <v>1395</v>
      </c>
      <c r="AE23" s="7">
        <f>IFERROR(AVERAGEIF('Данные 1st'!$S$2:$S$317,$A23,'Данные 1st'!$CM$2:$CM$317),"")</f>
        <v>2</v>
      </c>
      <c r="AF23" s="7">
        <f>IFERROR(AVERAGEIF('Данные 1st'!$S$2:$S$317,$A23,'Данные 1st'!$CT$2:$CT$317),"")</f>
        <v>371</v>
      </c>
      <c r="AG23" s="7">
        <f>IFERROR(AVERAGEIF('Данные 1st'!$S$2:$S$317,$A23,'Данные 1st'!$CU$2:$CU$317),"")</f>
        <v>5</v>
      </c>
      <c r="AH23" s="7">
        <f>IFERROR(AVERAGEIF('Данные 1st'!$S$2:$S$317,$A23,'Данные 1st'!$CV$2:$CV$317),"")</f>
        <v>1.2</v>
      </c>
      <c r="AI23" s="7">
        <f>IFERROR(AVERAGEIF('Данные 1st'!$S$2:$S$317,$A23,'Данные 1st'!$CW$2:$CW$317),"")</f>
        <v>1315</v>
      </c>
      <c r="AJ23" s="7">
        <f>IFERROR(AVERAGEIF('Данные 1st'!$S$2:$S$317,$A23,'Данные 1st'!$CX$2:$CX$317),"")</f>
        <v>690.8</v>
      </c>
      <c r="AK23" s="7">
        <f>IFERROR(AVERAGEIF('Данные 1st'!$S$2:$S$317,$A23,'Данные 1st'!$CZ$2:$CZ$317),"")</f>
        <v>50</v>
      </c>
      <c r="AL23" s="7">
        <f>IFERROR(AVERAGEIF('Данные 1st'!$S$2:$S$317,$A23,'Данные 1st'!$DA$2:$DA$317),"")</f>
        <v>3</v>
      </c>
      <c r="AM23" s="7">
        <f>IFERROR(AVERAGEIF('Данные 1st'!$S$2:$S$317,$A23,'Данные 1st'!$DB$2:$DB$317),"")</f>
        <v>1</v>
      </c>
      <c r="AN23" s="7">
        <f>IFERROR(AVERAGEIF('Данные 1st'!$S$2:$S$317,$A23,'Данные 1st'!$DC$2:$DC$317),"")</f>
        <v>1319</v>
      </c>
      <c r="AO23" s="7">
        <f>IFERROR(AVERAGEIF('Данные 1st'!$S$2:$S$317,$A23,'Данные 1st'!$DD$2:$DD$317),"")</f>
        <v>13.8</v>
      </c>
      <c r="AP23" s="7">
        <f>IFERROR(AVERAGEIF('Данные 1st'!$S$2:$S$317,$A23,'Данные 1st'!$DF$2:$DF$317),"")</f>
        <v>580</v>
      </c>
      <c r="AQ23" s="7">
        <f>IFERROR(AVERAGEIF('Данные 1st'!$S$2:$S$317,$A23,'Данные 1st'!$DG$2:$DG$317),"")</f>
        <v>3</v>
      </c>
      <c r="AR23" s="7">
        <f>IFERROR(AVERAGEIF('Данные 1st'!$S$2:$S$317,$A23,'Данные 1st'!$DH$2:$DH$317),"")</f>
        <v>1.196</v>
      </c>
      <c r="AS23" s="7">
        <f>IFERROR(AVERAGEIF('Данные 1st'!$S$2:$S$317,$A23,'Данные 1st'!$DI$2:$DI$317),"")</f>
        <v>1312</v>
      </c>
      <c r="AT23" s="7">
        <f>IFERROR(AVERAGEIF('Данные 1st'!$S$2:$S$317,$A23,'Данные 1st'!$DJ$2:$DJ$317),"")</f>
        <v>1230.6</v>
      </c>
      <c r="AU23" s="7">
        <f>IFERROR(AVERAGEIF('Данные 1st'!$S$2:$S$317,$A23,'Данные 1st'!$DL$2:$DL$317),"")</f>
        <v/>
      </c>
      <c r="AV23" s="7">
        <f>IFERROR(AVERAGEIF('Данные 1st'!$S$2:$S$317,$A23,'Данные 1st'!$DM$2:$DM$317),"")</f>
        <v/>
      </c>
      <c r="AW23" s="7">
        <f>IFERROR(AVERAGEIF('Данные 1st'!$S$2:$S$317,$A23,'Данные 1st'!$DN$2:$DN$317),"")</f>
        <v/>
      </c>
      <c r="AX23" s="7">
        <f>IFERROR(AVERAGEIF('Данные 1st'!$S$2:$S$317,$A23,'Данные 1st'!$DO$2:$DO$317),"")</f>
        <v/>
      </c>
      <c r="AY23" s="7">
        <f>IFERROR(AVERAGEIF('Данные 1st'!$S$2:$S$317,$A23,'Данные 1st'!$DP$2:$DP$317),"")</f>
        <v/>
      </c>
      <c r="AZ23" s="7">
        <f>IFERROR(AVERAGEIF('Данные 1st'!$S$2:$S$317,$A23,'Данные 1st'!$DR$2:$DR$317),"")</f>
        <v/>
      </c>
      <c r="BA23" s="7">
        <f>IFERROR(AVERAGEIF('Данные 1st'!$S$2:$S$317,$A23,'Данные 1st'!$DS$2:$DS$317),"")</f>
        <v/>
      </c>
      <c r="BB23" s="7">
        <f>IFERROR(AVERAGEIF('Данные 1st'!$S$2:$S$317,$A23,'Данные 1st'!$DT$2:$DT$317),"")</f>
        <v/>
      </c>
      <c r="BC23" s="7">
        <f>IFERROR(AVERAGEIF('Данные 1st'!$S$2:$S$317,$A23,'Данные 1st'!$DU$2:$DU$317),"")</f>
        <v/>
      </c>
      <c r="BD23" s="7">
        <f>IFERROR(AVERAGEIF('Данные 1st'!$S$2:$S$317,$A23,'Данные 1st'!$DV$2:$DV$317),"")</f>
        <v/>
      </c>
      <c r="BE23" s="7">
        <f>IFERROR(AVERAGEIF('Данные 1st'!$S$2:$S$317,$A23,'Данные 1st'!$DX$2:$DX$317),"")</f>
        <v>7.5</v>
      </c>
      <c r="BF23" s="7">
        <f>IFERROR(AVERAGEIF('Данные 1st'!$S$2:$S$317,$A23,'Данные 1st'!$EA$2:$EA$317),"")</f>
        <v>1380.12</v>
      </c>
      <c r="BG23" s="7">
        <f>IFERROR(AVERAGEIF('Данные 1st'!$S$2:$S$317,$A23,'Данные 1st'!$EB$2:$EB$317),"")</f>
        <v>221.8</v>
      </c>
      <c r="BH23" s="7">
        <f>IFERROR(AVERAGEIF('Данные 1st'!$S$2:$S$317,$A23,'Данные 1st'!$ED$2:$ED$317),"")</f>
        <v>32</v>
      </c>
      <c r="BI23" s="7">
        <f>IFERROR(AVERAGEIF('Данные 1st'!$S$2:$S$317,$A23,'Данные 1st'!$EE$2:$EE$317),"")</f>
        <v>3</v>
      </c>
      <c r="BJ23" s="7">
        <f>IFERROR(AVERAGEIF('Данные 1st'!$S$2:$S$317,$A23,'Данные 1st'!$EG$2:$EG$317),"")</f>
        <v>1417.2</v>
      </c>
      <c r="BK23" s="7">
        <f>IFERROR(AVERAGEIF('Данные 1st'!$S$2:$S$317,$A23,'Данные 1st'!$EH$2:$EH$317),"")</f>
        <v>183.4</v>
      </c>
      <c r="BL23" s="7">
        <f>IFERROR(AVERAGEIF('Данные 1st'!$S$2:$S$317,$A23,'Данные 1st'!$EJ$2:$EJ$317),"")</f>
        <v>0</v>
      </c>
      <c r="BM23" s="7">
        <f>IFERROR(AVERAGEIF('Данные 1st'!$S$2:$S$317,$A23,'Данные 1st'!$EK$2:$EK$317),"")</f>
        <v>1</v>
      </c>
      <c r="BN23" s="7">
        <f>IFERROR(AVERAGEIF('Данные 1st'!$S$2:$S$317,$A23,'Данные 1st'!$EN$2:$EN$317),"")</f>
        <v>0</v>
      </c>
      <c r="BO23" s="7">
        <f>IFERROR(AVERAGEIF('Данные 1st'!$S$2:$S$317,$A23,'Данные 1st'!$EQ$2:$EQ$317),"")</f>
        <v>90</v>
      </c>
      <c r="BP23" s="7">
        <f>IFERROR(AVERAGEIF('Данные 1st'!$S$2:$S$317,$A23,'Данные 1st'!$ER$2:$ER$317),"")</f>
        <v>3</v>
      </c>
      <c r="BQ23" s="7">
        <f>IFERROR(AVERAGEIF('Данные 1st'!$S$2:$S$317,$A23,'Данные 1st'!$ES$2:$ES$317),"")</f>
        <v>5.56</v>
      </c>
      <c r="BR23" s="7">
        <f>IFERROR(AVERAGEIF('Данные 1st'!$S$2:$S$317,$A23,'Данные 1st'!$ET$2:$ET$317),"")</f>
        <v>1298.4</v>
      </c>
      <c r="BS23" s="7">
        <f>IFERROR(AVERAGEIF('Данные 1st'!$S$2:$S$317,$A23,'Данные 1st'!$EU$2:$EU$317),"")</f>
        <v>389.64</v>
      </c>
      <c r="BT23" s="7">
        <f>IFERROR(AVERAGEIF('Данные 1st'!$S$2:$S$317,$A23,'Данные 1st'!$EV$2:$EV$317),"")</f>
        <v>506</v>
      </c>
      <c r="BU23" s="7">
        <f>IFERROR(AVERAGEIF('Данные 1st'!$S$2:$S$317,$A23,'Данные 1st'!$EX$2:$EX$317),"")</f>
        <v>65</v>
      </c>
      <c r="BV23" s="7">
        <f>IFERROR(AVERAGEIF('Данные 1st'!$S$2:$S$317,$A23,'Данные 1st'!$EY$2:$EY$317),"")</f>
        <v>2</v>
      </c>
      <c r="BW23" s="7">
        <f>IFERROR(AVERAGEIF('Данные 1st'!$S$2:$S$317,$A23,'Данные 1st'!$EZ$2:$EZ$317),"")</f>
        <v>4.36</v>
      </c>
      <c r="BX23" s="7">
        <f>IFERROR(AVERAGEIF('Данные 1st'!$S$2:$S$317,$A23,'Данные 1st'!$FA$2:$FA$317),"")</f>
        <v>1298.4</v>
      </c>
      <c r="BY23" s="7">
        <f>IFERROR(AVERAGEIF('Данные 1st'!$S$2:$S$317,$A23,'Данные 1st'!$FB$2:$FB$317),"")</f>
        <v>203.42</v>
      </c>
      <c r="BZ23" s="7">
        <f>IFERROR(AVERAGEIF('Данные 1st'!$S$2:$S$317,$A23,'Данные 1st'!$FC$2:$FC$317),"")</f>
        <v>264.2</v>
      </c>
      <c r="CA23" s="7">
        <f>IFERROR(AVERAGEIF('Данные 1st'!$S$2:$S$317,$A23,'Данные 1st'!$FE$2:$FE$317),"")</f>
        <v>0</v>
      </c>
      <c r="CB23" s="7">
        <f>IFERROR(AVERAGEIF('Данные 1st'!$S$2:$S$317,$A23,'Данные 1st'!$FF$2:$FF$317),"")</f>
        <v>2</v>
      </c>
      <c r="CC23" s="7">
        <f>IFERROR(AVERAGEIF('Данные 1st'!$S$2:$S$317,$A23,'Данные 1st'!$FI$2:$FI$317),"")</f>
        <v>0</v>
      </c>
      <c r="CD23" s="7">
        <f>IFERROR(AVERAGEIF('Данные 1st'!$S$2:$S$317,$A23,'Данные 1st'!$FL$2:$FL$317),"")</f>
        <v>0.4</v>
      </c>
      <c r="CE23" s="7">
        <f>IFERROR(AVERAGEIF('Данные 1st'!$S$2:$S$317,$A23,'Данные 1st'!$FM$2:$FM$317),"")</f>
        <v>77</v>
      </c>
      <c r="CF23" s="7">
        <f>IFERROR(AVERAGEIF('Данные 1st'!$S$2:$S$317,$A23,'Данные 1st'!$FN$2:$FN$317),"")</f>
        <v>172</v>
      </c>
      <c r="CG23" s="7">
        <f>IFERROR(AVERAGEIF('Данные 1st'!$S$2:$S$317,$A23,'Данные 1st'!$FO$2:$FO$317),"")</f>
        <v>70</v>
      </c>
      <c r="CH23" s="7">
        <f>IFERROR(AVERAGEIF('Данные 1st'!$S$2:$S$317,$A23,'Данные 1st'!$FP$2:$FP$317),"")</f>
        <v>110</v>
      </c>
      <c r="CI23" s="7">
        <f>IFERROR(AVERAGEIF('Данные 1st'!$S$2:$S$317,$A23,'Данные 1st'!$FS$2:$FS$317),"")</f>
        <v>0.4</v>
      </c>
      <c r="CJ23" s="7">
        <f>IFERROR(AVERAGEIF('Данные 1st'!$S$2:$S$317,$A23,'Данные 1st'!$FT$2:$FT$317),"")</f>
        <v>30</v>
      </c>
      <c r="CK23" s="7">
        <f>IFERROR(AVERAGEIF('Данные 1st'!$S$2:$S$317,$A23,'Данные 1st'!$FU$2:$FU$317),"")</f>
        <v>358</v>
      </c>
      <c r="CL23" s="7">
        <f>IFERROR(AVERAGEIF('Данные 1st'!$S$2:$S$317,$A23,'Данные 1st'!$FV$2:$FV$317),"")</f>
        <v>52.5</v>
      </c>
      <c r="CM23" s="7">
        <f>IFERROR(AVERAGEIF('Данные 1st'!$S$2:$S$317,$A23,'Данные 1st'!$FW$2:$FW$317),"")</f>
        <v>200</v>
      </c>
      <c r="CN23" s="7">
        <f>IFERROR(AVERAGEIF('Данные 1st'!$S$2:$S$317,$A23,'Данные 1st'!$FZ$2:$FZ$317),"")</f>
        <v>1</v>
      </c>
      <c r="CO23" s="7">
        <f>IFERROR(AVERAGEIF('Данные 1st'!$S$2:$S$317,$A23,'Данные 1st'!$GA$2:$GA$317),"")</f>
        <v>20</v>
      </c>
      <c r="CP23" s="7">
        <f>IFERROR(AVERAGEIF('Данные 1st'!$S$2:$S$317,$A23,'Данные 1st'!$GB$2:$GB$317),"")</f>
        <v>163.5</v>
      </c>
      <c r="CQ23" s="7">
        <f>IFERROR(AVERAGEIF('Данные 1st'!$S$2:$S$317,$A23,'Данные 1st'!$GH$2:$GH$317),"")</f>
        <v>1</v>
      </c>
      <c r="CR23" s="7">
        <f>IFERROR(AVERAGEIF('Данные 1st'!$S$2:$S$317,$A23,'Данные 1st'!$GI$2:$GI$317),"")</f>
        <v>20</v>
      </c>
      <c r="CS23" s="7">
        <f>IFERROR(AVERAGEIF('Данные 1st'!$S$2:$S$317,$A23,'Данные 1st'!$GJ$2:$GJ$317),"")</f>
        <v>163.5</v>
      </c>
      <c r="CT23" s="7">
        <f>IFERROR(AVERAGEIF('Данные 1st'!$S$2:$S$317,$A23,'Данные 1st'!$GS$2:$GS$317),"")</f>
        <v/>
      </c>
      <c r="CU23" s="7">
        <f>IFERROR(AVERAGEIF('Данные 1st'!$S$2:$S$317,$A23,'Данные 1st'!$GT$2:$GT$317),"")</f>
        <v/>
      </c>
      <c r="CV23" s="7">
        <f>IFERROR(AVERAGEIF('Данные 1st'!$S$2:$S$317,$A23,'Данные 1st'!$GU$2:$GU$317),"")</f>
        <v/>
      </c>
      <c r="CW23" s="7">
        <f>IFERROR(AVERAGEIF('Данные 1st'!$S$2:$S$317,$A23,'Данные 1st'!$GV$2:$GV$317),"")</f>
        <v/>
      </c>
      <c r="CX23" s="7">
        <f>IFERROR(AVERAGEIF('Данные 1st'!$S$2:$S$317,$A23,'Данные 1st'!$GW$2:$GW$317),"")</f>
        <v/>
      </c>
      <c r="CY23" s="7">
        <f>IFERROR(AVERAGEIF('Данные 1st'!$S$2:$S$317,$A23,'Данные 1st'!$GZ$2:$GZ$317),"")</f>
        <v/>
      </c>
      <c r="CZ23" s="7">
        <f>IFERROR(AVERAGEIF('Данные 1st'!$S$2:$S$317,$A23,'Данные 1st'!$HA$2:$HA$317),"")</f>
        <v/>
      </c>
      <c r="DA23" s="7">
        <f>IFERROR(AVERAGEIF('Данные 1st'!$S$2:$S$317,$A23,'Данные 1st'!$HB$2:$HB$317),"")</f>
        <v/>
      </c>
      <c r="DB23" s="7">
        <f>IFERROR(AVERAGEIF('Данные 1st'!$S$2:$S$317,$A23,'Данные 1st'!$HC$2:$HC$317),"")</f>
        <v>0.1</v>
      </c>
      <c r="DC23" s="7">
        <f>IFERROR(AVERAGEIF('Данные 1st'!$S$2:$S$317,$A23,'Данные 1st'!$HD$2:$HD$317),"")</f>
        <v>3</v>
      </c>
      <c r="DD23" s="7">
        <f>IFERROR(AVERAGEIF('Данные 1st'!$S$2:$S$317,$A23,'Данные 1st'!$HE$2:$HE$317),"")</f>
        <v>3</v>
      </c>
      <c r="DE23" s="7">
        <f>IFERROR(AVERAGEIF('Данные 1st'!$S$2:$S$317,$A23,'Данные 1st'!$HF$2:$HF$317),"")</f>
        <v>3</v>
      </c>
      <c r="DF23" s="7">
        <f>IFERROR(AVERAGEIF('Данные 1st'!$S$2:$S$317,$A23,'Данные 1st'!$HG$2:$HG$317),"")</f>
        <v>3</v>
      </c>
      <c r="DG23" s="7">
        <f>IFERROR(AVERAGEIF('Данные 1st'!$S$2:$S$317,$A23,'Данные 1st'!$HH$2:$HH$317),"")</f>
        <v>3</v>
      </c>
      <c r="DH23" s="7">
        <f>IFERROR(AVERAGEIF('Данные 1st'!$S$2:$S$317,$A23,'Данные 1st'!$HI$2:$HI$317),"")</f>
        <v>140</v>
      </c>
      <c r="DI23" s="7">
        <f>IFERROR(AVERAGEIF('Данные 1st'!$S$2:$S$317,$A23,'Данные 1st'!$HJ$2:$HJ$317),"")</f>
        <v>3</v>
      </c>
      <c r="DJ23" s="7">
        <f>IFERROR(AVERAGEIF('Данные 1st'!$S$2:$S$317,$A23,'Данные 1st'!$HK$2:$HK$317),"")</f>
        <v>50</v>
      </c>
      <c r="DK23" s="7">
        <f>IFERROR(AVERAGEIF('Данные 1st'!$S$2:$S$317,$A23,'Данные 1st'!$HL$2:$HL$317),"")</f>
        <v>2</v>
      </c>
      <c r="DL23" s="7">
        <f>IFERROR(AVERAGEIF('Данные 1st'!$S$2:$S$317,$A23,'Данные 1st'!$HM$2:$HM$317),"")</f>
        <v>0</v>
      </c>
      <c r="DM23" s="7">
        <f>IFERROR(AVERAGEIF('Данные 1st'!$S$2:$S$317,$A23,'Данные 1st'!$HN$2:$HN$317),"")</f>
        <v>2</v>
      </c>
      <c r="DN23" s="7">
        <f>IFERROR(AVERAGEIF('Данные 1st'!$S$2:$S$317,$A23,'Данные 1st'!$HO$2:$HO$317),"")</f>
        <v>75</v>
      </c>
      <c r="DO23" s="7">
        <f>IFERROR(AVERAGEIF('Данные 1st'!$S$2:$S$317,$A23,'Данные 1st'!$HP$2:$HP$317),"")</f>
        <v>3</v>
      </c>
      <c r="DP23" s="7">
        <f>IFERROR(AVERAGEIF('Данные 1st'!$S$2:$S$317,$A23,'Данные 1st'!$HQ$2:$HQ$317),"")</f>
        <v>0</v>
      </c>
      <c r="DQ23" s="7">
        <f>IFERROR(AVERAGEIF('Данные 1st'!$S$2:$S$317,$A23,'Данные 1st'!$HR$2:$HR$317),"")</f>
        <v>2</v>
      </c>
      <c r="DR23" s="7">
        <f>IFERROR(AVERAGEIF('Данные 1st'!$S$2:$S$317,$A23,'Данные 1st'!$HS$2:$HS$317),"")</f>
        <v>4299.8</v>
      </c>
      <c r="DS23" s="7">
        <f>IFERROR(AVERAGEIF('Данные 1st'!$S$2:$S$317,$A23,'Данные 1st'!$HT$2:$HT$317),"")</f>
        <v>128</v>
      </c>
      <c r="DT23" s="7">
        <f>IFERROR(AVERAGEIF('Данные 1st'!$S$2:$S$317,$A23,'Данные 1st'!$HU$2:$HU$317),"")</f>
        <v>180</v>
      </c>
      <c r="DU23" s="7">
        <f>IFERROR(AVERAGEIF('Данные 1st'!$S$2:$S$317,$A23,'Данные 1st'!$HW$2:$HW$317),"")</f>
        <v>8</v>
      </c>
      <c r="DV23" s="7">
        <f>IFERROR(AVERAGEIF('Данные 1st'!$S$2:$S$317,$A23,'Данные 1st'!$HX$2:$HX$317),"")</f>
        <v>478.2</v>
      </c>
      <c r="DW23" s="7">
        <f>IFERROR(AVERAGEIF('Данные 1st'!$S$2:$S$317,$A23,'Данные 1st'!$HY$2:$HY$317),"")</f>
        <v>0.18</v>
      </c>
      <c r="DX23" s="7">
        <f>IFERROR(AVERAGEIF('Данные 1st'!$S$2:$S$317,$A23,'Данные 1st'!$IA$2:$IA$317),"")</f>
        <v>0.15</v>
      </c>
      <c r="DY23" s="7">
        <f>IFERROR(AVERAGEIF('Данные 1st'!$S$2:$S$317,$A23,'Данные 1st'!$IB$2:$IB$317),"")</f>
        <v>0</v>
      </c>
      <c r="DZ23" s="7">
        <f>IFERROR(AVERAGEIF('Данные 1st'!$S$2:$S$317,$A23,'Данные 1st'!$IC$2:$IC$317),"")</f>
        <v>180</v>
      </c>
      <c r="EA23" s="7">
        <f>IFERROR(AVERAGEIF('Данные 1st'!$S$2:$S$317,$A23,'Данные 1st'!$ID$2:$ID$317),"")</f>
        <v>110</v>
      </c>
      <c r="EB23" s="7">
        <f>IFERROR(AVERAGEIF('Данные 1st'!$S$2:$S$317,$A23,'Данные 1st'!$IE$2:$IE$317),"")</f>
        <v>45</v>
      </c>
      <c r="EC23" s="7">
        <f>IFERROR(AVERAGEIF('Данные 1st'!$S$2:$S$317,$A23,'Данные 1st'!$IF$2:$IF$317),"")</f>
        <v>0</v>
      </c>
      <c r="ED23" s="7">
        <f>IFERROR(AVERAGEIF('Данные 1st'!$S$2:$S$317,$A23,'Данные 1st'!$IP$2:$IP$317),"")</f>
        <v>17</v>
      </c>
      <c r="EE23" s="7">
        <f>IFERROR(AVERAGEIF('Данные 1st'!$S$2:$S$317,$A23,'Данные 1st'!$IV$2:$IV$317),"")</f>
        <v>1301</v>
      </c>
      <c r="EF23" s="7">
        <f>IFERROR(AVERAGEIF('Данные 1st'!$S$2:$S$317,$A23,'Данные 1st'!$IW$2:$IW$317),"")</f>
        <v>394.8</v>
      </c>
      <c r="EG23" s="7">
        <f>IFERROR(AVERAGEIF('Данные 1st'!$S$2:$S$317,$A23,'Данные 1st'!$IX$2:$IX$317),"")</f>
        <v/>
      </c>
      <c r="EH23" s="7">
        <f>IFERROR(AVERAGEIF('Данные 1st'!$S$2:$S$317,$A23,'Данные 1st'!$IY$2:$IY$317),"")</f>
        <v/>
      </c>
      <c r="EI23" s="7">
        <f>IFERROR(AVERAGEIF('Данные 1st'!$S$2:$S$317,$A23,'Данные 1st'!$JD$2:$JD$317),"")</f>
        <v>1315</v>
      </c>
      <c r="EJ23" s="7">
        <f>IFERROR(AVERAGEIF('Данные 1st'!$S$2:$S$317,$A23,'Данные 1st'!$JE$2:$JE$317),"")</f>
        <v>1312</v>
      </c>
      <c r="EK23" s="7">
        <f>IFERROR(AVERAGEIF('Данные 1st'!$S$2:$S$317,$A23,'Данные 1st'!$JF$2:$JF$317),"")</f>
        <v>0</v>
      </c>
      <c r="EL23" s="7">
        <f>IFERROR(AVERAGEIF('Данные 1st'!$S$2:$S$317,$A23,'Данные 1st'!$JG$2:$JG$317),"")</f>
        <v>1298.4</v>
      </c>
      <c r="EM23" s="7">
        <f>IFERROR(AVERAGEIF('Данные 1st'!$S$2:$S$317,$A23,'Данные 1st'!$JH$2:$JH$317),"")</f>
        <v>0</v>
      </c>
      <c r="EN23" s="7">
        <f>IFERROR(AVERAGEIF('Данные 1st'!$S$2:$S$317,$A23,'Данные 1st'!$JJ$2:$JJ$317),"")</f>
        <v>180</v>
      </c>
      <c r="EO23" s="7">
        <f>IFERROR(AVERAGEIF('Данные 1st'!$S$2:$S$317,$A23,'Данные 1st'!$JK$2:$JK$317),"")</f>
        <v>478.2</v>
      </c>
      <c r="EP23" s="7">
        <f>IFERROR(AVERAGEIF('Данные 1st'!$S$2:$S$317,$A23,'Данные 1st'!$JL$2:$JL$317),"")</f>
        <v/>
      </c>
      <c r="EQ23" s="7">
        <f>IFERROR(AVERAGEIF('Данные 1st'!$S$2:$S$317,$A23,'Данные 1st'!$JM$2:$JM$317),"")</f>
        <v/>
      </c>
      <c r="ER23" s="7">
        <f>IFERROR(AVERAGEIF('Данные 1st'!$S$2:$S$317,$A23,'Данные 1st'!$JN$2:$JN$317),"")</f>
        <v>371</v>
      </c>
      <c r="ES23" s="7">
        <f>IFERROR(AVERAGEIF('Данные 1st'!$S$2:$S$317,$A23,'Данные 1st'!$JO$2:$JO$317),"")</f>
        <v>580</v>
      </c>
      <c r="ET23" s="7">
        <f>IFERROR(AVERAGEIF('Данные 1st'!$S$2:$S$317,$A23,'Данные 1st'!$JP$2:$JP$317),"")</f>
        <v>0</v>
      </c>
      <c r="EU23" s="7">
        <f>IFERROR(AVERAGEIF('Данные 1st'!$S$2:$S$317,$A23,'Данные 1st'!$JQ$2:$JQ$317),"")</f>
        <v>0</v>
      </c>
      <c r="EV23" s="7">
        <f>IFERROR(AVERAGEIF('Данные 1st'!$S$2:$S$317,$A23,'Данные 1st'!$JR$2:$JR$317),"")</f>
        <v>359.2</v>
      </c>
      <c r="EW23" s="7">
        <f>IFERROR(AVERAGEIF('Данные 1st'!$S$2:$S$317,$A23,'Данные 1st'!$JS$2:$JS$317),"")</f>
        <v>140</v>
      </c>
      <c r="EX23" s="7">
        <f>IFERROR(AVERAGEIF('Данные 1st'!$S$2:$S$317,$A23,'Данные 1st'!$JT$2:$JT$317),"")</f>
        <v/>
      </c>
      <c r="EY23" s="7">
        <f>IFERROR(AVERAGEIF('Данные 1st'!$S$2:$S$317,$A23,'Данные 1st'!$JU$2:$JU$317),"")</f>
        <v/>
      </c>
      <c r="EZ23" s="7">
        <f>IFERROR(AVERAGEIF('Данные 1st'!$S$2:$S$317,$A23,'Данные 1st'!$JV$2:$JV$317),"")</f>
        <v>8</v>
      </c>
      <c r="FA23" s="7">
        <f>IFERROR(AVERAGEIF('Данные 1st'!$S$2:$S$317,$A23,'Данные 1st'!$JW$2:$JW$317),"")</f>
        <v/>
      </c>
      <c r="FB23" s="7">
        <f>IFERROR(AVERAGEIF('Данные 1st'!$S$2:$S$317,$A23,'Данные 1st'!$JX$2:$JX$317),"")</f>
        <v>88</v>
      </c>
      <c r="FC23" s="7">
        <f>IFERROR(AVERAGEIF('Данные 1st'!$S$2:$S$317,$A23,'Данные 1st'!$JY$2:$JY$317),"")</f>
        <v/>
      </c>
      <c r="FD23" s="7">
        <f>IFERROR(AVERAGEIF('Данные 1st'!$S$2:$S$317,$A23,'Данные 1st'!$JZ$2:$JZ$317),"")</f>
        <v/>
      </c>
      <c r="FE23" s="7">
        <f>IFERROR(AVERAGEIF('Данные 1st'!$S$2:$S$317,$A23,'Данные 1st'!$KA$2:$KA$317),"")</f>
        <v>45</v>
      </c>
      <c r="FF23" s="7">
        <f>IFERROR(AVERAGEIF('Данные 1st'!$S$2:$S$317,$A23,'Данные 1st'!$KB$2:$KB$317),"")</f>
        <v>110</v>
      </c>
      <c r="FG23" s="7">
        <f>IFERROR(AVERAGEIF('Данные 1st'!$S$2:$S$317,$A23,'Данные 1st'!$KC$2:$KC$317),"")</f>
        <v>0</v>
      </c>
      <c r="FH23" s="7">
        <f>IFERROR(AVERAGEIF('Данные 1st'!$S$2:$S$317,$A23,'Данные 1st'!$KD$2:$KD$317),"")</f>
        <v>80</v>
      </c>
      <c r="FI23" s="7">
        <f>IFERROR(AVERAGEIF('Данные 1st'!$S$2:$S$317,$A23,'Данные 1st'!$KE$2:$KE$317),"")</f>
        <v/>
      </c>
      <c r="FJ23" s="7">
        <f>IFERROR(AVERAGEIF('Данные 1st'!$S$2:$S$317,$A23,'Данные 1st'!$KF$2:$KF$317),"")</f>
        <v>4</v>
      </c>
      <c r="FK23" s="7">
        <f>IFERROR(AVERAGEIF('Данные 1st'!$S$2:$S$317,$A23,'Данные 1st'!$KG$2:$KG$317),"")</f>
        <v>2.1</v>
      </c>
      <c r="FL23" s="7">
        <f>IFERROR(AVERAGEIF('Данные 1st'!$S$2:$S$317,$A23,'Данные 1st'!$KH$2:$KH$317),"")</f>
        <v>2</v>
      </c>
      <c r="FM23" s="7">
        <f>IFERROR(AVERAGEIF('Данные 1st'!$S$2:$S$317,$A23,'Данные 1st'!$KI$2:$KI$317),"")</f>
        <v>2</v>
      </c>
      <c r="FN23" s="7">
        <f>IFERROR(AVERAGEIF('Данные 1st'!$S$2:$S$317,$A23,'Данные 1st'!$KJ$2:$KJ$317),"")</f>
        <v>0</v>
      </c>
      <c r="FO23" s="7">
        <f>IFERROR(AVERAGEIF('Данные 1st'!$S$2:$S$317,$A23,'Данные 1st'!$KK$2:$KK$317),"")</f>
        <v>1.5</v>
      </c>
      <c r="FP23" s="7">
        <f>IFERROR(AVERAGEIF('Данные 1st'!$S$2:$S$317,$A23,'Данные 1st'!$KL$2:$KL$317),"")</f>
        <v>1.5</v>
      </c>
      <c r="FQ23" s="7">
        <f>IFERROR(AVERAGEIF('Данные 1st'!$S$2:$S$317,$A23,'Данные 1st'!$KM$2:$KM$317),"")</f>
        <v>0</v>
      </c>
      <c r="FR23" s="7">
        <f>IFERROR(AVERAGEIF('Данные 1st'!$S$2:$S$317,$A23,'Данные 1st'!$KN$2:$KN$317),"")</f>
        <v>0</v>
      </c>
      <c r="FS23" s="7">
        <f>IFERROR(AVERAGEIF('Данные 1st'!$S$2:$S$317,$A23,'Данные 1st'!$KR$2:$KR$317),"")</f>
        <v>38</v>
      </c>
      <c r="FT23" s="7">
        <f>IFERROR(AVERAGEIF('Данные 1st'!$S$2:$S$317,$A23,'Данные 1st'!$KS$2:$KS$317),"")</f>
        <v>60</v>
      </c>
      <c r="FU23" s="7">
        <f>IFERROR(AVERAGEIF('Данные 1st'!$S$2:$S$317,$A23,'Данные 1st'!$KT$2:$KT$317),"")</f>
        <v>0</v>
      </c>
      <c r="FV23" s="7">
        <f>IFERROR(AVERAGEIF('Данные 1st'!$S$2:$S$317,$A23,'Данные 1st'!$KV$2:$KV$317),"")</f>
        <v/>
      </c>
      <c r="FW23" s="7">
        <f>IFERROR(AVERAGEIF('Данные 1st'!$S$2:$S$317,$A23,'Данные 1st'!$KW$2:$KW$317),"")</f>
        <v/>
      </c>
      <c r="FX23" s="7">
        <f>IFERROR(AVERAGEIF('Данные 1st'!$S$2:$S$317,$A23,'Данные 1st'!$KX$2:$KX$317),"")</f>
        <v/>
      </c>
      <c r="FY23" s="7">
        <f>IFERROR(AVERAGEIF('Данные 1st'!$S$2:$S$317,$A23,'Данные 1st'!$KY$2:$KY$317),"")</f>
        <v/>
      </c>
      <c r="FZ23" s="7">
        <f>IFERROR(AVERAGEIF('Данные 1st'!$S$2:$S$317,$A23,'Данные 1st'!$KZ$2:$KZ$317),"")</f>
        <v/>
      </c>
      <c r="GA23" s="7">
        <f>IFERROR(AVERAGEIF('Данные 1st'!$S$2:$S$317,$A23,'Данные 1st'!$LA$2:$LA$317),"")</f>
        <v/>
      </c>
      <c r="GB23" s="7">
        <f>IFERROR(AVERAGEIF('Данные 1st'!$S$2:$S$317,$A23,'Данные 1st'!$LB$2:$LB$317),"")</f>
        <v/>
      </c>
      <c r="GC23" s="7">
        <f>IFERROR(AVERAGEIF('Данные 1st'!$S$2:$S$317,$A23,'Данные 1st'!$LC$2:$LC$317),"")</f>
        <v/>
      </c>
      <c r="GD23" s="7">
        <f>IFERROR(AVERAGEIF('Данные 1st'!$S$2:$S$317,$A23,'Данные 1st'!$LD$2:$LD$317),"")</f>
        <v/>
      </c>
      <c r="GE23" s="7">
        <f>IFERROR(AVERAGEIF('Данные 1st'!$S$2:$S$317,$A23,'Данные 1st'!$LE$2:$LE$317),"")</f>
        <v/>
      </c>
      <c r="GF23" s="7">
        <f>IFERROR(AVERAGEIF('Данные 1st'!$S$2:$S$317,$A23,'Данные 1st'!$LF$2:$LF$317),"")</f>
        <v/>
      </c>
      <c r="GG23" s="7">
        <f>IFERROR(AVERAGEIF('Данные 1st'!$S$2:$S$317,$A23,'Данные 1st'!$LG$2:$LG$317),"")</f>
        <v/>
      </c>
      <c r="GH23" s="7">
        <f>IFERROR(AVERAGEIF('Данные 1st'!$S$2:$S$317,$A23,'Данные 1st'!$LH$2:$LH$317),"")</f>
        <v/>
      </c>
      <c r="GI23" s="7">
        <f>IFERROR(AVERAGEIF('Данные 1st'!$S$2:$S$317,$A23,'Данные 1st'!$LI$2:$LI$317),"")</f>
        <v/>
      </c>
      <c r="GJ23" s="7">
        <f>IFERROR(AVERAGEIF('Данные 1st'!$S$2:$S$317,$A23,'Данные 1st'!$LJ$2:$LJ$317),"")</f>
        <v/>
      </c>
      <c r="GK23" s="7">
        <f>IFERROR(AVERAGEIF('Данные 1st'!$S$2:$S$317,$A23,'Данные 1st'!$LK$2:$LK$317),"")</f>
        <v>480</v>
      </c>
      <c r="GL23" s="7">
        <f>IFERROR(AVERAGEIF('Данные 1st'!$S$2:$S$317,$A23,'Данные 1st'!$LV$2:$LV$317),"")</f>
        <v/>
      </c>
      <c r="GM23" s="7">
        <f>IFERROR(AVERAGEIF('Данные 1st'!$S$2:$S$317,$A23,'Данные 1st'!$LW$2:$LW$317),"")</f>
        <v/>
      </c>
      <c r="GN23" s="7">
        <f>IFERROR(AVERAGEIF('Данные 1st'!$S$2:$S$317,$A23,'Данные 1st'!$LX$2:$LX$317),"")</f>
        <v/>
      </c>
      <c r="GO23" s="7">
        <f>IFERROR(AVERAGEIF('Данные 1st'!$S$2:$S$317,$A23,'Данные 1st'!$LY$2:$LY$317),"")</f>
        <v/>
      </c>
      <c r="GP23" s="7">
        <f>IFERROR(AVERAGEIF('Данные 1st'!$S$2:$S$317,$A23,'Данные 1st'!$LZ$2:$LZ$317),"")</f>
        <v/>
      </c>
      <c r="GQ23" s="7">
        <f>IFERROR(AVERAGEIF('Данные 1st'!$S$2:$S$317,$A23,'Данные 1st'!$PG$2:$PG$317),"")</f>
        <v>1</v>
      </c>
      <c r="GR23" s="7">
        <f>IFERROR(AVERAGEIF('Данные 1st'!$S$2:$S$317,$A23,'Данные 1st'!$PX$2:$PX$317),"")</f>
        <v>56</v>
      </c>
      <c r="GS23" s="7">
        <f>IFERROR(AVERAGEIF('Данные 1st'!$S$2:$S$317,$A23,'Данные 1st'!$PY$2:$PY$317),"")</f>
        <v>56.6</v>
      </c>
      <c r="GT23" s="7">
        <f>IFERROR(AVERAGEIF('Данные 1st'!$S$2:$S$317,$A23,'Данные 1st'!$QA$2:$QA$317),"")</f>
        <v>1.6</v>
      </c>
      <c r="GU23" s="7">
        <f>IFERROR(AVERAGEIF('Данные 1st'!$S$2:$S$317,$A23,'Данные 1st'!$QB$2:$QB$317),"")</f>
        <v>1298.4</v>
      </c>
      <c r="GV23" s="7">
        <f>IFERROR(AVERAGEIF('Данные 1st'!$S$2:$S$317,$A23,'Данные 1st'!$QC$2:$QC$317),"")</f>
        <v>69</v>
      </c>
      <c r="GW23" s="7">
        <f>IFERROR(AVERAGEIF('Данные 1st'!$S$2:$S$317,$A23,'Данные 1st'!$QD$2:$QD$317),"")</f>
        <v>69</v>
      </c>
      <c r="GX23" s="7">
        <f>IFERROR(AVERAGEIF('Данные 1st'!$S$2:$S$317,$A23,'Данные 1st'!$QF$2:$QF$317),"")</f>
        <v>1</v>
      </c>
      <c r="GY23" s="7">
        <f>IFERROR(AVERAGEIF('Данные 1st'!$S$2:$S$317,$A23,'Данные 1st'!$QG$2:$QG$317),"")</f>
        <v>1315</v>
      </c>
      <c r="GZ23" s="7">
        <f>IFERROR(AVERAGEIF('Данные 1st'!$S$2:$S$317,$A23,'Данные 1st'!$QH$2:$QH$317),"")</f>
        <v>66</v>
      </c>
      <c r="HA23" s="7">
        <f>IFERROR(AVERAGEIF('Данные 1st'!$S$2:$S$317,$A23,'Данные 1st'!$QI$2:$QI$317),"")</f>
        <v>66</v>
      </c>
      <c r="HB23" s="7">
        <f>IFERROR(AVERAGEIF('Данные 1st'!$S$2:$S$317,$A23,'Данные 1st'!$QK$2:$QK$317),"")</f>
        <v>1</v>
      </c>
      <c r="HC23" s="7">
        <f>IFERROR(AVERAGEIF('Данные 1st'!$S$2:$S$317,$A23,'Данные 1st'!$QL$2:$QL$317),"")</f>
        <v>263.8</v>
      </c>
      <c r="HD23" s="7">
        <f>IFERROR(AVERAGEIF('Данные 1st'!$S$2:$S$317,$A23,'Данные 1st'!$QM$2:$QM$317),"")</f>
        <v>62.4</v>
      </c>
      <c r="HE23" s="7">
        <f>IFERROR(AVERAGEIF('Данные 1st'!$S$2:$S$317,$A23,'Данные 1st'!$QN$2:$QN$317),"")</f>
        <v>62.4</v>
      </c>
      <c r="HF23" s="7">
        <f>IFERROR(AVERAGEIF('Данные 1st'!$S$2:$S$317,$A23,'Данные 1st'!$QP$2:$QP$317),"")</f>
        <v>1</v>
      </c>
      <c r="HG23" s="7">
        <f>IFERROR(AVERAGEIF('Данные 1st'!$S$2:$S$317,$A23,'Данные 1st'!$QQ$2:$QQ$317),"")</f>
        <v>1312</v>
      </c>
      <c r="HH23" s="7">
        <f>IFERROR(AVERAGEIF('Данные 1st'!$S$2:$S$317,$A23,'Данные 1st'!$QR$2:$QR$317),"")</f>
        <v/>
      </c>
      <c r="HI23" s="7">
        <f>IFERROR(AVERAGEIF('Данные 1st'!$S$2:$S$317,$A23,'Данные 1st'!$QS$2:$QS$317),"")</f>
        <v/>
      </c>
      <c r="HJ23" s="7">
        <f>IFERROR(AVERAGEIF('Данные 1st'!$S$2:$S$317,$A23,'Данные 1st'!$QU$2:$QU$317),"")</f>
        <v/>
      </c>
      <c r="HK23" s="7">
        <f>IFERROR(AVERAGEIF('Данные 1st'!$S$2:$S$317,$A23,'Данные 1st'!$QV$2:$QV$317),"")</f>
        <v/>
      </c>
      <c r="HL23" s="7">
        <f>IFERROR(AVERAGEIF('Данные 1st'!$S$2:$S$317,$A23,'Данные 1st'!$QW$2:$QW$317),"")</f>
        <v>82</v>
      </c>
      <c r="HM23" s="7">
        <f>IFERROR(AVERAGEIF('Данные 1st'!$S$2:$S$317,$A23,'Данные 1st'!$QX$2:$QX$317),"")</f>
        <v>86.6</v>
      </c>
      <c r="HN23" s="7">
        <f>IFERROR(AVERAGEIF('Данные 1st'!$S$2:$S$317,$A23,'Данные 1st'!$QZ$2:$QZ$317),"")</f>
        <v>1.6</v>
      </c>
      <c r="HO23" s="7">
        <f>IFERROR(AVERAGEIF('Данные 1st'!$S$2:$S$317,$A23,'Данные 1st'!$RA$2:$RA$317),"")</f>
        <v>66</v>
      </c>
      <c r="HP23" s="7">
        <f>IFERROR(AVERAGEIF('Данные 1st'!$S$2:$S$317,$A23,'Данные 1st'!$RB$2:$RB$317),"")</f>
        <v>66</v>
      </c>
      <c r="HQ23" s="7">
        <f>IFERROR(AVERAGEIF('Данные 1st'!$S$2:$S$317,$A23,'Данные 1st'!$RD$2:$RD$317),"")</f>
        <v/>
      </c>
      <c r="HR23" s="7">
        <f>IFERROR(AVERAGEIF('Данные 1st'!$S$2:$S$317,$A23,'Данные 1st'!$RE$2:$RE$317),"")</f>
        <v>0</v>
      </c>
      <c r="HS23" s="7">
        <f>IFERROR(AVERAGEIF('Данные 1st'!$S$2:$S$317,$A23,'Данные 1st'!$RF$2:$RF$317),"")</f>
        <v>1</v>
      </c>
      <c r="HT23" s="7">
        <f>IFERROR(AVERAGEIF('Данные 1st'!$S$2:$S$317,$A23,'Данные 1st'!$RG$2:$RG$317),"")</f>
        <v>1</v>
      </c>
      <c r="HU23" s="7">
        <f>IFERROR(AVERAGEIF('Данные 1st'!$S$2:$S$317,$A23,'Данные 1st'!$RH$2:$RH$317),"")</f>
        <v/>
      </c>
      <c r="HV23" s="7">
        <f>IFERROR(AVERAGEIF('Данные 1st'!$S$2:$S$317,$A23,'Данные 1st'!$RI$2:$RI$317),"")</f>
        <v/>
      </c>
      <c r="HW23" s="7">
        <f>IFERROR(AVERAGEIF('Данные 1st'!$S$2:$S$317,$A23,'Данные 1st'!$RJ$2:$RJ$317),"")</f>
        <v>1.4</v>
      </c>
      <c r="HX23" s="7">
        <f>IFERROR(AVERAGEIF('Данные 1st'!$S$2:$S$317,$A23,'Данные 1st'!$RK$2:$RK$317),"")</f>
        <v>2</v>
      </c>
      <c r="HY23" s="7">
        <f>IFERROR(AVERAGEIF('Данные 1st'!$S$2:$S$317,$A23,'Данные 1st'!$RL$2:$RL$317),"")</f>
        <v>1.8</v>
      </c>
      <c r="HZ23" s="7">
        <f>IFERROR(AVERAGEIF('Данные 1st'!$S$2:$S$317,$A23,'Данные 1st'!$RM$2:$RM$317),"")</f>
        <v/>
      </c>
      <c r="IA23" s="7">
        <f>IFERROR(AVERAGEIF('Данные 1st'!$S$2:$S$317,$A23,'Данные 1st'!$RN$2:$RN$317),"")</f>
        <v/>
      </c>
      <c r="IB23" s="7">
        <f>IFERROR(AVERAGEIF('Данные 1st'!$S$2:$S$317,$A23,'Данные 1st'!$RO$2:$RO$317),"")</f>
        <v>525.2</v>
      </c>
      <c r="IC23" s="7">
        <f>IFERROR(AVERAGEIF('Данные 1st'!$S$2:$S$317,$A23,'Данные 1st'!$RP$2:$RP$317),"")</f>
        <v>105</v>
      </c>
      <c r="ID23" s="7">
        <f>IFERROR(AVERAGEIF('Данные 1st'!$S$2:$S$317,$A23,'Данные 1st'!$RQ$2:$RQ$317),"")</f>
        <v>938</v>
      </c>
      <c r="IE23" s="7">
        <f>IFERROR(AVERAGEIF('Данные 1st'!$S$2:$S$317,$A23,'Данные 1st'!$RR$2:$RR$317),"")</f>
        <v/>
      </c>
      <c r="IF23" s="7">
        <f>IFERROR(AVERAGEIF('Данные 1st'!$S$2:$S$317,$A23,'Данные 1st'!$RS$2:$RS$317),"")</f>
        <v/>
      </c>
      <c r="IG23" s="7">
        <f>IFERROR(AVERAGEIF('Данные 1st'!$S$2:$S$317,$A23,'Данные 1st'!$RT$2:$RT$317),"")</f>
        <v>221.8</v>
      </c>
      <c r="IH23" s="7">
        <f>IFERROR(AVERAGEIF('Данные 1st'!$S$2:$S$317,$A23,'Данные 1st'!$RU$2:$RU$317),"")</f>
        <v>183.4</v>
      </c>
      <c r="II23" s="7">
        <f>IFERROR(AVERAGEIF('Данные 1st'!$S$2:$S$317,$A23,'Данные 1st'!$RX$2:$RX$317),"")</f>
        <v>15</v>
      </c>
      <c r="IJ23" s="7">
        <f>IFERROR(AVERAGEIF('Данные 1st'!$S$2:$S$317,$A23,'Данные 1st'!$RY$2:$RY$317),"")</f>
        <v>4</v>
      </c>
      <c r="IK23" s="7">
        <f>IFERROR(AVERAGEIF('Данные 1st'!$S$2:$S$317,$A23,'Данные 1st'!$SA$2:$SA$317),"")</f>
        <v>15</v>
      </c>
      <c r="IL23" s="7">
        <f>IFERROR(AVERAGEIF('Данные 1st'!$S$2:$S$317,$A23,'Данные 1st'!$SD$2:$SD$317),"")</f>
        <v>1</v>
      </c>
      <c r="IM23" s="7">
        <f>IFERROR(AVERAGEIF('Данные 1st'!$S$2:$S$317,$A23,'Данные 1st'!$SG$2:$SG$317),"")</f>
        <v/>
      </c>
      <c r="IN23" s="7">
        <f>IFERROR(AVERAGEIF('Данные 1st'!$S$2:$S$317,$A23,'Данные 1st'!$SH$2:$SH$317),"")</f>
        <v>0.995</v>
      </c>
      <c r="IO23" s="7">
        <f>IFERROR(AVERAGEIF('Данные 1st'!$S$2:$S$317,$A23,'Данные 1st'!$SI$2:$SI$317),"")</f>
        <v>0.995</v>
      </c>
      <c r="IP23" s="7">
        <f>IFERROR(AVERAGEIF('Данные 1st'!$S$2:$S$317,$A23,'Данные 1st'!$SJ$2:$SJ$317),"")</f>
        <v>0.995</v>
      </c>
      <c r="IQ23" s="7">
        <f>IFERROR(AVERAGEIF('Данные 1st'!$S$2:$S$317,$A23,'Данные 1st'!$SK$2:$SK$317),"")</f>
        <v>15</v>
      </c>
      <c r="IR23" s="7">
        <f>IFERROR(AVERAGEIF('Данные 1st'!$S$2:$S$317,$A23,'Данные 1st'!$SL$2:$SL$317),"")</f>
        <v>0</v>
      </c>
      <c r="IS23" s="7">
        <f>IFERROR(AVERAGEIF('Данные 1st'!$S$2:$S$317,$A23,'Данные 1st'!$SM$2:$SM$317),"")</f>
        <v>0</v>
      </c>
      <c r="IT23" s="7">
        <f>IFERROR(AVERAGEIF('Данные 1st'!$S$2:$S$317,$A23,'Данные 1st'!$SN$2:$SN$317),"")</f>
        <v>0</v>
      </c>
      <c r="IU23" s="7">
        <f>IFERROR(AVERAGEIF('Данные 1st'!$S$2:$S$317,$A23,'Данные 1st'!$SO$2:$SO$317),"")</f>
        <v>0</v>
      </c>
      <c r="IV23" s="7">
        <f>IFERROR(AVERAGEIF('Данные 1st'!$S$2:$S$317,$A23,'Данные 1st'!$SP$2:$SP$317),"")</f>
        <v>0</v>
      </c>
      <c r="IW23" s="7">
        <f>IFERROR(AVERAGEIF('Данные 1st'!$S$2:$S$317,$A23,'Данные 1st'!$SQ$2:$SQ$317),"")</f>
        <v>0</v>
      </c>
      <c r="IX23" s="7">
        <f>IFERROR(AVERAGEIF('Данные 1st'!$S$2:$S$317,$A23,'Данные 1st'!$SR$2:$SR$317),"")</f>
        <v>0</v>
      </c>
      <c r="IY23" s="7">
        <f>IFERROR(AVERAGEIF('Данные 1st'!$S$2:$S$317,$A23,'Данные 1st'!$SS$2:$SS$317),"")</f>
        <v>0</v>
      </c>
      <c r="IZ23" s="7">
        <f>IFERROR(AVERAGEIF('Данные 1st'!$S$2:$S$317,$A23,'Данные 1st'!$ST$2:$ST$317),"")</f>
        <v>0</v>
      </c>
      <c r="JA23" s="7">
        <f>IFERROR(AVERAGEIF('Данные 1st'!$S$2:$S$317,$A23,'Данные 1st'!$SU$2:$SU$317),"")</f>
        <v>0</v>
      </c>
      <c r="JB23" s="7">
        <f>IFERROR(AVERAGEIF('Данные 1st'!$S$2:$S$317,$A23,'Данные 1st'!$SV$2:$SV$317),"")</f>
        <v>0</v>
      </c>
      <c r="JC23" s="7">
        <f>IFERROR(AVERAGEIF('Данные 1st'!$S$2:$S$317,$A23,'Данные 1st'!$SW$2:$SW$317),"")</f>
        <v>0</v>
      </c>
      <c r="JD23" s="7">
        <f>IFERROR(AVERAGEIF('Данные 1st'!$S$2:$S$317,$A23,'Данные 1st'!$SX$2:$SX$317),"")</f>
        <v>0</v>
      </c>
      <c r="JE23" s="7">
        <f>IFERROR(AVERAGEIF('Данные 1st'!$S$2:$S$317,$A23,'Данные 1st'!$SY$2:$SY$317),"")</f>
        <v>1</v>
      </c>
      <c r="JF23" s="7">
        <f>IFERROR(AVERAGEIF('Данные 1st'!$S$2:$S$317,$A23,'Данные 1st'!$SZ$2:$SZ$317),"")</f>
        <v/>
      </c>
      <c r="JG23" s="7">
        <f>IFERROR(AVERAGEIF('Данные 1st'!$S$2:$S$317,$A23,'Данные 1st'!$TA$2:$TA$317),"")</f>
        <v/>
      </c>
      <c r="JH23" s="7">
        <f>IFERROR(AVERAGEIF('Данные 1st'!$S$2:$S$317,$A23,'Данные 1st'!$TB$2:$TB$317),"")</f>
        <v>0</v>
      </c>
      <c r="JI23" s="7">
        <f>IFERROR(AVERAGEIF('Данные 1st'!$S$2:$S$317,$A23,'Данные 1st'!$TC$2:$TC$317),"")</f>
        <v>0</v>
      </c>
      <c r="JJ23" s="7">
        <f>IFERROR(AVERAGEIF('Данные 1st'!$S$2:$S$317,$A23,'Данные 1st'!$TD$2:$TD$317),"")</f>
        <v>7.5</v>
      </c>
      <c r="JK23" s="7">
        <f>IFERROR(AVERAGEIF('Данные 1st'!$S$2:$S$317,$A23,'Данные 1st'!$TN$2:$TN$317),"")</f>
        <v>0</v>
      </c>
      <c r="JL23">
        <f>COUNTIF('Данные 2st'!$Q$2:$Q$317,$A23)</f>
        <v>5</v>
      </c>
      <c r="JM23" s="6" t="s">
        <v>5087</v>
      </c>
      <c r="JN23" s="6" t="s">
        <v>513</v>
      </c>
      <c r="JO23" s="6" t="s">
        <v>5125</v>
      </c>
      <c r="JP23" s="6" t="s">
        <v>5480</v>
      </c>
      <c r="JQ23" s="7">
        <f>IFERROR(AVERAGEIF('Данные 2st'!$Q$2:$Q$317,$A23,'Данные 2st'!$AC$2:$AC$317),"")</f>
        <v>10.8</v>
      </c>
      <c r="JR23" s="7">
        <f>IFERROR(AVERAGEIF('Данные 2st'!$Q$2:$Q$317,$A23,'Данные 2st'!$AF$2:$AF$317),"")</f>
        <v>4299.8</v>
      </c>
      <c r="JS23" s="7">
        <f>IFERROR(AVERAGEIF('Данные 2st'!$Q$2:$Q$317,$A23,'Данные 2st'!$AW$2:$AW$317),"")</f>
        <v>6.4</v>
      </c>
      <c r="JT23" s="7">
        <f>IFERROR(AVERAGEIF('Данные 2st'!$Q$2:$Q$317,$A23,'Данные 2st'!$AX$2:$AX$317),"")</f>
        <v>-6</v>
      </c>
      <c r="JU23" s="7">
        <f>IFERROR(AVERAGEIF('Данные 2st'!$Q$2:$Q$317,$A23,'Данные 2st'!$AY$2:$AY$317),"")</f>
        <v>97.5</v>
      </c>
      <c r="JV23" s="7">
        <f>IFERROR(AVERAGEIF('Данные 2st'!$Q$2:$Q$317,$A23,'Данные 2st'!$AZ$2:$AZ$317),"")</f>
        <v>79.3</v>
      </c>
      <c r="JW23" s="7">
        <f>IFERROR(AVERAGEIF('Данные 2st'!$Q$2:$Q$317,$A23,'Данные 2st'!$BA$2:$BA$317),"")</f>
        <v/>
      </c>
      <c r="JX23" s="7">
        <f>IFERROR(AVERAGEIF('Данные 2st'!$Q$2:$Q$317,$A23,'Данные 2st'!$BB$2:$BB$317),"")</f>
        <v/>
      </c>
      <c r="JY23" s="7">
        <f>IFERROR(AVERAGEIF('Данные 2st'!$Q$2:$Q$317,$A23,'Данные 2st'!$BC$2:$BC$317),"")</f>
        <v/>
      </c>
      <c r="JZ23" s="7">
        <f>IFERROR(AVERAGEIF('Данные 2st'!$Q$2:$Q$317,$A23,'Данные 2st'!$BH$2:$BH$317),"")</f>
        <v>97.5</v>
      </c>
      <c r="KA23" s="7">
        <f>IFERROR(AVERAGEIF('Данные 2st'!$Q$2:$Q$317,$A23,'Данные 2st'!$BI$2:$BI$317),"")</f>
        <v>18.2</v>
      </c>
      <c r="KB23" s="7">
        <f>IFERROR(AVERAGEIF('Данные 2st'!$Q$2:$Q$317,$A23,'Данные 2st'!$BJ$2:$BJ$317),"")</f>
        <v>79.3</v>
      </c>
      <c r="KC23" s="7">
        <f>IFERROR(AVERAGEIF('Данные 2st'!$Q$2:$Q$317,$A23,'Данные 2st'!$BK$2:$BK$317),"")</f>
        <v>3.0</v>
      </c>
      <c r="KD23" s="7">
        <f>IFERROR(AVERAGEIF('Данные 2st'!$Q$2:$Q$317,$A23,'Данные 2st'!$BL$2:$BL$317),"")</f>
        <v>195</v>
      </c>
      <c r="KE23" s="7">
        <f>IFERROR(AVERAGEIF('Данные 2st'!$Q$2:$Q$317,$A23,'Данные 2st'!$BM$2:$BM$317),"")</f>
        <v>-6</v>
      </c>
      <c r="KF23" s="7">
        <f>IFERROR(AVERAGEIF('Данные 2st'!$Q$2:$Q$317,$A23,'Данные 2st'!$BN$2:$BN$317),"")</f>
        <v>0</v>
      </c>
      <c r="KG23" s="7">
        <f>IFERROR(AVERAGEIF('Данные 2st'!$Q$2:$Q$317,$A23,'Данные 2st'!$BO$2:$BO$317),"")</f>
        <v>0</v>
      </c>
      <c r="KH23" s="7">
        <f>IFERROR(AVERAGEIF('Данные 2st'!$Q$2:$Q$317,$A23,'Данные 2st'!$BP$2:$BP$317),"")</f>
        <v>0</v>
      </c>
      <c r="KI23" s="7">
        <f>IFERROR(AVERAGEIF('Данные 2st'!$Q$2:$Q$317,$A23,'Данные 2st'!$BR$2:$BR$317),"")</f>
        <v>189</v>
      </c>
      <c r="KJ23" s="7">
        <f>IFERROR(AVERAGEIF('Данные 2st'!$Q$2:$Q$317,$A23,'Данные 2st'!$BS$2:$BS$317),"")</f>
        <v>179</v>
      </c>
      <c r="KK23" s="7">
        <f>IFERROR(AVERAGEIF('Данные 2st'!$Q$2:$Q$317,$A23,'Данные 2st'!$BT$2:$BT$317),"")</f>
        <v>1952</v>
      </c>
      <c r="KL23" s="7">
        <f>IFERROR(AVERAGEIF('Данные 2st'!$Q$2:$Q$317,$A23,'Данные 2st'!$CV$2:$CV$317),"")</f>
        <v>121</v>
      </c>
      <c r="KM23" s="7">
        <f>IFERROR(AVERAGEIF('Данные 2st'!$Q$2:$Q$317,$A23,'Данные 2st'!$CW$2:$CW$317),"")</f>
        <v>3</v>
      </c>
      <c r="KN23" s="7">
        <f>IFERROR(AVERAGEIF('Данные 2st'!$Q$2:$Q$317,$A23,'Данные 2st'!$CX$2:$CX$317),"")</f>
        <v>90.4</v>
      </c>
      <c r="KO23" s="7">
        <f>IFERROR(AVERAGEIF('Данные 2st'!$Q$2:$Q$317,$A23,'Данные 2st'!$CY$2:$CY$317),"")</f>
        <v>5</v>
      </c>
      <c r="KP23" s="7">
        <f>IFERROR(AVERAGEIF('Данные 2st'!$Q$2:$Q$317,$A23,'Данные 2st'!$CZ$2:$CZ$317),"")</f>
        <v>109.8</v>
      </c>
      <c r="KQ23" s="7">
        <f>IFERROR(AVERAGEIF('Данные 2st'!$Q$2:$Q$317,$A23,'Данные 2st'!$DA$2:$DA$317),"")</f>
        <v>5</v>
      </c>
      <c r="KR23" s="7">
        <f>IFERROR(AVERAGEIF('Данные 2st'!$Q$2:$Q$317,$A23,'Данные 2st'!$DB$2:$DB$317),"")</f>
        <v>10060</v>
      </c>
      <c r="KS23" s="7">
        <f>IFERROR(AVERAGEIF('Данные 2st'!$Q$2:$Q$317,$A23,'Данные 2st'!$DC$2:$DC$317),"")</f>
        <v>296</v>
      </c>
      <c r="KT23" s="7">
        <f>IFERROR(AVERAGEIF('Данные 2st'!$Q$2:$Q$317,$A23,'Данные 2st'!$DD$2:$DD$317),"")</f>
        <v>309.2</v>
      </c>
      <c r="KU23" s="7">
        <f>IFERROR(AVERAGEIF('Данные 2st'!$Q$2:$Q$317,$A23,'Данные 2st'!$DE$2:$DE$317),"")</f>
        <v>2051.8</v>
      </c>
      <c r="KV23" s="7">
        <f>IFERROR(AVERAGEIF('Данные 2st'!$Q$2:$Q$317,$A23,'Данные 2st'!$DF$2:$DF$317),"")</f>
        <v>2051.8</v>
      </c>
      <c r="KW23" s="7">
        <f>IFERROR(AVERAGEIF('Данные 2st'!$Q$2:$Q$317,$A23,'Данные 2st'!$DG$2:$DG$317),"")</f>
        <v>2071.8</v>
      </c>
      <c r="KX23" s="7">
        <f>IFERROR(AVERAGEIF('Данные 2st'!$Q$2:$Q$317,$A23,'Данные 2st'!$DH$2:$DH$317),"")</f>
        <v>3</v>
      </c>
      <c r="KY23" s="7">
        <f>IFERROR(AVERAGEIF('Данные 2st'!$Q$2:$Q$317,$A23,'Данные 2st'!$DI$2:$DI$317),"")</f>
        <v/>
      </c>
      <c r="KZ23" s="7">
        <f>IFERROR(AVERAGEIF('Данные 2st'!$Q$2:$Q$317,$A23,'Данные 2st'!$DK$2:$DK$317),"")</f>
        <v>189</v>
      </c>
      <c r="LA23" s="7">
        <f>IFERROR(AVERAGEIF('Данные 2st'!$Q$2:$Q$317,$A23,'Данные 2st'!$DM$2:$DM$317),"")</f>
        <v>64.2</v>
      </c>
      <c r="LB23" s="7">
        <f>IFERROR(AVERAGEIF('Данные 2st'!$Q$2:$Q$317,$A23,'Данные 2st'!$DN$2:$DN$317),"")</f>
        <v>0.892</v>
      </c>
      <c r="LC23" s="7">
        <f>IFERROR(AVERAGEIF('Данные 2st'!$Q$2:$Q$317,$A23,'Данные 2st'!$DO$2:$DO$317),"")</f>
        <v>1</v>
      </c>
      <c r="LD23" s="7">
        <f>IFERROR(AVERAGEIF('Данные 2st'!$Q$2:$Q$317,$A23,'Данные 2st'!$DP$2:$DP$317),"")</f>
        <v>1955</v>
      </c>
      <c r="LE23" s="7">
        <f>IFERROR(AVERAGEIF('Данные 2st'!$Q$2:$Q$317,$A23,'Данные 2st'!$DQ$2:$DQ$317),"")</f>
        <v>699.8</v>
      </c>
      <c r="LF23" s="7">
        <f>IFERROR(AVERAGEIF('Данные 2st'!$Q$2:$Q$317,$A23,'Данные 2st'!$DS$2:$DS$317),"")</f>
        <v>179</v>
      </c>
      <c r="LG23" s="7">
        <f>IFERROR(AVERAGEIF('Данные 2st'!$Q$2:$Q$317,$A23,'Данные 2st'!$DU$2:$DU$317),"")</f>
        <v>64.2</v>
      </c>
      <c r="LH23" s="7">
        <f>IFERROR(AVERAGEIF('Данные 2st'!$Q$2:$Q$317,$A23,'Данные 2st'!$DV$2:$DV$317),"")</f>
        <v>0.892</v>
      </c>
      <c r="LI23" s="7">
        <f>IFERROR(AVERAGEIF('Данные 2st'!$Q$2:$Q$317,$A23,'Данные 2st'!$DW$2:$DW$317),"")</f>
        <v>1</v>
      </c>
      <c r="LJ23" s="7">
        <f>IFERROR(AVERAGEIF('Данные 2st'!$Q$2:$Q$317,$A23,'Данные 2st'!$DX$2:$DX$317),"")</f>
        <v>1963</v>
      </c>
      <c r="LK23" s="7">
        <f>IFERROR(AVERAGEIF('Данные 2st'!$Q$2:$Q$317,$A23,'Данные 2st'!$DY$2:$DY$317),"")</f>
        <v>665.8</v>
      </c>
      <c r="LL23" s="7">
        <f>IFERROR(AVERAGEIF('Данные 2st'!$Q$2:$Q$317,$A23,'Данные 2st'!$EA$2:$EA$317),"")</f>
        <v>30.4</v>
      </c>
      <c r="LM23" s="7">
        <f>IFERROR(AVERAGEIF('Данные 2st'!$Q$2:$Q$317,$A23,'Данные 2st'!$EC$2:$EC$317),"")</f>
        <v>0.48000000000000004</v>
      </c>
      <c r="LN23" s="7">
        <f>IFERROR(AVERAGEIF('Данные 2st'!$Q$2:$Q$317,$A23,'Данные 2st'!$ED$2:$ED$317),"")</f>
        <v>1955</v>
      </c>
      <c r="LO23" s="7">
        <f>IFERROR(AVERAGEIF('Данные 2st'!$Q$2:$Q$317,$A23,'Данные 2st'!$EE$2:$EE$317),"")</f>
        <v>59</v>
      </c>
      <c r="LP23" s="7">
        <f>IFERROR(AVERAGEIF('Данные 2st'!$Q$2:$Q$317,$A23,'Данные 2st'!$EG$2:$EG$317),"")</f>
        <v>26.4</v>
      </c>
      <c r="LQ23" s="7">
        <f>IFERROR(AVERAGEIF('Данные 2st'!$Q$2:$Q$317,$A23,'Данные 2st'!$EI$2:$EI$317),"")</f>
        <v>0.32</v>
      </c>
      <c r="LR23" s="7">
        <f>IFERROR(AVERAGEIF('Данные 2st'!$Q$2:$Q$317,$A23,'Данные 2st'!$EJ$2:$EJ$317),"")</f>
        <v>1962.5</v>
      </c>
      <c r="LS23" s="7">
        <f>IFERROR(AVERAGEIF('Данные 2st'!$Q$2:$Q$317,$A23,'Данные 2st'!$EK$2:$EK$317),"")</f>
        <v>57</v>
      </c>
      <c r="LT23" s="7">
        <f>IFERROR(AVERAGEIF('Данные 2st'!$Q$2:$Q$317,$A23,'Данные 2st'!$EM$2:$EM$317),"")</f>
        <v>12</v>
      </c>
      <c r="LU23" s="7">
        <f>IFERROR(AVERAGEIF('Данные 2st'!$Q$2:$Q$317,$A23,'Данные 2st'!$EN$2:$EN$317),"")</f>
        <v>0.5</v>
      </c>
      <c r="LV23" s="7">
        <f>IFERROR(AVERAGEIF('Данные 2st'!$Q$2:$Q$317,$A23,'Данные 2st'!$EO$2:$EO$317),"")</f>
        <v>0.91</v>
      </c>
      <c r="LW23" s="7">
        <f>IFERROR(AVERAGEIF('Данные 2st'!$Q$2:$Q$317,$A23,'Данные 2st'!$EP$2:$EP$317),"")</f>
        <v>1963.214</v>
      </c>
      <c r="LX23" s="7">
        <f>IFERROR(AVERAGEIF('Данные 2st'!$Q$2:$Q$317,$A23,'Данные 2st'!$EQ$2:$EQ$317),"")</f>
        <v>31749.71</v>
      </c>
      <c r="LY23" s="7">
        <f>IFERROR(AVERAGEIF('Данные 2st'!$Q$2:$Q$317,$A23,'Данные 2st'!$ER$2:$ER$317),"")</f>
        <v>5598.2699999999995</v>
      </c>
      <c r="LZ23" s="7">
        <f>IFERROR(AVERAGEIF('Данные 2st'!$Q$2:$Q$317,$A23,'Данные 2st'!$ES$2:$ES$317),"")</f>
        <v>0</v>
      </c>
      <c r="MA23" s="7">
        <f>IFERROR(AVERAGEIF('Данные 2st'!$Q$2:$Q$317,$A23,'Данные 2st'!$ET$2:$ET$317),"")</f>
        <v>0</v>
      </c>
      <c r="MB23" s="7">
        <f>IFERROR(AVERAGEIF('Данные 2st'!$Q$2:$Q$317,$A23,'Данные 2st'!$EU$2:$EU$317),"")</f>
        <v>1</v>
      </c>
      <c r="MC23" s="7">
        <f>IFERROR(AVERAGEIF('Данные 2st'!$Q$2:$Q$317,$A23,'Данные 2st'!$EV$2:$EV$317),"")</f>
        <v>37348.6</v>
      </c>
      <c r="MD23" s="7">
        <f>IFERROR(AVERAGEIF('Данные 2st'!$Q$2:$Q$317,$A23,'Данные 2st'!$EW$2:$EW$317),"")</f>
        <v>434.2</v>
      </c>
      <c r="ME23" s="7">
        <f>IFERROR(AVERAGEIF('Данные 2st'!$Q$2:$Q$317,$A23,'Данные 2st'!$EY$2:$EY$317),"")</f>
        <v>204.4</v>
      </c>
      <c r="MF23" s="7">
        <f>IFERROR(AVERAGEIF('Данные 2st'!$Q$2:$Q$317,$A23,'Данные 2st'!$FA$2:$FA$317),"")</f>
        <v>5.04</v>
      </c>
      <c r="MG23" s="7">
        <f>IFERROR(AVERAGEIF('Данные 2st'!$Q$2:$Q$317,$A23,'Данные 2st'!$FB$2:$FB$317),"")</f>
        <v>1</v>
      </c>
      <c r="MH23" s="7">
        <f>IFERROR(AVERAGEIF('Данные 2st'!$Q$2:$Q$317,$A23,'Данные 2st'!$FC$2:$FC$317),"")</f>
        <v>1</v>
      </c>
      <c r="MI23" s="7">
        <f>IFERROR(AVERAGEIF('Данные 2st'!$Q$2:$Q$317,$A23,'Данные 2st'!$FD$2:$FD$317),"")</f>
        <v>1995</v>
      </c>
      <c r="MJ23" s="7">
        <f>IFERROR(AVERAGEIF('Данные 2st'!$Q$2:$Q$317,$A23,'Данные 2st'!$FE$2:$FE$317),"")</f>
        <v>2258.2</v>
      </c>
      <c r="MK23" s="7">
        <f>IFERROR(AVERAGEIF('Данные 2st'!$Q$2:$Q$317,$A23,'Данные 2st'!$FG$2:$FG$317),"")</f>
        <v>207.2</v>
      </c>
      <c r="ML23" s="7">
        <f>IFERROR(AVERAGEIF('Данные 2st'!$Q$2:$Q$317,$A23,'Данные 2st'!$FI$2:$FI$317),"")</f>
        <v>2.6799999999999997</v>
      </c>
      <c r="MM23" s="7">
        <f>IFERROR(AVERAGEIF('Данные 2st'!$Q$2:$Q$317,$A23,'Данные 2st'!$FJ$2:$FJ$317),"")</f>
        <v>1995</v>
      </c>
      <c r="MN23" s="7">
        <f>IFERROR(AVERAGEIF('Данные 2st'!$Q$2:$Q$317,$A23,'Данные 2st'!$FK$2:$FK$317),"")</f>
        <v>1244.8</v>
      </c>
      <c r="MO23" s="7">
        <f>IFERROR(AVERAGEIF('Данные 2st'!$Q$2:$Q$317,$A23,'Данные 2st'!$FP$2:$FP$317),"")</f>
        <v>1995</v>
      </c>
      <c r="MP23" s="7">
        <f>IFERROR(AVERAGEIF('Данные 2st'!$Q$2:$Q$317,$A23,'Данные 2st'!$FQ$2:$FQ$317),"")</f>
        <v>146.2</v>
      </c>
      <c r="MQ23" s="7">
        <f>IFERROR(AVERAGEIF('Данные 2st'!$Q$2:$Q$317,$A23,'Данные 2st'!$FS$2:$FS$317),"")</f>
        <v>211.2</v>
      </c>
      <c r="MR23" s="7">
        <f>IFERROR(AVERAGEIF('Данные 2st'!$Q$2:$Q$317,$A23,'Данные 2st'!$FU$2:$FU$317),"")</f>
        <v>0.4</v>
      </c>
      <c r="MS23" s="7">
        <f>IFERROR(AVERAGEIF('Данные 2st'!$Q$2:$Q$317,$A23,'Данные 2st'!$FV$2:$FV$317),"")</f>
        <v>1995</v>
      </c>
      <c r="MT23" s="7">
        <f>IFERROR(AVERAGEIF('Данные 2st'!$Q$2:$Q$317,$A23,'Данные 2st'!$FW$2:$FW$317),"")</f>
        <v>187.6</v>
      </c>
      <c r="MU23" s="7">
        <f>IFERROR(AVERAGEIF('Данные 2st'!$Q$2:$Q$317,$A23,'Данные 2st'!$FY$2:$FY$317),"")</f>
        <v>5</v>
      </c>
      <c r="MV23" s="7">
        <f>IFERROR(AVERAGEIF('Данные 2st'!$Q$2:$Q$317,$A23,'Данные 2st'!$GB$2:$GB$317),"")</f>
        <v>1996</v>
      </c>
      <c r="MW23" s="7">
        <f>IFERROR(AVERAGEIF('Данные 2st'!$Q$2:$Q$317,$A23,'Данные 2st'!$GC$2:$GC$317),"")</f>
        <v>18</v>
      </c>
      <c r="MX23" s="7">
        <f>IFERROR(AVERAGEIF('Данные 2st'!$Q$2:$Q$317,$A23,'Данные 2st'!$GD$2:$GD$317),"")</f>
        <v>3851.2</v>
      </c>
      <c r="MY23" s="7">
        <f>IFERROR(AVERAGEIF('Данные 2st'!$Q$2:$Q$317,$A23,'Данные 2st'!$GN$2:$GN$317),"")</f>
        <v/>
      </c>
      <c r="MZ23" s="7">
        <f>IFERROR(AVERAGEIF('Данные 2st'!$Q$2:$Q$317,$A23,'Данные 2st'!$GQ$2:$GQ$317),"")</f>
        <v>0</v>
      </c>
      <c r="NA23" s="7">
        <f>IFERROR(AVERAGEIF('Данные 2st'!$Q$2:$Q$317,$A23,'Данные 2st'!$GV$2:$GV$317),"")</f>
        <v>8.12</v>
      </c>
      <c r="NB23" s="7">
        <f>IFERROR(AVERAGEIF('Данные 2st'!$Q$2:$Q$317,$A23,'Данные 2st'!$GW$2:$GW$317),"")</f>
        <v>9.58</v>
      </c>
      <c r="NC23" s="7">
        <f>IFERROR(AVERAGEIF('Данные 2st'!$Q$2:$Q$317,$A23,'Данные 2st'!$GX$2:$GX$317),"")</f>
        <v>0.5</v>
      </c>
      <c r="ND23" s="7">
        <f>IFERROR(AVERAGEIF('Данные 2st'!$Q$2:$Q$317,$A23,'Данные 2st'!$GY$2:$GY$317),"")</f>
        <v>175.2</v>
      </c>
      <c r="NE23" s="7">
        <f>IFERROR(AVERAGEIF('Данные 2st'!$Q$2:$Q$317,$A23,'Данные 2st'!$GZ$2:$GZ$317),"")</f>
        <v>3</v>
      </c>
      <c r="NF23" s="7">
        <f>IFERROR(AVERAGEIF('Данные 2st'!$Q$2:$Q$317,$A23,'Данные 2st'!$HA$2:$HA$317),"")</f>
        <v>225.6</v>
      </c>
      <c r="NG23" s="7">
        <f>IFERROR(AVERAGEIF('Данные 2st'!$Q$2:$Q$317,$A23,'Данные 2st'!$HB$2:$HB$317),"")</f>
        <v>3</v>
      </c>
      <c r="NH23" s="7">
        <f>IFERROR(AVERAGEIF('Данные 2st'!$Q$2:$Q$317,$A23,'Данные 2st'!$HC$2:$HC$317),"")</f>
        <v>1995</v>
      </c>
      <c r="NI23" s="7">
        <f>IFERROR(AVERAGEIF('Данные 2st'!$Q$2:$Q$317,$A23,'Данные 2st'!$HD$2:$HD$317),"")</f>
        <v>4</v>
      </c>
      <c r="NJ23" s="7">
        <f>IFERROR(AVERAGEIF('Данные 2st'!$Q$2:$Q$317,$A23,'Данные 2st'!$HM$2:$HM$317),"")</f>
        <v>17</v>
      </c>
      <c r="NK23" s="7">
        <f>IFERROR(AVERAGEIF('Данные 2st'!$Q$2:$Q$317,$A23,'Данные 2st'!$HR$2:$HR$317),"")</f>
        <v>2.2</v>
      </c>
      <c r="NL23" s="7">
        <f>IFERROR(AVERAGEIF('Данные 2st'!$Q$2:$Q$317,$A23,'Данные 2st'!$HS$2:$HS$317),"")</f>
        <v>1952</v>
      </c>
      <c r="NM23" s="7">
        <f>IFERROR(AVERAGEIF('Данные 2st'!$Q$2:$Q$317,$A23,'Данные 2st'!$HT$2:$HT$317),"")</f>
        <v>5.1</v>
      </c>
      <c r="NN23" s="7">
        <f>IFERROR(AVERAGEIF('Данные 2st'!$Q$2:$Q$317,$A23,'Данные 2st'!$HY$2:$HY$317),"")</f>
        <v>0</v>
      </c>
      <c r="NO23" s="7">
        <f>IFERROR(AVERAGEIF('Данные 2st'!$Q$2:$Q$317,$A23,'Данные 2st'!$HZ$2:$HZ$317),"")</f>
        <v>64.2</v>
      </c>
      <c r="NP23" s="7">
        <f>IFERROR(AVERAGEIF('Данные 2st'!$Q$2:$Q$317,$A23,'Данные 2st'!$IA$2:$IA$317),"")</f>
        <v>1955</v>
      </c>
      <c r="NQ23" s="7">
        <f>IFERROR(AVERAGEIF('Данные 2st'!$Q$2:$Q$317,$A23,'Данные 2st'!$IB$2:$IB$317),"")</f>
        <v>1963</v>
      </c>
      <c r="NR23" s="7">
        <f>IFERROR(AVERAGEIF('Данные 2st'!$Q$2:$Q$317,$A23,'Данные 2st'!$IC$2:$IC$317),"")</f>
        <v/>
      </c>
      <c r="NS23" s="7">
        <f>IFERROR(AVERAGEIF('Данные 2st'!$Q$2:$Q$317,$A23,'Данные 2st'!$ID$2:$ID$317),"")</f>
        <v>1995</v>
      </c>
      <c r="NT23" s="7">
        <f>IFERROR(AVERAGEIF('Данные 2st'!$Q$2:$Q$317,$A23,'Данные 2st'!$IE$2:$IE$317),"")</f>
        <v>1995</v>
      </c>
      <c r="NU23" s="7">
        <f>IFERROR(AVERAGEIF('Данные 2st'!$Q$2:$Q$317,$A23,'Данные 2st'!$IF$2:$IF$317),"")</f>
        <v>189</v>
      </c>
      <c r="NV23" s="7">
        <f>IFERROR(AVERAGEIF('Данные 2st'!$Q$2:$Q$317,$A23,'Данные 2st'!$IG$2:$IG$317),"")</f>
        <v>179</v>
      </c>
      <c r="NW23" s="7">
        <f>IFERROR(AVERAGEIF('Данные 2st'!$Q$2:$Q$317,$A23,'Данные 2st'!$IH$2:$IH$317),"")</f>
        <v>225.6</v>
      </c>
      <c r="NX23" s="7">
        <f>IFERROR(AVERAGEIF('Данные 2st'!$Q$2:$Q$317,$A23,'Данные 2st'!$IJ$2:$IJ$317),"")</f>
        <v>5</v>
      </c>
      <c r="NY23" s="7">
        <f>IFERROR(AVERAGEIF('Данные 2st'!$Q$2:$Q$317,$A23,'Данные 2st'!$IM$2:$IM$317),"")</f>
        <v>0</v>
      </c>
      <c r="NZ23" s="7">
        <f>IFERROR(AVERAGEIF('Данные 2st'!$Q$2:$Q$317,$A23,'Данные 2st'!$IN$2:$IN$317),"")</f>
        <v>216</v>
      </c>
      <c r="OA23" s="7">
        <f>IFERROR(AVERAGEIF('Данные 2st'!$Q$2:$Q$317,$A23,'Данные 2st'!$IO$2:$IO$317),"")</f>
        <v>0</v>
      </c>
      <c r="OB23" s="7">
        <f>IFERROR(AVERAGEIF('Данные 2st'!$Q$2:$Q$317,$A23,'Данные 2st'!$IP$2:$IP$317),"")</f>
        <v>180</v>
      </c>
      <c r="OC23" s="7">
        <f>IFERROR(AVERAGEIF('Данные 2st'!$Q$2:$Q$317,$A23,'Данные 2st'!$IQ$2:$IQ$317),"")</f>
        <v>50</v>
      </c>
      <c r="OD23" s="7">
        <f>IFERROR(AVERAGEIF('Данные 2st'!$Q$2:$Q$317,$A23,'Данные 2st'!$IR$2:$IR$317),"")</f>
        <v>329</v>
      </c>
      <c r="OE23" s="7">
        <f>IFERROR(AVERAGEIF('Данные 2st'!$Q$2:$Q$317,$A23,'Данные 2st'!$IT$2:$IT$317),"")</f>
        <v>90</v>
      </c>
      <c r="OF23" s="7">
        <f>IFERROR(AVERAGEIF('Данные 2st'!$Q$2:$Q$317,$A23,'Данные 2st'!$IU$2:$IU$317),"")</f>
        <v>0</v>
      </c>
      <c r="OG23" s="7">
        <f>IFERROR(AVERAGEIF('Данные 2st'!$Q$2:$Q$317,$A23,'Данные 2st'!$IV$2:$IV$317),"")</f>
        <v>6.4</v>
      </c>
      <c r="OH23" s="7">
        <f>IFERROR(AVERAGEIF('Данные 2st'!$Q$2:$Q$317,$A23,'Данные 2st'!$IW$2:$IW$317),"")</f>
        <v>-6</v>
      </c>
      <c r="OI23" s="7">
        <f>IFERROR(AVERAGEIF('Данные 2st'!$Q$2:$Q$317,$A23,'Данные 2st'!$IX$2:$IX$317),"")</f>
        <v>97.5</v>
      </c>
      <c r="OJ23" s="7">
        <f>IFERROR(AVERAGEIF('Данные 2st'!$Q$2:$Q$317,$A23,'Данные 2st'!$IY$2:$IY$317),"")</f>
        <v>79.3</v>
      </c>
      <c r="OK23" s="7">
        <f>IFERROR(AVERAGEIF('Данные 2st'!$Q$2:$Q$317,$A23,'Данные 2st'!$IZ$2:$IZ$317),"")</f>
        <v>0</v>
      </c>
      <c r="OL23" s="7">
        <f>IFERROR(AVERAGEIF('Данные 2st'!$Q$2:$Q$317,$A23,'Данные 2st'!$JA$2:$JA$317),"")</f>
        <v>0</v>
      </c>
      <c r="OM23" s="7">
        <f>IFERROR(AVERAGEIF('Данные 2st'!$Q$2:$Q$317,$A23,'Данные 2st'!$JB$2:$JB$317),"")</f>
        <v>0</v>
      </c>
      <c r="ON23" s="7">
        <f>IFERROR(AVERAGEIF('Данные 2st'!$Q$2:$Q$317,$A23,'Данные 2st'!$JC$2:$JC$317),"")</f>
        <v>0</v>
      </c>
      <c r="OO23" s="7">
        <f>IFERROR(AVERAGEIF('Данные 2st'!$Q$2:$Q$317,$A23,'Данные 2st'!$JD$2:$JD$317),"")</f>
        <v>0</v>
      </c>
      <c r="OP23" s="7">
        <f>IFERROR(AVERAGEIF('Данные 2st'!$Q$2:$Q$317,$A23,'Данные 2st'!$JE$2:$JE$317),"")</f>
        <v>0</v>
      </c>
      <c r="OQ23" s="7">
        <f>IFERROR(AVERAGEIF('Данные 2st'!$Q$2:$Q$317,$A23,'Данные 2st'!$JF$2:$JF$317),"")</f>
        <v>0</v>
      </c>
      <c r="OR23" s="7">
        <f>IFERROR(AVERAGEIF('Данные 2st'!$Q$2:$Q$317,$A23,'Данные 2st'!$JG$2:$JG$317),"")</f>
        <v>0</v>
      </c>
      <c r="OS23" s="7">
        <f>IFERROR(AVERAGEIF('Данные 2st'!$Q$2:$Q$317,$A23,'Данные 2st'!$JH$2:$JH$317),"")</f>
        <v>0</v>
      </c>
      <c r="OT23" s="7">
        <f>IFERROR(AVERAGEIF('Данные 2st'!$Q$2:$Q$317,$A23,'Данные 2st'!$JI$2:$JI$317),"")</f>
        <v>362</v>
      </c>
      <c r="OU23" s="7">
        <f>IFERROR(AVERAGEIF('Данные 2st'!$Q$2:$Q$317,$A23,'Данные 2st'!$JJ$2:$JJ$317),"")</f>
        <v>334</v>
      </c>
      <c r="OV23" s="7">
        <f>IFERROR(AVERAGEIF('Данные 2st'!$Q$2:$Q$317,$A23,'Данные 2st'!$JK$2:$JK$317),"")</f>
        <v>245.8</v>
      </c>
      <c r="OW23" s="7">
        <f>IFERROR(AVERAGEIF('Данные 2st'!$Q$2:$Q$317,$A23,'Данные 2st'!$JL$2:$JL$317),"")</f>
        <v>330.8</v>
      </c>
      <c r="OX23" s="7">
        <f>IFERROR(AVERAGEIF('Данные 2st'!$Q$2:$Q$317,$A23,'Данные 2st'!$JM$2:$JM$317),"")</f>
        <v>258.4</v>
      </c>
      <c r="OY23" s="7">
        <f>IFERROR(AVERAGEIF('Данные 2st'!$Q$2:$Q$317,$A23,'Данные 2st'!$JP$2:$JP$317),"")</f>
        <v>206</v>
      </c>
      <c r="OZ23" s="7">
        <f>IFERROR(AVERAGEIF('Данные 2st'!$Q$2:$Q$317,$A23,'Данные 2st'!$JQ$2:$JQ$317),"")</f>
        <v>249</v>
      </c>
      <c r="PA23" s="7">
        <f>IFERROR(AVERAGEIF('Данные 2st'!$Q$2:$Q$317,$A23,'Данные 2st'!$JR$2:$JR$317),"")</f>
        <v>332.4</v>
      </c>
      <c r="PB23" s="7">
        <f>IFERROR(AVERAGEIF('Данные 2st'!$Q$2:$Q$317,$A23,'Данные 2st'!$JS$2:$JS$317),"")</f>
        <v>250.2</v>
      </c>
      <c r="PC23" s="7">
        <f>IFERROR(AVERAGEIF('Данные 2st'!$Q$2:$Q$317,$A23,'Данные 2st'!$JT$2:$JT$317),"")</f>
        <v>0</v>
      </c>
      <c r="PD23" s="7">
        <f>IFERROR(AVERAGEIF('Данные 2st'!$Q$2:$Q$317,$A23,'Данные 2st'!$JU$2:$JU$317),"")</f>
        <v>0</v>
      </c>
      <c r="PE23" s="7">
        <f>IFERROR(AVERAGEIF('Данные 2st'!$Q$2:$Q$317,$A23,'Данные 2st'!$JV$2:$JV$317),"")</f>
        <v>331.4</v>
      </c>
      <c r="PF23" s="7">
        <f>IFERROR(AVERAGEIF('Данные 2st'!$Q$2:$Q$317,$A23,'Данные 2st'!$JW$2:$JW$317),"")</f>
        <v>333.6</v>
      </c>
      <c r="PG23" s="7">
        <f>IFERROR(AVERAGEIF('Данные 2st'!$Q$2:$Q$317,$A23,'Данные 2st'!$KF$2:$KF$317),"")</f>
        <v>0.18</v>
      </c>
      <c r="PH23" s="7">
        <f>IFERROR(AVERAGEIF('Данные 2st'!$Q$2:$Q$317,$A23,'Данные 2st'!$KG$2:$KG$317),"")</f>
        <v>0.1</v>
      </c>
      <c r="PI23" s="7">
        <f>IFERROR(AVERAGEIF('Данные 2st'!$Q$2:$Q$317,$A23,'Данные 2st'!$KM$2:$KM$317),"")</f>
        <v>0.3</v>
      </c>
      <c r="PJ23" s="7">
        <f>IFERROR(AVERAGEIF('Данные 2st'!$Q$2:$Q$317,$A23,'Данные 2st'!$KN$2:$KN$317),"")</f>
        <v>1.3</v>
      </c>
      <c r="PK23" s="7">
        <f>IFERROR(AVERAGEIF('Данные 2st'!$Q$2:$Q$317,$A23,'Данные 2st'!$KO$2:$KO$317),"")</f>
        <v>0</v>
      </c>
      <c r="PL23" s="7">
        <f>IFERROR(AVERAGEIF('Данные 2st'!$Q$2:$Q$317,$A23,'Данные 2st'!$KP$2:$KP$317),"")</f>
        <v>0</v>
      </c>
      <c r="PM23" s="7">
        <f>IFERROR(AVERAGEIF('Данные 2st'!$Q$2:$Q$317,$A23,'Данные 2st'!$KQ$2:$KQ$317),"")</f>
        <v>0.8</v>
      </c>
      <c r="PN23" s="7">
        <f>IFERROR(AVERAGEIF('Данные 2st'!$Q$2:$Q$317,$A23,'Данные 2st'!$KR$2:$KR$317),"")</f>
        <v>0.8200000000000001</v>
      </c>
      <c r="PO23" s="7">
        <f>IFERROR(AVERAGEIF('Данные 2st'!$Q$2:$Q$317,$A23,'Данные 2st'!$KS$2:$KS$317),"")</f>
        <v>0.04</v>
      </c>
      <c r="PP23" s="7">
        <f>IFERROR(AVERAGEIF('Данные 2st'!$Q$2:$Q$317,$A23,'Данные 2st'!$KT$2:$KT$317),"")</f>
        <v>2.24</v>
      </c>
      <c r="PQ23" s="7">
        <f>IFERROR(AVERAGEIF('Данные 2st'!$Q$2:$Q$317,$A23,'Данные 2st'!$KU$2:$KU$317),"")</f>
        <v>0</v>
      </c>
      <c r="PR23" s="7">
        <f>IFERROR(AVERAGEIF('Данные 2st'!$Q$2:$Q$317,$A23,'Данные 2st'!$KV$2:$KV$317),"")</f>
        <v>0</v>
      </c>
      <c r="PS23" s="7">
        <f>IFERROR(AVERAGEIF('Данные 2st'!$Q$2:$Q$317,$A23,'Данные 2st'!$KW$2:$KW$317),"")</f>
        <v>1.04</v>
      </c>
      <c r="PT23" s="7">
        <f>IFERROR(AVERAGEIF('Данные 2st'!$Q$2:$Q$317,$A23,'Данные 2st'!$KX$2:$KX$317),"")</f>
        <v>2</v>
      </c>
      <c r="PU23" s="7">
        <f>IFERROR(AVERAGEIF('Данные 2st'!$Q$2:$Q$317,$A23,'Данные 2st'!$KY$2:$KY$317),"")</f>
        <v>0.2</v>
      </c>
      <c r="PV23" s="7">
        <f>IFERROR(AVERAGEIF('Данные 2st'!$Q$2:$Q$317,$A23,'Данные 2st'!$KZ$2:$KZ$317),"")</f>
        <v>0</v>
      </c>
      <c r="PW23" s="7">
        <f>IFERROR(AVERAGEIF('Данные 2st'!$Q$2:$Q$317,$A23,'Данные 2st'!$LA$2:$LA$317),"")</f>
        <v>0</v>
      </c>
      <c r="PX23" s="7">
        <f>IFERROR(AVERAGEIF('Данные 2st'!$Q$2:$Q$317,$A23,'Данные 2st'!$LB$2:$LB$317),"")</f>
        <v>0</v>
      </c>
      <c r="PY23" s="7">
        <f>IFERROR(AVERAGEIF('Данные 2st'!$Q$2:$Q$317,$A23,'Данные 2st'!$LC$2:$LC$317),"")</f>
        <v>0</v>
      </c>
      <c r="PZ23" s="7">
        <f>IFERROR(AVERAGEIF('Данные 2st'!$Q$2:$Q$317,$A23,'Данные 2st'!$LD$2:$LD$317),"")</f>
        <v>0</v>
      </c>
      <c r="QA23" s="7">
        <f>IFERROR(AVERAGEIF('Данные 2st'!$Q$2:$Q$317,$A23,'Данные 2st'!$LE$2:$LE$317),"")</f>
        <v>0</v>
      </c>
      <c r="QB23" s="7">
        <f>IFERROR(AVERAGEIF('Данные 2st'!$Q$2:$Q$317,$A23,'Данные 2st'!$LF$2:$LF$317),"")</f>
        <v>0</v>
      </c>
      <c r="QC23" s="7">
        <f>IFERROR(AVERAGEIF('Данные 2st'!$Q$2:$Q$317,$A23,'Данные 2st'!$LG$2:$LG$317),"")</f>
        <v>0</v>
      </c>
      <c r="QD23" s="7">
        <f>IFERROR(AVERAGEIF('Данные 2st'!$Q$2:$Q$317,$A23,'Данные 2st'!$LH$2:$LH$317),"")</f>
        <v>2.2</v>
      </c>
      <c r="QE23" s="7">
        <f>IFERROR(AVERAGEIF('Данные 2st'!$Q$2:$Q$317,$A23,'Данные 2st'!$LJ$2:$LJ$317),"")</f>
        <v>0</v>
      </c>
      <c r="QF23" s="7">
        <f>IFERROR(AVERAGEIF('Данные 2st'!$Q$2:$Q$317,$A23,'Данные 2st'!$LK$2:$LK$317),"")</f>
        <v>4.3</v>
      </c>
      <c r="QG23" s="7">
        <f>IFERROR(AVERAGEIF('Данные 2st'!$Q$2:$Q$317,$A23,'Данные 2st'!$LL$2:$LL$317),"")</f>
        <v>6.2</v>
      </c>
      <c r="QH23" s="7">
        <f>IFERROR(AVERAGEIF('Данные 2st'!$Q$2:$Q$317,$A23,'Данные 2st'!$LM$2:$LM$317),"")</f>
        <v>6</v>
      </c>
      <c r="QI23" s="7">
        <f>IFERROR(AVERAGEIF('Данные 2st'!$Q$2:$Q$317,$A23,'Данные 2st'!$LN$2:$LN$317),"")</f>
        <v>0.4</v>
      </c>
      <c r="QJ23" s="7">
        <f>IFERROR(AVERAGEIF('Данные 2st'!$Q$2:$Q$317,$A23,'Данные 2st'!$LO$2:$LO$317),"")</f>
        <v>0.9</v>
      </c>
      <c r="QK23" s="7">
        <f>IFERROR(AVERAGEIF('Данные 2st'!$Q$2:$Q$317,$A23,'Данные 2st'!$LP$2:$LP$317),"")</f>
        <v>0</v>
      </c>
      <c r="QL23" s="7">
        <f>IFERROR(AVERAGEIF('Данные 2st'!$Q$2:$Q$317,$A23,'Данные 2st'!$LQ$2:$LQ$317),"")</f>
        <v>0</v>
      </c>
      <c r="QM23" s="7">
        <f>IFERROR(AVERAGEIF('Данные 2st'!$Q$2:$Q$317,$A23,'Данные 2st'!$LW$2:$LW$317),"")</f>
        <v>1.8</v>
      </c>
      <c r="QN23" s="7">
        <f>IFERROR(AVERAGEIF('Данные 2st'!$Q$2:$Q$317,$A23,'Данные 2st'!$LX$2:$LX$317),"")</f>
        <v>1.8</v>
      </c>
      <c r="QO23" s="7">
        <f>IFERROR(AVERAGEIF('Данные 2st'!$Q$2:$Q$317,$A23,'Данные 2st'!$LY$2:$LY$317),"")</f>
        <v>2.06</v>
      </c>
      <c r="QP23" s="7">
        <f>IFERROR(AVERAGEIF('Данные 2st'!$Q$2:$Q$317,$A23,'Данные 2st'!$LZ$2:$LZ$317),"")</f>
        <v>2.06</v>
      </c>
      <c r="QQ23" s="7">
        <f>IFERROR(AVERAGEIF('Данные 2st'!$Q$2:$Q$317,$A23,'Данные 2st'!$MB$2:$MB$317),"")</f>
        <v>4.1</v>
      </c>
      <c r="QR23" s="7">
        <f>IFERROR(AVERAGEIF('Данные 2st'!$Q$2:$Q$317,$A23,'Данные 2st'!$MG$2:$MG$317),"")</f>
        <v>0</v>
      </c>
      <c r="QS23" s="7">
        <f>IFERROR(AVERAGEIF('Данные 2st'!$Q$2:$Q$317,$A23,'Данные 2st'!$MH$2:$MH$317),"")</f>
        <v>0</v>
      </c>
      <c r="QT23" s="7">
        <f>IFERROR(AVERAGEIF('Данные 2st'!$Q$2:$Q$317,$A23,'Данные 2st'!$MI$2:$MI$317),"")</f>
        <v>0</v>
      </c>
      <c r="QU23" s="7">
        <f>IFERROR(AVERAGEIF('Данные 2st'!$Q$2:$Q$317,$A23,'Данные 2st'!$MJ$2:$MJ$317),"")</f>
        <v>0</v>
      </c>
      <c r="QV23" s="7">
        <f>IFERROR(AVERAGEIF('Данные 2st'!$Q$2:$Q$317,$A23,'Данные 2st'!$MK$2:$MK$317),"")</f>
        <v>0</v>
      </c>
      <c r="QW23" s="7">
        <f>IFERROR(AVERAGEIF('Данные 2st'!$Q$2:$Q$317,$A23,'Данные 2st'!$MM$2:$MM$317),"")</f>
        <v>390</v>
      </c>
      <c r="QX23" s="7">
        <f>IFERROR(AVERAGEIF('Данные 2st'!$Q$2:$Q$317,$A23,'Данные 2st'!$MQ$2:$MQ$317),"")</f>
        <v/>
      </c>
      <c r="QY23" s="7">
        <f>IFERROR(AVERAGEIF('Данные 2st'!$Q$2:$Q$317,$A23,'Данные 2st'!$MR$2:$MR$317),"")</f>
        <v/>
      </c>
      <c r="QZ23" s="7">
        <f>IFERROR(AVERAGEIF('Данные 2st'!$Q$2:$Q$317,$A23,'Данные 2st'!$MS$2:$MS$317),"")</f>
        <v/>
      </c>
      <c r="RA23" s="7">
        <f>IFERROR(AVERAGEIF('Данные 2st'!$Q$2:$Q$317,$A23,'Данные 2st'!$MT$2:$MT$317),"")</f>
        <v/>
      </c>
      <c r="RB23" s="7">
        <f>IFERROR(AVERAGEIF('Данные 2st'!$Q$2:$Q$317,$A23,'Данные 2st'!$MU$2:$MU$317),"")</f>
        <v/>
      </c>
      <c r="RC23" s="7">
        <f>IFERROR(AVERAGEIF('Данные 2st'!$Q$2:$Q$317,$A23,'Данные 2st'!$MV$2:$MV$317),"")</f>
        <v/>
      </c>
      <c r="RD23" s="7">
        <f>IFERROR(AVERAGEIF('Данные 2st'!$Q$2:$Q$317,$A23,'Данные 2st'!$MW$2:$MW$317),"")</f>
        <v/>
      </c>
      <c r="RE23" s="7">
        <f>IFERROR(AVERAGEIF('Данные 2st'!$Q$2:$Q$317,$A23,'Данные 2st'!$MX$2:$MX$317),"")</f>
        <v/>
      </c>
      <c r="RF23" s="7">
        <f>IFERROR(AVERAGEIF('Данные 2st'!$Q$2:$Q$317,$A23,'Данные 2st'!$MY$2:$MY$317),"")</f>
        <v/>
      </c>
      <c r="RG23" s="7">
        <f>IFERROR(AVERAGEIF('Данные 2st'!$Q$2:$Q$317,$A23,'Данные 2st'!$MZ$2:$MZ$317),"")</f>
        <v/>
      </c>
      <c r="RH23" s="7">
        <f>IFERROR(AVERAGEIF('Данные 2st'!$Q$2:$Q$317,$A23,'Данные 2st'!$NA$2:$NA$317),"")</f>
        <v/>
      </c>
      <c r="RI23" s="7">
        <f>IFERROR(AVERAGEIF('Данные 2st'!$Q$2:$Q$317,$A23,'Данные 2st'!$NB$2:$NB$317),"")</f>
        <v/>
      </c>
      <c r="RJ23" s="7">
        <f>IFERROR(AVERAGEIF('Данные 2st'!$Q$2:$Q$317,$A23,'Данные 2st'!$NC$2:$NC$317),"")</f>
        <v/>
      </c>
      <c r="RK23" s="7">
        <f>IFERROR(AVERAGEIF('Данные 2st'!$Q$2:$Q$317,$A23,'Данные 2st'!$ND$2:$ND$317),"")</f>
        <v/>
      </c>
      <c r="RL23" s="7">
        <f>IFERROR(AVERAGEIF('Данные 2st'!$Q$2:$Q$317,$A23,'Данные 2st'!$NE$2:$NE$317),"")</f>
        <v/>
      </c>
      <c r="RM23" s="7">
        <f>IFERROR(AVERAGEIF('Данные 2st'!$Q$2:$Q$317,$A23,'Данные 2st'!$NF$2:$NF$317),"")</f>
        <v/>
      </c>
      <c r="RN23" s="7">
        <f>IFERROR(AVERAGEIF('Данные 2st'!$Q$2:$Q$317,$A23,'Данные 2st'!$NG$2:$NG$317),"")</f>
        <v/>
      </c>
      <c r="RO23" s="7">
        <f>IFERROR(AVERAGEIF('Данные 2st'!$Q$2:$Q$317,$A23,'Данные 2st'!$NH$2:$NH$317),"")</f>
        <v/>
      </c>
      <c r="RP23" s="7">
        <f>IFERROR(AVERAGEIF('Данные 2st'!$Q$2:$Q$317,$A23,'Данные 2st'!$NJ$2:$NJ$317),"")</f>
        <v/>
      </c>
      <c r="RQ23" s="7">
        <f>IFERROR(AVERAGEIF('Данные 2st'!$Q$2:$Q$317,$A23,'Данные 2st'!$NK$2:$NK$317),"")</f>
        <v/>
      </c>
      <c r="RR23" s="7">
        <f>IFERROR(AVERAGEIF('Данные 2st'!$Q$2:$Q$317,$A23,'Данные 2st'!$NM$2:$NM$317),"")</f>
        <v/>
      </c>
      <c r="RS23" s="7">
        <f>IFERROR(AVERAGEIF('Данные 2st'!$Q$2:$Q$317,$A23,'Данные 2st'!$NN$2:$NN$317),"")</f>
        <v/>
      </c>
      <c r="RT23" s="7">
        <f>IFERROR(AVERAGEIF('Данные 2st'!$Q$2:$Q$317,$A23,'Данные 2st'!$NO$2:$NO$317),"")</f>
        <v/>
      </c>
      <c r="RU23" s="7">
        <f>IFERROR(AVERAGEIF('Данные 2st'!$Q$2:$Q$317,$A23,'Данные 2st'!$NP$2:$NP$317),"")</f>
        <v/>
      </c>
      <c r="RV23" s="7">
        <f>IFERROR(AVERAGEIF('Данные 2st'!$Q$2:$Q$317,$A23,'Данные 2st'!$NQ$2:$NQ$317),"")</f>
        <v/>
      </c>
      <c r="RW23" s="7">
        <f>IFERROR(AVERAGEIF('Данные 2st'!$Q$2:$Q$317,$A23,'Данные 2st'!$NR$2:$NR$317),"")</f>
        <v/>
      </c>
      <c r="RX23" s="7">
        <f>IFERROR(AVERAGEIF('Данные 2st'!$Q$2:$Q$317,$A23,'Данные 2st'!$NS$2:$NS$317),"")</f>
        <v/>
      </c>
      <c r="RY23" s="7">
        <f>IFERROR(AVERAGEIF('Данные 2st'!$Q$2:$Q$317,$A23,'Данные 2st'!$NT$2:$NT$317),"")</f>
        <v/>
      </c>
      <c r="RZ23" s="7">
        <f>IFERROR(AVERAGEIF('Данные 2st'!$Q$2:$Q$317,$A23,'Данные 2st'!$OK$2:$OK$317),"")</f>
        <v>61</v>
      </c>
      <c r="SA23" s="7">
        <f>IFERROR(AVERAGEIF('Данные 2st'!$Q$2:$Q$317,$A23,'Данные 2st'!$OL$2:$OL$317),"")</f>
        <v>61</v>
      </c>
      <c r="SB23" s="7">
        <f>IFERROR(AVERAGEIF('Данные 2st'!$Q$2:$Q$317,$A23,'Данные 2st'!$ON$2:$ON$317),"")</f>
        <v>2.6</v>
      </c>
      <c r="SC23" s="7">
        <f>IFERROR(AVERAGEIF('Данные 2st'!$Q$2:$Q$317,$A23,'Данные 2st'!$OO$2:$OO$317),"")</f>
        <v>1955</v>
      </c>
      <c r="SD23" s="7">
        <f>IFERROR(AVERAGEIF('Данные 2st'!$Q$2:$Q$317,$A23,'Данные 2st'!$OP$2:$OP$317),"")</f>
        <v>61</v>
      </c>
      <c r="SE23" s="7">
        <f>IFERROR(AVERAGEIF('Данные 2st'!$Q$2:$Q$317,$A23,'Данные 2st'!$OQ$2:$OQ$317),"")</f>
        <v>61</v>
      </c>
      <c r="SF23" s="7">
        <f>IFERROR(AVERAGEIF('Данные 2st'!$Q$2:$Q$317,$A23,'Данные 2st'!$OS$2:$OS$317),"")</f>
        <v>2.6</v>
      </c>
      <c r="SG23" s="7">
        <f>IFERROR(AVERAGEIF('Данные 2st'!$Q$2:$Q$317,$A23,'Данные 2st'!$OT$2:$OT$317),"")</f>
        <v>1963</v>
      </c>
      <c r="SH23" s="7">
        <f>IFERROR(AVERAGEIF('Данные 2st'!$Q$2:$Q$317,$A23,'Данные 2st'!$OU$2:$OU$317),"")</f>
        <v>65</v>
      </c>
      <c r="SI23" s="7">
        <f>IFERROR(AVERAGEIF('Данные 2st'!$Q$2:$Q$317,$A23,'Данные 2st'!$OV$2:$OV$317),"")</f>
        <v>65</v>
      </c>
      <c r="SJ23" s="7">
        <f>IFERROR(AVERAGEIF('Данные 2st'!$Q$2:$Q$317,$A23,'Данные 2st'!$OX$2:$OX$317),"")</f>
        <v>1.6</v>
      </c>
      <c r="SK23" s="7">
        <f>IFERROR(AVERAGEIF('Данные 2st'!$Q$2:$Q$317,$A23,'Данные 2st'!$OY$2:$OY$317),"")</f>
        <v>37348.6</v>
      </c>
      <c r="SL23" s="7">
        <f>IFERROR(AVERAGEIF('Данные 2st'!$Q$2:$Q$317,$A23,'Данные 2st'!$OZ$2:$OZ$317),"")</f>
        <v>51</v>
      </c>
      <c r="SM23" s="7">
        <f>IFERROR(AVERAGEIF('Данные 2st'!$Q$2:$Q$317,$A23,'Данные 2st'!$PA$2:$PA$317),"")</f>
        <v>51.8</v>
      </c>
      <c r="SN23" s="7">
        <f>IFERROR(AVERAGEIF('Данные 2st'!$Q$2:$Q$317,$A23,'Данные 2st'!$PC$2:$PC$317),"")</f>
        <v>3</v>
      </c>
      <c r="SO23" s="7">
        <f>IFERROR(AVERAGEIF('Данные 2st'!$Q$2:$Q$317,$A23,'Данные 2st'!$PD$2:$PD$317),"")</f>
        <v>1995</v>
      </c>
      <c r="SP23" s="7">
        <f>IFERROR(AVERAGEIF('Данные 2st'!$Q$2:$Q$317,$A23,'Данные 2st'!$PF$2:$PF$317),"")</f>
        <v>358</v>
      </c>
      <c r="SQ23" s="7">
        <f>IFERROR(AVERAGEIF('Данные 2st'!$Q$2:$Q$317,$A23,'Данные 2st'!$PG$2:$PG$317),"")</f>
        <v>30.2</v>
      </c>
      <c r="SR23" s="7">
        <f>IFERROR(AVERAGEIF('Данные 2st'!$Q$2:$Q$317,$A23,'Данные 2st'!$PH$2:$PH$317),"")</f>
        <v>339.2</v>
      </c>
      <c r="SS23" s="7">
        <f>IFERROR(AVERAGEIF('Данные 2st'!$Q$2:$Q$317,$A23,'Данные 2st'!$PI$2:$PI$317),"")</f>
        <v>23.2</v>
      </c>
      <c r="ST23" s="7">
        <f>IFERROR(AVERAGEIF('Данные 2st'!$Q$2:$Q$317,$A23,'Данные 2st'!$PJ$2:$PJ$317),"")</f>
        <v>73.34</v>
      </c>
      <c r="SU23" s="7">
        <f>IFERROR(AVERAGEIF('Данные 2st'!$Q$2:$Q$317,$A23,'Данные 2st'!$PK$2:$PK$317),"")</f>
        <v>1940</v>
      </c>
      <c r="SV23" s="7">
        <f>IFERROR(AVERAGEIF('Данные 2st'!$Q$2:$Q$317,$A23,'Данные 2st'!$PL$2:$PL$317),"")</f>
        <v>1131.84</v>
      </c>
      <c r="SW23" s="7">
        <f>IFERROR(AVERAGEIF('Данные 2st'!$Q$2:$Q$317,$A23,'Данные 2st'!$PM$2:$PM$317),"")</f>
        <v>624.3</v>
      </c>
      <c r="SX23" s="7">
        <f>IFERROR(AVERAGEIF('Данные 2st'!$Q$2:$Q$317,$A23,'Данные 2st'!$PN$2:$PN$317),"")</f>
        <v>94.02</v>
      </c>
      <c r="SY23" s="7">
        <f>IFERROR(AVERAGEIF('Данные 2st'!$Q$2:$Q$317,$A23,'Данные 2st'!$PO$2:$PO$317),"")</f>
        <v>8.925</v>
      </c>
      <c r="SZ23" s="7">
        <f>IFERROR(AVERAGEIF('Данные 2st'!$Q$2:$Q$317,$A23,'Данные 2st'!$PP$2:$PP$317),"")</f>
        <v>11.6</v>
      </c>
      <c r="TA23" s="7">
        <f>IFERROR(AVERAGEIF('Данные 2st'!$Q$2:$Q$317,$A23,'Данные 2st'!$PQ$2:$PQ$317),"")</f>
        <v>1</v>
      </c>
      <c r="TB23" s="7">
        <f>IFERROR(AVERAGEIF('Данные 2st'!$Q$2:$Q$317,$A23,'Данные 2st'!$PR$2:$PR$317),"")</f>
        <v>3</v>
      </c>
      <c r="TC23" s="7">
        <f>IFERROR(AVERAGEIF('Данные 2st'!$Q$2:$Q$317,$A23,'Данные 2st'!$PS$2:$PS$317),"")</f>
        <v>7.8</v>
      </c>
      <c r="TD23" s="7">
        <f>IFERROR(AVERAGEIF('Данные 2st'!$Q$2:$Q$317,$A23,'Данные 2st'!$PT$2:$PT$317),"")</f>
        <v>225.6</v>
      </c>
      <c r="TE23" s="7">
        <f>IFERROR(AVERAGEIF('Данные 2st'!$Q$2:$Q$317,$A23,'Данные 2st'!$PU$2:$PU$317),"")</f>
        <v>9.2</v>
      </c>
      <c r="TF23" s="7">
        <f>IFERROR(AVERAGEIF('Данные 2st'!$Q$2:$Q$317,$A23,'Данные 2st'!$PX$2:$PX$317),"")</f>
        <v>0</v>
      </c>
      <c r="TG23" s="7">
        <f>IFERROR(AVERAGEIF('Данные 2st'!$Q$2:$Q$317,$A23,'Данные 2st'!$PY$2:$PY$317),"")</f>
        <v>0</v>
      </c>
      <c r="TH23" s="7">
        <f>IFERROR(AVERAGEIF('Данные 2st'!$Q$2:$Q$317,$A23,'Данные 2st'!$PZ$2:$PZ$317),"")</f>
        <v>0</v>
      </c>
      <c r="TI23" s="7">
        <f>IFERROR(AVERAGEIF('Данные 2st'!$Q$2:$Q$317,$A23,'Данные 2st'!$QA$2:$QA$317),"")</f>
        <v>0</v>
      </c>
      <c r="TJ23" s="7">
        <f>IFERROR(AVERAGEIF('Данные 2st'!$Q$2:$Q$317,$A23,'Данные 2st'!$QB$2:$QB$317),"")</f>
        <v>0</v>
      </c>
      <c r="TK23" s="7">
        <f>IFERROR(AVERAGEIF('Данные 2st'!$Q$2:$Q$317,$A23,'Данные 2st'!$QC$2:$QC$317),"")</f>
        <v>0</v>
      </c>
      <c r="TL23" s="7">
        <f>IFERROR(AVERAGEIF('Данные 2st'!$Q$2:$Q$317,$A23,'Данные 2st'!$QD$2:$QD$317),"")</f>
        <v>0</v>
      </c>
      <c r="TM23" s="7">
        <f>IFERROR(AVERAGEIF('Данные 2st'!$Q$2:$Q$317,$A23,'Данные 2st'!$QE$2:$QE$317),"")</f>
        <v>-1</v>
      </c>
      <c r="TN23" s="7">
        <f>IFERROR(AVERAGEIF('Данные 2st'!$Q$2:$Q$317,$A23,'Данные 2st'!$QF$2:$QF$317),"")</f>
        <v>1</v>
      </c>
      <c r="TO23" s="7">
        <f>IFERROR(AVERAGEIF('Данные 2st'!$Q$2:$Q$317,$A23,'Данные 2st'!$QG$2:$QG$317),"")</f>
        <v>0</v>
      </c>
      <c r="TP23" s="7">
        <f>IFERROR(AVERAGEIF('Данные 2st'!$Q$2:$Q$317,$A23,'Данные 2st'!$QH$2:$QH$317),"")</f>
        <v>5</v>
      </c>
      <c r="TQ23" s="7">
        <f>IFERROR(AVERAGEIF('Данные 2st'!$Q$2:$Q$317,$A23,'Данные 2st'!$QI$2:$QI$317),"")</f>
        <v>5</v>
      </c>
      <c r="TR23" s="7">
        <f>IFERROR(AVERAGEIF('Данные 2st'!$Q$2:$Q$317,$A23,'Данные 2st'!$QJ$2:$QJ$317),"")</f>
        <v>5</v>
      </c>
      <c r="TS23" s="7">
        <f>IFERROR(AVERAGEIF('Данные 2st'!$Q$2:$Q$317,$A23,'Данные 2st'!$QK$2:$QK$317),"")</f>
        <v>179.6</v>
      </c>
      <c r="TT23" s="7">
        <f>IFERROR(AVERAGEIF('Данные 2st'!$Q$2:$Q$317,$A23,'Данные 2st'!$QL$2:$QL$317),"")</f>
        <v>394.8</v>
      </c>
      <c r="TU23" s="7">
        <f>IFERROR(AVERAGEIF('Данные 2st'!$Q$2:$Q$317,$A23,'Данные 2st'!$QM$2:$QM$317),"")</f>
        <v>7.5</v>
      </c>
      <c r="TV23" s="7">
        <f>IFERROR(AVERAGEIF('Данные 2st'!$Q$2:$Q$317,$A23,'Данные 2st'!$QN$2:$QN$317),"")</f>
        <v>1380.12</v>
      </c>
      <c r="TW23" s="7">
        <f>IFERROR(AVERAGEIF('Данные 2st'!$Q$2:$Q$317,$A23,'Данные 2st'!$QQ$2:$QQ$317),"")</f>
        <v>0</v>
      </c>
      <c r="TX23" s="7">
        <f>IFERROR(AVERAGEIF('Данные 2st'!$Q$2:$Q$317,$A23,'Данные 2st'!$QS$2:$QS$317),"")</f>
        <v>32</v>
      </c>
      <c r="TY23" s="7">
        <f>IFERROR(AVERAGEIF('Данные 2st'!$Q$2:$Q$317,$A23,'Данные 2st'!$QT$2:$QT$317),"")</f>
        <v>42</v>
      </c>
    </row>
    <row r="24" spans="1:545" ht="32" customHeight="1">
      <c r="A24" s="11" t="s">
        <v>758</v>
      </c>
      <c r="B24">
        <f>COUNTIF('Данные 1st'!$S$2:$S$317,$A24)</f>
        <v>4</v>
      </c>
      <c r="C24" s="6" t="s">
        <v>5092</v>
      </c>
      <c r="D24" s="6" t="s">
        <v>513</v>
      </c>
      <c r="E24" s="6" t="s">
        <v>5125</v>
      </c>
      <c r="F24" s="6" t="s">
        <v>5146</v>
      </c>
      <c r="G24" s="7">
        <f>IFERROR(AVERAGEIF('Данные 1st'!$S$2:$S$317,$A24,'Данные 1st'!$AE$2:$AE$317),"")</f>
        <v>177</v>
      </c>
      <c r="H24" s="7">
        <f>IFERROR(AVERAGEIF('Данные 1st'!$S$2:$S$317,$A24,'Данные 1st'!$AF$2:$AF$317),"")</f>
        <v>1.5</v>
      </c>
      <c r="I24" s="7">
        <f>IFERROR(AVERAGEIF('Данные 1st'!$S$2:$S$317,$A24,'Данные 1st'!$AJ$2:$AJ$317),"")</f>
        <v>188.125</v>
      </c>
      <c r="J24" s="7">
        <f>IFERROR(AVERAGEIF('Данные 1st'!$S$2:$S$317,$A24,'Данные 1st'!$AL$2:$AL$317),"")</f>
        <v>1.5</v>
      </c>
      <c r="K24" s="7">
        <f>IFERROR(AVERAGEIF('Данные 1st'!$S$2:$S$317,$A24,'Данные 1st'!$AR$2:$AR$317),"")</f>
        <v>0</v>
      </c>
      <c r="L24" s="7">
        <f>IFERROR(AVERAGEIF('Данные 1st'!$S$2:$S$317,$A24,'Данные 1st'!$AS$2:$AS$317),"")</f>
        <v>1.5</v>
      </c>
      <c r="M24" s="7">
        <f>IFERROR(AVERAGEIF('Данные 1st'!$S$2:$S$317,$A24,'Данные 1st'!$AY$2:$AY$317),"")</f>
        <v>280.625</v>
      </c>
      <c r="N24" s="7">
        <f>IFERROR(AVERAGEIF('Данные 1st'!$S$2:$S$317,$A24,'Данные 1st'!$AZ$2:$AZ$317),"")</f>
        <v>1.5</v>
      </c>
      <c r="O24" s="7">
        <f>IFERROR(AVERAGEIF('Данные 1st'!$S$2:$S$317,$A24,'Данные 1st'!$BF$2:$BF$317),"")</f>
        <v>225</v>
      </c>
      <c r="P24" s="7">
        <f>IFERROR(AVERAGEIF('Данные 1st'!$S$2:$S$317,$A24,'Данные 1st'!$BG$2:$BG$317),"")</f>
        <v>1.5</v>
      </c>
      <c r="Q24" s="7">
        <f>IFERROR(AVERAGEIF('Данные 1st'!$S$2:$S$317,$A24,'Данные 1st'!$BM$2:$BM$317),"")</f>
        <v/>
      </c>
      <c r="R24" s="7">
        <f>IFERROR(AVERAGEIF('Данные 1st'!$S$2:$S$317,$A24,'Данные 1st'!$BN$2:$BN$317),"")</f>
        <v>1.5</v>
      </c>
      <c r="S24" s="7">
        <f>IFERROR(AVERAGEIF('Данные 1st'!$S$2:$S$317,$A24,'Данные 1st'!$BT$2:$BT$317),"")</f>
        <v>199.5</v>
      </c>
      <c r="T24" s="7">
        <f>IFERROR(AVERAGEIF('Данные 1st'!$S$2:$S$317,$A24,'Данные 1st'!$BU$2:$BU$317),"")</f>
        <v>0.5</v>
      </c>
      <c r="U24" s="7">
        <f>IFERROR(AVERAGEIF('Данные 1st'!$S$2:$S$317,$A24,'Данные 1st'!$BW$2:$BW$317),"")</f>
        <v>399</v>
      </c>
      <c r="V24" s="7">
        <f>IFERROR(AVERAGEIF('Данные 1st'!$S$2:$S$317,$A24,'Данные 1st'!$BX$2:$BX$317),"")</f>
        <v>1</v>
      </c>
      <c r="W24" s="7">
        <f>IFERROR(AVERAGEIF('Данные 1st'!$S$2:$S$317,$A24,'Данные 1st'!$BZ$2:$BZ$317),"")</f>
        <v>290</v>
      </c>
      <c r="X24" s="7">
        <f>IFERROR(AVERAGEIF('Данные 1st'!$S$2:$S$317,$A24,'Данные 1st'!$CA$2:$CA$317),"")</f>
        <v>475</v>
      </c>
      <c r="Y24" s="7">
        <f>IFERROR(AVERAGEIF('Данные 1st'!$S$2:$S$317,$A24,'Данные 1st'!$CD$2:$CD$317),"")</f>
        <v>401.5</v>
      </c>
      <c r="Z24" s="7">
        <f>IFERROR(AVERAGEIF('Данные 1st'!$S$2:$S$317,$A24,'Данные 1st'!$CF$2:$CF$317),"")</f>
        <v>15</v>
      </c>
      <c r="AA24" s="7">
        <f>IFERROR(AVERAGEIF('Данные 1st'!$S$2:$S$317,$A24,'Данные 1st'!$CI$2:$CI$317),"")</f>
        <v>92.5</v>
      </c>
      <c r="AB24" s="7">
        <f>IFERROR(AVERAGEIF('Данные 1st'!$S$2:$S$317,$A24,'Данные 1st'!$CJ$2:$CJ$317),"")</f>
        <v>1381</v>
      </c>
      <c r="AC24" s="7">
        <f>IFERROR(AVERAGEIF('Данные 1st'!$S$2:$S$317,$A24,'Данные 1st'!$CK$2:$CK$317),"")</f>
        <v>2</v>
      </c>
      <c r="AD24" s="7">
        <f>IFERROR(AVERAGEIF('Данные 1st'!$S$2:$S$317,$A24,'Данные 1st'!$CL$2:$CL$317),"")</f>
        <v>1475</v>
      </c>
      <c r="AE24" s="7">
        <f>IFERROR(AVERAGEIF('Данные 1st'!$S$2:$S$317,$A24,'Данные 1st'!$CM$2:$CM$317),"")</f>
        <v>2</v>
      </c>
      <c r="AF24" s="7">
        <f>IFERROR(AVERAGEIF('Данные 1st'!$S$2:$S$317,$A24,'Данные 1st'!$CT$2:$CT$317),"")</f>
        <v>376.25</v>
      </c>
      <c r="AG24" s="7">
        <f>IFERROR(AVERAGEIF('Данные 1st'!$S$2:$S$317,$A24,'Данные 1st'!$CU$2:$CU$317),"")</f>
        <v>5</v>
      </c>
      <c r="AH24" s="7">
        <f>IFERROR(AVERAGEIF('Данные 1st'!$S$2:$S$317,$A24,'Данные 1st'!$CV$2:$CV$317),"")</f>
        <v>1.2</v>
      </c>
      <c r="AI24" s="7">
        <f>IFERROR(AVERAGEIF('Данные 1st'!$S$2:$S$317,$A24,'Данные 1st'!$CW$2:$CW$317),"")</f>
        <v>1393</v>
      </c>
      <c r="AJ24" s="7">
        <f>IFERROR(AVERAGEIF('Данные 1st'!$S$2:$S$317,$A24,'Данные 1st'!$CX$2:$CX$317),"")</f>
        <v>742</v>
      </c>
      <c r="AK24" s="7">
        <f>IFERROR(AVERAGEIF('Данные 1st'!$S$2:$S$317,$A24,'Данные 1st'!$CZ$2:$CZ$317),"")</f>
        <v/>
      </c>
      <c r="AL24" s="7">
        <f>IFERROR(AVERAGEIF('Данные 1st'!$S$2:$S$317,$A24,'Данные 1st'!$DA$2:$DA$317),"")</f>
        <v/>
      </c>
      <c r="AM24" s="7">
        <f>IFERROR(AVERAGEIF('Данные 1st'!$S$2:$S$317,$A24,'Данные 1st'!$DB$2:$DB$317),"")</f>
        <v/>
      </c>
      <c r="AN24" s="7">
        <f>IFERROR(AVERAGEIF('Данные 1st'!$S$2:$S$317,$A24,'Данные 1st'!$DC$2:$DC$317),"")</f>
        <v/>
      </c>
      <c r="AO24" s="7">
        <f>IFERROR(AVERAGEIF('Данные 1st'!$S$2:$S$317,$A24,'Данные 1st'!$DD$2:$DD$317),"")</f>
        <v>0</v>
      </c>
      <c r="AP24" s="7">
        <f>IFERROR(AVERAGEIF('Данные 1st'!$S$2:$S$317,$A24,'Данные 1st'!$DF$2:$DF$317),"")</f>
        <v>561.25</v>
      </c>
      <c r="AQ24" s="7">
        <f>IFERROR(AVERAGEIF('Данные 1st'!$S$2:$S$317,$A24,'Данные 1st'!$DG$2:$DG$317),"")</f>
        <v>3</v>
      </c>
      <c r="AR24" s="7">
        <f>IFERROR(AVERAGEIF('Данные 1st'!$S$2:$S$317,$A24,'Данные 1st'!$DH$2:$DH$317),"")</f>
        <v>1.115</v>
      </c>
      <c r="AS24" s="7">
        <f>IFERROR(AVERAGEIF('Данные 1st'!$S$2:$S$317,$A24,'Данные 1st'!$DI$2:$DI$317),"")</f>
        <v>1390.75</v>
      </c>
      <c r="AT24" s="7">
        <f>IFERROR(AVERAGEIF('Данные 1st'!$S$2:$S$317,$A24,'Данные 1st'!$DJ$2:$DJ$317),"")</f>
        <v>1180.5</v>
      </c>
      <c r="AU24" s="7">
        <f>IFERROR(AVERAGEIF('Данные 1st'!$S$2:$S$317,$A24,'Данные 1st'!$DL$2:$DL$317),"")</f>
        <v>450</v>
      </c>
      <c r="AV24" s="7">
        <f>IFERROR(AVERAGEIF('Данные 1st'!$S$2:$S$317,$A24,'Данные 1st'!$DM$2:$DM$317),"")</f>
        <v>3</v>
      </c>
      <c r="AW24" s="7">
        <f>IFERROR(AVERAGEIF('Данные 1st'!$S$2:$S$317,$A24,'Данные 1st'!$DN$2:$DN$317),"")</f>
        <v>0.88</v>
      </c>
      <c r="AX24" s="7">
        <f>IFERROR(AVERAGEIF('Данные 1st'!$S$2:$S$317,$A24,'Данные 1st'!$DO$2:$DO$317),"")</f>
        <v>1396</v>
      </c>
      <c r="AY24" s="7">
        <f>IFERROR(AVERAGEIF('Данные 1st'!$S$2:$S$317,$A24,'Данные 1st'!$DP$2:$DP$317),"")</f>
        <v>723</v>
      </c>
      <c r="AZ24" s="7">
        <f>IFERROR(AVERAGEIF('Данные 1st'!$S$2:$S$317,$A24,'Данные 1st'!$DR$2:$DR$317),"")</f>
        <v/>
      </c>
      <c r="BA24" s="7">
        <f>IFERROR(AVERAGEIF('Данные 1st'!$S$2:$S$317,$A24,'Данные 1st'!$DS$2:$DS$317),"")</f>
        <v/>
      </c>
      <c r="BB24" s="7">
        <f>IFERROR(AVERAGEIF('Данные 1st'!$S$2:$S$317,$A24,'Данные 1st'!$DT$2:$DT$317),"")</f>
        <v/>
      </c>
      <c r="BC24" s="7">
        <f>IFERROR(AVERAGEIF('Данные 1st'!$S$2:$S$317,$A24,'Данные 1st'!$DU$2:$DU$317),"")</f>
        <v/>
      </c>
      <c r="BD24" s="7">
        <f>IFERROR(AVERAGEIF('Данные 1st'!$S$2:$S$317,$A24,'Данные 1st'!$DV$2:$DV$317),"")</f>
        <v/>
      </c>
      <c r="BE24" s="7">
        <f>IFERROR(AVERAGEIF('Данные 1st'!$S$2:$S$317,$A24,'Данные 1st'!$DX$2:$DX$317),"")</f>
        <v>7.5</v>
      </c>
      <c r="BF24" s="7">
        <f>IFERROR(AVERAGEIF('Данные 1st'!$S$2:$S$317,$A24,'Данные 1st'!$EA$2:$EA$317),"")</f>
        <v>1461.8999999999999</v>
      </c>
      <c r="BG24" s="7">
        <f>IFERROR(AVERAGEIF('Данные 1st'!$S$2:$S$317,$A24,'Данные 1st'!$EB$2:$EB$317),"")</f>
        <v>262.5</v>
      </c>
      <c r="BH24" s="7">
        <f>IFERROR(AVERAGEIF('Данные 1st'!$S$2:$S$317,$A24,'Данные 1st'!$ED$2:$ED$317),"")</f>
        <v>33.75</v>
      </c>
      <c r="BI24" s="7">
        <f>IFERROR(AVERAGEIF('Данные 1st'!$S$2:$S$317,$A24,'Данные 1st'!$EE$2:$EE$317),"")</f>
        <v>3</v>
      </c>
      <c r="BJ24" s="7">
        <f>IFERROR(AVERAGEIF('Данные 1st'!$S$2:$S$317,$A24,'Данные 1st'!$EG$2:$EG$317),"")</f>
        <v>1502.75</v>
      </c>
      <c r="BK24" s="7">
        <f>IFERROR(AVERAGEIF('Данные 1st'!$S$2:$S$317,$A24,'Данные 1st'!$EH$2:$EH$317),"")</f>
        <v>201</v>
      </c>
      <c r="BL24" s="7">
        <f>IFERROR(AVERAGEIF('Данные 1st'!$S$2:$S$317,$A24,'Данные 1st'!$EJ$2:$EJ$317),"")</f>
        <v>0</v>
      </c>
      <c r="BM24" s="7">
        <f>IFERROR(AVERAGEIF('Данные 1st'!$S$2:$S$317,$A24,'Данные 1st'!$EK$2:$EK$317),"")</f>
        <v>1</v>
      </c>
      <c r="BN24" s="7">
        <f>IFERROR(AVERAGEIF('Данные 1st'!$S$2:$S$317,$A24,'Данные 1st'!$EN$2:$EN$317),"")</f>
        <v>0</v>
      </c>
      <c r="BO24" s="7">
        <f>IFERROR(AVERAGEIF('Данные 1st'!$S$2:$S$317,$A24,'Данные 1st'!$EQ$2:$EQ$317),"")</f>
        <v>96.25</v>
      </c>
      <c r="BP24" s="7">
        <f>IFERROR(AVERAGEIF('Данные 1st'!$S$2:$S$317,$A24,'Данные 1st'!$ER$2:$ER$317),"")</f>
        <v>3</v>
      </c>
      <c r="BQ24" s="7">
        <f>IFERROR(AVERAGEIF('Данные 1st'!$S$2:$S$317,$A24,'Данные 1st'!$ES$2:$ES$317),"")</f>
        <v>5.375</v>
      </c>
      <c r="BR24" s="7">
        <f>IFERROR(AVERAGEIF('Данные 1st'!$S$2:$S$317,$A24,'Данные 1st'!$ET$2:$ET$317),"")</f>
        <v>1377.25</v>
      </c>
      <c r="BS24" s="7">
        <f>IFERROR(AVERAGEIF('Данные 1st'!$S$2:$S$317,$A24,'Данные 1st'!$EU$2:$EU$317),"")</f>
        <v>422.875</v>
      </c>
      <c r="BT24" s="7">
        <f>IFERROR(AVERAGEIF('Данные 1st'!$S$2:$S$317,$A24,'Данные 1st'!$EV$2:$EV$317),"")</f>
        <v>582.25</v>
      </c>
      <c r="BU24" s="7">
        <f>IFERROR(AVERAGEIF('Данные 1st'!$S$2:$S$317,$A24,'Данные 1st'!$EX$2:$EX$317),"")</f>
        <v>70</v>
      </c>
      <c r="BV24" s="7">
        <f>IFERROR(AVERAGEIF('Данные 1st'!$S$2:$S$317,$A24,'Данные 1st'!$EY$2:$EY$317),"")</f>
        <v>2</v>
      </c>
      <c r="BW24" s="7">
        <f>IFERROR(AVERAGEIF('Данные 1st'!$S$2:$S$317,$A24,'Данные 1st'!$EZ$2:$EZ$317),"")</f>
        <v>4.45</v>
      </c>
      <c r="BX24" s="7">
        <f>IFERROR(AVERAGEIF('Данные 1st'!$S$2:$S$317,$A24,'Данные 1st'!$FA$2:$FA$317),"")</f>
        <v>1377.25</v>
      </c>
      <c r="BY24" s="7">
        <f>IFERROR(AVERAGEIF('Данные 1st'!$S$2:$S$317,$A24,'Данные 1st'!$FB$2:$FB$317),"")</f>
        <v>222.45</v>
      </c>
      <c r="BZ24" s="7">
        <f>IFERROR(AVERAGEIF('Данные 1st'!$S$2:$S$317,$A24,'Данные 1st'!$FC$2:$FC$317),"")</f>
        <v>306.5</v>
      </c>
      <c r="CA24" s="7">
        <f>IFERROR(AVERAGEIF('Данные 1st'!$S$2:$S$317,$A24,'Данные 1st'!$FE$2:$FE$317),"")</f>
        <v>0</v>
      </c>
      <c r="CB24" s="7">
        <f>IFERROR(AVERAGEIF('Данные 1st'!$S$2:$S$317,$A24,'Данные 1st'!$FF$2:$FF$317),"")</f>
        <v>2</v>
      </c>
      <c r="CC24" s="7">
        <f>IFERROR(AVERAGEIF('Данные 1st'!$S$2:$S$317,$A24,'Данные 1st'!$FI$2:$FI$317),"")</f>
        <v>0</v>
      </c>
      <c r="CD24" s="7">
        <f>IFERROR(AVERAGEIF('Данные 1st'!$S$2:$S$317,$A24,'Данные 1st'!$FL$2:$FL$317),"")</f>
        <v>0.4</v>
      </c>
      <c r="CE24" s="7">
        <f>IFERROR(AVERAGEIF('Данные 1st'!$S$2:$S$317,$A24,'Данные 1st'!$FM$2:$FM$317),"")</f>
        <v>90</v>
      </c>
      <c r="CF24" s="7">
        <f>IFERROR(AVERAGEIF('Данные 1st'!$S$2:$S$317,$A24,'Данные 1st'!$FN$2:$FN$317),"")</f>
        <v>135</v>
      </c>
      <c r="CG24" s="7">
        <f>IFERROR(AVERAGEIF('Данные 1st'!$S$2:$S$317,$A24,'Данные 1st'!$FO$2:$FO$317),"")</f>
        <v/>
      </c>
      <c r="CH24" s="7">
        <f>IFERROR(AVERAGEIF('Данные 1st'!$S$2:$S$317,$A24,'Данные 1st'!$FP$2:$FP$317),"")</f>
        <v/>
      </c>
      <c r="CI24" s="7">
        <f>IFERROR(AVERAGEIF('Данные 1st'!$S$2:$S$317,$A24,'Данные 1st'!$FS$2:$FS$317),"")</f>
        <v>0.4</v>
      </c>
      <c r="CJ24" s="7">
        <f>IFERROR(AVERAGEIF('Данные 1st'!$S$2:$S$317,$A24,'Данные 1st'!$FT$2:$FT$317),"")</f>
        <v>30</v>
      </c>
      <c r="CK24" s="7">
        <f>IFERROR(AVERAGEIF('Данные 1st'!$S$2:$S$317,$A24,'Данные 1st'!$FU$2:$FU$317),"")</f>
        <v>366.6666666666667</v>
      </c>
      <c r="CL24" s="7">
        <f>IFERROR(AVERAGEIF('Данные 1st'!$S$2:$S$317,$A24,'Данные 1st'!$FV$2:$FV$317),"")</f>
        <v>35</v>
      </c>
      <c r="CM24" s="7">
        <f>IFERROR(AVERAGEIF('Данные 1st'!$S$2:$S$317,$A24,'Данные 1st'!$FW$2:$FW$317),"")</f>
        <v>230</v>
      </c>
      <c r="CN24" s="7">
        <f>IFERROR(AVERAGEIF('Данные 1st'!$S$2:$S$317,$A24,'Данные 1st'!$FZ$2:$FZ$317),"")</f>
        <v>1.6</v>
      </c>
      <c r="CO24" s="7">
        <f>IFERROR(AVERAGEIF('Данные 1st'!$S$2:$S$317,$A24,'Данные 1st'!$GA$2:$GA$317),"")</f>
        <v>20</v>
      </c>
      <c r="CP24" s="7">
        <f>IFERROR(AVERAGEIF('Данные 1st'!$S$2:$S$317,$A24,'Данные 1st'!$GB$2:$GB$317),"")</f>
        <v>161</v>
      </c>
      <c r="CQ24" s="7">
        <f>IFERROR(AVERAGEIF('Данные 1st'!$S$2:$S$317,$A24,'Данные 1st'!$GH$2:$GH$317),"")</f>
        <v>1.6</v>
      </c>
      <c r="CR24" s="7">
        <f>IFERROR(AVERAGEIF('Данные 1st'!$S$2:$S$317,$A24,'Данные 1st'!$GI$2:$GI$317),"")</f>
        <v>20</v>
      </c>
      <c r="CS24" s="7">
        <f>IFERROR(AVERAGEIF('Данные 1st'!$S$2:$S$317,$A24,'Данные 1st'!$GJ$2:$GJ$317),"")</f>
        <v>161</v>
      </c>
      <c r="CT24" s="7">
        <f>IFERROR(AVERAGEIF('Данные 1st'!$S$2:$S$317,$A24,'Данные 1st'!$GS$2:$GS$317),"")</f>
        <v>0.4</v>
      </c>
      <c r="CU24" s="7">
        <f>IFERROR(AVERAGEIF('Данные 1st'!$S$2:$S$317,$A24,'Данные 1st'!$GT$2:$GT$317),"")</f>
        <v>85</v>
      </c>
      <c r="CV24" s="7">
        <f>IFERROR(AVERAGEIF('Данные 1st'!$S$2:$S$317,$A24,'Данные 1st'!$GU$2:$GU$317),"")</f>
        <v>250</v>
      </c>
      <c r="CW24" s="7">
        <f>IFERROR(AVERAGEIF('Данные 1st'!$S$2:$S$317,$A24,'Данные 1st'!$GV$2:$GV$317),"")</f>
        <v/>
      </c>
      <c r="CX24" s="7">
        <f>IFERROR(AVERAGEIF('Данные 1st'!$S$2:$S$317,$A24,'Данные 1st'!$GW$2:$GW$317),"")</f>
        <v/>
      </c>
      <c r="CY24" s="7">
        <f>IFERROR(AVERAGEIF('Данные 1st'!$S$2:$S$317,$A24,'Данные 1st'!$GZ$2:$GZ$317),"")</f>
        <v/>
      </c>
      <c r="CZ24" s="7">
        <f>IFERROR(AVERAGEIF('Данные 1st'!$S$2:$S$317,$A24,'Данные 1st'!$HA$2:$HA$317),"")</f>
        <v/>
      </c>
      <c r="DA24" s="7">
        <f>IFERROR(AVERAGEIF('Данные 1st'!$S$2:$S$317,$A24,'Данные 1st'!$HB$2:$HB$317),"")</f>
        <v/>
      </c>
      <c r="DB24" s="7">
        <f>IFERROR(AVERAGEIF('Данные 1st'!$S$2:$S$317,$A24,'Данные 1st'!$HC$2:$HC$317),"")</f>
        <v>0.1</v>
      </c>
      <c r="DC24" s="7">
        <f>IFERROR(AVERAGEIF('Данные 1st'!$S$2:$S$317,$A24,'Данные 1st'!$HD$2:$HD$317),"")</f>
        <v>3</v>
      </c>
      <c r="DD24" s="7">
        <f>IFERROR(AVERAGEIF('Данные 1st'!$S$2:$S$317,$A24,'Данные 1st'!$HE$2:$HE$317),"")</f>
        <v>3</v>
      </c>
      <c r="DE24" s="7">
        <f>IFERROR(AVERAGEIF('Данные 1st'!$S$2:$S$317,$A24,'Данные 1st'!$HF$2:$HF$317),"")</f>
        <v>3</v>
      </c>
      <c r="DF24" s="7">
        <f>IFERROR(AVERAGEIF('Данные 1st'!$S$2:$S$317,$A24,'Данные 1st'!$HG$2:$HG$317),"")</f>
        <v>3</v>
      </c>
      <c r="DG24" s="7">
        <f>IFERROR(AVERAGEIF('Данные 1st'!$S$2:$S$317,$A24,'Данные 1st'!$HH$2:$HH$317),"")</f>
        <v>3</v>
      </c>
      <c r="DH24" s="7">
        <f>IFERROR(AVERAGEIF('Данные 1st'!$S$2:$S$317,$A24,'Данные 1st'!$HI$2:$HI$317),"")</f>
        <v>151.25</v>
      </c>
      <c r="DI24" s="7">
        <f>IFERROR(AVERAGEIF('Данные 1st'!$S$2:$S$317,$A24,'Данные 1st'!$HJ$2:$HJ$317),"")</f>
        <v>3</v>
      </c>
      <c r="DJ24" s="7">
        <f>IFERROR(AVERAGEIF('Данные 1st'!$S$2:$S$317,$A24,'Данные 1st'!$HK$2:$HK$317),"")</f>
        <v>55</v>
      </c>
      <c r="DK24" s="7">
        <f>IFERROR(AVERAGEIF('Данные 1st'!$S$2:$S$317,$A24,'Данные 1st'!$HL$2:$HL$317),"")</f>
        <v>2</v>
      </c>
      <c r="DL24" s="7">
        <f>IFERROR(AVERAGEIF('Данные 1st'!$S$2:$S$317,$A24,'Данные 1st'!$HM$2:$HM$317),"")</f>
        <v>0</v>
      </c>
      <c r="DM24" s="7">
        <f>IFERROR(AVERAGEIF('Данные 1st'!$S$2:$S$317,$A24,'Данные 1st'!$HN$2:$HN$317),"")</f>
        <v>2</v>
      </c>
      <c r="DN24" s="7">
        <f>IFERROR(AVERAGEIF('Данные 1st'!$S$2:$S$317,$A24,'Данные 1st'!$HO$2:$HO$317),"")</f>
        <v>81.25</v>
      </c>
      <c r="DO24" s="7">
        <f>IFERROR(AVERAGEIF('Данные 1st'!$S$2:$S$317,$A24,'Данные 1st'!$HP$2:$HP$317),"")</f>
        <v>3</v>
      </c>
      <c r="DP24" s="7">
        <f>IFERROR(AVERAGEIF('Данные 1st'!$S$2:$S$317,$A24,'Данные 1st'!$HQ$2:$HQ$317),"")</f>
        <v>0</v>
      </c>
      <c r="DQ24" s="7">
        <f>IFERROR(AVERAGEIF('Данные 1st'!$S$2:$S$317,$A24,'Данные 1st'!$HR$2:$HR$317),"")</f>
        <v>2</v>
      </c>
      <c r="DR24" s="7">
        <f>IFERROR(AVERAGEIF('Данные 1st'!$S$2:$S$317,$A24,'Данные 1st'!$HS$2:$HS$317),"")</f>
        <v>4807.75</v>
      </c>
      <c r="DS24" s="7">
        <f>IFERROR(AVERAGEIF('Данные 1st'!$S$2:$S$317,$A24,'Данные 1st'!$HT$2:$HT$317),"")</f>
        <v>145</v>
      </c>
      <c r="DT24" s="7">
        <f>IFERROR(AVERAGEIF('Данные 1st'!$S$2:$S$317,$A24,'Данные 1st'!$HU$2:$HU$317),"")</f>
        <v>180</v>
      </c>
      <c r="DU24" s="7">
        <f>IFERROR(AVERAGEIF('Данные 1st'!$S$2:$S$317,$A24,'Данные 1st'!$HW$2:$HW$317),"")</f>
        <v>5</v>
      </c>
      <c r="DV24" s="7">
        <f>IFERROR(AVERAGEIF('Данные 1st'!$S$2:$S$317,$A24,'Данные 1st'!$HX$2:$HX$317),"")</f>
        <v>445</v>
      </c>
      <c r="DW24" s="7">
        <f>IFERROR(AVERAGEIF('Данные 1st'!$S$2:$S$317,$A24,'Данные 1st'!$HY$2:$HY$317),"")</f>
        <v>0.18</v>
      </c>
      <c r="DX24" s="7">
        <f>IFERROR(AVERAGEIF('Данные 1st'!$S$2:$S$317,$A24,'Данные 1st'!$IA$2:$IA$317),"")</f>
        <v>0.15</v>
      </c>
      <c r="DY24" s="7">
        <f>IFERROR(AVERAGEIF('Данные 1st'!$S$2:$S$317,$A24,'Данные 1st'!$IB$2:$IB$317),"")</f>
        <v>0</v>
      </c>
      <c r="DZ24" s="7">
        <f>IFERROR(AVERAGEIF('Данные 1st'!$S$2:$S$317,$A24,'Данные 1st'!$IC$2:$IC$317),"")</f>
        <v>180</v>
      </c>
      <c r="EA24" s="7">
        <f>IFERROR(AVERAGEIF('Данные 1st'!$S$2:$S$317,$A24,'Данные 1st'!$ID$2:$ID$317),"")</f>
        <v>110</v>
      </c>
      <c r="EB24" s="7">
        <f>IFERROR(AVERAGEIF('Данные 1st'!$S$2:$S$317,$A24,'Данные 1st'!$IE$2:$IE$317),"")</f>
        <v>56.25</v>
      </c>
      <c r="EC24" s="7">
        <f>IFERROR(AVERAGEIF('Данные 1st'!$S$2:$S$317,$A24,'Данные 1st'!$IF$2:$IF$317),"")</f>
        <v>0</v>
      </c>
      <c r="ED24" s="7">
        <f>IFERROR(AVERAGEIF('Данные 1st'!$S$2:$S$317,$A24,'Данные 1st'!$IP$2:$IP$317),"")</f>
        <v>18</v>
      </c>
      <c r="EE24" s="7">
        <f>IFERROR(AVERAGEIF('Данные 1st'!$S$2:$S$317,$A24,'Данные 1st'!$IV$2:$IV$317),"")</f>
        <v>1381</v>
      </c>
      <c r="EF24" s="7">
        <f>IFERROR(AVERAGEIF('Данные 1st'!$S$2:$S$317,$A24,'Данные 1st'!$IW$2:$IW$317),"")</f>
        <v>399</v>
      </c>
      <c r="EG24" s="7">
        <f>IFERROR(AVERAGEIF('Данные 1st'!$S$2:$S$317,$A24,'Данные 1st'!$IX$2:$IX$317),"")</f>
        <v/>
      </c>
      <c r="EH24" s="7">
        <f>IFERROR(AVERAGEIF('Данные 1st'!$S$2:$S$317,$A24,'Данные 1st'!$IY$2:$IY$317),"")</f>
        <v/>
      </c>
      <c r="EI24" s="7">
        <f>IFERROR(AVERAGEIF('Данные 1st'!$S$2:$S$317,$A24,'Данные 1st'!$JD$2:$JD$317),"")</f>
        <v>1393</v>
      </c>
      <c r="EJ24" s="7">
        <f>IFERROR(AVERAGEIF('Данные 1st'!$S$2:$S$317,$A24,'Данные 1st'!$JE$2:$JE$317),"")</f>
        <v>1390.75</v>
      </c>
      <c r="EK24" s="7">
        <f>IFERROR(AVERAGEIF('Данные 1st'!$S$2:$S$317,$A24,'Данные 1st'!$JF$2:$JF$317),"")</f>
        <v>349</v>
      </c>
      <c r="EL24" s="7">
        <f>IFERROR(AVERAGEIF('Данные 1st'!$S$2:$S$317,$A24,'Данные 1st'!$JG$2:$JG$317),"")</f>
        <v>1377.25</v>
      </c>
      <c r="EM24" s="7">
        <f>IFERROR(AVERAGEIF('Данные 1st'!$S$2:$S$317,$A24,'Данные 1st'!$JH$2:$JH$317),"")</f>
        <v>0</v>
      </c>
      <c r="EN24" s="7">
        <f>IFERROR(AVERAGEIF('Данные 1st'!$S$2:$S$317,$A24,'Данные 1st'!$JJ$2:$JJ$317),"")</f>
        <v>180</v>
      </c>
      <c r="EO24" s="7">
        <f>IFERROR(AVERAGEIF('Данные 1st'!$S$2:$S$317,$A24,'Данные 1st'!$JK$2:$JK$317),"")</f>
        <v>445</v>
      </c>
      <c r="EP24" s="7">
        <f>IFERROR(AVERAGEIF('Данные 1st'!$S$2:$S$317,$A24,'Данные 1st'!$JL$2:$JL$317),"")</f>
        <v/>
      </c>
      <c r="EQ24" s="7">
        <f>IFERROR(AVERAGEIF('Данные 1st'!$S$2:$S$317,$A24,'Данные 1st'!$JM$2:$JM$317),"")</f>
        <v/>
      </c>
      <c r="ER24" s="7">
        <f>IFERROR(AVERAGEIF('Данные 1st'!$S$2:$S$317,$A24,'Данные 1st'!$JN$2:$JN$317),"")</f>
        <v>376.25</v>
      </c>
      <c r="ES24" s="7">
        <f>IFERROR(AVERAGEIF('Данные 1st'!$S$2:$S$317,$A24,'Данные 1st'!$JO$2:$JO$317),"")</f>
        <v>561.25</v>
      </c>
      <c r="ET24" s="7">
        <f>IFERROR(AVERAGEIF('Данные 1st'!$S$2:$S$317,$A24,'Данные 1st'!$JP$2:$JP$317),"")</f>
        <v>112.5</v>
      </c>
      <c r="EU24" s="7">
        <f>IFERROR(AVERAGEIF('Данные 1st'!$S$2:$S$317,$A24,'Данные 1st'!$JQ$2:$JQ$317),"")</f>
        <v>0</v>
      </c>
      <c r="EV24" s="7">
        <f>IFERROR(AVERAGEIF('Данные 1st'!$S$2:$S$317,$A24,'Данные 1st'!$JR$2:$JR$317),"")</f>
        <v>354</v>
      </c>
      <c r="EW24" s="7">
        <f>IFERROR(AVERAGEIF('Данные 1st'!$S$2:$S$317,$A24,'Данные 1st'!$JS$2:$JS$317),"")</f>
        <v>151.25</v>
      </c>
      <c r="EX24" s="7">
        <f>IFERROR(AVERAGEIF('Данные 1st'!$S$2:$S$317,$A24,'Данные 1st'!$JT$2:$JT$317),"")</f>
        <v/>
      </c>
      <c r="EY24" s="7">
        <f>IFERROR(AVERAGEIF('Данные 1st'!$S$2:$S$317,$A24,'Данные 1st'!$JU$2:$JU$317),"")</f>
        <v/>
      </c>
      <c r="EZ24" s="7">
        <f>IFERROR(AVERAGEIF('Данные 1st'!$S$2:$S$317,$A24,'Данные 1st'!$JV$2:$JV$317),"")</f>
        <v>8</v>
      </c>
      <c r="FA24" s="7">
        <f>IFERROR(AVERAGEIF('Данные 1st'!$S$2:$S$317,$A24,'Данные 1st'!$JW$2:$JW$317),"")</f>
        <v/>
      </c>
      <c r="FB24" s="7">
        <f>IFERROR(AVERAGEIF('Данные 1st'!$S$2:$S$317,$A24,'Данные 1st'!$JX$2:$JX$317),"")</f>
        <v>0</v>
      </c>
      <c r="FC24" s="7">
        <f>IFERROR(AVERAGEIF('Данные 1st'!$S$2:$S$317,$A24,'Данные 1st'!$JY$2:$JY$317),"")</f>
        <v/>
      </c>
      <c r="FD24" s="7">
        <f>IFERROR(AVERAGEIF('Данные 1st'!$S$2:$S$317,$A24,'Данные 1st'!$JZ$2:$JZ$317),"")</f>
        <v/>
      </c>
      <c r="FE24" s="7">
        <f>IFERROR(AVERAGEIF('Данные 1st'!$S$2:$S$317,$A24,'Данные 1st'!$KA$2:$KA$317),"")</f>
        <v>56.25</v>
      </c>
      <c r="FF24" s="7">
        <f>IFERROR(AVERAGEIF('Данные 1st'!$S$2:$S$317,$A24,'Данные 1st'!$KB$2:$KB$317),"")</f>
        <v>110</v>
      </c>
      <c r="FG24" s="7">
        <f>IFERROR(AVERAGEIF('Данные 1st'!$S$2:$S$317,$A24,'Данные 1st'!$KC$2:$KC$317),"")</f>
        <v>0</v>
      </c>
      <c r="FH24" s="7">
        <f>IFERROR(AVERAGEIF('Данные 1st'!$S$2:$S$317,$A24,'Данные 1st'!$KD$2:$KD$317),"")</f>
        <v>80</v>
      </c>
      <c r="FI24" s="7">
        <f>IFERROR(AVERAGEIF('Данные 1st'!$S$2:$S$317,$A24,'Данные 1st'!$KE$2:$KE$317),"")</f>
        <v/>
      </c>
      <c r="FJ24" s="7">
        <f>IFERROR(AVERAGEIF('Данные 1st'!$S$2:$S$317,$A24,'Данные 1st'!$KF$2:$KF$317),"")</f>
        <v>4</v>
      </c>
      <c r="FK24" s="7">
        <f>IFERROR(AVERAGEIF('Данные 1st'!$S$2:$S$317,$A24,'Данные 1st'!$KG$2:$KG$317),"")</f>
        <v>2</v>
      </c>
      <c r="FL24" s="7">
        <f>IFERROR(AVERAGEIF('Данные 1st'!$S$2:$S$317,$A24,'Данные 1st'!$KH$2:$KH$317),"")</f>
        <v>2</v>
      </c>
      <c r="FM24" s="7">
        <f>IFERROR(AVERAGEIF('Данные 1st'!$S$2:$S$317,$A24,'Данные 1st'!$KI$2:$KI$317),"")</f>
        <v>2</v>
      </c>
      <c r="FN24" s="7">
        <f>IFERROR(AVERAGEIF('Данные 1st'!$S$2:$S$317,$A24,'Данные 1st'!$KJ$2:$KJ$317),"")</f>
        <v>0</v>
      </c>
      <c r="FO24" s="7">
        <f>IFERROR(AVERAGEIF('Данные 1st'!$S$2:$S$317,$A24,'Данные 1st'!$KK$2:$KK$317),"")</f>
        <v>1.5</v>
      </c>
      <c r="FP24" s="7">
        <f>IFERROR(AVERAGEIF('Данные 1st'!$S$2:$S$317,$A24,'Данные 1st'!$KL$2:$KL$317),"")</f>
        <v>1.5</v>
      </c>
      <c r="FQ24" s="7">
        <f>IFERROR(AVERAGEIF('Данные 1st'!$S$2:$S$317,$A24,'Данные 1st'!$KM$2:$KM$317),"")</f>
        <v>0</v>
      </c>
      <c r="FR24" s="7">
        <f>IFERROR(AVERAGEIF('Данные 1st'!$S$2:$S$317,$A24,'Данные 1st'!$KN$2:$KN$317),"")</f>
        <v>0</v>
      </c>
      <c r="FS24" s="7">
        <f>IFERROR(AVERAGEIF('Данные 1st'!$S$2:$S$317,$A24,'Данные 1st'!$KR$2:$KR$317),"")</f>
        <v>40</v>
      </c>
      <c r="FT24" s="7">
        <f>IFERROR(AVERAGEIF('Данные 1st'!$S$2:$S$317,$A24,'Данные 1st'!$KS$2:$KS$317),"")</f>
        <v>60</v>
      </c>
      <c r="FU24" s="7">
        <f>IFERROR(AVERAGEIF('Данные 1st'!$S$2:$S$317,$A24,'Данные 1st'!$KT$2:$KT$317),"")</f>
        <v>0</v>
      </c>
      <c r="FV24" s="7">
        <f>IFERROR(AVERAGEIF('Данные 1st'!$S$2:$S$317,$A24,'Данные 1st'!$KV$2:$KV$317),"")</f>
        <v/>
      </c>
      <c r="FW24" s="7">
        <f>IFERROR(AVERAGEIF('Данные 1st'!$S$2:$S$317,$A24,'Данные 1st'!$KW$2:$KW$317),"")</f>
        <v/>
      </c>
      <c r="FX24" s="7">
        <f>IFERROR(AVERAGEIF('Данные 1st'!$S$2:$S$317,$A24,'Данные 1st'!$KX$2:$KX$317),"")</f>
        <v/>
      </c>
      <c r="FY24" s="7">
        <f>IFERROR(AVERAGEIF('Данные 1st'!$S$2:$S$317,$A24,'Данные 1st'!$KY$2:$KY$317),"")</f>
        <v/>
      </c>
      <c r="FZ24" s="7">
        <f>IFERROR(AVERAGEIF('Данные 1st'!$S$2:$S$317,$A24,'Данные 1st'!$KZ$2:$KZ$317),"")</f>
        <v/>
      </c>
      <c r="GA24" s="7">
        <f>IFERROR(AVERAGEIF('Данные 1st'!$S$2:$S$317,$A24,'Данные 1st'!$LA$2:$LA$317),"")</f>
        <v/>
      </c>
      <c r="GB24" s="7">
        <f>IFERROR(AVERAGEIF('Данные 1st'!$S$2:$S$317,$A24,'Данные 1st'!$LB$2:$LB$317),"")</f>
        <v/>
      </c>
      <c r="GC24" s="7">
        <f>IFERROR(AVERAGEIF('Данные 1st'!$S$2:$S$317,$A24,'Данные 1st'!$LC$2:$LC$317),"")</f>
        <v/>
      </c>
      <c r="GD24" s="7">
        <f>IFERROR(AVERAGEIF('Данные 1st'!$S$2:$S$317,$A24,'Данные 1st'!$LD$2:$LD$317),"")</f>
        <v/>
      </c>
      <c r="GE24" s="7">
        <f>IFERROR(AVERAGEIF('Данные 1st'!$S$2:$S$317,$A24,'Данные 1st'!$LE$2:$LE$317),"")</f>
        <v/>
      </c>
      <c r="GF24" s="7">
        <f>IFERROR(AVERAGEIF('Данные 1st'!$S$2:$S$317,$A24,'Данные 1st'!$LF$2:$LF$317),"")</f>
        <v/>
      </c>
      <c r="GG24" s="7">
        <f>IFERROR(AVERAGEIF('Данные 1st'!$S$2:$S$317,$A24,'Данные 1st'!$LG$2:$LG$317),"")</f>
        <v/>
      </c>
      <c r="GH24" s="7">
        <f>IFERROR(AVERAGEIF('Данные 1st'!$S$2:$S$317,$A24,'Данные 1st'!$LH$2:$LH$317),"")</f>
        <v/>
      </c>
      <c r="GI24" s="7">
        <f>IFERROR(AVERAGEIF('Данные 1st'!$S$2:$S$317,$A24,'Данные 1st'!$LI$2:$LI$317),"")</f>
        <v/>
      </c>
      <c r="GJ24" s="7">
        <f>IFERROR(AVERAGEIF('Данные 1st'!$S$2:$S$317,$A24,'Данные 1st'!$LJ$2:$LJ$317),"")</f>
        <v/>
      </c>
      <c r="GK24" s="7">
        <f>IFERROR(AVERAGEIF('Данные 1st'!$S$2:$S$317,$A24,'Данные 1st'!$LK$2:$LK$317),"")</f>
        <v>480</v>
      </c>
      <c r="GL24" s="7">
        <f>IFERROR(AVERAGEIF('Данные 1st'!$S$2:$S$317,$A24,'Данные 1st'!$LV$2:$LV$317),"")</f>
        <v/>
      </c>
      <c r="GM24" s="7">
        <f>IFERROR(AVERAGEIF('Данные 1st'!$S$2:$S$317,$A24,'Данные 1st'!$LW$2:$LW$317),"")</f>
        <v/>
      </c>
      <c r="GN24" s="7">
        <f>IFERROR(AVERAGEIF('Данные 1st'!$S$2:$S$317,$A24,'Данные 1st'!$LX$2:$LX$317),"")</f>
        <v/>
      </c>
      <c r="GO24" s="7">
        <f>IFERROR(AVERAGEIF('Данные 1st'!$S$2:$S$317,$A24,'Данные 1st'!$LY$2:$LY$317),"")</f>
        <v/>
      </c>
      <c r="GP24" s="7">
        <f>IFERROR(AVERAGEIF('Данные 1st'!$S$2:$S$317,$A24,'Данные 1st'!$LZ$2:$LZ$317),"")</f>
        <v/>
      </c>
      <c r="GQ24" s="7">
        <f>IFERROR(AVERAGEIF('Данные 1st'!$S$2:$S$317,$A24,'Данные 1st'!$PG$2:$PG$317),"")</f>
        <v>1</v>
      </c>
      <c r="GR24" s="7">
        <f>IFERROR(AVERAGEIF('Данные 1st'!$S$2:$S$317,$A24,'Данные 1st'!$PX$2:$PX$317),"")</f>
        <v>56</v>
      </c>
      <c r="GS24" s="7">
        <f>IFERROR(AVERAGEIF('Данные 1st'!$S$2:$S$317,$A24,'Данные 1st'!$PY$2:$PY$317),"")</f>
        <v>56.25</v>
      </c>
      <c r="GT24" s="7">
        <f>IFERROR(AVERAGEIF('Данные 1st'!$S$2:$S$317,$A24,'Данные 1st'!$QA$2:$QA$317),"")</f>
        <v>1.5</v>
      </c>
      <c r="GU24" s="7">
        <f>IFERROR(AVERAGEIF('Данные 1st'!$S$2:$S$317,$A24,'Данные 1st'!$QB$2:$QB$317),"")</f>
        <v>1377.25</v>
      </c>
      <c r="GV24" s="7">
        <f>IFERROR(AVERAGEIF('Данные 1st'!$S$2:$S$317,$A24,'Данные 1st'!$QC$2:$QC$317),"")</f>
        <v>69</v>
      </c>
      <c r="GW24" s="7">
        <f>IFERROR(AVERAGEIF('Данные 1st'!$S$2:$S$317,$A24,'Данные 1st'!$QD$2:$QD$317),"")</f>
        <v>69</v>
      </c>
      <c r="GX24" s="7">
        <f>IFERROR(AVERAGEIF('Данные 1st'!$S$2:$S$317,$A24,'Данные 1st'!$QF$2:$QF$317),"")</f>
        <v>1</v>
      </c>
      <c r="GY24" s="7">
        <f>IFERROR(AVERAGEIF('Данные 1st'!$S$2:$S$317,$A24,'Данные 1st'!$QG$2:$QG$317),"")</f>
        <v>1393</v>
      </c>
      <c r="GZ24" s="7">
        <f>IFERROR(AVERAGEIF('Данные 1st'!$S$2:$S$317,$A24,'Данные 1st'!$QH$2:$QH$317),"")</f>
        <v>66</v>
      </c>
      <c r="HA24" s="7">
        <f>IFERROR(AVERAGEIF('Данные 1st'!$S$2:$S$317,$A24,'Данные 1st'!$QI$2:$QI$317),"")</f>
        <v>66</v>
      </c>
      <c r="HB24" s="7">
        <f>IFERROR(AVERAGEIF('Данные 1st'!$S$2:$S$317,$A24,'Данные 1st'!$QK$2:$QK$317),"")</f>
        <v/>
      </c>
      <c r="HC24" s="7">
        <f>IFERROR(AVERAGEIF('Данные 1st'!$S$2:$S$317,$A24,'Данные 1st'!$QL$2:$QL$317),"")</f>
        <v>0</v>
      </c>
      <c r="HD24" s="7">
        <f>IFERROR(AVERAGEIF('Данные 1st'!$S$2:$S$317,$A24,'Данные 1st'!$QM$2:$QM$317),"")</f>
        <v>62.25</v>
      </c>
      <c r="HE24" s="7">
        <f>IFERROR(AVERAGEIF('Данные 1st'!$S$2:$S$317,$A24,'Данные 1st'!$QN$2:$QN$317),"")</f>
        <v>62.25</v>
      </c>
      <c r="HF24" s="7">
        <f>IFERROR(AVERAGEIF('Данные 1st'!$S$2:$S$317,$A24,'Данные 1st'!$QP$2:$QP$317),"")</f>
        <v>1</v>
      </c>
      <c r="HG24" s="7">
        <f>IFERROR(AVERAGEIF('Данные 1st'!$S$2:$S$317,$A24,'Данные 1st'!$QQ$2:$QQ$317),"")</f>
        <v>1390.75</v>
      </c>
      <c r="HH24" s="7">
        <f>IFERROR(AVERAGEIF('Данные 1st'!$S$2:$S$317,$A24,'Данные 1st'!$QR$2:$QR$317),"")</f>
        <v>62</v>
      </c>
      <c r="HI24" s="7">
        <f>IFERROR(AVERAGEIF('Данные 1st'!$S$2:$S$317,$A24,'Данные 1st'!$QS$2:$QS$317),"")</f>
        <v>62</v>
      </c>
      <c r="HJ24" s="7">
        <f>IFERROR(AVERAGEIF('Данные 1st'!$S$2:$S$317,$A24,'Данные 1st'!$QU$2:$QU$317),"")</f>
        <v>1</v>
      </c>
      <c r="HK24" s="7">
        <f>IFERROR(AVERAGEIF('Данные 1st'!$S$2:$S$317,$A24,'Данные 1st'!$QV$2:$QV$317),"")</f>
        <v>1396</v>
      </c>
      <c r="HL24" s="7">
        <f>IFERROR(AVERAGEIF('Данные 1st'!$S$2:$S$317,$A24,'Данные 1st'!$QW$2:$QW$317),"")</f>
        <v>82</v>
      </c>
      <c r="HM24" s="7">
        <f>IFERROR(AVERAGEIF('Данные 1st'!$S$2:$S$317,$A24,'Данные 1st'!$QX$2:$QX$317),"")</f>
        <v>88</v>
      </c>
      <c r="HN24" s="7">
        <f>IFERROR(AVERAGEIF('Данные 1st'!$S$2:$S$317,$A24,'Данные 1st'!$QZ$2:$QZ$317),"")</f>
        <v>1</v>
      </c>
      <c r="HO24" s="7">
        <f>IFERROR(AVERAGEIF('Данные 1st'!$S$2:$S$317,$A24,'Данные 1st'!$RA$2:$RA$317),"")</f>
        <v>66</v>
      </c>
      <c r="HP24" s="7">
        <f>IFERROR(AVERAGEIF('Данные 1st'!$S$2:$S$317,$A24,'Данные 1st'!$RB$2:$RB$317),"")</f>
        <v>66</v>
      </c>
      <c r="HQ24" s="7">
        <f>IFERROR(AVERAGEIF('Данные 1st'!$S$2:$S$317,$A24,'Данные 1st'!$RD$2:$RD$317),"")</f>
        <v/>
      </c>
      <c r="HR24" s="7">
        <f>IFERROR(AVERAGEIF('Данные 1st'!$S$2:$S$317,$A24,'Данные 1st'!$RE$2:$RE$317),"")</f>
        <v>0</v>
      </c>
      <c r="HS24" s="7">
        <f>IFERROR(AVERAGEIF('Данные 1st'!$S$2:$S$317,$A24,'Данные 1st'!$RF$2:$RF$317),"")</f>
        <v>1</v>
      </c>
      <c r="HT24" s="7">
        <f>IFERROR(AVERAGEIF('Данные 1st'!$S$2:$S$317,$A24,'Данные 1st'!$RG$2:$RG$317),"")</f>
        <v>1</v>
      </c>
      <c r="HU24" s="7">
        <f>IFERROR(AVERAGEIF('Данные 1st'!$S$2:$S$317,$A24,'Данные 1st'!$RH$2:$RH$317),"")</f>
        <v>1</v>
      </c>
      <c r="HV24" s="7">
        <f>IFERROR(AVERAGEIF('Данные 1st'!$S$2:$S$317,$A24,'Данные 1st'!$RI$2:$RI$317),"")</f>
        <v/>
      </c>
      <c r="HW24" s="7">
        <f>IFERROR(AVERAGEIF('Данные 1st'!$S$2:$S$317,$A24,'Данные 1st'!$RJ$2:$RJ$317),"")</f>
        <v>1</v>
      </c>
      <c r="HX24" s="7">
        <f>IFERROR(AVERAGEIF('Данные 1st'!$S$2:$S$317,$A24,'Данные 1st'!$RK$2:$RK$317),"")</f>
        <v/>
      </c>
      <c r="HY24" s="7">
        <f>IFERROR(AVERAGEIF('Данные 1st'!$S$2:$S$317,$A24,'Данные 1st'!$RL$2:$RL$317),"")</f>
        <v>2.25</v>
      </c>
      <c r="HZ24" s="7">
        <f>IFERROR(AVERAGEIF('Данные 1st'!$S$2:$S$317,$A24,'Данные 1st'!$RM$2:$RM$317),"")</f>
        <v>4</v>
      </c>
      <c r="IA24" s="7">
        <f>IFERROR(AVERAGEIF('Данные 1st'!$S$2:$S$317,$A24,'Данные 1st'!$RN$2:$RN$317),"")</f>
        <v/>
      </c>
      <c r="IB24" s="7">
        <f>IFERROR(AVERAGEIF('Данные 1st'!$S$2:$S$317,$A24,'Данные 1st'!$RO$2:$RO$317),"")</f>
        <v>532.75</v>
      </c>
      <c r="IC24" s="7">
        <f>IFERROR(AVERAGEIF('Данные 1st'!$S$2:$S$317,$A24,'Данные 1st'!$RP$2:$RP$317),"")</f>
        <v/>
      </c>
      <c r="ID24" s="7">
        <f>IFERROR(AVERAGEIF('Данные 1st'!$S$2:$S$317,$A24,'Данные 1st'!$RQ$2:$RQ$317),"")</f>
        <v>848.75</v>
      </c>
      <c r="IE24" s="7">
        <f>IFERROR(AVERAGEIF('Данные 1st'!$S$2:$S$317,$A24,'Данные 1st'!$RR$2:$RR$317),"")</f>
        <v>518</v>
      </c>
      <c r="IF24" s="7">
        <f>IFERROR(AVERAGEIF('Данные 1st'!$S$2:$S$317,$A24,'Данные 1st'!$RS$2:$RS$317),"")</f>
        <v/>
      </c>
      <c r="IG24" s="7">
        <f>IFERROR(AVERAGEIF('Данные 1st'!$S$2:$S$317,$A24,'Данные 1st'!$RT$2:$RT$317),"")</f>
        <v>262.5</v>
      </c>
      <c r="IH24" s="7">
        <f>IFERROR(AVERAGEIF('Данные 1st'!$S$2:$S$317,$A24,'Данные 1st'!$RU$2:$RU$317),"")</f>
        <v>201</v>
      </c>
      <c r="II24" s="7">
        <f>IFERROR(AVERAGEIF('Данные 1st'!$S$2:$S$317,$A24,'Данные 1st'!$RX$2:$RX$317),"")</f>
        <v>15</v>
      </c>
      <c r="IJ24" s="7">
        <f>IFERROR(AVERAGEIF('Данные 1st'!$S$2:$S$317,$A24,'Данные 1st'!$RY$2:$RY$317),"")</f>
        <v>4</v>
      </c>
      <c r="IK24" s="7">
        <f>IFERROR(AVERAGEIF('Данные 1st'!$S$2:$S$317,$A24,'Данные 1st'!$SA$2:$SA$317),"")</f>
        <v>15</v>
      </c>
      <c r="IL24" s="7">
        <f>IFERROR(AVERAGEIF('Данные 1st'!$S$2:$S$317,$A24,'Данные 1st'!$SD$2:$SD$317),"")</f>
        <v>1</v>
      </c>
      <c r="IM24" s="7">
        <f>IFERROR(AVERAGEIF('Данные 1st'!$S$2:$S$317,$A24,'Данные 1st'!$SG$2:$SG$317),"")</f>
        <v>1</v>
      </c>
      <c r="IN24" s="7">
        <f>IFERROR(AVERAGEIF('Данные 1st'!$S$2:$S$317,$A24,'Данные 1st'!$SH$2:$SH$317),"")</f>
        <v>0.995</v>
      </c>
      <c r="IO24" s="7">
        <f>IFERROR(AVERAGEIF('Данные 1st'!$S$2:$S$317,$A24,'Данные 1st'!$SI$2:$SI$317),"")</f>
        <v>0.995</v>
      </c>
      <c r="IP24" s="7">
        <f>IFERROR(AVERAGEIF('Данные 1st'!$S$2:$S$317,$A24,'Данные 1st'!$SJ$2:$SJ$317),"")</f>
        <v>0.995</v>
      </c>
      <c r="IQ24" s="7">
        <f>IFERROR(AVERAGEIF('Данные 1st'!$S$2:$S$317,$A24,'Данные 1st'!$SK$2:$SK$317),"")</f>
        <v>15</v>
      </c>
      <c r="IR24" s="7">
        <f>IFERROR(AVERAGEIF('Данные 1st'!$S$2:$S$317,$A24,'Данные 1st'!$SL$2:$SL$317),"")</f>
        <v>0</v>
      </c>
      <c r="IS24" s="7">
        <f>IFERROR(AVERAGEIF('Данные 1st'!$S$2:$S$317,$A24,'Данные 1st'!$SM$2:$SM$317),"")</f>
        <v>0</v>
      </c>
      <c r="IT24" s="7">
        <f>IFERROR(AVERAGEIF('Данные 1st'!$S$2:$S$317,$A24,'Данные 1st'!$SN$2:$SN$317),"")</f>
        <v>0</v>
      </c>
      <c r="IU24" s="7">
        <f>IFERROR(AVERAGEIF('Данные 1st'!$S$2:$S$317,$A24,'Данные 1st'!$SO$2:$SO$317),"")</f>
        <v>0</v>
      </c>
      <c r="IV24" s="7">
        <f>IFERROR(AVERAGEIF('Данные 1st'!$S$2:$S$317,$A24,'Данные 1st'!$SP$2:$SP$317),"")</f>
        <v>0</v>
      </c>
      <c r="IW24" s="7">
        <f>IFERROR(AVERAGEIF('Данные 1st'!$S$2:$S$317,$A24,'Данные 1st'!$SQ$2:$SQ$317),"")</f>
        <v>0</v>
      </c>
      <c r="IX24" s="7">
        <f>IFERROR(AVERAGEIF('Данные 1st'!$S$2:$S$317,$A24,'Данные 1st'!$SR$2:$SR$317),"")</f>
        <v>0</v>
      </c>
      <c r="IY24" s="7">
        <f>IFERROR(AVERAGEIF('Данные 1st'!$S$2:$S$317,$A24,'Данные 1st'!$SS$2:$SS$317),"")</f>
        <v>0</v>
      </c>
      <c r="IZ24" s="7">
        <f>IFERROR(AVERAGEIF('Данные 1st'!$S$2:$S$317,$A24,'Данные 1st'!$ST$2:$ST$317),"")</f>
        <v>0</v>
      </c>
      <c r="JA24" s="7">
        <f>IFERROR(AVERAGEIF('Данные 1st'!$S$2:$S$317,$A24,'Данные 1st'!$SU$2:$SU$317),"")</f>
        <v>0</v>
      </c>
      <c r="JB24" s="7">
        <f>IFERROR(AVERAGEIF('Данные 1st'!$S$2:$S$317,$A24,'Данные 1st'!$SV$2:$SV$317),"")</f>
        <v>0</v>
      </c>
      <c r="JC24" s="7">
        <f>IFERROR(AVERAGEIF('Данные 1st'!$S$2:$S$317,$A24,'Данные 1st'!$SW$2:$SW$317),"")</f>
        <v>0</v>
      </c>
      <c r="JD24" s="7">
        <f>IFERROR(AVERAGEIF('Данные 1st'!$S$2:$S$317,$A24,'Данные 1st'!$SX$2:$SX$317),"")</f>
        <v>0</v>
      </c>
      <c r="JE24" s="7">
        <f>IFERROR(AVERAGEIF('Данные 1st'!$S$2:$S$317,$A24,'Данные 1st'!$SY$2:$SY$317),"")</f>
        <v/>
      </c>
      <c r="JF24" s="7">
        <f>IFERROR(AVERAGEIF('Данные 1st'!$S$2:$S$317,$A24,'Данные 1st'!$SZ$2:$SZ$317),"")</f>
        <v>1</v>
      </c>
      <c r="JG24" s="7">
        <f>IFERROR(AVERAGEIF('Данные 1st'!$S$2:$S$317,$A24,'Данные 1st'!$TA$2:$TA$317),"")</f>
        <v/>
      </c>
      <c r="JH24" s="7">
        <f>IFERROR(AVERAGEIF('Данные 1st'!$S$2:$S$317,$A24,'Данные 1st'!$TB$2:$TB$317),"")</f>
        <v>0</v>
      </c>
      <c r="JI24" s="7">
        <f>IFERROR(AVERAGEIF('Данные 1st'!$S$2:$S$317,$A24,'Данные 1st'!$TC$2:$TC$317),"")</f>
        <v>0</v>
      </c>
      <c r="JJ24" s="7">
        <f>IFERROR(AVERAGEIF('Данные 1st'!$S$2:$S$317,$A24,'Данные 1st'!$TD$2:$TD$317),"")</f>
        <v>7.5</v>
      </c>
      <c r="JK24" s="7">
        <f>IFERROR(AVERAGEIF('Данные 1st'!$S$2:$S$317,$A24,'Данные 1st'!$TN$2:$TN$317),"")</f>
        <v>0</v>
      </c>
      <c r="JL24">
        <f>COUNTIF('Данные 2st'!$Q$2:$Q$317,$A24)</f>
        <v>4</v>
      </c>
      <c r="JM24" s="6" t="s">
        <v>5092</v>
      </c>
      <c r="JN24" s="6" t="s">
        <v>513</v>
      </c>
      <c r="JO24" s="6" t="s">
        <v>5125</v>
      </c>
      <c r="JP24" s="6" t="s">
        <v>5481</v>
      </c>
      <c r="JQ24" s="7">
        <f>IFERROR(AVERAGEIF('Данные 2st'!$Q$2:$Q$317,$A24,'Данные 2st'!$AC$2:$AC$317),"")</f>
        <v>10</v>
      </c>
      <c r="JR24" s="7">
        <f>IFERROR(AVERAGEIF('Данные 2st'!$Q$2:$Q$317,$A24,'Данные 2st'!$AF$2:$AF$317),"")</f>
        <v>4807.75</v>
      </c>
      <c r="JS24" s="7">
        <f>IFERROR(AVERAGEIF('Данные 2st'!$Q$2:$Q$317,$A24,'Данные 2st'!$AW$2:$AW$317),"")</f>
        <v>6.4</v>
      </c>
      <c r="JT24" s="7">
        <f>IFERROR(AVERAGEIF('Данные 2st'!$Q$2:$Q$317,$A24,'Данные 2st'!$AX$2:$AX$317),"")</f>
        <v>-6</v>
      </c>
      <c r="JU24" s="7">
        <f>IFERROR(AVERAGEIF('Данные 2st'!$Q$2:$Q$317,$A24,'Данные 2st'!$AY$2:$AY$317),"")</f>
        <v>96.125</v>
      </c>
      <c r="JV24" s="7">
        <f>IFERROR(AVERAGEIF('Данные 2st'!$Q$2:$Q$317,$A24,'Данные 2st'!$AZ$2:$AZ$317),"")</f>
        <v>70.75</v>
      </c>
      <c r="JW24" s="7">
        <f>IFERROR(AVERAGEIF('Данные 2st'!$Q$2:$Q$317,$A24,'Данные 2st'!$BA$2:$BA$317),"")</f>
        <v/>
      </c>
      <c r="JX24" s="7">
        <f>IFERROR(AVERAGEIF('Данные 2st'!$Q$2:$Q$317,$A24,'Данные 2st'!$BB$2:$BB$317),"")</f>
        <v/>
      </c>
      <c r="JY24" s="7">
        <f>IFERROR(AVERAGEIF('Данные 2st'!$Q$2:$Q$317,$A24,'Данные 2st'!$BC$2:$BC$317),"")</f>
        <v/>
      </c>
      <c r="JZ24" s="7">
        <f>IFERROR(AVERAGEIF('Данные 2st'!$Q$2:$Q$317,$A24,'Данные 2st'!$BH$2:$BH$317),"")</f>
        <v>96.125</v>
      </c>
      <c r="KA24" s="7">
        <f>IFERROR(AVERAGEIF('Данные 2st'!$Q$2:$Q$317,$A24,'Данные 2st'!$BI$2:$BI$317),"")</f>
        <v>25.375</v>
      </c>
      <c r="KB24" s="7">
        <f>IFERROR(AVERAGEIF('Данные 2st'!$Q$2:$Q$317,$A24,'Данные 2st'!$BJ$2:$BJ$317),"")</f>
        <v>70.75</v>
      </c>
      <c r="KC24" s="7">
        <f>IFERROR(AVERAGEIF('Данные 2st'!$Q$2:$Q$317,$A24,'Данные 2st'!$BK$2:$BK$317),"")</f>
        <v>3.0</v>
      </c>
      <c r="KD24" s="7">
        <f>IFERROR(AVERAGEIF('Данные 2st'!$Q$2:$Q$317,$A24,'Данные 2st'!$BL$2:$BL$317),"")</f>
        <v>192.25</v>
      </c>
      <c r="KE24" s="7">
        <f>IFERROR(AVERAGEIF('Данные 2st'!$Q$2:$Q$317,$A24,'Данные 2st'!$BM$2:$BM$317),"")</f>
        <v>-6</v>
      </c>
      <c r="KF24" s="7">
        <f>IFERROR(AVERAGEIF('Данные 2st'!$Q$2:$Q$317,$A24,'Данные 2st'!$BN$2:$BN$317),"")</f>
        <v>0</v>
      </c>
      <c r="KG24" s="7">
        <f>IFERROR(AVERAGEIF('Данные 2st'!$Q$2:$Q$317,$A24,'Данные 2st'!$BO$2:$BO$317),"")</f>
        <v>0</v>
      </c>
      <c r="KH24" s="7">
        <f>IFERROR(AVERAGEIF('Данные 2st'!$Q$2:$Q$317,$A24,'Данные 2st'!$BP$2:$BP$317),"")</f>
        <v>0</v>
      </c>
      <c r="KI24" s="7">
        <f>IFERROR(AVERAGEIF('Данные 2st'!$Q$2:$Q$317,$A24,'Данные 2st'!$BR$2:$BR$317),"")</f>
        <v>186.25</v>
      </c>
      <c r="KJ24" s="7">
        <f>IFERROR(AVERAGEIF('Данные 2st'!$Q$2:$Q$317,$A24,'Данные 2st'!$BS$2:$BS$317),"")</f>
        <v>176.25</v>
      </c>
      <c r="KK24" s="7">
        <f>IFERROR(AVERAGEIF('Данные 2st'!$Q$2:$Q$317,$A24,'Данные 2st'!$BT$2:$BT$317),"")</f>
        <v>2023.75</v>
      </c>
      <c r="KL24" s="7">
        <f>IFERROR(AVERAGEIF('Данные 2st'!$Q$2:$Q$317,$A24,'Данные 2st'!$CV$2:$CV$317),"")</f>
        <v>122</v>
      </c>
      <c r="KM24" s="7">
        <f>IFERROR(AVERAGEIF('Данные 2st'!$Q$2:$Q$317,$A24,'Данные 2st'!$CW$2:$CW$317),"")</f>
        <v>3</v>
      </c>
      <c r="KN24" s="7">
        <f>IFERROR(AVERAGEIF('Данные 2st'!$Q$2:$Q$317,$A24,'Данные 2st'!$CX$2:$CX$317),"")</f>
        <v>85.75</v>
      </c>
      <c r="KO24" s="7">
        <f>IFERROR(AVERAGEIF('Данные 2st'!$Q$2:$Q$317,$A24,'Данные 2st'!$CY$2:$CY$317),"")</f>
        <v>5</v>
      </c>
      <c r="KP24" s="7">
        <f>IFERROR(AVERAGEIF('Данные 2st'!$Q$2:$Q$317,$A24,'Данные 2st'!$CZ$2:$CZ$317),"")</f>
        <v>122</v>
      </c>
      <c r="KQ24" s="7">
        <f>IFERROR(AVERAGEIF('Данные 2st'!$Q$2:$Q$317,$A24,'Данные 2st'!$DA$2:$DA$317),"")</f>
        <v>5</v>
      </c>
      <c r="KR24" s="7">
        <f>IFERROR(AVERAGEIF('Данные 2st'!$Q$2:$Q$317,$A24,'Данные 2st'!$DB$2:$DB$317),"")</f>
        <v>11080</v>
      </c>
      <c r="KS24" s="7">
        <f>IFERROR(AVERAGEIF('Данные 2st'!$Q$2:$Q$317,$A24,'Данные 2st'!$DC$2:$DC$317),"")</f>
        <v>312.5</v>
      </c>
      <c r="KT24" s="7">
        <f>IFERROR(AVERAGEIF('Данные 2st'!$Q$2:$Q$317,$A24,'Данные 2st'!$DD$2:$DD$317),"")</f>
        <v>319.25</v>
      </c>
      <c r="KU24" s="7">
        <f>IFERROR(AVERAGEIF('Данные 2st'!$Q$2:$Q$317,$A24,'Данные 2st'!$DE$2:$DE$317),"")</f>
        <v>2139.5</v>
      </c>
      <c r="KV24" s="7">
        <f>IFERROR(AVERAGEIF('Данные 2st'!$Q$2:$Q$317,$A24,'Данные 2st'!$DF$2:$DF$317),"")</f>
        <v>2139.5</v>
      </c>
      <c r="KW24" s="7">
        <f>IFERROR(AVERAGEIF('Данные 2st'!$Q$2:$Q$317,$A24,'Данные 2st'!$DG$2:$DG$317),"")</f>
        <v>2152.75</v>
      </c>
      <c r="KX24" s="7">
        <f>IFERROR(AVERAGEIF('Данные 2st'!$Q$2:$Q$317,$A24,'Данные 2st'!$DH$2:$DH$317),"")</f>
        <v/>
      </c>
      <c r="KY24" s="7">
        <f>IFERROR(AVERAGEIF('Данные 2st'!$Q$2:$Q$317,$A24,'Данные 2st'!$DI$2:$DI$317),"")</f>
        <v/>
      </c>
      <c r="KZ24" s="7">
        <f>IFERROR(AVERAGEIF('Данные 2st'!$Q$2:$Q$317,$A24,'Данные 2st'!$DK$2:$DK$317),"")</f>
        <v>186.25</v>
      </c>
      <c r="LA24" s="7">
        <f>IFERROR(AVERAGEIF('Данные 2st'!$Q$2:$Q$317,$A24,'Данные 2st'!$DM$2:$DM$317),"")</f>
        <v>64</v>
      </c>
      <c r="LB24" s="7">
        <f>IFERROR(AVERAGEIF('Данные 2st'!$Q$2:$Q$317,$A24,'Данные 2st'!$DN$2:$DN$317),"")</f>
        <v>1.125</v>
      </c>
      <c r="LC24" s="7">
        <f>IFERROR(AVERAGEIF('Данные 2st'!$Q$2:$Q$317,$A24,'Данные 2st'!$DO$2:$DO$317),"")</f>
        <v>1</v>
      </c>
      <c r="LD24" s="7">
        <f>IFERROR(AVERAGEIF('Данные 2st'!$Q$2:$Q$317,$A24,'Данные 2st'!$DP$2:$DP$317),"")</f>
        <v>2027</v>
      </c>
      <c r="LE24" s="7">
        <f>IFERROR(AVERAGEIF('Данные 2st'!$Q$2:$Q$317,$A24,'Данные 2st'!$DQ$2:$DQ$317),"")</f>
        <v>829</v>
      </c>
      <c r="LF24" s="7">
        <f>IFERROR(AVERAGEIF('Данные 2st'!$Q$2:$Q$317,$A24,'Данные 2st'!$DS$2:$DS$317),"")</f>
        <v>176.25</v>
      </c>
      <c r="LG24" s="7">
        <f>IFERROR(AVERAGEIF('Данные 2st'!$Q$2:$Q$317,$A24,'Данные 2st'!$DU$2:$DU$317),"")</f>
        <v>64</v>
      </c>
      <c r="LH24" s="7">
        <f>IFERROR(AVERAGEIF('Данные 2st'!$Q$2:$Q$317,$A24,'Данные 2st'!$DV$2:$DV$317),"")</f>
        <v>1.125</v>
      </c>
      <c r="LI24" s="7">
        <f>IFERROR(AVERAGEIF('Данные 2st'!$Q$2:$Q$317,$A24,'Данные 2st'!$DW$2:$DW$317),"")</f>
        <v>1</v>
      </c>
      <c r="LJ24" s="7">
        <f>IFERROR(AVERAGEIF('Данные 2st'!$Q$2:$Q$317,$A24,'Данные 2st'!$DX$2:$DX$317),"")</f>
        <v>2039</v>
      </c>
      <c r="LK24" s="7">
        <f>IFERROR(AVERAGEIF('Данные 2st'!$Q$2:$Q$317,$A24,'Данные 2st'!$DY$2:$DY$317),"")</f>
        <v>789.5</v>
      </c>
      <c r="LL24" s="7">
        <f>IFERROR(AVERAGEIF('Данные 2st'!$Q$2:$Q$317,$A24,'Данные 2st'!$EA$2:$EA$317),"")</f>
        <v>20</v>
      </c>
      <c r="LM24" s="7">
        <f>IFERROR(AVERAGEIF('Данные 2st'!$Q$2:$Q$317,$A24,'Данные 2st'!$EC$2:$EC$317),"")</f>
        <v>0.8</v>
      </c>
      <c r="LN24" s="7">
        <f>IFERROR(AVERAGEIF('Данные 2st'!$Q$2:$Q$317,$A24,'Данные 2st'!$ED$2:$ED$317),"")</f>
        <v>2027</v>
      </c>
      <c r="LO24" s="7">
        <f>IFERROR(AVERAGEIF('Данные 2st'!$Q$2:$Q$317,$A24,'Данные 2st'!$EE$2:$EE$317),"")</f>
        <v>71</v>
      </c>
      <c r="LP24" s="7">
        <f>IFERROR(AVERAGEIF('Данные 2st'!$Q$2:$Q$317,$A24,'Данные 2st'!$EG$2:$EG$317),"")</f>
        <v>0</v>
      </c>
      <c r="LQ24" s="7">
        <f>IFERROR(AVERAGEIF('Данные 2st'!$Q$2:$Q$317,$A24,'Данные 2st'!$EI$2:$EI$317),"")</f>
        <v>0</v>
      </c>
      <c r="LR24" s="7">
        <f>IFERROR(AVERAGEIF('Данные 2st'!$Q$2:$Q$317,$A24,'Данные 2st'!$EJ$2:$EJ$317),"")</f>
        <v/>
      </c>
      <c r="LS24" s="7">
        <f>IFERROR(AVERAGEIF('Данные 2st'!$Q$2:$Q$317,$A24,'Данные 2st'!$EK$2:$EK$317),"")</f>
        <v/>
      </c>
      <c r="LT24" s="7">
        <f>IFERROR(AVERAGEIF('Данные 2st'!$Q$2:$Q$317,$A24,'Данные 2st'!$EM$2:$EM$317),"")</f>
        <v>12</v>
      </c>
      <c r="LU24" s="7">
        <f>IFERROR(AVERAGEIF('Данные 2st'!$Q$2:$Q$317,$A24,'Данные 2st'!$EN$2:$EN$317),"")</f>
        <v>0.5</v>
      </c>
      <c r="LV24" s="7">
        <f>IFERROR(AVERAGEIF('Данные 2st'!$Q$2:$Q$317,$A24,'Данные 2st'!$EO$2:$EO$317),"")</f>
        <v>0.96</v>
      </c>
      <c r="LW24" s="7">
        <f>IFERROR(AVERAGEIF('Данные 2st'!$Q$2:$Q$317,$A24,'Данные 2st'!$EP$2:$EP$317),"")</f>
        <v>2037.8925</v>
      </c>
      <c r="LX24" s="7">
        <f>IFERROR(AVERAGEIF('Данные 2st'!$Q$2:$Q$317,$A24,'Данные 2st'!$EQ$2:$EQ$317),"")</f>
        <v>32519.1725</v>
      </c>
      <c r="LY24" s="7">
        <f>IFERROR(AVERAGEIF('Данные 2st'!$Q$2:$Q$317,$A24,'Данные 2st'!$ER$2:$ER$317),"")</f>
        <v>8101.3075</v>
      </c>
      <c r="LZ24" s="7">
        <f>IFERROR(AVERAGEIF('Данные 2st'!$Q$2:$Q$317,$A24,'Данные 2st'!$ES$2:$ES$317),"")</f>
        <v>0</v>
      </c>
      <c r="MA24" s="7">
        <f>IFERROR(AVERAGEIF('Данные 2st'!$Q$2:$Q$317,$A24,'Данные 2st'!$ET$2:$ET$317),"")</f>
        <v>0</v>
      </c>
      <c r="MB24" s="7">
        <f>IFERROR(AVERAGEIF('Данные 2st'!$Q$2:$Q$317,$A24,'Данные 2st'!$EU$2:$EU$317),"")</f>
        <v>1</v>
      </c>
      <c r="MC24" s="7">
        <f>IFERROR(AVERAGEIF('Данные 2st'!$Q$2:$Q$317,$A24,'Данные 2st'!$EV$2:$EV$317),"")</f>
        <v>40620.75</v>
      </c>
      <c r="MD24" s="7">
        <f>IFERROR(AVERAGEIF('Данные 2st'!$Q$2:$Q$317,$A24,'Данные 2st'!$EW$2:$EW$317),"")</f>
        <v>488</v>
      </c>
      <c r="ME24" s="7">
        <f>IFERROR(AVERAGEIF('Данные 2st'!$Q$2:$Q$317,$A24,'Данные 2st'!$EY$2:$EY$317),"")</f>
        <v>210</v>
      </c>
      <c r="MF24" s="7">
        <f>IFERROR(AVERAGEIF('Данные 2st'!$Q$2:$Q$317,$A24,'Данные 2st'!$FA$2:$FA$317),"")</f>
        <v>5.225</v>
      </c>
      <c r="MG24" s="7">
        <f>IFERROR(AVERAGEIF('Данные 2st'!$Q$2:$Q$317,$A24,'Данные 2st'!$FB$2:$FB$317),"")</f>
        <v>1</v>
      </c>
      <c r="MH24" s="7">
        <f>IFERROR(AVERAGEIF('Данные 2st'!$Q$2:$Q$317,$A24,'Данные 2st'!$FC$2:$FC$317),"")</f>
        <v>1</v>
      </c>
      <c r="MI24" s="7">
        <f>IFERROR(AVERAGEIF('Данные 2st'!$Q$2:$Q$317,$A24,'Данные 2st'!$FD$2:$FD$317),"")</f>
        <v>2070.75</v>
      </c>
      <c r="MJ24" s="7">
        <f>IFERROR(AVERAGEIF('Данные 2st'!$Q$2:$Q$317,$A24,'Данные 2st'!$FE$2:$FE$317),"")</f>
        <v>2334</v>
      </c>
      <c r="MK24" s="7">
        <f>IFERROR(AVERAGEIF('Данные 2st'!$Q$2:$Q$317,$A24,'Данные 2st'!$FG$2:$FG$317),"")</f>
        <v>210</v>
      </c>
      <c r="ML24" s="7">
        <f>IFERROR(AVERAGEIF('Данные 2st'!$Q$2:$Q$317,$A24,'Данные 2st'!$FI$2:$FI$317),"")</f>
        <v>2.85</v>
      </c>
      <c r="MM24" s="7">
        <f>IFERROR(AVERAGEIF('Данные 2st'!$Q$2:$Q$317,$A24,'Данные 2st'!$FJ$2:$FJ$317),"")</f>
        <v>2070.75</v>
      </c>
      <c r="MN24" s="7">
        <f>IFERROR(AVERAGEIF('Данные 2st'!$Q$2:$Q$317,$A24,'Данные 2st'!$FK$2:$FK$317),"")</f>
        <v>1394</v>
      </c>
      <c r="MO24" s="7">
        <f>IFERROR(AVERAGEIF('Данные 2st'!$Q$2:$Q$317,$A24,'Данные 2st'!$FP$2:$FP$317),"")</f>
        <v>2070.75</v>
      </c>
      <c r="MP24" s="7">
        <f>IFERROR(AVERAGEIF('Данные 2st'!$Q$2:$Q$317,$A24,'Данные 2st'!$FQ$2:$FQ$317),"")</f>
        <v>146.75</v>
      </c>
      <c r="MQ24" s="7">
        <f>IFERROR(AVERAGEIF('Данные 2st'!$Q$2:$Q$317,$A24,'Данные 2st'!$FS$2:$FS$317),"")</f>
        <v>214</v>
      </c>
      <c r="MR24" s="7">
        <f>IFERROR(AVERAGEIF('Данные 2st'!$Q$2:$Q$317,$A24,'Данные 2st'!$FU$2:$FU$317),"")</f>
        <v>0.4</v>
      </c>
      <c r="MS24" s="7">
        <f>IFERROR(AVERAGEIF('Данные 2st'!$Q$2:$Q$317,$A24,'Данные 2st'!$FV$2:$FV$317),"")</f>
        <v>2070.75</v>
      </c>
      <c r="MT24" s="7">
        <f>IFERROR(AVERAGEIF('Данные 2st'!$Q$2:$Q$317,$A24,'Данные 2st'!$FW$2:$FW$317),"")</f>
        <v>197.25</v>
      </c>
      <c r="MU24" s="7">
        <f>IFERROR(AVERAGEIF('Данные 2st'!$Q$2:$Q$317,$A24,'Данные 2st'!$FY$2:$FY$317),"")</f>
        <v>5</v>
      </c>
      <c r="MV24" s="7">
        <f>IFERROR(AVERAGEIF('Данные 2st'!$Q$2:$Q$317,$A24,'Данные 2st'!$GB$2:$GB$317),"")</f>
        <v>2070.75</v>
      </c>
      <c r="MW24" s="7">
        <f>IFERROR(AVERAGEIF('Данные 2st'!$Q$2:$Q$317,$A24,'Данные 2st'!$GC$2:$GC$317),"")</f>
        <v>19.75</v>
      </c>
      <c r="MX24" s="7">
        <f>IFERROR(AVERAGEIF('Данные 2st'!$Q$2:$Q$317,$A24,'Данные 2st'!$GD$2:$GD$317),"")</f>
        <v>4091.75</v>
      </c>
      <c r="MY24" s="7">
        <f>IFERROR(AVERAGEIF('Данные 2st'!$Q$2:$Q$317,$A24,'Данные 2st'!$GN$2:$GN$317),"")</f>
        <v/>
      </c>
      <c r="MZ24" s="7">
        <f>IFERROR(AVERAGEIF('Данные 2st'!$Q$2:$Q$317,$A24,'Данные 2st'!$GQ$2:$GQ$317),"")</f>
        <v>0</v>
      </c>
      <c r="NA24" s="7">
        <f>IFERROR(AVERAGEIF('Данные 2st'!$Q$2:$Q$317,$A24,'Данные 2st'!$GV$2:$GV$317),"")</f>
        <v>8.475</v>
      </c>
      <c r="NB24" s="7">
        <f>IFERROR(AVERAGEIF('Данные 2st'!$Q$2:$Q$317,$A24,'Данные 2st'!$GW$2:$GW$317),"")</f>
        <v>9.5</v>
      </c>
      <c r="NC24" s="7">
        <f>IFERROR(AVERAGEIF('Данные 2st'!$Q$2:$Q$317,$A24,'Данные 2st'!$GX$2:$GX$317),"")</f>
        <v>0.5</v>
      </c>
      <c r="ND24" s="7">
        <f>IFERROR(AVERAGEIF('Данные 2st'!$Q$2:$Q$317,$A24,'Данные 2st'!$GY$2:$GY$317),"")</f>
        <v>175.5</v>
      </c>
      <c r="NE24" s="7">
        <f>IFERROR(AVERAGEIF('Данные 2st'!$Q$2:$Q$317,$A24,'Данные 2st'!$GZ$2:$GZ$317),"")</f>
        <v>3</v>
      </c>
      <c r="NF24" s="7">
        <f>IFERROR(AVERAGEIF('Данные 2st'!$Q$2:$Q$317,$A24,'Данные 2st'!$HA$2:$HA$317),"")</f>
        <v>230.5</v>
      </c>
      <c r="NG24" s="7">
        <f>IFERROR(AVERAGEIF('Данные 2st'!$Q$2:$Q$317,$A24,'Данные 2st'!$HB$2:$HB$317),"")</f>
        <v>3</v>
      </c>
      <c r="NH24" s="7">
        <f>IFERROR(AVERAGEIF('Данные 2st'!$Q$2:$Q$317,$A24,'Данные 2st'!$HC$2:$HC$317),"")</f>
        <v>2070.75</v>
      </c>
      <c r="NI24" s="7">
        <f>IFERROR(AVERAGEIF('Данные 2st'!$Q$2:$Q$317,$A24,'Данные 2st'!$HD$2:$HD$317),"")</f>
        <v>4</v>
      </c>
      <c r="NJ24" s="7">
        <f>IFERROR(AVERAGEIF('Данные 2st'!$Q$2:$Q$317,$A24,'Данные 2st'!$HM$2:$HM$317),"")</f>
        <v>18</v>
      </c>
      <c r="NK24" s="7">
        <f>IFERROR(AVERAGEIF('Данные 2st'!$Q$2:$Q$317,$A24,'Данные 2st'!$HR$2:$HR$317),"")</f>
        <v>2.5</v>
      </c>
      <c r="NL24" s="7">
        <f>IFERROR(AVERAGEIF('Данные 2st'!$Q$2:$Q$317,$A24,'Данные 2st'!$HS$2:$HS$317),"")</f>
        <v>2023.75</v>
      </c>
      <c r="NM24" s="7">
        <f>IFERROR(AVERAGEIF('Данные 2st'!$Q$2:$Q$317,$A24,'Данные 2st'!$HT$2:$HT$317),"")</f>
        <v>5</v>
      </c>
      <c r="NN24" s="7">
        <f>IFERROR(AVERAGEIF('Данные 2st'!$Q$2:$Q$317,$A24,'Данные 2st'!$HY$2:$HY$317),"")</f>
        <v>0</v>
      </c>
      <c r="NO24" s="7">
        <f>IFERROR(AVERAGEIF('Данные 2st'!$Q$2:$Q$317,$A24,'Данные 2st'!$HZ$2:$HZ$317),"")</f>
        <v>64</v>
      </c>
      <c r="NP24" s="7">
        <f>IFERROR(AVERAGEIF('Данные 2st'!$Q$2:$Q$317,$A24,'Данные 2st'!$IA$2:$IA$317),"")</f>
        <v>2027</v>
      </c>
      <c r="NQ24" s="7">
        <f>IFERROR(AVERAGEIF('Данные 2st'!$Q$2:$Q$317,$A24,'Данные 2st'!$IB$2:$IB$317),"")</f>
        <v>2039</v>
      </c>
      <c r="NR24" s="7">
        <f>IFERROR(AVERAGEIF('Данные 2st'!$Q$2:$Q$317,$A24,'Данные 2st'!$IC$2:$IC$317),"")</f>
        <v/>
      </c>
      <c r="NS24" s="7">
        <f>IFERROR(AVERAGEIF('Данные 2st'!$Q$2:$Q$317,$A24,'Данные 2st'!$ID$2:$ID$317),"")</f>
        <v>2070.75</v>
      </c>
      <c r="NT24" s="7">
        <f>IFERROR(AVERAGEIF('Данные 2st'!$Q$2:$Q$317,$A24,'Данные 2st'!$IE$2:$IE$317),"")</f>
        <v>2070.75</v>
      </c>
      <c r="NU24" s="7">
        <f>IFERROR(AVERAGEIF('Данные 2st'!$Q$2:$Q$317,$A24,'Данные 2st'!$IF$2:$IF$317),"")</f>
        <v>186.25</v>
      </c>
      <c r="NV24" s="7">
        <f>IFERROR(AVERAGEIF('Данные 2st'!$Q$2:$Q$317,$A24,'Данные 2st'!$IG$2:$IG$317),"")</f>
        <v>176.25</v>
      </c>
      <c r="NW24" s="7">
        <f>IFERROR(AVERAGEIF('Данные 2st'!$Q$2:$Q$317,$A24,'Данные 2st'!$IH$2:$IH$317),"")</f>
        <v>230.5</v>
      </c>
      <c r="NX24" s="7">
        <f>IFERROR(AVERAGEIF('Данные 2st'!$Q$2:$Q$317,$A24,'Данные 2st'!$IJ$2:$IJ$317),"")</f>
        <v>5</v>
      </c>
      <c r="NY24" s="7">
        <f>IFERROR(AVERAGEIF('Данные 2st'!$Q$2:$Q$317,$A24,'Данные 2st'!$IM$2:$IM$317),"")</f>
        <v>0</v>
      </c>
      <c r="NZ24" s="7">
        <f>IFERROR(AVERAGEIF('Данные 2st'!$Q$2:$Q$317,$A24,'Данные 2st'!$IN$2:$IN$317),"")</f>
        <v>270</v>
      </c>
      <c r="OA24" s="7">
        <f>IFERROR(AVERAGEIF('Данные 2st'!$Q$2:$Q$317,$A24,'Данные 2st'!$IO$2:$IO$317),"")</f>
        <v>0</v>
      </c>
      <c r="OB24" s="7">
        <f>IFERROR(AVERAGEIF('Данные 2st'!$Q$2:$Q$317,$A24,'Данные 2st'!$IP$2:$IP$317),"")</f>
        <v>180</v>
      </c>
      <c r="OC24" s="7">
        <f>IFERROR(AVERAGEIF('Данные 2st'!$Q$2:$Q$317,$A24,'Данные 2st'!$IQ$2:$IQ$317),"")</f>
        <v>0</v>
      </c>
      <c r="OD24" s="7">
        <f>IFERROR(AVERAGEIF('Данные 2st'!$Q$2:$Q$317,$A24,'Данные 2st'!$IR$2:$IR$317),"")</f>
        <v>327.5</v>
      </c>
      <c r="OE24" s="7">
        <f>IFERROR(AVERAGEIF('Данные 2st'!$Q$2:$Q$317,$A24,'Данные 2st'!$IT$2:$IT$317),"")</f>
        <v>90</v>
      </c>
      <c r="OF24" s="7">
        <f>IFERROR(AVERAGEIF('Данные 2st'!$Q$2:$Q$317,$A24,'Данные 2st'!$IU$2:$IU$317),"")</f>
        <v>0</v>
      </c>
      <c r="OG24" s="7">
        <f>IFERROR(AVERAGEIF('Данные 2st'!$Q$2:$Q$317,$A24,'Данные 2st'!$IV$2:$IV$317),"")</f>
        <v>6.4</v>
      </c>
      <c r="OH24" s="7">
        <f>IFERROR(AVERAGEIF('Данные 2st'!$Q$2:$Q$317,$A24,'Данные 2st'!$IW$2:$IW$317),"")</f>
        <v>-6</v>
      </c>
      <c r="OI24" s="7">
        <f>IFERROR(AVERAGEIF('Данные 2st'!$Q$2:$Q$317,$A24,'Данные 2st'!$IX$2:$IX$317),"")</f>
        <v>96.125</v>
      </c>
      <c r="OJ24" s="7">
        <f>IFERROR(AVERAGEIF('Данные 2st'!$Q$2:$Q$317,$A24,'Данные 2st'!$IY$2:$IY$317),"")</f>
        <v>70.75</v>
      </c>
      <c r="OK24" s="7">
        <f>IFERROR(AVERAGEIF('Данные 2st'!$Q$2:$Q$317,$A24,'Данные 2st'!$IZ$2:$IZ$317),"")</f>
        <v>0</v>
      </c>
      <c r="OL24" s="7">
        <f>IFERROR(AVERAGEIF('Данные 2st'!$Q$2:$Q$317,$A24,'Данные 2st'!$JA$2:$JA$317),"")</f>
        <v>0</v>
      </c>
      <c r="OM24" s="7">
        <f>IFERROR(AVERAGEIF('Данные 2st'!$Q$2:$Q$317,$A24,'Данные 2st'!$JB$2:$JB$317),"")</f>
        <v>0</v>
      </c>
      <c r="ON24" s="7">
        <f>IFERROR(AVERAGEIF('Данные 2st'!$Q$2:$Q$317,$A24,'Данные 2st'!$JC$2:$JC$317),"")</f>
        <v>0</v>
      </c>
      <c r="OO24" s="7">
        <f>IFERROR(AVERAGEIF('Данные 2st'!$Q$2:$Q$317,$A24,'Данные 2st'!$JD$2:$JD$317),"")</f>
        <v>0</v>
      </c>
      <c r="OP24" s="7">
        <f>IFERROR(AVERAGEIF('Данные 2st'!$Q$2:$Q$317,$A24,'Данные 2st'!$JE$2:$JE$317),"")</f>
        <v>0</v>
      </c>
      <c r="OQ24" s="7">
        <f>IFERROR(AVERAGEIF('Данные 2st'!$Q$2:$Q$317,$A24,'Данные 2st'!$JF$2:$JF$317),"")</f>
        <v>0</v>
      </c>
      <c r="OR24" s="7">
        <f>IFERROR(AVERAGEIF('Данные 2st'!$Q$2:$Q$317,$A24,'Данные 2st'!$JG$2:$JG$317),"")</f>
        <v>0</v>
      </c>
      <c r="OS24" s="7">
        <f>IFERROR(AVERAGEIF('Данные 2st'!$Q$2:$Q$317,$A24,'Данные 2st'!$JH$2:$JH$317),"")</f>
        <v>0</v>
      </c>
      <c r="OT24" s="7">
        <f>IFERROR(AVERAGEIF('Данные 2st'!$Q$2:$Q$317,$A24,'Данные 2st'!$JI$2:$JI$317),"")</f>
        <v>365.5</v>
      </c>
      <c r="OU24" s="7">
        <f>IFERROR(AVERAGEIF('Данные 2st'!$Q$2:$Q$317,$A24,'Данные 2st'!$JJ$2:$JJ$317),"")</f>
        <v>335.5</v>
      </c>
      <c r="OV24" s="7">
        <f>IFERROR(AVERAGEIF('Данные 2st'!$Q$2:$Q$317,$A24,'Данные 2st'!$JK$2:$JK$317),"")</f>
        <v>251.75</v>
      </c>
      <c r="OW24" s="7">
        <f>IFERROR(AVERAGEIF('Данные 2st'!$Q$2:$Q$317,$A24,'Данные 2st'!$JL$2:$JL$317),"")</f>
        <v>333.5</v>
      </c>
      <c r="OX24" s="7">
        <f>IFERROR(AVERAGEIF('Данные 2st'!$Q$2:$Q$317,$A24,'Данные 2st'!$JM$2:$JM$317),"")</f>
        <v>269.25</v>
      </c>
      <c r="OY24" s="7">
        <f>IFERROR(AVERAGEIF('Данные 2st'!$Q$2:$Q$317,$A24,'Данные 2st'!$JP$2:$JP$317),"")</f>
        <v>205</v>
      </c>
      <c r="OZ24" s="7">
        <f>IFERROR(AVERAGEIF('Данные 2st'!$Q$2:$Q$317,$A24,'Данные 2st'!$JQ$2:$JQ$317),"")</f>
        <v>246.25</v>
      </c>
      <c r="PA24" s="7">
        <f>IFERROR(AVERAGEIF('Данные 2st'!$Q$2:$Q$317,$A24,'Данные 2st'!$JR$2:$JR$317),"")</f>
        <v>316.5</v>
      </c>
      <c r="PB24" s="7">
        <f>IFERROR(AVERAGEIF('Данные 2st'!$Q$2:$Q$317,$A24,'Данные 2st'!$JS$2:$JS$317),"")</f>
        <v>229</v>
      </c>
      <c r="PC24" s="7">
        <f>IFERROR(AVERAGEIF('Данные 2st'!$Q$2:$Q$317,$A24,'Данные 2st'!$JT$2:$JT$317),"")</f>
        <v>0</v>
      </c>
      <c r="PD24" s="7">
        <f>IFERROR(AVERAGEIF('Данные 2st'!$Q$2:$Q$317,$A24,'Данные 2st'!$JU$2:$JU$317),"")</f>
        <v>0</v>
      </c>
      <c r="PE24" s="7">
        <f>IFERROR(AVERAGEIF('Данные 2st'!$Q$2:$Q$317,$A24,'Данные 2st'!$JV$2:$JV$317),"")</f>
        <v>312.75</v>
      </c>
      <c r="PF24" s="7">
        <f>IFERROR(AVERAGEIF('Данные 2st'!$Q$2:$Q$317,$A24,'Данные 2st'!$JW$2:$JW$317),"")</f>
        <v>309</v>
      </c>
      <c r="PG24" s="7">
        <f>IFERROR(AVERAGEIF('Данные 2st'!$Q$2:$Q$317,$A24,'Данные 2st'!$KF$2:$KF$317),"")</f>
        <v>0.1775</v>
      </c>
      <c r="PH24" s="7">
        <f>IFERROR(AVERAGEIF('Данные 2st'!$Q$2:$Q$317,$A24,'Данные 2st'!$KG$2:$KG$317),"")</f>
        <v>0.1</v>
      </c>
      <c r="PI24" s="7">
        <f>IFERROR(AVERAGEIF('Данные 2st'!$Q$2:$Q$317,$A24,'Данные 2st'!$KM$2:$KM$317),"")</f>
        <v>0.75</v>
      </c>
      <c r="PJ24" s="7">
        <f>IFERROR(AVERAGEIF('Данные 2st'!$Q$2:$Q$317,$A24,'Данные 2st'!$KN$2:$KN$317),"")</f>
        <v>1.45</v>
      </c>
      <c r="PK24" s="7">
        <f>IFERROR(AVERAGEIF('Данные 2st'!$Q$2:$Q$317,$A24,'Данные 2st'!$KO$2:$KO$317),"")</f>
        <v>0</v>
      </c>
      <c r="PL24" s="7">
        <f>IFERROR(AVERAGEIF('Данные 2st'!$Q$2:$Q$317,$A24,'Данные 2st'!$KP$2:$KP$317),"")</f>
        <v>0</v>
      </c>
      <c r="PM24" s="7">
        <f>IFERROR(AVERAGEIF('Данные 2st'!$Q$2:$Q$317,$A24,'Данные 2st'!$KQ$2:$KQ$317),"")</f>
        <v>0.8500000000000001</v>
      </c>
      <c r="PN24" s="7">
        <f>IFERROR(AVERAGEIF('Данные 2st'!$Q$2:$Q$317,$A24,'Данные 2st'!$KR$2:$KR$317),"")</f>
        <v>0.9</v>
      </c>
      <c r="PO24" s="7">
        <f>IFERROR(AVERAGEIF('Данные 2st'!$Q$2:$Q$317,$A24,'Данные 2st'!$KS$2:$KS$317),"")</f>
        <v>0.1</v>
      </c>
      <c r="PP24" s="7">
        <f>IFERROR(AVERAGEIF('Данные 2st'!$Q$2:$Q$317,$A24,'Данные 2st'!$KT$2:$KT$317),"")</f>
        <v>2.3</v>
      </c>
      <c r="PQ24" s="7">
        <f>IFERROR(AVERAGEIF('Данные 2st'!$Q$2:$Q$317,$A24,'Данные 2st'!$KU$2:$KU$317),"")</f>
        <v>0</v>
      </c>
      <c r="PR24" s="7">
        <f>IFERROR(AVERAGEIF('Данные 2st'!$Q$2:$Q$317,$A24,'Данные 2st'!$KV$2:$KV$317),"")</f>
        <v>0</v>
      </c>
      <c r="PS24" s="7">
        <f>IFERROR(AVERAGEIF('Данные 2st'!$Q$2:$Q$317,$A24,'Данные 2st'!$KW$2:$KW$317),"")</f>
        <v>1.05</v>
      </c>
      <c r="PT24" s="7">
        <f>IFERROR(AVERAGEIF('Данные 2st'!$Q$2:$Q$317,$A24,'Данные 2st'!$KX$2:$KX$317),"")</f>
        <v>2</v>
      </c>
      <c r="PU24" s="7">
        <f>IFERROR(AVERAGEIF('Данные 2st'!$Q$2:$Q$317,$A24,'Данные 2st'!$KY$2:$KY$317),"")</f>
        <v>0</v>
      </c>
      <c r="PV24" s="7">
        <f>IFERROR(AVERAGEIF('Данные 2st'!$Q$2:$Q$317,$A24,'Данные 2st'!$KZ$2:$KZ$317),"")</f>
        <v>0</v>
      </c>
      <c r="PW24" s="7">
        <f>IFERROR(AVERAGEIF('Данные 2st'!$Q$2:$Q$317,$A24,'Данные 2st'!$LA$2:$LA$317),"")</f>
        <v>0</v>
      </c>
      <c r="PX24" s="7">
        <f>IFERROR(AVERAGEIF('Данные 2st'!$Q$2:$Q$317,$A24,'Данные 2st'!$LB$2:$LB$317),"")</f>
        <v>0</v>
      </c>
      <c r="PY24" s="7">
        <f>IFERROR(AVERAGEIF('Данные 2st'!$Q$2:$Q$317,$A24,'Данные 2st'!$LC$2:$LC$317),"")</f>
        <v>0</v>
      </c>
      <c r="PZ24" s="7">
        <f>IFERROR(AVERAGEIF('Данные 2st'!$Q$2:$Q$317,$A24,'Данные 2st'!$LD$2:$LD$317),"")</f>
        <v>0</v>
      </c>
      <c r="QA24" s="7">
        <f>IFERROR(AVERAGEIF('Данные 2st'!$Q$2:$Q$317,$A24,'Данные 2st'!$LE$2:$LE$317),"")</f>
        <v>0</v>
      </c>
      <c r="QB24" s="7">
        <f>IFERROR(AVERAGEIF('Данные 2st'!$Q$2:$Q$317,$A24,'Данные 2st'!$LF$2:$LF$317),"")</f>
        <v>0</v>
      </c>
      <c r="QC24" s="7">
        <f>IFERROR(AVERAGEIF('Данные 2st'!$Q$2:$Q$317,$A24,'Данные 2st'!$LG$2:$LG$317),"")</f>
        <v>0</v>
      </c>
      <c r="QD24" s="7">
        <f>IFERROR(AVERAGEIF('Данные 2st'!$Q$2:$Q$317,$A24,'Данные 2st'!$LH$2:$LH$317),"")</f>
        <v>2.75</v>
      </c>
      <c r="QE24" s="7">
        <f>IFERROR(AVERAGEIF('Данные 2st'!$Q$2:$Q$317,$A24,'Данные 2st'!$LJ$2:$LJ$317),"")</f>
        <v>0</v>
      </c>
      <c r="QF24" s="7">
        <f>IFERROR(AVERAGEIF('Данные 2st'!$Q$2:$Q$317,$A24,'Данные 2st'!$LK$2:$LK$317),"")</f>
        <v>4.375</v>
      </c>
      <c r="QG24" s="7">
        <f>IFERROR(AVERAGEIF('Данные 2st'!$Q$2:$Q$317,$A24,'Данные 2st'!$LL$2:$LL$317),"")</f>
        <v>6.25</v>
      </c>
      <c r="QH24" s="7">
        <f>IFERROR(AVERAGEIF('Данные 2st'!$Q$2:$Q$317,$A24,'Данные 2st'!$LM$2:$LM$317),"")</f>
        <v>5.5</v>
      </c>
      <c r="QI24" s="7">
        <f>IFERROR(AVERAGEIF('Данные 2st'!$Q$2:$Q$317,$A24,'Данные 2st'!$LN$2:$LN$317),"")</f>
        <v>0.475</v>
      </c>
      <c r="QJ24" s="7">
        <f>IFERROR(AVERAGEIF('Данные 2st'!$Q$2:$Q$317,$A24,'Данные 2st'!$LO$2:$LO$317),"")</f>
        <v>1.1</v>
      </c>
      <c r="QK24" s="7">
        <f>IFERROR(AVERAGEIF('Данные 2st'!$Q$2:$Q$317,$A24,'Данные 2st'!$LP$2:$LP$317),"")</f>
        <v>0</v>
      </c>
      <c r="QL24" s="7">
        <f>IFERROR(AVERAGEIF('Данные 2st'!$Q$2:$Q$317,$A24,'Данные 2st'!$LQ$2:$LQ$317),"")</f>
        <v>0</v>
      </c>
      <c r="QM24" s="7">
        <f>IFERROR(AVERAGEIF('Данные 2st'!$Q$2:$Q$317,$A24,'Данные 2st'!$LW$2:$LW$317),"")</f>
        <v>1.6</v>
      </c>
      <c r="QN24" s="7">
        <f>IFERROR(AVERAGEIF('Данные 2st'!$Q$2:$Q$317,$A24,'Данные 2st'!$LX$2:$LX$317),"")</f>
        <v>1.6</v>
      </c>
      <c r="QO24" s="7">
        <f>IFERROR(AVERAGEIF('Данные 2st'!$Q$2:$Q$317,$A24,'Данные 2st'!$LY$2:$LY$317),"")</f>
        <v>1.825</v>
      </c>
      <c r="QP24" s="7">
        <f>IFERROR(AVERAGEIF('Данные 2st'!$Q$2:$Q$317,$A24,'Данные 2st'!$LZ$2:$LZ$317),"")</f>
        <v>1.825</v>
      </c>
      <c r="QQ24" s="7">
        <f>IFERROR(AVERAGEIF('Данные 2st'!$Q$2:$Q$317,$A24,'Данные 2st'!$MB$2:$MB$317),"")</f>
        <v>4.25</v>
      </c>
      <c r="QR24" s="7">
        <f>IFERROR(AVERAGEIF('Данные 2st'!$Q$2:$Q$317,$A24,'Данные 2st'!$MG$2:$MG$317),"")</f>
        <v>0</v>
      </c>
      <c r="QS24" s="7">
        <f>IFERROR(AVERAGEIF('Данные 2st'!$Q$2:$Q$317,$A24,'Данные 2st'!$MH$2:$MH$317),"")</f>
        <v>0</v>
      </c>
      <c r="QT24" s="7">
        <f>IFERROR(AVERAGEIF('Данные 2st'!$Q$2:$Q$317,$A24,'Данные 2st'!$MI$2:$MI$317),"")</f>
        <v>0</v>
      </c>
      <c r="QU24" s="7">
        <f>IFERROR(AVERAGEIF('Данные 2st'!$Q$2:$Q$317,$A24,'Данные 2st'!$MJ$2:$MJ$317),"")</f>
        <v>0</v>
      </c>
      <c r="QV24" s="7">
        <f>IFERROR(AVERAGEIF('Данные 2st'!$Q$2:$Q$317,$A24,'Данные 2st'!$MK$2:$MK$317),"")</f>
        <v>0</v>
      </c>
      <c r="QW24" s="7">
        <f>IFERROR(AVERAGEIF('Данные 2st'!$Q$2:$Q$317,$A24,'Данные 2st'!$MM$2:$MM$317),"")</f>
        <v>390</v>
      </c>
      <c r="QX24" s="7">
        <f>IFERROR(AVERAGEIF('Данные 2st'!$Q$2:$Q$317,$A24,'Данные 2st'!$MQ$2:$MQ$317),"")</f>
        <v/>
      </c>
      <c r="QY24" s="7">
        <f>IFERROR(AVERAGEIF('Данные 2st'!$Q$2:$Q$317,$A24,'Данные 2st'!$MR$2:$MR$317),"")</f>
        <v/>
      </c>
      <c r="QZ24" s="7">
        <f>IFERROR(AVERAGEIF('Данные 2st'!$Q$2:$Q$317,$A24,'Данные 2st'!$MS$2:$MS$317),"")</f>
        <v/>
      </c>
      <c r="RA24" s="7">
        <f>IFERROR(AVERAGEIF('Данные 2st'!$Q$2:$Q$317,$A24,'Данные 2st'!$MT$2:$MT$317),"")</f>
        <v/>
      </c>
      <c r="RB24" s="7">
        <f>IFERROR(AVERAGEIF('Данные 2st'!$Q$2:$Q$317,$A24,'Данные 2st'!$MU$2:$MU$317),"")</f>
        <v/>
      </c>
      <c r="RC24" s="7">
        <f>IFERROR(AVERAGEIF('Данные 2st'!$Q$2:$Q$317,$A24,'Данные 2st'!$MV$2:$MV$317),"")</f>
        <v/>
      </c>
      <c r="RD24" s="7">
        <f>IFERROR(AVERAGEIF('Данные 2st'!$Q$2:$Q$317,$A24,'Данные 2st'!$MW$2:$MW$317),"")</f>
        <v/>
      </c>
      <c r="RE24" s="7">
        <f>IFERROR(AVERAGEIF('Данные 2st'!$Q$2:$Q$317,$A24,'Данные 2st'!$MX$2:$MX$317),"")</f>
        <v/>
      </c>
      <c r="RF24" s="7">
        <f>IFERROR(AVERAGEIF('Данные 2st'!$Q$2:$Q$317,$A24,'Данные 2st'!$MY$2:$MY$317),"")</f>
        <v/>
      </c>
      <c r="RG24" s="7">
        <f>IFERROR(AVERAGEIF('Данные 2st'!$Q$2:$Q$317,$A24,'Данные 2st'!$MZ$2:$MZ$317),"")</f>
        <v/>
      </c>
      <c r="RH24" s="7">
        <f>IFERROR(AVERAGEIF('Данные 2st'!$Q$2:$Q$317,$A24,'Данные 2st'!$NA$2:$NA$317),"")</f>
        <v/>
      </c>
      <c r="RI24" s="7">
        <f>IFERROR(AVERAGEIF('Данные 2st'!$Q$2:$Q$317,$A24,'Данные 2st'!$NB$2:$NB$317),"")</f>
        <v/>
      </c>
      <c r="RJ24" s="7">
        <f>IFERROR(AVERAGEIF('Данные 2st'!$Q$2:$Q$317,$A24,'Данные 2st'!$NC$2:$NC$317),"")</f>
        <v/>
      </c>
      <c r="RK24" s="7">
        <f>IFERROR(AVERAGEIF('Данные 2st'!$Q$2:$Q$317,$A24,'Данные 2st'!$ND$2:$ND$317),"")</f>
        <v/>
      </c>
      <c r="RL24" s="7">
        <f>IFERROR(AVERAGEIF('Данные 2st'!$Q$2:$Q$317,$A24,'Данные 2st'!$NE$2:$NE$317),"")</f>
        <v/>
      </c>
      <c r="RM24" s="7">
        <f>IFERROR(AVERAGEIF('Данные 2st'!$Q$2:$Q$317,$A24,'Данные 2st'!$NF$2:$NF$317),"")</f>
        <v/>
      </c>
      <c r="RN24" s="7">
        <f>IFERROR(AVERAGEIF('Данные 2st'!$Q$2:$Q$317,$A24,'Данные 2st'!$NG$2:$NG$317),"")</f>
        <v/>
      </c>
      <c r="RO24" s="7">
        <f>IFERROR(AVERAGEIF('Данные 2st'!$Q$2:$Q$317,$A24,'Данные 2st'!$NH$2:$NH$317),"")</f>
        <v>0</v>
      </c>
      <c r="RP24" s="7">
        <f>IFERROR(AVERAGEIF('Данные 2st'!$Q$2:$Q$317,$A24,'Данные 2st'!$NJ$2:$NJ$317),"")</f>
        <v>0</v>
      </c>
      <c r="RQ24" s="7">
        <f>IFERROR(AVERAGEIF('Данные 2st'!$Q$2:$Q$317,$A24,'Данные 2st'!$NK$2:$NK$317),"")</f>
        <v>0</v>
      </c>
      <c r="RR24" s="7">
        <f>IFERROR(AVERAGEIF('Данные 2st'!$Q$2:$Q$317,$A24,'Данные 2st'!$NM$2:$NM$317),"")</f>
        <v>0</v>
      </c>
      <c r="RS24" s="7">
        <f>IFERROR(AVERAGEIF('Данные 2st'!$Q$2:$Q$317,$A24,'Данные 2st'!$NN$2:$NN$317),"")</f>
        <v/>
      </c>
      <c r="RT24" s="7">
        <f>IFERROR(AVERAGEIF('Данные 2st'!$Q$2:$Q$317,$A24,'Данные 2st'!$NO$2:$NO$317),"")</f>
        <v/>
      </c>
      <c r="RU24" s="7">
        <f>IFERROR(AVERAGEIF('Данные 2st'!$Q$2:$Q$317,$A24,'Данные 2st'!$NP$2:$NP$317),"")</f>
        <v/>
      </c>
      <c r="RV24" s="7">
        <f>IFERROR(AVERAGEIF('Данные 2st'!$Q$2:$Q$317,$A24,'Данные 2st'!$NQ$2:$NQ$317),"")</f>
        <v/>
      </c>
      <c r="RW24" s="7">
        <f>IFERROR(AVERAGEIF('Данные 2st'!$Q$2:$Q$317,$A24,'Данные 2st'!$NR$2:$NR$317),"")</f>
        <v/>
      </c>
      <c r="RX24" s="7">
        <f>IFERROR(AVERAGEIF('Данные 2st'!$Q$2:$Q$317,$A24,'Данные 2st'!$NS$2:$NS$317),"")</f>
        <v/>
      </c>
      <c r="RY24" s="7">
        <f>IFERROR(AVERAGEIF('Данные 2st'!$Q$2:$Q$317,$A24,'Данные 2st'!$NT$2:$NT$317),"")</f>
        <v/>
      </c>
      <c r="RZ24" s="7">
        <f>IFERROR(AVERAGEIF('Данные 2st'!$Q$2:$Q$317,$A24,'Данные 2st'!$OK$2:$OK$317),"")</f>
        <v>61</v>
      </c>
      <c r="SA24" s="7">
        <f>IFERROR(AVERAGEIF('Данные 2st'!$Q$2:$Q$317,$A24,'Данные 2st'!$OL$2:$OL$317),"")</f>
        <v>61</v>
      </c>
      <c r="SB24" s="7">
        <f>IFERROR(AVERAGEIF('Данные 2st'!$Q$2:$Q$317,$A24,'Данные 2st'!$ON$2:$ON$317),"")</f>
        <v>1</v>
      </c>
      <c r="SC24" s="7">
        <f>IFERROR(AVERAGEIF('Данные 2st'!$Q$2:$Q$317,$A24,'Данные 2st'!$OO$2:$OO$317),"")</f>
        <v>2027</v>
      </c>
      <c r="SD24" s="7">
        <f>IFERROR(AVERAGEIF('Данные 2st'!$Q$2:$Q$317,$A24,'Данные 2st'!$OP$2:$OP$317),"")</f>
        <v>61</v>
      </c>
      <c r="SE24" s="7">
        <f>IFERROR(AVERAGEIF('Данные 2st'!$Q$2:$Q$317,$A24,'Данные 2st'!$OQ$2:$OQ$317),"")</f>
        <v>61</v>
      </c>
      <c r="SF24" s="7">
        <f>IFERROR(AVERAGEIF('Данные 2st'!$Q$2:$Q$317,$A24,'Данные 2st'!$OS$2:$OS$317),"")</f>
        <v>1</v>
      </c>
      <c r="SG24" s="7">
        <f>IFERROR(AVERAGEIF('Данные 2st'!$Q$2:$Q$317,$A24,'Данные 2st'!$OT$2:$OT$317),"")</f>
        <v>2039</v>
      </c>
      <c r="SH24" s="7">
        <f>IFERROR(AVERAGEIF('Данные 2st'!$Q$2:$Q$317,$A24,'Данные 2st'!$OU$2:$OU$317),"")</f>
        <v>65</v>
      </c>
      <c r="SI24" s="7">
        <f>IFERROR(AVERAGEIF('Данные 2st'!$Q$2:$Q$317,$A24,'Данные 2st'!$OV$2:$OV$317),"")</f>
        <v>65</v>
      </c>
      <c r="SJ24" s="7">
        <f>IFERROR(AVERAGEIF('Данные 2st'!$Q$2:$Q$317,$A24,'Данные 2st'!$OX$2:$OX$317),"")</f>
        <v>1.75</v>
      </c>
      <c r="SK24" s="7">
        <f>IFERROR(AVERAGEIF('Данные 2st'!$Q$2:$Q$317,$A24,'Данные 2st'!$OY$2:$OY$317),"")</f>
        <v>40620.75</v>
      </c>
      <c r="SL24" s="7">
        <f>IFERROR(AVERAGEIF('Данные 2st'!$Q$2:$Q$317,$A24,'Данные 2st'!$OZ$2:$OZ$317),"")</f>
        <v>51</v>
      </c>
      <c r="SM24" s="7">
        <f>IFERROR(AVERAGEIF('Данные 2st'!$Q$2:$Q$317,$A24,'Данные 2st'!$PA$2:$PA$317),"")</f>
        <v>51.5</v>
      </c>
      <c r="SN24" s="7">
        <f>IFERROR(AVERAGEIF('Данные 2st'!$Q$2:$Q$317,$A24,'Данные 2st'!$PC$2:$PC$317),"")</f>
        <v>1.75</v>
      </c>
      <c r="SO24" s="7">
        <f>IFERROR(AVERAGEIF('Данные 2st'!$Q$2:$Q$317,$A24,'Данные 2st'!$PD$2:$PD$317),"")</f>
        <v>2070.75</v>
      </c>
      <c r="SP24" s="7">
        <f>IFERROR(AVERAGEIF('Данные 2st'!$Q$2:$Q$317,$A24,'Данные 2st'!$PF$2:$PF$317),"")</f>
        <v>409</v>
      </c>
      <c r="SQ24" s="7">
        <f>IFERROR(AVERAGEIF('Данные 2st'!$Q$2:$Q$317,$A24,'Данные 2st'!$PG$2:$PG$317),"")</f>
        <v>35</v>
      </c>
      <c r="SR24" s="7">
        <f>IFERROR(AVERAGEIF('Данные 2st'!$Q$2:$Q$317,$A24,'Данные 2st'!$PH$2:$PH$317),"")</f>
        <v>387.25</v>
      </c>
      <c r="SS24" s="7">
        <f>IFERROR(AVERAGEIF('Данные 2st'!$Q$2:$Q$317,$A24,'Данные 2st'!$PI$2:$PI$317),"")</f>
        <v>0</v>
      </c>
      <c r="ST24" s="7">
        <f>IFERROR(AVERAGEIF('Данные 2st'!$Q$2:$Q$317,$A24,'Данные 2st'!$PJ$2:$PJ$317),"")</f>
        <v>71.0</v>
      </c>
      <c r="SU24" s="7">
        <f>IFERROR(AVERAGEIF('Данные 2st'!$Q$2:$Q$317,$A24,'Данные 2st'!$PK$2:$PK$317),"")</f>
        <v>1982</v>
      </c>
      <c r="SV24" s="7">
        <f>IFERROR(AVERAGEIF('Данные 2st'!$Q$2:$Q$317,$A24,'Данные 2st'!$PL$2:$PL$317),"")</f>
        <v>1127.175</v>
      </c>
      <c r="SW24" s="7">
        <f>IFERROR(AVERAGEIF('Данные 2st'!$Q$2:$Q$317,$A24,'Данные 2st'!$PM$2:$PM$317),"")</f>
        <v>673.475</v>
      </c>
      <c r="SX24" s="7">
        <f>IFERROR(AVERAGEIF('Данные 2st'!$Q$2:$Q$317,$A24,'Данные 2st'!$PN$2:$PN$317),"")</f>
        <v>95.2</v>
      </c>
      <c r="SY24" s="7">
        <f>IFERROR(AVERAGEIF('Данные 2st'!$Q$2:$Q$317,$A24,'Данные 2st'!$PO$2:$PO$317),"")</f>
        <v>9.5</v>
      </c>
      <c r="SZ24" s="7">
        <f>IFERROR(AVERAGEIF('Данные 2st'!$Q$2:$Q$317,$A24,'Данные 2st'!$PP$2:$PP$317),"")</f>
        <v>12</v>
      </c>
      <c r="TA24" s="7">
        <f>IFERROR(AVERAGEIF('Данные 2st'!$Q$2:$Q$317,$A24,'Данные 2st'!$PQ$2:$PQ$317),"")</f>
        <v>3</v>
      </c>
      <c r="TB24" s="7">
        <f>IFERROR(AVERAGEIF('Данные 2st'!$Q$2:$Q$317,$A24,'Данные 2st'!$PR$2:$PR$317),"")</f>
        <v>3</v>
      </c>
      <c r="TC24" s="7">
        <f>IFERROR(AVERAGEIF('Данные 2st'!$Q$2:$Q$317,$A24,'Данные 2st'!$PS$2:$PS$317),"")</f>
        <v>0</v>
      </c>
      <c r="TD24" s="7">
        <f>IFERROR(AVERAGEIF('Данные 2st'!$Q$2:$Q$317,$A24,'Данные 2st'!$PT$2:$PT$317),"")</f>
        <v>230.5</v>
      </c>
      <c r="TE24" s="7">
        <f>IFERROR(AVERAGEIF('Данные 2st'!$Q$2:$Q$317,$A24,'Данные 2st'!$PU$2:$PU$317),"")</f>
        <v>10.25</v>
      </c>
      <c r="TF24" s="7">
        <f>IFERROR(AVERAGEIF('Данные 2st'!$Q$2:$Q$317,$A24,'Данные 2st'!$PX$2:$PX$317),"")</f>
        <v>0</v>
      </c>
      <c r="TG24" s="7">
        <f>IFERROR(AVERAGEIF('Данные 2st'!$Q$2:$Q$317,$A24,'Данные 2st'!$PY$2:$PY$317),"")</f>
        <v>0</v>
      </c>
      <c r="TH24" s="7">
        <f>IFERROR(AVERAGEIF('Данные 2st'!$Q$2:$Q$317,$A24,'Данные 2st'!$PZ$2:$PZ$317),"")</f>
        <v>0</v>
      </c>
      <c r="TI24" s="7">
        <f>IFERROR(AVERAGEIF('Данные 2st'!$Q$2:$Q$317,$A24,'Данные 2st'!$QA$2:$QA$317),"")</f>
        <v>0</v>
      </c>
      <c r="TJ24" s="7">
        <f>IFERROR(AVERAGEIF('Данные 2st'!$Q$2:$Q$317,$A24,'Данные 2st'!$QB$2:$QB$317),"")</f>
        <v>0</v>
      </c>
      <c r="TK24" s="7">
        <f>IFERROR(AVERAGEIF('Данные 2st'!$Q$2:$Q$317,$A24,'Данные 2st'!$QC$2:$QC$317),"")</f>
        <v>0</v>
      </c>
      <c r="TL24" s="7">
        <f>IFERROR(AVERAGEIF('Данные 2st'!$Q$2:$Q$317,$A24,'Данные 2st'!$QD$2:$QD$317),"")</f>
        <v>0</v>
      </c>
      <c r="TM24" s="7">
        <f>IFERROR(AVERAGEIF('Данные 2st'!$Q$2:$Q$317,$A24,'Данные 2st'!$QE$2:$QE$317),"")</f>
        <v>-1</v>
      </c>
      <c r="TN24" s="7">
        <f>IFERROR(AVERAGEIF('Данные 2st'!$Q$2:$Q$317,$A24,'Данные 2st'!$QF$2:$QF$317),"")</f>
        <v>1</v>
      </c>
      <c r="TO24" s="7">
        <f>IFERROR(AVERAGEIF('Данные 2st'!$Q$2:$Q$317,$A24,'Данные 2st'!$QG$2:$QG$317),"")</f>
        <v>0</v>
      </c>
      <c r="TP24" s="7">
        <f>IFERROR(AVERAGEIF('Данные 2st'!$Q$2:$Q$317,$A24,'Данные 2st'!$QH$2:$QH$317),"")</f>
        <v>5</v>
      </c>
      <c r="TQ24" s="7">
        <f>IFERROR(AVERAGEIF('Данные 2st'!$Q$2:$Q$317,$A24,'Данные 2st'!$QI$2:$QI$317),"")</f>
        <v>5</v>
      </c>
      <c r="TR24" s="7">
        <f>IFERROR(AVERAGEIF('Данные 2st'!$Q$2:$Q$317,$A24,'Данные 2st'!$QJ$2:$QJ$317),"")</f>
        <v>5</v>
      </c>
      <c r="TS24" s="7">
        <f>IFERROR(AVERAGEIF('Данные 2st'!$Q$2:$Q$317,$A24,'Данные 2st'!$QK$2:$QK$317),"")</f>
        <v>177</v>
      </c>
      <c r="TT24" s="7">
        <f>IFERROR(AVERAGEIF('Данные 2st'!$Q$2:$Q$317,$A24,'Данные 2st'!$QL$2:$QL$317),"")</f>
        <v>399</v>
      </c>
      <c r="TU24" s="7">
        <f>IFERROR(AVERAGEIF('Данные 2st'!$Q$2:$Q$317,$A24,'Данные 2st'!$QM$2:$QM$317),"")</f>
        <v>7.5</v>
      </c>
      <c r="TV24" s="7">
        <f>IFERROR(AVERAGEIF('Данные 2st'!$Q$2:$Q$317,$A24,'Данные 2st'!$QN$2:$QN$317),"")</f>
        <v>1461.8999999999999</v>
      </c>
      <c r="TW24" s="7">
        <f>IFERROR(AVERAGEIF('Данные 2st'!$Q$2:$Q$317,$A24,'Данные 2st'!$QQ$2:$QQ$317),"")</f>
        <v>0</v>
      </c>
      <c r="TX24" s="7">
        <f>IFERROR(AVERAGEIF('Данные 2st'!$Q$2:$Q$317,$A24,'Данные 2st'!$QS$2:$QS$317),"")</f>
        <v>30</v>
      </c>
      <c r="TY24" s="7">
        <f>IFERROR(AVERAGEIF('Данные 2st'!$Q$2:$Q$317,$A24,'Данные 2st'!$QT$2:$QT$317),"")</f>
        <v>40</v>
      </c>
    </row>
    <row r="25" spans="1:545" ht="32" customHeight="1">
      <c r="A25" s="11" t="s">
        <v>1853</v>
      </c>
      <c r="B25">
        <f>COUNTIF('Данные 1st'!$S$2:$S$317,$A25)</f>
        <v>5</v>
      </c>
      <c r="C25" s="6" t="s">
        <v>5093</v>
      </c>
      <c r="D25" s="6" t="s">
        <v>513</v>
      </c>
      <c r="E25" s="6" t="s">
        <v>5125</v>
      </c>
      <c r="F25" s="6" t="s">
        <v>5147</v>
      </c>
      <c r="G25" s="7">
        <f>IFERROR(AVERAGEIF('Данные 1st'!$S$2:$S$317,$A25,'Данные 1st'!$AE$2:$AE$317),"")</f>
        <v>188</v>
      </c>
      <c r="H25" s="7">
        <f>IFERROR(AVERAGEIF('Данные 1st'!$S$2:$S$317,$A25,'Данные 1st'!$AF$2:$AF$317),"")</f>
        <v>1.5</v>
      </c>
      <c r="I25" s="7">
        <f>IFERROR(AVERAGEIF('Данные 1st'!$S$2:$S$317,$A25,'Данные 1st'!$AJ$2:$AJ$317),"")</f>
        <v>198.5</v>
      </c>
      <c r="J25" s="7">
        <f>IFERROR(AVERAGEIF('Данные 1st'!$S$2:$S$317,$A25,'Данные 1st'!$AL$2:$AL$317),"")</f>
        <v>1.5</v>
      </c>
      <c r="K25" s="7">
        <f>IFERROR(AVERAGEIF('Данные 1st'!$S$2:$S$317,$A25,'Данные 1st'!$AR$2:$AR$317),"")</f>
        <v>0</v>
      </c>
      <c r="L25" s="7">
        <f>IFERROR(AVERAGEIF('Данные 1st'!$S$2:$S$317,$A25,'Данные 1st'!$AS$2:$AS$317),"")</f>
        <v>1.5</v>
      </c>
      <c r="M25" s="7">
        <f>IFERROR(AVERAGEIF('Данные 1st'!$S$2:$S$317,$A25,'Данные 1st'!$AY$2:$AY$317),"")</f>
        <v>297.5</v>
      </c>
      <c r="N25" s="7">
        <f>IFERROR(AVERAGEIF('Данные 1st'!$S$2:$S$317,$A25,'Данные 1st'!$AZ$2:$AZ$317),"")</f>
        <v>1.5</v>
      </c>
      <c r="O25" s="7">
        <f>IFERROR(AVERAGEIF('Данные 1st'!$S$2:$S$317,$A25,'Данные 1st'!$BF$2:$BF$317),"")</f>
        <v>232.5</v>
      </c>
      <c r="P25" s="7">
        <f>IFERROR(AVERAGEIF('Данные 1st'!$S$2:$S$317,$A25,'Данные 1st'!$BG$2:$BG$317),"")</f>
        <v>1.5</v>
      </c>
      <c r="Q25" s="7">
        <f>IFERROR(AVERAGEIF('Данные 1st'!$S$2:$S$317,$A25,'Данные 1st'!$BM$2:$BM$317),"")</f>
        <v/>
      </c>
      <c r="R25" s="7">
        <f>IFERROR(AVERAGEIF('Данные 1st'!$S$2:$S$317,$A25,'Данные 1st'!$BN$2:$BN$317),"")</f>
        <v>1.5</v>
      </c>
      <c r="S25" s="7">
        <f>IFERROR(AVERAGEIF('Данные 1st'!$S$2:$S$317,$A25,'Данные 1st'!$BT$2:$BT$317),"")</f>
        <v>210.4</v>
      </c>
      <c r="T25" s="7">
        <f>IFERROR(AVERAGEIF('Данные 1st'!$S$2:$S$317,$A25,'Данные 1st'!$BU$2:$BU$317),"")</f>
        <v>0.5</v>
      </c>
      <c r="U25" s="7">
        <f>IFERROR(AVERAGEIF('Данные 1st'!$S$2:$S$317,$A25,'Данные 1st'!$BW$2:$BW$317),"")</f>
        <v>420.8</v>
      </c>
      <c r="V25" s="7">
        <f>IFERROR(AVERAGEIF('Данные 1st'!$S$2:$S$317,$A25,'Данные 1st'!$BX$2:$BX$317),"")</f>
        <v>1</v>
      </c>
      <c r="W25" s="7">
        <f>IFERROR(AVERAGEIF('Данные 1st'!$S$2:$S$317,$A25,'Данные 1st'!$BZ$2:$BZ$317),"")</f>
        <v>368</v>
      </c>
      <c r="X25" s="7">
        <f>IFERROR(AVERAGEIF('Данные 1st'!$S$2:$S$317,$A25,'Данные 1st'!$CA$2:$CA$317),"")</f>
        <v>528</v>
      </c>
      <c r="Y25" s="7">
        <f>IFERROR(AVERAGEIF('Данные 1st'!$S$2:$S$317,$A25,'Данные 1st'!$CD$2:$CD$317),"")</f>
        <v>436.8</v>
      </c>
      <c r="Z25" s="7">
        <f>IFERROR(AVERAGEIF('Данные 1st'!$S$2:$S$317,$A25,'Данные 1st'!$CF$2:$CF$317),"")</f>
        <v>15</v>
      </c>
      <c r="AA25" s="7">
        <f>IFERROR(AVERAGEIF('Данные 1st'!$S$2:$S$317,$A25,'Данные 1st'!$CI$2:$CI$317),"")</f>
        <v>80</v>
      </c>
      <c r="AB25" s="7">
        <f>IFERROR(AVERAGEIF('Данные 1st'!$S$2:$S$317,$A25,'Данные 1st'!$CJ$2:$CJ$317),"")</f>
        <v>1200</v>
      </c>
      <c r="AC25" s="7">
        <f>IFERROR(AVERAGEIF('Данные 1st'!$S$2:$S$317,$A25,'Данные 1st'!$CK$2:$CK$317),"")</f>
        <v>2</v>
      </c>
      <c r="AD25" s="7">
        <f>IFERROR(AVERAGEIF('Данные 1st'!$S$2:$S$317,$A25,'Данные 1st'!$CL$2:$CL$317),"")</f>
        <v>1301</v>
      </c>
      <c r="AE25" s="7">
        <f>IFERROR(AVERAGEIF('Данные 1st'!$S$2:$S$317,$A25,'Данные 1st'!$CM$2:$CM$317),"")</f>
        <v>2</v>
      </c>
      <c r="AF25" s="7">
        <f>IFERROR(AVERAGEIF('Данные 1st'!$S$2:$S$317,$A25,'Данные 1st'!$CT$2:$CT$317),"")</f>
        <v>397</v>
      </c>
      <c r="AG25" s="7">
        <f>IFERROR(AVERAGEIF('Данные 1st'!$S$2:$S$317,$A25,'Данные 1st'!$CU$2:$CU$317),"")</f>
        <v>5</v>
      </c>
      <c r="AH25" s="7">
        <f>IFERROR(AVERAGEIF('Данные 1st'!$S$2:$S$317,$A25,'Данные 1st'!$CV$2:$CV$317),"")</f>
        <v>1.2</v>
      </c>
      <c r="AI25" s="7">
        <f>IFERROR(AVERAGEIF('Данные 1st'!$S$2:$S$317,$A25,'Данные 1st'!$CW$2:$CW$317),"")</f>
        <v>1213</v>
      </c>
      <c r="AJ25" s="7">
        <f>IFERROR(AVERAGEIF('Данные 1st'!$S$2:$S$317,$A25,'Данные 1st'!$CX$2:$CX$317),"")</f>
        <v>682.4</v>
      </c>
      <c r="AK25" s="7">
        <f>IFERROR(AVERAGEIF('Данные 1st'!$S$2:$S$317,$A25,'Данные 1st'!$CZ$2:$CZ$317),"")</f>
        <v/>
      </c>
      <c r="AL25" s="7">
        <f>IFERROR(AVERAGEIF('Данные 1st'!$S$2:$S$317,$A25,'Данные 1st'!$DA$2:$DA$317),"")</f>
        <v/>
      </c>
      <c r="AM25" s="7">
        <f>IFERROR(AVERAGEIF('Данные 1st'!$S$2:$S$317,$A25,'Данные 1st'!$DB$2:$DB$317),"")</f>
        <v/>
      </c>
      <c r="AN25" s="7">
        <f>IFERROR(AVERAGEIF('Данные 1st'!$S$2:$S$317,$A25,'Данные 1st'!$DC$2:$DC$317),"")</f>
        <v/>
      </c>
      <c r="AO25" s="7">
        <f>IFERROR(AVERAGEIF('Данные 1st'!$S$2:$S$317,$A25,'Данные 1st'!$DD$2:$DD$317),"")</f>
        <v>0</v>
      </c>
      <c r="AP25" s="7">
        <f>IFERROR(AVERAGEIF('Данные 1st'!$S$2:$S$317,$A25,'Данные 1st'!$DF$2:$DF$317),"")</f>
        <v>595</v>
      </c>
      <c r="AQ25" s="7">
        <f>IFERROR(AVERAGEIF('Данные 1st'!$S$2:$S$317,$A25,'Данные 1st'!$DG$2:$DG$317),"")</f>
        <v>3</v>
      </c>
      <c r="AR25" s="7">
        <f>IFERROR(AVERAGEIF('Данные 1st'!$S$2:$S$317,$A25,'Данные 1st'!$DH$2:$DH$317),"")</f>
        <v>1.0</v>
      </c>
      <c r="AS25" s="7">
        <f>IFERROR(AVERAGEIF('Данные 1st'!$S$2:$S$317,$A25,'Данные 1st'!$DI$2:$DI$317),"")</f>
        <v>1210.4</v>
      </c>
      <c r="AT25" s="7">
        <f>IFERROR(AVERAGEIF('Данные 1st'!$S$2:$S$317,$A25,'Данные 1st'!$DJ$2:$DJ$317),"")</f>
        <v>943.2</v>
      </c>
      <c r="AU25" s="7">
        <f>IFERROR(AVERAGEIF('Данные 1st'!$S$2:$S$317,$A25,'Данные 1st'!$DL$2:$DL$317),"")</f>
        <v>465</v>
      </c>
      <c r="AV25" s="7">
        <f>IFERROR(AVERAGEIF('Данные 1st'!$S$2:$S$317,$A25,'Данные 1st'!$DM$2:$DM$317),"")</f>
        <v>3</v>
      </c>
      <c r="AW25" s="7">
        <f>IFERROR(AVERAGEIF('Данные 1st'!$S$2:$S$317,$A25,'Данные 1st'!$DN$2:$DN$317),"")</f>
        <v>0.88</v>
      </c>
      <c r="AX25" s="7">
        <f>IFERROR(AVERAGEIF('Данные 1st'!$S$2:$S$317,$A25,'Данные 1st'!$DO$2:$DO$317),"")</f>
        <v>1216</v>
      </c>
      <c r="AY25" s="7">
        <f>IFERROR(AVERAGEIF('Данные 1st'!$S$2:$S$317,$A25,'Данные 1st'!$DP$2:$DP$317),"")</f>
        <v>632</v>
      </c>
      <c r="AZ25" s="7">
        <f>IFERROR(AVERAGEIF('Данные 1st'!$S$2:$S$317,$A25,'Данные 1st'!$DR$2:$DR$317),"")</f>
        <v/>
      </c>
      <c r="BA25" s="7">
        <f>IFERROR(AVERAGEIF('Данные 1st'!$S$2:$S$317,$A25,'Данные 1st'!$DS$2:$DS$317),"")</f>
        <v/>
      </c>
      <c r="BB25" s="7">
        <f>IFERROR(AVERAGEIF('Данные 1st'!$S$2:$S$317,$A25,'Данные 1st'!$DT$2:$DT$317),"")</f>
        <v/>
      </c>
      <c r="BC25" s="7">
        <f>IFERROR(AVERAGEIF('Данные 1st'!$S$2:$S$317,$A25,'Данные 1st'!$DU$2:$DU$317),"")</f>
        <v/>
      </c>
      <c r="BD25" s="7">
        <f>IFERROR(AVERAGEIF('Данные 1st'!$S$2:$S$317,$A25,'Данные 1st'!$DV$2:$DV$317),"")</f>
        <v/>
      </c>
      <c r="BE25" s="7">
        <f>IFERROR(AVERAGEIF('Данные 1st'!$S$2:$S$317,$A25,'Данные 1st'!$DX$2:$DX$317),"")</f>
        <v>7.5</v>
      </c>
      <c r="BF25" s="7">
        <f>IFERROR(AVERAGEIF('Данные 1st'!$S$2:$S$317,$A25,'Данные 1st'!$EA$2:$EA$317),"")</f>
        <v>1284.42</v>
      </c>
      <c r="BG25" s="7">
        <f>IFERROR(AVERAGEIF('Данные 1st'!$S$2:$S$317,$A25,'Данные 1st'!$EB$2:$EB$317),"")</f>
        <v>230.6</v>
      </c>
      <c r="BH25" s="7">
        <f>IFERROR(AVERAGEIF('Данные 1st'!$S$2:$S$317,$A25,'Данные 1st'!$ED$2:$ED$317),"")</f>
        <v>35</v>
      </c>
      <c r="BI25" s="7">
        <f>IFERROR(AVERAGEIF('Данные 1st'!$S$2:$S$317,$A25,'Данные 1st'!$EE$2:$EE$317),"")</f>
        <v>3</v>
      </c>
      <c r="BJ25" s="7">
        <f>IFERROR(AVERAGEIF('Данные 1st'!$S$2:$S$317,$A25,'Данные 1st'!$EG$2:$EG$317),"")</f>
        <v>1325.4</v>
      </c>
      <c r="BK25" s="7">
        <f>IFERROR(AVERAGEIF('Данные 1st'!$S$2:$S$317,$A25,'Данные 1st'!$EH$2:$EH$317),"")</f>
        <v>184.8</v>
      </c>
      <c r="BL25" s="7">
        <f>IFERROR(AVERAGEIF('Данные 1st'!$S$2:$S$317,$A25,'Данные 1st'!$EJ$2:$EJ$317),"")</f>
        <v>0</v>
      </c>
      <c r="BM25" s="7">
        <f>IFERROR(AVERAGEIF('Данные 1st'!$S$2:$S$317,$A25,'Данные 1st'!$EK$2:$EK$317),"")</f>
        <v>1</v>
      </c>
      <c r="BN25" s="7">
        <f>IFERROR(AVERAGEIF('Данные 1st'!$S$2:$S$317,$A25,'Данные 1st'!$EN$2:$EN$317),"")</f>
        <v>0</v>
      </c>
      <c r="BO25" s="7">
        <f>IFERROR(AVERAGEIF('Данные 1st'!$S$2:$S$317,$A25,'Данные 1st'!$EQ$2:$EQ$317),"")</f>
        <v>114</v>
      </c>
      <c r="BP25" s="7">
        <f>IFERROR(AVERAGEIF('Данные 1st'!$S$2:$S$317,$A25,'Данные 1st'!$ER$2:$ER$317),"")</f>
        <v>3</v>
      </c>
      <c r="BQ25" s="7">
        <f>IFERROR(AVERAGEIF('Данные 1st'!$S$2:$S$317,$A25,'Данные 1st'!$ES$2:$ES$317),"")</f>
        <v>5.28</v>
      </c>
      <c r="BR25" s="7">
        <f>IFERROR(AVERAGEIF('Данные 1st'!$S$2:$S$317,$A25,'Данные 1st'!$ET$2:$ET$317),"")</f>
        <v>1196.4</v>
      </c>
      <c r="BS25" s="7">
        <f>IFERROR(AVERAGEIF('Данные 1st'!$S$2:$S$317,$A25,'Данные 1st'!$EU$2:$EU$317),"")</f>
        <v>471.92</v>
      </c>
      <c r="BT25" s="7">
        <f>IFERROR(AVERAGEIF('Данные 1st'!$S$2:$S$317,$A25,'Данные 1st'!$EV$2:$EV$317),"")</f>
        <v>564.8</v>
      </c>
      <c r="BU25" s="7">
        <f>IFERROR(AVERAGEIF('Данные 1st'!$S$2:$S$317,$A25,'Данные 1st'!$EX$2:$EX$317),"")</f>
        <v>70</v>
      </c>
      <c r="BV25" s="7">
        <f>IFERROR(AVERAGEIF('Данные 1st'!$S$2:$S$317,$A25,'Данные 1st'!$EY$2:$EY$317),"")</f>
        <v>2</v>
      </c>
      <c r="BW25" s="7">
        <f>IFERROR(AVERAGEIF('Данные 1st'!$S$2:$S$317,$A25,'Данные 1st'!$EZ$2:$EZ$317),"")</f>
        <v>4.22</v>
      </c>
      <c r="BX25" s="7">
        <f>IFERROR(AVERAGEIF('Данные 1st'!$S$2:$S$317,$A25,'Данные 1st'!$FA$2:$FA$317),"")</f>
        <v>1196.4</v>
      </c>
      <c r="BY25" s="7">
        <f>IFERROR(AVERAGEIF('Данные 1st'!$S$2:$S$317,$A25,'Данные 1st'!$FB$2:$FB$317),"")</f>
        <v>209.26</v>
      </c>
      <c r="BZ25" s="7">
        <f>IFERROR(AVERAGEIF('Данные 1st'!$S$2:$S$317,$A25,'Данные 1st'!$FC$2:$FC$317),"")</f>
        <v>250.4</v>
      </c>
      <c r="CA25" s="7">
        <f>IFERROR(AVERAGEIF('Данные 1st'!$S$2:$S$317,$A25,'Данные 1st'!$FE$2:$FE$317),"")</f>
        <v>0</v>
      </c>
      <c r="CB25" s="7">
        <f>IFERROR(AVERAGEIF('Данные 1st'!$S$2:$S$317,$A25,'Данные 1st'!$FF$2:$FF$317),"")</f>
        <v>2</v>
      </c>
      <c r="CC25" s="7">
        <f>IFERROR(AVERAGEIF('Данные 1st'!$S$2:$S$317,$A25,'Данные 1st'!$FI$2:$FI$317),"")</f>
        <v>0</v>
      </c>
      <c r="CD25" s="7">
        <f>IFERROR(AVERAGEIF('Данные 1st'!$S$2:$S$317,$A25,'Данные 1st'!$FL$2:$FL$317),"")</f>
        <v>0.4</v>
      </c>
      <c r="CE25" s="7">
        <f>IFERROR(AVERAGEIF('Данные 1st'!$S$2:$S$317,$A25,'Данные 1st'!$FM$2:$FM$317),"")</f>
        <v>99</v>
      </c>
      <c r="CF25" s="7">
        <f>IFERROR(AVERAGEIF('Данные 1st'!$S$2:$S$317,$A25,'Данные 1st'!$FN$2:$FN$317),"")</f>
        <v>126</v>
      </c>
      <c r="CG25" s="7">
        <f>IFERROR(AVERAGEIF('Данные 1st'!$S$2:$S$317,$A25,'Данные 1st'!$FO$2:$FO$317),"")</f>
        <v/>
      </c>
      <c r="CH25" s="7">
        <f>IFERROR(AVERAGEIF('Данные 1st'!$S$2:$S$317,$A25,'Данные 1st'!$FP$2:$FP$317),"")</f>
        <v/>
      </c>
      <c r="CI25" s="7">
        <f>IFERROR(AVERAGEIF('Данные 1st'!$S$2:$S$317,$A25,'Данные 1st'!$FS$2:$FS$317),"")</f>
        <v>0.4</v>
      </c>
      <c r="CJ25" s="7">
        <f>IFERROR(AVERAGEIF('Данные 1st'!$S$2:$S$317,$A25,'Данные 1st'!$FT$2:$FT$317),"")</f>
        <v>30</v>
      </c>
      <c r="CK25" s="7">
        <f>IFERROR(AVERAGEIF('Данные 1st'!$S$2:$S$317,$A25,'Данные 1st'!$FU$2:$FU$317),"")</f>
        <v>333</v>
      </c>
      <c r="CL25" s="7">
        <f>IFERROR(AVERAGEIF('Данные 1st'!$S$2:$S$317,$A25,'Данные 1st'!$FV$2:$FV$317),"")</f>
        <v/>
      </c>
      <c r="CM25" s="7">
        <f>IFERROR(AVERAGEIF('Данные 1st'!$S$2:$S$317,$A25,'Данные 1st'!$FW$2:$FW$317),"")</f>
        <v/>
      </c>
      <c r="CN25" s="7">
        <f>IFERROR(AVERAGEIF('Данные 1st'!$S$2:$S$317,$A25,'Данные 1st'!$FZ$2:$FZ$317),"")</f>
        <v/>
      </c>
      <c r="CO25" s="7">
        <f>IFERROR(AVERAGEIF('Данные 1st'!$S$2:$S$317,$A25,'Данные 1st'!$GA$2:$GA$317),"")</f>
        <v/>
      </c>
      <c r="CP25" s="7">
        <f>IFERROR(AVERAGEIF('Данные 1st'!$S$2:$S$317,$A25,'Данные 1st'!$GB$2:$GB$317),"")</f>
        <v/>
      </c>
      <c r="CQ25" s="7">
        <f>IFERROR(AVERAGEIF('Данные 1st'!$S$2:$S$317,$A25,'Данные 1st'!$GH$2:$GH$317),"")</f>
        <v/>
      </c>
      <c r="CR25" s="7">
        <f>IFERROR(AVERAGEIF('Данные 1st'!$S$2:$S$317,$A25,'Данные 1st'!$GI$2:$GI$317),"")</f>
        <v/>
      </c>
      <c r="CS25" s="7">
        <f>IFERROR(AVERAGEIF('Данные 1st'!$S$2:$S$317,$A25,'Данные 1st'!$GJ$2:$GJ$317),"")</f>
        <v/>
      </c>
      <c r="CT25" s="7">
        <f>IFERROR(AVERAGEIF('Данные 1st'!$S$2:$S$317,$A25,'Данные 1st'!$GS$2:$GS$317),"")</f>
        <v>0.4666666666666667</v>
      </c>
      <c r="CU25" s="7">
        <f>IFERROR(AVERAGEIF('Данные 1st'!$S$2:$S$317,$A25,'Данные 1st'!$GT$2:$GT$317),"")</f>
        <v>30</v>
      </c>
      <c r="CV25" s="7">
        <f>IFERROR(AVERAGEIF('Данные 1st'!$S$2:$S$317,$A25,'Данные 1st'!$GU$2:$GU$317),"")</f>
        <v>383.3333333333333</v>
      </c>
      <c r="CW25" s="7">
        <f>IFERROR(AVERAGEIF('Данные 1st'!$S$2:$S$317,$A25,'Данные 1st'!$GV$2:$GV$317),"")</f>
        <v>30</v>
      </c>
      <c r="CX25" s="7">
        <f>IFERROR(AVERAGEIF('Данные 1st'!$S$2:$S$317,$A25,'Данные 1st'!$GW$2:$GW$317),"")</f>
        <v>243.33333333333334</v>
      </c>
      <c r="CY25" s="7">
        <f>IFERROR(AVERAGEIF('Данные 1st'!$S$2:$S$317,$A25,'Данные 1st'!$GZ$2:$GZ$317),"")</f>
        <v/>
      </c>
      <c r="CZ25" s="7">
        <f>IFERROR(AVERAGEIF('Данные 1st'!$S$2:$S$317,$A25,'Данные 1st'!$HA$2:$HA$317),"")</f>
        <v/>
      </c>
      <c r="DA25" s="7">
        <f>IFERROR(AVERAGEIF('Данные 1st'!$S$2:$S$317,$A25,'Данные 1st'!$HB$2:$HB$317),"")</f>
        <v/>
      </c>
      <c r="DB25" s="7">
        <f>IFERROR(AVERAGEIF('Данные 1st'!$S$2:$S$317,$A25,'Данные 1st'!$HC$2:$HC$317),"")</f>
        <v>0.1</v>
      </c>
      <c r="DC25" s="7">
        <f>IFERROR(AVERAGEIF('Данные 1st'!$S$2:$S$317,$A25,'Данные 1st'!$HD$2:$HD$317),"")</f>
        <v>3</v>
      </c>
      <c r="DD25" s="7">
        <f>IFERROR(AVERAGEIF('Данные 1st'!$S$2:$S$317,$A25,'Данные 1st'!$HE$2:$HE$317),"")</f>
        <v>3</v>
      </c>
      <c r="DE25" s="7">
        <f>IFERROR(AVERAGEIF('Данные 1st'!$S$2:$S$317,$A25,'Данные 1st'!$HF$2:$HF$317),"")</f>
        <v>3</v>
      </c>
      <c r="DF25" s="7">
        <f>IFERROR(AVERAGEIF('Данные 1st'!$S$2:$S$317,$A25,'Данные 1st'!$HG$2:$HG$317),"")</f>
        <v>3</v>
      </c>
      <c r="DG25" s="7">
        <f>IFERROR(AVERAGEIF('Данные 1st'!$S$2:$S$317,$A25,'Данные 1st'!$HH$2:$HH$317),"")</f>
        <v>3</v>
      </c>
      <c r="DH25" s="7">
        <f>IFERROR(AVERAGEIF('Данные 1st'!$S$2:$S$317,$A25,'Данные 1st'!$HI$2:$HI$317),"")</f>
        <v>169</v>
      </c>
      <c r="DI25" s="7">
        <f>IFERROR(AVERAGEIF('Данные 1st'!$S$2:$S$317,$A25,'Данные 1st'!$HJ$2:$HJ$317),"")</f>
        <v>3</v>
      </c>
      <c r="DJ25" s="7">
        <f>IFERROR(AVERAGEIF('Данные 1st'!$S$2:$S$317,$A25,'Данные 1st'!$HK$2:$HK$317),"")</f>
        <v>55</v>
      </c>
      <c r="DK25" s="7">
        <f>IFERROR(AVERAGEIF('Данные 1st'!$S$2:$S$317,$A25,'Данные 1st'!$HL$2:$HL$317),"")</f>
        <v>2</v>
      </c>
      <c r="DL25" s="7">
        <f>IFERROR(AVERAGEIF('Данные 1st'!$S$2:$S$317,$A25,'Данные 1st'!$HM$2:$HM$317),"")</f>
        <v>0</v>
      </c>
      <c r="DM25" s="7">
        <f>IFERROR(AVERAGEIF('Данные 1st'!$S$2:$S$317,$A25,'Данные 1st'!$HN$2:$HN$317),"")</f>
        <v>2</v>
      </c>
      <c r="DN25" s="7">
        <f>IFERROR(AVERAGEIF('Данные 1st'!$S$2:$S$317,$A25,'Данные 1st'!$HO$2:$HO$317),"")</f>
        <v>99</v>
      </c>
      <c r="DO25" s="7">
        <f>IFERROR(AVERAGEIF('Данные 1st'!$S$2:$S$317,$A25,'Данные 1st'!$HP$2:$HP$317),"")</f>
        <v>3</v>
      </c>
      <c r="DP25" s="7">
        <f>IFERROR(AVERAGEIF('Данные 1st'!$S$2:$S$317,$A25,'Данные 1st'!$HQ$2:$HQ$317),"")</f>
        <v>0</v>
      </c>
      <c r="DQ25" s="7">
        <f>IFERROR(AVERAGEIF('Данные 1st'!$S$2:$S$317,$A25,'Данные 1st'!$HR$2:$HR$317),"")</f>
        <v>2</v>
      </c>
      <c r="DR25" s="7">
        <f>IFERROR(AVERAGEIF('Данные 1st'!$S$2:$S$317,$A25,'Данные 1st'!$HS$2:$HS$317),"")</f>
        <v>4466</v>
      </c>
      <c r="DS25" s="7">
        <f>IFERROR(AVERAGEIF('Данные 1st'!$S$2:$S$317,$A25,'Данные 1st'!$HT$2:$HT$317),"")</f>
        <v>134</v>
      </c>
      <c r="DT25" s="7">
        <f>IFERROR(AVERAGEIF('Данные 1st'!$S$2:$S$317,$A25,'Данные 1st'!$HU$2:$HU$317),"")</f>
        <v>180</v>
      </c>
      <c r="DU25" s="7">
        <f>IFERROR(AVERAGEIF('Данные 1st'!$S$2:$S$317,$A25,'Данные 1st'!$HW$2:$HW$317),"")</f>
        <v>4</v>
      </c>
      <c r="DV25" s="7">
        <f>IFERROR(AVERAGEIF('Данные 1st'!$S$2:$S$317,$A25,'Данные 1st'!$HX$2:$HX$317),"")</f>
        <v>474.2</v>
      </c>
      <c r="DW25" s="7">
        <f>IFERROR(AVERAGEIF('Данные 1st'!$S$2:$S$317,$A25,'Данные 1st'!$HY$2:$HY$317),"")</f>
        <v>0.18</v>
      </c>
      <c r="DX25" s="7">
        <f>IFERROR(AVERAGEIF('Данные 1st'!$S$2:$S$317,$A25,'Данные 1st'!$IA$2:$IA$317),"")</f>
        <v>0.15</v>
      </c>
      <c r="DY25" s="7">
        <f>IFERROR(AVERAGEIF('Данные 1st'!$S$2:$S$317,$A25,'Данные 1st'!$IB$2:$IB$317),"")</f>
        <v>0</v>
      </c>
      <c r="DZ25" s="7">
        <f>IFERROR(AVERAGEIF('Данные 1st'!$S$2:$S$317,$A25,'Данные 1st'!$IC$2:$IC$317),"")</f>
        <v>180</v>
      </c>
      <c r="EA25" s="7">
        <f>IFERROR(AVERAGEIF('Данные 1st'!$S$2:$S$317,$A25,'Данные 1st'!$ID$2:$ID$317),"")</f>
        <v>110</v>
      </c>
      <c r="EB25" s="7">
        <f>IFERROR(AVERAGEIF('Данные 1st'!$S$2:$S$317,$A25,'Данные 1st'!$IE$2:$IE$317),"")</f>
        <v>135</v>
      </c>
      <c r="EC25" s="7">
        <f>IFERROR(AVERAGEIF('Данные 1st'!$S$2:$S$317,$A25,'Данные 1st'!$IF$2:$IF$317),"")</f>
        <v>0</v>
      </c>
      <c r="ED25" s="7">
        <f>IFERROR(AVERAGEIF('Данные 1st'!$S$2:$S$317,$A25,'Данные 1st'!$IP$2:$IP$317),"")</f>
        <v>16</v>
      </c>
      <c r="EE25" s="7">
        <f>IFERROR(AVERAGEIF('Данные 1st'!$S$2:$S$317,$A25,'Данные 1st'!$IV$2:$IV$317),"")</f>
        <v>1200</v>
      </c>
      <c r="EF25" s="7">
        <f>IFERROR(AVERAGEIF('Данные 1st'!$S$2:$S$317,$A25,'Данные 1st'!$IW$2:$IW$317),"")</f>
        <v>420.8</v>
      </c>
      <c r="EG25" s="7">
        <f>IFERROR(AVERAGEIF('Данные 1st'!$S$2:$S$317,$A25,'Данные 1st'!$IX$2:$IX$317),"")</f>
        <v/>
      </c>
      <c r="EH25" s="7">
        <f>IFERROR(AVERAGEIF('Данные 1st'!$S$2:$S$317,$A25,'Данные 1st'!$IY$2:$IY$317),"")</f>
        <v/>
      </c>
      <c r="EI25" s="7">
        <f>IFERROR(AVERAGEIF('Данные 1st'!$S$2:$S$317,$A25,'Данные 1st'!$JD$2:$JD$317),"")</f>
        <v>1213</v>
      </c>
      <c r="EJ25" s="7">
        <f>IFERROR(AVERAGEIF('Данные 1st'!$S$2:$S$317,$A25,'Данные 1st'!$JE$2:$JE$317),"")</f>
        <v>1210.4</v>
      </c>
      <c r="EK25" s="7">
        <f>IFERROR(AVERAGEIF('Данные 1st'!$S$2:$S$317,$A25,'Данные 1st'!$JF$2:$JF$317),"")</f>
        <v>729.6</v>
      </c>
      <c r="EL25" s="7">
        <f>IFERROR(AVERAGEIF('Данные 1st'!$S$2:$S$317,$A25,'Данные 1st'!$JG$2:$JG$317),"")</f>
        <v>1196.4</v>
      </c>
      <c r="EM25" s="7">
        <f>IFERROR(AVERAGEIF('Данные 1st'!$S$2:$S$317,$A25,'Данные 1st'!$JH$2:$JH$317),"")</f>
        <v>0</v>
      </c>
      <c r="EN25" s="7">
        <f>IFERROR(AVERAGEIF('Данные 1st'!$S$2:$S$317,$A25,'Данные 1st'!$JJ$2:$JJ$317),"")</f>
        <v>180</v>
      </c>
      <c r="EO25" s="7">
        <f>IFERROR(AVERAGEIF('Данные 1st'!$S$2:$S$317,$A25,'Данные 1st'!$JK$2:$JK$317),"")</f>
        <v>474.2</v>
      </c>
      <c r="EP25" s="7">
        <f>IFERROR(AVERAGEIF('Данные 1st'!$S$2:$S$317,$A25,'Данные 1st'!$JL$2:$JL$317),"")</f>
        <v/>
      </c>
      <c r="EQ25" s="7">
        <f>IFERROR(AVERAGEIF('Данные 1st'!$S$2:$S$317,$A25,'Данные 1st'!$JM$2:$JM$317),"")</f>
        <v/>
      </c>
      <c r="ER25" s="7">
        <f>IFERROR(AVERAGEIF('Данные 1st'!$S$2:$S$317,$A25,'Данные 1st'!$JN$2:$JN$317),"")</f>
        <v>397</v>
      </c>
      <c r="ES25" s="7">
        <f>IFERROR(AVERAGEIF('Данные 1st'!$S$2:$S$317,$A25,'Данные 1st'!$JO$2:$JO$317),"")</f>
        <v>595</v>
      </c>
      <c r="ET25" s="7">
        <f>IFERROR(AVERAGEIF('Данные 1st'!$S$2:$S$317,$A25,'Данные 1st'!$JP$2:$JP$317),"")</f>
        <v>279</v>
      </c>
      <c r="EU25" s="7">
        <f>IFERROR(AVERAGEIF('Данные 1st'!$S$2:$S$317,$A25,'Данные 1st'!$JQ$2:$JQ$317),"")</f>
        <v>0</v>
      </c>
      <c r="EV25" s="7">
        <f>IFERROR(AVERAGEIF('Данные 1st'!$S$2:$S$317,$A25,'Данные 1st'!$JR$2:$JR$317),"")</f>
        <v>376</v>
      </c>
      <c r="EW25" s="7">
        <f>IFERROR(AVERAGEIF('Данные 1st'!$S$2:$S$317,$A25,'Данные 1st'!$JS$2:$JS$317),"")</f>
        <v>169</v>
      </c>
      <c r="EX25" s="7">
        <f>IFERROR(AVERAGEIF('Данные 1st'!$S$2:$S$317,$A25,'Данные 1st'!$JT$2:$JT$317),"")</f>
        <v/>
      </c>
      <c r="EY25" s="7">
        <f>IFERROR(AVERAGEIF('Данные 1st'!$S$2:$S$317,$A25,'Данные 1st'!$JU$2:$JU$317),"")</f>
        <v/>
      </c>
      <c r="EZ25" s="7">
        <f>IFERROR(AVERAGEIF('Данные 1st'!$S$2:$S$317,$A25,'Данные 1st'!$JV$2:$JV$317),"")</f>
        <v>8</v>
      </c>
      <c r="FA25" s="7">
        <f>IFERROR(AVERAGEIF('Данные 1st'!$S$2:$S$317,$A25,'Данные 1st'!$JW$2:$JW$317),"")</f>
        <v/>
      </c>
      <c r="FB25" s="7">
        <f>IFERROR(AVERAGEIF('Данные 1st'!$S$2:$S$317,$A25,'Данные 1st'!$JX$2:$JX$317),"")</f>
        <v>0</v>
      </c>
      <c r="FC25" s="7">
        <f>IFERROR(AVERAGEIF('Данные 1st'!$S$2:$S$317,$A25,'Данные 1st'!$JY$2:$JY$317),"")</f>
        <v/>
      </c>
      <c r="FD25" s="7">
        <f>IFERROR(AVERAGEIF('Данные 1st'!$S$2:$S$317,$A25,'Данные 1st'!$JZ$2:$JZ$317),"")</f>
        <v/>
      </c>
      <c r="FE25" s="7">
        <f>IFERROR(AVERAGEIF('Данные 1st'!$S$2:$S$317,$A25,'Данные 1st'!$KA$2:$KA$317),"")</f>
        <v>135</v>
      </c>
      <c r="FF25" s="7">
        <f>IFERROR(AVERAGEIF('Данные 1st'!$S$2:$S$317,$A25,'Данные 1st'!$KB$2:$KB$317),"")</f>
        <v>110</v>
      </c>
      <c r="FG25" s="7">
        <f>IFERROR(AVERAGEIF('Данные 1st'!$S$2:$S$317,$A25,'Данные 1st'!$KC$2:$KC$317),"")</f>
        <v>0</v>
      </c>
      <c r="FH25" s="7">
        <f>IFERROR(AVERAGEIF('Данные 1st'!$S$2:$S$317,$A25,'Данные 1st'!$KD$2:$KD$317),"")</f>
        <v>80</v>
      </c>
      <c r="FI25" s="7">
        <f>IFERROR(AVERAGEIF('Данные 1st'!$S$2:$S$317,$A25,'Данные 1st'!$KE$2:$KE$317),"")</f>
        <v/>
      </c>
      <c r="FJ25" s="7">
        <f>IFERROR(AVERAGEIF('Данные 1st'!$S$2:$S$317,$A25,'Данные 1st'!$KF$2:$KF$317),"")</f>
        <v>4</v>
      </c>
      <c r="FK25" s="7">
        <f>IFERROR(AVERAGEIF('Данные 1st'!$S$2:$S$317,$A25,'Данные 1st'!$KG$2:$KG$317),"")</f>
        <v>2</v>
      </c>
      <c r="FL25" s="7">
        <f>IFERROR(AVERAGEIF('Данные 1st'!$S$2:$S$317,$A25,'Данные 1st'!$KH$2:$KH$317),"")</f>
        <v>2</v>
      </c>
      <c r="FM25" s="7">
        <f>IFERROR(AVERAGEIF('Данные 1st'!$S$2:$S$317,$A25,'Данные 1st'!$KI$2:$KI$317),"")</f>
        <v>2</v>
      </c>
      <c r="FN25" s="7">
        <f>IFERROR(AVERAGEIF('Данные 1st'!$S$2:$S$317,$A25,'Данные 1st'!$KJ$2:$KJ$317),"")</f>
        <v>0</v>
      </c>
      <c r="FO25" s="7">
        <f>IFERROR(AVERAGEIF('Данные 1st'!$S$2:$S$317,$A25,'Данные 1st'!$KK$2:$KK$317),"")</f>
        <v>1.5</v>
      </c>
      <c r="FP25" s="7">
        <f>IFERROR(AVERAGEIF('Данные 1st'!$S$2:$S$317,$A25,'Данные 1st'!$KL$2:$KL$317),"")</f>
        <v>1.5</v>
      </c>
      <c r="FQ25" s="7">
        <f>IFERROR(AVERAGEIF('Данные 1st'!$S$2:$S$317,$A25,'Данные 1st'!$KM$2:$KM$317),"")</f>
        <v>0</v>
      </c>
      <c r="FR25" s="7">
        <f>IFERROR(AVERAGEIF('Данные 1st'!$S$2:$S$317,$A25,'Данные 1st'!$KN$2:$KN$317),"")</f>
        <v>0</v>
      </c>
      <c r="FS25" s="7">
        <f>IFERROR(AVERAGEIF('Данные 1st'!$S$2:$S$317,$A25,'Данные 1st'!$KR$2:$KR$317),"")</f>
        <v>30</v>
      </c>
      <c r="FT25" s="7">
        <f>IFERROR(AVERAGEIF('Данные 1st'!$S$2:$S$317,$A25,'Данные 1st'!$KS$2:$KS$317),"")</f>
        <v>52</v>
      </c>
      <c r="FU25" s="7">
        <f>IFERROR(AVERAGEIF('Данные 1st'!$S$2:$S$317,$A25,'Данные 1st'!$KT$2:$KT$317),"")</f>
        <v>0</v>
      </c>
      <c r="FV25" s="7">
        <f>IFERROR(AVERAGEIF('Данные 1st'!$S$2:$S$317,$A25,'Данные 1st'!$KV$2:$KV$317),"")</f>
        <v/>
      </c>
      <c r="FW25" s="7">
        <f>IFERROR(AVERAGEIF('Данные 1st'!$S$2:$S$317,$A25,'Данные 1st'!$KW$2:$KW$317),"")</f>
        <v/>
      </c>
      <c r="FX25" s="7">
        <f>IFERROR(AVERAGEIF('Данные 1st'!$S$2:$S$317,$A25,'Данные 1st'!$KX$2:$KX$317),"")</f>
        <v/>
      </c>
      <c r="FY25" s="7">
        <f>IFERROR(AVERAGEIF('Данные 1st'!$S$2:$S$317,$A25,'Данные 1st'!$KY$2:$KY$317),"")</f>
        <v/>
      </c>
      <c r="FZ25" s="7">
        <f>IFERROR(AVERAGEIF('Данные 1st'!$S$2:$S$317,$A25,'Данные 1st'!$KZ$2:$KZ$317),"")</f>
        <v/>
      </c>
      <c r="GA25" s="7">
        <f>IFERROR(AVERAGEIF('Данные 1st'!$S$2:$S$317,$A25,'Данные 1st'!$LA$2:$LA$317),"")</f>
        <v/>
      </c>
      <c r="GB25" s="7">
        <f>IFERROR(AVERAGEIF('Данные 1st'!$S$2:$S$317,$A25,'Данные 1st'!$LB$2:$LB$317),"")</f>
        <v/>
      </c>
      <c r="GC25" s="7">
        <f>IFERROR(AVERAGEIF('Данные 1st'!$S$2:$S$317,$A25,'Данные 1st'!$LC$2:$LC$317),"")</f>
        <v/>
      </c>
      <c r="GD25" s="7">
        <f>IFERROR(AVERAGEIF('Данные 1st'!$S$2:$S$317,$A25,'Данные 1st'!$LD$2:$LD$317),"")</f>
        <v/>
      </c>
      <c r="GE25" s="7">
        <f>IFERROR(AVERAGEIF('Данные 1st'!$S$2:$S$317,$A25,'Данные 1st'!$LE$2:$LE$317),"")</f>
        <v/>
      </c>
      <c r="GF25" s="7">
        <f>IFERROR(AVERAGEIF('Данные 1st'!$S$2:$S$317,$A25,'Данные 1st'!$LF$2:$LF$317),"")</f>
        <v/>
      </c>
      <c r="GG25" s="7">
        <f>IFERROR(AVERAGEIF('Данные 1st'!$S$2:$S$317,$A25,'Данные 1st'!$LG$2:$LG$317),"")</f>
        <v/>
      </c>
      <c r="GH25" s="7">
        <f>IFERROR(AVERAGEIF('Данные 1st'!$S$2:$S$317,$A25,'Данные 1st'!$LH$2:$LH$317),"")</f>
        <v/>
      </c>
      <c r="GI25" s="7">
        <f>IFERROR(AVERAGEIF('Данные 1st'!$S$2:$S$317,$A25,'Данные 1st'!$LI$2:$LI$317),"")</f>
        <v/>
      </c>
      <c r="GJ25" s="7">
        <f>IFERROR(AVERAGEIF('Данные 1st'!$S$2:$S$317,$A25,'Данные 1st'!$LJ$2:$LJ$317),"")</f>
        <v/>
      </c>
      <c r="GK25" s="7">
        <f>IFERROR(AVERAGEIF('Данные 1st'!$S$2:$S$317,$A25,'Данные 1st'!$LK$2:$LK$317),"")</f>
        <v>480</v>
      </c>
      <c r="GL25" s="7">
        <f>IFERROR(AVERAGEIF('Данные 1st'!$S$2:$S$317,$A25,'Данные 1st'!$LV$2:$LV$317),"")</f>
        <v/>
      </c>
      <c r="GM25" s="7">
        <f>IFERROR(AVERAGEIF('Данные 1st'!$S$2:$S$317,$A25,'Данные 1st'!$LW$2:$LW$317),"")</f>
        <v/>
      </c>
      <c r="GN25" s="7">
        <f>IFERROR(AVERAGEIF('Данные 1st'!$S$2:$S$317,$A25,'Данные 1st'!$LX$2:$LX$317),"")</f>
        <v/>
      </c>
      <c r="GO25" s="7">
        <f>IFERROR(AVERAGEIF('Данные 1st'!$S$2:$S$317,$A25,'Данные 1st'!$LY$2:$LY$317),"")</f>
        <v/>
      </c>
      <c r="GP25" s="7">
        <f>IFERROR(AVERAGEIF('Данные 1st'!$S$2:$S$317,$A25,'Данные 1st'!$LZ$2:$LZ$317),"")</f>
        <v/>
      </c>
      <c r="GQ25" s="7">
        <f>IFERROR(AVERAGEIF('Данные 1st'!$S$2:$S$317,$A25,'Данные 1st'!$PG$2:$PG$317),"")</f>
        <v>1</v>
      </c>
      <c r="GR25" s="7">
        <f>IFERROR(AVERAGEIF('Данные 1st'!$S$2:$S$317,$A25,'Данные 1st'!$PX$2:$PX$317),"")</f>
        <v>56</v>
      </c>
      <c r="GS25" s="7">
        <f>IFERROR(AVERAGEIF('Данные 1st'!$S$2:$S$317,$A25,'Данные 1st'!$PY$2:$PY$317),"")</f>
        <v>56.6</v>
      </c>
      <c r="GT25" s="7">
        <f>IFERROR(AVERAGEIF('Данные 1st'!$S$2:$S$317,$A25,'Данные 1st'!$QA$2:$QA$317),"")</f>
        <v>1.6</v>
      </c>
      <c r="GU25" s="7">
        <f>IFERROR(AVERAGEIF('Данные 1st'!$S$2:$S$317,$A25,'Данные 1st'!$QB$2:$QB$317),"")</f>
        <v>1196.4</v>
      </c>
      <c r="GV25" s="7">
        <f>IFERROR(AVERAGEIF('Данные 1st'!$S$2:$S$317,$A25,'Данные 1st'!$QC$2:$QC$317),"")</f>
        <v>69</v>
      </c>
      <c r="GW25" s="7">
        <f>IFERROR(AVERAGEIF('Данные 1st'!$S$2:$S$317,$A25,'Данные 1st'!$QD$2:$QD$317),"")</f>
        <v>69</v>
      </c>
      <c r="GX25" s="7">
        <f>IFERROR(AVERAGEIF('Данные 1st'!$S$2:$S$317,$A25,'Данные 1st'!$QF$2:$QF$317),"")</f>
        <v>1</v>
      </c>
      <c r="GY25" s="7">
        <f>IFERROR(AVERAGEIF('Данные 1st'!$S$2:$S$317,$A25,'Данные 1st'!$QG$2:$QG$317),"")</f>
        <v>1213</v>
      </c>
      <c r="GZ25" s="7">
        <f>IFERROR(AVERAGEIF('Данные 1st'!$S$2:$S$317,$A25,'Данные 1st'!$QH$2:$QH$317),"")</f>
        <v>66</v>
      </c>
      <c r="HA25" s="7">
        <f>IFERROR(AVERAGEIF('Данные 1st'!$S$2:$S$317,$A25,'Данные 1st'!$QI$2:$QI$317),"")</f>
        <v>66</v>
      </c>
      <c r="HB25" s="7">
        <f>IFERROR(AVERAGEIF('Данные 1st'!$S$2:$S$317,$A25,'Данные 1st'!$QK$2:$QK$317),"")</f>
        <v/>
      </c>
      <c r="HC25" s="7">
        <f>IFERROR(AVERAGEIF('Данные 1st'!$S$2:$S$317,$A25,'Данные 1st'!$QL$2:$QL$317),"")</f>
        <v>0</v>
      </c>
      <c r="HD25" s="7">
        <f>IFERROR(AVERAGEIF('Данные 1st'!$S$2:$S$317,$A25,'Данные 1st'!$QM$2:$QM$317),"")</f>
        <v>62</v>
      </c>
      <c r="HE25" s="7">
        <f>IFERROR(AVERAGEIF('Данные 1st'!$S$2:$S$317,$A25,'Данные 1st'!$QN$2:$QN$317),"")</f>
        <v>62</v>
      </c>
      <c r="HF25" s="7">
        <f>IFERROR(AVERAGEIF('Данные 1st'!$S$2:$S$317,$A25,'Данные 1st'!$QP$2:$QP$317),"")</f>
        <v>1</v>
      </c>
      <c r="HG25" s="7">
        <f>IFERROR(AVERAGEIF('Данные 1st'!$S$2:$S$317,$A25,'Данные 1st'!$QQ$2:$QQ$317),"")</f>
        <v>1210.4</v>
      </c>
      <c r="HH25" s="7">
        <f>IFERROR(AVERAGEIF('Данные 1st'!$S$2:$S$317,$A25,'Данные 1st'!$QR$2:$QR$317),"")</f>
        <v>62</v>
      </c>
      <c r="HI25" s="7">
        <f>IFERROR(AVERAGEIF('Данные 1st'!$S$2:$S$317,$A25,'Данные 1st'!$QS$2:$QS$317),"")</f>
        <v>62</v>
      </c>
      <c r="HJ25" s="7">
        <f>IFERROR(AVERAGEIF('Данные 1st'!$S$2:$S$317,$A25,'Данные 1st'!$QU$2:$QU$317),"")</f>
        <v>1</v>
      </c>
      <c r="HK25" s="7">
        <f>IFERROR(AVERAGEIF('Данные 1st'!$S$2:$S$317,$A25,'Данные 1st'!$QV$2:$QV$317),"")</f>
        <v>1216</v>
      </c>
      <c r="HL25" s="7">
        <f>IFERROR(AVERAGEIF('Данные 1st'!$S$2:$S$317,$A25,'Данные 1st'!$QW$2:$QW$317),"")</f>
        <v>82</v>
      </c>
      <c r="HM25" s="7">
        <f>IFERROR(AVERAGEIF('Данные 1st'!$S$2:$S$317,$A25,'Данные 1st'!$QX$2:$QX$317),"")</f>
        <v>88.4</v>
      </c>
      <c r="HN25" s="7">
        <f>IFERROR(AVERAGEIF('Данные 1st'!$S$2:$S$317,$A25,'Данные 1st'!$QZ$2:$QZ$317),"")</f>
        <v>1</v>
      </c>
      <c r="HO25" s="7">
        <f>IFERROR(AVERAGEIF('Данные 1st'!$S$2:$S$317,$A25,'Данные 1st'!$RA$2:$RA$317),"")</f>
        <v>66</v>
      </c>
      <c r="HP25" s="7">
        <f>IFERROR(AVERAGEIF('Данные 1st'!$S$2:$S$317,$A25,'Данные 1st'!$RB$2:$RB$317),"")</f>
        <v>66</v>
      </c>
      <c r="HQ25" s="7">
        <f>IFERROR(AVERAGEIF('Данные 1st'!$S$2:$S$317,$A25,'Данные 1st'!$RD$2:$RD$317),"")</f>
        <v/>
      </c>
      <c r="HR25" s="7">
        <f>IFERROR(AVERAGEIF('Данные 1st'!$S$2:$S$317,$A25,'Данные 1st'!$RE$2:$RE$317),"")</f>
        <v>0</v>
      </c>
      <c r="HS25" s="7">
        <f>IFERROR(AVERAGEIF('Данные 1st'!$S$2:$S$317,$A25,'Данные 1st'!$RF$2:$RF$317),"")</f>
        <v>1</v>
      </c>
      <c r="HT25" s="7">
        <f>IFERROR(AVERAGEIF('Данные 1st'!$S$2:$S$317,$A25,'Данные 1st'!$RG$2:$RG$317),"")</f>
        <v/>
      </c>
      <c r="HU25" s="7">
        <f>IFERROR(AVERAGEIF('Данные 1st'!$S$2:$S$317,$A25,'Данные 1st'!$RH$2:$RH$317),"")</f>
        <v>1</v>
      </c>
      <c r="HV25" s="7">
        <f>IFERROR(AVERAGEIF('Данные 1st'!$S$2:$S$317,$A25,'Данные 1st'!$RI$2:$RI$317),"")</f>
        <v/>
      </c>
      <c r="HW25" s="7">
        <f>IFERROR(AVERAGEIF('Данные 1st'!$S$2:$S$317,$A25,'Данные 1st'!$RJ$2:$RJ$317),"")</f>
        <v>1</v>
      </c>
      <c r="HX25" s="7">
        <f>IFERROR(AVERAGEIF('Данные 1st'!$S$2:$S$317,$A25,'Данные 1st'!$RK$2:$RK$317),"")</f>
        <v/>
      </c>
      <c r="HY25" s="7">
        <f>IFERROR(AVERAGEIF('Данные 1st'!$S$2:$S$317,$A25,'Данные 1st'!$RL$2:$RL$317),"")</f>
        <v>3</v>
      </c>
      <c r="HZ25" s="7">
        <f>IFERROR(AVERAGEIF('Данные 1st'!$S$2:$S$317,$A25,'Данные 1st'!$RM$2:$RM$317),"")</f>
        <v>3.6666666666666665</v>
      </c>
      <c r="IA25" s="7">
        <f>IFERROR(AVERAGEIF('Данные 1st'!$S$2:$S$317,$A25,'Данные 1st'!$RN$2:$RN$317),"")</f>
        <v/>
      </c>
      <c r="IB25" s="7">
        <f>IFERROR(AVERAGEIF('Данные 1st'!$S$2:$S$317,$A25,'Данные 1st'!$RO$2:$RO$317),"")</f>
        <v>562.4</v>
      </c>
      <c r="IC25" s="7">
        <f>IFERROR(AVERAGEIF('Данные 1st'!$S$2:$S$317,$A25,'Данные 1st'!$RP$2:$RP$317),"")</f>
        <v/>
      </c>
      <c r="ID25" s="7">
        <f>IFERROR(AVERAGEIF('Данные 1st'!$S$2:$S$317,$A25,'Данные 1st'!$RQ$2:$RQ$317),"")</f>
        <v>779.4</v>
      </c>
      <c r="IE25" s="7">
        <f>IFERROR(AVERAGEIF('Данные 1st'!$S$2:$S$317,$A25,'Данные 1st'!$RR$2:$RR$317),"")</f>
        <v>520</v>
      </c>
      <c r="IF25" s="7">
        <f>IFERROR(AVERAGEIF('Данные 1st'!$S$2:$S$317,$A25,'Данные 1st'!$RS$2:$RS$317),"")</f>
        <v/>
      </c>
      <c r="IG25" s="7">
        <f>IFERROR(AVERAGEIF('Данные 1st'!$S$2:$S$317,$A25,'Данные 1st'!$RT$2:$RT$317),"")</f>
        <v>230.6</v>
      </c>
      <c r="IH25" s="7">
        <f>IFERROR(AVERAGEIF('Данные 1st'!$S$2:$S$317,$A25,'Данные 1st'!$RU$2:$RU$317),"")</f>
        <v>184.8</v>
      </c>
      <c r="II25" s="7">
        <f>IFERROR(AVERAGEIF('Данные 1st'!$S$2:$S$317,$A25,'Данные 1st'!$RX$2:$RX$317),"")</f>
        <v>15</v>
      </c>
      <c r="IJ25" s="7">
        <f>IFERROR(AVERAGEIF('Данные 1st'!$S$2:$S$317,$A25,'Данные 1st'!$RY$2:$RY$317),"")</f>
        <v>4</v>
      </c>
      <c r="IK25" s="7">
        <f>IFERROR(AVERAGEIF('Данные 1st'!$S$2:$S$317,$A25,'Данные 1st'!$SA$2:$SA$317),"")</f>
        <v>15</v>
      </c>
      <c r="IL25" s="7">
        <f>IFERROR(AVERAGEIF('Данные 1st'!$S$2:$S$317,$A25,'Данные 1st'!$SD$2:$SD$317),"")</f>
        <v>1</v>
      </c>
      <c r="IM25" s="7">
        <f>IFERROR(AVERAGEIF('Данные 1st'!$S$2:$S$317,$A25,'Данные 1st'!$SG$2:$SG$317),"")</f>
        <v>1</v>
      </c>
      <c r="IN25" s="7">
        <f>IFERROR(AVERAGEIF('Данные 1st'!$S$2:$S$317,$A25,'Данные 1st'!$SH$2:$SH$317),"")</f>
        <v>0.995</v>
      </c>
      <c r="IO25" s="7">
        <f>IFERROR(AVERAGEIF('Данные 1st'!$S$2:$S$317,$A25,'Данные 1st'!$SI$2:$SI$317),"")</f>
        <v>0.995</v>
      </c>
      <c r="IP25" s="7">
        <f>IFERROR(AVERAGEIF('Данные 1st'!$S$2:$S$317,$A25,'Данные 1st'!$SJ$2:$SJ$317),"")</f>
        <v>0.995</v>
      </c>
      <c r="IQ25" s="7">
        <f>IFERROR(AVERAGEIF('Данные 1st'!$S$2:$S$317,$A25,'Данные 1st'!$SK$2:$SK$317),"")</f>
        <v>15</v>
      </c>
      <c r="IR25" s="7">
        <f>IFERROR(AVERAGEIF('Данные 1st'!$S$2:$S$317,$A25,'Данные 1st'!$SL$2:$SL$317),"")</f>
        <v>0</v>
      </c>
      <c r="IS25" s="7">
        <f>IFERROR(AVERAGEIF('Данные 1st'!$S$2:$S$317,$A25,'Данные 1st'!$SM$2:$SM$317),"")</f>
        <v>0</v>
      </c>
      <c r="IT25" s="7">
        <f>IFERROR(AVERAGEIF('Данные 1st'!$S$2:$S$317,$A25,'Данные 1st'!$SN$2:$SN$317),"")</f>
        <v>0</v>
      </c>
      <c r="IU25" s="7">
        <f>IFERROR(AVERAGEIF('Данные 1st'!$S$2:$S$317,$A25,'Данные 1st'!$SO$2:$SO$317),"")</f>
        <v>0</v>
      </c>
      <c r="IV25" s="7">
        <f>IFERROR(AVERAGEIF('Данные 1st'!$S$2:$S$317,$A25,'Данные 1st'!$SP$2:$SP$317),"")</f>
        <v>0</v>
      </c>
      <c r="IW25" s="7">
        <f>IFERROR(AVERAGEIF('Данные 1st'!$S$2:$S$317,$A25,'Данные 1st'!$SQ$2:$SQ$317),"")</f>
        <v>0</v>
      </c>
      <c r="IX25" s="7">
        <f>IFERROR(AVERAGEIF('Данные 1st'!$S$2:$S$317,$A25,'Данные 1st'!$SR$2:$SR$317),"")</f>
        <v>0</v>
      </c>
      <c r="IY25" s="7">
        <f>IFERROR(AVERAGEIF('Данные 1st'!$S$2:$S$317,$A25,'Данные 1st'!$SS$2:$SS$317),"")</f>
        <v>0</v>
      </c>
      <c r="IZ25" s="7">
        <f>IFERROR(AVERAGEIF('Данные 1st'!$S$2:$S$317,$A25,'Данные 1st'!$ST$2:$ST$317),"")</f>
        <v>0</v>
      </c>
      <c r="JA25" s="7">
        <f>IFERROR(AVERAGEIF('Данные 1st'!$S$2:$S$317,$A25,'Данные 1st'!$SU$2:$SU$317),"")</f>
        <v>0</v>
      </c>
      <c r="JB25" s="7">
        <f>IFERROR(AVERAGEIF('Данные 1st'!$S$2:$S$317,$A25,'Данные 1st'!$SV$2:$SV$317),"")</f>
        <v>0</v>
      </c>
      <c r="JC25" s="7">
        <f>IFERROR(AVERAGEIF('Данные 1st'!$S$2:$S$317,$A25,'Данные 1st'!$SW$2:$SW$317),"")</f>
        <v>0</v>
      </c>
      <c r="JD25" s="7">
        <f>IFERROR(AVERAGEIF('Данные 1st'!$S$2:$S$317,$A25,'Данные 1st'!$SX$2:$SX$317),"")</f>
        <v>0</v>
      </c>
      <c r="JE25" s="7">
        <f>IFERROR(AVERAGEIF('Данные 1st'!$S$2:$S$317,$A25,'Данные 1st'!$SY$2:$SY$317),"")</f>
        <v/>
      </c>
      <c r="JF25" s="7">
        <f>IFERROR(AVERAGEIF('Данные 1st'!$S$2:$S$317,$A25,'Данные 1st'!$SZ$2:$SZ$317),"")</f>
        <v>1</v>
      </c>
      <c r="JG25" s="7">
        <f>IFERROR(AVERAGEIF('Данные 1st'!$S$2:$S$317,$A25,'Данные 1st'!$TA$2:$TA$317),"")</f>
        <v/>
      </c>
      <c r="JH25" s="7">
        <f>IFERROR(AVERAGEIF('Данные 1st'!$S$2:$S$317,$A25,'Данные 1st'!$TB$2:$TB$317),"")</f>
        <v>0</v>
      </c>
      <c r="JI25" s="7">
        <f>IFERROR(AVERAGEIF('Данные 1st'!$S$2:$S$317,$A25,'Данные 1st'!$TC$2:$TC$317),"")</f>
        <v>0</v>
      </c>
      <c r="JJ25" s="7">
        <f>IFERROR(AVERAGEIF('Данные 1st'!$S$2:$S$317,$A25,'Данные 1st'!$TD$2:$TD$317),"")</f>
        <v>7.5</v>
      </c>
      <c r="JK25" s="7">
        <f>IFERROR(AVERAGEIF('Данные 1st'!$S$2:$S$317,$A25,'Данные 1st'!$TN$2:$TN$317),"")</f>
        <v>0</v>
      </c>
      <c r="JL25">
        <f>COUNTIF('Данные 2st'!$Q$2:$Q$317,$A25)</f>
        <v>5</v>
      </c>
      <c r="JM25" s="6" t="s">
        <v>5093</v>
      </c>
      <c r="JN25" s="6" t="s">
        <v>513</v>
      </c>
      <c r="JO25" s="6" t="s">
        <v>5125</v>
      </c>
      <c r="JP25" s="6" t="s">
        <v>5482</v>
      </c>
      <c r="JQ25" s="7">
        <f>IFERROR(AVERAGEIF('Данные 2st'!$Q$2:$Q$317,$A25,'Данные 2st'!$AC$2:$AC$317),"")</f>
        <v>11.2</v>
      </c>
      <c r="JR25" s="7">
        <f>IFERROR(AVERAGEIF('Данные 2st'!$Q$2:$Q$317,$A25,'Данные 2st'!$AF$2:$AF$317),"")</f>
        <v>4466</v>
      </c>
      <c r="JS25" s="7">
        <f>IFERROR(AVERAGEIF('Данные 2st'!$Q$2:$Q$317,$A25,'Данные 2st'!$AW$2:$AW$317),"")</f>
        <v>6.4</v>
      </c>
      <c r="JT25" s="7">
        <f>IFERROR(AVERAGEIF('Данные 2st'!$Q$2:$Q$317,$A25,'Данные 2st'!$AX$2:$AX$317),"")</f>
        <v>-6</v>
      </c>
      <c r="JU25" s="7">
        <f>IFERROR(AVERAGEIF('Данные 2st'!$Q$2:$Q$317,$A25,'Данные 2st'!$AY$2:$AY$317),"")</f>
        <v>94.2</v>
      </c>
      <c r="JV25" s="7">
        <f>IFERROR(AVERAGEIF('Данные 2st'!$Q$2:$Q$317,$A25,'Данные 2st'!$AZ$2:$AZ$317),"")</f>
        <v>75.6</v>
      </c>
      <c r="JW25" s="7">
        <f>IFERROR(AVERAGEIF('Данные 2st'!$Q$2:$Q$317,$A25,'Данные 2st'!$BA$2:$BA$317),"")</f>
        <v/>
      </c>
      <c r="JX25" s="7">
        <f>IFERROR(AVERAGEIF('Данные 2st'!$Q$2:$Q$317,$A25,'Данные 2st'!$BB$2:$BB$317),"")</f>
        <v/>
      </c>
      <c r="JY25" s="7">
        <f>IFERROR(AVERAGEIF('Данные 2st'!$Q$2:$Q$317,$A25,'Данные 2st'!$BC$2:$BC$317),"")</f>
        <v/>
      </c>
      <c r="JZ25" s="7">
        <f>IFERROR(AVERAGEIF('Данные 2st'!$Q$2:$Q$317,$A25,'Данные 2st'!$BH$2:$BH$317),"")</f>
        <v>94.2</v>
      </c>
      <c r="KA25" s="7">
        <f>IFERROR(AVERAGEIF('Данные 2st'!$Q$2:$Q$317,$A25,'Данные 2st'!$BI$2:$BI$317),"")</f>
        <v>18.6</v>
      </c>
      <c r="KB25" s="7">
        <f>IFERROR(AVERAGEIF('Данные 2st'!$Q$2:$Q$317,$A25,'Данные 2st'!$BJ$2:$BJ$317),"")</f>
        <v>75.6</v>
      </c>
      <c r="KC25" s="7">
        <f>IFERROR(AVERAGEIF('Данные 2st'!$Q$2:$Q$317,$A25,'Данные 2st'!$BK$2:$BK$317),"")</f>
        <v>2.7</v>
      </c>
      <c r="KD25" s="7">
        <f>IFERROR(AVERAGEIF('Данные 2st'!$Q$2:$Q$317,$A25,'Данные 2st'!$BL$2:$BL$317),"")</f>
        <v>188.4</v>
      </c>
      <c r="KE25" s="7">
        <f>IFERROR(AVERAGEIF('Данные 2st'!$Q$2:$Q$317,$A25,'Данные 2st'!$BM$2:$BM$317),"")</f>
        <v>-6</v>
      </c>
      <c r="KF25" s="7">
        <f>IFERROR(AVERAGEIF('Данные 2st'!$Q$2:$Q$317,$A25,'Данные 2st'!$BN$2:$BN$317),"")</f>
        <v>0</v>
      </c>
      <c r="KG25" s="7">
        <f>IFERROR(AVERAGEIF('Данные 2st'!$Q$2:$Q$317,$A25,'Данные 2st'!$BO$2:$BO$317),"")</f>
        <v>0</v>
      </c>
      <c r="KH25" s="7">
        <f>IFERROR(AVERAGEIF('Данные 2st'!$Q$2:$Q$317,$A25,'Данные 2st'!$BP$2:$BP$317),"")</f>
        <v>0</v>
      </c>
      <c r="KI25" s="7">
        <f>IFERROR(AVERAGEIF('Данные 2st'!$Q$2:$Q$317,$A25,'Данные 2st'!$BR$2:$BR$317),"")</f>
        <v>183</v>
      </c>
      <c r="KJ25" s="7">
        <f>IFERROR(AVERAGEIF('Данные 2st'!$Q$2:$Q$317,$A25,'Данные 2st'!$BS$2:$BS$317),"")</f>
        <v>173</v>
      </c>
      <c r="KK25" s="7">
        <f>IFERROR(AVERAGEIF('Данные 2st'!$Q$2:$Q$317,$A25,'Данные 2st'!$BT$2:$BT$317),"")</f>
        <v>1942</v>
      </c>
      <c r="KL25" s="7">
        <f>IFERROR(AVERAGEIF('Данные 2st'!$Q$2:$Q$317,$A25,'Данные 2st'!$CV$2:$CV$317),"")</f>
        <v>121.8</v>
      </c>
      <c r="KM25" s="7">
        <f>IFERROR(AVERAGEIF('Данные 2st'!$Q$2:$Q$317,$A25,'Данные 2st'!$CW$2:$CW$317),"")</f>
        <v>3</v>
      </c>
      <c r="KN25" s="7">
        <f>IFERROR(AVERAGEIF('Данные 2st'!$Q$2:$Q$317,$A25,'Данные 2st'!$CX$2:$CX$317),"")</f>
        <v>77.2</v>
      </c>
      <c r="KO25" s="7">
        <f>IFERROR(AVERAGEIF('Данные 2st'!$Q$2:$Q$317,$A25,'Данные 2st'!$CY$2:$CY$317),"")</f>
        <v>5</v>
      </c>
      <c r="KP25" s="7">
        <f>IFERROR(AVERAGEIF('Данные 2st'!$Q$2:$Q$317,$A25,'Данные 2st'!$CZ$2:$CZ$317),"")</f>
        <v>127.6</v>
      </c>
      <c r="KQ25" s="7">
        <f>IFERROR(AVERAGEIF('Данные 2st'!$Q$2:$Q$317,$A25,'Данные 2st'!$DA$2:$DA$317),"")</f>
        <v>5</v>
      </c>
      <c r="KR25" s="7">
        <f>IFERROR(AVERAGEIF('Данные 2st'!$Q$2:$Q$317,$A25,'Данные 2st'!$DB$2:$DB$317),"")</f>
        <v>10338</v>
      </c>
      <c r="KS25" s="7">
        <f>IFERROR(AVERAGEIF('Данные 2st'!$Q$2:$Q$317,$A25,'Данные 2st'!$DC$2:$DC$317),"")</f>
        <v>306</v>
      </c>
      <c r="KT25" s="7">
        <f>IFERROR(AVERAGEIF('Данные 2st'!$Q$2:$Q$317,$A25,'Данные 2st'!$DD$2:$DD$317),"")</f>
        <v>325</v>
      </c>
      <c r="KU25" s="7">
        <f>IFERROR(AVERAGEIF('Данные 2st'!$Q$2:$Q$317,$A25,'Данные 2st'!$DE$2:$DE$317),"")</f>
        <v>2050</v>
      </c>
      <c r="KV25" s="7">
        <f>IFERROR(AVERAGEIF('Данные 2st'!$Q$2:$Q$317,$A25,'Данные 2st'!$DF$2:$DF$317),"")</f>
        <v>2050</v>
      </c>
      <c r="KW25" s="7">
        <f>IFERROR(AVERAGEIF('Данные 2st'!$Q$2:$Q$317,$A25,'Данные 2st'!$DG$2:$DG$317),"")</f>
        <v>2062</v>
      </c>
      <c r="KX25" s="7">
        <f>IFERROR(AVERAGEIF('Данные 2st'!$Q$2:$Q$317,$A25,'Данные 2st'!$DH$2:$DH$317),"")</f>
        <v/>
      </c>
      <c r="KY25" s="7">
        <f>IFERROR(AVERAGEIF('Данные 2st'!$Q$2:$Q$317,$A25,'Данные 2st'!$DI$2:$DI$317),"")</f>
        <v/>
      </c>
      <c r="KZ25" s="7">
        <f>IFERROR(AVERAGEIF('Данные 2st'!$Q$2:$Q$317,$A25,'Данные 2st'!$DK$2:$DK$317),"")</f>
        <v>183</v>
      </c>
      <c r="LA25" s="7">
        <f>IFERROR(AVERAGEIF('Данные 2st'!$Q$2:$Q$317,$A25,'Данные 2st'!$DM$2:$DM$317),"")</f>
        <v>64.6</v>
      </c>
      <c r="LB25" s="7">
        <f>IFERROR(AVERAGEIF('Данные 2st'!$Q$2:$Q$317,$A25,'Данные 2st'!$DN$2:$DN$317),"")</f>
        <v>1.016</v>
      </c>
      <c r="LC25" s="7">
        <f>IFERROR(AVERAGEIF('Данные 2st'!$Q$2:$Q$317,$A25,'Данные 2st'!$DO$2:$DO$317),"")</f>
        <v>1</v>
      </c>
      <c r="LD25" s="7">
        <f>IFERROR(AVERAGEIF('Данные 2st'!$Q$2:$Q$317,$A25,'Данные 2st'!$DP$2:$DP$317),"")</f>
        <v>1945.2</v>
      </c>
      <c r="LE25" s="7">
        <f>IFERROR(AVERAGEIF('Данные 2st'!$Q$2:$Q$317,$A25,'Данные 2st'!$DQ$2:$DQ$317),"")</f>
        <v>729.6</v>
      </c>
      <c r="LF25" s="7">
        <f>IFERROR(AVERAGEIF('Данные 2st'!$Q$2:$Q$317,$A25,'Данные 2st'!$DS$2:$DS$317),"")</f>
        <v>173</v>
      </c>
      <c r="LG25" s="7">
        <f>IFERROR(AVERAGEIF('Данные 2st'!$Q$2:$Q$317,$A25,'Данные 2st'!$DU$2:$DU$317),"")</f>
        <v>64.6</v>
      </c>
      <c r="LH25" s="7">
        <f>IFERROR(AVERAGEIF('Данные 2st'!$Q$2:$Q$317,$A25,'Данные 2st'!$DV$2:$DV$317),"")</f>
        <v>1.016</v>
      </c>
      <c r="LI25" s="7">
        <f>IFERROR(AVERAGEIF('Данные 2st'!$Q$2:$Q$317,$A25,'Данные 2st'!$DW$2:$DW$317),"")</f>
        <v>1</v>
      </c>
      <c r="LJ25" s="7">
        <f>IFERROR(AVERAGEIF('Данные 2st'!$Q$2:$Q$317,$A25,'Данные 2st'!$DX$2:$DX$317),"")</f>
        <v>1955.2</v>
      </c>
      <c r="LK25" s="7">
        <f>IFERROR(AVERAGEIF('Данные 2st'!$Q$2:$Q$317,$A25,'Данные 2st'!$DY$2:$DY$317),"")</f>
        <v>693.4</v>
      </c>
      <c r="LL25" s="7">
        <f>IFERROR(AVERAGEIF('Данные 2st'!$Q$2:$Q$317,$A25,'Данные 2st'!$EA$2:$EA$317),"")</f>
        <v>25.2</v>
      </c>
      <c r="LM25" s="7">
        <f>IFERROR(AVERAGEIF('Данные 2st'!$Q$2:$Q$317,$A25,'Данные 2st'!$EC$2:$EC$317),"")</f>
        <v>0.64</v>
      </c>
      <c r="LN25" s="7">
        <f>IFERROR(AVERAGEIF('Данные 2st'!$Q$2:$Q$317,$A25,'Данные 2st'!$ED$2:$ED$317),"")</f>
        <v>1945.2</v>
      </c>
      <c r="LO25" s="7">
        <f>IFERROR(AVERAGEIF('Данные 2st'!$Q$2:$Q$317,$A25,'Данные 2st'!$EE$2:$EE$317),"")</f>
        <v>63.4</v>
      </c>
      <c r="LP25" s="7">
        <f>IFERROR(AVERAGEIF('Данные 2st'!$Q$2:$Q$317,$A25,'Данные 2st'!$EG$2:$EG$317),"")</f>
        <v>13.2</v>
      </c>
      <c r="LQ25" s="7">
        <f>IFERROR(AVERAGEIF('Данные 2st'!$Q$2:$Q$317,$A25,'Данные 2st'!$EI$2:$EI$317),"")</f>
        <v>0.16</v>
      </c>
      <c r="LR25" s="7">
        <f>IFERROR(AVERAGEIF('Данные 2st'!$Q$2:$Q$317,$A25,'Данные 2st'!$EJ$2:$EJ$317),"")</f>
        <v>1960</v>
      </c>
      <c r="LS25" s="7">
        <f>IFERROR(AVERAGEIF('Данные 2st'!$Q$2:$Q$317,$A25,'Данные 2st'!$EK$2:$EK$317),"")</f>
        <v>57</v>
      </c>
      <c r="LT25" s="7">
        <f>IFERROR(AVERAGEIF('Данные 2st'!$Q$2:$Q$317,$A25,'Данные 2st'!$EM$2:$EM$317),"")</f>
        <v>12</v>
      </c>
      <c r="LU25" s="7">
        <f>IFERROR(AVERAGEIF('Данные 2st'!$Q$2:$Q$317,$A25,'Данные 2st'!$EN$2:$EN$317),"")</f>
        <v>0.5</v>
      </c>
      <c r="LV25" s="7">
        <f>IFERROR(AVERAGEIF('Данные 2st'!$Q$2:$Q$317,$A25,'Данные 2st'!$EO$2:$EO$317),"")</f>
        <v>0.9219999999999999</v>
      </c>
      <c r="LW25" s="7">
        <f>IFERROR(AVERAGEIF('Данные 2st'!$Q$2:$Q$317,$A25,'Данные 2st'!$EP$2:$EP$317),"")</f>
        <v>1954.772</v>
      </c>
      <c r="LX25" s="7">
        <f>IFERROR(AVERAGEIF('Данные 2st'!$Q$2:$Q$317,$A25,'Данные 2st'!$EQ$2:$EQ$317),"")</f>
        <v>30603.826</v>
      </c>
      <c r="LY25" s="7">
        <f>IFERROR(AVERAGEIF('Данные 2st'!$Q$2:$Q$317,$A25,'Данные 2st'!$ER$2:$ER$317),"")</f>
        <v>5687.924</v>
      </c>
      <c r="LZ25" s="7">
        <f>IFERROR(AVERAGEIF('Данные 2st'!$Q$2:$Q$317,$A25,'Данные 2st'!$ES$2:$ES$317),"")</f>
        <v>0</v>
      </c>
      <c r="MA25" s="7">
        <f>IFERROR(AVERAGEIF('Данные 2st'!$Q$2:$Q$317,$A25,'Данные 2st'!$ET$2:$ET$317),"")</f>
        <v>0</v>
      </c>
      <c r="MB25" s="7">
        <f>IFERROR(AVERAGEIF('Данные 2st'!$Q$2:$Q$317,$A25,'Данные 2st'!$EU$2:$EU$317),"")</f>
        <v>1</v>
      </c>
      <c r="MC25" s="7">
        <f>IFERROR(AVERAGEIF('Данные 2st'!$Q$2:$Q$317,$A25,'Данные 2st'!$EV$2:$EV$317),"")</f>
        <v>36292.2</v>
      </c>
      <c r="MD25" s="7">
        <f>IFERROR(AVERAGEIF('Данные 2st'!$Q$2:$Q$317,$A25,'Данные 2st'!$EW$2:$EW$317),"")</f>
        <v>420.2</v>
      </c>
      <c r="ME25" s="7">
        <f>IFERROR(AVERAGEIF('Данные 2st'!$Q$2:$Q$317,$A25,'Данные 2st'!$EY$2:$EY$317),"")</f>
        <v>202.8</v>
      </c>
      <c r="MF25" s="7">
        <f>IFERROR(AVERAGEIF('Данные 2st'!$Q$2:$Q$317,$A25,'Данные 2st'!$FA$2:$FA$317),"")</f>
        <v>5.06</v>
      </c>
      <c r="MG25" s="7">
        <f>IFERROR(AVERAGEIF('Данные 2st'!$Q$2:$Q$317,$A25,'Данные 2st'!$FB$2:$FB$317),"")</f>
        <v>1</v>
      </c>
      <c r="MH25" s="7">
        <f>IFERROR(AVERAGEIF('Данные 2st'!$Q$2:$Q$317,$A25,'Данные 2st'!$FC$2:$FC$317),"")</f>
        <v>1</v>
      </c>
      <c r="MI25" s="7">
        <f>IFERROR(AVERAGEIF('Данные 2st'!$Q$2:$Q$317,$A25,'Данные 2st'!$FD$2:$FD$317),"")</f>
        <v>1987.6</v>
      </c>
      <c r="MJ25" s="7">
        <f>IFERROR(AVERAGEIF('Данные 2st'!$Q$2:$Q$317,$A25,'Данные 2st'!$FE$2:$FE$317),"")</f>
        <v>2137.8</v>
      </c>
      <c r="MK25" s="7">
        <f>IFERROR(AVERAGEIF('Данные 2st'!$Q$2:$Q$317,$A25,'Данные 2st'!$FG$2:$FG$317),"")</f>
        <v>204.4</v>
      </c>
      <c r="ML25" s="7">
        <f>IFERROR(AVERAGEIF('Данные 2st'!$Q$2:$Q$317,$A25,'Данные 2st'!$FI$2:$FI$317),"")</f>
        <v>3.04</v>
      </c>
      <c r="MM25" s="7">
        <f>IFERROR(AVERAGEIF('Данные 2st'!$Q$2:$Q$317,$A25,'Данные 2st'!$FJ$2:$FJ$317),"")</f>
        <v>1987.6</v>
      </c>
      <c r="MN25" s="7">
        <f>IFERROR(AVERAGEIF('Данные 2st'!$Q$2:$Q$317,$A25,'Данные 2st'!$FK$2:$FK$317),"")</f>
        <v>1434.8</v>
      </c>
      <c r="MO25" s="7">
        <f>IFERROR(AVERAGEIF('Данные 2st'!$Q$2:$Q$317,$A25,'Данные 2st'!$FP$2:$FP$317),"")</f>
        <v>1987.6</v>
      </c>
      <c r="MP25" s="7">
        <f>IFERROR(AVERAGEIF('Данные 2st'!$Q$2:$Q$317,$A25,'Данные 2st'!$FQ$2:$FQ$317),"")</f>
        <v>164</v>
      </c>
      <c r="MQ25" s="7">
        <f>IFERROR(AVERAGEIF('Данные 2st'!$Q$2:$Q$317,$A25,'Данные 2st'!$FS$2:$FS$317),"")</f>
        <v>208.4</v>
      </c>
      <c r="MR25" s="7">
        <f>IFERROR(AVERAGEIF('Данные 2st'!$Q$2:$Q$317,$A25,'Данные 2st'!$FU$2:$FU$317),"")</f>
        <v>0.4</v>
      </c>
      <c r="MS25" s="7">
        <f>IFERROR(AVERAGEIF('Данные 2st'!$Q$2:$Q$317,$A25,'Данные 2st'!$FV$2:$FV$317),"")</f>
        <v>1987.6</v>
      </c>
      <c r="MT25" s="7">
        <f>IFERROR(AVERAGEIF('Данные 2st'!$Q$2:$Q$317,$A25,'Данные 2st'!$FW$2:$FW$317),"")</f>
        <v>184.4</v>
      </c>
      <c r="MU25" s="7">
        <f>IFERROR(AVERAGEIF('Данные 2st'!$Q$2:$Q$317,$A25,'Данные 2st'!$FY$2:$FY$317),"")</f>
        <v>5</v>
      </c>
      <c r="MV25" s="7">
        <f>IFERROR(AVERAGEIF('Данные 2st'!$Q$2:$Q$317,$A25,'Данные 2st'!$GB$2:$GB$317),"")</f>
        <v>1984.5</v>
      </c>
      <c r="MW25" s="7">
        <f>IFERROR(AVERAGEIF('Данные 2st'!$Q$2:$Q$317,$A25,'Данные 2st'!$GC$2:$GC$317),"")</f>
        <v>18.5</v>
      </c>
      <c r="MX25" s="7">
        <f>IFERROR(AVERAGEIF('Данные 2st'!$Q$2:$Q$317,$A25,'Данные 2st'!$GD$2:$GD$317),"")</f>
        <v>3935.8</v>
      </c>
      <c r="MY25" s="7">
        <f>IFERROR(AVERAGEIF('Данные 2st'!$Q$2:$Q$317,$A25,'Данные 2st'!$GN$2:$GN$317),"")</f>
        <v/>
      </c>
      <c r="MZ25" s="7">
        <f>IFERROR(AVERAGEIF('Данные 2st'!$Q$2:$Q$317,$A25,'Данные 2st'!$GQ$2:$GQ$317),"")</f>
        <v>0</v>
      </c>
      <c r="NA25" s="7">
        <f>IFERROR(AVERAGEIF('Данные 2st'!$Q$2:$Q$317,$A25,'Данные 2st'!$GV$2:$GV$317),"")</f>
        <v>8.5</v>
      </c>
      <c r="NB25" s="7">
        <f>IFERROR(AVERAGEIF('Данные 2st'!$Q$2:$Q$317,$A25,'Данные 2st'!$GW$2:$GW$317),"")</f>
        <v>9.86</v>
      </c>
      <c r="NC25" s="7">
        <f>IFERROR(AVERAGEIF('Данные 2st'!$Q$2:$Q$317,$A25,'Данные 2st'!$GX$2:$GX$317),"")</f>
        <v>0.5</v>
      </c>
      <c r="ND25" s="7">
        <f>IFERROR(AVERAGEIF('Данные 2st'!$Q$2:$Q$317,$A25,'Данные 2st'!$GY$2:$GY$317),"")</f>
        <v>171.2</v>
      </c>
      <c r="NE25" s="7">
        <f>IFERROR(AVERAGEIF('Данные 2st'!$Q$2:$Q$317,$A25,'Данные 2st'!$GZ$2:$GZ$317),"")</f>
        <v>3</v>
      </c>
      <c r="NF25" s="7">
        <f>IFERROR(AVERAGEIF('Данные 2st'!$Q$2:$Q$317,$A25,'Данные 2st'!$HA$2:$HA$317),"")</f>
        <v>226</v>
      </c>
      <c r="NG25" s="7">
        <f>IFERROR(AVERAGEIF('Данные 2st'!$Q$2:$Q$317,$A25,'Данные 2st'!$HB$2:$HB$317),"")</f>
        <v>3</v>
      </c>
      <c r="NH25" s="7">
        <f>IFERROR(AVERAGEIF('Данные 2st'!$Q$2:$Q$317,$A25,'Данные 2st'!$HC$2:$HC$317),"")</f>
        <v>1987.6</v>
      </c>
      <c r="NI25" s="7">
        <f>IFERROR(AVERAGEIF('Данные 2st'!$Q$2:$Q$317,$A25,'Данные 2st'!$HD$2:$HD$317),"")</f>
        <v>4</v>
      </c>
      <c r="NJ25" s="7">
        <f>IFERROR(AVERAGEIF('Данные 2st'!$Q$2:$Q$317,$A25,'Данные 2st'!$HM$2:$HM$317),"")</f>
        <v>16</v>
      </c>
      <c r="NK25" s="7">
        <f>IFERROR(AVERAGEIF('Данные 2st'!$Q$2:$Q$317,$A25,'Данные 2st'!$HR$2:$HR$317),"")</f>
        <v>3</v>
      </c>
      <c r="NL25" s="7">
        <f>IFERROR(AVERAGEIF('Данные 2st'!$Q$2:$Q$317,$A25,'Данные 2st'!$HS$2:$HS$317),"")</f>
        <v>1942</v>
      </c>
      <c r="NM25" s="7">
        <f>IFERROR(AVERAGEIF('Данные 2st'!$Q$2:$Q$317,$A25,'Данные 2st'!$HT$2:$HT$317),"")</f>
        <v>5</v>
      </c>
      <c r="NN25" s="7">
        <f>IFERROR(AVERAGEIF('Данные 2st'!$Q$2:$Q$317,$A25,'Данные 2st'!$HY$2:$HY$317),"")</f>
        <v>0</v>
      </c>
      <c r="NO25" s="7">
        <f>IFERROR(AVERAGEIF('Данные 2st'!$Q$2:$Q$317,$A25,'Данные 2st'!$HZ$2:$HZ$317),"")</f>
        <v>64.6</v>
      </c>
      <c r="NP25" s="7">
        <f>IFERROR(AVERAGEIF('Данные 2st'!$Q$2:$Q$317,$A25,'Данные 2st'!$IA$2:$IA$317),"")</f>
        <v>1945.2</v>
      </c>
      <c r="NQ25" s="7">
        <f>IFERROR(AVERAGEIF('Данные 2st'!$Q$2:$Q$317,$A25,'Данные 2st'!$IB$2:$IB$317),"")</f>
        <v>1955.2</v>
      </c>
      <c r="NR25" s="7">
        <f>IFERROR(AVERAGEIF('Данные 2st'!$Q$2:$Q$317,$A25,'Данные 2st'!$IC$2:$IC$317),"")</f>
        <v/>
      </c>
      <c r="NS25" s="7">
        <f>IFERROR(AVERAGEIF('Данные 2st'!$Q$2:$Q$317,$A25,'Данные 2st'!$ID$2:$ID$317),"")</f>
        <v>1987.6</v>
      </c>
      <c r="NT25" s="7">
        <f>IFERROR(AVERAGEIF('Данные 2st'!$Q$2:$Q$317,$A25,'Данные 2st'!$IE$2:$IE$317),"")</f>
        <v>1987.6</v>
      </c>
      <c r="NU25" s="7">
        <f>IFERROR(AVERAGEIF('Данные 2st'!$Q$2:$Q$317,$A25,'Данные 2st'!$IF$2:$IF$317),"")</f>
        <v>183</v>
      </c>
      <c r="NV25" s="7">
        <f>IFERROR(AVERAGEIF('Данные 2st'!$Q$2:$Q$317,$A25,'Данные 2st'!$IG$2:$IG$317),"")</f>
        <v>173</v>
      </c>
      <c r="NW25" s="7">
        <f>IFERROR(AVERAGEIF('Данные 2st'!$Q$2:$Q$317,$A25,'Данные 2st'!$IH$2:$IH$317),"")</f>
        <v>226</v>
      </c>
      <c r="NX25" s="7">
        <f>IFERROR(AVERAGEIF('Данные 2st'!$Q$2:$Q$317,$A25,'Данные 2st'!$IJ$2:$IJ$317),"")</f>
        <v>5</v>
      </c>
      <c r="NY25" s="7">
        <f>IFERROR(AVERAGEIF('Данные 2st'!$Q$2:$Q$317,$A25,'Данные 2st'!$IM$2:$IM$317),"")</f>
        <v>0</v>
      </c>
      <c r="NZ25" s="7">
        <f>IFERROR(AVERAGEIF('Данные 2st'!$Q$2:$Q$317,$A25,'Данные 2st'!$IN$2:$IN$317),"")</f>
        <v>270</v>
      </c>
      <c r="OA25" s="7">
        <f>IFERROR(AVERAGEIF('Данные 2st'!$Q$2:$Q$317,$A25,'Данные 2st'!$IO$2:$IO$317),"")</f>
        <v>0</v>
      </c>
      <c r="OB25" s="7">
        <f>IFERROR(AVERAGEIF('Данные 2st'!$Q$2:$Q$317,$A25,'Данные 2st'!$IP$2:$IP$317),"")</f>
        <v>180</v>
      </c>
      <c r="OC25" s="7">
        <f>IFERROR(AVERAGEIF('Данные 2st'!$Q$2:$Q$317,$A25,'Данные 2st'!$IQ$2:$IQ$317),"")</f>
        <v>0</v>
      </c>
      <c r="OD25" s="7">
        <f>IFERROR(AVERAGEIF('Данные 2st'!$Q$2:$Q$317,$A25,'Данные 2st'!$IR$2:$IR$317),"")</f>
        <v>322</v>
      </c>
      <c r="OE25" s="7">
        <f>IFERROR(AVERAGEIF('Данные 2st'!$Q$2:$Q$317,$A25,'Данные 2st'!$IT$2:$IT$317),"")</f>
        <v>90</v>
      </c>
      <c r="OF25" s="7">
        <f>IFERROR(AVERAGEIF('Данные 2st'!$Q$2:$Q$317,$A25,'Данные 2st'!$IU$2:$IU$317),"")</f>
        <v>0</v>
      </c>
      <c r="OG25" s="7">
        <f>IFERROR(AVERAGEIF('Данные 2st'!$Q$2:$Q$317,$A25,'Данные 2st'!$IV$2:$IV$317),"")</f>
        <v>6.4</v>
      </c>
      <c r="OH25" s="7">
        <f>IFERROR(AVERAGEIF('Данные 2st'!$Q$2:$Q$317,$A25,'Данные 2st'!$IW$2:$IW$317),"")</f>
        <v>-6</v>
      </c>
      <c r="OI25" s="7">
        <f>IFERROR(AVERAGEIF('Данные 2st'!$Q$2:$Q$317,$A25,'Данные 2st'!$IX$2:$IX$317),"")</f>
        <v>94.2</v>
      </c>
      <c r="OJ25" s="7">
        <f>IFERROR(AVERAGEIF('Данные 2st'!$Q$2:$Q$317,$A25,'Данные 2st'!$IY$2:$IY$317),"")</f>
        <v>75.6</v>
      </c>
      <c r="OK25" s="7">
        <f>IFERROR(AVERAGEIF('Данные 2st'!$Q$2:$Q$317,$A25,'Данные 2st'!$IZ$2:$IZ$317),"")</f>
        <v>0</v>
      </c>
      <c r="OL25" s="7">
        <f>IFERROR(AVERAGEIF('Данные 2st'!$Q$2:$Q$317,$A25,'Данные 2st'!$JA$2:$JA$317),"")</f>
        <v>0</v>
      </c>
      <c r="OM25" s="7">
        <f>IFERROR(AVERAGEIF('Данные 2st'!$Q$2:$Q$317,$A25,'Данные 2st'!$JB$2:$JB$317),"")</f>
        <v>0</v>
      </c>
      <c r="ON25" s="7">
        <f>IFERROR(AVERAGEIF('Данные 2st'!$Q$2:$Q$317,$A25,'Данные 2st'!$JC$2:$JC$317),"")</f>
        <v>0</v>
      </c>
      <c r="OO25" s="7">
        <f>IFERROR(AVERAGEIF('Данные 2st'!$Q$2:$Q$317,$A25,'Данные 2st'!$JD$2:$JD$317),"")</f>
        <v>0</v>
      </c>
      <c r="OP25" s="7">
        <f>IFERROR(AVERAGEIF('Данные 2st'!$Q$2:$Q$317,$A25,'Данные 2st'!$JE$2:$JE$317),"")</f>
        <v>0</v>
      </c>
      <c r="OQ25" s="7">
        <f>IFERROR(AVERAGEIF('Данные 2st'!$Q$2:$Q$317,$A25,'Данные 2st'!$JF$2:$JF$317),"")</f>
        <v>0</v>
      </c>
      <c r="OR25" s="7">
        <f>IFERROR(AVERAGEIF('Данные 2st'!$Q$2:$Q$317,$A25,'Данные 2st'!$JG$2:$JG$317),"")</f>
        <v>0</v>
      </c>
      <c r="OS25" s="7">
        <f>IFERROR(AVERAGEIF('Данные 2st'!$Q$2:$Q$317,$A25,'Данные 2st'!$JH$2:$JH$317),"")</f>
        <v>0</v>
      </c>
      <c r="OT25" s="7">
        <f>IFERROR(AVERAGEIF('Данные 2st'!$Q$2:$Q$317,$A25,'Данные 2st'!$JI$2:$JI$317),"")</f>
        <v>387.6</v>
      </c>
      <c r="OU25" s="7">
        <f>IFERROR(AVERAGEIF('Данные 2st'!$Q$2:$Q$317,$A25,'Данные 2st'!$JJ$2:$JJ$317),"")</f>
        <v>351.2</v>
      </c>
      <c r="OV25" s="7">
        <f>IFERROR(AVERAGEIF('Данные 2st'!$Q$2:$Q$317,$A25,'Данные 2st'!$JK$2:$JK$317),"")</f>
        <v>262.4</v>
      </c>
      <c r="OW25" s="7">
        <f>IFERROR(AVERAGEIF('Данные 2st'!$Q$2:$Q$317,$A25,'Данные 2st'!$JL$2:$JL$317),"")</f>
        <v>348.8</v>
      </c>
      <c r="OX25" s="7">
        <f>IFERROR(AVERAGEIF('Данные 2st'!$Q$2:$Q$317,$A25,'Данные 2st'!$JM$2:$JM$317),"")</f>
        <v>280.8</v>
      </c>
      <c r="OY25" s="7">
        <f>IFERROR(AVERAGEIF('Данные 2st'!$Q$2:$Q$317,$A25,'Данные 2st'!$JP$2:$JP$317),"")</f>
        <v>200.8</v>
      </c>
      <c r="OZ25" s="7">
        <f>IFERROR(AVERAGEIF('Данные 2st'!$Q$2:$Q$317,$A25,'Данные 2st'!$JQ$2:$JQ$317),"")</f>
        <v>260</v>
      </c>
      <c r="PA25" s="7">
        <f>IFERROR(AVERAGEIF('Данные 2st'!$Q$2:$Q$317,$A25,'Данные 2st'!$JR$2:$JR$317),"")</f>
        <v>354</v>
      </c>
      <c r="PB25" s="7">
        <f>IFERROR(AVERAGEIF('Данные 2st'!$Q$2:$Q$317,$A25,'Данные 2st'!$JS$2:$JS$317),"")</f>
        <v>247</v>
      </c>
      <c r="PC25" s="7">
        <f>IFERROR(AVERAGEIF('Данные 2st'!$Q$2:$Q$317,$A25,'Данные 2st'!$JT$2:$JT$317),"")</f>
        <v>0</v>
      </c>
      <c r="PD25" s="7">
        <f>IFERROR(AVERAGEIF('Данные 2st'!$Q$2:$Q$317,$A25,'Данные 2st'!$JU$2:$JU$317),"")</f>
        <v>0</v>
      </c>
      <c r="PE25" s="7">
        <f>IFERROR(AVERAGEIF('Данные 2st'!$Q$2:$Q$317,$A25,'Данные 2st'!$JV$2:$JV$317),"")</f>
        <v>335</v>
      </c>
      <c r="PF25" s="7">
        <f>IFERROR(AVERAGEIF('Данные 2st'!$Q$2:$Q$317,$A25,'Данные 2st'!$JW$2:$JW$317),"")</f>
        <v>337</v>
      </c>
      <c r="PG25" s="7">
        <f>IFERROR(AVERAGEIF('Данные 2st'!$Q$2:$Q$317,$A25,'Данные 2st'!$KF$2:$KF$317),"")</f>
        <v>0.17600000000000002</v>
      </c>
      <c r="PH25" s="7">
        <f>IFERROR(AVERAGEIF('Данные 2st'!$Q$2:$Q$317,$A25,'Данные 2st'!$KG$2:$KG$317),"")</f>
        <v>0.10200000000000001</v>
      </c>
      <c r="PI25" s="7">
        <f>IFERROR(AVERAGEIF('Данные 2st'!$Q$2:$Q$317,$A25,'Данные 2st'!$KM$2:$KM$317),"")</f>
        <v>0</v>
      </c>
      <c r="PJ25" s="7">
        <f>IFERROR(AVERAGEIF('Данные 2st'!$Q$2:$Q$317,$A25,'Данные 2st'!$KN$2:$KN$317),"")</f>
        <v>1.46</v>
      </c>
      <c r="PK25" s="7">
        <f>IFERROR(AVERAGEIF('Данные 2st'!$Q$2:$Q$317,$A25,'Данные 2st'!$KO$2:$KO$317),"")</f>
        <v>0</v>
      </c>
      <c r="PL25" s="7">
        <f>IFERROR(AVERAGEIF('Данные 2st'!$Q$2:$Q$317,$A25,'Данные 2st'!$KP$2:$KP$317),"")</f>
        <v>0</v>
      </c>
      <c r="PM25" s="7">
        <f>IFERROR(AVERAGEIF('Данные 2st'!$Q$2:$Q$317,$A25,'Данные 2st'!$KQ$2:$KQ$317),"")</f>
        <v>0.9400000000000001</v>
      </c>
      <c r="PN25" s="7">
        <f>IFERROR(AVERAGEIF('Данные 2st'!$Q$2:$Q$317,$A25,'Данные 2st'!$KR$2:$KR$317),"")</f>
        <v>0.9400000000000001</v>
      </c>
      <c r="PO25" s="7">
        <f>IFERROR(AVERAGEIF('Данные 2st'!$Q$2:$Q$317,$A25,'Данные 2st'!$KS$2:$KS$317),"")</f>
        <v>0</v>
      </c>
      <c r="PP25" s="7">
        <f>IFERROR(AVERAGEIF('Данные 2st'!$Q$2:$Q$317,$A25,'Данные 2st'!$KT$2:$KT$317),"")</f>
        <v>1.94</v>
      </c>
      <c r="PQ25" s="7">
        <f>IFERROR(AVERAGEIF('Данные 2st'!$Q$2:$Q$317,$A25,'Данные 2st'!$KU$2:$KU$317),"")</f>
        <v>0</v>
      </c>
      <c r="PR25" s="7">
        <f>IFERROR(AVERAGEIF('Данные 2st'!$Q$2:$Q$317,$A25,'Данные 2st'!$KV$2:$KV$317),"")</f>
        <v>0</v>
      </c>
      <c r="PS25" s="7">
        <f>IFERROR(AVERAGEIF('Данные 2st'!$Q$2:$Q$317,$A25,'Данные 2st'!$KW$2:$KW$317),"")</f>
        <v>1.04</v>
      </c>
      <c r="PT25" s="7">
        <f>IFERROR(AVERAGEIF('Данные 2st'!$Q$2:$Q$317,$A25,'Данные 2st'!$KX$2:$KX$317),"")</f>
        <v>2</v>
      </c>
      <c r="PU25" s="7">
        <f>IFERROR(AVERAGEIF('Данные 2st'!$Q$2:$Q$317,$A25,'Данные 2st'!$KY$2:$KY$317),"")</f>
        <v>0</v>
      </c>
      <c r="PV25" s="7">
        <f>IFERROR(AVERAGEIF('Данные 2st'!$Q$2:$Q$317,$A25,'Данные 2st'!$KZ$2:$KZ$317),"")</f>
        <v>0</v>
      </c>
      <c r="PW25" s="7">
        <f>IFERROR(AVERAGEIF('Данные 2st'!$Q$2:$Q$317,$A25,'Данные 2st'!$LA$2:$LA$317),"")</f>
        <v>0</v>
      </c>
      <c r="PX25" s="7">
        <f>IFERROR(AVERAGEIF('Данные 2st'!$Q$2:$Q$317,$A25,'Данные 2st'!$LB$2:$LB$317),"")</f>
        <v>0</v>
      </c>
      <c r="PY25" s="7">
        <f>IFERROR(AVERAGEIF('Данные 2st'!$Q$2:$Q$317,$A25,'Данные 2st'!$LC$2:$LC$317),"")</f>
        <v>0</v>
      </c>
      <c r="PZ25" s="7">
        <f>IFERROR(AVERAGEIF('Данные 2st'!$Q$2:$Q$317,$A25,'Данные 2st'!$LD$2:$LD$317),"")</f>
        <v>0</v>
      </c>
      <c r="QA25" s="7">
        <f>IFERROR(AVERAGEIF('Данные 2st'!$Q$2:$Q$317,$A25,'Данные 2st'!$LE$2:$LE$317),"")</f>
        <v>0</v>
      </c>
      <c r="QB25" s="7">
        <f>IFERROR(AVERAGEIF('Данные 2st'!$Q$2:$Q$317,$A25,'Данные 2st'!$LF$2:$LF$317),"")</f>
        <v>0</v>
      </c>
      <c r="QC25" s="7">
        <f>IFERROR(AVERAGEIF('Данные 2st'!$Q$2:$Q$317,$A25,'Данные 2st'!$LG$2:$LG$317),"")</f>
        <v>0</v>
      </c>
      <c r="QD25" s="7">
        <f>IFERROR(AVERAGEIF('Данные 2st'!$Q$2:$Q$317,$A25,'Данные 2st'!$LH$2:$LH$317),"")</f>
        <v>3</v>
      </c>
      <c r="QE25" s="7">
        <f>IFERROR(AVERAGEIF('Данные 2st'!$Q$2:$Q$317,$A25,'Данные 2st'!$LJ$2:$LJ$317),"")</f>
        <v>0</v>
      </c>
      <c r="QF25" s="7">
        <f>IFERROR(AVERAGEIF('Данные 2st'!$Q$2:$Q$317,$A25,'Данные 2st'!$LK$2:$LK$317),"")</f>
        <v>3.8</v>
      </c>
      <c r="QG25" s="7">
        <f>IFERROR(AVERAGEIF('Данные 2st'!$Q$2:$Q$317,$A25,'Данные 2st'!$LL$2:$LL$317),"")</f>
        <v>4.2</v>
      </c>
      <c r="QH25" s="7">
        <f>IFERROR(AVERAGEIF('Данные 2st'!$Q$2:$Q$317,$A25,'Данные 2st'!$LM$2:$LM$317),"")</f>
        <v>5.2</v>
      </c>
      <c r="QI25" s="7">
        <f>IFERROR(AVERAGEIF('Данные 2st'!$Q$2:$Q$317,$A25,'Данные 2st'!$LN$2:$LN$317),"")</f>
        <v>0.6</v>
      </c>
      <c r="QJ25" s="7">
        <f>IFERROR(AVERAGEIF('Данные 2st'!$Q$2:$Q$317,$A25,'Данные 2st'!$LO$2:$LO$317),"")</f>
        <v>0.9</v>
      </c>
      <c r="QK25" s="7">
        <f>IFERROR(AVERAGEIF('Данные 2st'!$Q$2:$Q$317,$A25,'Данные 2st'!$LP$2:$LP$317),"")</f>
        <v>0</v>
      </c>
      <c r="QL25" s="7">
        <f>IFERROR(AVERAGEIF('Данные 2st'!$Q$2:$Q$317,$A25,'Данные 2st'!$LQ$2:$LQ$317),"")</f>
        <v>0</v>
      </c>
      <c r="QM25" s="7">
        <f>IFERROR(AVERAGEIF('Данные 2st'!$Q$2:$Q$317,$A25,'Данные 2st'!$LW$2:$LW$317),"")</f>
        <v>1.76</v>
      </c>
      <c r="QN25" s="7">
        <f>IFERROR(AVERAGEIF('Данные 2st'!$Q$2:$Q$317,$A25,'Данные 2st'!$LX$2:$LX$317),"")</f>
        <v>1.76</v>
      </c>
      <c r="QO25" s="7">
        <f>IFERROR(AVERAGEIF('Данные 2st'!$Q$2:$Q$317,$A25,'Данные 2st'!$LY$2:$LY$317),"")</f>
        <v>2.1</v>
      </c>
      <c r="QP25" s="7">
        <f>IFERROR(AVERAGEIF('Данные 2st'!$Q$2:$Q$317,$A25,'Данные 2st'!$LZ$2:$LZ$317),"")</f>
        <v>2.1</v>
      </c>
      <c r="QQ25" s="7">
        <f>IFERROR(AVERAGEIF('Данные 2st'!$Q$2:$Q$317,$A25,'Данные 2st'!$MB$2:$MB$317),"")</f>
        <v>7.9</v>
      </c>
      <c r="QR25" s="7">
        <f>IFERROR(AVERAGEIF('Данные 2st'!$Q$2:$Q$317,$A25,'Данные 2st'!$MG$2:$MG$317),"")</f>
        <v/>
      </c>
      <c r="QS25" s="7">
        <f>IFERROR(AVERAGEIF('Данные 2st'!$Q$2:$Q$317,$A25,'Данные 2st'!$MH$2:$MH$317),"")</f>
        <v/>
      </c>
      <c r="QT25" s="7">
        <f>IFERROR(AVERAGEIF('Данные 2st'!$Q$2:$Q$317,$A25,'Данные 2st'!$MI$2:$MI$317),"")</f>
        <v>0</v>
      </c>
      <c r="QU25" s="7">
        <f>IFERROR(AVERAGEIF('Данные 2st'!$Q$2:$Q$317,$A25,'Данные 2st'!$MJ$2:$MJ$317),"")</f>
        <v>0</v>
      </c>
      <c r="QV25" s="7">
        <f>IFERROR(AVERAGEIF('Данные 2st'!$Q$2:$Q$317,$A25,'Данные 2st'!$MK$2:$MK$317),"")</f>
        <v/>
      </c>
      <c r="QW25" s="7">
        <f>IFERROR(AVERAGEIF('Данные 2st'!$Q$2:$Q$317,$A25,'Данные 2st'!$MM$2:$MM$317),"")</f>
        <v>393.6</v>
      </c>
      <c r="QX25" s="7">
        <f>IFERROR(AVERAGEIF('Данные 2st'!$Q$2:$Q$317,$A25,'Данные 2st'!$MQ$2:$MQ$317),"")</f>
        <v/>
      </c>
      <c r="QY25" s="7">
        <f>IFERROR(AVERAGEIF('Данные 2st'!$Q$2:$Q$317,$A25,'Данные 2st'!$MR$2:$MR$317),"")</f>
        <v/>
      </c>
      <c r="QZ25" s="7">
        <f>IFERROR(AVERAGEIF('Данные 2st'!$Q$2:$Q$317,$A25,'Данные 2st'!$MS$2:$MS$317),"")</f>
        <v/>
      </c>
      <c r="RA25" s="7">
        <f>IFERROR(AVERAGEIF('Данные 2st'!$Q$2:$Q$317,$A25,'Данные 2st'!$MT$2:$MT$317),"")</f>
        <v/>
      </c>
      <c r="RB25" s="7">
        <f>IFERROR(AVERAGEIF('Данные 2st'!$Q$2:$Q$317,$A25,'Данные 2st'!$MU$2:$MU$317),"")</f>
        <v/>
      </c>
      <c r="RC25" s="7">
        <f>IFERROR(AVERAGEIF('Данные 2st'!$Q$2:$Q$317,$A25,'Данные 2st'!$MV$2:$MV$317),"")</f>
        <v/>
      </c>
      <c r="RD25" s="7">
        <f>IFERROR(AVERAGEIF('Данные 2st'!$Q$2:$Q$317,$A25,'Данные 2st'!$MW$2:$MW$317),"")</f>
        <v/>
      </c>
      <c r="RE25" s="7">
        <f>IFERROR(AVERAGEIF('Данные 2st'!$Q$2:$Q$317,$A25,'Данные 2st'!$MX$2:$MX$317),"")</f>
        <v/>
      </c>
      <c r="RF25" s="7">
        <f>IFERROR(AVERAGEIF('Данные 2st'!$Q$2:$Q$317,$A25,'Данные 2st'!$MY$2:$MY$317),"")</f>
        <v/>
      </c>
      <c r="RG25" s="7">
        <f>IFERROR(AVERAGEIF('Данные 2st'!$Q$2:$Q$317,$A25,'Данные 2st'!$MZ$2:$MZ$317),"")</f>
        <v/>
      </c>
      <c r="RH25" s="7">
        <f>IFERROR(AVERAGEIF('Данные 2st'!$Q$2:$Q$317,$A25,'Данные 2st'!$NA$2:$NA$317),"")</f>
        <v/>
      </c>
      <c r="RI25" s="7">
        <f>IFERROR(AVERAGEIF('Данные 2st'!$Q$2:$Q$317,$A25,'Данные 2st'!$NB$2:$NB$317),"")</f>
        <v/>
      </c>
      <c r="RJ25" s="7">
        <f>IFERROR(AVERAGEIF('Данные 2st'!$Q$2:$Q$317,$A25,'Данные 2st'!$NC$2:$NC$317),"")</f>
        <v/>
      </c>
      <c r="RK25" s="7">
        <f>IFERROR(AVERAGEIF('Данные 2st'!$Q$2:$Q$317,$A25,'Данные 2st'!$ND$2:$ND$317),"")</f>
        <v/>
      </c>
      <c r="RL25" s="7">
        <f>IFERROR(AVERAGEIF('Данные 2st'!$Q$2:$Q$317,$A25,'Данные 2st'!$NE$2:$NE$317),"")</f>
        <v/>
      </c>
      <c r="RM25" s="7">
        <f>IFERROR(AVERAGEIF('Данные 2st'!$Q$2:$Q$317,$A25,'Данные 2st'!$NF$2:$NF$317),"")</f>
        <v/>
      </c>
      <c r="RN25" s="7">
        <f>IFERROR(AVERAGEIF('Данные 2st'!$Q$2:$Q$317,$A25,'Данные 2st'!$NG$2:$NG$317),"")</f>
        <v/>
      </c>
      <c r="RO25" s="7">
        <f>IFERROR(AVERAGEIF('Данные 2st'!$Q$2:$Q$317,$A25,'Данные 2st'!$NH$2:$NH$317),"")</f>
        <v>0</v>
      </c>
      <c r="RP25" s="7">
        <f>IFERROR(AVERAGEIF('Данные 2st'!$Q$2:$Q$317,$A25,'Данные 2st'!$NJ$2:$NJ$317),"")</f>
        <v>0</v>
      </c>
      <c r="RQ25" s="7">
        <f>IFERROR(AVERAGEIF('Данные 2st'!$Q$2:$Q$317,$A25,'Данные 2st'!$NK$2:$NK$317),"")</f>
        <v>0</v>
      </c>
      <c r="RR25" s="7">
        <f>IFERROR(AVERAGEIF('Данные 2st'!$Q$2:$Q$317,$A25,'Данные 2st'!$NM$2:$NM$317),"")</f>
        <v>0</v>
      </c>
      <c r="RS25" s="7">
        <f>IFERROR(AVERAGEIF('Данные 2st'!$Q$2:$Q$317,$A25,'Данные 2st'!$NN$2:$NN$317),"")</f>
        <v/>
      </c>
      <c r="RT25" s="7">
        <f>IFERROR(AVERAGEIF('Данные 2st'!$Q$2:$Q$317,$A25,'Данные 2st'!$NO$2:$NO$317),"")</f>
        <v/>
      </c>
      <c r="RU25" s="7">
        <f>IFERROR(AVERAGEIF('Данные 2st'!$Q$2:$Q$317,$A25,'Данные 2st'!$NP$2:$NP$317),"")</f>
        <v/>
      </c>
      <c r="RV25" s="7">
        <f>IFERROR(AVERAGEIF('Данные 2st'!$Q$2:$Q$317,$A25,'Данные 2st'!$NQ$2:$NQ$317),"")</f>
        <v/>
      </c>
      <c r="RW25" s="7">
        <f>IFERROR(AVERAGEIF('Данные 2st'!$Q$2:$Q$317,$A25,'Данные 2st'!$NR$2:$NR$317),"")</f>
        <v/>
      </c>
      <c r="RX25" s="7">
        <f>IFERROR(AVERAGEIF('Данные 2st'!$Q$2:$Q$317,$A25,'Данные 2st'!$NS$2:$NS$317),"")</f>
        <v/>
      </c>
      <c r="RY25" s="7">
        <f>IFERROR(AVERAGEIF('Данные 2st'!$Q$2:$Q$317,$A25,'Данные 2st'!$NT$2:$NT$317),"")</f>
        <v/>
      </c>
      <c r="RZ25" s="7">
        <f>IFERROR(AVERAGEIF('Данные 2st'!$Q$2:$Q$317,$A25,'Данные 2st'!$OK$2:$OK$317),"")</f>
        <v>61</v>
      </c>
      <c r="SA25" s="7">
        <f>IFERROR(AVERAGEIF('Данные 2st'!$Q$2:$Q$317,$A25,'Данные 2st'!$OL$2:$OL$317),"")</f>
        <v>61</v>
      </c>
      <c r="SB25" s="7">
        <f>IFERROR(AVERAGEIF('Данные 2st'!$Q$2:$Q$317,$A25,'Данные 2st'!$ON$2:$ON$317),"")</f>
        <v>1.8</v>
      </c>
      <c r="SC25" s="7">
        <f>IFERROR(AVERAGEIF('Данные 2st'!$Q$2:$Q$317,$A25,'Данные 2st'!$OO$2:$OO$317),"")</f>
        <v>1945.2</v>
      </c>
      <c r="SD25" s="7">
        <f>IFERROR(AVERAGEIF('Данные 2st'!$Q$2:$Q$317,$A25,'Данные 2st'!$OP$2:$OP$317),"")</f>
        <v>61</v>
      </c>
      <c r="SE25" s="7">
        <f>IFERROR(AVERAGEIF('Данные 2st'!$Q$2:$Q$317,$A25,'Данные 2st'!$OQ$2:$OQ$317),"")</f>
        <v>61</v>
      </c>
      <c r="SF25" s="7">
        <f>IFERROR(AVERAGEIF('Данные 2st'!$Q$2:$Q$317,$A25,'Данные 2st'!$OS$2:$OS$317),"")</f>
        <v>1.8</v>
      </c>
      <c r="SG25" s="7">
        <f>IFERROR(AVERAGEIF('Данные 2st'!$Q$2:$Q$317,$A25,'Данные 2st'!$OT$2:$OT$317),"")</f>
        <v>1955.2</v>
      </c>
      <c r="SH25" s="7">
        <f>IFERROR(AVERAGEIF('Данные 2st'!$Q$2:$Q$317,$A25,'Данные 2st'!$OU$2:$OU$317),"")</f>
        <v>65</v>
      </c>
      <c r="SI25" s="7">
        <f>IFERROR(AVERAGEIF('Данные 2st'!$Q$2:$Q$317,$A25,'Данные 2st'!$OV$2:$OV$317),"")</f>
        <v>65</v>
      </c>
      <c r="SJ25" s="7">
        <f>IFERROR(AVERAGEIF('Данные 2st'!$Q$2:$Q$317,$A25,'Данные 2st'!$OX$2:$OX$317),"")</f>
        <v>1.6</v>
      </c>
      <c r="SK25" s="7">
        <f>IFERROR(AVERAGEIF('Данные 2st'!$Q$2:$Q$317,$A25,'Данные 2st'!$OY$2:$OY$317),"")</f>
        <v>36292.2</v>
      </c>
      <c r="SL25" s="7">
        <f>IFERROR(AVERAGEIF('Данные 2st'!$Q$2:$Q$317,$A25,'Данные 2st'!$OZ$2:$OZ$317),"")</f>
        <v>51</v>
      </c>
      <c r="SM25" s="7">
        <f>IFERROR(AVERAGEIF('Данные 2st'!$Q$2:$Q$317,$A25,'Данные 2st'!$PA$2:$PA$317),"")</f>
        <v>51.2</v>
      </c>
      <c r="SN25" s="7">
        <f>IFERROR(AVERAGEIF('Данные 2st'!$Q$2:$Q$317,$A25,'Данные 2st'!$PC$2:$PC$317),"")</f>
        <v>1.4</v>
      </c>
      <c r="SO25" s="7">
        <f>IFERROR(AVERAGEIF('Данные 2st'!$Q$2:$Q$317,$A25,'Данные 2st'!$PD$2:$PD$317),"")</f>
        <v>1987.6</v>
      </c>
      <c r="SP25" s="7">
        <f>IFERROR(AVERAGEIF('Данные 2st'!$Q$2:$Q$317,$A25,'Данные 2st'!$PF$2:$PF$317),"")</f>
        <v>375.2</v>
      </c>
      <c r="SQ25" s="7">
        <f>IFERROR(AVERAGEIF('Данные 2st'!$Q$2:$Q$317,$A25,'Данные 2st'!$PG$2:$PG$317),"")</f>
        <v>32.6</v>
      </c>
      <c r="SR25" s="7">
        <f>IFERROR(AVERAGEIF('Данные 2st'!$Q$2:$Q$317,$A25,'Данные 2st'!$PH$2:$PH$317),"")</f>
        <v>354.8</v>
      </c>
      <c r="SS25" s="7">
        <f>IFERROR(AVERAGEIF('Данные 2st'!$Q$2:$Q$317,$A25,'Данные 2st'!$PI$2:$PI$317),"")</f>
        <v>11.6</v>
      </c>
      <c r="ST25" s="7">
        <f>IFERROR(AVERAGEIF('Данные 2st'!$Q$2:$Q$317,$A25,'Данные 2st'!$PJ$2:$PJ$317),"")</f>
        <v>82.54</v>
      </c>
      <c r="SU25" s="7">
        <f>IFERROR(AVERAGEIF('Данные 2st'!$Q$2:$Q$317,$A25,'Данные 2st'!$PK$2:$PK$317),"")</f>
        <v>1929.75</v>
      </c>
      <c r="SV25" s="7">
        <f>IFERROR(AVERAGEIF('Данные 2st'!$Q$2:$Q$317,$A25,'Данные 2st'!$PL$2:$PL$317),"")</f>
        <v>1075.68</v>
      </c>
      <c r="SW25" s="7">
        <f>IFERROR(AVERAGEIF('Данные 2st'!$Q$2:$Q$317,$A25,'Данные 2st'!$PM$2:$PM$317),"")</f>
        <v>722.24</v>
      </c>
      <c r="SX25" s="7">
        <f>IFERROR(AVERAGEIF('Данные 2st'!$Q$2:$Q$317,$A25,'Данные 2st'!$PN$2:$PN$317),"")</f>
        <v>92.74</v>
      </c>
      <c r="SY25" s="7">
        <f>IFERROR(AVERAGEIF('Данные 2st'!$Q$2:$Q$317,$A25,'Данные 2st'!$PO$2:$PO$317),"")</f>
        <v>9.4</v>
      </c>
      <c r="SZ25" s="7">
        <f>IFERROR(AVERAGEIF('Данные 2st'!$Q$2:$Q$317,$A25,'Данные 2st'!$PP$2:$PP$317),"")</f>
        <v>11.6</v>
      </c>
      <c r="TA25" s="7">
        <f>IFERROR(AVERAGEIF('Данные 2st'!$Q$2:$Q$317,$A25,'Данные 2st'!$PQ$2:$PQ$317),"")</f>
        <v>1</v>
      </c>
      <c r="TB25" s="7">
        <f>IFERROR(AVERAGEIF('Данные 2st'!$Q$2:$Q$317,$A25,'Данные 2st'!$PR$2:$PR$317),"")</f>
        <v>2.2</v>
      </c>
      <c r="TC25" s="7">
        <f>IFERROR(AVERAGEIF('Данные 2st'!$Q$2:$Q$317,$A25,'Данные 2st'!$PS$2:$PS$317),"")</f>
        <v>7.2</v>
      </c>
      <c r="TD25" s="7">
        <f>IFERROR(AVERAGEIF('Данные 2st'!$Q$2:$Q$317,$A25,'Данные 2st'!$PT$2:$PT$317),"")</f>
        <v>226</v>
      </c>
      <c r="TE25" s="7">
        <f>IFERROR(AVERAGEIF('Данные 2st'!$Q$2:$Q$317,$A25,'Данные 2st'!$PU$2:$PU$317),"")</f>
        <v>10.8</v>
      </c>
      <c r="TF25" s="7">
        <f>IFERROR(AVERAGEIF('Данные 2st'!$Q$2:$Q$317,$A25,'Данные 2st'!$PX$2:$PX$317),"")</f>
        <v>0</v>
      </c>
      <c r="TG25" s="7">
        <f>IFERROR(AVERAGEIF('Данные 2st'!$Q$2:$Q$317,$A25,'Данные 2st'!$PY$2:$PY$317),"")</f>
        <v>0</v>
      </c>
      <c r="TH25" s="7">
        <f>IFERROR(AVERAGEIF('Данные 2st'!$Q$2:$Q$317,$A25,'Данные 2st'!$PZ$2:$PZ$317),"")</f>
        <v>0</v>
      </c>
      <c r="TI25" s="7">
        <f>IFERROR(AVERAGEIF('Данные 2st'!$Q$2:$Q$317,$A25,'Данные 2st'!$QA$2:$QA$317),"")</f>
        <v>0</v>
      </c>
      <c r="TJ25" s="7">
        <f>IFERROR(AVERAGEIF('Данные 2st'!$Q$2:$Q$317,$A25,'Данные 2st'!$QB$2:$QB$317),"")</f>
        <v>0</v>
      </c>
      <c r="TK25" s="7">
        <f>IFERROR(AVERAGEIF('Данные 2st'!$Q$2:$Q$317,$A25,'Данные 2st'!$QC$2:$QC$317),"")</f>
        <v>0</v>
      </c>
      <c r="TL25" s="7">
        <f>IFERROR(AVERAGEIF('Данные 2st'!$Q$2:$Q$317,$A25,'Данные 2st'!$QD$2:$QD$317),"")</f>
        <v>0</v>
      </c>
      <c r="TM25" s="7">
        <f>IFERROR(AVERAGEIF('Данные 2st'!$Q$2:$Q$317,$A25,'Данные 2st'!$QE$2:$QE$317),"")</f>
        <v>-1</v>
      </c>
      <c r="TN25" s="7">
        <f>IFERROR(AVERAGEIF('Данные 2st'!$Q$2:$Q$317,$A25,'Данные 2st'!$QF$2:$QF$317),"")</f>
        <v>1</v>
      </c>
      <c r="TO25" s="7">
        <f>IFERROR(AVERAGEIF('Данные 2st'!$Q$2:$Q$317,$A25,'Данные 2st'!$QG$2:$QG$317),"")</f>
        <v>0</v>
      </c>
      <c r="TP25" s="7">
        <f>IFERROR(AVERAGEIF('Данные 2st'!$Q$2:$Q$317,$A25,'Данные 2st'!$QH$2:$QH$317),"")</f>
        <v>5</v>
      </c>
      <c r="TQ25" s="7">
        <f>IFERROR(AVERAGEIF('Данные 2st'!$Q$2:$Q$317,$A25,'Данные 2st'!$QI$2:$QI$317),"")</f>
        <v>5</v>
      </c>
      <c r="TR25" s="7">
        <f>IFERROR(AVERAGEIF('Данные 2st'!$Q$2:$Q$317,$A25,'Данные 2st'!$QJ$2:$QJ$317),"")</f>
        <v>5</v>
      </c>
      <c r="TS25" s="7">
        <f>IFERROR(AVERAGEIF('Данные 2st'!$Q$2:$Q$317,$A25,'Данные 2st'!$QK$2:$QK$317),"")</f>
        <v>188</v>
      </c>
      <c r="TT25" s="7">
        <f>IFERROR(AVERAGEIF('Данные 2st'!$Q$2:$Q$317,$A25,'Данные 2st'!$QL$2:$QL$317),"")</f>
        <v>420.8</v>
      </c>
      <c r="TU25" s="7">
        <f>IFERROR(AVERAGEIF('Данные 2st'!$Q$2:$Q$317,$A25,'Данные 2st'!$QM$2:$QM$317),"")</f>
        <v>7.5</v>
      </c>
      <c r="TV25" s="7">
        <f>IFERROR(AVERAGEIF('Данные 2st'!$Q$2:$Q$317,$A25,'Данные 2st'!$QN$2:$QN$317),"")</f>
        <v>1284.42</v>
      </c>
      <c r="TW25" s="7">
        <f>IFERROR(AVERAGEIF('Данные 2st'!$Q$2:$Q$317,$A25,'Данные 2st'!$QQ$2:$QQ$317),"")</f>
        <v>0</v>
      </c>
      <c r="TX25" s="7">
        <f>IFERROR(AVERAGEIF('Данные 2st'!$Q$2:$Q$317,$A25,'Данные 2st'!$QS$2:$QS$317),"")</f>
        <v>30</v>
      </c>
      <c r="TY25" s="7">
        <f>IFERROR(AVERAGEIF('Данные 2st'!$Q$2:$Q$317,$A25,'Данные 2st'!$QT$2:$QT$317),"")</f>
        <v>40</v>
      </c>
    </row>
    <row r="26" spans="1:545" ht="32" customHeight="1">
      <c r="A26" s="11" t="s">
        <v>819</v>
      </c>
      <c r="B26">
        <f>COUNTIF('Данные 1st'!$S$2:$S$317,$A26)</f>
        <v>5</v>
      </c>
      <c r="C26" s="6" t="s">
        <v>5094</v>
      </c>
      <c r="D26" s="6" t="s">
        <v>513</v>
      </c>
      <c r="E26" s="6" t="s">
        <v>5125</v>
      </c>
      <c r="F26" s="6" t="s">
        <v>5148</v>
      </c>
      <c r="G26" s="7">
        <f>IFERROR(AVERAGEIF('Данные 1st'!$S$2:$S$317,$A26,'Данные 1st'!$AE$2:$AE$317),"")</f>
        <v>184.6</v>
      </c>
      <c r="H26" s="7">
        <f>IFERROR(AVERAGEIF('Данные 1st'!$S$2:$S$317,$A26,'Данные 1st'!$AF$2:$AF$317),"")</f>
        <v>1.5</v>
      </c>
      <c r="I26" s="7">
        <f>IFERROR(AVERAGEIF('Данные 1st'!$S$2:$S$317,$A26,'Данные 1st'!$AJ$2:$AJ$317),"")</f>
        <v>196.0</v>
      </c>
      <c r="J26" s="7">
        <f>IFERROR(AVERAGEIF('Данные 1st'!$S$2:$S$317,$A26,'Данные 1st'!$AL$2:$AL$317),"")</f>
        <v>1.5</v>
      </c>
      <c r="K26" s="7">
        <f>IFERROR(AVERAGEIF('Данные 1st'!$S$2:$S$317,$A26,'Данные 1st'!$AR$2:$AR$317),"")</f>
        <v>0</v>
      </c>
      <c r="L26" s="7">
        <f>IFERROR(AVERAGEIF('Данные 1st'!$S$2:$S$317,$A26,'Данные 1st'!$AS$2:$AS$317),"")</f>
        <v>1.5</v>
      </c>
      <c r="M26" s="7">
        <f>IFERROR(AVERAGEIF('Данные 1st'!$S$2:$S$317,$A26,'Данные 1st'!$AY$2:$AY$317),"")</f>
        <v>279.5</v>
      </c>
      <c r="N26" s="7">
        <f>IFERROR(AVERAGEIF('Данные 1st'!$S$2:$S$317,$A26,'Данные 1st'!$AZ$2:$AZ$317),"")</f>
        <v>1.5</v>
      </c>
      <c r="O26" s="7">
        <f>IFERROR(AVERAGEIF('Данные 1st'!$S$2:$S$317,$A26,'Данные 1st'!$BF$2:$BF$317),"")</f>
        <v>230.83333333333334</v>
      </c>
      <c r="P26" s="7">
        <f>IFERROR(AVERAGEIF('Данные 1st'!$S$2:$S$317,$A26,'Данные 1st'!$BG$2:$BG$317),"")</f>
        <v>1.5</v>
      </c>
      <c r="Q26" s="7">
        <f>IFERROR(AVERAGEIF('Данные 1st'!$S$2:$S$317,$A26,'Данные 1st'!$BM$2:$BM$317),"")</f>
        <v/>
      </c>
      <c r="R26" s="7">
        <f>IFERROR(AVERAGEIF('Данные 1st'!$S$2:$S$317,$A26,'Данные 1st'!$BN$2:$BN$317),"")</f>
        <v>1.5</v>
      </c>
      <c r="S26" s="7">
        <f>IFERROR(AVERAGEIF('Данные 1st'!$S$2:$S$317,$A26,'Данные 1st'!$BT$2:$BT$317),"")</f>
        <v>207.6</v>
      </c>
      <c r="T26" s="7">
        <f>IFERROR(AVERAGEIF('Данные 1st'!$S$2:$S$317,$A26,'Данные 1st'!$BU$2:$BU$317),"")</f>
        <v>0.5</v>
      </c>
      <c r="U26" s="7">
        <f>IFERROR(AVERAGEIF('Данные 1st'!$S$2:$S$317,$A26,'Данные 1st'!$BW$2:$BW$317),"")</f>
        <v>415.2</v>
      </c>
      <c r="V26" s="7">
        <f>IFERROR(AVERAGEIF('Данные 1st'!$S$2:$S$317,$A26,'Данные 1st'!$BX$2:$BX$317),"")</f>
        <v>1</v>
      </c>
      <c r="W26" s="7">
        <f>IFERROR(AVERAGEIF('Данные 1st'!$S$2:$S$317,$A26,'Данные 1st'!$BZ$2:$BZ$317),"")</f>
        <v>334</v>
      </c>
      <c r="X26" s="7">
        <f>IFERROR(AVERAGEIF('Данные 1st'!$S$2:$S$317,$A26,'Данные 1st'!$CA$2:$CA$317),"")</f>
        <v>490</v>
      </c>
      <c r="Y26" s="7">
        <f>IFERROR(AVERAGEIF('Данные 1st'!$S$2:$S$317,$A26,'Данные 1st'!$CD$2:$CD$317),"")</f>
        <v>418</v>
      </c>
      <c r="Z26" s="7">
        <f>IFERROR(AVERAGEIF('Данные 1st'!$S$2:$S$317,$A26,'Данные 1st'!$CF$2:$CF$317),"")</f>
        <v>15</v>
      </c>
      <c r="AA26" s="7">
        <f>IFERROR(AVERAGEIF('Данные 1st'!$S$2:$S$317,$A26,'Данные 1st'!$CI$2:$CI$317),"")</f>
        <v>78</v>
      </c>
      <c r="AB26" s="7">
        <f>IFERROR(AVERAGEIF('Данные 1st'!$S$2:$S$317,$A26,'Данные 1st'!$CJ$2:$CJ$317),"")</f>
        <v>1301</v>
      </c>
      <c r="AC26" s="7">
        <f>IFERROR(AVERAGEIF('Данные 1st'!$S$2:$S$317,$A26,'Данные 1st'!$CK$2:$CK$317),"")</f>
        <v>2</v>
      </c>
      <c r="AD26" s="7">
        <f>IFERROR(AVERAGEIF('Данные 1st'!$S$2:$S$317,$A26,'Данные 1st'!$CL$2:$CL$317),"")</f>
        <v>1395</v>
      </c>
      <c r="AE26" s="7">
        <f>IFERROR(AVERAGEIF('Данные 1st'!$S$2:$S$317,$A26,'Данные 1st'!$CM$2:$CM$317),"")</f>
        <v>2</v>
      </c>
      <c r="AF26" s="7">
        <f>IFERROR(AVERAGEIF('Данные 1st'!$S$2:$S$317,$A26,'Данные 1st'!$CT$2:$CT$317),"")</f>
        <v>392</v>
      </c>
      <c r="AG26" s="7">
        <f>IFERROR(AVERAGEIF('Данные 1st'!$S$2:$S$317,$A26,'Данные 1st'!$CU$2:$CU$317),"")</f>
        <v>5</v>
      </c>
      <c r="AH26" s="7">
        <f>IFERROR(AVERAGEIF('Данные 1st'!$S$2:$S$317,$A26,'Данные 1st'!$CV$2:$CV$317),"")</f>
        <v>1.22</v>
      </c>
      <c r="AI26" s="7">
        <f>IFERROR(AVERAGEIF('Данные 1st'!$S$2:$S$317,$A26,'Данные 1st'!$CW$2:$CW$317),"")</f>
        <v>1314</v>
      </c>
      <c r="AJ26" s="7">
        <f>IFERROR(AVERAGEIF('Данные 1st'!$S$2:$S$317,$A26,'Данные 1st'!$CX$2:$CX$317),"")</f>
        <v>741.6</v>
      </c>
      <c r="AK26" s="7">
        <f>IFERROR(AVERAGEIF('Данные 1st'!$S$2:$S$317,$A26,'Данные 1st'!$CZ$2:$CZ$317),"")</f>
        <v/>
      </c>
      <c r="AL26" s="7">
        <f>IFERROR(AVERAGEIF('Данные 1st'!$S$2:$S$317,$A26,'Данные 1st'!$DA$2:$DA$317),"")</f>
        <v/>
      </c>
      <c r="AM26" s="7">
        <f>IFERROR(AVERAGEIF('Данные 1st'!$S$2:$S$317,$A26,'Данные 1st'!$DB$2:$DB$317),"")</f>
        <v/>
      </c>
      <c r="AN26" s="7">
        <f>IFERROR(AVERAGEIF('Данные 1st'!$S$2:$S$317,$A26,'Данные 1st'!$DC$2:$DC$317),"")</f>
        <v/>
      </c>
      <c r="AO26" s="7">
        <f>IFERROR(AVERAGEIF('Данные 1st'!$S$2:$S$317,$A26,'Данные 1st'!$DD$2:$DD$317),"")</f>
        <v>0</v>
      </c>
      <c r="AP26" s="7">
        <f>IFERROR(AVERAGEIF('Данные 1st'!$S$2:$S$317,$A26,'Данные 1st'!$DF$2:$DF$317),"")</f>
        <v>559</v>
      </c>
      <c r="AQ26" s="7">
        <f>IFERROR(AVERAGEIF('Данные 1st'!$S$2:$S$317,$A26,'Данные 1st'!$DG$2:$DG$317),"")</f>
        <v>3</v>
      </c>
      <c r="AR26" s="7">
        <f>IFERROR(AVERAGEIF('Данные 1st'!$S$2:$S$317,$A26,'Данные 1st'!$DH$2:$DH$317),"")</f>
        <v>1.0</v>
      </c>
      <c r="AS26" s="7">
        <f>IFERROR(AVERAGEIF('Данные 1st'!$S$2:$S$317,$A26,'Данные 1st'!$DI$2:$DI$317),"")</f>
        <v>1311.4</v>
      </c>
      <c r="AT26" s="7">
        <f>IFERROR(AVERAGEIF('Данные 1st'!$S$2:$S$317,$A26,'Данные 1st'!$DJ$2:$DJ$317),"")</f>
        <v>976.8</v>
      </c>
      <c r="AU26" s="7">
        <f>IFERROR(AVERAGEIF('Данные 1st'!$S$2:$S$317,$A26,'Данные 1st'!$DL$2:$DL$317),"")</f>
        <v>461.6666666666667</v>
      </c>
      <c r="AV26" s="7">
        <f>IFERROR(AVERAGEIF('Данные 1st'!$S$2:$S$317,$A26,'Данные 1st'!$DM$2:$DM$317),"")</f>
        <v>3</v>
      </c>
      <c r="AW26" s="7">
        <f>IFERROR(AVERAGEIF('Данные 1st'!$S$2:$S$317,$A26,'Данные 1st'!$DN$2:$DN$317),"")</f>
        <v>0.88</v>
      </c>
      <c r="AX26" s="7">
        <f>IFERROR(AVERAGEIF('Данные 1st'!$S$2:$S$317,$A26,'Данные 1st'!$DO$2:$DO$317),"")</f>
        <v>1316.3333333333333</v>
      </c>
      <c r="AY26" s="7">
        <f>IFERROR(AVERAGEIF('Данные 1st'!$S$2:$S$317,$A26,'Данные 1st'!$DP$2:$DP$317),"")</f>
        <v>680</v>
      </c>
      <c r="AZ26" s="7">
        <f>IFERROR(AVERAGEIF('Данные 1st'!$S$2:$S$317,$A26,'Данные 1st'!$DR$2:$DR$317),"")</f>
        <v/>
      </c>
      <c r="BA26" s="7">
        <f>IFERROR(AVERAGEIF('Данные 1st'!$S$2:$S$317,$A26,'Данные 1st'!$DS$2:$DS$317),"")</f>
        <v/>
      </c>
      <c r="BB26" s="7">
        <f>IFERROR(AVERAGEIF('Данные 1st'!$S$2:$S$317,$A26,'Данные 1st'!$DT$2:$DT$317),"")</f>
        <v/>
      </c>
      <c r="BC26" s="7">
        <f>IFERROR(AVERAGEIF('Данные 1st'!$S$2:$S$317,$A26,'Данные 1st'!$DU$2:$DU$317),"")</f>
        <v/>
      </c>
      <c r="BD26" s="7">
        <f>IFERROR(AVERAGEIF('Данные 1st'!$S$2:$S$317,$A26,'Данные 1st'!$DV$2:$DV$317),"")</f>
        <v/>
      </c>
      <c r="BE26" s="7">
        <f>IFERROR(AVERAGEIF('Данные 1st'!$S$2:$S$317,$A26,'Данные 1st'!$DX$2:$DX$317),"")</f>
        <v>7.5</v>
      </c>
      <c r="BF26" s="7">
        <f>IFERROR(AVERAGEIF('Данные 1st'!$S$2:$S$317,$A26,'Данные 1st'!$EA$2:$EA$317),"")</f>
        <v>1383.0</v>
      </c>
      <c r="BG26" s="7">
        <f>IFERROR(AVERAGEIF('Данные 1st'!$S$2:$S$317,$A26,'Данные 1st'!$EB$2:$EB$317),"")</f>
        <v>251.2</v>
      </c>
      <c r="BH26" s="7">
        <f>IFERROR(AVERAGEIF('Данные 1st'!$S$2:$S$317,$A26,'Данные 1st'!$ED$2:$ED$317),"")</f>
        <v>37</v>
      </c>
      <c r="BI26" s="7">
        <f>IFERROR(AVERAGEIF('Данные 1st'!$S$2:$S$317,$A26,'Данные 1st'!$EE$2:$EE$317),"")</f>
        <v>3</v>
      </c>
      <c r="BJ26" s="7">
        <f>IFERROR(AVERAGEIF('Данные 1st'!$S$2:$S$317,$A26,'Данные 1st'!$EG$2:$EG$317),"")</f>
        <v>1423.6</v>
      </c>
      <c r="BK26" s="7">
        <f>IFERROR(AVERAGEIF('Данные 1st'!$S$2:$S$317,$A26,'Данные 1st'!$EH$2:$EH$317),"")</f>
        <v>209.8</v>
      </c>
      <c r="BL26" s="7">
        <f>IFERROR(AVERAGEIF('Данные 1st'!$S$2:$S$317,$A26,'Данные 1st'!$EJ$2:$EJ$317),"")</f>
        <v>0</v>
      </c>
      <c r="BM26" s="7">
        <f>IFERROR(AVERAGEIF('Данные 1st'!$S$2:$S$317,$A26,'Данные 1st'!$EK$2:$EK$317),"")</f>
        <v>1</v>
      </c>
      <c r="BN26" s="7">
        <f>IFERROR(AVERAGEIF('Данные 1st'!$S$2:$S$317,$A26,'Данные 1st'!$EN$2:$EN$317),"")</f>
        <v>0</v>
      </c>
      <c r="BO26" s="7">
        <f>IFERROR(AVERAGEIF('Данные 1st'!$S$2:$S$317,$A26,'Данные 1st'!$EQ$2:$EQ$317),"")</f>
        <v>113</v>
      </c>
      <c r="BP26" s="7">
        <f>IFERROR(AVERAGEIF('Данные 1st'!$S$2:$S$317,$A26,'Данные 1st'!$ER$2:$ER$317),"")</f>
        <v>3</v>
      </c>
      <c r="BQ26" s="7">
        <f>IFERROR(AVERAGEIF('Данные 1st'!$S$2:$S$317,$A26,'Данные 1st'!$ES$2:$ES$317),"")</f>
        <v>5.44</v>
      </c>
      <c r="BR26" s="7">
        <f>IFERROR(AVERAGEIF('Данные 1st'!$S$2:$S$317,$A26,'Данные 1st'!$ET$2:$ET$317),"")</f>
        <v>1297.6</v>
      </c>
      <c r="BS26" s="7">
        <f>IFERROR(AVERAGEIF('Данные 1st'!$S$2:$S$317,$A26,'Данные 1st'!$EU$2:$EU$317),"")</f>
        <v>474.42</v>
      </c>
      <c r="BT26" s="7">
        <f>IFERROR(AVERAGEIF('Данные 1st'!$S$2:$S$317,$A26,'Данные 1st'!$EV$2:$EV$317),"")</f>
        <v>615.8</v>
      </c>
      <c r="BU26" s="7">
        <f>IFERROR(AVERAGEIF('Данные 1st'!$S$2:$S$317,$A26,'Данные 1st'!$EX$2:$EX$317),"")</f>
        <v>70</v>
      </c>
      <c r="BV26" s="7">
        <f>IFERROR(AVERAGEIF('Данные 1st'!$S$2:$S$317,$A26,'Данные 1st'!$EY$2:$EY$317),"")</f>
        <v>2</v>
      </c>
      <c r="BW26" s="7">
        <f>IFERROR(AVERAGEIF('Данные 1st'!$S$2:$S$317,$A26,'Данные 1st'!$EZ$2:$EZ$317),"")</f>
        <v>4.36</v>
      </c>
      <c r="BX26" s="7">
        <f>IFERROR(AVERAGEIF('Данные 1st'!$S$2:$S$317,$A26,'Данные 1st'!$FA$2:$FA$317),"")</f>
        <v>1297.6</v>
      </c>
      <c r="BY26" s="7">
        <f>IFERROR(AVERAGEIF('Данные 1st'!$S$2:$S$317,$A26,'Данные 1st'!$FB$2:$FB$317),"")</f>
        <v>214.64</v>
      </c>
      <c r="BZ26" s="7">
        <f>IFERROR(AVERAGEIF('Данные 1st'!$S$2:$S$317,$A26,'Данные 1st'!$FC$2:$FC$317),"")</f>
        <v>278.6</v>
      </c>
      <c r="CA26" s="7">
        <f>IFERROR(AVERAGEIF('Данные 1st'!$S$2:$S$317,$A26,'Данные 1st'!$FE$2:$FE$317),"")</f>
        <v>0</v>
      </c>
      <c r="CB26" s="7">
        <f>IFERROR(AVERAGEIF('Данные 1st'!$S$2:$S$317,$A26,'Данные 1st'!$FF$2:$FF$317),"")</f>
        <v>2</v>
      </c>
      <c r="CC26" s="7">
        <f>IFERROR(AVERAGEIF('Данные 1st'!$S$2:$S$317,$A26,'Данные 1st'!$FI$2:$FI$317),"")</f>
        <v>0</v>
      </c>
      <c r="CD26" s="7">
        <f>IFERROR(AVERAGEIF('Данные 1st'!$S$2:$S$317,$A26,'Данные 1st'!$FL$2:$FL$317),"")</f>
        <v>0.4</v>
      </c>
      <c r="CE26" s="7">
        <f>IFERROR(AVERAGEIF('Данные 1st'!$S$2:$S$317,$A26,'Данные 1st'!$FM$2:$FM$317),"")</f>
        <v>102</v>
      </c>
      <c r="CF26" s="7">
        <f>IFERROR(AVERAGEIF('Данные 1st'!$S$2:$S$317,$A26,'Данные 1st'!$FN$2:$FN$317),"")</f>
        <v>126</v>
      </c>
      <c r="CG26" s="7">
        <f>IFERROR(AVERAGEIF('Данные 1st'!$S$2:$S$317,$A26,'Данные 1st'!$FO$2:$FO$317),"")</f>
        <v/>
      </c>
      <c r="CH26" s="7">
        <f>IFERROR(AVERAGEIF('Данные 1st'!$S$2:$S$317,$A26,'Данные 1st'!$FP$2:$FP$317),"")</f>
        <v/>
      </c>
      <c r="CI26" s="7">
        <f>IFERROR(AVERAGEIF('Данные 1st'!$S$2:$S$317,$A26,'Данные 1st'!$FS$2:$FS$317),"")</f>
        <v>0.4</v>
      </c>
      <c r="CJ26" s="7">
        <f>IFERROR(AVERAGEIF('Данные 1st'!$S$2:$S$317,$A26,'Данные 1st'!$FT$2:$FT$317),"")</f>
        <v>30</v>
      </c>
      <c r="CK26" s="7">
        <f>IFERROR(AVERAGEIF('Данные 1st'!$S$2:$S$317,$A26,'Данные 1st'!$FU$2:$FU$317),"")</f>
        <v>385</v>
      </c>
      <c r="CL26" s="7">
        <f>IFERROR(AVERAGEIF('Данные 1st'!$S$2:$S$317,$A26,'Данные 1st'!$FV$2:$FV$317),"")</f>
        <v>30</v>
      </c>
      <c r="CM26" s="7">
        <f>IFERROR(AVERAGEIF('Данные 1st'!$S$2:$S$317,$A26,'Данные 1st'!$FW$2:$FW$317),"")</f>
        <v>255</v>
      </c>
      <c r="CN26" s="7">
        <f>IFERROR(AVERAGEIF('Данные 1st'!$S$2:$S$317,$A26,'Данные 1st'!$FZ$2:$FZ$317),"")</f>
        <v/>
      </c>
      <c r="CO26" s="7">
        <f>IFERROR(AVERAGEIF('Данные 1st'!$S$2:$S$317,$A26,'Данные 1st'!$GA$2:$GA$317),"")</f>
        <v/>
      </c>
      <c r="CP26" s="7">
        <f>IFERROR(AVERAGEIF('Данные 1st'!$S$2:$S$317,$A26,'Данные 1st'!$GB$2:$GB$317),"")</f>
        <v/>
      </c>
      <c r="CQ26" s="7">
        <f>IFERROR(AVERAGEIF('Данные 1st'!$S$2:$S$317,$A26,'Данные 1st'!$GH$2:$GH$317),"")</f>
        <v/>
      </c>
      <c r="CR26" s="7">
        <f>IFERROR(AVERAGEIF('Данные 1st'!$S$2:$S$317,$A26,'Данные 1st'!$GI$2:$GI$317),"")</f>
        <v/>
      </c>
      <c r="CS26" s="7">
        <f>IFERROR(AVERAGEIF('Данные 1st'!$S$2:$S$317,$A26,'Данные 1st'!$GJ$2:$GJ$317),"")</f>
        <v/>
      </c>
      <c r="CT26" s="7">
        <f>IFERROR(AVERAGEIF('Данные 1st'!$S$2:$S$317,$A26,'Данные 1st'!$GS$2:$GS$317),"")</f>
        <v>0.4666666666666667</v>
      </c>
      <c r="CU26" s="7">
        <f>IFERROR(AVERAGEIF('Данные 1st'!$S$2:$S$317,$A26,'Данные 1st'!$GT$2:$GT$317),"")</f>
        <v>30</v>
      </c>
      <c r="CV26" s="7">
        <f>IFERROR(AVERAGEIF('Данные 1st'!$S$2:$S$317,$A26,'Данные 1st'!$GU$2:$GU$317),"")</f>
        <v>376.6666666666667</v>
      </c>
      <c r="CW26" s="7">
        <f>IFERROR(AVERAGEIF('Данные 1st'!$S$2:$S$317,$A26,'Данные 1st'!$GV$2:$GV$317),"")</f>
        <v>30</v>
      </c>
      <c r="CX26" s="7">
        <f>IFERROR(AVERAGEIF('Данные 1st'!$S$2:$S$317,$A26,'Данные 1st'!$GW$2:$GW$317),"")</f>
        <v>243.33333333333334</v>
      </c>
      <c r="CY26" s="7">
        <f>IFERROR(AVERAGEIF('Данные 1st'!$S$2:$S$317,$A26,'Данные 1st'!$GZ$2:$GZ$317),"")</f>
        <v/>
      </c>
      <c r="CZ26" s="7">
        <f>IFERROR(AVERAGEIF('Данные 1st'!$S$2:$S$317,$A26,'Данные 1st'!$HA$2:$HA$317),"")</f>
        <v/>
      </c>
      <c r="DA26" s="7">
        <f>IFERROR(AVERAGEIF('Данные 1st'!$S$2:$S$317,$A26,'Данные 1st'!$HB$2:$HB$317),"")</f>
        <v/>
      </c>
      <c r="DB26" s="7">
        <f>IFERROR(AVERAGEIF('Данные 1st'!$S$2:$S$317,$A26,'Данные 1st'!$HC$2:$HC$317),"")</f>
        <v>0.1</v>
      </c>
      <c r="DC26" s="7">
        <f>IFERROR(AVERAGEIF('Данные 1st'!$S$2:$S$317,$A26,'Данные 1st'!$HD$2:$HD$317),"")</f>
        <v>3</v>
      </c>
      <c r="DD26" s="7">
        <f>IFERROR(AVERAGEIF('Данные 1st'!$S$2:$S$317,$A26,'Данные 1st'!$HE$2:$HE$317),"")</f>
        <v>3</v>
      </c>
      <c r="DE26" s="7">
        <f>IFERROR(AVERAGEIF('Данные 1st'!$S$2:$S$317,$A26,'Данные 1st'!$HF$2:$HF$317),"")</f>
        <v>3</v>
      </c>
      <c r="DF26" s="7">
        <f>IFERROR(AVERAGEIF('Данные 1st'!$S$2:$S$317,$A26,'Данные 1st'!$HG$2:$HG$317),"")</f>
        <v>3</v>
      </c>
      <c r="DG26" s="7">
        <f>IFERROR(AVERAGEIF('Данные 1st'!$S$2:$S$317,$A26,'Данные 1st'!$HH$2:$HH$317),"")</f>
        <v>3</v>
      </c>
      <c r="DH26" s="7">
        <f>IFERROR(AVERAGEIF('Данные 1st'!$S$2:$S$317,$A26,'Данные 1st'!$HI$2:$HI$317),"")</f>
        <v>168</v>
      </c>
      <c r="DI26" s="7">
        <f>IFERROR(AVERAGEIF('Данные 1st'!$S$2:$S$317,$A26,'Данные 1st'!$HJ$2:$HJ$317),"")</f>
        <v>3</v>
      </c>
      <c r="DJ26" s="7">
        <f>IFERROR(AVERAGEIF('Данные 1st'!$S$2:$S$317,$A26,'Данные 1st'!$HK$2:$HK$317),"")</f>
        <v>55</v>
      </c>
      <c r="DK26" s="7">
        <f>IFERROR(AVERAGEIF('Данные 1st'!$S$2:$S$317,$A26,'Данные 1st'!$HL$2:$HL$317),"")</f>
        <v>2</v>
      </c>
      <c r="DL26" s="7">
        <f>IFERROR(AVERAGEIF('Данные 1st'!$S$2:$S$317,$A26,'Данные 1st'!$HM$2:$HM$317),"")</f>
        <v>0</v>
      </c>
      <c r="DM26" s="7">
        <f>IFERROR(AVERAGEIF('Данные 1st'!$S$2:$S$317,$A26,'Данные 1st'!$HN$2:$HN$317),"")</f>
        <v>2</v>
      </c>
      <c r="DN26" s="7">
        <f>IFERROR(AVERAGEIF('Данные 1st'!$S$2:$S$317,$A26,'Данные 1st'!$HO$2:$HO$317),"")</f>
        <v>98</v>
      </c>
      <c r="DO26" s="7">
        <f>IFERROR(AVERAGEIF('Данные 1st'!$S$2:$S$317,$A26,'Данные 1st'!$HP$2:$HP$317),"")</f>
        <v>3</v>
      </c>
      <c r="DP26" s="7">
        <f>IFERROR(AVERAGEIF('Данные 1st'!$S$2:$S$317,$A26,'Данные 1st'!$HQ$2:$HQ$317),"")</f>
        <v>0</v>
      </c>
      <c r="DQ26" s="7">
        <f>IFERROR(AVERAGEIF('Данные 1st'!$S$2:$S$317,$A26,'Данные 1st'!$HR$2:$HR$317),"")</f>
        <v>2</v>
      </c>
      <c r="DR26" s="7">
        <f>IFERROR(AVERAGEIF('Данные 1st'!$S$2:$S$317,$A26,'Данные 1st'!$HS$2:$HS$317),"")</f>
        <v>4837.2</v>
      </c>
      <c r="DS26" s="7">
        <f>IFERROR(AVERAGEIF('Данные 1st'!$S$2:$S$317,$A26,'Данные 1st'!$HT$2:$HT$317),"")</f>
        <v>146</v>
      </c>
      <c r="DT26" s="7">
        <f>IFERROR(AVERAGEIF('Данные 1st'!$S$2:$S$317,$A26,'Данные 1st'!$HU$2:$HU$317),"")</f>
        <v>180</v>
      </c>
      <c r="DU26" s="7">
        <f>IFERROR(AVERAGEIF('Данные 1st'!$S$2:$S$317,$A26,'Данные 1st'!$HW$2:$HW$317),"")</f>
        <v>0</v>
      </c>
      <c r="DV26" s="7">
        <f>IFERROR(AVERAGEIF('Данные 1st'!$S$2:$S$317,$A26,'Данные 1st'!$HX$2:$HX$317),"")</f>
        <v>456</v>
      </c>
      <c r="DW26" s="7">
        <f>IFERROR(AVERAGEIF('Данные 1st'!$S$2:$S$317,$A26,'Данные 1st'!$HY$2:$HY$317),"")</f>
        <v>0.18</v>
      </c>
      <c r="DX26" s="7">
        <f>IFERROR(AVERAGEIF('Данные 1st'!$S$2:$S$317,$A26,'Данные 1st'!$IA$2:$IA$317),"")</f>
        <v>0.15</v>
      </c>
      <c r="DY26" s="7">
        <f>IFERROR(AVERAGEIF('Данные 1st'!$S$2:$S$317,$A26,'Данные 1st'!$IB$2:$IB$317),"")</f>
        <v>0</v>
      </c>
      <c r="DZ26" s="7">
        <f>IFERROR(AVERAGEIF('Данные 1st'!$S$2:$S$317,$A26,'Данные 1st'!$IC$2:$IC$317),"")</f>
        <v>180</v>
      </c>
      <c r="EA26" s="7">
        <f>IFERROR(AVERAGEIF('Данные 1st'!$S$2:$S$317,$A26,'Данные 1st'!$ID$2:$ID$317),"")</f>
        <v>110</v>
      </c>
      <c r="EB26" s="7">
        <f>IFERROR(AVERAGEIF('Данные 1st'!$S$2:$S$317,$A26,'Данные 1st'!$IE$2:$IE$317),"")</f>
        <v>135</v>
      </c>
      <c r="EC26" s="7">
        <f>IFERROR(AVERAGEIF('Данные 1st'!$S$2:$S$317,$A26,'Данные 1st'!$IF$2:$IF$317),"")</f>
        <v>0</v>
      </c>
      <c r="ED26" s="7">
        <f>IFERROR(AVERAGEIF('Данные 1st'!$S$2:$S$317,$A26,'Данные 1st'!$IP$2:$IP$317),"")</f>
        <v>17</v>
      </c>
      <c r="EE26" s="7">
        <f>IFERROR(AVERAGEIF('Данные 1st'!$S$2:$S$317,$A26,'Данные 1st'!$IV$2:$IV$317),"")</f>
        <v>1301</v>
      </c>
      <c r="EF26" s="7">
        <f>IFERROR(AVERAGEIF('Данные 1st'!$S$2:$S$317,$A26,'Данные 1st'!$IW$2:$IW$317),"")</f>
        <v>415.2</v>
      </c>
      <c r="EG26" s="7">
        <f>IFERROR(AVERAGEIF('Данные 1st'!$S$2:$S$317,$A26,'Данные 1st'!$IX$2:$IX$317),"")</f>
        <v/>
      </c>
      <c r="EH26" s="7">
        <f>IFERROR(AVERAGEIF('Данные 1st'!$S$2:$S$317,$A26,'Данные 1st'!$IY$2:$IY$317),"")</f>
        <v/>
      </c>
      <c r="EI26" s="7">
        <f>IFERROR(AVERAGEIF('Данные 1st'!$S$2:$S$317,$A26,'Данные 1st'!$JD$2:$JD$317),"")</f>
        <v>1314</v>
      </c>
      <c r="EJ26" s="7">
        <f>IFERROR(AVERAGEIF('Данные 1st'!$S$2:$S$317,$A26,'Данные 1st'!$JE$2:$JE$317),"")</f>
        <v>1311.4</v>
      </c>
      <c r="EK26" s="7">
        <f>IFERROR(AVERAGEIF('Данные 1st'!$S$2:$S$317,$A26,'Данные 1st'!$JF$2:$JF$317),"")</f>
        <v>789.8</v>
      </c>
      <c r="EL26" s="7">
        <f>IFERROR(AVERAGEIF('Данные 1st'!$S$2:$S$317,$A26,'Данные 1st'!$JG$2:$JG$317),"")</f>
        <v>1297.6</v>
      </c>
      <c r="EM26" s="7">
        <f>IFERROR(AVERAGEIF('Данные 1st'!$S$2:$S$317,$A26,'Данные 1st'!$JH$2:$JH$317),"")</f>
        <v>0</v>
      </c>
      <c r="EN26" s="7">
        <f>IFERROR(AVERAGEIF('Данные 1st'!$S$2:$S$317,$A26,'Данные 1st'!$JJ$2:$JJ$317),"")</f>
        <v>180</v>
      </c>
      <c r="EO26" s="7">
        <f>IFERROR(AVERAGEIF('Данные 1st'!$S$2:$S$317,$A26,'Данные 1st'!$JK$2:$JK$317),"")</f>
        <v>456</v>
      </c>
      <c r="EP26" s="7">
        <f>IFERROR(AVERAGEIF('Данные 1st'!$S$2:$S$317,$A26,'Данные 1st'!$JL$2:$JL$317),"")</f>
        <v/>
      </c>
      <c r="EQ26" s="7">
        <f>IFERROR(AVERAGEIF('Данные 1st'!$S$2:$S$317,$A26,'Данные 1st'!$JM$2:$JM$317),"")</f>
        <v/>
      </c>
      <c r="ER26" s="7">
        <f>IFERROR(AVERAGEIF('Данные 1st'!$S$2:$S$317,$A26,'Данные 1st'!$JN$2:$JN$317),"")</f>
        <v>392</v>
      </c>
      <c r="ES26" s="7">
        <f>IFERROR(AVERAGEIF('Данные 1st'!$S$2:$S$317,$A26,'Данные 1st'!$JO$2:$JO$317),"")</f>
        <v>559</v>
      </c>
      <c r="ET26" s="7">
        <f>IFERROR(AVERAGEIF('Данные 1st'!$S$2:$S$317,$A26,'Данные 1st'!$JP$2:$JP$317),"")</f>
        <v>277</v>
      </c>
      <c r="EU26" s="7">
        <f>IFERROR(AVERAGEIF('Данные 1st'!$S$2:$S$317,$A26,'Данные 1st'!$JQ$2:$JQ$317),"")</f>
        <v>0</v>
      </c>
      <c r="EV26" s="7">
        <f>IFERROR(AVERAGEIF('Данные 1st'!$S$2:$S$317,$A26,'Данные 1st'!$JR$2:$JR$317),"")</f>
        <v>369.2</v>
      </c>
      <c r="EW26" s="7">
        <f>IFERROR(AVERAGEIF('Данные 1st'!$S$2:$S$317,$A26,'Данные 1st'!$JS$2:$JS$317),"")</f>
        <v>168</v>
      </c>
      <c r="EX26" s="7">
        <f>IFERROR(AVERAGEIF('Данные 1st'!$S$2:$S$317,$A26,'Данные 1st'!$JT$2:$JT$317),"")</f>
        <v/>
      </c>
      <c r="EY26" s="7">
        <f>IFERROR(AVERAGEIF('Данные 1st'!$S$2:$S$317,$A26,'Данные 1st'!$JU$2:$JU$317),"")</f>
        <v/>
      </c>
      <c r="EZ26" s="7">
        <f>IFERROR(AVERAGEIF('Данные 1st'!$S$2:$S$317,$A26,'Данные 1st'!$JV$2:$JV$317),"")</f>
        <v>8</v>
      </c>
      <c r="FA26" s="7">
        <f>IFERROR(AVERAGEIF('Данные 1st'!$S$2:$S$317,$A26,'Данные 1st'!$JW$2:$JW$317),"")</f>
        <v/>
      </c>
      <c r="FB26" s="7">
        <f>IFERROR(AVERAGEIF('Данные 1st'!$S$2:$S$317,$A26,'Данные 1st'!$JX$2:$JX$317),"")</f>
        <v>0</v>
      </c>
      <c r="FC26" s="7">
        <f>IFERROR(AVERAGEIF('Данные 1st'!$S$2:$S$317,$A26,'Данные 1st'!$JY$2:$JY$317),"")</f>
        <v/>
      </c>
      <c r="FD26" s="7">
        <f>IFERROR(AVERAGEIF('Данные 1st'!$S$2:$S$317,$A26,'Данные 1st'!$JZ$2:$JZ$317),"")</f>
        <v/>
      </c>
      <c r="FE26" s="7">
        <f>IFERROR(AVERAGEIF('Данные 1st'!$S$2:$S$317,$A26,'Данные 1st'!$KA$2:$KA$317),"")</f>
        <v>135</v>
      </c>
      <c r="FF26" s="7">
        <f>IFERROR(AVERAGEIF('Данные 1st'!$S$2:$S$317,$A26,'Данные 1st'!$KB$2:$KB$317),"")</f>
        <v>110</v>
      </c>
      <c r="FG26" s="7">
        <f>IFERROR(AVERAGEIF('Данные 1st'!$S$2:$S$317,$A26,'Данные 1st'!$KC$2:$KC$317),"")</f>
        <v>0</v>
      </c>
      <c r="FH26" s="7">
        <f>IFERROR(AVERAGEIF('Данные 1st'!$S$2:$S$317,$A26,'Данные 1st'!$KD$2:$KD$317),"")</f>
        <v>80</v>
      </c>
      <c r="FI26" s="7">
        <f>IFERROR(AVERAGEIF('Данные 1st'!$S$2:$S$317,$A26,'Данные 1st'!$KE$2:$KE$317),"")</f>
        <v/>
      </c>
      <c r="FJ26" s="7">
        <f>IFERROR(AVERAGEIF('Данные 1st'!$S$2:$S$317,$A26,'Данные 1st'!$KF$2:$KF$317),"")</f>
        <v>4</v>
      </c>
      <c r="FK26" s="7">
        <f>IFERROR(AVERAGEIF('Данные 1st'!$S$2:$S$317,$A26,'Данные 1st'!$KG$2:$KG$317),"")</f>
        <v>2</v>
      </c>
      <c r="FL26" s="7">
        <f>IFERROR(AVERAGEIF('Данные 1st'!$S$2:$S$317,$A26,'Данные 1st'!$KH$2:$KH$317),"")</f>
        <v>2</v>
      </c>
      <c r="FM26" s="7">
        <f>IFERROR(AVERAGEIF('Данные 1st'!$S$2:$S$317,$A26,'Данные 1st'!$KI$2:$KI$317),"")</f>
        <v>2</v>
      </c>
      <c r="FN26" s="7">
        <f>IFERROR(AVERAGEIF('Данные 1st'!$S$2:$S$317,$A26,'Данные 1st'!$KJ$2:$KJ$317),"")</f>
        <v>0</v>
      </c>
      <c r="FO26" s="7">
        <f>IFERROR(AVERAGEIF('Данные 1st'!$S$2:$S$317,$A26,'Данные 1st'!$KK$2:$KK$317),"")</f>
        <v>1.5</v>
      </c>
      <c r="FP26" s="7">
        <f>IFERROR(AVERAGEIF('Данные 1st'!$S$2:$S$317,$A26,'Данные 1st'!$KL$2:$KL$317),"")</f>
        <v>1.5</v>
      </c>
      <c r="FQ26" s="7">
        <f>IFERROR(AVERAGEIF('Данные 1st'!$S$2:$S$317,$A26,'Данные 1st'!$KM$2:$KM$317),"")</f>
        <v>0</v>
      </c>
      <c r="FR26" s="7">
        <f>IFERROR(AVERAGEIF('Данные 1st'!$S$2:$S$317,$A26,'Данные 1st'!$KN$2:$KN$317),"")</f>
        <v>0</v>
      </c>
      <c r="FS26" s="7">
        <f>IFERROR(AVERAGEIF('Данные 1st'!$S$2:$S$317,$A26,'Данные 1st'!$KR$2:$KR$317),"")</f>
        <v>38</v>
      </c>
      <c r="FT26" s="7">
        <f>IFERROR(AVERAGEIF('Данные 1st'!$S$2:$S$317,$A26,'Данные 1st'!$KS$2:$KS$317),"")</f>
        <v>60</v>
      </c>
      <c r="FU26" s="7">
        <f>IFERROR(AVERAGEIF('Данные 1st'!$S$2:$S$317,$A26,'Данные 1st'!$KT$2:$KT$317),"")</f>
        <v>0</v>
      </c>
      <c r="FV26" s="7">
        <f>IFERROR(AVERAGEIF('Данные 1st'!$S$2:$S$317,$A26,'Данные 1st'!$KV$2:$KV$317),"")</f>
        <v/>
      </c>
      <c r="FW26" s="7">
        <f>IFERROR(AVERAGEIF('Данные 1st'!$S$2:$S$317,$A26,'Данные 1st'!$KW$2:$KW$317),"")</f>
        <v/>
      </c>
      <c r="FX26" s="7">
        <f>IFERROR(AVERAGEIF('Данные 1st'!$S$2:$S$317,$A26,'Данные 1st'!$KX$2:$KX$317),"")</f>
        <v/>
      </c>
      <c r="FY26" s="7">
        <f>IFERROR(AVERAGEIF('Данные 1st'!$S$2:$S$317,$A26,'Данные 1st'!$KY$2:$KY$317),"")</f>
        <v/>
      </c>
      <c r="FZ26" s="7">
        <f>IFERROR(AVERAGEIF('Данные 1st'!$S$2:$S$317,$A26,'Данные 1st'!$KZ$2:$KZ$317),"")</f>
        <v/>
      </c>
      <c r="GA26" s="7">
        <f>IFERROR(AVERAGEIF('Данные 1st'!$S$2:$S$317,$A26,'Данные 1st'!$LA$2:$LA$317),"")</f>
        <v/>
      </c>
      <c r="GB26" s="7">
        <f>IFERROR(AVERAGEIF('Данные 1st'!$S$2:$S$317,$A26,'Данные 1st'!$LB$2:$LB$317),"")</f>
        <v/>
      </c>
      <c r="GC26" s="7">
        <f>IFERROR(AVERAGEIF('Данные 1st'!$S$2:$S$317,$A26,'Данные 1st'!$LC$2:$LC$317),"")</f>
        <v/>
      </c>
      <c r="GD26" s="7">
        <f>IFERROR(AVERAGEIF('Данные 1st'!$S$2:$S$317,$A26,'Данные 1st'!$LD$2:$LD$317),"")</f>
        <v/>
      </c>
      <c r="GE26" s="7">
        <f>IFERROR(AVERAGEIF('Данные 1st'!$S$2:$S$317,$A26,'Данные 1st'!$LE$2:$LE$317),"")</f>
        <v/>
      </c>
      <c r="GF26" s="7">
        <f>IFERROR(AVERAGEIF('Данные 1st'!$S$2:$S$317,$A26,'Данные 1st'!$LF$2:$LF$317),"")</f>
        <v/>
      </c>
      <c r="GG26" s="7">
        <f>IFERROR(AVERAGEIF('Данные 1st'!$S$2:$S$317,$A26,'Данные 1st'!$LG$2:$LG$317),"")</f>
        <v/>
      </c>
      <c r="GH26" s="7">
        <f>IFERROR(AVERAGEIF('Данные 1st'!$S$2:$S$317,$A26,'Данные 1st'!$LH$2:$LH$317),"")</f>
        <v/>
      </c>
      <c r="GI26" s="7">
        <f>IFERROR(AVERAGEIF('Данные 1st'!$S$2:$S$317,$A26,'Данные 1st'!$LI$2:$LI$317),"")</f>
        <v/>
      </c>
      <c r="GJ26" s="7">
        <f>IFERROR(AVERAGEIF('Данные 1st'!$S$2:$S$317,$A26,'Данные 1st'!$LJ$2:$LJ$317),"")</f>
        <v/>
      </c>
      <c r="GK26" s="7">
        <f>IFERROR(AVERAGEIF('Данные 1st'!$S$2:$S$317,$A26,'Данные 1st'!$LK$2:$LK$317),"")</f>
        <v>480</v>
      </c>
      <c r="GL26" s="7">
        <f>IFERROR(AVERAGEIF('Данные 1st'!$S$2:$S$317,$A26,'Данные 1st'!$LV$2:$LV$317),"")</f>
        <v/>
      </c>
      <c r="GM26" s="7">
        <f>IFERROR(AVERAGEIF('Данные 1st'!$S$2:$S$317,$A26,'Данные 1st'!$LW$2:$LW$317),"")</f>
        <v/>
      </c>
      <c r="GN26" s="7">
        <f>IFERROR(AVERAGEIF('Данные 1st'!$S$2:$S$317,$A26,'Данные 1st'!$LX$2:$LX$317),"")</f>
        <v/>
      </c>
      <c r="GO26" s="7">
        <f>IFERROR(AVERAGEIF('Данные 1st'!$S$2:$S$317,$A26,'Данные 1st'!$LY$2:$LY$317),"")</f>
        <v/>
      </c>
      <c r="GP26" s="7">
        <f>IFERROR(AVERAGEIF('Данные 1st'!$S$2:$S$317,$A26,'Данные 1st'!$LZ$2:$LZ$317),"")</f>
        <v/>
      </c>
      <c r="GQ26" s="7">
        <f>IFERROR(AVERAGEIF('Данные 1st'!$S$2:$S$317,$A26,'Данные 1st'!$PG$2:$PG$317),"")</f>
        <v>1</v>
      </c>
      <c r="GR26" s="7">
        <f>IFERROR(AVERAGEIF('Данные 1st'!$S$2:$S$317,$A26,'Данные 1st'!$PX$2:$PX$317),"")</f>
        <v>56</v>
      </c>
      <c r="GS26" s="7">
        <f>IFERROR(AVERAGEIF('Данные 1st'!$S$2:$S$317,$A26,'Данные 1st'!$PY$2:$PY$317),"")</f>
        <v>56.4</v>
      </c>
      <c r="GT26" s="7">
        <f>IFERROR(AVERAGEIF('Данные 1st'!$S$2:$S$317,$A26,'Данные 1st'!$QA$2:$QA$317),"")</f>
        <v>2.4</v>
      </c>
      <c r="GU26" s="7">
        <f>IFERROR(AVERAGEIF('Данные 1st'!$S$2:$S$317,$A26,'Данные 1st'!$QB$2:$QB$317),"")</f>
        <v>1297.6</v>
      </c>
      <c r="GV26" s="7">
        <f>IFERROR(AVERAGEIF('Данные 1st'!$S$2:$S$317,$A26,'Данные 1st'!$QC$2:$QC$317),"")</f>
        <v>69</v>
      </c>
      <c r="GW26" s="7">
        <f>IFERROR(AVERAGEIF('Данные 1st'!$S$2:$S$317,$A26,'Данные 1st'!$QD$2:$QD$317),"")</f>
        <v>69</v>
      </c>
      <c r="GX26" s="7">
        <f>IFERROR(AVERAGEIF('Данные 1st'!$S$2:$S$317,$A26,'Данные 1st'!$QF$2:$QF$317),"")</f>
        <v>1.2</v>
      </c>
      <c r="GY26" s="7">
        <f>IFERROR(AVERAGEIF('Данные 1st'!$S$2:$S$317,$A26,'Данные 1st'!$QG$2:$QG$317),"")</f>
        <v>1314</v>
      </c>
      <c r="GZ26" s="7">
        <f>IFERROR(AVERAGEIF('Данные 1st'!$S$2:$S$317,$A26,'Данные 1st'!$QH$2:$QH$317),"")</f>
        <v>66</v>
      </c>
      <c r="HA26" s="7">
        <f>IFERROR(AVERAGEIF('Данные 1st'!$S$2:$S$317,$A26,'Данные 1st'!$QI$2:$QI$317),"")</f>
        <v>66</v>
      </c>
      <c r="HB26" s="7">
        <f>IFERROR(AVERAGEIF('Данные 1st'!$S$2:$S$317,$A26,'Данные 1st'!$QK$2:$QK$317),"")</f>
        <v/>
      </c>
      <c r="HC26" s="7">
        <f>IFERROR(AVERAGEIF('Данные 1st'!$S$2:$S$317,$A26,'Данные 1st'!$QL$2:$QL$317),"")</f>
        <v>0</v>
      </c>
      <c r="HD26" s="7">
        <f>IFERROR(AVERAGEIF('Данные 1st'!$S$2:$S$317,$A26,'Данные 1st'!$QM$2:$QM$317),"")</f>
        <v>62</v>
      </c>
      <c r="HE26" s="7">
        <f>IFERROR(AVERAGEIF('Данные 1st'!$S$2:$S$317,$A26,'Данные 1st'!$QN$2:$QN$317),"")</f>
        <v>62</v>
      </c>
      <c r="HF26" s="7">
        <f>IFERROR(AVERAGEIF('Данные 1st'!$S$2:$S$317,$A26,'Данные 1st'!$QP$2:$QP$317),"")</f>
        <v>1</v>
      </c>
      <c r="HG26" s="7">
        <f>IFERROR(AVERAGEIF('Данные 1st'!$S$2:$S$317,$A26,'Данные 1st'!$QQ$2:$QQ$317),"")</f>
        <v>1311.4</v>
      </c>
      <c r="HH26" s="7">
        <f>IFERROR(AVERAGEIF('Данные 1st'!$S$2:$S$317,$A26,'Данные 1st'!$QR$2:$QR$317),"")</f>
        <v>62</v>
      </c>
      <c r="HI26" s="7">
        <f>IFERROR(AVERAGEIF('Данные 1st'!$S$2:$S$317,$A26,'Данные 1st'!$QS$2:$QS$317),"")</f>
        <v>62</v>
      </c>
      <c r="HJ26" s="7">
        <f>IFERROR(AVERAGEIF('Данные 1st'!$S$2:$S$317,$A26,'Данные 1st'!$QU$2:$QU$317),"")</f>
        <v>1</v>
      </c>
      <c r="HK26" s="7">
        <f>IFERROR(AVERAGEIF('Данные 1st'!$S$2:$S$317,$A26,'Данные 1st'!$QV$2:$QV$317),"")</f>
        <v>1316.3333333333333</v>
      </c>
      <c r="HL26" s="7">
        <f>IFERROR(AVERAGEIF('Данные 1st'!$S$2:$S$317,$A26,'Данные 1st'!$QW$2:$QW$317),"")</f>
        <v>82</v>
      </c>
      <c r="HM26" s="7">
        <f>IFERROR(AVERAGEIF('Данные 1st'!$S$2:$S$317,$A26,'Данные 1st'!$QX$2:$QX$317),"")</f>
        <v>88.6</v>
      </c>
      <c r="HN26" s="7">
        <f>IFERROR(AVERAGEIF('Данные 1st'!$S$2:$S$317,$A26,'Данные 1st'!$QZ$2:$QZ$317),"")</f>
        <v>1.4</v>
      </c>
      <c r="HO26" s="7">
        <f>IFERROR(AVERAGEIF('Данные 1st'!$S$2:$S$317,$A26,'Данные 1st'!$RA$2:$RA$317),"")</f>
        <v>66</v>
      </c>
      <c r="HP26" s="7">
        <f>IFERROR(AVERAGEIF('Данные 1st'!$S$2:$S$317,$A26,'Данные 1st'!$RB$2:$RB$317),"")</f>
        <v>66</v>
      </c>
      <c r="HQ26" s="7">
        <f>IFERROR(AVERAGEIF('Данные 1st'!$S$2:$S$317,$A26,'Данные 1st'!$RD$2:$RD$317),"")</f>
        <v/>
      </c>
      <c r="HR26" s="7">
        <f>IFERROR(AVERAGEIF('Данные 1st'!$S$2:$S$317,$A26,'Данные 1st'!$RE$2:$RE$317),"")</f>
        <v>0</v>
      </c>
      <c r="HS26" s="7">
        <f>IFERROR(AVERAGEIF('Данные 1st'!$S$2:$S$317,$A26,'Данные 1st'!$RF$2:$RF$317),"")</f>
        <v>1</v>
      </c>
      <c r="HT26" s="7">
        <f>IFERROR(AVERAGEIF('Данные 1st'!$S$2:$S$317,$A26,'Данные 1st'!$RG$2:$RG$317),"")</f>
        <v/>
      </c>
      <c r="HU26" s="7">
        <f>IFERROR(AVERAGEIF('Данные 1st'!$S$2:$S$317,$A26,'Данные 1st'!$RH$2:$RH$317),"")</f>
        <v>1</v>
      </c>
      <c r="HV26" s="7">
        <f>IFERROR(AVERAGEIF('Данные 1st'!$S$2:$S$317,$A26,'Данные 1st'!$RI$2:$RI$317),"")</f>
        <v/>
      </c>
      <c r="HW26" s="7">
        <f>IFERROR(AVERAGEIF('Данные 1st'!$S$2:$S$317,$A26,'Данные 1st'!$RJ$2:$RJ$317),"")</f>
        <v>1</v>
      </c>
      <c r="HX26" s="7">
        <f>IFERROR(AVERAGEIF('Данные 1st'!$S$2:$S$317,$A26,'Данные 1st'!$RK$2:$RK$317),"")</f>
        <v/>
      </c>
      <c r="HY26" s="7">
        <f>IFERROR(AVERAGEIF('Данные 1st'!$S$2:$S$317,$A26,'Данные 1st'!$RL$2:$RL$317),"")</f>
        <v>2.8</v>
      </c>
      <c r="HZ26" s="7">
        <f>IFERROR(AVERAGEIF('Данные 1st'!$S$2:$S$317,$A26,'Данные 1st'!$RM$2:$RM$317),"")</f>
        <v>3.3333333333333335</v>
      </c>
      <c r="IA26" s="7">
        <f>IFERROR(AVERAGEIF('Данные 1st'!$S$2:$S$317,$A26,'Данные 1st'!$RN$2:$RN$317),"")</f>
        <v/>
      </c>
      <c r="IB26" s="7">
        <f>IFERROR(AVERAGEIF('Данные 1st'!$S$2:$S$317,$A26,'Данные 1st'!$RO$2:$RO$317),"")</f>
        <v>564.4</v>
      </c>
      <c r="IC26" s="7">
        <f>IFERROR(AVERAGEIF('Данные 1st'!$S$2:$S$317,$A26,'Данные 1st'!$RP$2:$RP$317),"")</f>
        <v/>
      </c>
      <c r="ID26" s="7">
        <f>IFERROR(AVERAGEIF('Данные 1st'!$S$2:$S$317,$A26,'Данные 1st'!$RQ$2:$RQ$317),"")</f>
        <v>744.6</v>
      </c>
      <c r="IE26" s="7">
        <f>IFERROR(AVERAGEIF('Данные 1st'!$S$2:$S$317,$A26,'Данные 1st'!$RR$2:$RR$317),"")</f>
        <v>516.6666666666666</v>
      </c>
      <c r="IF26" s="7">
        <f>IFERROR(AVERAGEIF('Данные 1st'!$S$2:$S$317,$A26,'Данные 1st'!$RS$2:$RS$317),"")</f>
        <v/>
      </c>
      <c r="IG26" s="7">
        <f>IFERROR(AVERAGEIF('Данные 1st'!$S$2:$S$317,$A26,'Данные 1st'!$RT$2:$RT$317),"")</f>
        <v>251.2</v>
      </c>
      <c r="IH26" s="7">
        <f>IFERROR(AVERAGEIF('Данные 1st'!$S$2:$S$317,$A26,'Данные 1st'!$RU$2:$RU$317),"")</f>
        <v>209.8</v>
      </c>
      <c r="II26" s="7">
        <f>IFERROR(AVERAGEIF('Данные 1st'!$S$2:$S$317,$A26,'Данные 1st'!$RX$2:$RX$317),"")</f>
        <v>15</v>
      </c>
      <c r="IJ26" s="7">
        <f>IFERROR(AVERAGEIF('Данные 1st'!$S$2:$S$317,$A26,'Данные 1st'!$RY$2:$RY$317),"")</f>
        <v>4</v>
      </c>
      <c r="IK26" s="7">
        <f>IFERROR(AVERAGEIF('Данные 1st'!$S$2:$S$317,$A26,'Данные 1st'!$SA$2:$SA$317),"")</f>
        <v>15</v>
      </c>
      <c r="IL26" s="7">
        <f>IFERROR(AVERAGEIF('Данные 1st'!$S$2:$S$317,$A26,'Данные 1st'!$SD$2:$SD$317),"")</f>
        <v>1</v>
      </c>
      <c r="IM26" s="7">
        <f>IFERROR(AVERAGEIF('Данные 1st'!$S$2:$S$317,$A26,'Данные 1st'!$SG$2:$SG$317),"")</f>
        <v>1</v>
      </c>
      <c r="IN26" s="7">
        <f>IFERROR(AVERAGEIF('Данные 1st'!$S$2:$S$317,$A26,'Данные 1st'!$SH$2:$SH$317),"")</f>
        <v>0.995</v>
      </c>
      <c r="IO26" s="7">
        <f>IFERROR(AVERAGEIF('Данные 1st'!$S$2:$S$317,$A26,'Данные 1st'!$SI$2:$SI$317),"")</f>
        <v>0.995</v>
      </c>
      <c r="IP26" s="7">
        <f>IFERROR(AVERAGEIF('Данные 1st'!$S$2:$S$317,$A26,'Данные 1st'!$SJ$2:$SJ$317),"")</f>
        <v>0.995</v>
      </c>
      <c r="IQ26" s="7">
        <f>IFERROR(AVERAGEIF('Данные 1st'!$S$2:$S$317,$A26,'Данные 1st'!$SK$2:$SK$317),"")</f>
        <v>15</v>
      </c>
      <c r="IR26" s="7">
        <f>IFERROR(AVERAGEIF('Данные 1st'!$S$2:$S$317,$A26,'Данные 1st'!$SL$2:$SL$317),"")</f>
        <v>0</v>
      </c>
      <c r="IS26" s="7">
        <f>IFERROR(AVERAGEIF('Данные 1st'!$S$2:$S$317,$A26,'Данные 1st'!$SM$2:$SM$317),"")</f>
        <v>0</v>
      </c>
      <c r="IT26" s="7">
        <f>IFERROR(AVERAGEIF('Данные 1st'!$S$2:$S$317,$A26,'Данные 1st'!$SN$2:$SN$317),"")</f>
        <v>0</v>
      </c>
      <c r="IU26" s="7">
        <f>IFERROR(AVERAGEIF('Данные 1st'!$S$2:$S$317,$A26,'Данные 1st'!$SO$2:$SO$317),"")</f>
        <v>0</v>
      </c>
      <c r="IV26" s="7">
        <f>IFERROR(AVERAGEIF('Данные 1st'!$S$2:$S$317,$A26,'Данные 1st'!$SP$2:$SP$317),"")</f>
        <v>0</v>
      </c>
      <c r="IW26" s="7">
        <f>IFERROR(AVERAGEIF('Данные 1st'!$S$2:$S$317,$A26,'Данные 1st'!$SQ$2:$SQ$317),"")</f>
        <v>0</v>
      </c>
      <c r="IX26" s="7">
        <f>IFERROR(AVERAGEIF('Данные 1st'!$S$2:$S$317,$A26,'Данные 1st'!$SR$2:$SR$317),"")</f>
        <v>0</v>
      </c>
      <c r="IY26" s="7">
        <f>IFERROR(AVERAGEIF('Данные 1st'!$S$2:$S$317,$A26,'Данные 1st'!$SS$2:$SS$317),"")</f>
        <v>0</v>
      </c>
      <c r="IZ26" s="7">
        <f>IFERROR(AVERAGEIF('Данные 1st'!$S$2:$S$317,$A26,'Данные 1st'!$ST$2:$ST$317),"")</f>
        <v>0</v>
      </c>
      <c r="JA26" s="7">
        <f>IFERROR(AVERAGEIF('Данные 1st'!$S$2:$S$317,$A26,'Данные 1st'!$SU$2:$SU$317),"")</f>
        <v>0</v>
      </c>
      <c r="JB26" s="7">
        <f>IFERROR(AVERAGEIF('Данные 1st'!$S$2:$S$317,$A26,'Данные 1st'!$SV$2:$SV$317),"")</f>
        <v>0</v>
      </c>
      <c r="JC26" s="7">
        <f>IFERROR(AVERAGEIF('Данные 1st'!$S$2:$S$317,$A26,'Данные 1st'!$SW$2:$SW$317),"")</f>
        <v>0</v>
      </c>
      <c r="JD26" s="7">
        <f>IFERROR(AVERAGEIF('Данные 1st'!$S$2:$S$317,$A26,'Данные 1st'!$SX$2:$SX$317),"")</f>
        <v>0</v>
      </c>
      <c r="JE26" s="7">
        <f>IFERROR(AVERAGEIF('Данные 1st'!$S$2:$S$317,$A26,'Данные 1st'!$SY$2:$SY$317),"")</f>
        <v/>
      </c>
      <c r="JF26" s="7">
        <f>IFERROR(AVERAGEIF('Данные 1st'!$S$2:$S$317,$A26,'Данные 1st'!$SZ$2:$SZ$317),"")</f>
        <v>1</v>
      </c>
      <c r="JG26" s="7">
        <f>IFERROR(AVERAGEIF('Данные 1st'!$S$2:$S$317,$A26,'Данные 1st'!$TA$2:$TA$317),"")</f>
        <v/>
      </c>
      <c r="JH26" s="7">
        <f>IFERROR(AVERAGEIF('Данные 1st'!$S$2:$S$317,$A26,'Данные 1st'!$TB$2:$TB$317),"")</f>
        <v>0</v>
      </c>
      <c r="JI26" s="7">
        <f>IFERROR(AVERAGEIF('Данные 1st'!$S$2:$S$317,$A26,'Данные 1st'!$TC$2:$TC$317),"")</f>
        <v>0</v>
      </c>
      <c r="JJ26" s="7">
        <f>IFERROR(AVERAGEIF('Данные 1st'!$S$2:$S$317,$A26,'Данные 1st'!$TD$2:$TD$317),"")</f>
        <v>7.5</v>
      </c>
      <c r="JK26" s="7">
        <f>IFERROR(AVERAGEIF('Данные 1st'!$S$2:$S$317,$A26,'Данные 1st'!$TN$2:$TN$317),"")</f>
        <v>0</v>
      </c>
      <c r="JL26">
        <f>COUNTIF('Данные 2st'!$Q$2:$Q$317,$A26)</f>
        <v>5</v>
      </c>
      <c r="JM26" s="6" t="s">
        <v>5094</v>
      </c>
      <c r="JN26" s="6" t="s">
        <v>513</v>
      </c>
      <c r="JO26" s="6" t="s">
        <v>5125</v>
      </c>
      <c r="JP26" s="6" t="s">
        <v>5483</v>
      </c>
      <c r="JQ26" s="7">
        <f>IFERROR(AVERAGEIF('Данные 2st'!$Q$2:$Q$317,$A26,'Данные 2st'!$AC$2:$AC$317),"")</f>
        <v>10.6</v>
      </c>
      <c r="JR26" s="7">
        <f>IFERROR(AVERAGEIF('Данные 2st'!$Q$2:$Q$317,$A26,'Данные 2st'!$AF$2:$AF$317),"")</f>
        <v>4837.2</v>
      </c>
      <c r="JS26" s="7">
        <f>IFERROR(AVERAGEIF('Данные 2st'!$Q$2:$Q$317,$A26,'Данные 2st'!$AW$2:$AW$317),"")</f>
        <v>6.4</v>
      </c>
      <c r="JT26" s="7">
        <f>IFERROR(AVERAGEIF('Данные 2st'!$Q$2:$Q$317,$A26,'Данные 2st'!$AX$2:$AX$317),"")</f>
        <v>-6</v>
      </c>
      <c r="JU26" s="7">
        <f>IFERROR(AVERAGEIF('Данные 2st'!$Q$2:$Q$317,$A26,'Данные 2st'!$AY$2:$AY$317),"")</f>
        <v>93.3</v>
      </c>
      <c r="JV26" s="7">
        <f>IFERROR(AVERAGEIF('Данные 2st'!$Q$2:$Q$317,$A26,'Данные 2st'!$AZ$2:$AZ$317),"")</f>
        <v>72.3</v>
      </c>
      <c r="JW26" s="7">
        <f>IFERROR(AVERAGEIF('Данные 2st'!$Q$2:$Q$317,$A26,'Данные 2st'!$BA$2:$BA$317),"")</f>
        <v/>
      </c>
      <c r="JX26" s="7">
        <f>IFERROR(AVERAGEIF('Данные 2st'!$Q$2:$Q$317,$A26,'Данные 2st'!$BB$2:$BB$317),"")</f>
        <v/>
      </c>
      <c r="JY26" s="7">
        <f>IFERROR(AVERAGEIF('Данные 2st'!$Q$2:$Q$317,$A26,'Данные 2st'!$BC$2:$BC$317),"")</f>
        <v/>
      </c>
      <c r="JZ26" s="7">
        <f>IFERROR(AVERAGEIF('Данные 2st'!$Q$2:$Q$317,$A26,'Данные 2st'!$BH$2:$BH$317),"")</f>
        <v>93.3</v>
      </c>
      <c r="KA26" s="7">
        <f>IFERROR(AVERAGEIF('Данные 2st'!$Q$2:$Q$317,$A26,'Данные 2st'!$BI$2:$BI$317),"")</f>
        <v>21.0</v>
      </c>
      <c r="KB26" s="7">
        <f>IFERROR(AVERAGEIF('Данные 2st'!$Q$2:$Q$317,$A26,'Данные 2st'!$BJ$2:$BJ$317),"")</f>
        <v>72.3</v>
      </c>
      <c r="KC26" s="7">
        <f>IFERROR(AVERAGEIF('Данные 2st'!$Q$2:$Q$317,$A26,'Данные 2st'!$BK$2:$BK$317),"")</f>
        <v>2.8</v>
      </c>
      <c r="KD26" s="7">
        <f>IFERROR(AVERAGEIF('Данные 2st'!$Q$2:$Q$317,$A26,'Данные 2st'!$BL$2:$BL$317),"")</f>
        <v>186.6</v>
      </c>
      <c r="KE26" s="7">
        <f>IFERROR(AVERAGEIF('Данные 2st'!$Q$2:$Q$317,$A26,'Данные 2st'!$BM$2:$BM$317),"")</f>
        <v>-6</v>
      </c>
      <c r="KF26" s="7">
        <f>IFERROR(AVERAGEIF('Данные 2st'!$Q$2:$Q$317,$A26,'Данные 2st'!$BN$2:$BN$317),"")</f>
        <v>0</v>
      </c>
      <c r="KG26" s="7">
        <f>IFERROR(AVERAGEIF('Данные 2st'!$Q$2:$Q$317,$A26,'Данные 2st'!$BO$2:$BO$317),"")</f>
        <v>0</v>
      </c>
      <c r="KH26" s="7">
        <f>IFERROR(AVERAGEIF('Данные 2st'!$Q$2:$Q$317,$A26,'Данные 2st'!$BP$2:$BP$317),"")</f>
        <v>0</v>
      </c>
      <c r="KI26" s="7">
        <f>IFERROR(AVERAGEIF('Данные 2st'!$Q$2:$Q$317,$A26,'Данные 2st'!$BR$2:$BR$317),"")</f>
        <v>181</v>
      </c>
      <c r="KJ26" s="7">
        <f>IFERROR(AVERAGEIF('Данные 2st'!$Q$2:$Q$317,$A26,'Данные 2st'!$BS$2:$BS$317),"")</f>
        <v>171</v>
      </c>
      <c r="KK26" s="7">
        <f>IFERROR(AVERAGEIF('Данные 2st'!$Q$2:$Q$317,$A26,'Данные 2st'!$BT$2:$BT$317),"")</f>
        <v>2016</v>
      </c>
      <c r="KL26" s="7">
        <f>IFERROR(AVERAGEIF('Данные 2st'!$Q$2:$Q$317,$A26,'Данные 2st'!$CV$2:$CV$317),"")</f>
        <v>120</v>
      </c>
      <c r="KM26" s="7">
        <f>IFERROR(AVERAGEIF('Данные 2st'!$Q$2:$Q$317,$A26,'Данные 2st'!$CW$2:$CW$317),"")</f>
        <v>3</v>
      </c>
      <c r="KN26" s="7">
        <f>IFERROR(AVERAGEIF('Данные 2st'!$Q$2:$Q$317,$A26,'Данные 2st'!$CX$2:$CX$317),"")</f>
        <v>76.6</v>
      </c>
      <c r="KO26" s="7">
        <f>IFERROR(AVERAGEIF('Данные 2st'!$Q$2:$Q$317,$A26,'Данные 2st'!$CY$2:$CY$317),"")</f>
        <v>5</v>
      </c>
      <c r="KP26" s="7">
        <f>IFERROR(AVERAGEIF('Данные 2st'!$Q$2:$Q$317,$A26,'Данные 2st'!$CZ$2:$CZ$317),"")</f>
        <v>139.8</v>
      </c>
      <c r="KQ26" s="7">
        <f>IFERROR(AVERAGEIF('Данные 2st'!$Q$2:$Q$317,$A26,'Данные 2st'!$DA$2:$DA$317),"")</f>
        <v>5</v>
      </c>
      <c r="KR26" s="7">
        <f>IFERROR(AVERAGEIF('Данные 2st'!$Q$2:$Q$317,$A26,'Данные 2st'!$DB$2:$DB$317),"")</f>
        <v>10822</v>
      </c>
      <c r="KS26" s="7">
        <f>IFERROR(AVERAGEIF('Данные 2st'!$Q$2:$Q$317,$A26,'Данные 2st'!$DC$2:$DC$317),"")</f>
        <v>332</v>
      </c>
      <c r="KT26" s="7">
        <f>IFERROR(AVERAGEIF('Данные 2st'!$Q$2:$Q$317,$A26,'Данные 2st'!$DD$2:$DD$317),"")</f>
        <v>331</v>
      </c>
      <c r="KU26" s="7">
        <f>IFERROR(AVERAGEIF('Данные 2st'!$Q$2:$Q$317,$A26,'Данные 2st'!$DE$2:$DE$317),"")</f>
        <v>2127.2</v>
      </c>
      <c r="KV26" s="7">
        <f>IFERROR(AVERAGEIF('Данные 2st'!$Q$2:$Q$317,$A26,'Данные 2st'!$DF$2:$DF$317),"")</f>
        <v>2127.2</v>
      </c>
      <c r="KW26" s="7">
        <f>IFERROR(AVERAGEIF('Данные 2st'!$Q$2:$Q$317,$A26,'Данные 2st'!$DG$2:$DG$317),"")</f>
        <v>2143.2</v>
      </c>
      <c r="KX26" s="7">
        <f>IFERROR(AVERAGEIF('Данные 2st'!$Q$2:$Q$317,$A26,'Данные 2st'!$DH$2:$DH$317),"")</f>
        <v/>
      </c>
      <c r="KY26" s="7">
        <f>IFERROR(AVERAGEIF('Данные 2st'!$Q$2:$Q$317,$A26,'Данные 2st'!$DI$2:$DI$317),"")</f>
        <v/>
      </c>
      <c r="KZ26" s="7">
        <f>IFERROR(AVERAGEIF('Данные 2st'!$Q$2:$Q$317,$A26,'Данные 2st'!$DK$2:$DK$317),"")</f>
        <v>181</v>
      </c>
      <c r="LA26" s="7">
        <f>IFERROR(AVERAGEIF('Данные 2st'!$Q$2:$Q$317,$A26,'Данные 2st'!$DM$2:$DM$317),"")</f>
        <v>64.6</v>
      </c>
      <c r="LB26" s="7">
        <f>IFERROR(AVERAGEIF('Данные 2st'!$Q$2:$Q$317,$A26,'Данные 2st'!$DN$2:$DN$317),"")</f>
        <v>1.068</v>
      </c>
      <c r="LC26" s="7">
        <f>IFERROR(AVERAGEIF('Данные 2st'!$Q$2:$Q$317,$A26,'Данные 2st'!$DO$2:$DO$317),"")</f>
        <v>1</v>
      </c>
      <c r="LD26" s="7">
        <f>IFERROR(AVERAGEIF('Данные 2st'!$Q$2:$Q$317,$A26,'Данные 2st'!$DP$2:$DP$317),"")</f>
        <v>2019.2</v>
      </c>
      <c r="LE26" s="7">
        <f>IFERROR(AVERAGEIF('Данные 2st'!$Q$2:$Q$317,$A26,'Данные 2st'!$DQ$2:$DQ$317),"")</f>
        <v>776</v>
      </c>
      <c r="LF26" s="7">
        <f>IFERROR(AVERAGEIF('Данные 2st'!$Q$2:$Q$317,$A26,'Данные 2st'!$DS$2:$DS$317),"")</f>
        <v>171</v>
      </c>
      <c r="LG26" s="7">
        <f>IFERROR(AVERAGEIF('Данные 2st'!$Q$2:$Q$317,$A26,'Данные 2st'!$DU$2:$DU$317),"")</f>
        <v>64.6</v>
      </c>
      <c r="LH26" s="7">
        <f>IFERROR(AVERAGEIF('Данные 2st'!$Q$2:$Q$317,$A26,'Данные 2st'!$DV$2:$DV$317),"")</f>
        <v>1.068</v>
      </c>
      <c r="LI26" s="7">
        <f>IFERROR(AVERAGEIF('Данные 2st'!$Q$2:$Q$317,$A26,'Данные 2st'!$DW$2:$DW$317),"")</f>
        <v>1</v>
      </c>
      <c r="LJ26" s="7">
        <f>IFERROR(AVERAGEIF('Данные 2st'!$Q$2:$Q$317,$A26,'Данные 2st'!$DX$2:$DX$317),"")</f>
        <v>2030.2</v>
      </c>
      <c r="LK26" s="7">
        <f>IFERROR(AVERAGEIF('Данные 2st'!$Q$2:$Q$317,$A26,'Данные 2st'!$DY$2:$DY$317),"")</f>
        <v>737.2</v>
      </c>
      <c r="LL26" s="7">
        <f>IFERROR(AVERAGEIF('Данные 2st'!$Q$2:$Q$317,$A26,'Данные 2st'!$EA$2:$EA$317),"")</f>
        <v>22.6</v>
      </c>
      <c r="LM26" s="7">
        <f>IFERROR(AVERAGEIF('Данные 2st'!$Q$2:$Q$317,$A26,'Данные 2st'!$EC$2:$EC$317),"")</f>
        <v>0.7200000000000001</v>
      </c>
      <c r="LN26" s="7">
        <f>IFERROR(AVERAGEIF('Данные 2st'!$Q$2:$Q$317,$A26,'Данные 2st'!$ED$2:$ED$317),"")</f>
        <v>2019.2</v>
      </c>
      <c r="LO26" s="7">
        <f>IFERROR(AVERAGEIF('Данные 2st'!$Q$2:$Q$317,$A26,'Данные 2st'!$EE$2:$EE$317),"")</f>
        <v>68.2</v>
      </c>
      <c r="LP26" s="7">
        <f>IFERROR(AVERAGEIF('Данные 2st'!$Q$2:$Q$317,$A26,'Данные 2st'!$EG$2:$EG$317),"")</f>
        <v>6.6</v>
      </c>
      <c r="LQ26" s="7">
        <f>IFERROR(AVERAGEIF('Данные 2st'!$Q$2:$Q$317,$A26,'Данные 2st'!$EI$2:$EI$317),"")</f>
        <v>0.08</v>
      </c>
      <c r="LR26" s="7">
        <f>IFERROR(AVERAGEIF('Данные 2st'!$Q$2:$Q$317,$A26,'Данные 2st'!$EJ$2:$EJ$317),"")</f>
        <v>2030</v>
      </c>
      <c r="LS26" s="7">
        <f>IFERROR(AVERAGEIF('Данные 2st'!$Q$2:$Q$317,$A26,'Данные 2st'!$EK$2:$EK$317),"")</f>
        <v>59</v>
      </c>
      <c r="LT26" s="7">
        <f>IFERROR(AVERAGEIF('Данные 2st'!$Q$2:$Q$317,$A26,'Данные 2st'!$EM$2:$EM$317),"")</f>
        <v>12</v>
      </c>
      <c r="LU26" s="7">
        <f>IFERROR(AVERAGEIF('Данные 2st'!$Q$2:$Q$317,$A26,'Данные 2st'!$EN$2:$EN$317),"")</f>
        <v>0.5</v>
      </c>
      <c r="LV26" s="7">
        <f>IFERROR(AVERAGEIF('Данные 2st'!$Q$2:$Q$317,$A26,'Данные 2st'!$EO$2:$EO$317),"")</f>
        <v>0.948</v>
      </c>
      <c r="LW26" s="7">
        <f>IFERROR(AVERAGEIF('Данные 2st'!$Q$2:$Q$317,$A26,'Данные 2st'!$EP$2:$EP$317),"")</f>
        <v>2029.426</v>
      </c>
      <c r="LX26" s="7">
        <f>IFERROR(AVERAGEIF('Данные 2st'!$Q$2:$Q$317,$A26,'Данные 2st'!$EQ$2:$EQ$317),"")</f>
        <v>31484.61</v>
      </c>
      <c r="LY26" s="7">
        <f>IFERROR(AVERAGEIF('Данные 2st'!$Q$2:$Q$317,$A26,'Данные 2st'!$ER$2:$ER$317),"")</f>
        <v>6676.974</v>
      </c>
      <c r="LZ26" s="7">
        <f>IFERROR(AVERAGEIF('Данные 2st'!$Q$2:$Q$317,$A26,'Данные 2st'!$ES$2:$ES$317),"")</f>
        <v>0</v>
      </c>
      <c r="MA26" s="7">
        <f>IFERROR(AVERAGEIF('Данные 2st'!$Q$2:$Q$317,$A26,'Данные 2st'!$ET$2:$ET$317),"")</f>
        <v>0</v>
      </c>
      <c r="MB26" s="7">
        <f>IFERROR(AVERAGEIF('Данные 2st'!$Q$2:$Q$317,$A26,'Данные 2st'!$EU$2:$EU$317),"")</f>
        <v>1</v>
      </c>
      <c r="MC26" s="7">
        <f>IFERROR(AVERAGEIF('Данные 2st'!$Q$2:$Q$317,$A26,'Данные 2st'!$EV$2:$EV$317),"")</f>
        <v>38162</v>
      </c>
      <c r="MD26" s="7">
        <f>IFERROR(AVERAGEIF('Данные 2st'!$Q$2:$Q$317,$A26,'Данные 2st'!$EW$2:$EW$317),"")</f>
        <v>458.4</v>
      </c>
      <c r="ME26" s="7">
        <f>IFERROR(AVERAGEIF('Данные 2st'!$Q$2:$Q$317,$A26,'Данные 2st'!$EY$2:$EY$317),"")</f>
        <v>201.6</v>
      </c>
      <c r="MF26" s="7">
        <f>IFERROR(AVERAGEIF('Данные 2st'!$Q$2:$Q$317,$A26,'Данные 2st'!$FA$2:$FA$317),"")</f>
        <v>5.7</v>
      </c>
      <c r="MG26" s="7">
        <f>IFERROR(AVERAGEIF('Данные 2st'!$Q$2:$Q$317,$A26,'Данные 2st'!$FB$2:$FB$317),"")</f>
        <v>1</v>
      </c>
      <c r="MH26" s="7">
        <f>IFERROR(AVERAGEIF('Данные 2st'!$Q$2:$Q$317,$A26,'Данные 2st'!$FC$2:$FC$317),"")</f>
        <v>1</v>
      </c>
      <c r="MI26" s="7">
        <f>IFERROR(AVERAGEIF('Данные 2st'!$Q$2:$Q$317,$A26,'Данные 2st'!$FD$2:$FD$317),"")</f>
        <v>2062.8</v>
      </c>
      <c r="MJ26" s="7">
        <f>IFERROR(AVERAGEIF('Данные 2st'!$Q$2:$Q$317,$A26,'Данные 2st'!$FE$2:$FE$317),"")</f>
        <v>2386.4</v>
      </c>
      <c r="MK26" s="7">
        <f>IFERROR(AVERAGEIF('Данные 2st'!$Q$2:$Q$317,$A26,'Данные 2st'!$FG$2:$FG$317),"")</f>
        <v>204</v>
      </c>
      <c r="ML26" s="7">
        <f>IFERROR(AVERAGEIF('Данные 2st'!$Q$2:$Q$317,$A26,'Данные 2st'!$FI$2:$FI$317),"")</f>
        <v>2.44</v>
      </c>
      <c r="MM26" s="7">
        <f>IFERROR(AVERAGEIF('Данные 2st'!$Q$2:$Q$317,$A26,'Данные 2st'!$FJ$2:$FJ$317),"")</f>
        <v>2062.8</v>
      </c>
      <c r="MN26" s="7">
        <f>IFERROR(AVERAGEIF('Данные 2st'!$Q$2:$Q$317,$A26,'Данные 2st'!$FK$2:$FK$317),"")</f>
        <v>1173.8</v>
      </c>
      <c r="MO26" s="7">
        <f>IFERROR(AVERAGEIF('Данные 2st'!$Q$2:$Q$317,$A26,'Данные 2st'!$FP$2:$FP$317),"")</f>
        <v>2062.8</v>
      </c>
      <c r="MP26" s="7">
        <f>IFERROR(AVERAGEIF('Данные 2st'!$Q$2:$Q$317,$A26,'Данные 2st'!$FQ$2:$FQ$317),"")</f>
        <v>163</v>
      </c>
      <c r="MQ26" s="7">
        <f>IFERROR(AVERAGEIF('Данные 2st'!$Q$2:$Q$317,$A26,'Данные 2st'!$FS$2:$FS$317),"")</f>
        <v>207.6</v>
      </c>
      <c r="MR26" s="7">
        <f>IFERROR(AVERAGEIF('Данные 2st'!$Q$2:$Q$317,$A26,'Данные 2st'!$FU$2:$FU$317),"")</f>
        <v>0.4</v>
      </c>
      <c r="MS26" s="7">
        <f>IFERROR(AVERAGEIF('Данные 2st'!$Q$2:$Q$317,$A26,'Данные 2st'!$FV$2:$FV$317),"")</f>
        <v>2062.8</v>
      </c>
      <c r="MT26" s="7">
        <f>IFERROR(AVERAGEIF('Данные 2st'!$Q$2:$Q$317,$A26,'Данные 2st'!$FW$2:$FW$317),"")</f>
        <v>191</v>
      </c>
      <c r="MU26" s="7">
        <f>IFERROR(AVERAGEIF('Данные 2st'!$Q$2:$Q$317,$A26,'Данные 2st'!$FY$2:$FY$317),"")</f>
        <v>5</v>
      </c>
      <c r="MV26" s="7">
        <f>IFERROR(AVERAGEIF('Данные 2st'!$Q$2:$Q$317,$A26,'Данные 2st'!$GB$2:$GB$317),"")</f>
        <v>2063.75</v>
      </c>
      <c r="MW26" s="7">
        <f>IFERROR(AVERAGEIF('Данные 2st'!$Q$2:$Q$317,$A26,'Данные 2st'!$GC$2:$GC$317),"")</f>
        <v>19.5</v>
      </c>
      <c r="MX26" s="7">
        <f>IFERROR(AVERAGEIF('Данные 2st'!$Q$2:$Q$317,$A26,'Данные 2st'!$GD$2:$GD$317),"")</f>
        <v>3929.8</v>
      </c>
      <c r="MY26" s="7">
        <f>IFERROR(AVERAGEIF('Данные 2st'!$Q$2:$Q$317,$A26,'Данные 2st'!$GN$2:$GN$317),"")</f>
        <v/>
      </c>
      <c r="MZ26" s="7">
        <f>IFERROR(AVERAGEIF('Данные 2st'!$Q$2:$Q$317,$A26,'Данные 2st'!$GQ$2:$GQ$317),"")</f>
        <v>0</v>
      </c>
      <c r="NA26" s="7">
        <f>IFERROR(AVERAGEIF('Данные 2st'!$Q$2:$Q$317,$A26,'Данные 2st'!$GV$2:$GV$317),"")</f>
        <v>8.54</v>
      </c>
      <c r="NB26" s="7">
        <f>IFERROR(AVERAGEIF('Данные 2st'!$Q$2:$Q$317,$A26,'Данные 2st'!$GW$2:$GW$317),"")</f>
        <v>9.32</v>
      </c>
      <c r="NC26" s="7">
        <f>IFERROR(AVERAGEIF('Данные 2st'!$Q$2:$Q$317,$A26,'Данные 2st'!$GX$2:$GX$317),"")</f>
        <v>0.5</v>
      </c>
      <c r="ND26" s="7">
        <f>IFERROR(AVERAGEIF('Данные 2st'!$Q$2:$Q$317,$A26,'Данные 2st'!$GY$2:$GY$317),"")</f>
        <v>166.4</v>
      </c>
      <c r="NE26" s="7">
        <f>IFERROR(AVERAGEIF('Данные 2st'!$Q$2:$Q$317,$A26,'Данные 2st'!$GZ$2:$GZ$317),"")</f>
        <v>3</v>
      </c>
      <c r="NF26" s="7">
        <f>IFERROR(AVERAGEIF('Данные 2st'!$Q$2:$Q$317,$A26,'Данные 2st'!$HA$2:$HA$317),"")</f>
        <v>224.4</v>
      </c>
      <c r="NG26" s="7">
        <f>IFERROR(AVERAGEIF('Данные 2st'!$Q$2:$Q$317,$A26,'Данные 2st'!$HB$2:$HB$317),"")</f>
        <v>3</v>
      </c>
      <c r="NH26" s="7">
        <f>IFERROR(AVERAGEIF('Данные 2st'!$Q$2:$Q$317,$A26,'Данные 2st'!$HC$2:$HC$317),"")</f>
        <v>2062.8</v>
      </c>
      <c r="NI26" s="7">
        <f>IFERROR(AVERAGEIF('Данные 2st'!$Q$2:$Q$317,$A26,'Данные 2st'!$HD$2:$HD$317),"")</f>
        <v>4</v>
      </c>
      <c r="NJ26" s="7">
        <f>IFERROR(AVERAGEIF('Данные 2st'!$Q$2:$Q$317,$A26,'Данные 2st'!$HM$2:$HM$317),"")</f>
        <v>17</v>
      </c>
      <c r="NK26" s="7">
        <f>IFERROR(AVERAGEIF('Данные 2st'!$Q$2:$Q$317,$A26,'Данные 2st'!$HR$2:$HR$317),"")</f>
        <v>3</v>
      </c>
      <c r="NL26" s="7">
        <f>IFERROR(AVERAGEIF('Данные 2st'!$Q$2:$Q$317,$A26,'Данные 2st'!$HS$2:$HS$317),"")</f>
        <v>2016</v>
      </c>
      <c r="NM26" s="7">
        <f>IFERROR(AVERAGEIF('Данные 2st'!$Q$2:$Q$317,$A26,'Данные 2st'!$HT$2:$HT$317),"")</f>
        <v>5</v>
      </c>
      <c r="NN26" s="7">
        <f>IFERROR(AVERAGEIF('Данные 2st'!$Q$2:$Q$317,$A26,'Данные 2st'!$HY$2:$HY$317),"")</f>
        <v>0</v>
      </c>
      <c r="NO26" s="7">
        <f>IFERROR(AVERAGEIF('Данные 2st'!$Q$2:$Q$317,$A26,'Данные 2st'!$HZ$2:$HZ$317),"")</f>
        <v>64.6</v>
      </c>
      <c r="NP26" s="7">
        <f>IFERROR(AVERAGEIF('Данные 2st'!$Q$2:$Q$317,$A26,'Данные 2st'!$IA$2:$IA$317),"")</f>
        <v>2019.2</v>
      </c>
      <c r="NQ26" s="7">
        <f>IFERROR(AVERAGEIF('Данные 2st'!$Q$2:$Q$317,$A26,'Данные 2st'!$IB$2:$IB$317),"")</f>
        <v>2030.2</v>
      </c>
      <c r="NR26" s="7">
        <f>IFERROR(AVERAGEIF('Данные 2st'!$Q$2:$Q$317,$A26,'Данные 2st'!$IC$2:$IC$317),"")</f>
        <v/>
      </c>
      <c r="NS26" s="7">
        <f>IFERROR(AVERAGEIF('Данные 2st'!$Q$2:$Q$317,$A26,'Данные 2st'!$ID$2:$ID$317),"")</f>
        <v>2062.8</v>
      </c>
      <c r="NT26" s="7">
        <f>IFERROR(AVERAGEIF('Данные 2st'!$Q$2:$Q$317,$A26,'Данные 2st'!$IE$2:$IE$317),"")</f>
        <v>2062.8</v>
      </c>
      <c r="NU26" s="7">
        <f>IFERROR(AVERAGEIF('Данные 2st'!$Q$2:$Q$317,$A26,'Данные 2st'!$IF$2:$IF$317),"")</f>
        <v>181</v>
      </c>
      <c r="NV26" s="7">
        <f>IFERROR(AVERAGEIF('Данные 2st'!$Q$2:$Q$317,$A26,'Данные 2st'!$IG$2:$IG$317),"")</f>
        <v>171</v>
      </c>
      <c r="NW26" s="7">
        <f>IFERROR(AVERAGEIF('Данные 2st'!$Q$2:$Q$317,$A26,'Данные 2st'!$IH$2:$IH$317),"")</f>
        <v>224.4</v>
      </c>
      <c r="NX26" s="7">
        <f>IFERROR(AVERAGEIF('Данные 2st'!$Q$2:$Q$317,$A26,'Данные 2st'!$IJ$2:$IJ$317),"")</f>
        <v>5</v>
      </c>
      <c r="NY26" s="7">
        <f>IFERROR(AVERAGEIF('Данные 2st'!$Q$2:$Q$317,$A26,'Данные 2st'!$IM$2:$IM$317),"")</f>
        <v>0</v>
      </c>
      <c r="NZ26" s="7">
        <f>IFERROR(AVERAGEIF('Данные 2st'!$Q$2:$Q$317,$A26,'Данные 2st'!$IN$2:$IN$317),"")</f>
        <v>270</v>
      </c>
      <c r="OA26" s="7">
        <f>IFERROR(AVERAGEIF('Данные 2st'!$Q$2:$Q$317,$A26,'Данные 2st'!$IO$2:$IO$317),"")</f>
        <v>0</v>
      </c>
      <c r="OB26" s="7">
        <f>IFERROR(AVERAGEIF('Данные 2st'!$Q$2:$Q$317,$A26,'Данные 2st'!$IP$2:$IP$317),"")</f>
        <v>180</v>
      </c>
      <c r="OC26" s="7">
        <f>IFERROR(AVERAGEIF('Данные 2st'!$Q$2:$Q$317,$A26,'Данные 2st'!$IQ$2:$IQ$317),"")</f>
        <v>0</v>
      </c>
      <c r="OD26" s="7">
        <f>IFERROR(AVERAGEIF('Данные 2st'!$Q$2:$Q$317,$A26,'Данные 2st'!$IR$2:$IR$317),"")</f>
        <v>330</v>
      </c>
      <c r="OE26" s="7">
        <f>IFERROR(AVERAGEIF('Данные 2st'!$Q$2:$Q$317,$A26,'Данные 2st'!$IT$2:$IT$317),"")</f>
        <v>90</v>
      </c>
      <c r="OF26" s="7">
        <f>IFERROR(AVERAGEIF('Данные 2st'!$Q$2:$Q$317,$A26,'Данные 2st'!$IU$2:$IU$317),"")</f>
        <v>0</v>
      </c>
      <c r="OG26" s="7">
        <f>IFERROR(AVERAGEIF('Данные 2st'!$Q$2:$Q$317,$A26,'Данные 2st'!$IV$2:$IV$317),"")</f>
        <v>6.4</v>
      </c>
      <c r="OH26" s="7">
        <f>IFERROR(AVERAGEIF('Данные 2st'!$Q$2:$Q$317,$A26,'Данные 2st'!$IW$2:$IW$317),"")</f>
        <v>-6</v>
      </c>
      <c r="OI26" s="7">
        <f>IFERROR(AVERAGEIF('Данные 2st'!$Q$2:$Q$317,$A26,'Данные 2st'!$IX$2:$IX$317),"")</f>
        <v>93.3</v>
      </c>
      <c r="OJ26" s="7">
        <f>IFERROR(AVERAGEIF('Данные 2st'!$Q$2:$Q$317,$A26,'Данные 2st'!$IY$2:$IY$317),"")</f>
        <v>72.3</v>
      </c>
      <c r="OK26" s="7">
        <f>IFERROR(AVERAGEIF('Данные 2st'!$Q$2:$Q$317,$A26,'Данные 2st'!$IZ$2:$IZ$317),"")</f>
        <v>0</v>
      </c>
      <c r="OL26" s="7">
        <f>IFERROR(AVERAGEIF('Данные 2st'!$Q$2:$Q$317,$A26,'Данные 2st'!$JA$2:$JA$317),"")</f>
        <v>0</v>
      </c>
      <c r="OM26" s="7">
        <f>IFERROR(AVERAGEIF('Данные 2st'!$Q$2:$Q$317,$A26,'Данные 2st'!$JB$2:$JB$317),"")</f>
        <v>0</v>
      </c>
      <c r="ON26" s="7">
        <f>IFERROR(AVERAGEIF('Данные 2st'!$Q$2:$Q$317,$A26,'Данные 2st'!$JC$2:$JC$317),"")</f>
        <v>0</v>
      </c>
      <c r="OO26" s="7">
        <f>IFERROR(AVERAGEIF('Данные 2st'!$Q$2:$Q$317,$A26,'Данные 2st'!$JD$2:$JD$317),"")</f>
        <v>0</v>
      </c>
      <c r="OP26" s="7">
        <f>IFERROR(AVERAGEIF('Данные 2st'!$Q$2:$Q$317,$A26,'Данные 2st'!$JE$2:$JE$317),"")</f>
        <v>0</v>
      </c>
      <c r="OQ26" s="7">
        <f>IFERROR(AVERAGEIF('Данные 2st'!$Q$2:$Q$317,$A26,'Данные 2st'!$JF$2:$JF$317),"")</f>
        <v>0</v>
      </c>
      <c r="OR26" s="7">
        <f>IFERROR(AVERAGEIF('Данные 2st'!$Q$2:$Q$317,$A26,'Данные 2st'!$JG$2:$JG$317),"")</f>
        <v>0</v>
      </c>
      <c r="OS26" s="7">
        <f>IFERROR(AVERAGEIF('Данные 2st'!$Q$2:$Q$317,$A26,'Данные 2st'!$JH$2:$JH$317),"")</f>
        <v>0</v>
      </c>
      <c r="OT26" s="7">
        <f>IFERROR(AVERAGEIF('Данные 2st'!$Q$2:$Q$317,$A26,'Данные 2st'!$JI$2:$JI$317),"")</f>
        <v>381.2</v>
      </c>
      <c r="OU26" s="7">
        <f>IFERROR(AVERAGEIF('Данные 2st'!$Q$2:$Q$317,$A26,'Данные 2st'!$JJ$2:$JJ$317),"")</f>
        <v>352</v>
      </c>
      <c r="OV26" s="7">
        <f>IFERROR(AVERAGEIF('Данные 2st'!$Q$2:$Q$317,$A26,'Данные 2st'!$JK$2:$JK$317),"")</f>
        <v>264.4</v>
      </c>
      <c r="OW26" s="7">
        <f>IFERROR(AVERAGEIF('Данные 2st'!$Q$2:$Q$317,$A26,'Данные 2st'!$JL$2:$JL$317),"")</f>
        <v>350</v>
      </c>
      <c r="OX26" s="7">
        <f>IFERROR(AVERAGEIF('Данные 2st'!$Q$2:$Q$317,$A26,'Данные 2st'!$JM$2:$JM$317),"")</f>
        <v>277</v>
      </c>
      <c r="OY26" s="7">
        <f>IFERROR(AVERAGEIF('Данные 2st'!$Q$2:$Q$317,$A26,'Данные 2st'!$JP$2:$JP$317),"")</f>
        <v>196.2</v>
      </c>
      <c r="OZ26" s="7">
        <f>IFERROR(AVERAGEIF('Данные 2st'!$Q$2:$Q$317,$A26,'Данные 2st'!$JQ$2:$JQ$317),"")</f>
        <v>244</v>
      </c>
      <c r="PA26" s="7">
        <f>IFERROR(AVERAGEIF('Данные 2st'!$Q$2:$Q$317,$A26,'Данные 2st'!$JR$2:$JR$317),"")</f>
        <v>336</v>
      </c>
      <c r="PB26" s="7">
        <f>IFERROR(AVERAGEIF('Данные 2st'!$Q$2:$Q$317,$A26,'Данные 2st'!$JS$2:$JS$317),"")</f>
        <v>238</v>
      </c>
      <c r="PC26" s="7">
        <f>IFERROR(AVERAGEIF('Данные 2st'!$Q$2:$Q$317,$A26,'Данные 2st'!$JT$2:$JT$317),"")</f>
        <v>0</v>
      </c>
      <c r="PD26" s="7">
        <f>IFERROR(AVERAGEIF('Данные 2st'!$Q$2:$Q$317,$A26,'Данные 2st'!$JU$2:$JU$317),"")</f>
        <v>0</v>
      </c>
      <c r="PE26" s="7">
        <f>IFERROR(AVERAGEIF('Данные 2st'!$Q$2:$Q$317,$A26,'Данные 2st'!$JV$2:$JV$317),"")</f>
        <v>335</v>
      </c>
      <c r="PF26" s="7">
        <f>IFERROR(AVERAGEIF('Данные 2st'!$Q$2:$Q$317,$A26,'Данные 2st'!$JW$2:$JW$317),"")</f>
        <v>337</v>
      </c>
      <c r="PG26" s="7">
        <f>IFERROR(AVERAGEIF('Данные 2st'!$Q$2:$Q$317,$A26,'Данные 2st'!$KF$2:$KF$317),"")</f>
        <v>0.186</v>
      </c>
      <c r="PH26" s="7">
        <f>IFERROR(AVERAGEIF('Данные 2st'!$Q$2:$Q$317,$A26,'Данные 2st'!$KG$2:$KG$317),"")</f>
        <v>0.108</v>
      </c>
      <c r="PI26" s="7">
        <f>IFERROR(AVERAGEIF('Данные 2st'!$Q$2:$Q$317,$A26,'Данные 2st'!$KM$2:$KM$317),"")</f>
        <v>0</v>
      </c>
      <c r="PJ26" s="7">
        <f>IFERROR(AVERAGEIF('Данные 2st'!$Q$2:$Q$317,$A26,'Данные 2st'!$KN$2:$KN$317),"")</f>
        <v>1.4000000000000001</v>
      </c>
      <c r="PK26" s="7">
        <f>IFERROR(AVERAGEIF('Данные 2st'!$Q$2:$Q$317,$A26,'Данные 2st'!$KO$2:$KO$317),"")</f>
        <v>0</v>
      </c>
      <c r="PL26" s="7">
        <f>IFERROR(AVERAGEIF('Данные 2st'!$Q$2:$Q$317,$A26,'Данные 2st'!$KP$2:$KP$317),"")</f>
        <v>0</v>
      </c>
      <c r="PM26" s="7">
        <f>IFERROR(AVERAGEIF('Данные 2st'!$Q$2:$Q$317,$A26,'Данные 2st'!$KQ$2:$KQ$317),"")</f>
        <v>0.8</v>
      </c>
      <c r="PN26" s="7">
        <f>IFERROR(AVERAGEIF('Данные 2st'!$Q$2:$Q$317,$A26,'Данные 2st'!$KR$2:$KR$317),"")</f>
        <v>1</v>
      </c>
      <c r="PO26" s="7">
        <f>IFERROR(AVERAGEIF('Данные 2st'!$Q$2:$Q$317,$A26,'Данные 2st'!$KS$2:$KS$317),"")</f>
        <v>0</v>
      </c>
      <c r="PP26" s="7">
        <f>IFERROR(AVERAGEIF('Данные 2st'!$Q$2:$Q$317,$A26,'Данные 2st'!$KT$2:$KT$317),"")</f>
        <v>1.8800000000000001</v>
      </c>
      <c r="PQ26" s="7">
        <f>IFERROR(AVERAGEIF('Данные 2st'!$Q$2:$Q$317,$A26,'Данные 2st'!$KU$2:$KU$317),"")</f>
        <v>0</v>
      </c>
      <c r="PR26" s="7">
        <f>IFERROR(AVERAGEIF('Данные 2st'!$Q$2:$Q$317,$A26,'Данные 2st'!$KV$2:$KV$317),"")</f>
        <v>0</v>
      </c>
      <c r="PS26" s="7">
        <f>IFERROR(AVERAGEIF('Данные 2st'!$Q$2:$Q$317,$A26,'Данные 2st'!$KW$2:$KW$317),"")</f>
        <v>0.8</v>
      </c>
      <c r="PT26" s="7">
        <f>IFERROR(AVERAGEIF('Данные 2st'!$Q$2:$Q$317,$A26,'Данные 2st'!$KX$2:$KX$317),"")</f>
        <v>0.8</v>
      </c>
      <c r="PU26" s="7">
        <f>IFERROR(AVERAGEIF('Данные 2st'!$Q$2:$Q$317,$A26,'Данные 2st'!$KY$2:$KY$317),"")</f>
        <v>0</v>
      </c>
      <c r="PV26" s="7">
        <f>IFERROR(AVERAGEIF('Данные 2st'!$Q$2:$Q$317,$A26,'Данные 2st'!$KZ$2:$KZ$317),"")</f>
        <v>0</v>
      </c>
      <c r="PW26" s="7">
        <f>IFERROR(AVERAGEIF('Данные 2st'!$Q$2:$Q$317,$A26,'Данные 2st'!$LA$2:$LA$317),"")</f>
        <v>0</v>
      </c>
      <c r="PX26" s="7">
        <f>IFERROR(AVERAGEIF('Данные 2st'!$Q$2:$Q$317,$A26,'Данные 2st'!$LB$2:$LB$317),"")</f>
        <v>0</v>
      </c>
      <c r="PY26" s="7">
        <f>IFERROR(AVERAGEIF('Данные 2st'!$Q$2:$Q$317,$A26,'Данные 2st'!$LC$2:$LC$317),"")</f>
        <v>0</v>
      </c>
      <c r="PZ26" s="7">
        <f>IFERROR(AVERAGEIF('Данные 2st'!$Q$2:$Q$317,$A26,'Данные 2st'!$LD$2:$LD$317),"")</f>
        <v>0</v>
      </c>
      <c r="QA26" s="7">
        <f>IFERROR(AVERAGEIF('Данные 2st'!$Q$2:$Q$317,$A26,'Данные 2st'!$LE$2:$LE$317),"")</f>
        <v>0</v>
      </c>
      <c r="QB26" s="7">
        <f>IFERROR(AVERAGEIF('Данные 2st'!$Q$2:$Q$317,$A26,'Данные 2st'!$LF$2:$LF$317),"")</f>
        <v>0</v>
      </c>
      <c r="QC26" s="7">
        <f>IFERROR(AVERAGEIF('Данные 2st'!$Q$2:$Q$317,$A26,'Данные 2st'!$LG$2:$LG$317),"")</f>
        <v>0</v>
      </c>
      <c r="QD26" s="7">
        <f>IFERROR(AVERAGEIF('Данные 2st'!$Q$2:$Q$317,$A26,'Данные 2st'!$LH$2:$LH$317),"")</f>
        <v>3</v>
      </c>
      <c r="QE26" s="7">
        <f>IFERROR(AVERAGEIF('Данные 2st'!$Q$2:$Q$317,$A26,'Данные 2st'!$LJ$2:$LJ$317),"")</f>
        <v>0</v>
      </c>
      <c r="QF26" s="7">
        <f>IFERROR(AVERAGEIF('Данные 2st'!$Q$2:$Q$317,$A26,'Данные 2st'!$LK$2:$LK$317),"")</f>
        <v>4.5</v>
      </c>
      <c r="QG26" s="7">
        <f>IFERROR(AVERAGEIF('Данные 2st'!$Q$2:$Q$317,$A26,'Данные 2st'!$LL$2:$LL$317),"")</f>
        <v>6</v>
      </c>
      <c r="QH26" s="7">
        <f>IFERROR(AVERAGEIF('Данные 2st'!$Q$2:$Q$317,$A26,'Данные 2st'!$LM$2:$LM$317),"")</f>
        <v>7.5</v>
      </c>
      <c r="QI26" s="7">
        <f>IFERROR(AVERAGEIF('Данные 2st'!$Q$2:$Q$317,$A26,'Данные 2st'!$LN$2:$LN$317),"")</f>
        <v>0.1</v>
      </c>
      <c r="QJ26" s="7">
        <f>IFERROR(AVERAGEIF('Данные 2st'!$Q$2:$Q$317,$A26,'Данные 2st'!$LO$2:$LO$317),"")</f>
        <v>0.1</v>
      </c>
      <c r="QK26" s="7">
        <f>IFERROR(AVERAGEIF('Данные 2st'!$Q$2:$Q$317,$A26,'Данные 2st'!$LP$2:$LP$317),"")</f>
        <v>0</v>
      </c>
      <c r="QL26" s="7">
        <f>IFERROR(AVERAGEIF('Данные 2st'!$Q$2:$Q$317,$A26,'Данные 2st'!$LQ$2:$LQ$317),"")</f>
        <v>0</v>
      </c>
      <c r="QM26" s="7">
        <f>IFERROR(AVERAGEIF('Данные 2st'!$Q$2:$Q$317,$A26,'Данные 2st'!$LW$2:$LW$317),"")</f>
        <v>2.1</v>
      </c>
      <c r="QN26" s="7">
        <f>IFERROR(AVERAGEIF('Данные 2st'!$Q$2:$Q$317,$A26,'Данные 2st'!$LX$2:$LX$317),"")</f>
        <v>2.1</v>
      </c>
      <c r="QO26" s="7">
        <f>IFERROR(AVERAGEIF('Данные 2st'!$Q$2:$Q$317,$A26,'Данные 2st'!$LY$2:$LY$317),"")</f>
        <v>2.1</v>
      </c>
      <c r="QP26" s="7">
        <f>IFERROR(AVERAGEIF('Данные 2st'!$Q$2:$Q$317,$A26,'Данные 2st'!$LZ$2:$LZ$317),"")</f>
        <v>2.1</v>
      </c>
      <c r="QQ26" s="7">
        <f>IFERROR(AVERAGEIF('Данные 2st'!$Q$2:$Q$317,$A26,'Данные 2st'!$MB$2:$MB$317),"")</f>
        <v>3</v>
      </c>
      <c r="QR26" s="7">
        <f>IFERROR(AVERAGEIF('Данные 2st'!$Q$2:$Q$317,$A26,'Данные 2st'!$MG$2:$MG$317),"")</f>
        <v>0</v>
      </c>
      <c r="QS26" s="7">
        <f>IFERROR(AVERAGEIF('Данные 2st'!$Q$2:$Q$317,$A26,'Данные 2st'!$MH$2:$MH$317),"")</f>
        <v>0</v>
      </c>
      <c r="QT26" s="7">
        <f>IFERROR(AVERAGEIF('Данные 2st'!$Q$2:$Q$317,$A26,'Данные 2st'!$MI$2:$MI$317),"")</f>
        <v>0</v>
      </c>
      <c r="QU26" s="7">
        <f>IFERROR(AVERAGEIF('Данные 2st'!$Q$2:$Q$317,$A26,'Данные 2st'!$MJ$2:$MJ$317),"")</f>
        <v>0</v>
      </c>
      <c r="QV26" s="7">
        <f>IFERROR(AVERAGEIF('Данные 2st'!$Q$2:$Q$317,$A26,'Данные 2st'!$MK$2:$MK$317),"")</f>
        <v>0</v>
      </c>
      <c r="QW26" s="7">
        <f>IFERROR(AVERAGEIF('Данные 2st'!$Q$2:$Q$317,$A26,'Данные 2st'!$MM$2:$MM$317),"")</f>
        <v>414</v>
      </c>
      <c r="QX26" s="7">
        <f>IFERROR(AVERAGEIF('Данные 2st'!$Q$2:$Q$317,$A26,'Данные 2st'!$MQ$2:$MQ$317),"")</f>
        <v/>
      </c>
      <c r="QY26" s="7">
        <f>IFERROR(AVERAGEIF('Данные 2st'!$Q$2:$Q$317,$A26,'Данные 2st'!$MR$2:$MR$317),"")</f>
        <v/>
      </c>
      <c r="QZ26" s="7">
        <f>IFERROR(AVERAGEIF('Данные 2st'!$Q$2:$Q$317,$A26,'Данные 2st'!$MS$2:$MS$317),"")</f>
        <v/>
      </c>
      <c r="RA26" s="7">
        <f>IFERROR(AVERAGEIF('Данные 2st'!$Q$2:$Q$317,$A26,'Данные 2st'!$MT$2:$MT$317),"")</f>
        <v/>
      </c>
      <c r="RB26" s="7">
        <f>IFERROR(AVERAGEIF('Данные 2st'!$Q$2:$Q$317,$A26,'Данные 2st'!$MU$2:$MU$317),"")</f>
        <v/>
      </c>
      <c r="RC26" s="7">
        <f>IFERROR(AVERAGEIF('Данные 2st'!$Q$2:$Q$317,$A26,'Данные 2st'!$MV$2:$MV$317),"")</f>
        <v/>
      </c>
      <c r="RD26" s="7">
        <f>IFERROR(AVERAGEIF('Данные 2st'!$Q$2:$Q$317,$A26,'Данные 2st'!$MW$2:$MW$317),"")</f>
        <v/>
      </c>
      <c r="RE26" s="7">
        <f>IFERROR(AVERAGEIF('Данные 2st'!$Q$2:$Q$317,$A26,'Данные 2st'!$MX$2:$MX$317),"")</f>
        <v/>
      </c>
      <c r="RF26" s="7">
        <f>IFERROR(AVERAGEIF('Данные 2st'!$Q$2:$Q$317,$A26,'Данные 2st'!$MY$2:$MY$317),"")</f>
        <v/>
      </c>
      <c r="RG26" s="7">
        <f>IFERROR(AVERAGEIF('Данные 2st'!$Q$2:$Q$317,$A26,'Данные 2st'!$MZ$2:$MZ$317),"")</f>
        <v/>
      </c>
      <c r="RH26" s="7">
        <f>IFERROR(AVERAGEIF('Данные 2st'!$Q$2:$Q$317,$A26,'Данные 2st'!$NA$2:$NA$317),"")</f>
        <v/>
      </c>
      <c r="RI26" s="7">
        <f>IFERROR(AVERAGEIF('Данные 2st'!$Q$2:$Q$317,$A26,'Данные 2st'!$NB$2:$NB$317),"")</f>
        <v/>
      </c>
      <c r="RJ26" s="7">
        <f>IFERROR(AVERAGEIF('Данные 2st'!$Q$2:$Q$317,$A26,'Данные 2st'!$NC$2:$NC$317),"")</f>
        <v/>
      </c>
      <c r="RK26" s="7">
        <f>IFERROR(AVERAGEIF('Данные 2st'!$Q$2:$Q$317,$A26,'Данные 2st'!$ND$2:$ND$317),"")</f>
        <v/>
      </c>
      <c r="RL26" s="7">
        <f>IFERROR(AVERAGEIF('Данные 2st'!$Q$2:$Q$317,$A26,'Данные 2st'!$NE$2:$NE$317),"")</f>
        <v/>
      </c>
      <c r="RM26" s="7">
        <f>IFERROR(AVERAGEIF('Данные 2st'!$Q$2:$Q$317,$A26,'Данные 2st'!$NF$2:$NF$317),"")</f>
        <v/>
      </c>
      <c r="RN26" s="7">
        <f>IFERROR(AVERAGEIF('Данные 2st'!$Q$2:$Q$317,$A26,'Данные 2st'!$NG$2:$NG$317),"")</f>
        <v/>
      </c>
      <c r="RO26" s="7">
        <f>IFERROR(AVERAGEIF('Данные 2st'!$Q$2:$Q$317,$A26,'Данные 2st'!$NH$2:$NH$317),"")</f>
        <v/>
      </c>
      <c r="RP26" s="7">
        <f>IFERROR(AVERAGEIF('Данные 2st'!$Q$2:$Q$317,$A26,'Данные 2st'!$NJ$2:$NJ$317),"")</f>
        <v/>
      </c>
      <c r="RQ26" s="7">
        <f>IFERROR(AVERAGEIF('Данные 2st'!$Q$2:$Q$317,$A26,'Данные 2st'!$NK$2:$NK$317),"")</f>
        <v/>
      </c>
      <c r="RR26" s="7">
        <f>IFERROR(AVERAGEIF('Данные 2st'!$Q$2:$Q$317,$A26,'Данные 2st'!$NM$2:$NM$317),"")</f>
        <v/>
      </c>
      <c r="RS26" s="7">
        <f>IFERROR(AVERAGEIF('Данные 2st'!$Q$2:$Q$317,$A26,'Данные 2st'!$NN$2:$NN$317),"")</f>
        <v/>
      </c>
      <c r="RT26" s="7">
        <f>IFERROR(AVERAGEIF('Данные 2st'!$Q$2:$Q$317,$A26,'Данные 2st'!$NO$2:$NO$317),"")</f>
        <v/>
      </c>
      <c r="RU26" s="7">
        <f>IFERROR(AVERAGEIF('Данные 2st'!$Q$2:$Q$317,$A26,'Данные 2st'!$NP$2:$NP$317),"")</f>
        <v/>
      </c>
      <c r="RV26" s="7">
        <f>IFERROR(AVERAGEIF('Данные 2st'!$Q$2:$Q$317,$A26,'Данные 2st'!$NQ$2:$NQ$317),"")</f>
        <v/>
      </c>
      <c r="RW26" s="7">
        <f>IFERROR(AVERAGEIF('Данные 2st'!$Q$2:$Q$317,$A26,'Данные 2st'!$NR$2:$NR$317),"")</f>
        <v/>
      </c>
      <c r="RX26" s="7">
        <f>IFERROR(AVERAGEIF('Данные 2st'!$Q$2:$Q$317,$A26,'Данные 2st'!$NS$2:$NS$317),"")</f>
        <v/>
      </c>
      <c r="RY26" s="7">
        <f>IFERROR(AVERAGEIF('Данные 2st'!$Q$2:$Q$317,$A26,'Данные 2st'!$NT$2:$NT$317),"")</f>
        <v/>
      </c>
      <c r="RZ26" s="7">
        <f>IFERROR(AVERAGEIF('Данные 2st'!$Q$2:$Q$317,$A26,'Данные 2st'!$OK$2:$OK$317),"")</f>
        <v>61</v>
      </c>
      <c r="SA26" s="7">
        <f>IFERROR(AVERAGEIF('Данные 2st'!$Q$2:$Q$317,$A26,'Данные 2st'!$OL$2:$OL$317),"")</f>
        <v>61</v>
      </c>
      <c r="SB26" s="7">
        <f>IFERROR(AVERAGEIF('Данные 2st'!$Q$2:$Q$317,$A26,'Данные 2st'!$ON$2:$ON$317),"")</f>
        <v>1.2</v>
      </c>
      <c r="SC26" s="7">
        <f>IFERROR(AVERAGEIF('Данные 2st'!$Q$2:$Q$317,$A26,'Данные 2st'!$OO$2:$OO$317),"")</f>
        <v>2019.2</v>
      </c>
      <c r="SD26" s="7">
        <f>IFERROR(AVERAGEIF('Данные 2st'!$Q$2:$Q$317,$A26,'Данные 2st'!$OP$2:$OP$317),"")</f>
        <v>61</v>
      </c>
      <c r="SE26" s="7">
        <f>IFERROR(AVERAGEIF('Данные 2st'!$Q$2:$Q$317,$A26,'Данные 2st'!$OQ$2:$OQ$317),"")</f>
        <v>61</v>
      </c>
      <c r="SF26" s="7">
        <f>IFERROR(AVERAGEIF('Данные 2st'!$Q$2:$Q$317,$A26,'Данные 2st'!$OS$2:$OS$317),"")</f>
        <v>1.2</v>
      </c>
      <c r="SG26" s="7">
        <f>IFERROR(AVERAGEIF('Данные 2st'!$Q$2:$Q$317,$A26,'Данные 2st'!$OT$2:$OT$317),"")</f>
        <v>2030.2</v>
      </c>
      <c r="SH26" s="7">
        <f>IFERROR(AVERAGEIF('Данные 2st'!$Q$2:$Q$317,$A26,'Данные 2st'!$OU$2:$OU$317),"")</f>
        <v>65</v>
      </c>
      <c r="SI26" s="7">
        <f>IFERROR(AVERAGEIF('Данные 2st'!$Q$2:$Q$317,$A26,'Данные 2st'!$OV$2:$OV$317),"")</f>
        <v>65</v>
      </c>
      <c r="SJ26" s="7">
        <f>IFERROR(AVERAGEIF('Данные 2st'!$Q$2:$Q$317,$A26,'Данные 2st'!$OX$2:$OX$317),"")</f>
        <v>1.6</v>
      </c>
      <c r="SK26" s="7">
        <f>IFERROR(AVERAGEIF('Данные 2st'!$Q$2:$Q$317,$A26,'Данные 2st'!$OY$2:$OY$317),"")</f>
        <v>38162</v>
      </c>
      <c r="SL26" s="7">
        <f>IFERROR(AVERAGEIF('Данные 2st'!$Q$2:$Q$317,$A26,'Данные 2st'!$OZ$2:$OZ$317),"")</f>
        <v>51</v>
      </c>
      <c r="SM26" s="7">
        <f>IFERROR(AVERAGEIF('Данные 2st'!$Q$2:$Q$317,$A26,'Данные 2st'!$PA$2:$PA$317),"")</f>
        <v>51.4</v>
      </c>
      <c r="SN26" s="7">
        <f>IFERROR(AVERAGEIF('Данные 2st'!$Q$2:$Q$317,$A26,'Данные 2st'!$PC$2:$PC$317),"")</f>
        <v>1.8</v>
      </c>
      <c r="SO26" s="7">
        <f>IFERROR(AVERAGEIF('Данные 2st'!$Q$2:$Q$317,$A26,'Данные 2st'!$PD$2:$PD$317),"")</f>
        <v>2062.8</v>
      </c>
      <c r="SP26" s="7">
        <f>IFERROR(AVERAGEIF('Данные 2st'!$Q$2:$Q$317,$A26,'Данные 2st'!$PF$2:$PF$317),"")</f>
        <v>384.4</v>
      </c>
      <c r="SQ26" s="7">
        <f>IFERROR(AVERAGEIF('Данные 2st'!$Q$2:$Q$317,$A26,'Данные 2st'!$PG$2:$PG$317),"")</f>
        <v>33.8</v>
      </c>
      <c r="SR26" s="7">
        <f>IFERROR(AVERAGEIF('Данные 2st'!$Q$2:$Q$317,$A26,'Данные 2st'!$PH$2:$PH$317),"")</f>
        <v>363.2</v>
      </c>
      <c r="SS26" s="7">
        <f>IFERROR(AVERAGEIF('Данные 2st'!$Q$2:$Q$317,$A26,'Данные 2st'!$PI$2:$PI$317),"")</f>
        <v>5.8</v>
      </c>
      <c r="ST26" s="7">
        <f>IFERROR(AVERAGEIF('Данные 2st'!$Q$2:$Q$317,$A26,'Данные 2st'!$PJ$2:$PJ$317),"")</f>
        <v>78.94</v>
      </c>
      <c r="SU26" s="7">
        <f>IFERROR(AVERAGEIF('Данные 2st'!$Q$2:$Q$317,$A26,'Данные 2st'!$PK$2:$PK$317),"")</f>
        <v>1821</v>
      </c>
      <c r="SV26" s="7">
        <f>IFERROR(AVERAGEIF('Данные 2st'!$Q$2:$Q$317,$A26,'Данные 2st'!$PL$2:$PL$317),"")</f>
        <v>1156.84</v>
      </c>
      <c r="SW26" s="7">
        <f>IFERROR(AVERAGEIF('Данные 2st'!$Q$2:$Q$317,$A26,'Данные 2st'!$PM$2:$PM$317),"")</f>
        <v>569.8</v>
      </c>
      <c r="SX26" s="7">
        <f>IFERROR(AVERAGEIF('Данные 2st'!$Q$2:$Q$317,$A26,'Данные 2st'!$PN$2:$PN$317),"")</f>
        <v>92.58</v>
      </c>
      <c r="SY26" s="7">
        <f>IFERROR(AVERAGEIF('Данные 2st'!$Q$2:$Q$317,$A26,'Данные 2st'!$PO$2:$PO$317),"")</f>
        <v>9.425</v>
      </c>
      <c r="SZ26" s="7">
        <f>IFERROR(AVERAGEIF('Данные 2st'!$Q$2:$Q$317,$A26,'Данные 2st'!$PP$2:$PP$317),"")</f>
        <v>12</v>
      </c>
      <c r="TA26" s="7">
        <f>IFERROR(AVERAGEIF('Данные 2st'!$Q$2:$Q$317,$A26,'Данные 2st'!$PQ$2:$PQ$317),"")</f>
        <v>3</v>
      </c>
      <c r="TB26" s="7">
        <f>IFERROR(AVERAGEIF('Данные 2st'!$Q$2:$Q$317,$A26,'Данные 2st'!$PR$2:$PR$317),"")</f>
        <v>3</v>
      </c>
      <c r="TC26" s="7">
        <f>IFERROR(AVERAGEIF('Данные 2st'!$Q$2:$Q$317,$A26,'Данные 2st'!$PS$2:$PS$317),"")</f>
        <v>0</v>
      </c>
      <c r="TD26" s="7">
        <f>IFERROR(AVERAGEIF('Данные 2st'!$Q$2:$Q$317,$A26,'Данные 2st'!$PT$2:$PT$317),"")</f>
        <v>224.4</v>
      </c>
      <c r="TE26" s="7">
        <f>IFERROR(AVERAGEIF('Данные 2st'!$Q$2:$Q$317,$A26,'Данные 2st'!$PU$2:$PU$317),"")</f>
        <v>10.2</v>
      </c>
      <c r="TF26" s="7">
        <f>IFERROR(AVERAGEIF('Данные 2st'!$Q$2:$Q$317,$A26,'Данные 2st'!$PX$2:$PX$317),"")</f>
        <v>0</v>
      </c>
      <c r="TG26" s="7">
        <f>IFERROR(AVERAGEIF('Данные 2st'!$Q$2:$Q$317,$A26,'Данные 2st'!$PY$2:$PY$317),"")</f>
        <v>0</v>
      </c>
      <c r="TH26" s="7">
        <f>IFERROR(AVERAGEIF('Данные 2st'!$Q$2:$Q$317,$A26,'Данные 2st'!$PZ$2:$PZ$317),"")</f>
        <v>0</v>
      </c>
      <c r="TI26" s="7">
        <f>IFERROR(AVERAGEIF('Данные 2st'!$Q$2:$Q$317,$A26,'Данные 2st'!$QA$2:$QA$317),"")</f>
        <v>0</v>
      </c>
      <c r="TJ26" s="7">
        <f>IFERROR(AVERAGEIF('Данные 2st'!$Q$2:$Q$317,$A26,'Данные 2st'!$QB$2:$QB$317),"")</f>
        <v>0</v>
      </c>
      <c r="TK26" s="7">
        <f>IFERROR(AVERAGEIF('Данные 2st'!$Q$2:$Q$317,$A26,'Данные 2st'!$QC$2:$QC$317),"")</f>
        <v>0</v>
      </c>
      <c r="TL26" s="7">
        <f>IFERROR(AVERAGEIF('Данные 2st'!$Q$2:$Q$317,$A26,'Данные 2st'!$QD$2:$QD$317),"")</f>
        <v>0</v>
      </c>
      <c r="TM26" s="7">
        <f>IFERROR(AVERAGEIF('Данные 2st'!$Q$2:$Q$317,$A26,'Данные 2st'!$QE$2:$QE$317),"")</f>
        <v>-1</v>
      </c>
      <c r="TN26" s="7">
        <f>IFERROR(AVERAGEIF('Данные 2st'!$Q$2:$Q$317,$A26,'Данные 2st'!$QF$2:$QF$317),"")</f>
        <v>1</v>
      </c>
      <c r="TO26" s="7">
        <f>IFERROR(AVERAGEIF('Данные 2st'!$Q$2:$Q$317,$A26,'Данные 2st'!$QG$2:$QG$317),"")</f>
        <v>0</v>
      </c>
      <c r="TP26" s="7">
        <f>IFERROR(AVERAGEIF('Данные 2st'!$Q$2:$Q$317,$A26,'Данные 2st'!$QH$2:$QH$317),"")</f>
        <v>5</v>
      </c>
      <c r="TQ26" s="7">
        <f>IFERROR(AVERAGEIF('Данные 2st'!$Q$2:$Q$317,$A26,'Данные 2st'!$QI$2:$QI$317),"")</f>
        <v>5</v>
      </c>
      <c r="TR26" s="7">
        <f>IFERROR(AVERAGEIF('Данные 2st'!$Q$2:$Q$317,$A26,'Данные 2st'!$QJ$2:$QJ$317),"")</f>
        <v>5</v>
      </c>
      <c r="TS26" s="7">
        <f>IFERROR(AVERAGEIF('Данные 2st'!$Q$2:$Q$317,$A26,'Данные 2st'!$QK$2:$QK$317),"")</f>
        <v>184.6</v>
      </c>
      <c r="TT26" s="7">
        <f>IFERROR(AVERAGEIF('Данные 2st'!$Q$2:$Q$317,$A26,'Данные 2st'!$QL$2:$QL$317),"")</f>
        <v>415.2</v>
      </c>
      <c r="TU26" s="7">
        <f>IFERROR(AVERAGEIF('Данные 2st'!$Q$2:$Q$317,$A26,'Данные 2st'!$QM$2:$QM$317),"")</f>
        <v>7.5</v>
      </c>
      <c r="TV26" s="7">
        <f>IFERROR(AVERAGEIF('Данные 2st'!$Q$2:$Q$317,$A26,'Данные 2st'!$QN$2:$QN$317),"")</f>
        <v>1383.0</v>
      </c>
      <c r="TW26" s="7">
        <f>IFERROR(AVERAGEIF('Данные 2st'!$Q$2:$Q$317,$A26,'Данные 2st'!$QQ$2:$QQ$317),"")</f>
        <v>0</v>
      </c>
      <c r="TX26" s="7">
        <f>IFERROR(AVERAGEIF('Данные 2st'!$Q$2:$Q$317,$A26,'Данные 2st'!$QS$2:$QS$317),"")</f>
        <v>30</v>
      </c>
      <c r="TY26" s="7">
        <f>IFERROR(AVERAGEIF('Данные 2st'!$Q$2:$Q$317,$A26,'Данные 2st'!$QT$2:$QT$317),"")</f>
        <v>40</v>
      </c>
    </row>
    <row r="27" spans="1:545" ht="32" customHeight="1">
      <c r="A27" s="11" t="s">
        <v>806</v>
      </c>
      <c r="B27">
        <f>COUNTIF('Данные 1st'!$S$2:$S$317,$A27)</f>
        <v>7</v>
      </c>
      <c r="C27" s="6" t="s">
        <v>5094</v>
      </c>
      <c r="D27" s="6" t="s">
        <v>513</v>
      </c>
      <c r="E27" s="6" t="s">
        <v>5125</v>
      </c>
      <c r="F27" s="6" t="s">
        <v>5149</v>
      </c>
      <c r="G27" s="7">
        <f>IFERROR(AVERAGEIF('Данные 1st'!$S$2:$S$317,$A27,'Данные 1st'!$AE$2:$AE$317),"")</f>
        <v>198.57142857142858</v>
      </c>
      <c r="H27" s="7">
        <f>IFERROR(AVERAGEIF('Данные 1st'!$S$2:$S$317,$A27,'Данные 1st'!$AF$2:$AF$317),"")</f>
        <v>1.5</v>
      </c>
      <c r="I27" s="7">
        <f>IFERROR(AVERAGEIF('Данные 1st'!$S$2:$S$317,$A27,'Данные 1st'!$AJ$2:$AJ$317),"")</f>
        <v>204.64285714285714</v>
      </c>
      <c r="J27" s="7">
        <f>IFERROR(AVERAGEIF('Данные 1st'!$S$2:$S$317,$A27,'Данные 1st'!$AL$2:$AL$317),"")</f>
        <v>1.5</v>
      </c>
      <c r="K27" s="7">
        <f>IFERROR(AVERAGEIF('Данные 1st'!$S$2:$S$317,$A27,'Данные 1st'!$AR$2:$AR$317),"")</f>
        <v>34</v>
      </c>
      <c r="L27" s="7">
        <f>IFERROR(AVERAGEIF('Данные 1st'!$S$2:$S$317,$A27,'Данные 1st'!$AS$2:$AS$317),"")</f>
        <v>1.5</v>
      </c>
      <c r="M27" s="7">
        <f>IFERROR(AVERAGEIF('Данные 1st'!$S$2:$S$317,$A27,'Данные 1st'!$AY$2:$AY$317),"")</f>
        <v>339.2857142857143</v>
      </c>
      <c r="N27" s="7">
        <f>IFERROR(AVERAGEIF('Данные 1st'!$S$2:$S$317,$A27,'Данные 1st'!$AZ$2:$AZ$317),"")</f>
        <v>1.5</v>
      </c>
      <c r="O27" s="7">
        <f>IFERROR(AVERAGEIF('Данные 1st'!$S$2:$S$317,$A27,'Данные 1st'!$BF$2:$BF$317),"")</f>
        <v>241.25</v>
      </c>
      <c r="P27" s="7">
        <f>IFERROR(AVERAGEIF('Данные 1st'!$S$2:$S$317,$A27,'Данные 1st'!$BG$2:$BG$317),"")</f>
        <v>1.5</v>
      </c>
      <c r="Q27" s="7">
        <f>IFERROR(AVERAGEIF('Данные 1st'!$S$2:$S$317,$A27,'Данные 1st'!$BM$2:$BM$317),"")</f>
        <v/>
      </c>
      <c r="R27" s="7">
        <f>IFERROR(AVERAGEIF('Данные 1st'!$S$2:$S$317,$A27,'Данные 1st'!$BN$2:$BN$317),"")</f>
        <v>1.5</v>
      </c>
      <c r="S27" s="7">
        <f>IFERROR(AVERAGEIF('Данные 1st'!$S$2:$S$317,$A27,'Данные 1st'!$BT$2:$BT$317),"")</f>
        <v>217.28571428571428</v>
      </c>
      <c r="T27" s="7">
        <f>IFERROR(AVERAGEIF('Данные 1st'!$S$2:$S$317,$A27,'Данные 1st'!$BU$2:$BU$317),"")</f>
        <v>0.5</v>
      </c>
      <c r="U27" s="7">
        <f>IFERROR(AVERAGEIF('Данные 1st'!$S$2:$S$317,$A27,'Данные 1st'!$BW$2:$BW$317),"")</f>
        <v>434.57142857142856</v>
      </c>
      <c r="V27" s="7">
        <f>IFERROR(AVERAGEIF('Данные 1st'!$S$2:$S$317,$A27,'Данные 1st'!$BX$2:$BX$317),"")</f>
        <v>1</v>
      </c>
      <c r="W27" s="7">
        <f>IFERROR(AVERAGEIF('Данные 1st'!$S$2:$S$317,$A27,'Данные 1st'!$BZ$2:$BZ$317),"")</f>
        <v>372.85714285714283</v>
      </c>
      <c r="X27" s="7">
        <f>IFERROR(AVERAGEIF('Данные 1st'!$S$2:$S$317,$A27,'Данные 1st'!$CA$2:$CA$317),"")</f>
        <v>530</v>
      </c>
      <c r="Y27" s="7">
        <f>IFERROR(AVERAGEIF('Данные 1st'!$S$2:$S$317,$A27,'Данные 1st'!$CD$2:$CD$317),"")</f>
        <v>450.57142857142856</v>
      </c>
      <c r="Z27" s="7">
        <f>IFERROR(AVERAGEIF('Данные 1st'!$S$2:$S$317,$A27,'Данные 1st'!$CF$2:$CF$317),"")</f>
        <v>15</v>
      </c>
      <c r="AA27" s="7">
        <f>IFERROR(AVERAGEIF('Данные 1st'!$S$2:$S$317,$A27,'Данные 1st'!$CI$2:$CI$317),"")</f>
        <v>78.57142857142857</v>
      </c>
      <c r="AB27" s="7">
        <f>IFERROR(AVERAGEIF('Данные 1st'!$S$2:$S$317,$A27,'Данные 1st'!$CJ$2:$CJ$317),"")</f>
        <v>1200</v>
      </c>
      <c r="AC27" s="7">
        <f>IFERROR(AVERAGEIF('Данные 1st'!$S$2:$S$317,$A27,'Данные 1st'!$CK$2:$CK$317),"")</f>
        <v>2</v>
      </c>
      <c r="AD27" s="7">
        <f>IFERROR(AVERAGEIF('Данные 1st'!$S$2:$S$317,$A27,'Данные 1st'!$CL$2:$CL$317),"")</f>
        <v>1301</v>
      </c>
      <c r="AE27" s="7">
        <f>IFERROR(AVERAGEIF('Данные 1st'!$S$2:$S$317,$A27,'Данные 1st'!$CM$2:$CM$317),"")</f>
        <v>2</v>
      </c>
      <c r="AF27" s="7">
        <f>IFERROR(AVERAGEIF('Данные 1st'!$S$2:$S$317,$A27,'Данные 1st'!$CT$2:$CT$317),"")</f>
        <v>409.2857142857143</v>
      </c>
      <c r="AG27" s="7">
        <f>IFERROR(AVERAGEIF('Данные 1st'!$S$2:$S$317,$A27,'Данные 1st'!$CU$2:$CU$317),"")</f>
        <v>5</v>
      </c>
      <c r="AH27" s="7">
        <f>IFERROR(AVERAGEIF('Данные 1st'!$S$2:$S$317,$A27,'Данные 1st'!$CV$2:$CV$317),"")</f>
        <v>1.2</v>
      </c>
      <c r="AI27" s="7">
        <f>IFERROR(AVERAGEIF('Данные 1st'!$S$2:$S$317,$A27,'Данные 1st'!$CW$2:$CW$317),"")</f>
        <v>1213.7142857142858</v>
      </c>
      <c r="AJ27" s="7">
        <f>IFERROR(AVERAGEIF('Данные 1st'!$S$2:$S$317,$A27,'Данные 1st'!$CX$2:$CX$317),"")</f>
        <v>703.5714285714286</v>
      </c>
      <c r="AK27" s="7">
        <f>IFERROR(AVERAGEIF('Данные 1st'!$S$2:$S$317,$A27,'Данные 1st'!$CZ$2:$CZ$317),"")</f>
        <v>50</v>
      </c>
      <c r="AL27" s="7">
        <f>IFERROR(AVERAGEIF('Данные 1st'!$S$2:$S$317,$A27,'Данные 1st'!$DA$2:$DA$317),"")</f>
        <v>3</v>
      </c>
      <c r="AM27" s="7">
        <f>IFERROR(AVERAGEIF('Данные 1st'!$S$2:$S$317,$A27,'Данные 1st'!$DB$2:$DB$317),"")</f>
        <v>1</v>
      </c>
      <c r="AN27" s="7">
        <f>IFERROR(AVERAGEIF('Данные 1st'!$S$2:$S$317,$A27,'Данные 1st'!$DC$2:$DC$317),"")</f>
        <v>1218</v>
      </c>
      <c r="AO27" s="7">
        <f>IFERROR(AVERAGEIF('Данные 1st'!$S$2:$S$317,$A27,'Данные 1st'!$DD$2:$DD$317),"")</f>
        <v>9.142857142857142</v>
      </c>
      <c r="AP27" s="7">
        <f>IFERROR(AVERAGEIF('Данные 1st'!$S$2:$S$317,$A27,'Данные 1st'!$DF$2:$DF$317),"")</f>
        <v>678.5714285714286</v>
      </c>
      <c r="AQ27" s="7">
        <f>IFERROR(AVERAGEIF('Данные 1st'!$S$2:$S$317,$A27,'Данные 1st'!$DG$2:$DG$317),"")</f>
        <v>3</v>
      </c>
      <c r="AR27" s="7">
        <f>IFERROR(AVERAGEIF('Данные 1st'!$S$2:$S$317,$A27,'Данные 1st'!$DH$2:$DH$317),"")</f>
        <v>1.0999999999999999</v>
      </c>
      <c r="AS27" s="7">
        <f>IFERROR(AVERAGEIF('Данные 1st'!$S$2:$S$317,$A27,'Данные 1st'!$DI$2:$DI$317),"")</f>
        <v>1210.7142857142858</v>
      </c>
      <c r="AT27" s="7">
        <f>IFERROR(AVERAGEIF('Данные 1st'!$S$2:$S$317,$A27,'Данные 1st'!$DJ$2:$DJ$317),"")</f>
        <v>1167.5714285714287</v>
      </c>
      <c r="AU27" s="7">
        <f>IFERROR(AVERAGEIF('Данные 1st'!$S$2:$S$317,$A27,'Данные 1st'!$DL$2:$DL$317),"")</f>
        <v>482.5</v>
      </c>
      <c r="AV27" s="7">
        <f>IFERROR(AVERAGEIF('Данные 1st'!$S$2:$S$317,$A27,'Данные 1st'!$DM$2:$DM$317),"")</f>
        <v>3</v>
      </c>
      <c r="AW27" s="7">
        <f>IFERROR(AVERAGEIF('Данные 1st'!$S$2:$S$317,$A27,'Данные 1st'!$DN$2:$DN$317),"")</f>
        <v>0.88</v>
      </c>
      <c r="AX27" s="7">
        <f>IFERROR(AVERAGEIF('Данные 1st'!$S$2:$S$317,$A27,'Данные 1st'!$DO$2:$DO$317),"")</f>
        <v>1216</v>
      </c>
      <c r="AY27" s="7">
        <f>IFERROR(AVERAGEIF('Данные 1st'!$S$2:$S$317,$A27,'Данные 1st'!$DP$2:$DP$317),"")</f>
        <v>627</v>
      </c>
      <c r="AZ27" s="7">
        <f>IFERROR(AVERAGEIF('Данные 1st'!$S$2:$S$317,$A27,'Данные 1st'!$DR$2:$DR$317),"")</f>
        <v/>
      </c>
      <c r="BA27" s="7">
        <f>IFERROR(AVERAGEIF('Данные 1st'!$S$2:$S$317,$A27,'Данные 1st'!$DS$2:$DS$317),"")</f>
        <v/>
      </c>
      <c r="BB27" s="7">
        <f>IFERROR(AVERAGEIF('Данные 1st'!$S$2:$S$317,$A27,'Данные 1st'!$DT$2:$DT$317),"")</f>
        <v/>
      </c>
      <c r="BC27" s="7">
        <f>IFERROR(AVERAGEIF('Данные 1st'!$S$2:$S$317,$A27,'Данные 1st'!$DU$2:$DU$317),"")</f>
        <v/>
      </c>
      <c r="BD27" s="7">
        <f>IFERROR(AVERAGEIF('Данные 1st'!$S$2:$S$317,$A27,'Данные 1st'!$DV$2:$DV$317),"")</f>
        <v/>
      </c>
      <c r="BE27" s="7">
        <f>IFERROR(AVERAGEIF('Данные 1st'!$S$2:$S$317,$A27,'Данные 1st'!$DX$2:$DX$317),"")</f>
        <v>7.5</v>
      </c>
      <c r="BF27" s="7">
        <f>IFERROR(AVERAGEIF('Данные 1st'!$S$2:$S$317,$A27,'Данные 1st'!$EA$2:$EA$317),"")</f>
        <v>1283.642857142857</v>
      </c>
      <c r="BG27" s="7">
        <f>IFERROR(AVERAGEIF('Данные 1st'!$S$2:$S$317,$A27,'Данные 1st'!$EB$2:$EB$317),"")</f>
        <v>227.42857142857142</v>
      </c>
      <c r="BH27" s="7">
        <f>IFERROR(AVERAGEIF('Данные 1st'!$S$2:$S$317,$A27,'Данные 1st'!$ED$2:$ED$317),"")</f>
        <v>37.142857142857146</v>
      </c>
      <c r="BI27" s="7">
        <f>IFERROR(AVERAGEIF('Данные 1st'!$S$2:$S$317,$A27,'Данные 1st'!$EE$2:$EE$317),"")</f>
        <v>3</v>
      </c>
      <c r="BJ27" s="7">
        <f>IFERROR(AVERAGEIF('Данные 1st'!$S$2:$S$317,$A27,'Данные 1st'!$EG$2:$EG$317),"")</f>
        <v>1324.4285714285713</v>
      </c>
      <c r="BK27" s="7">
        <f>IFERROR(AVERAGEIF('Данные 1st'!$S$2:$S$317,$A27,'Данные 1st'!$EH$2:$EH$317),"")</f>
        <v>204.71428571428572</v>
      </c>
      <c r="BL27" s="7">
        <f>IFERROR(AVERAGEIF('Данные 1st'!$S$2:$S$317,$A27,'Данные 1st'!$EJ$2:$EJ$317),"")</f>
        <v>0</v>
      </c>
      <c r="BM27" s="7">
        <f>IFERROR(AVERAGEIF('Данные 1st'!$S$2:$S$317,$A27,'Данные 1st'!$EK$2:$EK$317),"")</f>
        <v>1</v>
      </c>
      <c r="BN27" s="7">
        <f>IFERROR(AVERAGEIF('Данные 1st'!$S$2:$S$317,$A27,'Данные 1st'!$EN$2:$EN$317),"")</f>
        <v>0</v>
      </c>
      <c r="BO27" s="7">
        <f>IFERROR(AVERAGEIF('Данные 1st'!$S$2:$S$317,$A27,'Данные 1st'!$EQ$2:$EQ$317),"")</f>
        <v>121.42857142857143</v>
      </c>
      <c r="BP27" s="7">
        <f>IFERROR(AVERAGEIF('Данные 1st'!$S$2:$S$317,$A27,'Данные 1st'!$ER$2:$ER$317),"")</f>
        <v>3</v>
      </c>
      <c r="BQ27" s="7">
        <f>IFERROR(AVERAGEIF('Данные 1st'!$S$2:$S$317,$A27,'Данные 1st'!$ES$2:$ES$317),"")</f>
        <v>5.6571428571428575</v>
      </c>
      <c r="BR27" s="7">
        <f>IFERROR(AVERAGEIF('Данные 1st'!$S$2:$S$317,$A27,'Данные 1st'!$ET$2:$ET$317),"")</f>
        <v>1198.5714285714287</v>
      </c>
      <c r="BS27" s="7">
        <f>IFERROR(AVERAGEIF('Данные 1st'!$S$2:$S$317,$A27,'Данные 1st'!$EU$2:$EU$317),"")</f>
        <v>518.3142857142857</v>
      </c>
      <c r="BT27" s="7">
        <f>IFERROR(AVERAGEIF('Данные 1st'!$S$2:$S$317,$A27,'Данные 1st'!$EV$2:$EV$317),"")</f>
        <v>621.5714285714286</v>
      </c>
      <c r="BU27" s="7">
        <f>IFERROR(AVERAGEIF('Данные 1st'!$S$2:$S$317,$A27,'Данные 1st'!$EX$2:$EX$317),"")</f>
        <v>66.42857142857143</v>
      </c>
      <c r="BV27" s="7">
        <f>IFERROR(AVERAGEIF('Данные 1st'!$S$2:$S$317,$A27,'Данные 1st'!$EY$2:$EY$317),"")</f>
        <v>2</v>
      </c>
      <c r="BW27" s="7">
        <f>IFERROR(AVERAGEIF('Данные 1st'!$S$2:$S$317,$A27,'Данные 1st'!$EZ$2:$EZ$317),"")</f>
        <v>4.114285714285714</v>
      </c>
      <c r="BX27" s="7">
        <f>IFERROR(AVERAGEIF('Данные 1st'!$S$2:$S$317,$A27,'Данные 1st'!$FA$2:$FA$317),"")</f>
        <v>1198.5714285714287</v>
      </c>
      <c r="BY27" s="7">
        <f>IFERROR(AVERAGEIF('Данные 1st'!$S$2:$S$317,$A27,'Данные 1st'!$FB$2:$FB$317),"")</f>
        <v>198.04285714285714</v>
      </c>
      <c r="BZ27" s="7">
        <f>IFERROR(AVERAGEIF('Данные 1st'!$S$2:$S$317,$A27,'Данные 1st'!$FC$2:$FC$317),"")</f>
        <v>237.28571428571428</v>
      </c>
      <c r="CA27" s="7">
        <f>IFERROR(AVERAGEIF('Данные 1st'!$S$2:$S$317,$A27,'Данные 1st'!$FE$2:$FE$317),"")</f>
        <v>0</v>
      </c>
      <c r="CB27" s="7">
        <f>IFERROR(AVERAGEIF('Данные 1st'!$S$2:$S$317,$A27,'Данные 1st'!$FF$2:$FF$317),"")</f>
        <v>2</v>
      </c>
      <c r="CC27" s="7">
        <f>IFERROR(AVERAGEIF('Данные 1st'!$S$2:$S$317,$A27,'Данные 1st'!$FI$2:$FI$317),"")</f>
        <v>0</v>
      </c>
      <c r="CD27" s="7">
        <f>IFERROR(AVERAGEIF('Данные 1st'!$S$2:$S$317,$A27,'Данные 1st'!$FL$2:$FL$317),"")</f>
        <v>0.4</v>
      </c>
      <c r="CE27" s="7">
        <f>IFERROR(AVERAGEIF('Данные 1st'!$S$2:$S$317,$A27,'Данные 1st'!$FM$2:$FM$317),"")</f>
        <v>84.28571428571429</v>
      </c>
      <c r="CF27" s="7">
        <f>IFERROR(AVERAGEIF('Данные 1st'!$S$2:$S$317,$A27,'Данные 1st'!$FN$2:$FN$317),"")</f>
        <v>164.28571428571428</v>
      </c>
      <c r="CG27" s="7">
        <f>IFERROR(AVERAGEIF('Данные 1st'!$S$2:$S$317,$A27,'Данные 1st'!$FO$2:$FO$317),"")</f>
        <v>40</v>
      </c>
      <c r="CH27" s="7">
        <f>IFERROR(AVERAGEIF('Данные 1st'!$S$2:$S$317,$A27,'Данные 1st'!$FP$2:$FP$317),"")</f>
        <v>65</v>
      </c>
      <c r="CI27" s="7">
        <f>IFERROR(AVERAGEIF('Данные 1st'!$S$2:$S$317,$A27,'Данные 1st'!$FS$2:$FS$317),"")</f>
        <v>0.4</v>
      </c>
      <c r="CJ27" s="7">
        <f>IFERROR(AVERAGEIF('Данные 1st'!$S$2:$S$317,$A27,'Данные 1st'!$FT$2:$FT$317),"")</f>
        <v>30</v>
      </c>
      <c r="CK27" s="7">
        <f>IFERROR(AVERAGEIF('Данные 1st'!$S$2:$S$317,$A27,'Данные 1st'!$FU$2:$FU$317),"")</f>
        <v>395</v>
      </c>
      <c r="CL27" s="7">
        <f>IFERROR(AVERAGEIF('Данные 1st'!$S$2:$S$317,$A27,'Данные 1st'!$FV$2:$FV$317),"")</f>
        <v>30</v>
      </c>
      <c r="CM27" s="7">
        <f>IFERROR(AVERAGEIF('Данные 1st'!$S$2:$S$317,$A27,'Данные 1st'!$FW$2:$FW$317),"")</f>
        <v>250</v>
      </c>
      <c r="CN27" s="7">
        <f>IFERROR(AVERAGEIF('Данные 1st'!$S$2:$S$317,$A27,'Данные 1st'!$FZ$2:$FZ$317),"")</f>
        <v/>
      </c>
      <c r="CO27" s="7">
        <f>IFERROR(AVERAGEIF('Данные 1st'!$S$2:$S$317,$A27,'Данные 1st'!$GA$2:$GA$317),"")</f>
        <v/>
      </c>
      <c r="CP27" s="7">
        <f>IFERROR(AVERAGEIF('Данные 1st'!$S$2:$S$317,$A27,'Данные 1st'!$GB$2:$GB$317),"")</f>
        <v/>
      </c>
      <c r="CQ27" s="7">
        <f>IFERROR(AVERAGEIF('Данные 1st'!$S$2:$S$317,$A27,'Данные 1st'!$GH$2:$GH$317),"")</f>
        <v/>
      </c>
      <c r="CR27" s="7">
        <f>IFERROR(AVERAGEIF('Данные 1st'!$S$2:$S$317,$A27,'Данные 1st'!$GI$2:$GI$317),"")</f>
        <v/>
      </c>
      <c r="CS27" s="7">
        <f>IFERROR(AVERAGEIF('Данные 1st'!$S$2:$S$317,$A27,'Данные 1st'!$GJ$2:$GJ$317),"")</f>
        <v/>
      </c>
      <c r="CT27" s="7">
        <f>IFERROR(AVERAGEIF('Данные 1st'!$S$2:$S$317,$A27,'Данные 1st'!$GS$2:$GS$317),"")</f>
        <v>0.4</v>
      </c>
      <c r="CU27" s="7">
        <f>IFERROR(AVERAGEIF('Данные 1st'!$S$2:$S$317,$A27,'Данные 1st'!$GT$2:$GT$317),"")</f>
        <v>30</v>
      </c>
      <c r="CV27" s="7">
        <f>IFERROR(AVERAGEIF('Данные 1st'!$S$2:$S$317,$A27,'Данные 1st'!$GU$2:$GU$317),"")</f>
        <v>320</v>
      </c>
      <c r="CW27" s="7">
        <f>IFERROR(AVERAGEIF('Данные 1st'!$S$2:$S$317,$A27,'Данные 1st'!$GV$2:$GV$317),"")</f>
        <v>30</v>
      </c>
      <c r="CX27" s="7">
        <f>IFERROR(AVERAGEIF('Данные 1st'!$S$2:$S$317,$A27,'Данные 1st'!$GW$2:$GW$317),"")</f>
        <v>260</v>
      </c>
      <c r="CY27" s="7">
        <f>IFERROR(AVERAGEIF('Данные 1st'!$S$2:$S$317,$A27,'Данные 1st'!$GZ$2:$GZ$317),"")</f>
        <v/>
      </c>
      <c r="CZ27" s="7">
        <f>IFERROR(AVERAGEIF('Данные 1st'!$S$2:$S$317,$A27,'Данные 1st'!$HA$2:$HA$317),"")</f>
        <v/>
      </c>
      <c r="DA27" s="7">
        <f>IFERROR(AVERAGEIF('Данные 1st'!$S$2:$S$317,$A27,'Данные 1st'!$HB$2:$HB$317),"")</f>
        <v/>
      </c>
      <c r="DB27" s="7">
        <f>IFERROR(AVERAGEIF('Данные 1st'!$S$2:$S$317,$A27,'Данные 1st'!$HC$2:$HC$317),"")</f>
        <v>0.1</v>
      </c>
      <c r="DC27" s="7">
        <f>IFERROR(AVERAGEIF('Данные 1st'!$S$2:$S$317,$A27,'Данные 1st'!$HD$2:$HD$317),"")</f>
        <v>3</v>
      </c>
      <c r="DD27" s="7">
        <f>IFERROR(AVERAGEIF('Данные 1st'!$S$2:$S$317,$A27,'Данные 1st'!$HE$2:$HE$317),"")</f>
        <v>3</v>
      </c>
      <c r="DE27" s="7">
        <f>IFERROR(AVERAGEIF('Данные 1st'!$S$2:$S$317,$A27,'Данные 1st'!$HF$2:$HF$317),"")</f>
        <v>3</v>
      </c>
      <c r="DF27" s="7">
        <f>IFERROR(AVERAGEIF('Данные 1st'!$S$2:$S$317,$A27,'Данные 1st'!$HG$2:$HG$317),"")</f>
        <v>3</v>
      </c>
      <c r="DG27" s="7">
        <f>IFERROR(AVERAGEIF('Данные 1st'!$S$2:$S$317,$A27,'Данные 1st'!$HH$2:$HH$317),"")</f>
        <v>3</v>
      </c>
      <c r="DH27" s="7">
        <f>IFERROR(AVERAGEIF('Данные 1st'!$S$2:$S$317,$A27,'Данные 1st'!$HI$2:$HI$317),"")</f>
        <v>172.85714285714286</v>
      </c>
      <c r="DI27" s="7">
        <f>IFERROR(AVERAGEIF('Данные 1st'!$S$2:$S$317,$A27,'Данные 1st'!$HJ$2:$HJ$317),"")</f>
        <v>3</v>
      </c>
      <c r="DJ27" s="7">
        <f>IFERROR(AVERAGEIF('Данные 1st'!$S$2:$S$317,$A27,'Данные 1st'!$HK$2:$HK$317),"")</f>
        <v>51.42857142857143</v>
      </c>
      <c r="DK27" s="7">
        <f>IFERROR(AVERAGEIF('Данные 1st'!$S$2:$S$317,$A27,'Данные 1st'!$HL$2:$HL$317),"")</f>
        <v>2</v>
      </c>
      <c r="DL27" s="7">
        <f>IFERROR(AVERAGEIF('Данные 1st'!$S$2:$S$317,$A27,'Данные 1st'!$HM$2:$HM$317),"")</f>
        <v>0</v>
      </c>
      <c r="DM27" s="7">
        <f>IFERROR(AVERAGEIF('Данные 1st'!$S$2:$S$317,$A27,'Данные 1st'!$HN$2:$HN$317),"")</f>
        <v>2</v>
      </c>
      <c r="DN27" s="7">
        <f>IFERROR(AVERAGEIF('Данные 1st'!$S$2:$S$317,$A27,'Данные 1st'!$HO$2:$HO$317),"")</f>
        <v>106.42857142857143</v>
      </c>
      <c r="DO27" s="7">
        <f>IFERROR(AVERAGEIF('Данные 1st'!$S$2:$S$317,$A27,'Данные 1st'!$HP$2:$HP$317),"")</f>
        <v>3</v>
      </c>
      <c r="DP27" s="7">
        <f>IFERROR(AVERAGEIF('Данные 1st'!$S$2:$S$317,$A27,'Данные 1st'!$HQ$2:$HQ$317),"")</f>
        <v>0</v>
      </c>
      <c r="DQ27" s="7">
        <f>IFERROR(AVERAGEIF('Данные 1st'!$S$2:$S$317,$A27,'Данные 1st'!$HR$2:$HR$317),"")</f>
        <v>2</v>
      </c>
      <c r="DR27" s="7">
        <f>IFERROR(AVERAGEIF('Данные 1st'!$S$2:$S$317,$A27,'Данные 1st'!$HS$2:$HS$317),"")</f>
        <v>4650.571428571428</v>
      </c>
      <c r="DS27" s="7">
        <f>IFERROR(AVERAGEIF('Данные 1st'!$S$2:$S$317,$A27,'Данные 1st'!$HT$2:$HT$317),"")</f>
        <v>141.42857142857142</v>
      </c>
      <c r="DT27" s="7">
        <f>IFERROR(AVERAGEIF('Данные 1st'!$S$2:$S$317,$A27,'Данные 1st'!$HU$2:$HU$317),"")</f>
        <v>180</v>
      </c>
      <c r="DU27" s="7">
        <f>IFERROR(AVERAGEIF('Данные 1st'!$S$2:$S$317,$A27,'Данные 1st'!$HW$2:$HW$317),"")</f>
        <v>11.428571428571429</v>
      </c>
      <c r="DV27" s="7">
        <f>IFERROR(AVERAGEIF('Данные 1st'!$S$2:$S$317,$A27,'Данные 1st'!$HX$2:$HX$317),"")</f>
        <v>489.14285714285717</v>
      </c>
      <c r="DW27" s="7">
        <f>IFERROR(AVERAGEIF('Данные 1st'!$S$2:$S$317,$A27,'Данные 1st'!$HY$2:$HY$317),"")</f>
        <v>0.18</v>
      </c>
      <c r="DX27" s="7">
        <f>IFERROR(AVERAGEIF('Данные 1st'!$S$2:$S$317,$A27,'Данные 1st'!$IA$2:$IA$317),"")</f>
        <v>0.15</v>
      </c>
      <c r="DY27" s="7">
        <f>IFERROR(AVERAGEIF('Данные 1st'!$S$2:$S$317,$A27,'Данные 1st'!$IB$2:$IB$317),"")</f>
        <v>0</v>
      </c>
      <c r="DZ27" s="7">
        <f>IFERROR(AVERAGEIF('Данные 1st'!$S$2:$S$317,$A27,'Данные 1st'!$IC$2:$IC$317),"")</f>
        <v>180</v>
      </c>
      <c r="EA27" s="7">
        <f>IFERROR(AVERAGEIF('Данные 1st'!$S$2:$S$317,$A27,'Данные 1st'!$ID$2:$ID$317),"")</f>
        <v>110</v>
      </c>
      <c r="EB27" s="7">
        <f>IFERROR(AVERAGEIF('Данные 1st'!$S$2:$S$317,$A27,'Данные 1st'!$IE$2:$IE$317),"")</f>
        <v>64.28571428571429</v>
      </c>
      <c r="EC27" s="7">
        <f>IFERROR(AVERAGEIF('Данные 1st'!$S$2:$S$317,$A27,'Данные 1st'!$IF$2:$IF$317),"")</f>
        <v>0</v>
      </c>
      <c r="ED27" s="7">
        <f>IFERROR(AVERAGEIF('Данные 1st'!$S$2:$S$317,$A27,'Данные 1st'!$IP$2:$IP$317),"")</f>
        <v>16</v>
      </c>
      <c r="EE27" s="7">
        <f>IFERROR(AVERAGEIF('Данные 1st'!$S$2:$S$317,$A27,'Данные 1st'!$IV$2:$IV$317),"")</f>
        <v>1200</v>
      </c>
      <c r="EF27" s="7">
        <f>IFERROR(AVERAGEIF('Данные 1st'!$S$2:$S$317,$A27,'Данные 1st'!$IW$2:$IW$317),"")</f>
        <v>434.57142857142856</v>
      </c>
      <c r="EG27" s="7">
        <f>IFERROR(AVERAGEIF('Данные 1st'!$S$2:$S$317,$A27,'Данные 1st'!$IX$2:$IX$317),"")</f>
        <v/>
      </c>
      <c r="EH27" s="7">
        <f>IFERROR(AVERAGEIF('Данные 1st'!$S$2:$S$317,$A27,'Данные 1st'!$IY$2:$IY$317),"")</f>
        <v/>
      </c>
      <c r="EI27" s="7">
        <f>IFERROR(AVERAGEIF('Данные 1st'!$S$2:$S$317,$A27,'Данные 1st'!$JD$2:$JD$317),"")</f>
        <v>1213.7142857142858</v>
      </c>
      <c r="EJ27" s="7">
        <f>IFERROR(AVERAGEIF('Данные 1st'!$S$2:$S$317,$A27,'Данные 1st'!$JE$2:$JE$317),"")</f>
        <v>1210.7142857142858</v>
      </c>
      <c r="EK27" s="7">
        <f>IFERROR(AVERAGEIF('Данные 1st'!$S$2:$S$317,$A27,'Данные 1st'!$JF$2:$JF$317),"")</f>
        <v>347.42857142857144</v>
      </c>
      <c r="EL27" s="7">
        <f>IFERROR(AVERAGEIF('Данные 1st'!$S$2:$S$317,$A27,'Данные 1st'!$JG$2:$JG$317),"")</f>
        <v>1198.5714285714287</v>
      </c>
      <c r="EM27" s="7">
        <f>IFERROR(AVERAGEIF('Данные 1st'!$S$2:$S$317,$A27,'Данные 1st'!$JH$2:$JH$317),"")</f>
        <v>0</v>
      </c>
      <c r="EN27" s="7">
        <f>IFERROR(AVERAGEIF('Данные 1st'!$S$2:$S$317,$A27,'Данные 1st'!$JJ$2:$JJ$317),"")</f>
        <v>180</v>
      </c>
      <c r="EO27" s="7">
        <f>IFERROR(AVERAGEIF('Данные 1st'!$S$2:$S$317,$A27,'Данные 1st'!$JK$2:$JK$317),"")</f>
        <v>489.14285714285717</v>
      </c>
      <c r="EP27" s="7">
        <f>IFERROR(AVERAGEIF('Данные 1st'!$S$2:$S$317,$A27,'Данные 1st'!$JL$2:$JL$317),"")</f>
        <v/>
      </c>
      <c r="EQ27" s="7">
        <f>IFERROR(AVERAGEIF('Данные 1st'!$S$2:$S$317,$A27,'Данные 1st'!$JM$2:$JM$317),"")</f>
        <v/>
      </c>
      <c r="ER27" s="7">
        <f>IFERROR(AVERAGEIF('Данные 1st'!$S$2:$S$317,$A27,'Данные 1st'!$JN$2:$JN$317),"")</f>
        <v>409.2857142857143</v>
      </c>
      <c r="ES27" s="7">
        <f>IFERROR(AVERAGEIF('Данные 1st'!$S$2:$S$317,$A27,'Данные 1st'!$JO$2:$JO$317),"")</f>
        <v>678.5714285714286</v>
      </c>
      <c r="ET27" s="7">
        <f>IFERROR(AVERAGEIF('Данные 1st'!$S$2:$S$317,$A27,'Данные 1st'!$JP$2:$JP$317),"")</f>
        <v>137.85714285714286</v>
      </c>
      <c r="EU27" s="7">
        <f>IFERROR(AVERAGEIF('Данные 1st'!$S$2:$S$317,$A27,'Данные 1st'!$JQ$2:$JQ$317),"")</f>
        <v>0</v>
      </c>
      <c r="EV27" s="7">
        <f>IFERROR(AVERAGEIF('Данные 1st'!$S$2:$S$317,$A27,'Данные 1st'!$JR$2:$JR$317),"")</f>
        <v>397.14285714285717</v>
      </c>
      <c r="EW27" s="7">
        <f>IFERROR(AVERAGEIF('Данные 1st'!$S$2:$S$317,$A27,'Данные 1st'!$JS$2:$JS$317),"")</f>
        <v>172.85714285714286</v>
      </c>
      <c r="EX27" s="7">
        <f>IFERROR(AVERAGEIF('Данные 1st'!$S$2:$S$317,$A27,'Данные 1st'!$JT$2:$JT$317),"")</f>
        <v/>
      </c>
      <c r="EY27" s="7">
        <f>IFERROR(AVERAGEIF('Данные 1st'!$S$2:$S$317,$A27,'Данные 1st'!$JU$2:$JU$317),"")</f>
        <v/>
      </c>
      <c r="EZ27" s="7">
        <f>IFERROR(AVERAGEIF('Данные 1st'!$S$2:$S$317,$A27,'Данные 1st'!$JV$2:$JV$317),"")</f>
        <v>8</v>
      </c>
      <c r="FA27" s="7">
        <f>IFERROR(AVERAGEIF('Данные 1st'!$S$2:$S$317,$A27,'Данные 1st'!$JW$2:$JW$317),"")</f>
        <v/>
      </c>
      <c r="FB27" s="7">
        <f>IFERROR(AVERAGEIF('Данные 1st'!$S$2:$S$317,$A27,'Данные 1st'!$JX$2:$JX$317),"")</f>
        <v>68</v>
      </c>
      <c r="FC27" s="7">
        <f>IFERROR(AVERAGEIF('Данные 1st'!$S$2:$S$317,$A27,'Данные 1st'!$JY$2:$JY$317),"")</f>
        <v/>
      </c>
      <c r="FD27" s="7">
        <f>IFERROR(AVERAGEIF('Данные 1st'!$S$2:$S$317,$A27,'Данные 1st'!$JZ$2:$JZ$317),"")</f>
        <v/>
      </c>
      <c r="FE27" s="7">
        <f>IFERROR(AVERAGEIF('Данные 1st'!$S$2:$S$317,$A27,'Данные 1st'!$KA$2:$KA$317),"")</f>
        <v>64.28571428571429</v>
      </c>
      <c r="FF27" s="7">
        <f>IFERROR(AVERAGEIF('Данные 1st'!$S$2:$S$317,$A27,'Данные 1st'!$KB$2:$KB$317),"")</f>
        <v>110</v>
      </c>
      <c r="FG27" s="7">
        <f>IFERROR(AVERAGEIF('Данные 1st'!$S$2:$S$317,$A27,'Данные 1st'!$KC$2:$KC$317),"")</f>
        <v>0</v>
      </c>
      <c r="FH27" s="7">
        <f>IFERROR(AVERAGEIF('Данные 1st'!$S$2:$S$317,$A27,'Данные 1st'!$KD$2:$KD$317),"")</f>
        <v>80</v>
      </c>
      <c r="FI27" s="7">
        <f>IFERROR(AVERAGEIF('Данные 1st'!$S$2:$S$317,$A27,'Данные 1st'!$KE$2:$KE$317),"")</f>
        <v/>
      </c>
      <c r="FJ27" s="7">
        <f>IFERROR(AVERAGEIF('Данные 1st'!$S$2:$S$317,$A27,'Данные 1st'!$KF$2:$KF$317),"")</f>
        <v>4</v>
      </c>
      <c r="FK27" s="7">
        <f>IFERROR(AVERAGEIF('Данные 1st'!$S$2:$S$317,$A27,'Данные 1st'!$KG$2:$KG$317),"")</f>
        <v>2.857142857142857</v>
      </c>
      <c r="FL27" s="7">
        <f>IFERROR(AVERAGEIF('Данные 1st'!$S$2:$S$317,$A27,'Данные 1st'!$KH$2:$KH$317),"")</f>
        <v>2</v>
      </c>
      <c r="FM27" s="7">
        <f>IFERROR(AVERAGEIF('Данные 1st'!$S$2:$S$317,$A27,'Данные 1st'!$KI$2:$KI$317),"")</f>
        <v>2</v>
      </c>
      <c r="FN27" s="7">
        <f>IFERROR(AVERAGEIF('Данные 1st'!$S$2:$S$317,$A27,'Данные 1st'!$KJ$2:$KJ$317),"")</f>
        <v>0</v>
      </c>
      <c r="FO27" s="7">
        <f>IFERROR(AVERAGEIF('Данные 1st'!$S$2:$S$317,$A27,'Данные 1st'!$KK$2:$KK$317),"")</f>
        <v>1.5</v>
      </c>
      <c r="FP27" s="7">
        <f>IFERROR(AVERAGEIF('Данные 1st'!$S$2:$S$317,$A27,'Данные 1st'!$KL$2:$KL$317),"")</f>
        <v>1.5</v>
      </c>
      <c r="FQ27" s="7">
        <f>IFERROR(AVERAGEIF('Данные 1st'!$S$2:$S$317,$A27,'Данные 1st'!$KM$2:$KM$317),"")</f>
        <v>0</v>
      </c>
      <c r="FR27" s="7">
        <f>IFERROR(AVERAGEIF('Данные 1st'!$S$2:$S$317,$A27,'Данные 1st'!$KN$2:$KN$317),"")</f>
        <v>0</v>
      </c>
      <c r="FS27" s="7">
        <f>IFERROR(AVERAGEIF('Данные 1st'!$S$2:$S$317,$A27,'Данные 1st'!$KR$2:$KR$317),"")</f>
        <v>41.42857142857143</v>
      </c>
      <c r="FT27" s="7">
        <f>IFERROR(AVERAGEIF('Данные 1st'!$S$2:$S$317,$A27,'Данные 1st'!$KS$2:$KS$317),"")</f>
        <v>60</v>
      </c>
      <c r="FU27" s="7">
        <f>IFERROR(AVERAGEIF('Данные 1st'!$S$2:$S$317,$A27,'Данные 1st'!$KT$2:$KT$317),"")</f>
        <v>0</v>
      </c>
      <c r="FV27" s="7">
        <f>IFERROR(AVERAGEIF('Данные 1st'!$S$2:$S$317,$A27,'Данные 1st'!$KV$2:$KV$317),"")</f>
        <v/>
      </c>
      <c r="FW27" s="7">
        <f>IFERROR(AVERAGEIF('Данные 1st'!$S$2:$S$317,$A27,'Данные 1st'!$KW$2:$KW$317),"")</f>
        <v/>
      </c>
      <c r="FX27" s="7">
        <f>IFERROR(AVERAGEIF('Данные 1st'!$S$2:$S$317,$A27,'Данные 1st'!$KX$2:$KX$317),"")</f>
        <v/>
      </c>
      <c r="FY27" s="7">
        <f>IFERROR(AVERAGEIF('Данные 1st'!$S$2:$S$317,$A27,'Данные 1st'!$KY$2:$KY$317),"")</f>
        <v/>
      </c>
      <c r="FZ27" s="7">
        <f>IFERROR(AVERAGEIF('Данные 1st'!$S$2:$S$317,$A27,'Данные 1st'!$KZ$2:$KZ$317),"")</f>
        <v/>
      </c>
      <c r="GA27" s="7">
        <f>IFERROR(AVERAGEIF('Данные 1st'!$S$2:$S$317,$A27,'Данные 1st'!$LA$2:$LA$317),"")</f>
        <v/>
      </c>
      <c r="GB27" s="7">
        <f>IFERROR(AVERAGEIF('Данные 1st'!$S$2:$S$317,$A27,'Данные 1st'!$LB$2:$LB$317),"")</f>
        <v/>
      </c>
      <c r="GC27" s="7">
        <f>IFERROR(AVERAGEIF('Данные 1st'!$S$2:$S$317,$A27,'Данные 1st'!$LC$2:$LC$317),"")</f>
        <v/>
      </c>
      <c r="GD27" s="7">
        <f>IFERROR(AVERAGEIF('Данные 1st'!$S$2:$S$317,$A27,'Данные 1st'!$LD$2:$LD$317),"")</f>
        <v/>
      </c>
      <c r="GE27" s="7">
        <f>IFERROR(AVERAGEIF('Данные 1st'!$S$2:$S$317,$A27,'Данные 1st'!$LE$2:$LE$317),"")</f>
        <v/>
      </c>
      <c r="GF27" s="7">
        <f>IFERROR(AVERAGEIF('Данные 1st'!$S$2:$S$317,$A27,'Данные 1st'!$LF$2:$LF$317),"")</f>
        <v/>
      </c>
      <c r="GG27" s="7">
        <f>IFERROR(AVERAGEIF('Данные 1st'!$S$2:$S$317,$A27,'Данные 1st'!$LG$2:$LG$317),"")</f>
        <v/>
      </c>
      <c r="GH27" s="7">
        <f>IFERROR(AVERAGEIF('Данные 1st'!$S$2:$S$317,$A27,'Данные 1st'!$LH$2:$LH$317),"")</f>
        <v/>
      </c>
      <c r="GI27" s="7">
        <f>IFERROR(AVERAGEIF('Данные 1st'!$S$2:$S$317,$A27,'Данные 1st'!$LI$2:$LI$317),"")</f>
        <v/>
      </c>
      <c r="GJ27" s="7">
        <f>IFERROR(AVERAGEIF('Данные 1st'!$S$2:$S$317,$A27,'Данные 1st'!$LJ$2:$LJ$317),"")</f>
        <v/>
      </c>
      <c r="GK27" s="7">
        <f>IFERROR(AVERAGEIF('Данные 1st'!$S$2:$S$317,$A27,'Данные 1st'!$LK$2:$LK$317),"")</f>
        <v>480</v>
      </c>
      <c r="GL27" s="7">
        <f>IFERROR(AVERAGEIF('Данные 1st'!$S$2:$S$317,$A27,'Данные 1st'!$LV$2:$LV$317),"")</f>
        <v/>
      </c>
      <c r="GM27" s="7">
        <f>IFERROR(AVERAGEIF('Данные 1st'!$S$2:$S$317,$A27,'Данные 1st'!$LW$2:$LW$317),"")</f>
        <v/>
      </c>
      <c r="GN27" s="7">
        <f>IFERROR(AVERAGEIF('Данные 1st'!$S$2:$S$317,$A27,'Данные 1st'!$LX$2:$LX$317),"")</f>
        <v>380</v>
      </c>
      <c r="GO27" s="7">
        <f>IFERROR(AVERAGEIF('Данные 1st'!$S$2:$S$317,$A27,'Данные 1st'!$LY$2:$LY$317),"")</f>
        <v/>
      </c>
      <c r="GP27" s="7">
        <f>IFERROR(AVERAGEIF('Данные 1st'!$S$2:$S$317,$A27,'Данные 1st'!$LZ$2:$LZ$317),"")</f>
        <v/>
      </c>
      <c r="GQ27" s="7">
        <f>IFERROR(AVERAGEIF('Данные 1st'!$S$2:$S$317,$A27,'Данные 1st'!$PG$2:$PG$317),"")</f>
        <v>1</v>
      </c>
      <c r="GR27" s="7">
        <f>IFERROR(AVERAGEIF('Данные 1st'!$S$2:$S$317,$A27,'Данные 1st'!$PX$2:$PX$317),"")</f>
        <v>56</v>
      </c>
      <c r="GS27" s="7">
        <f>IFERROR(AVERAGEIF('Данные 1st'!$S$2:$S$317,$A27,'Данные 1st'!$PY$2:$PY$317),"")</f>
        <v>56.714285714285715</v>
      </c>
      <c r="GT27" s="7">
        <f>IFERROR(AVERAGEIF('Данные 1st'!$S$2:$S$317,$A27,'Данные 1st'!$QA$2:$QA$317),"")</f>
        <v>2.142857142857143</v>
      </c>
      <c r="GU27" s="7">
        <f>IFERROR(AVERAGEIF('Данные 1st'!$S$2:$S$317,$A27,'Данные 1st'!$QB$2:$QB$317),"")</f>
        <v>1198.5714285714287</v>
      </c>
      <c r="GV27" s="7">
        <f>IFERROR(AVERAGEIF('Данные 1st'!$S$2:$S$317,$A27,'Данные 1st'!$QC$2:$QC$317),"")</f>
        <v>69</v>
      </c>
      <c r="GW27" s="7">
        <f>IFERROR(AVERAGEIF('Данные 1st'!$S$2:$S$317,$A27,'Данные 1st'!$QD$2:$QD$317),"")</f>
        <v>69</v>
      </c>
      <c r="GX27" s="7">
        <f>IFERROR(AVERAGEIF('Данные 1st'!$S$2:$S$317,$A27,'Данные 1st'!$QF$2:$QF$317),"")</f>
        <v>1</v>
      </c>
      <c r="GY27" s="7">
        <f>IFERROR(AVERAGEIF('Данные 1st'!$S$2:$S$317,$A27,'Данные 1st'!$QG$2:$QG$317),"")</f>
        <v>1213.7142857142858</v>
      </c>
      <c r="GZ27" s="7">
        <f>IFERROR(AVERAGEIF('Данные 1st'!$S$2:$S$317,$A27,'Данные 1st'!$QH$2:$QH$317),"")</f>
        <v>66</v>
      </c>
      <c r="HA27" s="7">
        <f>IFERROR(AVERAGEIF('Данные 1st'!$S$2:$S$317,$A27,'Данные 1st'!$QI$2:$QI$317),"")</f>
        <v>66</v>
      </c>
      <c r="HB27" s="7">
        <f>IFERROR(AVERAGEIF('Данные 1st'!$S$2:$S$317,$A27,'Данные 1st'!$QK$2:$QK$317),"")</f>
        <v>1</v>
      </c>
      <c r="HC27" s="7">
        <f>IFERROR(AVERAGEIF('Данные 1st'!$S$2:$S$317,$A27,'Данные 1st'!$QL$2:$QL$317),"")</f>
        <v>174</v>
      </c>
      <c r="HD27" s="7">
        <f>IFERROR(AVERAGEIF('Данные 1st'!$S$2:$S$317,$A27,'Данные 1st'!$QM$2:$QM$317),"")</f>
        <v>62</v>
      </c>
      <c r="HE27" s="7">
        <f>IFERROR(AVERAGEIF('Данные 1st'!$S$2:$S$317,$A27,'Данные 1st'!$QN$2:$QN$317),"")</f>
        <v>62</v>
      </c>
      <c r="HF27" s="7">
        <f>IFERROR(AVERAGEIF('Данные 1st'!$S$2:$S$317,$A27,'Данные 1st'!$QP$2:$QP$317),"")</f>
        <v>1</v>
      </c>
      <c r="HG27" s="7">
        <f>IFERROR(AVERAGEIF('Данные 1st'!$S$2:$S$317,$A27,'Данные 1st'!$QQ$2:$QQ$317),"")</f>
        <v>1210.7142857142858</v>
      </c>
      <c r="HH27" s="7">
        <f>IFERROR(AVERAGEIF('Данные 1st'!$S$2:$S$317,$A27,'Данные 1st'!$QR$2:$QR$317),"")</f>
        <v>62</v>
      </c>
      <c r="HI27" s="7">
        <f>IFERROR(AVERAGEIF('Данные 1st'!$S$2:$S$317,$A27,'Данные 1st'!$QS$2:$QS$317),"")</f>
        <v>62</v>
      </c>
      <c r="HJ27" s="7">
        <f>IFERROR(AVERAGEIF('Данные 1st'!$S$2:$S$317,$A27,'Данные 1st'!$QU$2:$QU$317),"")</f>
        <v>1</v>
      </c>
      <c r="HK27" s="7">
        <f>IFERROR(AVERAGEIF('Данные 1st'!$S$2:$S$317,$A27,'Данные 1st'!$QV$2:$QV$317),"")</f>
        <v>1216</v>
      </c>
      <c r="HL27" s="7">
        <f>IFERROR(AVERAGEIF('Данные 1st'!$S$2:$S$317,$A27,'Данные 1st'!$QW$2:$QW$317),"")</f>
        <v>82</v>
      </c>
      <c r="HM27" s="7">
        <f>IFERROR(AVERAGEIF('Данные 1st'!$S$2:$S$317,$A27,'Данные 1st'!$QX$2:$QX$317),"")</f>
        <v>86.28571428571429</v>
      </c>
      <c r="HN27" s="7">
        <f>IFERROR(AVERAGEIF('Данные 1st'!$S$2:$S$317,$A27,'Данные 1st'!$QZ$2:$QZ$317),"")</f>
        <v>1</v>
      </c>
      <c r="HO27" s="7">
        <f>IFERROR(AVERAGEIF('Данные 1st'!$S$2:$S$317,$A27,'Данные 1st'!$RA$2:$RA$317),"")</f>
        <v>66</v>
      </c>
      <c r="HP27" s="7">
        <f>IFERROR(AVERAGEIF('Данные 1st'!$S$2:$S$317,$A27,'Данные 1st'!$RB$2:$RB$317),"")</f>
        <v>66</v>
      </c>
      <c r="HQ27" s="7">
        <f>IFERROR(AVERAGEIF('Данные 1st'!$S$2:$S$317,$A27,'Данные 1st'!$RD$2:$RD$317),"")</f>
        <v/>
      </c>
      <c r="HR27" s="7">
        <f>IFERROR(AVERAGEIF('Данные 1st'!$S$2:$S$317,$A27,'Данные 1st'!$RE$2:$RE$317),"")</f>
        <v>0</v>
      </c>
      <c r="HS27" s="7">
        <f>IFERROR(AVERAGEIF('Данные 1st'!$S$2:$S$317,$A27,'Данные 1st'!$RF$2:$RF$317),"")</f>
        <v>1</v>
      </c>
      <c r="HT27" s="7">
        <f>IFERROR(AVERAGEIF('Данные 1st'!$S$2:$S$317,$A27,'Данные 1st'!$RG$2:$RG$317),"")</f>
        <v/>
      </c>
      <c r="HU27" s="7">
        <f>IFERROR(AVERAGEIF('Данные 1st'!$S$2:$S$317,$A27,'Данные 1st'!$RH$2:$RH$317),"")</f>
        <v>1</v>
      </c>
      <c r="HV27" s="7">
        <f>IFERROR(AVERAGEIF('Данные 1st'!$S$2:$S$317,$A27,'Данные 1st'!$RI$2:$RI$317),"")</f>
        <v/>
      </c>
      <c r="HW27" s="7">
        <f>IFERROR(AVERAGEIF('Данные 1st'!$S$2:$S$317,$A27,'Данные 1st'!$RJ$2:$RJ$317),"")</f>
        <v>1</v>
      </c>
      <c r="HX27" s="7">
        <f>IFERROR(AVERAGEIF('Данные 1st'!$S$2:$S$317,$A27,'Данные 1st'!$RK$2:$RK$317),"")</f>
        <v>2</v>
      </c>
      <c r="HY27" s="7">
        <f>IFERROR(AVERAGEIF('Данные 1st'!$S$2:$S$317,$A27,'Данные 1st'!$RL$2:$RL$317),"")</f>
        <v>2.2857142857142856</v>
      </c>
      <c r="HZ27" s="7">
        <f>IFERROR(AVERAGEIF('Данные 1st'!$S$2:$S$317,$A27,'Данные 1st'!$RM$2:$RM$317),"")</f>
        <v>4</v>
      </c>
      <c r="IA27" s="7">
        <f>IFERROR(AVERAGEIF('Данные 1st'!$S$2:$S$317,$A27,'Данные 1st'!$RN$2:$RN$317),"")</f>
        <v/>
      </c>
      <c r="IB27" s="7">
        <f>IFERROR(AVERAGEIF('Данные 1st'!$S$2:$S$317,$A27,'Данные 1st'!$RO$2:$RO$317),"")</f>
        <v>579.5714285714286</v>
      </c>
      <c r="IC27" s="7">
        <f>IFERROR(AVERAGEIF('Данные 1st'!$S$2:$S$317,$A27,'Данные 1st'!$RP$2:$RP$317),"")</f>
        <v>105</v>
      </c>
      <c r="ID27" s="7">
        <f>IFERROR(AVERAGEIF('Данные 1st'!$S$2:$S$317,$A27,'Данные 1st'!$RQ$2:$RQ$317),"")</f>
        <v>964.1428571428571</v>
      </c>
      <c r="IE27" s="7">
        <f>IFERROR(AVERAGEIF('Данные 1st'!$S$2:$S$317,$A27,'Данные 1st'!$RR$2:$RR$317),"")</f>
        <v>515.5</v>
      </c>
      <c r="IF27" s="7">
        <f>IFERROR(AVERAGEIF('Данные 1st'!$S$2:$S$317,$A27,'Данные 1st'!$RS$2:$RS$317),"")</f>
        <v/>
      </c>
      <c r="IG27" s="7">
        <f>IFERROR(AVERAGEIF('Данные 1st'!$S$2:$S$317,$A27,'Данные 1st'!$RT$2:$RT$317),"")</f>
        <v>227.42857142857142</v>
      </c>
      <c r="IH27" s="7">
        <f>IFERROR(AVERAGEIF('Данные 1st'!$S$2:$S$317,$A27,'Данные 1st'!$RU$2:$RU$317),"")</f>
        <v>204.71428571428572</v>
      </c>
      <c r="II27" s="7">
        <f>IFERROR(AVERAGEIF('Данные 1st'!$S$2:$S$317,$A27,'Данные 1st'!$RX$2:$RX$317),"")</f>
        <v>15</v>
      </c>
      <c r="IJ27" s="7">
        <f>IFERROR(AVERAGEIF('Данные 1st'!$S$2:$S$317,$A27,'Данные 1st'!$RY$2:$RY$317),"")</f>
        <v>4</v>
      </c>
      <c r="IK27" s="7">
        <f>IFERROR(AVERAGEIF('Данные 1st'!$S$2:$S$317,$A27,'Данные 1st'!$SA$2:$SA$317),"")</f>
        <v>15</v>
      </c>
      <c r="IL27" s="7">
        <f>IFERROR(AVERAGEIF('Данные 1st'!$S$2:$S$317,$A27,'Данные 1st'!$SD$2:$SD$317),"")</f>
        <v>1</v>
      </c>
      <c r="IM27" s="7">
        <f>IFERROR(AVERAGEIF('Данные 1st'!$S$2:$S$317,$A27,'Данные 1st'!$SG$2:$SG$317),"")</f>
        <v>1</v>
      </c>
      <c r="IN27" s="7">
        <f>IFERROR(AVERAGEIF('Данные 1st'!$S$2:$S$317,$A27,'Данные 1st'!$SH$2:$SH$317),"")</f>
        <v>0.995</v>
      </c>
      <c r="IO27" s="7">
        <f>IFERROR(AVERAGEIF('Данные 1st'!$S$2:$S$317,$A27,'Данные 1st'!$SI$2:$SI$317),"")</f>
        <v>0.995</v>
      </c>
      <c r="IP27" s="7">
        <f>IFERROR(AVERAGEIF('Данные 1st'!$S$2:$S$317,$A27,'Данные 1st'!$SJ$2:$SJ$317),"")</f>
        <v>0.995</v>
      </c>
      <c r="IQ27" s="7">
        <f>IFERROR(AVERAGEIF('Данные 1st'!$S$2:$S$317,$A27,'Данные 1st'!$SK$2:$SK$317),"")</f>
        <v>15</v>
      </c>
      <c r="IR27" s="7">
        <f>IFERROR(AVERAGEIF('Данные 1st'!$S$2:$S$317,$A27,'Данные 1st'!$SL$2:$SL$317),"")</f>
        <v>0</v>
      </c>
      <c r="IS27" s="7">
        <f>IFERROR(AVERAGEIF('Данные 1st'!$S$2:$S$317,$A27,'Данные 1st'!$SM$2:$SM$317),"")</f>
        <v>0</v>
      </c>
      <c r="IT27" s="7">
        <f>IFERROR(AVERAGEIF('Данные 1st'!$S$2:$S$317,$A27,'Данные 1st'!$SN$2:$SN$317),"")</f>
        <v>0</v>
      </c>
      <c r="IU27" s="7">
        <f>IFERROR(AVERAGEIF('Данные 1st'!$S$2:$S$317,$A27,'Данные 1st'!$SO$2:$SO$317),"")</f>
        <v>0</v>
      </c>
      <c r="IV27" s="7">
        <f>IFERROR(AVERAGEIF('Данные 1st'!$S$2:$S$317,$A27,'Данные 1st'!$SP$2:$SP$317),"")</f>
        <v>0</v>
      </c>
      <c r="IW27" s="7">
        <f>IFERROR(AVERAGEIF('Данные 1st'!$S$2:$S$317,$A27,'Данные 1st'!$SQ$2:$SQ$317),"")</f>
        <v>0</v>
      </c>
      <c r="IX27" s="7">
        <f>IFERROR(AVERAGEIF('Данные 1st'!$S$2:$S$317,$A27,'Данные 1st'!$SR$2:$SR$317),"")</f>
        <v>0</v>
      </c>
      <c r="IY27" s="7">
        <f>IFERROR(AVERAGEIF('Данные 1st'!$S$2:$S$317,$A27,'Данные 1st'!$SS$2:$SS$317),"")</f>
        <v>0</v>
      </c>
      <c r="IZ27" s="7">
        <f>IFERROR(AVERAGEIF('Данные 1st'!$S$2:$S$317,$A27,'Данные 1st'!$ST$2:$ST$317),"")</f>
        <v>0</v>
      </c>
      <c r="JA27" s="7">
        <f>IFERROR(AVERAGEIF('Данные 1st'!$S$2:$S$317,$A27,'Данные 1st'!$SU$2:$SU$317),"")</f>
        <v>0</v>
      </c>
      <c r="JB27" s="7">
        <f>IFERROR(AVERAGEIF('Данные 1st'!$S$2:$S$317,$A27,'Данные 1st'!$SV$2:$SV$317),"")</f>
        <v>0</v>
      </c>
      <c r="JC27" s="7">
        <f>IFERROR(AVERAGEIF('Данные 1st'!$S$2:$S$317,$A27,'Данные 1st'!$SW$2:$SW$317),"")</f>
        <v>0</v>
      </c>
      <c r="JD27" s="7">
        <f>IFERROR(AVERAGEIF('Данные 1st'!$S$2:$S$317,$A27,'Данные 1st'!$SX$2:$SX$317),"")</f>
        <v>0</v>
      </c>
      <c r="JE27" s="7">
        <f>IFERROR(AVERAGEIF('Данные 1st'!$S$2:$S$317,$A27,'Данные 1st'!$SY$2:$SY$317),"")</f>
        <v>1</v>
      </c>
      <c r="JF27" s="7">
        <f>IFERROR(AVERAGEIF('Данные 1st'!$S$2:$S$317,$A27,'Данные 1st'!$SZ$2:$SZ$317),"")</f>
        <v>1</v>
      </c>
      <c r="JG27" s="7">
        <f>IFERROR(AVERAGEIF('Данные 1st'!$S$2:$S$317,$A27,'Данные 1st'!$TA$2:$TA$317),"")</f>
        <v/>
      </c>
      <c r="JH27" s="7">
        <f>IFERROR(AVERAGEIF('Данные 1st'!$S$2:$S$317,$A27,'Данные 1st'!$TB$2:$TB$317),"")</f>
        <v>0</v>
      </c>
      <c r="JI27" s="7">
        <f>IFERROR(AVERAGEIF('Данные 1st'!$S$2:$S$317,$A27,'Данные 1st'!$TC$2:$TC$317),"")</f>
        <v>0</v>
      </c>
      <c r="JJ27" s="7">
        <f>IFERROR(AVERAGEIF('Данные 1st'!$S$2:$S$317,$A27,'Данные 1st'!$TD$2:$TD$317),"")</f>
        <v>7.5</v>
      </c>
      <c r="JK27" s="7">
        <f>IFERROR(AVERAGEIF('Данные 1st'!$S$2:$S$317,$A27,'Данные 1st'!$TN$2:$TN$317),"")</f>
        <v>0</v>
      </c>
      <c r="JL27">
        <f>COUNTIF('Данные 2st'!$Q$2:$Q$317,$A27)</f>
        <v>7</v>
      </c>
      <c r="JM27" s="6" t="s">
        <v>5094</v>
      </c>
      <c r="JN27" s="6" t="s">
        <v>513</v>
      </c>
      <c r="JO27" s="6" t="s">
        <v>5125</v>
      </c>
      <c r="JP27" s="6" t="s">
        <v>5484</v>
      </c>
      <c r="JQ27" s="7">
        <f>IFERROR(AVERAGEIF('Данные 2st'!$Q$2:$Q$317,$A27,'Данные 2st'!$AC$2:$AC$317),"")</f>
        <v>11.285714285714286</v>
      </c>
      <c r="JR27" s="7">
        <f>IFERROR(AVERAGEIF('Данные 2st'!$Q$2:$Q$317,$A27,'Данные 2st'!$AF$2:$AF$317),"")</f>
        <v>4650.571428571428</v>
      </c>
      <c r="JS27" s="7">
        <f>IFERROR(AVERAGEIF('Данные 2st'!$Q$2:$Q$317,$A27,'Данные 2st'!$AW$2:$AW$317),"")</f>
        <v>6.4</v>
      </c>
      <c r="JT27" s="7">
        <f>IFERROR(AVERAGEIF('Данные 2st'!$Q$2:$Q$317,$A27,'Данные 2st'!$AX$2:$AX$317),"")</f>
        <v>-7.714285714285714</v>
      </c>
      <c r="JU27" s="7">
        <f>IFERROR(AVERAGEIF('Данные 2st'!$Q$2:$Q$317,$A27,'Данные 2st'!$AY$2:$AY$317),"")</f>
        <v>91.28571428571429</v>
      </c>
      <c r="JV27" s="7">
        <f>IFERROR(AVERAGEIF('Данные 2st'!$Q$2:$Q$317,$A27,'Данные 2st'!$AZ$2:$AZ$317),"")</f>
        <v>75.14285714285714</v>
      </c>
      <c r="JW27" s="7">
        <f>IFERROR(AVERAGEIF('Данные 2st'!$Q$2:$Q$317,$A27,'Данные 2st'!$BA$2:$BA$317),"")</f>
        <v/>
      </c>
      <c r="JX27" s="7">
        <f>IFERROR(AVERAGEIF('Данные 2st'!$Q$2:$Q$317,$A27,'Данные 2st'!$BB$2:$BB$317),"")</f>
        <v/>
      </c>
      <c r="JY27" s="7">
        <f>IFERROR(AVERAGEIF('Данные 2st'!$Q$2:$Q$317,$A27,'Данные 2st'!$BC$2:$BC$317),"")</f>
        <v/>
      </c>
      <c r="JZ27" s="7">
        <f>IFERROR(AVERAGEIF('Данные 2st'!$Q$2:$Q$317,$A27,'Данные 2st'!$BH$2:$BH$317),"")</f>
        <v>91.28571428571429</v>
      </c>
      <c r="KA27" s="7">
        <f>IFERROR(AVERAGEIF('Данные 2st'!$Q$2:$Q$317,$A27,'Данные 2st'!$BI$2:$BI$317),"")</f>
        <v>16.142857142857142</v>
      </c>
      <c r="KB27" s="7">
        <f>IFERROR(AVERAGEIF('Данные 2st'!$Q$2:$Q$317,$A27,'Данные 2st'!$BJ$2:$BJ$317),"")</f>
        <v>75.14285714285714</v>
      </c>
      <c r="KC27" s="7">
        <f>IFERROR(AVERAGEIF('Данные 2st'!$Q$2:$Q$317,$A27,'Данные 2st'!$BK$2:$BK$317),"")</f>
        <v>3.0714285714285716</v>
      </c>
      <c r="KD27" s="7">
        <f>IFERROR(AVERAGEIF('Данные 2st'!$Q$2:$Q$317,$A27,'Данные 2st'!$BL$2:$BL$317),"")</f>
        <v>182.57142857142858</v>
      </c>
      <c r="KE27" s="7">
        <f>IFERROR(AVERAGEIF('Данные 2st'!$Q$2:$Q$317,$A27,'Данные 2st'!$BM$2:$BM$317),"")</f>
        <v>-7.714285714285714</v>
      </c>
      <c r="KF27" s="7">
        <f>IFERROR(AVERAGEIF('Данные 2st'!$Q$2:$Q$317,$A27,'Данные 2st'!$BN$2:$BN$317),"")</f>
        <v>0</v>
      </c>
      <c r="KG27" s="7">
        <f>IFERROR(AVERAGEIF('Данные 2st'!$Q$2:$Q$317,$A27,'Данные 2st'!$BO$2:$BO$317),"")</f>
        <v>0</v>
      </c>
      <c r="KH27" s="7">
        <f>IFERROR(AVERAGEIF('Данные 2st'!$Q$2:$Q$317,$A27,'Данные 2st'!$BP$2:$BP$317),"")</f>
        <v>0</v>
      </c>
      <c r="KI27" s="7">
        <f>IFERROR(AVERAGEIF('Данные 2st'!$Q$2:$Q$317,$A27,'Данные 2st'!$BR$2:$BR$317),"")</f>
        <v>176.42857142857142</v>
      </c>
      <c r="KJ27" s="7">
        <f>IFERROR(AVERAGEIF('Данные 2st'!$Q$2:$Q$317,$A27,'Данные 2st'!$BS$2:$BS$317),"")</f>
        <v>166.42857142857142</v>
      </c>
      <c r="KK27" s="7">
        <f>IFERROR(AVERAGEIF('Данные 2st'!$Q$2:$Q$317,$A27,'Данные 2st'!$BT$2:$BT$317),"")</f>
        <v>2012.142857142857</v>
      </c>
      <c r="KL27" s="7">
        <f>IFERROR(AVERAGEIF('Данные 2st'!$Q$2:$Q$317,$A27,'Данные 2st'!$CV$2:$CV$317),"")</f>
        <v>117.71428571428571</v>
      </c>
      <c r="KM27" s="7">
        <f>IFERROR(AVERAGEIF('Данные 2st'!$Q$2:$Q$317,$A27,'Данные 2st'!$CW$2:$CW$317),"")</f>
        <v>3</v>
      </c>
      <c r="KN27" s="7">
        <f>IFERROR(AVERAGEIF('Данные 2st'!$Q$2:$Q$317,$A27,'Данные 2st'!$CX$2:$CX$317),"")</f>
        <v>74</v>
      </c>
      <c r="KO27" s="7">
        <f>IFERROR(AVERAGEIF('Данные 2st'!$Q$2:$Q$317,$A27,'Данные 2st'!$CY$2:$CY$317),"")</f>
        <v>5</v>
      </c>
      <c r="KP27" s="7">
        <f>IFERROR(AVERAGEIF('Данные 2st'!$Q$2:$Q$317,$A27,'Данные 2st'!$CZ$2:$CZ$317),"")</f>
        <v>99.28571428571429</v>
      </c>
      <c r="KQ27" s="7">
        <f>IFERROR(AVERAGEIF('Данные 2st'!$Q$2:$Q$317,$A27,'Данные 2st'!$DA$2:$DA$317),"")</f>
        <v>5</v>
      </c>
      <c r="KR27" s="7">
        <f>IFERROR(AVERAGEIF('Данные 2st'!$Q$2:$Q$317,$A27,'Данные 2st'!$DB$2:$DB$317),"")</f>
        <v>10240</v>
      </c>
      <c r="KS27" s="7">
        <f>IFERROR(AVERAGEIF('Данные 2st'!$Q$2:$Q$317,$A27,'Данные 2st'!$DC$2:$DC$317),"")</f>
        <v>302.85714285714283</v>
      </c>
      <c r="KT27" s="7">
        <f>IFERROR(AVERAGEIF('Данные 2st'!$Q$2:$Q$317,$A27,'Данные 2st'!$DD$2:$DD$317),"")</f>
        <v>318.2857142857143</v>
      </c>
      <c r="KU27" s="7">
        <f>IFERROR(AVERAGEIF('Данные 2st'!$Q$2:$Q$317,$A27,'Данные 2st'!$DE$2:$DE$317),"")</f>
        <v>2116.5714285714284</v>
      </c>
      <c r="KV27" s="7">
        <f>IFERROR(AVERAGEIF('Данные 2st'!$Q$2:$Q$317,$A27,'Данные 2st'!$DF$2:$DF$317),"")</f>
        <v>2114</v>
      </c>
      <c r="KW27" s="7">
        <f>IFERROR(AVERAGEIF('Данные 2st'!$Q$2:$Q$317,$A27,'Данные 2st'!$DG$2:$DG$317),"")</f>
        <v>2133</v>
      </c>
      <c r="KX27" s="7">
        <f>IFERROR(AVERAGEIF('Данные 2st'!$Q$2:$Q$317,$A27,'Данные 2st'!$DH$2:$DH$317),"")</f>
        <v>3</v>
      </c>
      <c r="KY27" s="7">
        <f>IFERROR(AVERAGEIF('Данные 2st'!$Q$2:$Q$317,$A27,'Данные 2st'!$DI$2:$DI$317),"")</f>
        <v>2150.6666666666665</v>
      </c>
      <c r="KZ27" s="7">
        <f>IFERROR(AVERAGEIF('Данные 2st'!$Q$2:$Q$317,$A27,'Данные 2st'!$DK$2:$DK$317),"")</f>
        <v>176.42857142857142</v>
      </c>
      <c r="LA27" s="7">
        <f>IFERROR(AVERAGEIF('Данные 2st'!$Q$2:$Q$317,$A27,'Данные 2st'!$DM$2:$DM$317),"")</f>
        <v>64.71428571428571</v>
      </c>
      <c r="LB27" s="7">
        <f>IFERROR(AVERAGEIF('Данные 2st'!$Q$2:$Q$317,$A27,'Данные 2st'!$DN$2:$DN$317),"")</f>
        <v>0.9514285714285714</v>
      </c>
      <c r="LC27" s="7">
        <f>IFERROR(AVERAGEIF('Данные 2st'!$Q$2:$Q$317,$A27,'Данные 2st'!$DO$2:$DO$317),"")</f>
        <v>1</v>
      </c>
      <c r="LD27" s="7">
        <f>IFERROR(AVERAGEIF('Данные 2st'!$Q$2:$Q$317,$A27,'Данные 2st'!$DP$2:$DP$317),"")</f>
        <v>2015.142857142857</v>
      </c>
      <c r="LE27" s="7">
        <f>IFERROR(AVERAGEIF('Данные 2st'!$Q$2:$Q$317,$A27,'Данные 2st'!$DQ$2:$DQ$317),"")</f>
        <v>701.2857142857143</v>
      </c>
      <c r="LF27" s="7">
        <f>IFERROR(AVERAGEIF('Данные 2st'!$Q$2:$Q$317,$A27,'Данные 2st'!$DS$2:$DS$317),"")</f>
        <v>166.42857142857142</v>
      </c>
      <c r="LG27" s="7">
        <f>IFERROR(AVERAGEIF('Данные 2st'!$Q$2:$Q$317,$A27,'Данные 2st'!$DU$2:$DU$317),"")</f>
        <v>64.71428571428571</v>
      </c>
      <c r="LH27" s="7">
        <f>IFERROR(AVERAGEIF('Данные 2st'!$Q$2:$Q$317,$A27,'Данные 2st'!$DV$2:$DV$317),"")</f>
        <v>0.9514285714285714</v>
      </c>
      <c r="LI27" s="7">
        <f>IFERROR(AVERAGEIF('Данные 2st'!$Q$2:$Q$317,$A27,'Данные 2st'!$DW$2:$DW$317),"")</f>
        <v>1</v>
      </c>
      <c r="LJ27" s="7">
        <f>IFERROR(AVERAGEIF('Данные 2st'!$Q$2:$Q$317,$A27,'Данные 2st'!$DX$2:$DX$317),"")</f>
        <v>2024.2857142857142</v>
      </c>
      <c r="LK27" s="7">
        <f>IFERROR(AVERAGEIF('Данные 2st'!$Q$2:$Q$317,$A27,'Данные 2st'!$DY$2:$DY$317),"")</f>
        <v>664.5714285714286</v>
      </c>
      <c r="LL27" s="7">
        <f>IFERROR(AVERAGEIF('Данные 2st'!$Q$2:$Q$317,$A27,'Данные 2st'!$EA$2:$EA$317),"")</f>
        <v>27.428571428571427</v>
      </c>
      <c r="LM27" s="7">
        <f>IFERROR(AVERAGEIF('Данные 2st'!$Q$2:$Q$317,$A27,'Данные 2st'!$EC$2:$EC$317),"")</f>
        <v>0.5714285714285715</v>
      </c>
      <c r="LN27" s="7">
        <f>IFERROR(AVERAGEIF('Данные 2st'!$Q$2:$Q$317,$A27,'Данные 2st'!$ED$2:$ED$317),"")</f>
        <v>2015.142857142857</v>
      </c>
      <c r="LO27" s="7">
        <f>IFERROR(AVERAGEIF('Данные 2st'!$Q$2:$Q$317,$A27,'Данные 2st'!$EE$2:$EE$317),"")</f>
        <v>63.714285714285715</v>
      </c>
      <c r="LP27" s="7">
        <f>IFERROR(AVERAGEIF('Данные 2st'!$Q$2:$Q$317,$A27,'Данные 2st'!$EG$2:$EG$317),"")</f>
        <v>18.857142857142858</v>
      </c>
      <c r="LQ27" s="7">
        <f>IFERROR(AVERAGEIF('Данные 2st'!$Q$2:$Q$317,$A27,'Данные 2st'!$EI$2:$EI$317),"")</f>
        <v>0.2285714285714286</v>
      </c>
      <c r="LR27" s="7">
        <f>IFERROR(AVERAGEIF('Данные 2st'!$Q$2:$Q$317,$A27,'Данные 2st'!$EJ$2:$EJ$317),"")</f>
        <v>2026.25</v>
      </c>
      <c r="LS27" s="7">
        <f>IFERROR(AVERAGEIF('Данные 2st'!$Q$2:$Q$317,$A27,'Данные 2st'!$EK$2:$EK$317),"")</f>
        <v>59</v>
      </c>
      <c r="LT27" s="7">
        <f>IFERROR(AVERAGEIF('Данные 2st'!$Q$2:$Q$317,$A27,'Данные 2st'!$EM$2:$EM$317),"")</f>
        <v>12</v>
      </c>
      <c r="LU27" s="7">
        <f>IFERROR(AVERAGEIF('Данные 2st'!$Q$2:$Q$317,$A27,'Данные 2st'!$EN$2:$EN$317),"")</f>
        <v>0.5</v>
      </c>
      <c r="LV27" s="7">
        <f>IFERROR(AVERAGEIF('Данные 2st'!$Q$2:$Q$317,$A27,'Данные 2st'!$EO$2:$EO$317),"")</f>
        <v>0.9242857142857143</v>
      </c>
      <c r="LW27" s="7">
        <f>IFERROR(AVERAGEIF('Данные 2st'!$Q$2:$Q$317,$A27,'Данные 2st'!$EP$2:$EP$317),"")</f>
        <v>2024.1042857142857</v>
      </c>
      <c r="LX27" s="7">
        <f>IFERROR(AVERAGEIF('Данные 2st'!$Q$2:$Q$317,$A27,'Данные 2st'!$EQ$2:$EQ$317),"")</f>
        <v>31310.625714285714</v>
      </c>
      <c r="LY27" s="7">
        <f>IFERROR(AVERAGEIF('Данные 2st'!$Q$2:$Q$317,$A27,'Данные 2st'!$ER$2:$ER$317),"")</f>
        <v>5116.368571428571</v>
      </c>
      <c r="LZ27" s="7">
        <f>IFERROR(AVERAGEIF('Данные 2st'!$Q$2:$Q$317,$A27,'Данные 2st'!$ES$2:$ES$317),"")</f>
        <v>0</v>
      </c>
      <c r="MA27" s="7">
        <f>IFERROR(AVERAGEIF('Данные 2st'!$Q$2:$Q$317,$A27,'Данные 2st'!$ET$2:$ET$317),"")</f>
        <v>0</v>
      </c>
      <c r="MB27" s="7">
        <f>IFERROR(AVERAGEIF('Данные 2st'!$Q$2:$Q$317,$A27,'Данные 2st'!$EU$2:$EU$317),"")</f>
        <v>1</v>
      </c>
      <c r="MC27" s="7">
        <f>IFERROR(AVERAGEIF('Данные 2st'!$Q$2:$Q$317,$A27,'Данные 2st'!$EV$2:$EV$317),"")</f>
        <v>36427.42857142857</v>
      </c>
      <c r="MD27" s="7">
        <f>IFERROR(AVERAGEIF('Данные 2st'!$Q$2:$Q$317,$A27,'Данные 2st'!$EW$2:$EW$317),"")</f>
        <v>428</v>
      </c>
      <c r="ME27" s="7">
        <f>IFERROR(AVERAGEIF('Данные 2st'!$Q$2:$Q$317,$A27,'Данные 2st'!$EY$2:$EY$317),"")</f>
        <v>197.14285714285714</v>
      </c>
      <c r="MF27" s="7">
        <f>IFERROR(AVERAGEIF('Данные 2st'!$Q$2:$Q$317,$A27,'Данные 2st'!$FA$2:$FA$317),"")</f>
        <v>5.185714285714286</v>
      </c>
      <c r="MG27" s="7">
        <f>IFERROR(AVERAGEIF('Данные 2st'!$Q$2:$Q$317,$A27,'Данные 2st'!$FB$2:$FB$317),"")</f>
        <v>1</v>
      </c>
      <c r="MH27" s="7">
        <f>IFERROR(AVERAGEIF('Данные 2st'!$Q$2:$Q$317,$A27,'Данные 2st'!$FC$2:$FC$317),"")</f>
        <v>1</v>
      </c>
      <c r="MI27" s="7">
        <f>IFERROR(AVERAGEIF('Данные 2st'!$Q$2:$Q$317,$A27,'Данные 2st'!$FD$2:$FD$317),"")</f>
        <v>2055.8571428571427</v>
      </c>
      <c r="MJ27" s="7">
        <f>IFERROR(AVERAGEIF('Данные 2st'!$Q$2:$Q$317,$A27,'Данные 2st'!$FE$2:$FE$317),"")</f>
        <v>2189.285714285714</v>
      </c>
      <c r="MK27" s="7">
        <f>IFERROR(AVERAGEIF('Данные 2st'!$Q$2:$Q$317,$A27,'Данные 2st'!$FG$2:$FG$317),"")</f>
        <v>200</v>
      </c>
      <c r="ML27" s="7">
        <f>IFERROR(AVERAGEIF('Данные 2st'!$Q$2:$Q$317,$A27,'Данные 2st'!$FI$2:$FI$317),"")</f>
        <v>2.4857142857142858</v>
      </c>
      <c r="MM27" s="7">
        <f>IFERROR(AVERAGEIF('Данные 2st'!$Q$2:$Q$317,$A27,'Данные 2st'!$FJ$2:$FJ$317),"")</f>
        <v>2055.8571428571427</v>
      </c>
      <c r="MN27" s="7">
        <f>IFERROR(AVERAGEIF('Данные 2st'!$Q$2:$Q$317,$A27,'Данные 2st'!$FK$2:$FK$317),"")</f>
        <v>1145.4285714285713</v>
      </c>
      <c r="MO27" s="7">
        <f>IFERROR(AVERAGEIF('Данные 2st'!$Q$2:$Q$317,$A27,'Данные 2st'!$FP$2:$FP$317),"")</f>
        <v>2055.8571428571427</v>
      </c>
      <c r="MP27" s="7">
        <f>IFERROR(AVERAGEIF('Данные 2st'!$Q$2:$Q$317,$A27,'Данные 2st'!$FQ$2:$FQ$317),"")</f>
        <v>160.85714285714286</v>
      </c>
      <c r="MQ27" s="7">
        <f>IFERROR(AVERAGEIF('Данные 2st'!$Q$2:$Q$317,$A27,'Данные 2st'!$FS$2:$FS$317),"")</f>
        <v>204.57142857142858</v>
      </c>
      <c r="MR27" s="7">
        <f>IFERROR(AVERAGEIF('Данные 2st'!$Q$2:$Q$317,$A27,'Данные 2st'!$FU$2:$FU$317),"")</f>
        <v>0.4</v>
      </c>
      <c r="MS27" s="7">
        <f>IFERROR(AVERAGEIF('Данные 2st'!$Q$2:$Q$317,$A27,'Данные 2st'!$FV$2:$FV$317),"")</f>
        <v>2055.8571428571427</v>
      </c>
      <c r="MT27" s="7">
        <f>IFERROR(AVERAGEIF('Данные 2st'!$Q$2:$Q$317,$A27,'Данные 2st'!$FW$2:$FW$317),"")</f>
        <v>186.57142857142858</v>
      </c>
      <c r="MU27" s="7">
        <f>IFERROR(AVERAGEIF('Данные 2st'!$Q$2:$Q$317,$A27,'Данные 2st'!$FY$2:$FY$317),"")</f>
        <v>5</v>
      </c>
      <c r="MV27" s="7">
        <f>IFERROR(AVERAGEIF('Данные 2st'!$Q$2:$Q$317,$A27,'Данные 2st'!$GB$2:$GB$317),"")</f>
        <v>2054.6</v>
      </c>
      <c r="MW27" s="7">
        <f>IFERROR(AVERAGEIF('Данные 2st'!$Q$2:$Q$317,$A27,'Данные 2st'!$GC$2:$GC$317),"")</f>
        <v>17.6</v>
      </c>
      <c r="MX27" s="7">
        <f>IFERROR(AVERAGEIF('Данные 2st'!$Q$2:$Q$317,$A27,'Данные 2st'!$GD$2:$GD$317),"")</f>
        <v>3694.714285714286</v>
      </c>
      <c r="MY27" s="7">
        <f>IFERROR(AVERAGEIF('Данные 2st'!$Q$2:$Q$317,$A27,'Данные 2st'!$GN$2:$GN$317),"")</f>
        <v/>
      </c>
      <c r="MZ27" s="7">
        <f>IFERROR(AVERAGEIF('Данные 2st'!$Q$2:$Q$317,$A27,'Данные 2st'!$GQ$2:$GQ$317),"")</f>
        <v>0</v>
      </c>
      <c r="NA27" s="7">
        <f>IFERROR(AVERAGEIF('Данные 2st'!$Q$2:$Q$317,$A27,'Данные 2st'!$GV$2:$GV$317),"")</f>
        <v>8.071428571428571</v>
      </c>
      <c r="NB27" s="7">
        <f>IFERROR(AVERAGEIF('Данные 2st'!$Q$2:$Q$317,$A27,'Данные 2st'!$GW$2:$GW$317),"")</f>
        <v>8.971428571428572</v>
      </c>
      <c r="NC27" s="7">
        <f>IFERROR(AVERAGEIF('Данные 2st'!$Q$2:$Q$317,$A27,'Данные 2st'!$GX$2:$GX$317),"")</f>
        <v>0.5</v>
      </c>
      <c r="ND27" s="7">
        <f>IFERROR(AVERAGEIF('Данные 2st'!$Q$2:$Q$317,$A27,'Данные 2st'!$GY$2:$GY$317),"")</f>
        <v>167.14285714285714</v>
      </c>
      <c r="NE27" s="7">
        <f>IFERROR(AVERAGEIF('Данные 2st'!$Q$2:$Q$317,$A27,'Данные 2st'!$GZ$2:$GZ$317),"")</f>
        <v>3</v>
      </c>
      <c r="NF27" s="7">
        <f>IFERROR(AVERAGEIF('Данные 2st'!$Q$2:$Q$317,$A27,'Данные 2st'!$HA$2:$HA$317),"")</f>
        <v>220</v>
      </c>
      <c r="NG27" s="7">
        <f>IFERROR(AVERAGEIF('Данные 2st'!$Q$2:$Q$317,$A27,'Данные 2st'!$HB$2:$HB$317),"")</f>
        <v>3</v>
      </c>
      <c r="NH27" s="7">
        <f>IFERROR(AVERAGEIF('Данные 2st'!$Q$2:$Q$317,$A27,'Данные 2st'!$HC$2:$HC$317),"")</f>
        <v>2055.8571428571427</v>
      </c>
      <c r="NI27" s="7">
        <f>IFERROR(AVERAGEIF('Данные 2st'!$Q$2:$Q$317,$A27,'Данные 2st'!$HD$2:$HD$317),"")</f>
        <v>4</v>
      </c>
      <c r="NJ27" s="7">
        <f>IFERROR(AVERAGEIF('Данные 2st'!$Q$2:$Q$317,$A27,'Данные 2st'!$HM$2:$HM$317),"")</f>
        <v>16</v>
      </c>
      <c r="NK27" s="7">
        <f>IFERROR(AVERAGEIF('Данные 2st'!$Q$2:$Q$317,$A27,'Данные 2st'!$HR$2:$HR$317),"")</f>
        <v>2.142857142857143</v>
      </c>
      <c r="NL27" s="7">
        <f>IFERROR(AVERAGEIF('Данные 2st'!$Q$2:$Q$317,$A27,'Данные 2st'!$HS$2:$HS$317),"")</f>
        <v>2012.142857142857</v>
      </c>
      <c r="NM27" s="7">
        <f>IFERROR(AVERAGEIF('Данные 2st'!$Q$2:$Q$317,$A27,'Данные 2st'!$HT$2:$HT$317),"")</f>
        <v>5.214285714285714</v>
      </c>
      <c r="NN27" s="7">
        <f>IFERROR(AVERAGEIF('Данные 2st'!$Q$2:$Q$317,$A27,'Данные 2st'!$HY$2:$HY$317),"")</f>
        <v>0</v>
      </c>
      <c r="NO27" s="7">
        <f>IFERROR(AVERAGEIF('Данные 2st'!$Q$2:$Q$317,$A27,'Данные 2st'!$HZ$2:$HZ$317),"")</f>
        <v>64.71428571428571</v>
      </c>
      <c r="NP27" s="7">
        <f>IFERROR(AVERAGEIF('Данные 2st'!$Q$2:$Q$317,$A27,'Данные 2st'!$IA$2:$IA$317),"")</f>
        <v>2015.142857142857</v>
      </c>
      <c r="NQ27" s="7">
        <f>IFERROR(AVERAGEIF('Данные 2st'!$Q$2:$Q$317,$A27,'Данные 2st'!$IB$2:$IB$317),"")</f>
        <v>2024.2857142857142</v>
      </c>
      <c r="NR27" s="7">
        <f>IFERROR(AVERAGEIF('Данные 2st'!$Q$2:$Q$317,$A27,'Данные 2st'!$IC$2:$IC$317),"")</f>
        <v/>
      </c>
      <c r="NS27" s="7">
        <f>IFERROR(AVERAGEIF('Данные 2st'!$Q$2:$Q$317,$A27,'Данные 2st'!$ID$2:$ID$317),"")</f>
        <v>2055.8571428571427</v>
      </c>
      <c r="NT27" s="7">
        <f>IFERROR(AVERAGEIF('Данные 2st'!$Q$2:$Q$317,$A27,'Данные 2st'!$IE$2:$IE$317),"")</f>
        <v>2055.8571428571427</v>
      </c>
      <c r="NU27" s="7">
        <f>IFERROR(AVERAGEIF('Данные 2st'!$Q$2:$Q$317,$A27,'Данные 2st'!$IF$2:$IF$317),"")</f>
        <v>176.42857142857142</v>
      </c>
      <c r="NV27" s="7">
        <f>IFERROR(AVERAGEIF('Данные 2st'!$Q$2:$Q$317,$A27,'Данные 2st'!$IG$2:$IG$317),"")</f>
        <v>166.42857142857142</v>
      </c>
      <c r="NW27" s="7">
        <f>IFERROR(AVERAGEIF('Данные 2st'!$Q$2:$Q$317,$A27,'Данные 2st'!$IH$2:$IH$317),"")</f>
        <v>220</v>
      </c>
      <c r="NX27" s="7">
        <f>IFERROR(AVERAGEIF('Данные 2st'!$Q$2:$Q$317,$A27,'Данные 2st'!$IJ$2:$IJ$317),"")</f>
        <v>5</v>
      </c>
      <c r="NY27" s="7">
        <f>IFERROR(AVERAGEIF('Данные 2st'!$Q$2:$Q$317,$A27,'Данные 2st'!$IM$2:$IM$317),"")</f>
        <v>0</v>
      </c>
      <c r="NZ27" s="7">
        <f>IFERROR(AVERAGEIF('Данные 2st'!$Q$2:$Q$317,$A27,'Данные 2st'!$IN$2:$IN$317),"")</f>
        <v>192.85714285714286</v>
      </c>
      <c r="OA27" s="7">
        <f>IFERROR(AVERAGEIF('Данные 2st'!$Q$2:$Q$317,$A27,'Данные 2st'!$IO$2:$IO$317),"")</f>
        <v>0</v>
      </c>
      <c r="OB27" s="7">
        <f>IFERROR(AVERAGEIF('Данные 2st'!$Q$2:$Q$317,$A27,'Данные 2st'!$IP$2:$IP$317),"")</f>
        <v>180</v>
      </c>
      <c r="OC27" s="7">
        <f>IFERROR(AVERAGEIF('Данные 2st'!$Q$2:$Q$317,$A27,'Данные 2st'!$IQ$2:$IQ$317),"")</f>
        <v>0</v>
      </c>
      <c r="OD27" s="7">
        <f>IFERROR(AVERAGEIF('Данные 2st'!$Q$2:$Q$317,$A27,'Данные 2st'!$IR$2:$IR$317),"")</f>
        <v>323.57142857142856</v>
      </c>
      <c r="OE27" s="7">
        <f>IFERROR(AVERAGEIF('Данные 2st'!$Q$2:$Q$317,$A27,'Данные 2st'!$IT$2:$IT$317),"")</f>
        <v>90</v>
      </c>
      <c r="OF27" s="7">
        <f>IFERROR(AVERAGEIF('Данные 2st'!$Q$2:$Q$317,$A27,'Данные 2st'!$IU$2:$IU$317),"")</f>
        <v>0</v>
      </c>
      <c r="OG27" s="7">
        <f>IFERROR(AVERAGEIF('Данные 2st'!$Q$2:$Q$317,$A27,'Данные 2st'!$IV$2:$IV$317),"")</f>
        <v>6.4</v>
      </c>
      <c r="OH27" s="7">
        <f>IFERROR(AVERAGEIF('Данные 2st'!$Q$2:$Q$317,$A27,'Данные 2st'!$IW$2:$IW$317),"")</f>
        <v>-7.714285714285714</v>
      </c>
      <c r="OI27" s="7">
        <f>IFERROR(AVERAGEIF('Данные 2st'!$Q$2:$Q$317,$A27,'Данные 2st'!$IX$2:$IX$317),"")</f>
        <v>91.28571428571429</v>
      </c>
      <c r="OJ27" s="7">
        <f>IFERROR(AVERAGEIF('Данные 2st'!$Q$2:$Q$317,$A27,'Данные 2st'!$IY$2:$IY$317),"")</f>
        <v>75.14285714285714</v>
      </c>
      <c r="OK27" s="7">
        <f>IFERROR(AVERAGEIF('Данные 2st'!$Q$2:$Q$317,$A27,'Данные 2st'!$IZ$2:$IZ$317),"")</f>
        <v>0</v>
      </c>
      <c r="OL27" s="7">
        <f>IFERROR(AVERAGEIF('Данные 2st'!$Q$2:$Q$317,$A27,'Данные 2st'!$JA$2:$JA$317),"")</f>
        <v>0</v>
      </c>
      <c r="OM27" s="7">
        <f>IFERROR(AVERAGEIF('Данные 2st'!$Q$2:$Q$317,$A27,'Данные 2st'!$JB$2:$JB$317),"")</f>
        <v>0</v>
      </c>
      <c r="ON27" s="7">
        <f>IFERROR(AVERAGEIF('Данные 2st'!$Q$2:$Q$317,$A27,'Данные 2st'!$JC$2:$JC$317),"")</f>
        <v>0</v>
      </c>
      <c r="OO27" s="7">
        <f>IFERROR(AVERAGEIF('Данные 2st'!$Q$2:$Q$317,$A27,'Данные 2st'!$JD$2:$JD$317),"")</f>
        <v>0</v>
      </c>
      <c r="OP27" s="7">
        <f>IFERROR(AVERAGEIF('Данные 2st'!$Q$2:$Q$317,$A27,'Данные 2st'!$JE$2:$JE$317),"")</f>
        <v>0</v>
      </c>
      <c r="OQ27" s="7">
        <f>IFERROR(AVERAGEIF('Данные 2st'!$Q$2:$Q$317,$A27,'Данные 2st'!$JF$2:$JF$317),"")</f>
        <v>0</v>
      </c>
      <c r="OR27" s="7">
        <f>IFERROR(AVERAGEIF('Данные 2st'!$Q$2:$Q$317,$A27,'Данные 2st'!$JG$2:$JG$317),"")</f>
        <v>0</v>
      </c>
      <c r="OS27" s="7">
        <f>IFERROR(AVERAGEIF('Данные 2st'!$Q$2:$Q$317,$A27,'Данные 2st'!$JH$2:$JH$317),"")</f>
        <v>0</v>
      </c>
      <c r="OT27" s="7">
        <f>IFERROR(AVERAGEIF('Данные 2st'!$Q$2:$Q$317,$A27,'Данные 2st'!$JI$2:$JI$317),"")</f>
        <v>401.42857142857144</v>
      </c>
      <c r="OU27" s="7">
        <f>IFERROR(AVERAGEIF('Данные 2st'!$Q$2:$Q$317,$A27,'Данные 2st'!$JJ$2:$JJ$317),"")</f>
        <v>371.14285714285717</v>
      </c>
      <c r="OV27" s="7">
        <f>IFERROR(AVERAGEIF('Данные 2st'!$Q$2:$Q$317,$A27,'Данные 2st'!$JK$2:$JK$317),"")</f>
        <v>273</v>
      </c>
      <c r="OW27" s="7">
        <f>IFERROR(AVERAGEIF('Данные 2st'!$Q$2:$Q$317,$A27,'Данные 2st'!$JL$2:$JL$317),"")</f>
        <v>368</v>
      </c>
      <c r="OX27" s="7">
        <f>IFERROR(AVERAGEIF('Данные 2st'!$Q$2:$Q$317,$A27,'Данные 2st'!$JM$2:$JM$317),"")</f>
        <v>276</v>
      </c>
      <c r="OY27" s="7">
        <f>IFERROR(AVERAGEIF('Данные 2st'!$Q$2:$Q$317,$A27,'Данные 2st'!$JP$2:$JP$317),"")</f>
        <v>201.14285714285714</v>
      </c>
      <c r="OZ27" s="7">
        <f>IFERROR(AVERAGEIF('Данные 2st'!$Q$2:$Q$317,$A27,'Данные 2st'!$JQ$2:$JQ$317),"")</f>
        <v>250.28571428571428</v>
      </c>
      <c r="PA27" s="7">
        <f>IFERROR(AVERAGEIF('Данные 2st'!$Q$2:$Q$317,$A27,'Данные 2st'!$JR$2:$JR$317),"")</f>
        <v>344</v>
      </c>
      <c r="PB27" s="7">
        <f>IFERROR(AVERAGEIF('Данные 2st'!$Q$2:$Q$317,$A27,'Данные 2st'!$JS$2:$JS$317),"")</f>
        <v>248.85714285714286</v>
      </c>
      <c r="PC27" s="7">
        <f>IFERROR(AVERAGEIF('Данные 2st'!$Q$2:$Q$317,$A27,'Данные 2st'!$JT$2:$JT$317),"")</f>
        <v>0</v>
      </c>
      <c r="PD27" s="7">
        <f>IFERROR(AVERAGEIF('Данные 2st'!$Q$2:$Q$317,$A27,'Данные 2st'!$JU$2:$JU$317),"")</f>
        <v>0</v>
      </c>
      <c r="PE27" s="7">
        <f>IFERROR(AVERAGEIF('Данные 2st'!$Q$2:$Q$317,$A27,'Данные 2st'!$JV$2:$JV$317),"")</f>
        <v>323.57142857142856</v>
      </c>
      <c r="PF27" s="7">
        <f>IFERROR(AVERAGEIF('Данные 2st'!$Q$2:$Q$317,$A27,'Данные 2st'!$JW$2:$JW$317),"")</f>
        <v>325.57142857142856</v>
      </c>
      <c r="PG27" s="7">
        <f>IFERROR(AVERAGEIF('Данные 2st'!$Q$2:$Q$317,$A27,'Данные 2st'!$KF$2:$KF$317),"")</f>
        <v>0.17714285714285716</v>
      </c>
      <c r="PH27" s="7">
        <f>IFERROR(AVERAGEIF('Данные 2st'!$Q$2:$Q$317,$A27,'Данные 2st'!$KG$2:$KG$317),"")</f>
        <v>0.1</v>
      </c>
      <c r="PI27" s="7">
        <f>IFERROR(AVERAGEIF('Данные 2st'!$Q$2:$Q$317,$A27,'Данные 2st'!$KM$2:$KM$317),"")</f>
        <v>1.4285714285714286</v>
      </c>
      <c r="PJ27" s="7">
        <f>IFERROR(AVERAGEIF('Данные 2st'!$Q$2:$Q$317,$A27,'Данные 2st'!$KN$2:$KN$317),"")</f>
        <v>1.6</v>
      </c>
      <c r="PK27" s="7">
        <f>IFERROR(AVERAGEIF('Данные 2st'!$Q$2:$Q$317,$A27,'Данные 2st'!$KO$2:$KO$317),"")</f>
        <v>0</v>
      </c>
      <c r="PL27" s="7">
        <f>IFERROR(AVERAGEIF('Данные 2st'!$Q$2:$Q$317,$A27,'Данные 2st'!$KP$2:$KP$317),"")</f>
        <v>0</v>
      </c>
      <c r="PM27" s="7">
        <f>IFERROR(AVERAGEIF('Данные 2st'!$Q$2:$Q$317,$A27,'Данные 2st'!$KQ$2:$KQ$317),"")</f>
        <v>0.9714285714285714</v>
      </c>
      <c r="PN27" s="7">
        <f>IFERROR(AVERAGEIF('Данные 2st'!$Q$2:$Q$317,$A27,'Данные 2st'!$KR$2:$KR$317),"")</f>
        <v>0.9428571428571428</v>
      </c>
      <c r="PO27" s="7">
        <f>IFERROR(AVERAGEIF('Данные 2st'!$Q$2:$Q$317,$A27,'Данные 2st'!$KS$2:$KS$317),"")</f>
        <v>0.05714285714285715</v>
      </c>
      <c r="PP27" s="7">
        <f>IFERROR(AVERAGEIF('Данные 2st'!$Q$2:$Q$317,$A27,'Данные 2st'!$KT$2:$KT$317),"")</f>
        <v>2.7714285714285714</v>
      </c>
      <c r="PQ27" s="7">
        <f>IFERROR(AVERAGEIF('Данные 2st'!$Q$2:$Q$317,$A27,'Данные 2st'!$KU$2:$KU$317),"")</f>
        <v>0</v>
      </c>
      <c r="PR27" s="7">
        <f>IFERROR(AVERAGEIF('Данные 2st'!$Q$2:$Q$317,$A27,'Данные 2st'!$KV$2:$KV$317),"")</f>
        <v>0</v>
      </c>
      <c r="PS27" s="7">
        <f>IFERROR(AVERAGEIF('Данные 2st'!$Q$2:$Q$317,$A27,'Данные 2st'!$KW$2:$KW$317),"")</f>
        <v>1.2</v>
      </c>
      <c r="PT27" s="7">
        <f>IFERROR(AVERAGEIF('Данные 2st'!$Q$2:$Q$317,$A27,'Данные 2st'!$KX$2:$KX$317),"")</f>
        <v>2</v>
      </c>
      <c r="PU27" s="7">
        <f>IFERROR(AVERAGEIF('Данные 2st'!$Q$2:$Q$317,$A27,'Данные 2st'!$KY$2:$KY$317),"")</f>
        <v>0</v>
      </c>
      <c r="PV27" s="7">
        <f>IFERROR(AVERAGEIF('Данные 2st'!$Q$2:$Q$317,$A27,'Данные 2st'!$KZ$2:$KZ$317),"")</f>
        <v>0</v>
      </c>
      <c r="PW27" s="7">
        <f>IFERROR(AVERAGEIF('Данные 2st'!$Q$2:$Q$317,$A27,'Данные 2st'!$LA$2:$LA$317),"")</f>
        <v>0</v>
      </c>
      <c r="PX27" s="7">
        <f>IFERROR(AVERAGEIF('Данные 2st'!$Q$2:$Q$317,$A27,'Данные 2st'!$LB$2:$LB$317),"")</f>
        <v>0</v>
      </c>
      <c r="PY27" s="7">
        <f>IFERROR(AVERAGEIF('Данные 2st'!$Q$2:$Q$317,$A27,'Данные 2st'!$LC$2:$LC$317),"")</f>
        <v>0</v>
      </c>
      <c r="PZ27" s="7">
        <f>IFERROR(AVERAGEIF('Данные 2st'!$Q$2:$Q$317,$A27,'Данные 2st'!$LD$2:$LD$317),"")</f>
        <v>0</v>
      </c>
      <c r="QA27" s="7">
        <f>IFERROR(AVERAGEIF('Данные 2st'!$Q$2:$Q$317,$A27,'Данные 2st'!$LE$2:$LE$317),"")</f>
        <v>0</v>
      </c>
      <c r="QB27" s="7">
        <f>IFERROR(AVERAGEIF('Данные 2st'!$Q$2:$Q$317,$A27,'Данные 2st'!$LF$2:$LF$317),"")</f>
        <v>0</v>
      </c>
      <c r="QC27" s="7">
        <f>IFERROR(AVERAGEIF('Данные 2st'!$Q$2:$Q$317,$A27,'Данные 2st'!$LG$2:$LG$317),"")</f>
        <v>0</v>
      </c>
      <c r="QD27" s="7">
        <f>IFERROR(AVERAGEIF('Данные 2st'!$Q$2:$Q$317,$A27,'Данные 2st'!$LH$2:$LH$317),"")</f>
        <v>3</v>
      </c>
      <c r="QE27" s="7">
        <f>IFERROR(AVERAGEIF('Данные 2st'!$Q$2:$Q$317,$A27,'Данные 2st'!$LJ$2:$LJ$317),"")</f>
        <v>0</v>
      </c>
      <c r="QF27" s="7">
        <f>IFERROR(AVERAGEIF('Данные 2st'!$Q$2:$Q$317,$A27,'Данные 2st'!$LK$2:$LK$317),"")</f>
        <v>5.857142857142857</v>
      </c>
      <c r="QG27" s="7">
        <f>IFERROR(AVERAGEIF('Данные 2st'!$Q$2:$Q$317,$A27,'Данные 2st'!$LL$2:$LL$317),"")</f>
        <v>5.642857142857143</v>
      </c>
      <c r="QH27" s="7">
        <f>IFERROR(AVERAGEIF('Данные 2st'!$Q$2:$Q$317,$A27,'Данные 2st'!$LM$2:$LM$317),"")</f>
        <v>7.357142857142857</v>
      </c>
      <c r="QI27" s="7">
        <f>IFERROR(AVERAGEIF('Данные 2st'!$Q$2:$Q$317,$A27,'Данные 2st'!$LN$2:$LN$317),"")</f>
        <v>0.34285714285714286</v>
      </c>
      <c r="QJ27" s="7">
        <f>IFERROR(AVERAGEIF('Данные 2st'!$Q$2:$Q$317,$A27,'Данные 2st'!$LO$2:$LO$317),"")</f>
        <v>0.7142857142857143</v>
      </c>
      <c r="QK27" s="7">
        <f>IFERROR(AVERAGEIF('Данные 2st'!$Q$2:$Q$317,$A27,'Данные 2st'!$LP$2:$LP$317),"")</f>
        <v>0</v>
      </c>
      <c r="QL27" s="7">
        <f>IFERROR(AVERAGEIF('Данные 2st'!$Q$2:$Q$317,$A27,'Данные 2st'!$LQ$2:$LQ$317),"")</f>
        <v>0</v>
      </c>
      <c r="QM27" s="7">
        <f>IFERROR(AVERAGEIF('Данные 2st'!$Q$2:$Q$317,$A27,'Данные 2st'!$LW$2:$LW$317),"")</f>
        <v>1.6857142857142857</v>
      </c>
      <c r="QN27" s="7">
        <f>IFERROR(AVERAGEIF('Данные 2st'!$Q$2:$Q$317,$A27,'Данные 2st'!$LX$2:$LX$317),"")</f>
        <v>1.6857142857142857</v>
      </c>
      <c r="QO27" s="7">
        <f>IFERROR(AVERAGEIF('Данные 2st'!$Q$2:$Q$317,$A27,'Данные 2st'!$LY$2:$LY$317),"")</f>
        <v>2.1285714285714286</v>
      </c>
      <c r="QP27" s="7">
        <f>IFERROR(AVERAGEIF('Данные 2st'!$Q$2:$Q$317,$A27,'Данные 2st'!$LZ$2:$LZ$317),"")</f>
        <v>2.1285714285714286</v>
      </c>
      <c r="QQ27" s="7">
        <f>IFERROR(AVERAGEIF('Данные 2st'!$Q$2:$Q$317,$A27,'Данные 2st'!$MB$2:$MB$317),"")</f>
        <v>5.285714285714286</v>
      </c>
      <c r="QR27" s="7">
        <f>IFERROR(AVERAGEIF('Данные 2st'!$Q$2:$Q$317,$A27,'Данные 2st'!$MG$2:$MG$317),"")</f>
        <v/>
      </c>
      <c r="QS27" s="7">
        <f>IFERROR(AVERAGEIF('Данные 2st'!$Q$2:$Q$317,$A27,'Данные 2st'!$MH$2:$MH$317),"")</f>
        <v/>
      </c>
      <c r="QT27" s="7">
        <f>IFERROR(AVERAGEIF('Данные 2st'!$Q$2:$Q$317,$A27,'Данные 2st'!$MI$2:$MI$317),"")</f>
        <v>0</v>
      </c>
      <c r="QU27" s="7">
        <f>IFERROR(AVERAGEIF('Данные 2st'!$Q$2:$Q$317,$A27,'Данные 2st'!$MJ$2:$MJ$317),"")</f>
        <v>0</v>
      </c>
      <c r="QV27" s="7">
        <f>IFERROR(AVERAGEIF('Данные 2st'!$Q$2:$Q$317,$A27,'Данные 2st'!$MK$2:$MK$317),"")</f>
        <v/>
      </c>
      <c r="QW27" s="7">
        <f>IFERROR(AVERAGEIF('Данные 2st'!$Q$2:$Q$317,$A27,'Данные 2st'!$MM$2:$MM$317),"")</f>
        <v>422.2857142857143</v>
      </c>
      <c r="QX27" s="7">
        <f>IFERROR(AVERAGEIF('Данные 2st'!$Q$2:$Q$317,$A27,'Данные 2st'!$MQ$2:$MQ$317),"")</f>
        <v/>
      </c>
      <c r="QY27" s="7">
        <f>IFERROR(AVERAGEIF('Данные 2st'!$Q$2:$Q$317,$A27,'Данные 2st'!$MR$2:$MR$317),"")</f>
        <v/>
      </c>
      <c r="QZ27" s="7">
        <f>IFERROR(AVERAGEIF('Данные 2st'!$Q$2:$Q$317,$A27,'Данные 2st'!$MS$2:$MS$317),"")</f>
        <v/>
      </c>
      <c r="RA27" s="7">
        <f>IFERROR(AVERAGEIF('Данные 2st'!$Q$2:$Q$317,$A27,'Данные 2st'!$MT$2:$MT$317),"")</f>
        <v/>
      </c>
      <c r="RB27" s="7">
        <f>IFERROR(AVERAGEIF('Данные 2st'!$Q$2:$Q$317,$A27,'Данные 2st'!$MU$2:$MU$317),"")</f>
        <v/>
      </c>
      <c r="RC27" s="7">
        <f>IFERROR(AVERAGEIF('Данные 2st'!$Q$2:$Q$317,$A27,'Данные 2st'!$MV$2:$MV$317),"")</f>
        <v/>
      </c>
      <c r="RD27" s="7">
        <f>IFERROR(AVERAGEIF('Данные 2st'!$Q$2:$Q$317,$A27,'Данные 2st'!$MW$2:$MW$317),"")</f>
        <v/>
      </c>
      <c r="RE27" s="7">
        <f>IFERROR(AVERAGEIF('Данные 2st'!$Q$2:$Q$317,$A27,'Данные 2st'!$MX$2:$MX$317),"")</f>
        <v/>
      </c>
      <c r="RF27" s="7">
        <f>IFERROR(AVERAGEIF('Данные 2st'!$Q$2:$Q$317,$A27,'Данные 2st'!$MY$2:$MY$317),"")</f>
        <v/>
      </c>
      <c r="RG27" s="7">
        <f>IFERROR(AVERAGEIF('Данные 2st'!$Q$2:$Q$317,$A27,'Данные 2st'!$MZ$2:$MZ$317),"")</f>
        <v/>
      </c>
      <c r="RH27" s="7">
        <f>IFERROR(AVERAGEIF('Данные 2st'!$Q$2:$Q$317,$A27,'Данные 2st'!$NA$2:$NA$317),"")</f>
        <v/>
      </c>
      <c r="RI27" s="7">
        <f>IFERROR(AVERAGEIF('Данные 2st'!$Q$2:$Q$317,$A27,'Данные 2st'!$NB$2:$NB$317),"")</f>
        <v/>
      </c>
      <c r="RJ27" s="7">
        <f>IFERROR(AVERAGEIF('Данные 2st'!$Q$2:$Q$317,$A27,'Данные 2st'!$NC$2:$NC$317),"")</f>
        <v/>
      </c>
      <c r="RK27" s="7">
        <f>IFERROR(AVERAGEIF('Данные 2st'!$Q$2:$Q$317,$A27,'Данные 2st'!$ND$2:$ND$317),"")</f>
        <v/>
      </c>
      <c r="RL27" s="7">
        <f>IFERROR(AVERAGEIF('Данные 2st'!$Q$2:$Q$317,$A27,'Данные 2st'!$NE$2:$NE$317),"")</f>
        <v/>
      </c>
      <c r="RM27" s="7">
        <f>IFERROR(AVERAGEIF('Данные 2st'!$Q$2:$Q$317,$A27,'Данные 2st'!$NF$2:$NF$317),"")</f>
        <v/>
      </c>
      <c r="RN27" s="7">
        <f>IFERROR(AVERAGEIF('Данные 2st'!$Q$2:$Q$317,$A27,'Данные 2st'!$NG$2:$NG$317),"")</f>
        <v/>
      </c>
      <c r="RO27" s="7">
        <f>IFERROR(AVERAGEIF('Данные 2st'!$Q$2:$Q$317,$A27,'Данные 2st'!$NH$2:$NH$317),"")</f>
        <v>0</v>
      </c>
      <c r="RP27" s="7">
        <f>IFERROR(AVERAGEIF('Данные 2st'!$Q$2:$Q$317,$A27,'Данные 2st'!$NJ$2:$NJ$317),"")</f>
        <v>0</v>
      </c>
      <c r="RQ27" s="7">
        <f>IFERROR(AVERAGEIF('Данные 2st'!$Q$2:$Q$317,$A27,'Данные 2st'!$NK$2:$NK$317),"")</f>
        <v>0</v>
      </c>
      <c r="RR27" s="7">
        <f>IFERROR(AVERAGEIF('Данные 2st'!$Q$2:$Q$317,$A27,'Данные 2st'!$NM$2:$NM$317),"")</f>
        <v>0</v>
      </c>
      <c r="RS27" s="7">
        <f>IFERROR(AVERAGEIF('Данные 2st'!$Q$2:$Q$317,$A27,'Данные 2st'!$NN$2:$NN$317),"")</f>
        <v/>
      </c>
      <c r="RT27" s="7">
        <f>IFERROR(AVERAGEIF('Данные 2st'!$Q$2:$Q$317,$A27,'Данные 2st'!$NO$2:$NO$317),"")</f>
        <v/>
      </c>
      <c r="RU27" s="7">
        <f>IFERROR(AVERAGEIF('Данные 2st'!$Q$2:$Q$317,$A27,'Данные 2st'!$NP$2:$NP$317),"")</f>
        <v/>
      </c>
      <c r="RV27" s="7">
        <f>IFERROR(AVERAGEIF('Данные 2st'!$Q$2:$Q$317,$A27,'Данные 2st'!$NQ$2:$NQ$317),"")</f>
        <v/>
      </c>
      <c r="RW27" s="7">
        <f>IFERROR(AVERAGEIF('Данные 2st'!$Q$2:$Q$317,$A27,'Данные 2st'!$NR$2:$NR$317),"")</f>
        <v/>
      </c>
      <c r="RX27" s="7">
        <f>IFERROR(AVERAGEIF('Данные 2st'!$Q$2:$Q$317,$A27,'Данные 2st'!$NS$2:$NS$317),"")</f>
        <v/>
      </c>
      <c r="RY27" s="7">
        <f>IFERROR(AVERAGEIF('Данные 2st'!$Q$2:$Q$317,$A27,'Данные 2st'!$NT$2:$NT$317),"")</f>
        <v/>
      </c>
      <c r="RZ27" s="7">
        <f>IFERROR(AVERAGEIF('Данные 2st'!$Q$2:$Q$317,$A27,'Данные 2st'!$OK$2:$OK$317),"")</f>
        <v>61</v>
      </c>
      <c r="SA27" s="7">
        <f>IFERROR(AVERAGEIF('Данные 2st'!$Q$2:$Q$317,$A27,'Данные 2st'!$OL$2:$OL$317),"")</f>
        <v>61</v>
      </c>
      <c r="SB27" s="7">
        <f>IFERROR(AVERAGEIF('Данные 2st'!$Q$2:$Q$317,$A27,'Данные 2st'!$ON$2:$ON$317),"")</f>
        <v>2.142857142857143</v>
      </c>
      <c r="SC27" s="7">
        <f>IFERROR(AVERAGEIF('Данные 2st'!$Q$2:$Q$317,$A27,'Данные 2st'!$OO$2:$OO$317),"")</f>
        <v>2015.142857142857</v>
      </c>
      <c r="SD27" s="7">
        <f>IFERROR(AVERAGEIF('Данные 2st'!$Q$2:$Q$317,$A27,'Данные 2st'!$OP$2:$OP$317),"")</f>
        <v>61</v>
      </c>
      <c r="SE27" s="7">
        <f>IFERROR(AVERAGEIF('Данные 2st'!$Q$2:$Q$317,$A27,'Данные 2st'!$OQ$2:$OQ$317),"")</f>
        <v>61</v>
      </c>
      <c r="SF27" s="7">
        <f>IFERROR(AVERAGEIF('Данные 2st'!$Q$2:$Q$317,$A27,'Данные 2st'!$OS$2:$OS$317),"")</f>
        <v>2.142857142857143</v>
      </c>
      <c r="SG27" s="7">
        <f>IFERROR(AVERAGEIF('Данные 2st'!$Q$2:$Q$317,$A27,'Данные 2st'!$OT$2:$OT$317),"")</f>
        <v>2024.2857142857142</v>
      </c>
      <c r="SH27" s="7">
        <f>IFERROR(AVERAGEIF('Данные 2st'!$Q$2:$Q$317,$A27,'Данные 2st'!$OU$2:$OU$317),"")</f>
        <v>65</v>
      </c>
      <c r="SI27" s="7">
        <f>IFERROR(AVERAGEIF('Данные 2st'!$Q$2:$Q$317,$A27,'Данные 2st'!$OV$2:$OV$317),"")</f>
        <v>65</v>
      </c>
      <c r="SJ27" s="7">
        <f>IFERROR(AVERAGEIF('Данные 2st'!$Q$2:$Q$317,$A27,'Данные 2st'!$OX$2:$OX$317),"")</f>
        <v>1.5714285714285714</v>
      </c>
      <c r="SK27" s="7">
        <f>IFERROR(AVERAGEIF('Данные 2st'!$Q$2:$Q$317,$A27,'Данные 2st'!$OY$2:$OY$317),"")</f>
        <v>36427.42857142857</v>
      </c>
      <c r="SL27" s="7">
        <f>IFERROR(AVERAGEIF('Данные 2st'!$Q$2:$Q$317,$A27,'Данные 2st'!$OZ$2:$OZ$317),"")</f>
        <v>51</v>
      </c>
      <c r="SM27" s="7">
        <f>IFERROR(AVERAGEIF('Данные 2st'!$Q$2:$Q$317,$A27,'Данные 2st'!$PA$2:$PA$317),"")</f>
        <v>51.42857142857143</v>
      </c>
      <c r="SN27" s="7">
        <f>IFERROR(AVERAGEIF('Данные 2st'!$Q$2:$Q$317,$A27,'Данные 2st'!$PC$2:$PC$317),"")</f>
        <v>2.5714285714285716</v>
      </c>
      <c r="SO27" s="7">
        <f>IFERROR(AVERAGEIF('Данные 2st'!$Q$2:$Q$317,$A27,'Данные 2st'!$PD$2:$PD$317),"")</f>
        <v>2055.8571428571427</v>
      </c>
      <c r="SP27" s="7">
        <f>IFERROR(AVERAGEIF('Данные 2st'!$Q$2:$Q$317,$A27,'Данные 2st'!$PF$2:$PF$317),"")</f>
        <v>348.14285714285717</v>
      </c>
      <c r="SQ27" s="7">
        <f>IFERROR(AVERAGEIF('Данные 2st'!$Q$2:$Q$317,$A27,'Данные 2st'!$PG$2:$PG$317),"")</f>
        <v>31.571428571428573</v>
      </c>
      <c r="SR27" s="7">
        <f>IFERROR(AVERAGEIF('Данные 2st'!$Q$2:$Q$317,$A27,'Данные 2st'!$PH$2:$PH$317),"")</f>
        <v>328.42857142857144</v>
      </c>
      <c r="SS27" s="7">
        <f>IFERROR(AVERAGEIF('Данные 2st'!$Q$2:$Q$317,$A27,'Данные 2st'!$PI$2:$PI$317),"")</f>
        <v>16.571428571428573</v>
      </c>
      <c r="ST27" s="7">
        <f>IFERROR(AVERAGEIF('Данные 2st'!$Q$2:$Q$317,$A27,'Данные 2st'!$PJ$2:$PJ$317),"")</f>
        <v>78.11428571428571</v>
      </c>
      <c r="SU27" s="7">
        <f>IFERROR(AVERAGEIF('Данные 2st'!$Q$2:$Q$317,$A27,'Данные 2st'!$PK$2:$PK$317),"")</f>
        <v>1869.1666666666667</v>
      </c>
      <c r="SV27" s="7">
        <f>IFERROR(AVERAGEIF('Данные 2st'!$Q$2:$Q$317,$A27,'Данные 2st'!$PL$2:$PL$317),"")</f>
        <v>1065.0142857142857</v>
      </c>
      <c r="SW27" s="7">
        <f>IFERROR(AVERAGEIF('Данные 2st'!$Q$2:$Q$317,$A27,'Данные 2st'!$PM$2:$PM$317),"")</f>
        <v>556.6571428571428</v>
      </c>
      <c r="SX27" s="7">
        <f>IFERROR(AVERAGEIF('Данные 2st'!$Q$2:$Q$317,$A27,'Данные 2st'!$PN$2:$PN$317),"")</f>
        <v>90.81428571428572</v>
      </c>
      <c r="SY27" s="7">
        <f>IFERROR(AVERAGEIF('Данные 2st'!$Q$2:$Q$317,$A27,'Данные 2st'!$PO$2:$PO$317),"")</f>
        <v>8.700000000000001</v>
      </c>
      <c r="SZ27" s="7">
        <f>IFERROR(AVERAGEIF('Данные 2st'!$Q$2:$Q$317,$A27,'Данные 2st'!$PP$2:$PP$317),"")</f>
        <v>11.714285714285714</v>
      </c>
      <c r="TA27" s="7">
        <f>IFERROR(AVERAGEIF('Данные 2st'!$Q$2:$Q$317,$A27,'Данные 2st'!$PQ$2:$PQ$317),"")</f>
        <v>3</v>
      </c>
      <c r="TB27" s="7">
        <f>IFERROR(AVERAGEIF('Данные 2st'!$Q$2:$Q$317,$A27,'Данные 2st'!$PR$2:$PR$317),"")</f>
        <v>3</v>
      </c>
      <c r="TC27" s="7">
        <f>IFERROR(AVERAGEIF('Данные 2st'!$Q$2:$Q$317,$A27,'Данные 2st'!$PS$2:$PS$317),"")</f>
        <v>4.571428571428571</v>
      </c>
      <c r="TD27" s="7">
        <f>IFERROR(AVERAGEIF('Данные 2st'!$Q$2:$Q$317,$A27,'Данные 2st'!$PT$2:$PT$317),"")</f>
        <v>220</v>
      </c>
      <c r="TE27" s="7">
        <f>IFERROR(AVERAGEIF('Данные 2st'!$Q$2:$Q$317,$A27,'Данные 2st'!$PU$2:$PU$317),"")</f>
        <v>10</v>
      </c>
      <c r="TF27" s="7">
        <f>IFERROR(AVERAGEIF('Данные 2st'!$Q$2:$Q$317,$A27,'Данные 2st'!$PX$2:$PX$317),"")</f>
        <v>0</v>
      </c>
      <c r="TG27" s="7">
        <f>IFERROR(AVERAGEIF('Данные 2st'!$Q$2:$Q$317,$A27,'Данные 2st'!$PY$2:$PY$317),"")</f>
        <v>0</v>
      </c>
      <c r="TH27" s="7">
        <f>IFERROR(AVERAGEIF('Данные 2st'!$Q$2:$Q$317,$A27,'Данные 2st'!$PZ$2:$PZ$317),"")</f>
        <v>0</v>
      </c>
      <c r="TI27" s="7">
        <f>IFERROR(AVERAGEIF('Данные 2st'!$Q$2:$Q$317,$A27,'Данные 2st'!$QA$2:$QA$317),"")</f>
        <v>0</v>
      </c>
      <c r="TJ27" s="7">
        <f>IFERROR(AVERAGEIF('Данные 2st'!$Q$2:$Q$317,$A27,'Данные 2st'!$QB$2:$QB$317),"")</f>
        <v>0</v>
      </c>
      <c r="TK27" s="7">
        <f>IFERROR(AVERAGEIF('Данные 2st'!$Q$2:$Q$317,$A27,'Данные 2st'!$QC$2:$QC$317),"")</f>
        <v>0</v>
      </c>
      <c r="TL27" s="7">
        <f>IFERROR(AVERAGEIF('Данные 2st'!$Q$2:$Q$317,$A27,'Данные 2st'!$QD$2:$QD$317),"")</f>
        <v>0</v>
      </c>
      <c r="TM27" s="7">
        <f>IFERROR(AVERAGEIF('Данные 2st'!$Q$2:$Q$317,$A27,'Данные 2st'!$QE$2:$QE$317),"")</f>
        <v>-1</v>
      </c>
      <c r="TN27" s="7">
        <f>IFERROR(AVERAGEIF('Данные 2st'!$Q$2:$Q$317,$A27,'Данные 2st'!$QF$2:$QF$317),"")</f>
        <v>1</v>
      </c>
      <c r="TO27" s="7">
        <f>IFERROR(AVERAGEIF('Данные 2st'!$Q$2:$Q$317,$A27,'Данные 2st'!$QG$2:$QG$317),"")</f>
        <v>0</v>
      </c>
      <c r="TP27" s="7">
        <f>IFERROR(AVERAGEIF('Данные 2st'!$Q$2:$Q$317,$A27,'Данные 2st'!$QH$2:$QH$317),"")</f>
        <v>5</v>
      </c>
      <c r="TQ27" s="7">
        <f>IFERROR(AVERAGEIF('Данные 2st'!$Q$2:$Q$317,$A27,'Данные 2st'!$QI$2:$QI$317),"")</f>
        <v>5</v>
      </c>
      <c r="TR27" s="7">
        <f>IFERROR(AVERAGEIF('Данные 2st'!$Q$2:$Q$317,$A27,'Данные 2st'!$QJ$2:$QJ$317),"")</f>
        <v>5</v>
      </c>
      <c r="TS27" s="7">
        <f>IFERROR(AVERAGEIF('Данные 2st'!$Q$2:$Q$317,$A27,'Данные 2st'!$QK$2:$QK$317),"")</f>
        <v>198.57142857142858</v>
      </c>
      <c r="TT27" s="7">
        <f>IFERROR(AVERAGEIF('Данные 2st'!$Q$2:$Q$317,$A27,'Данные 2st'!$QL$2:$QL$317),"")</f>
        <v>434.57142857142856</v>
      </c>
      <c r="TU27" s="7">
        <f>IFERROR(AVERAGEIF('Данные 2st'!$Q$2:$Q$317,$A27,'Данные 2st'!$QM$2:$QM$317),"")</f>
        <v>7.5</v>
      </c>
      <c r="TV27" s="7">
        <f>IFERROR(AVERAGEIF('Данные 2st'!$Q$2:$Q$317,$A27,'Данные 2st'!$QN$2:$QN$317),"")</f>
        <v>1283.642857142857</v>
      </c>
      <c r="TW27" s="7">
        <f>IFERROR(AVERAGEIF('Данные 2st'!$Q$2:$Q$317,$A27,'Данные 2st'!$QQ$2:$QQ$317),"")</f>
        <v>0</v>
      </c>
      <c r="TX27" s="7">
        <f>IFERROR(AVERAGEIF('Данные 2st'!$Q$2:$Q$317,$A27,'Данные 2st'!$QS$2:$QS$317),"")</f>
        <v>31.428571428571427</v>
      </c>
      <c r="TY27" s="7">
        <f>IFERROR(AVERAGEIF('Данные 2st'!$Q$2:$Q$317,$A27,'Данные 2st'!$QT$2:$QT$317),"")</f>
        <v>41.42857142857143</v>
      </c>
    </row>
    <row r="28" spans="1:545" ht="32" customHeight="1">
      <c r="A28" s="11" t="s">
        <v>1201</v>
      </c>
      <c r="B28">
        <f>COUNTIF('Данные 1st'!$S$2:$S$317,$A28)</f>
        <v>3</v>
      </c>
      <c r="C28" s="6" t="s">
        <v>5095</v>
      </c>
      <c r="D28" s="6" t="s">
        <v>513</v>
      </c>
      <c r="E28" s="6" t="s">
        <v>5125</v>
      </c>
      <c r="F28" s="6" t="s">
        <v>5150</v>
      </c>
      <c r="G28" s="7">
        <f>IFERROR(AVERAGEIF('Данные 1st'!$S$2:$S$317,$A28,'Данные 1st'!$AE$2:$AE$317),"")</f>
        <v>195</v>
      </c>
      <c r="H28" s="7">
        <f>IFERROR(AVERAGEIF('Данные 1st'!$S$2:$S$317,$A28,'Данные 1st'!$AF$2:$AF$317),"")</f>
        <v>1.5</v>
      </c>
      <c r="I28" s="7">
        <f>IFERROR(AVERAGEIF('Данные 1st'!$S$2:$S$317,$A28,'Данные 1st'!$AJ$2:$AJ$317),"")</f>
        <v>206.66666666666666</v>
      </c>
      <c r="J28" s="7">
        <f>IFERROR(AVERAGEIF('Данные 1st'!$S$2:$S$317,$A28,'Данные 1st'!$AL$2:$AL$317),"")</f>
        <v>1.5</v>
      </c>
      <c r="K28" s="7">
        <f>IFERROR(AVERAGEIF('Данные 1st'!$S$2:$S$317,$A28,'Данные 1st'!$AR$2:$AR$317),"")</f>
        <v>0</v>
      </c>
      <c r="L28" s="7">
        <f>IFERROR(AVERAGEIF('Данные 1st'!$S$2:$S$317,$A28,'Данные 1st'!$AS$2:$AS$317),"")</f>
        <v>1.5</v>
      </c>
      <c r="M28" s="7">
        <f>IFERROR(AVERAGEIF('Данные 1st'!$S$2:$S$317,$A28,'Данные 1st'!$AY$2:$AY$317),"")</f>
        <v>295.0</v>
      </c>
      <c r="N28" s="7">
        <f>IFERROR(AVERAGEIF('Данные 1st'!$S$2:$S$317,$A28,'Данные 1st'!$AZ$2:$AZ$317),"")</f>
        <v>1.5</v>
      </c>
      <c r="O28" s="7">
        <f>IFERROR(AVERAGEIF('Данные 1st'!$S$2:$S$317,$A28,'Данные 1st'!$BF$2:$BF$317),"")</f>
        <v>237.5</v>
      </c>
      <c r="P28" s="7">
        <f>IFERROR(AVERAGEIF('Данные 1st'!$S$2:$S$317,$A28,'Данные 1st'!$BG$2:$BG$317),"")</f>
        <v>1.5</v>
      </c>
      <c r="Q28" s="7">
        <f>IFERROR(AVERAGEIF('Данные 1st'!$S$2:$S$317,$A28,'Данные 1st'!$BM$2:$BM$317),"")</f>
        <v/>
      </c>
      <c r="R28" s="7">
        <f>IFERROR(AVERAGEIF('Данные 1st'!$S$2:$S$317,$A28,'Данные 1st'!$BN$2:$BN$317),"")</f>
        <v>1.5</v>
      </c>
      <c r="S28" s="7">
        <f>IFERROR(AVERAGEIF('Данные 1st'!$S$2:$S$317,$A28,'Данные 1st'!$BT$2:$BT$317),"")</f>
        <v>217.33333333333334</v>
      </c>
      <c r="T28" s="7">
        <f>IFERROR(AVERAGEIF('Данные 1st'!$S$2:$S$317,$A28,'Данные 1st'!$BU$2:$BU$317),"")</f>
        <v>0.5</v>
      </c>
      <c r="U28" s="7">
        <f>IFERROR(AVERAGEIF('Данные 1st'!$S$2:$S$317,$A28,'Данные 1st'!$BW$2:$BW$317),"")</f>
        <v>434.6666666666667</v>
      </c>
      <c r="V28" s="7">
        <f>IFERROR(AVERAGEIF('Данные 1st'!$S$2:$S$317,$A28,'Данные 1st'!$BX$2:$BX$317),"")</f>
        <v>1</v>
      </c>
      <c r="W28" s="7">
        <f>IFERROR(AVERAGEIF('Данные 1st'!$S$2:$S$317,$A28,'Данные 1st'!$BZ$2:$BZ$317),"")</f>
        <v>300</v>
      </c>
      <c r="X28" s="7">
        <f>IFERROR(AVERAGEIF('Данные 1st'!$S$2:$S$317,$A28,'Данные 1st'!$CA$2:$CA$317),"")</f>
        <v>500</v>
      </c>
      <c r="Y28" s="7">
        <f>IFERROR(AVERAGEIF('Данные 1st'!$S$2:$S$317,$A28,'Данные 1st'!$CD$2:$CD$317),"")</f>
        <v>457.6666666666667</v>
      </c>
      <c r="Z28" s="7">
        <f>IFERROR(AVERAGEIF('Данные 1st'!$S$2:$S$317,$A28,'Данные 1st'!$CF$2:$CF$317),"")</f>
        <v>15</v>
      </c>
      <c r="AA28" s="7">
        <f>IFERROR(AVERAGEIF('Данные 1st'!$S$2:$S$317,$A28,'Данные 1st'!$CI$2:$CI$317),"")</f>
        <v>100</v>
      </c>
      <c r="AB28" s="7">
        <f>IFERROR(AVERAGEIF('Данные 1st'!$S$2:$S$317,$A28,'Данные 1st'!$CJ$2:$CJ$317),"")</f>
        <v>1301</v>
      </c>
      <c r="AC28" s="7">
        <f>IFERROR(AVERAGEIF('Данные 1st'!$S$2:$S$317,$A28,'Данные 1st'!$CK$2:$CK$317),"")</f>
        <v>2</v>
      </c>
      <c r="AD28" s="7">
        <f>IFERROR(AVERAGEIF('Данные 1st'!$S$2:$S$317,$A28,'Данные 1st'!$CL$2:$CL$317),"")</f>
        <v>1395</v>
      </c>
      <c r="AE28" s="7">
        <f>IFERROR(AVERAGEIF('Данные 1st'!$S$2:$S$317,$A28,'Данные 1st'!$CM$2:$CM$317),"")</f>
        <v>2</v>
      </c>
      <c r="AF28" s="7">
        <f>IFERROR(AVERAGEIF('Данные 1st'!$S$2:$S$317,$A28,'Данные 1st'!$CT$2:$CT$317),"")</f>
        <v>413.3333333333333</v>
      </c>
      <c r="AG28" s="7">
        <f>IFERROR(AVERAGEIF('Данные 1st'!$S$2:$S$317,$A28,'Данные 1st'!$CU$2:$CU$317),"")</f>
        <v>5</v>
      </c>
      <c r="AH28" s="7">
        <f>IFERROR(AVERAGEIF('Данные 1st'!$S$2:$S$317,$A28,'Данные 1st'!$CV$2:$CV$317),"")</f>
        <v>1.2333333333333334</v>
      </c>
      <c r="AI28" s="7">
        <f>IFERROR(AVERAGEIF('Данные 1st'!$S$2:$S$317,$A28,'Данные 1st'!$CW$2:$CW$317),"")</f>
        <v>1315.6666666666667</v>
      </c>
      <c r="AJ28" s="7">
        <f>IFERROR(AVERAGEIF('Данные 1st'!$S$2:$S$317,$A28,'Данные 1st'!$CX$2:$CX$317),"")</f>
        <v>792.6666666666666</v>
      </c>
      <c r="AK28" s="7">
        <f>IFERROR(AVERAGEIF('Данные 1st'!$S$2:$S$317,$A28,'Данные 1st'!$CZ$2:$CZ$317),"")</f>
        <v/>
      </c>
      <c r="AL28" s="7">
        <f>IFERROR(AVERAGEIF('Данные 1st'!$S$2:$S$317,$A28,'Данные 1st'!$DA$2:$DA$317),"")</f>
        <v/>
      </c>
      <c r="AM28" s="7">
        <f>IFERROR(AVERAGEIF('Данные 1st'!$S$2:$S$317,$A28,'Данные 1st'!$DB$2:$DB$317),"")</f>
        <v/>
      </c>
      <c r="AN28" s="7">
        <f>IFERROR(AVERAGEIF('Данные 1st'!$S$2:$S$317,$A28,'Данные 1st'!$DC$2:$DC$317),"")</f>
        <v/>
      </c>
      <c r="AO28" s="7">
        <f>IFERROR(AVERAGEIF('Данные 1st'!$S$2:$S$317,$A28,'Данные 1st'!$DD$2:$DD$317),"")</f>
        <v>0</v>
      </c>
      <c r="AP28" s="7">
        <f>IFERROR(AVERAGEIF('Данные 1st'!$S$2:$S$317,$A28,'Данные 1st'!$DF$2:$DF$317),"")</f>
        <v>590</v>
      </c>
      <c r="AQ28" s="7">
        <f>IFERROR(AVERAGEIF('Данные 1st'!$S$2:$S$317,$A28,'Данные 1st'!$DG$2:$DG$317),"")</f>
        <v>3</v>
      </c>
      <c r="AR28" s="7">
        <f>IFERROR(AVERAGEIF('Данные 1st'!$S$2:$S$317,$A28,'Данные 1st'!$DH$2:$DH$317),"")</f>
        <v>0.9933333333333333</v>
      </c>
      <c r="AS28" s="7">
        <f>IFERROR(AVERAGEIF('Данные 1st'!$S$2:$S$317,$A28,'Данные 1st'!$DI$2:$DI$317),"")</f>
        <v>1311.3333333333333</v>
      </c>
      <c r="AT28" s="7">
        <f>IFERROR(AVERAGEIF('Данные 1st'!$S$2:$S$317,$A28,'Данные 1st'!$DJ$2:$DJ$317),"")</f>
        <v>1024.3333333333333</v>
      </c>
      <c r="AU28" s="7">
        <f>IFERROR(AVERAGEIF('Данные 1st'!$S$2:$S$317,$A28,'Данные 1st'!$DL$2:$DL$317),"")</f>
        <v>475</v>
      </c>
      <c r="AV28" s="7">
        <f>IFERROR(AVERAGEIF('Данные 1st'!$S$2:$S$317,$A28,'Данные 1st'!$DM$2:$DM$317),"")</f>
        <v>3</v>
      </c>
      <c r="AW28" s="7">
        <f>IFERROR(AVERAGEIF('Данные 1st'!$S$2:$S$317,$A28,'Данные 1st'!$DN$2:$DN$317),"")</f>
        <v>0.88</v>
      </c>
      <c r="AX28" s="7">
        <f>IFERROR(AVERAGEIF('Данные 1st'!$S$2:$S$317,$A28,'Данные 1st'!$DO$2:$DO$317),"")</f>
        <v>1316</v>
      </c>
      <c r="AY28" s="7">
        <f>IFERROR(AVERAGEIF('Данные 1st'!$S$2:$S$317,$A28,'Данные 1st'!$DP$2:$DP$317),"")</f>
        <v>706</v>
      </c>
      <c r="AZ28" s="7">
        <f>IFERROR(AVERAGEIF('Данные 1st'!$S$2:$S$317,$A28,'Данные 1st'!$DR$2:$DR$317),"")</f>
        <v/>
      </c>
      <c r="BA28" s="7">
        <f>IFERROR(AVERAGEIF('Данные 1st'!$S$2:$S$317,$A28,'Данные 1st'!$DS$2:$DS$317),"")</f>
        <v/>
      </c>
      <c r="BB28" s="7">
        <f>IFERROR(AVERAGEIF('Данные 1st'!$S$2:$S$317,$A28,'Данные 1st'!$DT$2:$DT$317),"")</f>
        <v/>
      </c>
      <c r="BC28" s="7">
        <f>IFERROR(AVERAGEIF('Данные 1st'!$S$2:$S$317,$A28,'Данные 1st'!$DU$2:$DU$317),"")</f>
        <v/>
      </c>
      <c r="BD28" s="7">
        <f>IFERROR(AVERAGEIF('Данные 1st'!$S$2:$S$317,$A28,'Данные 1st'!$DV$2:$DV$317),"")</f>
        <v/>
      </c>
      <c r="BE28" s="7">
        <f>IFERROR(AVERAGEIF('Данные 1st'!$S$2:$S$317,$A28,'Данные 1st'!$DX$2:$DX$317),"")</f>
        <v>7.5</v>
      </c>
      <c r="BF28" s="7">
        <f>IFERROR(AVERAGEIF('Данные 1st'!$S$2:$S$317,$A28,'Данные 1st'!$EA$2:$EA$317),"")</f>
        <v>1383.0</v>
      </c>
      <c r="BG28" s="7">
        <f>IFERROR(AVERAGEIF('Данные 1st'!$S$2:$S$317,$A28,'Данные 1st'!$EB$2:$EB$317),"")</f>
        <v>255.33333333333334</v>
      </c>
      <c r="BH28" s="7">
        <f>IFERROR(AVERAGEIF('Данные 1st'!$S$2:$S$317,$A28,'Данные 1st'!$ED$2:$ED$317),"")</f>
        <v>36.666666666666664</v>
      </c>
      <c r="BI28" s="7">
        <f>IFERROR(AVERAGEIF('Данные 1st'!$S$2:$S$317,$A28,'Данные 1st'!$EE$2:$EE$317),"")</f>
        <v>3</v>
      </c>
      <c r="BJ28" s="7">
        <f>IFERROR(AVERAGEIF('Данные 1st'!$S$2:$S$317,$A28,'Данные 1st'!$EG$2:$EG$317),"")</f>
        <v>1423.6666666666667</v>
      </c>
      <c r="BK28" s="7">
        <f>IFERROR(AVERAGEIF('Данные 1st'!$S$2:$S$317,$A28,'Данные 1st'!$EH$2:$EH$317),"")</f>
        <v>209</v>
      </c>
      <c r="BL28" s="7">
        <f>IFERROR(AVERAGEIF('Данные 1st'!$S$2:$S$317,$A28,'Данные 1st'!$EJ$2:$EJ$317),"")</f>
        <v>0</v>
      </c>
      <c r="BM28" s="7">
        <f>IFERROR(AVERAGEIF('Данные 1st'!$S$2:$S$317,$A28,'Данные 1st'!$EK$2:$EK$317),"")</f>
        <v>1</v>
      </c>
      <c r="BN28" s="7">
        <f>IFERROR(AVERAGEIF('Данные 1st'!$S$2:$S$317,$A28,'Данные 1st'!$EN$2:$EN$317),"")</f>
        <v>0</v>
      </c>
      <c r="BO28" s="7">
        <f>IFERROR(AVERAGEIF('Данные 1st'!$S$2:$S$317,$A28,'Данные 1st'!$EQ$2:$EQ$317),"")</f>
        <v>125</v>
      </c>
      <c r="BP28" s="7">
        <f>IFERROR(AVERAGEIF('Данные 1st'!$S$2:$S$317,$A28,'Данные 1st'!$ER$2:$ER$317),"")</f>
        <v>3</v>
      </c>
      <c r="BQ28" s="7">
        <f>IFERROR(AVERAGEIF('Данные 1st'!$S$2:$S$317,$A28,'Данные 1st'!$ES$2:$ES$317),"")</f>
        <v>5.833333333333333</v>
      </c>
      <c r="BR28" s="7">
        <f>IFERROR(AVERAGEIF('Данные 1st'!$S$2:$S$317,$A28,'Данные 1st'!$ET$2:$ET$317),"")</f>
        <v>1300</v>
      </c>
      <c r="BS28" s="7">
        <f>IFERROR(AVERAGEIF('Данные 1st'!$S$2:$S$317,$A28,'Данные 1st'!$EU$2:$EU$317),"")</f>
        <v>567.8666666666667</v>
      </c>
      <c r="BT28" s="7">
        <f>IFERROR(AVERAGEIF('Данные 1st'!$S$2:$S$317,$A28,'Данные 1st'!$EV$2:$EV$317),"")</f>
        <v>738.3333333333334</v>
      </c>
      <c r="BU28" s="7">
        <f>IFERROR(AVERAGEIF('Данные 1st'!$S$2:$S$317,$A28,'Данные 1st'!$EX$2:$EX$317),"")</f>
        <v>70</v>
      </c>
      <c r="BV28" s="7">
        <f>IFERROR(AVERAGEIF('Данные 1st'!$S$2:$S$317,$A28,'Данные 1st'!$EY$2:$EY$317),"")</f>
        <v>2</v>
      </c>
      <c r="BW28" s="7">
        <f>IFERROR(AVERAGEIF('Данные 1st'!$S$2:$S$317,$A28,'Данные 1st'!$EZ$2:$EZ$317),"")</f>
        <v>4.333333333333333</v>
      </c>
      <c r="BX28" s="7">
        <f>IFERROR(AVERAGEIF('Данные 1st'!$S$2:$S$317,$A28,'Данные 1st'!$FA$2:$FA$317),"")</f>
        <v>1300</v>
      </c>
      <c r="BY28" s="7">
        <f>IFERROR(AVERAGEIF('Данные 1st'!$S$2:$S$317,$A28,'Данные 1st'!$FB$2:$FB$317),"")</f>
        <v>210.46666666666667</v>
      </c>
      <c r="BZ28" s="7">
        <f>IFERROR(AVERAGEIF('Данные 1st'!$S$2:$S$317,$A28,'Данные 1st'!$FC$2:$FC$317),"")</f>
        <v>274</v>
      </c>
      <c r="CA28" s="7">
        <f>IFERROR(AVERAGEIF('Данные 1st'!$S$2:$S$317,$A28,'Данные 1st'!$FE$2:$FE$317),"")</f>
        <v>0</v>
      </c>
      <c r="CB28" s="7">
        <f>IFERROR(AVERAGEIF('Данные 1st'!$S$2:$S$317,$A28,'Данные 1st'!$FF$2:$FF$317),"")</f>
        <v>2</v>
      </c>
      <c r="CC28" s="7">
        <f>IFERROR(AVERAGEIF('Данные 1st'!$S$2:$S$317,$A28,'Данные 1st'!$FI$2:$FI$317),"")</f>
        <v>0</v>
      </c>
      <c r="CD28" s="7">
        <f>IFERROR(AVERAGEIF('Данные 1st'!$S$2:$S$317,$A28,'Данные 1st'!$FL$2:$FL$317),"")</f>
        <v>0.4</v>
      </c>
      <c r="CE28" s="7">
        <f>IFERROR(AVERAGEIF('Данные 1st'!$S$2:$S$317,$A28,'Данные 1st'!$FM$2:$FM$317),"")</f>
        <v>111.66666666666667</v>
      </c>
      <c r="CF28" s="7">
        <f>IFERROR(AVERAGEIF('Данные 1st'!$S$2:$S$317,$A28,'Данные 1st'!$FN$2:$FN$317),"")</f>
        <v>126.66666666666667</v>
      </c>
      <c r="CG28" s="7">
        <f>IFERROR(AVERAGEIF('Данные 1st'!$S$2:$S$317,$A28,'Данные 1st'!$FO$2:$FO$317),"")</f>
        <v>0</v>
      </c>
      <c r="CH28" s="7">
        <f>IFERROR(AVERAGEIF('Данные 1st'!$S$2:$S$317,$A28,'Данные 1st'!$FP$2:$FP$317),"")</f>
        <v>0</v>
      </c>
      <c r="CI28" s="7">
        <f>IFERROR(AVERAGEIF('Данные 1st'!$S$2:$S$317,$A28,'Данные 1st'!$FS$2:$FS$317),"")</f>
        <v>0.4</v>
      </c>
      <c r="CJ28" s="7">
        <f>IFERROR(AVERAGEIF('Данные 1st'!$S$2:$S$317,$A28,'Данные 1st'!$FT$2:$FT$317),"")</f>
        <v>30</v>
      </c>
      <c r="CK28" s="7">
        <f>IFERROR(AVERAGEIF('Данные 1st'!$S$2:$S$317,$A28,'Данные 1st'!$FU$2:$FU$317),"")</f>
        <v>420</v>
      </c>
      <c r="CL28" s="7">
        <f>IFERROR(AVERAGEIF('Данные 1st'!$S$2:$S$317,$A28,'Данные 1st'!$FV$2:$FV$317),"")</f>
        <v>30</v>
      </c>
      <c r="CM28" s="7">
        <f>IFERROR(AVERAGEIF('Данные 1st'!$S$2:$S$317,$A28,'Данные 1st'!$FW$2:$FW$317),"")</f>
        <v>260</v>
      </c>
      <c r="CN28" s="7">
        <f>IFERROR(AVERAGEIF('Данные 1st'!$S$2:$S$317,$A28,'Данные 1st'!$FZ$2:$FZ$317),"")</f>
        <v/>
      </c>
      <c r="CO28" s="7">
        <f>IFERROR(AVERAGEIF('Данные 1st'!$S$2:$S$317,$A28,'Данные 1st'!$GA$2:$GA$317),"")</f>
        <v/>
      </c>
      <c r="CP28" s="7">
        <f>IFERROR(AVERAGEIF('Данные 1st'!$S$2:$S$317,$A28,'Данные 1st'!$GB$2:$GB$317),"")</f>
        <v/>
      </c>
      <c r="CQ28" s="7">
        <f>IFERROR(AVERAGEIF('Данные 1st'!$S$2:$S$317,$A28,'Данные 1st'!$GH$2:$GH$317),"")</f>
        <v/>
      </c>
      <c r="CR28" s="7">
        <f>IFERROR(AVERAGEIF('Данные 1st'!$S$2:$S$317,$A28,'Данные 1st'!$GI$2:$GI$317),"")</f>
        <v/>
      </c>
      <c r="CS28" s="7">
        <f>IFERROR(AVERAGEIF('Данные 1st'!$S$2:$S$317,$A28,'Данные 1st'!$GJ$2:$GJ$317),"")</f>
        <v/>
      </c>
      <c r="CT28" s="7">
        <f>IFERROR(AVERAGEIF('Данные 1st'!$S$2:$S$317,$A28,'Данные 1st'!$GS$2:$GS$317),"")</f>
        <v>0.4</v>
      </c>
      <c r="CU28" s="7">
        <f>IFERROR(AVERAGEIF('Данные 1st'!$S$2:$S$317,$A28,'Данные 1st'!$GT$2:$GT$317),"")</f>
        <v>62.5</v>
      </c>
      <c r="CV28" s="7">
        <f>IFERROR(AVERAGEIF('Данные 1st'!$S$2:$S$317,$A28,'Данные 1st'!$GU$2:$GU$317),"")</f>
        <v>325</v>
      </c>
      <c r="CW28" s="7">
        <f>IFERROR(AVERAGEIF('Данные 1st'!$S$2:$S$317,$A28,'Данные 1st'!$GV$2:$GV$317),"")</f>
        <v>30</v>
      </c>
      <c r="CX28" s="7">
        <f>IFERROR(AVERAGEIF('Данные 1st'!$S$2:$S$317,$A28,'Данные 1st'!$GW$2:$GW$317),"")</f>
        <v>260</v>
      </c>
      <c r="CY28" s="7">
        <f>IFERROR(AVERAGEIF('Данные 1st'!$S$2:$S$317,$A28,'Данные 1st'!$GZ$2:$GZ$317),"")</f>
        <v/>
      </c>
      <c r="CZ28" s="7">
        <f>IFERROR(AVERAGEIF('Данные 1st'!$S$2:$S$317,$A28,'Данные 1st'!$HA$2:$HA$317),"")</f>
        <v/>
      </c>
      <c r="DA28" s="7">
        <f>IFERROR(AVERAGEIF('Данные 1st'!$S$2:$S$317,$A28,'Данные 1st'!$HB$2:$HB$317),"")</f>
        <v/>
      </c>
      <c r="DB28" s="7">
        <f>IFERROR(AVERAGEIF('Данные 1st'!$S$2:$S$317,$A28,'Данные 1st'!$HC$2:$HC$317),"")</f>
        <v>0.1</v>
      </c>
      <c r="DC28" s="7">
        <f>IFERROR(AVERAGEIF('Данные 1st'!$S$2:$S$317,$A28,'Данные 1st'!$HD$2:$HD$317),"")</f>
        <v>3</v>
      </c>
      <c r="DD28" s="7">
        <f>IFERROR(AVERAGEIF('Данные 1st'!$S$2:$S$317,$A28,'Данные 1st'!$HE$2:$HE$317),"")</f>
        <v>3</v>
      </c>
      <c r="DE28" s="7">
        <f>IFERROR(AVERAGEIF('Данные 1st'!$S$2:$S$317,$A28,'Данные 1st'!$HF$2:$HF$317),"")</f>
        <v>3</v>
      </c>
      <c r="DF28" s="7">
        <f>IFERROR(AVERAGEIF('Данные 1st'!$S$2:$S$317,$A28,'Данные 1st'!$HG$2:$HG$317),"")</f>
        <v>3</v>
      </c>
      <c r="DG28" s="7">
        <f>IFERROR(AVERAGEIF('Данные 1st'!$S$2:$S$317,$A28,'Данные 1st'!$HH$2:$HH$317),"")</f>
        <v>3</v>
      </c>
      <c r="DH28" s="7">
        <f>IFERROR(AVERAGEIF('Данные 1st'!$S$2:$S$317,$A28,'Данные 1st'!$HI$2:$HI$317),"")</f>
        <v>180</v>
      </c>
      <c r="DI28" s="7">
        <f>IFERROR(AVERAGEIF('Данные 1st'!$S$2:$S$317,$A28,'Данные 1st'!$HJ$2:$HJ$317),"")</f>
        <v>3</v>
      </c>
      <c r="DJ28" s="7">
        <f>IFERROR(AVERAGEIF('Данные 1st'!$S$2:$S$317,$A28,'Данные 1st'!$HK$2:$HK$317),"")</f>
        <v>55</v>
      </c>
      <c r="DK28" s="7">
        <f>IFERROR(AVERAGEIF('Данные 1st'!$S$2:$S$317,$A28,'Данные 1st'!$HL$2:$HL$317),"")</f>
        <v>2</v>
      </c>
      <c r="DL28" s="7">
        <f>IFERROR(AVERAGEIF('Данные 1st'!$S$2:$S$317,$A28,'Данные 1st'!$HM$2:$HM$317),"")</f>
        <v>0</v>
      </c>
      <c r="DM28" s="7">
        <f>IFERROR(AVERAGEIF('Данные 1st'!$S$2:$S$317,$A28,'Данные 1st'!$HN$2:$HN$317),"")</f>
        <v>2</v>
      </c>
      <c r="DN28" s="7">
        <f>IFERROR(AVERAGEIF('Данные 1st'!$S$2:$S$317,$A28,'Данные 1st'!$HO$2:$HO$317),"")</f>
        <v>110</v>
      </c>
      <c r="DO28" s="7">
        <f>IFERROR(AVERAGEIF('Данные 1st'!$S$2:$S$317,$A28,'Данные 1st'!$HP$2:$HP$317),"")</f>
        <v>3</v>
      </c>
      <c r="DP28" s="7">
        <f>IFERROR(AVERAGEIF('Данные 1st'!$S$2:$S$317,$A28,'Данные 1st'!$HQ$2:$HQ$317),"")</f>
        <v>0</v>
      </c>
      <c r="DQ28" s="7">
        <f>IFERROR(AVERAGEIF('Данные 1st'!$S$2:$S$317,$A28,'Данные 1st'!$HR$2:$HR$317),"")</f>
        <v>2</v>
      </c>
      <c r="DR28" s="7">
        <f>IFERROR(AVERAGEIF('Данные 1st'!$S$2:$S$317,$A28,'Данные 1st'!$HS$2:$HS$317),"")</f>
        <v>5241</v>
      </c>
      <c r="DS28" s="7">
        <f>IFERROR(AVERAGEIF('Данные 1st'!$S$2:$S$317,$A28,'Данные 1st'!$HT$2:$HT$317),"")</f>
        <v>156.66666666666666</v>
      </c>
      <c r="DT28" s="7">
        <f>IFERROR(AVERAGEIF('Данные 1st'!$S$2:$S$317,$A28,'Данные 1st'!$HU$2:$HU$317),"")</f>
        <v>180</v>
      </c>
      <c r="DU28" s="7">
        <f>IFERROR(AVERAGEIF('Данные 1st'!$S$2:$S$317,$A28,'Данные 1st'!$HW$2:$HW$317),"")</f>
        <v>0</v>
      </c>
      <c r="DV28" s="7">
        <f>IFERROR(AVERAGEIF('Данные 1st'!$S$2:$S$317,$A28,'Данные 1st'!$HX$2:$HX$317),"")</f>
        <v>471.6666666666667</v>
      </c>
      <c r="DW28" s="7">
        <f>IFERROR(AVERAGEIF('Данные 1st'!$S$2:$S$317,$A28,'Данные 1st'!$HY$2:$HY$317),"")</f>
        <v>0.18</v>
      </c>
      <c r="DX28" s="7">
        <f>IFERROR(AVERAGEIF('Данные 1st'!$S$2:$S$317,$A28,'Данные 1st'!$IA$2:$IA$317),"")</f>
        <v>0.15</v>
      </c>
      <c r="DY28" s="7">
        <f>IFERROR(AVERAGEIF('Данные 1st'!$S$2:$S$317,$A28,'Данные 1st'!$IB$2:$IB$317),"")</f>
        <v>0</v>
      </c>
      <c r="DZ28" s="7">
        <f>IFERROR(AVERAGEIF('Данные 1st'!$S$2:$S$317,$A28,'Данные 1st'!$IC$2:$IC$317),"")</f>
        <v>180</v>
      </c>
      <c r="EA28" s="7">
        <f>IFERROR(AVERAGEIF('Данные 1st'!$S$2:$S$317,$A28,'Данные 1st'!$ID$2:$ID$317),"")</f>
        <v>110</v>
      </c>
      <c r="EB28" s="7">
        <f>IFERROR(AVERAGEIF('Данные 1st'!$S$2:$S$317,$A28,'Данные 1st'!$IE$2:$IE$317),"")</f>
        <v>150</v>
      </c>
      <c r="EC28" s="7">
        <f>IFERROR(AVERAGEIF('Данные 1st'!$S$2:$S$317,$A28,'Данные 1st'!$IF$2:$IF$317),"")</f>
        <v>0</v>
      </c>
      <c r="ED28" s="7">
        <f>IFERROR(AVERAGEIF('Данные 1st'!$S$2:$S$317,$A28,'Данные 1st'!$IP$2:$IP$317),"")</f>
        <v>17</v>
      </c>
      <c r="EE28" s="7">
        <f>IFERROR(AVERAGEIF('Данные 1st'!$S$2:$S$317,$A28,'Данные 1st'!$IV$2:$IV$317),"")</f>
        <v>1301</v>
      </c>
      <c r="EF28" s="7">
        <f>IFERROR(AVERAGEIF('Данные 1st'!$S$2:$S$317,$A28,'Данные 1st'!$IW$2:$IW$317),"")</f>
        <v>434.6666666666667</v>
      </c>
      <c r="EG28" s="7">
        <f>IFERROR(AVERAGEIF('Данные 1st'!$S$2:$S$317,$A28,'Данные 1st'!$IX$2:$IX$317),"")</f>
        <v/>
      </c>
      <c r="EH28" s="7">
        <f>IFERROR(AVERAGEIF('Данные 1st'!$S$2:$S$317,$A28,'Данные 1st'!$IY$2:$IY$317),"")</f>
        <v/>
      </c>
      <c r="EI28" s="7">
        <f>IFERROR(AVERAGEIF('Данные 1st'!$S$2:$S$317,$A28,'Данные 1st'!$JD$2:$JD$317),"")</f>
        <v>1315.6666666666667</v>
      </c>
      <c r="EJ28" s="7">
        <f>IFERROR(AVERAGEIF('Данные 1st'!$S$2:$S$317,$A28,'Данные 1st'!$JE$2:$JE$317),"")</f>
        <v>1311.3333333333333</v>
      </c>
      <c r="EK28" s="7">
        <f>IFERROR(AVERAGEIF('Данные 1st'!$S$2:$S$317,$A28,'Данные 1st'!$JF$2:$JF$317),"")</f>
        <v>877.3333333333334</v>
      </c>
      <c r="EL28" s="7">
        <f>IFERROR(AVERAGEIF('Данные 1st'!$S$2:$S$317,$A28,'Данные 1st'!$JG$2:$JG$317),"")</f>
        <v>1300</v>
      </c>
      <c r="EM28" s="7">
        <f>IFERROR(AVERAGEIF('Данные 1st'!$S$2:$S$317,$A28,'Данные 1st'!$JH$2:$JH$317),"")</f>
        <v>0</v>
      </c>
      <c r="EN28" s="7">
        <f>IFERROR(AVERAGEIF('Данные 1st'!$S$2:$S$317,$A28,'Данные 1st'!$JJ$2:$JJ$317),"")</f>
        <v>180</v>
      </c>
      <c r="EO28" s="7">
        <f>IFERROR(AVERAGEIF('Данные 1st'!$S$2:$S$317,$A28,'Данные 1st'!$JK$2:$JK$317),"")</f>
        <v>471.6666666666667</v>
      </c>
      <c r="EP28" s="7">
        <f>IFERROR(AVERAGEIF('Данные 1st'!$S$2:$S$317,$A28,'Данные 1st'!$JL$2:$JL$317),"")</f>
        <v/>
      </c>
      <c r="EQ28" s="7">
        <f>IFERROR(AVERAGEIF('Данные 1st'!$S$2:$S$317,$A28,'Данные 1st'!$JM$2:$JM$317),"")</f>
        <v/>
      </c>
      <c r="ER28" s="7">
        <f>IFERROR(AVERAGEIF('Данные 1st'!$S$2:$S$317,$A28,'Данные 1st'!$JN$2:$JN$317),"")</f>
        <v>413.3333333333333</v>
      </c>
      <c r="ES28" s="7">
        <f>IFERROR(AVERAGEIF('Данные 1st'!$S$2:$S$317,$A28,'Данные 1st'!$JO$2:$JO$317),"")</f>
        <v>590</v>
      </c>
      <c r="ET28" s="7">
        <f>IFERROR(AVERAGEIF('Данные 1st'!$S$2:$S$317,$A28,'Данные 1st'!$JP$2:$JP$317),"")</f>
        <v>316.6666666666667</v>
      </c>
      <c r="EU28" s="7">
        <f>IFERROR(AVERAGEIF('Данные 1st'!$S$2:$S$317,$A28,'Данные 1st'!$JQ$2:$JQ$317),"")</f>
        <v>0</v>
      </c>
      <c r="EV28" s="7">
        <f>IFERROR(AVERAGEIF('Данные 1st'!$S$2:$S$317,$A28,'Данные 1st'!$JR$2:$JR$317),"")</f>
        <v>390</v>
      </c>
      <c r="EW28" s="7">
        <f>IFERROR(AVERAGEIF('Данные 1st'!$S$2:$S$317,$A28,'Данные 1st'!$JS$2:$JS$317),"")</f>
        <v>180</v>
      </c>
      <c r="EX28" s="7">
        <f>IFERROR(AVERAGEIF('Данные 1st'!$S$2:$S$317,$A28,'Данные 1st'!$JT$2:$JT$317),"")</f>
        <v/>
      </c>
      <c r="EY28" s="7">
        <f>IFERROR(AVERAGEIF('Данные 1st'!$S$2:$S$317,$A28,'Данные 1st'!$JU$2:$JU$317),"")</f>
        <v/>
      </c>
      <c r="EZ28" s="7">
        <f>IFERROR(AVERAGEIF('Данные 1st'!$S$2:$S$317,$A28,'Данные 1st'!$JV$2:$JV$317),"")</f>
        <v>8</v>
      </c>
      <c r="FA28" s="7">
        <f>IFERROR(AVERAGEIF('Данные 1st'!$S$2:$S$317,$A28,'Данные 1st'!$JW$2:$JW$317),"")</f>
        <v/>
      </c>
      <c r="FB28" s="7">
        <f>IFERROR(AVERAGEIF('Данные 1st'!$S$2:$S$317,$A28,'Данные 1st'!$JX$2:$JX$317),"")</f>
        <v>0</v>
      </c>
      <c r="FC28" s="7">
        <f>IFERROR(AVERAGEIF('Данные 1st'!$S$2:$S$317,$A28,'Данные 1st'!$JY$2:$JY$317),"")</f>
        <v/>
      </c>
      <c r="FD28" s="7">
        <f>IFERROR(AVERAGEIF('Данные 1st'!$S$2:$S$317,$A28,'Данные 1st'!$JZ$2:$JZ$317),"")</f>
        <v/>
      </c>
      <c r="FE28" s="7">
        <f>IFERROR(AVERAGEIF('Данные 1st'!$S$2:$S$317,$A28,'Данные 1st'!$KA$2:$KA$317),"")</f>
        <v>150</v>
      </c>
      <c r="FF28" s="7">
        <f>IFERROR(AVERAGEIF('Данные 1st'!$S$2:$S$317,$A28,'Данные 1st'!$KB$2:$KB$317),"")</f>
        <v>110</v>
      </c>
      <c r="FG28" s="7">
        <f>IFERROR(AVERAGEIF('Данные 1st'!$S$2:$S$317,$A28,'Данные 1st'!$KC$2:$KC$317),"")</f>
        <v>0</v>
      </c>
      <c r="FH28" s="7">
        <f>IFERROR(AVERAGEIF('Данные 1st'!$S$2:$S$317,$A28,'Данные 1st'!$KD$2:$KD$317),"")</f>
        <v>80</v>
      </c>
      <c r="FI28" s="7">
        <f>IFERROR(AVERAGEIF('Данные 1st'!$S$2:$S$317,$A28,'Данные 1st'!$KE$2:$KE$317),"")</f>
        <v/>
      </c>
      <c r="FJ28" s="7">
        <f>IFERROR(AVERAGEIF('Данные 1st'!$S$2:$S$317,$A28,'Данные 1st'!$KF$2:$KF$317),"")</f>
        <v>4</v>
      </c>
      <c r="FK28" s="7">
        <f>IFERROR(AVERAGEIF('Данные 1st'!$S$2:$S$317,$A28,'Данные 1st'!$KG$2:$KG$317),"")</f>
        <v>3.3333333333333335</v>
      </c>
      <c r="FL28" s="7">
        <f>IFERROR(AVERAGEIF('Данные 1st'!$S$2:$S$317,$A28,'Данные 1st'!$KH$2:$KH$317),"")</f>
        <v>2</v>
      </c>
      <c r="FM28" s="7">
        <f>IFERROR(AVERAGEIF('Данные 1st'!$S$2:$S$317,$A28,'Данные 1st'!$KI$2:$KI$317),"")</f>
        <v>2</v>
      </c>
      <c r="FN28" s="7">
        <f>IFERROR(AVERAGEIF('Данные 1st'!$S$2:$S$317,$A28,'Данные 1st'!$KJ$2:$KJ$317),"")</f>
        <v>0</v>
      </c>
      <c r="FO28" s="7">
        <f>IFERROR(AVERAGEIF('Данные 1st'!$S$2:$S$317,$A28,'Данные 1st'!$KK$2:$KK$317),"")</f>
        <v>1.5</v>
      </c>
      <c r="FP28" s="7">
        <f>IFERROR(AVERAGEIF('Данные 1st'!$S$2:$S$317,$A28,'Данные 1st'!$KL$2:$KL$317),"")</f>
        <v>1.5</v>
      </c>
      <c r="FQ28" s="7">
        <f>IFERROR(AVERAGEIF('Данные 1st'!$S$2:$S$317,$A28,'Данные 1st'!$KM$2:$KM$317),"")</f>
        <v>0</v>
      </c>
      <c r="FR28" s="7">
        <f>IFERROR(AVERAGEIF('Данные 1st'!$S$2:$S$317,$A28,'Данные 1st'!$KN$2:$KN$317),"")</f>
        <v>0</v>
      </c>
      <c r="FS28" s="7">
        <f>IFERROR(AVERAGEIF('Данные 1st'!$S$2:$S$317,$A28,'Данные 1st'!$KR$2:$KR$317),"")</f>
        <v>28.333333333333332</v>
      </c>
      <c r="FT28" s="7">
        <f>IFERROR(AVERAGEIF('Данные 1st'!$S$2:$S$317,$A28,'Данные 1st'!$KS$2:$KS$317),"")</f>
        <v>60</v>
      </c>
      <c r="FU28" s="7">
        <f>IFERROR(AVERAGEIF('Данные 1st'!$S$2:$S$317,$A28,'Данные 1st'!$KT$2:$KT$317),"")</f>
        <v>0</v>
      </c>
      <c r="FV28" s="7">
        <f>IFERROR(AVERAGEIF('Данные 1st'!$S$2:$S$317,$A28,'Данные 1st'!$KV$2:$KV$317),"")</f>
        <v/>
      </c>
      <c r="FW28" s="7">
        <f>IFERROR(AVERAGEIF('Данные 1st'!$S$2:$S$317,$A28,'Данные 1st'!$KW$2:$KW$317),"")</f>
        <v/>
      </c>
      <c r="FX28" s="7">
        <f>IFERROR(AVERAGEIF('Данные 1st'!$S$2:$S$317,$A28,'Данные 1st'!$KX$2:$KX$317),"")</f>
        <v/>
      </c>
      <c r="FY28" s="7">
        <f>IFERROR(AVERAGEIF('Данные 1st'!$S$2:$S$317,$A28,'Данные 1st'!$KY$2:$KY$317),"")</f>
        <v/>
      </c>
      <c r="FZ28" s="7">
        <f>IFERROR(AVERAGEIF('Данные 1st'!$S$2:$S$317,$A28,'Данные 1st'!$KZ$2:$KZ$317),"")</f>
        <v/>
      </c>
      <c r="GA28" s="7">
        <f>IFERROR(AVERAGEIF('Данные 1st'!$S$2:$S$317,$A28,'Данные 1st'!$LA$2:$LA$317),"")</f>
        <v/>
      </c>
      <c r="GB28" s="7">
        <f>IFERROR(AVERAGEIF('Данные 1st'!$S$2:$S$317,$A28,'Данные 1st'!$LB$2:$LB$317),"")</f>
        <v/>
      </c>
      <c r="GC28" s="7">
        <f>IFERROR(AVERAGEIF('Данные 1st'!$S$2:$S$317,$A28,'Данные 1st'!$LC$2:$LC$317),"")</f>
        <v/>
      </c>
      <c r="GD28" s="7">
        <f>IFERROR(AVERAGEIF('Данные 1st'!$S$2:$S$317,$A28,'Данные 1st'!$LD$2:$LD$317),"")</f>
        <v/>
      </c>
      <c r="GE28" s="7">
        <f>IFERROR(AVERAGEIF('Данные 1st'!$S$2:$S$317,$A28,'Данные 1st'!$LE$2:$LE$317),"")</f>
        <v/>
      </c>
      <c r="GF28" s="7">
        <f>IFERROR(AVERAGEIF('Данные 1st'!$S$2:$S$317,$A28,'Данные 1st'!$LF$2:$LF$317),"")</f>
        <v/>
      </c>
      <c r="GG28" s="7">
        <f>IFERROR(AVERAGEIF('Данные 1st'!$S$2:$S$317,$A28,'Данные 1st'!$LG$2:$LG$317),"")</f>
        <v/>
      </c>
      <c r="GH28" s="7">
        <f>IFERROR(AVERAGEIF('Данные 1st'!$S$2:$S$317,$A28,'Данные 1st'!$LH$2:$LH$317),"")</f>
        <v/>
      </c>
      <c r="GI28" s="7">
        <f>IFERROR(AVERAGEIF('Данные 1st'!$S$2:$S$317,$A28,'Данные 1st'!$LI$2:$LI$317),"")</f>
        <v/>
      </c>
      <c r="GJ28" s="7">
        <f>IFERROR(AVERAGEIF('Данные 1st'!$S$2:$S$317,$A28,'Данные 1st'!$LJ$2:$LJ$317),"")</f>
        <v/>
      </c>
      <c r="GK28" s="7">
        <f>IFERROR(AVERAGEIF('Данные 1st'!$S$2:$S$317,$A28,'Данные 1st'!$LK$2:$LK$317),"")</f>
        <v>480</v>
      </c>
      <c r="GL28" s="7">
        <f>IFERROR(AVERAGEIF('Данные 1st'!$S$2:$S$317,$A28,'Данные 1st'!$LV$2:$LV$317),"")</f>
        <v/>
      </c>
      <c r="GM28" s="7">
        <f>IFERROR(AVERAGEIF('Данные 1st'!$S$2:$S$317,$A28,'Данные 1st'!$LW$2:$LW$317),"")</f>
        <v/>
      </c>
      <c r="GN28" s="7">
        <f>IFERROR(AVERAGEIF('Данные 1st'!$S$2:$S$317,$A28,'Данные 1st'!$LX$2:$LX$317),"")</f>
        <v/>
      </c>
      <c r="GO28" s="7">
        <f>IFERROR(AVERAGEIF('Данные 1st'!$S$2:$S$317,$A28,'Данные 1st'!$LY$2:$LY$317),"")</f>
        <v/>
      </c>
      <c r="GP28" s="7">
        <f>IFERROR(AVERAGEIF('Данные 1st'!$S$2:$S$317,$A28,'Данные 1st'!$LZ$2:$LZ$317),"")</f>
        <v/>
      </c>
      <c r="GQ28" s="7">
        <f>IFERROR(AVERAGEIF('Данные 1st'!$S$2:$S$317,$A28,'Данные 1st'!$PG$2:$PG$317),"")</f>
        <v>1</v>
      </c>
      <c r="GR28" s="7">
        <f>IFERROR(AVERAGEIF('Данные 1st'!$S$2:$S$317,$A28,'Данные 1st'!$PX$2:$PX$317),"")</f>
        <v>56</v>
      </c>
      <c r="GS28" s="7">
        <f>IFERROR(AVERAGEIF('Данные 1st'!$S$2:$S$317,$A28,'Данные 1st'!$PY$2:$PY$317),"")</f>
        <v>56.333333333333336</v>
      </c>
      <c r="GT28" s="7">
        <f>IFERROR(AVERAGEIF('Данные 1st'!$S$2:$S$317,$A28,'Данные 1st'!$QA$2:$QA$317),"")</f>
        <v>1.6666666666666667</v>
      </c>
      <c r="GU28" s="7">
        <f>IFERROR(AVERAGEIF('Данные 1st'!$S$2:$S$317,$A28,'Данные 1st'!$QB$2:$QB$317),"")</f>
        <v>1300</v>
      </c>
      <c r="GV28" s="7">
        <f>IFERROR(AVERAGEIF('Данные 1st'!$S$2:$S$317,$A28,'Данные 1st'!$QC$2:$QC$317),"")</f>
        <v>69</v>
      </c>
      <c r="GW28" s="7">
        <f>IFERROR(AVERAGEIF('Данные 1st'!$S$2:$S$317,$A28,'Данные 1st'!$QD$2:$QD$317),"")</f>
        <v>69</v>
      </c>
      <c r="GX28" s="7">
        <f>IFERROR(AVERAGEIF('Данные 1st'!$S$2:$S$317,$A28,'Данные 1st'!$QF$2:$QF$317),"")</f>
        <v>1.3333333333333333</v>
      </c>
      <c r="GY28" s="7">
        <f>IFERROR(AVERAGEIF('Данные 1st'!$S$2:$S$317,$A28,'Данные 1st'!$QG$2:$QG$317),"")</f>
        <v>1315.6666666666667</v>
      </c>
      <c r="GZ28" s="7">
        <f>IFERROR(AVERAGEIF('Данные 1st'!$S$2:$S$317,$A28,'Данные 1st'!$QH$2:$QH$317),"")</f>
        <v>66</v>
      </c>
      <c r="HA28" s="7">
        <f>IFERROR(AVERAGEIF('Данные 1st'!$S$2:$S$317,$A28,'Данные 1st'!$QI$2:$QI$317),"")</f>
        <v>66</v>
      </c>
      <c r="HB28" s="7">
        <f>IFERROR(AVERAGEIF('Данные 1st'!$S$2:$S$317,$A28,'Данные 1st'!$QK$2:$QK$317),"")</f>
        <v/>
      </c>
      <c r="HC28" s="7">
        <f>IFERROR(AVERAGEIF('Данные 1st'!$S$2:$S$317,$A28,'Данные 1st'!$QL$2:$QL$317),"")</f>
        <v>0</v>
      </c>
      <c r="HD28" s="7">
        <f>IFERROR(AVERAGEIF('Данные 1st'!$S$2:$S$317,$A28,'Данные 1st'!$QM$2:$QM$317),"")</f>
        <v>62</v>
      </c>
      <c r="HE28" s="7">
        <f>IFERROR(AVERAGEIF('Данные 1st'!$S$2:$S$317,$A28,'Данные 1st'!$QN$2:$QN$317),"")</f>
        <v>62</v>
      </c>
      <c r="HF28" s="7">
        <f>IFERROR(AVERAGEIF('Данные 1st'!$S$2:$S$317,$A28,'Данные 1st'!$QP$2:$QP$317),"")</f>
        <v>1</v>
      </c>
      <c r="HG28" s="7">
        <f>IFERROR(AVERAGEIF('Данные 1st'!$S$2:$S$317,$A28,'Данные 1st'!$QQ$2:$QQ$317),"")</f>
        <v>1311.3333333333333</v>
      </c>
      <c r="HH28" s="7">
        <f>IFERROR(AVERAGEIF('Данные 1st'!$S$2:$S$317,$A28,'Данные 1st'!$QR$2:$QR$317),"")</f>
        <v>62</v>
      </c>
      <c r="HI28" s="7">
        <f>IFERROR(AVERAGEIF('Данные 1st'!$S$2:$S$317,$A28,'Данные 1st'!$QS$2:$QS$317),"")</f>
        <v>62</v>
      </c>
      <c r="HJ28" s="7">
        <f>IFERROR(AVERAGEIF('Данные 1st'!$S$2:$S$317,$A28,'Данные 1st'!$QU$2:$QU$317),"")</f>
        <v>1</v>
      </c>
      <c r="HK28" s="7">
        <f>IFERROR(AVERAGEIF('Данные 1st'!$S$2:$S$317,$A28,'Данные 1st'!$QV$2:$QV$317),"")</f>
        <v>1316</v>
      </c>
      <c r="HL28" s="7">
        <f>IFERROR(AVERAGEIF('Данные 1st'!$S$2:$S$317,$A28,'Данные 1st'!$QW$2:$QW$317),"")</f>
        <v>82</v>
      </c>
      <c r="HM28" s="7">
        <f>IFERROR(AVERAGEIF('Данные 1st'!$S$2:$S$317,$A28,'Данные 1st'!$QX$2:$QX$317),"")</f>
        <v>89</v>
      </c>
      <c r="HN28" s="7">
        <f>IFERROR(AVERAGEIF('Данные 1st'!$S$2:$S$317,$A28,'Данные 1st'!$QZ$2:$QZ$317),"")</f>
        <v>1.3333333333333333</v>
      </c>
      <c r="HO28" s="7">
        <f>IFERROR(AVERAGEIF('Данные 1st'!$S$2:$S$317,$A28,'Данные 1st'!$RA$2:$RA$317),"")</f>
        <v>66</v>
      </c>
      <c r="HP28" s="7">
        <f>IFERROR(AVERAGEIF('Данные 1st'!$S$2:$S$317,$A28,'Данные 1st'!$RB$2:$RB$317),"")</f>
        <v>66</v>
      </c>
      <c r="HQ28" s="7">
        <f>IFERROR(AVERAGEIF('Данные 1st'!$S$2:$S$317,$A28,'Данные 1st'!$RD$2:$RD$317),"")</f>
        <v/>
      </c>
      <c r="HR28" s="7">
        <f>IFERROR(AVERAGEIF('Данные 1st'!$S$2:$S$317,$A28,'Данные 1st'!$RE$2:$RE$317),"")</f>
        <v>0</v>
      </c>
      <c r="HS28" s="7">
        <f>IFERROR(AVERAGEIF('Данные 1st'!$S$2:$S$317,$A28,'Данные 1st'!$RF$2:$RF$317),"")</f>
        <v>1</v>
      </c>
      <c r="HT28" s="7">
        <f>IFERROR(AVERAGEIF('Данные 1st'!$S$2:$S$317,$A28,'Данные 1st'!$RG$2:$RG$317),"")</f>
        <v/>
      </c>
      <c r="HU28" s="7">
        <f>IFERROR(AVERAGEIF('Данные 1st'!$S$2:$S$317,$A28,'Данные 1st'!$RH$2:$RH$317),"")</f>
        <v>1</v>
      </c>
      <c r="HV28" s="7">
        <f>IFERROR(AVERAGEIF('Данные 1st'!$S$2:$S$317,$A28,'Данные 1st'!$RI$2:$RI$317),"")</f>
        <v/>
      </c>
      <c r="HW28" s="7">
        <f>IFERROR(AVERAGEIF('Данные 1st'!$S$2:$S$317,$A28,'Данные 1st'!$RJ$2:$RJ$317),"")</f>
        <v>1.3333333333333333</v>
      </c>
      <c r="HX28" s="7">
        <f>IFERROR(AVERAGEIF('Данные 1st'!$S$2:$S$317,$A28,'Данные 1st'!$RK$2:$RK$317),"")</f>
        <v/>
      </c>
      <c r="HY28" s="7">
        <f>IFERROR(AVERAGEIF('Данные 1st'!$S$2:$S$317,$A28,'Данные 1st'!$RL$2:$RL$317),"")</f>
        <v>2.6666666666666665</v>
      </c>
      <c r="HZ28" s="7">
        <f>IFERROR(AVERAGEIF('Данные 1st'!$S$2:$S$317,$A28,'Данные 1st'!$RM$2:$RM$317),"")</f>
        <v>3.5</v>
      </c>
      <c r="IA28" s="7">
        <f>IFERROR(AVERAGEIF('Данные 1st'!$S$2:$S$317,$A28,'Данные 1st'!$RN$2:$RN$317),"")</f>
        <v/>
      </c>
      <c r="IB28" s="7">
        <f>IFERROR(AVERAGEIF('Данные 1st'!$S$2:$S$317,$A28,'Данные 1st'!$RO$2:$RO$317),"")</f>
        <v>602.6666666666666</v>
      </c>
      <c r="IC28" s="7">
        <f>IFERROR(AVERAGEIF('Данные 1st'!$S$2:$S$317,$A28,'Данные 1st'!$RP$2:$RP$317),"")</f>
        <v/>
      </c>
      <c r="ID28" s="7">
        <f>IFERROR(AVERAGEIF('Данные 1st'!$S$2:$S$317,$A28,'Данные 1st'!$RQ$2:$RQ$317),"")</f>
        <v>781.3333333333334</v>
      </c>
      <c r="IE28" s="7">
        <f>IFERROR(AVERAGEIF('Данные 1st'!$S$2:$S$317,$A28,'Данные 1st'!$RR$2:$RR$317),"")</f>
        <v>536.5</v>
      </c>
      <c r="IF28" s="7">
        <f>IFERROR(AVERAGEIF('Данные 1st'!$S$2:$S$317,$A28,'Данные 1st'!$RS$2:$RS$317),"")</f>
        <v/>
      </c>
      <c r="IG28" s="7">
        <f>IFERROR(AVERAGEIF('Данные 1st'!$S$2:$S$317,$A28,'Данные 1st'!$RT$2:$RT$317),"")</f>
        <v>255.33333333333334</v>
      </c>
      <c r="IH28" s="7">
        <f>IFERROR(AVERAGEIF('Данные 1st'!$S$2:$S$317,$A28,'Данные 1st'!$RU$2:$RU$317),"")</f>
        <v>209</v>
      </c>
      <c r="II28" s="7">
        <f>IFERROR(AVERAGEIF('Данные 1st'!$S$2:$S$317,$A28,'Данные 1st'!$RX$2:$RX$317),"")</f>
        <v>15</v>
      </c>
      <c r="IJ28" s="7">
        <f>IFERROR(AVERAGEIF('Данные 1st'!$S$2:$S$317,$A28,'Данные 1st'!$RY$2:$RY$317),"")</f>
        <v>4</v>
      </c>
      <c r="IK28" s="7">
        <f>IFERROR(AVERAGEIF('Данные 1st'!$S$2:$S$317,$A28,'Данные 1st'!$SA$2:$SA$317),"")</f>
        <v>15</v>
      </c>
      <c r="IL28" s="7">
        <f>IFERROR(AVERAGEIF('Данные 1st'!$S$2:$S$317,$A28,'Данные 1st'!$SD$2:$SD$317),"")</f>
        <v>1</v>
      </c>
      <c r="IM28" s="7">
        <f>IFERROR(AVERAGEIF('Данные 1st'!$S$2:$S$317,$A28,'Данные 1st'!$SG$2:$SG$317),"")</f>
        <v>1</v>
      </c>
      <c r="IN28" s="7">
        <f>IFERROR(AVERAGEIF('Данные 1st'!$S$2:$S$317,$A28,'Данные 1st'!$SH$2:$SH$317),"")</f>
        <v>0.995</v>
      </c>
      <c r="IO28" s="7">
        <f>IFERROR(AVERAGEIF('Данные 1st'!$S$2:$S$317,$A28,'Данные 1st'!$SI$2:$SI$317),"")</f>
        <v>0.995</v>
      </c>
      <c r="IP28" s="7">
        <f>IFERROR(AVERAGEIF('Данные 1st'!$S$2:$S$317,$A28,'Данные 1st'!$SJ$2:$SJ$317),"")</f>
        <v>0.995</v>
      </c>
      <c r="IQ28" s="7">
        <f>IFERROR(AVERAGEIF('Данные 1st'!$S$2:$S$317,$A28,'Данные 1st'!$SK$2:$SK$317),"")</f>
        <v>15</v>
      </c>
      <c r="IR28" s="7">
        <f>IFERROR(AVERAGEIF('Данные 1st'!$S$2:$S$317,$A28,'Данные 1st'!$SL$2:$SL$317),"")</f>
        <v>0</v>
      </c>
      <c r="IS28" s="7">
        <f>IFERROR(AVERAGEIF('Данные 1st'!$S$2:$S$317,$A28,'Данные 1st'!$SM$2:$SM$317),"")</f>
        <v>0</v>
      </c>
      <c r="IT28" s="7">
        <f>IFERROR(AVERAGEIF('Данные 1st'!$S$2:$S$317,$A28,'Данные 1st'!$SN$2:$SN$317),"")</f>
        <v>0</v>
      </c>
      <c r="IU28" s="7">
        <f>IFERROR(AVERAGEIF('Данные 1st'!$S$2:$S$317,$A28,'Данные 1st'!$SO$2:$SO$317),"")</f>
        <v>0</v>
      </c>
      <c r="IV28" s="7">
        <f>IFERROR(AVERAGEIF('Данные 1st'!$S$2:$S$317,$A28,'Данные 1st'!$SP$2:$SP$317),"")</f>
        <v>0</v>
      </c>
      <c r="IW28" s="7">
        <f>IFERROR(AVERAGEIF('Данные 1st'!$S$2:$S$317,$A28,'Данные 1st'!$SQ$2:$SQ$317),"")</f>
        <v>0</v>
      </c>
      <c r="IX28" s="7">
        <f>IFERROR(AVERAGEIF('Данные 1st'!$S$2:$S$317,$A28,'Данные 1st'!$SR$2:$SR$317),"")</f>
        <v>0</v>
      </c>
      <c r="IY28" s="7">
        <f>IFERROR(AVERAGEIF('Данные 1st'!$S$2:$S$317,$A28,'Данные 1st'!$SS$2:$SS$317),"")</f>
        <v>0</v>
      </c>
      <c r="IZ28" s="7">
        <f>IFERROR(AVERAGEIF('Данные 1st'!$S$2:$S$317,$A28,'Данные 1st'!$ST$2:$ST$317),"")</f>
        <v>0</v>
      </c>
      <c r="JA28" s="7">
        <f>IFERROR(AVERAGEIF('Данные 1st'!$S$2:$S$317,$A28,'Данные 1st'!$SU$2:$SU$317),"")</f>
        <v>0</v>
      </c>
      <c r="JB28" s="7">
        <f>IFERROR(AVERAGEIF('Данные 1st'!$S$2:$S$317,$A28,'Данные 1st'!$SV$2:$SV$317),"")</f>
        <v>0</v>
      </c>
      <c r="JC28" s="7">
        <f>IFERROR(AVERAGEIF('Данные 1st'!$S$2:$S$317,$A28,'Данные 1st'!$SW$2:$SW$317),"")</f>
        <v>0</v>
      </c>
      <c r="JD28" s="7">
        <f>IFERROR(AVERAGEIF('Данные 1st'!$S$2:$S$317,$A28,'Данные 1st'!$SX$2:$SX$317),"")</f>
        <v>0</v>
      </c>
      <c r="JE28" s="7">
        <f>IFERROR(AVERAGEIF('Данные 1st'!$S$2:$S$317,$A28,'Данные 1st'!$SY$2:$SY$317),"")</f>
        <v/>
      </c>
      <c r="JF28" s="7">
        <f>IFERROR(AVERAGEIF('Данные 1st'!$S$2:$S$317,$A28,'Данные 1st'!$SZ$2:$SZ$317),"")</f>
        <v>1</v>
      </c>
      <c r="JG28" s="7">
        <f>IFERROR(AVERAGEIF('Данные 1st'!$S$2:$S$317,$A28,'Данные 1st'!$TA$2:$TA$317),"")</f>
        <v/>
      </c>
      <c r="JH28" s="7">
        <f>IFERROR(AVERAGEIF('Данные 1st'!$S$2:$S$317,$A28,'Данные 1st'!$TB$2:$TB$317),"")</f>
        <v>0.3333333333333333</v>
      </c>
      <c r="JI28" s="7">
        <f>IFERROR(AVERAGEIF('Данные 1st'!$S$2:$S$317,$A28,'Данные 1st'!$TC$2:$TC$317),"")</f>
        <v>0</v>
      </c>
      <c r="JJ28" s="7">
        <f>IFERROR(AVERAGEIF('Данные 1st'!$S$2:$S$317,$A28,'Данные 1st'!$TD$2:$TD$317),"")</f>
        <v>7.5</v>
      </c>
      <c r="JK28" s="7">
        <f>IFERROR(AVERAGEIF('Данные 1st'!$S$2:$S$317,$A28,'Данные 1st'!$TN$2:$TN$317),"")</f>
        <v>0</v>
      </c>
      <c r="JL28">
        <f>COUNTIF('Данные 2st'!$Q$2:$Q$317,$A28)</f>
        <v>3</v>
      </c>
      <c r="JM28" s="6" t="s">
        <v>5095</v>
      </c>
      <c r="JN28" s="6" t="s">
        <v>513</v>
      </c>
      <c r="JO28" s="6" t="s">
        <v>5125</v>
      </c>
      <c r="JP28" s="6" t="s">
        <v>5485</v>
      </c>
      <c r="JQ28" s="7">
        <f>IFERROR(AVERAGEIF('Данные 2st'!$Q$2:$Q$317,$A28,'Данные 2st'!$AC$2:$AC$317),"")</f>
        <v>10</v>
      </c>
      <c r="JR28" s="7">
        <f>IFERROR(AVERAGEIF('Данные 2st'!$Q$2:$Q$317,$A28,'Данные 2st'!$AF$2:$AF$317),"")</f>
        <v>5241</v>
      </c>
      <c r="JS28" s="7">
        <f>IFERROR(AVERAGEIF('Данные 2st'!$Q$2:$Q$317,$A28,'Данные 2st'!$AW$2:$AW$317),"")</f>
        <v>6.4</v>
      </c>
      <c r="JT28" s="7">
        <f>IFERROR(AVERAGEIF('Данные 2st'!$Q$2:$Q$317,$A28,'Данные 2st'!$AX$2:$AX$317),"")</f>
        <v>-6</v>
      </c>
      <c r="JU28" s="7">
        <f>IFERROR(AVERAGEIF('Данные 2st'!$Q$2:$Q$317,$A28,'Данные 2st'!$AY$2:$AY$317),"")</f>
        <v>92.0</v>
      </c>
      <c r="JV28" s="7">
        <f>IFERROR(AVERAGEIF('Данные 2st'!$Q$2:$Q$317,$A28,'Данные 2st'!$AZ$2:$AZ$317),"")</f>
        <v>73</v>
      </c>
      <c r="JW28" s="7">
        <f>IFERROR(AVERAGEIF('Данные 2st'!$Q$2:$Q$317,$A28,'Данные 2st'!$BA$2:$BA$317),"")</f>
        <v/>
      </c>
      <c r="JX28" s="7">
        <f>IFERROR(AVERAGEIF('Данные 2st'!$Q$2:$Q$317,$A28,'Данные 2st'!$BB$2:$BB$317),"")</f>
        <v/>
      </c>
      <c r="JY28" s="7">
        <f>IFERROR(AVERAGEIF('Данные 2st'!$Q$2:$Q$317,$A28,'Данные 2st'!$BC$2:$BC$317),"")</f>
        <v/>
      </c>
      <c r="JZ28" s="7">
        <f>IFERROR(AVERAGEIF('Данные 2st'!$Q$2:$Q$317,$A28,'Данные 2st'!$BH$2:$BH$317),"")</f>
        <v>92.0</v>
      </c>
      <c r="KA28" s="7">
        <f>IFERROR(AVERAGEIF('Данные 2st'!$Q$2:$Q$317,$A28,'Данные 2st'!$BI$2:$BI$317),"")</f>
        <v>19.0</v>
      </c>
      <c r="KB28" s="7">
        <f>IFERROR(AVERAGEIF('Данные 2st'!$Q$2:$Q$317,$A28,'Данные 2st'!$BJ$2:$BJ$317),"")</f>
        <v>73</v>
      </c>
      <c r="KC28" s="7">
        <f>IFERROR(AVERAGEIF('Данные 2st'!$Q$2:$Q$317,$A28,'Данные 2st'!$BK$2:$BK$317),"")</f>
        <v>2.8333333333333335</v>
      </c>
      <c r="KD28" s="7">
        <f>IFERROR(AVERAGEIF('Данные 2st'!$Q$2:$Q$317,$A28,'Данные 2st'!$BL$2:$BL$317),"")</f>
        <v>184</v>
      </c>
      <c r="KE28" s="7">
        <f>IFERROR(AVERAGEIF('Данные 2st'!$Q$2:$Q$317,$A28,'Данные 2st'!$BM$2:$BM$317),"")</f>
        <v>-6</v>
      </c>
      <c r="KF28" s="7">
        <f>IFERROR(AVERAGEIF('Данные 2st'!$Q$2:$Q$317,$A28,'Данные 2st'!$BN$2:$BN$317),"")</f>
        <v>0</v>
      </c>
      <c r="KG28" s="7">
        <f>IFERROR(AVERAGEIF('Данные 2st'!$Q$2:$Q$317,$A28,'Данные 2st'!$BO$2:$BO$317),"")</f>
        <v>0</v>
      </c>
      <c r="KH28" s="7">
        <f>IFERROR(AVERAGEIF('Данные 2st'!$Q$2:$Q$317,$A28,'Данные 2st'!$BP$2:$BP$317),"")</f>
        <v>0</v>
      </c>
      <c r="KI28" s="7">
        <f>IFERROR(AVERAGEIF('Данные 2st'!$Q$2:$Q$317,$A28,'Данные 2st'!$BR$2:$BR$317),"")</f>
        <v>178.33333333333334</v>
      </c>
      <c r="KJ28" s="7">
        <f>IFERROR(AVERAGEIF('Данные 2st'!$Q$2:$Q$317,$A28,'Данные 2st'!$BS$2:$BS$317),"")</f>
        <v>168.33333333333334</v>
      </c>
      <c r="KK28" s="7">
        <f>IFERROR(AVERAGEIF('Данные 2st'!$Q$2:$Q$317,$A28,'Данные 2st'!$BT$2:$BT$317),"")</f>
        <v>2085</v>
      </c>
      <c r="KL28" s="7">
        <f>IFERROR(AVERAGEIF('Данные 2st'!$Q$2:$Q$317,$A28,'Данные 2st'!$CV$2:$CV$317),"")</f>
        <v>121.33333333333333</v>
      </c>
      <c r="KM28" s="7">
        <f>IFERROR(AVERAGEIF('Данные 2st'!$Q$2:$Q$317,$A28,'Данные 2st'!$CW$2:$CW$317),"")</f>
        <v>3</v>
      </c>
      <c r="KN28" s="7">
        <f>IFERROR(AVERAGEIF('Данные 2st'!$Q$2:$Q$317,$A28,'Данные 2st'!$CX$2:$CX$317),"")</f>
        <v>74.66666666666667</v>
      </c>
      <c r="KO28" s="7">
        <f>IFERROR(AVERAGEIF('Данные 2st'!$Q$2:$Q$317,$A28,'Данные 2st'!$CY$2:$CY$317),"")</f>
        <v>5</v>
      </c>
      <c r="KP28" s="7">
        <f>IFERROR(AVERAGEIF('Данные 2st'!$Q$2:$Q$317,$A28,'Данные 2st'!$CZ$2:$CZ$317),"")</f>
        <v>143.66666666666666</v>
      </c>
      <c r="KQ28" s="7">
        <f>IFERROR(AVERAGEIF('Данные 2st'!$Q$2:$Q$317,$A28,'Данные 2st'!$DA$2:$DA$317),"")</f>
        <v>5</v>
      </c>
      <c r="KR28" s="7">
        <f>IFERROR(AVERAGEIF('Данные 2st'!$Q$2:$Q$317,$A28,'Данные 2st'!$DB$2:$DB$317),"")</f>
        <v>11786.666666666666</v>
      </c>
      <c r="KS28" s="7">
        <f>IFERROR(AVERAGEIF('Данные 2st'!$Q$2:$Q$317,$A28,'Данные 2st'!$DC$2:$DC$317),"")</f>
        <v>296.6666666666667</v>
      </c>
      <c r="KT28" s="7">
        <f>IFERROR(AVERAGEIF('Данные 2st'!$Q$2:$Q$317,$A28,'Данные 2st'!$DD$2:$DD$317),"")</f>
        <v>329</v>
      </c>
      <c r="KU28" s="7">
        <f>IFERROR(AVERAGEIF('Данные 2st'!$Q$2:$Q$317,$A28,'Данные 2st'!$DE$2:$DE$317),"")</f>
        <v>2200.6666666666665</v>
      </c>
      <c r="KV28" s="7">
        <f>IFERROR(AVERAGEIF('Данные 2st'!$Q$2:$Q$317,$A28,'Данные 2st'!$DF$2:$DF$317),"")</f>
        <v>2200.6666666666665</v>
      </c>
      <c r="KW28" s="7">
        <f>IFERROR(AVERAGEIF('Данные 2st'!$Q$2:$Q$317,$A28,'Данные 2st'!$DG$2:$DG$317),"")</f>
        <v>2211.6666666666665</v>
      </c>
      <c r="KX28" s="7">
        <f>IFERROR(AVERAGEIF('Данные 2st'!$Q$2:$Q$317,$A28,'Данные 2st'!$DH$2:$DH$317),"")</f>
        <v/>
      </c>
      <c r="KY28" s="7">
        <f>IFERROR(AVERAGEIF('Данные 2st'!$Q$2:$Q$317,$A28,'Данные 2st'!$DI$2:$DI$317),"")</f>
        <v/>
      </c>
      <c r="KZ28" s="7">
        <f>IFERROR(AVERAGEIF('Данные 2st'!$Q$2:$Q$317,$A28,'Данные 2st'!$DK$2:$DK$317),"")</f>
        <v>178.33333333333334</v>
      </c>
      <c r="LA28" s="7">
        <f>IFERROR(AVERAGEIF('Данные 2st'!$Q$2:$Q$317,$A28,'Данные 2st'!$DM$2:$DM$317),"")</f>
        <v>63</v>
      </c>
      <c r="LB28" s="7">
        <f>IFERROR(AVERAGEIF('Данные 2st'!$Q$2:$Q$317,$A28,'Данные 2st'!$DN$2:$DN$317),"")</f>
        <v>1.1666666666666667</v>
      </c>
      <c r="LC28" s="7">
        <f>IFERROR(AVERAGEIF('Данные 2st'!$Q$2:$Q$317,$A28,'Данные 2st'!$DO$2:$DO$317),"")</f>
        <v>1</v>
      </c>
      <c r="LD28" s="7">
        <f>IFERROR(AVERAGEIF('Данные 2st'!$Q$2:$Q$317,$A28,'Данные 2st'!$DP$2:$DP$317),"")</f>
        <v>2088.6666666666665</v>
      </c>
      <c r="LE28" s="7">
        <f>IFERROR(AVERAGEIF('Данные 2st'!$Q$2:$Q$317,$A28,'Данные 2st'!$DQ$2:$DQ$317),"")</f>
        <v>838.3333333333334</v>
      </c>
      <c r="LF28" s="7">
        <f>IFERROR(AVERAGEIF('Данные 2st'!$Q$2:$Q$317,$A28,'Данные 2st'!$DS$2:$DS$317),"")</f>
        <v>168.33333333333334</v>
      </c>
      <c r="LG28" s="7">
        <f>IFERROR(AVERAGEIF('Данные 2st'!$Q$2:$Q$317,$A28,'Данные 2st'!$DU$2:$DU$317),"")</f>
        <v>63</v>
      </c>
      <c r="LH28" s="7">
        <f>IFERROR(AVERAGEIF('Данные 2st'!$Q$2:$Q$317,$A28,'Данные 2st'!$DV$2:$DV$317),"")</f>
        <v>1.1666666666666667</v>
      </c>
      <c r="LI28" s="7">
        <f>IFERROR(AVERAGEIF('Данные 2st'!$Q$2:$Q$317,$A28,'Данные 2st'!$DW$2:$DW$317),"")</f>
        <v>1</v>
      </c>
      <c r="LJ28" s="7">
        <f>IFERROR(AVERAGEIF('Данные 2st'!$Q$2:$Q$317,$A28,'Данные 2st'!$DX$2:$DX$317),"")</f>
        <v>2100.6666666666665</v>
      </c>
      <c r="LK28" s="7">
        <f>IFERROR(AVERAGEIF('Данные 2st'!$Q$2:$Q$317,$A28,'Данные 2st'!$DY$2:$DY$317),"")</f>
        <v>796</v>
      </c>
      <c r="LL28" s="7">
        <f>IFERROR(AVERAGEIF('Данные 2st'!$Q$2:$Q$317,$A28,'Данные 2st'!$EA$2:$EA$317),"")</f>
        <v>20</v>
      </c>
      <c r="LM28" s="7">
        <f>IFERROR(AVERAGEIF('Данные 2st'!$Q$2:$Q$317,$A28,'Данные 2st'!$EC$2:$EC$317),"")</f>
        <v>0.8</v>
      </c>
      <c r="LN28" s="7">
        <f>IFERROR(AVERAGEIF('Данные 2st'!$Q$2:$Q$317,$A28,'Данные 2st'!$ED$2:$ED$317),"")</f>
        <v>2088.6666666666665</v>
      </c>
      <c r="LO28" s="7">
        <f>IFERROR(AVERAGEIF('Данные 2st'!$Q$2:$Q$317,$A28,'Данные 2st'!$EE$2:$EE$317),"")</f>
        <v>73</v>
      </c>
      <c r="LP28" s="7">
        <f>IFERROR(AVERAGEIF('Данные 2st'!$Q$2:$Q$317,$A28,'Данные 2st'!$EG$2:$EG$317),"")</f>
        <v>0</v>
      </c>
      <c r="LQ28" s="7">
        <f>IFERROR(AVERAGEIF('Данные 2st'!$Q$2:$Q$317,$A28,'Данные 2st'!$EI$2:$EI$317),"")</f>
        <v>0</v>
      </c>
      <c r="LR28" s="7">
        <f>IFERROR(AVERAGEIF('Данные 2st'!$Q$2:$Q$317,$A28,'Данные 2st'!$EJ$2:$EJ$317),"")</f>
        <v/>
      </c>
      <c r="LS28" s="7">
        <f>IFERROR(AVERAGEIF('Данные 2st'!$Q$2:$Q$317,$A28,'Данные 2st'!$EK$2:$EK$317),"")</f>
        <v/>
      </c>
      <c r="LT28" s="7">
        <f>IFERROR(AVERAGEIF('Данные 2st'!$Q$2:$Q$317,$A28,'Данные 2st'!$EM$2:$EM$317),"")</f>
        <v>12</v>
      </c>
      <c r="LU28" s="7">
        <f>IFERROR(AVERAGEIF('Данные 2st'!$Q$2:$Q$317,$A28,'Данные 2st'!$EN$2:$EN$317),"")</f>
        <v>0.5</v>
      </c>
      <c r="LV28" s="7">
        <f>IFERROR(AVERAGEIF('Данные 2st'!$Q$2:$Q$317,$A28,'Данные 2st'!$EO$2:$EO$317),"")</f>
        <v>0.94</v>
      </c>
      <c r="LW28" s="7">
        <f>IFERROR(AVERAGEIF('Данные 2st'!$Q$2:$Q$317,$A28,'Данные 2st'!$EP$2:$EP$317),"")</f>
        <v>2099.6633333333334</v>
      </c>
      <c r="LX28" s="7">
        <f>IFERROR(AVERAGEIF('Данные 2st'!$Q$2:$Q$317,$A28,'Данные 2st'!$EQ$2:$EQ$317),"")</f>
        <v>32150.283333333333</v>
      </c>
      <c r="LY28" s="7">
        <f>IFERROR(AVERAGEIF('Данные 2st'!$Q$2:$Q$317,$A28,'Данные 2st'!$ER$2:$ER$317),"")</f>
        <v>6259.656666666667</v>
      </c>
      <c r="LZ28" s="7">
        <f>IFERROR(AVERAGEIF('Данные 2st'!$Q$2:$Q$317,$A28,'Данные 2st'!$ES$2:$ES$317),"")</f>
        <v>0</v>
      </c>
      <c r="MA28" s="7">
        <f>IFERROR(AVERAGEIF('Данные 2st'!$Q$2:$Q$317,$A28,'Данные 2st'!$ET$2:$ET$317),"")</f>
        <v>0</v>
      </c>
      <c r="MB28" s="7">
        <f>IFERROR(AVERAGEIF('Данные 2st'!$Q$2:$Q$317,$A28,'Данные 2st'!$EU$2:$EU$317),"")</f>
        <v>1</v>
      </c>
      <c r="MC28" s="7">
        <f>IFERROR(AVERAGEIF('Данные 2st'!$Q$2:$Q$317,$A28,'Данные 2st'!$EV$2:$EV$317),"")</f>
        <v>38410.666666666664</v>
      </c>
      <c r="MD28" s="7">
        <f>IFERROR(AVERAGEIF('Данные 2st'!$Q$2:$Q$317,$A28,'Данные 2st'!$EW$2:$EW$317),"")</f>
        <v>461.3333333333333</v>
      </c>
      <c r="ME28" s="7">
        <f>IFERROR(AVERAGEIF('Данные 2st'!$Q$2:$Q$317,$A28,'Данные 2st'!$EY$2:$EY$317),"")</f>
        <v>209.33333333333334</v>
      </c>
      <c r="MF28" s="7">
        <f>IFERROR(AVERAGEIF('Данные 2st'!$Q$2:$Q$317,$A28,'Данные 2st'!$FA$2:$FA$317),"")</f>
        <v>5.233333333333333</v>
      </c>
      <c r="MG28" s="7">
        <f>IFERROR(AVERAGEIF('Данные 2st'!$Q$2:$Q$317,$A28,'Данные 2st'!$FB$2:$FB$317),"")</f>
        <v>1</v>
      </c>
      <c r="MH28" s="7">
        <f>IFERROR(AVERAGEIF('Данные 2st'!$Q$2:$Q$317,$A28,'Данные 2st'!$FC$2:$FC$317),"")</f>
        <v>1</v>
      </c>
      <c r="MI28" s="7">
        <f>IFERROR(AVERAGEIF('Данные 2st'!$Q$2:$Q$317,$A28,'Данные 2st'!$FD$2:$FD$317),"")</f>
        <v>2134</v>
      </c>
      <c r="MJ28" s="7">
        <f>IFERROR(AVERAGEIF('Данные 2st'!$Q$2:$Q$317,$A28,'Данные 2st'!$FE$2:$FE$317),"")</f>
        <v>2343.3333333333335</v>
      </c>
      <c r="MK28" s="7">
        <f>IFERROR(AVERAGEIF('Данные 2st'!$Q$2:$Q$317,$A28,'Данные 2st'!$FG$2:$FG$317),"")</f>
        <v>209.33333333333334</v>
      </c>
      <c r="ML28" s="7">
        <f>IFERROR(AVERAGEIF('Данные 2st'!$Q$2:$Q$317,$A28,'Данные 2st'!$FI$2:$FI$317),"")</f>
        <v>3.2</v>
      </c>
      <c r="MM28" s="7">
        <f>IFERROR(AVERAGEIF('Данные 2st'!$Q$2:$Q$317,$A28,'Данные 2st'!$FJ$2:$FJ$317),"")</f>
        <v>2134</v>
      </c>
      <c r="MN28" s="7">
        <f>IFERROR(AVERAGEIF('Данные 2st'!$Q$2:$Q$317,$A28,'Данные 2st'!$FK$2:$FK$317),"")</f>
        <v>1648</v>
      </c>
      <c r="MO28" s="7">
        <f>IFERROR(AVERAGEIF('Данные 2st'!$Q$2:$Q$317,$A28,'Данные 2st'!$FP$2:$FP$317),"")</f>
        <v>2134</v>
      </c>
      <c r="MP28" s="7">
        <f>IFERROR(AVERAGEIF('Данные 2st'!$Q$2:$Q$317,$A28,'Данные 2st'!$FQ$2:$FQ$317),"")</f>
        <v>156</v>
      </c>
      <c r="MQ28" s="7">
        <f>IFERROR(AVERAGEIF('Данные 2st'!$Q$2:$Q$317,$A28,'Данные 2st'!$FS$2:$FS$317),"")</f>
        <v>213.33333333333334</v>
      </c>
      <c r="MR28" s="7">
        <f>IFERROR(AVERAGEIF('Данные 2st'!$Q$2:$Q$317,$A28,'Данные 2st'!$FU$2:$FU$317),"")</f>
        <v>0.4</v>
      </c>
      <c r="MS28" s="7">
        <f>IFERROR(AVERAGEIF('Данные 2st'!$Q$2:$Q$317,$A28,'Данные 2st'!$FV$2:$FV$317),"")</f>
        <v>2134</v>
      </c>
      <c r="MT28" s="7">
        <f>IFERROR(AVERAGEIF('Данные 2st'!$Q$2:$Q$317,$A28,'Данные 2st'!$FW$2:$FW$317),"")</f>
        <v>202.66666666666666</v>
      </c>
      <c r="MU28" s="7">
        <f>IFERROR(AVERAGEIF('Данные 2st'!$Q$2:$Q$317,$A28,'Данные 2st'!$FY$2:$FY$317),"")</f>
        <v>5</v>
      </c>
      <c r="MV28" s="7">
        <f>IFERROR(AVERAGEIF('Данные 2st'!$Q$2:$Q$317,$A28,'Данные 2st'!$GB$2:$GB$317),"")</f>
        <v>2134</v>
      </c>
      <c r="MW28" s="7">
        <f>IFERROR(AVERAGEIF('Данные 2st'!$Q$2:$Q$317,$A28,'Данные 2st'!$GC$2:$GC$317),"")</f>
        <v>20.666666666666668</v>
      </c>
      <c r="MX28" s="7">
        <f>IFERROR(AVERAGEIF('Данные 2st'!$Q$2:$Q$317,$A28,'Данные 2st'!$GD$2:$GD$317),"")</f>
        <v>4370.666666666667</v>
      </c>
      <c r="MY28" s="7">
        <f>IFERROR(AVERAGEIF('Данные 2st'!$Q$2:$Q$317,$A28,'Данные 2st'!$GN$2:$GN$317),"")</f>
        <v/>
      </c>
      <c r="MZ28" s="7">
        <f>IFERROR(AVERAGEIF('Данные 2st'!$Q$2:$Q$317,$A28,'Данные 2st'!$GQ$2:$GQ$317),"")</f>
        <v>0</v>
      </c>
      <c r="NA28" s="7">
        <f>IFERROR(AVERAGEIF('Данные 2st'!$Q$2:$Q$317,$A28,'Данные 2st'!$GV$2:$GV$317),"")</f>
        <v>8.833333333333334</v>
      </c>
      <c r="NB28" s="7">
        <f>IFERROR(AVERAGEIF('Данные 2st'!$Q$2:$Q$317,$A28,'Данные 2st'!$GW$2:$GW$317),"")</f>
        <v>10.033333333333333</v>
      </c>
      <c r="NC28" s="7">
        <f>IFERROR(AVERAGEIF('Данные 2st'!$Q$2:$Q$317,$A28,'Данные 2st'!$GX$2:$GX$317),"")</f>
        <v>0.5</v>
      </c>
      <c r="ND28" s="7">
        <f>IFERROR(AVERAGEIF('Данные 2st'!$Q$2:$Q$317,$A28,'Данные 2st'!$GY$2:$GY$317),"")</f>
        <v>170</v>
      </c>
      <c r="NE28" s="7">
        <f>IFERROR(AVERAGEIF('Данные 2st'!$Q$2:$Q$317,$A28,'Данные 2st'!$GZ$2:$GZ$317),"")</f>
        <v>3</v>
      </c>
      <c r="NF28" s="7">
        <f>IFERROR(AVERAGEIF('Данные 2st'!$Q$2:$Q$317,$A28,'Данные 2st'!$HA$2:$HA$317),"")</f>
        <v>228.66666666666666</v>
      </c>
      <c r="NG28" s="7">
        <f>IFERROR(AVERAGEIF('Данные 2st'!$Q$2:$Q$317,$A28,'Данные 2st'!$HB$2:$HB$317),"")</f>
        <v>3</v>
      </c>
      <c r="NH28" s="7">
        <f>IFERROR(AVERAGEIF('Данные 2st'!$Q$2:$Q$317,$A28,'Данные 2st'!$HC$2:$HC$317),"")</f>
        <v>2134</v>
      </c>
      <c r="NI28" s="7">
        <f>IFERROR(AVERAGEIF('Данные 2st'!$Q$2:$Q$317,$A28,'Данные 2st'!$HD$2:$HD$317),"")</f>
        <v>4</v>
      </c>
      <c r="NJ28" s="7">
        <f>IFERROR(AVERAGEIF('Данные 2st'!$Q$2:$Q$317,$A28,'Данные 2st'!$HM$2:$HM$317),"")</f>
        <v>17</v>
      </c>
      <c r="NK28" s="7">
        <f>IFERROR(AVERAGEIF('Данные 2st'!$Q$2:$Q$317,$A28,'Данные 2st'!$HR$2:$HR$317),"")</f>
        <v>3</v>
      </c>
      <c r="NL28" s="7">
        <f>IFERROR(AVERAGEIF('Данные 2st'!$Q$2:$Q$317,$A28,'Данные 2st'!$HS$2:$HS$317),"")</f>
        <v>2085</v>
      </c>
      <c r="NM28" s="7">
        <f>IFERROR(AVERAGEIF('Данные 2st'!$Q$2:$Q$317,$A28,'Данные 2st'!$HT$2:$HT$317),"")</f>
        <v>5</v>
      </c>
      <c r="NN28" s="7">
        <f>IFERROR(AVERAGEIF('Данные 2st'!$Q$2:$Q$317,$A28,'Данные 2st'!$HY$2:$HY$317),"")</f>
        <v>0</v>
      </c>
      <c r="NO28" s="7">
        <f>IFERROR(AVERAGEIF('Данные 2st'!$Q$2:$Q$317,$A28,'Данные 2st'!$HZ$2:$HZ$317),"")</f>
        <v>63</v>
      </c>
      <c r="NP28" s="7">
        <f>IFERROR(AVERAGEIF('Данные 2st'!$Q$2:$Q$317,$A28,'Данные 2st'!$IA$2:$IA$317),"")</f>
        <v>2088.6666666666665</v>
      </c>
      <c r="NQ28" s="7">
        <f>IFERROR(AVERAGEIF('Данные 2st'!$Q$2:$Q$317,$A28,'Данные 2st'!$IB$2:$IB$317),"")</f>
        <v>2100.6666666666665</v>
      </c>
      <c r="NR28" s="7">
        <f>IFERROR(AVERAGEIF('Данные 2st'!$Q$2:$Q$317,$A28,'Данные 2st'!$IC$2:$IC$317),"")</f>
        <v/>
      </c>
      <c r="NS28" s="7">
        <f>IFERROR(AVERAGEIF('Данные 2st'!$Q$2:$Q$317,$A28,'Данные 2st'!$ID$2:$ID$317),"")</f>
        <v>2134</v>
      </c>
      <c r="NT28" s="7">
        <f>IFERROR(AVERAGEIF('Данные 2st'!$Q$2:$Q$317,$A28,'Данные 2st'!$IE$2:$IE$317),"")</f>
        <v>2134</v>
      </c>
      <c r="NU28" s="7">
        <f>IFERROR(AVERAGEIF('Данные 2st'!$Q$2:$Q$317,$A28,'Данные 2st'!$IF$2:$IF$317),"")</f>
        <v>178.33333333333334</v>
      </c>
      <c r="NV28" s="7">
        <f>IFERROR(AVERAGEIF('Данные 2st'!$Q$2:$Q$317,$A28,'Данные 2st'!$IG$2:$IG$317),"")</f>
        <v>168.33333333333334</v>
      </c>
      <c r="NW28" s="7">
        <f>IFERROR(AVERAGEIF('Данные 2st'!$Q$2:$Q$317,$A28,'Данные 2st'!$IH$2:$IH$317),"")</f>
        <v>228.66666666666666</v>
      </c>
      <c r="NX28" s="7">
        <f>IFERROR(AVERAGEIF('Данные 2st'!$Q$2:$Q$317,$A28,'Данные 2st'!$IJ$2:$IJ$317),"")</f>
        <v>5</v>
      </c>
      <c r="NY28" s="7">
        <f>IFERROR(AVERAGEIF('Данные 2st'!$Q$2:$Q$317,$A28,'Данные 2st'!$IM$2:$IM$317),"")</f>
        <v>0</v>
      </c>
      <c r="NZ28" s="7">
        <f>IFERROR(AVERAGEIF('Данные 2st'!$Q$2:$Q$317,$A28,'Данные 2st'!$IN$2:$IN$317),"")</f>
        <v>270</v>
      </c>
      <c r="OA28" s="7">
        <f>IFERROR(AVERAGEIF('Данные 2st'!$Q$2:$Q$317,$A28,'Данные 2st'!$IO$2:$IO$317),"")</f>
        <v>0</v>
      </c>
      <c r="OB28" s="7">
        <f>IFERROR(AVERAGEIF('Данные 2st'!$Q$2:$Q$317,$A28,'Данные 2st'!$IP$2:$IP$317),"")</f>
        <v>180</v>
      </c>
      <c r="OC28" s="7">
        <f>IFERROR(AVERAGEIF('Данные 2st'!$Q$2:$Q$317,$A28,'Данные 2st'!$IQ$2:$IQ$317),"")</f>
        <v>0</v>
      </c>
      <c r="OD28" s="7">
        <f>IFERROR(AVERAGEIF('Данные 2st'!$Q$2:$Q$317,$A28,'Данные 2st'!$IR$2:$IR$317),"")</f>
        <v>330</v>
      </c>
      <c r="OE28" s="7">
        <f>IFERROR(AVERAGEIF('Данные 2st'!$Q$2:$Q$317,$A28,'Данные 2st'!$IT$2:$IT$317),"")</f>
        <v>90</v>
      </c>
      <c r="OF28" s="7">
        <f>IFERROR(AVERAGEIF('Данные 2st'!$Q$2:$Q$317,$A28,'Данные 2st'!$IU$2:$IU$317),"")</f>
        <v>0</v>
      </c>
      <c r="OG28" s="7">
        <f>IFERROR(AVERAGEIF('Данные 2st'!$Q$2:$Q$317,$A28,'Данные 2st'!$IV$2:$IV$317),"")</f>
        <v>6.4</v>
      </c>
      <c r="OH28" s="7">
        <f>IFERROR(AVERAGEIF('Данные 2st'!$Q$2:$Q$317,$A28,'Данные 2st'!$IW$2:$IW$317),"")</f>
        <v>-6</v>
      </c>
      <c r="OI28" s="7">
        <f>IFERROR(AVERAGEIF('Данные 2st'!$Q$2:$Q$317,$A28,'Данные 2st'!$IX$2:$IX$317),"")</f>
        <v>92.0</v>
      </c>
      <c r="OJ28" s="7">
        <f>IFERROR(AVERAGEIF('Данные 2st'!$Q$2:$Q$317,$A28,'Данные 2st'!$IY$2:$IY$317),"")</f>
        <v>73</v>
      </c>
      <c r="OK28" s="7">
        <f>IFERROR(AVERAGEIF('Данные 2st'!$Q$2:$Q$317,$A28,'Данные 2st'!$IZ$2:$IZ$317),"")</f>
        <v>0</v>
      </c>
      <c r="OL28" s="7">
        <f>IFERROR(AVERAGEIF('Данные 2st'!$Q$2:$Q$317,$A28,'Данные 2st'!$JA$2:$JA$317),"")</f>
        <v>0</v>
      </c>
      <c r="OM28" s="7">
        <f>IFERROR(AVERAGEIF('Данные 2st'!$Q$2:$Q$317,$A28,'Данные 2st'!$JB$2:$JB$317),"")</f>
        <v>0</v>
      </c>
      <c r="ON28" s="7">
        <f>IFERROR(AVERAGEIF('Данные 2st'!$Q$2:$Q$317,$A28,'Данные 2st'!$JC$2:$JC$317),"")</f>
        <v>0</v>
      </c>
      <c r="OO28" s="7">
        <f>IFERROR(AVERAGEIF('Данные 2st'!$Q$2:$Q$317,$A28,'Данные 2st'!$JD$2:$JD$317),"")</f>
        <v>0</v>
      </c>
      <c r="OP28" s="7">
        <f>IFERROR(AVERAGEIF('Данные 2st'!$Q$2:$Q$317,$A28,'Данные 2st'!$JE$2:$JE$317),"")</f>
        <v>0</v>
      </c>
      <c r="OQ28" s="7">
        <f>IFERROR(AVERAGEIF('Данные 2st'!$Q$2:$Q$317,$A28,'Данные 2st'!$JF$2:$JF$317),"")</f>
        <v>0</v>
      </c>
      <c r="OR28" s="7">
        <f>IFERROR(AVERAGEIF('Данные 2st'!$Q$2:$Q$317,$A28,'Данные 2st'!$JG$2:$JG$317),"")</f>
        <v>0</v>
      </c>
      <c r="OS28" s="7">
        <f>IFERROR(AVERAGEIF('Данные 2st'!$Q$2:$Q$317,$A28,'Данные 2st'!$JH$2:$JH$317),"")</f>
        <v>0</v>
      </c>
      <c r="OT28" s="7">
        <f>IFERROR(AVERAGEIF('Данные 2st'!$Q$2:$Q$317,$A28,'Данные 2st'!$JI$2:$JI$317),"")</f>
        <v>400.6666666666667</v>
      </c>
      <c r="OU28" s="7">
        <f>IFERROR(AVERAGEIF('Данные 2st'!$Q$2:$Q$317,$A28,'Данные 2st'!$JJ$2:$JJ$317),"")</f>
        <v>370.6666666666667</v>
      </c>
      <c r="OV28" s="7">
        <f>IFERROR(AVERAGEIF('Данные 2st'!$Q$2:$Q$317,$A28,'Данные 2st'!$JK$2:$JK$317),"")</f>
        <v>269</v>
      </c>
      <c r="OW28" s="7">
        <f>IFERROR(AVERAGEIF('Данные 2st'!$Q$2:$Q$317,$A28,'Данные 2st'!$JL$2:$JL$317),"")</f>
        <v>368</v>
      </c>
      <c r="OX28" s="7">
        <f>IFERROR(AVERAGEIF('Данные 2st'!$Q$2:$Q$317,$A28,'Данные 2st'!$JM$2:$JM$317),"")</f>
        <v>282.6666666666667</v>
      </c>
      <c r="OY28" s="7">
        <f>IFERROR(AVERAGEIF('Данные 2st'!$Q$2:$Q$317,$A28,'Данные 2st'!$JP$2:$JP$317),"")</f>
        <v>181.66666666666666</v>
      </c>
      <c r="OZ28" s="7">
        <f>IFERROR(AVERAGEIF('Данные 2st'!$Q$2:$Q$317,$A28,'Данные 2st'!$JQ$2:$JQ$317),"")</f>
        <v>246.66666666666666</v>
      </c>
      <c r="PA28" s="7">
        <f>IFERROR(AVERAGEIF('Данные 2st'!$Q$2:$Q$317,$A28,'Данные 2st'!$JR$2:$JR$317),"")</f>
        <v>334.3333333333333</v>
      </c>
      <c r="PB28" s="7">
        <f>IFERROR(AVERAGEIF('Данные 2st'!$Q$2:$Q$317,$A28,'Данные 2st'!$JS$2:$JS$317),"")</f>
        <v>247.66666666666666</v>
      </c>
      <c r="PC28" s="7">
        <f>IFERROR(AVERAGEIF('Данные 2st'!$Q$2:$Q$317,$A28,'Данные 2st'!$JT$2:$JT$317),"")</f>
        <v>0</v>
      </c>
      <c r="PD28" s="7">
        <f>IFERROR(AVERAGEIF('Данные 2st'!$Q$2:$Q$317,$A28,'Данные 2st'!$JU$2:$JU$317),"")</f>
        <v>0</v>
      </c>
      <c r="PE28" s="7">
        <f>IFERROR(AVERAGEIF('Данные 2st'!$Q$2:$Q$317,$A28,'Данные 2st'!$JV$2:$JV$317),"")</f>
        <v>330</v>
      </c>
      <c r="PF28" s="7">
        <f>IFERROR(AVERAGEIF('Данные 2st'!$Q$2:$Q$317,$A28,'Данные 2st'!$JW$2:$JW$317),"")</f>
        <v>330.6666666666667</v>
      </c>
      <c r="PG28" s="7">
        <f>IFERROR(AVERAGEIF('Данные 2st'!$Q$2:$Q$317,$A28,'Данные 2st'!$KF$2:$KF$317),"")</f>
        <v>0.17</v>
      </c>
      <c r="PH28" s="7">
        <f>IFERROR(AVERAGEIF('Данные 2st'!$Q$2:$Q$317,$A28,'Данные 2st'!$KG$2:$KG$317),"")</f>
        <v>0.10666666666666667</v>
      </c>
      <c r="PI28" s="7">
        <f>IFERROR(AVERAGEIF('Данные 2st'!$Q$2:$Q$317,$A28,'Данные 2st'!$KM$2:$KM$317),"")</f>
        <v>0.3333333333333333</v>
      </c>
      <c r="PJ28" s="7">
        <f>IFERROR(AVERAGEIF('Данные 2st'!$Q$2:$Q$317,$A28,'Данные 2st'!$KN$2:$KN$317),"")</f>
        <v>1.6</v>
      </c>
      <c r="PK28" s="7">
        <f>IFERROR(AVERAGEIF('Данные 2st'!$Q$2:$Q$317,$A28,'Данные 2st'!$KO$2:$KO$317),"")</f>
        <v>0</v>
      </c>
      <c r="PL28" s="7">
        <f>IFERROR(AVERAGEIF('Данные 2st'!$Q$2:$Q$317,$A28,'Данные 2st'!$KP$2:$KP$317),"")</f>
        <v>0</v>
      </c>
      <c r="PM28" s="7">
        <f>IFERROR(AVERAGEIF('Данные 2st'!$Q$2:$Q$317,$A28,'Данные 2st'!$KQ$2:$KQ$317),"")</f>
        <v>0.6333333333333333</v>
      </c>
      <c r="PN28" s="7">
        <f>IFERROR(AVERAGEIF('Данные 2st'!$Q$2:$Q$317,$A28,'Данные 2st'!$KR$2:$KR$317),"")</f>
        <v>1.4</v>
      </c>
      <c r="PO28" s="7">
        <f>IFERROR(AVERAGEIF('Данные 2st'!$Q$2:$Q$317,$A28,'Данные 2st'!$KS$2:$KS$317),"")</f>
        <v>0</v>
      </c>
      <c r="PP28" s="7">
        <f>IFERROR(AVERAGEIF('Данные 2st'!$Q$2:$Q$317,$A28,'Данные 2st'!$KT$2:$KT$317),"")</f>
        <v>2.2666666666666666</v>
      </c>
      <c r="PQ28" s="7">
        <f>IFERROR(AVERAGEIF('Данные 2st'!$Q$2:$Q$317,$A28,'Данные 2st'!$KU$2:$KU$317),"")</f>
        <v>0</v>
      </c>
      <c r="PR28" s="7">
        <f>IFERROR(AVERAGEIF('Данные 2st'!$Q$2:$Q$317,$A28,'Данные 2st'!$KV$2:$KV$317),"")</f>
        <v>0</v>
      </c>
      <c r="PS28" s="7">
        <f>IFERROR(AVERAGEIF('Данные 2st'!$Q$2:$Q$317,$A28,'Данные 2st'!$KW$2:$KW$317),"")</f>
        <v>0.3333333333333333</v>
      </c>
      <c r="PT28" s="7">
        <f>IFERROR(AVERAGEIF('Данные 2st'!$Q$2:$Q$317,$A28,'Данные 2st'!$KX$2:$KX$317),"")</f>
        <v>1.2</v>
      </c>
      <c r="PU28" s="7">
        <f>IFERROR(AVERAGEIF('Данные 2st'!$Q$2:$Q$317,$A28,'Данные 2st'!$KY$2:$KY$317),"")</f>
        <v>1.3333333333333333</v>
      </c>
      <c r="PV28" s="7">
        <f>IFERROR(AVERAGEIF('Данные 2st'!$Q$2:$Q$317,$A28,'Данные 2st'!$KZ$2:$KZ$317),"")</f>
        <v>0</v>
      </c>
      <c r="PW28" s="7">
        <f>IFERROR(AVERAGEIF('Данные 2st'!$Q$2:$Q$317,$A28,'Данные 2st'!$LA$2:$LA$317),"")</f>
        <v>0</v>
      </c>
      <c r="PX28" s="7">
        <f>IFERROR(AVERAGEIF('Данные 2st'!$Q$2:$Q$317,$A28,'Данные 2st'!$LB$2:$LB$317),"")</f>
        <v>0</v>
      </c>
      <c r="PY28" s="7">
        <f>IFERROR(AVERAGEIF('Данные 2st'!$Q$2:$Q$317,$A28,'Данные 2st'!$LC$2:$LC$317),"")</f>
        <v>0</v>
      </c>
      <c r="PZ28" s="7">
        <f>IFERROR(AVERAGEIF('Данные 2st'!$Q$2:$Q$317,$A28,'Данные 2st'!$LD$2:$LD$317),"")</f>
        <v>0</v>
      </c>
      <c r="QA28" s="7">
        <f>IFERROR(AVERAGEIF('Данные 2st'!$Q$2:$Q$317,$A28,'Данные 2st'!$LE$2:$LE$317),"")</f>
        <v>0</v>
      </c>
      <c r="QB28" s="7">
        <f>IFERROR(AVERAGEIF('Данные 2st'!$Q$2:$Q$317,$A28,'Данные 2st'!$LF$2:$LF$317),"")</f>
        <v>0</v>
      </c>
      <c r="QC28" s="7">
        <f>IFERROR(AVERAGEIF('Данные 2st'!$Q$2:$Q$317,$A28,'Данные 2st'!$LG$2:$LG$317),"")</f>
        <v>0</v>
      </c>
      <c r="QD28" s="7">
        <f>IFERROR(AVERAGEIF('Данные 2st'!$Q$2:$Q$317,$A28,'Данные 2st'!$LH$2:$LH$317),"")</f>
        <v>2</v>
      </c>
      <c r="QE28" s="7">
        <f>IFERROR(AVERAGEIF('Данные 2st'!$Q$2:$Q$317,$A28,'Данные 2st'!$LJ$2:$LJ$317),"")</f>
        <v>0</v>
      </c>
      <c r="QF28" s="7">
        <f>IFERROR(AVERAGEIF('Данные 2st'!$Q$2:$Q$317,$A28,'Данные 2st'!$LK$2:$LK$317),"")</f>
        <v>4.333333333333333</v>
      </c>
      <c r="QG28" s="7">
        <f>IFERROR(AVERAGEIF('Данные 2st'!$Q$2:$Q$317,$A28,'Данные 2st'!$LL$2:$LL$317),"")</f>
        <v>5.666666666666667</v>
      </c>
      <c r="QH28" s="7">
        <f>IFERROR(AVERAGEIF('Данные 2st'!$Q$2:$Q$317,$A28,'Данные 2st'!$LM$2:$LM$317),"")</f>
        <v>7.0</v>
      </c>
      <c r="QI28" s="7">
        <f>IFERROR(AVERAGEIF('Данные 2st'!$Q$2:$Q$317,$A28,'Данные 2st'!$LN$2:$LN$317),"")</f>
        <v>0.1</v>
      </c>
      <c r="QJ28" s="7">
        <f>IFERROR(AVERAGEIF('Данные 2st'!$Q$2:$Q$317,$A28,'Данные 2st'!$LO$2:$LO$317),"")</f>
        <v>1.0666666666666667</v>
      </c>
      <c r="QK28" s="7">
        <f>IFERROR(AVERAGEIF('Данные 2st'!$Q$2:$Q$317,$A28,'Данные 2st'!$LP$2:$LP$317),"")</f>
        <v>0</v>
      </c>
      <c r="QL28" s="7">
        <f>IFERROR(AVERAGEIF('Данные 2st'!$Q$2:$Q$317,$A28,'Данные 2st'!$LQ$2:$LQ$317),"")</f>
        <v>0</v>
      </c>
      <c r="QM28" s="7">
        <f>IFERROR(AVERAGEIF('Данные 2st'!$Q$2:$Q$317,$A28,'Данные 2st'!$LW$2:$LW$317),"")</f>
        <v>1.8666666666666667</v>
      </c>
      <c r="QN28" s="7">
        <f>IFERROR(AVERAGEIF('Данные 2st'!$Q$2:$Q$317,$A28,'Данные 2st'!$LX$2:$LX$317),"")</f>
        <v>1.8666666666666667</v>
      </c>
      <c r="QO28" s="7">
        <f>IFERROR(AVERAGEIF('Данные 2st'!$Q$2:$Q$317,$A28,'Данные 2st'!$LY$2:$LY$317),"")</f>
        <v>1.9666666666666668</v>
      </c>
      <c r="QP28" s="7">
        <f>IFERROR(AVERAGEIF('Данные 2st'!$Q$2:$Q$317,$A28,'Данные 2st'!$LZ$2:$LZ$317),"")</f>
        <v>1.9666666666666668</v>
      </c>
      <c r="QQ28" s="7">
        <f>IFERROR(AVERAGEIF('Данные 2st'!$Q$2:$Q$317,$A28,'Данные 2st'!$MB$2:$MB$317),"")</f>
        <v>3.5</v>
      </c>
      <c r="QR28" s="7">
        <f>IFERROR(AVERAGEIF('Данные 2st'!$Q$2:$Q$317,$A28,'Данные 2st'!$MG$2:$MG$317),"")</f>
        <v>0</v>
      </c>
      <c r="QS28" s="7">
        <f>IFERROR(AVERAGEIF('Данные 2st'!$Q$2:$Q$317,$A28,'Данные 2st'!$MH$2:$MH$317),"")</f>
        <v>0</v>
      </c>
      <c r="QT28" s="7">
        <f>IFERROR(AVERAGEIF('Данные 2st'!$Q$2:$Q$317,$A28,'Данные 2st'!$MI$2:$MI$317),"")</f>
        <v>0</v>
      </c>
      <c r="QU28" s="7">
        <f>IFERROR(AVERAGEIF('Данные 2st'!$Q$2:$Q$317,$A28,'Данные 2st'!$MJ$2:$MJ$317),"")</f>
        <v>0</v>
      </c>
      <c r="QV28" s="7">
        <f>IFERROR(AVERAGEIF('Данные 2st'!$Q$2:$Q$317,$A28,'Данные 2st'!$MK$2:$MK$317),"")</f>
        <v>0</v>
      </c>
      <c r="QW28" s="7">
        <f>IFERROR(AVERAGEIF('Данные 2st'!$Q$2:$Q$317,$A28,'Данные 2st'!$MM$2:$MM$317),"")</f>
        <v>426.6666666666667</v>
      </c>
      <c r="QX28" s="7">
        <f>IFERROR(AVERAGEIF('Данные 2st'!$Q$2:$Q$317,$A28,'Данные 2st'!$MQ$2:$MQ$317),"")</f>
        <v/>
      </c>
      <c r="QY28" s="7">
        <f>IFERROR(AVERAGEIF('Данные 2st'!$Q$2:$Q$317,$A28,'Данные 2st'!$MR$2:$MR$317),"")</f>
        <v/>
      </c>
      <c r="QZ28" s="7">
        <f>IFERROR(AVERAGEIF('Данные 2st'!$Q$2:$Q$317,$A28,'Данные 2st'!$MS$2:$MS$317),"")</f>
        <v/>
      </c>
      <c r="RA28" s="7">
        <f>IFERROR(AVERAGEIF('Данные 2st'!$Q$2:$Q$317,$A28,'Данные 2st'!$MT$2:$MT$317),"")</f>
        <v/>
      </c>
      <c r="RB28" s="7">
        <f>IFERROR(AVERAGEIF('Данные 2st'!$Q$2:$Q$317,$A28,'Данные 2st'!$MU$2:$MU$317),"")</f>
        <v/>
      </c>
      <c r="RC28" s="7">
        <f>IFERROR(AVERAGEIF('Данные 2st'!$Q$2:$Q$317,$A28,'Данные 2st'!$MV$2:$MV$317),"")</f>
        <v/>
      </c>
      <c r="RD28" s="7">
        <f>IFERROR(AVERAGEIF('Данные 2st'!$Q$2:$Q$317,$A28,'Данные 2st'!$MW$2:$MW$317),"")</f>
        <v/>
      </c>
      <c r="RE28" s="7">
        <f>IFERROR(AVERAGEIF('Данные 2st'!$Q$2:$Q$317,$A28,'Данные 2st'!$MX$2:$MX$317),"")</f>
        <v/>
      </c>
      <c r="RF28" s="7">
        <f>IFERROR(AVERAGEIF('Данные 2st'!$Q$2:$Q$317,$A28,'Данные 2st'!$MY$2:$MY$317),"")</f>
        <v/>
      </c>
      <c r="RG28" s="7">
        <f>IFERROR(AVERAGEIF('Данные 2st'!$Q$2:$Q$317,$A28,'Данные 2st'!$MZ$2:$MZ$317),"")</f>
        <v/>
      </c>
      <c r="RH28" s="7">
        <f>IFERROR(AVERAGEIF('Данные 2st'!$Q$2:$Q$317,$A28,'Данные 2st'!$NA$2:$NA$317),"")</f>
        <v/>
      </c>
      <c r="RI28" s="7">
        <f>IFERROR(AVERAGEIF('Данные 2st'!$Q$2:$Q$317,$A28,'Данные 2st'!$NB$2:$NB$317),"")</f>
        <v/>
      </c>
      <c r="RJ28" s="7">
        <f>IFERROR(AVERAGEIF('Данные 2st'!$Q$2:$Q$317,$A28,'Данные 2st'!$NC$2:$NC$317),"")</f>
        <v/>
      </c>
      <c r="RK28" s="7">
        <f>IFERROR(AVERAGEIF('Данные 2st'!$Q$2:$Q$317,$A28,'Данные 2st'!$ND$2:$ND$317),"")</f>
        <v/>
      </c>
      <c r="RL28" s="7">
        <f>IFERROR(AVERAGEIF('Данные 2st'!$Q$2:$Q$317,$A28,'Данные 2st'!$NE$2:$NE$317),"")</f>
        <v/>
      </c>
      <c r="RM28" s="7">
        <f>IFERROR(AVERAGEIF('Данные 2st'!$Q$2:$Q$317,$A28,'Данные 2st'!$NF$2:$NF$317),"")</f>
        <v/>
      </c>
      <c r="RN28" s="7">
        <f>IFERROR(AVERAGEIF('Данные 2st'!$Q$2:$Q$317,$A28,'Данные 2st'!$NG$2:$NG$317),"")</f>
        <v/>
      </c>
      <c r="RO28" s="7">
        <f>IFERROR(AVERAGEIF('Данные 2st'!$Q$2:$Q$317,$A28,'Данные 2st'!$NH$2:$NH$317),"")</f>
        <v/>
      </c>
      <c r="RP28" s="7">
        <f>IFERROR(AVERAGEIF('Данные 2st'!$Q$2:$Q$317,$A28,'Данные 2st'!$NJ$2:$NJ$317),"")</f>
        <v/>
      </c>
      <c r="RQ28" s="7">
        <f>IFERROR(AVERAGEIF('Данные 2st'!$Q$2:$Q$317,$A28,'Данные 2st'!$NK$2:$NK$317),"")</f>
        <v/>
      </c>
      <c r="RR28" s="7">
        <f>IFERROR(AVERAGEIF('Данные 2st'!$Q$2:$Q$317,$A28,'Данные 2st'!$NM$2:$NM$317),"")</f>
        <v/>
      </c>
      <c r="RS28" s="7">
        <f>IFERROR(AVERAGEIF('Данные 2st'!$Q$2:$Q$317,$A28,'Данные 2st'!$NN$2:$NN$317),"")</f>
        <v/>
      </c>
      <c r="RT28" s="7">
        <f>IFERROR(AVERAGEIF('Данные 2st'!$Q$2:$Q$317,$A28,'Данные 2st'!$NO$2:$NO$317),"")</f>
        <v/>
      </c>
      <c r="RU28" s="7">
        <f>IFERROR(AVERAGEIF('Данные 2st'!$Q$2:$Q$317,$A28,'Данные 2st'!$NP$2:$NP$317),"")</f>
        <v/>
      </c>
      <c r="RV28" s="7">
        <f>IFERROR(AVERAGEIF('Данные 2st'!$Q$2:$Q$317,$A28,'Данные 2st'!$NQ$2:$NQ$317),"")</f>
        <v/>
      </c>
      <c r="RW28" s="7">
        <f>IFERROR(AVERAGEIF('Данные 2st'!$Q$2:$Q$317,$A28,'Данные 2st'!$NR$2:$NR$317),"")</f>
        <v/>
      </c>
      <c r="RX28" s="7">
        <f>IFERROR(AVERAGEIF('Данные 2st'!$Q$2:$Q$317,$A28,'Данные 2st'!$NS$2:$NS$317),"")</f>
        <v/>
      </c>
      <c r="RY28" s="7">
        <f>IFERROR(AVERAGEIF('Данные 2st'!$Q$2:$Q$317,$A28,'Данные 2st'!$NT$2:$NT$317),"")</f>
        <v/>
      </c>
      <c r="RZ28" s="7">
        <f>IFERROR(AVERAGEIF('Данные 2st'!$Q$2:$Q$317,$A28,'Данные 2st'!$OK$2:$OK$317),"")</f>
        <v>61</v>
      </c>
      <c r="SA28" s="7">
        <f>IFERROR(AVERAGEIF('Данные 2st'!$Q$2:$Q$317,$A28,'Данные 2st'!$OL$2:$OL$317),"")</f>
        <v>61</v>
      </c>
      <c r="SB28" s="7">
        <f>IFERROR(AVERAGEIF('Данные 2st'!$Q$2:$Q$317,$A28,'Данные 2st'!$ON$2:$ON$317),"")</f>
        <v>1.6666666666666667</v>
      </c>
      <c r="SC28" s="7">
        <f>IFERROR(AVERAGEIF('Данные 2st'!$Q$2:$Q$317,$A28,'Данные 2st'!$OO$2:$OO$317),"")</f>
        <v>2088.6666666666665</v>
      </c>
      <c r="SD28" s="7">
        <f>IFERROR(AVERAGEIF('Данные 2st'!$Q$2:$Q$317,$A28,'Данные 2st'!$OP$2:$OP$317),"")</f>
        <v>61</v>
      </c>
      <c r="SE28" s="7">
        <f>IFERROR(AVERAGEIF('Данные 2st'!$Q$2:$Q$317,$A28,'Данные 2st'!$OQ$2:$OQ$317),"")</f>
        <v>61</v>
      </c>
      <c r="SF28" s="7">
        <f>IFERROR(AVERAGEIF('Данные 2st'!$Q$2:$Q$317,$A28,'Данные 2st'!$OS$2:$OS$317),"")</f>
        <v>1.6666666666666667</v>
      </c>
      <c r="SG28" s="7">
        <f>IFERROR(AVERAGEIF('Данные 2st'!$Q$2:$Q$317,$A28,'Данные 2st'!$OT$2:$OT$317),"")</f>
        <v>2100.6666666666665</v>
      </c>
      <c r="SH28" s="7">
        <f>IFERROR(AVERAGEIF('Данные 2st'!$Q$2:$Q$317,$A28,'Данные 2st'!$OU$2:$OU$317),"")</f>
        <v>65</v>
      </c>
      <c r="SI28" s="7">
        <f>IFERROR(AVERAGEIF('Данные 2st'!$Q$2:$Q$317,$A28,'Данные 2st'!$OV$2:$OV$317),"")</f>
        <v>65</v>
      </c>
      <c r="SJ28" s="7">
        <f>IFERROR(AVERAGEIF('Данные 2st'!$Q$2:$Q$317,$A28,'Данные 2st'!$OX$2:$OX$317),"")</f>
        <v>1.3333333333333333</v>
      </c>
      <c r="SK28" s="7">
        <f>IFERROR(AVERAGEIF('Данные 2st'!$Q$2:$Q$317,$A28,'Данные 2st'!$OY$2:$OY$317),"")</f>
        <v>38410.666666666664</v>
      </c>
      <c r="SL28" s="7">
        <f>IFERROR(AVERAGEIF('Данные 2st'!$Q$2:$Q$317,$A28,'Данные 2st'!$OZ$2:$OZ$317),"")</f>
        <v>51</v>
      </c>
      <c r="SM28" s="7">
        <f>IFERROR(AVERAGEIF('Данные 2st'!$Q$2:$Q$317,$A28,'Данные 2st'!$PA$2:$PA$317),"")</f>
        <v>51.333333333333336</v>
      </c>
      <c r="SN28" s="7">
        <f>IFERROR(AVERAGEIF('Данные 2st'!$Q$2:$Q$317,$A28,'Данные 2st'!$PC$2:$PC$317),"")</f>
        <v>1.3333333333333333</v>
      </c>
      <c r="SO28" s="7">
        <f>IFERROR(AVERAGEIF('Данные 2st'!$Q$2:$Q$317,$A28,'Данные 2st'!$PD$2:$PD$317),"")</f>
        <v>2134</v>
      </c>
      <c r="SP28" s="7">
        <f>IFERROR(AVERAGEIF('Данные 2st'!$Q$2:$Q$317,$A28,'Данные 2st'!$PF$2:$PF$317),"")</f>
        <v>401.3333333333333</v>
      </c>
      <c r="SQ28" s="7">
        <f>IFERROR(AVERAGEIF('Данные 2st'!$Q$2:$Q$317,$A28,'Данные 2st'!$PG$2:$PG$317),"")</f>
        <v>35</v>
      </c>
      <c r="SR28" s="7">
        <f>IFERROR(AVERAGEIF('Данные 2st'!$Q$2:$Q$317,$A28,'Данные 2st'!$PH$2:$PH$317),"")</f>
        <v>379</v>
      </c>
      <c r="SS28" s="7">
        <f>IFERROR(AVERAGEIF('Данные 2st'!$Q$2:$Q$317,$A28,'Данные 2st'!$PI$2:$PI$317),"")</f>
        <v>0</v>
      </c>
      <c r="ST28" s="7">
        <f>IFERROR(AVERAGEIF('Данные 2st'!$Q$2:$Q$317,$A28,'Данные 2st'!$PJ$2:$PJ$317),"")</f>
        <v>72.96666666666667</v>
      </c>
      <c r="SU28" s="7">
        <f>IFERROR(AVERAGEIF('Данные 2st'!$Q$2:$Q$317,$A28,'Данные 2st'!$PK$2:$PK$317),"")</f>
        <v>1980</v>
      </c>
      <c r="SV28" s="7">
        <f>IFERROR(AVERAGEIF('Данные 2st'!$Q$2:$Q$317,$A28,'Данные 2st'!$PL$2:$PL$317),"")</f>
        <v>1098.2</v>
      </c>
      <c r="SW28" s="7">
        <f>IFERROR(AVERAGEIF('Данные 2st'!$Q$2:$Q$317,$A28,'Данные 2st'!$PM$2:$PM$317),"")</f>
        <v>772.1333333333333</v>
      </c>
      <c r="SX28" s="7">
        <f>IFERROR(AVERAGEIF('Данные 2st'!$Q$2:$Q$317,$A28,'Данные 2st'!$PN$2:$PN$317),"")</f>
        <v>94.86666666666666</v>
      </c>
      <c r="SY28" s="7">
        <f>IFERROR(AVERAGEIF('Данные 2st'!$Q$2:$Q$317,$A28,'Данные 2st'!$PO$2:$PO$317),"")</f>
        <v>9.799999999999999</v>
      </c>
      <c r="SZ28" s="7">
        <f>IFERROR(AVERAGEIF('Данные 2st'!$Q$2:$Q$317,$A28,'Данные 2st'!$PP$2:$PP$317),"")</f>
        <v>12</v>
      </c>
      <c r="TA28" s="7">
        <f>IFERROR(AVERAGEIF('Данные 2st'!$Q$2:$Q$317,$A28,'Данные 2st'!$PQ$2:$PQ$317),"")</f>
        <v>3.6666666666666665</v>
      </c>
      <c r="TB28" s="7">
        <f>IFERROR(AVERAGEIF('Данные 2st'!$Q$2:$Q$317,$A28,'Данные 2st'!$PR$2:$PR$317),"")</f>
        <v>5</v>
      </c>
      <c r="TC28" s="7">
        <f>IFERROR(AVERAGEIF('Данные 2st'!$Q$2:$Q$317,$A28,'Данные 2st'!$PS$2:$PS$317),"")</f>
        <v>0</v>
      </c>
      <c r="TD28" s="7">
        <f>IFERROR(AVERAGEIF('Данные 2st'!$Q$2:$Q$317,$A28,'Данные 2st'!$PT$2:$PT$317),"")</f>
        <v>228.66666666666666</v>
      </c>
      <c r="TE28" s="7">
        <f>IFERROR(AVERAGEIF('Данные 2st'!$Q$2:$Q$317,$A28,'Данные 2st'!$PU$2:$PU$317),"")</f>
        <v>9.666666666666666</v>
      </c>
      <c r="TF28" s="7">
        <f>IFERROR(AVERAGEIF('Данные 2st'!$Q$2:$Q$317,$A28,'Данные 2st'!$PX$2:$PX$317),"")</f>
        <v>0</v>
      </c>
      <c r="TG28" s="7">
        <f>IFERROR(AVERAGEIF('Данные 2st'!$Q$2:$Q$317,$A28,'Данные 2st'!$PY$2:$PY$317),"")</f>
        <v>0</v>
      </c>
      <c r="TH28" s="7">
        <f>IFERROR(AVERAGEIF('Данные 2st'!$Q$2:$Q$317,$A28,'Данные 2st'!$PZ$2:$PZ$317),"")</f>
        <v>0</v>
      </c>
      <c r="TI28" s="7">
        <f>IFERROR(AVERAGEIF('Данные 2st'!$Q$2:$Q$317,$A28,'Данные 2st'!$QA$2:$QA$317),"")</f>
        <v>0</v>
      </c>
      <c r="TJ28" s="7">
        <f>IFERROR(AVERAGEIF('Данные 2st'!$Q$2:$Q$317,$A28,'Данные 2st'!$QB$2:$QB$317),"")</f>
        <v>0</v>
      </c>
      <c r="TK28" s="7">
        <f>IFERROR(AVERAGEIF('Данные 2st'!$Q$2:$Q$317,$A28,'Данные 2st'!$QC$2:$QC$317),"")</f>
        <v>0</v>
      </c>
      <c r="TL28" s="7">
        <f>IFERROR(AVERAGEIF('Данные 2st'!$Q$2:$Q$317,$A28,'Данные 2st'!$QD$2:$QD$317),"")</f>
        <v>0</v>
      </c>
      <c r="TM28" s="7">
        <f>IFERROR(AVERAGEIF('Данные 2st'!$Q$2:$Q$317,$A28,'Данные 2st'!$QE$2:$QE$317),"")</f>
        <v>-1</v>
      </c>
      <c r="TN28" s="7">
        <f>IFERROR(AVERAGEIF('Данные 2st'!$Q$2:$Q$317,$A28,'Данные 2st'!$QF$2:$QF$317),"")</f>
        <v>1</v>
      </c>
      <c r="TO28" s="7">
        <f>IFERROR(AVERAGEIF('Данные 2st'!$Q$2:$Q$317,$A28,'Данные 2st'!$QG$2:$QG$317),"")</f>
        <v>0</v>
      </c>
      <c r="TP28" s="7">
        <f>IFERROR(AVERAGEIF('Данные 2st'!$Q$2:$Q$317,$A28,'Данные 2st'!$QH$2:$QH$317),"")</f>
        <v>5</v>
      </c>
      <c r="TQ28" s="7">
        <f>IFERROR(AVERAGEIF('Данные 2st'!$Q$2:$Q$317,$A28,'Данные 2st'!$QI$2:$QI$317),"")</f>
        <v>5</v>
      </c>
      <c r="TR28" s="7">
        <f>IFERROR(AVERAGEIF('Данные 2st'!$Q$2:$Q$317,$A28,'Данные 2st'!$QJ$2:$QJ$317),"")</f>
        <v>5</v>
      </c>
      <c r="TS28" s="7">
        <f>IFERROR(AVERAGEIF('Данные 2st'!$Q$2:$Q$317,$A28,'Данные 2st'!$QK$2:$QK$317),"")</f>
        <v>195</v>
      </c>
      <c r="TT28" s="7">
        <f>IFERROR(AVERAGEIF('Данные 2st'!$Q$2:$Q$317,$A28,'Данные 2st'!$QL$2:$QL$317),"")</f>
        <v>434.6666666666667</v>
      </c>
      <c r="TU28" s="7">
        <f>IFERROR(AVERAGEIF('Данные 2st'!$Q$2:$Q$317,$A28,'Данные 2st'!$QM$2:$QM$317),"")</f>
        <v>7.5</v>
      </c>
      <c r="TV28" s="7">
        <f>IFERROR(AVERAGEIF('Данные 2st'!$Q$2:$Q$317,$A28,'Данные 2st'!$QN$2:$QN$317),"")</f>
        <v>1383.0</v>
      </c>
      <c r="TW28" s="7">
        <f>IFERROR(AVERAGEIF('Данные 2st'!$Q$2:$Q$317,$A28,'Данные 2st'!$QQ$2:$QQ$317),"")</f>
        <v>0</v>
      </c>
      <c r="TX28" s="7">
        <f>IFERROR(AVERAGEIF('Данные 2st'!$Q$2:$Q$317,$A28,'Данные 2st'!$QS$2:$QS$317),"")</f>
        <v>30</v>
      </c>
      <c r="TY28" s="7">
        <f>IFERROR(AVERAGEIF('Данные 2st'!$Q$2:$Q$317,$A28,'Данные 2st'!$QT$2:$QT$317),"")</f>
        <v>40</v>
      </c>
    </row>
    <row r="29" spans="1:545" ht="32" customHeight="1">
      <c r="A29" s="11" t="s">
        <v>1567</v>
      </c>
      <c r="B29">
        <f>COUNTIF('Данные 1st'!$S$2:$S$317,$A29)</f>
        <v>3</v>
      </c>
      <c r="C29" s="6" t="s">
        <v>5090</v>
      </c>
      <c r="D29" s="6" t="s">
        <v>513</v>
      </c>
      <c r="E29" s="6" t="s">
        <v>5125</v>
      </c>
      <c r="F29" s="6" t="s">
        <v>5151</v>
      </c>
      <c r="G29" s="7">
        <f>IFERROR(AVERAGEIF('Данные 1st'!$S$2:$S$317,$A29,'Данные 1st'!$AE$2:$AE$317),"")</f>
        <v>201.66666666666666</v>
      </c>
      <c r="H29" s="7">
        <f>IFERROR(AVERAGEIF('Данные 1st'!$S$2:$S$317,$A29,'Данные 1st'!$AF$2:$AF$317),"")</f>
        <v>1.5</v>
      </c>
      <c r="I29" s="7">
        <f>IFERROR(AVERAGEIF('Данные 1st'!$S$2:$S$317,$A29,'Данные 1st'!$AJ$2:$AJ$317),"")</f>
        <v>213.33333333333334</v>
      </c>
      <c r="J29" s="7">
        <f>IFERROR(AVERAGEIF('Данные 1st'!$S$2:$S$317,$A29,'Данные 1st'!$AL$2:$AL$317),"")</f>
        <v>1.5</v>
      </c>
      <c r="K29" s="7">
        <f>IFERROR(AVERAGEIF('Данные 1st'!$S$2:$S$317,$A29,'Данные 1st'!$AR$2:$AR$317),"")</f>
        <v>0</v>
      </c>
      <c r="L29" s="7">
        <f>IFERROR(AVERAGEIF('Данные 1st'!$S$2:$S$317,$A29,'Данные 1st'!$AS$2:$AS$317),"")</f>
        <v>1.5</v>
      </c>
      <c r="M29" s="7">
        <f>IFERROR(AVERAGEIF('Данные 1st'!$S$2:$S$317,$A29,'Данные 1st'!$AY$2:$AY$317),"")</f>
        <v>306.6666666666667</v>
      </c>
      <c r="N29" s="7">
        <f>IFERROR(AVERAGEIF('Данные 1st'!$S$2:$S$317,$A29,'Данные 1st'!$AZ$2:$AZ$317),"")</f>
        <v>1.5</v>
      </c>
      <c r="O29" s="7">
        <f>IFERROR(AVERAGEIF('Данные 1st'!$S$2:$S$317,$A29,'Данные 1st'!$BF$2:$BF$317),"")</f>
        <v>263.3333333333333</v>
      </c>
      <c r="P29" s="7">
        <f>IFERROR(AVERAGEIF('Данные 1st'!$S$2:$S$317,$A29,'Данные 1st'!$BG$2:$BG$317),"")</f>
        <v>1.5</v>
      </c>
      <c r="Q29" s="7">
        <f>IFERROR(AVERAGEIF('Данные 1st'!$S$2:$S$317,$A29,'Данные 1st'!$BM$2:$BM$317),"")</f>
        <v/>
      </c>
      <c r="R29" s="7">
        <f>IFERROR(AVERAGEIF('Данные 1st'!$S$2:$S$317,$A29,'Данные 1st'!$BN$2:$BN$317),"")</f>
        <v>1.5</v>
      </c>
      <c r="S29" s="7">
        <f>IFERROR(AVERAGEIF('Данные 1st'!$S$2:$S$317,$A29,'Данные 1st'!$BT$2:$BT$317),"")</f>
        <v>223.66666666666666</v>
      </c>
      <c r="T29" s="7">
        <f>IFERROR(AVERAGEIF('Данные 1st'!$S$2:$S$317,$A29,'Данные 1st'!$BU$2:$BU$317),"")</f>
        <v>0.5</v>
      </c>
      <c r="U29" s="7">
        <f>IFERROR(AVERAGEIF('Данные 1st'!$S$2:$S$317,$A29,'Данные 1st'!$BW$2:$BW$317),"")</f>
        <v>447.3333333333333</v>
      </c>
      <c r="V29" s="7">
        <f>IFERROR(AVERAGEIF('Данные 1st'!$S$2:$S$317,$A29,'Данные 1st'!$BX$2:$BX$317),"")</f>
        <v>1</v>
      </c>
      <c r="W29" s="7">
        <f>IFERROR(AVERAGEIF('Данные 1st'!$S$2:$S$317,$A29,'Данные 1st'!$BZ$2:$BZ$317),"")</f>
        <v>356.6666666666667</v>
      </c>
      <c r="X29" s="7">
        <f>IFERROR(AVERAGEIF('Данные 1st'!$S$2:$S$317,$A29,'Данные 1st'!$CA$2:$CA$317),"")</f>
        <v>530</v>
      </c>
      <c r="Y29" s="7">
        <f>IFERROR(AVERAGEIF('Данные 1st'!$S$2:$S$317,$A29,'Данные 1st'!$CD$2:$CD$317),"")</f>
        <v>472.6666666666667</v>
      </c>
      <c r="Z29" s="7">
        <f>IFERROR(AVERAGEIF('Данные 1st'!$S$2:$S$317,$A29,'Данные 1st'!$CF$2:$CF$317),"")</f>
        <v>15</v>
      </c>
      <c r="AA29" s="7">
        <f>IFERROR(AVERAGEIF('Данные 1st'!$S$2:$S$317,$A29,'Данные 1st'!$CI$2:$CI$317),"")</f>
        <v>86.66666666666667</v>
      </c>
      <c r="AB29" s="7">
        <f>IFERROR(AVERAGEIF('Данные 1st'!$S$2:$S$317,$A29,'Данные 1st'!$CJ$2:$CJ$317),"")</f>
        <v>1200</v>
      </c>
      <c r="AC29" s="7">
        <f>IFERROR(AVERAGEIF('Данные 1st'!$S$2:$S$317,$A29,'Данные 1st'!$CK$2:$CK$317),"")</f>
        <v>2</v>
      </c>
      <c r="AD29" s="7">
        <f>IFERROR(AVERAGEIF('Данные 1st'!$S$2:$S$317,$A29,'Данные 1st'!$CL$2:$CL$317),"")</f>
        <v>1301</v>
      </c>
      <c r="AE29" s="7">
        <f>IFERROR(AVERAGEIF('Данные 1st'!$S$2:$S$317,$A29,'Данные 1st'!$CM$2:$CM$317),"")</f>
        <v>2</v>
      </c>
      <c r="AF29" s="7">
        <f>IFERROR(AVERAGEIF('Данные 1st'!$S$2:$S$317,$A29,'Данные 1st'!$CT$2:$CT$317),"")</f>
        <v>426.6666666666667</v>
      </c>
      <c r="AG29" s="7">
        <f>IFERROR(AVERAGEIF('Данные 1st'!$S$2:$S$317,$A29,'Данные 1st'!$CU$2:$CU$317),"")</f>
        <v>5</v>
      </c>
      <c r="AH29" s="7">
        <f>IFERROR(AVERAGEIF('Данные 1st'!$S$2:$S$317,$A29,'Данные 1st'!$CV$2:$CV$317),"")</f>
        <v>1.3</v>
      </c>
      <c r="AI29" s="7">
        <f>IFERROR(AVERAGEIF('Данные 1st'!$S$2:$S$317,$A29,'Данные 1st'!$CW$2:$CW$317),"")</f>
        <v>1213.3333333333333</v>
      </c>
      <c r="AJ29" s="7">
        <f>IFERROR(AVERAGEIF('Данные 1st'!$S$2:$S$317,$A29,'Данные 1st'!$CX$2:$CX$317),"")</f>
        <v>795.6666666666666</v>
      </c>
      <c r="AK29" s="7">
        <f>IFERROR(AVERAGEIF('Данные 1st'!$S$2:$S$317,$A29,'Данные 1st'!$CZ$2:$CZ$317),"")</f>
        <v/>
      </c>
      <c r="AL29" s="7">
        <f>IFERROR(AVERAGEIF('Данные 1st'!$S$2:$S$317,$A29,'Данные 1st'!$DA$2:$DA$317),"")</f>
        <v/>
      </c>
      <c r="AM29" s="7">
        <f>IFERROR(AVERAGEIF('Данные 1st'!$S$2:$S$317,$A29,'Данные 1st'!$DB$2:$DB$317),"")</f>
        <v/>
      </c>
      <c r="AN29" s="7">
        <f>IFERROR(AVERAGEIF('Данные 1st'!$S$2:$S$317,$A29,'Данные 1st'!$DC$2:$DC$317),"")</f>
        <v/>
      </c>
      <c r="AO29" s="7">
        <f>IFERROR(AVERAGEIF('Данные 1st'!$S$2:$S$317,$A29,'Данные 1st'!$DD$2:$DD$317),"")</f>
        <v>0</v>
      </c>
      <c r="AP29" s="7">
        <f>IFERROR(AVERAGEIF('Данные 1st'!$S$2:$S$317,$A29,'Данные 1st'!$DF$2:$DF$317),"")</f>
        <v>613.3333333333334</v>
      </c>
      <c r="AQ29" s="7">
        <f>IFERROR(AVERAGEIF('Данные 1st'!$S$2:$S$317,$A29,'Данные 1st'!$DG$2:$DG$317),"")</f>
        <v>3</v>
      </c>
      <c r="AR29" s="7">
        <f>IFERROR(AVERAGEIF('Данные 1st'!$S$2:$S$317,$A29,'Данные 1st'!$DH$2:$DH$317),"")</f>
        <v>0.88</v>
      </c>
      <c r="AS29" s="7">
        <f>IFERROR(AVERAGEIF('Данные 1st'!$S$2:$S$317,$A29,'Данные 1st'!$DI$2:$DI$317),"")</f>
        <v>1212</v>
      </c>
      <c r="AT29" s="7">
        <f>IFERROR(AVERAGEIF('Данные 1st'!$S$2:$S$317,$A29,'Данные 1st'!$DJ$2:$DJ$317),"")</f>
        <v>920.3333333333334</v>
      </c>
      <c r="AU29" s="7">
        <f>IFERROR(AVERAGEIF('Данные 1st'!$S$2:$S$317,$A29,'Данные 1st'!$DL$2:$DL$317),"")</f>
        <v>526.6666666666666</v>
      </c>
      <c r="AV29" s="7">
        <f>IFERROR(AVERAGEIF('Данные 1st'!$S$2:$S$317,$A29,'Данные 1st'!$DM$2:$DM$317),"")</f>
        <v>3</v>
      </c>
      <c r="AW29" s="7">
        <f>IFERROR(AVERAGEIF('Данные 1st'!$S$2:$S$317,$A29,'Данные 1st'!$DN$2:$DN$317),"")</f>
        <v>0.88</v>
      </c>
      <c r="AX29" s="7">
        <f>IFERROR(AVERAGEIF('Данные 1st'!$S$2:$S$317,$A29,'Данные 1st'!$DO$2:$DO$317),"")</f>
        <v>1218.3333333333333</v>
      </c>
      <c r="AY29" s="7">
        <f>IFERROR(AVERAGEIF('Данные 1st'!$S$2:$S$317,$A29,'Данные 1st'!$DP$2:$DP$317),"")</f>
        <v>716.3333333333334</v>
      </c>
      <c r="AZ29" s="7">
        <f>IFERROR(AVERAGEIF('Данные 1st'!$S$2:$S$317,$A29,'Данные 1st'!$DR$2:$DR$317),"")</f>
        <v/>
      </c>
      <c r="BA29" s="7">
        <f>IFERROR(AVERAGEIF('Данные 1st'!$S$2:$S$317,$A29,'Данные 1st'!$DS$2:$DS$317),"")</f>
        <v/>
      </c>
      <c r="BB29" s="7">
        <f>IFERROR(AVERAGEIF('Данные 1st'!$S$2:$S$317,$A29,'Данные 1st'!$DT$2:$DT$317),"")</f>
        <v/>
      </c>
      <c r="BC29" s="7">
        <f>IFERROR(AVERAGEIF('Данные 1st'!$S$2:$S$317,$A29,'Данные 1st'!$DU$2:$DU$317),"")</f>
        <v/>
      </c>
      <c r="BD29" s="7">
        <f>IFERROR(AVERAGEIF('Данные 1st'!$S$2:$S$317,$A29,'Данные 1st'!$DV$2:$DV$317),"")</f>
        <v/>
      </c>
      <c r="BE29" s="7">
        <f>IFERROR(AVERAGEIF('Данные 1st'!$S$2:$S$317,$A29,'Данные 1st'!$DX$2:$DX$317),"")</f>
        <v>7.5</v>
      </c>
      <c r="BF29" s="7">
        <f>IFERROR(AVERAGEIF('Данные 1st'!$S$2:$S$317,$A29,'Данные 1st'!$EA$2:$EA$317),"")</f>
        <v>1285.7</v>
      </c>
      <c r="BG29" s="7">
        <f>IFERROR(AVERAGEIF('Данные 1st'!$S$2:$S$317,$A29,'Данные 1st'!$EB$2:$EB$317),"")</f>
        <v>233</v>
      </c>
      <c r="BH29" s="7">
        <f>IFERROR(AVERAGEIF('Данные 1st'!$S$2:$S$317,$A29,'Данные 1st'!$ED$2:$ED$317),"")</f>
        <v>36.666666666666664</v>
      </c>
      <c r="BI29" s="7">
        <f>IFERROR(AVERAGEIF('Данные 1st'!$S$2:$S$317,$A29,'Данные 1st'!$EE$2:$EE$317),"")</f>
        <v>3</v>
      </c>
      <c r="BJ29" s="7">
        <f>IFERROR(AVERAGEIF('Данные 1st'!$S$2:$S$317,$A29,'Данные 1st'!$EG$2:$EG$317),"")</f>
        <v>1327</v>
      </c>
      <c r="BK29" s="7">
        <f>IFERROR(AVERAGEIF('Данные 1st'!$S$2:$S$317,$A29,'Данные 1st'!$EH$2:$EH$317),"")</f>
        <v>193.33333333333334</v>
      </c>
      <c r="BL29" s="7">
        <f>IFERROR(AVERAGEIF('Данные 1st'!$S$2:$S$317,$A29,'Данные 1st'!$EJ$2:$EJ$317),"")</f>
        <v>0</v>
      </c>
      <c r="BM29" s="7">
        <f>IFERROR(AVERAGEIF('Данные 1st'!$S$2:$S$317,$A29,'Данные 1st'!$EK$2:$EK$317),"")</f>
        <v>1</v>
      </c>
      <c r="BN29" s="7">
        <f>IFERROR(AVERAGEIF('Данные 1st'!$S$2:$S$317,$A29,'Данные 1st'!$EN$2:$EN$317),"")</f>
        <v>0</v>
      </c>
      <c r="BO29" s="7">
        <f>IFERROR(AVERAGEIF('Данные 1st'!$S$2:$S$317,$A29,'Данные 1st'!$EQ$2:$EQ$317),"")</f>
        <v>135</v>
      </c>
      <c r="BP29" s="7">
        <f>IFERROR(AVERAGEIF('Данные 1st'!$S$2:$S$317,$A29,'Данные 1st'!$ER$2:$ER$317),"")</f>
        <v>3</v>
      </c>
      <c r="BQ29" s="7">
        <f>IFERROR(AVERAGEIF('Данные 1st'!$S$2:$S$317,$A29,'Данные 1st'!$ES$2:$ES$317),"")</f>
        <v>7.233333333333333</v>
      </c>
      <c r="BR29" s="7">
        <f>IFERROR(AVERAGEIF('Данные 1st'!$S$2:$S$317,$A29,'Данные 1st'!$ET$2:$ET$317),"")</f>
        <v>1208.6666666666667</v>
      </c>
      <c r="BS29" s="7">
        <f>IFERROR(AVERAGEIF('Данные 1st'!$S$2:$S$317,$A29,'Данные 1st'!$EU$2:$EU$317),"")</f>
        <v>702.1333333333333</v>
      </c>
      <c r="BT29" s="7">
        <f>IFERROR(AVERAGEIF('Данные 1st'!$S$2:$S$317,$A29,'Данные 1st'!$EV$2:$EV$317),"")</f>
        <v>850.6666666666666</v>
      </c>
      <c r="BU29" s="7">
        <f>IFERROR(AVERAGEIF('Данные 1st'!$S$2:$S$317,$A29,'Данные 1st'!$EX$2:$EX$317),"")</f>
        <v>70</v>
      </c>
      <c r="BV29" s="7">
        <f>IFERROR(AVERAGEIF('Данные 1st'!$S$2:$S$317,$A29,'Данные 1st'!$EY$2:$EY$317),"")</f>
        <v>2</v>
      </c>
      <c r="BW29" s="7">
        <f>IFERROR(AVERAGEIF('Данные 1st'!$S$2:$S$317,$A29,'Данные 1st'!$EZ$2:$EZ$317),"")</f>
        <v>4.3</v>
      </c>
      <c r="BX29" s="7">
        <f>IFERROR(AVERAGEIF('Данные 1st'!$S$2:$S$317,$A29,'Данные 1st'!$FA$2:$FA$317),"")</f>
        <v>1208.6666666666667</v>
      </c>
      <c r="BY29" s="7">
        <f>IFERROR(AVERAGEIF('Данные 1st'!$S$2:$S$317,$A29,'Данные 1st'!$FB$2:$FB$317),"")</f>
        <v>199.9</v>
      </c>
      <c r="BZ29" s="7">
        <f>IFERROR(AVERAGEIF('Данные 1st'!$S$2:$S$317,$A29,'Данные 1st'!$FC$2:$FC$317),"")</f>
        <v>242</v>
      </c>
      <c r="CA29" s="7">
        <f>IFERROR(AVERAGEIF('Данные 1st'!$S$2:$S$317,$A29,'Данные 1st'!$FE$2:$FE$317),"")</f>
        <v>0</v>
      </c>
      <c r="CB29" s="7">
        <f>IFERROR(AVERAGEIF('Данные 1st'!$S$2:$S$317,$A29,'Данные 1st'!$FF$2:$FF$317),"")</f>
        <v>2</v>
      </c>
      <c r="CC29" s="7">
        <f>IFERROR(AVERAGEIF('Данные 1st'!$S$2:$S$317,$A29,'Данные 1st'!$FI$2:$FI$317),"")</f>
        <v>0</v>
      </c>
      <c r="CD29" s="7">
        <f>IFERROR(AVERAGEIF('Данные 1st'!$S$2:$S$317,$A29,'Данные 1st'!$FL$2:$FL$317),"")</f>
        <v>0.6</v>
      </c>
      <c r="CE29" s="7">
        <f>IFERROR(AVERAGEIF('Данные 1st'!$S$2:$S$317,$A29,'Данные 1st'!$FM$2:$FM$317),"")</f>
        <v>108.33333333333333</v>
      </c>
      <c r="CF29" s="7">
        <f>IFERROR(AVERAGEIF('Данные 1st'!$S$2:$S$317,$A29,'Данные 1st'!$FN$2:$FN$317),"")</f>
        <v>133.33333333333334</v>
      </c>
      <c r="CG29" s="7">
        <f>IFERROR(AVERAGEIF('Данные 1st'!$S$2:$S$317,$A29,'Данные 1st'!$FO$2:$FO$317),"")</f>
        <v/>
      </c>
      <c r="CH29" s="7">
        <f>IFERROR(AVERAGEIF('Данные 1st'!$S$2:$S$317,$A29,'Данные 1st'!$FP$2:$FP$317),"")</f>
        <v/>
      </c>
      <c r="CI29" s="7">
        <f>IFERROR(AVERAGEIF('Данные 1st'!$S$2:$S$317,$A29,'Данные 1st'!$FS$2:$FS$317),"")</f>
        <v>0.4</v>
      </c>
      <c r="CJ29" s="7">
        <f>IFERROR(AVERAGEIF('Данные 1st'!$S$2:$S$317,$A29,'Данные 1st'!$FT$2:$FT$317),"")</f>
        <v>30</v>
      </c>
      <c r="CK29" s="7">
        <f>IFERROR(AVERAGEIF('Данные 1st'!$S$2:$S$317,$A29,'Данные 1st'!$FU$2:$FU$317),"")</f>
        <v>550</v>
      </c>
      <c r="CL29" s="7">
        <f>IFERROR(AVERAGEIF('Данные 1st'!$S$2:$S$317,$A29,'Данные 1st'!$FV$2:$FV$317),"")</f>
        <v/>
      </c>
      <c r="CM29" s="7">
        <f>IFERROR(AVERAGEIF('Данные 1st'!$S$2:$S$317,$A29,'Данные 1st'!$FW$2:$FW$317),"")</f>
        <v/>
      </c>
      <c r="CN29" s="7">
        <f>IFERROR(AVERAGEIF('Данные 1st'!$S$2:$S$317,$A29,'Данные 1st'!$FZ$2:$FZ$317),"")</f>
        <v/>
      </c>
      <c r="CO29" s="7">
        <f>IFERROR(AVERAGEIF('Данные 1st'!$S$2:$S$317,$A29,'Данные 1st'!$GA$2:$GA$317),"")</f>
        <v/>
      </c>
      <c r="CP29" s="7">
        <f>IFERROR(AVERAGEIF('Данные 1st'!$S$2:$S$317,$A29,'Данные 1st'!$GB$2:$GB$317),"")</f>
        <v/>
      </c>
      <c r="CQ29" s="7">
        <f>IFERROR(AVERAGEIF('Данные 1st'!$S$2:$S$317,$A29,'Данные 1st'!$GH$2:$GH$317),"")</f>
        <v/>
      </c>
      <c r="CR29" s="7">
        <f>IFERROR(AVERAGEIF('Данные 1st'!$S$2:$S$317,$A29,'Данные 1st'!$GI$2:$GI$317),"")</f>
        <v/>
      </c>
      <c r="CS29" s="7">
        <f>IFERROR(AVERAGEIF('Данные 1st'!$S$2:$S$317,$A29,'Данные 1st'!$GJ$2:$GJ$317),"")</f>
        <v/>
      </c>
      <c r="CT29" s="7">
        <f>IFERROR(AVERAGEIF('Данные 1st'!$S$2:$S$317,$A29,'Данные 1st'!$GS$2:$GS$317),"")</f>
        <v>0.4</v>
      </c>
      <c r="CU29" s="7">
        <f>IFERROR(AVERAGEIF('Данные 1st'!$S$2:$S$317,$A29,'Данные 1st'!$GT$2:$GT$317),"")</f>
        <v>53.333333333333336</v>
      </c>
      <c r="CV29" s="7">
        <f>IFERROR(AVERAGEIF('Данные 1st'!$S$2:$S$317,$A29,'Данные 1st'!$GU$2:$GU$317),"")</f>
        <v>363.3333333333333</v>
      </c>
      <c r="CW29" s="7">
        <f>IFERROR(AVERAGEIF('Данные 1st'!$S$2:$S$317,$A29,'Данные 1st'!$GV$2:$GV$317),"")</f>
        <v>37.5</v>
      </c>
      <c r="CX29" s="7">
        <f>IFERROR(AVERAGEIF('Данные 1st'!$S$2:$S$317,$A29,'Данные 1st'!$GW$2:$GW$317),"")</f>
        <v>265</v>
      </c>
      <c r="CY29" s="7">
        <f>IFERROR(AVERAGEIF('Данные 1st'!$S$2:$S$317,$A29,'Данные 1st'!$GZ$2:$GZ$317),"")</f>
        <v/>
      </c>
      <c r="CZ29" s="7">
        <f>IFERROR(AVERAGEIF('Данные 1st'!$S$2:$S$317,$A29,'Данные 1st'!$HA$2:$HA$317),"")</f>
        <v/>
      </c>
      <c r="DA29" s="7">
        <f>IFERROR(AVERAGEIF('Данные 1st'!$S$2:$S$317,$A29,'Данные 1st'!$HB$2:$HB$317),"")</f>
        <v/>
      </c>
      <c r="DB29" s="7">
        <f>IFERROR(AVERAGEIF('Данные 1st'!$S$2:$S$317,$A29,'Данные 1st'!$HC$2:$HC$317),"")</f>
        <v>0.1</v>
      </c>
      <c r="DC29" s="7">
        <f>IFERROR(AVERAGEIF('Данные 1st'!$S$2:$S$317,$A29,'Данные 1st'!$HD$2:$HD$317),"")</f>
        <v>3</v>
      </c>
      <c r="DD29" s="7">
        <f>IFERROR(AVERAGEIF('Данные 1st'!$S$2:$S$317,$A29,'Данные 1st'!$HE$2:$HE$317),"")</f>
        <v>3</v>
      </c>
      <c r="DE29" s="7">
        <f>IFERROR(AVERAGEIF('Данные 1st'!$S$2:$S$317,$A29,'Данные 1st'!$HF$2:$HF$317),"")</f>
        <v>3</v>
      </c>
      <c r="DF29" s="7">
        <f>IFERROR(AVERAGEIF('Данные 1st'!$S$2:$S$317,$A29,'Данные 1st'!$HG$2:$HG$317),"")</f>
        <v>3</v>
      </c>
      <c r="DG29" s="7">
        <f>IFERROR(AVERAGEIF('Данные 1st'!$S$2:$S$317,$A29,'Данные 1st'!$HH$2:$HH$317),"")</f>
        <v>3</v>
      </c>
      <c r="DH29" s="7">
        <f>IFERROR(AVERAGEIF('Данные 1st'!$S$2:$S$317,$A29,'Данные 1st'!$HI$2:$HI$317),"")</f>
        <v>190</v>
      </c>
      <c r="DI29" s="7">
        <f>IFERROR(AVERAGEIF('Данные 1st'!$S$2:$S$317,$A29,'Данные 1st'!$HJ$2:$HJ$317),"")</f>
        <v>3</v>
      </c>
      <c r="DJ29" s="7">
        <f>IFERROR(AVERAGEIF('Данные 1st'!$S$2:$S$317,$A29,'Данные 1st'!$HK$2:$HK$317),"")</f>
        <v>55</v>
      </c>
      <c r="DK29" s="7">
        <f>IFERROR(AVERAGEIF('Данные 1st'!$S$2:$S$317,$A29,'Данные 1st'!$HL$2:$HL$317),"")</f>
        <v>2</v>
      </c>
      <c r="DL29" s="7">
        <f>IFERROR(AVERAGEIF('Данные 1st'!$S$2:$S$317,$A29,'Данные 1st'!$HM$2:$HM$317),"")</f>
        <v>0</v>
      </c>
      <c r="DM29" s="7">
        <f>IFERROR(AVERAGEIF('Данные 1st'!$S$2:$S$317,$A29,'Данные 1st'!$HN$2:$HN$317),"")</f>
        <v>2</v>
      </c>
      <c r="DN29" s="7">
        <f>IFERROR(AVERAGEIF('Данные 1st'!$S$2:$S$317,$A29,'Данные 1st'!$HO$2:$HO$317),"")</f>
        <v>120</v>
      </c>
      <c r="DO29" s="7">
        <f>IFERROR(AVERAGEIF('Данные 1st'!$S$2:$S$317,$A29,'Данные 1st'!$HP$2:$HP$317),"")</f>
        <v>3</v>
      </c>
      <c r="DP29" s="7">
        <f>IFERROR(AVERAGEIF('Данные 1st'!$S$2:$S$317,$A29,'Данные 1st'!$HQ$2:$HQ$317),"")</f>
        <v>0</v>
      </c>
      <c r="DQ29" s="7">
        <f>IFERROR(AVERAGEIF('Данные 1st'!$S$2:$S$317,$A29,'Данные 1st'!$HR$2:$HR$317),"")</f>
        <v>2</v>
      </c>
      <c r="DR29" s="7">
        <f>IFERROR(AVERAGEIF('Данные 1st'!$S$2:$S$317,$A29,'Данные 1st'!$HS$2:$HS$317),"")</f>
        <v>5470.333333333333</v>
      </c>
      <c r="DS29" s="7">
        <f>IFERROR(AVERAGEIF('Данные 1st'!$S$2:$S$317,$A29,'Данные 1st'!$HT$2:$HT$317),"")</f>
        <v>163.33333333333334</v>
      </c>
      <c r="DT29" s="7">
        <f>IFERROR(AVERAGEIF('Данные 1st'!$S$2:$S$317,$A29,'Данные 1st'!$HU$2:$HU$317),"")</f>
        <v>180</v>
      </c>
      <c r="DU29" s="7">
        <f>IFERROR(AVERAGEIF('Данные 1st'!$S$2:$S$317,$A29,'Данные 1st'!$HW$2:$HW$317),"")</f>
        <v>0</v>
      </c>
      <c r="DV29" s="7">
        <f>IFERROR(AVERAGEIF('Данные 1st'!$S$2:$S$317,$A29,'Данные 1st'!$HX$2:$HX$317),"")</f>
        <v>483.3333333333333</v>
      </c>
      <c r="DW29" s="7">
        <f>IFERROR(AVERAGEIF('Данные 1st'!$S$2:$S$317,$A29,'Данные 1st'!$HY$2:$HY$317),"")</f>
        <v>0.18</v>
      </c>
      <c r="DX29" s="7">
        <f>IFERROR(AVERAGEIF('Данные 1st'!$S$2:$S$317,$A29,'Данные 1st'!$IA$2:$IA$317),"")</f>
        <v>0.15</v>
      </c>
      <c r="DY29" s="7">
        <f>IFERROR(AVERAGEIF('Данные 1st'!$S$2:$S$317,$A29,'Данные 1st'!$IB$2:$IB$317),"")</f>
        <v>0</v>
      </c>
      <c r="DZ29" s="7">
        <f>IFERROR(AVERAGEIF('Данные 1st'!$S$2:$S$317,$A29,'Данные 1st'!$IC$2:$IC$317),"")</f>
        <v>180</v>
      </c>
      <c r="EA29" s="7">
        <f>IFERROR(AVERAGEIF('Данные 1st'!$S$2:$S$317,$A29,'Данные 1st'!$ID$2:$ID$317),"")</f>
        <v>110</v>
      </c>
      <c r="EB29" s="7">
        <f>IFERROR(AVERAGEIF('Данные 1st'!$S$2:$S$317,$A29,'Данные 1st'!$IE$2:$IE$317),"")</f>
        <v>225</v>
      </c>
      <c r="EC29" s="7">
        <f>IFERROR(AVERAGEIF('Данные 1st'!$S$2:$S$317,$A29,'Данные 1st'!$IF$2:$IF$317),"")</f>
        <v>0</v>
      </c>
      <c r="ED29" s="7">
        <f>IFERROR(AVERAGEIF('Данные 1st'!$S$2:$S$317,$A29,'Данные 1st'!$IP$2:$IP$317),"")</f>
        <v>16</v>
      </c>
      <c r="EE29" s="7">
        <f>IFERROR(AVERAGEIF('Данные 1st'!$S$2:$S$317,$A29,'Данные 1st'!$IV$2:$IV$317),"")</f>
        <v>1200</v>
      </c>
      <c r="EF29" s="7">
        <f>IFERROR(AVERAGEIF('Данные 1st'!$S$2:$S$317,$A29,'Данные 1st'!$IW$2:$IW$317),"")</f>
        <v>447.3333333333333</v>
      </c>
      <c r="EG29" s="7">
        <f>IFERROR(AVERAGEIF('Данные 1st'!$S$2:$S$317,$A29,'Данные 1st'!$IX$2:$IX$317),"")</f>
        <v/>
      </c>
      <c r="EH29" s="7">
        <f>IFERROR(AVERAGEIF('Данные 1st'!$S$2:$S$317,$A29,'Данные 1st'!$IY$2:$IY$317),"")</f>
        <v/>
      </c>
      <c r="EI29" s="7">
        <f>IFERROR(AVERAGEIF('Данные 1st'!$S$2:$S$317,$A29,'Данные 1st'!$JD$2:$JD$317),"")</f>
        <v>1213.3333333333333</v>
      </c>
      <c r="EJ29" s="7">
        <f>IFERROR(AVERAGEIF('Данные 1st'!$S$2:$S$317,$A29,'Данные 1st'!$JE$2:$JE$317),"")</f>
        <v>1212</v>
      </c>
      <c r="EK29" s="7">
        <f>IFERROR(AVERAGEIF('Данные 1st'!$S$2:$S$317,$A29,'Данные 1st'!$JF$2:$JF$317),"")</f>
        <v>1218.3333333333333</v>
      </c>
      <c r="EL29" s="7">
        <f>IFERROR(AVERAGEIF('Данные 1st'!$S$2:$S$317,$A29,'Данные 1st'!$JG$2:$JG$317),"")</f>
        <v>1208.6666666666667</v>
      </c>
      <c r="EM29" s="7">
        <f>IFERROR(AVERAGEIF('Данные 1st'!$S$2:$S$317,$A29,'Данные 1st'!$JH$2:$JH$317),"")</f>
        <v>0</v>
      </c>
      <c r="EN29" s="7">
        <f>IFERROR(AVERAGEIF('Данные 1st'!$S$2:$S$317,$A29,'Данные 1st'!$JJ$2:$JJ$317),"")</f>
        <v>180</v>
      </c>
      <c r="EO29" s="7">
        <f>IFERROR(AVERAGEIF('Данные 1st'!$S$2:$S$317,$A29,'Данные 1st'!$JK$2:$JK$317),"")</f>
        <v>483.3333333333333</v>
      </c>
      <c r="EP29" s="7">
        <f>IFERROR(AVERAGEIF('Данные 1st'!$S$2:$S$317,$A29,'Данные 1st'!$JL$2:$JL$317),"")</f>
        <v/>
      </c>
      <c r="EQ29" s="7">
        <f>IFERROR(AVERAGEIF('Данные 1st'!$S$2:$S$317,$A29,'Данные 1st'!$JM$2:$JM$317),"")</f>
        <v/>
      </c>
      <c r="ER29" s="7">
        <f>IFERROR(AVERAGEIF('Данные 1st'!$S$2:$S$317,$A29,'Данные 1st'!$JN$2:$JN$317),"")</f>
        <v>426.6666666666667</v>
      </c>
      <c r="ES29" s="7">
        <f>IFERROR(AVERAGEIF('Данные 1st'!$S$2:$S$317,$A29,'Данные 1st'!$JO$2:$JO$317),"")</f>
        <v>613.3333333333334</v>
      </c>
      <c r="ET29" s="7">
        <f>IFERROR(AVERAGEIF('Данные 1st'!$S$2:$S$317,$A29,'Данные 1st'!$JP$2:$JP$317),"")</f>
        <v>526.6666666666666</v>
      </c>
      <c r="EU29" s="7">
        <f>IFERROR(AVERAGEIF('Данные 1st'!$S$2:$S$317,$A29,'Данные 1st'!$JQ$2:$JQ$317),"")</f>
        <v>0</v>
      </c>
      <c r="EV29" s="7">
        <f>IFERROR(AVERAGEIF('Данные 1st'!$S$2:$S$317,$A29,'Данные 1st'!$JR$2:$JR$317),"")</f>
        <v>403.3333333333333</v>
      </c>
      <c r="EW29" s="7">
        <f>IFERROR(AVERAGEIF('Данные 1st'!$S$2:$S$317,$A29,'Данные 1st'!$JS$2:$JS$317),"")</f>
        <v>190</v>
      </c>
      <c r="EX29" s="7">
        <f>IFERROR(AVERAGEIF('Данные 1st'!$S$2:$S$317,$A29,'Данные 1st'!$JT$2:$JT$317),"")</f>
        <v/>
      </c>
      <c r="EY29" s="7">
        <f>IFERROR(AVERAGEIF('Данные 1st'!$S$2:$S$317,$A29,'Данные 1st'!$JU$2:$JU$317),"")</f>
        <v/>
      </c>
      <c r="EZ29" s="7">
        <f>IFERROR(AVERAGEIF('Данные 1st'!$S$2:$S$317,$A29,'Данные 1st'!$JV$2:$JV$317),"")</f>
        <v>8</v>
      </c>
      <c r="FA29" s="7">
        <f>IFERROR(AVERAGEIF('Данные 1st'!$S$2:$S$317,$A29,'Данные 1st'!$JW$2:$JW$317),"")</f>
        <v/>
      </c>
      <c r="FB29" s="7">
        <f>IFERROR(AVERAGEIF('Данные 1st'!$S$2:$S$317,$A29,'Данные 1st'!$JX$2:$JX$317),"")</f>
        <v>0</v>
      </c>
      <c r="FC29" s="7">
        <f>IFERROR(AVERAGEIF('Данные 1st'!$S$2:$S$317,$A29,'Данные 1st'!$JY$2:$JY$317),"")</f>
        <v/>
      </c>
      <c r="FD29" s="7">
        <f>IFERROR(AVERAGEIF('Данные 1st'!$S$2:$S$317,$A29,'Данные 1st'!$JZ$2:$JZ$317),"")</f>
        <v/>
      </c>
      <c r="FE29" s="7">
        <f>IFERROR(AVERAGEIF('Данные 1st'!$S$2:$S$317,$A29,'Данные 1st'!$KA$2:$KA$317),"")</f>
        <v>225</v>
      </c>
      <c r="FF29" s="7">
        <f>IFERROR(AVERAGEIF('Данные 1st'!$S$2:$S$317,$A29,'Данные 1st'!$KB$2:$KB$317),"")</f>
        <v>110</v>
      </c>
      <c r="FG29" s="7">
        <f>IFERROR(AVERAGEIF('Данные 1st'!$S$2:$S$317,$A29,'Данные 1st'!$KC$2:$KC$317),"")</f>
        <v>0</v>
      </c>
      <c r="FH29" s="7">
        <f>IFERROR(AVERAGEIF('Данные 1st'!$S$2:$S$317,$A29,'Данные 1st'!$KD$2:$KD$317),"")</f>
        <v>80</v>
      </c>
      <c r="FI29" s="7">
        <f>IFERROR(AVERAGEIF('Данные 1st'!$S$2:$S$317,$A29,'Данные 1st'!$KE$2:$KE$317),"")</f>
        <v/>
      </c>
      <c r="FJ29" s="7">
        <f>IFERROR(AVERAGEIF('Данные 1st'!$S$2:$S$317,$A29,'Данные 1st'!$KF$2:$KF$317),"")</f>
        <v>4</v>
      </c>
      <c r="FK29" s="7">
        <f>IFERROR(AVERAGEIF('Данные 1st'!$S$2:$S$317,$A29,'Данные 1st'!$KG$2:$KG$317),"")</f>
        <v>2.6666666666666665</v>
      </c>
      <c r="FL29" s="7">
        <f>IFERROR(AVERAGEIF('Данные 1st'!$S$2:$S$317,$A29,'Данные 1st'!$KH$2:$KH$317),"")</f>
        <v>2</v>
      </c>
      <c r="FM29" s="7">
        <f>IFERROR(AVERAGEIF('Данные 1st'!$S$2:$S$317,$A29,'Данные 1st'!$KI$2:$KI$317),"")</f>
        <v>2</v>
      </c>
      <c r="FN29" s="7">
        <f>IFERROR(AVERAGEIF('Данные 1st'!$S$2:$S$317,$A29,'Данные 1st'!$KJ$2:$KJ$317),"")</f>
        <v>0</v>
      </c>
      <c r="FO29" s="7">
        <f>IFERROR(AVERAGEIF('Данные 1st'!$S$2:$S$317,$A29,'Данные 1st'!$KK$2:$KK$317),"")</f>
        <v>1.5</v>
      </c>
      <c r="FP29" s="7">
        <f>IFERROR(AVERAGEIF('Данные 1st'!$S$2:$S$317,$A29,'Данные 1st'!$KL$2:$KL$317),"")</f>
        <v>1.5</v>
      </c>
      <c r="FQ29" s="7">
        <f>IFERROR(AVERAGEIF('Данные 1st'!$S$2:$S$317,$A29,'Данные 1st'!$KM$2:$KM$317),"")</f>
        <v>0</v>
      </c>
      <c r="FR29" s="7">
        <f>IFERROR(AVERAGEIF('Данные 1st'!$S$2:$S$317,$A29,'Данные 1st'!$KN$2:$KN$317),"")</f>
        <v>0</v>
      </c>
      <c r="FS29" s="7">
        <f>IFERROR(AVERAGEIF('Данные 1st'!$S$2:$S$317,$A29,'Данные 1st'!$KR$2:$KR$317),"")</f>
        <v>43.333333333333336</v>
      </c>
      <c r="FT29" s="7">
        <f>IFERROR(AVERAGEIF('Данные 1st'!$S$2:$S$317,$A29,'Данные 1st'!$KS$2:$KS$317),"")</f>
        <v>60</v>
      </c>
      <c r="FU29" s="7">
        <f>IFERROR(AVERAGEIF('Данные 1st'!$S$2:$S$317,$A29,'Данные 1st'!$KT$2:$KT$317),"")</f>
        <v>0</v>
      </c>
      <c r="FV29" s="7">
        <f>IFERROR(AVERAGEIF('Данные 1st'!$S$2:$S$317,$A29,'Данные 1st'!$KV$2:$KV$317),"")</f>
        <v/>
      </c>
      <c r="FW29" s="7">
        <f>IFERROR(AVERAGEIF('Данные 1st'!$S$2:$S$317,$A29,'Данные 1st'!$KW$2:$KW$317),"")</f>
        <v/>
      </c>
      <c r="FX29" s="7">
        <f>IFERROR(AVERAGEIF('Данные 1st'!$S$2:$S$317,$A29,'Данные 1st'!$KX$2:$KX$317),"")</f>
        <v/>
      </c>
      <c r="FY29" s="7">
        <f>IFERROR(AVERAGEIF('Данные 1st'!$S$2:$S$317,$A29,'Данные 1st'!$KY$2:$KY$317),"")</f>
        <v/>
      </c>
      <c r="FZ29" s="7">
        <f>IFERROR(AVERAGEIF('Данные 1st'!$S$2:$S$317,$A29,'Данные 1st'!$KZ$2:$KZ$317),"")</f>
        <v/>
      </c>
      <c r="GA29" s="7">
        <f>IFERROR(AVERAGEIF('Данные 1st'!$S$2:$S$317,$A29,'Данные 1st'!$LA$2:$LA$317),"")</f>
        <v/>
      </c>
      <c r="GB29" s="7">
        <f>IFERROR(AVERAGEIF('Данные 1st'!$S$2:$S$317,$A29,'Данные 1st'!$LB$2:$LB$317),"")</f>
        <v/>
      </c>
      <c r="GC29" s="7">
        <f>IFERROR(AVERAGEIF('Данные 1st'!$S$2:$S$317,$A29,'Данные 1st'!$LC$2:$LC$317),"")</f>
        <v/>
      </c>
      <c r="GD29" s="7">
        <f>IFERROR(AVERAGEIF('Данные 1st'!$S$2:$S$317,$A29,'Данные 1st'!$LD$2:$LD$317),"")</f>
        <v/>
      </c>
      <c r="GE29" s="7">
        <f>IFERROR(AVERAGEIF('Данные 1st'!$S$2:$S$317,$A29,'Данные 1st'!$LE$2:$LE$317),"")</f>
        <v/>
      </c>
      <c r="GF29" s="7">
        <f>IFERROR(AVERAGEIF('Данные 1st'!$S$2:$S$317,$A29,'Данные 1st'!$LF$2:$LF$317),"")</f>
        <v/>
      </c>
      <c r="GG29" s="7">
        <f>IFERROR(AVERAGEIF('Данные 1st'!$S$2:$S$317,$A29,'Данные 1st'!$LG$2:$LG$317),"")</f>
        <v/>
      </c>
      <c r="GH29" s="7">
        <f>IFERROR(AVERAGEIF('Данные 1st'!$S$2:$S$317,$A29,'Данные 1st'!$LH$2:$LH$317),"")</f>
        <v/>
      </c>
      <c r="GI29" s="7">
        <f>IFERROR(AVERAGEIF('Данные 1st'!$S$2:$S$317,$A29,'Данные 1st'!$LI$2:$LI$317),"")</f>
        <v/>
      </c>
      <c r="GJ29" s="7">
        <f>IFERROR(AVERAGEIF('Данные 1st'!$S$2:$S$317,$A29,'Данные 1st'!$LJ$2:$LJ$317),"")</f>
        <v/>
      </c>
      <c r="GK29" s="7">
        <f>IFERROR(AVERAGEIF('Данные 1st'!$S$2:$S$317,$A29,'Данные 1st'!$LK$2:$LK$317),"")</f>
        <v>480</v>
      </c>
      <c r="GL29" s="7">
        <f>IFERROR(AVERAGEIF('Данные 1st'!$S$2:$S$317,$A29,'Данные 1st'!$LV$2:$LV$317),"")</f>
        <v/>
      </c>
      <c r="GM29" s="7">
        <f>IFERROR(AVERAGEIF('Данные 1st'!$S$2:$S$317,$A29,'Данные 1st'!$LW$2:$LW$317),"")</f>
        <v/>
      </c>
      <c r="GN29" s="7">
        <f>IFERROR(AVERAGEIF('Данные 1st'!$S$2:$S$317,$A29,'Данные 1st'!$LX$2:$LX$317),"")</f>
        <v/>
      </c>
      <c r="GO29" s="7">
        <f>IFERROR(AVERAGEIF('Данные 1st'!$S$2:$S$317,$A29,'Данные 1st'!$LY$2:$LY$317),"")</f>
        <v/>
      </c>
      <c r="GP29" s="7">
        <f>IFERROR(AVERAGEIF('Данные 1st'!$S$2:$S$317,$A29,'Данные 1st'!$LZ$2:$LZ$317),"")</f>
        <v/>
      </c>
      <c r="GQ29" s="7">
        <f>IFERROR(AVERAGEIF('Данные 1st'!$S$2:$S$317,$A29,'Данные 1st'!$PG$2:$PG$317),"")</f>
        <v>1</v>
      </c>
      <c r="GR29" s="7">
        <f>IFERROR(AVERAGEIF('Данные 1st'!$S$2:$S$317,$A29,'Данные 1st'!$PX$2:$PX$317),"")</f>
        <v>56</v>
      </c>
      <c r="GS29" s="7">
        <f>IFERROR(AVERAGEIF('Данные 1st'!$S$2:$S$317,$A29,'Данные 1st'!$PY$2:$PY$317),"")</f>
        <v>56.666666666666664</v>
      </c>
      <c r="GT29" s="7">
        <f>IFERROR(AVERAGEIF('Данные 1st'!$S$2:$S$317,$A29,'Данные 1st'!$QA$2:$QA$317),"")</f>
        <v>1.3333333333333333</v>
      </c>
      <c r="GU29" s="7">
        <f>IFERROR(AVERAGEIF('Данные 1st'!$S$2:$S$317,$A29,'Данные 1st'!$QB$2:$QB$317),"")</f>
        <v>1208.6666666666667</v>
      </c>
      <c r="GV29" s="7">
        <f>IFERROR(AVERAGEIF('Данные 1st'!$S$2:$S$317,$A29,'Данные 1st'!$QC$2:$QC$317),"")</f>
        <v>69</v>
      </c>
      <c r="GW29" s="7">
        <f>IFERROR(AVERAGEIF('Данные 1st'!$S$2:$S$317,$A29,'Данные 1st'!$QD$2:$QD$317),"")</f>
        <v>69</v>
      </c>
      <c r="GX29" s="7">
        <f>IFERROR(AVERAGEIF('Данные 1st'!$S$2:$S$317,$A29,'Данные 1st'!$QF$2:$QF$317),"")</f>
        <v>1</v>
      </c>
      <c r="GY29" s="7">
        <f>IFERROR(AVERAGEIF('Данные 1st'!$S$2:$S$317,$A29,'Данные 1st'!$QG$2:$QG$317),"")</f>
        <v>1213.3333333333333</v>
      </c>
      <c r="GZ29" s="7">
        <f>IFERROR(AVERAGEIF('Данные 1st'!$S$2:$S$317,$A29,'Данные 1st'!$QH$2:$QH$317),"")</f>
        <v>66</v>
      </c>
      <c r="HA29" s="7">
        <f>IFERROR(AVERAGEIF('Данные 1st'!$S$2:$S$317,$A29,'Данные 1st'!$QI$2:$QI$317),"")</f>
        <v>66</v>
      </c>
      <c r="HB29" s="7">
        <f>IFERROR(AVERAGEIF('Данные 1st'!$S$2:$S$317,$A29,'Данные 1st'!$QK$2:$QK$317),"")</f>
        <v/>
      </c>
      <c r="HC29" s="7">
        <f>IFERROR(AVERAGEIF('Данные 1st'!$S$2:$S$317,$A29,'Данные 1st'!$QL$2:$QL$317),"")</f>
        <v>0</v>
      </c>
      <c r="HD29" s="7">
        <f>IFERROR(AVERAGEIF('Данные 1st'!$S$2:$S$317,$A29,'Данные 1st'!$QM$2:$QM$317),"")</f>
        <v>62</v>
      </c>
      <c r="HE29" s="7">
        <f>IFERROR(AVERAGEIF('Данные 1st'!$S$2:$S$317,$A29,'Данные 1st'!$QN$2:$QN$317),"")</f>
        <v>62</v>
      </c>
      <c r="HF29" s="7">
        <f>IFERROR(AVERAGEIF('Данные 1st'!$S$2:$S$317,$A29,'Данные 1st'!$QP$2:$QP$317),"")</f>
        <v>1</v>
      </c>
      <c r="HG29" s="7">
        <f>IFERROR(AVERAGEIF('Данные 1st'!$S$2:$S$317,$A29,'Данные 1st'!$QQ$2:$QQ$317),"")</f>
        <v>1212</v>
      </c>
      <c r="HH29" s="7">
        <f>IFERROR(AVERAGEIF('Данные 1st'!$S$2:$S$317,$A29,'Данные 1st'!$QR$2:$QR$317),"")</f>
        <v>62</v>
      </c>
      <c r="HI29" s="7">
        <f>IFERROR(AVERAGEIF('Данные 1st'!$S$2:$S$317,$A29,'Данные 1st'!$QS$2:$QS$317),"")</f>
        <v>62</v>
      </c>
      <c r="HJ29" s="7">
        <f>IFERROR(AVERAGEIF('Данные 1st'!$S$2:$S$317,$A29,'Данные 1st'!$QU$2:$QU$317),"")</f>
        <v>1</v>
      </c>
      <c r="HK29" s="7">
        <f>IFERROR(AVERAGEIF('Данные 1st'!$S$2:$S$317,$A29,'Данные 1st'!$QV$2:$QV$317),"")</f>
        <v>1218.3333333333333</v>
      </c>
      <c r="HL29" s="7">
        <f>IFERROR(AVERAGEIF('Данные 1st'!$S$2:$S$317,$A29,'Данные 1st'!$QW$2:$QW$317),"")</f>
        <v>82</v>
      </c>
      <c r="HM29" s="7">
        <f>IFERROR(AVERAGEIF('Данные 1st'!$S$2:$S$317,$A29,'Данные 1st'!$QX$2:$QX$317),"")</f>
        <v>88.33333333333333</v>
      </c>
      <c r="HN29" s="7">
        <f>IFERROR(AVERAGEIF('Данные 1st'!$S$2:$S$317,$A29,'Данные 1st'!$QZ$2:$QZ$317),"")</f>
        <v>1</v>
      </c>
      <c r="HO29" s="7">
        <f>IFERROR(AVERAGEIF('Данные 1st'!$S$2:$S$317,$A29,'Данные 1st'!$RA$2:$RA$317),"")</f>
        <v>66</v>
      </c>
      <c r="HP29" s="7">
        <f>IFERROR(AVERAGEIF('Данные 1st'!$S$2:$S$317,$A29,'Данные 1st'!$RB$2:$RB$317),"")</f>
        <v>66</v>
      </c>
      <c r="HQ29" s="7">
        <f>IFERROR(AVERAGEIF('Данные 1st'!$S$2:$S$317,$A29,'Данные 1st'!$RD$2:$RD$317),"")</f>
        <v/>
      </c>
      <c r="HR29" s="7">
        <f>IFERROR(AVERAGEIF('Данные 1st'!$S$2:$S$317,$A29,'Данные 1st'!$RE$2:$RE$317),"")</f>
        <v>0</v>
      </c>
      <c r="HS29" s="7">
        <f>IFERROR(AVERAGEIF('Данные 1st'!$S$2:$S$317,$A29,'Данные 1st'!$RF$2:$RF$317),"")</f>
        <v>1</v>
      </c>
      <c r="HT29" s="7">
        <f>IFERROR(AVERAGEIF('Данные 1st'!$S$2:$S$317,$A29,'Данные 1st'!$RG$2:$RG$317),"")</f>
        <v/>
      </c>
      <c r="HU29" s="7">
        <f>IFERROR(AVERAGEIF('Данные 1st'!$S$2:$S$317,$A29,'Данные 1st'!$RH$2:$RH$317),"")</f>
        <v>1</v>
      </c>
      <c r="HV29" s="7">
        <f>IFERROR(AVERAGEIF('Данные 1st'!$S$2:$S$317,$A29,'Данные 1st'!$RI$2:$RI$317),"")</f>
        <v/>
      </c>
      <c r="HW29" s="7">
        <f>IFERROR(AVERAGEIF('Данные 1st'!$S$2:$S$317,$A29,'Данные 1st'!$RJ$2:$RJ$317),"")</f>
        <v>1</v>
      </c>
      <c r="HX29" s="7">
        <f>IFERROR(AVERAGEIF('Данные 1st'!$S$2:$S$317,$A29,'Данные 1st'!$RK$2:$RK$317),"")</f>
        <v/>
      </c>
      <c r="HY29" s="7">
        <f>IFERROR(AVERAGEIF('Данные 1st'!$S$2:$S$317,$A29,'Данные 1st'!$RL$2:$RL$317),"")</f>
        <v>3.6666666666666665</v>
      </c>
      <c r="HZ29" s="7">
        <f>IFERROR(AVERAGEIF('Данные 1st'!$S$2:$S$317,$A29,'Данные 1st'!$RM$2:$RM$317),"")</f>
        <v>3.6666666666666665</v>
      </c>
      <c r="IA29" s="7">
        <f>IFERROR(AVERAGEIF('Данные 1st'!$S$2:$S$317,$A29,'Данные 1st'!$RN$2:$RN$317),"")</f>
        <v/>
      </c>
      <c r="IB29" s="7">
        <f>IFERROR(AVERAGEIF('Данные 1st'!$S$2:$S$317,$A29,'Данные 1st'!$RO$2:$RO$317),"")</f>
        <v>655.6666666666666</v>
      </c>
      <c r="IC29" s="7">
        <f>IFERROR(AVERAGEIF('Данные 1st'!$S$2:$S$317,$A29,'Данные 1st'!$RP$2:$RP$317),"")</f>
        <v/>
      </c>
      <c r="ID29" s="7">
        <f>IFERROR(AVERAGEIF('Данные 1st'!$S$2:$S$317,$A29,'Данные 1st'!$RQ$2:$RQ$317),"")</f>
        <v>759</v>
      </c>
      <c r="IE29" s="7">
        <f>IFERROR(AVERAGEIF('Данные 1st'!$S$2:$S$317,$A29,'Данные 1st'!$RR$2:$RR$317),"")</f>
        <v>588</v>
      </c>
      <c r="IF29" s="7">
        <f>IFERROR(AVERAGEIF('Данные 1st'!$S$2:$S$317,$A29,'Данные 1st'!$RS$2:$RS$317),"")</f>
        <v/>
      </c>
      <c r="IG29" s="7">
        <f>IFERROR(AVERAGEIF('Данные 1st'!$S$2:$S$317,$A29,'Данные 1st'!$RT$2:$RT$317),"")</f>
        <v>233</v>
      </c>
      <c r="IH29" s="7">
        <f>IFERROR(AVERAGEIF('Данные 1st'!$S$2:$S$317,$A29,'Данные 1st'!$RU$2:$RU$317),"")</f>
        <v>193.33333333333334</v>
      </c>
      <c r="II29" s="7">
        <f>IFERROR(AVERAGEIF('Данные 1st'!$S$2:$S$317,$A29,'Данные 1st'!$RX$2:$RX$317),"")</f>
        <v>15</v>
      </c>
      <c r="IJ29" s="7">
        <f>IFERROR(AVERAGEIF('Данные 1st'!$S$2:$S$317,$A29,'Данные 1st'!$RY$2:$RY$317),"")</f>
        <v>4</v>
      </c>
      <c r="IK29" s="7">
        <f>IFERROR(AVERAGEIF('Данные 1st'!$S$2:$S$317,$A29,'Данные 1st'!$SA$2:$SA$317),"")</f>
        <v>15</v>
      </c>
      <c r="IL29" s="7">
        <f>IFERROR(AVERAGEIF('Данные 1st'!$S$2:$S$317,$A29,'Данные 1st'!$SD$2:$SD$317),"")</f>
        <v>1</v>
      </c>
      <c r="IM29" s="7">
        <f>IFERROR(AVERAGEIF('Данные 1st'!$S$2:$S$317,$A29,'Данные 1st'!$SG$2:$SG$317),"")</f>
        <v>1</v>
      </c>
      <c r="IN29" s="7">
        <f>IFERROR(AVERAGEIF('Данные 1st'!$S$2:$S$317,$A29,'Данные 1st'!$SH$2:$SH$317),"")</f>
        <v>0.995</v>
      </c>
      <c r="IO29" s="7">
        <f>IFERROR(AVERAGEIF('Данные 1st'!$S$2:$S$317,$A29,'Данные 1st'!$SI$2:$SI$317),"")</f>
        <v>0.995</v>
      </c>
      <c r="IP29" s="7">
        <f>IFERROR(AVERAGEIF('Данные 1st'!$S$2:$S$317,$A29,'Данные 1st'!$SJ$2:$SJ$317),"")</f>
        <v>0.995</v>
      </c>
      <c r="IQ29" s="7">
        <f>IFERROR(AVERAGEIF('Данные 1st'!$S$2:$S$317,$A29,'Данные 1st'!$SK$2:$SK$317),"")</f>
        <v>15</v>
      </c>
      <c r="IR29" s="7">
        <f>IFERROR(AVERAGEIF('Данные 1st'!$S$2:$S$317,$A29,'Данные 1st'!$SL$2:$SL$317),"")</f>
        <v>0</v>
      </c>
      <c r="IS29" s="7">
        <f>IFERROR(AVERAGEIF('Данные 1st'!$S$2:$S$317,$A29,'Данные 1st'!$SM$2:$SM$317),"")</f>
        <v>0</v>
      </c>
      <c r="IT29" s="7">
        <f>IFERROR(AVERAGEIF('Данные 1st'!$S$2:$S$317,$A29,'Данные 1st'!$SN$2:$SN$317),"")</f>
        <v>0</v>
      </c>
      <c r="IU29" s="7">
        <f>IFERROR(AVERAGEIF('Данные 1st'!$S$2:$S$317,$A29,'Данные 1st'!$SO$2:$SO$317),"")</f>
        <v>0</v>
      </c>
      <c r="IV29" s="7">
        <f>IFERROR(AVERAGEIF('Данные 1st'!$S$2:$S$317,$A29,'Данные 1st'!$SP$2:$SP$317),"")</f>
        <v>0</v>
      </c>
      <c r="IW29" s="7">
        <f>IFERROR(AVERAGEIF('Данные 1st'!$S$2:$S$317,$A29,'Данные 1st'!$SQ$2:$SQ$317),"")</f>
        <v>0</v>
      </c>
      <c r="IX29" s="7">
        <f>IFERROR(AVERAGEIF('Данные 1st'!$S$2:$S$317,$A29,'Данные 1st'!$SR$2:$SR$317),"")</f>
        <v>0</v>
      </c>
      <c r="IY29" s="7">
        <f>IFERROR(AVERAGEIF('Данные 1st'!$S$2:$S$317,$A29,'Данные 1st'!$SS$2:$SS$317),"")</f>
        <v>0</v>
      </c>
      <c r="IZ29" s="7">
        <f>IFERROR(AVERAGEIF('Данные 1st'!$S$2:$S$317,$A29,'Данные 1st'!$ST$2:$ST$317),"")</f>
        <v>0</v>
      </c>
      <c r="JA29" s="7">
        <f>IFERROR(AVERAGEIF('Данные 1st'!$S$2:$S$317,$A29,'Данные 1st'!$SU$2:$SU$317),"")</f>
        <v>0</v>
      </c>
      <c r="JB29" s="7">
        <f>IFERROR(AVERAGEIF('Данные 1st'!$S$2:$S$317,$A29,'Данные 1st'!$SV$2:$SV$317),"")</f>
        <v>0</v>
      </c>
      <c r="JC29" s="7">
        <f>IFERROR(AVERAGEIF('Данные 1st'!$S$2:$S$317,$A29,'Данные 1st'!$SW$2:$SW$317),"")</f>
        <v>0</v>
      </c>
      <c r="JD29" s="7">
        <f>IFERROR(AVERAGEIF('Данные 1st'!$S$2:$S$317,$A29,'Данные 1st'!$SX$2:$SX$317),"")</f>
        <v>0</v>
      </c>
      <c r="JE29" s="7">
        <f>IFERROR(AVERAGEIF('Данные 1st'!$S$2:$S$317,$A29,'Данные 1st'!$SY$2:$SY$317),"")</f>
        <v/>
      </c>
      <c r="JF29" s="7">
        <f>IFERROR(AVERAGEIF('Данные 1st'!$S$2:$S$317,$A29,'Данные 1st'!$SZ$2:$SZ$317),"")</f>
        <v>1</v>
      </c>
      <c r="JG29" s="7">
        <f>IFERROR(AVERAGEIF('Данные 1st'!$S$2:$S$317,$A29,'Данные 1st'!$TA$2:$TA$317),"")</f>
        <v/>
      </c>
      <c r="JH29" s="7">
        <f>IFERROR(AVERAGEIF('Данные 1st'!$S$2:$S$317,$A29,'Данные 1st'!$TB$2:$TB$317),"")</f>
        <v>0</v>
      </c>
      <c r="JI29" s="7">
        <f>IFERROR(AVERAGEIF('Данные 1st'!$S$2:$S$317,$A29,'Данные 1st'!$TC$2:$TC$317),"")</f>
        <v>0</v>
      </c>
      <c r="JJ29" s="7">
        <f>IFERROR(AVERAGEIF('Данные 1st'!$S$2:$S$317,$A29,'Данные 1st'!$TD$2:$TD$317),"")</f>
        <v>7.5</v>
      </c>
      <c r="JK29" s="7">
        <f>IFERROR(AVERAGEIF('Данные 1st'!$S$2:$S$317,$A29,'Данные 1st'!$TN$2:$TN$317),"")</f>
        <v>0</v>
      </c>
      <c r="JL29">
        <f>COUNTIF('Данные 2st'!$Q$2:$Q$317,$A29)</f>
        <v>3</v>
      </c>
      <c r="JM29" s="6" t="s">
        <v>5090</v>
      </c>
      <c r="JN29" s="6" t="s">
        <v>513</v>
      </c>
      <c r="JO29" s="6" t="s">
        <v>5125</v>
      </c>
      <c r="JP29" s="6" t="s">
        <v>5486</v>
      </c>
      <c r="JQ29" s="7">
        <f>IFERROR(AVERAGEIF('Данные 2st'!$Q$2:$Q$317,$A29,'Данные 2st'!$AC$2:$AC$317),"")</f>
        <v>12</v>
      </c>
      <c r="JR29" s="7">
        <f>IFERROR(AVERAGEIF('Данные 2st'!$Q$2:$Q$317,$A29,'Данные 2st'!$AF$2:$AF$317),"")</f>
        <v>5470.333333333333</v>
      </c>
      <c r="JS29" s="7">
        <f>IFERROR(AVERAGEIF('Данные 2st'!$Q$2:$Q$317,$A29,'Данные 2st'!$AW$2:$AW$317),"")</f>
        <v>6.4</v>
      </c>
      <c r="JT29" s="7">
        <f>IFERROR(AVERAGEIF('Данные 2st'!$Q$2:$Q$317,$A29,'Данные 2st'!$AX$2:$AX$317),"")</f>
        <v>-6</v>
      </c>
      <c r="JU29" s="7">
        <f>IFERROR(AVERAGEIF('Данные 2st'!$Q$2:$Q$317,$A29,'Данные 2st'!$AY$2:$AY$317),"")</f>
        <v>89.5</v>
      </c>
      <c r="JV29" s="7">
        <f>IFERROR(AVERAGEIF('Данные 2st'!$Q$2:$Q$317,$A29,'Данные 2st'!$AZ$2:$AZ$317),"")</f>
        <v>63.833333333333336</v>
      </c>
      <c r="JW29" s="7">
        <f>IFERROR(AVERAGEIF('Данные 2st'!$Q$2:$Q$317,$A29,'Данные 2st'!$BA$2:$BA$317),"")</f>
        <v/>
      </c>
      <c r="JX29" s="7">
        <f>IFERROR(AVERAGEIF('Данные 2st'!$Q$2:$Q$317,$A29,'Данные 2st'!$BB$2:$BB$317),"")</f>
        <v/>
      </c>
      <c r="JY29" s="7">
        <f>IFERROR(AVERAGEIF('Данные 2st'!$Q$2:$Q$317,$A29,'Данные 2st'!$BC$2:$BC$317),"")</f>
        <v/>
      </c>
      <c r="JZ29" s="7">
        <f>IFERROR(AVERAGEIF('Данные 2st'!$Q$2:$Q$317,$A29,'Данные 2st'!$BH$2:$BH$317),"")</f>
        <v>89.5</v>
      </c>
      <c r="KA29" s="7">
        <f>IFERROR(AVERAGEIF('Данные 2st'!$Q$2:$Q$317,$A29,'Данные 2st'!$BI$2:$BI$317),"")</f>
        <v>25.666666666666668</v>
      </c>
      <c r="KB29" s="7">
        <f>IFERROR(AVERAGEIF('Данные 2st'!$Q$2:$Q$317,$A29,'Данные 2st'!$BJ$2:$BJ$317),"")</f>
        <v>63.833333333333336</v>
      </c>
      <c r="KC29" s="7">
        <f>IFERROR(AVERAGEIF('Данные 2st'!$Q$2:$Q$317,$A29,'Данные 2st'!$BK$2:$BK$317),"")</f>
        <v>2.8333333333333335</v>
      </c>
      <c r="KD29" s="7">
        <f>IFERROR(AVERAGEIF('Данные 2st'!$Q$2:$Q$317,$A29,'Данные 2st'!$BL$2:$BL$317),"")</f>
        <v>179</v>
      </c>
      <c r="KE29" s="7">
        <f>IFERROR(AVERAGEIF('Данные 2st'!$Q$2:$Q$317,$A29,'Данные 2st'!$BM$2:$BM$317),"")</f>
        <v>-6</v>
      </c>
      <c r="KF29" s="7">
        <f>IFERROR(AVERAGEIF('Данные 2st'!$Q$2:$Q$317,$A29,'Данные 2st'!$BN$2:$BN$317),"")</f>
        <v>0</v>
      </c>
      <c r="KG29" s="7">
        <f>IFERROR(AVERAGEIF('Данные 2st'!$Q$2:$Q$317,$A29,'Данные 2st'!$BO$2:$BO$317),"")</f>
        <v/>
      </c>
      <c r="KH29" s="7">
        <f>IFERROR(AVERAGEIF('Данные 2st'!$Q$2:$Q$317,$A29,'Данные 2st'!$BP$2:$BP$317),"")</f>
        <v>0</v>
      </c>
      <c r="KI29" s="7">
        <f>IFERROR(AVERAGEIF('Данные 2st'!$Q$2:$Q$317,$A29,'Данные 2st'!$BR$2:$BR$317),"")</f>
        <v>173.33333333333334</v>
      </c>
      <c r="KJ29" s="7">
        <f>IFERROR(AVERAGEIF('Данные 2st'!$Q$2:$Q$317,$A29,'Данные 2st'!$BS$2:$BS$317),"")</f>
        <v>163.33333333333334</v>
      </c>
      <c r="KK29" s="7">
        <f>IFERROR(AVERAGEIF('Данные 2st'!$Q$2:$Q$317,$A29,'Данные 2st'!$BT$2:$BT$317),"")</f>
        <v>2075</v>
      </c>
      <c r="KL29" s="7">
        <f>IFERROR(AVERAGEIF('Данные 2st'!$Q$2:$Q$317,$A29,'Данные 2st'!$CV$2:$CV$317),"")</f>
        <v>122.66666666666667</v>
      </c>
      <c r="KM29" s="7">
        <f>IFERROR(AVERAGEIF('Данные 2st'!$Q$2:$Q$317,$A29,'Данные 2st'!$CW$2:$CW$317),"")</f>
        <v>3</v>
      </c>
      <c r="KN29" s="7">
        <f>IFERROR(AVERAGEIF('Данные 2st'!$Q$2:$Q$317,$A29,'Данные 2st'!$CX$2:$CX$317),"")</f>
        <v>71.33333333333333</v>
      </c>
      <c r="KO29" s="7">
        <f>IFERROR(AVERAGEIF('Данные 2st'!$Q$2:$Q$317,$A29,'Данные 2st'!$CY$2:$CY$317),"")</f>
        <v>5</v>
      </c>
      <c r="KP29" s="7">
        <f>IFERROR(AVERAGEIF('Данные 2st'!$Q$2:$Q$317,$A29,'Данные 2st'!$CZ$2:$CZ$317),"")</f>
        <v>145.33333333333334</v>
      </c>
      <c r="KQ29" s="7">
        <f>IFERROR(AVERAGEIF('Данные 2st'!$Q$2:$Q$317,$A29,'Данные 2st'!$DA$2:$DA$317),"")</f>
        <v>5</v>
      </c>
      <c r="KR29" s="7">
        <f>IFERROR(AVERAGEIF('Данные 2st'!$Q$2:$Q$317,$A29,'Данные 2st'!$DB$2:$DB$317),"")</f>
        <v>11840</v>
      </c>
      <c r="KS29" s="7">
        <f>IFERROR(AVERAGEIF('Данные 2st'!$Q$2:$Q$317,$A29,'Данные 2st'!$DC$2:$DC$317),"")</f>
        <v>356.6666666666667</v>
      </c>
      <c r="KT29" s="7">
        <f>IFERROR(AVERAGEIF('Данные 2st'!$Q$2:$Q$317,$A29,'Данные 2st'!$DD$2:$DD$317),"")</f>
        <v>332.6666666666667</v>
      </c>
      <c r="KU29" s="7">
        <f>IFERROR(AVERAGEIF('Данные 2st'!$Q$2:$Q$317,$A29,'Данные 2st'!$DE$2:$DE$317),"")</f>
        <v>2145.6666666666665</v>
      </c>
      <c r="KV29" s="7">
        <f>IFERROR(AVERAGEIF('Данные 2st'!$Q$2:$Q$317,$A29,'Данные 2st'!$DF$2:$DF$317),"")</f>
        <v>2181</v>
      </c>
      <c r="KW29" s="7">
        <f>IFERROR(AVERAGEIF('Данные 2st'!$Q$2:$Q$317,$A29,'Данные 2st'!$DG$2:$DG$317),"")</f>
        <v>2204</v>
      </c>
      <c r="KX29" s="7">
        <f>IFERROR(AVERAGEIF('Данные 2st'!$Q$2:$Q$317,$A29,'Данные 2st'!$DH$2:$DH$317),"")</f>
        <v/>
      </c>
      <c r="KY29" s="7">
        <f>IFERROR(AVERAGEIF('Данные 2st'!$Q$2:$Q$317,$A29,'Данные 2st'!$DI$2:$DI$317),"")</f>
        <v/>
      </c>
      <c r="KZ29" s="7">
        <f>IFERROR(AVERAGEIF('Данные 2st'!$Q$2:$Q$317,$A29,'Данные 2st'!$DK$2:$DK$317),"")</f>
        <v>173.33333333333334</v>
      </c>
      <c r="LA29" s="7">
        <f>IFERROR(AVERAGEIF('Данные 2st'!$Q$2:$Q$317,$A29,'Данные 2st'!$DM$2:$DM$317),"")</f>
        <v>63.666666666666664</v>
      </c>
      <c r="LB29" s="7">
        <f>IFERROR(AVERAGEIF('Данные 2st'!$Q$2:$Q$317,$A29,'Данные 2st'!$DN$2:$DN$317),"")</f>
        <v>1.1333333333333333</v>
      </c>
      <c r="LC29" s="7">
        <f>IFERROR(AVERAGEIF('Данные 2st'!$Q$2:$Q$317,$A29,'Данные 2st'!$DO$2:$DO$317),"")</f>
        <v>1</v>
      </c>
      <c r="LD29" s="7">
        <f>IFERROR(AVERAGEIF('Данные 2st'!$Q$2:$Q$317,$A29,'Данные 2st'!$DP$2:$DP$317),"")</f>
        <v>2078.3333333333335</v>
      </c>
      <c r="LE29" s="7">
        <f>IFERROR(AVERAGEIF('Данные 2st'!$Q$2:$Q$317,$A29,'Данные 2st'!$DQ$2:$DQ$317),"")</f>
        <v>794.3333333333334</v>
      </c>
      <c r="LF29" s="7">
        <f>IFERROR(AVERAGEIF('Данные 2st'!$Q$2:$Q$317,$A29,'Данные 2st'!$DS$2:$DS$317),"")</f>
        <v>163.33333333333334</v>
      </c>
      <c r="LG29" s="7">
        <f>IFERROR(AVERAGEIF('Данные 2st'!$Q$2:$Q$317,$A29,'Данные 2st'!$DU$2:$DU$317),"")</f>
        <v>63.666666666666664</v>
      </c>
      <c r="LH29" s="7">
        <f>IFERROR(AVERAGEIF('Данные 2st'!$Q$2:$Q$317,$A29,'Данные 2st'!$DV$2:$DV$317),"")</f>
        <v>1.1333333333333333</v>
      </c>
      <c r="LI29" s="7">
        <f>IFERROR(AVERAGEIF('Данные 2st'!$Q$2:$Q$317,$A29,'Данные 2st'!$DW$2:$DW$317),"")</f>
        <v>1</v>
      </c>
      <c r="LJ29" s="7">
        <f>IFERROR(AVERAGEIF('Данные 2st'!$Q$2:$Q$317,$A29,'Данные 2st'!$DX$2:$DX$317),"")</f>
        <v>2090.3333333333335</v>
      </c>
      <c r="LK29" s="7">
        <f>IFERROR(AVERAGEIF('Данные 2st'!$Q$2:$Q$317,$A29,'Данные 2st'!$DY$2:$DY$317),"")</f>
        <v>753</v>
      </c>
      <c r="LL29" s="7">
        <f>IFERROR(AVERAGEIF('Данные 2st'!$Q$2:$Q$317,$A29,'Данные 2st'!$EA$2:$EA$317),"")</f>
        <v>20</v>
      </c>
      <c r="LM29" s="7">
        <f>IFERROR(AVERAGEIF('Данные 2st'!$Q$2:$Q$317,$A29,'Данные 2st'!$EC$2:$EC$317),"")</f>
        <v>0.8</v>
      </c>
      <c r="LN29" s="7">
        <f>IFERROR(AVERAGEIF('Данные 2st'!$Q$2:$Q$317,$A29,'Данные 2st'!$ED$2:$ED$317),"")</f>
        <v>2078.3333333333335</v>
      </c>
      <c r="LO29" s="7">
        <f>IFERROR(AVERAGEIF('Данные 2st'!$Q$2:$Q$317,$A29,'Данные 2st'!$EE$2:$EE$317),"")</f>
        <v>73</v>
      </c>
      <c r="LP29" s="7">
        <f>IFERROR(AVERAGEIF('Данные 2st'!$Q$2:$Q$317,$A29,'Данные 2st'!$EG$2:$EG$317),"")</f>
        <v>0</v>
      </c>
      <c r="LQ29" s="7">
        <f>IFERROR(AVERAGEIF('Данные 2st'!$Q$2:$Q$317,$A29,'Данные 2st'!$EI$2:$EI$317),"")</f>
        <v>0</v>
      </c>
      <c r="LR29" s="7">
        <f>IFERROR(AVERAGEIF('Данные 2st'!$Q$2:$Q$317,$A29,'Данные 2st'!$EJ$2:$EJ$317),"")</f>
        <v/>
      </c>
      <c r="LS29" s="7">
        <f>IFERROR(AVERAGEIF('Данные 2st'!$Q$2:$Q$317,$A29,'Данные 2st'!$EK$2:$EK$317),"")</f>
        <v/>
      </c>
      <c r="LT29" s="7">
        <f>IFERROR(AVERAGEIF('Данные 2st'!$Q$2:$Q$317,$A29,'Данные 2st'!$EM$2:$EM$317),"")</f>
        <v>12</v>
      </c>
      <c r="LU29" s="7">
        <f>IFERROR(AVERAGEIF('Данные 2st'!$Q$2:$Q$317,$A29,'Данные 2st'!$EN$2:$EN$317),"")</f>
        <v>0.5</v>
      </c>
      <c r="LV29" s="7">
        <f>IFERROR(AVERAGEIF('Данные 2st'!$Q$2:$Q$317,$A29,'Данные 2st'!$EO$2:$EO$317),"")</f>
        <v>0.96</v>
      </c>
      <c r="LW29" s="7">
        <f>IFERROR(AVERAGEIF('Данные 2st'!$Q$2:$Q$317,$A29,'Данные 2st'!$EP$2:$EP$317),"")</f>
        <v>2089.2466666666664</v>
      </c>
      <c r="LX29" s="7">
        <f>IFERROR(AVERAGEIF('Данные 2st'!$Q$2:$Q$317,$A29,'Данные 2st'!$EQ$2:$EQ$317),"")</f>
        <v>31174.600000000002</v>
      </c>
      <c r="LY29" s="7">
        <f>IFERROR(AVERAGEIF('Данные 2st'!$Q$2:$Q$317,$A29,'Данные 2st'!$ER$2:$ER$317),"")</f>
        <v>8400.033333333333</v>
      </c>
      <c r="LZ29" s="7">
        <f>IFERROR(AVERAGEIF('Данные 2st'!$Q$2:$Q$317,$A29,'Данные 2st'!$ES$2:$ES$317),"")</f>
        <v>0</v>
      </c>
      <c r="MA29" s="7">
        <f>IFERROR(AVERAGEIF('Данные 2st'!$Q$2:$Q$317,$A29,'Данные 2st'!$ET$2:$ET$317),"")</f>
        <v>0</v>
      </c>
      <c r="MB29" s="7">
        <f>IFERROR(AVERAGEIF('Данные 2st'!$Q$2:$Q$317,$A29,'Данные 2st'!$EU$2:$EU$317),"")</f>
        <v>1</v>
      </c>
      <c r="MC29" s="7">
        <f>IFERROR(AVERAGEIF('Данные 2st'!$Q$2:$Q$317,$A29,'Данные 2st'!$EV$2:$EV$317),"")</f>
        <v>39575</v>
      </c>
      <c r="MD29" s="7">
        <f>IFERROR(AVERAGEIF('Данные 2st'!$Q$2:$Q$317,$A29,'Данные 2st'!$EW$2:$EW$317),"")</f>
        <v>475.3333333333333</v>
      </c>
      <c r="ME29" s="7">
        <f>IFERROR(AVERAGEIF('Данные 2st'!$Q$2:$Q$317,$A29,'Данные 2st'!$EY$2:$EY$317),"")</f>
        <v>206</v>
      </c>
      <c r="MF29" s="7">
        <f>IFERROR(AVERAGEIF('Данные 2st'!$Q$2:$Q$317,$A29,'Данные 2st'!$FA$2:$FA$317),"")</f>
        <v>5.233333333333333</v>
      </c>
      <c r="MG29" s="7">
        <f>IFERROR(AVERAGEIF('Данные 2st'!$Q$2:$Q$317,$A29,'Данные 2st'!$FB$2:$FB$317),"")</f>
        <v>1</v>
      </c>
      <c r="MH29" s="7">
        <f>IFERROR(AVERAGEIF('Данные 2st'!$Q$2:$Q$317,$A29,'Данные 2st'!$FC$2:$FC$317),"")</f>
        <v>1</v>
      </c>
      <c r="MI29" s="7">
        <f>IFERROR(AVERAGEIF('Данные 2st'!$Q$2:$Q$317,$A29,'Данные 2st'!$FD$2:$FD$317),"")</f>
        <v>2121.6666666666665</v>
      </c>
      <c r="MJ29" s="7">
        <f>IFERROR(AVERAGEIF('Данные 2st'!$Q$2:$Q$317,$A29,'Данные 2st'!$FE$2:$FE$317),"")</f>
        <v>2467.3333333333335</v>
      </c>
      <c r="MK29" s="7">
        <f>IFERROR(AVERAGEIF('Данные 2st'!$Q$2:$Q$317,$A29,'Данные 2st'!$FG$2:$FG$317),"")</f>
        <v>209.33333333333334</v>
      </c>
      <c r="ML29" s="7">
        <f>IFERROR(AVERAGEIF('Данные 2st'!$Q$2:$Q$317,$A29,'Данные 2st'!$FI$2:$FI$317),"")</f>
        <v>2.6333333333333333</v>
      </c>
      <c r="MM29" s="7">
        <f>IFERROR(AVERAGEIF('Данные 2st'!$Q$2:$Q$317,$A29,'Данные 2st'!$FJ$2:$FJ$317),"")</f>
        <v>2121.6666666666665</v>
      </c>
      <c r="MN29" s="7">
        <f>IFERROR(AVERAGEIF('Данные 2st'!$Q$2:$Q$317,$A29,'Данные 2st'!$FK$2:$FK$317),"")</f>
        <v>1374.6666666666667</v>
      </c>
      <c r="MO29" s="7">
        <f>IFERROR(AVERAGEIF('Данные 2st'!$Q$2:$Q$317,$A29,'Данные 2st'!$FP$2:$FP$317),"")</f>
        <v>2121.6666666666665</v>
      </c>
      <c r="MP29" s="7">
        <f>IFERROR(AVERAGEIF('Данные 2st'!$Q$2:$Q$317,$A29,'Данные 2st'!$FQ$2:$FQ$317),"")</f>
        <v>208.66666666666666</v>
      </c>
      <c r="MQ29" s="7">
        <f>IFERROR(AVERAGEIF('Данные 2st'!$Q$2:$Q$317,$A29,'Данные 2st'!$FS$2:$FS$317),"")</f>
        <v>213.33333333333334</v>
      </c>
      <c r="MR29" s="7">
        <f>IFERROR(AVERAGEIF('Данные 2st'!$Q$2:$Q$317,$A29,'Данные 2st'!$FU$2:$FU$317),"")</f>
        <v>0.4</v>
      </c>
      <c r="MS29" s="7">
        <f>IFERROR(AVERAGEIF('Данные 2st'!$Q$2:$Q$317,$A29,'Данные 2st'!$FV$2:$FV$317),"")</f>
        <v>2121.6666666666665</v>
      </c>
      <c r="MT29" s="7">
        <f>IFERROR(AVERAGEIF('Данные 2st'!$Q$2:$Q$317,$A29,'Данные 2st'!$FW$2:$FW$317),"")</f>
        <v>201.66666666666666</v>
      </c>
      <c r="MU29" s="7">
        <f>IFERROR(AVERAGEIF('Данные 2st'!$Q$2:$Q$317,$A29,'Данные 2st'!$FY$2:$FY$317),"")</f>
        <v>5</v>
      </c>
      <c r="MV29" s="7">
        <f>IFERROR(AVERAGEIF('Данные 2st'!$Q$2:$Q$317,$A29,'Данные 2st'!$GB$2:$GB$317),"")</f>
        <v>2125</v>
      </c>
      <c r="MW29" s="7">
        <f>IFERROR(AVERAGEIF('Данные 2st'!$Q$2:$Q$317,$A29,'Данные 2st'!$GC$2:$GC$317),"")</f>
        <v>20.5</v>
      </c>
      <c r="MX29" s="7">
        <f>IFERROR(AVERAGEIF('Данные 2st'!$Q$2:$Q$317,$A29,'Данные 2st'!$GD$2:$GD$317),"")</f>
        <v>4266</v>
      </c>
      <c r="MY29" s="7">
        <f>IFERROR(AVERAGEIF('Данные 2st'!$Q$2:$Q$317,$A29,'Данные 2st'!$GN$2:$GN$317),"")</f>
        <v/>
      </c>
      <c r="MZ29" s="7">
        <f>IFERROR(AVERAGEIF('Данные 2st'!$Q$2:$Q$317,$A29,'Данные 2st'!$GQ$2:$GQ$317),"")</f>
        <v>0</v>
      </c>
      <c r="NA29" s="7">
        <f>IFERROR(AVERAGEIF('Данные 2st'!$Q$2:$Q$317,$A29,'Данные 2st'!$GV$2:$GV$317),"")</f>
        <v>8.266666666666667</v>
      </c>
      <c r="NB29" s="7">
        <f>IFERROR(AVERAGEIF('Данные 2st'!$Q$2:$Q$317,$A29,'Данные 2st'!$GW$2:$GW$317),"")</f>
        <v>9.833333333333334</v>
      </c>
      <c r="NC29" s="7">
        <f>IFERROR(AVERAGEIF('Данные 2st'!$Q$2:$Q$317,$A29,'Данные 2st'!$GX$2:$GX$317),"")</f>
        <v>0.5</v>
      </c>
      <c r="ND29" s="7">
        <f>IFERROR(AVERAGEIF('Данные 2st'!$Q$2:$Q$317,$A29,'Данные 2st'!$GY$2:$GY$317),"")</f>
        <v>169.33333333333334</v>
      </c>
      <c r="NE29" s="7">
        <f>IFERROR(AVERAGEIF('Данные 2st'!$Q$2:$Q$317,$A29,'Данные 2st'!$GZ$2:$GZ$317),"")</f>
        <v>3</v>
      </c>
      <c r="NF29" s="7">
        <f>IFERROR(AVERAGEIF('Данные 2st'!$Q$2:$Q$317,$A29,'Данные 2st'!$HA$2:$HA$317),"")</f>
        <v>229.33333333333334</v>
      </c>
      <c r="NG29" s="7">
        <f>IFERROR(AVERAGEIF('Данные 2st'!$Q$2:$Q$317,$A29,'Данные 2st'!$HB$2:$HB$317),"")</f>
        <v>3</v>
      </c>
      <c r="NH29" s="7">
        <f>IFERROR(AVERAGEIF('Данные 2st'!$Q$2:$Q$317,$A29,'Данные 2st'!$HC$2:$HC$317),"")</f>
        <v>2121.6666666666665</v>
      </c>
      <c r="NI29" s="7">
        <f>IFERROR(AVERAGEIF('Данные 2st'!$Q$2:$Q$317,$A29,'Данные 2st'!$HD$2:$HD$317),"")</f>
        <v>4</v>
      </c>
      <c r="NJ29" s="7">
        <f>IFERROR(AVERAGEIF('Данные 2st'!$Q$2:$Q$317,$A29,'Данные 2st'!$HM$2:$HM$317),"")</f>
        <v>16</v>
      </c>
      <c r="NK29" s="7">
        <f>IFERROR(AVERAGEIF('Данные 2st'!$Q$2:$Q$317,$A29,'Данные 2st'!$HR$2:$HR$317),"")</f>
        <v>3</v>
      </c>
      <c r="NL29" s="7">
        <f>IFERROR(AVERAGEIF('Данные 2st'!$Q$2:$Q$317,$A29,'Данные 2st'!$HS$2:$HS$317),"")</f>
        <v>2075</v>
      </c>
      <c r="NM29" s="7">
        <f>IFERROR(AVERAGEIF('Данные 2st'!$Q$2:$Q$317,$A29,'Данные 2st'!$HT$2:$HT$317),"")</f>
        <v>5</v>
      </c>
      <c r="NN29" s="7">
        <f>IFERROR(AVERAGEIF('Данные 2st'!$Q$2:$Q$317,$A29,'Данные 2st'!$HY$2:$HY$317),"")</f>
        <v>0</v>
      </c>
      <c r="NO29" s="7">
        <f>IFERROR(AVERAGEIF('Данные 2st'!$Q$2:$Q$317,$A29,'Данные 2st'!$HZ$2:$HZ$317),"")</f>
        <v>63.666666666666664</v>
      </c>
      <c r="NP29" s="7">
        <f>IFERROR(AVERAGEIF('Данные 2st'!$Q$2:$Q$317,$A29,'Данные 2st'!$IA$2:$IA$317),"")</f>
        <v>2078.3333333333335</v>
      </c>
      <c r="NQ29" s="7">
        <f>IFERROR(AVERAGEIF('Данные 2st'!$Q$2:$Q$317,$A29,'Данные 2st'!$IB$2:$IB$317),"")</f>
        <v>2090.3333333333335</v>
      </c>
      <c r="NR29" s="7">
        <f>IFERROR(AVERAGEIF('Данные 2st'!$Q$2:$Q$317,$A29,'Данные 2st'!$IC$2:$IC$317),"")</f>
        <v/>
      </c>
      <c r="NS29" s="7">
        <f>IFERROR(AVERAGEIF('Данные 2st'!$Q$2:$Q$317,$A29,'Данные 2st'!$ID$2:$ID$317),"")</f>
        <v>2121.6666666666665</v>
      </c>
      <c r="NT29" s="7">
        <f>IFERROR(AVERAGEIF('Данные 2st'!$Q$2:$Q$317,$A29,'Данные 2st'!$IE$2:$IE$317),"")</f>
        <v>2121.6666666666665</v>
      </c>
      <c r="NU29" s="7">
        <f>IFERROR(AVERAGEIF('Данные 2st'!$Q$2:$Q$317,$A29,'Данные 2st'!$IF$2:$IF$317),"")</f>
        <v>173.33333333333334</v>
      </c>
      <c r="NV29" s="7">
        <f>IFERROR(AVERAGEIF('Данные 2st'!$Q$2:$Q$317,$A29,'Данные 2st'!$IG$2:$IG$317),"")</f>
        <v>163.33333333333334</v>
      </c>
      <c r="NW29" s="7">
        <f>IFERROR(AVERAGEIF('Данные 2st'!$Q$2:$Q$317,$A29,'Данные 2st'!$IH$2:$IH$317),"")</f>
        <v>229.33333333333334</v>
      </c>
      <c r="NX29" s="7">
        <f>IFERROR(AVERAGEIF('Данные 2st'!$Q$2:$Q$317,$A29,'Данные 2st'!$IJ$2:$IJ$317),"")</f>
        <v>5</v>
      </c>
      <c r="NY29" s="7">
        <f>IFERROR(AVERAGEIF('Данные 2st'!$Q$2:$Q$317,$A29,'Данные 2st'!$IM$2:$IM$317),"")</f>
        <v>0</v>
      </c>
      <c r="NZ29" s="7">
        <f>IFERROR(AVERAGEIF('Данные 2st'!$Q$2:$Q$317,$A29,'Данные 2st'!$IN$2:$IN$317),"")</f>
        <v>240</v>
      </c>
      <c r="OA29" s="7">
        <f>IFERROR(AVERAGEIF('Данные 2st'!$Q$2:$Q$317,$A29,'Данные 2st'!$IO$2:$IO$317),"")</f>
        <v>0</v>
      </c>
      <c r="OB29" s="7">
        <f>IFERROR(AVERAGEIF('Данные 2st'!$Q$2:$Q$317,$A29,'Данные 2st'!$IP$2:$IP$317),"")</f>
        <v>180</v>
      </c>
      <c r="OC29" s="7">
        <f>IFERROR(AVERAGEIF('Данные 2st'!$Q$2:$Q$317,$A29,'Данные 2st'!$IQ$2:$IQ$317),"")</f>
        <v>0</v>
      </c>
      <c r="OD29" s="7">
        <f>IFERROR(AVERAGEIF('Данные 2st'!$Q$2:$Q$317,$A29,'Данные 2st'!$IR$2:$IR$317),"")</f>
        <v>330</v>
      </c>
      <c r="OE29" s="7">
        <f>IFERROR(AVERAGEIF('Данные 2st'!$Q$2:$Q$317,$A29,'Данные 2st'!$IT$2:$IT$317),"")</f>
        <v>90</v>
      </c>
      <c r="OF29" s="7">
        <f>IFERROR(AVERAGEIF('Данные 2st'!$Q$2:$Q$317,$A29,'Данные 2st'!$IU$2:$IU$317),"")</f>
        <v>0</v>
      </c>
      <c r="OG29" s="7">
        <f>IFERROR(AVERAGEIF('Данные 2st'!$Q$2:$Q$317,$A29,'Данные 2st'!$IV$2:$IV$317),"")</f>
        <v>6.4</v>
      </c>
      <c r="OH29" s="7">
        <f>IFERROR(AVERAGEIF('Данные 2st'!$Q$2:$Q$317,$A29,'Данные 2st'!$IW$2:$IW$317),"")</f>
        <v>-6</v>
      </c>
      <c r="OI29" s="7">
        <f>IFERROR(AVERAGEIF('Данные 2st'!$Q$2:$Q$317,$A29,'Данные 2st'!$IX$2:$IX$317),"")</f>
        <v>89.5</v>
      </c>
      <c r="OJ29" s="7">
        <f>IFERROR(AVERAGEIF('Данные 2st'!$Q$2:$Q$317,$A29,'Данные 2st'!$IY$2:$IY$317),"")</f>
        <v>63.833333333333336</v>
      </c>
      <c r="OK29" s="7">
        <f>IFERROR(AVERAGEIF('Данные 2st'!$Q$2:$Q$317,$A29,'Данные 2st'!$IZ$2:$IZ$317),"")</f>
        <v>0</v>
      </c>
      <c r="OL29" s="7">
        <f>IFERROR(AVERAGEIF('Данные 2st'!$Q$2:$Q$317,$A29,'Данные 2st'!$JA$2:$JA$317),"")</f>
        <v>0</v>
      </c>
      <c r="OM29" s="7">
        <f>IFERROR(AVERAGEIF('Данные 2st'!$Q$2:$Q$317,$A29,'Данные 2st'!$JB$2:$JB$317),"")</f>
        <v>0</v>
      </c>
      <c r="ON29" s="7">
        <f>IFERROR(AVERAGEIF('Данные 2st'!$Q$2:$Q$317,$A29,'Данные 2st'!$JC$2:$JC$317),"")</f>
        <v>0</v>
      </c>
      <c r="OO29" s="7">
        <f>IFERROR(AVERAGEIF('Данные 2st'!$Q$2:$Q$317,$A29,'Данные 2st'!$JD$2:$JD$317),"")</f>
        <v>0</v>
      </c>
      <c r="OP29" s="7">
        <f>IFERROR(AVERAGEIF('Данные 2st'!$Q$2:$Q$317,$A29,'Данные 2st'!$JE$2:$JE$317),"")</f>
        <v>0</v>
      </c>
      <c r="OQ29" s="7">
        <f>IFERROR(AVERAGEIF('Данные 2st'!$Q$2:$Q$317,$A29,'Данные 2st'!$JF$2:$JF$317),"")</f>
        <v>0</v>
      </c>
      <c r="OR29" s="7">
        <f>IFERROR(AVERAGEIF('Данные 2st'!$Q$2:$Q$317,$A29,'Данные 2st'!$JG$2:$JG$317),"")</f>
        <v>0</v>
      </c>
      <c r="OS29" s="7">
        <f>IFERROR(AVERAGEIF('Данные 2st'!$Q$2:$Q$317,$A29,'Данные 2st'!$JH$2:$JH$317),"")</f>
        <v>0</v>
      </c>
      <c r="OT29" s="7">
        <f>IFERROR(AVERAGEIF('Данные 2st'!$Q$2:$Q$317,$A29,'Данные 2st'!$JI$2:$JI$317),"")</f>
        <v>413.3333333333333</v>
      </c>
      <c r="OU29" s="7">
        <f>IFERROR(AVERAGEIF('Данные 2st'!$Q$2:$Q$317,$A29,'Данные 2st'!$JJ$2:$JJ$317),"")</f>
        <v>384.6666666666667</v>
      </c>
      <c r="OV29" s="7">
        <f>IFERROR(AVERAGEIF('Данные 2st'!$Q$2:$Q$317,$A29,'Данные 2st'!$JK$2:$JK$317),"")</f>
        <v>289.3333333333333</v>
      </c>
      <c r="OW29" s="7">
        <f>IFERROR(AVERAGEIF('Данные 2st'!$Q$2:$Q$317,$A29,'Данные 2st'!$JL$2:$JL$317),"")</f>
        <v>378.6666666666667</v>
      </c>
      <c r="OX29" s="7">
        <f>IFERROR(AVERAGEIF('Данные 2st'!$Q$2:$Q$317,$A29,'Данные 2st'!$JM$2:$JM$317),"")</f>
        <v>278.6666666666667</v>
      </c>
      <c r="OY29" s="7">
        <f>IFERROR(AVERAGEIF('Данные 2st'!$Q$2:$Q$317,$A29,'Данные 2st'!$JP$2:$JP$317),"")</f>
        <v>195</v>
      </c>
      <c r="OZ29" s="7">
        <f>IFERROR(AVERAGEIF('Данные 2st'!$Q$2:$Q$317,$A29,'Данные 2st'!$JQ$2:$JQ$317),"")</f>
        <v>255.66666666666666</v>
      </c>
      <c r="PA29" s="7">
        <f>IFERROR(AVERAGEIF('Данные 2st'!$Q$2:$Q$317,$A29,'Данные 2st'!$JR$2:$JR$317),"")</f>
        <v>360.3333333333333</v>
      </c>
      <c r="PB29" s="7">
        <f>IFERROR(AVERAGEIF('Данные 2st'!$Q$2:$Q$317,$A29,'Данные 2st'!$JS$2:$JS$317),"")</f>
        <v>255</v>
      </c>
      <c r="PC29" s="7">
        <f>IFERROR(AVERAGEIF('Данные 2st'!$Q$2:$Q$317,$A29,'Данные 2st'!$JT$2:$JT$317),"")</f>
        <v>0</v>
      </c>
      <c r="PD29" s="7">
        <f>IFERROR(AVERAGEIF('Данные 2st'!$Q$2:$Q$317,$A29,'Данные 2st'!$JU$2:$JU$317),"")</f>
        <v>0</v>
      </c>
      <c r="PE29" s="7">
        <f>IFERROR(AVERAGEIF('Данные 2st'!$Q$2:$Q$317,$A29,'Данные 2st'!$JV$2:$JV$317),"")</f>
        <v>335</v>
      </c>
      <c r="PF29" s="7">
        <f>IFERROR(AVERAGEIF('Данные 2st'!$Q$2:$Q$317,$A29,'Данные 2st'!$JW$2:$JW$317),"")</f>
        <v>337</v>
      </c>
      <c r="PG29" s="7">
        <f>IFERROR(AVERAGEIF('Данные 2st'!$Q$2:$Q$317,$A29,'Данные 2st'!$KF$2:$KF$317),"")</f>
        <v>0.19666666666666666</v>
      </c>
      <c r="PH29" s="7">
        <f>IFERROR(AVERAGEIF('Данные 2st'!$Q$2:$Q$317,$A29,'Данные 2st'!$KG$2:$KG$317),"")</f>
        <v>0.10666666666666667</v>
      </c>
      <c r="PI29" s="7">
        <f>IFERROR(AVERAGEIF('Данные 2st'!$Q$2:$Q$317,$A29,'Данные 2st'!$KM$2:$KM$317),"")</f>
        <v>1.3333333333333333</v>
      </c>
      <c r="PJ29" s="7">
        <f>IFERROR(AVERAGEIF('Данные 2st'!$Q$2:$Q$317,$A29,'Данные 2st'!$KN$2:$KN$317),"")</f>
        <v>1.5333333333333334</v>
      </c>
      <c r="PK29" s="7">
        <f>IFERROR(AVERAGEIF('Данные 2st'!$Q$2:$Q$317,$A29,'Данные 2st'!$KO$2:$KO$317),"")</f>
        <v>0</v>
      </c>
      <c r="PL29" s="7">
        <f>IFERROR(AVERAGEIF('Данные 2st'!$Q$2:$Q$317,$A29,'Данные 2st'!$KP$2:$KP$317),"")</f>
        <v>0</v>
      </c>
      <c r="PM29" s="7">
        <f>IFERROR(AVERAGEIF('Данные 2st'!$Q$2:$Q$317,$A29,'Данные 2st'!$KQ$2:$KQ$317),"")</f>
        <v>1.1666666666666667</v>
      </c>
      <c r="PN29" s="7">
        <f>IFERROR(AVERAGEIF('Данные 2st'!$Q$2:$Q$317,$A29,'Данные 2st'!$KR$2:$KR$317),"")</f>
        <v>0.9333333333333333</v>
      </c>
      <c r="PO29" s="7">
        <f>IFERROR(AVERAGEIF('Данные 2st'!$Q$2:$Q$317,$A29,'Данные 2st'!$KS$2:$KS$317),"")</f>
        <v>0</v>
      </c>
      <c r="PP29" s="7">
        <f>IFERROR(AVERAGEIF('Данные 2st'!$Q$2:$Q$317,$A29,'Данные 2st'!$KT$2:$KT$317),"")</f>
        <v>2.3666666666666667</v>
      </c>
      <c r="PQ29" s="7">
        <f>IFERROR(AVERAGEIF('Данные 2st'!$Q$2:$Q$317,$A29,'Данные 2st'!$KU$2:$KU$317),"")</f>
        <v>0</v>
      </c>
      <c r="PR29" s="7">
        <f>IFERROR(AVERAGEIF('Данные 2st'!$Q$2:$Q$317,$A29,'Данные 2st'!$KV$2:$KV$317),"")</f>
        <v>0</v>
      </c>
      <c r="PS29" s="7">
        <f>IFERROR(AVERAGEIF('Данные 2st'!$Q$2:$Q$317,$A29,'Данные 2st'!$KW$2:$KW$317),"")</f>
        <v>1.2</v>
      </c>
      <c r="PT29" s="7">
        <f>IFERROR(AVERAGEIF('Данные 2st'!$Q$2:$Q$317,$A29,'Данные 2st'!$KX$2:$KX$317),"")</f>
        <v>2</v>
      </c>
      <c r="PU29" s="7">
        <f>IFERROR(AVERAGEIF('Данные 2st'!$Q$2:$Q$317,$A29,'Данные 2st'!$KY$2:$KY$317),"")</f>
        <v>0.6666666666666666</v>
      </c>
      <c r="PV29" s="7">
        <f>IFERROR(AVERAGEIF('Данные 2st'!$Q$2:$Q$317,$A29,'Данные 2st'!$KZ$2:$KZ$317),"")</f>
        <v>0</v>
      </c>
      <c r="PW29" s="7">
        <f>IFERROR(AVERAGEIF('Данные 2st'!$Q$2:$Q$317,$A29,'Данные 2st'!$LA$2:$LA$317),"")</f>
        <v>0</v>
      </c>
      <c r="PX29" s="7">
        <f>IFERROR(AVERAGEIF('Данные 2st'!$Q$2:$Q$317,$A29,'Данные 2st'!$LB$2:$LB$317),"")</f>
        <v>0</v>
      </c>
      <c r="PY29" s="7">
        <f>IFERROR(AVERAGEIF('Данные 2st'!$Q$2:$Q$317,$A29,'Данные 2st'!$LC$2:$LC$317),"")</f>
        <v>0</v>
      </c>
      <c r="PZ29" s="7">
        <f>IFERROR(AVERAGEIF('Данные 2st'!$Q$2:$Q$317,$A29,'Данные 2st'!$LD$2:$LD$317),"")</f>
        <v>0</v>
      </c>
      <c r="QA29" s="7">
        <f>IFERROR(AVERAGEIF('Данные 2st'!$Q$2:$Q$317,$A29,'Данные 2st'!$LE$2:$LE$317),"")</f>
        <v>0</v>
      </c>
      <c r="QB29" s="7">
        <f>IFERROR(AVERAGEIF('Данные 2st'!$Q$2:$Q$317,$A29,'Данные 2st'!$LF$2:$LF$317),"")</f>
        <v>0</v>
      </c>
      <c r="QC29" s="7">
        <f>IFERROR(AVERAGEIF('Данные 2st'!$Q$2:$Q$317,$A29,'Данные 2st'!$LG$2:$LG$317),"")</f>
        <v>0</v>
      </c>
      <c r="QD29" s="7">
        <f>IFERROR(AVERAGEIF('Данные 2st'!$Q$2:$Q$317,$A29,'Данные 2st'!$LH$2:$LH$317),"")</f>
        <v>2</v>
      </c>
      <c r="QE29" s="7">
        <f>IFERROR(AVERAGEIF('Данные 2st'!$Q$2:$Q$317,$A29,'Данные 2st'!$LJ$2:$LJ$317),"")</f>
        <v>0</v>
      </c>
      <c r="QF29" s="7">
        <f>IFERROR(AVERAGEIF('Данные 2st'!$Q$2:$Q$317,$A29,'Данные 2st'!$LK$2:$LK$317),"")</f>
        <v>5</v>
      </c>
      <c r="QG29" s="7">
        <f>IFERROR(AVERAGEIF('Данные 2st'!$Q$2:$Q$317,$A29,'Данные 2st'!$LL$2:$LL$317),"")</f>
        <v>5.166666666666667</v>
      </c>
      <c r="QH29" s="7">
        <f>IFERROR(AVERAGEIF('Данные 2st'!$Q$2:$Q$317,$A29,'Данные 2st'!$LM$2:$LM$317),"")</f>
        <v>7.333333333333333</v>
      </c>
      <c r="QI29" s="7">
        <f>IFERROR(AVERAGEIF('Данные 2st'!$Q$2:$Q$317,$A29,'Данные 2st'!$LN$2:$LN$317),"")</f>
        <v>0.5333333333333333</v>
      </c>
      <c r="QJ29" s="7">
        <f>IFERROR(AVERAGEIF('Данные 2st'!$Q$2:$Q$317,$A29,'Данные 2st'!$LO$2:$LO$317),"")</f>
        <v>0.6666666666666666</v>
      </c>
      <c r="QK29" s="7">
        <f>IFERROR(AVERAGEIF('Данные 2st'!$Q$2:$Q$317,$A29,'Данные 2st'!$LP$2:$LP$317),"")</f>
        <v>0</v>
      </c>
      <c r="QL29" s="7">
        <f>IFERROR(AVERAGEIF('Данные 2st'!$Q$2:$Q$317,$A29,'Данные 2st'!$LQ$2:$LQ$317),"")</f>
        <v>0</v>
      </c>
      <c r="QM29" s="7">
        <f>IFERROR(AVERAGEIF('Данные 2st'!$Q$2:$Q$317,$A29,'Данные 2st'!$LW$2:$LW$317),"")</f>
        <v>1.8333333333333333</v>
      </c>
      <c r="QN29" s="7">
        <f>IFERROR(AVERAGEIF('Данные 2st'!$Q$2:$Q$317,$A29,'Данные 2st'!$LX$2:$LX$317),"")</f>
        <v>1.8333333333333333</v>
      </c>
      <c r="QO29" s="7">
        <f>IFERROR(AVERAGEIF('Данные 2st'!$Q$2:$Q$317,$A29,'Данные 2st'!$LY$2:$LY$317),"")</f>
        <v>1.9666666666666668</v>
      </c>
      <c r="QP29" s="7">
        <f>IFERROR(AVERAGEIF('Данные 2st'!$Q$2:$Q$317,$A29,'Данные 2st'!$LZ$2:$LZ$317),"")</f>
        <v>1.9666666666666668</v>
      </c>
      <c r="QQ29" s="7">
        <f>IFERROR(AVERAGEIF('Данные 2st'!$Q$2:$Q$317,$A29,'Данные 2st'!$MB$2:$MB$317),"")</f>
        <v>3.6666666666666665</v>
      </c>
      <c r="QR29" s="7">
        <f>IFERROR(AVERAGEIF('Данные 2st'!$Q$2:$Q$317,$A29,'Данные 2st'!$MG$2:$MG$317),"")</f>
        <v>0</v>
      </c>
      <c r="QS29" s="7">
        <f>IFERROR(AVERAGEIF('Данные 2st'!$Q$2:$Q$317,$A29,'Данные 2st'!$MH$2:$MH$317),"")</f>
        <v>0</v>
      </c>
      <c r="QT29" s="7">
        <f>IFERROR(AVERAGEIF('Данные 2st'!$Q$2:$Q$317,$A29,'Данные 2st'!$MI$2:$MI$317),"")</f>
        <v>0</v>
      </c>
      <c r="QU29" s="7">
        <f>IFERROR(AVERAGEIF('Данные 2st'!$Q$2:$Q$317,$A29,'Данные 2st'!$MJ$2:$MJ$317),"")</f>
        <v>0</v>
      </c>
      <c r="QV29" s="7">
        <f>IFERROR(AVERAGEIF('Данные 2st'!$Q$2:$Q$317,$A29,'Данные 2st'!$MK$2:$MK$317),"")</f>
        <v>0</v>
      </c>
      <c r="QW29" s="7">
        <f>IFERROR(AVERAGEIF('Данные 2st'!$Q$2:$Q$317,$A29,'Данные 2st'!$MM$2:$MM$317),"")</f>
        <v>410</v>
      </c>
      <c r="QX29" s="7">
        <f>IFERROR(AVERAGEIF('Данные 2st'!$Q$2:$Q$317,$A29,'Данные 2st'!$MQ$2:$MQ$317),"")</f>
        <v/>
      </c>
      <c r="QY29" s="7">
        <f>IFERROR(AVERAGEIF('Данные 2st'!$Q$2:$Q$317,$A29,'Данные 2st'!$MR$2:$MR$317),"")</f>
        <v/>
      </c>
      <c r="QZ29" s="7">
        <f>IFERROR(AVERAGEIF('Данные 2st'!$Q$2:$Q$317,$A29,'Данные 2st'!$MS$2:$MS$317),"")</f>
        <v/>
      </c>
      <c r="RA29" s="7">
        <f>IFERROR(AVERAGEIF('Данные 2st'!$Q$2:$Q$317,$A29,'Данные 2st'!$MT$2:$MT$317),"")</f>
        <v/>
      </c>
      <c r="RB29" s="7">
        <f>IFERROR(AVERAGEIF('Данные 2st'!$Q$2:$Q$317,$A29,'Данные 2st'!$MU$2:$MU$317),"")</f>
        <v/>
      </c>
      <c r="RC29" s="7">
        <f>IFERROR(AVERAGEIF('Данные 2st'!$Q$2:$Q$317,$A29,'Данные 2st'!$MV$2:$MV$317),"")</f>
        <v/>
      </c>
      <c r="RD29" s="7">
        <f>IFERROR(AVERAGEIF('Данные 2st'!$Q$2:$Q$317,$A29,'Данные 2st'!$MW$2:$MW$317),"")</f>
        <v/>
      </c>
      <c r="RE29" s="7">
        <f>IFERROR(AVERAGEIF('Данные 2st'!$Q$2:$Q$317,$A29,'Данные 2st'!$MX$2:$MX$317),"")</f>
        <v/>
      </c>
      <c r="RF29" s="7">
        <f>IFERROR(AVERAGEIF('Данные 2st'!$Q$2:$Q$317,$A29,'Данные 2st'!$MY$2:$MY$317),"")</f>
        <v/>
      </c>
      <c r="RG29" s="7">
        <f>IFERROR(AVERAGEIF('Данные 2st'!$Q$2:$Q$317,$A29,'Данные 2st'!$MZ$2:$MZ$317),"")</f>
        <v/>
      </c>
      <c r="RH29" s="7">
        <f>IFERROR(AVERAGEIF('Данные 2st'!$Q$2:$Q$317,$A29,'Данные 2st'!$NA$2:$NA$317),"")</f>
        <v/>
      </c>
      <c r="RI29" s="7">
        <f>IFERROR(AVERAGEIF('Данные 2st'!$Q$2:$Q$317,$A29,'Данные 2st'!$NB$2:$NB$317),"")</f>
        <v/>
      </c>
      <c r="RJ29" s="7">
        <f>IFERROR(AVERAGEIF('Данные 2st'!$Q$2:$Q$317,$A29,'Данные 2st'!$NC$2:$NC$317),"")</f>
        <v/>
      </c>
      <c r="RK29" s="7">
        <f>IFERROR(AVERAGEIF('Данные 2st'!$Q$2:$Q$317,$A29,'Данные 2st'!$ND$2:$ND$317),"")</f>
        <v/>
      </c>
      <c r="RL29" s="7">
        <f>IFERROR(AVERAGEIF('Данные 2st'!$Q$2:$Q$317,$A29,'Данные 2st'!$NE$2:$NE$317),"")</f>
        <v/>
      </c>
      <c r="RM29" s="7">
        <f>IFERROR(AVERAGEIF('Данные 2st'!$Q$2:$Q$317,$A29,'Данные 2st'!$NF$2:$NF$317),"")</f>
        <v/>
      </c>
      <c r="RN29" s="7">
        <f>IFERROR(AVERAGEIF('Данные 2st'!$Q$2:$Q$317,$A29,'Данные 2st'!$NG$2:$NG$317),"")</f>
        <v/>
      </c>
      <c r="RO29" s="7">
        <f>IFERROR(AVERAGEIF('Данные 2st'!$Q$2:$Q$317,$A29,'Данные 2st'!$NH$2:$NH$317),"")</f>
        <v>0</v>
      </c>
      <c r="RP29" s="7">
        <f>IFERROR(AVERAGEIF('Данные 2st'!$Q$2:$Q$317,$A29,'Данные 2st'!$NJ$2:$NJ$317),"")</f>
        <v>0</v>
      </c>
      <c r="RQ29" s="7">
        <f>IFERROR(AVERAGEIF('Данные 2st'!$Q$2:$Q$317,$A29,'Данные 2st'!$NK$2:$NK$317),"")</f>
        <v>0</v>
      </c>
      <c r="RR29" s="7">
        <f>IFERROR(AVERAGEIF('Данные 2st'!$Q$2:$Q$317,$A29,'Данные 2st'!$NM$2:$NM$317),"")</f>
        <v>0</v>
      </c>
      <c r="RS29" s="7">
        <f>IFERROR(AVERAGEIF('Данные 2st'!$Q$2:$Q$317,$A29,'Данные 2st'!$NN$2:$NN$317),"")</f>
        <v/>
      </c>
      <c r="RT29" s="7">
        <f>IFERROR(AVERAGEIF('Данные 2st'!$Q$2:$Q$317,$A29,'Данные 2st'!$NO$2:$NO$317),"")</f>
        <v/>
      </c>
      <c r="RU29" s="7">
        <f>IFERROR(AVERAGEIF('Данные 2st'!$Q$2:$Q$317,$A29,'Данные 2st'!$NP$2:$NP$317),"")</f>
        <v/>
      </c>
      <c r="RV29" s="7">
        <f>IFERROR(AVERAGEIF('Данные 2st'!$Q$2:$Q$317,$A29,'Данные 2st'!$NQ$2:$NQ$317),"")</f>
        <v/>
      </c>
      <c r="RW29" s="7">
        <f>IFERROR(AVERAGEIF('Данные 2st'!$Q$2:$Q$317,$A29,'Данные 2st'!$NR$2:$NR$317),"")</f>
        <v/>
      </c>
      <c r="RX29" s="7">
        <f>IFERROR(AVERAGEIF('Данные 2st'!$Q$2:$Q$317,$A29,'Данные 2st'!$NS$2:$NS$317),"")</f>
        <v/>
      </c>
      <c r="RY29" s="7">
        <f>IFERROR(AVERAGEIF('Данные 2st'!$Q$2:$Q$317,$A29,'Данные 2st'!$NT$2:$NT$317),"")</f>
        <v/>
      </c>
      <c r="RZ29" s="7">
        <f>IFERROR(AVERAGEIF('Данные 2st'!$Q$2:$Q$317,$A29,'Данные 2st'!$OK$2:$OK$317),"")</f>
        <v>61</v>
      </c>
      <c r="SA29" s="7">
        <f>IFERROR(AVERAGEIF('Данные 2st'!$Q$2:$Q$317,$A29,'Данные 2st'!$OL$2:$OL$317),"")</f>
        <v>61</v>
      </c>
      <c r="SB29" s="7">
        <f>IFERROR(AVERAGEIF('Данные 2st'!$Q$2:$Q$317,$A29,'Данные 2st'!$ON$2:$ON$317),"")</f>
        <v>1</v>
      </c>
      <c r="SC29" s="7">
        <f>IFERROR(AVERAGEIF('Данные 2st'!$Q$2:$Q$317,$A29,'Данные 2st'!$OO$2:$OO$317),"")</f>
        <v>2078.3333333333335</v>
      </c>
      <c r="SD29" s="7">
        <f>IFERROR(AVERAGEIF('Данные 2st'!$Q$2:$Q$317,$A29,'Данные 2st'!$OP$2:$OP$317),"")</f>
        <v>61</v>
      </c>
      <c r="SE29" s="7">
        <f>IFERROR(AVERAGEIF('Данные 2st'!$Q$2:$Q$317,$A29,'Данные 2st'!$OQ$2:$OQ$317),"")</f>
        <v>61</v>
      </c>
      <c r="SF29" s="7">
        <f>IFERROR(AVERAGEIF('Данные 2st'!$Q$2:$Q$317,$A29,'Данные 2st'!$OS$2:$OS$317),"")</f>
        <v>1</v>
      </c>
      <c r="SG29" s="7">
        <f>IFERROR(AVERAGEIF('Данные 2st'!$Q$2:$Q$317,$A29,'Данные 2st'!$OT$2:$OT$317),"")</f>
        <v>2090.3333333333335</v>
      </c>
      <c r="SH29" s="7">
        <f>IFERROR(AVERAGEIF('Данные 2st'!$Q$2:$Q$317,$A29,'Данные 2st'!$OU$2:$OU$317),"")</f>
        <v>65</v>
      </c>
      <c r="SI29" s="7">
        <f>IFERROR(AVERAGEIF('Данные 2st'!$Q$2:$Q$317,$A29,'Данные 2st'!$OV$2:$OV$317),"")</f>
        <v>65</v>
      </c>
      <c r="SJ29" s="7">
        <f>IFERROR(AVERAGEIF('Данные 2st'!$Q$2:$Q$317,$A29,'Данные 2st'!$OX$2:$OX$317),"")</f>
        <v>1.6666666666666667</v>
      </c>
      <c r="SK29" s="7">
        <f>IFERROR(AVERAGEIF('Данные 2st'!$Q$2:$Q$317,$A29,'Данные 2st'!$OY$2:$OY$317),"")</f>
        <v>39575</v>
      </c>
      <c r="SL29" s="7">
        <f>IFERROR(AVERAGEIF('Данные 2st'!$Q$2:$Q$317,$A29,'Данные 2st'!$OZ$2:$OZ$317),"")</f>
        <v>51</v>
      </c>
      <c r="SM29" s="7">
        <f>IFERROR(AVERAGEIF('Данные 2st'!$Q$2:$Q$317,$A29,'Данные 2st'!$PA$2:$PA$317),"")</f>
        <v>52</v>
      </c>
      <c r="SN29" s="7">
        <f>IFERROR(AVERAGEIF('Данные 2st'!$Q$2:$Q$317,$A29,'Данные 2st'!$PC$2:$PC$317),"")</f>
        <v>1.6666666666666667</v>
      </c>
      <c r="SO29" s="7">
        <f>IFERROR(AVERAGEIF('Данные 2st'!$Q$2:$Q$317,$A29,'Данные 2st'!$PD$2:$PD$317),"")</f>
        <v>2121.6666666666665</v>
      </c>
      <c r="SP29" s="7">
        <f>IFERROR(AVERAGEIF('Данные 2st'!$Q$2:$Q$317,$A29,'Данные 2st'!$PF$2:$PF$317),"")</f>
        <v>382.3333333333333</v>
      </c>
      <c r="SQ29" s="7">
        <f>IFERROR(AVERAGEIF('Данные 2st'!$Q$2:$Q$317,$A29,'Данные 2st'!$PG$2:$PG$317),"")</f>
        <v>35</v>
      </c>
      <c r="SR29" s="7">
        <f>IFERROR(AVERAGEIF('Данные 2st'!$Q$2:$Q$317,$A29,'Данные 2st'!$PH$2:$PH$317),"")</f>
        <v>360.3333333333333</v>
      </c>
      <c r="SS29" s="7">
        <f>IFERROR(AVERAGEIF('Данные 2st'!$Q$2:$Q$317,$A29,'Данные 2st'!$PI$2:$PI$317),"")</f>
        <v>0</v>
      </c>
      <c r="ST29" s="7">
        <f>IFERROR(AVERAGEIF('Данные 2st'!$Q$2:$Q$317,$A29,'Данные 2st'!$PJ$2:$PJ$317),"")</f>
        <v>98.36666666666667</v>
      </c>
      <c r="SU29" s="7">
        <f>IFERROR(AVERAGEIF('Данные 2st'!$Q$2:$Q$317,$A29,'Данные 2st'!$PK$2:$PK$317),"")</f>
        <v>2011.6666666666667</v>
      </c>
      <c r="SV29" s="7">
        <f>IFERROR(AVERAGEIF('Данные 2st'!$Q$2:$Q$317,$A29,'Данные 2st'!$PL$2:$PL$317),"")</f>
        <v>1162.8</v>
      </c>
      <c r="SW29" s="7">
        <f>IFERROR(AVERAGEIF('Данные 2st'!$Q$2:$Q$317,$A29,'Данные 2st'!$PM$2:$PM$317),"")</f>
        <v>647.8666666666667</v>
      </c>
      <c r="SX29" s="7">
        <f>IFERROR(AVERAGEIF('Данные 2st'!$Q$2:$Q$317,$A29,'Данные 2st'!$PN$2:$PN$317),"")</f>
        <v>95.0</v>
      </c>
      <c r="SY29" s="7">
        <f>IFERROR(AVERAGEIF('Данные 2st'!$Q$2:$Q$317,$A29,'Данные 2st'!$PO$2:$PO$317),"")</f>
        <v>9.75</v>
      </c>
      <c r="SZ29" s="7">
        <f>IFERROR(AVERAGEIF('Данные 2st'!$Q$2:$Q$317,$A29,'Данные 2st'!$PP$2:$PP$317),"")</f>
        <v>12</v>
      </c>
      <c r="TA29" s="7">
        <f>IFERROR(AVERAGEIF('Данные 2st'!$Q$2:$Q$317,$A29,'Данные 2st'!$PQ$2:$PQ$317),"")</f>
        <v>3</v>
      </c>
      <c r="TB29" s="7">
        <f>IFERROR(AVERAGEIF('Данные 2st'!$Q$2:$Q$317,$A29,'Данные 2st'!$PR$2:$PR$317),"")</f>
        <v>5</v>
      </c>
      <c r="TC29" s="7">
        <f>IFERROR(AVERAGEIF('Данные 2st'!$Q$2:$Q$317,$A29,'Данные 2st'!$PS$2:$PS$317),"")</f>
        <v>0</v>
      </c>
      <c r="TD29" s="7">
        <f>IFERROR(AVERAGEIF('Данные 2st'!$Q$2:$Q$317,$A29,'Данные 2st'!$PT$2:$PT$317),"")</f>
        <v>229.33333333333334</v>
      </c>
      <c r="TE29" s="7">
        <f>IFERROR(AVERAGEIF('Данные 2st'!$Q$2:$Q$317,$A29,'Данные 2st'!$PU$2:$PU$317),"")</f>
        <v>10</v>
      </c>
      <c r="TF29" s="7">
        <f>IFERROR(AVERAGEIF('Данные 2st'!$Q$2:$Q$317,$A29,'Данные 2st'!$PX$2:$PX$317),"")</f>
        <v>0</v>
      </c>
      <c r="TG29" s="7">
        <f>IFERROR(AVERAGEIF('Данные 2st'!$Q$2:$Q$317,$A29,'Данные 2st'!$PY$2:$PY$317),"")</f>
        <v>0</v>
      </c>
      <c r="TH29" s="7">
        <f>IFERROR(AVERAGEIF('Данные 2st'!$Q$2:$Q$317,$A29,'Данные 2st'!$PZ$2:$PZ$317),"")</f>
        <v>0</v>
      </c>
      <c r="TI29" s="7">
        <f>IFERROR(AVERAGEIF('Данные 2st'!$Q$2:$Q$317,$A29,'Данные 2st'!$QA$2:$QA$317),"")</f>
        <v>0</v>
      </c>
      <c r="TJ29" s="7">
        <f>IFERROR(AVERAGEIF('Данные 2st'!$Q$2:$Q$317,$A29,'Данные 2st'!$QB$2:$QB$317),"")</f>
        <v>0</v>
      </c>
      <c r="TK29" s="7">
        <f>IFERROR(AVERAGEIF('Данные 2st'!$Q$2:$Q$317,$A29,'Данные 2st'!$QC$2:$QC$317),"")</f>
        <v>0</v>
      </c>
      <c r="TL29" s="7">
        <f>IFERROR(AVERAGEIF('Данные 2st'!$Q$2:$Q$317,$A29,'Данные 2st'!$QD$2:$QD$317),"")</f>
        <v>0</v>
      </c>
      <c r="TM29" s="7">
        <f>IFERROR(AVERAGEIF('Данные 2st'!$Q$2:$Q$317,$A29,'Данные 2st'!$QE$2:$QE$317),"")</f>
        <v>-1</v>
      </c>
      <c r="TN29" s="7">
        <f>IFERROR(AVERAGEIF('Данные 2st'!$Q$2:$Q$317,$A29,'Данные 2st'!$QF$2:$QF$317),"")</f>
        <v>1</v>
      </c>
      <c r="TO29" s="7">
        <f>IFERROR(AVERAGEIF('Данные 2st'!$Q$2:$Q$317,$A29,'Данные 2st'!$QG$2:$QG$317),"")</f>
        <v>0</v>
      </c>
      <c r="TP29" s="7">
        <f>IFERROR(AVERAGEIF('Данные 2st'!$Q$2:$Q$317,$A29,'Данные 2st'!$QH$2:$QH$317),"")</f>
        <v>5</v>
      </c>
      <c r="TQ29" s="7">
        <f>IFERROR(AVERAGEIF('Данные 2st'!$Q$2:$Q$317,$A29,'Данные 2st'!$QI$2:$QI$317),"")</f>
        <v>5</v>
      </c>
      <c r="TR29" s="7">
        <f>IFERROR(AVERAGEIF('Данные 2st'!$Q$2:$Q$317,$A29,'Данные 2st'!$QJ$2:$QJ$317),"")</f>
        <v>5</v>
      </c>
      <c r="TS29" s="7">
        <f>IFERROR(AVERAGEIF('Данные 2st'!$Q$2:$Q$317,$A29,'Данные 2st'!$QK$2:$QK$317),"")</f>
        <v>201.66666666666666</v>
      </c>
      <c r="TT29" s="7">
        <f>IFERROR(AVERAGEIF('Данные 2st'!$Q$2:$Q$317,$A29,'Данные 2st'!$QL$2:$QL$317),"")</f>
        <v>447.3333333333333</v>
      </c>
      <c r="TU29" s="7">
        <f>IFERROR(AVERAGEIF('Данные 2st'!$Q$2:$Q$317,$A29,'Данные 2st'!$QM$2:$QM$317),"")</f>
        <v>7.5</v>
      </c>
      <c r="TV29" s="7">
        <f>IFERROR(AVERAGEIF('Данные 2st'!$Q$2:$Q$317,$A29,'Данные 2st'!$QN$2:$QN$317),"")</f>
        <v>1285.7</v>
      </c>
      <c r="TW29" s="7">
        <f>IFERROR(AVERAGEIF('Данные 2st'!$Q$2:$Q$317,$A29,'Данные 2st'!$QQ$2:$QQ$317),"")</f>
        <v>0</v>
      </c>
      <c r="TX29" s="7">
        <f>IFERROR(AVERAGEIF('Данные 2st'!$Q$2:$Q$317,$A29,'Данные 2st'!$QS$2:$QS$317),"")</f>
        <v>30</v>
      </c>
      <c r="TY29" s="7">
        <f>IFERROR(AVERAGEIF('Данные 2st'!$Q$2:$Q$317,$A29,'Данные 2st'!$QT$2:$QT$317),"")</f>
        <v>40</v>
      </c>
    </row>
    <row r="30" spans="1:545" ht="32" customHeight="1">
      <c r="A30" s="11" t="s">
        <v>2671</v>
      </c>
      <c r="B30">
        <f>COUNTIF('Данные 1st'!$S$2:$S$317,$A30)</f>
        <v>1</v>
      </c>
      <c r="C30" s="6" t="s">
        <v>2657</v>
      </c>
      <c r="D30" s="6" t="s">
        <v>513</v>
      </c>
      <c r="E30" s="6" t="s">
        <v>517</v>
      </c>
      <c r="F30" s="6" t="s">
        <v>2669</v>
      </c>
      <c r="G30" s="7">
        <f>IFERROR(AVERAGEIF('Данные 1st'!$S$2:$S$317,$A30,'Данные 1st'!$AE$2:$AE$317),"")</f>
        <v>150</v>
      </c>
      <c r="H30" s="7">
        <f>IFERROR(AVERAGEIF('Данные 1st'!$S$2:$S$317,$A30,'Данные 1st'!$AF$2:$AF$317),"")</f>
        <v>1.5</v>
      </c>
      <c r="I30" s="7">
        <f>IFERROR(AVERAGEIF('Данные 1st'!$S$2:$S$317,$A30,'Данные 1st'!$AJ$2:$AJ$317),"")</f>
        <v>162.5</v>
      </c>
      <c r="J30" s="7">
        <f>IFERROR(AVERAGEIF('Данные 1st'!$S$2:$S$317,$A30,'Данные 1st'!$AL$2:$AL$317),"")</f>
        <v>1.5</v>
      </c>
      <c r="K30" s="7">
        <f>IFERROR(AVERAGEIF('Данные 1st'!$S$2:$S$317,$A30,'Данные 1st'!$AR$2:$AR$317),"")</f>
        <v>0</v>
      </c>
      <c r="L30" s="7">
        <f>IFERROR(AVERAGEIF('Данные 1st'!$S$2:$S$317,$A30,'Данные 1st'!$AS$2:$AS$317),"")</f>
        <v>1.5</v>
      </c>
      <c r="M30" s="7">
        <f>IFERROR(AVERAGEIF('Данные 1st'!$S$2:$S$317,$A30,'Данные 1st'!$AY$2:$AY$317),"")</f>
        <v>272.5</v>
      </c>
      <c r="N30" s="7">
        <f>IFERROR(AVERAGEIF('Данные 1st'!$S$2:$S$317,$A30,'Данные 1st'!$AZ$2:$AZ$317),"")</f>
        <v>1.5</v>
      </c>
      <c r="O30" s="7">
        <f>IFERROR(AVERAGEIF('Данные 1st'!$S$2:$S$317,$A30,'Данные 1st'!$BF$2:$BF$317),"")</f>
        <v/>
      </c>
      <c r="P30" s="7">
        <f>IFERROR(AVERAGEIF('Данные 1st'!$S$2:$S$317,$A30,'Данные 1st'!$BG$2:$BG$317),"")</f>
        <v>1.5</v>
      </c>
      <c r="Q30" s="7">
        <f>IFERROR(AVERAGEIF('Данные 1st'!$S$2:$S$317,$A30,'Данные 1st'!$BM$2:$BM$317),"")</f>
        <v/>
      </c>
      <c r="R30" s="7">
        <f>IFERROR(AVERAGEIF('Данные 1st'!$S$2:$S$317,$A30,'Данные 1st'!$BN$2:$BN$317),"")</f>
        <v>1.5</v>
      </c>
      <c r="S30" s="7">
        <f>IFERROR(AVERAGEIF('Данные 1st'!$S$2:$S$317,$A30,'Данные 1st'!$BT$2:$BT$317),"")</f>
        <v>173</v>
      </c>
      <c r="T30" s="7">
        <f>IFERROR(AVERAGEIF('Данные 1st'!$S$2:$S$317,$A30,'Данные 1st'!$BU$2:$BU$317),"")</f>
        <v>0.5</v>
      </c>
      <c r="U30" s="7">
        <f>IFERROR(AVERAGEIF('Данные 1st'!$S$2:$S$317,$A30,'Данные 1st'!$BW$2:$BW$317),"")</f>
        <v>346</v>
      </c>
      <c r="V30" s="7">
        <f>IFERROR(AVERAGEIF('Данные 1st'!$S$2:$S$317,$A30,'Данные 1st'!$BX$2:$BX$317),"")</f>
        <v>1</v>
      </c>
      <c r="W30" s="7">
        <f>IFERROR(AVERAGEIF('Данные 1st'!$S$2:$S$317,$A30,'Данные 1st'!$BZ$2:$BZ$317),"")</f>
        <v>290</v>
      </c>
      <c r="X30" s="7">
        <f>IFERROR(AVERAGEIF('Данные 1st'!$S$2:$S$317,$A30,'Данные 1st'!$CA$2:$CA$317),"")</f>
        <v>410</v>
      </c>
      <c r="Y30" s="7">
        <f>IFERROR(AVERAGEIF('Данные 1st'!$S$2:$S$317,$A30,'Данные 1st'!$CD$2:$CD$317),"")</f>
        <v>360</v>
      </c>
      <c r="Z30" s="7">
        <f>IFERROR(AVERAGEIF('Данные 1st'!$S$2:$S$317,$A30,'Данные 1st'!$CF$2:$CF$317),"")</f>
        <v>15</v>
      </c>
      <c r="AA30" s="7">
        <f>IFERROR(AVERAGEIF('Данные 1st'!$S$2:$S$317,$A30,'Данные 1st'!$CI$2:$CI$317),"")</f>
        <v>60</v>
      </c>
      <c r="AB30" s="7">
        <f>IFERROR(AVERAGEIF('Данные 1st'!$S$2:$S$317,$A30,'Данные 1st'!$CJ$2:$CJ$317),"")</f>
        <v>1381</v>
      </c>
      <c r="AC30" s="7">
        <f>IFERROR(AVERAGEIF('Данные 1st'!$S$2:$S$317,$A30,'Данные 1st'!$CK$2:$CK$317),"")</f>
        <v>2</v>
      </c>
      <c r="AD30" s="7">
        <f>IFERROR(AVERAGEIF('Данные 1st'!$S$2:$S$317,$A30,'Данные 1st'!$CL$2:$CL$317),"")</f>
        <v>1475</v>
      </c>
      <c r="AE30" s="7">
        <f>IFERROR(AVERAGEIF('Данные 1st'!$S$2:$S$317,$A30,'Данные 1st'!$CM$2:$CM$317),"")</f>
        <v>2</v>
      </c>
      <c r="AF30" s="7">
        <f>IFERROR(AVERAGEIF('Данные 1st'!$S$2:$S$317,$A30,'Данные 1st'!$CT$2:$CT$317),"")</f>
        <v>325</v>
      </c>
      <c r="AG30" s="7">
        <f>IFERROR(AVERAGEIF('Данные 1st'!$S$2:$S$317,$A30,'Данные 1st'!$CU$2:$CU$317),"")</f>
        <v>5</v>
      </c>
      <c r="AH30" s="7">
        <f>IFERROR(AVERAGEIF('Данные 1st'!$S$2:$S$317,$A30,'Данные 1st'!$CV$2:$CV$317),"")</f>
        <v>1.2</v>
      </c>
      <c r="AI30" s="7">
        <f>IFERROR(AVERAGEIF('Данные 1st'!$S$2:$S$317,$A30,'Данные 1st'!$CW$2:$CW$317),"")</f>
        <v>1393</v>
      </c>
      <c r="AJ30" s="7">
        <f>IFERROR(AVERAGEIF('Данные 1st'!$S$2:$S$317,$A30,'Данные 1st'!$CX$2:$CX$317),"")</f>
        <v>641</v>
      </c>
      <c r="AK30" s="7">
        <f>IFERROR(AVERAGEIF('Данные 1st'!$S$2:$S$317,$A30,'Данные 1st'!$CZ$2:$CZ$317),"")</f>
        <v/>
      </c>
      <c r="AL30" s="7">
        <f>IFERROR(AVERAGEIF('Данные 1st'!$S$2:$S$317,$A30,'Данные 1st'!$DA$2:$DA$317),"")</f>
        <v/>
      </c>
      <c r="AM30" s="7">
        <f>IFERROR(AVERAGEIF('Данные 1st'!$S$2:$S$317,$A30,'Данные 1st'!$DB$2:$DB$317),"")</f>
        <v/>
      </c>
      <c r="AN30" s="7">
        <f>IFERROR(AVERAGEIF('Данные 1st'!$S$2:$S$317,$A30,'Данные 1st'!$DC$2:$DC$317),"")</f>
        <v/>
      </c>
      <c r="AO30" s="7">
        <f>IFERROR(AVERAGEIF('Данные 1st'!$S$2:$S$317,$A30,'Данные 1st'!$DD$2:$DD$317),"")</f>
        <v>0</v>
      </c>
      <c r="AP30" s="7">
        <f>IFERROR(AVERAGEIF('Данные 1st'!$S$2:$S$317,$A30,'Данные 1st'!$DF$2:$DF$317),"")</f>
        <v>545</v>
      </c>
      <c r="AQ30" s="7">
        <f>IFERROR(AVERAGEIF('Данные 1st'!$S$2:$S$317,$A30,'Данные 1st'!$DG$2:$DG$317),"")</f>
        <v>3</v>
      </c>
      <c r="AR30" s="7">
        <f>IFERROR(AVERAGEIF('Данные 1st'!$S$2:$S$317,$A30,'Данные 1st'!$DH$2:$DH$317),"")</f>
        <v>0.88</v>
      </c>
      <c r="AS30" s="7">
        <f>IFERROR(AVERAGEIF('Данные 1st'!$S$2:$S$317,$A30,'Данные 1st'!$DI$2:$DI$317),"")</f>
        <v>1392</v>
      </c>
      <c r="AT30" s="7">
        <f>IFERROR(AVERAGEIF('Данные 1st'!$S$2:$S$317,$A30,'Данные 1st'!$DJ$2:$DJ$317),"")</f>
        <v>895</v>
      </c>
      <c r="AU30" s="7">
        <f>IFERROR(AVERAGEIF('Данные 1st'!$S$2:$S$317,$A30,'Данные 1st'!$DL$2:$DL$317),"")</f>
        <v/>
      </c>
      <c r="AV30" s="7">
        <f>IFERROR(AVERAGEIF('Данные 1st'!$S$2:$S$317,$A30,'Данные 1st'!$DM$2:$DM$317),"")</f>
        <v/>
      </c>
      <c r="AW30" s="7">
        <f>IFERROR(AVERAGEIF('Данные 1st'!$S$2:$S$317,$A30,'Данные 1st'!$DN$2:$DN$317),"")</f>
        <v/>
      </c>
      <c r="AX30" s="7">
        <f>IFERROR(AVERAGEIF('Данные 1st'!$S$2:$S$317,$A30,'Данные 1st'!$DO$2:$DO$317),"")</f>
        <v/>
      </c>
      <c r="AY30" s="7">
        <f>IFERROR(AVERAGEIF('Данные 1st'!$S$2:$S$317,$A30,'Данные 1st'!$DP$2:$DP$317),"")</f>
        <v/>
      </c>
      <c r="AZ30" s="7">
        <f>IFERROR(AVERAGEIF('Данные 1st'!$S$2:$S$317,$A30,'Данные 1st'!$DR$2:$DR$317),"")</f>
        <v/>
      </c>
      <c r="BA30" s="7">
        <f>IFERROR(AVERAGEIF('Данные 1st'!$S$2:$S$317,$A30,'Данные 1st'!$DS$2:$DS$317),"")</f>
        <v/>
      </c>
      <c r="BB30" s="7">
        <f>IFERROR(AVERAGEIF('Данные 1st'!$S$2:$S$317,$A30,'Данные 1st'!$DT$2:$DT$317),"")</f>
        <v/>
      </c>
      <c r="BC30" s="7">
        <f>IFERROR(AVERAGEIF('Данные 1st'!$S$2:$S$317,$A30,'Данные 1st'!$DU$2:$DU$317),"")</f>
        <v/>
      </c>
      <c r="BD30" s="7">
        <f>IFERROR(AVERAGEIF('Данные 1st'!$S$2:$S$317,$A30,'Данные 1st'!$DV$2:$DV$317),"")</f>
        <v/>
      </c>
      <c r="BE30" s="7">
        <f>IFERROR(AVERAGEIF('Данные 1st'!$S$2:$S$317,$A30,'Данные 1st'!$DX$2:$DX$317),"")</f>
        <v>7.5</v>
      </c>
      <c r="BF30" s="7">
        <f>IFERROR(AVERAGEIF('Данные 1st'!$S$2:$S$317,$A30,'Данные 1st'!$EA$2:$EA$317),"")</f>
        <v>1459.5</v>
      </c>
      <c r="BG30" s="7">
        <f>IFERROR(AVERAGEIF('Данные 1st'!$S$2:$S$317,$A30,'Данные 1st'!$EB$2:$EB$317),"")</f>
        <v>258</v>
      </c>
      <c r="BH30" s="7">
        <f>IFERROR(AVERAGEIF('Данные 1st'!$S$2:$S$317,$A30,'Данные 1st'!$ED$2:$ED$317),"")</f>
        <v>30</v>
      </c>
      <c r="BI30" s="7">
        <f>IFERROR(AVERAGEIF('Данные 1st'!$S$2:$S$317,$A30,'Данные 1st'!$EE$2:$EE$317),"")</f>
        <v>3</v>
      </c>
      <c r="BJ30" s="7">
        <f>IFERROR(AVERAGEIF('Данные 1st'!$S$2:$S$317,$A30,'Данные 1st'!$EG$2:$EG$317),"")</f>
        <v>1500</v>
      </c>
      <c r="BK30" s="7">
        <f>IFERROR(AVERAGEIF('Данные 1st'!$S$2:$S$317,$A30,'Данные 1st'!$EH$2:$EH$317),"")</f>
        <v>177</v>
      </c>
      <c r="BL30" s="7">
        <f>IFERROR(AVERAGEIF('Данные 1st'!$S$2:$S$317,$A30,'Данные 1st'!$EJ$2:$EJ$317),"")</f>
        <v>0</v>
      </c>
      <c r="BM30" s="7">
        <f>IFERROR(AVERAGEIF('Данные 1st'!$S$2:$S$317,$A30,'Данные 1st'!$EK$2:$EK$317),"")</f>
        <v>1</v>
      </c>
      <c r="BN30" s="7">
        <f>IFERROR(AVERAGEIF('Данные 1st'!$S$2:$S$317,$A30,'Данные 1st'!$EN$2:$EN$317),"")</f>
        <v>0</v>
      </c>
      <c r="BO30" s="7">
        <f>IFERROR(AVERAGEIF('Данные 1st'!$S$2:$S$317,$A30,'Данные 1st'!$EQ$2:$EQ$317),"")</f>
        <v>65</v>
      </c>
      <c r="BP30" s="7">
        <f>IFERROR(AVERAGEIF('Данные 1st'!$S$2:$S$317,$A30,'Данные 1st'!$ER$2:$ER$317),"")</f>
        <v>3</v>
      </c>
      <c r="BQ30" s="7">
        <f>IFERROR(AVERAGEIF('Данные 1st'!$S$2:$S$317,$A30,'Данные 1st'!$ES$2:$ES$317),"")</f>
        <v>5</v>
      </c>
      <c r="BR30" s="7">
        <f>IFERROR(AVERAGEIF('Данные 1st'!$S$2:$S$317,$A30,'Данные 1st'!$ET$2:$ET$317),"")</f>
        <v>1375</v>
      </c>
      <c r="BS30" s="7">
        <f>IFERROR(AVERAGEIF('Данные 1st'!$S$2:$S$317,$A30,'Данные 1st'!$EU$2:$EU$317),"")</f>
        <v>272.2</v>
      </c>
      <c r="BT30" s="7">
        <f>IFERROR(AVERAGEIF('Данные 1st'!$S$2:$S$317,$A30,'Данные 1st'!$EV$2:$EV$317),"")</f>
        <v>374</v>
      </c>
      <c r="BU30" s="7">
        <f>IFERROR(AVERAGEIF('Данные 1st'!$S$2:$S$317,$A30,'Данные 1st'!$EX$2:$EX$317),"")</f>
        <v>65</v>
      </c>
      <c r="BV30" s="7">
        <f>IFERROR(AVERAGEIF('Данные 1st'!$S$2:$S$317,$A30,'Данные 1st'!$EY$2:$EY$317),"")</f>
        <v>2</v>
      </c>
      <c r="BW30" s="7">
        <f>IFERROR(AVERAGEIF('Данные 1st'!$S$2:$S$317,$A30,'Данные 1st'!$EZ$2:$EZ$317),"")</f>
        <v>4.5</v>
      </c>
      <c r="BX30" s="7">
        <f>IFERROR(AVERAGEIF('Данные 1st'!$S$2:$S$317,$A30,'Данные 1st'!$FA$2:$FA$317),"")</f>
        <v>1375</v>
      </c>
      <c r="BY30" s="7">
        <f>IFERROR(AVERAGEIF('Данные 1st'!$S$2:$S$317,$A30,'Данные 1st'!$FB$2:$FB$317),"")</f>
        <v>197</v>
      </c>
      <c r="BZ30" s="7">
        <f>IFERROR(AVERAGEIF('Данные 1st'!$S$2:$S$317,$A30,'Данные 1st'!$FC$2:$FC$317),"")</f>
        <v>271</v>
      </c>
      <c r="CA30" s="7">
        <f>IFERROR(AVERAGEIF('Данные 1st'!$S$2:$S$317,$A30,'Данные 1st'!$FE$2:$FE$317),"")</f>
        <v>0</v>
      </c>
      <c r="CB30" s="7">
        <f>IFERROR(AVERAGEIF('Данные 1st'!$S$2:$S$317,$A30,'Данные 1st'!$FF$2:$FF$317),"")</f>
        <v>2</v>
      </c>
      <c r="CC30" s="7">
        <f>IFERROR(AVERAGEIF('Данные 1st'!$S$2:$S$317,$A30,'Данные 1st'!$FI$2:$FI$317),"")</f>
        <v>0</v>
      </c>
      <c r="CD30" s="7">
        <f>IFERROR(AVERAGEIF('Данные 1st'!$S$2:$S$317,$A30,'Данные 1st'!$FL$2:$FL$317),"")</f>
        <v>0.6</v>
      </c>
      <c r="CE30" s="7">
        <f>IFERROR(AVERAGEIF('Данные 1st'!$S$2:$S$317,$A30,'Данные 1st'!$FM$2:$FM$317),"")</f>
        <v>60</v>
      </c>
      <c r="CF30" s="7">
        <f>IFERROR(AVERAGEIF('Данные 1st'!$S$2:$S$317,$A30,'Данные 1st'!$FN$2:$FN$317),"")</f>
        <v>140</v>
      </c>
      <c r="CG30" s="7">
        <f>IFERROR(AVERAGEIF('Данные 1st'!$S$2:$S$317,$A30,'Данные 1st'!$FO$2:$FO$317),"")</f>
        <v/>
      </c>
      <c r="CH30" s="7">
        <f>IFERROR(AVERAGEIF('Данные 1st'!$S$2:$S$317,$A30,'Данные 1st'!$FP$2:$FP$317),"")</f>
        <v/>
      </c>
      <c r="CI30" s="7">
        <f>IFERROR(AVERAGEIF('Данные 1st'!$S$2:$S$317,$A30,'Данные 1st'!$FS$2:$FS$317),"")</f>
        <v>0.4</v>
      </c>
      <c r="CJ30" s="7">
        <f>IFERROR(AVERAGEIF('Данные 1st'!$S$2:$S$317,$A30,'Данные 1st'!$FT$2:$FT$317),"")</f>
        <v>30</v>
      </c>
      <c r="CK30" s="7">
        <f>IFERROR(AVERAGEIF('Данные 1st'!$S$2:$S$317,$A30,'Данные 1st'!$FU$2:$FU$317),"")</f>
        <v>310</v>
      </c>
      <c r="CL30" s="7">
        <f>IFERROR(AVERAGEIF('Данные 1st'!$S$2:$S$317,$A30,'Данные 1st'!$FV$2:$FV$317),"")</f>
        <v/>
      </c>
      <c r="CM30" s="7">
        <f>IFERROR(AVERAGEIF('Данные 1st'!$S$2:$S$317,$A30,'Данные 1st'!$FW$2:$FW$317),"")</f>
        <v/>
      </c>
      <c r="CN30" s="7">
        <f>IFERROR(AVERAGEIF('Данные 1st'!$S$2:$S$317,$A30,'Данные 1st'!$FZ$2:$FZ$317),"")</f>
        <v/>
      </c>
      <c r="CO30" s="7">
        <f>IFERROR(AVERAGEIF('Данные 1st'!$S$2:$S$317,$A30,'Данные 1st'!$GA$2:$GA$317),"")</f>
        <v/>
      </c>
      <c r="CP30" s="7">
        <f>IFERROR(AVERAGEIF('Данные 1st'!$S$2:$S$317,$A30,'Данные 1st'!$GB$2:$GB$317),"")</f>
        <v/>
      </c>
      <c r="CQ30" s="7">
        <f>IFERROR(AVERAGEIF('Данные 1st'!$S$2:$S$317,$A30,'Данные 1st'!$GH$2:$GH$317),"")</f>
        <v/>
      </c>
      <c r="CR30" s="7">
        <f>IFERROR(AVERAGEIF('Данные 1st'!$S$2:$S$317,$A30,'Данные 1st'!$GI$2:$GI$317),"")</f>
        <v/>
      </c>
      <c r="CS30" s="7">
        <f>IFERROR(AVERAGEIF('Данные 1st'!$S$2:$S$317,$A30,'Данные 1st'!$GJ$2:$GJ$317),"")</f>
        <v/>
      </c>
      <c r="CT30" s="7">
        <f>IFERROR(AVERAGEIF('Данные 1st'!$S$2:$S$317,$A30,'Данные 1st'!$GS$2:$GS$317),"")</f>
        <v/>
      </c>
      <c r="CU30" s="7">
        <f>IFERROR(AVERAGEIF('Данные 1st'!$S$2:$S$317,$A30,'Данные 1st'!$GT$2:$GT$317),"")</f>
        <v/>
      </c>
      <c r="CV30" s="7">
        <f>IFERROR(AVERAGEIF('Данные 1st'!$S$2:$S$317,$A30,'Данные 1st'!$GU$2:$GU$317),"")</f>
        <v/>
      </c>
      <c r="CW30" s="7">
        <f>IFERROR(AVERAGEIF('Данные 1st'!$S$2:$S$317,$A30,'Данные 1st'!$GV$2:$GV$317),"")</f>
        <v/>
      </c>
      <c r="CX30" s="7">
        <f>IFERROR(AVERAGEIF('Данные 1st'!$S$2:$S$317,$A30,'Данные 1st'!$GW$2:$GW$317),"")</f>
        <v/>
      </c>
      <c r="CY30" s="7">
        <f>IFERROR(AVERAGEIF('Данные 1st'!$S$2:$S$317,$A30,'Данные 1st'!$GZ$2:$GZ$317),"")</f>
        <v/>
      </c>
      <c r="CZ30" s="7">
        <f>IFERROR(AVERAGEIF('Данные 1st'!$S$2:$S$317,$A30,'Данные 1st'!$HA$2:$HA$317),"")</f>
        <v/>
      </c>
      <c r="DA30" s="7">
        <f>IFERROR(AVERAGEIF('Данные 1st'!$S$2:$S$317,$A30,'Данные 1st'!$HB$2:$HB$317),"")</f>
        <v/>
      </c>
      <c r="DB30" s="7">
        <f>IFERROR(AVERAGEIF('Данные 1st'!$S$2:$S$317,$A30,'Данные 1st'!$HC$2:$HC$317),"")</f>
        <v>0.1</v>
      </c>
      <c r="DC30" s="7">
        <f>IFERROR(AVERAGEIF('Данные 1st'!$S$2:$S$317,$A30,'Данные 1st'!$HD$2:$HD$317),"")</f>
        <v>3</v>
      </c>
      <c r="DD30" s="7">
        <f>IFERROR(AVERAGEIF('Данные 1st'!$S$2:$S$317,$A30,'Данные 1st'!$HE$2:$HE$317),"")</f>
        <v>3</v>
      </c>
      <c r="DE30" s="7">
        <f>IFERROR(AVERAGEIF('Данные 1st'!$S$2:$S$317,$A30,'Данные 1st'!$HF$2:$HF$317),"")</f>
        <v>3</v>
      </c>
      <c r="DF30" s="7">
        <f>IFERROR(AVERAGEIF('Данные 1st'!$S$2:$S$317,$A30,'Данные 1st'!$HG$2:$HG$317),"")</f>
        <v>3</v>
      </c>
      <c r="DG30" s="7">
        <f>IFERROR(AVERAGEIF('Данные 1st'!$S$2:$S$317,$A30,'Данные 1st'!$HH$2:$HH$317),"")</f>
        <v>3</v>
      </c>
      <c r="DH30" s="7">
        <f>IFERROR(AVERAGEIF('Данные 1st'!$S$2:$S$317,$A30,'Данные 1st'!$HI$2:$HI$317),"")</f>
        <v>115</v>
      </c>
      <c r="DI30" s="7">
        <f>IFERROR(AVERAGEIF('Данные 1st'!$S$2:$S$317,$A30,'Данные 1st'!$HJ$2:$HJ$317),"")</f>
        <v>3</v>
      </c>
      <c r="DJ30" s="7">
        <f>IFERROR(AVERAGEIF('Данные 1st'!$S$2:$S$317,$A30,'Данные 1st'!$HK$2:$HK$317),"")</f>
        <v>50</v>
      </c>
      <c r="DK30" s="7">
        <f>IFERROR(AVERAGEIF('Данные 1st'!$S$2:$S$317,$A30,'Данные 1st'!$HL$2:$HL$317),"")</f>
        <v>2</v>
      </c>
      <c r="DL30" s="7">
        <f>IFERROR(AVERAGEIF('Данные 1st'!$S$2:$S$317,$A30,'Данные 1st'!$HM$2:$HM$317),"")</f>
        <v>0</v>
      </c>
      <c r="DM30" s="7">
        <f>IFERROR(AVERAGEIF('Данные 1st'!$S$2:$S$317,$A30,'Данные 1st'!$HN$2:$HN$317),"")</f>
        <v>2</v>
      </c>
      <c r="DN30" s="7">
        <f>IFERROR(AVERAGEIF('Данные 1st'!$S$2:$S$317,$A30,'Данные 1st'!$HO$2:$HO$317),"")</f>
        <v>50</v>
      </c>
      <c r="DO30" s="7">
        <f>IFERROR(AVERAGEIF('Данные 1st'!$S$2:$S$317,$A30,'Данные 1st'!$HP$2:$HP$317),"")</f>
        <v>3</v>
      </c>
      <c r="DP30" s="7">
        <f>IFERROR(AVERAGEIF('Данные 1st'!$S$2:$S$317,$A30,'Данные 1st'!$HQ$2:$HQ$317),"")</f>
        <v>0</v>
      </c>
      <c r="DQ30" s="7">
        <f>IFERROR(AVERAGEIF('Данные 1st'!$S$2:$S$317,$A30,'Данные 1st'!$HR$2:$HR$317),"")</f>
        <v>2</v>
      </c>
      <c r="DR30" s="7">
        <f>IFERROR(AVERAGEIF('Данные 1st'!$S$2:$S$317,$A30,'Данные 1st'!$HS$2:$HS$317),"")</f>
        <v>3696</v>
      </c>
      <c r="DS30" s="7">
        <f>IFERROR(AVERAGEIF('Данные 1st'!$S$2:$S$317,$A30,'Данные 1st'!$HT$2:$HT$317),"")</f>
        <v>110</v>
      </c>
      <c r="DT30" s="7">
        <f>IFERROR(AVERAGEIF('Данные 1st'!$S$2:$S$317,$A30,'Данные 1st'!$HU$2:$HU$317),"")</f>
        <v>180</v>
      </c>
      <c r="DU30" s="7">
        <f>IFERROR(AVERAGEIF('Данные 1st'!$S$2:$S$317,$A30,'Данные 1st'!$HW$2:$HW$317),"")</f>
        <v>20</v>
      </c>
      <c r="DV30" s="7">
        <f>IFERROR(AVERAGEIF('Данные 1st'!$S$2:$S$317,$A30,'Данные 1st'!$HX$2:$HX$317),"")</f>
        <v>365</v>
      </c>
      <c r="DW30" s="7">
        <f>IFERROR(AVERAGEIF('Данные 1st'!$S$2:$S$317,$A30,'Данные 1st'!$HY$2:$HY$317),"")</f>
        <v>0.18</v>
      </c>
      <c r="DX30" s="7">
        <f>IFERROR(AVERAGEIF('Данные 1st'!$S$2:$S$317,$A30,'Данные 1st'!$IA$2:$IA$317),"")</f>
        <v>0.15</v>
      </c>
      <c r="DY30" s="7">
        <f>IFERROR(AVERAGEIF('Данные 1st'!$S$2:$S$317,$A30,'Данные 1st'!$IB$2:$IB$317),"")</f>
        <v>0</v>
      </c>
      <c r="DZ30" s="7">
        <f>IFERROR(AVERAGEIF('Данные 1st'!$S$2:$S$317,$A30,'Данные 1st'!$IC$2:$IC$317),"")</f>
        <v>180</v>
      </c>
      <c r="EA30" s="7">
        <f>IFERROR(AVERAGEIF('Данные 1st'!$S$2:$S$317,$A30,'Данные 1st'!$ID$2:$ID$317),"")</f>
        <v>110</v>
      </c>
      <c r="EB30" s="7">
        <f>IFERROR(AVERAGEIF('Данные 1st'!$S$2:$S$317,$A30,'Данные 1st'!$IE$2:$IE$317),"")</f>
        <v>0</v>
      </c>
      <c r="EC30" s="7">
        <f>IFERROR(AVERAGEIF('Данные 1st'!$S$2:$S$317,$A30,'Данные 1st'!$IF$2:$IF$317),"")</f>
        <v>0</v>
      </c>
      <c r="ED30" s="7">
        <f>IFERROR(AVERAGEIF('Данные 1st'!$S$2:$S$317,$A30,'Данные 1st'!$IP$2:$IP$317),"")</f>
        <v>18</v>
      </c>
      <c r="EE30" s="7">
        <f>IFERROR(AVERAGEIF('Данные 1st'!$S$2:$S$317,$A30,'Данные 1st'!$IV$2:$IV$317),"")</f>
        <v>1381</v>
      </c>
      <c r="EF30" s="7">
        <f>IFERROR(AVERAGEIF('Данные 1st'!$S$2:$S$317,$A30,'Данные 1st'!$IW$2:$IW$317),"")</f>
        <v>346</v>
      </c>
      <c r="EG30" s="7">
        <f>IFERROR(AVERAGEIF('Данные 1st'!$S$2:$S$317,$A30,'Данные 1st'!$IX$2:$IX$317),"")</f>
        <v/>
      </c>
      <c r="EH30" s="7">
        <f>IFERROR(AVERAGEIF('Данные 1st'!$S$2:$S$317,$A30,'Данные 1st'!$IY$2:$IY$317),"")</f>
        <v/>
      </c>
      <c r="EI30" s="7">
        <f>IFERROR(AVERAGEIF('Данные 1st'!$S$2:$S$317,$A30,'Данные 1st'!$JD$2:$JD$317),"")</f>
        <v>1393</v>
      </c>
      <c r="EJ30" s="7">
        <f>IFERROR(AVERAGEIF('Данные 1st'!$S$2:$S$317,$A30,'Данные 1st'!$JE$2:$JE$317),"")</f>
        <v>1392</v>
      </c>
      <c r="EK30" s="7">
        <f>IFERROR(AVERAGEIF('Данные 1st'!$S$2:$S$317,$A30,'Данные 1st'!$JF$2:$JF$317),"")</f>
        <v>0</v>
      </c>
      <c r="EL30" s="7">
        <f>IFERROR(AVERAGEIF('Данные 1st'!$S$2:$S$317,$A30,'Данные 1st'!$JG$2:$JG$317),"")</f>
        <v>1375</v>
      </c>
      <c r="EM30" s="7">
        <f>IFERROR(AVERAGEIF('Данные 1st'!$S$2:$S$317,$A30,'Данные 1st'!$JH$2:$JH$317),"")</f>
        <v>0</v>
      </c>
      <c r="EN30" s="7">
        <f>IFERROR(AVERAGEIF('Данные 1st'!$S$2:$S$317,$A30,'Данные 1st'!$JJ$2:$JJ$317),"")</f>
        <v>180</v>
      </c>
      <c r="EO30" s="7">
        <f>IFERROR(AVERAGEIF('Данные 1st'!$S$2:$S$317,$A30,'Данные 1st'!$JK$2:$JK$317),"")</f>
        <v>365</v>
      </c>
      <c r="EP30" s="7">
        <f>IFERROR(AVERAGEIF('Данные 1st'!$S$2:$S$317,$A30,'Данные 1st'!$JL$2:$JL$317),"")</f>
        <v/>
      </c>
      <c r="EQ30" s="7">
        <f>IFERROR(AVERAGEIF('Данные 1st'!$S$2:$S$317,$A30,'Данные 1st'!$JM$2:$JM$317),"")</f>
        <v/>
      </c>
      <c r="ER30" s="7">
        <f>IFERROR(AVERAGEIF('Данные 1st'!$S$2:$S$317,$A30,'Данные 1st'!$JN$2:$JN$317),"")</f>
        <v>325</v>
      </c>
      <c r="ES30" s="7">
        <f>IFERROR(AVERAGEIF('Данные 1st'!$S$2:$S$317,$A30,'Данные 1st'!$JO$2:$JO$317),"")</f>
        <v>545</v>
      </c>
      <c r="ET30" s="7">
        <f>IFERROR(AVERAGEIF('Данные 1st'!$S$2:$S$317,$A30,'Данные 1st'!$JP$2:$JP$317),"")</f>
        <v>0</v>
      </c>
      <c r="EU30" s="7">
        <f>IFERROR(AVERAGEIF('Данные 1st'!$S$2:$S$317,$A30,'Данные 1st'!$JQ$2:$JQ$317),"")</f>
        <v>0</v>
      </c>
      <c r="EV30" s="7">
        <f>IFERROR(AVERAGEIF('Данные 1st'!$S$2:$S$317,$A30,'Данные 1st'!$JR$2:$JR$317),"")</f>
        <v>300</v>
      </c>
      <c r="EW30" s="7">
        <f>IFERROR(AVERAGEIF('Данные 1st'!$S$2:$S$317,$A30,'Данные 1st'!$JS$2:$JS$317),"")</f>
        <v>115</v>
      </c>
      <c r="EX30" s="7">
        <f>IFERROR(AVERAGEIF('Данные 1st'!$S$2:$S$317,$A30,'Данные 1st'!$JT$2:$JT$317),"")</f>
        <v/>
      </c>
      <c r="EY30" s="7">
        <f>IFERROR(AVERAGEIF('Данные 1st'!$S$2:$S$317,$A30,'Данные 1st'!$JU$2:$JU$317),"")</f>
        <v/>
      </c>
      <c r="EZ30" s="7">
        <f>IFERROR(AVERAGEIF('Данные 1st'!$S$2:$S$317,$A30,'Данные 1st'!$JV$2:$JV$317),"")</f>
        <v>8</v>
      </c>
      <c r="FA30" s="7">
        <f>IFERROR(AVERAGEIF('Данные 1st'!$S$2:$S$317,$A30,'Данные 1st'!$JW$2:$JW$317),"")</f>
        <v/>
      </c>
      <c r="FB30" s="7">
        <f>IFERROR(AVERAGEIF('Данные 1st'!$S$2:$S$317,$A30,'Данные 1st'!$JX$2:$JX$317),"")</f>
        <v>0</v>
      </c>
      <c r="FC30" s="7">
        <f>IFERROR(AVERAGEIF('Данные 1st'!$S$2:$S$317,$A30,'Данные 1st'!$JY$2:$JY$317),"")</f>
        <v/>
      </c>
      <c r="FD30" s="7">
        <f>IFERROR(AVERAGEIF('Данные 1st'!$S$2:$S$317,$A30,'Данные 1st'!$JZ$2:$JZ$317),"")</f>
        <v/>
      </c>
      <c r="FE30" s="7">
        <f>IFERROR(AVERAGEIF('Данные 1st'!$S$2:$S$317,$A30,'Данные 1st'!$KA$2:$KA$317),"")</f>
        <v>0</v>
      </c>
      <c r="FF30" s="7">
        <f>IFERROR(AVERAGEIF('Данные 1st'!$S$2:$S$317,$A30,'Данные 1st'!$KB$2:$KB$317),"")</f>
        <v>110</v>
      </c>
      <c r="FG30" s="7">
        <f>IFERROR(AVERAGEIF('Данные 1st'!$S$2:$S$317,$A30,'Данные 1st'!$KC$2:$KC$317),"")</f>
        <v>0</v>
      </c>
      <c r="FH30" s="7">
        <f>IFERROR(AVERAGEIF('Данные 1st'!$S$2:$S$317,$A30,'Данные 1st'!$KD$2:$KD$317),"")</f>
        <v>80</v>
      </c>
      <c r="FI30" s="7">
        <f>IFERROR(AVERAGEIF('Данные 1st'!$S$2:$S$317,$A30,'Данные 1st'!$KE$2:$KE$317),"")</f>
        <v/>
      </c>
      <c r="FJ30" s="7">
        <f>IFERROR(AVERAGEIF('Данные 1st'!$S$2:$S$317,$A30,'Данные 1st'!$KF$2:$KF$317),"")</f>
        <v>4</v>
      </c>
      <c r="FK30" s="7">
        <f>IFERROR(AVERAGEIF('Данные 1st'!$S$2:$S$317,$A30,'Данные 1st'!$KG$2:$KG$317),"")</f>
        <v>4</v>
      </c>
      <c r="FL30" s="7">
        <f>IFERROR(AVERAGEIF('Данные 1st'!$S$2:$S$317,$A30,'Данные 1st'!$KH$2:$KH$317),"")</f>
        <v>2</v>
      </c>
      <c r="FM30" s="7">
        <f>IFERROR(AVERAGEIF('Данные 1st'!$S$2:$S$317,$A30,'Данные 1st'!$KI$2:$KI$317),"")</f>
        <v>2</v>
      </c>
      <c r="FN30" s="7">
        <f>IFERROR(AVERAGEIF('Данные 1st'!$S$2:$S$317,$A30,'Данные 1st'!$KJ$2:$KJ$317),"")</f>
        <v>0</v>
      </c>
      <c r="FO30" s="7">
        <f>IFERROR(AVERAGEIF('Данные 1st'!$S$2:$S$317,$A30,'Данные 1st'!$KK$2:$KK$317),"")</f>
        <v>1.5</v>
      </c>
      <c r="FP30" s="7">
        <f>IFERROR(AVERAGEIF('Данные 1st'!$S$2:$S$317,$A30,'Данные 1st'!$KL$2:$KL$317),"")</f>
        <v>1.5</v>
      </c>
      <c r="FQ30" s="7">
        <f>IFERROR(AVERAGEIF('Данные 1st'!$S$2:$S$317,$A30,'Данные 1st'!$KM$2:$KM$317),"")</f>
        <v>0</v>
      </c>
      <c r="FR30" s="7">
        <f>IFERROR(AVERAGEIF('Данные 1st'!$S$2:$S$317,$A30,'Данные 1st'!$KN$2:$KN$317),"")</f>
        <v>0</v>
      </c>
      <c r="FS30" s="7">
        <f>IFERROR(AVERAGEIF('Данные 1st'!$S$2:$S$317,$A30,'Данные 1st'!$KR$2:$KR$317),"")</f>
        <v>30</v>
      </c>
      <c r="FT30" s="7">
        <f>IFERROR(AVERAGEIF('Данные 1st'!$S$2:$S$317,$A30,'Данные 1st'!$KS$2:$KS$317),"")</f>
        <v>60</v>
      </c>
      <c r="FU30" s="7">
        <f>IFERROR(AVERAGEIF('Данные 1st'!$S$2:$S$317,$A30,'Данные 1st'!$KT$2:$KT$317),"")</f>
        <v>0</v>
      </c>
      <c r="FV30" s="7">
        <f>IFERROR(AVERAGEIF('Данные 1st'!$S$2:$S$317,$A30,'Данные 1st'!$KV$2:$KV$317),"")</f>
        <v/>
      </c>
      <c r="FW30" s="7">
        <f>IFERROR(AVERAGEIF('Данные 1st'!$S$2:$S$317,$A30,'Данные 1st'!$KW$2:$KW$317),"")</f>
        <v/>
      </c>
      <c r="FX30" s="7">
        <f>IFERROR(AVERAGEIF('Данные 1st'!$S$2:$S$317,$A30,'Данные 1st'!$KX$2:$KX$317),"")</f>
        <v/>
      </c>
      <c r="FY30" s="7">
        <f>IFERROR(AVERAGEIF('Данные 1st'!$S$2:$S$317,$A30,'Данные 1st'!$KY$2:$KY$317),"")</f>
        <v/>
      </c>
      <c r="FZ30" s="7">
        <f>IFERROR(AVERAGEIF('Данные 1st'!$S$2:$S$317,$A30,'Данные 1st'!$KZ$2:$KZ$317),"")</f>
        <v/>
      </c>
      <c r="GA30" s="7">
        <f>IFERROR(AVERAGEIF('Данные 1st'!$S$2:$S$317,$A30,'Данные 1st'!$LA$2:$LA$317),"")</f>
        <v/>
      </c>
      <c r="GB30" s="7">
        <f>IFERROR(AVERAGEIF('Данные 1st'!$S$2:$S$317,$A30,'Данные 1st'!$LB$2:$LB$317),"")</f>
        <v/>
      </c>
      <c r="GC30" s="7">
        <f>IFERROR(AVERAGEIF('Данные 1st'!$S$2:$S$317,$A30,'Данные 1st'!$LC$2:$LC$317),"")</f>
        <v/>
      </c>
      <c r="GD30" s="7">
        <f>IFERROR(AVERAGEIF('Данные 1st'!$S$2:$S$317,$A30,'Данные 1st'!$LD$2:$LD$317),"")</f>
        <v/>
      </c>
      <c r="GE30" s="7">
        <f>IFERROR(AVERAGEIF('Данные 1st'!$S$2:$S$317,$A30,'Данные 1st'!$LE$2:$LE$317),"")</f>
        <v/>
      </c>
      <c r="GF30" s="7">
        <f>IFERROR(AVERAGEIF('Данные 1st'!$S$2:$S$317,$A30,'Данные 1st'!$LF$2:$LF$317),"")</f>
        <v/>
      </c>
      <c r="GG30" s="7">
        <f>IFERROR(AVERAGEIF('Данные 1st'!$S$2:$S$317,$A30,'Данные 1st'!$LG$2:$LG$317),"")</f>
        <v/>
      </c>
      <c r="GH30" s="7">
        <f>IFERROR(AVERAGEIF('Данные 1st'!$S$2:$S$317,$A30,'Данные 1st'!$LH$2:$LH$317),"")</f>
        <v/>
      </c>
      <c r="GI30" s="7">
        <f>IFERROR(AVERAGEIF('Данные 1st'!$S$2:$S$317,$A30,'Данные 1st'!$LI$2:$LI$317),"")</f>
        <v/>
      </c>
      <c r="GJ30" s="7">
        <f>IFERROR(AVERAGEIF('Данные 1st'!$S$2:$S$317,$A30,'Данные 1st'!$LJ$2:$LJ$317),"")</f>
        <v/>
      </c>
      <c r="GK30" s="7">
        <f>IFERROR(AVERAGEIF('Данные 1st'!$S$2:$S$317,$A30,'Данные 1st'!$LK$2:$LK$317),"")</f>
        <v>480</v>
      </c>
      <c r="GL30" s="7">
        <f>IFERROR(AVERAGEIF('Данные 1st'!$S$2:$S$317,$A30,'Данные 1st'!$LV$2:$LV$317),"")</f>
        <v/>
      </c>
      <c r="GM30" s="7">
        <f>IFERROR(AVERAGEIF('Данные 1st'!$S$2:$S$317,$A30,'Данные 1st'!$LW$2:$LW$317),"")</f>
        <v/>
      </c>
      <c r="GN30" s="7">
        <f>IFERROR(AVERAGEIF('Данные 1st'!$S$2:$S$317,$A30,'Данные 1st'!$LX$2:$LX$317),"")</f>
        <v/>
      </c>
      <c r="GO30" s="7">
        <f>IFERROR(AVERAGEIF('Данные 1st'!$S$2:$S$317,$A30,'Данные 1st'!$LY$2:$LY$317),"")</f>
        <v/>
      </c>
      <c r="GP30" s="7">
        <f>IFERROR(AVERAGEIF('Данные 1st'!$S$2:$S$317,$A30,'Данные 1st'!$LZ$2:$LZ$317),"")</f>
        <v/>
      </c>
      <c r="GQ30" s="7">
        <f>IFERROR(AVERAGEIF('Данные 1st'!$S$2:$S$317,$A30,'Данные 1st'!$PG$2:$PG$317),"")</f>
        <v>1</v>
      </c>
      <c r="GR30" s="7">
        <f>IFERROR(AVERAGEIF('Данные 1st'!$S$2:$S$317,$A30,'Данные 1st'!$PX$2:$PX$317),"")</f>
        <v>56</v>
      </c>
      <c r="GS30" s="7">
        <f>IFERROR(AVERAGEIF('Данные 1st'!$S$2:$S$317,$A30,'Данные 1st'!$PY$2:$PY$317),"")</f>
        <v>56</v>
      </c>
      <c r="GT30" s="7">
        <f>IFERROR(AVERAGEIF('Данные 1st'!$S$2:$S$317,$A30,'Данные 1st'!$QA$2:$QA$317),"")</f>
        <v>1</v>
      </c>
      <c r="GU30" s="7">
        <f>IFERROR(AVERAGEIF('Данные 1st'!$S$2:$S$317,$A30,'Данные 1st'!$QB$2:$QB$317),"")</f>
        <v>1375</v>
      </c>
      <c r="GV30" s="7">
        <f>IFERROR(AVERAGEIF('Данные 1st'!$S$2:$S$317,$A30,'Данные 1st'!$QC$2:$QC$317),"")</f>
        <v>69</v>
      </c>
      <c r="GW30" s="7">
        <f>IFERROR(AVERAGEIF('Данные 1st'!$S$2:$S$317,$A30,'Данные 1st'!$QD$2:$QD$317),"")</f>
        <v>69</v>
      </c>
      <c r="GX30" s="7">
        <f>IFERROR(AVERAGEIF('Данные 1st'!$S$2:$S$317,$A30,'Данные 1st'!$QF$2:$QF$317),"")</f>
        <v>1</v>
      </c>
      <c r="GY30" s="7">
        <f>IFERROR(AVERAGEIF('Данные 1st'!$S$2:$S$317,$A30,'Данные 1st'!$QG$2:$QG$317),"")</f>
        <v>1393</v>
      </c>
      <c r="GZ30" s="7">
        <f>IFERROR(AVERAGEIF('Данные 1st'!$S$2:$S$317,$A30,'Данные 1st'!$QH$2:$QH$317),"")</f>
        <v>66</v>
      </c>
      <c r="HA30" s="7">
        <f>IFERROR(AVERAGEIF('Данные 1st'!$S$2:$S$317,$A30,'Данные 1st'!$QI$2:$QI$317),"")</f>
        <v>66</v>
      </c>
      <c r="HB30" s="7">
        <f>IFERROR(AVERAGEIF('Данные 1st'!$S$2:$S$317,$A30,'Данные 1st'!$QK$2:$QK$317),"")</f>
        <v/>
      </c>
      <c r="HC30" s="7">
        <f>IFERROR(AVERAGEIF('Данные 1st'!$S$2:$S$317,$A30,'Данные 1st'!$QL$2:$QL$317),"")</f>
        <v>0</v>
      </c>
      <c r="HD30" s="7">
        <f>IFERROR(AVERAGEIF('Данные 1st'!$S$2:$S$317,$A30,'Данные 1st'!$QM$2:$QM$317),"")</f>
        <v>62</v>
      </c>
      <c r="HE30" s="7">
        <f>IFERROR(AVERAGEIF('Данные 1st'!$S$2:$S$317,$A30,'Данные 1st'!$QN$2:$QN$317),"")</f>
        <v>62</v>
      </c>
      <c r="HF30" s="7">
        <f>IFERROR(AVERAGEIF('Данные 1st'!$S$2:$S$317,$A30,'Данные 1st'!$QP$2:$QP$317),"")</f>
        <v>1</v>
      </c>
      <c r="HG30" s="7">
        <f>IFERROR(AVERAGEIF('Данные 1st'!$S$2:$S$317,$A30,'Данные 1st'!$QQ$2:$QQ$317),"")</f>
        <v>1392</v>
      </c>
      <c r="HH30" s="7">
        <f>IFERROR(AVERAGEIF('Данные 1st'!$S$2:$S$317,$A30,'Данные 1st'!$QR$2:$QR$317),"")</f>
        <v/>
      </c>
      <c r="HI30" s="7">
        <f>IFERROR(AVERAGEIF('Данные 1st'!$S$2:$S$317,$A30,'Данные 1st'!$QS$2:$QS$317),"")</f>
        <v/>
      </c>
      <c r="HJ30" s="7">
        <f>IFERROR(AVERAGEIF('Данные 1st'!$S$2:$S$317,$A30,'Данные 1st'!$QU$2:$QU$317),"")</f>
        <v/>
      </c>
      <c r="HK30" s="7">
        <f>IFERROR(AVERAGEIF('Данные 1st'!$S$2:$S$317,$A30,'Данные 1st'!$QV$2:$QV$317),"")</f>
        <v/>
      </c>
      <c r="HL30" s="7">
        <f>IFERROR(AVERAGEIF('Данные 1st'!$S$2:$S$317,$A30,'Данные 1st'!$QW$2:$QW$317),"")</f>
        <v>82</v>
      </c>
      <c r="HM30" s="7">
        <f>IFERROR(AVERAGEIF('Данные 1st'!$S$2:$S$317,$A30,'Данные 1st'!$QX$2:$QX$317),"")</f>
        <v>89</v>
      </c>
      <c r="HN30" s="7">
        <f>IFERROR(AVERAGEIF('Данные 1st'!$S$2:$S$317,$A30,'Данные 1st'!$QZ$2:$QZ$317),"")</f>
        <v>1</v>
      </c>
      <c r="HO30" s="7">
        <f>IFERROR(AVERAGEIF('Данные 1st'!$S$2:$S$317,$A30,'Данные 1st'!$RA$2:$RA$317),"")</f>
        <v>66</v>
      </c>
      <c r="HP30" s="7">
        <f>IFERROR(AVERAGEIF('Данные 1st'!$S$2:$S$317,$A30,'Данные 1st'!$RB$2:$RB$317),"")</f>
        <v>66</v>
      </c>
      <c r="HQ30" s="7">
        <f>IFERROR(AVERAGEIF('Данные 1st'!$S$2:$S$317,$A30,'Данные 1st'!$RD$2:$RD$317),"")</f>
        <v/>
      </c>
      <c r="HR30" s="7">
        <f>IFERROR(AVERAGEIF('Данные 1st'!$S$2:$S$317,$A30,'Данные 1st'!$RE$2:$RE$317),"")</f>
        <v>0</v>
      </c>
      <c r="HS30" s="7">
        <f>IFERROR(AVERAGEIF('Данные 1st'!$S$2:$S$317,$A30,'Данные 1st'!$RF$2:$RF$317),"")</f>
        <v>1</v>
      </c>
      <c r="HT30" s="7">
        <f>IFERROR(AVERAGEIF('Данные 1st'!$S$2:$S$317,$A30,'Данные 1st'!$RG$2:$RG$317),"")</f>
        <v/>
      </c>
      <c r="HU30" s="7">
        <f>IFERROR(AVERAGEIF('Данные 1st'!$S$2:$S$317,$A30,'Данные 1st'!$RH$2:$RH$317),"")</f>
        <v/>
      </c>
      <c r="HV30" s="7">
        <f>IFERROR(AVERAGEIF('Данные 1st'!$S$2:$S$317,$A30,'Данные 1st'!$RI$2:$RI$317),"")</f>
        <v/>
      </c>
      <c r="HW30" s="7">
        <f>IFERROR(AVERAGEIF('Данные 1st'!$S$2:$S$317,$A30,'Данные 1st'!$RJ$2:$RJ$317),"")</f>
        <v>1</v>
      </c>
      <c r="HX30" s="7">
        <f>IFERROR(AVERAGEIF('Данные 1st'!$S$2:$S$317,$A30,'Данные 1st'!$RK$2:$RK$317),"")</f>
        <v/>
      </c>
      <c r="HY30" s="7">
        <f>IFERROR(AVERAGEIF('Данные 1st'!$S$2:$S$317,$A30,'Данные 1st'!$RL$2:$RL$317),"")</f>
        <v>4</v>
      </c>
      <c r="HZ30" s="7">
        <f>IFERROR(AVERAGEIF('Данные 1st'!$S$2:$S$317,$A30,'Данные 1st'!$RM$2:$RM$317),"")</f>
        <v/>
      </c>
      <c r="IA30" s="7">
        <f>IFERROR(AVERAGEIF('Данные 1st'!$S$2:$S$317,$A30,'Данные 1st'!$RN$2:$RN$317),"")</f>
        <v/>
      </c>
      <c r="IB30" s="7">
        <f>IFERROR(AVERAGEIF('Данные 1st'!$S$2:$S$317,$A30,'Данные 1st'!$RO$2:$RO$317),"")</f>
        <v>460</v>
      </c>
      <c r="IC30" s="7">
        <f>IFERROR(AVERAGEIF('Данные 1st'!$S$2:$S$317,$A30,'Данные 1st'!$RP$2:$RP$317),"")</f>
        <v/>
      </c>
      <c r="ID30" s="7">
        <f>IFERROR(AVERAGEIF('Данные 1st'!$S$2:$S$317,$A30,'Данные 1st'!$RQ$2:$RQ$317),"")</f>
        <v>643</v>
      </c>
      <c r="IE30" s="7">
        <f>IFERROR(AVERAGEIF('Данные 1st'!$S$2:$S$317,$A30,'Данные 1st'!$RR$2:$RR$317),"")</f>
        <v/>
      </c>
      <c r="IF30" s="7">
        <f>IFERROR(AVERAGEIF('Данные 1st'!$S$2:$S$317,$A30,'Данные 1st'!$RS$2:$RS$317),"")</f>
        <v/>
      </c>
      <c r="IG30" s="7">
        <f>IFERROR(AVERAGEIF('Данные 1st'!$S$2:$S$317,$A30,'Данные 1st'!$RT$2:$RT$317),"")</f>
        <v>258</v>
      </c>
      <c r="IH30" s="7">
        <f>IFERROR(AVERAGEIF('Данные 1st'!$S$2:$S$317,$A30,'Данные 1st'!$RU$2:$RU$317),"")</f>
        <v>177</v>
      </c>
      <c r="II30" s="7">
        <f>IFERROR(AVERAGEIF('Данные 1st'!$S$2:$S$317,$A30,'Данные 1st'!$RX$2:$RX$317),"")</f>
        <v>15</v>
      </c>
      <c r="IJ30" s="7">
        <f>IFERROR(AVERAGEIF('Данные 1st'!$S$2:$S$317,$A30,'Данные 1st'!$RY$2:$RY$317),"")</f>
        <v>4</v>
      </c>
      <c r="IK30" s="7">
        <f>IFERROR(AVERAGEIF('Данные 1st'!$S$2:$S$317,$A30,'Данные 1st'!$SA$2:$SA$317),"")</f>
        <v>15</v>
      </c>
      <c r="IL30" s="7">
        <f>IFERROR(AVERAGEIF('Данные 1st'!$S$2:$S$317,$A30,'Данные 1st'!$SD$2:$SD$317),"")</f>
        <v>1</v>
      </c>
      <c r="IM30" s="7">
        <f>IFERROR(AVERAGEIF('Данные 1st'!$S$2:$S$317,$A30,'Данные 1st'!$SG$2:$SG$317),"")</f>
        <v/>
      </c>
      <c r="IN30" s="7">
        <f>IFERROR(AVERAGEIF('Данные 1st'!$S$2:$S$317,$A30,'Данные 1st'!$SH$2:$SH$317),"")</f>
        <v>0.995</v>
      </c>
      <c r="IO30" s="7">
        <f>IFERROR(AVERAGEIF('Данные 1st'!$S$2:$S$317,$A30,'Данные 1st'!$SI$2:$SI$317),"")</f>
        <v>0.995</v>
      </c>
      <c r="IP30" s="7">
        <f>IFERROR(AVERAGEIF('Данные 1st'!$S$2:$S$317,$A30,'Данные 1st'!$SJ$2:$SJ$317),"")</f>
        <v>0.995</v>
      </c>
      <c r="IQ30" s="7">
        <f>IFERROR(AVERAGEIF('Данные 1st'!$S$2:$S$317,$A30,'Данные 1st'!$SK$2:$SK$317),"")</f>
        <v>15</v>
      </c>
      <c r="IR30" s="7">
        <f>IFERROR(AVERAGEIF('Данные 1st'!$S$2:$S$317,$A30,'Данные 1st'!$SL$2:$SL$317),"")</f>
        <v>0</v>
      </c>
      <c r="IS30" s="7">
        <f>IFERROR(AVERAGEIF('Данные 1st'!$S$2:$S$317,$A30,'Данные 1st'!$SM$2:$SM$317),"")</f>
        <v>0</v>
      </c>
      <c r="IT30" s="7">
        <f>IFERROR(AVERAGEIF('Данные 1st'!$S$2:$S$317,$A30,'Данные 1st'!$SN$2:$SN$317),"")</f>
        <v>0</v>
      </c>
      <c r="IU30" s="7">
        <f>IFERROR(AVERAGEIF('Данные 1st'!$S$2:$S$317,$A30,'Данные 1st'!$SO$2:$SO$317),"")</f>
        <v>0</v>
      </c>
      <c r="IV30" s="7">
        <f>IFERROR(AVERAGEIF('Данные 1st'!$S$2:$S$317,$A30,'Данные 1st'!$SP$2:$SP$317),"")</f>
        <v>0</v>
      </c>
      <c r="IW30" s="7">
        <f>IFERROR(AVERAGEIF('Данные 1st'!$S$2:$S$317,$A30,'Данные 1st'!$SQ$2:$SQ$317),"")</f>
        <v>0</v>
      </c>
      <c r="IX30" s="7">
        <f>IFERROR(AVERAGEIF('Данные 1st'!$S$2:$S$317,$A30,'Данные 1st'!$SR$2:$SR$317),"")</f>
        <v>0</v>
      </c>
      <c r="IY30" s="7">
        <f>IFERROR(AVERAGEIF('Данные 1st'!$S$2:$S$317,$A30,'Данные 1st'!$SS$2:$SS$317),"")</f>
        <v>0</v>
      </c>
      <c r="IZ30" s="7">
        <f>IFERROR(AVERAGEIF('Данные 1st'!$S$2:$S$317,$A30,'Данные 1st'!$ST$2:$ST$317),"")</f>
        <v>0</v>
      </c>
      <c r="JA30" s="7">
        <f>IFERROR(AVERAGEIF('Данные 1st'!$S$2:$S$317,$A30,'Данные 1st'!$SU$2:$SU$317),"")</f>
        <v>0</v>
      </c>
      <c r="JB30" s="7">
        <f>IFERROR(AVERAGEIF('Данные 1st'!$S$2:$S$317,$A30,'Данные 1st'!$SV$2:$SV$317),"")</f>
        <v>0</v>
      </c>
      <c r="JC30" s="7">
        <f>IFERROR(AVERAGEIF('Данные 1st'!$S$2:$S$317,$A30,'Данные 1st'!$SW$2:$SW$317),"")</f>
        <v>0</v>
      </c>
      <c r="JD30" s="7">
        <f>IFERROR(AVERAGEIF('Данные 1st'!$S$2:$S$317,$A30,'Данные 1st'!$SX$2:$SX$317),"")</f>
        <v>0</v>
      </c>
      <c r="JE30" s="7">
        <f>IFERROR(AVERAGEIF('Данные 1st'!$S$2:$S$317,$A30,'Данные 1st'!$SY$2:$SY$317),"")</f>
        <v/>
      </c>
      <c r="JF30" s="7">
        <f>IFERROR(AVERAGEIF('Данные 1st'!$S$2:$S$317,$A30,'Данные 1st'!$SZ$2:$SZ$317),"")</f>
        <v/>
      </c>
      <c r="JG30" s="7">
        <f>IFERROR(AVERAGEIF('Данные 1st'!$S$2:$S$317,$A30,'Данные 1st'!$TA$2:$TA$317),"")</f>
        <v/>
      </c>
      <c r="JH30" s="7">
        <f>IFERROR(AVERAGEIF('Данные 1st'!$S$2:$S$317,$A30,'Данные 1st'!$TB$2:$TB$317),"")</f>
        <v>0</v>
      </c>
      <c r="JI30" s="7">
        <f>IFERROR(AVERAGEIF('Данные 1st'!$S$2:$S$317,$A30,'Данные 1st'!$TC$2:$TC$317),"")</f>
        <v>0</v>
      </c>
      <c r="JJ30" s="7">
        <f>IFERROR(AVERAGEIF('Данные 1st'!$S$2:$S$317,$A30,'Данные 1st'!$TD$2:$TD$317),"")</f>
        <v>7.5</v>
      </c>
      <c r="JK30" s="7">
        <f>IFERROR(AVERAGEIF('Данные 1st'!$S$2:$S$317,$A30,'Данные 1st'!$TN$2:$TN$317),"")</f>
        <v>0</v>
      </c>
      <c r="JL30">
        <f>COUNTIF('Данные 2st'!$Q$2:$Q$317,$A30)</f>
        <v>1</v>
      </c>
      <c r="JM30" s="6" t="s">
        <v>2657</v>
      </c>
      <c r="JN30" s="6" t="s">
        <v>513</v>
      </c>
      <c r="JO30" s="6" t="s">
        <v>517</v>
      </c>
      <c r="JP30" s="6" t="s">
        <v>2670</v>
      </c>
      <c r="JQ30" s="7">
        <f>IFERROR(AVERAGEIF('Данные 2st'!$Q$2:$Q$317,$A30,'Данные 2st'!$AC$2:$AC$317),"")</f>
        <v>9</v>
      </c>
      <c r="JR30" s="7">
        <f>IFERROR(AVERAGEIF('Данные 2st'!$Q$2:$Q$317,$A30,'Данные 2st'!$AF$2:$AF$317),"")</f>
        <v>3696</v>
      </c>
      <c r="JS30" s="7">
        <f>IFERROR(AVERAGEIF('Данные 2st'!$Q$2:$Q$317,$A30,'Данные 2st'!$AW$2:$AW$317),"")</f>
        <v>6.4</v>
      </c>
      <c r="JT30" s="7">
        <f>IFERROR(AVERAGEIF('Данные 2st'!$Q$2:$Q$317,$A30,'Данные 2st'!$AX$2:$AX$317),"")</f>
        <v>-6</v>
      </c>
      <c r="JU30" s="7">
        <f>IFERROR(AVERAGEIF('Данные 2st'!$Q$2:$Q$317,$A30,'Данные 2st'!$AY$2:$AY$317),"")</f>
        <v>100</v>
      </c>
      <c r="JV30" s="7">
        <f>IFERROR(AVERAGEIF('Данные 2st'!$Q$2:$Q$317,$A30,'Данные 2st'!$AZ$2:$AZ$317),"")</f>
        <v>70</v>
      </c>
      <c r="JW30" s="7">
        <f>IFERROR(AVERAGEIF('Данные 2st'!$Q$2:$Q$317,$A30,'Данные 2st'!$BA$2:$BA$317),"")</f>
        <v/>
      </c>
      <c r="JX30" s="7">
        <f>IFERROR(AVERAGEIF('Данные 2st'!$Q$2:$Q$317,$A30,'Данные 2st'!$BB$2:$BB$317),"")</f>
        <v/>
      </c>
      <c r="JY30" s="7">
        <f>IFERROR(AVERAGEIF('Данные 2st'!$Q$2:$Q$317,$A30,'Данные 2st'!$BC$2:$BC$317),"")</f>
        <v/>
      </c>
      <c r="JZ30" s="7">
        <f>IFERROR(AVERAGEIF('Данные 2st'!$Q$2:$Q$317,$A30,'Данные 2st'!$BH$2:$BH$317),"")</f>
        <v>100</v>
      </c>
      <c r="KA30" s="7">
        <f>IFERROR(AVERAGEIF('Данные 2st'!$Q$2:$Q$317,$A30,'Данные 2st'!$BI$2:$BI$317),"")</f>
        <v>30</v>
      </c>
      <c r="KB30" s="7">
        <f>IFERROR(AVERAGEIF('Данные 2st'!$Q$2:$Q$317,$A30,'Данные 2st'!$BJ$2:$BJ$317),"")</f>
        <v>70</v>
      </c>
      <c r="KC30" s="7">
        <f>IFERROR(AVERAGEIF('Данные 2st'!$Q$2:$Q$317,$A30,'Данные 2st'!$BK$2:$BK$317),"")</f>
        <v>2.5</v>
      </c>
      <c r="KD30" s="7">
        <f>IFERROR(AVERAGEIF('Данные 2st'!$Q$2:$Q$317,$A30,'Данные 2st'!$BL$2:$BL$317),"")</f>
        <v>200</v>
      </c>
      <c r="KE30" s="7">
        <f>IFERROR(AVERAGEIF('Данные 2st'!$Q$2:$Q$317,$A30,'Данные 2st'!$BM$2:$BM$317),"")</f>
        <v>-6</v>
      </c>
      <c r="KF30" s="7">
        <f>IFERROR(AVERAGEIF('Данные 2st'!$Q$2:$Q$317,$A30,'Данные 2st'!$BN$2:$BN$317),"")</f>
        <v>0</v>
      </c>
      <c r="KG30" s="7">
        <f>IFERROR(AVERAGEIF('Данные 2st'!$Q$2:$Q$317,$A30,'Данные 2st'!$BO$2:$BO$317),"")</f>
        <v>0</v>
      </c>
      <c r="KH30" s="7">
        <f>IFERROR(AVERAGEIF('Данные 2st'!$Q$2:$Q$317,$A30,'Данные 2st'!$BP$2:$BP$317),"")</f>
        <v>0</v>
      </c>
      <c r="KI30" s="7">
        <f>IFERROR(AVERAGEIF('Данные 2st'!$Q$2:$Q$317,$A30,'Данные 2st'!$BR$2:$BR$317),"")</f>
        <v>195</v>
      </c>
      <c r="KJ30" s="7">
        <f>IFERROR(AVERAGEIF('Данные 2st'!$Q$2:$Q$317,$A30,'Данные 2st'!$BS$2:$BS$317),"")</f>
        <v>185</v>
      </c>
      <c r="KK30" s="7">
        <f>IFERROR(AVERAGEIF('Данные 2st'!$Q$2:$Q$317,$A30,'Данные 2st'!$BT$2:$BT$317),"")</f>
        <v>1855</v>
      </c>
      <c r="KL30" s="7">
        <f>IFERROR(AVERAGEIF('Данные 2st'!$Q$2:$Q$317,$A30,'Данные 2st'!$CV$2:$CV$317),"")</f>
        <v>119</v>
      </c>
      <c r="KM30" s="7">
        <f>IFERROR(AVERAGEIF('Данные 2st'!$Q$2:$Q$317,$A30,'Данные 2st'!$CW$2:$CW$317),"")</f>
        <v>3</v>
      </c>
      <c r="KN30" s="7">
        <f>IFERROR(AVERAGEIF('Данные 2st'!$Q$2:$Q$317,$A30,'Данные 2st'!$CX$2:$CX$317),"")</f>
        <v>88</v>
      </c>
      <c r="KO30" s="7">
        <f>IFERROR(AVERAGEIF('Данные 2st'!$Q$2:$Q$317,$A30,'Данные 2st'!$CY$2:$CY$317),"")</f>
        <v>5</v>
      </c>
      <c r="KP30" s="7">
        <f>IFERROR(AVERAGEIF('Данные 2st'!$Q$2:$Q$317,$A30,'Данные 2st'!$CZ$2:$CZ$317),"")</f>
        <v>78</v>
      </c>
      <c r="KQ30" s="7">
        <f>IFERROR(AVERAGEIF('Данные 2st'!$Q$2:$Q$317,$A30,'Данные 2st'!$DA$2:$DA$317),"")</f>
        <v>5</v>
      </c>
      <c r="KR30" s="7">
        <f>IFERROR(AVERAGEIF('Данные 2st'!$Q$2:$Q$317,$A30,'Данные 2st'!$DB$2:$DB$317),"")</f>
        <v>9910</v>
      </c>
      <c r="KS30" s="7">
        <f>IFERROR(AVERAGEIF('Данные 2st'!$Q$2:$Q$317,$A30,'Данные 2st'!$DC$2:$DC$317),"")</f>
        <v>290</v>
      </c>
      <c r="KT30" s="7">
        <f>IFERROR(AVERAGEIF('Данные 2st'!$Q$2:$Q$317,$A30,'Данные 2st'!$DD$2:$DD$317),"")</f>
        <v>300</v>
      </c>
      <c r="KU30" s="7">
        <f>IFERROR(AVERAGEIF('Данные 2st'!$Q$2:$Q$317,$A30,'Данные 2st'!$DE$2:$DE$317),"")</f>
        <v>1970</v>
      </c>
      <c r="KV30" s="7">
        <f>IFERROR(AVERAGEIF('Данные 2st'!$Q$2:$Q$317,$A30,'Данные 2st'!$DF$2:$DF$317),"")</f>
        <v>1970</v>
      </c>
      <c r="KW30" s="7">
        <f>IFERROR(AVERAGEIF('Данные 2st'!$Q$2:$Q$317,$A30,'Данные 2st'!$DG$2:$DG$317),"")</f>
        <v>1981</v>
      </c>
      <c r="KX30" s="7">
        <f>IFERROR(AVERAGEIF('Данные 2st'!$Q$2:$Q$317,$A30,'Данные 2st'!$DH$2:$DH$317),"")</f>
        <v/>
      </c>
      <c r="KY30" s="7">
        <f>IFERROR(AVERAGEIF('Данные 2st'!$Q$2:$Q$317,$A30,'Данные 2st'!$DI$2:$DI$317),"")</f>
        <v/>
      </c>
      <c r="KZ30" s="7">
        <f>IFERROR(AVERAGEIF('Данные 2st'!$Q$2:$Q$317,$A30,'Данные 2st'!$DK$2:$DK$317),"")</f>
        <v>195</v>
      </c>
      <c r="LA30" s="7">
        <f>IFERROR(AVERAGEIF('Данные 2st'!$Q$2:$Q$317,$A30,'Данные 2st'!$DM$2:$DM$317),"")</f>
        <v>63</v>
      </c>
      <c r="LB30" s="7">
        <f>IFERROR(AVERAGEIF('Данные 2st'!$Q$2:$Q$317,$A30,'Данные 2st'!$DN$2:$DN$317),"")</f>
        <v>0.84</v>
      </c>
      <c r="LC30" s="7">
        <f>IFERROR(AVERAGEIF('Данные 2st'!$Q$2:$Q$317,$A30,'Данные 2st'!$DO$2:$DO$317),"")</f>
        <v>1</v>
      </c>
      <c r="LD30" s="7">
        <f>IFERROR(AVERAGEIF('Данные 2st'!$Q$2:$Q$317,$A30,'Данные 2st'!$DP$2:$DP$317),"")</f>
        <v>1858</v>
      </c>
      <c r="LE30" s="7">
        <f>IFERROR(AVERAGEIF('Данные 2st'!$Q$2:$Q$317,$A30,'Данные 2st'!$DQ$2:$DQ$317),"")</f>
        <v>661</v>
      </c>
      <c r="LF30" s="7">
        <f>IFERROR(AVERAGEIF('Данные 2st'!$Q$2:$Q$317,$A30,'Данные 2st'!$DS$2:$DS$317),"")</f>
        <v>185</v>
      </c>
      <c r="LG30" s="7">
        <f>IFERROR(AVERAGEIF('Данные 2st'!$Q$2:$Q$317,$A30,'Данные 2st'!$DU$2:$DU$317),"")</f>
        <v>63</v>
      </c>
      <c r="LH30" s="7">
        <f>IFERROR(AVERAGEIF('Данные 2st'!$Q$2:$Q$317,$A30,'Данные 2st'!$DV$2:$DV$317),"")</f>
        <v>0.84</v>
      </c>
      <c r="LI30" s="7">
        <f>IFERROR(AVERAGEIF('Данные 2st'!$Q$2:$Q$317,$A30,'Данные 2st'!$DW$2:$DW$317),"")</f>
        <v>1</v>
      </c>
      <c r="LJ30" s="7">
        <f>IFERROR(AVERAGEIF('Данные 2st'!$Q$2:$Q$317,$A30,'Данные 2st'!$DX$2:$DX$317),"")</f>
        <v>1865</v>
      </c>
      <c r="LK30" s="7">
        <f>IFERROR(AVERAGEIF('Данные 2st'!$Q$2:$Q$317,$A30,'Данные 2st'!$DY$2:$DY$317),"")</f>
        <v>630</v>
      </c>
      <c r="LL30" s="7">
        <f>IFERROR(AVERAGEIF('Данные 2st'!$Q$2:$Q$317,$A30,'Данные 2st'!$EA$2:$EA$317),"")</f>
        <v>33</v>
      </c>
      <c r="LM30" s="7">
        <f>IFERROR(AVERAGEIF('Данные 2st'!$Q$2:$Q$317,$A30,'Данные 2st'!$EC$2:$EC$317),"")</f>
        <v>0.4</v>
      </c>
      <c r="LN30" s="7">
        <f>IFERROR(AVERAGEIF('Данные 2st'!$Q$2:$Q$317,$A30,'Данные 2st'!$ED$2:$ED$317),"")</f>
        <v>1858</v>
      </c>
      <c r="LO30" s="7">
        <f>IFERROR(AVERAGEIF('Данные 2st'!$Q$2:$Q$317,$A30,'Данные 2st'!$EE$2:$EE$317),"")</f>
        <v>54</v>
      </c>
      <c r="LP30" s="7">
        <f>IFERROR(AVERAGEIF('Данные 2st'!$Q$2:$Q$317,$A30,'Данные 2st'!$EG$2:$EG$317),"")</f>
        <v>33</v>
      </c>
      <c r="LQ30" s="7">
        <f>IFERROR(AVERAGEIF('Данные 2st'!$Q$2:$Q$317,$A30,'Данные 2st'!$EI$2:$EI$317),"")</f>
        <v>0.4</v>
      </c>
      <c r="LR30" s="7">
        <f>IFERROR(AVERAGEIF('Данные 2st'!$Q$2:$Q$317,$A30,'Данные 2st'!$EJ$2:$EJ$317),"")</f>
        <v>1865</v>
      </c>
      <c r="LS30" s="7">
        <f>IFERROR(AVERAGEIF('Данные 2st'!$Q$2:$Q$317,$A30,'Данные 2st'!$EK$2:$EK$317),"")</f>
        <v>54</v>
      </c>
      <c r="LT30" s="7">
        <f>IFERROR(AVERAGEIF('Данные 2st'!$Q$2:$Q$317,$A30,'Данные 2st'!$EM$2:$EM$317),"")</f>
        <v>12</v>
      </c>
      <c r="LU30" s="7">
        <f>IFERROR(AVERAGEIF('Данные 2st'!$Q$2:$Q$317,$A30,'Данные 2st'!$EN$2:$EN$317),"")</f>
        <v>0.5</v>
      </c>
      <c r="LV30" s="7">
        <f>IFERROR(AVERAGEIF('Данные 2st'!$Q$2:$Q$317,$A30,'Данные 2st'!$EO$2:$EO$317),"")</f>
        <v>0.96</v>
      </c>
      <c r="LW30" s="7">
        <f>IFERROR(AVERAGEIF('Данные 2st'!$Q$2:$Q$317,$A30,'Данные 2st'!$EP$2:$EP$317),"")</f>
        <v>1865.56</v>
      </c>
      <c r="LX30" s="7">
        <f>IFERROR(AVERAGEIF('Данные 2st'!$Q$2:$Q$317,$A30,'Данные 2st'!$EQ$2:$EQ$317),"")</f>
        <v>30898.34</v>
      </c>
      <c r="LY30" s="7">
        <f>IFERROR(AVERAGEIF('Данные 2st'!$Q$2:$Q$317,$A30,'Данные 2st'!$ER$2:$ER$317),"")</f>
        <v>8773.09</v>
      </c>
      <c r="LZ30" s="7">
        <f>IFERROR(AVERAGEIF('Данные 2st'!$Q$2:$Q$317,$A30,'Данные 2st'!$ES$2:$ES$317),"")</f>
        <v>0</v>
      </c>
      <c r="MA30" s="7">
        <f>IFERROR(AVERAGEIF('Данные 2st'!$Q$2:$Q$317,$A30,'Данные 2st'!$ET$2:$ET$317),"")</f>
        <v>0</v>
      </c>
      <c r="MB30" s="7">
        <f>IFERROR(AVERAGEIF('Данные 2st'!$Q$2:$Q$317,$A30,'Данные 2st'!$EU$2:$EU$317),"")</f>
        <v>1</v>
      </c>
      <c r="MC30" s="7">
        <f>IFERROR(AVERAGEIF('Данные 2st'!$Q$2:$Q$317,$A30,'Данные 2st'!$EV$2:$EV$317),"")</f>
        <v>39672</v>
      </c>
      <c r="MD30" s="7">
        <f>IFERROR(AVERAGEIF('Данные 2st'!$Q$2:$Q$317,$A30,'Данные 2st'!$EW$2:$EW$317),"")</f>
        <v>477</v>
      </c>
      <c r="ME30" s="7">
        <f>IFERROR(AVERAGEIF('Данные 2st'!$Q$2:$Q$317,$A30,'Данные 2st'!$EY$2:$EY$317),"")</f>
        <v>210</v>
      </c>
      <c r="MF30" s="7">
        <f>IFERROR(AVERAGEIF('Данные 2st'!$Q$2:$Q$317,$A30,'Данные 2st'!$FA$2:$FA$317),"")</f>
        <v>4.2</v>
      </c>
      <c r="MG30" s="7">
        <f>IFERROR(AVERAGEIF('Данные 2st'!$Q$2:$Q$317,$A30,'Данные 2st'!$FB$2:$FB$317),"")</f>
        <v>1</v>
      </c>
      <c r="MH30" s="7">
        <f>IFERROR(AVERAGEIF('Данные 2st'!$Q$2:$Q$317,$A30,'Данные 2st'!$FC$2:$FC$317),"")</f>
        <v>1</v>
      </c>
      <c r="MI30" s="7">
        <f>IFERROR(AVERAGEIF('Данные 2st'!$Q$2:$Q$317,$A30,'Данные 2st'!$FD$2:$FD$317),"")</f>
        <v>1899</v>
      </c>
      <c r="MJ30" s="7">
        <f>IFERROR(AVERAGEIF('Данные 2st'!$Q$2:$Q$317,$A30,'Данные 2st'!$FE$2:$FE$317),"")</f>
        <v>1973</v>
      </c>
      <c r="MK30" s="7">
        <f>IFERROR(AVERAGEIF('Данные 2st'!$Q$2:$Q$317,$A30,'Данные 2st'!$FG$2:$FG$317),"")</f>
        <v>210</v>
      </c>
      <c r="ML30" s="7">
        <f>IFERROR(AVERAGEIF('Данные 2st'!$Q$2:$Q$317,$A30,'Данные 2st'!$FI$2:$FI$317),"")</f>
        <v>3.9</v>
      </c>
      <c r="MM30" s="7">
        <f>IFERROR(AVERAGEIF('Данные 2st'!$Q$2:$Q$317,$A30,'Данные 2st'!$FJ$2:$FJ$317),"")</f>
        <v>1899</v>
      </c>
      <c r="MN30" s="7">
        <f>IFERROR(AVERAGEIF('Данные 2st'!$Q$2:$Q$317,$A30,'Данные 2st'!$FK$2:$FK$317),"")</f>
        <v>1996</v>
      </c>
      <c r="MO30" s="7">
        <f>IFERROR(AVERAGEIF('Данные 2st'!$Q$2:$Q$317,$A30,'Данные 2st'!$FP$2:$FP$317),"")</f>
        <v>1899</v>
      </c>
      <c r="MP30" s="7">
        <f>IFERROR(AVERAGEIF('Данные 2st'!$Q$2:$Q$317,$A30,'Данные 2st'!$FQ$2:$FQ$317),"")</f>
        <v>168</v>
      </c>
      <c r="MQ30" s="7">
        <f>IFERROR(AVERAGEIF('Данные 2st'!$Q$2:$Q$317,$A30,'Данные 2st'!$FS$2:$FS$317),"")</f>
        <v>214</v>
      </c>
      <c r="MR30" s="7">
        <f>IFERROR(AVERAGEIF('Данные 2st'!$Q$2:$Q$317,$A30,'Данные 2st'!$FU$2:$FU$317),"")</f>
        <v>0.4</v>
      </c>
      <c r="MS30" s="7">
        <f>IFERROR(AVERAGEIF('Данные 2st'!$Q$2:$Q$317,$A30,'Данные 2st'!$FV$2:$FV$317),"")</f>
        <v>1899</v>
      </c>
      <c r="MT30" s="7">
        <f>IFERROR(AVERAGEIF('Данные 2st'!$Q$2:$Q$317,$A30,'Данные 2st'!$FW$2:$FW$317),"")</f>
        <v>181</v>
      </c>
      <c r="MU30" s="7">
        <f>IFERROR(AVERAGEIF('Данные 2st'!$Q$2:$Q$317,$A30,'Данные 2st'!$FY$2:$FY$317),"")</f>
        <v>5</v>
      </c>
      <c r="MV30" s="7">
        <f>IFERROR(AVERAGEIF('Данные 2st'!$Q$2:$Q$317,$A30,'Данные 2st'!$GB$2:$GB$317),"")</f>
        <v>1899</v>
      </c>
      <c r="MW30" s="7">
        <f>IFERROR(AVERAGEIF('Данные 2st'!$Q$2:$Q$317,$A30,'Данные 2st'!$GC$2:$GC$317),"")</f>
        <v>19</v>
      </c>
      <c r="MX30" s="7">
        <f>IFERROR(AVERAGEIF('Данные 2st'!$Q$2:$Q$317,$A30,'Данные 2st'!$GD$2:$GD$317),"")</f>
        <v>4337</v>
      </c>
      <c r="MY30" s="7">
        <f>IFERROR(AVERAGEIF('Данные 2st'!$Q$2:$Q$317,$A30,'Данные 2st'!$GN$2:$GN$317),"")</f>
        <v/>
      </c>
      <c r="MZ30" s="7">
        <f>IFERROR(AVERAGEIF('Данные 2st'!$Q$2:$Q$317,$A30,'Данные 2st'!$GQ$2:$GQ$317),"")</f>
        <v>0</v>
      </c>
      <c r="NA30" s="7">
        <f>IFERROR(AVERAGEIF('Данные 2st'!$Q$2:$Q$317,$A30,'Данные 2st'!$GV$2:$GV$317),"")</f>
        <v>8.5</v>
      </c>
      <c r="NB30" s="7">
        <f>IFERROR(AVERAGEIF('Данные 2st'!$Q$2:$Q$317,$A30,'Данные 2st'!$GW$2:$GW$317),"")</f>
        <v>11.5</v>
      </c>
      <c r="NC30" s="7">
        <f>IFERROR(AVERAGEIF('Данные 2st'!$Q$2:$Q$317,$A30,'Данные 2st'!$GX$2:$GX$317),"")</f>
        <v>0.5</v>
      </c>
      <c r="ND30" s="7">
        <f>IFERROR(AVERAGEIF('Данные 2st'!$Q$2:$Q$317,$A30,'Данные 2st'!$GY$2:$GY$317),"")</f>
        <v>190</v>
      </c>
      <c r="NE30" s="7">
        <f>IFERROR(AVERAGEIF('Данные 2st'!$Q$2:$Q$317,$A30,'Данные 2st'!$GZ$2:$GZ$317),"")</f>
        <v>3</v>
      </c>
      <c r="NF30" s="7">
        <f>IFERROR(AVERAGEIF('Данные 2st'!$Q$2:$Q$317,$A30,'Данные 2st'!$HA$2:$HA$317),"")</f>
        <v>228</v>
      </c>
      <c r="NG30" s="7">
        <f>IFERROR(AVERAGEIF('Данные 2st'!$Q$2:$Q$317,$A30,'Данные 2st'!$HB$2:$HB$317),"")</f>
        <v>3</v>
      </c>
      <c r="NH30" s="7">
        <f>IFERROR(AVERAGEIF('Данные 2st'!$Q$2:$Q$317,$A30,'Данные 2st'!$HC$2:$HC$317),"")</f>
        <v>1899</v>
      </c>
      <c r="NI30" s="7">
        <f>IFERROR(AVERAGEIF('Данные 2st'!$Q$2:$Q$317,$A30,'Данные 2st'!$HD$2:$HD$317),"")</f>
        <v>4</v>
      </c>
      <c r="NJ30" s="7">
        <f>IFERROR(AVERAGEIF('Данные 2st'!$Q$2:$Q$317,$A30,'Данные 2st'!$HM$2:$HM$317),"")</f>
        <v>18</v>
      </c>
      <c r="NK30" s="7">
        <f>IFERROR(AVERAGEIF('Данные 2st'!$Q$2:$Q$317,$A30,'Данные 2st'!$HR$2:$HR$317),"")</f>
        <v>1</v>
      </c>
      <c r="NL30" s="7">
        <f>IFERROR(AVERAGEIF('Данные 2st'!$Q$2:$Q$317,$A30,'Данные 2st'!$HS$2:$HS$317),"")</f>
        <v>1855</v>
      </c>
      <c r="NM30" s="7">
        <f>IFERROR(AVERAGEIF('Данные 2st'!$Q$2:$Q$317,$A30,'Данные 2st'!$HT$2:$HT$317),"")</f>
        <v>5</v>
      </c>
      <c r="NN30" s="7">
        <f>IFERROR(AVERAGEIF('Данные 2st'!$Q$2:$Q$317,$A30,'Данные 2st'!$HY$2:$HY$317),"")</f>
        <v>0</v>
      </c>
      <c r="NO30" s="7">
        <f>IFERROR(AVERAGEIF('Данные 2st'!$Q$2:$Q$317,$A30,'Данные 2st'!$HZ$2:$HZ$317),"")</f>
        <v>63</v>
      </c>
      <c r="NP30" s="7">
        <f>IFERROR(AVERAGEIF('Данные 2st'!$Q$2:$Q$317,$A30,'Данные 2st'!$IA$2:$IA$317),"")</f>
        <v>1858</v>
      </c>
      <c r="NQ30" s="7">
        <f>IFERROR(AVERAGEIF('Данные 2st'!$Q$2:$Q$317,$A30,'Данные 2st'!$IB$2:$IB$317),"")</f>
        <v>1865</v>
      </c>
      <c r="NR30" s="7">
        <f>IFERROR(AVERAGEIF('Данные 2st'!$Q$2:$Q$317,$A30,'Данные 2st'!$IC$2:$IC$317),"")</f>
        <v/>
      </c>
      <c r="NS30" s="7">
        <f>IFERROR(AVERAGEIF('Данные 2st'!$Q$2:$Q$317,$A30,'Данные 2st'!$ID$2:$ID$317),"")</f>
        <v>1899</v>
      </c>
      <c r="NT30" s="7">
        <f>IFERROR(AVERAGEIF('Данные 2st'!$Q$2:$Q$317,$A30,'Данные 2st'!$IE$2:$IE$317),"")</f>
        <v>1899</v>
      </c>
      <c r="NU30" s="7">
        <f>IFERROR(AVERAGEIF('Данные 2st'!$Q$2:$Q$317,$A30,'Данные 2st'!$IF$2:$IF$317),"")</f>
        <v>195</v>
      </c>
      <c r="NV30" s="7">
        <f>IFERROR(AVERAGEIF('Данные 2st'!$Q$2:$Q$317,$A30,'Данные 2st'!$IG$2:$IG$317),"")</f>
        <v>185</v>
      </c>
      <c r="NW30" s="7">
        <f>IFERROR(AVERAGEIF('Данные 2st'!$Q$2:$Q$317,$A30,'Данные 2st'!$IH$2:$IH$317),"")</f>
        <v>228</v>
      </c>
      <c r="NX30" s="7">
        <f>IFERROR(AVERAGEIF('Данные 2st'!$Q$2:$Q$317,$A30,'Данные 2st'!$IJ$2:$IJ$317),"")</f>
        <v>5</v>
      </c>
      <c r="NY30" s="7">
        <f>IFERROR(AVERAGEIF('Данные 2st'!$Q$2:$Q$317,$A30,'Данные 2st'!$IM$2:$IM$317),"")</f>
        <v>0</v>
      </c>
      <c r="NZ30" s="7">
        <f>IFERROR(AVERAGEIF('Данные 2st'!$Q$2:$Q$317,$A30,'Данные 2st'!$IN$2:$IN$317),"")</f>
        <v>270</v>
      </c>
      <c r="OA30" s="7">
        <f>IFERROR(AVERAGEIF('Данные 2st'!$Q$2:$Q$317,$A30,'Данные 2st'!$IO$2:$IO$317),"")</f>
        <v>0</v>
      </c>
      <c r="OB30" s="7">
        <f>IFERROR(AVERAGEIF('Данные 2st'!$Q$2:$Q$317,$A30,'Данные 2st'!$IP$2:$IP$317),"")</f>
        <v>180</v>
      </c>
      <c r="OC30" s="7">
        <f>IFERROR(AVERAGEIF('Данные 2st'!$Q$2:$Q$317,$A30,'Данные 2st'!$IQ$2:$IQ$317),"")</f>
        <v>0</v>
      </c>
      <c r="OD30" s="7">
        <f>IFERROR(AVERAGEIF('Данные 2st'!$Q$2:$Q$317,$A30,'Данные 2st'!$IR$2:$IR$317),"")</f>
        <v>325</v>
      </c>
      <c r="OE30" s="7">
        <f>IFERROR(AVERAGEIF('Данные 2st'!$Q$2:$Q$317,$A30,'Данные 2st'!$IT$2:$IT$317),"")</f>
        <v>90</v>
      </c>
      <c r="OF30" s="7">
        <f>IFERROR(AVERAGEIF('Данные 2st'!$Q$2:$Q$317,$A30,'Данные 2st'!$IU$2:$IU$317),"")</f>
        <v>0</v>
      </c>
      <c r="OG30" s="7">
        <f>IFERROR(AVERAGEIF('Данные 2st'!$Q$2:$Q$317,$A30,'Данные 2st'!$IV$2:$IV$317),"")</f>
        <v>6.4</v>
      </c>
      <c r="OH30" s="7">
        <f>IFERROR(AVERAGEIF('Данные 2st'!$Q$2:$Q$317,$A30,'Данные 2st'!$IW$2:$IW$317),"")</f>
        <v>-6</v>
      </c>
      <c r="OI30" s="7">
        <f>IFERROR(AVERAGEIF('Данные 2st'!$Q$2:$Q$317,$A30,'Данные 2st'!$IX$2:$IX$317),"")</f>
        <v>100</v>
      </c>
      <c r="OJ30" s="7">
        <f>IFERROR(AVERAGEIF('Данные 2st'!$Q$2:$Q$317,$A30,'Данные 2st'!$IY$2:$IY$317),"")</f>
        <v>70</v>
      </c>
      <c r="OK30" s="7">
        <f>IFERROR(AVERAGEIF('Данные 2st'!$Q$2:$Q$317,$A30,'Данные 2st'!$IZ$2:$IZ$317),"")</f>
        <v>0</v>
      </c>
      <c r="OL30" s="7">
        <f>IFERROR(AVERAGEIF('Данные 2st'!$Q$2:$Q$317,$A30,'Данные 2st'!$JA$2:$JA$317),"")</f>
        <v>0</v>
      </c>
      <c r="OM30" s="7">
        <f>IFERROR(AVERAGEIF('Данные 2st'!$Q$2:$Q$317,$A30,'Данные 2st'!$JB$2:$JB$317),"")</f>
        <v>0</v>
      </c>
      <c r="ON30" s="7">
        <f>IFERROR(AVERAGEIF('Данные 2st'!$Q$2:$Q$317,$A30,'Данные 2st'!$JC$2:$JC$317),"")</f>
        <v>0</v>
      </c>
      <c r="OO30" s="7">
        <f>IFERROR(AVERAGEIF('Данные 2st'!$Q$2:$Q$317,$A30,'Данные 2st'!$JD$2:$JD$317),"")</f>
        <v>0</v>
      </c>
      <c r="OP30" s="7">
        <f>IFERROR(AVERAGEIF('Данные 2st'!$Q$2:$Q$317,$A30,'Данные 2st'!$JE$2:$JE$317),"")</f>
        <v>0</v>
      </c>
      <c r="OQ30" s="7">
        <f>IFERROR(AVERAGEIF('Данные 2st'!$Q$2:$Q$317,$A30,'Данные 2st'!$JF$2:$JF$317),"")</f>
        <v>0</v>
      </c>
      <c r="OR30" s="7">
        <f>IFERROR(AVERAGEIF('Данные 2st'!$Q$2:$Q$317,$A30,'Данные 2st'!$JG$2:$JG$317),"")</f>
        <v>0</v>
      </c>
      <c r="OS30" s="7">
        <f>IFERROR(AVERAGEIF('Данные 2st'!$Q$2:$Q$317,$A30,'Данные 2st'!$JH$2:$JH$317),"")</f>
        <v>0</v>
      </c>
      <c r="OT30" s="7">
        <f>IFERROR(AVERAGEIF('Данные 2st'!$Q$2:$Q$317,$A30,'Данные 2st'!$JI$2:$JI$317),"")</f>
        <v>312</v>
      </c>
      <c r="OU30" s="7">
        <f>IFERROR(AVERAGEIF('Данные 2st'!$Q$2:$Q$317,$A30,'Данные 2st'!$JJ$2:$JJ$317),"")</f>
        <v>282</v>
      </c>
      <c r="OV30" s="7">
        <f>IFERROR(AVERAGEIF('Данные 2st'!$Q$2:$Q$317,$A30,'Данные 2st'!$JK$2:$JK$317),"")</f>
        <v>220</v>
      </c>
      <c r="OW30" s="7">
        <f>IFERROR(AVERAGEIF('Данные 2st'!$Q$2:$Q$317,$A30,'Данные 2st'!$JL$2:$JL$317),"")</f>
        <v>280</v>
      </c>
      <c r="OX30" s="7">
        <f>IFERROR(AVERAGEIF('Данные 2st'!$Q$2:$Q$317,$A30,'Данные 2st'!$JM$2:$JM$317),"")</f>
        <v>245</v>
      </c>
      <c r="OY30" s="7">
        <f>IFERROR(AVERAGEIF('Данные 2st'!$Q$2:$Q$317,$A30,'Данные 2st'!$JP$2:$JP$317),"")</f>
        <v>215</v>
      </c>
      <c r="OZ30" s="7">
        <f>IFERROR(AVERAGEIF('Данные 2st'!$Q$2:$Q$317,$A30,'Данные 2st'!$JQ$2:$JQ$317),"")</f>
        <v>255</v>
      </c>
      <c r="PA30" s="7">
        <f>IFERROR(AVERAGEIF('Данные 2st'!$Q$2:$Q$317,$A30,'Данные 2st'!$JR$2:$JR$317),"")</f>
        <v>300</v>
      </c>
      <c r="PB30" s="7">
        <f>IFERROR(AVERAGEIF('Данные 2st'!$Q$2:$Q$317,$A30,'Данные 2st'!$JS$2:$JS$317),"")</f>
        <v>270</v>
      </c>
      <c r="PC30" s="7">
        <f>IFERROR(AVERAGEIF('Данные 2st'!$Q$2:$Q$317,$A30,'Данные 2st'!$JT$2:$JT$317),"")</f>
        <v>0</v>
      </c>
      <c r="PD30" s="7">
        <f>IFERROR(AVERAGEIF('Данные 2st'!$Q$2:$Q$317,$A30,'Данные 2st'!$JU$2:$JU$317),"")</f>
        <v>0</v>
      </c>
      <c r="PE30" s="7">
        <f>IFERROR(AVERAGEIF('Данные 2st'!$Q$2:$Q$317,$A30,'Данные 2st'!$JV$2:$JV$317),"")</f>
        <v>290</v>
      </c>
      <c r="PF30" s="7">
        <f>IFERROR(AVERAGEIF('Данные 2st'!$Q$2:$Q$317,$A30,'Данные 2st'!$JW$2:$JW$317),"")</f>
        <v>287</v>
      </c>
      <c r="PG30" s="7">
        <f>IFERROR(AVERAGEIF('Данные 2st'!$Q$2:$Q$317,$A30,'Данные 2st'!$KF$2:$KF$317),"")</f>
        <v>0.17</v>
      </c>
      <c r="PH30" s="7">
        <f>IFERROR(AVERAGEIF('Данные 2st'!$Q$2:$Q$317,$A30,'Данные 2st'!$KG$2:$KG$317),"")</f>
        <v>0.1</v>
      </c>
      <c r="PI30" s="7">
        <f>IFERROR(AVERAGEIF('Данные 2st'!$Q$2:$Q$317,$A30,'Данные 2st'!$KM$2:$KM$317),"")</f>
        <v>1</v>
      </c>
      <c r="PJ30" s="7">
        <f>IFERROR(AVERAGEIF('Данные 2st'!$Q$2:$Q$317,$A30,'Данные 2st'!$KN$2:$KN$317),"")</f>
        <v>1.3</v>
      </c>
      <c r="PK30" s="7">
        <f>IFERROR(AVERAGEIF('Данные 2st'!$Q$2:$Q$317,$A30,'Данные 2st'!$KO$2:$KO$317),"")</f>
        <v>0</v>
      </c>
      <c r="PL30" s="7">
        <f>IFERROR(AVERAGEIF('Данные 2st'!$Q$2:$Q$317,$A30,'Данные 2st'!$KP$2:$KP$317),"")</f>
        <v>0</v>
      </c>
      <c r="PM30" s="7">
        <f>IFERROR(AVERAGEIF('Данные 2st'!$Q$2:$Q$317,$A30,'Данные 2st'!$KQ$2:$KQ$317),"")</f>
        <v>1</v>
      </c>
      <c r="PN30" s="7">
        <f>IFERROR(AVERAGEIF('Данные 2st'!$Q$2:$Q$317,$A30,'Данные 2st'!$KR$2:$KR$317),"")</f>
        <v>0.8</v>
      </c>
      <c r="PO30" s="7">
        <f>IFERROR(AVERAGEIF('Данные 2st'!$Q$2:$Q$317,$A30,'Данные 2st'!$KS$2:$KS$317),"")</f>
        <v>0</v>
      </c>
      <c r="PP30" s="7">
        <f>IFERROR(AVERAGEIF('Данные 2st'!$Q$2:$Q$317,$A30,'Данные 2st'!$KT$2:$KT$317),"")</f>
        <v>2.4</v>
      </c>
      <c r="PQ30" s="7">
        <f>IFERROR(AVERAGEIF('Данные 2st'!$Q$2:$Q$317,$A30,'Данные 2st'!$KU$2:$KU$317),"")</f>
        <v>0</v>
      </c>
      <c r="PR30" s="7">
        <f>IFERROR(AVERAGEIF('Данные 2st'!$Q$2:$Q$317,$A30,'Данные 2st'!$KV$2:$KV$317),"")</f>
        <v>0</v>
      </c>
      <c r="PS30" s="7">
        <f>IFERROR(AVERAGEIF('Данные 2st'!$Q$2:$Q$317,$A30,'Данные 2st'!$KW$2:$KW$317),"")</f>
        <v>1.2</v>
      </c>
      <c r="PT30" s="7">
        <f>IFERROR(AVERAGEIF('Данные 2st'!$Q$2:$Q$317,$A30,'Данные 2st'!$KX$2:$KX$317),"")</f>
        <v>2</v>
      </c>
      <c r="PU30" s="7">
        <f>IFERROR(AVERAGEIF('Данные 2st'!$Q$2:$Q$317,$A30,'Данные 2st'!$KY$2:$KY$317),"")</f>
        <v>0</v>
      </c>
      <c r="PV30" s="7">
        <f>IFERROR(AVERAGEIF('Данные 2st'!$Q$2:$Q$317,$A30,'Данные 2st'!$KZ$2:$KZ$317),"")</f>
        <v>0</v>
      </c>
      <c r="PW30" s="7">
        <f>IFERROR(AVERAGEIF('Данные 2st'!$Q$2:$Q$317,$A30,'Данные 2st'!$LA$2:$LA$317),"")</f>
        <v>0</v>
      </c>
      <c r="PX30" s="7">
        <f>IFERROR(AVERAGEIF('Данные 2st'!$Q$2:$Q$317,$A30,'Данные 2st'!$LB$2:$LB$317),"")</f>
        <v>0</v>
      </c>
      <c r="PY30" s="7">
        <f>IFERROR(AVERAGEIF('Данные 2st'!$Q$2:$Q$317,$A30,'Данные 2st'!$LC$2:$LC$317),"")</f>
        <v>0</v>
      </c>
      <c r="PZ30" s="7">
        <f>IFERROR(AVERAGEIF('Данные 2st'!$Q$2:$Q$317,$A30,'Данные 2st'!$LD$2:$LD$317),"")</f>
        <v>0</v>
      </c>
      <c r="QA30" s="7">
        <f>IFERROR(AVERAGEIF('Данные 2st'!$Q$2:$Q$317,$A30,'Данные 2st'!$LE$2:$LE$317),"")</f>
        <v>0</v>
      </c>
      <c r="QB30" s="7">
        <f>IFERROR(AVERAGEIF('Данные 2st'!$Q$2:$Q$317,$A30,'Данные 2st'!$LF$2:$LF$317),"")</f>
        <v>0</v>
      </c>
      <c r="QC30" s="7">
        <f>IFERROR(AVERAGEIF('Данные 2st'!$Q$2:$Q$317,$A30,'Данные 2st'!$LG$2:$LG$317),"")</f>
        <v>0</v>
      </c>
      <c r="QD30" s="7">
        <f>IFERROR(AVERAGEIF('Данные 2st'!$Q$2:$Q$317,$A30,'Данные 2st'!$LH$2:$LH$317),"")</f>
        <v>3</v>
      </c>
      <c r="QE30" s="7">
        <f>IFERROR(AVERAGEIF('Данные 2st'!$Q$2:$Q$317,$A30,'Данные 2st'!$LJ$2:$LJ$317),"")</f>
        <v>0</v>
      </c>
      <c r="QF30" s="7">
        <f>IFERROR(AVERAGEIF('Данные 2st'!$Q$2:$Q$317,$A30,'Данные 2st'!$LK$2:$LK$317),"")</f>
        <v>3</v>
      </c>
      <c r="QG30" s="7">
        <f>IFERROR(AVERAGEIF('Данные 2st'!$Q$2:$Q$317,$A30,'Данные 2st'!$LL$2:$LL$317),"")</f>
        <v>4</v>
      </c>
      <c r="QH30" s="7">
        <f>IFERROR(AVERAGEIF('Данные 2st'!$Q$2:$Q$317,$A30,'Данные 2st'!$LM$2:$LM$317),"")</f>
        <v>4</v>
      </c>
      <c r="QI30" s="7">
        <f>IFERROR(AVERAGEIF('Данные 2st'!$Q$2:$Q$317,$A30,'Данные 2st'!$LN$2:$LN$317),"")</f>
        <v>0.5</v>
      </c>
      <c r="QJ30" s="7">
        <f>IFERROR(AVERAGEIF('Данные 2st'!$Q$2:$Q$317,$A30,'Данные 2st'!$LO$2:$LO$317),"")</f>
        <v>1</v>
      </c>
      <c r="QK30" s="7">
        <f>IFERROR(AVERAGEIF('Данные 2st'!$Q$2:$Q$317,$A30,'Данные 2st'!$LP$2:$LP$317),"")</f>
        <v>0</v>
      </c>
      <c r="QL30" s="7">
        <f>IFERROR(AVERAGEIF('Данные 2st'!$Q$2:$Q$317,$A30,'Данные 2st'!$LQ$2:$LQ$317),"")</f>
        <v>0</v>
      </c>
      <c r="QM30" s="7">
        <f>IFERROR(AVERAGEIF('Данные 2st'!$Q$2:$Q$317,$A30,'Данные 2st'!$LW$2:$LW$317),"")</f>
        <v>1.4</v>
      </c>
      <c r="QN30" s="7">
        <f>IFERROR(AVERAGEIF('Данные 2st'!$Q$2:$Q$317,$A30,'Данные 2st'!$LX$2:$LX$317),"")</f>
        <v>1.4</v>
      </c>
      <c r="QO30" s="7">
        <f>IFERROR(AVERAGEIF('Данные 2st'!$Q$2:$Q$317,$A30,'Данные 2st'!$LY$2:$LY$317),"")</f>
        <v>2.1</v>
      </c>
      <c r="QP30" s="7">
        <f>IFERROR(AVERAGEIF('Данные 2st'!$Q$2:$Q$317,$A30,'Данные 2st'!$LZ$2:$LZ$317),"")</f>
        <v>2.1</v>
      </c>
      <c r="QQ30" s="7">
        <f>IFERROR(AVERAGEIF('Данные 2st'!$Q$2:$Q$317,$A30,'Данные 2st'!$MB$2:$MB$317),"")</f>
        <v>0</v>
      </c>
      <c r="QR30" s="7">
        <f>IFERROR(AVERAGEIF('Данные 2st'!$Q$2:$Q$317,$A30,'Данные 2st'!$MG$2:$MG$317),"")</f>
        <v/>
      </c>
      <c r="QS30" s="7">
        <f>IFERROR(AVERAGEIF('Данные 2st'!$Q$2:$Q$317,$A30,'Данные 2st'!$MH$2:$MH$317),"")</f>
        <v/>
      </c>
      <c r="QT30" s="7">
        <f>IFERROR(AVERAGEIF('Данные 2st'!$Q$2:$Q$317,$A30,'Данные 2st'!$MI$2:$MI$317),"")</f>
        <v>0</v>
      </c>
      <c r="QU30" s="7">
        <f>IFERROR(AVERAGEIF('Данные 2st'!$Q$2:$Q$317,$A30,'Данные 2st'!$MJ$2:$MJ$317),"")</f>
        <v>0</v>
      </c>
      <c r="QV30" s="7">
        <f>IFERROR(AVERAGEIF('Данные 2st'!$Q$2:$Q$317,$A30,'Данные 2st'!$MK$2:$MK$317),"")</f>
        <v/>
      </c>
      <c r="QW30" s="7">
        <f>IFERROR(AVERAGEIF('Данные 2st'!$Q$2:$Q$317,$A30,'Данные 2st'!$MM$2:$MM$317),"")</f>
        <v>358</v>
      </c>
      <c r="QX30" s="7">
        <f>IFERROR(AVERAGEIF('Данные 2st'!$Q$2:$Q$317,$A30,'Данные 2st'!$MQ$2:$MQ$317),"")</f>
        <v/>
      </c>
      <c r="QY30" s="7">
        <f>IFERROR(AVERAGEIF('Данные 2st'!$Q$2:$Q$317,$A30,'Данные 2st'!$MR$2:$MR$317),"")</f>
        <v/>
      </c>
      <c r="QZ30" s="7">
        <f>IFERROR(AVERAGEIF('Данные 2st'!$Q$2:$Q$317,$A30,'Данные 2st'!$MS$2:$MS$317),"")</f>
        <v/>
      </c>
      <c r="RA30" s="7">
        <f>IFERROR(AVERAGEIF('Данные 2st'!$Q$2:$Q$317,$A30,'Данные 2st'!$MT$2:$MT$317),"")</f>
        <v/>
      </c>
      <c r="RB30" s="7">
        <f>IFERROR(AVERAGEIF('Данные 2st'!$Q$2:$Q$317,$A30,'Данные 2st'!$MU$2:$MU$317),"")</f>
        <v/>
      </c>
      <c r="RC30" s="7">
        <f>IFERROR(AVERAGEIF('Данные 2st'!$Q$2:$Q$317,$A30,'Данные 2st'!$MV$2:$MV$317),"")</f>
        <v/>
      </c>
      <c r="RD30" s="7">
        <f>IFERROR(AVERAGEIF('Данные 2st'!$Q$2:$Q$317,$A30,'Данные 2st'!$MW$2:$MW$317),"")</f>
        <v/>
      </c>
      <c r="RE30" s="7">
        <f>IFERROR(AVERAGEIF('Данные 2st'!$Q$2:$Q$317,$A30,'Данные 2st'!$MX$2:$MX$317),"")</f>
        <v/>
      </c>
      <c r="RF30" s="7">
        <f>IFERROR(AVERAGEIF('Данные 2st'!$Q$2:$Q$317,$A30,'Данные 2st'!$MY$2:$MY$317),"")</f>
        <v/>
      </c>
      <c r="RG30" s="7">
        <f>IFERROR(AVERAGEIF('Данные 2st'!$Q$2:$Q$317,$A30,'Данные 2st'!$MZ$2:$MZ$317),"")</f>
        <v/>
      </c>
      <c r="RH30" s="7">
        <f>IFERROR(AVERAGEIF('Данные 2st'!$Q$2:$Q$317,$A30,'Данные 2st'!$NA$2:$NA$317),"")</f>
        <v/>
      </c>
      <c r="RI30" s="7">
        <f>IFERROR(AVERAGEIF('Данные 2st'!$Q$2:$Q$317,$A30,'Данные 2st'!$NB$2:$NB$317),"")</f>
        <v/>
      </c>
      <c r="RJ30" s="7">
        <f>IFERROR(AVERAGEIF('Данные 2st'!$Q$2:$Q$317,$A30,'Данные 2st'!$NC$2:$NC$317),"")</f>
        <v/>
      </c>
      <c r="RK30" s="7">
        <f>IFERROR(AVERAGEIF('Данные 2st'!$Q$2:$Q$317,$A30,'Данные 2st'!$ND$2:$ND$317),"")</f>
        <v/>
      </c>
      <c r="RL30" s="7">
        <f>IFERROR(AVERAGEIF('Данные 2st'!$Q$2:$Q$317,$A30,'Данные 2st'!$NE$2:$NE$317),"")</f>
        <v/>
      </c>
      <c r="RM30" s="7">
        <f>IFERROR(AVERAGEIF('Данные 2st'!$Q$2:$Q$317,$A30,'Данные 2st'!$NF$2:$NF$317),"")</f>
        <v/>
      </c>
      <c r="RN30" s="7">
        <f>IFERROR(AVERAGEIF('Данные 2st'!$Q$2:$Q$317,$A30,'Данные 2st'!$NG$2:$NG$317),"")</f>
        <v/>
      </c>
      <c r="RO30" s="7">
        <f>IFERROR(AVERAGEIF('Данные 2st'!$Q$2:$Q$317,$A30,'Данные 2st'!$NH$2:$NH$317),"")</f>
        <v/>
      </c>
      <c r="RP30" s="7">
        <f>IFERROR(AVERAGEIF('Данные 2st'!$Q$2:$Q$317,$A30,'Данные 2st'!$NJ$2:$NJ$317),"")</f>
        <v/>
      </c>
      <c r="RQ30" s="7">
        <f>IFERROR(AVERAGEIF('Данные 2st'!$Q$2:$Q$317,$A30,'Данные 2st'!$NK$2:$NK$317),"")</f>
        <v/>
      </c>
      <c r="RR30" s="7">
        <f>IFERROR(AVERAGEIF('Данные 2st'!$Q$2:$Q$317,$A30,'Данные 2st'!$NM$2:$NM$317),"")</f>
        <v/>
      </c>
      <c r="RS30" s="7">
        <f>IFERROR(AVERAGEIF('Данные 2st'!$Q$2:$Q$317,$A30,'Данные 2st'!$NN$2:$NN$317),"")</f>
        <v/>
      </c>
      <c r="RT30" s="7">
        <f>IFERROR(AVERAGEIF('Данные 2st'!$Q$2:$Q$317,$A30,'Данные 2st'!$NO$2:$NO$317),"")</f>
        <v/>
      </c>
      <c r="RU30" s="7">
        <f>IFERROR(AVERAGEIF('Данные 2st'!$Q$2:$Q$317,$A30,'Данные 2st'!$NP$2:$NP$317),"")</f>
        <v/>
      </c>
      <c r="RV30" s="7">
        <f>IFERROR(AVERAGEIF('Данные 2st'!$Q$2:$Q$317,$A30,'Данные 2st'!$NQ$2:$NQ$317),"")</f>
        <v/>
      </c>
      <c r="RW30" s="7">
        <f>IFERROR(AVERAGEIF('Данные 2st'!$Q$2:$Q$317,$A30,'Данные 2st'!$NR$2:$NR$317),"")</f>
        <v/>
      </c>
      <c r="RX30" s="7">
        <f>IFERROR(AVERAGEIF('Данные 2st'!$Q$2:$Q$317,$A30,'Данные 2st'!$NS$2:$NS$317),"")</f>
        <v/>
      </c>
      <c r="RY30" s="7">
        <f>IFERROR(AVERAGEIF('Данные 2st'!$Q$2:$Q$317,$A30,'Данные 2st'!$NT$2:$NT$317),"")</f>
        <v/>
      </c>
      <c r="RZ30" s="7">
        <f>IFERROR(AVERAGEIF('Данные 2st'!$Q$2:$Q$317,$A30,'Данные 2st'!$OK$2:$OK$317),"")</f>
        <v>61</v>
      </c>
      <c r="SA30" s="7">
        <f>IFERROR(AVERAGEIF('Данные 2st'!$Q$2:$Q$317,$A30,'Данные 2st'!$OL$2:$OL$317),"")</f>
        <v>61</v>
      </c>
      <c r="SB30" s="7">
        <f>IFERROR(AVERAGEIF('Данные 2st'!$Q$2:$Q$317,$A30,'Данные 2st'!$ON$2:$ON$317),"")</f>
        <v>3</v>
      </c>
      <c r="SC30" s="7">
        <f>IFERROR(AVERAGEIF('Данные 2st'!$Q$2:$Q$317,$A30,'Данные 2st'!$OO$2:$OO$317),"")</f>
        <v>1858</v>
      </c>
      <c r="SD30" s="7">
        <f>IFERROR(AVERAGEIF('Данные 2st'!$Q$2:$Q$317,$A30,'Данные 2st'!$OP$2:$OP$317),"")</f>
        <v>61</v>
      </c>
      <c r="SE30" s="7">
        <f>IFERROR(AVERAGEIF('Данные 2st'!$Q$2:$Q$317,$A30,'Данные 2st'!$OQ$2:$OQ$317),"")</f>
        <v>61</v>
      </c>
      <c r="SF30" s="7">
        <f>IFERROR(AVERAGEIF('Данные 2st'!$Q$2:$Q$317,$A30,'Данные 2st'!$OS$2:$OS$317),"")</f>
        <v>3</v>
      </c>
      <c r="SG30" s="7">
        <f>IFERROR(AVERAGEIF('Данные 2st'!$Q$2:$Q$317,$A30,'Данные 2st'!$OT$2:$OT$317),"")</f>
        <v>1865</v>
      </c>
      <c r="SH30" s="7">
        <f>IFERROR(AVERAGEIF('Данные 2st'!$Q$2:$Q$317,$A30,'Данные 2st'!$OU$2:$OU$317),"")</f>
        <v>65</v>
      </c>
      <c r="SI30" s="7">
        <f>IFERROR(AVERAGEIF('Данные 2st'!$Q$2:$Q$317,$A30,'Данные 2st'!$OV$2:$OV$317),"")</f>
        <v>65</v>
      </c>
      <c r="SJ30" s="7">
        <f>IFERROR(AVERAGEIF('Данные 2st'!$Q$2:$Q$317,$A30,'Данные 2st'!$OX$2:$OX$317),"")</f>
        <v>2</v>
      </c>
      <c r="SK30" s="7">
        <f>IFERROR(AVERAGEIF('Данные 2st'!$Q$2:$Q$317,$A30,'Данные 2st'!$OY$2:$OY$317),"")</f>
        <v>39672</v>
      </c>
      <c r="SL30" s="7">
        <f>IFERROR(AVERAGEIF('Данные 2st'!$Q$2:$Q$317,$A30,'Данные 2st'!$OZ$2:$OZ$317),"")</f>
        <v>51</v>
      </c>
      <c r="SM30" s="7">
        <f>IFERROR(AVERAGEIF('Данные 2st'!$Q$2:$Q$317,$A30,'Данные 2st'!$PA$2:$PA$317),"")</f>
        <v>52</v>
      </c>
      <c r="SN30" s="7">
        <f>IFERROR(AVERAGEIF('Данные 2st'!$Q$2:$Q$317,$A30,'Данные 2st'!$PC$2:$PC$317),"")</f>
        <v>1</v>
      </c>
      <c r="SO30" s="7">
        <f>IFERROR(AVERAGEIF('Данные 2st'!$Q$2:$Q$317,$A30,'Данные 2st'!$PD$2:$PD$317),"")</f>
        <v>1899</v>
      </c>
      <c r="SP30" s="7">
        <f>IFERROR(AVERAGEIF('Данные 2st'!$Q$2:$Q$317,$A30,'Данные 2st'!$PF$2:$PF$317),"")</f>
        <v>356</v>
      </c>
      <c r="SQ30" s="7">
        <f>IFERROR(AVERAGEIF('Данные 2st'!$Q$2:$Q$317,$A30,'Данные 2st'!$PG$2:$PG$317),"")</f>
        <v>29</v>
      </c>
      <c r="SR30" s="7">
        <f>IFERROR(AVERAGEIF('Данные 2st'!$Q$2:$Q$317,$A30,'Данные 2st'!$PH$2:$PH$317),"")</f>
        <v>338</v>
      </c>
      <c r="SS30" s="7">
        <f>IFERROR(AVERAGEIF('Данные 2st'!$Q$2:$Q$317,$A30,'Данные 2st'!$PI$2:$PI$317),"")</f>
        <v>29</v>
      </c>
      <c r="ST30" s="7">
        <f>IFERROR(AVERAGEIF('Данные 2st'!$Q$2:$Q$317,$A30,'Данные 2st'!$PJ$2:$PJ$317),"")</f>
        <v>88.6</v>
      </c>
      <c r="SU30" s="7">
        <f>IFERROR(AVERAGEIF('Данные 2st'!$Q$2:$Q$317,$A30,'Данные 2st'!$PK$2:$PK$317),"")</f>
        <v>2222</v>
      </c>
      <c r="SV30" s="7">
        <f>IFERROR(AVERAGEIF('Данные 2st'!$Q$2:$Q$317,$A30,'Данные 2st'!$PL$2:$PL$317),"")</f>
        <v>1038.8</v>
      </c>
      <c r="SW30" s="7">
        <f>IFERROR(AVERAGEIF('Данные 2st'!$Q$2:$Q$317,$A30,'Данные 2st'!$PM$2:$PM$317),"")</f>
        <v>1051.2</v>
      </c>
      <c r="SX30" s="7">
        <f>IFERROR(AVERAGEIF('Данные 2st'!$Q$2:$Q$317,$A30,'Данные 2st'!$PN$2:$PN$317),"")</f>
        <v>95.2</v>
      </c>
      <c r="SY30" s="7">
        <f>IFERROR(AVERAGEIF('Данные 2st'!$Q$2:$Q$317,$A30,'Данные 2st'!$PO$2:$PO$317),"")</f>
        <v>9.9</v>
      </c>
      <c r="SZ30" s="7">
        <f>IFERROR(AVERAGEIF('Данные 2st'!$Q$2:$Q$317,$A30,'Данные 2st'!$PP$2:$PP$317),"")</f>
        <v>12</v>
      </c>
      <c r="TA30" s="7">
        <f>IFERROR(AVERAGEIF('Данные 2st'!$Q$2:$Q$317,$A30,'Данные 2st'!$PQ$2:$PQ$317),"")</f>
        <v>2</v>
      </c>
      <c r="TB30" s="7">
        <f>IFERROR(AVERAGEIF('Данные 2st'!$Q$2:$Q$317,$A30,'Данные 2st'!$PR$2:$PR$317),"")</f>
        <v>1</v>
      </c>
      <c r="TC30" s="7">
        <f>IFERROR(AVERAGEIF('Данные 2st'!$Q$2:$Q$317,$A30,'Данные 2st'!$PS$2:$PS$317),"")</f>
        <v>7</v>
      </c>
      <c r="TD30" s="7">
        <f>IFERROR(AVERAGEIF('Данные 2st'!$Q$2:$Q$317,$A30,'Данные 2st'!$PT$2:$PT$317),"")</f>
        <v>228</v>
      </c>
      <c r="TE30" s="7">
        <f>IFERROR(AVERAGEIF('Данные 2st'!$Q$2:$Q$317,$A30,'Данные 2st'!$PU$2:$PU$317),"")</f>
        <v>9</v>
      </c>
      <c r="TF30" s="7">
        <f>IFERROR(AVERAGEIF('Данные 2st'!$Q$2:$Q$317,$A30,'Данные 2st'!$PX$2:$PX$317),"")</f>
        <v>0</v>
      </c>
      <c r="TG30" s="7">
        <f>IFERROR(AVERAGEIF('Данные 2st'!$Q$2:$Q$317,$A30,'Данные 2st'!$PY$2:$PY$317),"")</f>
        <v>0</v>
      </c>
      <c r="TH30" s="7">
        <f>IFERROR(AVERAGEIF('Данные 2st'!$Q$2:$Q$317,$A30,'Данные 2st'!$PZ$2:$PZ$317),"")</f>
        <v>0</v>
      </c>
      <c r="TI30" s="7">
        <f>IFERROR(AVERAGEIF('Данные 2st'!$Q$2:$Q$317,$A30,'Данные 2st'!$QA$2:$QA$317),"")</f>
        <v>0</v>
      </c>
      <c r="TJ30" s="7">
        <f>IFERROR(AVERAGEIF('Данные 2st'!$Q$2:$Q$317,$A30,'Данные 2st'!$QB$2:$QB$317),"")</f>
        <v>0</v>
      </c>
      <c r="TK30" s="7">
        <f>IFERROR(AVERAGEIF('Данные 2st'!$Q$2:$Q$317,$A30,'Данные 2st'!$QC$2:$QC$317),"")</f>
        <v>0</v>
      </c>
      <c r="TL30" s="7">
        <f>IFERROR(AVERAGEIF('Данные 2st'!$Q$2:$Q$317,$A30,'Данные 2st'!$QD$2:$QD$317),"")</f>
        <v>0</v>
      </c>
      <c r="TM30" s="7">
        <f>IFERROR(AVERAGEIF('Данные 2st'!$Q$2:$Q$317,$A30,'Данные 2st'!$QE$2:$QE$317),"")</f>
        <v>-1</v>
      </c>
      <c r="TN30" s="7">
        <f>IFERROR(AVERAGEIF('Данные 2st'!$Q$2:$Q$317,$A30,'Данные 2st'!$QF$2:$QF$317),"")</f>
        <v>1</v>
      </c>
      <c r="TO30" s="7">
        <f>IFERROR(AVERAGEIF('Данные 2st'!$Q$2:$Q$317,$A30,'Данные 2st'!$QG$2:$QG$317),"")</f>
        <v>0</v>
      </c>
      <c r="TP30" s="7">
        <f>IFERROR(AVERAGEIF('Данные 2st'!$Q$2:$Q$317,$A30,'Данные 2st'!$QH$2:$QH$317),"")</f>
        <v>5</v>
      </c>
      <c r="TQ30" s="7">
        <f>IFERROR(AVERAGEIF('Данные 2st'!$Q$2:$Q$317,$A30,'Данные 2st'!$QI$2:$QI$317),"")</f>
        <v>5</v>
      </c>
      <c r="TR30" s="7">
        <f>IFERROR(AVERAGEIF('Данные 2st'!$Q$2:$Q$317,$A30,'Данные 2st'!$QJ$2:$QJ$317),"")</f>
        <v>5</v>
      </c>
      <c r="TS30" s="7">
        <f>IFERROR(AVERAGEIF('Данные 2st'!$Q$2:$Q$317,$A30,'Данные 2st'!$QK$2:$QK$317),"")</f>
        <v>150</v>
      </c>
      <c r="TT30" s="7">
        <f>IFERROR(AVERAGEIF('Данные 2st'!$Q$2:$Q$317,$A30,'Данные 2st'!$QL$2:$QL$317),"")</f>
        <v>346</v>
      </c>
      <c r="TU30" s="7">
        <f>IFERROR(AVERAGEIF('Данные 2st'!$Q$2:$Q$317,$A30,'Данные 2st'!$QM$2:$QM$317),"")</f>
        <v>7.5</v>
      </c>
      <c r="TV30" s="7">
        <f>IFERROR(AVERAGEIF('Данные 2st'!$Q$2:$Q$317,$A30,'Данные 2st'!$QN$2:$QN$317),"")</f>
        <v>1459.5</v>
      </c>
      <c r="TW30" s="7">
        <f>IFERROR(AVERAGEIF('Данные 2st'!$Q$2:$Q$317,$A30,'Данные 2st'!$QQ$2:$QQ$317),"")</f>
        <v>0</v>
      </c>
      <c r="TX30" s="7">
        <f>IFERROR(AVERAGEIF('Данные 2st'!$Q$2:$Q$317,$A30,'Данные 2st'!$QS$2:$QS$317),"")</f>
        <v>30</v>
      </c>
      <c r="TY30" s="7">
        <f>IFERROR(AVERAGEIF('Данные 2st'!$Q$2:$Q$317,$A30,'Данные 2st'!$QT$2:$QT$317),"")</f>
        <v>40</v>
      </c>
    </row>
    <row r="31" spans="1:545" ht="32" customHeight="1">
      <c r="A31" s="11" t="s">
        <v>742</v>
      </c>
      <c r="B31">
        <f>COUNTIF('Данные 1st'!$S$2:$S$317,$A31)</f>
        <v>8</v>
      </c>
      <c r="C31" s="6" t="s">
        <v>5096</v>
      </c>
      <c r="D31" s="6" t="s">
        <v>513</v>
      </c>
      <c r="E31" s="6" t="s">
        <v>5125</v>
      </c>
      <c r="F31" s="6" t="s">
        <v>5152</v>
      </c>
      <c r="G31" s="7">
        <f>IFERROR(AVERAGEIF('Данные 1st'!$S$2:$S$317,$A31,'Данные 1st'!$AE$2:$AE$317),"")</f>
        <v>164.875</v>
      </c>
      <c r="H31" s="7">
        <f>IFERROR(AVERAGEIF('Данные 1st'!$S$2:$S$317,$A31,'Данные 1st'!$AF$2:$AF$317),"")</f>
        <v>1.5</v>
      </c>
      <c r="I31" s="7">
        <f>IFERROR(AVERAGEIF('Данные 1st'!$S$2:$S$317,$A31,'Данные 1st'!$AJ$2:$AJ$317),"")</f>
        <v>172.1875</v>
      </c>
      <c r="J31" s="7">
        <f>IFERROR(AVERAGEIF('Данные 1st'!$S$2:$S$317,$A31,'Данные 1st'!$AL$2:$AL$317),"")</f>
        <v>1.5</v>
      </c>
      <c r="K31" s="7">
        <f>IFERROR(AVERAGEIF('Данные 1st'!$S$2:$S$317,$A31,'Данные 1st'!$AR$2:$AR$317),"")</f>
        <v>25</v>
      </c>
      <c r="L31" s="7">
        <f>IFERROR(AVERAGEIF('Данные 1st'!$S$2:$S$317,$A31,'Данные 1st'!$AS$2:$AS$317),"")</f>
        <v>1.5</v>
      </c>
      <c r="M31" s="7">
        <f>IFERROR(AVERAGEIF('Данные 1st'!$S$2:$S$317,$A31,'Данные 1st'!$AY$2:$AY$317),"")</f>
        <v>263.125</v>
      </c>
      <c r="N31" s="7">
        <f>IFERROR(AVERAGEIF('Данные 1st'!$S$2:$S$317,$A31,'Данные 1st'!$AZ$2:$AZ$317),"")</f>
        <v>1.5</v>
      </c>
      <c r="O31" s="7">
        <f>IFERROR(AVERAGEIF('Данные 1st'!$S$2:$S$317,$A31,'Данные 1st'!$BF$2:$BF$317),"")</f>
        <v/>
      </c>
      <c r="P31" s="7">
        <f>IFERROR(AVERAGEIF('Данные 1st'!$S$2:$S$317,$A31,'Данные 1st'!$BG$2:$BG$317),"")</f>
        <v>1.5</v>
      </c>
      <c r="Q31" s="7">
        <f>IFERROR(AVERAGEIF('Данные 1st'!$S$2:$S$317,$A31,'Данные 1st'!$BM$2:$BM$317),"")</f>
        <v/>
      </c>
      <c r="R31" s="7">
        <f>IFERROR(AVERAGEIF('Данные 1st'!$S$2:$S$317,$A31,'Данные 1st'!$BN$2:$BN$317),"")</f>
        <v>1.5</v>
      </c>
      <c r="S31" s="7">
        <f>IFERROR(AVERAGEIF('Данные 1st'!$S$2:$S$317,$A31,'Данные 1st'!$BT$2:$BT$317),"")</f>
        <v>184.25</v>
      </c>
      <c r="T31" s="7">
        <f>IFERROR(AVERAGEIF('Данные 1st'!$S$2:$S$317,$A31,'Данные 1st'!$BU$2:$BU$317),"")</f>
        <v>0.5</v>
      </c>
      <c r="U31" s="7">
        <f>IFERROR(AVERAGEIF('Данные 1st'!$S$2:$S$317,$A31,'Данные 1st'!$BW$2:$BW$317),"")</f>
        <v>368.5</v>
      </c>
      <c r="V31" s="7">
        <f>IFERROR(AVERAGEIF('Данные 1st'!$S$2:$S$317,$A31,'Данные 1st'!$BX$2:$BX$317),"")</f>
        <v>1</v>
      </c>
      <c r="W31" s="7">
        <f>IFERROR(AVERAGEIF('Данные 1st'!$S$2:$S$317,$A31,'Данные 1st'!$BZ$2:$BZ$317),"")</f>
        <v>300</v>
      </c>
      <c r="X31" s="7">
        <f>IFERROR(AVERAGEIF('Данные 1st'!$S$2:$S$317,$A31,'Данные 1st'!$CA$2:$CA$317),"")</f>
        <v>440</v>
      </c>
      <c r="Y31" s="7">
        <f>IFERROR(AVERAGEIF('Данные 1st'!$S$2:$S$317,$A31,'Данные 1st'!$CD$2:$CD$317),"")</f>
        <v>389.5</v>
      </c>
      <c r="Z31" s="7">
        <f>IFERROR(AVERAGEIF('Данные 1st'!$S$2:$S$317,$A31,'Данные 1st'!$CF$2:$CF$317),"")</f>
        <v>15</v>
      </c>
      <c r="AA31" s="7">
        <f>IFERROR(AVERAGEIF('Данные 1st'!$S$2:$S$317,$A31,'Данные 1st'!$CI$2:$CI$317),"")</f>
        <v>70</v>
      </c>
      <c r="AB31" s="7">
        <f>IFERROR(AVERAGEIF('Данные 1st'!$S$2:$S$317,$A31,'Данные 1st'!$CJ$2:$CJ$317),"")</f>
        <v>1301</v>
      </c>
      <c r="AC31" s="7">
        <f>IFERROR(AVERAGEIF('Данные 1st'!$S$2:$S$317,$A31,'Данные 1st'!$CK$2:$CK$317),"")</f>
        <v>2</v>
      </c>
      <c r="AD31" s="7">
        <f>IFERROR(AVERAGEIF('Данные 1st'!$S$2:$S$317,$A31,'Данные 1st'!$CL$2:$CL$317),"")</f>
        <v>1395</v>
      </c>
      <c r="AE31" s="7">
        <f>IFERROR(AVERAGEIF('Данные 1st'!$S$2:$S$317,$A31,'Данные 1st'!$CM$2:$CM$317),"")</f>
        <v>2</v>
      </c>
      <c r="AF31" s="7">
        <f>IFERROR(AVERAGEIF('Данные 1st'!$S$2:$S$317,$A31,'Данные 1st'!$CT$2:$CT$317),"")</f>
        <v>344.375</v>
      </c>
      <c r="AG31" s="7">
        <f>IFERROR(AVERAGEIF('Данные 1st'!$S$2:$S$317,$A31,'Данные 1st'!$CU$2:$CU$317),"")</f>
        <v>5</v>
      </c>
      <c r="AH31" s="7">
        <f>IFERROR(AVERAGEIF('Данные 1st'!$S$2:$S$317,$A31,'Данные 1st'!$CV$2:$CV$317),"")</f>
        <v>1.2125</v>
      </c>
      <c r="AI31" s="7">
        <f>IFERROR(AVERAGEIF('Данные 1st'!$S$2:$S$317,$A31,'Данные 1st'!$CW$2:$CW$317),"")</f>
        <v>1314.625</v>
      </c>
      <c r="AJ31" s="7">
        <f>IFERROR(AVERAGEIF('Данные 1st'!$S$2:$S$317,$A31,'Данные 1st'!$CX$2:$CX$317),"")</f>
        <v>646.875</v>
      </c>
      <c r="AK31" s="7">
        <f>IFERROR(AVERAGEIF('Данные 1st'!$S$2:$S$317,$A31,'Данные 1st'!$CZ$2:$CZ$317),"")</f>
        <v>50</v>
      </c>
      <c r="AL31" s="7">
        <f>IFERROR(AVERAGEIF('Данные 1st'!$S$2:$S$317,$A31,'Данные 1st'!$DA$2:$DA$317),"")</f>
        <v>3</v>
      </c>
      <c r="AM31" s="7">
        <f>IFERROR(AVERAGEIF('Данные 1st'!$S$2:$S$317,$A31,'Данные 1st'!$DB$2:$DB$317),"")</f>
        <v>1</v>
      </c>
      <c r="AN31" s="7">
        <f>IFERROR(AVERAGEIF('Данные 1st'!$S$2:$S$317,$A31,'Данные 1st'!$DC$2:$DC$317),"")</f>
        <v>1319</v>
      </c>
      <c r="AO31" s="7">
        <f>IFERROR(AVERAGEIF('Данные 1st'!$S$2:$S$317,$A31,'Данные 1st'!$DD$2:$DD$317),"")</f>
        <v>8.625</v>
      </c>
      <c r="AP31" s="7">
        <f>IFERROR(AVERAGEIF('Данные 1st'!$S$2:$S$317,$A31,'Данные 1st'!$DF$2:$DF$317),"")</f>
        <v>526.25</v>
      </c>
      <c r="AQ31" s="7">
        <f>IFERROR(AVERAGEIF('Данные 1st'!$S$2:$S$317,$A31,'Данные 1st'!$DG$2:$DG$317),"")</f>
        <v>3</v>
      </c>
      <c r="AR31" s="7">
        <f>IFERROR(AVERAGEIF('Данные 1st'!$S$2:$S$317,$A31,'Данные 1st'!$DH$2:$DH$317),"")</f>
        <v>1.1099999999999999</v>
      </c>
      <c r="AS31" s="7">
        <f>IFERROR(AVERAGEIF('Данные 1st'!$S$2:$S$317,$A31,'Данные 1st'!$DI$2:$DI$317),"")</f>
        <v>1311.875</v>
      </c>
      <c r="AT31" s="7">
        <f>IFERROR(AVERAGEIF('Данные 1st'!$S$2:$S$317,$A31,'Данные 1st'!$DJ$2:$DJ$317),"")</f>
        <v>1058.25</v>
      </c>
      <c r="AU31" s="7">
        <f>IFERROR(AVERAGEIF('Данные 1st'!$S$2:$S$317,$A31,'Данные 1st'!$DL$2:$DL$317),"")</f>
        <v/>
      </c>
      <c r="AV31" s="7">
        <f>IFERROR(AVERAGEIF('Данные 1st'!$S$2:$S$317,$A31,'Данные 1st'!$DM$2:$DM$317),"")</f>
        <v/>
      </c>
      <c r="AW31" s="7">
        <f>IFERROR(AVERAGEIF('Данные 1st'!$S$2:$S$317,$A31,'Данные 1st'!$DN$2:$DN$317),"")</f>
        <v/>
      </c>
      <c r="AX31" s="7">
        <f>IFERROR(AVERAGEIF('Данные 1st'!$S$2:$S$317,$A31,'Данные 1st'!$DO$2:$DO$317),"")</f>
        <v/>
      </c>
      <c r="AY31" s="7">
        <f>IFERROR(AVERAGEIF('Данные 1st'!$S$2:$S$317,$A31,'Данные 1st'!$DP$2:$DP$317),"")</f>
        <v/>
      </c>
      <c r="AZ31" s="7">
        <f>IFERROR(AVERAGEIF('Данные 1st'!$S$2:$S$317,$A31,'Данные 1st'!$DR$2:$DR$317),"")</f>
        <v/>
      </c>
      <c r="BA31" s="7">
        <f>IFERROR(AVERAGEIF('Данные 1st'!$S$2:$S$317,$A31,'Данные 1st'!$DS$2:$DS$317),"")</f>
        <v/>
      </c>
      <c r="BB31" s="7">
        <f>IFERROR(AVERAGEIF('Данные 1st'!$S$2:$S$317,$A31,'Данные 1st'!$DT$2:$DT$317),"")</f>
        <v/>
      </c>
      <c r="BC31" s="7">
        <f>IFERROR(AVERAGEIF('Данные 1st'!$S$2:$S$317,$A31,'Данные 1st'!$DU$2:$DU$317),"")</f>
        <v/>
      </c>
      <c r="BD31" s="7">
        <f>IFERROR(AVERAGEIF('Данные 1st'!$S$2:$S$317,$A31,'Данные 1st'!$DV$2:$DV$317),"")</f>
        <v/>
      </c>
      <c r="BE31" s="7">
        <f>IFERROR(AVERAGEIF('Данные 1st'!$S$2:$S$317,$A31,'Данные 1st'!$DX$2:$DX$317),"")</f>
        <v>7.5</v>
      </c>
      <c r="BF31" s="7">
        <f>IFERROR(AVERAGEIF('Данные 1st'!$S$2:$S$317,$A31,'Данные 1st'!$EA$2:$EA$317),"")</f>
        <v>1380.6000000000001</v>
      </c>
      <c r="BG31" s="7">
        <f>IFERROR(AVERAGEIF('Данные 1st'!$S$2:$S$317,$A31,'Данные 1st'!$EB$2:$EB$317),"")</f>
        <v>240.625</v>
      </c>
      <c r="BH31" s="7">
        <f>IFERROR(AVERAGEIF('Данные 1st'!$S$2:$S$317,$A31,'Данные 1st'!$ED$2:$ED$317),"")</f>
        <v>26.875</v>
      </c>
      <c r="BI31" s="7">
        <f>IFERROR(AVERAGEIF('Данные 1st'!$S$2:$S$317,$A31,'Данные 1st'!$EE$2:$EE$317),"")</f>
        <v>3</v>
      </c>
      <c r="BJ31" s="7">
        <f>IFERROR(AVERAGEIF('Данные 1st'!$S$2:$S$317,$A31,'Данные 1st'!$EG$2:$EG$317),"")</f>
        <v>1420.125</v>
      </c>
      <c r="BK31" s="7">
        <f>IFERROR(AVERAGEIF('Данные 1st'!$S$2:$S$317,$A31,'Данные 1st'!$EH$2:$EH$317),"")</f>
        <v>162.25</v>
      </c>
      <c r="BL31" s="7">
        <f>IFERROR(AVERAGEIF('Данные 1st'!$S$2:$S$317,$A31,'Данные 1st'!$EJ$2:$EJ$317),"")</f>
        <v>0</v>
      </c>
      <c r="BM31" s="7">
        <f>IFERROR(AVERAGEIF('Данные 1st'!$S$2:$S$317,$A31,'Данные 1st'!$EK$2:$EK$317),"")</f>
        <v>1</v>
      </c>
      <c r="BN31" s="7">
        <f>IFERROR(AVERAGEIF('Данные 1st'!$S$2:$S$317,$A31,'Данные 1st'!$EN$2:$EN$317),"")</f>
        <v>0</v>
      </c>
      <c r="BO31" s="7">
        <f>IFERROR(AVERAGEIF('Данные 1st'!$S$2:$S$317,$A31,'Данные 1st'!$EQ$2:$EQ$317),"")</f>
        <v>68.125</v>
      </c>
      <c r="BP31" s="7">
        <f>IFERROR(AVERAGEIF('Данные 1st'!$S$2:$S$317,$A31,'Данные 1st'!$ER$2:$ER$317),"")</f>
        <v>3</v>
      </c>
      <c r="BQ31" s="7">
        <f>IFERROR(AVERAGEIF('Данные 1st'!$S$2:$S$317,$A31,'Данные 1st'!$ES$2:$ES$317),"")</f>
        <v>4.575</v>
      </c>
      <c r="BR31" s="7">
        <f>IFERROR(AVERAGEIF('Данные 1st'!$S$2:$S$317,$A31,'Данные 1st'!$ET$2:$ET$317),"")</f>
        <v>1292.5</v>
      </c>
      <c r="BS31" s="7">
        <f>IFERROR(AVERAGEIF('Данные 1st'!$S$2:$S$317,$A31,'Данные 1st'!$EU$2:$EU$317),"")</f>
        <v>252.7375</v>
      </c>
      <c r="BT31" s="7">
        <f>IFERROR(AVERAGEIF('Данные 1st'!$S$2:$S$317,$A31,'Данные 1st'!$EV$2:$EV$317),"")</f>
        <v>326.75</v>
      </c>
      <c r="BU31" s="7">
        <f>IFERROR(AVERAGEIF('Данные 1st'!$S$2:$S$317,$A31,'Данные 1st'!$EX$2:$EX$317),"")</f>
        <v>66.875</v>
      </c>
      <c r="BV31" s="7">
        <f>IFERROR(AVERAGEIF('Данные 1st'!$S$2:$S$317,$A31,'Данные 1st'!$EY$2:$EY$317),"")</f>
        <v>2</v>
      </c>
      <c r="BW31" s="7">
        <f>IFERROR(AVERAGEIF('Данные 1st'!$S$2:$S$317,$A31,'Данные 1st'!$EZ$2:$EZ$317),"")</f>
        <v>4.05</v>
      </c>
      <c r="BX31" s="7">
        <f>IFERROR(AVERAGEIF('Данные 1st'!$S$2:$S$317,$A31,'Данные 1st'!$FA$2:$FA$317),"")</f>
        <v>1292.5</v>
      </c>
      <c r="BY31" s="7">
        <f>IFERROR(AVERAGEIF('Данные 1st'!$S$2:$S$317,$A31,'Данные 1st'!$FB$2:$FB$317),"")</f>
        <v>194.6875</v>
      </c>
      <c r="BZ31" s="7">
        <f>IFERROR(AVERAGEIF('Данные 1st'!$S$2:$S$317,$A31,'Данные 1st'!$FC$2:$FC$317),"")</f>
        <v>251.625</v>
      </c>
      <c r="CA31" s="7">
        <f>IFERROR(AVERAGEIF('Данные 1st'!$S$2:$S$317,$A31,'Данные 1st'!$FE$2:$FE$317),"")</f>
        <v>0</v>
      </c>
      <c r="CB31" s="7">
        <f>IFERROR(AVERAGEIF('Данные 1st'!$S$2:$S$317,$A31,'Данные 1st'!$FF$2:$FF$317),"")</f>
        <v>2</v>
      </c>
      <c r="CC31" s="7">
        <f>IFERROR(AVERAGEIF('Данные 1st'!$S$2:$S$317,$A31,'Данные 1st'!$FI$2:$FI$317),"")</f>
        <v>0</v>
      </c>
      <c r="CD31" s="7">
        <f>IFERROR(AVERAGEIF('Данные 1st'!$S$2:$S$317,$A31,'Данные 1st'!$FL$2:$FL$317),"")</f>
        <v>0.42500000000000004</v>
      </c>
      <c r="CE31" s="7">
        <f>IFERROR(AVERAGEIF('Данные 1st'!$S$2:$S$317,$A31,'Данные 1st'!$FM$2:$FM$317),"")</f>
        <v>69.375</v>
      </c>
      <c r="CF31" s="7">
        <f>IFERROR(AVERAGEIF('Данные 1st'!$S$2:$S$317,$A31,'Данные 1st'!$FN$2:$FN$317),"")</f>
        <v>161.25</v>
      </c>
      <c r="CG31" s="7">
        <f>IFERROR(AVERAGEIF('Данные 1st'!$S$2:$S$317,$A31,'Данные 1st'!$FO$2:$FO$317),"")</f>
        <v>55</v>
      </c>
      <c r="CH31" s="7">
        <f>IFERROR(AVERAGEIF('Данные 1st'!$S$2:$S$317,$A31,'Данные 1st'!$FP$2:$FP$317),"")</f>
        <v>130</v>
      </c>
      <c r="CI31" s="7">
        <f>IFERROR(AVERAGEIF('Данные 1st'!$S$2:$S$317,$A31,'Данные 1st'!$FS$2:$FS$317),"")</f>
        <v>0.45</v>
      </c>
      <c r="CJ31" s="7">
        <f>IFERROR(AVERAGEIF('Данные 1st'!$S$2:$S$317,$A31,'Данные 1st'!$FT$2:$FT$317),"")</f>
        <v>32.5</v>
      </c>
      <c r="CK31" s="7">
        <f>IFERROR(AVERAGEIF('Данные 1st'!$S$2:$S$317,$A31,'Данные 1st'!$FU$2:$FU$317),"")</f>
        <v>312.5</v>
      </c>
      <c r="CL31" s="7">
        <f>IFERROR(AVERAGEIF('Данные 1st'!$S$2:$S$317,$A31,'Данные 1st'!$FV$2:$FV$317),"")</f>
        <v>65</v>
      </c>
      <c r="CM31" s="7">
        <f>IFERROR(AVERAGEIF('Данные 1st'!$S$2:$S$317,$A31,'Данные 1st'!$FW$2:$FW$317),"")</f>
        <v>160</v>
      </c>
      <c r="CN31" s="7">
        <f>IFERROR(AVERAGEIF('Данные 1st'!$S$2:$S$317,$A31,'Данные 1st'!$FZ$2:$FZ$317),"")</f>
        <v>1</v>
      </c>
      <c r="CO31" s="7">
        <f>IFERROR(AVERAGEIF('Данные 1st'!$S$2:$S$317,$A31,'Данные 1st'!$GA$2:$GA$317),"")</f>
        <v>20</v>
      </c>
      <c r="CP31" s="7">
        <f>IFERROR(AVERAGEIF('Данные 1st'!$S$2:$S$317,$A31,'Данные 1st'!$GB$2:$GB$317),"")</f>
        <v>175</v>
      </c>
      <c r="CQ31" s="7">
        <f>IFERROR(AVERAGEIF('Данные 1st'!$S$2:$S$317,$A31,'Данные 1st'!$GH$2:$GH$317),"")</f>
        <v>1</v>
      </c>
      <c r="CR31" s="7">
        <f>IFERROR(AVERAGEIF('Данные 1st'!$S$2:$S$317,$A31,'Данные 1st'!$GI$2:$GI$317),"")</f>
        <v>20</v>
      </c>
      <c r="CS31" s="7">
        <f>IFERROR(AVERAGEIF('Данные 1st'!$S$2:$S$317,$A31,'Данные 1st'!$GJ$2:$GJ$317),"")</f>
        <v>175</v>
      </c>
      <c r="CT31" s="7">
        <f>IFERROR(AVERAGEIF('Данные 1st'!$S$2:$S$317,$A31,'Данные 1st'!$GS$2:$GS$317),"")</f>
        <v/>
      </c>
      <c r="CU31" s="7">
        <f>IFERROR(AVERAGEIF('Данные 1st'!$S$2:$S$317,$A31,'Данные 1st'!$GT$2:$GT$317),"")</f>
        <v/>
      </c>
      <c r="CV31" s="7">
        <f>IFERROR(AVERAGEIF('Данные 1st'!$S$2:$S$317,$A31,'Данные 1st'!$GU$2:$GU$317),"")</f>
        <v/>
      </c>
      <c r="CW31" s="7">
        <f>IFERROR(AVERAGEIF('Данные 1st'!$S$2:$S$317,$A31,'Данные 1st'!$GV$2:$GV$317),"")</f>
        <v/>
      </c>
      <c r="CX31" s="7">
        <f>IFERROR(AVERAGEIF('Данные 1st'!$S$2:$S$317,$A31,'Данные 1st'!$GW$2:$GW$317),"")</f>
        <v/>
      </c>
      <c r="CY31" s="7">
        <f>IFERROR(AVERAGEIF('Данные 1st'!$S$2:$S$317,$A31,'Данные 1st'!$GZ$2:$GZ$317),"")</f>
        <v/>
      </c>
      <c r="CZ31" s="7">
        <f>IFERROR(AVERAGEIF('Данные 1st'!$S$2:$S$317,$A31,'Данные 1st'!$HA$2:$HA$317),"")</f>
        <v/>
      </c>
      <c r="DA31" s="7">
        <f>IFERROR(AVERAGEIF('Данные 1st'!$S$2:$S$317,$A31,'Данные 1st'!$HB$2:$HB$317),"")</f>
        <v/>
      </c>
      <c r="DB31" s="7">
        <f>IFERROR(AVERAGEIF('Данные 1st'!$S$2:$S$317,$A31,'Данные 1st'!$HC$2:$HC$317),"")</f>
        <v>0.1</v>
      </c>
      <c r="DC31" s="7">
        <f>IFERROR(AVERAGEIF('Данные 1st'!$S$2:$S$317,$A31,'Данные 1st'!$HD$2:$HD$317),"")</f>
        <v>3</v>
      </c>
      <c r="DD31" s="7">
        <f>IFERROR(AVERAGEIF('Данные 1st'!$S$2:$S$317,$A31,'Данные 1st'!$HE$2:$HE$317),"")</f>
        <v>3</v>
      </c>
      <c r="DE31" s="7">
        <f>IFERROR(AVERAGEIF('Данные 1st'!$S$2:$S$317,$A31,'Данные 1st'!$HF$2:$HF$317),"")</f>
        <v>3</v>
      </c>
      <c r="DF31" s="7">
        <f>IFERROR(AVERAGEIF('Данные 1st'!$S$2:$S$317,$A31,'Данные 1st'!$HG$2:$HG$317),"")</f>
        <v>3</v>
      </c>
      <c r="DG31" s="7">
        <f>IFERROR(AVERAGEIF('Данные 1st'!$S$2:$S$317,$A31,'Данные 1st'!$HH$2:$HH$317),"")</f>
        <v>3</v>
      </c>
      <c r="DH31" s="7">
        <f>IFERROR(AVERAGEIF('Данные 1st'!$S$2:$S$317,$A31,'Данные 1st'!$HI$2:$HI$317),"")</f>
        <v>120</v>
      </c>
      <c r="DI31" s="7">
        <f>IFERROR(AVERAGEIF('Данные 1st'!$S$2:$S$317,$A31,'Данные 1st'!$HJ$2:$HJ$317),"")</f>
        <v>3</v>
      </c>
      <c r="DJ31" s="7">
        <f>IFERROR(AVERAGEIF('Данные 1st'!$S$2:$S$317,$A31,'Данные 1st'!$HK$2:$HK$317),"")</f>
        <v>51.875</v>
      </c>
      <c r="DK31" s="7">
        <f>IFERROR(AVERAGEIF('Данные 1st'!$S$2:$S$317,$A31,'Данные 1st'!$HL$2:$HL$317),"")</f>
        <v>2</v>
      </c>
      <c r="DL31" s="7">
        <f>IFERROR(AVERAGEIF('Данные 1st'!$S$2:$S$317,$A31,'Данные 1st'!$HM$2:$HM$317),"")</f>
        <v>0</v>
      </c>
      <c r="DM31" s="7">
        <f>IFERROR(AVERAGEIF('Данные 1st'!$S$2:$S$317,$A31,'Данные 1st'!$HN$2:$HN$317),"")</f>
        <v>2</v>
      </c>
      <c r="DN31" s="7">
        <f>IFERROR(AVERAGEIF('Данные 1st'!$S$2:$S$317,$A31,'Данные 1st'!$HO$2:$HO$317),"")</f>
        <v>53.125</v>
      </c>
      <c r="DO31" s="7">
        <f>IFERROR(AVERAGEIF('Данные 1st'!$S$2:$S$317,$A31,'Данные 1st'!$HP$2:$HP$317),"")</f>
        <v>3</v>
      </c>
      <c r="DP31" s="7">
        <f>IFERROR(AVERAGEIF('Данные 1st'!$S$2:$S$317,$A31,'Данные 1st'!$HQ$2:$HQ$317),"")</f>
        <v>0</v>
      </c>
      <c r="DQ31" s="7">
        <f>IFERROR(AVERAGEIF('Данные 1st'!$S$2:$S$317,$A31,'Данные 1st'!$HR$2:$HR$317),"")</f>
        <v>2</v>
      </c>
      <c r="DR31" s="7">
        <f>IFERROR(AVERAGEIF('Данные 1st'!$S$2:$S$317,$A31,'Данные 1st'!$HS$2:$HS$317),"")</f>
        <v>3684.875</v>
      </c>
      <c r="DS31" s="7">
        <f>IFERROR(AVERAGEIF('Данные 1st'!$S$2:$S$317,$A31,'Данные 1st'!$HT$2:$HT$317),"")</f>
        <v>113.75</v>
      </c>
      <c r="DT31" s="7">
        <f>IFERROR(AVERAGEIF('Данные 1st'!$S$2:$S$317,$A31,'Данные 1st'!$HU$2:$HU$317),"")</f>
        <v>180</v>
      </c>
      <c r="DU31" s="7">
        <f>IFERROR(AVERAGEIF('Данные 1st'!$S$2:$S$317,$A31,'Данные 1st'!$HW$2:$HW$317),"")</f>
        <v>7.5</v>
      </c>
      <c r="DV31" s="7">
        <f>IFERROR(AVERAGEIF('Данные 1st'!$S$2:$S$317,$A31,'Данные 1st'!$HX$2:$HX$317),"")</f>
        <v>383.25</v>
      </c>
      <c r="DW31" s="7">
        <f>IFERROR(AVERAGEIF('Данные 1st'!$S$2:$S$317,$A31,'Данные 1st'!$HY$2:$HY$317),"")</f>
        <v>0.18</v>
      </c>
      <c r="DX31" s="7">
        <f>IFERROR(AVERAGEIF('Данные 1st'!$S$2:$S$317,$A31,'Данные 1st'!$IA$2:$IA$317),"")</f>
        <v>0.15</v>
      </c>
      <c r="DY31" s="7">
        <f>IFERROR(AVERAGEIF('Данные 1st'!$S$2:$S$317,$A31,'Данные 1st'!$IB$2:$IB$317),"")</f>
        <v>0</v>
      </c>
      <c r="DZ31" s="7">
        <f>IFERROR(AVERAGEIF('Данные 1st'!$S$2:$S$317,$A31,'Данные 1st'!$IC$2:$IC$317),"")</f>
        <v>180</v>
      </c>
      <c r="EA31" s="7">
        <f>IFERROR(AVERAGEIF('Данные 1st'!$S$2:$S$317,$A31,'Данные 1st'!$ID$2:$ID$317),"")</f>
        <v>110</v>
      </c>
      <c r="EB31" s="7">
        <f>IFERROR(AVERAGEIF('Данные 1st'!$S$2:$S$317,$A31,'Данные 1st'!$IE$2:$IE$317),"")</f>
        <v>0</v>
      </c>
      <c r="EC31" s="7">
        <f>IFERROR(AVERAGEIF('Данные 1st'!$S$2:$S$317,$A31,'Данные 1st'!$IF$2:$IF$317),"")</f>
        <v>0</v>
      </c>
      <c r="ED31" s="7">
        <f>IFERROR(AVERAGEIF('Данные 1st'!$S$2:$S$317,$A31,'Данные 1st'!$IP$2:$IP$317),"")</f>
        <v>17</v>
      </c>
      <c r="EE31" s="7">
        <f>IFERROR(AVERAGEIF('Данные 1st'!$S$2:$S$317,$A31,'Данные 1st'!$IV$2:$IV$317),"")</f>
        <v>1301</v>
      </c>
      <c r="EF31" s="7">
        <f>IFERROR(AVERAGEIF('Данные 1st'!$S$2:$S$317,$A31,'Данные 1st'!$IW$2:$IW$317),"")</f>
        <v>368.5</v>
      </c>
      <c r="EG31" s="7">
        <f>IFERROR(AVERAGEIF('Данные 1st'!$S$2:$S$317,$A31,'Данные 1st'!$IX$2:$IX$317),"")</f>
        <v/>
      </c>
      <c r="EH31" s="7">
        <f>IFERROR(AVERAGEIF('Данные 1st'!$S$2:$S$317,$A31,'Данные 1st'!$IY$2:$IY$317),"")</f>
        <v/>
      </c>
      <c r="EI31" s="7">
        <f>IFERROR(AVERAGEIF('Данные 1st'!$S$2:$S$317,$A31,'Данные 1st'!$JD$2:$JD$317),"")</f>
        <v>1314.625</v>
      </c>
      <c r="EJ31" s="7">
        <f>IFERROR(AVERAGEIF('Данные 1st'!$S$2:$S$317,$A31,'Данные 1st'!$JE$2:$JE$317),"")</f>
        <v>1311.875</v>
      </c>
      <c r="EK31" s="7">
        <f>IFERROR(AVERAGEIF('Данные 1st'!$S$2:$S$317,$A31,'Данные 1st'!$JF$2:$JF$317),"")</f>
        <v>0</v>
      </c>
      <c r="EL31" s="7">
        <f>IFERROR(AVERAGEIF('Данные 1st'!$S$2:$S$317,$A31,'Данные 1st'!$JG$2:$JG$317),"")</f>
        <v>1292.5</v>
      </c>
      <c r="EM31" s="7">
        <f>IFERROR(AVERAGEIF('Данные 1st'!$S$2:$S$317,$A31,'Данные 1st'!$JH$2:$JH$317),"")</f>
        <v>0</v>
      </c>
      <c r="EN31" s="7">
        <f>IFERROR(AVERAGEIF('Данные 1st'!$S$2:$S$317,$A31,'Данные 1st'!$JJ$2:$JJ$317),"")</f>
        <v>180</v>
      </c>
      <c r="EO31" s="7">
        <f>IFERROR(AVERAGEIF('Данные 1st'!$S$2:$S$317,$A31,'Данные 1st'!$JK$2:$JK$317),"")</f>
        <v>383.25</v>
      </c>
      <c r="EP31" s="7">
        <f>IFERROR(AVERAGEIF('Данные 1st'!$S$2:$S$317,$A31,'Данные 1st'!$JL$2:$JL$317),"")</f>
        <v/>
      </c>
      <c r="EQ31" s="7">
        <f>IFERROR(AVERAGEIF('Данные 1st'!$S$2:$S$317,$A31,'Данные 1st'!$JM$2:$JM$317),"")</f>
        <v/>
      </c>
      <c r="ER31" s="7">
        <f>IFERROR(AVERAGEIF('Данные 1st'!$S$2:$S$317,$A31,'Данные 1st'!$JN$2:$JN$317),"")</f>
        <v>344.375</v>
      </c>
      <c r="ES31" s="7">
        <f>IFERROR(AVERAGEIF('Данные 1st'!$S$2:$S$317,$A31,'Данные 1st'!$JO$2:$JO$317),"")</f>
        <v>526.25</v>
      </c>
      <c r="ET31" s="7">
        <f>IFERROR(AVERAGEIF('Данные 1st'!$S$2:$S$317,$A31,'Данные 1st'!$JP$2:$JP$317),"")</f>
        <v>0</v>
      </c>
      <c r="EU31" s="7">
        <f>IFERROR(AVERAGEIF('Данные 1st'!$S$2:$S$317,$A31,'Данные 1st'!$JQ$2:$JQ$317),"")</f>
        <v>0</v>
      </c>
      <c r="EV31" s="7">
        <f>IFERROR(AVERAGEIF('Данные 1st'!$S$2:$S$317,$A31,'Данные 1st'!$JR$2:$JR$317),"")</f>
        <v>329.75</v>
      </c>
      <c r="EW31" s="7">
        <f>IFERROR(AVERAGEIF('Данные 1st'!$S$2:$S$317,$A31,'Данные 1st'!$JS$2:$JS$317),"")</f>
        <v>120</v>
      </c>
      <c r="EX31" s="7">
        <f>IFERROR(AVERAGEIF('Данные 1st'!$S$2:$S$317,$A31,'Данные 1st'!$JT$2:$JT$317),"")</f>
        <v/>
      </c>
      <c r="EY31" s="7">
        <f>IFERROR(AVERAGEIF('Данные 1st'!$S$2:$S$317,$A31,'Данные 1st'!$JU$2:$JU$317),"")</f>
        <v/>
      </c>
      <c r="EZ31" s="7">
        <f>IFERROR(AVERAGEIF('Данные 1st'!$S$2:$S$317,$A31,'Данные 1st'!$JV$2:$JV$317),"")</f>
        <v>8</v>
      </c>
      <c r="FA31" s="7">
        <f>IFERROR(AVERAGEIF('Данные 1st'!$S$2:$S$317,$A31,'Данные 1st'!$JW$2:$JW$317),"")</f>
        <v/>
      </c>
      <c r="FB31" s="7">
        <f>IFERROR(AVERAGEIF('Данные 1st'!$S$2:$S$317,$A31,'Данные 1st'!$JX$2:$JX$317),"")</f>
        <v>50</v>
      </c>
      <c r="FC31" s="7">
        <f>IFERROR(AVERAGEIF('Данные 1st'!$S$2:$S$317,$A31,'Данные 1st'!$JY$2:$JY$317),"")</f>
        <v/>
      </c>
      <c r="FD31" s="7">
        <f>IFERROR(AVERAGEIF('Данные 1st'!$S$2:$S$317,$A31,'Данные 1st'!$JZ$2:$JZ$317),"")</f>
        <v/>
      </c>
      <c r="FE31" s="7">
        <f>IFERROR(AVERAGEIF('Данные 1st'!$S$2:$S$317,$A31,'Данные 1st'!$KA$2:$KA$317),"")</f>
        <v>0</v>
      </c>
      <c r="FF31" s="7">
        <f>IFERROR(AVERAGEIF('Данные 1st'!$S$2:$S$317,$A31,'Данные 1st'!$KB$2:$KB$317),"")</f>
        <v>110</v>
      </c>
      <c r="FG31" s="7">
        <f>IFERROR(AVERAGEIF('Данные 1st'!$S$2:$S$317,$A31,'Данные 1st'!$KC$2:$KC$317),"")</f>
        <v>0</v>
      </c>
      <c r="FH31" s="7">
        <f>IFERROR(AVERAGEIF('Данные 1st'!$S$2:$S$317,$A31,'Данные 1st'!$KD$2:$KD$317),"")</f>
        <v>80</v>
      </c>
      <c r="FI31" s="7">
        <f>IFERROR(AVERAGEIF('Данные 1st'!$S$2:$S$317,$A31,'Данные 1st'!$KE$2:$KE$317),"")</f>
        <v/>
      </c>
      <c r="FJ31" s="7">
        <f>IFERROR(AVERAGEIF('Данные 1st'!$S$2:$S$317,$A31,'Данные 1st'!$KF$2:$KF$317),"")</f>
        <v>3.875</v>
      </c>
      <c r="FK31" s="7">
        <f>IFERROR(AVERAGEIF('Данные 1st'!$S$2:$S$317,$A31,'Данные 1st'!$KG$2:$KG$317),"")</f>
        <v>2.875</v>
      </c>
      <c r="FL31" s="7">
        <f>IFERROR(AVERAGEIF('Данные 1st'!$S$2:$S$317,$A31,'Данные 1st'!$KH$2:$KH$317),"")</f>
        <v>2</v>
      </c>
      <c r="FM31" s="7">
        <f>IFERROR(AVERAGEIF('Данные 1st'!$S$2:$S$317,$A31,'Данные 1st'!$KI$2:$KI$317),"")</f>
        <v>2</v>
      </c>
      <c r="FN31" s="7">
        <f>IFERROR(AVERAGEIF('Данные 1st'!$S$2:$S$317,$A31,'Данные 1st'!$KJ$2:$KJ$317),"")</f>
        <v>0</v>
      </c>
      <c r="FO31" s="7">
        <f>IFERROR(AVERAGEIF('Данные 1st'!$S$2:$S$317,$A31,'Данные 1st'!$KK$2:$KK$317),"")</f>
        <v>1.5</v>
      </c>
      <c r="FP31" s="7">
        <f>IFERROR(AVERAGEIF('Данные 1st'!$S$2:$S$317,$A31,'Данные 1st'!$KL$2:$KL$317),"")</f>
        <v>1.5</v>
      </c>
      <c r="FQ31" s="7">
        <f>IFERROR(AVERAGEIF('Данные 1st'!$S$2:$S$317,$A31,'Данные 1st'!$KM$2:$KM$317),"")</f>
        <v>0</v>
      </c>
      <c r="FR31" s="7">
        <f>IFERROR(AVERAGEIF('Данные 1st'!$S$2:$S$317,$A31,'Данные 1st'!$KN$2:$KN$317),"")</f>
        <v>0</v>
      </c>
      <c r="FS31" s="7">
        <f>IFERROR(AVERAGEIF('Данные 1st'!$S$2:$S$317,$A31,'Данные 1st'!$KR$2:$KR$317),"")</f>
        <v>30</v>
      </c>
      <c r="FT31" s="7">
        <f>IFERROR(AVERAGEIF('Данные 1st'!$S$2:$S$317,$A31,'Данные 1st'!$KS$2:$KS$317),"")</f>
        <v>56.25</v>
      </c>
      <c r="FU31" s="7">
        <f>IFERROR(AVERAGEIF('Данные 1st'!$S$2:$S$317,$A31,'Данные 1st'!$KT$2:$KT$317),"")</f>
        <v>0</v>
      </c>
      <c r="FV31" s="7">
        <f>IFERROR(AVERAGEIF('Данные 1st'!$S$2:$S$317,$A31,'Данные 1st'!$KV$2:$KV$317),"")</f>
        <v/>
      </c>
      <c r="FW31" s="7">
        <f>IFERROR(AVERAGEIF('Данные 1st'!$S$2:$S$317,$A31,'Данные 1st'!$KW$2:$KW$317),"")</f>
        <v/>
      </c>
      <c r="FX31" s="7">
        <f>IFERROR(AVERAGEIF('Данные 1st'!$S$2:$S$317,$A31,'Данные 1st'!$KX$2:$KX$317),"")</f>
        <v/>
      </c>
      <c r="FY31" s="7">
        <f>IFERROR(AVERAGEIF('Данные 1st'!$S$2:$S$317,$A31,'Данные 1st'!$KY$2:$KY$317),"")</f>
        <v/>
      </c>
      <c r="FZ31" s="7">
        <f>IFERROR(AVERAGEIF('Данные 1st'!$S$2:$S$317,$A31,'Данные 1st'!$KZ$2:$KZ$317),"")</f>
        <v/>
      </c>
      <c r="GA31" s="7">
        <f>IFERROR(AVERAGEIF('Данные 1st'!$S$2:$S$317,$A31,'Данные 1st'!$LA$2:$LA$317),"")</f>
        <v/>
      </c>
      <c r="GB31" s="7">
        <f>IFERROR(AVERAGEIF('Данные 1st'!$S$2:$S$317,$A31,'Данные 1st'!$LB$2:$LB$317),"")</f>
        <v/>
      </c>
      <c r="GC31" s="7">
        <f>IFERROR(AVERAGEIF('Данные 1st'!$S$2:$S$317,$A31,'Данные 1st'!$LC$2:$LC$317),"")</f>
        <v/>
      </c>
      <c r="GD31" s="7">
        <f>IFERROR(AVERAGEIF('Данные 1st'!$S$2:$S$317,$A31,'Данные 1st'!$LD$2:$LD$317),"")</f>
        <v/>
      </c>
      <c r="GE31" s="7">
        <f>IFERROR(AVERAGEIF('Данные 1st'!$S$2:$S$317,$A31,'Данные 1st'!$LE$2:$LE$317),"")</f>
        <v/>
      </c>
      <c r="GF31" s="7">
        <f>IFERROR(AVERAGEIF('Данные 1st'!$S$2:$S$317,$A31,'Данные 1st'!$LF$2:$LF$317),"")</f>
        <v/>
      </c>
      <c r="GG31" s="7">
        <f>IFERROR(AVERAGEIF('Данные 1st'!$S$2:$S$317,$A31,'Данные 1st'!$LG$2:$LG$317),"")</f>
        <v/>
      </c>
      <c r="GH31" s="7">
        <f>IFERROR(AVERAGEIF('Данные 1st'!$S$2:$S$317,$A31,'Данные 1st'!$LH$2:$LH$317),"")</f>
        <v/>
      </c>
      <c r="GI31" s="7">
        <f>IFERROR(AVERAGEIF('Данные 1st'!$S$2:$S$317,$A31,'Данные 1st'!$LI$2:$LI$317),"")</f>
        <v/>
      </c>
      <c r="GJ31" s="7">
        <f>IFERROR(AVERAGEIF('Данные 1st'!$S$2:$S$317,$A31,'Данные 1st'!$LJ$2:$LJ$317),"")</f>
        <v/>
      </c>
      <c r="GK31" s="7">
        <f>IFERROR(AVERAGEIF('Данные 1st'!$S$2:$S$317,$A31,'Данные 1st'!$LK$2:$LK$317),"")</f>
        <v>480</v>
      </c>
      <c r="GL31" s="7">
        <f>IFERROR(AVERAGEIF('Данные 1st'!$S$2:$S$317,$A31,'Данные 1st'!$LV$2:$LV$317),"")</f>
        <v/>
      </c>
      <c r="GM31" s="7">
        <f>IFERROR(AVERAGEIF('Данные 1st'!$S$2:$S$317,$A31,'Данные 1st'!$LW$2:$LW$317),"")</f>
        <v/>
      </c>
      <c r="GN31" s="7">
        <f>IFERROR(AVERAGEIF('Данные 1st'!$S$2:$S$317,$A31,'Данные 1st'!$LX$2:$LX$317),"")</f>
        <v/>
      </c>
      <c r="GO31" s="7">
        <f>IFERROR(AVERAGEIF('Данные 1st'!$S$2:$S$317,$A31,'Данные 1st'!$LY$2:$LY$317),"")</f>
        <v/>
      </c>
      <c r="GP31" s="7">
        <f>IFERROR(AVERAGEIF('Данные 1st'!$S$2:$S$317,$A31,'Данные 1st'!$LZ$2:$LZ$317),"")</f>
        <v>250</v>
      </c>
      <c r="GQ31" s="7">
        <f>IFERROR(AVERAGEIF('Данные 1st'!$S$2:$S$317,$A31,'Данные 1st'!$PG$2:$PG$317),"")</f>
        <v>1</v>
      </c>
      <c r="GR31" s="7">
        <f>IFERROR(AVERAGEIF('Данные 1st'!$S$2:$S$317,$A31,'Данные 1st'!$PX$2:$PX$317),"")</f>
        <v>56</v>
      </c>
      <c r="GS31" s="7">
        <f>IFERROR(AVERAGEIF('Данные 1st'!$S$2:$S$317,$A31,'Данные 1st'!$PY$2:$PY$317),"")</f>
        <v>56.375</v>
      </c>
      <c r="GT31" s="7">
        <f>IFERROR(AVERAGEIF('Данные 1st'!$S$2:$S$317,$A31,'Данные 1st'!$QA$2:$QA$317),"")</f>
        <v>1.25</v>
      </c>
      <c r="GU31" s="7">
        <f>IFERROR(AVERAGEIF('Данные 1st'!$S$2:$S$317,$A31,'Данные 1st'!$QB$2:$QB$317),"")</f>
        <v>1292.5</v>
      </c>
      <c r="GV31" s="7">
        <f>IFERROR(AVERAGEIF('Данные 1st'!$S$2:$S$317,$A31,'Данные 1st'!$QC$2:$QC$317),"")</f>
        <v>69</v>
      </c>
      <c r="GW31" s="7">
        <f>IFERROR(AVERAGEIF('Данные 1st'!$S$2:$S$317,$A31,'Данные 1st'!$QD$2:$QD$317),"")</f>
        <v>69</v>
      </c>
      <c r="GX31" s="7">
        <f>IFERROR(AVERAGEIF('Данные 1st'!$S$2:$S$317,$A31,'Данные 1st'!$QF$2:$QF$317),"")</f>
        <v>1.125</v>
      </c>
      <c r="GY31" s="7">
        <f>IFERROR(AVERAGEIF('Данные 1st'!$S$2:$S$317,$A31,'Данные 1st'!$QG$2:$QG$317),"")</f>
        <v>1314.625</v>
      </c>
      <c r="GZ31" s="7">
        <f>IFERROR(AVERAGEIF('Данные 1st'!$S$2:$S$317,$A31,'Данные 1st'!$QH$2:$QH$317),"")</f>
        <v>66</v>
      </c>
      <c r="HA31" s="7">
        <f>IFERROR(AVERAGEIF('Данные 1st'!$S$2:$S$317,$A31,'Данные 1st'!$QI$2:$QI$317),"")</f>
        <v>66</v>
      </c>
      <c r="HB31" s="7">
        <f>IFERROR(AVERAGEIF('Данные 1st'!$S$2:$S$317,$A31,'Данные 1st'!$QK$2:$QK$317),"")</f>
        <v>1</v>
      </c>
      <c r="HC31" s="7">
        <f>IFERROR(AVERAGEIF('Данные 1st'!$S$2:$S$317,$A31,'Данные 1st'!$QL$2:$QL$317),"")</f>
        <v>164.875</v>
      </c>
      <c r="HD31" s="7">
        <f>IFERROR(AVERAGEIF('Данные 1st'!$S$2:$S$317,$A31,'Данные 1st'!$QM$2:$QM$317),"")</f>
        <v>62.625</v>
      </c>
      <c r="HE31" s="7">
        <f>IFERROR(AVERAGEIF('Данные 1st'!$S$2:$S$317,$A31,'Данные 1st'!$QN$2:$QN$317),"")</f>
        <v>62.625</v>
      </c>
      <c r="HF31" s="7">
        <f>IFERROR(AVERAGEIF('Данные 1st'!$S$2:$S$317,$A31,'Данные 1st'!$QP$2:$QP$317),"")</f>
        <v>1</v>
      </c>
      <c r="HG31" s="7">
        <f>IFERROR(AVERAGEIF('Данные 1st'!$S$2:$S$317,$A31,'Данные 1st'!$QQ$2:$QQ$317),"")</f>
        <v>1311.875</v>
      </c>
      <c r="HH31" s="7">
        <f>IFERROR(AVERAGEIF('Данные 1st'!$S$2:$S$317,$A31,'Данные 1st'!$QR$2:$QR$317),"")</f>
        <v/>
      </c>
      <c r="HI31" s="7">
        <f>IFERROR(AVERAGEIF('Данные 1st'!$S$2:$S$317,$A31,'Данные 1st'!$QS$2:$QS$317),"")</f>
        <v/>
      </c>
      <c r="HJ31" s="7">
        <f>IFERROR(AVERAGEIF('Данные 1st'!$S$2:$S$317,$A31,'Данные 1st'!$QU$2:$QU$317),"")</f>
        <v/>
      </c>
      <c r="HK31" s="7">
        <f>IFERROR(AVERAGEIF('Данные 1st'!$S$2:$S$317,$A31,'Данные 1st'!$QV$2:$QV$317),"")</f>
        <v/>
      </c>
      <c r="HL31" s="7">
        <f>IFERROR(AVERAGEIF('Данные 1st'!$S$2:$S$317,$A31,'Данные 1st'!$QW$2:$QW$317),"")</f>
        <v>82</v>
      </c>
      <c r="HM31" s="7">
        <f>IFERROR(AVERAGEIF('Данные 1st'!$S$2:$S$317,$A31,'Данные 1st'!$QX$2:$QX$317),"")</f>
        <v>85.5</v>
      </c>
      <c r="HN31" s="7">
        <f>IFERROR(AVERAGEIF('Данные 1st'!$S$2:$S$317,$A31,'Данные 1st'!$QZ$2:$QZ$317),"")</f>
        <v>1.125</v>
      </c>
      <c r="HO31" s="7">
        <f>IFERROR(AVERAGEIF('Данные 1st'!$S$2:$S$317,$A31,'Данные 1st'!$RA$2:$RA$317),"")</f>
        <v>66</v>
      </c>
      <c r="HP31" s="7">
        <f>IFERROR(AVERAGEIF('Данные 1st'!$S$2:$S$317,$A31,'Данные 1st'!$RB$2:$RB$317),"")</f>
        <v>66</v>
      </c>
      <c r="HQ31" s="7">
        <f>IFERROR(AVERAGEIF('Данные 1st'!$S$2:$S$317,$A31,'Данные 1st'!$RD$2:$RD$317),"")</f>
        <v/>
      </c>
      <c r="HR31" s="7">
        <f>IFERROR(AVERAGEIF('Данные 1st'!$S$2:$S$317,$A31,'Данные 1st'!$RE$2:$RE$317),"")</f>
        <v>0</v>
      </c>
      <c r="HS31" s="7">
        <f>IFERROR(AVERAGEIF('Данные 1st'!$S$2:$S$317,$A31,'Данные 1st'!$RF$2:$RF$317),"")</f>
        <v>1</v>
      </c>
      <c r="HT31" s="7">
        <f>IFERROR(AVERAGEIF('Данные 1st'!$S$2:$S$317,$A31,'Данные 1st'!$RG$2:$RG$317),"")</f>
        <v>1</v>
      </c>
      <c r="HU31" s="7">
        <f>IFERROR(AVERAGEIF('Данные 1st'!$S$2:$S$317,$A31,'Данные 1st'!$RH$2:$RH$317),"")</f>
        <v/>
      </c>
      <c r="HV31" s="7">
        <f>IFERROR(AVERAGEIF('Данные 1st'!$S$2:$S$317,$A31,'Данные 1st'!$RI$2:$RI$317),"")</f>
        <v/>
      </c>
      <c r="HW31" s="7">
        <f>IFERROR(AVERAGEIF('Данные 1st'!$S$2:$S$317,$A31,'Данные 1st'!$RJ$2:$RJ$317),"")</f>
        <v>1.25</v>
      </c>
      <c r="HX31" s="7">
        <f>IFERROR(AVERAGEIF('Данные 1st'!$S$2:$S$317,$A31,'Данные 1st'!$RK$2:$RK$317),"")</f>
        <v>2</v>
      </c>
      <c r="HY31" s="7">
        <f>IFERROR(AVERAGEIF('Данные 1st'!$S$2:$S$317,$A31,'Данные 1st'!$RL$2:$RL$317),"")</f>
        <v>2.375</v>
      </c>
      <c r="HZ31" s="7">
        <f>IFERROR(AVERAGEIF('Данные 1st'!$S$2:$S$317,$A31,'Данные 1st'!$RM$2:$RM$317),"")</f>
        <v/>
      </c>
      <c r="IA31" s="7">
        <f>IFERROR(AVERAGEIF('Данные 1st'!$S$2:$S$317,$A31,'Данные 1st'!$RN$2:$RN$317),"")</f>
        <v/>
      </c>
      <c r="IB31" s="7">
        <f>IFERROR(AVERAGEIF('Данные 1st'!$S$2:$S$317,$A31,'Данные 1st'!$RO$2:$RO$317),"")</f>
        <v>492.25</v>
      </c>
      <c r="IC31" s="7">
        <f>IFERROR(AVERAGEIF('Данные 1st'!$S$2:$S$317,$A31,'Данные 1st'!$RP$2:$RP$317),"")</f>
        <v>105</v>
      </c>
      <c r="ID31" s="7">
        <f>IFERROR(AVERAGEIF('Данные 1st'!$S$2:$S$317,$A31,'Данные 1st'!$RQ$2:$RQ$317),"")</f>
        <v>806.75</v>
      </c>
      <c r="IE31" s="7">
        <f>IFERROR(AVERAGEIF('Данные 1st'!$S$2:$S$317,$A31,'Данные 1st'!$RR$2:$RR$317),"")</f>
        <v/>
      </c>
      <c r="IF31" s="7">
        <f>IFERROR(AVERAGEIF('Данные 1st'!$S$2:$S$317,$A31,'Данные 1st'!$RS$2:$RS$317),"")</f>
        <v/>
      </c>
      <c r="IG31" s="7">
        <f>IFERROR(AVERAGEIF('Данные 1st'!$S$2:$S$317,$A31,'Данные 1st'!$RT$2:$RT$317),"")</f>
        <v>240.625</v>
      </c>
      <c r="IH31" s="7">
        <f>IFERROR(AVERAGEIF('Данные 1st'!$S$2:$S$317,$A31,'Данные 1st'!$RU$2:$RU$317),"")</f>
        <v>162.25</v>
      </c>
      <c r="II31" s="7">
        <f>IFERROR(AVERAGEIF('Данные 1st'!$S$2:$S$317,$A31,'Данные 1st'!$RX$2:$RX$317),"")</f>
        <v>15</v>
      </c>
      <c r="IJ31" s="7">
        <f>IFERROR(AVERAGEIF('Данные 1st'!$S$2:$S$317,$A31,'Данные 1st'!$RY$2:$RY$317),"")</f>
        <v>4</v>
      </c>
      <c r="IK31" s="7">
        <f>IFERROR(AVERAGEIF('Данные 1st'!$S$2:$S$317,$A31,'Данные 1st'!$SA$2:$SA$317),"")</f>
        <v>15</v>
      </c>
      <c r="IL31" s="7">
        <f>IFERROR(AVERAGEIF('Данные 1st'!$S$2:$S$317,$A31,'Данные 1st'!$SD$2:$SD$317),"")</f>
        <v>1</v>
      </c>
      <c r="IM31" s="7">
        <f>IFERROR(AVERAGEIF('Данные 1st'!$S$2:$S$317,$A31,'Данные 1st'!$SG$2:$SG$317),"")</f>
        <v/>
      </c>
      <c r="IN31" s="7">
        <f>IFERROR(AVERAGEIF('Данные 1st'!$S$2:$S$317,$A31,'Данные 1st'!$SH$2:$SH$317),"")</f>
        <v>0.995</v>
      </c>
      <c r="IO31" s="7">
        <f>IFERROR(AVERAGEIF('Данные 1st'!$S$2:$S$317,$A31,'Данные 1st'!$SI$2:$SI$317),"")</f>
        <v>0.995</v>
      </c>
      <c r="IP31" s="7">
        <f>IFERROR(AVERAGEIF('Данные 1st'!$S$2:$S$317,$A31,'Данные 1st'!$SJ$2:$SJ$317),"")</f>
        <v>0.995</v>
      </c>
      <c r="IQ31" s="7">
        <f>IFERROR(AVERAGEIF('Данные 1st'!$S$2:$S$317,$A31,'Данные 1st'!$SK$2:$SK$317),"")</f>
        <v>15</v>
      </c>
      <c r="IR31" s="7">
        <f>IFERROR(AVERAGEIF('Данные 1st'!$S$2:$S$317,$A31,'Данные 1st'!$SL$2:$SL$317),"")</f>
        <v>0</v>
      </c>
      <c r="IS31" s="7">
        <f>IFERROR(AVERAGEIF('Данные 1st'!$S$2:$S$317,$A31,'Данные 1st'!$SM$2:$SM$317),"")</f>
        <v>0</v>
      </c>
      <c r="IT31" s="7">
        <f>IFERROR(AVERAGEIF('Данные 1st'!$S$2:$S$317,$A31,'Данные 1st'!$SN$2:$SN$317),"")</f>
        <v>0</v>
      </c>
      <c r="IU31" s="7">
        <f>IFERROR(AVERAGEIF('Данные 1st'!$S$2:$S$317,$A31,'Данные 1st'!$SO$2:$SO$317),"")</f>
        <v>0</v>
      </c>
      <c r="IV31" s="7">
        <f>IFERROR(AVERAGEIF('Данные 1st'!$S$2:$S$317,$A31,'Данные 1st'!$SP$2:$SP$317),"")</f>
        <v>0</v>
      </c>
      <c r="IW31" s="7">
        <f>IFERROR(AVERAGEIF('Данные 1st'!$S$2:$S$317,$A31,'Данные 1st'!$SQ$2:$SQ$317),"")</f>
        <v>0</v>
      </c>
      <c r="IX31" s="7">
        <f>IFERROR(AVERAGEIF('Данные 1st'!$S$2:$S$317,$A31,'Данные 1st'!$SR$2:$SR$317),"")</f>
        <v>0</v>
      </c>
      <c r="IY31" s="7">
        <f>IFERROR(AVERAGEIF('Данные 1st'!$S$2:$S$317,$A31,'Данные 1st'!$SS$2:$SS$317),"")</f>
        <v>0</v>
      </c>
      <c r="IZ31" s="7">
        <f>IFERROR(AVERAGEIF('Данные 1st'!$S$2:$S$317,$A31,'Данные 1st'!$ST$2:$ST$317),"")</f>
        <v>0</v>
      </c>
      <c r="JA31" s="7">
        <f>IFERROR(AVERAGEIF('Данные 1st'!$S$2:$S$317,$A31,'Данные 1st'!$SU$2:$SU$317),"")</f>
        <v>0</v>
      </c>
      <c r="JB31" s="7">
        <f>IFERROR(AVERAGEIF('Данные 1st'!$S$2:$S$317,$A31,'Данные 1st'!$SV$2:$SV$317),"")</f>
        <v>0</v>
      </c>
      <c r="JC31" s="7">
        <f>IFERROR(AVERAGEIF('Данные 1st'!$S$2:$S$317,$A31,'Данные 1st'!$SW$2:$SW$317),"")</f>
        <v>0</v>
      </c>
      <c r="JD31" s="7">
        <f>IFERROR(AVERAGEIF('Данные 1st'!$S$2:$S$317,$A31,'Данные 1st'!$SX$2:$SX$317),"")</f>
        <v>0</v>
      </c>
      <c r="JE31" s="7">
        <f>IFERROR(AVERAGEIF('Данные 1st'!$S$2:$S$317,$A31,'Данные 1st'!$SY$2:$SY$317),"")</f>
        <v>1</v>
      </c>
      <c r="JF31" s="7">
        <f>IFERROR(AVERAGEIF('Данные 1st'!$S$2:$S$317,$A31,'Данные 1st'!$SZ$2:$SZ$317),"")</f>
        <v/>
      </c>
      <c r="JG31" s="7">
        <f>IFERROR(AVERAGEIF('Данные 1st'!$S$2:$S$317,$A31,'Данные 1st'!$TA$2:$TA$317),"")</f>
        <v/>
      </c>
      <c r="JH31" s="7">
        <f>IFERROR(AVERAGEIF('Данные 1st'!$S$2:$S$317,$A31,'Данные 1st'!$TB$2:$TB$317),"")</f>
        <v>0.5</v>
      </c>
      <c r="JI31" s="7">
        <f>IFERROR(AVERAGEIF('Данные 1st'!$S$2:$S$317,$A31,'Данные 1st'!$TC$2:$TC$317),"")</f>
        <v>0</v>
      </c>
      <c r="JJ31" s="7">
        <f>IFERROR(AVERAGEIF('Данные 1st'!$S$2:$S$317,$A31,'Данные 1st'!$TD$2:$TD$317),"")</f>
        <v>7.5</v>
      </c>
      <c r="JK31" s="7">
        <f>IFERROR(AVERAGEIF('Данные 1st'!$S$2:$S$317,$A31,'Данные 1st'!$TN$2:$TN$317),"")</f>
        <v>0</v>
      </c>
      <c r="JL31">
        <f>COUNTIF('Данные 2st'!$Q$2:$Q$317,$A31)</f>
        <v>8</v>
      </c>
      <c r="JM31" s="6" t="s">
        <v>5096</v>
      </c>
      <c r="JN31" s="6" t="s">
        <v>513</v>
      </c>
      <c r="JO31" s="6" t="s">
        <v>5125</v>
      </c>
      <c r="JP31" s="6" t="s">
        <v>5487</v>
      </c>
      <c r="JQ31" s="7">
        <f>IFERROR(AVERAGEIF('Данные 2st'!$Q$2:$Q$317,$A31,'Данные 2st'!$AC$2:$AC$317),"")</f>
        <v>10.375</v>
      </c>
      <c r="JR31" s="7">
        <f>IFERROR(AVERAGEIF('Данные 2st'!$Q$2:$Q$317,$A31,'Данные 2st'!$AF$2:$AF$317),"")</f>
        <v>3684.875</v>
      </c>
      <c r="JS31" s="7">
        <f>IFERROR(AVERAGEIF('Данные 2st'!$Q$2:$Q$317,$A31,'Данные 2st'!$AW$2:$AW$317),"")</f>
        <v>6.4</v>
      </c>
      <c r="JT31" s="7">
        <f>IFERROR(AVERAGEIF('Данные 2st'!$Q$2:$Q$317,$A31,'Данные 2st'!$AX$2:$AX$317),"")</f>
        <v>-6</v>
      </c>
      <c r="JU31" s="7">
        <f>IFERROR(AVERAGEIF('Данные 2st'!$Q$2:$Q$317,$A31,'Данные 2st'!$AY$2:$AY$317),"")</f>
        <v>101.6875</v>
      </c>
      <c r="JV31" s="7">
        <f>IFERROR(AVERAGEIF('Данные 2st'!$Q$2:$Q$317,$A31,'Данные 2st'!$AZ$2:$AZ$317),"")</f>
        <v>72.6875</v>
      </c>
      <c r="JW31" s="7">
        <f>IFERROR(AVERAGEIF('Данные 2st'!$Q$2:$Q$317,$A31,'Данные 2st'!$BA$2:$BA$317),"")</f>
        <v/>
      </c>
      <c r="JX31" s="7">
        <f>IFERROR(AVERAGEIF('Данные 2st'!$Q$2:$Q$317,$A31,'Данные 2st'!$BB$2:$BB$317),"")</f>
        <v/>
      </c>
      <c r="JY31" s="7">
        <f>IFERROR(AVERAGEIF('Данные 2st'!$Q$2:$Q$317,$A31,'Данные 2st'!$BC$2:$BC$317),"")</f>
        <v/>
      </c>
      <c r="JZ31" s="7">
        <f>IFERROR(AVERAGEIF('Данные 2st'!$Q$2:$Q$317,$A31,'Данные 2st'!$BH$2:$BH$317),"")</f>
        <v>101.6875</v>
      </c>
      <c r="KA31" s="7">
        <f>IFERROR(AVERAGEIF('Данные 2st'!$Q$2:$Q$317,$A31,'Данные 2st'!$BI$2:$BI$317),"")</f>
        <v>29</v>
      </c>
      <c r="KB31" s="7">
        <f>IFERROR(AVERAGEIF('Данные 2st'!$Q$2:$Q$317,$A31,'Данные 2st'!$BJ$2:$BJ$317),"")</f>
        <v>72.6875</v>
      </c>
      <c r="KC31" s="7">
        <f>IFERROR(AVERAGEIF('Данные 2st'!$Q$2:$Q$317,$A31,'Данные 2st'!$BK$2:$BK$317),"")</f>
        <v>2.9375</v>
      </c>
      <c r="KD31" s="7">
        <f>IFERROR(AVERAGEIF('Данные 2st'!$Q$2:$Q$317,$A31,'Данные 2st'!$BL$2:$BL$317),"")</f>
        <v>203.375</v>
      </c>
      <c r="KE31" s="7">
        <f>IFERROR(AVERAGEIF('Данные 2st'!$Q$2:$Q$317,$A31,'Данные 2st'!$BM$2:$BM$317),"")</f>
        <v>-6</v>
      </c>
      <c r="KF31" s="7">
        <f>IFERROR(AVERAGEIF('Данные 2st'!$Q$2:$Q$317,$A31,'Данные 2st'!$BN$2:$BN$317),"")</f>
        <v>0</v>
      </c>
      <c r="KG31" s="7">
        <f>IFERROR(AVERAGEIF('Данные 2st'!$Q$2:$Q$317,$A31,'Данные 2st'!$BO$2:$BO$317),"")</f>
        <v>0</v>
      </c>
      <c r="KH31" s="7">
        <f>IFERROR(AVERAGEIF('Данные 2st'!$Q$2:$Q$317,$A31,'Данные 2st'!$BP$2:$BP$317),"")</f>
        <v>0</v>
      </c>
      <c r="KI31" s="7">
        <f>IFERROR(AVERAGEIF('Данные 2st'!$Q$2:$Q$317,$A31,'Данные 2st'!$BR$2:$BR$317),"")</f>
        <v>197.5</v>
      </c>
      <c r="KJ31" s="7">
        <f>IFERROR(AVERAGEIF('Данные 2st'!$Q$2:$Q$317,$A31,'Данные 2st'!$BS$2:$BS$317),"")</f>
        <v>187.5</v>
      </c>
      <c r="KK31" s="7">
        <f>IFERROR(AVERAGEIF('Данные 2st'!$Q$2:$Q$317,$A31,'Данные 2st'!$BT$2:$BT$317),"")</f>
        <v>1851.875</v>
      </c>
      <c r="KL31" s="7">
        <f>IFERROR(AVERAGEIF('Данные 2st'!$Q$2:$Q$317,$A31,'Данные 2st'!$CV$2:$CV$317),"")</f>
        <v>125</v>
      </c>
      <c r="KM31" s="7">
        <f>IFERROR(AVERAGEIF('Данные 2st'!$Q$2:$Q$317,$A31,'Данные 2st'!$CW$2:$CW$317),"")</f>
        <v>3</v>
      </c>
      <c r="KN31" s="7">
        <f>IFERROR(AVERAGEIF('Данные 2st'!$Q$2:$Q$317,$A31,'Данные 2st'!$CX$2:$CX$317),"")</f>
        <v>98.125</v>
      </c>
      <c r="KO31" s="7">
        <f>IFERROR(AVERAGEIF('Данные 2st'!$Q$2:$Q$317,$A31,'Данные 2st'!$CY$2:$CY$317),"")</f>
        <v>5</v>
      </c>
      <c r="KP31" s="7">
        <f>IFERROR(AVERAGEIF('Данные 2st'!$Q$2:$Q$317,$A31,'Данные 2st'!$CZ$2:$CZ$317),"")</f>
        <v>110.25</v>
      </c>
      <c r="KQ31" s="7">
        <f>IFERROR(AVERAGEIF('Данные 2st'!$Q$2:$Q$317,$A31,'Данные 2st'!$DA$2:$DA$317),"")</f>
        <v>5</v>
      </c>
      <c r="KR31" s="7">
        <f>IFERROR(AVERAGEIF('Данные 2st'!$Q$2:$Q$317,$A31,'Данные 2st'!$DB$2:$DB$317),"")</f>
        <v>9211.25</v>
      </c>
      <c r="KS31" s="7">
        <f>IFERROR(AVERAGEIF('Данные 2st'!$Q$2:$Q$317,$A31,'Данные 2st'!$DC$2:$DC$317),"")</f>
        <v>261.25</v>
      </c>
      <c r="KT31" s="7">
        <f>IFERROR(AVERAGEIF('Данные 2st'!$Q$2:$Q$317,$A31,'Данные 2st'!$DD$2:$DD$317),"")</f>
        <v>301.625</v>
      </c>
      <c r="KU31" s="7">
        <f>IFERROR(AVERAGEIF('Данные 2st'!$Q$2:$Q$317,$A31,'Данные 2st'!$DE$2:$DE$317),"")</f>
        <v>1945.875</v>
      </c>
      <c r="KV31" s="7">
        <f>IFERROR(AVERAGEIF('Данные 2st'!$Q$2:$Q$317,$A31,'Данные 2st'!$DF$2:$DF$317),"")</f>
        <v>1947.625</v>
      </c>
      <c r="KW31" s="7">
        <f>IFERROR(AVERAGEIF('Данные 2st'!$Q$2:$Q$317,$A31,'Данные 2st'!$DG$2:$DG$317),"")</f>
        <v>1966.375</v>
      </c>
      <c r="KX31" s="7">
        <f>IFERROR(AVERAGEIF('Данные 2st'!$Q$2:$Q$317,$A31,'Данные 2st'!$DH$2:$DH$317),"")</f>
        <v>3</v>
      </c>
      <c r="KY31" s="7">
        <f>IFERROR(AVERAGEIF('Данные 2st'!$Q$2:$Q$317,$A31,'Данные 2st'!$DI$2:$DI$317),"")</f>
        <v/>
      </c>
      <c r="KZ31" s="7">
        <f>IFERROR(AVERAGEIF('Данные 2st'!$Q$2:$Q$317,$A31,'Данные 2st'!$DK$2:$DK$317),"")</f>
        <v>197.5</v>
      </c>
      <c r="LA31" s="7">
        <f>IFERROR(AVERAGEIF('Данные 2st'!$Q$2:$Q$317,$A31,'Данные 2st'!$DM$2:$DM$317),"")</f>
        <v>63.75</v>
      </c>
      <c r="LB31" s="7">
        <f>IFERROR(AVERAGEIF('Данные 2st'!$Q$2:$Q$317,$A31,'Данные 2st'!$DN$2:$DN$317),"")</f>
        <v>0.84</v>
      </c>
      <c r="LC31" s="7">
        <f>IFERROR(AVERAGEIF('Данные 2st'!$Q$2:$Q$317,$A31,'Данные 2st'!$DO$2:$DO$317),"")</f>
        <v>1</v>
      </c>
      <c r="LD31" s="7">
        <f>IFERROR(AVERAGEIF('Данные 2st'!$Q$2:$Q$317,$A31,'Данные 2st'!$DP$2:$DP$317),"")</f>
        <v>1854.875</v>
      </c>
      <c r="LE31" s="7">
        <f>IFERROR(AVERAGEIF('Данные 2st'!$Q$2:$Q$317,$A31,'Данные 2st'!$DQ$2:$DQ$317),"")</f>
        <v>669.5</v>
      </c>
      <c r="LF31" s="7">
        <f>IFERROR(AVERAGEIF('Данные 2st'!$Q$2:$Q$317,$A31,'Данные 2st'!$DS$2:$DS$317),"")</f>
        <v>187.5</v>
      </c>
      <c r="LG31" s="7">
        <f>IFERROR(AVERAGEIF('Данные 2st'!$Q$2:$Q$317,$A31,'Данные 2st'!$DU$2:$DU$317),"")</f>
        <v>63.75</v>
      </c>
      <c r="LH31" s="7">
        <f>IFERROR(AVERAGEIF('Данные 2st'!$Q$2:$Q$317,$A31,'Данные 2st'!$DV$2:$DV$317),"")</f>
        <v>0.84</v>
      </c>
      <c r="LI31" s="7">
        <f>IFERROR(AVERAGEIF('Данные 2st'!$Q$2:$Q$317,$A31,'Данные 2st'!$DW$2:$DW$317),"")</f>
        <v>1</v>
      </c>
      <c r="LJ31" s="7">
        <f>IFERROR(AVERAGEIF('Данные 2st'!$Q$2:$Q$317,$A31,'Данные 2st'!$DX$2:$DX$317),"")</f>
        <v>1861.875</v>
      </c>
      <c r="LK31" s="7">
        <f>IFERROR(AVERAGEIF('Данные 2st'!$Q$2:$Q$317,$A31,'Данные 2st'!$DY$2:$DY$317),"")</f>
        <v>637.5</v>
      </c>
      <c r="LL31" s="7">
        <f>IFERROR(AVERAGEIF('Данные 2st'!$Q$2:$Q$317,$A31,'Данные 2st'!$EA$2:$EA$317),"")</f>
        <v>33</v>
      </c>
      <c r="LM31" s="7">
        <f>IFERROR(AVERAGEIF('Данные 2st'!$Q$2:$Q$317,$A31,'Данные 2st'!$EC$2:$EC$317),"")</f>
        <v>0.4</v>
      </c>
      <c r="LN31" s="7">
        <f>IFERROR(AVERAGEIF('Данные 2st'!$Q$2:$Q$317,$A31,'Данные 2st'!$ED$2:$ED$317),"")</f>
        <v>1854.875</v>
      </c>
      <c r="LO31" s="7">
        <f>IFERROR(AVERAGEIF('Данные 2st'!$Q$2:$Q$317,$A31,'Данные 2st'!$EE$2:$EE$317),"")</f>
        <v>53.875</v>
      </c>
      <c r="LP31" s="7">
        <f>IFERROR(AVERAGEIF('Данные 2st'!$Q$2:$Q$317,$A31,'Данные 2st'!$EG$2:$EG$317),"")</f>
        <v>33</v>
      </c>
      <c r="LQ31" s="7">
        <f>IFERROR(AVERAGEIF('Данные 2st'!$Q$2:$Q$317,$A31,'Данные 2st'!$EI$2:$EI$317),"")</f>
        <v>0.4</v>
      </c>
      <c r="LR31" s="7">
        <f>IFERROR(AVERAGEIF('Данные 2st'!$Q$2:$Q$317,$A31,'Данные 2st'!$EJ$2:$EJ$317),"")</f>
        <v>1861.875</v>
      </c>
      <c r="LS31" s="7">
        <f>IFERROR(AVERAGEIF('Данные 2st'!$Q$2:$Q$317,$A31,'Данные 2st'!$EK$2:$EK$317),"")</f>
        <v>54.125</v>
      </c>
      <c r="LT31" s="7">
        <f>IFERROR(AVERAGEIF('Данные 2st'!$Q$2:$Q$317,$A31,'Данные 2st'!$EM$2:$EM$317),"")</f>
        <v>12</v>
      </c>
      <c r="LU31" s="7">
        <f>IFERROR(AVERAGEIF('Данные 2st'!$Q$2:$Q$317,$A31,'Данные 2st'!$EN$2:$EN$317),"")</f>
        <v>0.5</v>
      </c>
      <c r="LV31" s="7">
        <f>IFERROR(AVERAGEIF('Данные 2st'!$Q$2:$Q$317,$A31,'Данные 2st'!$EO$2:$EO$317),"")</f>
        <v>0.92875</v>
      </c>
      <c r="LW31" s="7">
        <f>IFERROR(AVERAGEIF('Данные 2st'!$Q$2:$Q$317,$A31,'Данные 2st'!$EP$2:$EP$317),"")</f>
        <v>1862.435</v>
      </c>
      <c r="LX31" s="7">
        <f>IFERROR(AVERAGEIF('Данные 2st'!$Q$2:$Q$317,$A31,'Данные 2st'!$EQ$2:$EQ$317),"")</f>
        <v>31336.91375</v>
      </c>
      <c r="LY31" s="7">
        <f>IFERROR(AVERAGEIF('Данные 2st'!$Q$2:$Q$317,$A31,'Данные 2st'!$ER$2:$ER$317),"")</f>
        <v>8468.06375</v>
      </c>
      <c r="LZ31" s="7">
        <f>IFERROR(AVERAGEIF('Данные 2st'!$Q$2:$Q$317,$A31,'Данные 2st'!$ES$2:$ES$317),"")</f>
        <v>0</v>
      </c>
      <c r="MA31" s="7">
        <f>IFERROR(AVERAGEIF('Данные 2st'!$Q$2:$Q$317,$A31,'Данные 2st'!$ET$2:$ET$317),"")</f>
        <v>0</v>
      </c>
      <c r="MB31" s="7">
        <f>IFERROR(AVERAGEIF('Данные 2st'!$Q$2:$Q$317,$A31,'Данные 2st'!$EU$2:$EU$317),"")</f>
        <v>1</v>
      </c>
      <c r="MC31" s="7">
        <f>IFERROR(AVERAGEIF('Данные 2st'!$Q$2:$Q$317,$A31,'Данные 2st'!$EV$2:$EV$317),"")</f>
        <v>39805.375</v>
      </c>
      <c r="MD31" s="7">
        <f>IFERROR(AVERAGEIF('Данные 2st'!$Q$2:$Q$317,$A31,'Данные 2st'!$EW$2:$EW$317),"")</f>
        <v>468.625</v>
      </c>
      <c r="ME31" s="7">
        <f>IFERROR(AVERAGEIF('Данные 2st'!$Q$2:$Q$317,$A31,'Данные 2st'!$EY$2:$EY$317),"")</f>
        <v>213.5</v>
      </c>
      <c r="MF31" s="7">
        <f>IFERROR(AVERAGEIF('Данные 2st'!$Q$2:$Q$317,$A31,'Данные 2st'!$FA$2:$FA$317),"")</f>
        <v>4.8625</v>
      </c>
      <c r="MG31" s="7">
        <f>IFERROR(AVERAGEIF('Данные 2st'!$Q$2:$Q$317,$A31,'Данные 2st'!$FB$2:$FB$317),"")</f>
        <v>1</v>
      </c>
      <c r="MH31" s="7">
        <f>IFERROR(AVERAGEIF('Данные 2st'!$Q$2:$Q$317,$A31,'Данные 2st'!$FC$2:$FC$317),"")</f>
        <v>1</v>
      </c>
      <c r="MI31" s="7">
        <f>IFERROR(AVERAGEIF('Данные 2st'!$Q$2:$Q$317,$A31,'Данные 2st'!$FD$2:$FD$317),"")</f>
        <v>1893.25</v>
      </c>
      <c r="MJ31" s="7">
        <f>IFERROR(AVERAGEIF('Данные 2st'!$Q$2:$Q$317,$A31,'Данные 2st'!$FE$2:$FE$317),"")</f>
        <v>2124.75</v>
      </c>
      <c r="MK31" s="7">
        <f>IFERROR(AVERAGEIF('Данные 2st'!$Q$2:$Q$317,$A31,'Данные 2st'!$FG$2:$FG$317),"")</f>
        <v>214.5</v>
      </c>
      <c r="ML31" s="7">
        <f>IFERROR(AVERAGEIF('Данные 2st'!$Q$2:$Q$317,$A31,'Данные 2st'!$FI$2:$FI$317),"")</f>
        <v>2.4375</v>
      </c>
      <c r="MM31" s="7">
        <f>IFERROR(AVERAGEIF('Данные 2st'!$Q$2:$Q$317,$A31,'Данные 2st'!$FJ$2:$FJ$317),"")</f>
        <v>1893.25</v>
      </c>
      <c r="MN31" s="7">
        <f>IFERROR(AVERAGEIF('Данные 2st'!$Q$2:$Q$317,$A31,'Данные 2st'!$FK$2:$FK$317),"")</f>
        <v>1165.125</v>
      </c>
      <c r="MO31" s="7">
        <f>IFERROR(AVERAGEIF('Данные 2st'!$Q$2:$Q$317,$A31,'Данные 2st'!$FP$2:$FP$317),"")</f>
        <v>1893.25</v>
      </c>
      <c r="MP31" s="7">
        <f>IFERROR(AVERAGEIF('Данные 2st'!$Q$2:$Q$317,$A31,'Данные 2st'!$FQ$2:$FQ$317),"")</f>
        <v>149.25</v>
      </c>
      <c r="MQ31" s="7">
        <f>IFERROR(AVERAGEIF('Данные 2st'!$Q$2:$Q$317,$A31,'Данные 2st'!$FS$2:$FS$317),"")</f>
        <v>218.5</v>
      </c>
      <c r="MR31" s="7">
        <f>IFERROR(AVERAGEIF('Данные 2st'!$Q$2:$Q$317,$A31,'Данные 2st'!$FU$2:$FU$317),"")</f>
        <v>0.4</v>
      </c>
      <c r="MS31" s="7">
        <f>IFERROR(AVERAGEIF('Данные 2st'!$Q$2:$Q$317,$A31,'Данные 2st'!$FV$2:$FV$317),"")</f>
        <v>1893.25</v>
      </c>
      <c r="MT31" s="7">
        <f>IFERROR(AVERAGEIF('Данные 2st'!$Q$2:$Q$317,$A31,'Данные 2st'!$FW$2:$FW$317),"")</f>
        <v>184.125</v>
      </c>
      <c r="MU31" s="7">
        <f>IFERROR(AVERAGEIF('Данные 2st'!$Q$2:$Q$317,$A31,'Данные 2st'!$FY$2:$FY$317),"")</f>
        <v>5</v>
      </c>
      <c r="MV31" s="7">
        <f>IFERROR(AVERAGEIF('Данные 2st'!$Q$2:$Q$317,$A31,'Данные 2st'!$GB$2:$GB$317),"")</f>
        <v>1895.142857142857</v>
      </c>
      <c r="MW31" s="7">
        <f>IFERROR(AVERAGEIF('Данные 2st'!$Q$2:$Q$317,$A31,'Данные 2st'!$GC$2:$GC$317),"")</f>
        <v>16</v>
      </c>
      <c r="MX31" s="7">
        <f>IFERROR(AVERAGEIF('Данные 2st'!$Q$2:$Q$317,$A31,'Данные 2st'!$GD$2:$GD$317),"")</f>
        <v>3637.25</v>
      </c>
      <c r="MY31" s="7">
        <f>IFERROR(AVERAGEIF('Данные 2st'!$Q$2:$Q$317,$A31,'Данные 2st'!$GN$2:$GN$317),"")</f>
        <v/>
      </c>
      <c r="MZ31" s="7">
        <f>IFERROR(AVERAGEIF('Данные 2st'!$Q$2:$Q$317,$A31,'Данные 2st'!$GQ$2:$GQ$317),"")</f>
        <v>0</v>
      </c>
      <c r="NA31" s="7">
        <f>IFERROR(AVERAGEIF('Данные 2st'!$Q$2:$Q$317,$A31,'Данные 2st'!$GV$2:$GV$317),"")</f>
        <v>7.7</v>
      </c>
      <c r="NB31" s="7">
        <f>IFERROR(AVERAGEIF('Данные 2st'!$Q$2:$Q$317,$A31,'Данные 2st'!$GW$2:$GW$317),"")</f>
        <v>9.3875</v>
      </c>
      <c r="NC31" s="7">
        <f>IFERROR(AVERAGEIF('Данные 2st'!$Q$2:$Q$317,$A31,'Данные 2st'!$GX$2:$GX$317),"")</f>
        <v>0.5</v>
      </c>
      <c r="ND31" s="7">
        <f>IFERROR(AVERAGEIF('Данные 2st'!$Q$2:$Q$317,$A31,'Данные 2st'!$GY$2:$GY$317),"")</f>
        <v>189</v>
      </c>
      <c r="NE31" s="7">
        <f>IFERROR(AVERAGEIF('Данные 2st'!$Q$2:$Q$317,$A31,'Данные 2st'!$GZ$2:$GZ$317),"")</f>
        <v>3</v>
      </c>
      <c r="NF31" s="7">
        <f>IFERROR(AVERAGEIF('Данные 2st'!$Q$2:$Q$317,$A31,'Данные 2st'!$HA$2:$HA$317),"")</f>
        <v>234.5</v>
      </c>
      <c r="NG31" s="7">
        <f>IFERROR(AVERAGEIF('Данные 2st'!$Q$2:$Q$317,$A31,'Данные 2st'!$HB$2:$HB$317),"")</f>
        <v>3</v>
      </c>
      <c r="NH31" s="7">
        <f>IFERROR(AVERAGEIF('Данные 2st'!$Q$2:$Q$317,$A31,'Данные 2st'!$HC$2:$HC$317),"")</f>
        <v>1893.25</v>
      </c>
      <c r="NI31" s="7">
        <f>IFERROR(AVERAGEIF('Данные 2st'!$Q$2:$Q$317,$A31,'Данные 2st'!$HD$2:$HD$317),"")</f>
        <v>4</v>
      </c>
      <c r="NJ31" s="7">
        <f>IFERROR(AVERAGEIF('Данные 2st'!$Q$2:$Q$317,$A31,'Данные 2st'!$HM$2:$HM$317),"")</f>
        <v>17</v>
      </c>
      <c r="NK31" s="7">
        <f>IFERROR(AVERAGEIF('Данные 2st'!$Q$2:$Q$317,$A31,'Данные 2st'!$HR$2:$HR$317),"")</f>
        <v>1.875</v>
      </c>
      <c r="NL31" s="7">
        <f>IFERROR(AVERAGEIF('Данные 2st'!$Q$2:$Q$317,$A31,'Данные 2st'!$HS$2:$HS$317),"")</f>
        <v>1851.875</v>
      </c>
      <c r="NM31" s="7">
        <f>IFERROR(AVERAGEIF('Данные 2st'!$Q$2:$Q$317,$A31,'Данные 2st'!$HT$2:$HT$317),"")</f>
        <v>5</v>
      </c>
      <c r="NN31" s="7">
        <f>IFERROR(AVERAGEIF('Данные 2st'!$Q$2:$Q$317,$A31,'Данные 2st'!$HY$2:$HY$317),"")</f>
        <v>0</v>
      </c>
      <c r="NO31" s="7">
        <f>IFERROR(AVERAGEIF('Данные 2st'!$Q$2:$Q$317,$A31,'Данные 2st'!$HZ$2:$HZ$317),"")</f>
        <v>63.75</v>
      </c>
      <c r="NP31" s="7">
        <f>IFERROR(AVERAGEIF('Данные 2st'!$Q$2:$Q$317,$A31,'Данные 2st'!$IA$2:$IA$317),"")</f>
        <v>1854.875</v>
      </c>
      <c r="NQ31" s="7">
        <f>IFERROR(AVERAGEIF('Данные 2st'!$Q$2:$Q$317,$A31,'Данные 2st'!$IB$2:$IB$317),"")</f>
        <v>1861.875</v>
      </c>
      <c r="NR31" s="7">
        <f>IFERROR(AVERAGEIF('Данные 2st'!$Q$2:$Q$317,$A31,'Данные 2st'!$IC$2:$IC$317),"")</f>
        <v/>
      </c>
      <c r="NS31" s="7">
        <f>IFERROR(AVERAGEIF('Данные 2st'!$Q$2:$Q$317,$A31,'Данные 2st'!$ID$2:$ID$317),"")</f>
        <v>1893.25</v>
      </c>
      <c r="NT31" s="7">
        <f>IFERROR(AVERAGEIF('Данные 2st'!$Q$2:$Q$317,$A31,'Данные 2st'!$IE$2:$IE$317),"")</f>
        <v>1893.25</v>
      </c>
      <c r="NU31" s="7">
        <f>IFERROR(AVERAGEIF('Данные 2st'!$Q$2:$Q$317,$A31,'Данные 2st'!$IF$2:$IF$317),"")</f>
        <v>197.5</v>
      </c>
      <c r="NV31" s="7">
        <f>IFERROR(AVERAGEIF('Данные 2st'!$Q$2:$Q$317,$A31,'Данные 2st'!$IG$2:$IG$317),"")</f>
        <v>187.5</v>
      </c>
      <c r="NW31" s="7">
        <f>IFERROR(AVERAGEIF('Данные 2st'!$Q$2:$Q$317,$A31,'Данные 2st'!$IH$2:$IH$317),"")</f>
        <v>234.5</v>
      </c>
      <c r="NX31" s="7">
        <f>IFERROR(AVERAGEIF('Данные 2st'!$Q$2:$Q$317,$A31,'Данные 2st'!$IJ$2:$IJ$317),"")</f>
        <v>5</v>
      </c>
      <c r="NY31" s="7">
        <f>IFERROR(AVERAGEIF('Данные 2st'!$Q$2:$Q$317,$A31,'Данные 2st'!$IM$2:$IM$317),"")</f>
        <v>0</v>
      </c>
      <c r="NZ31" s="7">
        <f>IFERROR(AVERAGEIF('Данные 2st'!$Q$2:$Q$317,$A31,'Данные 2st'!$IN$2:$IN$317),"")</f>
        <v>236.25</v>
      </c>
      <c r="OA31" s="7">
        <f>IFERROR(AVERAGEIF('Данные 2st'!$Q$2:$Q$317,$A31,'Данные 2st'!$IO$2:$IO$317),"")</f>
        <v>0</v>
      </c>
      <c r="OB31" s="7">
        <f>IFERROR(AVERAGEIF('Данные 2st'!$Q$2:$Q$317,$A31,'Данные 2st'!$IP$2:$IP$317),"")</f>
        <v>172.5</v>
      </c>
      <c r="OC31" s="7">
        <f>IFERROR(AVERAGEIF('Данные 2st'!$Q$2:$Q$317,$A31,'Данные 2st'!$IQ$2:$IQ$317),"")</f>
        <v>0</v>
      </c>
      <c r="OD31" s="7">
        <f>IFERROR(AVERAGEIF('Данные 2st'!$Q$2:$Q$317,$A31,'Данные 2st'!$IR$2:$IR$317),"")</f>
        <v>328.75</v>
      </c>
      <c r="OE31" s="7">
        <f>IFERROR(AVERAGEIF('Данные 2st'!$Q$2:$Q$317,$A31,'Данные 2st'!$IT$2:$IT$317),"")</f>
        <v>90</v>
      </c>
      <c r="OF31" s="7">
        <f>IFERROR(AVERAGEIF('Данные 2st'!$Q$2:$Q$317,$A31,'Данные 2st'!$IU$2:$IU$317),"")</f>
        <v>0</v>
      </c>
      <c r="OG31" s="7">
        <f>IFERROR(AVERAGEIF('Данные 2st'!$Q$2:$Q$317,$A31,'Данные 2st'!$IV$2:$IV$317),"")</f>
        <v>6.4</v>
      </c>
      <c r="OH31" s="7">
        <f>IFERROR(AVERAGEIF('Данные 2st'!$Q$2:$Q$317,$A31,'Данные 2st'!$IW$2:$IW$317),"")</f>
        <v>-6</v>
      </c>
      <c r="OI31" s="7">
        <f>IFERROR(AVERAGEIF('Данные 2st'!$Q$2:$Q$317,$A31,'Данные 2st'!$IX$2:$IX$317),"")</f>
        <v>101.6875</v>
      </c>
      <c r="OJ31" s="7">
        <f>IFERROR(AVERAGEIF('Данные 2st'!$Q$2:$Q$317,$A31,'Данные 2st'!$IY$2:$IY$317),"")</f>
        <v>72.6875</v>
      </c>
      <c r="OK31" s="7">
        <f>IFERROR(AVERAGEIF('Данные 2st'!$Q$2:$Q$317,$A31,'Данные 2st'!$IZ$2:$IZ$317),"")</f>
        <v>0</v>
      </c>
      <c r="OL31" s="7">
        <f>IFERROR(AVERAGEIF('Данные 2st'!$Q$2:$Q$317,$A31,'Данные 2st'!$JA$2:$JA$317),"")</f>
        <v>0</v>
      </c>
      <c r="OM31" s="7">
        <f>IFERROR(AVERAGEIF('Данные 2st'!$Q$2:$Q$317,$A31,'Данные 2st'!$JB$2:$JB$317),"")</f>
        <v>0</v>
      </c>
      <c r="ON31" s="7">
        <f>IFERROR(AVERAGEIF('Данные 2st'!$Q$2:$Q$317,$A31,'Данные 2st'!$JC$2:$JC$317),"")</f>
        <v>0</v>
      </c>
      <c r="OO31" s="7">
        <f>IFERROR(AVERAGEIF('Данные 2st'!$Q$2:$Q$317,$A31,'Данные 2st'!$JD$2:$JD$317),"")</f>
        <v>0</v>
      </c>
      <c r="OP31" s="7">
        <f>IFERROR(AVERAGEIF('Данные 2st'!$Q$2:$Q$317,$A31,'Данные 2st'!$JE$2:$JE$317),"")</f>
        <v>0</v>
      </c>
      <c r="OQ31" s="7">
        <f>IFERROR(AVERAGEIF('Данные 2st'!$Q$2:$Q$317,$A31,'Данные 2st'!$JF$2:$JF$317),"")</f>
        <v>0</v>
      </c>
      <c r="OR31" s="7">
        <f>IFERROR(AVERAGEIF('Данные 2st'!$Q$2:$Q$317,$A31,'Данные 2st'!$JG$2:$JG$317),"")</f>
        <v>0</v>
      </c>
      <c r="OS31" s="7">
        <f>IFERROR(AVERAGEIF('Данные 2st'!$Q$2:$Q$317,$A31,'Данные 2st'!$JH$2:$JH$317),"")</f>
        <v>0</v>
      </c>
      <c r="OT31" s="7">
        <f>IFERROR(AVERAGEIF('Данные 2st'!$Q$2:$Q$317,$A31,'Данные 2st'!$JI$2:$JI$317),"")</f>
        <v>335.25</v>
      </c>
      <c r="OU31" s="7">
        <f>IFERROR(AVERAGEIF('Данные 2st'!$Q$2:$Q$317,$A31,'Данные 2st'!$JJ$2:$JJ$317),"")</f>
        <v>308.25</v>
      </c>
      <c r="OV31" s="7">
        <f>IFERROR(AVERAGEIF('Данные 2st'!$Q$2:$Q$317,$A31,'Данные 2st'!$JK$2:$JK$317),"")</f>
        <v>229.5</v>
      </c>
      <c r="OW31" s="7">
        <f>IFERROR(AVERAGEIF('Данные 2st'!$Q$2:$Q$317,$A31,'Данные 2st'!$JL$2:$JL$317),"")</f>
        <v>305</v>
      </c>
      <c r="OX31" s="7">
        <f>IFERROR(AVERAGEIF('Данные 2st'!$Q$2:$Q$317,$A31,'Данные 2st'!$JM$2:$JM$317),"")</f>
        <v>241</v>
      </c>
      <c r="OY31" s="7">
        <f>IFERROR(AVERAGEIF('Данные 2st'!$Q$2:$Q$317,$A31,'Данные 2st'!$JP$2:$JP$317),"")</f>
        <v>223.75</v>
      </c>
      <c r="OZ31" s="7">
        <f>IFERROR(AVERAGEIF('Данные 2st'!$Q$2:$Q$317,$A31,'Данные 2st'!$JQ$2:$JQ$317),"")</f>
        <v>258.375</v>
      </c>
      <c r="PA31" s="7">
        <f>IFERROR(AVERAGEIF('Данные 2st'!$Q$2:$Q$317,$A31,'Данные 2st'!$JR$2:$JR$317),"")</f>
        <v>327</v>
      </c>
      <c r="PB31" s="7">
        <f>IFERROR(AVERAGEIF('Данные 2st'!$Q$2:$Q$317,$A31,'Данные 2st'!$JS$2:$JS$317),"")</f>
        <v>281.25</v>
      </c>
      <c r="PC31" s="7">
        <f>IFERROR(AVERAGEIF('Данные 2st'!$Q$2:$Q$317,$A31,'Данные 2st'!$JT$2:$JT$317),"")</f>
        <v>0</v>
      </c>
      <c r="PD31" s="7">
        <f>IFERROR(AVERAGEIF('Данные 2st'!$Q$2:$Q$317,$A31,'Данные 2st'!$JU$2:$JU$317),"")</f>
        <v>0</v>
      </c>
      <c r="PE31" s="7">
        <f>IFERROR(AVERAGEIF('Данные 2st'!$Q$2:$Q$317,$A31,'Данные 2st'!$JV$2:$JV$317),"")</f>
        <v>307.875</v>
      </c>
      <c r="PF31" s="7">
        <f>IFERROR(AVERAGEIF('Данные 2st'!$Q$2:$Q$317,$A31,'Данные 2st'!$JW$2:$JW$317),"")</f>
        <v>313.875</v>
      </c>
      <c r="PG31" s="7">
        <f>IFERROR(AVERAGEIF('Данные 2st'!$Q$2:$Q$317,$A31,'Данные 2st'!$KF$2:$KF$317),"")</f>
        <v>0.19625</v>
      </c>
      <c r="PH31" s="7">
        <f>IFERROR(AVERAGEIF('Данные 2st'!$Q$2:$Q$317,$A31,'Данные 2st'!$KG$2:$KG$317),"")</f>
        <v>0.10250000000000001</v>
      </c>
      <c r="PI31" s="7">
        <f>IFERROR(AVERAGEIF('Данные 2st'!$Q$2:$Q$317,$A31,'Данные 2st'!$KM$2:$KM$317),"")</f>
        <v>0.625</v>
      </c>
      <c r="PJ31" s="7">
        <f>IFERROR(AVERAGEIF('Данные 2st'!$Q$2:$Q$317,$A31,'Данные 2st'!$KN$2:$KN$317),"")</f>
        <v>1.3125</v>
      </c>
      <c r="PK31" s="7">
        <f>IFERROR(AVERAGEIF('Данные 2st'!$Q$2:$Q$317,$A31,'Данные 2st'!$KO$2:$KO$317),"")</f>
        <v>0</v>
      </c>
      <c r="PL31" s="7">
        <f>IFERROR(AVERAGEIF('Данные 2st'!$Q$2:$Q$317,$A31,'Данные 2st'!$KP$2:$KP$317),"")</f>
        <v>0</v>
      </c>
      <c r="PM31" s="7">
        <f>IFERROR(AVERAGEIF('Данные 2st'!$Q$2:$Q$317,$A31,'Данные 2st'!$KQ$2:$KQ$317),"")</f>
        <v>0.875</v>
      </c>
      <c r="PN31" s="7">
        <f>IFERROR(AVERAGEIF('Данные 2st'!$Q$2:$Q$317,$A31,'Данные 2st'!$KR$2:$KR$317),"")</f>
        <v>0.925</v>
      </c>
      <c r="PO31" s="7">
        <f>IFERROR(AVERAGEIF('Данные 2st'!$Q$2:$Q$317,$A31,'Данные 2st'!$KS$2:$KS$317),"")</f>
        <v>0</v>
      </c>
      <c r="PP31" s="7">
        <f>IFERROR(AVERAGEIF('Данные 2st'!$Q$2:$Q$317,$A31,'Данные 2st'!$KT$2:$KT$317),"")</f>
        <v>2.625</v>
      </c>
      <c r="PQ31" s="7">
        <f>IFERROR(AVERAGEIF('Данные 2st'!$Q$2:$Q$317,$A31,'Данные 2st'!$KU$2:$KU$317),"")</f>
        <v>0</v>
      </c>
      <c r="PR31" s="7">
        <f>IFERROR(AVERAGEIF('Данные 2st'!$Q$2:$Q$317,$A31,'Данные 2st'!$KV$2:$KV$317),"")</f>
        <v>0</v>
      </c>
      <c r="PS31" s="7">
        <f>IFERROR(AVERAGEIF('Данные 2st'!$Q$2:$Q$317,$A31,'Данные 2st'!$KW$2:$KW$317),"")</f>
        <v>1.075</v>
      </c>
      <c r="PT31" s="7">
        <f>IFERROR(AVERAGEIF('Данные 2st'!$Q$2:$Q$317,$A31,'Данные 2st'!$KX$2:$KX$317),"")</f>
        <v>1.875</v>
      </c>
      <c r="PU31" s="7">
        <f>IFERROR(AVERAGEIF('Данные 2st'!$Q$2:$Q$317,$A31,'Данные 2st'!$KY$2:$KY$317),"")</f>
        <v>0.5</v>
      </c>
      <c r="PV31" s="7">
        <f>IFERROR(AVERAGEIF('Данные 2st'!$Q$2:$Q$317,$A31,'Данные 2st'!$KZ$2:$KZ$317),"")</f>
        <v>0</v>
      </c>
      <c r="PW31" s="7">
        <f>IFERROR(AVERAGEIF('Данные 2st'!$Q$2:$Q$317,$A31,'Данные 2st'!$LA$2:$LA$317),"")</f>
        <v>0</v>
      </c>
      <c r="PX31" s="7">
        <f>IFERROR(AVERAGEIF('Данные 2st'!$Q$2:$Q$317,$A31,'Данные 2st'!$LB$2:$LB$317),"")</f>
        <v>0</v>
      </c>
      <c r="PY31" s="7">
        <f>IFERROR(AVERAGEIF('Данные 2st'!$Q$2:$Q$317,$A31,'Данные 2st'!$LC$2:$LC$317),"")</f>
        <v>0</v>
      </c>
      <c r="PZ31" s="7">
        <f>IFERROR(AVERAGEIF('Данные 2st'!$Q$2:$Q$317,$A31,'Данные 2st'!$LD$2:$LD$317),"")</f>
        <v>0</v>
      </c>
      <c r="QA31" s="7">
        <f>IFERROR(AVERAGEIF('Данные 2st'!$Q$2:$Q$317,$A31,'Данные 2st'!$LE$2:$LE$317),"")</f>
        <v>0</v>
      </c>
      <c r="QB31" s="7">
        <f>IFERROR(AVERAGEIF('Данные 2st'!$Q$2:$Q$317,$A31,'Данные 2st'!$LF$2:$LF$317),"")</f>
        <v>0</v>
      </c>
      <c r="QC31" s="7">
        <f>IFERROR(AVERAGEIF('Данные 2st'!$Q$2:$Q$317,$A31,'Данные 2st'!$LG$2:$LG$317),"")</f>
        <v>0</v>
      </c>
      <c r="QD31" s="7">
        <f>IFERROR(AVERAGEIF('Данные 2st'!$Q$2:$Q$317,$A31,'Данные 2st'!$LH$2:$LH$317),"")</f>
        <v>1.5</v>
      </c>
      <c r="QE31" s="7">
        <f>IFERROR(AVERAGEIF('Данные 2st'!$Q$2:$Q$317,$A31,'Данные 2st'!$LJ$2:$LJ$317),"")</f>
        <v>0</v>
      </c>
      <c r="QF31" s="7">
        <f>IFERROR(AVERAGEIF('Данные 2st'!$Q$2:$Q$317,$A31,'Данные 2st'!$LK$2:$LK$317),"")</f>
        <v>3.6875</v>
      </c>
      <c r="QG31" s="7">
        <f>IFERROR(AVERAGEIF('Данные 2st'!$Q$2:$Q$317,$A31,'Данные 2st'!$LL$2:$LL$317),"")</f>
        <v>5.5</v>
      </c>
      <c r="QH31" s="7">
        <f>IFERROR(AVERAGEIF('Данные 2st'!$Q$2:$Q$317,$A31,'Данные 2st'!$LM$2:$LM$317),"")</f>
        <v>6.0625</v>
      </c>
      <c r="QI31" s="7">
        <f>IFERROR(AVERAGEIF('Данные 2st'!$Q$2:$Q$317,$A31,'Данные 2st'!$LN$2:$LN$317),"")</f>
        <v>0.35</v>
      </c>
      <c r="QJ31" s="7">
        <f>IFERROR(AVERAGEIF('Данные 2st'!$Q$2:$Q$317,$A31,'Данные 2st'!$LO$2:$LO$317),"")</f>
        <v>0.525</v>
      </c>
      <c r="QK31" s="7">
        <f>IFERROR(AVERAGEIF('Данные 2st'!$Q$2:$Q$317,$A31,'Данные 2st'!$LP$2:$LP$317),"")</f>
        <v>0</v>
      </c>
      <c r="QL31" s="7">
        <f>IFERROR(AVERAGEIF('Данные 2st'!$Q$2:$Q$317,$A31,'Данные 2st'!$LQ$2:$LQ$317),"")</f>
        <v>0</v>
      </c>
      <c r="QM31" s="7">
        <f>IFERROR(AVERAGEIF('Данные 2st'!$Q$2:$Q$317,$A31,'Данные 2st'!$LW$2:$LW$317),"")</f>
        <v>1.5499999999999998</v>
      </c>
      <c r="QN31" s="7">
        <f>IFERROR(AVERAGEIF('Данные 2st'!$Q$2:$Q$317,$A31,'Данные 2st'!$LX$2:$LX$317),"")</f>
        <v>1.5499999999999998</v>
      </c>
      <c r="QO31" s="7">
        <f>IFERROR(AVERAGEIF('Данные 2st'!$Q$2:$Q$317,$A31,'Данные 2st'!$LY$2:$LY$317),"")</f>
        <v>1.85</v>
      </c>
      <c r="QP31" s="7">
        <f>IFERROR(AVERAGEIF('Данные 2st'!$Q$2:$Q$317,$A31,'Данные 2st'!$LZ$2:$LZ$317),"")</f>
        <v>1.85</v>
      </c>
      <c r="QQ31" s="7">
        <f>IFERROR(AVERAGEIF('Данные 2st'!$Q$2:$Q$317,$A31,'Данные 2st'!$MB$2:$MB$317),"")</f>
        <v>3.75</v>
      </c>
      <c r="QR31" s="7">
        <f>IFERROR(AVERAGEIF('Данные 2st'!$Q$2:$Q$317,$A31,'Данные 2st'!$MG$2:$MG$317),"")</f>
        <v>13.333333333333334</v>
      </c>
      <c r="QS31" s="7">
        <f>IFERROR(AVERAGEIF('Данные 2st'!$Q$2:$Q$317,$A31,'Данные 2st'!$MH$2:$MH$317),"")</f>
        <v>13.333333333333334</v>
      </c>
      <c r="QT31" s="7">
        <f>IFERROR(AVERAGEIF('Данные 2st'!$Q$2:$Q$317,$A31,'Данные 2st'!$MI$2:$MI$317),"")</f>
        <v>0</v>
      </c>
      <c r="QU31" s="7">
        <f>IFERROR(AVERAGEIF('Данные 2st'!$Q$2:$Q$317,$A31,'Данные 2st'!$MJ$2:$MJ$317),"")</f>
        <v>0</v>
      </c>
      <c r="QV31" s="7">
        <f>IFERROR(AVERAGEIF('Данные 2st'!$Q$2:$Q$317,$A31,'Данные 2st'!$MK$2:$MK$317),"")</f>
        <v>0</v>
      </c>
      <c r="QW31" s="7">
        <f>IFERROR(AVERAGEIF('Данные 2st'!$Q$2:$Q$317,$A31,'Данные 2st'!$MM$2:$MM$317),"")</f>
        <v>366</v>
      </c>
      <c r="QX31" s="7">
        <f>IFERROR(AVERAGEIF('Данные 2st'!$Q$2:$Q$317,$A31,'Данные 2st'!$MQ$2:$MQ$317),"")</f>
        <v/>
      </c>
      <c r="QY31" s="7">
        <f>IFERROR(AVERAGEIF('Данные 2st'!$Q$2:$Q$317,$A31,'Данные 2st'!$MR$2:$MR$317),"")</f>
        <v/>
      </c>
      <c r="QZ31" s="7">
        <f>IFERROR(AVERAGEIF('Данные 2st'!$Q$2:$Q$317,$A31,'Данные 2st'!$MS$2:$MS$317),"")</f>
        <v/>
      </c>
      <c r="RA31" s="7">
        <f>IFERROR(AVERAGEIF('Данные 2st'!$Q$2:$Q$317,$A31,'Данные 2st'!$MT$2:$MT$317),"")</f>
        <v/>
      </c>
      <c r="RB31" s="7">
        <f>IFERROR(AVERAGEIF('Данные 2st'!$Q$2:$Q$317,$A31,'Данные 2st'!$MU$2:$MU$317),"")</f>
        <v/>
      </c>
      <c r="RC31" s="7">
        <f>IFERROR(AVERAGEIF('Данные 2st'!$Q$2:$Q$317,$A31,'Данные 2st'!$MV$2:$MV$317),"")</f>
        <v/>
      </c>
      <c r="RD31" s="7">
        <f>IFERROR(AVERAGEIF('Данные 2st'!$Q$2:$Q$317,$A31,'Данные 2st'!$MW$2:$MW$317),"")</f>
        <v/>
      </c>
      <c r="RE31" s="7">
        <f>IFERROR(AVERAGEIF('Данные 2st'!$Q$2:$Q$317,$A31,'Данные 2st'!$MX$2:$MX$317),"")</f>
        <v/>
      </c>
      <c r="RF31" s="7">
        <f>IFERROR(AVERAGEIF('Данные 2st'!$Q$2:$Q$317,$A31,'Данные 2st'!$MY$2:$MY$317),"")</f>
        <v/>
      </c>
      <c r="RG31" s="7">
        <f>IFERROR(AVERAGEIF('Данные 2st'!$Q$2:$Q$317,$A31,'Данные 2st'!$MZ$2:$MZ$317),"")</f>
        <v/>
      </c>
      <c r="RH31" s="7">
        <f>IFERROR(AVERAGEIF('Данные 2st'!$Q$2:$Q$317,$A31,'Данные 2st'!$NA$2:$NA$317),"")</f>
        <v/>
      </c>
      <c r="RI31" s="7">
        <f>IFERROR(AVERAGEIF('Данные 2st'!$Q$2:$Q$317,$A31,'Данные 2st'!$NB$2:$NB$317),"")</f>
        <v/>
      </c>
      <c r="RJ31" s="7">
        <f>IFERROR(AVERAGEIF('Данные 2st'!$Q$2:$Q$317,$A31,'Данные 2st'!$NC$2:$NC$317),"")</f>
        <v/>
      </c>
      <c r="RK31" s="7">
        <f>IFERROR(AVERAGEIF('Данные 2st'!$Q$2:$Q$317,$A31,'Данные 2st'!$ND$2:$ND$317),"")</f>
        <v/>
      </c>
      <c r="RL31" s="7">
        <f>IFERROR(AVERAGEIF('Данные 2st'!$Q$2:$Q$317,$A31,'Данные 2st'!$NE$2:$NE$317),"")</f>
        <v/>
      </c>
      <c r="RM31" s="7">
        <f>IFERROR(AVERAGEIF('Данные 2st'!$Q$2:$Q$317,$A31,'Данные 2st'!$NF$2:$NF$317),"")</f>
        <v/>
      </c>
      <c r="RN31" s="7">
        <f>IFERROR(AVERAGEIF('Данные 2st'!$Q$2:$Q$317,$A31,'Данные 2st'!$NG$2:$NG$317),"")</f>
        <v/>
      </c>
      <c r="RO31" s="7">
        <f>IFERROR(AVERAGEIF('Данные 2st'!$Q$2:$Q$317,$A31,'Данные 2st'!$NH$2:$NH$317),"")</f>
        <v/>
      </c>
      <c r="RP31" s="7">
        <f>IFERROR(AVERAGEIF('Данные 2st'!$Q$2:$Q$317,$A31,'Данные 2st'!$NJ$2:$NJ$317),"")</f>
        <v/>
      </c>
      <c r="RQ31" s="7">
        <f>IFERROR(AVERAGEIF('Данные 2st'!$Q$2:$Q$317,$A31,'Данные 2st'!$NK$2:$NK$317),"")</f>
        <v/>
      </c>
      <c r="RR31" s="7">
        <f>IFERROR(AVERAGEIF('Данные 2st'!$Q$2:$Q$317,$A31,'Данные 2st'!$NM$2:$NM$317),"")</f>
        <v/>
      </c>
      <c r="RS31" s="7">
        <f>IFERROR(AVERAGEIF('Данные 2st'!$Q$2:$Q$317,$A31,'Данные 2st'!$NN$2:$NN$317),"")</f>
        <v/>
      </c>
      <c r="RT31" s="7">
        <f>IFERROR(AVERAGEIF('Данные 2st'!$Q$2:$Q$317,$A31,'Данные 2st'!$NO$2:$NO$317),"")</f>
        <v/>
      </c>
      <c r="RU31" s="7">
        <f>IFERROR(AVERAGEIF('Данные 2st'!$Q$2:$Q$317,$A31,'Данные 2st'!$NP$2:$NP$317),"")</f>
        <v/>
      </c>
      <c r="RV31" s="7">
        <f>IFERROR(AVERAGEIF('Данные 2st'!$Q$2:$Q$317,$A31,'Данные 2st'!$NQ$2:$NQ$317),"")</f>
        <v/>
      </c>
      <c r="RW31" s="7">
        <f>IFERROR(AVERAGEIF('Данные 2st'!$Q$2:$Q$317,$A31,'Данные 2st'!$NR$2:$NR$317),"")</f>
        <v/>
      </c>
      <c r="RX31" s="7">
        <f>IFERROR(AVERAGEIF('Данные 2st'!$Q$2:$Q$317,$A31,'Данные 2st'!$NS$2:$NS$317),"")</f>
        <v/>
      </c>
      <c r="RY31" s="7">
        <f>IFERROR(AVERAGEIF('Данные 2st'!$Q$2:$Q$317,$A31,'Данные 2st'!$NT$2:$NT$317),"")</f>
        <v/>
      </c>
      <c r="RZ31" s="7">
        <f>IFERROR(AVERAGEIF('Данные 2st'!$Q$2:$Q$317,$A31,'Данные 2st'!$OK$2:$OK$317),"")</f>
        <v>61</v>
      </c>
      <c r="SA31" s="7">
        <f>IFERROR(AVERAGEIF('Данные 2st'!$Q$2:$Q$317,$A31,'Данные 2st'!$OL$2:$OL$317),"")</f>
        <v>61</v>
      </c>
      <c r="SB31" s="7">
        <f>IFERROR(AVERAGEIF('Данные 2st'!$Q$2:$Q$317,$A31,'Данные 2st'!$ON$2:$ON$317),"")</f>
        <v>2.125</v>
      </c>
      <c r="SC31" s="7">
        <f>IFERROR(AVERAGEIF('Данные 2st'!$Q$2:$Q$317,$A31,'Данные 2st'!$OO$2:$OO$317),"")</f>
        <v>1854.875</v>
      </c>
      <c r="SD31" s="7">
        <f>IFERROR(AVERAGEIF('Данные 2st'!$Q$2:$Q$317,$A31,'Данные 2st'!$OP$2:$OP$317),"")</f>
        <v>61</v>
      </c>
      <c r="SE31" s="7">
        <f>IFERROR(AVERAGEIF('Данные 2st'!$Q$2:$Q$317,$A31,'Данные 2st'!$OQ$2:$OQ$317),"")</f>
        <v>61</v>
      </c>
      <c r="SF31" s="7">
        <f>IFERROR(AVERAGEIF('Данные 2st'!$Q$2:$Q$317,$A31,'Данные 2st'!$OS$2:$OS$317),"")</f>
        <v>2.125</v>
      </c>
      <c r="SG31" s="7">
        <f>IFERROR(AVERAGEIF('Данные 2st'!$Q$2:$Q$317,$A31,'Данные 2st'!$OT$2:$OT$317),"")</f>
        <v>1861.875</v>
      </c>
      <c r="SH31" s="7">
        <f>IFERROR(AVERAGEIF('Данные 2st'!$Q$2:$Q$317,$A31,'Данные 2st'!$OU$2:$OU$317),"")</f>
        <v>65</v>
      </c>
      <c r="SI31" s="7">
        <f>IFERROR(AVERAGEIF('Данные 2st'!$Q$2:$Q$317,$A31,'Данные 2st'!$OV$2:$OV$317),"")</f>
        <v>65</v>
      </c>
      <c r="SJ31" s="7">
        <f>IFERROR(AVERAGEIF('Данные 2st'!$Q$2:$Q$317,$A31,'Данные 2st'!$OX$2:$OX$317),"")</f>
        <v>1.75</v>
      </c>
      <c r="SK31" s="7">
        <f>IFERROR(AVERAGEIF('Данные 2st'!$Q$2:$Q$317,$A31,'Данные 2st'!$OY$2:$OY$317),"")</f>
        <v>39805.375</v>
      </c>
      <c r="SL31" s="7">
        <f>IFERROR(AVERAGEIF('Данные 2st'!$Q$2:$Q$317,$A31,'Данные 2st'!$OZ$2:$OZ$317),"")</f>
        <v>51</v>
      </c>
      <c r="SM31" s="7">
        <f>IFERROR(AVERAGEIF('Данные 2st'!$Q$2:$Q$317,$A31,'Данные 2st'!$PA$2:$PA$317),"")</f>
        <v>51.25</v>
      </c>
      <c r="SN31" s="7">
        <f>IFERROR(AVERAGEIF('Данные 2st'!$Q$2:$Q$317,$A31,'Данные 2st'!$PC$2:$PC$317),"")</f>
        <v>1.375</v>
      </c>
      <c r="SO31" s="7">
        <f>IFERROR(AVERAGEIF('Данные 2st'!$Q$2:$Q$317,$A31,'Данные 2st'!$PD$2:$PD$317),"")</f>
        <v>1893.25</v>
      </c>
      <c r="SP31" s="7">
        <f>IFERROR(AVERAGEIF('Данные 2st'!$Q$2:$Q$317,$A31,'Данные 2st'!$PF$2:$PF$317),"")</f>
        <v>361</v>
      </c>
      <c r="SQ31" s="7">
        <f>IFERROR(AVERAGEIF('Данные 2st'!$Q$2:$Q$317,$A31,'Данные 2st'!$PG$2:$PG$317),"")</f>
        <v>29</v>
      </c>
      <c r="SR31" s="7">
        <f>IFERROR(AVERAGEIF('Данные 2st'!$Q$2:$Q$317,$A31,'Данные 2st'!$PH$2:$PH$317),"")</f>
        <v>342.5</v>
      </c>
      <c r="SS31" s="7">
        <f>IFERROR(AVERAGEIF('Данные 2st'!$Q$2:$Q$317,$A31,'Данные 2st'!$PI$2:$PI$317),"")</f>
        <v>29</v>
      </c>
      <c r="ST31" s="7">
        <f>IFERROR(AVERAGEIF('Данные 2st'!$Q$2:$Q$317,$A31,'Данные 2st'!$PJ$2:$PJ$317),"")</f>
        <v>78.8875</v>
      </c>
      <c r="SU31" s="7">
        <f>IFERROR(AVERAGEIF('Данные 2st'!$Q$2:$Q$317,$A31,'Данные 2st'!$PK$2:$PK$317),"")</f>
        <v>1954</v>
      </c>
      <c r="SV31" s="7">
        <f>IFERROR(AVERAGEIF('Данные 2st'!$Q$2:$Q$317,$A31,'Данные 2st'!$PL$2:$PL$317),"")</f>
        <v>1122.1</v>
      </c>
      <c r="SW31" s="7">
        <f>IFERROR(AVERAGEIF('Данные 2st'!$Q$2:$Q$317,$A31,'Данные 2st'!$PM$2:$PM$317),"")</f>
        <v>616.4375</v>
      </c>
      <c r="SX31" s="7">
        <f>IFERROR(AVERAGEIF('Данные 2st'!$Q$2:$Q$317,$A31,'Данные 2st'!$PN$2:$PN$317),"")</f>
        <v>97.25</v>
      </c>
      <c r="SY31" s="7">
        <f>IFERROR(AVERAGEIF('Данные 2st'!$Q$2:$Q$317,$A31,'Данные 2st'!$PO$2:$PO$317),"")</f>
        <v>8.471428571428572</v>
      </c>
      <c r="SZ31" s="7">
        <f>IFERROR(AVERAGEIF('Данные 2st'!$Q$2:$Q$317,$A31,'Данные 2st'!$PP$2:$PP$317),"")</f>
        <v>11.75</v>
      </c>
      <c r="TA31" s="7">
        <f>IFERROR(AVERAGEIF('Данные 2st'!$Q$2:$Q$317,$A31,'Данные 2st'!$PQ$2:$PQ$317),"")</f>
        <v>1.875</v>
      </c>
      <c r="TB31" s="7">
        <f>IFERROR(AVERAGEIF('Данные 2st'!$Q$2:$Q$317,$A31,'Данные 2st'!$PR$2:$PR$317),"")</f>
        <v>1</v>
      </c>
      <c r="TC31" s="7">
        <f>IFERROR(AVERAGEIF('Данные 2st'!$Q$2:$Q$317,$A31,'Данные 2st'!$PS$2:$PS$317),"")</f>
        <v>6.875</v>
      </c>
      <c r="TD31" s="7">
        <f>IFERROR(AVERAGEIF('Данные 2st'!$Q$2:$Q$317,$A31,'Данные 2st'!$PT$2:$PT$317),"")</f>
        <v>234.5</v>
      </c>
      <c r="TE31" s="7">
        <f>IFERROR(AVERAGEIF('Данные 2st'!$Q$2:$Q$317,$A31,'Данные 2st'!$PU$2:$PU$317),"")</f>
        <v>10</v>
      </c>
      <c r="TF31" s="7">
        <f>IFERROR(AVERAGEIF('Данные 2st'!$Q$2:$Q$317,$A31,'Данные 2st'!$PX$2:$PX$317),"")</f>
        <v>0</v>
      </c>
      <c r="TG31" s="7">
        <f>IFERROR(AVERAGEIF('Данные 2st'!$Q$2:$Q$317,$A31,'Данные 2st'!$PY$2:$PY$317),"")</f>
        <v>0</v>
      </c>
      <c r="TH31" s="7">
        <f>IFERROR(AVERAGEIF('Данные 2st'!$Q$2:$Q$317,$A31,'Данные 2st'!$PZ$2:$PZ$317),"")</f>
        <v>0</v>
      </c>
      <c r="TI31" s="7">
        <f>IFERROR(AVERAGEIF('Данные 2st'!$Q$2:$Q$317,$A31,'Данные 2st'!$QA$2:$QA$317),"")</f>
        <v>0</v>
      </c>
      <c r="TJ31" s="7">
        <f>IFERROR(AVERAGEIF('Данные 2st'!$Q$2:$Q$317,$A31,'Данные 2st'!$QB$2:$QB$317),"")</f>
        <v>0</v>
      </c>
      <c r="TK31" s="7">
        <f>IFERROR(AVERAGEIF('Данные 2st'!$Q$2:$Q$317,$A31,'Данные 2st'!$QC$2:$QC$317),"")</f>
        <v>0</v>
      </c>
      <c r="TL31" s="7">
        <f>IFERROR(AVERAGEIF('Данные 2st'!$Q$2:$Q$317,$A31,'Данные 2st'!$QD$2:$QD$317),"")</f>
        <v>0</v>
      </c>
      <c r="TM31" s="7">
        <f>IFERROR(AVERAGEIF('Данные 2st'!$Q$2:$Q$317,$A31,'Данные 2st'!$QE$2:$QE$317),"")</f>
        <v>-1</v>
      </c>
      <c r="TN31" s="7">
        <f>IFERROR(AVERAGEIF('Данные 2st'!$Q$2:$Q$317,$A31,'Данные 2st'!$QF$2:$QF$317),"")</f>
        <v>1</v>
      </c>
      <c r="TO31" s="7">
        <f>IFERROR(AVERAGEIF('Данные 2st'!$Q$2:$Q$317,$A31,'Данные 2st'!$QG$2:$QG$317),"")</f>
        <v>0</v>
      </c>
      <c r="TP31" s="7">
        <f>IFERROR(AVERAGEIF('Данные 2st'!$Q$2:$Q$317,$A31,'Данные 2st'!$QH$2:$QH$317),"")</f>
        <v>5</v>
      </c>
      <c r="TQ31" s="7">
        <f>IFERROR(AVERAGEIF('Данные 2st'!$Q$2:$Q$317,$A31,'Данные 2st'!$QI$2:$QI$317),"")</f>
        <v>5</v>
      </c>
      <c r="TR31" s="7">
        <f>IFERROR(AVERAGEIF('Данные 2st'!$Q$2:$Q$317,$A31,'Данные 2st'!$QJ$2:$QJ$317),"")</f>
        <v>5</v>
      </c>
      <c r="TS31" s="7">
        <f>IFERROR(AVERAGEIF('Данные 2st'!$Q$2:$Q$317,$A31,'Данные 2st'!$QK$2:$QK$317),"")</f>
        <v>164.875</v>
      </c>
      <c r="TT31" s="7">
        <f>IFERROR(AVERAGEIF('Данные 2st'!$Q$2:$Q$317,$A31,'Данные 2st'!$QL$2:$QL$317),"")</f>
        <v>368.5</v>
      </c>
      <c r="TU31" s="7">
        <f>IFERROR(AVERAGEIF('Данные 2st'!$Q$2:$Q$317,$A31,'Данные 2st'!$QM$2:$QM$317),"")</f>
        <v>7.5</v>
      </c>
      <c r="TV31" s="7">
        <f>IFERROR(AVERAGEIF('Данные 2st'!$Q$2:$Q$317,$A31,'Данные 2st'!$QN$2:$QN$317),"")</f>
        <v>1380.6000000000001</v>
      </c>
      <c r="TW31" s="7">
        <f>IFERROR(AVERAGEIF('Данные 2st'!$Q$2:$Q$317,$A31,'Данные 2st'!$QQ$2:$QQ$317),"")</f>
        <v>0</v>
      </c>
      <c r="TX31" s="7">
        <f>IFERROR(AVERAGEIF('Данные 2st'!$Q$2:$Q$317,$A31,'Данные 2st'!$QS$2:$QS$317),"")</f>
        <v>31.25</v>
      </c>
      <c r="TY31" s="7">
        <f>IFERROR(AVERAGEIF('Данные 2st'!$Q$2:$Q$317,$A31,'Данные 2st'!$QT$2:$QT$317),"")</f>
        <v>41.25</v>
      </c>
    </row>
    <row r="32" spans="1:545" ht="32" customHeight="1">
      <c r="A32" s="11" t="s">
        <v>899</v>
      </c>
      <c r="B32">
        <f>COUNTIF('Данные 1st'!$S$2:$S$317,$A32)</f>
        <v>5</v>
      </c>
      <c r="C32" s="6" t="s">
        <v>5097</v>
      </c>
      <c r="D32" s="6" t="s">
        <v>513</v>
      </c>
      <c r="E32" s="6" t="s">
        <v>5125</v>
      </c>
      <c r="F32" s="6" t="s">
        <v>5153</v>
      </c>
      <c r="G32" s="7">
        <f>IFERROR(AVERAGEIF('Данные 1st'!$S$2:$S$317,$A32,'Данные 1st'!$AE$2:$AE$317),"")</f>
        <v>161.4</v>
      </c>
      <c r="H32" s="7">
        <f>IFERROR(AVERAGEIF('Данные 1st'!$S$2:$S$317,$A32,'Данные 1st'!$AF$2:$AF$317),"")</f>
        <v>1.5</v>
      </c>
      <c r="I32" s="7">
        <f>IFERROR(AVERAGEIF('Данные 1st'!$S$2:$S$317,$A32,'Данные 1st'!$AJ$2:$AJ$317),"")</f>
        <v>172.5</v>
      </c>
      <c r="J32" s="7">
        <f>IFERROR(AVERAGEIF('Данные 1st'!$S$2:$S$317,$A32,'Данные 1st'!$AL$2:$AL$317),"")</f>
        <v>1.5</v>
      </c>
      <c r="K32" s="7">
        <f>IFERROR(AVERAGEIF('Данные 1st'!$S$2:$S$317,$A32,'Данные 1st'!$AR$2:$AR$317),"")</f>
        <v>0</v>
      </c>
      <c r="L32" s="7">
        <f>IFERROR(AVERAGEIF('Данные 1st'!$S$2:$S$317,$A32,'Данные 1st'!$AS$2:$AS$317),"")</f>
        <v>1.5</v>
      </c>
      <c r="M32" s="7">
        <f>IFERROR(AVERAGEIF('Данные 1st'!$S$2:$S$317,$A32,'Данные 1st'!$AY$2:$AY$317),"")</f>
        <v>249.5</v>
      </c>
      <c r="N32" s="7">
        <f>IFERROR(AVERAGEIF('Данные 1st'!$S$2:$S$317,$A32,'Данные 1st'!$AZ$2:$AZ$317),"")</f>
        <v>1.5</v>
      </c>
      <c r="O32" s="7">
        <f>IFERROR(AVERAGEIF('Данные 1st'!$S$2:$S$317,$A32,'Данные 1st'!$BF$2:$BF$317),"")</f>
        <v/>
      </c>
      <c r="P32" s="7">
        <f>IFERROR(AVERAGEIF('Данные 1st'!$S$2:$S$317,$A32,'Данные 1st'!$BG$2:$BG$317),"")</f>
        <v>1.5</v>
      </c>
      <c r="Q32" s="7">
        <f>IFERROR(AVERAGEIF('Данные 1st'!$S$2:$S$317,$A32,'Данные 1st'!$BM$2:$BM$317),"")</f>
        <v/>
      </c>
      <c r="R32" s="7">
        <f>IFERROR(AVERAGEIF('Данные 1st'!$S$2:$S$317,$A32,'Данные 1st'!$BN$2:$BN$317),"")</f>
        <v>1.5</v>
      </c>
      <c r="S32" s="7">
        <f>IFERROR(AVERAGEIF('Данные 1st'!$S$2:$S$317,$A32,'Данные 1st'!$BT$2:$BT$317),"")</f>
        <v>183.8</v>
      </c>
      <c r="T32" s="7">
        <f>IFERROR(AVERAGEIF('Данные 1st'!$S$2:$S$317,$A32,'Данные 1st'!$BU$2:$BU$317),"")</f>
        <v>0.5</v>
      </c>
      <c r="U32" s="7">
        <f>IFERROR(AVERAGEIF('Данные 1st'!$S$2:$S$317,$A32,'Данные 1st'!$BW$2:$BW$317),"")</f>
        <v>367.6</v>
      </c>
      <c r="V32" s="7">
        <f>IFERROR(AVERAGEIF('Данные 1st'!$S$2:$S$317,$A32,'Данные 1st'!$BX$2:$BX$317),"")</f>
        <v>1</v>
      </c>
      <c r="W32" s="7">
        <f>IFERROR(AVERAGEIF('Данные 1st'!$S$2:$S$317,$A32,'Данные 1st'!$BZ$2:$BZ$317),"")</f>
        <v>290</v>
      </c>
      <c r="X32" s="7">
        <f>IFERROR(AVERAGEIF('Данные 1st'!$S$2:$S$317,$A32,'Данные 1st'!$CA$2:$CA$317),"")</f>
        <v>430</v>
      </c>
      <c r="Y32" s="7">
        <f>IFERROR(AVERAGEIF('Данные 1st'!$S$2:$S$317,$A32,'Данные 1st'!$CD$2:$CD$317),"")</f>
        <v>392.4</v>
      </c>
      <c r="Z32" s="7">
        <f>IFERROR(AVERAGEIF('Данные 1st'!$S$2:$S$317,$A32,'Данные 1st'!$CF$2:$CF$317),"")</f>
        <v>15</v>
      </c>
      <c r="AA32" s="7">
        <f>IFERROR(AVERAGEIF('Данные 1st'!$S$2:$S$317,$A32,'Данные 1st'!$CI$2:$CI$317),"")</f>
        <v>70</v>
      </c>
      <c r="AB32" s="7">
        <f>IFERROR(AVERAGEIF('Данные 1st'!$S$2:$S$317,$A32,'Данные 1st'!$CJ$2:$CJ$317),"")</f>
        <v>1381</v>
      </c>
      <c r="AC32" s="7">
        <f>IFERROR(AVERAGEIF('Данные 1st'!$S$2:$S$317,$A32,'Данные 1st'!$CK$2:$CK$317),"")</f>
        <v>2</v>
      </c>
      <c r="AD32" s="7">
        <f>IFERROR(AVERAGEIF('Данные 1st'!$S$2:$S$317,$A32,'Данные 1st'!$CL$2:$CL$317),"")</f>
        <v>1475</v>
      </c>
      <c r="AE32" s="7">
        <f>IFERROR(AVERAGEIF('Данные 1st'!$S$2:$S$317,$A32,'Данные 1st'!$CM$2:$CM$317),"")</f>
        <v>2</v>
      </c>
      <c r="AF32" s="7">
        <f>IFERROR(AVERAGEIF('Данные 1st'!$S$2:$S$317,$A32,'Данные 1st'!$CT$2:$CT$317),"")</f>
        <v>345</v>
      </c>
      <c r="AG32" s="7">
        <f>IFERROR(AVERAGEIF('Данные 1st'!$S$2:$S$317,$A32,'Данные 1st'!$CU$2:$CU$317),"")</f>
        <v>5</v>
      </c>
      <c r="AH32" s="7">
        <f>IFERROR(AVERAGEIF('Данные 1st'!$S$2:$S$317,$A32,'Данные 1st'!$CV$2:$CV$317),"")</f>
        <v>1.2</v>
      </c>
      <c r="AI32" s="7">
        <f>IFERROR(AVERAGEIF('Данные 1st'!$S$2:$S$317,$A32,'Данные 1st'!$CW$2:$CW$317),"")</f>
        <v>1393</v>
      </c>
      <c r="AJ32" s="7">
        <f>IFERROR(AVERAGEIF('Данные 1st'!$S$2:$S$317,$A32,'Данные 1st'!$CX$2:$CX$317),"")</f>
        <v>680</v>
      </c>
      <c r="AK32" s="7">
        <f>IFERROR(AVERAGEIF('Данные 1st'!$S$2:$S$317,$A32,'Данные 1st'!$CZ$2:$CZ$317),"")</f>
        <v/>
      </c>
      <c r="AL32" s="7">
        <f>IFERROR(AVERAGEIF('Данные 1st'!$S$2:$S$317,$A32,'Данные 1st'!$DA$2:$DA$317),"")</f>
        <v/>
      </c>
      <c r="AM32" s="7">
        <f>IFERROR(AVERAGEIF('Данные 1st'!$S$2:$S$317,$A32,'Данные 1st'!$DB$2:$DB$317),"")</f>
        <v/>
      </c>
      <c r="AN32" s="7">
        <f>IFERROR(AVERAGEIF('Данные 1st'!$S$2:$S$317,$A32,'Данные 1st'!$DC$2:$DC$317),"")</f>
        <v/>
      </c>
      <c r="AO32" s="7">
        <f>IFERROR(AVERAGEIF('Данные 1st'!$S$2:$S$317,$A32,'Данные 1st'!$DD$2:$DD$317),"")</f>
        <v>0</v>
      </c>
      <c r="AP32" s="7">
        <f>IFERROR(AVERAGEIF('Данные 1st'!$S$2:$S$317,$A32,'Данные 1st'!$DF$2:$DF$317),"")</f>
        <v>499</v>
      </c>
      <c r="AQ32" s="7">
        <f>IFERROR(AVERAGEIF('Данные 1st'!$S$2:$S$317,$A32,'Данные 1st'!$DG$2:$DG$317),"")</f>
        <v>3</v>
      </c>
      <c r="AR32" s="7">
        <f>IFERROR(AVERAGEIF('Данные 1st'!$S$2:$S$317,$A32,'Данные 1st'!$DH$2:$DH$317),"")</f>
        <v>1.128</v>
      </c>
      <c r="AS32" s="7">
        <f>IFERROR(AVERAGEIF('Данные 1st'!$S$2:$S$317,$A32,'Данные 1st'!$DI$2:$DI$317),"")</f>
        <v>1391.2</v>
      </c>
      <c r="AT32" s="7">
        <f>IFERROR(AVERAGEIF('Данные 1st'!$S$2:$S$317,$A32,'Данные 1st'!$DJ$2:$DJ$317),"")</f>
        <v>1109.2</v>
      </c>
      <c r="AU32" s="7">
        <f>IFERROR(AVERAGEIF('Данные 1st'!$S$2:$S$317,$A32,'Данные 1st'!$DL$2:$DL$317),"")</f>
        <v/>
      </c>
      <c r="AV32" s="7">
        <f>IFERROR(AVERAGEIF('Данные 1st'!$S$2:$S$317,$A32,'Данные 1st'!$DM$2:$DM$317),"")</f>
        <v/>
      </c>
      <c r="AW32" s="7">
        <f>IFERROR(AVERAGEIF('Данные 1st'!$S$2:$S$317,$A32,'Данные 1st'!$DN$2:$DN$317),"")</f>
        <v/>
      </c>
      <c r="AX32" s="7">
        <f>IFERROR(AVERAGEIF('Данные 1st'!$S$2:$S$317,$A32,'Данные 1st'!$DO$2:$DO$317),"")</f>
        <v/>
      </c>
      <c r="AY32" s="7">
        <f>IFERROR(AVERAGEIF('Данные 1st'!$S$2:$S$317,$A32,'Данные 1st'!$DP$2:$DP$317),"")</f>
        <v/>
      </c>
      <c r="AZ32" s="7">
        <f>IFERROR(AVERAGEIF('Данные 1st'!$S$2:$S$317,$A32,'Данные 1st'!$DR$2:$DR$317),"")</f>
        <v/>
      </c>
      <c r="BA32" s="7">
        <f>IFERROR(AVERAGEIF('Данные 1st'!$S$2:$S$317,$A32,'Данные 1st'!$DS$2:$DS$317),"")</f>
        <v/>
      </c>
      <c r="BB32" s="7">
        <f>IFERROR(AVERAGEIF('Данные 1st'!$S$2:$S$317,$A32,'Данные 1st'!$DT$2:$DT$317),"")</f>
        <v/>
      </c>
      <c r="BC32" s="7">
        <f>IFERROR(AVERAGEIF('Данные 1st'!$S$2:$S$317,$A32,'Данные 1st'!$DU$2:$DU$317),"")</f>
        <v/>
      </c>
      <c r="BD32" s="7">
        <f>IFERROR(AVERAGEIF('Данные 1st'!$S$2:$S$317,$A32,'Данные 1st'!$DV$2:$DV$317),"")</f>
        <v/>
      </c>
      <c r="BE32" s="7">
        <f>IFERROR(AVERAGEIF('Данные 1st'!$S$2:$S$317,$A32,'Данные 1st'!$DX$2:$DX$317),"")</f>
        <v>7.5</v>
      </c>
      <c r="BF32" s="7">
        <f>IFERROR(AVERAGEIF('Данные 1st'!$S$2:$S$317,$A32,'Данные 1st'!$EA$2:$EA$317),"")</f>
        <v>1460.1399999999999</v>
      </c>
      <c r="BG32" s="7">
        <f>IFERROR(AVERAGEIF('Данные 1st'!$S$2:$S$317,$A32,'Данные 1st'!$EB$2:$EB$317),"")</f>
        <v>261.4</v>
      </c>
      <c r="BH32" s="7">
        <f>IFERROR(AVERAGEIF('Данные 1st'!$S$2:$S$317,$A32,'Данные 1st'!$ED$2:$ED$317),"")</f>
        <v>26</v>
      </c>
      <c r="BI32" s="7">
        <f>IFERROR(AVERAGEIF('Данные 1st'!$S$2:$S$317,$A32,'Данные 1st'!$EE$2:$EE$317),"")</f>
        <v>3</v>
      </c>
      <c r="BJ32" s="7">
        <f>IFERROR(AVERAGEIF('Данные 1st'!$S$2:$S$317,$A32,'Данные 1st'!$EG$2:$EG$317),"")</f>
        <v>1500.8</v>
      </c>
      <c r="BK32" s="7">
        <f>IFERROR(AVERAGEIF('Данные 1st'!$S$2:$S$317,$A32,'Данные 1st'!$EH$2:$EH$317),"")</f>
        <v>166.2</v>
      </c>
      <c r="BL32" s="7">
        <f>IFERROR(AVERAGEIF('Данные 1st'!$S$2:$S$317,$A32,'Данные 1st'!$EJ$2:$EJ$317),"")</f>
        <v>0</v>
      </c>
      <c r="BM32" s="7">
        <f>IFERROR(AVERAGEIF('Данные 1st'!$S$2:$S$317,$A32,'Данные 1st'!$EK$2:$EK$317),"")</f>
        <v>1</v>
      </c>
      <c r="BN32" s="7">
        <f>IFERROR(AVERAGEIF('Данные 1st'!$S$2:$S$317,$A32,'Данные 1st'!$EN$2:$EN$317),"")</f>
        <v>0</v>
      </c>
      <c r="BO32" s="7">
        <f>IFERROR(AVERAGEIF('Данные 1st'!$S$2:$S$317,$A32,'Данные 1st'!$EQ$2:$EQ$317),"")</f>
        <v>63</v>
      </c>
      <c r="BP32" s="7">
        <f>IFERROR(AVERAGEIF('Данные 1st'!$S$2:$S$317,$A32,'Данные 1st'!$ER$2:$ER$317),"")</f>
        <v>3</v>
      </c>
      <c r="BQ32" s="7">
        <f>IFERROR(AVERAGEIF('Данные 1st'!$S$2:$S$317,$A32,'Данные 1st'!$ES$2:$ES$317),"")</f>
        <v>4.7</v>
      </c>
      <c r="BR32" s="7">
        <f>IFERROR(AVERAGEIF('Данные 1st'!$S$2:$S$317,$A32,'Данные 1st'!$ET$2:$ET$317),"")</f>
        <v>1372.8</v>
      </c>
      <c r="BS32" s="7">
        <f>IFERROR(AVERAGEIF('Данные 1st'!$S$2:$S$317,$A32,'Данные 1st'!$EU$2:$EU$317),"")</f>
        <v>241.14000000000001</v>
      </c>
      <c r="BT32" s="7">
        <f>IFERROR(AVERAGEIF('Данные 1st'!$S$2:$S$317,$A32,'Данные 1st'!$EV$2:$EV$317),"")</f>
        <v>331.2</v>
      </c>
      <c r="BU32" s="7">
        <f>IFERROR(AVERAGEIF('Данные 1st'!$S$2:$S$317,$A32,'Данные 1st'!$EX$2:$EX$317),"")</f>
        <v>70</v>
      </c>
      <c r="BV32" s="7">
        <f>IFERROR(AVERAGEIF('Данные 1st'!$S$2:$S$317,$A32,'Данные 1st'!$EY$2:$EY$317),"")</f>
        <v>2</v>
      </c>
      <c r="BW32" s="7">
        <f>IFERROR(AVERAGEIF('Данные 1st'!$S$2:$S$317,$A32,'Данные 1st'!$EZ$2:$EZ$317),"")</f>
        <v>4.24</v>
      </c>
      <c r="BX32" s="7">
        <f>IFERROR(AVERAGEIF('Данные 1st'!$S$2:$S$317,$A32,'Данные 1st'!$FA$2:$FA$317),"")</f>
        <v>1372.8</v>
      </c>
      <c r="BY32" s="7">
        <f>IFERROR(AVERAGEIF('Данные 1st'!$S$2:$S$317,$A32,'Данные 1st'!$FB$2:$FB$317),"")</f>
        <v>208.06</v>
      </c>
      <c r="BZ32" s="7">
        <f>IFERROR(AVERAGEIF('Данные 1st'!$S$2:$S$317,$A32,'Данные 1st'!$FC$2:$FC$317),"")</f>
        <v>285.8</v>
      </c>
      <c r="CA32" s="7">
        <f>IFERROR(AVERAGEIF('Данные 1st'!$S$2:$S$317,$A32,'Данные 1st'!$FE$2:$FE$317),"")</f>
        <v>0</v>
      </c>
      <c r="CB32" s="7">
        <f>IFERROR(AVERAGEIF('Данные 1st'!$S$2:$S$317,$A32,'Данные 1st'!$FF$2:$FF$317),"")</f>
        <v>2</v>
      </c>
      <c r="CC32" s="7">
        <f>IFERROR(AVERAGEIF('Данные 1st'!$S$2:$S$317,$A32,'Данные 1st'!$FI$2:$FI$317),"")</f>
        <v>0</v>
      </c>
      <c r="CD32" s="7">
        <f>IFERROR(AVERAGEIF('Данные 1st'!$S$2:$S$317,$A32,'Данные 1st'!$FL$2:$FL$317),"")</f>
        <v>0.44</v>
      </c>
      <c r="CE32" s="7">
        <f>IFERROR(AVERAGEIF('Данные 1st'!$S$2:$S$317,$A32,'Данные 1st'!$FM$2:$FM$317),"")</f>
        <v>75</v>
      </c>
      <c r="CF32" s="7">
        <f>IFERROR(AVERAGEIF('Данные 1st'!$S$2:$S$317,$A32,'Данные 1st'!$FN$2:$FN$317),"")</f>
        <v>130</v>
      </c>
      <c r="CG32" s="7">
        <f>IFERROR(AVERAGEIF('Данные 1st'!$S$2:$S$317,$A32,'Данные 1st'!$FO$2:$FO$317),"")</f>
        <v/>
      </c>
      <c r="CH32" s="7">
        <f>IFERROR(AVERAGEIF('Данные 1st'!$S$2:$S$317,$A32,'Данные 1st'!$FP$2:$FP$317),"")</f>
        <v/>
      </c>
      <c r="CI32" s="7">
        <f>IFERROR(AVERAGEIF('Данные 1st'!$S$2:$S$317,$A32,'Данные 1st'!$FS$2:$FS$317),"")</f>
        <v>0.4</v>
      </c>
      <c r="CJ32" s="7">
        <f>IFERROR(AVERAGEIF('Данные 1st'!$S$2:$S$317,$A32,'Данные 1st'!$FT$2:$FT$317),"")</f>
        <v>48</v>
      </c>
      <c r="CK32" s="7">
        <f>IFERROR(AVERAGEIF('Данные 1st'!$S$2:$S$317,$A32,'Данные 1st'!$FU$2:$FU$317),"")</f>
        <v>298</v>
      </c>
      <c r="CL32" s="7">
        <f>IFERROR(AVERAGEIF('Данные 1st'!$S$2:$S$317,$A32,'Данные 1st'!$FV$2:$FV$317),"")</f>
        <v>35</v>
      </c>
      <c r="CM32" s="7">
        <f>IFERROR(AVERAGEIF('Данные 1st'!$S$2:$S$317,$A32,'Данные 1st'!$FW$2:$FW$317),"")</f>
        <v>228</v>
      </c>
      <c r="CN32" s="7">
        <f>IFERROR(AVERAGEIF('Данные 1st'!$S$2:$S$317,$A32,'Данные 1st'!$FZ$2:$FZ$317),"")</f>
        <v>1</v>
      </c>
      <c r="CO32" s="7">
        <f>IFERROR(AVERAGEIF('Данные 1st'!$S$2:$S$317,$A32,'Данные 1st'!$GA$2:$GA$317),"")</f>
        <v>20</v>
      </c>
      <c r="CP32" s="7">
        <f>IFERROR(AVERAGEIF('Данные 1st'!$S$2:$S$317,$A32,'Данные 1st'!$GB$2:$GB$317),"")</f>
        <v>173.5</v>
      </c>
      <c r="CQ32" s="7">
        <f>IFERROR(AVERAGEIF('Данные 1st'!$S$2:$S$317,$A32,'Данные 1st'!$GH$2:$GH$317),"")</f>
        <v>1</v>
      </c>
      <c r="CR32" s="7">
        <f>IFERROR(AVERAGEIF('Данные 1st'!$S$2:$S$317,$A32,'Данные 1st'!$GI$2:$GI$317),"")</f>
        <v>20</v>
      </c>
      <c r="CS32" s="7">
        <f>IFERROR(AVERAGEIF('Данные 1st'!$S$2:$S$317,$A32,'Данные 1st'!$GJ$2:$GJ$317),"")</f>
        <v>173.5</v>
      </c>
      <c r="CT32" s="7">
        <f>IFERROR(AVERAGEIF('Данные 1st'!$S$2:$S$317,$A32,'Данные 1st'!$GS$2:$GS$317),"")</f>
        <v/>
      </c>
      <c r="CU32" s="7">
        <f>IFERROR(AVERAGEIF('Данные 1st'!$S$2:$S$317,$A32,'Данные 1st'!$GT$2:$GT$317),"")</f>
        <v/>
      </c>
      <c r="CV32" s="7">
        <f>IFERROR(AVERAGEIF('Данные 1st'!$S$2:$S$317,$A32,'Данные 1st'!$GU$2:$GU$317),"")</f>
        <v/>
      </c>
      <c r="CW32" s="7">
        <f>IFERROR(AVERAGEIF('Данные 1st'!$S$2:$S$317,$A32,'Данные 1st'!$GV$2:$GV$317),"")</f>
        <v/>
      </c>
      <c r="CX32" s="7">
        <f>IFERROR(AVERAGEIF('Данные 1st'!$S$2:$S$317,$A32,'Данные 1st'!$GW$2:$GW$317),"")</f>
        <v/>
      </c>
      <c r="CY32" s="7">
        <f>IFERROR(AVERAGEIF('Данные 1st'!$S$2:$S$317,$A32,'Данные 1st'!$GZ$2:$GZ$317),"")</f>
        <v/>
      </c>
      <c r="CZ32" s="7">
        <f>IFERROR(AVERAGEIF('Данные 1st'!$S$2:$S$317,$A32,'Данные 1st'!$HA$2:$HA$317),"")</f>
        <v/>
      </c>
      <c r="DA32" s="7">
        <f>IFERROR(AVERAGEIF('Данные 1st'!$S$2:$S$317,$A32,'Данные 1st'!$HB$2:$HB$317),"")</f>
        <v/>
      </c>
      <c r="DB32" s="7">
        <f>IFERROR(AVERAGEIF('Данные 1st'!$S$2:$S$317,$A32,'Данные 1st'!$HC$2:$HC$317),"")</f>
        <v>0.1</v>
      </c>
      <c r="DC32" s="7">
        <f>IFERROR(AVERAGEIF('Данные 1st'!$S$2:$S$317,$A32,'Данные 1st'!$HD$2:$HD$317),"")</f>
        <v>3</v>
      </c>
      <c r="DD32" s="7">
        <f>IFERROR(AVERAGEIF('Данные 1st'!$S$2:$S$317,$A32,'Данные 1st'!$HE$2:$HE$317),"")</f>
        <v>3</v>
      </c>
      <c r="DE32" s="7">
        <f>IFERROR(AVERAGEIF('Данные 1st'!$S$2:$S$317,$A32,'Данные 1st'!$HF$2:$HF$317),"")</f>
        <v>3</v>
      </c>
      <c r="DF32" s="7">
        <f>IFERROR(AVERAGEIF('Данные 1st'!$S$2:$S$317,$A32,'Данные 1st'!$HG$2:$HG$317),"")</f>
        <v>3</v>
      </c>
      <c r="DG32" s="7">
        <f>IFERROR(AVERAGEIF('Данные 1st'!$S$2:$S$317,$A32,'Данные 1st'!$HH$2:$HH$317),"")</f>
        <v>3</v>
      </c>
      <c r="DH32" s="7">
        <f>IFERROR(AVERAGEIF('Данные 1st'!$S$2:$S$317,$A32,'Данные 1st'!$HI$2:$HI$317),"")</f>
        <v>118</v>
      </c>
      <c r="DI32" s="7">
        <f>IFERROR(AVERAGEIF('Данные 1st'!$S$2:$S$317,$A32,'Данные 1st'!$HJ$2:$HJ$317),"")</f>
        <v>3</v>
      </c>
      <c r="DJ32" s="7">
        <f>IFERROR(AVERAGEIF('Данные 1st'!$S$2:$S$317,$A32,'Данные 1st'!$HK$2:$HK$317),"")</f>
        <v>55</v>
      </c>
      <c r="DK32" s="7">
        <f>IFERROR(AVERAGEIF('Данные 1st'!$S$2:$S$317,$A32,'Данные 1st'!$HL$2:$HL$317),"")</f>
        <v>2</v>
      </c>
      <c r="DL32" s="7">
        <f>IFERROR(AVERAGEIF('Данные 1st'!$S$2:$S$317,$A32,'Данные 1st'!$HM$2:$HM$317),"")</f>
        <v>0</v>
      </c>
      <c r="DM32" s="7">
        <f>IFERROR(AVERAGEIF('Данные 1st'!$S$2:$S$317,$A32,'Данные 1st'!$HN$2:$HN$317),"")</f>
        <v>2</v>
      </c>
      <c r="DN32" s="7">
        <f>IFERROR(AVERAGEIF('Данные 1st'!$S$2:$S$317,$A32,'Данные 1st'!$HO$2:$HO$317),"")</f>
        <v>48</v>
      </c>
      <c r="DO32" s="7">
        <f>IFERROR(AVERAGEIF('Данные 1st'!$S$2:$S$317,$A32,'Данные 1st'!$HP$2:$HP$317),"")</f>
        <v>3</v>
      </c>
      <c r="DP32" s="7">
        <f>IFERROR(AVERAGEIF('Данные 1st'!$S$2:$S$317,$A32,'Данные 1st'!$HQ$2:$HQ$317),"")</f>
        <v>0</v>
      </c>
      <c r="DQ32" s="7">
        <f>IFERROR(AVERAGEIF('Данные 1st'!$S$2:$S$317,$A32,'Данные 1st'!$HR$2:$HR$317),"")</f>
        <v>2</v>
      </c>
      <c r="DR32" s="7">
        <f>IFERROR(AVERAGEIF('Данные 1st'!$S$2:$S$317,$A32,'Данные 1st'!$HS$2:$HS$317),"")</f>
        <v>3878.4</v>
      </c>
      <c r="DS32" s="7">
        <f>IFERROR(AVERAGEIF('Данные 1st'!$S$2:$S$317,$A32,'Данные 1st'!$HT$2:$HT$317),"")</f>
        <v>118</v>
      </c>
      <c r="DT32" s="7">
        <f>IFERROR(AVERAGEIF('Данные 1st'!$S$2:$S$317,$A32,'Данные 1st'!$HU$2:$HU$317),"")</f>
        <v>180</v>
      </c>
      <c r="DU32" s="7">
        <f>IFERROR(AVERAGEIF('Данные 1st'!$S$2:$S$317,$A32,'Данные 1st'!$HW$2:$HW$317),"")</f>
        <v>4</v>
      </c>
      <c r="DV32" s="7">
        <f>IFERROR(AVERAGEIF('Данные 1st'!$S$2:$S$317,$A32,'Данные 1st'!$HX$2:$HX$317),"")</f>
        <v>398</v>
      </c>
      <c r="DW32" s="7">
        <f>IFERROR(AVERAGEIF('Данные 1st'!$S$2:$S$317,$A32,'Данные 1st'!$HY$2:$HY$317),"")</f>
        <v>0.18</v>
      </c>
      <c r="DX32" s="7">
        <f>IFERROR(AVERAGEIF('Данные 1st'!$S$2:$S$317,$A32,'Данные 1st'!$IA$2:$IA$317),"")</f>
        <v>0.15</v>
      </c>
      <c r="DY32" s="7">
        <f>IFERROR(AVERAGEIF('Данные 1st'!$S$2:$S$317,$A32,'Данные 1st'!$IB$2:$IB$317),"")</f>
        <v>0</v>
      </c>
      <c r="DZ32" s="7">
        <f>IFERROR(AVERAGEIF('Данные 1st'!$S$2:$S$317,$A32,'Данные 1st'!$IC$2:$IC$317),"")</f>
        <v>180</v>
      </c>
      <c r="EA32" s="7">
        <f>IFERROR(AVERAGEIF('Данные 1st'!$S$2:$S$317,$A32,'Данные 1st'!$ID$2:$ID$317),"")</f>
        <v>110</v>
      </c>
      <c r="EB32" s="7">
        <f>IFERROR(AVERAGEIF('Данные 1st'!$S$2:$S$317,$A32,'Данные 1st'!$IE$2:$IE$317),"")</f>
        <v>0</v>
      </c>
      <c r="EC32" s="7">
        <f>IFERROR(AVERAGEIF('Данные 1st'!$S$2:$S$317,$A32,'Данные 1st'!$IF$2:$IF$317),"")</f>
        <v>0</v>
      </c>
      <c r="ED32" s="7">
        <f>IFERROR(AVERAGEIF('Данные 1st'!$S$2:$S$317,$A32,'Данные 1st'!$IP$2:$IP$317),"")</f>
        <v>18</v>
      </c>
      <c r="EE32" s="7">
        <f>IFERROR(AVERAGEIF('Данные 1st'!$S$2:$S$317,$A32,'Данные 1st'!$IV$2:$IV$317),"")</f>
        <v>1381</v>
      </c>
      <c r="EF32" s="7">
        <f>IFERROR(AVERAGEIF('Данные 1st'!$S$2:$S$317,$A32,'Данные 1st'!$IW$2:$IW$317),"")</f>
        <v>367.6</v>
      </c>
      <c r="EG32" s="7">
        <f>IFERROR(AVERAGEIF('Данные 1st'!$S$2:$S$317,$A32,'Данные 1st'!$IX$2:$IX$317),"")</f>
        <v/>
      </c>
      <c r="EH32" s="7">
        <f>IFERROR(AVERAGEIF('Данные 1st'!$S$2:$S$317,$A32,'Данные 1st'!$IY$2:$IY$317),"")</f>
        <v>290</v>
      </c>
      <c r="EI32" s="7">
        <f>IFERROR(AVERAGEIF('Данные 1st'!$S$2:$S$317,$A32,'Данные 1st'!$JD$2:$JD$317),"")</f>
        <v>1393</v>
      </c>
      <c r="EJ32" s="7">
        <f>IFERROR(AVERAGEIF('Данные 1st'!$S$2:$S$317,$A32,'Данные 1st'!$JE$2:$JE$317),"")</f>
        <v>1391.2</v>
      </c>
      <c r="EK32" s="7">
        <f>IFERROR(AVERAGEIF('Данные 1st'!$S$2:$S$317,$A32,'Данные 1st'!$JF$2:$JF$317),"")</f>
        <v>0</v>
      </c>
      <c r="EL32" s="7">
        <f>IFERROR(AVERAGEIF('Данные 1st'!$S$2:$S$317,$A32,'Данные 1st'!$JG$2:$JG$317),"")</f>
        <v>1372.8</v>
      </c>
      <c r="EM32" s="7">
        <f>IFERROR(AVERAGEIF('Данные 1st'!$S$2:$S$317,$A32,'Данные 1st'!$JH$2:$JH$317),"")</f>
        <v>0</v>
      </c>
      <c r="EN32" s="7">
        <f>IFERROR(AVERAGEIF('Данные 1st'!$S$2:$S$317,$A32,'Данные 1st'!$JJ$2:$JJ$317),"")</f>
        <v>180</v>
      </c>
      <c r="EO32" s="7">
        <f>IFERROR(AVERAGEIF('Данные 1st'!$S$2:$S$317,$A32,'Данные 1st'!$JK$2:$JK$317),"")</f>
        <v>398</v>
      </c>
      <c r="EP32" s="7">
        <f>IFERROR(AVERAGEIF('Данные 1st'!$S$2:$S$317,$A32,'Данные 1st'!$JL$2:$JL$317),"")</f>
        <v/>
      </c>
      <c r="EQ32" s="7">
        <f>IFERROR(AVERAGEIF('Данные 1st'!$S$2:$S$317,$A32,'Данные 1st'!$JM$2:$JM$317),"")</f>
        <v/>
      </c>
      <c r="ER32" s="7">
        <f>IFERROR(AVERAGEIF('Данные 1st'!$S$2:$S$317,$A32,'Данные 1st'!$JN$2:$JN$317),"")</f>
        <v>345</v>
      </c>
      <c r="ES32" s="7">
        <f>IFERROR(AVERAGEIF('Данные 1st'!$S$2:$S$317,$A32,'Данные 1st'!$JO$2:$JO$317),"")</f>
        <v>499</v>
      </c>
      <c r="ET32" s="7">
        <f>IFERROR(AVERAGEIF('Данные 1st'!$S$2:$S$317,$A32,'Данные 1st'!$JP$2:$JP$317),"")</f>
        <v>0</v>
      </c>
      <c r="EU32" s="7">
        <f>IFERROR(AVERAGEIF('Данные 1st'!$S$2:$S$317,$A32,'Данные 1st'!$JQ$2:$JQ$317),"")</f>
        <v>0</v>
      </c>
      <c r="EV32" s="7">
        <f>IFERROR(AVERAGEIF('Данные 1st'!$S$2:$S$317,$A32,'Данные 1st'!$JR$2:$JR$317),"")</f>
        <v>322.8</v>
      </c>
      <c r="EW32" s="7">
        <f>IFERROR(AVERAGEIF('Данные 1st'!$S$2:$S$317,$A32,'Данные 1st'!$JS$2:$JS$317),"")</f>
        <v>118</v>
      </c>
      <c r="EX32" s="7">
        <f>IFERROR(AVERAGEIF('Данные 1st'!$S$2:$S$317,$A32,'Данные 1st'!$JT$2:$JT$317),"")</f>
        <v/>
      </c>
      <c r="EY32" s="7">
        <f>IFERROR(AVERAGEIF('Данные 1st'!$S$2:$S$317,$A32,'Данные 1st'!$JU$2:$JU$317),"")</f>
        <v/>
      </c>
      <c r="EZ32" s="7">
        <f>IFERROR(AVERAGEIF('Данные 1st'!$S$2:$S$317,$A32,'Данные 1st'!$JV$2:$JV$317),"")</f>
        <v>8</v>
      </c>
      <c r="FA32" s="7">
        <f>IFERROR(AVERAGEIF('Данные 1st'!$S$2:$S$317,$A32,'Данные 1st'!$JW$2:$JW$317),"")</f>
        <v/>
      </c>
      <c r="FB32" s="7">
        <f>IFERROR(AVERAGEIF('Данные 1st'!$S$2:$S$317,$A32,'Данные 1st'!$JX$2:$JX$317),"")</f>
        <v>0</v>
      </c>
      <c r="FC32" s="7">
        <f>IFERROR(AVERAGEIF('Данные 1st'!$S$2:$S$317,$A32,'Данные 1st'!$JY$2:$JY$317),"")</f>
        <v/>
      </c>
      <c r="FD32" s="7">
        <f>IFERROR(AVERAGEIF('Данные 1st'!$S$2:$S$317,$A32,'Данные 1st'!$JZ$2:$JZ$317),"")</f>
        <v/>
      </c>
      <c r="FE32" s="7">
        <f>IFERROR(AVERAGEIF('Данные 1st'!$S$2:$S$317,$A32,'Данные 1st'!$KA$2:$KA$317),"")</f>
        <v>0</v>
      </c>
      <c r="FF32" s="7">
        <f>IFERROR(AVERAGEIF('Данные 1st'!$S$2:$S$317,$A32,'Данные 1st'!$KB$2:$KB$317),"")</f>
        <v>110</v>
      </c>
      <c r="FG32" s="7">
        <f>IFERROR(AVERAGEIF('Данные 1st'!$S$2:$S$317,$A32,'Данные 1st'!$KC$2:$KC$317),"")</f>
        <v>0</v>
      </c>
      <c r="FH32" s="7">
        <f>IFERROR(AVERAGEIF('Данные 1st'!$S$2:$S$317,$A32,'Данные 1st'!$KD$2:$KD$317),"")</f>
        <v>80</v>
      </c>
      <c r="FI32" s="7">
        <f>IFERROR(AVERAGEIF('Данные 1st'!$S$2:$S$317,$A32,'Данные 1st'!$KE$2:$KE$317),"")</f>
        <v/>
      </c>
      <c r="FJ32" s="7">
        <f>IFERROR(AVERAGEIF('Данные 1st'!$S$2:$S$317,$A32,'Данные 1st'!$KF$2:$KF$317),"")</f>
        <v>4</v>
      </c>
      <c r="FK32" s="7">
        <f>IFERROR(AVERAGEIF('Данные 1st'!$S$2:$S$317,$A32,'Данные 1st'!$KG$2:$KG$317),"")</f>
        <v>3.4</v>
      </c>
      <c r="FL32" s="7">
        <f>IFERROR(AVERAGEIF('Данные 1st'!$S$2:$S$317,$A32,'Данные 1st'!$KH$2:$KH$317),"")</f>
        <v>2</v>
      </c>
      <c r="FM32" s="7">
        <f>IFERROR(AVERAGEIF('Данные 1st'!$S$2:$S$317,$A32,'Данные 1st'!$KI$2:$KI$317),"")</f>
        <v>2</v>
      </c>
      <c r="FN32" s="7">
        <f>IFERROR(AVERAGEIF('Данные 1st'!$S$2:$S$317,$A32,'Данные 1st'!$KJ$2:$KJ$317),"")</f>
        <v>0</v>
      </c>
      <c r="FO32" s="7">
        <f>IFERROR(AVERAGEIF('Данные 1st'!$S$2:$S$317,$A32,'Данные 1st'!$KK$2:$KK$317),"")</f>
        <v>1.5</v>
      </c>
      <c r="FP32" s="7">
        <f>IFERROR(AVERAGEIF('Данные 1st'!$S$2:$S$317,$A32,'Данные 1st'!$KL$2:$KL$317),"")</f>
        <v>1.5</v>
      </c>
      <c r="FQ32" s="7">
        <f>IFERROR(AVERAGEIF('Данные 1st'!$S$2:$S$317,$A32,'Данные 1st'!$KM$2:$KM$317),"")</f>
        <v>0</v>
      </c>
      <c r="FR32" s="7">
        <f>IFERROR(AVERAGEIF('Данные 1st'!$S$2:$S$317,$A32,'Данные 1st'!$KN$2:$KN$317),"")</f>
        <v>0</v>
      </c>
      <c r="FS32" s="7">
        <f>IFERROR(AVERAGEIF('Данные 1st'!$S$2:$S$317,$A32,'Данные 1st'!$KR$2:$KR$317),"")</f>
        <v>38</v>
      </c>
      <c r="FT32" s="7">
        <f>IFERROR(AVERAGEIF('Данные 1st'!$S$2:$S$317,$A32,'Данные 1st'!$KS$2:$KS$317),"")</f>
        <v>60</v>
      </c>
      <c r="FU32" s="7">
        <f>IFERROR(AVERAGEIF('Данные 1st'!$S$2:$S$317,$A32,'Данные 1st'!$KT$2:$KT$317),"")</f>
        <v>0</v>
      </c>
      <c r="FV32" s="7">
        <f>IFERROR(AVERAGEIF('Данные 1st'!$S$2:$S$317,$A32,'Данные 1st'!$KV$2:$KV$317),"")</f>
        <v/>
      </c>
      <c r="FW32" s="7">
        <f>IFERROR(AVERAGEIF('Данные 1st'!$S$2:$S$317,$A32,'Данные 1st'!$KW$2:$KW$317),"")</f>
        <v/>
      </c>
      <c r="FX32" s="7">
        <f>IFERROR(AVERAGEIF('Данные 1st'!$S$2:$S$317,$A32,'Данные 1st'!$KX$2:$KX$317),"")</f>
        <v/>
      </c>
      <c r="FY32" s="7">
        <f>IFERROR(AVERAGEIF('Данные 1st'!$S$2:$S$317,$A32,'Данные 1st'!$KY$2:$KY$317),"")</f>
        <v/>
      </c>
      <c r="FZ32" s="7">
        <f>IFERROR(AVERAGEIF('Данные 1st'!$S$2:$S$317,$A32,'Данные 1st'!$KZ$2:$KZ$317),"")</f>
        <v/>
      </c>
      <c r="GA32" s="7">
        <f>IFERROR(AVERAGEIF('Данные 1st'!$S$2:$S$317,$A32,'Данные 1st'!$LA$2:$LA$317),"")</f>
        <v/>
      </c>
      <c r="GB32" s="7">
        <f>IFERROR(AVERAGEIF('Данные 1st'!$S$2:$S$317,$A32,'Данные 1st'!$LB$2:$LB$317),"")</f>
        <v/>
      </c>
      <c r="GC32" s="7">
        <f>IFERROR(AVERAGEIF('Данные 1st'!$S$2:$S$317,$A32,'Данные 1st'!$LC$2:$LC$317),"")</f>
        <v/>
      </c>
      <c r="GD32" s="7">
        <f>IFERROR(AVERAGEIF('Данные 1st'!$S$2:$S$317,$A32,'Данные 1st'!$LD$2:$LD$317),"")</f>
        <v/>
      </c>
      <c r="GE32" s="7">
        <f>IFERROR(AVERAGEIF('Данные 1st'!$S$2:$S$317,$A32,'Данные 1st'!$LE$2:$LE$317),"")</f>
        <v/>
      </c>
      <c r="GF32" s="7">
        <f>IFERROR(AVERAGEIF('Данные 1st'!$S$2:$S$317,$A32,'Данные 1st'!$LF$2:$LF$317),"")</f>
        <v/>
      </c>
      <c r="GG32" s="7">
        <f>IFERROR(AVERAGEIF('Данные 1st'!$S$2:$S$317,$A32,'Данные 1st'!$LG$2:$LG$317),"")</f>
        <v/>
      </c>
      <c r="GH32" s="7">
        <f>IFERROR(AVERAGEIF('Данные 1st'!$S$2:$S$317,$A32,'Данные 1st'!$LH$2:$LH$317),"")</f>
        <v/>
      </c>
      <c r="GI32" s="7">
        <f>IFERROR(AVERAGEIF('Данные 1st'!$S$2:$S$317,$A32,'Данные 1st'!$LI$2:$LI$317),"")</f>
        <v/>
      </c>
      <c r="GJ32" s="7">
        <f>IFERROR(AVERAGEIF('Данные 1st'!$S$2:$S$317,$A32,'Данные 1st'!$LJ$2:$LJ$317),"")</f>
        <v/>
      </c>
      <c r="GK32" s="7">
        <f>IFERROR(AVERAGEIF('Данные 1st'!$S$2:$S$317,$A32,'Данные 1st'!$LK$2:$LK$317),"")</f>
        <v>480</v>
      </c>
      <c r="GL32" s="7">
        <f>IFERROR(AVERAGEIF('Данные 1st'!$S$2:$S$317,$A32,'Данные 1st'!$LV$2:$LV$317),"")</f>
        <v/>
      </c>
      <c r="GM32" s="7">
        <f>IFERROR(AVERAGEIF('Данные 1st'!$S$2:$S$317,$A32,'Данные 1st'!$LW$2:$LW$317),"")</f>
        <v/>
      </c>
      <c r="GN32" s="7">
        <f>IFERROR(AVERAGEIF('Данные 1st'!$S$2:$S$317,$A32,'Данные 1st'!$LX$2:$LX$317),"")</f>
        <v/>
      </c>
      <c r="GO32" s="7">
        <f>IFERROR(AVERAGEIF('Данные 1st'!$S$2:$S$317,$A32,'Данные 1st'!$LY$2:$LY$317),"")</f>
        <v/>
      </c>
      <c r="GP32" s="7">
        <f>IFERROR(AVERAGEIF('Данные 1st'!$S$2:$S$317,$A32,'Данные 1st'!$LZ$2:$LZ$317),"")</f>
        <v/>
      </c>
      <c r="GQ32" s="7">
        <f>IFERROR(AVERAGEIF('Данные 1st'!$S$2:$S$317,$A32,'Данные 1st'!$PG$2:$PG$317),"")</f>
        <v>1</v>
      </c>
      <c r="GR32" s="7">
        <f>IFERROR(AVERAGEIF('Данные 1st'!$S$2:$S$317,$A32,'Данные 1st'!$PX$2:$PX$317),"")</f>
        <v>56</v>
      </c>
      <c r="GS32" s="7">
        <f>IFERROR(AVERAGEIF('Данные 1st'!$S$2:$S$317,$A32,'Данные 1st'!$PY$2:$PY$317),"")</f>
        <v>56.2</v>
      </c>
      <c r="GT32" s="7">
        <f>IFERROR(AVERAGEIF('Данные 1st'!$S$2:$S$317,$A32,'Данные 1st'!$QA$2:$QA$317),"")</f>
        <v>1.8</v>
      </c>
      <c r="GU32" s="7">
        <f>IFERROR(AVERAGEIF('Данные 1st'!$S$2:$S$317,$A32,'Данные 1st'!$QB$2:$QB$317),"")</f>
        <v>1372.8</v>
      </c>
      <c r="GV32" s="7">
        <f>IFERROR(AVERAGEIF('Данные 1st'!$S$2:$S$317,$A32,'Данные 1st'!$QC$2:$QC$317),"")</f>
        <v>69</v>
      </c>
      <c r="GW32" s="7">
        <f>IFERROR(AVERAGEIF('Данные 1st'!$S$2:$S$317,$A32,'Данные 1st'!$QD$2:$QD$317),"")</f>
        <v>69</v>
      </c>
      <c r="GX32" s="7">
        <f>IFERROR(AVERAGEIF('Данные 1st'!$S$2:$S$317,$A32,'Данные 1st'!$QF$2:$QF$317),"")</f>
        <v>1</v>
      </c>
      <c r="GY32" s="7">
        <f>IFERROR(AVERAGEIF('Данные 1st'!$S$2:$S$317,$A32,'Данные 1st'!$QG$2:$QG$317),"")</f>
        <v>1393</v>
      </c>
      <c r="GZ32" s="7">
        <f>IFERROR(AVERAGEIF('Данные 1st'!$S$2:$S$317,$A32,'Данные 1st'!$QH$2:$QH$317),"")</f>
        <v>66</v>
      </c>
      <c r="HA32" s="7">
        <f>IFERROR(AVERAGEIF('Данные 1st'!$S$2:$S$317,$A32,'Данные 1st'!$QI$2:$QI$317),"")</f>
        <v>66</v>
      </c>
      <c r="HB32" s="7">
        <f>IFERROR(AVERAGEIF('Данные 1st'!$S$2:$S$317,$A32,'Данные 1st'!$QK$2:$QK$317),"")</f>
        <v/>
      </c>
      <c r="HC32" s="7">
        <f>IFERROR(AVERAGEIF('Данные 1st'!$S$2:$S$317,$A32,'Данные 1st'!$QL$2:$QL$317),"")</f>
        <v>0</v>
      </c>
      <c r="HD32" s="7">
        <f>IFERROR(AVERAGEIF('Данные 1st'!$S$2:$S$317,$A32,'Данные 1st'!$QM$2:$QM$317),"")</f>
        <v>62.8</v>
      </c>
      <c r="HE32" s="7">
        <f>IFERROR(AVERAGEIF('Данные 1st'!$S$2:$S$317,$A32,'Данные 1st'!$QN$2:$QN$317),"")</f>
        <v>62.8</v>
      </c>
      <c r="HF32" s="7">
        <f>IFERROR(AVERAGEIF('Данные 1st'!$S$2:$S$317,$A32,'Данные 1st'!$QP$2:$QP$317),"")</f>
        <v>1</v>
      </c>
      <c r="HG32" s="7">
        <f>IFERROR(AVERAGEIF('Данные 1st'!$S$2:$S$317,$A32,'Данные 1st'!$QQ$2:$QQ$317),"")</f>
        <v>1391.2</v>
      </c>
      <c r="HH32" s="7">
        <f>IFERROR(AVERAGEIF('Данные 1st'!$S$2:$S$317,$A32,'Данные 1st'!$QR$2:$QR$317),"")</f>
        <v/>
      </c>
      <c r="HI32" s="7">
        <f>IFERROR(AVERAGEIF('Данные 1st'!$S$2:$S$317,$A32,'Данные 1st'!$QS$2:$QS$317),"")</f>
        <v/>
      </c>
      <c r="HJ32" s="7">
        <f>IFERROR(AVERAGEIF('Данные 1st'!$S$2:$S$317,$A32,'Данные 1st'!$QU$2:$QU$317),"")</f>
        <v/>
      </c>
      <c r="HK32" s="7">
        <f>IFERROR(AVERAGEIF('Данные 1st'!$S$2:$S$317,$A32,'Данные 1st'!$QV$2:$QV$317),"")</f>
        <v/>
      </c>
      <c r="HL32" s="7">
        <f>IFERROR(AVERAGEIF('Данные 1st'!$S$2:$S$317,$A32,'Данные 1st'!$QW$2:$QW$317),"")</f>
        <v>82</v>
      </c>
      <c r="HM32" s="7">
        <f>IFERROR(AVERAGEIF('Данные 1st'!$S$2:$S$317,$A32,'Данные 1st'!$QX$2:$QX$317),"")</f>
        <v>84.2</v>
      </c>
      <c r="HN32" s="7">
        <f>IFERROR(AVERAGEIF('Данные 1st'!$S$2:$S$317,$A32,'Данные 1st'!$QZ$2:$QZ$317),"")</f>
        <v>1.2</v>
      </c>
      <c r="HO32" s="7">
        <f>IFERROR(AVERAGEIF('Данные 1st'!$S$2:$S$317,$A32,'Данные 1st'!$RA$2:$RA$317),"")</f>
        <v>66</v>
      </c>
      <c r="HP32" s="7">
        <f>IFERROR(AVERAGEIF('Данные 1st'!$S$2:$S$317,$A32,'Данные 1st'!$RB$2:$RB$317),"")</f>
        <v>66</v>
      </c>
      <c r="HQ32" s="7">
        <f>IFERROR(AVERAGEIF('Данные 1st'!$S$2:$S$317,$A32,'Данные 1st'!$RD$2:$RD$317),"")</f>
        <v/>
      </c>
      <c r="HR32" s="7">
        <f>IFERROR(AVERAGEIF('Данные 1st'!$S$2:$S$317,$A32,'Данные 1st'!$RE$2:$RE$317),"")</f>
        <v>0</v>
      </c>
      <c r="HS32" s="7">
        <f>IFERROR(AVERAGEIF('Данные 1st'!$S$2:$S$317,$A32,'Данные 1st'!$RF$2:$RF$317),"")</f>
        <v>1</v>
      </c>
      <c r="HT32" s="7">
        <f>IFERROR(AVERAGEIF('Данные 1st'!$S$2:$S$317,$A32,'Данные 1st'!$RG$2:$RG$317),"")</f>
        <v>1</v>
      </c>
      <c r="HU32" s="7">
        <f>IFERROR(AVERAGEIF('Данные 1st'!$S$2:$S$317,$A32,'Данные 1st'!$RH$2:$RH$317),"")</f>
        <v/>
      </c>
      <c r="HV32" s="7">
        <f>IFERROR(AVERAGEIF('Данные 1st'!$S$2:$S$317,$A32,'Данные 1st'!$RI$2:$RI$317),"")</f>
        <v/>
      </c>
      <c r="HW32" s="7">
        <f>IFERROR(AVERAGEIF('Данные 1st'!$S$2:$S$317,$A32,'Данные 1st'!$RJ$2:$RJ$317),"")</f>
        <v>1</v>
      </c>
      <c r="HX32" s="7">
        <f>IFERROR(AVERAGEIF('Данные 1st'!$S$2:$S$317,$A32,'Данные 1st'!$RK$2:$RK$317),"")</f>
        <v/>
      </c>
      <c r="HY32" s="7">
        <f>IFERROR(AVERAGEIF('Данные 1st'!$S$2:$S$317,$A32,'Данные 1st'!$RL$2:$RL$317),"")</f>
        <v>2</v>
      </c>
      <c r="HZ32" s="7">
        <f>IFERROR(AVERAGEIF('Данные 1st'!$S$2:$S$317,$A32,'Данные 1st'!$RM$2:$RM$317),"")</f>
        <v/>
      </c>
      <c r="IA32" s="7">
        <f>IFERROR(AVERAGEIF('Данные 1st'!$S$2:$S$317,$A32,'Данные 1st'!$RN$2:$RN$317),"")</f>
        <v/>
      </c>
      <c r="IB32" s="7">
        <f>IFERROR(AVERAGEIF('Данные 1st'!$S$2:$S$317,$A32,'Данные 1st'!$RO$2:$RO$317),"")</f>
        <v>488</v>
      </c>
      <c r="IC32" s="7">
        <f>IFERROR(AVERAGEIF('Данные 1st'!$S$2:$S$317,$A32,'Данные 1st'!$RP$2:$RP$317),"")</f>
        <v/>
      </c>
      <c r="ID32" s="7">
        <f>IFERROR(AVERAGEIF('Данные 1st'!$S$2:$S$317,$A32,'Данные 1st'!$RQ$2:$RQ$317),"")</f>
        <v>797.4</v>
      </c>
      <c r="IE32" s="7">
        <f>IFERROR(AVERAGEIF('Данные 1st'!$S$2:$S$317,$A32,'Данные 1st'!$RR$2:$RR$317),"")</f>
        <v/>
      </c>
      <c r="IF32" s="7">
        <f>IFERROR(AVERAGEIF('Данные 1st'!$S$2:$S$317,$A32,'Данные 1st'!$RS$2:$RS$317),"")</f>
        <v/>
      </c>
      <c r="IG32" s="7">
        <f>IFERROR(AVERAGEIF('Данные 1st'!$S$2:$S$317,$A32,'Данные 1st'!$RT$2:$RT$317),"")</f>
        <v>261.4</v>
      </c>
      <c r="IH32" s="7">
        <f>IFERROR(AVERAGEIF('Данные 1st'!$S$2:$S$317,$A32,'Данные 1st'!$RU$2:$RU$317),"")</f>
        <v>166.2</v>
      </c>
      <c r="II32" s="7">
        <f>IFERROR(AVERAGEIF('Данные 1st'!$S$2:$S$317,$A32,'Данные 1st'!$RX$2:$RX$317),"")</f>
        <v>15</v>
      </c>
      <c r="IJ32" s="7">
        <f>IFERROR(AVERAGEIF('Данные 1st'!$S$2:$S$317,$A32,'Данные 1st'!$RY$2:$RY$317),"")</f>
        <v>4</v>
      </c>
      <c r="IK32" s="7">
        <f>IFERROR(AVERAGEIF('Данные 1st'!$S$2:$S$317,$A32,'Данные 1st'!$SA$2:$SA$317),"")</f>
        <v>15</v>
      </c>
      <c r="IL32" s="7">
        <f>IFERROR(AVERAGEIF('Данные 1st'!$S$2:$S$317,$A32,'Данные 1st'!$SD$2:$SD$317),"")</f>
        <v>1</v>
      </c>
      <c r="IM32" s="7">
        <f>IFERROR(AVERAGEIF('Данные 1st'!$S$2:$S$317,$A32,'Данные 1st'!$SG$2:$SG$317),"")</f>
        <v/>
      </c>
      <c r="IN32" s="7">
        <f>IFERROR(AVERAGEIF('Данные 1st'!$S$2:$S$317,$A32,'Данные 1st'!$SH$2:$SH$317),"")</f>
        <v>0.995</v>
      </c>
      <c r="IO32" s="7">
        <f>IFERROR(AVERAGEIF('Данные 1st'!$S$2:$S$317,$A32,'Данные 1st'!$SI$2:$SI$317),"")</f>
        <v>0.995</v>
      </c>
      <c r="IP32" s="7">
        <f>IFERROR(AVERAGEIF('Данные 1st'!$S$2:$S$317,$A32,'Данные 1st'!$SJ$2:$SJ$317),"")</f>
        <v>0.995</v>
      </c>
      <c r="IQ32" s="7">
        <f>IFERROR(AVERAGEIF('Данные 1st'!$S$2:$S$317,$A32,'Данные 1st'!$SK$2:$SK$317),"")</f>
        <v>15</v>
      </c>
      <c r="IR32" s="7">
        <f>IFERROR(AVERAGEIF('Данные 1st'!$S$2:$S$317,$A32,'Данные 1st'!$SL$2:$SL$317),"")</f>
        <v>0</v>
      </c>
      <c r="IS32" s="7">
        <f>IFERROR(AVERAGEIF('Данные 1st'!$S$2:$S$317,$A32,'Данные 1st'!$SM$2:$SM$317),"")</f>
        <v>0</v>
      </c>
      <c r="IT32" s="7">
        <f>IFERROR(AVERAGEIF('Данные 1st'!$S$2:$S$317,$A32,'Данные 1st'!$SN$2:$SN$317),"")</f>
        <v>0</v>
      </c>
      <c r="IU32" s="7">
        <f>IFERROR(AVERAGEIF('Данные 1st'!$S$2:$S$317,$A32,'Данные 1st'!$SO$2:$SO$317),"")</f>
        <v>0</v>
      </c>
      <c r="IV32" s="7">
        <f>IFERROR(AVERAGEIF('Данные 1st'!$S$2:$S$317,$A32,'Данные 1st'!$SP$2:$SP$317),"")</f>
        <v>0</v>
      </c>
      <c r="IW32" s="7">
        <f>IFERROR(AVERAGEIF('Данные 1st'!$S$2:$S$317,$A32,'Данные 1st'!$SQ$2:$SQ$317),"")</f>
        <v>0</v>
      </c>
      <c r="IX32" s="7">
        <f>IFERROR(AVERAGEIF('Данные 1st'!$S$2:$S$317,$A32,'Данные 1st'!$SR$2:$SR$317),"")</f>
        <v>0</v>
      </c>
      <c r="IY32" s="7">
        <f>IFERROR(AVERAGEIF('Данные 1st'!$S$2:$S$317,$A32,'Данные 1st'!$SS$2:$SS$317),"")</f>
        <v>0</v>
      </c>
      <c r="IZ32" s="7">
        <f>IFERROR(AVERAGEIF('Данные 1st'!$S$2:$S$317,$A32,'Данные 1st'!$ST$2:$ST$317),"")</f>
        <v>0</v>
      </c>
      <c r="JA32" s="7">
        <f>IFERROR(AVERAGEIF('Данные 1st'!$S$2:$S$317,$A32,'Данные 1st'!$SU$2:$SU$317),"")</f>
        <v>0</v>
      </c>
      <c r="JB32" s="7">
        <f>IFERROR(AVERAGEIF('Данные 1st'!$S$2:$S$317,$A32,'Данные 1st'!$SV$2:$SV$317),"")</f>
        <v>0</v>
      </c>
      <c r="JC32" s="7">
        <f>IFERROR(AVERAGEIF('Данные 1st'!$S$2:$S$317,$A32,'Данные 1st'!$SW$2:$SW$317),"")</f>
        <v>0</v>
      </c>
      <c r="JD32" s="7">
        <f>IFERROR(AVERAGEIF('Данные 1st'!$S$2:$S$317,$A32,'Данные 1st'!$SX$2:$SX$317),"")</f>
        <v>0</v>
      </c>
      <c r="JE32" s="7">
        <f>IFERROR(AVERAGEIF('Данные 1st'!$S$2:$S$317,$A32,'Данные 1st'!$SY$2:$SY$317),"")</f>
        <v/>
      </c>
      <c r="JF32" s="7">
        <f>IFERROR(AVERAGEIF('Данные 1st'!$S$2:$S$317,$A32,'Данные 1st'!$SZ$2:$SZ$317),"")</f>
        <v/>
      </c>
      <c r="JG32" s="7">
        <f>IFERROR(AVERAGEIF('Данные 1st'!$S$2:$S$317,$A32,'Данные 1st'!$TA$2:$TA$317),"")</f>
        <v/>
      </c>
      <c r="JH32" s="7">
        <f>IFERROR(AVERAGEIF('Данные 1st'!$S$2:$S$317,$A32,'Данные 1st'!$TB$2:$TB$317),"")</f>
        <v>0</v>
      </c>
      <c r="JI32" s="7">
        <f>IFERROR(AVERAGEIF('Данные 1st'!$S$2:$S$317,$A32,'Данные 1st'!$TC$2:$TC$317),"")</f>
        <v>0</v>
      </c>
      <c r="JJ32" s="7">
        <f>IFERROR(AVERAGEIF('Данные 1st'!$S$2:$S$317,$A32,'Данные 1st'!$TD$2:$TD$317),"")</f>
        <v>7.5</v>
      </c>
      <c r="JK32" s="7">
        <f>IFERROR(AVERAGEIF('Данные 1st'!$S$2:$S$317,$A32,'Данные 1st'!$TN$2:$TN$317),"")</f>
        <v>0</v>
      </c>
      <c r="JL32">
        <f>COUNTIF('Данные 2st'!$Q$2:$Q$317,$A32)</f>
        <v>5</v>
      </c>
      <c r="JM32" s="6" t="s">
        <v>5097</v>
      </c>
      <c r="JN32" s="6" t="s">
        <v>513</v>
      </c>
      <c r="JO32" s="6" t="s">
        <v>5125</v>
      </c>
      <c r="JP32" s="6" t="s">
        <v>5488</v>
      </c>
      <c r="JQ32" s="7">
        <f>IFERROR(AVERAGEIF('Данные 2st'!$Q$2:$Q$317,$A32,'Данные 2st'!$AC$2:$AC$317),"")</f>
        <v>9.8</v>
      </c>
      <c r="JR32" s="7">
        <f>IFERROR(AVERAGEIF('Данные 2st'!$Q$2:$Q$317,$A32,'Данные 2st'!$AF$2:$AF$317),"")</f>
        <v>3878.4</v>
      </c>
      <c r="JS32" s="7">
        <f>IFERROR(AVERAGEIF('Данные 2st'!$Q$2:$Q$317,$A32,'Данные 2st'!$AW$2:$AW$317),"")</f>
        <v>6.4</v>
      </c>
      <c r="JT32" s="7">
        <f>IFERROR(AVERAGEIF('Данные 2st'!$Q$2:$Q$317,$A32,'Данные 2st'!$AX$2:$AX$317),"")</f>
        <v>-6</v>
      </c>
      <c r="JU32" s="7">
        <f>IFERROR(AVERAGEIF('Данные 2st'!$Q$2:$Q$317,$A32,'Данные 2st'!$AY$2:$AY$317),"")</f>
        <v>101.2</v>
      </c>
      <c r="JV32" s="7">
        <f>IFERROR(AVERAGEIF('Данные 2st'!$Q$2:$Q$317,$A32,'Данные 2st'!$AZ$2:$AZ$317),"")</f>
        <v>75.2</v>
      </c>
      <c r="JW32" s="7">
        <f>IFERROR(AVERAGEIF('Данные 2st'!$Q$2:$Q$317,$A32,'Данные 2st'!$BA$2:$BA$317),"")</f>
        <v/>
      </c>
      <c r="JX32" s="7">
        <f>IFERROR(AVERAGEIF('Данные 2st'!$Q$2:$Q$317,$A32,'Данные 2st'!$BB$2:$BB$317),"")</f>
        <v/>
      </c>
      <c r="JY32" s="7">
        <f>IFERROR(AVERAGEIF('Данные 2st'!$Q$2:$Q$317,$A32,'Данные 2st'!$BC$2:$BC$317),"")</f>
        <v/>
      </c>
      <c r="JZ32" s="7">
        <f>IFERROR(AVERAGEIF('Данные 2st'!$Q$2:$Q$317,$A32,'Данные 2st'!$BH$2:$BH$317),"")</f>
        <v>101.2</v>
      </c>
      <c r="KA32" s="7">
        <f>IFERROR(AVERAGEIF('Данные 2st'!$Q$2:$Q$317,$A32,'Данные 2st'!$BI$2:$BI$317),"")</f>
        <v>26.0</v>
      </c>
      <c r="KB32" s="7">
        <f>IFERROR(AVERAGEIF('Данные 2st'!$Q$2:$Q$317,$A32,'Данные 2st'!$BJ$2:$BJ$317),"")</f>
        <v>75.2</v>
      </c>
      <c r="KC32" s="7">
        <f>IFERROR(AVERAGEIF('Данные 2st'!$Q$2:$Q$317,$A32,'Данные 2st'!$BK$2:$BK$317),"")</f>
        <v>2.7</v>
      </c>
      <c r="KD32" s="7">
        <f>IFERROR(AVERAGEIF('Данные 2st'!$Q$2:$Q$317,$A32,'Данные 2st'!$BL$2:$BL$317),"")</f>
        <v>202.4</v>
      </c>
      <c r="KE32" s="7">
        <f>IFERROR(AVERAGEIF('Данные 2st'!$Q$2:$Q$317,$A32,'Данные 2st'!$BM$2:$BM$317),"")</f>
        <v>-6</v>
      </c>
      <c r="KF32" s="7">
        <f>IFERROR(AVERAGEIF('Данные 2st'!$Q$2:$Q$317,$A32,'Данные 2st'!$BN$2:$BN$317),"")</f>
        <v>0</v>
      </c>
      <c r="KG32" s="7">
        <f>IFERROR(AVERAGEIF('Данные 2st'!$Q$2:$Q$317,$A32,'Данные 2st'!$BO$2:$BO$317),"")</f>
        <v>0</v>
      </c>
      <c r="KH32" s="7">
        <f>IFERROR(AVERAGEIF('Данные 2st'!$Q$2:$Q$317,$A32,'Данные 2st'!$BP$2:$BP$317),"")</f>
        <v>0</v>
      </c>
      <c r="KI32" s="7">
        <f>IFERROR(AVERAGEIF('Данные 2st'!$Q$2:$Q$317,$A32,'Данные 2st'!$BR$2:$BR$317),"")</f>
        <v>197</v>
      </c>
      <c r="KJ32" s="7">
        <f>IFERROR(AVERAGEIF('Данные 2st'!$Q$2:$Q$317,$A32,'Данные 2st'!$BS$2:$BS$317),"")</f>
        <v>187</v>
      </c>
      <c r="KK32" s="7">
        <f>IFERROR(AVERAGEIF('Данные 2st'!$Q$2:$Q$317,$A32,'Данные 2st'!$BT$2:$BT$317),"")</f>
        <v>1928</v>
      </c>
      <c r="KL32" s="7">
        <f>IFERROR(AVERAGEIF('Данные 2st'!$Q$2:$Q$317,$A32,'Данные 2st'!$CV$2:$CV$317),"")</f>
        <v>123.2</v>
      </c>
      <c r="KM32" s="7">
        <f>IFERROR(AVERAGEIF('Данные 2st'!$Q$2:$Q$317,$A32,'Данные 2st'!$CW$2:$CW$317),"")</f>
        <v>3</v>
      </c>
      <c r="KN32" s="7">
        <f>IFERROR(AVERAGEIF('Данные 2st'!$Q$2:$Q$317,$A32,'Данные 2st'!$CX$2:$CX$317),"")</f>
        <v>101.8</v>
      </c>
      <c r="KO32" s="7">
        <f>IFERROR(AVERAGEIF('Данные 2st'!$Q$2:$Q$317,$A32,'Данные 2st'!$CY$2:$CY$317),"")</f>
        <v>5</v>
      </c>
      <c r="KP32" s="7">
        <f>IFERROR(AVERAGEIF('Данные 2st'!$Q$2:$Q$317,$A32,'Данные 2st'!$CZ$2:$CZ$317),"")</f>
        <v>121.4</v>
      </c>
      <c r="KQ32" s="7">
        <f>IFERROR(AVERAGEIF('Данные 2st'!$Q$2:$Q$317,$A32,'Данные 2st'!$DA$2:$DA$317),"")</f>
        <v>5</v>
      </c>
      <c r="KR32" s="7">
        <f>IFERROR(AVERAGEIF('Данные 2st'!$Q$2:$Q$317,$A32,'Данные 2st'!$DB$2:$DB$317),"")</f>
        <v>9750</v>
      </c>
      <c r="KS32" s="7">
        <f>IFERROR(AVERAGEIF('Данные 2st'!$Q$2:$Q$317,$A32,'Данные 2st'!$DC$2:$DC$317),"")</f>
        <v>292</v>
      </c>
      <c r="KT32" s="7">
        <f>IFERROR(AVERAGEIF('Данные 2st'!$Q$2:$Q$317,$A32,'Данные 2st'!$DD$2:$DD$317),"")</f>
        <v>289.8</v>
      </c>
      <c r="KU32" s="7">
        <f>IFERROR(AVERAGEIF('Данные 2st'!$Q$2:$Q$317,$A32,'Данные 2st'!$DE$2:$DE$317),"")</f>
        <v>2037.8</v>
      </c>
      <c r="KV32" s="7">
        <f>IFERROR(AVERAGEIF('Данные 2st'!$Q$2:$Q$317,$A32,'Данные 2st'!$DF$2:$DF$317),"")</f>
        <v>2037.8</v>
      </c>
      <c r="KW32" s="7">
        <f>IFERROR(AVERAGEIF('Данные 2st'!$Q$2:$Q$317,$A32,'Данные 2st'!$DG$2:$DG$317),"")</f>
        <v>2048.2</v>
      </c>
      <c r="KX32" s="7">
        <f>IFERROR(AVERAGEIF('Данные 2st'!$Q$2:$Q$317,$A32,'Данные 2st'!$DH$2:$DH$317),"")</f>
        <v/>
      </c>
      <c r="KY32" s="7">
        <f>IFERROR(AVERAGEIF('Данные 2st'!$Q$2:$Q$317,$A32,'Данные 2st'!$DI$2:$DI$317),"")</f>
        <v/>
      </c>
      <c r="KZ32" s="7">
        <f>IFERROR(AVERAGEIF('Данные 2st'!$Q$2:$Q$317,$A32,'Данные 2st'!$DK$2:$DK$317),"")</f>
        <v>197</v>
      </c>
      <c r="LA32" s="7">
        <f>IFERROR(AVERAGEIF('Данные 2st'!$Q$2:$Q$317,$A32,'Данные 2st'!$DM$2:$DM$317),"")</f>
        <v>64.2</v>
      </c>
      <c r="LB32" s="7">
        <f>IFERROR(AVERAGEIF('Данные 2st'!$Q$2:$Q$317,$A32,'Данные 2st'!$DN$2:$DN$317),"")</f>
        <v>0.84</v>
      </c>
      <c r="LC32" s="7">
        <f>IFERROR(AVERAGEIF('Данные 2st'!$Q$2:$Q$317,$A32,'Данные 2st'!$DO$2:$DO$317),"")</f>
        <v>1</v>
      </c>
      <c r="LD32" s="7">
        <f>IFERROR(AVERAGEIF('Данные 2st'!$Q$2:$Q$317,$A32,'Данные 2st'!$DP$2:$DP$317),"")</f>
        <v>1931</v>
      </c>
      <c r="LE32" s="7">
        <f>IFERROR(AVERAGEIF('Данные 2st'!$Q$2:$Q$317,$A32,'Данные 2st'!$DQ$2:$DQ$317),"")</f>
        <v>695.2</v>
      </c>
      <c r="LF32" s="7">
        <f>IFERROR(AVERAGEIF('Данные 2st'!$Q$2:$Q$317,$A32,'Данные 2st'!$DS$2:$DS$317),"")</f>
        <v>187</v>
      </c>
      <c r="LG32" s="7">
        <f>IFERROR(AVERAGEIF('Данные 2st'!$Q$2:$Q$317,$A32,'Данные 2st'!$DU$2:$DU$317),"")</f>
        <v>64.2</v>
      </c>
      <c r="LH32" s="7">
        <f>IFERROR(AVERAGEIF('Данные 2st'!$Q$2:$Q$317,$A32,'Данные 2st'!$DV$2:$DV$317),"")</f>
        <v>0.84</v>
      </c>
      <c r="LI32" s="7">
        <f>IFERROR(AVERAGEIF('Данные 2st'!$Q$2:$Q$317,$A32,'Данные 2st'!$DW$2:$DW$317),"")</f>
        <v>1</v>
      </c>
      <c r="LJ32" s="7">
        <f>IFERROR(AVERAGEIF('Данные 2st'!$Q$2:$Q$317,$A32,'Данные 2st'!$DX$2:$DX$317),"")</f>
        <v>1938</v>
      </c>
      <c r="LK32" s="7">
        <f>IFERROR(AVERAGEIF('Данные 2st'!$Q$2:$Q$317,$A32,'Данные 2st'!$DY$2:$DY$317),"")</f>
        <v>661.8</v>
      </c>
      <c r="LL32" s="7">
        <f>IFERROR(AVERAGEIF('Данные 2st'!$Q$2:$Q$317,$A32,'Данные 2st'!$EA$2:$EA$317),"")</f>
        <v>33</v>
      </c>
      <c r="LM32" s="7">
        <f>IFERROR(AVERAGEIF('Данные 2st'!$Q$2:$Q$317,$A32,'Данные 2st'!$EC$2:$EC$317),"")</f>
        <v>0.4</v>
      </c>
      <c r="LN32" s="7">
        <f>IFERROR(AVERAGEIF('Данные 2st'!$Q$2:$Q$317,$A32,'Данные 2st'!$ED$2:$ED$317),"")</f>
        <v>1931</v>
      </c>
      <c r="LO32" s="7">
        <f>IFERROR(AVERAGEIF('Данные 2st'!$Q$2:$Q$317,$A32,'Данные 2st'!$EE$2:$EE$317),"")</f>
        <v>56</v>
      </c>
      <c r="LP32" s="7">
        <f>IFERROR(AVERAGEIF('Данные 2st'!$Q$2:$Q$317,$A32,'Данные 2st'!$EG$2:$EG$317),"")</f>
        <v>33</v>
      </c>
      <c r="LQ32" s="7">
        <f>IFERROR(AVERAGEIF('Данные 2st'!$Q$2:$Q$317,$A32,'Данные 2st'!$EI$2:$EI$317),"")</f>
        <v>0.4</v>
      </c>
      <c r="LR32" s="7">
        <f>IFERROR(AVERAGEIF('Данные 2st'!$Q$2:$Q$317,$A32,'Данные 2st'!$EJ$2:$EJ$317),"")</f>
        <v>1938</v>
      </c>
      <c r="LS32" s="7">
        <f>IFERROR(AVERAGEIF('Данные 2st'!$Q$2:$Q$317,$A32,'Данные 2st'!$EK$2:$EK$317),"")</f>
        <v>56.2</v>
      </c>
      <c r="LT32" s="7">
        <f>IFERROR(AVERAGEIF('Данные 2st'!$Q$2:$Q$317,$A32,'Данные 2st'!$EM$2:$EM$317),"")</f>
        <v>12</v>
      </c>
      <c r="LU32" s="7">
        <f>IFERROR(AVERAGEIF('Данные 2st'!$Q$2:$Q$317,$A32,'Данные 2st'!$EN$2:$EN$317),"")</f>
        <v>0.5</v>
      </c>
      <c r="LV32" s="7">
        <f>IFERROR(AVERAGEIF('Данные 2st'!$Q$2:$Q$317,$A32,'Данные 2st'!$EO$2:$EO$317),"")</f>
        <v>0.91</v>
      </c>
      <c r="LW32" s="7">
        <f>IFERROR(AVERAGEIF('Данные 2st'!$Q$2:$Q$317,$A32,'Данные 2st'!$EP$2:$EP$317),"")</f>
        <v>1938.56</v>
      </c>
      <c r="LX32" s="7">
        <f>IFERROR(AVERAGEIF('Данные 2st'!$Q$2:$Q$317,$A32,'Данные 2st'!$EQ$2:$EQ$317),"")</f>
        <v>32470.552</v>
      </c>
      <c r="LY32" s="7">
        <f>IFERROR(AVERAGEIF('Данные 2st'!$Q$2:$Q$317,$A32,'Данные 2st'!$ER$2:$ER$317),"")</f>
        <v>7902.31</v>
      </c>
      <c r="LZ32" s="7">
        <f>IFERROR(AVERAGEIF('Данные 2st'!$Q$2:$Q$317,$A32,'Данные 2st'!$ES$2:$ES$317),"")</f>
        <v>0</v>
      </c>
      <c r="MA32" s="7">
        <f>IFERROR(AVERAGEIF('Данные 2st'!$Q$2:$Q$317,$A32,'Данные 2st'!$ET$2:$ET$317),"")</f>
        <v>0</v>
      </c>
      <c r="MB32" s="7">
        <f>IFERROR(AVERAGEIF('Данные 2st'!$Q$2:$Q$317,$A32,'Данные 2st'!$EU$2:$EU$317),"")</f>
        <v>1</v>
      </c>
      <c r="MC32" s="7">
        <f>IFERROR(AVERAGEIF('Данные 2st'!$Q$2:$Q$317,$A32,'Данные 2st'!$EV$2:$EV$317),"")</f>
        <v>40373.4</v>
      </c>
      <c r="MD32" s="7">
        <f>IFERROR(AVERAGEIF('Данные 2st'!$Q$2:$Q$317,$A32,'Данные 2st'!$EW$2:$EW$317),"")</f>
        <v>471</v>
      </c>
      <c r="ME32" s="7">
        <f>IFERROR(AVERAGEIF('Данные 2st'!$Q$2:$Q$317,$A32,'Данные 2st'!$EY$2:$EY$317),"")</f>
        <v>216.4</v>
      </c>
      <c r="MF32" s="7">
        <f>IFERROR(AVERAGEIF('Данные 2st'!$Q$2:$Q$317,$A32,'Данные 2st'!$FA$2:$FA$317),"")</f>
        <v>5.24</v>
      </c>
      <c r="MG32" s="7">
        <f>IFERROR(AVERAGEIF('Данные 2st'!$Q$2:$Q$317,$A32,'Данные 2st'!$FB$2:$FB$317),"")</f>
        <v>1</v>
      </c>
      <c r="MH32" s="7">
        <f>IFERROR(AVERAGEIF('Данные 2st'!$Q$2:$Q$317,$A32,'Данные 2st'!$FC$2:$FC$317),"")</f>
        <v>1</v>
      </c>
      <c r="MI32" s="7">
        <f>IFERROR(AVERAGEIF('Данные 2st'!$Q$2:$Q$317,$A32,'Данные 2st'!$FD$2:$FD$317),"")</f>
        <v>1970.4</v>
      </c>
      <c r="MJ32" s="7">
        <f>IFERROR(AVERAGEIF('Данные 2st'!$Q$2:$Q$317,$A32,'Данные 2st'!$FE$2:$FE$317),"")</f>
        <v>2370.2</v>
      </c>
      <c r="MK32" s="7">
        <f>IFERROR(AVERAGEIF('Данные 2st'!$Q$2:$Q$317,$A32,'Данные 2st'!$FG$2:$FG$317),"")</f>
        <v>216.4</v>
      </c>
      <c r="ML32" s="7">
        <f>IFERROR(AVERAGEIF('Данные 2st'!$Q$2:$Q$317,$A32,'Данные 2st'!$FI$2:$FI$317),"")</f>
        <v>2.52</v>
      </c>
      <c r="MM32" s="7">
        <f>IFERROR(AVERAGEIF('Данные 2st'!$Q$2:$Q$317,$A32,'Данные 2st'!$FJ$2:$FJ$317),"")</f>
        <v>1970.4</v>
      </c>
      <c r="MN32" s="7">
        <f>IFERROR(AVERAGEIF('Данные 2st'!$Q$2:$Q$317,$A32,'Данные 2st'!$FK$2:$FK$317),"")</f>
        <v>1213.6</v>
      </c>
      <c r="MO32" s="7">
        <f>IFERROR(AVERAGEIF('Данные 2st'!$Q$2:$Q$317,$A32,'Данные 2st'!$FP$2:$FP$317),"")</f>
        <v>1970.4</v>
      </c>
      <c r="MP32" s="7">
        <f>IFERROR(AVERAGEIF('Данные 2st'!$Q$2:$Q$317,$A32,'Данные 2st'!$FQ$2:$FQ$317),"")</f>
        <v>134</v>
      </c>
      <c r="MQ32" s="7">
        <f>IFERROR(AVERAGEIF('Данные 2st'!$Q$2:$Q$317,$A32,'Данные 2st'!$FS$2:$FS$317),"")</f>
        <v>220.4</v>
      </c>
      <c r="MR32" s="7">
        <f>IFERROR(AVERAGEIF('Данные 2st'!$Q$2:$Q$317,$A32,'Данные 2st'!$FU$2:$FU$317),"")</f>
        <v>0.4</v>
      </c>
      <c r="MS32" s="7">
        <f>IFERROR(AVERAGEIF('Данные 2st'!$Q$2:$Q$317,$A32,'Данные 2st'!$FV$2:$FV$317),"")</f>
        <v>1970.4</v>
      </c>
      <c r="MT32" s="7">
        <f>IFERROR(AVERAGEIF('Данные 2st'!$Q$2:$Q$317,$A32,'Данные 2st'!$FW$2:$FW$317),"")</f>
        <v>193.2</v>
      </c>
      <c r="MU32" s="7">
        <f>IFERROR(AVERAGEIF('Данные 2st'!$Q$2:$Q$317,$A32,'Данные 2st'!$FY$2:$FY$317),"")</f>
        <v>5</v>
      </c>
      <c r="MV32" s="7">
        <f>IFERROR(AVERAGEIF('Данные 2st'!$Q$2:$Q$317,$A32,'Данные 2st'!$GB$2:$GB$317),"")</f>
        <v>1970.4</v>
      </c>
      <c r="MW32" s="7">
        <f>IFERROR(AVERAGEIF('Данные 2st'!$Q$2:$Q$317,$A32,'Данные 2st'!$GC$2:$GC$317),"")</f>
        <v>17.8</v>
      </c>
      <c r="MX32" s="7">
        <f>IFERROR(AVERAGEIF('Данные 2st'!$Q$2:$Q$317,$A32,'Данные 2st'!$GD$2:$GD$317),"")</f>
        <v>3928.8</v>
      </c>
      <c r="MY32" s="7">
        <f>IFERROR(AVERAGEIF('Данные 2st'!$Q$2:$Q$317,$A32,'Данные 2st'!$GN$2:$GN$317),"")</f>
        <v/>
      </c>
      <c r="MZ32" s="7">
        <f>IFERROR(AVERAGEIF('Данные 2st'!$Q$2:$Q$317,$A32,'Данные 2st'!$GQ$2:$GQ$317),"")</f>
        <v>0</v>
      </c>
      <c r="NA32" s="7">
        <f>IFERROR(AVERAGEIF('Данные 2st'!$Q$2:$Q$317,$A32,'Данные 2st'!$GV$2:$GV$317),"")</f>
        <v>8.16</v>
      </c>
      <c r="NB32" s="7">
        <f>IFERROR(AVERAGEIF('Данные 2st'!$Q$2:$Q$317,$A32,'Данные 2st'!$GW$2:$GW$317),"")</f>
        <v>9.5</v>
      </c>
      <c r="NC32" s="7">
        <f>IFERROR(AVERAGEIF('Данные 2st'!$Q$2:$Q$317,$A32,'Данные 2st'!$GX$2:$GX$317),"")</f>
        <v>0.5</v>
      </c>
      <c r="ND32" s="7">
        <f>IFERROR(AVERAGEIF('Данные 2st'!$Q$2:$Q$317,$A32,'Данные 2st'!$GY$2:$GY$317),"")</f>
        <v>186.4</v>
      </c>
      <c r="NE32" s="7">
        <f>IFERROR(AVERAGEIF('Данные 2st'!$Q$2:$Q$317,$A32,'Данные 2st'!$GZ$2:$GZ$317),"")</f>
        <v>3</v>
      </c>
      <c r="NF32" s="7">
        <f>IFERROR(AVERAGEIF('Данные 2st'!$Q$2:$Q$317,$A32,'Данные 2st'!$HA$2:$HA$317),"")</f>
        <v>234.8</v>
      </c>
      <c r="NG32" s="7">
        <f>IFERROR(AVERAGEIF('Данные 2st'!$Q$2:$Q$317,$A32,'Данные 2st'!$HB$2:$HB$317),"")</f>
        <v>3</v>
      </c>
      <c r="NH32" s="7">
        <f>IFERROR(AVERAGEIF('Данные 2st'!$Q$2:$Q$317,$A32,'Данные 2st'!$HC$2:$HC$317),"")</f>
        <v>1970.4</v>
      </c>
      <c r="NI32" s="7">
        <f>IFERROR(AVERAGEIF('Данные 2st'!$Q$2:$Q$317,$A32,'Данные 2st'!$HD$2:$HD$317),"")</f>
        <v>4</v>
      </c>
      <c r="NJ32" s="7">
        <f>IFERROR(AVERAGEIF('Данные 2st'!$Q$2:$Q$317,$A32,'Данные 2st'!$HM$2:$HM$317),"")</f>
        <v>18</v>
      </c>
      <c r="NK32" s="7">
        <f>IFERROR(AVERAGEIF('Данные 2st'!$Q$2:$Q$317,$A32,'Данные 2st'!$HR$2:$HR$317),"")</f>
        <v>2.4</v>
      </c>
      <c r="NL32" s="7">
        <f>IFERROR(AVERAGEIF('Данные 2st'!$Q$2:$Q$317,$A32,'Данные 2st'!$HS$2:$HS$317),"")</f>
        <v>1928</v>
      </c>
      <c r="NM32" s="7">
        <f>IFERROR(AVERAGEIF('Данные 2st'!$Q$2:$Q$317,$A32,'Данные 2st'!$HT$2:$HT$317),"")</f>
        <v>5</v>
      </c>
      <c r="NN32" s="7">
        <f>IFERROR(AVERAGEIF('Данные 2st'!$Q$2:$Q$317,$A32,'Данные 2st'!$HY$2:$HY$317),"")</f>
        <v>0</v>
      </c>
      <c r="NO32" s="7">
        <f>IFERROR(AVERAGEIF('Данные 2st'!$Q$2:$Q$317,$A32,'Данные 2st'!$HZ$2:$HZ$317),"")</f>
        <v>64.2</v>
      </c>
      <c r="NP32" s="7">
        <f>IFERROR(AVERAGEIF('Данные 2st'!$Q$2:$Q$317,$A32,'Данные 2st'!$IA$2:$IA$317),"")</f>
        <v>1931</v>
      </c>
      <c r="NQ32" s="7">
        <f>IFERROR(AVERAGEIF('Данные 2st'!$Q$2:$Q$317,$A32,'Данные 2st'!$IB$2:$IB$317),"")</f>
        <v>1938</v>
      </c>
      <c r="NR32" s="7">
        <f>IFERROR(AVERAGEIF('Данные 2st'!$Q$2:$Q$317,$A32,'Данные 2st'!$IC$2:$IC$317),"")</f>
        <v/>
      </c>
      <c r="NS32" s="7">
        <f>IFERROR(AVERAGEIF('Данные 2st'!$Q$2:$Q$317,$A32,'Данные 2st'!$ID$2:$ID$317),"")</f>
        <v>1970.4</v>
      </c>
      <c r="NT32" s="7">
        <f>IFERROR(AVERAGEIF('Данные 2st'!$Q$2:$Q$317,$A32,'Данные 2st'!$IE$2:$IE$317),"")</f>
        <v>1970.4</v>
      </c>
      <c r="NU32" s="7">
        <f>IFERROR(AVERAGEIF('Данные 2st'!$Q$2:$Q$317,$A32,'Данные 2st'!$IF$2:$IF$317),"")</f>
        <v>197</v>
      </c>
      <c r="NV32" s="7">
        <f>IFERROR(AVERAGEIF('Данные 2st'!$Q$2:$Q$317,$A32,'Данные 2st'!$IG$2:$IG$317),"")</f>
        <v>187</v>
      </c>
      <c r="NW32" s="7">
        <f>IFERROR(AVERAGEIF('Данные 2st'!$Q$2:$Q$317,$A32,'Данные 2st'!$IH$2:$IH$317),"")</f>
        <v>234.8</v>
      </c>
      <c r="NX32" s="7">
        <f>IFERROR(AVERAGEIF('Данные 2st'!$Q$2:$Q$317,$A32,'Данные 2st'!$IJ$2:$IJ$317),"")</f>
        <v>7</v>
      </c>
      <c r="NY32" s="7">
        <f>IFERROR(AVERAGEIF('Данные 2st'!$Q$2:$Q$317,$A32,'Данные 2st'!$IM$2:$IM$317),"")</f>
        <v>0</v>
      </c>
      <c r="NZ32" s="7">
        <f>IFERROR(AVERAGEIF('Данные 2st'!$Q$2:$Q$317,$A32,'Данные 2st'!$IN$2:$IN$317),"")</f>
        <v>270</v>
      </c>
      <c r="OA32" s="7">
        <f>IFERROR(AVERAGEIF('Данные 2st'!$Q$2:$Q$317,$A32,'Данные 2st'!$IO$2:$IO$317),"")</f>
        <v>0</v>
      </c>
      <c r="OB32" s="7">
        <f>IFERROR(AVERAGEIF('Данные 2st'!$Q$2:$Q$317,$A32,'Данные 2st'!$IP$2:$IP$317),"")</f>
        <v>180</v>
      </c>
      <c r="OC32" s="7">
        <f>IFERROR(AVERAGEIF('Данные 2st'!$Q$2:$Q$317,$A32,'Данные 2st'!$IQ$2:$IQ$317),"")</f>
        <v>0</v>
      </c>
      <c r="OD32" s="7">
        <f>IFERROR(AVERAGEIF('Данные 2st'!$Q$2:$Q$317,$A32,'Данные 2st'!$IR$2:$IR$317),"")</f>
        <v>329</v>
      </c>
      <c r="OE32" s="7">
        <f>IFERROR(AVERAGEIF('Данные 2st'!$Q$2:$Q$317,$A32,'Данные 2st'!$IT$2:$IT$317),"")</f>
        <v>90</v>
      </c>
      <c r="OF32" s="7">
        <f>IFERROR(AVERAGEIF('Данные 2st'!$Q$2:$Q$317,$A32,'Данные 2st'!$IU$2:$IU$317),"")</f>
        <v>0</v>
      </c>
      <c r="OG32" s="7">
        <f>IFERROR(AVERAGEIF('Данные 2st'!$Q$2:$Q$317,$A32,'Данные 2st'!$IV$2:$IV$317),"")</f>
        <v>6.4</v>
      </c>
      <c r="OH32" s="7">
        <f>IFERROR(AVERAGEIF('Данные 2st'!$Q$2:$Q$317,$A32,'Данные 2st'!$IW$2:$IW$317),"")</f>
        <v>-6</v>
      </c>
      <c r="OI32" s="7">
        <f>IFERROR(AVERAGEIF('Данные 2st'!$Q$2:$Q$317,$A32,'Данные 2st'!$IX$2:$IX$317),"")</f>
        <v>101.2</v>
      </c>
      <c r="OJ32" s="7">
        <f>IFERROR(AVERAGEIF('Данные 2st'!$Q$2:$Q$317,$A32,'Данные 2st'!$IY$2:$IY$317),"")</f>
        <v>75.2</v>
      </c>
      <c r="OK32" s="7">
        <f>IFERROR(AVERAGEIF('Данные 2st'!$Q$2:$Q$317,$A32,'Данные 2st'!$IZ$2:$IZ$317),"")</f>
        <v>0</v>
      </c>
      <c r="OL32" s="7">
        <f>IFERROR(AVERAGEIF('Данные 2st'!$Q$2:$Q$317,$A32,'Данные 2st'!$JA$2:$JA$317),"")</f>
        <v>0</v>
      </c>
      <c r="OM32" s="7">
        <f>IFERROR(AVERAGEIF('Данные 2st'!$Q$2:$Q$317,$A32,'Данные 2st'!$JB$2:$JB$317),"")</f>
        <v>0</v>
      </c>
      <c r="ON32" s="7">
        <f>IFERROR(AVERAGEIF('Данные 2st'!$Q$2:$Q$317,$A32,'Данные 2st'!$JC$2:$JC$317),"")</f>
        <v>0</v>
      </c>
      <c r="OO32" s="7">
        <f>IFERROR(AVERAGEIF('Данные 2st'!$Q$2:$Q$317,$A32,'Данные 2st'!$JD$2:$JD$317),"")</f>
        <v>0</v>
      </c>
      <c r="OP32" s="7">
        <f>IFERROR(AVERAGEIF('Данные 2st'!$Q$2:$Q$317,$A32,'Данные 2st'!$JE$2:$JE$317),"")</f>
        <v>0</v>
      </c>
      <c r="OQ32" s="7">
        <f>IFERROR(AVERAGEIF('Данные 2st'!$Q$2:$Q$317,$A32,'Данные 2st'!$JF$2:$JF$317),"")</f>
        <v>0</v>
      </c>
      <c r="OR32" s="7">
        <f>IFERROR(AVERAGEIF('Данные 2st'!$Q$2:$Q$317,$A32,'Данные 2st'!$JG$2:$JG$317),"")</f>
        <v>0</v>
      </c>
      <c r="OS32" s="7">
        <f>IFERROR(AVERAGEIF('Данные 2st'!$Q$2:$Q$317,$A32,'Данные 2st'!$JH$2:$JH$317),"")</f>
        <v>0</v>
      </c>
      <c r="OT32" s="7">
        <f>IFERROR(AVERAGEIF('Данные 2st'!$Q$2:$Q$317,$A32,'Данные 2st'!$JI$2:$JI$317),"")</f>
        <v>331.6</v>
      </c>
      <c r="OU32" s="7">
        <f>IFERROR(AVERAGEIF('Данные 2st'!$Q$2:$Q$317,$A32,'Данные 2st'!$JJ$2:$JJ$317),"")</f>
        <v>304.4</v>
      </c>
      <c r="OV32" s="7">
        <f>IFERROR(AVERAGEIF('Данные 2st'!$Q$2:$Q$317,$A32,'Данные 2st'!$JK$2:$JK$317),"")</f>
        <v>228.6</v>
      </c>
      <c r="OW32" s="7">
        <f>IFERROR(AVERAGEIF('Данные 2st'!$Q$2:$Q$317,$A32,'Данные 2st'!$JL$2:$JL$317),"")</f>
        <v>304.4</v>
      </c>
      <c r="OX32" s="7">
        <f>IFERROR(AVERAGEIF('Данные 2st'!$Q$2:$Q$317,$A32,'Данные 2st'!$JM$2:$JM$317),"")</f>
        <v>229.6</v>
      </c>
      <c r="OY32" s="7">
        <f>IFERROR(AVERAGEIF('Данные 2st'!$Q$2:$Q$317,$A32,'Данные 2st'!$JP$2:$JP$317),"")</f>
        <v>220.8</v>
      </c>
      <c r="OZ32" s="7">
        <f>IFERROR(AVERAGEIF('Данные 2st'!$Q$2:$Q$317,$A32,'Данные 2st'!$JQ$2:$JQ$317),"")</f>
        <v>256.2</v>
      </c>
      <c r="PA32" s="7">
        <f>IFERROR(AVERAGEIF('Данные 2st'!$Q$2:$Q$317,$A32,'Данные 2st'!$JR$2:$JR$317),"")</f>
        <v>314.8</v>
      </c>
      <c r="PB32" s="7">
        <f>IFERROR(AVERAGEIF('Данные 2st'!$Q$2:$Q$317,$A32,'Данные 2st'!$JS$2:$JS$317),"")</f>
        <v>284.4</v>
      </c>
      <c r="PC32" s="7">
        <f>IFERROR(AVERAGEIF('Данные 2st'!$Q$2:$Q$317,$A32,'Данные 2st'!$JT$2:$JT$317),"")</f>
        <v>0</v>
      </c>
      <c r="PD32" s="7">
        <f>IFERROR(AVERAGEIF('Данные 2st'!$Q$2:$Q$317,$A32,'Данные 2st'!$JU$2:$JU$317),"")</f>
        <v>0</v>
      </c>
      <c r="PE32" s="7">
        <f>IFERROR(AVERAGEIF('Данные 2st'!$Q$2:$Q$317,$A32,'Данные 2st'!$JV$2:$JV$317),"")</f>
        <v>312</v>
      </c>
      <c r="PF32" s="7">
        <f>IFERROR(AVERAGEIF('Данные 2st'!$Q$2:$Q$317,$A32,'Данные 2st'!$JW$2:$JW$317),"")</f>
        <v>310.8</v>
      </c>
      <c r="PG32" s="7">
        <f>IFERROR(AVERAGEIF('Данные 2st'!$Q$2:$Q$317,$A32,'Данные 2st'!$KF$2:$KF$317),"")</f>
        <v>0.218</v>
      </c>
      <c r="PH32" s="7">
        <f>IFERROR(AVERAGEIF('Данные 2st'!$Q$2:$Q$317,$A32,'Данные 2st'!$KG$2:$KG$317),"")</f>
        <v>0.10400000000000001</v>
      </c>
      <c r="PI32" s="7">
        <f>IFERROR(AVERAGEIF('Данные 2st'!$Q$2:$Q$317,$A32,'Данные 2st'!$KM$2:$KM$317),"")</f>
        <v>0.9</v>
      </c>
      <c r="PJ32" s="7">
        <f>IFERROR(AVERAGEIF('Данные 2st'!$Q$2:$Q$317,$A32,'Данные 2st'!$KN$2:$KN$317),"")</f>
        <v>1.52</v>
      </c>
      <c r="PK32" s="7">
        <f>IFERROR(AVERAGEIF('Данные 2st'!$Q$2:$Q$317,$A32,'Данные 2st'!$KO$2:$KO$317),"")</f>
        <v>0</v>
      </c>
      <c r="PL32" s="7">
        <f>IFERROR(AVERAGEIF('Данные 2st'!$Q$2:$Q$317,$A32,'Данные 2st'!$KP$2:$KP$317),"")</f>
        <v>0</v>
      </c>
      <c r="PM32" s="7">
        <f>IFERROR(AVERAGEIF('Данные 2st'!$Q$2:$Q$317,$A32,'Данные 2st'!$KQ$2:$KQ$317),"")</f>
        <v>0.86</v>
      </c>
      <c r="PN32" s="7">
        <f>IFERROR(AVERAGEIF('Данные 2st'!$Q$2:$Q$317,$A32,'Данные 2st'!$KR$2:$KR$317),"")</f>
        <v>0.7</v>
      </c>
      <c r="PO32" s="7">
        <f>IFERROR(AVERAGEIF('Данные 2st'!$Q$2:$Q$317,$A32,'Данные 2st'!$KS$2:$KS$317),"")</f>
        <v>0</v>
      </c>
      <c r="PP32" s="7">
        <f>IFERROR(AVERAGEIF('Данные 2st'!$Q$2:$Q$317,$A32,'Данные 2st'!$KT$2:$KT$317),"")</f>
        <v>2.32</v>
      </c>
      <c r="PQ32" s="7">
        <f>IFERROR(AVERAGEIF('Данные 2st'!$Q$2:$Q$317,$A32,'Данные 2st'!$KU$2:$KU$317),"")</f>
        <v>0</v>
      </c>
      <c r="PR32" s="7">
        <f>IFERROR(AVERAGEIF('Данные 2st'!$Q$2:$Q$317,$A32,'Данные 2st'!$KV$2:$KV$317),"")</f>
        <v>0</v>
      </c>
      <c r="PS32" s="7">
        <f>IFERROR(AVERAGEIF('Данные 2st'!$Q$2:$Q$317,$A32,'Данные 2st'!$KW$2:$KW$317),"")</f>
        <v>1.2</v>
      </c>
      <c r="PT32" s="7">
        <f>IFERROR(AVERAGEIF('Данные 2st'!$Q$2:$Q$317,$A32,'Данные 2st'!$KX$2:$KX$317),"")</f>
        <v>1.6</v>
      </c>
      <c r="PU32" s="7">
        <f>IFERROR(AVERAGEIF('Данные 2st'!$Q$2:$Q$317,$A32,'Данные 2st'!$KY$2:$KY$317),"")</f>
        <v>0</v>
      </c>
      <c r="PV32" s="7">
        <f>IFERROR(AVERAGEIF('Данные 2st'!$Q$2:$Q$317,$A32,'Данные 2st'!$KZ$2:$KZ$317),"")</f>
        <v>0</v>
      </c>
      <c r="PW32" s="7">
        <f>IFERROR(AVERAGEIF('Данные 2st'!$Q$2:$Q$317,$A32,'Данные 2st'!$LA$2:$LA$317),"")</f>
        <v>0</v>
      </c>
      <c r="PX32" s="7">
        <f>IFERROR(AVERAGEIF('Данные 2st'!$Q$2:$Q$317,$A32,'Данные 2st'!$LB$2:$LB$317),"")</f>
        <v>0</v>
      </c>
      <c r="PY32" s="7">
        <f>IFERROR(AVERAGEIF('Данные 2st'!$Q$2:$Q$317,$A32,'Данные 2st'!$LC$2:$LC$317),"")</f>
        <v>0</v>
      </c>
      <c r="PZ32" s="7">
        <f>IFERROR(AVERAGEIF('Данные 2st'!$Q$2:$Q$317,$A32,'Данные 2st'!$LD$2:$LD$317),"")</f>
        <v>0</v>
      </c>
      <c r="QA32" s="7">
        <f>IFERROR(AVERAGEIF('Данные 2st'!$Q$2:$Q$317,$A32,'Данные 2st'!$LE$2:$LE$317),"")</f>
        <v>0</v>
      </c>
      <c r="QB32" s="7">
        <f>IFERROR(AVERAGEIF('Данные 2st'!$Q$2:$Q$317,$A32,'Данные 2st'!$LF$2:$LF$317),"")</f>
        <v>0</v>
      </c>
      <c r="QC32" s="7">
        <f>IFERROR(AVERAGEIF('Данные 2st'!$Q$2:$Q$317,$A32,'Данные 2st'!$LG$2:$LG$317),"")</f>
        <v>0</v>
      </c>
      <c r="QD32" s="7">
        <f>IFERROR(AVERAGEIF('Данные 2st'!$Q$2:$Q$317,$A32,'Данные 2st'!$LH$2:$LH$317),"")</f>
        <v>3</v>
      </c>
      <c r="QE32" s="7">
        <f>IFERROR(AVERAGEIF('Данные 2st'!$Q$2:$Q$317,$A32,'Данные 2st'!$LJ$2:$LJ$317),"")</f>
        <v>0</v>
      </c>
      <c r="QF32" s="7">
        <f>IFERROR(AVERAGEIF('Данные 2st'!$Q$2:$Q$317,$A32,'Данные 2st'!$LK$2:$LK$317),"")</f>
        <v>4.8</v>
      </c>
      <c r="QG32" s="7">
        <f>IFERROR(AVERAGEIF('Данные 2st'!$Q$2:$Q$317,$A32,'Данные 2st'!$LL$2:$LL$317),"")</f>
        <v>6.2</v>
      </c>
      <c r="QH32" s="7">
        <f>IFERROR(AVERAGEIF('Данные 2st'!$Q$2:$Q$317,$A32,'Данные 2st'!$LM$2:$LM$317),"")</f>
        <v>7.0</v>
      </c>
      <c r="QI32" s="7">
        <f>IFERROR(AVERAGEIF('Данные 2st'!$Q$2:$Q$317,$A32,'Данные 2st'!$LN$2:$LN$317),"")</f>
        <v>0.34</v>
      </c>
      <c r="QJ32" s="7">
        <f>IFERROR(AVERAGEIF('Данные 2st'!$Q$2:$Q$317,$A32,'Данные 2st'!$LO$2:$LO$317),"")</f>
        <v>1.44</v>
      </c>
      <c r="QK32" s="7">
        <f>IFERROR(AVERAGEIF('Данные 2st'!$Q$2:$Q$317,$A32,'Данные 2st'!$LP$2:$LP$317),"")</f>
        <v>0</v>
      </c>
      <c r="QL32" s="7">
        <f>IFERROR(AVERAGEIF('Данные 2st'!$Q$2:$Q$317,$A32,'Данные 2st'!$LQ$2:$LQ$317),"")</f>
        <v>0</v>
      </c>
      <c r="QM32" s="7">
        <f>IFERROR(AVERAGEIF('Данные 2st'!$Q$2:$Q$317,$A32,'Данные 2st'!$LW$2:$LW$317),"")</f>
        <v>1.6</v>
      </c>
      <c r="QN32" s="7">
        <f>IFERROR(AVERAGEIF('Данные 2st'!$Q$2:$Q$317,$A32,'Данные 2st'!$LX$2:$LX$317),"")</f>
        <v>1.6</v>
      </c>
      <c r="QO32" s="7">
        <f>IFERROR(AVERAGEIF('Данные 2st'!$Q$2:$Q$317,$A32,'Данные 2st'!$LY$2:$LY$317),"")</f>
        <v>1.86</v>
      </c>
      <c r="QP32" s="7">
        <f>IFERROR(AVERAGEIF('Данные 2st'!$Q$2:$Q$317,$A32,'Данные 2st'!$LZ$2:$LZ$317),"")</f>
        <v>1.86</v>
      </c>
      <c r="QQ32" s="7">
        <f>IFERROR(AVERAGEIF('Данные 2st'!$Q$2:$Q$317,$A32,'Данные 2st'!$MB$2:$MB$317),"")</f>
        <v>7.6</v>
      </c>
      <c r="QR32" s="7">
        <f>IFERROR(AVERAGEIF('Данные 2st'!$Q$2:$Q$317,$A32,'Данные 2st'!$MG$2:$MG$317),"")</f>
        <v>0</v>
      </c>
      <c r="QS32" s="7">
        <f>IFERROR(AVERAGEIF('Данные 2st'!$Q$2:$Q$317,$A32,'Данные 2st'!$MH$2:$MH$317),"")</f>
        <v>0</v>
      </c>
      <c r="QT32" s="7">
        <f>IFERROR(AVERAGEIF('Данные 2st'!$Q$2:$Q$317,$A32,'Данные 2st'!$MI$2:$MI$317),"")</f>
        <v>0</v>
      </c>
      <c r="QU32" s="7">
        <f>IFERROR(AVERAGEIF('Данные 2st'!$Q$2:$Q$317,$A32,'Данные 2st'!$MJ$2:$MJ$317),"")</f>
        <v>0</v>
      </c>
      <c r="QV32" s="7">
        <f>IFERROR(AVERAGEIF('Данные 2st'!$Q$2:$Q$317,$A32,'Данные 2st'!$MK$2:$MK$317),"")</f>
        <v>0</v>
      </c>
      <c r="QW32" s="7">
        <f>IFERROR(AVERAGEIF('Данные 2st'!$Q$2:$Q$317,$A32,'Данные 2st'!$MM$2:$MM$317),"")</f>
        <v>364.4</v>
      </c>
      <c r="QX32" s="7">
        <f>IFERROR(AVERAGEIF('Данные 2st'!$Q$2:$Q$317,$A32,'Данные 2st'!$MQ$2:$MQ$317),"")</f>
        <v/>
      </c>
      <c r="QY32" s="7">
        <f>IFERROR(AVERAGEIF('Данные 2st'!$Q$2:$Q$317,$A32,'Данные 2st'!$MR$2:$MR$317),"")</f>
        <v/>
      </c>
      <c r="QZ32" s="7">
        <f>IFERROR(AVERAGEIF('Данные 2st'!$Q$2:$Q$317,$A32,'Данные 2st'!$MS$2:$MS$317),"")</f>
        <v/>
      </c>
      <c r="RA32" s="7">
        <f>IFERROR(AVERAGEIF('Данные 2st'!$Q$2:$Q$317,$A32,'Данные 2st'!$MT$2:$MT$317),"")</f>
        <v/>
      </c>
      <c r="RB32" s="7">
        <f>IFERROR(AVERAGEIF('Данные 2st'!$Q$2:$Q$317,$A32,'Данные 2st'!$MU$2:$MU$317),"")</f>
        <v/>
      </c>
      <c r="RC32" s="7">
        <f>IFERROR(AVERAGEIF('Данные 2st'!$Q$2:$Q$317,$A32,'Данные 2st'!$MV$2:$MV$317),"")</f>
        <v/>
      </c>
      <c r="RD32" s="7">
        <f>IFERROR(AVERAGEIF('Данные 2st'!$Q$2:$Q$317,$A32,'Данные 2st'!$MW$2:$MW$317),"")</f>
        <v/>
      </c>
      <c r="RE32" s="7">
        <f>IFERROR(AVERAGEIF('Данные 2st'!$Q$2:$Q$317,$A32,'Данные 2st'!$MX$2:$MX$317),"")</f>
        <v/>
      </c>
      <c r="RF32" s="7">
        <f>IFERROR(AVERAGEIF('Данные 2st'!$Q$2:$Q$317,$A32,'Данные 2st'!$MY$2:$MY$317),"")</f>
        <v/>
      </c>
      <c r="RG32" s="7">
        <f>IFERROR(AVERAGEIF('Данные 2st'!$Q$2:$Q$317,$A32,'Данные 2st'!$MZ$2:$MZ$317),"")</f>
        <v/>
      </c>
      <c r="RH32" s="7">
        <f>IFERROR(AVERAGEIF('Данные 2st'!$Q$2:$Q$317,$A32,'Данные 2st'!$NA$2:$NA$317),"")</f>
        <v/>
      </c>
      <c r="RI32" s="7">
        <f>IFERROR(AVERAGEIF('Данные 2st'!$Q$2:$Q$317,$A32,'Данные 2st'!$NB$2:$NB$317),"")</f>
        <v/>
      </c>
      <c r="RJ32" s="7">
        <f>IFERROR(AVERAGEIF('Данные 2st'!$Q$2:$Q$317,$A32,'Данные 2st'!$NC$2:$NC$317),"")</f>
        <v/>
      </c>
      <c r="RK32" s="7">
        <f>IFERROR(AVERAGEIF('Данные 2st'!$Q$2:$Q$317,$A32,'Данные 2st'!$ND$2:$ND$317),"")</f>
        <v/>
      </c>
      <c r="RL32" s="7">
        <f>IFERROR(AVERAGEIF('Данные 2st'!$Q$2:$Q$317,$A32,'Данные 2st'!$NE$2:$NE$317),"")</f>
        <v/>
      </c>
      <c r="RM32" s="7">
        <f>IFERROR(AVERAGEIF('Данные 2st'!$Q$2:$Q$317,$A32,'Данные 2st'!$NF$2:$NF$317),"")</f>
        <v/>
      </c>
      <c r="RN32" s="7">
        <f>IFERROR(AVERAGEIF('Данные 2st'!$Q$2:$Q$317,$A32,'Данные 2st'!$NG$2:$NG$317),"")</f>
        <v/>
      </c>
      <c r="RO32" s="7">
        <f>IFERROR(AVERAGEIF('Данные 2st'!$Q$2:$Q$317,$A32,'Данные 2st'!$NH$2:$NH$317),"")</f>
        <v/>
      </c>
      <c r="RP32" s="7">
        <f>IFERROR(AVERAGEIF('Данные 2st'!$Q$2:$Q$317,$A32,'Данные 2st'!$NJ$2:$NJ$317),"")</f>
        <v/>
      </c>
      <c r="RQ32" s="7">
        <f>IFERROR(AVERAGEIF('Данные 2st'!$Q$2:$Q$317,$A32,'Данные 2st'!$NK$2:$NK$317),"")</f>
        <v/>
      </c>
      <c r="RR32" s="7">
        <f>IFERROR(AVERAGEIF('Данные 2st'!$Q$2:$Q$317,$A32,'Данные 2st'!$NM$2:$NM$317),"")</f>
        <v/>
      </c>
      <c r="RS32" s="7">
        <f>IFERROR(AVERAGEIF('Данные 2st'!$Q$2:$Q$317,$A32,'Данные 2st'!$NN$2:$NN$317),"")</f>
        <v/>
      </c>
      <c r="RT32" s="7">
        <f>IFERROR(AVERAGEIF('Данные 2st'!$Q$2:$Q$317,$A32,'Данные 2st'!$NO$2:$NO$317),"")</f>
        <v/>
      </c>
      <c r="RU32" s="7">
        <f>IFERROR(AVERAGEIF('Данные 2st'!$Q$2:$Q$317,$A32,'Данные 2st'!$NP$2:$NP$317),"")</f>
        <v/>
      </c>
      <c r="RV32" s="7">
        <f>IFERROR(AVERAGEIF('Данные 2st'!$Q$2:$Q$317,$A32,'Данные 2st'!$NQ$2:$NQ$317),"")</f>
        <v/>
      </c>
      <c r="RW32" s="7">
        <f>IFERROR(AVERAGEIF('Данные 2st'!$Q$2:$Q$317,$A32,'Данные 2st'!$NR$2:$NR$317),"")</f>
        <v/>
      </c>
      <c r="RX32" s="7">
        <f>IFERROR(AVERAGEIF('Данные 2st'!$Q$2:$Q$317,$A32,'Данные 2st'!$NS$2:$NS$317),"")</f>
        <v/>
      </c>
      <c r="RY32" s="7">
        <f>IFERROR(AVERAGEIF('Данные 2st'!$Q$2:$Q$317,$A32,'Данные 2st'!$NT$2:$NT$317),"")</f>
        <v/>
      </c>
      <c r="RZ32" s="7">
        <f>IFERROR(AVERAGEIF('Данные 2st'!$Q$2:$Q$317,$A32,'Данные 2st'!$OK$2:$OK$317),"")</f>
        <v>61</v>
      </c>
      <c r="SA32" s="7">
        <f>IFERROR(AVERAGEIF('Данные 2st'!$Q$2:$Q$317,$A32,'Данные 2st'!$OL$2:$OL$317),"")</f>
        <v>61</v>
      </c>
      <c r="SB32" s="7">
        <f>IFERROR(AVERAGEIF('Данные 2st'!$Q$2:$Q$317,$A32,'Данные 2st'!$ON$2:$ON$317),"")</f>
        <v>2.4</v>
      </c>
      <c r="SC32" s="7">
        <f>IFERROR(AVERAGEIF('Данные 2st'!$Q$2:$Q$317,$A32,'Данные 2st'!$OO$2:$OO$317),"")</f>
        <v>1931</v>
      </c>
      <c r="SD32" s="7">
        <f>IFERROR(AVERAGEIF('Данные 2st'!$Q$2:$Q$317,$A32,'Данные 2st'!$OP$2:$OP$317),"")</f>
        <v>61</v>
      </c>
      <c r="SE32" s="7">
        <f>IFERROR(AVERAGEIF('Данные 2st'!$Q$2:$Q$317,$A32,'Данные 2st'!$OQ$2:$OQ$317),"")</f>
        <v>61</v>
      </c>
      <c r="SF32" s="7">
        <f>IFERROR(AVERAGEIF('Данные 2st'!$Q$2:$Q$317,$A32,'Данные 2st'!$OS$2:$OS$317),"")</f>
        <v>2.4</v>
      </c>
      <c r="SG32" s="7">
        <f>IFERROR(AVERAGEIF('Данные 2st'!$Q$2:$Q$317,$A32,'Данные 2st'!$OT$2:$OT$317),"")</f>
        <v>1938</v>
      </c>
      <c r="SH32" s="7">
        <f>IFERROR(AVERAGEIF('Данные 2st'!$Q$2:$Q$317,$A32,'Данные 2st'!$OU$2:$OU$317),"")</f>
        <v>65</v>
      </c>
      <c r="SI32" s="7">
        <f>IFERROR(AVERAGEIF('Данные 2st'!$Q$2:$Q$317,$A32,'Данные 2st'!$OV$2:$OV$317),"")</f>
        <v>65</v>
      </c>
      <c r="SJ32" s="7">
        <f>IFERROR(AVERAGEIF('Данные 2st'!$Q$2:$Q$317,$A32,'Данные 2st'!$OX$2:$OX$317),"")</f>
        <v>1.6</v>
      </c>
      <c r="SK32" s="7">
        <f>IFERROR(AVERAGEIF('Данные 2st'!$Q$2:$Q$317,$A32,'Данные 2st'!$OY$2:$OY$317),"")</f>
        <v>40373.4</v>
      </c>
      <c r="SL32" s="7">
        <f>IFERROR(AVERAGEIF('Данные 2st'!$Q$2:$Q$317,$A32,'Данные 2st'!$OZ$2:$OZ$317),"")</f>
        <v>51</v>
      </c>
      <c r="SM32" s="7">
        <f>IFERROR(AVERAGEIF('Данные 2st'!$Q$2:$Q$317,$A32,'Данные 2st'!$PA$2:$PA$317),"")</f>
        <v>51.4</v>
      </c>
      <c r="SN32" s="7">
        <f>IFERROR(AVERAGEIF('Данные 2st'!$Q$2:$Q$317,$A32,'Данные 2st'!$PC$2:$PC$317),"")</f>
        <v>1.4</v>
      </c>
      <c r="SO32" s="7">
        <f>IFERROR(AVERAGEIF('Данные 2st'!$Q$2:$Q$317,$A32,'Данные 2st'!$PD$2:$PD$317),"")</f>
        <v>1970.4</v>
      </c>
      <c r="SP32" s="7">
        <f>IFERROR(AVERAGEIF('Данные 2st'!$Q$2:$Q$317,$A32,'Данные 2st'!$PF$2:$PF$317),"")</f>
        <v>360</v>
      </c>
      <c r="SQ32" s="7">
        <f>IFERROR(AVERAGEIF('Данные 2st'!$Q$2:$Q$317,$A32,'Данные 2st'!$PG$2:$PG$317),"")</f>
        <v>29</v>
      </c>
      <c r="SR32" s="7">
        <f>IFERROR(AVERAGEIF('Данные 2st'!$Q$2:$Q$317,$A32,'Данные 2st'!$PH$2:$PH$317),"")</f>
        <v>341.6</v>
      </c>
      <c r="SS32" s="7">
        <f>IFERROR(AVERAGEIF('Данные 2st'!$Q$2:$Q$317,$A32,'Данные 2st'!$PI$2:$PI$317),"")</f>
        <v>29</v>
      </c>
      <c r="ST32" s="7">
        <f>IFERROR(AVERAGEIF('Данные 2st'!$Q$2:$Q$317,$A32,'Данные 2st'!$PJ$2:$PJ$317),"")</f>
        <v>68.08</v>
      </c>
      <c r="SU32" s="7">
        <f>IFERROR(AVERAGEIF('Данные 2st'!$Q$2:$Q$317,$A32,'Данные 2st'!$PK$2:$PK$317),"")</f>
        <v>1501</v>
      </c>
      <c r="SV32" s="7">
        <f>IFERROR(AVERAGEIF('Данные 2st'!$Q$2:$Q$317,$A32,'Данные 2st'!$PL$2:$PL$317),"")</f>
        <v>1202.6000000000001</v>
      </c>
      <c r="SW32" s="7">
        <f>IFERROR(AVERAGEIF('Данные 2st'!$Q$2:$Q$317,$A32,'Данные 2st'!$PM$2:$PM$317),"")</f>
        <v>616.8199999999999</v>
      </c>
      <c r="SX32" s="7">
        <f>IFERROR(AVERAGEIF('Данные 2st'!$Q$2:$Q$317,$A32,'Данные 2st'!$PN$2:$PN$317),"")</f>
        <v>98.02</v>
      </c>
      <c r="SY32" s="7">
        <f>IFERROR(AVERAGEIF('Данные 2st'!$Q$2:$Q$317,$A32,'Данные 2st'!$PO$2:$PO$317),"")</f>
        <v>9.08</v>
      </c>
      <c r="SZ32" s="7">
        <f>IFERROR(AVERAGEIF('Данные 2st'!$Q$2:$Q$317,$A32,'Данные 2st'!$PP$2:$PP$317),"")</f>
        <v>11.6</v>
      </c>
      <c r="TA32" s="7">
        <f>IFERROR(AVERAGEIF('Данные 2st'!$Q$2:$Q$317,$A32,'Данные 2st'!$PQ$2:$PQ$317),"")</f>
        <v>1</v>
      </c>
      <c r="TB32" s="7">
        <f>IFERROR(AVERAGEIF('Данные 2st'!$Q$2:$Q$317,$A32,'Данные 2st'!$PR$2:$PR$317),"")</f>
        <v>1.4</v>
      </c>
      <c r="TC32" s="7">
        <f>IFERROR(AVERAGEIF('Данные 2st'!$Q$2:$Q$317,$A32,'Данные 2st'!$PS$2:$PS$317),"")</f>
        <v>7</v>
      </c>
      <c r="TD32" s="7">
        <f>IFERROR(AVERAGEIF('Данные 2st'!$Q$2:$Q$317,$A32,'Данные 2st'!$PT$2:$PT$317),"")</f>
        <v>234.8</v>
      </c>
      <c r="TE32" s="7">
        <f>IFERROR(AVERAGEIF('Данные 2st'!$Q$2:$Q$317,$A32,'Данные 2st'!$PU$2:$PU$317),"")</f>
        <v>9.2</v>
      </c>
      <c r="TF32" s="7">
        <f>IFERROR(AVERAGEIF('Данные 2st'!$Q$2:$Q$317,$A32,'Данные 2st'!$PX$2:$PX$317),"")</f>
        <v>0</v>
      </c>
      <c r="TG32" s="7">
        <f>IFERROR(AVERAGEIF('Данные 2st'!$Q$2:$Q$317,$A32,'Данные 2st'!$PY$2:$PY$317),"")</f>
        <v>0</v>
      </c>
      <c r="TH32" s="7">
        <f>IFERROR(AVERAGEIF('Данные 2st'!$Q$2:$Q$317,$A32,'Данные 2st'!$PZ$2:$PZ$317),"")</f>
        <v>0</v>
      </c>
      <c r="TI32" s="7">
        <f>IFERROR(AVERAGEIF('Данные 2st'!$Q$2:$Q$317,$A32,'Данные 2st'!$QA$2:$QA$317),"")</f>
        <v>0</v>
      </c>
      <c r="TJ32" s="7">
        <f>IFERROR(AVERAGEIF('Данные 2st'!$Q$2:$Q$317,$A32,'Данные 2st'!$QB$2:$QB$317),"")</f>
        <v>0</v>
      </c>
      <c r="TK32" s="7">
        <f>IFERROR(AVERAGEIF('Данные 2st'!$Q$2:$Q$317,$A32,'Данные 2st'!$QC$2:$QC$317),"")</f>
        <v>0</v>
      </c>
      <c r="TL32" s="7">
        <f>IFERROR(AVERAGEIF('Данные 2st'!$Q$2:$Q$317,$A32,'Данные 2st'!$QD$2:$QD$317),"")</f>
        <v>0</v>
      </c>
      <c r="TM32" s="7">
        <f>IFERROR(AVERAGEIF('Данные 2st'!$Q$2:$Q$317,$A32,'Данные 2st'!$QE$2:$QE$317),"")</f>
        <v>-1</v>
      </c>
      <c r="TN32" s="7">
        <f>IFERROR(AVERAGEIF('Данные 2st'!$Q$2:$Q$317,$A32,'Данные 2st'!$QF$2:$QF$317),"")</f>
        <v>1</v>
      </c>
      <c r="TO32" s="7">
        <f>IFERROR(AVERAGEIF('Данные 2st'!$Q$2:$Q$317,$A32,'Данные 2st'!$QG$2:$QG$317),"")</f>
        <v>0</v>
      </c>
      <c r="TP32" s="7">
        <f>IFERROR(AVERAGEIF('Данные 2st'!$Q$2:$Q$317,$A32,'Данные 2st'!$QH$2:$QH$317),"")</f>
        <v>5</v>
      </c>
      <c r="TQ32" s="7">
        <f>IFERROR(AVERAGEIF('Данные 2st'!$Q$2:$Q$317,$A32,'Данные 2st'!$QI$2:$QI$317),"")</f>
        <v>5</v>
      </c>
      <c r="TR32" s="7">
        <f>IFERROR(AVERAGEIF('Данные 2st'!$Q$2:$Q$317,$A32,'Данные 2st'!$QJ$2:$QJ$317),"")</f>
        <v>5</v>
      </c>
      <c r="TS32" s="7">
        <f>IFERROR(AVERAGEIF('Данные 2st'!$Q$2:$Q$317,$A32,'Данные 2st'!$QK$2:$QK$317),"")</f>
        <v>161.4</v>
      </c>
      <c r="TT32" s="7">
        <f>IFERROR(AVERAGEIF('Данные 2st'!$Q$2:$Q$317,$A32,'Данные 2st'!$QL$2:$QL$317),"")</f>
        <v>367.6</v>
      </c>
      <c r="TU32" s="7">
        <f>IFERROR(AVERAGEIF('Данные 2st'!$Q$2:$Q$317,$A32,'Данные 2st'!$QM$2:$QM$317),"")</f>
        <v>7.5</v>
      </c>
      <c r="TV32" s="7">
        <f>IFERROR(AVERAGEIF('Данные 2st'!$Q$2:$Q$317,$A32,'Данные 2st'!$QN$2:$QN$317),"")</f>
        <v>1460.1399999999999</v>
      </c>
      <c r="TW32" s="7">
        <f>IFERROR(AVERAGEIF('Данные 2st'!$Q$2:$Q$317,$A32,'Данные 2st'!$QQ$2:$QQ$317),"")</f>
        <v>0</v>
      </c>
      <c r="TX32" s="7">
        <f>IFERROR(AVERAGEIF('Данные 2st'!$Q$2:$Q$317,$A32,'Данные 2st'!$QS$2:$QS$317),"")</f>
        <v>30</v>
      </c>
      <c r="TY32" s="7">
        <f>IFERROR(AVERAGEIF('Данные 2st'!$Q$2:$Q$317,$A32,'Данные 2st'!$QT$2:$QT$317),"")</f>
        <v>40</v>
      </c>
    </row>
    <row r="33" spans="1:545" ht="32" customHeight="1">
      <c r="A33" s="11" t="s">
        <v>849</v>
      </c>
      <c r="B33">
        <f>COUNTIF('Данные 1st'!$S$2:$S$317,$A33)</f>
        <v>7</v>
      </c>
      <c r="C33" s="6" t="s">
        <v>5098</v>
      </c>
      <c r="D33" s="6" t="s">
        <v>513</v>
      </c>
      <c r="E33" s="6" t="s">
        <v>5125</v>
      </c>
      <c r="F33" s="6" t="s">
        <v>5154</v>
      </c>
      <c r="G33" s="7">
        <f>IFERROR(AVERAGEIF('Данные 1st'!$S$2:$S$317,$A33,'Данные 1st'!$AE$2:$AE$317),"")</f>
        <v>183.42857142857142</v>
      </c>
      <c r="H33" s="7">
        <f>IFERROR(AVERAGEIF('Данные 1st'!$S$2:$S$317,$A33,'Данные 1st'!$AF$2:$AF$317),"")</f>
        <v>1.5</v>
      </c>
      <c r="I33" s="7">
        <f>IFERROR(AVERAGEIF('Данные 1st'!$S$2:$S$317,$A33,'Данные 1st'!$AJ$2:$AJ$317),"")</f>
        <v>165.0</v>
      </c>
      <c r="J33" s="7">
        <f>IFERROR(AVERAGEIF('Данные 1st'!$S$2:$S$317,$A33,'Данные 1st'!$AL$2:$AL$317),"")</f>
        <v>1.5</v>
      </c>
      <c r="K33" s="7">
        <f>IFERROR(AVERAGEIF('Данные 1st'!$S$2:$S$317,$A33,'Данные 1st'!$AR$2:$AR$317),"")</f>
        <v>205.85714285714286</v>
      </c>
      <c r="L33" s="7">
        <f>IFERROR(AVERAGEIF('Данные 1st'!$S$2:$S$317,$A33,'Данные 1st'!$AS$2:$AS$317),"")</f>
        <v>1.5</v>
      </c>
      <c r="M33" s="7">
        <f>IFERROR(AVERAGEIF('Данные 1st'!$S$2:$S$317,$A33,'Данные 1st'!$AY$2:$AY$317),"")</f>
        <v>260.0</v>
      </c>
      <c r="N33" s="7">
        <f>IFERROR(AVERAGEIF('Данные 1st'!$S$2:$S$317,$A33,'Данные 1st'!$AZ$2:$AZ$317),"")</f>
        <v>1.5</v>
      </c>
      <c r="O33" s="7">
        <f>IFERROR(AVERAGEIF('Данные 1st'!$S$2:$S$317,$A33,'Данные 1st'!$BF$2:$BF$317),"")</f>
        <v/>
      </c>
      <c r="P33" s="7">
        <f>IFERROR(AVERAGEIF('Данные 1st'!$S$2:$S$317,$A33,'Данные 1st'!$BG$2:$BG$317),"")</f>
        <v>1.5</v>
      </c>
      <c r="Q33" s="7">
        <f>IFERROR(AVERAGEIF('Данные 1st'!$S$2:$S$317,$A33,'Данные 1st'!$BM$2:$BM$317),"")</f>
        <v/>
      </c>
      <c r="R33" s="7">
        <f>IFERROR(AVERAGEIF('Данные 1st'!$S$2:$S$317,$A33,'Данные 1st'!$BN$2:$BN$317),"")</f>
        <v>1.5</v>
      </c>
      <c r="S33" s="7">
        <f>IFERROR(AVERAGEIF('Данные 1st'!$S$2:$S$317,$A33,'Данные 1st'!$BT$2:$BT$317),"")</f>
        <v>182.57142857142858</v>
      </c>
      <c r="T33" s="7">
        <f>IFERROR(AVERAGEIF('Данные 1st'!$S$2:$S$317,$A33,'Данные 1st'!$BU$2:$BU$317),"")</f>
        <v>0.5</v>
      </c>
      <c r="U33" s="7">
        <f>IFERROR(AVERAGEIF('Данные 1st'!$S$2:$S$317,$A33,'Данные 1st'!$BW$2:$BW$317),"")</f>
        <v>365.14285714285717</v>
      </c>
      <c r="V33" s="7">
        <f>IFERROR(AVERAGEIF('Данные 1st'!$S$2:$S$317,$A33,'Данные 1st'!$BX$2:$BX$317),"")</f>
        <v>1</v>
      </c>
      <c r="W33" s="7">
        <f>IFERROR(AVERAGEIF('Данные 1st'!$S$2:$S$317,$A33,'Данные 1st'!$BZ$2:$BZ$317),"")</f>
        <v>300</v>
      </c>
      <c r="X33" s="7">
        <f>IFERROR(AVERAGEIF('Данные 1st'!$S$2:$S$317,$A33,'Данные 1st'!$CA$2:$CA$317),"")</f>
        <v>431.42857142857144</v>
      </c>
      <c r="Y33" s="7">
        <f>IFERROR(AVERAGEIF('Данные 1st'!$S$2:$S$317,$A33,'Данные 1st'!$CD$2:$CD$317),"")</f>
        <v>398.57142857142856</v>
      </c>
      <c r="Z33" s="7">
        <f>IFERROR(AVERAGEIF('Данные 1st'!$S$2:$S$317,$A33,'Данные 1st'!$CF$2:$CF$317),"")</f>
        <v>15</v>
      </c>
      <c r="AA33" s="7">
        <f>IFERROR(AVERAGEIF('Данные 1st'!$S$2:$S$317,$A33,'Данные 1st'!$CI$2:$CI$317),"")</f>
        <v>65.71428571428571</v>
      </c>
      <c r="AB33" s="7">
        <f>IFERROR(AVERAGEIF('Данные 1st'!$S$2:$S$317,$A33,'Данные 1st'!$CJ$2:$CJ$317),"")</f>
        <v>1458</v>
      </c>
      <c r="AC33" s="7">
        <f>IFERROR(AVERAGEIF('Данные 1st'!$S$2:$S$317,$A33,'Данные 1st'!$CK$2:$CK$317),"")</f>
        <v>2</v>
      </c>
      <c r="AD33" s="7">
        <f>IFERROR(AVERAGEIF('Данные 1st'!$S$2:$S$317,$A33,'Данные 1st'!$CL$2:$CL$317),"")</f>
        <v>1552</v>
      </c>
      <c r="AE33" s="7">
        <f>IFERROR(AVERAGEIF('Данные 1st'!$S$2:$S$317,$A33,'Данные 1st'!$CM$2:$CM$317),"")</f>
        <v>2</v>
      </c>
      <c r="AF33" s="7">
        <f>IFERROR(AVERAGEIF('Данные 1st'!$S$2:$S$317,$A33,'Данные 1st'!$CT$2:$CT$317),"")</f>
        <v>330</v>
      </c>
      <c r="AG33" s="7">
        <f>IFERROR(AVERAGEIF('Данные 1st'!$S$2:$S$317,$A33,'Данные 1st'!$CU$2:$CU$317),"")</f>
        <v>5</v>
      </c>
      <c r="AH33" s="7">
        <f>IFERROR(AVERAGEIF('Данные 1st'!$S$2:$S$317,$A33,'Данные 1st'!$CV$2:$CV$317),"")</f>
        <v>1.2142857142857142</v>
      </c>
      <c r="AI33" s="7">
        <f>IFERROR(AVERAGEIF('Данные 1st'!$S$2:$S$317,$A33,'Данные 1st'!$CW$2:$CW$317),"")</f>
        <v>1475</v>
      </c>
      <c r="AJ33" s="7">
        <f>IFERROR(AVERAGEIF('Данные 1st'!$S$2:$S$317,$A33,'Данные 1st'!$CX$2:$CX$317),"")</f>
        <v>697.7142857142857</v>
      </c>
      <c r="AK33" s="7">
        <f>IFERROR(AVERAGEIF('Данные 1st'!$S$2:$S$317,$A33,'Данные 1st'!$CZ$2:$CZ$317),"")</f>
        <v>52.857142857142854</v>
      </c>
      <c r="AL33" s="7">
        <f>IFERROR(AVERAGEIF('Данные 1st'!$S$2:$S$317,$A33,'Данные 1st'!$DA$2:$DA$317),"")</f>
        <v>3</v>
      </c>
      <c r="AM33" s="7">
        <f>IFERROR(AVERAGEIF('Данные 1st'!$S$2:$S$317,$A33,'Данные 1st'!$DB$2:$DB$317),"")</f>
        <v>1.08</v>
      </c>
      <c r="AN33" s="7">
        <f>IFERROR(AVERAGEIF('Данные 1st'!$S$2:$S$317,$A33,'Данные 1st'!$DC$2:$DC$317),"")</f>
        <v>1475</v>
      </c>
      <c r="AO33" s="7">
        <f>IFERROR(AVERAGEIF('Данные 1st'!$S$2:$S$317,$A33,'Данные 1st'!$DD$2:$DD$317),"")</f>
        <v>89.28571428571429</v>
      </c>
      <c r="AP33" s="7">
        <f>IFERROR(AVERAGEIF('Данные 1st'!$S$2:$S$317,$A33,'Данные 1st'!$DF$2:$DF$317),"")</f>
        <v>520</v>
      </c>
      <c r="AQ33" s="7">
        <f>IFERROR(AVERAGEIF('Данные 1st'!$S$2:$S$317,$A33,'Данные 1st'!$DG$2:$DG$317),"")</f>
        <v>3</v>
      </c>
      <c r="AR33" s="7">
        <f>IFERROR(AVERAGEIF('Данные 1st'!$S$2:$S$317,$A33,'Данные 1st'!$DH$2:$DH$317),"")</f>
        <v>1.0999999999999999</v>
      </c>
      <c r="AS33" s="7">
        <f>IFERROR(AVERAGEIF('Данные 1st'!$S$2:$S$317,$A33,'Данные 1st'!$DI$2:$DI$317),"")</f>
        <v>1468.142857142857</v>
      </c>
      <c r="AT33" s="7">
        <f>IFERROR(AVERAGEIF('Данные 1st'!$S$2:$S$317,$A33,'Данные 1st'!$DJ$2:$DJ$317),"")</f>
        <v>1181.7142857142858</v>
      </c>
      <c r="AU33" s="7">
        <f>IFERROR(AVERAGEIF('Данные 1st'!$S$2:$S$317,$A33,'Данные 1st'!$DL$2:$DL$317),"")</f>
        <v/>
      </c>
      <c r="AV33" s="7">
        <f>IFERROR(AVERAGEIF('Данные 1st'!$S$2:$S$317,$A33,'Данные 1st'!$DM$2:$DM$317),"")</f>
        <v/>
      </c>
      <c r="AW33" s="7">
        <f>IFERROR(AVERAGEIF('Данные 1st'!$S$2:$S$317,$A33,'Данные 1st'!$DN$2:$DN$317),"")</f>
        <v/>
      </c>
      <c r="AX33" s="7">
        <f>IFERROR(AVERAGEIF('Данные 1st'!$S$2:$S$317,$A33,'Данные 1st'!$DO$2:$DO$317),"")</f>
        <v/>
      </c>
      <c r="AY33" s="7">
        <f>IFERROR(AVERAGEIF('Данные 1st'!$S$2:$S$317,$A33,'Данные 1st'!$DP$2:$DP$317),"")</f>
        <v/>
      </c>
      <c r="AZ33" s="7">
        <f>IFERROR(AVERAGEIF('Данные 1st'!$S$2:$S$317,$A33,'Данные 1st'!$DR$2:$DR$317),"")</f>
        <v/>
      </c>
      <c r="BA33" s="7">
        <f>IFERROR(AVERAGEIF('Данные 1st'!$S$2:$S$317,$A33,'Данные 1st'!$DS$2:$DS$317),"")</f>
        <v/>
      </c>
      <c r="BB33" s="7">
        <f>IFERROR(AVERAGEIF('Данные 1st'!$S$2:$S$317,$A33,'Данные 1st'!$DT$2:$DT$317),"")</f>
        <v/>
      </c>
      <c r="BC33" s="7">
        <f>IFERROR(AVERAGEIF('Данные 1st'!$S$2:$S$317,$A33,'Данные 1st'!$DU$2:$DU$317),"")</f>
        <v/>
      </c>
      <c r="BD33" s="7">
        <f>IFERROR(AVERAGEIF('Данные 1st'!$S$2:$S$317,$A33,'Данные 1st'!$DV$2:$DV$317),"")</f>
        <v/>
      </c>
      <c r="BE33" s="7">
        <f>IFERROR(AVERAGEIF('Данные 1st'!$S$2:$S$317,$A33,'Данные 1st'!$DX$2:$DX$317),"")</f>
        <v>7.5</v>
      </c>
      <c r="BF33" s="7">
        <f>IFERROR(AVERAGEIF('Данные 1st'!$S$2:$S$317,$A33,'Данные 1st'!$EA$2:$EA$317),"")</f>
        <v>1540.4428571428573</v>
      </c>
      <c r="BG33" s="7">
        <f>IFERROR(AVERAGEIF('Данные 1st'!$S$2:$S$317,$A33,'Данные 1st'!$EB$2:$EB$317),"")</f>
        <v>290.14285714285717</v>
      </c>
      <c r="BH33" s="7">
        <f>IFERROR(AVERAGEIF('Данные 1st'!$S$2:$S$317,$A33,'Данные 1st'!$ED$2:$ED$317),"")</f>
        <v>28.571428571428573</v>
      </c>
      <c r="BI33" s="7">
        <f>IFERROR(AVERAGEIF('Данные 1st'!$S$2:$S$317,$A33,'Данные 1st'!$EE$2:$EE$317),"")</f>
        <v>3</v>
      </c>
      <c r="BJ33" s="7">
        <f>IFERROR(AVERAGEIF('Данные 1st'!$S$2:$S$317,$A33,'Данные 1st'!$EG$2:$EG$317),"")</f>
        <v>1582.857142857143</v>
      </c>
      <c r="BK33" s="7">
        <f>IFERROR(AVERAGEIF('Данные 1st'!$S$2:$S$317,$A33,'Данные 1st'!$EH$2:$EH$317),"")</f>
        <v>175.71428571428572</v>
      </c>
      <c r="BL33" s="7">
        <f>IFERROR(AVERAGEIF('Данные 1st'!$S$2:$S$317,$A33,'Данные 1st'!$EJ$2:$EJ$317),"")</f>
        <v>0</v>
      </c>
      <c r="BM33" s="7">
        <f>IFERROR(AVERAGEIF('Данные 1st'!$S$2:$S$317,$A33,'Данные 1st'!$EK$2:$EK$317),"")</f>
        <v>1</v>
      </c>
      <c r="BN33" s="7">
        <f>IFERROR(AVERAGEIF('Данные 1st'!$S$2:$S$317,$A33,'Данные 1st'!$EN$2:$EN$317),"")</f>
        <v>0</v>
      </c>
      <c r="BO33" s="7">
        <f>IFERROR(AVERAGEIF('Данные 1st'!$S$2:$S$317,$A33,'Данные 1st'!$EQ$2:$EQ$317),"")</f>
        <v>66.42857142857143</v>
      </c>
      <c r="BP33" s="7">
        <f>IFERROR(AVERAGEIF('Данные 1st'!$S$2:$S$317,$A33,'Данные 1st'!$ER$2:$ER$317),"")</f>
        <v>3</v>
      </c>
      <c r="BQ33" s="7">
        <f>IFERROR(AVERAGEIF('Данные 1st'!$S$2:$S$317,$A33,'Данные 1st'!$ES$2:$ES$317),"")</f>
        <v>5.0</v>
      </c>
      <c r="BR33" s="7">
        <f>IFERROR(AVERAGEIF('Данные 1st'!$S$2:$S$317,$A33,'Данные 1st'!$ET$2:$ET$317),"")</f>
        <v>1451</v>
      </c>
      <c r="BS33" s="7">
        <f>IFERROR(AVERAGEIF('Данные 1st'!$S$2:$S$317,$A33,'Данные 1st'!$EU$2:$EU$317),"")</f>
        <v>258.5</v>
      </c>
      <c r="BT33" s="7">
        <f>IFERROR(AVERAGEIF('Данные 1st'!$S$2:$S$317,$A33,'Данные 1st'!$EV$2:$EV$317),"")</f>
        <v>375.14285714285717</v>
      </c>
      <c r="BU33" s="7">
        <f>IFERROR(AVERAGEIF('Данные 1st'!$S$2:$S$317,$A33,'Данные 1st'!$EX$2:$EX$317),"")</f>
        <v>45</v>
      </c>
      <c r="BV33" s="7">
        <f>IFERROR(AVERAGEIF('Данные 1st'!$S$2:$S$317,$A33,'Данные 1st'!$EY$2:$EY$317),"")</f>
        <v>2</v>
      </c>
      <c r="BW33" s="7">
        <f>IFERROR(AVERAGEIF('Данные 1st'!$S$2:$S$317,$A33,'Данные 1st'!$EZ$2:$EZ$317),"")</f>
        <v>4.257142857142857</v>
      </c>
      <c r="BX33" s="7">
        <f>IFERROR(AVERAGEIF('Данные 1st'!$S$2:$S$317,$A33,'Данные 1st'!$FA$2:$FA$317),"")</f>
        <v>1451</v>
      </c>
      <c r="BY33" s="7">
        <f>IFERROR(AVERAGEIF('Данные 1st'!$S$2:$S$317,$A33,'Данные 1st'!$FB$2:$FB$317),"")</f>
        <v>140.4</v>
      </c>
      <c r="BZ33" s="7">
        <f>IFERROR(AVERAGEIF('Данные 1st'!$S$2:$S$317,$A33,'Данные 1st'!$FC$2:$FC$317),"")</f>
        <v>203.71428571428572</v>
      </c>
      <c r="CA33" s="7">
        <f>IFERROR(AVERAGEIF('Данные 1st'!$S$2:$S$317,$A33,'Данные 1st'!$FE$2:$FE$317),"")</f>
        <v>0</v>
      </c>
      <c r="CB33" s="7">
        <f>IFERROR(AVERAGEIF('Данные 1st'!$S$2:$S$317,$A33,'Данные 1st'!$FF$2:$FF$317),"")</f>
        <v>2</v>
      </c>
      <c r="CC33" s="7">
        <f>IFERROR(AVERAGEIF('Данные 1st'!$S$2:$S$317,$A33,'Данные 1st'!$FI$2:$FI$317),"")</f>
        <v>0</v>
      </c>
      <c r="CD33" s="7">
        <f>IFERROR(AVERAGEIF('Данные 1st'!$S$2:$S$317,$A33,'Данные 1st'!$FL$2:$FL$317),"")</f>
        <v>0.45714285714285713</v>
      </c>
      <c r="CE33" s="7">
        <f>IFERROR(AVERAGEIF('Данные 1st'!$S$2:$S$317,$A33,'Данные 1st'!$FM$2:$FM$317),"")</f>
        <v>49.285714285714285</v>
      </c>
      <c r="CF33" s="7">
        <f>IFERROR(AVERAGEIF('Данные 1st'!$S$2:$S$317,$A33,'Данные 1st'!$FN$2:$FN$317),"")</f>
        <v>301.42857142857144</v>
      </c>
      <c r="CG33" s="7">
        <f>IFERROR(AVERAGEIF('Данные 1st'!$S$2:$S$317,$A33,'Данные 1st'!$FO$2:$FO$317),"")</f>
        <v>57.857142857142854</v>
      </c>
      <c r="CH33" s="7">
        <f>IFERROR(AVERAGEIF('Данные 1st'!$S$2:$S$317,$A33,'Данные 1st'!$FP$2:$FP$317),"")</f>
        <v>134.28571428571428</v>
      </c>
      <c r="CI33" s="7">
        <f>IFERROR(AVERAGEIF('Данные 1st'!$S$2:$S$317,$A33,'Данные 1st'!$FS$2:$FS$317),"")</f>
        <v>0.4</v>
      </c>
      <c r="CJ33" s="7">
        <f>IFERROR(AVERAGEIF('Данные 1st'!$S$2:$S$317,$A33,'Данные 1st'!$FT$2:$FT$317),"")</f>
        <v>39</v>
      </c>
      <c r="CK33" s="7">
        <f>IFERROR(AVERAGEIF('Данные 1st'!$S$2:$S$317,$A33,'Данные 1st'!$FU$2:$FU$317),"")</f>
        <v>272</v>
      </c>
      <c r="CL33" s="7">
        <f>IFERROR(AVERAGEIF('Данные 1st'!$S$2:$S$317,$A33,'Данные 1st'!$FV$2:$FV$317),"")</f>
        <v/>
      </c>
      <c r="CM33" s="7">
        <f>IFERROR(AVERAGEIF('Данные 1st'!$S$2:$S$317,$A33,'Данные 1st'!$FW$2:$FW$317),"")</f>
        <v/>
      </c>
      <c r="CN33" s="7">
        <f>IFERROR(AVERAGEIF('Данные 1st'!$S$2:$S$317,$A33,'Данные 1st'!$FZ$2:$FZ$317),"")</f>
        <v>1</v>
      </c>
      <c r="CO33" s="7">
        <f>IFERROR(AVERAGEIF('Данные 1st'!$S$2:$S$317,$A33,'Данные 1st'!$GA$2:$GA$317),"")</f>
        <v>20</v>
      </c>
      <c r="CP33" s="7">
        <f>IFERROR(AVERAGEIF('Данные 1st'!$S$2:$S$317,$A33,'Данные 1st'!$GB$2:$GB$317),"")</f>
        <v>173.25</v>
      </c>
      <c r="CQ33" s="7">
        <f>IFERROR(AVERAGEIF('Данные 1st'!$S$2:$S$317,$A33,'Данные 1st'!$GH$2:$GH$317),"")</f>
        <v>1</v>
      </c>
      <c r="CR33" s="7">
        <f>IFERROR(AVERAGEIF('Данные 1st'!$S$2:$S$317,$A33,'Данные 1st'!$GI$2:$GI$317),"")</f>
        <v>20</v>
      </c>
      <c r="CS33" s="7">
        <f>IFERROR(AVERAGEIF('Данные 1st'!$S$2:$S$317,$A33,'Данные 1st'!$GJ$2:$GJ$317),"")</f>
        <v>173.25</v>
      </c>
      <c r="CT33" s="7">
        <f>IFERROR(AVERAGEIF('Данные 1st'!$S$2:$S$317,$A33,'Данные 1st'!$GS$2:$GS$317),"")</f>
        <v/>
      </c>
      <c r="CU33" s="7">
        <f>IFERROR(AVERAGEIF('Данные 1st'!$S$2:$S$317,$A33,'Данные 1st'!$GT$2:$GT$317),"")</f>
        <v/>
      </c>
      <c r="CV33" s="7">
        <f>IFERROR(AVERAGEIF('Данные 1st'!$S$2:$S$317,$A33,'Данные 1st'!$GU$2:$GU$317),"")</f>
        <v/>
      </c>
      <c r="CW33" s="7">
        <f>IFERROR(AVERAGEIF('Данные 1st'!$S$2:$S$317,$A33,'Данные 1st'!$GV$2:$GV$317),"")</f>
        <v/>
      </c>
      <c r="CX33" s="7">
        <f>IFERROR(AVERAGEIF('Данные 1st'!$S$2:$S$317,$A33,'Данные 1st'!$GW$2:$GW$317),"")</f>
        <v/>
      </c>
      <c r="CY33" s="7">
        <f>IFERROR(AVERAGEIF('Данные 1st'!$S$2:$S$317,$A33,'Данные 1st'!$GZ$2:$GZ$317),"")</f>
        <v/>
      </c>
      <c r="CZ33" s="7">
        <f>IFERROR(AVERAGEIF('Данные 1st'!$S$2:$S$317,$A33,'Данные 1st'!$HA$2:$HA$317),"")</f>
        <v/>
      </c>
      <c r="DA33" s="7">
        <f>IFERROR(AVERAGEIF('Данные 1st'!$S$2:$S$317,$A33,'Данные 1st'!$HB$2:$HB$317),"")</f>
        <v/>
      </c>
      <c r="DB33" s="7">
        <f>IFERROR(AVERAGEIF('Данные 1st'!$S$2:$S$317,$A33,'Данные 1st'!$HC$2:$HC$317),"")</f>
        <v>0.1</v>
      </c>
      <c r="DC33" s="7">
        <f>IFERROR(AVERAGEIF('Данные 1st'!$S$2:$S$317,$A33,'Данные 1st'!$HD$2:$HD$317),"")</f>
        <v>3</v>
      </c>
      <c r="DD33" s="7">
        <f>IFERROR(AVERAGEIF('Данные 1st'!$S$2:$S$317,$A33,'Данные 1st'!$HE$2:$HE$317),"")</f>
        <v>3</v>
      </c>
      <c r="DE33" s="7">
        <f>IFERROR(AVERAGEIF('Данные 1st'!$S$2:$S$317,$A33,'Данные 1st'!$HF$2:$HF$317),"")</f>
        <v>3</v>
      </c>
      <c r="DF33" s="7">
        <f>IFERROR(AVERAGEIF('Данные 1st'!$S$2:$S$317,$A33,'Данные 1st'!$HG$2:$HG$317),"")</f>
        <v>3</v>
      </c>
      <c r="DG33" s="7">
        <f>IFERROR(AVERAGEIF('Данные 1st'!$S$2:$S$317,$A33,'Данные 1st'!$HH$2:$HH$317),"")</f>
        <v>3</v>
      </c>
      <c r="DH33" s="7">
        <f>IFERROR(AVERAGEIF('Данные 1st'!$S$2:$S$317,$A33,'Данные 1st'!$HI$2:$HI$317),"")</f>
        <v>96.42857142857143</v>
      </c>
      <c r="DI33" s="7">
        <f>IFERROR(AVERAGEIF('Данные 1st'!$S$2:$S$317,$A33,'Данные 1st'!$HJ$2:$HJ$317),"")</f>
        <v>3</v>
      </c>
      <c r="DJ33" s="7">
        <f>IFERROR(AVERAGEIF('Данные 1st'!$S$2:$S$317,$A33,'Данные 1st'!$HK$2:$HK$317),"")</f>
        <v>30</v>
      </c>
      <c r="DK33" s="7">
        <f>IFERROR(AVERAGEIF('Данные 1st'!$S$2:$S$317,$A33,'Данные 1st'!$HL$2:$HL$317),"")</f>
        <v>2</v>
      </c>
      <c r="DL33" s="7">
        <f>IFERROR(AVERAGEIF('Данные 1st'!$S$2:$S$317,$A33,'Данные 1st'!$HM$2:$HM$317),"")</f>
        <v>0</v>
      </c>
      <c r="DM33" s="7">
        <f>IFERROR(AVERAGEIF('Данные 1st'!$S$2:$S$317,$A33,'Данные 1st'!$HN$2:$HN$317),"")</f>
        <v>2</v>
      </c>
      <c r="DN33" s="7">
        <f>IFERROR(AVERAGEIF('Данные 1st'!$S$2:$S$317,$A33,'Данные 1st'!$HO$2:$HO$317),"")</f>
        <v>51.42857142857143</v>
      </c>
      <c r="DO33" s="7">
        <f>IFERROR(AVERAGEIF('Данные 1st'!$S$2:$S$317,$A33,'Данные 1st'!$HP$2:$HP$317),"")</f>
        <v>3</v>
      </c>
      <c r="DP33" s="7">
        <f>IFERROR(AVERAGEIF('Данные 1st'!$S$2:$S$317,$A33,'Данные 1st'!$HQ$2:$HQ$317),"")</f>
        <v>0</v>
      </c>
      <c r="DQ33" s="7">
        <f>IFERROR(AVERAGEIF('Данные 1st'!$S$2:$S$317,$A33,'Данные 1st'!$HR$2:$HR$317),"")</f>
        <v>2</v>
      </c>
      <c r="DR33" s="7">
        <f>IFERROR(AVERAGEIF('Данные 1st'!$S$2:$S$317,$A33,'Данные 1st'!$HS$2:$HS$317),"")</f>
        <v>4147.428571428572</v>
      </c>
      <c r="DS33" s="7">
        <f>IFERROR(AVERAGEIF('Данные 1st'!$S$2:$S$317,$A33,'Данные 1st'!$HT$2:$HT$317),"")</f>
        <v>124.28571428571429</v>
      </c>
      <c r="DT33" s="7">
        <f>IFERROR(AVERAGEIF('Данные 1st'!$S$2:$S$317,$A33,'Данные 1st'!$HU$2:$HU$317),"")</f>
        <v>180</v>
      </c>
      <c r="DU33" s="7">
        <f>IFERROR(AVERAGEIF('Данные 1st'!$S$2:$S$317,$A33,'Данные 1st'!$HW$2:$HW$317),"")</f>
        <v>8.571428571428571</v>
      </c>
      <c r="DV33" s="7">
        <f>IFERROR(AVERAGEIF('Данные 1st'!$S$2:$S$317,$A33,'Данные 1st'!$HX$2:$HX$317),"")</f>
        <v>417.85714285714283</v>
      </c>
      <c r="DW33" s="7">
        <f>IFERROR(AVERAGEIF('Данные 1st'!$S$2:$S$317,$A33,'Данные 1st'!$HY$2:$HY$317),"")</f>
        <v>0.18</v>
      </c>
      <c r="DX33" s="7">
        <f>IFERROR(AVERAGEIF('Данные 1st'!$S$2:$S$317,$A33,'Данные 1st'!$IA$2:$IA$317),"")</f>
        <v>0.15</v>
      </c>
      <c r="DY33" s="7">
        <f>IFERROR(AVERAGEIF('Данные 1st'!$S$2:$S$317,$A33,'Данные 1st'!$IB$2:$IB$317),"")</f>
        <v>0</v>
      </c>
      <c r="DZ33" s="7">
        <f>IFERROR(AVERAGEIF('Данные 1st'!$S$2:$S$317,$A33,'Данные 1st'!$IC$2:$IC$317),"")</f>
        <v>180</v>
      </c>
      <c r="EA33" s="7">
        <f>IFERROR(AVERAGEIF('Данные 1st'!$S$2:$S$317,$A33,'Данные 1st'!$ID$2:$ID$317),"")</f>
        <v>110</v>
      </c>
      <c r="EB33" s="7">
        <f>IFERROR(AVERAGEIF('Данные 1st'!$S$2:$S$317,$A33,'Данные 1st'!$IE$2:$IE$317),"")</f>
        <v>0</v>
      </c>
      <c r="EC33" s="7">
        <f>IFERROR(AVERAGEIF('Данные 1st'!$S$2:$S$317,$A33,'Данные 1st'!$IF$2:$IF$317),"")</f>
        <v>0</v>
      </c>
      <c r="ED33" s="7">
        <f>IFERROR(AVERAGEIF('Данные 1st'!$S$2:$S$317,$A33,'Данные 1st'!$IP$2:$IP$317),"")</f>
        <v>19</v>
      </c>
      <c r="EE33" s="7">
        <f>IFERROR(AVERAGEIF('Данные 1st'!$S$2:$S$317,$A33,'Данные 1st'!$IV$2:$IV$317),"")</f>
        <v>1458</v>
      </c>
      <c r="EF33" s="7">
        <f>IFERROR(AVERAGEIF('Данные 1st'!$S$2:$S$317,$A33,'Данные 1st'!$IW$2:$IW$317),"")</f>
        <v>365.14285714285717</v>
      </c>
      <c r="EG33" s="7">
        <f>IFERROR(AVERAGEIF('Данные 1st'!$S$2:$S$317,$A33,'Данные 1st'!$IX$2:$IX$317),"")</f>
        <v/>
      </c>
      <c r="EH33" s="7">
        <f>IFERROR(AVERAGEIF('Данные 1st'!$S$2:$S$317,$A33,'Данные 1st'!$IY$2:$IY$317),"")</f>
        <v/>
      </c>
      <c r="EI33" s="7">
        <f>IFERROR(AVERAGEIF('Данные 1st'!$S$2:$S$317,$A33,'Данные 1st'!$JD$2:$JD$317),"")</f>
        <v>1475</v>
      </c>
      <c r="EJ33" s="7">
        <f>IFERROR(AVERAGEIF('Данные 1st'!$S$2:$S$317,$A33,'Данные 1st'!$JE$2:$JE$317),"")</f>
        <v>1468.142857142857</v>
      </c>
      <c r="EK33" s="7">
        <f>IFERROR(AVERAGEIF('Данные 1st'!$S$2:$S$317,$A33,'Данные 1st'!$JF$2:$JF$317),"")</f>
        <v>0</v>
      </c>
      <c r="EL33" s="7">
        <f>IFERROR(AVERAGEIF('Данные 1st'!$S$2:$S$317,$A33,'Данные 1st'!$JG$2:$JG$317),"")</f>
        <v>1451</v>
      </c>
      <c r="EM33" s="7">
        <f>IFERROR(AVERAGEIF('Данные 1st'!$S$2:$S$317,$A33,'Данные 1st'!$JH$2:$JH$317),"")</f>
        <v>0</v>
      </c>
      <c r="EN33" s="7">
        <f>IFERROR(AVERAGEIF('Данные 1st'!$S$2:$S$317,$A33,'Данные 1st'!$JJ$2:$JJ$317),"")</f>
        <v>180</v>
      </c>
      <c r="EO33" s="7">
        <f>IFERROR(AVERAGEIF('Данные 1st'!$S$2:$S$317,$A33,'Данные 1st'!$JK$2:$JK$317),"")</f>
        <v>417.85714285714283</v>
      </c>
      <c r="EP33" s="7">
        <f>IFERROR(AVERAGEIF('Данные 1st'!$S$2:$S$317,$A33,'Данные 1st'!$JL$2:$JL$317),"")</f>
        <v/>
      </c>
      <c r="EQ33" s="7">
        <f>IFERROR(AVERAGEIF('Данные 1st'!$S$2:$S$317,$A33,'Данные 1st'!$JM$2:$JM$317),"")</f>
        <v/>
      </c>
      <c r="ER33" s="7">
        <f>IFERROR(AVERAGEIF('Данные 1st'!$S$2:$S$317,$A33,'Данные 1st'!$JN$2:$JN$317),"")</f>
        <v>330</v>
      </c>
      <c r="ES33" s="7">
        <f>IFERROR(AVERAGEIF('Данные 1st'!$S$2:$S$317,$A33,'Данные 1st'!$JO$2:$JO$317),"")</f>
        <v>520</v>
      </c>
      <c r="ET33" s="7">
        <f>IFERROR(AVERAGEIF('Данные 1st'!$S$2:$S$317,$A33,'Данные 1st'!$JP$2:$JP$317),"")</f>
        <v>0</v>
      </c>
      <c r="EU33" s="7">
        <f>IFERROR(AVERAGEIF('Данные 1st'!$S$2:$S$317,$A33,'Данные 1st'!$JQ$2:$JQ$317),"")</f>
        <v>0</v>
      </c>
      <c r="EV33" s="7">
        <f>IFERROR(AVERAGEIF('Данные 1st'!$S$2:$S$317,$A33,'Данные 1st'!$JR$2:$JR$317),"")</f>
        <v>366.85714285714283</v>
      </c>
      <c r="EW33" s="7">
        <f>IFERROR(AVERAGEIF('Данные 1st'!$S$2:$S$317,$A33,'Данные 1st'!$JS$2:$JS$317),"")</f>
        <v>96.42857142857143</v>
      </c>
      <c r="EX33" s="7">
        <f>IFERROR(AVERAGEIF('Данные 1st'!$S$2:$S$317,$A33,'Данные 1st'!$JT$2:$JT$317),"")</f>
        <v/>
      </c>
      <c r="EY33" s="7">
        <f>IFERROR(AVERAGEIF('Данные 1st'!$S$2:$S$317,$A33,'Данные 1st'!$JU$2:$JU$317),"")</f>
        <v/>
      </c>
      <c r="EZ33" s="7">
        <f>IFERROR(AVERAGEIF('Данные 1st'!$S$2:$S$317,$A33,'Данные 1st'!$JV$2:$JV$317),"")</f>
        <v>8</v>
      </c>
      <c r="FA33" s="7">
        <f>IFERROR(AVERAGEIF('Данные 1st'!$S$2:$S$317,$A33,'Данные 1st'!$JW$2:$JW$317),"")</f>
        <v/>
      </c>
      <c r="FB33" s="7">
        <f>IFERROR(AVERAGEIF('Данные 1st'!$S$2:$S$317,$A33,'Данные 1st'!$JX$2:$JX$317),"")</f>
        <v>411.7142857142857</v>
      </c>
      <c r="FC33" s="7">
        <f>IFERROR(AVERAGEIF('Данные 1st'!$S$2:$S$317,$A33,'Данные 1st'!$JY$2:$JY$317),"")</f>
        <v/>
      </c>
      <c r="FD33" s="7">
        <f>IFERROR(AVERAGEIF('Данные 1st'!$S$2:$S$317,$A33,'Данные 1st'!$JZ$2:$JZ$317),"")</f>
        <v/>
      </c>
      <c r="FE33" s="7">
        <f>IFERROR(AVERAGEIF('Данные 1st'!$S$2:$S$317,$A33,'Данные 1st'!$KA$2:$KA$317),"")</f>
        <v>0</v>
      </c>
      <c r="FF33" s="7">
        <f>IFERROR(AVERAGEIF('Данные 1st'!$S$2:$S$317,$A33,'Данные 1st'!$KB$2:$KB$317),"")</f>
        <v>110</v>
      </c>
      <c r="FG33" s="7">
        <f>IFERROR(AVERAGEIF('Данные 1st'!$S$2:$S$317,$A33,'Данные 1st'!$KC$2:$KC$317),"")</f>
        <v>0</v>
      </c>
      <c r="FH33" s="7">
        <f>IFERROR(AVERAGEIF('Данные 1st'!$S$2:$S$317,$A33,'Данные 1st'!$KD$2:$KD$317),"")</f>
        <v>80</v>
      </c>
      <c r="FI33" s="7">
        <f>IFERROR(AVERAGEIF('Данные 1st'!$S$2:$S$317,$A33,'Данные 1st'!$KE$2:$KE$317),"")</f>
        <v/>
      </c>
      <c r="FJ33" s="7">
        <f>IFERROR(AVERAGEIF('Данные 1st'!$S$2:$S$317,$A33,'Данные 1st'!$KF$2:$KF$317),"")</f>
        <v>4</v>
      </c>
      <c r="FK33" s="7">
        <f>IFERROR(AVERAGEIF('Данные 1st'!$S$2:$S$317,$A33,'Данные 1st'!$KG$2:$KG$317),"")</f>
        <v>3.142857142857143</v>
      </c>
      <c r="FL33" s="7">
        <f>IFERROR(AVERAGEIF('Данные 1st'!$S$2:$S$317,$A33,'Данные 1st'!$KH$2:$KH$317),"")</f>
        <v>2</v>
      </c>
      <c r="FM33" s="7">
        <f>IFERROR(AVERAGEIF('Данные 1st'!$S$2:$S$317,$A33,'Данные 1st'!$KI$2:$KI$317),"")</f>
        <v>2</v>
      </c>
      <c r="FN33" s="7">
        <f>IFERROR(AVERAGEIF('Данные 1st'!$S$2:$S$317,$A33,'Данные 1st'!$KJ$2:$KJ$317),"")</f>
        <v>0</v>
      </c>
      <c r="FO33" s="7">
        <f>IFERROR(AVERAGEIF('Данные 1st'!$S$2:$S$317,$A33,'Данные 1st'!$KK$2:$KK$317),"")</f>
        <v>1.5</v>
      </c>
      <c r="FP33" s="7">
        <f>IFERROR(AVERAGEIF('Данные 1st'!$S$2:$S$317,$A33,'Данные 1st'!$KL$2:$KL$317),"")</f>
        <v>1.5</v>
      </c>
      <c r="FQ33" s="7">
        <f>IFERROR(AVERAGEIF('Данные 1st'!$S$2:$S$317,$A33,'Данные 1st'!$KM$2:$KM$317),"")</f>
        <v>0</v>
      </c>
      <c r="FR33" s="7">
        <f>IFERROR(AVERAGEIF('Данные 1st'!$S$2:$S$317,$A33,'Данные 1st'!$KN$2:$KN$317),"")</f>
        <v>0</v>
      </c>
      <c r="FS33" s="7">
        <f>IFERROR(AVERAGEIF('Данные 1st'!$S$2:$S$317,$A33,'Данные 1st'!$KR$2:$KR$317),"")</f>
        <v>31.428571428571427</v>
      </c>
      <c r="FT33" s="7">
        <f>IFERROR(AVERAGEIF('Данные 1st'!$S$2:$S$317,$A33,'Данные 1st'!$KS$2:$KS$317),"")</f>
        <v>60</v>
      </c>
      <c r="FU33" s="7">
        <f>IFERROR(AVERAGEIF('Данные 1st'!$S$2:$S$317,$A33,'Данные 1st'!$KT$2:$KT$317),"")</f>
        <v>0</v>
      </c>
      <c r="FV33" s="7">
        <f>IFERROR(AVERAGEIF('Данные 1st'!$S$2:$S$317,$A33,'Данные 1st'!$KV$2:$KV$317),"")</f>
        <v/>
      </c>
      <c r="FW33" s="7">
        <f>IFERROR(AVERAGEIF('Данные 1st'!$S$2:$S$317,$A33,'Данные 1st'!$KW$2:$KW$317),"")</f>
        <v/>
      </c>
      <c r="FX33" s="7">
        <f>IFERROR(AVERAGEIF('Данные 1st'!$S$2:$S$317,$A33,'Данные 1st'!$KX$2:$KX$317),"")</f>
        <v/>
      </c>
      <c r="FY33" s="7">
        <f>IFERROR(AVERAGEIF('Данные 1st'!$S$2:$S$317,$A33,'Данные 1st'!$KY$2:$KY$317),"")</f>
        <v/>
      </c>
      <c r="FZ33" s="7">
        <f>IFERROR(AVERAGEIF('Данные 1st'!$S$2:$S$317,$A33,'Данные 1st'!$KZ$2:$KZ$317),"")</f>
        <v/>
      </c>
      <c r="GA33" s="7">
        <f>IFERROR(AVERAGEIF('Данные 1st'!$S$2:$S$317,$A33,'Данные 1st'!$LA$2:$LA$317),"")</f>
        <v/>
      </c>
      <c r="GB33" s="7">
        <f>IFERROR(AVERAGEIF('Данные 1st'!$S$2:$S$317,$A33,'Данные 1st'!$LB$2:$LB$317),"")</f>
        <v/>
      </c>
      <c r="GC33" s="7">
        <f>IFERROR(AVERAGEIF('Данные 1st'!$S$2:$S$317,$A33,'Данные 1st'!$LC$2:$LC$317),"")</f>
        <v/>
      </c>
      <c r="GD33" s="7">
        <f>IFERROR(AVERAGEIF('Данные 1st'!$S$2:$S$317,$A33,'Данные 1st'!$LD$2:$LD$317),"")</f>
        <v/>
      </c>
      <c r="GE33" s="7">
        <f>IFERROR(AVERAGEIF('Данные 1st'!$S$2:$S$317,$A33,'Данные 1st'!$LE$2:$LE$317),"")</f>
        <v/>
      </c>
      <c r="GF33" s="7">
        <f>IFERROR(AVERAGEIF('Данные 1st'!$S$2:$S$317,$A33,'Данные 1st'!$LF$2:$LF$317),"")</f>
        <v/>
      </c>
      <c r="GG33" s="7">
        <f>IFERROR(AVERAGEIF('Данные 1st'!$S$2:$S$317,$A33,'Данные 1st'!$LG$2:$LG$317),"")</f>
        <v/>
      </c>
      <c r="GH33" s="7">
        <f>IFERROR(AVERAGEIF('Данные 1st'!$S$2:$S$317,$A33,'Данные 1st'!$LH$2:$LH$317),"")</f>
        <v/>
      </c>
      <c r="GI33" s="7">
        <f>IFERROR(AVERAGEIF('Данные 1st'!$S$2:$S$317,$A33,'Данные 1st'!$LI$2:$LI$317),"")</f>
        <v/>
      </c>
      <c r="GJ33" s="7">
        <f>IFERROR(AVERAGEIF('Данные 1st'!$S$2:$S$317,$A33,'Данные 1st'!$LJ$2:$LJ$317),"")</f>
        <v/>
      </c>
      <c r="GK33" s="7">
        <f>IFERROR(AVERAGEIF('Данные 1st'!$S$2:$S$317,$A33,'Данные 1st'!$LK$2:$LK$317),"")</f>
        <v>480</v>
      </c>
      <c r="GL33" s="7">
        <f>IFERROR(AVERAGEIF('Данные 1st'!$S$2:$S$317,$A33,'Данные 1st'!$LV$2:$LV$317),"")</f>
        <v/>
      </c>
      <c r="GM33" s="7">
        <f>IFERROR(AVERAGEIF('Данные 1st'!$S$2:$S$317,$A33,'Данные 1st'!$LW$2:$LW$317),"")</f>
        <v/>
      </c>
      <c r="GN33" s="7">
        <f>IFERROR(AVERAGEIF('Данные 1st'!$S$2:$S$317,$A33,'Данные 1st'!$LX$2:$LX$317),"")</f>
        <v/>
      </c>
      <c r="GO33" s="7">
        <f>IFERROR(AVERAGEIF('Данные 1st'!$S$2:$S$317,$A33,'Данные 1st'!$LY$2:$LY$317),"")</f>
        <v/>
      </c>
      <c r="GP33" s="7">
        <f>IFERROR(AVERAGEIF('Данные 1st'!$S$2:$S$317,$A33,'Данные 1st'!$LZ$2:$LZ$317),"")</f>
        <v/>
      </c>
      <c r="GQ33" s="7">
        <f>IFERROR(AVERAGEIF('Данные 1st'!$S$2:$S$317,$A33,'Данные 1st'!$PG$2:$PG$317),"")</f>
        <v>1</v>
      </c>
      <c r="GR33" s="7">
        <f>IFERROR(AVERAGEIF('Данные 1st'!$S$2:$S$317,$A33,'Данные 1st'!$PX$2:$PX$317),"")</f>
        <v>56</v>
      </c>
      <c r="GS33" s="7">
        <f>IFERROR(AVERAGEIF('Данные 1st'!$S$2:$S$317,$A33,'Данные 1st'!$PY$2:$PY$317),"")</f>
        <v>56.57142857142857</v>
      </c>
      <c r="GT33" s="7">
        <f>IFERROR(AVERAGEIF('Данные 1st'!$S$2:$S$317,$A33,'Данные 1st'!$QA$2:$QA$317),"")</f>
        <v>1.4285714285714286</v>
      </c>
      <c r="GU33" s="7">
        <f>IFERROR(AVERAGEIF('Данные 1st'!$S$2:$S$317,$A33,'Данные 1st'!$QB$2:$QB$317),"")</f>
        <v>1451</v>
      </c>
      <c r="GV33" s="7">
        <f>IFERROR(AVERAGEIF('Данные 1st'!$S$2:$S$317,$A33,'Данные 1st'!$QC$2:$QC$317),"")</f>
        <v>69</v>
      </c>
      <c r="GW33" s="7">
        <f>IFERROR(AVERAGEIF('Данные 1st'!$S$2:$S$317,$A33,'Данные 1st'!$QD$2:$QD$317),"")</f>
        <v>69</v>
      </c>
      <c r="GX33" s="7">
        <f>IFERROR(AVERAGEIF('Данные 1st'!$S$2:$S$317,$A33,'Данные 1st'!$QF$2:$QF$317),"")</f>
        <v>1.1428571428571428</v>
      </c>
      <c r="GY33" s="7">
        <f>IFERROR(AVERAGEIF('Данные 1st'!$S$2:$S$317,$A33,'Данные 1st'!$QG$2:$QG$317),"")</f>
        <v>1475</v>
      </c>
      <c r="GZ33" s="7">
        <f>IFERROR(AVERAGEIF('Данные 1st'!$S$2:$S$317,$A33,'Данные 1st'!$QH$2:$QH$317),"")</f>
        <v>66</v>
      </c>
      <c r="HA33" s="7">
        <f>IFERROR(AVERAGEIF('Данные 1st'!$S$2:$S$317,$A33,'Данные 1st'!$QI$2:$QI$317),"")</f>
        <v>66</v>
      </c>
      <c r="HB33" s="7">
        <f>IFERROR(AVERAGEIF('Данные 1st'!$S$2:$S$317,$A33,'Данные 1st'!$QK$2:$QK$317),"")</f>
        <v>1</v>
      </c>
      <c r="HC33" s="7">
        <f>IFERROR(AVERAGEIF('Данные 1st'!$S$2:$S$317,$A33,'Данные 1st'!$QL$2:$QL$317),"")</f>
        <v>1475</v>
      </c>
      <c r="HD33" s="7">
        <f>IFERROR(AVERAGEIF('Данные 1st'!$S$2:$S$317,$A33,'Данные 1st'!$QM$2:$QM$317),"")</f>
        <v>62.57142857142857</v>
      </c>
      <c r="HE33" s="7">
        <f>IFERROR(AVERAGEIF('Данные 1st'!$S$2:$S$317,$A33,'Данные 1st'!$QN$2:$QN$317),"")</f>
        <v>62.57142857142857</v>
      </c>
      <c r="HF33" s="7">
        <f>IFERROR(AVERAGEIF('Данные 1st'!$S$2:$S$317,$A33,'Данные 1st'!$QP$2:$QP$317),"")</f>
        <v>1</v>
      </c>
      <c r="HG33" s="7">
        <f>IFERROR(AVERAGEIF('Данные 1st'!$S$2:$S$317,$A33,'Данные 1st'!$QQ$2:$QQ$317),"")</f>
        <v>1468.142857142857</v>
      </c>
      <c r="HH33" s="7">
        <f>IFERROR(AVERAGEIF('Данные 1st'!$S$2:$S$317,$A33,'Данные 1st'!$QR$2:$QR$317),"")</f>
        <v/>
      </c>
      <c r="HI33" s="7">
        <f>IFERROR(AVERAGEIF('Данные 1st'!$S$2:$S$317,$A33,'Данные 1st'!$QS$2:$QS$317),"")</f>
        <v/>
      </c>
      <c r="HJ33" s="7">
        <f>IFERROR(AVERAGEIF('Данные 1st'!$S$2:$S$317,$A33,'Данные 1st'!$QU$2:$QU$317),"")</f>
        <v/>
      </c>
      <c r="HK33" s="7">
        <f>IFERROR(AVERAGEIF('Данные 1st'!$S$2:$S$317,$A33,'Данные 1st'!$QV$2:$QV$317),"")</f>
        <v/>
      </c>
      <c r="HL33" s="7">
        <f>IFERROR(AVERAGEIF('Данные 1st'!$S$2:$S$317,$A33,'Данные 1st'!$QW$2:$QW$317),"")</f>
        <v>82</v>
      </c>
      <c r="HM33" s="7">
        <f>IFERROR(AVERAGEIF('Данные 1st'!$S$2:$S$317,$A33,'Данные 1st'!$QX$2:$QX$317),"")</f>
        <v>88.42857142857143</v>
      </c>
      <c r="HN33" s="7">
        <f>IFERROR(AVERAGEIF('Данные 1st'!$S$2:$S$317,$A33,'Данные 1st'!$QZ$2:$QZ$317),"")</f>
        <v>1</v>
      </c>
      <c r="HO33" s="7">
        <f>IFERROR(AVERAGEIF('Данные 1st'!$S$2:$S$317,$A33,'Данные 1st'!$RA$2:$RA$317),"")</f>
        <v>66</v>
      </c>
      <c r="HP33" s="7">
        <f>IFERROR(AVERAGEIF('Данные 1st'!$S$2:$S$317,$A33,'Данные 1st'!$RB$2:$RB$317),"")</f>
        <v>66</v>
      </c>
      <c r="HQ33" s="7">
        <f>IFERROR(AVERAGEIF('Данные 1st'!$S$2:$S$317,$A33,'Данные 1st'!$RD$2:$RD$317),"")</f>
        <v/>
      </c>
      <c r="HR33" s="7">
        <f>IFERROR(AVERAGEIF('Данные 1st'!$S$2:$S$317,$A33,'Данные 1st'!$RE$2:$RE$317),"")</f>
        <v>0</v>
      </c>
      <c r="HS33" s="7">
        <f>IFERROR(AVERAGEIF('Данные 1st'!$S$2:$S$317,$A33,'Данные 1st'!$RF$2:$RF$317),"")</f>
        <v>1</v>
      </c>
      <c r="HT33" s="7">
        <f>IFERROR(AVERAGEIF('Данные 1st'!$S$2:$S$317,$A33,'Данные 1st'!$RG$2:$RG$317),"")</f>
        <v>1</v>
      </c>
      <c r="HU33" s="7">
        <f>IFERROR(AVERAGEIF('Данные 1st'!$S$2:$S$317,$A33,'Данные 1st'!$RH$2:$RH$317),"")</f>
        <v/>
      </c>
      <c r="HV33" s="7">
        <f>IFERROR(AVERAGEIF('Данные 1st'!$S$2:$S$317,$A33,'Данные 1st'!$RI$2:$RI$317),"")</f>
        <v/>
      </c>
      <c r="HW33" s="7">
        <f>IFERROR(AVERAGEIF('Данные 1st'!$S$2:$S$317,$A33,'Данные 1st'!$RJ$2:$RJ$317),"")</f>
        <v>1</v>
      </c>
      <c r="HX33" s="7">
        <f>IFERROR(AVERAGEIF('Данные 1st'!$S$2:$S$317,$A33,'Данные 1st'!$RK$2:$RK$317),"")</f>
        <v>2.142857142857143</v>
      </c>
      <c r="HY33" s="7">
        <f>IFERROR(AVERAGEIF('Данные 1st'!$S$2:$S$317,$A33,'Данные 1st'!$RL$2:$RL$317),"")</f>
        <v>2.2857142857142856</v>
      </c>
      <c r="HZ33" s="7">
        <f>IFERROR(AVERAGEIF('Данные 1st'!$S$2:$S$317,$A33,'Данные 1st'!$RM$2:$RM$317),"")</f>
        <v/>
      </c>
      <c r="IA33" s="7">
        <f>IFERROR(AVERAGEIF('Данные 1st'!$S$2:$S$317,$A33,'Данные 1st'!$RN$2:$RN$317),"")</f>
        <v/>
      </c>
      <c r="IB33" s="7">
        <f>IFERROR(AVERAGEIF('Данные 1st'!$S$2:$S$317,$A33,'Данные 1st'!$RO$2:$RO$317),"")</f>
        <v>472.85714285714283</v>
      </c>
      <c r="IC33" s="7">
        <f>IFERROR(AVERAGEIF('Данные 1st'!$S$2:$S$317,$A33,'Данные 1st'!$RP$2:$RP$317),"")</f>
        <v>121.28571428571429</v>
      </c>
      <c r="ID33" s="7">
        <f>IFERROR(AVERAGEIF('Данные 1st'!$S$2:$S$317,$A33,'Данные 1st'!$RQ$2:$RQ$317),"")</f>
        <v>804.8571428571429</v>
      </c>
      <c r="IE33" s="7">
        <f>IFERROR(AVERAGEIF('Данные 1st'!$S$2:$S$317,$A33,'Данные 1st'!$RR$2:$RR$317),"")</f>
        <v/>
      </c>
      <c r="IF33" s="7">
        <f>IFERROR(AVERAGEIF('Данные 1st'!$S$2:$S$317,$A33,'Данные 1st'!$RS$2:$RS$317),"")</f>
        <v/>
      </c>
      <c r="IG33" s="7">
        <f>IFERROR(AVERAGEIF('Данные 1st'!$S$2:$S$317,$A33,'Данные 1st'!$RT$2:$RT$317),"")</f>
        <v>290.14285714285717</v>
      </c>
      <c r="IH33" s="7">
        <f>IFERROR(AVERAGEIF('Данные 1st'!$S$2:$S$317,$A33,'Данные 1st'!$RU$2:$RU$317),"")</f>
        <v>175.71428571428572</v>
      </c>
      <c r="II33" s="7">
        <f>IFERROR(AVERAGEIF('Данные 1st'!$S$2:$S$317,$A33,'Данные 1st'!$RX$2:$RX$317),"")</f>
        <v>15</v>
      </c>
      <c r="IJ33" s="7">
        <f>IFERROR(AVERAGEIF('Данные 1st'!$S$2:$S$317,$A33,'Данные 1st'!$RY$2:$RY$317),"")</f>
        <v>4</v>
      </c>
      <c r="IK33" s="7">
        <f>IFERROR(AVERAGEIF('Данные 1st'!$S$2:$S$317,$A33,'Данные 1st'!$SA$2:$SA$317),"")</f>
        <v>15</v>
      </c>
      <c r="IL33" s="7">
        <f>IFERROR(AVERAGEIF('Данные 1st'!$S$2:$S$317,$A33,'Данные 1st'!$SD$2:$SD$317),"")</f>
        <v>1</v>
      </c>
      <c r="IM33" s="7">
        <f>IFERROR(AVERAGEIF('Данные 1st'!$S$2:$S$317,$A33,'Данные 1st'!$SG$2:$SG$317),"")</f>
        <v/>
      </c>
      <c r="IN33" s="7">
        <f>IFERROR(AVERAGEIF('Данные 1st'!$S$2:$S$317,$A33,'Данные 1st'!$SH$2:$SH$317),"")</f>
        <v>0.995</v>
      </c>
      <c r="IO33" s="7">
        <f>IFERROR(AVERAGEIF('Данные 1st'!$S$2:$S$317,$A33,'Данные 1st'!$SI$2:$SI$317),"")</f>
        <v>0.995</v>
      </c>
      <c r="IP33" s="7">
        <f>IFERROR(AVERAGEIF('Данные 1st'!$S$2:$S$317,$A33,'Данные 1st'!$SJ$2:$SJ$317),"")</f>
        <v>0.995</v>
      </c>
      <c r="IQ33" s="7">
        <f>IFERROR(AVERAGEIF('Данные 1st'!$S$2:$S$317,$A33,'Данные 1st'!$SK$2:$SK$317),"")</f>
        <v>15</v>
      </c>
      <c r="IR33" s="7">
        <f>IFERROR(AVERAGEIF('Данные 1st'!$S$2:$S$317,$A33,'Данные 1st'!$SL$2:$SL$317),"")</f>
        <v>0</v>
      </c>
      <c r="IS33" s="7">
        <f>IFERROR(AVERAGEIF('Данные 1st'!$S$2:$S$317,$A33,'Данные 1st'!$SM$2:$SM$317),"")</f>
        <v>0</v>
      </c>
      <c r="IT33" s="7">
        <f>IFERROR(AVERAGEIF('Данные 1st'!$S$2:$S$317,$A33,'Данные 1st'!$SN$2:$SN$317),"")</f>
        <v>0</v>
      </c>
      <c r="IU33" s="7">
        <f>IFERROR(AVERAGEIF('Данные 1st'!$S$2:$S$317,$A33,'Данные 1st'!$SO$2:$SO$317),"")</f>
        <v>0</v>
      </c>
      <c r="IV33" s="7">
        <f>IFERROR(AVERAGEIF('Данные 1st'!$S$2:$S$317,$A33,'Данные 1st'!$SP$2:$SP$317),"")</f>
        <v>0</v>
      </c>
      <c r="IW33" s="7">
        <f>IFERROR(AVERAGEIF('Данные 1st'!$S$2:$S$317,$A33,'Данные 1st'!$SQ$2:$SQ$317),"")</f>
        <v>0</v>
      </c>
      <c r="IX33" s="7">
        <f>IFERROR(AVERAGEIF('Данные 1st'!$S$2:$S$317,$A33,'Данные 1st'!$SR$2:$SR$317),"")</f>
        <v>0</v>
      </c>
      <c r="IY33" s="7">
        <f>IFERROR(AVERAGEIF('Данные 1st'!$S$2:$S$317,$A33,'Данные 1st'!$SS$2:$SS$317),"")</f>
        <v>0</v>
      </c>
      <c r="IZ33" s="7">
        <f>IFERROR(AVERAGEIF('Данные 1st'!$S$2:$S$317,$A33,'Данные 1st'!$ST$2:$ST$317),"")</f>
        <v>0</v>
      </c>
      <c r="JA33" s="7">
        <f>IFERROR(AVERAGEIF('Данные 1st'!$S$2:$S$317,$A33,'Данные 1st'!$SU$2:$SU$317),"")</f>
        <v>0</v>
      </c>
      <c r="JB33" s="7">
        <f>IFERROR(AVERAGEIF('Данные 1st'!$S$2:$S$317,$A33,'Данные 1st'!$SV$2:$SV$317),"")</f>
        <v>0</v>
      </c>
      <c r="JC33" s="7">
        <f>IFERROR(AVERAGEIF('Данные 1st'!$S$2:$S$317,$A33,'Данные 1st'!$SW$2:$SW$317),"")</f>
        <v>0</v>
      </c>
      <c r="JD33" s="7">
        <f>IFERROR(AVERAGEIF('Данные 1st'!$S$2:$S$317,$A33,'Данные 1st'!$SX$2:$SX$317),"")</f>
        <v>0</v>
      </c>
      <c r="JE33" s="7">
        <f>IFERROR(AVERAGEIF('Данные 1st'!$S$2:$S$317,$A33,'Данные 1st'!$SY$2:$SY$317),"")</f>
        <v>1</v>
      </c>
      <c r="JF33" s="7">
        <f>IFERROR(AVERAGEIF('Данные 1st'!$S$2:$S$317,$A33,'Данные 1st'!$SZ$2:$SZ$317),"")</f>
        <v/>
      </c>
      <c r="JG33" s="7">
        <f>IFERROR(AVERAGEIF('Данные 1st'!$S$2:$S$317,$A33,'Данные 1st'!$TA$2:$TA$317),"")</f>
        <v/>
      </c>
      <c r="JH33" s="7">
        <f>IFERROR(AVERAGEIF('Данные 1st'!$S$2:$S$317,$A33,'Данные 1st'!$TB$2:$TB$317),"")</f>
        <v>0</v>
      </c>
      <c r="JI33" s="7">
        <f>IFERROR(AVERAGEIF('Данные 1st'!$S$2:$S$317,$A33,'Данные 1st'!$TC$2:$TC$317),"")</f>
        <v>0</v>
      </c>
      <c r="JJ33" s="7">
        <f>IFERROR(AVERAGEIF('Данные 1st'!$S$2:$S$317,$A33,'Данные 1st'!$TD$2:$TD$317),"")</f>
        <v>7.5</v>
      </c>
      <c r="JK33" s="7">
        <f>IFERROR(AVERAGEIF('Данные 1st'!$S$2:$S$317,$A33,'Данные 1st'!$TN$2:$TN$317),"")</f>
        <v>0</v>
      </c>
      <c r="JL33">
        <f>COUNTIF('Данные 2st'!$Q$2:$Q$317,$A33)</f>
        <v>7</v>
      </c>
      <c r="JM33" s="6" t="s">
        <v>5098</v>
      </c>
      <c r="JN33" s="6" t="s">
        <v>513</v>
      </c>
      <c r="JO33" s="6" t="s">
        <v>5125</v>
      </c>
      <c r="JP33" s="6" t="s">
        <v>5489</v>
      </c>
      <c r="JQ33" s="7">
        <f>IFERROR(AVERAGEIF('Данные 2st'!$Q$2:$Q$317,$A33,'Данные 2st'!$AC$2:$AC$317),"")</f>
        <v>9.571428571428571</v>
      </c>
      <c r="JR33" s="7">
        <f>IFERROR(AVERAGEIF('Данные 2st'!$Q$2:$Q$317,$A33,'Данные 2st'!$AF$2:$AF$317),"")</f>
        <v>4147.428571428572</v>
      </c>
      <c r="JS33" s="7">
        <f>IFERROR(AVERAGEIF('Данные 2st'!$Q$2:$Q$317,$A33,'Данные 2st'!$AW$2:$AW$317),"")</f>
        <v>6.4</v>
      </c>
      <c r="JT33" s="7">
        <f>IFERROR(AVERAGEIF('Данные 2st'!$Q$2:$Q$317,$A33,'Данные 2st'!$AX$2:$AX$317),"")</f>
        <v>-6</v>
      </c>
      <c r="JU33" s="7">
        <f>IFERROR(AVERAGEIF('Данные 2st'!$Q$2:$Q$317,$A33,'Данные 2st'!$AY$2:$AY$317),"")</f>
        <v>100.85714285714286</v>
      </c>
      <c r="JV33" s="7">
        <f>IFERROR(AVERAGEIF('Данные 2st'!$Q$2:$Q$317,$A33,'Данные 2st'!$AZ$2:$AZ$317),"")</f>
        <v>71.64285714285714</v>
      </c>
      <c r="JW33" s="7">
        <f>IFERROR(AVERAGEIF('Данные 2st'!$Q$2:$Q$317,$A33,'Данные 2st'!$BA$2:$BA$317),"")</f>
        <v/>
      </c>
      <c r="JX33" s="7">
        <f>IFERROR(AVERAGEIF('Данные 2st'!$Q$2:$Q$317,$A33,'Данные 2st'!$BB$2:$BB$317),"")</f>
        <v/>
      </c>
      <c r="JY33" s="7">
        <f>IFERROR(AVERAGEIF('Данные 2st'!$Q$2:$Q$317,$A33,'Данные 2st'!$BC$2:$BC$317),"")</f>
        <v/>
      </c>
      <c r="JZ33" s="7">
        <f>IFERROR(AVERAGEIF('Данные 2st'!$Q$2:$Q$317,$A33,'Данные 2st'!$BH$2:$BH$317),"")</f>
        <v>100.85714285714286</v>
      </c>
      <c r="KA33" s="7">
        <f>IFERROR(AVERAGEIF('Данные 2st'!$Q$2:$Q$317,$A33,'Данные 2st'!$BI$2:$BI$317),"")</f>
        <v>29.214285714285715</v>
      </c>
      <c r="KB33" s="7">
        <f>IFERROR(AVERAGEIF('Данные 2st'!$Q$2:$Q$317,$A33,'Данные 2st'!$BJ$2:$BJ$317),"")</f>
        <v>71.64285714285714</v>
      </c>
      <c r="KC33" s="7">
        <f>IFERROR(AVERAGEIF('Данные 2st'!$Q$2:$Q$317,$A33,'Данные 2st'!$BK$2:$BK$317),"")</f>
        <v>2.642857142857143</v>
      </c>
      <c r="KD33" s="7">
        <f>IFERROR(AVERAGEIF('Данные 2st'!$Q$2:$Q$317,$A33,'Данные 2st'!$BL$2:$BL$317),"")</f>
        <v>201.71428571428572</v>
      </c>
      <c r="KE33" s="7">
        <f>IFERROR(AVERAGEIF('Данные 2st'!$Q$2:$Q$317,$A33,'Данные 2st'!$BM$2:$BM$317),"")</f>
        <v>-6</v>
      </c>
      <c r="KF33" s="7">
        <f>IFERROR(AVERAGEIF('Данные 2st'!$Q$2:$Q$317,$A33,'Данные 2st'!$BN$2:$BN$317),"")</f>
        <v>0</v>
      </c>
      <c r="KG33" s="7">
        <f>IFERROR(AVERAGEIF('Данные 2st'!$Q$2:$Q$317,$A33,'Данные 2st'!$BO$2:$BO$317),"")</f>
        <v>0</v>
      </c>
      <c r="KH33" s="7">
        <f>IFERROR(AVERAGEIF('Данные 2st'!$Q$2:$Q$317,$A33,'Данные 2st'!$BP$2:$BP$317),"")</f>
        <v>0</v>
      </c>
      <c r="KI33" s="7">
        <f>IFERROR(AVERAGEIF('Данные 2st'!$Q$2:$Q$317,$A33,'Данные 2st'!$BR$2:$BR$317),"")</f>
        <v>196.42857142857142</v>
      </c>
      <c r="KJ33" s="7">
        <f>IFERROR(AVERAGEIF('Данные 2st'!$Q$2:$Q$317,$A33,'Данные 2st'!$BS$2:$BS$317),"")</f>
        <v>186.42857142857142</v>
      </c>
      <c r="KK33" s="7">
        <f>IFERROR(AVERAGEIF('Данные 2st'!$Q$2:$Q$317,$A33,'Данные 2st'!$BT$2:$BT$317),"")</f>
        <v>1999.2857142857142</v>
      </c>
      <c r="KL33" s="7">
        <f>IFERROR(AVERAGEIF('Данные 2st'!$Q$2:$Q$317,$A33,'Данные 2st'!$CV$2:$CV$317),"")</f>
        <v>124.57142857142857</v>
      </c>
      <c r="KM33" s="7">
        <f>IFERROR(AVERAGEIF('Данные 2st'!$Q$2:$Q$317,$A33,'Данные 2st'!$CW$2:$CW$317),"")</f>
        <v>3</v>
      </c>
      <c r="KN33" s="7">
        <f>IFERROR(AVERAGEIF('Данные 2st'!$Q$2:$Q$317,$A33,'Данные 2st'!$CX$2:$CX$317),"")</f>
        <v>97.28571428571429</v>
      </c>
      <c r="KO33" s="7">
        <f>IFERROR(AVERAGEIF('Данные 2st'!$Q$2:$Q$317,$A33,'Данные 2st'!$CY$2:$CY$317),"")</f>
        <v>5</v>
      </c>
      <c r="KP33" s="7">
        <f>IFERROR(AVERAGEIF('Данные 2st'!$Q$2:$Q$317,$A33,'Данные 2st'!$CZ$2:$CZ$317),"")</f>
        <v>109.42857142857143</v>
      </c>
      <c r="KQ33" s="7">
        <f>IFERROR(AVERAGEIF('Данные 2st'!$Q$2:$Q$317,$A33,'Данные 2st'!$DA$2:$DA$317),"")</f>
        <v>5</v>
      </c>
      <c r="KR33" s="7">
        <f>IFERROR(AVERAGEIF('Данные 2st'!$Q$2:$Q$317,$A33,'Данные 2st'!$DB$2:$DB$317),"")</f>
        <v>10502.857142857143</v>
      </c>
      <c r="KS33" s="7">
        <f>IFERROR(AVERAGEIF('Данные 2st'!$Q$2:$Q$317,$A33,'Данные 2st'!$DC$2:$DC$317),"")</f>
        <v>292.85714285714283</v>
      </c>
      <c r="KT33" s="7">
        <f>IFERROR(AVERAGEIF('Данные 2st'!$Q$2:$Q$317,$A33,'Данные 2st'!$DD$2:$DD$317),"")</f>
        <v>302.2857142857143</v>
      </c>
      <c r="KU33" s="7">
        <f>IFERROR(AVERAGEIF('Данные 2st'!$Q$2:$Q$317,$A33,'Данные 2st'!$DE$2:$DE$317),"")</f>
        <v>2108.4285714285716</v>
      </c>
      <c r="KV33" s="7">
        <f>IFERROR(AVERAGEIF('Данные 2st'!$Q$2:$Q$317,$A33,'Данные 2st'!$DF$2:$DF$317),"")</f>
        <v>2108.4285714285716</v>
      </c>
      <c r="KW33" s="7">
        <f>IFERROR(AVERAGEIF('Данные 2st'!$Q$2:$Q$317,$A33,'Данные 2st'!$DG$2:$DG$317),"")</f>
        <v>2124.8571428571427</v>
      </c>
      <c r="KX33" s="7">
        <f>IFERROR(AVERAGEIF('Данные 2st'!$Q$2:$Q$317,$A33,'Данные 2st'!$DH$2:$DH$317),"")</f>
        <v>1.2857142857142858</v>
      </c>
      <c r="KY33" s="7">
        <f>IFERROR(AVERAGEIF('Данные 2st'!$Q$2:$Q$317,$A33,'Данные 2st'!$DI$2:$DI$317),"")</f>
        <v/>
      </c>
      <c r="KZ33" s="7">
        <f>IFERROR(AVERAGEIF('Данные 2st'!$Q$2:$Q$317,$A33,'Данные 2st'!$DK$2:$DK$317),"")</f>
        <v>196.42857142857142</v>
      </c>
      <c r="LA33" s="7">
        <f>IFERROR(AVERAGEIF('Данные 2st'!$Q$2:$Q$317,$A33,'Данные 2st'!$DM$2:$DM$317),"")</f>
        <v>63.57142857142857</v>
      </c>
      <c r="LB33" s="7">
        <f>IFERROR(AVERAGEIF('Данные 2st'!$Q$2:$Q$317,$A33,'Данные 2st'!$DN$2:$DN$317),"")</f>
        <v>0.84</v>
      </c>
      <c r="LC33" s="7">
        <f>IFERROR(AVERAGEIF('Данные 2st'!$Q$2:$Q$317,$A33,'Данные 2st'!$DO$2:$DO$317),"")</f>
        <v>1</v>
      </c>
      <c r="LD33" s="7">
        <f>IFERROR(AVERAGEIF('Данные 2st'!$Q$2:$Q$317,$A33,'Данные 2st'!$DP$2:$DP$317),"")</f>
        <v>2002.2857142857142</v>
      </c>
      <c r="LE33" s="7">
        <f>IFERROR(AVERAGEIF('Данные 2st'!$Q$2:$Q$317,$A33,'Данные 2st'!$DQ$2:$DQ$317),"")</f>
        <v>718.4285714285714</v>
      </c>
      <c r="LF33" s="7">
        <f>IFERROR(AVERAGEIF('Данные 2st'!$Q$2:$Q$317,$A33,'Данные 2st'!$DS$2:$DS$317),"")</f>
        <v>186.42857142857142</v>
      </c>
      <c r="LG33" s="7">
        <f>IFERROR(AVERAGEIF('Данные 2st'!$Q$2:$Q$317,$A33,'Данные 2st'!$DU$2:$DU$317),"")</f>
        <v>63.57142857142857</v>
      </c>
      <c r="LH33" s="7">
        <f>IFERROR(AVERAGEIF('Данные 2st'!$Q$2:$Q$317,$A33,'Данные 2st'!$DV$2:$DV$317),"")</f>
        <v>0.84</v>
      </c>
      <c r="LI33" s="7">
        <f>IFERROR(AVERAGEIF('Данные 2st'!$Q$2:$Q$317,$A33,'Данные 2st'!$DW$2:$DW$317),"")</f>
        <v>1</v>
      </c>
      <c r="LJ33" s="7">
        <f>IFERROR(AVERAGEIF('Данные 2st'!$Q$2:$Q$317,$A33,'Данные 2st'!$DX$2:$DX$317),"")</f>
        <v>2009.2857142857142</v>
      </c>
      <c r="LK33" s="7">
        <f>IFERROR(AVERAGEIF('Данные 2st'!$Q$2:$Q$317,$A33,'Данные 2st'!$DY$2:$DY$317),"")</f>
        <v>684.2857142857143</v>
      </c>
      <c r="LL33" s="7">
        <f>IFERROR(AVERAGEIF('Данные 2st'!$Q$2:$Q$317,$A33,'Данные 2st'!$EA$2:$EA$317),"")</f>
        <v>33</v>
      </c>
      <c r="LM33" s="7">
        <f>IFERROR(AVERAGEIF('Данные 2st'!$Q$2:$Q$317,$A33,'Данные 2st'!$EC$2:$EC$317),"")</f>
        <v>0.4</v>
      </c>
      <c r="LN33" s="7">
        <f>IFERROR(AVERAGEIF('Данные 2st'!$Q$2:$Q$317,$A33,'Данные 2st'!$ED$2:$ED$317),"")</f>
        <v>2002.2857142857142</v>
      </c>
      <c r="LO33" s="7">
        <f>IFERROR(AVERAGEIF('Данные 2st'!$Q$2:$Q$317,$A33,'Данные 2st'!$EE$2:$EE$317),"")</f>
        <v>58</v>
      </c>
      <c r="LP33" s="7">
        <f>IFERROR(AVERAGEIF('Данные 2st'!$Q$2:$Q$317,$A33,'Данные 2st'!$EG$2:$EG$317),"")</f>
        <v>33</v>
      </c>
      <c r="LQ33" s="7">
        <f>IFERROR(AVERAGEIF('Данные 2st'!$Q$2:$Q$317,$A33,'Данные 2st'!$EI$2:$EI$317),"")</f>
        <v>0.4</v>
      </c>
      <c r="LR33" s="7">
        <f>IFERROR(AVERAGEIF('Данные 2st'!$Q$2:$Q$317,$A33,'Данные 2st'!$EJ$2:$EJ$317),"")</f>
        <v>2009.2857142857142</v>
      </c>
      <c r="LS33" s="7">
        <f>IFERROR(AVERAGEIF('Данные 2st'!$Q$2:$Q$317,$A33,'Данные 2st'!$EK$2:$EK$317),"")</f>
        <v>58</v>
      </c>
      <c r="LT33" s="7">
        <f>IFERROR(AVERAGEIF('Данные 2st'!$Q$2:$Q$317,$A33,'Данные 2st'!$EM$2:$EM$317),"")</f>
        <v>12</v>
      </c>
      <c r="LU33" s="7">
        <f>IFERROR(AVERAGEIF('Данные 2st'!$Q$2:$Q$317,$A33,'Данные 2st'!$EN$2:$EN$317),"")</f>
        <v>0.5</v>
      </c>
      <c r="LV33" s="7">
        <f>IFERROR(AVERAGEIF('Данные 2st'!$Q$2:$Q$317,$A33,'Данные 2st'!$EO$2:$EO$317),"")</f>
        <v>0.9328571428571428</v>
      </c>
      <c r="LW33" s="7">
        <f>IFERROR(AVERAGEIF('Данные 2st'!$Q$2:$Q$317,$A33,'Данные 2st'!$EP$2:$EP$317),"")</f>
        <v>2009.8457142857142</v>
      </c>
      <c r="LX33" s="7">
        <f>IFERROR(AVERAGEIF('Данные 2st'!$Q$2:$Q$317,$A33,'Данные 2st'!$EQ$2:$EQ$317),"")</f>
        <v>33557.23</v>
      </c>
      <c r="LY33" s="7">
        <f>IFERROR(AVERAGEIF('Данные 2st'!$Q$2:$Q$317,$A33,'Данные 2st'!$ER$2:$ER$317),"")</f>
        <v>9201.711428571429</v>
      </c>
      <c r="LZ33" s="7">
        <f>IFERROR(AVERAGEIF('Данные 2st'!$Q$2:$Q$317,$A33,'Данные 2st'!$ES$2:$ES$317),"")</f>
        <v>0</v>
      </c>
      <c r="MA33" s="7">
        <f>IFERROR(AVERAGEIF('Данные 2st'!$Q$2:$Q$317,$A33,'Данные 2st'!$ET$2:$ET$317),"")</f>
        <v>0</v>
      </c>
      <c r="MB33" s="7">
        <f>IFERROR(AVERAGEIF('Данные 2st'!$Q$2:$Q$317,$A33,'Данные 2st'!$EU$2:$EU$317),"")</f>
        <v>1</v>
      </c>
      <c r="MC33" s="7">
        <f>IFERROR(AVERAGEIF('Данные 2st'!$Q$2:$Q$317,$A33,'Данные 2st'!$EV$2:$EV$317),"")</f>
        <v>42759.42857142857</v>
      </c>
      <c r="MD33" s="7">
        <f>IFERROR(AVERAGEIF('Данные 2st'!$Q$2:$Q$317,$A33,'Данные 2st'!$EW$2:$EW$317),"")</f>
        <v>502.14285714285717</v>
      </c>
      <c r="ME33" s="7">
        <f>IFERROR(AVERAGEIF('Данные 2st'!$Q$2:$Q$317,$A33,'Данные 2st'!$EY$2:$EY$317),"")</f>
        <v>215.14285714285714</v>
      </c>
      <c r="MF33" s="7">
        <f>IFERROR(AVERAGEIF('Данные 2st'!$Q$2:$Q$317,$A33,'Данные 2st'!$FA$2:$FA$317),"")</f>
        <v>5.1571428571428575</v>
      </c>
      <c r="MG33" s="7">
        <f>IFERROR(AVERAGEIF('Данные 2st'!$Q$2:$Q$317,$A33,'Данные 2st'!$FB$2:$FB$317),"")</f>
        <v>1</v>
      </c>
      <c r="MH33" s="7">
        <f>IFERROR(AVERAGEIF('Данные 2st'!$Q$2:$Q$317,$A33,'Данные 2st'!$FC$2:$FC$317),"")</f>
        <v>1</v>
      </c>
      <c r="MI33" s="7">
        <f>IFERROR(AVERAGEIF('Данные 2st'!$Q$2:$Q$317,$A33,'Данные 2st'!$FD$2:$FD$317),"")</f>
        <v>2043.142857142857</v>
      </c>
      <c r="MJ33" s="7">
        <f>IFERROR(AVERAGEIF('Данные 2st'!$Q$2:$Q$317,$A33,'Данные 2st'!$FE$2:$FE$317),"")</f>
        <v>2461.4285714285716</v>
      </c>
      <c r="MK33" s="7">
        <f>IFERROR(AVERAGEIF('Данные 2st'!$Q$2:$Q$317,$A33,'Данные 2st'!$FG$2:$FG$317),"")</f>
        <v>215.14285714285714</v>
      </c>
      <c r="ML33" s="7">
        <f>IFERROR(AVERAGEIF('Данные 2st'!$Q$2:$Q$317,$A33,'Данные 2st'!$FI$2:$FI$317),"")</f>
        <v>2.9857142857142858</v>
      </c>
      <c r="MM33" s="7">
        <f>IFERROR(AVERAGEIF('Данные 2st'!$Q$2:$Q$317,$A33,'Данные 2st'!$FJ$2:$FJ$317),"")</f>
        <v>2043.142857142857</v>
      </c>
      <c r="MN33" s="7">
        <f>IFERROR(AVERAGEIF('Данные 2st'!$Q$2:$Q$317,$A33,'Данные 2st'!$FK$2:$FK$317),"")</f>
        <v>1492.2857142857142</v>
      </c>
      <c r="MO33" s="7">
        <f>IFERROR(AVERAGEIF('Данные 2st'!$Q$2:$Q$317,$A33,'Данные 2st'!$FP$2:$FP$317),"")</f>
        <v>2043.142857142857</v>
      </c>
      <c r="MP33" s="7">
        <f>IFERROR(AVERAGEIF('Данные 2st'!$Q$2:$Q$317,$A33,'Данные 2st'!$FQ$2:$FQ$317),"")</f>
        <v>156.57142857142858</v>
      </c>
      <c r="MQ33" s="7">
        <f>IFERROR(AVERAGEIF('Данные 2st'!$Q$2:$Q$317,$A33,'Данные 2st'!$FS$2:$FS$317),"")</f>
        <v>219.14285714285714</v>
      </c>
      <c r="MR33" s="7">
        <f>IFERROR(AVERAGEIF('Данные 2st'!$Q$2:$Q$317,$A33,'Данные 2st'!$FU$2:$FU$317),"")</f>
        <v>0.4</v>
      </c>
      <c r="MS33" s="7">
        <f>IFERROR(AVERAGEIF('Данные 2st'!$Q$2:$Q$317,$A33,'Данные 2st'!$FV$2:$FV$317),"")</f>
        <v>2043.142857142857</v>
      </c>
      <c r="MT33" s="7">
        <f>IFERROR(AVERAGEIF('Данные 2st'!$Q$2:$Q$317,$A33,'Данные 2st'!$FW$2:$FW$317),"")</f>
        <v>199.14285714285714</v>
      </c>
      <c r="MU33" s="7">
        <f>IFERROR(AVERAGEIF('Данные 2st'!$Q$2:$Q$317,$A33,'Данные 2st'!$FY$2:$FY$317),"")</f>
        <v>5</v>
      </c>
      <c r="MV33" s="7">
        <f>IFERROR(AVERAGEIF('Данные 2st'!$Q$2:$Q$317,$A33,'Данные 2st'!$GB$2:$GB$317),"")</f>
        <v>2043.142857142857</v>
      </c>
      <c r="MW33" s="7">
        <f>IFERROR(AVERAGEIF('Данные 2st'!$Q$2:$Q$317,$A33,'Данные 2st'!$GC$2:$GC$317),"")</f>
        <v>19.857142857142858</v>
      </c>
      <c r="MX33" s="7">
        <f>IFERROR(AVERAGEIF('Данные 2st'!$Q$2:$Q$317,$A33,'Данные 2st'!$GD$2:$GD$317),"")</f>
        <v>4329.285714285715</v>
      </c>
      <c r="MY33" s="7">
        <f>IFERROR(AVERAGEIF('Данные 2st'!$Q$2:$Q$317,$A33,'Данные 2st'!$GN$2:$GN$317),"")</f>
        <v/>
      </c>
      <c r="MZ33" s="7">
        <f>IFERROR(AVERAGEIF('Данные 2st'!$Q$2:$Q$317,$A33,'Данные 2st'!$GQ$2:$GQ$317),"")</f>
        <v>0</v>
      </c>
      <c r="NA33" s="7">
        <f>IFERROR(AVERAGEIF('Данные 2st'!$Q$2:$Q$317,$A33,'Данные 2st'!$GV$2:$GV$317),"")</f>
        <v>8.542857142857143</v>
      </c>
      <c r="NB33" s="7">
        <f>IFERROR(AVERAGEIF('Данные 2st'!$Q$2:$Q$317,$A33,'Данные 2st'!$GW$2:$GW$317),"")</f>
        <v>10.428571428571429</v>
      </c>
      <c r="NC33" s="7">
        <f>IFERROR(AVERAGEIF('Данные 2st'!$Q$2:$Q$317,$A33,'Данные 2st'!$GX$2:$GX$317),"")</f>
        <v>0.5</v>
      </c>
      <c r="ND33" s="7">
        <f>IFERROR(AVERAGEIF('Данные 2st'!$Q$2:$Q$317,$A33,'Данные 2st'!$GY$2:$GY$317),"")</f>
        <v>186.28571428571428</v>
      </c>
      <c r="NE33" s="7">
        <f>IFERROR(AVERAGEIF('Данные 2st'!$Q$2:$Q$317,$A33,'Данные 2st'!$GZ$2:$GZ$317),"")</f>
        <v>3</v>
      </c>
      <c r="NF33" s="7">
        <f>IFERROR(AVERAGEIF('Данные 2st'!$Q$2:$Q$317,$A33,'Данные 2st'!$HA$2:$HA$317),"")</f>
        <v>233.71428571428572</v>
      </c>
      <c r="NG33" s="7">
        <f>IFERROR(AVERAGEIF('Данные 2st'!$Q$2:$Q$317,$A33,'Данные 2st'!$HB$2:$HB$317),"")</f>
        <v>3</v>
      </c>
      <c r="NH33" s="7">
        <f>IFERROR(AVERAGEIF('Данные 2st'!$Q$2:$Q$317,$A33,'Данные 2st'!$HC$2:$HC$317),"")</f>
        <v>2043.142857142857</v>
      </c>
      <c r="NI33" s="7">
        <f>IFERROR(AVERAGEIF('Данные 2st'!$Q$2:$Q$317,$A33,'Данные 2st'!$HD$2:$HD$317),"")</f>
        <v>4</v>
      </c>
      <c r="NJ33" s="7">
        <f>IFERROR(AVERAGEIF('Данные 2st'!$Q$2:$Q$317,$A33,'Данные 2st'!$HM$2:$HM$317),"")</f>
        <v>19</v>
      </c>
      <c r="NK33" s="7">
        <f>IFERROR(AVERAGEIF('Данные 2st'!$Q$2:$Q$317,$A33,'Данные 2st'!$HR$2:$HR$317),"")</f>
        <v>2.2857142857142856</v>
      </c>
      <c r="NL33" s="7">
        <f>IFERROR(AVERAGEIF('Данные 2st'!$Q$2:$Q$317,$A33,'Данные 2st'!$HS$2:$HS$317),"")</f>
        <v>1999.2857142857142</v>
      </c>
      <c r="NM33" s="7">
        <f>IFERROR(AVERAGEIF('Данные 2st'!$Q$2:$Q$317,$A33,'Данные 2st'!$HT$2:$HT$317),"")</f>
        <v>5</v>
      </c>
      <c r="NN33" s="7">
        <f>IFERROR(AVERAGEIF('Данные 2st'!$Q$2:$Q$317,$A33,'Данные 2st'!$HY$2:$HY$317),"")</f>
        <v>0</v>
      </c>
      <c r="NO33" s="7">
        <f>IFERROR(AVERAGEIF('Данные 2st'!$Q$2:$Q$317,$A33,'Данные 2st'!$HZ$2:$HZ$317),"")</f>
        <v>63.57142857142857</v>
      </c>
      <c r="NP33" s="7">
        <f>IFERROR(AVERAGEIF('Данные 2st'!$Q$2:$Q$317,$A33,'Данные 2st'!$IA$2:$IA$317),"")</f>
        <v>2002.2857142857142</v>
      </c>
      <c r="NQ33" s="7">
        <f>IFERROR(AVERAGEIF('Данные 2st'!$Q$2:$Q$317,$A33,'Данные 2st'!$IB$2:$IB$317),"")</f>
        <v>2009.2857142857142</v>
      </c>
      <c r="NR33" s="7">
        <f>IFERROR(AVERAGEIF('Данные 2st'!$Q$2:$Q$317,$A33,'Данные 2st'!$IC$2:$IC$317),"")</f>
        <v/>
      </c>
      <c r="NS33" s="7">
        <f>IFERROR(AVERAGEIF('Данные 2st'!$Q$2:$Q$317,$A33,'Данные 2st'!$ID$2:$ID$317),"")</f>
        <v>2043.142857142857</v>
      </c>
      <c r="NT33" s="7">
        <f>IFERROR(AVERAGEIF('Данные 2st'!$Q$2:$Q$317,$A33,'Данные 2st'!$IE$2:$IE$317),"")</f>
        <v>2043.142857142857</v>
      </c>
      <c r="NU33" s="7">
        <f>IFERROR(AVERAGEIF('Данные 2st'!$Q$2:$Q$317,$A33,'Данные 2st'!$IF$2:$IF$317),"")</f>
        <v>196.42857142857142</v>
      </c>
      <c r="NV33" s="7">
        <f>IFERROR(AVERAGEIF('Данные 2st'!$Q$2:$Q$317,$A33,'Данные 2st'!$IG$2:$IG$317),"")</f>
        <v>186.42857142857142</v>
      </c>
      <c r="NW33" s="7">
        <f>IFERROR(AVERAGEIF('Данные 2st'!$Q$2:$Q$317,$A33,'Данные 2st'!$IH$2:$IH$317),"")</f>
        <v>233.71428571428572</v>
      </c>
      <c r="NX33" s="7">
        <f>IFERROR(AVERAGEIF('Данные 2st'!$Q$2:$Q$317,$A33,'Данные 2st'!$IJ$2:$IJ$317),"")</f>
        <v>5.714285714285714</v>
      </c>
      <c r="NY33" s="7">
        <f>IFERROR(AVERAGEIF('Данные 2st'!$Q$2:$Q$317,$A33,'Данные 2st'!$IM$2:$IM$317),"")</f>
        <v>0</v>
      </c>
      <c r="NZ33" s="7">
        <f>IFERROR(AVERAGEIF('Данные 2st'!$Q$2:$Q$317,$A33,'Данные 2st'!$IN$2:$IN$317),"")</f>
        <v>247.14285714285714</v>
      </c>
      <c r="OA33" s="7">
        <f>IFERROR(AVERAGEIF('Данные 2st'!$Q$2:$Q$317,$A33,'Данные 2st'!$IO$2:$IO$317),"")</f>
        <v>0</v>
      </c>
      <c r="OB33" s="7">
        <f>IFERROR(AVERAGEIF('Данные 2st'!$Q$2:$Q$317,$A33,'Данные 2st'!$IP$2:$IP$317),"")</f>
        <v>180</v>
      </c>
      <c r="OC33" s="7">
        <f>IFERROR(AVERAGEIF('Данные 2st'!$Q$2:$Q$317,$A33,'Данные 2st'!$IQ$2:$IQ$317),"")</f>
        <v>0</v>
      </c>
      <c r="OD33" s="7">
        <f>IFERROR(AVERAGEIF('Данные 2st'!$Q$2:$Q$317,$A33,'Данные 2st'!$IR$2:$IR$317),"")</f>
        <v>329.2857142857143</v>
      </c>
      <c r="OE33" s="7">
        <f>IFERROR(AVERAGEIF('Данные 2st'!$Q$2:$Q$317,$A33,'Данные 2st'!$IT$2:$IT$317),"")</f>
        <v>90</v>
      </c>
      <c r="OF33" s="7">
        <f>IFERROR(AVERAGEIF('Данные 2st'!$Q$2:$Q$317,$A33,'Данные 2st'!$IU$2:$IU$317),"")</f>
        <v>0</v>
      </c>
      <c r="OG33" s="7">
        <f>IFERROR(AVERAGEIF('Данные 2st'!$Q$2:$Q$317,$A33,'Данные 2st'!$IV$2:$IV$317),"")</f>
        <v>6.4</v>
      </c>
      <c r="OH33" s="7">
        <f>IFERROR(AVERAGEIF('Данные 2st'!$Q$2:$Q$317,$A33,'Данные 2st'!$IW$2:$IW$317),"")</f>
        <v>-6</v>
      </c>
      <c r="OI33" s="7">
        <f>IFERROR(AVERAGEIF('Данные 2st'!$Q$2:$Q$317,$A33,'Данные 2st'!$IX$2:$IX$317),"")</f>
        <v>100.85714285714286</v>
      </c>
      <c r="OJ33" s="7">
        <f>IFERROR(AVERAGEIF('Данные 2st'!$Q$2:$Q$317,$A33,'Данные 2st'!$IY$2:$IY$317),"")</f>
        <v>71.64285714285714</v>
      </c>
      <c r="OK33" s="7">
        <f>IFERROR(AVERAGEIF('Данные 2st'!$Q$2:$Q$317,$A33,'Данные 2st'!$IZ$2:$IZ$317),"")</f>
        <v>0</v>
      </c>
      <c r="OL33" s="7">
        <f>IFERROR(AVERAGEIF('Данные 2st'!$Q$2:$Q$317,$A33,'Данные 2st'!$JA$2:$JA$317),"")</f>
        <v>0</v>
      </c>
      <c r="OM33" s="7">
        <f>IFERROR(AVERAGEIF('Данные 2st'!$Q$2:$Q$317,$A33,'Данные 2st'!$JB$2:$JB$317),"")</f>
        <v>0</v>
      </c>
      <c r="ON33" s="7">
        <f>IFERROR(AVERAGEIF('Данные 2st'!$Q$2:$Q$317,$A33,'Данные 2st'!$JC$2:$JC$317),"")</f>
        <v>0</v>
      </c>
      <c r="OO33" s="7">
        <f>IFERROR(AVERAGEIF('Данные 2st'!$Q$2:$Q$317,$A33,'Данные 2st'!$JD$2:$JD$317),"")</f>
        <v>0</v>
      </c>
      <c r="OP33" s="7">
        <f>IFERROR(AVERAGEIF('Данные 2st'!$Q$2:$Q$317,$A33,'Данные 2st'!$JE$2:$JE$317),"")</f>
        <v>0</v>
      </c>
      <c r="OQ33" s="7">
        <f>IFERROR(AVERAGEIF('Данные 2st'!$Q$2:$Q$317,$A33,'Данные 2st'!$JF$2:$JF$317),"")</f>
        <v>0</v>
      </c>
      <c r="OR33" s="7">
        <f>IFERROR(AVERAGEIF('Данные 2st'!$Q$2:$Q$317,$A33,'Данные 2st'!$JG$2:$JG$317),"")</f>
        <v>0</v>
      </c>
      <c r="OS33" s="7">
        <f>IFERROR(AVERAGEIF('Данные 2st'!$Q$2:$Q$317,$A33,'Данные 2st'!$JH$2:$JH$317),"")</f>
        <v>0</v>
      </c>
      <c r="OT33" s="7">
        <f>IFERROR(AVERAGEIF('Данные 2st'!$Q$2:$Q$317,$A33,'Данные 2st'!$JI$2:$JI$317),"")</f>
        <v>335.14285714285717</v>
      </c>
      <c r="OU33" s="7">
        <f>IFERROR(AVERAGEIF('Данные 2st'!$Q$2:$Q$317,$A33,'Данные 2st'!$JJ$2:$JJ$317),"")</f>
        <v>311.14285714285717</v>
      </c>
      <c r="OV33" s="7">
        <f>IFERROR(AVERAGEIF('Данные 2st'!$Q$2:$Q$317,$A33,'Данные 2st'!$JK$2:$JK$317),"")</f>
        <v>235</v>
      </c>
      <c r="OW33" s="7">
        <f>IFERROR(AVERAGEIF('Данные 2st'!$Q$2:$Q$317,$A33,'Данные 2st'!$JL$2:$JL$317),"")</f>
        <v>306.57142857142856</v>
      </c>
      <c r="OX33" s="7">
        <f>IFERROR(AVERAGEIF('Данные 2st'!$Q$2:$Q$317,$A33,'Данные 2st'!$JM$2:$JM$317),"")</f>
        <v>245.42857142857142</v>
      </c>
      <c r="OY33" s="7">
        <f>IFERROR(AVERAGEIF('Данные 2st'!$Q$2:$Q$317,$A33,'Данные 2st'!$JP$2:$JP$317),"")</f>
        <v>208.28571428571428</v>
      </c>
      <c r="OZ33" s="7">
        <f>IFERROR(AVERAGEIF('Данные 2st'!$Q$2:$Q$317,$A33,'Данные 2st'!$JQ$2:$JQ$317),"")</f>
        <v>247.71428571428572</v>
      </c>
      <c r="PA33" s="7">
        <f>IFERROR(AVERAGEIF('Данные 2st'!$Q$2:$Q$317,$A33,'Данные 2st'!$JR$2:$JR$317),"")</f>
        <v>295.42857142857144</v>
      </c>
      <c r="PB33" s="7">
        <f>IFERROR(AVERAGEIF('Данные 2st'!$Q$2:$Q$317,$A33,'Данные 2st'!$JS$2:$JS$317),"")</f>
        <v>265.85714285714283</v>
      </c>
      <c r="PC33" s="7">
        <f>IFERROR(AVERAGEIF('Данные 2st'!$Q$2:$Q$317,$A33,'Данные 2st'!$JT$2:$JT$317),"")</f>
        <v>0</v>
      </c>
      <c r="PD33" s="7">
        <f>IFERROR(AVERAGEIF('Данные 2st'!$Q$2:$Q$317,$A33,'Данные 2st'!$JU$2:$JU$317),"")</f>
        <v>0</v>
      </c>
      <c r="PE33" s="7">
        <f>IFERROR(AVERAGEIF('Данные 2st'!$Q$2:$Q$317,$A33,'Данные 2st'!$JV$2:$JV$317),"")</f>
        <v>286.14285714285717</v>
      </c>
      <c r="PF33" s="7">
        <f>IFERROR(AVERAGEIF('Данные 2st'!$Q$2:$Q$317,$A33,'Данные 2st'!$JW$2:$JW$317),"")</f>
        <v>305.7142857142857</v>
      </c>
      <c r="PG33" s="7">
        <f>IFERROR(AVERAGEIF('Данные 2st'!$Q$2:$Q$317,$A33,'Данные 2st'!$KF$2:$KF$317),"")</f>
        <v>0.19999999999999998</v>
      </c>
      <c r="PH33" s="7">
        <f>IFERROR(AVERAGEIF('Данные 2st'!$Q$2:$Q$317,$A33,'Данные 2st'!$KG$2:$KG$317),"")</f>
        <v>0.10714285714285715</v>
      </c>
      <c r="PI33" s="7">
        <f>IFERROR(AVERAGEIF('Данные 2st'!$Q$2:$Q$317,$A33,'Данные 2st'!$KM$2:$KM$317),"")</f>
        <v>0.21428571428571427</v>
      </c>
      <c r="PJ33" s="7">
        <f>IFERROR(AVERAGEIF('Данные 2st'!$Q$2:$Q$317,$A33,'Данные 2st'!$KN$2:$KN$317),"")</f>
        <v>1.6857142857142857</v>
      </c>
      <c r="PK33" s="7">
        <f>IFERROR(AVERAGEIF('Данные 2st'!$Q$2:$Q$317,$A33,'Данные 2st'!$KO$2:$KO$317),"")</f>
        <v>0</v>
      </c>
      <c r="PL33" s="7">
        <f>IFERROR(AVERAGEIF('Данные 2st'!$Q$2:$Q$317,$A33,'Данные 2st'!$KP$2:$KP$317),"")</f>
        <v>0</v>
      </c>
      <c r="PM33" s="7">
        <f>IFERROR(AVERAGEIF('Данные 2st'!$Q$2:$Q$317,$A33,'Данные 2st'!$KQ$2:$KQ$317),"")</f>
        <v>0.7571428571428571</v>
      </c>
      <c r="PN33" s="7">
        <f>IFERROR(AVERAGEIF('Данные 2st'!$Q$2:$Q$317,$A33,'Данные 2st'!$KR$2:$KR$317),"")</f>
        <v>0.7857142857142857</v>
      </c>
      <c r="PO33" s="7">
        <f>IFERROR(AVERAGEIF('Данные 2st'!$Q$2:$Q$317,$A33,'Данные 2st'!$KS$2:$KS$317),"")</f>
        <v>0</v>
      </c>
      <c r="PP33" s="7">
        <f>IFERROR(AVERAGEIF('Данные 2st'!$Q$2:$Q$317,$A33,'Данные 2st'!$KT$2:$KT$317),"")</f>
        <v>2.2285714285714286</v>
      </c>
      <c r="PQ33" s="7">
        <f>IFERROR(AVERAGEIF('Данные 2st'!$Q$2:$Q$317,$A33,'Данные 2st'!$KU$2:$KU$317),"")</f>
        <v>0</v>
      </c>
      <c r="PR33" s="7">
        <f>IFERROR(AVERAGEIF('Данные 2st'!$Q$2:$Q$317,$A33,'Данные 2st'!$KV$2:$KV$317),"")</f>
        <v>0</v>
      </c>
      <c r="PS33" s="7">
        <f>IFERROR(AVERAGEIF('Данные 2st'!$Q$2:$Q$317,$A33,'Данные 2st'!$KW$2:$KW$317),"")</f>
        <v>1.1714285714285715</v>
      </c>
      <c r="PT33" s="7">
        <f>IFERROR(AVERAGEIF('Данные 2st'!$Q$2:$Q$317,$A33,'Данные 2st'!$KX$2:$KX$317),"")</f>
        <v>1.5714285714285714</v>
      </c>
      <c r="PU33" s="7">
        <f>IFERROR(AVERAGEIF('Данные 2st'!$Q$2:$Q$317,$A33,'Данные 2st'!$KY$2:$KY$317),"")</f>
        <v>0.14285714285714285</v>
      </c>
      <c r="PV33" s="7">
        <f>IFERROR(AVERAGEIF('Данные 2st'!$Q$2:$Q$317,$A33,'Данные 2st'!$KZ$2:$KZ$317),"")</f>
        <v>0</v>
      </c>
      <c r="PW33" s="7">
        <f>IFERROR(AVERAGEIF('Данные 2st'!$Q$2:$Q$317,$A33,'Данные 2st'!$LA$2:$LA$317),"")</f>
        <v>0</v>
      </c>
      <c r="PX33" s="7">
        <f>IFERROR(AVERAGEIF('Данные 2st'!$Q$2:$Q$317,$A33,'Данные 2st'!$LB$2:$LB$317),"")</f>
        <v>0</v>
      </c>
      <c r="PY33" s="7">
        <f>IFERROR(AVERAGEIF('Данные 2st'!$Q$2:$Q$317,$A33,'Данные 2st'!$LC$2:$LC$317),"")</f>
        <v>0</v>
      </c>
      <c r="PZ33" s="7">
        <f>IFERROR(AVERAGEIF('Данные 2st'!$Q$2:$Q$317,$A33,'Данные 2st'!$LD$2:$LD$317),"")</f>
        <v>0</v>
      </c>
      <c r="QA33" s="7">
        <f>IFERROR(AVERAGEIF('Данные 2st'!$Q$2:$Q$317,$A33,'Данные 2st'!$LE$2:$LE$317),"")</f>
        <v>0</v>
      </c>
      <c r="QB33" s="7">
        <f>IFERROR(AVERAGEIF('Данные 2st'!$Q$2:$Q$317,$A33,'Данные 2st'!$LF$2:$LF$317),"")</f>
        <v>0</v>
      </c>
      <c r="QC33" s="7">
        <f>IFERROR(AVERAGEIF('Данные 2st'!$Q$2:$Q$317,$A33,'Данные 2st'!$LG$2:$LG$317),"")</f>
        <v>0</v>
      </c>
      <c r="QD33" s="7">
        <f>IFERROR(AVERAGEIF('Данные 2st'!$Q$2:$Q$317,$A33,'Данные 2st'!$LH$2:$LH$317),"")</f>
        <v>3</v>
      </c>
      <c r="QE33" s="7">
        <f>IFERROR(AVERAGEIF('Данные 2st'!$Q$2:$Q$317,$A33,'Данные 2st'!$LJ$2:$LJ$317),"")</f>
        <v>0</v>
      </c>
      <c r="QF33" s="7">
        <f>IFERROR(AVERAGEIF('Данные 2st'!$Q$2:$Q$317,$A33,'Данные 2st'!$LK$2:$LK$317),"")</f>
        <v>6.714285714285714</v>
      </c>
      <c r="QG33" s="7">
        <f>IFERROR(AVERAGEIF('Данные 2st'!$Q$2:$Q$317,$A33,'Данные 2st'!$LL$2:$LL$317),"")</f>
        <v>6.285714285714286</v>
      </c>
      <c r="QH33" s="7">
        <f>IFERROR(AVERAGEIF('Данные 2st'!$Q$2:$Q$317,$A33,'Данные 2st'!$LM$2:$LM$317),"")</f>
        <v>7.857142857142857</v>
      </c>
      <c r="QI33" s="7">
        <f>IFERROR(AVERAGEIF('Данные 2st'!$Q$2:$Q$317,$A33,'Данные 2st'!$LN$2:$LN$317),"")</f>
        <v>0.4142857142857143</v>
      </c>
      <c r="QJ33" s="7">
        <f>IFERROR(AVERAGEIF('Данные 2st'!$Q$2:$Q$317,$A33,'Данные 2st'!$LO$2:$LO$317),"")</f>
        <v>1.4</v>
      </c>
      <c r="QK33" s="7">
        <f>IFERROR(AVERAGEIF('Данные 2st'!$Q$2:$Q$317,$A33,'Данные 2st'!$LP$2:$LP$317),"")</f>
        <v>0</v>
      </c>
      <c r="QL33" s="7">
        <f>IFERROR(AVERAGEIF('Данные 2st'!$Q$2:$Q$317,$A33,'Данные 2st'!$LQ$2:$LQ$317),"")</f>
        <v>0</v>
      </c>
      <c r="QM33" s="7">
        <f>IFERROR(AVERAGEIF('Данные 2st'!$Q$2:$Q$317,$A33,'Данные 2st'!$LW$2:$LW$317),"")</f>
        <v>1.9142857142857144</v>
      </c>
      <c r="QN33" s="7">
        <f>IFERROR(AVERAGEIF('Данные 2st'!$Q$2:$Q$317,$A33,'Данные 2st'!$LX$2:$LX$317),"")</f>
        <v>1.9142857142857144</v>
      </c>
      <c r="QO33" s="7">
        <f>IFERROR(AVERAGEIF('Данные 2st'!$Q$2:$Q$317,$A33,'Данные 2st'!$LY$2:$LY$317),"")</f>
        <v>2.314285714285714</v>
      </c>
      <c r="QP33" s="7">
        <f>IFERROR(AVERAGEIF('Данные 2st'!$Q$2:$Q$317,$A33,'Данные 2st'!$LZ$2:$LZ$317),"")</f>
        <v>2.314285714285714</v>
      </c>
      <c r="QQ33" s="7">
        <f>IFERROR(AVERAGEIF('Данные 2st'!$Q$2:$Q$317,$A33,'Данные 2st'!$MB$2:$MB$317),"")</f>
        <v>3.357142857142857</v>
      </c>
      <c r="QR33" s="7">
        <f>IFERROR(AVERAGEIF('Данные 2st'!$Q$2:$Q$317,$A33,'Данные 2st'!$MG$2:$MG$317),"")</f>
        <v>0</v>
      </c>
      <c r="QS33" s="7">
        <f>IFERROR(AVERAGEIF('Данные 2st'!$Q$2:$Q$317,$A33,'Данные 2st'!$MH$2:$MH$317),"")</f>
        <v>0</v>
      </c>
      <c r="QT33" s="7">
        <f>IFERROR(AVERAGEIF('Данные 2st'!$Q$2:$Q$317,$A33,'Данные 2st'!$MI$2:$MI$317),"")</f>
        <v>0</v>
      </c>
      <c r="QU33" s="7">
        <f>IFERROR(AVERAGEIF('Данные 2st'!$Q$2:$Q$317,$A33,'Данные 2st'!$MJ$2:$MJ$317),"")</f>
        <v>0</v>
      </c>
      <c r="QV33" s="7">
        <f>IFERROR(AVERAGEIF('Данные 2st'!$Q$2:$Q$317,$A33,'Данные 2st'!$MK$2:$MK$317),"")</f>
        <v>0</v>
      </c>
      <c r="QW33" s="7">
        <f>IFERROR(AVERAGEIF('Данные 2st'!$Q$2:$Q$317,$A33,'Данные 2st'!$MM$2:$MM$317),"")</f>
        <v>371.7142857142857</v>
      </c>
      <c r="QX33" s="7">
        <f>IFERROR(AVERAGEIF('Данные 2st'!$Q$2:$Q$317,$A33,'Данные 2st'!$MQ$2:$MQ$317),"")</f>
        <v/>
      </c>
      <c r="QY33" s="7">
        <f>IFERROR(AVERAGEIF('Данные 2st'!$Q$2:$Q$317,$A33,'Данные 2st'!$MR$2:$MR$317),"")</f>
        <v/>
      </c>
      <c r="QZ33" s="7">
        <f>IFERROR(AVERAGEIF('Данные 2st'!$Q$2:$Q$317,$A33,'Данные 2st'!$MS$2:$MS$317),"")</f>
        <v/>
      </c>
      <c r="RA33" s="7">
        <f>IFERROR(AVERAGEIF('Данные 2st'!$Q$2:$Q$317,$A33,'Данные 2st'!$MT$2:$MT$317),"")</f>
        <v/>
      </c>
      <c r="RB33" s="7">
        <f>IFERROR(AVERAGEIF('Данные 2st'!$Q$2:$Q$317,$A33,'Данные 2st'!$MU$2:$MU$317),"")</f>
        <v/>
      </c>
      <c r="RC33" s="7">
        <f>IFERROR(AVERAGEIF('Данные 2st'!$Q$2:$Q$317,$A33,'Данные 2st'!$MV$2:$MV$317),"")</f>
        <v/>
      </c>
      <c r="RD33" s="7">
        <f>IFERROR(AVERAGEIF('Данные 2st'!$Q$2:$Q$317,$A33,'Данные 2st'!$MW$2:$MW$317),"")</f>
        <v/>
      </c>
      <c r="RE33" s="7">
        <f>IFERROR(AVERAGEIF('Данные 2st'!$Q$2:$Q$317,$A33,'Данные 2st'!$MX$2:$MX$317),"")</f>
        <v/>
      </c>
      <c r="RF33" s="7">
        <f>IFERROR(AVERAGEIF('Данные 2st'!$Q$2:$Q$317,$A33,'Данные 2st'!$MY$2:$MY$317),"")</f>
        <v/>
      </c>
      <c r="RG33" s="7">
        <f>IFERROR(AVERAGEIF('Данные 2st'!$Q$2:$Q$317,$A33,'Данные 2st'!$MZ$2:$MZ$317),"")</f>
        <v/>
      </c>
      <c r="RH33" s="7">
        <f>IFERROR(AVERAGEIF('Данные 2st'!$Q$2:$Q$317,$A33,'Данные 2st'!$NA$2:$NA$317),"")</f>
        <v/>
      </c>
      <c r="RI33" s="7">
        <f>IFERROR(AVERAGEIF('Данные 2st'!$Q$2:$Q$317,$A33,'Данные 2st'!$NB$2:$NB$317),"")</f>
        <v/>
      </c>
      <c r="RJ33" s="7">
        <f>IFERROR(AVERAGEIF('Данные 2st'!$Q$2:$Q$317,$A33,'Данные 2st'!$NC$2:$NC$317),"")</f>
        <v/>
      </c>
      <c r="RK33" s="7">
        <f>IFERROR(AVERAGEIF('Данные 2st'!$Q$2:$Q$317,$A33,'Данные 2st'!$ND$2:$ND$317),"")</f>
        <v/>
      </c>
      <c r="RL33" s="7">
        <f>IFERROR(AVERAGEIF('Данные 2st'!$Q$2:$Q$317,$A33,'Данные 2st'!$NE$2:$NE$317),"")</f>
        <v/>
      </c>
      <c r="RM33" s="7">
        <f>IFERROR(AVERAGEIF('Данные 2st'!$Q$2:$Q$317,$A33,'Данные 2st'!$NF$2:$NF$317),"")</f>
        <v/>
      </c>
      <c r="RN33" s="7">
        <f>IFERROR(AVERAGEIF('Данные 2st'!$Q$2:$Q$317,$A33,'Данные 2st'!$NG$2:$NG$317),"")</f>
        <v/>
      </c>
      <c r="RO33" s="7">
        <f>IFERROR(AVERAGEIF('Данные 2st'!$Q$2:$Q$317,$A33,'Данные 2st'!$NH$2:$NH$317),"")</f>
        <v/>
      </c>
      <c r="RP33" s="7">
        <f>IFERROR(AVERAGEIF('Данные 2st'!$Q$2:$Q$317,$A33,'Данные 2st'!$NJ$2:$NJ$317),"")</f>
        <v/>
      </c>
      <c r="RQ33" s="7">
        <f>IFERROR(AVERAGEIF('Данные 2st'!$Q$2:$Q$317,$A33,'Данные 2st'!$NK$2:$NK$317),"")</f>
        <v/>
      </c>
      <c r="RR33" s="7">
        <f>IFERROR(AVERAGEIF('Данные 2st'!$Q$2:$Q$317,$A33,'Данные 2st'!$NM$2:$NM$317),"")</f>
        <v/>
      </c>
      <c r="RS33" s="7">
        <f>IFERROR(AVERAGEIF('Данные 2st'!$Q$2:$Q$317,$A33,'Данные 2st'!$NN$2:$NN$317),"")</f>
        <v/>
      </c>
      <c r="RT33" s="7">
        <f>IFERROR(AVERAGEIF('Данные 2st'!$Q$2:$Q$317,$A33,'Данные 2st'!$NO$2:$NO$317),"")</f>
        <v/>
      </c>
      <c r="RU33" s="7">
        <f>IFERROR(AVERAGEIF('Данные 2st'!$Q$2:$Q$317,$A33,'Данные 2st'!$NP$2:$NP$317),"")</f>
        <v/>
      </c>
      <c r="RV33" s="7">
        <f>IFERROR(AVERAGEIF('Данные 2st'!$Q$2:$Q$317,$A33,'Данные 2st'!$NQ$2:$NQ$317),"")</f>
        <v/>
      </c>
      <c r="RW33" s="7">
        <f>IFERROR(AVERAGEIF('Данные 2st'!$Q$2:$Q$317,$A33,'Данные 2st'!$NR$2:$NR$317),"")</f>
        <v/>
      </c>
      <c r="RX33" s="7">
        <f>IFERROR(AVERAGEIF('Данные 2st'!$Q$2:$Q$317,$A33,'Данные 2st'!$NS$2:$NS$317),"")</f>
        <v/>
      </c>
      <c r="RY33" s="7">
        <f>IFERROR(AVERAGEIF('Данные 2st'!$Q$2:$Q$317,$A33,'Данные 2st'!$NT$2:$NT$317),"")</f>
        <v/>
      </c>
      <c r="RZ33" s="7">
        <f>IFERROR(AVERAGEIF('Данные 2st'!$Q$2:$Q$317,$A33,'Данные 2st'!$OK$2:$OK$317),"")</f>
        <v>61</v>
      </c>
      <c r="SA33" s="7">
        <f>IFERROR(AVERAGEIF('Данные 2st'!$Q$2:$Q$317,$A33,'Данные 2st'!$OL$2:$OL$317),"")</f>
        <v>61</v>
      </c>
      <c r="SB33" s="7">
        <f>IFERROR(AVERAGEIF('Данные 2st'!$Q$2:$Q$317,$A33,'Данные 2st'!$ON$2:$ON$317),"")</f>
        <v>2.7142857142857144</v>
      </c>
      <c r="SC33" s="7">
        <f>IFERROR(AVERAGEIF('Данные 2st'!$Q$2:$Q$317,$A33,'Данные 2st'!$OO$2:$OO$317),"")</f>
        <v>2002.2857142857142</v>
      </c>
      <c r="SD33" s="7">
        <f>IFERROR(AVERAGEIF('Данные 2st'!$Q$2:$Q$317,$A33,'Данные 2st'!$OP$2:$OP$317),"")</f>
        <v>61</v>
      </c>
      <c r="SE33" s="7">
        <f>IFERROR(AVERAGEIF('Данные 2st'!$Q$2:$Q$317,$A33,'Данные 2st'!$OQ$2:$OQ$317),"")</f>
        <v>61</v>
      </c>
      <c r="SF33" s="7">
        <f>IFERROR(AVERAGEIF('Данные 2st'!$Q$2:$Q$317,$A33,'Данные 2st'!$OS$2:$OS$317),"")</f>
        <v>2.7142857142857144</v>
      </c>
      <c r="SG33" s="7">
        <f>IFERROR(AVERAGEIF('Данные 2st'!$Q$2:$Q$317,$A33,'Данные 2st'!$OT$2:$OT$317),"")</f>
        <v>2009.2857142857142</v>
      </c>
      <c r="SH33" s="7">
        <f>IFERROR(AVERAGEIF('Данные 2st'!$Q$2:$Q$317,$A33,'Данные 2st'!$OU$2:$OU$317),"")</f>
        <v>65</v>
      </c>
      <c r="SI33" s="7">
        <f>IFERROR(AVERAGEIF('Данные 2st'!$Q$2:$Q$317,$A33,'Данные 2st'!$OV$2:$OV$317),"")</f>
        <v>65</v>
      </c>
      <c r="SJ33" s="7">
        <f>IFERROR(AVERAGEIF('Данные 2st'!$Q$2:$Q$317,$A33,'Данные 2st'!$OX$2:$OX$317),"")</f>
        <v>1.5714285714285714</v>
      </c>
      <c r="SK33" s="7">
        <f>IFERROR(AVERAGEIF('Данные 2st'!$Q$2:$Q$317,$A33,'Данные 2st'!$OY$2:$OY$317),"")</f>
        <v>42759.42857142857</v>
      </c>
      <c r="SL33" s="7">
        <f>IFERROR(AVERAGEIF('Данные 2st'!$Q$2:$Q$317,$A33,'Данные 2st'!$OZ$2:$OZ$317),"")</f>
        <v>51</v>
      </c>
      <c r="SM33" s="7">
        <f>IFERROR(AVERAGEIF('Данные 2st'!$Q$2:$Q$317,$A33,'Данные 2st'!$PA$2:$PA$317),"")</f>
        <v>51.57142857142857</v>
      </c>
      <c r="SN33" s="7">
        <f>IFERROR(AVERAGEIF('Данные 2st'!$Q$2:$Q$317,$A33,'Данные 2st'!$PC$2:$PC$317),"")</f>
        <v>1.5714285714285714</v>
      </c>
      <c r="SO33" s="7">
        <f>IFERROR(AVERAGEIF('Данные 2st'!$Q$2:$Q$317,$A33,'Данные 2st'!$PD$2:$PD$317),"")</f>
        <v>2043.142857142857</v>
      </c>
      <c r="SP33" s="7">
        <f>IFERROR(AVERAGEIF('Данные 2st'!$Q$2:$Q$317,$A33,'Данные 2st'!$PF$2:$PF$317),"")</f>
        <v>358.85714285714283</v>
      </c>
      <c r="SQ33" s="7">
        <f>IFERROR(AVERAGEIF('Данные 2st'!$Q$2:$Q$317,$A33,'Данные 2st'!$PG$2:$PG$317),"")</f>
        <v>29</v>
      </c>
      <c r="SR33" s="7">
        <f>IFERROR(AVERAGEIF('Данные 2st'!$Q$2:$Q$317,$A33,'Данные 2st'!$PH$2:$PH$317),"")</f>
        <v>340.57142857142856</v>
      </c>
      <c r="SS33" s="7">
        <f>IFERROR(AVERAGEIF('Данные 2st'!$Q$2:$Q$317,$A33,'Данные 2st'!$PI$2:$PI$317),"")</f>
        <v>29</v>
      </c>
      <c r="ST33" s="7">
        <f>IFERROR(AVERAGEIF('Данные 2st'!$Q$2:$Q$317,$A33,'Данные 2st'!$PJ$2:$PJ$317),"")</f>
        <v>76.65714285714286</v>
      </c>
      <c r="SU33" s="7">
        <f>IFERROR(AVERAGEIF('Данные 2st'!$Q$2:$Q$317,$A33,'Данные 2st'!$PK$2:$PK$317),"")</f>
        <v>2143.4285714285716</v>
      </c>
      <c r="SV33" s="7">
        <f>IFERROR(AVERAGEIF('Данные 2st'!$Q$2:$Q$317,$A33,'Данные 2st'!$PL$2:$PL$317),"")</f>
        <v>1204.942857142857</v>
      </c>
      <c r="SW33" s="7">
        <f>IFERROR(AVERAGEIF('Данные 2st'!$Q$2:$Q$317,$A33,'Данные 2st'!$PM$2:$PM$317),"")</f>
        <v>730.3857142857142</v>
      </c>
      <c r="SX33" s="7">
        <f>IFERROR(AVERAGEIF('Данные 2st'!$Q$2:$Q$317,$A33,'Данные 2st'!$PN$2:$PN$317),"")</f>
        <v>97.47142857142858</v>
      </c>
      <c r="SY33" s="7">
        <f>IFERROR(AVERAGEIF('Данные 2st'!$Q$2:$Q$317,$A33,'Данные 2st'!$PO$2:$PO$317),"")</f>
        <v>9.728571428571428</v>
      </c>
      <c r="SZ33" s="7">
        <f>IFERROR(AVERAGEIF('Данные 2st'!$Q$2:$Q$317,$A33,'Данные 2st'!$PP$2:$PP$317),"")</f>
        <v>11.714285714285714</v>
      </c>
      <c r="TA33" s="7">
        <f>IFERROR(AVERAGEIF('Данные 2st'!$Q$2:$Q$317,$A33,'Данные 2st'!$PQ$2:$PQ$317),"")</f>
        <v>3</v>
      </c>
      <c r="TB33" s="7">
        <f>IFERROR(AVERAGEIF('Данные 2st'!$Q$2:$Q$317,$A33,'Данные 2st'!$PR$2:$PR$317),"")</f>
        <v>3</v>
      </c>
      <c r="TC33" s="7">
        <f>IFERROR(AVERAGEIF('Данные 2st'!$Q$2:$Q$317,$A33,'Данные 2st'!$PS$2:$PS$317),"")</f>
        <v>6.857142857142857</v>
      </c>
      <c r="TD33" s="7">
        <f>IFERROR(AVERAGEIF('Данные 2st'!$Q$2:$Q$317,$A33,'Данные 2st'!$PT$2:$PT$317),"")</f>
        <v>233.71428571428572</v>
      </c>
      <c r="TE33" s="7">
        <f>IFERROR(AVERAGEIF('Данные 2st'!$Q$2:$Q$317,$A33,'Данные 2st'!$PU$2:$PU$317),"")</f>
        <v>9.285714285714286</v>
      </c>
      <c r="TF33" s="7">
        <f>IFERROR(AVERAGEIF('Данные 2st'!$Q$2:$Q$317,$A33,'Данные 2st'!$PX$2:$PX$317),"")</f>
        <v>0</v>
      </c>
      <c r="TG33" s="7">
        <f>IFERROR(AVERAGEIF('Данные 2st'!$Q$2:$Q$317,$A33,'Данные 2st'!$PY$2:$PY$317),"")</f>
        <v>0</v>
      </c>
      <c r="TH33" s="7">
        <f>IFERROR(AVERAGEIF('Данные 2st'!$Q$2:$Q$317,$A33,'Данные 2st'!$PZ$2:$PZ$317),"")</f>
        <v>0</v>
      </c>
      <c r="TI33" s="7">
        <f>IFERROR(AVERAGEIF('Данные 2st'!$Q$2:$Q$317,$A33,'Данные 2st'!$QA$2:$QA$317),"")</f>
        <v>0</v>
      </c>
      <c r="TJ33" s="7">
        <f>IFERROR(AVERAGEIF('Данные 2st'!$Q$2:$Q$317,$A33,'Данные 2st'!$QB$2:$QB$317),"")</f>
        <v>0</v>
      </c>
      <c r="TK33" s="7">
        <f>IFERROR(AVERAGEIF('Данные 2st'!$Q$2:$Q$317,$A33,'Данные 2st'!$QC$2:$QC$317),"")</f>
        <v>0</v>
      </c>
      <c r="TL33" s="7">
        <f>IFERROR(AVERAGEIF('Данные 2st'!$Q$2:$Q$317,$A33,'Данные 2st'!$QD$2:$QD$317),"")</f>
        <v>0</v>
      </c>
      <c r="TM33" s="7">
        <f>IFERROR(AVERAGEIF('Данные 2st'!$Q$2:$Q$317,$A33,'Данные 2st'!$QE$2:$QE$317),"")</f>
        <v>-1</v>
      </c>
      <c r="TN33" s="7">
        <f>IFERROR(AVERAGEIF('Данные 2st'!$Q$2:$Q$317,$A33,'Данные 2st'!$QF$2:$QF$317),"")</f>
        <v>1</v>
      </c>
      <c r="TO33" s="7">
        <f>IFERROR(AVERAGEIF('Данные 2st'!$Q$2:$Q$317,$A33,'Данные 2st'!$QG$2:$QG$317),"")</f>
        <v>0</v>
      </c>
      <c r="TP33" s="7">
        <f>IFERROR(AVERAGEIF('Данные 2st'!$Q$2:$Q$317,$A33,'Данные 2st'!$QH$2:$QH$317),"")</f>
        <v>5</v>
      </c>
      <c r="TQ33" s="7">
        <f>IFERROR(AVERAGEIF('Данные 2st'!$Q$2:$Q$317,$A33,'Данные 2st'!$QI$2:$QI$317),"")</f>
        <v>5</v>
      </c>
      <c r="TR33" s="7">
        <f>IFERROR(AVERAGEIF('Данные 2st'!$Q$2:$Q$317,$A33,'Данные 2st'!$QJ$2:$QJ$317),"")</f>
        <v>5</v>
      </c>
      <c r="TS33" s="7">
        <f>IFERROR(AVERAGEIF('Данные 2st'!$Q$2:$Q$317,$A33,'Данные 2st'!$QK$2:$QK$317),"")</f>
        <v>183.42857142857142</v>
      </c>
      <c r="TT33" s="7">
        <f>IFERROR(AVERAGEIF('Данные 2st'!$Q$2:$Q$317,$A33,'Данные 2st'!$QL$2:$QL$317),"")</f>
        <v>365.14285714285717</v>
      </c>
      <c r="TU33" s="7">
        <f>IFERROR(AVERAGEIF('Данные 2st'!$Q$2:$Q$317,$A33,'Данные 2st'!$QM$2:$QM$317),"")</f>
        <v>7.5</v>
      </c>
      <c r="TV33" s="7">
        <f>IFERROR(AVERAGEIF('Данные 2st'!$Q$2:$Q$317,$A33,'Данные 2st'!$QN$2:$QN$317),"")</f>
        <v>1540.4428571428573</v>
      </c>
      <c r="TW33" s="7">
        <f>IFERROR(AVERAGEIF('Данные 2st'!$Q$2:$Q$317,$A33,'Данные 2st'!$QQ$2:$QQ$317),"")</f>
        <v>0</v>
      </c>
      <c r="TX33" s="7">
        <f>IFERROR(AVERAGEIF('Данные 2st'!$Q$2:$Q$317,$A33,'Данные 2st'!$QS$2:$QS$317),"")</f>
        <v>40</v>
      </c>
      <c r="TY33" s="7">
        <f>IFERROR(AVERAGEIF('Данные 2st'!$Q$2:$Q$317,$A33,'Данные 2st'!$QT$2:$QT$317),"")</f>
        <v>50</v>
      </c>
    </row>
    <row r="34" spans="1:545" ht="32" customHeight="1">
      <c r="A34" s="11" t="s">
        <v>1126</v>
      </c>
      <c r="B34">
        <f>COUNTIF('Данные 1st'!$S$2:$S$317,$A34)</f>
        <v>5</v>
      </c>
      <c r="C34" s="6" t="s">
        <v>5099</v>
      </c>
      <c r="D34" s="6" t="s">
        <v>513</v>
      </c>
      <c r="E34" s="6" t="s">
        <v>5125</v>
      </c>
      <c r="F34" s="6" t="s">
        <v>5155</v>
      </c>
      <c r="G34" s="7">
        <f>IFERROR(AVERAGEIF('Данные 1st'!$S$2:$S$317,$A34,'Данные 1st'!$AE$2:$AE$317),"")</f>
        <v>177.4</v>
      </c>
      <c r="H34" s="7">
        <f>IFERROR(AVERAGEIF('Данные 1st'!$S$2:$S$317,$A34,'Данные 1st'!$AF$2:$AF$317),"")</f>
        <v>1.5</v>
      </c>
      <c r="I34" s="7">
        <f>IFERROR(AVERAGEIF('Данные 1st'!$S$2:$S$317,$A34,'Данные 1st'!$AJ$2:$AJ$317),"")</f>
        <v>189.5</v>
      </c>
      <c r="J34" s="7">
        <f>IFERROR(AVERAGEIF('Данные 1st'!$S$2:$S$317,$A34,'Данные 1st'!$AL$2:$AL$317),"")</f>
        <v>1.5</v>
      </c>
      <c r="K34" s="7">
        <f>IFERROR(AVERAGEIF('Данные 1st'!$S$2:$S$317,$A34,'Данные 1st'!$AR$2:$AR$317),"")</f>
        <v>0</v>
      </c>
      <c r="L34" s="7">
        <f>IFERROR(AVERAGEIF('Данные 1st'!$S$2:$S$317,$A34,'Данные 1st'!$AS$2:$AS$317),"")</f>
        <v>1.5</v>
      </c>
      <c r="M34" s="7">
        <f>IFERROR(AVERAGEIF('Данные 1st'!$S$2:$S$317,$A34,'Данные 1st'!$AY$2:$AY$317),"")</f>
        <v>276.5</v>
      </c>
      <c r="N34" s="7">
        <f>IFERROR(AVERAGEIF('Данные 1st'!$S$2:$S$317,$A34,'Данные 1st'!$AZ$2:$AZ$317),"")</f>
        <v>1.5</v>
      </c>
      <c r="O34" s="7">
        <f>IFERROR(AVERAGEIF('Данные 1st'!$S$2:$S$317,$A34,'Данные 1st'!$BF$2:$BF$317),"")</f>
        <v/>
      </c>
      <c r="P34" s="7">
        <f>IFERROR(AVERAGEIF('Данные 1st'!$S$2:$S$317,$A34,'Данные 1st'!$BG$2:$BG$317),"")</f>
        <v>1.5</v>
      </c>
      <c r="Q34" s="7">
        <f>IFERROR(AVERAGEIF('Данные 1st'!$S$2:$S$317,$A34,'Данные 1st'!$BM$2:$BM$317),"")</f>
        <v/>
      </c>
      <c r="R34" s="7">
        <f>IFERROR(AVERAGEIF('Данные 1st'!$S$2:$S$317,$A34,'Данные 1st'!$BN$2:$BN$317),"")</f>
        <v>1.5</v>
      </c>
      <c r="S34" s="7">
        <f>IFERROR(AVERAGEIF('Данные 1st'!$S$2:$S$317,$A34,'Данные 1st'!$BT$2:$BT$317),"")</f>
        <v>199.8</v>
      </c>
      <c r="T34" s="7">
        <f>IFERROR(AVERAGEIF('Данные 1st'!$S$2:$S$317,$A34,'Данные 1st'!$BU$2:$BU$317),"")</f>
        <v>0.5</v>
      </c>
      <c r="U34" s="7">
        <f>IFERROR(AVERAGEIF('Данные 1st'!$S$2:$S$317,$A34,'Данные 1st'!$BW$2:$BW$317),"")</f>
        <v>399.6</v>
      </c>
      <c r="V34" s="7">
        <f>IFERROR(AVERAGEIF('Данные 1st'!$S$2:$S$317,$A34,'Данные 1st'!$BX$2:$BX$317),"")</f>
        <v>1</v>
      </c>
      <c r="W34" s="7">
        <f>IFERROR(AVERAGEIF('Данные 1st'!$S$2:$S$317,$A34,'Данные 1st'!$BZ$2:$BZ$317),"")</f>
        <v>300</v>
      </c>
      <c r="X34" s="7">
        <f>IFERROR(AVERAGEIF('Данные 1st'!$S$2:$S$317,$A34,'Данные 1st'!$CA$2:$CA$317),"")</f>
        <v>456</v>
      </c>
      <c r="Y34" s="7">
        <f>IFERROR(AVERAGEIF('Данные 1st'!$S$2:$S$317,$A34,'Данные 1st'!$CD$2:$CD$317),"")</f>
        <v>398.8</v>
      </c>
      <c r="Z34" s="7">
        <f>IFERROR(AVERAGEIF('Данные 1st'!$S$2:$S$317,$A34,'Данные 1st'!$CF$2:$CF$317),"")</f>
        <v>15</v>
      </c>
      <c r="AA34" s="7">
        <f>IFERROR(AVERAGEIF('Данные 1st'!$S$2:$S$317,$A34,'Данные 1st'!$CI$2:$CI$317),"")</f>
        <v>78</v>
      </c>
      <c r="AB34" s="7">
        <f>IFERROR(AVERAGEIF('Данные 1st'!$S$2:$S$317,$A34,'Данные 1st'!$CJ$2:$CJ$317),"")</f>
        <v>1301</v>
      </c>
      <c r="AC34" s="7">
        <f>IFERROR(AVERAGEIF('Данные 1st'!$S$2:$S$317,$A34,'Данные 1st'!$CK$2:$CK$317),"")</f>
        <v>2</v>
      </c>
      <c r="AD34" s="7">
        <f>IFERROR(AVERAGEIF('Данные 1st'!$S$2:$S$317,$A34,'Данные 1st'!$CL$2:$CL$317),"")</f>
        <v>1395</v>
      </c>
      <c r="AE34" s="7">
        <f>IFERROR(AVERAGEIF('Данные 1st'!$S$2:$S$317,$A34,'Данные 1st'!$CM$2:$CM$317),"")</f>
        <v>2</v>
      </c>
      <c r="AF34" s="7">
        <f>IFERROR(AVERAGEIF('Данные 1st'!$S$2:$S$317,$A34,'Данные 1st'!$CT$2:$CT$317),"")</f>
        <v>379</v>
      </c>
      <c r="AG34" s="7">
        <f>IFERROR(AVERAGEIF('Данные 1st'!$S$2:$S$317,$A34,'Данные 1st'!$CU$2:$CU$317),"")</f>
        <v>5</v>
      </c>
      <c r="AH34" s="7">
        <f>IFERROR(AVERAGEIF('Данные 1st'!$S$2:$S$317,$A34,'Данные 1st'!$CV$2:$CV$317),"")</f>
        <v>1.2</v>
      </c>
      <c r="AI34" s="7">
        <f>IFERROR(AVERAGEIF('Данные 1st'!$S$2:$S$317,$A34,'Данные 1st'!$CW$2:$CW$317),"")</f>
        <v>1314</v>
      </c>
      <c r="AJ34" s="7">
        <f>IFERROR(AVERAGEIF('Данные 1st'!$S$2:$S$317,$A34,'Данные 1st'!$CX$2:$CX$317),"")</f>
        <v>705.2</v>
      </c>
      <c r="AK34" s="7">
        <f>IFERROR(AVERAGEIF('Данные 1st'!$S$2:$S$317,$A34,'Данные 1st'!$CZ$2:$CZ$317),"")</f>
        <v/>
      </c>
      <c r="AL34" s="7">
        <f>IFERROR(AVERAGEIF('Данные 1st'!$S$2:$S$317,$A34,'Данные 1st'!$DA$2:$DA$317),"")</f>
        <v/>
      </c>
      <c r="AM34" s="7">
        <f>IFERROR(AVERAGEIF('Данные 1st'!$S$2:$S$317,$A34,'Данные 1st'!$DB$2:$DB$317),"")</f>
        <v/>
      </c>
      <c r="AN34" s="7">
        <f>IFERROR(AVERAGEIF('Данные 1st'!$S$2:$S$317,$A34,'Данные 1st'!$DC$2:$DC$317),"")</f>
        <v/>
      </c>
      <c r="AO34" s="7">
        <f>IFERROR(AVERAGEIF('Данные 1st'!$S$2:$S$317,$A34,'Данные 1st'!$DD$2:$DD$317),"")</f>
        <v>0</v>
      </c>
      <c r="AP34" s="7">
        <f>IFERROR(AVERAGEIF('Данные 1st'!$S$2:$S$317,$A34,'Данные 1st'!$DF$2:$DF$317),"")</f>
        <v>553</v>
      </c>
      <c r="AQ34" s="7">
        <f>IFERROR(AVERAGEIF('Данные 1st'!$S$2:$S$317,$A34,'Данные 1st'!$DG$2:$DG$317),"")</f>
        <v>3</v>
      </c>
      <c r="AR34" s="7">
        <f>IFERROR(AVERAGEIF('Данные 1st'!$S$2:$S$317,$A34,'Данные 1st'!$DH$2:$DH$317),"")</f>
        <v>1.196</v>
      </c>
      <c r="AS34" s="7">
        <f>IFERROR(AVERAGEIF('Данные 1st'!$S$2:$S$317,$A34,'Данные 1st'!$DI$2:$DI$317),"")</f>
        <v>1312</v>
      </c>
      <c r="AT34" s="7">
        <f>IFERROR(AVERAGEIF('Данные 1st'!$S$2:$S$317,$A34,'Данные 1st'!$DJ$2:$DJ$317),"")</f>
        <v>1181</v>
      </c>
      <c r="AU34" s="7">
        <f>IFERROR(AVERAGEIF('Данные 1st'!$S$2:$S$317,$A34,'Данные 1st'!$DL$2:$DL$317),"")</f>
        <v/>
      </c>
      <c r="AV34" s="7">
        <f>IFERROR(AVERAGEIF('Данные 1st'!$S$2:$S$317,$A34,'Данные 1st'!$DM$2:$DM$317),"")</f>
        <v/>
      </c>
      <c r="AW34" s="7">
        <f>IFERROR(AVERAGEIF('Данные 1st'!$S$2:$S$317,$A34,'Данные 1st'!$DN$2:$DN$317),"")</f>
        <v/>
      </c>
      <c r="AX34" s="7">
        <f>IFERROR(AVERAGEIF('Данные 1st'!$S$2:$S$317,$A34,'Данные 1st'!$DO$2:$DO$317),"")</f>
        <v/>
      </c>
      <c r="AY34" s="7">
        <f>IFERROR(AVERAGEIF('Данные 1st'!$S$2:$S$317,$A34,'Данные 1st'!$DP$2:$DP$317),"")</f>
        <v/>
      </c>
      <c r="AZ34" s="7">
        <f>IFERROR(AVERAGEIF('Данные 1st'!$S$2:$S$317,$A34,'Данные 1st'!$DR$2:$DR$317),"")</f>
        <v/>
      </c>
      <c r="BA34" s="7">
        <f>IFERROR(AVERAGEIF('Данные 1st'!$S$2:$S$317,$A34,'Данные 1st'!$DS$2:$DS$317),"")</f>
        <v/>
      </c>
      <c r="BB34" s="7">
        <f>IFERROR(AVERAGEIF('Данные 1st'!$S$2:$S$317,$A34,'Данные 1st'!$DT$2:$DT$317),"")</f>
        <v/>
      </c>
      <c r="BC34" s="7">
        <f>IFERROR(AVERAGEIF('Данные 1st'!$S$2:$S$317,$A34,'Данные 1st'!$DU$2:$DU$317),"")</f>
        <v/>
      </c>
      <c r="BD34" s="7">
        <f>IFERROR(AVERAGEIF('Данные 1st'!$S$2:$S$317,$A34,'Данные 1st'!$DV$2:$DV$317),"")</f>
        <v/>
      </c>
      <c r="BE34" s="7">
        <f>IFERROR(AVERAGEIF('Данные 1st'!$S$2:$S$317,$A34,'Данные 1st'!$DX$2:$DX$317),"")</f>
        <v>7.5</v>
      </c>
      <c r="BF34" s="7">
        <f>IFERROR(AVERAGEIF('Данные 1st'!$S$2:$S$317,$A34,'Данные 1st'!$EA$2:$EA$317),"")</f>
        <v>1381.0800000000002</v>
      </c>
      <c r="BG34" s="7">
        <f>IFERROR(AVERAGEIF('Данные 1st'!$S$2:$S$317,$A34,'Данные 1st'!$EB$2:$EB$317),"")</f>
        <v>248</v>
      </c>
      <c r="BH34" s="7">
        <f>IFERROR(AVERAGEIF('Данные 1st'!$S$2:$S$317,$A34,'Данные 1st'!$ED$2:$ED$317),"")</f>
        <v>30</v>
      </c>
      <c r="BI34" s="7">
        <f>IFERROR(AVERAGEIF('Данные 1st'!$S$2:$S$317,$A34,'Данные 1st'!$EE$2:$EE$317),"")</f>
        <v>3</v>
      </c>
      <c r="BJ34" s="7">
        <f>IFERROR(AVERAGEIF('Данные 1st'!$S$2:$S$317,$A34,'Данные 1st'!$EG$2:$EG$317),"")</f>
        <v>1421.8</v>
      </c>
      <c r="BK34" s="7">
        <f>IFERROR(AVERAGEIF('Данные 1st'!$S$2:$S$317,$A34,'Данные 1st'!$EH$2:$EH$317),"")</f>
        <v>171.2</v>
      </c>
      <c r="BL34" s="7">
        <f>IFERROR(AVERAGEIF('Данные 1st'!$S$2:$S$317,$A34,'Данные 1st'!$EJ$2:$EJ$317),"")</f>
        <v>0</v>
      </c>
      <c r="BM34" s="7">
        <f>IFERROR(AVERAGEIF('Данные 1st'!$S$2:$S$317,$A34,'Данные 1st'!$EK$2:$EK$317),"")</f>
        <v>1</v>
      </c>
      <c r="BN34" s="7">
        <f>IFERROR(AVERAGEIF('Данные 1st'!$S$2:$S$317,$A34,'Данные 1st'!$EN$2:$EN$317),"")</f>
        <v>0</v>
      </c>
      <c r="BO34" s="7">
        <f>IFERROR(AVERAGEIF('Данные 1st'!$S$2:$S$317,$A34,'Данные 1st'!$EQ$2:$EQ$317),"")</f>
        <v>87</v>
      </c>
      <c r="BP34" s="7">
        <f>IFERROR(AVERAGEIF('Данные 1st'!$S$2:$S$317,$A34,'Данные 1st'!$ER$2:$ER$317),"")</f>
        <v>3</v>
      </c>
      <c r="BQ34" s="7">
        <f>IFERROR(AVERAGEIF('Данные 1st'!$S$2:$S$317,$A34,'Данные 1st'!$ES$2:$ES$317),"")</f>
        <v>5.1</v>
      </c>
      <c r="BR34" s="7">
        <f>IFERROR(AVERAGEIF('Данные 1st'!$S$2:$S$317,$A34,'Данные 1st'!$ET$2:$ET$317),"")</f>
        <v>1295.6</v>
      </c>
      <c r="BS34" s="7">
        <f>IFERROR(AVERAGEIF('Данные 1st'!$S$2:$S$317,$A34,'Данные 1st'!$EU$2:$EU$317),"")</f>
        <v>363.68</v>
      </c>
      <c r="BT34" s="7">
        <f>IFERROR(AVERAGEIF('Данные 1st'!$S$2:$S$317,$A34,'Данные 1st'!$EV$2:$EV$317),"")</f>
        <v>471.4</v>
      </c>
      <c r="BU34" s="7">
        <f>IFERROR(AVERAGEIF('Данные 1st'!$S$2:$S$317,$A34,'Данные 1st'!$EX$2:$EX$317),"")</f>
        <v>70</v>
      </c>
      <c r="BV34" s="7">
        <f>IFERROR(AVERAGEIF('Данные 1st'!$S$2:$S$317,$A34,'Данные 1st'!$EY$2:$EY$317),"")</f>
        <v>2</v>
      </c>
      <c r="BW34" s="7">
        <f>IFERROR(AVERAGEIF('Данные 1st'!$S$2:$S$317,$A34,'Данные 1st'!$EZ$2:$EZ$317),"")</f>
        <v>4.52</v>
      </c>
      <c r="BX34" s="7">
        <f>IFERROR(AVERAGEIF('Данные 1st'!$S$2:$S$317,$A34,'Данные 1st'!$FA$2:$FA$317),"")</f>
        <v>1295.6</v>
      </c>
      <c r="BY34" s="7">
        <f>IFERROR(AVERAGEIF('Данные 1st'!$S$2:$S$317,$A34,'Данные 1st'!$FB$2:$FB$317),"")</f>
        <v>218.5</v>
      </c>
      <c r="BZ34" s="7">
        <f>IFERROR(AVERAGEIF('Данные 1st'!$S$2:$S$317,$A34,'Данные 1st'!$FC$2:$FC$317),"")</f>
        <v>283</v>
      </c>
      <c r="CA34" s="7">
        <f>IFERROR(AVERAGEIF('Данные 1st'!$S$2:$S$317,$A34,'Данные 1st'!$FE$2:$FE$317),"")</f>
        <v>0</v>
      </c>
      <c r="CB34" s="7">
        <f>IFERROR(AVERAGEIF('Данные 1st'!$S$2:$S$317,$A34,'Данные 1st'!$FF$2:$FF$317),"")</f>
        <v>2</v>
      </c>
      <c r="CC34" s="7">
        <f>IFERROR(AVERAGEIF('Данные 1st'!$S$2:$S$317,$A34,'Данные 1st'!$FI$2:$FI$317),"")</f>
        <v>0</v>
      </c>
      <c r="CD34" s="7">
        <f>IFERROR(AVERAGEIF('Данные 1st'!$S$2:$S$317,$A34,'Данные 1st'!$FL$2:$FL$317),"")</f>
        <v>0.4</v>
      </c>
      <c r="CE34" s="7">
        <f>IFERROR(AVERAGEIF('Данные 1st'!$S$2:$S$317,$A34,'Данные 1st'!$FM$2:$FM$317),"")</f>
        <v>82</v>
      </c>
      <c r="CF34" s="7">
        <f>IFERROR(AVERAGEIF('Данные 1st'!$S$2:$S$317,$A34,'Данные 1st'!$FN$2:$FN$317),"")</f>
        <v>145.2</v>
      </c>
      <c r="CG34" s="7">
        <f>IFERROR(AVERAGEIF('Данные 1st'!$S$2:$S$317,$A34,'Данные 1st'!$FO$2:$FO$317),"")</f>
        <v/>
      </c>
      <c r="CH34" s="7">
        <f>IFERROR(AVERAGEIF('Данные 1st'!$S$2:$S$317,$A34,'Данные 1st'!$FP$2:$FP$317),"")</f>
        <v/>
      </c>
      <c r="CI34" s="7">
        <f>IFERROR(AVERAGEIF('Данные 1st'!$S$2:$S$317,$A34,'Данные 1st'!$FS$2:$FS$317),"")</f>
        <v>0.4</v>
      </c>
      <c r="CJ34" s="7">
        <f>IFERROR(AVERAGEIF('Данные 1st'!$S$2:$S$317,$A34,'Данные 1st'!$FT$2:$FT$317),"")</f>
        <v>30</v>
      </c>
      <c r="CK34" s="7">
        <f>IFERROR(AVERAGEIF('Данные 1st'!$S$2:$S$317,$A34,'Данные 1st'!$FU$2:$FU$317),"")</f>
        <v>366</v>
      </c>
      <c r="CL34" s="7">
        <f>IFERROR(AVERAGEIF('Данные 1st'!$S$2:$S$317,$A34,'Данные 1st'!$FV$2:$FV$317),"")</f>
        <v>57.5</v>
      </c>
      <c r="CM34" s="7">
        <f>IFERROR(AVERAGEIF('Данные 1st'!$S$2:$S$317,$A34,'Данные 1st'!$FW$2:$FW$317),"")</f>
        <v>185</v>
      </c>
      <c r="CN34" s="7">
        <f>IFERROR(AVERAGEIF('Данные 1st'!$S$2:$S$317,$A34,'Данные 1st'!$FZ$2:$FZ$317),"")</f>
        <v>1.3</v>
      </c>
      <c r="CO34" s="7">
        <f>IFERROR(AVERAGEIF('Данные 1st'!$S$2:$S$317,$A34,'Данные 1st'!$GA$2:$GA$317),"")</f>
        <v>20</v>
      </c>
      <c r="CP34" s="7">
        <f>IFERROR(AVERAGEIF('Данные 1st'!$S$2:$S$317,$A34,'Данные 1st'!$GB$2:$GB$317),"")</f>
        <v>176</v>
      </c>
      <c r="CQ34" s="7">
        <f>IFERROR(AVERAGEIF('Данные 1st'!$S$2:$S$317,$A34,'Данные 1st'!$GH$2:$GH$317),"")</f>
        <v>1.3</v>
      </c>
      <c r="CR34" s="7">
        <f>IFERROR(AVERAGEIF('Данные 1st'!$S$2:$S$317,$A34,'Данные 1st'!$GI$2:$GI$317),"")</f>
        <v>20</v>
      </c>
      <c r="CS34" s="7">
        <f>IFERROR(AVERAGEIF('Данные 1st'!$S$2:$S$317,$A34,'Данные 1st'!$GJ$2:$GJ$317),"")</f>
        <v>176</v>
      </c>
      <c r="CT34" s="7">
        <f>IFERROR(AVERAGEIF('Данные 1st'!$S$2:$S$317,$A34,'Данные 1st'!$GS$2:$GS$317),"")</f>
        <v/>
      </c>
      <c r="CU34" s="7">
        <f>IFERROR(AVERAGEIF('Данные 1st'!$S$2:$S$317,$A34,'Данные 1st'!$GT$2:$GT$317),"")</f>
        <v/>
      </c>
      <c r="CV34" s="7">
        <f>IFERROR(AVERAGEIF('Данные 1st'!$S$2:$S$317,$A34,'Данные 1st'!$GU$2:$GU$317),"")</f>
        <v/>
      </c>
      <c r="CW34" s="7">
        <f>IFERROR(AVERAGEIF('Данные 1st'!$S$2:$S$317,$A34,'Данные 1st'!$GV$2:$GV$317),"")</f>
        <v/>
      </c>
      <c r="CX34" s="7">
        <f>IFERROR(AVERAGEIF('Данные 1st'!$S$2:$S$317,$A34,'Данные 1st'!$GW$2:$GW$317),"")</f>
        <v/>
      </c>
      <c r="CY34" s="7">
        <f>IFERROR(AVERAGEIF('Данные 1st'!$S$2:$S$317,$A34,'Данные 1st'!$GZ$2:$GZ$317),"")</f>
        <v/>
      </c>
      <c r="CZ34" s="7">
        <f>IFERROR(AVERAGEIF('Данные 1st'!$S$2:$S$317,$A34,'Данные 1st'!$HA$2:$HA$317),"")</f>
        <v/>
      </c>
      <c r="DA34" s="7">
        <f>IFERROR(AVERAGEIF('Данные 1st'!$S$2:$S$317,$A34,'Данные 1st'!$HB$2:$HB$317),"")</f>
        <v/>
      </c>
      <c r="DB34" s="7">
        <f>IFERROR(AVERAGEIF('Данные 1st'!$S$2:$S$317,$A34,'Данные 1st'!$HC$2:$HC$317),"")</f>
        <v>0.1</v>
      </c>
      <c r="DC34" s="7">
        <f>IFERROR(AVERAGEIF('Данные 1st'!$S$2:$S$317,$A34,'Данные 1st'!$HD$2:$HD$317),"")</f>
        <v>3</v>
      </c>
      <c r="DD34" s="7">
        <f>IFERROR(AVERAGEIF('Данные 1st'!$S$2:$S$317,$A34,'Данные 1st'!$HE$2:$HE$317),"")</f>
        <v>3</v>
      </c>
      <c r="DE34" s="7">
        <f>IFERROR(AVERAGEIF('Данные 1st'!$S$2:$S$317,$A34,'Данные 1st'!$HF$2:$HF$317),"")</f>
        <v>3</v>
      </c>
      <c r="DF34" s="7">
        <f>IFERROR(AVERAGEIF('Данные 1st'!$S$2:$S$317,$A34,'Данные 1st'!$HG$2:$HG$317),"")</f>
        <v>3</v>
      </c>
      <c r="DG34" s="7">
        <f>IFERROR(AVERAGEIF('Данные 1st'!$S$2:$S$317,$A34,'Данные 1st'!$HH$2:$HH$317),"")</f>
        <v>3</v>
      </c>
      <c r="DH34" s="7">
        <f>IFERROR(AVERAGEIF('Данные 1st'!$S$2:$S$317,$A34,'Данные 1st'!$HI$2:$HI$317),"")</f>
        <v>142</v>
      </c>
      <c r="DI34" s="7">
        <f>IFERROR(AVERAGEIF('Данные 1st'!$S$2:$S$317,$A34,'Данные 1st'!$HJ$2:$HJ$317),"")</f>
        <v>3</v>
      </c>
      <c r="DJ34" s="7">
        <f>IFERROR(AVERAGEIF('Данные 1st'!$S$2:$S$317,$A34,'Данные 1st'!$HK$2:$HK$317),"")</f>
        <v>55</v>
      </c>
      <c r="DK34" s="7">
        <f>IFERROR(AVERAGEIF('Данные 1st'!$S$2:$S$317,$A34,'Данные 1st'!$HL$2:$HL$317),"")</f>
        <v>2</v>
      </c>
      <c r="DL34" s="7">
        <f>IFERROR(AVERAGEIF('Данные 1st'!$S$2:$S$317,$A34,'Данные 1st'!$HM$2:$HM$317),"")</f>
        <v>0</v>
      </c>
      <c r="DM34" s="7">
        <f>IFERROR(AVERAGEIF('Данные 1st'!$S$2:$S$317,$A34,'Данные 1st'!$HN$2:$HN$317),"")</f>
        <v>2</v>
      </c>
      <c r="DN34" s="7">
        <f>IFERROR(AVERAGEIF('Данные 1st'!$S$2:$S$317,$A34,'Данные 1st'!$HO$2:$HO$317),"")</f>
        <v>72</v>
      </c>
      <c r="DO34" s="7">
        <f>IFERROR(AVERAGEIF('Данные 1st'!$S$2:$S$317,$A34,'Данные 1st'!$HP$2:$HP$317),"")</f>
        <v>3</v>
      </c>
      <c r="DP34" s="7">
        <f>IFERROR(AVERAGEIF('Данные 1st'!$S$2:$S$317,$A34,'Данные 1st'!$HQ$2:$HQ$317),"")</f>
        <v>0</v>
      </c>
      <c r="DQ34" s="7">
        <f>IFERROR(AVERAGEIF('Данные 1st'!$S$2:$S$317,$A34,'Данные 1st'!$HR$2:$HR$317),"")</f>
        <v>2</v>
      </c>
      <c r="DR34" s="7">
        <f>IFERROR(AVERAGEIF('Данные 1st'!$S$2:$S$317,$A34,'Данные 1st'!$HS$2:$HS$317),"")</f>
        <v>4233.4</v>
      </c>
      <c r="DS34" s="7">
        <f>IFERROR(AVERAGEIF('Данные 1st'!$S$2:$S$317,$A34,'Данные 1st'!$HT$2:$HT$317),"")</f>
        <v>126</v>
      </c>
      <c r="DT34" s="7">
        <f>IFERROR(AVERAGEIF('Данные 1st'!$S$2:$S$317,$A34,'Данные 1st'!$HU$2:$HU$317),"")</f>
        <v>180</v>
      </c>
      <c r="DU34" s="7">
        <f>IFERROR(AVERAGEIF('Данные 1st'!$S$2:$S$317,$A34,'Данные 1st'!$HW$2:$HW$317),"")</f>
        <v>4</v>
      </c>
      <c r="DV34" s="7">
        <f>IFERROR(AVERAGEIF('Данные 1st'!$S$2:$S$317,$A34,'Данные 1st'!$HX$2:$HX$317),"")</f>
        <v>452</v>
      </c>
      <c r="DW34" s="7">
        <f>IFERROR(AVERAGEIF('Данные 1st'!$S$2:$S$317,$A34,'Данные 1st'!$HY$2:$HY$317),"")</f>
        <v>0.18</v>
      </c>
      <c r="DX34" s="7">
        <f>IFERROR(AVERAGEIF('Данные 1st'!$S$2:$S$317,$A34,'Данные 1st'!$IA$2:$IA$317),"")</f>
        <v>0.15</v>
      </c>
      <c r="DY34" s="7">
        <f>IFERROR(AVERAGEIF('Данные 1st'!$S$2:$S$317,$A34,'Данные 1st'!$IB$2:$IB$317),"")</f>
        <v>0</v>
      </c>
      <c r="DZ34" s="7">
        <f>IFERROR(AVERAGEIF('Данные 1st'!$S$2:$S$317,$A34,'Данные 1st'!$IC$2:$IC$317),"")</f>
        <v>180</v>
      </c>
      <c r="EA34" s="7">
        <f>IFERROR(AVERAGEIF('Данные 1st'!$S$2:$S$317,$A34,'Данные 1st'!$ID$2:$ID$317),"")</f>
        <v>110</v>
      </c>
      <c r="EB34" s="7">
        <f>IFERROR(AVERAGEIF('Данные 1st'!$S$2:$S$317,$A34,'Данные 1st'!$IE$2:$IE$317),"")</f>
        <v>90</v>
      </c>
      <c r="EC34" s="7">
        <f>IFERROR(AVERAGEIF('Данные 1st'!$S$2:$S$317,$A34,'Данные 1st'!$IF$2:$IF$317),"")</f>
        <v>0</v>
      </c>
      <c r="ED34" s="7">
        <f>IFERROR(AVERAGEIF('Данные 1st'!$S$2:$S$317,$A34,'Данные 1st'!$IP$2:$IP$317),"")</f>
        <v>17</v>
      </c>
      <c r="EE34" s="7">
        <f>IFERROR(AVERAGEIF('Данные 1st'!$S$2:$S$317,$A34,'Данные 1st'!$IV$2:$IV$317),"")</f>
        <v>1301</v>
      </c>
      <c r="EF34" s="7">
        <f>IFERROR(AVERAGEIF('Данные 1st'!$S$2:$S$317,$A34,'Данные 1st'!$IW$2:$IW$317),"")</f>
        <v>399.6</v>
      </c>
      <c r="EG34" s="7">
        <f>IFERROR(AVERAGEIF('Данные 1st'!$S$2:$S$317,$A34,'Данные 1st'!$IX$2:$IX$317),"")</f>
        <v/>
      </c>
      <c r="EH34" s="7">
        <f>IFERROR(AVERAGEIF('Данные 1st'!$S$2:$S$317,$A34,'Данные 1st'!$IY$2:$IY$317),"")</f>
        <v/>
      </c>
      <c r="EI34" s="7">
        <f>IFERROR(AVERAGEIF('Данные 1st'!$S$2:$S$317,$A34,'Данные 1st'!$JD$2:$JD$317),"")</f>
        <v>1314</v>
      </c>
      <c r="EJ34" s="7">
        <f>IFERROR(AVERAGEIF('Данные 1st'!$S$2:$S$317,$A34,'Данные 1st'!$JE$2:$JE$317),"")</f>
        <v>1312</v>
      </c>
      <c r="EK34" s="7">
        <f>IFERROR(AVERAGEIF('Данные 1st'!$S$2:$S$317,$A34,'Данные 1st'!$JF$2:$JF$317),"")</f>
        <v>0</v>
      </c>
      <c r="EL34" s="7">
        <f>IFERROR(AVERAGEIF('Данные 1st'!$S$2:$S$317,$A34,'Данные 1st'!$JG$2:$JG$317),"")</f>
        <v>1295.6</v>
      </c>
      <c r="EM34" s="7">
        <f>IFERROR(AVERAGEIF('Данные 1st'!$S$2:$S$317,$A34,'Данные 1st'!$JH$2:$JH$317),"")</f>
        <v>0</v>
      </c>
      <c r="EN34" s="7">
        <f>IFERROR(AVERAGEIF('Данные 1st'!$S$2:$S$317,$A34,'Данные 1st'!$JJ$2:$JJ$317),"")</f>
        <v>180</v>
      </c>
      <c r="EO34" s="7">
        <f>IFERROR(AVERAGEIF('Данные 1st'!$S$2:$S$317,$A34,'Данные 1st'!$JK$2:$JK$317),"")</f>
        <v>452</v>
      </c>
      <c r="EP34" s="7">
        <f>IFERROR(AVERAGEIF('Данные 1st'!$S$2:$S$317,$A34,'Данные 1st'!$JL$2:$JL$317),"")</f>
        <v/>
      </c>
      <c r="EQ34" s="7">
        <f>IFERROR(AVERAGEIF('Данные 1st'!$S$2:$S$317,$A34,'Данные 1st'!$JM$2:$JM$317),"")</f>
        <v/>
      </c>
      <c r="ER34" s="7">
        <f>IFERROR(AVERAGEIF('Данные 1st'!$S$2:$S$317,$A34,'Данные 1st'!$JN$2:$JN$317),"")</f>
        <v>379</v>
      </c>
      <c r="ES34" s="7">
        <f>IFERROR(AVERAGEIF('Данные 1st'!$S$2:$S$317,$A34,'Данные 1st'!$JO$2:$JO$317),"")</f>
        <v>553</v>
      </c>
      <c r="ET34" s="7">
        <f>IFERROR(AVERAGEIF('Данные 1st'!$S$2:$S$317,$A34,'Данные 1st'!$JP$2:$JP$317),"")</f>
        <v>0</v>
      </c>
      <c r="EU34" s="7">
        <f>IFERROR(AVERAGEIF('Данные 1st'!$S$2:$S$317,$A34,'Данные 1st'!$JQ$2:$JQ$317),"")</f>
        <v>0</v>
      </c>
      <c r="EV34" s="7">
        <f>IFERROR(AVERAGEIF('Данные 1st'!$S$2:$S$317,$A34,'Данные 1st'!$JR$2:$JR$317),"")</f>
        <v>354.8</v>
      </c>
      <c r="EW34" s="7">
        <f>IFERROR(AVERAGEIF('Данные 1st'!$S$2:$S$317,$A34,'Данные 1st'!$JS$2:$JS$317),"")</f>
        <v>142</v>
      </c>
      <c r="EX34" s="7">
        <f>IFERROR(AVERAGEIF('Данные 1st'!$S$2:$S$317,$A34,'Данные 1st'!$JT$2:$JT$317),"")</f>
        <v/>
      </c>
      <c r="EY34" s="7">
        <f>IFERROR(AVERAGEIF('Данные 1st'!$S$2:$S$317,$A34,'Данные 1st'!$JU$2:$JU$317),"")</f>
        <v/>
      </c>
      <c r="EZ34" s="7">
        <f>IFERROR(AVERAGEIF('Данные 1st'!$S$2:$S$317,$A34,'Данные 1st'!$JV$2:$JV$317),"")</f>
        <v>8</v>
      </c>
      <c r="FA34" s="7">
        <f>IFERROR(AVERAGEIF('Данные 1st'!$S$2:$S$317,$A34,'Данные 1st'!$JW$2:$JW$317),"")</f>
        <v/>
      </c>
      <c r="FB34" s="7">
        <f>IFERROR(AVERAGEIF('Данные 1st'!$S$2:$S$317,$A34,'Данные 1st'!$JX$2:$JX$317),"")</f>
        <v>0</v>
      </c>
      <c r="FC34" s="7">
        <f>IFERROR(AVERAGEIF('Данные 1st'!$S$2:$S$317,$A34,'Данные 1st'!$JY$2:$JY$317),"")</f>
        <v/>
      </c>
      <c r="FD34" s="7">
        <f>IFERROR(AVERAGEIF('Данные 1st'!$S$2:$S$317,$A34,'Данные 1st'!$JZ$2:$JZ$317),"")</f>
        <v/>
      </c>
      <c r="FE34" s="7">
        <f>IFERROR(AVERAGEIF('Данные 1st'!$S$2:$S$317,$A34,'Данные 1st'!$KA$2:$KA$317),"")</f>
        <v>90</v>
      </c>
      <c r="FF34" s="7">
        <f>IFERROR(AVERAGEIF('Данные 1st'!$S$2:$S$317,$A34,'Данные 1st'!$KB$2:$KB$317),"")</f>
        <v>110</v>
      </c>
      <c r="FG34" s="7">
        <f>IFERROR(AVERAGEIF('Данные 1st'!$S$2:$S$317,$A34,'Данные 1st'!$KC$2:$KC$317),"")</f>
        <v>0</v>
      </c>
      <c r="FH34" s="7">
        <f>IFERROR(AVERAGEIF('Данные 1st'!$S$2:$S$317,$A34,'Данные 1st'!$KD$2:$KD$317),"")</f>
        <v>80</v>
      </c>
      <c r="FI34" s="7">
        <f>IFERROR(AVERAGEIF('Данные 1st'!$S$2:$S$317,$A34,'Данные 1st'!$KE$2:$KE$317),"")</f>
        <v/>
      </c>
      <c r="FJ34" s="7">
        <f>IFERROR(AVERAGEIF('Данные 1st'!$S$2:$S$317,$A34,'Данные 1st'!$KF$2:$KF$317),"")</f>
        <v>4</v>
      </c>
      <c r="FK34" s="7">
        <f>IFERROR(AVERAGEIF('Данные 1st'!$S$2:$S$317,$A34,'Данные 1st'!$KG$2:$KG$317),"")</f>
        <v>2.1</v>
      </c>
      <c r="FL34" s="7">
        <f>IFERROR(AVERAGEIF('Данные 1st'!$S$2:$S$317,$A34,'Данные 1st'!$KH$2:$KH$317),"")</f>
        <v>2</v>
      </c>
      <c r="FM34" s="7">
        <f>IFERROR(AVERAGEIF('Данные 1st'!$S$2:$S$317,$A34,'Данные 1st'!$KI$2:$KI$317),"")</f>
        <v>2</v>
      </c>
      <c r="FN34" s="7">
        <f>IFERROR(AVERAGEIF('Данные 1st'!$S$2:$S$317,$A34,'Данные 1st'!$KJ$2:$KJ$317),"")</f>
        <v>0</v>
      </c>
      <c r="FO34" s="7">
        <f>IFERROR(AVERAGEIF('Данные 1st'!$S$2:$S$317,$A34,'Данные 1st'!$KK$2:$KK$317),"")</f>
        <v>1.5</v>
      </c>
      <c r="FP34" s="7">
        <f>IFERROR(AVERAGEIF('Данные 1st'!$S$2:$S$317,$A34,'Данные 1st'!$KL$2:$KL$317),"")</f>
        <v>1.5</v>
      </c>
      <c r="FQ34" s="7">
        <f>IFERROR(AVERAGEIF('Данные 1st'!$S$2:$S$317,$A34,'Данные 1st'!$KM$2:$KM$317),"")</f>
        <v>0</v>
      </c>
      <c r="FR34" s="7">
        <f>IFERROR(AVERAGEIF('Данные 1st'!$S$2:$S$317,$A34,'Данные 1st'!$KN$2:$KN$317),"")</f>
        <v>0</v>
      </c>
      <c r="FS34" s="7">
        <f>IFERROR(AVERAGEIF('Данные 1st'!$S$2:$S$317,$A34,'Данные 1st'!$KR$2:$KR$317),"")</f>
        <v>46</v>
      </c>
      <c r="FT34" s="7">
        <f>IFERROR(AVERAGEIF('Данные 1st'!$S$2:$S$317,$A34,'Данные 1st'!$KS$2:$KS$317),"")</f>
        <v>60</v>
      </c>
      <c r="FU34" s="7">
        <f>IFERROR(AVERAGEIF('Данные 1st'!$S$2:$S$317,$A34,'Данные 1st'!$KT$2:$KT$317),"")</f>
        <v>0</v>
      </c>
      <c r="FV34" s="7">
        <f>IFERROR(AVERAGEIF('Данные 1st'!$S$2:$S$317,$A34,'Данные 1st'!$KV$2:$KV$317),"")</f>
        <v/>
      </c>
      <c r="FW34" s="7">
        <f>IFERROR(AVERAGEIF('Данные 1st'!$S$2:$S$317,$A34,'Данные 1st'!$KW$2:$KW$317),"")</f>
        <v/>
      </c>
      <c r="FX34" s="7">
        <f>IFERROR(AVERAGEIF('Данные 1st'!$S$2:$S$317,$A34,'Данные 1st'!$KX$2:$KX$317),"")</f>
        <v/>
      </c>
      <c r="FY34" s="7">
        <f>IFERROR(AVERAGEIF('Данные 1st'!$S$2:$S$317,$A34,'Данные 1st'!$KY$2:$KY$317),"")</f>
        <v/>
      </c>
      <c r="FZ34" s="7">
        <f>IFERROR(AVERAGEIF('Данные 1st'!$S$2:$S$317,$A34,'Данные 1st'!$KZ$2:$KZ$317),"")</f>
        <v/>
      </c>
      <c r="GA34" s="7">
        <f>IFERROR(AVERAGEIF('Данные 1st'!$S$2:$S$317,$A34,'Данные 1st'!$LA$2:$LA$317),"")</f>
        <v/>
      </c>
      <c r="GB34" s="7">
        <f>IFERROR(AVERAGEIF('Данные 1st'!$S$2:$S$317,$A34,'Данные 1st'!$LB$2:$LB$317),"")</f>
        <v/>
      </c>
      <c r="GC34" s="7">
        <f>IFERROR(AVERAGEIF('Данные 1st'!$S$2:$S$317,$A34,'Данные 1st'!$LC$2:$LC$317),"")</f>
        <v/>
      </c>
      <c r="GD34" s="7">
        <f>IFERROR(AVERAGEIF('Данные 1st'!$S$2:$S$317,$A34,'Данные 1st'!$LD$2:$LD$317),"")</f>
        <v/>
      </c>
      <c r="GE34" s="7">
        <f>IFERROR(AVERAGEIF('Данные 1st'!$S$2:$S$317,$A34,'Данные 1st'!$LE$2:$LE$317),"")</f>
        <v/>
      </c>
      <c r="GF34" s="7">
        <f>IFERROR(AVERAGEIF('Данные 1st'!$S$2:$S$317,$A34,'Данные 1st'!$LF$2:$LF$317),"")</f>
        <v/>
      </c>
      <c r="GG34" s="7">
        <f>IFERROR(AVERAGEIF('Данные 1st'!$S$2:$S$317,$A34,'Данные 1st'!$LG$2:$LG$317),"")</f>
        <v/>
      </c>
      <c r="GH34" s="7">
        <f>IFERROR(AVERAGEIF('Данные 1st'!$S$2:$S$317,$A34,'Данные 1st'!$LH$2:$LH$317),"")</f>
        <v/>
      </c>
      <c r="GI34" s="7">
        <f>IFERROR(AVERAGEIF('Данные 1st'!$S$2:$S$317,$A34,'Данные 1st'!$LI$2:$LI$317),"")</f>
        <v/>
      </c>
      <c r="GJ34" s="7">
        <f>IFERROR(AVERAGEIF('Данные 1st'!$S$2:$S$317,$A34,'Данные 1st'!$LJ$2:$LJ$317),"")</f>
        <v/>
      </c>
      <c r="GK34" s="7">
        <f>IFERROR(AVERAGEIF('Данные 1st'!$S$2:$S$317,$A34,'Данные 1st'!$LK$2:$LK$317),"")</f>
        <v>480</v>
      </c>
      <c r="GL34" s="7">
        <f>IFERROR(AVERAGEIF('Данные 1st'!$S$2:$S$317,$A34,'Данные 1st'!$LV$2:$LV$317),"")</f>
        <v/>
      </c>
      <c r="GM34" s="7">
        <f>IFERROR(AVERAGEIF('Данные 1st'!$S$2:$S$317,$A34,'Данные 1st'!$LW$2:$LW$317),"")</f>
        <v/>
      </c>
      <c r="GN34" s="7">
        <f>IFERROR(AVERAGEIF('Данные 1st'!$S$2:$S$317,$A34,'Данные 1st'!$LX$2:$LX$317),"")</f>
        <v/>
      </c>
      <c r="GO34" s="7">
        <f>IFERROR(AVERAGEIF('Данные 1st'!$S$2:$S$317,$A34,'Данные 1st'!$LY$2:$LY$317),"")</f>
        <v/>
      </c>
      <c r="GP34" s="7">
        <f>IFERROR(AVERAGEIF('Данные 1st'!$S$2:$S$317,$A34,'Данные 1st'!$LZ$2:$LZ$317),"")</f>
        <v/>
      </c>
      <c r="GQ34" s="7">
        <f>IFERROR(AVERAGEIF('Данные 1st'!$S$2:$S$317,$A34,'Данные 1st'!$PG$2:$PG$317),"")</f>
        <v>1</v>
      </c>
      <c r="GR34" s="7">
        <f>IFERROR(AVERAGEIF('Данные 1st'!$S$2:$S$317,$A34,'Данные 1st'!$PX$2:$PX$317),"")</f>
        <v>56</v>
      </c>
      <c r="GS34" s="7">
        <f>IFERROR(AVERAGEIF('Данные 1st'!$S$2:$S$317,$A34,'Данные 1st'!$PY$2:$PY$317),"")</f>
        <v>56.6</v>
      </c>
      <c r="GT34" s="7">
        <f>IFERROR(AVERAGEIF('Данные 1st'!$S$2:$S$317,$A34,'Данные 1st'!$QA$2:$QA$317),"")</f>
        <v>2</v>
      </c>
      <c r="GU34" s="7">
        <f>IFERROR(AVERAGEIF('Данные 1st'!$S$2:$S$317,$A34,'Данные 1st'!$QB$2:$QB$317),"")</f>
        <v>1295.6</v>
      </c>
      <c r="GV34" s="7">
        <f>IFERROR(AVERAGEIF('Данные 1st'!$S$2:$S$317,$A34,'Данные 1st'!$QC$2:$QC$317),"")</f>
        <v>69</v>
      </c>
      <c r="GW34" s="7">
        <f>IFERROR(AVERAGEIF('Данные 1st'!$S$2:$S$317,$A34,'Данные 1st'!$QD$2:$QD$317),"")</f>
        <v>69</v>
      </c>
      <c r="GX34" s="7">
        <f>IFERROR(AVERAGEIF('Данные 1st'!$S$2:$S$317,$A34,'Данные 1st'!$QF$2:$QF$317),"")</f>
        <v>1</v>
      </c>
      <c r="GY34" s="7">
        <f>IFERROR(AVERAGEIF('Данные 1st'!$S$2:$S$317,$A34,'Данные 1st'!$QG$2:$QG$317),"")</f>
        <v>1314</v>
      </c>
      <c r="GZ34" s="7">
        <f>IFERROR(AVERAGEIF('Данные 1st'!$S$2:$S$317,$A34,'Данные 1st'!$QH$2:$QH$317),"")</f>
        <v>66</v>
      </c>
      <c r="HA34" s="7">
        <f>IFERROR(AVERAGEIF('Данные 1st'!$S$2:$S$317,$A34,'Данные 1st'!$QI$2:$QI$317),"")</f>
        <v>66</v>
      </c>
      <c r="HB34" s="7">
        <f>IFERROR(AVERAGEIF('Данные 1st'!$S$2:$S$317,$A34,'Данные 1st'!$QK$2:$QK$317),"")</f>
        <v/>
      </c>
      <c r="HC34" s="7">
        <f>IFERROR(AVERAGEIF('Данные 1st'!$S$2:$S$317,$A34,'Данные 1st'!$QL$2:$QL$317),"")</f>
        <v>0</v>
      </c>
      <c r="HD34" s="7">
        <f>IFERROR(AVERAGEIF('Данные 1st'!$S$2:$S$317,$A34,'Данные 1st'!$QM$2:$QM$317),"")</f>
        <v>62.4</v>
      </c>
      <c r="HE34" s="7">
        <f>IFERROR(AVERAGEIF('Данные 1st'!$S$2:$S$317,$A34,'Данные 1st'!$QN$2:$QN$317),"")</f>
        <v>62.4</v>
      </c>
      <c r="HF34" s="7">
        <f>IFERROR(AVERAGEIF('Данные 1st'!$S$2:$S$317,$A34,'Данные 1st'!$QP$2:$QP$317),"")</f>
        <v>1</v>
      </c>
      <c r="HG34" s="7">
        <f>IFERROR(AVERAGEIF('Данные 1st'!$S$2:$S$317,$A34,'Данные 1st'!$QQ$2:$QQ$317),"")</f>
        <v>1312</v>
      </c>
      <c r="HH34" s="7">
        <f>IFERROR(AVERAGEIF('Данные 1st'!$S$2:$S$317,$A34,'Данные 1st'!$QR$2:$QR$317),"")</f>
        <v/>
      </c>
      <c r="HI34" s="7">
        <f>IFERROR(AVERAGEIF('Данные 1st'!$S$2:$S$317,$A34,'Данные 1st'!$QS$2:$QS$317),"")</f>
        <v/>
      </c>
      <c r="HJ34" s="7">
        <f>IFERROR(AVERAGEIF('Данные 1st'!$S$2:$S$317,$A34,'Данные 1st'!$QU$2:$QU$317),"")</f>
        <v/>
      </c>
      <c r="HK34" s="7">
        <f>IFERROR(AVERAGEIF('Данные 1st'!$S$2:$S$317,$A34,'Данные 1st'!$QV$2:$QV$317),"")</f>
        <v/>
      </c>
      <c r="HL34" s="7">
        <f>IFERROR(AVERAGEIF('Данные 1st'!$S$2:$S$317,$A34,'Данные 1st'!$QW$2:$QW$317),"")</f>
        <v>82</v>
      </c>
      <c r="HM34" s="7">
        <f>IFERROR(AVERAGEIF('Данные 1st'!$S$2:$S$317,$A34,'Данные 1st'!$QX$2:$QX$317),"")</f>
        <v>88</v>
      </c>
      <c r="HN34" s="7">
        <f>IFERROR(AVERAGEIF('Данные 1st'!$S$2:$S$317,$A34,'Данные 1st'!$QZ$2:$QZ$317),"")</f>
        <v>1.2</v>
      </c>
      <c r="HO34" s="7">
        <f>IFERROR(AVERAGEIF('Данные 1st'!$S$2:$S$317,$A34,'Данные 1st'!$RA$2:$RA$317),"")</f>
        <v>66</v>
      </c>
      <c r="HP34" s="7">
        <f>IFERROR(AVERAGEIF('Данные 1st'!$S$2:$S$317,$A34,'Данные 1st'!$RB$2:$RB$317),"")</f>
        <v>66</v>
      </c>
      <c r="HQ34" s="7">
        <f>IFERROR(AVERAGEIF('Данные 1st'!$S$2:$S$317,$A34,'Данные 1st'!$RD$2:$RD$317),"")</f>
        <v/>
      </c>
      <c r="HR34" s="7">
        <f>IFERROR(AVERAGEIF('Данные 1st'!$S$2:$S$317,$A34,'Данные 1st'!$RE$2:$RE$317),"")</f>
        <v>0</v>
      </c>
      <c r="HS34" s="7">
        <f>IFERROR(AVERAGEIF('Данные 1st'!$S$2:$S$317,$A34,'Данные 1st'!$RF$2:$RF$317),"")</f>
        <v>1</v>
      </c>
      <c r="HT34" s="7">
        <f>IFERROR(AVERAGEIF('Данные 1st'!$S$2:$S$317,$A34,'Данные 1st'!$RG$2:$RG$317),"")</f>
        <v>1</v>
      </c>
      <c r="HU34" s="7">
        <f>IFERROR(AVERAGEIF('Данные 1st'!$S$2:$S$317,$A34,'Данные 1st'!$RH$2:$RH$317),"")</f>
        <v/>
      </c>
      <c r="HV34" s="7">
        <f>IFERROR(AVERAGEIF('Данные 1st'!$S$2:$S$317,$A34,'Данные 1st'!$RI$2:$RI$317),"")</f>
        <v/>
      </c>
      <c r="HW34" s="7">
        <f>IFERROR(AVERAGEIF('Данные 1st'!$S$2:$S$317,$A34,'Данные 1st'!$RJ$2:$RJ$317),"")</f>
        <v>1</v>
      </c>
      <c r="HX34" s="7">
        <f>IFERROR(AVERAGEIF('Данные 1st'!$S$2:$S$317,$A34,'Данные 1st'!$RK$2:$RK$317),"")</f>
        <v/>
      </c>
      <c r="HY34" s="7">
        <f>IFERROR(AVERAGEIF('Данные 1st'!$S$2:$S$317,$A34,'Данные 1st'!$RL$2:$RL$317),"")</f>
        <v>1.8</v>
      </c>
      <c r="HZ34" s="7">
        <f>IFERROR(AVERAGEIF('Данные 1st'!$S$2:$S$317,$A34,'Данные 1st'!$RM$2:$RM$317),"")</f>
        <v/>
      </c>
      <c r="IA34" s="7">
        <f>IFERROR(AVERAGEIF('Данные 1st'!$S$2:$S$317,$A34,'Данные 1st'!$RN$2:$RN$317),"")</f>
        <v/>
      </c>
      <c r="IB34" s="7">
        <f>IFERROR(AVERAGEIF('Данные 1st'!$S$2:$S$317,$A34,'Данные 1st'!$RO$2:$RO$317),"")</f>
        <v>536.6</v>
      </c>
      <c r="IC34" s="7">
        <f>IFERROR(AVERAGEIF('Данные 1st'!$S$2:$S$317,$A34,'Данные 1st'!$RP$2:$RP$317),"")</f>
        <v/>
      </c>
      <c r="ID34" s="7">
        <f>IFERROR(AVERAGEIF('Данные 1st'!$S$2:$S$317,$A34,'Данные 1st'!$RQ$2:$RQ$317),"")</f>
        <v>900.2</v>
      </c>
      <c r="IE34" s="7">
        <f>IFERROR(AVERAGEIF('Данные 1st'!$S$2:$S$317,$A34,'Данные 1st'!$RR$2:$RR$317),"")</f>
        <v/>
      </c>
      <c r="IF34" s="7">
        <f>IFERROR(AVERAGEIF('Данные 1st'!$S$2:$S$317,$A34,'Данные 1st'!$RS$2:$RS$317),"")</f>
        <v/>
      </c>
      <c r="IG34" s="7">
        <f>IFERROR(AVERAGEIF('Данные 1st'!$S$2:$S$317,$A34,'Данные 1st'!$RT$2:$RT$317),"")</f>
        <v>248</v>
      </c>
      <c r="IH34" s="7">
        <f>IFERROR(AVERAGEIF('Данные 1st'!$S$2:$S$317,$A34,'Данные 1st'!$RU$2:$RU$317),"")</f>
        <v>171.2</v>
      </c>
      <c r="II34" s="7">
        <f>IFERROR(AVERAGEIF('Данные 1st'!$S$2:$S$317,$A34,'Данные 1st'!$RX$2:$RX$317),"")</f>
        <v>15</v>
      </c>
      <c r="IJ34" s="7">
        <f>IFERROR(AVERAGEIF('Данные 1st'!$S$2:$S$317,$A34,'Данные 1st'!$RY$2:$RY$317),"")</f>
        <v>4</v>
      </c>
      <c r="IK34" s="7">
        <f>IFERROR(AVERAGEIF('Данные 1st'!$S$2:$S$317,$A34,'Данные 1st'!$SA$2:$SA$317),"")</f>
        <v>15</v>
      </c>
      <c r="IL34" s="7">
        <f>IFERROR(AVERAGEIF('Данные 1st'!$S$2:$S$317,$A34,'Данные 1st'!$SD$2:$SD$317),"")</f>
        <v>1</v>
      </c>
      <c r="IM34" s="7">
        <f>IFERROR(AVERAGEIF('Данные 1st'!$S$2:$S$317,$A34,'Данные 1st'!$SG$2:$SG$317),"")</f>
        <v/>
      </c>
      <c r="IN34" s="7">
        <f>IFERROR(AVERAGEIF('Данные 1st'!$S$2:$S$317,$A34,'Данные 1st'!$SH$2:$SH$317),"")</f>
        <v>0.995</v>
      </c>
      <c r="IO34" s="7">
        <f>IFERROR(AVERAGEIF('Данные 1st'!$S$2:$S$317,$A34,'Данные 1st'!$SI$2:$SI$317),"")</f>
        <v>0.995</v>
      </c>
      <c r="IP34" s="7">
        <f>IFERROR(AVERAGEIF('Данные 1st'!$S$2:$S$317,$A34,'Данные 1st'!$SJ$2:$SJ$317),"")</f>
        <v>0.995</v>
      </c>
      <c r="IQ34" s="7">
        <f>IFERROR(AVERAGEIF('Данные 1st'!$S$2:$S$317,$A34,'Данные 1st'!$SK$2:$SK$317),"")</f>
        <v>15</v>
      </c>
      <c r="IR34" s="7">
        <f>IFERROR(AVERAGEIF('Данные 1st'!$S$2:$S$317,$A34,'Данные 1st'!$SL$2:$SL$317),"")</f>
        <v>0</v>
      </c>
      <c r="IS34" s="7">
        <f>IFERROR(AVERAGEIF('Данные 1st'!$S$2:$S$317,$A34,'Данные 1st'!$SM$2:$SM$317),"")</f>
        <v>0</v>
      </c>
      <c r="IT34" s="7">
        <f>IFERROR(AVERAGEIF('Данные 1st'!$S$2:$S$317,$A34,'Данные 1st'!$SN$2:$SN$317),"")</f>
        <v>0</v>
      </c>
      <c r="IU34" s="7">
        <f>IFERROR(AVERAGEIF('Данные 1st'!$S$2:$S$317,$A34,'Данные 1st'!$SO$2:$SO$317),"")</f>
        <v>0</v>
      </c>
      <c r="IV34" s="7">
        <f>IFERROR(AVERAGEIF('Данные 1st'!$S$2:$S$317,$A34,'Данные 1st'!$SP$2:$SP$317),"")</f>
        <v>0</v>
      </c>
      <c r="IW34" s="7">
        <f>IFERROR(AVERAGEIF('Данные 1st'!$S$2:$S$317,$A34,'Данные 1st'!$SQ$2:$SQ$317),"")</f>
        <v>0</v>
      </c>
      <c r="IX34" s="7">
        <f>IFERROR(AVERAGEIF('Данные 1st'!$S$2:$S$317,$A34,'Данные 1st'!$SR$2:$SR$317),"")</f>
        <v>0</v>
      </c>
      <c r="IY34" s="7">
        <f>IFERROR(AVERAGEIF('Данные 1st'!$S$2:$S$317,$A34,'Данные 1st'!$SS$2:$SS$317),"")</f>
        <v>0</v>
      </c>
      <c r="IZ34" s="7">
        <f>IFERROR(AVERAGEIF('Данные 1st'!$S$2:$S$317,$A34,'Данные 1st'!$ST$2:$ST$317),"")</f>
        <v>0</v>
      </c>
      <c r="JA34" s="7">
        <f>IFERROR(AVERAGEIF('Данные 1st'!$S$2:$S$317,$A34,'Данные 1st'!$SU$2:$SU$317),"")</f>
        <v>0</v>
      </c>
      <c r="JB34" s="7">
        <f>IFERROR(AVERAGEIF('Данные 1st'!$S$2:$S$317,$A34,'Данные 1st'!$SV$2:$SV$317),"")</f>
        <v>0</v>
      </c>
      <c r="JC34" s="7">
        <f>IFERROR(AVERAGEIF('Данные 1st'!$S$2:$S$317,$A34,'Данные 1st'!$SW$2:$SW$317),"")</f>
        <v>0</v>
      </c>
      <c r="JD34" s="7">
        <f>IFERROR(AVERAGEIF('Данные 1st'!$S$2:$S$317,$A34,'Данные 1st'!$SX$2:$SX$317),"")</f>
        <v>0</v>
      </c>
      <c r="JE34" s="7">
        <f>IFERROR(AVERAGEIF('Данные 1st'!$S$2:$S$317,$A34,'Данные 1st'!$SY$2:$SY$317),"")</f>
        <v/>
      </c>
      <c r="JF34" s="7">
        <f>IFERROR(AVERAGEIF('Данные 1st'!$S$2:$S$317,$A34,'Данные 1st'!$SZ$2:$SZ$317),"")</f>
        <v/>
      </c>
      <c r="JG34" s="7">
        <f>IFERROR(AVERAGEIF('Данные 1st'!$S$2:$S$317,$A34,'Данные 1st'!$TA$2:$TA$317),"")</f>
        <v/>
      </c>
      <c r="JH34" s="7">
        <f>IFERROR(AVERAGEIF('Данные 1st'!$S$2:$S$317,$A34,'Данные 1st'!$TB$2:$TB$317),"")</f>
        <v>0</v>
      </c>
      <c r="JI34" s="7">
        <f>IFERROR(AVERAGEIF('Данные 1st'!$S$2:$S$317,$A34,'Данные 1st'!$TC$2:$TC$317),"")</f>
        <v>0</v>
      </c>
      <c r="JJ34" s="7">
        <f>IFERROR(AVERAGEIF('Данные 1st'!$S$2:$S$317,$A34,'Данные 1st'!$TD$2:$TD$317),"")</f>
        <v>7.5</v>
      </c>
      <c r="JK34" s="7">
        <f>IFERROR(AVERAGEIF('Данные 1st'!$S$2:$S$317,$A34,'Данные 1st'!$TN$2:$TN$317),"")</f>
        <v>0</v>
      </c>
      <c r="JL34">
        <f>COUNTIF('Данные 2st'!$Q$2:$Q$317,$A34)</f>
        <v>5</v>
      </c>
      <c r="JM34" s="6" t="s">
        <v>5099</v>
      </c>
      <c r="JN34" s="6" t="s">
        <v>513</v>
      </c>
      <c r="JO34" s="6" t="s">
        <v>5125</v>
      </c>
      <c r="JP34" s="6" t="s">
        <v>5490</v>
      </c>
      <c r="JQ34" s="7">
        <f>IFERROR(AVERAGEIF('Данные 2st'!$Q$2:$Q$317,$A34,'Данные 2st'!$AC$2:$AC$317),"")</f>
        <v>10.6</v>
      </c>
      <c r="JR34" s="7">
        <f>IFERROR(AVERAGEIF('Данные 2st'!$Q$2:$Q$317,$A34,'Данные 2st'!$AF$2:$AF$317),"")</f>
        <v>4233.4</v>
      </c>
      <c r="JS34" s="7">
        <f>IFERROR(AVERAGEIF('Данные 2st'!$Q$2:$Q$317,$A34,'Данные 2st'!$AW$2:$AW$317),"")</f>
        <v>6.4</v>
      </c>
      <c r="JT34" s="7">
        <f>IFERROR(AVERAGEIF('Данные 2st'!$Q$2:$Q$317,$A34,'Данные 2st'!$AX$2:$AX$317),"")</f>
        <v>-6</v>
      </c>
      <c r="JU34" s="7">
        <f>IFERROR(AVERAGEIF('Данные 2st'!$Q$2:$Q$317,$A34,'Данные 2st'!$AY$2:$AY$317),"")</f>
        <v>101.8</v>
      </c>
      <c r="JV34" s="7">
        <f>IFERROR(AVERAGEIF('Данные 2st'!$Q$2:$Q$317,$A34,'Данные 2st'!$AZ$2:$AZ$317),"")</f>
        <v>78.6</v>
      </c>
      <c r="JW34" s="7">
        <f>IFERROR(AVERAGEIF('Данные 2st'!$Q$2:$Q$317,$A34,'Данные 2st'!$BA$2:$BA$317),"")</f>
        <v/>
      </c>
      <c r="JX34" s="7">
        <f>IFERROR(AVERAGEIF('Данные 2st'!$Q$2:$Q$317,$A34,'Данные 2st'!$BB$2:$BB$317),"")</f>
        <v/>
      </c>
      <c r="JY34" s="7">
        <f>IFERROR(AVERAGEIF('Данные 2st'!$Q$2:$Q$317,$A34,'Данные 2st'!$BC$2:$BC$317),"")</f>
        <v/>
      </c>
      <c r="JZ34" s="7">
        <f>IFERROR(AVERAGEIF('Данные 2st'!$Q$2:$Q$317,$A34,'Данные 2st'!$BH$2:$BH$317),"")</f>
        <v>101.8</v>
      </c>
      <c r="KA34" s="7">
        <f>IFERROR(AVERAGEIF('Данные 2st'!$Q$2:$Q$317,$A34,'Данные 2st'!$BI$2:$BI$317),"")</f>
        <v>23.2</v>
      </c>
      <c r="KB34" s="7">
        <f>IFERROR(AVERAGEIF('Данные 2st'!$Q$2:$Q$317,$A34,'Данные 2st'!$BJ$2:$BJ$317),"")</f>
        <v>78.6</v>
      </c>
      <c r="KC34" s="7">
        <f>IFERROR(AVERAGEIF('Данные 2st'!$Q$2:$Q$317,$A34,'Данные 2st'!$BK$2:$BK$317),"")</f>
        <v>2.8</v>
      </c>
      <c r="KD34" s="7">
        <f>IFERROR(AVERAGEIF('Данные 2st'!$Q$2:$Q$317,$A34,'Данные 2st'!$BL$2:$BL$317),"")</f>
        <v>203.6</v>
      </c>
      <c r="KE34" s="7">
        <f>IFERROR(AVERAGEIF('Данные 2st'!$Q$2:$Q$317,$A34,'Данные 2st'!$BM$2:$BM$317),"")</f>
        <v>-6</v>
      </c>
      <c r="KF34" s="7">
        <f>IFERROR(AVERAGEIF('Данные 2st'!$Q$2:$Q$317,$A34,'Данные 2st'!$BN$2:$BN$317),"")</f>
        <v>0</v>
      </c>
      <c r="KG34" s="7">
        <f>IFERROR(AVERAGEIF('Данные 2st'!$Q$2:$Q$317,$A34,'Данные 2st'!$BO$2:$BO$317),"")</f>
        <v>0</v>
      </c>
      <c r="KH34" s="7">
        <f>IFERROR(AVERAGEIF('Данные 2st'!$Q$2:$Q$317,$A34,'Данные 2st'!$BP$2:$BP$317),"")</f>
        <v>0</v>
      </c>
      <c r="KI34" s="7">
        <f>IFERROR(AVERAGEIF('Данные 2st'!$Q$2:$Q$317,$A34,'Данные 2st'!$BR$2:$BR$317),"")</f>
        <v>198</v>
      </c>
      <c r="KJ34" s="7">
        <f>IFERROR(AVERAGEIF('Данные 2st'!$Q$2:$Q$317,$A34,'Данные 2st'!$BS$2:$BS$317),"")</f>
        <v>188</v>
      </c>
      <c r="KK34" s="7">
        <f>IFERROR(AVERAGEIF('Данные 2st'!$Q$2:$Q$317,$A34,'Данные 2st'!$BT$2:$BT$317),"")</f>
        <v>1916</v>
      </c>
      <c r="KL34" s="7">
        <f>IFERROR(AVERAGEIF('Данные 2st'!$Q$2:$Q$317,$A34,'Данные 2st'!$CV$2:$CV$317),"")</f>
        <v>126.2</v>
      </c>
      <c r="KM34" s="7">
        <f>IFERROR(AVERAGEIF('Данные 2st'!$Q$2:$Q$317,$A34,'Данные 2st'!$CW$2:$CW$317),"")</f>
        <v>3</v>
      </c>
      <c r="KN34" s="7">
        <f>IFERROR(AVERAGEIF('Данные 2st'!$Q$2:$Q$317,$A34,'Данные 2st'!$CX$2:$CX$317),"")</f>
        <v>94.2</v>
      </c>
      <c r="KO34" s="7">
        <f>IFERROR(AVERAGEIF('Данные 2st'!$Q$2:$Q$317,$A34,'Данные 2st'!$CY$2:$CY$317),"")</f>
        <v>5</v>
      </c>
      <c r="KP34" s="7">
        <f>IFERROR(AVERAGEIF('Данные 2st'!$Q$2:$Q$317,$A34,'Данные 2st'!$CZ$2:$CZ$317),"")</f>
        <v>127.6</v>
      </c>
      <c r="KQ34" s="7">
        <f>IFERROR(AVERAGEIF('Данные 2st'!$Q$2:$Q$317,$A34,'Данные 2st'!$DA$2:$DA$317),"")</f>
        <v>5</v>
      </c>
      <c r="KR34" s="7">
        <f>IFERROR(AVERAGEIF('Данные 2st'!$Q$2:$Q$317,$A34,'Данные 2st'!$DB$2:$DB$317),"")</f>
        <v>10568</v>
      </c>
      <c r="KS34" s="7">
        <f>IFERROR(AVERAGEIF('Данные 2st'!$Q$2:$Q$317,$A34,'Данные 2st'!$DC$2:$DC$317),"")</f>
        <v>314</v>
      </c>
      <c r="KT34" s="7">
        <f>IFERROR(AVERAGEIF('Данные 2st'!$Q$2:$Q$317,$A34,'Данные 2st'!$DD$2:$DD$317),"")</f>
        <v>316</v>
      </c>
      <c r="KU34" s="7">
        <f>IFERROR(AVERAGEIF('Данные 2st'!$Q$2:$Q$317,$A34,'Данные 2st'!$DE$2:$DE$317),"")</f>
        <v>2024</v>
      </c>
      <c r="KV34" s="7">
        <f>IFERROR(AVERAGEIF('Данные 2st'!$Q$2:$Q$317,$A34,'Данные 2st'!$DF$2:$DF$317),"")</f>
        <v>2024</v>
      </c>
      <c r="KW34" s="7">
        <f>IFERROR(AVERAGEIF('Данные 2st'!$Q$2:$Q$317,$A34,'Данные 2st'!$DG$2:$DG$317),"")</f>
        <v>2041.2</v>
      </c>
      <c r="KX34" s="7">
        <f>IFERROR(AVERAGEIF('Данные 2st'!$Q$2:$Q$317,$A34,'Данные 2st'!$DH$2:$DH$317),"")</f>
        <v/>
      </c>
      <c r="KY34" s="7">
        <f>IFERROR(AVERAGEIF('Данные 2st'!$Q$2:$Q$317,$A34,'Данные 2st'!$DI$2:$DI$317),"")</f>
        <v/>
      </c>
      <c r="KZ34" s="7">
        <f>IFERROR(AVERAGEIF('Данные 2st'!$Q$2:$Q$317,$A34,'Данные 2st'!$DK$2:$DK$317),"")</f>
        <v>198</v>
      </c>
      <c r="LA34" s="7">
        <f>IFERROR(AVERAGEIF('Данные 2st'!$Q$2:$Q$317,$A34,'Данные 2st'!$DM$2:$DM$317),"")</f>
        <v>63.8</v>
      </c>
      <c r="LB34" s="7">
        <f>IFERROR(AVERAGEIF('Данные 2st'!$Q$2:$Q$317,$A34,'Данные 2st'!$DN$2:$DN$317),"")</f>
        <v>1.048</v>
      </c>
      <c r="LC34" s="7">
        <f>IFERROR(AVERAGEIF('Данные 2st'!$Q$2:$Q$317,$A34,'Данные 2st'!$DO$2:$DO$317),"")</f>
        <v>1</v>
      </c>
      <c r="LD34" s="7">
        <f>IFERROR(AVERAGEIF('Данные 2st'!$Q$2:$Q$317,$A34,'Данные 2st'!$DP$2:$DP$317),"")</f>
        <v>1919</v>
      </c>
      <c r="LE34" s="7">
        <f>IFERROR(AVERAGEIF('Данные 2st'!$Q$2:$Q$317,$A34,'Данные 2st'!$DQ$2:$DQ$317),"")</f>
        <v>796.4</v>
      </c>
      <c r="LF34" s="7">
        <f>IFERROR(AVERAGEIF('Данные 2st'!$Q$2:$Q$317,$A34,'Данные 2st'!$DS$2:$DS$317),"")</f>
        <v>188</v>
      </c>
      <c r="LG34" s="7">
        <f>IFERROR(AVERAGEIF('Данные 2st'!$Q$2:$Q$317,$A34,'Данные 2st'!$DU$2:$DU$317),"")</f>
        <v>63.8</v>
      </c>
      <c r="LH34" s="7">
        <f>IFERROR(AVERAGEIF('Данные 2st'!$Q$2:$Q$317,$A34,'Данные 2st'!$DV$2:$DV$317),"")</f>
        <v>1.048</v>
      </c>
      <c r="LI34" s="7">
        <f>IFERROR(AVERAGEIF('Данные 2st'!$Q$2:$Q$317,$A34,'Данные 2st'!$DW$2:$DW$317),"")</f>
        <v>1</v>
      </c>
      <c r="LJ34" s="7">
        <f>IFERROR(AVERAGEIF('Данные 2st'!$Q$2:$Q$317,$A34,'Данные 2st'!$DX$2:$DX$317),"")</f>
        <v>1930</v>
      </c>
      <c r="LK34" s="7">
        <f>IFERROR(AVERAGEIF('Данные 2st'!$Q$2:$Q$317,$A34,'Данные 2st'!$DY$2:$DY$317),"")</f>
        <v>760.2</v>
      </c>
      <c r="LL34" s="7">
        <f>IFERROR(AVERAGEIF('Данные 2st'!$Q$2:$Q$317,$A34,'Данные 2st'!$EA$2:$EA$317),"")</f>
        <v>22.6</v>
      </c>
      <c r="LM34" s="7">
        <f>IFERROR(AVERAGEIF('Данные 2st'!$Q$2:$Q$317,$A34,'Данные 2st'!$EC$2:$EC$317),"")</f>
        <v>0.7200000000000001</v>
      </c>
      <c r="LN34" s="7">
        <f>IFERROR(AVERAGEIF('Данные 2st'!$Q$2:$Q$317,$A34,'Данные 2st'!$ED$2:$ED$317),"")</f>
        <v>1919</v>
      </c>
      <c r="LO34" s="7">
        <f>IFERROR(AVERAGEIF('Данные 2st'!$Q$2:$Q$317,$A34,'Данные 2st'!$EE$2:$EE$317),"")</f>
        <v>64.8</v>
      </c>
      <c r="LP34" s="7">
        <f>IFERROR(AVERAGEIF('Данные 2st'!$Q$2:$Q$317,$A34,'Данные 2st'!$EG$2:$EG$317),"")</f>
        <v>6.6</v>
      </c>
      <c r="LQ34" s="7">
        <f>IFERROR(AVERAGEIF('Данные 2st'!$Q$2:$Q$317,$A34,'Данные 2st'!$EI$2:$EI$317),"")</f>
        <v>0.08</v>
      </c>
      <c r="LR34" s="7">
        <f>IFERROR(AVERAGEIF('Данные 2st'!$Q$2:$Q$317,$A34,'Данные 2st'!$EJ$2:$EJ$317),"")</f>
        <v>1920</v>
      </c>
      <c r="LS34" s="7">
        <f>IFERROR(AVERAGEIF('Данные 2st'!$Q$2:$Q$317,$A34,'Данные 2st'!$EK$2:$EK$317),"")</f>
        <v>56</v>
      </c>
      <c r="LT34" s="7">
        <f>IFERROR(AVERAGEIF('Данные 2st'!$Q$2:$Q$317,$A34,'Данные 2st'!$EM$2:$EM$317),"")</f>
        <v>12</v>
      </c>
      <c r="LU34" s="7">
        <f>IFERROR(AVERAGEIF('Данные 2st'!$Q$2:$Q$317,$A34,'Данные 2st'!$EN$2:$EN$317),"")</f>
        <v>0.5</v>
      </c>
      <c r="LV34" s="7">
        <f>IFERROR(AVERAGEIF('Данные 2st'!$Q$2:$Q$317,$A34,'Данные 2st'!$EO$2:$EO$317),"")</f>
        <v>0.948</v>
      </c>
      <c r="LW34" s="7">
        <f>IFERROR(AVERAGEIF('Данные 2st'!$Q$2:$Q$317,$A34,'Данные 2st'!$EP$2:$EP$317),"")</f>
        <v>1929.176</v>
      </c>
      <c r="LX34" s="7">
        <f>IFERROR(AVERAGEIF('Данные 2st'!$Q$2:$Q$317,$A34,'Данные 2st'!$EQ$2:$EQ$317),"")</f>
        <v>32492.672</v>
      </c>
      <c r="LY34" s="7">
        <f>IFERROR(AVERAGEIF('Данные 2st'!$Q$2:$Q$317,$A34,'Данные 2st'!$ER$2:$ER$317),"")</f>
        <v>7021.364</v>
      </c>
      <c r="LZ34" s="7">
        <f>IFERROR(AVERAGEIF('Данные 2st'!$Q$2:$Q$317,$A34,'Данные 2st'!$ES$2:$ES$317),"")</f>
        <v>0</v>
      </c>
      <c r="MA34" s="7">
        <f>IFERROR(AVERAGEIF('Данные 2st'!$Q$2:$Q$317,$A34,'Данные 2st'!$ET$2:$ET$317),"")</f>
        <v>0</v>
      </c>
      <c r="MB34" s="7">
        <f>IFERROR(AVERAGEIF('Данные 2st'!$Q$2:$Q$317,$A34,'Данные 2st'!$EU$2:$EU$317),"")</f>
        <v>1</v>
      </c>
      <c r="MC34" s="7">
        <f>IFERROR(AVERAGEIF('Данные 2st'!$Q$2:$Q$317,$A34,'Данные 2st'!$EV$2:$EV$317),"")</f>
        <v>39514.4</v>
      </c>
      <c r="MD34" s="7">
        <f>IFERROR(AVERAGEIF('Данные 2st'!$Q$2:$Q$317,$A34,'Данные 2st'!$EW$2:$EW$317),"")</f>
        <v>474.6</v>
      </c>
      <c r="ME34" s="7">
        <f>IFERROR(AVERAGEIF('Данные 2st'!$Q$2:$Q$317,$A34,'Данные 2st'!$EY$2:$EY$317),"")</f>
        <v>215.2</v>
      </c>
      <c r="MF34" s="7">
        <f>IFERROR(AVERAGEIF('Данные 2st'!$Q$2:$Q$317,$A34,'Данные 2st'!$FA$2:$FA$317),"")</f>
        <v>5.2</v>
      </c>
      <c r="MG34" s="7">
        <f>IFERROR(AVERAGEIF('Данные 2st'!$Q$2:$Q$317,$A34,'Данные 2st'!$FB$2:$FB$317),"")</f>
        <v>1</v>
      </c>
      <c r="MH34" s="7">
        <f>IFERROR(AVERAGEIF('Данные 2st'!$Q$2:$Q$317,$A34,'Данные 2st'!$FC$2:$FC$317),"")</f>
        <v>1</v>
      </c>
      <c r="MI34" s="7">
        <f>IFERROR(AVERAGEIF('Данные 2st'!$Q$2:$Q$317,$A34,'Данные 2st'!$FD$2:$FD$317),"")</f>
        <v>1962.8</v>
      </c>
      <c r="MJ34" s="7">
        <f>IFERROR(AVERAGEIF('Данные 2st'!$Q$2:$Q$317,$A34,'Данные 2st'!$FE$2:$FE$317),"")</f>
        <v>2326.4</v>
      </c>
      <c r="MK34" s="7">
        <f>IFERROR(AVERAGEIF('Данные 2st'!$Q$2:$Q$317,$A34,'Данные 2st'!$FG$2:$FG$317),"")</f>
        <v>216.4</v>
      </c>
      <c r="ML34" s="7">
        <f>IFERROR(AVERAGEIF('Данные 2st'!$Q$2:$Q$317,$A34,'Данные 2st'!$FI$2:$FI$317),"")</f>
        <v>3.04</v>
      </c>
      <c r="MM34" s="7">
        <f>IFERROR(AVERAGEIF('Данные 2st'!$Q$2:$Q$317,$A34,'Данные 2st'!$FJ$2:$FJ$317),"")</f>
        <v>1962.8</v>
      </c>
      <c r="MN34" s="7">
        <f>IFERROR(AVERAGEIF('Данные 2st'!$Q$2:$Q$317,$A34,'Данные 2st'!$FK$2:$FK$317),"")</f>
        <v>1524</v>
      </c>
      <c r="MO34" s="7">
        <f>IFERROR(AVERAGEIF('Данные 2st'!$Q$2:$Q$317,$A34,'Данные 2st'!$FP$2:$FP$317),"")</f>
        <v>1962.8</v>
      </c>
      <c r="MP34" s="7">
        <f>IFERROR(AVERAGEIF('Данные 2st'!$Q$2:$Q$317,$A34,'Данные 2st'!$FQ$2:$FQ$317),"")</f>
        <v>163</v>
      </c>
      <c r="MQ34" s="7">
        <f>IFERROR(AVERAGEIF('Данные 2st'!$Q$2:$Q$317,$A34,'Данные 2st'!$FS$2:$FS$317),"")</f>
        <v>220.4</v>
      </c>
      <c r="MR34" s="7">
        <f>IFERROR(AVERAGEIF('Данные 2st'!$Q$2:$Q$317,$A34,'Данные 2st'!$FU$2:$FU$317),"")</f>
        <v>0.4</v>
      </c>
      <c r="MS34" s="7">
        <f>IFERROR(AVERAGEIF('Данные 2st'!$Q$2:$Q$317,$A34,'Данные 2st'!$FV$2:$FV$317),"")</f>
        <v>1962.8</v>
      </c>
      <c r="MT34" s="7">
        <f>IFERROR(AVERAGEIF('Данные 2st'!$Q$2:$Q$317,$A34,'Данные 2st'!$FW$2:$FW$317),"")</f>
        <v>192.6</v>
      </c>
      <c r="MU34" s="7">
        <f>IFERROR(AVERAGEIF('Данные 2st'!$Q$2:$Q$317,$A34,'Данные 2st'!$FY$2:$FY$317),"")</f>
        <v>5</v>
      </c>
      <c r="MV34" s="7">
        <f>IFERROR(AVERAGEIF('Данные 2st'!$Q$2:$Q$317,$A34,'Данные 2st'!$GB$2:$GB$317),"")</f>
        <v>1963.75</v>
      </c>
      <c r="MW34" s="7">
        <f>IFERROR(AVERAGEIF('Данные 2st'!$Q$2:$Q$317,$A34,'Данные 2st'!$GC$2:$GC$317),"")</f>
        <v>19</v>
      </c>
      <c r="MX34" s="7">
        <f>IFERROR(AVERAGEIF('Данные 2st'!$Q$2:$Q$317,$A34,'Данные 2st'!$GD$2:$GD$317),"")</f>
        <v>4221.2</v>
      </c>
      <c r="MY34" s="7">
        <f>IFERROR(AVERAGEIF('Данные 2st'!$Q$2:$Q$317,$A34,'Данные 2st'!$GN$2:$GN$317),"")</f>
        <v/>
      </c>
      <c r="MZ34" s="7">
        <f>IFERROR(AVERAGEIF('Данные 2st'!$Q$2:$Q$317,$A34,'Данные 2st'!$GQ$2:$GQ$317),"")</f>
        <v>0</v>
      </c>
      <c r="NA34" s="7">
        <f>IFERROR(AVERAGEIF('Данные 2st'!$Q$2:$Q$317,$A34,'Данные 2st'!$GV$2:$GV$317),"")</f>
        <v>8.64</v>
      </c>
      <c r="NB34" s="7">
        <f>IFERROR(AVERAGEIF('Данные 2st'!$Q$2:$Q$317,$A34,'Данные 2st'!$GW$2:$GW$317),"")</f>
        <v>10.08</v>
      </c>
      <c r="NC34" s="7">
        <f>IFERROR(AVERAGEIF('Данные 2st'!$Q$2:$Q$317,$A34,'Данные 2st'!$GX$2:$GX$317),"")</f>
        <v>0.5</v>
      </c>
      <c r="ND34" s="7">
        <f>IFERROR(AVERAGEIF('Данные 2st'!$Q$2:$Q$317,$A34,'Данные 2st'!$GY$2:$GY$317),"")</f>
        <v>192</v>
      </c>
      <c r="NE34" s="7">
        <f>IFERROR(AVERAGEIF('Данные 2st'!$Q$2:$Q$317,$A34,'Данные 2st'!$GZ$2:$GZ$317),"")</f>
        <v>3</v>
      </c>
      <c r="NF34" s="7">
        <f>IFERROR(AVERAGEIF('Данные 2st'!$Q$2:$Q$317,$A34,'Данные 2st'!$HA$2:$HA$317),"")</f>
        <v>236.4</v>
      </c>
      <c r="NG34" s="7">
        <f>IFERROR(AVERAGEIF('Данные 2st'!$Q$2:$Q$317,$A34,'Данные 2st'!$HB$2:$HB$317),"")</f>
        <v>3</v>
      </c>
      <c r="NH34" s="7">
        <f>IFERROR(AVERAGEIF('Данные 2st'!$Q$2:$Q$317,$A34,'Данные 2st'!$HC$2:$HC$317),"")</f>
        <v>1962.8</v>
      </c>
      <c r="NI34" s="7">
        <f>IFERROR(AVERAGEIF('Данные 2st'!$Q$2:$Q$317,$A34,'Данные 2st'!$HD$2:$HD$317),"")</f>
        <v>4</v>
      </c>
      <c r="NJ34" s="7">
        <f>IFERROR(AVERAGEIF('Данные 2st'!$Q$2:$Q$317,$A34,'Данные 2st'!$HM$2:$HM$317),"")</f>
        <v>17</v>
      </c>
      <c r="NK34" s="7">
        <f>IFERROR(AVERAGEIF('Данные 2st'!$Q$2:$Q$317,$A34,'Данные 2st'!$HR$2:$HR$317),"")</f>
        <v>2.4</v>
      </c>
      <c r="NL34" s="7">
        <f>IFERROR(AVERAGEIF('Данные 2st'!$Q$2:$Q$317,$A34,'Данные 2st'!$HS$2:$HS$317),"")</f>
        <v>1916</v>
      </c>
      <c r="NM34" s="7">
        <f>IFERROR(AVERAGEIF('Данные 2st'!$Q$2:$Q$317,$A34,'Данные 2st'!$HT$2:$HT$317),"")</f>
        <v>5</v>
      </c>
      <c r="NN34" s="7">
        <f>IFERROR(AVERAGEIF('Данные 2st'!$Q$2:$Q$317,$A34,'Данные 2st'!$HY$2:$HY$317),"")</f>
        <v>0</v>
      </c>
      <c r="NO34" s="7">
        <f>IFERROR(AVERAGEIF('Данные 2st'!$Q$2:$Q$317,$A34,'Данные 2st'!$HZ$2:$HZ$317),"")</f>
        <v>63.8</v>
      </c>
      <c r="NP34" s="7">
        <f>IFERROR(AVERAGEIF('Данные 2st'!$Q$2:$Q$317,$A34,'Данные 2st'!$IA$2:$IA$317),"")</f>
        <v>1919</v>
      </c>
      <c r="NQ34" s="7">
        <f>IFERROR(AVERAGEIF('Данные 2st'!$Q$2:$Q$317,$A34,'Данные 2st'!$IB$2:$IB$317),"")</f>
        <v>1930</v>
      </c>
      <c r="NR34" s="7">
        <f>IFERROR(AVERAGEIF('Данные 2st'!$Q$2:$Q$317,$A34,'Данные 2st'!$IC$2:$IC$317),"")</f>
        <v/>
      </c>
      <c r="NS34" s="7">
        <f>IFERROR(AVERAGEIF('Данные 2st'!$Q$2:$Q$317,$A34,'Данные 2st'!$ID$2:$ID$317),"")</f>
        <v>1962.8</v>
      </c>
      <c r="NT34" s="7">
        <f>IFERROR(AVERAGEIF('Данные 2st'!$Q$2:$Q$317,$A34,'Данные 2st'!$IE$2:$IE$317),"")</f>
        <v>1962.8</v>
      </c>
      <c r="NU34" s="7">
        <f>IFERROR(AVERAGEIF('Данные 2st'!$Q$2:$Q$317,$A34,'Данные 2st'!$IF$2:$IF$317),"")</f>
        <v>198</v>
      </c>
      <c r="NV34" s="7">
        <f>IFERROR(AVERAGEIF('Данные 2st'!$Q$2:$Q$317,$A34,'Данные 2st'!$IG$2:$IG$317),"")</f>
        <v>188</v>
      </c>
      <c r="NW34" s="7">
        <f>IFERROR(AVERAGEIF('Данные 2st'!$Q$2:$Q$317,$A34,'Данные 2st'!$IH$2:$IH$317),"")</f>
        <v>236.4</v>
      </c>
      <c r="NX34" s="7">
        <f>IFERROR(AVERAGEIF('Данные 2st'!$Q$2:$Q$317,$A34,'Данные 2st'!$IJ$2:$IJ$317),"")</f>
        <v>6</v>
      </c>
      <c r="NY34" s="7">
        <f>IFERROR(AVERAGEIF('Данные 2st'!$Q$2:$Q$317,$A34,'Данные 2st'!$IM$2:$IM$317),"")</f>
        <v>0</v>
      </c>
      <c r="NZ34" s="7">
        <f>IFERROR(AVERAGEIF('Данные 2st'!$Q$2:$Q$317,$A34,'Данные 2st'!$IN$2:$IN$317),"")</f>
        <v>270</v>
      </c>
      <c r="OA34" s="7">
        <f>IFERROR(AVERAGEIF('Данные 2st'!$Q$2:$Q$317,$A34,'Данные 2st'!$IO$2:$IO$317),"")</f>
        <v>0</v>
      </c>
      <c r="OB34" s="7">
        <f>IFERROR(AVERAGEIF('Данные 2st'!$Q$2:$Q$317,$A34,'Данные 2st'!$IP$2:$IP$317),"")</f>
        <v>180</v>
      </c>
      <c r="OC34" s="7">
        <f>IFERROR(AVERAGEIF('Данные 2st'!$Q$2:$Q$317,$A34,'Данные 2st'!$IQ$2:$IQ$317),"")</f>
        <v>0</v>
      </c>
      <c r="OD34" s="7">
        <f>IFERROR(AVERAGEIF('Данные 2st'!$Q$2:$Q$317,$A34,'Данные 2st'!$IR$2:$IR$317),"")</f>
        <v>326</v>
      </c>
      <c r="OE34" s="7">
        <f>IFERROR(AVERAGEIF('Данные 2st'!$Q$2:$Q$317,$A34,'Данные 2st'!$IT$2:$IT$317),"")</f>
        <v>90</v>
      </c>
      <c r="OF34" s="7">
        <f>IFERROR(AVERAGEIF('Данные 2st'!$Q$2:$Q$317,$A34,'Данные 2st'!$IU$2:$IU$317),"")</f>
        <v>0</v>
      </c>
      <c r="OG34" s="7">
        <f>IFERROR(AVERAGEIF('Данные 2st'!$Q$2:$Q$317,$A34,'Данные 2st'!$IV$2:$IV$317),"")</f>
        <v>6.4</v>
      </c>
      <c r="OH34" s="7">
        <f>IFERROR(AVERAGEIF('Данные 2st'!$Q$2:$Q$317,$A34,'Данные 2st'!$IW$2:$IW$317),"")</f>
        <v>-6</v>
      </c>
      <c r="OI34" s="7">
        <f>IFERROR(AVERAGEIF('Данные 2st'!$Q$2:$Q$317,$A34,'Данные 2st'!$IX$2:$IX$317),"")</f>
        <v>101.8</v>
      </c>
      <c r="OJ34" s="7">
        <f>IFERROR(AVERAGEIF('Данные 2st'!$Q$2:$Q$317,$A34,'Данные 2st'!$IY$2:$IY$317),"")</f>
        <v>78.6</v>
      </c>
      <c r="OK34" s="7">
        <f>IFERROR(AVERAGEIF('Данные 2st'!$Q$2:$Q$317,$A34,'Данные 2st'!$IZ$2:$IZ$317),"")</f>
        <v>0</v>
      </c>
      <c r="OL34" s="7">
        <f>IFERROR(AVERAGEIF('Данные 2st'!$Q$2:$Q$317,$A34,'Данные 2st'!$JA$2:$JA$317),"")</f>
        <v>0</v>
      </c>
      <c r="OM34" s="7">
        <f>IFERROR(AVERAGEIF('Данные 2st'!$Q$2:$Q$317,$A34,'Данные 2st'!$JB$2:$JB$317),"")</f>
        <v>0</v>
      </c>
      <c r="ON34" s="7">
        <f>IFERROR(AVERAGEIF('Данные 2st'!$Q$2:$Q$317,$A34,'Данные 2st'!$JC$2:$JC$317),"")</f>
        <v>0</v>
      </c>
      <c r="OO34" s="7">
        <f>IFERROR(AVERAGEIF('Данные 2st'!$Q$2:$Q$317,$A34,'Данные 2st'!$JD$2:$JD$317),"")</f>
        <v>0</v>
      </c>
      <c r="OP34" s="7">
        <f>IFERROR(AVERAGEIF('Данные 2st'!$Q$2:$Q$317,$A34,'Данные 2st'!$JE$2:$JE$317),"")</f>
        <v>0</v>
      </c>
      <c r="OQ34" s="7">
        <f>IFERROR(AVERAGEIF('Данные 2st'!$Q$2:$Q$317,$A34,'Данные 2st'!$JF$2:$JF$317),"")</f>
        <v>0</v>
      </c>
      <c r="OR34" s="7">
        <f>IFERROR(AVERAGEIF('Данные 2st'!$Q$2:$Q$317,$A34,'Данные 2st'!$JG$2:$JG$317),"")</f>
        <v>0</v>
      </c>
      <c r="OS34" s="7">
        <f>IFERROR(AVERAGEIF('Данные 2st'!$Q$2:$Q$317,$A34,'Данные 2st'!$JH$2:$JH$317),"")</f>
        <v>0</v>
      </c>
      <c r="OT34" s="7">
        <f>IFERROR(AVERAGEIF('Данные 2st'!$Q$2:$Q$317,$A34,'Данные 2st'!$JI$2:$JI$317),"")</f>
        <v>366</v>
      </c>
      <c r="OU34" s="7">
        <f>IFERROR(AVERAGEIF('Данные 2st'!$Q$2:$Q$317,$A34,'Данные 2st'!$JJ$2:$JJ$317),"")</f>
        <v>336</v>
      </c>
      <c r="OV34" s="7">
        <f>IFERROR(AVERAGEIF('Данные 2st'!$Q$2:$Q$317,$A34,'Данные 2st'!$JK$2:$JK$317),"")</f>
        <v>254.8</v>
      </c>
      <c r="OW34" s="7">
        <f>IFERROR(AVERAGEIF('Данные 2st'!$Q$2:$Q$317,$A34,'Данные 2st'!$JL$2:$JL$317),"")</f>
        <v>334.4</v>
      </c>
      <c r="OX34" s="7">
        <f>IFERROR(AVERAGEIF('Данные 2st'!$Q$2:$Q$317,$A34,'Данные 2st'!$JM$2:$JM$317),"")</f>
        <v>261.4</v>
      </c>
      <c r="OY34" s="7">
        <f>IFERROR(AVERAGEIF('Данные 2st'!$Q$2:$Q$317,$A34,'Данные 2st'!$JP$2:$JP$317),"")</f>
        <v>222</v>
      </c>
      <c r="OZ34" s="7">
        <f>IFERROR(AVERAGEIF('Данные 2st'!$Q$2:$Q$317,$A34,'Данные 2st'!$JQ$2:$JQ$317),"")</f>
        <v>260</v>
      </c>
      <c r="PA34" s="7">
        <f>IFERROR(AVERAGEIF('Данные 2st'!$Q$2:$Q$317,$A34,'Данные 2st'!$JR$2:$JR$317),"")</f>
        <v>323.6</v>
      </c>
      <c r="PB34" s="7">
        <f>IFERROR(AVERAGEIF('Данные 2st'!$Q$2:$Q$317,$A34,'Данные 2st'!$JS$2:$JS$317),"")</f>
        <v>255.2</v>
      </c>
      <c r="PC34" s="7">
        <f>IFERROR(AVERAGEIF('Данные 2st'!$Q$2:$Q$317,$A34,'Данные 2st'!$JT$2:$JT$317),"")</f>
        <v>0</v>
      </c>
      <c r="PD34" s="7">
        <f>IFERROR(AVERAGEIF('Данные 2st'!$Q$2:$Q$317,$A34,'Данные 2st'!$JU$2:$JU$317),"")</f>
        <v>0</v>
      </c>
      <c r="PE34" s="7">
        <f>IFERROR(AVERAGEIF('Данные 2st'!$Q$2:$Q$317,$A34,'Данные 2st'!$JV$2:$JV$317),"")</f>
        <v>311.2</v>
      </c>
      <c r="PF34" s="7">
        <f>IFERROR(AVERAGEIF('Данные 2st'!$Q$2:$Q$317,$A34,'Данные 2st'!$JW$2:$JW$317),"")</f>
        <v>310.8</v>
      </c>
      <c r="PG34" s="7">
        <f>IFERROR(AVERAGEIF('Данные 2st'!$Q$2:$Q$317,$A34,'Данные 2st'!$KF$2:$KF$317),"")</f>
        <v>0.17</v>
      </c>
      <c r="PH34" s="7">
        <f>IFERROR(AVERAGEIF('Данные 2st'!$Q$2:$Q$317,$A34,'Данные 2st'!$KG$2:$KG$317),"")</f>
        <v>0.1</v>
      </c>
      <c r="PI34" s="7">
        <f>IFERROR(AVERAGEIF('Данные 2st'!$Q$2:$Q$317,$A34,'Данные 2st'!$KM$2:$KM$317),"")</f>
        <v>1.1</v>
      </c>
      <c r="PJ34" s="7">
        <f>IFERROR(AVERAGEIF('Данные 2st'!$Q$2:$Q$317,$A34,'Данные 2st'!$KN$2:$KN$317),"")</f>
        <v>1.54</v>
      </c>
      <c r="PK34" s="7">
        <f>IFERROR(AVERAGEIF('Данные 2st'!$Q$2:$Q$317,$A34,'Данные 2st'!$KO$2:$KO$317),"")</f>
        <v>0</v>
      </c>
      <c r="PL34" s="7">
        <f>IFERROR(AVERAGEIF('Данные 2st'!$Q$2:$Q$317,$A34,'Данные 2st'!$KP$2:$KP$317),"")</f>
        <v>0</v>
      </c>
      <c r="PM34" s="7">
        <f>IFERROR(AVERAGEIF('Данные 2st'!$Q$2:$Q$317,$A34,'Данные 2st'!$KQ$2:$KQ$317),"")</f>
        <v>1.04</v>
      </c>
      <c r="PN34" s="7">
        <f>IFERROR(AVERAGEIF('Данные 2st'!$Q$2:$Q$317,$A34,'Данные 2st'!$KR$2:$KR$317),"")</f>
        <v>0.8400000000000001</v>
      </c>
      <c r="PO34" s="7">
        <f>IFERROR(AVERAGEIF('Данные 2st'!$Q$2:$Q$317,$A34,'Данные 2st'!$KS$2:$KS$317),"")</f>
        <v>0.16</v>
      </c>
      <c r="PP34" s="7">
        <f>IFERROR(AVERAGEIF('Данные 2st'!$Q$2:$Q$317,$A34,'Данные 2st'!$KT$2:$KT$317),"")</f>
        <v>2.16</v>
      </c>
      <c r="PQ34" s="7">
        <f>IFERROR(AVERAGEIF('Данные 2st'!$Q$2:$Q$317,$A34,'Данные 2st'!$KU$2:$KU$317),"")</f>
        <v>0</v>
      </c>
      <c r="PR34" s="7">
        <f>IFERROR(AVERAGEIF('Данные 2st'!$Q$2:$Q$317,$A34,'Данные 2st'!$KV$2:$KV$317),"")</f>
        <v>0</v>
      </c>
      <c r="PS34" s="7">
        <f>IFERROR(AVERAGEIF('Данные 2st'!$Q$2:$Q$317,$A34,'Данные 2st'!$KW$2:$KW$317),"")</f>
        <v>1.2</v>
      </c>
      <c r="PT34" s="7">
        <f>IFERROR(AVERAGEIF('Данные 2st'!$Q$2:$Q$317,$A34,'Данные 2st'!$KX$2:$KX$317),"")</f>
        <v>2</v>
      </c>
      <c r="PU34" s="7">
        <f>IFERROR(AVERAGEIF('Данные 2st'!$Q$2:$Q$317,$A34,'Данные 2st'!$KY$2:$KY$317),"")</f>
        <v>0</v>
      </c>
      <c r="PV34" s="7">
        <f>IFERROR(AVERAGEIF('Данные 2st'!$Q$2:$Q$317,$A34,'Данные 2st'!$KZ$2:$KZ$317),"")</f>
        <v>0</v>
      </c>
      <c r="PW34" s="7">
        <f>IFERROR(AVERAGEIF('Данные 2st'!$Q$2:$Q$317,$A34,'Данные 2st'!$LA$2:$LA$317),"")</f>
        <v>0</v>
      </c>
      <c r="PX34" s="7">
        <f>IFERROR(AVERAGEIF('Данные 2st'!$Q$2:$Q$317,$A34,'Данные 2st'!$LB$2:$LB$317),"")</f>
        <v>0</v>
      </c>
      <c r="PY34" s="7">
        <f>IFERROR(AVERAGEIF('Данные 2st'!$Q$2:$Q$317,$A34,'Данные 2st'!$LC$2:$LC$317),"")</f>
        <v>0</v>
      </c>
      <c r="PZ34" s="7">
        <f>IFERROR(AVERAGEIF('Данные 2st'!$Q$2:$Q$317,$A34,'Данные 2st'!$LD$2:$LD$317),"")</f>
        <v>0</v>
      </c>
      <c r="QA34" s="7">
        <f>IFERROR(AVERAGEIF('Данные 2st'!$Q$2:$Q$317,$A34,'Данные 2st'!$LE$2:$LE$317),"")</f>
        <v>0</v>
      </c>
      <c r="QB34" s="7">
        <f>IFERROR(AVERAGEIF('Данные 2st'!$Q$2:$Q$317,$A34,'Данные 2st'!$LF$2:$LF$317),"")</f>
        <v>0</v>
      </c>
      <c r="QC34" s="7">
        <f>IFERROR(AVERAGEIF('Данные 2st'!$Q$2:$Q$317,$A34,'Данные 2st'!$LG$2:$LG$317),"")</f>
        <v>0</v>
      </c>
      <c r="QD34" s="7">
        <f>IFERROR(AVERAGEIF('Данные 2st'!$Q$2:$Q$317,$A34,'Данные 2st'!$LH$2:$LH$317),"")</f>
        <v>3</v>
      </c>
      <c r="QE34" s="7">
        <f>IFERROR(AVERAGEIF('Данные 2st'!$Q$2:$Q$317,$A34,'Данные 2st'!$LJ$2:$LJ$317),"")</f>
        <v>0</v>
      </c>
      <c r="QF34" s="7">
        <f>IFERROR(AVERAGEIF('Данные 2st'!$Q$2:$Q$317,$A34,'Данные 2st'!$LK$2:$LK$317),"")</f>
        <v>5</v>
      </c>
      <c r="QG34" s="7">
        <f>IFERROR(AVERAGEIF('Данные 2st'!$Q$2:$Q$317,$A34,'Данные 2st'!$LL$2:$LL$317),"")</f>
        <v>7.4</v>
      </c>
      <c r="QH34" s="7">
        <f>IFERROR(AVERAGEIF('Данные 2st'!$Q$2:$Q$317,$A34,'Данные 2st'!$LM$2:$LM$317),"")</f>
        <v>6.6</v>
      </c>
      <c r="QI34" s="7">
        <f>IFERROR(AVERAGEIF('Данные 2st'!$Q$2:$Q$317,$A34,'Данные 2st'!$LN$2:$LN$317),"")</f>
        <v>0.42</v>
      </c>
      <c r="QJ34" s="7">
        <f>IFERROR(AVERAGEIF('Данные 2st'!$Q$2:$Q$317,$A34,'Данные 2st'!$LO$2:$LO$317),"")</f>
        <v>0.98</v>
      </c>
      <c r="QK34" s="7">
        <f>IFERROR(AVERAGEIF('Данные 2st'!$Q$2:$Q$317,$A34,'Данные 2st'!$LP$2:$LP$317),"")</f>
        <v>0</v>
      </c>
      <c r="QL34" s="7">
        <f>IFERROR(AVERAGEIF('Данные 2st'!$Q$2:$Q$317,$A34,'Данные 2st'!$LQ$2:$LQ$317),"")</f>
        <v>0</v>
      </c>
      <c r="QM34" s="7">
        <f>IFERROR(AVERAGEIF('Данные 2st'!$Q$2:$Q$317,$A34,'Данные 2st'!$LW$2:$LW$317),"")</f>
        <v>1.54</v>
      </c>
      <c r="QN34" s="7">
        <f>IFERROR(AVERAGEIF('Данные 2st'!$Q$2:$Q$317,$A34,'Данные 2st'!$LX$2:$LX$317),"")</f>
        <v>1.54</v>
      </c>
      <c r="QO34" s="7">
        <f>IFERROR(AVERAGEIF('Данные 2st'!$Q$2:$Q$317,$A34,'Данные 2st'!$LY$2:$LY$317),"")</f>
        <v>1.6</v>
      </c>
      <c r="QP34" s="7">
        <f>IFERROR(AVERAGEIF('Данные 2st'!$Q$2:$Q$317,$A34,'Данные 2st'!$LZ$2:$LZ$317),"")</f>
        <v>1.6</v>
      </c>
      <c r="QQ34" s="7">
        <f>IFERROR(AVERAGEIF('Данные 2st'!$Q$2:$Q$317,$A34,'Данные 2st'!$MB$2:$MB$317),"")</f>
        <v>3.2</v>
      </c>
      <c r="QR34" s="7">
        <f>IFERROR(AVERAGEIF('Данные 2st'!$Q$2:$Q$317,$A34,'Данные 2st'!$MG$2:$MG$317),"")</f>
        <v>0</v>
      </c>
      <c r="QS34" s="7">
        <f>IFERROR(AVERAGEIF('Данные 2st'!$Q$2:$Q$317,$A34,'Данные 2st'!$MH$2:$MH$317),"")</f>
        <v>0</v>
      </c>
      <c r="QT34" s="7">
        <f>IFERROR(AVERAGEIF('Данные 2st'!$Q$2:$Q$317,$A34,'Данные 2st'!$MI$2:$MI$317),"")</f>
        <v>0</v>
      </c>
      <c r="QU34" s="7">
        <f>IFERROR(AVERAGEIF('Данные 2st'!$Q$2:$Q$317,$A34,'Данные 2st'!$MJ$2:$MJ$317),"")</f>
        <v>0</v>
      </c>
      <c r="QV34" s="7">
        <f>IFERROR(AVERAGEIF('Данные 2st'!$Q$2:$Q$317,$A34,'Данные 2st'!$MK$2:$MK$317),"")</f>
        <v>0</v>
      </c>
      <c r="QW34" s="7">
        <f>IFERROR(AVERAGEIF('Данные 2st'!$Q$2:$Q$317,$A34,'Данные 2st'!$MM$2:$MM$317),"")</f>
        <v>389.6</v>
      </c>
      <c r="QX34" s="7">
        <f>IFERROR(AVERAGEIF('Данные 2st'!$Q$2:$Q$317,$A34,'Данные 2st'!$MQ$2:$MQ$317),"")</f>
        <v/>
      </c>
      <c r="QY34" s="7">
        <f>IFERROR(AVERAGEIF('Данные 2st'!$Q$2:$Q$317,$A34,'Данные 2st'!$MR$2:$MR$317),"")</f>
        <v/>
      </c>
      <c r="QZ34" s="7">
        <f>IFERROR(AVERAGEIF('Данные 2st'!$Q$2:$Q$317,$A34,'Данные 2st'!$MS$2:$MS$317),"")</f>
        <v/>
      </c>
      <c r="RA34" s="7">
        <f>IFERROR(AVERAGEIF('Данные 2st'!$Q$2:$Q$317,$A34,'Данные 2st'!$MT$2:$MT$317),"")</f>
        <v/>
      </c>
      <c r="RB34" s="7">
        <f>IFERROR(AVERAGEIF('Данные 2st'!$Q$2:$Q$317,$A34,'Данные 2st'!$MU$2:$MU$317),"")</f>
        <v/>
      </c>
      <c r="RC34" s="7">
        <f>IFERROR(AVERAGEIF('Данные 2st'!$Q$2:$Q$317,$A34,'Данные 2st'!$MV$2:$MV$317),"")</f>
        <v/>
      </c>
      <c r="RD34" s="7">
        <f>IFERROR(AVERAGEIF('Данные 2st'!$Q$2:$Q$317,$A34,'Данные 2st'!$MW$2:$MW$317),"")</f>
        <v/>
      </c>
      <c r="RE34" s="7">
        <f>IFERROR(AVERAGEIF('Данные 2st'!$Q$2:$Q$317,$A34,'Данные 2st'!$MX$2:$MX$317),"")</f>
        <v/>
      </c>
      <c r="RF34" s="7">
        <f>IFERROR(AVERAGEIF('Данные 2st'!$Q$2:$Q$317,$A34,'Данные 2st'!$MY$2:$MY$317),"")</f>
        <v/>
      </c>
      <c r="RG34" s="7">
        <f>IFERROR(AVERAGEIF('Данные 2st'!$Q$2:$Q$317,$A34,'Данные 2st'!$MZ$2:$MZ$317),"")</f>
        <v/>
      </c>
      <c r="RH34" s="7">
        <f>IFERROR(AVERAGEIF('Данные 2st'!$Q$2:$Q$317,$A34,'Данные 2st'!$NA$2:$NA$317),"")</f>
        <v/>
      </c>
      <c r="RI34" s="7">
        <f>IFERROR(AVERAGEIF('Данные 2st'!$Q$2:$Q$317,$A34,'Данные 2st'!$NB$2:$NB$317),"")</f>
        <v/>
      </c>
      <c r="RJ34" s="7">
        <f>IFERROR(AVERAGEIF('Данные 2st'!$Q$2:$Q$317,$A34,'Данные 2st'!$NC$2:$NC$317),"")</f>
        <v/>
      </c>
      <c r="RK34" s="7">
        <f>IFERROR(AVERAGEIF('Данные 2st'!$Q$2:$Q$317,$A34,'Данные 2st'!$ND$2:$ND$317),"")</f>
        <v/>
      </c>
      <c r="RL34" s="7">
        <f>IFERROR(AVERAGEIF('Данные 2st'!$Q$2:$Q$317,$A34,'Данные 2st'!$NE$2:$NE$317),"")</f>
        <v/>
      </c>
      <c r="RM34" s="7">
        <f>IFERROR(AVERAGEIF('Данные 2st'!$Q$2:$Q$317,$A34,'Данные 2st'!$NF$2:$NF$317),"")</f>
        <v/>
      </c>
      <c r="RN34" s="7">
        <f>IFERROR(AVERAGEIF('Данные 2st'!$Q$2:$Q$317,$A34,'Данные 2st'!$NG$2:$NG$317),"")</f>
        <v/>
      </c>
      <c r="RO34" s="7">
        <f>IFERROR(AVERAGEIF('Данные 2st'!$Q$2:$Q$317,$A34,'Данные 2st'!$NH$2:$NH$317),"")</f>
        <v/>
      </c>
      <c r="RP34" s="7">
        <f>IFERROR(AVERAGEIF('Данные 2st'!$Q$2:$Q$317,$A34,'Данные 2st'!$NJ$2:$NJ$317),"")</f>
        <v/>
      </c>
      <c r="RQ34" s="7">
        <f>IFERROR(AVERAGEIF('Данные 2st'!$Q$2:$Q$317,$A34,'Данные 2st'!$NK$2:$NK$317),"")</f>
        <v/>
      </c>
      <c r="RR34" s="7">
        <f>IFERROR(AVERAGEIF('Данные 2st'!$Q$2:$Q$317,$A34,'Данные 2st'!$NM$2:$NM$317),"")</f>
        <v/>
      </c>
      <c r="RS34" s="7">
        <f>IFERROR(AVERAGEIF('Данные 2st'!$Q$2:$Q$317,$A34,'Данные 2st'!$NN$2:$NN$317),"")</f>
        <v/>
      </c>
      <c r="RT34" s="7">
        <f>IFERROR(AVERAGEIF('Данные 2st'!$Q$2:$Q$317,$A34,'Данные 2st'!$NO$2:$NO$317),"")</f>
        <v/>
      </c>
      <c r="RU34" s="7">
        <f>IFERROR(AVERAGEIF('Данные 2st'!$Q$2:$Q$317,$A34,'Данные 2st'!$NP$2:$NP$317),"")</f>
        <v/>
      </c>
      <c r="RV34" s="7">
        <f>IFERROR(AVERAGEIF('Данные 2st'!$Q$2:$Q$317,$A34,'Данные 2st'!$NQ$2:$NQ$317),"")</f>
        <v/>
      </c>
      <c r="RW34" s="7">
        <f>IFERROR(AVERAGEIF('Данные 2st'!$Q$2:$Q$317,$A34,'Данные 2st'!$NR$2:$NR$317),"")</f>
        <v/>
      </c>
      <c r="RX34" s="7">
        <f>IFERROR(AVERAGEIF('Данные 2st'!$Q$2:$Q$317,$A34,'Данные 2st'!$NS$2:$NS$317),"")</f>
        <v/>
      </c>
      <c r="RY34" s="7">
        <f>IFERROR(AVERAGEIF('Данные 2st'!$Q$2:$Q$317,$A34,'Данные 2st'!$NT$2:$NT$317),"")</f>
        <v/>
      </c>
      <c r="RZ34" s="7">
        <f>IFERROR(AVERAGEIF('Данные 2st'!$Q$2:$Q$317,$A34,'Данные 2st'!$OK$2:$OK$317),"")</f>
        <v>61</v>
      </c>
      <c r="SA34" s="7">
        <f>IFERROR(AVERAGEIF('Данные 2st'!$Q$2:$Q$317,$A34,'Данные 2st'!$OL$2:$OL$317),"")</f>
        <v>61</v>
      </c>
      <c r="SB34" s="7">
        <f>IFERROR(AVERAGEIF('Данные 2st'!$Q$2:$Q$317,$A34,'Данные 2st'!$ON$2:$ON$317),"")</f>
        <v>1.4</v>
      </c>
      <c r="SC34" s="7">
        <f>IFERROR(AVERAGEIF('Данные 2st'!$Q$2:$Q$317,$A34,'Данные 2st'!$OO$2:$OO$317),"")</f>
        <v>1919</v>
      </c>
      <c r="SD34" s="7">
        <f>IFERROR(AVERAGEIF('Данные 2st'!$Q$2:$Q$317,$A34,'Данные 2st'!$OP$2:$OP$317),"")</f>
        <v>61</v>
      </c>
      <c r="SE34" s="7">
        <f>IFERROR(AVERAGEIF('Данные 2st'!$Q$2:$Q$317,$A34,'Данные 2st'!$OQ$2:$OQ$317),"")</f>
        <v>61</v>
      </c>
      <c r="SF34" s="7">
        <f>IFERROR(AVERAGEIF('Данные 2st'!$Q$2:$Q$317,$A34,'Данные 2st'!$OS$2:$OS$317),"")</f>
        <v>1.4</v>
      </c>
      <c r="SG34" s="7">
        <f>IFERROR(AVERAGEIF('Данные 2st'!$Q$2:$Q$317,$A34,'Данные 2st'!$OT$2:$OT$317),"")</f>
        <v>1930</v>
      </c>
      <c r="SH34" s="7">
        <f>IFERROR(AVERAGEIF('Данные 2st'!$Q$2:$Q$317,$A34,'Данные 2st'!$OU$2:$OU$317),"")</f>
        <v>65</v>
      </c>
      <c r="SI34" s="7">
        <f>IFERROR(AVERAGEIF('Данные 2st'!$Q$2:$Q$317,$A34,'Данные 2st'!$OV$2:$OV$317),"")</f>
        <v>65</v>
      </c>
      <c r="SJ34" s="7">
        <f>IFERROR(AVERAGEIF('Данные 2st'!$Q$2:$Q$317,$A34,'Данные 2st'!$OX$2:$OX$317),"")</f>
        <v>1.8</v>
      </c>
      <c r="SK34" s="7">
        <f>IFERROR(AVERAGEIF('Данные 2st'!$Q$2:$Q$317,$A34,'Данные 2st'!$OY$2:$OY$317),"")</f>
        <v>39514.4</v>
      </c>
      <c r="SL34" s="7">
        <f>IFERROR(AVERAGEIF('Данные 2st'!$Q$2:$Q$317,$A34,'Данные 2st'!$OZ$2:$OZ$317),"")</f>
        <v>51</v>
      </c>
      <c r="SM34" s="7">
        <f>IFERROR(AVERAGEIF('Данные 2st'!$Q$2:$Q$317,$A34,'Данные 2st'!$PA$2:$PA$317),"")</f>
        <v>51.6</v>
      </c>
      <c r="SN34" s="7">
        <f>IFERROR(AVERAGEIF('Данные 2st'!$Q$2:$Q$317,$A34,'Данные 2st'!$PC$2:$PC$317),"")</f>
        <v>1.4</v>
      </c>
      <c r="SO34" s="7">
        <f>IFERROR(AVERAGEIF('Данные 2st'!$Q$2:$Q$317,$A34,'Данные 2st'!$PD$2:$PD$317),"")</f>
        <v>1962.8</v>
      </c>
      <c r="SP34" s="7">
        <f>IFERROR(AVERAGEIF('Данные 2st'!$Q$2:$Q$317,$A34,'Данные 2st'!$PF$2:$PF$317),"")</f>
        <v>415</v>
      </c>
      <c r="SQ34" s="7">
        <f>IFERROR(AVERAGEIF('Данные 2st'!$Q$2:$Q$317,$A34,'Данные 2st'!$PG$2:$PG$317),"")</f>
        <v>33.8</v>
      </c>
      <c r="SR34" s="7">
        <f>IFERROR(AVERAGEIF('Данные 2st'!$Q$2:$Q$317,$A34,'Данные 2st'!$PH$2:$PH$317),"")</f>
        <v>393.8</v>
      </c>
      <c r="SS34" s="7">
        <f>IFERROR(AVERAGEIF('Данные 2st'!$Q$2:$Q$317,$A34,'Данные 2st'!$PI$2:$PI$317),"")</f>
        <v>5.8</v>
      </c>
      <c r="ST34" s="7">
        <f>IFERROR(AVERAGEIF('Данные 2st'!$Q$2:$Q$317,$A34,'Данные 2st'!$PJ$2:$PJ$317),"")</f>
        <v>83.16</v>
      </c>
      <c r="SU34" s="7">
        <f>IFERROR(AVERAGEIF('Данные 2st'!$Q$2:$Q$317,$A34,'Данные 2st'!$PK$2:$PK$317),"")</f>
        <v>1972.3333333333333</v>
      </c>
      <c r="SV34" s="7">
        <f>IFERROR(AVERAGEIF('Данные 2st'!$Q$2:$Q$317,$A34,'Данные 2st'!$PL$2:$PL$317),"")</f>
        <v>1185.26</v>
      </c>
      <c r="SW34" s="7">
        <f>IFERROR(AVERAGEIF('Данные 2st'!$Q$2:$Q$317,$A34,'Данные 2st'!$PM$2:$PM$317),"")</f>
        <v>777.82</v>
      </c>
      <c r="SX34" s="7">
        <f>IFERROR(AVERAGEIF('Данные 2st'!$Q$2:$Q$317,$A34,'Данные 2st'!$PN$2:$PN$317),"")</f>
        <v>98.12</v>
      </c>
      <c r="SY34" s="7">
        <f>IFERROR(AVERAGEIF('Данные 2st'!$Q$2:$Q$317,$A34,'Данные 2st'!$PO$2:$PO$317),"")</f>
        <v>9.625</v>
      </c>
      <c r="SZ34" s="7">
        <f>IFERROR(AVERAGEIF('Данные 2st'!$Q$2:$Q$317,$A34,'Данные 2st'!$PP$2:$PP$317),"")</f>
        <v>12</v>
      </c>
      <c r="TA34" s="7">
        <f>IFERROR(AVERAGEIF('Данные 2st'!$Q$2:$Q$317,$A34,'Данные 2st'!$PQ$2:$PQ$317),"")</f>
        <v>1</v>
      </c>
      <c r="TB34" s="7">
        <f>IFERROR(AVERAGEIF('Данные 2st'!$Q$2:$Q$317,$A34,'Данные 2st'!$PR$2:$PR$317),"")</f>
        <v>1</v>
      </c>
      <c r="TC34" s="7">
        <f>IFERROR(AVERAGEIF('Данные 2st'!$Q$2:$Q$317,$A34,'Данные 2st'!$PS$2:$PS$317),"")</f>
        <v>7</v>
      </c>
      <c r="TD34" s="7">
        <f>IFERROR(AVERAGEIF('Данные 2st'!$Q$2:$Q$317,$A34,'Данные 2st'!$PT$2:$PT$317),"")</f>
        <v>236.4</v>
      </c>
      <c r="TE34" s="7">
        <f>IFERROR(AVERAGEIF('Данные 2st'!$Q$2:$Q$317,$A34,'Данные 2st'!$PU$2:$PU$317),"")</f>
        <v>10</v>
      </c>
      <c r="TF34" s="7">
        <f>IFERROR(AVERAGEIF('Данные 2st'!$Q$2:$Q$317,$A34,'Данные 2st'!$PX$2:$PX$317),"")</f>
        <v>0</v>
      </c>
      <c r="TG34" s="7">
        <f>IFERROR(AVERAGEIF('Данные 2st'!$Q$2:$Q$317,$A34,'Данные 2st'!$PY$2:$PY$317),"")</f>
        <v>0</v>
      </c>
      <c r="TH34" s="7">
        <f>IFERROR(AVERAGEIF('Данные 2st'!$Q$2:$Q$317,$A34,'Данные 2st'!$PZ$2:$PZ$317),"")</f>
        <v>0</v>
      </c>
      <c r="TI34" s="7">
        <f>IFERROR(AVERAGEIF('Данные 2st'!$Q$2:$Q$317,$A34,'Данные 2st'!$QA$2:$QA$317),"")</f>
        <v>0</v>
      </c>
      <c r="TJ34" s="7">
        <f>IFERROR(AVERAGEIF('Данные 2st'!$Q$2:$Q$317,$A34,'Данные 2st'!$QB$2:$QB$317),"")</f>
        <v>0</v>
      </c>
      <c r="TK34" s="7">
        <f>IFERROR(AVERAGEIF('Данные 2st'!$Q$2:$Q$317,$A34,'Данные 2st'!$QC$2:$QC$317),"")</f>
        <v>0</v>
      </c>
      <c r="TL34" s="7">
        <f>IFERROR(AVERAGEIF('Данные 2st'!$Q$2:$Q$317,$A34,'Данные 2st'!$QD$2:$QD$317),"")</f>
        <v>0</v>
      </c>
      <c r="TM34" s="7">
        <f>IFERROR(AVERAGEIF('Данные 2st'!$Q$2:$Q$317,$A34,'Данные 2st'!$QE$2:$QE$317),"")</f>
        <v>-1</v>
      </c>
      <c r="TN34" s="7">
        <f>IFERROR(AVERAGEIF('Данные 2st'!$Q$2:$Q$317,$A34,'Данные 2st'!$QF$2:$QF$317),"")</f>
        <v>1</v>
      </c>
      <c r="TO34" s="7">
        <f>IFERROR(AVERAGEIF('Данные 2st'!$Q$2:$Q$317,$A34,'Данные 2st'!$QG$2:$QG$317),"")</f>
        <v>0</v>
      </c>
      <c r="TP34" s="7">
        <f>IFERROR(AVERAGEIF('Данные 2st'!$Q$2:$Q$317,$A34,'Данные 2st'!$QH$2:$QH$317),"")</f>
        <v>5</v>
      </c>
      <c r="TQ34" s="7">
        <f>IFERROR(AVERAGEIF('Данные 2st'!$Q$2:$Q$317,$A34,'Данные 2st'!$QI$2:$QI$317),"")</f>
        <v>5</v>
      </c>
      <c r="TR34" s="7">
        <f>IFERROR(AVERAGEIF('Данные 2st'!$Q$2:$Q$317,$A34,'Данные 2st'!$QJ$2:$QJ$317),"")</f>
        <v>5</v>
      </c>
      <c r="TS34" s="7">
        <f>IFERROR(AVERAGEIF('Данные 2st'!$Q$2:$Q$317,$A34,'Данные 2st'!$QK$2:$QK$317),"")</f>
        <v>177.4</v>
      </c>
      <c r="TT34" s="7">
        <f>IFERROR(AVERAGEIF('Данные 2st'!$Q$2:$Q$317,$A34,'Данные 2st'!$QL$2:$QL$317),"")</f>
        <v>399.6</v>
      </c>
      <c r="TU34" s="7">
        <f>IFERROR(AVERAGEIF('Данные 2st'!$Q$2:$Q$317,$A34,'Данные 2st'!$QM$2:$QM$317),"")</f>
        <v>7.5</v>
      </c>
      <c r="TV34" s="7">
        <f>IFERROR(AVERAGEIF('Данные 2st'!$Q$2:$Q$317,$A34,'Данные 2st'!$QN$2:$QN$317),"")</f>
        <v>1381.0800000000002</v>
      </c>
      <c r="TW34" s="7">
        <f>IFERROR(AVERAGEIF('Данные 2st'!$Q$2:$Q$317,$A34,'Данные 2st'!$QQ$2:$QQ$317),"")</f>
        <v>0</v>
      </c>
      <c r="TX34" s="7">
        <f>IFERROR(AVERAGEIF('Данные 2st'!$Q$2:$Q$317,$A34,'Данные 2st'!$QS$2:$QS$317),"")</f>
        <v>30</v>
      </c>
      <c r="TY34" s="7">
        <f>IFERROR(AVERAGEIF('Данные 2st'!$Q$2:$Q$317,$A34,'Данные 2st'!$QT$2:$QT$317),"")</f>
        <v>40</v>
      </c>
    </row>
    <row r="35" spans="1:545" ht="32" customHeight="1">
      <c r="A35" s="11" t="s">
        <v>1231</v>
      </c>
      <c r="B35">
        <f>COUNTIF('Данные 1st'!$S$2:$S$317,$A35)</f>
        <v>4</v>
      </c>
      <c r="C35" s="6" t="s">
        <v>5100</v>
      </c>
      <c r="D35" s="6" t="s">
        <v>513</v>
      </c>
      <c r="E35" s="6" t="s">
        <v>5125</v>
      </c>
      <c r="F35" s="6" t="s">
        <v>5156</v>
      </c>
      <c r="G35" s="7">
        <f>IFERROR(AVERAGEIF('Данные 1st'!$S$2:$S$317,$A35,'Данные 1st'!$AE$2:$AE$317),"")</f>
        <v>177</v>
      </c>
      <c r="H35" s="7">
        <f>IFERROR(AVERAGEIF('Данные 1st'!$S$2:$S$317,$A35,'Данные 1st'!$AF$2:$AF$317),"")</f>
        <v>1.5</v>
      </c>
      <c r="I35" s="7">
        <f>IFERROR(AVERAGEIF('Данные 1st'!$S$2:$S$317,$A35,'Данные 1st'!$AJ$2:$AJ$317),"")</f>
        <v>188.125</v>
      </c>
      <c r="J35" s="7">
        <f>IFERROR(AVERAGEIF('Данные 1st'!$S$2:$S$317,$A35,'Данные 1st'!$AL$2:$AL$317),"")</f>
        <v>1.5</v>
      </c>
      <c r="K35" s="7">
        <f>IFERROR(AVERAGEIF('Данные 1st'!$S$2:$S$317,$A35,'Данные 1st'!$AR$2:$AR$317),"")</f>
        <v>0</v>
      </c>
      <c r="L35" s="7">
        <f>IFERROR(AVERAGEIF('Данные 1st'!$S$2:$S$317,$A35,'Данные 1st'!$AS$2:$AS$317),"")</f>
        <v>1.5</v>
      </c>
      <c r="M35" s="7">
        <f>IFERROR(AVERAGEIF('Данные 1st'!$S$2:$S$317,$A35,'Данные 1st'!$AY$2:$AY$317),"")</f>
        <v>279.375</v>
      </c>
      <c r="N35" s="7">
        <f>IFERROR(AVERAGEIF('Данные 1st'!$S$2:$S$317,$A35,'Данные 1st'!$AZ$2:$AZ$317),"")</f>
        <v>1.5</v>
      </c>
      <c r="O35" s="7">
        <f>IFERROR(AVERAGEIF('Данные 1st'!$S$2:$S$317,$A35,'Данные 1st'!$BF$2:$BF$317),"")</f>
        <v>225</v>
      </c>
      <c r="P35" s="7">
        <f>IFERROR(AVERAGEIF('Данные 1st'!$S$2:$S$317,$A35,'Данные 1st'!$BG$2:$BG$317),"")</f>
        <v>1.5</v>
      </c>
      <c r="Q35" s="7">
        <f>IFERROR(AVERAGEIF('Данные 1st'!$S$2:$S$317,$A35,'Данные 1st'!$BM$2:$BM$317),"")</f>
        <v/>
      </c>
      <c r="R35" s="7">
        <f>IFERROR(AVERAGEIF('Данные 1st'!$S$2:$S$317,$A35,'Данные 1st'!$BN$2:$BN$317),"")</f>
        <v>1.5</v>
      </c>
      <c r="S35" s="7">
        <f>IFERROR(AVERAGEIF('Данные 1st'!$S$2:$S$317,$A35,'Данные 1st'!$BT$2:$BT$317),"")</f>
        <v>199.5</v>
      </c>
      <c r="T35" s="7">
        <f>IFERROR(AVERAGEIF('Данные 1st'!$S$2:$S$317,$A35,'Данные 1st'!$BU$2:$BU$317),"")</f>
        <v>0.5</v>
      </c>
      <c r="U35" s="7">
        <f>IFERROR(AVERAGEIF('Данные 1st'!$S$2:$S$317,$A35,'Данные 1st'!$BW$2:$BW$317),"")</f>
        <v>399</v>
      </c>
      <c r="V35" s="7">
        <f>IFERROR(AVERAGEIF('Данные 1st'!$S$2:$S$317,$A35,'Данные 1st'!$BX$2:$BX$317),"")</f>
        <v>1</v>
      </c>
      <c r="W35" s="7">
        <f>IFERROR(AVERAGEIF('Данные 1st'!$S$2:$S$317,$A35,'Данные 1st'!$BZ$2:$BZ$317),"")</f>
        <v>290</v>
      </c>
      <c r="X35" s="7">
        <f>IFERROR(AVERAGEIF('Данные 1st'!$S$2:$S$317,$A35,'Данные 1st'!$CA$2:$CA$317),"")</f>
        <v>475</v>
      </c>
      <c r="Y35" s="7">
        <f>IFERROR(AVERAGEIF('Данные 1st'!$S$2:$S$317,$A35,'Данные 1st'!$CD$2:$CD$317),"")</f>
        <v>432.75</v>
      </c>
      <c r="Z35" s="7">
        <f>IFERROR(AVERAGEIF('Данные 1st'!$S$2:$S$317,$A35,'Данные 1st'!$CF$2:$CF$317),"")</f>
        <v>15</v>
      </c>
      <c r="AA35" s="7">
        <f>IFERROR(AVERAGEIF('Данные 1st'!$S$2:$S$317,$A35,'Данные 1st'!$CI$2:$CI$317),"")</f>
        <v>92.5</v>
      </c>
      <c r="AB35" s="7">
        <f>IFERROR(AVERAGEIF('Данные 1st'!$S$2:$S$317,$A35,'Данные 1st'!$CJ$2:$CJ$317),"")</f>
        <v>1381</v>
      </c>
      <c r="AC35" s="7">
        <f>IFERROR(AVERAGEIF('Данные 1st'!$S$2:$S$317,$A35,'Данные 1st'!$CK$2:$CK$317),"")</f>
        <v>2</v>
      </c>
      <c r="AD35" s="7">
        <f>IFERROR(AVERAGEIF('Данные 1st'!$S$2:$S$317,$A35,'Данные 1st'!$CL$2:$CL$317),"")</f>
        <v>1475</v>
      </c>
      <c r="AE35" s="7">
        <f>IFERROR(AVERAGEIF('Данные 1st'!$S$2:$S$317,$A35,'Данные 1st'!$CM$2:$CM$317),"")</f>
        <v>2</v>
      </c>
      <c r="AF35" s="7">
        <f>IFERROR(AVERAGEIF('Данные 1st'!$S$2:$S$317,$A35,'Данные 1st'!$CT$2:$CT$317),"")</f>
        <v>376.25</v>
      </c>
      <c r="AG35" s="7">
        <f>IFERROR(AVERAGEIF('Данные 1st'!$S$2:$S$317,$A35,'Данные 1st'!$CU$2:$CU$317),"")</f>
        <v>5</v>
      </c>
      <c r="AH35" s="7">
        <f>IFERROR(AVERAGEIF('Данные 1st'!$S$2:$S$317,$A35,'Данные 1st'!$CV$2:$CV$317),"")</f>
        <v>1.2</v>
      </c>
      <c r="AI35" s="7">
        <f>IFERROR(AVERAGEIF('Данные 1st'!$S$2:$S$317,$A35,'Данные 1st'!$CW$2:$CW$317),"")</f>
        <v>1393</v>
      </c>
      <c r="AJ35" s="7">
        <f>IFERROR(AVERAGEIF('Данные 1st'!$S$2:$S$317,$A35,'Данные 1st'!$CX$2:$CX$317),"")</f>
        <v>742</v>
      </c>
      <c r="AK35" s="7">
        <f>IFERROR(AVERAGEIF('Данные 1st'!$S$2:$S$317,$A35,'Данные 1st'!$CZ$2:$CZ$317),"")</f>
        <v/>
      </c>
      <c r="AL35" s="7">
        <f>IFERROR(AVERAGEIF('Данные 1st'!$S$2:$S$317,$A35,'Данные 1st'!$DA$2:$DA$317),"")</f>
        <v/>
      </c>
      <c r="AM35" s="7">
        <f>IFERROR(AVERAGEIF('Данные 1st'!$S$2:$S$317,$A35,'Данные 1st'!$DB$2:$DB$317),"")</f>
        <v/>
      </c>
      <c r="AN35" s="7">
        <f>IFERROR(AVERAGEIF('Данные 1st'!$S$2:$S$317,$A35,'Данные 1st'!$DC$2:$DC$317),"")</f>
        <v/>
      </c>
      <c r="AO35" s="7">
        <f>IFERROR(AVERAGEIF('Данные 1st'!$S$2:$S$317,$A35,'Данные 1st'!$DD$2:$DD$317),"")</f>
        <v>0</v>
      </c>
      <c r="AP35" s="7">
        <f>IFERROR(AVERAGEIF('Данные 1st'!$S$2:$S$317,$A35,'Данные 1st'!$DF$2:$DF$317),"")</f>
        <v>558.75</v>
      </c>
      <c r="AQ35" s="7">
        <f>IFERROR(AVERAGEIF('Данные 1st'!$S$2:$S$317,$A35,'Данные 1st'!$DG$2:$DG$317),"")</f>
        <v>3</v>
      </c>
      <c r="AR35" s="7">
        <f>IFERROR(AVERAGEIF('Данные 1st'!$S$2:$S$317,$A35,'Данные 1st'!$DH$2:$DH$317),"")</f>
        <v>1.115</v>
      </c>
      <c r="AS35" s="7">
        <f>IFERROR(AVERAGEIF('Данные 1st'!$S$2:$S$317,$A35,'Данные 1st'!$DI$2:$DI$317),"")</f>
        <v>1390.75</v>
      </c>
      <c r="AT35" s="7">
        <f>IFERROR(AVERAGEIF('Данные 1st'!$S$2:$S$317,$A35,'Данные 1st'!$DJ$2:$DJ$317),"")</f>
        <v>1158.25</v>
      </c>
      <c r="AU35" s="7">
        <f>IFERROR(AVERAGEIF('Данные 1st'!$S$2:$S$317,$A35,'Данные 1st'!$DL$2:$DL$317),"")</f>
        <v>450</v>
      </c>
      <c r="AV35" s="7">
        <f>IFERROR(AVERAGEIF('Данные 1st'!$S$2:$S$317,$A35,'Данные 1st'!$DM$2:$DM$317),"")</f>
        <v>3</v>
      </c>
      <c r="AW35" s="7">
        <f>IFERROR(AVERAGEIF('Данные 1st'!$S$2:$S$317,$A35,'Данные 1st'!$DN$2:$DN$317),"")</f>
        <v>0.88</v>
      </c>
      <c r="AX35" s="7">
        <f>IFERROR(AVERAGEIF('Данные 1st'!$S$2:$S$317,$A35,'Данные 1st'!$DO$2:$DO$317),"")</f>
        <v>1396</v>
      </c>
      <c r="AY35" s="7">
        <f>IFERROR(AVERAGEIF('Данные 1st'!$S$2:$S$317,$A35,'Данные 1st'!$DP$2:$DP$317),"")</f>
        <v>718</v>
      </c>
      <c r="AZ35" s="7">
        <f>IFERROR(AVERAGEIF('Данные 1st'!$S$2:$S$317,$A35,'Данные 1st'!$DR$2:$DR$317),"")</f>
        <v/>
      </c>
      <c r="BA35" s="7">
        <f>IFERROR(AVERAGEIF('Данные 1st'!$S$2:$S$317,$A35,'Данные 1st'!$DS$2:$DS$317),"")</f>
        <v/>
      </c>
      <c r="BB35" s="7">
        <f>IFERROR(AVERAGEIF('Данные 1st'!$S$2:$S$317,$A35,'Данные 1st'!$DT$2:$DT$317),"")</f>
        <v/>
      </c>
      <c r="BC35" s="7">
        <f>IFERROR(AVERAGEIF('Данные 1st'!$S$2:$S$317,$A35,'Данные 1st'!$DU$2:$DU$317),"")</f>
        <v/>
      </c>
      <c r="BD35" s="7">
        <f>IFERROR(AVERAGEIF('Данные 1st'!$S$2:$S$317,$A35,'Данные 1st'!$DV$2:$DV$317),"")</f>
        <v/>
      </c>
      <c r="BE35" s="7">
        <f>IFERROR(AVERAGEIF('Данные 1st'!$S$2:$S$317,$A35,'Данные 1st'!$DX$2:$DX$317),"")</f>
        <v>7.5</v>
      </c>
      <c r="BF35" s="7">
        <f>IFERROR(AVERAGEIF('Данные 1st'!$S$2:$S$317,$A35,'Данные 1st'!$EA$2:$EA$317),"")</f>
        <v>1461.8999999999999</v>
      </c>
      <c r="BG35" s="7">
        <f>IFERROR(AVERAGEIF('Данные 1st'!$S$2:$S$317,$A35,'Данные 1st'!$EB$2:$EB$317),"")</f>
        <v>262.5</v>
      </c>
      <c r="BH35" s="7">
        <f>IFERROR(AVERAGEIF('Данные 1st'!$S$2:$S$317,$A35,'Данные 1st'!$ED$2:$ED$317),"")</f>
        <v>30</v>
      </c>
      <c r="BI35" s="7">
        <f>IFERROR(AVERAGEIF('Данные 1st'!$S$2:$S$317,$A35,'Данные 1st'!$EE$2:$EE$317),"")</f>
        <v>3</v>
      </c>
      <c r="BJ35" s="7">
        <f>IFERROR(AVERAGEIF('Данные 1st'!$S$2:$S$317,$A35,'Данные 1st'!$EG$2:$EG$317),"")</f>
        <v>1502.75</v>
      </c>
      <c r="BK35" s="7">
        <f>IFERROR(AVERAGEIF('Данные 1st'!$S$2:$S$317,$A35,'Данные 1st'!$EH$2:$EH$317),"")</f>
        <v>181.5</v>
      </c>
      <c r="BL35" s="7">
        <f>IFERROR(AVERAGEIF('Данные 1st'!$S$2:$S$317,$A35,'Данные 1st'!$EJ$2:$EJ$317),"")</f>
        <v>0</v>
      </c>
      <c r="BM35" s="7">
        <f>IFERROR(AVERAGEIF('Данные 1st'!$S$2:$S$317,$A35,'Данные 1st'!$EK$2:$EK$317),"")</f>
        <v>1</v>
      </c>
      <c r="BN35" s="7">
        <f>IFERROR(AVERAGEIF('Данные 1st'!$S$2:$S$317,$A35,'Данные 1st'!$EN$2:$EN$317),"")</f>
        <v>0</v>
      </c>
      <c r="BO35" s="7">
        <f>IFERROR(AVERAGEIF('Данные 1st'!$S$2:$S$317,$A35,'Данные 1st'!$EQ$2:$EQ$317),"")</f>
        <v>88.75</v>
      </c>
      <c r="BP35" s="7">
        <f>IFERROR(AVERAGEIF('Данные 1st'!$S$2:$S$317,$A35,'Данные 1st'!$ER$2:$ER$317),"")</f>
        <v>3</v>
      </c>
      <c r="BQ35" s="7">
        <f>IFERROR(AVERAGEIF('Данные 1st'!$S$2:$S$317,$A35,'Данные 1st'!$ES$2:$ES$317),"")</f>
        <v>5.25</v>
      </c>
      <c r="BR35" s="7">
        <f>IFERROR(AVERAGEIF('Данные 1st'!$S$2:$S$317,$A35,'Данные 1st'!$ET$2:$ET$317),"")</f>
        <v>1376.5</v>
      </c>
      <c r="BS35" s="7">
        <f>IFERROR(AVERAGEIF('Данные 1st'!$S$2:$S$317,$A35,'Данные 1st'!$EU$2:$EU$317),"")</f>
        <v>385.275</v>
      </c>
      <c r="BT35" s="7">
        <f>IFERROR(AVERAGEIF('Данные 1st'!$S$2:$S$317,$A35,'Данные 1st'!$EV$2:$EV$317),"")</f>
        <v>530.5</v>
      </c>
      <c r="BU35" s="7">
        <f>IFERROR(AVERAGEIF('Данные 1st'!$S$2:$S$317,$A35,'Данные 1st'!$EX$2:$EX$317),"")</f>
        <v>70</v>
      </c>
      <c r="BV35" s="7">
        <f>IFERROR(AVERAGEIF('Данные 1st'!$S$2:$S$317,$A35,'Данные 1st'!$EY$2:$EY$317),"")</f>
        <v>2</v>
      </c>
      <c r="BW35" s="7">
        <f>IFERROR(AVERAGEIF('Данные 1st'!$S$2:$S$317,$A35,'Данные 1st'!$EZ$2:$EZ$317),"")</f>
        <v>4.5</v>
      </c>
      <c r="BX35" s="7">
        <f>IFERROR(AVERAGEIF('Данные 1st'!$S$2:$S$317,$A35,'Данные 1st'!$FA$2:$FA$317),"")</f>
        <v>1376.5</v>
      </c>
      <c r="BY35" s="7">
        <f>IFERROR(AVERAGEIF('Данные 1st'!$S$2:$S$317,$A35,'Данные 1st'!$FB$2:$FB$317),"")</f>
        <v>222.25</v>
      </c>
      <c r="BZ35" s="7">
        <f>IFERROR(AVERAGEIF('Данные 1st'!$S$2:$S$317,$A35,'Данные 1st'!$FC$2:$FC$317),"")</f>
        <v>306</v>
      </c>
      <c r="CA35" s="7">
        <f>IFERROR(AVERAGEIF('Данные 1st'!$S$2:$S$317,$A35,'Данные 1st'!$FE$2:$FE$317),"")</f>
        <v>0</v>
      </c>
      <c r="CB35" s="7">
        <f>IFERROR(AVERAGEIF('Данные 1st'!$S$2:$S$317,$A35,'Данные 1st'!$FF$2:$FF$317),"")</f>
        <v>2</v>
      </c>
      <c r="CC35" s="7">
        <f>IFERROR(AVERAGEIF('Данные 1st'!$S$2:$S$317,$A35,'Данные 1st'!$FI$2:$FI$317),"")</f>
        <v>0</v>
      </c>
      <c r="CD35" s="7">
        <f>IFERROR(AVERAGEIF('Данные 1st'!$S$2:$S$317,$A35,'Данные 1st'!$FL$2:$FL$317),"")</f>
        <v>0.4</v>
      </c>
      <c r="CE35" s="7">
        <f>IFERROR(AVERAGEIF('Данные 1st'!$S$2:$S$317,$A35,'Данные 1st'!$FM$2:$FM$317),"")</f>
        <v>85</v>
      </c>
      <c r="CF35" s="7">
        <f>IFERROR(AVERAGEIF('Данные 1st'!$S$2:$S$317,$A35,'Данные 1st'!$FN$2:$FN$317),"")</f>
        <v>137.5</v>
      </c>
      <c r="CG35" s="7">
        <f>IFERROR(AVERAGEIF('Данные 1st'!$S$2:$S$317,$A35,'Данные 1st'!$FO$2:$FO$317),"")</f>
        <v/>
      </c>
      <c r="CH35" s="7">
        <f>IFERROR(AVERAGEIF('Данные 1st'!$S$2:$S$317,$A35,'Данные 1st'!$FP$2:$FP$317),"")</f>
        <v/>
      </c>
      <c r="CI35" s="7">
        <f>IFERROR(AVERAGEIF('Данные 1st'!$S$2:$S$317,$A35,'Данные 1st'!$FS$2:$FS$317),"")</f>
        <v>0.4</v>
      </c>
      <c r="CJ35" s="7">
        <f>IFERROR(AVERAGEIF('Данные 1st'!$S$2:$S$317,$A35,'Данные 1st'!$FT$2:$FT$317),"")</f>
        <v>30</v>
      </c>
      <c r="CK35" s="7">
        <f>IFERROR(AVERAGEIF('Данные 1st'!$S$2:$S$317,$A35,'Данные 1st'!$FU$2:$FU$317),"")</f>
        <v>360</v>
      </c>
      <c r="CL35" s="7">
        <f>IFERROR(AVERAGEIF('Данные 1st'!$S$2:$S$317,$A35,'Данные 1st'!$FV$2:$FV$317),"")</f>
        <v>30</v>
      </c>
      <c r="CM35" s="7">
        <f>IFERROR(AVERAGEIF('Данные 1st'!$S$2:$S$317,$A35,'Данные 1st'!$FW$2:$FW$317),"")</f>
        <v>240</v>
      </c>
      <c r="CN35" s="7">
        <f>IFERROR(AVERAGEIF('Данные 1st'!$S$2:$S$317,$A35,'Данные 1st'!$FZ$2:$FZ$317),"")</f>
        <v>1.6</v>
      </c>
      <c r="CO35" s="7">
        <f>IFERROR(AVERAGEIF('Данные 1st'!$S$2:$S$317,$A35,'Данные 1st'!$GA$2:$GA$317),"")</f>
        <v>20</v>
      </c>
      <c r="CP35" s="7">
        <f>IFERROR(AVERAGEIF('Данные 1st'!$S$2:$S$317,$A35,'Данные 1st'!$GB$2:$GB$317),"")</f>
        <v>181</v>
      </c>
      <c r="CQ35" s="7">
        <f>IFERROR(AVERAGEIF('Данные 1st'!$S$2:$S$317,$A35,'Данные 1st'!$GH$2:$GH$317),"")</f>
        <v>1.6</v>
      </c>
      <c r="CR35" s="7">
        <f>IFERROR(AVERAGEIF('Данные 1st'!$S$2:$S$317,$A35,'Данные 1st'!$GI$2:$GI$317),"")</f>
        <v>20</v>
      </c>
      <c r="CS35" s="7">
        <f>IFERROR(AVERAGEIF('Данные 1st'!$S$2:$S$317,$A35,'Данные 1st'!$GJ$2:$GJ$317),"")</f>
        <v>181</v>
      </c>
      <c r="CT35" s="7">
        <f>IFERROR(AVERAGEIF('Данные 1st'!$S$2:$S$317,$A35,'Данные 1st'!$GS$2:$GS$317),"")</f>
        <v>0.4</v>
      </c>
      <c r="CU35" s="7">
        <f>IFERROR(AVERAGEIF('Данные 1st'!$S$2:$S$317,$A35,'Данные 1st'!$GT$2:$GT$317),"")</f>
        <v>80</v>
      </c>
      <c r="CV35" s="7">
        <f>IFERROR(AVERAGEIF('Данные 1st'!$S$2:$S$317,$A35,'Данные 1st'!$GU$2:$GU$317),"")</f>
        <v>260</v>
      </c>
      <c r="CW35" s="7">
        <f>IFERROR(AVERAGEIF('Данные 1st'!$S$2:$S$317,$A35,'Данные 1st'!$GV$2:$GV$317),"")</f>
        <v/>
      </c>
      <c r="CX35" s="7">
        <f>IFERROR(AVERAGEIF('Данные 1st'!$S$2:$S$317,$A35,'Данные 1st'!$GW$2:$GW$317),"")</f>
        <v/>
      </c>
      <c r="CY35" s="7">
        <f>IFERROR(AVERAGEIF('Данные 1st'!$S$2:$S$317,$A35,'Данные 1st'!$GZ$2:$GZ$317),"")</f>
        <v/>
      </c>
      <c r="CZ35" s="7">
        <f>IFERROR(AVERAGEIF('Данные 1st'!$S$2:$S$317,$A35,'Данные 1st'!$HA$2:$HA$317),"")</f>
        <v/>
      </c>
      <c r="DA35" s="7">
        <f>IFERROR(AVERAGEIF('Данные 1st'!$S$2:$S$317,$A35,'Данные 1st'!$HB$2:$HB$317),"")</f>
        <v/>
      </c>
      <c r="DB35" s="7">
        <f>IFERROR(AVERAGEIF('Данные 1st'!$S$2:$S$317,$A35,'Данные 1st'!$HC$2:$HC$317),"")</f>
        <v>0.1</v>
      </c>
      <c r="DC35" s="7">
        <f>IFERROR(AVERAGEIF('Данные 1st'!$S$2:$S$317,$A35,'Данные 1st'!$HD$2:$HD$317),"")</f>
        <v>3</v>
      </c>
      <c r="DD35" s="7">
        <f>IFERROR(AVERAGEIF('Данные 1st'!$S$2:$S$317,$A35,'Данные 1st'!$HE$2:$HE$317),"")</f>
        <v>3</v>
      </c>
      <c r="DE35" s="7">
        <f>IFERROR(AVERAGEIF('Данные 1st'!$S$2:$S$317,$A35,'Данные 1st'!$HF$2:$HF$317),"")</f>
        <v>3</v>
      </c>
      <c r="DF35" s="7">
        <f>IFERROR(AVERAGEIF('Данные 1st'!$S$2:$S$317,$A35,'Данные 1st'!$HG$2:$HG$317),"")</f>
        <v>3</v>
      </c>
      <c r="DG35" s="7">
        <f>IFERROR(AVERAGEIF('Данные 1st'!$S$2:$S$317,$A35,'Данные 1st'!$HH$2:$HH$317),"")</f>
        <v>3</v>
      </c>
      <c r="DH35" s="7">
        <f>IFERROR(AVERAGEIF('Данные 1st'!$S$2:$S$317,$A35,'Данные 1st'!$HI$2:$HI$317),"")</f>
        <v>143.75</v>
      </c>
      <c r="DI35" s="7">
        <f>IFERROR(AVERAGEIF('Данные 1st'!$S$2:$S$317,$A35,'Данные 1st'!$HJ$2:$HJ$317),"")</f>
        <v>3</v>
      </c>
      <c r="DJ35" s="7">
        <f>IFERROR(AVERAGEIF('Данные 1st'!$S$2:$S$317,$A35,'Данные 1st'!$HK$2:$HK$317),"")</f>
        <v>55</v>
      </c>
      <c r="DK35" s="7">
        <f>IFERROR(AVERAGEIF('Данные 1st'!$S$2:$S$317,$A35,'Данные 1st'!$HL$2:$HL$317),"")</f>
        <v>2</v>
      </c>
      <c r="DL35" s="7">
        <f>IFERROR(AVERAGEIF('Данные 1st'!$S$2:$S$317,$A35,'Данные 1st'!$HM$2:$HM$317),"")</f>
        <v>0</v>
      </c>
      <c r="DM35" s="7">
        <f>IFERROR(AVERAGEIF('Данные 1st'!$S$2:$S$317,$A35,'Данные 1st'!$HN$2:$HN$317),"")</f>
        <v>2</v>
      </c>
      <c r="DN35" s="7">
        <f>IFERROR(AVERAGEIF('Данные 1st'!$S$2:$S$317,$A35,'Данные 1st'!$HO$2:$HO$317),"")</f>
        <v>73.75</v>
      </c>
      <c r="DO35" s="7">
        <f>IFERROR(AVERAGEIF('Данные 1st'!$S$2:$S$317,$A35,'Данные 1st'!$HP$2:$HP$317),"")</f>
        <v>3</v>
      </c>
      <c r="DP35" s="7">
        <f>IFERROR(AVERAGEIF('Данные 1st'!$S$2:$S$317,$A35,'Данные 1st'!$HQ$2:$HQ$317),"")</f>
        <v>0</v>
      </c>
      <c r="DQ35" s="7">
        <f>IFERROR(AVERAGEIF('Данные 1st'!$S$2:$S$317,$A35,'Данные 1st'!$HR$2:$HR$317),"")</f>
        <v>2</v>
      </c>
      <c r="DR35" s="7">
        <f>IFERROR(AVERAGEIF('Данные 1st'!$S$2:$S$317,$A35,'Данные 1st'!$HS$2:$HS$317),"")</f>
        <v>4640.75</v>
      </c>
      <c r="DS35" s="7">
        <f>IFERROR(AVERAGEIF('Данные 1st'!$S$2:$S$317,$A35,'Данные 1st'!$HT$2:$HT$317),"")</f>
        <v>140</v>
      </c>
      <c r="DT35" s="7">
        <f>IFERROR(AVERAGEIF('Данные 1st'!$S$2:$S$317,$A35,'Данные 1st'!$HU$2:$HU$317),"")</f>
        <v>180</v>
      </c>
      <c r="DU35" s="7">
        <f>IFERROR(AVERAGEIF('Данные 1st'!$S$2:$S$317,$A35,'Данные 1st'!$HW$2:$HW$317),"")</f>
        <v>5</v>
      </c>
      <c r="DV35" s="7">
        <f>IFERROR(AVERAGEIF('Данные 1st'!$S$2:$S$317,$A35,'Данные 1st'!$HX$2:$HX$317),"")</f>
        <v>443.75</v>
      </c>
      <c r="DW35" s="7">
        <f>IFERROR(AVERAGEIF('Данные 1st'!$S$2:$S$317,$A35,'Данные 1st'!$HY$2:$HY$317),"")</f>
        <v>0.18</v>
      </c>
      <c r="DX35" s="7">
        <f>IFERROR(AVERAGEIF('Данные 1st'!$S$2:$S$317,$A35,'Данные 1st'!$IA$2:$IA$317),"")</f>
        <v>0.15</v>
      </c>
      <c r="DY35" s="7">
        <f>IFERROR(AVERAGEIF('Данные 1st'!$S$2:$S$317,$A35,'Данные 1st'!$IB$2:$IB$317),"")</f>
        <v>0</v>
      </c>
      <c r="DZ35" s="7">
        <f>IFERROR(AVERAGEIF('Данные 1st'!$S$2:$S$317,$A35,'Данные 1st'!$IC$2:$IC$317),"")</f>
        <v>180</v>
      </c>
      <c r="EA35" s="7">
        <f>IFERROR(AVERAGEIF('Данные 1st'!$S$2:$S$317,$A35,'Данные 1st'!$ID$2:$ID$317),"")</f>
        <v>110</v>
      </c>
      <c r="EB35" s="7">
        <f>IFERROR(AVERAGEIF('Данные 1st'!$S$2:$S$317,$A35,'Данные 1st'!$IE$2:$IE$317),"")</f>
        <v>56.25</v>
      </c>
      <c r="EC35" s="7">
        <f>IFERROR(AVERAGEIF('Данные 1st'!$S$2:$S$317,$A35,'Данные 1st'!$IF$2:$IF$317),"")</f>
        <v>0</v>
      </c>
      <c r="ED35" s="7">
        <f>IFERROR(AVERAGEIF('Данные 1st'!$S$2:$S$317,$A35,'Данные 1st'!$IP$2:$IP$317),"")</f>
        <v>18</v>
      </c>
      <c r="EE35" s="7">
        <f>IFERROR(AVERAGEIF('Данные 1st'!$S$2:$S$317,$A35,'Данные 1st'!$IV$2:$IV$317),"")</f>
        <v>1381</v>
      </c>
      <c r="EF35" s="7">
        <f>IFERROR(AVERAGEIF('Данные 1st'!$S$2:$S$317,$A35,'Данные 1st'!$IW$2:$IW$317),"")</f>
        <v>399</v>
      </c>
      <c r="EG35" s="7">
        <f>IFERROR(AVERAGEIF('Данные 1st'!$S$2:$S$317,$A35,'Данные 1st'!$IX$2:$IX$317),"")</f>
        <v/>
      </c>
      <c r="EH35" s="7">
        <f>IFERROR(AVERAGEIF('Данные 1st'!$S$2:$S$317,$A35,'Данные 1st'!$IY$2:$IY$317),"")</f>
        <v/>
      </c>
      <c r="EI35" s="7">
        <f>IFERROR(AVERAGEIF('Данные 1st'!$S$2:$S$317,$A35,'Данные 1st'!$JD$2:$JD$317),"")</f>
        <v>1393</v>
      </c>
      <c r="EJ35" s="7">
        <f>IFERROR(AVERAGEIF('Данные 1st'!$S$2:$S$317,$A35,'Данные 1st'!$JE$2:$JE$317),"")</f>
        <v>1390.75</v>
      </c>
      <c r="EK35" s="7">
        <f>IFERROR(AVERAGEIF('Данные 1st'!$S$2:$S$317,$A35,'Данные 1st'!$JF$2:$JF$317),"")</f>
        <v>349</v>
      </c>
      <c r="EL35" s="7">
        <f>IFERROR(AVERAGEIF('Данные 1st'!$S$2:$S$317,$A35,'Данные 1st'!$JG$2:$JG$317),"")</f>
        <v>1376.5</v>
      </c>
      <c r="EM35" s="7">
        <f>IFERROR(AVERAGEIF('Данные 1st'!$S$2:$S$317,$A35,'Данные 1st'!$JH$2:$JH$317),"")</f>
        <v>0</v>
      </c>
      <c r="EN35" s="7">
        <f>IFERROR(AVERAGEIF('Данные 1st'!$S$2:$S$317,$A35,'Данные 1st'!$JJ$2:$JJ$317),"")</f>
        <v>180</v>
      </c>
      <c r="EO35" s="7">
        <f>IFERROR(AVERAGEIF('Данные 1st'!$S$2:$S$317,$A35,'Данные 1st'!$JK$2:$JK$317),"")</f>
        <v>443.75</v>
      </c>
      <c r="EP35" s="7">
        <f>IFERROR(AVERAGEIF('Данные 1st'!$S$2:$S$317,$A35,'Данные 1st'!$JL$2:$JL$317),"")</f>
        <v/>
      </c>
      <c r="EQ35" s="7">
        <f>IFERROR(AVERAGEIF('Данные 1st'!$S$2:$S$317,$A35,'Данные 1st'!$JM$2:$JM$317),"")</f>
        <v/>
      </c>
      <c r="ER35" s="7">
        <f>IFERROR(AVERAGEIF('Данные 1st'!$S$2:$S$317,$A35,'Данные 1st'!$JN$2:$JN$317),"")</f>
        <v>376.25</v>
      </c>
      <c r="ES35" s="7">
        <f>IFERROR(AVERAGEIF('Данные 1st'!$S$2:$S$317,$A35,'Данные 1st'!$JO$2:$JO$317),"")</f>
        <v>558.75</v>
      </c>
      <c r="ET35" s="7">
        <f>IFERROR(AVERAGEIF('Данные 1st'!$S$2:$S$317,$A35,'Данные 1st'!$JP$2:$JP$317),"")</f>
        <v>112.5</v>
      </c>
      <c r="EU35" s="7">
        <f>IFERROR(AVERAGEIF('Данные 1st'!$S$2:$S$317,$A35,'Данные 1st'!$JQ$2:$JQ$317),"")</f>
        <v>0</v>
      </c>
      <c r="EV35" s="7">
        <f>IFERROR(AVERAGEIF('Данные 1st'!$S$2:$S$317,$A35,'Данные 1st'!$JR$2:$JR$317),"")</f>
        <v>354</v>
      </c>
      <c r="EW35" s="7">
        <f>IFERROR(AVERAGEIF('Данные 1st'!$S$2:$S$317,$A35,'Данные 1st'!$JS$2:$JS$317),"")</f>
        <v>143.75</v>
      </c>
      <c r="EX35" s="7">
        <f>IFERROR(AVERAGEIF('Данные 1st'!$S$2:$S$317,$A35,'Данные 1st'!$JT$2:$JT$317),"")</f>
        <v/>
      </c>
      <c r="EY35" s="7">
        <f>IFERROR(AVERAGEIF('Данные 1st'!$S$2:$S$317,$A35,'Данные 1st'!$JU$2:$JU$317),"")</f>
        <v/>
      </c>
      <c r="EZ35" s="7">
        <f>IFERROR(AVERAGEIF('Данные 1st'!$S$2:$S$317,$A35,'Данные 1st'!$JV$2:$JV$317),"")</f>
        <v>8</v>
      </c>
      <c r="FA35" s="7">
        <f>IFERROR(AVERAGEIF('Данные 1st'!$S$2:$S$317,$A35,'Данные 1st'!$JW$2:$JW$317),"")</f>
        <v/>
      </c>
      <c r="FB35" s="7">
        <f>IFERROR(AVERAGEIF('Данные 1st'!$S$2:$S$317,$A35,'Данные 1st'!$JX$2:$JX$317),"")</f>
        <v>0</v>
      </c>
      <c r="FC35" s="7">
        <f>IFERROR(AVERAGEIF('Данные 1st'!$S$2:$S$317,$A35,'Данные 1st'!$JY$2:$JY$317),"")</f>
        <v/>
      </c>
      <c r="FD35" s="7">
        <f>IFERROR(AVERAGEIF('Данные 1st'!$S$2:$S$317,$A35,'Данные 1st'!$JZ$2:$JZ$317),"")</f>
        <v/>
      </c>
      <c r="FE35" s="7">
        <f>IFERROR(AVERAGEIF('Данные 1st'!$S$2:$S$317,$A35,'Данные 1st'!$KA$2:$KA$317),"")</f>
        <v>56.25</v>
      </c>
      <c r="FF35" s="7">
        <f>IFERROR(AVERAGEIF('Данные 1st'!$S$2:$S$317,$A35,'Данные 1st'!$KB$2:$KB$317),"")</f>
        <v>110</v>
      </c>
      <c r="FG35" s="7">
        <f>IFERROR(AVERAGEIF('Данные 1st'!$S$2:$S$317,$A35,'Данные 1st'!$KC$2:$KC$317),"")</f>
        <v>0</v>
      </c>
      <c r="FH35" s="7">
        <f>IFERROR(AVERAGEIF('Данные 1st'!$S$2:$S$317,$A35,'Данные 1st'!$KD$2:$KD$317),"")</f>
        <v>80</v>
      </c>
      <c r="FI35" s="7">
        <f>IFERROR(AVERAGEIF('Данные 1st'!$S$2:$S$317,$A35,'Данные 1st'!$KE$2:$KE$317),"")</f>
        <v/>
      </c>
      <c r="FJ35" s="7">
        <f>IFERROR(AVERAGEIF('Данные 1st'!$S$2:$S$317,$A35,'Данные 1st'!$KF$2:$KF$317),"")</f>
        <v>4</v>
      </c>
      <c r="FK35" s="7">
        <f>IFERROR(AVERAGEIF('Данные 1st'!$S$2:$S$317,$A35,'Данные 1st'!$KG$2:$KG$317),"")</f>
        <v>2</v>
      </c>
      <c r="FL35" s="7">
        <f>IFERROR(AVERAGEIF('Данные 1st'!$S$2:$S$317,$A35,'Данные 1st'!$KH$2:$KH$317),"")</f>
        <v>2</v>
      </c>
      <c r="FM35" s="7">
        <f>IFERROR(AVERAGEIF('Данные 1st'!$S$2:$S$317,$A35,'Данные 1st'!$KI$2:$KI$317),"")</f>
        <v>2</v>
      </c>
      <c r="FN35" s="7">
        <f>IFERROR(AVERAGEIF('Данные 1st'!$S$2:$S$317,$A35,'Данные 1st'!$KJ$2:$KJ$317),"")</f>
        <v>0</v>
      </c>
      <c r="FO35" s="7">
        <f>IFERROR(AVERAGEIF('Данные 1st'!$S$2:$S$317,$A35,'Данные 1st'!$KK$2:$KK$317),"")</f>
        <v>1.5</v>
      </c>
      <c r="FP35" s="7">
        <f>IFERROR(AVERAGEIF('Данные 1st'!$S$2:$S$317,$A35,'Данные 1st'!$KL$2:$KL$317),"")</f>
        <v>1.5</v>
      </c>
      <c r="FQ35" s="7">
        <f>IFERROR(AVERAGEIF('Данные 1st'!$S$2:$S$317,$A35,'Данные 1st'!$KM$2:$KM$317),"")</f>
        <v>0</v>
      </c>
      <c r="FR35" s="7">
        <f>IFERROR(AVERAGEIF('Данные 1st'!$S$2:$S$317,$A35,'Данные 1st'!$KN$2:$KN$317),"")</f>
        <v>0</v>
      </c>
      <c r="FS35" s="7">
        <f>IFERROR(AVERAGEIF('Данные 1st'!$S$2:$S$317,$A35,'Данные 1st'!$KR$2:$KR$317),"")</f>
        <v>50</v>
      </c>
      <c r="FT35" s="7">
        <f>IFERROR(AVERAGEIF('Данные 1st'!$S$2:$S$317,$A35,'Данные 1st'!$KS$2:$KS$317),"")</f>
        <v>60</v>
      </c>
      <c r="FU35" s="7">
        <f>IFERROR(AVERAGEIF('Данные 1st'!$S$2:$S$317,$A35,'Данные 1st'!$KT$2:$KT$317),"")</f>
        <v>0</v>
      </c>
      <c r="FV35" s="7">
        <f>IFERROR(AVERAGEIF('Данные 1st'!$S$2:$S$317,$A35,'Данные 1st'!$KV$2:$KV$317),"")</f>
        <v/>
      </c>
      <c r="FW35" s="7">
        <f>IFERROR(AVERAGEIF('Данные 1st'!$S$2:$S$317,$A35,'Данные 1st'!$KW$2:$KW$317),"")</f>
        <v/>
      </c>
      <c r="FX35" s="7">
        <f>IFERROR(AVERAGEIF('Данные 1st'!$S$2:$S$317,$A35,'Данные 1st'!$KX$2:$KX$317),"")</f>
        <v/>
      </c>
      <c r="FY35" s="7">
        <f>IFERROR(AVERAGEIF('Данные 1st'!$S$2:$S$317,$A35,'Данные 1st'!$KY$2:$KY$317),"")</f>
        <v/>
      </c>
      <c r="FZ35" s="7">
        <f>IFERROR(AVERAGEIF('Данные 1st'!$S$2:$S$317,$A35,'Данные 1st'!$KZ$2:$KZ$317),"")</f>
        <v/>
      </c>
      <c r="GA35" s="7">
        <f>IFERROR(AVERAGEIF('Данные 1st'!$S$2:$S$317,$A35,'Данные 1st'!$LA$2:$LA$317),"")</f>
        <v/>
      </c>
      <c r="GB35" s="7">
        <f>IFERROR(AVERAGEIF('Данные 1st'!$S$2:$S$317,$A35,'Данные 1st'!$LB$2:$LB$317),"")</f>
        <v/>
      </c>
      <c r="GC35" s="7">
        <f>IFERROR(AVERAGEIF('Данные 1st'!$S$2:$S$317,$A35,'Данные 1st'!$LC$2:$LC$317),"")</f>
        <v/>
      </c>
      <c r="GD35" s="7">
        <f>IFERROR(AVERAGEIF('Данные 1st'!$S$2:$S$317,$A35,'Данные 1st'!$LD$2:$LD$317),"")</f>
        <v/>
      </c>
      <c r="GE35" s="7">
        <f>IFERROR(AVERAGEIF('Данные 1st'!$S$2:$S$317,$A35,'Данные 1st'!$LE$2:$LE$317),"")</f>
        <v/>
      </c>
      <c r="GF35" s="7">
        <f>IFERROR(AVERAGEIF('Данные 1st'!$S$2:$S$317,$A35,'Данные 1st'!$LF$2:$LF$317),"")</f>
        <v/>
      </c>
      <c r="GG35" s="7">
        <f>IFERROR(AVERAGEIF('Данные 1st'!$S$2:$S$317,$A35,'Данные 1st'!$LG$2:$LG$317),"")</f>
        <v/>
      </c>
      <c r="GH35" s="7">
        <f>IFERROR(AVERAGEIF('Данные 1st'!$S$2:$S$317,$A35,'Данные 1st'!$LH$2:$LH$317),"")</f>
        <v/>
      </c>
      <c r="GI35" s="7">
        <f>IFERROR(AVERAGEIF('Данные 1st'!$S$2:$S$317,$A35,'Данные 1st'!$LI$2:$LI$317),"")</f>
        <v/>
      </c>
      <c r="GJ35" s="7">
        <f>IFERROR(AVERAGEIF('Данные 1st'!$S$2:$S$317,$A35,'Данные 1st'!$LJ$2:$LJ$317),"")</f>
        <v/>
      </c>
      <c r="GK35" s="7">
        <f>IFERROR(AVERAGEIF('Данные 1st'!$S$2:$S$317,$A35,'Данные 1st'!$LK$2:$LK$317),"")</f>
        <v>480</v>
      </c>
      <c r="GL35" s="7">
        <f>IFERROR(AVERAGEIF('Данные 1st'!$S$2:$S$317,$A35,'Данные 1st'!$LV$2:$LV$317),"")</f>
        <v/>
      </c>
      <c r="GM35" s="7">
        <f>IFERROR(AVERAGEIF('Данные 1st'!$S$2:$S$317,$A35,'Данные 1st'!$LW$2:$LW$317),"")</f>
        <v/>
      </c>
      <c r="GN35" s="7">
        <f>IFERROR(AVERAGEIF('Данные 1st'!$S$2:$S$317,$A35,'Данные 1st'!$LX$2:$LX$317),"")</f>
        <v/>
      </c>
      <c r="GO35" s="7">
        <f>IFERROR(AVERAGEIF('Данные 1st'!$S$2:$S$317,$A35,'Данные 1st'!$LY$2:$LY$317),"")</f>
        <v/>
      </c>
      <c r="GP35" s="7">
        <f>IFERROR(AVERAGEIF('Данные 1st'!$S$2:$S$317,$A35,'Данные 1st'!$LZ$2:$LZ$317),"")</f>
        <v/>
      </c>
      <c r="GQ35" s="7">
        <f>IFERROR(AVERAGEIF('Данные 1st'!$S$2:$S$317,$A35,'Данные 1st'!$PG$2:$PG$317),"")</f>
        <v>1</v>
      </c>
      <c r="GR35" s="7">
        <f>IFERROR(AVERAGEIF('Данные 1st'!$S$2:$S$317,$A35,'Данные 1st'!$PX$2:$PX$317),"")</f>
        <v>56</v>
      </c>
      <c r="GS35" s="7">
        <f>IFERROR(AVERAGEIF('Данные 1st'!$S$2:$S$317,$A35,'Данные 1st'!$PY$2:$PY$317),"")</f>
        <v>56.5</v>
      </c>
      <c r="GT35" s="7">
        <f>IFERROR(AVERAGEIF('Данные 1st'!$S$2:$S$317,$A35,'Данные 1st'!$QA$2:$QA$317),"")</f>
        <v>1.5</v>
      </c>
      <c r="GU35" s="7">
        <f>IFERROR(AVERAGEIF('Данные 1st'!$S$2:$S$317,$A35,'Данные 1st'!$QB$2:$QB$317),"")</f>
        <v>1376.5</v>
      </c>
      <c r="GV35" s="7">
        <f>IFERROR(AVERAGEIF('Данные 1st'!$S$2:$S$317,$A35,'Данные 1st'!$QC$2:$QC$317),"")</f>
        <v>69</v>
      </c>
      <c r="GW35" s="7">
        <f>IFERROR(AVERAGEIF('Данные 1st'!$S$2:$S$317,$A35,'Данные 1st'!$QD$2:$QD$317),"")</f>
        <v>69</v>
      </c>
      <c r="GX35" s="7">
        <f>IFERROR(AVERAGEIF('Данные 1st'!$S$2:$S$317,$A35,'Данные 1st'!$QF$2:$QF$317),"")</f>
        <v>1</v>
      </c>
      <c r="GY35" s="7">
        <f>IFERROR(AVERAGEIF('Данные 1st'!$S$2:$S$317,$A35,'Данные 1st'!$QG$2:$QG$317),"")</f>
        <v>1393</v>
      </c>
      <c r="GZ35" s="7">
        <f>IFERROR(AVERAGEIF('Данные 1st'!$S$2:$S$317,$A35,'Данные 1st'!$QH$2:$QH$317),"")</f>
        <v>66</v>
      </c>
      <c r="HA35" s="7">
        <f>IFERROR(AVERAGEIF('Данные 1st'!$S$2:$S$317,$A35,'Данные 1st'!$QI$2:$QI$317),"")</f>
        <v>66</v>
      </c>
      <c r="HB35" s="7">
        <f>IFERROR(AVERAGEIF('Данные 1st'!$S$2:$S$317,$A35,'Данные 1st'!$QK$2:$QK$317),"")</f>
        <v/>
      </c>
      <c r="HC35" s="7">
        <f>IFERROR(AVERAGEIF('Данные 1st'!$S$2:$S$317,$A35,'Данные 1st'!$QL$2:$QL$317),"")</f>
        <v>0</v>
      </c>
      <c r="HD35" s="7">
        <f>IFERROR(AVERAGEIF('Данные 1st'!$S$2:$S$317,$A35,'Данные 1st'!$QM$2:$QM$317),"")</f>
        <v>62.25</v>
      </c>
      <c r="HE35" s="7">
        <f>IFERROR(AVERAGEIF('Данные 1st'!$S$2:$S$317,$A35,'Данные 1st'!$QN$2:$QN$317),"")</f>
        <v>62.25</v>
      </c>
      <c r="HF35" s="7">
        <f>IFERROR(AVERAGEIF('Данные 1st'!$S$2:$S$317,$A35,'Данные 1st'!$QP$2:$QP$317),"")</f>
        <v>1</v>
      </c>
      <c r="HG35" s="7">
        <f>IFERROR(AVERAGEIF('Данные 1st'!$S$2:$S$317,$A35,'Данные 1st'!$QQ$2:$QQ$317),"")</f>
        <v>1390.75</v>
      </c>
      <c r="HH35" s="7">
        <f>IFERROR(AVERAGEIF('Данные 1st'!$S$2:$S$317,$A35,'Данные 1st'!$QR$2:$QR$317),"")</f>
        <v>62</v>
      </c>
      <c r="HI35" s="7">
        <f>IFERROR(AVERAGEIF('Данные 1st'!$S$2:$S$317,$A35,'Данные 1st'!$QS$2:$QS$317),"")</f>
        <v>62</v>
      </c>
      <c r="HJ35" s="7">
        <f>IFERROR(AVERAGEIF('Данные 1st'!$S$2:$S$317,$A35,'Данные 1st'!$QU$2:$QU$317),"")</f>
        <v>1</v>
      </c>
      <c r="HK35" s="7">
        <f>IFERROR(AVERAGEIF('Данные 1st'!$S$2:$S$317,$A35,'Данные 1st'!$QV$2:$QV$317),"")</f>
        <v>1396</v>
      </c>
      <c r="HL35" s="7">
        <f>IFERROR(AVERAGEIF('Данные 1st'!$S$2:$S$317,$A35,'Данные 1st'!$QW$2:$QW$317),"")</f>
        <v>82</v>
      </c>
      <c r="HM35" s="7">
        <f>IFERROR(AVERAGEIF('Данные 1st'!$S$2:$S$317,$A35,'Данные 1st'!$QX$2:$QX$317),"")</f>
        <v>86.75</v>
      </c>
      <c r="HN35" s="7">
        <f>IFERROR(AVERAGEIF('Данные 1st'!$S$2:$S$317,$A35,'Данные 1st'!$QZ$2:$QZ$317),"")</f>
        <v>1</v>
      </c>
      <c r="HO35" s="7">
        <f>IFERROR(AVERAGEIF('Данные 1st'!$S$2:$S$317,$A35,'Данные 1st'!$RA$2:$RA$317),"")</f>
        <v>66</v>
      </c>
      <c r="HP35" s="7">
        <f>IFERROR(AVERAGEIF('Данные 1st'!$S$2:$S$317,$A35,'Данные 1st'!$RB$2:$RB$317),"")</f>
        <v>66</v>
      </c>
      <c r="HQ35" s="7">
        <f>IFERROR(AVERAGEIF('Данные 1st'!$S$2:$S$317,$A35,'Данные 1st'!$RD$2:$RD$317),"")</f>
        <v/>
      </c>
      <c r="HR35" s="7">
        <f>IFERROR(AVERAGEIF('Данные 1st'!$S$2:$S$317,$A35,'Данные 1st'!$RE$2:$RE$317),"")</f>
        <v>0</v>
      </c>
      <c r="HS35" s="7">
        <f>IFERROR(AVERAGEIF('Данные 1st'!$S$2:$S$317,$A35,'Данные 1st'!$RF$2:$RF$317),"")</f>
        <v>1</v>
      </c>
      <c r="HT35" s="7">
        <f>IFERROR(AVERAGEIF('Данные 1st'!$S$2:$S$317,$A35,'Данные 1st'!$RG$2:$RG$317),"")</f>
        <v>1</v>
      </c>
      <c r="HU35" s="7">
        <f>IFERROR(AVERAGEIF('Данные 1st'!$S$2:$S$317,$A35,'Данные 1st'!$RH$2:$RH$317),"")</f>
        <v>1</v>
      </c>
      <c r="HV35" s="7">
        <f>IFERROR(AVERAGEIF('Данные 1st'!$S$2:$S$317,$A35,'Данные 1st'!$RI$2:$RI$317),"")</f>
        <v/>
      </c>
      <c r="HW35" s="7">
        <f>IFERROR(AVERAGEIF('Данные 1st'!$S$2:$S$317,$A35,'Данные 1st'!$RJ$2:$RJ$317),"")</f>
        <v>1</v>
      </c>
      <c r="HX35" s="7">
        <f>IFERROR(AVERAGEIF('Данные 1st'!$S$2:$S$317,$A35,'Данные 1st'!$RK$2:$RK$317),"")</f>
        <v/>
      </c>
      <c r="HY35" s="7">
        <f>IFERROR(AVERAGEIF('Данные 1st'!$S$2:$S$317,$A35,'Данные 1st'!$RL$2:$RL$317),"")</f>
        <v>2.25</v>
      </c>
      <c r="HZ35" s="7">
        <f>IFERROR(AVERAGEIF('Данные 1st'!$S$2:$S$317,$A35,'Данные 1st'!$RM$2:$RM$317),"")</f>
        <v>3</v>
      </c>
      <c r="IA35" s="7">
        <f>IFERROR(AVERAGEIF('Данные 1st'!$S$2:$S$317,$A35,'Данные 1st'!$RN$2:$RN$317),"")</f>
        <v/>
      </c>
      <c r="IB35" s="7">
        <f>IFERROR(AVERAGEIF('Данные 1st'!$S$2:$S$317,$A35,'Данные 1st'!$RO$2:$RO$317),"")</f>
        <v>532.75</v>
      </c>
      <c r="IC35" s="7">
        <f>IFERROR(AVERAGEIF('Данные 1st'!$S$2:$S$317,$A35,'Данные 1st'!$RP$2:$RP$317),"")</f>
        <v/>
      </c>
      <c r="ID35" s="7">
        <f>IFERROR(AVERAGEIF('Данные 1st'!$S$2:$S$317,$A35,'Данные 1st'!$RQ$2:$RQ$317),"")</f>
        <v>832.75</v>
      </c>
      <c r="IE35" s="7">
        <f>IFERROR(AVERAGEIF('Данные 1st'!$S$2:$S$317,$A35,'Данные 1st'!$RR$2:$RR$317),"")</f>
        <v>514</v>
      </c>
      <c r="IF35" s="7">
        <f>IFERROR(AVERAGEIF('Данные 1st'!$S$2:$S$317,$A35,'Данные 1st'!$RS$2:$RS$317),"")</f>
        <v/>
      </c>
      <c r="IG35" s="7">
        <f>IFERROR(AVERAGEIF('Данные 1st'!$S$2:$S$317,$A35,'Данные 1st'!$RT$2:$RT$317),"")</f>
        <v>262.5</v>
      </c>
      <c r="IH35" s="7">
        <f>IFERROR(AVERAGEIF('Данные 1st'!$S$2:$S$317,$A35,'Данные 1st'!$RU$2:$RU$317),"")</f>
        <v>181.5</v>
      </c>
      <c r="II35" s="7">
        <f>IFERROR(AVERAGEIF('Данные 1st'!$S$2:$S$317,$A35,'Данные 1st'!$RX$2:$RX$317),"")</f>
        <v>15</v>
      </c>
      <c r="IJ35" s="7">
        <f>IFERROR(AVERAGEIF('Данные 1st'!$S$2:$S$317,$A35,'Данные 1st'!$RY$2:$RY$317),"")</f>
        <v>4</v>
      </c>
      <c r="IK35" s="7">
        <f>IFERROR(AVERAGEIF('Данные 1st'!$S$2:$S$317,$A35,'Данные 1st'!$SA$2:$SA$317),"")</f>
        <v>15</v>
      </c>
      <c r="IL35" s="7">
        <f>IFERROR(AVERAGEIF('Данные 1st'!$S$2:$S$317,$A35,'Данные 1st'!$SD$2:$SD$317),"")</f>
        <v>1</v>
      </c>
      <c r="IM35" s="7">
        <f>IFERROR(AVERAGEIF('Данные 1st'!$S$2:$S$317,$A35,'Данные 1st'!$SG$2:$SG$317),"")</f>
        <v>1</v>
      </c>
      <c r="IN35" s="7">
        <f>IFERROR(AVERAGEIF('Данные 1st'!$S$2:$S$317,$A35,'Данные 1st'!$SH$2:$SH$317),"")</f>
        <v>0.995</v>
      </c>
      <c r="IO35" s="7">
        <f>IFERROR(AVERAGEIF('Данные 1st'!$S$2:$S$317,$A35,'Данные 1st'!$SI$2:$SI$317),"")</f>
        <v>0.995</v>
      </c>
      <c r="IP35" s="7">
        <f>IFERROR(AVERAGEIF('Данные 1st'!$S$2:$S$317,$A35,'Данные 1st'!$SJ$2:$SJ$317),"")</f>
        <v>0.995</v>
      </c>
      <c r="IQ35" s="7">
        <f>IFERROR(AVERAGEIF('Данные 1st'!$S$2:$S$317,$A35,'Данные 1st'!$SK$2:$SK$317),"")</f>
        <v>15</v>
      </c>
      <c r="IR35" s="7">
        <f>IFERROR(AVERAGEIF('Данные 1st'!$S$2:$S$317,$A35,'Данные 1st'!$SL$2:$SL$317),"")</f>
        <v>0</v>
      </c>
      <c r="IS35" s="7">
        <f>IFERROR(AVERAGEIF('Данные 1st'!$S$2:$S$317,$A35,'Данные 1st'!$SM$2:$SM$317),"")</f>
        <v>0</v>
      </c>
      <c r="IT35" s="7">
        <f>IFERROR(AVERAGEIF('Данные 1st'!$S$2:$S$317,$A35,'Данные 1st'!$SN$2:$SN$317),"")</f>
        <v>0</v>
      </c>
      <c r="IU35" s="7">
        <f>IFERROR(AVERAGEIF('Данные 1st'!$S$2:$S$317,$A35,'Данные 1st'!$SO$2:$SO$317),"")</f>
        <v>0</v>
      </c>
      <c r="IV35" s="7">
        <f>IFERROR(AVERAGEIF('Данные 1st'!$S$2:$S$317,$A35,'Данные 1st'!$SP$2:$SP$317),"")</f>
        <v>0</v>
      </c>
      <c r="IW35" s="7">
        <f>IFERROR(AVERAGEIF('Данные 1st'!$S$2:$S$317,$A35,'Данные 1st'!$SQ$2:$SQ$317),"")</f>
        <v>0</v>
      </c>
      <c r="IX35" s="7">
        <f>IFERROR(AVERAGEIF('Данные 1st'!$S$2:$S$317,$A35,'Данные 1st'!$SR$2:$SR$317),"")</f>
        <v>0</v>
      </c>
      <c r="IY35" s="7">
        <f>IFERROR(AVERAGEIF('Данные 1st'!$S$2:$S$317,$A35,'Данные 1st'!$SS$2:$SS$317),"")</f>
        <v>0</v>
      </c>
      <c r="IZ35" s="7">
        <f>IFERROR(AVERAGEIF('Данные 1st'!$S$2:$S$317,$A35,'Данные 1st'!$ST$2:$ST$317),"")</f>
        <v>0</v>
      </c>
      <c r="JA35" s="7">
        <f>IFERROR(AVERAGEIF('Данные 1st'!$S$2:$S$317,$A35,'Данные 1st'!$SU$2:$SU$317),"")</f>
        <v>0</v>
      </c>
      <c r="JB35" s="7">
        <f>IFERROR(AVERAGEIF('Данные 1st'!$S$2:$S$317,$A35,'Данные 1st'!$SV$2:$SV$317),"")</f>
        <v>0</v>
      </c>
      <c r="JC35" s="7">
        <f>IFERROR(AVERAGEIF('Данные 1st'!$S$2:$S$317,$A35,'Данные 1st'!$SW$2:$SW$317),"")</f>
        <v>0</v>
      </c>
      <c r="JD35" s="7">
        <f>IFERROR(AVERAGEIF('Данные 1st'!$S$2:$S$317,$A35,'Данные 1st'!$SX$2:$SX$317),"")</f>
        <v>0</v>
      </c>
      <c r="JE35" s="7">
        <f>IFERROR(AVERAGEIF('Данные 1st'!$S$2:$S$317,$A35,'Данные 1st'!$SY$2:$SY$317),"")</f>
        <v/>
      </c>
      <c r="JF35" s="7">
        <f>IFERROR(AVERAGEIF('Данные 1st'!$S$2:$S$317,$A35,'Данные 1st'!$SZ$2:$SZ$317),"")</f>
        <v>1</v>
      </c>
      <c r="JG35" s="7">
        <f>IFERROR(AVERAGEIF('Данные 1st'!$S$2:$S$317,$A35,'Данные 1st'!$TA$2:$TA$317),"")</f>
        <v/>
      </c>
      <c r="JH35" s="7">
        <f>IFERROR(AVERAGEIF('Данные 1st'!$S$2:$S$317,$A35,'Данные 1st'!$TB$2:$TB$317),"")</f>
        <v>0</v>
      </c>
      <c r="JI35" s="7">
        <f>IFERROR(AVERAGEIF('Данные 1st'!$S$2:$S$317,$A35,'Данные 1st'!$TC$2:$TC$317),"")</f>
        <v>0</v>
      </c>
      <c r="JJ35" s="7">
        <f>IFERROR(AVERAGEIF('Данные 1st'!$S$2:$S$317,$A35,'Данные 1st'!$TD$2:$TD$317),"")</f>
        <v>7.5</v>
      </c>
      <c r="JK35" s="7">
        <f>IFERROR(AVERAGEIF('Данные 1st'!$S$2:$S$317,$A35,'Данные 1st'!$TN$2:$TN$317),"")</f>
        <v>0</v>
      </c>
      <c r="JL35">
        <f>COUNTIF('Данные 2st'!$Q$2:$Q$317,$A35)</f>
        <v>4</v>
      </c>
      <c r="JM35" s="6" t="s">
        <v>5100</v>
      </c>
      <c r="JN35" s="6" t="s">
        <v>513</v>
      </c>
      <c r="JO35" s="6" t="s">
        <v>5125</v>
      </c>
      <c r="JP35" s="6" t="s">
        <v>5491</v>
      </c>
      <c r="JQ35" s="7">
        <f>IFERROR(AVERAGEIF('Данные 2st'!$Q$2:$Q$317,$A35,'Данные 2st'!$AC$2:$AC$317),"")</f>
        <v>10</v>
      </c>
      <c r="JR35" s="7">
        <f>IFERROR(AVERAGEIF('Данные 2st'!$Q$2:$Q$317,$A35,'Данные 2st'!$AF$2:$AF$317),"")</f>
        <v>4640.75</v>
      </c>
      <c r="JS35" s="7">
        <f>IFERROR(AVERAGEIF('Данные 2st'!$Q$2:$Q$317,$A35,'Данные 2st'!$AW$2:$AW$317),"")</f>
        <v>6.4</v>
      </c>
      <c r="JT35" s="7">
        <f>IFERROR(AVERAGEIF('Данные 2st'!$Q$2:$Q$317,$A35,'Данные 2st'!$AX$2:$AX$317),"")</f>
        <v>-6</v>
      </c>
      <c r="JU35" s="7">
        <f>IFERROR(AVERAGEIF('Данные 2st'!$Q$2:$Q$317,$A35,'Данные 2st'!$AY$2:$AY$317),"")</f>
        <v>103</v>
      </c>
      <c r="JV35" s="7">
        <f>IFERROR(AVERAGEIF('Данные 2st'!$Q$2:$Q$317,$A35,'Данные 2st'!$AZ$2:$AZ$317),"")</f>
        <v>79.25</v>
      </c>
      <c r="JW35" s="7">
        <f>IFERROR(AVERAGEIF('Данные 2st'!$Q$2:$Q$317,$A35,'Данные 2st'!$BA$2:$BA$317),"")</f>
        <v/>
      </c>
      <c r="JX35" s="7">
        <f>IFERROR(AVERAGEIF('Данные 2st'!$Q$2:$Q$317,$A35,'Данные 2st'!$BB$2:$BB$317),"")</f>
        <v/>
      </c>
      <c r="JY35" s="7">
        <f>IFERROR(AVERAGEIF('Данные 2st'!$Q$2:$Q$317,$A35,'Данные 2st'!$BC$2:$BC$317),"")</f>
        <v/>
      </c>
      <c r="JZ35" s="7">
        <f>IFERROR(AVERAGEIF('Данные 2st'!$Q$2:$Q$317,$A35,'Данные 2st'!$BH$2:$BH$317),"")</f>
        <v>103</v>
      </c>
      <c r="KA35" s="7">
        <f>IFERROR(AVERAGEIF('Данные 2st'!$Q$2:$Q$317,$A35,'Данные 2st'!$BI$2:$BI$317),"")</f>
        <v>23.75</v>
      </c>
      <c r="KB35" s="7">
        <f>IFERROR(AVERAGEIF('Данные 2st'!$Q$2:$Q$317,$A35,'Данные 2st'!$BJ$2:$BJ$317),"")</f>
        <v>79.25</v>
      </c>
      <c r="KC35" s="7">
        <f>IFERROR(AVERAGEIF('Данные 2st'!$Q$2:$Q$317,$A35,'Данные 2st'!$BK$2:$BK$317),"")</f>
        <v>3.0</v>
      </c>
      <c r="KD35" s="7">
        <f>IFERROR(AVERAGEIF('Данные 2st'!$Q$2:$Q$317,$A35,'Данные 2st'!$BL$2:$BL$317),"")</f>
        <v>206</v>
      </c>
      <c r="KE35" s="7">
        <f>IFERROR(AVERAGEIF('Данные 2st'!$Q$2:$Q$317,$A35,'Данные 2st'!$BM$2:$BM$317),"")</f>
        <v>-6</v>
      </c>
      <c r="KF35" s="7">
        <f>IFERROR(AVERAGEIF('Данные 2st'!$Q$2:$Q$317,$A35,'Данные 2st'!$BN$2:$BN$317),"")</f>
        <v>0</v>
      </c>
      <c r="KG35" s="7">
        <f>IFERROR(AVERAGEIF('Данные 2st'!$Q$2:$Q$317,$A35,'Данные 2st'!$BO$2:$BO$317),"")</f>
        <v>0</v>
      </c>
      <c r="KH35" s="7">
        <f>IFERROR(AVERAGEIF('Данные 2st'!$Q$2:$Q$317,$A35,'Данные 2st'!$BP$2:$BP$317),"")</f>
        <v>0</v>
      </c>
      <c r="KI35" s="7">
        <f>IFERROR(AVERAGEIF('Данные 2st'!$Q$2:$Q$317,$A35,'Данные 2st'!$BR$2:$BR$317),"")</f>
        <v>200</v>
      </c>
      <c r="KJ35" s="7">
        <f>IFERROR(AVERAGEIF('Данные 2st'!$Q$2:$Q$317,$A35,'Данные 2st'!$BS$2:$BS$317),"")</f>
        <v>190</v>
      </c>
      <c r="KK35" s="7">
        <f>IFERROR(AVERAGEIF('Данные 2st'!$Q$2:$Q$317,$A35,'Данные 2st'!$BT$2:$BT$317),"")</f>
        <v>1993.75</v>
      </c>
      <c r="KL35" s="7">
        <f>IFERROR(AVERAGEIF('Данные 2st'!$Q$2:$Q$317,$A35,'Данные 2st'!$CV$2:$CV$317),"")</f>
        <v>124.75</v>
      </c>
      <c r="KM35" s="7">
        <f>IFERROR(AVERAGEIF('Данные 2st'!$Q$2:$Q$317,$A35,'Данные 2st'!$CW$2:$CW$317),"")</f>
        <v>3</v>
      </c>
      <c r="KN35" s="7">
        <f>IFERROR(AVERAGEIF('Данные 2st'!$Q$2:$Q$317,$A35,'Данные 2st'!$CX$2:$CX$317),"")</f>
        <v>90.75</v>
      </c>
      <c r="KO35" s="7">
        <f>IFERROR(AVERAGEIF('Данные 2st'!$Q$2:$Q$317,$A35,'Данные 2st'!$CY$2:$CY$317),"")</f>
        <v>5</v>
      </c>
      <c r="KP35" s="7">
        <f>IFERROR(AVERAGEIF('Данные 2st'!$Q$2:$Q$317,$A35,'Данные 2st'!$CZ$2:$CZ$317),"")</f>
        <v>123.75</v>
      </c>
      <c r="KQ35" s="7">
        <f>IFERROR(AVERAGEIF('Данные 2st'!$Q$2:$Q$317,$A35,'Данные 2st'!$DA$2:$DA$317),"")</f>
        <v>5</v>
      </c>
      <c r="KR35" s="7">
        <f>IFERROR(AVERAGEIF('Данные 2st'!$Q$2:$Q$317,$A35,'Данные 2st'!$DB$2:$DB$317),"")</f>
        <v>11117.5</v>
      </c>
      <c r="KS35" s="7">
        <f>IFERROR(AVERAGEIF('Данные 2st'!$Q$2:$Q$317,$A35,'Данные 2st'!$DC$2:$DC$317),"")</f>
        <v>330</v>
      </c>
      <c r="KT35" s="7">
        <f>IFERROR(AVERAGEIF('Данные 2st'!$Q$2:$Q$317,$A35,'Данные 2st'!$DD$2:$DD$317),"")</f>
        <v>320</v>
      </c>
      <c r="KU35" s="7">
        <f>IFERROR(AVERAGEIF('Данные 2st'!$Q$2:$Q$317,$A35,'Данные 2st'!$DE$2:$DE$317),"")</f>
        <v>2111</v>
      </c>
      <c r="KV35" s="7">
        <f>IFERROR(AVERAGEIF('Данные 2st'!$Q$2:$Q$317,$A35,'Данные 2st'!$DF$2:$DF$317),"")</f>
        <v>2111</v>
      </c>
      <c r="KW35" s="7">
        <f>IFERROR(AVERAGEIF('Данные 2st'!$Q$2:$Q$317,$A35,'Данные 2st'!$DG$2:$DG$317),"")</f>
        <v>2121.5</v>
      </c>
      <c r="KX35" s="7">
        <f>IFERROR(AVERAGEIF('Данные 2st'!$Q$2:$Q$317,$A35,'Данные 2st'!$DH$2:$DH$317),"")</f>
        <v/>
      </c>
      <c r="KY35" s="7">
        <f>IFERROR(AVERAGEIF('Данные 2st'!$Q$2:$Q$317,$A35,'Данные 2st'!$DI$2:$DI$317),"")</f>
        <v/>
      </c>
      <c r="KZ35" s="7">
        <f>IFERROR(AVERAGEIF('Данные 2st'!$Q$2:$Q$317,$A35,'Данные 2st'!$DK$2:$DK$317),"")</f>
        <v>200</v>
      </c>
      <c r="LA35" s="7">
        <f>IFERROR(AVERAGEIF('Данные 2st'!$Q$2:$Q$317,$A35,'Данные 2st'!$DM$2:$DM$317),"")</f>
        <v>64</v>
      </c>
      <c r="LB35" s="7">
        <f>IFERROR(AVERAGEIF('Данные 2st'!$Q$2:$Q$317,$A35,'Данные 2st'!$DN$2:$DN$317),"")</f>
        <v>1.125</v>
      </c>
      <c r="LC35" s="7">
        <f>IFERROR(AVERAGEIF('Данные 2st'!$Q$2:$Q$317,$A35,'Данные 2st'!$DO$2:$DO$317),"")</f>
        <v>1</v>
      </c>
      <c r="LD35" s="7">
        <f>IFERROR(AVERAGEIF('Данные 2st'!$Q$2:$Q$317,$A35,'Данные 2st'!$DP$2:$DP$317),"")</f>
        <v>1997</v>
      </c>
      <c r="LE35" s="7">
        <f>IFERROR(AVERAGEIF('Данные 2st'!$Q$2:$Q$317,$A35,'Данные 2st'!$DQ$2:$DQ$317),"")</f>
        <v>877.75</v>
      </c>
      <c r="LF35" s="7">
        <f>IFERROR(AVERAGEIF('Данные 2st'!$Q$2:$Q$317,$A35,'Данные 2st'!$DS$2:$DS$317),"")</f>
        <v>190</v>
      </c>
      <c r="LG35" s="7">
        <f>IFERROR(AVERAGEIF('Данные 2st'!$Q$2:$Q$317,$A35,'Данные 2st'!$DU$2:$DU$317),"")</f>
        <v>64</v>
      </c>
      <c r="LH35" s="7">
        <f>IFERROR(AVERAGEIF('Данные 2st'!$Q$2:$Q$317,$A35,'Данные 2st'!$DV$2:$DV$317),"")</f>
        <v>1.125</v>
      </c>
      <c r="LI35" s="7">
        <f>IFERROR(AVERAGEIF('Данные 2st'!$Q$2:$Q$317,$A35,'Данные 2st'!$DW$2:$DW$317),"")</f>
        <v>1</v>
      </c>
      <c r="LJ35" s="7">
        <f>IFERROR(AVERAGEIF('Данные 2st'!$Q$2:$Q$317,$A35,'Данные 2st'!$DX$2:$DX$317),"")</f>
        <v>2009</v>
      </c>
      <c r="LK35" s="7">
        <f>IFERROR(AVERAGEIF('Данные 2st'!$Q$2:$Q$317,$A35,'Данные 2st'!$DY$2:$DY$317),"")</f>
        <v>838.75</v>
      </c>
      <c r="LL35" s="7">
        <f>IFERROR(AVERAGEIF('Данные 2st'!$Q$2:$Q$317,$A35,'Данные 2st'!$EA$2:$EA$317),"")</f>
        <v>20</v>
      </c>
      <c r="LM35" s="7">
        <f>IFERROR(AVERAGEIF('Данные 2st'!$Q$2:$Q$317,$A35,'Данные 2st'!$EC$2:$EC$317),"")</f>
        <v>0.8</v>
      </c>
      <c r="LN35" s="7">
        <f>IFERROR(AVERAGEIF('Данные 2st'!$Q$2:$Q$317,$A35,'Данные 2st'!$ED$2:$ED$317),"")</f>
        <v>1997</v>
      </c>
      <c r="LO35" s="7">
        <f>IFERROR(AVERAGEIF('Данные 2st'!$Q$2:$Q$317,$A35,'Данные 2st'!$EE$2:$EE$317),"")</f>
        <v>70</v>
      </c>
      <c r="LP35" s="7">
        <f>IFERROR(AVERAGEIF('Данные 2st'!$Q$2:$Q$317,$A35,'Данные 2st'!$EG$2:$EG$317),"")</f>
        <v>0</v>
      </c>
      <c r="LQ35" s="7">
        <f>IFERROR(AVERAGEIF('Данные 2st'!$Q$2:$Q$317,$A35,'Данные 2st'!$EI$2:$EI$317),"")</f>
        <v>0</v>
      </c>
      <c r="LR35" s="7">
        <f>IFERROR(AVERAGEIF('Данные 2st'!$Q$2:$Q$317,$A35,'Данные 2st'!$EJ$2:$EJ$317),"")</f>
        <v/>
      </c>
      <c r="LS35" s="7">
        <f>IFERROR(AVERAGEIF('Данные 2st'!$Q$2:$Q$317,$A35,'Данные 2st'!$EK$2:$EK$317),"")</f>
        <v/>
      </c>
      <c r="LT35" s="7">
        <f>IFERROR(AVERAGEIF('Данные 2st'!$Q$2:$Q$317,$A35,'Данные 2st'!$EM$2:$EM$317),"")</f>
        <v>12</v>
      </c>
      <c r="LU35" s="7">
        <f>IFERROR(AVERAGEIF('Данные 2st'!$Q$2:$Q$317,$A35,'Данные 2st'!$EN$2:$EN$317),"")</f>
        <v>0.5</v>
      </c>
      <c r="LV35" s="7">
        <f>IFERROR(AVERAGEIF('Данные 2st'!$Q$2:$Q$317,$A35,'Данные 2st'!$EO$2:$EO$317),"")</f>
        <v>0.96</v>
      </c>
      <c r="LW35" s="7">
        <f>IFERROR(AVERAGEIF('Данные 2st'!$Q$2:$Q$317,$A35,'Данные 2st'!$EP$2:$EP$317),"")</f>
        <v>2007.8925</v>
      </c>
      <c r="LX35" s="7">
        <f>IFERROR(AVERAGEIF('Данные 2st'!$Q$2:$Q$317,$A35,'Данные 2st'!$EQ$2:$EQ$317),"")</f>
        <v>34195.3075</v>
      </c>
      <c r="LY35" s="7">
        <f>IFERROR(AVERAGEIF('Данные 2st'!$Q$2:$Q$317,$A35,'Данные 2st'!$ER$2:$ER$317),"")</f>
        <v>7473.46</v>
      </c>
      <c r="LZ35" s="7">
        <f>IFERROR(AVERAGEIF('Данные 2st'!$Q$2:$Q$317,$A35,'Данные 2st'!$ES$2:$ES$317),"")</f>
        <v>0</v>
      </c>
      <c r="MA35" s="7">
        <f>IFERROR(AVERAGEIF('Данные 2st'!$Q$2:$Q$317,$A35,'Данные 2st'!$ET$2:$ET$317),"")</f>
        <v>0</v>
      </c>
      <c r="MB35" s="7">
        <f>IFERROR(AVERAGEIF('Данные 2st'!$Q$2:$Q$317,$A35,'Данные 2st'!$EU$2:$EU$317),"")</f>
        <v>1</v>
      </c>
      <c r="MC35" s="7">
        <f>IFERROR(AVERAGEIF('Данные 2st'!$Q$2:$Q$317,$A35,'Данные 2st'!$EV$2:$EV$317),"")</f>
        <v>41669.25</v>
      </c>
      <c r="MD35" s="7">
        <f>IFERROR(AVERAGEIF('Данные 2st'!$Q$2:$Q$317,$A35,'Данные 2st'!$EW$2:$EW$317),"")</f>
        <v>500.75</v>
      </c>
      <c r="ME35" s="7">
        <f>IFERROR(AVERAGEIF('Данные 2st'!$Q$2:$Q$317,$A35,'Данные 2st'!$EY$2:$EY$317),"")</f>
        <v>216.5</v>
      </c>
      <c r="MF35" s="7">
        <f>IFERROR(AVERAGEIF('Данные 2st'!$Q$2:$Q$317,$A35,'Данные 2st'!$FA$2:$FA$317),"")</f>
        <v>5.175</v>
      </c>
      <c r="MG35" s="7">
        <f>IFERROR(AVERAGEIF('Данные 2st'!$Q$2:$Q$317,$A35,'Данные 2st'!$FB$2:$FB$317),"")</f>
        <v>1</v>
      </c>
      <c r="MH35" s="7">
        <f>IFERROR(AVERAGEIF('Данные 2st'!$Q$2:$Q$317,$A35,'Данные 2st'!$FC$2:$FC$317),"")</f>
        <v>1</v>
      </c>
      <c r="MI35" s="7">
        <f>IFERROR(AVERAGEIF('Данные 2st'!$Q$2:$Q$317,$A35,'Данные 2st'!$FD$2:$FD$317),"")</f>
        <v>2041</v>
      </c>
      <c r="MJ35" s="7">
        <f>IFERROR(AVERAGEIF('Данные 2st'!$Q$2:$Q$317,$A35,'Данные 2st'!$FE$2:$FE$317),"")</f>
        <v>2343.25</v>
      </c>
      <c r="MK35" s="7">
        <f>IFERROR(AVERAGEIF('Данные 2st'!$Q$2:$Q$317,$A35,'Данные 2st'!$FG$2:$FG$317),"")</f>
        <v>216.5</v>
      </c>
      <c r="ML35" s="7">
        <f>IFERROR(AVERAGEIF('Данные 2st'!$Q$2:$Q$317,$A35,'Данные 2st'!$FI$2:$FI$317),"")</f>
        <v>2.9</v>
      </c>
      <c r="MM35" s="7">
        <f>IFERROR(AVERAGEIF('Данные 2st'!$Q$2:$Q$317,$A35,'Данные 2st'!$FJ$2:$FJ$317),"")</f>
        <v>2041</v>
      </c>
      <c r="MN35" s="7">
        <f>IFERROR(AVERAGEIF('Данные 2st'!$Q$2:$Q$317,$A35,'Данные 2st'!$FK$2:$FK$317),"")</f>
        <v>1482.25</v>
      </c>
      <c r="MO35" s="7">
        <f>IFERROR(AVERAGEIF('Данные 2st'!$Q$2:$Q$317,$A35,'Данные 2st'!$FP$2:$FP$317),"")</f>
        <v>2041</v>
      </c>
      <c r="MP35" s="7">
        <f>IFERROR(AVERAGEIF('Данные 2st'!$Q$2:$Q$317,$A35,'Данные 2st'!$FQ$2:$FQ$317),"")</f>
        <v>139.5</v>
      </c>
      <c r="MQ35" s="7">
        <f>IFERROR(AVERAGEIF('Данные 2st'!$Q$2:$Q$317,$A35,'Данные 2st'!$FS$2:$FS$317),"")</f>
        <v>220.5</v>
      </c>
      <c r="MR35" s="7">
        <f>IFERROR(AVERAGEIF('Данные 2st'!$Q$2:$Q$317,$A35,'Данные 2st'!$FU$2:$FU$317),"")</f>
        <v>0.4</v>
      </c>
      <c r="MS35" s="7">
        <f>IFERROR(AVERAGEIF('Данные 2st'!$Q$2:$Q$317,$A35,'Данные 2st'!$FV$2:$FV$317),"")</f>
        <v>2041</v>
      </c>
      <c r="MT35" s="7">
        <f>IFERROR(AVERAGEIF('Данные 2st'!$Q$2:$Q$317,$A35,'Данные 2st'!$FW$2:$FW$317),"")</f>
        <v>200.25</v>
      </c>
      <c r="MU35" s="7">
        <f>IFERROR(AVERAGEIF('Данные 2st'!$Q$2:$Q$317,$A35,'Данные 2st'!$FY$2:$FY$317),"")</f>
        <v>5</v>
      </c>
      <c r="MV35" s="7">
        <f>IFERROR(AVERAGEIF('Данные 2st'!$Q$2:$Q$317,$A35,'Данные 2st'!$GB$2:$GB$317),"")</f>
        <v>2041</v>
      </c>
      <c r="MW35" s="7">
        <f>IFERROR(AVERAGEIF('Данные 2st'!$Q$2:$Q$317,$A35,'Данные 2st'!$GC$2:$GC$317),"")</f>
        <v>19.5</v>
      </c>
      <c r="MX35" s="7">
        <f>IFERROR(AVERAGEIF('Данные 2st'!$Q$2:$Q$317,$A35,'Данные 2st'!$GD$2:$GD$317),"")</f>
        <v>4184.75</v>
      </c>
      <c r="MY35" s="7">
        <f>IFERROR(AVERAGEIF('Данные 2st'!$Q$2:$Q$317,$A35,'Данные 2st'!$GN$2:$GN$317),"")</f>
        <v/>
      </c>
      <c r="MZ35" s="7">
        <f>IFERROR(AVERAGEIF('Данные 2st'!$Q$2:$Q$317,$A35,'Данные 2st'!$GQ$2:$GQ$317),"")</f>
        <v>0</v>
      </c>
      <c r="NA35" s="7">
        <f>IFERROR(AVERAGEIF('Данные 2st'!$Q$2:$Q$317,$A35,'Данные 2st'!$GV$2:$GV$317),"")</f>
        <v>8.475</v>
      </c>
      <c r="NB35" s="7">
        <f>IFERROR(AVERAGEIF('Данные 2st'!$Q$2:$Q$317,$A35,'Данные 2st'!$GW$2:$GW$317),"")</f>
        <v>9.45</v>
      </c>
      <c r="NC35" s="7">
        <f>IFERROR(AVERAGEIF('Данные 2st'!$Q$2:$Q$317,$A35,'Данные 2st'!$GX$2:$GX$317),"")</f>
        <v>0.5</v>
      </c>
      <c r="ND35" s="7">
        <f>IFERROR(AVERAGEIF('Данные 2st'!$Q$2:$Q$317,$A35,'Данные 2st'!$GY$2:$GY$317),"")</f>
        <v>191.5</v>
      </c>
      <c r="NE35" s="7">
        <f>IFERROR(AVERAGEIF('Данные 2st'!$Q$2:$Q$317,$A35,'Данные 2st'!$GZ$2:$GZ$317),"")</f>
        <v>3</v>
      </c>
      <c r="NF35" s="7">
        <f>IFERROR(AVERAGEIF('Данные 2st'!$Q$2:$Q$317,$A35,'Данные 2st'!$HA$2:$HA$317),"")</f>
        <v>235</v>
      </c>
      <c r="NG35" s="7">
        <f>IFERROR(AVERAGEIF('Данные 2st'!$Q$2:$Q$317,$A35,'Данные 2st'!$HB$2:$HB$317),"")</f>
        <v>3</v>
      </c>
      <c r="NH35" s="7">
        <f>IFERROR(AVERAGEIF('Данные 2st'!$Q$2:$Q$317,$A35,'Данные 2st'!$HC$2:$HC$317),"")</f>
        <v>2041</v>
      </c>
      <c r="NI35" s="7">
        <f>IFERROR(AVERAGEIF('Данные 2st'!$Q$2:$Q$317,$A35,'Данные 2st'!$HD$2:$HD$317),"")</f>
        <v>4</v>
      </c>
      <c r="NJ35" s="7">
        <f>IFERROR(AVERAGEIF('Данные 2st'!$Q$2:$Q$317,$A35,'Данные 2st'!$HM$2:$HM$317),"")</f>
        <v>18</v>
      </c>
      <c r="NK35" s="7">
        <f>IFERROR(AVERAGEIF('Данные 2st'!$Q$2:$Q$317,$A35,'Данные 2st'!$HR$2:$HR$317),"")</f>
        <v>2.25</v>
      </c>
      <c r="NL35" s="7">
        <f>IFERROR(AVERAGEIF('Данные 2st'!$Q$2:$Q$317,$A35,'Данные 2st'!$HS$2:$HS$317),"")</f>
        <v>1993.75</v>
      </c>
      <c r="NM35" s="7">
        <f>IFERROR(AVERAGEIF('Данные 2st'!$Q$2:$Q$317,$A35,'Данные 2st'!$HT$2:$HT$317),"")</f>
        <v>5</v>
      </c>
      <c r="NN35" s="7">
        <f>IFERROR(AVERAGEIF('Данные 2st'!$Q$2:$Q$317,$A35,'Данные 2st'!$HY$2:$HY$317),"")</f>
        <v>0</v>
      </c>
      <c r="NO35" s="7">
        <f>IFERROR(AVERAGEIF('Данные 2st'!$Q$2:$Q$317,$A35,'Данные 2st'!$HZ$2:$HZ$317),"")</f>
        <v>64</v>
      </c>
      <c r="NP35" s="7">
        <f>IFERROR(AVERAGEIF('Данные 2st'!$Q$2:$Q$317,$A35,'Данные 2st'!$IA$2:$IA$317),"")</f>
        <v>1997</v>
      </c>
      <c r="NQ35" s="7">
        <f>IFERROR(AVERAGEIF('Данные 2st'!$Q$2:$Q$317,$A35,'Данные 2st'!$IB$2:$IB$317),"")</f>
        <v>2009</v>
      </c>
      <c r="NR35" s="7">
        <f>IFERROR(AVERAGEIF('Данные 2st'!$Q$2:$Q$317,$A35,'Данные 2st'!$IC$2:$IC$317),"")</f>
        <v/>
      </c>
      <c r="NS35" s="7">
        <f>IFERROR(AVERAGEIF('Данные 2st'!$Q$2:$Q$317,$A35,'Данные 2st'!$ID$2:$ID$317),"")</f>
        <v>2041</v>
      </c>
      <c r="NT35" s="7">
        <f>IFERROR(AVERAGEIF('Данные 2st'!$Q$2:$Q$317,$A35,'Данные 2st'!$IE$2:$IE$317),"")</f>
        <v>2041</v>
      </c>
      <c r="NU35" s="7">
        <f>IFERROR(AVERAGEIF('Данные 2st'!$Q$2:$Q$317,$A35,'Данные 2st'!$IF$2:$IF$317),"")</f>
        <v>200</v>
      </c>
      <c r="NV35" s="7">
        <f>IFERROR(AVERAGEIF('Данные 2st'!$Q$2:$Q$317,$A35,'Данные 2st'!$IG$2:$IG$317),"")</f>
        <v>190</v>
      </c>
      <c r="NW35" s="7">
        <f>IFERROR(AVERAGEIF('Данные 2st'!$Q$2:$Q$317,$A35,'Данные 2st'!$IH$2:$IH$317),"")</f>
        <v>235</v>
      </c>
      <c r="NX35" s="7">
        <f>IFERROR(AVERAGEIF('Данные 2st'!$Q$2:$Q$317,$A35,'Данные 2st'!$IJ$2:$IJ$317),"")</f>
        <v>5</v>
      </c>
      <c r="NY35" s="7">
        <f>IFERROR(AVERAGEIF('Данные 2st'!$Q$2:$Q$317,$A35,'Данные 2st'!$IM$2:$IM$317),"")</f>
        <v>0</v>
      </c>
      <c r="NZ35" s="7">
        <f>IFERROR(AVERAGEIF('Данные 2st'!$Q$2:$Q$317,$A35,'Данные 2st'!$IN$2:$IN$317),"")</f>
        <v>270</v>
      </c>
      <c r="OA35" s="7">
        <f>IFERROR(AVERAGEIF('Данные 2st'!$Q$2:$Q$317,$A35,'Данные 2st'!$IO$2:$IO$317),"")</f>
        <v>0</v>
      </c>
      <c r="OB35" s="7">
        <f>IFERROR(AVERAGEIF('Данные 2st'!$Q$2:$Q$317,$A35,'Данные 2st'!$IP$2:$IP$317),"")</f>
        <v>180</v>
      </c>
      <c r="OC35" s="7">
        <f>IFERROR(AVERAGEIF('Данные 2st'!$Q$2:$Q$317,$A35,'Данные 2st'!$IQ$2:$IQ$317),"")</f>
        <v>0</v>
      </c>
      <c r="OD35" s="7">
        <f>IFERROR(AVERAGEIF('Данные 2st'!$Q$2:$Q$317,$A35,'Данные 2st'!$IR$2:$IR$317),"")</f>
        <v>325</v>
      </c>
      <c r="OE35" s="7">
        <f>IFERROR(AVERAGEIF('Данные 2st'!$Q$2:$Q$317,$A35,'Данные 2st'!$IT$2:$IT$317),"")</f>
        <v>90</v>
      </c>
      <c r="OF35" s="7">
        <f>IFERROR(AVERAGEIF('Данные 2st'!$Q$2:$Q$317,$A35,'Данные 2st'!$IU$2:$IU$317),"")</f>
        <v>0</v>
      </c>
      <c r="OG35" s="7">
        <f>IFERROR(AVERAGEIF('Данные 2st'!$Q$2:$Q$317,$A35,'Данные 2st'!$IV$2:$IV$317),"")</f>
        <v>6.4</v>
      </c>
      <c r="OH35" s="7">
        <f>IFERROR(AVERAGEIF('Данные 2st'!$Q$2:$Q$317,$A35,'Данные 2st'!$IW$2:$IW$317),"")</f>
        <v>-6</v>
      </c>
      <c r="OI35" s="7">
        <f>IFERROR(AVERAGEIF('Данные 2st'!$Q$2:$Q$317,$A35,'Данные 2st'!$IX$2:$IX$317),"")</f>
        <v>103</v>
      </c>
      <c r="OJ35" s="7">
        <f>IFERROR(AVERAGEIF('Данные 2st'!$Q$2:$Q$317,$A35,'Данные 2st'!$IY$2:$IY$317),"")</f>
        <v>79.25</v>
      </c>
      <c r="OK35" s="7">
        <f>IFERROR(AVERAGEIF('Данные 2st'!$Q$2:$Q$317,$A35,'Данные 2st'!$IZ$2:$IZ$317),"")</f>
        <v>0</v>
      </c>
      <c r="OL35" s="7">
        <f>IFERROR(AVERAGEIF('Данные 2st'!$Q$2:$Q$317,$A35,'Данные 2st'!$JA$2:$JA$317),"")</f>
        <v>0</v>
      </c>
      <c r="OM35" s="7">
        <f>IFERROR(AVERAGEIF('Данные 2st'!$Q$2:$Q$317,$A35,'Данные 2st'!$JB$2:$JB$317),"")</f>
        <v>0</v>
      </c>
      <c r="ON35" s="7">
        <f>IFERROR(AVERAGEIF('Данные 2st'!$Q$2:$Q$317,$A35,'Данные 2st'!$JC$2:$JC$317),"")</f>
        <v>0</v>
      </c>
      <c r="OO35" s="7">
        <f>IFERROR(AVERAGEIF('Данные 2st'!$Q$2:$Q$317,$A35,'Данные 2st'!$JD$2:$JD$317),"")</f>
        <v>0</v>
      </c>
      <c r="OP35" s="7">
        <f>IFERROR(AVERAGEIF('Данные 2st'!$Q$2:$Q$317,$A35,'Данные 2st'!$JE$2:$JE$317),"")</f>
        <v>0</v>
      </c>
      <c r="OQ35" s="7">
        <f>IFERROR(AVERAGEIF('Данные 2st'!$Q$2:$Q$317,$A35,'Данные 2st'!$JF$2:$JF$317),"")</f>
        <v>0</v>
      </c>
      <c r="OR35" s="7">
        <f>IFERROR(AVERAGEIF('Данные 2st'!$Q$2:$Q$317,$A35,'Данные 2st'!$JG$2:$JG$317),"")</f>
        <v>0</v>
      </c>
      <c r="OS35" s="7">
        <f>IFERROR(AVERAGEIF('Данные 2st'!$Q$2:$Q$317,$A35,'Данные 2st'!$JH$2:$JH$317),"")</f>
        <v>0</v>
      </c>
      <c r="OT35" s="7">
        <f>IFERROR(AVERAGEIF('Данные 2st'!$Q$2:$Q$317,$A35,'Данные 2st'!$JI$2:$JI$317),"")</f>
        <v>365</v>
      </c>
      <c r="OU35" s="7">
        <f>IFERROR(AVERAGEIF('Данные 2st'!$Q$2:$Q$317,$A35,'Данные 2st'!$JJ$2:$JJ$317),"")</f>
        <v>337.5</v>
      </c>
      <c r="OV35" s="7">
        <f>IFERROR(AVERAGEIF('Данные 2st'!$Q$2:$Q$317,$A35,'Данные 2st'!$JK$2:$JK$317),"")</f>
        <v>270.5</v>
      </c>
      <c r="OW35" s="7">
        <f>IFERROR(AVERAGEIF('Данные 2st'!$Q$2:$Q$317,$A35,'Данные 2st'!$JL$2:$JL$317),"")</f>
        <v>336</v>
      </c>
      <c r="OX35" s="7">
        <f>IFERROR(AVERAGEIF('Данные 2st'!$Q$2:$Q$317,$A35,'Данные 2st'!$JM$2:$JM$317),"")</f>
        <v>256.75</v>
      </c>
      <c r="OY35" s="7">
        <f>IFERROR(AVERAGEIF('Данные 2st'!$Q$2:$Q$317,$A35,'Данные 2st'!$JP$2:$JP$317),"")</f>
        <v>212.5</v>
      </c>
      <c r="OZ35" s="7">
        <f>IFERROR(AVERAGEIF('Данные 2st'!$Q$2:$Q$317,$A35,'Данные 2st'!$JQ$2:$JQ$317),"")</f>
        <v>252.5</v>
      </c>
      <c r="PA35" s="7">
        <f>IFERROR(AVERAGEIF('Данные 2st'!$Q$2:$Q$317,$A35,'Данные 2st'!$JR$2:$JR$317),"")</f>
        <v>317</v>
      </c>
      <c r="PB35" s="7">
        <f>IFERROR(AVERAGEIF('Данные 2st'!$Q$2:$Q$317,$A35,'Данные 2st'!$JS$2:$JS$317),"")</f>
        <v>248.75</v>
      </c>
      <c r="PC35" s="7">
        <f>IFERROR(AVERAGEIF('Данные 2st'!$Q$2:$Q$317,$A35,'Данные 2st'!$JT$2:$JT$317),"")</f>
        <v>0</v>
      </c>
      <c r="PD35" s="7">
        <f>IFERROR(AVERAGEIF('Данные 2st'!$Q$2:$Q$317,$A35,'Данные 2st'!$JU$2:$JU$317),"")</f>
        <v>0</v>
      </c>
      <c r="PE35" s="7">
        <f>IFERROR(AVERAGEIF('Данные 2st'!$Q$2:$Q$317,$A35,'Данные 2st'!$JV$2:$JV$317),"")</f>
        <v>302.5</v>
      </c>
      <c r="PF35" s="7">
        <f>IFERROR(AVERAGEIF('Данные 2st'!$Q$2:$Q$317,$A35,'Данные 2st'!$JW$2:$JW$317),"")</f>
        <v>304.5</v>
      </c>
      <c r="PG35" s="7">
        <f>IFERROR(AVERAGEIF('Данные 2st'!$Q$2:$Q$317,$A35,'Данные 2st'!$KF$2:$KF$317),"")</f>
        <v>0.17</v>
      </c>
      <c r="PH35" s="7">
        <f>IFERROR(AVERAGEIF('Данные 2st'!$Q$2:$Q$317,$A35,'Данные 2st'!$KG$2:$KG$317),"")</f>
        <v>0.10500000000000001</v>
      </c>
      <c r="PI35" s="7">
        <f>IFERROR(AVERAGEIF('Данные 2st'!$Q$2:$Q$317,$A35,'Данные 2st'!$KM$2:$KM$317),"")</f>
        <v>1.5</v>
      </c>
      <c r="PJ35" s="7">
        <f>IFERROR(AVERAGEIF('Данные 2st'!$Q$2:$Q$317,$A35,'Данные 2st'!$KN$2:$KN$317),"")</f>
        <v>1.525</v>
      </c>
      <c r="PK35" s="7">
        <f>IFERROR(AVERAGEIF('Данные 2st'!$Q$2:$Q$317,$A35,'Данные 2st'!$KO$2:$KO$317),"")</f>
        <v>0</v>
      </c>
      <c r="PL35" s="7">
        <f>IFERROR(AVERAGEIF('Данные 2st'!$Q$2:$Q$317,$A35,'Данные 2st'!$KP$2:$KP$317),"")</f>
        <v>0</v>
      </c>
      <c r="PM35" s="7">
        <f>IFERROR(AVERAGEIF('Данные 2st'!$Q$2:$Q$317,$A35,'Данные 2st'!$KQ$2:$KQ$317),"")</f>
        <v>1.05</v>
      </c>
      <c r="PN35" s="7">
        <f>IFERROR(AVERAGEIF('Данные 2st'!$Q$2:$Q$317,$A35,'Данные 2st'!$KR$2:$KR$317),"")</f>
        <v>0.9</v>
      </c>
      <c r="PO35" s="7">
        <f>IFERROR(AVERAGEIF('Данные 2st'!$Q$2:$Q$317,$A35,'Данные 2st'!$KS$2:$KS$317),"")</f>
        <v>0.2</v>
      </c>
      <c r="PP35" s="7">
        <f>IFERROR(AVERAGEIF('Данные 2st'!$Q$2:$Q$317,$A35,'Данные 2st'!$KT$2:$KT$317),"")</f>
        <v>2.2249999999999996</v>
      </c>
      <c r="PQ35" s="7">
        <f>IFERROR(AVERAGEIF('Данные 2st'!$Q$2:$Q$317,$A35,'Данные 2st'!$KU$2:$KU$317),"")</f>
        <v>0</v>
      </c>
      <c r="PR35" s="7">
        <f>IFERROR(AVERAGEIF('Данные 2st'!$Q$2:$Q$317,$A35,'Данные 2st'!$KV$2:$KV$317),"")</f>
        <v>0</v>
      </c>
      <c r="PS35" s="7">
        <f>IFERROR(AVERAGEIF('Данные 2st'!$Q$2:$Q$317,$A35,'Данные 2st'!$KW$2:$KW$317),"")</f>
        <v>1.2</v>
      </c>
      <c r="PT35" s="7">
        <f>IFERROR(AVERAGEIF('Данные 2st'!$Q$2:$Q$317,$A35,'Данные 2st'!$KX$2:$KX$317),"")</f>
        <v>2</v>
      </c>
      <c r="PU35" s="7">
        <f>IFERROR(AVERAGEIF('Данные 2st'!$Q$2:$Q$317,$A35,'Данные 2st'!$KY$2:$KY$317),"")</f>
        <v>0</v>
      </c>
      <c r="PV35" s="7">
        <f>IFERROR(AVERAGEIF('Данные 2st'!$Q$2:$Q$317,$A35,'Данные 2st'!$KZ$2:$KZ$317),"")</f>
        <v>0</v>
      </c>
      <c r="PW35" s="7">
        <f>IFERROR(AVERAGEIF('Данные 2st'!$Q$2:$Q$317,$A35,'Данные 2st'!$LA$2:$LA$317),"")</f>
        <v>0</v>
      </c>
      <c r="PX35" s="7">
        <f>IFERROR(AVERAGEIF('Данные 2st'!$Q$2:$Q$317,$A35,'Данные 2st'!$LB$2:$LB$317),"")</f>
        <v>0</v>
      </c>
      <c r="PY35" s="7">
        <f>IFERROR(AVERAGEIF('Данные 2st'!$Q$2:$Q$317,$A35,'Данные 2st'!$LC$2:$LC$317),"")</f>
        <v>0</v>
      </c>
      <c r="PZ35" s="7">
        <f>IFERROR(AVERAGEIF('Данные 2st'!$Q$2:$Q$317,$A35,'Данные 2st'!$LD$2:$LD$317),"")</f>
        <v>0</v>
      </c>
      <c r="QA35" s="7">
        <f>IFERROR(AVERAGEIF('Данные 2st'!$Q$2:$Q$317,$A35,'Данные 2st'!$LE$2:$LE$317),"")</f>
        <v>0</v>
      </c>
      <c r="QB35" s="7">
        <f>IFERROR(AVERAGEIF('Данные 2st'!$Q$2:$Q$317,$A35,'Данные 2st'!$LF$2:$LF$317),"")</f>
        <v>0</v>
      </c>
      <c r="QC35" s="7">
        <f>IFERROR(AVERAGEIF('Данные 2st'!$Q$2:$Q$317,$A35,'Данные 2st'!$LG$2:$LG$317),"")</f>
        <v>0</v>
      </c>
      <c r="QD35" s="7">
        <f>IFERROR(AVERAGEIF('Данные 2st'!$Q$2:$Q$317,$A35,'Данные 2st'!$LH$2:$LH$317),"")</f>
        <v>3</v>
      </c>
      <c r="QE35" s="7">
        <f>IFERROR(AVERAGEIF('Данные 2st'!$Q$2:$Q$317,$A35,'Данные 2st'!$LJ$2:$LJ$317),"")</f>
        <v>0</v>
      </c>
      <c r="QF35" s="7">
        <f>IFERROR(AVERAGEIF('Данные 2st'!$Q$2:$Q$317,$A35,'Данные 2st'!$LK$2:$LK$317),"")</f>
        <v>3</v>
      </c>
      <c r="QG35" s="7">
        <f>IFERROR(AVERAGEIF('Данные 2st'!$Q$2:$Q$317,$A35,'Данные 2st'!$LL$2:$LL$317),"")</f>
        <v>6</v>
      </c>
      <c r="QH35" s="7">
        <f>IFERROR(AVERAGEIF('Данные 2st'!$Q$2:$Q$317,$A35,'Данные 2st'!$LM$2:$LM$317),"")</f>
        <v>5</v>
      </c>
      <c r="QI35" s="7">
        <f>IFERROR(AVERAGEIF('Данные 2st'!$Q$2:$Q$317,$A35,'Данные 2st'!$LN$2:$LN$317),"")</f>
        <v>0.5</v>
      </c>
      <c r="QJ35" s="7">
        <f>IFERROR(AVERAGEIF('Данные 2st'!$Q$2:$Q$317,$A35,'Данные 2st'!$LO$2:$LO$317),"")</f>
        <v>0.3</v>
      </c>
      <c r="QK35" s="7">
        <f>IFERROR(AVERAGEIF('Данные 2st'!$Q$2:$Q$317,$A35,'Данные 2st'!$LP$2:$LP$317),"")</f>
        <v>0</v>
      </c>
      <c r="QL35" s="7">
        <f>IFERROR(AVERAGEIF('Данные 2st'!$Q$2:$Q$317,$A35,'Данные 2st'!$LQ$2:$LQ$317),"")</f>
        <v>0</v>
      </c>
      <c r="QM35" s="7">
        <f>IFERROR(AVERAGEIF('Данные 2st'!$Q$2:$Q$317,$A35,'Данные 2st'!$LW$2:$LW$317),"")</f>
        <v>1.675</v>
      </c>
      <c r="QN35" s="7">
        <f>IFERROR(AVERAGEIF('Данные 2st'!$Q$2:$Q$317,$A35,'Данные 2st'!$LX$2:$LX$317),"")</f>
        <v>1.675</v>
      </c>
      <c r="QO35" s="7">
        <f>IFERROR(AVERAGEIF('Данные 2st'!$Q$2:$Q$317,$A35,'Данные 2st'!$LY$2:$LY$317),"")</f>
        <v>1.65</v>
      </c>
      <c r="QP35" s="7">
        <f>IFERROR(AVERAGEIF('Данные 2st'!$Q$2:$Q$317,$A35,'Данные 2st'!$LZ$2:$LZ$317),"")</f>
        <v>1.65</v>
      </c>
      <c r="QQ35" s="7">
        <f>IFERROR(AVERAGEIF('Данные 2st'!$Q$2:$Q$317,$A35,'Данные 2st'!$MB$2:$MB$317),"")</f>
        <v>3</v>
      </c>
      <c r="QR35" s="7">
        <f>IFERROR(AVERAGEIF('Данные 2st'!$Q$2:$Q$317,$A35,'Данные 2st'!$MG$2:$MG$317),"")</f>
        <v>0</v>
      </c>
      <c r="QS35" s="7">
        <f>IFERROR(AVERAGEIF('Данные 2st'!$Q$2:$Q$317,$A35,'Данные 2st'!$MH$2:$MH$317),"")</f>
        <v>0</v>
      </c>
      <c r="QT35" s="7">
        <f>IFERROR(AVERAGEIF('Данные 2st'!$Q$2:$Q$317,$A35,'Данные 2st'!$MI$2:$MI$317),"")</f>
        <v>0</v>
      </c>
      <c r="QU35" s="7">
        <f>IFERROR(AVERAGEIF('Данные 2st'!$Q$2:$Q$317,$A35,'Данные 2st'!$MJ$2:$MJ$317),"")</f>
        <v>0</v>
      </c>
      <c r="QV35" s="7">
        <f>IFERROR(AVERAGEIF('Данные 2st'!$Q$2:$Q$317,$A35,'Данные 2st'!$MK$2:$MK$317),"")</f>
        <v>0</v>
      </c>
      <c r="QW35" s="7">
        <f>IFERROR(AVERAGEIF('Данные 2st'!$Q$2:$Q$317,$A35,'Данные 2st'!$MM$2:$MM$317),"")</f>
        <v>410</v>
      </c>
      <c r="QX35" s="7">
        <f>IFERROR(AVERAGEIF('Данные 2st'!$Q$2:$Q$317,$A35,'Данные 2st'!$MQ$2:$MQ$317),"")</f>
        <v/>
      </c>
      <c r="QY35" s="7">
        <f>IFERROR(AVERAGEIF('Данные 2st'!$Q$2:$Q$317,$A35,'Данные 2st'!$MR$2:$MR$317),"")</f>
        <v/>
      </c>
      <c r="QZ35" s="7">
        <f>IFERROR(AVERAGEIF('Данные 2st'!$Q$2:$Q$317,$A35,'Данные 2st'!$MS$2:$MS$317),"")</f>
        <v/>
      </c>
      <c r="RA35" s="7">
        <f>IFERROR(AVERAGEIF('Данные 2st'!$Q$2:$Q$317,$A35,'Данные 2st'!$MT$2:$MT$317),"")</f>
        <v/>
      </c>
      <c r="RB35" s="7">
        <f>IFERROR(AVERAGEIF('Данные 2st'!$Q$2:$Q$317,$A35,'Данные 2st'!$MU$2:$MU$317),"")</f>
        <v/>
      </c>
      <c r="RC35" s="7">
        <f>IFERROR(AVERAGEIF('Данные 2st'!$Q$2:$Q$317,$A35,'Данные 2st'!$MV$2:$MV$317),"")</f>
        <v/>
      </c>
      <c r="RD35" s="7">
        <f>IFERROR(AVERAGEIF('Данные 2st'!$Q$2:$Q$317,$A35,'Данные 2st'!$MW$2:$MW$317),"")</f>
        <v/>
      </c>
      <c r="RE35" s="7">
        <f>IFERROR(AVERAGEIF('Данные 2st'!$Q$2:$Q$317,$A35,'Данные 2st'!$MX$2:$MX$317),"")</f>
        <v/>
      </c>
      <c r="RF35" s="7">
        <f>IFERROR(AVERAGEIF('Данные 2st'!$Q$2:$Q$317,$A35,'Данные 2st'!$MY$2:$MY$317),"")</f>
        <v/>
      </c>
      <c r="RG35" s="7">
        <f>IFERROR(AVERAGEIF('Данные 2st'!$Q$2:$Q$317,$A35,'Данные 2st'!$MZ$2:$MZ$317),"")</f>
        <v/>
      </c>
      <c r="RH35" s="7">
        <f>IFERROR(AVERAGEIF('Данные 2st'!$Q$2:$Q$317,$A35,'Данные 2st'!$NA$2:$NA$317),"")</f>
        <v/>
      </c>
      <c r="RI35" s="7">
        <f>IFERROR(AVERAGEIF('Данные 2st'!$Q$2:$Q$317,$A35,'Данные 2st'!$NB$2:$NB$317),"")</f>
        <v/>
      </c>
      <c r="RJ35" s="7">
        <f>IFERROR(AVERAGEIF('Данные 2st'!$Q$2:$Q$317,$A35,'Данные 2st'!$NC$2:$NC$317),"")</f>
        <v/>
      </c>
      <c r="RK35" s="7">
        <f>IFERROR(AVERAGEIF('Данные 2st'!$Q$2:$Q$317,$A35,'Данные 2st'!$ND$2:$ND$317),"")</f>
        <v/>
      </c>
      <c r="RL35" s="7">
        <f>IFERROR(AVERAGEIF('Данные 2st'!$Q$2:$Q$317,$A35,'Данные 2st'!$NE$2:$NE$317),"")</f>
        <v/>
      </c>
      <c r="RM35" s="7">
        <f>IFERROR(AVERAGEIF('Данные 2st'!$Q$2:$Q$317,$A35,'Данные 2st'!$NF$2:$NF$317),"")</f>
        <v/>
      </c>
      <c r="RN35" s="7">
        <f>IFERROR(AVERAGEIF('Данные 2st'!$Q$2:$Q$317,$A35,'Данные 2st'!$NG$2:$NG$317),"")</f>
        <v/>
      </c>
      <c r="RO35" s="7">
        <f>IFERROR(AVERAGEIF('Данные 2st'!$Q$2:$Q$317,$A35,'Данные 2st'!$NH$2:$NH$317),"")</f>
        <v/>
      </c>
      <c r="RP35" s="7">
        <f>IFERROR(AVERAGEIF('Данные 2st'!$Q$2:$Q$317,$A35,'Данные 2st'!$NJ$2:$NJ$317),"")</f>
        <v/>
      </c>
      <c r="RQ35" s="7">
        <f>IFERROR(AVERAGEIF('Данные 2st'!$Q$2:$Q$317,$A35,'Данные 2st'!$NK$2:$NK$317),"")</f>
        <v/>
      </c>
      <c r="RR35" s="7">
        <f>IFERROR(AVERAGEIF('Данные 2st'!$Q$2:$Q$317,$A35,'Данные 2st'!$NM$2:$NM$317),"")</f>
        <v/>
      </c>
      <c r="RS35" s="7">
        <f>IFERROR(AVERAGEIF('Данные 2st'!$Q$2:$Q$317,$A35,'Данные 2st'!$NN$2:$NN$317),"")</f>
        <v/>
      </c>
      <c r="RT35" s="7">
        <f>IFERROR(AVERAGEIF('Данные 2st'!$Q$2:$Q$317,$A35,'Данные 2st'!$NO$2:$NO$317),"")</f>
        <v/>
      </c>
      <c r="RU35" s="7">
        <f>IFERROR(AVERAGEIF('Данные 2st'!$Q$2:$Q$317,$A35,'Данные 2st'!$NP$2:$NP$317),"")</f>
        <v/>
      </c>
      <c r="RV35" s="7">
        <f>IFERROR(AVERAGEIF('Данные 2st'!$Q$2:$Q$317,$A35,'Данные 2st'!$NQ$2:$NQ$317),"")</f>
        <v/>
      </c>
      <c r="RW35" s="7">
        <f>IFERROR(AVERAGEIF('Данные 2st'!$Q$2:$Q$317,$A35,'Данные 2st'!$NR$2:$NR$317),"")</f>
        <v/>
      </c>
      <c r="RX35" s="7">
        <f>IFERROR(AVERAGEIF('Данные 2st'!$Q$2:$Q$317,$A35,'Данные 2st'!$NS$2:$NS$317),"")</f>
        <v/>
      </c>
      <c r="RY35" s="7">
        <f>IFERROR(AVERAGEIF('Данные 2st'!$Q$2:$Q$317,$A35,'Данные 2st'!$NT$2:$NT$317),"")</f>
        <v/>
      </c>
      <c r="RZ35" s="7">
        <f>IFERROR(AVERAGEIF('Данные 2st'!$Q$2:$Q$317,$A35,'Данные 2st'!$OK$2:$OK$317),"")</f>
        <v>61</v>
      </c>
      <c r="SA35" s="7">
        <f>IFERROR(AVERAGEIF('Данные 2st'!$Q$2:$Q$317,$A35,'Данные 2st'!$OL$2:$OL$317),"")</f>
        <v>61</v>
      </c>
      <c r="SB35" s="7">
        <f>IFERROR(AVERAGEIF('Данные 2st'!$Q$2:$Q$317,$A35,'Данные 2st'!$ON$2:$ON$317),"")</f>
        <v>1</v>
      </c>
      <c r="SC35" s="7">
        <f>IFERROR(AVERAGEIF('Данные 2st'!$Q$2:$Q$317,$A35,'Данные 2st'!$OO$2:$OO$317),"")</f>
        <v>1997</v>
      </c>
      <c r="SD35" s="7">
        <f>IFERROR(AVERAGEIF('Данные 2st'!$Q$2:$Q$317,$A35,'Данные 2st'!$OP$2:$OP$317),"")</f>
        <v>61</v>
      </c>
      <c r="SE35" s="7">
        <f>IFERROR(AVERAGEIF('Данные 2st'!$Q$2:$Q$317,$A35,'Данные 2st'!$OQ$2:$OQ$317),"")</f>
        <v>61</v>
      </c>
      <c r="SF35" s="7">
        <f>IFERROR(AVERAGEIF('Данные 2st'!$Q$2:$Q$317,$A35,'Данные 2st'!$OS$2:$OS$317),"")</f>
        <v>1</v>
      </c>
      <c r="SG35" s="7">
        <f>IFERROR(AVERAGEIF('Данные 2st'!$Q$2:$Q$317,$A35,'Данные 2st'!$OT$2:$OT$317),"")</f>
        <v>2009</v>
      </c>
      <c r="SH35" s="7">
        <f>IFERROR(AVERAGEIF('Данные 2st'!$Q$2:$Q$317,$A35,'Данные 2st'!$OU$2:$OU$317),"")</f>
        <v>65</v>
      </c>
      <c r="SI35" s="7">
        <f>IFERROR(AVERAGEIF('Данные 2st'!$Q$2:$Q$317,$A35,'Данные 2st'!$OV$2:$OV$317),"")</f>
        <v>65</v>
      </c>
      <c r="SJ35" s="7">
        <f>IFERROR(AVERAGEIF('Данные 2st'!$Q$2:$Q$317,$A35,'Данные 2st'!$OX$2:$OX$317),"")</f>
        <v>1.75</v>
      </c>
      <c r="SK35" s="7">
        <f>IFERROR(AVERAGEIF('Данные 2st'!$Q$2:$Q$317,$A35,'Данные 2st'!$OY$2:$OY$317),"")</f>
        <v>41669.25</v>
      </c>
      <c r="SL35" s="7">
        <f>IFERROR(AVERAGEIF('Данные 2st'!$Q$2:$Q$317,$A35,'Данные 2st'!$OZ$2:$OZ$317),"")</f>
        <v>51</v>
      </c>
      <c r="SM35" s="7">
        <f>IFERROR(AVERAGEIF('Данные 2st'!$Q$2:$Q$317,$A35,'Данные 2st'!$PA$2:$PA$317),"")</f>
        <v>51.5</v>
      </c>
      <c r="SN35" s="7">
        <f>IFERROR(AVERAGEIF('Данные 2st'!$Q$2:$Q$317,$A35,'Данные 2st'!$PC$2:$PC$317),"")</f>
        <v>1.5</v>
      </c>
      <c r="SO35" s="7">
        <f>IFERROR(AVERAGEIF('Данные 2st'!$Q$2:$Q$317,$A35,'Данные 2st'!$PD$2:$PD$317),"")</f>
        <v>2041</v>
      </c>
      <c r="SP35" s="7">
        <f>IFERROR(AVERAGEIF('Данные 2st'!$Q$2:$Q$317,$A35,'Данные 2st'!$PF$2:$PF$317),"")</f>
        <v>439.5</v>
      </c>
      <c r="SQ35" s="7">
        <f>IFERROR(AVERAGEIF('Данные 2st'!$Q$2:$Q$317,$A35,'Данные 2st'!$PG$2:$PG$317),"")</f>
        <v>35</v>
      </c>
      <c r="SR35" s="7">
        <f>IFERROR(AVERAGEIF('Данные 2st'!$Q$2:$Q$317,$A35,'Данные 2st'!$PH$2:$PH$317),"")</f>
        <v>417.5</v>
      </c>
      <c r="SS35" s="7">
        <f>IFERROR(AVERAGEIF('Данные 2st'!$Q$2:$Q$317,$A35,'Данные 2st'!$PI$2:$PI$317),"")</f>
        <v>0</v>
      </c>
      <c r="ST35" s="7">
        <f>IFERROR(AVERAGEIF('Данные 2st'!$Q$2:$Q$317,$A35,'Данные 2st'!$PJ$2:$PJ$317),"")</f>
        <v>68.35</v>
      </c>
      <c r="SU35" s="7">
        <f>IFERROR(AVERAGEIF('Данные 2st'!$Q$2:$Q$317,$A35,'Данные 2st'!$PK$2:$PK$317),"")</f>
        <v>2045</v>
      </c>
      <c r="SV35" s="7">
        <f>IFERROR(AVERAGEIF('Данные 2st'!$Q$2:$Q$317,$A35,'Данные 2st'!$PL$2:$PL$317),"")</f>
        <v>1147.925</v>
      </c>
      <c r="SW35" s="7">
        <f>IFERROR(AVERAGEIF('Данные 2st'!$Q$2:$Q$317,$A35,'Данные 2st'!$PM$2:$PM$317),"")</f>
        <v>727.625</v>
      </c>
      <c r="SX35" s="7">
        <f>IFERROR(AVERAGEIF('Данные 2st'!$Q$2:$Q$317,$A35,'Данные 2st'!$PN$2:$PN$317),"")</f>
        <v>98.05</v>
      </c>
      <c r="SY35" s="7">
        <f>IFERROR(AVERAGEIF('Данные 2st'!$Q$2:$Q$317,$A35,'Данные 2st'!$PO$2:$PO$317),"")</f>
        <v>9.55</v>
      </c>
      <c r="SZ35" s="7">
        <f>IFERROR(AVERAGEIF('Данные 2st'!$Q$2:$Q$317,$A35,'Данные 2st'!$PP$2:$PP$317),"")</f>
        <v>12</v>
      </c>
      <c r="TA35" s="7">
        <f>IFERROR(AVERAGEIF('Данные 2st'!$Q$2:$Q$317,$A35,'Данные 2st'!$PQ$2:$PQ$317),"")</f>
        <v>3</v>
      </c>
      <c r="TB35" s="7">
        <f>IFERROR(AVERAGEIF('Данные 2st'!$Q$2:$Q$317,$A35,'Данные 2st'!$PR$2:$PR$317),"")</f>
        <v>3</v>
      </c>
      <c r="TC35" s="7">
        <f>IFERROR(AVERAGEIF('Данные 2st'!$Q$2:$Q$317,$A35,'Данные 2st'!$PS$2:$PS$317),"")</f>
        <v>6</v>
      </c>
      <c r="TD35" s="7">
        <f>IFERROR(AVERAGEIF('Данные 2st'!$Q$2:$Q$317,$A35,'Данные 2st'!$PT$2:$PT$317),"")</f>
        <v>235</v>
      </c>
      <c r="TE35" s="7">
        <f>IFERROR(AVERAGEIF('Данные 2st'!$Q$2:$Q$317,$A35,'Данные 2st'!$PU$2:$PU$317),"")</f>
        <v>9.25</v>
      </c>
      <c r="TF35" s="7">
        <f>IFERROR(AVERAGEIF('Данные 2st'!$Q$2:$Q$317,$A35,'Данные 2st'!$PX$2:$PX$317),"")</f>
        <v>0</v>
      </c>
      <c r="TG35" s="7">
        <f>IFERROR(AVERAGEIF('Данные 2st'!$Q$2:$Q$317,$A35,'Данные 2st'!$PY$2:$PY$317),"")</f>
        <v>0</v>
      </c>
      <c r="TH35" s="7">
        <f>IFERROR(AVERAGEIF('Данные 2st'!$Q$2:$Q$317,$A35,'Данные 2st'!$PZ$2:$PZ$317),"")</f>
        <v>0</v>
      </c>
      <c r="TI35" s="7">
        <f>IFERROR(AVERAGEIF('Данные 2st'!$Q$2:$Q$317,$A35,'Данные 2st'!$QA$2:$QA$317),"")</f>
        <v>0</v>
      </c>
      <c r="TJ35" s="7">
        <f>IFERROR(AVERAGEIF('Данные 2st'!$Q$2:$Q$317,$A35,'Данные 2st'!$QB$2:$QB$317),"")</f>
        <v>0</v>
      </c>
      <c r="TK35" s="7">
        <f>IFERROR(AVERAGEIF('Данные 2st'!$Q$2:$Q$317,$A35,'Данные 2st'!$QC$2:$QC$317),"")</f>
        <v>0</v>
      </c>
      <c r="TL35" s="7">
        <f>IFERROR(AVERAGEIF('Данные 2st'!$Q$2:$Q$317,$A35,'Данные 2st'!$QD$2:$QD$317),"")</f>
        <v>0</v>
      </c>
      <c r="TM35" s="7">
        <f>IFERROR(AVERAGEIF('Данные 2st'!$Q$2:$Q$317,$A35,'Данные 2st'!$QE$2:$QE$317),"")</f>
        <v>-1</v>
      </c>
      <c r="TN35" s="7">
        <f>IFERROR(AVERAGEIF('Данные 2st'!$Q$2:$Q$317,$A35,'Данные 2st'!$QF$2:$QF$317),"")</f>
        <v>1</v>
      </c>
      <c r="TO35" s="7">
        <f>IFERROR(AVERAGEIF('Данные 2st'!$Q$2:$Q$317,$A35,'Данные 2st'!$QG$2:$QG$317),"")</f>
        <v>0</v>
      </c>
      <c r="TP35" s="7">
        <f>IFERROR(AVERAGEIF('Данные 2st'!$Q$2:$Q$317,$A35,'Данные 2st'!$QH$2:$QH$317),"")</f>
        <v>5</v>
      </c>
      <c r="TQ35" s="7">
        <f>IFERROR(AVERAGEIF('Данные 2st'!$Q$2:$Q$317,$A35,'Данные 2st'!$QI$2:$QI$317),"")</f>
        <v>5</v>
      </c>
      <c r="TR35" s="7">
        <f>IFERROR(AVERAGEIF('Данные 2st'!$Q$2:$Q$317,$A35,'Данные 2st'!$QJ$2:$QJ$317),"")</f>
        <v>5</v>
      </c>
      <c r="TS35" s="7">
        <f>IFERROR(AVERAGEIF('Данные 2st'!$Q$2:$Q$317,$A35,'Данные 2st'!$QK$2:$QK$317),"")</f>
        <v>177</v>
      </c>
      <c r="TT35" s="7">
        <f>IFERROR(AVERAGEIF('Данные 2st'!$Q$2:$Q$317,$A35,'Данные 2st'!$QL$2:$QL$317),"")</f>
        <v>399</v>
      </c>
      <c r="TU35" s="7">
        <f>IFERROR(AVERAGEIF('Данные 2st'!$Q$2:$Q$317,$A35,'Данные 2st'!$QM$2:$QM$317),"")</f>
        <v>7.5</v>
      </c>
      <c r="TV35" s="7">
        <f>IFERROR(AVERAGEIF('Данные 2st'!$Q$2:$Q$317,$A35,'Данные 2st'!$QN$2:$QN$317),"")</f>
        <v>1461.8999999999999</v>
      </c>
      <c r="TW35" s="7">
        <f>IFERROR(AVERAGEIF('Данные 2st'!$Q$2:$Q$317,$A35,'Данные 2st'!$QQ$2:$QQ$317),"")</f>
        <v>0</v>
      </c>
      <c r="TX35" s="7">
        <f>IFERROR(AVERAGEIF('Данные 2st'!$Q$2:$Q$317,$A35,'Данные 2st'!$QS$2:$QS$317),"")</f>
        <v>30</v>
      </c>
      <c r="TY35" s="7">
        <f>IFERROR(AVERAGEIF('Данные 2st'!$Q$2:$Q$317,$A35,'Данные 2st'!$QT$2:$QT$317),"")</f>
        <v>40</v>
      </c>
    </row>
    <row r="36" spans="1:545" ht="32" customHeight="1">
      <c r="A36" s="11" t="s">
        <v>1152</v>
      </c>
      <c r="B36">
        <f>COUNTIF('Данные 1st'!$S$2:$S$317,$A36)</f>
        <v>5</v>
      </c>
      <c r="C36" s="6" t="s">
        <v>5101</v>
      </c>
      <c r="D36" s="6" t="s">
        <v>513</v>
      </c>
      <c r="E36" s="6" t="s">
        <v>5125</v>
      </c>
      <c r="F36" s="6" t="s">
        <v>5157</v>
      </c>
      <c r="G36" s="7">
        <f>IFERROR(AVERAGEIF('Данные 1st'!$S$2:$S$317,$A36,'Данные 1st'!$AE$2:$AE$317),"")</f>
        <v>186.2</v>
      </c>
      <c r="H36" s="7">
        <f>IFERROR(AVERAGEIF('Данные 1st'!$S$2:$S$317,$A36,'Данные 1st'!$AF$2:$AF$317),"")</f>
        <v>1.5</v>
      </c>
      <c r="I36" s="7">
        <f>IFERROR(AVERAGEIF('Данные 1st'!$S$2:$S$317,$A36,'Данные 1st'!$AJ$2:$AJ$317),"")</f>
        <v>198.0</v>
      </c>
      <c r="J36" s="7">
        <f>IFERROR(AVERAGEIF('Данные 1st'!$S$2:$S$317,$A36,'Данные 1st'!$AL$2:$AL$317),"")</f>
        <v>1.5</v>
      </c>
      <c r="K36" s="7">
        <f>IFERROR(AVERAGEIF('Данные 1st'!$S$2:$S$317,$A36,'Данные 1st'!$AR$2:$AR$317),"")</f>
        <v>0</v>
      </c>
      <c r="L36" s="7">
        <f>IFERROR(AVERAGEIF('Данные 1st'!$S$2:$S$317,$A36,'Данные 1st'!$AS$2:$AS$317),"")</f>
        <v>1.5</v>
      </c>
      <c r="M36" s="7">
        <f>IFERROR(AVERAGEIF('Данные 1st'!$S$2:$S$317,$A36,'Данные 1st'!$AY$2:$AY$317),"")</f>
        <v>293.0</v>
      </c>
      <c r="N36" s="7">
        <f>IFERROR(AVERAGEIF('Данные 1st'!$S$2:$S$317,$A36,'Данные 1st'!$AZ$2:$AZ$317),"")</f>
        <v>1.5</v>
      </c>
      <c r="O36" s="7">
        <f>IFERROR(AVERAGEIF('Данные 1st'!$S$2:$S$317,$A36,'Данные 1st'!$BF$2:$BF$317),"")</f>
        <v>235</v>
      </c>
      <c r="P36" s="7">
        <f>IFERROR(AVERAGEIF('Данные 1st'!$S$2:$S$317,$A36,'Данные 1st'!$BG$2:$BG$317),"")</f>
        <v>1.5</v>
      </c>
      <c r="Q36" s="7">
        <f>IFERROR(AVERAGEIF('Данные 1st'!$S$2:$S$317,$A36,'Данные 1st'!$BM$2:$BM$317),"")</f>
        <v/>
      </c>
      <c r="R36" s="7">
        <f>IFERROR(AVERAGEIF('Данные 1st'!$S$2:$S$317,$A36,'Данные 1st'!$BN$2:$BN$317),"")</f>
        <v>1.5</v>
      </c>
      <c r="S36" s="7">
        <f>IFERROR(AVERAGEIF('Данные 1st'!$S$2:$S$317,$A36,'Данные 1st'!$BT$2:$BT$317),"")</f>
        <v>208.4</v>
      </c>
      <c r="T36" s="7">
        <f>IFERROR(AVERAGEIF('Данные 1st'!$S$2:$S$317,$A36,'Данные 1st'!$BU$2:$BU$317),"")</f>
        <v>0.5</v>
      </c>
      <c r="U36" s="7">
        <f>IFERROR(AVERAGEIF('Данные 1st'!$S$2:$S$317,$A36,'Данные 1st'!$BW$2:$BW$317),"")</f>
        <v>416.8</v>
      </c>
      <c r="V36" s="7">
        <f>IFERROR(AVERAGEIF('Данные 1st'!$S$2:$S$317,$A36,'Данные 1st'!$BX$2:$BX$317),"")</f>
        <v>1</v>
      </c>
      <c r="W36" s="7">
        <f>IFERROR(AVERAGEIF('Данные 1st'!$S$2:$S$317,$A36,'Данные 1st'!$BZ$2:$BZ$317),"")</f>
        <v>334</v>
      </c>
      <c r="X36" s="7">
        <f>IFERROR(AVERAGEIF('Данные 1st'!$S$2:$S$317,$A36,'Данные 1st'!$CA$2:$CA$317),"")</f>
        <v>494</v>
      </c>
      <c r="Y36" s="7">
        <f>IFERROR(AVERAGEIF('Данные 1st'!$S$2:$S$317,$A36,'Данные 1st'!$CD$2:$CD$317),"")</f>
        <v>433.2</v>
      </c>
      <c r="Z36" s="7">
        <f>IFERROR(AVERAGEIF('Данные 1st'!$S$2:$S$317,$A36,'Данные 1st'!$CF$2:$CF$317),"")</f>
        <v>15</v>
      </c>
      <c r="AA36" s="7">
        <f>IFERROR(AVERAGEIF('Данные 1st'!$S$2:$S$317,$A36,'Данные 1st'!$CI$2:$CI$317),"")</f>
        <v>80</v>
      </c>
      <c r="AB36" s="7">
        <f>IFERROR(AVERAGEIF('Данные 1st'!$S$2:$S$317,$A36,'Данные 1st'!$CJ$2:$CJ$317),"")</f>
        <v>1301</v>
      </c>
      <c r="AC36" s="7">
        <f>IFERROR(AVERAGEIF('Данные 1st'!$S$2:$S$317,$A36,'Данные 1st'!$CK$2:$CK$317),"")</f>
        <v>2</v>
      </c>
      <c r="AD36" s="7">
        <f>IFERROR(AVERAGEIF('Данные 1st'!$S$2:$S$317,$A36,'Данные 1st'!$CL$2:$CL$317),"")</f>
        <v>1395</v>
      </c>
      <c r="AE36" s="7">
        <f>IFERROR(AVERAGEIF('Данные 1st'!$S$2:$S$317,$A36,'Данные 1st'!$CM$2:$CM$317),"")</f>
        <v>2</v>
      </c>
      <c r="AF36" s="7">
        <f>IFERROR(AVERAGEIF('Данные 1st'!$S$2:$S$317,$A36,'Данные 1st'!$CT$2:$CT$317),"")</f>
        <v>396</v>
      </c>
      <c r="AG36" s="7">
        <f>IFERROR(AVERAGEIF('Данные 1st'!$S$2:$S$317,$A36,'Данные 1st'!$CU$2:$CU$317),"")</f>
        <v>5</v>
      </c>
      <c r="AH36" s="7">
        <f>IFERROR(AVERAGEIF('Данные 1st'!$S$2:$S$317,$A36,'Данные 1st'!$CV$2:$CV$317),"")</f>
        <v>1.22</v>
      </c>
      <c r="AI36" s="7">
        <f>IFERROR(AVERAGEIF('Данные 1st'!$S$2:$S$317,$A36,'Данные 1st'!$CW$2:$CW$317),"")</f>
        <v>1315</v>
      </c>
      <c r="AJ36" s="7">
        <f>IFERROR(AVERAGEIF('Данные 1st'!$S$2:$S$317,$A36,'Данные 1st'!$CX$2:$CX$317),"")</f>
        <v>750.2</v>
      </c>
      <c r="AK36" s="7">
        <f>IFERROR(AVERAGEIF('Данные 1st'!$S$2:$S$317,$A36,'Данные 1st'!$CZ$2:$CZ$317),"")</f>
        <v/>
      </c>
      <c r="AL36" s="7">
        <f>IFERROR(AVERAGEIF('Данные 1st'!$S$2:$S$317,$A36,'Данные 1st'!$DA$2:$DA$317),"")</f>
        <v/>
      </c>
      <c r="AM36" s="7">
        <f>IFERROR(AVERAGEIF('Данные 1st'!$S$2:$S$317,$A36,'Данные 1st'!$DB$2:$DB$317),"")</f>
        <v/>
      </c>
      <c r="AN36" s="7">
        <f>IFERROR(AVERAGEIF('Данные 1st'!$S$2:$S$317,$A36,'Данные 1st'!$DC$2:$DC$317),"")</f>
        <v/>
      </c>
      <c r="AO36" s="7">
        <f>IFERROR(AVERAGEIF('Данные 1st'!$S$2:$S$317,$A36,'Данные 1st'!$DD$2:$DD$317),"")</f>
        <v>0</v>
      </c>
      <c r="AP36" s="7">
        <f>IFERROR(AVERAGEIF('Данные 1st'!$S$2:$S$317,$A36,'Данные 1st'!$DF$2:$DF$317),"")</f>
        <v>586</v>
      </c>
      <c r="AQ36" s="7">
        <f>IFERROR(AVERAGEIF('Данные 1st'!$S$2:$S$317,$A36,'Данные 1st'!$DG$2:$DG$317),"")</f>
        <v>3</v>
      </c>
      <c r="AR36" s="7">
        <f>IFERROR(AVERAGEIF('Данные 1st'!$S$2:$S$317,$A36,'Данные 1st'!$DH$2:$DH$317),"")</f>
        <v>1.1199999999999999</v>
      </c>
      <c r="AS36" s="7">
        <f>IFERROR(AVERAGEIF('Данные 1st'!$S$2:$S$317,$A36,'Данные 1st'!$DI$2:$DI$317),"")</f>
        <v>1311.8</v>
      </c>
      <c r="AT36" s="7">
        <f>IFERROR(AVERAGEIF('Данные 1st'!$S$2:$S$317,$A36,'Данные 1st'!$DJ$2:$DJ$317),"")</f>
        <v>1180</v>
      </c>
      <c r="AU36" s="7">
        <f>IFERROR(AVERAGEIF('Данные 1st'!$S$2:$S$317,$A36,'Данные 1st'!$DL$2:$DL$317),"")</f>
        <v>470</v>
      </c>
      <c r="AV36" s="7">
        <f>IFERROR(AVERAGEIF('Данные 1st'!$S$2:$S$317,$A36,'Данные 1st'!$DM$2:$DM$317),"")</f>
        <v>3</v>
      </c>
      <c r="AW36" s="7">
        <f>IFERROR(AVERAGEIF('Данные 1st'!$S$2:$S$317,$A36,'Данные 1st'!$DN$2:$DN$317),"")</f>
        <v>0.88</v>
      </c>
      <c r="AX36" s="7">
        <f>IFERROR(AVERAGEIF('Данные 1st'!$S$2:$S$317,$A36,'Данные 1st'!$DO$2:$DO$317),"")</f>
        <v>1316</v>
      </c>
      <c r="AY36" s="7">
        <f>IFERROR(AVERAGEIF('Данные 1st'!$S$2:$S$317,$A36,'Данные 1st'!$DP$2:$DP$317),"")</f>
        <v>771</v>
      </c>
      <c r="AZ36" s="7">
        <f>IFERROR(AVERAGEIF('Данные 1st'!$S$2:$S$317,$A36,'Данные 1st'!$DR$2:$DR$317),"")</f>
        <v/>
      </c>
      <c r="BA36" s="7">
        <f>IFERROR(AVERAGEIF('Данные 1st'!$S$2:$S$317,$A36,'Данные 1st'!$DS$2:$DS$317),"")</f>
        <v/>
      </c>
      <c r="BB36" s="7">
        <f>IFERROR(AVERAGEIF('Данные 1st'!$S$2:$S$317,$A36,'Данные 1st'!$DT$2:$DT$317),"")</f>
        <v/>
      </c>
      <c r="BC36" s="7">
        <f>IFERROR(AVERAGEIF('Данные 1st'!$S$2:$S$317,$A36,'Данные 1st'!$DU$2:$DU$317),"")</f>
        <v/>
      </c>
      <c r="BD36" s="7">
        <f>IFERROR(AVERAGEIF('Данные 1st'!$S$2:$S$317,$A36,'Данные 1st'!$DV$2:$DV$317),"")</f>
        <v/>
      </c>
      <c r="BE36" s="7">
        <f>IFERROR(AVERAGEIF('Данные 1st'!$S$2:$S$317,$A36,'Данные 1st'!$DX$2:$DX$317),"")</f>
        <v>7.5</v>
      </c>
      <c r="BF36" s="7">
        <f>IFERROR(AVERAGEIF('Данные 1st'!$S$2:$S$317,$A36,'Данные 1st'!$EA$2:$EA$317),"")</f>
        <v>1381.72</v>
      </c>
      <c r="BG36" s="7">
        <f>IFERROR(AVERAGEIF('Данные 1st'!$S$2:$S$317,$A36,'Данные 1st'!$EB$2:$EB$317),"")</f>
        <v>254.4</v>
      </c>
      <c r="BH36" s="7">
        <f>IFERROR(AVERAGEIF('Данные 1st'!$S$2:$S$317,$A36,'Данные 1st'!$ED$2:$ED$317),"")</f>
        <v>35</v>
      </c>
      <c r="BI36" s="7">
        <f>IFERROR(AVERAGEIF('Данные 1st'!$S$2:$S$317,$A36,'Данные 1st'!$EE$2:$EE$317),"")</f>
        <v>3</v>
      </c>
      <c r="BJ36" s="7">
        <f>IFERROR(AVERAGEIF('Данные 1st'!$S$2:$S$317,$A36,'Данные 1st'!$EG$2:$EG$317),"")</f>
        <v>1422.4</v>
      </c>
      <c r="BK36" s="7">
        <f>IFERROR(AVERAGEIF('Данные 1st'!$S$2:$S$317,$A36,'Данные 1st'!$EH$2:$EH$317),"")</f>
        <v>208.8</v>
      </c>
      <c r="BL36" s="7">
        <f>IFERROR(AVERAGEIF('Данные 1st'!$S$2:$S$317,$A36,'Данные 1st'!$EJ$2:$EJ$317),"")</f>
        <v>0</v>
      </c>
      <c r="BM36" s="7">
        <f>IFERROR(AVERAGEIF('Данные 1st'!$S$2:$S$317,$A36,'Данные 1st'!$EK$2:$EK$317),"")</f>
        <v>1</v>
      </c>
      <c r="BN36" s="7">
        <f>IFERROR(AVERAGEIF('Данные 1st'!$S$2:$S$317,$A36,'Данные 1st'!$EN$2:$EN$317),"")</f>
        <v>0</v>
      </c>
      <c r="BO36" s="7">
        <f>IFERROR(AVERAGEIF('Данные 1st'!$S$2:$S$317,$A36,'Данные 1st'!$EQ$2:$EQ$317),"")</f>
        <v>98</v>
      </c>
      <c r="BP36" s="7">
        <f>IFERROR(AVERAGEIF('Данные 1st'!$S$2:$S$317,$A36,'Данные 1st'!$ER$2:$ER$317),"")</f>
        <v>3</v>
      </c>
      <c r="BQ36" s="7">
        <f>IFERROR(AVERAGEIF('Данные 1st'!$S$2:$S$317,$A36,'Данные 1st'!$ES$2:$ES$317),"")</f>
        <v>5.4</v>
      </c>
      <c r="BR36" s="7">
        <f>IFERROR(AVERAGEIF('Данные 1st'!$S$2:$S$317,$A36,'Данные 1st'!$ET$2:$ET$317),"")</f>
        <v>1297.4</v>
      </c>
      <c r="BS36" s="7">
        <f>IFERROR(AVERAGEIF('Данные 1st'!$S$2:$S$317,$A36,'Данные 1st'!$EU$2:$EU$317),"")</f>
        <v>429.98</v>
      </c>
      <c r="BT36" s="7">
        <f>IFERROR(AVERAGEIF('Данные 1st'!$S$2:$S$317,$A36,'Данные 1st'!$EV$2:$EV$317),"")</f>
        <v>557.8</v>
      </c>
      <c r="BU36" s="7">
        <f>IFERROR(AVERAGEIF('Данные 1st'!$S$2:$S$317,$A36,'Данные 1st'!$EX$2:$EX$317),"")</f>
        <v>70</v>
      </c>
      <c r="BV36" s="7">
        <f>IFERROR(AVERAGEIF('Данные 1st'!$S$2:$S$317,$A36,'Данные 1st'!$EY$2:$EY$317),"")</f>
        <v>2</v>
      </c>
      <c r="BW36" s="7">
        <f>IFERROR(AVERAGEIF('Данные 1st'!$S$2:$S$317,$A36,'Данные 1st'!$EZ$2:$EZ$317),"")</f>
        <v>4.46</v>
      </c>
      <c r="BX36" s="7">
        <f>IFERROR(AVERAGEIF('Данные 1st'!$S$2:$S$317,$A36,'Данные 1st'!$FA$2:$FA$317),"")</f>
        <v>1297.4</v>
      </c>
      <c r="BY36" s="7">
        <f>IFERROR(AVERAGEIF('Данные 1st'!$S$2:$S$317,$A36,'Данные 1st'!$FB$2:$FB$317),"")</f>
        <v>218.14000000000001</v>
      </c>
      <c r="BZ36" s="7">
        <f>IFERROR(AVERAGEIF('Данные 1st'!$S$2:$S$317,$A36,'Данные 1st'!$FC$2:$FC$317),"")</f>
        <v>282.8</v>
      </c>
      <c r="CA36" s="7">
        <f>IFERROR(AVERAGEIF('Данные 1st'!$S$2:$S$317,$A36,'Данные 1st'!$FE$2:$FE$317),"")</f>
        <v>0</v>
      </c>
      <c r="CB36" s="7">
        <f>IFERROR(AVERAGEIF('Данные 1st'!$S$2:$S$317,$A36,'Данные 1st'!$FF$2:$FF$317),"")</f>
        <v>2</v>
      </c>
      <c r="CC36" s="7">
        <f>IFERROR(AVERAGEIF('Данные 1st'!$S$2:$S$317,$A36,'Данные 1st'!$FI$2:$FI$317),"")</f>
        <v>0</v>
      </c>
      <c r="CD36" s="7">
        <f>IFERROR(AVERAGEIF('Данные 1st'!$S$2:$S$317,$A36,'Данные 1st'!$FL$2:$FL$317),"")</f>
        <v>0.4</v>
      </c>
      <c r="CE36" s="7">
        <f>IFERROR(AVERAGEIF('Данные 1st'!$S$2:$S$317,$A36,'Данные 1st'!$FM$2:$FM$317),"")</f>
        <v>96</v>
      </c>
      <c r="CF36" s="7">
        <f>IFERROR(AVERAGEIF('Данные 1st'!$S$2:$S$317,$A36,'Данные 1st'!$FN$2:$FN$317),"")</f>
        <v>130</v>
      </c>
      <c r="CG36" s="7">
        <f>IFERROR(AVERAGEIF('Данные 1st'!$S$2:$S$317,$A36,'Данные 1st'!$FO$2:$FO$317),"")</f>
        <v/>
      </c>
      <c r="CH36" s="7">
        <f>IFERROR(AVERAGEIF('Данные 1st'!$S$2:$S$317,$A36,'Данные 1st'!$FP$2:$FP$317),"")</f>
        <v/>
      </c>
      <c r="CI36" s="7">
        <f>IFERROR(AVERAGEIF('Данные 1st'!$S$2:$S$317,$A36,'Данные 1st'!$FS$2:$FS$317),"")</f>
        <v>0.4</v>
      </c>
      <c r="CJ36" s="7">
        <f>IFERROR(AVERAGEIF('Данные 1st'!$S$2:$S$317,$A36,'Данные 1st'!$FT$2:$FT$317),"")</f>
        <v>30</v>
      </c>
      <c r="CK36" s="7">
        <f>IFERROR(AVERAGEIF('Данные 1st'!$S$2:$S$317,$A36,'Данные 1st'!$FU$2:$FU$317),"")</f>
        <v>380</v>
      </c>
      <c r="CL36" s="7">
        <f>IFERROR(AVERAGEIF('Данные 1st'!$S$2:$S$317,$A36,'Данные 1st'!$FV$2:$FV$317),"")</f>
        <v>75</v>
      </c>
      <c r="CM36" s="7">
        <f>IFERROR(AVERAGEIF('Данные 1st'!$S$2:$S$317,$A36,'Данные 1st'!$FW$2:$FW$317),"")</f>
        <v>140</v>
      </c>
      <c r="CN36" s="7">
        <f>IFERROR(AVERAGEIF('Данные 1st'!$S$2:$S$317,$A36,'Данные 1st'!$FZ$2:$FZ$317),"")</f>
        <v>1.6</v>
      </c>
      <c r="CO36" s="7">
        <f>IFERROR(AVERAGEIF('Данные 1st'!$S$2:$S$317,$A36,'Данные 1st'!$GA$2:$GA$317),"")</f>
        <v>20</v>
      </c>
      <c r="CP36" s="7">
        <f>IFERROR(AVERAGEIF('Данные 1st'!$S$2:$S$317,$A36,'Данные 1st'!$GB$2:$GB$317),"")</f>
        <v>165.5</v>
      </c>
      <c r="CQ36" s="7">
        <f>IFERROR(AVERAGEIF('Данные 1st'!$S$2:$S$317,$A36,'Данные 1st'!$GH$2:$GH$317),"")</f>
        <v>1.6</v>
      </c>
      <c r="CR36" s="7">
        <f>IFERROR(AVERAGEIF('Данные 1st'!$S$2:$S$317,$A36,'Данные 1st'!$GI$2:$GI$317),"")</f>
        <v>20</v>
      </c>
      <c r="CS36" s="7">
        <f>IFERROR(AVERAGEIF('Данные 1st'!$S$2:$S$317,$A36,'Данные 1st'!$GJ$2:$GJ$317),"")</f>
        <v>165.5</v>
      </c>
      <c r="CT36" s="7">
        <f>IFERROR(AVERAGEIF('Данные 1st'!$S$2:$S$317,$A36,'Данные 1st'!$GS$2:$GS$317),"")</f>
        <v>0.4</v>
      </c>
      <c r="CU36" s="7">
        <f>IFERROR(AVERAGEIF('Данные 1st'!$S$2:$S$317,$A36,'Данные 1st'!$GT$2:$GT$317),"")</f>
        <v>90</v>
      </c>
      <c r="CV36" s="7">
        <f>IFERROR(AVERAGEIF('Данные 1st'!$S$2:$S$317,$A36,'Данные 1st'!$GU$2:$GU$317),"")</f>
        <v>260</v>
      </c>
      <c r="CW36" s="7">
        <f>IFERROR(AVERAGEIF('Данные 1st'!$S$2:$S$317,$A36,'Данные 1st'!$GV$2:$GV$317),"")</f>
        <v/>
      </c>
      <c r="CX36" s="7">
        <f>IFERROR(AVERAGEIF('Данные 1st'!$S$2:$S$317,$A36,'Данные 1st'!$GW$2:$GW$317),"")</f>
        <v/>
      </c>
      <c r="CY36" s="7">
        <f>IFERROR(AVERAGEIF('Данные 1st'!$S$2:$S$317,$A36,'Данные 1st'!$GZ$2:$GZ$317),"")</f>
        <v>1</v>
      </c>
      <c r="CZ36" s="7">
        <f>IFERROR(AVERAGEIF('Данные 1st'!$S$2:$S$317,$A36,'Данные 1st'!$HA$2:$HA$317),"")</f>
        <v>20</v>
      </c>
      <c r="DA36" s="7">
        <f>IFERROR(AVERAGEIF('Данные 1st'!$S$2:$S$317,$A36,'Данные 1st'!$HB$2:$HB$317),"")</f>
        <v>176</v>
      </c>
      <c r="DB36" s="7">
        <f>IFERROR(AVERAGEIF('Данные 1st'!$S$2:$S$317,$A36,'Данные 1st'!$HC$2:$HC$317),"")</f>
        <v>0.1</v>
      </c>
      <c r="DC36" s="7">
        <f>IFERROR(AVERAGEIF('Данные 1st'!$S$2:$S$317,$A36,'Данные 1st'!$HD$2:$HD$317),"")</f>
        <v>3</v>
      </c>
      <c r="DD36" s="7">
        <f>IFERROR(AVERAGEIF('Данные 1st'!$S$2:$S$317,$A36,'Данные 1st'!$HE$2:$HE$317),"")</f>
        <v>3</v>
      </c>
      <c r="DE36" s="7">
        <f>IFERROR(AVERAGEIF('Данные 1st'!$S$2:$S$317,$A36,'Данные 1st'!$HF$2:$HF$317),"")</f>
        <v>3</v>
      </c>
      <c r="DF36" s="7">
        <f>IFERROR(AVERAGEIF('Данные 1st'!$S$2:$S$317,$A36,'Данные 1st'!$HG$2:$HG$317),"")</f>
        <v>3</v>
      </c>
      <c r="DG36" s="7">
        <f>IFERROR(AVERAGEIF('Данные 1st'!$S$2:$S$317,$A36,'Данные 1st'!$HH$2:$HH$317),"")</f>
        <v>3</v>
      </c>
      <c r="DH36" s="7">
        <f>IFERROR(AVERAGEIF('Данные 1st'!$S$2:$S$317,$A36,'Данные 1st'!$HI$2:$HI$317),"")</f>
        <v>153</v>
      </c>
      <c r="DI36" s="7">
        <f>IFERROR(AVERAGEIF('Данные 1st'!$S$2:$S$317,$A36,'Данные 1st'!$HJ$2:$HJ$317),"")</f>
        <v>3</v>
      </c>
      <c r="DJ36" s="7">
        <f>IFERROR(AVERAGEIF('Данные 1st'!$S$2:$S$317,$A36,'Данные 1st'!$HK$2:$HK$317),"")</f>
        <v>55</v>
      </c>
      <c r="DK36" s="7">
        <f>IFERROR(AVERAGEIF('Данные 1st'!$S$2:$S$317,$A36,'Данные 1st'!$HL$2:$HL$317),"")</f>
        <v>2</v>
      </c>
      <c r="DL36" s="7">
        <f>IFERROR(AVERAGEIF('Данные 1st'!$S$2:$S$317,$A36,'Данные 1st'!$HM$2:$HM$317),"")</f>
        <v>0</v>
      </c>
      <c r="DM36" s="7">
        <f>IFERROR(AVERAGEIF('Данные 1st'!$S$2:$S$317,$A36,'Данные 1st'!$HN$2:$HN$317),"")</f>
        <v>2</v>
      </c>
      <c r="DN36" s="7">
        <f>IFERROR(AVERAGEIF('Данные 1st'!$S$2:$S$317,$A36,'Данные 1st'!$HO$2:$HO$317),"")</f>
        <v>83</v>
      </c>
      <c r="DO36" s="7">
        <f>IFERROR(AVERAGEIF('Данные 1st'!$S$2:$S$317,$A36,'Данные 1st'!$HP$2:$HP$317),"")</f>
        <v>3</v>
      </c>
      <c r="DP36" s="7">
        <f>IFERROR(AVERAGEIF('Данные 1st'!$S$2:$S$317,$A36,'Данные 1st'!$HQ$2:$HQ$317),"")</f>
        <v>0</v>
      </c>
      <c r="DQ36" s="7">
        <f>IFERROR(AVERAGEIF('Данные 1st'!$S$2:$S$317,$A36,'Данные 1st'!$HR$2:$HR$317),"")</f>
        <v>2</v>
      </c>
      <c r="DR36" s="7">
        <f>IFERROR(AVERAGEIF('Данные 1st'!$S$2:$S$317,$A36,'Данные 1st'!$HS$2:$HS$317),"")</f>
        <v>4692</v>
      </c>
      <c r="DS36" s="7">
        <f>IFERROR(AVERAGEIF('Данные 1st'!$S$2:$S$317,$A36,'Данные 1st'!$HT$2:$HT$317),"")</f>
        <v>142</v>
      </c>
      <c r="DT36" s="7">
        <f>IFERROR(AVERAGEIF('Данные 1st'!$S$2:$S$317,$A36,'Данные 1st'!$HU$2:$HU$317),"")</f>
        <v>180</v>
      </c>
      <c r="DU36" s="7">
        <f>IFERROR(AVERAGEIF('Данные 1st'!$S$2:$S$317,$A36,'Данные 1st'!$HW$2:$HW$317),"")</f>
        <v>4</v>
      </c>
      <c r="DV36" s="7">
        <f>IFERROR(AVERAGEIF('Данные 1st'!$S$2:$S$317,$A36,'Данные 1st'!$HX$2:$HX$317),"")</f>
        <v>486</v>
      </c>
      <c r="DW36" s="7">
        <f>IFERROR(AVERAGEIF('Данные 1st'!$S$2:$S$317,$A36,'Данные 1st'!$HY$2:$HY$317),"")</f>
        <v>0.18</v>
      </c>
      <c r="DX36" s="7">
        <f>IFERROR(AVERAGEIF('Данные 1st'!$S$2:$S$317,$A36,'Данные 1st'!$IA$2:$IA$317),"")</f>
        <v>0.15</v>
      </c>
      <c r="DY36" s="7">
        <f>IFERROR(AVERAGEIF('Данные 1st'!$S$2:$S$317,$A36,'Данные 1st'!$IB$2:$IB$317),"")</f>
        <v>0</v>
      </c>
      <c r="DZ36" s="7">
        <f>IFERROR(AVERAGEIF('Данные 1st'!$S$2:$S$317,$A36,'Данные 1st'!$IC$2:$IC$317),"")</f>
        <v>180</v>
      </c>
      <c r="EA36" s="7">
        <f>IFERROR(AVERAGEIF('Данные 1st'!$S$2:$S$317,$A36,'Данные 1st'!$ID$2:$ID$317),"")</f>
        <v>110</v>
      </c>
      <c r="EB36" s="7">
        <f>IFERROR(AVERAGEIF('Данные 1st'!$S$2:$S$317,$A36,'Данные 1st'!$IE$2:$IE$317),"")</f>
        <v>45</v>
      </c>
      <c r="EC36" s="7">
        <f>IFERROR(AVERAGEIF('Данные 1st'!$S$2:$S$317,$A36,'Данные 1st'!$IF$2:$IF$317),"")</f>
        <v>0</v>
      </c>
      <c r="ED36" s="7">
        <f>IFERROR(AVERAGEIF('Данные 1st'!$S$2:$S$317,$A36,'Данные 1st'!$IP$2:$IP$317),"")</f>
        <v>17</v>
      </c>
      <c r="EE36" s="7">
        <f>IFERROR(AVERAGEIF('Данные 1st'!$S$2:$S$317,$A36,'Данные 1st'!$IV$2:$IV$317),"")</f>
        <v>1301</v>
      </c>
      <c r="EF36" s="7">
        <f>IFERROR(AVERAGEIF('Данные 1st'!$S$2:$S$317,$A36,'Данные 1st'!$IW$2:$IW$317),"")</f>
        <v>416.8</v>
      </c>
      <c r="EG36" s="7">
        <f>IFERROR(AVERAGEIF('Данные 1st'!$S$2:$S$317,$A36,'Данные 1st'!$IX$2:$IX$317),"")</f>
        <v/>
      </c>
      <c r="EH36" s="7">
        <f>IFERROR(AVERAGEIF('Данные 1st'!$S$2:$S$317,$A36,'Данные 1st'!$IY$2:$IY$317),"")</f>
        <v>290</v>
      </c>
      <c r="EI36" s="7">
        <f>IFERROR(AVERAGEIF('Данные 1st'!$S$2:$S$317,$A36,'Данные 1st'!$JD$2:$JD$317),"")</f>
        <v>1315</v>
      </c>
      <c r="EJ36" s="7">
        <f>IFERROR(AVERAGEIF('Данные 1st'!$S$2:$S$317,$A36,'Данные 1st'!$JE$2:$JE$317),"")</f>
        <v>1311.8</v>
      </c>
      <c r="EK36" s="7">
        <f>IFERROR(AVERAGEIF('Данные 1st'!$S$2:$S$317,$A36,'Данные 1st'!$JF$2:$JF$317),"")</f>
        <v>263.2</v>
      </c>
      <c r="EL36" s="7">
        <f>IFERROR(AVERAGEIF('Данные 1st'!$S$2:$S$317,$A36,'Данные 1st'!$JG$2:$JG$317),"")</f>
        <v>1297.4</v>
      </c>
      <c r="EM36" s="7">
        <f>IFERROR(AVERAGEIF('Данные 1st'!$S$2:$S$317,$A36,'Данные 1st'!$JH$2:$JH$317),"")</f>
        <v>0</v>
      </c>
      <c r="EN36" s="7">
        <f>IFERROR(AVERAGEIF('Данные 1st'!$S$2:$S$317,$A36,'Данные 1st'!$JJ$2:$JJ$317),"")</f>
        <v>180</v>
      </c>
      <c r="EO36" s="7">
        <f>IFERROR(AVERAGEIF('Данные 1st'!$S$2:$S$317,$A36,'Данные 1st'!$JK$2:$JK$317),"")</f>
        <v>486</v>
      </c>
      <c r="EP36" s="7">
        <f>IFERROR(AVERAGEIF('Данные 1st'!$S$2:$S$317,$A36,'Данные 1st'!$JL$2:$JL$317),"")</f>
        <v/>
      </c>
      <c r="EQ36" s="7">
        <f>IFERROR(AVERAGEIF('Данные 1st'!$S$2:$S$317,$A36,'Данные 1st'!$JM$2:$JM$317),"")</f>
        <v/>
      </c>
      <c r="ER36" s="7">
        <f>IFERROR(AVERAGEIF('Данные 1st'!$S$2:$S$317,$A36,'Данные 1st'!$JN$2:$JN$317),"")</f>
        <v>396</v>
      </c>
      <c r="ES36" s="7">
        <f>IFERROR(AVERAGEIF('Данные 1st'!$S$2:$S$317,$A36,'Данные 1st'!$JO$2:$JO$317),"")</f>
        <v>586</v>
      </c>
      <c r="ET36" s="7">
        <f>IFERROR(AVERAGEIF('Данные 1st'!$S$2:$S$317,$A36,'Данные 1st'!$JP$2:$JP$317),"")</f>
        <v>94</v>
      </c>
      <c r="EU36" s="7">
        <f>IFERROR(AVERAGEIF('Данные 1st'!$S$2:$S$317,$A36,'Данные 1st'!$JQ$2:$JQ$317),"")</f>
        <v>0</v>
      </c>
      <c r="EV36" s="7">
        <f>IFERROR(AVERAGEIF('Данные 1st'!$S$2:$S$317,$A36,'Данные 1st'!$JR$2:$JR$317),"")</f>
        <v>372.4</v>
      </c>
      <c r="EW36" s="7">
        <f>IFERROR(AVERAGEIF('Данные 1st'!$S$2:$S$317,$A36,'Данные 1st'!$JS$2:$JS$317),"")</f>
        <v>153</v>
      </c>
      <c r="EX36" s="7">
        <f>IFERROR(AVERAGEIF('Данные 1st'!$S$2:$S$317,$A36,'Данные 1st'!$JT$2:$JT$317),"")</f>
        <v/>
      </c>
      <c r="EY36" s="7">
        <f>IFERROR(AVERAGEIF('Данные 1st'!$S$2:$S$317,$A36,'Данные 1st'!$JU$2:$JU$317),"")</f>
        <v/>
      </c>
      <c r="EZ36" s="7">
        <f>IFERROR(AVERAGEIF('Данные 1st'!$S$2:$S$317,$A36,'Данные 1st'!$JV$2:$JV$317),"")</f>
        <v>8</v>
      </c>
      <c r="FA36" s="7">
        <f>IFERROR(AVERAGEIF('Данные 1st'!$S$2:$S$317,$A36,'Данные 1st'!$JW$2:$JW$317),"")</f>
        <v/>
      </c>
      <c r="FB36" s="7">
        <f>IFERROR(AVERAGEIF('Данные 1st'!$S$2:$S$317,$A36,'Данные 1st'!$JX$2:$JX$317),"")</f>
        <v>0</v>
      </c>
      <c r="FC36" s="7">
        <f>IFERROR(AVERAGEIF('Данные 1st'!$S$2:$S$317,$A36,'Данные 1st'!$JY$2:$JY$317),"")</f>
        <v/>
      </c>
      <c r="FD36" s="7">
        <f>IFERROR(AVERAGEIF('Данные 1st'!$S$2:$S$317,$A36,'Данные 1st'!$JZ$2:$JZ$317),"")</f>
        <v/>
      </c>
      <c r="FE36" s="7">
        <f>IFERROR(AVERAGEIF('Данные 1st'!$S$2:$S$317,$A36,'Данные 1st'!$KA$2:$KA$317),"")</f>
        <v>45</v>
      </c>
      <c r="FF36" s="7">
        <f>IFERROR(AVERAGEIF('Данные 1st'!$S$2:$S$317,$A36,'Данные 1st'!$KB$2:$KB$317),"")</f>
        <v>110</v>
      </c>
      <c r="FG36" s="7">
        <f>IFERROR(AVERAGEIF('Данные 1st'!$S$2:$S$317,$A36,'Данные 1st'!$KC$2:$KC$317),"")</f>
        <v>0</v>
      </c>
      <c r="FH36" s="7">
        <f>IFERROR(AVERAGEIF('Данные 1st'!$S$2:$S$317,$A36,'Данные 1st'!$KD$2:$KD$317),"")</f>
        <v>80</v>
      </c>
      <c r="FI36" s="7">
        <f>IFERROR(AVERAGEIF('Данные 1st'!$S$2:$S$317,$A36,'Данные 1st'!$KE$2:$KE$317),"")</f>
        <v/>
      </c>
      <c r="FJ36" s="7">
        <f>IFERROR(AVERAGEIF('Данные 1st'!$S$2:$S$317,$A36,'Данные 1st'!$KF$2:$KF$317),"")</f>
        <v>4</v>
      </c>
      <c r="FK36" s="7">
        <f>IFERROR(AVERAGEIF('Данные 1st'!$S$2:$S$317,$A36,'Данные 1st'!$KG$2:$KG$317),"")</f>
        <v>3.3</v>
      </c>
      <c r="FL36" s="7">
        <f>IFERROR(AVERAGEIF('Данные 1st'!$S$2:$S$317,$A36,'Данные 1st'!$KH$2:$KH$317),"")</f>
        <v>2</v>
      </c>
      <c r="FM36" s="7">
        <f>IFERROR(AVERAGEIF('Данные 1st'!$S$2:$S$317,$A36,'Данные 1st'!$KI$2:$KI$317),"")</f>
        <v>2</v>
      </c>
      <c r="FN36" s="7">
        <f>IFERROR(AVERAGEIF('Данные 1st'!$S$2:$S$317,$A36,'Данные 1st'!$KJ$2:$KJ$317),"")</f>
        <v>0</v>
      </c>
      <c r="FO36" s="7">
        <f>IFERROR(AVERAGEIF('Данные 1st'!$S$2:$S$317,$A36,'Данные 1st'!$KK$2:$KK$317),"")</f>
        <v>1.5</v>
      </c>
      <c r="FP36" s="7">
        <f>IFERROR(AVERAGEIF('Данные 1st'!$S$2:$S$317,$A36,'Данные 1st'!$KL$2:$KL$317),"")</f>
        <v>1.5</v>
      </c>
      <c r="FQ36" s="7">
        <f>IFERROR(AVERAGEIF('Данные 1st'!$S$2:$S$317,$A36,'Данные 1st'!$KM$2:$KM$317),"")</f>
        <v>0</v>
      </c>
      <c r="FR36" s="7">
        <f>IFERROR(AVERAGEIF('Данные 1st'!$S$2:$S$317,$A36,'Данные 1st'!$KN$2:$KN$317),"")</f>
        <v>0</v>
      </c>
      <c r="FS36" s="7">
        <f>IFERROR(AVERAGEIF('Данные 1st'!$S$2:$S$317,$A36,'Данные 1st'!$KR$2:$KR$317),"")</f>
        <v>46</v>
      </c>
      <c r="FT36" s="7">
        <f>IFERROR(AVERAGEIF('Данные 1st'!$S$2:$S$317,$A36,'Данные 1st'!$KS$2:$KS$317),"")</f>
        <v>60</v>
      </c>
      <c r="FU36" s="7">
        <f>IFERROR(AVERAGEIF('Данные 1st'!$S$2:$S$317,$A36,'Данные 1st'!$KT$2:$KT$317),"")</f>
        <v>0</v>
      </c>
      <c r="FV36" s="7">
        <f>IFERROR(AVERAGEIF('Данные 1st'!$S$2:$S$317,$A36,'Данные 1st'!$KV$2:$KV$317),"")</f>
        <v/>
      </c>
      <c r="FW36" s="7">
        <f>IFERROR(AVERAGEIF('Данные 1st'!$S$2:$S$317,$A36,'Данные 1st'!$KW$2:$KW$317),"")</f>
        <v/>
      </c>
      <c r="FX36" s="7">
        <f>IFERROR(AVERAGEIF('Данные 1st'!$S$2:$S$317,$A36,'Данные 1st'!$KX$2:$KX$317),"")</f>
        <v/>
      </c>
      <c r="FY36" s="7">
        <f>IFERROR(AVERAGEIF('Данные 1st'!$S$2:$S$317,$A36,'Данные 1st'!$KY$2:$KY$317),"")</f>
        <v/>
      </c>
      <c r="FZ36" s="7">
        <f>IFERROR(AVERAGEIF('Данные 1st'!$S$2:$S$317,$A36,'Данные 1st'!$KZ$2:$KZ$317),"")</f>
        <v/>
      </c>
      <c r="GA36" s="7">
        <f>IFERROR(AVERAGEIF('Данные 1st'!$S$2:$S$317,$A36,'Данные 1st'!$LA$2:$LA$317),"")</f>
        <v/>
      </c>
      <c r="GB36" s="7">
        <f>IFERROR(AVERAGEIF('Данные 1st'!$S$2:$S$317,$A36,'Данные 1st'!$LB$2:$LB$317),"")</f>
        <v/>
      </c>
      <c r="GC36" s="7">
        <f>IFERROR(AVERAGEIF('Данные 1st'!$S$2:$S$317,$A36,'Данные 1st'!$LC$2:$LC$317),"")</f>
        <v/>
      </c>
      <c r="GD36" s="7">
        <f>IFERROR(AVERAGEIF('Данные 1st'!$S$2:$S$317,$A36,'Данные 1st'!$LD$2:$LD$317),"")</f>
        <v/>
      </c>
      <c r="GE36" s="7">
        <f>IFERROR(AVERAGEIF('Данные 1st'!$S$2:$S$317,$A36,'Данные 1st'!$LE$2:$LE$317),"")</f>
        <v/>
      </c>
      <c r="GF36" s="7">
        <f>IFERROR(AVERAGEIF('Данные 1st'!$S$2:$S$317,$A36,'Данные 1st'!$LF$2:$LF$317),"")</f>
        <v/>
      </c>
      <c r="GG36" s="7">
        <f>IFERROR(AVERAGEIF('Данные 1st'!$S$2:$S$317,$A36,'Данные 1st'!$LG$2:$LG$317),"")</f>
        <v/>
      </c>
      <c r="GH36" s="7">
        <f>IFERROR(AVERAGEIF('Данные 1st'!$S$2:$S$317,$A36,'Данные 1st'!$LH$2:$LH$317),"")</f>
        <v/>
      </c>
      <c r="GI36" s="7">
        <f>IFERROR(AVERAGEIF('Данные 1st'!$S$2:$S$317,$A36,'Данные 1st'!$LI$2:$LI$317),"")</f>
        <v/>
      </c>
      <c r="GJ36" s="7">
        <f>IFERROR(AVERAGEIF('Данные 1st'!$S$2:$S$317,$A36,'Данные 1st'!$LJ$2:$LJ$317),"")</f>
        <v/>
      </c>
      <c r="GK36" s="7">
        <f>IFERROR(AVERAGEIF('Данные 1st'!$S$2:$S$317,$A36,'Данные 1st'!$LK$2:$LK$317),"")</f>
        <v>480</v>
      </c>
      <c r="GL36" s="7">
        <f>IFERROR(AVERAGEIF('Данные 1st'!$S$2:$S$317,$A36,'Данные 1st'!$LV$2:$LV$317),"")</f>
        <v/>
      </c>
      <c r="GM36" s="7">
        <f>IFERROR(AVERAGEIF('Данные 1st'!$S$2:$S$317,$A36,'Данные 1st'!$LW$2:$LW$317),"")</f>
        <v/>
      </c>
      <c r="GN36" s="7">
        <f>IFERROR(AVERAGEIF('Данные 1st'!$S$2:$S$317,$A36,'Данные 1st'!$LX$2:$LX$317),"")</f>
        <v/>
      </c>
      <c r="GO36" s="7">
        <f>IFERROR(AVERAGEIF('Данные 1st'!$S$2:$S$317,$A36,'Данные 1st'!$LY$2:$LY$317),"")</f>
        <v/>
      </c>
      <c r="GP36" s="7">
        <f>IFERROR(AVERAGEIF('Данные 1st'!$S$2:$S$317,$A36,'Данные 1st'!$LZ$2:$LZ$317),"")</f>
        <v/>
      </c>
      <c r="GQ36" s="7">
        <f>IFERROR(AVERAGEIF('Данные 1st'!$S$2:$S$317,$A36,'Данные 1st'!$PG$2:$PG$317),"")</f>
        <v>1</v>
      </c>
      <c r="GR36" s="7">
        <f>IFERROR(AVERAGEIF('Данные 1st'!$S$2:$S$317,$A36,'Данные 1st'!$PX$2:$PX$317),"")</f>
        <v>56</v>
      </c>
      <c r="GS36" s="7">
        <f>IFERROR(AVERAGEIF('Данные 1st'!$S$2:$S$317,$A36,'Данные 1st'!$PY$2:$PY$317),"")</f>
        <v>56.4</v>
      </c>
      <c r="GT36" s="7">
        <f>IFERROR(AVERAGEIF('Данные 1st'!$S$2:$S$317,$A36,'Данные 1st'!$QA$2:$QA$317),"")</f>
        <v>2</v>
      </c>
      <c r="GU36" s="7">
        <f>IFERROR(AVERAGEIF('Данные 1st'!$S$2:$S$317,$A36,'Данные 1st'!$QB$2:$QB$317),"")</f>
        <v>1297.4</v>
      </c>
      <c r="GV36" s="7">
        <f>IFERROR(AVERAGEIF('Данные 1st'!$S$2:$S$317,$A36,'Данные 1st'!$QC$2:$QC$317),"")</f>
        <v>69</v>
      </c>
      <c r="GW36" s="7">
        <f>IFERROR(AVERAGEIF('Данные 1st'!$S$2:$S$317,$A36,'Данные 1st'!$QD$2:$QD$317),"")</f>
        <v>69</v>
      </c>
      <c r="GX36" s="7">
        <f>IFERROR(AVERAGEIF('Данные 1st'!$S$2:$S$317,$A36,'Данные 1st'!$QF$2:$QF$317),"")</f>
        <v>1.2</v>
      </c>
      <c r="GY36" s="7">
        <f>IFERROR(AVERAGEIF('Данные 1st'!$S$2:$S$317,$A36,'Данные 1st'!$QG$2:$QG$317),"")</f>
        <v>1315</v>
      </c>
      <c r="GZ36" s="7">
        <f>IFERROR(AVERAGEIF('Данные 1st'!$S$2:$S$317,$A36,'Данные 1st'!$QH$2:$QH$317),"")</f>
        <v>66</v>
      </c>
      <c r="HA36" s="7">
        <f>IFERROR(AVERAGEIF('Данные 1st'!$S$2:$S$317,$A36,'Данные 1st'!$QI$2:$QI$317),"")</f>
        <v>66</v>
      </c>
      <c r="HB36" s="7">
        <f>IFERROR(AVERAGEIF('Данные 1st'!$S$2:$S$317,$A36,'Данные 1st'!$QK$2:$QK$317),"")</f>
        <v/>
      </c>
      <c r="HC36" s="7">
        <f>IFERROR(AVERAGEIF('Данные 1st'!$S$2:$S$317,$A36,'Данные 1st'!$QL$2:$QL$317),"")</f>
        <v>0</v>
      </c>
      <c r="HD36" s="7">
        <f>IFERROR(AVERAGEIF('Данные 1st'!$S$2:$S$317,$A36,'Данные 1st'!$QM$2:$QM$317),"")</f>
        <v>62.4</v>
      </c>
      <c r="HE36" s="7">
        <f>IFERROR(AVERAGEIF('Данные 1st'!$S$2:$S$317,$A36,'Данные 1st'!$QN$2:$QN$317),"")</f>
        <v>62.4</v>
      </c>
      <c r="HF36" s="7">
        <f>IFERROR(AVERAGEIF('Данные 1st'!$S$2:$S$317,$A36,'Данные 1st'!$QP$2:$QP$317),"")</f>
        <v>1</v>
      </c>
      <c r="HG36" s="7">
        <f>IFERROR(AVERAGEIF('Данные 1st'!$S$2:$S$317,$A36,'Данные 1st'!$QQ$2:$QQ$317),"")</f>
        <v>1311.8</v>
      </c>
      <c r="HH36" s="7">
        <f>IFERROR(AVERAGEIF('Данные 1st'!$S$2:$S$317,$A36,'Данные 1st'!$QR$2:$QR$317),"")</f>
        <v>63</v>
      </c>
      <c r="HI36" s="7">
        <f>IFERROR(AVERAGEIF('Данные 1st'!$S$2:$S$317,$A36,'Данные 1st'!$QS$2:$QS$317),"")</f>
        <v>63</v>
      </c>
      <c r="HJ36" s="7">
        <f>IFERROR(AVERAGEIF('Данные 1st'!$S$2:$S$317,$A36,'Данные 1st'!$QU$2:$QU$317),"")</f>
        <v>1</v>
      </c>
      <c r="HK36" s="7">
        <f>IFERROR(AVERAGEIF('Данные 1st'!$S$2:$S$317,$A36,'Данные 1st'!$QV$2:$QV$317),"")</f>
        <v>1316</v>
      </c>
      <c r="HL36" s="7">
        <f>IFERROR(AVERAGEIF('Данные 1st'!$S$2:$S$317,$A36,'Данные 1st'!$QW$2:$QW$317),"")</f>
        <v>82</v>
      </c>
      <c r="HM36" s="7">
        <f>IFERROR(AVERAGEIF('Данные 1st'!$S$2:$S$317,$A36,'Данные 1st'!$QX$2:$QX$317),"")</f>
        <v>86.8</v>
      </c>
      <c r="HN36" s="7">
        <f>IFERROR(AVERAGEIF('Данные 1st'!$S$2:$S$317,$A36,'Данные 1st'!$QZ$2:$QZ$317),"")</f>
        <v>1.2</v>
      </c>
      <c r="HO36" s="7">
        <f>IFERROR(AVERAGEIF('Данные 1st'!$S$2:$S$317,$A36,'Данные 1st'!$RA$2:$RA$317),"")</f>
        <v>66</v>
      </c>
      <c r="HP36" s="7">
        <f>IFERROR(AVERAGEIF('Данные 1st'!$S$2:$S$317,$A36,'Данные 1st'!$RB$2:$RB$317),"")</f>
        <v>66</v>
      </c>
      <c r="HQ36" s="7">
        <f>IFERROR(AVERAGEIF('Данные 1st'!$S$2:$S$317,$A36,'Данные 1st'!$RD$2:$RD$317),"")</f>
        <v/>
      </c>
      <c r="HR36" s="7">
        <f>IFERROR(AVERAGEIF('Данные 1st'!$S$2:$S$317,$A36,'Данные 1st'!$RE$2:$RE$317),"")</f>
        <v>0</v>
      </c>
      <c r="HS36" s="7">
        <f>IFERROR(AVERAGEIF('Данные 1st'!$S$2:$S$317,$A36,'Данные 1st'!$RF$2:$RF$317),"")</f>
        <v>1</v>
      </c>
      <c r="HT36" s="7">
        <f>IFERROR(AVERAGEIF('Данные 1st'!$S$2:$S$317,$A36,'Данные 1st'!$RG$2:$RG$317),"")</f>
        <v>1</v>
      </c>
      <c r="HU36" s="7">
        <f>IFERROR(AVERAGEIF('Данные 1st'!$S$2:$S$317,$A36,'Данные 1st'!$RH$2:$RH$317),"")</f>
        <v/>
      </c>
      <c r="HV36" s="7">
        <f>IFERROR(AVERAGEIF('Данные 1st'!$S$2:$S$317,$A36,'Данные 1st'!$RI$2:$RI$317),"")</f>
        <v>1</v>
      </c>
      <c r="HW36" s="7">
        <f>IFERROR(AVERAGEIF('Данные 1st'!$S$2:$S$317,$A36,'Данные 1st'!$RJ$2:$RJ$317),"")</f>
        <v>1</v>
      </c>
      <c r="HX36" s="7">
        <f>IFERROR(AVERAGEIF('Данные 1st'!$S$2:$S$317,$A36,'Данные 1st'!$RK$2:$RK$317),"")</f>
        <v/>
      </c>
      <c r="HY36" s="7">
        <f>IFERROR(AVERAGEIF('Данные 1st'!$S$2:$S$317,$A36,'Данные 1st'!$RL$2:$RL$317),"")</f>
        <v>1.8</v>
      </c>
      <c r="HZ36" s="7">
        <f>IFERROR(AVERAGEIF('Данные 1st'!$S$2:$S$317,$A36,'Данные 1st'!$RM$2:$RM$317),"")</f>
        <v>4</v>
      </c>
      <c r="IA36" s="7">
        <f>IFERROR(AVERAGEIF('Данные 1st'!$S$2:$S$317,$A36,'Данные 1st'!$RN$2:$RN$317),"")</f>
        <v/>
      </c>
      <c r="IB36" s="7">
        <f>IFERROR(AVERAGEIF('Данные 1st'!$S$2:$S$317,$A36,'Данные 1st'!$RO$2:$RO$317),"")</f>
        <v>570.2</v>
      </c>
      <c r="IC36" s="7">
        <f>IFERROR(AVERAGEIF('Данные 1st'!$S$2:$S$317,$A36,'Данные 1st'!$RP$2:$RP$317),"")</f>
        <v/>
      </c>
      <c r="ID36" s="7">
        <f>IFERROR(AVERAGEIF('Данные 1st'!$S$2:$S$317,$A36,'Данные 1st'!$RQ$2:$RQ$317),"")</f>
        <v>899.4</v>
      </c>
      <c r="IE36" s="7">
        <f>IFERROR(AVERAGEIF('Данные 1st'!$S$2:$S$317,$A36,'Данные 1st'!$RR$2:$RR$317),"")</f>
        <v>586</v>
      </c>
      <c r="IF36" s="7">
        <f>IFERROR(AVERAGEIF('Данные 1st'!$S$2:$S$317,$A36,'Данные 1st'!$RS$2:$RS$317),"")</f>
        <v/>
      </c>
      <c r="IG36" s="7">
        <f>IFERROR(AVERAGEIF('Данные 1st'!$S$2:$S$317,$A36,'Данные 1st'!$RT$2:$RT$317),"")</f>
        <v>254.4</v>
      </c>
      <c r="IH36" s="7">
        <f>IFERROR(AVERAGEIF('Данные 1st'!$S$2:$S$317,$A36,'Данные 1st'!$RU$2:$RU$317),"")</f>
        <v>208.8</v>
      </c>
      <c r="II36" s="7">
        <f>IFERROR(AVERAGEIF('Данные 1st'!$S$2:$S$317,$A36,'Данные 1st'!$RX$2:$RX$317),"")</f>
        <v>15</v>
      </c>
      <c r="IJ36" s="7">
        <f>IFERROR(AVERAGEIF('Данные 1st'!$S$2:$S$317,$A36,'Данные 1st'!$RY$2:$RY$317),"")</f>
        <v>4</v>
      </c>
      <c r="IK36" s="7">
        <f>IFERROR(AVERAGEIF('Данные 1st'!$S$2:$S$317,$A36,'Данные 1st'!$SA$2:$SA$317),"")</f>
        <v>15</v>
      </c>
      <c r="IL36" s="7">
        <f>IFERROR(AVERAGEIF('Данные 1st'!$S$2:$S$317,$A36,'Данные 1st'!$SD$2:$SD$317),"")</f>
        <v>1</v>
      </c>
      <c r="IM36" s="7">
        <f>IFERROR(AVERAGEIF('Данные 1st'!$S$2:$S$317,$A36,'Данные 1st'!$SG$2:$SG$317),"")</f>
        <v>1</v>
      </c>
      <c r="IN36" s="7">
        <f>IFERROR(AVERAGEIF('Данные 1st'!$S$2:$S$317,$A36,'Данные 1st'!$SH$2:$SH$317),"")</f>
        <v>0.995</v>
      </c>
      <c r="IO36" s="7">
        <f>IFERROR(AVERAGEIF('Данные 1st'!$S$2:$S$317,$A36,'Данные 1st'!$SI$2:$SI$317),"")</f>
        <v>0.995</v>
      </c>
      <c r="IP36" s="7">
        <f>IFERROR(AVERAGEIF('Данные 1st'!$S$2:$S$317,$A36,'Данные 1st'!$SJ$2:$SJ$317),"")</f>
        <v>0.995</v>
      </c>
      <c r="IQ36" s="7">
        <f>IFERROR(AVERAGEIF('Данные 1st'!$S$2:$S$317,$A36,'Данные 1st'!$SK$2:$SK$317),"")</f>
        <v>15</v>
      </c>
      <c r="IR36" s="7">
        <f>IFERROR(AVERAGEIF('Данные 1st'!$S$2:$S$317,$A36,'Данные 1st'!$SL$2:$SL$317),"")</f>
        <v>0</v>
      </c>
      <c r="IS36" s="7">
        <f>IFERROR(AVERAGEIF('Данные 1st'!$S$2:$S$317,$A36,'Данные 1st'!$SM$2:$SM$317),"")</f>
        <v>0</v>
      </c>
      <c r="IT36" s="7">
        <f>IFERROR(AVERAGEIF('Данные 1st'!$S$2:$S$317,$A36,'Данные 1st'!$SN$2:$SN$317),"")</f>
        <v>0</v>
      </c>
      <c r="IU36" s="7">
        <f>IFERROR(AVERAGEIF('Данные 1st'!$S$2:$S$317,$A36,'Данные 1st'!$SO$2:$SO$317),"")</f>
        <v>0</v>
      </c>
      <c r="IV36" s="7">
        <f>IFERROR(AVERAGEIF('Данные 1st'!$S$2:$S$317,$A36,'Данные 1st'!$SP$2:$SP$317),"")</f>
        <v>0</v>
      </c>
      <c r="IW36" s="7">
        <f>IFERROR(AVERAGEIF('Данные 1st'!$S$2:$S$317,$A36,'Данные 1st'!$SQ$2:$SQ$317),"")</f>
        <v>0</v>
      </c>
      <c r="IX36" s="7">
        <f>IFERROR(AVERAGEIF('Данные 1st'!$S$2:$S$317,$A36,'Данные 1st'!$SR$2:$SR$317),"")</f>
        <v>0</v>
      </c>
      <c r="IY36" s="7">
        <f>IFERROR(AVERAGEIF('Данные 1st'!$S$2:$S$317,$A36,'Данные 1st'!$SS$2:$SS$317),"")</f>
        <v>0</v>
      </c>
      <c r="IZ36" s="7">
        <f>IFERROR(AVERAGEIF('Данные 1st'!$S$2:$S$317,$A36,'Данные 1st'!$ST$2:$ST$317),"")</f>
        <v>0</v>
      </c>
      <c r="JA36" s="7">
        <f>IFERROR(AVERAGEIF('Данные 1st'!$S$2:$S$317,$A36,'Данные 1st'!$SU$2:$SU$317),"")</f>
        <v>0</v>
      </c>
      <c r="JB36" s="7">
        <f>IFERROR(AVERAGEIF('Данные 1st'!$S$2:$S$317,$A36,'Данные 1st'!$SV$2:$SV$317),"")</f>
        <v>0</v>
      </c>
      <c r="JC36" s="7">
        <f>IFERROR(AVERAGEIF('Данные 1st'!$S$2:$S$317,$A36,'Данные 1st'!$SW$2:$SW$317),"")</f>
        <v>0</v>
      </c>
      <c r="JD36" s="7">
        <f>IFERROR(AVERAGEIF('Данные 1st'!$S$2:$S$317,$A36,'Данные 1st'!$SX$2:$SX$317),"")</f>
        <v>0</v>
      </c>
      <c r="JE36" s="7">
        <f>IFERROR(AVERAGEIF('Данные 1st'!$S$2:$S$317,$A36,'Данные 1st'!$SY$2:$SY$317),"")</f>
        <v/>
      </c>
      <c r="JF36" s="7">
        <f>IFERROR(AVERAGEIF('Данные 1st'!$S$2:$S$317,$A36,'Данные 1st'!$SZ$2:$SZ$317),"")</f>
        <v>1</v>
      </c>
      <c r="JG36" s="7">
        <f>IFERROR(AVERAGEIF('Данные 1st'!$S$2:$S$317,$A36,'Данные 1st'!$TA$2:$TA$317),"")</f>
        <v/>
      </c>
      <c r="JH36" s="7">
        <f>IFERROR(AVERAGEIF('Данные 1st'!$S$2:$S$317,$A36,'Данные 1st'!$TB$2:$TB$317),"")</f>
        <v>0</v>
      </c>
      <c r="JI36" s="7">
        <f>IFERROR(AVERAGEIF('Данные 1st'!$S$2:$S$317,$A36,'Данные 1st'!$TC$2:$TC$317),"")</f>
        <v>0</v>
      </c>
      <c r="JJ36" s="7">
        <f>IFERROR(AVERAGEIF('Данные 1st'!$S$2:$S$317,$A36,'Данные 1st'!$TD$2:$TD$317),"")</f>
        <v>7.5</v>
      </c>
      <c r="JK36" s="7">
        <f>IFERROR(AVERAGEIF('Данные 1st'!$S$2:$S$317,$A36,'Данные 1st'!$TN$2:$TN$317),"")</f>
        <v>0</v>
      </c>
      <c r="JL36">
        <f>COUNTIF('Данные 2st'!$Q$2:$Q$317,$A36)</f>
        <v>5</v>
      </c>
      <c r="JM36" s="6" t="s">
        <v>5101</v>
      </c>
      <c r="JN36" s="6" t="s">
        <v>513</v>
      </c>
      <c r="JO36" s="6" t="s">
        <v>5125</v>
      </c>
      <c r="JP36" s="6" t="s">
        <v>5492</v>
      </c>
      <c r="JQ36" s="7">
        <f>IFERROR(AVERAGEIF('Данные 2st'!$Q$2:$Q$317,$A36,'Данные 2st'!$AC$2:$AC$317),"")</f>
        <v>10.6</v>
      </c>
      <c r="JR36" s="7">
        <f>IFERROR(AVERAGEIF('Данные 2st'!$Q$2:$Q$317,$A36,'Данные 2st'!$AF$2:$AF$317),"")</f>
        <v>4692</v>
      </c>
      <c r="JS36" s="7">
        <f>IFERROR(AVERAGEIF('Данные 2st'!$Q$2:$Q$317,$A36,'Данные 2st'!$AW$2:$AW$317),"")</f>
        <v>6.4</v>
      </c>
      <c r="JT36" s="7">
        <f>IFERROR(AVERAGEIF('Данные 2st'!$Q$2:$Q$317,$A36,'Данные 2st'!$AX$2:$AX$317),"")</f>
        <v>-6</v>
      </c>
      <c r="JU36" s="7">
        <f>IFERROR(AVERAGEIF('Данные 2st'!$Q$2:$Q$317,$A36,'Данные 2st'!$AY$2:$AY$317),"")</f>
        <v>99.9</v>
      </c>
      <c r="JV36" s="7">
        <f>IFERROR(AVERAGEIF('Данные 2st'!$Q$2:$Q$317,$A36,'Данные 2st'!$AZ$2:$AZ$317),"")</f>
        <v>68.3</v>
      </c>
      <c r="JW36" s="7">
        <f>IFERROR(AVERAGEIF('Данные 2st'!$Q$2:$Q$317,$A36,'Данные 2st'!$BA$2:$BA$317),"")</f>
        <v/>
      </c>
      <c r="JX36" s="7">
        <f>IFERROR(AVERAGEIF('Данные 2st'!$Q$2:$Q$317,$A36,'Данные 2st'!$BB$2:$BB$317),"")</f>
        <v/>
      </c>
      <c r="JY36" s="7">
        <f>IFERROR(AVERAGEIF('Данные 2st'!$Q$2:$Q$317,$A36,'Данные 2st'!$BC$2:$BC$317),"")</f>
        <v/>
      </c>
      <c r="JZ36" s="7">
        <f>IFERROR(AVERAGEIF('Данные 2st'!$Q$2:$Q$317,$A36,'Данные 2st'!$BH$2:$BH$317),"")</f>
        <v>99.9</v>
      </c>
      <c r="KA36" s="7">
        <f>IFERROR(AVERAGEIF('Данные 2st'!$Q$2:$Q$317,$A36,'Данные 2st'!$BI$2:$BI$317),"")</f>
        <v>31.6</v>
      </c>
      <c r="KB36" s="7">
        <f>IFERROR(AVERAGEIF('Данные 2st'!$Q$2:$Q$317,$A36,'Данные 2st'!$BJ$2:$BJ$317),"")</f>
        <v>68.3</v>
      </c>
      <c r="KC36" s="7">
        <f>IFERROR(AVERAGEIF('Данные 2st'!$Q$2:$Q$317,$A36,'Данные 2st'!$BK$2:$BK$317),"")</f>
        <v>2.9</v>
      </c>
      <c r="KD36" s="7">
        <f>IFERROR(AVERAGEIF('Данные 2st'!$Q$2:$Q$317,$A36,'Данные 2st'!$BL$2:$BL$317),"")</f>
        <v>199.8</v>
      </c>
      <c r="KE36" s="7">
        <f>IFERROR(AVERAGEIF('Данные 2st'!$Q$2:$Q$317,$A36,'Данные 2st'!$BM$2:$BM$317),"")</f>
        <v>-6</v>
      </c>
      <c r="KF36" s="7">
        <f>IFERROR(AVERAGEIF('Данные 2st'!$Q$2:$Q$317,$A36,'Данные 2st'!$BN$2:$BN$317),"")</f>
        <v>0</v>
      </c>
      <c r="KG36" s="7">
        <f>IFERROR(AVERAGEIF('Данные 2st'!$Q$2:$Q$317,$A36,'Данные 2st'!$BO$2:$BO$317),"")</f>
        <v>0</v>
      </c>
      <c r="KH36" s="7">
        <f>IFERROR(AVERAGEIF('Данные 2st'!$Q$2:$Q$317,$A36,'Данные 2st'!$BP$2:$BP$317),"")</f>
        <v>0</v>
      </c>
      <c r="KI36" s="7">
        <f>IFERROR(AVERAGEIF('Данные 2st'!$Q$2:$Q$317,$A36,'Данные 2st'!$BR$2:$BR$317),"")</f>
        <v>194</v>
      </c>
      <c r="KJ36" s="7">
        <f>IFERROR(AVERAGEIF('Данные 2st'!$Q$2:$Q$317,$A36,'Данные 2st'!$BS$2:$BS$317),"")</f>
        <v>184</v>
      </c>
      <c r="KK36" s="7">
        <f>IFERROR(AVERAGEIF('Данные 2st'!$Q$2:$Q$317,$A36,'Данные 2st'!$BT$2:$BT$317),"")</f>
        <v>1982</v>
      </c>
      <c r="KL36" s="7">
        <f>IFERROR(AVERAGEIF('Данные 2st'!$Q$2:$Q$317,$A36,'Данные 2st'!$CV$2:$CV$317),"")</f>
        <v>125.4</v>
      </c>
      <c r="KM36" s="7">
        <f>IFERROR(AVERAGEIF('Данные 2st'!$Q$2:$Q$317,$A36,'Данные 2st'!$CW$2:$CW$317),"")</f>
        <v>3</v>
      </c>
      <c r="KN36" s="7">
        <f>IFERROR(AVERAGEIF('Данные 2st'!$Q$2:$Q$317,$A36,'Данные 2st'!$CX$2:$CX$317),"")</f>
        <v>95</v>
      </c>
      <c r="KO36" s="7">
        <f>IFERROR(AVERAGEIF('Данные 2st'!$Q$2:$Q$317,$A36,'Данные 2st'!$CY$2:$CY$317),"")</f>
        <v>5</v>
      </c>
      <c r="KP36" s="7">
        <f>IFERROR(AVERAGEIF('Данные 2st'!$Q$2:$Q$317,$A36,'Данные 2st'!$CZ$2:$CZ$317),"")</f>
        <v>128</v>
      </c>
      <c r="KQ36" s="7">
        <f>IFERROR(AVERAGEIF('Данные 2st'!$Q$2:$Q$317,$A36,'Данные 2st'!$DA$2:$DA$317),"")</f>
        <v>5</v>
      </c>
      <c r="KR36" s="7">
        <f>IFERROR(AVERAGEIF('Данные 2st'!$Q$2:$Q$317,$A36,'Данные 2st'!$DB$2:$DB$317),"")</f>
        <v>11234</v>
      </c>
      <c r="KS36" s="7">
        <f>IFERROR(AVERAGEIF('Данные 2st'!$Q$2:$Q$317,$A36,'Данные 2st'!$DC$2:$DC$317),"")</f>
        <v>278</v>
      </c>
      <c r="KT36" s="7">
        <f>IFERROR(AVERAGEIF('Данные 2st'!$Q$2:$Q$317,$A36,'Данные 2st'!$DD$2:$DD$317),"")</f>
        <v>324.6</v>
      </c>
      <c r="KU36" s="7">
        <f>IFERROR(AVERAGEIF('Данные 2st'!$Q$2:$Q$317,$A36,'Данные 2st'!$DE$2:$DE$317),"")</f>
        <v>2093.4</v>
      </c>
      <c r="KV36" s="7">
        <f>IFERROR(AVERAGEIF('Данные 2st'!$Q$2:$Q$317,$A36,'Данные 2st'!$DF$2:$DF$317),"")</f>
        <v>2091</v>
      </c>
      <c r="KW36" s="7">
        <f>IFERROR(AVERAGEIF('Данные 2st'!$Q$2:$Q$317,$A36,'Данные 2st'!$DG$2:$DG$317),"")</f>
        <v>2109.8</v>
      </c>
      <c r="KX36" s="7">
        <f>IFERROR(AVERAGEIF('Данные 2st'!$Q$2:$Q$317,$A36,'Данные 2st'!$DH$2:$DH$317),"")</f>
        <v/>
      </c>
      <c r="KY36" s="7">
        <f>IFERROR(AVERAGEIF('Данные 2st'!$Q$2:$Q$317,$A36,'Данные 2st'!$DI$2:$DI$317),"")</f>
        <v/>
      </c>
      <c r="KZ36" s="7">
        <f>IFERROR(AVERAGEIF('Данные 2st'!$Q$2:$Q$317,$A36,'Данные 2st'!$DK$2:$DK$317),"")</f>
        <v>194</v>
      </c>
      <c r="LA36" s="7">
        <f>IFERROR(AVERAGEIF('Данные 2st'!$Q$2:$Q$317,$A36,'Данные 2st'!$DM$2:$DM$317),"")</f>
        <v>64.6</v>
      </c>
      <c r="LB36" s="7">
        <f>IFERROR(AVERAGEIF('Данные 2st'!$Q$2:$Q$317,$A36,'Данные 2st'!$DN$2:$DN$317),"")</f>
        <v>1.108</v>
      </c>
      <c r="LC36" s="7">
        <f>IFERROR(AVERAGEIF('Данные 2st'!$Q$2:$Q$317,$A36,'Данные 2st'!$DO$2:$DO$317),"")</f>
        <v>1</v>
      </c>
      <c r="LD36" s="7">
        <f>IFERROR(AVERAGEIF('Данные 2st'!$Q$2:$Q$317,$A36,'Данные 2st'!$DP$2:$DP$317),"")</f>
        <v>1985.6</v>
      </c>
      <c r="LE36" s="7">
        <f>IFERROR(AVERAGEIF('Данные 2st'!$Q$2:$Q$317,$A36,'Данные 2st'!$DQ$2:$DQ$317),"")</f>
        <v>837.2</v>
      </c>
      <c r="LF36" s="7">
        <f>IFERROR(AVERAGEIF('Данные 2st'!$Q$2:$Q$317,$A36,'Данные 2st'!$DS$2:$DS$317),"")</f>
        <v>184</v>
      </c>
      <c r="LG36" s="7">
        <f>IFERROR(AVERAGEIF('Данные 2st'!$Q$2:$Q$317,$A36,'Данные 2st'!$DU$2:$DU$317),"")</f>
        <v>64.6</v>
      </c>
      <c r="LH36" s="7">
        <f>IFERROR(AVERAGEIF('Данные 2st'!$Q$2:$Q$317,$A36,'Данные 2st'!$DV$2:$DV$317),"")</f>
        <v>1.108</v>
      </c>
      <c r="LI36" s="7">
        <f>IFERROR(AVERAGEIF('Данные 2st'!$Q$2:$Q$317,$A36,'Данные 2st'!$DW$2:$DW$317),"")</f>
        <v>1</v>
      </c>
      <c r="LJ36" s="7">
        <f>IFERROR(AVERAGEIF('Данные 2st'!$Q$2:$Q$317,$A36,'Данные 2st'!$DX$2:$DX$317),"")</f>
        <v>1996.6</v>
      </c>
      <c r="LK36" s="7">
        <f>IFERROR(AVERAGEIF('Данные 2st'!$Q$2:$Q$317,$A36,'Данные 2st'!$DY$2:$DY$317),"")</f>
        <v>797.8</v>
      </c>
      <c r="LL36" s="7">
        <f>IFERROR(AVERAGEIF('Данные 2st'!$Q$2:$Q$317,$A36,'Данные 2st'!$EA$2:$EA$317),"")</f>
        <v>22.6</v>
      </c>
      <c r="LM36" s="7">
        <f>IFERROR(AVERAGEIF('Данные 2st'!$Q$2:$Q$317,$A36,'Данные 2st'!$EC$2:$EC$317),"")</f>
        <v>0.7200000000000001</v>
      </c>
      <c r="LN36" s="7">
        <f>IFERROR(AVERAGEIF('Данные 2st'!$Q$2:$Q$317,$A36,'Данные 2st'!$ED$2:$ED$317),"")</f>
        <v>1985.6</v>
      </c>
      <c r="LO36" s="7">
        <f>IFERROR(AVERAGEIF('Данные 2st'!$Q$2:$Q$317,$A36,'Данные 2st'!$EE$2:$EE$317),"")</f>
        <v>67.2</v>
      </c>
      <c r="LP36" s="7">
        <f>IFERROR(AVERAGEIF('Данные 2st'!$Q$2:$Q$317,$A36,'Данные 2st'!$EG$2:$EG$317),"")</f>
        <v>6.6</v>
      </c>
      <c r="LQ36" s="7">
        <f>IFERROR(AVERAGEIF('Данные 2st'!$Q$2:$Q$317,$A36,'Данные 2st'!$EI$2:$EI$317),"")</f>
        <v>0.08</v>
      </c>
      <c r="LR36" s="7">
        <f>IFERROR(AVERAGEIF('Данные 2st'!$Q$2:$Q$317,$A36,'Данные 2st'!$EJ$2:$EJ$317),"")</f>
        <v>1990</v>
      </c>
      <c r="LS36" s="7">
        <f>IFERROR(AVERAGEIF('Данные 2st'!$Q$2:$Q$317,$A36,'Данные 2st'!$EK$2:$EK$317),"")</f>
        <v>58</v>
      </c>
      <c r="LT36" s="7">
        <f>IFERROR(AVERAGEIF('Данные 2st'!$Q$2:$Q$317,$A36,'Данные 2st'!$EM$2:$EM$317),"")</f>
        <v>12</v>
      </c>
      <c r="LU36" s="7">
        <f>IFERROR(AVERAGEIF('Данные 2st'!$Q$2:$Q$317,$A36,'Данные 2st'!$EN$2:$EN$317),"")</f>
        <v>0.5</v>
      </c>
      <c r="LV36" s="7">
        <f>IFERROR(AVERAGEIF('Данные 2st'!$Q$2:$Q$317,$A36,'Данные 2st'!$EO$2:$EO$317),"")</f>
        <v>0.948</v>
      </c>
      <c r="LW36" s="7">
        <f>IFERROR(AVERAGEIF('Данные 2st'!$Q$2:$Q$317,$A36,'Данные 2st'!$EP$2:$EP$317),"")</f>
        <v>1995.926</v>
      </c>
      <c r="LX36" s="7">
        <f>IFERROR(AVERAGEIF('Данные 2st'!$Q$2:$Q$317,$A36,'Данные 2st'!$EQ$2:$EQ$317),"")</f>
        <v>33025.694</v>
      </c>
      <c r="LY36" s="7">
        <f>IFERROR(AVERAGEIF('Данные 2st'!$Q$2:$Q$317,$A36,'Данные 2st'!$ER$2:$ER$317),"")</f>
        <v>9884.678</v>
      </c>
      <c r="LZ36" s="7">
        <f>IFERROR(AVERAGEIF('Данные 2st'!$Q$2:$Q$317,$A36,'Данные 2st'!$ES$2:$ES$317),"")</f>
        <v>0</v>
      </c>
      <c r="MA36" s="7">
        <f>IFERROR(AVERAGEIF('Данные 2st'!$Q$2:$Q$317,$A36,'Данные 2st'!$ET$2:$ET$317),"")</f>
        <v>0</v>
      </c>
      <c r="MB36" s="7">
        <f>IFERROR(AVERAGEIF('Данные 2st'!$Q$2:$Q$317,$A36,'Данные 2st'!$EU$2:$EU$317),"")</f>
        <v>1</v>
      </c>
      <c r="MC36" s="7">
        <f>IFERROR(AVERAGEIF('Данные 2st'!$Q$2:$Q$317,$A36,'Данные 2st'!$EV$2:$EV$317),"")</f>
        <v>42910.8</v>
      </c>
      <c r="MD36" s="7">
        <f>IFERROR(AVERAGEIF('Данные 2st'!$Q$2:$Q$317,$A36,'Данные 2st'!$EW$2:$EW$317),"")</f>
        <v>515.4</v>
      </c>
      <c r="ME36" s="7">
        <f>IFERROR(AVERAGEIF('Данные 2st'!$Q$2:$Q$317,$A36,'Данные 2st'!$EY$2:$EY$317),"")</f>
        <v>216</v>
      </c>
      <c r="MF36" s="7">
        <f>IFERROR(AVERAGEIF('Данные 2st'!$Q$2:$Q$317,$A36,'Данные 2st'!$FA$2:$FA$317),"")</f>
        <v>5.04</v>
      </c>
      <c r="MG36" s="7">
        <f>IFERROR(AVERAGEIF('Данные 2st'!$Q$2:$Q$317,$A36,'Данные 2st'!$FB$2:$FB$317),"")</f>
        <v>1</v>
      </c>
      <c r="MH36" s="7">
        <f>IFERROR(AVERAGEIF('Данные 2st'!$Q$2:$Q$317,$A36,'Данные 2st'!$FC$2:$FC$317),"")</f>
        <v>1</v>
      </c>
      <c r="MI36" s="7">
        <f>IFERROR(AVERAGEIF('Данные 2st'!$Q$2:$Q$317,$A36,'Данные 2st'!$FD$2:$FD$317),"")</f>
        <v>2029.4</v>
      </c>
      <c r="MJ36" s="7">
        <f>IFERROR(AVERAGEIF('Данные 2st'!$Q$2:$Q$317,$A36,'Данные 2st'!$FE$2:$FE$317),"")</f>
        <v>2329.6</v>
      </c>
      <c r="MK36" s="7">
        <f>IFERROR(AVERAGEIF('Данные 2st'!$Q$2:$Q$317,$A36,'Данные 2st'!$FG$2:$FG$317),"")</f>
        <v>216.8</v>
      </c>
      <c r="ML36" s="7">
        <f>IFERROR(AVERAGEIF('Данные 2st'!$Q$2:$Q$317,$A36,'Данные 2st'!$FI$2:$FI$317),"")</f>
        <v>3.16</v>
      </c>
      <c r="MM36" s="7">
        <f>IFERROR(AVERAGEIF('Данные 2st'!$Q$2:$Q$317,$A36,'Данные 2st'!$FJ$2:$FJ$317),"")</f>
        <v>2029.4</v>
      </c>
      <c r="MN36" s="7">
        <f>IFERROR(AVERAGEIF('Данные 2st'!$Q$2:$Q$317,$A36,'Данные 2st'!$FK$2:$FK$317),"")</f>
        <v>1590.4</v>
      </c>
      <c r="MO36" s="7">
        <f>IFERROR(AVERAGEIF('Данные 2st'!$Q$2:$Q$317,$A36,'Данные 2st'!$FP$2:$FP$317),"")</f>
        <v>2029.4</v>
      </c>
      <c r="MP36" s="7">
        <f>IFERROR(AVERAGEIF('Данные 2st'!$Q$2:$Q$317,$A36,'Данные 2st'!$FQ$2:$FQ$317),"")</f>
        <v>173</v>
      </c>
      <c r="MQ36" s="7">
        <f>IFERROR(AVERAGEIF('Данные 2st'!$Q$2:$Q$317,$A36,'Данные 2st'!$FS$2:$FS$317),"")</f>
        <v>220.8</v>
      </c>
      <c r="MR36" s="7">
        <f>IFERROR(AVERAGEIF('Данные 2st'!$Q$2:$Q$317,$A36,'Данные 2st'!$FU$2:$FU$317),"")</f>
        <v>0.4</v>
      </c>
      <c r="MS36" s="7">
        <f>IFERROR(AVERAGEIF('Данные 2st'!$Q$2:$Q$317,$A36,'Данные 2st'!$FV$2:$FV$317),"")</f>
        <v>2029.4</v>
      </c>
      <c r="MT36" s="7">
        <f>IFERROR(AVERAGEIF('Данные 2st'!$Q$2:$Q$317,$A36,'Данные 2st'!$FW$2:$FW$317),"")</f>
        <v>199.4</v>
      </c>
      <c r="MU36" s="7">
        <f>IFERROR(AVERAGEIF('Данные 2st'!$Q$2:$Q$317,$A36,'Данные 2st'!$FY$2:$FY$317),"")</f>
        <v>5</v>
      </c>
      <c r="MV36" s="7">
        <f>IFERROR(AVERAGEIF('Данные 2st'!$Q$2:$Q$317,$A36,'Данные 2st'!$GB$2:$GB$317),"")</f>
        <v>2030</v>
      </c>
      <c r="MW36" s="7">
        <f>IFERROR(AVERAGEIF('Данные 2st'!$Q$2:$Q$317,$A36,'Данные 2st'!$GC$2:$GC$317),"")</f>
        <v>19.75</v>
      </c>
      <c r="MX36" s="7">
        <f>IFERROR(AVERAGEIF('Данные 2st'!$Q$2:$Q$317,$A36,'Данные 2st'!$GD$2:$GD$317),"")</f>
        <v>4308.2</v>
      </c>
      <c r="MY36" s="7">
        <f>IFERROR(AVERAGEIF('Данные 2st'!$Q$2:$Q$317,$A36,'Данные 2st'!$GN$2:$GN$317),"")</f>
        <v/>
      </c>
      <c r="MZ36" s="7">
        <f>IFERROR(AVERAGEIF('Данные 2st'!$Q$2:$Q$317,$A36,'Данные 2st'!$GQ$2:$GQ$317),"")</f>
        <v>0</v>
      </c>
      <c r="NA36" s="7">
        <f>IFERROR(AVERAGEIF('Данные 2st'!$Q$2:$Q$317,$A36,'Данные 2st'!$GV$2:$GV$317),"")</f>
        <v>8.600000000000001</v>
      </c>
      <c r="NB36" s="7">
        <f>IFERROR(AVERAGEIF('Данные 2st'!$Q$2:$Q$317,$A36,'Данные 2st'!$GW$2:$GW$317),"")</f>
        <v>10.24</v>
      </c>
      <c r="NC36" s="7">
        <f>IFERROR(AVERAGEIF('Данные 2st'!$Q$2:$Q$317,$A36,'Данные 2st'!$GX$2:$GX$317),"")</f>
        <v>0.5</v>
      </c>
      <c r="ND36" s="7">
        <f>IFERROR(AVERAGEIF('Данные 2st'!$Q$2:$Q$317,$A36,'Данные 2st'!$GY$2:$GY$317),"")</f>
        <v>179.2</v>
      </c>
      <c r="NE36" s="7">
        <f>IFERROR(AVERAGEIF('Данные 2st'!$Q$2:$Q$317,$A36,'Данные 2st'!$GZ$2:$GZ$317),"")</f>
        <v>3</v>
      </c>
      <c r="NF36" s="7">
        <f>IFERROR(AVERAGEIF('Данные 2st'!$Q$2:$Q$317,$A36,'Данные 2st'!$HA$2:$HA$317),"")</f>
        <v>236.4</v>
      </c>
      <c r="NG36" s="7">
        <f>IFERROR(AVERAGEIF('Данные 2st'!$Q$2:$Q$317,$A36,'Данные 2st'!$HB$2:$HB$317),"")</f>
        <v>3</v>
      </c>
      <c r="NH36" s="7">
        <f>IFERROR(AVERAGEIF('Данные 2st'!$Q$2:$Q$317,$A36,'Данные 2st'!$HC$2:$HC$317),"")</f>
        <v>2029.4</v>
      </c>
      <c r="NI36" s="7">
        <f>IFERROR(AVERAGEIF('Данные 2st'!$Q$2:$Q$317,$A36,'Данные 2st'!$HD$2:$HD$317),"")</f>
        <v>4</v>
      </c>
      <c r="NJ36" s="7">
        <f>IFERROR(AVERAGEIF('Данные 2st'!$Q$2:$Q$317,$A36,'Данные 2st'!$HM$2:$HM$317),"")</f>
        <v>17</v>
      </c>
      <c r="NK36" s="7">
        <f>IFERROR(AVERAGEIF('Данные 2st'!$Q$2:$Q$317,$A36,'Данные 2st'!$HR$2:$HR$317),"")</f>
        <v>2.4</v>
      </c>
      <c r="NL36" s="7">
        <f>IFERROR(AVERAGEIF('Данные 2st'!$Q$2:$Q$317,$A36,'Данные 2st'!$HS$2:$HS$317),"")</f>
        <v>1982</v>
      </c>
      <c r="NM36" s="7">
        <f>IFERROR(AVERAGEIF('Данные 2st'!$Q$2:$Q$317,$A36,'Данные 2st'!$HT$2:$HT$317),"")</f>
        <v>5</v>
      </c>
      <c r="NN36" s="7">
        <f>IFERROR(AVERAGEIF('Данные 2st'!$Q$2:$Q$317,$A36,'Данные 2st'!$HY$2:$HY$317),"")</f>
        <v>0</v>
      </c>
      <c r="NO36" s="7">
        <f>IFERROR(AVERAGEIF('Данные 2st'!$Q$2:$Q$317,$A36,'Данные 2st'!$HZ$2:$HZ$317),"")</f>
        <v>64.6</v>
      </c>
      <c r="NP36" s="7">
        <f>IFERROR(AVERAGEIF('Данные 2st'!$Q$2:$Q$317,$A36,'Данные 2st'!$IA$2:$IA$317),"")</f>
        <v>1985.6</v>
      </c>
      <c r="NQ36" s="7">
        <f>IFERROR(AVERAGEIF('Данные 2st'!$Q$2:$Q$317,$A36,'Данные 2st'!$IB$2:$IB$317),"")</f>
        <v>1996.6</v>
      </c>
      <c r="NR36" s="7">
        <f>IFERROR(AVERAGEIF('Данные 2st'!$Q$2:$Q$317,$A36,'Данные 2st'!$IC$2:$IC$317),"")</f>
        <v/>
      </c>
      <c r="NS36" s="7">
        <f>IFERROR(AVERAGEIF('Данные 2st'!$Q$2:$Q$317,$A36,'Данные 2st'!$ID$2:$ID$317),"")</f>
        <v>2029.4</v>
      </c>
      <c r="NT36" s="7">
        <f>IFERROR(AVERAGEIF('Данные 2st'!$Q$2:$Q$317,$A36,'Данные 2st'!$IE$2:$IE$317),"")</f>
        <v>2029.4</v>
      </c>
      <c r="NU36" s="7">
        <f>IFERROR(AVERAGEIF('Данные 2st'!$Q$2:$Q$317,$A36,'Данные 2st'!$IF$2:$IF$317),"")</f>
        <v>194</v>
      </c>
      <c r="NV36" s="7">
        <f>IFERROR(AVERAGEIF('Данные 2st'!$Q$2:$Q$317,$A36,'Данные 2st'!$IG$2:$IG$317),"")</f>
        <v>184</v>
      </c>
      <c r="NW36" s="7">
        <f>IFERROR(AVERAGEIF('Данные 2st'!$Q$2:$Q$317,$A36,'Данные 2st'!$IH$2:$IH$317),"")</f>
        <v>236.4</v>
      </c>
      <c r="NX36" s="7">
        <f>IFERROR(AVERAGEIF('Данные 2st'!$Q$2:$Q$317,$A36,'Данные 2st'!$IJ$2:$IJ$317),"")</f>
        <v>6</v>
      </c>
      <c r="NY36" s="7">
        <f>IFERROR(AVERAGEIF('Данные 2st'!$Q$2:$Q$317,$A36,'Данные 2st'!$IM$2:$IM$317),"")</f>
        <v>0</v>
      </c>
      <c r="NZ36" s="7">
        <f>IFERROR(AVERAGEIF('Данные 2st'!$Q$2:$Q$317,$A36,'Данные 2st'!$IN$2:$IN$317),"")</f>
        <v>270</v>
      </c>
      <c r="OA36" s="7">
        <f>IFERROR(AVERAGEIF('Данные 2st'!$Q$2:$Q$317,$A36,'Данные 2st'!$IO$2:$IO$317),"")</f>
        <v>0</v>
      </c>
      <c r="OB36" s="7">
        <f>IFERROR(AVERAGEIF('Данные 2st'!$Q$2:$Q$317,$A36,'Данные 2st'!$IP$2:$IP$317),"")</f>
        <v>180</v>
      </c>
      <c r="OC36" s="7">
        <f>IFERROR(AVERAGEIF('Данные 2st'!$Q$2:$Q$317,$A36,'Данные 2st'!$IQ$2:$IQ$317),"")</f>
        <v>0</v>
      </c>
      <c r="OD36" s="7">
        <f>IFERROR(AVERAGEIF('Данные 2st'!$Q$2:$Q$317,$A36,'Данные 2st'!$IR$2:$IR$317),"")</f>
        <v>327</v>
      </c>
      <c r="OE36" s="7">
        <f>IFERROR(AVERAGEIF('Данные 2st'!$Q$2:$Q$317,$A36,'Данные 2st'!$IT$2:$IT$317),"")</f>
        <v>90</v>
      </c>
      <c r="OF36" s="7">
        <f>IFERROR(AVERAGEIF('Данные 2st'!$Q$2:$Q$317,$A36,'Данные 2st'!$IU$2:$IU$317),"")</f>
        <v>0</v>
      </c>
      <c r="OG36" s="7">
        <f>IFERROR(AVERAGEIF('Данные 2st'!$Q$2:$Q$317,$A36,'Данные 2st'!$IV$2:$IV$317),"")</f>
        <v>6.4</v>
      </c>
      <c r="OH36" s="7">
        <f>IFERROR(AVERAGEIF('Данные 2st'!$Q$2:$Q$317,$A36,'Данные 2st'!$IW$2:$IW$317),"")</f>
        <v>-6</v>
      </c>
      <c r="OI36" s="7">
        <f>IFERROR(AVERAGEIF('Данные 2st'!$Q$2:$Q$317,$A36,'Данные 2st'!$IX$2:$IX$317),"")</f>
        <v>99.9</v>
      </c>
      <c r="OJ36" s="7">
        <f>IFERROR(AVERAGEIF('Данные 2st'!$Q$2:$Q$317,$A36,'Данные 2st'!$IY$2:$IY$317),"")</f>
        <v>68.3</v>
      </c>
      <c r="OK36" s="7">
        <f>IFERROR(AVERAGEIF('Данные 2st'!$Q$2:$Q$317,$A36,'Данные 2st'!$IZ$2:$IZ$317),"")</f>
        <v>0</v>
      </c>
      <c r="OL36" s="7">
        <f>IFERROR(AVERAGEIF('Данные 2st'!$Q$2:$Q$317,$A36,'Данные 2st'!$JA$2:$JA$317),"")</f>
        <v>0</v>
      </c>
      <c r="OM36" s="7">
        <f>IFERROR(AVERAGEIF('Данные 2st'!$Q$2:$Q$317,$A36,'Данные 2st'!$JB$2:$JB$317),"")</f>
        <v>0</v>
      </c>
      <c r="ON36" s="7">
        <f>IFERROR(AVERAGEIF('Данные 2st'!$Q$2:$Q$317,$A36,'Данные 2st'!$JC$2:$JC$317),"")</f>
        <v>0</v>
      </c>
      <c r="OO36" s="7">
        <f>IFERROR(AVERAGEIF('Данные 2st'!$Q$2:$Q$317,$A36,'Данные 2st'!$JD$2:$JD$317),"")</f>
        <v>0</v>
      </c>
      <c r="OP36" s="7">
        <f>IFERROR(AVERAGEIF('Данные 2st'!$Q$2:$Q$317,$A36,'Данные 2st'!$JE$2:$JE$317),"")</f>
        <v>0</v>
      </c>
      <c r="OQ36" s="7">
        <f>IFERROR(AVERAGEIF('Данные 2st'!$Q$2:$Q$317,$A36,'Данные 2st'!$JF$2:$JF$317),"")</f>
        <v>0</v>
      </c>
      <c r="OR36" s="7">
        <f>IFERROR(AVERAGEIF('Данные 2st'!$Q$2:$Q$317,$A36,'Данные 2st'!$JG$2:$JG$317),"")</f>
        <v>0</v>
      </c>
      <c r="OS36" s="7">
        <f>IFERROR(AVERAGEIF('Данные 2st'!$Q$2:$Q$317,$A36,'Данные 2st'!$JH$2:$JH$317),"")</f>
        <v>0</v>
      </c>
      <c r="OT36" s="7">
        <f>IFERROR(AVERAGEIF('Данные 2st'!$Q$2:$Q$317,$A36,'Данные 2st'!$JI$2:$JI$317),"")</f>
        <v>383.6</v>
      </c>
      <c r="OU36" s="7">
        <f>IFERROR(AVERAGEIF('Данные 2st'!$Q$2:$Q$317,$A36,'Данные 2st'!$JJ$2:$JJ$317),"")</f>
        <v>356.4</v>
      </c>
      <c r="OV36" s="7">
        <f>IFERROR(AVERAGEIF('Данные 2st'!$Q$2:$Q$317,$A36,'Данные 2st'!$JK$2:$JK$317),"")</f>
        <v>258</v>
      </c>
      <c r="OW36" s="7">
        <f>IFERROR(AVERAGEIF('Данные 2st'!$Q$2:$Q$317,$A36,'Данные 2st'!$JL$2:$JL$317),"")</f>
        <v>354.4</v>
      </c>
      <c r="OX36" s="7">
        <f>IFERROR(AVERAGEIF('Данные 2st'!$Q$2:$Q$317,$A36,'Данные 2st'!$JM$2:$JM$317),"")</f>
        <v>268.4</v>
      </c>
      <c r="OY36" s="7">
        <f>IFERROR(AVERAGEIF('Данные 2st'!$Q$2:$Q$317,$A36,'Данные 2st'!$JP$2:$JP$317),"")</f>
        <v>212</v>
      </c>
      <c r="OZ36" s="7">
        <f>IFERROR(AVERAGEIF('Данные 2st'!$Q$2:$Q$317,$A36,'Данные 2st'!$JQ$2:$JQ$317),"")</f>
        <v>247.4</v>
      </c>
      <c r="PA36" s="7">
        <f>IFERROR(AVERAGEIF('Данные 2st'!$Q$2:$Q$317,$A36,'Данные 2st'!$JR$2:$JR$317),"")</f>
        <v>336.6</v>
      </c>
      <c r="PB36" s="7">
        <f>IFERROR(AVERAGEIF('Данные 2st'!$Q$2:$Q$317,$A36,'Данные 2st'!$JS$2:$JS$317),"")</f>
        <v>257.4</v>
      </c>
      <c r="PC36" s="7">
        <f>IFERROR(AVERAGEIF('Данные 2st'!$Q$2:$Q$317,$A36,'Данные 2st'!$JT$2:$JT$317),"")</f>
        <v>0</v>
      </c>
      <c r="PD36" s="7">
        <f>IFERROR(AVERAGEIF('Данные 2st'!$Q$2:$Q$317,$A36,'Данные 2st'!$JU$2:$JU$317),"")</f>
        <v>0</v>
      </c>
      <c r="PE36" s="7">
        <f>IFERROR(AVERAGEIF('Данные 2st'!$Q$2:$Q$317,$A36,'Данные 2st'!$JV$2:$JV$317),"")</f>
        <v>328</v>
      </c>
      <c r="PF36" s="7">
        <f>IFERROR(AVERAGEIF('Данные 2st'!$Q$2:$Q$317,$A36,'Данные 2st'!$JW$2:$JW$317),"")</f>
        <v>332</v>
      </c>
      <c r="PG36" s="7">
        <f>IFERROR(AVERAGEIF('Данные 2st'!$Q$2:$Q$317,$A36,'Данные 2st'!$KF$2:$KF$317),"")</f>
        <v>0.172</v>
      </c>
      <c r="PH36" s="7">
        <f>IFERROR(AVERAGEIF('Данные 2st'!$Q$2:$Q$317,$A36,'Данные 2st'!$KG$2:$KG$317),"")</f>
        <v>0.10400000000000001</v>
      </c>
      <c r="PI36" s="7">
        <f>IFERROR(AVERAGEIF('Данные 2st'!$Q$2:$Q$317,$A36,'Данные 2st'!$KM$2:$KM$317),"")</f>
        <v>1.3</v>
      </c>
      <c r="PJ36" s="7">
        <f>IFERROR(AVERAGEIF('Данные 2st'!$Q$2:$Q$317,$A36,'Данные 2st'!$KN$2:$KN$317),"")</f>
        <v>1.48</v>
      </c>
      <c r="PK36" s="7">
        <f>IFERROR(AVERAGEIF('Данные 2st'!$Q$2:$Q$317,$A36,'Данные 2st'!$KO$2:$KO$317),"")</f>
        <v>0</v>
      </c>
      <c r="PL36" s="7">
        <f>IFERROR(AVERAGEIF('Данные 2st'!$Q$2:$Q$317,$A36,'Данные 2st'!$KP$2:$KP$317),"")</f>
        <v>0</v>
      </c>
      <c r="PM36" s="7">
        <f>IFERROR(AVERAGEIF('Данные 2st'!$Q$2:$Q$317,$A36,'Данные 2st'!$KQ$2:$KQ$317),"")</f>
        <v>1.0</v>
      </c>
      <c r="PN36" s="7">
        <f>IFERROR(AVERAGEIF('Данные 2st'!$Q$2:$Q$317,$A36,'Данные 2st'!$KR$2:$KR$317),"")</f>
        <v>0.78</v>
      </c>
      <c r="PO36" s="7">
        <f>IFERROR(AVERAGEIF('Данные 2st'!$Q$2:$Q$317,$A36,'Данные 2st'!$KS$2:$KS$317),"")</f>
        <v>0.04</v>
      </c>
      <c r="PP36" s="7">
        <f>IFERROR(AVERAGEIF('Данные 2st'!$Q$2:$Q$317,$A36,'Данные 2st'!$KT$2:$KT$317),"")</f>
        <v>1.9400000000000002</v>
      </c>
      <c r="PQ36" s="7">
        <f>IFERROR(AVERAGEIF('Данные 2st'!$Q$2:$Q$317,$A36,'Данные 2st'!$KU$2:$KU$317),"")</f>
        <v>0</v>
      </c>
      <c r="PR36" s="7">
        <f>IFERROR(AVERAGEIF('Данные 2st'!$Q$2:$Q$317,$A36,'Данные 2st'!$KV$2:$KV$317),"")</f>
        <v>0</v>
      </c>
      <c r="PS36" s="7">
        <f>IFERROR(AVERAGEIF('Данные 2st'!$Q$2:$Q$317,$A36,'Данные 2st'!$KW$2:$KW$317),"")</f>
        <v>1.2</v>
      </c>
      <c r="PT36" s="7">
        <f>IFERROR(AVERAGEIF('Данные 2st'!$Q$2:$Q$317,$A36,'Данные 2st'!$KX$2:$KX$317),"")</f>
        <v>2</v>
      </c>
      <c r="PU36" s="7">
        <f>IFERROR(AVERAGEIF('Данные 2st'!$Q$2:$Q$317,$A36,'Данные 2st'!$KY$2:$KY$317),"")</f>
        <v>0.2</v>
      </c>
      <c r="PV36" s="7">
        <f>IFERROR(AVERAGEIF('Данные 2st'!$Q$2:$Q$317,$A36,'Данные 2st'!$KZ$2:$KZ$317),"")</f>
        <v>0</v>
      </c>
      <c r="PW36" s="7">
        <f>IFERROR(AVERAGEIF('Данные 2st'!$Q$2:$Q$317,$A36,'Данные 2st'!$LA$2:$LA$317),"")</f>
        <v>0</v>
      </c>
      <c r="PX36" s="7">
        <f>IFERROR(AVERAGEIF('Данные 2st'!$Q$2:$Q$317,$A36,'Данные 2st'!$LB$2:$LB$317),"")</f>
        <v>0</v>
      </c>
      <c r="PY36" s="7">
        <f>IFERROR(AVERAGEIF('Данные 2st'!$Q$2:$Q$317,$A36,'Данные 2st'!$LC$2:$LC$317),"")</f>
        <v>0</v>
      </c>
      <c r="PZ36" s="7">
        <f>IFERROR(AVERAGEIF('Данные 2st'!$Q$2:$Q$317,$A36,'Данные 2st'!$LD$2:$LD$317),"")</f>
        <v>0</v>
      </c>
      <c r="QA36" s="7">
        <f>IFERROR(AVERAGEIF('Данные 2st'!$Q$2:$Q$317,$A36,'Данные 2st'!$LE$2:$LE$317),"")</f>
        <v>0</v>
      </c>
      <c r="QB36" s="7">
        <f>IFERROR(AVERAGEIF('Данные 2st'!$Q$2:$Q$317,$A36,'Данные 2st'!$LF$2:$LF$317),"")</f>
        <v>0</v>
      </c>
      <c r="QC36" s="7">
        <f>IFERROR(AVERAGEIF('Данные 2st'!$Q$2:$Q$317,$A36,'Данные 2st'!$LG$2:$LG$317),"")</f>
        <v>0</v>
      </c>
      <c r="QD36" s="7">
        <f>IFERROR(AVERAGEIF('Данные 2st'!$Q$2:$Q$317,$A36,'Данные 2st'!$LH$2:$LH$317),"")</f>
        <v>2.4</v>
      </c>
      <c r="QE36" s="7">
        <f>IFERROR(AVERAGEIF('Данные 2st'!$Q$2:$Q$317,$A36,'Данные 2st'!$LJ$2:$LJ$317),"")</f>
        <v>0</v>
      </c>
      <c r="QF36" s="7">
        <f>IFERROR(AVERAGEIF('Данные 2st'!$Q$2:$Q$317,$A36,'Данные 2st'!$LK$2:$LK$317),"")</f>
        <v>5</v>
      </c>
      <c r="QG36" s="7">
        <f>IFERROR(AVERAGEIF('Данные 2st'!$Q$2:$Q$317,$A36,'Данные 2st'!$LL$2:$LL$317),"")</f>
        <v>7.4</v>
      </c>
      <c r="QH36" s="7">
        <f>IFERROR(AVERAGEIF('Данные 2st'!$Q$2:$Q$317,$A36,'Данные 2st'!$LM$2:$LM$317),"")</f>
        <v>6.6</v>
      </c>
      <c r="QI36" s="7">
        <f>IFERROR(AVERAGEIF('Данные 2st'!$Q$2:$Q$317,$A36,'Данные 2st'!$LN$2:$LN$317),"")</f>
        <v>0.38</v>
      </c>
      <c r="QJ36" s="7">
        <f>IFERROR(AVERAGEIF('Данные 2st'!$Q$2:$Q$317,$A36,'Данные 2st'!$LO$2:$LO$317),"")</f>
        <v>0.98</v>
      </c>
      <c r="QK36" s="7">
        <f>IFERROR(AVERAGEIF('Данные 2st'!$Q$2:$Q$317,$A36,'Данные 2st'!$LP$2:$LP$317),"")</f>
        <v>0</v>
      </c>
      <c r="QL36" s="7">
        <f>IFERROR(AVERAGEIF('Данные 2st'!$Q$2:$Q$317,$A36,'Данные 2st'!$LQ$2:$LQ$317),"")</f>
        <v>0</v>
      </c>
      <c r="QM36" s="7">
        <f>IFERROR(AVERAGEIF('Данные 2st'!$Q$2:$Q$317,$A36,'Данные 2st'!$LW$2:$LW$317),"")</f>
        <v>1.8</v>
      </c>
      <c r="QN36" s="7">
        <f>IFERROR(AVERAGEIF('Данные 2st'!$Q$2:$Q$317,$A36,'Данные 2st'!$LX$2:$LX$317),"")</f>
        <v>1.8</v>
      </c>
      <c r="QO36" s="7">
        <f>IFERROR(AVERAGEIF('Данные 2st'!$Q$2:$Q$317,$A36,'Данные 2st'!$LY$2:$LY$317),"")</f>
        <v>2.12</v>
      </c>
      <c r="QP36" s="7">
        <f>IFERROR(AVERAGEIF('Данные 2st'!$Q$2:$Q$317,$A36,'Данные 2st'!$LZ$2:$LZ$317),"")</f>
        <v>2.12</v>
      </c>
      <c r="QQ36" s="7">
        <f>IFERROR(AVERAGEIF('Данные 2st'!$Q$2:$Q$317,$A36,'Данные 2st'!$MB$2:$MB$317),"")</f>
        <v>4</v>
      </c>
      <c r="QR36" s="7">
        <f>IFERROR(AVERAGEIF('Данные 2st'!$Q$2:$Q$317,$A36,'Данные 2st'!$MG$2:$MG$317),"")</f>
        <v>0</v>
      </c>
      <c r="QS36" s="7">
        <f>IFERROR(AVERAGEIF('Данные 2st'!$Q$2:$Q$317,$A36,'Данные 2st'!$MH$2:$MH$317),"")</f>
        <v>0</v>
      </c>
      <c r="QT36" s="7">
        <f>IFERROR(AVERAGEIF('Данные 2st'!$Q$2:$Q$317,$A36,'Данные 2st'!$MI$2:$MI$317),"")</f>
        <v>0</v>
      </c>
      <c r="QU36" s="7">
        <f>IFERROR(AVERAGEIF('Данные 2st'!$Q$2:$Q$317,$A36,'Данные 2st'!$MJ$2:$MJ$317),"")</f>
        <v>0</v>
      </c>
      <c r="QV36" s="7">
        <f>IFERROR(AVERAGEIF('Данные 2st'!$Q$2:$Q$317,$A36,'Данные 2st'!$MK$2:$MK$317),"")</f>
        <v>0</v>
      </c>
      <c r="QW36" s="7">
        <f>IFERROR(AVERAGEIF('Данные 2st'!$Q$2:$Q$317,$A36,'Данные 2st'!$MM$2:$MM$317),"")</f>
        <v>405</v>
      </c>
      <c r="QX36" s="7">
        <f>IFERROR(AVERAGEIF('Данные 2st'!$Q$2:$Q$317,$A36,'Данные 2st'!$MQ$2:$MQ$317),"")</f>
        <v/>
      </c>
      <c r="QY36" s="7">
        <f>IFERROR(AVERAGEIF('Данные 2st'!$Q$2:$Q$317,$A36,'Данные 2st'!$MR$2:$MR$317),"")</f>
        <v/>
      </c>
      <c r="QZ36" s="7">
        <f>IFERROR(AVERAGEIF('Данные 2st'!$Q$2:$Q$317,$A36,'Данные 2st'!$MS$2:$MS$317),"")</f>
        <v/>
      </c>
      <c r="RA36" s="7">
        <f>IFERROR(AVERAGEIF('Данные 2st'!$Q$2:$Q$317,$A36,'Данные 2st'!$MT$2:$MT$317),"")</f>
        <v/>
      </c>
      <c r="RB36" s="7">
        <f>IFERROR(AVERAGEIF('Данные 2st'!$Q$2:$Q$317,$A36,'Данные 2st'!$MU$2:$MU$317),"")</f>
        <v/>
      </c>
      <c r="RC36" s="7">
        <f>IFERROR(AVERAGEIF('Данные 2st'!$Q$2:$Q$317,$A36,'Данные 2st'!$MV$2:$MV$317),"")</f>
        <v/>
      </c>
      <c r="RD36" s="7">
        <f>IFERROR(AVERAGEIF('Данные 2st'!$Q$2:$Q$317,$A36,'Данные 2st'!$MW$2:$MW$317),"")</f>
        <v/>
      </c>
      <c r="RE36" s="7">
        <f>IFERROR(AVERAGEIF('Данные 2st'!$Q$2:$Q$317,$A36,'Данные 2st'!$MX$2:$MX$317),"")</f>
        <v/>
      </c>
      <c r="RF36" s="7">
        <f>IFERROR(AVERAGEIF('Данные 2st'!$Q$2:$Q$317,$A36,'Данные 2st'!$MY$2:$MY$317),"")</f>
        <v/>
      </c>
      <c r="RG36" s="7">
        <f>IFERROR(AVERAGEIF('Данные 2st'!$Q$2:$Q$317,$A36,'Данные 2st'!$MZ$2:$MZ$317),"")</f>
        <v/>
      </c>
      <c r="RH36" s="7">
        <f>IFERROR(AVERAGEIF('Данные 2st'!$Q$2:$Q$317,$A36,'Данные 2st'!$NA$2:$NA$317),"")</f>
        <v/>
      </c>
      <c r="RI36" s="7">
        <f>IFERROR(AVERAGEIF('Данные 2st'!$Q$2:$Q$317,$A36,'Данные 2st'!$NB$2:$NB$317),"")</f>
        <v/>
      </c>
      <c r="RJ36" s="7">
        <f>IFERROR(AVERAGEIF('Данные 2st'!$Q$2:$Q$317,$A36,'Данные 2st'!$NC$2:$NC$317),"")</f>
        <v/>
      </c>
      <c r="RK36" s="7">
        <f>IFERROR(AVERAGEIF('Данные 2st'!$Q$2:$Q$317,$A36,'Данные 2st'!$ND$2:$ND$317),"")</f>
        <v/>
      </c>
      <c r="RL36" s="7">
        <f>IFERROR(AVERAGEIF('Данные 2st'!$Q$2:$Q$317,$A36,'Данные 2st'!$NE$2:$NE$317),"")</f>
        <v/>
      </c>
      <c r="RM36" s="7">
        <f>IFERROR(AVERAGEIF('Данные 2st'!$Q$2:$Q$317,$A36,'Данные 2st'!$NF$2:$NF$317),"")</f>
        <v/>
      </c>
      <c r="RN36" s="7">
        <f>IFERROR(AVERAGEIF('Данные 2st'!$Q$2:$Q$317,$A36,'Данные 2st'!$NG$2:$NG$317),"")</f>
        <v/>
      </c>
      <c r="RO36" s="7">
        <f>IFERROR(AVERAGEIF('Данные 2st'!$Q$2:$Q$317,$A36,'Данные 2st'!$NH$2:$NH$317),"")</f>
        <v/>
      </c>
      <c r="RP36" s="7">
        <f>IFERROR(AVERAGEIF('Данные 2st'!$Q$2:$Q$317,$A36,'Данные 2st'!$NJ$2:$NJ$317),"")</f>
        <v/>
      </c>
      <c r="RQ36" s="7">
        <f>IFERROR(AVERAGEIF('Данные 2st'!$Q$2:$Q$317,$A36,'Данные 2st'!$NK$2:$NK$317),"")</f>
        <v/>
      </c>
      <c r="RR36" s="7">
        <f>IFERROR(AVERAGEIF('Данные 2st'!$Q$2:$Q$317,$A36,'Данные 2st'!$NM$2:$NM$317),"")</f>
        <v/>
      </c>
      <c r="RS36" s="7">
        <f>IFERROR(AVERAGEIF('Данные 2st'!$Q$2:$Q$317,$A36,'Данные 2st'!$NN$2:$NN$317),"")</f>
        <v/>
      </c>
      <c r="RT36" s="7">
        <f>IFERROR(AVERAGEIF('Данные 2st'!$Q$2:$Q$317,$A36,'Данные 2st'!$NO$2:$NO$317),"")</f>
        <v/>
      </c>
      <c r="RU36" s="7">
        <f>IFERROR(AVERAGEIF('Данные 2st'!$Q$2:$Q$317,$A36,'Данные 2st'!$NP$2:$NP$317),"")</f>
        <v/>
      </c>
      <c r="RV36" s="7">
        <f>IFERROR(AVERAGEIF('Данные 2st'!$Q$2:$Q$317,$A36,'Данные 2st'!$NQ$2:$NQ$317),"")</f>
        <v/>
      </c>
      <c r="RW36" s="7">
        <f>IFERROR(AVERAGEIF('Данные 2st'!$Q$2:$Q$317,$A36,'Данные 2st'!$NR$2:$NR$317),"")</f>
        <v/>
      </c>
      <c r="RX36" s="7">
        <f>IFERROR(AVERAGEIF('Данные 2st'!$Q$2:$Q$317,$A36,'Данные 2st'!$NS$2:$NS$317),"")</f>
        <v/>
      </c>
      <c r="RY36" s="7">
        <f>IFERROR(AVERAGEIF('Данные 2st'!$Q$2:$Q$317,$A36,'Данные 2st'!$NT$2:$NT$317),"")</f>
        <v/>
      </c>
      <c r="RZ36" s="7">
        <f>IFERROR(AVERAGEIF('Данные 2st'!$Q$2:$Q$317,$A36,'Данные 2st'!$OK$2:$OK$317),"")</f>
        <v>61</v>
      </c>
      <c r="SA36" s="7">
        <f>IFERROR(AVERAGEIF('Данные 2st'!$Q$2:$Q$317,$A36,'Данные 2st'!$OL$2:$OL$317),"")</f>
        <v>61</v>
      </c>
      <c r="SB36" s="7">
        <f>IFERROR(AVERAGEIF('Данные 2st'!$Q$2:$Q$317,$A36,'Данные 2st'!$ON$2:$ON$317),"")</f>
        <v>1.6</v>
      </c>
      <c r="SC36" s="7">
        <f>IFERROR(AVERAGEIF('Данные 2st'!$Q$2:$Q$317,$A36,'Данные 2st'!$OO$2:$OO$317),"")</f>
        <v>1985.6</v>
      </c>
      <c r="SD36" s="7">
        <f>IFERROR(AVERAGEIF('Данные 2st'!$Q$2:$Q$317,$A36,'Данные 2st'!$OP$2:$OP$317),"")</f>
        <v>61</v>
      </c>
      <c r="SE36" s="7">
        <f>IFERROR(AVERAGEIF('Данные 2st'!$Q$2:$Q$317,$A36,'Данные 2st'!$OQ$2:$OQ$317),"")</f>
        <v>61</v>
      </c>
      <c r="SF36" s="7">
        <f>IFERROR(AVERAGEIF('Данные 2st'!$Q$2:$Q$317,$A36,'Данные 2st'!$OS$2:$OS$317),"")</f>
        <v>1.6</v>
      </c>
      <c r="SG36" s="7">
        <f>IFERROR(AVERAGEIF('Данные 2st'!$Q$2:$Q$317,$A36,'Данные 2st'!$OT$2:$OT$317),"")</f>
        <v>1996.6</v>
      </c>
      <c r="SH36" s="7">
        <f>IFERROR(AVERAGEIF('Данные 2st'!$Q$2:$Q$317,$A36,'Данные 2st'!$OU$2:$OU$317),"")</f>
        <v>65</v>
      </c>
      <c r="SI36" s="7">
        <f>IFERROR(AVERAGEIF('Данные 2st'!$Q$2:$Q$317,$A36,'Данные 2st'!$OV$2:$OV$317),"")</f>
        <v>65</v>
      </c>
      <c r="SJ36" s="7">
        <f>IFERROR(AVERAGEIF('Данные 2st'!$Q$2:$Q$317,$A36,'Данные 2st'!$OX$2:$OX$317),"")</f>
        <v>1.4</v>
      </c>
      <c r="SK36" s="7">
        <f>IFERROR(AVERAGEIF('Данные 2st'!$Q$2:$Q$317,$A36,'Данные 2st'!$OY$2:$OY$317),"")</f>
        <v>42910.8</v>
      </c>
      <c r="SL36" s="7">
        <f>IFERROR(AVERAGEIF('Данные 2st'!$Q$2:$Q$317,$A36,'Данные 2st'!$OZ$2:$OZ$317),"")</f>
        <v>51</v>
      </c>
      <c r="SM36" s="7">
        <f>IFERROR(AVERAGEIF('Данные 2st'!$Q$2:$Q$317,$A36,'Данные 2st'!$PA$2:$PA$317),"")</f>
        <v>51.6</v>
      </c>
      <c r="SN36" s="7">
        <f>IFERROR(AVERAGEIF('Данные 2st'!$Q$2:$Q$317,$A36,'Данные 2st'!$PC$2:$PC$317),"")</f>
        <v>1.4</v>
      </c>
      <c r="SO36" s="7">
        <f>IFERROR(AVERAGEIF('Данные 2st'!$Q$2:$Q$317,$A36,'Данные 2st'!$PD$2:$PD$317),"")</f>
        <v>2029.4</v>
      </c>
      <c r="SP36" s="7">
        <f>IFERROR(AVERAGEIF('Данные 2st'!$Q$2:$Q$317,$A36,'Данные 2st'!$PF$2:$PF$317),"")</f>
        <v>421.6</v>
      </c>
      <c r="SQ36" s="7">
        <f>IFERROR(AVERAGEIF('Данные 2st'!$Q$2:$Q$317,$A36,'Данные 2st'!$PG$2:$PG$317),"")</f>
        <v>33.8</v>
      </c>
      <c r="SR36" s="7">
        <f>IFERROR(AVERAGEIF('Данные 2st'!$Q$2:$Q$317,$A36,'Данные 2st'!$PH$2:$PH$317),"")</f>
        <v>399.6</v>
      </c>
      <c r="SS36" s="7">
        <f>IFERROR(AVERAGEIF('Данные 2st'!$Q$2:$Q$317,$A36,'Данные 2st'!$PI$2:$PI$317),"")</f>
        <v>5.8</v>
      </c>
      <c r="ST36" s="7">
        <f>IFERROR(AVERAGEIF('Данные 2st'!$Q$2:$Q$317,$A36,'Данные 2st'!$PJ$2:$PJ$317),"")</f>
        <v>85.18</v>
      </c>
      <c r="SU36" s="7">
        <f>IFERROR(AVERAGEIF('Данные 2st'!$Q$2:$Q$317,$A36,'Данные 2st'!$PK$2:$PK$317),"")</f>
        <v>1968</v>
      </c>
      <c r="SV36" s="7">
        <f>IFERROR(AVERAGEIF('Данные 2st'!$Q$2:$Q$317,$A36,'Данные 2st'!$PL$2:$PL$317),"")</f>
        <v>1148.1399999999999</v>
      </c>
      <c r="SW36" s="7">
        <f>IFERROR(AVERAGEIF('Данные 2st'!$Q$2:$Q$317,$A36,'Данные 2st'!$PM$2:$PM$317),"")</f>
        <v>783.46</v>
      </c>
      <c r="SX36" s="7">
        <f>IFERROR(AVERAGEIF('Данные 2st'!$Q$2:$Q$317,$A36,'Данные 2st'!$PN$2:$PN$317),"")</f>
        <v>98.25999999999999</v>
      </c>
      <c r="SY36" s="7">
        <f>IFERROR(AVERAGEIF('Данные 2st'!$Q$2:$Q$317,$A36,'Данные 2st'!$PO$2:$PO$317),"")</f>
        <v>9.725</v>
      </c>
      <c r="SZ36" s="7">
        <f>IFERROR(AVERAGEIF('Данные 2st'!$Q$2:$Q$317,$A36,'Данные 2st'!$PP$2:$PP$317),"")</f>
        <v>12</v>
      </c>
      <c r="TA36" s="7">
        <f>IFERROR(AVERAGEIF('Данные 2st'!$Q$2:$Q$317,$A36,'Данные 2st'!$PQ$2:$PQ$317),"")</f>
        <v>3</v>
      </c>
      <c r="TB36" s="7">
        <f>IFERROR(AVERAGEIF('Данные 2st'!$Q$2:$Q$317,$A36,'Данные 2st'!$PR$2:$PR$317),"")</f>
        <v>3</v>
      </c>
      <c r="TC36" s="7">
        <f>IFERROR(AVERAGEIF('Данные 2st'!$Q$2:$Q$317,$A36,'Данные 2st'!$PS$2:$PS$317),"")</f>
        <v>8</v>
      </c>
      <c r="TD36" s="7">
        <f>IFERROR(AVERAGEIF('Данные 2st'!$Q$2:$Q$317,$A36,'Данные 2st'!$PT$2:$PT$317),"")</f>
        <v>236.4</v>
      </c>
      <c r="TE36" s="7">
        <f>IFERROR(AVERAGEIF('Данные 2st'!$Q$2:$Q$317,$A36,'Данные 2st'!$PU$2:$PU$317),"")</f>
        <v>9.8</v>
      </c>
      <c r="TF36" s="7">
        <f>IFERROR(AVERAGEIF('Данные 2st'!$Q$2:$Q$317,$A36,'Данные 2st'!$PX$2:$PX$317),"")</f>
        <v>0</v>
      </c>
      <c r="TG36" s="7">
        <f>IFERROR(AVERAGEIF('Данные 2st'!$Q$2:$Q$317,$A36,'Данные 2st'!$PY$2:$PY$317),"")</f>
        <v>0</v>
      </c>
      <c r="TH36" s="7">
        <f>IFERROR(AVERAGEIF('Данные 2st'!$Q$2:$Q$317,$A36,'Данные 2st'!$PZ$2:$PZ$317),"")</f>
        <v>0</v>
      </c>
      <c r="TI36" s="7">
        <f>IFERROR(AVERAGEIF('Данные 2st'!$Q$2:$Q$317,$A36,'Данные 2st'!$QA$2:$QA$317),"")</f>
        <v>0</v>
      </c>
      <c r="TJ36" s="7">
        <f>IFERROR(AVERAGEIF('Данные 2st'!$Q$2:$Q$317,$A36,'Данные 2st'!$QB$2:$QB$317),"")</f>
        <v>0</v>
      </c>
      <c r="TK36" s="7">
        <f>IFERROR(AVERAGEIF('Данные 2st'!$Q$2:$Q$317,$A36,'Данные 2st'!$QC$2:$QC$317),"")</f>
        <v>0</v>
      </c>
      <c r="TL36" s="7">
        <f>IFERROR(AVERAGEIF('Данные 2st'!$Q$2:$Q$317,$A36,'Данные 2st'!$QD$2:$QD$317),"")</f>
        <v>0</v>
      </c>
      <c r="TM36" s="7">
        <f>IFERROR(AVERAGEIF('Данные 2st'!$Q$2:$Q$317,$A36,'Данные 2st'!$QE$2:$QE$317),"")</f>
        <v>-1</v>
      </c>
      <c r="TN36" s="7">
        <f>IFERROR(AVERAGEIF('Данные 2st'!$Q$2:$Q$317,$A36,'Данные 2st'!$QF$2:$QF$317),"")</f>
        <v>1</v>
      </c>
      <c r="TO36" s="7">
        <f>IFERROR(AVERAGEIF('Данные 2st'!$Q$2:$Q$317,$A36,'Данные 2st'!$QG$2:$QG$317),"")</f>
        <v>0</v>
      </c>
      <c r="TP36" s="7">
        <f>IFERROR(AVERAGEIF('Данные 2st'!$Q$2:$Q$317,$A36,'Данные 2st'!$QH$2:$QH$317),"")</f>
        <v>5</v>
      </c>
      <c r="TQ36" s="7">
        <f>IFERROR(AVERAGEIF('Данные 2st'!$Q$2:$Q$317,$A36,'Данные 2st'!$QI$2:$QI$317),"")</f>
        <v>5</v>
      </c>
      <c r="TR36" s="7">
        <f>IFERROR(AVERAGEIF('Данные 2st'!$Q$2:$Q$317,$A36,'Данные 2st'!$QJ$2:$QJ$317),"")</f>
        <v>5</v>
      </c>
      <c r="TS36" s="7">
        <f>IFERROR(AVERAGEIF('Данные 2st'!$Q$2:$Q$317,$A36,'Данные 2st'!$QK$2:$QK$317),"")</f>
        <v>186.2</v>
      </c>
      <c r="TT36" s="7">
        <f>IFERROR(AVERAGEIF('Данные 2st'!$Q$2:$Q$317,$A36,'Данные 2st'!$QL$2:$QL$317),"")</f>
        <v>416.8</v>
      </c>
      <c r="TU36" s="7">
        <f>IFERROR(AVERAGEIF('Данные 2st'!$Q$2:$Q$317,$A36,'Данные 2st'!$QM$2:$QM$317),"")</f>
        <v>7.5</v>
      </c>
      <c r="TV36" s="7">
        <f>IFERROR(AVERAGEIF('Данные 2st'!$Q$2:$Q$317,$A36,'Данные 2st'!$QN$2:$QN$317),"")</f>
        <v>1381.72</v>
      </c>
      <c r="TW36" s="7">
        <f>IFERROR(AVERAGEIF('Данные 2st'!$Q$2:$Q$317,$A36,'Данные 2st'!$QQ$2:$QQ$317),"")</f>
        <v>0</v>
      </c>
      <c r="TX36" s="7">
        <f>IFERROR(AVERAGEIF('Данные 2st'!$Q$2:$Q$317,$A36,'Данные 2st'!$QS$2:$QS$317),"")</f>
        <v>30</v>
      </c>
      <c r="TY36" s="7">
        <f>IFERROR(AVERAGEIF('Данные 2st'!$Q$2:$Q$317,$A36,'Данные 2st'!$QT$2:$QT$317),"")</f>
        <v>40</v>
      </c>
    </row>
    <row r="37" spans="1:545" ht="32" customHeight="1">
      <c r="A37" s="11" t="s">
        <v>660</v>
      </c>
      <c r="B37">
        <f>COUNTIF('Данные 1st'!$S$2:$S$317,$A37)</f>
        <v>5</v>
      </c>
      <c r="C37" s="6" t="s">
        <v>5102</v>
      </c>
      <c r="D37" s="6" t="s">
        <v>513</v>
      </c>
      <c r="E37" s="6" t="s">
        <v>5125</v>
      </c>
      <c r="F37" s="6" t="s">
        <v>5158</v>
      </c>
      <c r="G37" s="7">
        <f>IFERROR(AVERAGEIF('Данные 1st'!$S$2:$S$317,$A37,'Данные 1st'!$AE$2:$AE$317),"")</f>
        <v>186</v>
      </c>
      <c r="H37" s="7">
        <f>IFERROR(AVERAGEIF('Данные 1st'!$S$2:$S$317,$A37,'Данные 1st'!$AF$2:$AF$317),"")</f>
        <v>1.5</v>
      </c>
      <c r="I37" s="7">
        <f>IFERROR(AVERAGEIF('Данные 1st'!$S$2:$S$317,$A37,'Данные 1st'!$AJ$2:$AJ$317),"")</f>
        <v>197.0</v>
      </c>
      <c r="J37" s="7">
        <f>IFERROR(AVERAGEIF('Данные 1st'!$S$2:$S$317,$A37,'Данные 1st'!$AL$2:$AL$317),"")</f>
        <v>1.5</v>
      </c>
      <c r="K37" s="7">
        <f>IFERROR(AVERAGEIF('Данные 1st'!$S$2:$S$317,$A37,'Данные 1st'!$AR$2:$AR$317),"")</f>
        <v>0</v>
      </c>
      <c r="L37" s="7">
        <f>IFERROR(AVERAGEIF('Данные 1st'!$S$2:$S$317,$A37,'Данные 1st'!$AS$2:$AS$317),"")</f>
        <v>1.5</v>
      </c>
      <c r="M37" s="7">
        <f>IFERROR(AVERAGEIF('Данные 1st'!$S$2:$S$317,$A37,'Данные 1st'!$AY$2:$AY$317),"")</f>
        <v>275.5</v>
      </c>
      <c r="N37" s="7">
        <f>IFERROR(AVERAGEIF('Данные 1st'!$S$2:$S$317,$A37,'Данные 1st'!$AZ$2:$AZ$317),"")</f>
        <v>1.5</v>
      </c>
      <c r="O37" s="7">
        <f>IFERROR(AVERAGEIF('Данные 1st'!$S$2:$S$317,$A37,'Данные 1st'!$BF$2:$BF$317),"")</f>
        <v>233.75</v>
      </c>
      <c r="P37" s="7">
        <f>IFERROR(AVERAGEIF('Данные 1st'!$S$2:$S$317,$A37,'Данные 1st'!$BG$2:$BG$317),"")</f>
        <v>1.5</v>
      </c>
      <c r="Q37" s="7">
        <f>IFERROR(AVERAGEIF('Данные 1st'!$S$2:$S$317,$A37,'Данные 1st'!$BM$2:$BM$317),"")</f>
        <v/>
      </c>
      <c r="R37" s="7">
        <f>IFERROR(AVERAGEIF('Данные 1st'!$S$2:$S$317,$A37,'Данные 1st'!$BN$2:$BN$317),"")</f>
        <v>1.5</v>
      </c>
      <c r="S37" s="7">
        <f>IFERROR(AVERAGEIF('Данные 1st'!$S$2:$S$317,$A37,'Данные 1st'!$BT$2:$BT$317),"")</f>
        <v>208</v>
      </c>
      <c r="T37" s="7">
        <f>IFERROR(AVERAGEIF('Данные 1st'!$S$2:$S$317,$A37,'Данные 1st'!$BU$2:$BU$317),"")</f>
        <v>0.5</v>
      </c>
      <c r="U37" s="7">
        <f>IFERROR(AVERAGEIF('Данные 1st'!$S$2:$S$317,$A37,'Данные 1st'!$BW$2:$BW$317),"")</f>
        <v>416</v>
      </c>
      <c r="V37" s="7">
        <f>IFERROR(AVERAGEIF('Данные 1st'!$S$2:$S$317,$A37,'Данные 1st'!$BX$2:$BX$317),"")</f>
        <v>1</v>
      </c>
      <c r="W37" s="7">
        <f>IFERROR(AVERAGEIF('Данные 1st'!$S$2:$S$317,$A37,'Данные 1st'!$BZ$2:$BZ$317),"")</f>
        <v>290</v>
      </c>
      <c r="X37" s="7">
        <f>IFERROR(AVERAGEIF('Данные 1st'!$S$2:$S$317,$A37,'Данные 1st'!$CA$2:$CA$317),"")</f>
        <v>486</v>
      </c>
      <c r="Y37" s="7">
        <f>IFERROR(AVERAGEIF('Данные 1st'!$S$2:$S$317,$A37,'Данные 1st'!$CD$2:$CD$317),"")</f>
        <v>434.4</v>
      </c>
      <c r="Z37" s="7">
        <f>IFERROR(AVERAGEIF('Данные 1st'!$S$2:$S$317,$A37,'Данные 1st'!$CF$2:$CF$317),"")</f>
        <v>15</v>
      </c>
      <c r="AA37" s="7">
        <f>IFERROR(AVERAGEIF('Данные 1st'!$S$2:$S$317,$A37,'Данные 1st'!$CI$2:$CI$317),"")</f>
        <v>98</v>
      </c>
      <c r="AB37" s="7">
        <f>IFERROR(AVERAGEIF('Данные 1st'!$S$2:$S$317,$A37,'Данные 1st'!$CJ$2:$CJ$317),"")</f>
        <v>1381</v>
      </c>
      <c r="AC37" s="7">
        <f>IFERROR(AVERAGEIF('Данные 1st'!$S$2:$S$317,$A37,'Данные 1st'!$CK$2:$CK$317),"")</f>
        <v>2</v>
      </c>
      <c r="AD37" s="7">
        <f>IFERROR(AVERAGEIF('Данные 1st'!$S$2:$S$317,$A37,'Данные 1st'!$CL$2:$CL$317),"")</f>
        <v>1475</v>
      </c>
      <c r="AE37" s="7">
        <f>IFERROR(AVERAGEIF('Данные 1st'!$S$2:$S$317,$A37,'Данные 1st'!$CM$2:$CM$317),"")</f>
        <v>2</v>
      </c>
      <c r="AF37" s="7">
        <f>IFERROR(AVERAGEIF('Данные 1st'!$S$2:$S$317,$A37,'Данные 1st'!$CT$2:$CT$317),"")</f>
        <v>394</v>
      </c>
      <c r="AG37" s="7">
        <f>IFERROR(AVERAGEIF('Данные 1st'!$S$2:$S$317,$A37,'Данные 1st'!$CU$2:$CU$317),"")</f>
        <v>5</v>
      </c>
      <c r="AH37" s="7">
        <f>IFERROR(AVERAGEIF('Данные 1st'!$S$2:$S$317,$A37,'Данные 1st'!$CV$2:$CV$317),"")</f>
        <v>1.2</v>
      </c>
      <c r="AI37" s="7">
        <f>IFERROR(AVERAGEIF('Данные 1st'!$S$2:$S$317,$A37,'Данные 1st'!$CW$2:$CW$317),"")</f>
        <v>1393</v>
      </c>
      <c r="AJ37" s="7">
        <f>IFERROR(AVERAGEIF('Данные 1st'!$S$2:$S$317,$A37,'Данные 1st'!$CX$2:$CX$317),"")</f>
        <v>777.2</v>
      </c>
      <c r="AK37" s="7">
        <f>IFERROR(AVERAGEIF('Данные 1st'!$S$2:$S$317,$A37,'Данные 1st'!$CZ$2:$CZ$317),"")</f>
        <v/>
      </c>
      <c r="AL37" s="7">
        <f>IFERROR(AVERAGEIF('Данные 1st'!$S$2:$S$317,$A37,'Данные 1st'!$DA$2:$DA$317),"")</f>
        <v/>
      </c>
      <c r="AM37" s="7">
        <f>IFERROR(AVERAGEIF('Данные 1st'!$S$2:$S$317,$A37,'Данные 1st'!$DB$2:$DB$317),"")</f>
        <v/>
      </c>
      <c r="AN37" s="7">
        <f>IFERROR(AVERAGEIF('Данные 1st'!$S$2:$S$317,$A37,'Данные 1st'!$DC$2:$DC$317),"")</f>
        <v/>
      </c>
      <c r="AO37" s="7">
        <f>IFERROR(AVERAGEIF('Данные 1st'!$S$2:$S$317,$A37,'Данные 1st'!$DD$2:$DD$317),"")</f>
        <v>0</v>
      </c>
      <c r="AP37" s="7">
        <f>IFERROR(AVERAGEIF('Данные 1st'!$S$2:$S$317,$A37,'Данные 1st'!$DF$2:$DF$317),"")</f>
        <v>551</v>
      </c>
      <c r="AQ37" s="7">
        <f>IFERROR(AVERAGEIF('Данные 1st'!$S$2:$S$317,$A37,'Данные 1st'!$DG$2:$DG$317),"")</f>
        <v>3</v>
      </c>
      <c r="AR37" s="7">
        <f>IFERROR(AVERAGEIF('Данные 1st'!$S$2:$S$317,$A37,'Данные 1st'!$DH$2:$DH$317),"")</f>
        <v>1.06</v>
      </c>
      <c r="AS37" s="7">
        <f>IFERROR(AVERAGEIF('Данные 1st'!$S$2:$S$317,$A37,'Данные 1st'!$DI$2:$DI$317),"")</f>
        <v>1390.6</v>
      </c>
      <c r="AT37" s="7">
        <f>IFERROR(AVERAGEIF('Данные 1st'!$S$2:$S$317,$A37,'Данные 1st'!$DJ$2:$DJ$317),"")</f>
        <v>1104.6</v>
      </c>
      <c r="AU37" s="7">
        <f>IFERROR(AVERAGEIF('Данные 1st'!$S$2:$S$317,$A37,'Данные 1st'!$DL$2:$DL$317),"")</f>
        <v>467.5</v>
      </c>
      <c r="AV37" s="7">
        <f>IFERROR(AVERAGEIF('Данные 1st'!$S$2:$S$317,$A37,'Данные 1st'!$DM$2:$DM$317),"")</f>
        <v>3</v>
      </c>
      <c r="AW37" s="7">
        <f>IFERROR(AVERAGEIF('Данные 1st'!$S$2:$S$317,$A37,'Данные 1st'!$DN$2:$DN$317),"")</f>
        <v>0.88</v>
      </c>
      <c r="AX37" s="7">
        <f>IFERROR(AVERAGEIF('Данные 1st'!$S$2:$S$317,$A37,'Данные 1st'!$DO$2:$DO$317),"")</f>
        <v>1396</v>
      </c>
      <c r="AY37" s="7">
        <f>IFERROR(AVERAGEIF('Данные 1st'!$S$2:$S$317,$A37,'Данные 1st'!$DP$2:$DP$317),"")</f>
        <v>765.5</v>
      </c>
      <c r="AZ37" s="7">
        <f>IFERROR(AVERAGEIF('Данные 1st'!$S$2:$S$317,$A37,'Данные 1st'!$DR$2:$DR$317),"")</f>
        <v/>
      </c>
      <c r="BA37" s="7">
        <f>IFERROR(AVERAGEIF('Данные 1st'!$S$2:$S$317,$A37,'Данные 1st'!$DS$2:$DS$317),"")</f>
        <v/>
      </c>
      <c r="BB37" s="7">
        <f>IFERROR(AVERAGEIF('Данные 1st'!$S$2:$S$317,$A37,'Данные 1st'!$DT$2:$DT$317),"")</f>
        <v/>
      </c>
      <c r="BC37" s="7">
        <f>IFERROR(AVERAGEIF('Данные 1st'!$S$2:$S$317,$A37,'Данные 1st'!$DU$2:$DU$317),"")</f>
        <v/>
      </c>
      <c r="BD37" s="7">
        <f>IFERROR(AVERAGEIF('Данные 1st'!$S$2:$S$317,$A37,'Данные 1st'!$DV$2:$DV$317),"")</f>
        <v/>
      </c>
      <c r="BE37" s="7">
        <f>IFERROR(AVERAGEIF('Данные 1st'!$S$2:$S$317,$A37,'Данные 1st'!$DX$2:$DX$317),"")</f>
        <v>7.5</v>
      </c>
      <c r="BF37" s="7">
        <f>IFERROR(AVERAGEIF('Данные 1st'!$S$2:$S$317,$A37,'Данные 1st'!$EA$2:$EA$317),"")</f>
        <v>1462.3799999999999</v>
      </c>
      <c r="BG37" s="7">
        <f>IFERROR(AVERAGEIF('Данные 1st'!$S$2:$S$317,$A37,'Данные 1st'!$EB$2:$EB$317),"")</f>
        <v>275.6</v>
      </c>
      <c r="BH37" s="7">
        <f>IFERROR(AVERAGEIF('Данные 1st'!$S$2:$S$317,$A37,'Данные 1st'!$ED$2:$ED$317),"")</f>
        <v>33</v>
      </c>
      <c r="BI37" s="7">
        <f>IFERROR(AVERAGEIF('Данные 1st'!$S$2:$S$317,$A37,'Данные 1st'!$EE$2:$EE$317),"")</f>
        <v>3</v>
      </c>
      <c r="BJ37" s="7">
        <f>IFERROR(AVERAGEIF('Данные 1st'!$S$2:$S$317,$A37,'Данные 1st'!$EG$2:$EG$317),"")</f>
        <v>1505.2</v>
      </c>
      <c r="BK37" s="7">
        <f>IFERROR(AVERAGEIF('Данные 1st'!$S$2:$S$317,$A37,'Данные 1st'!$EH$2:$EH$317),"")</f>
        <v>209</v>
      </c>
      <c r="BL37" s="7">
        <f>IFERROR(AVERAGEIF('Данные 1st'!$S$2:$S$317,$A37,'Данные 1st'!$EJ$2:$EJ$317),"")</f>
        <v>0</v>
      </c>
      <c r="BM37" s="7">
        <f>IFERROR(AVERAGEIF('Данные 1st'!$S$2:$S$317,$A37,'Данные 1st'!$EK$2:$EK$317),"")</f>
        <v>1</v>
      </c>
      <c r="BN37" s="7">
        <f>IFERROR(AVERAGEIF('Данные 1st'!$S$2:$S$317,$A37,'Данные 1st'!$EN$2:$EN$317),"")</f>
        <v>0</v>
      </c>
      <c r="BO37" s="7">
        <f>IFERROR(AVERAGEIF('Данные 1st'!$S$2:$S$317,$A37,'Данные 1st'!$EQ$2:$EQ$317),"")</f>
        <v>99</v>
      </c>
      <c r="BP37" s="7">
        <f>IFERROR(AVERAGEIF('Данные 1st'!$S$2:$S$317,$A37,'Данные 1st'!$ER$2:$ER$317),"")</f>
        <v>3</v>
      </c>
      <c r="BQ37" s="7">
        <f>IFERROR(AVERAGEIF('Данные 1st'!$S$2:$S$317,$A37,'Данные 1st'!$ES$2:$ES$317),"")</f>
        <v>5.5</v>
      </c>
      <c r="BR37" s="7">
        <f>IFERROR(AVERAGEIF('Данные 1st'!$S$2:$S$317,$A37,'Данные 1st'!$ET$2:$ET$317),"")</f>
        <v>1378</v>
      </c>
      <c r="BS37" s="7">
        <f>IFERROR(AVERAGEIF('Данные 1st'!$S$2:$S$317,$A37,'Данные 1st'!$EU$2:$EU$317),"")</f>
        <v>435.52000000000004</v>
      </c>
      <c r="BT37" s="7">
        <f>IFERROR(AVERAGEIF('Данные 1st'!$S$2:$S$317,$A37,'Данные 1st'!$EV$2:$EV$317),"")</f>
        <v>600.2</v>
      </c>
      <c r="BU37" s="7">
        <f>IFERROR(AVERAGEIF('Данные 1st'!$S$2:$S$317,$A37,'Данные 1st'!$EX$2:$EX$317),"")</f>
        <v>69</v>
      </c>
      <c r="BV37" s="7">
        <f>IFERROR(AVERAGEIF('Данные 1st'!$S$2:$S$317,$A37,'Данные 1st'!$EY$2:$EY$317),"")</f>
        <v>2</v>
      </c>
      <c r="BW37" s="7">
        <f>IFERROR(AVERAGEIF('Данные 1st'!$S$2:$S$317,$A37,'Данные 1st'!$EZ$2:$EZ$317),"")</f>
        <v>4.36</v>
      </c>
      <c r="BX37" s="7">
        <f>IFERROR(AVERAGEIF('Данные 1st'!$S$2:$S$317,$A37,'Данные 1st'!$FA$2:$FA$317),"")</f>
        <v>1378</v>
      </c>
      <c r="BY37" s="7">
        <f>IFERROR(AVERAGEIF('Данные 1st'!$S$2:$S$317,$A37,'Данные 1st'!$FB$2:$FB$317),"")</f>
        <v>213.52</v>
      </c>
      <c r="BZ37" s="7">
        <f>IFERROR(AVERAGEIF('Данные 1st'!$S$2:$S$317,$A37,'Данные 1st'!$FC$2:$FC$317),"")</f>
        <v>294.4</v>
      </c>
      <c r="CA37" s="7">
        <f>IFERROR(AVERAGEIF('Данные 1st'!$S$2:$S$317,$A37,'Данные 1st'!$FE$2:$FE$317),"")</f>
        <v>0</v>
      </c>
      <c r="CB37" s="7">
        <f>IFERROR(AVERAGEIF('Данные 1st'!$S$2:$S$317,$A37,'Данные 1st'!$FF$2:$FF$317),"")</f>
        <v>2</v>
      </c>
      <c r="CC37" s="7">
        <f>IFERROR(AVERAGEIF('Данные 1st'!$S$2:$S$317,$A37,'Данные 1st'!$FI$2:$FI$317),"")</f>
        <v>0</v>
      </c>
      <c r="CD37" s="7">
        <f>IFERROR(AVERAGEIF('Данные 1st'!$S$2:$S$317,$A37,'Данные 1st'!$FL$2:$FL$317),"")</f>
        <v>0.4</v>
      </c>
      <c r="CE37" s="7">
        <f>IFERROR(AVERAGEIF('Данные 1st'!$S$2:$S$317,$A37,'Данные 1st'!$FM$2:$FM$317),"")</f>
        <v>92</v>
      </c>
      <c r="CF37" s="7">
        <f>IFERROR(AVERAGEIF('Данные 1st'!$S$2:$S$317,$A37,'Данные 1st'!$FN$2:$FN$317),"")</f>
        <v>138</v>
      </c>
      <c r="CG37" s="7">
        <f>IFERROR(AVERAGEIF('Данные 1st'!$S$2:$S$317,$A37,'Данные 1st'!$FO$2:$FO$317),"")</f>
        <v/>
      </c>
      <c r="CH37" s="7">
        <f>IFERROR(AVERAGEIF('Данные 1st'!$S$2:$S$317,$A37,'Данные 1st'!$FP$2:$FP$317),"")</f>
        <v/>
      </c>
      <c r="CI37" s="7">
        <f>IFERROR(AVERAGEIF('Данные 1st'!$S$2:$S$317,$A37,'Данные 1st'!$FS$2:$FS$317),"")</f>
        <v>0.4</v>
      </c>
      <c r="CJ37" s="7">
        <f>IFERROR(AVERAGEIF('Данные 1st'!$S$2:$S$317,$A37,'Данные 1st'!$FT$2:$FT$317),"")</f>
        <v>30</v>
      </c>
      <c r="CK37" s="7">
        <f>IFERROR(AVERAGEIF('Данные 1st'!$S$2:$S$317,$A37,'Данные 1st'!$FU$2:$FU$317),"")</f>
        <v>380</v>
      </c>
      <c r="CL37" s="7">
        <f>IFERROR(AVERAGEIF('Данные 1st'!$S$2:$S$317,$A37,'Данные 1st'!$FV$2:$FV$317),"")</f>
        <v>30</v>
      </c>
      <c r="CM37" s="7">
        <f>IFERROR(AVERAGEIF('Данные 1st'!$S$2:$S$317,$A37,'Данные 1st'!$FW$2:$FW$317),"")</f>
        <v>260</v>
      </c>
      <c r="CN37" s="7">
        <f>IFERROR(AVERAGEIF('Данные 1st'!$S$2:$S$317,$A37,'Данные 1st'!$FZ$2:$FZ$317),"")</f>
        <v>1.6</v>
      </c>
      <c r="CO37" s="7">
        <f>IFERROR(AVERAGEIF('Данные 1st'!$S$2:$S$317,$A37,'Данные 1st'!$GA$2:$GA$317),"")</f>
        <v>20</v>
      </c>
      <c r="CP37" s="7">
        <f>IFERROR(AVERAGEIF('Данные 1st'!$S$2:$S$317,$A37,'Данные 1st'!$GB$2:$GB$317),"")</f>
        <v>168.5</v>
      </c>
      <c r="CQ37" s="7">
        <f>IFERROR(AVERAGEIF('Данные 1st'!$S$2:$S$317,$A37,'Данные 1st'!$GH$2:$GH$317),"")</f>
        <v>1.6</v>
      </c>
      <c r="CR37" s="7">
        <f>IFERROR(AVERAGEIF('Данные 1st'!$S$2:$S$317,$A37,'Данные 1st'!$GI$2:$GI$317),"")</f>
        <v>20</v>
      </c>
      <c r="CS37" s="7">
        <f>IFERROR(AVERAGEIF('Данные 1st'!$S$2:$S$317,$A37,'Данные 1st'!$GJ$2:$GJ$317),"")</f>
        <v>168.5</v>
      </c>
      <c r="CT37" s="7">
        <f>IFERROR(AVERAGEIF('Данные 1st'!$S$2:$S$317,$A37,'Данные 1st'!$GS$2:$GS$317),"")</f>
        <v>0.4</v>
      </c>
      <c r="CU37" s="7">
        <f>IFERROR(AVERAGEIF('Данные 1st'!$S$2:$S$317,$A37,'Данные 1st'!$GT$2:$GT$317),"")</f>
        <v>60</v>
      </c>
      <c r="CV37" s="7">
        <f>IFERROR(AVERAGEIF('Данные 1st'!$S$2:$S$317,$A37,'Данные 1st'!$GU$2:$GU$317),"")</f>
        <v>320</v>
      </c>
      <c r="CW37" s="7">
        <f>IFERROR(AVERAGEIF('Данные 1st'!$S$2:$S$317,$A37,'Данные 1st'!$GV$2:$GV$317),"")</f>
        <v>30</v>
      </c>
      <c r="CX37" s="7">
        <f>IFERROR(AVERAGEIF('Данные 1st'!$S$2:$S$317,$A37,'Данные 1st'!$GW$2:$GW$317),"")</f>
        <v>250</v>
      </c>
      <c r="CY37" s="7">
        <f>IFERROR(AVERAGEIF('Данные 1st'!$S$2:$S$317,$A37,'Данные 1st'!$GZ$2:$GZ$317),"")</f>
        <v>1</v>
      </c>
      <c r="CZ37" s="7">
        <f>IFERROR(AVERAGEIF('Данные 1st'!$S$2:$S$317,$A37,'Данные 1st'!$HA$2:$HA$317),"")</f>
        <v>20</v>
      </c>
      <c r="DA37" s="7">
        <f>IFERROR(AVERAGEIF('Данные 1st'!$S$2:$S$317,$A37,'Данные 1st'!$HB$2:$HB$317),"")</f>
        <v>176</v>
      </c>
      <c r="DB37" s="7">
        <f>IFERROR(AVERAGEIF('Данные 1st'!$S$2:$S$317,$A37,'Данные 1st'!$HC$2:$HC$317),"")</f>
        <v>0.1</v>
      </c>
      <c r="DC37" s="7">
        <f>IFERROR(AVERAGEIF('Данные 1st'!$S$2:$S$317,$A37,'Данные 1st'!$HD$2:$HD$317),"")</f>
        <v>3</v>
      </c>
      <c r="DD37" s="7">
        <f>IFERROR(AVERAGEIF('Данные 1st'!$S$2:$S$317,$A37,'Данные 1st'!$HE$2:$HE$317),"")</f>
        <v>3</v>
      </c>
      <c r="DE37" s="7">
        <f>IFERROR(AVERAGEIF('Данные 1st'!$S$2:$S$317,$A37,'Данные 1st'!$HF$2:$HF$317),"")</f>
        <v>3</v>
      </c>
      <c r="DF37" s="7">
        <f>IFERROR(AVERAGEIF('Данные 1st'!$S$2:$S$317,$A37,'Данные 1st'!$HG$2:$HG$317),"")</f>
        <v>3</v>
      </c>
      <c r="DG37" s="7">
        <f>IFERROR(AVERAGEIF('Данные 1st'!$S$2:$S$317,$A37,'Данные 1st'!$HH$2:$HH$317),"")</f>
        <v>3</v>
      </c>
      <c r="DH37" s="7">
        <f>IFERROR(AVERAGEIF('Данные 1st'!$S$2:$S$317,$A37,'Данные 1st'!$HI$2:$HI$317),"")</f>
        <v>153</v>
      </c>
      <c r="DI37" s="7">
        <f>IFERROR(AVERAGEIF('Данные 1st'!$S$2:$S$317,$A37,'Данные 1st'!$HJ$2:$HJ$317),"")</f>
        <v>3</v>
      </c>
      <c r="DJ37" s="7">
        <f>IFERROR(AVERAGEIF('Данные 1st'!$S$2:$S$317,$A37,'Данные 1st'!$HK$2:$HK$317),"")</f>
        <v>54</v>
      </c>
      <c r="DK37" s="7">
        <f>IFERROR(AVERAGEIF('Данные 1st'!$S$2:$S$317,$A37,'Данные 1st'!$HL$2:$HL$317),"")</f>
        <v>2</v>
      </c>
      <c r="DL37" s="7">
        <f>IFERROR(AVERAGEIF('Данные 1st'!$S$2:$S$317,$A37,'Данные 1st'!$HM$2:$HM$317),"")</f>
        <v>0</v>
      </c>
      <c r="DM37" s="7">
        <f>IFERROR(AVERAGEIF('Данные 1st'!$S$2:$S$317,$A37,'Данные 1st'!$HN$2:$HN$317),"")</f>
        <v>2</v>
      </c>
      <c r="DN37" s="7">
        <f>IFERROR(AVERAGEIF('Данные 1st'!$S$2:$S$317,$A37,'Данные 1st'!$HO$2:$HO$317),"")</f>
        <v>84</v>
      </c>
      <c r="DO37" s="7">
        <f>IFERROR(AVERAGEIF('Данные 1st'!$S$2:$S$317,$A37,'Данные 1st'!$HP$2:$HP$317),"")</f>
        <v>3</v>
      </c>
      <c r="DP37" s="7">
        <f>IFERROR(AVERAGEIF('Данные 1st'!$S$2:$S$317,$A37,'Данные 1st'!$HQ$2:$HQ$317),"")</f>
        <v>0</v>
      </c>
      <c r="DQ37" s="7">
        <f>IFERROR(AVERAGEIF('Данные 1st'!$S$2:$S$317,$A37,'Данные 1st'!$HR$2:$HR$317),"")</f>
        <v>2</v>
      </c>
      <c r="DR37" s="7">
        <f>IFERROR(AVERAGEIF('Данные 1st'!$S$2:$S$317,$A37,'Данные 1st'!$HS$2:$HS$317),"")</f>
        <v>4946.4</v>
      </c>
      <c r="DS37" s="7">
        <f>IFERROR(AVERAGEIF('Данные 1st'!$S$2:$S$317,$A37,'Данные 1st'!$HT$2:$HT$317),"")</f>
        <v>150</v>
      </c>
      <c r="DT37" s="7">
        <f>IFERROR(AVERAGEIF('Данные 1st'!$S$2:$S$317,$A37,'Данные 1st'!$HU$2:$HU$317),"")</f>
        <v>180</v>
      </c>
      <c r="DU37" s="7">
        <f>IFERROR(AVERAGEIF('Данные 1st'!$S$2:$S$317,$A37,'Данные 1st'!$HW$2:$HW$317),"")</f>
        <v>0</v>
      </c>
      <c r="DV37" s="7">
        <f>IFERROR(AVERAGEIF('Данные 1st'!$S$2:$S$317,$A37,'Данные 1st'!$HX$2:$HX$317),"")</f>
        <v>448.4</v>
      </c>
      <c r="DW37" s="7">
        <f>IFERROR(AVERAGEIF('Данные 1st'!$S$2:$S$317,$A37,'Данные 1st'!$HY$2:$HY$317),"")</f>
        <v>0.18</v>
      </c>
      <c r="DX37" s="7">
        <f>IFERROR(AVERAGEIF('Данные 1st'!$S$2:$S$317,$A37,'Данные 1st'!$IA$2:$IA$317),"")</f>
        <v>0.15</v>
      </c>
      <c r="DY37" s="7">
        <f>IFERROR(AVERAGEIF('Данные 1st'!$S$2:$S$317,$A37,'Данные 1st'!$IB$2:$IB$317),"")</f>
        <v>0</v>
      </c>
      <c r="DZ37" s="7">
        <f>IFERROR(AVERAGEIF('Данные 1st'!$S$2:$S$317,$A37,'Данные 1st'!$IC$2:$IC$317),"")</f>
        <v>180</v>
      </c>
      <c r="EA37" s="7">
        <f>IFERROR(AVERAGEIF('Данные 1st'!$S$2:$S$317,$A37,'Данные 1st'!$ID$2:$ID$317),"")</f>
        <v>110</v>
      </c>
      <c r="EB37" s="7">
        <f>IFERROR(AVERAGEIF('Данные 1st'!$S$2:$S$317,$A37,'Данные 1st'!$IE$2:$IE$317),"")</f>
        <v>90</v>
      </c>
      <c r="EC37" s="7">
        <f>IFERROR(AVERAGEIF('Данные 1st'!$S$2:$S$317,$A37,'Данные 1st'!$IF$2:$IF$317),"")</f>
        <v>0</v>
      </c>
      <c r="ED37" s="7">
        <f>IFERROR(AVERAGEIF('Данные 1st'!$S$2:$S$317,$A37,'Данные 1st'!$IP$2:$IP$317),"")</f>
        <v>18</v>
      </c>
      <c r="EE37" s="7">
        <f>IFERROR(AVERAGEIF('Данные 1st'!$S$2:$S$317,$A37,'Данные 1st'!$IV$2:$IV$317),"")</f>
        <v>1381</v>
      </c>
      <c r="EF37" s="7">
        <f>IFERROR(AVERAGEIF('Данные 1st'!$S$2:$S$317,$A37,'Данные 1st'!$IW$2:$IW$317),"")</f>
        <v>416</v>
      </c>
      <c r="EG37" s="7">
        <f>IFERROR(AVERAGEIF('Данные 1st'!$S$2:$S$317,$A37,'Данные 1st'!$IX$2:$IX$317),"")</f>
        <v/>
      </c>
      <c r="EH37" s="7">
        <f>IFERROR(AVERAGEIF('Данные 1st'!$S$2:$S$317,$A37,'Данные 1st'!$IY$2:$IY$317),"")</f>
        <v>290</v>
      </c>
      <c r="EI37" s="7">
        <f>IFERROR(AVERAGEIF('Данные 1st'!$S$2:$S$317,$A37,'Данные 1st'!$JD$2:$JD$317),"")</f>
        <v>1393</v>
      </c>
      <c r="EJ37" s="7">
        <f>IFERROR(AVERAGEIF('Данные 1st'!$S$2:$S$317,$A37,'Данные 1st'!$JE$2:$JE$317),"")</f>
        <v>1390.6</v>
      </c>
      <c r="EK37" s="7">
        <f>IFERROR(AVERAGEIF('Данные 1st'!$S$2:$S$317,$A37,'Данные 1st'!$JF$2:$JF$317),"")</f>
        <v>558.4</v>
      </c>
      <c r="EL37" s="7">
        <f>IFERROR(AVERAGEIF('Данные 1st'!$S$2:$S$317,$A37,'Данные 1st'!$JG$2:$JG$317),"")</f>
        <v>1378</v>
      </c>
      <c r="EM37" s="7">
        <f>IFERROR(AVERAGEIF('Данные 1st'!$S$2:$S$317,$A37,'Данные 1st'!$JH$2:$JH$317),"")</f>
        <v>0</v>
      </c>
      <c r="EN37" s="7">
        <f>IFERROR(AVERAGEIF('Данные 1st'!$S$2:$S$317,$A37,'Данные 1st'!$JJ$2:$JJ$317),"")</f>
        <v>180</v>
      </c>
      <c r="EO37" s="7">
        <f>IFERROR(AVERAGEIF('Данные 1st'!$S$2:$S$317,$A37,'Данные 1st'!$JK$2:$JK$317),"")</f>
        <v>448.4</v>
      </c>
      <c r="EP37" s="7">
        <f>IFERROR(AVERAGEIF('Данные 1st'!$S$2:$S$317,$A37,'Данные 1st'!$JL$2:$JL$317),"")</f>
        <v/>
      </c>
      <c r="EQ37" s="7">
        <f>IFERROR(AVERAGEIF('Данные 1st'!$S$2:$S$317,$A37,'Данные 1st'!$JM$2:$JM$317),"")</f>
        <v/>
      </c>
      <c r="ER37" s="7">
        <f>IFERROR(AVERAGEIF('Данные 1st'!$S$2:$S$317,$A37,'Данные 1st'!$JN$2:$JN$317),"")</f>
        <v>394</v>
      </c>
      <c r="ES37" s="7">
        <f>IFERROR(AVERAGEIF('Данные 1st'!$S$2:$S$317,$A37,'Данные 1st'!$JO$2:$JO$317),"")</f>
        <v>551</v>
      </c>
      <c r="ET37" s="7">
        <f>IFERROR(AVERAGEIF('Данные 1st'!$S$2:$S$317,$A37,'Данные 1st'!$JP$2:$JP$317),"")</f>
        <v>187</v>
      </c>
      <c r="EU37" s="7">
        <f>IFERROR(AVERAGEIF('Данные 1st'!$S$2:$S$317,$A37,'Данные 1st'!$JQ$2:$JQ$317),"")</f>
        <v>0</v>
      </c>
      <c r="EV37" s="7">
        <f>IFERROR(AVERAGEIF('Данные 1st'!$S$2:$S$317,$A37,'Данные 1st'!$JR$2:$JR$317),"")</f>
        <v>372</v>
      </c>
      <c r="EW37" s="7">
        <f>IFERROR(AVERAGEIF('Данные 1st'!$S$2:$S$317,$A37,'Данные 1st'!$JS$2:$JS$317),"")</f>
        <v>153</v>
      </c>
      <c r="EX37" s="7">
        <f>IFERROR(AVERAGEIF('Данные 1st'!$S$2:$S$317,$A37,'Данные 1st'!$JT$2:$JT$317),"")</f>
        <v/>
      </c>
      <c r="EY37" s="7">
        <f>IFERROR(AVERAGEIF('Данные 1st'!$S$2:$S$317,$A37,'Данные 1st'!$JU$2:$JU$317),"")</f>
        <v/>
      </c>
      <c r="EZ37" s="7">
        <f>IFERROR(AVERAGEIF('Данные 1st'!$S$2:$S$317,$A37,'Данные 1st'!$JV$2:$JV$317),"")</f>
        <v>8</v>
      </c>
      <c r="FA37" s="7">
        <f>IFERROR(AVERAGEIF('Данные 1st'!$S$2:$S$317,$A37,'Данные 1st'!$JW$2:$JW$317),"")</f>
        <v/>
      </c>
      <c r="FB37" s="7">
        <f>IFERROR(AVERAGEIF('Данные 1st'!$S$2:$S$317,$A37,'Данные 1st'!$JX$2:$JX$317),"")</f>
        <v>0</v>
      </c>
      <c r="FC37" s="7">
        <f>IFERROR(AVERAGEIF('Данные 1st'!$S$2:$S$317,$A37,'Данные 1st'!$JY$2:$JY$317),"")</f>
        <v/>
      </c>
      <c r="FD37" s="7">
        <f>IFERROR(AVERAGEIF('Данные 1st'!$S$2:$S$317,$A37,'Данные 1st'!$JZ$2:$JZ$317),"")</f>
        <v/>
      </c>
      <c r="FE37" s="7">
        <f>IFERROR(AVERAGEIF('Данные 1st'!$S$2:$S$317,$A37,'Данные 1st'!$KA$2:$KA$317),"")</f>
        <v>90</v>
      </c>
      <c r="FF37" s="7">
        <f>IFERROR(AVERAGEIF('Данные 1st'!$S$2:$S$317,$A37,'Данные 1st'!$KB$2:$KB$317),"")</f>
        <v>110</v>
      </c>
      <c r="FG37" s="7">
        <f>IFERROR(AVERAGEIF('Данные 1st'!$S$2:$S$317,$A37,'Данные 1st'!$KC$2:$KC$317),"")</f>
        <v>0</v>
      </c>
      <c r="FH37" s="7">
        <f>IFERROR(AVERAGEIF('Данные 1st'!$S$2:$S$317,$A37,'Данные 1st'!$KD$2:$KD$317),"")</f>
        <v>80</v>
      </c>
      <c r="FI37" s="7">
        <f>IFERROR(AVERAGEIF('Данные 1st'!$S$2:$S$317,$A37,'Данные 1st'!$KE$2:$KE$317),"")</f>
        <v/>
      </c>
      <c r="FJ37" s="7">
        <f>IFERROR(AVERAGEIF('Данные 1st'!$S$2:$S$317,$A37,'Данные 1st'!$KF$2:$KF$317),"")</f>
        <v>4</v>
      </c>
      <c r="FK37" s="7">
        <f>IFERROR(AVERAGEIF('Данные 1st'!$S$2:$S$317,$A37,'Данные 1st'!$KG$2:$KG$317),"")</f>
        <v>2.6</v>
      </c>
      <c r="FL37" s="7">
        <f>IFERROR(AVERAGEIF('Данные 1st'!$S$2:$S$317,$A37,'Данные 1st'!$KH$2:$KH$317),"")</f>
        <v>2</v>
      </c>
      <c r="FM37" s="7">
        <f>IFERROR(AVERAGEIF('Данные 1st'!$S$2:$S$317,$A37,'Данные 1st'!$KI$2:$KI$317),"")</f>
        <v>2</v>
      </c>
      <c r="FN37" s="7">
        <f>IFERROR(AVERAGEIF('Данные 1st'!$S$2:$S$317,$A37,'Данные 1st'!$KJ$2:$KJ$317),"")</f>
        <v>0</v>
      </c>
      <c r="FO37" s="7">
        <f>IFERROR(AVERAGEIF('Данные 1st'!$S$2:$S$317,$A37,'Данные 1st'!$KK$2:$KK$317),"")</f>
        <v>1.5</v>
      </c>
      <c r="FP37" s="7">
        <f>IFERROR(AVERAGEIF('Данные 1st'!$S$2:$S$317,$A37,'Данные 1st'!$KL$2:$KL$317),"")</f>
        <v>1.5</v>
      </c>
      <c r="FQ37" s="7">
        <f>IFERROR(AVERAGEIF('Данные 1st'!$S$2:$S$317,$A37,'Данные 1st'!$KM$2:$KM$317),"")</f>
        <v>0</v>
      </c>
      <c r="FR37" s="7">
        <f>IFERROR(AVERAGEIF('Данные 1st'!$S$2:$S$317,$A37,'Данные 1st'!$KN$2:$KN$317),"")</f>
        <v>0</v>
      </c>
      <c r="FS37" s="7">
        <f>IFERROR(AVERAGEIF('Данные 1st'!$S$2:$S$317,$A37,'Данные 1st'!$KR$2:$KR$317),"")</f>
        <v>42</v>
      </c>
      <c r="FT37" s="7">
        <f>IFERROR(AVERAGEIF('Данные 1st'!$S$2:$S$317,$A37,'Данные 1st'!$KS$2:$KS$317),"")</f>
        <v>60</v>
      </c>
      <c r="FU37" s="7">
        <f>IFERROR(AVERAGEIF('Данные 1st'!$S$2:$S$317,$A37,'Данные 1st'!$KT$2:$KT$317),"")</f>
        <v>0</v>
      </c>
      <c r="FV37" s="7">
        <f>IFERROR(AVERAGEIF('Данные 1st'!$S$2:$S$317,$A37,'Данные 1st'!$KV$2:$KV$317),"")</f>
        <v/>
      </c>
      <c r="FW37" s="7">
        <f>IFERROR(AVERAGEIF('Данные 1st'!$S$2:$S$317,$A37,'Данные 1st'!$KW$2:$KW$317),"")</f>
        <v/>
      </c>
      <c r="FX37" s="7">
        <f>IFERROR(AVERAGEIF('Данные 1st'!$S$2:$S$317,$A37,'Данные 1st'!$KX$2:$KX$317),"")</f>
        <v/>
      </c>
      <c r="FY37" s="7">
        <f>IFERROR(AVERAGEIF('Данные 1st'!$S$2:$S$317,$A37,'Данные 1st'!$KY$2:$KY$317),"")</f>
        <v/>
      </c>
      <c r="FZ37" s="7">
        <f>IFERROR(AVERAGEIF('Данные 1st'!$S$2:$S$317,$A37,'Данные 1st'!$KZ$2:$KZ$317),"")</f>
        <v/>
      </c>
      <c r="GA37" s="7">
        <f>IFERROR(AVERAGEIF('Данные 1st'!$S$2:$S$317,$A37,'Данные 1st'!$LA$2:$LA$317),"")</f>
        <v/>
      </c>
      <c r="GB37" s="7">
        <f>IFERROR(AVERAGEIF('Данные 1st'!$S$2:$S$317,$A37,'Данные 1st'!$LB$2:$LB$317),"")</f>
        <v/>
      </c>
      <c r="GC37" s="7">
        <f>IFERROR(AVERAGEIF('Данные 1st'!$S$2:$S$317,$A37,'Данные 1st'!$LC$2:$LC$317),"")</f>
        <v/>
      </c>
      <c r="GD37" s="7">
        <f>IFERROR(AVERAGEIF('Данные 1st'!$S$2:$S$317,$A37,'Данные 1st'!$LD$2:$LD$317),"")</f>
        <v/>
      </c>
      <c r="GE37" s="7">
        <f>IFERROR(AVERAGEIF('Данные 1st'!$S$2:$S$317,$A37,'Данные 1st'!$LE$2:$LE$317),"")</f>
        <v/>
      </c>
      <c r="GF37" s="7">
        <f>IFERROR(AVERAGEIF('Данные 1st'!$S$2:$S$317,$A37,'Данные 1st'!$LF$2:$LF$317),"")</f>
        <v/>
      </c>
      <c r="GG37" s="7">
        <f>IFERROR(AVERAGEIF('Данные 1st'!$S$2:$S$317,$A37,'Данные 1st'!$LG$2:$LG$317),"")</f>
        <v/>
      </c>
      <c r="GH37" s="7">
        <f>IFERROR(AVERAGEIF('Данные 1st'!$S$2:$S$317,$A37,'Данные 1st'!$LH$2:$LH$317),"")</f>
        <v/>
      </c>
      <c r="GI37" s="7">
        <f>IFERROR(AVERAGEIF('Данные 1st'!$S$2:$S$317,$A37,'Данные 1st'!$LI$2:$LI$317),"")</f>
        <v/>
      </c>
      <c r="GJ37" s="7">
        <f>IFERROR(AVERAGEIF('Данные 1st'!$S$2:$S$317,$A37,'Данные 1st'!$LJ$2:$LJ$317),"")</f>
        <v/>
      </c>
      <c r="GK37" s="7">
        <f>IFERROR(AVERAGEIF('Данные 1st'!$S$2:$S$317,$A37,'Данные 1st'!$LK$2:$LK$317),"")</f>
        <v>480</v>
      </c>
      <c r="GL37" s="7">
        <f>IFERROR(AVERAGEIF('Данные 1st'!$S$2:$S$317,$A37,'Данные 1st'!$LV$2:$LV$317),"")</f>
        <v/>
      </c>
      <c r="GM37" s="7">
        <f>IFERROR(AVERAGEIF('Данные 1st'!$S$2:$S$317,$A37,'Данные 1st'!$LW$2:$LW$317),"")</f>
        <v/>
      </c>
      <c r="GN37" s="7">
        <f>IFERROR(AVERAGEIF('Данные 1st'!$S$2:$S$317,$A37,'Данные 1st'!$LX$2:$LX$317),"")</f>
        <v/>
      </c>
      <c r="GO37" s="7">
        <f>IFERROR(AVERAGEIF('Данные 1st'!$S$2:$S$317,$A37,'Данные 1st'!$LY$2:$LY$317),"")</f>
        <v/>
      </c>
      <c r="GP37" s="7">
        <f>IFERROR(AVERAGEIF('Данные 1st'!$S$2:$S$317,$A37,'Данные 1st'!$LZ$2:$LZ$317),"")</f>
        <v/>
      </c>
      <c r="GQ37" s="7">
        <f>IFERROR(AVERAGEIF('Данные 1st'!$S$2:$S$317,$A37,'Данные 1st'!$PG$2:$PG$317),"")</f>
        <v>1</v>
      </c>
      <c r="GR37" s="7">
        <f>IFERROR(AVERAGEIF('Данные 1st'!$S$2:$S$317,$A37,'Данные 1st'!$PX$2:$PX$317),"")</f>
        <v>56</v>
      </c>
      <c r="GS37" s="7">
        <f>IFERROR(AVERAGEIF('Данные 1st'!$S$2:$S$317,$A37,'Данные 1st'!$PY$2:$PY$317),"")</f>
        <v>56.4</v>
      </c>
      <c r="GT37" s="7">
        <f>IFERROR(AVERAGEIF('Данные 1st'!$S$2:$S$317,$A37,'Данные 1st'!$QA$2:$QA$317),"")</f>
        <v>2</v>
      </c>
      <c r="GU37" s="7">
        <f>IFERROR(AVERAGEIF('Данные 1st'!$S$2:$S$317,$A37,'Данные 1st'!$QB$2:$QB$317),"")</f>
        <v>1378</v>
      </c>
      <c r="GV37" s="7">
        <f>IFERROR(AVERAGEIF('Данные 1st'!$S$2:$S$317,$A37,'Данные 1st'!$QC$2:$QC$317),"")</f>
        <v>69</v>
      </c>
      <c r="GW37" s="7">
        <f>IFERROR(AVERAGEIF('Данные 1st'!$S$2:$S$317,$A37,'Данные 1st'!$QD$2:$QD$317),"")</f>
        <v>69</v>
      </c>
      <c r="GX37" s="7">
        <f>IFERROR(AVERAGEIF('Данные 1st'!$S$2:$S$317,$A37,'Данные 1st'!$QF$2:$QF$317),"")</f>
        <v>1</v>
      </c>
      <c r="GY37" s="7">
        <f>IFERROR(AVERAGEIF('Данные 1st'!$S$2:$S$317,$A37,'Данные 1st'!$QG$2:$QG$317),"")</f>
        <v>1393</v>
      </c>
      <c r="GZ37" s="7">
        <f>IFERROR(AVERAGEIF('Данные 1st'!$S$2:$S$317,$A37,'Данные 1st'!$QH$2:$QH$317),"")</f>
        <v>66</v>
      </c>
      <c r="HA37" s="7">
        <f>IFERROR(AVERAGEIF('Данные 1st'!$S$2:$S$317,$A37,'Данные 1st'!$QI$2:$QI$317),"")</f>
        <v>66</v>
      </c>
      <c r="HB37" s="7">
        <f>IFERROR(AVERAGEIF('Данные 1st'!$S$2:$S$317,$A37,'Данные 1st'!$QK$2:$QK$317),"")</f>
        <v/>
      </c>
      <c r="HC37" s="7">
        <f>IFERROR(AVERAGEIF('Данные 1st'!$S$2:$S$317,$A37,'Данные 1st'!$QL$2:$QL$317),"")</f>
        <v>0</v>
      </c>
      <c r="HD37" s="7">
        <f>IFERROR(AVERAGEIF('Данные 1st'!$S$2:$S$317,$A37,'Данные 1st'!$QM$2:$QM$317),"")</f>
        <v>62.4</v>
      </c>
      <c r="HE37" s="7">
        <f>IFERROR(AVERAGEIF('Данные 1st'!$S$2:$S$317,$A37,'Данные 1st'!$QN$2:$QN$317),"")</f>
        <v>62.4</v>
      </c>
      <c r="HF37" s="7">
        <f>IFERROR(AVERAGEIF('Данные 1st'!$S$2:$S$317,$A37,'Данные 1st'!$QP$2:$QP$317),"")</f>
        <v>1</v>
      </c>
      <c r="HG37" s="7">
        <f>IFERROR(AVERAGEIF('Данные 1st'!$S$2:$S$317,$A37,'Данные 1st'!$QQ$2:$QQ$317),"")</f>
        <v>1390.6</v>
      </c>
      <c r="HH37" s="7">
        <f>IFERROR(AVERAGEIF('Данные 1st'!$S$2:$S$317,$A37,'Данные 1st'!$QR$2:$QR$317),"")</f>
        <v>62.5</v>
      </c>
      <c r="HI37" s="7">
        <f>IFERROR(AVERAGEIF('Данные 1st'!$S$2:$S$317,$A37,'Данные 1st'!$QS$2:$QS$317),"")</f>
        <v>62.5</v>
      </c>
      <c r="HJ37" s="7">
        <f>IFERROR(AVERAGEIF('Данные 1st'!$S$2:$S$317,$A37,'Данные 1st'!$QU$2:$QU$317),"")</f>
        <v>1</v>
      </c>
      <c r="HK37" s="7">
        <f>IFERROR(AVERAGEIF('Данные 1st'!$S$2:$S$317,$A37,'Данные 1st'!$QV$2:$QV$317),"")</f>
        <v>1396</v>
      </c>
      <c r="HL37" s="7">
        <f>IFERROR(AVERAGEIF('Данные 1st'!$S$2:$S$317,$A37,'Данные 1st'!$QW$2:$QW$317),"")</f>
        <v>82</v>
      </c>
      <c r="HM37" s="7">
        <f>IFERROR(AVERAGEIF('Данные 1st'!$S$2:$S$317,$A37,'Данные 1st'!$QX$2:$QX$317),"")</f>
        <v>85.2</v>
      </c>
      <c r="HN37" s="7">
        <f>IFERROR(AVERAGEIF('Данные 1st'!$S$2:$S$317,$A37,'Данные 1st'!$QZ$2:$QZ$317),"")</f>
        <v>1.4</v>
      </c>
      <c r="HO37" s="7">
        <f>IFERROR(AVERAGEIF('Данные 1st'!$S$2:$S$317,$A37,'Данные 1st'!$RA$2:$RA$317),"")</f>
        <v>66</v>
      </c>
      <c r="HP37" s="7">
        <f>IFERROR(AVERAGEIF('Данные 1st'!$S$2:$S$317,$A37,'Данные 1st'!$RB$2:$RB$317),"")</f>
        <v>66</v>
      </c>
      <c r="HQ37" s="7">
        <f>IFERROR(AVERAGEIF('Данные 1st'!$S$2:$S$317,$A37,'Данные 1st'!$RD$2:$RD$317),"")</f>
        <v/>
      </c>
      <c r="HR37" s="7">
        <f>IFERROR(AVERAGEIF('Данные 1st'!$S$2:$S$317,$A37,'Данные 1st'!$RE$2:$RE$317),"")</f>
        <v>0</v>
      </c>
      <c r="HS37" s="7">
        <f>IFERROR(AVERAGEIF('Данные 1st'!$S$2:$S$317,$A37,'Данные 1st'!$RF$2:$RF$317),"")</f>
        <v>1</v>
      </c>
      <c r="HT37" s="7">
        <f>IFERROR(AVERAGEIF('Данные 1st'!$S$2:$S$317,$A37,'Данные 1st'!$RG$2:$RG$317),"")</f>
        <v>1</v>
      </c>
      <c r="HU37" s="7">
        <f>IFERROR(AVERAGEIF('Данные 1st'!$S$2:$S$317,$A37,'Данные 1st'!$RH$2:$RH$317),"")</f>
        <v>1</v>
      </c>
      <c r="HV37" s="7">
        <f>IFERROR(AVERAGEIF('Данные 1st'!$S$2:$S$317,$A37,'Данные 1st'!$RI$2:$RI$317),"")</f>
        <v>1</v>
      </c>
      <c r="HW37" s="7">
        <f>IFERROR(AVERAGEIF('Данные 1st'!$S$2:$S$317,$A37,'Данные 1st'!$RJ$2:$RJ$317),"")</f>
        <v>1</v>
      </c>
      <c r="HX37" s="7">
        <f>IFERROR(AVERAGEIF('Данные 1st'!$S$2:$S$317,$A37,'Данные 1st'!$RK$2:$RK$317),"")</f>
        <v/>
      </c>
      <c r="HY37" s="7">
        <f>IFERROR(AVERAGEIF('Данные 1st'!$S$2:$S$317,$A37,'Данные 1st'!$RL$2:$RL$317),"")</f>
        <v>2.6</v>
      </c>
      <c r="HZ37" s="7">
        <f>IFERROR(AVERAGEIF('Данные 1st'!$S$2:$S$317,$A37,'Данные 1st'!$RM$2:$RM$317),"")</f>
        <v>4</v>
      </c>
      <c r="IA37" s="7">
        <f>IFERROR(AVERAGEIF('Данные 1st'!$S$2:$S$317,$A37,'Данные 1st'!$RN$2:$RN$317),"")</f>
        <v/>
      </c>
      <c r="IB37" s="7">
        <f>IFERROR(AVERAGEIF('Данные 1st'!$S$2:$S$317,$A37,'Данные 1st'!$RO$2:$RO$317),"")</f>
        <v>557.8</v>
      </c>
      <c r="IC37" s="7">
        <f>IFERROR(AVERAGEIF('Данные 1st'!$S$2:$S$317,$A37,'Данные 1st'!$RP$2:$RP$317),"")</f>
        <v/>
      </c>
      <c r="ID37" s="7">
        <f>IFERROR(AVERAGEIF('Данные 1st'!$S$2:$S$317,$A37,'Данные 1st'!$RQ$2:$RQ$317),"")</f>
        <v>794.2</v>
      </c>
      <c r="IE37" s="7">
        <f>IFERROR(AVERAGEIF('Данные 1st'!$S$2:$S$317,$A37,'Данные 1st'!$RR$2:$RR$317),"")</f>
        <v>548.5</v>
      </c>
      <c r="IF37" s="7">
        <f>IFERROR(AVERAGEIF('Данные 1st'!$S$2:$S$317,$A37,'Данные 1st'!$RS$2:$RS$317),"")</f>
        <v/>
      </c>
      <c r="IG37" s="7">
        <f>IFERROR(AVERAGEIF('Данные 1st'!$S$2:$S$317,$A37,'Данные 1st'!$RT$2:$RT$317),"")</f>
        <v>275.6</v>
      </c>
      <c r="IH37" s="7">
        <f>IFERROR(AVERAGEIF('Данные 1st'!$S$2:$S$317,$A37,'Данные 1st'!$RU$2:$RU$317),"")</f>
        <v>209</v>
      </c>
      <c r="II37" s="7">
        <f>IFERROR(AVERAGEIF('Данные 1st'!$S$2:$S$317,$A37,'Данные 1st'!$RX$2:$RX$317),"")</f>
        <v>15</v>
      </c>
      <c r="IJ37" s="7">
        <f>IFERROR(AVERAGEIF('Данные 1st'!$S$2:$S$317,$A37,'Данные 1st'!$RY$2:$RY$317),"")</f>
        <v>4</v>
      </c>
      <c r="IK37" s="7">
        <f>IFERROR(AVERAGEIF('Данные 1st'!$S$2:$S$317,$A37,'Данные 1st'!$SA$2:$SA$317),"")</f>
        <v>15</v>
      </c>
      <c r="IL37" s="7">
        <f>IFERROR(AVERAGEIF('Данные 1st'!$S$2:$S$317,$A37,'Данные 1st'!$SD$2:$SD$317),"")</f>
        <v>1</v>
      </c>
      <c r="IM37" s="7">
        <f>IFERROR(AVERAGEIF('Данные 1st'!$S$2:$S$317,$A37,'Данные 1st'!$SG$2:$SG$317),"")</f>
        <v>1</v>
      </c>
      <c r="IN37" s="7">
        <f>IFERROR(AVERAGEIF('Данные 1st'!$S$2:$S$317,$A37,'Данные 1st'!$SH$2:$SH$317),"")</f>
        <v>0.995</v>
      </c>
      <c r="IO37" s="7">
        <f>IFERROR(AVERAGEIF('Данные 1st'!$S$2:$S$317,$A37,'Данные 1st'!$SI$2:$SI$317),"")</f>
        <v>0.995</v>
      </c>
      <c r="IP37" s="7">
        <f>IFERROR(AVERAGEIF('Данные 1st'!$S$2:$S$317,$A37,'Данные 1st'!$SJ$2:$SJ$317),"")</f>
        <v>0.995</v>
      </c>
      <c r="IQ37" s="7">
        <f>IFERROR(AVERAGEIF('Данные 1st'!$S$2:$S$317,$A37,'Данные 1st'!$SK$2:$SK$317),"")</f>
        <v>15</v>
      </c>
      <c r="IR37" s="7">
        <f>IFERROR(AVERAGEIF('Данные 1st'!$S$2:$S$317,$A37,'Данные 1st'!$SL$2:$SL$317),"")</f>
        <v>0</v>
      </c>
      <c r="IS37" s="7">
        <f>IFERROR(AVERAGEIF('Данные 1st'!$S$2:$S$317,$A37,'Данные 1st'!$SM$2:$SM$317),"")</f>
        <v>0</v>
      </c>
      <c r="IT37" s="7">
        <f>IFERROR(AVERAGEIF('Данные 1st'!$S$2:$S$317,$A37,'Данные 1st'!$SN$2:$SN$317),"")</f>
        <v>0</v>
      </c>
      <c r="IU37" s="7">
        <f>IFERROR(AVERAGEIF('Данные 1st'!$S$2:$S$317,$A37,'Данные 1st'!$SO$2:$SO$317),"")</f>
        <v>0</v>
      </c>
      <c r="IV37" s="7">
        <f>IFERROR(AVERAGEIF('Данные 1st'!$S$2:$S$317,$A37,'Данные 1st'!$SP$2:$SP$317),"")</f>
        <v>0</v>
      </c>
      <c r="IW37" s="7">
        <f>IFERROR(AVERAGEIF('Данные 1st'!$S$2:$S$317,$A37,'Данные 1st'!$SQ$2:$SQ$317),"")</f>
        <v>0</v>
      </c>
      <c r="IX37" s="7">
        <f>IFERROR(AVERAGEIF('Данные 1st'!$S$2:$S$317,$A37,'Данные 1st'!$SR$2:$SR$317),"")</f>
        <v>0</v>
      </c>
      <c r="IY37" s="7">
        <f>IFERROR(AVERAGEIF('Данные 1st'!$S$2:$S$317,$A37,'Данные 1st'!$SS$2:$SS$317),"")</f>
        <v>0</v>
      </c>
      <c r="IZ37" s="7">
        <f>IFERROR(AVERAGEIF('Данные 1st'!$S$2:$S$317,$A37,'Данные 1st'!$ST$2:$ST$317),"")</f>
        <v>0</v>
      </c>
      <c r="JA37" s="7">
        <f>IFERROR(AVERAGEIF('Данные 1st'!$S$2:$S$317,$A37,'Данные 1st'!$SU$2:$SU$317),"")</f>
        <v>0</v>
      </c>
      <c r="JB37" s="7">
        <f>IFERROR(AVERAGEIF('Данные 1st'!$S$2:$S$317,$A37,'Данные 1st'!$SV$2:$SV$317),"")</f>
        <v>0</v>
      </c>
      <c r="JC37" s="7">
        <f>IFERROR(AVERAGEIF('Данные 1st'!$S$2:$S$317,$A37,'Данные 1st'!$SW$2:$SW$317),"")</f>
        <v>0</v>
      </c>
      <c r="JD37" s="7">
        <f>IFERROR(AVERAGEIF('Данные 1st'!$S$2:$S$317,$A37,'Данные 1st'!$SX$2:$SX$317),"")</f>
        <v>0</v>
      </c>
      <c r="JE37" s="7">
        <f>IFERROR(AVERAGEIF('Данные 1st'!$S$2:$S$317,$A37,'Данные 1st'!$SY$2:$SY$317),"")</f>
        <v/>
      </c>
      <c r="JF37" s="7">
        <f>IFERROR(AVERAGEIF('Данные 1st'!$S$2:$S$317,$A37,'Данные 1st'!$SZ$2:$SZ$317),"")</f>
        <v>1</v>
      </c>
      <c r="JG37" s="7">
        <f>IFERROR(AVERAGEIF('Данные 1st'!$S$2:$S$317,$A37,'Данные 1st'!$TA$2:$TA$317),"")</f>
        <v/>
      </c>
      <c r="JH37" s="7">
        <f>IFERROR(AVERAGEIF('Данные 1st'!$S$2:$S$317,$A37,'Данные 1st'!$TB$2:$TB$317),"")</f>
        <v>0</v>
      </c>
      <c r="JI37" s="7">
        <f>IFERROR(AVERAGEIF('Данные 1st'!$S$2:$S$317,$A37,'Данные 1st'!$TC$2:$TC$317),"")</f>
        <v>0</v>
      </c>
      <c r="JJ37" s="7">
        <f>IFERROR(AVERAGEIF('Данные 1st'!$S$2:$S$317,$A37,'Данные 1st'!$TD$2:$TD$317),"")</f>
        <v>7.5</v>
      </c>
      <c r="JK37" s="7">
        <f>IFERROR(AVERAGEIF('Данные 1st'!$S$2:$S$317,$A37,'Данные 1st'!$TN$2:$TN$317),"")</f>
        <v>0</v>
      </c>
      <c r="JL37">
        <f>COUNTIF('Данные 2st'!$Q$2:$Q$317,$A37)</f>
        <v>5</v>
      </c>
      <c r="JM37" s="6" t="s">
        <v>5102</v>
      </c>
      <c r="JN37" s="6" t="s">
        <v>513</v>
      </c>
      <c r="JO37" s="6" t="s">
        <v>5125</v>
      </c>
      <c r="JP37" s="6" t="s">
        <v>5493</v>
      </c>
      <c r="JQ37" s="7">
        <f>IFERROR(AVERAGEIF('Данные 2st'!$Q$2:$Q$317,$A37,'Данные 2st'!$AC$2:$AC$317),"")</f>
        <v>10.6</v>
      </c>
      <c r="JR37" s="7">
        <f>IFERROR(AVERAGEIF('Данные 2st'!$Q$2:$Q$317,$A37,'Данные 2st'!$AF$2:$AF$317),"")</f>
        <v>4946.4</v>
      </c>
      <c r="JS37" s="7">
        <f>IFERROR(AVERAGEIF('Данные 2st'!$Q$2:$Q$317,$A37,'Данные 2st'!$AW$2:$AW$317),"")</f>
        <v>6.4</v>
      </c>
      <c r="JT37" s="7">
        <f>IFERROR(AVERAGEIF('Данные 2st'!$Q$2:$Q$317,$A37,'Данные 2st'!$AX$2:$AX$317),"")</f>
        <v>-6</v>
      </c>
      <c r="JU37" s="7">
        <f>IFERROR(AVERAGEIF('Данные 2st'!$Q$2:$Q$317,$A37,'Данные 2st'!$AY$2:$AY$317),"")</f>
        <v>99.3</v>
      </c>
      <c r="JV37" s="7">
        <f>IFERROR(AVERAGEIF('Данные 2st'!$Q$2:$Q$317,$A37,'Данные 2st'!$AZ$2:$AZ$317),"")</f>
        <v>73.2</v>
      </c>
      <c r="JW37" s="7">
        <f>IFERROR(AVERAGEIF('Данные 2st'!$Q$2:$Q$317,$A37,'Данные 2st'!$BA$2:$BA$317),"")</f>
        <v>0</v>
      </c>
      <c r="JX37" s="7">
        <f>IFERROR(AVERAGEIF('Данные 2st'!$Q$2:$Q$317,$A37,'Данные 2st'!$BB$2:$BB$317),"")</f>
        <v>0</v>
      </c>
      <c r="JY37" s="7">
        <f>IFERROR(AVERAGEIF('Данные 2st'!$Q$2:$Q$317,$A37,'Данные 2st'!$BC$2:$BC$317),"")</f>
        <v>0</v>
      </c>
      <c r="JZ37" s="7">
        <f>IFERROR(AVERAGEIF('Данные 2st'!$Q$2:$Q$317,$A37,'Данные 2st'!$BH$2:$BH$317),"")</f>
        <v>99.3</v>
      </c>
      <c r="KA37" s="7">
        <f>IFERROR(AVERAGEIF('Данные 2st'!$Q$2:$Q$317,$A37,'Данные 2st'!$BI$2:$BI$317),"")</f>
        <v>26.1</v>
      </c>
      <c r="KB37" s="7">
        <f>IFERROR(AVERAGEIF('Данные 2st'!$Q$2:$Q$317,$A37,'Данные 2st'!$BJ$2:$BJ$317),"")</f>
        <v>73.2</v>
      </c>
      <c r="KC37" s="7">
        <f>IFERROR(AVERAGEIF('Данные 2st'!$Q$2:$Q$317,$A37,'Данные 2st'!$BK$2:$BK$317),"")</f>
        <v>2.8</v>
      </c>
      <c r="KD37" s="7">
        <f>IFERROR(AVERAGEIF('Данные 2st'!$Q$2:$Q$317,$A37,'Данные 2st'!$BL$2:$BL$317),"")</f>
        <v>198.6</v>
      </c>
      <c r="KE37" s="7">
        <f>IFERROR(AVERAGEIF('Данные 2st'!$Q$2:$Q$317,$A37,'Данные 2st'!$BM$2:$BM$317),"")</f>
        <v>-6</v>
      </c>
      <c r="KF37" s="7">
        <f>IFERROR(AVERAGEIF('Данные 2st'!$Q$2:$Q$317,$A37,'Данные 2st'!$BN$2:$BN$317),"")</f>
        <v>0</v>
      </c>
      <c r="KG37" s="7">
        <f>IFERROR(AVERAGEIF('Данные 2st'!$Q$2:$Q$317,$A37,'Данные 2st'!$BO$2:$BO$317),"")</f>
        <v>0</v>
      </c>
      <c r="KH37" s="7">
        <f>IFERROR(AVERAGEIF('Данные 2st'!$Q$2:$Q$317,$A37,'Данные 2st'!$BP$2:$BP$317),"")</f>
        <v>0</v>
      </c>
      <c r="KI37" s="7">
        <f>IFERROR(AVERAGEIF('Данные 2st'!$Q$2:$Q$317,$A37,'Данные 2st'!$BR$2:$BR$317),"")</f>
        <v>193</v>
      </c>
      <c r="KJ37" s="7">
        <f>IFERROR(AVERAGEIF('Данные 2st'!$Q$2:$Q$317,$A37,'Данные 2st'!$BS$2:$BS$317),"")</f>
        <v>183</v>
      </c>
      <c r="KK37" s="7">
        <f>IFERROR(AVERAGEIF('Данные 2st'!$Q$2:$Q$317,$A37,'Данные 2st'!$BT$2:$BT$317),"")</f>
        <v>2061</v>
      </c>
      <c r="KL37" s="7">
        <f>IFERROR(AVERAGEIF('Данные 2st'!$Q$2:$Q$317,$A37,'Данные 2st'!$CV$2:$CV$317),"")</f>
        <v>124.8</v>
      </c>
      <c r="KM37" s="7">
        <f>IFERROR(AVERAGEIF('Данные 2st'!$Q$2:$Q$317,$A37,'Данные 2st'!$CW$2:$CW$317),"")</f>
        <v>3</v>
      </c>
      <c r="KN37" s="7">
        <f>IFERROR(AVERAGEIF('Данные 2st'!$Q$2:$Q$317,$A37,'Данные 2st'!$CX$2:$CX$317),"")</f>
        <v>95.8</v>
      </c>
      <c r="KO37" s="7">
        <f>IFERROR(AVERAGEIF('Данные 2st'!$Q$2:$Q$317,$A37,'Данные 2st'!$CY$2:$CY$317),"")</f>
        <v>5</v>
      </c>
      <c r="KP37" s="7">
        <f>IFERROR(AVERAGEIF('Данные 2st'!$Q$2:$Q$317,$A37,'Данные 2st'!$CZ$2:$CZ$317),"")</f>
        <v>145</v>
      </c>
      <c r="KQ37" s="7">
        <f>IFERROR(AVERAGEIF('Данные 2st'!$Q$2:$Q$317,$A37,'Данные 2st'!$DA$2:$DA$317),"")</f>
        <v>5</v>
      </c>
      <c r="KR37" s="7">
        <f>IFERROR(AVERAGEIF('Данные 2st'!$Q$2:$Q$317,$A37,'Данные 2st'!$DB$2:$DB$317),"")</f>
        <v>11598</v>
      </c>
      <c r="KS37" s="7">
        <f>IFERROR(AVERAGEIF('Данные 2st'!$Q$2:$Q$317,$A37,'Данные 2st'!$DC$2:$DC$317),"")</f>
        <v>346</v>
      </c>
      <c r="KT37" s="7">
        <f>IFERROR(AVERAGEIF('Данные 2st'!$Q$2:$Q$317,$A37,'Данные 2st'!$DD$2:$DD$317),"")</f>
        <v>326</v>
      </c>
      <c r="KU37" s="7">
        <f>IFERROR(AVERAGEIF('Данные 2st'!$Q$2:$Q$317,$A37,'Данные 2st'!$DE$2:$DE$317),"")</f>
        <v>2181.4</v>
      </c>
      <c r="KV37" s="7">
        <f>IFERROR(AVERAGEIF('Данные 2st'!$Q$2:$Q$317,$A37,'Данные 2st'!$DF$2:$DF$317),"")</f>
        <v>2181.4</v>
      </c>
      <c r="KW37" s="7">
        <f>IFERROR(AVERAGEIF('Данные 2st'!$Q$2:$Q$317,$A37,'Данные 2st'!$DG$2:$DG$317),"")</f>
        <v>2192.6</v>
      </c>
      <c r="KX37" s="7">
        <f>IFERROR(AVERAGEIF('Данные 2st'!$Q$2:$Q$317,$A37,'Данные 2st'!$DH$2:$DH$317),"")</f>
        <v/>
      </c>
      <c r="KY37" s="7">
        <f>IFERROR(AVERAGEIF('Данные 2st'!$Q$2:$Q$317,$A37,'Данные 2st'!$DI$2:$DI$317),"")</f>
        <v/>
      </c>
      <c r="KZ37" s="7">
        <f>IFERROR(AVERAGEIF('Данные 2st'!$Q$2:$Q$317,$A37,'Данные 2st'!$DK$2:$DK$317),"")</f>
        <v>193</v>
      </c>
      <c r="LA37" s="7">
        <f>IFERROR(AVERAGEIF('Данные 2st'!$Q$2:$Q$317,$A37,'Данные 2st'!$DM$2:$DM$317),"")</f>
        <v>64.6</v>
      </c>
      <c r="LB37" s="7">
        <f>IFERROR(AVERAGEIF('Данные 2st'!$Q$2:$Q$317,$A37,'Данные 2st'!$DN$2:$DN$317),"")</f>
        <v>1.048</v>
      </c>
      <c r="LC37" s="7">
        <f>IFERROR(AVERAGEIF('Данные 2st'!$Q$2:$Q$317,$A37,'Данные 2st'!$DO$2:$DO$317),"")</f>
        <v>1</v>
      </c>
      <c r="LD37" s="7">
        <f>IFERROR(AVERAGEIF('Данные 2st'!$Q$2:$Q$317,$A37,'Данные 2st'!$DP$2:$DP$317),"")</f>
        <v>2064</v>
      </c>
      <c r="LE37" s="7">
        <f>IFERROR(AVERAGEIF('Данные 2st'!$Q$2:$Q$317,$A37,'Данные 2st'!$DQ$2:$DQ$317),"")</f>
        <v>834.2</v>
      </c>
      <c r="LF37" s="7">
        <f>IFERROR(AVERAGEIF('Данные 2st'!$Q$2:$Q$317,$A37,'Данные 2st'!$DS$2:$DS$317),"")</f>
        <v>183</v>
      </c>
      <c r="LG37" s="7">
        <f>IFERROR(AVERAGEIF('Данные 2st'!$Q$2:$Q$317,$A37,'Данные 2st'!$DU$2:$DU$317),"")</f>
        <v>64.6</v>
      </c>
      <c r="LH37" s="7">
        <f>IFERROR(AVERAGEIF('Данные 2st'!$Q$2:$Q$317,$A37,'Данные 2st'!$DV$2:$DV$317),"")</f>
        <v>1.048</v>
      </c>
      <c r="LI37" s="7">
        <f>IFERROR(AVERAGEIF('Данные 2st'!$Q$2:$Q$317,$A37,'Данные 2st'!$DW$2:$DW$317),"")</f>
        <v>1</v>
      </c>
      <c r="LJ37" s="7">
        <f>IFERROR(AVERAGEIF('Данные 2st'!$Q$2:$Q$317,$A37,'Данные 2st'!$DX$2:$DX$317),"")</f>
        <v>2075</v>
      </c>
      <c r="LK37" s="7">
        <f>IFERROR(AVERAGEIF('Данные 2st'!$Q$2:$Q$317,$A37,'Данные 2st'!$DY$2:$DY$317),"")</f>
        <v>794.8</v>
      </c>
      <c r="LL37" s="7">
        <f>IFERROR(AVERAGEIF('Данные 2st'!$Q$2:$Q$317,$A37,'Данные 2st'!$EA$2:$EA$317),"")</f>
        <v>22.6</v>
      </c>
      <c r="LM37" s="7">
        <f>IFERROR(AVERAGEIF('Данные 2st'!$Q$2:$Q$317,$A37,'Данные 2st'!$EC$2:$EC$317),"")</f>
        <v>0.7200000000000001</v>
      </c>
      <c r="LN37" s="7">
        <f>IFERROR(AVERAGEIF('Данные 2st'!$Q$2:$Q$317,$A37,'Данные 2st'!$ED$2:$ED$317),"")</f>
        <v>2064</v>
      </c>
      <c r="LO37" s="7">
        <f>IFERROR(AVERAGEIF('Данные 2st'!$Q$2:$Q$317,$A37,'Данные 2st'!$EE$2:$EE$317),"")</f>
        <v>69.8</v>
      </c>
      <c r="LP37" s="7">
        <f>IFERROR(AVERAGEIF('Данные 2st'!$Q$2:$Q$317,$A37,'Данные 2st'!$EG$2:$EG$317),"")</f>
        <v>6.6</v>
      </c>
      <c r="LQ37" s="7">
        <f>IFERROR(AVERAGEIF('Данные 2st'!$Q$2:$Q$317,$A37,'Данные 2st'!$EI$2:$EI$317),"")</f>
        <v>0.08</v>
      </c>
      <c r="LR37" s="7">
        <f>IFERROR(AVERAGEIF('Данные 2st'!$Q$2:$Q$317,$A37,'Данные 2st'!$EJ$2:$EJ$317),"")</f>
        <v>2065</v>
      </c>
      <c r="LS37" s="7">
        <f>IFERROR(AVERAGEIF('Данные 2st'!$Q$2:$Q$317,$A37,'Данные 2st'!$EK$2:$EK$317),"")</f>
        <v>60</v>
      </c>
      <c r="LT37" s="7">
        <f>IFERROR(AVERAGEIF('Данные 2st'!$Q$2:$Q$317,$A37,'Данные 2st'!$EM$2:$EM$317),"")</f>
        <v>12</v>
      </c>
      <c r="LU37" s="7">
        <f>IFERROR(AVERAGEIF('Данные 2st'!$Q$2:$Q$317,$A37,'Данные 2st'!$EN$2:$EN$317),"")</f>
        <v>0.5</v>
      </c>
      <c r="LV37" s="7">
        <f>IFERROR(AVERAGEIF('Данные 2st'!$Q$2:$Q$317,$A37,'Данные 2st'!$EO$2:$EO$317),"")</f>
        <v>0.96</v>
      </c>
      <c r="LW37" s="7">
        <f>IFERROR(AVERAGEIF('Данные 2st'!$Q$2:$Q$317,$A37,'Данные 2st'!$EP$2:$EP$317),"")</f>
        <v>2074.176</v>
      </c>
      <c r="LX37" s="7">
        <f>IFERROR(AVERAGEIF('Данные 2st'!$Q$2:$Q$317,$A37,'Данные 2st'!$EQ$2:$EQ$317),"")</f>
        <v>34123.83</v>
      </c>
      <c r="LY37" s="7">
        <f>IFERROR(AVERAGEIF('Данные 2st'!$Q$2:$Q$317,$A37,'Данные 2st'!$ER$2:$ER$317),"")</f>
        <v>8486.606</v>
      </c>
      <c r="LZ37" s="7">
        <f>IFERROR(AVERAGEIF('Данные 2st'!$Q$2:$Q$317,$A37,'Данные 2st'!$ES$2:$ES$317),"")</f>
        <v>0</v>
      </c>
      <c r="MA37" s="7">
        <f>IFERROR(AVERAGEIF('Данные 2st'!$Q$2:$Q$317,$A37,'Данные 2st'!$ET$2:$ET$317),"")</f>
        <v>0</v>
      </c>
      <c r="MB37" s="7">
        <f>IFERROR(AVERAGEIF('Данные 2st'!$Q$2:$Q$317,$A37,'Данные 2st'!$EU$2:$EU$317),"")</f>
        <v>1</v>
      </c>
      <c r="MC37" s="7">
        <f>IFERROR(AVERAGEIF('Данные 2st'!$Q$2:$Q$317,$A37,'Данные 2st'!$EV$2:$EV$317),"")</f>
        <v>42611</v>
      </c>
      <c r="MD37" s="7">
        <f>IFERROR(AVERAGEIF('Данные 2st'!$Q$2:$Q$317,$A37,'Данные 2st'!$EW$2:$EW$317),"")</f>
        <v>511.8</v>
      </c>
      <c r="ME37" s="7">
        <f>IFERROR(AVERAGEIF('Данные 2st'!$Q$2:$Q$317,$A37,'Данные 2st'!$EY$2:$EY$317),"")</f>
        <v>214</v>
      </c>
      <c r="MF37" s="7">
        <f>IFERROR(AVERAGEIF('Данные 2st'!$Q$2:$Q$317,$A37,'Данные 2st'!$FA$2:$FA$317),"")</f>
        <v>5.3</v>
      </c>
      <c r="MG37" s="7">
        <f>IFERROR(AVERAGEIF('Данные 2st'!$Q$2:$Q$317,$A37,'Данные 2st'!$FB$2:$FB$317),"")</f>
        <v>1</v>
      </c>
      <c r="MH37" s="7">
        <f>IFERROR(AVERAGEIF('Данные 2st'!$Q$2:$Q$317,$A37,'Данные 2st'!$FC$2:$FC$317),"")</f>
        <v>1</v>
      </c>
      <c r="MI37" s="7">
        <f>IFERROR(AVERAGEIF('Данные 2st'!$Q$2:$Q$317,$A37,'Данные 2st'!$FD$2:$FD$317),"")</f>
        <v>2107.6</v>
      </c>
      <c r="MJ37" s="7">
        <f>IFERROR(AVERAGEIF('Данные 2st'!$Q$2:$Q$317,$A37,'Данные 2st'!$FE$2:$FE$317),"")</f>
        <v>2469.6</v>
      </c>
      <c r="MK37" s="7">
        <f>IFERROR(AVERAGEIF('Данные 2st'!$Q$2:$Q$317,$A37,'Данные 2st'!$FG$2:$FG$317),"")</f>
        <v>216</v>
      </c>
      <c r="ML37" s="7">
        <f>IFERROR(AVERAGEIF('Данные 2st'!$Q$2:$Q$317,$A37,'Данные 2st'!$FI$2:$FI$317),"")</f>
        <v>2.8600000000000003</v>
      </c>
      <c r="MM37" s="7">
        <f>IFERROR(AVERAGEIF('Данные 2st'!$Q$2:$Q$317,$A37,'Данные 2st'!$FJ$2:$FJ$317),"")</f>
        <v>2107.6</v>
      </c>
      <c r="MN37" s="7">
        <f>IFERROR(AVERAGEIF('Данные 2st'!$Q$2:$Q$317,$A37,'Данные 2st'!$FK$2:$FK$317),"")</f>
        <v>1543.8</v>
      </c>
      <c r="MO37" s="7">
        <f>IFERROR(AVERAGEIF('Данные 2st'!$Q$2:$Q$317,$A37,'Данные 2st'!$FP$2:$FP$317),"")</f>
        <v>2107.6</v>
      </c>
      <c r="MP37" s="7">
        <f>IFERROR(AVERAGEIF('Данные 2st'!$Q$2:$Q$317,$A37,'Данные 2st'!$FQ$2:$FQ$317),"")</f>
        <v>188.2</v>
      </c>
      <c r="MQ37" s="7">
        <f>IFERROR(AVERAGEIF('Данные 2st'!$Q$2:$Q$317,$A37,'Данные 2st'!$FS$2:$FS$317),"")</f>
        <v>220</v>
      </c>
      <c r="MR37" s="7">
        <f>IFERROR(AVERAGEIF('Данные 2st'!$Q$2:$Q$317,$A37,'Данные 2st'!$FU$2:$FU$317),"")</f>
        <v>0.4</v>
      </c>
      <c r="MS37" s="7">
        <f>IFERROR(AVERAGEIF('Данные 2st'!$Q$2:$Q$317,$A37,'Данные 2st'!$FV$2:$FV$317),"")</f>
        <v>2107.6</v>
      </c>
      <c r="MT37" s="7">
        <f>IFERROR(AVERAGEIF('Данные 2st'!$Q$2:$Q$317,$A37,'Данные 2st'!$FW$2:$FW$317),"")</f>
        <v>206.2</v>
      </c>
      <c r="MU37" s="7">
        <f>IFERROR(AVERAGEIF('Данные 2st'!$Q$2:$Q$317,$A37,'Данные 2st'!$FY$2:$FY$317),"")</f>
        <v>5</v>
      </c>
      <c r="MV37" s="7">
        <f>IFERROR(AVERAGEIF('Данные 2st'!$Q$2:$Q$317,$A37,'Данные 2st'!$GB$2:$GB$317),"")</f>
        <v>2109</v>
      </c>
      <c r="MW37" s="7">
        <f>IFERROR(AVERAGEIF('Данные 2st'!$Q$2:$Q$317,$A37,'Данные 2st'!$GC$2:$GC$317),"")</f>
        <v>20.25</v>
      </c>
      <c r="MX37" s="7">
        <f>IFERROR(AVERAGEIF('Данные 2st'!$Q$2:$Q$317,$A37,'Данные 2st'!$GD$2:$GD$317),"")</f>
        <v>4424</v>
      </c>
      <c r="MY37" s="7">
        <f>IFERROR(AVERAGEIF('Данные 2st'!$Q$2:$Q$317,$A37,'Данные 2st'!$GN$2:$GN$317),"")</f>
        <v/>
      </c>
      <c r="MZ37" s="7">
        <f>IFERROR(AVERAGEIF('Данные 2st'!$Q$2:$Q$317,$A37,'Данные 2st'!$GQ$2:$GQ$317),"")</f>
        <v>0</v>
      </c>
      <c r="NA37" s="7">
        <f>IFERROR(AVERAGEIF('Данные 2st'!$Q$2:$Q$317,$A37,'Данные 2st'!$GV$2:$GV$317),"")</f>
        <v>8.56</v>
      </c>
      <c r="NB37" s="7">
        <f>IFERROR(AVERAGEIF('Данные 2st'!$Q$2:$Q$317,$A37,'Данные 2st'!$GW$2:$GW$317),"")</f>
        <v>10.12</v>
      </c>
      <c r="NC37" s="7">
        <f>IFERROR(AVERAGEIF('Данные 2st'!$Q$2:$Q$317,$A37,'Данные 2st'!$GX$2:$GX$317),"")</f>
        <v>0.5</v>
      </c>
      <c r="ND37" s="7">
        <f>IFERROR(AVERAGEIF('Данные 2st'!$Q$2:$Q$317,$A37,'Данные 2st'!$GY$2:$GY$317),"")</f>
        <v>183.6</v>
      </c>
      <c r="NE37" s="7">
        <f>IFERROR(AVERAGEIF('Данные 2st'!$Q$2:$Q$317,$A37,'Данные 2st'!$GZ$2:$GZ$317),"")</f>
        <v>3</v>
      </c>
      <c r="NF37" s="7">
        <f>IFERROR(AVERAGEIF('Данные 2st'!$Q$2:$Q$317,$A37,'Данные 2st'!$HA$2:$HA$317),"")</f>
        <v>236</v>
      </c>
      <c r="NG37" s="7">
        <f>IFERROR(AVERAGEIF('Данные 2st'!$Q$2:$Q$317,$A37,'Данные 2st'!$HB$2:$HB$317),"")</f>
        <v>3</v>
      </c>
      <c r="NH37" s="7">
        <f>IFERROR(AVERAGEIF('Данные 2st'!$Q$2:$Q$317,$A37,'Данные 2st'!$HC$2:$HC$317),"")</f>
        <v>2107.6</v>
      </c>
      <c r="NI37" s="7">
        <f>IFERROR(AVERAGEIF('Данные 2st'!$Q$2:$Q$317,$A37,'Данные 2st'!$HD$2:$HD$317),"")</f>
        <v>4</v>
      </c>
      <c r="NJ37" s="7">
        <f>IFERROR(AVERAGEIF('Данные 2st'!$Q$2:$Q$317,$A37,'Данные 2st'!$HM$2:$HM$317),"")</f>
        <v>18</v>
      </c>
      <c r="NK37" s="7">
        <f>IFERROR(AVERAGEIF('Данные 2st'!$Q$2:$Q$317,$A37,'Данные 2st'!$HR$2:$HR$317),"")</f>
        <v>3</v>
      </c>
      <c r="NL37" s="7">
        <f>IFERROR(AVERAGEIF('Данные 2st'!$Q$2:$Q$317,$A37,'Данные 2st'!$HS$2:$HS$317),"")</f>
        <v>2061</v>
      </c>
      <c r="NM37" s="7">
        <f>IFERROR(AVERAGEIF('Данные 2st'!$Q$2:$Q$317,$A37,'Данные 2st'!$HT$2:$HT$317),"")</f>
        <v>5</v>
      </c>
      <c r="NN37" s="7">
        <f>IFERROR(AVERAGEIF('Данные 2st'!$Q$2:$Q$317,$A37,'Данные 2st'!$HY$2:$HY$317),"")</f>
        <v>0</v>
      </c>
      <c r="NO37" s="7">
        <f>IFERROR(AVERAGEIF('Данные 2st'!$Q$2:$Q$317,$A37,'Данные 2st'!$HZ$2:$HZ$317),"")</f>
        <v>64.6</v>
      </c>
      <c r="NP37" s="7">
        <f>IFERROR(AVERAGEIF('Данные 2st'!$Q$2:$Q$317,$A37,'Данные 2st'!$IA$2:$IA$317),"")</f>
        <v>2064</v>
      </c>
      <c r="NQ37" s="7">
        <f>IFERROR(AVERAGEIF('Данные 2st'!$Q$2:$Q$317,$A37,'Данные 2st'!$IB$2:$IB$317),"")</f>
        <v>2075</v>
      </c>
      <c r="NR37" s="7">
        <f>IFERROR(AVERAGEIF('Данные 2st'!$Q$2:$Q$317,$A37,'Данные 2st'!$IC$2:$IC$317),"")</f>
        <v/>
      </c>
      <c r="NS37" s="7">
        <f>IFERROR(AVERAGEIF('Данные 2st'!$Q$2:$Q$317,$A37,'Данные 2st'!$ID$2:$ID$317),"")</f>
        <v>2107.6</v>
      </c>
      <c r="NT37" s="7">
        <f>IFERROR(AVERAGEIF('Данные 2st'!$Q$2:$Q$317,$A37,'Данные 2st'!$IE$2:$IE$317),"")</f>
        <v>2107.6</v>
      </c>
      <c r="NU37" s="7">
        <f>IFERROR(AVERAGEIF('Данные 2st'!$Q$2:$Q$317,$A37,'Данные 2st'!$IF$2:$IF$317),"")</f>
        <v>193</v>
      </c>
      <c r="NV37" s="7">
        <f>IFERROR(AVERAGEIF('Данные 2st'!$Q$2:$Q$317,$A37,'Данные 2st'!$IG$2:$IG$317),"")</f>
        <v>183</v>
      </c>
      <c r="NW37" s="7">
        <f>IFERROR(AVERAGEIF('Данные 2st'!$Q$2:$Q$317,$A37,'Данные 2st'!$IH$2:$IH$317),"")</f>
        <v>236</v>
      </c>
      <c r="NX37" s="7">
        <f>IFERROR(AVERAGEIF('Данные 2st'!$Q$2:$Q$317,$A37,'Данные 2st'!$IJ$2:$IJ$317),"")</f>
        <v>3.32</v>
      </c>
      <c r="NY37" s="7">
        <f>IFERROR(AVERAGEIF('Данные 2st'!$Q$2:$Q$317,$A37,'Данные 2st'!$IM$2:$IM$317),"")</f>
        <v>0</v>
      </c>
      <c r="NZ37" s="7">
        <f>IFERROR(AVERAGEIF('Данные 2st'!$Q$2:$Q$317,$A37,'Данные 2st'!$IN$2:$IN$317),"")</f>
        <v>270</v>
      </c>
      <c r="OA37" s="7">
        <f>IFERROR(AVERAGEIF('Данные 2st'!$Q$2:$Q$317,$A37,'Данные 2st'!$IO$2:$IO$317),"")</f>
        <v>0</v>
      </c>
      <c r="OB37" s="7">
        <f>IFERROR(AVERAGEIF('Данные 2st'!$Q$2:$Q$317,$A37,'Данные 2st'!$IP$2:$IP$317),"")</f>
        <v>180</v>
      </c>
      <c r="OC37" s="7">
        <f>IFERROR(AVERAGEIF('Данные 2st'!$Q$2:$Q$317,$A37,'Данные 2st'!$IQ$2:$IQ$317),"")</f>
        <v>0</v>
      </c>
      <c r="OD37" s="7">
        <f>IFERROR(AVERAGEIF('Данные 2st'!$Q$2:$Q$317,$A37,'Данные 2st'!$IR$2:$IR$317),"")</f>
        <v>330</v>
      </c>
      <c r="OE37" s="7">
        <f>IFERROR(AVERAGEIF('Данные 2st'!$Q$2:$Q$317,$A37,'Данные 2st'!$IT$2:$IT$317),"")</f>
        <v>90</v>
      </c>
      <c r="OF37" s="7">
        <f>IFERROR(AVERAGEIF('Данные 2st'!$Q$2:$Q$317,$A37,'Данные 2st'!$IU$2:$IU$317),"")</f>
        <v>0</v>
      </c>
      <c r="OG37" s="7">
        <f>IFERROR(AVERAGEIF('Данные 2st'!$Q$2:$Q$317,$A37,'Данные 2st'!$IV$2:$IV$317),"")</f>
        <v>6.4</v>
      </c>
      <c r="OH37" s="7">
        <f>IFERROR(AVERAGEIF('Данные 2st'!$Q$2:$Q$317,$A37,'Данные 2st'!$IW$2:$IW$317),"")</f>
        <v>-6</v>
      </c>
      <c r="OI37" s="7">
        <f>IFERROR(AVERAGEIF('Данные 2st'!$Q$2:$Q$317,$A37,'Данные 2st'!$IX$2:$IX$317),"")</f>
        <v>99.3</v>
      </c>
      <c r="OJ37" s="7">
        <f>IFERROR(AVERAGEIF('Данные 2st'!$Q$2:$Q$317,$A37,'Данные 2st'!$IY$2:$IY$317),"")</f>
        <v>73.2</v>
      </c>
      <c r="OK37" s="7">
        <f>IFERROR(AVERAGEIF('Данные 2st'!$Q$2:$Q$317,$A37,'Данные 2st'!$IZ$2:$IZ$317),"")</f>
        <v>0</v>
      </c>
      <c r="OL37" s="7">
        <f>IFERROR(AVERAGEIF('Данные 2st'!$Q$2:$Q$317,$A37,'Данные 2st'!$JA$2:$JA$317),"")</f>
        <v>0</v>
      </c>
      <c r="OM37" s="7">
        <f>IFERROR(AVERAGEIF('Данные 2st'!$Q$2:$Q$317,$A37,'Данные 2st'!$JB$2:$JB$317),"")</f>
        <v>0</v>
      </c>
      <c r="ON37" s="7">
        <f>IFERROR(AVERAGEIF('Данные 2st'!$Q$2:$Q$317,$A37,'Данные 2st'!$JC$2:$JC$317),"")</f>
        <v>0</v>
      </c>
      <c r="OO37" s="7">
        <f>IFERROR(AVERAGEIF('Данные 2st'!$Q$2:$Q$317,$A37,'Данные 2st'!$JD$2:$JD$317),"")</f>
        <v>0</v>
      </c>
      <c r="OP37" s="7">
        <f>IFERROR(AVERAGEIF('Данные 2st'!$Q$2:$Q$317,$A37,'Данные 2st'!$JE$2:$JE$317),"")</f>
        <v>0</v>
      </c>
      <c r="OQ37" s="7">
        <f>IFERROR(AVERAGEIF('Данные 2st'!$Q$2:$Q$317,$A37,'Данные 2st'!$JF$2:$JF$317),"")</f>
        <v>0</v>
      </c>
      <c r="OR37" s="7">
        <f>IFERROR(AVERAGEIF('Данные 2st'!$Q$2:$Q$317,$A37,'Данные 2st'!$JG$2:$JG$317),"")</f>
        <v>0</v>
      </c>
      <c r="OS37" s="7">
        <f>IFERROR(AVERAGEIF('Данные 2st'!$Q$2:$Q$317,$A37,'Данные 2st'!$JH$2:$JH$317),"")</f>
        <v>0</v>
      </c>
      <c r="OT37" s="7">
        <f>IFERROR(AVERAGEIF('Данные 2st'!$Q$2:$Q$317,$A37,'Данные 2st'!$JI$2:$JI$317),"")</f>
        <v>382</v>
      </c>
      <c r="OU37" s="7">
        <f>IFERROR(AVERAGEIF('Данные 2st'!$Q$2:$Q$317,$A37,'Данные 2st'!$JJ$2:$JJ$317),"")</f>
        <v>352</v>
      </c>
      <c r="OV37" s="7">
        <f>IFERROR(AVERAGEIF('Данные 2st'!$Q$2:$Q$317,$A37,'Данные 2st'!$JK$2:$JK$317),"")</f>
        <v>260</v>
      </c>
      <c r="OW37" s="7">
        <f>IFERROR(AVERAGEIF('Данные 2st'!$Q$2:$Q$317,$A37,'Данные 2st'!$JL$2:$JL$317),"")</f>
        <v>349.2</v>
      </c>
      <c r="OX37" s="7">
        <f>IFERROR(AVERAGEIF('Данные 2st'!$Q$2:$Q$317,$A37,'Данные 2st'!$JM$2:$JM$317),"")</f>
        <v>263</v>
      </c>
      <c r="OY37" s="7">
        <f>IFERROR(AVERAGEIF('Данные 2st'!$Q$2:$Q$317,$A37,'Данные 2st'!$JP$2:$JP$317),"")</f>
        <v>197</v>
      </c>
      <c r="OZ37" s="7">
        <f>IFERROR(AVERAGEIF('Данные 2st'!$Q$2:$Q$317,$A37,'Данные 2st'!$JQ$2:$JQ$317),"")</f>
        <v>242.4</v>
      </c>
      <c r="PA37" s="7">
        <f>IFERROR(AVERAGEIF('Данные 2st'!$Q$2:$Q$317,$A37,'Данные 2st'!$JR$2:$JR$317),"")</f>
        <v>319.2</v>
      </c>
      <c r="PB37" s="7">
        <f>IFERROR(AVERAGEIF('Данные 2st'!$Q$2:$Q$317,$A37,'Данные 2st'!$JS$2:$JS$317),"")</f>
        <v>247.8</v>
      </c>
      <c r="PC37" s="7">
        <f>IFERROR(AVERAGEIF('Данные 2st'!$Q$2:$Q$317,$A37,'Данные 2st'!$JT$2:$JT$317),"")</f>
        <v>0</v>
      </c>
      <c r="PD37" s="7">
        <f>IFERROR(AVERAGEIF('Данные 2st'!$Q$2:$Q$317,$A37,'Данные 2st'!$JU$2:$JU$317),"")</f>
        <v>0</v>
      </c>
      <c r="PE37" s="7">
        <f>IFERROR(AVERAGEIF('Данные 2st'!$Q$2:$Q$317,$A37,'Данные 2st'!$JV$2:$JV$317),"")</f>
        <v>317.6</v>
      </c>
      <c r="PF37" s="7">
        <f>IFERROR(AVERAGEIF('Данные 2st'!$Q$2:$Q$317,$A37,'Данные 2st'!$JW$2:$JW$317),"")</f>
        <v>320.6</v>
      </c>
      <c r="PG37" s="7">
        <f>IFERROR(AVERAGEIF('Данные 2st'!$Q$2:$Q$317,$A37,'Данные 2st'!$KF$2:$KF$317),"")</f>
        <v>0.192</v>
      </c>
      <c r="PH37" s="7">
        <f>IFERROR(AVERAGEIF('Данные 2st'!$Q$2:$Q$317,$A37,'Данные 2st'!$KG$2:$KG$317),"")</f>
        <v>0.10400000000000001</v>
      </c>
      <c r="PI37" s="7">
        <f>IFERROR(AVERAGEIF('Данные 2st'!$Q$2:$Q$317,$A37,'Данные 2st'!$KM$2:$KM$317),"")</f>
        <v>0.8</v>
      </c>
      <c r="PJ37" s="7">
        <f>IFERROR(AVERAGEIF('Данные 2st'!$Q$2:$Q$317,$A37,'Данные 2st'!$KN$2:$KN$317),"")</f>
        <v>1.78</v>
      </c>
      <c r="PK37" s="7">
        <f>IFERROR(AVERAGEIF('Данные 2st'!$Q$2:$Q$317,$A37,'Данные 2st'!$KO$2:$KO$317),"")</f>
        <v>0</v>
      </c>
      <c r="PL37" s="7">
        <f>IFERROR(AVERAGEIF('Данные 2st'!$Q$2:$Q$317,$A37,'Данные 2st'!$KP$2:$KP$317),"")</f>
        <v>0</v>
      </c>
      <c r="PM37" s="7">
        <f>IFERROR(AVERAGEIF('Данные 2st'!$Q$2:$Q$317,$A37,'Данные 2st'!$KQ$2:$KQ$317),"")</f>
        <v>0.8200000000000001</v>
      </c>
      <c r="PN37" s="7">
        <f>IFERROR(AVERAGEIF('Данные 2st'!$Q$2:$Q$317,$A37,'Данные 2st'!$KR$2:$KR$317),"")</f>
        <v>0.78</v>
      </c>
      <c r="PO37" s="7">
        <f>IFERROR(AVERAGEIF('Данные 2st'!$Q$2:$Q$317,$A37,'Данные 2st'!$KS$2:$KS$317),"")</f>
        <v>0.08</v>
      </c>
      <c r="PP37" s="7">
        <f>IFERROR(AVERAGEIF('Данные 2st'!$Q$2:$Q$317,$A37,'Данные 2st'!$KT$2:$KT$317),"")</f>
        <v>2.22</v>
      </c>
      <c r="PQ37" s="7">
        <f>IFERROR(AVERAGEIF('Данные 2st'!$Q$2:$Q$317,$A37,'Данные 2st'!$KU$2:$KU$317),"")</f>
        <v>0</v>
      </c>
      <c r="PR37" s="7">
        <f>IFERROR(AVERAGEIF('Данные 2st'!$Q$2:$Q$317,$A37,'Данные 2st'!$KV$2:$KV$317),"")</f>
        <v>0</v>
      </c>
      <c r="PS37" s="7">
        <f>IFERROR(AVERAGEIF('Данные 2st'!$Q$2:$Q$317,$A37,'Данные 2st'!$KW$2:$KW$317),"")</f>
        <v>0.64</v>
      </c>
      <c r="PT37" s="7">
        <f>IFERROR(AVERAGEIF('Данные 2st'!$Q$2:$Q$317,$A37,'Данные 2st'!$KX$2:$KX$317),"")</f>
        <v>1.5</v>
      </c>
      <c r="PU37" s="7">
        <f>IFERROR(AVERAGEIF('Данные 2st'!$Q$2:$Q$317,$A37,'Данные 2st'!$KY$2:$KY$317),"")</f>
        <v>0</v>
      </c>
      <c r="PV37" s="7">
        <f>IFERROR(AVERAGEIF('Данные 2st'!$Q$2:$Q$317,$A37,'Данные 2st'!$KZ$2:$KZ$317),"")</f>
        <v>0</v>
      </c>
      <c r="PW37" s="7">
        <f>IFERROR(AVERAGEIF('Данные 2st'!$Q$2:$Q$317,$A37,'Данные 2st'!$LA$2:$LA$317),"")</f>
        <v>0</v>
      </c>
      <c r="PX37" s="7">
        <f>IFERROR(AVERAGEIF('Данные 2st'!$Q$2:$Q$317,$A37,'Данные 2st'!$LB$2:$LB$317),"")</f>
        <v>0</v>
      </c>
      <c r="PY37" s="7">
        <f>IFERROR(AVERAGEIF('Данные 2st'!$Q$2:$Q$317,$A37,'Данные 2st'!$LC$2:$LC$317),"")</f>
        <v>0</v>
      </c>
      <c r="PZ37" s="7">
        <f>IFERROR(AVERAGEIF('Данные 2st'!$Q$2:$Q$317,$A37,'Данные 2st'!$LD$2:$LD$317),"")</f>
        <v>0</v>
      </c>
      <c r="QA37" s="7">
        <f>IFERROR(AVERAGEIF('Данные 2st'!$Q$2:$Q$317,$A37,'Данные 2st'!$LE$2:$LE$317),"")</f>
        <v>0</v>
      </c>
      <c r="QB37" s="7">
        <f>IFERROR(AVERAGEIF('Данные 2st'!$Q$2:$Q$317,$A37,'Данные 2st'!$LF$2:$LF$317),"")</f>
        <v>0</v>
      </c>
      <c r="QC37" s="7">
        <f>IFERROR(AVERAGEIF('Данные 2st'!$Q$2:$Q$317,$A37,'Данные 2st'!$LG$2:$LG$317),"")</f>
        <v>0</v>
      </c>
      <c r="QD37" s="7">
        <f>IFERROR(AVERAGEIF('Данные 2st'!$Q$2:$Q$317,$A37,'Данные 2st'!$LH$2:$LH$317),"")</f>
        <v>3</v>
      </c>
      <c r="QE37" s="7">
        <f>IFERROR(AVERAGEIF('Данные 2st'!$Q$2:$Q$317,$A37,'Данные 2st'!$LJ$2:$LJ$317),"")</f>
        <v>0</v>
      </c>
      <c r="QF37" s="7">
        <f>IFERROR(AVERAGEIF('Данные 2st'!$Q$2:$Q$317,$A37,'Данные 2st'!$LK$2:$LK$317),"")</f>
        <v>5.4</v>
      </c>
      <c r="QG37" s="7">
        <f>IFERROR(AVERAGEIF('Данные 2st'!$Q$2:$Q$317,$A37,'Данные 2st'!$LL$2:$LL$317),"")</f>
        <v>5.4</v>
      </c>
      <c r="QH37" s="7">
        <f>IFERROR(AVERAGEIF('Данные 2st'!$Q$2:$Q$317,$A37,'Данные 2st'!$LM$2:$LM$317),"")</f>
        <v>8.2</v>
      </c>
      <c r="QI37" s="7">
        <f>IFERROR(AVERAGEIF('Данные 2st'!$Q$2:$Q$317,$A37,'Данные 2st'!$LN$2:$LN$317),"")</f>
        <v>0.16</v>
      </c>
      <c r="QJ37" s="7">
        <f>IFERROR(AVERAGEIF('Данные 2st'!$Q$2:$Q$317,$A37,'Данные 2st'!$LO$2:$LO$317),"")</f>
        <v>2.52</v>
      </c>
      <c r="QK37" s="7">
        <f>IFERROR(AVERAGEIF('Данные 2st'!$Q$2:$Q$317,$A37,'Данные 2st'!$LP$2:$LP$317),"")</f>
        <v>0</v>
      </c>
      <c r="QL37" s="7">
        <f>IFERROR(AVERAGEIF('Данные 2st'!$Q$2:$Q$317,$A37,'Данные 2st'!$LQ$2:$LQ$317),"")</f>
        <v>0</v>
      </c>
      <c r="QM37" s="7">
        <f>IFERROR(AVERAGEIF('Данные 2st'!$Q$2:$Q$317,$A37,'Данные 2st'!$LW$2:$LW$317),"")</f>
        <v>1.7799999999999998</v>
      </c>
      <c r="QN37" s="7">
        <f>IFERROR(AVERAGEIF('Данные 2st'!$Q$2:$Q$317,$A37,'Данные 2st'!$LX$2:$LX$317),"")</f>
        <v>1.7799999999999998</v>
      </c>
      <c r="QO37" s="7">
        <f>IFERROR(AVERAGEIF('Данные 2st'!$Q$2:$Q$317,$A37,'Данные 2st'!$LY$2:$LY$317),"")</f>
        <v>2.02</v>
      </c>
      <c r="QP37" s="7">
        <f>IFERROR(AVERAGEIF('Данные 2st'!$Q$2:$Q$317,$A37,'Данные 2st'!$LZ$2:$LZ$317),"")</f>
        <v>2.02</v>
      </c>
      <c r="QQ37" s="7">
        <f>IFERROR(AVERAGEIF('Данные 2st'!$Q$2:$Q$317,$A37,'Данные 2st'!$MB$2:$MB$317),"")</f>
        <v>3.3</v>
      </c>
      <c r="QR37" s="7">
        <f>IFERROR(AVERAGEIF('Данные 2st'!$Q$2:$Q$317,$A37,'Данные 2st'!$MG$2:$MG$317),"")</f>
        <v>0</v>
      </c>
      <c r="QS37" s="7">
        <f>IFERROR(AVERAGEIF('Данные 2st'!$Q$2:$Q$317,$A37,'Данные 2st'!$MH$2:$MH$317),"")</f>
        <v>0</v>
      </c>
      <c r="QT37" s="7">
        <f>IFERROR(AVERAGEIF('Данные 2st'!$Q$2:$Q$317,$A37,'Данные 2st'!$MI$2:$MI$317),"")</f>
        <v>0</v>
      </c>
      <c r="QU37" s="7">
        <f>IFERROR(AVERAGEIF('Данные 2st'!$Q$2:$Q$317,$A37,'Данные 2st'!$MJ$2:$MJ$317),"")</f>
        <v>0</v>
      </c>
      <c r="QV37" s="7">
        <f>IFERROR(AVERAGEIF('Данные 2st'!$Q$2:$Q$317,$A37,'Данные 2st'!$MK$2:$MK$317),"")</f>
        <v>0</v>
      </c>
      <c r="QW37" s="7">
        <f>IFERROR(AVERAGEIF('Данные 2st'!$Q$2:$Q$317,$A37,'Данные 2st'!$MM$2:$MM$317),"")</f>
        <v>401.6</v>
      </c>
      <c r="QX37" s="7">
        <f>IFERROR(AVERAGEIF('Данные 2st'!$Q$2:$Q$317,$A37,'Данные 2st'!$MQ$2:$MQ$317),"")</f>
        <v/>
      </c>
      <c r="QY37" s="7">
        <f>IFERROR(AVERAGEIF('Данные 2st'!$Q$2:$Q$317,$A37,'Данные 2st'!$MR$2:$MR$317),"")</f>
        <v/>
      </c>
      <c r="QZ37" s="7">
        <f>IFERROR(AVERAGEIF('Данные 2st'!$Q$2:$Q$317,$A37,'Данные 2st'!$MS$2:$MS$317),"")</f>
        <v/>
      </c>
      <c r="RA37" s="7">
        <f>IFERROR(AVERAGEIF('Данные 2st'!$Q$2:$Q$317,$A37,'Данные 2st'!$MT$2:$MT$317),"")</f>
        <v/>
      </c>
      <c r="RB37" s="7">
        <f>IFERROR(AVERAGEIF('Данные 2st'!$Q$2:$Q$317,$A37,'Данные 2st'!$MU$2:$MU$317),"")</f>
        <v/>
      </c>
      <c r="RC37" s="7">
        <f>IFERROR(AVERAGEIF('Данные 2st'!$Q$2:$Q$317,$A37,'Данные 2st'!$MV$2:$MV$317),"")</f>
        <v/>
      </c>
      <c r="RD37" s="7">
        <f>IFERROR(AVERAGEIF('Данные 2st'!$Q$2:$Q$317,$A37,'Данные 2st'!$MW$2:$MW$317),"")</f>
        <v/>
      </c>
      <c r="RE37" s="7">
        <f>IFERROR(AVERAGEIF('Данные 2st'!$Q$2:$Q$317,$A37,'Данные 2st'!$MX$2:$MX$317),"")</f>
        <v/>
      </c>
      <c r="RF37" s="7">
        <f>IFERROR(AVERAGEIF('Данные 2st'!$Q$2:$Q$317,$A37,'Данные 2st'!$MY$2:$MY$317),"")</f>
        <v/>
      </c>
      <c r="RG37" s="7">
        <f>IFERROR(AVERAGEIF('Данные 2st'!$Q$2:$Q$317,$A37,'Данные 2st'!$MZ$2:$MZ$317),"")</f>
        <v/>
      </c>
      <c r="RH37" s="7">
        <f>IFERROR(AVERAGEIF('Данные 2st'!$Q$2:$Q$317,$A37,'Данные 2st'!$NA$2:$NA$317),"")</f>
        <v/>
      </c>
      <c r="RI37" s="7">
        <f>IFERROR(AVERAGEIF('Данные 2st'!$Q$2:$Q$317,$A37,'Данные 2st'!$NB$2:$NB$317),"")</f>
        <v/>
      </c>
      <c r="RJ37" s="7">
        <f>IFERROR(AVERAGEIF('Данные 2st'!$Q$2:$Q$317,$A37,'Данные 2st'!$NC$2:$NC$317),"")</f>
        <v/>
      </c>
      <c r="RK37" s="7">
        <f>IFERROR(AVERAGEIF('Данные 2st'!$Q$2:$Q$317,$A37,'Данные 2st'!$ND$2:$ND$317),"")</f>
        <v/>
      </c>
      <c r="RL37" s="7">
        <f>IFERROR(AVERAGEIF('Данные 2st'!$Q$2:$Q$317,$A37,'Данные 2st'!$NE$2:$NE$317),"")</f>
        <v/>
      </c>
      <c r="RM37" s="7">
        <f>IFERROR(AVERAGEIF('Данные 2st'!$Q$2:$Q$317,$A37,'Данные 2st'!$NF$2:$NF$317),"")</f>
        <v/>
      </c>
      <c r="RN37" s="7">
        <f>IFERROR(AVERAGEIF('Данные 2st'!$Q$2:$Q$317,$A37,'Данные 2st'!$NG$2:$NG$317),"")</f>
        <v/>
      </c>
      <c r="RO37" s="7">
        <f>IFERROR(AVERAGEIF('Данные 2st'!$Q$2:$Q$317,$A37,'Данные 2st'!$NH$2:$NH$317),"")</f>
        <v/>
      </c>
      <c r="RP37" s="7">
        <f>IFERROR(AVERAGEIF('Данные 2st'!$Q$2:$Q$317,$A37,'Данные 2st'!$NJ$2:$NJ$317),"")</f>
        <v/>
      </c>
      <c r="RQ37" s="7">
        <f>IFERROR(AVERAGEIF('Данные 2st'!$Q$2:$Q$317,$A37,'Данные 2st'!$NK$2:$NK$317),"")</f>
        <v/>
      </c>
      <c r="RR37" s="7">
        <f>IFERROR(AVERAGEIF('Данные 2st'!$Q$2:$Q$317,$A37,'Данные 2st'!$NM$2:$NM$317),"")</f>
        <v/>
      </c>
      <c r="RS37" s="7">
        <f>IFERROR(AVERAGEIF('Данные 2st'!$Q$2:$Q$317,$A37,'Данные 2st'!$NN$2:$NN$317),"")</f>
        <v/>
      </c>
      <c r="RT37" s="7">
        <f>IFERROR(AVERAGEIF('Данные 2st'!$Q$2:$Q$317,$A37,'Данные 2st'!$NO$2:$NO$317),"")</f>
        <v/>
      </c>
      <c r="RU37" s="7">
        <f>IFERROR(AVERAGEIF('Данные 2st'!$Q$2:$Q$317,$A37,'Данные 2st'!$NP$2:$NP$317),"")</f>
        <v/>
      </c>
      <c r="RV37" s="7">
        <f>IFERROR(AVERAGEIF('Данные 2st'!$Q$2:$Q$317,$A37,'Данные 2st'!$NQ$2:$NQ$317),"")</f>
        <v/>
      </c>
      <c r="RW37" s="7">
        <f>IFERROR(AVERAGEIF('Данные 2st'!$Q$2:$Q$317,$A37,'Данные 2st'!$NR$2:$NR$317),"")</f>
        <v/>
      </c>
      <c r="RX37" s="7">
        <f>IFERROR(AVERAGEIF('Данные 2st'!$Q$2:$Q$317,$A37,'Данные 2st'!$NS$2:$NS$317),"")</f>
        <v/>
      </c>
      <c r="RY37" s="7">
        <f>IFERROR(AVERAGEIF('Данные 2st'!$Q$2:$Q$317,$A37,'Данные 2st'!$NT$2:$NT$317),"")</f>
        <v/>
      </c>
      <c r="RZ37" s="7">
        <f>IFERROR(AVERAGEIF('Данные 2st'!$Q$2:$Q$317,$A37,'Данные 2st'!$OK$2:$OK$317),"")</f>
        <v>61</v>
      </c>
      <c r="SA37" s="7">
        <f>IFERROR(AVERAGEIF('Данные 2st'!$Q$2:$Q$317,$A37,'Данные 2st'!$OL$2:$OL$317),"")</f>
        <v>61</v>
      </c>
      <c r="SB37" s="7">
        <f>IFERROR(AVERAGEIF('Данные 2st'!$Q$2:$Q$317,$A37,'Данные 2st'!$ON$2:$ON$317),"")</f>
        <v>1.2</v>
      </c>
      <c r="SC37" s="7">
        <f>IFERROR(AVERAGEIF('Данные 2st'!$Q$2:$Q$317,$A37,'Данные 2st'!$OO$2:$OO$317),"")</f>
        <v>2064</v>
      </c>
      <c r="SD37" s="7">
        <f>IFERROR(AVERAGEIF('Данные 2st'!$Q$2:$Q$317,$A37,'Данные 2st'!$OP$2:$OP$317),"")</f>
        <v>61</v>
      </c>
      <c r="SE37" s="7">
        <f>IFERROR(AVERAGEIF('Данные 2st'!$Q$2:$Q$317,$A37,'Данные 2st'!$OQ$2:$OQ$317),"")</f>
        <v>61</v>
      </c>
      <c r="SF37" s="7">
        <f>IFERROR(AVERAGEIF('Данные 2st'!$Q$2:$Q$317,$A37,'Данные 2st'!$OS$2:$OS$317),"")</f>
        <v>1.2</v>
      </c>
      <c r="SG37" s="7">
        <f>IFERROR(AVERAGEIF('Данные 2st'!$Q$2:$Q$317,$A37,'Данные 2st'!$OT$2:$OT$317),"")</f>
        <v>2075</v>
      </c>
      <c r="SH37" s="7">
        <f>IFERROR(AVERAGEIF('Данные 2st'!$Q$2:$Q$317,$A37,'Данные 2st'!$OU$2:$OU$317),"")</f>
        <v>65</v>
      </c>
      <c r="SI37" s="7">
        <f>IFERROR(AVERAGEIF('Данные 2st'!$Q$2:$Q$317,$A37,'Данные 2st'!$OV$2:$OV$317),"")</f>
        <v>65</v>
      </c>
      <c r="SJ37" s="7">
        <f>IFERROR(AVERAGEIF('Данные 2st'!$Q$2:$Q$317,$A37,'Данные 2st'!$OX$2:$OX$317),"")</f>
        <v>1.8</v>
      </c>
      <c r="SK37" s="7">
        <f>IFERROR(AVERAGEIF('Данные 2st'!$Q$2:$Q$317,$A37,'Данные 2st'!$OY$2:$OY$317),"")</f>
        <v>42611</v>
      </c>
      <c r="SL37" s="7">
        <f>IFERROR(AVERAGEIF('Данные 2st'!$Q$2:$Q$317,$A37,'Данные 2st'!$OZ$2:$OZ$317),"")</f>
        <v>51</v>
      </c>
      <c r="SM37" s="7">
        <f>IFERROR(AVERAGEIF('Данные 2st'!$Q$2:$Q$317,$A37,'Данные 2st'!$PA$2:$PA$317),"")</f>
        <v>51.6</v>
      </c>
      <c r="SN37" s="7">
        <f>IFERROR(AVERAGEIF('Данные 2st'!$Q$2:$Q$317,$A37,'Данные 2st'!$PC$2:$PC$317),"")</f>
        <v>2</v>
      </c>
      <c r="SO37" s="7">
        <f>IFERROR(AVERAGEIF('Данные 2st'!$Q$2:$Q$317,$A37,'Данные 2st'!$PD$2:$PD$317),"")</f>
        <v>2107.6</v>
      </c>
      <c r="SP37" s="7">
        <f>IFERROR(AVERAGEIF('Данные 2st'!$Q$2:$Q$317,$A37,'Данные 2st'!$PF$2:$PF$317),"")</f>
        <v>404.2</v>
      </c>
      <c r="SQ37" s="7">
        <f>IFERROR(AVERAGEIF('Данные 2st'!$Q$2:$Q$317,$A37,'Данные 2st'!$PG$2:$PG$317),"")</f>
        <v>33.8</v>
      </c>
      <c r="SR37" s="7">
        <f>IFERROR(AVERAGEIF('Данные 2st'!$Q$2:$Q$317,$A37,'Данные 2st'!$PH$2:$PH$317),"")</f>
        <v>383</v>
      </c>
      <c r="SS37" s="7">
        <f>IFERROR(AVERAGEIF('Данные 2st'!$Q$2:$Q$317,$A37,'Данные 2st'!$PI$2:$PI$317),"")</f>
        <v>5.8</v>
      </c>
      <c r="ST37" s="7">
        <f>IFERROR(AVERAGEIF('Данные 2st'!$Q$2:$Q$317,$A37,'Данные 2st'!$PJ$2:$PJ$317),"")</f>
        <v>89.48</v>
      </c>
      <c r="SU37" s="7">
        <f>IFERROR(AVERAGEIF('Данные 2st'!$Q$2:$Q$317,$A37,'Данные 2st'!$PK$2:$PK$317),"")</f>
        <v>2110.6</v>
      </c>
      <c r="SV37" s="7">
        <f>IFERROR(AVERAGEIF('Данные 2st'!$Q$2:$Q$317,$A37,'Данные 2st'!$PL$2:$PL$317),"")</f>
        <v>1171.88</v>
      </c>
      <c r="SW37" s="7">
        <f>IFERROR(AVERAGEIF('Данные 2st'!$Q$2:$Q$317,$A37,'Данные 2st'!$PM$2:$PM$317),"")</f>
        <v>732.84</v>
      </c>
      <c r="SX37" s="7">
        <f>IFERROR(AVERAGEIF('Данные 2st'!$Q$2:$Q$317,$A37,'Данные 2st'!$PN$2:$PN$317),"")</f>
        <v>97.94</v>
      </c>
      <c r="SY37" s="7">
        <f>IFERROR(AVERAGEIF('Данные 2st'!$Q$2:$Q$317,$A37,'Данные 2st'!$PO$2:$PO$317),"")</f>
        <v>9.65</v>
      </c>
      <c r="SZ37" s="7">
        <f>IFERROR(AVERAGEIF('Данные 2st'!$Q$2:$Q$317,$A37,'Данные 2st'!$PP$2:$PP$317),"")</f>
        <v>12</v>
      </c>
      <c r="TA37" s="7">
        <f>IFERROR(AVERAGEIF('Данные 2st'!$Q$2:$Q$317,$A37,'Данные 2st'!$PQ$2:$PQ$317),"")</f>
        <v>3</v>
      </c>
      <c r="TB37" s="7">
        <f>IFERROR(AVERAGEIF('Данные 2st'!$Q$2:$Q$317,$A37,'Данные 2st'!$PR$2:$PR$317),"")</f>
        <v>3.8</v>
      </c>
      <c r="TC37" s="7">
        <f>IFERROR(AVERAGEIF('Данные 2st'!$Q$2:$Q$317,$A37,'Данные 2st'!$PS$2:$PS$317),"")</f>
        <v>0</v>
      </c>
      <c r="TD37" s="7">
        <f>IFERROR(AVERAGEIF('Данные 2st'!$Q$2:$Q$317,$A37,'Данные 2st'!$PT$2:$PT$317),"")</f>
        <v>236</v>
      </c>
      <c r="TE37" s="7">
        <f>IFERROR(AVERAGEIF('Данные 2st'!$Q$2:$Q$317,$A37,'Данные 2st'!$PU$2:$PU$317),"")</f>
        <v>10</v>
      </c>
      <c r="TF37" s="7">
        <f>IFERROR(AVERAGEIF('Данные 2st'!$Q$2:$Q$317,$A37,'Данные 2st'!$PX$2:$PX$317),"")</f>
        <v>0</v>
      </c>
      <c r="TG37" s="7">
        <f>IFERROR(AVERAGEIF('Данные 2st'!$Q$2:$Q$317,$A37,'Данные 2st'!$PY$2:$PY$317),"")</f>
        <v>0</v>
      </c>
      <c r="TH37" s="7">
        <f>IFERROR(AVERAGEIF('Данные 2st'!$Q$2:$Q$317,$A37,'Данные 2st'!$PZ$2:$PZ$317),"")</f>
        <v>0</v>
      </c>
      <c r="TI37" s="7">
        <f>IFERROR(AVERAGEIF('Данные 2st'!$Q$2:$Q$317,$A37,'Данные 2st'!$QA$2:$QA$317),"")</f>
        <v>0</v>
      </c>
      <c r="TJ37" s="7">
        <f>IFERROR(AVERAGEIF('Данные 2st'!$Q$2:$Q$317,$A37,'Данные 2st'!$QB$2:$QB$317),"")</f>
        <v>0</v>
      </c>
      <c r="TK37" s="7">
        <f>IFERROR(AVERAGEIF('Данные 2st'!$Q$2:$Q$317,$A37,'Данные 2st'!$QC$2:$QC$317),"")</f>
        <v>0</v>
      </c>
      <c r="TL37" s="7">
        <f>IFERROR(AVERAGEIF('Данные 2st'!$Q$2:$Q$317,$A37,'Данные 2st'!$QD$2:$QD$317),"")</f>
        <v>0</v>
      </c>
      <c r="TM37" s="7">
        <f>IFERROR(AVERAGEIF('Данные 2st'!$Q$2:$Q$317,$A37,'Данные 2st'!$QE$2:$QE$317),"")</f>
        <v>-1</v>
      </c>
      <c r="TN37" s="7">
        <f>IFERROR(AVERAGEIF('Данные 2st'!$Q$2:$Q$317,$A37,'Данные 2st'!$QF$2:$QF$317),"")</f>
        <v>1</v>
      </c>
      <c r="TO37" s="7">
        <f>IFERROR(AVERAGEIF('Данные 2st'!$Q$2:$Q$317,$A37,'Данные 2st'!$QG$2:$QG$317),"")</f>
        <v>0</v>
      </c>
      <c r="TP37" s="7">
        <f>IFERROR(AVERAGEIF('Данные 2st'!$Q$2:$Q$317,$A37,'Данные 2st'!$QH$2:$QH$317),"")</f>
        <v>5</v>
      </c>
      <c r="TQ37" s="7">
        <f>IFERROR(AVERAGEIF('Данные 2st'!$Q$2:$Q$317,$A37,'Данные 2st'!$QI$2:$QI$317),"")</f>
        <v>5</v>
      </c>
      <c r="TR37" s="7">
        <f>IFERROR(AVERAGEIF('Данные 2st'!$Q$2:$Q$317,$A37,'Данные 2st'!$QJ$2:$QJ$317),"")</f>
        <v>5</v>
      </c>
      <c r="TS37" s="7">
        <f>IFERROR(AVERAGEIF('Данные 2st'!$Q$2:$Q$317,$A37,'Данные 2st'!$QK$2:$QK$317),"")</f>
        <v>186</v>
      </c>
      <c r="TT37" s="7">
        <f>IFERROR(AVERAGEIF('Данные 2st'!$Q$2:$Q$317,$A37,'Данные 2st'!$QL$2:$QL$317),"")</f>
        <v>416</v>
      </c>
      <c r="TU37" s="7">
        <f>IFERROR(AVERAGEIF('Данные 2st'!$Q$2:$Q$317,$A37,'Данные 2st'!$QM$2:$QM$317),"")</f>
        <v>7.5</v>
      </c>
      <c r="TV37" s="7">
        <f>IFERROR(AVERAGEIF('Данные 2st'!$Q$2:$Q$317,$A37,'Данные 2st'!$QN$2:$QN$317),"")</f>
        <v>1462.3799999999999</v>
      </c>
      <c r="TW37" s="7">
        <f>IFERROR(AVERAGEIF('Данные 2st'!$Q$2:$Q$317,$A37,'Данные 2st'!$QQ$2:$QQ$317),"")</f>
        <v>0</v>
      </c>
      <c r="TX37" s="7">
        <f>IFERROR(AVERAGEIF('Данные 2st'!$Q$2:$Q$317,$A37,'Данные 2st'!$QS$2:$QS$317),"")</f>
        <v>30</v>
      </c>
      <c r="TY37" s="7">
        <f>IFERROR(AVERAGEIF('Данные 2st'!$Q$2:$Q$317,$A37,'Данные 2st'!$QT$2:$QT$317),"")</f>
        <v>40</v>
      </c>
    </row>
    <row r="38" spans="1:545" ht="32" customHeight="1">
      <c r="A38" s="11" t="s">
        <v>774</v>
      </c>
      <c r="B38">
        <f>COUNTIF('Данные 1st'!$S$2:$S$317,$A38)</f>
        <v>7</v>
      </c>
      <c r="C38" s="6" t="s">
        <v>5103</v>
      </c>
      <c r="D38" s="6" t="s">
        <v>513</v>
      </c>
      <c r="E38" s="6" t="s">
        <v>5125</v>
      </c>
      <c r="F38" s="6" t="s">
        <v>5159</v>
      </c>
      <c r="G38" s="7">
        <f>IFERROR(AVERAGEIF('Данные 1st'!$S$2:$S$317,$A38,'Данные 1st'!$AE$2:$AE$317),"")</f>
        <v>208.85714285714286</v>
      </c>
      <c r="H38" s="7">
        <f>IFERROR(AVERAGEIF('Данные 1st'!$S$2:$S$317,$A38,'Данные 1st'!$AF$2:$AF$317),"")</f>
        <v>1.5</v>
      </c>
      <c r="I38" s="7">
        <f>IFERROR(AVERAGEIF('Данные 1st'!$S$2:$S$317,$A38,'Данные 1st'!$AJ$2:$AJ$317),"")</f>
        <v>190.35714285714286</v>
      </c>
      <c r="J38" s="7">
        <f>IFERROR(AVERAGEIF('Данные 1st'!$S$2:$S$317,$A38,'Данные 1st'!$AL$2:$AL$317),"")</f>
        <v>1.5</v>
      </c>
      <c r="K38" s="7">
        <f>IFERROR(AVERAGEIF('Данные 1st'!$S$2:$S$317,$A38,'Данные 1st'!$AR$2:$AR$317),"")</f>
        <v>230</v>
      </c>
      <c r="L38" s="7">
        <f>IFERROR(AVERAGEIF('Данные 1st'!$S$2:$S$317,$A38,'Данные 1st'!$AS$2:$AS$317),"")</f>
        <v>1.5</v>
      </c>
      <c r="M38" s="7">
        <f>IFERROR(AVERAGEIF('Данные 1st'!$S$2:$S$317,$A38,'Данные 1st'!$AY$2:$AY$317),"")</f>
        <v>299.2857142857143</v>
      </c>
      <c r="N38" s="7">
        <f>IFERROR(AVERAGEIF('Данные 1st'!$S$2:$S$317,$A38,'Данные 1st'!$AZ$2:$AZ$317),"")</f>
        <v>1.5</v>
      </c>
      <c r="O38" s="7">
        <f>IFERROR(AVERAGEIF('Данные 1st'!$S$2:$S$317,$A38,'Данные 1st'!$BF$2:$BF$317),"")</f>
        <v>232.5</v>
      </c>
      <c r="P38" s="7">
        <f>IFERROR(AVERAGEIF('Данные 1st'!$S$2:$S$317,$A38,'Данные 1st'!$BG$2:$BG$317),"")</f>
        <v>1.5</v>
      </c>
      <c r="Q38" s="7">
        <f>IFERROR(AVERAGEIF('Данные 1st'!$S$2:$S$317,$A38,'Данные 1st'!$BM$2:$BM$317),"")</f>
        <v/>
      </c>
      <c r="R38" s="7">
        <f>IFERROR(AVERAGEIF('Данные 1st'!$S$2:$S$317,$A38,'Данные 1st'!$BN$2:$BN$317),"")</f>
        <v>1.5</v>
      </c>
      <c r="S38" s="7">
        <f>IFERROR(AVERAGEIF('Данные 1st'!$S$2:$S$317,$A38,'Данные 1st'!$BT$2:$BT$317),"")</f>
        <v>208.14285714285714</v>
      </c>
      <c r="T38" s="7">
        <f>IFERROR(AVERAGEIF('Данные 1st'!$S$2:$S$317,$A38,'Данные 1st'!$BU$2:$BU$317),"")</f>
        <v>0.5</v>
      </c>
      <c r="U38" s="7">
        <f>IFERROR(AVERAGEIF('Данные 1st'!$S$2:$S$317,$A38,'Данные 1st'!$BW$2:$BW$317),"")</f>
        <v>416.2857142857143</v>
      </c>
      <c r="V38" s="7">
        <f>IFERROR(AVERAGEIF('Данные 1st'!$S$2:$S$317,$A38,'Данные 1st'!$BX$2:$BX$317),"")</f>
        <v>1</v>
      </c>
      <c r="W38" s="7">
        <f>IFERROR(AVERAGEIF('Данные 1st'!$S$2:$S$317,$A38,'Данные 1st'!$BZ$2:$BZ$317),"")</f>
        <v>324.2857142857143</v>
      </c>
      <c r="X38" s="7">
        <f>IFERROR(AVERAGEIF('Данные 1st'!$S$2:$S$317,$A38,'Данные 1st'!$CA$2:$CA$317),"")</f>
        <v>490</v>
      </c>
      <c r="Y38" s="7">
        <f>IFERROR(AVERAGEIF('Данные 1st'!$S$2:$S$317,$A38,'Данные 1st'!$CD$2:$CD$317),"")</f>
        <v>443.14285714285717</v>
      </c>
      <c r="Z38" s="7">
        <f>IFERROR(AVERAGEIF('Данные 1st'!$S$2:$S$317,$A38,'Данные 1st'!$CF$2:$CF$317),"")</f>
        <v>15</v>
      </c>
      <c r="AA38" s="7">
        <f>IFERROR(AVERAGEIF('Данные 1st'!$S$2:$S$317,$A38,'Данные 1st'!$CI$2:$CI$317),"")</f>
        <v>82.85714285714286</v>
      </c>
      <c r="AB38" s="7">
        <f>IFERROR(AVERAGEIF('Данные 1st'!$S$2:$S$317,$A38,'Данные 1st'!$CJ$2:$CJ$317),"")</f>
        <v>1458</v>
      </c>
      <c r="AC38" s="7">
        <f>IFERROR(AVERAGEIF('Данные 1st'!$S$2:$S$317,$A38,'Данные 1st'!$CK$2:$CK$317),"")</f>
        <v>2</v>
      </c>
      <c r="AD38" s="7">
        <f>IFERROR(AVERAGEIF('Данные 1st'!$S$2:$S$317,$A38,'Данные 1st'!$CL$2:$CL$317),"")</f>
        <v>1552</v>
      </c>
      <c r="AE38" s="7">
        <f>IFERROR(AVERAGEIF('Данные 1st'!$S$2:$S$317,$A38,'Данные 1st'!$CM$2:$CM$317),"")</f>
        <v>2</v>
      </c>
      <c r="AF38" s="7">
        <f>IFERROR(AVERAGEIF('Данные 1st'!$S$2:$S$317,$A38,'Данные 1st'!$CT$2:$CT$317),"")</f>
        <v>380.7142857142857</v>
      </c>
      <c r="AG38" s="7">
        <f>IFERROR(AVERAGEIF('Данные 1st'!$S$2:$S$317,$A38,'Данные 1st'!$CU$2:$CU$317),"")</f>
        <v>5</v>
      </c>
      <c r="AH38" s="7">
        <f>IFERROR(AVERAGEIF('Данные 1st'!$S$2:$S$317,$A38,'Данные 1st'!$CV$2:$CV$317),"")</f>
        <v>1.2142857142857142</v>
      </c>
      <c r="AI38" s="7">
        <f>IFERROR(AVERAGEIF('Данные 1st'!$S$2:$S$317,$A38,'Данные 1st'!$CW$2:$CW$317),"")</f>
        <v>1475</v>
      </c>
      <c r="AJ38" s="7">
        <f>IFERROR(AVERAGEIF('Данные 1st'!$S$2:$S$317,$A38,'Данные 1st'!$CX$2:$CX$317),"")</f>
        <v>804.7142857142857</v>
      </c>
      <c r="AK38" s="7">
        <f>IFERROR(AVERAGEIF('Данные 1st'!$S$2:$S$317,$A38,'Данные 1st'!$CZ$2:$CZ$317),"")</f>
        <v>51.42857142857143</v>
      </c>
      <c r="AL38" s="7">
        <f>IFERROR(AVERAGEIF('Данные 1st'!$S$2:$S$317,$A38,'Данные 1st'!$DA$2:$DA$317),"")</f>
        <v>3</v>
      </c>
      <c r="AM38" s="7">
        <f>IFERROR(AVERAGEIF('Данные 1st'!$S$2:$S$317,$A38,'Данные 1st'!$DB$2:$DB$317),"")</f>
        <v>1.08</v>
      </c>
      <c r="AN38" s="7">
        <f>IFERROR(AVERAGEIF('Данные 1st'!$S$2:$S$317,$A38,'Данные 1st'!$DC$2:$DC$317),"")</f>
        <v>1475</v>
      </c>
      <c r="AO38" s="7">
        <f>IFERROR(AVERAGEIF('Данные 1st'!$S$2:$S$317,$A38,'Данные 1st'!$DD$2:$DD$317),"")</f>
        <v>87.85714285714286</v>
      </c>
      <c r="AP38" s="7">
        <f>IFERROR(AVERAGEIF('Данные 1st'!$S$2:$S$317,$A38,'Данные 1st'!$DF$2:$DF$317),"")</f>
        <v>598.5714285714286</v>
      </c>
      <c r="AQ38" s="7">
        <f>IFERROR(AVERAGEIF('Данные 1st'!$S$2:$S$317,$A38,'Данные 1st'!$DG$2:$DG$317),"")</f>
        <v>3</v>
      </c>
      <c r="AR38" s="7">
        <f>IFERROR(AVERAGEIF('Данные 1st'!$S$2:$S$317,$A38,'Данные 1st'!$DH$2:$DH$317),"")</f>
        <v>1.0514285714285714</v>
      </c>
      <c r="AS38" s="7">
        <f>IFERROR(AVERAGEIF('Данные 1st'!$S$2:$S$317,$A38,'Данные 1st'!$DI$2:$DI$317),"")</f>
        <v>1467.7142857142858</v>
      </c>
      <c r="AT38" s="7">
        <f>IFERROR(AVERAGEIF('Данные 1st'!$S$2:$S$317,$A38,'Данные 1st'!$DJ$2:$DJ$317),"")</f>
        <v>1249</v>
      </c>
      <c r="AU38" s="7">
        <f>IFERROR(AVERAGEIF('Данные 1st'!$S$2:$S$317,$A38,'Данные 1st'!$DL$2:$DL$317),"")</f>
        <v>465</v>
      </c>
      <c r="AV38" s="7">
        <f>IFERROR(AVERAGEIF('Данные 1st'!$S$2:$S$317,$A38,'Данные 1st'!$DM$2:$DM$317),"")</f>
        <v>3</v>
      </c>
      <c r="AW38" s="7">
        <f>IFERROR(AVERAGEIF('Данные 1st'!$S$2:$S$317,$A38,'Данные 1st'!$DN$2:$DN$317),"")</f>
        <v>0.88</v>
      </c>
      <c r="AX38" s="7">
        <f>IFERROR(AVERAGEIF('Данные 1st'!$S$2:$S$317,$A38,'Данные 1st'!$DO$2:$DO$317),"")</f>
        <v>1472.3333333333333</v>
      </c>
      <c r="AY38" s="7">
        <f>IFERROR(AVERAGEIF('Данные 1st'!$S$2:$S$317,$A38,'Данные 1st'!$DP$2:$DP$317),"")</f>
        <v>791.3333333333334</v>
      </c>
      <c r="AZ38" s="7">
        <f>IFERROR(AVERAGEIF('Данные 1st'!$S$2:$S$317,$A38,'Данные 1st'!$DR$2:$DR$317),"")</f>
        <v/>
      </c>
      <c r="BA38" s="7">
        <f>IFERROR(AVERAGEIF('Данные 1st'!$S$2:$S$317,$A38,'Данные 1st'!$DS$2:$DS$317),"")</f>
        <v/>
      </c>
      <c r="BB38" s="7">
        <f>IFERROR(AVERAGEIF('Данные 1st'!$S$2:$S$317,$A38,'Данные 1st'!$DT$2:$DT$317),"")</f>
        <v/>
      </c>
      <c r="BC38" s="7">
        <f>IFERROR(AVERAGEIF('Данные 1st'!$S$2:$S$317,$A38,'Данные 1st'!$DU$2:$DU$317),"")</f>
        <v/>
      </c>
      <c r="BD38" s="7">
        <f>IFERROR(AVERAGEIF('Данные 1st'!$S$2:$S$317,$A38,'Данные 1st'!$DV$2:$DV$317),"")</f>
        <v/>
      </c>
      <c r="BE38" s="7">
        <f>IFERROR(AVERAGEIF('Данные 1st'!$S$2:$S$317,$A38,'Данные 1st'!$DX$2:$DX$317),"")</f>
        <v>7.5</v>
      </c>
      <c r="BF38" s="7">
        <f>IFERROR(AVERAGEIF('Данные 1st'!$S$2:$S$317,$A38,'Данные 1st'!$EA$2:$EA$317),"")</f>
        <v>1542.2714285714285</v>
      </c>
      <c r="BG38" s="7">
        <f>IFERROR(AVERAGEIF('Данные 1st'!$S$2:$S$317,$A38,'Данные 1st'!$EB$2:$EB$317),"")</f>
        <v>288</v>
      </c>
      <c r="BH38" s="7">
        <f>IFERROR(AVERAGEIF('Данные 1st'!$S$2:$S$317,$A38,'Данные 1st'!$ED$2:$ED$317),"")</f>
        <v>34.285714285714285</v>
      </c>
      <c r="BI38" s="7">
        <f>IFERROR(AVERAGEIF('Данные 1st'!$S$2:$S$317,$A38,'Данные 1st'!$EE$2:$EE$317),"")</f>
        <v>3</v>
      </c>
      <c r="BJ38" s="7">
        <f>IFERROR(AVERAGEIF('Данные 1st'!$S$2:$S$317,$A38,'Данные 1st'!$EG$2:$EG$317),"")</f>
        <v>1584.7142857142858</v>
      </c>
      <c r="BK38" s="7">
        <f>IFERROR(AVERAGEIF('Данные 1st'!$S$2:$S$317,$A38,'Данные 1st'!$EH$2:$EH$317),"")</f>
        <v>215.28571428571428</v>
      </c>
      <c r="BL38" s="7">
        <f>IFERROR(AVERAGEIF('Данные 1st'!$S$2:$S$317,$A38,'Данные 1st'!$EJ$2:$EJ$317),"")</f>
        <v>0</v>
      </c>
      <c r="BM38" s="7">
        <f>IFERROR(AVERAGEIF('Данные 1st'!$S$2:$S$317,$A38,'Данные 1st'!$EK$2:$EK$317),"")</f>
        <v>1</v>
      </c>
      <c r="BN38" s="7">
        <f>IFERROR(AVERAGEIF('Данные 1st'!$S$2:$S$317,$A38,'Данные 1st'!$EN$2:$EN$317),"")</f>
        <v>0</v>
      </c>
      <c r="BO38" s="7">
        <f>IFERROR(AVERAGEIF('Данные 1st'!$S$2:$S$317,$A38,'Данные 1st'!$EQ$2:$EQ$317),"")</f>
        <v>101.71428571428571</v>
      </c>
      <c r="BP38" s="7">
        <f>IFERROR(AVERAGEIF('Данные 1st'!$S$2:$S$317,$A38,'Данные 1st'!$ER$2:$ER$317),"")</f>
        <v>3</v>
      </c>
      <c r="BQ38" s="7">
        <f>IFERROR(AVERAGEIF('Данные 1st'!$S$2:$S$317,$A38,'Данные 1st'!$ES$2:$ES$317),"")</f>
        <v>5.571428571428571</v>
      </c>
      <c r="BR38" s="7">
        <f>IFERROR(AVERAGEIF('Данные 1st'!$S$2:$S$317,$A38,'Данные 1st'!$ET$2:$ET$317),"")</f>
        <v>1454.5714285714287</v>
      </c>
      <c r="BS38" s="7">
        <f>IFERROR(AVERAGEIF('Данные 1st'!$S$2:$S$317,$A38,'Данные 1st'!$EU$2:$EU$317),"")</f>
        <v>449.3857142857143</v>
      </c>
      <c r="BT38" s="7">
        <f>IFERROR(AVERAGEIF('Данные 1st'!$S$2:$S$317,$A38,'Данные 1st'!$EV$2:$EV$317),"")</f>
        <v>653.5714285714286</v>
      </c>
      <c r="BU38" s="7">
        <f>IFERROR(AVERAGEIF('Данные 1st'!$S$2:$S$317,$A38,'Данные 1st'!$EX$2:$EX$317),"")</f>
        <v>44.714285714285715</v>
      </c>
      <c r="BV38" s="7">
        <f>IFERROR(AVERAGEIF('Данные 1st'!$S$2:$S$317,$A38,'Данные 1st'!$EY$2:$EY$317),"")</f>
        <v>2</v>
      </c>
      <c r="BW38" s="7">
        <f>IFERROR(AVERAGEIF('Данные 1st'!$S$2:$S$317,$A38,'Данные 1st'!$EZ$2:$EZ$317),"")</f>
        <v>4.457142857142857</v>
      </c>
      <c r="BX38" s="7">
        <f>IFERROR(AVERAGEIF('Данные 1st'!$S$2:$S$317,$A38,'Данные 1st'!$FA$2:$FA$317),"")</f>
        <v>1454.5714285714287</v>
      </c>
      <c r="BY38" s="7">
        <f>IFERROR(AVERAGEIF('Данные 1st'!$S$2:$S$317,$A38,'Данные 1st'!$FB$2:$FB$317),"")</f>
        <v>144.34285714285713</v>
      </c>
      <c r="BZ38" s="7">
        <f>IFERROR(AVERAGEIF('Данные 1st'!$S$2:$S$317,$A38,'Данные 1st'!$FC$2:$FC$317),"")</f>
        <v>209.85714285714286</v>
      </c>
      <c r="CA38" s="7">
        <f>IFERROR(AVERAGEIF('Данные 1st'!$S$2:$S$317,$A38,'Данные 1st'!$FE$2:$FE$317),"")</f>
        <v>0</v>
      </c>
      <c r="CB38" s="7">
        <f>IFERROR(AVERAGEIF('Данные 1st'!$S$2:$S$317,$A38,'Данные 1st'!$FF$2:$FF$317),"")</f>
        <v>2</v>
      </c>
      <c r="CC38" s="7">
        <f>IFERROR(AVERAGEIF('Данные 1st'!$S$2:$S$317,$A38,'Данные 1st'!$FI$2:$FI$317),"")</f>
        <v>0</v>
      </c>
      <c r="CD38" s="7">
        <f>IFERROR(AVERAGEIF('Данные 1st'!$S$2:$S$317,$A38,'Данные 1st'!$FL$2:$FL$317),"")</f>
        <v>0.4</v>
      </c>
      <c r="CE38" s="7">
        <f>IFERROR(AVERAGEIF('Данные 1st'!$S$2:$S$317,$A38,'Данные 1st'!$FM$2:$FM$317),"")</f>
        <v>45.714285714285715</v>
      </c>
      <c r="CF38" s="7">
        <f>IFERROR(AVERAGEIF('Данные 1st'!$S$2:$S$317,$A38,'Данные 1st'!$FN$2:$FN$317),"")</f>
        <v>355.7142857142857</v>
      </c>
      <c r="CG38" s="7">
        <f>IFERROR(AVERAGEIF('Данные 1st'!$S$2:$S$317,$A38,'Данные 1st'!$FO$2:$FO$317),"")</f>
        <v>80</v>
      </c>
      <c r="CH38" s="7">
        <f>IFERROR(AVERAGEIF('Данные 1st'!$S$2:$S$317,$A38,'Данные 1st'!$FP$2:$FP$317),"")</f>
        <v>137.14285714285714</v>
      </c>
      <c r="CI38" s="7">
        <f>IFERROR(AVERAGEIF('Данные 1st'!$S$2:$S$317,$A38,'Данные 1st'!$FS$2:$FS$317),"")</f>
        <v>0.4</v>
      </c>
      <c r="CJ38" s="7">
        <f>IFERROR(AVERAGEIF('Данные 1st'!$S$2:$S$317,$A38,'Данные 1st'!$FT$2:$FT$317),"")</f>
        <v>30</v>
      </c>
      <c r="CK38" s="7">
        <f>IFERROR(AVERAGEIF('Данные 1st'!$S$2:$S$317,$A38,'Данные 1st'!$FU$2:$FU$317),"")</f>
        <v>340</v>
      </c>
      <c r="CL38" s="7">
        <f>IFERROR(AVERAGEIF('Данные 1st'!$S$2:$S$317,$A38,'Данные 1st'!$FV$2:$FV$317),"")</f>
        <v/>
      </c>
      <c r="CM38" s="7">
        <f>IFERROR(AVERAGEIF('Данные 1st'!$S$2:$S$317,$A38,'Данные 1st'!$FW$2:$FW$317),"")</f>
        <v/>
      </c>
      <c r="CN38" s="7">
        <f>IFERROR(AVERAGEIF('Данные 1st'!$S$2:$S$317,$A38,'Данные 1st'!$FZ$2:$FZ$317),"")</f>
        <v>1</v>
      </c>
      <c r="CO38" s="7">
        <f>IFERROR(AVERAGEIF('Данные 1st'!$S$2:$S$317,$A38,'Данные 1st'!$GA$2:$GA$317),"")</f>
        <v>20</v>
      </c>
      <c r="CP38" s="7">
        <f>IFERROR(AVERAGEIF('Данные 1st'!$S$2:$S$317,$A38,'Данные 1st'!$GB$2:$GB$317),"")</f>
        <v>166</v>
      </c>
      <c r="CQ38" s="7">
        <f>IFERROR(AVERAGEIF('Данные 1st'!$S$2:$S$317,$A38,'Данные 1st'!$GH$2:$GH$317),"")</f>
        <v>1</v>
      </c>
      <c r="CR38" s="7">
        <f>IFERROR(AVERAGEIF('Данные 1st'!$S$2:$S$317,$A38,'Данные 1st'!$GI$2:$GI$317),"")</f>
        <v>20</v>
      </c>
      <c r="CS38" s="7">
        <f>IFERROR(AVERAGEIF('Данные 1st'!$S$2:$S$317,$A38,'Данные 1st'!$GJ$2:$GJ$317),"")</f>
        <v>166</v>
      </c>
      <c r="CT38" s="7">
        <f>IFERROR(AVERAGEIF('Данные 1st'!$S$2:$S$317,$A38,'Данные 1st'!$GS$2:$GS$317),"")</f>
        <v>0.4666666666666667</v>
      </c>
      <c r="CU38" s="7">
        <f>IFERROR(AVERAGEIF('Данные 1st'!$S$2:$S$317,$A38,'Данные 1st'!$GT$2:$GT$317),"")</f>
        <v>30</v>
      </c>
      <c r="CV38" s="7">
        <f>IFERROR(AVERAGEIF('Данные 1st'!$S$2:$S$317,$A38,'Данные 1st'!$GU$2:$GU$317),"")</f>
        <v>376.6666666666667</v>
      </c>
      <c r="CW38" s="7">
        <f>IFERROR(AVERAGEIF('Данные 1st'!$S$2:$S$317,$A38,'Данные 1st'!$GV$2:$GV$317),"")</f>
        <v>33.333333333333336</v>
      </c>
      <c r="CX38" s="7">
        <f>IFERROR(AVERAGEIF('Данные 1st'!$S$2:$S$317,$A38,'Данные 1st'!$GW$2:$GW$317),"")</f>
        <v>250</v>
      </c>
      <c r="CY38" s="7">
        <f>IFERROR(AVERAGEIF('Данные 1st'!$S$2:$S$317,$A38,'Данные 1st'!$GZ$2:$GZ$317),"")</f>
        <v>1</v>
      </c>
      <c r="CZ38" s="7">
        <f>IFERROR(AVERAGEIF('Данные 1st'!$S$2:$S$317,$A38,'Данные 1st'!$HA$2:$HA$317),"")</f>
        <v>20</v>
      </c>
      <c r="DA38" s="7">
        <f>IFERROR(AVERAGEIF('Данные 1st'!$S$2:$S$317,$A38,'Данные 1st'!$HB$2:$HB$317),"")</f>
        <v>181</v>
      </c>
      <c r="DB38" s="7">
        <f>IFERROR(AVERAGEIF('Данные 1st'!$S$2:$S$317,$A38,'Данные 1st'!$HC$2:$HC$317),"")</f>
        <v>0.1</v>
      </c>
      <c r="DC38" s="7">
        <f>IFERROR(AVERAGEIF('Данные 1st'!$S$2:$S$317,$A38,'Данные 1st'!$HD$2:$HD$317),"")</f>
        <v>3</v>
      </c>
      <c r="DD38" s="7">
        <f>IFERROR(AVERAGEIF('Данные 1st'!$S$2:$S$317,$A38,'Данные 1st'!$HE$2:$HE$317),"")</f>
        <v>3</v>
      </c>
      <c r="DE38" s="7">
        <f>IFERROR(AVERAGEIF('Данные 1st'!$S$2:$S$317,$A38,'Данные 1st'!$HF$2:$HF$317),"")</f>
        <v>3</v>
      </c>
      <c r="DF38" s="7">
        <f>IFERROR(AVERAGEIF('Данные 1st'!$S$2:$S$317,$A38,'Данные 1st'!$HG$2:$HG$317),"")</f>
        <v>3</v>
      </c>
      <c r="DG38" s="7">
        <f>IFERROR(AVERAGEIF('Данные 1st'!$S$2:$S$317,$A38,'Данные 1st'!$HH$2:$HH$317),"")</f>
        <v>3</v>
      </c>
      <c r="DH38" s="7">
        <f>IFERROR(AVERAGEIF('Данные 1st'!$S$2:$S$317,$A38,'Данные 1st'!$HI$2:$HI$317),"")</f>
        <v>131.42857142857142</v>
      </c>
      <c r="DI38" s="7">
        <f>IFERROR(AVERAGEIF('Данные 1st'!$S$2:$S$317,$A38,'Данные 1st'!$HJ$2:$HJ$317),"")</f>
        <v>3</v>
      </c>
      <c r="DJ38" s="7">
        <f>IFERROR(AVERAGEIF('Данные 1st'!$S$2:$S$317,$A38,'Данные 1st'!$HK$2:$HK$317),"")</f>
        <v>29.714285714285715</v>
      </c>
      <c r="DK38" s="7">
        <f>IFERROR(AVERAGEIF('Данные 1st'!$S$2:$S$317,$A38,'Данные 1st'!$HL$2:$HL$317),"")</f>
        <v>2</v>
      </c>
      <c r="DL38" s="7">
        <f>IFERROR(AVERAGEIF('Данные 1st'!$S$2:$S$317,$A38,'Данные 1st'!$HM$2:$HM$317),"")</f>
        <v>0</v>
      </c>
      <c r="DM38" s="7">
        <f>IFERROR(AVERAGEIF('Данные 1st'!$S$2:$S$317,$A38,'Данные 1st'!$HN$2:$HN$317),"")</f>
        <v>2</v>
      </c>
      <c r="DN38" s="7">
        <f>IFERROR(AVERAGEIF('Данные 1st'!$S$2:$S$317,$A38,'Данные 1st'!$HO$2:$HO$317),"")</f>
        <v>86.71428571428571</v>
      </c>
      <c r="DO38" s="7">
        <f>IFERROR(AVERAGEIF('Данные 1st'!$S$2:$S$317,$A38,'Данные 1st'!$HP$2:$HP$317),"")</f>
        <v>3</v>
      </c>
      <c r="DP38" s="7">
        <f>IFERROR(AVERAGEIF('Данные 1st'!$S$2:$S$317,$A38,'Данные 1st'!$HQ$2:$HQ$317),"")</f>
        <v>0</v>
      </c>
      <c r="DQ38" s="7">
        <f>IFERROR(AVERAGEIF('Данные 1st'!$S$2:$S$317,$A38,'Данные 1st'!$HR$2:$HR$317),"")</f>
        <v>2</v>
      </c>
      <c r="DR38" s="7">
        <f>IFERROR(AVERAGEIF('Данные 1st'!$S$2:$S$317,$A38,'Данные 1st'!$HS$2:$HS$317),"")</f>
        <v>5302</v>
      </c>
      <c r="DS38" s="7">
        <f>IFERROR(AVERAGEIF('Данные 1st'!$S$2:$S$317,$A38,'Данные 1st'!$HT$2:$HT$317),"")</f>
        <v>157.14285714285714</v>
      </c>
      <c r="DT38" s="7">
        <f>IFERROR(AVERAGEIF('Данные 1st'!$S$2:$S$317,$A38,'Данные 1st'!$HU$2:$HU$317),"")</f>
        <v>180</v>
      </c>
      <c r="DU38" s="7">
        <f>IFERROR(AVERAGEIF('Данные 1st'!$S$2:$S$317,$A38,'Данные 1st'!$HW$2:$HW$317),"")</f>
        <v>5.714285714285714</v>
      </c>
      <c r="DV38" s="7">
        <f>IFERROR(AVERAGEIF('Данные 1st'!$S$2:$S$317,$A38,'Данные 1st'!$HX$2:$HX$317),"")</f>
        <v>464.14285714285717</v>
      </c>
      <c r="DW38" s="7">
        <f>IFERROR(AVERAGEIF('Данные 1st'!$S$2:$S$317,$A38,'Данные 1st'!$HY$2:$HY$317),"")</f>
        <v>0.18</v>
      </c>
      <c r="DX38" s="7">
        <f>IFERROR(AVERAGEIF('Данные 1st'!$S$2:$S$317,$A38,'Данные 1st'!$IA$2:$IA$317),"")</f>
        <v>0.15</v>
      </c>
      <c r="DY38" s="7">
        <f>IFERROR(AVERAGEIF('Данные 1st'!$S$2:$S$317,$A38,'Данные 1st'!$IB$2:$IB$317),"")</f>
        <v>0</v>
      </c>
      <c r="DZ38" s="7">
        <f>IFERROR(AVERAGEIF('Данные 1st'!$S$2:$S$317,$A38,'Данные 1st'!$IC$2:$IC$317),"")</f>
        <v>180</v>
      </c>
      <c r="EA38" s="7">
        <f>IFERROR(AVERAGEIF('Данные 1st'!$S$2:$S$317,$A38,'Данные 1st'!$ID$2:$ID$317),"")</f>
        <v>110</v>
      </c>
      <c r="EB38" s="7">
        <f>IFERROR(AVERAGEIF('Данные 1st'!$S$2:$S$317,$A38,'Данные 1st'!$IE$2:$IE$317),"")</f>
        <v>96.42857142857143</v>
      </c>
      <c r="EC38" s="7">
        <f>IFERROR(AVERAGEIF('Данные 1st'!$S$2:$S$317,$A38,'Данные 1st'!$IF$2:$IF$317),"")</f>
        <v>0</v>
      </c>
      <c r="ED38" s="7">
        <f>IFERROR(AVERAGEIF('Данные 1st'!$S$2:$S$317,$A38,'Данные 1st'!$IP$2:$IP$317),"")</f>
        <v>19</v>
      </c>
      <c r="EE38" s="7">
        <f>IFERROR(AVERAGEIF('Данные 1st'!$S$2:$S$317,$A38,'Данные 1st'!$IV$2:$IV$317),"")</f>
        <v>1458</v>
      </c>
      <c r="EF38" s="7">
        <f>IFERROR(AVERAGEIF('Данные 1st'!$S$2:$S$317,$A38,'Данные 1st'!$IW$2:$IW$317),"")</f>
        <v>416.2857142857143</v>
      </c>
      <c r="EG38" s="7">
        <f>IFERROR(AVERAGEIF('Данные 1st'!$S$2:$S$317,$A38,'Данные 1st'!$IX$2:$IX$317),"")</f>
        <v/>
      </c>
      <c r="EH38" s="7">
        <f>IFERROR(AVERAGEIF('Данные 1st'!$S$2:$S$317,$A38,'Данные 1st'!$IY$2:$IY$317),"")</f>
        <v/>
      </c>
      <c r="EI38" s="7">
        <f>IFERROR(AVERAGEIF('Данные 1st'!$S$2:$S$317,$A38,'Данные 1st'!$JD$2:$JD$317),"")</f>
        <v>1475</v>
      </c>
      <c r="EJ38" s="7">
        <f>IFERROR(AVERAGEIF('Данные 1st'!$S$2:$S$317,$A38,'Данные 1st'!$JE$2:$JE$317),"")</f>
        <v>1467.7142857142858</v>
      </c>
      <c r="EK38" s="7">
        <f>IFERROR(AVERAGEIF('Данные 1st'!$S$2:$S$317,$A38,'Данные 1st'!$JF$2:$JF$317),"")</f>
        <v>631</v>
      </c>
      <c r="EL38" s="7">
        <f>IFERROR(AVERAGEIF('Данные 1st'!$S$2:$S$317,$A38,'Данные 1st'!$JG$2:$JG$317),"")</f>
        <v>1454.5714285714287</v>
      </c>
      <c r="EM38" s="7">
        <f>IFERROR(AVERAGEIF('Данные 1st'!$S$2:$S$317,$A38,'Данные 1st'!$JH$2:$JH$317),"")</f>
        <v>0</v>
      </c>
      <c r="EN38" s="7">
        <f>IFERROR(AVERAGEIF('Данные 1st'!$S$2:$S$317,$A38,'Данные 1st'!$JJ$2:$JJ$317),"")</f>
        <v>180</v>
      </c>
      <c r="EO38" s="7">
        <f>IFERROR(AVERAGEIF('Данные 1st'!$S$2:$S$317,$A38,'Данные 1st'!$JK$2:$JK$317),"")</f>
        <v>464.14285714285717</v>
      </c>
      <c r="EP38" s="7">
        <f>IFERROR(AVERAGEIF('Данные 1st'!$S$2:$S$317,$A38,'Данные 1st'!$JL$2:$JL$317),"")</f>
        <v/>
      </c>
      <c r="EQ38" s="7">
        <f>IFERROR(AVERAGEIF('Данные 1st'!$S$2:$S$317,$A38,'Данные 1st'!$JM$2:$JM$317),"")</f>
        <v/>
      </c>
      <c r="ER38" s="7">
        <f>IFERROR(AVERAGEIF('Данные 1st'!$S$2:$S$317,$A38,'Данные 1st'!$JN$2:$JN$317),"")</f>
        <v>380.7142857142857</v>
      </c>
      <c r="ES38" s="7">
        <f>IFERROR(AVERAGEIF('Данные 1st'!$S$2:$S$317,$A38,'Данные 1st'!$JO$2:$JO$317),"")</f>
        <v>598.5714285714286</v>
      </c>
      <c r="ET38" s="7">
        <f>IFERROR(AVERAGEIF('Данные 1st'!$S$2:$S$317,$A38,'Данные 1st'!$JP$2:$JP$317),"")</f>
        <v>199.28571428571428</v>
      </c>
      <c r="EU38" s="7">
        <f>IFERROR(AVERAGEIF('Данные 1st'!$S$2:$S$317,$A38,'Данные 1st'!$JQ$2:$JQ$317),"")</f>
        <v>0</v>
      </c>
      <c r="EV38" s="7">
        <f>IFERROR(AVERAGEIF('Данные 1st'!$S$2:$S$317,$A38,'Данные 1st'!$JR$2:$JR$317),"")</f>
        <v>417.7142857142857</v>
      </c>
      <c r="EW38" s="7">
        <f>IFERROR(AVERAGEIF('Данные 1st'!$S$2:$S$317,$A38,'Данные 1st'!$JS$2:$JS$317),"")</f>
        <v>131.42857142857142</v>
      </c>
      <c r="EX38" s="7">
        <f>IFERROR(AVERAGEIF('Данные 1st'!$S$2:$S$317,$A38,'Данные 1st'!$JT$2:$JT$317),"")</f>
        <v/>
      </c>
      <c r="EY38" s="7">
        <f>IFERROR(AVERAGEIF('Данные 1st'!$S$2:$S$317,$A38,'Данные 1st'!$JU$2:$JU$317),"")</f>
        <v/>
      </c>
      <c r="EZ38" s="7">
        <f>IFERROR(AVERAGEIF('Данные 1st'!$S$2:$S$317,$A38,'Данные 1st'!$JV$2:$JV$317),"")</f>
        <v>8</v>
      </c>
      <c r="FA38" s="7">
        <f>IFERROR(AVERAGEIF('Данные 1st'!$S$2:$S$317,$A38,'Данные 1st'!$JW$2:$JW$317),"")</f>
        <v/>
      </c>
      <c r="FB38" s="7">
        <f>IFERROR(AVERAGEIF('Данные 1st'!$S$2:$S$317,$A38,'Данные 1st'!$JX$2:$JX$317),"")</f>
        <v>460</v>
      </c>
      <c r="FC38" s="7">
        <f>IFERROR(AVERAGEIF('Данные 1st'!$S$2:$S$317,$A38,'Данные 1st'!$JY$2:$JY$317),"")</f>
        <v/>
      </c>
      <c r="FD38" s="7">
        <f>IFERROR(AVERAGEIF('Данные 1st'!$S$2:$S$317,$A38,'Данные 1st'!$JZ$2:$JZ$317),"")</f>
        <v/>
      </c>
      <c r="FE38" s="7">
        <f>IFERROR(AVERAGEIF('Данные 1st'!$S$2:$S$317,$A38,'Данные 1st'!$KA$2:$KA$317),"")</f>
        <v>96.42857142857143</v>
      </c>
      <c r="FF38" s="7">
        <f>IFERROR(AVERAGEIF('Данные 1st'!$S$2:$S$317,$A38,'Данные 1st'!$KB$2:$KB$317),"")</f>
        <v>110</v>
      </c>
      <c r="FG38" s="7">
        <f>IFERROR(AVERAGEIF('Данные 1st'!$S$2:$S$317,$A38,'Данные 1st'!$KC$2:$KC$317),"")</f>
        <v>0</v>
      </c>
      <c r="FH38" s="7">
        <f>IFERROR(AVERAGEIF('Данные 1st'!$S$2:$S$317,$A38,'Данные 1st'!$KD$2:$KD$317),"")</f>
        <v>80</v>
      </c>
      <c r="FI38" s="7">
        <f>IFERROR(AVERAGEIF('Данные 1st'!$S$2:$S$317,$A38,'Данные 1st'!$KE$2:$KE$317),"")</f>
        <v/>
      </c>
      <c r="FJ38" s="7">
        <f>IFERROR(AVERAGEIF('Данные 1st'!$S$2:$S$317,$A38,'Данные 1st'!$KF$2:$KF$317),"")</f>
        <v>4.285714285714286</v>
      </c>
      <c r="FK38" s="7">
        <f>IFERROR(AVERAGEIF('Данные 1st'!$S$2:$S$317,$A38,'Данные 1st'!$KG$2:$KG$317),"")</f>
        <v>3.4285714285714284</v>
      </c>
      <c r="FL38" s="7">
        <f>IFERROR(AVERAGEIF('Данные 1st'!$S$2:$S$317,$A38,'Данные 1st'!$KH$2:$KH$317),"")</f>
        <v>2</v>
      </c>
      <c r="FM38" s="7">
        <f>IFERROR(AVERAGEIF('Данные 1st'!$S$2:$S$317,$A38,'Данные 1st'!$KI$2:$KI$317),"")</f>
        <v>2</v>
      </c>
      <c r="FN38" s="7">
        <f>IFERROR(AVERAGEIF('Данные 1st'!$S$2:$S$317,$A38,'Данные 1st'!$KJ$2:$KJ$317),"")</f>
        <v>0</v>
      </c>
      <c r="FO38" s="7">
        <f>IFERROR(AVERAGEIF('Данные 1st'!$S$2:$S$317,$A38,'Данные 1st'!$KK$2:$KK$317),"")</f>
        <v>1.5</v>
      </c>
      <c r="FP38" s="7">
        <f>IFERROR(AVERAGEIF('Данные 1st'!$S$2:$S$317,$A38,'Данные 1st'!$KL$2:$KL$317),"")</f>
        <v>1.5</v>
      </c>
      <c r="FQ38" s="7">
        <f>IFERROR(AVERAGEIF('Данные 1st'!$S$2:$S$317,$A38,'Данные 1st'!$KM$2:$KM$317),"")</f>
        <v>0</v>
      </c>
      <c r="FR38" s="7">
        <f>IFERROR(AVERAGEIF('Данные 1st'!$S$2:$S$317,$A38,'Данные 1st'!$KN$2:$KN$317),"")</f>
        <v>0</v>
      </c>
      <c r="FS38" s="7">
        <f>IFERROR(AVERAGEIF('Данные 1st'!$S$2:$S$317,$A38,'Данные 1st'!$KR$2:$KR$317),"")</f>
        <v>29.285714285714285</v>
      </c>
      <c r="FT38" s="7">
        <f>IFERROR(AVERAGEIF('Данные 1st'!$S$2:$S$317,$A38,'Данные 1st'!$KS$2:$KS$317),"")</f>
        <v>51.42857142857143</v>
      </c>
      <c r="FU38" s="7">
        <f>IFERROR(AVERAGEIF('Данные 1st'!$S$2:$S$317,$A38,'Данные 1st'!$KT$2:$KT$317),"")</f>
        <v>0</v>
      </c>
      <c r="FV38" s="7">
        <f>IFERROR(AVERAGEIF('Данные 1st'!$S$2:$S$317,$A38,'Данные 1st'!$KV$2:$KV$317),"")</f>
        <v/>
      </c>
      <c r="FW38" s="7">
        <f>IFERROR(AVERAGEIF('Данные 1st'!$S$2:$S$317,$A38,'Данные 1st'!$KW$2:$KW$317),"")</f>
        <v/>
      </c>
      <c r="FX38" s="7">
        <f>IFERROR(AVERAGEIF('Данные 1st'!$S$2:$S$317,$A38,'Данные 1st'!$KX$2:$KX$317),"")</f>
        <v/>
      </c>
      <c r="FY38" s="7">
        <f>IFERROR(AVERAGEIF('Данные 1st'!$S$2:$S$317,$A38,'Данные 1st'!$KY$2:$KY$317),"")</f>
        <v/>
      </c>
      <c r="FZ38" s="7">
        <f>IFERROR(AVERAGEIF('Данные 1st'!$S$2:$S$317,$A38,'Данные 1st'!$KZ$2:$KZ$317),"")</f>
        <v/>
      </c>
      <c r="GA38" s="7">
        <f>IFERROR(AVERAGEIF('Данные 1st'!$S$2:$S$317,$A38,'Данные 1st'!$LA$2:$LA$317),"")</f>
        <v/>
      </c>
      <c r="GB38" s="7">
        <f>IFERROR(AVERAGEIF('Данные 1st'!$S$2:$S$317,$A38,'Данные 1st'!$LB$2:$LB$317),"")</f>
        <v/>
      </c>
      <c r="GC38" s="7">
        <f>IFERROR(AVERAGEIF('Данные 1st'!$S$2:$S$317,$A38,'Данные 1st'!$LC$2:$LC$317),"")</f>
        <v/>
      </c>
      <c r="GD38" s="7">
        <f>IFERROR(AVERAGEIF('Данные 1st'!$S$2:$S$317,$A38,'Данные 1st'!$LD$2:$LD$317),"")</f>
        <v/>
      </c>
      <c r="GE38" s="7">
        <f>IFERROR(AVERAGEIF('Данные 1st'!$S$2:$S$317,$A38,'Данные 1st'!$LE$2:$LE$317),"")</f>
        <v/>
      </c>
      <c r="GF38" s="7">
        <f>IFERROR(AVERAGEIF('Данные 1st'!$S$2:$S$317,$A38,'Данные 1st'!$LF$2:$LF$317),"")</f>
        <v/>
      </c>
      <c r="GG38" s="7">
        <f>IFERROR(AVERAGEIF('Данные 1st'!$S$2:$S$317,$A38,'Данные 1st'!$LG$2:$LG$317),"")</f>
        <v/>
      </c>
      <c r="GH38" s="7">
        <f>IFERROR(AVERAGEIF('Данные 1st'!$S$2:$S$317,$A38,'Данные 1st'!$LH$2:$LH$317),"")</f>
        <v/>
      </c>
      <c r="GI38" s="7">
        <f>IFERROR(AVERAGEIF('Данные 1st'!$S$2:$S$317,$A38,'Данные 1st'!$LI$2:$LI$317),"")</f>
        <v/>
      </c>
      <c r="GJ38" s="7">
        <f>IFERROR(AVERAGEIF('Данные 1st'!$S$2:$S$317,$A38,'Данные 1st'!$LJ$2:$LJ$317),"")</f>
        <v/>
      </c>
      <c r="GK38" s="7">
        <f>IFERROR(AVERAGEIF('Данные 1st'!$S$2:$S$317,$A38,'Данные 1st'!$LK$2:$LK$317),"")</f>
        <v>480</v>
      </c>
      <c r="GL38" s="7">
        <f>IFERROR(AVERAGEIF('Данные 1st'!$S$2:$S$317,$A38,'Данные 1st'!$LV$2:$LV$317),"")</f>
        <v/>
      </c>
      <c r="GM38" s="7">
        <f>IFERROR(AVERAGEIF('Данные 1st'!$S$2:$S$317,$A38,'Данные 1st'!$LW$2:$LW$317),"")</f>
        <v/>
      </c>
      <c r="GN38" s="7">
        <f>IFERROR(AVERAGEIF('Данные 1st'!$S$2:$S$317,$A38,'Данные 1st'!$LX$2:$LX$317),"")</f>
        <v>376</v>
      </c>
      <c r="GO38" s="7">
        <f>IFERROR(AVERAGEIF('Данные 1st'!$S$2:$S$317,$A38,'Данные 1st'!$LY$2:$LY$317),"")</f>
        <v>2</v>
      </c>
      <c r="GP38" s="7">
        <f>IFERROR(AVERAGEIF('Данные 1st'!$S$2:$S$317,$A38,'Данные 1st'!$LZ$2:$LZ$317),"")</f>
        <v>250</v>
      </c>
      <c r="GQ38" s="7">
        <f>IFERROR(AVERAGEIF('Данные 1st'!$S$2:$S$317,$A38,'Данные 1st'!$PG$2:$PG$317),"")</f>
        <v>1</v>
      </c>
      <c r="GR38" s="7">
        <f>IFERROR(AVERAGEIF('Данные 1st'!$S$2:$S$317,$A38,'Данные 1st'!$PX$2:$PX$317),"")</f>
        <v>56</v>
      </c>
      <c r="GS38" s="7">
        <f>IFERROR(AVERAGEIF('Данные 1st'!$S$2:$S$317,$A38,'Данные 1st'!$PY$2:$PY$317),"")</f>
        <v>56.57142857142857</v>
      </c>
      <c r="GT38" s="7">
        <f>IFERROR(AVERAGEIF('Данные 1st'!$S$2:$S$317,$A38,'Данные 1st'!$QA$2:$QA$317),"")</f>
        <v>1.8571428571428572</v>
      </c>
      <c r="GU38" s="7">
        <f>IFERROR(AVERAGEIF('Данные 1st'!$S$2:$S$317,$A38,'Данные 1st'!$QB$2:$QB$317),"")</f>
        <v>1454.5714285714287</v>
      </c>
      <c r="GV38" s="7">
        <f>IFERROR(AVERAGEIF('Данные 1st'!$S$2:$S$317,$A38,'Данные 1st'!$QC$2:$QC$317),"")</f>
        <v>69</v>
      </c>
      <c r="GW38" s="7">
        <f>IFERROR(AVERAGEIF('Данные 1st'!$S$2:$S$317,$A38,'Данные 1st'!$QD$2:$QD$317),"")</f>
        <v>69</v>
      </c>
      <c r="GX38" s="7">
        <f>IFERROR(AVERAGEIF('Данные 1st'!$S$2:$S$317,$A38,'Данные 1st'!$QF$2:$QF$317),"")</f>
        <v>1.1428571428571428</v>
      </c>
      <c r="GY38" s="7">
        <f>IFERROR(AVERAGEIF('Данные 1st'!$S$2:$S$317,$A38,'Данные 1st'!$QG$2:$QG$317),"")</f>
        <v>1475</v>
      </c>
      <c r="GZ38" s="7">
        <f>IFERROR(AVERAGEIF('Данные 1st'!$S$2:$S$317,$A38,'Данные 1st'!$QH$2:$QH$317),"")</f>
        <v>66</v>
      </c>
      <c r="HA38" s="7">
        <f>IFERROR(AVERAGEIF('Данные 1st'!$S$2:$S$317,$A38,'Данные 1st'!$QI$2:$QI$317),"")</f>
        <v>66</v>
      </c>
      <c r="HB38" s="7">
        <f>IFERROR(AVERAGEIF('Данные 1st'!$S$2:$S$317,$A38,'Данные 1st'!$QK$2:$QK$317),"")</f>
        <v>1</v>
      </c>
      <c r="HC38" s="7">
        <f>IFERROR(AVERAGEIF('Данные 1st'!$S$2:$S$317,$A38,'Данные 1st'!$QL$2:$QL$317),"")</f>
        <v>1475</v>
      </c>
      <c r="HD38" s="7">
        <f>IFERROR(AVERAGEIF('Данные 1st'!$S$2:$S$317,$A38,'Данные 1st'!$QM$2:$QM$317),"")</f>
        <v>62.142857142857146</v>
      </c>
      <c r="HE38" s="7">
        <f>IFERROR(AVERAGEIF('Данные 1st'!$S$2:$S$317,$A38,'Данные 1st'!$QN$2:$QN$317),"")</f>
        <v>62.142857142857146</v>
      </c>
      <c r="HF38" s="7">
        <f>IFERROR(AVERAGEIF('Данные 1st'!$S$2:$S$317,$A38,'Данные 1st'!$QP$2:$QP$317),"")</f>
        <v>1</v>
      </c>
      <c r="HG38" s="7">
        <f>IFERROR(AVERAGEIF('Данные 1st'!$S$2:$S$317,$A38,'Данные 1st'!$QQ$2:$QQ$317),"")</f>
        <v>1467.7142857142858</v>
      </c>
      <c r="HH38" s="7">
        <f>IFERROR(AVERAGEIF('Данные 1st'!$S$2:$S$317,$A38,'Данные 1st'!$QR$2:$QR$317),"")</f>
        <v>62.333333333333336</v>
      </c>
      <c r="HI38" s="7">
        <f>IFERROR(AVERAGEIF('Данные 1st'!$S$2:$S$317,$A38,'Данные 1st'!$QS$2:$QS$317),"")</f>
        <v>62.333333333333336</v>
      </c>
      <c r="HJ38" s="7">
        <f>IFERROR(AVERAGEIF('Данные 1st'!$S$2:$S$317,$A38,'Данные 1st'!$QU$2:$QU$317),"")</f>
        <v>1</v>
      </c>
      <c r="HK38" s="7">
        <f>IFERROR(AVERAGEIF('Данные 1st'!$S$2:$S$317,$A38,'Данные 1st'!$QV$2:$QV$317),"")</f>
        <v>1472.3333333333333</v>
      </c>
      <c r="HL38" s="7">
        <f>IFERROR(AVERAGEIF('Данные 1st'!$S$2:$S$317,$A38,'Данные 1st'!$QW$2:$QW$317),"")</f>
        <v>82</v>
      </c>
      <c r="HM38" s="7">
        <f>IFERROR(AVERAGEIF('Данные 1st'!$S$2:$S$317,$A38,'Данные 1st'!$QX$2:$QX$317),"")</f>
        <v>88.85714285714286</v>
      </c>
      <c r="HN38" s="7">
        <f>IFERROR(AVERAGEIF('Данные 1st'!$S$2:$S$317,$A38,'Данные 1st'!$QZ$2:$QZ$317),"")</f>
        <v>1</v>
      </c>
      <c r="HO38" s="7">
        <f>IFERROR(AVERAGEIF('Данные 1st'!$S$2:$S$317,$A38,'Данные 1st'!$RA$2:$RA$317),"")</f>
        <v>66</v>
      </c>
      <c r="HP38" s="7">
        <f>IFERROR(AVERAGEIF('Данные 1st'!$S$2:$S$317,$A38,'Данные 1st'!$RB$2:$RB$317),"")</f>
        <v>66</v>
      </c>
      <c r="HQ38" s="7">
        <f>IFERROR(AVERAGEIF('Данные 1st'!$S$2:$S$317,$A38,'Данные 1st'!$RD$2:$RD$317),"")</f>
        <v/>
      </c>
      <c r="HR38" s="7">
        <f>IFERROR(AVERAGEIF('Данные 1st'!$S$2:$S$317,$A38,'Данные 1st'!$RE$2:$RE$317),"")</f>
        <v>0</v>
      </c>
      <c r="HS38" s="7">
        <f>IFERROR(AVERAGEIF('Данные 1st'!$S$2:$S$317,$A38,'Данные 1st'!$RF$2:$RF$317),"")</f>
        <v>1</v>
      </c>
      <c r="HT38" s="7">
        <f>IFERROR(AVERAGEIF('Данные 1st'!$S$2:$S$317,$A38,'Данные 1st'!$RG$2:$RG$317),"")</f>
        <v>1</v>
      </c>
      <c r="HU38" s="7">
        <f>IFERROR(AVERAGEIF('Данные 1st'!$S$2:$S$317,$A38,'Данные 1st'!$RH$2:$RH$317),"")</f>
        <v>1</v>
      </c>
      <c r="HV38" s="7">
        <f>IFERROR(AVERAGEIF('Данные 1st'!$S$2:$S$317,$A38,'Данные 1st'!$RI$2:$RI$317),"")</f>
        <v>1</v>
      </c>
      <c r="HW38" s="7">
        <f>IFERROR(AVERAGEIF('Данные 1st'!$S$2:$S$317,$A38,'Данные 1st'!$RJ$2:$RJ$317),"")</f>
        <v>1</v>
      </c>
      <c r="HX38" s="7">
        <f>IFERROR(AVERAGEIF('Данные 1st'!$S$2:$S$317,$A38,'Данные 1st'!$RK$2:$RK$317),"")</f>
        <v>2.2857142857142856</v>
      </c>
      <c r="HY38" s="7">
        <f>IFERROR(AVERAGEIF('Данные 1st'!$S$2:$S$317,$A38,'Данные 1st'!$RL$2:$RL$317),"")</f>
        <v>2.5714285714285716</v>
      </c>
      <c r="HZ38" s="7">
        <f>IFERROR(AVERAGEIF('Данные 1st'!$S$2:$S$317,$A38,'Данные 1st'!$RM$2:$RM$317),"")</f>
        <v>3.6666666666666665</v>
      </c>
      <c r="IA38" s="7">
        <f>IFERROR(AVERAGEIF('Данные 1st'!$S$2:$S$317,$A38,'Данные 1st'!$RN$2:$RN$317),"")</f>
        <v/>
      </c>
      <c r="IB38" s="7">
        <f>IFERROR(AVERAGEIF('Данные 1st'!$S$2:$S$317,$A38,'Данные 1st'!$RO$2:$RO$317),"")</f>
        <v>545.4285714285714</v>
      </c>
      <c r="IC38" s="7">
        <f>IFERROR(AVERAGEIF('Данные 1st'!$S$2:$S$317,$A38,'Данные 1st'!$RP$2:$RP$317),"")</f>
        <v>119.57142857142857</v>
      </c>
      <c r="ID38" s="7">
        <f>IFERROR(AVERAGEIF('Данные 1st'!$S$2:$S$317,$A38,'Данные 1st'!$RQ$2:$RQ$317),"")</f>
        <v>850.8571428571429</v>
      </c>
      <c r="IE38" s="7">
        <f>IFERROR(AVERAGEIF('Данные 1st'!$S$2:$S$317,$A38,'Данные 1st'!$RR$2:$RR$317),"")</f>
        <v>537.3333333333334</v>
      </c>
      <c r="IF38" s="7">
        <f>IFERROR(AVERAGEIF('Данные 1st'!$S$2:$S$317,$A38,'Данные 1st'!$RS$2:$RS$317),"")</f>
        <v/>
      </c>
      <c r="IG38" s="7">
        <f>IFERROR(AVERAGEIF('Данные 1st'!$S$2:$S$317,$A38,'Данные 1st'!$RT$2:$RT$317),"")</f>
        <v>288</v>
      </c>
      <c r="IH38" s="7">
        <f>IFERROR(AVERAGEIF('Данные 1st'!$S$2:$S$317,$A38,'Данные 1st'!$RU$2:$RU$317),"")</f>
        <v>215.28571428571428</v>
      </c>
      <c r="II38" s="7">
        <f>IFERROR(AVERAGEIF('Данные 1st'!$S$2:$S$317,$A38,'Данные 1st'!$RX$2:$RX$317),"")</f>
        <v>15</v>
      </c>
      <c r="IJ38" s="7">
        <f>IFERROR(AVERAGEIF('Данные 1st'!$S$2:$S$317,$A38,'Данные 1st'!$RY$2:$RY$317),"")</f>
        <v>4</v>
      </c>
      <c r="IK38" s="7">
        <f>IFERROR(AVERAGEIF('Данные 1st'!$S$2:$S$317,$A38,'Данные 1st'!$SA$2:$SA$317),"")</f>
        <v>15</v>
      </c>
      <c r="IL38" s="7">
        <f>IFERROR(AVERAGEIF('Данные 1st'!$S$2:$S$317,$A38,'Данные 1st'!$SD$2:$SD$317),"")</f>
        <v>1</v>
      </c>
      <c r="IM38" s="7">
        <f>IFERROR(AVERAGEIF('Данные 1st'!$S$2:$S$317,$A38,'Данные 1st'!$SG$2:$SG$317),"")</f>
        <v>1</v>
      </c>
      <c r="IN38" s="7">
        <f>IFERROR(AVERAGEIF('Данные 1st'!$S$2:$S$317,$A38,'Данные 1st'!$SH$2:$SH$317),"")</f>
        <v>0.995</v>
      </c>
      <c r="IO38" s="7">
        <f>IFERROR(AVERAGEIF('Данные 1st'!$S$2:$S$317,$A38,'Данные 1st'!$SI$2:$SI$317),"")</f>
        <v>0.995</v>
      </c>
      <c r="IP38" s="7">
        <f>IFERROR(AVERAGEIF('Данные 1st'!$S$2:$S$317,$A38,'Данные 1st'!$SJ$2:$SJ$317),"")</f>
        <v>0.995</v>
      </c>
      <c r="IQ38" s="7">
        <f>IFERROR(AVERAGEIF('Данные 1st'!$S$2:$S$317,$A38,'Данные 1st'!$SK$2:$SK$317),"")</f>
        <v>15</v>
      </c>
      <c r="IR38" s="7">
        <f>IFERROR(AVERAGEIF('Данные 1st'!$S$2:$S$317,$A38,'Данные 1st'!$SL$2:$SL$317),"")</f>
        <v>0</v>
      </c>
      <c r="IS38" s="7">
        <f>IFERROR(AVERAGEIF('Данные 1st'!$S$2:$S$317,$A38,'Данные 1st'!$SM$2:$SM$317),"")</f>
        <v>0</v>
      </c>
      <c r="IT38" s="7">
        <f>IFERROR(AVERAGEIF('Данные 1st'!$S$2:$S$317,$A38,'Данные 1st'!$SN$2:$SN$317),"")</f>
        <v>0</v>
      </c>
      <c r="IU38" s="7">
        <f>IFERROR(AVERAGEIF('Данные 1st'!$S$2:$S$317,$A38,'Данные 1st'!$SO$2:$SO$317),"")</f>
        <v>0</v>
      </c>
      <c r="IV38" s="7">
        <f>IFERROR(AVERAGEIF('Данные 1st'!$S$2:$S$317,$A38,'Данные 1st'!$SP$2:$SP$317),"")</f>
        <v>0</v>
      </c>
      <c r="IW38" s="7">
        <f>IFERROR(AVERAGEIF('Данные 1st'!$S$2:$S$317,$A38,'Данные 1st'!$SQ$2:$SQ$317),"")</f>
        <v>0</v>
      </c>
      <c r="IX38" s="7">
        <f>IFERROR(AVERAGEIF('Данные 1st'!$S$2:$S$317,$A38,'Данные 1st'!$SR$2:$SR$317),"")</f>
        <v>0</v>
      </c>
      <c r="IY38" s="7">
        <f>IFERROR(AVERAGEIF('Данные 1st'!$S$2:$S$317,$A38,'Данные 1st'!$SS$2:$SS$317),"")</f>
        <v>0</v>
      </c>
      <c r="IZ38" s="7">
        <f>IFERROR(AVERAGEIF('Данные 1st'!$S$2:$S$317,$A38,'Данные 1st'!$ST$2:$ST$317),"")</f>
        <v>0</v>
      </c>
      <c r="JA38" s="7">
        <f>IFERROR(AVERAGEIF('Данные 1st'!$S$2:$S$317,$A38,'Данные 1st'!$SU$2:$SU$317),"")</f>
        <v>0</v>
      </c>
      <c r="JB38" s="7">
        <f>IFERROR(AVERAGEIF('Данные 1st'!$S$2:$S$317,$A38,'Данные 1st'!$SV$2:$SV$317),"")</f>
        <v>0</v>
      </c>
      <c r="JC38" s="7">
        <f>IFERROR(AVERAGEIF('Данные 1st'!$S$2:$S$317,$A38,'Данные 1st'!$SW$2:$SW$317),"")</f>
        <v>0</v>
      </c>
      <c r="JD38" s="7">
        <f>IFERROR(AVERAGEIF('Данные 1st'!$S$2:$S$317,$A38,'Данные 1st'!$SX$2:$SX$317),"")</f>
        <v>0</v>
      </c>
      <c r="JE38" s="7">
        <f>IFERROR(AVERAGEIF('Данные 1st'!$S$2:$S$317,$A38,'Данные 1st'!$SY$2:$SY$317),"")</f>
        <v>1</v>
      </c>
      <c r="JF38" s="7">
        <f>IFERROR(AVERAGEIF('Данные 1st'!$S$2:$S$317,$A38,'Данные 1st'!$SZ$2:$SZ$317),"")</f>
        <v>1</v>
      </c>
      <c r="JG38" s="7">
        <f>IFERROR(AVERAGEIF('Данные 1st'!$S$2:$S$317,$A38,'Данные 1st'!$TA$2:$TA$317),"")</f>
        <v/>
      </c>
      <c r="JH38" s="7">
        <f>IFERROR(AVERAGEIF('Данные 1st'!$S$2:$S$317,$A38,'Данные 1st'!$TB$2:$TB$317),"")</f>
        <v>0.42857142857142855</v>
      </c>
      <c r="JI38" s="7">
        <f>IFERROR(AVERAGEIF('Данные 1st'!$S$2:$S$317,$A38,'Данные 1st'!$TC$2:$TC$317),"")</f>
        <v>0</v>
      </c>
      <c r="JJ38" s="7">
        <f>IFERROR(AVERAGEIF('Данные 1st'!$S$2:$S$317,$A38,'Данные 1st'!$TD$2:$TD$317),"")</f>
        <v>7.5</v>
      </c>
      <c r="JK38" s="7">
        <f>IFERROR(AVERAGEIF('Данные 1st'!$S$2:$S$317,$A38,'Данные 1st'!$TN$2:$TN$317),"")</f>
        <v>0</v>
      </c>
      <c r="JL38">
        <f>COUNTIF('Данные 2st'!$Q$2:$Q$317,$A38)</f>
        <v>7</v>
      </c>
      <c r="JM38" s="6" t="s">
        <v>5103</v>
      </c>
      <c r="JN38" s="6" t="s">
        <v>513</v>
      </c>
      <c r="JO38" s="6" t="s">
        <v>5125</v>
      </c>
      <c r="JP38" s="6" t="s">
        <v>5494</v>
      </c>
      <c r="JQ38" s="7">
        <f>IFERROR(AVERAGEIF('Данные 2st'!$Q$2:$Q$317,$A38,'Данные 2st'!$AC$2:$AC$317),"")</f>
        <v>9.571428571428571</v>
      </c>
      <c r="JR38" s="7">
        <f>IFERROR(AVERAGEIF('Данные 2st'!$Q$2:$Q$317,$A38,'Данные 2st'!$AF$2:$AF$317),"")</f>
        <v>5302</v>
      </c>
      <c r="JS38" s="7">
        <f>IFERROR(AVERAGEIF('Данные 2st'!$Q$2:$Q$317,$A38,'Данные 2st'!$AW$2:$AW$317),"")</f>
        <v>6.4</v>
      </c>
      <c r="JT38" s="7">
        <f>IFERROR(AVERAGEIF('Данные 2st'!$Q$2:$Q$317,$A38,'Данные 2st'!$AX$2:$AX$317),"")</f>
        <v>-6</v>
      </c>
      <c r="JU38" s="7">
        <f>IFERROR(AVERAGEIF('Данные 2st'!$Q$2:$Q$317,$A38,'Данные 2st'!$AY$2:$AY$317),"")</f>
        <v>99.5</v>
      </c>
      <c r="JV38" s="7">
        <f>IFERROR(AVERAGEIF('Данные 2st'!$Q$2:$Q$317,$A38,'Данные 2st'!$AZ$2:$AZ$317),"")</f>
        <v>73.5</v>
      </c>
      <c r="JW38" s="7">
        <f>IFERROR(AVERAGEIF('Данные 2st'!$Q$2:$Q$317,$A38,'Данные 2st'!$BA$2:$BA$317),"")</f>
        <v/>
      </c>
      <c r="JX38" s="7">
        <f>IFERROR(AVERAGEIF('Данные 2st'!$Q$2:$Q$317,$A38,'Данные 2st'!$BB$2:$BB$317),"")</f>
        <v/>
      </c>
      <c r="JY38" s="7">
        <f>IFERROR(AVERAGEIF('Данные 2st'!$Q$2:$Q$317,$A38,'Данные 2st'!$BC$2:$BC$317),"")</f>
        <v/>
      </c>
      <c r="JZ38" s="7">
        <f>IFERROR(AVERAGEIF('Данные 2st'!$Q$2:$Q$317,$A38,'Данные 2st'!$BH$2:$BH$317),"")</f>
        <v>99.5</v>
      </c>
      <c r="KA38" s="7">
        <f>IFERROR(AVERAGEIF('Данные 2st'!$Q$2:$Q$317,$A38,'Данные 2st'!$BI$2:$BI$317),"")</f>
        <v>26</v>
      </c>
      <c r="KB38" s="7">
        <f>IFERROR(AVERAGEIF('Данные 2st'!$Q$2:$Q$317,$A38,'Данные 2st'!$BJ$2:$BJ$317),"")</f>
        <v>73.5</v>
      </c>
      <c r="KC38" s="7">
        <f>IFERROR(AVERAGEIF('Данные 2st'!$Q$2:$Q$317,$A38,'Данные 2st'!$BK$2:$BK$317),"")</f>
        <v>2.7142857142857144</v>
      </c>
      <c r="KD38" s="7">
        <f>IFERROR(AVERAGEIF('Данные 2st'!$Q$2:$Q$317,$A38,'Данные 2st'!$BL$2:$BL$317),"")</f>
        <v>199</v>
      </c>
      <c r="KE38" s="7">
        <f>IFERROR(AVERAGEIF('Данные 2st'!$Q$2:$Q$317,$A38,'Данные 2st'!$BM$2:$BM$317),"")</f>
        <v>-6</v>
      </c>
      <c r="KF38" s="7">
        <f>IFERROR(AVERAGEIF('Данные 2st'!$Q$2:$Q$317,$A38,'Данные 2st'!$BN$2:$BN$317),"")</f>
        <v>0</v>
      </c>
      <c r="KG38" s="7">
        <f>IFERROR(AVERAGEIF('Данные 2st'!$Q$2:$Q$317,$A38,'Данные 2st'!$BO$2:$BO$317),"")</f>
        <v>0</v>
      </c>
      <c r="KH38" s="7">
        <f>IFERROR(AVERAGEIF('Данные 2st'!$Q$2:$Q$317,$A38,'Данные 2st'!$BP$2:$BP$317),"")</f>
        <v>0</v>
      </c>
      <c r="KI38" s="7">
        <f>IFERROR(AVERAGEIF('Данные 2st'!$Q$2:$Q$317,$A38,'Данные 2st'!$BR$2:$BR$317),"")</f>
        <v>193.57142857142858</v>
      </c>
      <c r="KJ38" s="7">
        <f>IFERROR(AVERAGEIF('Данные 2st'!$Q$2:$Q$317,$A38,'Данные 2st'!$BS$2:$BS$317),"")</f>
        <v>183.57142857142858</v>
      </c>
      <c r="KK38" s="7">
        <f>IFERROR(AVERAGEIF('Данные 2st'!$Q$2:$Q$317,$A38,'Данные 2st'!$BT$2:$BT$317),"")</f>
        <v>2139.285714285714</v>
      </c>
      <c r="KL38" s="7">
        <f>IFERROR(AVERAGEIF('Данные 2st'!$Q$2:$Q$317,$A38,'Данные 2st'!$CV$2:$CV$317),"")</f>
        <v>124.42857142857143</v>
      </c>
      <c r="KM38" s="7">
        <f>IFERROR(AVERAGEIF('Данные 2st'!$Q$2:$Q$317,$A38,'Данные 2st'!$CW$2:$CW$317),"")</f>
        <v>3</v>
      </c>
      <c r="KN38" s="7">
        <f>IFERROR(AVERAGEIF('Данные 2st'!$Q$2:$Q$317,$A38,'Данные 2st'!$CX$2:$CX$317),"")</f>
        <v>90.14285714285714</v>
      </c>
      <c r="KO38" s="7">
        <f>IFERROR(AVERAGEIF('Данные 2st'!$Q$2:$Q$317,$A38,'Данные 2st'!$CY$2:$CY$317),"")</f>
        <v>5</v>
      </c>
      <c r="KP38" s="7">
        <f>IFERROR(AVERAGEIF('Данные 2st'!$Q$2:$Q$317,$A38,'Данные 2st'!$CZ$2:$CZ$317),"")</f>
        <v>122</v>
      </c>
      <c r="KQ38" s="7">
        <f>IFERROR(AVERAGEIF('Данные 2st'!$Q$2:$Q$317,$A38,'Данные 2st'!$DA$2:$DA$317),"")</f>
        <v>5</v>
      </c>
      <c r="KR38" s="7">
        <f>IFERROR(AVERAGEIF('Данные 2st'!$Q$2:$Q$317,$A38,'Данные 2st'!$DB$2:$DB$317),"")</f>
        <v>12050</v>
      </c>
      <c r="KS38" s="7">
        <f>IFERROR(AVERAGEIF('Данные 2st'!$Q$2:$Q$317,$A38,'Данные 2st'!$DC$2:$DC$317),"")</f>
        <v>334.2857142857143</v>
      </c>
      <c r="KT38" s="7">
        <f>IFERROR(AVERAGEIF('Данные 2st'!$Q$2:$Q$317,$A38,'Данные 2st'!$DD$2:$DD$317),"")</f>
        <v>332</v>
      </c>
      <c r="KU38" s="7">
        <f>IFERROR(AVERAGEIF('Данные 2st'!$Q$2:$Q$317,$A38,'Данные 2st'!$DE$2:$DE$317),"")</f>
        <v>2256.1428571428573</v>
      </c>
      <c r="KV38" s="7">
        <f>IFERROR(AVERAGEIF('Данные 2st'!$Q$2:$Q$317,$A38,'Данные 2st'!$DF$2:$DF$317),"")</f>
        <v>2256.1428571428573</v>
      </c>
      <c r="KW38" s="7">
        <f>IFERROR(AVERAGEIF('Данные 2st'!$Q$2:$Q$317,$A38,'Данные 2st'!$DG$2:$DG$317),"")</f>
        <v>2269.714285714286</v>
      </c>
      <c r="KX38" s="7">
        <f>IFERROR(AVERAGEIF('Данные 2st'!$Q$2:$Q$317,$A38,'Данные 2st'!$DH$2:$DH$317),"")</f>
        <v>1.1428571428571428</v>
      </c>
      <c r="KY38" s="7">
        <f>IFERROR(AVERAGEIF('Данные 2st'!$Q$2:$Q$317,$A38,'Данные 2st'!$DI$2:$DI$317),"")</f>
        <v/>
      </c>
      <c r="KZ38" s="7">
        <f>IFERROR(AVERAGEIF('Данные 2st'!$Q$2:$Q$317,$A38,'Данные 2st'!$DK$2:$DK$317),"")</f>
        <v>193.57142857142858</v>
      </c>
      <c r="LA38" s="7">
        <f>IFERROR(AVERAGEIF('Данные 2st'!$Q$2:$Q$317,$A38,'Данные 2st'!$DM$2:$DM$317),"")</f>
        <v>64.42857142857143</v>
      </c>
      <c r="LB38" s="7">
        <f>IFERROR(AVERAGEIF('Данные 2st'!$Q$2:$Q$317,$A38,'Данные 2st'!$DN$2:$DN$317),"")</f>
        <v>1.04</v>
      </c>
      <c r="LC38" s="7">
        <f>IFERROR(AVERAGEIF('Данные 2st'!$Q$2:$Q$317,$A38,'Данные 2st'!$DO$2:$DO$317),"")</f>
        <v>1</v>
      </c>
      <c r="LD38" s="7">
        <f>IFERROR(AVERAGEIF('Данные 2st'!$Q$2:$Q$317,$A38,'Данные 2st'!$DP$2:$DP$317),"")</f>
        <v>2142.4285714285716</v>
      </c>
      <c r="LE38" s="7">
        <f>IFERROR(AVERAGEIF('Данные 2st'!$Q$2:$Q$317,$A38,'Данные 2st'!$DQ$2:$DQ$317),"")</f>
        <v>864.7142857142857</v>
      </c>
      <c r="LF38" s="7">
        <f>IFERROR(AVERAGEIF('Данные 2st'!$Q$2:$Q$317,$A38,'Данные 2st'!$DS$2:$DS$317),"")</f>
        <v>183.57142857142858</v>
      </c>
      <c r="LG38" s="7">
        <f>IFERROR(AVERAGEIF('Данные 2st'!$Q$2:$Q$317,$A38,'Данные 2st'!$DU$2:$DU$317),"")</f>
        <v>64.42857142857143</v>
      </c>
      <c r="LH38" s="7">
        <f>IFERROR(AVERAGEIF('Данные 2st'!$Q$2:$Q$317,$A38,'Данные 2st'!$DV$2:$DV$317),"")</f>
        <v>1.04</v>
      </c>
      <c r="LI38" s="7">
        <f>IFERROR(AVERAGEIF('Данные 2st'!$Q$2:$Q$317,$A38,'Данные 2st'!$DW$2:$DW$317),"")</f>
        <v>1</v>
      </c>
      <c r="LJ38" s="7">
        <f>IFERROR(AVERAGEIF('Данные 2st'!$Q$2:$Q$317,$A38,'Данные 2st'!$DX$2:$DX$317),"")</f>
        <v>2153</v>
      </c>
      <c r="LK38" s="7">
        <f>IFERROR(AVERAGEIF('Данные 2st'!$Q$2:$Q$317,$A38,'Данные 2st'!$DY$2:$DY$317),"")</f>
        <v>823.4285714285714</v>
      </c>
      <c r="LL38" s="7">
        <f>IFERROR(AVERAGEIF('Данные 2st'!$Q$2:$Q$317,$A38,'Данные 2st'!$EA$2:$EA$317),"")</f>
        <v>23.714285714285715</v>
      </c>
      <c r="LM38" s="7">
        <f>IFERROR(AVERAGEIF('Данные 2st'!$Q$2:$Q$317,$A38,'Данные 2st'!$EC$2:$EC$317),"")</f>
        <v>0.6857142857142857</v>
      </c>
      <c r="LN38" s="7">
        <f>IFERROR(AVERAGEIF('Данные 2st'!$Q$2:$Q$317,$A38,'Данные 2st'!$ED$2:$ED$317),"")</f>
        <v>2142.4285714285716</v>
      </c>
      <c r="LO38" s="7">
        <f>IFERROR(AVERAGEIF('Данные 2st'!$Q$2:$Q$317,$A38,'Данные 2st'!$EE$2:$EE$317),"")</f>
        <v>71.42857142857143</v>
      </c>
      <c r="LP38" s="7">
        <f>IFERROR(AVERAGEIF('Данные 2st'!$Q$2:$Q$317,$A38,'Данные 2st'!$EG$2:$EG$317),"")</f>
        <v>9.428571428571429</v>
      </c>
      <c r="LQ38" s="7">
        <f>IFERROR(AVERAGEIF('Данные 2st'!$Q$2:$Q$317,$A38,'Данные 2st'!$EI$2:$EI$317),"")</f>
        <v>0.1142857142857143</v>
      </c>
      <c r="LR38" s="7">
        <f>IFERROR(AVERAGEIF('Данные 2st'!$Q$2:$Q$317,$A38,'Данные 2st'!$EJ$2:$EJ$317),"")</f>
        <v>2152.5</v>
      </c>
      <c r="LS38" s="7">
        <f>IFERROR(AVERAGEIF('Данные 2st'!$Q$2:$Q$317,$A38,'Данные 2st'!$EK$2:$EK$317),"")</f>
        <v>62</v>
      </c>
      <c r="LT38" s="7">
        <f>IFERROR(AVERAGEIF('Данные 2st'!$Q$2:$Q$317,$A38,'Данные 2st'!$EM$2:$EM$317),"")</f>
        <v>12</v>
      </c>
      <c r="LU38" s="7">
        <f>IFERROR(AVERAGEIF('Данные 2st'!$Q$2:$Q$317,$A38,'Данные 2st'!$EN$2:$EN$317),"")</f>
        <v>0.5</v>
      </c>
      <c r="LV38" s="7">
        <f>IFERROR(AVERAGEIF('Данные 2st'!$Q$2:$Q$317,$A38,'Данные 2st'!$EO$2:$EO$317),"")</f>
        <v>0.9328571428571428</v>
      </c>
      <c r="LW38" s="7">
        <f>IFERROR(AVERAGEIF('Данные 2st'!$Q$2:$Q$317,$A38,'Данные 2st'!$EP$2:$EP$317),"")</f>
        <v>2152.36</v>
      </c>
      <c r="LX38" s="7">
        <f>IFERROR(AVERAGEIF('Данные 2st'!$Q$2:$Q$317,$A38,'Данные 2st'!$EQ$2:$EQ$317),"")</f>
        <v>35479.455714285716</v>
      </c>
      <c r="LY38" s="7">
        <f>IFERROR(AVERAGEIF('Данные 2st'!$Q$2:$Q$317,$A38,'Данные 2st'!$ER$2:$ER$317),"")</f>
        <v>8769.278571428571</v>
      </c>
      <c r="LZ38" s="7">
        <f>IFERROR(AVERAGEIF('Данные 2st'!$Q$2:$Q$317,$A38,'Данные 2st'!$ES$2:$ES$317),"")</f>
        <v>0</v>
      </c>
      <c r="MA38" s="7">
        <f>IFERROR(AVERAGEIF('Данные 2st'!$Q$2:$Q$317,$A38,'Данные 2st'!$ET$2:$ET$317),"")</f>
        <v>0</v>
      </c>
      <c r="MB38" s="7">
        <f>IFERROR(AVERAGEIF('Данные 2st'!$Q$2:$Q$317,$A38,'Данные 2st'!$EU$2:$EU$317),"")</f>
        <v>1</v>
      </c>
      <c r="MC38" s="7">
        <f>IFERROR(AVERAGEIF('Данные 2st'!$Q$2:$Q$317,$A38,'Данные 2st'!$EV$2:$EV$317),"")</f>
        <v>44249.142857142855</v>
      </c>
      <c r="MD38" s="7">
        <f>IFERROR(AVERAGEIF('Данные 2st'!$Q$2:$Q$317,$A38,'Данные 2st'!$EW$2:$EW$317),"")</f>
        <v>518.8571428571429</v>
      </c>
      <c r="ME38" s="7">
        <f>IFERROR(AVERAGEIF('Данные 2st'!$Q$2:$Q$317,$A38,'Данные 2st'!$EY$2:$EY$317),"")</f>
        <v>214.57142857142858</v>
      </c>
      <c r="MF38" s="7">
        <f>IFERROR(AVERAGEIF('Данные 2st'!$Q$2:$Q$317,$A38,'Данные 2st'!$FA$2:$FA$317),"")</f>
        <v>5.314285714285714</v>
      </c>
      <c r="MG38" s="7">
        <f>IFERROR(AVERAGEIF('Данные 2st'!$Q$2:$Q$317,$A38,'Данные 2st'!$FB$2:$FB$317),"")</f>
        <v>1</v>
      </c>
      <c r="MH38" s="7">
        <f>IFERROR(AVERAGEIF('Данные 2st'!$Q$2:$Q$317,$A38,'Данные 2st'!$FC$2:$FC$317),"")</f>
        <v>1</v>
      </c>
      <c r="MI38" s="7">
        <f>IFERROR(AVERAGEIF('Данные 2st'!$Q$2:$Q$317,$A38,'Данные 2st'!$FD$2:$FD$317),"")</f>
        <v>2184.714285714286</v>
      </c>
      <c r="MJ38" s="7">
        <f>IFERROR(AVERAGEIF('Данные 2st'!$Q$2:$Q$317,$A38,'Данные 2st'!$FE$2:$FE$317),"")</f>
        <v>2678.4285714285716</v>
      </c>
      <c r="MK38" s="7">
        <f>IFERROR(AVERAGEIF('Данные 2st'!$Q$2:$Q$317,$A38,'Данные 2st'!$FG$2:$FG$317),"")</f>
        <v>214.57142857142858</v>
      </c>
      <c r="ML38" s="7">
        <f>IFERROR(AVERAGEIF('Данные 2st'!$Q$2:$Q$317,$A38,'Данные 2st'!$FI$2:$FI$317),"")</f>
        <v>2.585714285714286</v>
      </c>
      <c r="MM38" s="7">
        <f>IFERROR(AVERAGEIF('Данные 2st'!$Q$2:$Q$317,$A38,'Данные 2st'!$FJ$2:$FJ$317),"")</f>
        <v>2184.714285714286</v>
      </c>
      <c r="MN38" s="7">
        <f>IFERROR(AVERAGEIF('Данные 2st'!$Q$2:$Q$317,$A38,'Данные 2st'!$FK$2:$FK$317),"")</f>
        <v>1366</v>
      </c>
      <c r="MO38" s="7">
        <f>IFERROR(AVERAGEIF('Данные 2st'!$Q$2:$Q$317,$A38,'Данные 2st'!$FP$2:$FP$317),"")</f>
        <v>2184.714285714286</v>
      </c>
      <c r="MP38" s="7">
        <f>IFERROR(AVERAGEIF('Данные 2st'!$Q$2:$Q$317,$A38,'Данные 2st'!$FQ$2:$FQ$317),"")</f>
        <v>171.14285714285714</v>
      </c>
      <c r="MQ38" s="7">
        <f>IFERROR(AVERAGEIF('Данные 2st'!$Q$2:$Q$317,$A38,'Данные 2st'!$FS$2:$FS$317),"")</f>
        <v>218.57142857142858</v>
      </c>
      <c r="MR38" s="7">
        <f>IFERROR(AVERAGEIF('Данные 2st'!$Q$2:$Q$317,$A38,'Данные 2st'!$FU$2:$FU$317),"")</f>
        <v>0.4</v>
      </c>
      <c r="MS38" s="7">
        <f>IFERROR(AVERAGEIF('Данные 2st'!$Q$2:$Q$317,$A38,'Данные 2st'!$FV$2:$FV$317),"")</f>
        <v>2184.714285714286</v>
      </c>
      <c r="MT38" s="7">
        <f>IFERROR(AVERAGEIF('Данные 2st'!$Q$2:$Q$317,$A38,'Данные 2st'!$FW$2:$FW$317),"")</f>
        <v>212.42857142857142</v>
      </c>
      <c r="MU38" s="7">
        <f>IFERROR(AVERAGEIF('Данные 2st'!$Q$2:$Q$317,$A38,'Данные 2st'!$FY$2:$FY$317),"")</f>
        <v>5</v>
      </c>
      <c r="MV38" s="7">
        <f>IFERROR(AVERAGEIF('Данные 2st'!$Q$2:$Q$317,$A38,'Данные 2st'!$GB$2:$GB$317),"")</f>
        <v>2184.714285714286</v>
      </c>
      <c r="MW38" s="7">
        <f>IFERROR(AVERAGEIF('Данные 2st'!$Q$2:$Q$317,$A38,'Данные 2st'!$GC$2:$GC$317),"")</f>
        <v>21</v>
      </c>
      <c r="MX38" s="7">
        <f>IFERROR(AVERAGEIF('Данные 2st'!$Q$2:$Q$317,$A38,'Данные 2st'!$GD$2:$GD$317),"")</f>
        <v>4449</v>
      </c>
      <c r="MY38" s="7">
        <f>IFERROR(AVERAGEIF('Данные 2st'!$Q$2:$Q$317,$A38,'Данные 2st'!$GN$2:$GN$317),"")</f>
        <v/>
      </c>
      <c r="MZ38" s="7">
        <f>IFERROR(AVERAGEIF('Данные 2st'!$Q$2:$Q$317,$A38,'Данные 2st'!$GQ$2:$GQ$317),"")</f>
        <v>0</v>
      </c>
      <c r="NA38" s="7">
        <f>IFERROR(AVERAGEIF('Данные 2st'!$Q$2:$Q$317,$A38,'Данные 2st'!$GV$2:$GV$317),"")</f>
        <v>8.3</v>
      </c>
      <c r="NB38" s="7">
        <f>IFERROR(AVERAGEIF('Данные 2st'!$Q$2:$Q$317,$A38,'Данные 2st'!$GW$2:$GW$317),"")</f>
        <v>9.8</v>
      </c>
      <c r="NC38" s="7">
        <f>IFERROR(AVERAGEIF('Данные 2st'!$Q$2:$Q$317,$A38,'Данные 2st'!$GX$2:$GX$317),"")</f>
        <v>0.5</v>
      </c>
      <c r="ND38" s="7">
        <f>IFERROR(AVERAGEIF('Данные 2st'!$Q$2:$Q$317,$A38,'Данные 2st'!$GY$2:$GY$317),"")</f>
        <v>186.28571428571428</v>
      </c>
      <c r="NE38" s="7">
        <f>IFERROR(AVERAGEIF('Данные 2st'!$Q$2:$Q$317,$A38,'Данные 2st'!$GZ$2:$GZ$317),"")</f>
        <v>3</v>
      </c>
      <c r="NF38" s="7">
        <f>IFERROR(AVERAGEIF('Данные 2st'!$Q$2:$Q$317,$A38,'Данные 2st'!$HA$2:$HA$317),"")</f>
        <v>234.28571428571428</v>
      </c>
      <c r="NG38" s="7">
        <f>IFERROR(AVERAGEIF('Данные 2st'!$Q$2:$Q$317,$A38,'Данные 2st'!$HB$2:$HB$317),"")</f>
        <v>3</v>
      </c>
      <c r="NH38" s="7">
        <f>IFERROR(AVERAGEIF('Данные 2st'!$Q$2:$Q$317,$A38,'Данные 2st'!$HC$2:$HC$317),"")</f>
        <v>2184.714285714286</v>
      </c>
      <c r="NI38" s="7">
        <f>IFERROR(AVERAGEIF('Данные 2st'!$Q$2:$Q$317,$A38,'Данные 2st'!$HD$2:$HD$317),"")</f>
        <v>4</v>
      </c>
      <c r="NJ38" s="7">
        <f>IFERROR(AVERAGEIF('Данные 2st'!$Q$2:$Q$317,$A38,'Данные 2st'!$HM$2:$HM$317),"")</f>
        <v>19</v>
      </c>
      <c r="NK38" s="7">
        <f>IFERROR(AVERAGEIF('Данные 2st'!$Q$2:$Q$317,$A38,'Данные 2st'!$HR$2:$HR$317),"")</f>
        <v>2.4285714285714284</v>
      </c>
      <c r="NL38" s="7">
        <f>IFERROR(AVERAGEIF('Данные 2st'!$Q$2:$Q$317,$A38,'Данные 2st'!$HS$2:$HS$317),"")</f>
        <v>2139.285714285714</v>
      </c>
      <c r="NM38" s="7">
        <f>IFERROR(AVERAGEIF('Данные 2st'!$Q$2:$Q$317,$A38,'Данные 2st'!$HT$2:$HT$317),"")</f>
        <v>4.928571428571429</v>
      </c>
      <c r="NN38" s="7">
        <f>IFERROR(AVERAGEIF('Данные 2st'!$Q$2:$Q$317,$A38,'Данные 2st'!$HY$2:$HY$317),"")</f>
        <v>0</v>
      </c>
      <c r="NO38" s="7">
        <f>IFERROR(AVERAGEIF('Данные 2st'!$Q$2:$Q$317,$A38,'Данные 2st'!$HZ$2:$HZ$317),"")</f>
        <v>64.42857142857143</v>
      </c>
      <c r="NP38" s="7">
        <f>IFERROR(AVERAGEIF('Данные 2st'!$Q$2:$Q$317,$A38,'Данные 2st'!$IA$2:$IA$317),"")</f>
        <v>2142.4285714285716</v>
      </c>
      <c r="NQ38" s="7">
        <f>IFERROR(AVERAGEIF('Данные 2st'!$Q$2:$Q$317,$A38,'Данные 2st'!$IB$2:$IB$317),"")</f>
        <v>2153</v>
      </c>
      <c r="NR38" s="7">
        <f>IFERROR(AVERAGEIF('Данные 2st'!$Q$2:$Q$317,$A38,'Данные 2st'!$IC$2:$IC$317),"")</f>
        <v/>
      </c>
      <c r="NS38" s="7">
        <f>IFERROR(AVERAGEIF('Данные 2st'!$Q$2:$Q$317,$A38,'Данные 2st'!$ID$2:$ID$317),"")</f>
        <v>2184.714285714286</v>
      </c>
      <c r="NT38" s="7">
        <f>IFERROR(AVERAGEIF('Данные 2st'!$Q$2:$Q$317,$A38,'Данные 2st'!$IE$2:$IE$317),"")</f>
        <v>2184.714285714286</v>
      </c>
      <c r="NU38" s="7">
        <f>IFERROR(AVERAGEIF('Данные 2st'!$Q$2:$Q$317,$A38,'Данные 2st'!$IF$2:$IF$317),"")</f>
        <v>193.57142857142858</v>
      </c>
      <c r="NV38" s="7">
        <f>IFERROR(AVERAGEIF('Данные 2st'!$Q$2:$Q$317,$A38,'Данные 2st'!$IG$2:$IG$317),"")</f>
        <v>183.57142857142858</v>
      </c>
      <c r="NW38" s="7">
        <f>IFERROR(AVERAGEIF('Данные 2st'!$Q$2:$Q$317,$A38,'Данные 2st'!$IH$2:$IH$317),"")</f>
        <v>234.28571428571428</v>
      </c>
      <c r="NX38" s="7">
        <f>IFERROR(AVERAGEIF('Данные 2st'!$Q$2:$Q$317,$A38,'Данные 2st'!$IJ$2:$IJ$317),"")</f>
        <v>5.714285714285714</v>
      </c>
      <c r="NY38" s="7">
        <f>IFERROR(AVERAGEIF('Данные 2st'!$Q$2:$Q$317,$A38,'Данные 2st'!$IM$2:$IM$317),"")</f>
        <v>0</v>
      </c>
      <c r="NZ38" s="7">
        <f>IFERROR(AVERAGEIF('Данные 2st'!$Q$2:$Q$317,$A38,'Данные 2st'!$IN$2:$IN$317),"")</f>
        <v>270</v>
      </c>
      <c r="OA38" s="7">
        <f>IFERROR(AVERAGEIF('Данные 2st'!$Q$2:$Q$317,$A38,'Данные 2st'!$IO$2:$IO$317),"")</f>
        <v>0</v>
      </c>
      <c r="OB38" s="7">
        <f>IFERROR(AVERAGEIF('Данные 2st'!$Q$2:$Q$317,$A38,'Данные 2st'!$IP$2:$IP$317),"")</f>
        <v>180</v>
      </c>
      <c r="OC38" s="7">
        <f>IFERROR(AVERAGEIF('Данные 2st'!$Q$2:$Q$317,$A38,'Данные 2st'!$IQ$2:$IQ$317),"")</f>
        <v>0</v>
      </c>
      <c r="OD38" s="7">
        <f>IFERROR(AVERAGEIF('Данные 2st'!$Q$2:$Q$317,$A38,'Данные 2st'!$IR$2:$IR$317),"")</f>
        <v>330</v>
      </c>
      <c r="OE38" s="7">
        <f>IFERROR(AVERAGEIF('Данные 2st'!$Q$2:$Q$317,$A38,'Данные 2st'!$IT$2:$IT$317),"")</f>
        <v>90</v>
      </c>
      <c r="OF38" s="7">
        <f>IFERROR(AVERAGEIF('Данные 2st'!$Q$2:$Q$317,$A38,'Данные 2st'!$IU$2:$IU$317),"")</f>
        <v>0</v>
      </c>
      <c r="OG38" s="7">
        <f>IFERROR(AVERAGEIF('Данные 2st'!$Q$2:$Q$317,$A38,'Данные 2st'!$IV$2:$IV$317),"")</f>
        <v>6.4</v>
      </c>
      <c r="OH38" s="7">
        <f>IFERROR(AVERAGEIF('Данные 2st'!$Q$2:$Q$317,$A38,'Данные 2st'!$IW$2:$IW$317),"")</f>
        <v>-6</v>
      </c>
      <c r="OI38" s="7">
        <f>IFERROR(AVERAGEIF('Данные 2st'!$Q$2:$Q$317,$A38,'Данные 2st'!$IX$2:$IX$317),"")</f>
        <v>99.5</v>
      </c>
      <c r="OJ38" s="7">
        <f>IFERROR(AVERAGEIF('Данные 2st'!$Q$2:$Q$317,$A38,'Данные 2st'!$IY$2:$IY$317),"")</f>
        <v>73.5</v>
      </c>
      <c r="OK38" s="7">
        <f>IFERROR(AVERAGEIF('Данные 2st'!$Q$2:$Q$317,$A38,'Данные 2st'!$IZ$2:$IZ$317),"")</f>
        <v>0</v>
      </c>
      <c r="OL38" s="7">
        <f>IFERROR(AVERAGEIF('Данные 2st'!$Q$2:$Q$317,$A38,'Данные 2st'!$JA$2:$JA$317),"")</f>
        <v>0</v>
      </c>
      <c r="OM38" s="7">
        <f>IFERROR(AVERAGEIF('Данные 2st'!$Q$2:$Q$317,$A38,'Данные 2st'!$JB$2:$JB$317),"")</f>
        <v>0</v>
      </c>
      <c r="ON38" s="7">
        <f>IFERROR(AVERAGEIF('Данные 2st'!$Q$2:$Q$317,$A38,'Данные 2st'!$JC$2:$JC$317),"")</f>
        <v>0</v>
      </c>
      <c r="OO38" s="7">
        <f>IFERROR(AVERAGEIF('Данные 2st'!$Q$2:$Q$317,$A38,'Данные 2st'!$JD$2:$JD$317),"")</f>
        <v>0</v>
      </c>
      <c r="OP38" s="7">
        <f>IFERROR(AVERAGEIF('Данные 2st'!$Q$2:$Q$317,$A38,'Данные 2st'!$JE$2:$JE$317),"")</f>
        <v>0</v>
      </c>
      <c r="OQ38" s="7">
        <f>IFERROR(AVERAGEIF('Данные 2st'!$Q$2:$Q$317,$A38,'Данные 2st'!$JF$2:$JF$317),"")</f>
        <v>0</v>
      </c>
      <c r="OR38" s="7">
        <f>IFERROR(AVERAGEIF('Данные 2st'!$Q$2:$Q$317,$A38,'Данные 2st'!$JG$2:$JG$317),"")</f>
        <v>0</v>
      </c>
      <c r="OS38" s="7">
        <f>IFERROR(AVERAGEIF('Данные 2st'!$Q$2:$Q$317,$A38,'Данные 2st'!$JH$2:$JH$317),"")</f>
        <v>0</v>
      </c>
      <c r="OT38" s="7">
        <f>IFERROR(AVERAGEIF('Данные 2st'!$Q$2:$Q$317,$A38,'Данные 2st'!$JI$2:$JI$317),"")</f>
        <v>386.2857142857143</v>
      </c>
      <c r="OU38" s="7">
        <f>IFERROR(AVERAGEIF('Данные 2st'!$Q$2:$Q$317,$A38,'Данные 2st'!$JJ$2:$JJ$317),"")</f>
        <v>354.85714285714283</v>
      </c>
      <c r="OV38" s="7">
        <f>IFERROR(AVERAGEIF('Данные 2st'!$Q$2:$Q$317,$A38,'Данные 2st'!$JK$2:$JK$317),"")</f>
        <v>258.14285714285717</v>
      </c>
      <c r="OW38" s="7">
        <f>IFERROR(AVERAGEIF('Данные 2st'!$Q$2:$Q$317,$A38,'Данные 2st'!$JL$2:$JL$317),"")</f>
        <v>352</v>
      </c>
      <c r="OX38" s="7">
        <f>IFERROR(AVERAGEIF('Данные 2st'!$Q$2:$Q$317,$A38,'Данные 2st'!$JM$2:$JM$317),"")</f>
        <v>284.57142857142856</v>
      </c>
      <c r="OY38" s="7">
        <f>IFERROR(AVERAGEIF('Данные 2st'!$Q$2:$Q$317,$A38,'Данные 2st'!$JP$2:$JP$317),"")</f>
        <v>202.14285714285714</v>
      </c>
      <c r="OZ38" s="7">
        <f>IFERROR(AVERAGEIF('Данные 2st'!$Q$2:$Q$317,$A38,'Данные 2st'!$JQ$2:$JQ$317),"")</f>
        <v>245</v>
      </c>
      <c r="PA38" s="7">
        <f>IFERROR(AVERAGEIF('Данные 2st'!$Q$2:$Q$317,$A38,'Данные 2st'!$JR$2:$JR$317),"")</f>
        <v>310</v>
      </c>
      <c r="PB38" s="7">
        <f>IFERROR(AVERAGEIF('Данные 2st'!$Q$2:$Q$317,$A38,'Данные 2st'!$JS$2:$JS$317),"")</f>
        <v>234</v>
      </c>
      <c r="PC38" s="7">
        <f>IFERROR(AVERAGEIF('Данные 2st'!$Q$2:$Q$317,$A38,'Данные 2st'!$JT$2:$JT$317),"")</f>
        <v>0</v>
      </c>
      <c r="PD38" s="7">
        <f>IFERROR(AVERAGEIF('Данные 2st'!$Q$2:$Q$317,$A38,'Данные 2st'!$JU$2:$JU$317),"")</f>
        <v>0</v>
      </c>
      <c r="PE38" s="7">
        <f>IFERROR(AVERAGEIF('Данные 2st'!$Q$2:$Q$317,$A38,'Данные 2st'!$JV$2:$JV$317),"")</f>
        <v>302.85714285714283</v>
      </c>
      <c r="PF38" s="7">
        <f>IFERROR(AVERAGEIF('Данные 2st'!$Q$2:$Q$317,$A38,'Данные 2st'!$JW$2:$JW$317),"")</f>
        <v>307</v>
      </c>
      <c r="PG38" s="7">
        <f>IFERROR(AVERAGEIF('Данные 2st'!$Q$2:$Q$317,$A38,'Данные 2st'!$KF$2:$KF$317),"")</f>
        <v>0.17714285714285716</v>
      </c>
      <c r="PH38" s="7">
        <f>IFERROR(AVERAGEIF('Данные 2st'!$Q$2:$Q$317,$A38,'Данные 2st'!$KG$2:$KG$317),"")</f>
        <v>0.11</v>
      </c>
      <c r="PI38" s="7">
        <f>IFERROR(AVERAGEIF('Данные 2st'!$Q$2:$Q$317,$A38,'Данные 2st'!$KM$2:$KM$317),"")</f>
        <v>0.07142857142857142</v>
      </c>
      <c r="PJ38" s="7">
        <f>IFERROR(AVERAGEIF('Данные 2st'!$Q$2:$Q$317,$A38,'Данные 2st'!$KN$2:$KN$317),"")</f>
        <v>1.7285714285714286</v>
      </c>
      <c r="PK38" s="7">
        <f>IFERROR(AVERAGEIF('Данные 2st'!$Q$2:$Q$317,$A38,'Данные 2st'!$KO$2:$KO$317),"")</f>
        <v>0</v>
      </c>
      <c r="PL38" s="7">
        <f>IFERROR(AVERAGEIF('Данные 2st'!$Q$2:$Q$317,$A38,'Данные 2st'!$KP$2:$KP$317),"")</f>
        <v>0</v>
      </c>
      <c r="PM38" s="7">
        <f>IFERROR(AVERAGEIF('Данные 2st'!$Q$2:$Q$317,$A38,'Данные 2st'!$KQ$2:$KQ$317),"")</f>
        <v>0.7285714285714285</v>
      </c>
      <c r="PN38" s="7">
        <f>IFERROR(AVERAGEIF('Данные 2st'!$Q$2:$Q$317,$A38,'Данные 2st'!$KR$2:$KR$317),"")</f>
        <v>0.8571428571428572</v>
      </c>
      <c r="PO38" s="7">
        <f>IFERROR(AVERAGEIF('Данные 2st'!$Q$2:$Q$317,$A38,'Данные 2st'!$KS$2:$KS$317),"")</f>
        <v>0</v>
      </c>
      <c r="PP38" s="7">
        <f>IFERROR(AVERAGEIF('Данные 2st'!$Q$2:$Q$317,$A38,'Данные 2st'!$KT$2:$KT$317),"")</f>
        <v>2.2714285714285714</v>
      </c>
      <c r="PQ38" s="7">
        <f>IFERROR(AVERAGEIF('Данные 2st'!$Q$2:$Q$317,$A38,'Данные 2st'!$KU$2:$KU$317),"")</f>
        <v>0</v>
      </c>
      <c r="PR38" s="7">
        <f>IFERROR(AVERAGEIF('Данные 2st'!$Q$2:$Q$317,$A38,'Данные 2st'!$KV$2:$KV$317),"")</f>
        <v>0</v>
      </c>
      <c r="PS38" s="7">
        <f>IFERROR(AVERAGEIF('Данные 2st'!$Q$2:$Q$317,$A38,'Данные 2st'!$KW$2:$KW$317),"")</f>
        <v>1.042857142857143</v>
      </c>
      <c r="PT38" s="7">
        <f>IFERROR(AVERAGEIF('Данные 2st'!$Q$2:$Q$317,$A38,'Данные 2st'!$KX$2:$KX$317),"")</f>
        <v>1.6428571428571428</v>
      </c>
      <c r="PU38" s="7">
        <f>IFERROR(AVERAGEIF('Данные 2st'!$Q$2:$Q$317,$A38,'Данные 2st'!$KY$2:$KY$317),"")</f>
        <v>0.14285714285714285</v>
      </c>
      <c r="PV38" s="7">
        <f>IFERROR(AVERAGEIF('Данные 2st'!$Q$2:$Q$317,$A38,'Данные 2st'!$KZ$2:$KZ$317),"")</f>
        <v>0</v>
      </c>
      <c r="PW38" s="7">
        <f>IFERROR(AVERAGEIF('Данные 2st'!$Q$2:$Q$317,$A38,'Данные 2st'!$LA$2:$LA$317),"")</f>
        <v>0</v>
      </c>
      <c r="PX38" s="7">
        <f>IFERROR(AVERAGEIF('Данные 2st'!$Q$2:$Q$317,$A38,'Данные 2st'!$LB$2:$LB$317),"")</f>
        <v>0</v>
      </c>
      <c r="PY38" s="7">
        <f>IFERROR(AVERAGEIF('Данные 2st'!$Q$2:$Q$317,$A38,'Данные 2st'!$LC$2:$LC$317),"")</f>
        <v>0</v>
      </c>
      <c r="PZ38" s="7">
        <f>IFERROR(AVERAGEIF('Данные 2st'!$Q$2:$Q$317,$A38,'Данные 2st'!$LD$2:$LD$317),"")</f>
        <v>0</v>
      </c>
      <c r="QA38" s="7">
        <f>IFERROR(AVERAGEIF('Данные 2st'!$Q$2:$Q$317,$A38,'Данные 2st'!$LE$2:$LE$317),"")</f>
        <v>0</v>
      </c>
      <c r="QB38" s="7">
        <f>IFERROR(AVERAGEIF('Данные 2st'!$Q$2:$Q$317,$A38,'Данные 2st'!$LF$2:$LF$317),"")</f>
        <v>0</v>
      </c>
      <c r="QC38" s="7">
        <f>IFERROR(AVERAGEIF('Данные 2st'!$Q$2:$Q$317,$A38,'Данные 2st'!$LG$2:$LG$317),"")</f>
        <v>0</v>
      </c>
      <c r="QD38" s="7">
        <f>IFERROR(AVERAGEIF('Данные 2st'!$Q$2:$Q$317,$A38,'Данные 2st'!$LH$2:$LH$317),"")</f>
        <v>3</v>
      </c>
      <c r="QE38" s="7">
        <f>IFERROR(AVERAGEIF('Данные 2st'!$Q$2:$Q$317,$A38,'Данные 2st'!$LJ$2:$LJ$317),"")</f>
        <v>0</v>
      </c>
      <c r="QF38" s="7">
        <f>IFERROR(AVERAGEIF('Данные 2st'!$Q$2:$Q$317,$A38,'Данные 2st'!$LK$2:$LK$317),"")</f>
        <v>7.785714285714286</v>
      </c>
      <c r="QG38" s="7">
        <f>IFERROR(AVERAGEIF('Данные 2st'!$Q$2:$Q$317,$A38,'Данные 2st'!$LL$2:$LL$317),"")</f>
        <v>5.285714285714286</v>
      </c>
      <c r="QH38" s="7">
        <f>IFERROR(AVERAGEIF('Данные 2st'!$Q$2:$Q$317,$A38,'Данные 2st'!$LM$2:$LM$317),"")</f>
        <v>8.642857142857142</v>
      </c>
      <c r="QI38" s="7">
        <f>IFERROR(AVERAGEIF('Данные 2st'!$Q$2:$Q$317,$A38,'Данные 2st'!$LN$2:$LN$317),"")</f>
        <v>0.9571428571428572</v>
      </c>
      <c r="QJ38" s="7">
        <f>IFERROR(AVERAGEIF('Данные 2st'!$Q$2:$Q$317,$A38,'Данные 2st'!$LO$2:$LO$317),"")</f>
        <v>0.7857142857142857</v>
      </c>
      <c r="QK38" s="7">
        <f>IFERROR(AVERAGEIF('Данные 2st'!$Q$2:$Q$317,$A38,'Данные 2st'!$LP$2:$LP$317),"")</f>
        <v>0</v>
      </c>
      <c r="QL38" s="7">
        <f>IFERROR(AVERAGEIF('Данные 2st'!$Q$2:$Q$317,$A38,'Данные 2st'!$LQ$2:$LQ$317),"")</f>
        <v>0</v>
      </c>
      <c r="QM38" s="7">
        <f>IFERROR(AVERAGEIF('Данные 2st'!$Q$2:$Q$317,$A38,'Данные 2st'!$LW$2:$LW$317),"")</f>
        <v>2.3</v>
      </c>
      <c r="QN38" s="7">
        <f>IFERROR(AVERAGEIF('Данные 2st'!$Q$2:$Q$317,$A38,'Данные 2st'!$LX$2:$LX$317),"")</f>
        <v>2.3</v>
      </c>
      <c r="QO38" s="7">
        <f>IFERROR(AVERAGEIF('Данные 2st'!$Q$2:$Q$317,$A38,'Данные 2st'!$LY$2:$LY$317),"")</f>
        <v>2.5</v>
      </c>
      <c r="QP38" s="7">
        <f>IFERROR(AVERAGEIF('Данные 2st'!$Q$2:$Q$317,$A38,'Данные 2st'!$LZ$2:$LZ$317),"")</f>
        <v>2.5</v>
      </c>
      <c r="QQ38" s="7">
        <f>IFERROR(AVERAGEIF('Данные 2st'!$Q$2:$Q$317,$A38,'Данные 2st'!$MB$2:$MB$317),"")</f>
        <v>3.4285714285714284</v>
      </c>
      <c r="QR38" s="7">
        <f>IFERROR(AVERAGEIF('Данные 2st'!$Q$2:$Q$317,$A38,'Данные 2st'!$MG$2:$MG$317),"")</f>
        <v>0</v>
      </c>
      <c r="QS38" s="7">
        <f>IFERROR(AVERAGEIF('Данные 2st'!$Q$2:$Q$317,$A38,'Данные 2st'!$MH$2:$MH$317),"")</f>
        <v>0</v>
      </c>
      <c r="QT38" s="7">
        <f>IFERROR(AVERAGEIF('Данные 2st'!$Q$2:$Q$317,$A38,'Данные 2st'!$MI$2:$MI$317),"")</f>
        <v>0</v>
      </c>
      <c r="QU38" s="7">
        <f>IFERROR(AVERAGEIF('Данные 2st'!$Q$2:$Q$317,$A38,'Данные 2st'!$MJ$2:$MJ$317),"")</f>
        <v>0</v>
      </c>
      <c r="QV38" s="7">
        <f>IFERROR(AVERAGEIF('Данные 2st'!$Q$2:$Q$317,$A38,'Данные 2st'!$MK$2:$MK$317),"")</f>
        <v>0</v>
      </c>
      <c r="QW38" s="7">
        <f>IFERROR(AVERAGEIF('Данные 2st'!$Q$2:$Q$317,$A38,'Данные 2st'!$MM$2:$MM$317),"")</f>
        <v>407.42857142857144</v>
      </c>
      <c r="QX38" s="7">
        <f>IFERROR(AVERAGEIF('Данные 2st'!$Q$2:$Q$317,$A38,'Данные 2st'!$MQ$2:$MQ$317),"")</f>
        <v/>
      </c>
      <c r="QY38" s="7">
        <f>IFERROR(AVERAGEIF('Данные 2st'!$Q$2:$Q$317,$A38,'Данные 2st'!$MR$2:$MR$317),"")</f>
        <v/>
      </c>
      <c r="QZ38" s="7">
        <f>IFERROR(AVERAGEIF('Данные 2st'!$Q$2:$Q$317,$A38,'Данные 2st'!$MS$2:$MS$317),"")</f>
        <v/>
      </c>
      <c r="RA38" s="7">
        <f>IFERROR(AVERAGEIF('Данные 2st'!$Q$2:$Q$317,$A38,'Данные 2st'!$MT$2:$MT$317),"")</f>
        <v/>
      </c>
      <c r="RB38" s="7">
        <f>IFERROR(AVERAGEIF('Данные 2st'!$Q$2:$Q$317,$A38,'Данные 2st'!$MU$2:$MU$317),"")</f>
        <v/>
      </c>
      <c r="RC38" s="7">
        <f>IFERROR(AVERAGEIF('Данные 2st'!$Q$2:$Q$317,$A38,'Данные 2st'!$MV$2:$MV$317),"")</f>
        <v/>
      </c>
      <c r="RD38" s="7">
        <f>IFERROR(AVERAGEIF('Данные 2st'!$Q$2:$Q$317,$A38,'Данные 2st'!$MW$2:$MW$317),"")</f>
        <v/>
      </c>
      <c r="RE38" s="7">
        <f>IFERROR(AVERAGEIF('Данные 2st'!$Q$2:$Q$317,$A38,'Данные 2st'!$MX$2:$MX$317),"")</f>
        <v/>
      </c>
      <c r="RF38" s="7">
        <f>IFERROR(AVERAGEIF('Данные 2st'!$Q$2:$Q$317,$A38,'Данные 2st'!$MY$2:$MY$317),"")</f>
        <v/>
      </c>
      <c r="RG38" s="7">
        <f>IFERROR(AVERAGEIF('Данные 2st'!$Q$2:$Q$317,$A38,'Данные 2st'!$MZ$2:$MZ$317),"")</f>
        <v/>
      </c>
      <c r="RH38" s="7">
        <f>IFERROR(AVERAGEIF('Данные 2st'!$Q$2:$Q$317,$A38,'Данные 2st'!$NA$2:$NA$317),"")</f>
        <v/>
      </c>
      <c r="RI38" s="7">
        <f>IFERROR(AVERAGEIF('Данные 2st'!$Q$2:$Q$317,$A38,'Данные 2st'!$NB$2:$NB$317),"")</f>
        <v/>
      </c>
      <c r="RJ38" s="7">
        <f>IFERROR(AVERAGEIF('Данные 2st'!$Q$2:$Q$317,$A38,'Данные 2st'!$NC$2:$NC$317),"")</f>
        <v/>
      </c>
      <c r="RK38" s="7">
        <f>IFERROR(AVERAGEIF('Данные 2st'!$Q$2:$Q$317,$A38,'Данные 2st'!$ND$2:$ND$317),"")</f>
        <v/>
      </c>
      <c r="RL38" s="7">
        <f>IFERROR(AVERAGEIF('Данные 2st'!$Q$2:$Q$317,$A38,'Данные 2st'!$NE$2:$NE$317),"")</f>
        <v/>
      </c>
      <c r="RM38" s="7">
        <f>IFERROR(AVERAGEIF('Данные 2st'!$Q$2:$Q$317,$A38,'Данные 2st'!$NF$2:$NF$317),"")</f>
        <v/>
      </c>
      <c r="RN38" s="7">
        <f>IFERROR(AVERAGEIF('Данные 2st'!$Q$2:$Q$317,$A38,'Данные 2st'!$NG$2:$NG$317),"")</f>
        <v/>
      </c>
      <c r="RO38" s="7">
        <f>IFERROR(AVERAGEIF('Данные 2st'!$Q$2:$Q$317,$A38,'Данные 2st'!$NH$2:$NH$317),"")</f>
        <v/>
      </c>
      <c r="RP38" s="7">
        <f>IFERROR(AVERAGEIF('Данные 2st'!$Q$2:$Q$317,$A38,'Данные 2st'!$NJ$2:$NJ$317),"")</f>
        <v/>
      </c>
      <c r="RQ38" s="7">
        <f>IFERROR(AVERAGEIF('Данные 2st'!$Q$2:$Q$317,$A38,'Данные 2st'!$NK$2:$NK$317),"")</f>
        <v/>
      </c>
      <c r="RR38" s="7">
        <f>IFERROR(AVERAGEIF('Данные 2st'!$Q$2:$Q$317,$A38,'Данные 2st'!$NM$2:$NM$317),"")</f>
        <v/>
      </c>
      <c r="RS38" s="7">
        <f>IFERROR(AVERAGEIF('Данные 2st'!$Q$2:$Q$317,$A38,'Данные 2st'!$NN$2:$NN$317),"")</f>
        <v/>
      </c>
      <c r="RT38" s="7">
        <f>IFERROR(AVERAGEIF('Данные 2st'!$Q$2:$Q$317,$A38,'Данные 2st'!$NO$2:$NO$317),"")</f>
        <v/>
      </c>
      <c r="RU38" s="7">
        <f>IFERROR(AVERAGEIF('Данные 2st'!$Q$2:$Q$317,$A38,'Данные 2st'!$NP$2:$NP$317),"")</f>
        <v/>
      </c>
      <c r="RV38" s="7">
        <f>IFERROR(AVERAGEIF('Данные 2st'!$Q$2:$Q$317,$A38,'Данные 2st'!$NQ$2:$NQ$317),"")</f>
        <v/>
      </c>
      <c r="RW38" s="7">
        <f>IFERROR(AVERAGEIF('Данные 2st'!$Q$2:$Q$317,$A38,'Данные 2st'!$NR$2:$NR$317),"")</f>
        <v/>
      </c>
      <c r="RX38" s="7">
        <f>IFERROR(AVERAGEIF('Данные 2st'!$Q$2:$Q$317,$A38,'Данные 2st'!$NS$2:$NS$317),"")</f>
        <v/>
      </c>
      <c r="RY38" s="7">
        <f>IFERROR(AVERAGEIF('Данные 2st'!$Q$2:$Q$317,$A38,'Данные 2st'!$NT$2:$NT$317),"")</f>
        <v/>
      </c>
      <c r="RZ38" s="7">
        <f>IFERROR(AVERAGEIF('Данные 2st'!$Q$2:$Q$317,$A38,'Данные 2st'!$OK$2:$OK$317),"")</f>
        <v>61</v>
      </c>
      <c r="SA38" s="7">
        <f>IFERROR(AVERAGEIF('Данные 2st'!$Q$2:$Q$317,$A38,'Данные 2st'!$OL$2:$OL$317),"")</f>
        <v>61</v>
      </c>
      <c r="SB38" s="7">
        <f>IFERROR(AVERAGEIF('Данные 2st'!$Q$2:$Q$317,$A38,'Данные 2st'!$ON$2:$ON$317),"")</f>
        <v>1.4285714285714286</v>
      </c>
      <c r="SC38" s="7">
        <f>IFERROR(AVERAGEIF('Данные 2st'!$Q$2:$Q$317,$A38,'Данные 2st'!$OO$2:$OO$317),"")</f>
        <v>2142.4285714285716</v>
      </c>
      <c r="SD38" s="7">
        <f>IFERROR(AVERAGEIF('Данные 2st'!$Q$2:$Q$317,$A38,'Данные 2st'!$OP$2:$OP$317),"")</f>
        <v>61</v>
      </c>
      <c r="SE38" s="7">
        <f>IFERROR(AVERAGEIF('Данные 2st'!$Q$2:$Q$317,$A38,'Данные 2st'!$OQ$2:$OQ$317),"")</f>
        <v>61</v>
      </c>
      <c r="SF38" s="7">
        <f>IFERROR(AVERAGEIF('Данные 2st'!$Q$2:$Q$317,$A38,'Данные 2st'!$OS$2:$OS$317),"")</f>
        <v>1.4285714285714286</v>
      </c>
      <c r="SG38" s="7">
        <f>IFERROR(AVERAGEIF('Данные 2st'!$Q$2:$Q$317,$A38,'Данные 2st'!$OT$2:$OT$317),"")</f>
        <v>2153</v>
      </c>
      <c r="SH38" s="7">
        <f>IFERROR(AVERAGEIF('Данные 2st'!$Q$2:$Q$317,$A38,'Данные 2st'!$OU$2:$OU$317),"")</f>
        <v>65</v>
      </c>
      <c r="SI38" s="7">
        <f>IFERROR(AVERAGEIF('Данные 2st'!$Q$2:$Q$317,$A38,'Данные 2st'!$OV$2:$OV$317),"")</f>
        <v>65</v>
      </c>
      <c r="SJ38" s="7">
        <f>IFERROR(AVERAGEIF('Данные 2st'!$Q$2:$Q$317,$A38,'Данные 2st'!$OX$2:$OX$317),"")</f>
        <v>1.5714285714285714</v>
      </c>
      <c r="SK38" s="7">
        <f>IFERROR(AVERAGEIF('Данные 2st'!$Q$2:$Q$317,$A38,'Данные 2st'!$OY$2:$OY$317),"")</f>
        <v>44249.142857142855</v>
      </c>
      <c r="SL38" s="7">
        <f>IFERROR(AVERAGEIF('Данные 2st'!$Q$2:$Q$317,$A38,'Данные 2st'!$OZ$2:$OZ$317),"")</f>
        <v>51</v>
      </c>
      <c r="SM38" s="7">
        <f>IFERROR(AVERAGEIF('Данные 2st'!$Q$2:$Q$317,$A38,'Данные 2st'!$PA$2:$PA$317),"")</f>
        <v>51.42857142857143</v>
      </c>
      <c r="SN38" s="7">
        <f>IFERROR(AVERAGEIF('Данные 2st'!$Q$2:$Q$317,$A38,'Данные 2st'!$PC$2:$PC$317),"")</f>
        <v>2.142857142857143</v>
      </c>
      <c r="SO38" s="7">
        <f>IFERROR(AVERAGEIF('Данные 2st'!$Q$2:$Q$317,$A38,'Данные 2st'!$PD$2:$PD$317),"")</f>
        <v>2184.714285714286</v>
      </c>
      <c r="SP38" s="7">
        <f>IFERROR(AVERAGEIF('Данные 2st'!$Q$2:$Q$317,$A38,'Данные 2st'!$PF$2:$PF$317),"")</f>
        <v>403.57142857142856</v>
      </c>
      <c r="SQ38" s="7">
        <f>IFERROR(AVERAGEIF('Данные 2st'!$Q$2:$Q$317,$A38,'Данные 2st'!$PG$2:$PG$317),"")</f>
        <v>33.285714285714285</v>
      </c>
      <c r="SR38" s="7">
        <f>IFERROR(AVERAGEIF('Данные 2st'!$Q$2:$Q$317,$A38,'Данные 2st'!$PH$2:$PH$317),"")</f>
        <v>382.57142857142856</v>
      </c>
      <c r="SS38" s="7">
        <f>IFERROR(AVERAGEIF('Данные 2st'!$Q$2:$Q$317,$A38,'Данные 2st'!$PI$2:$PI$317),"")</f>
        <v>8.285714285714286</v>
      </c>
      <c r="ST38" s="7">
        <f>IFERROR(AVERAGEIF('Данные 2st'!$Q$2:$Q$317,$A38,'Данные 2st'!$PJ$2:$PJ$317),"")</f>
        <v>78.34285714285714</v>
      </c>
      <c r="SU38" s="7">
        <f>IFERROR(AVERAGEIF('Данные 2st'!$Q$2:$Q$317,$A38,'Данные 2st'!$PK$2:$PK$317),"")</f>
        <v>2037.5714285714287</v>
      </c>
      <c r="SV38" s="7">
        <f>IFERROR(AVERAGEIF('Данные 2st'!$Q$2:$Q$317,$A38,'Данные 2st'!$PL$2:$PL$317),"")</f>
        <v>1225.9714285714285</v>
      </c>
      <c r="SW38" s="7">
        <f>IFERROR(AVERAGEIF('Данные 2st'!$Q$2:$Q$317,$A38,'Данные 2st'!$PM$2:$PM$317),"")</f>
        <v>625.5142857142857</v>
      </c>
      <c r="SX38" s="7">
        <f>IFERROR(AVERAGEIF('Данные 2st'!$Q$2:$Q$317,$A38,'Данные 2st'!$PN$2:$PN$317),"")</f>
        <v>97.22857142857143</v>
      </c>
      <c r="SY38" s="7">
        <f>IFERROR(AVERAGEIF('Данные 2st'!$Q$2:$Q$317,$A38,'Данные 2st'!$PO$2:$PO$317),"")</f>
        <v>9.571428571428571</v>
      </c>
      <c r="SZ38" s="7">
        <f>IFERROR(AVERAGEIF('Данные 2st'!$Q$2:$Q$317,$A38,'Данные 2st'!$PP$2:$PP$317),"")</f>
        <v>11.714285714285714</v>
      </c>
      <c r="TA38" s="7">
        <f>IFERROR(AVERAGEIF('Данные 2st'!$Q$2:$Q$317,$A38,'Данные 2st'!$PQ$2:$PQ$317),"")</f>
        <v>5</v>
      </c>
      <c r="TB38" s="7">
        <f>IFERROR(AVERAGEIF('Данные 2st'!$Q$2:$Q$317,$A38,'Данные 2st'!$PR$2:$PR$317),"")</f>
        <v>5</v>
      </c>
      <c r="TC38" s="7">
        <f>IFERROR(AVERAGEIF('Данные 2st'!$Q$2:$Q$317,$A38,'Данные 2st'!$PS$2:$PS$317),"")</f>
        <v>0</v>
      </c>
      <c r="TD38" s="7">
        <f>IFERROR(AVERAGEIF('Данные 2st'!$Q$2:$Q$317,$A38,'Данные 2st'!$PT$2:$PT$317),"")</f>
        <v>234.28571428571428</v>
      </c>
      <c r="TE38" s="7">
        <f>IFERROR(AVERAGEIF('Данные 2st'!$Q$2:$Q$317,$A38,'Данные 2st'!$PU$2:$PU$317),"")</f>
        <v>9.857142857142858</v>
      </c>
      <c r="TF38" s="7">
        <f>IFERROR(AVERAGEIF('Данные 2st'!$Q$2:$Q$317,$A38,'Данные 2st'!$PX$2:$PX$317),"")</f>
        <v>0</v>
      </c>
      <c r="TG38" s="7">
        <f>IFERROR(AVERAGEIF('Данные 2st'!$Q$2:$Q$317,$A38,'Данные 2st'!$PY$2:$PY$317),"")</f>
        <v>0</v>
      </c>
      <c r="TH38" s="7">
        <f>IFERROR(AVERAGEIF('Данные 2st'!$Q$2:$Q$317,$A38,'Данные 2st'!$PZ$2:$PZ$317),"")</f>
        <v>0</v>
      </c>
      <c r="TI38" s="7">
        <f>IFERROR(AVERAGEIF('Данные 2st'!$Q$2:$Q$317,$A38,'Данные 2st'!$QA$2:$QA$317),"")</f>
        <v>0</v>
      </c>
      <c r="TJ38" s="7">
        <f>IFERROR(AVERAGEIF('Данные 2st'!$Q$2:$Q$317,$A38,'Данные 2st'!$QB$2:$QB$317),"")</f>
        <v>0</v>
      </c>
      <c r="TK38" s="7">
        <f>IFERROR(AVERAGEIF('Данные 2st'!$Q$2:$Q$317,$A38,'Данные 2st'!$QC$2:$QC$317),"")</f>
        <v>0</v>
      </c>
      <c r="TL38" s="7">
        <f>IFERROR(AVERAGEIF('Данные 2st'!$Q$2:$Q$317,$A38,'Данные 2st'!$QD$2:$QD$317),"")</f>
        <v>0</v>
      </c>
      <c r="TM38" s="7">
        <f>IFERROR(AVERAGEIF('Данные 2st'!$Q$2:$Q$317,$A38,'Данные 2st'!$QE$2:$QE$317),"")</f>
        <v>-1</v>
      </c>
      <c r="TN38" s="7">
        <f>IFERROR(AVERAGEIF('Данные 2st'!$Q$2:$Q$317,$A38,'Данные 2st'!$QF$2:$QF$317),"")</f>
        <v>1</v>
      </c>
      <c r="TO38" s="7">
        <f>IFERROR(AVERAGEIF('Данные 2st'!$Q$2:$Q$317,$A38,'Данные 2st'!$QG$2:$QG$317),"")</f>
        <v>0</v>
      </c>
      <c r="TP38" s="7">
        <f>IFERROR(AVERAGEIF('Данные 2st'!$Q$2:$Q$317,$A38,'Данные 2st'!$QH$2:$QH$317),"")</f>
        <v>5</v>
      </c>
      <c r="TQ38" s="7">
        <f>IFERROR(AVERAGEIF('Данные 2st'!$Q$2:$Q$317,$A38,'Данные 2st'!$QI$2:$QI$317),"")</f>
        <v>5</v>
      </c>
      <c r="TR38" s="7">
        <f>IFERROR(AVERAGEIF('Данные 2st'!$Q$2:$Q$317,$A38,'Данные 2st'!$QJ$2:$QJ$317),"")</f>
        <v>5</v>
      </c>
      <c r="TS38" s="7">
        <f>IFERROR(AVERAGEIF('Данные 2st'!$Q$2:$Q$317,$A38,'Данные 2st'!$QK$2:$QK$317),"")</f>
        <v>208.85714285714286</v>
      </c>
      <c r="TT38" s="7">
        <f>IFERROR(AVERAGEIF('Данные 2st'!$Q$2:$Q$317,$A38,'Данные 2st'!$QL$2:$QL$317),"")</f>
        <v>416.2857142857143</v>
      </c>
      <c r="TU38" s="7">
        <f>IFERROR(AVERAGEIF('Данные 2st'!$Q$2:$Q$317,$A38,'Данные 2st'!$QM$2:$QM$317),"")</f>
        <v>7.5</v>
      </c>
      <c r="TV38" s="7">
        <f>IFERROR(AVERAGEIF('Данные 2st'!$Q$2:$Q$317,$A38,'Данные 2st'!$QN$2:$QN$317),"")</f>
        <v>1542.2714285714285</v>
      </c>
      <c r="TW38" s="7">
        <f>IFERROR(AVERAGEIF('Данные 2st'!$Q$2:$Q$317,$A38,'Данные 2st'!$QQ$2:$QQ$317),"")</f>
        <v>0</v>
      </c>
      <c r="TX38" s="7">
        <f>IFERROR(AVERAGEIF('Данные 2st'!$Q$2:$Q$317,$A38,'Данные 2st'!$QS$2:$QS$317),"")</f>
        <v>40</v>
      </c>
      <c r="TY38" s="7">
        <f>IFERROR(AVERAGEIF('Данные 2st'!$Q$2:$Q$317,$A38,'Данные 2st'!$QT$2:$QT$317),"")</f>
        <v>50</v>
      </c>
    </row>
    <row r="39" spans="1:545" ht="32" customHeight="1">
      <c r="A39" s="11" t="s">
        <v>976</v>
      </c>
      <c r="B39">
        <f>COUNTIF('Данные 1st'!$S$2:$S$317,$A39)</f>
        <v>3</v>
      </c>
      <c r="C39" s="6" t="s">
        <v>5104</v>
      </c>
      <c r="D39" s="6" t="s">
        <v>513</v>
      </c>
      <c r="E39" s="6" t="s">
        <v>5125</v>
      </c>
      <c r="F39" s="6" t="s">
        <v>5160</v>
      </c>
      <c r="G39" s="7">
        <f>IFERROR(AVERAGEIF('Данные 1st'!$S$2:$S$317,$A39,'Данные 1st'!$AE$2:$AE$317),"")</f>
        <v>202</v>
      </c>
      <c r="H39" s="7">
        <f>IFERROR(AVERAGEIF('Данные 1st'!$S$2:$S$317,$A39,'Данные 1st'!$AF$2:$AF$317),"")</f>
        <v>1.5</v>
      </c>
      <c r="I39" s="7">
        <f>IFERROR(AVERAGEIF('Данные 1st'!$S$2:$S$317,$A39,'Данные 1st'!$AJ$2:$AJ$317),"")</f>
        <v>203.33333333333334</v>
      </c>
      <c r="J39" s="7">
        <f>IFERROR(AVERAGEIF('Данные 1st'!$S$2:$S$317,$A39,'Данные 1st'!$AL$2:$AL$317),"")</f>
        <v>1.5</v>
      </c>
      <c r="K39" s="7">
        <f>IFERROR(AVERAGEIF('Данные 1st'!$S$2:$S$317,$A39,'Данные 1st'!$AR$2:$AR$317),"")</f>
        <v>78.33333333333333</v>
      </c>
      <c r="L39" s="7">
        <f>IFERROR(AVERAGEIF('Данные 1st'!$S$2:$S$317,$A39,'Данные 1st'!$AS$2:$AS$317),"")</f>
        <v>1.5</v>
      </c>
      <c r="M39" s="7">
        <f>IFERROR(AVERAGEIF('Данные 1st'!$S$2:$S$317,$A39,'Данные 1st'!$AY$2:$AY$317),"")</f>
        <v>296.6666666666667</v>
      </c>
      <c r="N39" s="7">
        <f>IFERROR(AVERAGEIF('Данные 1st'!$S$2:$S$317,$A39,'Данные 1st'!$AZ$2:$AZ$317),"")</f>
        <v>1.5</v>
      </c>
      <c r="O39" s="7">
        <f>IFERROR(AVERAGEIF('Данные 1st'!$S$2:$S$317,$A39,'Данные 1st'!$BF$2:$BF$317),"")</f>
        <v>271.6666666666667</v>
      </c>
      <c r="P39" s="7">
        <f>IFERROR(AVERAGEIF('Данные 1st'!$S$2:$S$317,$A39,'Данные 1st'!$BG$2:$BG$317),"")</f>
        <v>1.5</v>
      </c>
      <c r="Q39" s="7">
        <f>IFERROR(AVERAGEIF('Данные 1st'!$S$2:$S$317,$A39,'Данные 1st'!$BM$2:$BM$317),"")</f>
        <v/>
      </c>
      <c r="R39" s="7">
        <f>IFERROR(AVERAGEIF('Данные 1st'!$S$2:$S$317,$A39,'Данные 1st'!$BN$2:$BN$317),"")</f>
        <v>1.5</v>
      </c>
      <c r="S39" s="7">
        <f>IFERROR(AVERAGEIF('Данные 1st'!$S$2:$S$317,$A39,'Данные 1st'!$BT$2:$BT$317),"")</f>
        <v>216.33333333333334</v>
      </c>
      <c r="T39" s="7">
        <f>IFERROR(AVERAGEIF('Данные 1st'!$S$2:$S$317,$A39,'Данные 1st'!$BU$2:$BU$317),"")</f>
        <v>0.5</v>
      </c>
      <c r="U39" s="7">
        <f>IFERROR(AVERAGEIF('Данные 1st'!$S$2:$S$317,$A39,'Данные 1st'!$BW$2:$BW$317),"")</f>
        <v>432.6666666666667</v>
      </c>
      <c r="V39" s="7">
        <f>IFERROR(AVERAGEIF('Данные 1st'!$S$2:$S$317,$A39,'Данные 1st'!$BX$2:$BX$317),"")</f>
        <v>1</v>
      </c>
      <c r="W39" s="7">
        <f>IFERROR(AVERAGEIF('Данные 1st'!$S$2:$S$317,$A39,'Данные 1st'!$BZ$2:$BZ$317),"")</f>
        <v>356.6666666666667</v>
      </c>
      <c r="X39" s="7">
        <f>IFERROR(AVERAGEIF('Данные 1st'!$S$2:$S$317,$A39,'Данные 1st'!$CA$2:$CA$317),"")</f>
        <v>496.6666666666667</v>
      </c>
      <c r="Y39" s="7">
        <f>IFERROR(AVERAGEIF('Данные 1st'!$S$2:$S$317,$A39,'Данные 1st'!$CD$2:$CD$317),"")</f>
        <v>432</v>
      </c>
      <c r="Z39" s="7">
        <f>IFERROR(AVERAGEIF('Данные 1st'!$S$2:$S$317,$A39,'Данные 1st'!$CF$2:$CF$317),"")</f>
        <v>15</v>
      </c>
      <c r="AA39" s="7">
        <f>IFERROR(AVERAGEIF('Данные 1st'!$S$2:$S$317,$A39,'Данные 1st'!$CI$2:$CI$317),"")</f>
        <v>70</v>
      </c>
      <c r="AB39" s="7">
        <f>IFERROR(AVERAGEIF('Данные 1st'!$S$2:$S$317,$A39,'Данные 1st'!$CJ$2:$CJ$317),"")</f>
        <v>1301</v>
      </c>
      <c r="AC39" s="7">
        <f>IFERROR(AVERAGEIF('Данные 1st'!$S$2:$S$317,$A39,'Данные 1st'!$CK$2:$CK$317),"")</f>
        <v>2</v>
      </c>
      <c r="AD39" s="7">
        <f>IFERROR(AVERAGEIF('Данные 1st'!$S$2:$S$317,$A39,'Данные 1st'!$CL$2:$CL$317),"")</f>
        <v>1395</v>
      </c>
      <c r="AE39" s="7">
        <f>IFERROR(AVERAGEIF('Данные 1st'!$S$2:$S$317,$A39,'Данные 1st'!$CM$2:$CM$317),"")</f>
        <v>2</v>
      </c>
      <c r="AF39" s="7">
        <f>IFERROR(AVERAGEIF('Данные 1st'!$S$2:$S$317,$A39,'Данные 1st'!$CT$2:$CT$317),"")</f>
        <v>406.6666666666667</v>
      </c>
      <c r="AG39" s="7">
        <f>IFERROR(AVERAGEIF('Данные 1st'!$S$2:$S$317,$A39,'Данные 1st'!$CU$2:$CU$317),"")</f>
        <v>5</v>
      </c>
      <c r="AH39" s="7">
        <f>IFERROR(AVERAGEIF('Данные 1st'!$S$2:$S$317,$A39,'Данные 1st'!$CV$2:$CV$317),"")</f>
        <v>1.2</v>
      </c>
      <c r="AI39" s="7">
        <f>IFERROR(AVERAGEIF('Данные 1st'!$S$2:$S$317,$A39,'Данные 1st'!$CW$2:$CW$317),"")</f>
        <v>1315.6666666666667</v>
      </c>
      <c r="AJ39" s="7">
        <f>IFERROR(AVERAGEIF('Данные 1st'!$S$2:$S$317,$A39,'Данные 1st'!$CX$2:$CX$317),"")</f>
        <v>757</v>
      </c>
      <c r="AK39" s="7">
        <f>IFERROR(AVERAGEIF('Данные 1st'!$S$2:$S$317,$A39,'Данные 1st'!$CZ$2:$CZ$317),"")</f>
        <v>50</v>
      </c>
      <c r="AL39" s="7">
        <f>IFERROR(AVERAGEIF('Данные 1st'!$S$2:$S$317,$A39,'Данные 1st'!$DA$2:$DA$317),"")</f>
        <v>3</v>
      </c>
      <c r="AM39" s="7">
        <f>IFERROR(AVERAGEIF('Данные 1st'!$S$2:$S$317,$A39,'Данные 1st'!$DB$2:$DB$317),"")</f>
        <v>1</v>
      </c>
      <c r="AN39" s="7">
        <f>IFERROR(AVERAGEIF('Данные 1st'!$S$2:$S$317,$A39,'Данные 1st'!$DC$2:$DC$317),"")</f>
        <v>1319</v>
      </c>
      <c r="AO39" s="7">
        <f>IFERROR(AVERAGEIF('Данные 1st'!$S$2:$S$317,$A39,'Данные 1st'!$DD$2:$DD$317),"")</f>
        <v>23</v>
      </c>
      <c r="AP39" s="7">
        <f>IFERROR(AVERAGEIF('Данные 1st'!$S$2:$S$317,$A39,'Данные 1st'!$DF$2:$DF$317),"")</f>
        <v>593.3333333333334</v>
      </c>
      <c r="AQ39" s="7">
        <f>IFERROR(AVERAGEIF('Данные 1st'!$S$2:$S$317,$A39,'Данные 1st'!$DG$2:$DG$317),"")</f>
        <v>3</v>
      </c>
      <c r="AR39" s="7">
        <f>IFERROR(AVERAGEIF('Данные 1st'!$S$2:$S$317,$A39,'Данные 1st'!$DH$2:$DH$317),"")</f>
        <v>0.98</v>
      </c>
      <c r="AS39" s="7">
        <f>IFERROR(AVERAGEIF('Данные 1st'!$S$2:$S$317,$A39,'Данные 1st'!$DI$2:$DI$317),"")</f>
        <v>1311.3333333333333</v>
      </c>
      <c r="AT39" s="7">
        <f>IFERROR(AVERAGEIF('Данные 1st'!$S$2:$S$317,$A39,'Данные 1st'!$DJ$2:$DJ$317),"")</f>
        <v>1014</v>
      </c>
      <c r="AU39" s="7">
        <f>IFERROR(AVERAGEIF('Данные 1st'!$S$2:$S$317,$A39,'Данные 1st'!$DL$2:$DL$317),"")</f>
        <v>543.3333333333334</v>
      </c>
      <c r="AV39" s="7">
        <f>IFERROR(AVERAGEIF('Данные 1st'!$S$2:$S$317,$A39,'Данные 1st'!$DM$2:$DM$317),"")</f>
        <v>3</v>
      </c>
      <c r="AW39" s="7">
        <f>IFERROR(AVERAGEIF('Данные 1st'!$S$2:$S$317,$A39,'Данные 1st'!$DN$2:$DN$317),"")</f>
        <v>0.98</v>
      </c>
      <c r="AX39" s="7">
        <f>IFERROR(AVERAGEIF('Данные 1st'!$S$2:$S$317,$A39,'Данные 1st'!$DO$2:$DO$317),"")</f>
        <v>1319</v>
      </c>
      <c r="AY39" s="7">
        <f>IFERROR(AVERAGEIF('Данные 1st'!$S$2:$S$317,$A39,'Данные 1st'!$DP$2:$DP$317),"")</f>
        <v>918.3333333333334</v>
      </c>
      <c r="AZ39" s="7">
        <f>IFERROR(AVERAGEIF('Данные 1st'!$S$2:$S$317,$A39,'Данные 1st'!$DR$2:$DR$317),"")</f>
        <v/>
      </c>
      <c r="BA39" s="7">
        <f>IFERROR(AVERAGEIF('Данные 1st'!$S$2:$S$317,$A39,'Данные 1st'!$DS$2:$DS$317),"")</f>
        <v/>
      </c>
      <c r="BB39" s="7">
        <f>IFERROR(AVERAGEIF('Данные 1st'!$S$2:$S$317,$A39,'Данные 1st'!$DT$2:$DT$317),"")</f>
        <v/>
      </c>
      <c r="BC39" s="7">
        <f>IFERROR(AVERAGEIF('Данные 1st'!$S$2:$S$317,$A39,'Данные 1st'!$DU$2:$DU$317),"")</f>
        <v/>
      </c>
      <c r="BD39" s="7">
        <f>IFERROR(AVERAGEIF('Данные 1st'!$S$2:$S$317,$A39,'Данные 1st'!$DV$2:$DV$317),"")</f>
        <v/>
      </c>
      <c r="BE39" s="7">
        <f>IFERROR(AVERAGEIF('Данные 1st'!$S$2:$S$317,$A39,'Данные 1st'!$DX$2:$DX$317),"")</f>
        <v>7.5</v>
      </c>
      <c r="BF39" s="7">
        <f>IFERROR(AVERAGEIF('Данные 1st'!$S$2:$S$317,$A39,'Данные 1st'!$EA$2:$EA$317),"")</f>
        <v>1384.6</v>
      </c>
      <c r="BG39" s="7">
        <f>IFERROR(AVERAGEIF('Данные 1st'!$S$2:$S$317,$A39,'Данные 1st'!$EB$2:$EB$317),"")</f>
        <v>272.3333333333333</v>
      </c>
      <c r="BH39" s="7">
        <f>IFERROR(AVERAGEIF('Данные 1st'!$S$2:$S$317,$A39,'Данные 1st'!$ED$2:$ED$317),"")</f>
        <v>45</v>
      </c>
      <c r="BI39" s="7">
        <f>IFERROR(AVERAGEIF('Данные 1st'!$S$2:$S$317,$A39,'Данные 1st'!$EE$2:$EE$317),"")</f>
        <v>3</v>
      </c>
      <c r="BJ39" s="7">
        <f>IFERROR(AVERAGEIF('Данные 1st'!$S$2:$S$317,$A39,'Данные 1st'!$EG$2:$EG$317),"")</f>
        <v>1428.6666666666667</v>
      </c>
      <c r="BK39" s="7">
        <f>IFERROR(AVERAGEIF('Данные 1st'!$S$2:$S$317,$A39,'Данные 1st'!$EH$2:$EH$317),"")</f>
        <v>261</v>
      </c>
      <c r="BL39" s="7">
        <f>IFERROR(AVERAGEIF('Данные 1st'!$S$2:$S$317,$A39,'Данные 1st'!$EJ$2:$EJ$317),"")</f>
        <v>0</v>
      </c>
      <c r="BM39" s="7">
        <f>IFERROR(AVERAGEIF('Данные 1st'!$S$2:$S$317,$A39,'Данные 1st'!$EK$2:$EK$317),"")</f>
        <v>1</v>
      </c>
      <c r="BN39" s="7">
        <f>IFERROR(AVERAGEIF('Данные 1st'!$S$2:$S$317,$A39,'Данные 1st'!$EN$2:$EN$317),"")</f>
        <v>0</v>
      </c>
      <c r="BO39" s="7">
        <f>IFERROR(AVERAGEIF('Данные 1st'!$S$2:$S$317,$A39,'Данные 1st'!$EQ$2:$EQ$317),"")</f>
        <v>115</v>
      </c>
      <c r="BP39" s="7">
        <f>IFERROR(AVERAGEIF('Данные 1st'!$S$2:$S$317,$A39,'Данные 1st'!$ER$2:$ER$317),"")</f>
        <v>3</v>
      </c>
      <c r="BQ39" s="7">
        <f>IFERROR(AVERAGEIF('Данные 1st'!$S$2:$S$317,$A39,'Данные 1st'!$ES$2:$ES$317),"")</f>
        <v>5.233333333333333</v>
      </c>
      <c r="BR39" s="7">
        <f>IFERROR(AVERAGEIF('Данные 1st'!$S$2:$S$317,$A39,'Данные 1st'!$ET$2:$ET$317),"")</f>
        <v>1296.3333333333333</v>
      </c>
      <c r="BS39" s="7">
        <f>IFERROR(AVERAGEIF('Данные 1st'!$S$2:$S$317,$A39,'Данные 1st'!$EU$2:$EU$317),"")</f>
        <v>478.59999999999997</v>
      </c>
      <c r="BT39" s="7">
        <f>IFERROR(AVERAGEIF('Данные 1st'!$S$2:$S$317,$A39,'Данные 1st'!$EV$2:$EV$317),"")</f>
        <v>620.3333333333334</v>
      </c>
      <c r="BU39" s="7">
        <f>IFERROR(AVERAGEIF('Данные 1st'!$S$2:$S$317,$A39,'Данные 1st'!$EX$2:$EX$317),"")</f>
        <v>61.666666666666664</v>
      </c>
      <c r="BV39" s="7">
        <f>IFERROR(AVERAGEIF('Данные 1st'!$S$2:$S$317,$A39,'Данные 1st'!$EY$2:$EY$317),"")</f>
        <v>2</v>
      </c>
      <c r="BW39" s="7">
        <f>IFERROR(AVERAGEIF('Данные 1st'!$S$2:$S$317,$A39,'Данные 1st'!$EZ$2:$EZ$317),"")</f>
        <v>4.2</v>
      </c>
      <c r="BX39" s="7">
        <f>IFERROR(AVERAGEIF('Данные 1st'!$S$2:$S$317,$A39,'Данные 1st'!$FA$2:$FA$317),"")</f>
        <v>1296.3333333333333</v>
      </c>
      <c r="BY39" s="7">
        <f>IFERROR(AVERAGEIF('Данные 1st'!$S$2:$S$317,$A39,'Данные 1st'!$FB$2:$FB$317),"")</f>
        <v>193.56666666666666</v>
      </c>
      <c r="BZ39" s="7">
        <f>IFERROR(AVERAGEIF('Данные 1st'!$S$2:$S$317,$A39,'Данные 1st'!$FC$2:$FC$317),"")</f>
        <v>251</v>
      </c>
      <c r="CA39" s="7">
        <f>IFERROR(AVERAGEIF('Данные 1st'!$S$2:$S$317,$A39,'Данные 1st'!$FE$2:$FE$317),"")</f>
        <v>0</v>
      </c>
      <c r="CB39" s="7">
        <f>IFERROR(AVERAGEIF('Данные 1st'!$S$2:$S$317,$A39,'Данные 1st'!$FF$2:$FF$317),"")</f>
        <v>2</v>
      </c>
      <c r="CC39" s="7">
        <f>IFERROR(AVERAGEIF('Данные 1st'!$S$2:$S$317,$A39,'Данные 1st'!$FI$2:$FI$317),"")</f>
        <v>0</v>
      </c>
      <c r="CD39" s="7">
        <f>IFERROR(AVERAGEIF('Данные 1st'!$S$2:$S$317,$A39,'Данные 1st'!$FL$2:$FL$317),"")</f>
        <v>0.4</v>
      </c>
      <c r="CE39" s="7">
        <f>IFERROR(AVERAGEIF('Данные 1st'!$S$2:$S$317,$A39,'Данные 1st'!$FM$2:$FM$317),"")</f>
        <v>88.33333333333333</v>
      </c>
      <c r="CF39" s="7">
        <f>IFERROR(AVERAGEIF('Данные 1st'!$S$2:$S$317,$A39,'Данные 1st'!$FN$2:$FN$317),"")</f>
        <v>210</v>
      </c>
      <c r="CG39" s="7">
        <f>IFERROR(AVERAGEIF('Данные 1st'!$S$2:$S$317,$A39,'Данные 1st'!$FO$2:$FO$317),"")</f>
        <v>70</v>
      </c>
      <c r="CH39" s="7">
        <f>IFERROR(AVERAGEIF('Данные 1st'!$S$2:$S$317,$A39,'Данные 1st'!$FP$2:$FP$317),"")</f>
        <v>150</v>
      </c>
      <c r="CI39" s="7">
        <f>IFERROR(AVERAGEIF('Данные 1st'!$S$2:$S$317,$A39,'Данные 1st'!$FS$2:$FS$317),"")</f>
        <v>0.4</v>
      </c>
      <c r="CJ39" s="7">
        <f>IFERROR(AVERAGEIF('Данные 1st'!$S$2:$S$317,$A39,'Данные 1st'!$FT$2:$FT$317),"")</f>
        <v>30</v>
      </c>
      <c r="CK39" s="7">
        <f>IFERROR(AVERAGEIF('Данные 1st'!$S$2:$S$317,$A39,'Данные 1st'!$FU$2:$FU$317),"")</f>
        <v>522</v>
      </c>
      <c r="CL39" s="7">
        <f>IFERROR(AVERAGEIF('Данные 1st'!$S$2:$S$317,$A39,'Данные 1st'!$FV$2:$FV$317),"")</f>
        <v/>
      </c>
      <c r="CM39" s="7">
        <f>IFERROR(AVERAGEIF('Данные 1st'!$S$2:$S$317,$A39,'Данные 1st'!$FW$2:$FW$317),"")</f>
        <v/>
      </c>
      <c r="CN39" s="7">
        <f>IFERROR(AVERAGEIF('Данные 1st'!$S$2:$S$317,$A39,'Данные 1st'!$FZ$2:$FZ$317),"")</f>
        <v/>
      </c>
      <c r="CO39" s="7">
        <f>IFERROR(AVERAGEIF('Данные 1st'!$S$2:$S$317,$A39,'Данные 1st'!$GA$2:$GA$317),"")</f>
        <v/>
      </c>
      <c r="CP39" s="7">
        <f>IFERROR(AVERAGEIF('Данные 1st'!$S$2:$S$317,$A39,'Данные 1st'!$GB$2:$GB$317),"")</f>
        <v/>
      </c>
      <c r="CQ39" s="7">
        <f>IFERROR(AVERAGEIF('Данные 1st'!$S$2:$S$317,$A39,'Данные 1st'!$GH$2:$GH$317),"")</f>
        <v/>
      </c>
      <c r="CR39" s="7">
        <f>IFERROR(AVERAGEIF('Данные 1st'!$S$2:$S$317,$A39,'Данные 1st'!$GI$2:$GI$317),"")</f>
        <v/>
      </c>
      <c r="CS39" s="7">
        <f>IFERROR(AVERAGEIF('Данные 1st'!$S$2:$S$317,$A39,'Данные 1st'!$GJ$2:$GJ$317),"")</f>
        <v/>
      </c>
      <c r="CT39" s="7">
        <f>IFERROR(AVERAGEIF('Данные 1st'!$S$2:$S$317,$A39,'Данные 1st'!$GS$2:$GS$317),"")</f>
        <v>0.4</v>
      </c>
      <c r="CU39" s="7">
        <f>IFERROR(AVERAGEIF('Данные 1st'!$S$2:$S$317,$A39,'Данные 1st'!$GT$2:$GT$317),"")</f>
        <v>86.66666666666667</v>
      </c>
      <c r="CV39" s="7">
        <f>IFERROR(AVERAGEIF('Данные 1st'!$S$2:$S$317,$A39,'Данные 1st'!$GU$2:$GU$317),"")</f>
        <v>250</v>
      </c>
      <c r="CW39" s="7">
        <f>IFERROR(AVERAGEIF('Данные 1st'!$S$2:$S$317,$A39,'Данные 1st'!$GV$2:$GV$317),"")</f>
        <v/>
      </c>
      <c r="CX39" s="7">
        <f>IFERROR(AVERAGEIF('Данные 1st'!$S$2:$S$317,$A39,'Данные 1st'!$GW$2:$GW$317),"")</f>
        <v/>
      </c>
      <c r="CY39" s="7">
        <f>IFERROR(AVERAGEIF('Данные 1st'!$S$2:$S$317,$A39,'Данные 1st'!$GZ$2:$GZ$317),"")</f>
        <v>1.6</v>
      </c>
      <c r="CZ39" s="7">
        <f>IFERROR(AVERAGEIF('Данные 1st'!$S$2:$S$317,$A39,'Данные 1st'!$HA$2:$HA$317),"")</f>
        <v>20</v>
      </c>
      <c r="DA39" s="7">
        <f>IFERROR(AVERAGEIF('Данные 1st'!$S$2:$S$317,$A39,'Данные 1st'!$HB$2:$HB$317),"")</f>
        <v>166</v>
      </c>
      <c r="DB39" s="7">
        <f>IFERROR(AVERAGEIF('Данные 1st'!$S$2:$S$317,$A39,'Данные 1st'!$HC$2:$HC$317),"")</f>
        <v>0.1</v>
      </c>
      <c r="DC39" s="7">
        <f>IFERROR(AVERAGEIF('Данные 1st'!$S$2:$S$317,$A39,'Данные 1st'!$HD$2:$HD$317),"")</f>
        <v>3</v>
      </c>
      <c r="DD39" s="7">
        <f>IFERROR(AVERAGEIF('Данные 1st'!$S$2:$S$317,$A39,'Данные 1st'!$HE$2:$HE$317),"")</f>
        <v>3</v>
      </c>
      <c r="DE39" s="7">
        <f>IFERROR(AVERAGEIF('Данные 1st'!$S$2:$S$317,$A39,'Данные 1st'!$HF$2:$HF$317),"")</f>
        <v>3</v>
      </c>
      <c r="DF39" s="7">
        <f>IFERROR(AVERAGEIF('Данные 1st'!$S$2:$S$317,$A39,'Данные 1st'!$HG$2:$HG$317),"")</f>
        <v>3</v>
      </c>
      <c r="DG39" s="7">
        <f>IFERROR(AVERAGEIF('Данные 1st'!$S$2:$S$317,$A39,'Данные 1st'!$HH$2:$HH$317),"")</f>
        <v>3</v>
      </c>
      <c r="DH39" s="7">
        <f>IFERROR(AVERAGEIF('Данные 1st'!$S$2:$S$317,$A39,'Данные 1st'!$HI$2:$HI$317),"")</f>
        <v>161.66666666666666</v>
      </c>
      <c r="DI39" s="7">
        <f>IFERROR(AVERAGEIF('Данные 1st'!$S$2:$S$317,$A39,'Данные 1st'!$HJ$2:$HJ$317),"")</f>
        <v>3</v>
      </c>
      <c r="DJ39" s="7">
        <f>IFERROR(AVERAGEIF('Данные 1st'!$S$2:$S$317,$A39,'Данные 1st'!$HK$2:$HK$317),"")</f>
        <v>46.666666666666664</v>
      </c>
      <c r="DK39" s="7">
        <f>IFERROR(AVERAGEIF('Данные 1st'!$S$2:$S$317,$A39,'Данные 1st'!$HL$2:$HL$317),"")</f>
        <v>2</v>
      </c>
      <c r="DL39" s="7">
        <f>IFERROR(AVERAGEIF('Данные 1st'!$S$2:$S$317,$A39,'Данные 1st'!$HM$2:$HM$317),"")</f>
        <v>0</v>
      </c>
      <c r="DM39" s="7">
        <f>IFERROR(AVERAGEIF('Данные 1st'!$S$2:$S$317,$A39,'Данные 1st'!$HN$2:$HN$317),"")</f>
        <v>2</v>
      </c>
      <c r="DN39" s="7">
        <f>IFERROR(AVERAGEIF('Данные 1st'!$S$2:$S$317,$A39,'Данные 1st'!$HO$2:$HO$317),"")</f>
        <v>100</v>
      </c>
      <c r="DO39" s="7">
        <f>IFERROR(AVERAGEIF('Данные 1st'!$S$2:$S$317,$A39,'Данные 1st'!$HP$2:$HP$317),"")</f>
        <v>3</v>
      </c>
      <c r="DP39" s="7">
        <f>IFERROR(AVERAGEIF('Данные 1st'!$S$2:$S$317,$A39,'Данные 1st'!$HQ$2:$HQ$317),"")</f>
        <v>0</v>
      </c>
      <c r="DQ39" s="7">
        <f>IFERROR(AVERAGEIF('Данные 1st'!$S$2:$S$317,$A39,'Данные 1st'!$HR$2:$HR$317),"")</f>
        <v>2</v>
      </c>
      <c r="DR39" s="7">
        <f>IFERROR(AVERAGEIF('Данные 1st'!$S$2:$S$317,$A39,'Данные 1st'!$HS$2:$HS$317),"")</f>
        <v>5544.666666666667</v>
      </c>
      <c r="DS39" s="7">
        <f>IFERROR(AVERAGEIF('Данные 1st'!$S$2:$S$317,$A39,'Данные 1st'!$HT$2:$HT$317),"")</f>
        <v>163.33333333333334</v>
      </c>
      <c r="DT39" s="7">
        <f>IFERROR(AVERAGEIF('Данные 1st'!$S$2:$S$317,$A39,'Данные 1st'!$HU$2:$HU$317),"")</f>
        <v>180</v>
      </c>
      <c r="DU39" s="7">
        <f>IFERROR(AVERAGEIF('Данные 1st'!$S$2:$S$317,$A39,'Данные 1st'!$HW$2:$HW$317),"")</f>
        <v>0</v>
      </c>
      <c r="DV39" s="7">
        <f>IFERROR(AVERAGEIF('Данные 1st'!$S$2:$S$317,$A39,'Данные 1st'!$HX$2:$HX$317),"")</f>
        <v>477</v>
      </c>
      <c r="DW39" s="7">
        <f>IFERROR(AVERAGEIF('Данные 1st'!$S$2:$S$317,$A39,'Данные 1st'!$HY$2:$HY$317),"")</f>
        <v>0.18</v>
      </c>
      <c r="DX39" s="7">
        <f>IFERROR(AVERAGEIF('Данные 1st'!$S$2:$S$317,$A39,'Данные 1st'!$IA$2:$IA$317),"")</f>
        <v>0.15</v>
      </c>
      <c r="DY39" s="7">
        <f>IFERROR(AVERAGEIF('Данные 1st'!$S$2:$S$317,$A39,'Данные 1st'!$IB$2:$IB$317),"")</f>
        <v>0</v>
      </c>
      <c r="DZ39" s="7">
        <f>IFERROR(AVERAGEIF('Данные 1st'!$S$2:$S$317,$A39,'Данные 1st'!$IC$2:$IC$317),"")</f>
        <v>180</v>
      </c>
      <c r="EA39" s="7">
        <f>IFERROR(AVERAGEIF('Данные 1st'!$S$2:$S$317,$A39,'Данные 1st'!$ID$2:$ID$317),"")</f>
        <v>110</v>
      </c>
      <c r="EB39" s="7">
        <f>IFERROR(AVERAGEIF('Данные 1st'!$S$2:$S$317,$A39,'Данные 1st'!$IE$2:$IE$317),"")</f>
        <v>225</v>
      </c>
      <c r="EC39" s="7">
        <f>IFERROR(AVERAGEIF('Данные 1st'!$S$2:$S$317,$A39,'Данные 1st'!$IF$2:$IF$317),"")</f>
        <v>0</v>
      </c>
      <c r="ED39" s="7">
        <f>IFERROR(AVERAGEIF('Данные 1st'!$S$2:$S$317,$A39,'Данные 1st'!$IP$2:$IP$317),"")</f>
        <v>17</v>
      </c>
      <c r="EE39" s="7">
        <f>IFERROR(AVERAGEIF('Данные 1st'!$S$2:$S$317,$A39,'Данные 1st'!$IV$2:$IV$317),"")</f>
        <v>1301</v>
      </c>
      <c r="EF39" s="7">
        <f>IFERROR(AVERAGEIF('Данные 1st'!$S$2:$S$317,$A39,'Данные 1st'!$IW$2:$IW$317),"")</f>
        <v>432.6666666666667</v>
      </c>
      <c r="EG39" s="7">
        <f>IFERROR(AVERAGEIF('Данные 1st'!$S$2:$S$317,$A39,'Данные 1st'!$IX$2:$IX$317),"")</f>
        <v/>
      </c>
      <c r="EH39" s="7">
        <f>IFERROR(AVERAGEIF('Данные 1st'!$S$2:$S$317,$A39,'Данные 1st'!$IY$2:$IY$317),"")</f>
        <v/>
      </c>
      <c r="EI39" s="7">
        <f>IFERROR(AVERAGEIF('Данные 1st'!$S$2:$S$317,$A39,'Данные 1st'!$JD$2:$JD$317),"")</f>
        <v>1315.6666666666667</v>
      </c>
      <c r="EJ39" s="7">
        <f>IFERROR(AVERAGEIF('Данные 1st'!$S$2:$S$317,$A39,'Данные 1st'!$JE$2:$JE$317),"")</f>
        <v>1311.3333333333333</v>
      </c>
      <c r="EK39" s="7">
        <f>IFERROR(AVERAGEIF('Данные 1st'!$S$2:$S$317,$A39,'Данные 1st'!$JF$2:$JF$317),"")</f>
        <v>1319</v>
      </c>
      <c r="EL39" s="7">
        <f>IFERROR(AVERAGEIF('Данные 1st'!$S$2:$S$317,$A39,'Данные 1st'!$JG$2:$JG$317),"")</f>
        <v>1296.3333333333333</v>
      </c>
      <c r="EM39" s="7">
        <f>IFERROR(AVERAGEIF('Данные 1st'!$S$2:$S$317,$A39,'Данные 1st'!$JH$2:$JH$317),"")</f>
        <v>0</v>
      </c>
      <c r="EN39" s="7">
        <f>IFERROR(AVERAGEIF('Данные 1st'!$S$2:$S$317,$A39,'Данные 1st'!$JJ$2:$JJ$317),"")</f>
        <v>180</v>
      </c>
      <c r="EO39" s="7">
        <f>IFERROR(AVERAGEIF('Данные 1st'!$S$2:$S$317,$A39,'Данные 1st'!$JK$2:$JK$317),"")</f>
        <v>477</v>
      </c>
      <c r="EP39" s="7">
        <f>IFERROR(AVERAGEIF('Данные 1st'!$S$2:$S$317,$A39,'Данные 1st'!$JL$2:$JL$317),"")</f>
        <v/>
      </c>
      <c r="EQ39" s="7">
        <f>IFERROR(AVERAGEIF('Данные 1st'!$S$2:$S$317,$A39,'Данные 1st'!$JM$2:$JM$317),"")</f>
        <v/>
      </c>
      <c r="ER39" s="7">
        <f>IFERROR(AVERAGEIF('Данные 1st'!$S$2:$S$317,$A39,'Данные 1st'!$JN$2:$JN$317),"")</f>
        <v>406.6666666666667</v>
      </c>
      <c r="ES39" s="7">
        <f>IFERROR(AVERAGEIF('Данные 1st'!$S$2:$S$317,$A39,'Данные 1st'!$JO$2:$JO$317),"")</f>
        <v>593.3333333333334</v>
      </c>
      <c r="ET39" s="7">
        <f>IFERROR(AVERAGEIF('Данные 1st'!$S$2:$S$317,$A39,'Данные 1st'!$JP$2:$JP$317),"")</f>
        <v>543.3333333333334</v>
      </c>
      <c r="EU39" s="7">
        <f>IFERROR(AVERAGEIF('Данные 1st'!$S$2:$S$317,$A39,'Данные 1st'!$JQ$2:$JQ$317),"")</f>
        <v>0</v>
      </c>
      <c r="EV39" s="7">
        <f>IFERROR(AVERAGEIF('Данные 1st'!$S$2:$S$317,$A39,'Данные 1st'!$JR$2:$JR$317),"")</f>
        <v>404</v>
      </c>
      <c r="EW39" s="7">
        <f>IFERROR(AVERAGEIF('Данные 1st'!$S$2:$S$317,$A39,'Данные 1st'!$JS$2:$JS$317),"")</f>
        <v>161.66666666666666</v>
      </c>
      <c r="EX39" s="7">
        <f>IFERROR(AVERAGEIF('Данные 1st'!$S$2:$S$317,$A39,'Данные 1st'!$JT$2:$JT$317),"")</f>
        <v/>
      </c>
      <c r="EY39" s="7">
        <f>IFERROR(AVERAGEIF('Данные 1st'!$S$2:$S$317,$A39,'Данные 1st'!$JU$2:$JU$317),"")</f>
        <v/>
      </c>
      <c r="EZ39" s="7">
        <f>IFERROR(AVERAGEIF('Данные 1st'!$S$2:$S$317,$A39,'Данные 1st'!$JV$2:$JV$317),"")</f>
        <v>8</v>
      </c>
      <c r="FA39" s="7">
        <f>IFERROR(AVERAGEIF('Данные 1st'!$S$2:$S$317,$A39,'Данные 1st'!$JW$2:$JW$317),"")</f>
        <v/>
      </c>
      <c r="FB39" s="7">
        <f>IFERROR(AVERAGEIF('Данные 1st'!$S$2:$S$317,$A39,'Данные 1st'!$JX$2:$JX$317),"")</f>
        <v>156.66666666666666</v>
      </c>
      <c r="FC39" s="7">
        <f>IFERROR(AVERAGEIF('Данные 1st'!$S$2:$S$317,$A39,'Данные 1st'!$JY$2:$JY$317),"")</f>
        <v/>
      </c>
      <c r="FD39" s="7">
        <f>IFERROR(AVERAGEIF('Данные 1st'!$S$2:$S$317,$A39,'Данные 1st'!$JZ$2:$JZ$317),"")</f>
        <v/>
      </c>
      <c r="FE39" s="7">
        <f>IFERROR(AVERAGEIF('Данные 1st'!$S$2:$S$317,$A39,'Данные 1st'!$KA$2:$KA$317),"")</f>
        <v>225</v>
      </c>
      <c r="FF39" s="7">
        <f>IFERROR(AVERAGEIF('Данные 1st'!$S$2:$S$317,$A39,'Данные 1st'!$KB$2:$KB$317),"")</f>
        <v>110</v>
      </c>
      <c r="FG39" s="7">
        <f>IFERROR(AVERAGEIF('Данные 1st'!$S$2:$S$317,$A39,'Данные 1st'!$KC$2:$KC$317),"")</f>
        <v>0</v>
      </c>
      <c r="FH39" s="7">
        <f>IFERROR(AVERAGEIF('Данные 1st'!$S$2:$S$317,$A39,'Данные 1st'!$KD$2:$KD$317),"")</f>
        <v>80</v>
      </c>
      <c r="FI39" s="7">
        <f>IFERROR(AVERAGEIF('Данные 1st'!$S$2:$S$317,$A39,'Данные 1st'!$KE$2:$KE$317),"")</f>
        <v/>
      </c>
      <c r="FJ39" s="7">
        <f>IFERROR(AVERAGEIF('Данные 1st'!$S$2:$S$317,$A39,'Данные 1st'!$KF$2:$KF$317),"")</f>
        <v>4</v>
      </c>
      <c r="FK39" s="7">
        <f>IFERROR(AVERAGEIF('Данные 1st'!$S$2:$S$317,$A39,'Данные 1st'!$KG$2:$KG$317),"")</f>
        <v>3.0</v>
      </c>
      <c r="FL39" s="7">
        <f>IFERROR(AVERAGEIF('Данные 1st'!$S$2:$S$317,$A39,'Данные 1st'!$KH$2:$KH$317),"")</f>
        <v>2</v>
      </c>
      <c r="FM39" s="7">
        <f>IFERROR(AVERAGEIF('Данные 1st'!$S$2:$S$317,$A39,'Данные 1st'!$KI$2:$KI$317),"")</f>
        <v>2</v>
      </c>
      <c r="FN39" s="7">
        <f>IFERROR(AVERAGEIF('Данные 1st'!$S$2:$S$317,$A39,'Данные 1st'!$KJ$2:$KJ$317),"")</f>
        <v>0</v>
      </c>
      <c r="FO39" s="7">
        <f>IFERROR(AVERAGEIF('Данные 1st'!$S$2:$S$317,$A39,'Данные 1st'!$KK$2:$KK$317),"")</f>
        <v>1.5</v>
      </c>
      <c r="FP39" s="7">
        <f>IFERROR(AVERAGEIF('Данные 1st'!$S$2:$S$317,$A39,'Данные 1st'!$KL$2:$KL$317),"")</f>
        <v>1.5</v>
      </c>
      <c r="FQ39" s="7">
        <f>IFERROR(AVERAGEIF('Данные 1st'!$S$2:$S$317,$A39,'Данные 1st'!$KM$2:$KM$317),"")</f>
        <v>0</v>
      </c>
      <c r="FR39" s="7">
        <f>IFERROR(AVERAGEIF('Данные 1st'!$S$2:$S$317,$A39,'Данные 1st'!$KN$2:$KN$317),"")</f>
        <v>0</v>
      </c>
      <c r="FS39" s="7">
        <f>IFERROR(AVERAGEIF('Данные 1st'!$S$2:$S$317,$A39,'Данные 1st'!$KR$2:$KR$317),"")</f>
        <v>35</v>
      </c>
      <c r="FT39" s="7">
        <f>IFERROR(AVERAGEIF('Данные 1st'!$S$2:$S$317,$A39,'Данные 1st'!$KS$2:$KS$317),"")</f>
        <v>60</v>
      </c>
      <c r="FU39" s="7">
        <f>IFERROR(AVERAGEIF('Данные 1st'!$S$2:$S$317,$A39,'Данные 1st'!$KT$2:$KT$317),"")</f>
        <v>0</v>
      </c>
      <c r="FV39" s="7">
        <f>IFERROR(AVERAGEIF('Данные 1st'!$S$2:$S$317,$A39,'Данные 1st'!$KV$2:$KV$317),"")</f>
        <v/>
      </c>
      <c r="FW39" s="7">
        <f>IFERROR(AVERAGEIF('Данные 1st'!$S$2:$S$317,$A39,'Данные 1st'!$KW$2:$KW$317),"")</f>
        <v/>
      </c>
      <c r="FX39" s="7">
        <f>IFERROR(AVERAGEIF('Данные 1st'!$S$2:$S$317,$A39,'Данные 1st'!$KX$2:$KX$317),"")</f>
        <v/>
      </c>
      <c r="FY39" s="7">
        <f>IFERROR(AVERAGEIF('Данные 1st'!$S$2:$S$317,$A39,'Данные 1st'!$KY$2:$KY$317),"")</f>
        <v/>
      </c>
      <c r="FZ39" s="7">
        <f>IFERROR(AVERAGEIF('Данные 1st'!$S$2:$S$317,$A39,'Данные 1st'!$KZ$2:$KZ$317),"")</f>
        <v/>
      </c>
      <c r="GA39" s="7">
        <f>IFERROR(AVERAGEIF('Данные 1st'!$S$2:$S$317,$A39,'Данные 1st'!$LA$2:$LA$317),"")</f>
        <v/>
      </c>
      <c r="GB39" s="7">
        <f>IFERROR(AVERAGEIF('Данные 1st'!$S$2:$S$317,$A39,'Данные 1st'!$LB$2:$LB$317),"")</f>
        <v/>
      </c>
      <c r="GC39" s="7">
        <f>IFERROR(AVERAGEIF('Данные 1st'!$S$2:$S$317,$A39,'Данные 1st'!$LC$2:$LC$317),"")</f>
        <v/>
      </c>
      <c r="GD39" s="7">
        <f>IFERROR(AVERAGEIF('Данные 1st'!$S$2:$S$317,$A39,'Данные 1st'!$LD$2:$LD$317),"")</f>
        <v/>
      </c>
      <c r="GE39" s="7">
        <f>IFERROR(AVERAGEIF('Данные 1st'!$S$2:$S$317,$A39,'Данные 1st'!$LE$2:$LE$317),"")</f>
        <v/>
      </c>
      <c r="GF39" s="7">
        <f>IFERROR(AVERAGEIF('Данные 1st'!$S$2:$S$317,$A39,'Данные 1st'!$LF$2:$LF$317),"")</f>
        <v/>
      </c>
      <c r="GG39" s="7">
        <f>IFERROR(AVERAGEIF('Данные 1st'!$S$2:$S$317,$A39,'Данные 1st'!$LG$2:$LG$317),"")</f>
        <v/>
      </c>
      <c r="GH39" s="7">
        <f>IFERROR(AVERAGEIF('Данные 1st'!$S$2:$S$317,$A39,'Данные 1st'!$LH$2:$LH$317),"")</f>
        <v/>
      </c>
      <c r="GI39" s="7">
        <f>IFERROR(AVERAGEIF('Данные 1st'!$S$2:$S$317,$A39,'Данные 1st'!$LI$2:$LI$317),"")</f>
        <v/>
      </c>
      <c r="GJ39" s="7">
        <f>IFERROR(AVERAGEIF('Данные 1st'!$S$2:$S$317,$A39,'Данные 1st'!$LJ$2:$LJ$317),"")</f>
        <v/>
      </c>
      <c r="GK39" s="7">
        <f>IFERROR(AVERAGEIF('Данные 1st'!$S$2:$S$317,$A39,'Данные 1st'!$LK$2:$LK$317),"")</f>
        <v>480</v>
      </c>
      <c r="GL39" s="7">
        <f>IFERROR(AVERAGEIF('Данные 1st'!$S$2:$S$317,$A39,'Данные 1st'!$LV$2:$LV$317),"")</f>
        <v/>
      </c>
      <c r="GM39" s="7">
        <f>IFERROR(AVERAGEIF('Данные 1st'!$S$2:$S$317,$A39,'Данные 1st'!$LW$2:$LW$317),"")</f>
        <v/>
      </c>
      <c r="GN39" s="7">
        <f>IFERROR(AVERAGEIF('Данные 1st'!$S$2:$S$317,$A39,'Данные 1st'!$LX$2:$LX$317),"")</f>
        <v/>
      </c>
      <c r="GO39" s="7">
        <f>IFERROR(AVERAGEIF('Данные 1st'!$S$2:$S$317,$A39,'Данные 1st'!$LY$2:$LY$317),"")</f>
        <v/>
      </c>
      <c r="GP39" s="7">
        <f>IFERROR(AVERAGEIF('Данные 1st'!$S$2:$S$317,$A39,'Данные 1st'!$LZ$2:$LZ$317),"")</f>
        <v/>
      </c>
      <c r="GQ39" s="7">
        <f>IFERROR(AVERAGEIF('Данные 1st'!$S$2:$S$317,$A39,'Данные 1st'!$PG$2:$PG$317),"")</f>
        <v>1</v>
      </c>
      <c r="GR39" s="7">
        <f>IFERROR(AVERAGEIF('Данные 1st'!$S$2:$S$317,$A39,'Данные 1st'!$PX$2:$PX$317),"")</f>
        <v>56</v>
      </c>
      <c r="GS39" s="7">
        <f>IFERROR(AVERAGEIF('Данные 1st'!$S$2:$S$317,$A39,'Данные 1st'!$PY$2:$PY$317),"")</f>
        <v>56.666666666666664</v>
      </c>
      <c r="GT39" s="7">
        <f>IFERROR(AVERAGEIF('Данные 1st'!$S$2:$S$317,$A39,'Данные 1st'!$QA$2:$QA$317),"")</f>
        <v>1.6666666666666667</v>
      </c>
      <c r="GU39" s="7">
        <f>IFERROR(AVERAGEIF('Данные 1st'!$S$2:$S$317,$A39,'Данные 1st'!$QB$2:$QB$317),"")</f>
        <v>1296.3333333333333</v>
      </c>
      <c r="GV39" s="7">
        <f>IFERROR(AVERAGEIF('Данные 1st'!$S$2:$S$317,$A39,'Данные 1st'!$QC$2:$QC$317),"")</f>
        <v>69</v>
      </c>
      <c r="GW39" s="7">
        <f>IFERROR(AVERAGEIF('Данные 1st'!$S$2:$S$317,$A39,'Данные 1st'!$QD$2:$QD$317),"")</f>
        <v>69</v>
      </c>
      <c r="GX39" s="7">
        <f>IFERROR(AVERAGEIF('Данные 1st'!$S$2:$S$317,$A39,'Данные 1st'!$QF$2:$QF$317),"")</f>
        <v>1</v>
      </c>
      <c r="GY39" s="7">
        <f>IFERROR(AVERAGEIF('Данные 1st'!$S$2:$S$317,$A39,'Данные 1st'!$QG$2:$QG$317),"")</f>
        <v>1315.6666666666667</v>
      </c>
      <c r="GZ39" s="7">
        <f>IFERROR(AVERAGEIF('Данные 1st'!$S$2:$S$317,$A39,'Данные 1st'!$QH$2:$QH$317),"")</f>
        <v>66</v>
      </c>
      <c r="HA39" s="7">
        <f>IFERROR(AVERAGEIF('Данные 1st'!$S$2:$S$317,$A39,'Данные 1st'!$QI$2:$QI$317),"")</f>
        <v>66</v>
      </c>
      <c r="HB39" s="7">
        <f>IFERROR(AVERAGEIF('Данные 1st'!$S$2:$S$317,$A39,'Данные 1st'!$QK$2:$QK$317),"")</f>
        <v>1</v>
      </c>
      <c r="HC39" s="7">
        <f>IFERROR(AVERAGEIF('Данные 1st'!$S$2:$S$317,$A39,'Данные 1st'!$QL$2:$QL$317),"")</f>
        <v>439.6666666666667</v>
      </c>
      <c r="HD39" s="7">
        <f>IFERROR(AVERAGEIF('Данные 1st'!$S$2:$S$317,$A39,'Данные 1st'!$QM$2:$QM$317),"")</f>
        <v>62</v>
      </c>
      <c r="HE39" s="7">
        <f>IFERROR(AVERAGEIF('Данные 1st'!$S$2:$S$317,$A39,'Данные 1st'!$QN$2:$QN$317),"")</f>
        <v>62</v>
      </c>
      <c r="HF39" s="7">
        <f>IFERROR(AVERAGEIF('Данные 1st'!$S$2:$S$317,$A39,'Данные 1st'!$QP$2:$QP$317),"")</f>
        <v>1</v>
      </c>
      <c r="HG39" s="7">
        <f>IFERROR(AVERAGEIF('Данные 1st'!$S$2:$S$317,$A39,'Данные 1st'!$QQ$2:$QQ$317),"")</f>
        <v>1311.3333333333333</v>
      </c>
      <c r="HH39" s="7">
        <f>IFERROR(AVERAGEIF('Данные 1st'!$S$2:$S$317,$A39,'Данные 1st'!$QR$2:$QR$317),"")</f>
        <v>62.333333333333336</v>
      </c>
      <c r="HI39" s="7">
        <f>IFERROR(AVERAGEIF('Данные 1st'!$S$2:$S$317,$A39,'Данные 1st'!$QS$2:$QS$317),"")</f>
        <v>62.333333333333336</v>
      </c>
      <c r="HJ39" s="7">
        <f>IFERROR(AVERAGEIF('Данные 1st'!$S$2:$S$317,$A39,'Данные 1st'!$QU$2:$QU$317),"")</f>
        <v>1</v>
      </c>
      <c r="HK39" s="7">
        <f>IFERROR(AVERAGEIF('Данные 1st'!$S$2:$S$317,$A39,'Данные 1st'!$QV$2:$QV$317),"")</f>
        <v>1319</v>
      </c>
      <c r="HL39" s="7">
        <f>IFERROR(AVERAGEIF('Данные 1st'!$S$2:$S$317,$A39,'Данные 1st'!$QW$2:$QW$317),"")</f>
        <v>82</v>
      </c>
      <c r="HM39" s="7">
        <f>IFERROR(AVERAGEIF('Данные 1st'!$S$2:$S$317,$A39,'Данные 1st'!$QX$2:$QX$317),"")</f>
        <v>89</v>
      </c>
      <c r="HN39" s="7">
        <f>IFERROR(AVERAGEIF('Данные 1st'!$S$2:$S$317,$A39,'Данные 1st'!$QZ$2:$QZ$317),"")</f>
        <v>1.3333333333333333</v>
      </c>
      <c r="HO39" s="7">
        <f>IFERROR(AVERAGEIF('Данные 1st'!$S$2:$S$317,$A39,'Данные 1st'!$RA$2:$RA$317),"")</f>
        <v>66</v>
      </c>
      <c r="HP39" s="7">
        <f>IFERROR(AVERAGEIF('Данные 1st'!$S$2:$S$317,$A39,'Данные 1st'!$RB$2:$RB$317),"")</f>
        <v>66</v>
      </c>
      <c r="HQ39" s="7">
        <f>IFERROR(AVERAGEIF('Данные 1st'!$S$2:$S$317,$A39,'Данные 1st'!$RD$2:$RD$317),"")</f>
        <v/>
      </c>
      <c r="HR39" s="7">
        <f>IFERROR(AVERAGEIF('Данные 1st'!$S$2:$S$317,$A39,'Данные 1st'!$RE$2:$RE$317),"")</f>
        <v>0</v>
      </c>
      <c r="HS39" s="7">
        <f>IFERROR(AVERAGEIF('Данные 1st'!$S$2:$S$317,$A39,'Данные 1st'!$RF$2:$RF$317),"")</f>
        <v>1</v>
      </c>
      <c r="HT39" s="7">
        <f>IFERROR(AVERAGEIF('Данные 1st'!$S$2:$S$317,$A39,'Данные 1st'!$RG$2:$RG$317),"")</f>
        <v/>
      </c>
      <c r="HU39" s="7">
        <f>IFERROR(AVERAGEIF('Данные 1st'!$S$2:$S$317,$A39,'Данные 1st'!$RH$2:$RH$317),"")</f>
        <v>1</v>
      </c>
      <c r="HV39" s="7">
        <f>IFERROR(AVERAGEIF('Данные 1st'!$S$2:$S$317,$A39,'Данные 1st'!$RI$2:$RI$317),"")</f>
        <v>1</v>
      </c>
      <c r="HW39" s="7">
        <f>IFERROR(AVERAGEIF('Данные 1st'!$S$2:$S$317,$A39,'Данные 1st'!$RJ$2:$RJ$317),"")</f>
        <v>1</v>
      </c>
      <c r="HX39" s="7">
        <f>IFERROR(AVERAGEIF('Данные 1st'!$S$2:$S$317,$A39,'Данные 1st'!$RK$2:$RK$317),"")</f>
        <v>2</v>
      </c>
      <c r="HY39" s="7">
        <f>IFERROR(AVERAGEIF('Данные 1st'!$S$2:$S$317,$A39,'Данные 1st'!$RL$2:$RL$317),"")</f>
        <v>3</v>
      </c>
      <c r="HZ39" s="7">
        <f>IFERROR(AVERAGEIF('Данные 1st'!$S$2:$S$317,$A39,'Данные 1st'!$RM$2:$RM$317),"")</f>
        <v>3</v>
      </c>
      <c r="IA39" s="7">
        <f>IFERROR(AVERAGEIF('Данные 1st'!$S$2:$S$317,$A39,'Данные 1st'!$RN$2:$RN$317),"")</f>
        <v/>
      </c>
      <c r="IB39" s="7">
        <f>IFERROR(AVERAGEIF('Данные 1st'!$S$2:$S$317,$A39,'Данные 1st'!$RO$2:$RO$317),"")</f>
        <v>575.6666666666666</v>
      </c>
      <c r="IC39" s="7">
        <f>IFERROR(AVERAGEIF('Данные 1st'!$S$2:$S$317,$A39,'Данные 1st'!$RP$2:$RP$317),"")</f>
        <v>105</v>
      </c>
      <c r="ID39" s="7">
        <f>IFERROR(AVERAGEIF('Данные 1st'!$S$2:$S$317,$A39,'Данные 1st'!$RQ$2:$RQ$317),"")</f>
        <v>773.3333333333334</v>
      </c>
      <c r="IE39" s="7">
        <f>IFERROR(AVERAGEIF('Данные 1st'!$S$2:$S$317,$A39,'Данные 1st'!$RR$2:$RR$317),"")</f>
        <v>696.3333333333334</v>
      </c>
      <c r="IF39" s="7">
        <f>IFERROR(AVERAGEIF('Данные 1st'!$S$2:$S$317,$A39,'Данные 1st'!$RS$2:$RS$317),"")</f>
        <v/>
      </c>
      <c r="IG39" s="7">
        <f>IFERROR(AVERAGEIF('Данные 1st'!$S$2:$S$317,$A39,'Данные 1st'!$RT$2:$RT$317),"")</f>
        <v>272.3333333333333</v>
      </c>
      <c r="IH39" s="7">
        <f>IFERROR(AVERAGEIF('Данные 1st'!$S$2:$S$317,$A39,'Данные 1st'!$RU$2:$RU$317),"")</f>
        <v>261</v>
      </c>
      <c r="II39" s="7">
        <f>IFERROR(AVERAGEIF('Данные 1st'!$S$2:$S$317,$A39,'Данные 1st'!$RX$2:$RX$317),"")</f>
        <v>15</v>
      </c>
      <c r="IJ39" s="7">
        <f>IFERROR(AVERAGEIF('Данные 1st'!$S$2:$S$317,$A39,'Данные 1st'!$RY$2:$RY$317),"")</f>
        <v>4</v>
      </c>
      <c r="IK39" s="7">
        <f>IFERROR(AVERAGEIF('Данные 1st'!$S$2:$S$317,$A39,'Данные 1st'!$SA$2:$SA$317),"")</f>
        <v>15</v>
      </c>
      <c r="IL39" s="7">
        <f>IFERROR(AVERAGEIF('Данные 1st'!$S$2:$S$317,$A39,'Данные 1st'!$SD$2:$SD$317),"")</f>
        <v>1</v>
      </c>
      <c r="IM39" s="7">
        <f>IFERROR(AVERAGEIF('Данные 1st'!$S$2:$S$317,$A39,'Данные 1st'!$SG$2:$SG$317),"")</f>
        <v>1</v>
      </c>
      <c r="IN39" s="7">
        <f>IFERROR(AVERAGEIF('Данные 1st'!$S$2:$S$317,$A39,'Данные 1st'!$SH$2:$SH$317),"")</f>
        <v>0.995</v>
      </c>
      <c r="IO39" s="7">
        <f>IFERROR(AVERAGEIF('Данные 1st'!$S$2:$S$317,$A39,'Данные 1st'!$SI$2:$SI$317),"")</f>
        <v>0.995</v>
      </c>
      <c r="IP39" s="7">
        <f>IFERROR(AVERAGEIF('Данные 1st'!$S$2:$S$317,$A39,'Данные 1st'!$SJ$2:$SJ$317),"")</f>
        <v>0.995</v>
      </c>
      <c r="IQ39" s="7">
        <f>IFERROR(AVERAGEIF('Данные 1st'!$S$2:$S$317,$A39,'Данные 1st'!$SK$2:$SK$317),"")</f>
        <v>15</v>
      </c>
      <c r="IR39" s="7">
        <f>IFERROR(AVERAGEIF('Данные 1st'!$S$2:$S$317,$A39,'Данные 1st'!$SL$2:$SL$317),"")</f>
        <v>0</v>
      </c>
      <c r="IS39" s="7">
        <f>IFERROR(AVERAGEIF('Данные 1st'!$S$2:$S$317,$A39,'Данные 1st'!$SM$2:$SM$317),"")</f>
        <v>0</v>
      </c>
      <c r="IT39" s="7">
        <f>IFERROR(AVERAGEIF('Данные 1st'!$S$2:$S$317,$A39,'Данные 1st'!$SN$2:$SN$317),"")</f>
        <v>0</v>
      </c>
      <c r="IU39" s="7">
        <f>IFERROR(AVERAGEIF('Данные 1st'!$S$2:$S$317,$A39,'Данные 1st'!$SO$2:$SO$317),"")</f>
        <v>0</v>
      </c>
      <c r="IV39" s="7">
        <f>IFERROR(AVERAGEIF('Данные 1st'!$S$2:$S$317,$A39,'Данные 1st'!$SP$2:$SP$317),"")</f>
        <v>0</v>
      </c>
      <c r="IW39" s="7">
        <f>IFERROR(AVERAGEIF('Данные 1st'!$S$2:$S$317,$A39,'Данные 1st'!$SQ$2:$SQ$317),"")</f>
        <v>0</v>
      </c>
      <c r="IX39" s="7">
        <f>IFERROR(AVERAGEIF('Данные 1st'!$S$2:$S$317,$A39,'Данные 1st'!$SR$2:$SR$317),"")</f>
        <v>0</v>
      </c>
      <c r="IY39" s="7">
        <f>IFERROR(AVERAGEIF('Данные 1st'!$S$2:$S$317,$A39,'Данные 1st'!$SS$2:$SS$317),"")</f>
        <v>0</v>
      </c>
      <c r="IZ39" s="7">
        <f>IFERROR(AVERAGEIF('Данные 1st'!$S$2:$S$317,$A39,'Данные 1st'!$ST$2:$ST$317),"")</f>
        <v>0</v>
      </c>
      <c r="JA39" s="7">
        <f>IFERROR(AVERAGEIF('Данные 1st'!$S$2:$S$317,$A39,'Данные 1st'!$SU$2:$SU$317),"")</f>
        <v>0</v>
      </c>
      <c r="JB39" s="7">
        <f>IFERROR(AVERAGEIF('Данные 1st'!$S$2:$S$317,$A39,'Данные 1st'!$SV$2:$SV$317),"")</f>
        <v>0</v>
      </c>
      <c r="JC39" s="7">
        <f>IFERROR(AVERAGEIF('Данные 1st'!$S$2:$S$317,$A39,'Данные 1st'!$SW$2:$SW$317),"")</f>
        <v>0</v>
      </c>
      <c r="JD39" s="7">
        <f>IFERROR(AVERAGEIF('Данные 1st'!$S$2:$S$317,$A39,'Данные 1st'!$SX$2:$SX$317),"")</f>
        <v>0</v>
      </c>
      <c r="JE39" s="7">
        <f>IFERROR(AVERAGEIF('Данные 1st'!$S$2:$S$317,$A39,'Данные 1st'!$SY$2:$SY$317),"")</f>
        <v>1</v>
      </c>
      <c r="JF39" s="7">
        <f>IFERROR(AVERAGEIF('Данные 1st'!$S$2:$S$317,$A39,'Данные 1st'!$SZ$2:$SZ$317),"")</f>
        <v>1</v>
      </c>
      <c r="JG39" s="7">
        <f>IFERROR(AVERAGEIF('Данные 1st'!$S$2:$S$317,$A39,'Данные 1st'!$TA$2:$TA$317),"")</f>
        <v/>
      </c>
      <c r="JH39" s="7">
        <f>IFERROR(AVERAGEIF('Данные 1st'!$S$2:$S$317,$A39,'Данные 1st'!$TB$2:$TB$317),"")</f>
        <v>0.3333333333333333</v>
      </c>
      <c r="JI39" s="7">
        <f>IFERROR(AVERAGEIF('Данные 1st'!$S$2:$S$317,$A39,'Данные 1st'!$TC$2:$TC$317),"")</f>
        <v>0</v>
      </c>
      <c r="JJ39" s="7">
        <f>IFERROR(AVERAGEIF('Данные 1st'!$S$2:$S$317,$A39,'Данные 1st'!$TD$2:$TD$317),"")</f>
        <v>7.5</v>
      </c>
      <c r="JK39" s="7">
        <f>IFERROR(AVERAGEIF('Данные 1st'!$S$2:$S$317,$A39,'Данные 1st'!$TN$2:$TN$317),"")</f>
        <v>0</v>
      </c>
      <c r="JL39">
        <f>COUNTIF('Данные 2st'!$Q$2:$Q$317,$A39)</f>
        <v>3</v>
      </c>
      <c r="JM39" s="6" t="s">
        <v>5104</v>
      </c>
      <c r="JN39" s="6" t="s">
        <v>513</v>
      </c>
      <c r="JO39" s="6" t="s">
        <v>5125</v>
      </c>
      <c r="JP39" s="6" t="s">
        <v>5495</v>
      </c>
      <c r="JQ39" s="7">
        <f>IFERROR(AVERAGEIF('Данные 2st'!$Q$2:$Q$317,$A39,'Данные 2st'!$AC$2:$AC$317),"")</f>
        <v>12</v>
      </c>
      <c r="JR39" s="7">
        <f>IFERROR(AVERAGEIF('Данные 2st'!$Q$2:$Q$317,$A39,'Данные 2st'!$AF$2:$AF$317),"")</f>
        <v>5544.666666666667</v>
      </c>
      <c r="JS39" s="7">
        <f>IFERROR(AVERAGEIF('Данные 2st'!$Q$2:$Q$317,$A39,'Данные 2st'!$AW$2:$AW$317),"")</f>
        <v>6.4</v>
      </c>
      <c r="JT39" s="7">
        <f>IFERROR(AVERAGEIF('Данные 2st'!$Q$2:$Q$317,$A39,'Данные 2st'!$AX$2:$AX$317),"")</f>
        <v>-6</v>
      </c>
      <c r="JU39" s="7">
        <f>IFERROR(AVERAGEIF('Данные 2st'!$Q$2:$Q$317,$A39,'Данные 2st'!$AY$2:$AY$317),"")</f>
        <v>98.83333333333333</v>
      </c>
      <c r="JV39" s="7">
        <f>IFERROR(AVERAGEIF('Данные 2st'!$Q$2:$Q$317,$A39,'Данные 2st'!$AZ$2:$AZ$317),"")</f>
        <v>77.83333333333333</v>
      </c>
      <c r="JW39" s="7">
        <f>IFERROR(AVERAGEIF('Данные 2st'!$Q$2:$Q$317,$A39,'Данные 2st'!$BA$2:$BA$317),"")</f>
        <v/>
      </c>
      <c r="JX39" s="7">
        <f>IFERROR(AVERAGEIF('Данные 2st'!$Q$2:$Q$317,$A39,'Данные 2st'!$BB$2:$BB$317),"")</f>
        <v/>
      </c>
      <c r="JY39" s="7">
        <f>IFERROR(AVERAGEIF('Данные 2st'!$Q$2:$Q$317,$A39,'Данные 2st'!$BC$2:$BC$317),"")</f>
        <v/>
      </c>
      <c r="JZ39" s="7">
        <f>IFERROR(AVERAGEIF('Данные 2st'!$Q$2:$Q$317,$A39,'Данные 2st'!$BH$2:$BH$317),"")</f>
        <v>98.83333333333333</v>
      </c>
      <c r="KA39" s="7">
        <f>IFERROR(AVERAGEIF('Данные 2st'!$Q$2:$Q$317,$A39,'Данные 2st'!$BI$2:$BI$317),"")</f>
        <v>21</v>
      </c>
      <c r="KB39" s="7">
        <f>IFERROR(AVERAGEIF('Данные 2st'!$Q$2:$Q$317,$A39,'Данные 2st'!$BJ$2:$BJ$317),"")</f>
        <v>77.83333333333333</v>
      </c>
      <c r="KC39" s="7">
        <f>IFERROR(AVERAGEIF('Данные 2st'!$Q$2:$Q$317,$A39,'Данные 2st'!$BK$2:$BK$317),"")</f>
        <v>3</v>
      </c>
      <c r="KD39" s="7">
        <f>IFERROR(AVERAGEIF('Данные 2st'!$Q$2:$Q$317,$A39,'Данные 2st'!$BL$2:$BL$317),"")</f>
        <v>197.66666666666666</v>
      </c>
      <c r="KE39" s="7">
        <f>IFERROR(AVERAGEIF('Данные 2st'!$Q$2:$Q$317,$A39,'Данные 2st'!$BM$2:$BM$317),"")</f>
        <v>-6</v>
      </c>
      <c r="KF39" s="7">
        <f>IFERROR(AVERAGEIF('Данные 2st'!$Q$2:$Q$317,$A39,'Данные 2st'!$BN$2:$BN$317),"")</f>
        <v>0</v>
      </c>
      <c r="KG39" s="7">
        <f>IFERROR(AVERAGEIF('Данные 2st'!$Q$2:$Q$317,$A39,'Данные 2st'!$BO$2:$BO$317),"")</f>
        <v>0</v>
      </c>
      <c r="KH39" s="7">
        <f>IFERROR(AVERAGEIF('Данные 2st'!$Q$2:$Q$317,$A39,'Данные 2st'!$BP$2:$BP$317),"")</f>
        <v>0</v>
      </c>
      <c r="KI39" s="7">
        <f>IFERROR(AVERAGEIF('Данные 2st'!$Q$2:$Q$317,$A39,'Данные 2st'!$BR$2:$BR$317),"")</f>
        <v>191.66666666666666</v>
      </c>
      <c r="KJ39" s="7">
        <f>IFERROR(AVERAGEIF('Данные 2st'!$Q$2:$Q$317,$A39,'Данные 2st'!$BS$2:$BS$317),"")</f>
        <v>181.66666666666666</v>
      </c>
      <c r="KK39" s="7">
        <f>IFERROR(AVERAGEIF('Данные 2st'!$Q$2:$Q$317,$A39,'Данные 2st'!$BT$2:$BT$317),"")</f>
        <v>2053.3333333333335</v>
      </c>
      <c r="KL39" s="7">
        <f>IFERROR(AVERAGEIF('Данные 2st'!$Q$2:$Q$317,$A39,'Данные 2st'!$CV$2:$CV$317),"")</f>
        <v>124.33333333333333</v>
      </c>
      <c r="KM39" s="7">
        <f>IFERROR(AVERAGEIF('Данные 2st'!$Q$2:$Q$317,$A39,'Данные 2st'!$CW$2:$CW$317),"")</f>
        <v>3</v>
      </c>
      <c r="KN39" s="7">
        <f>IFERROR(AVERAGEIF('Данные 2st'!$Q$2:$Q$317,$A39,'Данные 2st'!$CX$2:$CX$317),"")</f>
        <v>85</v>
      </c>
      <c r="KO39" s="7">
        <f>IFERROR(AVERAGEIF('Данные 2st'!$Q$2:$Q$317,$A39,'Данные 2st'!$CY$2:$CY$317),"")</f>
        <v>5</v>
      </c>
      <c r="KP39" s="7">
        <f>IFERROR(AVERAGEIF('Данные 2st'!$Q$2:$Q$317,$A39,'Данные 2st'!$CZ$2:$CZ$317),"")</f>
        <v>140</v>
      </c>
      <c r="KQ39" s="7">
        <f>IFERROR(AVERAGEIF('Данные 2st'!$Q$2:$Q$317,$A39,'Данные 2st'!$DA$2:$DA$317),"")</f>
        <v>5</v>
      </c>
      <c r="KR39" s="7">
        <f>IFERROR(AVERAGEIF('Данные 2st'!$Q$2:$Q$317,$A39,'Данные 2st'!$DB$2:$DB$317),"")</f>
        <v>11903.333333333334</v>
      </c>
      <c r="KS39" s="7">
        <f>IFERROR(AVERAGEIF('Данные 2st'!$Q$2:$Q$317,$A39,'Данные 2st'!$DC$2:$DC$317),"")</f>
        <v>353.3333333333333</v>
      </c>
      <c r="KT39" s="7">
        <f>IFERROR(AVERAGEIF('Данные 2st'!$Q$2:$Q$317,$A39,'Данные 2st'!$DD$2:$DD$317),"")</f>
        <v>329.3333333333333</v>
      </c>
      <c r="KU39" s="7">
        <f>IFERROR(AVERAGEIF('Данные 2st'!$Q$2:$Q$317,$A39,'Данные 2st'!$DE$2:$DE$317),"")</f>
        <v>2167.3333333333335</v>
      </c>
      <c r="KV39" s="7">
        <f>IFERROR(AVERAGEIF('Данные 2st'!$Q$2:$Q$317,$A39,'Данные 2st'!$DF$2:$DF$317),"")</f>
        <v>2167.3333333333335</v>
      </c>
      <c r="KW39" s="7">
        <f>IFERROR(AVERAGEIF('Данные 2st'!$Q$2:$Q$317,$A39,'Данные 2st'!$DG$2:$DG$317),"")</f>
        <v>2178.6666666666665</v>
      </c>
      <c r="KX39" s="7">
        <f>IFERROR(AVERAGEIF('Данные 2st'!$Q$2:$Q$317,$A39,'Данные 2st'!$DH$2:$DH$317),"")</f>
        <v>2</v>
      </c>
      <c r="KY39" s="7">
        <f>IFERROR(AVERAGEIF('Данные 2st'!$Q$2:$Q$317,$A39,'Данные 2st'!$DI$2:$DI$317),"")</f>
        <v/>
      </c>
      <c r="KZ39" s="7">
        <f>IFERROR(AVERAGEIF('Данные 2st'!$Q$2:$Q$317,$A39,'Данные 2st'!$DK$2:$DK$317),"")</f>
        <v>191.66666666666666</v>
      </c>
      <c r="LA39" s="7">
        <f>IFERROR(AVERAGEIF('Данные 2st'!$Q$2:$Q$317,$A39,'Данные 2st'!$DM$2:$DM$317),"")</f>
        <v>65</v>
      </c>
      <c r="LB39" s="7">
        <f>IFERROR(AVERAGEIF('Данные 2st'!$Q$2:$Q$317,$A39,'Данные 2st'!$DN$2:$DN$317),"")</f>
        <v>1.1866666666666668</v>
      </c>
      <c r="LC39" s="7">
        <f>IFERROR(AVERAGEIF('Данные 2st'!$Q$2:$Q$317,$A39,'Данные 2st'!$DO$2:$DO$317),"")</f>
        <v>1</v>
      </c>
      <c r="LD39" s="7">
        <f>IFERROR(AVERAGEIF('Данные 2st'!$Q$2:$Q$317,$A39,'Данные 2st'!$DP$2:$DP$317),"")</f>
        <v>2056.6666666666665</v>
      </c>
      <c r="LE39" s="7">
        <f>IFERROR(AVERAGEIF('Данные 2st'!$Q$2:$Q$317,$A39,'Данные 2st'!$DQ$2:$DQ$317),"")</f>
        <v>900.3333333333334</v>
      </c>
      <c r="LF39" s="7">
        <f>IFERROR(AVERAGEIF('Данные 2st'!$Q$2:$Q$317,$A39,'Данные 2st'!$DS$2:$DS$317),"")</f>
        <v>181.66666666666666</v>
      </c>
      <c r="LG39" s="7">
        <f>IFERROR(AVERAGEIF('Данные 2st'!$Q$2:$Q$317,$A39,'Данные 2st'!$DU$2:$DU$317),"")</f>
        <v>65</v>
      </c>
      <c r="LH39" s="7">
        <f>IFERROR(AVERAGEIF('Данные 2st'!$Q$2:$Q$317,$A39,'Данные 2st'!$DV$2:$DV$317),"")</f>
        <v>1.1866666666666668</v>
      </c>
      <c r="LI39" s="7">
        <f>IFERROR(AVERAGEIF('Данные 2st'!$Q$2:$Q$317,$A39,'Данные 2st'!$DW$2:$DW$317),"")</f>
        <v>1</v>
      </c>
      <c r="LJ39" s="7">
        <f>IFERROR(AVERAGEIF('Данные 2st'!$Q$2:$Q$317,$A39,'Данные 2st'!$DX$2:$DX$317),"")</f>
        <v>2069.3333333333335</v>
      </c>
      <c r="LK39" s="7">
        <f>IFERROR(AVERAGEIF('Данные 2st'!$Q$2:$Q$317,$A39,'Данные 2st'!$DY$2:$DY$317),"")</f>
        <v>858</v>
      </c>
      <c r="LL39" s="7">
        <f>IFERROR(AVERAGEIF('Данные 2st'!$Q$2:$Q$317,$A39,'Данные 2st'!$EA$2:$EA$317),"")</f>
        <v>20</v>
      </c>
      <c r="LM39" s="7">
        <f>IFERROR(AVERAGEIF('Данные 2st'!$Q$2:$Q$317,$A39,'Данные 2st'!$EC$2:$EC$317),"")</f>
        <v>0.8</v>
      </c>
      <c r="LN39" s="7">
        <f>IFERROR(AVERAGEIF('Данные 2st'!$Q$2:$Q$317,$A39,'Данные 2st'!$ED$2:$ED$317),"")</f>
        <v>2056.6666666666665</v>
      </c>
      <c r="LO39" s="7">
        <f>IFERROR(AVERAGEIF('Данные 2st'!$Q$2:$Q$317,$A39,'Данные 2st'!$EE$2:$EE$317),"")</f>
        <v>72</v>
      </c>
      <c r="LP39" s="7">
        <f>IFERROR(AVERAGEIF('Данные 2st'!$Q$2:$Q$317,$A39,'Данные 2st'!$EG$2:$EG$317),"")</f>
        <v>0</v>
      </c>
      <c r="LQ39" s="7">
        <f>IFERROR(AVERAGEIF('Данные 2st'!$Q$2:$Q$317,$A39,'Данные 2st'!$EI$2:$EI$317),"")</f>
        <v>0</v>
      </c>
      <c r="LR39" s="7">
        <f>IFERROR(AVERAGEIF('Данные 2st'!$Q$2:$Q$317,$A39,'Данные 2st'!$EJ$2:$EJ$317),"")</f>
        <v/>
      </c>
      <c r="LS39" s="7">
        <f>IFERROR(AVERAGEIF('Данные 2st'!$Q$2:$Q$317,$A39,'Данные 2st'!$EK$2:$EK$317),"")</f>
        <v/>
      </c>
      <c r="LT39" s="7">
        <f>IFERROR(AVERAGEIF('Данные 2st'!$Q$2:$Q$317,$A39,'Данные 2st'!$EM$2:$EM$317),"")</f>
        <v>12</v>
      </c>
      <c r="LU39" s="7">
        <f>IFERROR(AVERAGEIF('Данные 2st'!$Q$2:$Q$317,$A39,'Данные 2st'!$EN$2:$EN$317),"")</f>
        <v>0.5</v>
      </c>
      <c r="LV39" s="7">
        <f>IFERROR(AVERAGEIF('Данные 2st'!$Q$2:$Q$317,$A39,'Данные 2st'!$EO$2:$EO$317),"")</f>
        <v>0.96</v>
      </c>
      <c r="LW39" s="7">
        <f>IFERROR(AVERAGEIF('Данные 2st'!$Q$2:$Q$317,$A39,'Данные 2st'!$EP$2:$EP$317),"")</f>
        <v>2068.253333333333</v>
      </c>
      <c r="LX39" s="7">
        <f>IFERROR(AVERAGEIF('Данные 2st'!$Q$2:$Q$317,$A39,'Данные 2st'!$EQ$2:$EQ$317),"")</f>
        <v>33878.92333333333</v>
      </c>
      <c r="LY39" s="7">
        <f>IFERROR(AVERAGEIF('Данные 2st'!$Q$2:$Q$317,$A39,'Данные 2st'!$ER$2:$ER$317),"")</f>
        <v>6800.296666666666</v>
      </c>
      <c r="LZ39" s="7">
        <f>IFERROR(AVERAGEIF('Данные 2st'!$Q$2:$Q$317,$A39,'Данные 2st'!$ES$2:$ES$317),"")</f>
        <v>0</v>
      </c>
      <c r="MA39" s="7">
        <f>IFERROR(AVERAGEIF('Данные 2st'!$Q$2:$Q$317,$A39,'Данные 2st'!$ET$2:$ET$317),"")</f>
        <v>0</v>
      </c>
      <c r="MB39" s="7">
        <f>IFERROR(AVERAGEIF('Данные 2st'!$Q$2:$Q$317,$A39,'Данные 2st'!$EU$2:$EU$317),"")</f>
        <v>1</v>
      </c>
      <c r="MC39" s="7">
        <f>IFERROR(AVERAGEIF('Данные 2st'!$Q$2:$Q$317,$A39,'Данные 2st'!$EV$2:$EV$317),"")</f>
        <v>40680</v>
      </c>
      <c r="MD39" s="7">
        <f>IFERROR(AVERAGEIF('Данные 2st'!$Q$2:$Q$317,$A39,'Данные 2st'!$EW$2:$EW$317),"")</f>
        <v>488.6666666666667</v>
      </c>
      <c r="ME39" s="7">
        <f>IFERROR(AVERAGEIF('Данные 2st'!$Q$2:$Q$317,$A39,'Данные 2st'!$EY$2:$EY$317),"")</f>
        <v>212</v>
      </c>
      <c r="MF39" s="7">
        <f>IFERROR(AVERAGEIF('Данные 2st'!$Q$2:$Q$317,$A39,'Данные 2st'!$FA$2:$FA$317),"")</f>
        <v>5.833333333333333</v>
      </c>
      <c r="MG39" s="7">
        <f>IFERROR(AVERAGEIF('Данные 2st'!$Q$2:$Q$317,$A39,'Данные 2st'!$FB$2:$FB$317),"")</f>
        <v>1</v>
      </c>
      <c r="MH39" s="7">
        <f>IFERROR(AVERAGEIF('Данные 2st'!$Q$2:$Q$317,$A39,'Данные 2st'!$FC$2:$FC$317),"")</f>
        <v>1</v>
      </c>
      <c r="MI39" s="7">
        <f>IFERROR(AVERAGEIF('Данные 2st'!$Q$2:$Q$317,$A39,'Данные 2st'!$FD$2:$FD$317),"")</f>
        <v>2101.3333333333335</v>
      </c>
      <c r="MJ39" s="7">
        <f>IFERROR(AVERAGEIF('Данные 2st'!$Q$2:$Q$317,$A39,'Данные 2st'!$FE$2:$FE$317),"")</f>
        <v>2512.3333333333335</v>
      </c>
      <c r="MK39" s="7">
        <f>IFERROR(AVERAGEIF('Данные 2st'!$Q$2:$Q$317,$A39,'Данные 2st'!$FG$2:$FG$317),"")</f>
        <v>215.33333333333334</v>
      </c>
      <c r="ML39" s="7">
        <f>IFERROR(AVERAGEIF('Данные 2st'!$Q$2:$Q$317,$A39,'Данные 2st'!$FI$2:$FI$317),"")</f>
        <v>2.2</v>
      </c>
      <c r="MM39" s="7">
        <f>IFERROR(AVERAGEIF('Данные 2st'!$Q$2:$Q$317,$A39,'Данные 2st'!$FJ$2:$FJ$317),"")</f>
        <v>2101.3333333333335</v>
      </c>
      <c r="MN39" s="7">
        <f>IFERROR(AVERAGEIF('Данные 2st'!$Q$2:$Q$317,$A39,'Данные 2st'!$FK$2:$FK$317),"")</f>
        <v>1159</v>
      </c>
      <c r="MO39" s="7">
        <f>IFERROR(AVERAGEIF('Данные 2st'!$Q$2:$Q$317,$A39,'Данные 2st'!$FP$2:$FP$317),"")</f>
        <v>2101.3333333333335</v>
      </c>
      <c r="MP39" s="7">
        <f>IFERROR(AVERAGEIF('Данные 2st'!$Q$2:$Q$317,$A39,'Данные 2st'!$FQ$2:$FQ$317),"")</f>
        <v>145.33333333333334</v>
      </c>
      <c r="MQ39" s="7">
        <f>IFERROR(AVERAGEIF('Данные 2st'!$Q$2:$Q$317,$A39,'Данные 2st'!$FS$2:$FS$317),"")</f>
        <v>219.33333333333334</v>
      </c>
      <c r="MR39" s="7">
        <f>IFERROR(AVERAGEIF('Данные 2st'!$Q$2:$Q$317,$A39,'Данные 2st'!$FU$2:$FU$317),"")</f>
        <v>0.4</v>
      </c>
      <c r="MS39" s="7">
        <f>IFERROR(AVERAGEIF('Данные 2st'!$Q$2:$Q$317,$A39,'Данные 2st'!$FV$2:$FV$317),"")</f>
        <v>2101.3333333333335</v>
      </c>
      <c r="MT39" s="7">
        <f>IFERROR(AVERAGEIF('Данные 2st'!$Q$2:$Q$317,$A39,'Данные 2st'!$FW$2:$FW$317),"")</f>
        <v>205.33333333333334</v>
      </c>
      <c r="MU39" s="7">
        <f>IFERROR(AVERAGEIF('Данные 2st'!$Q$2:$Q$317,$A39,'Данные 2st'!$FY$2:$FY$317),"")</f>
        <v>5</v>
      </c>
      <c r="MV39" s="7">
        <f>IFERROR(AVERAGEIF('Данные 2st'!$Q$2:$Q$317,$A39,'Данные 2st'!$GB$2:$GB$317),"")</f>
        <v>2099.5</v>
      </c>
      <c r="MW39" s="7">
        <f>IFERROR(AVERAGEIF('Данные 2st'!$Q$2:$Q$317,$A39,'Данные 2st'!$GC$2:$GC$317),"")</f>
        <v>19.5</v>
      </c>
      <c r="MX39" s="7">
        <f>IFERROR(AVERAGEIF('Данные 2st'!$Q$2:$Q$317,$A39,'Данные 2st'!$GD$2:$GD$317),"")</f>
        <v>4035</v>
      </c>
      <c r="MY39" s="7">
        <f>IFERROR(AVERAGEIF('Данные 2st'!$Q$2:$Q$317,$A39,'Данные 2st'!$GN$2:$GN$317),"")</f>
        <v/>
      </c>
      <c r="MZ39" s="7">
        <f>IFERROR(AVERAGEIF('Данные 2st'!$Q$2:$Q$317,$A39,'Данные 2st'!$GQ$2:$GQ$317),"")</f>
        <v>0</v>
      </c>
      <c r="NA39" s="7">
        <f>IFERROR(AVERAGEIF('Данные 2st'!$Q$2:$Q$317,$A39,'Данные 2st'!$GV$2:$GV$317),"")</f>
        <v>8.433333333333334</v>
      </c>
      <c r="NB39" s="7">
        <f>IFERROR(AVERAGEIF('Данные 2st'!$Q$2:$Q$317,$A39,'Данные 2st'!$GW$2:$GW$317),"")</f>
        <v>8.866666666666667</v>
      </c>
      <c r="NC39" s="7">
        <f>IFERROR(AVERAGEIF('Данные 2st'!$Q$2:$Q$317,$A39,'Данные 2st'!$GX$2:$GX$317),"")</f>
        <v>0.5</v>
      </c>
      <c r="ND39" s="7">
        <f>IFERROR(AVERAGEIF('Данные 2st'!$Q$2:$Q$317,$A39,'Данные 2st'!$GY$2:$GY$317),"")</f>
        <v>178.66666666666666</v>
      </c>
      <c r="NE39" s="7">
        <f>IFERROR(AVERAGEIF('Данные 2st'!$Q$2:$Q$317,$A39,'Данные 2st'!$GZ$2:$GZ$317),"")</f>
        <v>3</v>
      </c>
      <c r="NF39" s="7">
        <f>IFERROR(AVERAGEIF('Данные 2st'!$Q$2:$Q$317,$A39,'Данные 2st'!$HA$2:$HA$317),"")</f>
        <v>234</v>
      </c>
      <c r="NG39" s="7">
        <f>IFERROR(AVERAGEIF('Данные 2st'!$Q$2:$Q$317,$A39,'Данные 2st'!$HB$2:$HB$317),"")</f>
        <v>3</v>
      </c>
      <c r="NH39" s="7">
        <f>IFERROR(AVERAGEIF('Данные 2st'!$Q$2:$Q$317,$A39,'Данные 2st'!$HC$2:$HC$317),"")</f>
        <v>2101.3333333333335</v>
      </c>
      <c r="NI39" s="7">
        <f>IFERROR(AVERAGEIF('Данные 2st'!$Q$2:$Q$317,$A39,'Данные 2st'!$HD$2:$HD$317),"")</f>
        <v>4</v>
      </c>
      <c r="NJ39" s="7">
        <f>IFERROR(AVERAGEIF('Данные 2st'!$Q$2:$Q$317,$A39,'Данные 2st'!$HM$2:$HM$317),"")</f>
        <v>17</v>
      </c>
      <c r="NK39" s="7">
        <f>IFERROR(AVERAGEIF('Данные 2st'!$Q$2:$Q$317,$A39,'Данные 2st'!$HR$2:$HR$317),"")</f>
        <v>1.6666666666666667</v>
      </c>
      <c r="NL39" s="7">
        <f>IFERROR(AVERAGEIF('Данные 2st'!$Q$2:$Q$317,$A39,'Данные 2st'!$HS$2:$HS$317),"")</f>
        <v>2053.3333333333335</v>
      </c>
      <c r="NM39" s="7">
        <f>IFERROR(AVERAGEIF('Данные 2st'!$Q$2:$Q$317,$A39,'Данные 2st'!$HT$2:$HT$317),"")</f>
        <v>5</v>
      </c>
      <c r="NN39" s="7">
        <f>IFERROR(AVERAGEIF('Данные 2st'!$Q$2:$Q$317,$A39,'Данные 2st'!$HY$2:$HY$317),"")</f>
        <v>0</v>
      </c>
      <c r="NO39" s="7">
        <f>IFERROR(AVERAGEIF('Данные 2st'!$Q$2:$Q$317,$A39,'Данные 2st'!$HZ$2:$HZ$317),"")</f>
        <v>65</v>
      </c>
      <c r="NP39" s="7">
        <f>IFERROR(AVERAGEIF('Данные 2st'!$Q$2:$Q$317,$A39,'Данные 2st'!$IA$2:$IA$317),"")</f>
        <v>2056.6666666666665</v>
      </c>
      <c r="NQ39" s="7">
        <f>IFERROR(AVERAGEIF('Данные 2st'!$Q$2:$Q$317,$A39,'Данные 2st'!$IB$2:$IB$317),"")</f>
        <v>2069.3333333333335</v>
      </c>
      <c r="NR39" s="7">
        <f>IFERROR(AVERAGEIF('Данные 2st'!$Q$2:$Q$317,$A39,'Данные 2st'!$IC$2:$IC$317),"")</f>
        <v/>
      </c>
      <c r="NS39" s="7">
        <f>IFERROR(AVERAGEIF('Данные 2st'!$Q$2:$Q$317,$A39,'Данные 2st'!$ID$2:$ID$317),"")</f>
        <v>2101.3333333333335</v>
      </c>
      <c r="NT39" s="7">
        <f>IFERROR(AVERAGEIF('Данные 2st'!$Q$2:$Q$317,$A39,'Данные 2st'!$IE$2:$IE$317),"")</f>
        <v>2101.3333333333335</v>
      </c>
      <c r="NU39" s="7">
        <f>IFERROR(AVERAGEIF('Данные 2st'!$Q$2:$Q$317,$A39,'Данные 2st'!$IF$2:$IF$317),"")</f>
        <v>191.66666666666666</v>
      </c>
      <c r="NV39" s="7">
        <f>IFERROR(AVERAGEIF('Данные 2st'!$Q$2:$Q$317,$A39,'Данные 2st'!$IG$2:$IG$317),"")</f>
        <v>181.66666666666666</v>
      </c>
      <c r="NW39" s="7">
        <f>IFERROR(AVERAGEIF('Данные 2st'!$Q$2:$Q$317,$A39,'Данные 2st'!$IH$2:$IH$317),"")</f>
        <v>234</v>
      </c>
      <c r="NX39" s="7">
        <f>IFERROR(AVERAGEIF('Данные 2st'!$Q$2:$Q$317,$A39,'Данные 2st'!$IJ$2:$IJ$317),"")</f>
        <v>5</v>
      </c>
      <c r="NY39" s="7">
        <f>IFERROR(AVERAGEIF('Данные 2st'!$Q$2:$Q$317,$A39,'Данные 2st'!$IM$2:$IM$317),"")</f>
        <v>0</v>
      </c>
      <c r="NZ39" s="7">
        <f>IFERROR(AVERAGEIF('Данные 2st'!$Q$2:$Q$317,$A39,'Данные 2st'!$IN$2:$IN$317),"")</f>
        <v>270</v>
      </c>
      <c r="OA39" s="7">
        <f>IFERROR(AVERAGEIF('Данные 2st'!$Q$2:$Q$317,$A39,'Данные 2st'!$IO$2:$IO$317),"")</f>
        <v>0</v>
      </c>
      <c r="OB39" s="7">
        <f>IFERROR(AVERAGEIF('Данные 2st'!$Q$2:$Q$317,$A39,'Данные 2st'!$IP$2:$IP$317),"")</f>
        <v>180</v>
      </c>
      <c r="OC39" s="7">
        <f>IFERROR(AVERAGEIF('Данные 2st'!$Q$2:$Q$317,$A39,'Данные 2st'!$IQ$2:$IQ$317),"")</f>
        <v>0</v>
      </c>
      <c r="OD39" s="7">
        <f>IFERROR(AVERAGEIF('Данные 2st'!$Q$2:$Q$317,$A39,'Данные 2st'!$IR$2:$IR$317),"")</f>
        <v>330</v>
      </c>
      <c r="OE39" s="7">
        <f>IFERROR(AVERAGEIF('Данные 2st'!$Q$2:$Q$317,$A39,'Данные 2st'!$IT$2:$IT$317),"")</f>
        <v>90</v>
      </c>
      <c r="OF39" s="7">
        <f>IFERROR(AVERAGEIF('Данные 2st'!$Q$2:$Q$317,$A39,'Данные 2st'!$IU$2:$IU$317),"")</f>
        <v>0</v>
      </c>
      <c r="OG39" s="7">
        <f>IFERROR(AVERAGEIF('Данные 2st'!$Q$2:$Q$317,$A39,'Данные 2st'!$IV$2:$IV$317),"")</f>
        <v>6.4</v>
      </c>
      <c r="OH39" s="7">
        <f>IFERROR(AVERAGEIF('Данные 2st'!$Q$2:$Q$317,$A39,'Данные 2st'!$IW$2:$IW$317),"")</f>
        <v>-6</v>
      </c>
      <c r="OI39" s="7">
        <f>IFERROR(AVERAGEIF('Данные 2st'!$Q$2:$Q$317,$A39,'Данные 2st'!$IX$2:$IX$317),"")</f>
        <v>98.83333333333333</v>
      </c>
      <c r="OJ39" s="7">
        <f>IFERROR(AVERAGEIF('Данные 2st'!$Q$2:$Q$317,$A39,'Данные 2st'!$IY$2:$IY$317),"")</f>
        <v>77.83333333333333</v>
      </c>
      <c r="OK39" s="7">
        <f>IFERROR(AVERAGEIF('Данные 2st'!$Q$2:$Q$317,$A39,'Данные 2st'!$IZ$2:$IZ$317),"")</f>
        <v>0</v>
      </c>
      <c r="OL39" s="7">
        <f>IFERROR(AVERAGEIF('Данные 2st'!$Q$2:$Q$317,$A39,'Данные 2st'!$JA$2:$JA$317),"")</f>
        <v>0</v>
      </c>
      <c r="OM39" s="7">
        <f>IFERROR(AVERAGEIF('Данные 2st'!$Q$2:$Q$317,$A39,'Данные 2st'!$JB$2:$JB$317),"")</f>
        <v>0</v>
      </c>
      <c r="ON39" s="7">
        <f>IFERROR(AVERAGEIF('Данные 2st'!$Q$2:$Q$317,$A39,'Данные 2st'!$JC$2:$JC$317),"")</f>
        <v>0</v>
      </c>
      <c r="OO39" s="7">
        <f>IFERROR(AVERAGEIF('Данные 2st'!$Q$2:$Q$317,$A39,'Данные 2st'!$JD$2:$JD$317),"")</f>
        <v>0</v>
      </c>
      <c r="OP39" s="7">
        <f>IFERROR(AVERAGEIF('Данные 2st'!$Q$2:$Q$317,$A39,'Данные 2st'!$JE$2:$JE$317),"")</f>
        <v>0</v>
      </c>
      <c r="OQ39" s="7">
        <f>IFERROR(AVERAGEIF('Данные 2st'!$Q$2:$Q$317,$A39,'Данные 2st'!$JF$2:$JF$317),"")</f>
        <v>0</v>
      </c>
      <c r="OR39" s="7">
        <f>IFERROR(AVERAGEIF('Данные 2st'!$Q$2:$Q$317,$A39,'Данные 2st'!$JG$2:$JG$317),"")</f>
        <v>0</v>
      </c>
      <c r="OS39" s="7">
        <f>IFERROR(AVERAGEIF('Данные 2st'!$Q$2:$Q$317,$A39,'Данные 2st'!$JH$2:$JH$317),"")</f>
        <v>0</v>
      </c>
      <c r="OT39" s="7">
        <f>IFERROR(AVERAGEIF('Данные 2st'!$Q$2:$Q$317,$A39,'Данные 2st'!$JI$2:$JI$317),"")</f>
        <v>399.3333333333333</v>
      </c>
      <c r="OU39" s="7">
        <f>IFERROR(AVERAGEIF('Данные 2st'!$Q$2:$Q$317,$A39,'Данные 2st'!$JJ$2:$JJ$317),"")</f>
        <v>366.6666666666667</v>
      </c>
      <c r="OV39" s="7">
        <f>IFERROR(AVERAGEIF('Данные 2st'!$Q$2:$Q$317,$A39,'Данные 2st'!$JK$2:$JK$317),"")</f>
        <v>260.3333333333333</v>
      </c>
      <c r="OW39" s="7">
        <f>IFERROR(AVERAGEIF('Данные 2st'!$Q$2:$Q$317,$A39,'Данные 2st'!$JL$2:$JL$317),"")</f>
        <v>365.3333333333333</v>
      </c>
      <c r="OX39" s="7">
        <f>IFERROR(AVERAGEIF('Данные 2st'!$Q$2:$Q$317,$A39,'Данные 2st'!$JM$2:$JM$317),"")</f>
        <v>274</v>
      </c>
      <c r="OY39" s="7">
        <f>IFERROR(AVERAGEIF('Данные 2st'!$Q$2:$Q$317,$A39,'Данные 2st'!$JP$2:$JP$317),"")</f>
        <v>203.33333333333334</v>
      </c>
      <c r="OZ39" s="7">
        <f>IFERROR(AVERAGEIF('Данные 2st'!$Q$2:$Q$317,$A39,'Данные 2st'!$JQ$2:$JQ$317),"")</f>
        <v>240.66666666666666</v>
      </c>
      <c r="PA39" s="7">
        <f>IFERROR(AVERAGEIF('Данные 2st'!$Q$2:$Q$317,$A39,'Данные 2st'!$JR$2:$JR$317),"")</f>
        <v>333.3333333333333</v>
      </c>
      <c r="PB39" s="7">
        <f>IFERROR(AVERAGEIF('Данные 2st'!$Q$2:$Q$317,$A39,'Данные 2st'!$JS$2:$JS$317),"")</f>
        <v>236.66666666666666</v>
      </c>
      <c r="PC39" s="7">
        <f>IFERROR(AVERAGEIF('Данные 2st'!$Q$2:$Q$317,$A39,'Данные 2st'!$JT$2:$JT$317),"")</f>
        <v>0</v>
      </c>
      <c r="PD39" s="7">
        <f>IFERROR(AVERAGEIF('Данные 2st'!$Q$2:$Q$317,$A39,'Данные 2st'!$JU$2:$JU$317),"")</f>
        <v>0</v>
      </c>
      <c r="PE39" s="7">
        <f>IFERROR(AVERAGEIF('Данные 2st'!$Q$2:$Q$317,$A39,'Данные 2st'!$JV$2:$JV$317),"")</f>
        <v>331.6666666666667</v>
      </c>
      <c r="PF39" s="7">
        <f>IFERROR(AVERAGEIF('Данные 2st'!$Q$2:$Q$317,$A39,'Данные 2st'!$JW$2:$JW$317),"")</f>
        <v>337</v>
      </c>
      <c r="PG39" s="7">
        <f>IFERROR(AVERAGEIF('Данные 2st'!$Q$2:$Q$317,$A39,'Данные 2st'!$KF$2:$KF$317),"")</f>
        <v>0.18666666666666668</v>
      </c>
      <c r="PH39" s="7">
        <f>IFERROR(AVERAGEIF('Данные 2st'!$Q$2:$Q$317,$A39,'Данные 2st'!$KG$2:$KG$317),"")</f>
        <v>0.1</v>
      </c>
      <c r="PI39" s="7">
        <f>IFERROR(AVERAGEIF('Данные 2st'!$Q$2:$Q$317,$A39,'Данные 2st'!$KM$2:$KM$317),"")</f>
        <v>1.0</v>
      </c>
      <c r="PJ39" s="7">
        <f>IFERROR(AVERAGEIF('Данные 2st'!$Q$2:$Q$317,$A39,'Данные 2st'!$KN$2:$KN$317),"")</f>
        <v>1.2333333333333334</v>
      </c>
      <c r="PK39" s="7">
        <f>IFERROR(AVERAGEIF('Данные 2st'!$Q$2:$Q$317,$A39,'Данные 2st'!$KO$2:$KO$317),"")</f>
        <v>0</v>
      </c>
      <c r="PL39" s="7">
        <f>IFERROR(AVERAGEIF('Данные 2st'!$Q$2:$Q$317,$A39,'Данные 2st'!$KP$2:$KP$317),"")</f>
        <v>0</v>
      </c>
      <c r="PM39" s="7">
        <f>IFERROR(AVERAGEIF('Данные 2st'!$Q$2:$Q$317,$A39,'Данные 2st'!$KQ$2:$KQ$317),"")</f>
        <v>0.9333333333333333</v>
      </c>
      <c r="PN39" s="7">
        <f>IFERROR(AVERAGEIF('Данные 2st'!$Q$2:$Q$317,$A39,'Данные 2st'!$KR$2:$KR$317),"")</f>
        <v>0.7666666666666667</v>
      </c>
      <c r="PO39" s="7">
        <f>IFERROR(AVERAGEIF('Данные 2st'!$Q$2:$Q$317,$A39,'Данные 2st'!$KS$2:$KS$317),"")</f>
        <v>0.13333333333333333</v>
      </c>
      <c r="PP39" s="7">
        <f>IFERROR(AVERAGEIF('Данные 2st'!$Q$2:$Q$317,$A39,'Данные 2st'!$KT$2:$KT$317),"")</f>
        <v>2.433333333333333</v>
      </c>
      <c r="PQ39" s="7">
        <f>IFERROR(AVERAGEIF('Данные 2st'!$Q$2:$Q$317,$A39,'Данные 2st'!$KU$2:$KU$317),"")</f>
        <v>0</v>
      </c>
      <c r="PR39" s="7">
        <f>IFERROR(AVERAGEIF('Данные 2st'!$Q$2:$Q$317,$A39,'Данные 2st'!$KV$2:$KV$317),"")</f>
        <v>0</v>
      </c>
      <c r="PS39" s="7">
        <f>IFERROR(AVERAGEIF('Данные 2st'!$Q$2:$Q$317,$A39,'Данные 2st'!$KW$2:$KW$317),"")</f>
        <v>1.3333333333333333</v>
      </c>
      <c r="PT39" s="7">
        <f>IFERROR(AVERAGEIF('Данные 2st'!$Q$2:$Q$317,$A39,'Данные 2st'!$KX$2:$KX$317),"")</f>
        <v>2</v>
      </c>
      <c r="PU39" s="7">
        <f>IFERROR(AVERAGEIF('Данные 2st'!$Q$2:$Q$317,$A39,'Данные 2st'!$KY$2:$KY$317),"")</f>
        <v>0.3333333333333333</v>
      </c>
      <c r="PV39" s="7">
        <f>IFERROR(AVERAGEIF('Данные 2st'!$Q$2:$Q$317,$A39,'Данные 2st'!$KZ$2:$KZ$317),"")</f>
        <v>0</v>
      </c>
      <c r="PW39" s="7">
        <f>IFERROR(AVERAGEIF('Данные 2st'!$Q$2:$Q$317,$A39,'Данные 2st'!$LA$2:$LA$317),"")</f>
        <v>0</v>
      </c>
      <c r="PX39" s="7">
        <f>IFERROR(AVERAGEIF('Данные 2st'!$Q$2:$Q$317,$A39,'Данные 2st'!$LB$2:$LB$317),"")</f>
        <v>0</v>
      </c>
      <c r="PY39" s="7">
        <f>IFERROR(AVERAGEIF('Данные 2st'!$Q$2:$Q$317,$A39,'Данные 2st'!$LC$2:$LC$317),"")</f>
        <v>0</v>
      </c>
      <c r="PZ39" s="7">
        <f>IFERROR(AVERAGEIF('Данные 2st'!$Q$2:$Q$317,$A39,'Данные 2st'!$LD$2:$LD$317),"")</f>
        <v>0</v>
      </c>
      <c r="QA39" s="7">
        <f>IFERROR(AVERAGEIF('Данные 2st'!$Q$2:$Q$317,$A39,'Данные 2st'!$LE$2:$LE$317),"")</f>
        <v>0</v>
      </c>
      <c r="QB39" s="7">
        <f>IFERROR(AVERAGEIF('Данные 2st'!$Q$2:$Q$317,$A39,'Данные 2st'!$LF$2:$LF$317),"")</f>
        <v>0</v>
      </c>
      <c r="QC39" s="7">
        <f>IFERROR(AVERAGEIF('Данные 2st'!$Q$2:$Q$317,$A39,'Данные 2st'!$LG$2:$LG$317),"")</f>
        <v>0</v>
      </c>
      <c r="QD39" s="7">
        <f>IFERROR(AVERAGEIF('Данные 2st'!$Q$2:$Q$317,$A39,'Данные 2st'!$LH$2:$LH$317),"")</f>
        <v>2</v>
      </c>
      <c r="QE39" s="7">
        <f>IFERROR(AVERAGEIF('Данные 2st'!$Q$2:$Q$317,$A39,'Данные 2st'!$LJ$2:$LJ$317),"")</f>
        <v>0</v>
      </c>
      <c r="QF39" s="7">
        <f>IFERROR(AVERAGEIF('Данные 2st'!$Q$2:$Q$317,$A39,'Данные 2st'!$LK$2:$LK$317),"")</f>
        <v>6.333333333333333</v>
      </c>
      <c r="QG39" s="7">
        <f>IFERROR(AVERAGEIF('Данные 2st'!$Q$2:$Q$317,$A39,'Данные 2st'!$LL$2:$LL$317),"")</f>
        <v>7.666666666666667</v>
      </c>
      <c r="QH39" s="7">
        <f>IFERROR(AVERAGEIF('Данные 2st'!$Q$2:$Q$317,$A39,'Данные 2st'!$LM$2:$LM$317),"")</f>
        <v>6.333333333333333</v>
      </c>
      <c r="QI39" s="7">
        <f>IFERROR(AVERAGEIF('Данные 2st'!$Q$2:$Q$317,$A39,'Данные 2st'!$LN$2:$LN$317),"")</f>
        <v>0.3666666666666667</v>
      </c>
      <c r="QJ39" s="7">
        <f>IFERROR(AVERAGEIF('Данные 2st'!$Q$2:$Q$317,$A39,'Данные 2st'!$LO$2:$LO$317),"")</f>
        <v>0.6666666666666666</v>
      </c>
      <c r="QK39" s="7">
        <f>IFERROR(AVERAGEIF('Данные 2st'!$Q$2:$Q$317,$A39,'Данные 2st'!$LP$2:$LP$317),"")</f>
        <v>0</v>
      </c>
      <c r="QL39" s="7">
        <f>IFERROR(AVERAGEIF('Данные 2st'!$Q$2:$Q$317,$A39,'Данные 2st'!$LQ$2:$LQ$317),"")</f>
        <v>0</v>
      </c>
      <c r="QM39" s="7">
        <f>IFERROR(AVERAGEIF('Данные 2st'!$Q$2:$Q$317,$A39,'Данные 2st'!$LW$2:$LW$317),"")</f>
        <v>1.9666666666666666</v>
      </c>
      <c r="QN39" s="7">
        <f>IFERROR(AVERAGEIF('Данные 2st'!$Q$2:$Q$317,$A39,'Данные 2st'!$LX$2:$LX$317),"")</f>
        <v>1.9666666666666666</v>
      </c>
      <c r="QO39" s="7">
        <f>IFERROR(AVERAGEIF('Данные 2st'!$Q$2:$Q$317,$A39,'Данные 2st'!$LY$2:$LY$317),"")</f>
        <v>2.4666666666666663</v>
      </c>
      <c r="QP39" s="7">
        <f>IFERROR(AVERAGEIF('Данные 2st'!$Q$2:$Q$317,$A39,'Данные 2st'!$LZ$2:$LZ$317),"")</f>
        <v>2.4666666666666663</v>
      </c>
      <c r="QQ39" s="7">
        <f>IFERROR(AVERAGEIF('Данные 2st'!$Q$2:$Q$317,$A39,'Данные 2st'!$MB$2:$MB$317),"")</f>
        <v>4.333333333333333</v>
      </c>
      <c r="QR39" s="7">
        <f>IFERROR(AVERAGEIF('Данные 2st'!$Q$2:$Q$317,$A39,'Данные 2st'!$MG$2:$MG$317),"")</f>
        <v>0</v>
      </c>
      <c r="QS39" s="7">
        <f>IFERROR(AVERAGEIF('Данные 2st'!$Q$2:$Q$317,$A39,'Данные 2st'!$MH$2:$MH$317),"")</f>
        <v>0</v>
      </c>
      <c r="QT39" s="7">
        <f>IFERROR(AVERAGEIF('Данные 2st'!$Q$2:$Q$317,$A39,'Данные 2st'!$MI$2:$MI$317),"")</f>
        <v>0</v>
      </c>
      <c r="QU39" s="7">
        <f>IFERROR(AVERAGEIF('Данные 2st'!$Q$2:$Q$317,$A39,'Данные 2st'!$MJ$2:$MJ$317),"")</f>
        <v>0</v>
      </c>
      <c r="QV39" s="7">
        <f>IFERROR(AVERAGEIF('Данные 2st'!$Q$2:$Q$317,$A39,'Данные 2st'!$MK$2:$MK$317),"")</f>
        <v>0</v>
      </c>
      <c r="QW39" s="7">
        <f>IFERROR(AVERAGEIF('Данные 2st'!$Q$2:$Q$317,$A39,'Данные 2st'!$MM$2:$MM$317),"")</f>
        <v>420</v>
      </c>
      <c r="QX39" s="7">
        <f>IFERROR(AVERAGEIF('Данные 2st'!$Q$2:$Q$317,$A39,'Данные 2st'!$MQ$2:$MQ$317),"")</f>
        <v/>
      </c>
      <c r="QY39" s="7">
        <f>IFERROR(AVERAGEIF('Данные 2st'!$Q$2:$Q$317,$A39,'Данные 2st'!$MR$2:$MR$317),"")</f>
        <v/>
      </c>
      <c r="QZ39" s="7">
        <f>IFERROR(AVERAGEIF('Данные 2st'!$Q$2:$Q$317,$A39,'Данные 2st'!$MS$2:$MS$317),"")</f>
        <v/>
      </c>
      <c r="RA39" s="7">
        <f>IFERROR(AVERAGEIF('Данные 2st'!$Q$2:$Q$317,$A39,'Данные 2st'!$MT$2:$MT$317),"")</f>
        <v/>
      </c>
      <c r="RB39" s="7">
        <f>IFERROR(AVERAGEIF('Данные 2st'!$Q$2:$Q$317,$A39,'Данные 2st'!$MU$2:$MU$317),"")</f>
        <v/>
      </c>
      <c r="RC39" s="7">
        <f>IFERROR(AVERAGEIF('Данные 2st'!$Q$2:$Q$317,$A39,'Данные 2st'!$MV$2:$MV$317),"")</f>
        <v/>
      </c>
      <c r="RD39" s="7">
        <f>IFERROR(AVERAGEIF('Данные 2st'!$Q$2:$Q$317,$A39,'Данные 2st'!$MW$2:$MW$317),"")</f>
        <v/>
      </c>
      <c r="RE39" s="7">
        <f>IFERROR(AVERAGEIF('Данные 2st'!$Q$2:$Q$317,$A39,'Данные 2st'!$MX$2:$MX$317),"")</f>
        <v/>
      </c>
      <c r="RF39" s="7">
        <f>IFERROR(AVERAGEIF('Данные 2st'!$Q$2:$Q$317,$A39,'Данные 2st'!$MY$2:$MY$317),"")</f>
        <v/>
      </c>
      <c r="RG39" s="7">
        <f>IFERROR(AVERAGEIF('Данные 2st'!$Q$2:$Q$317,$A39,'Данные 2st'!$MZ$2:$MZ$317),"")</f>
        <v/>
      </c>
      <c r="RH39" s="7">
        <f>IFERROR(AVERAGEIF('Данные 2st'!$Q$2:$Q$317,$A39,'Данные 2st'!$NA$2:$NA$317),"")</f>
        <v/>
      </c>
      <c r="RI39" s="7">
        <f>IFERROR(AVERAGEIF('Данные 2st'!$Q$2:$Q$317,$A39,'Данные 2st'!$NB$2:$NB$317),"")</f>
        <v/>
      </c>
      <c r="RJ39" s="7">
        <f>IFERROR(AVERAGEIF('Данные 2st'!$Q$2:$Q$317,$A39,'Данные 2st'!$NC$2:$NC$317),"")</f>
        <v/>
      </c>
      <c r="RK39" s="7">
        <f>IFERROR(AVERAGEIF('Данные 2st'!$Q$2:$Q$317,$A39,'Данные 2st'!$ND$2:$ND$317),"")</f>
        <v/>
      </c>
      <c r="RL39" s="7">
        <f>IFERROR(AVERAGEIF('Данные 2st'!$Q$2:$Q$317,$A39,'Данные 2st'!$NE$2:$NE$317),"")</f>
        <v/>
      </c>
      <c r="RM39" s="7">
        <f>IFERROR(AVERAGEIF('Данные 2st'!$Q$2:$Q$317,$A39,'Данные 2st'!$NF$2:$NF$317),"")</f>
        <v/>
      </c>
      <c r="RN39" s="7">
        <f>IFERROR(AVERAGEIF('Данные 2st'!$Q$2:$Q$317,$A39,'Данные 2st'!$NG$2:$NG$317),"")</f>
        <v/>
      </c>
      <c r="RO39" s="7">
        <f>IFERROR(AVERAGEIF('Данные 2st'!$Q$2:$Q$317,$A39,'Данные 2st'!$NH$2:$NH$317),"")</f>
        <v/>
      </c>
      <c r="RP39" s="7">
        <f>IFERROR(AVERAGEIF('Данные 2st'!$Q$2:$Q$317,$A39,'Данные 2st'!$NJ$2:$NJ$317),"")</f>
        <v/>
      </c>
      <c r="RQ39" s="7">
        <f>IFERROR(AVERAGEIF('Данные 2st'!$Q$2:$Q$317,$A39,'Данные 2st'!$NK$2:$NK$317),"")</f>
        <v/>
      </c>
      <c r="RR39" s="7">
        <f>IFERROR(AVERAGEIF('Данные 2st'!$Q$2:$Q$317,$A39,'Данные 2st'!$NM$2:$NM$317),"")</f>
        <v/>
      </c>
      <c r="RS39" s="7">
        <f>IFERROR(AVERAGEIF('Данные 2st'!$Q$2:$Q$317,$A39,'Данные 2st'!$NN$2:$NN$317),"")</f>
        <v/>
      </c>
      <c r="RT39" s="7">
        <f>IFERROR(AVERAGEIF('Данные 2st'!$Q$2:$Q$317,$A39,'Данные 2st'!$NO$2:$NO$317),"")</f>
        <v/>
      </c>
      <c r="RU39" s="7">
        <f>IFERROR(AVERAGEIF('Данные 2st'!$Q$2:$Q$317,$A39,'Данные 2st'!$NP$2:$NP$317),"")</f>
        <v/>
      </c>
      <c r="RV39" s="7">
        <f>IFERROR(AVERAGEIF('Данные 2st'!$Q$2:$Q$317,$A39,'Данные 2st'!$NQ$2:$NQ$317),"")</f>
        <v/>
      </c>
      <c r="RW39" s="7">
        <f>IFERROR(AVERAGEIF('Данные 2st'!$Q$2:$Q$317,$A39,'Данные 2st'!$NR$2:$NR$317),"")</f>
        <v/>
      </c>
      <c r="RX39" s="7">
        <f>IFERROR(AVERAGEIF('Данные 2st'!$Q$2:$Q$317,$A39,'Данные 2st'!$NS$2:$NS$317),"")</f>
        <v/>
      </c>
      <c r="RY39" s="7">
        <f>IFERROR(AVERAGEIF('Данные 2st'!$Q$2:$Q$317,$A39,'Данные 2st'!$NT$2:$NT$317),"")</f>
        <v/>
      </c>
      <c r="RZ39" s="7">
        <f>IFERROR(AVERAGEIF('Данные 2st'!$Q$2:$Q$317,$A39,'Данные 2st'!$OK$2:$OK$317),"")</f>
        <v>61</v>
      </c>
      <c r="SA39" s="7">
        <f>IFERROR(AVERAGEIF('Данные 2st'!$Q$2:$Q$317,$A39,'Данные 2st'!$OL$2:$OL$317),"")</f>
        <v>61</v>
      </c>
      <c r="SB39" s="7">
        <f>IFERROR(AVERAGEIF('Данные 2st'!$Q$2:$Q$317,$A39,'Данные 2st'!$ON$2:$ON$317),"")</f>
        <v>1.3333333333333333</v>
      </c>
      <c r="SC39" s="7">
        <f>IFERROR(AVERAGEIF('Данные 2st'!$Q$2:$Q$317,$A39,'Данные 2st'!$OO$2:$OO$317),"")</f>
        <v>2056.6666666666665</v>
      </c>
      <c r="SD39" s="7">
        <f>IFERROR(AVERAGEIF('Данные 2st'!$Q$2:$Q$317,$A39,'Данные 2st'!$OP$2:$OP$317),"")</f>
        <v>61</v>
      </c>
      <c r="SE39" s="7">
        <f>IFERROR(AVERAGEIF('Данные 2st'!$Q$2:$Q$317,$A39,'Данные 2st'!$OQ$2:$OQ$317),"")</f>
        <v>61</v>
      </c>
      <c r="SF39" s="7">
        <f>IFERROR(AVERAGEIF('Данные 2st'!$Q$2:$Q$317,$A39,'Данные 2st'!$OS$2:$OS$317),"")</f>
        <v>1.3333333333333333</v>
      </c>
      <c r="SG39" s="7">
        <f>IFERROR(AVERAGEIF('Данные 2st'!$Q$2:$Q$317,$A39,'Данные 2st'!$OT$2:$OT$317),"")</f>
        <v>2069.3333333333335</v>
      </c>
      <c r="SH39" s="7">
        <f>IFERROR(AVERAGEIF('Данные 2st'!$Q$2:$Q$317,$A39,'Данные 2st'!$OU$2:$OU$317),"")</f>
        <v>65</v>
      </c>
      <c r="SI39" s="7">
        <f>IFERROR(AVERAGEIF('Данные 2st'!$Q$2:$Q$317,$A39,'Данные 2st'!$OV$2:$OV$317),"")</f>
        <v>65</v>
      </c>
      <c r="SJ39" s="7">
        <f>IFERROR(AVERAGEIF('Данные 2st'!$Q$2:$Q$317,$A39,'Данные 2st'!$OX$2:$OX$317),"")</f>
        <v>1.6666666666666667</v>
      </c>
      <c r="SK39" s="7">
        <f>IFERROR(AVERAGEIF('Данные 2st'!$Q$2:$Q$317,$A39,'Данные 2st'!$OY$2:$OY$317),"")</f>
        <v>40680</v>
      </c>
      <c r="SL39" s="7">
        <f>IFERROR(AVERAGEIF('Данные 2st'!$Q$2:$Q$317,$A39,'Данные 2st'!$OZ$2:$OZ$317),"")</f>
        <v>51</v>
      </c>
      <c r="SM39" s="7">
        <f>IFERROR(AVERAGEIF('Данные 2st'!$Q$2:$Q$317,$A39,'Данные 2st'!$PA$2:$PA$317),"")</f>
        <v>51.666666666666664</v>
      </c>
      <c r="SN39" s="7">
        <f>IFERROR(AVERAGEIF('Данные 2st'!$Q$2:$Q$317,$A39,'Данные 2st'!$PC$2:$PC$317),"")</f>
        <v>2.6666666666666665</v>
      </c>
      <c r="SO39" s="7">
        <f>IFERROR(AVERAGEIF('Данные 2st'!$Q$2:$Q$317,$A39,'Данные 2st'!$PD$2:$PD$317),"")</f>
        <v>2101.3333333333335</v>
      </c>
      <c r="SP39" s="7">
        <f>IFERROR(AVERAGEIF('Данные 2st'!$Q$2:$Q$317,$A39,'Данные 2st'!$PF$2:$PF$317),"")</f>
        <v>437.6666666666667</v>
      </c>
      <c r="SQ39" s="7">
        <f>IFERROR(AVERAGEIF('Данные 2st'!$Q$2:$Q$317,$A39,'Данные 2st'!$PG$2:$PG$317),"")</f>
        <v>35</v>
      </c>
      <c r="SR39" s="7">
        <f>IFERROR(AVERAGEIF('Данные 2st'!$Q$2:$Q$317,$A39,'Данные 2st'!$PH$2:$PH$317),"")</f>
        <v>414.6666666666667</v>
      </c>
      <c r="SS39" s="7">
        <f>IFERROR(AVERAGEIF('Данные 2st'!$Q$2:$Q$317,$A39,'Данные 2st'!$PI$2:$PI$317),"")</f>
        <v>0</v>
      </c>
      <c r="ST39" s="7">
        <f>IFERROR(AVERAGEIF('Данные 2st'!$Q$2:$Q$317,$A39,'Данные 2st'!$PJ$2:$PJ$317),"")</f>
        <v>69.2</v>
      </c>
      <c r="SU39" s="7">
        <f>IFERROR(AVERAGEIF('Данные 2st'!$Q$2:$Q$317,$A39,'Данные 2st'!$PK$2:$PK$317),"")</f>
        <v>1925.3333333333333</v>
      </c>
      <c r="SV39" s="7">
        <f>IFERROR(AVERAGEIF('Данные 2st'!$Q$2:$Q$317,$A39,'Данные 2st'!$PL$2:$PL$317),"")</f>
        <v>1195.7</v>
      </c>
      <c r="SW39" s="7">
        <f>IFERROR(AVERAGEIF('Данные 2st'!$Q$2:$Q$317,$A39,'Данные 2st'!$PM$2:$PM$317),"")</f>
        <v>551.1</v>
      </c>
      <c r="SX39" s="7">
        <f>IFERROR(AVERAGEIF('Данные 2st'!$Q$2:$Q$317,$A39,'Данные 2st'!$PN$2:$PN$317),"")</f>
        <v>97.7</v>
      </c>
      <c r="SY39" s="7">
        <f>IFERROR(AVERAGEIF('Данные 2st'!$Q$2:$Q$317,$A39,'Данные 2st'!$PO$2:$PO$317),"")</f>
        <v>9.15</v>
      </c>
      <c r="SZ39" s="7">
        <f>IFERROR(AVERAGEIF('Данные 2st'!$Q$2:$Q$317,$A39,'Данные 2st'!$PP$2:$PP$317),"")</f>
        <v>12</v>
      </c>
      <c r="TA39" s="7">
        <f>IFERROR(AVERAGEIF('Данные 2st'!$Q$2:$Q$317,$A39,'Данные 2st'!$PQ$2:$PQ$317),"")</f>
        <v>3</v>
      </c>
      <c r="TB39" s="7">
        <f>IFERROR(AVERAGEIF('Данные 2st'!$Q$2:$Q$317,$A39,'Данные 2st'!$PR$2:$PR$317),"")</f>
        <v>3</v>
      </c>
      <c r="TC39" s="7">
        <f>IFERROR(AVERAGEIF('Данные 2st'!$Q$2:$Q$317,$A39,'Данные 2st'!$PS$2:$PS$317),"")</f>
        <v>0</v>
      </c>
      <c r="TD39" s="7">
        <f>IFERROR(AVERAGEIF('Данные 2st'!$Q$2:$Q$317,$A39,'Данные 2st'!$PT$2:$PT$317),"")</f>
        <v>234</v>
      </c>
      <c r="TE39" s="7">
        <f>IFERROR(AVERAGEIF('Данные 2st'!$Q$2:$Q$317,$A39,'Данные 2st'!$PU$2:$PU$317),"")</f>
        <v>9.333333333333334</v>
      </c>
      <c r="TF39" s="7">
        <f>IFERROR(AVERAGEIF('Данные 2st'!$Q$2:$Q$317,$A39,'Данные 2st'!$PX$2:$PX$317),"")</f>
        <v>0</v>
      </c>
      <c r="TG39" s="7">
        <f>IFERROR(AVERAGEIF('Данные 2st'!$Q$2:$Q$317,$A39,'Данные 2st'!$PY$2:$PY$317),"")</f>
        <v>0</v>
      </c>
      <c r="TH39" s="7">
        <f>IFERROR(AVERAGEIF('Данные 2st'!$Q$2:$Q$317,$A39,'Данные 2st'!$PZ$2:$PZ$317),"")</f>
        <v>0</v>
      </c>
      <c r="TI39" s="7">
        <f>IFERROR(AVERAGEIF('Данные 2st'!$Q$2:$Q$317,$A39,'Данные 2st'!$QA$2:$QA$317),"")</f>
        <v>0</v>
      </c>
      <c r="TJ39" s="7">
        <f>IFERROR(AVERAGEIF('Данные 2st'!$Q$2:$Q$317,$A39,'Данные 2st'!$QB$2:$QB$317),"")</f>
        <v>0</v>
      </c>
      <c r="TK39" s="7">
        <f>IFERROR(AVERAGEIF('Данные 2st'!$Q$2:$Q$317,$A39,'Данные 2st'!$QC$2:$QC$317),"")</f>
        <v>0</v>
      </c>
      <c r="TL39" s="7">
        <f>IFERROR(AVERAGEIF('Данные 2st'!$Q$2:$Q$317,$A39,'Данные 2st'!$QD$2:$QD$317),"")</f>
        <v>0</v>
      </c>
      <c r="TM39" s="7">
        <f>IFERROR(AVERAGEIF('Данные 2st'!$Q$2:$Q$317,$A39,'Данные 2st'!$QE$2:$QE$317),"")</f>
        <v>-1</v>
      </c>
      <c r="TN39" s="7">
        <f>IFERROR(AVERAGEIF('Данные 2st'!$Q$2:$Q$317,$A39,'Данные 2st'!$QF$2:$QF$317),"")</f>
        <v>1</v>
      </c>
      <c r="TO39" s="7">
        <f>IFERROR(AVERAGEIF('Данные 2st'!$Q$2:$Q$317,$A39,'Данные 2st'!$QG$2:$QG$317),"")</f>
        <v>0</v>
      </c>
      <c r="TP39" s="7">
        <f>IFERROR(AVERAGEIF('Данные 2st'!$Q$2:$Q$317,$A39,'Данные 2st'!$QH$2:$QH$317),"")</f>
        <v>5</v>
      </c>
      <c r="TQ39" s="7">
        <f>IFERROR(AVERAGEIF('Данные 2st'!$Q$2:$Q$317,$A39,'Данные 2st'!$QI$2:$QI$317),"")</f>
        <v>5</v>
      </c>
      <c r="TR39" s="7">
        <f>IFERROR(AVERAGEIF('Данные 2st'!$Q$2:$Q$317,$A39,'Данные 2st'!$QJ$2:$QJ$317),"")</f>
        <v>5</v>
      </c>
      <c r="TS39" s="7">
        <f>IFERROR(AVERAGEIF('Данные 2st'!$Q$2:$Q$317,$A39,'Данные 2st'!$QK$2:$QK$317),"")</f>
        <v>202</v>
      </c>
      <c r="TT39" s="7">
        <f>IFERROR(AVERAGEIF('Данные 2st'!$Q$2:$Q$317,$A39,'Данные 2st'!$QL$2:$QL$317),"")</f>
        <v>432.6666666666667</v>
      </c>
      <c r="TU39" s="7">
        <f>IFERROR(AVERAGEIF('Данные 2st'!$Q$2:$Q$317,$A39,'Данные 2st'!$QM$2:$QM$317),"")</f>
        <v>7.5</v>
      </c>
      <c r="TV39" s="7">
        <f>IFERROR(AVERAGEIF('Данные 2st'!$Q$2:$Q$317,$A39,'Данные 2st'!$QN$2:$QN$317),"")</f>
        <v>1384.6</v>
      </c>
      <c r="TW39" s="7">
        <f>IFERROR(AVERAGEIF('Данные 2st'!$Q$2:$Q$317,$A39,'Данные 2st'!$QQ$2:$QQ$317),"")</f>
        <v>0</v>
      </c>
      <c r="TX39" s="7">
        <f>IFERROR(AVERAGEIF('Данные 2st'!$Q$2:$Q$317,$A39,'Данные 2st'!$QS$2:$QS$317),"")</f>
        <v>33.333333333333336</v>
      </c>
      <c r="TY39" s="7">
        <f>IFERROR(AVERAGEIF('Данные 2st'!$Q$2:$Q$317,$A39,'Данные 2st'!$QT$2:$QT$317),"")</f>
        <v>43.333333333333336</v>
      </c>
    </row>
    <row r="40" spans="1:545" ht="32" customHeight="1">
      <c r="A40" s="11" t="s">
        <v>953</v>
      </c>
      <c r="B40">
        <f>COUNTIF('Данные 1st'!$S$2:$S$317,$A40)</f>
        <v>4</v>
      </c>
      <c r="C40" s="6" t="s">
        <v>5100</v>
      </c>
      <c r="D40" s="6" t="s">
        <v>513</v>
      </c>
      <c r="E40" s="6" t="s">
        <v>5125</v>
      </c>
      <c r="F40" s="6" t="s">
        <v>5161</v>
      </c>
      <c r="G40" s="7">
        <f>IFERROR(AVERAGEIF('Данные 1st'!$S$2:$S$317,$A40,'Данные 1st'!$AE$2:$AE$317),"")</f>
        <v>194.25</v>
      </c>
      <c r="H40" s="7">
        <f>IFERROR(AVERAGEIF('Данные 1st'!$S$2:$S$317,$A40,'Данные 1st'!$AF$2:$AF$317),"")</f>
        <v>1.5</v>
      </c>
      <c r="I40" s="7">
        <f>IFERROR(AVERAGEIF('Данные 1st'!$S$2:$S$317,$A40,'Данные 1st'!$AJ$2:$AJ$317),"")</f>
        <v>206.25</v>
      </c>
      <c r="J40" s="7">
        <f>IFERROR(AVERAGEIF('Данные 1st'!$S$2:$S$317,$A40,'Данные 1st'!$AL$2:$AL$317),"")</f>
        <v>1.5</v>
      </c>
      <c r="K40" s="7">
        <f>IFERROR(AVERAGEIF('Данные 1st'!$S$2:$S$317,$A40,'Данные 1st'!$AR$2:$AR$317),"")</f>
        <v>0</v>
      </c>
      <c r="L40" s="7">
        <f>IFERROR(AVERAGEIF('Данные 1st'!$S$2:$S$317,$A40,'Данные 1st'!$AS$2:$AS$317),"")</f>
        <v>1.5</v>
      </c>
      <c r="M40" s="7">
        <f>IFERROR(AVERAGEIF('Данные 1st'!$S$2:$S$317,$A40,'Данные 1st'!$AY$2:$AY$317),"")</f>
        <v>309.375</v>
      </c>
      <c r="N40" s="7">
        <f>IFERROR(AVERAGEIF('Данные 1st'!$S$2:$S$317,$A40,'Данные 1st'!$AZ$2:$AZ$317),"")</f>
        <v>1.5</v>
      </c>
      <c r="O40" s="7">
        <f>IFERROR(AVERAGEIF('Данные 1st'!$S$2:$S$317,$A40,'Данные 1st'!$BF$2:$BF$317),"")</f>
        <v>240</v>
      </c>
      <c r="P40" s="7">
        <f>IFERROR(AVERAGEIF('Данные 1st'!$S$2:$S$317,$A40,'Данные 1st'!$BG$2:$BG$317),"")</f>
        <v>1.5</v>
      </c>
      <c r="Q40" s="7">
        <f>IFERROR(AVERAGEIF('Данные 1st'!$S$2:$S$317,$A40,'Данные 1st'!$BM$2:$BM$317),"")</f>
        <v/>
      </c>
      <c r="R40" s="7">
        <f>IFERROR(AVERAGEIF('Данные 1st'!$S$2:$S$317,$A40,'Данные 1st'!$BN$2:$BN$317),"")</f>
        <v>1.5</v>
      </c>
      <c r="S40" s="7">
        <f>IFERROR(AVERAGEIF('Данные 1st'!$S$2:$S$317,$A40,'Данные 1st'!$BT$2:$BT$317),"")</f>
        <v>217.5</v>
      </c>
      <c r="T40" s="7">
        <f>IFERROR(AVERAGEIF('Данные 1st'!$S$2:$S$317,$A40,'Данные 1st'!$BU$2:$BU$317),"")</f>
        <v>0.5</v>
      </c>
      <c r="U40" s="7">
        <f>IFERROR(AVERAGEIF('Данные 1st'!$S$2:$S$317,$A40,'Данные 1st'!$BW$2:$BW$317),"")</f>
        <v>435</v>
      </c>
      <c r="V40" s="7">
        <f>IFERROR(AVERAGEIF('Данные 1st'!$S$2:$S$317,$A40,'Данные 1st'!$BX$2:$BX$317),"")</f>
        <v>1</v>
      </c>
      <c r="W40" s="7">
        <f>IFERROR(AVERAGEIF('Данные 1st'!$S$2:$S$317,$A40,'Данные 1st'!$BZ$2:$BZ$317),"")</f>
        <v>290</v>
      </c>
      <c r="X40" s="7">
        <f>IFERROR(AVERAGEIF('Данные 1st'!$S$2:$S$317,$A40,'Данные 1st'!$CA$2:$CA$317),"")</f>
        <v>485</v>
      </c>
      <c r="Y40" s="7">
        <f>IFERROR(AVERAGEIF('Данные 1st'!$S$2:$S$317,$A40,'Данные 1st'!$CD$2:$CD$317),"")</f>
        <v>448</v>
      </c>
      <c r="Z40" s="7">
        <f>IFERROR(AVERAGEIF('Данные 1st'!$S$2:$S$317,$A40,'Данные 1st'!$CF$2:$CF$317),"")</f>
        <v>15</v>
      </c>
      <c r="AA40" s="7">
        <f>IFERROR(AVERAGEIF('Данные 1st'!$S$2:$S$317,$A40,'Данные 1st'!$CI$2:$CI$317),"")</f>
        <v>97.5</v>
      </c>
      <c r="AB40" s="7">
        <f>IFERROR(AVERAGEIF('Данные 1st'!$S$2:$S$317,$A40,'Данные 1st'!$CJ$2:$CJ$317),"")</f>
        <v>1381</v>
      </c>
      <c r="AC40" s="7">
        <f>IFERROR(AVERAGEIF('Данные 1st'!$S$2:$S$317,$A40,'Данные 1st'!$CK$2:$CK$317),"")</f>
        <v>2</v>
      </c>
      <c r="AD40" s="7">
        <f>IFERROR(AVERAGEIF('Данные 1st'!$S$2:$S$317,$A40,'Данные 1st'!$CL$2:$CL$317),"")</f>
        <v>1475</v>
      </c>
      <c r="AE40" s="7">
        <f>IFERROR(AVERAGEIF('Данные 1st'!$S$2:$S$317,$A40,'Данные 1st'!$CM$2:$CM$317),"")</f>
        <v>2</v>
      </c>
      <c r="AF40" s="7">
        <f>IFERROR(AVERAGEIF('Данные 1st'!$S$2:$S$317,$A40,'Данные 1st'!$CT$2:$CT$317),"")</f>
        <v>412.5</v>
      </c>
      <c r="AG40" s="7">
        <f>IFERROR(AVERAGEIF('Данные 1st'!$S$2:$S$317,$A40,'Данные 1st'!$CU$2:$CU$317),"")</f>
        <v>5</v>
      </c>
      <c r="AH40" s="7">
        <f>IFERROR(AVERAGEIF('Данные 1st'!$S$2:$S$317,$A40,'Данные 1st'!$CV$2:$CV$317),"")</f>
        <v>1.2</v>
      </c>
      <c r="AI40" s="7">
        <f>IFERROR(AVERAGEIF('Данные 1st'!$S$2:$S$317,$A40,'Данные 1st'!$CW$2:$CW$317),"")</f>
        <v>1393</v>
      </c>
      <c r="AJ40" s="7">
        <f>IFERROR(AVERAGEIF('Данные 1st'!$S$2:$S$317,$A40,'Данные 1st'!$CX$2:$CX$317),"")</f>
        <v>813.5</v>
      </c>
      <c r="AK40" s="7">
        <f>IFERROR(AVERAGEIF('Данные 1st'!$S$2:$S$317,$A40,'Данные 1st'!$CZ$2:$CZ$317),"")</f>
        <v/>
      </c>
      <c r="AL40" s="7">
        <f>IFERROR(AVERAGEIF('Данные 1st'!$S$2:$S$317,$A40,'Данные 1st'!$DA$2:$DA$317),"")</f>
        <v/>
      </c>
      <c r="AM40" s="7">
        <f>IFERROR(AVERAGEIF('Данные 1st'!$S$2:$S$317,$A40,'Данные 1st'!$DB$2:$DB$317),"")</f>
        <v/>
      </c>
      <c r="AN40" s="7">
        <f>IFERROR(AVERAGEIF('Данные 1st'!$S$2:$S$317,$A40,'Данные 1st'!$DC$2:$DC$317),"")</f>
        <v/>
      </c>
      <c r="AO40" s="7">
        <f>IFERROR(AVERAGEIF('Данные 1st'!$S$2:$S$317,$A40,'Данные 1st'!$DD$2:$DD$317),"")</f>
        <v>0</v>
      </c>
      <c r="AP40" s="7">
        <f>IFERROR(AVERAGEIF('Данные 1st'!$S$2:$S$317,$A40,'Данные 1st'!$DF$2:$DF$317),"")</f>
        <v>618.75</v>
      </c>
      <c r="AQ40" s="7">
        <f>IFERROR(AVERAGEIF('Данные 1st'!$S$2:$S$317,$A40,'Данные 1st'!$DG$2:$DG$317),"")</f>
        <v>3</v>
      </c>
      <c r="AR40" s="7">
        <f>IFERROR(AVERAGEIF('Данные 1st'!$S$2:$S$317,$A40,'Данные 1st'!$DH$2:$DH$317),"")</f>
        <v>0.955</v>
      </c>
      <c r="AS40" s="7">
        <f>IFERROR(AVERAGEIF('Данные 1st'!$S$2:$S$317,$A40,'Данные 1st'!$DI$2:$DI$317),"")</f>
        <v>1390.25</v>
      </c>
      <c r="AT40" s="7">
        <f>IFERROR(AVERAGEIF('Данные 1st'!$S$2:$S$317,$A40,'Данные 1st'!$DJ$2:$DJ$317),"")</f>
        <v>1073</v>
      </c>
      <c r="AU40" s="7">
        <f>IFERROR(AVERAGEIF('Данные 1st'!$S$2:$S$317,$A40,'Данные 1st'!$DL$2:$DL$317),"")</f>
        <v>480</v>
      </c>
      <c r="AV40" s="7">
        <f>IFERROR(AVERAGEIF('Данные 1st'!$S$2:$S$317,$A40,'Данные 1st'!$DM$2:$DM$317),"")</f>
        <v>3</v>
      </c>
      <c r="AW40" s="7">
        <f>IFERROR(AVERAGEIF('Данные 1st'!$S$2:$S$317,$A40,'Данные 1st'!$DN$2:$DN$317),"")</f>
        <v>0.88</v>
      </c>
      <c r="AX40" s="7">
        <f>IFERROR(AVERAGEIF('Данные 1st'!$S$2:$S$317,$A40,'Данные 1st'!$DO$2:$DO$317),"")</f>
        <v>1396</v>
      </c>
      <c r="AY40" s="7">
        <f>IFERROR(AVERAGEIF('Данные 1st'!$S$2:$S$317,$A40,'Данные 1st'!$DP$2:$DP$317),"")</f>
        <v>746.6666666666666</v>
      </c>
      <c r="AZ40" s="7">
        <f>IFERROR(AVERAGEIF('Данные 1st'!$S$2:$S$317,$A40,'Данные 1st'!$DR$2:$DR$317),"")</f>
        <v/>
      </c>
      <c r="BA40" s="7">
        <f>IFERROR(AVERAGEIF('Данные 1st'!$S$2:$S$317,$A40,'Данные 1st'!$DS$2:$DS$317),"")</f>
        <v/>
      </c>
      <c r="BB40" s="7">
        <f>IFERROR(AVERAGEIF('Данные 1st'!$S$2:$S$317,$A40,'Данные 1st'!$DT$2:$DT$317),"")</f>
        <v/>
      </c>
      <c r="BC40" s="7">
        <f>IFERROR(AVERAGEIF('Данные 1st'!$S$2:$S$317,$A40,'Данные 1st'!$DU$2:$DU$317),"")</f>
        <v/>
      </c>
      <c r="BD40" s="7">
        <f>IFERROR(AVERAGEIF('Данные 1st'!$S$2:$S$317,$A40,'Данные 1st'!$DV$2:$DV$317),"")</f>
        <v/>
      </c>
      <c r="BE40" s="7">
        <f>IFERROR(AVERAGEIF('Данные 1st'!$S$2:$S$317,$A40,'Данные 1st'!$DX$2:$DX$317),"")</f>
        <v>7.5</v>
      </c>
      <c r="BF40" s="7">
        <f>IFERROR(AVERAGEIF('Данные 1st'!$S$2:$S$317,$A40,'Данные 1st'!$EA$2:$EA$317),"")</f>
        <v>1463.1</v>
      </c>
      <c r="BG40" s="7">
        <f>IFERROR(AVERAGEIF('Данные 1st'!$S$2:$S$317,$A40,'Данные 1st'!$EB$2:$EB$317),"")</f>
        <v>258.75</v>
      </c>
      <c r="BH40" s="7">
        <f>IFERROR(AVERAGEIF('Данные 1st'!$S$2:$S$317,$A40,'Данные 1st'!$ED$2:$ED$317),"")</f>
        <v>37.5</v>
      </c>
      <c r="BI40" s="7">
        <f>IFERROR(AVERAGEIF('Данные 1st'!$S$2:$S$317,$A40,'Данные 1st'!$EE$2:$EE$317),"")</f>
        <v>3</v>
      </c>
      <c r="BJ40" s="7">
        <f>IFERROR(AVERAGEIF('Данные 1st'!$S$2:$S$317,$A40,'Данные 1st'!$EG$2:$EG$317),"")</f>
        <v>1503.75</v>
      </c>
      <c r="BK40" s="7">
        <f>IFERROR(AVERAGEIF('Данные 1st'!$S$2:$S$317,$A40,'Данные 1st'!$EH$2:$EH$317),"")</f>
        <v>226</v>
      </c>
      <c r="BL40" s="7">
        <f>IFERROR(AVERAGEIF('Данные 1st'!$S$2:$S$317,$A40,'Данные 1st'!$EJ$2:$EJ$317),"")</f>
        <v>0</v>
      </c>
      <c r="BM40" s="7">
        <f>IFERROR(AVERAGEIF('Данные 1st'!$S$2:$S$317,$A40,'Данные 1st'!$EK$2:$EK$317),"")</f>
        <v>1</v>
      </c>
      <c r="BN40" s="7">
        <f>IFERROR(AVERAGEIF('Данные 1st'!$S$2:$S$317,$A40,'Данные 1st'!$EN$2:$EN$317),"")</f>
        <v>0</v>
      </c>
      <c r="BO40" s="7">
        <f>IFERROR(AVERAGEIF('Данные 1st'!$S$2:$S$317,$A40,'Данные 1st'!$EQ$2:$EQ$317),"")</f>
        <v>115</v>
      </c>
      <c r="BP40" s="7">
        <f>IFERROR(AVERAGEIF('Данные 1st'!$S$2:$S$317,$A40,'Данные 1st'!$ER$2:$ER$317),"")</f>
        <v>3</v>
      </c>
      <c r="BQ40" s="7">
        <f>IFERROR(AVERAGEIF('Данные 1st'!$S$2:$S$317,$A40,'Данные 1st'!$ES$2:$ES$317),"")</f>
        <v>5.875</v>
      </c>
      <c r="BR40" s="7">
        <f>IFERROR(AVERAGEIF('Данные 1st'!$S$2:$S$317,$A40,'Данные 1st'!$ET$2:$ET$317),"")</f>
        <v>1380.25</v>
      </c>
      <c r="BS40" s="7">
        <f>IFERROR(AVERAGEIF('Данные 1st'!$S$2:$S$317,$A40,'Данные 1st'!$EU$2:$EU$317),"")</f>
        <v>522.45</v>
      </c>
      <c r="BT40" s="7">
        <f>IFERROR(AVERAGEIF('Данные 1st'!$S$2:$S$317,$A40,'Данные 1st'!$EV$2:$EV$317),"")</f>
        <v>721</v>
      </c>
      <c r="BU40" s="7">
        <f>IFERROR(AVERAGEIF('Данные 1st'!$S$2:$S$317,$A40,'Данные 1st'!$EX$2:$EX$317),"")</f>
        <v>70</v>
      </c>
      <c r="BV40" s="7">
        <f>IFERROR(AVERAGEIF('Данные 1st'!$S$2:$S$317,$A40,'Данные 1st'!$EY$2:$EY$317),"")</f>
        <v>2</v>
      </c>
      <c r="BW40" s="7">
        <f>IFERROR(AVERAGEIF('Данные 1st'!$S$2:$S$317,$A40,'Данные 1st'!$EZ$2:$EZ$317),"")</f>
        <v>4.325</v>
      </c>
      <c r="BX40" s="7">
        <f>IFERROR(AVERAGEIF('Данные 1st'!$S$2:$S$317,$A40,'Данные 1st'!$FA$2:$FA$317),"")</f>
        <v>1380.25</v>
      </c>
      <c r="BY40" s="7">
        <f>IFERROR(AVERAGEIF('Данные 1st'!$S$2:$S$317,$A40,'Данные 1st'!$FB$2:$FB$317),"")</f>
        <v>222.15</v>
      </c>
      <c r="BZ40" s="7">
        <f>IFERROR(AVERAGEIF('Данные 1st'!$S$2:$S$317,$A40,'Данные 1st'!$FC$2:$FC$317),"")</f>
        <v>307</v>
      </c>
      <c r="CA40" s="7">
        <f>IFERROR(AVERAGEIF('Данные 1st'!$S$2:$S$317,$A40,'Данные 1st'!$FE$2:$FE$317),"")</f>
        <v>0</v>
      </c>
      <c r="CB40" s="7">
        <f>IFERROR(AVERAGEIF('Данные 1st'!$S$2:$S$317,$A40,'Данные 1st'!$FF$2:$FF$317),"")</f>
        <v>2</v>
      </c>
      <c r="CC40" s="7">
        <f>IFERROR(AVERAGEIF('Данные 1st'!$S$2:$S$317,$A40,'Данные 1st'!$FI$2:$FI$317),"")</f>
        <v>0</v>
      </c>
      <c r="CD40" s="7">
        <f>IFERROR(AVERAGEIF('Данные 1st'!$S$2:$S$317,$A40,'Данные 1st'!$FL$2:$FL$317),"")</f>
        <v>0.4</v>
      </c>
      <c r="CE40" s="7">
        <f>IFERROR(AVERAGEIF('Данные 1st'!$S$2:$S$317,$A40,'Данные 1st'!$FM$2:$FM$317),"")</f>
        <v>106.25</v>
      </c>
      <c r="CF40" s="7">
        <f>IFERROR(AVERAGEIF('Данные 1st'!$S$2:$S$317,$A40,'Данные 1st'!$FN$2:$FN$317),"")</f>
        <v>132.5</v>
      </c>
      <c r="CG40" s="7">
        <f>IFERROR(AVERAGEIF('Данные 1st'!$S$2:$S$317,$A40,'Данные 1st'!$FO$2:$FO$317),"")</f>
        <v/>
      </c>
      <c r="CH40" s="7">
        <f>IFERROR(AVERAGEIF('Данные 1st'!$S$2:$S$317,$A40,'Данные 1st'!$FP$2:$FP$317),"")</f>
        <v/>
      </c>
      <c r="CI40" s="7">
        <f>IFERROR(AVERAGEIF('Данные 1st'!$S$2:$S$317,$A40,'Данные 1st'!$FS$2:$FS$317),"")</f>
        <v/>
      </c>
      <c r="CJ40" s="7">
        <f>IFERROR(AVERAGEIF('Данные 1st'!$S$2:$S$317,$A40,'Данные 1st'!$FT$2:$FT$317),"")</f>
        <v/>
      </c>
      <c r="CK40" s="7">
        <f>IFERROR(AVERAGEIF('Данные 1st'!$S$2:$S$317,$A40,'Данные 1st'!$FU$2:$FU$317),"")</f>
        <v/>
      </c>
      <c r="CL40" s="7">
        <f>IFERROR(AVERAGEIF('Данные 1st'!$S$2:$S$317,$A40,'Данные 1st'!$FV$2:$FV$317),"")</f>
        <v/>
      </c>
      <c r="CM40" s="7">
        <f>IFERROR(AVERAGEIF('Данные 1st'!$S$2:$S$317,$A40,'Данные 1st'!$FW$2:$FW$317),"")</f>
        <v/>
      </c>
      <c r="CN40" s="7">
        <f>IFERROR(AVERAGEIF('Данные 1st'!$S$2:$S$317,$A40,'Данные 1st'!$FZ$2:$FZ$317),"")</f>
        <v/>
      </c>
      <c r="CO40" s="7">
        <f>IFERROR(AVERAGEIF('Данные 1st'!$S$2:$S$317,$A40,'Данные 1st'!$GA$2:$GA$317),"")</f>
        <v/>
      </c>
      <c r="CP40" s="7">
        <f>IFERROR(AVERAGEIF('Данные 1st'!$S$2:$S$317,$A40,'Данные 1st'!$GB$2:$GB$317),"")</f>
        <v/>
      </c>
      <c r="CQ40" s="7">
        <f>IFERROR(AVERAGEIF('Данные 1st'!$S$2:$S$317,$A40,'Данные 1st'!$GH$2:$GH$317),"")</f>
        <v/>
      </c>
      <c r="CR40" s="7">
        <f>IFERROR(AVERAGEIF('Данные 1st'!$S$2:$S$317,$A40,'Данные 1st'!$GI$2:$GI$317),"")</f>
        <v/>
      </c>
      <c r="CS40" s="7">
        <f>IFERROR(AVERAGEIF('Данные 1st'!$S$2:$S$317,$A40,'Данные 1st'!$GJ$2:$GJ$317),"")</f>
        <v/>
      </c>
      <c r="CT40" s="7">
        <f>IFERROR(AVERAGEIF('Данные 1st'!$S$2:$S$317,$A40,'Данные 1st'!$GS$2:$GS$317),"")</f>
        <v>0.4</v>
      </c>
      <c r="CU40" s="7">
        <f>IFERROR(AVERAGEIF('Данные 1st'!$S$2:$S$317,$A40,'Данные 1st'!$GT$2:$GT$317),"")</f>
        <v>50</v>
      </c>
      <c r="CV40" s="7">
        <f>IFERROR(AVERAGEIF('Данные 1st'!$S$2:$S$317,$A40,'Данные 1st'!$GU$2:$GU$317),"")</f>
        <v>353.3333333333333</v>
      </c>
      <c r="CW40" s="7">
        <f>IFERROR(AVERAGEIF('Данные 1st'!$S$2:$S$317,$A40,'Данные 1st'!$GV$2:$GV$317),"")</f>
        <v>30</v>
      </c>
      <c r="CX40" s="7">
        <f>IFERROR(AVERAGEIF('Данные 1st'!$S$2:$S$317,$A40,'Данные 1st'!$GW$2:$GW$317),"")</f>
        <v>260</v>
      </c>
      <c r="CY40" s="7">
        <f>IFERROR(AVERAGEIF('Данные 1st'!$S$2:$S$317,$A40,'Данные 1st'!$GZ$2:$GZ$317),"")</f>
        <v/>
      </c>
      <c r="CZ40" s="7">
        <f>IFERROR(AVERAGEIF('Данные 1st'!$S$2:$S$317,$A40,'Данные 1st'!$HA$2:$HA$317),"")</f>
        <v/>
      </c>
      <c r="DA40" s="7">
        <f>IFERROR(AVERAGEIF('Данные 1st'!$S$2:$S$317,$A40,'Данные 1st'!$HB$2:$HB$317),"")</f>
        <v/>
      </c>
      <c r="DB40" s="7">
        <f>IFERROR(AVERAGEIF('Данные 1st'!$S$2:$S$317,$A40,'Данные 1st'!$HC$2:$HC$317),"")</f>
        <v>0.1</v>
      </c>
      <c r="DC40" s="7">
        <f>IFERROR(AVERAGEIF('Данные 1st'!$S$2:$S$317,$A40,'Данные 1st'!$HD$2:$HD$317),"")</f>
        <v>3</v>
      </c>
      <c r="DD40" s="7">
        <f>IFERROR(AVERAGEIF('Данные 1st'!$S$2:$S$317,$A40,'Данные 1st'!$HE$2:$HE$317),"")</f>
        <v>3</v>
      </c>
      <c r="DE40" s="7">
        <f>IFERROR(AVERAGEIF('Данные 1st'!$S$2:$S$317,$A40,'Данные 1st'!$HF$2:$HF$317),"")</f>
        <v>3</v>
      </c>
      <c r="DF40" s="7">
        <f>IFERROR(AVERAGEIF('Данные 1st'!$S$2:$S$317,$A40,'Данные 1st'!$HG$2:$HG$317),"")</f>
        <v>3</v>
      </c>
      <c r="DG40" s="7">
        <f>IFERROR(AVERAGEIF('Данные 1st'!$S$2:$S$317,$A40,'Данные 1st'!$HH$2:$HH$317),"")</f>
        <v>3</v>
      </c>
      <c r="DH40" s="7">
        <f>IFERROR(AVERAGEIF('Данные 1st'!$S$2:$S$317,$A40,'Данные 1st'!$HI$2:$HI$317),"")</f>
        <v>170</v>
      </c>
      <c r="DI40" s="7">
        <f>IFERROR(AVERAGEIF('Данные 1st'!$S$2:$S$317,$A40,'Данные 1st'!$HJ$2:$HJ$317),"")</f>
        <v>3</v>
      </c>
      <c r="DJ40" s="7">
        <f>IFERROR(AVERAGEIF('Данные 1st'!$S$2:$S$317,$A40,'Данные 1st'!$HK$2:$HK$317),"")</f>
        <v>55</v>
      </c>
      <c r="DK40" s="7">
        <f>IFERROR(AVERAGEIF('Данные 1st'!$S$2:$S$317,$A40,'Данные 1st'!$HL$2:$HL$317),"")</f>
        <v>2</v>
      </c>
      <c r="DL40" s="7">
        <f>IFERROR(AVERAGEIF('Данные 1st'!$S$2:$S$317,$A40,'Данные 1st'!$HM$2:$HM$317),"")</f>
        <v>0</v>
      </c>
      <c r="DM40" s="7">
        <f>IFERROR(AVERAGEIF('Данные 1st'!$S$2:$S$317,$A40,'Данные 1st'!$HN$2:$HN$317),"")</f>
        <v>2</v>
      </c>
      <c r="DN40" s="7">
        <f>IFERROR(AVERAGEIF('Данные 1st'!$S$2:$S$317,$A40,'Данные 1st'!$HO$2:$HO$317),"")</f>
        <v>100</v>
      </c>
      <c r="DO40" s="7">
        <f>IFERROR(AVERAGEIF('Данные 1st'!$S$2:$S$317,$A40,'Данные 1st'!$HP$2:$HP$317),"")</f>
        <v>3</v>
      </c>
      <c r="DP40" s="7">
        <f>IFERROR(AVERAGEIF('Данные 1st'!$S$2:$S$317,$A40,'Данные 1st'!$HQ$2:$HQ$317),"")</f>
        <v>0</v>
      </c>
      <c r="DQ40" s="7">
        <f>IFERROR(AVERAGEIF('Данные 1st'!$S$2:$S$317,$A40,'Данные 1st'!$HR$2:$HR$317),"")</f>
        <v>2</v>
      </c>
      <c r="DR40" s="7">
        <f>IFERROR(AVERAGEIF('Данные 1st'!$S$2:$S$317,$A40,'Данные 1st'!$HS$2:$HS$317),"")</f>
        <v>5472</v>
      </c>
      <c r="DS40" s="7">
        <f>IFERROR(AVERAGEIF('Данные 1st'!$S$2:$S$317,$A40,'Данные 1st'!$HT$2:$HT$317),"")</f>
        <v>165</v>
      </c>
      <c r="DT40" s="7">
        <f>IFERROR(AVERAGEIF('Данные 1st'!$S$2:$S$317,$A40,'Данные 1st'!$HU$2:$HU$317),"")</f>
        <v>180</v>
      </c>
      <c r="DU40" s="7">
        <f>IFERROR(AVERAGEIF('Данные 1st'!$S$2:$S$317,$A40,'Данные 1st'!$HW$2:$HW$317),"")</f>
        <v>5</v>
      </c>
      <c r="DV40" s="7">
        <f>IFERROR(AVERAGEIF('Данные 1st'!$S$2:$S$317,$A40,'Данные 1st'!$HX$2:$HX$317),"")</f>
        <v>482.5</v>
      </c>
      <c r="DW40" s="7">
        <f>IFERROR(AVERAGEIF('Данные 1st'!$S$2:$S$317,$A40,'Данные 1st'!$HY$2:$HY$317),"")</f>
        <v>0.18</v>
      </c>
      <c r="DX40" s="7">
        <f>IFERROR(AVERAGEIF('Данные 1st'!$S$2:$S$317,$A40,'Данные 1st'!$IA$2:$IA$317),"")</f>
        <v>0.15</v>
      </c>
      <c r="DY40" s="7">
        <f>IFERROR(AVERAGEIF('Данные 1st'!$S$2:$S$317,$A40,'Данные 1st'!$IB$2:$IB$317),"")</f>
        <v>0</v>
      </c>
      <c r="DZ40" s="7">
        <f>IFERROR(AVERAGEIF('Данные 1st'!$S$2:$S$317,$A40,'Данные 1st'!$IC$2:$IC$317),"")</f>
        <v>180</v>
      </c>
      <c r="EA40" s="7">
        <f>IFERROR(AVERAGEIF('Данные 1st'!$S$2:$S$317,$A40,'Данные 1st'!$ID$2:$ID$317),"")</f>
        <v>110</v>
      </c>
      <c r="EB40" s="7">
        <f>IFERROR(AVERAGEIF('Данные 1st'!$S$2:$S$317,$A40,'Данные 1st'!$IE$2:$IE$317),"")</f>
        <v>168.75</v>
      </c>
      <c r="EC40" s="7">
        <f>IFERROR(AVERAGEIF('Данные 1st'!$S$2:$S$317,$A40,'Данные 1st'!$IF$2:$IF$317),"")</f>
        <v>0</v>
      </c>
      <c r="ED40" s="7">
        <f>IFERROR(AVERAGEIF('Данные 1st'!$S$2:$S$317,$A40,'Данные 1st'!$IP$2:$IP$317),"")</f>
        <v>18</v>
      </c>
      <c r="EE40" s="7">
        <f>IFERROR(AVERAGEIF('Данные 1st'!$S$2:$S$317,$A40,'Данные 1st'!$IV$2:$IV$317),"")</f>
        <v>1381</v>
      </c>
      <c r="EF40" s="7">
        <f>IFERROR(AVERAGEIF('Данные 1st'!$S$2:$S$317,$A40,'Данные 1st'!$IW$2:$IW$317),"")</f>
        <v>435</v>
      </c>
      <c r="EG40" s="7">
        <f>IFERROR(AVERAGEIF('Данные 1st'!$S$2:$S$317,$A40,'Данные 1st'!$IX$2:$IX$317),"")</f>
        <v/>
      </c>
      <c r="EH40" s="7">
        <f>IFERROR(AVERAGEIF('Данные 1st'!$S$2:$S$317,$A40,'Данные 1st'!$IY$2:$IY$317),"")</f>
        <v/>
      </c>
      <c r="EI40" s="7">
        <f>IFERROR(AVERAGEIF('Данные 1st'!$S$2:$S$317,$A40,'Данные 1st'!$JD$2:$JD$317),"")</f>
        <v>1393</v>
      </c>
      <c r="EJ40" s="7">
        <f>IFERROR(AVERAGEIF('Данные 1st'!$S$2:$S$317,$A40,'Данные 1st'!$JE$2:$JE$317),"")</f>
        <v>1390.25</v>
      </c>
      <c r="EK40" s="7">
        <f>IFERROR(AVERAGEIF('Данные 1st'!$S$2:$S$317,$A40,'Данные 1st'!$JF$2:$JF$317),"")</f>
        <v>1047</v>
      </c>
      <c r="EL40" s="7">
        <f>IFERROR(AVERAGEIF('Данные 1st'!$S$2:$S$317,$A40,'Данные 1st'!$JG$2:$JG$317),"")</f>
        <v>1380.25</v>
      </c>
      <c r="EM40" s="7">
        <f>IFERROR(AVERAGEIF('Данные 1st'!$S$2:$S$317,$A40,'Данные 1st'!$JH$2:$JH$317),"")</f>
        <v>0</v>
      </c>
      <c r="EN40" s="7">
        <f>IFERROR(AVERAGEIF('Данные 1st'!$S$2:$S$317,$A40,'Данные 1st'!$JJ$2:$JJ$317),"")</f>
        <v>180</v>
      </c>
      <c r="EO40" s="7">
        <f>IFERROR(AVERAGEIF('Данные 1st'!$S$2:$S$317,$A40,'Данные 1st'!$JK$2:$JK$317),"")</f>
        <v>482.5</v>
      </c>
      <c r="EP40" s="7">
        <f>IFERROR(AVERAGEIF('Данные 1st'!$S$2:$S$317,$A40,'Данные 1st'!$JL$2:$JL$317),"")</f>
        <v/>
      </c>
      <c r="EQ40" s="7">
        <f>IFERROR(AVERAGEIF('Данные 1st'!$S$2:$S$317,$A40,'Данные 1st'!$JM$2:$JM$317),"")</f>
        <v/>
      </c>
      <c r="ER40" s="7">
        <f>IFERROR(AVERAGEIF('Данные 1st'!$S$2:$S$317,$A40,'Данные 1st'!$JN$2:$JN$317),"")</f>
        <v>412.5</v>
      </c>
      <c r="ES40" s="7">
        <f>IFERROR(AVERAGEIF('Данные 1st'!$S$2:$S$317,$A40,'Данные 1st'!$JO$2:$JO$317),"")</f>
        <v>618.75</v>
      </c>
      <c r="ET40" s="7">
        <f>IFERROR(AVERAGEIF('Данные 1st'!$S$2:$S$317,$A40,'Данные 1st'!$JP$2:$JP$317),"")</f>
        <v>360</v>
      </c>
      <c r="EU40" s="7">
        <f>IFERROR(AVERAGEIF('Данные 1st'!$S$2:$S$317,$A40,'Данные 1st'!$JQ$2:$JQ$317),"")</f>
        <v>0</v>
      </c>
      <c r="EV40" s="7">
        <f>IFERROR(AVERAGEIF('Данные 1st'!$S$2:$S$317,$A40,'Данные 1st'!$JR$2:$JR$317),"")</f>
        <v>388.5</v>
      </c>
      <c r="EW40" s="7">
        <f>IFERROR(AVERAGEIF('Данные 1st'!$S$2:$S$317,$A40,'Данные 1st'!$JS$2:$JS$317),"")</f>
        <v>170</v>
      </c>
      <c r="EX40" s="7">
        <f>IFERROR(AVERAGEIF('Данные 1st'!$S$2:$S$317,$A40,'Данные 1st'!$JT$2:$JT$317),"")</f>
        <v/>
      </c>
      <c r="EY40" s="7">
        <f>IFERROR(AVERAGEIF('Данные 1st'!$S$2:$S$317,$A40,'Данные 1st'!$JU$2:$JU$317),"")</f>
        <v/>
      </c>
      <c r="EZ40" s="7">
        <f>IFERROR(AVERAGEIF('Данные 1st'!$S$2:$S$317,$A40,'Данные 1st'!$JV$2:$JV$317),"")</f>
        <v>8</v>
      </c>
      <c r="FA40" s="7">
        <f>IFERROR(AVERAGEIF('Данные 1st'!$S$2:$S$317,$A40,'Данные 1st'!$JW$2:$JW$317),"")</f>
        <v/>
      </c>
      <c r="FB40" s="7">
        <f>IFERROR(AVERAGEIF('Данные 1st'!$S$2:$S$317,$A40,'Данные 1st'!$JX$2:$JX$317),"")</f>
        <v>0</v>
      </c>
      <c r="FC40" s="7">
        <f>IFERROR(AVERAGEIF('Данные 1st'!$S$2:$S$317,$A40,'Данные 1st'!$JY$2:$JY$317),"")</f>
        <v/>
      </c>
      <c r="FD40" s="7">
        <f>IFERROR(AVERAGEIF('Данные 1st'!$S$2:$S$317,$A40,'Данные 1st'!$JZ$2:$JZ$317),"")</f>
        <v/>
      </c>
      <c r="FE40" s="7">
        <f>IFERROR(AVERAGEIF('Данные 1st'!$S$2:$S$317,$A40,'Данные 1st'!$KA$2:$KA$317),"")</f>
        <v>168.75</v>
      </c>
      <c r="FF40" s="7">
        <f>IFERROR(AVERAGEIF('Данные 1st'!$S$2:$S$317,$A40,'Данные 1st'!$KB$2:$KB$317),"")</f>
        <v>110</v>
      </c>
      <c r="FG40" s="7">
        <f>IFERROR(AVERAGEIF('Данные 1st'!$S$2:$S$317,$A40,'Данные 1st'!$KC$2:$KC$317),"")</f>
        <v>0</v>
      </c>
      <c r="FH40" s="7">
        <f>IFERROR(AVERAGEIF('Данные 1st'!$S$2:$S$317,$A40,'Данные 1st'!$KD$2:$KD$317),"")</f>
        <v>80</v>
      </c>
      <c r="FI40" s="7">
        <f>IFERROR(AVERAGEIF('Данные 1st'!$S$2:$S$317,$A40,'Данные 1st'!$KE$2:$KE$317),"")</f>
        <v/>
      </c>
      <c r="FJ40" s="7">
        <f>IFERROR(AVERAGEIF('Данные 1st'!$S$2:$S$317,$A40,'Данные 1st'!$KF$2:$KF$317),"")</f>
        <v>4</v>
      </c>
      <c r="FK40" s="7">
        <f>IFERROR(AVERAGEIF('Данные 1st'!$S$2:$S$317,$A40,'Данные 1st'!$KG$2:$KG$317),"")</f>
        <v>3.125</v>
      </c>
      <c r="FL40" s="7">
        <f>IFERROR(AVERAGEIF('Данные 1st'!$S$2:$S$317,$A40,'Данные 1st'!$KH$2:$KH$317),"")</f>
        <v>2</v>
      </c>
      <c r="FM40" s="7">
        <f>IFERROR(AVERAGEIF('Данные 1st'!$S$2:$S$317,$A40,'Данные 1st'!$KI$2:$KI$317),"")</f>
        <v>2</v>
      </c>
      <c r="FN40" s="7">
        <f>IFERROR(AVERAGEIF('Данные 1st'!$S$2:$S$317,$A40,'Данные 1st'!$KJ$2:$KJ$317),"")</f>
        <v>0</v>
      </c>
      <c r="FO40" s="7">
        <f>IFERROR(AVERAGEIF('Данные 1st'!$S$2:$S$317,$A40,'Данные 1st'!$KK$2:$KK$317),"")</f>
        <v>1.5</v>
      </c>
      <c r="FP40" s="7">
        <f>IFERROR(AVERAGEIF('Данные 1st'!$S$2:$S$317,$A40,'Данные 1st'!$KL$2:$KL$317),"")</f>
        <v>1.5</v>
      </c>
      <c r="FQ40" s="7">
        <f>IFERROR(AVERAGEIF('Данные 1st'!$S$2:$S$317,$A40,'Данные 1st'!$KM$2:$KM$317),"")</f>
        <v>0</v>
      </c>
      <c r="FR40" s="7">
        <f>IFERROR(AVERAGEIF('Данные 1st'!$S$2:$S$317,$A40,'Данные 1st'!$KN$2:$KN$317),"")</f>
        <v>0</v>
      </c>
      <c r="FS40" s="7">
        <f>IFERROR(AVERAGEIF('Данные 1st'!$S$2:$S$317,$A40,'Данные 1st'!$KR$2:$KR$317),"")</f>
        <v>40</v>
      </c>
      <c r="FT40" s="7">
        <f>IFERROR(AVERAGEIF('Данные 1st'!$S$2:$S$317,$A40,'Данные 1st'!$KS$2:$KS$317),"")</f>
        <v>60</v>
      </c>
      <c r="FU40" s="7">
        <f>IFERROR(AVERAGEIF('Данные 1st'!$S$2:$S$317,$A40,'Данные 1st'!$KT$2:$KT$317),"")</f>
        <v>0</v>
      </c>
      <c r="FV40" s="7">
        <f>IFERROR(AVERAGEIF('Данные 1st'!$S$2:$S$317,$A40,'Данные 1st'!$KV$2:$KV$317),"")</f>
        <v/>
      </c>
      <c r="FW40" s="7">
        <f>IFERROR(AVERAGEIF('Данные 1st'!$S$2:$S$317,$A40,'Данные 1st'!$KW$2:$KW$317),"")</f>
        <v/>
      </c>
      <c r="FX40" s="7">
        <f>IFERROR(AVERAGEIF('Данные 1st'!$S$2:$S$317,$A40,'Данные 1st'!$KX$2:$KX$317),"")</f>
        <v/>
      </c>
      <c r="FY40" s="7">
        <f>IFERROR(AVERAGEIF('Данные 1st'!$S$2:$S$317,$A40,'Данные 1st'!$KY$2:$KY$317),"")</f>
        <v/>
      </c>
      <c r="FZ40" s="7">
        <f>IFERROR(AVERAGEIF('Данные 1st'!$S$2:$S$317,$A40,'Данные 1st'!$KZ$2:$KZ$317),"")</f>
        <v/>
      </c>
      <c r="GA40" s="7">
        <f>IFERROR(AVERAGEIF('Данные 1st'!$S$2:$S$317,$A40,'Данные 1st'!$LA$2:$LA$317),"")</f>
        <v/>
      </c>
      <c r="GB40" s="7">
        <f>IFERROR(AVERAGEIF('Данные 1st'!$S$2:$S$317,$A40,'Данные 1st'!$LB$2:$LB$317),"")</f>
        <v/>
      </c>
      <c r="GC40" s="7">
        <f>IFERROR(AVERAGEIF('Данные 1st'!$S$2:$S$317,$A40,'Данные 1st'!$LC$2:$LC$317),"")</f>
        <v/>
      </c>
      <c r="GD40" s="7">
        <f>IFERROR(AVERAGEIF('Данные 1st'!$S$2:$S$317,$A40,'Данные 1st'!$LD$2:$LD$317),"")</f>
        <v/>
      </c>
      <c r="GE40" s="7">
        <f>IFERROR(AVERAGEIF('Данные 1st'!$S$2:$S$317,$A40,'Данные 1st'!$LE$2:$LE$317),"")</f>
        <v/>
      </c>
      <c r="GF40" s="7">
        <f>IFERROR(AVERAGEIF('Данные 1st'!$S$2:$S$317,$A40,'Данные 1st'!$LF$2:$LF$317),"")</f>
        <v/>
      </c>
      <c r="GG40" s="7">
        <f>IFERROR(AVERAGEIF('Данные 1st'!$S$2:$S$317,$A40,'Данные 1st'!$LG$2:$LG$317),"")</f>
        <v/>
      </c>
      <c r="GH40" s="7">
        <f>IFERROR(AVERAGEIF('Данные 1st'!$S$2:$S$317,$A40,'Данные 1st'!$LH$2:$LH$317),"")</f>
        <v/>
      </c>
      <c r="GI40" s="7">
        <f>IFERROR(AVERAGEIF('Данные 1st'!$S$2:$S$317,$A40,'Данные 1st'!$LI$2:$LI$317),"")</f>
        <v/>
      </c>
      <c r="GJ40" s="7">
        <f>IFERROR(AVERAGEIF('Данные 1st'!$S$2:$S$317,$A40,'Данные 1st'!$LJ$2:$LJ$317),"")</f>
        <v/>
      </c>
      <c r="GK40" s="7">
        <f>IFERROR(AVERAGEIF('Данные 1st'!$S$2:$S$317,$A40,'Данные 1st'!$LK$2:$LK$317),"")</f>
        <v>480</v>
      </c>
      <c r="GL40" s="7">
        <f>IFERROR(AVERAGEIF('Данные 1st'!$S$2:$S$317,$A40,'Данные 1st'!$LV$2:$LV$317),"")</f>
        <v/>
      </c>
      <c r="GM40" s="7">
        <f>IFERROR(AVERAGEIF('Данные 1st'!$S$2:$S$317,$A40,'Данные 1st'!$LW$2:$LW$317),"")</f>
        <v/>
      </c>
      <c r="GN40" s="7">
        <f>IFERROR(AVERAGEIF('Данные 1st'!$S$2:$S$317,$A40,'Данные 1st'!$LX$2:$LX$317),"")</f>
        <v/>
      </c>
      <c r="GO40" s="7">
        <f>IFERROR(AVERAGEIF('Данные 1st'!$S$2:$S$317,$A40,'Данные 1st'!$LY$2:$LY$317),"")</f>
        <v/>
      </c>
      <c r="GP40" s="7">
        <f>IFERROR(AVERAGEIF('Данные 1st'!$S$2:$S$317,$A40,'Данные 1st'!$LZ$2:$LZ$317),"")</f>
        <v/>
      </c>
      <c r="GQ40" s="7">
        <f>IFERROR(AVERAGEIF('Данные 1st'!$S$2:$S$317,$A40,'Данные 1st'!$PG$2:$PG$317),"")</f>
        <v>1</v>
      </c>
      <c r="GR40" s="7">
        <f>IFERROR(AVERAGEIF('Данные 1st'!$S$2:$S$317,$A40,'Данные 1st'!$PX$2:$PX$317),"")</f>
        <v>56</v>
      </c>
      <c r="GS40" s="7">
        <f>IFERROR(AVERAGEIF('Данные 1st'!$S$2:$S$317,$A40,'Данные 1st'!$PY$2:$PY$317),"")</f>
        <v>56.5</v>
      </c>
      <c r="GT40" s="7">
        <f>IFERROR(AVERAGEIF('Данные 1st'!$S$2:$S$317,$A40,'Данные 1st'!$QA$2:$QA$317),"")</f>
        <v>1.25</v>
      </c>
      <c r="GU40" s="7">
        <f>IFERROR(AVERAGEIF('Данные 1st'!$S$2:$S$317,$A40,'Данные 1st'!$QB$2:$QB$317),"")</f>
        <v>1380.25</v>
      </c>
      <c r="GV40" s="7">
        <f>IFERROR(AVERAGEIF('Данные 1st'!$S$2:$S$317,$A40,'Данные 1st'!$QC$2:$QC$317),"")</f>
        <v>69</v>
      </c>
      <c r="GW40" s="7">
        <f>IFERROR(AVERAGEIF('Данные 1st'!$S$2:$S$317,$A40,'Данные 1st'!$QD$2:$QD$317),"")</f>
        <v>69</v>
      </c>
      <c r="GX40" s="7">
        <f>IFERROR(AVERAGEIF('Данные 1st'!$S$2:$S$317,$A40,'Данные 1st'!$QF$2:$QF$317),"")</f>
        <v>1</v>
      </c>
      <c r="GY40" s="7">
        <f>IFERROR(AVERAGEIF('Данные 1st'!$S$2:$S$317,$A40,'Данные 1st'!$QG$2:$QG$317),"")</f>
        <v>1393</v>
      </c>
      <c r="GZ40" s="7">
        <f>IFERROR(AVERAGEIF('Данные 1st'!$S$2:$S$317,$A40,'Данные 1st'!$QH$2:$QH$317),"")</f>
        <v>66</v>
      </c>
      <c r="HA40" s="7">
        <f>IFERROR(AVERAGEIF('Данные 1st'!$S$2:$S$317,$A40,'Данные 1st'!$QI$2:$QI$317),"")</f>
        <v>66</v>
      </c>
      <c r="HB40" s="7">
        <f>IFERROR(AVERAGEIF('Данные 1st'!$S$2:$S$317,$A40,'Данные 1st'!$QK$2:$QK$317),"")</f>
        <v/>
      </c>
      <c r="HC40" s="7">
        <f>IFERROR(AVERAGEIF('Данные 1st'!$S$2:$S$317,$A40,'Данные 1st'!$QL$2:$QL$317),"")</f>
        <v>0</v>
      </c>
      <c r="HD40" s="7">
        <f>IFERROR(AVERAGEIF('Данные 1st'!$S$2:$S$317,$A40,'Данные 1st'!$QM$2:$QM$317),"")</f>
        <v>62</v>
      </c>
      <c r="HE40" s="7">
        <f>IFERROR(AVERAGEIF('Данные 1st'!$S$2:$S$317,$A40,'Данные 1st'!$QN$2:$QN$317),"")</f>
        <v>62</v>
      </c>
      <c r="HF40" s="7">
        <f>IFERROR(AVERAGEIF('Данные 1st'!$S$2:$S$317,$A40,'Данные 1st'!$QP$2:$QP$317),"")</f>
        <v>1</v>
      </c>
      <c r="HG40" s="7">
        <f>IFERROR(AVERAGEIF('Данные 1st'!$S$2:$S$317,$A40,'Данные 1st'!$QQ$2:$QQ$317),"")</f>
        <v>1390.25</v>
      </c>
      <c r="HH40" s="7">
        <f>IFERROR(AVERAGEIF('Данные 1st'!$S$2:$S$317,$A40,'Данные 1st'!$QR$2:$QR$317),"")</f>
        <v>62</v>
      </c>
      <c r="HI40" s="7">
        <f>IFERROR(AVERAGEIF('Данные 1st'!$S$2:$S$317,$A40,'Данные 1st'!$QS$2:$QS$317),"")</f>
        <v>62</v>
      </c>
      <c r="HJ40" s="7">
        <f>IFERROR(AVERAGEIF('Данные 1st'!$S$2:$S$317,$A40,'Данные 1st'!$QU$2:$QU$317),"")</f>
        <v>1</v>
      </c>
      <c r="HK40" s="7">
        <f>IFERROR(AVERAGEIF('Данные 1st'!$S$2:$S$317,$A40,'Данные 1st'!$QV$2:$QV$317),"")</f>
        <v>1396</v>
      </c>
      <c r="HL40" s="7">
        <f>IFERROR(AVERAGEIF('Данные 1st'!$S$2:$S$317,$A40,'Данные 1st'!$QW$2:$QW$317),"")</f>
        <v>82</v>
      </c>
      <c r="HM40" s="7">
        <f>IFERROR(AVERAGEIF('Данные 1st'!$S$2:$S$317,$A40,'Данные 1st'!$QX$2:$QX$317),"")</f>
        <v>88.25</v>
      </c>
      <c r="HN40" s="7">
        <f>IFERROR(AVERAGEIF('Данные 1st'!$S$2:$S$317,$A40,'Данные 1st'!$QZ$2:$QZ$317),"")</f>
        <v>1</v>
      </c>
      <c r="HO40" s="7">
        <f>IFERROR(AVERAGEIF('Данные 1st'!$S$2:$S$317,$A40,'Данные 1st'!$RA$2:$RA$317),"")</f>
        <v>66</v>
      </c>
      <c r="HP40" s="7">
        <f>IFERROR(AVERAGEIF('Данные 1st'!$S$2:$S$317,$A40,'Данные 1st'!$RB$2:$RB$317),"")</f>
        <v>66</v>
      </c>
      <c r="HQ40" s="7">
        <f>IFERROR(AVERAGEIF('Данные 1st'!$S$2:$S$317,$A40,'Данные 1st'!$RD$2:$RD$317),"")</f>
        <v/>
      </c>
      <c r="HR40" s="7">
        <f>IFERROR(AVERAGEIF('Данные 1st'!$S$2:$S$317,$A40,'Данные 1st'!$RE$2:$RE$317),"")</f>
        <v>0</v>
      </c>
      <c r="HS40" s="7">
        <f>IFERROR(AVERAGEIF('Данные 1st'!$S$2:$S$317,$A40,'Данные 1st'!$RF$2:$RF$317),"")</f>
        <v>1</v>
      </c>
      <c r="HT40" s="7">
        <f>IFERROR(AVERAGEIF('Данные 1st'!$S$2:$S$317,$A40,'Данные 1st'!$RG$2:$RG$317),"")</f>
        <v/>
      </c>
      <c r="HU40" s="7">
        <f>IFERROR(AVERAGEIF('Данные 1st'!$S$2:$S$317,$A40,'Данные 1st'!$RH$2:$RH$317),"")</f>
        <v>1</v>
      </c>
      <c r="HV40" s="7">
        <f>IFERROR(AVERAGEIF('Данные 1st'!$S$2:$S$317,$A40,'Данные 1st'!$RI$2:$RI$317),"")</f>
        <v/>
      </c>
      <c r="HW40" s="7">
        <f>IFERROR(AVERAGEIF('Данные 1st'!$S$2:$S$317,$A40,'Данные 1st'!$RJ$2:$RJ$317),"")</f>
        <v>1</v>
      </c>
      <c r="HX40" s="7">
        <f>IFERROR(AVERAGEIF('Данные 1st'!$S$2:$S$317,$A40,'Данные 1st'!$RK$2:$RK$317),"")</f>
        <v/>
      </c>
      <c r="HY40" s="7">
        <f>IFERROR(AVERAGEIF('Данные 1st'!$S$2:$S$317,$A40,'Данные 1st'!$RL$2:$RL$317),"")</f>
        <v>3.5</v>
      </c>
      <c r="HZ40" s="7">
        <f>IFERROR(AVERAGEIF('Данные 1st'!$S$2:$S$317,$A40,'Данные 1st'!$RM$2:$RM$317),"")</f>
        <v>4</v>
      </c>
      <c r="IA40" s="7">
        <f>IFERROR(AVERAGEIF('Данные 1st'!$S$2:$S$317,$A40,'Данные 1st'!$RN$2:$RN$317),"")</f>
        <v/>
      </c>
      <c r="IB40" s="7">
        <f>IFERROR(AVERAGEIF('Данные 1st'!$S$2:$S$317,$A40,'Данные 1st'!$RO$2:$RO$317),"")</f>
        <v>584</v>
      </c>
      <c r="IC40" s="7">
        <f>IFERROR(AVERAGEIF('Данные 1st'!$S$2:$S$317,$A40,'Данные 1st'!$RP$2:$RP$317),"")</f>
        <v/>
      </c>
      <c r="ID40" s="7">
        <f>IFERROR(AVERAGEIF('Данные 1st'!$S$2:$S$317,$A40,'Данные 1st'!$RQ$2:$RQ$317),"")</f>
        <v>772</v>
      </c>
      <c r="IE40" s="7">
        <f>IFERROR(AVERAGEIF('Данные 1st'!$S$2:$S$317,$A40,'Данные 1st'!$RR$2:$RR$317),"")</f>
        <v>535</v>
      </c>
      <c r="IF40" s="7">
        <f>IFERROR(AVERAGEIF('Данные 1st'!$S$2:$S$317,$A40,'Данные 1st'!$RS$2:$RS$317),"")</f>
        <v/>
      </c>
      <c r="IG40" s="7">
        <f>IFERROR(AVERAGEIF('Данные 1st'!$S$2:$S$317,$A40,'Данные 1st'!$RT$2:$RT$317),"")</f>
        <v>258.75</v>
      </c>
      <c r="IH40" s="7">
        <f>IFERROR(AVERAGEIF('Данные 1st'!$S$2:$S$317,$A40,'Данные 1st'!$RU$2:$RU$317),"")</f>
        <v>226</v>
      </c>
      <c r="II40" s="7">
        <f>IFERROR(AVERAGEIF('Данные 1st'!$S$2:$S$317,$A40,'Данные 1st'!$RX$2:$RX$317),"")</f>
        <v>15</v>
      </c>
      <c r="IJ40" s="7">
        <f>IFERROR(AVERAGEIF('Данные 1st'!$S$2:$S$317,$A40,'Данные 1st'!$RY$2:$RY$317),"")</f>
        <v>4</v>
      </c>
      <c r="IK40" s="7">
        <f>IFERROR(AVERAGEIF('Данные 1st'!$S$2:$S$317,$A40,'Данные 1st'!$SA$2:$SA$317),"")</f>
        <v>15</v>
      </c>
      <c r="IL40" s="7">
        <f>IFERROR(AVERAGEIF('Данные 1st'!$S$2:$S$317,$A40,'Данные 1st'!$SD$2:$SD$317),"")</f>
        <v>1</v>
      </c>
      <c r="IM40" s="7">
        <f>IFERROR(AVERAGEIF('Данные 1st'!$S$2:$S$317,$A40,'Данные 1st'!$SG$2:$SG$317),"")</f>
        <v>1</v>
      </c>
      <c r="IN40" s="7">
        <f>IFERROR(AVERAGEIF('Данные 1st'!$S$2:$S$317,$A40,'Данные 1st'!$SH$2:$SH$317),"")</f>
        <v>0.995</v>
      </c>
      <c r="IO40" s="7">
        <f>IFERROR(AVERAGEIF('Данные 1st'!$S$2:$S$317,$A40,'Данные 1st'!$SI$2:$SI$317),"")</f>
        <v>0.995</v>
      </c>
      <c r="IP40" s="7">
        <f>IFERROR(AVERAGEIF('Данные 1st'!$S$2:$S$317,$A40,'Данные 1st'!$SJ$2:$SJ$317),"")</f>
        <v>0.995</v>
      </c>
      <c r="IQ40" s="7">
        <f>IFERROR(AVERAGEIF('Данные 1st'!$S$2:$S$317,$A40,'Данные 1st'!$SK$2:$SK$317),"")</f>
        <v>15</v>
      </c>
      <c r="IR40" s="7">
        <f>IFERROR(AVERAGEIF('Данные 1st'!$S$2:$S$317,$A40,'Данные 1st'!$SL$2:$SL$317),"")</f>
        <v>0</v>
      </c>
      <c r="IS40" s="7">
        <f>IFERROR(AVERAGEIF('Данные 1st'!$S$2:$S$317,$A40,'Данные 1st'!$SM$2:$SM$317),"")</f>
        <v>0</v>
      </c>
      <c r="IT40" s="7">
        <f>IFERROR(AVERAGEIF('Данные 1st'!$S$2:$S$317,$A40,'Данные 1st'!$SN$2:$SN$317),"")</f>
        <v>0</v>
      </c>
      <c r="IU40" s="7">
        <f>IFERROR(AVERAGEIF('Данные 1st'!$S$2:$S$317,$A40,'Данные 1st'!$SO$2:$SO$317),"")</f>
        <v>0</v>
      </c>
      <c r="IV40" s="7">
        <f>IFERROR(AVERAGEIF('Данные 1st'!$S$2:$S$317,$A40,'Данные 1st'!$SP$2:$SP$317),"")</f>
        <v>0</v>
      </c>
      <c r="IW40" s="7">
        <f>IFERROR(AVERAGEIF('Данные 1st'!$S$2:$S$317,$A40,'Данные 1st'!$SQ$2:$SQ$317),"")</f>
        <v>0</v>
      </c>
      <c r="IX40" s="7">
        <f>IFERROR(AVERAGEIF('Данные 1st'!$S$2:$S$317,$A40,'Данные 1st'!$SR$2:$SR$317),"")</f>
        <v>0</v>
      </c>
      <c r="IY40" s="7">
        <f>IFERROR(AVERAGEIF('Данные 1st'!$S$2:$S$317,$A40,'Данные 1st'!$SS$2:$SS$317),"")</f>
        <v>0</v>
      </c>
      <c r="IZ40" s="7">
        <f>IFERROR(AVERAGEIF('Данные 1st'!$S$2:$S$317,$A40,'Данные 1st'!$ST$2:$ST$317),"")</f>
        <v>0</v>
      </c>
      <c r="JA40" s="7">
        <f>IFERROR(AVERAGEIF('Данные 1st'!$S$2:$S$317,$A40,'Данные 1st'!$SU$2:$SU$317),"")</f>
        <v>0</v>
      </c>
      <c r="JB40" s="7">
        <f>IFERROR(AVERAGEIF('Данные 1st'!$S$2:$S$317,$A40,'Данные 1st'!$SV$2:$SV$317),"")</f>
        <v>0</v>
      </c>
      <c r="JC40" s="7">
        <f>IFERROR(AVERAGEIF('Данные 1st'!$S$2:$S$317,$A40,'Данные 1st'!$SW$2:$SW$317),"")</f>
        <v>0</v>
      </c>
      <c r="JD40" s="7">
        <f>IFERROR(AVERAGEIF('Данные 1st'!$S$2:$S$317,$A40,'Данные 1st'!$SX$2:$SX$317),"")</f>
        <v>0</v>
      </c>
      <c r="JE40" s="7">
        <f>IFERROR(AVERAGEIF('Данные 1st'!$S$2:$S$317,$A40,'Данные 1st'!$SY$2:$SY$317),"")</f>
        <v/>
      </c>
      <c r="JF40" s="7">
        <f>IFERROR(AVERAGEIF('Данные 1st'!$S$2:$S$317,$A40,'Данные 1st'!$SZ$2:$SZ$317),"")</f>
        <v>1</v>
      </c>
      <c r="JG40" s="7">
        <f>IFERROR(AVERAGEIF('Данные 1st'!$S$2:$S$317,$A40,'Данные 1st'!$TA$2:$TA$317),"")</f>
        <v/>
      </c>
      <c r="JH40" s="7">
        <f>IFERROR(AVERAGEIF('Данные 1st'!$S$2:$S$317,$A40,'Данные 1st'!$TB$2:$TB$317),"")</f>
        <v>0</v>
      </c>
      <c r="JI40" s="7">
        <f>IFERROR(AVERAGEIF('Данные 1st'!$S$2:$S$317,$A40,'Данные 1st'!$TC$2:$TC$317),"")</f>
        <v>0</v>
      </c>
      <c r="JJ40" s="7">
        <f>IFERROR(AVERAGEIF('Данные 1st'!$S$2:$S$317,$A40,'Данные 1st'!$TD$2:$TD$317),"")</f>
        <v>7.5</v>
      </c>
      <c r="JK40" s="7">
        <f>IFERROR(AVERAGEIF('Данные 1st'!$S$2:$S$317,$A40,'Данные 1st'!$TN$2:$TN$317),"")</f>
        <v>0</v>
      </c>
      <c r="JL40">
        <f>COUNTIF('Данные 2st'!$Q$2:$Q$317,$A40)</f>
        <v>4</v>
      </c>
      <c r="JM40" s="6" t="s">
        <v>5100</v>
      </c>
      <c r="JN40" s="6" t="s">
        <v>513</v>
      </c>
      <c r="JO40" s="6" t="s">
        <v>5125</v>
      </c>
      <c r="JP40" s="6" t="s">
        <v>5496</v>
      </c>
      <c r="JQ40" s="7">
        <f>IFERROR(AVERAGEIF('Данные 2st'!$Q$2:$Q$317,$A40,'Данные 2st'!$AC$2:$AC$317),"")</f>
        <v>10</v>
      </c>
      <c r="JR40" s="7">
        <f>IFERROR(AVERAGEIF('Данные 2st'!$Q$2:$Q$317,$A40,'Данные 2st'!$AF$2:$AF$317),"")</f>
        <v>5472</v>
      </c>
      <c r="JS40" s="7">
        <f>IFERROR(AVERAGEIF('Данные 2st'!$Q$2:$Q$317,$A40,'Данные 2st'!$AW$2:$AW$317),"")</f>
        <v>6.4</v>
      </c>
      <c r="JT40" s="7">
        <f>IFERROR(AVERAGEIF('Данные 2st'!$Q$2:$Q$317,$A40,'Данные 2st'!$AX$2:$AX$317),"")</f>
        <v>-6</v>
      </c>
      <c r="JU40" s="7">
        <f>IFERROR(AVERAGEIF('Данные 2st'!$Q$2:$Q$317,$A40,'Данные 2st'!$AY$2:$AY$317),"")</f>
        <v>97.25</v>
      </c>
      <c r="JV40" s="7">
        <f>IFERROR(AVERAGEIF('Данные 2st'!$Q$2:$Q$317,$A40,'Данные 2st'!$AZ$2:$AZ$317),"")</f>
        <v>65.625</v>
      </c>
      <c r="JW40" s="7">
        <f>IFERROR(AVERAGEIF('Данные 2st'!$Q$2:$Q$317,$A40,'Данные 2st'!$BA$2:$BA$317),"")</f>
        <v>0</v>
      </c>
      <c r="JX40" s="7">
        <f>IFERROR(AVERAGEIF('Данные 2st'!$Q$2:$Q$317,$A40,'Данные 2st'!$BB$2:$BB$317),"")</f>
        <v>0</v>
      </c>
      <c r="JY40" s="7">
        <f>IFERROR(AVERAGEIF('Данные 2st'!$Q$2:$Q$317,$A40,'Данные 2st'!$BC$2:$BC$317),"")</f>
        <v>0</v>
      </c>
      <c r="JZ40" s="7">
        <f>IFERROR(AVERAGEIF('Данные 2st'!$Q$2:$Q$317,$A40,'Данные 2st'!$BH$2:$BH$317),"")</f>
        <v>97.25</v>
      </c>
      <c r="KA40" s="7">
        <f>IFERROR(AVERAGEIF('Данные 2st'!$Q$2:$Q$317,$A40,'Данные 2st'!$BI$2:$BI$317),"")</f>
        <v>31.625</v>
      </c>
      <c r="KB40" s="7">
        <f>IFERROR(AVERAGEIF('Данные 2st'!$Q$2:$Q$317,$A40,'Данные 2st'!$BJ$2:$BJ$317),"")</f>
        <v>65.625</v>
      </c>
      <c r="KC40" s="7">
        <f>IFERROR(AVERAGEIF('Данные 2st'!$Q$2:$Q$317,$A40,'Данные 2st'!$BK$2:$BK$317),"")</f>
        <v>2.875</v>
      </c>
      <c r="KD40" s="7">
        <f>IFERROR(AVERAGEIF('Данные 2st'!$Q$2:$Q$317,$A40,'Данные 2st'!$BL$2:$BL$317),"")</f>
        <v>194.5</v>
      </c>
      <c r="KE40" s="7">
        <f>IFERROR(AVERAGEIF('Данные 2st'!$Q$2:$Q$317,$A40,'Данные 2st'!$BM$2:$BM$317),"")</f>
        <v>-6</v>
      </c>
      <c r="KF40" s="7">
        <f>IFERROR(AVERAGEIF('Данные 2st'!$Q$2:$Q$317,$A40,'Данные 2st'!$BN$2:$BN$317),"")</f>
        <v>0</v>
      </c>
      <c r="KG40" s="7">
        <f>IFERROR(AVERAGEIF('Данные 2st'!$Q$2:$Q$317,$A40,'Данные 2st'!$BO$2:$BO$317),"")</f>
        <v>0</v>
      </c>
      <c r="KH40" s="7">
        <f>IFERROR(AVERAGEIF('Данные 2st'!$Q$2:$Q$317,$A40,'Данные 2st'!$BP$2:$BP$317),"")</f>
        <v>0</v>
      </c>
      <c r="KI40" s="7">
        <f>IFERROR(AVERAGEIF('Данные 2st'!$Q$2:$Q$317,$A40,'Данные 2st'!$BR$2:$BR$317),"")</f>
        <v>188.75</v>
      </c>
      <c r="KJ40" s="7">
        <f>IFERROR(AVERAGEIF('Данные 2st'!$Q$2:$Q$317,$A40,'Данные 2st'!$BS$2:$BS$317),"")</f>
        <v>178.75</v>
      </c>
      <c r="KK40" s="7">
        <f>IFERROR(AVERAGEIF('Данные 2st'!$Q$2:$Q$317,$A40,'Данные 2st'!$BT$2:$BT$317),"")</f>
        <v>2127.5</v>
      </c>
      <c r="KL40" s="7">
        <f>IFERROR(AVERAGEIF('Данные 2st'!$Q$2:$Q$317,$A40,'Данные 2st'!$CV$2:$CV$317),"")</f>
        <v>123</v>
      </c>
      <c r="KM40" s="7">
        <f>IFERROR(AVERAGEIF('Данные 2st'!$Q$2:$Q$317,$A40,'Данные 2st'!$CW$2:$CW$317),"")</f>
        <v>3</v>
      </c>
      <c r="KN40" s="7">
        <f>IFERROR(AVERAGEIF('Данные 2st'!$Q$2:$Q$317,$A40,'Данные 2st'!$CX$2:$CX$317),"")</f>
        <v>81</v>
      </c>
      <c r="KO40" s="7">
        <f>IFERROR(AVERAGEIF('Данные 2st'!$Q$2:$Q$317,$A40,'Данные 2st'!$CY$2:$CY$317),"")</f>
        <v>5</v>
      </c>
      <c r="KP40" s="7">
        <f>IFERROR(AVERAGEIF('Данные 2st'!$Q$2:$Q$317,$A40,'Данные 2st'!$CZ$2:$CZ$317),"")</f>
        <v>130.75</v>
      </c>
      <c r="KQ40" s="7">
        <f>IFERROR(AVERAGEIF('Данные 2st'!$Q$2:$Q$317,$A40,'Данные 2st'!$DA$2:$DA$317),"")</f>
        <v>5</v>
      </c>
      <c r="KR40" s="7">
        <f>IFERROR(AVERAGEIF('Данные 2st'!$Q$2:$Q$317,$A40,'Данные 2st'!$DB$2:$DB$317),"")</f>
        <v>12135</v>
      </c>
      <c r="KS40" s="7">
        <f>IFERROR(AVERAGEIF('Данные 2st'!$Q$2:$Q$317,$A40,'Данные 2st'!$DC$2:$DC$317),"")</f>
        <v>360</v>
      </c>
      <c r="KT40" s="7">
        <f>IFERROR(AVERAGEIF('Данные 2st'!$Q$2:$Q$317,$A40,'Данные 2st'!$DD$2:$DD$317),"")</f>
        <v>336</v>
      </c>
      <c r="KU40" s="7">
        <f>IFERROR(AVERAGEIF('Данные 2st'!$Q$2:$Q$317,$A40,'Данные 2st'!$DE$2:$DE$317),"")</f>
        <v>2247.25</v>
      </c>
      <c r="KV40" s="7">
        <f>IFERROR(AVERAGEIF('Данные 2st'!$Q$2:$Q$317,$A40,'Данные 2st'!$DF$2:$DF$317),"")</f>
        <v>2247.25</v>
      </c>
      <c r="KW40" s="7">
        <f>IFERROR(AVERAGEIF('Данные 2st'!$Q$2:$Q$317,$A40,'Данные 2st'!$DG$2:$DG$317),"")</f>
        <v>2257.75</v>
      </c>
      <c r="KX40" s="7">
        <f>IFERROR(AVERAGEIF('Данные 2st'!$Q$2:$Q$317,$A40,'Данные 2st'!$DH$2:$DH$317),"")</f>
        <v/>
      </c>
      <c r="KY40" s="7">
        <f>IFERROR(AVERAGEIF('Данные 2st'!$Q$2:$Q$317,$A40,'Данные 2st'!$DI$2:$DI$317),"")</f>
        <v/>
      </c>
      <c r="KZ40" s="7">
        <f>IFERROR(AVERAGEIF('Данные 2st'!$Q$2:$Q$317,$A40,'Данные 2st'!$DK$2:$DK$317),"")</f>
        <v>188.75</v>
      </c>
      <c r="LA40" s="7">
        <f>IFERROR(AVERAGEIF('Данные 2st'!$Q$2:$Q$317,$A40,'Данные 2st'!$DM$2:$DM$317),"")</f>
        <v>64</v>
      </c>
      <c r="LB40" s="7">
        <f>IFERROR(AVERAGEIF('Данные 2st'!$Q$2:$Q$317,$A40,'Данные 2st'!$DN$2:$DN$317),"")</f>
        <v>1.1</v>
      </c>
      <c r="LC40" s="7">
        <f>IFERROR(AVERAGEIF('Данные 2st'!$Q$2:$Q$317,$A40,'Данные 2st'!$DO$2:$DO$317),"")</f>
        <v>1</v>
      </c>
      <c r="LD40" s="7">
        <f>IFERROR(AVERAGEIF('Данные 2st'!$Q$2:$Q$317,$A40,'Данные 2st'!$DP$2:$DP$317),"")</f>
        <v>2130.5</v>
      </c>
      <c r="LE40" s="7">
        <f>IFERROR(AVERAGEIF('Данные 2st'!$Q$2:$Q$317,$A40,'Данные 2st'!$DQ$2:$DQ$317),"")</f>
        <v>870</v>
      </c>
      <c r="LF40" s="7">
        <f>IFERROR(AVERAGEIF('Данные 2st'!$Q$2:$Q$317,$A40,'Данные 2st'!$DS$2:$DS$317),"")</f>
        <v>178.75</v>
      </c>
      <c r="LG40" s="7">
        <f>IFERROR(AVERAGEIF('Данные 2st'!$Q$2:$Q$317,$A40,'Данные 2st'!$DU$2:$DU$317),"")</f>
        <v>64</v>
      </c>
      <c r="LH40" s="7">
        <f>IFERROR(AVERAGEIF('Данные 2st'!$Q$2:$Q$317,$A40,'Данные 2st'!$DV$2:$DV$317),"")</f>
        <v>1.1</v>
      </c>
      <c r="LI40" s="7">
        <f>IFERROR(AVERAGEIF('Данные 2st'!$Q$2:$Q$317,$A40,'Данные 2st'!$DW$2:$DW$317),"")</f>
        <v>1</v>
      </c>
      <c r="LJ40" s="7">
        <f>IFERROR(AVERAGEIF('Данные 2st'!$Q$2:$Q$317,$A40,'Данные 2st'!$DX$2:$DX$317),"")</f>
        <v>2142.5</v>
      </c>
      <c r="LK40" s="7">
        <f>IFERROR(AVERAGEIF('Данные 2st'!$Q$2:$Q$317,$A40,'Данные 2st'!$DY$2:$DY$317),"")</f>
        <v>828</v>
      </c>
      <c r="LL40" s="7">
        <f>IFERROR(AVERAGEIF('Данные 2st'!$Q$2:$Q$317,$A40,'Данные 2st'!$EA$2:$EA$317),"")</f>
        <v>20</v>
      </c>
      <c r="LM40" s="7">
        <f>IFERROR(AVERAGEIF('Данные 2st'!$Q$2:$Q$317,$A40,'Данные 2st'!$EC$2:$EC$317),"")</f>
        <v>0.8</v>
      </c>
      <c r="LN40" s="7">
        <f>IFERROR(AVERAGEIF('Данные 2st'!$Q$2:$Q$317,$A40,'Данные 2st'!$ED$2:$ED$317),"")</f>
        <v>2130.5</v>
      </c>
      <c r="LO40" s="7">
        <f>IFERROR(AVERAGEIF('Данные 2st'!$Q$2:$Q$317,$A40,'Данные 2st'!$EE$2:$EE$317),"")</f>
        <v>74.5</v>
      </c>
      <c r="LP40" s="7">
        <f>IFERROR(AVERAGEIF('Данные 2st'!$Q$2:$Q$317,$A40,'Данные 2st'!$EG$2:$EG$317),"")</f>
        <v>0</v>
      </c>
      <c r="LQ40" s="7">
        <f>IFERROR(AVERAGEIF('Данные 2st'!$Q$2:$Q$317,$A40,'Данные 2st'!$EI$2:$EI$317),"")</f>
        <v>0</v>
      </c>
      <c r="LR40" s="7">
        <f>IFERROR(AVERAGEIF('Данные 2st'!$Q$2:$Q$317,$A40,'Данные 2st'!$EJ$2:$EJ$317),"")</f>
        <v/>
      </c>
      <c r="LS40" s="7">
        <f>IFERROR(AVERAGEIF('Данные 2st'!$Q$2:$Q$317,$A40,'Данные 2st'!$EK$2:$EK$317),"")</f>
        <v/>
      </c>
      <c r="LT40" s="7">
        <f>IFERROR(AVERAGEIF('Данные 2st'!$Q$2:$Q$317,$A40,'Данные 2st'!$EM$2:$EM$317),"")</f>
        <v>12</v>
      </c>
      <c r="LU40" s="7">
        <f>IFERROR(AVERAGEIF('Данные 2st'!$Q$2:$Q$317,$A40,'Данные 2st'!$EN$2:$EN$317),"")</f>
        <v>0.5</v>
      </c>
      <c r="LV40" s="7">
        <f>IFERROR(AVERAGEIF('Данные 2st'!$Q$2:$Q$317,$A40,'Данные 2st'!$EO$2:$EO$317),"")</f>
        <v>0.96</v>
      </c>
      <c r="LW40" s="7">
        <f>IFERROR(AVERAGEIF('Данные 2st'!$Q$2:$Q$317,$A40,'Данные 2st'!$EP$2:$EP$317),"")</f>
        <v>2141.33</v>
      </c>
      <c r="LX40" s="7">
        <f>IFERROR(AVERAGEIF('Данные 2st'!$Q$2:$Q$317,$A40,'Данные 2st'!$EQ$2:$EQ$317),"")</f>
        <v>34540.597499999996</v>
      </c>
      <c r="LY40" s="7">
        <f>IFERROR(AVERAGEIF('Данные 2st'!$Q$2:$Q$317,$A40,'Данные 2st'!$ER$2:$ER$317),"")</f>
        <v>10610.7425</v>
      </c>
      <c r="LZ40" s="7">
        <f>IFERROR(AVERAGEIF('Данные 2st'!$Q$2:$Q$317,$A40,'Данные 2st'!$ES$2:$ES$317),"")</f>
        <v>0</v>
      </c>
      <c r="MA40" s="7">
        <f>IFERROR(AVERAGEIF('Данные 2st'!$Q$2:$Q$317,$A40,'Данные 2st'!$ET$2:$ET$317),"")</f>
        <v>0</v>
      </c>
      <c r="MB40" s="7">
        <f>IFERROR(AVERAGEIF('Данные 2st'!$Q$2:$Q$317,$A40,'Данные 2st'!$EU$2:$EU$317),"")</f>
        <v>1</v>
      </c>
      <c r="MC40" s="7">
        <f>IFERROR(AVERAGEIF('Данные 2st'!$Q$2:$Q$317,$A40,'Данные 2st'!$EV$2:$EV$317),"")</f>
        <v>45152</v>
      </c>
      <c r="MD40" s="7">
        <f>IFERROR(AVERAGEIF('Данные 2st'!$Q$2:$Q$317,$A40,'Данные 2st'!$EW$2:$EW$317),"")</f>
        <v>542.5</v>
      </c>
      <c r="ME40" s="7">
        <f>IFERROR(AVERAGEIF('Данные 2st'!$Q$2:$Q$317,$A40,'Данные 2st'!$EY$2:$EY$317),"")</f>
        <v>213</v>
      </c>
      <c r="MF40" s="7">
        <f>IFERROR(AVERAGEIF('Данные 2st'!$Q$2:$Q$317,$A40,'Данные 2st'!$FA$2:$FA$317),"")</f>
        <v>5.2</v>
      </c>
      <c r="MG40" s="7">
        <f>IFERROR(AVERAGEIF('Данные 2st'!$Q$2:$Q$317,$A40,'Данные 2st'!$FB$2:$FB$317),"")</f>
        <v>1</v>
      </c>
      <c r="MH40" s="7">
        <f>IFERROR(AVERAGEIF('Данные 2st'!$Q$2:$Q$317,$A40,'Данные 2st'!$FC$2:$FC$317),"")</f>
        <v>1</v>
      </c>
      <c r="MI40" s="7">
        <f>IFERROR(AVERAGEIF('Данные 2st'!$Q$2:$Q$317,$A40,'Данные 2st'!$FD$2:$FD$317),"")</f>
        <v>2173.75</v>
      </c>
      <c r="MJ40" s="7">
        <f>IFERROR(AVERAGEIF('Данные 2st'!$Q$2:$Q$317,$A40,'Данные 2st'!$FE$2:$FE$317),"")</f>
        <v>2523.5</v>
      </c>
      <c r="MK40" s="7">
        <f>IFERROR(AVERAGEIF('Данные 2st'!$Q$2:$Q$317,$A40,'Данные 2st'!$FG$2:$FG$317),"")</f>
        <v>213</v>
      </c>
      <c r="ML40" s="7">
        <f>IFERROR(AVERAGEIF('Данные 2st'!$Q$2:$Q$317,$A40,'Данные 2st'!$FI$2:$FI$317),"")</f>
        <v>2.725</v>
      </c>
      <c r="MM40" s="7">
        <f>IFERROR(AVERAGEIF('Данные 2st'!$Q$2:$Q$317,$A40,'Данные 2st'!$FJ$2:$FJ$317),"")</f>
        <v>2173.75</v>
      </c>
      <c r="MN40" s="7">
        <f>IFERROR(AVERAGEIF('Данные 2st'!$Q$2:$Q$317,$A40,'Данные 2st'!$FK$2:$FK$317),"")</f>
        <v>1438.25</v>
      </c>
      <c r="MO40" s="7">
        <f>IFERROR(AVERAGEIF('Данные 2st'!$Q$2:$Q$317,$A40,'Данные 2st'!$FP$2:$FP$317),"")</f>
        <v>2173.75</v>
      </c>
      <c r="MP40" s="7">
        <f>IFERROR(AVERAGEIF('Данные 2st'!$Q$2:$Q$317,$A40,'Данные 2st'!$FQ$2:$FQ$317),"")</f>
        <v>151.75</v>
      </c>
      <c r="MQ40" s="7">
        <f>IFERROR(AVERAGEIF('Данные 2st'!$Q$2:$Q$317,$A40,'Данные 2st'!$FS$2:$FS$317),"")</f>
        <v>217</v>
      </c>
      <c r="MR40" s="7">
        <f>IFERROR(AVERAGEIF('Данные 2st'!$Q$2:$Q$317,$A40,'Данные 2st'!$FU$2:$FU$317),"")</f>
        <v>0.4</v>
      </c>
      <c r="MS40" s="7">
        <f>IFERROR(AVERAGEIF('Данные 2st'!$Q$2:$Q$317,$A40,'Данные 2st'!$FV$2:$FV$317),"")</f>
        <v>2173.75</v>
      </c>
      <c r="MT40" s="7">
        <f>IFERROR(AVERAGEIF('Данные 2st'!$Q$2:$Q$317,$A40,'Данные 2st'!$FW$2:$FW$317),"")</f>
        <v>209.75</v>
      </c>
      <c r="MU40" s="7">
        <f>IFERROR(AVERAGEIF('Данные 2st'!$Q$2:$Q$317,$A40,'Данные 2st'!$FY$2:$FY$317),"")</f>
        <v>5</v>
      </c>
      <c r="MV40" s="7">
        <f>IFERROR(AVERAGEIF('Данные 2st'!$Q$2:$Q$317,$A40,'Данные 2st'!$GB$2:$GB$317),"")</f>
        <v>2173.75</v>
      </c>
      <c r="MW40" s="7">
        <f>IFERROR(AVERAGEIF('Данные 2st'!$Q$2:$Q$317,$A40,'Данные 2st'!$GC$2:$GC$317),"")</f>
        <v>20.5</v>
      </c>
      <c r="MX40" s="7">
        <f>IFERROR(AVERAGEIF('Данные 2st'!$Q$2:$Q$317,$A40,'Данные 2st'!$GD$2:$GD$317),"")</f>
        <v>4343.75</v>
      </c>
      <c r="MY40" s="7">
        <f>IFERROR(AVERAGEIF('Данные 2st'!$Q$2:$Q$317,$A40,'Данные 2st'!$GN$2:$GN$317),"")</f>
        <v/>
      </c>
      <c r="MZ40" s="7">
        <f>IFERROR(AVERAGEIF('Данные 2st'!$Q$2:$Q$317,$A40,'Данные 2st'!$GQ$2:$GQ$317),"")</f>
        <v>0</v>
      </c>
      <c r="NA40" s="7">
        <f>IFERROR(AVERAGEIF('Данные 2st'!$Q$2:$Q$317,$A40,'Данные 2st'!$GV$2:$GV$317),"")</f>
        <v>8.325</v>
      </c>
      <c r="NB40" s="7">
        <f>IFERROR(AVERAGEIF('Данные 2st'!$Q$2:$Q$317,$A40,'Данные 2st'!$GW$2:$GW$317),"")</f>
        <v>9.425</v>
      </c>
      <c r="NC40" s="7">
        <f>IFERROR(AVERAGEIF('Данные 2st'!$Q$2:$Q$317,$A40,'Данные 2st'!$GX$2:$GX$317),"")</f>
        <v>0.5</v>
      </c>
      <c r="ND40" s="7">
        <f>IFERROR(AVERAGEIF('Данные 2st'!$Q$2:$Q$317,$A40,'Данные 2st'!$GY$2:$GY$317),"")</f>
        <v>181</v>
      </c>
      <c r="NE40" s="7">
        <f>IFERROR(AVERAGEIF('Данные 2st'!$Q$2:$Q$317,$A40,'Данные 2st'!$GZ$2:$GZ$317),"")</f>
        <v>3</v>
      </c>
      <c r="NF40" s="7">
        <f>IFERROR(AVERAGEIF('Данные 2st'!$Q$2:$Q$317,$A40,'Данные 2st'!$HA$2:$HA$317),"")</f>
        <v>232.5</v>
      </c>
      <c r="NG40" s="7">
        <f>IFERROR(AVERAGEIF('Данные 2st'!$Q$2:$Q$317,$A40,'Данные 2st'!$HB$2:$HB$317),"")</f>
        <v>3</v>
      </c>
      <c r="NH40" s="7">
        <f>IFERROR(AVERAGEIF('Данные 2st'!$Q$2:$Q$317,$A40,'Данные 2st'!$HC$2:$HC$317),"")</f>
        <v>2173.75</v>
      </c>
      <c r="NI40" s="7">
        <f>IFERROR(AVERAGEIF('Данные 2st'!$Q$2:$Q$317,$A40,'Данные 2st'!$HD$2:$HD$317),"")</f>
        <v>4</v>
      </c>
      <c r="NJ40" s="7">
        <f>IFERROR(AVERAGEIF('Данные 2st'!$Q$2:$Q$317,$A40,'Данные 2st'!$HM$2:$HM$317),"")</f>
        <v>18</v>
      </c>
      <c r="NK40" s="7">
        <f>IFERROR(AVERAGEIF('Данные 2st'!$Q$2:$Q$317,$A40,'Данные 2st'!$HR$2:$HR$317),"")</f>
        <v>2.5</v>
      </c>
      <c r="NL40" s="7">
        <f>IFERROR(AVERAGEIF('Данные 2st'!$Q$2:$Q$317,$A40,'Данные 2st'!$HS$2:$HS$317),"")</f>
        <v>2127.5</v>
      </c>
      <c r="NM40" s="7">
        <f>IFERROR(AVERAGEIF('Данные 2st'!$Q$2:$Q$317,$A40,'Данные 2st'!$HT$2:$HT$317),"")</f>
        <v>5</v>
      </c>
      <c r="NN40" s="7">
        <f>IFERROR(AVERAGEIF('Данные 2st'!$Q$2:$Q$317,$A40,'Данные 2st'!$HY$2:$HY$317),"")</f>
        <v>0</v>
      </c>
      <c r="NO40" s="7">
        <f>IFERROR(AVERAGEIF('Данные 2st'!$Q$2:$Q$317,$A40,'Данные 2st'!$HZ$2:$HZ$317),"")</f>
        <v>64</v>
      </c>
      <c r="NP40" s="7">
        <f>IFERROR(AVERAGEIF('Данные 2st'!$Q$2:$Q$317,$A40,'Данные 2st'!$IA$2:$IA$317),"")</f>
        <v>2130.5</v>
      </c>
      <c r="NQ40" s="7">
        <f>IFERROR(AVERAGEIF('Данные 2st'!$Q$2:$Q$317,$A40,'Данные 2st'!$IB$2:$IB$317),"")</f>
        <v>2142.5</v>
      </c>
      <c r="NR40" s="7">
        <f>IFERROR(AVERAGEIF('Данные 2st'!$Q$2:$Q$317,$A40,'Данные 2st'!$IC$2:$IC$317),"")</f>
        <v/>
      </c>
      <c r="NS40" s="7">
        <f>IFERROR(AVERAGEIF('Данные 2st'!$Q$2:$Q$317,$A40,'Данные 2st'!$ID$2:$ID$317),"")</f>
        <v>2173.75</v>
      </c>
      <c r="NT40" s="7">
        <f>IFERROR(AVERAGEIF('Данные 2st'!$Q$2:$Q$317,$A40,'Данные 2st'!$IE$2:$IE$317),"")</f>
        <v>2173.75</v>
      </c>
      <c r="NU40" s="7">
        <f>IFERROR(AVERAGEIF('Данные 2st'!$Q$2:$Q$317,$A40,'Данные 2st'!$IF$2:$IF$317),"")</f>
        <v>188.75</v>
      </c>
      <c r="NV40" s="7">
        <f>IFERROR(AVERAGEIF('Данные 2st'!$Q$2:$Q$317,$A40,'Данные 2st'!$IG$2:$IG$317),"")</f>
        <v>178.75</v>
      </c>
      <c r="NW40" s="7">
        <f>IFERROR(AVERAGEIF('Данные 2st'!$Q$2:$Q$317,$A40,'Данные 2st'!$IH$2:$IH$317),"")</f>
        <v>232.5</v>
      </c>
      <c r="NX40" s="7">
        <f>IFERROR(AVERAGEIF('Данные 2st'!$Q$2:$Q$317,$A40,'Данные 2st'!$IJ$2:$IJ$317),"")</f>
        <v>5</v>
      </c>
      <c r="NY40" s="7">
        <f>IFERROR(AVERAGEIF('Данные 2st'!$Q$2:$Q$317,$A40,'Данные 2st'!$IM$2:$IM$317),"")</f>
        <v>0</v>
      </c>
      <c r="NZ40" s="7">
        <f>IFERROR(AVERAGEIF('Данные 2st'!$Q$2:$Q$317,$A40,'Данные 2st'!$IN$2:$IN$317),"")</f>
        <v>270</v>
      </c>
      <c r="OA40" s="7">
        <f>IFERROR(AVERAGEIF('Данные 2st'!$Q$2:$Q$317,$A40,'Данные 2st'!$IO$2:$IO$317),"")</f>
        <v>0</v>
      </c>
      <c r="OB40" s="7">
        <f>IFERROR(AVERAGEIF('Данные 2st'!$Q$2:$Q$317,$A40,'Данные 2st'!$IP$2:$IP$317),"")</f>
        <v>180</v>
      </c>
      <c r="OC40" s="7">
        <f>IFERROR(AVERAGEIF('Данные 2st'!$Q$2:$Q$317,$A40,'Данные 2st'!$IQ$2:$IQ$317),"")</f>
        <v>0</v>
      </c>
      <c r="OD40" s="7">
        <f>IFERROR(AVERAGEIF('Данные 2st'!$Q$2:$Q$317,$A40,'Данные 2st'!$IR$2:$IR$317),"")</f>
        <v>330</v>
      </c>
      <c r="OE40" s="7">
        <f>IFERROR(AVERAGEIF('Данные 2st'!$Q$2:$Q$317,$A40,'Данные 2st'!$IT$2:$IT$317),"")</f>
        <v>90</v>
      </c>
      <c r="OF40" s="7">
        <f>IFERROR(AVERAGEIF('Данные 2st'!$Q$2:$Q$317,$A40,'Данные 2st'!$IU$2:$IU$317),"")</f>
        <v>0</v>
      </c>
      <c r="OG40" s="7">
        <f>IFERROR(AVERAGEIF('Данные 2st'!$Q$2:$Q$317,$A40,'Данные 2st'!$IV$2:$IV$317),"")</f>
        <v>6.4</v>
      </c>
      <c r="OH40" s="7">
        <f>IFERROR(AVERAGEIF('Данные 2st'!$Q$2:$Q$317,$A40,'Данные 2st'!$IW$2:$IW$317),"")</f>
        <v>-6</v>
      </c>
      <c r="OI40" s="7">
        <f>IFERROR(AVERAGEIF('Данные 2st'!$Q$2:$Q$317,$A40,'Данные 2st'!$IX$2:$IX$317),"")</f>
        <v>97.25</v>
      </c>
      <c r="OJ40" s="7">
        <f>IFERROR(AVERAGEIF('Данные 2st'!$Q$2:$Q$317,$A40,'Данные 2st'!$IY$2:$IY$317),"")</f>
        <v>65.625</v>
      </c>
      <c r="OK40" s="7">
        <f>IFERROR(AVERAGEIF('Данные 2st'!$Q$2:$Q$317,$A40,'Данные 2st'!$IZ$2:$IZ$317),"")</f>
        <v>0</v>
      </c>
      <c r="OL40" s="7">
        <f>IFERROR(AVERAGEIF('Данные 2st'!$Q$2:$Q$317,$A40,'Данные 2st'!$JA$2:$JA$317),"")</f>
        <v>0</v>
      </c>
      <c r="OM40" s="7">
        <f>IFERROR(AVERAGEIF('Данные 2st'!$Q$2:$Q$317,$A40,'Данные 2st'!$JB$2:$JB$317),"")</f>
        <v>0</v>
      </c>
      <c r="ON40" s="7">
        <f>IFERROR(AVERAGEIF('Данные 2st'!$Q$2:$Q$317,$A40,'Данные 2st'!$JC$2:$JC$317),"")</f>
        <v>0</v>
      </c>
      <c r="OO40" s="7">
        <f>IFERROR(AVERAGEIF('Данные 2st'!$Q$2:$Q$317,$A40,'Данные 2st'!$JD$2:$JD$317),"")</f>
        <v>0</v>
      </c>
      <c r="OP40" s="7">
        <f>IFERROR(AVERAGEIF('Данные 2st'!$Q$2:$Q$317,$A40,'Данные 2st'!$JE$2:$JE$317),"")</f>
        <v>0</v>
      </c>
      <c r="OQ40" s="7">
        <f>IFERROR(AVERAGEIF('Данные 2st'!$Q$2:$Q$317,$A40,'Данные 2st'!$JF$2:$JF$317),"")</f>
        <v>0</v>
      </c>
      <c r="OR40" s="7">
        <f>IFERROR(AVERAGEIF('Данные 2st'!$Q$2:$Q$317,$A40,'Данные 2st'!$JG$2:$JG$317),"")</f>
        <v>0</v>
      </c>
      <c r="OS40" s="7">
        <f>IFERROR(AVERAGEIF('Данные 2st'!$Q$2:$Q$317,$A40,'Данные 2st'!$JH$2:$JH$317),"")</f>
        <v>0</v>
      </c>
      <c r="OT40" s="7">
        <f>IFERROR(AVERAGEIF('Данные 2st'!$Q$2:$Q$317,$A40,'Данные 2st'!$JI$2:$JI$317),"")</f>
        <v>401</v>
      </c>
      <c r="OU40" s="7">
        <f>IFERROR(AVERAGEIF('Данные 2st'!$Q$2:$Q$317,$A40,'Данные 2st'!$JJ$2:$JJ$317),"")</f>
        <v>371</v>
      </c>
      <c r="OV40" s="7">
        <f>IFERROR(AVERAGEIF('Данные 2st'!$Q$2:$Q$317,$A40,'Данные 2st'!$JK$2:$JK$317),"")</f>
        <v>273.25</v>
      </c>
      <c r="OW40" s="7">
        <f>IFERROR(AVERAGEIF('Данные 2st'!$Q$2:$Q$317,$A40,'Данные 2st'!$JL$2:$JL$317),"")</f>
        <v>368</v>
      </c>
      <c r="OX40" s="7">
        <f>IFERROR(AVERAGEIF('Данные 2st'!$Q$2:$Q$317,$A40,'Данные 2st'!$JM$2:$JM$317),"")</f>
        <v>279.5</v>
      </c>
      <c r="OY40" s="7">
        <f>IFERROR(AVERAGEIF('Данные 2st'!$Q$2:$Q$317,$A40,'Данные 2st'!$JP$2:$JP$317),"")</f>
        <v>198.75</v>
      </c>
      <c r="OZ40" s="7">
        <f>IFERROR(AVERAGEIF('Данные 2st'!$Q$2:$Q$317,$A40,'Данные 2st'!$JQ$2:$JQ$317),"")</f>
        <v>243.5</v>
      </c>
      <c r="PA40" s="7">
        <f>IFERROR(AVERAGEIF('Данные 2st'!$Q$2:$Q$317,$A40,'Данные 2st'!$JR$2:$JR$317),"")</f>
        <v>326.5</v>
      </c>
      <c r="PB40" s="7">
        <f>IFERROR(AVERAGEIF('Данные 2st'!$Q$2:$Q$317,$A40,'Данные 2st'!$JS$2:$JS$317),"")</f>
        <v>242</v>
      </c>
      <c r="PC40" s="7">
        <f>IFERROR(AVERAGEIF('Данные 2st'!$Q$2:$Q$317,$A40,'Данные 2st'!$JT$2:$JT$317),"")</f>
        <v>0</v>
      </c>
      <c r="PD40" s="7">
        <f>IFERROR(AVERAGEIF('Данные 2st'!$Q$2:$Q$317,$A40,'Данные 2st'!$JU$2:$JU$317),"")</f>
        <v>0</v>
      </c>
      <c r="PE40" s="7">
        <f>IFERROR(AVERAGEIF('Данные 2st'!$Q$2:$Q$317,$A40,'Данные 2st'!$JV$2:$JV$317),"")</f>
        <v>325</v>
      </c>
      <c r="PF40" s="7">
        <f>IFERROR(AVERAGEIF('Данные 2st'!$Q$2:$Q$317,$A40,'Данные 2st'!$JW$2:$JW$317),"")</f>
        <v>327.25</v>
      </c>
      <c r="PG40" s="7">
        <f>IFERROR(AVERAGEIF('Данные 2st'!$Q$2:$Q$317,$A40,'Данные 2st'!$KF$2:$KF$317),"")</f>
        <v>0.185</v>
      </c>
      <c r="PH40" s="7">
        <f>IFERROR(AVERAGEIF('Данные 2st'!$Q$2:$Q$317,$A40,'Данные 2st'!$KG$2:$KG$317),"")</f>
        <v>0.10250000000000001</v>
      </c>
      <c r="PI40" s="7">
        <f>IFERROR(AVERAGEIF('Данные 2st'!$Q$2:$Q$317,$A40,'Данные 2st'!$KM$2:$KM$317),"")</f>
        <v>0.25</v>
      </c>
      <c r="PJ40" s="7">
        <f>IFERROR(AVERAGEIF('Данные 2st'!$Q$2:$Q$317,$A40,'Данные 2st'!$KN$2:$KN$317),"")</f>
        <v>1.75</v>
      </c>
      <c r="PK40" s="7">
        <f>IFERROR(AVERAGEIF('Данные 2st'!$Q$2:$Q$317,$A40,'Данные 2st'!$KO$2:$KO$317),"")</f>
        <v>0</v>
      </c>
      <c r="PL40" s="7">
        <f>IFERROR(AVERAGEIF('Данные 2st'!$Q$2:$Q$317,$A40,'Данные 2st'!$KP$2:$KP$317),"")</f>
        <v>0</v>
      </c>
      <c r="PM40" s="7">
        <f>IFERROR(AVERAGEIF('Данные 2st'!$Q$2:$Q$317,$A40,'Данные 2st'!$KQ$2:$KQ$317),"")</f>
        <v>0.775</v>
      </c>
      <c r="PN40" s="7">
        <f>IFERROR(AVERAGEIF('Данные 2st'!$Q$2:$Q$317,$A40,'Данные 2st'!$KR$2:$KR$317),"")</f>
        <v>0.8500000000000001</v>
      </c>
      <c r="PO40" s="7">
        <f>IFERROR(AVERAGEIF('Данные 2st'!$Q$2:$Q$317,$A40,'Данные 2st'!$KS$2:$KS$317),"")</f>
        <v>0.1</v>
      </c>
      <c r="PP40" s="7">
        <f>IFERROR(AVERAGEIF('Данные 2st'!$Q$2:$Q$317,$A40,'Данные 2st'!$KT$2:$KT$317),"")</f>
        <v>2.575</v>
      </c>
      <c r="PQ40" s="7">
        <f>IFERROR(AVERAGEIF('Данные 2st'!$Q$2:$Q$317,$A40,'Данные 2st'!$KU$2:$KU$317),"")</f>
        <v>0</v>
      </c>
      <c r="PR40" s="7">
        <f>IFERROR(AVERAGEIF('Данные 2st'!$Q$2:$Q$317,$A40,'Данные 2st'!$KV$2:$KV$317),"")</f>
        <v>0</v>
      </c>
      <c r="PS40" s="7">
        <f>IFERROR(AVERAGEIF('Данные 2st'!$Q$2:$Q$317,$A40,'Данные 2st'!$KW$2:$KW$317),"")</f>
        <v>1.0</v>
      </c>
      <c r="PT40" s="7">
        <f>IFERROR(AVERAGEIF('Данные 2st'!$Q$2:$Q$317,$A40,'Данные 2st'!$KX$2:$KX$317),"")</f>
        <v>1.75</v>
      </c>
      <c r="PU40" s="7">
        <f>IFERROR(AVERAGEIF('Данные 2st'!$Q$2:$Q$317,$A40,'Данные 2st'!$KY$2:$KY$317),"")</f>
        <v>0</v>
      </c>
      <c r="PV40" s="7">
        <f>IFERROR(AVERAGEIF('Данные 2st'!$Q$2:$Q$317,$A40,'Данные 2st'!$KZ$2:$KZ$317),"")</f>
        <v>0</v>
      </c>
      <c r="PW40" s="7">
        <f>IFERROR(AVERAGEIF('Данные 2st'!$Q$2:$Q$317,$A40,'Данные 2st'!$LA$2:$LA$317),"")</f>
        <v>0</v>
      </c>
      <c r="PX40" s="7">
        <f>IFERROR(AVERAGEIF('Данные 2st'!$Q$2:$Q$317,$A40,'Данные 2st'!$LB$2:$LB$317),"")</f>
        <v>0</v>
      </c>
      <c r="PY40" s="7">
        <f>IFERROR(AVERAGEIF('Данные 2st'!$Q$2:$Q$317,$A40,'Данные 2st'!$LC$2:$LC$317),"")</f>
        <v>0</v>
      </c>
      <c r="PZ40" s="7">
        <f>IFERROR(AVERAGEIF('Данные 2st'!$Q$2:$Q$317,$A40,'Данные 2st'!$LD$2:$LD$317),"")</f>
        <v>0</v>
      </c>
      <c r="QA40" s="7">
        <f>IFERROR(AVERAGEIF('Данные 2st'!$Q$2:$Q$317,$A40,'Данные 2st'!$LE$2:$LE$317),"")</f>
        <v>0</v>
      </c>
      <c r="QB40" s="7">
        <f>IFERROR(AVERAGEIF('Данные 2st'!$Q$2:$Q$317,$A40,'Данные 2st'!$LF$2:$LF$317),"")</f>
        <v>0</v>
      </c>
      <c r="QC40" s="7">
        <f>IFERROR(AVERAGEIF('Данные 2st'!$Q$2:$Q$317,$A40,'Данные 2st'!$LG$2:$LG$317),"")</f>
        <v>0</v>
      </c>
      <c r="QD40" s="7">
        <f>IFERROR(AVERAGEIF('Данные 2st'!$Q$2:$Q$317,$A40,'Данные 2st'!$LH$2:$LH$317),"")</f>
        <v>3</v>
      </c>
      <c r="QE40" s="7">
        <f>IFERROR(AVERAGEIF('Данные 2st'!$Q$2:$Q$317,$A40,'Данные 2st'!$LJ$2:$LJ$317),"")</f>
        <v>0</v>
      </c>
      <c r="QF40" s="7">
        <f>IFERROR(AVERAGEIF('Данные 2st'!$Q$2:$Q$317,$A40,'Данные 2st'!$LK$2:$LK$317),"")</f>
        <v>7.625</v>
      </c>
      <c r="QG40" s="7">
        <f>IFERROR(AVERAGEIF('Данные 2st'!$Q$2:$Q$317,$A40,'Данные 2st'!$LL$2:$LL$317),"")</f>
        <v>4.125</v>
      </c>
      <c r="QH40" s="7">
        <f>IFERROR(AVERAGEIF('Данные 2st'!$Q$2:$Q$317,$A40,'Данные 2st'!$LM$2:$LM$317),"")</f>
        <v>9.25</v>
      </c>
      <c r="QI40" s="7">
        <f>IFERROR(AVERAGEIF('Данные 2st'!$Q$2:$Q$317,$A40,'Данные 2st'!$LN$2:$LN$317),"")</f>
        <v>0.25</v>
      </c>
      <c r="QJ40" s="7">
        <f>IFERROR(AVERAGEIF('Данные 2st'!$Q$2:$Q$317,$A40,'Данные 2st'!$LO$2:$LO$317),"")</f>
        <v>1.05</v>
      </c>
      <c r="QK40" s="7">
        <f>IFERROR(AVERAGEIF('Данные 2st'!$Q$2:$Q$317,$A40,'Данные 2st'!$LP$2:$LP$317),"")</f>
        <v>0</v>
      </c>
      <c r="QL40" s="7">
        <f>IFERROR(AVERAGEIF('Данные 2st'!$Q$2:$Q$317,$A40,'Данные 2st'!$LQ$2:$LQ$317),"")</f>
        <v>0</v>
      </c>
      <c r="QM40" s="7">
        <f>IFERROR(AVERAGEIF('Данные 2st'!$Q$2:$Q$317,$A40,'Данные 2st'!$LW$2:$LW$317),"")</f>
        <v>2.275</v>
      </c>
      <c r="QN40" s="7">
        <f>IFERROR(AVERAGEIF('Данные 2st'!$Q$2:$Q$317,$A40,'Данные 2st'!$LX$2:$LX$317),"")</f>
        <v>2.275</v>
      </c>
      <c r="QO40" s="7">
        <f>IFERROR(AVERAGEIF('Данные 2st'!$Q$2:$Q$317,$A40,'Данные 2st'!$LY$2:$LY$317),"")</f>
        <v>2.125</v>
      </c>
      <c r="QP40" s="7">
        <f>IFERROR(AVERAGEIF('Данные 2st'!$Q$2:$Q$317,$A40,'Данные 2st'!$LZ$2:$LZ$317),"")</f>
        <v>2.125</v>
      </c>
      <c r="QQ40" s="7">
        <f>IFERROR(AVERAGEIF('Данные 2st'!$Q$2:$Q$317,$A40,'Данные 2st'!$MB$2:$MB$317),"")</f>
        <v>3.625</v>
      </c>
      <c r="QR40" s="7">
        <f>IFERROR(AVERAGEIF('Данные 2st'!$Q$2:$Q$317,$A40,'Данные 2st'!$MG$2:$MG$317),"")</f>
        <v>0</v>
      </c>
      <c r="QS40" s="7">
        <f>IFERROR(AVERAGEIF('Данные 2st'!$Q$2:$Q$317,$A40,'Данные 2st'!$MH$2:$MH$317),"")</f>
        <v>0</v>
      </c>
      <c r="QT40" s="7">
        <f>IFERROR(AVERAGEIF('Данные 2st'!$Q$2:$Q$317,$A40,'Данные 2st'!$MI$2:$MI$317),"")</f>
        <v>0</v>
      </c>
      <c r="QU40" s="7">
        <f>IFERROR(AVERAGEIF('Данные 2st'!$Q$2:$Q$317,$A40,'Данные 2st'!$MJ$2:$MJ$317),"")</f>
        <v>0</v>
      </c>
      <c r="QV40" s="7">
        <f>IFERROR(AVERAGEIF('Данные 2st'!$Q$2:$Q$317,$A40,'Данные 2st'!$MK$2:$MK$317),"")</f>
        <v>0</v>
      </c>
      <c r="QW40" s="7">
        <f>IFERROR(AVERAGEIF('Данные 2st'!$Q$2:$Q$317,$A40,'Данные 2st'!$MM$2:$MM$317),"")</f>
        <v>420</v>
      </c>
      <c r="QX40" s="7">
        <f>IFERROR(AVERAGEIF('Данные 2st'!$Q$2:$Q$317,$A40,'Данные 2st'!$MQ$2:$MQ$317),"")</f>
        <v/>
      </c>
      <c r="QY40" s="7">
        <f>IFERROR(AVERAGEIF('Данные 2st'!$Q$2:$Q$317,$A40,'Данные 2st'!$MR$2:$MR$317),"")</f>
        <v/>
      </c>
      <c r="QZ40" s="7">
        <f>IFERROR(AVERAGEIF('Данные 2st'!$Q$2:$Q$317,$A40,'Данные 2st'!$MS$2:$MS$317),"")</f>
        <v/>
      </c>
      <c r="RA40" s="7">
        <f>IFERROR(AVERAGEIF('Данные 2st'!$Q$2:$Q$317,$A40,'Данные 2st'!$MT$2:$MT$317),"")</f>
        <v/>
      </c>
      <c r="RB40" s="7">
        <f>IFERROR(AVERAGEIF('Данные 2st'!$Q$2:$Q$317,$A40,'Данные 2st'!$MU$2:$MU$317),"")</f>
        <v/>
      </c>
      <c r="RC40" s="7">
        <f>IFERROR(AVERAGEIF('Данные 2st'!$Q$2:$Q$317,$A40,'Данные 2st'!$MV$2:$MV$317),"")</f>
        <v/>
      </c>
      <c r="RD40" s="7">
        <f>IFERROR(AVERAGEIF('Данные 2st'!$Q$2:$Q$317,$A40,'Данные 2st'!$MW$2:$MW$317),"")</f>
        <v/>
      </c>
      <c r="RE40" s="7">
        <f>IFERROR(AVERAGEIF('Данные 2st'!$Q$2:$Q$317,$A40,'Данные 2st'!$MX$2:$MX$317),"")</f>
        <v/>
      </c>
      <c r="RF40" s="7">
        <f>IFERROR(AVERAGEIF('Данные 2st'!$Q$2:$Q$317,$A40,'Данные 2st'!$MY$2:$MY$317),"")</f>
        <v/>
      </c>
      <c r="RG40" s="7">
        <f>IFERROR(AVERAGEIF('Данные 2st'!$Q$2:$Q$317,$A40,'Данные 2st'!$MZ$2:$MZ$317),"")</f>
        <v/>
      </c>
      <c r="RH40" s="7">
        <f>IFERROR(AVERAGEIF('Данные 2st'!$Q$2:$Q$317,$A40,'Данные 2st'!$NA$2:$NA$317),"")</f>
        <v/>
      </c>
      <c r="RI40" s="7">
        <f>IFERROR(AVERAGEIF('Данные 2st'!$Q$2:$Q$317,$A40,'Данные 2st'!$NB$2:$NB$317),"")</f>
        <v/>
      </c>
      <c r="RJ40" s="7">
        <f>IFERROR(AVERAGEIF('Данные 2st'!$Q$2:$Q$317,$A40,'Данные 2st'!$NC$2:$NC$317),"")</f>
        <v/>
      </c>
      <c r="RK40" s="7">
        <f>IFERROR(AVERAGEIF('Данные 2st'!$Q$2:$Q$317,$A40,'Данные 2st'!$ND$2:$ND$317),"")</f>
        <v/>
      </c>
      <c r="RL40" s="7">
        <f>IFERROR(AVERAGEIF('Данные 2st'!$Q$2:$Q$317,$A40,'Данные 2st'!$NE$2:$NE$317),"")</f>
        <v/>
      </c>
      <c r="RM40" s="7">
        <f>IFERROR(AVERAGEIF('Данные 2st'!$Q$2:$Q$317,$A40,'Данные 2st'!$NF$2:$NF$317),"")</f>
        <v/>
      </c>
      <c r="RN40" s="7">
        <f>IFERROR(AVERAGEIF('Данные 2st'!$Q$2:$Q$317,$A40,'Данные 2st'!$NG$2:$NG$317),"")</f>
        <v/>
      </c>
      <c r="RO40" s="7">
        <f>IFERROR(AVERAGEIF('Данные 2st'!$Q$2:$Q$317,$A40,'Данные 2st'!$NH$2:$NH$317),"")</f>
        <v/>
      </c>
      <c r="RP40" s="7">
        <f>IFERROR(AVERAGEIF('Данные 2st'!$Q$2:$Q$317,$A40,'Данные 2st'!$NJ$2:$NJ$317),"")</f>
        <v/>
      </c>
      <c r="RQ40" s="7">
        <f>IFERROR(AVERAGEIF('Данные 2st'!$Q$2:$Q$317,$A40,'Данные 2st'!$NK$2:$NK$317),"")</f>
        <v/>
      </c>
      <c r="RR40" s="7">
        <f>IFERROR(AVERAGEIF('Данные 2st'!$Q$2:$Q$317,$A40,'Данные 2st'!$NM$2:$NM$317),"")</f>
        <v/>
      </c>
      <c r="RS40" s="7">
        <f>IFERROR(AVERAGEIF('Данные 2st'!$Q$2:$Q$317,$A40,'Данные 2st'!$NN$2:$NN$317),"")</f>
        <v/>
      </c>
      <c r="RT40" s="7">
        <f>IFERROR(AVERAGEIF('Данные 2st'!$Q$2:$Q$317,$A40,'Данные 2st'!$NO$2:$NO$317),"")</f>
        <v/>
      </c>
      <c r="RU40" s="7">
        <f>IFERROR(AVERAGEIF('Данные 2st'!$Q$2:$Q$317,$A40,'Данные 2st'!$NP$2:$NP$317),"")</f>
        <v/>
      </c>
      <c r="RV40" s="7">
        <f>IFERROR(AVERAGEIF('Данные 2st'!$Q$2:$Q$317,$A40,'Данные 2st'!$NQ$2:$NQ$317),"")</f>
        <v/>
      </c>
      <c r="RW40" s="7">
        <f>IFERROR(AVERAGEIF('Данные 2st'!$Q$2:$Q$317,$A40,'Данные 2st'!$NR$2:$NR$317),"")</f>
        <v/>
      </c>
      <c r="RX40" s="7">
        <f>IFERROR(AVERAGEIF('Данные 2st'!$Q$2:$Q$317,$A40,'Данные 2st'!$NS$2:$NS$317),"")</f>
        <v/>
      </c>
      <c r="RY40" s="7">
        <f>IFERROR(AVERAGEIF('Данные 2st'!$Q$2:$Q$317,$A40,'Данные 2st'!$NT$2:$NT$317),"")</f>
        <v/>
      </c>
      <c r="RZ40" s="7">
        <f>IFERROR(AVERAGEIF('Данные 2st'!$Q$2:$Q$317,$A40,'Данные 2st'!$OK$2:$OK$317),"")</f>
        <v>61</v>
      </c>
      <c r="SA40" s="7">
        <f>IFERROR(AVERAGEIF('Данные 2st'!$Q$2:$Q$317,$A40,'Данные 2st'!$OL$2:$OL$317),"")</f>
        <v>61</v>
      </c>
      <c r="SB40" s="7">
        <f>IFERROR(AVERAGEIF('Данные 2st'!$Q$2:$Q$317,$A40,'Данные 2st'!$ON$2:$ON$317),"")</f>
        <v>1</v>
      </c>
      <c r="SC40" s="7">
        <f>IFERROR(AVERAGEIF('Данные 2st'!$Q$2:$Q$317,$A40,'Данные 2st'!$OO$2:$OO$317),"")</f>
        <v>2130.5</v>
      </c>
      <c r="SD40" s="7">
        <f>IFERROR(AVERAGEIF('Данные 2st'!$Q$2:$Q$317,$A40,'Данные 2st'!$OP$2:$OP$317),"")</f>
        <v>61</v>
      </c>
      <c r="SE40" s="7">
        <f>IFERROR(AVERAGEIF('Данные 2st'!$Q$2:$Q$317,$A40,'Данные 2st'!$OQ$2:$OQ$317),"")</f>
        <v>61</v>
      </c>
      <c r="SF40" s="7">
        <f>IFERROR(AVERAGEIF('Данные 2st'!$Q$2:$Q$317,$A40,'Данные 2st'!$OS$2:$OS$317),"")</f>
        <v>1</v>
      </c>
      <c r="SG40" s="7">
        <f>IFERROR(AVERAGEIF('Данные 2st'!$Q$2:$Q$317,$A40,'Данные 2st'!$OT$2:$OT$317),"")</f>
        <v>2142.5</v>
      </c>
      <c r="SH40" s="7">
        <f>IFERROR(AVERAGEIF('Данные 2st'!$Q$2:$Q$317,$A40,'Данные 2st'!$OU$2:$OU$317),"")</f>
        <v>65</v>
      </c>
      <c r="SI40" s="7">
        <f>IFERROR(AVERAGEIF('Данные 2st'!$Q$2:$Q$317,$A40,'Данные 2st'!$OV$2:$OV$317),"")</f>
        <v>65</v>
      </c>
      <c r="SJ40" s="7">
        <f>IFERROR(AVERAGEIF('Данные 2st'!$Q$2:$Q$317,$A40,'Данные 2st'!$OX$2:$OX$317),"")</f>
        <v>2</v>
      </c>
      <c r="SK40" s="7">
        <f>IFERROR(AVERAGEIF('Данные 2st'!$Q$2:$Q$317,$A40,'Данные 2st'!$OY$2:$OY$317),"")</f>
        <v>45152</v>
      </c>
      <c r="SL40" s="7">
        <f>IFERROR(AVERAGEIF('Данные 2st'!$Q$2:$Q$317,$A40,'Данные 2st'!$OZ$2:$OZ$317),"")</f>
        <v>51</v>
      </c>
      <c r="SM40" s="7">
        <f>IFERROR(AVERAGEIF('Данные 2st'!$Q$2:$Q$317,$A40,'Данные 2st'!$PA$2:$PA$317),"")</f>
        <v>51.5</v>
      </c>
      <c r="SN40" s="7">
        <f>IFERROR(AVERAGEIF('Данные 2st'!$Q$2:$Q$317,$A40,'Данные 2st'!$PC$2:$PC$317),"")</f>
        <v>1.75</v>
      </c>
      <c r="SO40" s="7">
        <f>IFERROR(AVERAGEIF('Данные 2st'!$Q$2:$Q$317,$A40,'Данные 2st'!$PD$2:$PD$317),"")</f>
        <v>2173.75</v>
      </c>
      <c r="SP40" s="7">
        <f>IFERROR(AVERAGEIF('Данные 2st'!$Q$2:$Q$317,$A40,'Данные 2st'!$PF$2:$PF$317),"")</f>
        <v>408.25</v>
      </c>
      <c r="SQ40" s="7">
        <f>IFERROR(AVERAGEIF('Данные 2st'!$Q$2:$Q$317,$A40,'Данные 2st'!$PG$2:$PG$317),"")</f>
        <v>35</v>
      </c>
      <c r="SR40" s="7">
        <f>IFERROR(AVERAGEIF('Данные 2st'!$Q$2:$Q$317,$A40,'Данные 2st'!$PH$2:$PH$317),"")</f>
        <v>386.5</v>
      </c>
      <c r="SS40" s="7">
        <f>IFERROR(AVERAGEIF('Данные 2st'!$Q$2:$Q$317,$A40,'Данные 2st'!$PI$2:$PI$317),"")</f>
        <v>0</v>
      </c>
      <c r="ST40" s="7">
        <f>IFERROR(AVERAGEIF('Данные 2st'!$Q$2:$Q$317,$A40,'Данные 2st'!$PJ$2:$PJ$317),"")</f>
        <v>69.925</v>
      </c>
      <c r="SU40" s="7">
        <f>IFERROR(AVERAGEIF('Данные 2st'!$Q$2:$Q$317,$A40,'Данные 2st'!$PK$2:$PK$317),"")</f>
        <v>2130</v>
      </c>
      <c r="SV40" s="7">
        <f>IFERROR(AVERAGEIF('Данные 2st'!$Q$2:$Q$317,$A40,'Данные 2st'!$PL$2:$PL$317),"")</f>
        <v>1161.05</v>
      </c>
      <c r="SW40" s="7">
        <f>IFERROR(AVERAGEIF('Данные 2st'!$Q$2:$Q$317,$A40,'Данные 2st'!$PM$2:$PM$317),"")</f>
        <v>662.775</v>
      </c>
      <c r="SX40" s="7">
        <f>IFERROR(AVERAGEIF('Данные 2st'!$Q$2:$Q$317,$A40,'Данные 2st'!$PN$2:$PN$317),"")</f>
        <v>96.5</v>
      </c>
      <c r="SY40" s="7">
        <f>IFERROR(AVERAGEIF('Данные 2st'!$Q$2:$Q$317,$A40,'Данные 2st'!$PO$2:$PO$317),"")</f>
        <v>9.4</v>
      </c>
      <c r="SZ40" s="7">
        <f>IFERROR(AVERAGEIF('Данные 2st'!$Q$2:$Q$317,$A40,'Данные 2st'!$PP$2:$PP$317),"")</f>
        <v>12</v>
      </c>
      <c r="TA40" s="7">
        <f>IFERROR(AVERAGEIF('Данные 2st'!$Q$2:$Q$317,$A40,'Данные 2st'!$PQ$2:$PQ$317),"")</f>
        <v>5</v>
      </c>
      <c r="TB40" s="7">
        <f>IFERROR(AVERAGEIF('Данные 2st'!$Q$2:$Q$317,$A40,'Данные 2st'!$PR$2:$PR$317),"")</f>
        <v>5</v>
      </c>
      <c r="TC40" s="7">
        <f>IFERROR(AVERAGEIF('Данные 2st'!$Q$2:$Q$317,$A40,'Данные 2st'!$PS$2:$PS$317),"")</f>
        <v>0</v>
      </c>
      <c r="TD40" s="7">
        <f>IFERROR(AVERAGEIF('Данные 2st'!$Q$2:$Q$317,$A40,'Данные 2st'!$PT$2:$PT$317),"")</f>
        <v>232.5</v>
      </c>
      <c r="TE40" s="7">
        <f>IFERROR(AVERAGEIF('Данные 2st'!$Q$2:$Q$317,$A40,'Данные 2st'!$PU$2:$PU$317),"")</f>
        <v>9.75</v>
      </c>
      <c r="TF40" s="7">
        <f>IFERROR(AVERAGEIF('Данные 2st'!$Q$2:$Q$317,$A40,'Данные 2st'!$PX$2:$PX$317),"")</f>
        <v>0</v>
      </c>
      <c r="TG40" s="7">
        <f>IFERROR(AVERAGEIF('Данные 2st'!$Q$2:$Q$317,$A40,'Данные 2st'!$PY$2:$PY$317),"")</f>
        <v>0</v>
      </c>
      <c r="TH40" s="7">
        <f>IFERROR(AVERAGEIF('Данные 2st'!$Q$2:$Q$317,$A40,'Данные 2st'!$PZ$2:$PZ$317),"")</f>
        <v>0</v>
      </c>
      <c r="TI40" s="7">
        <f>IFERROR(AVERAGEIF('Данные 2st'!$Q$2:$Q$317,$A40,'Данные 2st'!$QA$2:$QA$317),"")</f>
        <v>0</v>
      </c>
      <c r="TJ40" s="7">
        <f>IFERROR(AVERAGEIF('Данные 2st'!$Q$2:$Q$317,$A40,'Данные 2st'!$QB$2:$QB$317),"")</f>
        <v>0</v>
      </c>
      <c r="TK40" s="7">
        <f>IFERROR(AVERAGEIF('Данные 2st'!$Q$2:$Q$317,$A40,'Данные 2st'!$QC$2:$QC$317),"")</f>
        <v>0</v>
      </c>
      <c r="TL40" s="7">
        <f>IFERROR(AVERAGEIF('Данные 2st'!$Q$2:$Q$317,$A40,'Данные 2st'!$QD$2:$QD$317),"")</f>
        <v>0</v>
      </c>
      <c r="TM40" s="7">
        <f>IFERROR(AVERAGEIF('Данные 2st'!$Q$2:$Q$317,$A40,'Данные 2st'!$QE$2:$QE$317),"")</f>
        <v>-1</v>
      </c>
      <c r="TN40" s="7">
        <f>IFERROR(AVERAGEIF('Данные 2st'!$Q$2:$Q$317,$A40,'Данные 2st'!$QF$2:$QF$317),"")</f>
        <v>1</v>
      </c>
      <c r="TO40" s="7">
        <f>IFERROR(AVERAGEIF('Данные 2st'!$Q$2:$Q$317,$A40,'Данные 2st'!$QG$2:$QG$317),"")</f>
        <v>0</v>
      </c>
      <c r="TP40" s="7">
        <f>IFERROR(AVERAGEIF('Данные 2st'!$Q$2:$Q$317,$A40,'Данные 2st'!$QH$2:$QH$317),"")</f>
        <v>5</v>
      </c>
      <c r="TQ40" s="7">
        <f>IFERROR(AVERAGEIF('Данные 2st'!$Q$2:$Q$317,$A40,'Данные 2st'!$QI$2:$QI$317),"")</f>
        <v>5</v>
      </c>
      <c r="TR40" s="7">
        <f>IFERROR(AVERAGEIF('Данные 2st'!$Q$2:$Q$317,$A40,'Данные 2st'!$QJ$2:$QJ$317),"")</f>
        <v>5</v>
      </c>
      <c r="TS40" s="7">
        <f>IFERROR(AVERAGEIF('Данные 2st'!$Q$2:$Q$317,$A40,'Данные 2st'!$QK$2:$QK$317),"")</f>
        <v>194.25</v>
      </c>
      <c r="TT40" s="7">
        <f>IFERROR(AVERAGEIF('Данные 2st'!$Q$2:$Q$317,$A40,'Данные 2st'!$QL$2:$QL$317),"")</f>
        <v>435</v>
      </c>
      <c r="TU40" s="7">
        <f>IFERROR(AVERAGEIF('Данные 2st'!$Q$2:$Q$317,$A40,'Данные 2st'!$QM$2:$QM$317),"")</f>
        <v>7.5</v>
      </c>
      <c r="TV40" s="7">
        <f>IFERROR(AVERAGEIF('Данные 2st'!$Q$2:$Q$317,$A40,'Данные 2st'!$QN$2:$QN$317),"")</f>
        <v>1463.1</v>
      </c>
      <c r="TW40" s="7">
        <f>IFERROR(AVERAGEIF('Данные 2st'!$Q$2:$Q$317,$A40,'Данные 2st'!$QQ$2:$QQ$317),"")</f>
        <v>0</v>
      </c>
      <c r="TX40" s="7">
        <f>IFERROR(AVERAGEIF('Данные 2st'!$Q$2:$Q$317,$A40,'Данные 2st'!$QS$2:$QS$317),"")</f>
        <v>30</v>
      </c>
      <c r="TY40" s="7">
        <f>IFERROR(AVERAGEIF('Данные 2st'!$Q$2:$Q$317,$A40,'Данные 2st'!$QT$2:$QT$317),"")</f>
        <v>40</v>
      </c>
    </row>
    <row r="41" spans="1:545" ht="32" customHeight="1">
      <c r="A41" s="11" t="s">
        <v>879</v>
      </c>
      <c r="B41">
        <f>COUNTIF('Данные 1st'!$S$2:$S$317,$A41)</f>
        <v>5</v>
      </c>
      <c r="C41" s="6" t="s">
        <v>5094</v>
      </c>
      <c r="D41" s="6" t="s">
        <v>513</v>
      </c>
      <c r="E41" s="6" t="s">
        <v>5125</v>
      </c>
      <c r="F41" s="6" t="s">
        <v>5162</v>
      </c>
      <c r="G41" s="7">
        <f>IFERROR(AVERAGEIF('Данные 1st'!$S$2:$S$317,$A41,'Данные 1st'!$AE$2:$AE$317),"")</f>
        <v>202.2</v>
      </c>
      <c r="H41" s="7">
        <f>IFERROR(AVERAGEIF('Данные 1st'!$S$2:$S$317,$A41,'Данные 1st'!$AF$2:$AF$317),"")</f>
        <v>1.5</v>
      </c>
      <c r="I41" s="7">
        <f>IFERROR(AVERAGEIF('Данные 1st'!$S$2:$S$317,$A41,'Данные 1st'!$AJ$2:$AJ$317),"")</f>
        <v>213</v>
      </c>
      <c r="J41" s="7">
        <f>IFERROR(AVERAGEIF('Данные 1st'!$S$2:$S$317,$A41,'Данные 1st'!$AL$2:$AL$317),"")</f>
        <v>1.5</v>
      </c>
      <c r="K41" s="7">
        <f>IFERROR(AVERAGEIF('Данные 1st'!$S$2:$S$317,$A41,'Данные 1st'!$AR$2:$AR$317),"")</f>
        <v>0</v>
      </c>
      <c r="L41" s="7">
        <f>IFERROR(AVERAGEIF('Данные 1st'!$S$2:$S$317,$A41,'Данные 1st'!$AS$2:$AS$317),"")</f>
        <v>1.5</v>
      </c>
      <c r="M41" s="7">
        <f>IFERROR(AVERAGEIF('Данные 1st'!$S$2:$S$317,$A41,'Данные 1st'!$AY$2:$AY$317),"")</f>
        <v>323.0</v>
      </c>
      <c r="N41" s="7">
        <f>IFERROR(AVERAGEIF('Данные 1st'!$S$2:$S$317,$A41,'Данные 1st'!$AZ$2:$AZ$317),"")</f>
        <v>1.5</v>
      </c>
      <c r="O41" s="7">
        <f>IFERROR(AVERAGEIF('Данные 1st'!$S$2:$S$317,$A41,'Данные 1st'!$BF$2:$BF$317),"")</f>
        <v>274.375</v>
      </c>
      <c r="P41" s="7">
        <f>IFERROR(AVERAGEIF('Данные 1st'!$S$2:$S$317,$A41,'Данные 1st'!$BG$2:$BG$317),"")</f>
        <v>1.5</v>
      </c>
      <c r="Q41" s="7">
        <f>IFERROR(AVERAGEIF('Данные 1st'!$S$2:$S$317,$A41,'Данные 1st'!$BM$2:$BM$317),"")</f>
        <v/>
      </c>
      <c r="R41" s="7">
        <f>IFERROR(AVERAGEIF('Данные 1st'!$S$2:$S$317,$A41,'Данные 1st'!$BN$2:$BN$317),"")</f>
        <v>1.5</v>
      </c>
      <c r="S41" s="7">
        <f>IFERROR(AVERAGEIF('Данные 1st'!$S$2:$S$317,$A41,'Данные 1st'!$BT$2:$BT$317),"")</f>
        <v>224.4</v>
      </c>
      <c r="T41" s="7">
        <f>IFERROR(AVERAGEIF('Данные 1st'!$S$2:$S$317,$A41,'Данные 1st'!$BU$2:$BU$317),"")</f>
        <v>0.5</v>
      </c>
      <c r="U41" s="7">
        <f>IFERROR(AVERAGEIF('Данные 1st'!$S$2:$S$317,$A41,'Данные 1st'!$BW$2:$BW$317),"")</f>
        <v>448.8</v>
      </c>
      <c r="V41" s="7">
        <f>IFERROR(AVERAGEIF('Данные 1st'!$S$2:$S$317,$A41,'Данные 1st'!$BX$2:$BX$317),"")</f>
        <v>1</v>
      </c>
      <c r="W41" s="7">
        <f>IFERROR(AVERAGEIF('Данные 1st'!$S$2:$S$317,$A41,'Данные 1st'!$BZ$2:$BZ$317),"")</f>
        <v>402</v>
      </c>
      <c r="X41" s="7">
        <f>IFERROR(AVERAGEIF('Данные 1st'!$S$2:$S$317,$A41,'Данные 1st'!$CA$2:$CA$317),"")</f>
        <v>558</v>
      </c>
      <c r="Y41" s="7">
        <f>IFERROR(AVERAGEIF('Данные 1st'!$S$2:$S$317,$A41,'Данные 1st'!$CD$2:$CD$317),"")</f>
        <v>466.2</v>
      </c>
      <c r="Z41" s="7">
        <f>IFERROR(AVERAGEIF('Данные 1st'!$S$2:$S$317,$A41,'Данные 1st'!$CF$2:$CF$317),"")</f>
        <v>15</v>
      </c>
      <c r="AA41" s="7">
        <f>IFERROR(AVERAGEIF('Данные 1st'!$S$2:$S$317,$A41,'Данные 1st'!$CI$2:$CI$317),"")</f>
        <v>78</v>
      </c>
      <c r="AB41" s="7">
        <f>IFERROR(AVERAGEIF('Данные 1st'!$S$2:$S$317,$A41,'Данные 1st'!$CJ$2:$CJ$317),"")</f>
        <v>1301</v>
      </c>
      <c r="AC41" s="7">
        <f>IFERROR(AVERAGEIF('Данные 1st'!$S$2:$S$317,$A41,'Данные 1st'!$CK$2:$CK$317),"")</f>
        <v>2</v>
      </c>
      <c r="AD41" s="7">
        <f>IFERROR(AVERAGEIF('Данные 1st'!$S$2:$S$317,$A41,'Данные 1st'!$CL$2:$CL$317),"")</f>
        <v>1395</v>
      </c>
      <c r="AE41" s="7">
        <f>IFERROR(AVERAGEIF('Данные 1st'!$S$2:$S$317,$A41,'Данные 1st'!$CM$2:$CM$317),"")</f>
        <v>2</v>
      </c>
      <c r="AF41" s="7">
        <f>IFERROR(AVERAGEIF('Данные 1st'!$S$2:$S$317,$A41,'Данные 1st'!$CT$2:$CT$317),"")</f>
        <v>426</v>
      </c>
      <c r="AG41" s="7">
        <f>IFERROR(AVERAGEIF('Данные 1st'!$S$2:$S$317,$A41,'Данные 1st'!$CU$2:$CU$317),"")</f>
        <v>5</v>
      </c>
      <c r="AH41" s="7">
        <f>IFERROR(AVERAGEIF('Данные 1st'!$S$2:$S$317,$A41,'Данные 1st'!$CV$2:$CV$317),"")</f>
        <v>1.2</v>
      </c>
      <c r="AI41" s="7">
        <f>IFERROR(AVERAGEIF('Данные 1st'!$S$2:$S$317,$A41,'Данные 1st'!$CW$2:$CW$317),"")</f>
        <v>1314</v>
      </c>
      <c r="AJ41" s="7">
        <f>IFERROR(AVERAGEIF('Данные 1st'!$S$2:$S$317,$A41,'Данные 1st'!$CX$2:$CX$317),"")</f>
        <v>792.8</v>
      </c>
      <c r="AK41" s="7">
        <f>IFERROR(AVERAGEIF('Данные 1st'!$S$2:$S$317,$A41,'Данные 1st'!$CZ$2:$CZ$317),"")</f>
        <v/>
      </c>
      <c r="AL41" s="7">
        <f>IFERROR(AVERAGEIF('Данные 1st'!$S$2:$S$317,$A41,'Данные 1st'!$DA$2:$DA$317),"")</f>
        <v/>
      </c>
      <c r="AM41" s="7">
        <f>IFERROR(AVERAGEIF('Данные 1st'!$S$2:$S$317,$A41,'Данные 1st'!$DB$2:$DB$317),"")</f>
        <v/>
      </c>
      <c r="AN41" s="7">
        <f>IFERROR(AVERAGEIF('Данные 1st'!$S$2:$S$317,$A41,'Данные 1st'!$DC$2:$DC$317),"")</f>
        <v/>
      </c>
      <c r="AO41" s="7">
        <f>IFERROR(AVERAGEIF('Данные 1st'!$S$2:$S$317,$A41,'Данные 1st'!$DD$2:$DD$317),"")</f>
        <v>0</v>
      </c>
      <c r="AP41" s="7">
        <f>IFERROR(AVERAGEIF('Данные 1st'!$S$2:$S$317,$A41,'Данные 1st'!$DF$2:$DF$317),"")</f>
        <v>646</v>
      </c>
      <c r="AQ41" s="7">
        <f>IFERROR(AVERAGEIF('Данные 1st'!$S$2:$S$317,$A41,'Данные 1st'!$DG$2:$DG$317),"")</f>
        <v>3</v>
      </c>
      <c r="AR41" s="7">
        <f>IFERROR(AVERAGEIF('Данные 1st'!$S$2:$S$317,$A41,'Данные 1st'!$DH$2:$DH$317),"")</f>
        <v>1.0</v>
      </c>
      <c r="AS41" s="7">
        <f>IFERROR(AVERAGEIF('Данные 1st'!$S$2:$S$317,$A41,'Данные 1st'!$DI$2:$DI$317),"")</f>
        <v>1311.4</v>
      </c>
      <c r="AT41" s="7">
        <f>IFERROR(AVERAGEIF('Данные 1st'!$S$2:$S$317,$A41,'Данные 1st'!$DJ$2:$DJ$317),"")</f>
        <v>1115</v>
      </c>
      <c r="AU41" s="7">
        <f>IFERROR(AVERAGEIF('Данные 1st'!$S$2:$S$317,$A41,'Данные 1st'!$DL$2:$DL$317),"")</f>
        <v>548.75</v>
      </c>
      <c r="AV41" s="7">
        <f>IFERROR(AVERAGEIF('Данные 1st'!$S$2:$S$317,$A41,'Данные 1st'!$DM$2:$DM$317),"")</f>
        <v>3</v>
      </c>
      <c r="AW41" s="7">
        <f>IFERROR(AVERAGEIF('Данные 1st'!$S$2:$S$317,$A41,'Данные 1st'!$DN$2:$DN$317),"")</f>
        <v>0.955</v>
      </c>
      <c r="AX41" s="7">
        <f>IFERROR(AVERAGEIF('Данные 1st'!$S$2:$S$317,$A41,'Данные 1st'!$DO$2:$DO$317),"")</f>
        <v>1318.25</v>
      </c>
      <c r="AY41" s="7">
        <f>IFERROR(AVERAGEIF('Данные 1st'!$S$2:$S$317,$A41,'Данные 1st'!$DP$2:$DP$317),"")</f>
        <v>878.75</v>
      </c>
      <c r="AZ41" s="7">
        <f>IFERROR(AVERAGEIF('Данные 1st'!$S$2:$S$317,$A41,'Данные 1st'!$DR$2:$DR$317),"")</f>
        <v/>
      </c>
      <c r="BA41" s="7">
        <f>IFERROR(AVERAGEIF('Данные 1st'!$S$2:$S$317,$A41,'Данные 1st'!$DS$2:$DS$317),"")</f>
        <v/>
      </c>
      <c r="BB41" s="7">
        <f>IFERROR(AVERAGEIF('Данные 1st'!$S$2:$S$317,$A41,'Данные 1st'!$DT$2:$DT$317),"")</f>
        <v/>
      </c>
      <c r="BC41" s="7">
        <f>IFERROR(AVERAGEIF('Данные 1st'!$S$2:$S$317,$A41,'Данные 1st'!$DU$2:$DU$317),"")</f>
        <v/>
      </c>
      <c r="BD41" s="7">
        <f>IFERROR(AVERAGEIF('Данные 1st'!$S$2:$S$317,$A41,'Данные 1st'!$DV$2:$DV$317),"")</f>
        <v/>
      </c>
      <c r="BE41" s="7">
        <f>IFERROR(AVERAGEIF('Данные 1st'!$S$2:$S$317,$A41,'Данные 1st'!$DX$2:$DX$317),"")</f>
        <v>7.5</v>
      </c>
      <c r="BF41" s="7">
        <f>IFERROR(AVERAGEIF('Данные 1st'!$S$2:$S$317,$A41,'Данные 1st'!$EA$2:$EA$317),"")</f>
        <v>1383.32</v>
      </c>
      <c r="BG41" s="7">
        <f>IFERROR(AVERAGEIF('Данные 1st'!$S$2:$S$317,$A41,'Данные 1st'!$EB$2:$EB$317),"")</f>
        <v>294</v>
      </c>
      <c r="BH41" s="7">
        <f>IFERROR(AVERAGEIF('Данные 1st'!$S$2:$S$317,$A41,'Данные 1st'!$ED$2:$ED$317),"")</f>
        <v>41</v>
      </c>
      <c r="BI41" s="7">
        <f>IFERROR(AVERAGEIF('Данные 1st'!$S$2:$S$317,$A41,'Данные 1st'!$EE$2:$EE$317),"")</f>
        <v>3</v>
      </c>
      <c r="BJ41" s="7">
        <f>IFERROR(AVERAGEIF('Данные 1st'!$S$2:$S$317,$A41,'Данные 1st'!$EG$2:$EG$317),"")</f>
        <v>1430</v>
      </c>
      <c r="BK41" s="7">
        <f>IFERROR(AVERAGEIF('Данные 1st'!$S$2:$S$317,$A41,'Данные 1st'!$EH$2:$EH$317),"")</f>
        <v>236</v>
      </c>
      <c r="BL41" s="7">
        <f>IFERROR(AVERAGEIF('Данные 1st'!$S$2:$S$317,$A41,'Данные 1st'!$EJ$2:$EJ$317),"")</f>
        <v>0</v>
      </c>
      <c r="BM41" s="7">
        <f>IFERROR(AVERAGEIF('Данные 1st'!$S$2:$S$317,$A41,'Данные 1st'!$EK$2:$EK$317),"")</f>
        <v>1</v>
      </c>
      <c r="BN41" s="7">
        <f>IFERROR(AVERAGEIF('Данные 1st'!$S$2:$S$317,$A41,'Данные 1st'!$EN$2:$EN$317),"")</f>
        <v>0</v>
      </c>
      <c r="BO41" s="7">
        <f>IFERROR(AVERAGEIF('Данные 1st'!$S$2:$S$317,$A41,'Данные 1st'!$EQ$2:$EQ$317),"")</f>
        <v>128</v>
      </c>
      <c r="BP41" s="7">
        <f>IFERROR(AVERAGEIF('Данные 1st'!$S$2:$S$317,$A41,'Данные 1st'!$ER$2:$ER$317),"")</f>
        <v>3</v>
      </c>
      <c r="BQ41" s="7">
        <f>IFERROR(AVERAGEIF('Данные 1st'!$S$2:$S$317,$A41,'Данные 1st'!$ES$2:$ES$317),"")</f>
        <v>5.88</v>
      </c>
      <c r="BR41" s="7">
        <f>IFERROR(AVERAGEIF('Данные 1st'!$S$2:$S$317,$A41,'Данные 1st'!$ET$2:$ET$317),"")</f>
        <v>1300.4</v>
      </c>
      <c r="BS41" s="7">
        <f>IFERROR(AVERAGEIF('Данные 1st'!$S$2:$S$317,$A41,'Данные 1st'!$EU$2:$EU$317),"")</f>
        <v>587.94</v>
      </c>
      <c r="BT41" s="7">
        <f>IFERROR(AVERAGEIF('Данные 1st'!$S$2:$S$317,$A41,'Данные 1st'!$EV$2:$EV$317),"")</f>
        <v>764.8</v>
      </c>
      <c r="BU41" s="7">
        <f>IFERROR(AVERAGEIF('Данные 1st'!$S$2:$S$317,$A41,'Данные 1st'!$EX$2:$EX$317),"")</f>
        <v>70</v>
      </c>
      <c r="BV41" s="7">
        <f>IFERROR(AVERAGEIF('Данные 1st'!$S$2:$S$317,$A41,'Данные 1st'!$EY$2:$EY$317),"")</f>
        <v>2</v>
      </c>
      <c r="BW41" s="7">
        <f>IFERROR(AVERAGEIF('Данные 1st'!$S$2:$S$317,$A41,'Данные 1st'!$EZ$2:$EZ$317),"")</f>
        <v>4.4799999999999995</v>
      </c>
      <c r="BX41" s="7">
        <f>IFERROR(AVERAGEIF('Данные 1st'!$S$2:$S$317,$A41,'Данные 1st'!$FA$2:$FA$317),"")</f>
        <v>1300.4</v>
      </c>
      <c r="BY41" s="7">
        <f>IFERROR(AVERAGEIF('Данные 1st'!$S$2:$S$317,$A41,'Данные 1st'!$FB$2:$FB$317),"")</f>
        <v>217.35999999999999</v>
      </c>
      <c r="BZ41" s="7">
        <f>IFERROR(AVERAGEIF('Данные 1st'!$S$2:$S$317,$A41,'Данные 1st'!$FC$2:$FC$317),"")</f>
        <v>282.4</v>
      </c>
      <c r="CA41" s="7">
        <f>IFERROR(AVERAGEIF('Данные 1st'!$S$2:$S$317,$A41,'Данные 1st'!$FE$2:$FE$317),"")</f>
        <v>0</v>
      </c>
      <c r="CB41" s="7">
        <f>IFERROR(AVERAGEIF('Данные 1st'!$S$2:$S$317,$A41,'Данные 1st'!$FF$2:$FF$317),"")</f>
        <v>2</v>
      </c>
      <c r="CC41" s="7">
        <f>IFERROR(AVERAGEIF('Данные 1st'!$S$2:$S$317,$A41,'Данные 1st'!$FI$2:$FI$317),"")</f>
        <v>0</v>
      </c>
      <c r="CD41" s="7">
        <f>IFERROR(AVERAGEIF('Данные 1st'!$S$2:$S$317,$A41,'Данные 1st'!$FL$2:$FL$317),"")</f>
        <v>0.4</v>
      </c>
      <c r="CE41" s="7">
        <f>IFERROR(AVERAGEIF('Данные 1st'!$S$2:$S$317,$A41,'Данные 1st'!$FM$2:$FM$317),"")</f>
        <v>113</v>
      </c>
      <c r="CF41" s="7">
        <f>IFERROR(AVERAGEIF('Данные 1st'!$S$2:$S$317,$A41,'Данные 1st'!$FN$2:$FN$317),"")</f>
        <v>120</v>
      </c>
      <c r="CG41" s="7">
        <f>IFERROR(AVERAGEIF('Данные 1st'!$S$2:$S$317,$A41,'Данные 1st'!$FO$2:$FO$317),"")</f>
        <v/>
      </c>
      <c r="CH41" s="7">
        <f>IFERROR(AVERAGEIF('Данные 1st'!$S$2:$S$317,$A41,'Данные 1st'!$FP$2:$FP$317),"")</f>
        <v/>
      </c>
      <c r="CI41" s="7">
        <f>IFERROR(AVERAGEIF('Данные 1st'!$S$2:$S$317,$A41,'Данные 1st'!$FS$2:$FS$317),"")</f>
        <v>0.4</v>
      </c>
      <c r="CJ41" s="7">
        <f>IFERROR(AVERAGEIF('Данные 1st'!$S$2:$S$317,$A41,'Данные 1st'!$FT$2:$FT$317),"")</f>
        <v>30</v>
      </c>
      <c r="CK41" s="7">
        <f>IFERROR(AVERAGEIF('Данные 1st'!$S$2:$S$317,$A41,'Данные 1st'!$FU$2:$FU$317),"")</f>
        <v>550</v>
      </c>
      <c r="CL41" s="7">
        <f>IFERROR(AVERAGEIF('Данные 1st'!$S$2:$S$317,$A41,'Данные 1st'!$FV$2:$FV$317),"")</f>
        <v/>
      </c>
      <c r="CM41" s="7">
        <f>IFERROR(AVERAGEIF('Данные 1st'!$S$2:$S$317,$A41,'Данные 1st'!$FW$2:$FW$317),"")</f>
        <v/>
      </c>
      <c r="CN41" s="7">
        <f>IFERROR(AVERAGEIF('Данные 1st'!$S$2:$S$317,$A41,'Данные 1st'!$FZ$2:$FZ$317),"")</f>
        <v/>
      </c>
      <c r="CO41" s="7">
        <f>IFERROR(AVERAGEIF('Данные 1st'!$S$2:$S$317,$A41,'Данные 1st'!$GA$2:$GA$317),"")</f>
        <v/>
      </c>
      <c r="CP41" s="7">
        <f>IFERROR(AVERAGEIF('Данные 1st'!$S$2:$S$317,$A41,'Данные 1st'!$GB$2:$GB$317),"")</f>
        <v/>
      </c>
      <c r="CQ41" s="7">
        <f>IFERROR(AVERAGEIF('Данные 1st'!$S$2:$S$317,$A41,'Данные 1st'!$GH$2:$GH$317),"")</f>
        <v/>
      </c>
      <c r="CR41" s="7">
        <f>IFERROR(AVERAGEIF('Данные 1st'!$S$2:$S$317,$A41,'Данные 1st'!$GI$2:$GI$317),"")</f>
        <v/>
      </c>
      <c r="CS41" s="7">
        <f>IFERROR(AVERAGEIF('Данные 1st'!$S$2:$S$317,$A41,'Данные 1st'!$GJ$2:$GJ$317),"")</f>
        <v/>
      </c>
      <c r="CT41" s="7">
        <f>IFERROR(AVERAGEIF('Данные 1st'!$S$2:$S$317,$A41,'Данные 1st'!$GS$2:$GS$317),"")</f>
        <v>0.4</v>
      </c>
      <c r="CU41" s="7">
        <f>IFERROR(AVERAGEIF('Данные 1st'!$S$2:$S$317,$A41,'Данные 1st'!$GT$2:$GT$317),"")</f>
        <v>72.5</v>
      </c>
      <c r="CV41" s="7">
        <f>IFERROR(AVERAGEIF('Данные 1st'!$S$2:$S$317,$A41,'Данные 1st'!$GU$2:$GU$317),"")</f>
        <v>300</v>
      </c>
      <c r="CW41" s="7">
        <f>IFERROR(AVERAGEIF('Данные 1st'!$S$2:$S$317,$A41,'Данные 1st'!$GV$2:$GV$317),"")</f>
        <v>30</v>
      </c>
      <c r="CX41" s="7">
        <f>IFERROR(AVERAGEIF('Данные 1st'!$S$2:$S$317,$A41,'Данные 1st'!$GW$2:$GW$317),"")</f>
        <v>280</v>
      </c>
      <c r="CY41" s="7">
        <f>IFERROR(AVERAGEIF('Данные 1st'!$S$2:$S$317,$A41,'Данные 1st'!$GZ$2:$GZ$317),"")</f>
        <v/>
      </c>
      <c r="CZ41" s="7">
        <f>IFERROR(AVERAGEIF('Данные 1st'!$S$2:$S$317,$A41,'Данные 1st'!$HA$2:$HA$317),"")</f>
        <v/>
      </c>
      <c r="DA41" s="7">
        <f>IFERROR(AVERAGEIF('Данные 1st'!$S$2:$S$317,$A41,'Данные 1st'!$HB$2:$HB$317),"")</f>
        <v/>
      </c>
      <c r="DB41" s="7">
        <f>IFERROR(AVERAGEIF('Данные 1st'!$S$2:$S$317,$A41,'Данные 1st'!$HC$2:$HC$317),"")</f>
        <v>0.1</v>
      </c>
      <c r="DC41" s="7">
        <f>IFERROR(AVERAGEIF('Данные 1st'!$S$2:$S$317,$A41,'Данные 1st'!$HD$2:$HD$317),"")</f>
        <v>3</v>
      </c>
      <c r="DD41" s="7">
        <f>IFERROR(AVERAGEIF('Данные 1st'!$S$2:$S$317,$A41,'Данные 1st'!$HE$2:$HE$317),"")</f>
        <v>3</v>
      </c>
      <c r="DE41" s="7">
        <f>IFERROR(AVERAGEIF('Данные 1st'!$S$2:$S$317,$A41,'Данные 1st'!$HF$2:$HF$317),"")</f>
        <v>3</v>
      </c>
      <c r="DF41" s="7">
        <f>IFERROR(AVERAGEIF('Данные 1st'!$S$2:$S$317,$A41,'Данные 1st'!$HG$2:$HG$317),"")</f>
        <v>3</v>
      </c>
      <c r="DG41" s="7">
        <f>IFERROR(AVERAGEIF('Данные 1st'!$S$2:$S$317,$A41,'Данные 1st'!$HH$2:$HH$317),"")</f>
        <v>3</v>
      </c>
      <c r="DH41" s="7">
        <f>IFERROR(AVERAGEIF('Данные 1st'!$S$2:$S$317,$A41,'Данные 1st'!$HI$2:$HI$317),"")</f>
        <v>183</v>
      </c>
      <c r="DI41" s="7">
        <f>IFERROR(AVERAGEIF('Данные 1st'!$S$2:$S$317,$A41,'Данные 1st'!$HJ$2:$HJ$317),"")</f>
        <v>3</v>
      </c>
      <c r="DJ41" s="7">
        <f>IFERROR(AVERAGEIF('Данные 1st'!$S$2:$S$317,$A41,'Данные 1st'!$HK$2:$HK$317),"")</f>
        <v>55</v>
      </c>
      <c r="DK41" s="7">
        <f>IFERROR(AVERAGEIF('Данные 1st'!$S$2:$S$317,$A41,'Данные 1st'!$HL$2:$HL$317),"")</f>
        <v>2</v>
      </c>
      <c r="DL41" s="7">
        <f>IFERROR(AVERAGEIF('Данные 1st'!$S$2:$S$317,$A41,'Данные 1st'!$HM$2:$HM$317),"")</f>
        <v>0</v>
      </c>
      <c r="DM41" s="7">
        <f>IFERROR(AVERAGEIF('Данные 1st'!$S$2:$S$317,$A41,'Данные 1st'!$HN$2:$HN$317),"")</f>
        <v>2</v>
      </c>
      <c r="DN41" s="7">
        <f>IFERROR(AVERAGEIF('Данные 1st'!$S$2:$S$317,$A41,'Данные 1st'!$HO$2:$HO$317),"")</f>
        <v>113</v>
      </c>
      <c r="DO41" s="7">
        <f>IFERROR(AVERAGEIF('Данные 1st'!$S$2:$S$317,$A41,'Данные 1st'!$HP$2:$HP$317),"")</f>
        <v>3</v>
      </c>
      <c r="DP41" s="7">
        <f>IFERROR(AVERAGEIF('Данные 1st'!$S$2:$S$317,$A41,'Данные 1st'!$HQ$2:$HQ$317),"")</f>
        <v>0</v>
      </c>
      <c r="DQ41" s="7">
        <f>IFERROR(AVERAGEIF('Данные 1st'!$S$2:$S$317,$A41,'Данные 1st'!$HR$2:$HR$317),"")</f>
        <v>2</v>
      </c>
      <c r="DR41" s="7">
        <f>IFERROR(AVERAGEIF('Данные 1st'!$S$2:$S$317,$A41,'Данные 1st'!$HS$2:$HS$317),"")</f>
        <v>5765.2</v>
      </c>
      <c r="DS41" s="7">
        <f>IFERROR(AVERAGEIF('Данные 1st'!$S$2:$S$317,$A41,'Данные 1st'!$HT$2:$HT$317),"")</f>
        <v>172</v>
      </c>
      <c r="DT41" s="7">
        <f>IFERROR(AVERAGEIF('Данные 1st'!$S$2:$S$317,$A41,'Данные 1st'!$HU$2:$HU$317),"")</f>
        <v>180</v>
      </c>
      <c r="DU41" s="7">
        <f>IFERROR(AVERAGEIF('Данные 1st'!$S$2:$S$317,$A41,'Данные 1st'!$HW$2:$HW$317),"")</f>
        <v>4</v>
      </c>
      <c r="DV41" s="7">
        <f>IFERROR(AVERAGEIF('Данные 1st'!$S$2:$S$317,$A41,'Данные 1st'!$HX$2:$HX$317),"")</f>
        <v>484.4</v>
      </c>
      <c r="DW41" s="7">
        <f>IFERROR(AVERAGEIF('Данные 1st'!$S$2:$S$317,$A41,'Данные 1st'!$HY$2:$HY$317),"")</f>
        <v>0.18</v>
      </c>
      <c r="DX41" s="7">
        <f>IFERROR(AVERAGEIF('Данные 1st'!$S$2:$S$317,$A41,'Данные 1st'!$IA$2:$IA$317),"")</f>
        <v>0.15</v>
      </c>
      <c r="DY41" s="7">
        <f>IFERROR(AVERAGEIF('Данные 1st'!$S$2:$S$317,$A41,'Данные 1st'!$IB$2:$IB$317),"")</f>
        <v>0</v>
      </c>
      <c r="DZ41" s="7">
        <f>IFERROR(AVERAGEIF('Данные 1st'!$S$2:$S$317,$A41,'Данные 1st'!$IC$2:$IC$317),"")</f>
        <v>180</v>
      </c>
      <c r="EA41" s="7">
        <f>IFERROR(AVERAGEIF('Данные 1st'!$S$2:$S$317,$A41,'Данные 1st'!$ID$2:$ID$317),"")</f>
        <v>145</v>
      </c>
      <c r="EB41" s="7">
        <f>IFERROR(AVERAGEIF('Данные 1st'!$S$2:$S$317,$A41,'Данные 1st'!$IE$2:$IE$317),"")</f>
        <v>180</v>
      </c>
      <c r="EC41" s="7">
        <f>IFERROR(AVERAGEIF('Данные 1st'!$S$2:$S$317,$A41,'Данные 1st'!$IF$2:$IF$317),"")</f>
        <v>0</v>
      </c>
      <c r="ED41" s="7">
        <f>IFERROR(AVERAGEIF('Данные 1st'!$S$2:$S$317,$A41,'Данные 1st'!$IP$2:$IP$317),"")</f>
        <v>17</v>
      </c>
      <c r="EE41" s="7">
        <f>IFERROR(AVERAGEIF('Данные 1st'!$S$2:$S$317,$A41,'Данные 1st'!$IV$2:$IV$317),"")</f>
        <v>1301</v>
      </c>
      <c r="EF41" s="7">
        <f>IFERROR(AVERAGEIF('Данные 1st'!$S$2:$S$317,$A41,'Данные 1st'!$IW$2:$IW$317),"")</f>
        <v>448.8</v>
      </c>
      <c r="EG41" s="7">
        <f>IFERROR(AVERAGEIF('Данные 1st'!$S$2:$S$317,$A41,'Данные 1st'!$IX$2:$IX$317),"")</f>
        <v/>
      </c>
      <c r="EH41" s="7">
        <f>IFERROR(AVERAGEIF('Данные 1st'!$S$2:$S$317,$A41,'Данные 1st'!$IY$2:$IY$317),"")</f>
        <v/>
      </c>
      <c r="EI41" s="7">
        <f>IFERROR(AVERAGEIF('Данные 1st'!$S$2:$S$317,$A41,'Данные 1st'!$JD$2:$JD$317),"")</f>
        <v>1314</v>
      </c>
      <c r="EJ41" s="7">
        <f>IFERROR(AVERAGEIF('Данные 1st'!$S$2:$S$317,$A41,'Данные 1st'!$JE$2:$JE$317),"")</f>
        <v>1311.4</v>
      </c>
      <c r="EK41" s="7">
        <f>IFERROR(AVERAGEIF('Данные 1st'!$S$2:$S$317,$A41,'Данные 1st'!$JF$2:$JF$317),"")</f>
        <v>1054.6</v>
      </c>
      <c r="EL41" s="7">
        <f>IFERROR(AVERAGEIF('Данные 1st'!$S$2:$S$317,$A41,'Данные 1st'!$JG$2:$JG$317),"")</f>
        <v>1300.4</v>
      </c>
      <c r="EM41" s="7">
        <f>IFERROR(AVERAGEIF('Данные 1st'!$S$2:$S$317,$A41,'Данные 1st'!$JH$2:$JH$317),"")</f>
        <v>0</v>
      </c>
      <c r="EN41" s="7">
        <f>IFERROR(AVERAGEIF('Данные 1st'!$S$2:$S$317,$A41,'Данные 1st'!$JJ$2:$JJ$317),"")</f>
        <v>180</v>
      </c>
      <c r="EO41" s="7">
        <f>IFERROR(AVERAGEIF('Данные 1st'!$S$2:$S$317,$A41,'Данные 1st'!$JK$2:$JK$317),"")</f>
        <v>484.4</v>
      </c>
      <c r="EP41" s="7">
        <f>IFERROR(AVERAGEIF('Данные 1st'!$S$2:$S$317,$A41,'Данные 1st'!$JL$2:$JL$317),"")</f>
        <v/>
      </c>
      <c r="EQ41" s="7">
        <f>IFERROR(AVERAGEIF('Данные 1st'!$S$2:$S$317,$A41,'Данные 1st'!$JM$2:$JM$317),"")</f>
        <v/>
      </c>
      <c r="ER41" s="7">
        <f>IFERROR(AVERAGEIF('Данные 1st'!$S$2:$S$317,$A41,'Данные 1st'!$JN$2:$JN$317),"")</f>
        <v>426</v>
      </c>
      <c r="ES41" s="7">
        <f>IFERROR(AVERAGEIF('Данные 1st'!$S$2:$S$317,$A41,'Данные 1st'!$JO$2:$JO$317),"")</f>
        <v>646</v>
      </c>
      <c r="ET41" s="7">
        <f>IFERROR(AVERAGEIF('Данные 1st'!$S$2:$S$317,$A41,'Данные 1st'!$JP$2:$JP$317),"")</f>
        <v>439</v>
      </c>
      <c r="EU41" s="7">
        <f>IFERROR(AVERAGEIF('Данные 1st'!$S$2:$S$317,$A41,'Данные 1st'!$JQ$2:$JQ$317),"")</f>
        <v>0</v>
      </c>
      <c r="EV41" s="7">
        <f>IFERROR(AVERAGEIF('Данные 1st'!$S$2:$S$317,$A41,'Данные 1st'!$JR$2:$JR$317),"")</f>
        <v>404.4</v>
      </c>
      <c r="EW41" s="7">
        <f>IFERROR(AVERAGEIF('Данные 1st'!$S$2:$S$317,$A41,'Данные 1st'!$JS$2:$JS$317),"")</f>
        <v>183</v>
      </c>
      <c r="EX41" s="7">
        <f>IFERROR(AVERAGEIF('Данные 1st'!$S$2:$S$317,$A41,'Данные 1st'!$JT$2:$JT$317),"")</f>
        <v/>
      </c>
      <c r="EY41" s="7">
        <f>IFERROR(AVERAGEIF('Данные 1st'!$S$2:$S$317,$A41,'Данные 1st'!$JU$2:$JU$317),"")</f>
        <v/>
      </c>
      <c r="EZ41" s="7">
        <f>IFERROR(AVERAGEIF('Данные 1st'!$S$2:$S$317,$A41,'Данные 1st'!$JV$2:$JV$317),"")</f>
        <v>8</v>
      </c>
      <c r="FA41" s="7">
        <f>IFERROR(AVERAGEIF('Данные 1st'!$S$2:$S$317,$A41,'Данные 1st'!$JW$2:$JW$317),"")</f>
        <v/>
      </c>
      <c r="FB41" s="7">
        <f>IFERROR(AVERAGEIF('Данные 1st'!$S$2:$S$317,$A41,'Данные 1st'!$JX$2:$JX$317),"")</f>
        <v>0</v>
      </c>
      <c r="FC41" s="7">
        <f>IFERROR(AVERAGEIF('Данные 1st'!$S$2:$S$317,$A41,'Данные 1st'!$JY$2:$JY$317),"")</f>
        <v/>
      </c>
      <c r="FD41" s="7">
        <f>IFERROR(AVERAGEIF('Данные 1st'!$S$2:$S$317,$A41,'Данные 1st'!$JZ$2:$JZ$317),"")</f>
        <v/>
      </c>
      <c r="FE41" s="7">
        <f>IFERROR(AVERAGEIF('Данные 1st'!$S$2:$S$317,$A41,'Данные 1st'!$KA$2:$KA$317),"")</f>
        <v>180</v>
      </c>
      <c r="FF41" s="7">
        <f>IFERROR(AVERAGEIF('Данные 1st'!$S$2:$S$317,$A41,'Данные 1st'!$KB$2:$KB$317),"")</f>
        <v>145</v>
      </c>
      <c r="FG41" s="7">
        <f>IFERROR(AVERAGEIF('Данные 1st'!$S$2:$S$317,$A41,'Данные 1st'!$KC$2:$KC$317),"")</f>
        <v>0</v>
      </c>
      <c r="FH41" s="7">
        <f>IFERROR(AVERAGEIF('Данные 1st'!$S$2:$S$317,$A41,'Данные 1st'!$KD$2:$KD$317),"")</f>
        <v>80</v>
      </c>
      <c r="FI41" s="7">
        <f>IFERROR(AVERAGEIF('Данные 1st'!$S$2:$S$317,$A41,'Данные 1st'!$KE$2:$KE$317),"")</f>
        <v/>
      </c>
      <c r="FJ41" s="7">
        <f>IFERROR(AVERAGEIF('Данные 1st'!$S$2:$S$317,$A41,'Данные 1st'!$KF$2:$KF$317),"")</f>
        <v>4</v>
      </c>
      <c r="FK41" s="7">
        <f>IFERROR(AVERAGEIF('Данные 1st'!$S$2:$S$317,$A41,'Данные 1st'!$KG$2:$KG$317),"")</f>
        <v>2.5</v>
      </c>
      <c r="FL41" s="7">
        <f>IFERROR(AVERAGEIF('Данные 1st'!$S$2:$S$317,$A41,'Данные 1st'!$KH$2:$KH$317),"")</f>
        <v>2</v>
      </c>
      <c r="FM41" s="7">
        <f>IFERROR(AVERAGEIF('Данные 1st'!$S$2:$S$317,$A41,'Данные 1st'!$KI$2:$KI$317),"")</f>
        <v>2</v>
      </c>
      <c r="FN41" s="7">
        <f>IFERROR(AVERAGEIF('Данные 1st'!$S$2:$S$317,$A41,'Данные 1st'!$KJ$2:$KJ$317),"")</f>
        <v>0</v>
      </c>
      <c r="FO41" s="7">
        <f>IFERROR(AVERAGEIF('Данные 1st'!$S$2:$S$317,$A41,'Данные 1st'!$KK$2:$KK$317),"")</f>
        <v>1.5</v>
      </c>
      <c r="FP41" s="7">
        <f>IFERROR(AVERAGEIF('Данные 1st'!$S$2:$S$317,$A41,'Данные 1st'!$KL$2:$KL$317),"")</f>
        <v>1.5</v>
      </c>
      <c r="FQ41" s="7">
        <f>IFERROR(AVERAGEIF('Данные 1st'!$S$2:$S$317,$A41,'Данные 1st'!$KM$2:$KM$317),"")</f>
        <v>0</v>
      </c>
      <c r="FR41" s="7">
        <f>IFERROR(AVERAGEIF('Данные 1st'!$S$2:$S$317,$A41,'Данные 1st'!$KN$2:$KN$317),"")</f>
        <v>0</v>
      </c>
      <c r="FS41" s="7">
        <f>IFERROR(AVERAGEIF('Данные 1st'!$S$2:$S$317,$A41,'Данные 1st'!$KR$2:$KR$317),"")</f>
        <v>37</v>
      </c>
      <c r="FT41" s="7">
        <f>IFERROR(AVERAGEIF('Данные 1st'!$S$2:$S$317,$A41,'Данные 1st'!$KS$2:$KS$317),"")</f>
        <v>60</v>
      </c>
      <c r="FU41" s="7">
        <f>IFERROR(AVERAGEIF('Данные 1st'!$S$2:$S$317,$A41,'Данные 1st'!$KT$2:$KT$317),"")</f>
        <v>0</v>
      </c>
      <c r="FV41" s="7">
        <f>IFERROR(AVERAGEIF('Данные 1st'!$S$2:$S$317,$A41,'Данные 1st'!$KV$2:$KV$317),"")</f>
        <v/>
      </c>
      <c r="FW41" s="7">
        <f>IFERROR(AVERAGEIF('Данные 1st'!$S$2:$S$317,$A41,'Данные 1st'!$KW$2:$KW$317),"")</f>
        <v/>
      </c>
      <c r="FX41" s="7">
        <f>IFERROR(AVERAGEIF('Данные 1st'!$S$2:$S$317,$A41,'Данные 1st'!$KX$2:$KX$317),"")</f>
        <v/>
      </c>
      <c r="FY41" s="7">
        <f>IFERROR(AVERAGEIF('Данные 1st'!$S$2:$S$317,$A41,'Данные 1st'!$KY$2:$KY$317),"")</f>
        <v/>
      </c>
      <c r="FZ41" s="7">
        <f>IFERROR(AVERAGEIF('Данные 1st'!$S$2:$S$317,$A41,'Данные 1st'!$KZ$2:$KZ$317),"")</f>
        <v/>
      </c>
      <c r="GA41" s="7">
        <f>IFERROR(AVERAGEIF('Данные 1st'!$S$2:$S$317,$A41,'Данные 1st'!$LA$2:$LA$317),"")</f>
        <v/>
      </c>
      <c r="GB41" s="7">
        <f>IFERROR(AVERAGEIF('Данные 1st'!$S$2:$S$317,$A41,'Данные 1st'!$LB$2:$LB$317),"")</f>
        <v/>
      </c>
      <c r="GC41" s="7">
        <f>IFERROR(AVERAGEIF('Данные 1st'!$S$2:$S$317,$A41,'Данные 1st'!$LC$2:$LC$317),"")</f>
        <v/>
      </c>
      <c r="GD41" s="7">
        <f>IFERROR(AVERAGEIF('Данные 1st'!$S$2:$S$317,$A41,'Данные 1st'!$LD$2:$LD$317),"")</f>
        <v/>
      </c>
      <c r="GE41" s="7">
        <f>IFERROR(AVERAGEIF('Данные 1st'!$S$2:$S$317,$A41,'Данные 1st'!$LE$2:$LE$317),"")</f>
        <v/>
      </c>
      <c r="GF41" s="7">
        <f>IFERROR(AVERAGEIF('Данные 1st'!$S$2:$S$317,$A41,'Данные 1st'!$LF$2:$LF$317),"")</f>
        <v/>
      </c>
      <c r="GG41" s="7">
        <f>IFERROR(AVERAGEIF('Данные 1st'!$S$2:$S$317,$A41,'Данные 1st'!$LG$2:$LG$317),"")</f>
        <v/>
      </c>
      <c r="GH41" s="7">
        <f>IFERROR(AVERAGEIF('Данные 1st'!$S$2:$S$317,$A41,'Данные 1st'!$LH$2:$LH$317),"")</f>
        <v/>
      </c>
      <c r="GI41" s="7">
        <f>IFERROR(AVERAGEIF('Данные 1st'!$S$2:$S$317,$A41,'Данные 1st'!$LI$2:$LI$317),"")</f>
        <v/>
      </c>
      <c r="GJ41" s="7">
        <f>IFERROR(AVERAGEIF('Данные 1st'!$S$2:$S$317,$A41,'Данные 1st'!$LJ$2:$LJ$317),"")</f>
        <v/>
      </c>
      <c r="GK41" s="7">
        <f>IFERROR(AVERAGEIF('Данные 1st'!$S$2:$S$317,$A41,'Данные 1st'!$LK$2:$LK$317),"")</f>
        <v>480</v>
      </c>
      <c r="GL41" s="7">
        <f>IFERROR(AVERAGEIF('Данные 1st'!$S$2:$S$317,$A41,'Данные 1st'!$LV$2:$LV$317),"")</f>
        <v/>
      </c>
      <c r="GM41" s="7">
        <f>IFERROR(AVERAGEIF('Данные 1st'!$S$2:$S$317,$A41,'Данные 1st'!$LW$2:$LW$317),"")</f>
        <v/>
      </c>
      <c r="GN41" s="7">
        <f>IFERROR(AVERAGEIF('Данные 1st'!$S$2:$S$317,$A41,'Данные 1st'!$LX$2:$LX$317),"")</f>
        <v/>
      </c>
      <c r="GO41" s="7">
        <f>IFERROR(AVERAGEIF('Данные 1st'!$S$2:$S$317,$A41,'Данные 1st'!$LY$2:$LY$317),"")</f>
        <v/>
      </c>
      <c r="GP41" s="7">
        <f>IFERROR(AVERAGEIF('Данные 1st'!$S$2:$S$317,$A41,'Данные 1st'!$LZ$2:$LZ$317),"")</f>
        <v/>
      </c>
      <c r="GQ41" s="7">
        <f>IFERROR(AVERAGEIF('Данные 1st'!$S$2:$S$317,$A41,'Данные 1st'!$PG$2:$PG$317),"")</f>
        <v>1</v>
      </c>
      <c r="GR41" s="7">
        <f>IFERROR(AVERAGEIF('Данные 1st'!$S$2:$S$317,$A41,'Данные 1st'!$PX$2:$PX$317),"")</f>
        <v>56</v>
      </c>
      <c r="GS41" s="7">
        <f>IFERROR(AVERAGEIF('Данные 1st'!$S$2:$S$317,$A41,'Данные 1st'!$PY$2:$PY$317),"")</f>
        <v>56.6</v>
      </c>
      <c r="GT41" s="7">
        <f>IFERROR(AVERAGEIF('Данные 1st'!$S$2:$S$317,$A41,'Данные 1st'!$QA$2:$QA$317),"")</f>
        <v>1.8</v>
      </c>
      <c r="GU41" s="7">
        <f>IFERROR(AVERAGEIF('Данные 1st'!$S$2:$S$317,$A41,'Данные 1st'!$QB$2:$QB$317),"")</f>
        <v>1300.4</v>
      </c>
      <c r="GV41" s="7">
        <f>IFERROR(AVERAGEIF('Данные 1st'!$S$2:$S$317,$A41,'Данные 1st'!$QC$2:$QC$317),"")</f>
        <v>69</v>
      </c>
      <c r="GW41" s="7">
        <f>IFERROR(AVERAGEIF('Данные 1st'!$S$2:$S$317,$A41,'Данные 1st'!$QD$2:$QD$317),"")</f>
        <v>69</v>
      </c>
      <c r="GX41" s="7">
        <f>IFERROR(AVERAGEIF('Данные 1st'!$S$2:$S$317,$A41,'Данные 1st'!$QF$2:$QF$317),"")</f>
        <v>1</v>
      </c>
      <c r="GY41" s="7">
        <f>IFERROR(AVERAGEIF('Данные 1st'!$S$2:$S$317,$A41,'Данные 1st'!$QG$2:$QG$317),"")</f>
        <v>1314</v>
      </c>
      <c r="GZ41" s="7">
        <f>IFERROR(AVERAGEIF('Данные 1st'!$S$2:$S$317,$A41,'Данные 1st'!$QH$2:$QH$317),"")</f>
        <v>66</v>
      </c>
      <c r="HA41" s="7">
        <f>IFERROR(AVERAGEIF('Данные 1st'!$S$2:$S$317,$A41,'Данные 1st'!$QI$2:$QI$317),"")</f>
        <v>66</v>
      </c>
      <c r="HB41" s="7">
        <f>IFERROR(AVERAGEIF('Данные 1st'!$S$2:$S$317,$A41,'Данные 1st'!$QK$2:$QK$317),"")</f>
        <v/>
      </c>
      <c r="HC41" s="7">
        <f>IFERROR(AVERAGEIF('Данные 1st'!$S$2:$S$317,$A41,'Данные 1st'!$QL$2:$QL$317),"")</f>
        <v>0</v>
      </c>
      <c r="HD41" s="7">
        <f>IFERROR(AVERAGEIF('Данные 1st'!$S$2:$S$317,$A41,'Данные 1st'!$QM$2:$QM$317),"")</f>
        <v>62</v>
      </c>
      <c r="HE41" s="7">
        <f>IFERROR(AVERAGEIF('Данные 1st'!$S$2:$S$317,$A41,'Данные 1st'!$QN$2:$QN$317),"")</f>
        <v>62</v>
      </c>
      <c r="HF41" s="7">
        <f>IFERROR(AVERAGEIF('Данные 1st'!$S$2:$S$317,$A41,'Данные 1st'!$QP$2:$QP$317),"")</f>
        <v>1</v>
      </c>
      <c r="HG41" s="7">
        <f>IFERROR(AVERAGEIF('Данные 1st'!$S$2:$S$317,$A41,'Данные 1st'!$QQ$2:$QQ$317),"")</f>
        <v>1311.4</v>
      </c>
      <c r="HH41" s="7">
        <f>IFERROR(AVERAGEIF('Данные 1st'!$S$2:$S$317,$A41,'Данные 1st'!$QR$2:$QR$317),"")</f>
        <v>62</v>
      </c>
      <c r="HI41" s="7">
        <f>IFERROR(AVERAGEIF('Данные 1st'!$S$2:$S$317,$A41,'Данные 1st'!$QS$2:$QS$317),"")</f>
        <v>62</v>
      </c>
      <c r="HJ41" s="7">
        <f>IFERROR(AVERAGEIF('Данные 1st'!$S$2:$S$317,$A41,'Данные 1st'!$QU$2:$QU$317),"")</f>
        <v>1</v>
      </c>
      <c r="HK41" s="7">
        <f>IFERROR(AVERAGEIF('Данные 1st'!$S$2:$S$317,$A41,'Данные 1st'!$QV$2:$QV$317),"")</f>
        <v>1318.25</v>
      </c>
      <c r="HL41" s="7">
        <f>IFERROR(AVERAGEIF('Данные 1st'!$S$2:$S$317,$A41,'Данные 1st'!$QW$2:$QW$317),"")</f>
        <v>82</v>
      </c>
      <c r="HM41" s="7">
        <f>IFERROR(AVERAGEIF('Данные 1st'!$S$2:$S$317,$A41,'Данные 1st'!$QX$2:$QX$317),"")</f>
        <v>88.8</v>
      </c>
      <c r="HN41" s="7">
        <f>IFERROR(AVERAGEIF('Данные 1st'!$S$2:$S$317,$A41,'Данные 1st'!$QZ$2:$QZ$317),"")</f>
        <v>1.6</v>
      </c>
      <c r="HO41" s="7">
        <f>IFERROR(AVERAGEIF('Данные 1st'!$S$2:$S$317,$A41,'Данные 1st'!$RA$2:$RA$317),"")</f>
        <v>66</v>
      </c>
      <c r="HP41" s="7">
        <f>IFERROR(AVERAGEIF('Данные 1st'!$S$2:$S$317,$A41,'Данные 1st'!$RB$2:$RB$317),"")</f>
        <v>66</v>
      </c>
      <c r="HQ41" s="7">
        <f>IFERROR(AVERAGEIF('Данные 1st'!$S$2:$S$317,$A41,'Данные 1st'!$RD$2:$RD$317),"")</f>
        <v/>
      </c>
      <c r="HR41" s="7">
        <f>IFERROR(AVERAGEIF('Данные 1st'!$S$2:$S$317,$A41,'Данные 1st'!$RE$2:$RE$317),"")</f>
        <v>0</v>
      </c>
      <c r="HS41" s="7">
        <f>IFERROR(AVERAGEIF('Данные 1st'!$S$2:$S$317,$A41,'Данные 1st'!$RF$2:$RF$317),"")</f>
        <v>1</v>
      </c>
      <c r="HT41" s="7">
        <f>IFERROR(AVERAGEIF('Данные 1st'!$S$2:$S$317,$A41,'Данные 1st'!$RG$2:$RG$317),"")</f>
        <v/>
      </c>
      <c r="HU41" s="7">
        <f>IFERROR(AVERAGEIF('Данные 1st'!$S$2:$S$317,$A41,'Данные 1st'!$RH$2:$RH$317),"")</f>
        <v>1</v>
      </c>
      <c r="HV41" s="7">
        <f>IFERROR(AVERAGEIF('Данные 1st'!$S$2:$S$317,$A41,'Данные 1st'!$RI$2:$RI$317),"")</f>
        <v/>
      </c>
      <c r="HW41" s="7">
        <f>IFERROR(AVERAGEIF('Данные 1st'!$S$2:$S$317,$A41,'Данные 1st'!$RJ$2:$RJ$317),"")</f>
        <v>1.4</v>
      </c>
      <c r="HX41" s="7">
        <f>IFERROR(AVERAGEIF('Данные 1st'!$S$2:$S$317,$A41,'Данные 1st'!$RK$2:$RK$317),"")</f>
        <v/>
      </c>
      <c r="HY41" s="7">
        <f>IFERROR(AVERAGEIF('Данные 1st'!$S$2:$S$317,$A41,'Данные 1st'!$RL$2:$RL$317),"")</f>
        <v>3.2</v>
      </c>
      <c r="HZ41" s="7">
        <f>IFERROR(AVERAGEIF('Данные 1st'!$S$2:$S$317,$A41,'Данные 1st'!$RM$2:$RM$317),"")</f>
        <v>3.5</v>
      </c>
      <c r="IA41" s="7">
        <f>IFERROR(AVERAGEIF('Данные 1st'!$S$2:$S$317,$A41,'Данные 1st'!$RN$2:$RN$317),"")</f>
        <v/>
      </c>
      <c r="IB41" s="7">
        <f>IFERROR(AVERAGEIF('Данные 1st'!$S$2:$S$317,$A41,'Данные 1st'!$RO$2:$RO$317),"")</f>
        <v>603.4</v>
      </c>
      <c r="IC41" s="7">
        <f>IFERROR(AVERAGEIF('Данные 1st'!$S$2:$S$317,$A41,'Данные 1st'!$RP$2:$RP$317),"")</f>
        <v/>
      </c>
      <c r="ID41" s="7">
        <f>IFERROR(AVERAGEIF('Данные 1st'!$S$2:$S$317,$A41,'Данные 1st'!$RQ$2:$RQ$317),"")</f>
        <v>850.2</v>
      </c>
      <c r="IE41" s="7">
        <f>IFERROR(AVERAGEIF('Данные 1st'!$S$2:$S$317,$A41,'Данные 1st'!$RR$2:$RR$317),"")</f>
        <v>666.25</v>
      </c>
      <c r="IF41" s="7">
        <f>IFERROR(AVERAGEIF('Данные 1st'!$S$2:$S$317,$A41,'Данные 1st'!$RS$2:$RS$317),"")</f>
        <v/>
      </c>
      <c r="IG41" s="7">
        <f>IFERROR(AVERAGEIF('Данные 1st'!$S$2:$S$317,$A41,'Данные 1st'!$RT$2:$RT$317),"")</f>
        <v>294</v>
      </c>
      <c r="IH41" s="7">
        <f>IFERROR(AVERAGEIF('Данные 1st'!$S$2:$S$317,$A41,'Данные 1st'!$RU$2:$RU$317),"")</f>
        <v>236</v>
      </c>
      <c r="II41" s="7">
        <f>IFERROR(AVERAGEIF('Данные 1st'!$S$2:$S$317,$A41,'Данные 1st'!$RX$2:$RX$317),"")</f>
        <v>15</v>
      </c>
      <c r="IJ41" s="7">
        <f>IFERROR(AVERAGEIF('Данные 1st'!$S$2:$S$317,$A41,'Данные 1st'!$RY$2:$RY$317),"")</f>
        <v>4</v>
      </c>
      <c r="IK41" s="7">
        <f>IFERROR(AVERAGEIF('Данные 1st'!$S$2:$S$317,$A41,'Данные 1st'!$SA$2:$SA$317),"")</f>
        <v>15</v>
      </c>
      <c r="IL41" s="7">
        <f>IFERROR(AVERAGEIF('Данные 1st'!$S$2:$S$317,$A41,'Данные 1st'!$SD$2:$SD$317),"")</f>
        <v>1</v>
      </c>
      <c r="IM41" s="7">
        <f>IFERROR(AVERAGEIF('Данные 1st'!$S$2:$S$317,$A41,'Данные 1st'!$SG$2:$SG$317),"")</f>
        <v>1</v>
      </c>
      <c r="IN41" s="7">
        <f>IFERROR(AVERAGEIF('Данные 1st'!$S$2:$S$317,$A41,'Данные 1st'!$SH$2:$SH$317),"")</f>
        <v>0.995</v>
      </c>
      <c r="IO41" s="7">
        <f>IFERROR(AVERAGEIF('Данные 1st'!$S$2:$S$317,$A41,'Данные 1st'!$SI$2:$SI$317),"")</f>
        <v>0.995</v>
      </c>
      <c r="IP41" s="7">
        <f>IFERROR(AVERAGEIF('Данные 1st'!$S$2:$S$317,$A41,'Данные 1st'!$SJ$2:$SJ$317),"")</f>
        <v>0.995</v>
      </c>
      <c r="IQ41" s="7">
        <f>IFERROR(AVERAGEIF('Данные 1st'!$S$2:$S$317,$A41,'Данные 1st'!$SK$2:$SK$317),"")</f>
        <v>15</v>
      </c>
      <c r="IR41" s="7">
        <f>IFERROR(AVERAGEIF('Данные 1st'!$S$2:$S$317,$A41,'Данные 1st'!$SL$2:$SL$317),"")</f>
        <v>0</v>
      </c>
      <c r="IS41" s="7">
        <f>IFERROR(AVERAGEIF('Данные 1st'!$S$2:$S$317,$A41,'Данные 1st'!$SM$2:$SM$317),"")</f>
        <v>0</v>
      </c>
      <c r="IT41" s="7">
        <f>IFERROR(AVERAGEIF('Данные 1st'!$S$2:$S$317,$A41,'Данные 1st'!$SN$2:$SN$317),"")</f>
        <v>0</v>
      </c>
      <c r="IU41" s="7">
        <f>IFERROR(AVERAGEIF('Данные 1st'!$S$2:$S$317,$A41,'Данные 1st'!$SO$2:$SO$317),"")</f>
        <v>0</v>
      </c>
      <c r="IV41" s="7">
        <f>IFERROR(AVERAGEIF('Данные 1st'!$S$2:$S$317,$A41,'Данные 1st'!$SP$2:$SP$317),"")</f>
        <v>0</v>
      </c>
      <c r="IW41" s="7">
        <f>IFERROR(AVERAGEIF('Данные 1st'!$S$2:$S$317,$A41,'Данные 1st'!$SQ$2:$SQ$317),"")</f>
        <v>0</v>
      </c>
      <c r="IX41" s="7">
        <f>IFERROR(AVERAGEIF('Данные 1st'!$S$2:$S$317,$A41,'Данные 1st'!$SR$2:$SR$317),"")</f>
        <v>0</v>
      </c>
      <c r="IY41" s="7">
        <f>IFERROR(AVERAGEIF('Данные 1st'!$S$2:$S$317,$A41,'Данные 1st'!$SS$2:$SS$317),"")</f>
        <v>0</v>
      </c>
      <c r="IZ41" s="7">
        <f>IFERROR(AVERAGEIF('Данные 1st'!$S$2:$S$317,$A41,'Данные 1st'!$ST$2:$ST$317),"")</f>
        <v>0</v>
      </c>
      <c r="JA41" s="7">
        <f>IFERROR(AVERAGEIF('Данные 1st'!$S$2:$S$317,$A41,'Данные 1st'!$SU$2:$SU$317),"")</f>
        <v>0</v>
      </c>
      <c r="JB41" s="7">
        <f>IFERROR(AVERAGEIF('Данные 1st'!$S$2:$S$317,$A41,'Данные 1st'!$SV$2:$SV$317),"")</f>
        <v>0</v>
      </c>
      <c r="JC41" s="7">
        <f>IFERROR(AVERAGEIF('Данные 1st'!$S$2:$S$317,$A41,'Данные 1st'!$SW$2:$SW$317),"")</f>
        <v>0</v>
      </c>
      <c r="JD41" s="7">
        <f>IFERROR(AVERAGEIF('Данные 1st'!$S$2:$S$317,$A41,'Данные 1st'!$SX$2:$SX$317),"")</f>
        <v>0</v>
      </c>
      <c r="JE41" s="7">
        <f>IFERROR(AVERAGEIF('Данные 1st'!$S$2:$S$317,$A41,'Данные 1st'!$SY$2:$SY$317),"")</f>
        <v/>
      </c>
      <c r="JF41" s="7">
        <f>IFERROR(AVERAGEIF('Данные 1st'!$S$2:$S$317,$A41,'Данные 1st'!$SZ$2:$SZ$317),"")</f>
        <v>1</v>
      </c>
      <c r="JG41" s="7">
        <f>IFERROR(AVERAGEIF('Данные 1st'!$S$2:$S$317,$A41,'Данные 1st'!$TA$2:$TA$317),"")</f>
        <v/>
      </c>
      <c r="JH41" s="7">
        <f>IFERROR(AVERAGEIF('Данные 1st'!$S$2:$S$317,$A41,'Данные 1st'!$TB$2:$TB$317),"")</f>
        <v>0.2</v>
      </c>
      <c r="JI41" s="7">
        <f>IFERROR(AVERAGEIF('Данные 1st'!$S$2:$S$317,$A41,'Данные 1st'!$TC$2:$TC$317),"")</f>
        <v>0</v>
      </c>
      <c r="JJ41" s="7">
        <f>IFERROR(AVERAGEIF('Данные 1st'!$S$2:$S$317,$A41,'Данные 1st'!$TD$2:$TD$317),"")</f>
        <v>7.5</v>
      </c>
      <c r="JK41" s="7">
        <f>IFERROR(AVERAGEIF('Данные 1st'!$S$2:$S$317,$A41,'Данные 1st'!$TN$2:$TN$317),"")</f>
        <v>0</v>
      </c>
      <c r="JL41">
        <f>COUNTIF('Данные 2st'!$Q$2:$Q$317,$A41)</f>
        <v>5</v>
      </c>
      <c r="JM41" s="6" t="s">
        <v>5094</v>
      </c>
      <c r="JN41" s="6" t="s">
        <v>513</v>
      </c>
      <c r="JO41" s="6" t="s">
        <v>5125</v>
      </c>
      <c r="JP41" s="6" t="s">
        <v>5497</v>
      </c>
      <c r="JQ41" s="7">
        <f>IFERROR(AVERAGEIF('Данные 2st'!$Q$2:$Q$317,$A41,'Данные 2st'!$AC$2:$AC$317),"")</f>
        <v>11.8</v>
      </c>
      <c r="JR41" s="7">
        <f>IFERROR(AVERAGEIF('Данные 2st'!$Q$2:$Q$317,$A41,'Данные 2st'!$AF$2:$AF$317),"")</f>
        <v>5765.2</v>
      </c>
      <c r="JS41" s="7">
        <f>IFERROR(AVERAGEIF('Данные 2st'!$Q$2:$Q$317,$A41,'Данные 2st'!$AW$2:$AW$317),"")</f>
        <v>6.4</v>
      </c>
      <c r="JT41" s="7">
        <f>IFERROR(AVERAGEIF('Данные 2st'!$Q$2:$Q$317,$A41,'Данные 2st'!$AX$2:$AX$317),"")</f>
        <v>-6</v>
      </c>
      <c r="JU41" s="7">
        <f>IFERROR(AVERAGEIF('Данные 2st'!$Q$2:$Q$317,$A41,'Данные 2st'!$AY$2:$AY$317),"")</f>
        <v>95.5</v>
      </c>
      <c r="JV41" s="7">
        <f>IFERROR(AVERAGEIF('Данные 2st'!$Q$2:$Q$317,$A41,'Данные 2st'!$AZ$2:$AZ$317),"")</f>
        <v>71.4</v>
      </c>
      <c r="JW41" s="7">
        <f>IFERROR(AVERAGEIF('Данные 2st'!$Q$2:$Q$317,$A41,'Данные 2st'!$BA$2:$BA$317),"")</f>
        <v/>
      </c>
      <c r="JX41" s="7">
        <f>IFERROR(AVERAGEIF('Данные 2st'!$Q$2:$Q$317,$A41,'Данные 2st'!$BB$2:$BB$317),"")</f>
        <v/>
      </c>
      <c r="JY41" s="7">
        <f>IFERROR(AVERAGEIF('Данные 2st'!$Q$2:$Q$317,$A41,'Данные 2st'!$BC$2:$BC$317),"")</f>
        <v/>
      </c>
      <c r="JZ41" s="7">
        <f>IFERROR(AVERAGEIF('Данные 2st'!$Q$2:$Q$317,$A41,'Данные 2st'!$BH$2:$BH$317),"")</f>
        <v>95.5</v>
      </c>
      <c r="KA41" s="7">
        <f>IFERROR(AVERAGEIF('Данные 2st'!$Q$2:$Q$317,$A41,'Данные 2st'!$BI$2:$BI$317),"")</f>
        <v>24.1</v>
      </c>
      <c r="KB41" s="7">
        <f>IFERROR(AVERAGEIF('Данные 2st'!$Q$2:$Q$317,$A41,'Данные 2st'!$BJ$2:$BJ$317),"")</f>
        <v>71.4</v>
      </c>
      <c r="KC41" s="7">
        <f>IFERROR(AVERAGEIF('Данные 2st'!$Q$2:$Q$317,$A41,'Данные 2st'!$BK$2:$BK$317),"")</f>
        <v>3.0</v>
      </c>
      <c r="KD41" s="7">
        <f>IFERROR(AVERAGEIF('Данные 2st'!$Q$2:$Q$317,$A41,'Данные 2st'!$BL$2:$BL$317),"")</f>
        <v>191</v>
      </c>
      <c r="KE41" s="7">
        <f>IFERROR(AVERAGEIF('Данные 2st'!$Q$2:$Q$317,$A41,'Данные 2st'!$BM$2:$BM$317),"")</f>
        <v>-6</v>
      </c>
      <c r="KF41" s="7">
        <f>IFERROR(AVERAGEIF('Данные 2st'!$Q$2:$Q$317,$A41,'Данные 2st'!$BN$2:$BN$317),"")</f>
        <v>0</v>
      </c>
      <c r="KG41" s="7">
        <f>IFERROR(AVERAGEIF('Данные 2st'!$Q$2:$Q$317,$A41,'Данные 2st'!$BO$2:$BO$317),"")</f>
        <v>0</v>
      </c>
      <c r="KH41" s="7">
        <f>IFERROR(AVERAGEIF('Данные 2st'!$Q$2:$Q$317,$A41,'Данные 2st'!$BP$2:$BP$317),"")</f>
        <v>0</v>
      </c>
      <c r="KI41" s="7">
        <f>IFERROR(AVERAGEIF('Данные 2st'!$Q$2:$Q$317,$A41,'Данные 2st'!$BR$2:$BR$317),"")</f>
        <v>185</v>
      </c>
      <c r="KJ41" s="7">
        <f>IFERROR(AVERAGEIF('Данные 2st'!$Q$2:$Q$317,$A41,'Данные 2st'!$BS$2:$BS$317),"")</f>
        <v>175</v>
      </c>
      <c r="KK41" s="7">
        <f>IFERROR(AVERAGEIF('Данные 2st'!$Q$2:$Q$317,$A41,'Данные 2st'!$BT$2:$BT$317),"")</f>
        <v>2124</v>
      </c>
      <c r="KL41" s="7">
        <f>IFERROR(AVERAGEIF('Данные 2st'!$Q$2:$Q$317,$A41,'Данные 2st'!$CV$2:$CV$317),"")</f>
        <v>121.4</v>
      </c>
      <c r="KM41" s="7">
        <f>IFERROR(AVERAGEIF('Данные 2st'!$Q$2:$Q$317,$A41,'Данные 2st'!$CW$2:$CW$317),"")</f>
        <v>3</v>
      </c>
      <c r="KN41" s="7">
        <f>IFERROR(AVERAGEIF('Данные 2st'!$Q$2:$Q$317,$A41,'Данные 2st'!$CX$2:$CX$317),"")</f>
        <v>76.6</v>
      </c>
      <c r="KO41" s="7">
        <f>IFERROR(AVERAGEIF('Данные 2st'!$Q$2:$Q$317,$A41,'Данные 2st'!$CY$2:$CY$317),"")</f>
        <v>5</v>
      </c>
      <c r="KP41" s="7">
        <f>IFERROR(AVERAGEIF('Данные 2st'!$Q$2:$Q$317,$A41,'Данные 2st'!$CZ$2:$CZ$317),"")</f>
        <v>130.8</v>
      </c>
      <c r="KQ41" s="7">
        <f>IFERROR(AVERAGEIF('Данные 2st'!$Q$2:$Q$317,$A41,'Данные 2st'!$DA$2:$DA$317),"")</f>
        <v>5</v>
      </c>
      <c r="KR41" s="7">
        <f>IFERROR(AVERAGEIF('Данные 2st'!$Q$2:$Q$317,$A41,'Данные 2st'!$DB$2:$DB$317),"")</f>
        <v>12410</v>
      </c>
      <c r="KS41" s="7">
        <f>IFERROR(AVERAGEIF('Данные 2st'!$Q$2:$Q$317,$A41,'Данные 2st'!$DC$2:$DC$317),"")</f>
        <v>368</v>
      </c>
      <c r="KT41" s="7">
        <f>IFERROR(AVERAGEIF('Данные 2st'!$Q$2:$Q$317,$A41,'Данные 2st'!$DD$2:$DD$317),"")</f>
        <v>332</v>
      </c>
      <c r="KU41" s="7">
        <f>IFERROR(AVERAGEIF('Данные 2st'!$Q$2:$Q$317,$A41,'Данные 2st'!$DE$2:$DE$317),"")</f>
        <v>2238.8</v>
      </c>
      <c r="KV41" s="7">
        <f>IFERROR(AVERAGEIF('Данные 2st'!$Q$2:$Q$317,$A41,'Данные 2st'!$DF$2:$DF$317),"")</f>
        <v>2236.4</v>
      </c>
      <c r="KW41" s="7">
        <f>IFERROR(AVERAGEIF('Данные 2st'!$Q$2:$Q$317,$A41,'Данные 2st'!$DG$2:$DG$317),"")</f>
        <v>2250</v>
      </c>
      <c r="KX41" s="7">
        <f>IFERROR(AVERAGEIF('Данные 2st'!$Q$2:$Q$317,$A41,'Данные 2st'!$DH$2:$DH$317),"")</f>
        <v/>
      </c>
      <c r="KY41" s="7">
        <f>IFERROR(AVERAGEIF('Данные 2st'!$Q$2:$Q$317,$A41,'Данные 2st'!$DI$2:$DI$317),"")</f>
        <v/>
      </c>
      <c r="KZ41" s="7">
        <f>IFERROR(AVERAGEIF('Данные 2st'!$Q$2:$Q$317,$A41,'Данные 2st'!$DK$2:$DK$317),"")</f>
        <v>185</v>
      </c>
      <c r="LA41" s="7">
        <f>IFERROR(AVERAGEIF('Данные 2st'!$Q$2:$Q$317,$A41,'Данные 2st'!$DM$2:$DM$317),"")</f>
        <v>65</v>
      </c>
      <c r="LB41" s="7">
        <f>IFERROR(AVERAGEIF('Данные 2st'!$Q$2:$Q$317,$A41,'Данные 2st'!$DN$2:$DN$317),"")</f>
        <v>1.196</v>
      </c>
      <c r="LC41" s="7">
        <f>IFERROR(AVERAGEIF('Данные 2st'!$Q$2:$Q$317,$A41,'Данные 2st'!$DO$2:$DO$317),"")</f>
        <v>1</v>
      </c>
      <c r="LD41" s="7">
        <f>IFERROR(AVERAGEIF('Данные 2st'!$Q$2:$Q$317,$A41,'Данные 2st'!$DP$2:$DP$317),"")</f>
        <v>2127.6</v>
      </c>
      <c r="LE41" s="7">
        <f>IFERROR(AVERAGEIF('Данные 2st'!$Q$2:$Q$317,$A41,'Данные 2st'!$DQ$2:$DQ$317),"")</f>
        <v>910.8</v>
      </c>
      <c r="LF41" s="7">
        <f>IFERROR(AVERAGEIF('Данные 2st'!$Q$2:$Q$317,$A41,'Данные 2st'!$DS$2:$DS$317),"")</f>
        <v>175</v>
      </c>
      <c r="LG41" s="7">
        <f>IFERROR(AVERAGEIF('Данные 2st'!$Q$2:$Q$317,$A41,'Данные 2st'!$DU$2:$DU$317),"")</f>
        <v>65</v>
      </c>
      <c r="LH41" s="7">
        <f>IFERROR(AVERAGEIF('Данные 2st'!$Q$2:$Q$317,$A41,'Данные 2st'!$DV$2:$DV$317),"")</f>
        <v>1.196</v>
      </c>
      <c r="LI41" s="7">
        <f>IFERROR(AVERAGEIF('Данные 2st'!$Q$2:$Q$317,$A41,'Данные 2st'!$DW$2:$DW$317),"")</f>
        <v>1</v>
      </c>
      <c r="LJ41" s="7">
        <f>IFERROR(AVERAGEIF('Данные 2st'!$Q$2:$Q$317,$A41,'Данные 2st'!$DX$2:$DX$317),"")</f>
        <v>2140.2</v>
      </c>
      <c r="LK41" s="7">
        <f>IFERROR(AVERAGEIF('Данные 2st'!$Q$2:$Q$317,$A41,'Данные 2st'!$DY$2:$DY$317),"")</f>
        <v>866.4</v>
      </c>
      <c r="LL41" s="7">
        <f>IFERROR(AVERAGEIF('Данные 2st'!$Q$2:$Q$317,$A41,'Данные 2st'!$EA$2:$EA$317),"")</f>
        <v>20</v>
      </c>
      <c r="LM41" s="7">
        <f>IFERROR(AVERAGEIF('Данные 2st'!$Q$2:$Q$317,$A41,'Данные 2st'!$EC$2:$EC$317),"")</f>
        <v>0.8</v>
      </c>
      <c r="LN41" s="7">
        <f>IFERROR(AVERAGEIF('Данные 2st'!$Q$2:$Q$317,$A41,'Данные 2st'!$ED$2:$ED$317),"")</f>
        <v>2127.6</v>
      </c>
      <c r="LO41" s="7">
        <f>IFERROR(AVERAGEIF('Данные 2st'!$Q$2:$Q$317,$A41,'Данные 2st'!$EE$2:$EE$317),"")</f>
        <v>74.6</v>
      </c>
      <c r="LP41" s="7">
        <f>IFERROR(AVERAGEIF('Данные 2st'!$Q$2:$Q$317,$A41,'Данные 2st'!$EG$2:$EG$317),"")</f>
        <v>0</v>
      </c>
      <c r="LQ41" s="7">
        <f>IFERROR(AVERAGEIF('Данные 2st'!$Q$2:$Q$317,$A41,'Данные 2st'!$EI$2:$EI$317),"")</f>
        <v>0</v>
      </c>
      <c r="LR41" s="7">
        <f>IFERROR(AVERAGEIF('Данные 2st'!$Q$2:$Q$317,$A41,'Данные 2st'!$EJ$2:$EJ$317),"")</f>
        <v/>
      </c>
      <c r="LS41" s="7">
        <f>IFERROR(AVERAGEIF('Данные 2st'!$Q$2:$Q$317,$A41,'Данные 2st'!$EK$2:$EK$317),"")</f>
        <v/>
      </c>
      <c r="LT41" s="7">
        <f>IFERROR(AVERAGEIF('Данные 2st'!$Q$2:$Q$317,$A41,'Данные 2st'!$EM$2:$EM$317),"")</f>
        <v>12</v>
      </c>
      <c r="LU41" s="7">
        <f>IFERROR(AVERAGEIF('Данные 2st'!$Q$2:$Q$317,$A41,'Данные 2st'!$EN$2:$EN$317),"")</f>
        <v>0.5</v>
      </c>
      <c r="LV41" s="7">
        <f>IFERROR(AVERAGEIF('Данные 2st'!$Q$2:$Q$317,$A41,'Данные 2st'!$EO$2:$EO$317),"")</f>
        <v>0.96</v>
      </c>
      <c r="LW41" s="7">
        <f>IFERROR(AVERAGEIF('Данные 2st'!$Q$2:$Q$317,$A41,'Данные 2st'!$EP$2:$EP$317),"")</f>
        <v>2139.036</v>
      </c>
      <c r="LX41" s="7">
        <f>IFERROR(AVERAGEIF('Данные 2st'!$Q$2:$Q$317,$A41,'Данные 2st'!$EQ$2:$EQ$317),"")</f>
        <v>33921.976</v>
      </c>
      <c r="LY41" s="7">
        <f>IFERROR(AVERAGEIF('Данные 2st'!$Q$2:$Q$317,$A41,'Данные 2st'!$ER$2:$ER$317),"")</f>
        <v>8075.4220000000005</v>
      </c>
      <c r="LZ41" s="7">
        <f>IFERROR(AVERAGEIF('Данные 2st'!$Q$2:$Q$317,$A41,'Данные 2st'!$ES$2:$ES$317),"")</f>
        <v>0</v>
      </c>
      <c r="MA41" s="7">
        <f>IFERROR(AVERAGEIF('Данные 2st'!$Q$2:$Q$317,$A41,'Данные 2st'!$ET$2:$ET$317),"")</f>
        <v>0</v>
      </c>
      <c r="MB41" s="7">
        <f>IFERROR(AVERAGEIF('Данные 2st'!$Q$2:$Q$317,$A41,'Данные 2st'!$EU$2:$EU$317),"")</f>
        <v>1</v>
      </c>
      <c r="MC41" s="7">
        <f>IFERROR(AVERAGEIF('Данные 2st'!$Q$2:$Q$317,$A41,'Данные 2st'!$EV$2:$EV$317),"")</f>
        <v>41998</v>
      </c>
      <c r="MD41" s="7">
        <f>IFERROR(AVERAGEIF('Данные 2st'!$Q$2:$Q$317,$A41,'Данные 2st'!$EW$2:$EW$317),"")</f>
        <v>504.4</v>
      </c>
      <c r="ME41" s="7">
        <f>IFERROR(AVERAGEIF('Данные 2st'!$Q$2:$Q$317,$A41,'Данные 2st'!$EY$2:$EY$317),"")</f>
        <v>208.4</v>
      </c>
      <c r="MF41" s="7">
        <f>IFERROR(AVERAGEIF('Данные 2st'!$Q$2:$Q$317,$A41,'Данные 2st'!$FA$2:$FA$317),"")</f>
        <v>5.76</v>
      </c>
      <c r="MG41" s="7">
        <f>IFERROR(AVERAGEIF('Данные 2st'!$Q$2:$Q$317,$A41,'Данные 2st'!$FB$2:$FB$317),"")</f>
        <v>1</v>
      </c>
      <c r="MH41" s="7">
        <f>IFERROR(AVERAGEIF('Данные 2st'!$Q$2:$Q$317,$A41,'Данные 2st'!$FC$2:$FC$317),"")</f>
        <v>1</v>
      </c>
      <c r="MI41" s="7">
        <f>IFERROR(AVERAGEIF('Данные 2st'!$Q$2:$Q$317,$A41,'Данные 2st'!$FD$2:$FD$317),"")</f>
        <v>2172.6</v>
      </c>
      <c r="MJ41" s="7">
        <f>IFERROR(AVERAGEIF('Данные 2st'!$Q$2:$Q$317,$A41,'Данные 2st'!$FE$2:$FE$317),"")</f>
        <v>2625.4</v>
      </c>
      <c r="MK41" s="7">
        <f>IFERROR(AVERAGEIF('Данные 2st'!$Q$2:$Q$317,$A41,'Данные 2st'!$FG$2:$FG$317),"")</f>
        <v>210.4</v>
      </c>
      <c r="ML41" s="7">
        <f>IFERROR(AVERAGEIF('Данные 2st'!$Q$2:$Q$317,$A41,'Данные 2st'!$FI$2:$FI$317),"")</f>
        <v>2.46</v>
      </c>
      <c r="MM41" s="7">
        <f>IFERROR(AVERAGEIF('Данные 2st'!$Q$2:$Q$317,$A41,'Данные 2st'!$FJ$2:$FJ$317),"")</f>
        <v>2172.6</v>
      </c>
      <c r="MN41" s="7">
        <f>IFERROR(AVERAGEIF('Данные 2st'!$Q$2:$Q$317,$A41,'Данные 2st'!$FK$2:$FK$317),"")</f>
        <v>1262</v>
      </c>
      <c r="MO41" s="7">
        <f>IFERROR(AVERAGEIF('Данные 2st'!$Q$2:$Q$317,$A41,'Данные 2st'!$FP$2:$FP$317),"")</f>
        <v>2172.6</v>
      </c>
      <c r="MP41" s="7">
        <f>IFERROR(AVERAGEIF('Данные 2st'!$Q$2:$Q$317,$A41,'Данные 2st'!$FQ$2:$FQ$317),"")</f>
        <v>174.2</v>
      </c>
      <c r="MQ41" s="7">
        <f>IFERROR(AVERAGEIF('Данные 2st'!$Q$2:$Q$317,$A41,'Данные 2st'!$FS$2:$FS$317),"")</f>
        <v>214.4</v>
      </c>
      <c r="MR41" s="7">
        <f>IFERROR(AVERAGEIF('Данные 2st'!$Q$2:$Q$317,$A41,'Данные 2st'!$FU$2:$FU$317),"")</f>
        <v>0.4</v>
      </c>
      <c r="MS41" s="7">
        <f>IFERROR(AVERAGEIF('Данные 2st'!$Q$2:$Q$317,$A41,'Данные 2st'!$FV$2:$FV$317),"")</f>
        <v>2172.6</v>
      </c>
      <c r="MT41" s="7">
        <f>IFERROR(AVERAGEIF('Данные 2st'!$Q$2:$Q$317,$A41,'Данные 2st'!$FW$2:$FW$317),"")</f>
        <v>207.2</v>
      </c>
      <c r="MU41" s="7">
        <f>IFERROR(AVERAGEIF('Данные 2st'!$Q$2:$Q$317,$A41,'Данные 2st'!$FY$2:$FY$317),"")</f>
        <v>5</v>
      </c>
      <c r="MV41" s="7">
        <f>IFERROR(AVERAGEIF('Данные 2st'!$Q$2:$Q$317,$A41,'Данные 2st'!$GB$2:$GB$317),"")</f>
        <v>2172.25</v>
      </c>
      <c r="MW41" s="7">
        <f>IFERROR(AVERAGEIF('Данные 2st'!$Q$2:$Q$317,$A41,'Данные 2st'!$GC$2:$GC$317),"")</f>
        <v>21.25</v>
      </c>
      <c r="MX41" s="7">
        <f>IFERROR(AVERAGEIF('Данные 2st'!$Q$2:$Q$317,$A41,'Данные 2st'!$GD$2:$GD$317),"")</f>
        <v>4285.8</v>
      </c>
      <c r="MY41" s="7">
        <f>IFERROR(AVERAGEIF('Данные 2st'!$Q$2:$Q$317,$A41,'Данные 2st'!$GN$2:$GN$317),"")</f>
        <v/>
      </c>
      <c r="MZ41" s="7">
        <f>IFERROR(AVERAGEIF('Данные 2st'!$Q$2:$Q$317,$A41,'Данные 2st'!$GQ$2:$GQ$317),"")</f>
        <v>0</v>
      </c>
      <c r="NA41" s="7">
        <f>IFERROR(AVERAGEIF('Данные 2st'!$Q$2:$Q$317,$A41,'Данные 2st'!$GV$2:$GV$317),"")</f>
        <v>8.62</v>
      </c>
      <c r="NB41" s="7">
        <f>IFERROR(AVERAGEIF('Данные 2st'!$Q$2:$Q$317,$A41,'Данные 2st'!$GW$2:$GW$317),"")</f>
        <v>9.32</v>
      </c>
      <c r="NC41" s="7">
        <f>IFERROR(AVERAGEIF('Данные 2st'!$Q$2:$Q$317,$A41,'Данные 2st'!$GX$2:$GX$317),"")</f>
        <v>0.5</v>
      </c>
      <c r="ND41" s="7">
        <f>IFERROR(AVERAGEIF('Данные 2st'!$Q$2:$Q$317,$A41,'Данные 2st'!$GY$2:$GY$317),"")</f>
        <v>169.6</v>
      </c>
      <c r="NE41" s="7">
        <f>IFERROR(AVERAGEIF('Данные 2st'!$Q$2:$Q$317,$A41,'Данные 2st'!$GZ$2:$GZ$317),"")</f>
        <v>3</v>
      </c>
      <c r="NF41" s="7">
        <f>IFERROR(AVERAGEIF('Данные 2st'!$Q$2:$Q$317,$A41,'Данные 2st'!$HA$2:$HA$317),"")</f>
        <v>228.8</v>
      </c>
      <c r="NG41" s="7">
        <f>IFERROR(AVERAGEIF('Данные 2st'!$Q$2:$Q$317,$A41,'Данные 2st'!$HB$2:$HB$317),"")</f>
        <v>3</v>
      </c>
      <c r="NH41" s="7">
        <f>IFERROR(AVERAGEIF('Данные 2st'!$Q$2:$Q$317,$A41,'Данные 2st'!$HC$2:$HC$317),"")</f>
        <v>2172.6</v>
      </c>
      <c r="NI41" s="7">
        <f>IFERROR(AVERAGEIF('Данные 2st'!$Q$2:$Q$317,$A41,'Данные 2st'!$HD$2:$HD$317),"")</f>
        <v>4</v>
      </c>
      <c r="NJ41" s="7">
        <f>IFERROR(AVERAGEIF('Данные 2st'!$Q$2:$Q$317,$A41,'Данные 2st'!$HM$2:$HM$317),"")</f>
        <v>17</v>
      </c>
      <c r="NK41" s="7">
        <f>IFERROR(AVERAGEIF('Данные 2st'!$Q$2:$Q$317,$A41,'Данные 2st'!$HR$2:$HR$317),"")</f>
        <v>2</v>
      </c>
      <c r="NL41" s="7">
        <f>IFERROR(AVERAGEIF('Данные 2st'!$Q$2:$Q$317,$A41,'Данные 2st'!$HS$2:$HS$317),"")</f>
        <v>2124</v>
      </c>
      <c r="NM41" s="7">
        <f>IFERROR(AVERAGEIF('Данные 2st'!$Q$2:$Q$317,$A41,'Данные 2st'!$HT$2:$HT$317),"")</f>
        <v>5</v>
      </c>
      <c r="NN41" s="7">
        <f>IFERROR(AVERAGEIF('Данные 2st'!$Q$2:$Q$317,$A41,'Данные 2st'!$HY$2:$HY$317),"")</f>
        <v>0</v>
      </c>
      <c r="NO41" s="7">
        <f>IFERROR(AVERAGEIF('Данные 2st'!$Q$2:$Q$317,$A41,'Данные 2st'!$HZ$2:$HZ$317),"")</f>
        <v>65</v>
      </c>
      <c r="NP41" s="7">
        <f>IFERROR(AVERAGEIF('Данные 2st'!$Q$2:$Q$317,$A41,'Данные 2st'!$IA$2:$IA$317),"")</f>
        <v>2127.6</v>
      </c>
      <c r="NQ41" s="7">
        <f>IFERROR(AVERAGEIF('Данные 2st'!$Q$2:$Q$317,$A41,'Данные 2st'!$IB$2:$IB$317),"")</f>
        <v>2140.2</v>
      </c>
      <c r="NR41" s="7">
        <f>IFERROR(AVERAGEIF('Данные 2st'!$Q$2:$Q$317,$A41,'Данные 2st'!$IC$2:$IC$317),"")</f>
        <v/>
      </c>
      <c r="NS41" s="7">
        <f>IFERROR(AVERAGEIF('Данные 2st'!$Q$2:$Q$317,$A41,'Данные 2st'!$ID$2:$ID$317),"")</f>
        <v>2172.6</v>
      </c>
      <c r="NT41" s="7">
        <f>IFERROR(AVERAGEIF('Данные 2st'!$Q$2:$Q$317,$A41,'Данные 2st'!$IE$2:$IE$317),"")</f>
        <v>2172.6</v>
      </c>
      <c r="NU41" s="7">
        <f>IFERROR(AVERAGEIF('Данные 2st'!$Q$2:$Q$317,$A41,'Данные 2st'!$IF$2:$IF$317),"")</f>
        <v>185</v>
      </c>
      <c r="NV41" s="7">
        <f>IFERROR(AVERAGEIF('Данные 2st'!$Q$2:$Q$317,$A41,'Данные 2st'!$IG$2:$IG$317),"")</f>
        <v>175</v>
      </c>
      <c r="NW41" s="7">
        <f>IFERROR(AVERAGEIF('Данные 2st'!$Q$2:$Q$317,$A41,'Данные 2st'!$IH$2:$IH$317),"")</f>
        <v>228.8</v>
      </c>
      <c r="NX41" s="7">
        <f>IFERROR(AVERAGEIF('Данные 2st'!$Q$2:$Q$317,$A41,'Данные 2st'!$IJ$2:$IJ$317),"")</f>
        <v>5</v>
      </c>
      <c r="NY41" s="7">
        <f>IFERROR(AVERAGEIF('Данные 2st'!$Q$2:$Q$317,$A41,'Данные 2st'!$IM$2:$IM$317),"")</f>
        <v>0</v>
      </c>
      <c r="NZ41" s="7">
        <f>IFERROR(AVERAGEIF('Данные 2st'!$Q$2:$Q$317,$A41,'Данные 2st'!$IN$2:$IN$317),"")</f>
        <v>252</v>
      </c>
      <c r="OA41" s="7">
        <f>IFERROR(AVERAGEIF('Данные 2st'!$Q$2:$Q$317,$A41,'Данные 2st'!$IO$2:$IO$317),"")</f>
        <v>0</v>
      </c>
      <c r="OB41" s="7">
        <f>IFERROR(AVERAGEIF('Данные 2st'!$Q$2:$Q$317,$A41,'Данные 2st'!$IP$2:$IP$317),"")</f>
        <v>180</v>
      </c>
      <c r="OC41" s="7">
        <f>IFERROR(AVERAGEIF('Данные 2st'!$Q$2:$Q$317,$A41,'Данные 2st'!$IQ$2:$IQ$317),"")</f>
        <v>0</v>
      </c>
      <c r="OD41" s="7">
        <f>IFERROR(AVERAGEIF('Данные 2st'!$Q$2:$Q$317,$A41,'Данные 2st'!$IR$2:$IR$317),"")</f>
        <v>330</v>
      </c>
      <c r="OE41" s="7">
        <f>IFERROR(AVERAGEIF('Данные 2st'!$Q$2:$Q$317,$A41,'Данные 2st'!$IT$2:$IT$317),"")</f>
        <v>90</v>
      </c>
      <c r="OF41" s="7">
        <f>IFERROR(AVERAGEIF('Данные 2st'!$Q$2:$Q$317,$A41,'Данные 2st'!$IU$2:$IU$317),"")</f>
        <v>0</v>
      </c>
      <c r="OG41" s="7">
        <f>IFERROR(AVERAGEIF('Данные 2st'!$Q$2:$Q$317,$A41,'Данные 2st'!$IV$2:$IV$317),"")</f>
        <v>6.4</v>
      </c>
      <c r="OH41" s="7">
        <f>IFERROR(AVERAGEIF('Данные 2st'!$Q$2:$Q$317,$A41,'Данные 2st'!$IW$2:$IW$317),"")</f>
        <v>-6</v>
      </c>
      <c r="OI41" s="7">
        <f>IFERROR(AVERAGEIF('Данные 2st'!$Q$2:$Q$317,$A41,'Данные 2st'!$IX$2:$IX$317),"")</f>
        <v>95.5</v>
      </c>
      <c r="OJ41" s="7">
        <f>IFERROR(AVERAGEIF('Данные 2st'!$Q$2:$Q$317,$A41,'Данные 2st'!$IY$2:$IY$317),"")</f>
        <v>71.4</v>
      </c>
      <c r="OK41" s="7">
        <f>IFERROR(AVERAGEIF('Данные 2st'!$Q$2:$Q$317,$A41,'Данные 2st'!$IZ$2:$IZ$317),"")</f>
        <v>0</v>
      </c>
      <c r="OL41" s="7">
        <f>IFERROR(AVERAGEIF('Данные 2st'!$Q$2:$Q$317,$A41,'Данные 2st'!$JA$2:$JA$317),"")</f>
        <v>0</v>
      </c>
      <c r="OM41" s="7">
        <f>IFERROR(AVERAGEIF('Данные 2st'!$Q$2:$Q$317,$A41,'Данные 2st'!$JB$2:$JB$317),"")</f>
        <v>0</v>
      </c>
      <c r="ON41" s="7">
        <f>IFERROR(AVERAGEIF('Данные 2st'!$Q$2:$Q$317,$A41,'Данные 2st'!$JC$2:$JC$317),"")</f>
        <v>0</v>
      </c>
      <c r="OO41" s="7">
        <f>IFERROR(AVERAGEIF('Данные 2st'!$Q$2:$Q$317,$A41,'Данные 2st'!$JD$2:$JD$317),"")</f>
        <v>0</v>
      </c>
      <c r="OP41" s="7">
        <f>IFERROR(AVERAGEIF('Данные 2st'!$Q$2:$Q$317,$A41,'Данные 2st'!$JE$2:$JE$317),"")</f>
        <v>0</v>
      </c>
      <c r="OQ41" s="7">
        <f>IFERROR(AVERAGEIF('Данные 2st'!$Q$2:$Q$317,$A41,'Данные 2st'!$JF$2:$JF$317),"")</f>
        <v>0</v>
      </c>
      <c r="OR41" s="7">
        <f>IFERROR(AVERAGEIF('Данные 2st'!$Q$2:$Q$317,$A41,'Данные 2st'!$JG$2:$JG$317),"")</f>
        <v>0</v>
      </c>
      <c r="OS41" s="7">
        <f>IFERROR(AVERAGEIF('Данные 2st'!$Q$2:$Q$317,$A41,'Данные 2st'!$JH$2:$JH$317),"")</f>
        <v>0</v>
      </c>
      <c r="OT41" s="7">
        <f>IFERROR(AVERAGEIF('Данные 2st'!$Q$2:$Q$317,$A41,'Данные 2st'!$JI$2:$JI$317),"")</f>
        <v>415.6</v>
      </c>
      <c r="OU41" s="7">
        <f>IFERROR(AVERAGEIF('Данные 2st'!$Q$2:$Q$317,$A41,'Данные 2st'!$JJ$2:$JJ$317),"")</f>
        <v>385.4</v>
      </c>
      <c r="OV41" s="7">
        <f>IFERROR(AVERAGEIF('Данные 2st'!$Q$2:$Q$317,$A41,'Данные 2st'!$JK$2:$JK$317),"")</f>
        <v>282.2</v>
      </c>
      <c r="OW41" s="7">
        <f>IFERROR(AVERAGEIF('Данные 2st'!$Q$2:$Q$317,$A41,'Данные 2st'!$JL$2:$JL$317),"")</f>
        <v>383.4</v>
      </c>
      <c r="OX41" s="7">
        <f>IFERROR(AVERAGEIF('Данные 2st'!$Q$2:$Q$317,$A41,'Данные 2st'!$JM$2:$JM$317),"")</f>
        <v>288</v>
      </c>
      <c r="OY41" s="7">
        <f>IFERROR(AVERAGEIF('Данные 2st'!$Q$2:$Q$317,$A41,'Данные 2st'!$JP$2:$JP$317),"")</f>
        <v>190.8</v>
      </c>
      <c r="OZ41" s="7">
        <f>IFERROR(AVERAGEIF('Данные 2st'!$Q$2:$Q$317,$A41,'Данные 2st'!$JQ$2:$JQ$317),"")</f>
        <v>243</v>
      </c>
      <c r="PA41" s="7">
        <f>IFERROR(AVERAGEIF('Данные 2st'!$Q$2:$Q$317,$A41,'Данные 2st'!$JR$2:$JR$317),"")</f>
        <v>343.8</v>
      </c>
      <c r="PB41" s="7">
        <f>IFERROR(AVERAGEIF('Данные 2st'!$Q$2:$Q$317,$A41,'Данные 2st'!$JS$2:$JS$317),"")</f>
        <v>228</v>
      </c>
      <c r="PC41" s="7">
        <f>IFERROR(AVERAGEIF('Данные 2st'!$Q$2:$Q$317,$A41,'Данные 2st'!$JT$2:$JT$317),"")</f>
        <v>0</v>
      </c>
      <c r="PD41" s="7">
        <f>IFERROR(AVERAGEIF('Данные 2st'!$Q$2:$Q$317,$A41,'Данные 2st'!$JU$2:$JU$317),"")</f>
        <v>0</v>
      </c>
      <c r="PE41" s="7">
        <f>IFERROR(AVERAGEIF('Данные 2st'!$Q$2:$Q$317,$A41,'Данные 2st'!$JV$2:$JV$317),"")</f>
        <v>335</v>
      </c>
      <c r="PF41" s="7">
        <f>IFERROR(AVERAGEIF('Данные 2st'!$Q$2:$Q$317,$A41,'Данные 2st'!$JW$2:$JW$317),"")</f>
        <v>337</v>
      </c>
      <c r="PG41" s="7">
        <f>IFERROR(AVERAGEIF('Данные 2st'!$Q$2:$Q$317,$A41,'Данные 2st'!$KF$2:$KF$317),"")</f>
        <v>0.184</v>
      </c>
      <c r="PH41" s="7">
        <f>IFERROR(AVERAGEIF('Данные 2st'!$Q$2:$Q$317,$A41,'Данные 2st'!$KG$2:$KG$317),"")</f>
        <v>0.10200000000000001</v>
      </c>
      <c r="PI41" s="7">
        <f>IFERROR(AVERAGEIF('Данные 2st'!$Q$2:$Q$317,$A41,'Данные 2st'!$KM$2:$KM$317),"")</f>
        <v>0.4</v>
      </c>
      <c r="PJ41" s="7">
        <f>IFERROR(AVERAGEIF('Данные 2st'!$Q$2:$Q$317,$A41,'Данные 2st'!$KN$2:$KN$317),"")</f>
        <v>1.56</v>
      </c>
      <c r="PK41" s="7">
        <f>IFERROR(AVERAGEIF('Данные 2st'!$Q$2:$Q$317,$A41,'Данные 2st'!$KO$2:$KO$317),"")</f>
        <v>0</v>
      </c>
      <c r="PL41" s="7">
        <f>IFERROR(AVERAGEIF('Данные 2st'!$Q$2:$Q$317,$A41,'Данные 2st'!$KP$2:$KP$317),"")</f>
        <v>0</v>
      </c>
      <c r="PM41" s="7">
        <f>IFERROR(AVERAGEIF('Данные 2st'!$Q$2:$Q$317,$A41,'Данные 2st'!$KQ$2:$KQ$317),"")</f>
        <v>0.88</v>
      </c>
      <c r="PN41" s="7">
        <f>IFERROR(AVERAGEIF('Данные 2st'!$Q$2:$Q$317,$A41,'Данные 2st'!$KR$2:$KR$317),"")</f>
        <v>0.74</v>
      </c>
      <c r="PO41" s="7">
        <f>IFERROR(AVERAGEIF('Данные 2st'!$Q$2:$Q$317,$A41,'Данные 2st'!$KS$2:$KS$317),"")</f>
        <v>0.12000000000000001</v>
      </c>
      <c r="PP41" s="7">
        <f>IFERROR(AVERAGEIF('Данные 2st'!$Q$2:$Q$317,$A41,'Данные 2st'!$KT$2:$KT$317),"")</f>
        <v>2.9</v>
      </c>
      <c r="PQ41" s="7">
        <f>IFERROR(AVERAGEIF('Данные 2st'!$Q$2:$Q$317,$A41,'Данные 2st'!$KU$2:$KU$317),"")</f>
        <v>0</v>
      </c>
      <c r="PR41" s="7">
        <f>IFERROR(AVERAGEIF('Данные 2st'!$Q$2:$Q$317,$A41,'Данные 2st'!$KV$2:$KV$317),"")</f>
        <v>0</v>
      </c>
      <c r="PS41" s="7">
        <f>IFERROR(AVERAGEIF('Данные 2st'!$Q$2:$Q$317,$A41,'Данные 2st'!$KW$2:$KW$317),"")</f>
        <v>1.3</v>
      </c>
      <c r="PT41" s="7">
        <f>IFERROR(AVERAGEIF('Данные 2st'!$Q$2:$Q$317,$A41,'Данные 2st'!$KX$2:$KX$317),"")</f>
        <v>2</v>
      </c>
      <c r="PU41" s="7">
        <f>IFERROR(AVERAGEIF('Данные 2st'!$Q$2:$Q$317,$A41,'Данные 2st'!$KY$2:$KY$317),"")</f>
        <v>0</v>
      </c>
      <c r="PV41" s="7">
        <f>IFERROR(AVERAGEIF('Данные 2st'!$Q$2:$Q$317,$A41,'Данные 2st'!$KZ$2:$KZ$317),"")</f>
        <v>0</v>
      </c>
      <c r="PW41" s="7">
        <f>IFERROR(AVERAGEIF('Данные 2st'!$Q$2:$Q$317,$A41,'Данные 2st'!$LA$2:$LA$317),"")</f>
        <v>0</v>
      </c>
      <c r="PX41" s="7">
        <f>IFERROR(AVERAGEIF('Данные 2st'!$Q$2:$Q$317,$A41,'Данные 2st'!$LB$2:$LB$317),"")</f>
        <v>0</v>
      </c>
      <c r="PY41" s="7">
        <f>IFERROR(AVERAGEIF('Данные 2st'!$Q$2:$Q$317,$A41,'Данные 2st'!$LC$2:$LC$317),"")</f>
        <v>0</v>
      </c>
      <c r="PZ41" s="7">
        <f>IFERROR(AVERAGEIF('Данные 2st'!$Q$2:$Q$317,$A41,'Данные 2st'!$LD$2:$LD$317),"")</f>
        <v>0</v>
      </c>
      <c r="QA41" s="7">
        <f>IFERROR(AVERAGEIF('Данные 2st'!$Q$2:$Q$317,$A41,'Данные 2st'!$LE$2:$LE$317),"")</f>
        <v>0</v>
      </c>
      <c r="QB41" s="7">
        <f>IFERROR(AVERAGEIF('Данные 2st'!$Q$2:$Q$317,$A41,'Данные 2st'!$LF$2:$LF$317),"")</f>
        <v>0</v>
      </c>
      <c r="QC41" s="7">
        <f>IFERROR(AVERAGEIF('Данные 2st'!$Q$2:$Q$317,$A41,'Данные 2st'!$LG$2:$LG$317),"")</f>
        <v>0</v>
      </c>
      <c r="QD41" s="7">
        <f>IFERROR(AVERAGEIF('Данные 2st'!$Q$2:$Q$317,$A41,'Данные 2st'!$LH$2:$LH$317),"")</f>
        <v>3</v>
      </c>
      <c r="QE41" s="7">
        <f>IFERROR(AVERAGEIF('Данные 2st'!$Q$2:$Q$317,$A41,'Данные 2st'!$LJ$2:$LJ$317),"")</f>
        <v>0</v>
      </c>
      <c r="QF41" s="7">
        <f>IFERROR(AVERAGEIF('Данные 2st'!$Q$2:$Q$317,$A41,'Данные 2st'!$LK$2:$LK$317),"")</f>
        <v>5.7</v>
      </c>
      <c r="QG41" s="7">
        <f>IFERROR(AVERAGEIF('Данные 2st'!$Q$2:$Q$317,$A41,'Данные 2st'!$LL$2:$LL$317),"")</f>
        <v>5.4</v>
      </c>
      <c r="QH41" s="7">
        <f>IFERROR(AVERAGEIF('Данные 2st'!$Q$2:$Q$317,$A41,'Данные 2st'!$LM$2:$LM$317),"")</f>
        <v>8.8</v>
      </c>
      <c r="QI41" s="7">
        <f>IFERROR(AVERAGEIF('Данные 2st'!$Q$2:$Q$317,$A41,'Данные 2st'!$LN$2:$LN$317),"")</f>
        <v>0.42</v>
      </c>
      <c r="QJ41" s="7">
        <f>IFERROR(AVERAGEIF('Данные 2st'!$Q$2:$Q$317,$A41,'Данные 2st'!$LO$2:$LO$317),"")</f>
        <v>3.1</v>
      </c>
      <c r="QK41" s="7">
        <f>IFERROR(AVERAGEIF('Данные 2st'!$Q$2:$Q$317,$A41,'Данные 2st'!$LP$2:$LP$317),"")</f>
        <v>0</v>
      </c>
      <c r="QL41" s="7">
        <f>IFERROR(AVERAGEIF('Данные 2st'!$Q$2:$Q$317,$A41,'Данные 2st'!$LQ$2:$LQ$317),"")</f>
        <v>0</v>
      </c>
      <c r="QM41" s="7">
        <f>IFERROR(AVERAGEIF('Данные 2st'!$Q$2:$Q$317,$A41,'Данные 2st'!$LW$2:$LW$317),"")</f>
        <v>1.94</v>
      </c>
      <c r="QN41" s="7">
        <f>IFERROR(AVERAGEIF('Данные 2st'!$Q$2:$Q$317,$A41,'Данные 2st'!$LX$2:$LX$317),"")</f>
        <v>1.94</v>
      </c>
      <c r="QO41" s="7">
        <f>IFERROR(AVERAGEIF('Данные 2st'!$Q$2:$Q$317,$A41,'Данные 2st'!$LY$2:$LY$317),"")</f>
        <v>2.16</v>
      </c>
      <c r="QP41" s="7">
        <f>IFERROR(AVERAGEIF('Данные 2st'!$Q$2:$Q$317,$A41,'Данные 2st'!$LZ$2:$LZ$317),"")</f>
        <v>2.16</v>
      </c>
      <c r="QQ41" s="7">
        <f>IFERROR(AVERAGEIF('Данные 2st'!$Q$2:$Q$317,$A41,'Данные 2st'!$MB$2:$MB$317),"")</f>
        <v>5.4</v>
      </c>
      <c r="QR41" s="7">
        <f>IFERROR(AVERAGEIF('Данные 2st'!$Q$2:$Q$317,$A41,'Данные 2st'!$MG$2:$MG$317),"")</f>
        <v>0</v>
      </c>
      <c r="QS41" s="7">
        <f>IFERROR(AVERAGEIF('Данные 2st'!$Q$2:$Q$317,$A41,'Данные 2st'!$MH$2:$MH$317),"")</f>
        <v>0</v>
      </c>
      <c r="QT41" s="7">
        <f>IFERROR(AVERAGEIF('Данные 2st'!$Q$2:$Q$317,$A41,'Данные 2st'!$MI$2:$MI$317),"")</f>
        <v>0</v>
      </c>
      <c r="QU41" s="7">
        <f>IFERROR(AVERAGEIF('Данные 2st'!$Q$2:$Q$317,$A41,'Данные 2st'!$MJ$2:$MJ$317),"")</f>
        <v>0</v>
      </c>
      <c r="QV41" s="7">
        <f>IFERROR(AVERAGEIF('Данные 2st'!$Q$2:$Q$317,$A41,'Данные 2st'!$MK$2:$MK$317),"")</f>
        <v>0</v>
      </c>
      <c r="QW41" s="7">
        <f>IFERROR(AVERAGEIF('Данные 2st'!$Q$2:$Q$317,$A41,'Данные 2st'!$MM$2:$MM$317),"")</f>
        <v>432.8</v>
      </c>
      <c r="QX41" s="7">
        <f>IFERROR(AVERAGEIF('Данные 2st'!$Q$2:$Q$317,$A41,'Данные 2st'!$MQ$2:$MQ$317),"")</f>
        <v/>
      </c>
      <c r="QY41" s="7">
        <f>IFERROR(AVERAGEIF('Данные 2st'!$Q$2:$Q$317,$A41,'Данные 2st'!$MR$2:$MR$317),"")</f>
        <v/>
      </c>
      <c r="QZ41" s="7">
        <f>IFERROR(AVERAGEIF('Данные 2st'!$Q$2:$Q$317,$A41,'Данные 2st'!$MS$2:$MS$317),"")</f>
        <v/>
      </c>
      <c r="RA41" s="7">
        <f>IFERROR(AVERAGEIF('Данные 2st'!$Q$2:$Q$317,$A41,'Данные 2st'!$MT$2:$MT$317),"")</f>
        <v/>
      </c>
      <c r="RB41" s="7">
        <f>IFERROR(AVERAGEIF('Данные 2st'!$Q$2:$Q$317,$A41,'Данные 2st'!$MU$2:$MU$317),"")</f>
        <v/>
      </c>
      <c r="RC41" s="7">
        <f>IFERROR(AVERAGEIF('Данные 2st'!$Q$2:$Q$317,$A41,'Данные 2st'!$MV$2:$MV$317),"")</f>
        <v/>
      </c>
      <c r="RD41" s="7">
        <f>IFERROR(AVERAGEIF('Данные 2st'!$Q$2:$Q$317,$A41,'Данные 2st'!$MW$2:$MW$317),"")</f>
        <v/>
      </c>
      <c r="RE41" s="7">
        <f>IFERROR(AVERAGEIF('Данные 2st'!$Q$2:$Q$317,$A41,'Данные 2st'!$MX$2:$MX$317),"")</f>
        <v/>
      </c>
      <c r="RF41" s="7">
        <f>IFERROR(AVERAGEIF('Данные 2st'!$Q$2:$Q$317,$A41,'Данные 2st'!$MY$2:$MY$317),"")</f>
        <v/>
      </c>
      <c r="RG41" s="7">
        <f>IFERROR(AVERAGEIF('Данные 2st'!$Q$2:$Q$317,$A41,'Данные 2st'!$MZ$2:$MZ$317),"")</f>
        <v/>
      </c>
      <c r="RH41" s="7">
        <f>IFERROR(AVERAGEIF('Данные 2st'!$Q$2:$Q$317,$A41,'Данные 2st'!$NA$2:$NA$317),"")</f>
        <v/>
      </c>
      <c r="RI41" s="7">
        <f>IFERROR(AVERAGEIF('Данные 2st'!$Q$2:$Q$317,$A41,'Данные 2st'!$NB$2:$NB$317),"")</f>
        <v/>
      </c>
      <c r="RJ41" s="7">
        <f>IFERROR(AVERAGEIF('Данные 2st'!$Q$2:$Q$317,$A41,'Данные 2st'!$NC$2:$NC$317),"")</f>
        <v/>
      </c>
      <c r="RK41" s="7">
        <f>IFERROR(AVERAGEIF('Данные 2st'!$Q$2:$Q$317,$A41,'Данные 2st'!$ND$2:$ND$317),"")</f>
        <v/>
      </c>
      <c r="RL41" s="7">
        <f>IFERROR(AVERAGEIF('Данные 2st'!$Q$2:$Q$317,$A41,'Данные 2st'!$NE$2:$NE$317),"")</f>
        <v/>
      </c>
      <c r="RM41" s="7">
        <f>IFERROR(AVERAGEIF('Данные 2st'!$Q$2:$Q$317,$A41,'Данные 2st'!$NF$2:$NF$317),"")</f>
        <v/>
      </c>
      <c r="RN41" s="7">
        <f>IFERROR(AVERAGEIF('Данные 2st'!$Q$2:$Q$317,$A41,'Данные 2st'!$NG$2:$NG$317),"")</f>
        <v/>
      </c>
      <c r="RO41" s="7">
        <f>IFERROR(AVERAGEIF('Данные 2st'!$Q$2:$Q$317,$A41,'Данные 2st'!$NH$2:$NH$317),"")</f>
        <v/>
      </c>
      <c r="RP41" s="7">
        <f>IFERROR(AVERAGEIF('Данные 2st'!$Q$2:$Q$317,$A41,'Данные 2st'!$NJ$2:$NJ$317),"")</f>
        <v/>
      </c>
      <c r="RQ41" s="7">
        <f>IFERROR(AVERAGEIF('Данные 2st'!$Q$2:$Q$317,$A41,'Данные 2st'!$NK$2:$NK$317),"")</f>
        <v/>
      </c>
      <c r="RR41" s="7">
        <f>IFERROR(AVERAGEIF('Данные 2st'!$Q$2:$Q$317,$A41,'Данные 2st'!$NM$2:$NM$317),"")</f>
        <v/>
      </c>
      <c r="RS41" s="7">
        <f>IFERROR(AVERAGEIF('Данные 2st'!$Q$2:$Q$317,$A41,'Данные 2st'!$NN$2:$NN$317),"")</f>
        <v/>
      </c>
      <c r="RT41" s="7">
        <f>IFERROR(AVERAGEIF('Данные 2st'!$Q$2:$Q$317,$A41,'Данные 2st'!$NO$2:$NO$317),"")</f>
        <v/>
      </c>
      <c r="RU41" s="7">
        <f>IFERROR(AVERAGEIF('Данные 2st'!$Q$2:$Q$317,$A41,'Данные 2st'!$NP$2:$NP$317),"")</f>
        <v/>
      </c>
      <c r="RV41" s="7">
        <f>IFERROR(AVERAGEIF('Данные 2st'!$Q$2:$Q$317,$A41,'Данные 2st'!$NQ$2:$NQ$317),"")</f>
        <v/>
      </c>
      <c r="RW41" s="7">
        <f>IFERROR(AVERAGEIF('Данные 2st'!$Q$2:$Q$317,$A41,'Данные 2st'!$NR$2:$NR$317),"")</f>
        <v/>
      </c>
      <c r="RX41" s="7">
        <f>IFERROR(AVERAGEIF('Данные 2st'!$Q$2:$Q$317,$A41,'Данные 2st'!$NS$2:$NS$317),"")</f>
        <v/>
      </c>
      <c r="RY41" s="7">
        <f>IFERROR(AVERAGEIF('Данные 2st'!$Q$2:$Q$317,$A41,'Данные 2st'!$NT$2:$NT$317),"")</f>
        <v/>
      </c>
      <c r="RZ41" s="7">
        <f>IFERROR(AVERAGEIF('Данные 2st'!$Q$2:$Q$317,$A41,'Данные 2st'!$OK$2:$OK$317),"")</f>
        <v>61</v>
      </c>
      <c r="SA41" s="7">
        <f>IFERROR(AVERAGEIF('Данные 2st'!$Q$2:$Q$317,$A41,'Данные 2st'!$OL$2:$OL$317),"")</f>
        <v>61</v>
      </c>
      <c r="SB41" s="7">
        <f>IFERROR(AVERAGEIF('Данные 2st'!$Q$2:$Q$317,$A41,'Данные 2st'!$ON$2:$ON$317),"")</f>
        <v>1</v>
      </c>
      <c r="SC41" s="7">
        <f>IFERROR(AVERAGEIF('Данные 2st'!$Q$2:$Q$317,$A41,'Данные 2st'!$OO$2:$OO$317),"")</f>
        <v>2127.6</v>
      </c>
      <c r="SD41" s="7">
        <f>IFERROR(AVERAGEIF('Данные 2st'!$Q$2:$Q$317,$A41,'Данные 2st'!$OP$2:$OP$317),"")</f>
        <v>61</v>
      </c>
      <c r="SE41" s="7">
        <f>IFERROR(AVERAGEIF('Данные 2st'!$Q$2:$Q$317,$A41,'Данные 2st'!$OQ$2:$OQ$317),"")</f>
        <v>61</v>
      </c>
      <c r="SF41" s="7">
        <f>IFERROR(AVERAGEIF('Данные 2st'!$Q$2:$Q$317,$A41,'Данные 2st'!$OS$2:$OS$317),"")</f>
        <v>1</v>
      </c>
      <c r="SG41" s="7">
        <f>IFERROR(AVERAGEIF('Данные 2st'!$Q$2:$Q$317,$A41,'Данные 2st'!$OT$2:$OT$317),"")</f>
        <v>2140.2</v>
      </c>
      <c r="SH41" s="7">
        <f>IFERROR(AVERAGEIF('Данные 2st'!$Q$2:$Q$317,$A41,'Данные 2st'!$OU$2:$OU$317),"")</f>
        <v>65</v>
      </c>
      <c r="SI41" s="7">
        <f>IFERROR(AVERAGEIF('Данные 2st'!$Q$2:$Q$317,$A41,'Данные 2st'!$OV$2:$OV$317),"")</f>
        <v>65</v>
      </c>
      <c r="SJ41" s="7">
        <f>IFERROR(AVERAGEIF('Данные 2st'!$Q$2:$Q$317,$A41,'Данные 2st'!$OX$2:$OX$317),"")</f>
        <v>2</v>
      </c>
      <c r="SK41" s="7">
        <f>IFERROR(AVERAGEIF('Данные 2st'!$Q$2:$Q$317,$A41,'Данные 2st'!$OY$2:$OY$317),"")</f>
        <v>41998</v>
      </c>
      <c r="SL41" s="7">
        <f>IFERROR(AVERAGEIF('Данные 2st'!$Q$2:$Q$317,$A41,'Данные 2st'!$OZ$2:$OZ$317),"")</f>
        <v>51</v>
      </c>
      <c r="SM41" s="7">
        <f>IFERROR(AVERAGEIF('Данные 2st'!$Q$2:$Q$317,$A41,'Данные 2st'!$PA$2:$PA$317),"")</f>
        <v>51.4</v>
      </c>
      <c r="SN41" s="7">
        <f>IFERROR(AVERAGEIF('Данные 2st'!$Q$2:$Q$317,$A41,'Данные 2st'!$PC$2:$PC$317),"")</f>
        <v>3.6</v>
      </c>
      <c r="SO41" s="7">
        <f>IFERROR(AVERAGEIF('Данные 2st'!$Q$2:$Q$317,$A41,'Данные 2st'!$PD$2:$PD$317),"")</f>
        <v>2172.6</v>
      </c>
      <c r="SP41" s="7">
        <f>IFERROR(AVERAGEIF('Данные 2st'!$Q$2:$Q$317,$A41,'Данные 2st'!$PF$2:$PF$317),"")</f>
        <v>428</v>
      </c>
      <c r="SQ41" s="7">
        <f>IFERROR(AVERAGEIF('Данные 2st'!$Q$2:$Q$317,$A41,'Данные 2st'!$PG$2:$PG$317),"")</f>
        <v>35</v>
      </c>
      <c r="SR41" s="7">
        <f>IFERROR(AVERAGEIF('Данные 2st'!$Q$2:$Q$317,$A41,'Данные 2st'!$PH$2:$PH$317),"")</f>
        <v>404.8</v>
      </c>
      <c r="SS41" s="7">
        <f>IFERROR(AVERAGEIF('Данные 2st'!$Q$2:$Q$317,$A41,'Данные 2st'!$PI$2:$PI$317),"")</f>
        <v>0</v>
      </c>
      <c r="ST41" s="7">
        <f>IFERROR(AVERAGEIF('Данные 2st'!$Q$2:$Q$317,$A41,'Данные 2st'!$PJ$2:$PJ$317),"")</f>
        <v>80.18</v>
      </c>
      <c r="SU41" s="7">
        <f>IFERROR(AVERAGEIF('Данные 2st'!$Q$2:$Q$317,$A41,'Данные 2st'!$PK$2:$PK$317),"")</f>
        <v>1981</v>
      </c>
      <c r="SV41" s="7">
        <f>IFERROR(AVERAGEIF('Данные 2st'!$Q$2:$Q$317,$A41,'Данные 2st'!$PL$2:$PL$317),"")</f>
        <v>1208.42</v>
      </c>
      <c r="SW41" s="7">
        <f>IFERROR(AVERAGEIF('Данные 2st'!$Q$2:$Q$317,$A41,'Данные 2st'!$PM$2:$PM$317),"")</f>
        <v>581.0600000000001</v>
      </c>
      <c r="SX41" s="7">
        <f>IFERROR(AVERAGEIF('Данные 2st'!$Q$2:$Q$317,$A41,'Данные 2st'!$PN$2:$PN$317),"")</f>
        <v>95.42</v>
      </c>
      <c r="SY41" s="7">
        <f>IFERROR(AVERAGEIF('Данные 2st'!$Q$2:$Q$317,$A41,'Данные 2st'!$PO$2:$PO$317),"")</f>
        <v>9.7</v>
      </c>
      <c r="SZ41" s="7">
        <f>IFERROR(AVERAGEIF('Данные 2st'!$Q$2:$Q$317,$A41,'Данные 2st'!$PP$2:$PP$317),"")</f>
        <v>12</v>
      </c>
      <c r="TA41" s="7">
        <f>IFERROR(AVERAGEIF('Данные 2st'!$Q$2:$Q$317,$A41,'Данные 2st'!$PQ$2:$PQ$317),"")</f>
        <v>5</v>
      </c>
      <c r="TB41" s="7">
        <f>IFERROR(AVERAGEIF('Данные 2st'!$Q$2:$Q$317,$A41,'Данные 2st'!$PR$2:$PR$317),"")</f>
        <v>5</v>
      </c>
      <c r="TC41" s="7">
        <f>IFERROR(AVERAGEIF('Данные 2st'!$Q$2:$Q$317,$A41,'Данные 2st'!$PS$2:$PS$317),"")</f>
        <v>0</v>
      </c>
      <c r="TD41" s="7">
        <f>IFERROR(AVERAGEIF('Данные 2st'!$Q$2:$Q$317,$A41,'Данные 2st'!$PT$2:$PT$317),"")</f>
        <v>228.8</v>
      </c>
      <c r="TE41" s="7">
        <f>IFERROR(AVERAGEIF('Данные 2st'!$Q$2:$Q$317,$A41,'Данные 2st'!$PU$2:$PU$317),"")</f>
        <v>9.2</v>
      </c>
      <c r="TF41" s="7">
        <f>IFERROR(AVERAGEIF('Данные 2st'!$Q$2:$Q$317,$A41,'Данные 2st'!$PX$2:$PX$317),"")</f>
        <v>0</v>
      </c>
      <c r="TG41" s="7">
        <f>IFERROR(AVERAGEIF('Данные 2st'!$Q$2:$Q$317,$A41,'Данные 2st'!$PY$2:$PY$317),"")</f>
        <v>0</v>
      </c>
      <c r="TH41" s="7">
        <f>IFERROR(AVERAGEIF('Данные 2st'!$Q$2:$Q$317,$A41,'Данные 2st'!$PZ$2:$PZ$317),"")</f>
        <v>0</v>
      </c>
      <c r="TI41" s="7">
        <f>IFERROR(AVERAGEIF('Данные 2st'!$Q$2:$Q$317,$A41,'Данные 2st'!$QA$2:$QA$317),"")</f>
        <v>0</v>
      </c>
      <c r="TJ41" s="7">
        <f>IFERROR(AVERAGEIF('Данные 2st'!$Q$2:$Q$317,$A41,'Данные 2st'!$QB$2:$QB$317),"")</f>
        <v>0</v>
      </c>
      <c r="TK41" s="7">
        <f>IFERROR(AVERAGEIF('Данные 2st'!$Q$2:$Q$317,$A41,'Данные 2st'!$QC$2:$QC$317),"")</f>
        <v>0</v>
      </c>
      <c r="TL41" s="7">
        <f>IFERROR(AVERAGEIF('Данные 2st'!$Q$2:$Q$317,$A41,'Данные 2st'!$QD$2:$QD$317),"")</f>
        <v>0</v>
      </c>
      <c r="TM41" s="7">
        <f>IFERROR(AVERAGEIF('Данные 2st'!$Q$2:$Q$317,$A41,'Данные 2st'!$QE$2:$QE$317),"")</f>
        <v>-1</v>
      </c>
      <c r="TN41" s="7">
        <f>IFERROR(AVERAGEIF('Данные 2st'!$Q$2:$Q$317,$A41,'Данные 2st'!$QF$2:$QF$317),"")</f>
        <v>1</v>
      </c>
      <c r="TO41" s="7">
        <f>IFERROR(AVERAGEIF('Данные 2st'!$Q$2:$Q$317,$A41,'Данные 2st'!$QG$2:$QG$317),"")</f>
        <v>0</v>
      </c>
      <c r="TP41" s="7">
        <f>IFERROR(AVERAGEIF('Данные 2st'!$Q$2:$Q$317,$A41,'Данные 2st'!$QH$2:$QH$317),"")</f>
        <v>5</v>
      </c>
      <c r="TQ41" s="7">
        <f>IFERROR(AVERAGEIF('Данные 2st'!$Q$2:$Q$317,$A41,'Данные 2st'!$QI$2:$QI$317),"")</f>
        <v>5</v>
      </c>
      <c r="TR41" s="7">
        <f>IFERROR(AVERAGEIF('Данные 2st'!$Q$2:$Q$317,$A41,'Данные 2st'!$QJ$2:$QJ$317),"")</f>
        <v>5</v>
      </c>
      <c r="TS41" s="7">
        <f>IFERROR(AVERAGEIF('Данные 2st'!$Q$2:$Q$317,$A41,'Данные 2st'!$QK$2:$QK$317),"")</f>
        <v>202.2</v>
      </c>
      <c r="TT41" s="7">
        <f>IFERROR(AVERAGEIF('Данные 2st'!$Q$2:$Q$317,$A41,'Данные 2st'!$QL$2:$QL$317),"")</f>
        <v>448.8</v>
      </c>
      <c r="TU41" s="7">
        <f>IFERROR(AVERAGEIF('Данные 2st'!$Q$2:$Q$317,$A41,'Данные 2st'!$QM$2:$QM$317),"")</f>
        <v>7.5</v>
      </c>
      <c r="TV41" s="7">
        <f>IFERROR(AVERAGEIF('Данные 2st'!$Q$2:$Q$317,$A41,'Данные 2st'!$QN$2:$QN$317),"")</f>
        <v>1383.32</v>
      </c>
      <c r="TW41" s="7">
        <f>IFERROR(AVERAGEIF('Данные 2st'!$Q$2:$Q$317,$A41,'Данные 2st'!$QQ$2:$QQ$317),"")</f>
        <v>0</v>
      </c>
      <c r="TX41" s="7">
        <f>IFERROR(AVERAGEIF('Данные 2st'!$Q$2:$Q$317,$A41,'Данные 2st'!$QS$2:$QS$317),"")</f>
        <v>30</v>
      </c>
      <c r="TY41" s="7">
        <f>IFERROR(AVERAGEIF('Данные 2st'!$Q$2:$Q$317,$A41,'Данные 2st'!$QT$2:$QT$317),"")</f>
        <v>40</v>
      </c>
    </row>
    <row r="42" spans="1:545" ht="32" customHeight="1">
      <c r="A42" s="11" t="s">
        <v>1776</v>
      </c>
      <c r="B42">
        <f>COUNTIF('Данные 1st'!$S$2:$S$317,$A42)</f>
        <v>1</v>
      </c>
      <c r="C42" s="6" t="s">
        <v>1460</v>
      </c>
      <c r="D42" s="6" t="s">
        <v>513</v>
      </c>
      <c r="E42" s="6" t="s">
        <v>567</v>
      </c>
      <c r="F42" s="6" t="s">
        <v>1774</v>
      </c>
      <c r="G42" s="7">
        <f>IFERROR(AVERAGEIF('Данные 1st'!$S$2:$S$317,$A42,'Данные 1st'!$AE$2:$AE$317),"")</f>
        <v>239</v>
      </c>
      <c r="H42" s="7">
        <f>IFERROR(AVERAGEIF('Данные 1st'!$S$2:$S$317,$A42,'Данные 1st'!$AF$2:$AF$317),"")</f>
        <v>1.5</v>
      </c>
      <c r="I42" s="7">
        <f>IFERROR(AVERAGEIF('Данные 1st'!$S$2:$S$317,$A42,'Данные 1st'!$AJ$2:$AJ$317),"")</f>
        <v>217.5</v>
      </c>
      <c r="J42" s="7">
        <f>IFERROR(AVERAGEIF('Данные 1st'!$S$2:$S$317,$A42,'Данные 1st'!$AL$2:$AL$317),"")</f>
        <v>1.5</v>
      </c>
      <c r="K42" s="7">
        <f>IFERROR(AVERAGEIF('Данные 1st'!$S$2:$S$317,$A42,'Данные 1st'!$AR$2:$AR$317),"")</f>
        <v>257</v>
      </c>
      <c r="L42" s="7">
        <f>IFERROR(AVERAGEIF('Данные 1st'!$S$2:$S$317,$A42,'Данные 1st'!$AS$2:$AS$317),"")</f>
        <v>1.5</v>
      </c>
      <c r="M42" s="7">
        <f>IFERROR(AVERAGEIF('Данные 1st'!$S$2:$S$317,$A42,'Данные 1st'!$AY$2:$AY$317),"")</f>
        <v>325</v>
      </c>
      <c r="N42" s="7">
        <f>IFERROR(AVERAGEIF('Данные 1st'!$S$2:$S$317,$A42,'Данные 1st'!$AZ$2:$AZ$317),"")</f>
        <v>1.5</v>
      </c>
      <c r="O42" s="7">
        <f>IFERROR(AVERAGEIF('Данные 1st'!$S$2:$S$317,$A42,'Данные 1st'!$BF$2:$BF$317),"")</f>
        <v>262.5</v>
      </c>
      <c r="P42" s="7">
        <f>IFERROR(AVERAGEIF('Данные 1st'!$S$2:$S$317,$A42,'Данные 1st'!$BG$2:$BG$317),"")</f>
        <v>1.5</v>
      </c>
      <c r="Q42" s="7">
        <f>IFERROR(AVERAGEIF('Данные 1st'!$S$2:$S$317,$A42,'Данные 1st'!$BM$2:$BM$317),"")</f>
        <v/>
      </c>
      <c r="R42" s="7">
        <f>IFERROR(AVERAGEIF('Данные 1st'!$S$2:$S$317,$A42,'Данные 1st'!$BN$2:$BN$317),"")</f>
        <v>1.5</v>
      </c>
      <c r="S42" s="7">
        <f>IFERROR(AVERAGEIF('Данные 1st'!$S$2:$S$317,$A42,'Данные 1st'!$BT$2:$BT$317),"")</f>
        <v>236</v>
      </c>
      <c r="T42" s="7">
        <f>IFERROR(AVERAGEIF('Данные 1st'!$S$2:$S$317,$A42,'Данные 1st'!$BU$2:$BU$317),"")</f>
        <v>0.5</v>
      </c>
      <c r="U42" s="7">
        <f>IFERROR(AVERAGEIF('Данные 1st'!$S$2:$S$317,$A42,'Данные 1st'!$BW$2:$BW$317),"")</f>
        <v>472</v>
      </c>
      <c r="V42" s="7">
        <f>IFERROR(AVERAGEIF('Данные 1st'!$S$2:$S$317,$A42,'Данные 1st'!$BX$2:$BX$317),"")</f>
        <v>1</v>
      </c>
      <c r="W42" s="7">
        <f>IFERROR(AVERAGEIF('Данные 1st'!$S$2:$S$317,$A42,'Данные 1st'!$BZ$2:$BZ$317),"")</f>
        <v>470</v>
      </c>
      <c r="X42" s="7">
        <f>IFERROR(AVERAGEIF('Данные 1st'!$S$2:$S$317,$A42,'Данные 1st'!$CA$2:$CA$317),"")</f>
        <v>550</v>
      </c>
      <c r="Y42" s="7">
        <f>IFERROR(AVERAGEIF('Данные 1st'!$S$2:$S$317,$A42,'Данные 1st'!$CD$2:$CD$317),"")</f>
        <v>488</v>
      </c>
      <c r="Z42" s="7">
        <f>IFERROR(AVERAGEIF('Данные 1st'!$S$2:$S$317,$A42,'Данные 1st'!$CF$2:$CF$317),"")</f>
        <v>15</v>
      </c>
      <c r="AA42" s="7">
        <f>IFERROR(AVERAGEIF('Данные 1st'!$S$2:$S$317,$A42,'Данные 1st'!$CI$2:$CI$317),"")</f>
        <v>40</v>
      </c>
      <c r="AB42" s="7">
        <f>IFERROR(AVERAGEIF('Данные 1st'!$S$2:$S$317,$A42,'Данные 1st'!$CJ$2:$CJ$317),"")</f>
        <v>1200</v>
      </c>
      <c r="AC42" s="7">
        <f>IFERROR(AVERAGEIF('Данные 1st'!$S$2:$S$317,$A42,'Данные 1st'!$CK$2:$CK$317),"")</f>
        <v>2</v>
      </c>
      <c r="AD42" s="7">
        <f>IFERROR(AVERAGEIF('Данные 1st'!$S$2:$S$317,$A42,'Данные 1st'!$CL$2:$CL$317),"")</f>
        <v>1301</v>
      </c>
      <c r="AE42" s="7">
        <f>IFERROR(AVERAGEIF('Данные 1st'!$S$2:$S$317,$A42,'Данные 1st'!$CM$2:$CM$317),"")</f>
        <v>2</v>
      </c>
      <c r="AF42" s="7">
        <f>IFERROR(AVERAGEIF('Данные 1st'!$S$2:$S$317,$A42,'Данные 1st'!$CT$2:$CT$317),"")</f>
        <v>435</v>
      </c>
      <c r="AG42" s="7">
        <f>IFERROR(AVERAGEIF('Данные 1st'!$S$2:$S$317,$A42,'Данные 1st'!$CU$2:$CU$317),"")</f>
        <v>5</v>
      </c>
      <c r="AH42" s="7">
        <f>IFERROR(AVERAGEIF('Данные 1st'!$S$2:$S$317,$A42,'Данные 1st'!$CV$2:$CV$317),"")</f>
        <v>1.2</v>
      </c>
      <c r="AI42" s="7">
        <f>IFERROR(AVERAGEIF('Данные 1st'!$S$2:$S$317,$A42,'Данные 1st'!$CW$2:$CW$317),"")</f>
        <v>1218</v>
      </c>
      <c r="AJ42" s="7">
        <f>IFERROR(AVERAGEIF('Данные 1st'!$S$2:$S$317,$A42,'Данные 1st'!$CX$2:$CX$317),"")</f>
        <v>750</v>
      </c>
      <c r="AK42" s="7">
        <f>IFERROR(AVERAGEIF('Данные 1st'!$S$2:$S$317,$A42,'Данные 1st'!$CZ$2:$CZ$317),"")</f>
        <v>50</v>
      </c>
      <c r="AL42" s="7">
        <f>IFERROR(AVERAGEIF('Данные 1st'!$S$2:$S$317,$A42,'Данные 1st'!$DA$2:$DA$317),"")</f>
        <v>3</v>
      </c>
      <c r="AM42" s="7">
        <f>IFERROR(AVERAGEIF('Данные 1st'!$S$2:$S$317,$A42,'Данные 1st'!$DB$2:$DB$317),"")</f>
        <v>1</v>
      </c>
      <c r="AN42" s="7">
        <f>IFERROR(AVERAGEIF('Данные 1st'!$S$2:$S$317,$A42,'Данные 1st'!$DC$2:$DC$317),"")</f>
        <v>1218</v>
      </c>
      <c r="AO42" s="7">
        <f>IFERROR(AVERAGEIF('Данные 1st'!$S$2:$S$317,$A42,'Данные 1st'!$DD$2:$DD$317),"")</f>
        <v>64</v>
      </c>
      <c r="AP42" s="7">
        <f>IFERROR(AVERAGEIF('Данные 1st'!$S$2:$S$317,$A42,'Данные 1st'!$DF$2:$DF$317),"")</f>
        <v>650</v>
      </c>
      <c r="AQ42" s="7">
        <f>IFERROR(AVERAGEIF('Данные 1st'!$S$2:$S$317,$A42,'Данные 1st'!$DG$2:$DG$317),"")</f>
        <v>3</v>
      </c>
      <c r="AR42" s="7">
        <f>IFERROR(AVERAGEIF('Данные 1st'!$S$2:$S$317,$A42,'Данные 1st'!$DH$2:$DH$317),"")</f>
        <v>1.18</v>
      </c>
      <c r="AS42" s="7">
        <f>IFERROR(AVERAGEIF('Данные 1st'!$S$2:$S$317,$A42,'Данные 1st'!$DI$2:$DI$317),"")</f>
        <v>1211</v>
      </c>
      <c r="AT42" s="7">
        <f>IFERROR(AVERAGEIF('Данные 1st'!$S$2:$S$317,$A42,'Данные 1st'!$DJ$2:$DJ$317),"")</f>
        <v>1222</v>
      </c>
      <c r="AU42" s="7">
        <f>IFERROR(AVERAGEIF('Данные 1st'!$S$2:$S$317,$A42,'Данные 1st'!$DL$2:$DL$317),"")</f>
        <v>525</v>
      </c>
      <c r="AV42" s="7">
        <f>IFERROR(AVERAGEIF('Данные 1st'!$S$2:$S$317,$A42,'Данные 1st'!$DM$2:$DM$317),"")</f>
        <v>3</v>
      </c>
      <c r="AW42" s="7">
        <f>IFERROR(AVERAGEIF('Данные 1st'!$S$2:$S$317,$A42,'Данные 1st'!$DN$2:$DN$317),"")</f>
        <v>1.18</v>
      </c>
      <c r="AX42" s="7">
        <f>IFERROR(AVERAGEIF('Данные 1st'!$S$2:$S$317,$A42,'Данные 1st'!$DO$2:$DO$317),"")</f>
        <v>1219</v>
      </c>
      <c r="AY42" s="7">
        <f>IFERROR(AVERAGEIF('Данные 1st'!$S$2:$S$317,$A42,'Данные 1st'!$DP$2:$DP$317),"")</f>
        <v>1028</v>
      </c>
      <c r="AZ42" s="7">
        <f>IFERROR(AVERAGEIF('Данные 1st'!$S$2:$S$317,$A42,'Данные 1st'!$DR$2:$DR$317),"")</f>
        <v/>
      </c>
      <c r="BA42" s="7">
        <f>IFERROR(AVERAGEIF('Данные 1st'!$S$2:$S$317,$A42,'Данные 1st'!$DS$2:$DS$317),"")</f>
        <v/>
      </c>
      <c r="BB42" s="7">
        <f>IFERROR(AVERAGEIF('Данные 1st'!$S$2:$S$317,$A42,'Данные 1st'!$DT$2:$DT$317),"")</f>
        <v/>
      </c>
      <c r="BC42" s="7">
        <f>IFERROR(AVERAGEIF('Данные 1st'!$S$2:$S$317,$A42,'Данные 1st'!$DU$2:$DU$317),"")</f>
        <v/>
      </c>
      <c r="BD42" s="7">
        <f>IFERROR(AVERAGEIF('Данные 1st'!$S$2:$S$317,$A42,'Данные 1st'!$DV$2:$DV$317),"")</f>
        <v/>
      </c>
      <c r="BE42" s="7">
        <f>IFERROR(AVERAGEIF('Данные 1st'!$S$2:$S$317,$A42,'Данные 1st'!$DX$2:$DX$317),"")</f>
        <v>7.5</v>
      </c>
      <c r="BF42" s="7">
        <f>IFERROR(AVERAGEIF('Данные 1st'!$S$2:$S$317,$A42,'Данные 1st'!$EA$2:$EA$317),"")</f>
        <v>1285.7</v>
      </c>
      <c r="BG42" s="7">
        <f>IFERROR(AVERAGEIF('Данные 1st'!$S$2:$S$317,$A42,'Данные 1st'!$EB$2:$EB$317),"")</f>
        <v>304</v>
      </c>
      <c r="BH42" s="7">
        <f>IFERROR(AVERAGEIF('Данные 1st'!$S$2:$S$317,$A42,'Данные 1st'!$ED$2:$ED$317),"")</f>
        <v>40</v>
      </c>
      <c r="BI42" s="7">
        <f>IFERROR(AVERAGEIF('Данные 1st'!$S$2:$S$317,$A42,'Данные 1st'!$EE$2:$EE$317),"")</f>
        <v>3</v>
      </c>
      <c r="BJ42" s="7">
        <f>IFERROR(AVERAGEIF('Данные 1st'!$S$2:$S$317,$A42,'Данные 1st'!$EG$2:$EG$317),"")</f>
        <v>1337</v>
      </c>
      <c r="BK42" s="7">
        <f>IFERROR(AVERAGEIF('Данные 1st'!$S$2:$S$317,$A42,'Данные 1st'!$EH$2:$EH$317),"")</f>
        <v>213</v>
      </c>
      <c r="BL42" s="7">
        <f>IFERROR(AVERAGEIF('Данные 1st'!$S$2:$S$317,$A42,'Данные 1st'!$EJ$2:$EJ$317),"")</f>
        <v>0</v>
      </c>
      <c r="BM42" s="7">
        <f>IFERROR(AVERAGEIF('Данные 1st'!$S$2:$S$317,$A42,'Данные 1st'!$EK$2:$EK$317),"")</f>
        <v>1</v>
      </c>
      <c r="BN42" s="7">
        <f>IFERROR(AVERAGEIF('Данные 1st'!$S$2:$S$317,$A42,'Данные 1st'!$EN$2:$EN$317),"")</f>
        <v>0</v>
      </c>
      <c r="BO42" s="7">
        <f>IFERROR(AVERAGEIF('Данные 1st'!$S$2:$S$317,$A42,'Данные 1st'!$EQ$2:$EQ$317),"")</f>
        <v>140</v>
      </c>
      <c r="BP42" s="7">
        <f>IFERROR(AVERAGEIF('Данные 1st'!$S$2:$S$317,$A42,'Данные 1st'!$ER$2:$ER$317),"")</f>
        <v>3</v>
      </c>
      <c r="BQ42" s="7">
        <f>IFERROR(AVERAGEIF('Данные 1st'!$S$2:$S$317,$A42,'Данные 1st'!$ES$2:$ES$317),"")</f>
        <v>5.5</v>
      </c>
      <c r="BR42" s="7">
        <f>IFERROR(AVERAGEIF('Данные 1st'!$S$2:$S$317,$A42,'Данные 1st'!$ET$2:$ET$317),"")</f>
        <v>1198</v>
      </c>
      <c r="BS42" s="7">
        <f>IFERROR(AVERAGEIF('Данные 1st'!$S$2:$S$317,$A42,'Данные 1st'!$EU$2:$EU$317),"")</f>
        <v>653</v>
      </c>
      <c r="BT42" s="7">
        <f>IFERROR(AVERAGEIF('Данные 1st'!$S$2:$S$317,$A42,'Данные 1st'!$EV$2:$EV$317),"")</f>
        <v>782</v>
      </c>
      <c r="BU42" s="7">
        <f>IFERROR(AVERAGEIF('Данные 1st'!$S$2:$S$317,$A42,'Данные 1st'!$EX$2:$EX$317),"")</f>
        <v>45</v>
      </c>
      <c r="BV42" s="7">
        <f>IFERROR(AVERAGEIF('Данные 1st'!$S$2:$S$317,$A42,'Данные 1st'!$EY$2:$EY$317),"")</f>
        <v>2</v>
      </c>
      <c r="BW42" s="7">
        <f>IFERROR(AVERAGEIF('Данные 1st'!$S$2:$S$317,$A42,'Данные 1st'!$EZ$2:$EZ$317),"")</f>
        <v>4.8</v>
      </c>
      <c r="BX42" s="7">
        <f>IFERROR(AVERAGEIF('Данные 1st'!$S$2:$S$317,$A42,'Данные 1st'!$FA$2:$FA$317),"")</f>
        <v>1198</v>
      </c>
      <c r="BY42" s="7">
        <f>IFERROR(AVERAGEIF('Данные 1st'!$S$2:$S$317,$A42,'Данные 1st'!$FB$2:$FB$317),"")</f>
        <v>167.3</v>
      </c>
      <c r="BZ42" s="7">
        <f>IFERROR(AVERAGEIF('Данные 1st'!$S$2:$S$317,$A42,'Данные 1st'!$FC$2:$FC$317),"")</f>
        <v>200</v>
      </c>
      <c r="CA42" s="7">
        <f>IFERROR(AVERAGEIF('Данные 1st'!$S$2:$S$317,$A42,'Данные 1st'!$FE$2:$FE$317),"")</f>
        <v>0</v>
      </c>
      <c r="CB42" s="7">
        <f>IFERROR(AVERAGEIF('Данные 1st'!$S$2:$S$317,$A42,'Данные 1st'!$FF$2:$FF$317),"")</f>
        <v>2</v>
      </c>
      <c r="CC42" s="7">
        <f>IFERROR(AVERAGEIF('Данные 1st'!$S$2:$S$317,$A42,'Данные 1st'!$FI$2:$FI$317),"")</f>
        <v>0</v>
      </c>
      <c r="CD42" s="7">
        <f>IFERROR(AVERAGEIF('Данные 1st'!$S$2:$S$317,$A42,'Данные 1st'!$FL$2:$FL$317),"")</f>
        <v>0.4</v>
      </c>
      <c r="CE42" s="7">
        <f>IFERROR(AVERAGEIF('Данные 1st'!$S$2:$S$317,$A42,'Данные 1st'!$FM$2:$FM$317),"")</f>
        <v>40</v>
      </c>
      <c r="CF42" s="7">
        <f>IFERROR(AVERAGEIF('Данные 1st'!$S$2:$S$317,$A42,'Данные 1st'!$FN$2:$FN$317),"")</f>
        <v>410</v>
      </c>
      <c r="CG42" s="7">
        <f>IFERROR(AVERAGEIF('Данные 1st'!$S$2:$S$317,$A42,'Данные 1st'!$FO$2:$FO$317),"")</f>
        <v>105</v>
      </c>
      <c r="CH42" s="7">
        <f>IFERROR(AVERAGEIF('Данные 1st'!$S$2:$S$317,$A42,'Данные 1st'!$FP$2:$FP$317),"")</f>
        <v>120</v>
      </c>
      <c r="CI42" s="7">
        <f>IFERROR(AVERAGEIF('Данные 1st'!$S$2:$S$317,$A42,'Данные 1st'!$FS$2:$FS$317),"")</f>
        <v/>
      </c>
      <c r="CJ42" s="7">
        <f>IFERROR(AVERAGEIF('Данные 1st'!$S$2:$S$317,$A42,'Данные 1st'!$FT$2:$FT$317),"")</f>
        <v/>
      </c>
      <c r="CK42" s="7">
        <f>IFERROR(AVERAGEIF('Данные 1st'!$S$2:$S$317,$A42,'Данные 1st'!$FU$2:$FU$317),"")</f>
        <v/>
      </c>
      <c r="CL42" s="7">
        <f>IFERROR(AVERAGEIF('Данные 1st'!$S$2:$S$317,$A42,'Данные 1st'!$FV$2:$FV$317),"")</f>
        <v/>
      </c>
      <c r="CM42" s="7">
        <f>IFERROR(AVERAGEIF('Данные 1st'!$S$2:$S$317,$A42,'Данные 1st'!$FW$2:$FW$317),"")</f>
        <v/>
      </c>
      <c r="CN42" s="7">
        <f>IFERROR(AVERAGEIF('Данные 1st'!$S$2:$S$317,$A42,'Данные 1st'!$FZ$2:$FZ$317),"")</f>
        <v/>
      </c>
      <c r="CO42" s="7">
        <f>IFERROR(AVERAGEIF('Данные 1st'!$S$2:$S$317,$A42,'Данные 1st'!$GA$2:$GA$317),"")</f>
        <v/>
      </c>
      <c r="CP42" s="7">
        <f>IFERROR(AVERAGEIF('Данные 1st'!$S$2:$S$317,$A42,'Данные 1st'!$GB$2:$GB$317),"")</f>
        <v/>
      </c>
      <c r="CQ42" s="7">
        <f>IFERROR(AVERAGEIF('Данные 1st'!$S$2:$S$317,$A42,'Данные 1st'!$GH$2:$GH$317),"")</f>
        <v/>
      </c>
      <c r="CR42" s="7">
        <f>IFERROR(AVERAGEIF('Данные 1st'!$S$2:$S$317,$A42,'Данные 1st'!$GI$2:$GI$317),"")</f>
        <v/>
      </c>
      <c r="CS42" s="7">
        <f>IFERROR(AVERAGEIF('Данные 1st'!$S$2:$S$317,$A42,'Данные 1st'!$GJ$2:$GJ$317),"")</f>
        <v/>
      </c>
      <c r="CT42" s="7">
        <f>IFERROR(AVERAGEIF('Данные 1st'!$S$2:$S$317,$A42,'Данные 1st'!$GS$2:$GS$317),"")</f>
        <v>0.4</v>
      </c>
      <c r="CU42" s="7">
        <f>IFERROR(AVERAGEIF('Данные 1st'!$S$2:$S$317,$A42,'Данные 1st'!$GT$2:$GT$317),"")</f>
        <v>150</v>
      </c>
      <c r="CV42" s="7">
        <f>IFERROR(AVERAGEIF('Данные 1st'!$S$2:$S$317,$A42,'Данные 1st'!$GU$2:$GU$317),"")</f>
        <v>130</v>
      </c>
      <c r="CW42" s="7">
        <f>IFERROR(AVERAGEIF('Данные 1st'!$S$2:$S$317,$A42,'Данные 1st'!$GV$2:$GV$317),"")</f>
        <v/>
      </c>
      <c r="CX42" s="7">
        <f>IFERROR(AVERAGEIF('Данные 1st'!$S$2:$S$317,$A42,'Данные 1st'!$GW$2:$GW$317),"")</f>
        <v/>
      </c>
      <c r="CY42" s="7">
        <f>IFERROR(AVERAGEIF('Данные 1st'!$S$2:$S$317,$A42,'Данные 1st'!$GZ$2:$GZ$317),"")</f>
        <v/>
      </c>
      <c r="CZ42" s="7">
        <f>IFERROR(AVERAGEIF('Данные 1st'!$S$2:$S$317,$A42,'Данные 1st'!$HA$2:$HA$317),"")</f>
        <v/>
      </c>
      <c r="DA42" s="7">
        <f>IFERROR(AVERAGEIF('Данные 1st'!$S$2:$S$317,$A42,'Данные 1st'!$HB$2:$HB$317),"")</f>
        <v/>
      </c>
      <c r="DB42" s="7">
        <f>IFERROR(AVERAGEIF('Данные 1st'!$S$2:$S$317,$A42,'Данные 1st'!$HC$2:$HC$317),"")</f>
        <v>0.1</v>
      </c>
      <c r="DC42" s="7">
        <f>IFERROR(AVERAGEIF('Данные 1st'!$S$2:$S$317,$A42,'Данные 1st'!$HD$2:$HD$317),"")</f>
        <v>3</v>
      </c>
      <c r="DD42" s="7">
        <f>IFERROR(AVERAGEIF('Данные 1st'!$S$2:$S$317,$A42,'Данные 1st'!$HE$2:$HE$317),"")</f>
        <v>3</v>
      </c>
      <c r="DE42" s="7">
        <f>IFERROR(AVERAGEIF('Данные 1st'!$S$2:$S$317,$A42,'Данные 1st'!$HF$2:$HF$317),"")</f>
        <v>3</v>
      </c>
      <c r="DF42" s="7">
        <f>IFERROR(AVERAGEIF('Данные 1st'!$S$2:$S$317,$A42,'Данные 1st'!$HG$2:$HG$317),"")</f>
        <v>3</v>
      </c>
      <c r="DG42" s="7">
        <f>IFERROR(AVERAGEIF('Данные 1st'!$S$2:$S$317,$A42,'Данные 1st'!$HH$2:$HH$317),"")</f>
        <v>3</v>
      </c>
      <c r="DH42" s="7">
        <f>IFERROR(AVERAGEIF('Данные 1st'!$S$2:$S$317,$A42,'Данные 1st'!$HI$2:$HI$317),"")</f>
        <v>170</v>
      </c>
      <c r="DI42" s="7">
        <f>IFERROR(AVERAGEIF('Данные 1st'!$S$2:$S$317,$A42,'Данные 1st'!$HJ$2:$HJ$317),"")</f>
        <v>3</v>
      </c>
      <c r="DJ42" s="7">
        <f>IFERROR(AVERAGEIF('Данные 1st'!$S$2:$S$317,$A42,'Данные 1st'!$HK$2:$HK$317),"")</f>
        <v>30</v>
      </c>
      <c r="DK42" s="7">
        <f>IFERROR(AVERAGEIF('Данные 1st'!$S$2:$S$317,$A42,'Данные 1st'!$HL$2:$HL$317),"")</f>
        <v>2</v>
      </c>
      <c r="DL42" s="7">
        <f>IFERROR(AVERAGEIF('Данные 1st'!$S$2:$S$317,$A42,'Данные 1st'!$HM$2:$HM$317),"")</f>
        <v>0</v>
      </c>
      <c r="DM42" s="7">
        <f>IFERROR(AVERAGEIF('Данные 1st'!$S$2:$S$317,$A42,'Данные 1st'!$HN$2:$HN$317),"")</f>
        <v>2</v>
      </c>
      <c r="DN42" s="7">
        <f>IFERROR(AVERAGEIF('Данные 1st'!$S$2:$S$317,$A42,'Данные 1st'!$HO$2:$HO$317),"")</f>
        <v>125</v>
      </c>
      <c r="DO42" s="7">
        <f>IFERROR(AVERAGEIF('Данные 1st'!$S$2:$S$317,$A42,'Данные 1st'!$HP$2:$HP$317),"")</f>
        <v>3</v>
      </c>
      <c r="DP42" s="7">
        <f>IFERROR(AVERAGEIF('Данные 1st'!$S$2:$S$317,$A42,'Данные 1st'!$HQ$2:$HQ$317),"")</f>
        <v>0</v>
      </c>
      <c r="DQ42" s="7">
        <f>IFERROR(AVERAGEIF('Данные 1st'!$S$2:$S$317,$A42,'Данные 1st'!$HR$2:$HR$317),"")</f>
        <v>2</v>
      </c>
      <c r="DR42" s="7">
        <f>IFERROR(AVERAGEIF('Данные 1st'!$S$2:$S$317,$A42,'Данные 1st'!$HS$2:$HS$317),"")</f>
        <v>6126</v>
      </c>
      <c r="DS42" s="7">
        <f>IFERROR(AVERAGEIF('Данные 1st'!$S$2:$S$317,$A42,'Данные 1st'!$HT$2:$HT$317),"")</f>
        <v>180</v>
      </c>
      <c r="DT42" s="7">
        <f>IFERROR(AVERAGEIF('Данные 1st'!$S$2:$S$317,$A42,'Данные 1st'!$HU$2:$HU$317),"")</f>
        <v>180</v>
      </c>
      <c r="DU42" s="7">
        <f>IFERROR(AVERAGEIF('Данные 1st'!$S$2:$S$317,$A42,'Данные 1st'!$HW$2:$HW$317),"")</f>
        <v>0</v>
      </c>
      <c r="DV42" s="7">
        <f>IFERROR(AVERAGEIF('Данные 1st'!$S$2:$S$317,$A42,'Данные 1st'!$HX$2:$HX$317),"")</f>
        <v>530</v>
      </c>
      <c r="DW42" s="7">
        <f>IFERROR(AVERAGEIF('Данные 1st'!$S$2:$S$317,$A42,'Данные 1st'!$HY$2:$HY$317),"")</f>
        <v>0.18</v>
      </c>
      <c r="DX42" s="7">
        <f>IFERROR(AVERAGEIF('Данные 1st'!$S$2:$S$317,$A42,'Данные 1st'!$IA$2:$IA$317),"")</f>
        <v>0.15</v>
      </c>
      <c r="DY42" s="7">
        <f>IFERROR(AVERAGEIF('Данные 1st'!$S$2:$S$317,$A42,'Данные 1st'!$IB$2:$IB$317),"")</f>
        <v>0</v>
      </c>
      <c r="DZ42" s="7">
        <f>IFERROR(AVERAGEIF('Данные 1st'!$S$2:$S$317,$A42,'Данные 1st'!$IC$2:$IC$317),"")</f>
        <v>180</v>
      </c>
      <c r="EA42" s="7">
        <f>IFERROR(AVERAGEIF('Данные 1st'!$S$2:$S$317,$A42,'Данные 1st'!$ID$2:$ID$317),"")</f>
        <v>110</v>
      </c>
      <c r="EB42" s="7">
        <f>IFERROR(AVERAGEIF('Данные 1st'!$S$2:$S$317,$A42,'Данные 1st'!$IE$2:$IE$317),"")</f>
        <v>225</v>
      </c>
      <c r="EC42" s="7">
        <f>IFERROR(AVERAGEIF('Данные 1st'!$S$2:$S$317,$A42,'Данные 1st'!$IF$2:$IF$317),"")</f>
        <v>0</v>
      </c>
      <c r="ED42" s="7">
        <f>IFERROR(AVERAGEIF('Данные 1st'!$S$2:$S$317,$A42,'Данные 1st'!$IP$2:$IP$317),"")</f>
        <v>16</v>
      </c>
      <c r="EE42" s="7">
        <f>IFERROR(AVERAGEIF('Данные 1st'!$S$2:$S$317,$A42,'Данные 1st'!$IV$2:$IV$317),"")</f>
        <v>1200</v>
      </c>
      <c r="EF42" s="7">
        <f>IFERROR(AVERAGEIF('Данные 1st'!$S$2:$S$317,$A42,'Данные 1st'!$IW$2:$IW$317),"")</f>
        <v>472</v>
      </c>
      <c r="EG42" s="7">
        <f>IFERROR(AVERAGEIF('Данные 1st'!$S$2:$S$317,$A42,'Данные 1st'!$IX$2:$IX$317),"")</f>
        <v/>
      </c>
      <c r="EH42" s="7">
        <f>IFERROR(AVERAGEIF('Данные 1st'!$S$2:$S$317,$A42,'Данные 1st'!$IY$2:$IY$317),"")</f>
        <v/>
      </c>
      <c r="EI42" s="7">
        <f>IFERROR(AVERAGEIF('Данные 1st'!$S$2:$S$317,$A42,'Данные 1st'!$JD$2:$JD$317),"")</f>
        <v>1218</v>
      </c>
      <c r="EJ42" s="7">
        <f>IFERROR(AVERAGEIF('Данные 1st'!$S$2:$S$317,$A42,'Данные 1st'!$JE$2:$JE$317),"")</f>
        <v>1211</v>
      </c>
      <c r="EK42" s="7">
        <f>IFERROR(AVERAGEIF('Данные 1st'!$S$2:$S$317,$A42,'Данные 1st'!$JF$2:$JF$317),"")</f>
        <v>1219</v>
      </c>
      <c r="EL42" s="7">
        <f>IFERROR(AVERAGEIF('Данные 1st'!$S$2:$S$317,$A42,'Данные 1st'!$JG$2:$JG$317),"")</f>
        <v>1198</v>
      </c>
      <c r="EM42" s="7">
        <f>IFERROR(AVERAGEIF('Данные 1st'!$S$2:$S$317,$A42,'Данные 1st'!$JH$2:$JH$317),"")</f>
        <v>0</v>
      </c>
      <c r="EN42" s="7">
        <f>IFERROR(AVERAGEIF('Данные 1st'!$S$2:$S$317,$A42,'Данные 1st'!$JJ$2:$JJ$317),"")</f>
        <v>180</v>
      </c>
      <c r="EO42" s="7">
        <f>IFERROR(AVERAGEIF('Данные 1st'!$S$2:$S$317,$A42,'Данные 1st'!$JK$2:$JK$317),"")</f>
        <v>530</v>
      </c>
      <c r="EP42" s="7">
        <f>IFERROR(AVERAGEIF('Данные 1st'!$S$2:$S$317,$A42,'Данные 1st'!$JL$2:$JL$317),"")</f>
        <v/>
      </c>
      <c r="EQ42" s="7">
        <f>IFERROR(AVERAGEIF('Данные 1st'!$S$2:$S$317,$A42,'Данные 1st'!$JM$2:$JM$317),"")</f>
        <v/>
      </c>
      <c r="ER42" s="7">
        <f>IFERROR(AVERAGEIF('Данные 1st'!$S$2:$S$317,$A42,'Данные 1st'!$JN$2:$JN$317),"")</f>
        <v>435</v>
      </c>
      <c r="ES42" s="7">
        <f>IFERROR(AVERAGEIF('Данные 1st'!$S$2:$S$317,$A42,'Данные 1st'!$JO$2:$JO$317),"")</f>
        <v>650</v>
      </c>
      <c r="ET42" s="7">
        <f>IFERROR(AVERAGEIF('Данные 1st'!$S$2:$S$317,$A42,'Данные 1st'!$JP$2:$JP$317),"")</f>
        <v>525</v>
      </c>
      <c r="EU42" s="7">
        <f>IFERROR(AVERAGEIF('Данные 1st'!$S$2:$S$317,$A42,'Данные 1st'!$JQ$2:$JQ$317),"")</f>
        <v>0</v>
      </c>
      <c r="EV42" s="7">
        <f>IFERROR(AVERAGEIF('Данные 1st'!$S$2:$S$317,$A42,'Данные 1st'!$JR$2:$JR$317),"")</f>
        <v>478</v>
      </c>
      <c r="EW42" s="7">
        <f>IFERROR(AVERAGEIF('Данные 1st'!$S$2:$S$317,$A42,'Данные 1st'!$JS$2:$JS$317),"")</f>
        <v>170</v>
      </c>
      <c r="EX42" s="7">
        <f>IFERROR(AVERAGEIF('Данные 1st'!$S$2:$S$317,$A42,'Данные 1st'!$JT$2:$JT$317),"")</f>
        <v/>
      </c>
      <c r="EY42" s="7">
        <f>IFERROR(AVERAGEIF('Данные 1st'!$S$2:$S$317,$A42,'Данные 1st'!$JU$2:$JU$317),"")</f>
        <v/>
      </c>
      <c r="EZ42" s="7">
        <f>IFERROR(AVERAGEIF('Данные 1st'!$S$2:$S$317,$A42,'Данные 1st'!$JV$2:$JV$317),"")</f>
        <v>8</v>
      </c>
      <c r="FA42" s="7">
        <f>IFERROR(AVERAGEIF('Данные 1st'!$S$2:$S$317,$A42,'Данные 1st'!$JW$2:$JW$317),"")</f>
        <v/>
      </c>
      <c r="FB42" s="7">
        <f>IFERROR(AVERAGEIF('Данные 1st'!$S$2:$S$317,$A42,'Данные 1st'!$JX$2:$JX$317),"")</f>
        <v>514</v>
      </c>
      <c r="FC42" s="7">
        <f>IFERROR(AVERAGEIF('Данные 1st'!$S$2:$S$317,$A42,'Данные 1st'!$JY$2:$JY$317),"")</f>
        <v/>
      </c>
      <c r="FD42" s="7">
        <f>IFERROR(AVERAGEIF('Данные 1st'!$S$2:$S$317,$A42,'Данные 1st'!$JZ$2:$JZ$317),"")</f>
        <v/>
      </c>
      <c r="FE42" s="7">
        <f>IFERROR(AVERAGEIF('Данные 1st'!$S$2:$S$317,$A42,'Данные 1st'!$KA$2:$KA$317),"")</f>
        <v>225</v>
      </c>
      <c r="FF42" s="7">
        <f>IFERROR(AVERAGEIF('Данные 1st'!$S$2:$S$317,$A42,'Данные 1st'!$KB$2:$KB$317),"")</f>
        <v>110</v>
      </c>
      <c r="FG42" s="7">
        <f>IFERROR(AVERAGEIF('Данные 1st'!$S$2:$S$317,$A42,'Данные 1st'!$KC$2:$KC$317),"")</f>
        <v>0</v>
      </c>
      <c r="FH42" s="7">
        <f>IFERROR(AVERAGEIF('Данные 1st'!$S$2:$S$317,$A42,'Данные 1st'!$KD$2:$KD$317),"")</f>
        <v>80</v>
      </c>
      <c r="FI42" s="7">
        <f>IFERROR(AVERAGEIF('Данные 1st'!$S$2:$S$317,$A42,'Данные 1st'!$KE$2:$KE$317),"")</f>
        <v/>
      </c>
      <c r="FJ42" s="7">
        <f>IFERROR(AVERAGEIF('Данные 1st'!$S$2:$S$317,$A42,'Данные 1st'!$KF$2:$KF$317),"")</f>
        <v>4</v>
      </c>
      <c r="FK42" s="7">
        <f>IFERROR(AVERAGEIF('Данные 1st'!$S$2:$S$317,$A42,'Данные 1st'!$KG$2:$KG$317),"")</f>
        <v>2</v>
      </c>
      <c r="FL42" s="7">
        <f>IFERROR(AVERAGEIF('Данные 1st'!$S$2:$S$317,$A42,'Данные 1st'!$KH$2:$KH$317),"")</f>
        <v>2</v>
      </c>
      <c r="FM42" s="7">
        <f>IFERROR(AVERAGEIF('Данные 1st'!$S$2:$S$317,$A42,'Данные 1st'!$KI$2:$KI$317),"")</f>
        <v>2</v>
      </c>
      <c r="FN42" s="7">
        <f>IFERROR(AVERAGEIF('Данные 1st'!$S$2:$S$317,$A42,'Данные 1st'!$KJ$2:$KJ$317),"")</f>
        <v>0</v>
      </c>
      <c r="FO42" s="7">
        <f>IFERROR(AVERAGEIF('Данные 1st'!$S$2:$S$317,$A42,'Данные 1st'!$KK$2:$KK$317),"")</f>
        <v>1.5</v>
      </c>
      <c r="FP42" s="7">
        <f>IFERROR(AVERAGEIF('Данные 1st'!$S$2:$S$317,$A42,'Данные 1st'!$KL$2:$KL$317),"")</f>
        <v>1.5</v>
      </c>
      <c r="FQ42" s="7">
        <f>IFERROR(AVERAGEIF('Данные 1st'!$S$2:$S$317,$A42,'Данные 1st'!$KM$2:$KM$317),"")</f>
        <v>0</v>
      </c>
      <c r="FR42" s="7">
        <f>IFERROR(AVERAGEIF('Данные 1st'!$S$2:$S$317,$A42,'Данные 1st'!$KN$2:$KN$317),"")</f>
        <v>0</v>
      </c>
      <c r="FS42" s="7">
        <f>IFERROR(AVERAGEIF('Данные 1st'!$S$2:$S$317,$A42,'Данные 1st'!$KR$2:$KR$317),"")</f>
        <v>30</v>
      </c>
      <c r="FT42" s="7">
        <f>IFERROR(AVERAGEIF('Данные 1st'!$S$2:$S$317,$A42,'Данные 1st'!$KS$2:$KS$317),"")</f>
        <v>60</v>
      </c>
      <c r="FU42" s="7">
        <f>IFERROR(AVERAGEIF('Данные 1st'!$S$2:$S$317,$A42,'Данные 1st'!$KT$2:$KT$317),"")</f>
        <v>0</v>
      </c>
      <c r="FV42" s="7">
        <f>IFERROR(AVERAGEIF('Данные 1st'!$S$2:$S$317,$A42,'Данные 1st'!$KV$2:$KV$317),"")</f>
        <v/>
      </c>
      <c r="FW42" s="7">
        <f>IFERROR(AVERAGEIF('Данные 1st'!$S$2:$S$317,$A42,'Данные 1st'!$KW$2:$KW$317),"")</f>
        <v/>
      </c>
      <c r="FX42" s="7">
        <f>IFERROR(AVERAGEIF('Данные 1st'!$S$2:$S$317,$A42,'Данные 1st'!$KX$2:$KX$317),"")</f>
        <v/>
      </c>
      <c r="FY42" s="7">
        <f>IFERROR(AVERAGEIF('Данные 1st'!$S$2:$S$317,$A42,'Данные 1st'!$KY$2:$KY$317),"")</f>
        <v/>
      </c>
      <c r="FZ42" s="7">
        <f>IFERROR(AVERAGEIF('Данные 1st'!$S$2:$S$317,$A42,'Данные 1st'!$KZ$2:$KZ$317),"")</f>
        <v/>
      </c>
      <c r="GA42" s="7">
        <f>IFERROR(AVERAGEIF('Данные 1st'!$S$2:$S$317,$A42,'Данные 1st'!$LA$2:$LA$317),"")</f>
        <v/>
      </c>
      <c r="GB42" s="7">
        <f>IFERROR(AVERAGEIF('Данные 1st'!$S$2:$S$317,$A42,'Данные 1st'!$LB$2:$LB$317),"")</f>
        <v/>
      </c>
      <c r="GC42" s="7">
        <f>IFERROR(AVERAGEIF('Данные 1st'!$S$2:$S$317,$A42,'Данные 1st'!$LC$2:$LC$317),"")</f>
        <v/>
      </c>
      <c r="GD42" s="7">
        <f>IFERROR(AVERAGEIF('Данные 1st'!$S$2:$S$317,$A42,'Данные 1st'!$LD$2:$LD$317),"")</f>
        <v/>
      </c>
      <c r="GE42" s="7">
        <f>IFERROR(AVERAGEIF('Данные 1st'!$S$2:$S$317,$A42,'Данные 1st'!$LE$2:$LE$317),"")</f>
        <v/>
      </c>
      <c r="GF42" s="7">
        <f>IFERROR(AVERAGEIF('Данные 1st'!$S$2:$S$317,$A42,'Данные 1st'!$LF$2:$LF$317),"")</f>
        <v/>
      </c>
      <c r="GG42" s="7">
        <f>IFERROR(AVERAGEIF('Данные 1st'!$S$2:$S$317,$A42,'Данные 1st'!$LG$2:$LG$317),"")</f>
        <v/>
      </c>
      <c r="GH42" s="7">
        <f>IFERROR(AVERAGEIF('Данные 1st'!$S$2:$S$317,$A42,'Данные 1st'!$LH$2:$LH$317),"")</f>
        <v/>
      </c>
      <c r="GI42" s="7">
        <f>IFERROR(AVERAGEIF('Данные 1st'!$S$2:$S$317,$A42,'Данные 1st'!$LI$2:$LI$317),"")</f>
        <v/>
      </c>
      <c r="GJ42" s="7">
        <f>IFERROR(AVERAGEIF('Данные 1st'!$S$2:$S$317,$A42,'Данные 1st'!$LJ$2:$LJ$317),"")</f>
        <v/>
      </c>
      <c r="GK42" s="7">
        <f>IFERROR(AVERAGEIF('Данные 1st'!$S$2:$S$317,$A42,'Данные 1st'!$LK$2:$LK$317),"")</f>
        <v>480</v>
      </c>
      <c r="GL42" s="7">
        <f>IFERROR(AVERAGEIF('Данные 1st'!$S$2:$S$317,$A42,'Данные 1st'!$LV$2:$LV$317),"")</f>
        <v/>
      </c>
      <c r="GM42" s="7">
        <f>IFERROR(AVERAGEIF('Данные 1st'!$S$2:$S$317,$A42,'Данные 1st'!$LW$2:$LW$317),"")</f>
        <v/>
      </c>
      <c r="GN42" s="7">
        <f>IFERROR(AVERAGEIF('Данные 1st'!$S$2:$S$317,$A42,'Данные 1st'!$LX$2:$LX$317),"")</f>
        <v/>
      </c>
      <c r="GO42" s="7">
        <f>IFERROR(AVERAGEIF('Данные 1st'!$S$2:$S$317,$A42,'Данные 1st'!$LY$2:$LY$317),"")</f>
        <v/>
      </c>
      <c r="GP42" s="7">
        <f>IFERROR(AVERAGEIF('Данные 1st'!$S$2:$S$317,$A42,'Данные 1st'!$LZ$2:$LZ$317),"")</f>
        <v/>
      </c>
      <c r="GQ42" s="7">
        <f>IFERROR(AVERAGEIF('Данные 1st'!$S$2:$S$317,$A42,'Данные 1st'!$PG$2:$PG$317),"")</f>
        <v>1</v>
      </c>
      <c r="GR42" s="7">
        <f>IFERROR(AVERAGEIF('Данные 1st'!$S$2:$S$317,$A42,'Данные 1st'!$PX$2:$PX$317),"")</f>
        <v>56</v>
      </c>
      <c r="GS42" s="7">
        <f>IFERROR(AVERAGEIF('Данные 1st'!$S$2:$S$317,$A42,'Данные 1st'!$PY$2:$PY$317),"")</f>
        <v>56</v>
      </c>
      <c r="GT42" s="7">
        <f>IFERROR(AVERAGEIF('Данные 1st'!$S$2:$S$317,$A42,'Данные 1st'!$QA$2:$QA$317),"")</f>
        <v>2</v>
      </c>
      <c r="GU42" s="7">
        <f>IFERROR(AVERAGEIF('Данные 1st'!$S$2:$S$317,$A42,'Данные 1st'!$QB$2:$QB$317),"")</f>
        <v>1198</v>
      </c>
      <c r="GV42" s="7">
        <f>IFERROR(AVERAGEIF('Данные 1st'!$S$2:$S$317,$A42,'Данные 1st'!$QC$2:$QC$317),"")</f>
        <v>69</v>
      </c>
      <c r="GW42" s="7">
        <f>IFERROR(AVERAGEIF('Данные 1st'!$S$2:$S$317,$A42,'Данные 1st'!$QD$2:$QD$317),"")</f>
        <v>69</v>
      </c>
      <c r="GX42" s="7">
        <f>IFERROR(AVERAGEIF('Данные 1st'!$S$2:$S$317,$A42,'Данные 1st'!$QF$2:$QF$317),"")</f>
        <v>1</v>
      </c>
      <c r="GY42" s="7">
        <f>IFERROR(AVERAGEIF('Данные 1st'!$S$2:$S$317,$A42,'Данные 1st'!$QG$2:$QG$317),"")</f>
        <v>1218</v>
      </c>
      <c r="GZ42" s="7">
        <f>IFERROR(AVERAGEIF('Данные 1st'!$S$2:$S$317,$A42,'Данные 1st'!$QH$2:$QH$317),"")</f>
        <v>66</v>
      </c>
      <c r="HA42" s="7">
        <f>IFERROR(AVERAGEIF('Данные 1st'!$S$2:$S$317,$A42,'Данные 1st'!$QI$2:$QI$317),"")</f>
        <v>66</v>
      </c>
      <c r="HB42" s="7">
        <f>IFERROR(AVERAGEIF('Данные 1st'!$S$2:$S$317,$A42,'Данные 1st'!$QK$2:$QK$317),"")</f>
        <v>1</v>
      </c>
      <c r="HC42" s="7">
        <f>IFERROR(AVERAGEIF('Данные 1st'!$S$2:$S$317,$A42,'Данные 1st'!$QL$2:$QL$317),"")</f>
        <v>1218</v>
      </c>
      <c r="HD42" s="7">
        <f>IFERROR(AVERAGEIF('Данные 1st'!$S$2:$S$317,$A42,'Данные 1st'!$QM$2:$QM$317),"")</f>
        <v>62</v>
      </c>
      <c r="HE42" s="7">
        <f>IFERROR(AVERAGEIF('Данные 1st'!$S$2:$S$317,$A42,'Данные 1st'!$QN$2:$QN$317),"")</f>
        <v>62</v>
      </c>
      <c r="HF42" s="7">
        <f>IFERROR(AVERAGEIF('Данные 1st'!$S$2:$S$317,$A42,'Данные 1st'!$QP$2:$QP$317),"")</f>
        <v>1</v>
      </c>
      <c r="HG42" s="7">
        <f>IFERROR(AVERAGEIF('Данные 1st'!$S$2:$S$317,$A42,'Данные 1st'!$QQ$2:$QQ$317),"")</f>
        <v>1211</v>
      </c>
      <c r="HH42" s="7">
        <f>IFERROR(AVERAGEIF('Данные 1st'!$S$2:$S$317,$A42,'Данные 1st'!$QR$2:$QR$317),"")</f>
        <v>62</v>
      </c>
      <c r="HI42" s="7">
        <f>IFERROR(AVERAGEIF('Данные 1st'!$S$2:$S$317,$A42,'Данные 1st'!$QS$2:$QS$317),"")</f>
        <v>62</v>
      </c>
      <c r="HJ42" s="7">
        <f>IFERROR(AVERAGEIF('Данные 1st'!$S$2:$S$317,$A42,'Данные 1st'!$QU$2:$QU$317),"")</f>
        <v>1</v>
      </c>
      <c r="HK42" s="7">
        <f>IFERROR(AVERAGEIF('Данные 1st'!$S$2:$S$317,$A42,'Данные 1st'!$QV$2:$QV$317),"")</f>
        <v>1219</v>
      </c>
      <c r="HL42" s="7">
        <f>IFERROR(AVERAGEIF('Данные 1st'!$S$2:$S$317,$A42,'Данные 1st'!$QW$2:$QW$317),"")</f>
        <v>82</v>
      </c>
      <c r="HM42" s="7">
        <f>IFERROR(AVERAGEIF('Данные 1st'!$S$2:$S$317,$A42,'Данные 1st'!$QX$2:$QX$317),"")</f>
        <v>88</v>
      </c>
      <c r="HN42" s="7">
        <f>IFERROR(AVERAGEIF('Данные 1st'!$S$2:$S$317,$A42,'Данные 1st'!$QZ$2:$QZ$317),"")</f>
        <v>1</v>
      </c>
      <c r="HO42" s="7">
        <f>IFERROR(AVERAGEIF('Данные 1st'!$S$2:$S$317,$A42,'Данные 1st'!$RA$2:$RA$317),"")</f>
        <v>66</v>
      </c>
      <c r="HP42" s="7">
        <f>IFERROR(AVERAGEIF('Данные 1st'!$S$2:$S$317,$A42,'Данные 1st'!$RB$2:$RB$317),"")</f>
        <v>66</v>
      </c>
      <c r="HQ42" s="7">
        <f>IFERROR(AVERAGEIF('Данные 1st'!$S$2:$S$317,$A42,'Данные 1st'!$RD$2:$RD$317),"")</f>
        <v/>
      </c>
      <c r="HR42" s="7">
        <f>IFERROR(AVERAGEIF('Данные 1st'!$S$2:$S$317,$A42,'Данные 1st'!$RE$2:$RE$317),"")</f>
        <v>0</v>
      </c>
      <c r="HS42" s="7">
        <f>IFERROR(AVERAGEIF('Данные 1st'!$S$2:$S$317,$A42,'Данные 1st'!$RF$2:$RF$317),"")</f>
        <v>1</v>
      </c>
      <c r="HT42" s="7">
        <f>IFERROR(AVERAGEIF('Данные 1st'!$S$2:$S$317,$A42,'Данные 1st'!$RG$2:$RG$317),"")</f>
        <v/>
      </c>
      <c r="HU42" s="7">
        <f>IFERROR(AVERAGEIF('Данные 1st'!$S$2:$S$317,$A42,'Данные 1st'!$RH$2:$RH$317),"")</f>
        <v>1</v>
      </c>
      <c r="HV42" s="7">
        <f>IFERROR(AVERAGEIF('Данные 1st'!$S$2:$S$317,$A42,'Данные 1st'!$RI$2:$RI$317),"")</f>
        <v/>
      </c>
      <c r="HW42" s="7">
        <f>IFERROR(AVERAGEIF('Данные 1st'!$S$2:$S$317,$A42,'Данные 1st'!$RJ$2:$RJ$317),"")</f>
        <v>2</v>
      </c>
      <c r="HX42" s="7">
        <f>IFERROR(AVERAGEIF('Данные 1st'!$S$2:$S$317,$A42,'Данные 1st'!$RK$2:$RK$317),"")</f>
        <v>2</v>
      </c>
      <c r="HY42" s="7">
        <f>IFERROR(AVERAGEIF('Данные 1st'!$S$2:$S$317,$A42,'Данные 1st'!$RL$2:$RL$317),"")</f>
        <v>1</v>
      </c>
      <c r="HZ42" s="7">
        <f>IFERROR(AVERAGEIF('Данные 1st'!$S$2:$S$317,$A42,'Данные 1st'!$RM$2:$RM$317),"")</f>
        <v>1</v>
      </c>
      <c r="IA42" s="7">
        <f>IFERROR(AVERAGEIF('Данные 1st'!$S$2:$S$317,$A42,'Данные 1st'!$RN$2:$RN$317),"")</f>
        <v/>
      </c>
      <c r="IB42" s="7">
        <f>IFERROR(AVERAGEIF('Данные 1st'!$S$2:$S$317,$A42,'Данные 1st'!$RO$2:$RO$317),"")</f>
        <v>616</v>
      </c>
      <c r="IC42" s="7">
        <f>IFERROR(AVERAGEIF('Данные 1st'!$S$2:$S$317,$A42,'Данные 1st'!$RP$2:$RP$317),"")</f>
        <v>105</v>
      </c>
      <c r="ID42" s="7">
        <f>IFERROR(AVERAGEIF('Данные 1st'!$S$2:$S$317,$A42,'Данные 1st'!$RQ$2:$RQ$317),"")</f>
        <v>1009</v>
      </c>
      <c r="IE42" s="7">
        <f>IFERROR(AVERAGEIF('Данные 1st'!$S$2:$S$317,$A42,'Данные 1st'!$RR$2:$RR$317),"")</f>
        <v>843</v>
      </c>
      <c r="IF42" s="7">
        <f>IFERROR(AVERAGEIF('Данные 1st'!$S$2:$S$317,$A42,'Данные 1st'!$RS$2:$RS$317),"")</f>
        <v/>
      </c>
      <c r="IG42" s="7">
        <f>IFERROR(AVERAGEIF('Данные 1st'!$S$2:$S$317,$A42,'Данные 1st'!$RT$2:$RT$317),"")</f>
        <v>304</v>
      </c>
      <c r="IH42" s="7">
        <f>IFERROR(AVERAGEIF('Данные 1st'!$S$2:$S$317,$A42,'Данные 1st'!$RU$2:$RU$317),"")</f>
        <v>213</v>
      </c>
      <c r="II42" s="7">
        <f>IFERROR(AVERAGEIF('Данные 1st'!$S$2:$S$317,$A42,'Данные 1st'!$RX$2:$RX$317),"")</f>
        <v>15</v>
      </c>
      <c r="IJ42" s="7">
        <f>IFERROR(AVERAGEIF('Данные 1st'!$S$2:$S$317,$A42,'Данные 1st'!$RY$2:$RY$317),"")</f>
        <v>4</v>
      </c>
      <c r="IK42" s="7">
        <f>IFERROR(AVERAGEIF('Данные 1st'!$S$2:$S$317,$A42,'Данные 1st'!$SA$2:$SA$317),"")</f>
        <v>15</v>
      </c>
      <c r="IL42" s="7">
        <f>IFERROR(AVERAGEIF('Данные 1st'!$S$2:$S$317,$A42,'Данные 1st'!$SD$2:$SD$317),"")</f>
        <v>1</v>
      </c>
      <c r="IM42" s="7">
        <f>IFERROR(AVERAGEIF('Данные 1st'!$S$2:$S$317,$A42,'Данные 1st'!$SG$2:$SG$317),"")</f>
        <v>1</v>
      </c>
      <c r="IN42" s="7">
        <f>IFERROR(AVERAGEIF('Данные 1st'!$S$2:$S$317,$A42,'Данные 1st'!$SH$2:$SH$317),"")</f>
        <v>0.995</v>
      </c>
      <c r="IO42" s="7">
        <f>IFERROR(AVERAGEIF('Данные 1st'!$S$2:$S$317,$A42,'Данные 1st'!$SI$2:$SI$317),"")</f>
        <v>0.995</v>
      </c>
      <c r="IP42" s="7">
        <f>IFERROR(AVERAGEIF('Данные 1st'!$S$2:$S$317,$A42,'Данные 1st'!$SJ$2:$SJ$317),"")</f>
        <v>0.995</v>
      </c>
      <c r="IQ42" s="7">
        <f>IFERROR(AVERAGEIF('Данные 1st'!$S$2:$S$317,$A42,'Данные 1st'!$SK$2:$SK$317),"")</f>
        <v>15</v>
      </c>
      <c r="IR42" s="7">
        <f>IFERROR(AVERAGEIF('Данные 1st'!$S$2:$S$317,$A42,'Данные 1st'!$SL$2:$SL$317),"")</f>
        <v>0</v>
      </c>
      <c r="IS42" s="7">
        <f>IFERROR(AVERAGEIF('Данные 1st'!$S$2:$S$317,$A42,'Данные 1st'!$SM$2:$SM$317),"")</f>
        <v>0</v>
      </c>
      <c r="IT42" s="7">
        <f>IFERROR(AVERAGEIF('Данные 1st'!$S$2:$S$317,$A42,'Данные 1st'!$SN$2:$SN$317),"")</f>
        <v>0</v>
      </c>
      <c r="IU42" s="7">
        <f>IFERROR(AVERAGEIF('Данные 1st'!$S$2:$S$317,$A42,'Данные 1st'!$SO$2:$SO$317),"")</f>
        <v>0</v>
      </c>
      <c r="IV42" s="7">
        <f>IFERROR(AVERAGEIF('Данные 1st'!$S$2:$S$317,$A42,'Данные 1st'!$SP$2:$SP$317),"")</f>
        <v>0</v>
      </c>
      <c r="IW42" s="7">
        <f>IFERROR(AVERAGEIF('Данные 1st'!$S$2:$S$317,$A42,'Данные 1st'!$SQ$2:$SQ$317),"")</f>
        <v>0</v>
      </c>
      <c r="IX42" s="7">
        <f>IFERROR(AVERAGEIF('Данные 1st'!$S$2:$S$317,$A42,'Данные 1st'!$SR$2:$SR$317),"")</f>
        <v>0</v>
      </c>
      <c r="IY42" s="7">
        <f>IFERROR(AVERAGEIF('Данные 1st'!$S$2:$S$317,$A42,'Данные 1st'!$SS$2:$SS$317),"")</f>
        <v>0</v>
      </c>
      <c r="IZ42" s="7">
        <f>IFERROR(AVERAGEIF('Данные 1st'!$S$2:$S$317,$A42,'Данные 1st'!$ST$2:$ST$317),"")</f>
        <v>0</v>
      </c>
      <c r="JA42" s="7">
        <f>IFERROR(AVERAGEIF('Данные 1st'!$S$2:$S$317,$A42,'Данные 1st'!$SU$2:$SU$317),"")</f>
        <v>0</v>
      </c>
      <c r="JB42" s="7">
        <f>IFERROR(AVERAGEIF('Данные 1st'!$S$2:$S$317,$A42,'Данные 1st'!$SV$2:$SV$317),"")</f>
        <v>0</v>
      </c>
      <c r="JC42" s="7">
        <f>IFERROR(AVERAGEIF('Данные 1st'!$S$2:$S$317,$A42,'Данные 1st'!$SW$2:$SW$317),"")</f>
        <v>0</v>
      </c>
      <c r="JD42" s="7">
        <f>IFERROR(AVERAGEIF('Данные 1st'!$S$2:$S$317,$A42,'Данные 1st'!$SX$2:$SX$317),"")</f>
        <v>0</v>
      </c>
      <c r="JE42" s="7">
        <f>IFERROR(AVERAGEIF('Данные 1st'!$S$2:$S$317,$A42,'Данные 1st'!$SY$2:$SY$317),"")</f>
        <v>1</v>
      </c>
      <c r="JF42" s="7">
        <f>IFERROR(AVERAGEIF('Данные 1st'!$S$2:$S$317,$A42,'Данные 1st'!$SZ$2:$SZ$317),"")</f>
        <v>1</v>
      </c>
      <c r="JG42" s="7">
        <f>IFERROR(AVERAGEIF('Данные 1st'!$S$2:$S$317,$A42,'Данные 1st'!$TA$2:$TA$317),"")</f>
        <v/>
      </c>
      <c r="JH42" s="7">
        <f>IFERROR(AVERAGEIF('Данные 1st'!$S$2:$S$317,$A42,'Данные 1st'!$TB$2:$TB$317),"")</f>
        <v>0</v>
      </c>
      <c r="JI42" s="7">
        <f>IFERROR(AVERAGEIF('Данные 1st'!$S$2:$S$317,$A42,'Данные 1st'!$TC$2:$TC$317),"")</f>
        <v>0</v>
      </c>
      <c r="JJ42" s="7">
        <f>IFERROR(AVERAGEIF('Данные 1st'!$S$2:$S$317,$A42,'Данные 1st'!$TD$2:$TD$317),"")</f>
        <v>7.5</v>
      </c>
      <c r="JK42" s="7">
        <f>IFERROR(AVERAGEIF('Данные 1st'!$S$2:$S$317,$A42,'Данные 1st'!$TN$2:$TN$317),"")</f>
        <v>0</v>
      </c>
      <c r="JL42">
        <f>COUNTIF('Данные 2st'!$Q$2:$Q$317,$A42)</f>
        <v>1</v>
      </c>
      <c r="JM42" s="6" t="s">
        <v>1460</v>
      </c>
      <c r="JN42" s="6" t="s">
        <v>513</v>
      </c>
      <c r="JO42" s="6" t="s">
        <v>567</v>
      </c>
      <c r="JP42" s="6" t="s">
        <v>1775</v>
      </c>
      <c r="JQ42" s="7">
        <f>IFERROR(AVERAGEIF('Данные 2st'!$Q$2:$Q$317,$A42,'Данные 2st'!$AC$2:$AC$317),"")</f>
        <v>13</v>
      </c>
      <c r="JR42" s="7">
        <f>IFERROR(AVERAGEIF('Данные 2st'!$Q$2:$Q$317,$A42,'Данные 2st'!$AF$2:$AF$317),"")</f>
        <v>6126</v>
      </c>
      <c r="JS42" s="7">
        <f>IFERROR(AVERAGEIF('Данные 2st'!$Q$2:$Q$317,$A42,'Данные 2st'!$AW$2:$AW$317),"")</f>
        <v>6.4</v>
      </c>
      <c r="JT42" s="7">
        <f>IFERROR(AVERAGEIF('Данные 2st'!$Q$2:$Q$317,$A42,'Данные 2st'!$AX$2:$AX$317),"")</f>
        <v>-6</v>
      </c>
      <c r="JU42" s="7">
        <f>IFERROR(AVERAGEIF('Данные 2st'!$Q$2:$Q$317,$A42,'Данные 2st'!$AY$2:$AY$317),"")</f>
        <v>96</v>
      </c>
      <c r="JV42" s="7">
        <f>IFERROR(AVERAGEIF('Данные 2st'!$Q$2:$Q$317,$A42,'Данные 2st'!$AZ$2:$AZ$317),"")</f>
        <v>68</v>
      </c>
      <c r="JW42" s="7">
        <f>IFERROR(AVERAGEIF('Данные 2st'!$Q$2:$Q$317,$A42,'Данные 2st'!$BA$2:$BA$317),"")</f>
        <v/>
      </c>
      <c r="JX42" s="7">
        <f>IFERROR(AVERAGEIF('Данные 2st'!$Q$2:$Q$317,$A42,'Данные 2st'!$BB$2:$BB$317),"")</f>
        <v/>
      </c>
      <c r="JY42" s="7">
        <f>IFERROR(AVERAGEIF('Данные 2st'!$Q$2:$Q$317,$A42,'Данные 2st'!$BC$2:$BC$317),"")</f>
        <v/>
      </c>
      <c r="JZ42" s="7">
        <f>IFERROR(AVERAGEIF('Данные 2st'!$Q$2:$Q$317,$A42,'Данные 2st'!$BH$2:$BH$317),"")</f>
        <v>96</v>
      </c>
      <c r="KA42" s="7">
        <f>IFERROR(AVERAGEIF('Данные 2st'!$Q$2:$Q$317,$A42,'Данные 2st'!$BI$2:$BI$317),"")</f>
        <v>28</v>
      </c>
      <c r="KB42" s="7">
        <f>IFERROR(AVERAGEIF('Данные 2st'!$Q$2:$Q$317,$A42,'Данные 2st'!$BJ$2:$BJ$317),"")</f>
        <v>68</v>
      </c>
      <c r="KC42" s="7">
        <f>IFERROR(AVERAGEIF('Данные 2st'!$Q$2:$Q$317,$A42,'Данные 2st'!$BK$2:$BK$317),"")</f>
        <v>3.5</v>
      </c>
      <c r="KD42" s="7">
        <f>IFERROR(AVERAGEIF('Данные 2st'!$Q$2:$Q$317,$A42,'Данные 2st'!$BL$2:$BL$317),"")</f>
        <v>192</v>
      </c>
      <c r="KE42" s="7">
        <f>IFERROR(AVERAGEIF('Данные 2st'!$Q$2:$Q$317,$A42,'Данные 2st'!$BM$2:$BM$317),"")</f>
        <v>-6</v>
      </c>
      <c r="KF42" s="7">
        <f>IFERROR(AVERAGEIF('Данные 2st'!$Q$2:$Q$317,$A42,'Данные 2st'!$BN$2:$BN$317),"")</f>
        <v>0</v>
      </c>
      <c r="KG42" s="7">
        <f>IFERROR(AVERAGEIF('Данные 2st'!$Q$2:$Q$317,$A42,'Данные 2st'!$BO$2:$BO$317),"")</f>
        <v/>
      </c>
      <c r="KH42" s="7">
        <f>IFERROR(AVERAGEIF('Данные 2st'!$Q$2:$Q$317,$A42,'Данные 2st'!$BP$2:$BP$317),"")</f>
        <v>0</v>
      </c>
      <c r="KI42" s="7">
        <f>IFERROR(AVERAGEIF('Данные 2st'!$Q$2:$Q$317,$A42,'Данные 2st'!$BR$2:$BR$317),"")</f>
        <v>185</v>
      </c>
      <c r="KJ42" s="7">
        <f>IFERROR(AVERAGEIF('Данные 2st'!$Q$2:$Q$317,$A42,'Данные 2st'!$BS$2:$BS$317),"")</f>
        <v>175</v>
      </c>
      <c r="KK42" s="7">
        <f>IFERROR(AVERAGEIF('Данные 2st'!$Q$2:$Q$317,$A42,'Данные 2st'!$BT$2:$BT$317),"")</f>
        <v>2120</v>
      </c>
      <c r="KL42" s="7">
        <f>IFERROR(AVERAGEIF('Данные 2st'!$Q$2:$Q$317,$A42,'Данные 2st'!$CV$2:$CV$317),"")</f>
        <v>126</v>
      </c>
      <c r="KM42" s="7">
        <f>IFERROR(AVERAGEIF('Данные 2st'!$Q$2:$Q$317,$A42,'Данные 2st'!$CW$2:$CW$317),"")</f>
        <v>3</v>
      </c>
      <c r="KN42" s="7">
        <f>IFERROR(AVERAGEIF('Данные 2st'!$Q$2:$Q$317,$A42,'Данные 2st'!$CX$2:$CX$317),"")</f>
        <v>78</v>
      </c>
      <c r="KO42" s="7">
        <f>IFERROR(AVERAGEIF('Данные 2st'!$Q$2:$Q$317,$A42,'Данные 2st'!$CY$2:$CY$317),"")</f>
        <v>5</v>
      </c>
      <c r="KP42" s="7">
        <f>IFERROR(AVERAGEIF('Данные 2st'!$Q$2:$Q$317,$A42,'Данные 2st'!$CZ$2:$CZ$317),"")</f>
        <v>153</v>
      </c>
      <c r="KQ42" s="7">
        <f>IFERROR(AVERAGEIF('Данные 2st'!$Q$2:$Q$317,$A42,'Данные 2st'!$DA$2:$DA$317),"")</f>
        <v>5</v>
      </c>
      <c r="KR42" s="7">
        <f>IFERROR(AVERAGEIF('Данные 2st'!$Q$2:$Q$317,$A42,'Данные 2st'!$DB$2:$DB$317),"")</f>
        <v>12130</v>
      </c>
      <c r="KS42" s="7">
        <f>IFERROR(AVERAGEIF('Данные 2st'!$Q$2:$Q$317,$A42,'Данные 2st'!$DC$2:$DC$317),"")</f>
        <v>360</v>
      </c>
      <c r="KT42" s="7">
        <f>IFERROR(AVERAGEIF('Данные 2st'!$Q$2:$Q$317,$A42,'Данные 2st'!$DD$2:$DD$317),"")</f>
        <v>370</v>
      </c>
      <c r="KU42" s="7">
        <f>IFERROR(AVERAGEIF('Данные 2st'!$Q$2:$Q$317,$A42,'Данные 2st'!$DE$2:$DE$317),"")</f>
        <v>2237</v>
      </c>
      <c r="KV42" s="7">
        <f>IFERROR(AVERAGEIF('Данные 2st'!$Q$2:$Q$317,$A42,'Данные 2st'!$DF$2:$DF$317),"")</f>
        <v>2230</v>
      </c>
      <c r="KW42" s="7">
        <f>IFERROR(AVERAGEIF('Данные 2st'!$Q$2:$Q$317,$A42,'Данные 2st'!$DG$2:$DG$317),"")</f>
        <v>2247</v>
      </c>
      <c r="KX42" s="7">
        <f>IFERROR(AVERAGEIF('Данные 2st'!$Q$2:$Q$317,$A42,'Данные 2st'!$DH$2:$DH$317),"")</f>
        <v>3</v>
      </c>
      <c r="KY42" s="7">
        <f>IFERROR(AVERAGEIF('Данные 2st'!$Q$2:$Q$317,$A42,'Данные 2st'!$DI$2:$DI$317),"")</f>
        <v/>
      </c>
      <c r="KZ42" s="7">
        <f>IFERROR(AVERAGEIF('Данные 2st'!$Q$2:$Q$317,$A42,'Данные 2st'!$DK$2:$DK$317),"")</f>
        <v>185</v>
      </c>
      <c r="LA42" s="7">
        <f>IFERROR(AVERAGEIF('Данные 2st'!$Q$2:$Q$317,$A42,'Данные 2st'!$DM$2:$DM$317),"")</f>
        <v>65</v>
      </c>
      <c r="LB42" s="7">
        <f>IFERROR(AVERAGEIF('Данные 2st'!$Q$2:$Q$317,$A42,'Данные 2st'!$DN$2:$DN$317),"")</f>
        <v>1.2</v>
      </c>
      <c r="LC42" s="7">
        <f>IFERROR(AVERAGEIF('Данные 2st'!$Q$2:$Q$317,$A42,'Данные 2st'!$DO$2:$DO$317),"")</f>
        <v>1</v>
      </c>
      <c r="LD42" s="7">
        <f>IFERROR(AVERAGEIF('Данные 2st'!$Q$2:$Q$317,$A42,'Данные 2st'!$DP$2:$DP$317),"")</f>
        <v>2124</v>
      </c>
      <c r="LE42" s="7">
        <f>IFERROR(AVERAGEIF('Данные 2st'!$Q$2:$Q$317,$A42,'Данные 2st'!$DQ$2:$DQ$317),"")</f>
        <v>903</v>
      </c>
      <c r="LF42" s="7">
        <f>IFERROR(AVERAGEIF('Данные 2st'!$Q$2:$Q$317,$A42,'Данные 2st'!$DS$2:$DS$317),"")</f>
        <v>175</v>
      </c>
      <c r="LG42" s="7">
        <f>IFERROR(AVERAGEIF('Данные 2st'!$Q$2:$Q$317,$A42,'Данные 2st'!$DU$2:$DU$317),"")</f>
        <v>65</v>
      </c>
      <c r="LH42" s="7">
        <f>IFERROR(AVERAGEIF('Данные 2st'!$Q$2:$Q$317,$A42,'Данные 2st'!$DV$2:$DV$317),"")</f>
        <v>1.2</v>
      </c>
      <c r="LI42" s="7">
        <f>IFERROR(AVERAGEIF('Данные 2st'!$Q$2:$Q$317,$A42,'Данные 2st'!$DW$2:$DW$317),"")</f>
        <v>1</v>
      </c>
      <c r="LJ42" s="7">
        <f>IFERROR(AVERAGEIF('Данные 2st'!$Q$2:$Q$317,$A42,'Данные 2st'!$DX$2:$DX$317),"")</f>
        <v>2136</v>
      </c>
      <c r="LK42" s="7">
        <f>IFERROR(AVERAGEIF('Данные 2st'!$Q$2:$Q$317,$A42,'Данные 2st'!$DY$2:$DY$317),"")</f>
        <v>859</v>
      </c>
      <c r="LL42" s="7">
        <f>IFERROR(AVERAGEIF('Данные 2st'!$Q$2:$Q$317,$A42,'Данные 2st'!$EA$2:$EA$317),"")</f>
        <v>20</v>
      </c>
      <c r="LM42" s="7">
        <f>IFERROR(AVERAGEIF('Данные 2st'!$Q$2:$Q$317,$A42,'Данные 2st'!$EC$2:$EC$317),"")</f>
        <v>0.8</v>
      </c>
      <c r="LN42" s="7">
        <f>IFERROR(AVERAGEIF('Данные 2st'!$Q$2:$Q$317,$A42,'Данные 2st'!$ED$2:$ED$317),"")</f>
        <v>2124</v>
      </c>
      <c r="LO42" s="7">
        <f>IFERROR(AVERAGEIF('Данные 2st'!$Q$2:$Q$317,$A42,'Данные 2st'!$EE$2:$EE$317),"")</f>
        <v>74</v>
      </c>
      <c r="LP42" s="7">
        <f>IFERROR(AVERAGEIF('Данные 2st'!$Q$2:$Q$317,$A42,'Данные 2st'!$EG$2:$EG$317),"")</f>
        <v>0</v>
      </c>
      <c r="LQ42" s="7">
        <f>IFERROR(AVERAGEIF('Данные 2st'!$Q$2:$Q$317,$A42,'Данные 2st'!$EI$2:$EI$317),"")</f>
        <v>0</v>
      </c>
      <c r="LR42" s="7">
        <f>IFERROR(AVERAGEIF('Данные 2st'!$Q$2:$Q$317,$A42,'Данные 2st'!$EJ$2:$EJ$317),"")</f>
        <v/>
      </c>
      <c r="LS42" s="7">
        <f>IFERROR(AVERAGEIF('Данные 2st'!$Q$2:$Q$317,$A42,'Данные 2st'!$EK$2:$EK$317),"")</f>
        <v/>
      </c>
      <c r="LT42" s="7">
        <f>IFERROR(AVERAGEIF('Данные 2st'!$Q$2:$Q$317,$A42,'Данные 2st'!$EM$2:$EM$317),"")</f>
        <v>12</v>
      </c>
      <c r="LU42" s="7">
        <f>IFERROR(AVERAGEIF('Данные 2st'!$Q$2:$Q$317,$A42,'Данные 2st'!$EN$2:$EN$317),"")</f>
        <v>0.5</v>
      </c>
      <c r="LV42" s="7">
        <f>IFERROR(AVERAGEIF('Данные 2st'!$Q$2:$Q$317,$A42,'Данные 2st'!$EO$2:$EO$317),"")</f>
        <v>0.96</v>
      </c>
      <c r="LW42" s="7">
        <f>IFERROR(AVERAGEIF('Данные 2st'!$Q$2:$Q$317,$A42,'Данные 2st'!$EP$2:$EP$317),"")</f>
        <v>2135.08</v>
      </c>
      <c r="LX42" s="7">
        <f>IFERROR(AVERAGEIF('Данные 2st'!$Q$2:$Q$317,$A42,'Данные 2st'!$EQ$2:$EQ$317),"")</f>
        <v>34027.84</v>
      </c>
      <c r="LY42" s="7">
        <f>IFERROR(AVERAGEIF('Данные 2st'!$Q$2:$Q$317,$A42,'Данные 2st'!$ER$2:$ER$317),"")</f>
        <v>9367.36</v>
      </c>
      <c r="LZ42" s="7">
        <f>IFERROR(AVERAGEIF('Данные 2st'!$Q$2:$Q$317,$A42,'Данные 2st'!$ES$2:$ES$317),"")</f>
        <v>0</v>
      </c>
      <c r="MA42" s="7">
        <f>IFERROR(AVERAGEIF('Данные 2st'!$Q$2:$Q$317,$A42,'Данные 2st'!$ET$2:$ET$317),"")</f>
        <v>0</v>
      </c>
      <c r="MB42" s="7">
        <f>IFERROR(AVERAGEIF('Данные 2st'!$Q$2:$Q$317,$A42,'Данные 2st'!$EU$2:$EU$317),"")</f>
        <v>1</v>
      </c>
      <c r="MC42" s="7">
        <f>IFERROR(AVERAGEIF('Данные 2st'!$Q$2:$Q$317,$A42,'Данные 2st'!$EV$2:$EV$317),"")</f>
        <v>43396</v>
      </c>
      <c r="MD42" s="7">
        <f>IFERROR(AVERAGEIF('Данные 2st'!$Q$2:$Q$317,$A42,'Данные 2st'!$EW$2:$EW$317),"")</f>
        <v>521</v>
      </c>
      <c r="ME42" s="7">
        <f>IFERROR(AVERAGEIF('Данные 2st'!$Q$2:$Q$317,$A42,'Данные 2st'!$EY$2:$EY$317),"")</f>
        <v>208</v>
      </c>
      <c r="MF42" s="7">
        <f>IFERROR(AVERAGEIF('Данные 2st'!$Q$2:$Q$317,$A42,'Данные 2st'!$FA$2:$FA$317),"")</f>
        <v>6.1</v>
      </c>
      <c r="MG42" s="7">
        <f>IFERROR(AVERAGEIF('Данные 2st'!$Q$2:$Q$317,$A42,'Данные 2st'!$FB$2:$FB$317),"")</f>
        <v>1</v>
      </c>
      <c r="MH42" s="7">
        <f>IFERROR(AVERAGEIF('Данные 2st'!$Q$2:$Q$317,$A42,'Данные 2st'!$FC$2:$FC$317),"")</f>
        <v>1</v>
      </c>
      <c r="MI42" s="7">
        <f>IFERROR(AVERAGEIF('Данные 2st'!$Q$2:$Q$317,$A42,'Данные 2st'!$FD$2:$FD$317),"")</f>
        <v>2165</v>
      </c>
      <c r="MJ42" s="7">
        <f>IFERROR(AVERAGEIF('Данные 2st'!$Q$2:$Q$317,$A42,'Данные 2st'!$FE$2:$FE$317),"")</f>
        <v>2797</v>
      </c>
      <c r="MK42" s="7">
        <f>IFERROR(AVERAGEIF('Данные 2st'!$Q$2:$Q$317,$A42,'Данные 2st'!$FG$2:$FG$317),"")</f>
        <v>208</v>
      </c>
      <c r="ML42" s="7">
        <f>IFERROR(AVERAGEIF('Данные 2st'!$Q$2:$Q$317,$A42,'Данные 2st'!$FI$2:$FI$317),"")</f>
        <v>1</v>
      </c>
      <c r="MM42" s="7">
        <f>IFERROR(AVERAGEIF('Данные 2st'!$Q$2:$Q$317,$A42,'Данные 2st'!$FJ$2:$FJ$317),"")</f>
        <v>2165</v>
      </c>
      <c r="MN42" s="7">
        <f>IFERROR(AVERAGEIF('Данные 2st'!$Q$2:$Q$317,$A42,'Данные 2st'!$FK$2:$FK$317),"")</f>
        <v>447</v>
      </c>
      <c r="MO42" s="7">
        <f>IFERROR(AVERAGEIF('Данные 2st'!$Q$2:$Q$317,$A42,'Данные 2st'!$FP$2:$FP$317),"")</f>
        <v>2165</v>
      </c>
      <c r="MP42" s="7">
        <f>IFERROR(AVERAGEIF('Данные 2st'!$Q$2:$Q$317,$A42,'Данные 2st'!$FQ$2:$FQ$317),"")</f>
        <v>173</v>
      </c>
      <c r="MQ42" s="7">
        <f>IFERROR(AVERAGEIF('Данные 2st'!$Q$2:$Q$317,$A42,'Данные 2st'!$FS$2:$FS$317),"")</f>
        <v>212</v>
      </c>
      <c r="MR42" s="7">
        <f>IFERROR(AVERAGEIF('Данные 2st'!$Q$2:$Q$317,$A42,'Данные 2st'!$FU$2:$FU$317),"")</f>
        <v>0.4</v>
      </c>
      <c r="MS42" s="7">
        <f>IFERROR(AVERAGEIF('Данные 2st'!$Q$2:$Q$317,$A42,'Данные 2st'!$FV$2:$FV$317),"")</f>
        <v>2165</v>
      </c>
      <c r="MT42" s="7">
        <f>IFERROR(AVERAGEIF('Данные 2st'!$Q$2:$Q$317,$A42,'Данные 2st'!$FW$2:$FW$317),"")</f>
        <v>204</v>
      </c>
      <c r="MU42" s="7">
        <f>IFERROR(AVERAGEIF('Данные 2st'!$Q$2:$Q$317,$A42,'Данные 2st'!$FY$2:$FY$317),"")</f>
        <v>5</v>
      </c>
      <c r="MV42" s="7">
        <f>IFERROR(AVERAGEIF('Данные 2st'!$Q$2:$Q$317,$A42,'Данные 2st'!$GB$2:$GB$317),"")</f>
        <v>2165</v>
      </c>
      <c r="MW42" s="7">
        <f>IFERROR(AVERAGEIF('Данные 2st'!$Q$2:$Q$317,$A42,'Данные 2st'!$GC$2:$GC$317),"")</f>
        <v>19</v>
      </c>
      <c r="MX42" s="7">
        <f>IFERROR(AVERAGEIF('Данные 2st'!$Q$2:$Q$317,$A42,'Данные 2st'!$GD$2:$GD$317),"")</f>
        <v>3640</v>
      </c>
      <c r="MY42" s="7">
        <f>IFERROR(AVERAGEIF('Данные 2st'!$Q$2:$Q$317,$A42,'Данные 2st'!$GN$2:$GN$317),"")</f>
        <v/>
      </c>
      <c r="MZ42" s="7">
        <f>IFERROR(AVERAGEIF('Данные 2st'!$Q$2:$Q$317,$A42,'Данные 2st'!$GQ$2:$GQ$317),"")</f>
        <v>0</v>
      </c>
      <c r="NA42" s="7">
        <f>IFERROR(AVERAGEIF('Данные 2st'!$Q$2:$Q$317,$A42,'Данные 2st'!$GV$2:$GV$317),"")</f>
        <v>7.5</v>
      </c>
      <c r="NB42" s="7">
        <f>IFERROR(AVERAGEIF('Данные 2st'!$Q$2:$Q$317,$A42,'Данные 2st'!$GW$2:$GW$317),"")</f>
        <v>8</v>
      </c>
      <c r="NC42" s="7">
        <f>IFERROR(AVERAGEIF('Данные 2st'!$Q$2:$Q$317,$A42,'Данные 2st'!$GX$2:$GX$317),"")</f>
        <v>0.5</v>
      </c>
      <c r="ND42" s="7">
        <f>IFERROR(AVERAGEIF('Данные 2st'!$Q$2:$Q$317,$A42,'Данные 2st'!$GY$2:$GY$317),"")</f>
        <v>164</v>
      </c>
      <c r="NE42" s="7">
        <f>IFERROR(AVERAGEIF('Данные 2st'!$Q$2:$Q$317,$A42,'Данные 2st'!$GZ$2:$GZ$317),"")</f>
        <v>3</v>
      </c>
      <c r="NF42" s="7">
        <f>IFERROR(AVERAGEIF('Данные 2st'!$Q$2:$Q$317,$A42,'Данные 2st'!$HA$2:$HA$317),"")</f>
        <v>234</v>
      </c>
      <c r="NG42" s="7">
        <f>IFERROR(AVERAGEIF('Данные 2st'!$Q$2:$Q$317,$A42,'Данные 2st'!$HB$2:$HB$317),"")</f>
        <v>3</v>
      </c>
      <c r="NH42" s="7">
        <f>IFERROR(AVERAGEIF('Данные 2st'!$Q$2:$Q$317,$A42,'Данные 2st'!$HC$2:$HC$317),"")</f>
        <v>2165</v>
      </c>
      <c r="NI42" s="7">
        <f>IFERROR(AVERAGEIF('Данные 2st'!$Q$2:$Q$317,$A42,'Данные 2st'!$HD$2:$HD$317),"")</f>
        <v>4</v>
      </c>
      <c r="NJ42" s="7">
        <f>IFERROR(AVERAGEIF('Данные 2st'!$Q$2:$Q$317,$A42,'Данные 2st'!$HM$2:$HM$317),"")</f>
        <v>16</v>
      </c>
      <c r="NK42" s="7">
        <f>IFERROR(AVERAGEIF('Данные 2st'!$Q$2:$Q$317,$A42,'Данные 2st'!$HR$2:$HR$317),"")</f>
        <v>3</v>
      </c>
      <c r="NL42" s="7">
        <f>IFERROR(AVERAGEIF('Данные 2st'!$Q$2:$Q$317,$A42,'Данные 2st'!$HS$2:$HS$317),"")</f>
        <v>2120</v>
      </c>
      <c r="NM42" s="7">
        <f>IFERROR(AVERAGEIF('Данные 2st'!$Q$2:$Q$317,$A42,'Данные 2st'!$HT$2:$HT$317),"")</f>
        <v>5</v>
      </c>
      <c r="NN42" s="7">
        <f>IFERROR(AVERAGEIF('Данные 2st'!$Q$2:$Q$317,$A42,'Данные 2st'!$HY$2:$HY$317),"")</f>
        <v>0</v>
      </c>
      <c r="NO42" s="7">
        <f>IFERROR(AVERAGEIF('Данные 2st'!$Q$2:$Q$317,$A42,'Данные 2st'!$HZ$2:$HZ$317),"")</f>
        <v>65</v>
      </c>
      <c r="NP42" s="7">
        <f>IFERROR(AVERAGEIF('Данные 2st'!$Q$2:$Q$317,$A42,'Данные 2st'!$IA$2:$IA$317),"")</f>
        <v>2124</v>
      </c>
      <c r="NQ42" s="7">
        <f>IFERROR(AVERAGEIF('Данные 2st'!$Q$2:$Q$317,$A42,'Данные 2st'!$IB$2:$IB$317),"")</f>
        <v>2136</v>
      </c>
      <c r="NR42" s="7">
        <f>IFERROR(AVERAGEIF('Данные 2st'!$Q$2:$Q$317,$A42,'Данные 2st'!$IC$2:$IC$317),"")</f>
        <v/>
      </c>
      <c r="NS42" s="7">
        <f>IFERROR(AVERAGEIF('Данные 2st'!$Q$2:$Q$317,$A42,'Данные 2st'!$ID$2:$ID$317),"")</f>
        <v>2165</v>
      </c>
      <c r="NT42" s="7">
        <f>IFERROR(AVERAGEIF('Данные 2st'!$Q$2:$Q$317,$A42,'Данные 2st'!$IE$2:$IE$317),"")</f>
        <v>2165</v>
      </c>
      <c r="NU42" s="7">
        <f>IFERROR(AVERAGEIF('Данные 2st'!$Q$2:$Q$317,$A42,'Данные 2st'!$IF$2:$IF$317),"")</f>
        <v>185</v>
      </c>
      <c r="NV42" s="7">
        <f>IFERROR(AVERAGEIF('Данные 2st'!$Q$2:$Q$317,$A42,'Данные 2st'!$IG$2:$IG$317),"")</f>
        <v>175</v>
      </c>
      <c r="NW42" s="7">
        <f>IFERROR(AVERAGEIF('Данные 2st'!$Q$2:$Q$317,$A42,'Данные 2st'!$IH$2:$IH$317),"")</f>
        <v>234</v>
      </c>
      <c r="NX42" s="7">
        <f>IFERROR(AVERAGEIF('Данные 2st'!$Q$2:$Q$317,$A42,'Данные 2st'!$IJ$2:$IJ$317),"")</f>
        <v>5</v>
      </c>
      <c r="NY42" s="7">
        <f>IFERROR(AVERAGEIF('Данные 2st'!$Q$2:$Q$317,$A42,'Данные 2st'!$IM$2:$IM$317),"")</f>
        <v>0</v>
      </c>
      <c r="NZ42" s="7">
        <f>IFERROR(AVERAGEIF('Данные 2st'!$Q$2:$Q$317,$A42,'Данные 2st'!$IN$2:$IN$317),"")</f>
        <v>270</v>
      </c>
      <c r="OA42" s="7">
        <f>IFERROR(AVERAGEIF('Данные 2st'!$Q$2:$Q$317,$A42,'Данные 2st'!$IO$2:$IO$317),"")</f>
        <v>0</v>
      </c>
      <c r="OB42" s="7">
        <f>IFERROR(AVERAGEIF('Данные 2st'!$Q$2:$Q$317,$A42,'Данные 2st'!$IP$2:$IP$317),"")</f>
        <v>180</v>
      </c>
      <c r="OC42" s="7">
        <f>IFERROR(AVERAGEIF('Данные 2st'!$Q$2:$Q$317,$A42,'Данные 2st'!$IQ$2:$IQ$317),"")</f>
        <v>0</v>
      </c>
      <c r="OD42" s="7">
        <f>IFERROR(AVERAGEIF('Данные 2st'!$Q$2:$Q$317,$A42,'Данные 2st'!$IR$2:$IR$317),"")</f>
        <v>330</v>
      </c>
      <c r="OE42" s="7">
        <f>IFERROR(AVERAGEIF('Данные 2st'!$Q$2:$Q$317,$A42,'Данные 2st'!$IT$2:$IT$317),"")</f>
        <v>90</v>
      </c>
      <c r="OF42" s="7">
        <f>IFERROR(AVERAGEIF('Данные 2st'!$Q$2:$Q$317,$A42,'Данные 2st'!$IU$2:$IU$317),"")</f>
        <v>0</v>
      </c>
      <c r="OG42" s="7">
        <f>IFERROR(AVERAGEIF('Данные 2st'!$Q$2:$Q$317,$A42,'Данные 2st'!$IV$2:$IV$317),"")</f>
        <v>6.4</v>
      </c>
      <c r="OH42" s="7">
        <f>IFERROR(AVERAGEIF('Данные 2st'!$Q$2:$Q$317,$A42,'Данные 2st'!$IW$2:$IW$317),"")</f>
        <v>-6</v>
      </c>
      <c r="OI42" s="7">
        <f>IFERROR(AVERAGEIF('Данные 2st'!$Q$2:$Q$317,$A42,'Данные 2st'!$IX$2:$IX$317),"")</f>
        <v>96</v>
      </c>
      <c r="OJ42" s="7">
        <f>IFERROR(AVERAGEIF('Данные 2st'!$Q$2:$Q$317,$A42,'Данные 2st'!$IY$2:$IY$317),"")</f>
        <v>68</v>
      </c>
      <c r="OK42" s="7">
        <f>IFERROR(AVERAGEIF('Данные 2st'!$Q$2:$Q$317,$A42,'Данные 2st'!$IZ$2:$IZ$317),"")</f>
        <v>0</v>
      </c>
      <c r="OL42" s="7">
        <f>IFERROR(AVERAGEIF('Данные 2st'!$Q$2:$Q$317,$A42,'Данные 2st'!$JA$2:$JA$317),"")</f>
        <v>0</v>
      </c>
      <c r="OM42" s="7">
        <f>IFERROR(AVERAGEIF('Данные 2st'!$Q$2:$Q$317,$A42,'Данные 2st'!$JB$2:$JB$317),"")</f>
        <v>0</v>
      </c>
      <c r="ON42" s="7">
        <f>IFERROR(AVERAGEIF('Данные 2st'!$Q$2:$Q$317,$A42,'Данные 2st'!$JC$2:$JC$317),"")</f>
        <v>0</v>
      </c>
      <c r="OO42" s="7">
        <f>IFERROR(AVERAGEIF('Данные 2st'!$Q$2:$Q$317,$A42,'Данные 2st'!$JD$2:$JD$317),"")</f>
        <v>0</v>
      </c>
      <c r="OP42" s="7">
        <f>IFERROR(AVERAGEIF('Данные 2st'!$Q$2:$Q$317,$A42,'Данные 2st'!$JE$2:$JE$317),"")</f>
        <v>0</v>
      </c>
      <c r="OQ42" s="7">
        <f>IFERROR(AVERAGEIF('Данные 2st'!$Q$2:$Q$317,$A42,'Данные 2st'!$JF$2:$JF$317),"")</f>
        <v>0</v>
      </c>
      <c r="OR42" s="7">
        <f>IFERROR(AVERAGEIF('Данные 2st'!$Q$2:$Q$317,$A42,'Данные 2st'!$JG$2:$JG$317),"")</f>
        <v>0</v>
      </c>
      <c r="OS42" s="7">
        <f>IFERROR(AVERAGEIF('Данные 2st'!$Q$2:$Q$317,$A42,'Данные 2st'!$JH$2:$JH$317),"")</f>
        <v>0</v>
      </c>
      <c r="OT42" s="7">
        <f>IFERROR(AVERAGEIF('Данные 2st'!$Q$2:$Q$317,$A42,'Данные 2st'!$JI$2:$JI$317),"")</f>
        <v>442</v>
      </c>
      <c r="OU42" s="7">
        <f>IFERROR(AVERAGEIF('Данные 2st'!$Q$2:$Q$317,$A42,'Данные 2st'!$JJ$2:$JJ$317),"")</f>
        <v>412</v>
      </c>
      <c r="OV42" s="7">
        <f>IFERROR(AVERAGEIF('Данные 2st'!$Q$2:$Q$317,$A42,'Данные 2st'!$JK$2:$JK$317),"")</f>
        <v>316</v>
      </c>
      <c r="OW42" s="7">
        <f>IFERROR(AVERAGEIF('Данные 2st'!$Q$2:$Q$317,$A42,'Данные 2st'!$JL$2:$JL$317),"")</f>
        <v>412</v>
      </c>
      <c r="OX42" s="7">
        <f>IFERROR(AVERAGEIF('Данные 2st'!$Q$2:$Q$317,$A42,'Данные 2st'!$JM$2:$JM$317),"")</f>
        <v>300</v>
      </c>
      <c r="OY42" s="7">
        <f>IFERROR(AVERAGEIF('Данные 2st'!$Q$2:$Q$317,$A42,'Данные 2st'!$JP$2:$JP$317),"")</f>
        <v>180</v>
      </c>
      <c r="OZ42" s="7">
        <f>IFERROR(AVERAGEIF('Данные 2st'!$Q$2:$Q$317,$A42,'Данные 2st'!$JQ$2:$JQ$317),"")</f>
        <v>250</v>
      </c>
      <c r="PA42" s="7">
        <f>IFERROR(AVERAGEIF('Данные 2st'!$Q$2:$Q$317,$A42,'Данные 2st'!$JR$2:$JR$317),"")</f>
        <v>360</v>
      </c>
      <c r="PB42" s="7">
        <f>IFERROR(AVERAGEIF('Данные 2st'!$Q$2:$Q$317,$A42,'Данные 2st'!$JS$2:$JS$317),"")</f>
        <v>220</v>
      </c>
      <c r="PC42" s="7">
        <f>IFERROR(AVERAGEIF('Данные 2st'!$Q$2:$Q$317,$A42,'Данные 2st'!$JT$2:$JT$317),"")</f>
        <v>0</v>
      </c>
      <c r="PD42" s="7">
        <f>IFERROR(AVERAGEIF('Данные 2st'!$Q$2:$Q$317,$A42,'Данные 2st'!$JU$2:$JU$317),"")</f>
        <v>0</v>
      </c>
      <c r="PE42" s="7">
        <f>IFERROR(AVERAGEIF('Данные 2st'!$Q$2:$Q$317,$A42,'Данные 2st'!$JV$2:$JV$317),"")</f>
        <v>335</v>
      </c>
      <c r="PF42" s="7">
        <f>IFERROR(AVERAGEIF('Данные 2st'!$Q$2:$Q$317,$A42,'Данные 2st'!$JW$2:$JW$317),"")</f>
        <v>346</v>
      </c>
      <c r="PG42" s="7">
        <f>IFERROR(AVERAGEIF('Данные 2st'!$Q$2:$Q$317,$A42,'Данные 2st'!$KF$2:$KF$317),"")</f>
        <v>0.2</v>
      </c>
      <c r="PH42" s="7">
        <f>IFERROR(AVERAGEIF('Данные 2st'!$Q$2:$Q$317,$A42,'Данные 2st'!$KG$2:$KG$317),"")</f>
        <v>0.11</v>
      </c>
      <c r="PI42" s="7">
        <f>IFERROR(AVERAGEIF('Данные 2st'!$Q$2:$Q$317,$A42,'Данные 2st'!$KM$2:$KM$317),"")</f>
        <v>0</v>
      </c>
      <c r="PJ42" s="7">
        <f>IFERROR(AVERAGEIF('Данные 2st'!$Q$2:$Q$317,$A42,'Данные 2st'!$KN$2:$KN$317),"")</f>
        <v>1.7</v>
      </c>
      <c r="PK42" s="7">
        <f>IFERROR(AVERAGEIF('Данные 2st'!$Q$2:$Q$317,$A42,'Данные 2st'!$KO$2:$KO$317),"")</f>
        <v>0</v>
      </c>
      <c r="PL42" s="7">
        <f>IFERROR(AVERAGEIF('Данные 2st'!$Q$2:$Q$317,$A42,'Данные 2st'!$KP$2:$KP$317),"")</f>
        <v>0</v>
      </c>
      <c r="PM42" s="7">
        <f>IFERROR(AVERAGEIF('Данные 2st'!$Q$2:$Q$317,$A42,'Данные 2st'!$KQ$2:$KQ$317),"")</f>
        <v>0.7</v>
      </c>
      <c r="PN42" s="7">
        <f>IFERROR(AVERAGEIF('Данные 2st'!$Q$2:$Q$317,$A42,'Данные 2st'!$KR$2:$KR$317),"")</f>
        <v>0.8</v>
      </c>
      <c r="PO42" s="7">
        <f>IFERROR(AVERAGEIF('Данные 2st'!$Q$2:$Q$317,$A42,'Данные 2st'!$KS$2:$KS$317),"")</f>
        <v>0</v>
      </c>
      <c r="PP42" s="7">
        <f>IFERROR(AVERAGEIF('Данные 2st'!$Q$2:$Q$317,$A42,'Данные 2st'!$KT$2:$KT$317),"")</f>
        <v>2.5</v>
      </c>
      <c r="PQ42" s="7">
        <f>IFERROR(AVERAGEIF('Данные 2st'!$Q$2:$Q$317,$A42,'Данные 2st'!$KU$2:$KU$317),"")</f>
        <v>0</v>
      </c>
      <c r="PR42" s="7">
        <f>IFERROR(AVERAGEIF('Данные 2st'!$Q$2:$Q$317,$A42,'Данные 2st'!$KV$2:$KV$317),"")</f>
        <v>0</v>
      </c>
      <c r="PS42" s="7">
        <f>IFERROR(AVERAGEIF('Данные 2st'!$Q$2:$Q$317,$A42,'Данные 2st'!$KW$2:$KW$317),"")</f>
        <v>0.8</v>
      </c>
      <c r="PT42" s="7">
        <f>IFERROR(AVERAGEIF('Данные 2st'!$Q$2:$Q$317,$A42,'Данные 2st'!$KX$2:$KX$317),"")</f>
        <v>2</v>
      </c>
      <c r="PU42" s="7">
        <f>IFERROR(AVERAGEIF('Данные 2st'!$Q$2:$Q$317,$A42,'Данные 2st'!$KY$2:$KY$317),"")</f>
        <v>1</v>
      </c>
      <c r="PV42" s="7">
        <f>IFERROR(AVERAGEIF('Данные 2st'!$Q$2:$Q$317,$A42,'Данные 2st'!$KZ$2:$KZ$317),"")</f>
        <v>0</v>
      </c>
      <c r="PW42" s="7">
        <f>IFERROR(AVERAGEIF('Данные 2st'!$Q$2:$Q$317,$A42,'Данные 2st'!$LA$2:$LA$317),"")</f>
        <v>0</v>
      </c>
      <c r="PX42" s="7">
        <f>IFERROR(AVERAGEIF('Данные 2st'!$Q$2:$Q$317,$A42,'Данные 2st'!$LB$2:$LB$317),"")</f>
        <v>0</v>
      </c>
      <c r="PY42" s="7">
        <f>IFERROR(AVERAGEIF('Данные 2st'!$Q$2:$Q$317,$A42,'Данные 2st'!$LC$2:$LC$317),"")</f>
        <v>0</v>
      </c>
      <c r="PZ42" s="7">
        <f>IFERROR(AVERAGEIF('Данные 2st'!$Q$2:$Q$317,$A42,'Данные 2st'!$LD$2:$LD$317),"")</f>
        <v>0</v>
      </c>
      <c r="QA42" s="7">
        <f>IFERROR(AVERAGEIF('Данные 2st'!$Q$2:$Q$317,$A42,'Данные 2st'!$LE$2:$LE$317),"")</f>
        <v>0</v>
      </c>
      <c r="QB42" s="7">
        <f>IFERROR(AVERAGEIF('Данные 2st'!$Q$2:$Q$317,$A42,'Данные 2st'!$LF$2:$LF$317),"")</f>
        <v>0</v>
      </c>
      <c r="QC42" s="7">
        <f>IFERROR(AVERAGEIF('Данные 2st'!$Q$2:$Q$317,$A42,'Данные 2st'!$LG$2:$LG$317),"")</f>
        <v>0</v>
      </c>
      <c r="QD42" s="7">
        <f>IFERROR(AVERAGEIF('Данные 2st'!$Q$2:$Q$317,$A42,'Данные 2st'!$LH$2:$LH$317),"")</f>
        <v>3</v>
      </c>
      <c r="QE42" s="7">
        <f>IFERROR(AVERAGEIF('Данные 2st'!$Q$2:$Q$317,$A42,'Данные 2st'!$LJ$2:$LJ$317),"")</f>
        <v>0</v>
      </c>
      <c r="QF42" s="7">
        <f>IFERROR(AVERAGEIF('Данные 2st'!$Q$2:$Q$317,$A42,'Данные 2st'!$LK$2:$LK$317),"")</f>
        <v>4.5</v>
      </c>
      <c r="QG42" s="7">
        <f>IFERROR(AVERAGEIF('Данные 2st'!$Q$2:$Q$317,$A42,'Данные 2st'!$LL$2:$LL$317),"")</f>
        <v>6</v>
      </c>
      <c r="QH42" s="7">
        <f>IFERROR(AVERAGEIF('Данные 2st'!$Q$2:$Q$317,$A42,'Данные 2st'!$LM$2:$LM$317),"")</f>
        <v>7</v>
      </c>
      <c r="QI42" s="7">
        <f>IFERROR(AVERAGEIF('Данные 2st'!$Q$2:$Q$317,$A42,'Данные 2st'!$LN$2:$LN$317),"")</f>
        <v>0.4</v>
      </c>
      <c r="QJ42" s="7">
        <f>IFERROR(AVERAGEIF('Данные 2st'!$Q$2:$Q$317,$A42,'Данные 2st'!$LO$2:$LO$317),"")</f>
        <v>3.5</v>
      </c>
      <c r="QK42" s="7">
        <f>IFERROR(AVERAGEIF('Данные 2st'!$Q$2:$Q$317,$A42,'Данные 2st'!$LP$2:$LP$317),"")</f>
        <v>0</v>
      </c>
      <c r="QL42" s="7">
        <f>IFERROR(AVERAGEIF('Данные 2st'!$Q$2:$Q$317,$A42,'Данные 2st'!$LQ$2:$LQ$317),"")</f>
        <v>0</v>
      </c>
      <c r="QM42" s="7">
        <f>IFERROR(AVERAGEIF('Данные 2st'!$Q$2:$Q$317,$A42,'Данные 2st'!$LW$2:$LW$317),"")</f>
        <v>2</v>
      </c>
      <c r="QN42" s="7">
        <f>IFERROR(AVERAGEIF('Данные 2st'!$Q$2:$Q$317,$A42,'Данные 2st'!$LX$2:$LX$317),"")</f>
        <v>2</v>
      </c>
      <c r="QO42" s="7">
        <f>IFERROR(AVERAGEIF('Данные 2st'!$Q$2:$Q$317,$A42,'Данные 2st'!$LY$2:$LY$317),"")</f>
        <v>2.1</v>
      </c>
      <c r="QP42" s="7">
        <f>IFERROR(AVERAGEIF('Данные 2st'!$Q$2:$Q$317,$A42,'Данные 2st'!$LZ$2:$LZ$317),"")</f>
        <v>2.1</v>
      </c>
      <c r="QQ42" s="7">
        <f>IFERROR(AVERAGEIF('Данные 2st'!$Q$2:$Q$317,$A42,'Данные 2st'!$MB$2:$MB$317),"")</f>
        <v>3</v>
      </c>
      <c r="QR42" s="7">
        <f>IFERROR(AVERAGEIF('Данные 2st'!$Q$2:$Q$317,$A42,'Данные 2st'!$MG$2:$MG$317),"")</f>
        <v/>
      </c>
      <c r="QS42" s="7">
        <f>IFERROR(AVERAGEIF('Данные 2st'!$Q$2:$Q$317,$A42,'Данные 2st'!$MH$2:$MH$317),"")</f>
        <v/>
      </c>
      <c r="QT42" s="7">
        <f>IFERROR(AVERAGEIF('Данные 2st'!$Q$2:$Q$317,$A42,'Данные 2st'!$MI$2:$MI$317),"")</f>
        <v>0</v>
      </c>
      <c r="QU42" s="7">
        <f>IFERROR(AVERAGEIF('Данные 2st'!$Q$2:$Q$317,$A42,'Данные 2st'!$MJ$2:$MJ$317),"")</f>
        <v>0</v>
      </c>
      <c r="QV42" s="7">
        <f>IFERROR(AVERAGEIF('Данные 2st'!$Q$2:$Q$317,$A42,'Данные 2st'!$MK$2:$MK$317),"")</f>
        <v/>
      </c>
      <c r="QW42" s="7">
        <f>IFERROR(AVERAGEIF('Данные 2st'!$Q$2:$Q$317,$A42,'Данные 2st'!$MM$2:$MM$317),"")</f>
        <v>452</v>
      </c>
      <c r="QX42" s="7">
        <f>IFERROR(AVERAGEIF('Данные 2st'!$Q$2:$Q$317,$A42,'Данные 2st'!$MQ$2:$MQ$317),"")</f>
        <v/>
      </c>
      <c r="QY42" s="7">
        <f>IFERROR(AVERAGEIF('Данные 2st'!$Q$2:$Q$317,$A42,'Данные 2st'!$MR$2:$MR$317),"")</f>
        <v/>
      </c>
      <c r="QZ42" s="7">
        <f>IFERROR(AVERAGEIF('Данные 2st'!$Q$2:$Q$317,$A42,'Данные 2st'!$MS$2:$MS$317),"")</f>
        <v/>
      </c>
      <c r="RA42" s="7">
        <f>IFERROR(AVERAGEIF('Данные 2st'!$Q$2:$Q$317,$A42,'Данные 2st'!$MT$2:$MT$317),"")</f>
        <v/>
      </c>
      <c r="RB42" s="7">
        <f>IFERROR(AVERAGEIF('Данные 2st'!$Q$2:$Q$317,$A42,'Данные 2st'!$MU$2:$MU$317),"")</f>
        <v/>
      </c>
      <c r="RC42" s="7">
        <f>IFERROR(AVERAGEIF('Данные 2st'!$Q$2:$Q$317,$A42,'Данные 2st'!$MV$2:$MV$317),"")</f>
        <v/>
      </c>
      <c r="RD42" s="7">
        <f>IFERROR(AVERAGEIF('Данные 2st'!$Q$2:$Q$317,$A42,'Данные 2st'!$MW$2:$MW$317),"")</f>
        <v/>
      </c>
      <c r="RE42" s="7">
        <f>IFERROR(AVERAGEIF('Данные 2st'!$Q$2:$Q$317,$A42,'Данные 2st'!$MX$2:$MX$317),"")</f>
        <v/>
      </c>
      <c r="RF42" s="7">
        <f>IFERROR(AVERAGEIF('Данные 2st'!$Q$2:$Q$317,$A42,'Данные 2st'!$MY$2:$MY$317),"")</f>
        <v/>
      </c>
      <c r="RG42" s="7">
        <f>IFERROR(AVERAGEIF('Данные 2st'!$Q$2:$Q$317,$A42,'Данные 2st'!$MZ$2:$MZ$317),"")</f>
        <v/>
      </c>
      <c r="RH42" s="7">
        <f>IFERROR(AVERAGEIF('Данные 2st'!$Q$2:$Q$317,$A42,'Данные 2st'!$NA$2:$NA$317),"")</f>
        <v/>
      </c>
      <c r="RI42" s="7">
        <f>IFERROR(AVERAGEIF('Данные 2st'!$Q$2:$Q$317,$A42,'Данные 2st'!$NB$2:$NB$317),"")</f>
        <v/>
      </c>
      <c r="RJ42" s="7">
        <f>IFERROR(AVERAGEIF('Данные 2st'!$Q$2:$Q$317,$A42,'Данные 2st'!$NC$2:$NC$317),"")</f>
        <v/>
      </c>
      <c r="RK42" s="7">
        <f>IFERROR(AVERAGEIF('Данные 2st'!$Q$2:$Q$317,$A42,'Данные 2st'!$ND$2:$ND$317),"")</f>
        <v/>
      </c>
      <c r="RL42" s="7">
        <f>IFERROR(AVERAGEIF('Данные 2st'!$Q$2:$Q$317,$A42,'Данные 2st'!$NE$2:$NE$317),"")</f>
        <v/>
      </c>
      <c r="RM42" s="7">
        <f>IFERROR(AVERAGEIF('Данные 2st'!$Q$2:$Q$317,$A42,'Данные 2st'!$NF$2:$NF$317),"")</f>
        <v/>
      </c>
      <c r="RN42" s="7">
        <f>IFERROR(AVERAGEIF('Данные 2st'!$Q$2:$Q$317,$A42,'Данные 2st'!$NG$2:$NG$317),"")</f>
        <v/>
      </c>
      <c r="RO42" s="7">
        <f>IFERROR(AVERAGEIF('Данные 2st'!$Q$2:$Q$317,$A42,'Данные 2st'!$NH$2:$NH$317),"")</f>
        <v>0</v>
      </c>
      <c r="RP42" s="7">
        <f>IFERROR(AVERAGEIF('Данные 2st'!$Q$2:$Q$317,$A42,'Данные 2st'!$NJ$2:$NJ$317),"")</f>
        <v>0</v>
      </c>
      <c r="RQ42" s="7">
        <f>IFERROR(AVERAGEIF('Данные 2st'!$Q$2:$Q$317,$A42,'Данные 2st'!$NK$2:$NK$317),"")</f>
        <v>0</v>
      </c>
      <c r="RR42" s="7">
        <f>IFERROR(AVERAGEIF('Данные 2st'!$Q$2:$Q$317,$A42,'Данные 2st'!$NM$2:$NM$317),"")</f>
        <v>0</v>
      </c>
      <c r="RS42" s="7">
        <f>IFERROR(AVERAGEIF('Данные 2st'!$Q$2:$Q$317,$A42,'Данные 2st'!$NN$2:$NN$317),"")</f>
        <v/>
      </c>
      <c r="RT42" s="7">
        <f>IFERROR(AVERAGEIF('Данные 2st'!$Q$2:$Q$317,$A42,'Данные 2st'!$NO$2:$NO$317),"")</f>
        <v/>
      </c>
      <c r="RU42" s="7">
        <f>IFERROR(AVERAGEIF('Данные 2st'!$Q$2:$Q$317,$A42,'Данные 2st'!$NP$2:$NP$317),"")</f>
        <v/>
      </c>
      <c r="RV42" s="7">
        <f>IFERROR(AVERAGEIF('Данные 2st'!$Q$2:$Q$317,$A42,'Данные 2st'!$NQ$2:$NQ$317),"")</f>
        <v/>
      </c>
      <c r="RW42" s="7">
        <f>IFERROR(AVERAGEIF('Данные 2st'!$Q$2:$Q$317,$A42,'Данные 2st'!$NR$2:$NR$317),"")</f>
        <v/>
      </c>
      <c r="RX42" s="7">
        <f>IFERROR(AVERAGEIF('Данные 2st'!$Q$2:$Q$317,$A42,'Данные 2st'!$NS$2:$NS$317),"")</f>
        <v/>
      </c>
      <c r="RY42" s="7">
        <f>IFERROR(AVERAGEIF('Данные 2st'!$Q$2:$Q$317,$A42,'Данные 2st'!$NT$2:$NT$317),"")</f>
        <v/>
      </c>
      <c r="RZ42" s="7">
        <f>IFERROR(AVERAGEIF('Данные 2st'!$Q$2:$Q$317,$A42,'Данные 2st'!$OK$2:$OK$317),"")</f>
        <v>61</v>
      </c>
      <c r="SA42" s="7">
        <f>IFERROR(AVERAGEIF('Данные 2st'!$Q$2:$Q$317,$A42,'Данные 2st'!$OL$2:$OL$317),"")</f>
        <v>61</v>
      </c>
      <c r="SB42" s="7">
        <f>IFERROR(AVERAGEIF('Данные 2st'!$Q$2:$Q$317,$A42,'Данные 2st'!$ON$2:$ON$317),"")</f>
        <v>1</v>
      </c>
      <c r="SC42" s="7">
        <f>IFERROR(AVERAGEIF('Данные 2st'!$Q$2:$Q$317,$A42,'Данные 2st'!$OO$2:$OO$317),"")</f>
        <v>2124</v>
      </c>
      <c r="SD42" s="7">
        <f>IFERROR(AVERAGEIF('Данные 2st'!$Q$2:$Q$317,$A42,'Данные 2st'!$OP$2:$OP$317),"")</f>
        <v>61</v>
      </c>
      <c r="SE42" s="7">
        <f>IFERROR(AVERAGEIF('Данные 2st'!$Q$2:$Q$317,$A42,'Данные 2st'!$OQ$2:$OQ$317),"")</f>
        <v>61</v>
      </c>
      <c r="SF42" s="7">
        <f>IFERROR(AVERAGEIF('Данные 2st'!$Q$2:$Q$317,$A42,'Данные 2st'!$OS$2:$OS$317),"")</f>
        <v>1</v>
      </c>
      <c r="SG42" s="7">
        <f>IFERROR(AVERAGEIF('Данные 2st'!$Q$2:$Q$317,$A42,'Данные 2st'!$OT$2:$OT$317),"")</f>
        <v>2136</v>
      </c>
      <c r="SH42" s="7">
        <f>IFERROR(AVERAGEIF('Данные 2st'!$Q$2:$Q$317,$A42,'Данные 2st'!$OU$2:$OU$317),"")</f>
        <v>65</v>
      </c>
      <c r="SI42" s="7">
        <f>IFERROR(AVERAGEIF('Данные 2st'!$Q$2:$Q$317,$A42,'Данные 2st'!$OV$2:$OV$317),"")</f>
        <v>65</v>
      </c>
      <c r="SJ42" s="7">
        <f>IFERROR(AVERAGEIF('Данные 2st'!$Q$2:$Q$317,$A42,'Данные 2st'!$OX$2:$OX$317),"")</f>
        <v>1</v>
      </c>
      <c r="SK42" s="7">
        <f>IFERROR(AVERAGEIF('Данные 2st'!$Q$2:$Q$317,$A42,'Данные 2st'!$OY$2:$OY$317),"")</f>
        <v>43396</v>
      </c>
      <c r="SL42" s="7">
        <f>IFERROR(AVERAGEIF('Данные 2st'!$Q$2:$Q$317,$A42,'Данные 2st'!$OZ$2:$OZ$317),"")</f>
        <v>51</v>
      </c>
      <c r="SM42" s="7">
        <f>IFERROR(AVERAGEIF('Данные 2st'!$Q$2:$Q$317,$A42,'Данные 2st'!$PA$2:$PA$317),"")</f>
        <v>52</v>
      </c>
      <c r="SN42" s="7">
        <f>IFERROR(AVERAGEIF('Данные 2st'!$Q$2:$Q$317,$A42,'Данные 2st'!$PC$2:$PC$317),"")</f>
        <v>1</v>
      </c>
      <c r="SO42" s="7">
        <f>IFERROR(AVERAGEIF('Данные 2st'!$Q$2:$Q$317,$A42,'Данные 2st'!$PD$2:$PD$317),"")</f>
        <v>2165</v>
      </c>
      <c r="SP42" s="7">
        <f>IFERROR(AVERAGEIF('Данные 2st'!$Q$2:$Q$317,$A42,'Данные 2st'!$PF$2:$PF$317),"")</f>
        <v>425</v>
      </c>
      <c r="SQ42" s="7">
        <f>IFERROR(AVERAGEIF('Данные 2st'!$Q$2:$Q$317,$A42,'Данные 2st'!$PG$2:$PG$317),"")</f>
        <v>35</v>
      </c>
      <c r="SR42" s="7">
        <f>IFERROR(AVERAGEIF('Данные 2st'!$Q$2:$Q$317,$A42,'Данные 2st'!$PH$2:$PH$317),"")</f>
        <v>402</v>
      </c>
      <c r="SS42" s="7">
        <f>IFERROR(AVERAGEIF('Данные 2st'!$Q$2:$Q$317,$A42,'Данные 2st'!$PI$2:$PI$317),"")</f>
        <v>0</v>
      </c>
      <c r="ST42" s="7">
        <f>IFERROR(AVERAGEIF('Данные 2st'!$Q$2:$Q$317,$A42,'Данные 2st'!$PJ$2:$PJ$317),"")</f>
        <v>79.8</v>
      </c>
      <c r="SU42" s="7">
        <f>IFERROR(AVERAGEIF('Данные 2st'!$Q$2:$Q$317,$A42,'Данные 2st'!$PK$2:$PK$317),"")</f>
        <v>1697</v>
      </c>
      <c r="SV42" s="7">
        <f>IFERROR(AVERAGEIF('Данные 2st'!$Q$2:$Q$317,$A42,'Данные 2st'!$PL$2:$PL$317),"")</f>
        <v>1291.9</v>
      </c>
      <c r="SW42" s="7">
        <f>IFERROR(AVERAGEIF('Данные 2st'!$Q$2:$Q$317,$A42,'Данные 2st'!$PM$2:$PM$317),"")</f>
        <v>206.5</v>
      </c>
      <c r="SX42" s="7">
        <f>IFERROR(AVERAGEIF('Данные 2st'!$Q$2:$Q$317,$A42,'Данные 2st'!$PN$2:$PN$317),"")</f>
        <v>94.3</v>
      </c>
      <c r="SY42" s="7">
        <f>IFERROR(AVERAGEIF('Данные 2st'!$Q$2:$Q$317,$A42,'Данные 2st'!$PO$2:$PO$317),"")</f>
        <v>8.7</v>
      </c>
      <c r="SZ42" s="7">
        <f>IFERROR(AVERAGEIF('Данные 2st'!$Q$2:$Q$317,$A42,'Данные 2st'!$PP$2:$PP$317),"")</f>
        <v>12</v>
      </c>
      <c r="TA42" s="7">
        <f>IFERROR(AVERAGEIF('Данные 2st'!$Q$2:$Q$317,$A42,'Данные 2st'!$PQ$2:$PQ$317),"")</f>
        <v>5</v>
      </c>
      <c r="TB42" s="7">
        <f>IFERROR(AVERAGEIF('Данные 2st'!$Q$2:$Q$317,$A42,'Данные 2st'!$PR$2:$PR$317),"")</f>
        <v>5</v>
      </c>
      <c r="TC42" s="7">
        <f>IFERROR(AVERAGEIF('Данные 2st'!$Q$2:$Q$317,$A42,'Данные 2st'!$PS$2:$PS$317),"")</f>
        <v>0</v>
      </c>
      <c r="TD42" s="7">
        <f>IFERROR(AVERAGEIF('Данные 2st'!$Q$2:$Q$317,$A42,'Данные 2st'!$PT$2:$PT$317),"")</f>
        <v>234</v>
      </c>
      <c r="TE42" s="7">
        <f>IFERROR(AVERAGEIF('Данные 2st'!$Q$2:$Q$317,$A42,'Данные 2st'!$PU$2:$PU$317),"")</f>
        <v>13</v>
      </c>
      <c r="TF42" s="7">
        <f>IFERROR(AVERAGEIF('Данные 2st'!$Q$2:$Q$317,$A42,'Данные 2st'!$PX$2:$PX$317),"")</f>
        <v>0</v>
      </c>
      <c r="TG42" s="7">
        <f>IFERROR(AVERAGEIF('Данные 2st'!$Q$2:$Q$317,$A42,'Данные 2st'!$PY$2:$PY$317),"")</f>
        <v>0</v>
      </c>
      <c r="TH42" s="7">
        <f>IFERROR(AVERAGEIF('Данные 2st'!$Q$2:$Q$317,$A42,'Данные 2st'!$PZ$2:$PZ$317),"")</f>
        <v>0</v>
      </c>
      <c r="TI42" s="7">
        <f>IFERROR(AVERAGEIF('Данные 2st'!$Q$2:$Q$317,$A42,'Данные 2st'!$QA$2:$QA$317),"")</f>
        <v>0</v>
      </c>
      <c r="TJ42" s="7">
        <f>IFERROR(AVERAGEIF('Данные 2st'!$Q$2:$Q$317,$A42,'Данные 2st'!$QB$2:$QB$317),"")</f>
        <v>0</v>
      </c>
      <c r="TK42" s="7">
        <f>IFERROR(AVERAGEIF('Данные 2st'!$Q$2:$Q$317,$A42,'Данные 2st'!$QC$2:$QC$317),"")</f>
        <v>0</v>
      </c>
      <c r="TL42" s="7">
        <f>IFERROR(AVERAGEIF('Данные 2st'!$Q$2:$Q$317,$A42,'Данные 2st'!$QD$2:$QD$317),"")</f>
        <v>0</v>
      </c>
      <c r="TM42" s="7">
        <f>IFERROR(AVERAGEIF('Данные 2st'!$Q$2:$Q$317,$A42,'Данные 2st'!$QE$2:$QE$317),"")</f>
        <v>-1</v>
      </c>
      <c r="TN42" s="7">
        <f>IFERROR(AVERAGEIF('Данные 2st'!$Q$2:$Q$317,$A42,'Данные 2st'!$QF$2:$QF$317),"")</f>
        <v>1</v>
      </c>
      <c r="TO42" s="7">
        <f>IFERROR(AVERAGEIF('Данные 2st'!$Q$2:$Q$317,$A42,'Данные 2st'!$QG$2:$QG$317),"")</f>
        <v>0</v>
      </c>
      <c r="TP42" s="7">
        <f>IFERROR(AVERAGEIF('Данные 2st'!$Q$2:$Q$317,$A42,'Данные 2st'!$QH$2:$QH$317),"")</f>
        <v>5</v>
      </c>
      <c r="TQ42" s="7">
        <f>IFERROR(AVERAGEIF('Данные 2st'!$Q$2:$Q$317,$A42,'Данные 2st'!$QI$2:$QI$317),"")</f>
        <v>5</v>
      </c>
      <c r="TR42" s="7">
        <f>IFERROR(AVERAGEIF('Данные 2st'!$Q$2:$Q$317,$A42,'Данные 2st'!$QJ$2:$QJ$317),"")</f>
        <v>5</v>
      </c>
      <c r="TS42" s="7">
        <f>IFERROR(AVERAGEIF('Данные 2st'!$Q$2:$Q$317,$A42,'Данные 2st'!$QK$2:$QK$317),"")</f>
        <v>239</v>
      </c>
      <c r="TT42" s="7">
        <f>IFERROR(AVERAGEIF('Данные 2st'!$Q$2:$Q$317,$A42,'Данные 2st'!$QL$2:$QL$317),"")</f>
        <v>472</v>
      </c>
      <c r="TU42" s="7">
        <f>IFERROR(AVERAGEIF('Данные 2st'!$Q$2:$Q$317,$A42,'Данные 2st'!$QM$2:$QM$317),"")</f>
        <v>7.5</v>
      </c>
      <c r="TV42" s="7">
        <f>IFERROR(AVERAGEIF('Данные 2st'!$Q$2:$Q$317,$A42,'Данные 2st'!$QN$2:$QN$317),"")</f>
        <v>1285.7</v>
      </c>
      <c r="TW42" s="7">
        <f>IFERROR(AVERAGEIF('Данные 2st'!$Q$2:$Q$317,$A42,'Данные 2st'!$QQ$2:$QQ$317),"")</f>
        <v>0</v>
      </c>
      <c r="TX42" s="7">
        <f>IFERROR(AVERAGEIF('Данные 2st'!$Q$2:$Q$317,$A42,'Данные 2st'!$QS$2:$QS$317),"")</f>
        <v>40</v>
      </c>
      <c r="TY42" s="7">
        <f>IFERROR(AVERAGEIF('Данные 2st'!$Q$2:$Q$317,$A42,'Данные 2st'!$QT$2:$QT$317),"")</f>
        <v>50</v>
      </c>
    </row>
    <row r="43" spans="1:545" ht="32" customHeight="1">
      <c r="A43" s="11" t="s">
        <v>3436</v>
      </c>
      <c r="B43">
        <f>COUNTIF('Данные 1st'!$S$2:$S$317,$A43)</f>
        <v>1</v>
      </c>
      <c r="C43" s="6" t="s">
        <v>3058</v>
      </c>
      <c r="D43" s="6" t="s">
        <v>513</v>
      </c>
      <c r="E43" s="6" t="s">
        <v>517</v>
      </c>
      <c r="F43" s="6" t="s">
        <v>3434</v>
      </c>
      <c r="G43" s="7">
        <f>IFERROR(AVERAGEIF('Данные 1st'!$S$2:$S$317,$A43,'Данные 1st'!$AE$2:$AE$317),"")</f>
        <v>244</v>
      </c>
      <c r="H43" s="7">
        <f>IFERROR(AVERAGEIF('Данные 1st'!$S$2:$S$317,$A43,'Данные 1st'!$AF$2:$AF$317),"")</f>
        <v>1.5</v>
      </c>
      <c r="I43" s="7">
        <f>IFERROR(AVERAGEIF('Данные 1st'!$S$2:$S$317,$A43,'Данные 1st'!$AJ$2:$AJ$317),"")</f>
        <v>225</v>
      </c>
      <c r="J43" s="7">
        <f>IFERROR(AVERAGEIF('Данные 1st'!$S$2:$S$317,$A43,'Данные 1st'!$AL$2:$AL$317),"")</f>
        <v>1.5</v>
      </c>
      <c r="K43" s="7">
        <f>IFERROR(AVERAGEIF('Данные 1st'!$S$2:$S$317,$A43,'Данные 1st'!$AR$2:$AR$317),"")</f>
        <v>263</v>
      </c>
      <c r="L43" s="7">
        <f>IFERROR(AVERAGEIF('Данные 1st'!$S$2:$S$317,$A43,'Данные 1st'!$AS$2:$AS$317),"")</f>
        <v>1.5</v>
      </c>
      <c r="M43" s="7">
        <f>IFERROR(AVERAGEIF('Данные 1st'!$S$2:$S$317,$A43,'Данные 1st'!$AY$2:$AY$317),"")</f>
        <v>337.5</v>
      </c>
      <c r="N43" s="7">
        <f>IFERROR(AVERAGEIF('Данные 1st'!$S$2:$S$317,$A43,'Данные 1st'!$AZ$2:$AZ$317),"")</f>
        <v>1.5</v>
      </c>
      <c r="O43" s="7">
        <f>IFERROR(AVERAGEIF('Данные 1st'!$S$2:$S$317,$A43,'Данные 1st'!$BF$2:$BF$317),"")</f>
        <v>315</v>
      </c>
      <c r="P43" s="7">
        <f>IFERROR(AVERAGEIF('Данные 1st'!$S$2:$S$317,$A43,'Данные 1st'!$BG$2:$BG$317),"")</f>
        <v>1.5</v>
      </c>
      <c r="Q43" s="7">
        <f>IFERROR(AVERAGEIF('Данные 1st'!$S$2:$S$317,$A43,'Данные 1st'!$BM$2:$BM$317),"")</f>
        <v/>
      </c>
      <c r="R43" s="7">
        <f>IFERROR(AVERAGEIF('Данные 1st'!$S$2:$S$317,$A43,'Данные 1st'!$BN$2:$BN$317),"")</f>
        <v>1.5</v>
      </c>
      <c r="S43" s="7">
        <f>IFERROR(AVERAGEIF('Данные 1st'!$S$2:$S$317,$A43,'Данные 1st'!$BT$2:$BT$317),"")</f>
        <v>243</v>
      </c>
      <c r="T43" s="7">
        <f>IFERROR(AVERAGEIF('Данные 1st'!$S$2:$S$317,$A43,'Данные 1st'!$BU$2:$BU$317),"")</f>
        <v>0.5</v>
      </c>
      <c r="U43" s="7">
        <f>IFERROR(AVERAGEIF('Данные 1st'!$S$2:$S$317,$A43,'Данные 1st'!$BW$2:$BW$317),"")</f>
        <v>486</v>
      </c>
      <c r="V43" s="7">
        <f>IFERROR(AVERAGEIF('Данные 1st'!$S$2:$S$317,$A43,'Данные 1st'!$BX$2:$BX$317),"")</f>
        <v>1</v>
      </c>
      <c r="W43" s="7">
        <f>IFERROR(AVERAGEIF('Данные 1st'!$S$2:$S$317,$A43,'Данные 1st'!$BZ$2:$BZ$317),"")</f>
        <v>470</v>
      </c>
      <c r="X43" s="7">
        <f>IFERROR(AVERAGEIF('Данные 1st'!$S$2:$S$317,$A43,'Данные 1st'!$CA$2:$CA$317),"")</f>
        <v>550</v>
      </c>
      <c r="Y43" s="7">
        <f>IFERROR(AVERAGEIF('Данные 1st'!$S$2:$S$317,$A43,'Данные 1st'!$CD$2:$CD$317),"")</f>
        <v>505</v>
      </c>
      <c r="Z43" s="7">
        <f>IFERROR(AVERAGEIF('Данные 1st'!$S$2:$S$317,$A43,'Данные 1st'!$CF$2:$CF$317),"")</f>
        <v>15</v>
      </c>
      <c r="AA43" s="7">
        <f>IFERROR(AVERAGEIF('Данные 1st'!$S$2:$S$317,$A43,'Данные 1st'!$CI$2:$CI$317),"")</f>
        <v>40</v>
      </c>
      <c r="AB43" s="7">
        <f>IFERROR(AVERAGEIF('Данные 1st'!$S$2:$S$317,$A43,'Данные 1st'!$CJ$2:$CJ$317),"")</f>
        <v>1200</v>
      </c>
      <c r="AC43" s="7">
        <f>IFERROR(AVERAGEIF('Данные 1st'!$S$2:$S$317,$A43,'Данные 1st'!$CK$2:$CK$317),"")</f>
        <v>2</v>
      </c>
      <c r="AD43" s="7">
        <f>IFERROR(AVERAGEIF('Данные 1st'!$S$2:$S$317,$A43,'Данные 1st'!$CL$2:$CL$317),"")</f>
        <v>1301</v>
      </c>
      <c r="AE43" s="7">
        <f>IFERROR(AVERAGEIF('Данные 1st'!$S$2:$S$317,$A43,'Данные 1st'!$CM$2:$CM$317),"")</f>
        <v>2</v>
      </c>
      <c r="AF43" s="7">
        <f>IFERROR(AVERAGEIF('Данные 1st'!$S$2:$S$317,$A43,'Данные 1st'!$CT$2:$CT$317),"")</f>
        <v>450</v>
      </c>
      <c r="AG43" s="7">
        <f>IFERROR(AVERAGEIF('Данные 1st'!$S$2:$S$317,$A43,'Данные 1st'!$CU$2:$CU$317),"")</f>
        <v>5</v>
      </c>
      <c r="AH43" s="7">
        <f>IFERROR(AVERAGEIF('Данные 1st'!$S$2:$S$317,$A43,'Данные 1st'!$CV$2:$CV$317),"")</f>
        <v>1.2</v>
      </c>
      <c r="AI43" s="7">
        <f>IFERROR(AVERAGEIF('Данные 1st'!$S$2:$S$317,$A43,'Данные 1st'!$CW$2:$CW$317),"")</f>
        <v>1218</v>
      </c>
      <c r="AJ43" s="7">
        <f>IFERROR(AVERAGEIF('Данные 1st'!$S$2:$S$317,$A43,'Данные 1st'!$CX$2:$CX$317),"")</f>
        <v>776</v>
      </c>
      <c r="AK43" s="7">
        <f>IFERROR(AVERAGEIF('Данные 1st'!$S$2:$S$317,$A43,'Данные 1st'!$CZ$2:$CZ$317),"")</f>
        <v>50</v>
      </c>
      <c r="AL43" s="7">
        <f>IFERROR(AVERAGEIF('Данные 1st'!$S$2:$S$317,$A43,'Данные 1st'!$DA$2:$DA$317),"")</f>
        <v>3</v>
      </c>
      <c r="AM43" s="7">
        <f>IFERROR(AVERAGEIF('Данные 1st'!$S$2:$S$317,$A43,'Данные 1st'!$DB$2:$DB$317),"")</f>
        <v>1</v>
      </c>
      <c r="AN43" s="7">
        <f>IFERROR(AVERAGEIF('Данные 1st'!$S$2:$S$317,$A43,'Данные 1st'!$DC$2:$DC$317),"")</f>
        <v>1218</v>
      </c>
      <c r="AO43" s="7">
        <f>IFERROR(AVERAGEIF('Данные 1st'!$S$2:$S$317,$A43,'Данные 1st'!$DD$2:$DD$317),"")</f>
        <v>64</v>
      </c>
      <c r="AP43" s="7">
        <f>IFERROR(AVERAGEIF('Данные 1st'!$S$2:$S$317,$A43,'Данные 1st'!$DF$2:$DF$317),"")</f>
        <v>675</v>
      </c>
      <c r="AQ43" s="7">
        <f>IFERROR(AVERAGEIF('Данные 1st'!$S$2:$S$317,$A43,'Данные 1st'!$DG$2:$DG$317),"")</f>
        <v>3</v>
      </c>
      <c r="AR43" s="7">
        <f>IFERROR(AVERAGEIF('Данные 1st'!$S$2:$S$317,$A43,'Данные 1st'!$DH$2:$DH$317),"")</f>
        <v>1.18</v>
      </c>
      <c r="AS43" s="7">
        <f>IFERROR(AVERAGEIF('Данные 1st'!$S$2:$S$317,$A43,'Данные 1st'!$DI$2:$DI$317),"")</f>
        <v>1211</v>
      </c>
      <c r="AT43" s="7">
        <f>IFERROR(AVERAGEIF('Данные 1st'!$S$2:$S$317,$A43,'Данные 1st'!$DJ$2:$DJ$317),"")</f>
        <v>1295</v>
      </c>
      <c r="AU43" s="7">
        <f>IFERROR(AVERAGEIF('Данные 1st'!$S$2:$S$317,$A43,'Данные 1st'!$DL$2:$DL$317),"")</f>
        <v>630</v>
      </c>
      <c r="AV43" s="7">
        <f>IFERROR(AVERAGEIF('Данные 1st'!$S$2:$S$317,$A43,'Данные 1st'!$DM$2:$DM$317),"")</f>
        <v>3</v>
      </c>
      <c r="AW43" s="7">
        <f>IFERROR(AVERAGEIF('Данные 1st'!$S$2:$S$317,$A43,'Данные 1st'!$DN$2:$DN$317),"")</f>
        <v>1.18</v>
      </c>
      <c r="AX43" s="7">
        <f>IFERROR(AVERAGEIF('Данные 1st'!$S$2:$S$317,$A43,'Данные 1st'!$DO$2:$DO$317),"")</f>
        <v>1221</v>
      </c>
      <c r="AY43" s="7">
        <f>IFERROR(AVERAGEIF('Данные 1st'!$S$2:$S$317,$A43,'Данные 1st'!$DP$2:$DP$317),"")</f>
        <v>1172</v>
      </c>
      <c r="AZ43" s="7">
        <f>IFERROR(AVERAGEIF('Данные 1st'!$S$2:$S$317,$A43,'Данные 1st'!$DR$2:$DR$317),"")</f>
        <v/>
      </c>
      <c r="BA43" s="7">
        <f>IFERROR(AVERAGEIF('Данные 1st'!$S$2:$S$317,$A43,'Данные 1st'!$DS$2:$DS$317),"")</f>
        <v/>
      </c>
      <c r="BB43" s="7">
        <f>IFERROR(AVERAGEIF('Данные 1st'!$S$2:$S$317,$A43,'Данные 1st'!$DT$2:$DT$317),"")</f>
        <v/>
      </c>
      <c r="BC43" s="7">
        <f>IFERROR(AVERAGEIF('Данные 1st'!$S$2:$S$317,$A43,'Данные 1st'!$DU$2:$DU$317),"")</f>
        <v/>
      </c>
      <c r="BD43" s="7">
        <f>IFERROR(AVERAGEIF('Данные 1st'!$S$2:$S$317,$A43,'Данные 1st'!$DV$2:$DV$317),"")</f>
        <v/>
      </c>
      <c r="BE43" s="7">
        <f>IFERROR(AVERAGEIF('Данные 1st'!$S$2:$S$317,$A43,'Данные 1st'!$DX$2:$DX$317),"")</f>
        <v>7.5</v>
      </c>
      <c r="BF43" s="7">
        <f>IFERROR(AVERAGEIF('Данные 1st'!$S$2:$S$317,$A43,'Данные 1st'!$EA$2:$EA$317),"")</f>
        <v>1288.9</v>
      </c>
      <c r="BG43" s="7">
        <f>IFERROR(AVERAGEIF('Данные 1st'!$S$2:$S$317,$A43,'Данные 1st'!$EB$2:$EB$317),"")</f>
        <v>228</v>
      </c>
      <c r="BH43" s="7">
        <f>IFERROR(AVERAGEIF('Данные 1st'!$S$2:$S$317,$A43,'Данные 1st'!$ED$2:$ED$317),"")</f>
        <v>45</v>
      </c>
      <c r="BI43" s="7">
        <f>IFERROR(AVERAGEIF('Данные 1st'!$S$2:$S$317,$A43,'Данные 1st'!$EE$2:$EE$317),"")</f>
        <v>3</v>
      </c>
      <c r="BJ43" s="7">
        <f>IFERROR(AVERAGEIF('Данные 1st'!$S$2:$S$317,$A43,'Данные 1st'!$EG$2:$EG$317),"")</f>
        <v>1330</v>
      </c>
      <c r="BK43" s="7">
        <f>IFERROR(AVERAGEIF('Данные 1st'!$S$2:$S$317,$A43,'Данные 1st'!$EH$2:$EH$317),"")</f>
        <v>243</v>
      </c>
      <c r="BL43" s="7">
        <f>IFERROR(AVERAGEIF('Данные 1st'!$S$2:$S$317,$A43,'Данные 1st'!$EJ$2:$EJ$317),"")</f>
        <v>0</v>
      </c>
      <c r="BM43" s="7">
        <f>IFERROR(AVERAGEIF('Данные 1st'!$S$2:$S$317,$A43,'Данные 1st'!$EK$2:$EK$317),"")</f>
        <v>1</v>
      </c>
      <c r="BN43" s="7">
        <f>IFERROR(AVERAGEIF('Данные 1st'!$S$2:$S$317,$A43,'Данные 1st'!$EN$2:$EN$317),"")</f>
        <v>0</v>
      </c>
      <c r="BO43" s="7">
        <f>IFERROR(AVERAGEIF('Данные 1st'!$S$2:$S$317,$A43,'Данные 1st'!$EQ$2:$EQ$317),"")</f>
        <v>150</v>
      </c>
      <c r="BP43" s="7">
        <f>IFERROR(AVERAGEIF('Данные 1st'!$S$2:$S$317,$A43,'Данные 1st'!$ER$2:$ER$317),"")</f>
        <v>3</v>
      </c>
      <c r="BQ43" s="7">
        <f>IFERROR(AVERAGEIF('Данные 1st'!$S$2:$S$317,$A43,'Данные 1st'!$ES$2:$ES$317),"")</f>
        <v>6.5</v>
      </c>
      <c r="BR43" s="7">
        <f>IFERROR(AVERAGEIF('Данные 1st'!$S$2:$S$317,$A43,'Данные 1st'!$ET$2:$ET$317),"")</f>
        <v>1204</v>
      </c>
      <c r="BS43" s="7">
        <f>IFERROR(AVERAGEIF('Данные 1st'!$S$2:$S$317,$A43,'Данные 1st'!$EU$2:$EU$317),"")</f>
        <v>735.7</v>
      </c>
      <c r="BT43" s="7">
        <f>IFERROR(AVERAGEIF('Данные 1st'!$S$2:$S$317,$A43,'Данные 1st'!$EV$2:$EV$317),"")</f>
        <v>886</v>
      </c>
      <c r="BU43" s="7">
        <f>IFERROR(AVERAGEIF('Данные 1st'!$S$2:$S$317,$A43,'Данные 1st'!$EX$2:$EX$317),"")</f>
        <v>45</v>
      </c>
      <c r="BV43" s="7">
        <f>IFERROR(AVERAGEIF('Данные 1st'!$S$2:$S$317,$A43,'Данные 1st'!$EY$2:$EY$317),"")</f>
        <v>2</v>
      </c>
      <c r="BW43" s="7">
        <f>IFERROR(AVERAGEIF('Данные 1st'!$S$2:$S$317,$A43,'Данные 1st'!$EZ$2:$EZ$317),"")</f>
        <v>4.3</v>
      </c>
      <c r="BX43" s="7">
        <f>IFERROR(AVERAGEIF('Данные 1st'!$S$2:$S$317,$A43,'Данные 1st'!$FA$2:$FA$317),"")</f>
        <v>1204</v>
      </c>
      <c r="BY43" s="7">
        <f>IFERROR(AVERAGEIF('Данные 1st'!$S$2:$S$317,$A43,'Данные 1st'!$FB$2:$FB$317),"")</f>
        <v>140.3</v>
      </c>
      <c r="BZ43" s="7">
        <f>IFERROR(AVERAGEIF('Данные 1st'!$S$2:$S$317,$A43,'Данные 1st'!$FC$2:$FC$317),"")</f>
        <v>169</v>
      </c>
      <c r="CA43" s="7">
        <f>IFERROR(AVERAGEIF('Данные 1st'!$S$2:$S$317,$A43,'Данные 1st'!$FE$2:$FE$317),"")</f>
        <v>0</v>
      </c>
      <c r="CB43" s="7">
        <f>IFERROR(AVERAGEIF('Данные 1st'!$S$2:$S$317,$A43,'Данные 1st'!$FF$2:$FF$317),"")</f>
        <v>2</v>
      </c>
      <c r="CC43" s="7">
        <f>IFERROR(AVERAGEIF('Данные 1st'!$S$2:$S$317,$A43,'Данные 1st'!$FI$2:$FI$317),"")</f>
        <v>0</v>
      </c>
      <c r="CD43" s="7">
        <f>IFERROR(AVERAGEIF('Данные 1st'!$S$2:$S$317,$A43,'Данные 1st'!$FL$2:$FL$317),"")</f>
        <v>0.4</v>
      </c>
      <c r="CE43" s="7">
        <f>IFERROR(AVERAGEIF('Данные 1st'!$S$2:$S$317,$A43,'Данные 1st'!$FM$2:$FM$317),"")</f>
        <v>40</v>
      </c>
      <c r="CF43" s="7">
        <f>IFERROR(AVERAGEIF('Данные 1st'!$S$2:$S$317,$A43,'Данные 1st'!$FN$2:$FN$317),"")</f>
        <v>430</v>
      </c>
      <c r="CG43" s="7">
        <f>IFERROR(AVERAGEIF('Данные 1st'!$S$2:$S$317,$A43,'Данные 1st'!$FO$2:$FO$317),"")</f>
        <v>105</v>
      </c>
      <c r="CH43" s="7">
        <f>IFERROR(AVERAGEIF('Данные 1st'!$S$2:$S$317,$A43,'Данные 1st'!$FP$2:$FP$317),"")</f>
        <v>120</v>
      </c>
      <c r="CI43" s="7">
        <f>IFERROR(AVERAGEIF('Данные 1st'!$S$2:$S$317,$A43,'Данные 1st'!$FS$2:$FS$317),"")</f>
        <v>0.4</v>
      </c>
      <c r="CJ43" s="7">
        <f>IFERROR(AVERAGEIF('Данные 1st'!$S$2:$S$317,$A43,'Данные 1st'!$FT$2:$FT$317),"")</f>
        <v>30</v>
      </c>
      <c r="CK43" s="7">
        <f>IFERROR(AVERAGEIF('Данные 1st'!$S$2:$S$317,$A43,'Данные 1st'!$FU$2:$FU$317),"")</f>
        <v>600</v>
      </c>
      <c r="CL43" s="7">
        <f>IFERROR(AVERAGEIF('Данные 1st'!$S$2:$S$317,$A43,'Данные 1st'!$FV$2:$FV$317),"")</f>
        <v/>
      </c>
      <c r="CM43" s="7">
        <f>IFERROR(AVERAGEIF('Данные 1st'!$S$2:$S$317,$A43,'Данные 1st'!$FW$2:$FW$317),"")</f>
        <v/>
      </c>
      <c r="CN43" s="7">
        <f>IFERROR(AVERAGEIF('Данные 1st'!$S$2:$S$317,$A43,'Данные 1st'!$FZ$2:$FZ$317),"")</f>
        <v/>
      </c>
      <c r="CO43" s="7">
        <f>IFERROR(AVERAGEIF('Данные 1st'!$S$2:$S$317,$A43,'Данные 1st'!$GA$2:$GA$317),"")</f>
        <v/>
      </c>
      <c r="CP43" s="7">
        <f>IFERROR(AVERAGEIF('Данные 1st'!$S$2:$S$317,$A43,'Данные 1st'!$GB$2:$GB$317),"")</f>
        <v/>
      </c>
      <c r="CQ43" s="7">
        <f>IFERROR(AVERAGEIF('Данные 1st'!$S$2:$S$317,$A43,'Данные 1st'!$GH$2:$GH$317),"")</f>
        <v/>
      </c>
      <c r="CR43" s="7">
        <f>IFERROR(AVERAGEIF('Данные 1st'!$S$2:$S$317,$A43,'Данные 1st'!$GI$2:$GI$317),"")</f>
        <v/>
      </c>
      <c r="CS43" s="7">
        <f>IFERROR(AVERAGEIF('Данные 1st'!$S$2:$S$317,$A43,'Данные 1st'!$GJ$2:$GJ$317),"")</f>
        <v/>
      </c>
      <c r="CT43" s="7">
        <f>IFERROR(AVERAGEIF('Данные 1st'!$S$2:$S$317,$A43,'Данные 1st'!$GS$2:$GS$317),"")</f>
        <v>0.4</v>
      </c>
      <c r="CU43" s="7">
        <f>IFERROR(AVERAGEIF('Данные 1st'!$S$2:$S$317,$A43,'Данные 1st'!$GT$2:$GT$317),"")</f>
        <v>120</v>
      </c>
      <c r="CV43" s="7">
        <f>IFERROR(AVERAGEIF('Данные 1st'!$S$2:$S$317,$A43,'Данные 1st'!$GU$2:$GU$317),"")</f>
        <v>280</v>
      </c>
      <c r="CW43" s="7">
        <f>IFERROR(AVERAGEIF('Данные 1st'!$S$2:$S$317,$A43,'Данные 1st'!$GV$2:$GV$317),"")</f>
        <v/>
      </c>
      <c r="CX43" s="7">
        <f>IFERROR(AVERAGEIF('Данные 1st'!$S$2:$S$317,$A43,'Данные 1st'!$GW$2:$GW$317),"")</f>
        <v/>
      </c>
      <c r="CY43" s="7">
        <f>IFERROR(AVERAGEIF('Данные 1st'!$S$2:$S$317,$A43,'Данные 1st'!$GZ$2:$GZ$317),"")</f>
        <v/>
      </c>
      <c r="CZ43" s="7">
        <f>IFERROR(AVERAGEIF('Данные 1st'!$S$2:$S$317,$A43,'Данные 1st'!$HA$2:$HA$317),"")</f>
        <v/>
      </c>
      <c r="DA43" s="7">
        <f>IFERROR(AVERAGEIF('Данные 1st'!$S$2:$S$317,$A43,'Данные 1st'!$HB$2:$HB$317),"")</f>
        <v/>
      </c>
      <c r="DB43" s="7">
        <f>IFERROR(AVERAGEIF('Данные 1st'!$S$2:$S$317,$A43,'Данные 1st'!$HC$2:$HC$317),"")</f>
        <v>0.1</v>
      </c>
      <c r="DC43" s="7">
        <f>IFERROR(AVERAGEIF('Данные 1st'!$S$2:$S$317,$A43,'Данные 1st'!$HD$2:$HD$317),"")</f>
        <v>3</v>
      </c>
      <c r="DD43" s="7">
        <f>IFERROR(AVERAGEIF('Данные 1st'!$S$2:$S$317,$A43,'Данные 1st'!$HE$2:$HE$317),"")</f>
        <v>3</v>
      </c>
      <c r="DE43" s="7">
        <f>IFERROR(AVERAGEIF('Данные 1st'!$S$2:$S$317,$A43,'Данные 1st'!$HF$2:$HF$317),"")</f>
        <v>3</v>
      </c>
      <c r="DF43" s="7">
        <f>IFERROR(AVERAGEIF('Данные 1st'!$S$2:$S$317,$A43,'Данные 1st'!$HG$2:$HG$317),"")</f>
        <v>3</v>
      </c>
      <c r="DG43" s="7">
        <f>IFERROR(AVERAGEIF('Данные 1st'!$S$2:$S$317,$A43,'Данные 1st'!$HH$2:$HH$317),"")</f>
        <v>3</v>
      </c>
      <c r="DH43" s="7">
        <f>IFERROR(AVERAGEIF('Данные 1st'!$S$2:$S$317,$A43,'Данные 1st'!$HI$2:$HI$317),"")</f>
        <v>180</v>
      </c>
      <c r="DI43" s="7">
        <f>IFERROR(AVERAGEIF('Данные 1st'!$S$2:$S$317,$A43,'Данные 1st'!$HJ$2:$HJ$317),"")</f>
        <v>3</v>
      </c>
      <c r="DJ43" s="7">
        <f>IFERROR(AVERAGEIF('Данные 1st'!$S$2:$S$317,$A43,'Данные 1st'!$HK$2:$HK$317),"")</f>
        <v>30</v>
      </c>
      <c r="DK43" s="7">
        <f>IFERROR(AVERAGEIF('Данные 1st'!$S$2:$S$317,$A43,'Данные 1st'!$HL$2:$HL$317),"")</f>
        <v>2</v>
      </c>
      <c r="DL43" s="7">
        <f>IFERROR(AVERAGEIF('Данные 1st'!$S$2:$S$317,$A43,'Данные 1st'!$HM$2:$HM$317),"")</f>
        <v>0</v>
      </c>
      <c r="DM43" s="7">
        <f>IFERROR(AVERAGEIF('Данные 1st'!$S$2:$S$317,$A43,'Данные 1st'!$HN$2:$HN$317),"")</f>
        <v>2</v>
      </c>
      <c r="DN43" s="7">
        <f>IFERROR(AVERAGEIF('Данные 1st'!$S$2:$S$317,$A43,'Данные 1st'!$HO$2:$HO$317),"")</f>
        <v>135</v>
      </c>
      <c r="DO43" s="7">
        <f>IFERROR(AVERAGEIF('Данные 1st'!$S$2:$S$317,$A43,'Данные 1st'!$HP$2:$HP$317),"")</f>
        <v>3</v>
      </c>
      <c r="DP43" s="7">
        <f>IFERROR(AVERAGEIF('Данные 1st'!$S$2:$S$317,$A43,'Данные 1st'!$HQ$2:$HQ$317),"")</f>
        <v>0</v>
      </c>
      <c r="DQ43" s="7">
        <f>IFERROR(AVERAGEIF('Данные 1st'!$S$2:$S$317,$A43,'Данные 1st'!$HR$2:$HR$317),"")</f>
        <v>2</v>
      </c>
      <c r="DR43" s="7">
        <f>IFERROR(AVERAGEIF('Данные 1st'!$S$2:$S$317,$A43,'Данные 1st'!$HS$2:$HS$317),"")</f>
        <v>6423</v>
      </c>
      <c r="DS43" s="7">
        <f>IFERROR(AVERAGEIF('Данные 1st'!$S$2:$S$317,$A43,'Данные 1st'!$HT$2:$HT$317),"")</f>
        <v>190</v>
      </c>
      <c r="DT43" s="7">
        <f>IFERROR(AVERAGEIF('Данные 1st'!$S$2:$S$317,$A43,'Данные 1st'!$HU$2:$HU$317),"")</f>
        <v>180</v>
      </c>
      <c r="DU43" s="7">
        <f>IFERROR(AVERAGEIF('Данные 1st'!$S$2:$S$317,$A43,'Данные 1st'!$HW$2:$HW$317),"")</f>
        <v>0</v>
      </c>
      <c r="DV43" s="7">
        <f>IFERROR(AVERAGEIF('Данные 1st'!$S$2:$S$317,$A43,'Данные 1st'!$HX$2:$HX$317),"")</f>
        <v>516</v>
      </c>
      <c r="DW43" s="7">
        <f>IFERROR(AVERAGEIF('Данные 1st'!$S$2:$S$317,$A43,'Данные 1st'!$HY$2:$HY$317),"")</f>
        <v>0.18</v>
      </c>
      <c r="DX43" s="7">
        <f>IFERROR(AVERAGEIF('Данные 1st'!$S$2:$S$317,$A43,'Данные 1st'!$IA$2:$IA$317),"")</f>
        <v>0.15</v>
      </c>
      <c r="DY43" s="7">
        <f>IFERROR(AVERAGEIF('Данные 1st'!$S$2:$S$317,$A43,'Данные 1st'!$IB$2:$IB$317),"")</f>
        <v>0</v>
      </c>
      <c r="DZ43" s="7">
        <f>IFERROR(AVERAGEIF('Данные 1st'!$S$2:$S$317,$A43,'Данные 1st'!$IC$2:$IC$317),"")</f>
        <v>180</v>
      </c>
      <c r="EA43" s="7">
        <f>IFERROR(AVERAGEIF('Данные 1st'!$S$2:$S$317,$A43,'Данные 1st'!$ID$2:$ID$317),"")</f>
        <v>110</v>
      </c>
      <c r="EB43" s="7">
        <f>IFERROR(AVERAGEIF('Данные 1st'!$S$2:$S$317,$A43,'Данные 1st'!$IE$2:$IE$317),"")</f>
        <v>225</v>
      </c>
      <c r="EC43" s="7">
        <f>IFERROR(AVERAGEIF('Данные 1st'!$S$2:$S$317,$A43,'Данные 1st'!$IF$2:$IF$317),"")</f>
        <v>0</v>
      </c>
      <c r="ED43" s="7">
        <f>IFERROR(AVERAGEIF('Данные 1st'!$S$2:$S$317,$A43,'Данные 1st'!$IP$2:$IP$317),"")</f>
        <v>16</v>
      </c>
      <c r="EE43" s="7">
        <f>IFERROR(AVERAGEIF('Данные 1st'!$S$2:$S$317,$A43,'Данные 1st'!$IV$2:$IV$317),"")</f>
        <v>1200</v>
      </c>
      <c r="EF43" s="7">
        <f>IFERROR(AVERAGEIF('Данные 1st'!$S$2:$S$317,$A43,'Данные 1st'!$IW$2:$IW$317),"")</f>
        <v>486</v>
      </c>
      <c r="EG43" s="7">
        <f>IFERROR(AVERAGEIF('Данные 1st'!$S$2:$S$317,$A43,'Данные 1st'!$IX$2:$IX$317),"")</f>
        <v/>
      </c>
      <c r="EH43" s="7">
        <f>IFERROR(AVERAGEIF('Данные 1st'!$S$2:$S$317,$A43,'Данные 1st'!$IY$2:$IY$317),"")</f>
        <v/>
      </c>
      <c r="EI43" s="7">
        <f>IFERROR(AVERAGEIF('Данные 1st'!$S$2:$S$317,$A43,'Данные 1st'!$JD$2:$JD$317),"")</f>
        <v>1218</v>
      </c>
      <c r="EJ43" s="7">
        <f>IFERROR(AVERAGEIF('Данные 1st'!$S$2:$S$317,$A43,'Данные 1st'!$JE$2:$JE$317),"")</f>
        <v>1211</v>
      </c>
      <c r="EK43" s="7">
        <f>IFERROR(AVERAGEIF('Данные 1st'!$S$2:$S$317,$A43,'Данные 1st'!$JF$2:$JF$317),"")</f>
        <v>1221</v>
      </c>
      <c r="EL43" s="7">
        <f>IFERROR(AVERAGEIF('Данные 1st'!$S$2:$S$317,$A43,'Данные 1st'!$JG$2:$JG$317),"")</f>
        <v>1204</v>
      </c>
      <c r="EM43" s="7">
        <f>IFERROR(AVERAGEIF('Данные 1st'!$S$2:$S$317,$A43,'Данные 1st'!$JH$2:$JH$317),"")</f>
        <v>0</v>
      </c>
      <c r="EN43" s="7">
        <f>IFERROR(AVERAGEIF('Данные 1st'!$S$2:$S$317,$A43,'Данные 1st'!$JJ$2:$JJ$317),"")</f>
        <v>180</v>
      </c>
      <c r="EO43" s="7">
        <f>IFERROR(AVERAGEIF('Данные 1st'!$S$2:$S$317,$A43,'Данные 1st'!$JK$2:$JK$317),"")</f>
        <v>516</v>
      </c>
      <c r="EP43" s="7">
        <f>IFERROR(AVERAGEIF('Данные 1st'!$S$2:$S$317,$A43,'Данные 1st'!$JL$2:$JL$317),"")</f>
        <v/>
      </c>
      <c r="EQ43" s="7">
        <f>IFERROR(AVERAGEIF('Данные 1st'!$S$2:$S$317,$A43,'Данные 1st'!$JM$2:$JM$317),"")</f>
        <v/>
      </c>
      <c r="ER43" s="7">
        <f>IFERROR(AVERAGEIF('Данные 1st'!$S$2:$S$317,$A43,'Данные 1st'!$JN$2:$JN$317),"")</f>
        <v>450</v>
      </c>
      <c r="ES43" s="7">
        <f>IFERROR(AVERAGEIF('Данные 1st'!$S$2:$S$317,$A43,'Данные 1st'!$JO$2:$JO$317),"")</f>
        <v>675</v>
      </c>
      <c r="ET43" s="7">
        <f>IFERROR(AVERAGEIF('Данные 1st'!$S$2:$S$317,$A43,'Данные 1st'!$JP$2:$JP$317),"")</f>
        <v>630</v>
      </c>
      <c r="EU43" s="7">
        <f>IFERROR(AVERAGEIF('Данные 1st'!$S$2:$S$317,$A43,'Данные 1st'!$JQ$2:$JQ$317),"")</f>
        <v>0</v>
      </c>
      <c r="EV43" s="7">
        <f>IFERROR(AVERAGEIF('Данные 1st'!$S$2:$S$317,$A43,'Данные 1st'!$JR$2:$JR$317),"")</f>
        <v>488</v>
      </c>
      <c r="EW43" s="7">
        <f>IFERROR(AVERAGEIF('Данные 1st'!$S$2:$S$317,$A43,'Данные 1st'!$JS$2:$JS$317),"")</f>
        <v>180</v>
      </c>
      <c r="EX43" s="7">
        <f>IFERROR(AVERAGEIF('Данные 1st'!$S$2:$S$317,$A43,'Данные 1st'!$JT$2:$JT$317),"")</f>
        <v/>
      </c>
      <c r="EY43" s="7">
        <f>IFERROR(AVERAGEIF('Данные 1st'!$S$2:$S$317,$A43,'Данные 1st'!$JU$2:$JU$317),"")</f>
        <v/>
      </c>
      <c r="EZ43" s="7">
        <f>IFERROR(AVERAGEIF('Данные 1st'!$S$2:$S$317,$A43,'Данные 1st'!$JV$2:$JV$317),"")</f>
        <v>8</v>
      </c>
      <c r="FA43" s="7">
        <f>IFERROR(AVERAGEIF('Данные 1st'!$S$2:$S$317,$A43,'Данные 1st'!$JW$2:$JW$317),"")</f>
        <v/>
      </c>
      <c r="FB43" s="7">
        <f>IFERROR(AVERAGEIF('Данные 1st'!$S$2:$S$317,$A43,'Данные 1st'!$JX$2:$JX$317),"")</f>
        <v>526</v>
      </c>
      <c r="FC43" s="7">
        <f>IFERROR(AVERAGEIF('Данные 1st'!$S$2:$S$317,$A43,'Данные 1st'!$JY$2:$JY$317),"")</f>
        <v/>
      </c>
      <c r="FD43" s="7">
        <f>IFERROR(AVERAGEIF('Данные 1st'!$S$2:$S$317,$A43,'Данные 1st'!$JZ$2:$JZ$317),"")</f>
        <v/>
      </c>
      <c r="FE43" s="7">
        <f>IFERROR(AVERAGEIF('Данные 1st'!$S$2:$S$317,$A43,'Данные 1st'!$KA$2:$KA$317),"")</f>
        <v>225</v>
      </c>
      <c r="FF43" s="7">
        <f>IFERROR(AVERAGEIF('Данные 1st'!$S$2:$S$317,$A43,'Данные 1st'!$KB$2:$KB$317),"")</f>
        <v>110</v>
      </c>
      <c r="FG43" s="7">
        <f>IFERROR(AVERAGEIF('Данные 1st'!$S$2:$S$317,$A43,'Данные 1st'!$KC$2:$KC$317),"")</f>
        <v>0</v>
      </c>
      <c r="FH43" s="7">
        <f>IFERROR(AVERAGEIF('Данные 1st'!$S$2:$S$317,$A43,'Данные 1st'!$KD$2:$KD$317),"")</f>
        <v>80</v>
      </c>
      <c r="FI43" s="7">
        <f>IFERROR(AVERAGEIF('Данные 1st'!$S$2:$S$317,$A43,'Данные 1st'!$KE$2:$KE$317),"")</f>
        <v/>
      </c>
      <c r="FJ43" s="7">
        <f>IFERROR(AVERAGEIF('Данные 1st'!$S$2:$S$317,$A43,'Данные 1st'!$KF$2:$KF$317),"")</f>
        <v>4</v>
      </c>
      <c r="FK43" s="7">
        <f>IFERROR(AVERAGEIF('Данные 1st'!$S$2:$S$317,$A43,'Данные 1st'!$KG$2:$KG$317),"")</f>
        <v>4</v>
      </c>
      <c r="FL43" s="7">
        <f>IFERROR(AVERAGEIF('Данные 1st'!$S$2:$S$317,$A43,'Данные 1st'!$KH$2:$KH$317),"")</f>
        <v>2</v>
      </c>
      <c r="FM43" s="7">
        <f>IFERROR(AVERAGEIF('Данные 1st'!$S$2:$S$317,$A43,'Данные 1st'!$KI$2:$KI$317),"")</f>
        <v>2</v>
      </c>
      <c r="FN43" s="7">
        <f>IFERROR(AVERAGEIF('Данные 1st'!$S$2:$S$317,$A43,'Данные 1st'!$KJ$2:$KJ$317),"")</f>
        <v>0</v>
      </c>
      <c r="FO43" s="7">
        <f>IFERROR(AVERAGEIF('Данные 1st'!$S$2:$S$317,$A43,'Данные 1st'!$KK$2:$KK$317),"")</f>
        <v>1.5</v>
      </c>
      <c r="FP43" s="7">
        <f>IFERROR(AVERAGEIF('Данные 1st'!$S$2:$S$317,$A43,'Данные 1st'!$KL$2:$KL$317),"")</f>
        <v>1.5</v>
      </c>
      <c r="FQ43" s="7">
        <f>IFERROR(AVERAGEIF('Данные 1st'!$S$2:$S$317,$A43,'Данные 1st'!$KM$2:$KM$317),"")</f>
        <v>0</v>
      </c>
      <c r="FR43" s="7">
        <f>IFERROR(AVERAGEIF('Данные 1st'!$S$2:$S$317,$A43,'Данные 1st'!$KN$2:$KN$317),"")</f>
        <v>0</v>
      </c>
      <c r="FS43" s="7">
        <f>IFERROR(AVERAGEIF('Данные 1st'!$S$2:$S$317,$A43,'Данные 1st'!$KR$2:$KR$317),"")</f>
        <v>50</v>
      </c>
      <c r="FT43" s="7">
        <f>IFERROR(AVERAGEIF('Данные 1st'!$S$2:$S$317,$A43,'Данные 1st'!$KS$2:$KS$317),"")</f>
        <v>60</v>
      </c>
      <c r="FU43" s="7">
        <f>IFERROR(AVERAGEIF('Данные 1st'!$S$2:$S$317,$A43,'Данные 1st'!$KT$2:$KT$317),"")</f>
        <v>0</v>
      </c>
      <c r="FV43" s="7">
        <f>IFERROR(AVERAGEIF('Данные 1st'!$S$2:$S$317,$A43,'Данные 1st'!$KV$2:$KV$317),"")</f>
        <v/>
      </c>
      <c r="FW43" s="7">
        <f>IFERROR(AVERAGEIF('Данные 1st'!$S$2:$S$317,$A43,'Данные 1st'!$KW$2:$KW$317),"")</f>
        <v/>
      </c>
      <c r="FX43" s="7">
        <f>IFERROR(AVERAGEIF('Данные 1st'!$S$2:$S$317,$A43,'Данные 1st'!$KX$2:$KX$317),"")</f>
        <v/>
      </c>
      <c r="FY43" s="7">
        <f>IFERROR(AVERAGEIF('Данные 1st'!$S$2:$S$317,$A43,'Данные 1st'!$KY$2:$KY$317),"")</f>
        <v/>
      </c>
      <c r="FZ43" s="7">
        <f>IFERROR(AVERAGEIF('Данные 1st'!$S$2:$S$317,$A43,'Данные 1st'!$KZ$2:$KZ$317),"")</f>
        <v/>
      </c>
      <c r="GA43" s="7">
        <f>IFERROR(AVERAGEIF('Данные 1st'!$S$2:$S$317,$A43,'Данные 1st'!$LA$2:$LA$317),"")</f>
        <v/>
      </c>
      <c r="GB43" s="7">
        <f>IFERROR(AVERAGEIF('Данные 1st'!$S$2:$S$317,$A43,'Данные 1st'!$LB$2:$LB$317),"")</f>
        <v/>
      </c>
      <c r="GC43" s="7">
        <f>IFERROR(AVERAGEIF('Данные 1st'!$S$2:$S$317,$A43,'Данные 1st'!$LC$2:$LC$317),"")</f>
        <v/>
      </c>
      <c r="GD43" s="7">
        <f>IFERROR(AVERAGEIF('Данные 1st'!$S$2:$S$317,$A43,'Данные 1st'!$LD$2:$LD$317),"")</f>
        <v/>
      </c>
      <c r="GE43" s="7">
        <f>IFERROR(AVERAGEIF('Данные 1st'!$S$2:$S$317,$A43,'Данные 1st'!$LE$2:$LE$317),"")</f>
        <v/>
      </c>
      <c r="GF43" s="7">
        <f>IFERROR(AVERAGEIF('Данные 1st'!$S$2:$S$317,$A43,'Данные 1st'!$LF$2:$LF$317),"")</f>
        <v/>
      </c>
      <c r="GG43" s="7">
        <f>IFERROR(AVERAGEIF('Данные 1st'!$S$2:$S$317,$A43,'Данные 1st'!$LG$2:$LG$317),"")</f>
        <v/>
      </c>
      <c r="GH43" s="7">
        <f>IFERROR(AVERAGEIF('Данные 1st'!$S$2:$S$317,$A43,'Данные 1st'!$LH$2:$LH$317),"")</f>
        <v/>
      </c>
      <c r="GI43" s="7">
        <f>IFERROR(AVERAGEIF('Данные 1st'!$S$2:$S$317,$A43,'Данные 1st'!$LI$2:$LI$317),"")</f>
        <v/>
      </c>
      <c r="GJ43" s="7">
        <f>IFERROR(AVERAGEIF('Данные 1st'!$S$2:$S$317,$A43,'Данные 1st'!$LJ$2:$LJ$317),"")</f>
        <v/>
      </c>
      <c r="GK43" s="7">
        <f>IFERROR(AVERAGEIF('Данные 1st'!$S$2:$S$317,$A43,'Данные 1st'!$LK$2:$LK$317),"")</f>
        <v>480</v>
      </c>
      <c r="GL43" s="7">
        <f>IFERROR(AVERAGEIF('Данные 1st'!$S$2:$S$317,$A43,'Данные 1st'!$LV$2:$LV$317),"")</f>
        <v/>
      </c>
      <c r="GM43" s="7">
        <f>IFERROR(AVERAGEIF('Данные 1st'!$S$2:$S$317,$A43,'Данные 1st'!$LW$2:$LW$317),"")</f>
        <v/>
      </c>
      <c r="GN43" s="7">
        <f>IFERROR(AVERAGEIF('Данные 1st'!$S$2:$S$317,$A43,'Данные 1st'!$LX$2:$LX$317),"")</f>
        <v/>
      </c>
      <c r="GO43" s="7">
        <f>IFERROR(AVERAGEIF('Данные 1st'!$S$2:$S$317,$A43,'Данные 1st'!$LY$2:$LY$317),"")</f>
        <v/>
      </c>
      <c r="GP43" s="7">
        <f>IFERROR(AVERAGEIF('Данные 1st'!$S$2:$S$317,$A43,'Данные 1st'!$LZ$2:$LZ$317),"")</f>
        <v/>
      </c>
      <c r="GQ43" s="7">
        <f>IFERROR(AVERAGEIF('Данные 1st'!$S$2:$S$317,$A43,'Данные 1st'!$PG$2:$PG$317),"")</f>
        <v>1</v>
      </c>
      <c r="GR43" s="7">
        <f>IFERROR(AVERAGEIF('Данные 1st'!$S$2:$S$317,$A43,'Данные 1st'!$PX$2:$PX$317),"")</f>
        <v>56</v>
      </c>
      <c r="GS43" s="7">
        <f>IFERROR(AVERAGEIF('Данные 1st'!$S$2:$S$317,$A43,'Данные 1st'!$PY$2:$PY$317),"")</f>
        <v>57</v>
      </c>
      <c r="GT43" s="7">
        <f>IFERROR(AVERAGEIF('Данные 1st'!$S$2:$S$317,$A43,'Данные 1st'!$QA$2:$QA$317),"")</f>
        <v>3</v>
      </c>
      <c r="GU43" s="7">
        <f>IFERROR(AVERAGEIF('Данные 1st'!$S$2:$S$317,$A43,'Данные 1st'!$QB$2:$QB$317),"")</f>
        <v>1204</v>
      </c>
      <c r="GV43" s="7">
        <f>IFERROR(AVERAGEIF('Данные 1st'!$S$2:$S$317,$A43,'Данные 1st'!$QC$2:$QC$317),"")</f>
        <v>69</v>
      </c>
      <c r="GW43" s="7">
        <f>IFERROR(AVERAGEIF('Данные 1st'!$S$2:$S$317,$A43,'Данные 1st'!$QD$2:$QD$317),"")</f>
        <v>69</v>
      </c>
      <c r="GX43" s="7">
        <f>IFERROR(AVERAGEIF('Данные 1st'!$S$2:$S$317,$A43,'Данные 1st'!$QF$2:$QF$317),"")</f>
        <v>1</v>
      </c>
      <c r="GY43" s="7">
        <f>IFERROR(AVERAGEIF('Данные 1st'!$S$2:$S$317,$A43,'Данные 1st'!$QG$2:$QG$317),"")</f>
        <v>1218</v>
      </c>
      <c r="GZ43" s="7">
        <f>IFERROR(AVERAGEIF('Данные 1st'!$S$2:$S$317,$A43,'Данные 1st'!$QH$2:$QH$317),"")</f>
        <v>66</v>
      </c>
      <c r="HA43" s="7">
        <f>IFERROR(AVERAGEIF('Данные 1st'!$S$2:$S$317,$A43,'Данные 1st'!$QI$2:$QI$317),"")</f>
        <v>66</v>
      </c>
      <c r="HB43" s="7">
        <f>IFERROR(AVERAGEIF('Данные 1st'!$S$2:$S$317,$A43,'Данные 1st'!$QK$2:$QK$317),"")</f>
        <v>1</v>
      </c>
      <c r="HC43" s="7">
        <f>IFERROR(AVERAGEIF('Данные 1st'!$S$2:$S$317,$A43,'Данные 1st'!$QL$2:$QL$317),"")</f>
        <v>1218</v>
      </c>
      <c r="HD43" s="7">
        <f>IFERROR(AVERAGEIF('Данные 1st'!$S$2:$S$317,$A43,'Данные 1st'!$QM$2:$QM$317),"")</f>
        <v>62</v>
      </c>
      <c r="HE43" s="7">
        <f>IFERROR(AVERAGEIF('Данные 1st'!$S$2:$S$317,$A43,'Данные 1st'!$QN$2:$QN$317),"")</f>
        <v>62</v>
      </c>
      <c r="HF43" s="7">
        <f>IFERROR(AVERAGEIF('Данные 1st'!$S$2:$S$317,$A43,'Данные 1st'!$QP$2:$QP$317),"")</f>
        <v>1</v>
      </c>
      <c r="HG43" s="7">
        <f>IFERROR(AVERAGEIF('Данные 1st'!$S$2:$S$317,$A43,'Данные 1st'!$QQ$2:$QQ$317),"")</f>
        <v>1211</v>
      </c>
      <c r="HH43" s="7">
        <f>IFERROR(AVERAGEIF('Данные 1st'!$S$2:$S$317,$A43,'Данные 1st'!$QR$2:$QR$317),"")</f>
        <v>62</v>
      </c>
      <c r="HI43" s="7">
        <f>IFERROR(AVERAGEIF('Данные 1st'!$S$2:$S$317,$A43,'Данные 1st'!$QS$2:$QS$317),"")</f>
        <v>62</v>
      </c>
      <c r="HJ43" s="7">
        <f>IFERROR(AVERAGEIF('Данные 1st'!$S$2:$S$317,$A43,'Данные 1st'!$QU$2:$QU$317),"")</f>
        <v>1</v>
      </c>
      <c r="HK43" s="7">
        <f>IFERROR(AVERAGEIF('Данные 1st'!$S$2:$S$317,$A43,'Данные 1st'!$QV$2:$QV$317),"")</f>
        <v>1221</v>
      </c>
      <c r="HL43" s="7">
        <f>IFERROR(AVERAGEIF('Данные 1st'!$S$2:$S$317,$A43,'Данные 1st'!$QW$2:$QW$317),"")</f>
        <v>82</v>
      </c>
      <c r="HM43" s="7">
        <f>IFERROR(AVERAGEIF('Данные 1st'!$S$2:$S$317,$A43,'Данные 1st'!$QX$2:$QX$317),"")</f>
        <v>88</v>
      </c>
      <c r="HN43" s="7">
        <f>IFERROR(AVERAGEIF('Данные 1st'!$S$2:$S$317,$A43,'Данные 1st'!$QZ$2:$QZ$317),"")</f>
        <v>1</v>
      </c>
      <c r="HO43" s="7">
        <f>IFERROR(AVERAGEIF('Данные 1st'!$S$2:$S$317,$A43,'Данные 1st'!$RA$2:$RA$317),"")</f>
        <v>66</v>
      </c>
      <c r="HP43" s="7">
        <f>IFERROR(AVERAGEIF('Данные 1st'!$S$2:$S$317,$A43,'Данные 1st'!$RB$2:$RB$317),"")</f>
        <v>66</v>
      </c>
      <c r="HQ43" s="7">
        <f>IFERROR(AVERAGEIF('Данные 1st'!$S$2:$S$317,$A43,'Данные 1st'!$RD$2:$RD$317),"")</f>
        <v/>
      </c>
      <c r="HR43" s="7">
        <f>IFERROR(AVERAGEIF('Данные 1st'!$S$2:$S$317,$A43,'Данные 1st'!$RE$2:$RE$317),"")</f>
        <v>0</v>
      </c>
      <c r="HS43" s="7">
        <f>IFERROR(AVERAGEIF('Данные 1st'!$S$2:$S$317,$A43,'Данные 1st'!$RF$2:$RF$317),"")</f>
        <v>1</v>
      </c>
      <c r="HT43" s="7">
        <f>IFERROR(AVERAGEIF('Данные 1st'!$S$2:$S$317,$A43,'Данные 1st'!$RG$2:$RG$317),"")</f>
        <v/>
      </c>
      <c r="HU43" s="7">
        <f>IFERROR(AVERAGEIF('Данные 1st'!$S$2:$S$317,$A43,'Данные 1st'!$RH$2:$RH$317),"")</f>
        <v>1</v>
      </c>
      <c r="HV43" s="7">
        <f>IFERROR(AVERAGEIF('Данные 1st'!$S$2:$S$317,$A43,'Данные 1st'!$RI$2:$RI$317),"")</f>
        <v/>
      </c>
      <c r="HW43" s="7">
        <f>IFERROR(AVERAGEIF('Данные 1st'!$S$2:$S$317,$A43,'Данные 1st'!$RJ$2:$RJ$317),"")</f>
        <v>1</v>
      </c>
      <c r="HX43" s="7">
        <f>IFERROR(AVERAGEIF('Данные 1st'!$S$2:$S$317,$A43,'Данные 1st'!$RK$2:$RK$317),"")</f>
        <v>2</v>
      </c>
      <c r="HY43" s="7">
        <f>IFERROR(AVERAGEIF('Данные 1st'!$S$2:$S$317,$A43,'Данные 1st'!$RL$2:$RL$317),"")</f>
        <v>1</v>
      </c>
      <c r="HZ43" s="7">
        <f>IFERROR(AVERAGEIF('Данные 1st'!$S$2:$S$317,$A43,'Данные 1st'!$RM$2:$RM$317),"")</f>
        <v>1</v>
      </c>
      <c r="IA43" s="7">
        <f>IFERROR(AVERAGEIF('Данные 1st'!$S$2:$S$317,$A43,'Данные 1st'!$RN$2:$RN$317),"")</f>
        <v/>
      </c>
      <c r="IB43" s="7">
        <f>IFERROR(AVERAGEIF('Данные 1st'!$S$2:$S$317,$A43,'Данные 1st'!$RO$2:$RO$317),"")</f>
        <v>637</v>
      </c>
      <c r="IC43" s="7">
        <f>IFERROR(AVERAGEIF('Данные 1st'!$S$2:$S$317,$A43,'Данные 1st'!$RP$2:$RP$317),"")</f>
        <v>105</v>
      </c>
      <c r="ID43" s="7">
        <f>IFERROR(AVERAGEIF('Данные 1st'!$S$2:$S$317,$A43,'Данные 1st'!$RQ$2:$RQ$317),"")</f>
        <v>1069</v>
      </c>
      <c r="IE43" s="7">
        <f>IFERROR(AVERAGEIF('Данные 1st'!$S$2:$S$317,$A43,'Данные 1st'!$RR$2:$RR$317),"")</f>
        <v>960</v>
      </c>
      <c r="IF43" s="7">
        <f>IFERROR(AVERAGEIF('Данные 1st'!$S$2:$S$317,$A43,'Данные 1st'!$RS$2:$RS$317),"")</f>
        <v/>
      </c>
      <c r="IG43" s="7">
        <f>IFERROR(AVERAGEIF('Данные 1st'!$S$2:$S$317,$A43,'Данные 1st'!$RT$2:$RT$317),"")</f>
        <v>228</v>
      </c>
      <c r="IH43" s="7">
        <f>IFERROR(AVERAGEIF('Данные 1st'!$S$2:$S$317,$A43,'Данные 1st'!$RU$2:$RU$317),"")</f>
        <v>243</v>
      </c>
      <c r="II43" s="7">
        <f>IFERROR(AVERAGEIF('Данные 1st'!$S$2:$S$317,$A43,'Данные 1st'!$RX$2:$RX$317),"")</f>
        <v>15</v>
      </c>
      <c r="IJ43" s="7">
        <f>IFERROR(AVERAGEIF('Данные 1st'!$S$2:$S$317,$A43,'Данные 1st'!$RY$2:$RY$317),"")</f>
        <v>4</v>
      </c>
      <c r="IK43" s="7">
        <f>IFERROR(AVERAGEIF('Данные 1st'!$S$2:$S$317,$A43,'Данные 1st'!$SA$2:$SA$317),"")</f>
        <v>15</v>
      </c>
      <c r="IL43" s="7">
        <f>IFERROR(AVERAGEIF('Данные 1st'!$S$2:$S$317,$A43,'Данные 1st'!$SD$2:$SD$317),"")</f>
        <v>1</v>
      </c>
      <c r="IM43" s="7">
        <f>IFERROR(AVERAGEIF('Данные 1st'!$S$2:$S$317,$A43,'Данные 1st'!$SG$2:$SG$317),"")</f>
        <v>1</v>
      </c>
      <c r="IN43" s="7">
        <f>IFERROR(AVERAGEIF('Данные 1st'!$S$2:$S$317,$A43,'Данные 1st'!$SH$2:$SH$317),"")</f>
        <v>0.995</v>
      </c>
      <c r="IO43" s="7">
        <f>IFERROR(AVERAGEIF('Данные 1st'!$S$2:$S$317,$A43,'Данные 1st'!$SI$2:$SI$317),"")</f>
        <v>0.995</v>
      </c>
      <c r="IP43" s="7">
        <f>IFERROR(AVERAGEIF('Данные 1st'!$S$2:$S$317,$A43,'Данные 1st'!$SJ$2:$SJ$317),"")</f>
        <v>0.995</v>
      </c>
      <c r="IQ43" s="7">
        <f>IFERROR(AVERAGEIF('Данные 1st'!$S$2:$S$317,$A43,'Данные 1st'!$SK$2:$SK$317),"")</f>
        <v>15</v>
      </c>
      <c r="IR43" s="7">
        <f>IFERROR(AVERAGEIF('Данные 1st'!$S$2:$S$317,$A43,'Данные 1st'!$SL$2:$SL$317),"")</f>
        <v>0</v>
      </c>
      <c r="IS43" s="7">
        <f>IFERROR(AVERAGEIF('Данные 1st'!$S$2:$S$317,$A43,'Данные 1st'!$SM$2:$SM$317),"")</f>
        <v>0</v>
      </c>
      <c r="IT43" s="7">
        <f>IFERROR(AVERAGEIF('Данные 1st'!$S$2:$S$317,$A43,'Данные 1st'!$SN$2:$SN$317),"")</f>
        <v>0</v>
      </c>
      <c r="IU43" s="7">
        <f>IFERROR(AVERAGEIF('Данные 1st'!$S$2:$S$317,$A43,'Данные 1st'!$SO$2:$SO$317),"")</f>
        <v>0</v>
      </c>
      <c r="IV43" s="7">
        <f>IFERROR(AVERAGEIF('Данные 1st'!$S$2:$S$317,$A43,'Данные 1st'!$SP$2:$SP$317),"")</f>
        <v>0</v>
      </c>
      <c r="IW43" s="7">
        <f>IFERROR(AVERAGEIF('Данные 1st'!$S$2:$S$317,$A43,'Данные 1st'!$SQ$2:$SQ$317),"")</f>
        <v>0</v>
      </c>
      <c r="IX43" s="7">
        <f>IFERROR(AVERAGEIF('Данные 1st'!$S$2:$S$317,$A43,'Данные 1st'!$SR$2:$SR$317),"")</f>
        <v>0</v>
      </c>
      <c r="IY43" s="7">
        <f>IFERROR(AVERAGEIF('Данные 1st'!$S$2:$S$317,$A43,'Данные 1st'!$SS$2:$SS$317),"")</f>
        <v>0</v>
      </c>
      <c r="IZ43" s="7">
        <f>IFERROR(AVERAGEIF('Данные 1st'!$S$2:$S$317,$A43,'Данные 1st'!$ST$2:$ST$317),"")</f>
        <v>0</v>
      </c>
      <c r="JA43" s="7">
        <f>IFERROR(AVERAGEIF('Данные 1st'!$S$2:$S$317,$A43,'Данные 1st'!$SU$2:$SU$317),"")</f>
        <v>0</v>
      </c>
      <c r="JB43" s="7">
        <f>IFERROR(AVERAGEIF('Данные 1st'!$S$2:$S$317,$A43,'Данные 1st'!$SV$2:$SV$317),"")</f>
        <v>0</v>
      </c>
      <c r="JC43" s="7">
        <f>IFERROR(AVERAGEIF('Данные 1st'!$S$2:$S$317,$A43,'Данные 1st'!$SW$2:$SW$317),"")</f>
        <v>0</v>
      </c>
      <c r="JD43" s="7">
        <f>IFERROR(AVERAGEIF('Данные 1st'!$S$2:$S$317,$A43,'Данные 1st'!$SX$2:$SX$317),"")</f>
        <v>0</v>
      </c>
      <c r="JE43" s="7">
        <f>IFERROR(AVERAGEIF('Данные 1st'!$S$2:$S$317,$A43,'Данные 1st'!$SY$2:$SY$317),"")</f>
        <v>1</v>
      </c>
      <c r="JF43" s="7">
        <f>IFERROR(AVERAGEIF('Данные 1st'!$S$2:$S$317,$A43,'Данные 1st'!$SZ$2:$SZ$317),"")</f>
        <v>1</v>
      </c>
      <c r="JG43" s="7">
        <f>IFERROR(AVERAGEIF('Данные 1st'!$S$2:$S$317,$A43,'Данные 1st'!$TA$2:$TA$317),"")</f>
        <v/>
      </c>
      <c r="JH43" s="7">
        <f>IFERROR(AVERAGEIF('Данные 1st'!$S$2:$S$317,$A43,'Данные 1st'!$TB$2:$TB$317),"")</f>
        <v>0</v>
      </c>
      <c r="JI43" s="7">
        <f>IFERROR(AVERAGEIF('Данные 1st'!$S$2:$S$317,$A43,'Данные 1st'!$TC$2:$TC$317),"")</f>
        <v>0</v>
      </c>
      <c r="JJ43" s="7">
        <f>IFERROR(AVERAGEIF('Данные 1st'!$S$2:$S$317,$A43,'Данные 1st'!$TD$2:$TD$317),"")</f>
        <v>7.5</v>
      </c>
      <c r="JK43" s="7">
        <f>IFERROR(AVERAGEIF('Данные 1st'!$S$2:$S$317,$A43,'Данные 1st'!$TN$2:$TN$317),"")</f>
        <v>0</v>
      </c>
      <c r="JL43">
        <f>COUNTIF('Данные 2st'!$Q$2:$Q$317,$A43)</f>
        <v>1</v>
      </c>
      <c r="JM43" s="6" t="s">
        <v>3058</v>
      </c>
      <c r="JN43" s="6" t="s">
        <v>513</v>
      </c>
      <c r="JO43" s="6" t="s">
        <v>517</v>
      </c>
      <c r="JP43" s="6" t="s">
        <v>3435</v>
      </c>
      <c r="JQ43" s="7">
        <f>IFERROR(AVERAGEIF('Данные 2st'!$Q$2:$Q$317,$A43,'Данные 2st'!$AC$2:$AC$317),"")</f>
        <v>13</v>
      </c>
      <c r="JR43" s="7">
        <f>IFERROR(AVERAGEIF('Данные 2st'!$Q$2:$Q$317,$A43,'Данные 2st'!$AF$2:$AF$317),"")</f>
        <v>6423</v>
      </c>
      <c r="JS43" s="7">
        <f>IFERROR(AVERAGEIF('Данные 2st'!$Q$2:$Q$317,$A43,'Данные 2st'!$AW$2:$AW$317),"")</f>
        <v>6.4</v>
      </c>
      <c r="JT43" s="7">
        <f>IFERROR(AVERAGEIF('Данные 2st'!$Q$2:$Q$317,$A43,'Данные 2st'!$AX$2:$AX$317),"")</f>
        <v>-6</v>
      </c>
      <c r="JU43" s="7">
        <f>IFERROR(AVERAGEIF('Данные 2st'!$Q$2:$Q$317,$A43,'Данные 2st'!$AY$2:$AY$317),"")</f>
        <v>92.5</v>
      </c>
      <c r="JV43" s="7">
        <f>IFERROR(AVERAGEIF('Данные 2st'!$Q$2:$Q$317,$A43,'Данные 2st'!$AZ$2:$AZ$317),"")</f>
        <v>80.5</v>
      </c>
      <c r="JW43" s="7">
        <f>IFERROR(AVERAGEIF('Данные 2st'!$Q$2:$Q$317,$A43,'Данные 2st'!$BA$2:$BA$317),"")</f>
        <v/>
      </c>
      <c r="JX43" s="7">
        <f>IFERROR(AVERAGEIF('Данные 2st'!$Q$2:$Q$317,$A43,'Данные 2st'!$BB$2:$BB$317),"")</f>
        <v/>
      </c>
      <c r="JY43" s="7">
        <f>IFERROR(AVERAGEIF('Данные 2st'!$Q$2:$Q$317,$A43,'Данные 2st'!$BC$2:$BC$317),"")</f>
        <v/>
      </c>
      <c r="JZ43" s="7">
        <f>IFERROR(AVERAGEIF('Данные 2st'!$Q$2:$Q$317,$A43,'Данные 2st'!$BH$2:$BH$317),"")</f>
        <v>92.5</v>
      </c>
      <c r="KA43" s="7">
        <f>IFERROR(AVERAGEIF('Данные 2st'!$Q$2:$Q$317,$A43,'Данные 2st'!$BI$2:$BI$317),"")</f>
        <v>12</v>
      </c>
      <c r="KB43" s="7">
        <f>IFERROR(AVERAGEIF('Данные 2st'!$Q$2:$Q$317,$A43,'Данные 2st'!$BJ$2:$BJ$317),"")</f>
        <v>80.5</v>
      </c>
      <c r="KC43" s="7">
        <f>IFERROR(AVERAGEIF('Данные 2st'!$Q$2:$Q$317,$A43,'Данные 2st'!$BK$2:$BK$317),"")</f>
        <v>2.5</v>
      </c>
      <c r="KD43" s="7">
        <f>IFERROR(AVERAGEIF('Данные 2st'!$Q$2:$Q$317,$A43,'Данные 2st'!$BL$2:$BL$317),"")</f>
        <v>185</v>
      </c>
      <c r="KE43" s="7">
        <f>IFERROR(AVERAGEIF('Данные 2st'!$Q$2:$Q$317,$A43,'Данные 2st'!$BM$2:$BM$317),"")</f>
        <v>-6</v>
      </c>
      <c r="KF43" s="7">
        <f>IFERROR(AVERAGEIF('Данные 2st'!$Q$2:$Q$317,$A43,'Данные 2st'!$BN$2:$BN$317),"")</f>
        <v>0</v>
      </c>
      <c r="KG43" s="7">
        <f>IFERROR(AVERAGEIF('Данные 2st'!$Q$2:$Q$317,$A43,'Данные 2st'!$BO$2:$BO$317),"")</f>
        <v/>
      </c>
      <c r="KH43" s="7">
        <f>IFERROR(AVERAGEIF('Данные 2st'!$Q$2:$Q$317,$A43,'Данные 2st'!$BP$2:$BP$317),"")</f>
        <v>0</v>
      </c>
      <c r="KI43" s="7">
        <f>IFERROR(AVERAGEIF('Данные 2st'!$Q$2:$Q$317,$A43,'Данные 2st'!$BR$2:$BR$317),"")</f>
        <v>180</v>
      </c>
      <c r="KJ43" s="7">
        <f>IFERROR(AVERAGEIF('Данные 2st'!$Q$2:$Q$317,$A43,'Данные 2st'!$BS$2:$BS$317),"")</f>
        <v>170</v>
      </c>
      <c r="KK43" s="7">
        <f>IFERROR(AVERAGEIF('Данные 2st'!$Q$2:$Q$317,$A43,'Данные 2st'!$BT$2:$BT$317),"")</f>
        <v>2170</v>
      </c>
      <c r="KL43" s="7">
        <f>IFERROR(AVERAGEIF('Данные 2st'!$Q$2:$Q$317,$A43,'Данные 2st'!$CV$2:$CV$317),"")</f>
        <v>122</v>
      </c>
      <c r="KM43" s="7">
        <f>IFERROR(AVERAGEIF('Данные 2st'!$Q$2:$Q$317,$A43,'Данные 2st'!$CW$2:$CW$317),"")</f>
        <v>3</v>
      </c>
      <c r="KN43" s="7">
        <f>IFERROR(AVERAGEIF('Данные 2st'!$Q$2:$Q$317,$A43,'Данные 2st'!$CX$2:$CX$317),"")</f>
        <v>75</v>
      </c>
      <c r="KO43" s="7">
        <f>IFERROR(AVERAGEIF('Данные 2st'!$Q$2:$Q$317,$A43,'Данные 2st'!$CY$2:$CY$317),"")</f>
        <v>5</v>
      </c>
      <c r="KP43" s="7">
        <f>IFERROR(AVERAGEIF('Данные 2st'!$Q$2:$Q$317,$A43,'Данные 2st'!$CZ$2:$CZ$317),"")</f>
        <v>153</v>
      </c>
      <c r="KQ43" s="7">
        <f>IFERROR(AVERAGEIF('Данные 2st'!$Q$2:$Q$317,$A43,'Данные 2st'!$DA$2:$DA$317),"")</f>
        <v>5</v>
      </c>
      <c r="KR43" s="7">
        <f>IFERROR(AVERAGEIF('Данные 2st'!$Q$2:$Q$317,$A43,'Данные 2st'!$DB$2:$DB$317),"")</f>
        <v>13870</v>
      </c>
      <c r="KS43" s="7">
        <f>IFERROR(AVERAGEIF('Данные 2st'!$Q$2:$Q$317,$A43,'Данные 2st'!$DC$2:$DC$317),"")</f>
        <v>410</v>
      </c>
      <c r="KT43" s="7">
        <f>IFERROR(AVERAGEIF('Данные 2st'!$Q$2:$Q$317,$A43,'Данные 2st'!$DD$2:$DD$317),"")</f>
        <v>360</v>
      </c>
      <c r="KU43" s="7">
        <f>IFERROR(AVERAGEIF('Данные 2st'!$Q$2:$Q$317,$A43,'Данные 2st'!$DE$2:$DE$317),"")</f>
        <v>2285</v>
      </c>
      <c r="KV43" s="7">
        <f>IFERROR(AVERAGEIF('Данные 2st'!$Q$2:$Q$317,$A43,'Данные 2st'!$DF$2:$DF$317),"")</f>
        <v>2285</v>
      </c>
      <c r="KW43" s="7">
        <f>IFERROR(AVERAGEIF('Данные 2st'!$Q$2:$Q$317,$A43,'Данные 2st'!$DG$2:$DG$317),"")</f>
        <v>2312</v>
      </c>
      <c r="KX43" s="7">
        <f>IFERROR(AVERAGEIF('Данные 2st'!$Q$2:$Q$317,$A43,'Данные 2st'!$DH$2:$DH$317),"")</f>
        <v>0</v>
      </c>
      <c r="KY43" s="7">
        <f>IFERROR(AVERAGEIF('Данные 2st'!$Q$2:$Q$317,$A43,'Данные 2st'!$DI$2:$DI$317),"")</f>
        <v/>
      </c>
      <c r="KZ43" s="7">
        <f>IFERROR(AVERAGEIF('Данные 2st'!$Q$2:$Q$317,$A43,'Данные 2st'!$DK$2:$DK$317),"")</f>
        <v>180</v>
      </c>
      <c r="LA43" s="7">
        <f>IFERROR(AVERAGEIF('Данные 2st'!$Q$2:$Q$317,$A43,'Данные 2st'!$DM$2:$DM$317),"")</f>
        <v>63</v>
      </c>
      <c r="LB43" s="7">
        <f>IFERROR(AVERAGEIF('Данные 2st'!$Q$2:$Q$317,$A43,'Данные 2st'!$DN$2:$DN$317),"")</f>
        <v>1.36</v>
      </c>
      <c r="LC43" s="7">
        <f>IFERROR(AVERAGEIF('Данные 2st'!$Q$2:$Q$317,$A43,'Данные 2st'!$DO$2:$DO$317),"")</f>
        <v>1</v>
      </c>
      <c r="LD43" s="7">
        <f>IFERROR(AVERAGEIF('Данные 2st'!$Q$2:$Q$317,$A43,'Данные 2st'!$DP$2:$DP$317),"")</f>
        <v>2174</v>
      </c>
      <c r="LE43" s="7">
        <f>IFERROR(AVERAGEIF('Данные 2st'!$Q$2:$Q$317,$A43,'Данные 2st'!$DQ$2:$DQ$317),"")</f>
        <v>985</v>
      </c>
      <c r="LF43" s="7">
        <f>IFERROR(AVERAGEIF('Данные 2st'!$Q$2:$Q$317,$A43,'Данные 2st'!$DS$2:$DS$317),"")</f>
        <v>170</v>
      </c>
      <c r="LG43" s="7">
        <f>IFERROR(AVERAGEIF('Данные 2st'!$Q$2:$Q$317,$A43,'Данные 2st'!$DU$2:$DU$317),"")</f>
        <v>63</v>
      </c>
      <c r="LH43" s="7">
        <f>IFERROR(AVERAGEIF('Данные 2st'!$Q$2:$Q$317,$A43,'Данные 2st'!$DV$2:$DV$317),"")</f>
        <v>1.36</v>
      </c>
      <c r="LI43" s="7">
        <f>IFERROR(AVERAGEIF('Данные 2st'!$Q$2:$Q$317,$A43,'Данные 2st'!$DW$2:$DW$317),"")</f>
        <v>1</v>
      </c>
      <c r="LJ43" s="7">
        <f>IFERROR(AVERAGEIF('Данные 2st'!$Q$2:$Q$317,$A43,'Данные 2st'!$DX$2:$DX$317),"")</f>
        <v>2188</v>
      </c>
      <c r="LK43" s="7">
        <f>IFERROR(AVERAGEIF('Данные 2st'!$Q$2:$Q$317,$A43,'Данные 2st'!$DY$2:$DY$317),"")</f>
        <v>936</v>
      </c>
      <c r="LL43" s="7">
        <f>IFERROR(AVERAGEIF('Данные 2st'!$Q$2:$Q$317,$A43,'Данные 2st'!$EA$2:$EA$317),"")</f>
        <v>20</v>
      </c>
      <c r="LM43" s="7">
        <f>IFERROR(AVERAGEIF('Данные 2st'!$Q$2:$Q$317,$A43,'Данные 2st'!$EC$2:$EC$317),"")</f>
        <v>0.8</v>
      </c>
      <c r="LN43" s="7">
        <f>IFERROR(AVERAGEIF('Данные 2st'!$Q$2:$Q$317,$A43,'Данные 2st'!$ED$2:$ED$317),"")</f>
        <v>2174</v>
      </c>
      <c r="LO43" s="7">
        <f>IFERROR(AVERAGEIF('Данные 2st'!$Q$2:$Q$317,$A43,'Данные 2st'!$EE$2:$EE$317),"")</f>
        <v>76</v>
      </c>
      <c r="LP43" s="7">
        <f>IFERROR(AVERAGEIF('Данные 2st'!$Q$2:$Q$317,$A43,'Данные 2st'!$EG$2:$EG$317),"")</f>
        <v>0</v>
      </c>
      <c r="LQ43" s="7">
        <f>IFERROR(AVERAGEIF('Данные 2st'!$Q$2:$Q$317,$A43,'Данные 2st'!$EI$2:$EI$317),"")</f>
        <v>0</v>
      </c>
      <c r="LR43" s="7">
        <f>IFERROR(AVERAGEIF('Данные 2st'!$Q$2:$Q$317,$A43,'Данные 2st'!$EJ$2:$EJ$317),"")</f>
        <v/>
      </c>
      <c r="LS43" s="7">
        <f>IFERROR(AVERAGEIF('Данные 2st'!$Q$2:$Q$317,$A43,'Данные 2st'!$EK$2:$EK$317),"")</f>
        <v/>
      </c>
      <c r="LT43" s="7">
        <f>IFERROR(AVERAGEIF('Данные 2st'!$Q$2:$Q$317,$A43,'Данные 2st'!$EM$2:$EM$317),"")</f>
        <v>12</v>
      </c>
      <c r="LU43" s="7">
        <f>IFERROR(AVERAGEIF('Данные 2st'!$Q$2:$Q$317,$A43,'Данные 2st'!$EN$2:$EN$317),"")</f>
        <v>0.5</v>
      </c>
      <c r="LV43" s="7">
        <f>IFERROR(AVERAGEIF('Данные 2st'!$Q$2:$Q$317,$A43,'Данные 2st'!$EO$2:$EO$317),"")</f>
        <v>0.96</v>
      </c>
      <c r="LW43" s="7">
        <f>IFERROR(AVERAGEIF('Данные 2st'!$Q$2:$Q$317,$A43,'Данные 2st'!$EP$2:$EP$317),"")</f>
        <v>2187.1</v>
      </c>
      <c r="LX43" s="7">
        <f>IFERROR(AVERAGEIF('Данные 2st'!$Q$2:$Q$317,$A43,'Данные 2st'!$EQ$2:$EQ$317),"")</f>
        <v>33660.84</v>
      </c>
      <c r="LY43" s="7">
        <f>IFERROR(AVERAGEIF('Данные 2st'!$Q$2:$Q$317,$A43,'Данные 2st'!$ER$2:$ER$317),"")</f>
        <v>4112.12</v>
      </c>
      <c r="LZ43" s="7">
        <f>IFERROR(AVERAGEIF('Данные 2st'!$Q$2:$Q$317,$A43,'Данные 2st'!$ES$2:$ES$317),"")</f>
        <v>0</v>
      </c>
      <c r="MA43" s="7">
        <f>IFERROR(AVERAGEIF('Данные 2st'!$Q$2:$Q$317,$A43,'Данные 2st'!$ET$2:$ET$317),"")</f>
        <v>0</v>
      </c>
      <c r="MB43" s="7">
        <f>IFERROR(AVERAGEIF('Данные 2st'!$Q$2:$Q$317,$A43,'Данные 2st'!$EU$2:$EU$317),"")</f>
        <v>1</v>
      </c>
      <c r="MC43" s="7">
        <f>IFERROR(AVERAGEIF('Данные 2st'!$Q$2:$Q$317,$A43,'Данные 2st'!$EV$2:$EV$317),"")</f>
        <v>37773</v>
      </c>
      <c r="MD43" s="7">
        <f>IFERROR(AVERAGEIF('Данные 2st'!$Q$2:$Q$317,$A43,'Данные 2st'!$EW$2:$EW$317),"")</f>
        <v>454</v>
      </c>
      <c r="ME43" s="7">
        <f>IFERROR(AVERAGEIF('Данные 2st'!$Q$2:$Q$317,$A43,'Данные 2st'!$EY$2:$EY$317),"")</f>
        <v>208</v>
      </c>
      <c r="MF43" s="7">
        <f>IFERROR(AVERAGEIF('Данные 2st'!$Q$2:$Q$317,$A43,'Данные 2st'!$FA$2:$FA$317),"")</f>
        <v>5.3</v>
      </c>
      <c r="MG43" s="7">
        <f>IFERROR(AVERAGEIF('Данные 2st'!$Q$2:$Q$317,$A43,'Данные 2st'!$FB$2:$FB$317),"")</f>
        <v>1</v>
      </c>
      <c r="MH43" s="7">
        <f>IFERROR(AVERAGEIF('Данные 2st'!$Q$2:$Q$317,$A43,'Данные 2st'!$FC$2:$FC$317),"")</f>
        <v>1</v>
      </c>
      <c r="MI43" s="7">
        <f>IFERROR(AVERAGEIF('Данные 2st'!$Q$2:$Q$317,$A43,'Данные 2st'!$FD$2:$FD$317),"")</f>
        <v>2223</v>
      </c>
      <c r="MJ43" s="7">
        <f>IFERROR(AVERAGEIF('Данные 2st'!$Q$2:$Q$317,$A43,'Данные 2st'!$FE$2:$FE$317),"")</f>
        <v>2620</v>
      </c>
      <c r="MK43" s="7">
        <f>IFERROR(AVERAGEIF('Данные 2st'!$Q$2:$Q$317,$A43,'Данные 2st'!$FG$2:$FG$317),"")</f>
        <v>208</v>
      </c>
      <c r="ML43" s="7">
        <f>IFERROR(AVERAGEIF('Данные 2st'!$Q$2:$Q$317,$A43,'Данные 2st'!$FI$2:$FI$317),"")</f>
        <v>3.8</v>
      </c>
      <c r="MM43" s="7">
        <f>IFERROR(AVERAGEIF('Данные 2st'!$Q$2:$Q$317,$A43,'Данные 2st'!$FJ$2:$FJ$317),"")</f>
        <v>2223</v>
      </c>
      <c r="MN43" s="7">
        <f>IFERROR(AVERAGEIF('Данные 2st'!$Q$2:$Q$317,$A43,'Данные 2st'!$FK$2:$FK$317),"")</f>
        <v>1988</v>
      </c>
      <c r="MO43" s="7">
        <f>IFERROR(AVERAGEIF('Данные 2st'!$Q$2:$Q$317,$A43,'Данные 2st'!$FP$2:$FP$317),"")</f>
        <v>2223</v>
      </c>
      <c r="MP43" s="7">
        <f>IFERROR(AVERAGEIF('Данные 2st'!$Q$2:$Q$317,$A43,'Данные 2st'!$FQ$2:$FQ$317),"")</f>
        <v>154</v>
      </c>
      <c r="MQ43" s="7">
        <f>IFERROR(AVERAGEIF('Данные 2st'!$Q$2:$Q$317,$A43,'Данные 2st'!$FS$2:$FS$317),"")</f>
        <v>212</v>
      </c>
      <c r="MR43" s="7">
        <f>IFERROR(AVERAGEIF('Данные 2st'!$Q$2:$Q$317,$A43,'Данные 2st'!$FU$2:$FU$317),"")</f>
        <v>0.4</v>
      </c>
      <c r="MS43" s="7">
        <f>IFERROR(AVERAGEIF('Данные 2st'!$Q$2:$Q$317,$A43,'Данные 2st'!$FV$2:$FV$317),"")</f>
        <v>2223</v>
      </c>
      <c r="MT43" s="7">
        <f>IFERROR(AVERAGEIF('Данные 2st'!$Q$2:$Q$317,$A43,'Данные 2st'!$FW$2:$FW$317),"")</f>
        <v>210</v>
      </c>
      <c r="MU43" s="7">
        <f>IFERROR(AVERAGEIF('Данные 2st'!$Q$2:$Q$317,$A43,'Данные 2st'!$FY$2:$FY$317),"")</f>
        <v>5</v>
      </c>
      <c r="MV43" s="7">
        <f>IFERROR(AVERAGEIF('Данные 2st'!$Q$2:$Q$317,$A43,'Данные 2st'!$GB$2:$GB$317),"")</f>
        <v>2223</v>
      </c>
      <c r="MW43" s="7">
        <f>IFERROR(AVERAGEIF('Данные 2st'!$Q$2:$Q$317,$A43,'Данные 2st'!$GC$2:$GC$317),"")</f>
        <v>24</v>
      </c>
      <c r="MX43" s="7">
        <f>IFERROR(AVERAGEIF('Данные 2st'!$Q$2:$Q$317,$A43,'Данные 2st'!$GD$2:$GD$317),"")</f>
        <v>4996</v>
      </c>
      <c r="MY43" s="7">
        <f>IFERROR(AVERAGEIF('Данные 2st'!$Q$2:$Q$317,$A43,'Данные 2st'!$GN$2:$GN$317),"")</f>
        <v/>
      </c>
      <c r="MZ43" s="7">
        <f>IFERROR(AVERAGEIF('Данные 2st'!$Q$2:$Q$317,$A43,'Данные 2st'!$GQ$2:$GQ$317),"")</f>
        <v>0</v>
      </c>
      <c r="NA43" s="7">
        <f>IFERROR(AVERAGEIF('Данные 2st'!$Q$2:$Q$317,$A43,'Данные 2st'!$GV$2:$GV$317),"")</f>
        <v>9.5</v>
      </c>
      <c r="NB43" s="7">
        <f>IFERROR(AVERAGEIF('Данные 2st'!$Q$2:$Q$317,$A43,'Данные 2st'!$GW$2:$GW$317),"")</f>
        <v>11.3</v>
      </c>
      <c r="NC43" s="7">
        <f>IFERROR(AVERAGEIF('Данные 2st'!$Q$2:$Q$317,$A43,'Данные 2st'!$GX$2:$GX$317),"")</f>
        <v>0.5</v>
      </c>
      <c r="ND43" s="7">
        <f>IFERROR(AVERAGEIF('Данные 2st'!$Q$2:$Q$317,$A43,'Данные 2st'!$GY$2:$GY$317),"")</f>
        <v>170</v>
      </c>
      <c r="NE43" s="7">
        <f>IFERROR(AVERAGEIF('Данные 2st'!$Q$2:$Q$317,$A43,'Данные 2st'!$GZ$2:$GZ$317),"")</f>
        <v>3</v>
      </c>
      <c r="NF43" s="7">
        <f>IFERROR(AVERAGEIF('Данные 2st'!$Q$2:$Q$317,$A43,'Данные 2st'!$HA$2:$HA$317),"")</f>
        <v>226</v>
      </c>
      <c r="NG43" s="7">
        <f>IFERROR(AVERAGEIF('Данные 2st'!$Q$2:$Q$317,$A43,'Данные 2st'!$HB$2:$HB$317),"")</f>
        <v>3</v>
      </c>
      <c r="NH43" s="7">
        <f>IFERROR(AVERAGEIF('Данные 2st'!$Q$2:$Q$317,$A43,'Данные 2st'!$HC$2:$HC$317),"")</f>
        <v>2223</v>
      </c>
      <c r="NI43" s="7">
        <f>IFERROR(AVERAGEIF('Данные 2st'!$Q$2:$Q$317,$A43,'Данные 2st'!$HD$2:$HD$317),"")</f>
        <v>4</v>
      </c>
      <c r="NJ43" s="7">
        <f>IFERROR(AVERAGEIF('Данные 2st'!$Q$2:$Q$317,$A43,'Данные 2st'!$HM$2:$HM$317),"")</f>
        <v>16</v>
      </c>
      <c r="NK43" s="7">
        <f>IFERROR(AVERAGEIF('Данные 2st'!$Q$2:$Q$317,$A43,'Данные 2st'!$HR$2:$HR$317),"")</f>
        <v>2</v>
      </c>
      <c r="NL43" s="7">
        <f>IFERROR(AVERAGEIF('Данные 2st'!$Q$2:$Q$317,$A43,'Данные 2st'!$HS$2:$HS$317),"")</f>
        <v>2170</v>
      </c>
      <c r="NM43" s="7">
        <f>IFERROR(AVERAGEIF('Данные 2st'!$Q$2:$Q$317,$A43,'Данные 2st'!$HT$2:$HT$317),"")</f>
        <v>5</v>
      </c>
      <c r="NN43" s="7">
        <f>IFERROR(AVERAGEIF('Данные 2st'!$Q$2:$Q$317,$A43,'Данные 2st'!$HY$2:$HY$317),"")</f>
        <v>0</v>
      </c>
      <c r="NO43" s="7">
        <f>IFERROR(AVERAGEIF('Данные 2st'!$Q$2:$Q$317,$A43,'Данные 2st'!$HZ$2:$HZ$317),"")</f>
        <v>63</v>
      </c>
      <c r="NP43" s="7">
        <f>IFERROR(AVERAGEIF('Данные 2st'!$Q$2:$Q$317,$A43,'Данные 2st'!$IA$2:$IA$317),"")</f>
        <v>2174</v>
      </c>
      <c r="NQ43" s="7">
        <f>IFERROR(AVERAGEIF('Данные 2st'!$Q$2:$Q$317,$A43,'Данные 2st'!$IB$2:$IB$317),"")</f>
        <v>2188</v>
      </c>
      <c r="NR43" s="7">
        <f>IFERROR(AVERAGEIF('Данные 2st'!$Q$2:$Q$317,$A43,'Данные 2st'!$IC$2:$IC$317),"")</f>
        <v/>
      </c>
      <c r="NS43" s="7">
        <f>IFERROR(AVERAGEIF('Данные 2st'!$Q$2:$Q$317,$A43,'Данные 2st'!$ID$2:$ID$317),"")</f>
        <v>2223</v>
      </c>
      <c r="NT43" s="7">
        <f>IFERROR(AVERAGEIF('Данные 2st'!$Q$2:$Q$317,$A43,'Данные 2st'!$IE$2:$IE$317),"")</f>
        <v>2223</v>
      </c>
      <c r="NU43" s="7">
        <f>IFERROR(AVERAGEIF('Данные 2st'!$Q$2:$Q$317,$A43,'Данные 2st'!$IF$2:$IF$317),"")</f>
        <v>180</v>
      </c>
      <c r="NV43" s="7">
        <f>IFERROR(AVERAGEIF('Данные 2st'!$Q$2:$Q$317,$A43,'Данные 2st'!$IG$2:$IG$317),"")</f>
        <v>170</v>
      </c>
      <c r="NW43" s="7">
        <f>IFERROR(AVERAGEIF('Данные 2st'!$Q$2:$Q$317,$A43,'Данные 2st'!$IH$2:$IH$317),"")</f>
        <v>226</v>
      </c>
      <c r="NX43" s="7">
        <f>IFERROR(AVERAGEIF('Данные 2st'!$Q$2:$Q$317,$A43,'Данные 2st'!$IJ$2:$IJ$317),"")</f>
        <v>5</v>
      </c>
      <c r="NY43" s="7">
        <f>IFERROR(AVERAGEIF('Данные 2st'!$Q$2:$Q$317,$A43,'Данные 2st'!$IM$2:$IM$317),"")</f>
        <v>0</v>
      </c>
      <c r="NZ43" s="7">
        <f>IFERROR(AVERAGEIF('Данные 2st'!$Q$2:$Q$317,$A43,'Данные 2st'!$IN$2:$IN$317),"")</f>
        <v>180</v>
      </c>
      <c r="OA43" s="7">
        <f>IFERROR(AVERAGEIF('Данные 2st'!$Q$2:$Q$317,$A43,'Данные 2st'!$IO$2:$IO$317),"")</f>
        <v>0</v>
      </c>
      <c r="OB43" s="7">
        <f>IFERROR(AVERAGEIF('Данные 2st'!$Q$2:$Q$317,$A43,'Данные 2st'!$IP$2:$IP$317),"")</f>
        <v>180</v>
      </c>
      <c r="OC43" s="7">
        <f>IFERROR(AVERAGEIF('Данные 2st'!$Q$2:$Q$317,$A43,'Данные 2st'!$IQ$2:$IQ$317),"")</f>
        <v>0</v>
      </c>
      <c r="OD43" s="7">
        <f>IFERROR(AVERAGEIF('Данные 2st'!$Q$2:$Q$317,$A43,'Данные 2st'!$IR$2:$IR$317),"")</f>
        <v>330</v>
      </c>
      <c r="OE43" s="7">
        <f>IFERROR(AVERAGEIF('Данные 2st'!$Q$2:$Q$317,$A43,'Данные 2st'!$IT$2:$IT$317),"")</f>
        <v>90</v>
      </c>
      <c r="OF43" s="7">
        <f>IFERROR(AVERAGEIF('Данные 2st'!$Q$2:$Q$317,$A43,'Данные 2st'!$IU$2:$IU$317),"")</f>
        <v>0</v>
      </c>
      <c r="OG43" s="7">
        <f>IFERROR(AVERAGEIF('Данные 2st'!$Q$2:$Q$317,$A43,'Данные 2st'!$IV$2:$IV$317),"")</f>
        <v>6.4</v>
      </c>
      <c r="OH43" s="7">
        <f>IFERROR(AVERAGEIF('Данные 2st'!$Q$2:$Q$317,$A43,'Данные 2st'!$IW$2:$IW$317),"")</f>
        <v>-6</v>
      </c>
      <c r="OI43" s="7">
        <f>IFERROR(AVERAGEIF('Данные 2st'!$Q$2:$Q$317,$A43,'Данные 2st'!$IX$2:$IX$317),"")</f>
        <v>92.5</v>
      </c>
      <c r="OJ43" s="7">
        <f>IFERROR(AVERAGEIF('Данные 2st'!$Q$2:$Q$317,$A43,'Данные 2st'!$IY$2:$IY$317),"")</f>
        <v>80.5</v>
      </c>
      <c r="OK43" s="7">
        <f>IFERROR(AVERAGEIF('Данные 2st'!$Q$2:$Q$317,$A43,'Данные 2st'!$IZ$2:$IZ$317),"")</f>
        <v>0</v>
      </c>
      <c r="OL43" s="7">
        <f>IFERROR(AVERAGEIF('Данные 2st'!$Q$2:$Q$317,$A43,'Данные 2st'!$JA$2:$JA$317),"")</f>
        <v>0</v>
      </c>
      <c r="OM43" s="7">
        <f>IFERROR(AVERAGEIF('Данные 2st'!$Q$2:$Q$317,$A43,'Данные 2st'!$JB$2:$JB$317),"")</f>
        <v>0</v>
      </c>
      <c r="ON43" s="7">
        <f>IFERROR(AVERAGEIF('Данные 2st'!$Q$2:$Q$317,$A43,'Данные 2st'!$JC$2:$JC$317),"")</f>
        <v>0</v>
      </c>
      <c r="OO43" s="7">
        <f>IFERROR(AVERAGEIF('Данные 2st'!$Q$2:$Q$317,$A43,'Данные 2st'!$JD$2:$JD$317),"")</f>
        <v>0</v>
      </c>
      <c r="OP43" s="7">
        <f>IFERROR(AVERAGEIF('Данные 2st'!$Q$2:$Q$317,$A43,'Данные 2st'!$JE$2:$JE$317),"")</f>
        <v>0</v>
      </c>
      <c r="OQ43" s="7">
        <f>IFERROR(AVERAGEIF('Данные 2st'!$Q$2:$Q$317,$A43,'Данные 2st'!$JF$2:$JF$317),"")</f>
        <v>0</v>
      </c>
      <c r="OR43" s="7">
        <f>IFERROR(AVERAGEIF('Данные 2st'!$Q$2:$Q$317,$A43,'Данные 2st'!$JG$2:$JG$317),"")</f>
        <v>0</v>
      </c>
      <c r="OS43" s="7">
        <f>IFERROR(AVERAGEIF('Данные 2st'!$Q$2:$Q$317,$A43,'Данные 2st'!$JH$2:$JH$317),"")</f>
        <v>0</v>
      </c>
      <c r="OT43" s="7">
        <f>IFERROR(AVERAGEIF('Данные 2st'!$Q$2:$Q$317,$A43,'Данные 2st'!$JI$2:$JI$317),"")</f>
        <v>456</v>
      </c>
      <c r="OU43" s="7">
        <f>IFERROR(AVERAGEIF('Данные 2st'!$Q$2:$Q$317,$A43,'Данные 2st'!$JJ$2:$JJ$317),"")</f>
        <v>426</v>
      </c>
      <c r="OV43" s="7">
        <f>IFERROR(AVERAGEIF('Данные 2st'!$Q$2:$Q$317,$A43,'Данные 2st'!$JK$2:$JK$317),"")</f>
        <v>310</v>
      </c>
      <c r="OW43" s="7">
        <f>IFERROR(AVERAGEIF('Данные 2st'!$Q$2:$Q$317,$A43,'Данные 2st'!$JL$2:$JL$317),"")</f>
        <v>424</v>
      </c>
      <c r="OX43" s="7">
        <f>IFERROR(AVERAGEIF('Данные 2st'!$Q$2:$Q$317,$A43,'Данные 2st'!$JM$2:$JM$317),"")</f>
        <v>310</v>
      </c>
      <c r="OY43" s="7">
        <f>IFERROR(AVERAGEIF('Данные 2st'!$Q$2:$Q$317,$A43,'Данные 2st'!$JP$2:$JP$317),"")</f>
        <v>185</v>
      </c>
      <c r="OZ43" s="7">
        <f>IFERROR(AVERAGEIF('Данные 2st'!$Q$2:$Q$317,$A43,'Данные 2st'!$JQ$2:$JQ$317),"")</f>
        <v>230</v>
      </c>
      <c r="PA43" s="7">
        <f>IFERROR(AVERAGEIF('Данные 2st'!$Q$2:$Q$317,$A43,'Данные 2st'!$JR$2:$JR$317),"")</f>
        <v>335</v>
      </c>
      <c r="PB43" s="7">
        <f>IFERROR(AVERAGEIF('Данные 2st'!$Q$2:$Q$317,$A43,'Данные 2st'!$JS$2:$JS$317),"")</f>
        <v>230</v>
      </c>
      <c r="PC43" s="7">
        <f>IFERROR(AVERAGEIF('Данные 2st'!$Q$2:$Q$317,$A43,'Данные 2st'!$JT$2:$JT$317),"")</f>
        <v>0</v>
      </c>
      <c r="PD43" s="7">
        <f>IFERROR(AVERAGEIF('Данные 2st'!$Q$2:$Q$317,$A43,'Данные 2st'!$JU$2:$JU$317),"")</f>
        <v>0</v>
      </c>
      <c r="PE43" s="7">
        <f>IFERROR(AVERAGEIF('Данные 2st'!$Q$2:$Q$317,$A43,'Данные 2st'!$JV$2:$JV$317),"")</f>
        <v>335</v>
      </c>
      <c r="PF43" s="7">
        <f>IFERROR(AVERAGEIF('Данные 2st'!$Q$2:$Q$317,$A43,'Данные 2st'!$JW$2:$JW$317),"")</f>
        <v>337</v>
      </c>
      <c r="PG43" s="7">
        <f>IFERROR(AVERAGEIF('Данные 2st'!$Q$2:$Q$317,$A43,'Данные 2st'!$KF$2:$KF$317),"")</f>
        <v>0.18</v>
      </c>
      <c r="PH43" s="7">
        <f>IFERROR(AVERAGEIF('Данные 2st'!$Q$2:$Q$317,$A43,'Данные 2st'!$KG$2:$KG$317),"")</f>
        <v>0.13</v>
      </c>
      <c r="PI43" s="7">
        <f>IFERROR(AVERAGEIF('Данные 2st'!$Q$2:$Q$317,$A43,'Данные 2st'!$KM$2:$KM$317),"")</f>
        <v>0</v>
      </c>
      <c r="PJ43" s="7">
        <f>IFERROR(AVERAGEIF('Данные 2st'!$Q$2:$Q$317,$A43,'Данные 2st'!$KN$2:$KN$317),"")</f>
        <v>1.4</v>
      </c>
      <c r="PK43" s="7">
        <f>IFERROR(AVERAGEIF('Данные 2st'!$Q$2:$Q$317,$A43,'Данные 2st'!$KO$2:$KO$317),"")</f>
        <v>0</v>
      </c>
      <c r="PL43" s="7">
        <f>IFERROR(AVERAGEIF('Данные 2st'!$Q$2:$Q$317,$A43,'Данные 2st'!$KP$2:$KP$317),"")</f>
        <v>0</v>
      </c>
      <c r="PM43" s="7">
        <f>IFERROR(AVERAGEIF('Данные 2st'!$Q$2:$Q$317,$A43,'Данные 2st'!$KQ$2:$KQ$317),"")</f>
        <v>1</v>
      </c>
      <c r="PN43" s="7">
        <f>IFERROR(AVERAGEIF('Данные 2st'!$Q$2:$Q$317,$A43,'Данные 2st'!$KR$2:$KR$317),"")</f>
        <v>0.8</v>
      </c>
      <c r="PO43" s="7">
        <f>IFERROR(AVERAGEIF('Данные 2st'!$Q$2:$Q$317,$A43,'Данные 2st'!$KS$2:$KS$317),"")</f>
        <v>0</v>
      </c>
      <c r="PP43" s="7">
        <f>IFERROR(AVERAGEIF('Данные 2st'!$Q$2:$Q$317,$A43,'Данные 2st'!$KT$2:$KT$317),"")</f>
        <v>2.6</v>
      </c>
      <c r="PQ43" s="7">
        <f>IFERROR(AVERAGEIF('Данные 2st'!$Q$2:$Q$317,$A43,'Данные 2st'!$KU$2:$KU$317),"")</f>
        <v>0</v>
      </c>
      <c r="PR43" s="7">
        <f>IFERROR(AVERAGEIF('Данные 2st'!$Q$2:$Q$317,$A43,'Данные 2st'!$KV$2:$KV$317),"")</f>
        <v>0</v>
      </c>
      <c r="PS43" s="7">
        <f>IFERROR(AVERAGEIF('Данные 2st'!$Q$2:$Q$317,$A43,'Данные 2st'!$KW$2:$KW$317),"")</f>
        <v>1.2</v>
      </c>
      <c r="PT43" s="7">
        <f>IFERROR(AVERAGEIF('Данные 2st'!$Q$2:$Q$317,$A43,'Данные 2st'!$KX$2:$KX$317),"")</f>
        <v>2</v>
      </c>
      <c r="PU43" s="7">
        <f>IFERROR(AVERAGEIF('Данные 2st'!$Q$2:$Q$317,$A43,'Данные 2st'!$KY$2:$KY$317),"")</f>
        <v>0</v>
      </c>
      <c r="PV43" s="7">
        <f>IFERROR(AVERAGEIF('Данные 2st'!$Q$2:$Q$317,$A43,'Данные 2st'!$KZ$2:$KZ$317),"")</f>
        <v>0</v>
      </c>
      <c r="PW43" s="7">
        <f>IFERROR(AVERAGEIF('Данные 2st'!$Q$2:$Q$317,$A43,'Данные 2st'!$LA$2:$LA$317),"")</f>
        <v>0</v>
      </c>
      <c r="PX43" s="7">
        <f>IFERROR(AVERAGEIF('Данные 2st'!$Q$2:$Q$317,$A43,'Данные 2st'!$LB$2:$LB$317),"")</f>
        <v>0</v>
      </c>
      <c r="PY43" s="7">
        <f>IFERROR(AVERAGEIF('Данные 2st'!$Q$2:$Q$317,$A43,'Данные 2st'!$LC$2:$LC$317),"")</f>
        <v>0</v>
      </c>
      <c r="PZ43" s="7">
        <f>IFERROR(AVERAGEIF('Данные 2st'!$Q$2:$Q$317,$A43,'Данные 2st'!$LD$2:$LD$317),"")</f>
        <v>0</v>
      </c>
      <c r="QA43" s="7">
        <f>IFERROR(AVERAGEIF('Данные 2st'!$Q$2:$Q$317,$A43,'Данные 2st'!$LE$2:$LE$317),"")</f>
        <v>0</v>
      </c>
      <c r="QB43" s="7">
        <f>IFERROR(AVERAGEIF('Данные 2st'!$Q$2:$Q$317,$A43,'Данные 2st'!$LF$2:$LF$317),"")</f>
        <v>0</v>
      </c>
      <c r="QC43" s="7">
        <f>IFERROR(AVERAGEIF('Данные 2st'!$Q$2:$Q$317,$A43,'Данные 2st'!$LG$2:$LG$317),"")</f>
        <v>0</v>
      </c>
      <c r="QD43" s="7">
        <f>IFERROR(AVERAGEIF('Данные 2st'!$Q$2:$Q$317,$A43,'Данные 2st'!$LH$2:$LH$317),"")</f>
        <v>3</v>
      </c>
      <c r="QE43" s="7">
        <f>IFERROR(AVERAGEIF('Данные 2st'!$Q$2:$Q$317,$A43,'Данные 2st'!$LJ$2:$LJ$317),"")</f>
        <v>0</v>
      </c>
      <c r="QF43" s="7">
        <f>IFERROR(AVERAGEIF('Данные 2st'!$Q$2:$Q$317,$A43,'Данные 2st'!$LK$2:$LK$317),"")</f>
        <v>3</v>
      </c>
      <c r="QG43" s="7">
        <f>IFERROR(AVERAGEIF('Данные 2st'!$Q$2:$Q$317,$A43,'Данные 2st'!$LL$2:$LL$317),"")</f>
        <v>7</v>
      </c>
      <c r="QH43" s="7">
        <f>IFERROR(AVERAGEIF('Данные 2st'!$Q$2:$Q$317,$A43,'Данные 2st'!$LM$2:$LM$317),"")</f>
        <v>10</v>
      </c>
      <c r="QI43" s="7">
        <f>IFERROR(AVERAGEIF('Данные 2st'!$Q$2:$Q$317,$A43,'Данные 2st'!$LN$2:$LN$317),"")</f>
        <v>0.1</v>
      </c>
      <c r="QJ43" s="7">
        <f>IFERROR(AVERAGEIF('Данные 2st'!$Q$2:$Q$317,$A43,'Данные 2st'!$LO$2:$LO$317),"")</f>
        <v>1</v>
      </c>
      <c r="QK43" s="7">
        <f>IFERROR(AVERAGEIF('Данные 2st'!$Q$2:$Q$317,$A43,'Данные 2st'!$LP$2:$LP$317),"")</f>
        <v>0</v>
      </c>
      <c r="QL43" s="7">
        <f>IFERROR(AVERAGEIF('Данные 2st'!$Q$2:$Q$317,$A43,'Данные 2st'!$LQ$2:$LQ$317),"")</f>
        <v>0</v>
      </c>
      <c r="QM43" s="7">
        <f>IFERROR(AVERAGEIF('Данные 2st'!$Q$2:$Q$317,$A43,'Данные 2st'!$LW$2:$LW$317),"")</f>
        <v>2.1</v>
      </c>
      <c r="QN43" s="7">
        <f>IFERROR(AVERAGEIF('Данные 2st'!$Q$2:$Q$317,$A43,'Данные 2st'!$LX$2:$LX$317),"")</f>
        <v>2.1</v>
      </c>
      <c r="QO43" s="7">
        <f>IFERROR(AVERAGEIF('Данные 2st'!$Q$2:$Q$317,$A43,'Данные 2st'!$LY$2:$LY$317),"")</f>
        <v>2.1</v>
      </c>
      <c r="QP43" s="7">
        <f>IFERROR(AVERAGEIF('Данные 2st'!$Q$2:$Q$317,$A43,'Данные 2st'!$LZ$2:$LZ$317),"")</f>
        <v>2.1</v>
      </c>
      <c r="QQ43" s="7">
        <f>IFERROR(AVERAGEIF('Данные 2st'!$Q$2:$Q$317,$A43,'Данные 2st'!$MB$2:$MB$317),"")</f>
        <v>5</v>
      </c>
      <c r="QR43" s="7">
        <f>IFERROR(AVERAGEIF('Данные 2st'!$Q$2:$Q$317,$A43,'Данные 2st'!$MG$2:$MG$317),"")</f>
        <v>0</v>
      </c>
      <c r="QS43" s="7">
        <f>IFERROR(AVERAGEIF('Данные 2st'!$Q$2:$Q$317,$A43,'Данные 2st'!$MH$2:$MH$317),"")</f>
        <v>0</v>
      </c>
      <c r="QT43" s="7">
        <f>IFERROR(AVERAGEIF('Данные 2st'!$Q$2:$Q$317,$A43,'Данные 2st'!$MI$2:$MI$317),"")</f>
        <v>0</v>
      </c>
      <c r="QU43" s="7">
        <f>IFERROR(AVERAGEIF('Данные 2st'!$Q$2:$Q$317,$A43,'Данные 2st'!$MJ$2:$MJ$317),"")</f>
        <v>0</v>
      </c>
      <c r="QV43" s="7">
        <f>IFERROR(AVERAGEIF('Данные 2st'!$Q$2:$Q$317,$A43,'Данные 2st'!$MK$2:$MK$317),"")</f>
        <v>0</v>
      </c>
      <c r="QW43" s="7">
        <f>IFERROR(AVERAGEIF('Данные 2st'!$Q$2:$Q$317,$A43,'Данные 2st'!$MM$2:$MM$317),"")</f>
        <v>452</v>
      </c>
      <c r="QX43" s="7">
        <f>IFERROR(AVERAGEIF('Данные 2st'!$Q$2:$Q$317,$A43,'Данные 2st'!$MQ$2:$MQ$317),"")</f>
        <v/>
      </c>
      <c r="QY43" s="7">
        <f>IFERROR(AVERAGEIF('Данные 2st'!$Q$2:$Q$317,$A43,'Данные 2st'!$MR$2:$MR$317),"")</f>
        <v/>
      </c>
      <c r="QZ43" s="7">
        <f>IFERROR(AVERAGEIF('Данные 2st'!$Q$2:$Q$317,$A43,'Данные 2st'!$MS$2:$MS$317),"")</f>
        <v/>
      </c>
      <c r="RA43" s="7">
        <f>IFERROR(AVERAGEIF('Данные 2st'!$Q$2:$Q$317,$A43,'Данные 2st'!$MT$2:$MT$317),"")</f>
        <v/>
      </c>
      <c r="RB43" s="7">
        <f>IFERROR(AVERAGEIF('Данные 2st'!$Q$2:$Q$317,$A43,'Данные 2st'!$MU$2:$MU$317),"")</f>
        <v/>
      </c>
      <c r="RC43" s="7">
        <f>IFERROR(AVERAGEIF('Данные 2st'!$Q$2:$Q$317,$A43,'Данные 2st'!$MV$2:$MV$317),"")</f>
        <v/>
      </c>
      <c r="RD43" s="7">
        <f>IFERROR(AVERAGEIF('Данные 2st'!$Q$2:$Q$317,$A43,'Данные 2st'!$MW$2:$MW$317),"")</f>
        <v/>
      </c>
      <c r="RE43" s="7">
        <f>IFERROR(AVERAGEIF('Данные 2st'!$Q$2:$Q$317,$A43,'Данные 2st'!$MX$2:$MX$317),"")</f>
        <v/>
      </c>
      <c r="RF43" s="7">
        <f>IFERROR(AVERAGEIF('Данные 2st'!$Q$2:$Q$317,$A43,'Данные 2st'!$MY$2:$MY$317),"")</f>
        <v/>
      </c>
      <c r="RG43" s="7">
        <f>IFERROR(AVERAGEIF('Данные 2st'!$Q$2:$Q$317,$A43,'Данные 2st'!$MZ$2:$MZ$317),"")</f>
        <v/>
      </c>
      <c r="RH43" s="7">
        <f>IFERROR(AVERAGEIF('Данные 2st'!$Q$2:$Q$317,$A43,'Данные 2st'!$NA$2:$NA$317),"")</f>
        <v/>
      </c>
      <c r="RI43" s="7">
        <f>IFERROR(AVERAGEIF('Данные 2st'!$Q$2:$Q$317,$A43,'Данные 2st'!$NB$2:$NB$317),"")</f>
        <v/>
      </c>
      <c r="RJ43" s="7">
        <f>IFERROR(AVERAGEIF('Данные 2st'!$Q$2:$Q$317,$A43,'Данные 2st'!$NC$2:$NC$317),"")</f>
        <v/>
      </c>
      <c r="RK43" s="7">
        <f>IFERROR(AVERAGEIF('Данные 2st'!$Q$2:$Q$317,$A43,'Данные 2st'!$ND$2:$ND$317),"")</f>
        <v/>
      </c>
      <c r="RL43" s="7">
        <f>IFERROR(AVERAGEIF('Данные 2st'!$Q$2:$Q$317,$A43,'Данные 2st'!$NE$2:$NE$317),"")</f>
        <v/>
      </c>
      <c r="RM43" s="7">
        <f>IFERROR(AVERAGEIF('Данные 2st'!$Q$2:$Q$317,$A43,'Данные 2st'!$NF$2:$NF$317),"")</f>
        <v/>
      </c>
      <c r="RN43" s="7">
        <f>IFERROR(AVERAGEIF('Данные 2st'!$Q$2:$Q$317,$A43,'Данные 2st'!$NG$2:$NG$317),"")</f>
        <v/>
      </c>
      <c r="RO43" s="7">
        <f>IFERROR(AVERAGEIF('Данные 2st'!$Q$2:$Q$317,$A43,'Данные 2st'!$NH$2:$NH$317),"")</f>
        <v/>
      </c>
      <c r="RP43" s="7">
        <f>IFERROR(AVERAGEIF('Данные 2st'!$Q$2:$Q$317,$A43,'Данные 2st'!$NJ$2:$NJ$317),"")</f>
        <v/>
      </c>
      <c r="RQ43" s="7">
        <f>IFERROR(AVERAGEIF('Данные 2st'!$Q$2:$Q$317,$A43,'Данные 2st'!$NK$2:$NK$317),"")</f>
        <v/>
      </c>
      <c r="RR43" s="7">
        <f>IFERROR(AVERAGEIF('Данные 2st'!$Q$2:$Q$317,$A43,'Данные 2st'!$NM$2:$NM$317),"")</f>
        <v/>
      </c>
      <c r="RS43" s="7">
        <f>IFERROR(AVERAGEIF('Данные 2st'!$Q$2:$Q$317,$A43,'Данные 2st'!$NN$2:$NN$317),"")</f>
        <v/>
      </c>
      <c r="RT43" s="7">
        <f>IFERROR(AVERAGEIF('Данные 2st'!$Q$2:$Q$317,$A43,'Данные 2st'!$NO$2:$NO$317),"")</f>
        <v/>
      </c>
      <c r="RU43" s="7">
        <f>IFERROR(AVERAGEIF('Данные 2st'!$Q$2:$Q$317,$A43,'Данные 2st'!$NP$2:$NP$317),"")</f>
        <v/>
      </c>
      <c r="RV43" s="7">
        <f>IFERROR(AVERAGEIF('Данные 2st'!$Q$2:$Q$317,$A43,'Данные 2st'!$NQ$2:$NQ$317),"")</f>
        <v/>
      </c>
      <c r="RW43" s="7">
        <f>IFERROR(AVERAGEIF('Данные 2st'!$Q$2:$Q$317,$A43,'Данные 2st'!$NR$2:$NR$317),"")</f>
        <v/>
      </c>
      <c r="RX43" s="7">
        <f>IFERROR(AVERAGEIF('Данные 2st'!$Q$2:$Q$317,$A43,'Данные 2st'!$NS$2:$NS$317),"")</f>
        <v/>
      </c>
      <c r="RY43" s="7">
        <f>IFERROR(AVERAGEIF('Данные 2st'!$Q$2:$Q$317,$A43,'Данные 2st'!$NT$2:$NT$317),"")</f>
        <v/>
      </c>
      <c r="RZ43" s="7">
        <f>IFERROR(AVERAGEIF('Данные 2st'!$Q$2:$Q$317,$A43,'Данные 2st'!$OK$2:$OK$317),"")</f>
        <v>61</v>
      </c>
      <c r="SA43" s="7">
        <f>IFERROR(AVERAGEIF('Данные 2st'!$Q$2:$Q$317,$A43,'Данные 2st'!$OL$2:$OL$317),"")</f>
        <v>61</v>
      </c>
      <c r="SB43" s="7">
        <f>IFERROR(AVERAGEIF('Данные 2st'!$Q$2:$Q$317,$A43,'Данные 2st'!$ON$2:$ON$317),"")</f>
        <v>1</v>
      </c>
      <c r="SC43" s="7">
        <f>IFERROR(AVERAGEIF('Данные 2st'!$Q$2:$Q$317,$A43,'Данные 2st'!$OO$2:$OO$317),"")</f>
        <v>2174</v>
      </c>
      <c r="SD43" s="7">
        <f>IFERROR(AVERAGEIF('Данные 2st'!$Q$2:$Q$317,$A43,'Данные 2st'!$OP$2:$OP$317),"")</f>
        <v>61</v>
      </c>
      <c r="SE43" s="7">
        <f>IFERROR(AVERAGEIF('Данные 2st'!$Q$2:$Q$317,$A43,'Данные 2st'!$OQ$2:$OQ$317),"")</f>
        <v>61</v>
      </c>
      <c r="SF43" s="7">
        <f>IFERROR(AVERAGEIF('Данные 2st'!$Q$2:$Q$317,$A43,'Данные 2st'!$OS$2:$OS$317),"")</f>
        <v>1</v>
      </c>
      <c r="SG43" s="7">
        <f>IFERROR(AVERAGEIF('Данные 2st'!$Q$2:$Q$317,$A43,'Данные 2st'!$OT$2:$OT$317),"")</f>
        <v>2188</v>
      </c>
      <c r="SH43" s="7">
        <f>IFERROR(AVERAGEIF('Данные 2st'!$Q$2:$Q$317,$A43,'Данные 2st'!$OU$2:$OU$317),"")</f>
        <v>65</v>
      </c>
      <c r="SI43" s="7">
        <f>IFERROR(AVERAGEIF('Данные 2st'!$Q$2:$Q$317,$A43,'Данные 2st'!$OV$2:$OV$317),"")</f>
        <v>65</v>
      </c>
      <c r="SJ43" s="7">
        <f>IFERROR(AVERAGEIF('Данные 2st'!$Q$2:$Q$317,$A43,'Данные 2st'!$OX$2:$OX$317),"")</f>
        <v>1</v>
      </c>
      <c r="SK43" s="7">
        <f>IFERROR(AVERAGEIF('Данные 2st'!$Q$2:$Q$317,$A43,'Данные 2st'!$OY$2:$OY$317),"")</f>
        <v>37773</v>
      </c>
      <c r="SL43" s="7">
        <f>IFERROR(AVERAGEIF('Данные 2st'!$Q$2:$Q$317,$A43,'Данные 2st'!$OZ$2:$OZ$317),"")</f>
        <v>51</v>
      </c>
      <c r="SM43" s="7">
        <f>IFERROR(AVERAGEIF('Данные 2st'!$Q$2:$Q$317,$A43,'Данные 2st'!$PA$2:$PA$317),"")</f>
        <v>52</v>
      </c>
      <c r="SN43" s="7">
        <f>IFERROR(AVERAGEIF('Данные 2st'!$Q$2:$Q$317,$A43,'Данные 2st'!$PC$2:$PC$317),"")</f>
        <v>2</v>
      </c>
      <c r="SO43" s="7">
        <f>IFERROR(AVERAGEIF('Данные 2st'!$Q$2:$Q$317,$A43,'Данные 2st'!$PD$2:$PD$317),"")</f>
        <v>2223</v>
      </c>
      <c r="SP43" s="7">
        <f>IFERROR(AVERAGEIF('Данные 2st'!$Q$2:$Q$317,$A43,'Данные 2st'!$PF$2:$PF$317),"")</f>
        <v>453</v>
      </c>
      <c r="SQ43" s="7">
        <f>IFERROR(AVERAGEIF('Данные 2st'!$Q$2:$Q$317,$A43,'Данные 2st'!$PG$2:$PG$317),"")</f>
        <v>35</v>
      </c>
      <c r="SR43" s="7">
        <f>IFERROR(AVERAGEIF('Данные 2st'!$Q$2:$Q$317,$A43,'Данные 2st'!$PH$2:$PH$317),"")</f>
        <v>428</v>
      </c>
      <c r="SS43" s="7">
        <f>IFERROR(AVERAGEIF('Данные 2st'!$Q$2:$Q$317,$A43,'Данные 2st'!$PI$2:$PI$317),"")</f>
        <v>0</v>
      </c>
      <c r="ST43" s="7">
        <f>IFERROR(AVERAGEIF('Данные 2st'!$Q$2:$Q$317,$A43,'Данные 2st'!$PJ$2:$PJ$317),"")</f>
        <v>69.1</v>
      </c>
      <c r="SU43" s="7">
        <f>IFERROR(AVERAGEIF('Данные 2st'!$Q$2:$Q$317,$A43,'Данные 2st'!$PK$2:$PK$317),"")</f>
        <v>2233</v>
      </c>
      <c r="SV43" s="7">
        <f>IFERROR(AVERAGEIF('Данные 2st'!$Q$2:$Q$317,$A43,'Данные 2st'!$PL$2:$PL$317),"")</f>
        <v>1178.5</v>
      </c>
      <c r="SW43" s="7">
        <f>IFERROR(AVERAGEIF('Данные 2st'!$Q$2:$Q$317,$A43,'Данные 2st'!$PM$2:$PM$317),"")</f>
        <v>894.4</v>
      </c>
      <c r="SX43" s="7">
        <f>IFERROR(AVERAGEIF('Данные 2st'!$Q$2:$Q$317,$A43,'Данные 2st'!$PN$2:$PN$317),"")</f>
        <v>94.3</v>
      </c>
      <c r="SY43" s="7">
        <f>IFERROR(AVERAGEIF('Данные 2st'!$Q$2:$Q$317,$A43,'Данные 2st'!$PO$2:$PO$317),"")</f>
        <v>11</v>
      </c>
      <c r="SZ43" s="7">
        <f>IFERROR(AVERAGEIF('Данные 2st'!$Q$2:$Q$317,$A43,'Данные 2st'!$PP$2:$PP$317),"")</f>
        <v>12</v>
      </c>
      <c r="TA43" s="7">
        <f>IFERROR(AVERAGEIF('Данные 2st'!$Q$2:$Q$317,$A43,'Данные 2st'!$PQ$2:$PQ$317),"")</f>
        <v>5</v>
      </c>
      <c r="TB43" s="7">
        <f>IFERROR(AVERAGEIF('Данные 2st'!$Q$2:$Q$317,$A43,'Данные 2st'!$PR$2:$PR$317),"")</f>
        <v>5</v>
      </c>
      <c r="TC43" s="7">
        <f>IFERROR(AVERAGEIF('Данные 2st'!$Q$2:$Q$317,$A43,'Данные 2st'!$PS$2:$PS$317),"")</f>
        <v>0</v>
      </c>
      <c r="TD43" s="7">
        <f>IFERROR(AVERAGEIF('Данные 2st'!$Q$2:$Q$317,$A43,'Данные 2st'!$PT$2:$PT$317),"")</f>
        <v>226</v>
      </c>
      <c r="TE43" s="7">
        <f>IFERROR(AVERAGEIF('Данные 2st'!$Q$2:$Q$317,$A43,'Данные 2st'!$PU$2:$PU$317),"")</f>
        <v>9</v>
      </c>
      <c r="TF43" s="7">
        <f>IFERROR(AVERAGEIF('Данные 2st'!$Q$2:$Q$317,$A43,'Данные 2st'!$PX$2:$PX$317),"")</f>
        <v>0</v>
      </c>
      <c r="TG43" s="7">
        <f>IFERROR(AVERAGEIF('Данные 2st'!$Q$2:$Q$317,$A43,'Данные 2st'!$PY$2:$PY$317),"")</f>
        <v>0</v>
      </c>
      <c r="TH43" s="7">
        <f>IFERROR(AVERAGEIF('Данные 2st'!$Q$2:$Q$317,$A43,'Данные 2st'!$PZ$2:$PZ$317),"")</f>
        <v>0</v>
      </c>
      <c r="TI43" s="7">
        <f>IFERROR(AVERAGEIF('Данные 2st'!$Q$2:$Q$317,$A43,'Данные 2st'!$QA$2:$QA$317),"")</f>
        <v>0</v>
      </c>
      <c r="TJ43" s="7">
        <f>IFERROR(AVERAGEIF('Данные 2st'!$Q$2:$Q$317,$A43,'Данные 2st'!$QB$2:$QB$317),"")</f>
        <v>0</v>
      </c>
      <c r="TK43" s="7">
        <f>IFERROR(AVERAGEIF('Данные 2st'!$Q$2:$Q$317,$A43,'Данные 2st'!$QC$2:$QC$317),"")</f>
        <v>0</v>
      </c>
      <c r="TL43" s="7">
        <f>IFERROR(AVERAGEIF('Данные 2st'!$Q$2:$Q$317,$A43,'Данные 2st'!$QD$2:$QD$317),"")</f>
        <v>0</v>
      </c>
      <c r="TM43" s="7">
        <f>IFERROR(AVERAGEIF('Данные 2st'!$Q$2:$Q$317,$A43,'Данные 2st'!$QE$2:$QE$317),"")</f>
        <v>-1</v>
      </c>
      <c r="TN43" s="7">
        <f>IFERROR(AVERAGEIF('Данные 2st'!$Q$2:$Q$317,$A43,'Данные 2st'!$QF$2:$QF$317),"")</f>
        <v>1</v>
      </c>
      <c r="TO43" s="7">
        <f>IFERROR(AVERAGEIF('Данные 2st'!$Q$2:$Q$317,$A43,'Данные 2st'!$QG$2:$QG$317),"")</f>
        <v>0</v>
      </c>
      <c r="TP43" s="7">
        <f>IFERROR(AVERAGEIF('Данные 2st'!$Q$2:$Q$317,$A43,'Данные 2st'!$QH$2:$QH$317),"")</f>
        <v>5</v>
      </c>
      <c r="TQ43" s="7">
        <f>IFERROR(AVERAGEIF('Данные 2st'!$Q$2:$Q$317,$A43,'Данные 2st'!$QI$2:$QI$317),"")</f>
        <v>5</v>
      </c>
      <c r="TR43" s="7">
        <f>IFERROR(AVERAGEIF('Данные 2st'!$Q$2:$Q$317,$A43,'Данные 2st'!$QJ$2:$QJ$317),"")</f>
        <v>5</v>
      </c>
      <c r="TS43" s="7">
        <f>IFERROR(AVERAGEIF('Данные 2st'!$Q$2:$Q$317,$A43,'Данные 2st'!$QK$2:$QK$317),"")</f>
        <v>244</v>
      </c>
      <c r="TT43" s="7">
        <f>IFERROR(AVERAGEIF('Данные 2st'!$Q$2:$Q$317,$A43,'Данные 2st'!$QL$2:$QL$317),"")</f>
        <v>486</v>
      </c>
      <c r="TU43" s="7">
        <f>IFERROR(AVERAGEIF('Данные 2st'!$Q$2:$Q$317,$A43,'Данные 2st'!$QM$2:$QM$317),"")</f>
        <v>7.5</v>
      </c>
      <c r="TV43" s="7">
        <f>IFERROR(AVERAGEIF('Данные 2st'!$Q$2:$Q$317,$A43,'Данные 2st'!$QN$2:$QN$317),"")</f>
        <v>1288.9</v>
      </c>
      <c r="TW43" s="7">
        <f>IFERROR(AVERAGEIF('Данные 2st'!$Q$2:$Q$317,$A43,'Данные 2st'!$QQ$2:$QQ$317),"")</f>
        <v>0</v>
      </c>
      <c r="TX43" s="7">
        <f>IFERROR(AVERAGEIF('Данные 2st'!$Q$2:$Q$317,$A43,'Данные 2st'!$QS$2:$QS$317),"")</f>
        <v>40</v>
      </c>
      <c r="TY43" s="7">
        <f>IFERROR(AVERAGEIF('Данные 2st'!$Q$2:$Q$317,$A43,'Данные 2st'!$QT$2:$QT$317),"")</f>
        <v>50</v>
      </c>
    </row>
    <row r="44" spans="1:545" ht="32" customHeight="1">
      <c r="A44" s="11" t="s">
        <v>1028</v>
      </c>
      <c r="B44">
        <f>COUNTIF('Данные 1st'!$S$2:$S$317,$A44)</f>
        <v>4</v>
      </c>
      <c r="C44" s="6" t="s">
        <v>5097</v>
      </c>
      <c r="D44" s="6" t="s">
        <v>513</v>
      </c>
      <c r="E44" s="6" t="s">
        <v>5125</v>
      </c>
      <c r="F44" s="6" t="s">
        <v>5163</v>
      </c>
      <c r="G44" s="7">
        <f>IFERROR(AVERAGEIF('Данные 1st'!$S$2:$S$317,$A44,'Данные 1st'!$AE$2:$AE$317),"")</f>
        <v>167.5</v>
      </c>
      <c r="H44" s="7">
        <f>IFERROR(AVERAGEIF('Данные 1st'!$S$2:$S$317,$A44,'Данные 1st'!$AF$2:$AF$317),"")</f>
        <v>1.5</v>
      </c>
      <c r="I44" s="7">
        <f>IFERROR(AVERAGEIF('Данные 1st'!$S$2:$S$317,$A44,'Данные 1st'!$AJ$2:$AJ$317),"")</f>
        <v>178.75</v>
      </c>
      <c r="J44" s="7">
        <f>IFERROR(AVERAGEIF('Данные 1st'!$S$2:$S$317,$A44,'Данные 1st'!$AL$2:$AL$317),"")</f>
        <v>1.5</v>
      </c>
      <c r="K44" s="7">
        <f>IFERROR(AVERAGEIF('Данные 1st'!$S$2:$S$317,$A44,'Данные 1st'!$AR$2:$AR$317),"")</f>
        <v>0</v>
      </c>
      <c r="L44" s="7">
        <f>IFERROR(AVERAGEIF('Данные 1st'!$S$2:$S$317,$A44,'Данные 1st'!$AS$2:$AS$317),"")</f>
        <v>1.5</v>
      </c>
      <c r="M44" s="7">
        <f>IFERROR(AVERAGEIF('Данные 1st'!$S$2:$S$317,$A44,'Данные 1st'!$AY$2:$AY$317),"")</f>
        <v>262.5</v>
      </c>
      <c r="N44" s="7">
        <f>IFERROR(AVERAGEIF('Данные 1st'!$S$2:$S$317,$A44,'Данные 1st'!$AZ$2:$AZ$317),"")</f>
        <v>1.5</v>
      </c>
      <c r="O44" s="7">
        <f>IFERROR(AVERAGEIF('Данные 1st'!$S$2:$S$317,$A44,'Данные 1st'!$BF$2:$BF$317),"")</f>
        <v/>
      </c>
      <c r="P44" s="7">
        <f>IFERROR(AVERAGEIF('Данные 1st'!$S$2:$S$317,$A44,'Данные 1st'!$BG$2:$BG$317),"")</f>
        <v>1.5</v>
      </c>
      <c r="Q44" s="7">
        <f>IFERROR(AVERAGEIF('Данные 1st'!$S$2:$S$317,$A44,'Данные 1st'!$BM$2:$BM$317),"")</f>
        <v/>
      </c>
      <c r="R44" s="7">
        <f>IFERROR(AVERAGEIF('Данные 1st'!$S$2:$S$317,$A44,'Данные 1st'!$BN$2:$BN$317),"")</f>
        <v>1.5</v>
      </c>
      <c r="S44" s="7">
        <f>IFERROR(AVERAGEIF('Данные 1st'!$S$2:$S$317,$A44,'Данные 1st'!$BT$2:$BT$317),"")</f>
        <v>190.25</v>
      </c>
      <c r="T44" s="7">
        <f>IFERROR(AVERAGEIF('Данные 1st'!$S$2:$S$317,$A44,'Данные 1st'!$BU$2:$BU$317),"")</f>
        <v>0.5</v>
      </c>
      <c r="U44" s="7">
        <f>IFERROR(AVERAGEIF('Данные 1st'!$S$2:$S$317,$A44,'Данные 1st'!$BW$2:$BW$317),"")</f>
        <v>380.5</v>
      </c>
      <c r="V44" s="7">
        <f>IFERROR(AVERAGEIF('Данные 1st'!$S$2:$S$317,$A44,'Данные 1st'!$BX$2:$BX$317),"")</f>
        <v>1</v>
      </c>
      <c r="W44" s="7">
        <f>IFERROR(AVERAGEIF('Данные 1st'!$S$2:$S$317,$A44,'Данные 1st'!$BZ$2:$BZ$317),"")</f>
        <v>290</v>
      </c>
      <c r="X44" s="7">
        <f>IFERROR(AVERAGEIF('Данные 1st'!$S$2:$S$317,$A44,'Данные 1st'!$CA$2:$CA$317),"")</f>
        <v>450</v>
      </c>
      <c r="Y44" s="7">
        <f>IFERROR(AVERAGEIF('Данные 1st'!$S$2:$S$317,$A44,'Данные 1st'!$CD$2:$CD$317),"")</f>
        <v>387.75</v>
      </c>
      <c r="Z44" s="7">
        <f>IFERROR(AVERAGEIF('Данные 1st'!$S$2:$S$317,$A44,'Данные 1st'!$CF$2:$CF$317),"")</f>
        <v>15</v>
      </c>
      <c r="AA44" s="7">
        <f>IFERROR(AVERAGEIF('Данные 1st'!$S$2:$S$317,$A44,'Данные 1st'!$CI$2:$CI$317),"")</f>
        <v>80</v>
      </c>
      <c r="AB44" s="7">
        <f>IFERROR(AVERAGEIF('Данные 1st'!$S$2:$S$317,$A44,'Данные 1st'!$CJ$2:$CJ$317),"")</f>
        <v>1381</v>
      </c>
      <c r="AC44" s="7">
        <f>IFERROR(AVERAGEIF('Данные 1st'!$S$2:$S$317,$A44,'Данные 1st'!$CK$2:$CK$317),"")</f>
        <v>2</v>
      </c>
      <c r="AD44" s="7">
        <f>IFERROR(AVERAGEIF('Данные 1st'!$S$2:$S$317,$A44,'Данные 1st'!$CL$2:$CL$317),"")</f>
        <v>1475</v>
      </c>
      <c r="AE44" s="7">
        <f>IFERROR(AVERAGEIF('Данные 1st'!$S$2:$S$317,$A44,'Данные 1st'!$CM$2:$CM$317),"")</f>
        <v>2</v>
      </c>
      <c r="AF44" s="7">
        <f>IFERROR(AVERAGEIF('Данные 1st'!$S$2:$S$317,$A44,'Данные 1st'!$CT$2:$CT$317),"")</f>
        <v>357.5</v>
      </c>
      <c r="AG44" s="7">
        <f>IFERROR(AVERAGEIF('Данные 1st'!$S$2:$S$317,$A44,'Данные 1st'!$CU$2:$CU$317),"")</f>
        <v>5</v>
      </c>
      <c r="AH44" s="7">
        <f>IFERROR(AVERAGEIF('Данные 1st'!$S$2:$S$317,$A44,'Данные 1st'!$CV$2:$CV$317),"")</f>
        <v>1.225</v>
      </c>
      <c r="AI44" s="7">
        <f>IFERROR(AVERAGEIF('Данные 1st'!$S$2:$S$317,$A44,'Данные 1st'!$CW$2:$CW$317),"")</f>
        <v>1393.25</v>
      </c>
      <c r="AJ44" s="7">
        <f>IFERROR(AVERAGEIF('Данные 1st'!$S$2:$S$317,$A44,'Данные 1st'!$CX$2:$CX$317),"")</f>
        <v>719.75</v>
      </c>
      <c r="AK44" s="7">
        <f>IFERROR(AVERAGEIF('Данные 1st'!$S$2:$S$317,$A44,'Данные 1st'!$CZ$2:$CZ$317),"")</f>
        <v/>
      </c>
      <c r="AL44" s="7">
        <f>IFERROR(AVERAGEIF('Данные 1st'!$S$2:$S$317,$A44,'Данные 1st'!$DA$2:$DA$317),"")</f>
        <v/>
      </c>
      <c r="AM44" s="7">
        <f>IFERROR(AVERAGEIF('Данные 1st'!$S$2:$S$317,$A44,'Данные 1st'!$DB$2:$DB$317),"")</f>
        <v/>
      </c>
      <c r="AN44" s="7">
        <f>IFERROR(AVERAGEIF('Данные 1st'!$S$2:$S$317,$A44,'Данные 1st'!$DC$2:$DC$317),"")</f>
        <v/>
      </c>
      <c r="AO44" s="7">
        <f>IFERROR(AVERAGEIF('Данные 1st'!$S$2:$S$317,$A44,'Данные 1st'!$DD$2:$DD$317),"")</f>
        <v>0</v>
      </c>
      <c r="AP44" s="7">
        <f>IFERROR(AVERAGEIF('Данные 1st'!$S$2:$S$317,$A44,'Данные 1st'!$DF$2:$DF$317),"")</f>
        <v>525</v>
      </c>
      <c r="AQ44" s="7">
        <f>IFERROR(AVERAGEIF('Данные 1st'!$S$2:$S$317,$A44,'Данные 1st'!$DG$2:$DG$317),"")</f>
        <v>3</v>
      </c>
      <c r="AR44" s="7">
        <f>IFERROR(AVERAGEIF('Данные 1st'!$S$2:$S$317,$A44,'Данные 1st'!$DH$2:$DH$317),"")</f>
        <v>1.19</v>
      </c>
      <c r="AS44" s="7">
        <f>IFERROR(AVERAGEIF('Данные 1st'!$S$2:$S$317,$A44,'Данные 1st'!$DI$2:$DI$317),"")</f>
        <v>1391.25</v>
      </c>
      <c r="AT44" s="7">
        <f>IFERROR(AVERAGEIF('Данные 1st'!$S$2:$S$317,$A44,'Данные 1st'!$DJ$2:$DJ$317),"")</f>
        <v>1236.75</v>
      </c>
      <c r="AU44" s="7">
        <f>IFERROR(AVERAGEIF('Данные 1st'!$S$2:$S$317,$A44,'Данные 1st'!$DL$2:$DL$317),"")</f>
        <v/>
      </c>
      <c r="AV44" s="7">
        <f>IFERROR(AVERAGEIF('Данные 1st'!$S$2:$S$317,$A44,'Данные 1st'!$DM$2:$DM$317),"")</f>
        <v/>
      </c>
      <c r="AW44" s="7">
        <f>IFERROR(AVERAGEIF('Данные 1st'!$S$2:$S$317,$A44,'Данные 1st'!$DN$2:$DN$317),"")</f>
        <v/>
      </c>
      <c r="AX44" s="7">
        <f>IFERROR(AVERAGEIF('Данные 1st'!$S$2:$S$317,$A44,'Данные 1st'!$DO$2:$DO$317),"")</f>
        <v/>
      </c>
      <c r="AY44" s="7">
        <f>IFERROR(AVERAGEIF('Данные 1st'!$S$2:$S$317,$A44,'Данные 1st'!$DP$2:$DP$317),"")</f>
        <v/>
      </c>
      <c r="AZ44" s="7">
        <f>IFERROR(AVERAGEIF('Данные 1st'!$S$2:$S$317,$A44,'Данные 1st'!$DR$2:$DR$317),"")</f>
        <v/>
      </c>
      <c r="BA44" s="7">
        <f>IFERROR(AVERAGEIF('Данные 1st'!$S$2:$S$317,$A44,'Данные 1st'!$DS$2:$DS$317),"")</f>
        <v/>
      </c>
      <c r="BB44" s="7">
        <f>IFERROR(AVERAGEIF('Данные 1st'!$S$2:$S$317,$A44,'Данные 1st'!$DT$2:$DT$317),"")</f>
        <v/>
      </c>
      <c r="BC44" s="7">
        <f>IFERROR(AVERAGEIF('Данные 1st'!$S$2:$S$317,$A44,'Данные 1st'!$DU$2:$DU$317),"")</f>
        <v/>
      </c>
      <c r="BD44" s="7">
        <f>IFERROR(AVERAGEIF('Данные 1st'!$S$2:$S$317,$A44,'Данные 1st'!$DV$2:$DV$317),"")</f>
        <v/>
      </c>
      <c r="BE44" s="7">
        <f>IFERROR(AVERAGEIF('Данные 1st'!$S$2:$S$317,$A44,'Данные 1st'!$DX$2:$DX$317),"")</f>
        <v>7.5</v>
      </c>
      <c r="BF44" s="7">
        <f>IFERROR(AVERAGEIF('Данные 1st'!$S$2:$S$317,$A44,'Данные 1st'!$EA$2:$EA$317),"")</f>
        <v>1460.3</v>
      </c>
      <c r="BG44" s="7">
        <f>IFERROR(AVERAGEIF('Данные 1st'!$S$2:$S$317,$A44,'Данные 1st'!$EB$2:$EB$317),"")</f>
        <v>283.75</v>
      </c>
      <c r="BH44" s="7">
        <f>IFERROR(AVERAGEIF('Данные 1st'!$S$2:$S$317,$A44,'Данные 1st'!$ED$2:$ED$317),"")</f>
        <v>26.25</v>
      </c>
      <c r="BI44" s="7">
        <f>IFERROR(AVERAGEIF('Данные 1st'!$S$2:$S$317,$A44,'Данные 1st'!$EE$2:$EE$317),"")</f>
        <v>3</v>
      </c>
      <c r="BJ44" s="7">
        <f>IFERROR(AVERAGEIF('Данные 1st'!$S$2:$S$317,$A44,'Данные 1st'!$EG$2:$EG$317),"")</f>
        <v>1503.5</v>
      </c>
      <c r="BK44" s="7">
        <f>IFERROR(AVERAGEIF('Данные 1st'!$S$2:$S$317,$A44,'Данные 1st'!$EH$2:$EH$317),"")</f>
        <v>162</v>
      </c>
      <c r="BL44" s="7">
        <f>IFERROR(AVERAGEIF('Данные 1st'!$S$2:$S$317,$A44,'Данные 1st'!$EJ$2:$EJ$317),"")</f>
        <v>0</v>
      </c>
      <c r="BM44" s="7">
        <f>IFERROR(AVERAGEIF('Данные 1st'!$S$2:$S$317,$A44,'Данные 1st'!$EK$2:$EK$317),"")</f>
        <v>1</v>
      </c>
      <c r="BN44" s="7">
        <f>IFERROR(AVERAGEIF('Данные 1st'!$S$2:$S$317,$A44,'Данные 1st'!$EN$2:$EN$317),"")</f>
        <v>0</v>
      </c>
      <c r="BO44" s="7">
        <f>IFERROR(AVERAGEIF('Данные 1st'!$S$2:$S$317,$A44,'Данные 1st'!$EQ$2:$EQ$317),"")</f>
        <v>71.25</v>
      </c>
      <c r="BP44" s="7">
        <f>IFERROR(AVERAGEIF('Данные 1st'!$S$2:$S$317,$A44,'Данные 1st'!$ER$2:$ER$317),"")</f>
        <v>3</v>
      </c>
      <c r="BQ44" s="7">
        <f>IFERROR(AVERAGEIF('Данные 1st'!$S$2:$S$317,$A44,'Данные 1st'!$ES$2:$ES$317),"")</f>
        <v>4.75</v>
      </c>
      <c r="BR44" s="7">
        <f>IFERROR(AVERAGEIF('Данные 1st'!$S$2:$S$317,$A44,'Данные 1st'!$ET$2:$ET$317),"")</f>
        <v>1373</v>
      </c>
      <c r="BS44" s="7">
        <f>IFERROR(AVERAGEIF('Данные 1st'!$S$2:$S$317,$A44,'Данные 1st'!$EU$2:$EU$317),"")</f>
        <v>300.40000000000003</v>
      </c>
      <c r="BT44" s="7">
        <f>IFERROR(AVERAGEIF('Данные 1st'!$S$2:$S$317,$A44,'Данные 1st'!$EV$2:$EV$317),"")</f>
        <v>412.5</v>
      </c>
      <c r="BU44" s="7">
        <f>IFERROR(AVERAGEIF('Данные 1st'!$S$2:$S$317,$A44,'Данные 1st'!$EX$2:$EX$317),"")</f>
        <v>70</v>
      </c>
      <c r="BV44" s="7">
        <f>IFERROR(AVERAGEIF('Данные 1st'!$S$2:$S$317,$A44,'Данные 1st'!$EY$2:$EY$317),"")</f>
        <v>2</v>
      </c>
      <c r="BW44" s="7">
        <f>IFERROR(AVERAGEIF('Данные 1st'!$S$2:$S$317,$A44,'Данные 1st'!$EZ$2:$EZ$317),"")</f>
        <v>4.225</v>
      </c>
      <c r="BX44" s="7">
        <f>IFERROR(AVERAGEIF('Данные 1st'!$S$2:$S$317,$A44,'Данные 1st'!$FA$2:$FA$317),"")</f>
        <v>1373</v>
      </c>
      <c r="BY44" s="7">
        <f>IFERROR(AVERAGEIF('Данные 1st'!$S$2:$S$317,$A44,'Данные 1st'!$FB$2:$FB$317),"")</f>
        <v>212.025</v>
      </c>
      <c r="BZ44" s="7">
        <f>IFERROR(AVERAGEIF('Данные 1st'!$S$2:$S$317,$A44,'Данные 1st'!$FC$2:$FC$317),"")</f>
        <v>291.25</v>
      </c>
      <c r="CA44" s="7">
        <f>IFERROR(AVERAGEIF('Данные 1st'!$S$2:$S$317,$A44,'Данные 1st'!$FE$2:$FE$317),"")</f>
        <v>0</v>
      </c>
      <c r="CB44" s="7">
        <f>IFERROR(AVERAGEIF('Данные 1st'!$S$2:$S$317,$A44,'Данные 1st'!$FF$2:$FF$317),"")</f>
        <v>2</v>
      </c>
      <c r="CC44" s="7">
        <f>IFERROR(AVERAGEIF('Данные 1st'!$S$2:$S$317,$A44,'Данные 1st'!$FI$2:$FI$317),"")</f>
        <v>0</v>
      </c>
      <c r="CD44" s="7">
        <f>IFERROR(AVERAGEIF('Данные 1st'!$S$2:$S$317,$A44,'Данные 1st'!$FL$2:$FL$317),"")</f>
        <v>0.4</v>
      </c>
      <c r="CE44" s="7">
        <f>IFERROR(AVERAGEIF('Данные 1st'!$S$2:$S$317,$A44,'Данные 1st'!$FM$2:$FM$317),"")</f>
        <v>80</v>
      </c>
      <c r="CF44" s="7">
        <f>IFERROR(AVERAGEIF('Данные 1st'!$S$2:$S$317,$A44,'Данные 1st'!$FN$2:$FN$317),"")</f>
        <v>137.5</v>
      </c>
      <c r="CG44" s="7">
        <f>IFERROR(AVERAGEIF('Данные 1st'!$S$2:$S$317,$A44,'Данные 1st'!$FO$2:$FO$317),"")</f>
        <v/>
      </c>
      <c r="CH44" s="7">
        <f>IFERROR(AVERAGEIF('Данные 1st'!$S$2:$S$317,$A44,'Данные 1st'!$FP$2:$FP$317),"")</f>
        <v/>
      </c>
      <c r="CI44" s="7">
        <f>IFERROR(AVERAGEIF('Данные 1st'!$S$2:$S$317,$A44,'Данные 1st'!$FS$2:$FS$317),"")</f>
        <v>0.4</v>
      </c>
      <c r="CJ44" s="7">
        <f>IFERROR(AVERAGEIF('Данные 1st'!$S$2:$S$317,$A44,'Данные 1st'!$FT$2:$FT$317),"")</f>
        <v>30</v>
      </c>
      <c r="CK44" s="7">
        <f>IFERROR(AVERAGEIF('Данные 1st'!$S$2:$S$317,$A44,'Данные 1st'!$FU$2:$FU$317),"")</f>
        <v>342.5</v>
      </c>
      <c r="CL44" s="7">
        <f>IFERROR(AVERAGEIF('Данные 1st'!$S$2:$S$317,$A44,'Данные 1st'!$FV$2:$FV$317),"")</f>
        <v>67.5</v>
      </c>
      <c r="CM44" s="7">
        <f>IFERROR(AVERAGEIF('Данные 1st'!$S$2:$S$317,$A44,'Данные 1st'!$FW$2:$FW$317),"")</f>
        <v>155</v>
      </c>
      <c r="CN44" s="7">
        <f>IFERROR(AVERAGEIF('Данные 1st'!$S$2:$S$317,$A44,'Данные 1st'!$FZ$2:$FZ$317),"")</f>
        <v>1.4000000000000001</v>
      </c>
      <c r="CO44" s="7">
        <f>IFERROR(AVERAGEIF('Данные 1st'!$S$2:$S$317,$A44,'Данные 1st'!$GA$2:$GA$317),"")</f>
        <v>20</v>
      </c>
      <c r="CP44" s="7">
        <f>IFERROR(AVERAGEIF('Данные 1st'!$S$2:$S$317,$A44,'Данные 1st'!$GB$2:$GB$317),"")</f>
        <v>179.33333333333334</v>
      </c>
      <c r="CQ44" s="7">
        <f>IFERROR(AVERAGEIF('Данные 1st'!$S$2:$S$317,$A44,'Данные 1st'!$GH$2:$GH$317),"")</f>
        <v>1.4000000000000001</v>
      </c>
      <c r="CR44" s="7">
        <f>IFERROR(AVERAGEIF('Данные 1st'!$S$2:$S$317,$A44,'Данные 1st'!$GI$2:$GI$317),"")</f>
        <v>20</v>
      </c>
      <c r="CS44" s="7">
        <f>IFERROR(AVERAGEIF('Данные 1st'!$S$2:$S$317,$A44,'Данные 1st'!$GJ$2:$GJ$317),"")</f>
        <v>179.33333333333334</v>
      </c>
      <c r="CT44" s="7">
        <f>IFERROR(AVERAGEIF('Данные 1st'!$S$2:$S$317,$A44,'Данные 1st'!$GS$2:$GS$317),"")</f>
        <v/>
      </c>
      <c r="CU44" s="7">
        <f>IFERROR(AVERAGEIF('Данные 1st'!$S$2:$S$317,$A44,'Данные 1st'!$GT$2:$GT$317),"")</f>
        <v/>
      </c>
      <c r="CV44" s="7">
        <f>IFERROR(AVERAGEIF('Данные 1st'!$S$2:$S$317,$A44,'Данные 1st'!$GU$2:$GU$317),"")</f>
        <v/>
      </c>
      <c r="CW44" s="7">
        <f>IFERROR(AVERAGEIF('Данные 1st'!$S$2:$S$317,$A44,'Данные 1st'!$GV$2:$GV$317),"")</f>
        <v/>
      </c>
      <c r="CX44" s="7">
        <f>IFERROR(AVERAGEIF('Данные 1st'!$S$2:$S$317,$A44,'Данные 1st'!$GW$2:$GW$317),"")</f>
        <v/>
      </c>
      <c r="CY44" s="7">
        <f>IFERROR(AVERAGEIF('Данные 1st'!$S$2:$S$317,$A44,'Данные 1st'!$GZ$2:$GZ$317),"")</f>
        <v/>
      </c>
      <c r="CZ44" s="7">
        <f>IFERROR(AVERAGEIF('Данные 1st'!$S$2:$S$317,$A44,'Данные 1st'!$HA$2:$HA$317),"")</f>
        <v/>
      </c>
      <c r="DA44" s="7">
        <f>IFERROR(AVERAGEIF('Данные 1st'!$S$2:$S$317,$A44,'Данные 1st'!$HB$2:$HB$317),"")</f>
        <v/>
      </c>
      <c r="DB44" s="7">
        <f>IFERROR(AVERAGEIF('Данные 1st'!$S$2:$S$317,$A44,'Данные 1st'!$HC$2:$HC$317),"")</f>
        <v>0.1</v>
      </c>
      <c r="DC44" s="7">
        <f>IFERROR(AVERAGEIF('Данные 1st'!$S$2:$S$317,$A44,'Данные 1st'!$HD$2:$HD$317),"")</f>
        <v>3</v>
      </c>
      <c r="DD44" s="7">
        <f>IFERROR(AVERAGEIF('Данные 1st'!$S$2:$S$317,$A44,'Данные 1st'!$HE$2:$HE$317),"")</f>
        <v>3</v>
      </c>
      <c r="DE44" s="7">
        <f>IFERROR(AVERAGEIF('Данные 1st'!$S$2:$S$317,$A44,'Данные 1st'!$HF$2:$HF$317),"")</f>
        <v>3</v>
      </c>
      <c r="DF44" s="7">
        <f>IFERROR(AVERAGEIF('Данные 1st'!$S$2:$S$317,$A44,'Данные 1st'!$HG$2:$HG$317),"")</f>
        <v>3</v>
      </c>
      <c r="DG44" s="7">
        <f>IFERROR(AVERAGEIF('Данные 1st'!$S$2:$S$317,$A44,'Данные 1st'!$HH$2:$HH$317),"")</f>
        <v>3</v>
      </c>
      <c r="DH44" s="7">
        <f>IFERROR(AVERAGEIF('Данные 1st'!$S$2:$S$317,$A44,'Данные 1st'!$HI$2:$HI$317),"")</f>
        <v>126.25</v>
      </c>
      <c r="DI44" s="7">
        <f>IFERROR(AVERAGEIF('Данные 1st'!$S$2:$S$317,$A44,'Данные 1st'!$HJ$2:$HJ$317),"")</f>
        <v>3</v>
      </c>
      <c r="DJ44" s="7">
        <f>IFERROR(AVERAGEIF('Данные 1st'!$S$2:$S$317,$A44,'Данные 1st'!$HK$2:$HK$317),"")</f>
        <v>55</v>
      </c>
      <c r="DK44" s="7">
        <f>IFERROR(AVERAGEIF('Данные 1st'!$S$2:$S$317,$A44,'Данные 1st'!$HL$2:$HL$317),"")</f>
        <v>2</v>
      </c>
      <c r="DL44" s="7">
        <f>IFERROR(AVERAGEIF('Данные 1st'!$S$2:$S$317,$A44,'Данные 1st'!$HM$2:$HM$317),"")</f>
        <v>0</v>
      </c>
      <c r="DM44" s="7">
        <f>IFERROR(AVERAGEIF('Данные 1st'!$S$2:$S$317,$A44,'Данные 1st'!$HN$2:$HN$317),"")</f>
        <v>2</v>
      </c>
      <c r="DN44" s="7">
        <f>IFERROR(AVERAGEIF('Данные 1st'!$S$2:$S$317,$A44,'Данные 1st'!$HO$2:$HO$317),"")</f>
        <v>56.25</v>
      </c>
      <c r="DO44" s="7">
        <f>IFERROR(AVERAGEIF('Данные 1st'!$S$2:$S$317,$A44,'Данные 1st'!$HP$2:$HP$317),"")</f>
        <v>3</v>
      </c>
      <c r="DP44" s="7">
        <f>IFERROR(AVERAGEIF('Данные 1st'!$S$2:$S$317,$A44,'Данные 1st'!$HQ$2:$HQ$317),"")</f>
        <v>0</v>
      </c>
      <c r="DQ44" s="7">
        <f>IFERROR(AVERAGEIF('Данные 1st'!$S$2:$S$317,$A44,'Данные 1st'!$HR$2:$HR$317),"")</f>
        <v>2</v>
      </c>
      <c r="DR44" s="7">
        <f>IFERROR(AVERAGEIF('Данные 1st'!$S$2:$S$317,$A44,'Данные 1st'!$HS$2:$HS$317),"")</f>
        <v>4255.5</v>
      </c>
      <c r="DS44" s="7">
        <f>IFERROR(AVERAGEIF('Данные 1st'!$S$2:$S$317,$A44,'Данные 1st'!$HT$2:$HT$317),"")</f>
        <v>127.5</v>
      </c>
      <c r="DT44" s="7">
        <f>IFERROR(AVERAGEIF('Данные 1st'!$S$2:$S$317,$A44,'Данные 1st'!$HU$2:$HU$317),"")</f>
        <v>180</v>
      </c>
      <c r="DU44" s="7">
        <f>IFERROR(AVERAGEIF('Данные 1st'!$S$2:$S$317,$A44,'Данные 1st'!$HW$2:$HW$317),"")</f>
        <v>5</v>
      </c>
      <c r="DV44" s="7">
        <f>IFERROR(AVERAGEIF('Данные 1st'!$S$2:$S$317,$A44,'Данные 1st'!$HX$2:$HX$317),"")</f>
        <v>421.25</v>
      </c>
      <c r="DW44" s="7">
        <f>IFERROR(AVERAGEIF('Данные 1st'!$S$2:$S$317,$A44,'Данные 1st'!$HY$2:$HY$317),"")</f>
        <v>0.18</v>
      </c>
      <c r="DX44" s="7">
        <f>IFERROR(AVERAGEIF('Данные 1st'!$S$2:$S$317,$A44,'Данные 1st'!$IA$2:$IA$317),"")</f>
        <v>0.15</v>
      </c>
      <c r="DY44" s="7">
        <f>IFERROR(AVERAGEIF('Данные 1st'!$S$2:$S$317,$A44,'Данные 1st'!$IB$2:$IB$317),"")</f>
        <v>0</v>
      </c>
      <c r="DZ44" s="7">
        <f>IFERROR(AVERAGEIF('Данные 1st'!$S$2:$S$317,$A44,'Данные 1st'!$IC$2:$IC$317),"")</f>
        <v>180</v>
      </c>
      <c r="EA44" s="7">
        <f>IFERROR(AVERAGEIF('Данные 1st'!$S$2:$S$317,$A44,'Данные 1st'!$ID$2:$ID$317),"")</f>
        <v>110</v>
      </c>
      <c r="EB44" s="7">
        <f>IFERROR(AVERAGEIF('Данные 1st'!$S$2:$S$317,$A44,'Данные 1st'!$IE$2:$IE$317),"")</f>
        <v>0</v>
      </c>
      <c r="EC44" s="7">
        <f>IFERROR(AVERAGEIF('Данные 1st'!$S$2:$S$317,$A44,'Данные 1st'!$IF$2:$IF$317),"")</f>
        <v>0</v>
      </c>
      <c r="ED44" s="7">
        <f>IFERROR(AVERAGEIF('Данные 1st'!$S$2:$S$317,$A44,'Данные 1st'!$IP$2:$IP$317),"")</f>
        <v>18</v>
      </c>
      <c r="EE44" s="7">
        <f>IFERROR(AVERAGEIF('Данные 1st'!$S$2:$S$317,$A44,'Данные 1st'!$IV$2:$IV$317),"")</f>
        <v>1381</v>
      </c>
      <c r="EF44" s="7">
        <f>IFERROR(AVERAGEIF('Данные 1st'!$S$2:$S$317,$A44,'Данные 1st'!$IW$2:$IW$317),"")</f>
        <v>380.5</v>
      </c>
      <c r="EG44" s="7">
        <f>IFERROR(AVERAGEIF('Данные 1st'!$S$2:$S$317,$A44,'Данные 1st'!$IX$2:$IX$317),"")</f>
        <v/>
      </c>
      <c r="EH44" s="7">
        <f>IFERROR(AVERAGEIF('Данные 1st'!$S$2:$S$317,$A44,'Данные 1st'!$IY$2:$IY$317),"")</f>
        <v>290</v>
      </c>
      <c r="EI44" s="7">
        <f>IFERROR(AVERAGEIF('Данные 1st'!$S$2:$S$317,$A44,'Данные 1st'!$JD$2:$JD$317),"")</f>
        <v>1393.25</v>
      </c>
      <c r="EJ44" s="7">
        <f>IFERROR(AVERAGEIF('Данные 1st'!$S$2:$S$317,$A44,'Данные 1st'!$JE$2:$JE$317),"")</f>
        <v>1391.25</v>
      </c>
      <c r="EK44" s="7">
        <f>IFERROR(AVERAGEIF('Данные 1st'!$S$2:$S$317,$A44,'Данные 1st'!$JF$2:$JF$317),"")</f>
        <v>0</v>
      </c>
      <c r="EL44" s="7">
        <f>IFERROR(AVERAGEIF('Данные 1st'!$S$2:$S$317,$A44,'Данные 1st'!$JG$2:$JG$317),"")</f>
        <v>1373</v>
      </c>
      <c r="EM44" s="7">
        <f>IFERROR(AVERAGEIF('Данные 1st'!$S$2:$S$317,$A44,'Данные 1st'!$JH$2:$JH$317),"")</f>
        <v>0</v>
      </c>
      <c r="EN44" s="7">
        <f>IFERROR(AVERAGEIF('Данные 1st'!$S$2:$S$317,$A44,'Данные 1st'!$JJ$2:$JJ$317),"")</f>
        <v>180</v>
      </c>
      <c r="EO44" s="7">
        <f>IFERROR(AVERAGEIF('Данные 1st'!$S$2:$S$317,$A44,'Данные 1st'!$JK$2:$JK$317),"")</f>
        <v>421.25</v>
      </c>
      <c r="EP44" s="7">
        <f>IFERROR(AVERAGEIF('Данные 1st'!$S$2:$S$317,$A44,'Данные 1st'!$JL$2:$JL$317),"")</f>
        <v/>
      </c>
      <c r="EQ44" s="7">
        <f>IFERROR(AVERAGEIF('Данные 1st'!$S$2:$S$317,$A44,'Данные 1st'!$JM$2:$JM$317),"")</f>
        <v/>
      </c>
      <c r="ER44" s="7">
        <f>IFERROR(AVERAGEIF('Данные 1st'!$S$2:$S$317,$A44,'Данные 1st'!$JN$2:$JN$317),"")</f>
        <v>357.5</v>
      </c>
      <c r="ES44" s="7">
        <f>IFERROR(AVERAGEIF('Данные 1st'!$S$2:$S$317,$A44,'Данные 1st'!$JO$2:$JO$317),"")</f>
        <v>525</v>
      </c>
      <c r="ET44" s="7">
        <f>IFERROR(AVERAGEIF('Данные 1st'!$S$2:$S$317,$A44,'Данные 1st'!$JP$2:$JP$317),"")</f>
        <v>0</v>
      </c>
      <c r="EU44" s="7">
        <f>IFERROR(AVERAGEIF('Данные 1st'!$S$2:$S$317,$A44,'Данные 1st'!$JQ$2:$JQ$317),"")</f>
        <v>0</v>
      </c>
      <c r="EV44" s="7">
        <f>IFERROR(AVERAGEIF('Данные 1st'!$S$2:$S$317,$A44,'Данные 1st'!$JR$2:$JR$317),"")</f>
        <v>335</v>
      </c>
      <c r="EW44" s="7">
        <f>IFERROR(AVERAGEIF('Данные 1st'!$S$2:$S$317,$A44,'Данные 1st'!$JS$2:$JS$317),"")</f>
        <v>126.25</v>
      </c>
      <c r="EX44" s="7">
        <f>IFERROR(AVERAGEIF('Данные 1st'!$S$2:$S$317,$A44,'Данные 1st'!$JT$2:$JT$317),"")</f>
        <v/>
      </c>
      <c r="EY44" s="7">
        <f>IFERROR(AVERAGEIF('Данные 1st'!$S$2:$S$317,$A44,'Данные 1st'!$JU$2:$JU$317),"")</f>
        <v/>
      </c>
      <c r="EZ44" s="7">
        <f>IFERROR(AVERAGEIF('Данные 1st'!$S$2:$S$317,$A44,'Данные 1st'!$JV$2:$JV$317),"")</f>
        <v>8</v>
      </c>
      <c r="FA44" s="7">
        <f>IFERROR(AVERAGEIF('Данные 1st'!$S$2:$S$317,$A44,'Данные 1st'!$JW$2:$JW$317),"")</f>
        <v/>
      </c>
      <c r="FB44" s="7">
        <f>IFERROR(AVERAGEIF('Данные 1st'!$S$2:$S$317,$A44,'Данные 1st'!$JX$2:$JX$317),"")</f>
        <v>0</v>
      </c>
      <c r="FC44" s="7">
        <f>IFERROR(AVERAGEIF('Данные 1st'!$S$2:$S$317,$A44,'Данные 1st'!$JY$2:$JY$317),"")</f>
        <v/>
      </c>
      <c r="FD44" s="7">
        <f>IFERROR(AVERAGEIF('Данные 1st'!$S$2:$S$317,$A44,'Данные 1st'!$JZ$2:$JZ$317),"")</f>
        <v/>
      </c>
      <c r="FE44" s="7">
        <f>IFERROR(AVERAGEIF('Данные 1st'!$S$2:$S$317,$A44,'Данные 1st'!$KA$2:$KA$317),"")</f>
        <v>0</v>
      </c>
      <c r="FF44" s="7">
        <f>IFERROR(AVERAGEIF('Данные 1st'!$S$2:$S$317,$A44,'Данные 1st'!$KB$2:$KB$317),"")</f>
        <v>110</v>
      </c>
      <c r="FG44" s="7">
        <f>IFERROR(AVERAGEIF('Данные 1st'!$S$2:$S$317,$A44,'Данные 1st'!$KC$2:$KC$317),"")</f>
        <v>0</v>
      </c>
      <c r="FH44" s="7">
        <f>IFERROR(AVERAGEIF('Данные 1st'!$S$2:$S$317,$A44,'Данные 1st'!$KD$2:$KD$317),"")</f>
        <v>80</v>
      </c>
      <c r="FI44" s="7">
        <f>IFERROR(AVERAGEIF('Данные 1st'!$S$2:$S$317,$A44,'Данные 1st'!$KE$2:$KE$317),"")</f>
        <v/>
      </c>
      <c r="FJ44" s="7">
        <f>IFERROR(AVERAGEIF('Данные 1st'!$S$2:$S$317,$A44,'Данные 1st'!$KF$2:$KF$317),"")</f>
        <v>4</v>
      </c>
      <c r="FK44" s="7">
        <f>IFERROR(AVERAGEIF('Данные 1st'!$S$2:$S$317,$A44,'Данные 1st'!$KG$2:$KG$317),"")</f>
        <v>2</v>
      </c>
      <c r="FL44" s="7">
        <f>IFERROR(AVERAGEIF('Данные 1st'!$S$2:$S$317,$A44,'Данные 1st'!$KH$2:$KH$317),"")</f>
        <v>2</v>
      </c>
      <c r="FM44" s="7">
        <f>IFERROR(AVERAGEIF('Данные 1st'!$S$2:$S$317,$A44,'Данные 1st'!$KI$2:$KI$317),"")</f>
        <v>2</v>
      </c>
      <c r="FN44" s="7">
        <f>IFERROR(AVERAGEIF('Данные 1st'!$S$2:$S$317,$A44,'Данные 1st'!$KJ$2:$KJ$317),"")</f>
        <v>0</v>
      </c>
      <c r="FO44" s="7">
        <f>IFERROR(AVERAGEIF('Данные 1st'!$S$2:$S$317,$A44,'Данные 1st'!$KK$2:$KK$317),"")</f>
        <v>1.5</v>
      </c>
      <c r="FP44" s="7">
        <f>IFERROR(AVERAGEIF('Данные 1st'!$S$2:$S$317,$A44,'Данные 1st'!$KL$2:$KL$317),"")</f>
        <v>1.5</v>
      </c>
      <c r="FQ44" s="7">
        <f>IFERROR(AVERAGEIF('Данные 1st'!$S$2:$S$317,$A44,'Данные 1st'!$KM$2:$KM$317),"")</f>
        <v>0</v>
      </c>
      <c r="FR44" s="7">
        <f>IFERROR(AVERAGEIF('Данные 1st'!$S$2:$S$317,$A44,'Данные 1st'!$KN$2:$KN$317),"")</f>
        <v>0</v>
      </c>
      <c r="FS44" s="7">
        <f>IFERROR(AVERAGEIF('Данные 1st'!$S$2:$S$317,$A44,'Данные 1st'!$KR$2:$KR$317),"")</f>
        <v>50</v>
      </c>
      <c r="FT44" s="7">
        <f>IFERROR(AVERAGEIF('Данные 1st'!$S$2:$S$317,$A44,'Данные 1st'!$KS$2:$KS$317),"")</f>
        <v>60</v>
      </c>
      <c r="FU44" s="7">
        <f>IFERROR(AVERAGEIF('Данные 1st'!$S$2:$S$317,$A44,'Данные 1st'!$KT$2:$KT$317),"")</f>
        <v>0</v>
      </c>
      <c r="FV44" s="7">
        <f>IFERROR(AVERAGEIF('Данные 1st'!$S$2:$S$317,$A44,'Данные 1st'!$KV$2:$KV$317),"")</f>
        <v/>
      </c>
      <c r="FW44" s="7">
        <f>IFERROR(AVERAGEIF('Данные 1st'!$S$2:$S$317,$A44,'Данные 1st'!$KW$2:$KW$317),"")</f>
        <v/>
      </c>
      <c r="FX44" s="7">
        <f>IFERROR(AVERAGEIF('Данные 1st'!$S$2:$S$317,$A44,'Данные 1st'!$KX$2:$KX$317),"")</f>
        <v/>
      </c>
      <c r="FY44" s="7">
        <f>IFERROR(AVERAGEIF('Данные 1st'!$S$2:$S$317,$A44,'Данные 1st'!$KY$2:$KY$317),"")</f>
        <v/>
      </c>
      <c r="FZ44" s="7">
        <f>IFERROR(AVERAGEIF('Данные 1st'!$S$2:$S$317,$A44,'Данные 1st'!$KZ$2:$KZ$317),"")</f>
        <v/>
      </c>
      <c r="GA44" s="7">
        <f>IFERROR(AVERAGEIF('Данные 1st'!$S$2:$S$317,$A44,'Данные 1st'!$LA$2:$LA$317),"")</f>
        <v/>
      </c>
      <c r="GB44" s="7">
        <f>IFERROR(AVERAGEIF('Данные 1st'!$S$2:$S$317,$A44,'Данные 1st'!$LB$2:$LB$317),"")</f>
        <v/>
      </c>
      <c r="GC44" s="7">
        <f>IFERROR(AVERAGEIF('Данные 1st'!$S$2:$S$317,$A44,'Данные 1st'!$LC$2:$LC$317),"")</f>
        <v/>
      </c>
      <c r="GD44" s="7">
        <f>IFERROR(AVERAGEIF('Данные 1st'!$S$2:$S$317,$A44,'Данные 1st'!$LD$2:$LD$317),"")</f>
        <v/>
      </c>
      <c r="GE44" s="7">
        <f>IFERROR(AVERAGEIF('Данные 1st'!$S$2:$S$317,$A44,'Данные 1st'!$LE$2:$LE$317),"")</f>
        <v/>
      </c>
      <c r="GF44" s="7">
        <f>IFERROR(AVERAGEIF('Данные 1st'!$S$2:$S$317,$A44,'Данные 1st'!$LF$2:$LF$317),"")</f>
        <v/>
      </c>
      <c r="GG44" s="7">
        <f>IFERROR(AVERAGEIF('Данные 1st'!$S$2:$S$317,$A44,'Данные 1st'!$LG$2:$LG$317),"")</f>
        <v/>
      </c>
      <c r="GH44" s="7">
        <f>IFERROR(AVERAGEIF('Данные 1st'!$S$2:$S$317,$A44,'Данные 1st'!$LH$2:$LH$317),"")</f>
        <v/>
      </c>
      <c r="GI44" s="7">
        <f>IFERROR(AVERAGEIF('Данные 1st'!$S$2:$S$317,$A44,'Данные 1st'!$LI$2:$LI$317),"")</f>
        <v/>
      </c>
      <c r="GJ44" s="7">
        <f>IFERROR(AVERAGEIF('Данные 1st'!$S$2:$S$317,$A44,'Данные 1st'!$LJ$2:$LJ$317),"")</f>
        <v/>
      </c>
      <c r="GK44" s="7">
        <f>IFERROR(AVERAGEIF('Данные 1st'!$S$2:$S$317,$A44,'Данные 1st'!$LK$2:$LK$317),"")</f>
        <v>480</v>
      </c>
      <c r="GL44" s="7">
        <f>IFERROR(AVERAGEIF('Данные 1st'!$S$2:$S$317,$A44,'Данные 1st'!$LV$2:$LV$317),"")</f>
        <v/>
      </c>
      <c r="GM44" s="7">
        <f>IFERROR(AVERAGEIF('Данные 1st'!$S$2:$S$317,$A44,'Данные 1st'!$LW$2:$LW$317),"")</f>
        <v/>
      </c>
      <c r="GN44" s="7">
        <f>IFERROR(AVERAGEIF('Данные 1st'!$S$2:$S$317,$A44,'Данные 1st'!$LX$2:$LX$317),"")</f>
        <v/>
      </c>
      <c r="GO44" s="7">
        <f>IFERROR(AVERAGEIF('Данные 1st'!$S$2:$S$317,$A44,'Данные 1st'!$LY$2:$LY$317),"")</f>
        <v/>
      </c>
      <c r="GP44" s="7">
        <f>IFERROR(AVERAGEIF('Данные 1st'!$S$2:$S$317,$A44,'Данные 1st'!$LZ$2:$LZ$317),"")</f>
        <v/>
      </c>
      <c r="GQ44" s="7">
        <f>IFERROR(AVERAGEIF('Данные 1st'!$S$2:$S$317,$A44,'Данные 1st'!$PG$2:$PG$317),"")</f>
        <v>1</v>
      </c>
      <c r="GR44" s="7">
        <f>IFERROR(AVERAGEIF('Данные 1st'!$S$2:$S$317,$A44,'Данные 1st'!$PX$2:$PX$317),"")</f>
        <v>56</v>
      </c>
      <c r="GS44" s="7">
        <f>IFERROR(AVERAGEIF('Данные 1st'!$S$2:$S$317,$A44,'Данные 1st'!$PY$2:$PY$317),"")</f>
        <v>56.75</v>
      </c>
      <c r="GT44" s="7">
        <f>IFERROR(AVERAGEIF('Данные 1st'!$S$2:$S$317,$A44,'Данные 1st'!$QA$2:$QA$317),"")</f>
        <v>2</v>
      </c>
      <c r="GU44" s="7">
        <f>IFERROR(AVERAGEIF('Данные 1st'!$S$2:$S$317,$A44,'Данные 1st'!$QB$2:$QB$317),"")</f>
        <v>1373</v>
      </c>
      <c r="GV44" s="7">
        <f>IFERROR(AVERAGEIF('Данные 1st'!$S$2:$S$317,$A44,'Данные 1st'!$QC$2:$QC$317),"")</f>
        <v>69</v>
      </c>
      <c r="GW44" s="7">
        <f>IFERROR(AVERAGEIF('Данные 1st'!$S$2:$S$317,$A44,'Данные 1st'!$QD$2:$QD$317),"")</f>
        <v>69</v>
      </c>
      <c r="GX44" s="7">
        <f>IFERROR(AVERAGEIF('Данные 1st'!$S$2:$S$317,$A44,'Данные 1st'!$QF$2:$QF$317),"")</f>
        <v>1.25</v>
      </c>
      <c r="GY44" s="7">
        <f>IFERROR(AVERAGEIF('Данные 1st'!$S$2:$S$317,$A44,'Данные 1st'!$QG$2:$QG$317),"")</f>
        <v>1393.25</v>
      </c>
      <c r="GZ44" s="7">
        <f>IFERROR(AVERAGEIF('Данные 1st'!$S$2:$S$317,$A44,'Данные 1st'!$QH$2:$QH$317),"")</f>
        <v>66</v>
      </c>
      <c r="HA44" s="7">
        <f>IFERROR(AVERAGEIF('Данные 1st'!$S$2:$S$317,$A44,'Данные 1st'!$QI$2:$QI$317),"")</f>
        <v>66</v>
      </c>
      <c r="HB44" s="7">
        <f>IFERROR(AVERAGEIF('Данные 1st'!$S$2:$S$317,$A44,'Данные 1st'!$QK$2:$QK$317),"")</f>
        <v/>
      </c>
      <c r="HC44" s="7">
        <f>IFERROR(AVERAGEIF('Данные 1st'!$S$2:$S$317,$A44,'Данные 1st'!$QL$2:$QL$317),"")</f>
        <v>0</v>
      </c>
      <c r="HD44" s="7">
        <f>IFERROR(AVERAGEIF('Данные 1st'!$S$2:$S$317,$A44,'Данные 1st'!$QM$2:$QM$317),"")</f>
        <v>62.75</v>
      </c>
      <c r="HE44" s="7">
        <f>IFERROR(AVERAGEIF('Данные 1st'!$S$2:$S$317,$A44,'Данные 1st'!$QN$2:$QN$317),"")</f>
        <v>62.75</v>
      </c>
      <c r="HF44" s="7">
        <f>IFERROR(AVERAGEIF('Данные 1st'!$S$2:$S$317,$A44,'Данные 1st'!$QP$2:$QP$317),"")</f>
        <v>1</v>
      </c>
      <c r="HG44" s="7">
        <f>IFERROR(AVERAGEIF('Данные 1st'!$S$2:$S$317,$A44,'Данные 1st'!$QQ$2:$QQ$317),"")</f>
        <v>1391.25</v>
      </c>
      <c r="HH44" s="7">
        <f>IFERROR(AVERAGEIF('Данные 1st'!$S$2:$S$317,$A44,'Данные 1st'!$QR$2:$QR$317),"")</f>
        <v/>
      </c>
      <c r="HI44" s="7">
        <f>IFERROR(AVERAGEIF('Данные 1st'!$S$2:$S$317,$A44,'Данные 1st'!$QS$2:$QS$317),"")</f>
        <v/>
      </c>
      <c r="HJ44" s="7">
        <f>IFERROR(AVERAGEIF('Данные 1st'!$S$2:$S$317,$A44,'Данные 1st'!$QU$2:$QU$317),"")</f>
        <v/>
      </c>
      <c r="HK44" s="7">
        <f>IFERROR(AVERAGEIF('Данные 1st'!$S$2:$S$317,$A44,'Данные 1st'!$QV$2:$QV$317),"")</f>
        <v/>
      </c>
      <c r="HL44" s="7">
        <f>IFERROR(AVERAGEIF('Данные 1st'!$S$2:$S$317,$A44,'Данные 1st'!$QW$2:$QW$317),"")</f>
        <v>82</v>
      </c>
      <c r="HM44" s="7">
        <f>IFERROR(AVERAGEIF('Данные 1st'!$S$2:$S$317,$A44,'Данные 1st'!$QX$2:$QX$317),"")</f>
        <v>85.25</v>
      </c>
      <c r="HN44" s="7">
        <f>IFERROR(AVERAGEIF('Данные 1st'!$S$2:$S$317,$A44,'Данные 1st'!$QZ$2:$QZ$317),"")</f>
        <v>1.5</v>
      </c>
      <c r="HO44" s="7">
        <f>IFERROR(AVERAGEIF('Данные 1st'!$S$2:$S$317,$A44,'Данные 1st'!$RA$2:$RA$317),"")</f>
        <v>66</v>
      </c>
      <c r="HP44" s="7">
        <f>IFERROR(AVERAGEIF('Данные 1st'!$S$2:$S$317,$A44,'Данные 1st'!$RB$2:$RB$317),"")</f>
        <v>66</v>
      </c>
      <c r="HQ44" s="7">
        <f>IFERROR(AVERAGEIF('Данные 1st'!$S$2:$S$317,$A44,'Данные 1st'!$RD$2:$RD$317),"")</f>
        <v/>
      </c>
      <c r="HR44" s="7">
        <f>IFERROR(AVERAGEIF('Данные 1st'!$S$2:$S$317,$A44,'Данные 1st'!$RE$2:$RE$317),"")</f>
        <v>0</v>
      </c>
      <c r="HS44" s="7">
        <f>IFERROR(AVERAGEIF('Данные 1st'!$S$2:$S$317,$A44,'Данные 1st'!$RF$2:$RF$317),"")</f>
        <v>1</v>
      </c>
      <c r="HT44" s="7">
        <f>IFERROR(AVERAGEIF('Данные 1st'!$S$2:$S$317,$A44,'Данные 1st'!$RG$2:$RG$317),"")</f>
        <v>1</v>
      </c>
      <c r="HU44" s="7">
        <f>IFERROR(AVERAGEIF('Данные 1st'!$S$2:$S$317,$A44,'Данные 1st'!$RH$2:$RH$317),"")</f>
        <v/>
      </c>
      <c r="HV44" s="7">
        <f>IFERROR(AVERAGEIF('Данные 1st'!$S$2:$S$317,$A44,'Данные 1st'!$RI$2:$RI$317),"")</f>
        <v/>
      </c>
      <c r="HW44" s="7">
        <f>IFERROR(AVERAGEIF('Данные 1st'!$S$2:$S$317,$A44,'Данные 1st'!$RJ$2:$RJ$317),"")</f>
        <v>1</v>
      </c>
      <c r="HX44" s="7">
        <f>IFERROR(AVERAGEIF('Данные 1st'!$S$2:$S$317,$A44,'Данные 1st'!$RK$2:$RK$317),"")</f>
        <v/>
      </c>
      <c r="HY44" s="7">
        <f>IFERROR(AVERAGEIF('Данные 1st'!$S$2:$S$317,$A44,'Данные 1st'!$RL$2:$RL$317),"")</f>
        <v>1.75</v>
      </c>
      <c r="HZ44" s="7">
        <f>IFERROR(AVERAGEIF('Данные 1st'!$S$2:$S$317,$A44,'Данные 1st'!$RM$2:$RM$317),"")</f>
        <v/>
      </c>
      <c r="IA44" s="7">
        <f>IFERROR(AVERAGEIF('Данные 1st'!$S$2:$S$317,$A44,'Данные 1st'!$RN$2:$RN$317),"")</f>
        <v/>
      </c>
      <c r="IB44" s="7">
        <f>IFERROR(AVERAGEIF('Данные 1st'!$S$2:$S$317,$A44,'Данные 1st'!$RO$2:$RO$317),"")</f>
        <v>516.5</v>
      </c>
      <c r="IC44" s="7">
        <f>IFERROR(AVERAGEIF('Данные 1st'!$S$2:$S$317,$A44,'Данные 1st'!$RP$2:$RP$317),"")</f>
        <v/>
      </c>
      <c r="ID44" s="7">
        <f>IFERROR(AVERAGEIF('Данные 1st'!$S$2:$S$317,$A44,'Данные 1st'!$RQ$2:$RQ$317),"")</f>
        <v>889</v>
      </c>
      <c r="IE44" s="7">
        <f>IFERROR(AVERAGEIF('Данные 1st'!$S$2:$S$317,$A44,'Данные 1st'!$RR$2:$RR$317),"")</f>
        <v/>
      </c>
      <c r="IF44" s="7">
        <f>IFERROR(AVERAGEIF('Данные 1st'!$S$2:$S$317,$A44,'Данные 1st'!$RS$2:$RS$317),"")</f>
        <v/>
      </c>
      <c r="IG44" s="7">
        <f>IFERROR(AVERAGEIF('Данные 1st'!$S$2:$S$317,$A44,'Данные 1st'!$RT$2:$RT$317),"")</f>
        <v>283.75</v>
      </c>
      <c r="IH44" s="7">
        <f>IFERROR(AVERAGEIF('Данные 1st'!$S$2:$S$317,$A44,'Данные 1st'!$RU$2:$RU$317),"")</f>
        <v>162</v>
      </c>
      <c r="II44" s="7">
        <f>IFERROR(AVERAGEIF('Данные 1st'!$S$2:$S$317,$A44,'Данные 1st'!$RX$2:$RX$317),"")</f>
        <v>15</v>
      </c>
      <c r="IJ44" s="7">
        <f>IFERROR(AVERAGEIF('Данные 1st'!$S$2:$S$317,$A44,'Данные 1st'!$RY$2:$RY$317),"")</f>
        <v>4</v>
      </c>
      <c r="IK44" s="7">
        <f>IFERROR(AVERAGEIF('Данные 1st'!$S$2:$S$317,$A44,'Данные 1st'!$SA$2:$SA$317),"")</f>
        <v>15</v>
      </c>
      <c r="IL44" s="7">
        <f>IFERROR(AVERAGEIF('Данные 1st'!$S$2:$S$317,$A44,'Данные 1st'!$SD$2:$SD$317),"")</f>
        <v>1</v>
      </c>
      <c r="IM44" s="7">
        <f>IFERROR(AVERAGEIF('Данные 1st'!$S$2:$S$317,$A44,'Данные 1st'!$SG$2:$SG$317),"")</f>
        <v/>
      </c>
      <c r="IN44" s="7">
        <f>IFERROR(AVERAGEIF('Данные 1st'!$S$2:$S$317,$A44,'Данные 1st'!$SH$2:$SH$317),"")</f>
        <v>0.995</v>
      </c>
      <c r="IO44" s="7">
        <f>IFERROR(AVERAGEIF('Данные 1st'!$S$2:$S$317,$A44,'Данные 1st'!$SI$2:$SI$317),"")</f>
        <v>0.995</v>
      </c>
      <c r="IP44" s="7">
        <f>IFERROR(AVERAGEIF('Данные 1st'!$S$2:$S$317,$A44,'Данные 1st'!$SJ$2:$SJ$317),"")</f>
        <v>0.995</v>
      </c>
      <c r="IQ44" s="7">
        <f>IFERROR(AVERAGEIF('Данные 1st'!$S$2:$S$317,$A44,'Данные 1st'!$SK$2:$SK$317),"")</f>
        <v>15</v>
      </c>
      <c r="IR44" s="7">
        <f>IFERROR(AVERAGEIF('Данные 1st'!$S$2:$S$317,$A44,'Данные 1st'!$SL$2:$SL$317),"")</f>
        <v>0</v>
      </c>
      <c r="IS44" s="7">
        <f>IFERROR(AVERAGEIF('Данные 1st'!$S$2:$S$317,$A44,'Данные 1st'!$SM$2:$SM$317),"")</f>
        <v>0</v>
      </c>
      <c r="IT44" s="7">
        <f>IFERROR(AVERAGEIF('Данные 1st'!$S$2:$S$317,$A44,'Данные 1st'!$SN$2:$SN$317),"")</f>
        <v>0</v>
      </c>
      <c r="IU44" s="7">
        <f>IFERROR(AVERAGEIF('Данные 1st'!$S$2:$S$317,$A44,'Данные 1st'!$SO$2:$SO$317),"")</f>
        <v>0</v>
      </c>
      <c r="IV44" s="7">
        <f>IFERROR(AVERAGEIF('Данные 1st'!$S$2:$S$317,$A44,'Данные 1st'!$SP$2:$SP$317),"")</f>
        <v>0</v>
      </c>
      <c r="IW44" s="7">
        <f>IFERROR(AVERAGEIF('Данные 1st'!$S$2:$S$317,$A44,'Данные 1st'!$SQ$2:$SQ$317),"")</f>
        <v>0</v>
      </c>
      <c r="IX44" s="7">
        <f>IFERROR(AVERAGEIF('Данные 1st'!$S$2:$S$317,$A44,'Данные 1st'!$SR$2:$SR$317),"")</f>
        <v>0</v>
      </c>
      <c r="IY44" s="7">
        <f>IFERROR(AVERAGEIF('Данные 1st'!$S$2:$S$317,$A44,'Данные 1st'!$SS$2:$SS$317),"")</f>
        <v>0</v>
      </c>
      <c r="IZ44" s="7">
        <f>IFERROR(AVERAGEIF('Данные 1st'!$S$2:$S$317,$A44,'Данные 1st'!$ST$2:$ST$317),"")</f>
        <v>0</v>
      </c>
      <c r="JA44" s="7">
        <f>IFERROR(AVERAGEIF('Данные 1st'!$S$2:$S$317,$A44,'Данные 1st'!$SU$2:$SU$317),"")</f>
        <v>0</v>
      </c>
      <c r="JB44" s="7">
        <f>IFERROR(AVERAGEIF('Данные 1st'!$S$2:$S$317,$A44,'Данные 1st'!$SV$2:$SV$317),"")</f>
        <v>0</v>
      </c>
      <c r="JC44" s="7">
        <f>IFERROR(AVERAGEIF('Данные 1st'!$S$2:$S$317,$A44,'Данные 1st'!$SW$2:$SW$317),"")</f>
        <v>0</v>
      </c>
      <c r="JD44" s="7">
        <f>IFERROR(AVERAGEIF('Данные 1st'!$S$2:$S$317,$A44,'Данные 1st'!$SX$2:$SX$317),"")</f>
        <v>0</v>
      </c>
      <c r="JE44" s="7">
        <f>IFERROR(AVERAGEIF('Данные 1st'!$S$2:$S$317,$A44,'Данные 1st'!$SY$2:$SY$317),"")</f>
        <v/>
      </c>
      <c r="JF44" s="7">
        <f>IFERROR(AVERAGEIF('Данные 1st'!$S$2:$S$317,$A44,'Данные 1st'!$SZ$2:$SZ$317),"")</f>
        <v/>
      </c>
      <c r="JG44" s="7">
        <f>IFERROR(AVERAGEIF('Данные 1st'!$S$2:$S$317,$A44,'Данные 1st'!$TA$2:$TA$317),"")</f>
        <v/>
      </c>
      <c r="JH44" s="7">
        <f>IFERROR(AVERAGEIF('Данные 1st'!$S$2:$S$317,$A44,'Данные 1st'!$TB$2:$TB$317),"")</f>
        <v>0</v>
      </c>
      <c r="JI44" s="7">
        <f>IFERROR(AVERAGEIF('Данные 1st'!$S$2:$S$317,$A44,'Данные 1st'!$TC$2:$TC$317),"")</f>
        <v>0</v>
      </c>
      <c r="JJ44" s="7">
        <f>IFERROR(AVERAGEIF('Данные 1st'!$S$2:$S$317,$A44,'Данные 1st'!$TD$2:$TD$317),"")</f>
        <v>7.5</v>
      </c>
      <c r="JK44" s="7">
        <f>IFERROR(AVERAGEIF('Данные 1st'!$S$2:$S$317,$A44,'Данные 1st'!$TN$2:$TN$317),"")</f>
        <v>0</v>
      </c>
      <c r="JL44">
        <f>COUNTIF('Данные 2st'!$Q$2:$Q$317,$A44)</f>
        <v>4</v>
      </c>
      <c r="JM44" s="6" t="s">
        <v>5097</v>
      </c>
      <c r="JN44" s="6" t="s">
        <v>513</v>
      </c>
      <c r="JO44" s="6" t="s">
        <v>5125</v>
      </c>
      <c r="JP44" s="6" t="s">
        <v>5498</v>
      </c>
      <c r="JQ44" s="7">
        <f>IFERROR(AVERAGEIF('Данные 2st'!$Q$2:$Q$317,$A44,'Данные 2st'!$AC$2:$AC$317),"")</f>
        <v>9.25</v>
      </c>
      <c r="JR44" s="7">
        <f>IFERROR(AVERAGEIF('Данные 2st'!$Q$2:$Q$317,$A44,'Данные 2st'!$AF$2:$AF$317),"")</f>
        <v>4255.5</v>
      </c>
      <c r="JS44" s="7">
        <f>IFERROR(AVERAGEIF('Данные 2st'!$Q$2:$Q$317,$A44,'Данные 2st'!$AW$2:$AW$317),"")</f>
        <v>6.4</v>
      </c>
      <c r="JT44" s="7">
        <f>IFERROR(AVERAGEIF('Данные 2st'!$Q$2:$Q$317,$A44,'Данные 2st'!$AX$2:$AX$317),"")</f>
        <v>-6</v>
      </c>
      <c r="JU44" s="7">
        <f>IFERROR(AVERAGEIF('Данные 2st'!$Q$2:$Q$317,$A44,'Данные 2st'!$AY$2:$AY$317),"")</f>
        <v>104.75</v>
      </c>
      <c r="JV44" s="7">
        <f>IFERROR(AVERAGEIF('Данные 2st'!$Q$2:$Q$317,$A44,'Данные 2st'!$AZ$2:$AZ$317),"")</f>
        <v>84.875</v>
      </c>
      <c r="JW44" s="7">
        <f>IFERROR(AVERAGEIF('Данные 2st'!$Q$2:$Q$317,$A44,'Данные 2st'!$BA$2:$BA$317),"")</f>
        <v>0</v>
      </c>
      <c r="JX44" s="7">
        <f>IFERROR(AVERAGEIF('Данные 2st'!$Q$2:$Q$317,$A44,'Данные 2st'!$BB$2:$BB$317),"")</f>
        <v>0</v>
      </c>
      <c r="JY44" s="7">
        <f>IFERROR(AVERAGEIF('Данные 2st'!$Q$2:$Q$317,$A44,'Данные 2st'!$BC$2:$BC$317),"")</f>
        <v>0</v>
      </c>
      <c r="JZ44" s="7">
        <f>IFERROR(AVERAGEIF('Данные 2st'!$Q$2:$Q$317,$A44,'Данные 2st'!$BH$2:$BH$317),"")</f>
        <v>104.75</v>
      </c>
      <c r="KA44" s="7">
        <f>IFERROR(AVERAGEIF('Данные 2st'!$Q$2:$Q$317,$A44,'Данные 2st'!$BI$2:$BI$317),"")</f>
        <v>19.875</v>
      </c>
      <c r="KB44" s="7">
        <f>IFERROR(AVERAGEIF('Данные 2st'!$Q$2:$Q$317,$A44,'Данные 2st'!$BJ$2:$BJ$317),"")</f>
        <v>84.875</v>
      </c>
      <c r="KC44" s="7">
        <f>IFERROR(AVERAGEIF('Данные 2st'!$Q$2:$Q$317,$A44,'Данные 2st'!$BK$2:$BK$317),"")</f>
        <v>2.875</v>
      </c>
      <c r="KD44" s="7">
        <f>IFERROR(AVERAGEIF('Данные 2st'!$Q$2:$Q$317,$A44,'Данные 2st'!$BL$2:$BL$317),"")</f>
        <v>209.5</v>
      </c>
      <c r="KE44" s="7">
        <f>IFERROR(AVERAGEIF('Данные 2st'!$Q$2:$Q$317,$A44,'Данные 2st'!$BM$2:$BM$317),"")</f>
        <v>-6</v>
      </c>
      <c r="KF44" s="7">
        <f>IFERROR(AVERAGEIF('Данные 2st'!$Q$2:$Q$317,$A44,'Данные 2st'!$BN$2:$BN$317),"")</f>
        <v>0</v>
      </c>
      <c r="KG44" s="7">
        <f>IFERROR(AVERAGEIF('Данные 2st'!$Q$2:$Q$317,$A44,'Данные 2st'!$BO$2:$BO$317),"")</f>
        <v>0</v>
      </c>
      <c r="KH44" s="7">
        <f>IFERROR(AVERAGEIF('Данные 2st'!$Q$2:$Q$317,$A44,'Данные 2st'!$BP$2:$BP$317),"")</f>
        <v>0</v>
      </c>
      <c r="KI44" s="7">
        <f>IFERROR(AVERAGEIF('Данные 2st'!$Q$2:$Q$317,$A44,'Данные 2st'!$BR$2:$BR$317),"")</f>
        <v>203.75</v>
      </c>
      <c r="KJ44" s="7">
        <f>IFERROR(AVERAGEIF('Данные 2st'!$Q$2:$Q$317,$A44,'Данные 2st'!$BS$2:$BS$317),"")</f>
        <v>193.75</v>
      </c>
      <c r="KK44" s="7">
        <f>IFERROR(AVERAGEIF('Данные 2st'!$Q$2:$Q$317,$A44,'Данные 2st'!$BT$2:$BT$317),"")</f>
        <v>1953.75</v>
      </c>
      <c r="KL44" s="7">
        <f>IFERROR(AVERAGEIF('Данные 2st'!$Q$2:$Q$317,$A44,'Данные 2st'!$CV$2:$CV$317),"")</f>
        <v>127.25</v>
      </c>
      <c r="KM44" s="7">
        <f>IFERROR(AVERAGEIF('Данные 2st'!$Q$2:$Q$317,$A44,'Данные 2st'!$CW$2:$CW$317),"")</f>
        <v>3</v>
      </c>
      <c r="KN44" s="7">
        <f>IFERROR(AVERAGEIF('Данные 2st'!$Q$2:$Q$317,$A44,'Данные 2st'!$CX$2:$CX$317),"")</f>
        <v>103</v>
      </c>
      <c r="KO44" s="7">
        <f>IFERROR(AVERAGEIF('Данные 2st'!$Q$2:$Q$317,$A44,'Данные 2st'!$CY$2:$CY$317),"")</f>
        <v>5</v>
      </c>
      <c r="KP44" s="7">
        <f>IFERROR(AVERAGEIF('Данные 2st'!$Q$2:$Q$317,$A44,'Данные 2st'!$CZ$2:$CZ$317),"")</f>
        <v>122.25</v>
      </c>
      <c r="KQ44" s="7">
        <f>IFERROR(AVERAGEIF('Данные 2st'!$Q$2:$Q$317,$A44,'Данные 2st'!$DA$2:$DA$317),"")</f>
        <v>5</v>
      </c>
      <c r="KR44" s="7">
        <f>IFERROR(AVERAGEIF('Данные 2st'!$Q$2:$Q$317,$A44,'Данные 2st'!$DB$2:$DB$317),"")</f>
        <v>10740</v>
      </c>
      <c r="KS44" s="7">
        <f>IFERROR(AVERAGEIF('Данные 2st'!$Q$2:$Q$317,$A44,'Данные 2st'!$DC$2:$DC$317),"")</f>
        <v>317.5</v>
      </c>
      <c r="KT44" s="7">
        <f>IFERROR(AVERAGEIF('Данные 2st'!$Q$2:$Q$317,$A44,'Данные 2st'!$DD$2:$DD$317),"")</f>
        <v>313.75</v>
      </c>
      <c r="KU44" s="7">
        <f>IFERROR(AVERAGEIF('Данные 2st'!$Q$2:$Q$317,$A44,'Данные 2st'!$DE$2:$DE$317),"")</f>
        <v>2068.5</v>
      </c>
      <c r="KV44" s="7">
        <f>IFERROR(AVERAGEIF('Данные 2st'!$Q$2:$Q$317,$A44,'Данные 2st'!$DF$2:$DF$317),"")</f>
        <v>2068.5</v>
      </c>
      <c r="KW44" s="7">
        <f>IFERROR(AVERAGEIF('Данные 2st'!$Q$2:$Q$317,$A44,'Данные 2st'!$DG$2:$DG$317),"")</f>
        <v>2079</v>
      </c>
      <c r="KX44" s="7">
        <f>IFERROR(AVERAGEIF('Данные 2st'!$Q$2:$Q$317,$A44,'Данные 2st'!$DH$2:$DH$317),"")</f>
        <v/>
      </c>
      <c r="KY44" s="7">
        <f>IFERROR(AVERAGEIF('Данные 2st'!$Q$2:$Q$317,$A44,'Данные 2st'!$DI$2:$DI$317),"")</f>
        <v/>
      </c>
      <c r="KZ44" s="7">
        <f>IFERROR(AVERAGEIF('Данные 2st'!$Q$2:$Q$317,$A44,'Данные 2st'!$DK$2:$DK$317),"")</f>
        <v>203.75</v>
      </c>
      <c r="LA44" s="7">
        <f>IFERROR(AVERAGEIF('Данные 2st'!$Q$2:$Q$317,$A44,'Данные 2st'!$DM$2:$DM$317),"")</f>
        <v>64</v>
      </c>
      <c r="LB44" s="7">
        <f>IFERROR(AVERAGEIF('Данные 2st'!$Q$2:$Q$317,$A44,'Данные 2st'!$DN$2:$DN$317),"")</f>
        <v>1.0350000000000001</v>
      </c>
      <c r="LC44" s="7">
        <f>IFERROR(AVERAGEIF('Данные 2st'!$Q$2:$Q$317,$A44,'Данные 2st'!$DO$2:$DO$317),"")</f>
        <v>1</v>
      </c>
      <c r="LD44" s="7">
        <f>IFERROR(AVERAGEIF('Данные 2st'!$Q$2:$Q$317,$A44,'Данные 2st'!$DP$2:$DP$317),"")</f>
        <v>1956.75</v>
      </c>
      <c r="LE44" s="7">
        <f>IFERROR(AVERAGEIF('Данные 2st'!$Q$2:$Q$317,$A44,'Данные 2st'!$DQ$2:$DQ$317),"")</f>
        <v>829.25</v>
      </c>
      <c r="LF44" s="7">
        <f>IFERROR(AVERAGEIF('Данные 2st'!$Q$2:$Q$317,$A44,'Данные 2st'!$DS$2:$DS$317),"")</f>
        <v>193.75</v>
      </c>
      <c r="LG44" s="7">
        <f>IFERROR(AVERAGEIF('Данные 2st'!$Q$2:$Q$317,$A44,'Данные 2st'!$DU$2:$DU$317),"")</f>
        <v>64</v>
      </c>
      <c r="LH44" s="7">
        <f>IFERROR(AVERAGEIF('Данные 2st'!$Q$2:$Q$317,$A44,'Данные 2st'!$DV$2:$DV$317),"")</f>
        <v>1.0350000000000001</v>
      </c>
      <c r="LI44" s="7">
        <f>IFERROR(AVERAGEIF('Данные 2st'!$Q$2:$Q$317,$A44,'Данные 2st'!$DW$2:$DW$317),"")</f>
        <v>1</v>
      </c>
      <c r="LJ44" s="7">
        <f>IFERROR(AVERAGEIF('Данные 2st'!$Q$2:$Q$317,$A44,'Данные 2st'!$DX$2:$DX$317),"")</f>
        <v>1967.5</v>
      </c>
      <c r="LK44" s="7">
        <f>IFERROR(AVERAGEIF('Данные 2st'!$Q$2:$Q$317,$A44,'Данные 2st'!$DY$2:$DY$317),"")</f>
        <v>793.5</v>
      </c>
      <c r="LL44" s="7">
        <f>IFERROR(AVERAGEIF('Данные 2st'!$Q$2:$Q$317,$A44,'Данные 2st'!$EA$2:$EA$317),"")</f>
        <v>23.25</v>
      </c>
      <c r="LM44" s="7">
        <f>IFERROR(AVERAGEIF('Данные 2st'!$Q$2:$Q$317,$A44,'Данные 2st'!$EC$2:$EC$317),"")</f>
        <v>0.7000000000000001</v>
      </c>
      <c r="LN44" s="7">
        <f>IFERROR(AVERAGEIF('Данные 2st'!$Q$2:$Q$317,$A44,'Данные 2st'!$ED$2:$ED$317),"")</f>
        <v>1956.75</v>
      </c>
      <c r="LO44" s="7">
        <f>IFERROR(AVERAGEIF('Данные 2st'!$Q$2:$Q$317,$A44,'Данные 2st'!$EE$2:$EE$317),"")</f>
        <v>65.5</v>
      </c>
      <c r="LP44" s="7">
        <f>IFERROR(AVERAGEIF('Данные 2st'!$Q$2:$Q$317,$A44,'Данные 2st'!$EG$2:$EG$317),"")</f>
        <v>8.25</v>
      </c>
      <c r="LQ44" s="7">
        <f>IFERROR(AVERAGEIF('Данные 2st'!$Q$2:$Q$317,$A44,'Данные 2st'!$EI$2:$EI$317),"")</f>
        <v>0.1</v>
      </c>
      <c r="LR44" s="7">
        <f>IFERROR(AVERAGEIF('Данные 2st'!$Q$2:$Q$317,$A44,'Данные 2st'!$EJ$2:$EJ$317),"")</f>
        <v>1960</v>
      </c>
      <c r="LS44" s="7">
        <f>IFERROR(AVERAGEIF('Данные 2st'!$Q$2:$Q$317,$A44,'Данные 2st'!$EK$2:$EK$317),"")</f>
        <v>57</v>
      </c>
      <c r="LT44" s="7">
        <f>IFERROR(AVERAGEIF('Данные 2st'!$Q$2:$Q$317,$A44,'Данные 2st'!$EM$2:$EM$317),"")</f>
        <v>12</v>
      </c>
      <c r="LU44" s="7">
        <f>IFERROR(AVERAGEIF('Данные 2st'!$Q$2:$Q$317,$A44,'Данные 2st'!$EN$2:$EN$317),"")</f>
        <v>0.5</v>
      </c>
      <c r="LV44" s="7">
        <f>IFERROR(AVERAGEIF('Данные 2st'!$Q$2:$Q$317,$A44,'Данные 2st'!$EO$2:$EO$317),"")</f>
        <v>0.945</v>
      </c>
      <c r="LW44" s="7">
        <f>IFERROR(AVERAGEIF('Данные 2st'!$Q$2:$Q$317,$A44,'Данные 2st'!$EP$2:$EP$317),"")</f>
        <v>1966.7624999999998</v>
      </c>
      <c r="LX44" s="7">
        <f>IFERROR(AVERAGEIF('Данные 2st'!$Q$2:$Q$317,$A44,'Данные 2st'!$EQ$2:$EQ$317),"")</f>
        <v>34034.5175</v>
      </c>
      <c r="LY44" s="7">
        <f>IFERROR(AVERAGEIF('Данные 2st'!$Q$2:$Q$317,$A44,'Данные 2st'!$ER$2:$ER$317),"")</f>
        <v>6135.985</v>
      </c>
      <c r="LZ44" s="7">
        <f>IFERROR(AVERAGEIF('Данные 2st'!$Q$2:$Q$317,$A44,'Данные 2st'!$ES$2:$ES$317),"")</f>
        <v>0</v>
      </c>
      <c r="MA44" s="7">
        <f>IFERROR(AVERAGEIF('Данные 2st'!$Q$2:$Q$317,$A44,'Данные 2st'!$ET$2:$ET$317),"")</f>
        <v>0</v>
      </c>
      <c r="MB44" s="7">
        <f>IFERROR(AVERAGEIF('Данные 2st'!$Q$2:$Q$317,$A44,'Данные 2st'!$EU$2:$EU$317),"")</f>
        <v>1</v>
      </c>
      <c r="MC44" s="7">
        <f>IFERROR(AVERAGEIF('Данные 2st'!$Q$2:$Q$317,$A44,'Данные 2st'!$EV$2:$EV$317),"")</f>
        <v>40170.75</v>
      </c>
      <c r="MD44" s="7">
        <f>IFERROR(AVERAGEIF('Данные 2st'!$Q$2:$Q$317,$A44,'Данные 2st'!$EW$2:$EW$317),"")</f>
        <v>482.25</v>
      </c>
      <c r="ME44" s="7">
        <f>IFERROR(AVERAGEIF('Данные 2st'!$Q$2:$Q$317,$A44,'Данные 2st'!$EY$2:$EY$317),"")</f>
        <v>219</v>
      </c>
      <c r="MF44" s="7">
        <f>IFERROR(AVERAGEIF('Данные 2st'!$Q$2:$Q$317,$A44,'Данные 2st'!$FA$2:$FA$317),"")</f>
        <v>5.15</v>
      </c>
      <c r="MG44" s="7">
        <f>IFERROR(AVERAGEIF('Данные 2st'!$Q$2:$Q$317,$A44,'Данные 2st'!$FB$2:$FB$317),"")</f>
        <v>1</v>
      </c>
      <c r="MH44" s="7">
        <f>IFERROR(AVERAGEIF('Данные 2st'!$Q$2:$Q$317,$A44,'Данные 2st'!$FC$2:$FC$317),"")</f>
        <v>1</v>
      </c>
      <c r="MI44" s="7">
        <f>IFERROR(AVERAGEIF('Данные 2st'!$Q$2:$Q$317,$A44,'Данные 2st'!$FD$2:$FD$317),"")</f>
        <v>2000</v>
      </c>
      <c r="MJ44" s="7">
        <f>IFERROR(AVERAGEIF('Данные 2st'!$Q$2:$Q$317,$A44,'Данные 2st'!$FE$2:$FE$317),"")</f>
        <v>2327.75</v>
      </c>
      <c r="MK44" s="7">
        <f>IFERROR(AVERAGEIF('Данные 2st'!$Q$2:$Q$317,$A44,'Данные 2st'!$FG$2:$FG$317),"")</f>
        <v>219</v>
      </c>
      <c r="ML44" s="7">
        <f>IFERROR(AVERAGEIF('Данные 2st'!$Q$2:$Q$317,$A44,'Данные 2st'!$FI$2:$FI$317),"")</f>
        <v>3.05</v>
      </c>
      <c r="MM44" s="7">
        <f>IFERROR(AVERAGEIF('Данные 2st'!$Q$2:$Q$317,$A44,'Данные 2st'!$FJ$2:$FJ$317),"")</f>
        <v>2000</v>
      </c>
      <c r="MN44" s="7">
        <f>IFERROR(AVERAGEIF('Данные 2st'!$Q$2:$Q$317,$A44,'Данные 2st'!$FK$2:$FK$317),"")</f>
        <v>1548</v>
      </c>
      <c r="MO44" s="7">
        <f>IFERROR(AVERAGEIF('Данные 2st'!$Q$2:$Q$317,$A44,'Данные 2st'!$FP$2:$FP$317),"")</f>
        <v>2000</v>
      </c>
      <c r="MP44" s="7">
        <f>IFERROR(AVERAGEIF('Данные 2st'!$Q$2:$Q$317,$A44,'Данные 2st'!$FQ$2:$FQ$317),"")</f>
        <v>201.75</v>
      </c>
      <c r="MQ44" s="7">
        <f>IFERROR(AVERAGEIF('Данные 2st'!$Q$2:$Q$317,$A44,'Данные 2st'!$FS$2:$FS$317),"")</f>
        <v>223</v>
      </c>
      <c r="MR44" s="7">
        <f>IFERROR(AVERAGEIF('Данные 2st'!$Q$2:$Q$317,$A44,'Данные 2st'!$FU$2:$FU$317),"")</f>
        <v>0.4</v>
      </c>
      <c r="MS44" s="7">
        <f>IFERROR(AVERAGEIF('Данные 2st'!$Q$2:$Q$317,$A44,'Данные 2st'!$FV$2:$FV$317),"")</f>
        <v>2000</v>
      </c>
      <c r="MT44" s="7">
        <f>IFERROR(AVERAGEIF('Данные 2st'!$Q$2:$Q$317,$A44,'Данные 2st'!$FW$2:$FW$317),"")</f>
        <v>198.25</v>
      </c>
      <c r="MU44" s="7">
        <f>IFERROR(AVERAGEIF('Данные 2st'!$Q$2:$Q$317,$A44,'Данные 2st'!$FY$2:$FY$317),"")</f>
        <v>5</v>
      </c>
      <c r="MV44" s="7">
        <f>IFERROR(AVERAGEIF('Данные 2st'!$Q$2:$Q$317,$A44,'Данные 2st'!$GB$2:$GB$317),"")</f>
        <v>2000</v>
      </c>
      <c r="MW44" s="7">
        <f>IFERROR(AVERAGEIF('Данные 2st'!$Q$2:$Q$317,$A44,'Данные 2st'!$GC$2:$GC$317),"")</f>
        <v>19.25</v>
      </c>
      <c r="MX44" s="7">
        <f>IFERROR(AVERAGEIF('Данные 2st'!$Q$2:$Q$317,$A44,'Данные 2st'!$GD$2:$GD$317),"")</f>
        <v>4295</v>
      </c>
      <c r="MY44" s="7">
        <f>IFERROR(AVERAGEIF('Данные 2st'!$Q$2:$Q$317,$A44,'Данные 2st'!$GN$2:$GN$317),"")</f>
        <v/>
      </c>
      <c r="MZ44" s="7">
        <f>IFERROR(AVERAGEIF('Данные 2st'!$Q$2:$Q$317,$A44,'Данные 2st'!$GQ$2:$GQ$317),"")</f>
        <v>0</v>
      </c>
      <c r="NA44" s="7">
        <f>IFERROR(AVERAGEIF('Данные 2st'!$Q$2:$Q$317,$A44,'Данные 2st'!$GV$2:$GV$317),"")</f>
        <v>8.6</v>
      </c>
      <c r="NB44" s="7">
        <f>IFERROR(AVERAGEIF('Данные 2st'!$Q$2:$Q$317,$A44,'Данные 2st'!$GW$2:$GW$317),"")</f>
        <v>10.0</v>
      </c>
      <c r="NC44" s="7">
        <f>IFERROR(AVERAGEIF('Данные 2st'!$Q$2:$Q$317,$A44,'Данные 2st'!$GX$2:$GX$317),"")</f>
        <v>0.5</v>
      </c>
      <c r="ND44" s="7">
        <f>IFERROR(AVERAGEIF('Данные 2st'!$Q$2:$Q$317,$A44,'Данные 2st'!$GY$2:$GY$317),"")</f>
        <v>196.5</v>
      </c>
      <c r="NE44" s="7">
        <f>IFERROR(AVERAGEIF('Данные 2st'!$Q$2:$Q$317,$A44,'Данные 2st'!$GZ$2:$GZ$317),"")</f>
        <v>3</v>
      </c>
      <c r="NF44" s="7">
        <f>IFERROR(AVERAGEIF('Данные 2st'!$Q$2:$Q$317,$A44,'Данные 2st'!$HA$2:$HA$317),"")</f>
        <v>242</v>
      </c>
      <c r="NG44" s="7">
        <f>IFERROR(AVERAGEIF('Данные 2st'!$Q$2:$Q$317,$A44,'Данные 2st'!$HB$2:$HB$317),"")</f>
        <v>3</v>
      </c>
      <c r="NH44" s="7">
        <f>IFERROR(AVERAGEIF('Данные 2st'!$Q$2:$Q$317,$A44,'Данные 2st'!$HC$2:$HC$317),"")</f>
        <v>2000</v>
      </c>
      <c r="NI44" s="7">
        <f>IFERROR(AVERAGEIF('Данные 2st'!$Q$2:$Q$317,$A44,'Данные 2st'!$HD$2:$HD$317),"")</f>
        <v>4</v>
      </c>
      <c r="NJ44" s="7">
        <f>IFERROR(AVERAGEIF('Данные 2st'!$Q$2:$Q$317,$A44,'Данные 2st'!$HM$2:$HM$317),"")</f>
        <v>18</v>
      </c>
      <c r="NK44" s="7">
        <f>IFERROR(AVERAGEIF('Данные 2st'!$Q$2:$Q$317,$A44,'Данные 2st'!$HR$2:$HR$317),"")</f>
        <v>1</v>
      </c>
      <c r="NL44" s="7">
        <f>IFERROR(AVERAGEIF('Данные 2st'!$Q$2:$Q$317,$A44,'Данные 2st'!$HS$2:$HS$317),"")</f>
        <v>1953.75</v>
      </c>
      <c r="NM44" s="7">
        <f>IFERROR(AVERAGEIF('Данные 2st'!$Q$2:$Q$317,$A44,'Данные 2st'!$HT$2:$HT$317),"")</f>
        <v>5</v>
      </c>
      <c r="NN44" s="7">
        <f>IFERROR(AVERAGEIF('Данные 2st'!$Q$2:$Q$317,$A44,'Данные 2st'!$HY$2:$HY$317),"")</f>
        <v>0</v>
      </c>
      <c r="NO44" s="7">
        <f>IFERROR(AVERAGEIF('Данные 2st'!$Q$2:$Q$317,$A44,'Данные 2st'!$HZ$2:$HZ$317),"")</f>
        <v>64</v>
      </c>
      <c r="NP44" s="7">
        <f>IFERROR(AVERAGEIF('Данные 2st'!$Q$2:$Q$317,$A44,'Данные 2st'!$IA$2:$IA$317),"")</f>
        <v>1956.75</v>
      </c>
      <c r="NQ44" s="7">
        <f>IFERROR(AVERAGEIF('Данные 2st'!$Q$2:$Q$317,$A44,'Данные 2st'!$IB$2:$IB$317),"")</f>
        <v>1967.5</v>
      </c>
      <c r="NR44" s="7">
        <f>IFERROR(AVERAGEIF('Данные 2st'!$Q$2:$Q$317,$A44,'Данные 2st'!$IC$2:$IC$317),"")</f>
        <v/>
      </c>
      <c r="NS44" s="7">
        <f>IFERROR(AVERAGEIF('Данные 2st'!$Q$2:$Q$317,$A44,'Данные 2st'!$ID$2:$ID$317),"")</f>
        <v>2000</v>
      </c>
      <c r="NT44" s="7">
        <f>IFERROR(AVERAGEIF('Данные 2st'!$Q$2:$Q$317,$A44,'Данные 2st'!$IE$2:$IE$317),"")</f>
        <v>2000</v>
      </c>
      <c r="NU44" s="7">
        <f>IFERROR(AVERAGEIF('Данные 2st'!$Q$2:$Q$317,$A44,'Данные 2st'!$IF$2:$IF$317),"")</f>
        <v>203.75</v>
      </c>
      <c r="NV44" s="7">
        <f>IFERROR(AVERAGEIF('Данные 2st'!$Q$2:$Q$317,$A44,'Данные 2st'!$IG$2:$IG$317),"")</f>
        <v>193.75</v>
      </c>
      <c r="NW44" s="7">
        <f>IFERROR(AVERAGEIF('Данные 2st'!$Q$2:$Q$317,$A44,'Данные 2st'!$IH$2:$IH$317),"")</f>
        <v>242</v>
      </c>
      <c r="NX44" s="7">
        <f>IFERROR(AVERAGEIF('Данные 2st'!$Q$2:$Q$317,$A44,'Данные 2st'!$IJ$2:$IJ$317),"")</f>
        <v>5</v>
      </c>
      <c r="NY44" s="7">
        <f>IFERROR(AVERAGEIF('Данные 2st'!$Q$2:$Q$317,$A44,'Данные 2st'!$IM$2:$IM$317),"")</f>
        <v>0</v>
      </c>
      <c r="NZ44" s="7">
        <f>IFERROR(AVERAGEIF('Данные 2st'!$Q$2:$Q$317,$A44,'Данные 2st'!$IN$2:$IN$317),"")</f>
        <v>270</v>
      </c>
      <c r="OA44" s="7">
        <f>IFERROR(AVERAGEIF('Данные 2st'!$Q$2:$Q$317,$A44,'Данные 2st'!$IO$2:$IO$317),"")</f>
        <v>0</v>
      </c>
      <c r="OB44" s="7">
        <f>IFERROR(AVERAGEIF('Данные 2st'!$Q$2:$Q$317,$A44,'Данные 2st'!$IP$2:$IP$317),"")</f>
        <v>180</v>
      </c>
      <c r="OC44" s="7">
        <f>IFERROR(AVERAGEIF('Данные 2st'!$Q$2:$Q$317,$A44,'Данные 2st'!$IQ$2:$IQ$317),"")</f>
        <v>0</v>
      </c>
      <c r="OD44" s="7">
        <f>IFERROR(AVERAGEIF('Данные 2st'!$Q$2:$Q$317,$A44,'Данные 2st'!$IR$2:$IR$317),"")</f>
        <v>330</v>
      </c>
      <c r="OE44" s="7">
        <f>IFERROR(AVERAGEIF('Данные 2st'!$Q$2:$Q$317,$A44,'Данные 2st'!$IT$2:$IT$317),"")</f>
        <v>90</v>
      </c>
      <c r="OF44" s="7">
        <f>IFERROR(AVERAGEIF('Данные 2st'!$Q$2:$Q$317,$A44,'Данные 2st'!$IU$2:$IU$317),"")</f>
        <v>0</v>
      </c>
      <c r="OG44" s="7">
        <f>IFERROR(AVERAGEIF('Данные 2st'!$Q$2:$Q$317,$A44,'Данные 2st'!$IV$2:$IV$317),"")</f>
        <v>6.4</v>
      </c>
      <c r="OH44" s="7">
        <f>IFERROR(AVERAGEIF('Данные 2st'!$Q$2:$Q$317,$A44,'Данные 2st'!$IW$2:$IW$317),"")</f>
        <v>-6</v>
      </c>
      <c r="OI44" s="7">
        <f>IFERROR(AVERAGEIF('Данные 2st'!$Q$2:$Q$317,$A44,'Данные 2st'!$IX$2:$IX$317),"")</f>
        <v>104.75</v>
      </c>
      <c r="OJ44" s="7">
        <f>IFERROR(AVERAGEIF('Данные 2st'!$Q$2:$Q$317,$A44,'Данные 2st'!$IY$2:$IY$317),"")</f>
        <v>84.875</v>
      </c>
      <c r="OK44" s="7">
        <f>IFERROR(AVERAGEIF('Данные 2st'!$Q$2:$Q$317,$A44,'Данные 2st'!$IZ$2:$IZ$317),"")</f>
        <v>0</v>
      </c>
      <c r="OL44" s="7">
        <f>IFERROR(AVERAGEIF('Данные 2st'!$Q$2:$Q$317,$A44,'Данные 2st'!$JA$2:$JA$317),"")</f>
        <v>0</v>
      </c>
      <c r="OM44" s="7">
        <f>IFERROR(AVERAGEIF('Данные 2st'!$Q$2:$Q$317,$A44,'Данные 2st'!$JB$2:$JB$317),"")</f>
        <v>0</v>
      </c>
      <c r="ON44" s="7">
        <f>IFERROR(AVERAGEIF('Данные 2st'!$Q$2:$Q$317,$A44,'Данные 2st'!$JC$2:$JC$317),"")</f>
        <v>0</v>
      </c>
      <c r="OO44" s="7">
        <f>IFERROR(AVERAGEIF('Данные 2st'!$Q$2:$Q$317,$A44,'Данные 2st'!$JD$2:$JD$317),"")</f>
        <v>0</v>
      </c>
      <c r="OP44" s="7">
        <f>IFERROR(AVERAGEIF('Данные 2st'!$Q$2:$Q$317,$A44,'Данные 2st'!$JE$2:$JE$317),"")</f>
        <v>0</v>
      </c>
      <c r="OQ44" s="7">
        <f>IFERROR(AVERAGEIF('Данные 2st'!$Q$2:$Q$317,$A44,'Данные 2st'!$JF$2:$JF$317),"")</f>
        <v>0</v>
      </c>
      <c r="OR44" s="7">
        <f>IFERROR(AVERAGEIF('Данные 2st'!$Q$2:$Q$317,$A44,'Данные 2st'!$JG$2:$JG$317),"")</f>
        <v>0</v>
      </c>
      <c r="OS44" s="7">
        <f>IFERROR(AVERAGEIF('Данные 2st'!$Q$2:$Q$317,$A44,'Данные 2st'!$JH$2:$JH$317),"")</f>
        <v>0</v>
      </c>
      <c r="OT44" s="7">
        <f>IFERROR(AVERAGEIF('Данные 2st'!$Q$2:$Q$317,$A44,'Данные 2st'!$JI$2:$JI$317),"")</f>
        <v>347.5</v>
      </c>
      <c r="OU44" s="7">
        <f>IFERROR(AVERAGEIF('Данные 2st'!$Q$2:$Q$317,$A44,'Данные 2st'!$JJ$2:$JJ$317),"")</f>
        <v>317.5</v>
      </c>
      <c r="OV44" s="7">
        <f>IFERROR(AVERAGEIF('Данные 2st'!$Q$2:$Q$317,$A44,'Данные 2st'!$JK$2:$JK$317),"")</f>
        <v>232.25</v>
      </c>
      <c r="OW44" s="7">
        <f>IFERROR(AVERAGEIF('Данные 2st'!$Q$2:$Q$317,$A44,'Данные 2st'!$JL$2:$JL$317),"")</f>
        <v>320.5</v>
      </c>
      <c r="OX44" s="7">
        <f>IFERROR(AVERAGEIF('Данные 2st'!$Q$2:$Q$317,$A44,'Данные 2st'!$JM$2:$JM$317),"")</f>
        <v>252.25</v>
      </c>
      <c r="OY44" s="7">
        <f>IFERROR(AVERAGEIF('Данные 2st'!$Q$2:$Q$317,$A44,'Данные 2st'!$JP$2:$JP$317),"")</f>
        <v>207</v>
      </c>
      <c r="OZ44" s="7">
        <f>IFERROR(AVERAGEIF('Данные 2st'!$Q$2:$Q$317,$A44,'Данные 2st'!$JQ$2:$JQ$317),"")</f>
        <v>256.25</v>
      </c>
      <c r="PA44" s="7">
        <f>IFERROR(AVERAGEIF('Данные 2st'!$Q$2:$Q$317,$A44,'Данные 2st'!$JR$2:$JR$317),"")</f>
        <v>307.5</v>
      </c>
      <c r="PB44" s="7">
        <f>IFERROR(AVERAGEIF('Данные 2st'!$Q$2:$Q$317,$A44,'Данные 2st'!$JS$2:$JS$317),"")</f>
        <v>275</v>
      </c>
      <c r="PC44" s="7">
        <f>IFERROR(AVERAGEIF('Данные 2st'!$Q$2:$Q$317,$A44,'Данные 2st'!$JT$2:$JT$317),"")</f>
        <v>0</v>
      </c>
      <c r="PD44" s="7">
        <f>IFERROR(AVERAGEIF('Данные 2st'!$Q$2:$Q$317,$A44,'Данные 2st'!$JU$2:$JU$317),"")</f>
        <v>0</v>
      </c>
      <c r="PE44" s="7">
        <f>IFERROR(AVERAGEIF('Данные 2st'!$Q$2:$Q$317,$A44,'Данные 2st'!$JV$2:$JV$317),"")</f>
        <v>300</v>
      </c>
      <c r="PF44" s="7">
        <f>IFERROR(AVERAGEIF('Данные 2st'!$Q$2:$Q$317,$A44,'Данные 2st'!$JW$2:$JW$317),"")</f>
        <v>260</v>
      </c>
      <c r="PG44" s="7">
        <f>IFERROR(AVERAGEIF('Данные 2st'!$Q$2:$Q$317,$A44,'Данные 2st'!$KF$2:$KF$317),"")</f>
        <v>0.195</v>
      </c>
      <c r="PH44" s="7">
        <f>IFERROR(AVERAGEIF('Данные 2st'!$Q$2:$Q$317,$A44,'Данные 2st'!$KG$2:$KG$317),"")</f>
        <v>0.1</v>
      </c>
      <c r="PI44" s="7">
        <f>IFERROR(AVERAGEIF('Данные 2st'!$Q$2:$Q$317,$A44,'Данные 2st'!$KM$2:$KM$317),"")</f>
        <v>0.5</v>
      </c>
      <c r="PJ44" s="7">
        <f>IFERROR(AVERAGEIF('Данные 2st'!$Q$2:$Q$317,$A44,'Данные 2st'!$KN$2:$KN$317),"")</f>
        <v>1.45</v>
      </c>
      <c r="PK44" s="7">
        <f>IFERROR(AVERAGEIF('Данные 2st'!$Q$2:$Q$317,$A44,'Данные 2st'!$KO$2:$KO$317),"")</f>
        <v>0</v>
      </c>
      <c r="PL44" s="7">
        <f>IFERROR(AVERAGEIF('Данные 2st'!$Q$2:$Q$317,$A44,'Данные 2st'!$KP$2:$KP$317),"")</f>
        <v>0</v>
      </c>
      <c r="PM44" s="7">
        <f>IFERROR(AVERAGEIF('Данные 2st'!$Q$2:$Q$317,$A44,'Данные 2st'!$KQ$2:$KQ$317),"")</f>
        <v>0.7</v>
      </c>
      <c r="PN44" s="7">
        <f>IFERROR(AVERAGEIF('Данные 2st'!$Q$2:$Q$317,$A44,'Данные 2st'!$KR$2:$KR$317),"")</f>
        <v>0.925</v>
      </c>
      <c r="PO44" s="7">
        <f>IFERROR(AVERAGEIF('Данные 2st'!$Q$2:$Q$317,$A44,'Данные 2st'!$KS$2:$KS$317),"")</f>
        <v>0.2</v>
      </c>
      <c r="PP44" s="7">
        <f>IFERROR(AVERAGEIF('Данные 2st'!$Q$2:$Q$317,$A44,'Данные 2st'!$KT$2:$KT$317),"")</f>
        <v>2.575</v>
      </c>
      <c r="PQ44" s="7">
        <f>IFERROR(AVERAGEIF('Данные 2st'!$Q$2:$Q$317,$A44,'Данные 2st'!$KU$2:$KU$317),"")</f>
        <v>0</v>
      </c>
      <c r="PR44" s="7">
        <f>IFERROR(AVERAGEIF('Данные 2st'!$Q$2:$Q$317,$A44,'Данные 2st'!$KV$2:$KV$317),"")</f>
        <v>0</v>
      </c>
      <c r="PS44" s="7">
        <f>IFERROR(AVERAGEIF('Данные 2st'!$Q$2:$Q$317,$A44,'Данные 2st'!$KW$2:$KW$317),"")</f>
        <v>1</v>
      </c>
      <c r="PT44" s="7">
        <f>IFERROR(AVERAGEIF('Данные 2st'!$Q$2:$Q$317,$A44,'Данные 2st'!$KX$2:$KX$317),"")</f>
        <v>2</v>
      </c>
      <c r="PU44" s="7">
        <f>IFERROR(AVERAGEIF('Данные 2st'!$Q$2:$Q$317,$A44,'Данные 2st'!$KY$2:$KY$317),"")</f>
        <v>0</v>
      </c>
      <c r="PV44" s="7">
        <f>IFERROR(AVERAGEIF('Данные 2st'!$Q$2:$Q$317,$A44,'Данные 2st'!$KZ$2:$KZ$317),"")</f>
        <v>0</v>
      </c>
      <c r="PW44" s="7">
        <f>IFERROR(AVERAGEIF('Данные 2st'!$Q$2:$Q$317,$A44,'Данные 2st'!$LA$2:$LA$317),"")</f>
        <v>0</v>
      </c>
      <c r="PX44" s="7">
        <f>IFERROR(AVERAGEIF('Данные 2st'!$Q$2:$Q$317,$A44,'Данные 2st'!$LB$2:$LB$317),"")</f>
        <v>0</v>
      </c>
      <c r="PY44" s="7">
        <f>IFERROR(AVERAGEIF('Данные 2st'!$Q$2:$Q$317,$A44,'Данные 2st'!$LC$2:$LC$317),"")</f>
        <v>0</v>
      </c>
      <c r="PZ44" s="7">
        <f>IFERROR(AVERAGEIF('Данные 2st'!$Q$2:$Q$317,$A44,'Данные 2st'!$LD$2:$LD$317),"")</f>
        <v>0</v>
      </c>
      <c r="QA44" s="7">
        <f>IFERROR(AVERAGEIF('Данные 2st'!$Q$2:$Q$317,$A44,'Данные 2st'!$LE$2:$LE$317),"")</f>
        <v>0</v>
      </c>
      <c r="QB44" s="7">
        <f>IFERROR(AVERAGEIF('Данные 2st'!$Q$2:$Q$317,$A44,'Данные 2st'!$LF$2:$LF$317),"")</f>
        <v>0</v>
      </c>
      <c r="QC44" s="7">
        <f>IFERROR(AVERAGEIF('Данные 2st'!$Q$2:$Q$317,$A44,'Данные 2st'!$LG$2:$LG$317),"")</f>
        <v>0</v>
      </c>
      <c r="QD44" s="7">
        <f>IFERROR(AVERAGEIF('Данные 2st'!$Q$2:$Q$317,$A44,'Данные 2st'!$LH$2:$LH$317),"")</f>
        <v>3</v>
      </c>
      <c r="QE44" s="7">
        <f>IFERROR(AVERAGEIF('Данные 2st'!$Q$2:$Q$317,$A44,'Данные 2st'!$LJ$2:$LJ$317),"")</f>
        <v>0</v>
      </c>
      <c r="QF44" s="7">
        <f>IFERROR(AVERAGEIF('Данные 2st'!$Q$2:$Q$317,$A44,'Данные 2st'!$LK$2:$LK$317),"")</f>
        <v>4.5</v>
      </c>
      <c r="QG44" s="7">
        <f>IFERROR(AVERAGEIF('Данные 2st'!$Q$2:$Q$317,$A44,'Данные 2st'!$LL$2:$LL$317),"")</f>
        <v>4.5</v>
      </c>
      <c r="QH44" s="7">
        <f>IFERROR(AVERAGEIF('Данные 2st'!$Q$2:$Q$317,$A44,'Данные 2st'!$LM$2:$LM$317),"")</f>
        <v>7</v>
      </c>
      <c r="QI44" s="7">
        <f>IFERROR(AVERAGEIF('Данные 2st'!$Q$2:$Q$317,$A44,'Данные 2st'!$LN$2:$LN$317),"")</f>
        <v>0.4</v>
      </c>
      <c r="QJ44" s="7">
        <f>IFERROR(AVERAGEIF('Данные 2st'!$Q$2:$Q$317,$A44,'Данные 2st'!$LO$2:$LO$317),"")</f>
        <v>3.5</v>
      </c>
      <c r="QK44" s="7">
        <f>IFERROR(AVERAGEIF('Данные 2st'!$Q$2:$Q$317,$A44,'Данные 2st'!$LP$2:$LP$317),"")</f>
        <v>0</v>
      </c>
      <c r="QL44" s="7">
        <f>IFERROR(AVERAGEIF('Данные 2st'!$Q$2:$Q$317,$A44,'Данные 2st'!$LQ$2:$LQ$317),"")</f>
        <v>0</v>
      </c>
      <c r="QM44" s="7">
        <f>IFERROR(AVERAGEIF('Данные 2st'!$Q$2:$Q$317,$A44,'Данные 2st'!$LW$2:$LW$317),"")</f>
        <v>1.2</v>
      </c>
      <c r="QN44" s="7">
        <f>IFERROR(AVERAGEIF('Данные 2st'!$Q$2:$Q$317,$A44,'Данные 2st'!$LX$2:$LX$317),"")</f>
        <v>1.2</v>
      </c>
      <c r="QO44" s="7">
        <f>IFERROR(AVERAGEIF('Данные 2st'!$Q$2:$Q$317,$A44,'Данные 2st'!$LY$2:$LY$317),"")</f>
        <v>2</v>
      </c>
      <c r="QP44" s="7">
        <f>IFERROR(AVERAGEIF('Данные 2st'!$Q$2:$Q$317,$A44,'Данные 2st'!$LZ$2:$LZ$317),"")</f>
        <v>2</v>
      </c>
      <c r="QQ44" s="7">
        <f>IFERROR(AVERAGEIF('Данные 2st'!$Q$2:$Q$317,$A44,'Данные 2st'!$MB$2:$MB$317),"")</f>
        <v>2.5</v>
      </c>
      <c r="QR44" s="7">
        <f>IFERROR(AVERAGEIF('Данные 2st'!$Q$2:$Q$317,$A44,'Данные 2st'!$MG$2:$MG$317),"")</f>
        <v/>
      </c>
      <c r="QS44" s="7">
        <f>IFERROR(AVERAGEIF('Данные 2st'!$Q$2:$Q$317,$A44,'Данные 2st'!$MH$2:$MH$317),"")</f>
        <v/>
      </c>
      <c r="QT44" s="7">
        <f>IFERROR(AVERAGEIF('Данные 2st'!$Q$2:$Q$317,$A44,'Данные 2st'!$MI$2:$MI$317),"")</f>
        <v>0</v>
      </c>
      <c r="QU44" s="7">
        <f>IFERROR(AVERAGEIF('Данные 2st'!$Q$2:$Q$317,$A44,'Данные 2st'!$MJ$2:$MJ$317),"")</f>
        <v>0</v>
      </c>
      <c r="QV44" s="7">
        <f>IFERROR(AVERAGEIF('Данные 2st'!$Q$2:$Q$317,$A44,'Данные 2st'!$MK$2:$MK$317),"")</f>
        <v/>
      </c>
      <c r="QW44" s="7">
        <f>IFERROR(AVERAGEIF('Данные 2st'!$Q$2:$Q$317,$A44,'Данные 2st'!$MM$2:$MM$317),"")</f>
        <v>382</v>
      </c>
      <c r="QX44" s="7">
        <f>IFERROR(AVERAGEIF('Данные 2st'!$Q$2:$Q$317,$A44,'Данные 2st'!$MQ$2:$MQ$317),"")</f>
        <v/>
      </c>
      <c r="QY44" s="7">
        <f>IFERROR(AVERAGEIF('Данные 2st'!$Q$2:$Q$317,$A44,'Данные 2st'!$MR$2:$MR$317),"")</f>
        <v/>
      </c>
      <c r="QZ44" s="7">
        <f>IFERROR(AVERAGEIF('Данные 2st'!$Q$2:$Q$317,$A44,'Данные 2st'!$MS$2:$MS$317),"")</f>
        <v/>
      </c>
      <c r="RA44" s="7">
        <f>IFERROR(AVERAGEIF('Данные 2st'!$Q$2:$Q$317,$A44,'Данные 2st'!$MT$2:$MT$317),"")</f>
        <v/>
      </c>
      <c r="RB44" s="7">
        <f>IFERROR(AVERAGEIF('Данные 2st'!$Q$2:$Q$317,$A44,'Данные 2st'!$MU$2:$MU$317),"")</f>
        <v/>
      </c>
      <c r="RC44" s="7">
        <f>IFERROR(AVERAGEIF('Данные 2st'!$Q$2:$Q$317,$A44,'Данные 2st'!$MV$2:$MV$317),"")</f>
        <v/>
      </c>
      <c r="RD44" s="7">
        <f>IFERROR(AVERAGEIF('Данные 2st'!$Q$2:$Q$317,$A44,'Данные 2st'!$MW$2:$MW$317),"")</f>
        <v/>
      </c>
      <c r="RE44" s="7">
        <f>IFERROR(AVERAGEIF('Данные 2st'!$Q$2:$Q$317,$A44,'Данные 2st'!$MX$2:$MX$317),"")</f>
        <v/>
      </c>
      <c r="RF44" s="7">
        <f>IFERROR(AVERAGEIF('Данные 2st'!$Q$2:$Q$317,$A44,'Данные 2st'!$MY$2:$MY$317),"")</f>
        <v/>
      </c>
      <c r="RG44" s="7">
        <f>IFERROR(AVERAGEIF('Данные 2st'!$Q$2:$Q$317,$A44,'Данные 2st'!$MZ$2:$MZ$317),"")</f>
        <v/>
      </c>
      <c r="RH44" s="7">
        <f>IFERROR(AVERAGEIF('Данные 2st'!$Q$2:$Q$317,$A44,'Данные 2st'!$NA$2:$NA$317),"")</f>
        <v/>
      </c>
      <c r="RI44" s="7">
        <f>IFERROR(AVERAGEIF('Данные 2st'!$Q$2:$Q$317,$A44,'Данные 2st'!$NB$2:$NB$317),"")</f>
        <v/>
      </c>
      <c r="RJ44" s="7">
        <f>IFERROR(AVERAGEIF('Данные 2st'!$Q$2:$Q$317,$A44,'Данные 2st'!$NC$2:$NC$317),"")</f>
        <v/>
      </c>
      <c r="RK44" s="7">
        <f>IFERROR(AVERAGEIF('Данные 2st'!$Q$2:$Q$317,$A44,'Данные 2st'!$ND$2:$ND$317),"")</f>
        <v/>
      </c>
      <c r="RL44" s="7">
        <f>IFERROR(AVERAGEIF('Данные 2st'!$Q$2:$Q$317,$A44,'Данные 2st'!$NE$2:$NE$317),"")</f>
        <v/>
      </c>
      <c r="RM44" s="7">
        <f>IFERROR(AVERAGEIF('Данные 2st'!$Q$2:$Q$317,$A44,'Данные 2st'!$NF$2:$NF$317),"")</f>
        <v/>
      </c>
      <c r="RN44" s="7">
        <f>IFERROR(AVERAGEIF('Данные 2st'!$Q$2:$Q$317,$A44,'Данные 2st'!$NG$2:$NG$317),"")</f>
        <v/>
      </c>
      <c r="RO44" s="7">
        <f>IFERROR(AVERAGEIF('Данные 2st'!$Q$2:$Q$317,$A44,'Данные 2st'!$NH$2:$NH$317),"")</f>
        <v/>
      </c>
      <c r="RP44" s="7">
        <f>IFERROR(AVERAGEIF('Данные 2st'!$Q$2:$Q$317,$A44,'Данные 2st'!$NJ$2:$NJ$317),"")</f>
        <v/>
      </c>
      <c r="RQ44" s="7">
        <f>IFERROR(AVERAGEIF('Данные 2st'!$Q$2:$Q$317,$A44,'Данные 2st'!$NK$2:$NK$317),"")</f>
        <v/>
      </c>
      <c r="RR44" s="7">
        <f>IFERROR(AVERAGEIF('Данные 2st'!$Q$2:$Q$317,$A44,'Данные 2st'!$NM$2:$NM$317),"")</f>
        <v/>
      </c>
      <c r="RS44" s="7">
        <f>IFERROR(AVERAGEIF('Данные 2st'!$Q$2:$Q$317,$A44,'Данные 2st'!$NN$2:$NN$317),"")</f>
        <v/>
      </c>
      <c r="RT44" s="7">
        <f>IFERROR(AVERAGEIF('Данные 2st'!$Q$2:$Q$317,$A44,'Данные 2st'!$NO$2:$NO$317),"")</f>
        <v/>
      </c>
      <c r="RU44" s="7">
        <f>IFERROR(AVERAGEIF('Данные 2st'!$Q$2:$Q$317,$A44,'Данные 2st'!$NP$2:$NP$317),"")</f>
        <v/>
      </c>
      <c r="RV44" s="7">
        <f>IFERROR(AVERAGEIF('Данные 2st'!$Q$2:$Q$317,$A44,'Данные 2st'!$NQ$2:$NQ$317),"")</f>
        <v/>
      </c>
      <c r="RW44" s="7">
        <f>IFERROR(AVERAGEIF('Данные 2st'!$Q$2:$Q$317,$A44,'Данные 2st'!$NR$2:$NR$317),"")</f>
        <v/>
      </c>
      <c r="RX44" s="7">
        <f>IFERROR(AVERAGEIF('Данные 2st'!$Q$2:$Q$317,$A44,'Данные 2st'!$NS$2:$NS$317),"")</f>
        <v/>
      </c>
      <c r="RY44" s="7">
        <f>IFERROR(AVERAGEIF('Данные 2st'!$Q$2:$Q$317,$A44,'Данные 2st'!$NT$2:$NT$317),"")</f>
        <v/>
      </c>
      <c r="RZ44" s="7">
        <f>IFERROR(AVERAGEIF('Данные 2st'!$Q$2:$Q$317,$A44,'Данные 2st'!$OK$2:$OK$317),"")</f>
        <v>61</v>
      </c>
      <c r="SA44" s="7">
        <f>IFERROR(AVERAGEIF('Данные 2st'!$Q$2:$Q$317,$A44,'Данные 2st'!$OL$2:$OL$317),"")</f>
        <v>61</v>
      </c>
      <c r="SB44" s="7">
        <f>IFERROR(AVERAGEIF('Данные 2st'!$Q$2:$Q$317,$A44,'Данные 2st'!$ON$2:$ON$317),"")</f>
        <v>1.5</v>
      </c>
      <c r="SC44" s="7">
        <f>IFERROR(AVERAGEIF('Данные 2st'!$Q$2:$Q$317,$A44,'Данные 2st'!$OO$2:$OO$317),"")</f>
        <v>1956.75</v>
      </c>
      <c r="SD44" s="7">
        <f>IFERROR(AVERAGEIF('Данные 2st'!$Q$2:$Q$317,$A44,'Данные 2st'!$OP$2:$OP$317),"")</f>
        <v>61</v>
      </c>
      <c r="SE44" s="7">
        <f>IFERROR(AVERAGEIF('Данные 2st'!$Q$2:$Q$317,$A44,'Данные 2st'!$OQ$2:$OQ$317),"")</f>
        <v>61</v>
      </c>
      <c r="SF44" s="7">
        <f>IFERROR(AVERAGEIF('Данные 2st'!$Q$2:$Q$317,$A44,'Данные 2st'!$OS$2:$OS$317),"")</f>
        <v>1.5</v>
      </c>
      <c r="SG44" s="7">
        <f>IFERROR(AVERAGEIF('Данные 2st'!$Q$2:$Q$317,$A44,'Данные 2st'!$OT$2:$OT$317),"")</f>
        <v>1967.5</v>
      </c>
      <c r="SH44" s="7">
        <f>IFERROR(AVERAGEIF('Данные 2st'!$Q$2:$Q$317,$A44,'Данные 2st'!$OU$2:$OU$317),"")</f>
        <v>65</v>
      </c>
      <c r="SI44" s="7">
        <f>IFERROR(AVERAGEIF('Данные 2st'!$Q$2:$Q$317,$A44,'Данные 2st'!$OV$2:$OV$317),"")</f>
        <v>65</v>
      </c>
      <c r="SJ44" s="7">
        <f>IFERROR(AVERAGEIF('Данные 2st'!$Q$2:$Q$317,$A44,'Данные 2st'!$OX$2:$OX$317),"")</f>
        <v>1.75</v>
      </c>
      <c r="SK44" s="7">
        <f>IFERROR(AVERAGEIF('Данные 2st'!$Q$2:$Q$317,$A44,'Данные 2st'!$OY$2:$OY$317),"")</f>
        <v>40170.75</v>
      </c>
      <c r="SL44" s="7">
        <f>IFERROR(AVERAGEIF('Данные 2st'!$Q$2:$Q$317,$A44,'Данные 2st'!$OZ$2:$OZ$317),"")</f>
        <v>51</v>
      </c>
      <c r="SM44" s="7">
        <f>IFERROR(AVERAGEIF('Данные 2st'!$Q$2:$Q$317,$A44,'Данные 2st'!$PA$2:$PA$317),"")</f>
        <v>51.25</v>
      </c>
      <c r="SN44" s="7">
        <f>IFERROR(AVERAGEIF('Данные 2st'!$Q$2:$Q$317,$A44,'Данные 2st'!$PC$2:$PC$317),"")</f>
        <v>1.75</v>
      </c>
      <c r="SO44" s="7">
        <f>IFERROR(AVERAGEIF('Данные 2st'!$Q$2:$Q$317,$A44,'Данные 2st'!$PD$2:$PD$317),"")</f>
        <v>2000</v>
      </c>
      <c r="SP44" s="7">
        <f>IFERROR(AVERAGEIF('Данные 2st'!$Q$2:$Q$317,$A44,'Данные 2st'!$PF$2:$PF$317),"")</f>
        <v>423.75</v>
      </c>
      <c r="SQ44" s="7">
        <f>IFERROR(AVERAGEIF('Данные 2st'!$Q$2:$Q$317,$A44,'Данные 2st'!$PG$2:$PG$317),"")</f>
        <v>33.5</v>
      </c>
      <c r="SR44" s="7">
        <f>IFERROR(AVERAGEIF('Данные 2st'!$Q$2:$Q$317,$A44,'Данные 2st'!$PH$2:$PH$317),"")</f>
        <v>403.25</v>
      </c>
      <c r="SS44" s="7">
        <f>IFERROR(AVERAGEIF('Данные 2st'!$Q$2:$Q$317,$A44,'Данные 2st'!$PI$2:$PI$317),"")</f>
        <v>7.25</v>
      </c>
      <c r="ST44" s="7">
        <f>IFERROR(AVERAGEIF('Данные 2st'!$Q$2:$Q$317,$A44,'Данные 2st'!$PJ$2:$PJ$317),"")</f>
        <v>100.875</v>
      </c>
      <c r="SU44" s="7">
        <f>IFERROR(AVERAGEIF('Данные 2st'!$Q$2:$Q$317,$A44,'Данные 2st'!$PK$2:$PK$317),"")</f>
        <v>2228.5</v>
      </c>
      <c r="SV44" s="7">
        <f>IFERROR(AVERAGEIF('Данные 2st'!$Q$2:$Q$317,$A44,'Данные 2st'!$PL$2:$PL$317),"")</f>
        <v>1163.9</v>
      </c>
      <c r="SW44" s="7">
        <f>IFERROR(AVERAGEIF('Данные 2st'!$Q$2:$Q$317,$A44,'Данные 2st'!$PM$2:$PM$317),"")</f>
        <v>774.975</v>
      </c>
      <c r="SX44" s="7">
        <f>IFERROR(AVERAGEIF('Данные 2st'!$Q$2:$Q$317,$A44,'Данные 2st'!$PN$2:$PN$317),"")</f>
        <v>99.15</v>
      </c>
      <c r="SY44" s="7">
        <f>IFERROR(AVERAGEIF('Данные 2st'!$Q$2:$Q$317,$A44,'Данные 2st'!$PO$2:$PO$317),"")</f>
        <v>9.675</v>
      </c>
      <c r="SZ44" s="7">
        <f>IFERROR(AVERAGEIF('Данные 2st'!$Q$2:$Q$317,$A44,'Данные 2st'!$PP$2:$PP$317),"")</f>
        <v>12</v>
      </c>
      <c r="TA44" s="7">
        <f>IFERROR(AVERAGEIF('Данные 2st'!$Q$2:$Q$317,$A44,'Данные 2st'!$PQ$2:$PQ$317),"")</f>
        <v>1.5</v>
      </c>
      <c r="TB44" s="7">
        <f>IFERROR(AVERAGEIF('Данные 2st'!$Q$2:$Q$317,$A44,'Данные 2st'!$PR$2:$PR$317),"")</f>
        <v>3</v>
      </c>
      <c r="TC44" s="7">
        <f>IFERROR(AVERAGEIF('Данные 2st'!$Q$2:$Q$317,$A44,'Данные 2st'!$PS$2:$PS$317),"")</f>
        <v>8</v>
      </c>
      <c r="TD44" s="7">
        <f>IFERROR(AVERAGEIF('Данные 2st'!$Q$2:$Q$317,$A44,'Данные 2st'!$PT$2:$PT$317),"")</f>
        <v>242</v>
      </c>
      <c r="TE44" s="7">
        <f>IFERROR(AVERAGEIF('Данные 2st'!$Q$2:$Q$317,$A44,'Данные 2st'!$PU$2:$PU$317),"")</f>
        <v>11.5</v>
      </c>
      <c r="TF44" s="7">
        <f>IFERROR(AVERAGEIF('Данные 2st'!$Q$2:$Q$317,$A44,'Данные 2st'!$PX$2:$PX$317),"")</f>
        <v>0</v>
      </c>
      <c r="TG44" s="7">
        <f>IFERROR(AVERAGEIF('Данные 2st'!$Q$2:$Q$317,$A44,'Данные 2st'!$PY$2:$PY$317),"")</f>
        <v>0</v>
      </c>
      <c r="TH44" s="7">
        <f>IFERROR(AVERAGEIF('Данные 2st'!$Q$2:$Q$317,$A44,'Данные 2st'!$PZ$2:$PZ$317),"")</f>
        <v>0</v>
      </c>
      <c r="TI44" s="7">
        <f>IFERROR(AVERAGEIF('Данные 2st'!$Q$2:$Q$317,$A44,'Данные 2st'!$QA$2:$QA$317),"")</f>
        <v>0</v>
      </c>
      <c r="TJ44" s="7">
        <f>IFERROR(AVERAGEIF('Данные 2st'!$Q$2:$Q$317,$A44,'Данные 2st'!$QB$2:$QB$317),"")</f>
        <v>0</v>
      </c>
      <c r="TK44" s="7">
        <f>IFERROR(AVERAGEIF('Данные 2st'!$Q$2:$Q$317,$A44,'Данные 2st'!$QC$2:$QC$317),"")</f>
        <v>0</v>
      </c>
      <c r="TL44" s="7">
        <f>IFERROR(AVERAGEIF('Данные 2st'!$Q$2:$Q$317,$A44,'Данные 2st'!$QD$2:$QD$317),"")</f>
        <v>0</v>
      </c>
      <c r="TM44" s="7">
        <f>IFERROR(AVERAGEIF('Данные 2st'!$Q$2:$Q$317,$A44,'Данные 2st'!$QE$2:$QE$317),"")</f>
        <v>-1</v>
      </c>
      <c r="TN44" s="7">
        <f>IFERROR(AVERAGEIF('Данные 2st'!$Q$2:$Q$317,$A44,'Данные 2st'!$QF$2:$QF$317),"")</f>
        <v>1</v>
      </c>
      <c r="TO44" s="7">
        <f>IFERROR(AVERAGEIF('Данные 2st'!$Q$2:$Q$317,$A44,'Данные 2st'!$QG$2:$QG$317),"")</f>
        <v>0</v>
      </c>
      <c r="TP44" s="7">
        <f>IFERROR(AVERAGEIF('Данные 2st'!$Q$2:$Q$317,$A44,'Данные 2st'!$QH$2:$QH$317),"")</f>
        <v>5</v>
      </c>
      <c r="TQ44" s="7">
        <f>IFERROR(AVERAGEIF('Данные 2st'!$Q$2:$Q$317,$A44,'Данные 2st'!$QI$2:$QI$317),"")</f>
        <v>5</v>
      </c>
      <c r="TR44" s="7">
        <f>IFERROR(AVERAGEIF('Данные 2st'!$Q$2:$Q$317,$A44,'Данные 2st'!$QJ$2:$QJ$317),"")</f>
        <v>5</v>
      </c>
      <c r="TS44" s="7">
        <f>IFERROR(AVERAGEIF('Данные 2st'!$Q$2:$Q$317,$A44,'Данные 2st'!$QK$2:$QK$317),"")</f>
        <v>167.5</v>
      </c>
      <c r="TT44" s="7">
        <f>IFERROR(AVERAGEIF('Данные 2st'!$Q$2:$Q$317,$A44,'Данные 2st'!$QL$2:$QL$317),"")</f>
        <v>380.5</v>
      </c>
      <c r="TU44" s="7">
        <f>IFERROR(AVERAGEIF('Данные 2st'!$Q$2:$Q$317,$A44,'Данные 2st'!$QM$2:$QM$317),"")</f>
        <v>7.5</v>
      </c>
      <c r="TV44" s="7">
        <f>IFERROR(AVERAGEIF('Данные 2st'!$Q$2:$Q$317,$A44,'Данные 2st'!$QN$2:$QN$317),"")</f>
        <v>1460.3</v>
      </c>
      <c r="TW44" s="7">
        <f>IFERROR(AVERAGEIF('Данные 2st'!$Q$2:$Q$317,$A44,'Данные 2st'!$QQ$2:$QQ$317),"")</f>
        <v>0</v>
      </c>
      <c r="TX44" s="7">
        <f>IFERROR(AVERAGEIF('Данные 2st'!$Q$2:$Q$317,$A44,'Данные 2st'!$QS$2:$QS$317),"")</f>
        <v>30</v>
      </c>
      <c r="TY44" s="7">
        <f>IFERROR(AVERAGEIF('Данные 2st'!$Q$2:$Q$317,$A44,'Данные 2st'!$QT$2:$QT$317),"")</f>
        <v>40</v>
      </c>
    </row>
    <row r="45" spans="1:545" ht="32" customHeight="1">
      <c r="A45" s="11" t="s">
        <v>1211</v>
      </c>
      <c r="B45">
        <f>COUNTIF('Данные 1st'!$S$2:$S$317,$A45)</f>
        <v>3</v>
      </c>
      <c r="C45" s="6" t="s">
        <v>5105</v>
      </c>
      <c r="D45" s="6" t="s">
        <v>513</v>
      </c>
      <c r="E45" s="6" t="s">
        <v>5125</v>
      </c>
      <c r="F45" s="6" t="s">
        <v>5164</v>
      </c>
      <c r="G45" s="7">
        <f>IFERROR(AVERAGEIF('Данные 1st'!$S$2:$S$317,$A45,'Данные 1st'!$AE$2:$AE$317),"")</f>
        <v>189.33333333333334</v>
      </c>
      <c r="H45" s="7">
        <f>IFERROR(AVERAGEIF('Данные 1st'!$S$2:$S$317,$A45,'Данные 1st'!$AF$2:$AF$317),"")</f>
        <v>1.5</v>
      </c>
      <c r="I45" s="7">
        <f>IFERROR(AVERAGEIF('Данные 1st'!$S$2:$S$317,$A45,'Данные 1st'!$AJ$2:$AJ$317),"")</f>
        <v>200.83333333333334</v>
      </c>
      <c r="J45" s="7">
        <f>IFERROR(AVERAGEIF('Данные 1st'!$S$2:$S$317,$A45,'Данные 1st'!$AL$2:$AL$317),"")</f>
        <v>1.5</v>
      </c>
      <c r="K45" s="7">
        <f>IFERROR(AVERAGEIF('Данные 1st'!$S$2:$S$317,$A45,'Данные 1st'!$AR$2:$AR$317),"")</f>
        <v>0</v>
      </c>
      <c r="L45" s="7">
        <f>IFERROR(AVERAGEIF('Данные 1st'!$S$2:$S$317,$A45,'Данные 1st'!$AS$2:$AS$317),"")</f>
        <v>1.5</v>
      </c>
      <c r="M45" s="7">
        <f>IFERROR(AVERAGEIF('Данные 1st'!$S$2:$S$317,$A45,'Данные 1st'!$AY$2:$AY$317),"")</f>
        <v>277.5</v>
      </c>
      <c r="N45" s="7">
        <f>IFERROR(AVERAGEIF('Данные 1st'!$S$2:$S$317,$A45,'Данные 1st'!$AZ$2:$AZ$317),"")</f>
        <v>1.5</v>
      </c>
      <c r="O45" s="7">
        <f>IFERROR(AVERAGEIF('Данные 1st'!$S$2:$S$317,$A45,'Данные 1st'!$BF$2:$BF$317),"")</f>
        <v>235.83333333333334</v>
      </c>
      <c r="P45" s="7">
        <f>IFERROR(AVERAGEIF('Данные 1st'!$S$2:$S$317,$A45,'Данные 1st'!$BG$2:$BG$317),"")</f>
        <v>1.5</v>
      </c>
      <c r="Q45" s="7">
        <f>IFERROR(AVERAGEIF('Данные 1st'!$S$2:$S$317,$A45,'Данные 1st'!$BM$2:$BM$317),"")</f>
        <v/>
      </c>
      <c r="R45" s="7">
        <f>IFERROR(AVERAGEIF('Данные 1st'!$S$2:$S$317,$A45,'Данные 1st'!$BN$2:$BN$317),"")</f>
        <v>1.5</v>
      </c>
      <c r="S45" s="7">
        <f>IFERROR(AVERAGEIF('Данные 1st'!$S$2:$S$317,$A45,'Данные 1st'!$BT$2:$BT$317),"")</f>
        <v>211</v>
      </c>
      <c r="T45" s="7">
        <f>IFERROR(AVERAGEIF('Данные 1st'!$S$2:$S$317,$A45,'Данные 1st'!$BU$2:$BU$317),"")</f>
        <v>0.5</v>
      </c>
      <c r="U45" s="7">
        <f>IFERROR(AVERAGEIF('Данные 1st'!$S$2:$S$317,$A45,'Данные 1st'!$BW$2:$BW$317),"")</f>
        <v>422</v>
      </c>
      <c r="V45" s="7">
        <f>IFERROR(AVERAGEIF('Данные 1st'!$S$2:$S$317,$A45,'Данные 1st'!$BX$2:$BX$317),"")</f>
        <v>1</v>
      </c>
      <c r="W45" s="7">
        <f>IFERROR(AVERAGEIF('Данные 1st'!$S$2:$S$317,$A45,'Данные 1st'!$BZ$2:$BZ$317),"")</f>
        <v>290</v>
      </c>
      <c r="X45" s="7">
        <f>IFERROR(AVERAGEIF('Данные 1st'!$S$2:$S$317,$A45,'Данные 1st'!$CA$2:$CA$317),"")</f>
        <v>476.6666666666667</v>
      </c>
      <c r="Y45" s="7">
        <f>IFERROR(AVERAGEIF('Данные 1st'!$S$2:$S$317,$A45,'Данные 1st'!$CD$2:$CD$317),"")</f>
        <v>420.6666666666667</v>
      </c>
      <c r="Z45" s="7">
        <f>IFERROR(AVERAGEIF('Данные 1st'!$S$2:$S$317,$A45,'Данные 1st'!$CF$2:$CF$317),"")</f>
        <v>15</v>
      </c>
      <c r="AA45" s="7">
        <f>IFERROR(AVERAGEIF('Данные 1st'!$S$2:$S$317,$A45,'Данные 1st'!$CI$2:$CI$317),"")</f>
        <v>93.33333333333333</v>
      </c>
      <c r="AB45" s="7">
        <f>IFERROR(AVERAGEIF('Данные 1st'!$S$2:$S$317,$A45,'Данные 1st'!$CJ$2:$CJ$317),"")</f>
        <v>1381</v>
      </c>
      <c r="AC45" s="7">
        <f>IFERROR(AVERAGEIF('Данные 1st'!$S$2:$S$317,$A45,'Данные 1st'!$CK$2:$CK$317),"")</f>
        <v>2</v>
      </c>
      <c r="AD45" s="7">
        <f>IFERROR(AVERAGEIF('Данные 1st'!$S$2:$S$317,$A45,'Данные 1st'!$CL$2:$CL$317),"")</f>
        <v>1475</v>
      </c>
      <c r="AE45" s="7">
        <f>IFERROR(AVERAGEIF('Данные 1st'!$S$2:$S$317,$A45,'Данные 1st'!$CM$2:$CM$317),"")</f>
        <v>2</v>
      </c>
      <c r="AF45" s="7">
        <f>IFERROR(AVERAGEIF('Данные 1st'!$S$2:$S$317,$A45,'Данные 1st'!$CT$2:$CT$317),"")</f>
        <v>401.6666666666667</v>
      </c>
      <c r="AG45" s="7">
        <f>IFERROR(AVERAGEIF('Данные 1st'!$S$2:$S$317,$A45,'Данные 1st'!$CU$2:$CU$317),"")</f>
        <v>5</v>
      </c>
      <c r="AH45" s="7">
        <f>IFERROR(AVERAGEIF('Данные 1st'!$S$2:$S$317,$A45,'Данные 1st'!$CV$2:$CV$317),"")</f>
        <v>1.2</v>
      </c>
      <c r="AI45" s="7">
        <f>IFERROR(AVERAGEIF('Данные 1st'!$S$2:$S$317,$A45,'Данные 1st'!$CW$2:$CW$317),"")</f>
        <v>1393</v>
      </c>
      <c r="AJ45" s="7">
        <f>IFERROR(AVERAGEIF('Данные 1st'!$S$2:$S$317,$A45,'Данные 1st'!$CX$2:$CX$317),"")</f>
        <v>791.6666666666666</v>
      </c>
      <c r="AK45" s="7">
        <f>IFERROR(AVERAGEIF('Данные 1st'!$S$2:$S$317,$A45,'Данные 1st'!$CZ$2:$CZ$317),"")</f>
        <v/>
      </c>
      <c r="AL45" s="7">
        <f>IFERROR(AVERAGEIF('Данные 1st'!$S$2:$S$317,$A45,'Данные 1st'!$DA$2:$DA$317),"")</f>
        <v/>
      </c>
      <c r="AM45" s="7">
        <f>IFERROR(AVERAGEIF('Данные 1st'!$S$2:$S$317,$A45,'Данные 1st'!$DB$2:$DB$317),"")</f>
        <v/>
      </c>
      <c r="AN45" s="7">
        <f>IFERROR(AVERAGEIF('Данные 1st'!$S$2:$S$317,$A45,'Данные 1st'!$DC$2:$DC$317),"")</f>
        <v/>
      </c>
      <c r="AO45" s="7">
        <f>IFERROR(AVERAGEIF('Данные 1st'!$S$2:$S$317,$A45,'Данные 1st'!$DD$2:$DD$317),"")</f>
        <v>0</v>
      </c>
      <c r="AP45" s="7">
        <f>IFERROR(AVERAGEIF('Данные 1st'!$S$2:$S$317,$A45,'Данные 1st'!$DF$2:$DF$317),"")</f>
        <v>555</v>
      </c>
      <c r="AQ45" s="7">
        <f>IFERROR(AVERAGEIF('Данные 1st'!$S$2:$S$317,$A45,'Данные 1st'!$DG$2:$DG$317),"")</f>
        <v>3</v>
      </c>
      <c r="AR45" s="7">
        <f>IFERROR(AVERAGEIF('Данные 1st'!$S$2:$S$317,$A45,'Данные 1st'!$DH$2:$DH$317),"")</f>
        <v>0.88</v>
      </c>
      <c r="AS45" s="7">
        <f>IFERROR(AVERAGEIF('Данные 1st'!$S$2:$S$317,$A45,'Данные 1st'!$DI$2:$DI$317),"")</f>
        <v>1390</v>
      </c>
      <c r="AT45" s="7">
        <f>IFERROR(AVERAGEIF('Данные 1st'!$S$2:$S$317,$A45,'Данные 1st'!$DJ$2:$DJ$317),"")</f>
        <v>885.3333333333334</v>
      </c>
      <c r="AU45" s="7">
        <f>IFERROR(AVERAGEIF('Данные 1st'!$S$2:$S$317,$A45,'Данные 1st'!$DL$2:$DL$317),"")</f>
        <v>471.6666666666667</v>
      </c>
      <c r="AV45" s="7">
        <f>IFERROR(AVERAGEIF('Данные 1st'!$S$2:$S$317,$A45,'Данные 1st'!$DM$2:$DM$317),"")</f>
        <v>3</v>
      </c>
      <c r="AW45" s="7">
        <f>IFERROR(AVERAGEIF('Данные 1st'!$S$2:$S$317,$A45,'Данные 1st'!$DN$2:$DN$317),"")</f>
        <v>0.88</v>
      </c>
      <c r="AX45" s="7">
        <f>IFERROR(AVERAGEIF('Данные 1st'!$S$2:$S$317,$A45,'Данные 1st'!$DO$2:$DO$317),"")</f>
        <v>1396</v>
      </c>
      <c r="AY45" s="7">
        <f>IFERROR(AVERAGEIF('Данные 1st'!$S$2:$S$317,$A45,'Данные 1st'!$DP$2:$DP$317),"")</f>
        <v>799.6666666666666</v>
      </c>
      <c r="AZ45" s="7">
        <f>IFERROR(AVERAGEIF('Данные 1st'!$S$2:$S$317,$A45,'Данные 1st'!$DR$2:$DR$317),"")</f>
        <v/>
      </c>
      <c r="BA45" s="7">
        <f>IFERROR(AVERAGEIF('Данные 1st'!$S$2:$S$317,$A45,'Данные 1st'!$DS$2:$DS$317),"")</f>
        <v/>
      </c>
      <c r="BB45" s="7">
        <f>IFERROR(AVERAGEIF('Данные 1st'!$S$2:$S$317,$A45,'Данные 1st'!$DT$2:$DT$317),"")</f>
        <v/>
      </c>
      <c r="BC45" s="7">
        <f>IFERROR(AVERAGEIF('Данные 1st'!$S$2:$S$317,$A45,'Данные 1st'!$DU$2:$DU$317),"")</f>
        <v/>
      </c>
      <c r="BD45" s="7">
        <f>IFERROR(AVERAGEIF('Данные 1st'!$S$2:$S$317,$A45,'Данные 1st'!$DV$2:$DV$317),"")</f>
        <v/>
      </c>
      <c r="BE45" s="7">
        <f>IFERROR(AVERAGEIF('Данные 1st'!$S$2:$S$317,$A45,'Данные 1st'!$DX$2:$DX$317),"")</f>
        <v>7.5</v>
      </c>
      <c r="BF45" s="7">
        <f>IFERROR(AVERAGEIF('Данные 1st'!$S$2:$S$317,$A45,'Данные 1st'!$EA$2:$EA$317),"")</f>
        <v>1464.3</v>
      </c>
      <c r="BG45" s="7">
        <f>IFERROR(AVERAGEIF('Данные 1st'!$S$2:$S$317,$A45,'Данные 1st'!$EB$2:$EB$317),"")</f>
        <v>276</v>
      </c>
      <c r="BH45" s="7">
        <f>IFERROR(AVERAGEIF('Данные 1st'!$S$2:$S$317,$A45,'Данные 1st'!$ED$2:$ED$317),"")</f>
        <v>33.333333333333336</v>
      </c>
      <c r="BI45" s="7">
        <f>IFERROR(AVERAGEIF('Данные 1st'!$S$2:$S$317,$A45,'Данные 1st'!$EE$2:$EE$317),"")</f>
        <v>3</v>
      </c>
      <c r="BJ45" s="7">
        <f>IFERROR(AVERAGEIF('Данные 1st'!$S$2:$S$317,$A45,'Данные 1st'!$EG$2:$EG$317),"")</f>
        <v>1505</v>
      </c>
      <c r="BK45" s="7">
        <f>IFERROR(AVERAGEIF('Данные 1st'!$S$2:$S$317,$A45,'Данные 1st'!$EH$2:$EH$317),"")</f>
        <v>209.33333333333334</v>
      </c>
      <c r="BL45" s="7">
        <f>IFERROR(AVERAGEIF('Данные 1st'!$S$2:$S$317,$A45,'Данные 1st'!$EJ$2:$EJ$317),"")</f>
        <v>0</v>
      </c>
      <c r="BM45" s="7">
        <f>IFERROR(AVERAGEIF('Данные 1st'!$S$2:$S$317,$A45,'Данные 1st'!$EK$2:$EK$317),"")</f>
        <v>1</v>
      </c>
      <c r="BN45" s="7">
        <f>IFERROR(AVERAGEIF('Данные 1st'!$S$2:$S$317,$A45,'Данные 1st'!$EN$2:$EN$317),"")</f>
        <v>0</v>
      </c>
      <c r="BO45" s="7">
        <f>IFERROR(AVERAGEIF('Данные 1st'!$S$2:$S$317,$A45,'Данные 1st'!$EQ$2:$EQ$317),"")</f>
        <v>93.33333333333333</v>
      </c>
      <c r="BP45" s="7">
        <f>IFERROR(AVERAGEIF('Данные 1st'!$S$2:$S$317,$A45,'Данные 1st'!$ER$2:$ER$317),"")</f>
        <v>3</v>
      </c>
      <c r="BQ45" s="7">
        <f>IFERROR(AVERAGEIF('Данные 1st'!$S$2:$S$317,$A45,'Данные 1st'!$ES$2:$ES$317),"")</f>
        <v>5.5</v>
      </c>
      <c r="BR45" s="7">
        <f>IFERROR(AVERAGEIF('Данные 1st'!$S$2:$S$317,$A45,'Данные 1st'!$ET$2:$ET$317),"")</f>
        <v>1378</v>
      </c>
      <c r="BS45" s="7">
        <f>IFERROR(AVERAGEIF('Данные 1st'!$S$2:$S$317,$A45,'Данные 1st'!$EU$2:$EU$317),"")</f>
        <v>411.6666666666667</v>
      </c>
      <c r="BT45" s="7">
        <f>IFERROR(AVERAGEIF('Данные 1st'!$S$2:$S$317,$A45,'Данные 1st'!$EV$2:$EV$317),"")</f>
        <v>567.3333333333334</v>
      </c>
      <c r="BU45" s="7">
        <f>IFERROR(AVERAGEIF('Данные 1st'!$S$2:$S$317,$A45,'Данные 1st'!$EX$2:$EX$317),"")</f>
        <v>70</v>
      </c>
      <c r="BV45" s="7">
        <f>IFERROR(AVERAGEIF('Данные 1st'!$S$2:$S$317,$A45,'Данные 1st'!$EY$2:$EY$317),"")</f>
        <v>2</v>
      </c>
      <c r="BW45" s="7">
        <f>IFERROR(AVERAGEIF('Данные 1st'!$S$2:$S$317,$A45,'Данные 1st'!$EZ$2:$EZ$317),"")</f>
        <v>4.433333333333334</v>
      </c>
      <c r="BX45" s="7">
        <f>IFERROR(AVERAGEIF('Данные 1st'!$S$2:$S$317,$A45,'Данные 1st'!$FA$2:$FA$317),"")</f>
        <v>1378</v>
      </c>
      <c r="BY45" s="7">
        <f>IFERROR(AVERAGEIF('Данные 1st'!$S$2:$S$317,$A45,'Данные 1st'!$FB$2:$FB$317),"")</f>
        <v>224.70000000000002</v>
      </c>
      <c r="BZ45" s="7">
        <f>IFERROR(AVERAGEIF('Данные 1st'!$S$2:$S$317,$A45,'Данные 1st'!$FC$2:$FC$317),"")</f>
        <v>309.3333333333333</v>
      </c>
      <c r="CA45" s="7">
        <f>IFERROR(AVERAGEIF('Данные 1st'!$S$2:$S$317,$A45,'Данные 1st'!$FE$2:$FE$317),"")</f>
        <v>0</v>
      </c>
      <c r="CB45" s="7">
        <f>IFERROR(AVERAGEIF('Данные 1st'!$S$2:$S$317,$A45,'Данные 1st'!$FF$2:$FF$317),"")</f>
        <v>2</v>
      </c>
      <c r="CC45" s="7">
        <f>IFERROR(AVERAGEIF('Данные 1st'!$S$2:$S$317,$A45,'Данные 1st'!$FI$2:$FI$317),"")</f>
        <v>0</v>
      </c>
      <c r="CD45" s="7">
        <f>IFERROR(AVERAGEIF('Данные 1st'!$S$2:$S$317,$A45,'Данные 1st'!$FL$2:$FL$317),"")</f>
        <v>0.4</v>
      </c>
      <c r="CE45" s="7">
        <f>IFERROR(AVERAGEIF('Данные 1st'!$S$2:$S$317,$A45,'Данные 1st'!$FM$2:$FM$317),"")</f>
        <v>101.66666666666667</v>
      </c>
      <c r="CF45" s="7">
        <f>IFERROR(AVERAGEIF('Данные 1st'!$S$2:$S$317,$A45,'Данные 1st'!$FN$2:$FN$317),"")</f>
        <v>136.66666666666666</v>
      </c>
      <c r="CG45" s="7">
        <f>IFERROR(AVERAGEIF('Данные 1st'!$S$2:$S$317,$A45,'Данные 1st'!$FO$2:$FO$317),"")</f>
        <v/>
      </c>
      <c r="CH45" s="7">
        <f>IFERROR(AVERAGEIF('Данные 1st'!$S$2:$S$317,$A45,'Данные 1st'!$FP$2:$FP$317),"")</f>
        <v/>
      </c>
      <c r="CI45" s="7">
        <f>IFERROR(AVERAGEIF('Данные 1st'!$S$2:$S$317,$A45,'Данные 1st'!$FS$2:$FS$317),"")</f>
        <v/>
      </c>
      <c r="CJ45" s="7">
        <f>IFERROR(AVERAGEIF('Данные 1st'!$S$2:$S$317,$A45,'Данные 1st'!$FT$2:$FT$317),"")</f>
        <v/>
      </c>
      <c r="CK45" s="7">
        <f>IFERROR(AVERAGEIF('Данные 1st'!$S$2:$S$317,$A45,'Данные 1st'!$FU$2:$FU$317),"")</f>
        <v/>
      </c>
      <c r="CL45" s="7">
        <f>IFERROR(AVERAGEIF('Данные 1st'!$S$2:$S$317,$A45,'Данные 1st'!$FV$2:$FV$317),"")</f>
        <v/>
      </c>
      <c r="CM45" s="7">
        <f>IFERROR(AVERAGEIF('Данные 1st'!$S$2:$S$317,$A45,'Данные 1st'!$FW$2:$FW$317),"")</f>
        <v/>
      </c>
      <c r="CN45" s="7">
        <f>IFERROR(AVERAGEIF('Данные 1st'!$S$2:$S$317,$A45,'Данные 1st'!$FZ$2:$FZ$317),"")</f>
        <v/>
      </c>
      <c r="CO45" s="7">
        <f>IFERROR(AVERAGEIF('Данные 1st'!$S$2:$S$317,$A45,'Данные 1st'!$GA$2:$GA$317),"")</f>
        <v/>
      </c>
      <c r="CP45" s="7">
        <f>IFERROR(AVERAGEIF('Данные 1st'!$S$2:$S$317,$A45,'Данные 1st'!$GB$2:$GB$317),"")</f>
        <v/>
      </c>
      <c r="CQ45" s="7">
        <f>IFERROR(AVERAGEIF('Данные 1st'!$S$2:$S$317,$A45,'Данные 1st'!$GH$2:$GH$317),"")</f>
        <v/>
      </c>
      <c r="CR45" s="7">
        <f>IFERROR(AVERAGEIF('Данные 1st'!$S$2:$S$317,$A45,'Данные 1st'!$GI$2:$GI$317),"")</f>
        <v/>
      </c>
      <c r="CS45" s="7">
        <f>IFERROR(AVERAGEIF('Данные 1st'!$S$2:$S$317,$A45,'Данные 1st'!$GJ$2:$GJ$317),"")</f>
        <v/>
      </c>
      <c r="CT45" s="7">
        <f>IFERROR(AVERAGEIF('Данные 1st'!$S$2:$S$317,$A45,'Данные 1st'!$GS$2:$GS$317),"")</f>
        <v>0.4</v>
      </c>
      <c r="CU45" s="7">
        <f>IFERROR(AVERAGEIF('Данные 1st'!$S$2:$S$317,$A45,'Данные 1st'!$GT$2:$GT$317),"")</f>
        <v>86.66666666666667</v>
      </c>
      <c r="CV45" s="7">
        <f>IFERROR(AVERAGEIF('Данные 1st'!$S$2:$S$317,$A45,'Данные 1st'!$GU$2:$GU$317),"")</f>
        <v>270</v>
      </c>
      <c r="CW45" s="7">
        <f>IFERROR(AVERAGEIF('Данные 1st'!$S$2:$S$317,$A45,'Данные 1st'!$GV$2:$GV$317),"")</f>
        <v>30</v>
      </c>
      <c r="CX45" s="7">
        <f>IFERROR(AVERAGEIF('Данные 1st'!$S$2:$S$317,$A45,'Данные 1st'!$GW$2:$GW$317),"")</f>
        <v>270</v>
      </c>
      <c r="CY45" s="7">
        <f>IFERROR(AVERAGEIF('Данные 1st'!$S$2:$S$317,$A45,'Данные 1st'!$GZ$2:$GZ$317),"")</f>
        <v>1.6</v>
      </c>
      <c r="CZ45" s="7">
        <f>IFERROR(AVERAGEIF('Данные 1st'!$S$2:$S$317,$A45,'Данные 1st'!$HA$2:$HA$317),"")</f>
        <v>20</v>
      </c>
      <c r="DA45" s="7">
        <f>IFERROR(AVERAGEIF('Данные 1st'!$S$2:$S$317,$A45,'Данные 1st'!$HB$2:$HB$317),"")</f>
        <v>196</v>
      </c>
      <c r="DB45" s="7">
        <f>IFERROR(AVERAGEIF('Данные 1st'!$S$2:$S$317,$A45,'Данные 1st'!$HC$2:$HC$317),"")</f>
        <v>0.1</v>
      </c>
      <c r="DC45" s="7">
        <f>IFERROR(AVERAGEIF('Данные 1st'!$S$2:$S$317,$A45,'Данные 1st'!$HD$2:$HD$317),"")</f>
        <v>3</v>
      </c>
      <c r="DD45" s="7">
        <f>IFERROR(AVERAGEIF('Данные 1st'!$S$2:$S$317,$A45,'Данные 1st'!$HE$2:$HE$317),"")</f>
        <v>3</v>
      </c>
      <c r="DE45" s="7">
        <f>IFERROR(AVERAGEIF('Данные 1st'!$S$2:$S$317,$A45,'Данные 1st'!$HF$2:$HF$317),"")</f>
        <v>3</v>
      </c>
      <c r="DF45" s="7">
        <f>IFERROR(AVERAGEIF('Данные 1st'!$S$2:$S$317,$A45,'Данные 1st'!$HG$2:$HG$317),"")</f>
        <v>3</v>
      </c>
      <c r="DG45" s="7">
        <f>IFERROR(AVERAGEIF('Данные 1st'!$S$2:$S$317,$A45,'Данные 1st'!$HH$2:$HH$317),"")</f>
        <v>3</v>
      </c>
      <c r="DH45" s="7">
        <f>IFERROR(AVERAGEIF('Данные 1st'!$S$2:$S$317,$A45,'Данные 1st'!$HI$2:$HI$317),"")</f>
        <v>148.33333333333334</v>
      </c>
      <c r="DI45" s="7">
        <f>IFERROR(AVERAGEIF('Данные 1st'!$S$2:$S$317,$A45,'Данные 1st'!$HJ$2:$HJ$317),"")</f>
        <v>3</v>
      </c>
      <c r="DJ45" s="7">
        <f>IFERROR(AVERAGEIF('Данные 1st'!$S$2:$S$317,$A45,'Данные 1st'!$HK$2:$HK$317),"")</f>
        <v>55</v>
      </c>
      <c r="DK45" s="7">
        <f>IFERROR(AVERAGEIF('Данные 1st'!$S$2:$S$317,$A45,'Данные 1st'!$HL$2:$HL$317),"")</f>
        <v>2</v>
      </c>
      <c r="DL45" s="7">
        <f>IFERROR(AVERAGEIF('Данные 1st'!$S$2:$S$317,$A45,'Данные 1st'!$HM$2:$HM$317),"")</f>
        <v>0</v>
      </c>
      <c r="DM45" s="7">
        <f>IFERROR(AVERAGEIF('Данные 1st'!$S$2:$S$317,$A45,'Данные 1st'!$HN$2:$HN$317),"")</f>
        <v>2</v>
      </c>
      <c r="DN45" s="7">
        <f>IFERROR(AVERAGEIF('Данные 1st'!$S$2:$S$317,$A45,'Данные 1st'!$HO$2:$HO$317),"")</f>
        <v>78.33333333333333</v>
      </c>
      <c r="DO45" s="7">
        <f>IFERROR(AVERAGEIF('Данные 1st'!$S$2:$S$317,$A45,'Данные 1st'!$HP$2:$HP$317),"")</f>
        <v>3</v>
      </c>
      <c r="DP45" s="7">
        <f>IFERROR(AVERAGEIF('Данные 1st'!$S$2:$S$317,$A45,'Данные 1st'!$HQ$2:$HQ$317),"")</f>
        <v>0</v>
      </c>
      <c r="DQ45" s="7">
        <f>IFERROR(AVERAGEIF('Данные 1st'!$S$2:$S$317,$A45,'Данные 1st'!$HR$2:$HR$317),"")</f>
        <v>2</v>
      </c>
      <c r="DR45" s="7">
        <f>IFERROR(AVERAGEIF('Данные 1st'!$S$2:$S$317,$A45,'Данные 1st'!$HS$2:$HS$317),"")</f>
        <v>5200.666666666667</v>
      </c>
      <c r="DS45" s="7">
        <f>IFERROR(AVERAGEIF('Данные 1st'!$S$2:$S$317,$A45,'Данные 1st'!$HT$2:$HT$317),"")</f>
        <v>156.66666666666666</v>
      </c>
      <c r="DT45" s="7">
        <f>IFERROR(AVERAGEIF('Данные 1st'!$S$2:$S$317,$A45,'Данные 1st'!$HU$2:$HU$317),"")</f>
        <v>180</v>
      </c>
      <c r="DU45" s="7">
        <f>IFERROR(AVERAGEIF('Данные 1st'!$S$2:$S$317,$A45,'Данные 1st'!$HW$2:$HW$317),"")</f>
        <v>0</v>
      </c>
      <c r="DV45" s="7">
        <f>IFERROR(AVERAGEIF('Данные 1st'!$S$2:$S$317,$A45,'Данные 1st'!$HX$2:$HX$317),"")</f>
        <v>436.6666666666667</v>
      </c>
      <c r="DW45" s="7">
        <f>IFERROR(AVERAGEIF('Данные 1st'!$S$2:$S$317,$A45,'Данные 1st'!$HY$2:$HY$317),"")</f>
        <v>0.18</v>
      </c>
      <c r="DX45" s="7">
        <f>IFERROR(AVERAGEIF('Данные 1st'!$S$2:$S$317,$A45,'Данные 1st'!$IA$2:$IA$317),"")</f>
        <v>0.15</v>
      </c>
      <c r="DY45" s="7">
        <f>IFERROR(AVERAGEIF('Данные 1st'!$S$2:$S$317,$A45,'Данные 1st'!$IB$2:$IB$317),"")</f>
        <v>0</v>
      </c>
      <c r="DZ45" s="7">
        <f>IFERROR(AVERAGEIF('Данные 1st'!$S$2:$S$317,$A45,'Данные 1st'!$IC$2:$IC$317),"")</f>
        <v>180</v>
      </c>
      <c r="EA45" s="7">
        <f>IFERROR(AVERAGEIF('Данные 1st'!$S$2:$S$317,$A45,'Данные 1st'!$ID$2:$ID$317),"")</f>
        <v>110</v>
      </c>
      <c r="EB45" s="7">
        <f>IFERROR(AVERAGEIF('Данные 1st'!$S$2:$S$317,$A45,'Данные 1st'!$IE$2:$IE$317),"")</f>
        <v>225</v>
      </c>
      <c r="EC45" s="7">
        <f>IFERROR(AVERAGEIF('Данные 1st'!$S$2:$S$317,$A45,'Данные 1st'!$IF$2:$IF$317),"")</f>
        <v>0</v>
      </c>
      <c r="ED45" s="7">
        <f>IFERROR(AVERAGEIF('Данные 1st'!$S$2:$S$317,$A45,'Данные 1st'!$IP$2:$IP$317),"")</f>
        <v>18</v>
      </c>
      <c r="EE45" s="7">
        <f>IFERROR(AVERAGEIF('Данные 1st'!$S$2:$S$317,$A45,'Данные 1st'!$IV$2:$IV$317),"")</f>
        <v>1381</v>
      </c>
      <c r="EF45" s="7">
        <f>IFERROR(AVERAGEIF('Данные 1st'!$S$2:$S$317,$A45,'Данные 1st'!$IW$2:$IW$317),"")</f>
        <v>422</v>
      </c>
      <c r="EG45" s="7">
        <f>IFERROR(AVERAGEIF('Данные 1st'!$S$2:$S$317,$A45,'Данные 1st'!$IX$2:$IX$317),"")</f>
        <v/>
      </c>
      <c r="EH45" s="7">
        <f>IFERROR(AVERAGEIF('Данные 1st'!$S$2:$S$317,$A45,'Данные 1st'!$IY$2:$IY$317),"")</f>
        <v/>
      </c>
      <c r="EI45" s="7">
        <f>IFERROR(AVERAGEIF('Данные 1st'!$S$2:$S$317,$A45,'Данные 1st'!$JD$2:$JD$317),"")</f>
        <v>1393</v>
      </c>
      <c r="EJ45" s="7">
        <f>IFERROR(AVERAGEIF('Данные 1st'!$S$2:$S$317,$A45,'Данные 1st'!$JE$2:$JE$317),"")</f>
        <v>1390</v>
      </c>
      <c r="EK45" s="7">
        <f>IFERROR(AVERAGEIF('Данные 1st'!$S$2:$S$317,$A45,'Данные 1st'!$JF$2:$JF$317),"")</f>
        <v>1396</v>
      </c>
      <c r="EL45" s="7">
        <f>IFERROR(AVERAGEIF('Данные 1st'!$S$2:$S$317,$A45,'Данные 1st'!$JG$2:$JG$317),"")</f>
        <v>1378</v>
      </c>
      <c r="EM45" s="7">
        <f>IFERROR(AVERAGEIF('Данные 1st'!$S$2:$S$317,$A45,'Данные 1st'!$JH$2:$JH$317),"")</f>
        <v>0</v>
      </c>
      <c r="EN45" s="7">
        <f>IFERROR(AVERAGEIF('Данные 1st'!$S$2:$S$317,$A45,'Данные 1st'!$JJ$2:$JJ$317),"")</f>
        <v>180</v>
      </c>
      <c r="EO45" s="7">
        <f>IFERROR(AVERAGEIF('Данные 1st'!$S$2:$S$317,$A45,'Данные 1st'!$JK$2:$JK$317),"")</f>
        <v>436.6666666666667</v>
      </c>
      <c r="EP45" s="7">
        <f>IFERROR(AVERAGEIF('Данные 1st'!$S$2:$S$317,$A45,'Данные 1st'!$JL$2:$JL$317),"")</f>
        <v/>
      </c>
      <c r="EQ45" s="7">
        <f>IFERROR(AVERAGEIF('Данные 1st'!$S$2:$S$317,$A45,'Данные 1st'!$JM$2:$JM$317),"")</f>
        <v/>
      </c>
      <c r="ER45" s="7">
        <f>IFERROR(AVERAGEIF('Данные 1st'!$S$2:$S$317,$A45,'Данные 1st'!$JN$2:$JN$317),"")</f>
        <v>401.6666666666667</v>
      </c>
      <c r="ES45" s="7">
        <f>IFERROR(AVERAGEIF('Данные 1st'!$S$2:$S$317,$A45,'Данные 1st'!$JO$2:$JO$317),"")</f>
        <v>555</v>
      </c>
      <c r="ET45" s="7">
        <f>IFERROR(AVERAGEIF('Данные 1st'!$S$2:$S$317,$A45,'Данные 1st'!$JP$2:$JP$317),"")</f>
        <v>471.6666666666667</v>
      </c>
      <c r="EU45" s="7">
        <f>IFERROR(AVERAGEIF('Данные 1st'!$S$2:$S$317,$A45,'Данные 1st'!$JQ$2:$JQ$317),"")</f>
        <v>0</v>
      </c>
      <c r="EV45" s="7">
        <f>IFERROR(AVERAGEIF('Данные 1st'!$S$2:$S$317,$A45,'Данные 1st'!$JR$2:$JR$317),"")</f>
        <v>378.6666666666667</v>
      </c>
      <c r="EW45" s="7">
        <f>IFERROR(AVERAGEIF('Данные 1st'!$S$2:$S$317,$A45,'Данные 1st'!$JS$2:$JS$317),"")</f>
        <v>148.33333333333334</v>
      </c>
      <c r="EX45" s="7">
        <f>IFERROR(AVERAGEIF('Данные 1st'!$S$2:$S$317,$A45,'Данные 1st'!$JT$2:$JT$317),"")</f>
        <v/>
      </c>
      <c r="EY45" s="7">
        <f>IFERROR(AVERAGEIF('Данные 1st'!$S$2:$S$317,$A45,'Данные 1st'!$JU$2:$JU$317),"")</f>
        <v/>
      </c>
      <c r="EZ45" s="7">
        <f>IFERROR(AVERAGEIF('Данные 1st'!$S$2:$S$317,$A45,'Данные 1st'!$JV$2:$JV$317),"")</f>
        <v>8</v>
      </c>
      <c r="FA45" s="7">
        <f>IFERROR(AVERAGEIF('Данные 1st'!$S$2:$S$317,$A45,'Данные 1st'!$JW$2:$JW$317),"")</f>
        <v/>
      </c>
      <c r="FB45" s="7">
        <f>IFERROR(AVERAGEIF('Данные 1st'!$S$2:$S$317,$A45,'Данные 1st'!$JX$2:$JX$317),"")</f>
        <v>0</v>
      </c>
      <c r="FC45" s="7">
        <f>IFERROR(AVERAGEIF('Данные 1st'!$S$2:$S$317,$A45,'Данные 1st'!$JY$2:$JY$317),"")</f>
        <v/>
      </c>
      <c r="FD45" s="7">
        <f>IFERROR(AVERAGEIF('Данные 1st'!$S$2:$S$317,$A45,'Данные 1st'!$JZ$2:$JZ$317),"")</f>
        <v/>
      </c>
      <c r="FE45" s="7">
        <f>IFERROR(AVERAGEIF('Данные 1st'!$S$2:$S$317,$A45,'Данные 1st'!$KA$2:$KA$317),"")</f>
        <v>225</v>
      </c>
      <c r="FF45" s="7">
        <f>IFERROR(AVERAGEIF('Данные 1st'!$S$2:$S$317,$A45,'Данные 1st'!$KB$2:$KB$317),"")</f>
        <v>110</v>
      </c>
      <c r="FG45" s="7">
        <f>IFERROR(AVERAGEIF('Данные 1st'!$S$2:$S$317,$A45,'Данные 1st'!$KC$2:$KC$317),"")</f>
        <v>0</v>
      </c>
      <c r="FH45" s="7">
        <f>IFERROR(AVERAGEIF('Данные 1st'!$S$2:$S$317,$A45,'Данные 1st'!$KD$2:$KD$317),"")</f>
        <v>80</v>
      </c>
      <c r="FI45" s="7">
        <f>IFERROR(AVERAGEIF('Данные 1st'!$S$2:$S$317,$A45,'Данные 1st'!$KE$2:$KE$317),"")</f>
        <v/>
      </c>
      <c r="FJ45" s="7">
        <f>IFERROR(AVERAGEIF('Данные 1st'!$S$2:$S$317,$A45,'Данные 1st'!$KF$2:$KF$317),"")</f>
        <v>4</v>
      </c>
      <c r="FK45" s="7">
        <f>IFERROR(AVERAGEIF('Данные 1st'!$S$2:$S$317,$A45,'Данные 1st'!$KG$2:$KG$317),"")</f>
        <v>2</v>
      </c>
      <c r="FL45" s="7">
        <f>IFERROR(AVERAGEIF('Данные 1st'!$S$2:$S$317,$A45,'Данные 1st'!$KH$2:$KH$317),"")</f>
        <v>2</v>
      </c>
      <c r="FM45" s="7">
        <f>IFERROR(AVERAGEIF('Данные 1st'!$S$2:$S$317,$A45,'Данные 1st'!$KI$2:$KI$317),"")</f>
        <v>2</v>
      </c>
      <c r="FN45" s="7">
        <f>IFERROR(AVERAGEIF('Данные 1st'!$S$2:$S$317,$A45,'Данные 1st'!$KJ$2:$KJ$317),"")</f>
        <v>0</v>
      </c>
      <c r="FO45" s="7">
        <f>IFERROR(AVERAGEIF('Данные 1st'!$S$2:$S$317,$A45,'Данные 1st'!$KK$2:$KK$317),"")</f>
        <v>1.5</v>
      </c>
      <c r="FP45" s="7">
        <f>IFERROR(AVERAGEIF('Данные 1st'!$S$2:$S$317,$A45,'Данные 1st'!$KL$2:$KL$317),"")</f>
        <v>1.5</v>
      </c>
      <c r="FQ45" s="7">
        <f>IFERROR(AVERAGEIF('Данные 1st'!$S$2:$S$317,$A45,'Данные 1st'!$KM$2:$KM$317),"")</f>
        <v>0</v>
      </c>
      <c r="FR45" s="7">
        <f>IFERROR(AVERAGEIF('Данные 1st'!$S$2:$S$317,$A45,'Данные 1st'!$KN$2:$KN$317),"")</f>
        <v>0</v>
      </c>
      <c r="FS45" s="7">
        <f>IFERROR(AVERAGEIF('Данные 1st'!$S$2:$S$317,$A45,'Данные 1st'!$KR$2:$KR$317),"")</f>
        <v>30</v>
      </c>
      <c r="FT45" s="7">
        <f>IFERROR(AVERAGEIF('Данные 1st'!$S$2:$S$317,$A45,'Данные 1st'!$KS$2:$KS$317),"")</f>
        <v>60</v>
      </c>
      <c r="FU45" s="7">
        <f>IFERROR(AVERAGEIF('Данные 1st'!$S$2:$S$317,$A45,'Данные 1st'!$KT$2:$KT$317),"")</f>
        <v>0</v>
      </c>
      <c r="FV45" s="7">
        <f>IFERROR(AVERAGEIF('Данные 1st'!$S$2:$S$317,$A45,'Данные 1st'!$KV$2:$KV$317),"")</f>
        <v/>
      </c>
      <c r="FW45" s="7">
        <f>IFERROR(AVERAGEIF('Данные 1st'!$S$2:$S$317,$A45,'Данные 1st'!$KW$2:$KW$317),"")</f>
        <v/>
      </c>
      <c r="FX45" s="7">
        <f>IFERROR(AVERAGEIF('Данные 1st'!$S$2:$S$317,$A45,'Данные 1st'!$KX$2:$KX$317),"")</f>
        <v/>
      </c>
      <c r="FY45" s="7">
        <f>IFERROR(AVERAGEIF('Данные 1st'!$S$2:$S$317,$A45,'Данные 1st'!$KY$2:$KY$317),"")</f>
        <v/>
      </c>
      <c r="FZ45" s="7">
        <f>IFERROR(AVERAGEIF('Данные 1st'!$S$2:$S$317,$A45,'Данные 1st'!$KZ$2:$KZ$317),"")</f>
        <v/>
      </c>
      <c r="GA45" s="7">
        <f>IFERROR(AVERAGEIF('Данные 1st'!$S$2:$S$317,$A45,'Данные 1st'!$LA$2:$LA$317),"")</f>
        <v/>
      </c>
      <c r="GB45" s="7">
        <f>IFERROR(AVERAGEIF('Данные 1st'!$S$2:$S$317,$A45,'Данные 1st'!$LB$2:$LB$317),"")</f>
        <v/>
      </c>
      <c r="GC45" s="7">
        <f>IFERROR(AVERAGEIF('Данные 1st'!$S$2:$S$317,$A45,'Данные 1st'!$LC$2:$LC$317),"")</f>
        <v/>
      </c>
      <c r="GD45" s="7">
        <f>IFERROR(AVERAGEIF('Данные 1st'!$S$2:$S$317,$A45,'Данные 1st'!$LD$2:$LD$317),"")</f>
        <v/>
      </c>
      <c r="GE45" s="7">
        <f>IFERROR(AVERAGEIF('Данные 1st'!$S$2:$S$317,$A45,'Данные 1st'!$LE$2:$LE$317),"")</f>
        <v/>
      </c>
      <c r="GF45" s="7">
        <f>IFERROR(AVERAGEIF('Данные 1st'!$S$2:$S$317,$A45,'Данные 1st'!$LF$2:$LF$317),"")</f>
        <v/>
      </c>
      <c r="GG45" s="7">
        <f>IFERROR(AVERAGEIF('Данные 1st'!$S$2:$S$317,$A45,'Данные 1st'!$LG$2:$LG$317),"")</f>
        <v/>
      </c>
      <c r="GH45" s="7">
        <f>IFERROR(AVERAGEIF('Данные 1st'!$S$2:$S$317,$A45,'Данные 1st'!$LH$2:$LH$317),"")</f>
        <v/>
      </c>
      <c r="GI45" s="7">
        <f>IFERROR(AVERAGEIF('Данные 1st'!$S$2:$S$317,$A45,'Данные 1st'!$LI$2:$LI$317),"")</f>
        <v/>
      </c>
      <c r="GJ45" s="7">
        <f>IFERROR(AVERAGEIF('Данные 1st'!$S$2:$S$317,$A45,'Данные 1st'!$LJ$2:$LJ$317),"")</f>
        <v/>
      </c>
      <c r="GK45" s="7">
        <f>IFERROR(AVERAGEIF('Данные 1st'!$S$2:$S$317,$A45,'Данные 1st'!$LK$2:$LK$317),"")</f>
        <v>480</v>
      </c>
      <c r="GL45" s="7">
        <f>IFERROR(AVERAGEIF('Данные 1st'!$S$2:$S$317,$A45,'Данные 1st'!$LV$2:$LV$317),"")</f>
        <v/>
      </c>
      <c r="GM45" s="7">
        <f>IFERROR(AVERAGEIF('Данные 1st'!$S$2:$S$317,$A45,'Данные 1st'!$LW$2:$LW$317),"")</f>
        <v/>
      </c>
      <c r="GN45" s="7">
        <f>IFERROR(AVERAGEIF('Данные 1st'!$S$2:$S$317,$A45,'Данные 1st'!$LX$2:$LX$317),"")</f>
        <v/>
      </c>
      <c r="GO45" s="7">
        <f>IFERROR(AVERAGEIF('Данные 1st'!$S$2:$S$317,$A45,'Данные 1st'!$LY$2:$LY$317),"")</f>
        <v/>
      </c>
      <c r="GP45" s="7">
        <f>IFERROR(AVERAGEIF('Данные 1st'!$S$2:$S$317,$A45,'Данные 1st'!$LZ$2:$LZ$317),"")</f>
        <v/>
      </c>
      <c r="GQ45" s="7">
        <f>IFERROR(AVERAGEIF('Данные 1st'!$S$2:$S$317,$A45,'Данные 1st'!$PG$2:$PG$317),"")</f>
        <v>1</v>
      </c>
      <c r="GR45" s="7">
        <f>IFERROR(AVERAGEIF('Данные 1st'!$S$2:$S$317,$A45,'Данные 1st'!$PX$2:$PX$317),"")</f>
        <v>56</v>
      </c>
      <c r="GS45" s="7">
        <f>IFERROR(AVERAGEIF('Данные 1st'!$S$2:$S$317,$A45,'Данные 1st'!$PY$2:$PY$317),"")</f>
        <v>56</v>
      </c>
      <c r="GT45" s="7">
        <f>IFERROR(AVERAGEIF('Данные 1st'!$S$2:$S$317,$A45,'Данные 1st'!$QA$2:$QA$317),"")</f>
        <v>1.3333333333333333</v>
      </c>
      <c r="GU45" s="7">
        <f>IFERROR(AVERAGEIF('Данные 1st'!$S$2:$S$317,$A45,'Данные 1st'!$QB$2:$QB$317),"")</f>
        <v>1378</v>
      </c>
      <c r="GV45" s="7">
        <f>IFERROR(AVERAGEIF('Данные 1st'!$S$2:$S$317,$A45,'Данные 1st'!$QC$2:$QC$317),"")</f>
        <v>69</v>
      </c>
      <c r="GW45" s="7">
        <f>IFERROR(AVERAGEIF('Данные 1st'!$S$2:$S$317,$A45,'Данные 1st'!$QD$2:$QD$317),"")</f>
        <v>69</v>
      </c>
      <c r="GX45" s="7">
        <f>IFERROR(AVERAGEIF('Данные 1st'!$S$2:$S$317,$A45,'Данные 1st'!$QF$2:$QF$317),"")</f>
        <v>1</v>
      </c>
      <c r="GY45" s="7">
        <f>IFERROR(AVERAGEIF('Данные 1st'!$S$2:$S$317,$A45,'Данные 1st'!$QG$2:$QG$317),"")</f>
        <v>1393</v>
      </c>
      <c r="GZ45" s="7">
        <f>IFERROR(AVERAGEIF('Данные 1st'!$S$2:$S$317,$A45,'Данные 1st'!$QH$2:$QH$317),"")</f>
        <v>66</v>
      </c>
      <c r="HA45" s="7">
        <f>IFERROR(AVERAGEIF('Данные 1st'!$S$2:$S$317,$A45,'Данные 1st'!$QI$2:$QI$317),"")</f>
        <v>66</v>
      </c>
      <c r="HB45" s="7">
        <f>IFERROR(AVERAGEIF('Данные 1st'!$S$2:$S$317,$A45,'Данные 1st'!$QK$2:$QK$317),"")</f>
        <v/>
      </c>
      <c r="HC45" s="7">
        <f>IFERROR(AVERAGEIF('Данные 1st'!$S$2:$S$317,$A45,'Данные 1st'!$QL$2:$QL$317),"")</f>
        <v>0</v>
      </c>
      <c r="HD45" s="7">
        <f>IFERROR(AVERAGEIF('Данные 1st'!$S$2:$S$317,$A45,'Данные 1st'!$QM$2:$QM$317),"")</f>
        <v>62</v>
      </c>
      <c r="HE45" s="7">
        <f>IFERROR(AVERAGEIF('Данные 1st'!$S$2:$S$317,$A45,'Данные 1st'!$QN$2:$QN$317),"")</f>
        <v>62</v>
      </c>
      <c r="HF45" s="7">
        <f>IFERROR(AVERAGEIF('Данные 1st'!$S$2:$S$317,$A45,'Данные 1st'!$QP$2:$QP$317),"")</f>
        <v>1</v>
      </c>
      <c r="HG45" s="7">
        <f>IFERROR(AVERAGEIF('Данные 1st'!$S$2:$S$317,$A45,'Данные 1st'!$QQ$2:$QQ$317),"")</f>
        <v>1390</v>
      </c>
      <c r="HH45" s="7">
        <f>IFERROR(AVERAGEIF('Данные 1st'!$S$2:$S$317,$A45,'Данные 1st'!$QR$2:$QR$317),"")</f>
        <v>62.333333333333336</v>
      </c>
      <c r="HI45" s="7">
        <f>IFERROR(AVERAGEIF('Данные 1st'!$S$2:$S$317,$A45,'Данные 1st'!$QS$2:$QS$317),"")</f>
        <v>62.333333333333336</v>
      </c>
      <c r="HJ45" s="7">
        <f>IFERROR(AVERAGEIF('Данные 1st'!$S$2:$S$317,$A45,'Данные 1st'!$QU$2:$QU$317),"")</f>
        <v>1</v>
      </c>
      <c r="HK45" s="7">
        <f>IFERROR(AVERAGEIF('Данные 1st'!$S$2:$S$317,$A45,'Данные 1st'!$QV$2:$QV$317),"")</f>
        <v>1396</v>
      </c>
      <c r="HL45" s="7">
        <f>IFERROR(AVERAGEIF('Данные 1st'!$S$2:$S$317,$A45,'Данные 1st'!$QW$2:$QW$317),"")</f>
        <v>82</v>
      </c>
      <c r="HM45" s="7">
        <f>IFERROR(AVERAGEIF('Данные 1st'!$S$2:$S$317,$A45,'Данные 1st'!$QX$2:$QX$317),"")</f>
        <v>86.33333333333333</v>
      </c>
      <c r="HN45" s="7">
        <f>IFERROR(AVERAGEIF('Данные 1st'!$S$2:$S$317,$A45,'Данные 1st'!$QZ$2:$QZ$317),"")</f>
        <v>1.3333333333333333</v>
      </c>
      <c r="HO45" s="7">
        <f>IFERROR(AVERAGEIF('Данные 1st'!$S$2:$S$317,$A45,'Данные 1st'!$RA$2:$RA$317),"")</f>
        <v>66</v>
      </c>
      <c r="HP45" s="7">
        <f>IFERROR(AVERAGEIF('Данные 1st'!$S$2:$S$317,$A45,'Данные 1st'!$RB$2:$RB$317),"")</f>
        <v>66</v>
      </c>
      <c r="HQ45" s="7">
        <f>IFERROR(AVERAGEIF('Данные 1st'!$S$2:$S$317,$A45,'Данные 1st'!$RD$2:$RD$317),"")</f>
        <v/>
      </c>
      <c r="HR45" s="7">
        <f>IFERROR(AVERAGEIF('Данные 1st'!$S$2:$S$317,$A45,'Данные 1st'!$RE$2:$RE$317),"")</f>
        <v>0</v>
      </c>
      <c r="HS45" s="7">
        <f>IFERROR(AVERAGEIF('Данные 1st'!$S$2:$S$317,$A45,'Данные 1st'!$RF$2:$RF$317),"")</f>
        <v>1</v>
      </c>
      <c r="HT45" s="7">
        <f>IFERROR(AVERAGEIF('Данные 1st'!$S$2:$S$317,$A45,'Данные 1st'!$RG$2:$RG$317),"")</f>
        <v/>
      </c>
      <c r="HU45" s="7">
        <f>IFERROR(AVERAGEIF('Данные 1st'!$S$2:$S$317,$A45,'Данные 1st'!$RH$2:$RH$317),"")</f>
        <v>1</v>
      </c>
      <c r="HV45" s="7">
        <f>IFERROR(AVERAGEIF('Данные 1st'!$S$2:$S$317,$A45,'Данные 1st'!$RI$2:$RI$317),"")</f>
        <v>1</v>
      </c>
      <c r="HW45" s="7">
        <f>IFERROR(AVERAGEIF('Данные 1st'!$S$2:$S$317,$A45,'Данные 1st'!$RJ$2:$RJ$317),"")</f>
        <v>1</v>
      </c>
      <c r="HX45" s="7">
        <f>IFERROR(AVERAGEIF('Данные 1st'!$S$2:$S$317,$A45,'Данные 1st'!$RK$2:$RK$317),"")</f>
        <v/>
      </c>
      <c r="HY45" s="7">
        <f>IFERROR(AVERAGEIF('Данные 1st'!$S$2:$S$317,$A45,'Данные 1st'!$RL$2:$RL$317),"")</f>
        <v>3.3333333333333335</v>
      </c>
      <c r="HZ45" s="7">
        <f>IFERROR(AVERAGEIF('Данные 1st'!$S$2:$S$317,$A45,'Данные 1st'!$RM$2:$RM$317),"")</f>
        <v>3.3333333333333335</v>
      </c>
      <c r="IA45" s="7">
        <f>IFERROR(AVERAGEIF('Данные 1st'!$S$2:$S$317,$A45,'Данные 1st'!$RN$2:$RN$317),"")</f>
        <v/>
      </c>
      <c r="IB45" s="7">
        <f>IFERROR(AVERAGEIF('Данные 1st'!$S$2:$S$317,$A45,'Данные 1st'!$RO$2:$RO$317),"")</f>
        <v>568.3333333333334</v>
      </c>
      <c r="IC45" s="7">
        <f>IFERROR(AVERAGEIF('Данные 1st'!$S$2:$S$317,$A45,'Данные 1st'!$RP$2:$RP$317),"")</f>
        <v/>
      </c>
      <c r="ID45" s="7">
        <f>IFERROR(AVERAGEIF('Данные 1st'!$S$2:$S$317,$A45,'Данные 1st'!$RQ$2:$RQ$317),"")</f>
        <v>636.6666666666666</v>
      </c>
      <c r="IE45" s="7">
        <f>IFERROR(AVERAGEIF('Данные 1st'!$S$2:$S$317,$A45,'Данные 1st'!$RR$2:$RR$317),"")</f>
        <v>573</v>
      </c>
      <c r="IF45" s="7">
        <f>IFERROR(AVERAGEIF('Данные 1st'!$S$2:$S$317,$A45,'Данные 1st'!$RS$2:$RS$317),"")</f>
        <v/>
      </c>
      <c r="IG45" s="7">
        <f>IFERROR(AVERAGEIF('Данные 1st'!$S$2:$S$317,$A45,'Данные 1st'!$RT$2:$RT$317),"")</f>
        <v>276</v>
      </c>
      <c r="IH45" s="7">
        <f>IFERROR(AVERAGEIF('Данные 1st'!$S$2:$S$317,$A45,'Данные 1st'!$RU$2:$RU$317),"")</f>
        <v>209.33333333333334</v>
      </c>
      <c r="II45" s="7">
        <f>IFERROR(AVERAGEIF('Данные 1st'!$S$2:$S$317,$A45,'Данные 1st'!$RX$2:$RX$317),"")</f>
        <v>15</v>
      </c>
      <c r="IJ45" s="7">
        <f>IFERROR(AVERAGEIF('Данные 1st'!$S$2:$S$317,$A45,'Данные 1st'!$RY$2:$RY$317),"")</f>
        <v>4</v>
      </c>
      <c r="IK45" s="7">
        <f>IFERROR(AVERAGEIF('Данные 1st'!$S$2:$S$317,$A45,'Данные 1st'!$SA$2:$SA$317),"")</f>
        <v>15</v>
      </c>
      <c r="IL45" s="7">
        <f>IFERROR(AVERAGEIF('Данные 1st'!$S$2:$S$317,$A45,'Данные 1st'!$SD$2:$SD$317),"")</f>
        <v>1</v>
      </c>
      <c r="IM45" s="7">
        <f>IFERROR(AVERAGEIF('Данные 1st'!$S$2:$S$317,$A45,'Данные 1st'!$SG$2:$SG$317),"")</f>
        <v>1</v>
      </c>
      <c r="IN45" s="7">
        <f>IFERROR(AVERAGEIF('Данные 1st'!$S$2:$S$317,$A45,'Данные 1st'!$SH$2:$SH$317),"")</f>
        <v>0.995</v>
      </c>
      <c r="IO45" s="7">
        <f>IFERROR(AVERAGEIF('Данные 1st'!$S$2:$S$317,$A45,'Данные 1st'!$SI$2:$SI$317),"")</f>
        <v>0.995</v>
      </c>
      <c r="IP45" s="7">
        <f>IFERROR(AVERAGEIF('Данные 1st'!$S$2:$S$317,$A45,'Данные 1st'!$SJ$2:$SJ$317),"")</f>
        <v>0.995</v>
      </c>
      <c r="IQ45" s="7">
        <f>IFERROR(AVERAGEIF('Данные 1st'!$S$2:$S$317,$A45,'Данные 1st'!$SK$2:$SK$317),"")</f>
        <v>15</v>
      </c>
      <c r="IR45" s="7">
        <f>IFERROR(AVERAGEIF('Данные 1st'!$S$2:$S$317,$A45,'Данные 1st'!$SL$2:$SL$317),"")</f>
        <v>0</v>
      </c>
      <c r="IS45" s="7">
        <f>IFERROR(AVERAGEIF('Данные 1st'!$S$2:$S$317,$A45,'Данные 1st'!$SM$2:$SM$317),"")</f>
        <v>0</v>
      </c>
      <c r="IT45" s="7">
        <f>IFERROR(AVERAGEIF('Данные 1st'!$S$2:$S$317,$A45,'Данные 1st'!$SN$2:$SN$317),"")</f>
        <v>0</v>
      </c>
      <c r="IU45" s="7">
        <f>IFERROR(AVERAGEIF('Данные 1st'!$S$2:$S$317,$A45,'Данные 1st'!$SO$2:$SO$317),"")</f>
        <v>0</v>
      </c>
      <c r="IV45" s="7">
        <f>IFERROR(AVERAGEIF('Данные 1st'!$S$2:$S$317,$A45,'Данные 1st'!$SP$2:$SP$317),"")</f>
        <v>0</v>
      </c>
      <c r="IW45" s="7">
        <f>IFERROR(AVERAGEIF('Данные 1st'!$S$2:$S$317,$A45,'Данные 1st'!$SQ$2:$SQ$317),"")</f>
        <v>0</v>
      </c>
      <c r="IX45" s="7">
        <f>IFERROR(AVERAGEIF('Данные 1st'!$S$2:$S$317,$A45,'Данные 1st'!$SR$2:$SR$317),"")</f>
        <v>0</v>
      </c>
      <c r="IY45" s="7">
        <f>IFERROR(AVERAGEIF('Данные 1st'!$S$2:$S$317,$A45,'Данные 1st'!$SS$2:$SS$317),"")</f>
        <v>0</v>
      </c>
      <c r="IZ45" s="7">
        <f>IFERROR(AVERAGEIF('Данные 1st'!$S$2:$S$317,$A45,'Данные 1st'!$ST$2:$ST$317),"")</f>
        <v>0</v>
      </c>
      <c r="JA45" s="7">
        <f>IFERROR(AVERAGEIF('Данные 1st'!$S$2:$S$317,$A45,'Данные 1st'!$SU$2:$SU$317),"")</f>
        <v>0</v>
      </c>
      <c r="JB45" s="7">
        <f>IFERROR(AVERAGEIF('Данные 1st'!$S$2:$S$317,$A45,'Данные 1st'!$SV$2:$SV$317),"")</f>
        <v>0</v>
      </c>
      <c r="JC45" s="7">
        <f>IFERROR(AVERAGEIF('Данные 1st'!$S$2:$S$317,$A45,'Данные 1st'!$SW$2:$SW$317),"")</f>
        <v>0</v>
      </c>
      <c r="JD45" s="7">
        <f>IFERROR(AVERAGEIF('Данные 1st'!$S$2:$S$317,$A45,'Данные 1st'!$SX$2:$SX$317),"")</f>
        <v>0</v>
      </c>
      <c r="JE45" s="7">
        <f>IFERROR(AVERAGEIF('Данные 1st'!$S$2:$S$317,$A45,'Данные 1st'!$SY$2:$SY$317),"")</f>
        <v/>
      </c>
      <c r="JF45" s="7">
        <f>IFERROR(AVERAGEIF('Данные 1st'!$S$2:$S$317,$A45,'Данные 1st'!$SZ$2:$SZ$317),"")</f>
        <v>1</v>
      </c>
      <c r="JG45" s="7">
        <f>IFERROR(AVERAGEIF('Данные 1st'!$S$2:$S$317,$A45,'Данные 1st'!$TA$2:$TA$317),"")</f>
        <v/>
      </c>
      <c r="JH45" s="7">
        <f>IFERROR(AVERAGEIF('Данные 1st'!$S$2:$S$317,$A45,'Данные 1st'!$TB$2:$TB$317),"")</f>
        <v>0</v>
      </c>
      <c r="JI45" s="7">
        <f>IFERROR(AVERAGEIF('Данные 1st'!$S$2:$S$317,$A45,'Данные 1st'!$TC$2:$TC$317),"")</f>
        <v>0</v>
      </c>
      <c r="JJ45" s="7">
        <f>IFERROR(AVERAGEIF('Данные 1st'!$S$2:$S$317,$A45,'Данные 1st'!$TD$2:$TD$317),"")</f>
        <v>7.5</v>
      </c>
      <c r="JK45" s="7">
        <f>IFERROR(AVERAGEIF('Данные 1st'!$S$2:$S$317,$A45,'Данные 1st'!$TN$2:$TN$317),"")</f>
        <v>0</v>
      </c>
      <c r="JL45">
        <f>COUNTIF('Данные 2st'!$Q$2:$Q$317,$A45)</f>
        <v>3</v>
      </c>
      <c r="JM45" s="6" t="s">
        <v>5105</v>
      </c>
      <c r="JN45" s="6" t="s">
        <v>513</v>
      </c>
      <c r="JO45" s="6" t="s">
        <v>5125</v>
      </c>
      <c r="JP45" s="6" t="s">
        <v>5499</v>
      </c>
      <c r="JQ45" s="7">
        <f>IFERROR(AVERAGEIF('Данные 2st'!$Q$2:$Q$317,$A45,'Данные 2st'!$AC$2:$AC$317),"")</f>
        <v>9.333333333333334</v>
      </c>
      <c r="JR45" s="7">
        <f>IFERROR(AVERAGEIF('Данные 2st'!$Q$2:$Q$317,$A45,'Данные 2st'!$AF$2:$AF$317),"")</f>
        <v>5200.666666666667</v>
      </c>
      <c r="JS45" s="7">
        <f>IFERROR(AVERAGEIF('Данные 2st'!$Q$2:$Q$317,$A45,'Данные 2st'!$AW$2:$AW$317),"")</f>
        <v>6.4</v>
      </c>
      <c r="JT45" s="7">
        <f>IFERROR(AVERAGEIF('Данные 2st'!$Q$2:$Q$317,$A45,'Данные 2st'!$AX$2:$AX$317),"")</f>
        <v>-6</v>
      </c>
      <c r="JU45" s="7">
        <f>IFERROR(AVERAGEIF('Данные 2st'!$Q$2:$Q$317,$A45,'Данные 2st'!$AY$2:$AY$317),"")</f>
        <v>109.5</v>
      </c>
      <c r="JV45" s="7">
        <f>IFERROR(AVERAGEIF('Данные 2st'!$Q$2:$Q$317,$A45,'Данные 2st'!$AZ$2:$AZ$317),"")</f>
        <v>78.66666666666667</v>
      </c>
      <c r="JW45" s="7">
        <f>IFERROR(AVERAGEIF('Данные 2st'!$Q$2:$Q$317,$A45,'Данные 2st'!$BA$2:$BA$317),"")</f>
        <v/>
      </c>
      <c r="JX45" s="7">
        <f>IFERROR(AVERAGEIF('Данные 2st'!$Q$2:$Q$317,$A45,'Данные 2st'!$BB$2:$BB$317),"")</f>
        <v/>
      </c>
      <c r="JY45" s="7">
        <f>IFERROR(AVERAGEIF('Данные 2st'!$Q$2:$Q$317,$A45,'Данные 2st'!$BC$2:$BC$317),"")</f>
        <v/>
      </c>
      <c r="JZ45" s="7">
        <f>IFERROR(AVERAGEIF('Данные 2st'!$Q$2:$Q$317,$A45,'Данные 2st'!$BH$2:$BH$317),"")</f>
        <v>109.5</v>
      </c>
      <c r="KA45" s="7">
        <f>IFERROR(AVERAGEIF('Данные 2st'!$Q$2:$Q$317,$A45,'Данные 2st'!$BI$2:$BI$317),"")</f>
        <v>30.833333333333332</v>
      </c>
      <c r="KB45" s="7">
        <f>IFERROR(AVERAGEIF('Данные 2st'!$Q$2:$Q$317,$A45,'Данные 2st'!$BJ$2:$BJ$317),"")</f>
        <v>78.66666666666667</v>
      </c>
      <c r="KC45" s="7">
        <f>IFERROR(AVERAGEIF('Данные 2st'!$Q$2:$Q$317,$A45,'Данные 2st'!$BK$2:$BK$317),"")</f>
        <v>2.8333333333333335</v>
      </c>
      <c r="KD45" s="7">
        <f>IFERROR(AVERAGEIF('Данные 2st'!$Q$2:$Q$317,$A45,'Данные 2st'!$BL$2:$BL$317),"")</f>
        <v>219</v>
      </c>
      <c r="KE45" s="7">
        <f>IFERROR(AVERAGEIF('Данные 2st'!$Q$2:$Q$317,$A45,'Данные 2st'!$BM$2:$BM$317),"")</f>
        <v>-6</v>
      </c>
      <c r="KF45" s="7">
        <f>IFERROR(AVERAGEIF('Данные 2st'!$Q$2:$Q$317,$A45,'Данные 2st'!$BN$2:$BN$317),"")</f>
        <v>0</v>
      </c>
      <c r="KG45" s="7">
        <f>IFERROR(AVERAGEIF('Данные 2st'!$Q$2:$Q$317,$A45,'Данные 2st'!$BO$2:$BO$317),"")</f>
        <v/>
      </c>
      <c r="KH45" s="7">
        <f>IFERROR(AVERAGEIF('Данные 2st'!$Q$2:$Q$317,$A45,'Данные 2st'!$BP$2:$BP$317),"")</f>
        <v>0</v>
      </c>
      <c r="KI45" s="7">
        <f>IFERROR(AVERAGEIF('Данные 2st'!$Q$2:$Q$317,$A45,'Данные 2st'!$BR$2:$BR$317),"")</f>
        <v>213.33333333333334</v>
      </c>
      <c r="KJ45" s="7">
        <f>IFERROR(AVERAGEIF('Данные 2st'!$Q$2:$Q$317,$A45,'Данные 2st'!$BS$2:$BS$317),"")</f>
        <v>203.33333333333334</v>
      </c>
      <c r="KK45" s="7">
        <f>IFERROR(AVERAGEIF('Данные 2st'!$Q$2:$Q$317,$A45,'Данные 2st'!$BT$2:$BT$317),"")</f>
        <v>2021.6666666666667</v>
      </c>
      <c r="KL45" s="7">
        <f>IFERROR(AVERAGEIF('Данные 2st'!$Q$2:$Q$317,$A45,'Данные 2st'!$CV$2:$CV$317),"")</f>
        <v>134.66666666666666</v>
      </c>
      <c r="KM45" s="7">
        <f>IFERROR(AVERAGEIF('Данные 2st'!$Q$2:$Q$317,$A45,'Данные 2st'!$CW$2:$CW$317),"")</f>
        <v>3</v>
      </c>
      <c r="KN45" s="7">
        <f>IFERROR(AVERAGEIF('Данные 2st'!$Q$2:$Q$317,$A45,'Данные 2st'!$CX$2:$CX$317),"")</f>
        <v>99.33333333333333</v>
      </c>
      <c r="KO45" s="7">
        <f>IFERROR(AVERAGEIF('Данные 2st'!$Q$2:$Q$317,$A45,'Данные 2st'!$CY$2:$CY$317),"")</f>
        <v>5</v>
      </c>
      <c r="KP45" s="7">
        <f>IFERROR(AVERAGEIF('Данные 2st'!$Q$2:$Q$317,$A45,'Данные 2st'!$CZ$2:$CZ$317),"")</f>
        <v>148.66666666666666</v>
      </c>
      <c r="KQ45" s="7">
        <f>IFERROR(AVERAGEIF('Данные 2st'!$Q$2:$Q$317,$A45,'Данные 2st'!$DA$2:$DA$317),"")</f>
        <v>5</v>
      </c>
      <c r="KR45" s="7">
        <f>IFERROR(AVERAGEIF('Данные 2st'!$Q$2:$Q$317,$A45,'Данные 2st'!$DB$2:$DB$317),"")</f>
        <v>12326.666666666666</v>
      </c>
      <c r="KS45" s="7">
        <f>IFERROR(AVERAGEIF('Данные 2st'!$Q$2:$Q$317,$A45,'Данные 2st'!$DC$2:$DC$317),"")</f>
        <v>353.3333333333333</v>
      </c>
      <c r="KT45" s="7">
        <f>IFERROR(AVERAGEIF('Данные 2st'!$Q$2:$Q$317,$A45,'Данные 2st'!$DD$2:$DD$317),"")</f>
        <v>336.3333333333333</v>
      </c>
      <c r="KU45" s="7">
        <f>IFERROR(AVERAGEIF('Данные 2st'!$Q$2:$Q$317,$A45,'Данные 2st'!$DE$2:$DE$317),"")</f>
        <v>2141</v>
      </c>
      <c r="KV45" s="7">
        <f>IFERROR(AVERAGEIF('Данные 2st'!$Q$2:$Q$317,$A45,'Данные 2st'!$DF$2:$DF$317),"")</f>
        <v>2141</v>
      </c>
      <c r="KW45" s="7">
        <f>IFERROR(AVERAGEIF('Данные 2st'!$Q$2:$Q$317,$A45,'Данные 2st'!$DG$2:$DG$317),"")</f>
        <v>2151</v>
      </c>
      <c r="KX45" s="7">
        <f>IFERROR(AVERAGEIF('Данные 2st'!$Q$2:$Q$317,$A45,'Данные 2st'!$DH$2:$DH$317),"")</f>
        <v/>
      </c>
      <c r="KY45" s="7">
        <f>IFERROR(AVERAGEIF('Данные 2st'!$Q$2:$Q$317,$A45,'Данные 2st'!$DI$2:$DI$317),"")</f>
        <v/>
      </c>
      <c r="KZ45" s="7">
        <f>IFERROR(AVERAGEIF('Данные 2st'!$Q$2:$Q$317,$A45,'Данные 2st'!$DK$2:$DK$317),"")</f>
        <v>213.33333333333334</v>
      </c>
      <c r="LA45" s="7">
        <f>IFERROR(AVERAGEIF('Данные 2st'!$Q$2:$Q$317,$A45,'Данные 2st'!$DM$2:$DM$317),"")</f>
        <v>64.33333333333333</v>
      </c>
      <c r="LB45" s="7">
        <f>IFERROR(AVERAGEIF('Данные 2st'!$Q$2:$Q$317,$A45,'Данные 2st'!$DN$2:$DN$317),"")</f>
        <v>1.2</v>
      </c>
      <c r="LC45" s="7">
        <f>IFERROR(AVERAGEIF('Данные 2st'!$Q$2:$Q$317,$A45,'Данные 2st'!$DO$2:$DO$317),"")</f>
        <v>1</v>
      </c>
      <c r="LD45" s="7">
        <f>IFERROR(AVERAGEIF('Данные 2st'!$Q$2:$Q$317,$A45,'Данные 2st'!$DP$2:$DP$317),"")</f>
        <v>2025.6666666666667</v>
      </c>
      <c r="LE45" s="7">
        <f>IFERROR(AVERAGEIF('Данные 2st'!$Q$2:$Q$317,$A45,'Данные 2st'!$DQ$2:$DQ$317),"")</f>
        <v>992.3333333333334</v>
      </c>
      <c r="LF45" s="7">
        <f>IFERROR(AVERAGEIF('Данные 2st'!$Q$2:$Q$317,$A45,'Данные 2st'!$DS$2:$DS$317),"")</f>
        <v>203.33333333333334</v>
      </c>
      <c r="LG45" s="7">
        <f>IFERROR(AVERAGEIF('Данные 2st'!$Q$2:$Q$317,$A45,'Данные 2st'!$DU$2:$DU$317),"")</f>
        <v>64.33333333333333</v>
      </c>
      <c r="LH45" s="7">
        <f>IFERROR(AVERAGEIF('Данные 2st'!$Q$2:$Q$317,$A45,'Данные 2st'!$DV$2:$DV$317),"")</f>
        <v>1.2</v>
      </c>
      <c r="LI45" s="7">
        <f>IFERROR(AVERAGEIF('Данные 2st'!$Q$2:$Q$317,$A45,'Данные 2st'!$DW$2:$DW$317),"")</f>
        <v>1</v>
      </c>
      <c r="LJ45" s="7">
        <f>IFERROR(AVERAGEIF('Данные 2st'!$Q$2:$Q$317,$A45,'Данные 2st'!$DX$2:$DX$317),"")</f>
        <v>2037.6666666666667</v>
      </c>
      <c r="LK45" s="7">
        <f>IFERROR(AVERAGEIF('Данные 2st'!$Q$2:$Q$317,$A45,'Данные 2st'!$DY$2:$DY$317),"")</f>
        <v>951.3333333333334</v>
      </c>
      <c r="LL45" s="7">
        <f>IFERROR(AVERAGEIF('Данные 2st'!$Q$2:$Q$317,$A45,'Данные 2st'!$EA$2:$EA$317),"")</f>
        <v>20</v>
      </c>
      <c r="LM45" s="7">
        <f>IFERROR(AVERAGEIF('Данные 2st'!$Q$2:$Q$317,$A45,'Данные 2st'!$EC$2:$EC$317),"")</f>
        <v>0.8</v>
      </c>
      <c r="LN45" s="7">
        <f>IFERROR(AVERAGEIF('Данные 2st'!$Q$2:$Q$317,$A45,'Данные 2st'!$ED$2:$ED$317),"")</f>
        <v>2025.6666666666667</v>
      </c>
      <c r="LO45" s="7">
        <f>IFERROR(AVERAGEIF('Данные 2st'!$Q$2:$Q$317,$A45,'Данные 2st'!$EE$2:$EE$317),"")</f>
        <v>71</v>
      </c>
      <c r="LP45" s="7">
        <f>IFERROR(AVERAGEIF('Данные 2st'!$Q$2:$Q$317,$A45,'Данные 2st'!$EG$2:$EG$317),"")</f>
        <v>0</v>
      </c>
      <c r="LQ45" s="7">
        <f>IFERROR(AVERAGEIF('Данные 2st'!$Q$2:$Q$317,$A45,'Данные 2st'!$EI$2:$EI$317),"")</f>
        <v>0</v>
      </c>
      <c r="LR45" s="7">
        <f>IFERROR(AVERAGEIF('Данные 2st'!$Q$2:$Q$317,$A45,'Данные 2st'!$EJ$2:$EJ$317),"")</f>
        <v/>
      </c>
      <c r="LS45" s="7">
        <f>IFERROR(AVERAGEIF('Данные 2st'!$Q$2:$Q$317,$A45,'Данные 2st'!$EK$2:$EK$317),"")</f>
        <v/>
      </c>
      <c r="LT45" s="7">
        <f>IFERROR(AVERAGEIF('Данные 2st'!$Q$2:$Q$317,$A45,'Данные 2st'!$EM$2:$EM$317),"")</f>
        <v>12</v>
      </c>
      <c r="LU45" s="7">
        <f>IFERROR(AVERAGEIF('Данные 2st'!$Q$2:$Q$317,$A45,'Данные 2st'!$EN$2:$EN$317),"")</f>
        <v>0.5</v>
      </c>
      <c r="LV45" s="7">
        <f>IFERROR(AVERAGEIF('Данные 2st'!$Q$2:$Q$317,$A45,'Данные 2st'!$EO$2:$EO$317),"")</f>
        <v>0.96</v>
      </c>
      <c r="LW45" s="7">
        <f>IFERROR(AVERAGEIF('Данные 2st'!$Q$2:$Q$317,$A45,'Данные 2st'!$EP$2:$EP$317),"")</f>
        <v>2036.7466666666667</v>
      </c>
      <c r="LX45" s="7">
        <f>IFERROR(AVERAGEIF('Данные 2st'!$Q$2:$Q$317,$A45,'Данные 2st'!$EQ$2:$EQ$317),"")</f>
        <v>36757.043333333335</v>
      </c>
      <c r="LY45" s="7">
        <f>IFERROR(AVERAGEIF('Данные 2st'!$Q$2:$Q$317,$A45,'Данные 2st'!$ER$2:$ER$317),"")</f>
        <v>9842.073333333334</v>
      </c>
      <c r="LZ45" s="7">
        <f>IFERROR(AVERAGEIF('Данные 2st'!$Q$2:$Q$317,$A45,'Данные 2st'!$ES$2:$ES$317),"")</f>
        <v>0</v>
      </c>
      <c r="MA45" s="7">
        <f>IFERROR(AVERAGEIF('Данные 2st'!$Q$2:$Q$317,$A45,'Данные 2st'!$ET$2:$ET$317),"")</f>
        <v>0</v>
      </c>
      <c r="MB45" s="7">
        <f>IFERROR(AVERAGEIF('Данные 2st'!$Q$2:$Q$317,$A45,'Данные 2st'!$EU$2:$EU$317),"")</f>
        <v>1</v>
      </c>
      <c r="MC45" s="7">
        <f>IFERROR(AVERAGEIF('Данные 2st'!$Q$2:$Q$317,$A45,'Данные 2st'!$EV$2:$EV$317),"")</f>
        <v>46599.666666666664</v>
      </c>
      <c r="MD45" s="7">
        <f>IFERROR(AVERAGEIF('Данные 2st'!$Q$2:$Q$317,$A45,'Данные 2st'!$EW$2:$EW$317),"")</f>
        <v>559.6666666666666</v>
      </c>
      <c r="ME45" s="7">
        <f>IFERROR(AVERAGEIF('Данные 2st'!$Q$2:$Q$317,$A45,'Данные 2st'!$EY$2:$EY$317),"")</f>
        <v>232.66666666666666</v>
      </c>
      <c r="MF45" s="7">
        <f>IFERROR(AVERAGEIF('Данные 2st'!$Q$2:$Q$317,$A45,'Данные 2st'!$FA$2:$FA$317),"")</f>
        <v>5.966666666666667</v>
      </c>
      <c r="MG45" s="7">
        <f>IFERROR(AVERAGEIF('Данные 2st'!$Q$2:$Q$317,$A45,'Данные 2st'!$FB$2:$FB$317),"")</f>
        <v>1</v>
      </c>
      <c r="MH45" s="7">
        <f>IFERROR(AVERAGEIF('Данные 2st'!$Q$2:$Q$317,$A45,'Данные 2st'!$FC$2:$FC$317),"")</f>
        <v>1</v>
      </c>
      <c r="MI45" s="7">
        <f>IFERROR(AVERAGEIF('Данные 2st'!$Q$2:$Q$317,$A45,'Данные 2st'!$FD$2:$FD$317),"")</f>
        <v>2070.3333333333335</v>
      </c>
      <c r="MJ45" s="7">
        <f>IFERROR(AVERAGEIF('Данные 2st'!$Q$2:$Q$317,$A45,'Данные 2st'!$FE$2:$FE$317),"")</f>
        <v>2969.3333333333335</v>
      </c>
      <c r="MK45" s="7">
        <f>IFERROR(AVERAGEIF('Данные 2st'!$Q$2:$Q$317,$A45,'Данные 2st'!$FG$2:$FG$317),"")</f>
        <v>232.66666666666666</v>
      </c>
      <c r="ML45" s="7">
        <f>IFERROR(AVERAGEIF('Данные 2st'!$Q$2:$Q$317,$A45,'Данные 2st'!$FI$2:$FI$317),"")</f>
        <v>2.2</v>
      </c>
      <c r="MM45" s="7">
        <f>IFERROR(AVERAGEIF('Данные 2st'!$Q$2:$Q$317,$A45,'Данные 2st'!$FJ$2:$FJ$317),"")</f>
        <v>2070.3333333333335</v>
      </c>
      <c r="MN45" s="7">
        <f>IFERROR(AVERAGEIF('Данные 2st'!$Q$2:$Q$317,$A45,'Данные 2st'!$FK$2:$FK$317),"")</f>
        <v>1167</v>
      </c>
      <c r="MO45" s="7">
        <f>IFERROR(AVERAGEIF('Данные 2st'!$Q$2:$Q$317,$A45,'Данные 2st'!$FP$2:$FP$317),"")</f>
        <v>2070.3333333333335</v>
      </c>
      <c r="MP45" s="7">
        <f>IFERROR(AVERAGEIF('Данные 2st'!$Q$2:$Q$317,$A45,'Данные 2st'!$FQ$2:$FQ$317),"")</f>
        <v>171.33333333333334</v>
      </c>
      <c r="MQ45" s="7">
        <f>IFERROR(AVERAGEIF('Данные 2st'!$Q$2:$Q$317,$A45,'Данные 2st'!$FS$2:$FS$317),"")</f>
        <v>236.66666666666666</v>
      </c>
      <c r="MR45" s="7">
        <f>IFERROR(AVERAGEIF('Данные 2st'!$Q$2:$Q$317,$A45,'Данные 2st'!$FU$2:$FU$317),"")</f>
        <v>0.4</v>
      </c>
      <c r="MS45" s="7">
        <f>IFERROR(AVERAGEIF('Данные 2st'!$Q$2:$Q$317,$A45,'Данные 2st'!$FV$2:$FV$317),"")</f>
        <v>2070.3333333333335</v>
      </c>
      <c r="MT45" s="7">
        <f>IFERROR(AVERAGEIF('Данные 2st'!$Q$2:$Q$317,$A45,'Данные 2st'!$FW$2:$FW$317),"")</f>
        <v>217.66666666666666</v>
      </c>
      <c r="MU45" s="7">
        <f>IFERROR(AVERAGEIF('Данные 2st'!$Q$2:$Q$317,$A45,'Данные 2st'!$FY$2:$FY$317),"")</f>
        <v>5</v>
      </c>
      <c r="MV45" s="7">
        <f>IFERROR(AVERAGEIF('Данные 2st'!$Q$2:$Q$317,$A45,'Данные 2st'!$GB$2:$GB$317),"")</f>
        <v>2070.3333333333335</v>
      </c>
      <c r="MW45" s="7">
        <f>IFERROR(AVERAGEIF('Данные 2st'!$Q$2:$Q$317,$A45,'Данные 2st'!$GC$2:$GC$317),"")</f>
        <v>19.666666666666668</v>
      </c>
      <c r="MX45" s="7">
        <f>IFERROR(AVERAGEIF('Данные 2st'!$Q$2:$Q$317,$A45,'Данные 2st'!$GD$2:$GD$317),"")</f>
        <v>4545</v>
      </c>
      <c r="MY45" s="7">
        <f>IFERROR(AVERAGEIF('Данные 2st'!$Q$2:$Q$317,$A45,'Данные 2st'!$GN$2:$GN$317),"")</f>
        <v/>
      </c>
      <c r="MZ45" s="7">
        <f>IFERROR(AVERAGEIF('Данные 2st'!$Q$2:$Q$317,$A45,'Данные 2st'!$GQ$2:$GQ$317),"")</f>
        <v>0</v>
      </c>
      <c r="NA45" s="7">
        <f>IFERROR(AVERAGEIF('Данные 2st'!$Q$2:$Q$317,$A45,'Данные 2st'!$GV$2:$GV$317),"")</f>
        <v>8.566666666666666</v>
      </c>
      <c r="NB45" s="7">
        <f>IFERROR(AVERAGEIF('Данные 2st'!$Q$2:$Q$317,$A45,'Данные 2st'!$GW$2:$GW$317),"")</f>
        <v>9.466666666666667</v>
      </c>
      <c r="NC45" s="7">
        <f>IFERROR(AVERAGEIF('Данные 2st'!$Q$2:$Q$317,$A45,'Данные 2st'!$GX$2:$GX$317),"")</f>
        <v>0.5</v>
      </c>
      <c r="ND45" s="7">
        <f>IFERROR(AVERAGEIF('Данные 2st'!$Q$2:$Q$317,$A45,'Данные 2st'!$GY$2:$GY$317),"")</f>
        <v>200</v>
      </c>
      <c r="NE45" s="7">
        <f>IFERROR(AVERAGEIF('Данные 2st'!$Q$2:$Q$317,$A45,'Данные 2st'!$GZ$2:$GZ$317),"")</f>
        <v>3</v>
      </c>
      <c r="NF45" s="7">
        <f>IFERROR(AVERAGEIF('Данные 2st'!$Q$2:$Q$317,$A45,'Данные 2st'!$HA$2:$HA$317),"")</f>
        <v>254.66666666666666</v>
      </c>
      <c r="NG45" s="7">
        <f>IFERROR(AVERAGEIF('Данные 2st'!$Q$2:$Q$317,$A45,'Данные 2st'!$HB$2:$HB$317),"")</f>
        <v>3</v>
      </c>
      <c r="NH45" s="7">
        <f>IFERROR(AVERAGEIF('Данные 2st'!$Q$2:$Q$317,$A45,'Данные 2st'!$HC$2:$HC$317),"")</f>
        <v>2070.3333333333335</v>
      </c>
      <c r="NI45" s="7">
        <f>IFERROR(AVERAGEIF('Данные 2st'!$Q$2:$Q$317,$A45,'Данные 2st'!$HD$2:$HD$317),"")</f>
        <v>4</v>
      </c>
      <c r="NJ45" s="7">
        <f>IFERROR(AVERAGEIF('Данные 2st'!$Q$2:$Q$317,$A45,'Данные 2st'!$HM$2:$HM$317),"")</f>
        <v>18</v>
      </c>
      <c r="NK45" s="7">
        <f>IFERROR(AVERAGEIF('Данные 2st'!$Q$2:$Q$317,$A45,'Данные 2st'!$HR$2:$HR$317),"")</f>
        <v>3</v>
      </c>
      <c r="NL45" s="7">
        <f>IFERROR(AVERAGEIF('Данные 2st'!$Q$2:$Q$317,$A45,'Данные 2st'!$HS$2:$HS$317),"")</f>
        <v>2021.6666666666667</v>
      </c>
      <c r="NM45" s="7">
        <f>IFERROR(AVERAGEIF('Данные 2st'!$Q$2:$Q$317,$A45,'Данные 2st'!$HT$2:$HT$317),"")</f>
        <v>5</v>
      </c>
      <c r="NN45" s="7">
        <f>IFERROR(AVERAGEIF('Данные 2st'!$Q$2:$Q$317,$A45,'Данные 2st'!$HY$2:$HY$317),"")</f>
        <v>0</v>
      </c>
      <c r="NO45" s="7">
        <f>IFERROR(AVERAGEIF('Данные 2st'!$Q$2:$Q$317,$A45,'Данные 2st'!$HZ$2:$HZ$317),"")</f>
        <v>64.33333333333333</v>
      </c>
      <c r="NP45" s="7">
        <f>IFERROR(AVERAGEIF('Данные 2st'!$Q$2:$Q$317,$A45,'Данные 2st'!$IA$2:$IA$317),"")</f>
        <v>2025.6666666666667</v>
      </c>
      <c r="NQ45" s="7">
        <f>IFERROR(AVERAGEIF('Данные 2st'!$Q$2:$Q$317,$A45,'Данные 2st'!$IB$2:$IB$317),"")</f>
        <v>2037.6666666666667</v>
      </c>
      <c r="NR45" s="7">
        <f>IFERROR(AVERAGEIF('Данные 2st'!$Q$2:$Q$317,$A45,'Данные 2st'!$IC$2:$IC$317),"")</f>
        <v/>
      </c>
      <c r="NS45" s="7">
        <f>IFERROR(AVERAGEIF('Данные 2st'!$Q$2:$Q$317,$A45,'Данные 2st'!$ID$2:$ID$317),"")</f>
        <v>2070.3333333333335</v>
      </c>
      <c r="NT45" s="7">
        <f>IFERROR(AVERAGEIF('Данные 2st'!$Q$2:$Q$317,$A45,'Данные 2st'!$IE$2:$IE$317),"")</f>
        <v>2070.3333333333335</v>
      </c>
      <c r="NU45" s="7">
        <f>IFERROR(AVERAGEIF('Данные 2st'!$Q$2:$Q$317,$A45,'Данные 2st'!$IF$2:$IF$317),"")</f>
        <v>213.33333333333334</v>
      </c>
      <c r="NV45" s="7">
        <f>IFERROR(AVERAGEIF('Данные 2st'!$Q$2:$Q$317,$A45,'Данные 2st'!$IG$2:$IG$317),"")</f>
        <v>203.33333333333334</v>
      </c>
      <c r="NW45" s="7">
        <f>IFERROR(AVERAGEIF('Данные 2st'!$Q$2:$Q$317,$A45,'Данные 2st'!$IH$2:$IH$317),"")</f>
        <v>254.66666666666666</v>
      </c>
      <c r="NX45" s="7">
        <f>IFERROR(AVERAGEIF('Данные 2st'!$Q$2:$Q$317,$A45,'Данные 2st'!$IJ$2:$IJ$317),"")</f>
        <v>5</v>
      </c>
      <c r="NY45" s="7">
        <f>IFERROR(AVERAGEIF('Данные 2st'!$Q$2:$Q$317,$A45,'Данные 2st'!$IM$2:$IM$317),"")</f>
        <v>0</v>
      </c>
      <c r="NZ45" s="7">
        <f>IFERROR(AVERAGEIF('Данные 2st'!$Q$2:$Q$317,$A45,'Данные 2st'!$IN$2:$IN$317),"")</f>
        <v>270</v>
      </c>
      <c r="OA45" s="7">
        <f>IFERROR(AVERAGEIF('Данные 2st'!$Q$2:$Q$317,$A45,'Данные 2st'!$IO$2:$IO$317),"")</f>
        <v>0</v>
      </c>
      <c r="OB45" s="7">
        <f>IFERROR(AVERAGEIF('Данные 2st'!$Q$2:$Q$317,$A45,'Данные 2st'!$IP$2:$IP$317),"")</f>
        <v>180</v>
      </c>
      <c r="OC45" s="7">
        <f>IFERROR(AVERAGEIF('Данные 2st'!$Q$2:$Q$317,$A45,'Данные 2st'!$IQ$2:$IQ$317),"")</f>
        <v>0</v>
      </c>
      <c r="OD45" s="7">
        <f>IFERROR(AVERAGEIF('Данные 2st'!$Q$2:$Q$317,$A45,'Данные 2st'!$IR$2:$IR$317),"")</f>
        <v>330</v>
      </c>
      <c r="OE45" s="7">
        <f>IFERROR(AVERAGEIF('Данные 2st'!$Q$2:$Q$317,$A45,'Данные 2st'!$IT$2:$IT$317),"")</f>
        <v>90</v>
      </c>
      <c r="OF45" s="7">
        <f>IFERROR(AVERAGEIF('Данные 2st'!$Q$2:$Q$317,$A45,'Данные 2st'!$IU$2:$IU$317),"")</f>
        <v>0</v>
      </c>
      <c r="OG45" s="7">
        <f>IFERROR(AVERAGEIF('Данные 2st'!$Q$2:$Q$317,$A45,'Данные 2st'!$IV$2:$IV$317),"")</f>
        <v>6.4</v>
      </c>
      <c r="OH45" s="7">
        <f>IFERROR(AVERAGEIF('Данные 2st'!$Q$2:$Q$317,$A45,'Данные 2st'!$IW$2:$IW$317),"")</f>
        <v>-6</v>
      </c>
      <c r="OI45" s="7">
        <f>IFERROR(AVERAGEIF('Данные 2st'!$Q$2:$Q$317,$A45,'Данные 2st'!$IX$2:$IX$317),"")</f>
        <v>109.5</v>
      </c>
      <c r="OJ45" s="7">
        <f>IFERROR(AVERAGEIF('Данные 2st'!$Q$2:$Q$317,$A45,'Данные 2st'!$IY$2:$IY$317),"")</f>
        <v>78.66666666666667</v>
      </c>
      <c r="OK45" s="7">
        <f>IFERROR(AVERAGEIF('Данные 2st'!$Q$2:$Q$317,$A45,'Данные 2st'!$IZ$2:$IZ$317),"")</f>
        <v>0</v>
      </c>
      <c r="OL45" s="7">
        <f>IFERROR(AVERAGEIF('Данные 2st'!$Q$2:$Q$317,$A45,'Данные 2st'!$JA$2:$JA$317),"")</f>
        <v>0</v>
      </c>
      <c r="OM45" s="7">
        <f>IFERROR(AVERAGEIF('Данные 2st'!$Q$2:$Q$317,$A45,'Данные 2st'!$JB$2:$JB$317),"")</f>
        <v>0</v>
      </c>
      <c r="ON45" s="7">
        <f>IFERROR(AVERAGEIF('Данные 2st'!$Q$2:$Q$317,$A45,'Данные 2st'!$JC$2:$JC$317),"")</f>
        <v>0</v>
      </c>
      <c r="OO45" s="7">
        <f>IFERROR(AVERAGEIF('Данные 2st'!$Q$2:$Q$317,$A45,'Данные 2st'!$JD$2:$JD$317),"")</f>
        <v>0</v>
      </c>
      <c r="OP45" s="7">
        <f>IFERROR(AVERAGEIF('Данные 2st'!$Q$2:$Q$317,$A45,'Данные 2st'!$JE$2:$JE$317),"")</f>
        <v>0</v>
      </c>
      <c r="OQ45" s="7">
        <f>IFERROR(AVERAGEIF('Данные 2st'!$Q$2:$Q$317,$A45,'Данные 2st'!$JF$2:$JF$317),"")</f>
        <v>0</v>
      </c>
      <c r="OR45" s="7">
        <f>IFERROR(AVERAGEIF('Данные 2st'!$Q$2:$Q$317,$A45,'Данные 2st'!$JG$2:$JG$317),"")</f>
        <v>0</v>
      </c>
      <c r="OS45" s="7">
        <f>IFERROR(AVERAGEIF('Данные 2st'!$Q$2:$Q$317,$A45,'Данные 2st'!$JH$2:$JH$317),"")</f>
        <v>0</v>
      </c>
      <c r="OT45" s="7">
        <f>IFERROR(AVERAGEIF('Данные 2st'!$Q$2:$Q$317,$A45,'Данные 2st'!$JI$2:$JI$317),"")</f>
        <v>388</v>
      </c>
      <c r="OU45" s="7">
        <f>IFERROR(AVERAGEIF('Данные 2st'!$Q$2:$Q$317,$A45,'Данные 2st'!$JJ$2:$JJ$317),"")</f>
        <v>358</v>
      </c>
      <c r="OV45" s="7">
        <f>IFERROR(AVERAGEIF('Данные 2st'!$Q$2:$Q$317,$A45,'Данные 2st'!$JK$2:$JK$317),"")</f>
        <v>261.6666666666667</v>
      </c>
      <c r="OW45" s="7">
        <f>IFERROR(AVERAGEIF('Данные 2st'!$Q$2:$Q$317,$A45,'Данные 2st'!$JL$2:$JL$317),"")</f>
        <v>356</v>
      </c>
      <c r="OX45" s="7">
        <f>IFERROR(AVERAGEIF('Данные 2st'!$Q$2:$Q$317,$A45,'Данные 2st'!$JM$2:$JM$317),"")</f>
        <v>270.6666666666667</v>
      </c>
      <c r="OY45" s="7">
        <f>IFERROR(AVERAGEIF('Данные 2st'!$Q$2:$Q$317,$A45,'Данные 2st'!$JP$2:$JP$317),"")</f>
        <v>217</v>
      </c>
      <c r="OZ45" s="7">
        <f>IFERROR(AVERAGEIF('Данные 2st'!$Q$2:$Q$317,$A45,'Данные 2st'!$JQ$2:$JQ$317),"")</f>
        <v>256.6666666666667</v>
      </c>
      <c r="PA45" s="7">
        <f>IFERROR(AVERAGEIF('Данные 2st'!$Q$2:$Q$317,$A45,'Данные 2st'!$JR$2:$JR$317),"")</f>
        <v>324</v>
      </c>
      <c r="PB45" s="7">
        <f>IFERROR(AVERAGEIF('Данные 2st'!$Q$2:$Q$317,$A45,'Данные 2st'!$JS$2:$JS$317),"")</f>
        <v>256.6666666666667</v>
      </c>
      <c r="PC45" s="7">
        <f>IFERROR(AVERAGEIF('Данные 2st'!$Q$2:$Q$317,$A45,'Данные 2st'!$JT$2:$JT$317),"")</f>
        <v>0</v>
      </c>
      <c r="PD45" s="7">
        <f>IFERROR(AVERAGEIF('Данные 2st'!$Q$2:$Q$317,$A45,'Данные 2st'!$JU$2:$JU$317),"")</f>
        <v>0</v>
      </c>
      <c r="PE45" s="7">
        <f>IFERROR(AVERAGEIF('Данные 2st'!$Q$2:$Q$317,$A45,'Данные 2st'!$JV$2:$JV$317),"")</f>
        <v>308.3333333333333</v>
      </c>
      <c r="PF45" s="7">
        <f>IFERROR(AVERAGEIF('Данные 2st'!$Q$2:$Q$317,$A45,'Данные 2st'!$JW$2:$JW$317),"")</f>
        <v>312.3333333333333</v>
      </c>
      <c r="PG45" s="7">
        <f>IFERROR(AVERAGEIF('Данные 2st'!$Q$2:$Q$317,$A45,'Данные 2st'!$KF$2:$KF$317),"")</f>
        <v>0.19333333333333333</v>
      </c>
      <c r="PH45" s="7">
        <f>IFERROR(AVERAGEIF('Данные 2st'!$Q$2:$Q$317,$A45,'Данные 2st'!$KG$2:$KG$317),"")</f>
        <v>0.1</v>
      </c>
      <c r="PI45" s="7">
        <f>IFERROR(AVERAGEIF('Данные 2st'!$Q$2:$Q$317,$A45,'Данные 2st'!$KM$2:$KM$317),"")</f>
        <v>0.5</v>
      </c>
      <c r="PJ45" s="7">
        <f>IFERROR(AVERAGEIF('Данные 2st'!$Q$2:$Q$317,$A45,'Данные 2st'!$KN$2:$KN$317),"")</f>
        <v>1.6666666666666667</v>
      </c>
      <c r="PK45" s="7">
        <f>IFERROR(AVERAGEIF('Данные 2st'!$Q$2:$Q$317,$A45,'Данные 2st'!$KO$2:$KO$317),"")</f>
        <v>0</v>
      </c>
      <c r="PL45" s="7">
        <f>IFERROR(AVERAGEIF('Данные 2st'!$Q$2:$Q$317,$A45,'Данные 2st'!$KP$2:$KP$317),"")</f>
        <v>0</v>
      </c>
      <c r="PM45" s="7">
        <f>IFERROR(AVERAGEIF('Данные 2st'!$Q$2:$Q$317,$A45,'Данные 2st'!$KQ$2:$KQ$317),"")</f>
        <v>0.9333333333333333</v>
      </c>
      <c r="PN45" s="7">
        <f>IFERROR(AVERAGEIF('Данные 2st'!$Q$2:$Q$317,$A45,'Данные 2st'!$KR$2:$KR$317),"")</f>
        <v>0.8</v>
      </c>
      <c r="PO45" s="7">
        <f>IFERROR(AVERAGEIF('Данные 2st'!$Q$2:$Q$317,$A45,'Данные 2st'!$KS$2:$KS$317),"")</f>
        <v>0</v>
      </c>
      <c r="PP45" s="7">
        <f>IFERROR(AVERAGEIF('Данные 2st'!$Q$2:$Q$317,$A45,'Данные 2st'!$KT$2:$KT$317),"")</f>
        <v>2.8666666666666667</v>
      </c>
      <c r="PQ45" s="7">
        <f>IFERROR(AVERAGEIF('Данные 2st'!$Q$2:$Q$317,$A45,'Данные 2st'!$KU$2:$KU$317),"")</f>
        <v>0</v>
      </c>
      <c r="PR45" s="7">
        <f>IFERROR(AVERAGEIF('Данные 2st'!$Q$2:$Q$317,$A45,'Данные 2st'!$KV$2:$KV$317),"")</f>
        <v>0</v>
      </c>
      <c r="PS45" s="7">
        <f>IFERROR(AVERAGEIF('Данные 2st'!$Q$2:$Q$317,$A45,'Данные 2st'!$KW$2:$KW$317),"")</f>
        <v>0.8</v>
      </c>
      <c r="PT45" s="7">
        <f>IFERROR(AVERAGEIF('Данные 2st'!$Q$2:$Q$317,$A45,'Данные 2st'!$KX$2:$KX$317),"")</f>
        <v>2</v>
      </c>
      <c r="PU45" s="7">
        <f>IFERROR(AVERAGEIF('Данные 2st'!$Q$2:$Q$317,$A45,'Данные 2st'!$KY$2:$KY$317),"")</f>
        <v>0</v>
      </c>
      <c r="PV45" s="7">
        <f>IFERROR(AVERAGEIF('Данные 2st'!$Q$2:$Q$317,$A45,'Данные 2st'!$KZ$2:$KZ$317),"")</f>
        <v>0</v>
      </c>
      <c r="PW45" s="7">
        <f>IFERROR(AVERAGEIF('Данные 2st'!$Q$2:$Q$317,$A45,'Данные 2st'!$LA$2:$LA$317),"")</f>
        <v>0</v>
      </c>
      <c r="PX45" s="7">
        <f>IFERROR(AVERAGEIF('Данные 2st'!$Q$2:$Q$317,$A45,'Данные 2st'!$LB$2:$LB$317),"")</f>
        <v>0</v>
      </c>
      <c r="PY45" s="7">
        <f>IFERROR(AVERAGEIF('Данные 2st'!$Q$2:$Q$317,$A45,'Данные 2st'!$LC$2:$LC$317),"")</f>
        <v>0</v>
      </c>
      <c r="PZ45" s="7">
        <f>IFERROR(AVERAGEIF('Данные 2st'!$Q$2:$Q$317,$A45,'Данные 2st'!$LD$2:$LD$317),"")</f>
        <v>0</v>
      </c>
      <c r="QA45" s="7">
        <f>IFERROR(AVERAGEIF('Данные 2st'!$Q$2:$Q$317,$A45,'Данные 2st'!$LE$2:$LE$317),"")</f>
        <v>0</v>
      </c>
      <c r="QB45" s="7">
        <f>IFERROR(AVERAGEIF('Данные 2st'!$Q$2:$Q$317,$A45,'Данные 2st'!$LF$2:$LF$317),"")</f>
        <v>0</v>
      </c>
      <c r="QC45" s="7">
        <f>IFERROR(AVERAGEIF('Данные 2st'!$Q$2:$Q$317,$A45,'Данные 2st'!$LG$2:$LG$317),"")</f>
        <v>0</v>
      </c>
      <c r="QD45" s="7">
        <f>IFERROR(AVERAGEIF('Данные 2st'!$Q$2:$Q$317,$A45,'Данные 2st'!$LH$2:$LH$317),"")</f>
        <v>2.3333333333333335</v>
      </c>
      <c r="QE45" s="7">
        <f>IFERROR(AVERAGEIF('Данные 2st'!$Q$2:$Q$317,$A45,'Данные 2st'!$LJ$2:$LJ$317),"")</f>
        <v>0</v>
      </c>
      <c r="QF45" s="7">
        <f>IFERROR(AVERAGEIF('Данные 2st'!$Q$2:$Q$317,$A45,'Данные 2st'!$LK$2:$LK$317),"")</f>
        <v>6</v>
      </c>
      <c r="QG45" s="7">
        <f>IFERROR(AVERAGEIF('Данные 2st'!$Q$2:$Q$317,$A45,'Данные 2st'!$LL$2:$LL$317),"")</f>
        <v>4.666666666666667</v>
      </c>
      <c r="QH45" s="7">
        <f>IFERROR(AVERAGEIF('Данные 2st'!$Q$2:$Q$317,$A45,'Данные 2st'!$LM$2:$LM$317),"")</f>
        <v>7.666666666666667</v>
      </c>
      <c r="QI45" s="7">
        <f>IFERROR(AVERAGEIF('Данные 2st'!$Q$2:$Q$317,$A45,'Данные 2st'!$LN$2:$LN$317),"")</f>
        <v>0.3666666666666667</v>
      </c>
      <c r="QJ45" s="7">
        <f>IFERROR(AVERAGEIF('Данные 2st'!$Q$2:$Q$317,$A45,'Данные 2st'!$LO$2:$LO$317),"")</f>
        <v>4.333333333333333</v>
      </c>
      <c r="QK45" s="7">
        <f>IFERROR(AVERAGEIF('Данные 2st'!$Q$2:$Q$317,$A45,'Данные 2st'!$LP$2:$LP$317),"")</f>
        <v>0</v>
      </c>
      <c r="QL45" s="7">
        <f>IFERROR(AVERAGEIF('Данные 2st'!$Q$2:$Q$317,$A45,'Данные 2st'!$LQ$2:$LQ$317),"")</f>
        <v>0</v>
      </c>
      <c r="QM45" s="7">
        <f>IFERROR(AVERAGEIF('Данные 2st'!$Q$2:$Q$317,$A45,'Данные 2st'!$LW$2:$LW$317),"")</f>
        <v>2.0666666666666664</v>
      </c>
      <c r="QN45" s="7">
        <f>IFERROR(AVERAGEIF('Данные 2st'!$Q$2:$Q$317,$A45,'Данные 2st'!$LX$2:$LX$317),"")</f>
        <v>2.0666666666666664</v>
      </c>
      <c r="QO45" s="7">
        <f>IFERROR(AVERAGEIF('Данные 2st'!$Q$2:$Q$317,$A45,'Данные 2st'!$LY$2:$LY$317),"")</f>
        <v>2.3333333333333335</v>
      </c>
      <c r="QP45" s="7">
        <f>IFERROR(AVERAGEIF('Данные 2st'!$Q$2:$Q$317,$A45,'Данные 2st'!$LZ$2:$LZ$317),"")</f>
        <v>2.3333333333333335</v>
      </c>
      <c r="QQ45" s="7">
        <f>IFERROR(AVERAGEIF('Данные 2st'!$Q$2:$Q$317,$A45,'Данные 2st'!$MB$2:$MB$317),"")</f>
        <v>6.333333333333333</v>
      </c>
      <c r="QR45" s="7">
        <f>IFERROR(AVERAGEIF('Данные 2st'!$Q$2:$Q$317,$A45,'Данные 2st'!$MG$2:$MG$317),"")</f>
        <v>0</v>
      </c>
      <c r="QS45" s="7">
        <f>IFERROR(AVERAGEIF('Данные 2st'!$Q$2:$Q$317,$A45,'Данные 2st'!$MH$2:$MH$317),"")</f>
        <v>0</v>
      </c>
      <c r="QT45" s="7">
        <f>IFERROR(AVERAGEIF('Данные 2st'!$Q$2:$Q$317,$A45,'Данные 2st'!$MI$2:$MI$317),"")</f>
        <v>0</v>
      </c>
      <c r="QU45" s="7">
        <f>IFERROR(AVERAGEIF('Данные 2st'!$Q$2:$Q$317,$A45,'Данные 2st'!$MJ$2:$MJ$317),"")</f>
        <v>0</v>
      </c>
      <c r="QV45" s="7">
        <f>IFERROR(AVERAGEIF('Данные 2st'!$Q$2:$Q$317,$A45,'Данные 2st'!$MK$2:$MK$317),"")</f>
        <v>0</v>
      </c>
      <c r="QW45" s="7">
        <f>IFERROR(AVERAGEIF('Данные 2st'!$Q$2:$Q$317,$A45,'Данные 2st'!$MM$2:$MM$317),"")</f>
        <v>420</v>
      </c>
      <c r="QX45" s="7">
        <f>IFERROR(AVERAGEIF('Данные 2st'!$Q$2:$Q$317,$A45,'Данные 2st'!$MQ$2:$MQ$317),"")</f>
        <v/>
      </c>
      <c r="QY45" s="7">
        <f>IFERROR(AVERAGEIF('Данные 2st'!$Q$2:$Q$317,$A45,'Данные 2st'!$MR$2:$MR$317),"")</f>
        <v/>
      </c>
      <c r="QZ45" s="7">
        <f>IFERROR(AVERAGEIF('Данные 2st'!$Q$2:$Q$317,$A45,'Данные 2st'!$MS$2:$MS$317),"")</f>
        <v/>
      </c>
      <c r="RA45" s="7">
        <f>IFERROR(AVERAGEIF('Данные 2st'!$Q$2:$Q$317,$A45,'Данные 2st'!$MT$2:$MT$317),"")</f>
        <v/>
      </c>
      <c r="RB45" s="7">
        <f>IFERROR(AVERAGEIF('Данные 2st'!$Q$2:$Q$317,$A45,'Данные 2st'!$MU$2:$MU$317),"")</f>
        <v/>
      </c>
      <c r="RC45" s="7">
        <f>IFERROR(AVERAGEIF('Данные 2st'!$Q$2:$Q$317,$A45,'Данные 2st'!$MV$2:$MV$317),"")</f>
        <v/>
      </c>
      <c r="RD45" s="7">
        <f>IFERROR(AVERAGEIF('Данные 2st'!$Q$2:$Q$317,$A45,'Данные 2st'!$MW$2:$MW$317),"")</f>
        <v/>
      </c>
      <c r="RE45" s="7">
        <f>IFERROR(AVERAGEIF('Данные 2st'!$Q$2:$Q$317,$A45,'Данные 2st'!$MX$2:$MX$317),"")</f>
        <v/>
      </c>
      <c r="RF45" s="7">
        <f>IFERROR(AVERAGEIF('Данные 2st'!$Q$2:$Q$317,$A45,'Данные 2st'!$MY$2:$MY$317),"")</f>
        <v/>
      </c>
      <c r="RG45" s="7">
        <f>IFERROR(AVERAGEIF('Данные 2st'!$Q$2:$Q$317,$A45,'Данные 2st'!$MZ$2:$MZ$317),"")</f>
        <v/>
      </c>
      <c r="RH45" s="7">
        <f>IFERROR(AVERAGEIF('Данные 2st'!$Q$2:$Q$317,$A45,'Данные 2st'!$NA$2:$NA$317),"")</f>
        <v/>
      </c>
      <c r="RI45" s="7">
        <f>IFERROR(AVERAGEIF('Данные 2st'!$Q$2:$Q$317,$A45,'Данные 2st'!$NB$2:$NB$317),"")</f>
        <v/>
      </c>
      <c r="RJ45" s="7">
        <f>IFERROR(AVERAGEIF('Данные 2st'!$Q$2:$Q$317,$A45,'Данные 2st'!$NC$2:$NC$317),"")</f>
        <v/>
      </c>
      <c r="RK45" s="7">
        <f>IFERROR(AVERAGEIF('Данные 2st'!$Q$2:$Q$317,$A45,'Данные 2st'!$ND$2:$ND$317),"")</f>
        <v/>
      </c>
      <c r="RL45" s="7">
        <f>IFERROR(AVERAGEIF('Данные 2st'!$Q$2:$Q$317,$A45,'Данные 2st'!$NE$2:$NE$317),"")</f>
        <v/>
      </c>
      <c r="RM45" s="7">
        <f>IFERROR(AVERAGEIF('Данные 2st'!$Q$2:$Q$317,$A45,'Данные 2st'!$NF$2:$NF$317),"")</f>
        <v/>
      </c>
      <c r="RN45" s="7">
        <f>IFERROR(AVERAGEIF('Данные 2st'!$Q$2:$Q$317,$A45,'Данные 2st'!$NG$2:$NG$317),"")</f>
        <v/>
      </c>
      <c r="RO45" s="7">
        <f>IFERROR(AVERAGEIF('Данные 2st'!$Q$2:$Q$317,$A45,'Данные 2st'!$NH$2:$NH$317),"")</f>
        <v/>
      </c>
      <c r="RP45" s="7">
        <f>IFERROR(AVERAGEIF('Данные 2st'!$Q$2:$Q$317,$A45,'Данные 2st'!$NJ$2:$NJ$317),"")</f>
        <v/>
      </c>
      <c r="RQ45" s="7">
        <f>IFERROR(AVERAGEIF('Данные 2st'!$Q$2:$Q$317,$A45,'Данные 2st'!$NK$2:$NK$317),"")</f>
        <v/>
      </c>
      <c r="RR45" s="7">
        <f>IFERROR(AVERAGEIF('Данные 2st'!$Q$2:$Q$317,$A45,'Данные 2st'!$NM$2:$NM$317),"")</f>
        <v/>
      </c>
      <c r="RS45" s="7">
        <f>IFERROR(AVERAGEIF('Данные 2st'!$Q$2:$Q$317,$A45,'Данные 2st'!$NN$2:$NN$317),"")</f>
        <v/>
      </c>
      <c r="RT45" s="7">
        <f>IFERROR(AVERAGEIF('Данные 2st'!$Q$2:$Q$317,$A45,'Данные 2st'!$NO$2:$NO$317),"")</f>
        <v/>
      </c>
      <c r="RU45" s="7">
        <f>IFERROR(AVERAGEIF('Данные 2st'!$Q$2:$Q$317,$A45,'Данные 2st'!$NP$2:$NP$317),"")</f>
        <v/>
      </c>
      <c r="RV45" s="7">
        <f>IFERROR(AVERAGEIF('Данные 2st'!$Q$2:$Q$317,$A45,'Данные 2st'!$NQ$2:$NQ$317),"")</f>
        <v/>
      </c>
      <c r="RW45" s="7">
        <f>IFERROR(AVERAGEIF('Данные 2st'!$Q$2:$Q$317,$A45,'Данные 2st'!$NR$2:$NR$317),"")</f>
        <v/>
      </c>
      <c r="RX45" s="7">
        <f>IFERROR(AVERAGEIF('Данные 2st'!$Q$2:$Q$317,$A45,'Данные 2st'!$NS$2:$NS$317),"")</f>
        <v/>
      </c>
      <c r="RY45" s="7">
        <f>IFERROR(AVERAGEIF('Данные 2st'!$Q$2:$Q$317,$A45,'Данные 2st'!$NT$2:$NT$317),"")</f>
        <v/>
      </c>
      <c r="RZ45" s="7">
        <f>IFERROR(AVERAGEIF('Данные 2st'!$Q$2:$Q$317,$A45,'Данные 2st'!$OK$2:$OK$317),"")</f>
        <v>61</v>
      </c>
      <c r="SA45" s="7">
        <f>IFERROR(AVERAGEIF('Данные 2st'!$Q$2:$Q$317,$A45,'Данные 2st'!$OL$2:$OL$317),"")</f>
        <v>61</v>
      </c>
      <c r="SB45" s="7">
        <f>IFERROR(AVERAGEIF('Данные 2st'!$Q$2:$Q$317,$A45,'Данные 2st'!$ON$2:$ON$317),"")</f>
        <v>1</v>
      </c>
      <c r="SC45" s="7">
        <f>IFERROR(AVERAGEIF('Данные 2st'!$Q$2:$Q$317,$A45,'Данные 2st'!$OO$2:$OO$317),"")</f>
        <v>2025.6666666666667</v>
      </c>
      <c r="SD45" s="7">
        <f>IFERROR(AVERAGEIF('Данные 2st'!$Q$2:$Q$317,$A45,'Данные 2st'!$OP$2:$OP$317),"")</f>
        <v>61</v>
      </c>
      <c r="SE45" s="7">
        <f>IFERROR(AVERAGEIF('Данные 2st'!$Q$2:$Q$317,$A45,'Данные 2st'!$OQ$2:$OQ$317),"")</f>
        <v>61</v>
      </c>
      <c r="SF45" s="7">
        <f>IFERROR(AVERAGEIF('Данные 2st'!$Q$2:$Q$317,$A45,'Данные 2st'!$OS$2:$OS$317),"")</f>
        <v>1</v>
      </c>
      <c r="SG45" s="7">
        <f>IFERROR(AVERAGEIF('Данные 2st'!$Q$2:$Q$317,$A45,'Данные 2st'!$OT$2:$OT$317),"")</f>
        <v>2037.6666666666667</v>
      </c>
      <c r="SH45" s="7">
        <f>IFERROR(AVERAGEIF('Данные 2st'!$Q$2:$Q$317,$A45,'Данные 2st'!$OU$2:$OU$317),"")</f>
        <v>65</v>
      </c>
      <c r="SI45" s="7">
        <f>IFERROR(AVERAGEIF('Данные 2st'!$Q$2:$Q$317,$A45,'Данные 2st'!$OV$2:$OV$317),"")</f>
        <v>65</v>
      </c>
      <c r="SJ45" s="7">
        <f>IFERROR(AVERAGEIF('Данные 2st'!$Q$2:$Q$317,$A45,'Данные 2st'!$OX$2:$OX$317),"")</f>
        <v>1.3333333333333333</v>
      </c>
      <c r="SK45" s="7">
        <f>IFERROR(AVERAGEIF('Данные 2st'!$Q$2:$Q$317,$A45,'Данные 2st'!$OY$2:$OY$317),"")</f>
        <v>46599.666666666664</v>
      </c>
      <c r="SL45" s="7">
        <f>IFERROR(AVERAGEIF('Данные 2st'!$Q$2:$Q$317,$A45,'Данные 2st'!$OZ$2:$OZ$317),"")</f>
        <v>51</v>
      </c>
      <c r="SM45" s="7">
        <f>IFERROR(AVERAGEIF('Данные 2st'!$Q$2:$Q$317,$A45,'Данные 2st'!$PA$2:$PA$317),"")</f>
        <v>51.666666666666664</v>
      </c>
      <c r="SN45" s="7">
        <f>IFERROR(AVERAGEIF('Данные 2st'!$Q$2:$Q$317,$A45,'Данные 2st'!$PC$2:$PC$317),"")</f>
        <v>1.6666666666666667</v>
      </c>
      <c r="SO45" s="7">
        <f>IFERROR(AVERAGEIF('Данные 2st'!$Q$2:$Q$317,$A45,'Данные 2st'!$PD$2:$PD$317),"")</f>
        <v>2070.3333333333335</v>
      </c>
      <c r="SP45" s="7">
        <f>IFERROR(AVERAGEIF('Данные 2st'!$Q$2:$Q$317,$A45,'Данные 2st'!$PF$2:$PF$317),"")</f>
        <v>490</v>
      </c>
      <c r="SQ45" s="7">
        <f>IFERROR(AVERAGEIF('Данные 2st'!$Q$2:$Q$317,$A45,'Данные 2st'!$PG$2:$PG$317),"")</f>
        <v>35</v>
      </c>
      <c r="SR45" s="7">
        <f>IFERROR(AVERAGEIF('Данные 2st'!$Q$2:$Q$317,$A45,'Данные 2st'!$PH$2:$PH$317),"")</f>
        <v>467</v>
      </c>
      <c r="SS45" s="7">
        <f>IFERROR(AVERAGEIF('Данные 2st'!$Q$2:$Q$317,$A45,'Данные 2st'!$PI$2:$PI$317),"")</f>
        <v>0</v>
      </c>
      <c r="ST45" s="7">
        <f>IFERROR(AVERAGEIF('Данные 2st'!$Q$2:$Q$317,$A45,'Данные 2st'!$PJ$2:$PJ$317),"")</f>
        <v>82.76666666666667</v>
      </c>
      <c r="SU45" s="7">
        <f>IFERROR(AVERAGEIF('Данные 2st'!$Q$2:$Q$317,$A45,'Данные 2st'!$PK$2:$PK$317),"")</f>
        <v>2153.3333333333335</v>
      </c>
      <c r="SV45" s="7">
        <f>IFERROR(AVERAGEIF('Данные 2st'!$Q$2:$Q$317,$A45,'Данные 2st'!$PL$2:$PL$317),"")</f>
        <v>1434.1333333333332</v>
      </c>
      <c r="SW45" s="7">
        <f>IFERROR(AVERAGEIF('Данные 2st'!$Q$2:$Q$317,$A45,'Данные 2st'!$PM$2:$PM$317),"")</f>
        <v>563.8333333333334</v>
      </c>
      <c r="SX45" s="7">
        <f>IFERROR(AVERAGEIF('Данные 2st'!$Q$2:$Q$317,$A45,'Данные 2st'!$PN$2:$PN$317),"")</f>
        <v>105.3</v>
      </c>
      <c r="SY45" s="7">
        <f>IFERROR(AVERAGEIF('Данные 2st'!$Q$2:$Q$317,$A45,'Данные 2st'!$PO$2:$PO$317),"")</f>
        <v>9.6</v>
      </c>
      <c r="SZ45" s="7">
        <f>IFERROR(AVERAGEIF('Данные 2st'!$Q$2:$Q$317,$A45,'Данные 2st'!$PP$2:$PP$317),"")</f>
        <v>12</v>
      </c>
      <c r="TA45" s="7">
        <f>IFERROR(AVERAGEIF('Данные 2st'!$Q$2:$Q$317,$A45,'Данные 2st'!$PQ$2:$PQ$317),"")</f>
        <v>3</v>
      </c>
      <c r="TB45" s="7">
        <f>IFERROR(AVERAGEIF('Данные 2st'!$Q$2:$Q$317,$A45,'Данные 2st'!$PR$2:$PR$317),"")</f>
        <v>3</v>
      </c>
      <c r="TC45" s="7">
        <f>IFERROR(AVERAGEIF('Данные 2st'!$Q$2:$Q$317,$A45,'Данные 2st'!$PS$2:$PS$317),"")</f>
        <v>0</v>
      </c>
      <c r="TD45" s="7">
        <f>IFERROR(AVERAGEIF('Данные 2st'!$Q$2:$Q$317,$A45,'Данные 2st'!$PT$2:$PT$317),"")</f>
        <v>254.66666666666666</v>
      </c>
      <c r="TE45" s="7">
        <f>IFERROR(AVERAGEIF('Данные 2st'!$Q$2:$Q$317,$A45,'Данные 2st'!$PU$2:$PU$317),"")</f>
        <v>11</v>
      </c>
      <c r="TF45" s="7">
        <f>IFERROR(AVERAGEIF('Данные 2st'!$Q$2:$Q$317,$A45,'Данные 2st'!$PX$2:$PX$317),"")</f>
        <v>0</v>
      </c>
      <c r="TG45" s="7">
        <f>IFERROR(AVERAGEIF('Данные 2st'!$Q$2:$Q$317,$A45,'Данные 2st'!$PY$2:$PY$317),"")</f>
        <v>0</v>
      </c>
      <c r="TH45" s="7">
        <f>IFERROR(AVERAGEIF('Данные 2st'!$Q$2:$Q$317,$A45,'Данные 2st'!$PZ$2:$PZ$317),"")</f>
        <v>0</v>
      </c>
      <c r="TI45" s="7">
        <f>IFERROR(AVERAGEIF('Данные 2st'!$Q$2:$Q$317,$A45,'Данные 2st'!$QA$2:$QA$317),"")</f>
        <v>0</v>
      </c>
      <c r="TJ45" s="7">
        <f>IFERROR(AVERAGEIF('Данные 2st'!$Q$2:$Q$317,$A45,'Данные 2st'!$QB$2:$QB$317),"")</f>
        <v>0</v>
      </c>
      <c r="TK45" s="7">
        <f>IFERROR(AVERAGEIF('Данные 2st'!$Q$2:$Q$317,$A45,'Данные 2st'!$QC$2:$QC$317),"")</f>
        <v>0</v>
      </c>
      <c r="TL45" s="7">
        <f>IFERROR(AVERAGEIF('Данные 2st'!$Q$2:$Q$317,$A45,'Данные 2st'!$QD$2:$QD$317),"")</f>
        <v>0</v>
      </c>
      <c r="TM45" s="7">
        <f>IFERROR(AVERAGEIF('Данные 2st'!$Q$2:$Q$317,$A45,'Данные 2st'!$QE$2:$QE$317),"")</f>
        <v>-1</v>
      </c>
      <c r="TN45" s="7">
        <f>IFERROR(AVERAGEIF('Данные 2st'!$Q$2:$Q$317,$A45,'Данные 2st'!$QF$2:$QF$317),"")</f>
        <v>1</v>
      </c>
      <c r="TO45" s="7">
        <f>IFERROR(AVERAGEIF('Данные 2st'!$Q$2:$Q$317,$A45,'Данные 2st'!$QG$2:$QG$317),"")</f>
        <v>0</v>
      </c>
      <c r="TP45" s="7">
        <f>IFERROR(AVERAGEIF('Данные 2st'!$Q$2:$Q$317,$A45,'Данные 2st'!$QH$2:$QH$317),"")</f>
        <v>5</v>
      </c>
      <c r="TQ45" s="7">
        <f>IFERROR(AVERAGEIF('Данные 2st'!$Q$2:$Q$317,$A45,'Данные 2st'!$QI$2:$QI$317),"")</f>
        <v>5</v>
      </c>
      <c r="TR45" s="7">
        <f>IFERROR(AVERAGEIF('Данные 2st'!$Q$2:$Q$317,$A45,'Данные 2st'!$QJ$2:$QJ$317),"")</f>
        <v>5</v>
      </c>
      <c r="TS45" s="7">
        <f>IFERROR(AVERAGEIF('Данные 2st'!$Q$2:$Q$317,$A45,'Данные 2st'!$QK$2:$QK$317),"")</f>
        <v>189.33333333333334</v>
      </c>
      <c r="TT45" s="7">
        <f>IFERROR(AVERAGEIF('Данные 2st'!$Q$2:$Q$317,$A45,'Данные 2st'!$QL$2:$QL$317),"")</f>
        <v>422</v>
      </c>
      <c r="TU45" s="7">
        <f>IFERROR(AVERAGEIF('Данные 2st'!$Q$2:$Q$317,$A45,'Данные 2st'!$QM$2:$QM$317),"")</f>
        <v>7.5</v>
      </c>
      <c r="TV45" s="7">
        <f>IFERROR(AVERAGEIF('Данные 2st'!$Q$2:$Q$317,$A45,'Данные 2st'!$QN$2:$QN$317),"")</f>
        <v>1464.3</v>
      </c>
      <c r="TW45" s="7">
        <f>IFERROR(AVERAGEIF('Данные 2st'!$Q$2:$Q$317,$A45,'Данные 2st'!$QQ$2:$QQ$317),"")</f>
        <v>0</v>
      </c>
      <c r="TX45" s="7">
        <f>IFERROR(AVERAGEIF('Данные 2st'!$Q$2:$Q$317,$A45,'Данные 2st'!$QS$2:$QS$317),"")</f>
        <v>30</v>
      </c>
      <c r="TY45" s="7">
        <f>IFERROR(AVERAGEIF('Данные 2st'!$Q$2:$Q$317,$A45,'Данные 2st'!$QT$2:$QT$317),"")</f>
        <v>40</v>
      </c>
    </row>
    <row r="46" spans="1:545" ht="32" customHeight="1">
      <c r="A46" s="11" t="s">
        <v>964</v>
      </c>
      <c r="B46">
        <f>COUNTIF('Данные 1st'!$S$2:$S$317,$A46)</f>
        <v>7</v>
      </c>
      <c r="C46" s="6" t="s">
        <v>5106</v>
      </c>
      <c r="D46" s="6" t="s">
        <v>513</v>
      </c>
      <c r="E46" s="6" t="s">
        <v>5125</v>
      </c>
      <c r="F46" s="6" t="s">
        <v>5165</v>
      </c>
      <c r="G46" s="7">
        <f>IFERROR(AVERAGEIF('Данные 1st'!$S$2:$S$317,$A46,'Данные 1st'!$AE$2:$AE$317),"")</f>
        <v>209.14285714285714</v>
      </c>
      <c r="H46" s="7">
        <f>IFERROR(AVERAGEIF('Данные 1st'!$S$2:$S$317,$A46,'Данные 1st'!$AF$2:$AF$317),"")</f>
        <v>1.5</v>
      </c>
      <c r="I46" s="7">
        <f>IFERROR(AVERAGEIF('Данные 1st'!$S$2:$S$317,$A46,'Данные 1st'!$AJ$2:$AJ$317),"")</f>
        <v>191.07142857142858</v>
      </c>
      <c r="J46" s="7">
        <f>IFERROR(AVERAGEIF('Данные 1st'!$S$2:$S$317,$A46,'Данные 1st'!$AL$2:$AL$317),"")</f>
        <v>1.5</v>
      </c>
      <c r="K46" s="7">
        <f>IFERROR(AVERAGEIF('Данные 1st'!$S$2:$S$317,$A46,'Данные 1st'!$AR$2:$AR$317),"")</f>
        <v>231.14285714285714</v>
      </c>
      <c r="L46" s="7">
        <f>IFERROR(AVERAGEIF('Данные 1st'!$S$2:$S$317,$A46,'Данные 1st'!$AS$2:$AS$317),"")</f>
        <v>1.5</v>
      </c>
      <c r="M46" s="7">
        <f>IFERROR(AVERAGEIF('Данные 1st'!$S$2:$S$317,$A46,'Данные 1st'!$AY$2:$AY$317),"")</f>
        <v>292.14285714285717</v>
      </c>
      <c r="N46" s="7">
        <f>IFERROR(AVERAGEIF('Данные 1st'!$S$2:$S$317,$A46,'Данные 1st'!$AZ$2:$AZ$317),"")</f>
        <v>1.5</v>
      </c>
      <c r="O46" s="7">
        <f>IFERROR(AVERAGEIF('Данные 1st'!$S$2:$S$317,$A46,'Данные 1st'!$BF$2:$BF$317),"")</f>
        <v>233.33333333333334</v>
      </c>
      <c r="P46" s="7">
        <f>IFERROR(AVERAGEIF('Данные 1st'!$S$2:$S$317,$A46,'Данные 1st'!$BG$2:$BG$317),"")</f>
        <v>1.5</v>
      </c>
      <c r="Q46" s="7">
        <f>IFERROR(AVERAGEIF('Данные 1st'!$S$2:$S$317,$A46,'Данные 1st'!$BM$2:$BM$317),"")</f>
        <v/>
      </c>
      <c r="R46" s="7">
        <f>IFERROR(AVERAGEIF('Данные 1st'!$S$2:$S$317,$A46,'Данные 1st'!$BN$2:$BN$317),"")</f>
        <v>1.5</v>
      </c>
      <c r="S46" s="7">
        <f>IFERROR(AVERAGEIF('Данные 1st'!$S$2:$S$317,$A46,'Данные 1st'!$BT$2:$BT$317),"")</f>
        <v>208.42857142857142</v>
      </c>
      <c r="T46" s="7">
        <f>IFERROR(AVERAGEIF('Данные 1st'!$S$2:$S$317,$A46,'Данные 1st'!$BU$2:$BU$317),"")</f>
        <v>0.5</v>
      </c>
      <c r="U46" s="7">
        <f>IFERROR(AVERAGEIF('Данные 1st'!$S$2:$S$317,$A46,'Данные 1st'!$BW$2:$BW$317),"")</f>
        <v>416.85714285714283</v>
      </c>
      <c r="V46" s="7">
        <f>IFERROR(AVERAGEIF('Данные 1st'!$S$2:$S$317,$A46,'Данные 1st'!$BX$2:$BX$317),"")</f>
        <v>1</v>
      </c>
      <c r="W46" s="7">
        <f>IFERROR(AVERAGEIF('Данные 1st'!$S$2:$S$317,$A46,'Данные 1st'!$BZ$2:$BZ$317),"")</f>
        <v>300</v>
      </c>
      <c r="X46" s="7">
        <f>IFERROR(AVERAGEIF('Данные 1st'!$S$2:$S$317,$A46,'Данные 1st'!$CA$2:$CA$317),"")</f>
        <v>485.7142857142857</v>
      </c>
      <c r="Y46" s="7">
        <f>IFERROR(AVERAGEIF('Данные 1st'!$S$2:$S$317,$A46,'Данные 1st'!$CD$2:$CD$317),"")</f>
        <v>448.85714285714283</v>
      </c>
      <c r="Z46" s="7">
        <f>IFERROR(AVERAGEIF('Данные 1st'!$S$2:$S$317,$A46,'Данные 1st'!$CF$2:$CF$317),"")</f>
        <v>15</v>
      </c>
      <c r="AA46" s="7">
        <f>IFERROR(AVERAGEIF('Данные 1st'!$S$2:$S$317,$A46,'Данные 1st'!$CI$2:$CI$317),"")</f>
        <v>92.85714285714286</v>
      </c>
      <c r="AB46" s="7">
        <f>IFERROR(AVERAGEIF('Данные 1st'!$S$2:$S$317,$A46,'Данные 1st'!$CJ$2:$CJ$317),"")</f>
        <v>1458</v>
      </c>
      <c r="AC46" s="7">
        <f>IFERROR(AVERAGEIF('Данные 1st'!$S$2:$S$317,$A46,'Данные 1st'!$CK$2:$CK$317),"")</f>
        <v>2</v>
      </c>
      <c r="AD46" s="7">
        <f>IFERROR(AVERAGEIF('Данные 1st'!$S$2:$S$317,$A46,'Данные 1st'!$CL$2:$CL$317),"")</f>
        <v>1552</v>
      </c>
      <c r="AE46" s="7">
        <f>IFERROR(AVERAGEIF('Данные 1st'!$S$2:$S$317,$A46,'Данные 1st'!$CM$2:$CM$317),"")</f>
        <v>2</v>
      </c>
      <c r="AF46" s="7">
        <f>IFERROR(AVERAGEIF('Данные 1st'!$S$2:$S$317,$A46,'Данные 1st'!$CT$2:$CT$317),"")</f>
        <v>382.14285714285717</v>
      </c>
      <c r="AG46" s="7">
        <f>IFERROR(AVERAGEIF('Данные 1st'!$S$2:$S$317,$A46,'Данные 1st'!$CU$2:$CU$317),"")</f>
        <v>5</v>
      </c>
      <c r="AH46" s="7">
        <f>IFERROR(AVERAGEIF('Данные 1st'!$S$2:$S$317,$A46,'Данные 1st'!$CV$2:$CV$317),"")</f>
        <v>1.2</v>
      </c>
      <c r="AI46" s="7">
        <f>IFERROR(AVERAGEIF('Данные 1st'!$S$2:$S$317,$A46,'Данные 1st'!$CW$2:$CW$317),"")</f>
        <v>1475</v>
      </c>
      <c r="AJ46" s="7">
        <f>IFERROR(AVERAGEIF('Данные 1st'!$S$2:$S$317,$A46,'Данные 1st'!$CX$2:$CX$317),"")</f>
        <v>798</v>
      </c>
      <c r="AK46" s="7">
        <f>IFERROR(AVERAGEIF('Данные 1st'!$S$2:$S$317,$A46,'Данные 1st'!$CZ$2:$CZ$317),"")</f>
        <v>52.857142857142854</v>
      </c>
      <c r="AL46" s="7">
        <f>IFERROR(AVERAGEIF('Данные 1st'!$S$2:$S$317,$A46,'Данные 1st'!$DA$2:$DA$317),"")</f>
        <v>3</v>
      </c>
      <c r="AM46" s="7">
        <f>IFERROR(AVERAGEIF('Данные 1st'!$S$2:$S$317,$A46,'Данные 1st'!$DB$2:$DB$317),"")</f>
        <v>1.12</v>
      </c>
      <c r="AN46" s="7">
        <f>IFERROR(AVERAGEIF('Данные 1st'!$S$2:$S$317,$A46,'Данные 1st'!$DC$2:$DC$317),"")</f>
        <v>1475</v>
      </c>
      <c r="AO46" s="7">
        <f>IFERROR(AVERAGEIF('Данные 1st'!$S$2:$S$317,$A46,'Данные 1st'!$DD$2:$DD$317),"")</f>
        <v>94.71428571428571</v>
      </c>
      <c r="AP46" s="7">
        <f>IFERROR(AVERAGEIF('Данные 1st'!$S$2:$S$317,$A46,'Данные 1st'!$DF$2:$DF$317),"")</f>
        <v>584.2857142857143</v>
      </c>
      <c r="AQ46" s="7">
        <f>IFERROR(AVERAGEIF('Данные 1st'!$S$2:$S$317,$A46,'Данные 1st'!$DG$2:$DG$317),"")</f>
        <v>3</v>
      </c>
      <c r="AR46" s="7">
        <f>IFERROR(AVERAGEIF('Данные 1st'!$S$2:$S$317,$A46,'Данные 1st'!$DH$2:$DH$317),"")</f>
        <v>1.0571428571428572</v>
      </c>
      <c r="AS46" s="7">
        <f>IFERROR(AVERAGEIF('Данные 1st'!$S$2:$S$317,$A46,'Данные 1st'!$DI$2:$DI$317),"")</f>
        <v>1467.5714285714287</v>
      </c>
      <c r="AT46" s="7">
        <f>IFERROR(AVERAGEIF('Данные 1st'!$S$2:$S$317,$A46,'Данные 1st'!$DJ$2:$DJ$317),"")</f>
        <v>1242.5714285714287</v>
      </c>
      <c r="AU46" s="7">
        <f>IFERROR(AVERAGEIF('Данные 1st'!$S$2:$S$317,$A46,'Данные 1st'!$DL$2:$DL$317),"")</f>
        <v>466.6666666666667</v>
      </c>
      <c r="AV46" s="7">
        <f>IFERROR(AVERAGEIF('Данные 1st'!$S$2:$S$317,$A46,'Данные 1st'!$DM$2:$DM$317),"")</f>
        <v>3</v>
      </c>
      <c r="AW46" s="7">
        <f>IFERROR(AVERAGEIF('Данные 1st'!$S$2:$S$317,$A46,'Данные 1st'!$DN$2:$DN$317),"")</f>
        <v>0.88</v>
      </c>
      <c r="AX46" s="7">
        <f>IFERROR(AVERAGEIF('Данные 1st'!$S$2:$S$317,$A46,'Данные 1st'!$DO$2:$DO$317),"")</f>
        <v>1472</v>
      </c>
      <c r="AY46" s="7">
        <f>IFERROR(AVERAGEIF('Данные 1st'!$S$2:$S$317,$A46,'Данные 1st'!$DP$2:$DP$317),"")</f>
        <v>782.6666666666666</v>
      </c>
      <c r="AZ46" s="7">
        <f>IFERROR(AVERAGEIF('Данные 1st'!$S$2:$S$317,$A46,'Данные 1st'!$DR$2:$DR$317),"")</f>
        <v/>
      </c>
      <c r="BA46" s="7">
        <f>IFERROR(AVERAGEIF('Данные 1st'!$S$2:$S$317,$A46,'Данные 1st'!$DS$2:$DS$317),"")</f>
        <v/>
      </c>
      <c r="BB46" s="7">
        <f>IFERROR(AVERAGEIF('Данные 1st'!$S$2:$S$317,$A46,'Данные 1st'!$DT$2:$DT$317),"")</f>
        <v/>
      </c>
      <c r="BC46" s="7">
        <f>IFERROR(AVERAGEIF('Данные 1st'!$S$2:$S$317,$A46,'Данные 1st'!$DU$2:$DU$317),"")</f>
        <v/>
      </c>
      <c r="BD46" s="7">
        <f>IFERROR(AVERAGEIF('Данные 1st'!$S$2:$S$317,$A46,'Данные 1st'!$DV$2:$DV$317),"")</f>
        <v/>
      </c>
      <c r="BE46" s="7">
        <f>IFERROR(AVERAGEIF('Данные 1st'!$S$2:$S$317,$A46,'Данные 1st'!$DX$2:$DX$317),"")</f>
        <v>7.5</v>
      </c>
      <c r="BF46" s="7">
        <f>IFERROR(AVERAGEIF('Данные 1st'!$S$2:$S$317,$A46,'Данные 1st'!$EA$2:$EA$317),"")</f>
        <v>1542.5</v>
      </c>
      <c r="BG46" s="7">
        <f>IFERROR(AVERAGEIF('Данные 1st'!$S$2:$S$317,$A46,'Данные 1st'!$EB$2:$EB$317),"")</f>
        <v>275</v>
      </c>
      <c r="BH46" s="7">
        <f>IFERROR(AVERAGEIF('Данные 1st'!$S$2:$S$317,$A46,'Данные 1st'!$ED$2:$ED$317),"")</f>
        <v>31.428571428571427</v>
      </c>
      <c r="BI46" s="7">
        <f>IFERROR(AVERAGEIF('Данные 1st'!$S$2:$S$317,$A46,'Данные 1st'!$EE$2:$EE$317),"")</f>
        <v>3</v>
      </c>
      <c r="BJ46" s="7">
        <f>IFERROR(AVERAGEIF('Данные 1st'!$S$2:$S$317,$A46,'Данные 1st'!$EG$2:$EG$317),"")</f>
        <v>1583.5714285714287</v>
      </c>
      <c r="BK46" s="7">
        <f>IFERROR(AVERAGEIF('Данные 1st'!$S$2:$S$317,$A46,'Данные 1st'!$EH$2:$EH$317),"")</f>
        <v>195.71428571428572</v>
      </c>
      <c r="BL46" s="7">
        <f>IFERROR(AVERAGEIF('Данные 1st'!$S$2:$S$317,$A46,'Данные 1st'!$EJ$2:$EJ$317),"")</f>
        <v>0</v>
      </c>
      <c r="BM46" s="7">
        <f>IFERROR(AVERAGEIF('Данные 1st'!$S$2:$S$317,$A46,'Данные 1st'!$EK$2:$EK$317),"")</f>
        <v>1</v>
      </c>
      <c r="BN46" s="7">
        <f>IFERROR(AVERAGEIF('Данные 1st'!$S$2:$S$317,$A46,'Данные 1st'!$EN$2:$EN$317),"")</f>
        <v>0</v>
      </c>
      <c r="BO46" s="7">
        <f>IFERROR(AVERAGEIF('Данные 1st'!$S$2:$S$317,$A46,'Данные 1st'!$EQ$2:$EQ$317),"")</f>
        <v>92.85714285714286</v>
      </c>
      <c r="BP46" s="7">
        <f>IFERROR(AVERAGEIF('Данные 1st'!$S$2:$S$317,$A46,'Данные 1st'!$ER$2:$ER$317),"")</f>
        <v>3</v>
      </c>
      <c r="BQ46" s="7">
        <f>IFERROR(AVERAGEIF('Данные 1st'!$S$2:$S$317,$A46,'Данные 1st'!$ES$2:$ES$317),"")</f>
        <v>5.5</v>
      </c>
      <c r="BR46" s="7">
        <f>IFERROR(AVERAGEIF('Данные 1st'!$S$2:$S$317,$A46,'Данные 1st'!$ET$2:$ET$317),"")</f>
        <v>1454</v>
      </c>
      <c r="BS46" s="7">
        <f>IFERROR(AVERAGEIF('Данные 1st'!$S$2:$S$317,$A46,'Данные 1st'!$EU$2:$EU$317),"")</f>
        <v>396.7142857142857</v>
      </c>
      <c r="BT46" s="7">
        <f>IFERROR(AVERAGEIF('Данные 1st'!$S$2:$S$317,$A46,'Данные 1st'!$EV$2:$EV$317),"")</f>
        <v>576.7142857142857</v>
      </c>
      <c r="BU46" s="7">
        <f>IFERROR(AVERAGEIF('Данные 1st'!$S$2:$S$317,$A46,'Данные 1st'!$EX$2:$EX$317),"")</f>
        <v>45</v>
      </c>
      <c r="BV46" s="7">
        <f>IFERROR(AVERAGEIF('Данные 1st'!$S$2:$S$317,$A46,'Данные 1st'!$EY$2:$EY$317),"")</f>
        <v>2</v>
      </c>
      <c r="BW46" s="7">
        <f>IFERROR(AVERAGEIF('Данные 1st'!$S$2:$S$317,$A46,'Данные 1st'!$EZ$2:$EZ$317),"")</f>
        <v>4.414285714285715</v>
      </c>
      <c r="BX46" s="7">
        <f>IFERROR(AVERAGEIF('Данные 1st'!$S$2:$S$317,$A46,'Данные 1st'!$FA$2:$FA$317),"")</f>
        <v>1454</v>
      </c>
      <c r="BY46" s="7">
        <f>IFERROR(AVERAGEIF('Данные 1st'!$S$2:$S$317,$A46,'Данные 1st'!$FB$2:$FB$317),"")</f>
        <v>138.74285714285713</v>
      </c>
      <c r="BZ46" s="7">
        <f>IFERROR(AVERAGEIF('Данные 1st'!$S$2:$S$317,$A46,'Данные 1st'!$FC$2:$FC$317),"")</f>
        <v>201.71428571428572</v>
      </c>
      <c r="CA46" s="7">
        <f>IFERROR(AVERAGEIF('Данные 1st'!$S$2:$S$317,$A46,'Данные 1st'!$FE$2:$FE$317),"")</f>
        <v>0</v>
      </c>
      <c r="CB46" s="7">
        <f>IFERROR(AVERAGEIF('Данные 1st'!$S$2:$S$317,$A46,'Данные 1st'!$FF$2:$FF$317),"")</f>
        <v>2</v>
      </c>
      <c r="CC46" s="7">
        <f>IFERROR(AVERAGEIF('Данные 1st'!$S$2:$S$317,$A46,'Данные 1st'!$FI$2:$FI$317),"")</f>
        <v>0</v>
      </c>
      <c r="CD46" s="7">
        <f>IFERROR(AVERAGEIF('Данные 1st'!$S$2:$S$317,$A46,'Данные 1st'!$FL$2:$FL$317),"")</f>
        <v>0.4</v>
      </c>
      <c r="CE46" s="7">
        <f>IFERROR(AVERAGEIF('Данные 1st'!$S$2:$S$317,$A46,'Данные 1st'!$FM$2:$FM$317),"")</f>
        <v>60</v>
      </c>
      <c r="CF46" s="7">
        <f>IFERROR(AVERAGEIF('Данные 1st'!$S$2:$S$317,$A46,'Данные 1st'!$FN$2:$FN$317),"")</f>
        <v>351.42857142857144</v>
      </c>
      <c r="CG46" s="7">
        <f>IFERROR(AVERAGEIF('Данные 1st'!$S$2:$S$317,$A46,'Данные 1st'!$FO$2:$FO$317),"")</f>
        <v>70</v>
      </c>
      <c r="CH46" s="7">
        <f>IFERROR(AVERAGEIF('Данные 1st'!$S$2:$S$317,$A46,'Данные 1st'!$FP$2:$FP$317),"")</f>
        <v>150</v>
      </c>
      <c r="CI46" s="7">
        <f>IFERROR(AVERAGEIF('Данные 1st'!$S$2:$S$317,$A46,'Данные 1st'!$FS$2:$FS$317),"")</f>
        <v>0.4</v>
      </c>
      <c r="CJ46" s="7">
        <f>IFERROR(AVERAGEIF('Данные 1st'!$S$2:$S$317,$A46,'Данные 1st'!$FT$2:$FT$317),"")</f>
        <v>36.666666666666664</v>
      </c>
      <c r="CK46" s="7">
        <f>IFERROR(AVERAGEIF('Данные 1st'!$S$2:$S$317,$A46,'Данные 1st'!$FU$2:$FU$317),"")</f>
        <v>346.6666666666667</v>
      </c>
      <c r="CL46" s="7">
        <f>IFERROR(AVERAGEIF('Данные 1st'!$S$2:$S$317,$A46,'Данные 1st'!$FV$2:$FV$317),"")</f>
        <v/>
      </c>
      <c r="CM46" s="7">
        <f>IFERROR(AVERAGEIF('Данные 1st'!$S$2:$S$317,$A46,'Данные 1st'!$FW$2:$FW$317),"")</f>
        <v/>
      </c>
      <c r="CN46" s="7">
        <f>IFERROR(AVERAGEIF('Данные 1st'!$S$2:$S$317,$A46,'Данные 1st'!$FZ$2:$FZ$317),"")</f>
        <v>1.6</v>
      </c>
      <c r="CO46" s="7">
        <f>IFERROR(AVERAGEIF('Данные 1st'!$S$2:$S$317,$A46,'Данные 1st'!$GA$2:$GA$317),"")</f>
        <v>20</v>
      </c>
      <c r="CP46" s="7">
        <f>IFERROR(AVERAGEIF('Данные 1st'!$S$2:$S$317,$A46,'Данные 1st'!$GB$2:$GB$317),"")</f>
        <v>186</v>
      </c>
      <c r="CQ46" s="7">
        <f>IFERROR(AVERAGEIF('Данные 1st'!$S$2:$S$317,$A46,'Данные 1st'!$GH$2:$GH$317),"")</f>
        <v>1.6</v>
      </c>
      <c r="CR46" s="7">
        <f>IFERROR(AVERAGEIF('Данные 1st'!$S$2:$S$317,$A46,'Данные 1st'!$GI$2:$GI$317),"")</f>
        <v>20</v>
      </c>
      <c r="CS46" s="7">
        <f>IFERROR(AVERAGEIF('Данные 1st'!$S$2:$S$317,$A46,'Данные 1st'!$GJ$2:$GJ$317),"")</f>
        <v>186</v>
      </c>
      <c r="CT46" s="7">
        <f>IFERROR(AVERAGEIF('Данные 1st'!$S$2:$S$317,$A46,'Данные 1st'!$GS$2:$GS$317),"")</f>
        <v>0.4</v>
      </c>
      <c r="CU46" s="7">
        <f>IFERROR(AVERAGEIF('Данные 1st'!$S$2:$S$317,$A46,'Данные 1st'!$GT$2:$GT$317),"")</f>
        <v>30</v>
      </c>
      <c r="CV46" s="7">
        <f>IFERROR(AVERAGEIF('Данные 1st'!$S$2:$S$317,$A46,'Данные 1st'!$GU$2:$GU$317),"")</f>
        <v>333.3333333333333</v>
      </c>
      <c r="CW46" s="7">
        <f>IFERROR(AVERAGEIF('Данные 1st'!$S$2:$S$317,$A46,'Данные 1st'!$GV$2:$GV$317),"")</f>
        <v>52.5</v>
      </c>
      <c r="CX46" s="7">
        <f>IFERROR(AVERAGEIF('Данные 1st'!$S$2:$S$317,$A46,'Данные 1st'!$GW$2:$GW$317),"")</f>
        <v>215</v>
      </c>
      <c r="CY46" s="7">
        <f>IFERROR(AVERAGEIF('Данные 1st'!$S$2:$S$317,$A46,'Данные 1st'!$GZ$2:$GZ$317),"")</f>
        <v>1</v>
      </c>
      <c r="CZ46" s="7">
        <f>IFERROR(AVERAGEIF('Данные 1st'!$S$2:$S$317,$A46,'Данные 1st'!$HA$2:$HA$317),"")</f>
        <v>20</v>
      </c>
      <c r="DA46" s="7">
        <f>IFERROR(AVERAGEIF('Данные 1st'!$S$2:$S$317,$A46,'Данные 1st'!$HB$2:$HB$317),"")</f>
        <v>196</v>
      </c>
      <c r="DB46" s="7">
        <f>IFERROR(AVERAGEIF('Данные 1st'!$S$2:$S$317,$A46,'Данные 1st'!$HC$2:$HC$317),"")</f>
        <v>0.1</v>
      </c>
      <c r="DC46" s="7">
        <f>IFERROR(AVERAGEIF('Данные 1st'!$S$2:$S$317,$A46,'Данные 1st'!$HD$2:$HD$317),"")</f>
        <v>3</v>
      </c>
      <c r="DD46" s="7">
        <f>IFERROR(AVERAGEIF('Данные 1st'!$S$2:$S$317,$A46,'Данные 1st'!$HE$2:$HE$317),"")</f>
        <v>3</v>
      </c>
      <c r="DE46" s="7">
        <f>IFERROR(AVERAGEIF('Данные 1st'!$S$2:$S$317,$A46,'Данные 1st'!$HF$2:$HF$317),"")</f>
        <v>3</v>
      </c>
      <c r="DF46" s="7">
        <f>IFERROR(AVERAGEIF('Данные 1st'!$S$2:$S$317,$A46,'Данные 1st'!$HG$2:$HG$317),"")</f>
        <v>3</v>
      </c>
      <c r="DG46" s="7">
        <f>IFERROR(AVERAGEIF('Данные 1st'!$S$2:$S$317,$A46,'Данные 1st'!$HH$2:$HH$317),"")</f>
        <v>3</v>
      </c>
      <c r="DH46" s="7">
        <f>IFERROR(AVERAGEIF('Данные 1st'!$S$2:$S$317,$A46,'Данные 1st'!$HI$2:$HI$317),"")</f>
        <v>122.85714285714286</v>
      </c>
      <c r="DI46" s="7">
        <f>IFERROR(AVERAGEIF('Данные 1st'!$S$2:$S$317,$A46,'Данные 1st'!$HJ$2:$HJ$317),"")</f>
        <v>3</v>
      </c>
      <c r="DJ46" s="7">
        <f>IFERROR(AVERAGEIF('Данные 1st'!$S$2:$S$317,$A46,'Данные 1st'!$HK$2:$HK$317),"")</f>
        <v>30</v>
      </c>
      <c r="DK46" s="7">
        <f>IFERROR(AVERAGEIF('Данные 1st'!$S$2:$S$317,$A46,'Данные 1st'!$HL$2:$HL$317),"")</f>
        <v>2</v>
      </c>
      <c r="DL46" s="7">
        <f>IFERROR(AVERAGEIF('Данные 1st'!$S$2:$S$317,$A46,'Данные 1st'!$HM$2:$HM$317),"")</f>
        <v>0</v>
      </c>
      <c r="DM46" s="7">
        <f>IFERROR(AVERAGEIF('Данные 1st'!$S$2:$S$317,$A46,'Данные 1st'!$HN$2:$HN$317),"")</f>
        <v>2</v>
      </c>
      <c r="DN46" s="7">
        <f>IFERROR(AVERAGEIF('Данные 1st'!$S$2:$S$317,$A46,'Данные 1st'!$HO$2:$HO$317),"")</f>
        <v>77.85714285714286</v>
      </c>
      <c r="DO46" s="7">
        <f>IFERROR(AVERAGEIF('Данные 1st'!$S$2:$S$317,$A46,'Данные 1st'!$HP$2:$HP$317),"")</f>
        <v>3</v>
      </c>
      <c r="DP46" s="7">
        <f>IFERROR(AVERAGEIF('Данные 1st'!$S$2:$S$317,$A46,'Данные 1st'!$HQ$2:$HQ$317),"")</f>
        <v>0</v>
      </c>
      <c r="DQ46" s="7">
        <f>IFERROR(AVERAGEIF('Данные 1st'!$S$2:$S$317,$A46,'Данные 1st'!$HR$2:$HR$317),"")</f>
        <v>2</v>
      </c>
      <c r="DR46" s="7">
        <f>IFERROR(AVERAGEIF('Данные 1st'!$S$2:$S$317,$A46,'Данные 1st'!$HS$2:$HS$317),"")</f>
        <v>5063.714285714285</v>
      </c>
      <c r="DS46" s="7">
        <f>IFERROR(AVERAGEIF('Данные 1st'!$S$2:$S$317,$A46,'Данные 1st'!$HT$2:$HT$317),"")</f>
        <v>151.42857142857142</v>
      </c>
      <c r="DT46" s="7">
        <f>IFERROR(AVERAGEIF('Данные 1st'!$S$2:$S$317,$A46,'Данные 1st'!$HU$2:$HU$317),"")</f>
        <v>180</v>
      </c>
      <c r="DU46" s="7">
        <f>IFERROR(AVERAGEIF('Данные 1st'!$S$2:$S$317,$A46,'Данные 1st'!$HW$2:$HW$317),"")</f>
        <v>5.714285714285714</v>
      </c>
      <c r="DV46" s="7">
        <f>IFERROR(AVERAGEIF('Данные 1st'!$S$2:$S$317,$A46,'Данные 1st'!$HX$2:$HX$317),"")</f>
        <v>442.85714285714283</v>
      </c>
      <c r="DW46" s="7">
        <f>IFERROR(AVERAGEIF('Данные 1st'!$S$2:$S$317,$A46,'Данные 1st'!$HY$2:$HY$317),"")</f>
        <v>0.18</v>
      </c>
      <c r="DX46" s="7">
        <f>IFERROR(AVERAGEIF('Данные 1st'!$S$2:$S$317,$A46,'Данные 1st'!$IA$2:$IA$317),"")</f>
        <v>0.15</v>
      </c>
      <c r="DY46" s="7">
        <f>IFERROR(AVERAGEIF('Данные 1st'!$S$2:$S$317,$A46,'Данные 1st'!$IB$2:$IB$317),"")</f>
        <v>0</v>
      </c>
      <c r="DZ46" s="7">
        <f>IFERROR(AVERAGEIF('Данные 1st'!$S$2:$S$317,$A46,'Данные 1st'!$IC$2:$IC$317),"")</f>
        <v>180</v>
      </c>
      <c r="EA46" s="7">
        <f>IFERROR(AVERAGEIF('Данные 1st'!$S$2:$S$317,$A46,'Данные 1st'!$ID$2:$ID$317),"")</f>
        <v>110</v>
      </c>
      <c r="EB46" s="7">
        <f>IFERROR(AVERAGEIF('Данные 1st'!$S$2:$S$317,$A46,'Данные 1st'!$IE$2:$IE$317),"")</f>
        <v>96.42857142857143</v>
      </c>
      <c r="EC46" s="7">
        <f>IFERROR(AVERAGEIF('Данные 1st'!$S$2:$S$317,$A46,'Данные 1st'!$IF$2:$IF$317),"")</f>
        <v>0</v>
      </c>
      <c r="ED46" s="7">
        <f>IFERROR(AVERAGEIF('Данные 1st'!$S$2:$S$317,$A46,'Данные 1st'!$IP$2:$IP$317),"")</f>
        <v>19</v>
      </c>
      <c r="EE46" s="7">
        <f>IFERROR(AVERAGEIF('Данные 1st'!$S$2:$S$317,$A46,'Данные 1st'!$IV$2:$IV$317),"")</f>
        <v>1458</v>
      </c>
      <c r="EF46" s="7">
        <f>IFERROR(AVERAGEIF('Данные 1st'!$S$2:$S$317,$A46,'Данные 1st'!$IW$2:$IW$317),"")</f>
        <v>416.85714285714283</v>
      </c>
      <c r="EG46" s="7">
        <f>IFERROR(AVERAGEIF('Данные 1st'!$S$2:$S$317,$A46,'Данные 1st'!$IX$2:$IX$317),"")</f>
        <v/>
      </c>
      <c r="EH46" s="7">
        <f>IFERROR(AVERAGEIF('Данные 1st'!$S$2:$S$317,$A46,'Данные 1st'!$IY$2:$IY$317),"")</f>
        <v/>
      </c>
      <c r="EI46" s="7">
        <f>IFERROR(AVERAGEIF('Данные 1st'!$S$2:$S$317,$A46,'Данные 1st'!$JD$2:$JD$317),"")</f>
        <v>1475</v>
      </c>
      <c r="EJ46" s="7">
        <f>IFERROR(AVERAGEIF('Данные 1st'!$S$2:$S$317,$A46,'Данные 1st'!$JE$2:$JE$317),"")</f>
        <v>1467.5714285714287</v>
      </c>
      <c r="EK46" s="7">
        <f>IFERROR(AVERAGEIF('Данные 1st'!$S$2:$S$317,$A46,'Данные 1st'!$JF$2:$JF$317),"")</f>
        <v>630.8571428571429</v>
      </c>
      <c r="EL46" s="7">
        <f>IFERROR(AVERAGEIF('Данные 1st'!$S$2:$S$317,$A46,'Данные 1st'!$JG$2:$JG$317),"")</f>
        <v>1454</v>
      </c>
      <c r="EM46" s="7">
        <f>IFERROR(AVERAGEIF('Данные 1st'!$S$2:$S$317,$A46,'Данные 1st'!$JH$2:$JH$317),"")</f>
        <v>0</v>
      </c>
      <c r="EN46" s="7">
        <f>IFERROR(AVERAGEIF('Данные 1st'!$S$2:$S$317,$A46,'Данные 1st'!$JJ$2:$JJ$317),"")</f>
        <v>180</v>
      </c>
      <c r="EO46" s="7">
        <f>IFERROR(AVERAGEIF('Данные 1st'!$S$2:$S$317,$A46,'Данные 1st'!$JK$2:$JK$317),"")</f>
        <v>442.85714285714283</v>
      </c>
      <c r="EP46" s="7">
        <f>IFERROR(AVERAGEIF('Данные 1st'!$S$2:$S$317,$A46,'Данные 1st'!$JL$2:$JL$317),"")</f>
        <v/>
      </c>
      <c r="EQ46" s="7">
        <f>IFERROR(AVERAGEIF('Данные 1st'!$S$2:$S$317,$A46,'Данные 1st'!$JM$2:$JM$317),"")</f>
        <v/>
      </c>
      <c r="ER46" s="7">
        <f>IFERROR(AVERAGEIF('Данные 1st'!$S$2:$S$317,$A46,'Данные 1st'!$JN$2:$JN$317),"")</f>
        <v>382.14285714285717</v>
      </c>
      <c r="ES46" s="7">
        <f>IFERROR(AVERAGEIF('Данные 1st'!$S$2:$S$317,$A46,'Данные 1st'!$JO$2:$JO$317),"")</f>
        <v>584.2857142857143</v>
      </c>
      <c r="ET46" s="7">
        <f>IFERROR(AVERAGEIF('Данные 1st'!$S$2:$S$317,$A46,'Данные 1st'!$JP$2:$JP$317),"")</f>
        <v>200</v>
      </c>
      <c r="EU46" s="7">
        <f>IFERROR(AVERAGEIF('Данные 1st'!$S$2:$S$317,$A46,'Данные 1st'!$JQ$2:$JQ$317),"")</f>
        <v>0</v>
      </c>
      <c r="EV46" s="7">
        <f>IFERROR(AVERAGEIF('Данные 1st'!$S$2:$S$317,$A46,'Данные 1st'!$JR$2:$JR$317),"")</f>
        <v>418.2857142857143</v>
      </c>
      <c r="EW46" s="7">
        <f>IFERROR(AVERAGEIF('Данные 1st'!$S$2:$S$317,$A46,'Данные 1st'!$JS$2:$JS$317),"")</f>
        <v>122.85714285714286</v>
      </c>
      <c r="EX46" s="7">
        <f>IFERROR(AVERAGEIF('Данные 1st'!$S$2:$S$317,$A46,'Данные 1st'!$JT$2:$JT$317),"")</f>
        <v/>
      </c>
      <c r="EY46" s="7">
        <f>IFERROR(AVERAGEIF('Данные 1st'!$S$2:$S$317,$A46,'Данные 1st'!$JU$2:$JU$317),"")</f>
        <v/>
      </c>
      <c r="EZ46" s="7">
        <f>IFERROR(AVERAGEIF('Данные 1st'!$S$2:$S$317,$A46,'Данные 1st'!$JV$2:$JV$317),"")</f>
        <v>8</v>
      </c>
      <c r="FA46" s="7">
        <f>IFERROR(AVERAGEIF('Данные 1st'!$S$2:$S$317,$A46,'Данные 1st'!$JW$2:$JW$317),"")</f>
        <v/>
      </c>
      <c r="FB46" s="7">
        <f>IFERROR(AVERAGEIF('Данные 1st'!$S$2:$S$317,$A46,'Данные 1st'!$JX$2:$JX$317),"")</f>
        <v>462.2857142857143</v>
      </c>
      <c r="FC46" s="7">
        <f>IFERROR(AVERAGEIF('Данные 1st'!$S$2:$S$317,$A46,'Данные 1st'!$JY$2:$JY$317),"")</f>
        <v/>
      </c>
      <c r="FD46" s="7">
        <f>IFERROR(AVERAGEIF('Данные 1st'!$S$2:$S$317,$A46,'Данные 1st'!$JZ$2:$JZ$317),"")</f>
        <v/>
      </c>
      <c r="FE46" s="7">
        <f>IFERROR(AVERAGEIF('Данные 1st'!$S$2:$S$317,$A46,'Данные 1st'!$KA$2:$KA$317),"")</f>
        <v>96.42857142857143</v>
      </c>
      <c r="FF46" s="7">
        <f>IFERROR(AVERAGEIF('Данные 1st'!$S$2:$S$317,$A46,'Данные 1st'!$KB$2:$KB$317),"")</f>
        <v>110</v>
      </c>
      <c r="FG46" s="7">
        <f>IFERROR(AVERAGEIF('Данные 1st'!$S$2:$S$317,$A46,'Данные 1st'!$KC$2:$KC$317),"")</f>
        <v>0</v>
      </c>
      <c r="FH46" s="7">
        <f>IFERROR(AVERAGEIF('Данные 1st'!$S$2:$S$317,$A46,'Данные 1st'!$KD$2:$KD$317),"")</f>
        <v>80</v>
      </c>
      <c r="FI46" s="7">
        <f>IFERROR(AVERAGEIF('Данные 1st'!$S$2:$S$317,$A46,'Данные 1st'!$KE$2:$KE$317),"")</f>
        <v/>
      </c>
      <c r="FJ46" s="7">
        <f>IFERROR(AVERAGEIF('Данные 1st'!$S$2:$S$317,$A46,'Данные 1st'!$KF$2:$KF$317),"")</f>
        <v>4</v>
      </c>
      <c r="FK46" s="7">
        <f>IFERROR(AVERAGEIF('Данные 1st'!$S$2:$S$317,$A46,'Данные 1st'!$KG$2:$KG$317),"")</f>
        <v>2.5714285714285716</v>
      </c>
      <c r="FL46" s="7">
        <f>IFERROR(AVERAGEIF('Данные 1st'!$S$2:$S$317,$A46,'Данные 1st'!$KH$2:$KH$317),"")</f>
        <v>2</v>
      </c>
      <c r="FM46" s="7">
        <f>IFERROR(AVERAGEIF('Данные 1st'!$S$2:$S$317,$A46,'Данные 1st'!$KI$2:$KI$317),"")</f>
        <v>2</v>
      </c>
      <c r="FN46" s="7">
        <f>IFERROR(AVERAGEIF('Данные 1st'!$S$2:$S$317,$A46,'Данные 1st'!$KJ$2:$KJ$317),"")</f>
        <v>0</v>
      </c>
      <c r="FO46" s="7">
        <f>IFERROR(AVERAGEIF('Данные 1st'!$S$2:$S$317,$A46,'Данные 1st'!$KK$2:$KK$317),"")</f>
        <v>1.5</v>
      </c>
      <c r="FP46" s="7">
        <f>IFERROR(AVERAGEIF('Данные 1st'!$S$2:$S$317,$A46,'Данные 1st'!$KL$2:$KL$317),"")</f>
        <v>1.5</v>
      </c>
      <c r="FQ46" s="7">
        <f>IFERROR(AVERAGEIF('Данные 1st'!$S$2:$S$317,$A46,'Данные 1st'!$KM$2:$KM$317),"")</f>
        <v>0</v>
      </c>
      <c r="FR46" s="7">
        <f>IFERROR(AVERAGEIF('Данные 1st'!$S$2:$S$317,$A46,'Данные 1st'!$KN$2:$KN$317),"")</f>
        <v>0</v>
      </c>
      <c r="FS46" s="7">
        <f>IFERROR(AVERAGEIF('Данные 1st'!$S$2:$S$317,$A46,'Данные 1st'!$KR$2:$KR$317),"")</f>
        <v>40</v>
      </c>
      <c r="FT46" s="7">
        <f>IFERROR(AVERAGEIF('Данные 1st'!$S$2:$S$317,$A46,'Данные 1st'!$KS$2:$KS$317),"")</f>
        <v>60</v>
      </c>
      <c r="FU46" s="7">
        <f>IFERROR(AVERAGEIF('Данные 1st'!$S$2:$S$317,$A46,'Данные 1st'!$KT$2:$KT$317),"")</f>
        <v>0</v>
      </c>
      <c r="FV46" s="7">
        <f>IFERROR(AVERAGEIF('Данные 1st'!$S$2:$S$317,$A46,'Данные 1st'!$KV$2:$KV$317),"")</f>
        <v/>
      </c>
      <c r="FW46" s="7">
        <f>IFERROR(AVERAGEIF('Данные 1st'!$S$2:$S$317,$A46,'Данные 1st'!$KW$2:$KW$317),"")</f>
        <v/>
      </c>
      <c r="FX46" s="7">
        <f>IFERROR(AVERAGEIF('Данные 1st'!$S$2:$S$317,$A46,'Данные 1st'!$KX$2:$KX$317),"")</f>
        <v/>
      </c>
      <c r="FY46" s="7">
        <f>IFERROR(AVERAGEIF('Данные 1st'!$S$2:$S$317,$A46,'Данные 1st'!$KY$2:$KY$317),"")</f>
        <v/>
      </c>
      <c r="FZ46" s="7">
        <f>IFERROR(AVERAGEIF('Данные 1st'!$S$2:$S$317,$A46,'Данные 1st'!$KZ$2:$KZ$317),"")</f>
        <v/>
      </c>
      <c r="GA46" s="7">
        <f>IFERROR(AVERAGEIF('Данные 1st'!$S$2:$S$317,$A46,'Данные 1st'!$LA$2:$LA$317),"")</f>
        <v/>
      </c>
      <c r="GB46" s="7">
        <f>IFERROR(AVERAGEIF('Данные 1st'!$S$2:$S$317,$A46,'Данные 1st'!$LB$2:$LB$317),"")</f>
        <v/>
      </c>
      <c r="GC46" s="7">
        <f>IFERROR(AVERAGEIF('Данные 1st'!$S$2:$S$317,$A46,'Данные 1st'!$LC$2:$LC$317),"")</f>
        <v/>
      </c>
      <c r="GD46" s="7">
        <f>IFERROR(AVERAGEIF('Данные 1st'!$S$2:$S$317,$A46,'Данные 1st'!$LD$2:$LD$317),"")</f>
        <v/>
      </c>
      <c r="GE46" s="7">
        <f>IFERROR(AVERAGEIF('Данные 1st'!$S$2:$S$317,$A46,'Данные 1st'!$LE$2:$LE$317),"")</f>
        <v/>
      </c>
      <c r="GF46" s="7">
        <f>IFERROR(AVERAGEIF('Данные 1st'!$S$2:$S$317,$A46,'Данные 1st'!$LF$2:$LF$317),"")</f>
        <v/>
      </c>
      <c r="GG46" s="7">
        <f>IFERROR(AVERAGEIF('Данные 1st'!$S$2:$S$317,$A46,'Данные 1st'!$LG$2:$LG$317),"")</f>
        <v/>
      </c>
      <c r="GH46" s="7">
        <f>IFERROR(AVERAGEIF('Данные 1st'!$S$2:$S$317,$A46,'Данные 1st'!$LH$2:$LH$317),"")</f>
        <v/>
      </c>
      <c r="GI46" s="7">
        <f>IFERROR(AVERAGEIF('Данные 1st'!$S$2:$S$317,$A46,'Данные 1st'!$LI$2:$LI$317),"")</f>
        <v/>
      </c>
      <c r="GJ46" s="7">
        <f>IFERROR(AVERAGEIF('Данные 1st'!$S$2:$S$317,$A46,'Данные 1st'!$LJ$2:$LJ$317),"")</f>
        <v/>
      </c>
      <c r="GK46" s="7">
        <f>IFERROR(AVERAGEIF('Данные 1st'!$S$2:$S$317,$A46,'Данные 1st'!$LK$2:$LK$317),"")</f>
        <v>480</v>
      </c>
      <c r="GL46" s="7">
        <f>IFERROR(AVERAGEIF('Данные 1st'!$S$2:$S$317,$A46,'Данные 1st'!$LV$2:$LV$317),"")</f>
        <v/>
      </c>
      <c r="GM46" s="7">
        <f>IFERROR(AVERAGEIF('Данные 1st'!$S$2:$S$317,$A46,'Данные 1st'!$LW$2:$LW$317),"")</f>
        <v/>
      </c>
      <c r="GN46" s="7">
        <f>IFERROR(AVERAGEIF('Данные 1st'!$S$2:$S$317,$A46,'Данные 1st'!$LX$2:$LX$317),"")</f>
        <v/>
      </c>
      <c r="GO46" s="7">
        <f>IFERROR(AVERAGEIF('Данные 1st'!$S$2:$S$317,$A46,'Данные 1st'!$LY$2:$LY$317),"")</f>
        <v/>
      </c>
      <c r="GP46" s="7">
        <f>IFERROR(AVERAGEIF('Данные 1st'!$S$2:$S$317,$A46,'Данные 1st'!$LZ$2:$LZ$317),"")</f>
        <v/>
      </c>
      <c r="GQ46" s="7">
        <f>IFERROR(AVERAGEIF('Данные 1st'!$S$2:$S$317,$A46,'Данные 1st'!$PG$2:$PG$317),"")</f>
        <v>1</v>
      </c>
      <c r="GR46" s="7">
        <f>IFERROR(AVERAGEIF('Данные 1st'!$S$2:$S$317,$A46,'Данные 1st'!$PX$2:$PX$317),"")</f>
        <v>56</v>
      </c>
      <c r="GS46" s="7">
        <f>IFERROR(AVERAGEIF('Данные 1st'!$S$2:$S$317,$A46,'Данные 1st'!$PY$2:$PY$317),"")</f>
        <v>56.57142857142857</v>
      </c>
      <c r="GT46" s="7">
        <f>IFERROR(AVERAGEIF('Данные 1st'!$S$2:$S$317,$A46,'Данные 1st'!$QA$2:$QA$317),"")</f>
        <v>1.7142857142857142</v>
      </c>
      <c r="GU46" s="7">
        <f>IFERROR(AVERAGEIF('Данные 1st'!$S$2:$S$317,$A46,'Данные 1st'!$QB$2:$QB$317),"")</f>
        <v>1454</v>
      </c>
      <c r="GV46" s="7">
        <f>IFERROR(AVERAGEIF('Данные 1st'!$S$2:$S$317,$A46,'Данные 1st'!$QC$2:$QC$317),"")</f>
        <v>69</v>
      </c>
      <c r="GW46" s="7">
        <f>IFERROR(AVERAGEIF('Данные 1st'!$S$2:$S$317,$A46,'Данные 1st'!$QD$2:$QD$317),"")</f>
        <v>69</v>
      </c>
      <c r="GX46" s="7">
        <f>IFERROR(AVERAGEIF('Данные 1st'!$S$2:$S$317,$A46,'Данные 1st'!$QF$2:$QF$317),"")</f>
        <v>1</v>
      </c>
      <c r="GY46" s="7">
        <f>IFERROR(AVERAGEIF('Данные 1st'!$S$2:$S$317,$A46,'Данные 1st'!$QG$2:$QG$317),"")</f>
        <v>1475</v>
      </c>
      <c r="GZ46" s="7">
        <f>IFERROR(AVERAGEIF('Данные 1st'!$S$2:$S$317,$A46,'Данные 1st'!$QH$2:$QH$317),"")</f>
        <v>66</v>
      </c>
      <c r="HA46" s="7">
        <f>IFERROR(AVERAGEIF('Данные 1st'!$S$2:$S$317,$A46,'Данные 1st'!$QI$2:$QI$317),"")</f>
        <v>66</v>
      </c>
      <c r="HB46" s="7">
        <f>IFERROR(AVERAGEIF('Данные 1st'!$S$2:$S$317,$A46,'Данные 1st'!$QK$2:$QK$317),"")</f>
        <v>1</v>
      </c>
      <c r="HC46" s="7">
        <f>IFERROR(AVERAGEIF('Данные 1st'!$S$2:$S$317,$A46,'Данные 1st'!$QL$2:$QL$317),"")</f>
        <v>1475</v>
      </c>
      <c r="HD46" s="7">
        <f>IFERROR(AVERAGEIF('Данные 1st'!$S$2:$S$317,$A46,'Данные 1st'!$QM$2:$QM$317),"")</f>
        <v>62.142857142857146</v>
      </c>
      <c r="HE46" s="7">
        <f>IFERROR(AVERAGEIF('Данные 1st'!$S$2:$S$317,$A46,'Данные 1st'!$QN$2:$QN$317),"")</f>
        <v>62.142857142857146</v>
      </c>
      <c r="HF46" s="7">
        <f>IFERROR(AVERAGEIF('Данные 1st'!$S$2:$S$317,$A46,'Данные 1st'!$QP$2:$QP$317),"")</f>
        <v>1</v>
      </c>
      <c r="HG46" s="7">
        <f>IFERROR(AVERAGEIF('Данные 1st'!$S$2:$S$317,$A46,'Данные 1st'!$QQ$2:$QQ$317),"")</f>
        <v>1467.5714285714287</v>
      </c>
      <c r="HH46" s="7">
        <f>IFERROR(AVERAGEIF('Данные 1st'!$S$2:$S$317,$A46,'Данные 1st'!$QR$2:$QR$317),"")</f>
        <v>62.333333333333336</v>
      </c>
      <c r="HI46" s="7">
        <f>IFERROR(AVERAGEIF('Данные 1st'!$S$2:$S$317,$A46,'Данные 1st'!$QS$2:$QS$317),"")</f>
        <v>62.333333333333336</v>
      </c>
      <c r="HJ46" s="7">
        <f>IFERROR(AVERAGEIF('Данные 1st'!$S$2:$S$317,$A46,'Данные 1st'!$QU$2:$QU$317),"")</f>
        <v>1</v>
      </c>
      <c r="HK46" s="7">
        <f>IFERROR(AVERAGEIF('Данные 1st'!$S$2:$S$317,$A46,'Данные 1st'!$QV$2:$QV$317),"")</f>
        <v>1472</v>
      </c>
      <c r="HL46" s="7">
        <f>IFERROR(AVERAGEIF('Данные 1st'!$S$2:$S$317,$A46,'Данные 1st'!$QW$2:$QW$317),"")</f>
        <v>82</v>
      </c>
      <c r="HM46" s="7">
        <f>IFERROR(AVERAGEIF('Данные 1st'!$S$2:$S$317,$A46,'Данные 1st'!$QX$2:$QX$317),"")</f>
        <v>88.57142857142857</v>
      </c>
      <c r="HN46" s="7">
        <f>IFERROR(AVERAGEIF('Данные 1st'!$S$2:$S$317,$A46,'Данные 1st'!$QZ$2:$QZ$317),"")</f>
        <v>1</v>
      </c>
      <c r="HO46" s="7">
        <f>IFERROR(AVERAGEIF('Данные 1st'!$S$2:$S$317,$A46,'Данные 1st'!$RA$2:$RA$317),"")</f>
        <v>66</v>
      </c>
      <c r="HP46" s="7">
        <f>IFERROR(AVERAGEIF('Данные 1st'!$S$2:$S$317,$A46,'Данные 1st'!$RB$2:$RB$317),"")</f>
        <v>66</v>
      </c>
      <c r="HQ46" s="7">
        <f>IFERROR(AVERAGEIF('Данные 1st'!$S$2:$S$317,$A46,'Данные 1st'!$RD$2:$RD$317),"")</f>
        <v/>
      </c>
      <c r="HR46" s="7">
        <f>IFERROR(AVERAGEIF('Данные 1st'!$S$2:$S$317,$A46,'Данные 1st'!$RE$2:$RE$317),"")</f>
        <v>0</v>
      </c>
      <c r="HS46" s="7">
        <f>IFERROR(AVERAGEIF('Данные 1st'!$S$2:$S$317,$A46,'Данные 1st'!$RF$2:$RF$317),"")</f>
        <v>1</v>
      </c>
      <c r="HT46" s="7">
        <f>IFERROR(AVERAGEIF('Данные 1st'!$S$2:$S$317,$A46,'Данные 1st'!$RG$2:$RG$317),"")</f>
        <v>1</v>
      </c>
      <c r="HU46" s="7">
        <f>IFERROR(AVERAGEIF('Данные 1st'!$S$2:$S$317,$A46,'Данные 1st'!$RH$2:$RH$317),"")</f>
        <v>1</v>
      </c>
      <c r="HV46" s="7">
        <f>IFERROR(AVERAGEIF('Данные 1st'!$S$2:$S$317,$A46,'Данные 1st'!$RI$2:$RI$317),"")</f>
        <v>1</v>
      </c>
      <c r="HW46" s="7">
        <f>IFERROR(AVERAGEIF('Данные 1st'!$S$2:$S$317,$A46,'Данные 1st'!$RJ$2:$RJ$317),"")</f>
        <v>1</v>
      </c>
      <c r="HX46" s="7">
        <f>IFERROR(AVERAGEIF('Данные 1st'!$S$2:$S$317,$A46,'Данные 1st'!$RK$2:$RK$317),"")</f>
        <v>2.4285714285714284</v>
      </c>
      <c r="HY46" s="7">
        <f>IFERROR(AVERAGEIF('Данные 1st'!$S$2:$S$317,$A46,'Данные 1st'!$RL$2:$RL$317),"")</f>
        <v>2.7142857142857144</v>
      </c>
      <c r="HZ46" s="7">
        <f>IFERROR(AVERAGEIF('Данные 1st'!$S$2:$S$317,$A46,'Данные 1st'!$RM$2:$RM$317),"")</f>
        <v>3.6666666666666665</v>
      </c>
      <c r="IA46" s="7">
        <f>IFERROR(AVERAGEIF('Данные 1st'!$S$2:$S$317,$A46,'Данные 1st'!$RN$2:$RN$317),"")</f>
        <v/>
      </c>
      <c r="IB46" s="7">
        <f>IFERROR(AVERAGEIF('Данные 1st'!$S$2:$S$317,$A46,'Данные 1st'!$RO$2:$RO$317),"")</f>
        <v>541</v>
      </c>
      <c r="IC46" s="7">
        <f>IFERROR(AVERAGEIF('Данные 1st'!$S$2:$S$317,$A46,'Данные 1st'!$RP$2:$RP$317),"")</f>
        <v>128.85714285714286</v>
      </c>
      <c r="ID46" s="7">
        <f>IFERROR(AVERAGEIF('Данные 1st'!$S$2:$S$317,$A46,'Данные 1st'!$RQ$2:$RQ$317),"")</f>
        <v>846.5714285714286</v>
      </c>
      <c r="IE46" s="7">
        <f>IFERROR(AVERAGEIF('Данные 1st'!$S$2:$S$317,$A46,'Данные 1st'!$RR$2:$RR$317),"")</f>
        <v>531.6666666666666</v>
      </c>
      <c r="IF46" s="7">
        <f>IFERROR(AVERAGEIF('Данные 1st'!$S$2:$S$317,$A46,'Данные 1st'!$RS$2:$RS$317),"")</f>
        <v/>
      </c>
      <c r="IG46" s="7">
        <f>IFERROR(AVERAGEIF('Данные 1st'!$S$2:$S$317,$A46,'Данные 1st'!$RT$2:$RT$317),"")</f>
        <v>275</v>
      </c>
      <c r="IH46" s="7">
        <f>IFERROR(AVERAGEIF('Данные 1st'!$S$2:$S$317,$A46,'Данные 1st'!$RU$2:$RU$317),"")</f>
        <v>195.71428571428572</v>
      </c>
      <c r="II46" s="7">
        <f>IFERROR(AVERAGEIF('Данные 1st'!$S$2:$S$317,$A46,'Данные 1st'!$RX$2:$RX$317),"")</f>
        <v>15</v>
      </c>
      <c r="IJ46" s="7">
        <f>IFERROR(AVERAGEIF('Данные 1st'!$S$2:$S$317,$A46,'Данные 1st'!$RY$2:$RY$317),"")</f>
        <v>4</v>
      </c>
      <c r="IK46" s="7">
        <f>IFERROR(AVERAGEIF('Данные 1st'!$S$2:$S$317,$A46,'Данные 1st'!$SA$2:$SA$317),"")</f>
        <v>15</v>
      </c>
      <c r="IL46" s="7">
        <f>IFERROR(AVERAGEIF('Данные 1st'!$S$2:$S$317,$A46,'Данные 1st'!$SD$2:$SD$317),"")</f>
        <v>1</v>
      </c>
      <c r="IM46" s="7">
        <f>IFERROR(AVERAGEIF('Данные 1st'!$S$2:$S$317,$A46,'Данные 1st'!$SG$2:$SG$317),"")</f>
        <v>1</v>
      </c>
      <c r="IN46" s="7">
        <f>IFERROR(AVERAGEIF('Данные 1st'!$S$2:$S$317,$A46,'Данные 1st'!$SH$2:$SH$317),"")</f>
        <v>0.995</v>
      </c>
      <c r="IO46" s="7">
        <f>IFERROR(AVERAGEIF('Данные 1st'!$S$2:$S$317,$A46,'Данные 1st'!$SI$2:$SI$317),"")</f>
        <v>0.995</v>
      </c>
      <c r="IP46" s="7">
        <f>IFERROR(AVERAGEIF('Данные 1st'!$S$2:$S$317,$A46,'Данные 1st'!$SJ$2:$SJ$317),"")</f>
        <v>0.995</v>
      </c>
      <c r="IQ46" s="7">
        <f>IFERROR(AVERAGEIF('Данные 1st'!$S$2:$S$317,$A46,'Данные 1st'!$SK$2:$SK$317),"")</f>
        <v>15</v>
      </c>
      <c r="IR46" s="7">
        <f>IFERROR(AVERAGEIF('Данные 1st'!$S$2:$S$317,$A46,'Данные 1st'!$SL$2:$SL$317),"")</f>
        <v>0</v>
      </c>
      <c r="IS46" s="7">
        <f>IFERROR(AVERAGEIF('Данные 1st'!$S$2:$S$317,$A46,'Данные 1st'!$SM$2:$SM$317),"")</f>
        <v>0</v>
      </c>
      <c r="IT46" s="7">
        <f>IFERROR(AVERAGEIF('Данные 1st'!$S$2:$S$317,$A46,'Данные 1st'!$SN$2:$SN$317),"")</f>
        <v>0</v>
      </c>
      <c r="IU46" s="7">
        <f>IFERROR(AVERAGEIF('Данные 1st'!$S$2:$S$317,$A46,'Данные 1st'!$SO$2:$SO$317),"")</f>
        <v>0</v>
      </c>
      <c r="IV46" s="7">
        <f>IFERROR(AVERAGEIF('Данные 1st'!$S$2:$S$317,$A46,'Данные 1st'!$SP$2:$SP$317),"")</f>
        <v>0</v>
      </c>
      <c r="IW46" s="7">
        <f>IFERROR(AVERAGEIF('Данные 1st'!$S$2:$S$317,$A46,'Данные 1st'!$SQ$2:$SQ$317),"")</f>
        <v>0</v>
      </c>
      <c r="IX46" s="7">
        <f>IFERROR(AVERAGEIF('Данные 1st'!$S$2:$S$317,$A46,'Данные 1st'!$SR$2:$SR$317),"")</f>
        <v>0</v>
      </c>
      <c r="IY46" s="7">
        <f>IFERROR(AVERAGEIF('Данные 1st'!$S$2:$S$317,$A46,'Данные 1st'!$SS$2:$SS$317),"")</f>
        <v>0</v>
      </c>
      <c r="IZ46" s="7">
        <f>IFERROR(AVERAGEIF('Данные 1st'!$S$2:$S$317,$A46,'Данные 1st'!$ST$2:$ST$317),"")</f>
        <v>0</v>
      </c>
      <c r="JA46" s="7">
        <f>IFERROR(AVERAGEIF('Данные 1st'!$S$2:$S$317,$A46,'Данные 1st'!$SU$2:$SU$317),"")</f>
        <v>0</v>
      </c>
      <c r="JB46" s="7">
        <f>IFERROR(AVERAGEIF('Данные 1st'!$S$2:$S$317,$A46,'Данные 1st'!$SV$2:$SV$317),"")</f>
        <v>0</v>
      </c>
      <c r="JC46" s="7">
        <f>IFERROR(AVERAGEIF('Данные 1st'!$S$2:$S$317,$A46,'Данные 1st'!$SW$2:$SW$317),"")</f>
        <v>0</v>
      </c>
      <c r="JD46" s="7">
        <f>IFERROR(AVERAGEIF('Данные 1st'!$S$2:$S$317,$A46,'Данные 1st'!$SX$2:$SX$317),"")</f>
        <v>0</v>
      </c>
      <c r="JE46" s="7">
        <f>IFERROR(AVERAGEIF('Данные 1st'!$S$2:$S$317,$A46,'Данные 1st'!$SY$2:$SY$317),"")</f>
        <v>1</v>
      </c>
      <c r="JF46" s="7">
        <f>IFERROR(AVERAGEIF('Данные 1st'!$S$2:$S$317,$A46,'Данные 1st'!$SZ$2:$SZ$317),"")</f>
        <v>1</v>
      </c>
      <c r="JG46" s="7">
        <f>IFERROR(AVERAGEIF('Данные 1st'!$S$2:$S$317,$A46,'Данные 1st'!$TA$2:$TA$317),"")</f>
        <v/>
      </c>
      <c r="JH46" s="7">
        <f>IFERROR(AVERAGEIF('Данные 1st'!$S$2:$S$317,$A46,'Данные 1st'!$TB$2:$TB$317),"")</f>
        <v>0</v>
      </c>
      <c r="JI46" s="7">
        <f>IFERROR(AVERAGEIF('Данные 1st'!$S$2:$S$317,$A46,'Данные 1st'!$TC$2:$TC$317),"")</f>
        <v>0</v>
      </c>
      <c r="JJ46" s="7">
        <f>IFERROR(AVERAGEIF('Данные 1st'!$S$2:$S$317,$A46,'Данные 1st'!$TD$2:$TD$317),"")</f>
        <v>7.5</v>
      </c>
      <c r="JK46" s="7">
        <f>IFERROR(AVERAGEIF('Данные 1st'!$S$2:$S$317,$A46,'Данные 1st'!$TN$2:$TN$317),"")</f>
        <v>0</v>
      </c>
      <c r="JL46">
        <f>COUNTIF('Данные 2st'!$Q$2:$Q$317,$A46)</f>
        <v>7</v>
      </c>
      <c r="JM46" s="6" t="s">
        <v>5106</v>
      </c>
      <c r="JN46" s="6" t="s">
        <v>513</v>
      </c>
      <c r="JO46" s="6" t="s">
        <v>5125</v>
      </c>
      <c r="JP46" s="6" t="s">
        <v>5500</v>
      </c>
      <c r="JQ46" s="7">
        <f>IFERROR(AVERAGEIF('Данные 2st'!$Q$2:$Q$317,$A46,'Данные 2st'!$AC$2:$AC$317),"")</f>
        <v>9.571428571428571</v>
      </c>
      <c r="JR46" s="7">
        <f>IFERROR(AVERAGEIF('Данные 2st'!$Q$2:$Q$317,$A46,'Данные 2st'!$AF$2:$AF$317),"")</f>
        <v>5059.142857142857</v>
      </c>
      <c r="JS46" s="7">
        <f>IFERROR(AVERAGEIF('Данные 2st'!$Q$2:$Q$317,$A46,'Данные 2st'!$AW$2:$AW$317),"")</f>
        <v>6.4</v>
      </c>
      <c r="JT46" s="7">
        <f>IFERROR(AVERAGEIF('Данные 2st'!$Q$2:$Q$317,$A46,'Данные 2st'!$AX$2:$AX$317),"")</f>
        <v>-6</v>
      </c>
      <c r="JU46" s="7">
        <f>IFERROR(AVERAGEIF('Данные 2st'!$Q$2:$Q$317,$A46,'Данные 2st'!$AY$2:$AY$317),"")</f>
        <v>106.71428571428571</v>
      </c>
      <c r="JV46" s="7">
        <f>IFERROR(AVERAGEIF('Данные 2st'!$Q$2:$Q$317,$A46,'Данные 2st'!$AZ$2:$AZ$317),"")</f>
        <v>76.57142857142857</v>
      </c>
      <c r="JW46" s="7">
        <f>IFERROR(AVERAGEIF('Данные 2st'!$Q$2:$Q$317,$A46,'Данные 2st'!$BA$2:$BA$317),"")</f>
        <v/>
      </c>
      <c r="JX46" s="7">
        <f>IFERROR(AVERAGEIF('Данные 2st'!$Q$2:$Q$317,$A46,'Данные 2st'!$BB$2:$BB$317),"")</f>
        <v/>
      </c>
      <c r="JY46" s="7">
        <f>IFERROR(AVERAGEIF('Данные 2st'!$Q$2:$Q$317,$A46,'Данные 2st'!$BC$2:$BC$317),"")</f>
        <v/>
      </c>
      <c r="JZ46" s="7">
        <f>IFERROR(AVERAGEIF('Данные 2st'!$Q$2:$Q$317,$A46,'Данные 2st'!$BH$2:$BH$317),"")</f>
        <v>106.71428571428571</v>
      </c>
      <c r="KA46" s="7">
        <f>IFERROR(AVERAGEIF('Данные 2st'!$Q$2:$Q$317,$A46,'Данные 2st'!$BI$2:$BI$317),"")</f>
        <v>30.142857142857142</v>
      </c>
      <c r="KB46" s="7">
        <f>IFERROR(AVERAGEIF('Данные 2st'!$Q$2:$Q$317,$A46,'Данные 2st'!$BJ$2:$BJ$317),"")</f>
        <v>76.57142857142857</v>
      </c>
      <c r="KC46" s="7">
        <f>IFERROR(AVERAGEIF('Данные 2st'!$Q$2:$Q$317,$A46,'Данные 2st'!$BK$2:$BK$317),"")</f>
        <v>2.7857142857142856</v>
      </c>
      <c r="KD46" s="7">
        <f>IFERROR(AVERAGEIF('Данные 2st'!$Q$2:$Q$317,$A46,'Данные 2st'!$BL$2:$BL$317),"")</f>
        <v>213.42857142857142</v>
      </c>
      <c r="KE46" s="7">
        <f>IFERROR(AVERAGEIF('Данные 2st'!$Q$2:$Q$317,$A46,'Данные 2st'!$BM$2:$BM$317),"")</f>
        <v>-6</v>
      </c>
      <c r="KF46" s="7">
        <f>IFERROR(AVERAGEIF('Данные 2st'!$Q$2:$Q$317,$A46,'Данные 2st'!$BN$2:$BN$317),"")</f>
        <v>0</v>
      </c>
      <c r="KG46" s="7">
        <f>IFERROR(AVERAGEIF('Данные 2st'!$Q$2:$Q$317,$A46,'Данные 2st'!$BO$2:$BO$317),"")</f>
        <v>0</v>
      </c>
      <c r="KH46" s="7">
        <f>IFERROR(AVERAGEIF('Данные 2st'!$Q$2:$Q$317,$A46,'Данные 2st'!$BP$2:$BP$317),"")</f>
        <v>0</v>
      </c>
      <c r="KI46" s="7">
        <f>IFERROR(AVERAGEIF('Данные 2st'!$Q$2:$Q$317,$A46,'Данные 2st'!$BR$2:$BR$317),"")</f>
        <v>207.85714285714286</v>
      </c>
      <c r="KJ46" s="7">
        <f>IFERROR(AVERAGEIF('Данные 2st'!$Q$2:$Q$317,$A46,'Данные 2st'!$BS$2:$BS$317),"")</f>
        <v>197.85714285714286</v>
      </c>
      <c r="KK46" s="7">
        <f>IFERROR(AVERAGEIF('Данные 2st'!$Q$2:$Q$317,$A46,'Данные 2st'!$BT$2:$BT$317),"")</f>
        <v>2097.1428571428573</v>
      </c>
      <c r="KL46" s="7">
        <f>IFERROR(AVERAGEIF('Данные 2st'!$Q$2:$Q$317,$A46,'Данные 2st'!$CV$2:$CV$317),"")</f>
        <v>130.42857142857142</v>
      </c>
      <c r="KM46" s="7">
        <f>IFERROR(AVERAGEIF('Данные 2st'!$Q$2:$Q$317,$A46,'Данные 2st'!$CW$2:$CW$317),"")</f>
        <v>3</v>
      </c>
      <c r="KN46" s="7">
        <f>IFERROR(AVERAGEIF('Данные 2st'!$Q$2:$Q$317,$A46,'Данные 2st'!$CX$2:$CX$317),"")</f>
        <v>97</v>
      </c>
      <c r="KO46" s="7">
        <f>IFERROR(AVERAGEIF('Данные 2st'!$Q$2:$Q$317,$A46,'Данные 2st'!$CY$2:$CY$317),"")</f>
        <v>5</v>
      </c>
      <c r="KP46" s="7">
        <f>IFERROR(AVERAGEIF('Данные 2st'!$Q$2:$Q$317,$A46,'Данные 2st'!$CZ$2:$CZ$317),"")</f>
        <v>129.14285714285714</v>
      </c>
      <c r="KQ46" s="7">
        <f>IFERROR(AVERAGEIF('Данные 2st'!$Q$2:$Q$317,$A46,'Данные 2st'!$DA$2:$DA$317),"")</f>
        <v>5</v>
      </c>
      <c r="KR46" s="7">
        <f>IFERROR(AVERAGEIF('Данные 2st'!$Q$2:$Q$317,$A46,'Данные 2st'!$DB$2:$DB$317),"")</f>
        <v>12380</v>
      </c>
      <c r="KS46" s="7">
        <f>IFERROR(AVERAGEIF('Данные 2st'!$Q$2:$Q$317,$A46,'Данные 2st'!$DC$2:$DC$317),"")</f>
        <v>342.85714285714283</v>
      </c>
      <c r="KT46" s="7">
        <f>IFERROR(AVERAGEIF('Данные 2st'!$Q$2:$Q$317,$A46,'Данные 2st'!$DD$2:$DD$317),"")</f>
        <v>339.14285714285717</v>
      </c>
      <c r="KU46" s="7">
        <f>IFERROR(AVERAGEIF('Данные 2st'!$Q$2:$Q$317,$A46,'Данные 2st'!$DE$2:$DE$317),"")</f>
        <v>2216.4285714285716</v>
      </c>
      <c r="KV46" s="7">
        <f>IFERROR(AVERAGEIF('Данные 2st'!$Q$2:$Q$317,$A46,'Данные 2st'!$DF$2:$DF$317),"")</f>
        <v>2213.285714285714</v>
      </c>
      <c r="KW46" s="7">
        <f>IFERROR(AVERAGEIF('Данные 2st'!$Q$2:$Q$317,$A46,'Данные 2st'!$DG$2:$DG$317),"")</f>
        <v>2231.8571428571427</v>
      </c>
      <c r="KX46" s="7">
        <f>IFERROR(AVERAGEIF('Данные 2st'!$Q$2:$Q$317,$A46,'Данные 2st'!$DH$2:$DH$317),"")</f>
        <v>0.7142857142857143</v>
      </c>
      <c r="KY46" s="7">
        <f>IFERROR(AVERAGEIF('Данные 2st'!$Q$2:$Q$317,$A46,'Данные 2st'!$DI$2:$DI$317),"")</f>
        <v/>
      </c>
      <c r="KZ46" s="7">
        <f>IFERROR(AVERAGEIF('Данные 2st'!$Q$2:$Q$317,$A46,'Данные 2st'!$DK$2:$DK$317),"")</f>
        <v>207.85714285714286</v>
      </c>
      <c r="LA46" s="7">
        <f>IFERROR(AVERAGEIF('Данные 2st'!$Q$2:$Q$317,$A46,'Данные 2st'!$DM$2:$DM$317),"")</f>
        <v>64.71428571428571</v>
      </c>
      <c r="LB46" s="7">
        <f>IFERROR(AVERAGEIF('Данные 2st'!$Q$2:$Q$317,$A46,'Данные 2st'!$DN$2:$DN$317),"")</f>
        <v>1.062857142857143</v>
      </c>
      <c r="LC46" s="7">
        <f>IFERROR(AVERAGEIF('Данные 2st'!$Q$2:$Q$317,$A46,'Данные 2st'!$DO$2:$DO$317),"")</f>
        <v>1</v>
      </c>
      <c r="LD46" s="7">
        <f>IFERROR(AVERAGEIF('Данные 2st'!$Q$2:$Q$317,$A46,'Данные 2st'!$DP$2:$DP$317),"")</f>
        <v>2100.1428571428573</v>
      </c>
      <c r="LE46" s="7">
        <f>IFERROR(AVERAGEIF('Данные 2st'!$Q$2:$Q$317,$A46,'Данные 2st'!$DQ$2:$DQ$317),"")</f>
        <v>921.4285714285714</v>
      </c>
      <c r="LF46" s="7">
        <f>IFERROR(AVERAGEIF('Данные 2st'!$Q$2:$Q$317,$A46,'Данные 2st'!$DS$2:$DS$317),"")</f>
        <v>197.85714285714286</v>
      </c>
      <c r="LG46" s="7">
        <f>IFERROR(AVERAGEIF('Данные 2st'!$Q$2:$Q$317,$A46,'Данные 2st'!$DU$2:$DU$317),"")</f>
        <v>64.71428571428571</v>
      </c>
      <c r="LH46" s="7">
        <f>IFERROR(AVERAGEIF('Данные 2st'!$Q$2:$Q$317,$A46,'Данные 2st'!$DV$2:$DV$317),"")</f>
        <v>1.062857142857143</v>
      </c>
      <c r="LI46" s="7">
        <f>IFERROR(AVERAGEIF('Данные 2st'!$Q$2:$Q$317,$A46,'Данные 2st'!$DW$2:$DW$317),"")</f>
        <v>1</v>
      </c>
      <c r="LJ46" s="7">
        <f>IFERROR(AVERAGEIF('Данные 2st'!$Q$2:$Q$317,$A46,'Данные 2st'!$DX$2:$DX$317),"")</f>
        <v>2111.4285714285716</v>
      </c>
      <c r="LK46" s="7">
        <f>IFERROR(AVERAGEIF('Данные 2st'!$Q$2:$Q$317,$A46,'Данные 2st'!$DY$2:$DY$317),"")</f>
        <v>882.7142857142857</v>
      </c>
      <c r="LL46" s="7">
        <f>IFERROR(AVERAGEIF('Данные 2st'!$Q$2:$Q$317,$A46,'Данные 2st'!$EA$2:$EA$317),"")</f>
        <v>21.857142857142858</v>
      </c>
      <c r="LM46" s="7">
        <f>IFERROR(AVERAGEIF('Данные 2st'!$Q$2:$Q$317,$A46,'Данные 2st'!$EC$2:$EC$317),"")</f>
        <v>0.7428571428571429</v>
      </c>
      <c r="LN46" s="7">
        <f>IFERROR(AVERAGEIF('Данные 2st'!$Q$2:$Q$317,$A46,'Данные 2st'!$ED$2:$ED$317),"")</f>
        <v>2100.1428571428573</v>
      </c>
      <c r="LO46" s="7">
        <f>IFERROR(AVERAGEIF('Данные 2st'!$Q$2:$Q$317,$A46,'Данные 2st'!$EE$2:$EE$317),"")</f>
        <v>71.57142857142857</v>
      </c>
      <c r="LP46" s="7">
        <f>IFERROR(AVERAGEIF('Данные 2st'!$Q$2:$Q$317,$A46,'Данные 2st'!$EG$2:$EG$317),"")</f>
        <v>4.714285714285714</v>
      </c>
      <c r="LQ46" s="7">
        <f>IFERROR(AVERAGEIF('Данные 2st'!$Q$2:$Q$317,$A46,'Данные 2st'!$EI$2:$EI$317),"")</f>
        <v>0.05714285714285715</v>
      </c>
      <c r="LR46" s="7">
        <f>IFERROR(AVERAGEIF('Данные 2st'!$Q$2:$Q$317,$A46,'Данные 2st'!$EJ$2:$EJ$317),"")</f>
        <v>2115</v>
      </c>
      <c r="LS46" s="7">
        <f>IFERROR(AVERAGEIF('Данные 2st'!$Q$2:$Q$317,$A46,'Данные 2st'!$EK$2:$EK$317),"")</f>
        <v>61</v>
      </c>
      <c r="LT46" s="7">
        <f>IFERROR(AVERAGEIF('Данные 2st'!$Q$2:$Q$317,$A46,'Данные 2st'!$EM$2:$EM$317),"")</f>
        <v>12</v>
      </c>
      <c r="LU46" s="7">
        <f>IFERROR(AVERAGEIF('Данные 2st'!$Q$2:$Q$317,$A46,'Данные 2st'!$EN$2:$EN$317),"")</f>
        <v>0.5</v>
      </c>
      <c r="LV46" s="7">
        <f>IFERROR(AVERAGEIF('Данные 2st'!$Q$2:$Q$317,$A46,'Данные 2st'!$EO$2:$EO$317),"")</f>
        <v>0.96</v>
      </c>
      <c r="LW46" s="7">
        <f>IFERROR(AVERAGEIF('Данные 2st'!$Q$2:$Q$317,$A46,'Данные 2st'!$EP$2:$EP$317),"")</f>
        <v>2110.505714285714</v>
      </c>
      <c r="LX46" s="7">
        <f>IFERROR(AVERAGEIF('Данные 2st'!$Q$2:$Q$317,$A46,'Данные 2st'!$EQ$2:$EQ$317),"")</f>
        <v>37168.04857142857</v>
      </c>
      <c r="LY46" s="7">
        <f>IFERROR(AVERAGEIF('Данные 2st'!$Q$2:$Q$317,$A46,'Данные 2st'!$ER$2:$ER$317),"")</f>
        <v>9971.148571428572</v>
      </c>
      <c r="LZ46" s="7">
        <f>IFERROR(AVERAGEIF('Данные 2st'!$Q$2:$Q$317,$A46,'Данные 2st'!$ES$2:$ES$317),"")</f>
        <v>0</v>
      </c>
      <c r="MA46" s="7">
        <f>IFERROR(AVERAGEIF('Данные 2st'!$Q$2:$Q$317,$A46,'Данные 2st'!$ET$2:$ET$317),"")</f>
        <v>0</v>
      </c>
      <c r="MB46" s="7">
        <f>IFERROR(AVERAGEIF('Данные 2st'!$Q$2:$Q$317,$A46,'Данные 2st'!$EU$2:$EU$317),"")</f>
        <v>1</v>
      </c>
      <c r="MC46" s="7">
        <f>IFERROR(AVERAGEIF('Данные 2st'!$Q$2:$Q$317,$A46,'Данные 2st'!$EV$2:$EV$317),"")</f>
        <v>47139.857142857145</v>
      </c>
      <c r="MD46" s="7">
        <f>IFERROR(AVERAGEIF('Данные 2st'!$Q$2:$Q$317,$A46,'Данные 2st'!$EW$2:$EW$317),"")</f>
        <v>566.2857142857143</v>
      </c>
      <c r="ME46" s="7">
        <f>IFERROR(AVERAGEIF('Данные 2st'!$Q$2:$Q$317,$A46,'Данные 2st'!$EY$2:$EY$317),"")</f>
        <v>225.42857142857142</v>
      </c>
      <c r="MF46" s="7">
        <f>IFERROR(AVERAGEIF('Данные 2st'!$Q$2:$Q$317,$A46,'Данные 2st'!$FA$2:$FA$317),"")</f>
        <v>5.128571428571429</v>
      </c>
      <c r="MG46" s="7">
        <f>IFERROR(AVERAGEIF('Данные 2st'!$Q$2:$Q$317,$A46,'Данные 2st'!$FB$2:$FB$317),"")</f>
        <v>1</v>
      </c>
      <c r="MH46" s="7">
        <f>IFERROR(AVERAGEIF('Данные 2st'!$Q$2:$Q$317,$A46,'Данные 2st'!$FC$2:$FC$317),"")</f>
        <v>1</v>
      </c>
      <c r="MI46" s="7">
        <f>IFERROR(AVERAGEIF('Данные 2st'!$Q$2:$Q$317,$A46,'Данные 2st'!$FD$2:$FD$317),"")</f>
        <v>2144.1428571428573</v>
      </c>
      <c r="MJ46" s="7">
        <f>IFERROR(AVERAGEIF('Данные 2st'!$Q$2:$Q$317,$A46,'Данные 2st'!$FE$2:$FE$317),"")</f>
        <v>2741</v>
      </c>
      <c r="MK46" s="7">
        <f>IFERROR(AVERAGEIF('Данные 2st'!$Q$2:$Q$317,$A46,'Данные 2st'!$FG$2:$FG$317),"")</f>
        <v>225.42857142857142</v>
      </c>
      <c r="ML46" s="7">
        <f>IFERROR(AVERAGEIF('Данные 2st'!$Q$2:$Q$317,$A46,'Данные 2st'!$FI$2:$FI$317),"")</f>
        <v>3.157142857142857</v>
      </c>
      <c r="MM46" s="7">
        <f>IFERROR(AVERAGEIF('Данные 2st'!$Q$2:$Q$317,$A46,'Данные 2st'!$FJ$2:$FJ$317),"")</f>
        <v>2144.1428571428573</v>
      </c>
      <c r="MN46" s="7">
        <f>IFERROR(AVERAGEIF('Данные 2st'!$Q$2:$Q$317,$A46,'Данные 2st'!$FK$2:$FK$317),"")</f>
        <v>1703.4285714285713</v>
      </c>
      <c r="MO46" s="7">
        <f>IFERROR(AVERAGEIF('Данные 2st'!$Q$2:$Q$317,$A46,'Данные 2st'!$FP$2:$FP$317),"")</f>
        <v>2144.1428571428573</v>
      </c>
      <c r="MP46" s="7">
        <f>IFERROR(AVERAGEIF('Данные 2st'!$Q$2:$Q$317,$A46,'Данные 2st'!$FQ$2:$FQ$317),"")</f>
        <v>179.71428571428572</v>
      </c>
      <c r="MQ46" s="7">
        <f>IFERROR(AVERAGEIF('Данные 2st'!$Q$2:$Q$317,$A46,'Данные 2st'!$FS$2:$FS$317),"")</f>
        <v>229.42857142857142</v>
      </c>
      <c r="MR46" s="7">
        <f>IFERROR(AVERAGEIF('Данные 2st'!$Q$2:$Q$317,$A46,'Данные 2st'!$FU$2:$FU$317),"")</f>
        <v>0.4</v>
      </c>
      <c r="MS46" s="7">
        <f>IFERROR(AVERAGEIF('Данные 2st'!$Q$2:$Q$317,$A46,'Данные 2st'!$FV$2:$FV$317),"")</f>
        <v>2144.1428571428573</v>
      </c>
      <c r="MT46" s="7">
        <f>IFERROR(AVERAGEIF('Данные 2st'!$Q$2:$Q$317,$A46,'Данные 2st'!$FW$2:$FW$317),"")</f>
        <v>218.71428571428572</v>
      </c>
      <c r="MU46" s="7">
        <f>IFERROR(AVERAGEIF('Данные 2st'!$Q$2:$Q$317,$A46,'Данные 2st'!$FY$2:$FY$317),"")</f>
        <v>5</v>
      </c>
      <c r="MV46" s="7">
        <f>IFERROR(AVERAGEIF('Данные 2st'!$Q$2:$Q$317,$A46,'Данные 2st'!$GB$2:$GB$317),"")</f>
        <v>2144.1428571428573</v>
      </c>
      <c r="MW46" s="7">
        <f>IFERROR(AVERAGEIF('Данные 2st'!$Q$2:$Q$317,$A46,'Данные 2st'!$GC$2:$GC$317),"")</f>
        <v>21.571428571428573</v>
      </c>
      <c r="MX46" s="7">
        <f>IFERROR(AVERAGEIF('Данные 2st'!$Q$2:$Q$317,$A46,'Данные 2st'!$GD$2:$GD$317),"")</f>
        <v>4864.428571428572</v>
      </c>
      <c r="MY46" s="7">
        <f>IFERROR(AVERAGEIF('Данные 2st'!$Q$2:$Q$317,$A46,'Данные 2st'!$GN$2:$GN$317),"")</f>
        <v/>
      </c>
      <c r="MZ46" s="7">
        <f>IFERROR(AVERAGEIF('Данные 2st'!$Q$2:$Q$317,$A46,'Данные 2st'!$GQ$2:$GQ$317),"")</f>
        <v>0</v>
      </c>
      <c r="NA46" s="7">
        <f>IFERROR(AVERAGEIF('Данные 2st'!$Q$2:$Q$317,$A46,'Данные 2st'!$GV$2:$GV$317),"")</f>
        <v>8.685714285714285</v>
      </c>
      <c r="NB46" s="7">
        <f>IFERROR(AVERAGEIF('Данные 2st'!$Q$2:$Q$317,$A46,'Данные 2st'!$GW$2:$GW$317),"")</f>
        <v>10.32857142857143</v>
      </c>
      <c r="NC46" s="7">
        <f>IFERROR(AVERAGEIF('Данные 2st'!$Q$2:$Q$317,$A46,'Данные 2st'!$GX$2:$GX$317),"")</f>
        <v>0.5</v>
      </c>
      <c r="ND46" s="7">
        <f>IFERROR(AVERAGEIF('Данные 2st'!$Q$2:$Q$317,$A46,'Данные 2st'!$GY$2:$GY$317),"")</f>
        <v>194.57142857142858</v>
      </c>
      <c r="NE46" s="7">
        <f>IFERROR(AVERAGEIF('Данные 2st'!$Q$2:$Q$317,$A46,'Данные 2st'!$GZ$2:$GZ$317),"")</f>
        <v>3</v>
      </c>
      <c r="NF46" s="7">
        <f>IFERROR(AVERAGEIF('Данные 2st'!$Q$2:$Q$317,$A46,'Данные 2st'!$HA$2:$HA$317),"")</f>
        <v>246.28571428571428</v>
      </c>
      <c r="NG46" s="7">
        <f>IFERROR(AVERAGEIF('Данные 2st'!$Q$2:$Q$317,$A46,'Данные 2st'!$HB$2:$HB$317),"")</f>
        <v>3</v>
      </c>
      <c r="NH46" s="7">
        <f>IFERROR(AVERAGEIF('Данные 2st'!$Q$2:$Q$317,$A46,'Данные 2st'!$HC$2:$HC$317),"")</f>
        <v>2144.1428571428573</v>
      </c>
      <c r="NI46" s="7">
        <f>IFERROR(AVERAGEIF('Данные 2st'!$Q$2:$Q$317,$A46,'Данные 2st'!$HD$2:$HD$317),"")</f>
        <v>4</v>
      </c>
      <c r="NJ46" s="7">
        <f>IFERROR(AVERAGEIF('Данные 2st'!$Q$2:$Q$317,$A46,'Данные 2st'!$HM$2:$HM$317),"")</f>
        <v>19</v>
      </c>
      <c r="NK46" s="7">
        <f>IFERROR(AVERAGEIF('Данные 2st'!$Q$2:$Q$317,$A46,'Данные 2st'!$HR$2:$HR$317),"")</f>
        <v>2.2857142857142856</v>
      </c>
      <c r="NL46" s="7">
        <f>IFERROR(AVERAGEIF('Данные 2st'!$Q$2:$Q$317,$A46,'Данные 2st'!$HS$2:$HS$317),"")</f>
        <v>2097.1428571428573</v>
      </c>
      <c r="NM46" s="7">
        <f>IFERROR(AVERAGEIF('Данные 2st'!$Q$2:$Q$317,$A46,'Данные 2st'!$HT$2:$HT$317),"")</f>
        <v>5</v>
      </c>
      <c r="NN46" s="7">
        <f>IFERROR(AVERAGEIF('Данные 2st'!$Q$2:$Q$317,$A46,'Данные 2st'!$HY$2:$HY$317),"")</f>
        <v>0</v>
      </c>
      <c r="NO46" s="7">
        <f>IFERROR(AVERAGEIF('Данные 2st'!$Q$2:$Q$317,$A46,'Данные 2st'!$HZ$2:$HZ$317),"")</f>
        <v>64.71428571428571</v>
      </c>
      <c r="NP46" s="7">
        <f>IFERROR(AVERAGEIF('Данные 2st'!$Q$2:$Q$317,$A46,'Данные 2st'!$IA$2:$IA$317),"")</f>
        <v>2100.1428571428573</v>
      </c>
      <c r="NQ46" s="7">
        <f>IFERROR(AVERAGEIF('Данные 2st'!$Q$2:$Q$317,$A46,'Данные 2st'!$IB$2:$IB$317),"")</f>
        <v>2111.4285714285716</v>
      </c>
      <c r="NR46" s="7">
        <f>IFERROR(AVERAGEIF('Данные 2st'!$Q$2:$Q$317,$A46,'Данные 2st'!$IC$2:$IC$317),"")</f>
        <v/>
      </c>
      <c r="NS46" s="7">
        <f>IFERROR(AVERAGEIF('Данные 2st'!$Q$2:$Q$317,$A46,'Данные 2st'!$ID$2:$ID$317),"")</f>
        <v>2144.1428571428573</v>
      </c>
      <c r="NT46" s="7">
        <f>IFERROR(AVERAGEIF('Данные 2st'!$Q$2:$Q$317,$A46,'Данные 2st'!$IE$2:$IE$317),"")</f>
        <v>2144.1428571428573</v>
      </c>
      <c r="NU46" s="7">
        <f>IFERROR(AVERAGEIF('Данные 2st'!$Q$2:$Q$317,$A46,'Данные 2st'!$IF$2:$IF$317),"")</f>
        <v>207.85714285714286</v>
      </c>
      <c r="NV46" s="7">
        <f>IFERROR(AVERAGEIF('Данные 2st'!$Q$2:$Q$317,$A46,'Данные 2st'!$IG$2:$IG$317),"")</f>
        <v>197.85714285714286</v>
      </c>
      <c r="NW46" s="7">
        <f>IFERROR(AVERAGEIF('Данные 2st'!$Q$2:$Q$317,$A46,'Данные 2st'!$IH$2:$IH$317),"")</f>
        <v>246.28571428571428</v>
      </c>
      <c r="NX46" s="7">
        <f>IFERROR(AVERAGEIF('Данные 2st'!$Q$2:$Q$317,$A46,'Данные 2st'!$IJ$2:$IJ$317),"")</f>
        <v>6.428571428571429</v>
      </c>
      <c r="NY46" s="7">
        <f>IFERROR(AVERAGEIF('Данные 2st'!$Q$2:$Q$317,$A46,'Данные 2st'!$IM$2:$IM$317),"")</f>
        <v>0</v>
      </c>
      <c r="NZ46" s="7">
        <f>IFERROR(AVERAGEIF('Данные 2st'!$Q$2:$Q$317,$A46,'Данные 2st'!$IN$2:$IN$317),"")</f>
        <v>270</v>
      </c>
      <c r="OA46" s="7">
        <f>IFERROR(AVERAGEIF('Данные 2st'!$Q$2:$Q$317,$A46,'Данные 2st'!$IO$2:$IO$317),"")</f>
        <v>0</v>
      </c>
      <c r="OB46" s="7">
        <f>IFERROR(AVERAGEIF('Данные 2st'!$Q$2:$Q$317,$A46,'Данные 2st'!$IP$2:$IP$317),"")</f>
        <v>180</v>
      </c>
      <c r="OC46" s="7">
        <f>IFERROR(AVERAGEIF('Данные 2st'!$Q$2:$Q$317,$A46,'Данные 2st'!$IQ$2:$IQ$317),"")</f>
        <v>0</v>
      </c>
      <c r="OD46" s="7">
        <f>IFERROR(AVERAGEIF('Данные 2st'!$Q$2:$Q$317,$A46,'Данные 2st'!$IR$2:$IR$317),"")</f>
        <v>330</v>
      </c>
      <c r="OE46" s="7">
        <f>IFERROR(AVERAGEIF('Данные 2st'!$Q$2:$Q$317,$A46,'Данные 2st'!$IT$2:$IT$317),"")</f>
        <v>90</v>
      </c>
      <c r="OF46" s="7">
        <f>IFERROR(AVERAGEIF('Данные 2st'!$Q$2:$Q$317,$A46,'Данные 2st'!$IU$2:$IU$317),"")</f>
        <v>0</v>
      </c>
      <c r="OG46" s="7">
        <f>IFERROR(AVERAGEIF('Данные 2st'!$Q$2:$Q$317,$A46,'Данные 2st'!$IV$2:$IV$317),"")</f>
        <v>6.4</v>
      </c>
      <c r="OH46" s="7">
        <f>IFERROR(AVERAGEIF('Данные 2st'!$Q$2:$Q$317,$A46,'Данные 2st'!$IW$2:$IW$317),"")</f>
        <v>-6</v>
      </c>
      <c r="OI46" s="7">
        <f>IFERROR(AVERAGEIF('Данные 2st'!$Q$2:$Q$317,$A46,'Данные 2st'!$IX$2:$IX$317),"")</f>
        <v>106.71428571428571</v>
      </c>
      <c r="OJ46" s="7">
        <f>IFERROR(AVERAGEIF('Данные 2st'!$Q$2:$Q$317,$A46,'Данные 2st'!$IY$2:$IY$317),"")</f>
        <v>76.57142857142857</v>
      </c>
      <c r="OK46" s="7">
        <f>IFERROR(AVERAGEIF('Данные 2st'!$Q$2:$Q$317,$A46,'Данные 2st'!$IZ$2:$IZ$317),"")</f>
        <v>0</v>
      </c>
      <c r="OL46" s="7">
        <f>IFERROR(AVERAGEIF('Данные 2st'!$Q$2:$Q$317,$A46,'Данные 2st'!$JA$2:$JA$317),"")</f>
        <v>0</v>
      </c>
      <c r="OM46" s="7">
        <f>IFERROR(AVERAGEIF('Данные 2st'!$Q$2:$Q$317,$A46,'Данные 2st'!$JB$2:$JB$317),"")</f>
        <v>0</v>
      </c>
      <c r="ON46" s="7">
        <f>IFERROR(AVERAGEIF('Данные 2st'!$Q$2:$Q$317,$A46,'Данные 2st'!$JC$2:$JC$317),"")</f>
        <v>0</v>
      </c>
      <c r="OO46" s="7">
        <f>IFERROR(AVERAGEIF('Данные 2st'!$Q$2:$Q$317,$A46,'Данные 2st'!$JD$2:$JD$317),"")</f>
        <v>0</v>
      </c>
      <c r="OP46" s="7">
        <f>IFERROR(AVERAGEIF('Данные 2st'!$Q$2:$Q$317,$A46,'Данные 2st'!$JE$2:$JE$317),"")</f>
        <v>0</v>
      </c>
      <c r="OQ46" s="7">
        <f>IFERROR(AVERAGEIF('Данные 2st'!$Q$2:$Q$317,$A46,'Данные 2st'!$JF$2:$JF$317),"")</f>
        <v>0</v>
      </c>
      <c r="OR46" s="7">
        <f>IFERROR(AVERAGEIF('Данные 2st'!$Q$2:$Q$317,$A46,'Данные 2st'!$JG$2:$JG$317),"")</f>
        <v>0</v>
      </c>
      <c r="OS46" s="7">
        <f>IFERROR(AVERAGEIF('Данные 2st'!$Q$2:$Q$317,$A46,'Данные 2st'!$JH$2:$JH$317),"")</f>
        <v>0</v>
      </c>
      <c r="OT46" s="7">
        <f>IFERROR(AVERAGEIF('Данные 2st'!$Q$2:$Q$317,$A46,'Данные 2st'!$JI$2:$JI$317),"")</f>
        <v>386.85714285714283</v>
      </c>
      <c r="OU46" s="7">
        <f>IFERROR(AVERAGEIF('Данные 2st'!$Q$2:$Q$317,$A46,'Данные 2st'!$JJ$2:$JJ$317),"")</f>
        <v>356.85714285714283</v>
      </c>
      <c r="OV46" s="7">
        <f>IFERROR(AVERAGEIF('Данные 2st'!$Q$2:$Q$317,$A46,'Данные 2st'!$JK$2:$JK$317),"")</f>
        <v>262.2857142857143</v>
      </c>
      <c r="OW46" s="7">
        <f>IFERROR(AVERAGEIF('Данные 2st'!$Q$2:$Q$317,$A46,'Данные 2st'!$JL$2:$JL$317),"")</f>
        <v>354.85714285714283</v>
      </c>
      <c r="OX46" s="7">
        <f>IFERROR(AVERAGEIF('Данные 2st'!$Q$2:$Q$317,$A46,'Данные 2st'!$JM$2:$JM$317),"")</f>
        <v>275.57142857142856</v>
      </c>
      <c r="OY46" s="7">
        <f>IFERROR(AVERAGEIF('Данные 2st'!$Q$2:$Q$317,$A46,'Данные 2st'!$JP$2:$JP$317),"")</f>
        <v>207.42857142857142</v>
      </c>
      <c r="OZ46" s="7">
        <f>IFERROR(AVERAGEIF('Данные 2st'!$Q$2:$Q$317,$A46,'Данные 2st'!$JQ$2:$JQ$317),"")</f>
        <v>246.71428571428572</v>
      </c>
      <c r="PA46" s="7">
        <f>IFERROR(AVERAGEIF('Данные 2st'!$Q$2:$Q$317,$A46,'Данные 2st'!$JR$2:$JR$317),"")</f>
        <v>301.85714285714283</v>
      </c>
      <c r="PB46" s="7">
        <f>IFERROR(AVERAGEIF('Данные 2st'!$Q$2:$Q$317,$A46,'Данные 2st'!$JS$2:$JS$317),"")</f>
        <v>240.85714285714286</v>
      </c>
      <c r="PC46" s="7">
        <f>IFERROR(AVERAGEIF('Данные 2st'!$Q$2:$Q$317,$A46,'Данные 2st'!$JT$2:$JT$317),"")</f>
        <v>0</v>
      </c>
      <c r="PD46" s="7">
        <f>IFERROR(AVERAGEIF('Данные 2st'!$Q$2:$Q$317,$A46,'Данные 2st'!$JU$2:$JU$317),"")</f>
        <v>0</v>
      </c>
      <c r="PE46" s="7">
        <f>IFERROR(AVERAGEIF('Данные 2st'!$Q$2:$Q$317,$A46,'Данные 2st'!$JV$2:$JV$317),"")</f>
        <v>295.14285714285717</v>
      </c>
      <c r="PF46" s="7">
        <f>IFERROR(AVERAGEIF('Данные 2st'!$Q$2:$Q$317,$A46,'Данные 2st'!$JW$2:$JW$317),"")</f>
        <v>286.2857142857143</v>
      </c>
      <c r="PG46" s="7">
        <f>IFERROR(AVERAGEIF('Данные 2st'!$Q$2:$Q$317,$A46,'Данные 2st'!$KF$2:$KF$317),"")</f>
        <v>0.17857142857142858</v>
      </c>
      <c r="PH46" s="7">
        <f>IFERROR(AVERAGEIF('Данные 2st'!$Q$2:$Q$317,$A46,'Данные 2st'!$KG$2:$KG$317),"")</f>
        <v>0.10714285714285715</v>
      </c>
      <c r="PI46" s="7">
        <f>IFERROR(AVERAGEIF('Данные 2st'!$Q$2:$Q$317,$A46,'Данные 2st'!$KM$2:$KM$317),"")</f>
        <v>0</v>
      </c>
      <c r="PJ46" s="7">
        <f>IFERROR(AVERAGEIF('Данные 2st'!$Q$2:$Q$317,$A46,'Данные 2st'!$KN$2:$KN$317),"")</f>
        <v>1.7571428571428571</v>
      </c>
      <c r="PK46" s="7">
        <f>IFERROR(AVERAGEIF('Данные 2st'!$Q$2:$Q$317,$A46,'Данные 2st'!$KO$2:$KO$317),"")</f>
        <v>0</v>
      </c>
      <c r="PL46" s="7">
        <f>IFERROR(AVERAGEIF('Данные 2st'!$Q$2:$Q$317,$A46,'Данные 2st'!$KP$2:$KP$317),"")</f>
        <v>0</v>
      </c>
      <c r="PM46" s="7">
        <f>IFERROR(AVERAGEIF('Данные 2st'!$Q$2:$Q$317,$A46,'Данные 2st'!$KQ$2:$KQ$317),"")</f>
        <v>0.7285714285714285</v>
      </c>
      <c r="PN46" s="7">
        <f>IFERROR(AVERAGEIF('Данные 2st'!$Q$2:$Q$317,$A46,'Данные 2st'!$KR$2:$KR$317),"")</f>
        <v>0.7857142857142857</v>
      </c>
      <c r="PO46" s="7">
        <f>IFERROR(AVERAGEIF('Данные 2st'!$Q$2:$Q$317,$A46,'Данные 2st'!$KS$2:$KS$317),"")</f>
        <v>0</v>
      </c>
      <c r="PP46" s="7">
        <f>IFERROR(AVERAGEIF('Данные 2st'!$Q$2:$Q$317,$A46,'Данные 2st'!$KT$2:$KT$317),"")</f>
        <v>2.9857142857142858</v>
      </c>
      <c r="PQ46" s="7">
        <f>IFERROR(AVERAGEIF('Данные 2st'!$Q$2:$Q$317,$A46,'Данные 2st'!$KU$2:$KU$317),"")</f>
        <v>0</v>
      </c>
      <c r="PR46" s="7">
        <f>IFERROR(AVERAGEIF('Данные 2st'!$Q$2:$Q$317,$A46,'Данные 2st'!$KV$2:$KV$317),"")</f>
        <v>0</v>
      </c>
      <c r="PS46" s="7">
        <f>IFERROR(AVERAGEIF('Данные 2st'!$Q$2:$Q$317,$A46,'Данные 2st'!$KW$2:$KW$317),"")</f>
        <v>0.9857142857142857</v>
      </c>
      <c r="PT46" s="7">
        <f>IFERROR(AVERAGEIF('Данные 2st'!$Q$2:$Q$317,$A46,'Данные 2st'!$KX$2:$KX$317),"")</f>
        <v>1.7857142857142858</v>
      </c>
      <c r="PU46" s="7">
        <f>IFERROR(AVERAGEIF('Данные 2st'!$Q$2:$Q$317,$A46,'Данные 2st'!$KY$2:$KY$317),"")</f>
        <v>0</v>
      </c>
      <c r="PV46" s="7">
        <f>IFERROR(AVERAGEIF('Данные 2st'!$Q$2:$Q$317,$A46,'Данные 2st'!$KZ$2:$KZ$317),"")</f>
        <v>0</v>
      </c>
      <c r="PW46" s="7">
        <f>IFERROR(AVERAGEIF('Данные 2st'!$Q$2:$Q$317,$A46,'Данные 2st'!$LA$2:$LA$317),"")</f>
        <v>0</v>
      </c>
      <c r="PX46" s="7">
        <f>IFERROR(AVERAGEIF('Данные 2st'!$Q$2:$Q$317,$A46,'Данные 2st'!$LB$2:$LB$317),"")</f>
        <v>0</v>
      </c>
      <c r="PY46" s="7">
        <f>IFERROR(AVERAGEIF('Данные 2st'!$Q$2:$Q$317,$A46,'Данные 2st'!$LC$2:$LC$317),"")</f>
        <v>0</v>
      </c>
      <c r="PZ46" s="7">
        <f>IFERROR(AVERAGEIF('Данные 2st'!$Q$2:$Q$317,$A46,'Данные 2st'!$LD$2:$LD$317),"")</f>
        <v>0</v>
      </c>
      <c r="QA46" s="7">
        <f>IFERROR(AVERAGEIF('Данные 2st'!$Q$2:$Q$317,$A46,'Данные 2st'!$LE$2:$LE$317),"")</f>
        <v>0</v>
      </c>
      <c r="QB46" s="7">
        <f>IFERROR(AVERAGEIF('Данные 2st'!$Q$2:$Q$317,$A46,'Данные 2st'!$LF$2:$LF$317),"")</f>
        <v>0</v>
      </c>
      <c r="QC46" s="7">
        <f>IFERROR(AVERAGEIF('Данные 2st'!$Q$2:$Q$317,$A46,'Данные 2st'!$LG$2:$LG$317),"")</f>
        <v>0</v>
      </c>
      <c r="QD46" s="7">
        <f>IFERROR(AVERAGEIF('Данные 2st'!$Q$2:$Q$317,$A46,'Данные 2st'!$LH$2:$LH$317),"")</f>
        <v>3</v>
      </c>
      <c r="QE46" s="7">
        <f>IFERROR(AVERAGEIF('Данные 2st'!$Q$2:$Q$317,$A46,'Данные 2st'!$LJ$2:$LJ$317),"")</f>
        <v>0</v>
      </c>
      <c r="QF46" s="7">
        <f>IFERROR(AVERAGEIF('Данные 2st'!$Q$2:$Q$317,$A46,'Данные 2st'!$LK$2:$LK$317),"")</f>
        <v>8.428571428571429</v>
      </c>
      <c r="QG46" s="7">
        <f>IFERROR(AVERAGEIF('Данные 2st'!$Q$2:$Q$317,$A46,'Данные 2st'!$LL$2:$LL$317),"")</f>
        <v>4.428571428571429</v>
      </c>
      <c r="QH46" s="7">
        <f>IFERROR(AVERAGEIF('Данные 2st'!$Q$2:$Q$317,$A46,'Данные 2st'!$LM$2:$LM$317),"")</f>
        <v>8.571428571428571</v>
      </c>
      <c r="QI46" s="7">
        <f>IFERROR(AVERAGEIF('Данные 2st'!$Q$2:$Q$317,$A46,'Данные 2st'!$LN$2:$LN$317),"")</f>
        <v>0.7285714285714285</v>
      </c>
      <c r="QJ46" s="7">
        <f>IFERROR(AVERAGEIF('Данные 2st'!$Q$2:$Q$317,$A46,'Данные 2st'!$LO$2:$LO$317),"")</f>
        <v>2.3714285714285714</v>
      </c>
      <c r="QK46" s="7">
        <f>IFERROR(AVERAGEIF('Данные 2st'!$Q$2:$Q$317,$A46,'Данные 2st'!$LP$2:$LP$317),"")</f>
        <v>0</v>
      </c>
      <c r="QL46" s="7">
        <f>IFERROR(AVERAGEIF('Данные 2st'!$Q$2:$Q$317,$A46,'Данные 2st'!$LQ$2:$LQ$317),"")</f>
        <v>0</v>
      </c>
      <c r="QM46" s="7">
        <f>IFERROR(AVERAGEIF('Данные 2st'!$Q$2:$Q$317,$A46,'Данные 2st'!$LW$2:$LW$317),"")</f>
        <v>2.1</v>
      </c>
      <c r="QN46" s="7">
        <f>IFERROR(AVERAGEIF('Данные 2st'!$Q$2:$Q$317,$A46,'Данные 2st'!$LX$2:$LX$317),"")</f>
        <v>2.1</v>
      </c>
      <c r="QO46" s="7">
        <f>IFERROR(AVERAGEIF('Данные 2st'!$Q$2:$Q$317,$A46,'Данные 2st'!$LY$2:$LY$317),"")</f>
        <v>2.4</v>
      </c>
      <c r="QP46" s="7">
        <f>IFERROR(AVERAGEIF('Данные 2st'!$Q$2:$Q$317,$A46,'Данные 2st'!$LZ$2:$LZ$317),"")</f>
        <v>2.4</v>
      </c>
      <c r="QQ46" s="7">
        <f>IFERROR(AVERAGEIF('Данные 2st'!$Q$2:$Q$317,$A46,'Данные 2st'!$MB$2:$MB$317),"")</f>
        <v>3.0</v>
      </c>
      <c r="QR46" s="7">
        <f>IFERROR(AVERAGEIF('Данные 2st'!$Q$2:$Q$317,$A46,'Данные 2st'!$MG$2:$MG$317),"")</f>
        <v>0</v>
      </c>
      <c r="QS46" s="7">
        <f>IFERROR(AVERAGEIF('Данные 2st'!$Q$2:$Q$317,$A46,'Данные 2st'!$MH$2:$MH$317),"")</f>
        <v>0</v>
      </c>
      <c r="QT46" s="7">
        <f>IFERROR(AVERAGEIF('Данные 2st'!$Q$2:$Q$317,$A46,'Данные 2st'!$MI$2:$MI$317),"")</f>
        <v>0</v>
      </c>
      <c r="QU46" s="7">
        <f>IFERROR(AVERAGEIF('Данные 2st'!$Q$2:$Q$317,$A46,'Данные 2st'!$MJ$2:$MJ$317),"")</f>
        <v>0</v>
      </c>
      <c r="QV46" s="7">
        <f>IFERROR(AVERAGEIF('Данные 2st'!$Q$2:$Q$317,$A46,'Данные 2st'!$MK$2:$MK$317),"")</f>
        <v>0</v>
      </c>
      <c r="QW46" s="7">
        <f>IFERROR(AVERAGEIF('Данные 2st'!$Q$2:$Q$317,$A46,'Данные 2st'!$MM$2:$MM$317),"")</f>
        <v>411.42857142857144</v>
      </c>
      <c r="QX46" s="7">
        <f>IFERROR(AVERAGEIF('Данные 2st'!$Q$2:$Q$317,$A46,'Данные 2st'!$MQ$2:$MQ$317),"")</f>
        <v/>
      </c>
      <c r="QY46" s="7">
        <f>IFERROR(AVERAGEIF('Данные 2st'!$Q$2:$Q$317,$A46,'Данные 2st'!$MR$2:$MR$317),"")</f>
        <v/>
      </c>
      <c r="QZ46" s="7">
        <f>IFERROR(AVERAGEIF('Данные 2st'!$Q$2:$Q$317,$A46,'Данные 2st'!$MS$2:$MS$317),"")</f>
        <v/>
      </c>
      <c r="RA46" s="7">
        <f>IFERROR(AVERAGEIF('Данные 2st'!$Q$2:$Q$317,$A46,'Данные 2st'!$MT$2:$MT$317),"")</f>
        <v/>
      </c>
      <c r="RB46" s="7">
        <f>IFERROR(AVERAGEIF('Данные 2st'!$Q$2:$Q$317,$A46,'Данные 2st'!$MU$2:$MU$317),"")</f>
        <v/>
      </c>
      <c r="RC46" s="7">
        <f>IFERROR(AVERAGEIF('Данные 2st'!$Q$2:$Q$317,$A46,'Данные 2st'!$MV$2:$MV$317),"")</f>
        <v/>
      </c>
      <c r="RD46" s="7">
        <f>IFERROR(AVERAGEIF('Данные 2st'!$Q$2:$Q$317,$A46,'Данные 2st'!$MW$2:$MW$317),"")</f>
        <v/>
      </c>
      <c r="RE46" s="7">
        <f>IFERROR(AVERAGEIF('Данные 2st'!$Q$2:$Q$317,$A46,'Данные 2st'!$MX$2:$MX$317),"")</f>
        <v/>
      </c>
      <c r="RF46" s="7">
        <f>IFERROR(AVERAGEIF('Данные 2st'!$Q$2:$Q$317,$A46,'Данные 2st'!$MY$2:$MY$317),"")</f>
        <v/>
      </c>
      <c r="RG46" s="7">
        <f>IFERROR(AVERAGEIF('Данные 2st'!$Q$2:$Q$317,$A46,'Данные 2st'!$MZ$2:$MZ$317),"")</f>
        <v/>
      </c>
      <c r="RH46" s="7">
        <f>IFERROR(AVERAGEIF('Данные 2st'!$Q$2:$Q$317,$A46,'Данные 2st'!$NA$2:$NA$317),"")</f>
        <v/>
      </c>
      <c r="RI46" s="7">
        <f>IFERROR(AVERAGEIF('Данные 2st'!$Q$2:$Q$317,$A46,'Данные 2st'!$NB$2:$NB$317),"")</f>
        <v/>
      </c>
      <c r="RJ46" s="7">
        <f>IFERROR(AVERAGEIF('Данные 2st'!$Q$2:$Q$317,$A46,'Данные 2st'!$NC$2:$NC$317),"")</f>
        <v/>
      </c>
      <c r="RK46" s="7">
        <f>IFERROR(AVERAGEIF('Данные 2st'!$Q$2:$Q$317,$A46,'Данные 2st'!$ND$2:$ND$317),"")</f>
        <v/>
      </c>
      <c r="RL46" s="7">
        <f>IFERROR(AVERAGEIF('Данные 2st'!$Q$2:$Q$317,$A46,'Данные 2st'!$NE$2:$NE$317),"")</f>
        <v/>
      </c>
      <c r="RM46" s="7">
        <f>IFERROR(AVERAGEIF('Данные 2st'!$Q$2:$Q$317,$A46,'Данные 2st'!$NF$2:$NF$317),"")</f>
        <v/>
      </c>
      <c r="RN46" s="7">
        <f>IFERROR(AVERAGEIF('Данные 2st'!$Q$2:$Q$317,$A46,'Данные 2st'!$NG$2:$NG$317),"")</f>
        <v/>
      </c>
      <c r="RO46" s="7">
        <f>IFERROR(AVERAGEIF('Данные 2st'!$Q$2:$Q$317,$A46,'Данные 2st'!$NH$2:$NH$317),"")</f>
        <v/>
      </c>
      <c r="RP46" s="7">
        <f>IFERROR(AVERAGEIF('Данные 2st'!$Q$2:$Q$317,$A46,'Данные 2st'!$NJ$2:$NJ$317),"")</f>
        <v/>
      </c>
      <c r="RQ46" s="7">
        <f>IFERROR(AVERAGEIF('Данные 2st'!$Q$2:$Q$317,$A46,'Данные 2st'!$NK$2:$NK$317),"")</f>
        <v/>
      </c>
      <c r="RR46" s="7">
        <f>IFERROR(AVERAGEIF('Данные 2st'!$Q$2:$Q$317,$A46,'Данные 2st'!$NM$2:$NM$317),"")</f>
        <v/>
      </c>
      <c r="RS46" s="7">
        <f>IFERROR(AVERAGEIF('Данные 2st'!$Q$2:$Q$317,$A46,'Данные 2st'!$NN$2:$NN$317),"")</f>
        <v/>
      </c>
      <c r="RT46" s="7">
        <f>IFERROR(AVERAGEIF('Данные 2st'!$Q$2:$Q$317,$A46,'Данные 2st'!$NO$2:$NO$317),"")</f>
        <v/>
      </c>
      <c r="RU46" s="7">
        <f>IFERROR(AVERAGEIF('Данные 2st'!$Q$2:$Q$317,$A46,'Данные 2st'!$NP$2:$NP$317),"")</f>
        <v/>
      </c>
      <c r="RV46" s="7">
        <f>IFERROR(AVERAGEIF('Данные 2st'!$Q$2:$Q$317,$A46,'Данные 2st'!$NQ$2:$NQ$317),"")</f>
        <v/>
      </c>
      <c r="RW46" s="7">
        <f>IFERROR(AVERAGEIF('Данные 2st'!$Q$2:$Q$317,$A46,'Данные 2st'!$NR$2:$NR$317),"")</f>
        <v/>
      </c>
      <c r="RX46" s="7">
        <f>IFERROR(AVERAGEIF('Данные 2st'!$Q$2:$Q$317,$A46,'Данные 2st'!$NS$2:$NS$317),"")</f>
        <v/>
      </c>
      <c r="RY46" s="7">
        <f>IFERROR(AVERAGEIF('Данные 2st'!$Q$2:$Q$317,$A46,'Данные 2st'!$NT$2:$NT$317),"")</f>
        <v/>
      </c>
      <c r="RZ46" s="7">
        <f>IFERROR(AVERAGEIF('Данные 2st'!$Q$2:$Q$317,$A46,'Данные 2st'!$OK$2:$OK$317),"")</f>
        <v>61</v>
      </c>
      <c r="SA46" s="7">
        <f>IFERROR(AVERAGEIF('Данные 2st'!$Q$2:$Q$317,$A46,'Данные 2st'!$OL$2:$OL$317),"")</f>
        <v>61</v>
      </c>
      <c r="SB46" s="7">
        <f>IFERROR(AVERAGEIF('Данные 2st'!$Q$2:$Q$317,$A46,'Данные 2st'!$ON$2:$ON$317),"")</f>
        <v>1.1428571428571428</v>
      </c>
      <c r="SC46" s="7">
        <f>IFERROR(AVERAGEIF('Данные 2st'!$Q$2:$Q$317,$A46,'Данные 2st'!$OO$2:$OO$317),"")</f>
        <v>2100.1428571428573</v>
      </c>
      <c r="SD46" s="7">
        <f>IFERROR(AVERAGEIF('Данные 2st'!$Q$2:$Q$317,$A46,'Данные 2st'!$OP$2:$OP$317),"")</f>
        <v>61</v>
      </c>
      <c r="SE46" s="7">
        <f>IFERROR(AVERAGEIF('Данные 2st'!$Q$2:$Q$317,$A46,'Данные 2st'!$OQ$2:$OQ$317),"")</f>
        <v>61</v>
      </c>
      <c r="SF46" s="7">
        <f>IFERROR(AVERAGEIF('Данные 2st'!$Q$2:$Q$317,$A46,'Данные 2st'!$OS$2:$OS$317),"")</f>
        <v>1.1428571428571428</v>
      </c>
      <c r="SG46" s="7">
        <f>IFERROR(AVERAGEIF('Данные 2st'!$Q$2:$Q$317,$A46,'Данные 2st'!$OT$2:$OT$317),"")</f>
        <v>2111.4285714285716</v>
      </c>
      <c r="SH46" s="7">
        <f>IFERROR(AVERAGEIF('Данные 2st'!$Q$2:$Q$317,$A46,'Данные 2st'!$OU$2:$OU$317),"")</f>
        <v>65</v>
      </c>
      <c r="SI46" s="7">
        <f>IFERROR(AVERAGEIF('Данные 2st'!$Q$2:$Q$317,$A46,'Данные 2st'!$OV$2:$OV$317),"")</f>
        <v>65</v>
      </c>
      <c r="SJ46" s="7">
        <f>IFERROR(AVERAGEIF('Данные 2st'!$Q$2:$Q$317,$A46,'Данные 2st'!$OX$2:$OX$317),"")</f>
        <v>1.8571428571428572</v>
      </c>
      <c r="SK46" s="7">
        <f>IFERROR(AVERAGEIF('Данные 2st'!$Q$2:$Q$317,$A46,'Данные 2st'!$OY$2:$OY$317),"")</f>
        <v>47139.857142857145</v>
      </c>
      <c r="SL46" s="7">
        <f>IFERROR(AVERAGEIF('Данные 2st'!$Q$2:$Q$317,$A46,'Данные 2st'!$OZ$2:$OZ$317),"")</f>
        <v>51</v>
      </c>
      <c r="SM46" s="7">
        <f>IFERROR(AVERAGEIF('Данные 2st'!$Q$2:$Q$317,$A46,'Данные 2st'!$PA$2:$PA$317),"")</f>
        <v>51.42857142857143</v>
      </c>
      <c r="SN46" s="7">
        <f>IFERROR(AVERAGEIF('Данные 2st'!$Q$2:$Q$317,$A46,'Данные 2st'!$PC$2:$PC$317),"")</f>
        <v>1.4285714285714286</v>
      </c>
      <c r="SO46" s="7">
        <f>IFERROR(AVERAGEIF('Данные 2st'!$Q$2:$Q$317,$A46,'Данные 2st'!$PD$2:$PD$317),"")</f>
        <v>2144.1428571428573</v>
      </c>
      <c r="SP46" s="7">
        <f>IFERROR(AVERAGEIF('Данные 2st'!$Q$2:$Q$317,$A46,'Данные 2st'!$PF$2:$PF$317),"")</f>
        <v>438.85714285714283</v>
      </c>
      <c r="SQ46" s="7">
        <f>IFERROR(AVERAGEIF('Данные 2st'!$Q$2:$Q$317,$A46,'Данные 2st'!$PG$2:$PG$317),"")</f>
        <v>34.142857142857146</v>
      </c>
      <c r="SR46" s="7">
        <f>IFERROR(AVERAGEIF('Данные 2st'!$Q$2:$Q$317,$A46,'Данные 2st'!$PH$2:$PH$317),"")</f>
        <v>418.14285714285717</v>
      </c>
      <c r="SS46" s="7">
        <f>IFERROR(AVERAGEIF('Данные 2st'!$Q$2:$Q$317,$A46,'Данные 2st'!$PI$2:$PI$317),"")</f>
        <v>4.142857142857143</v>
      </c>
      <c r="ST46" s="7">
        <f>IFERROR(AVERAGEIF('Данные 2st'!$Q$2:$Q$317,$A46,'Данные 2st'!$PJ$2:$PJ$317),"")</f>
        <v>83.8</v>
      </c>
      <c r="SU46" s="7">
        <f>IFERROR(AVERAGEIF('Данные 2st'!$Q$2:$Q$317,$A46,'Данные 2st'!$PK$2:$PK$317),"")</f>
        <v>2238</v>
      </c>
      <c r="SV46" s="7">
        <f>IFERROR(AVERAGEIF('Данные 2st'!$Q$2:$Q$317,$A46,'Данные 2st'!$PL$2:$PL$317),"")</f>
        <v>1278.2857142857142</v>
      </c>
      <c r="SW46" s="7">
        <f>IFERROR(AVERAGEIF('Данные 2st'!$Q$2:$Q$317,$A46,'Данные 2st'!$PM$2:$PM$317),"")</f>
        <v>795.0285714285715</v>
      </c>
      <c r="SX46" s="7">
        <f>IFERROR(AVERAGEIF('Данные 2st'!$Q$2:$Q$317,$A46,'Данные 2st'!$PN$2:$PN$317),"")</f>
        <v>102.05714285714286</v>
      </c>
      <c r="SY46" s="7">
        <f>IFERROR(AVERAGEIF('Данные 2st'!$Q$2:$Q$317,$A46,'Данные 2st'!$PO$2:$PO$317),"")</f>
        <v>10.014285714285714</v>
      </c>
      <c r="SZ46" s="7">
        <f>IFERROR(AVERAGEIF('Данные 2st'!$Q$2:$Q$317,$A46,'Данные 2st'!$PP$2:$PP$317),"")</f>
        <v>12</v>
      </c>
      <c r="TA46" s="7">
        <f>IFERROR(AVERAGEIF('Данные 2st'!$Q$2:$Q$317,$A46,'Данные 2st'!$PQ$2:$PQ$317),"")</f>
        <v>4.428571428571429</v>
      </c>
      <c r="TB46" s="7">
        <f>IFERROR(AVERAGEIF('Данные 2st'!$Q$2:$Q$317,$A46,'Данные 2st'!$PR$2:$PR$317),"")</f>
        <v>5</v>
      </c>
      <c r="TC46" s="7">
        <f>IFERROR(AVERAGEIF('Данные 2st'!$Q$2:$Q$317,$A46,'Данные 2st'!$PS$2:$PS$317),"")</f>
        <v>0</v>
      </c>
      <c r="TD46" s="7">
        <f>IFERROR(AVERAGEIF('Данные 2st'!$Q$2:$Q$317,$A46,'Данные 2st'!$PT$2:$PT$317),"")</f>
        <v>246.28571428571428</v>
      </c>
      <c r="TE46" s="7">
        <f>IFERROR(AVERAGEIF('Данные 2st'!$Q$2:$Q$317,$A46,'Данные 2st'!$PU$2:$PU$317),"")</f>
        <v>10.428571428571429</v>
      </c>
      <c r="TF46" s="7">
        <f>IFERROR(AVERAGEIF('Данные 2st'!$Q$2:$Q$317,$A46,'Данные 2st'!$PX$2:$PX$317),"")</f>
        <v>0</v>
      </c>
      <c r="TG46" s="7">
        <f>IFERROR(AVERAGEIF('Данные 2st'!$Q$2:$Q$317,$A46,'Данные 2st'!$PY$2:$PY$317),"")</f>
        <v>0</v>
      </c>
      <c r="TH46" s="7">
        <f>IFERROR(AVERAGEIF('Данные 2st'!$Q$2:$Q$317,$A46,'Данные 2st'!$PZ$2:$PZ$317),"")</f>
        <v>0</v>
      </c>
      <c r="TI46" s="7">
        <f>IFERROR(AVERAGEIF('Данные 2st'!$Q$2:$Q$317,$A46,'Данные 2st'!$QA$2:$QA$317),"")</f>
        <v>0</v>
      </c>
      <c r="TJ46" s="7">
        <f>IFERROR(AVERAGEIF('Данные 2st'!$Q$2:$Q$317,$A46,'Данные 2st'!$QB$2:$QB$317),"")</f>
        <v>0</v>
      </c>
      <c r="TK46" s="7">
        <f>IFERROR(AVERAGEIF('Данные 2st'!$Q$2:$Q$317,$A46,'Данные 2st'!$QC$2:$QC$317),"")</f>
        <v>0</v>
      </c>
      <c r="TL46" s="7">
        <f>IFERROR(AVERAGEIF('Данные 2st'!$Q$2:$Q$317,$A46,'Данные 2st'!$QD$2:$QD$317),"")</f>
        <v>0</v>
      </c>
      <c r="TM46" s="7">
        <f>IFERROR(AVERAGEIF('Данные 2st'!$Q$2:$Q$317,$A46,'Данные 2st'!$QE$2:$QE$317),"")</f>
        <v>-1</v>
      </c>
      <c r="TN46" s="7">
        <f>IFERROR(AVERAGEIF('Данные 2st'!$Q$2:$Q$317,$A46,'Данные 2st'!$QF$2:$QF$317),"")</f>
        <v>1</v>
      </c>
      <c r="TO46" s="7">
        <f>IFERROR(AVERAGEIF('Данные 2st'!$Q$2:$Q$317,$A46,'Данные 2st'!$QG$2:$QG$317),"")</f>
        <v>0</v>
      </c>
      <c r="TP46" s="7">
        <f>IFERROR(AVERAGEIF('Данные 2st'!$Q$2:$Q$317,$A46,'Данные 2st'!$QH$2:$QH$317),"")</f>
        <v>5</v>
      </c>
      <c r="TQ46" s="7">
        <f>IFERROR(AVERAGEIF('Данные 2st'!$Q$2:$Q$317,$A46,'Данные 2st'!$QI$2:$QI$317),"")</f>
        <v>5</v>
      </c>
      <c r="TR46" s="7">
        <f>IFERROR(AVERAGEIF('Данные 2st'!$Q$2:$Q$317,$A46,'Данные 2st'!$QJ$2:$QJ$317),"")</f>
        <v>5</v>
      </c>
      <c r="TS46" s="7">
        <f>IFERROR(AVERAGEIF('Данные 2st'!$Q$2:$Q$317,$A46,'Данные 2st'!$QK$2:$QK$317),"")</f>
        <v>209.14285714285714</v>
      </c>
      <c r="TT46" s="7">
        <f>IFERROR(AVERAGEIF('Данные 2st'!$Q$2:$Q$317,$A46,'Данные 2st'!$QL$2:$QL$317),"")</f>
        <v>416.85714285714283</v>
      </c>
      <c r="TU46" s="7">
        <f>IFERROR(AVERAGEIF('Данные 2st'!$Q$2:$Q$317,$A46,'Данные 2st'!$QM$2:$QM$317),"")</f>
        <v>7.5</v>
      </c>
      <c r="TV46" s="7">
        <f>IFERROR(AVERAGEIF('Данные 2st'!$Q$2:$Q$317,$A46,'Данные 2st'!$QN$2:$QN$317),"")</f>
        <v>1542.5</v>
      </c>
      <c r="TW46" s="7">
        <f>IFERROR(AVERAGEIF('Данные 2st'!$Q$2:$Q$317,$A46,'Данные 2st'!$QQ$2:$QQ$317),"")</f>
        <v>0</v>
      </c>
      <c r="TX46" s="7">
        <f>IFERROR(AVERAGEIF('Данные 2st'!$Q$2:$Q$317,$A46,'Данные 2st'!$QS$2:$QS$317),"")</f>
        <v>40</v>
      </c>
      <c r="TY46" s="7">
        <f>IFERROR(AVERAGEIF('Данные 2st'!$Q$2:$Q$317,$A46,'Данные 2st'!$QT$2:$QT$317),"")</f>
        <v>50</v>
      </c>
    </row>
    <row r="47" spans="1:545" ht="32" customHeight="1">
      <c r="A47" s="11" t="s">
        <v>1175</v>
      </c>
      <c r="B47">
        <f>COUNTIF('Данные 1st'!$S$2:$S$317,$A47)</f>
        <v>3</v>
      </c>
      <c r="C47" s="6" t="s">
        <v>5104</v>
      </c>
      <c r="D47" s="6" t="s">
        <v>513</v>
      </c>
      <c r="E47" s="6" t="s">
        <v>5125</v>
      </c>
      <c r="F47" s="6" t="s">
        <v>5166</v>
      </c>
      <c r="G47" s="7">
        <f>IFERROR(AVERAGEIF('Данные 1st'!$S$2:$S$317,$A47,'Данные 1st'!$AE$2:$AE$317),"")</f>
        <v>204</v>
      </c>
      <c r="H47" s="7">
        <f>IFERROR(AVERAGEIF('Данные 1st'!$S$2:$S$317,$A47,'Данные 1st'!$AF$2:$AF$317),"")</f>
        <v>1.5</v>
      </c>
      <c r="I47" s="7">
        <f>IFERROR(AVERAGEIF('Данные 1st'!$S$2:$S$317,$A47,'Данные 1st'!$AJ$2:$AJ$317),"")</f>
        <v>205.0</v>
      </c>
      <c r="J47" s="7">
        <f>IFERROR(AVERAGEIF('Данные 1st'!$S$2:$S$317,$A47,'Данные 1st'!$AL$2:$AL$317),"")</f>
        <v>1.5</v>
      </c>
      <c r="K47" s="7">
        <f>IFERROR(AVERAGEIF('Данные 1st'!$S$2:$S$317,$A47,'Данные 1st'!$AR$2:$AR$317),"")</f>
        <v>80</v>
      </c>
      <c r="L47" s="7">
        <f>IFERROR(AVERAGEIF('Данные 1st'!$S$2:$S$317,$A47,'Данные 1st'!$AS$2:$AS$317),"")</f>
        <v>1.5</v>
      </c>
      <c r="M47" s="7">
        <f>IFERROR(AVERAGEIF('Данные 1st'!$S$2:$S$317,$A47,'Данные 1st'!$AY$2:$AY$317),"")</f>
        <v>290.0</v>
      </c>
      <c r="N47" s="7">
        <f>IFERROR(AVERAGEIF('Данные 1st'!$S$2:$S$317,$A47,'Данные 1st'!$AZ$2:$AZ$317),"")</f>
        <v>1.5</v>
      </c>
      <c r="O47" s="7">
        <f>IFERROR(AVERAGEIF('Данные 1st'!$S$2:$S$317,$A47,'Данные 1st'!$BF$2:$BF$317),"")</f>
        <v>245.0</v>
      </c>
      <c r="P47" s="7">
        <f>IFERROR(AVERAGEIF('Данные 1st'!$S$2:$S$317,$A47,'Данные 1st'!$BG$2:$BG$317),"")</f>
        <v>1.5</v>
      </c>
      <c r="Q47" s="7">
        <f>IFERROR(AVERAGEIF('Данные 1st'!$S$2:$S$317,$A47,'Данные 1st'!$BM$2:$BM$317),"")</f>
        <v/>
      </c>
      <c r="R47" s="7">
        <f>IFERROR(AVERAGEIF('Данные 1st'!$S$2:$S$317,$A47,'Данные 1st'!$BN$2:$BN$317),"")</f>
        <v>1.5</v>
      </c>
      <c r="S47" s="7">
        <f>IFERROR(AVERAGEIF('Данные 1st'!$S$2:$S$317,$A47,'Данные 1st'!$BT$2:$BT$317),"")</f>
        <v>218</v>
      </c>
      <c r="T47" s="7">
        <f>IFERROR(AVERAGEIF('Данные 1st'!$S$2:$S$317,$A47,'Данные 1st'!$BU$2:$BU$317),"")</f>
        <v>0.5</v>
      </c>
      <c r="U47" s="7">
        <f>IFERROR(AVERAGEIF('Данные 1st'!$S$2:$S$317,$A47,'Данные 1st'!$BW$2:$BW$317),"")</f>
        <v>436</v>
      </c>
      <c r="V47" s="7">
        <f>IFERROR(AVERAGEIF('Данные 1st'!$S$2:$S$317,$A47,'Данные 1st'!$BX$2:$BX$317),"")</f>
        <v>1</v>
      </c>
      <c r="W47" s="7">
        <f>IFERROR(AVERAGEIF('Данные 1st'!$S$2:$S$317,$A47,'Данные 1st'!$BZ$2:$BZ$317),"")</f>
        <v>356.6666666666667</v>
      </c>
      <c r="X47" s="7">
        <f>IFERROR(AVERAGEIF('Данные 1st'!$S$2:$S$317,$A47,'Данные 1st'!$CA$2:$CA$317),"")</f>
        <v>523.3333333333334</v>
      </c>
      <c r="Y47" s="7">
        <f>IFERROR(AVERAGEIF('Данные 1st'!$S$2:$S$317,$A47,'Данные 1st'!$CD$2:$CD$317),"")</f>
        <v>454.6666666666667</v>
      </c>
      <c r="Z47" s="7">
        <f>IFERROR(AVERAGEIF('Данные 1st'!$S$2:$S$317,$A47,'Данные 1st'!$CF$2:$CF$317),"")</f>
        <v>15</v>
      </c>
      <c r="AA47" s="7">
        <f>IFERROR(AVERAGEIF('Данные 1st'!$S$2:$S$317,$A47,'Данные 1st'!$CI$2:$CI$317),"")</f>
        <v>83.33333333333333</v>
      </c>
      <c r="AB47" s="7">
        <f>IFERROR(AVERAGEIF('Данные 1st'!$S$2:$S$317,$A47,'Данные 1st'!$CJ$2:$CJ$317),"")</f>
        <v>1301</v>
      </c>
      <c r="AC47" s="7">
        <f>IFERROR(AVERAGEIF('Данные 1st'!$S$2:$S$317,$A47,'Данные 1st'!$CK$2:$CK$317),"")</f>
        <v>2</v>
      </c>
      <c r="AD47" s="7">
        <f>IFERROR(AVERAGEIF('Данные 1st'!$S$2:$S$317,$A47,'Данные 1st'!$CL$2:$CL$317),"")</f>
        <v>1395</v>
      </c>
      <c r="AE47" s="7">
        <f>IFERROR(AVERAGEIF('Данные 1st'!$S$2:$S$317,$A47,'Данные 1st'!$CM$2:$CM$317),"")</f>
        <v>2</v>
      </c>
      <c r="AF47" s="7">
        <f>IFERROR(AVERAGEIF('Данные 1st'!$S$2:$S$317,$A47,'Данные 1st'!$CT$2:$CT$317),"")</f>
        <v>410</v>
      </c>
      <c r="AG47" s="7">
        <f>IFERROR(AVERAGEIF('Данные 1st'!$S$2:$S$317,$A47,'Данные 1st'!$CU$2:$CU$317),"")</f>
        <v>5</v>
      </c>
      <c r="AH47" s="7">
        <f>IFERROR(AVERAGEIF('Данные 1st'!$S$2:$S$317,$A47,'Данные 1st'!$CV$2:$CV$317),"")</f>
        <v>1.2333333333333334</v>
      </c>
      <c r="AI47" s="7">
        <f>IFERROR(AVERAGEIF('Данные 1st'!$S$2:$S$317,$A47,'Данные 1st'!$CW$2:$CW$317),"")</f>
        <v>1315.6666666666667</v>
      </c>
      <c r="AJ47" s="7">
        <f>IFERROR(AVERAGEIF('Данные 1st'!$S$2:$S$317,$A47,'Данные 1st'!$CX$2:$CX$317),"")</f>
        <v>785.6666666666666</v>
      </c>
      <c r="AK47" s="7">
        <f>IFERROR(AVERAGEIF('Данные 1st'!$S$2:$S$317,$A47,'Данные 1st'!$CZ$2:$CZ$317),"")</f>
        <v>50</v>
      </c>
      <c r="AL47" s="7">
        <f>IFERROR(AVERAGEIF('Данные 1st'!$S$2:$S$317,$A47,'Данные 1st'!$DA$2:$DA$317),"")</f>
        <v>3</v>
      </c>
      <c r="AM47" s="7">
        <f>IFERROR(AVERAGEIF('Данные 1st'!$S$2:$S$317,$A47,'Данные 1st'!$DB$2:$DB$317),"")</f>
        <v>1</v>
      </c>
      <c r="AN47" s="7">
        <f>IFERROR(AVERAGEIF('Данные 1st'!$S$2:$S$317,$A47,'Данные 1st'!$DC$2:$DC$317),"")</f>
        <v>1319</v>
      </c>
      <c r="AO47" s="7">
        <f>IFERROR(AVERAGEIF('Данные 1st'!$S$2:$S$317,$A47,'Данные 1st'!$DD$2:$DD$317),"")</f>
        <v>23</v>
      </c>
      <c r="AP47" s="7">
        <f>IFERROR(AVERAGEIF('Данные 1st'!$S$2:$S$317,$A47,'Данные 1st'!$DF$2:$DF$317),"")</f>
        <v>580</v>
      </c>
      <c r="AQ47" s="7">
        <f>IFERROR(AVERAGEIF('Данные 1st'!$S$2:$S$317,$A47,'Данные 1st'!$DG$2:$DG$317),"")</f>
        <v>3</v>
      </c>
      <c r="AR47" s="7">
        <f>IFERROR(AVERAGEIF('Данные 1st'!$S$2:$S$317,$A47,'Данные 1st'!$DH$2:$DH$317),"")</f>
        <v>0.98</v>
      </c>
      <c r="AS47" s="7">
        <f>IFERROR(AVERAGEIF('Данные 1st'!$S$2:$S$317,$A47,'Данные 1st'!$DI$2:$DI$317),"")</f>
        <v>1311.3333333333333</v>
      </c>
      <c r="AT47" s="7">
        <f>IFERROR(AVERAGEIF('Данные 1st'!$S$2:$S$317,$A47,'Данные 1st'!$DJ$2:$DJ$317),"")</f>
        <v>968</v>
      </c>
      <c r="AU47" s="7">
        <f>IFERROR(AVERAGEIF('Данные 1st'!$S$2:$S$317,$A47,'Данные 1st'!$DL$2:$DL$317),"")</f>
        <v>490</v>
      </c>
      <c r="AV47" s="7">
        <f>IFERROR(AVERAGEIF('Данные 1st'!$S$2:$S$317,$A47,'Данные 1st'!$DM$2:$DM$317),"")</f>
        <v>3</v>
      </c>
      <c r="AW47" s="7">
        <f>IFERROR(AVERAGEIF('Данные 1st'!$S$2:$S$317,$A47,'Данные 1st'!$DN$2:$DN$317),"")</f>
        <v>0.98</v>
      </c>
      <c r="AX47" s="7">
        <f>IFERROR(AVERAGEIF('Данные 1st'!$S$2:$S$317,$A47,'Данные 1st'!$DO$2:$DO$317),"")</f>
        <v>1317.3333333333333</v>
      </c>
      <c r="AY47" s="7">
        <f>IFERROR(AVERAGEIF('Данные 1st'!$S$2:$S$317,$A47,'Данные 1st'!$DP$2:$DP$317),"")</f>
        <v>911.6666666666666</v>
      </c>
      <c r="AZ47" s="7">
        <f>IFERROR(AVERAGEIF('Данные 1st'!$S$2:$S$317,$A47,'Данные 1st'!$DR$2:$DR$317),"")</f>
        <v/>
      </c>
      <c r="BA47" s="7">
        <f>IFERROR(AVERAGEIF('Данные 1st'!$S$2:$S$317,$A47,'Данные 1st'!$DS$2:$DS$317),"")</f>
        <v/>
      </c>
      <c r="BB47" s="7">
        <f>IFERROR(AVERAGEIF('Данные 1st'!$S$2:$S$317,$A47,'Данные 1st'!$DT$2:$DT$317),"")</f>
        <v/>
      </c>
      <c r="BC47" s="7">
        <f>IFERROR(AVERAGEIF('Данные 1st'!$S$2:$S$317,$A47,'Данные 1st'!$DU$2:$DU$317),"")</f>
        <v/>
      </c>
      <c r="BD47" s="7">
        <f>IFERROR(AVERAGEIF('Данные 1st'!$S$2:$S$317,$A47,'Данные 1st'!$DV$2:$DV$317),"")</f>
        <v/>
      </c>
      <c r="BE47" s="7">
        <f>IFERROR(AVERAGEIF('Данные 1st'!$S$2:$S$317,$A47,'Данные 1st'!$DX$2:$DX$317),"")</f>
        <v>7.5</v>
      </c>
      <c r="BF47" s="7">
        <f>IFERROR(AVERAGEIF('Данные 1st'!$S$2:$S$317,$A47,'Данные 1st'!$EA$2:$EA$317),"")</f>
        <v>1384.6</v>
      </c>
      <c r="BG47" s="7">
        <f>IFERROR(AVERAGEIF('Данные 1st'!$S$2:$S$317,$A47,'Данные 1st'!$EB$2:$EB$317),"")</f>
        <v>261.3333333333333</v>
      </c>
      <c r="BH47" s="7">
        <f>IFERROR(AVERAGEIF('Данные 1st'!$S$2:$S$317,$A47,'Данные 1st'!$ED$2:$ED$317),"")</f>
        <v>38.333333333333336</v>
      </c>
      <c r="BI47" s="7">
        <f>IFERROR(AVERAGEIF('Данные 1st'!$S$2:$S$317,$A47,'Данные 1st'!$EE$2:$EE$317),"")</f>
        <v>3</v>
      </c>
      <c r="BJ47" s="7">
        <f>IFERROR(AVERAGEIF('Данные 1st'!$S$2:$S$317,$A47,'Данные 1st'!$EG$2:$EG$317),"")</f>
        <v>1425.3333333333333</v>
      </c>
      <c r="BK47" s="7">
        <f>IFERROR(AVERAGEIF('Данные 1st'!$S$2:$S$317,$A47,'Данные 1st'!$EH$2:$EH$317),"")</f>
        <v>258.3333333333333</v>
      </c>
      <c r="BL47" s="7">
        <f>IFERROR(AVERAGEIF('Данные 1st'!$S$2:$S$317,$A47,'Данные 1st'!$EJ$2:$EJ$317),"")</f>
        <v>0</v>
      </c>
      <c r="BM47" s="7">
        <f>IFERROR(AVERAGEIF('Данные 1st'!$S$2:$S$317,$A47,'Данные 1st'!$EK$2:$EK$317),"")</f>
        <v>1</v>
      </c>
      <c r="BN47" s="7">
        <f>IFERROR(AVERAGEIF('Данные 1st'!$S$2:$S$317,$A47,'Данные 1st'!$EN$2:$EN$317),"")</f>
        <v>0</v>
      </c>
      <c r="BO47" s="7">
        <f>IFERROR(AVERAGEIF('Данные 1st'!$S$2:$S$317,$A47,'Данные 1st'!$EQ$2:$EQ$317),"")</f>
        <v>98.33333333333333</v>
      </c>
      <c r="BP47" s="7">
        <f>IFERROR(AVERAGEIF('Данные 1st'!$S$2:$S$317,$A47,'Данные 1st'!$ER$2:$ER$317),"")</f>
        <v>3</v>
      </c>
      <c r="BQ47" s="7">
        <f>IFERROR(AVERAGEIF('Данные 1st'!$S$2:$S$317,$A47,'Данные 1st'!$ES$2:$ES$317),"")</f>
        <v>5.6</v>
      </c>
      <c r="BR47" s="7">
        <f>IFERROR(AVERAGEIF('Данные 1st'!$S$2:$S$317,$A47,'Данные 1st'!$ET$2:$ET$317),"")</f>
        <v>1298.6666666666667</v>
      </c>
      <c r="BS47" s="7">
        <f>IFERROR(AVERAGEIF('Данные 1st'!$S$2:$S$317,$A47,'Данные 1st'!$EU$2:$EU$317),"")</f>
        <v>439.6</v>
      </c>
      <c r="BT47" s="7">
        <f>IFERROR(AVERAGEIF('Данные 1st'!$S$2:$S$317,$A47,'Данные 1st'!$EV$2:$EV$317),"")</f>
        <v>570.6666666666666</v>
      </c>
      <c r="BU47" s="7">
        <f>IFERROR(AVERAGEIF('Данные 1st'!$S$2:$S$317,$A47,'Данные 1st'!$EX$2:$EX$317),"")</f>
        <v>61.666666666666664</v>
      </c>
      <c r="BV47" s="7">
        <f>IFERROR(AVERAGEIF('Данные 1st'!$S$2:$S$317,$A47,'Данные 1st'!$EY$2:$EY$317),"")</f>
        <v>2</v>
      </c>
      <c r="BW47" s="7">
        <f>IFERROR(AVERAGEIF('Данные 1st'!$S$2:$S$317,$A47,'Данные 1st'!$EZ$2:$EZ$317),"")</f>
        <v>4.266666666666667</v>
      </c>
      <c r="BX47" s="7">
        <f>IFERROR(AVERAGEIF('Данные 1st'!$S$2:$S$317,$A47,'Данные 1st'!$FA$2:$FA$317),"")</f>
        <v>1298.6666666666667</v>
      </c>
      <c r="BY47" s="7">
        <f>IFERROR(AVERAGEIF('Данные 1st'!$S$2:$S$317,$A47,'Данные 1st'!$FB$2:$FB$317),"")</f>
        <v>193.46666666666667</v>
      </c>
      <c r="BZ47" s="7">
        <f>IFERROR(AVERAGEIF('Данные 1st'!$S$2:$S$317,$A47,'Данные 1st'!$FC$2:$FC$317),"")</f>
        <v>251.66666666666666</v>
      </c>
      <c r="CA47" s="7">
        <f>IFERROR(AVERAGEIF('Данные 1st'!$S$2:$S$317,$A47,'Данные 1st'!$FE$2:$FE$317),"")</f>
        <v>0</v>
      </c>
      <c r="CB47" s="7">
        <f>IFERROR(AVERAGEIF('Данные 1st'!$S$2:$S$317,$A47,'Данные 1st'!$FF$2:$FF$317),"")</f>
        <v>2</v>
      </c>
      <c r="CC47" s="7">
        <f>IFERROR(AVERAGEIF('Данные 1st'!$S$2:$S$317,$A47,'Данные 1st'!$FI$2:$FI$317),"")</f>
        <v>0</v>
      </c>
      <c r="CD47" s="7">
        <f>IFERROR(AVERAGEIF('Данные 1st'!$S$2:$S$317,$A47,'Данные 1st'!$FL$2:$FL$317),"")</f>
        <v>0.4</v>
      </c>
      <c r="CE47" s="7">
        <f>IFERROR(AVERAGEIF('Данные 1st'!$S$2:$S$317,$A47,'Данные 1st'!$FM$2:$FM$317),"")</f>
        <v>80</v>
      </c>
      <c r="CF47" s="7">
        <f>IFERROR(AVERAGEIF('Данные 1st'!$S$2:$S$317,$A47,'Данные 1st'!$FN$2:$FN$317),"")</f>
        <v>210</v>
      </c>
      <c r="CG47" s="7">
        <f>IFERROR(AVERAGEIF('Данные 1st'!$S$2:$S$317,$A47,'Данные 1st'!$FO$2:$FO$317),"")</f>
        <v>80</v>
      </c>
      <c r="CH47" s="7">
        <f>IFERROR(AVERAGEIF('Данные 1st'!$S$2:$S$317,$A47,'Данные 1st'!$FP$2:$FP$317),"")</f>
        <v>140</v>
      </c>
      <c r="CI47" s="7">
        <f>IFERROR(AVERAGEIF('Данные 1st'!$S$2:$S$317,$A47,'Данные 1st'!$FS$2:$FS$317),"")</f>
        <v/>
      </c>
      <c r="CJ47" s="7">
        <f>IFERROR(AVERAGEIF('Данные 1st'!$S$2:$S$317,$A47,'Данные 1st'!$FT$2:$FT$317),"")</f>
        <v/>
      </c>
      <c r="CK47" s="7">
        <f>IFERROR(AVERAGEIF('Данные 1st'!$S$2:$S$317,$A47,'Данные 1st'!$FU$2:$FU$317),"")</f>
        <v/>
      </c>
      <c r="CL47" s="7">
        <f>IFERROR(AVERAGEIF('Данные 1st'!$S$2:$S$317,$A47,'Данные 1st'!$FV$2:$FV$317),"")</f>
        <v/>
      </c>
      <c r="CM47" s="7">
        <f>IFERROR(AVERAGEIF('Данные 1st'!$S$2:$S$317,$A47,'Данные 1st'!$FW$2:$FW$317),"")</f>
        <v/>
      </c>
      <c r="CN47" s="7">
        <f>IFERROR(AVERAGEIF('Данные 1st'!$S$2:$S$317,$A47,'Данные 1st'!$FZ$2:$FZ$317),"")</f>
        <v/>
      </c>
      <c r="CO47" s="7">
        <f>IFERROR(AVERAGEIF('Данные 1st'!$S$2:$S$317,$A47,'Данные 1st'!$GA$2:$GA$317),"")</f>
        <v/>
      </c>
      <c r="CP47" s="7">
        <f>IFERROR(AVERAGEIF('Данные 1st'!$S$2:$S$317,$A47,'Данные 1st'!$GB$2:$GB$317),"")</f>
        <v/>
      </c>
      <c r="CQ47" s="7">
        <f>IFERROR(AVERAGEIF('Данные 1st'!$S$2:$S$317,$A47,'Данные 1st'!$GH$2:$GH$317),"")</f>
        <v/>
      </c>
      <c r="CR47" s="7">
        <f>IFERROR(AVERAGEIF('Данные 1st'!$S$2:$S$317,$A47,'Данные 1st'!$GI$2:$GI$317),"")</f>
        <v/>
      </c>
      <c r="CS47" s="7">
        <f>IFERROR(AVERAGEIF('Данные 1st'!$S$2:$S$317,$A47,'Данные 1st'!$GJ$2:$GJ$317),"")</f>
        <v/>
      </c>
      <c r="CT47" s="7">
        <f>IFERROR(AVERAGEIF('Данные 1st'!$S$2:$S$317,$A47,'Данные 1st'!$GS$2:$GS$317),"")</f>
        <v>0.4</v>
      </c>
      <c r="CU47" s="7">
        <f>IFERROR(AVERAGEIF('Данные 1st'!$S$2:$S$317,$A47,'Данные 1st'!$GT$2:$GT$317),"")</f>
        <v>81.66666666666667</v>
      </c>
      <c r="CV47" s="7">
        <f>IFERROR(AVERAGEIF('Данные 1st'!$S$2:$S$317,$A47,'Данные 1st'!$GU$2:$GU$317),"")</f>
        <v>266.6666666666667</v>
      </c>
      <c r="CW47" s="7">
        <f>IFERROR(AVERAGEIF('Данные 1st'!$S$2:$S$317,$A47,'Данные 1st'!$GV$2:$GV$317),"")</f>
        <v>50</v>
      </c>
      <c r="CX47" s="7">
        <f>IFERROR(AVERAGEIF('Данные 1st'!$S$2:$S$317,$A47,'Данные 1st'!$GW$2:$GW$317),"")</f>
        <v>240</v>
      </c>
      <c r="CY47" s="7">
        <f>IFERROR(AVERAGEIF('Данные 1st'!$S$2:$S$317,$A47,'Данные 1st'!$GZ$2:$GZ$317),"")</f>
        <v>1.4000000000000001</v>
      </c>
      <c r="CZ47" s="7">
        <f>IFERROR(AVERAGEIF('Данные 1st'!$S$2:$S$317,$A47,'Данные 1st'!$HA$2:$HA$317),"")</f>
        <v>20</v>
      </c>
      <c r="DA47" s="7">
        <f>IFERROR(AVERAGEIF('Данные 1st'!$S$2:$S$317,$A47,'Данные 1st'!$HB$2:$HB$317),"")</f>
        <v>182.33333333333334</v>
      </c>
      <c r="DB47" s="7">
        <f>IFERROR(AVERAGEIF('Данные 1st'!$S$2:$S$317,$A47,'Данные 1st'!$HC$2:$HC$317),"")</f>
        <v>0.1</v>
      </c>
      <c r="DC47" s="7">
        <f>IFERROR(AVERAGEIF('Данные 1st'!$S$2:$S$317,$A47,'Данные 1st'!$HD$2:$HD$317),"")</f>
        <v>3</v>
      </c>
      <c r="DD47" s="7">
        <f>IFERROR(AVERAGEIF('Данные 1st'!$S$2:$S$317,$A47,'Данные 1st'!$HE$2:$HE$317),"")</f>
        <v>3</v>
      </c>
      <c r="DE47" s="7">
        <f>IFERROR(AVERAGEIF('Данные 1st'!$S$2:$S$317,$A47,'Данные 1st'!$HF$2:$HF$317),"")</f>
        <v>3</v>
      </c>
      <c r="DF47" s="7">
        <f>IFERROR(AVERAGEIF('Данные 1st'!$S$2:$S$317,$A47,'Данные 1st'!$HG$2:$HG$317),"")</f>
        <v>3</v>
      </c>
      <c r="DG47" s="7">
        <f>IFERROR(AVERAGEIF('Данные 1st'!$S$2:$S$317,$A47,'Данные 1st'!$HH$2:$HH$317),"")</f>
        <v>3</v>
      </c>
      <c r="DH47" s="7">
        <f>IFERROR(AVERAGEIF('Данные 1st'!$S$2:$S$317,$A47,'Данные 1st'!$HI$2:$HI$317),"")</f>
        <v>145</v>
      </c>
      <c r="DI47" s="7">
        <f>IFERROR(AVERAGEIF('Данные 1st'!$S$2:$S$317,$A47,'Данные 1st'!$HJ$2:$HJ$317),"")</f>
        <v>3</v>
      </c>
      <c r="DJ47" s="7">
        <f>IFERROR(AVERAGEIF('Данные 1st'!$S$2:$S$317,$A47,'Данные 1st'!$HK$2:$HK$317),"")</f>
        <v>46.666666666666664</v>
      </c>
      <c r="DK47" s="7">
        <f>IFERROR(AVERAGEIF('Данные 1st'!$S$2:$S$317,$A47,'Данные 1st'!$HL$2:$HL$317),"")</f>
        <v>2</v>
      </c>
      <c r="DL47" s="7">
        <f>IFERROR(AVERAGEIF('Данные 1st'!$S$2:$S$317,$A47,'Данные 1st'!$HM$2:$HM$317),"")</f>
        <v>0</v>
      </c>
      <c r="DM47" s="7">
        <f>IFERROR(AVERAGEIF('Данные 1st'!$S$2:$S$317,$A47,'Данные 1st'!$HN$2:$HN$317),"")</f>
        <v>2</v>
      </c>
      <c r="DN47" s="7">
        <f>IFERROR(AVERAGEIF('Данные 1st'!$S$2:$S$317,$A47,'Данные 1st'!$HO$2:$HO$317),"")</f>
        <v>83.33333333333333</v>
      </c>
      <c r="DO47" s="7">
        <f>IFERROR(AVERAGEIF('Данные 1st'!$S$2:$S$317,$A47,'Данные 1st'!$HP$2:$HP$317),"")</f>
        <v>3</v>
      </c>
      <c r="DP47" s="7">
        <f>IFERROR(AVERAGEIF('Данные 1st'!$S$2:$S$317,$A47,'Данные 1st'!$HQ$2:$HQ$317),"")</f>
        <v>0</v>
      </c>
      <c r="DQ47" s="7">
        <f>IFERROR(AVERAGEIF('Данные 1st'!$S$2:$S$317,$A47,'Данные 1st'!$HR$2:$HR$317),"")</f>
        <v>2</v>
      </c>
      <c r="DR47" s="7">
        <f>IFERROR(AVERAGEIF('Данные 1st'!$S$2:$S$317,$A47,'Данные 1st'!$HS$2:$HS$317),"")</f>
        <v>5395.333333333333</v>
      </c>
      <c r="DS47" s="7">
        <f>IFERROR(AVERAGEIF('Данные 1st'!$S$2:$S$317,$A47,'Данные 1st'!$HT$2:$HT$317),"")</f>
        <v>160</v>
      </c>
      <c r="DT47" s="7">
        <f>IFERROR(AVERAGEIF('Данные 1st'!$S$2:$S$317,$A47,'Данные 1st'!$HU$2:$HU$317),"")</f>
        <v>180</v>
      </c>
      <c r="DU47" s="7">
        <f>IFERROR(AVERAGEIF('Данные 1st'!$S$2:$S$317,$A47,'Данные 1st'!$HW$2:$HW$317),"")</f>
        <v>0</v>
      </c>
      <c r="DV47" s="7">
        <f>IFERROR(AVERAGEIF('Данные 1st'!$S$2:$S$317,$A47,'Данные 1st'!$HX$2:$HX$317),"")</f>
        <v>473.6666666666667</v>
      </c>
      <c r="DW47" s="7">
        <f>IFERROR(AVERAGEIF('Данные 1st'!$S$2:$S$317,$A47,'Данные 1st'!$HY$2:$HY$317),"")</f>
        <v>0.18</v>
      </c>
      <c r="DX47" s="7">
        <f>IFERROR(AVERAGEIF('Данные 1st'!$S$2:$S$317,$A47,'Данные 1st'!$IA$2:$IA$317),"")</f>
        <v>0.15</v>
      </c>
      <c r="DY47" s="7">
        <f>IFERROR(AVERAGEIF('Данные 1st'!$S$2:$S$317,$A47,'Данные 1st'!$IB$2:$IB$317),"")</f>
        <v>0</v>
      </c>
      <c r="DZ47" s="7">
        <f>IFERROR(AVERAGEIF('Данные 1st'!$S$2:$S$317,$A47,'Данные 1st'!$IC$2:$IC$317),"")</f>
        <v>180</v>
      </c>
      <c r="EA47" s="7">
        <f>IFERROR(AVERAGEIF('Данные 1st'!$S$2:$S$317,$A47,'Данные 1st'!$ID$2:$ID$317),"")</f>
        <v>110</v>
      </c>
      <c r="EB47" s="7">
        <f>IFERROR(AVERAGEIF('Данные 1st'!$S$2:$S$317,$A47,'Данные 1st'!$IE$2:$IE$317),"")</f>
        <v>225</v>
      </c>
      <c r="EC47" s="7">
        <f>IFERROR(AVERAGEIF('Данные 1st'!$S$2:$S$317,$A47,'Данные 1st'!$IF$2:$IF$317),"")</f>
        <v>0</v>
      </c>
      <c r="ED47" s="7">
        <f>IFERROR(AVERAGEIF('Данные 1st'!$S$2:$S$317,$A47,'Данные 1st'!$IP$2:$IP$317),"")</f>
        <v>17</v>
      </c>
      <c r="EE47" s="7">
        <f>IFERROR(AVERAGEIF('Данные 1st'!$S$2:$S$317,$A47,'Данные 1st'!$IV$2:$IV$317),"")</f>
        <v>1301</v>
      </c>
      <c r="EF47" s="7">
        <f>IFERROR(AVERAGEIF('Данные 1st'!$S$2:$S$317,$A47,'Данные 1st'!$IW$2:$IW$317),"")</f>
        <v>436</v>
      </c>
      <c r="EG47" s="7">
        <f>IFERROR(AVERAGEIF('Данные 1st'!$S$2:$S$317,$A47,'Данные 1st'!$IX$2:$IX$317),"")</f>
        <v/>
      </c>
      <c r="EH47" s="7">
        <f>IFERROR(AVERAGEIF('Данные 1st'!$S$2:$S$317,$A47,'Данные 1st'!$IY$2:$IY$317),"")</f>
        <v/>
      </c>
      <c r="EI47" s="7">
        <f>IFERROR(AVERAGEIF('Данные 1st'!$S$2:$S$317,$A47,'Данные 1st'!$JD$2:$JD$317),"")</f>
        <v>1315.6666666666667</v>
      </c>
      <c r="EJ47" s="7">
        <f>IFERROR(AVERAGEIF('Данные 1st'!$S$2:$S$317,$A47,'Данные 1st'!$JE$2:$JE$317),"")</f>
        <v>1311.3333333333333</v>
      </c>
      <c r="EK47" s="7">
        <f>IFERROR(AVERAGEIF('Данные 1st'!$S$2:$S$317,$A47,'Данные 1st'!$JF$2:$JF$317),"")</f>
        <v>1317.3333333333333</v>
      </c>
      <c r="EL47" s="7">
        <f>IFERROR(AVERAGEIF('Данные 1st'!$S$2:$S$317,$A47,'Данные 1st'!$JG$2:$JG$317),"")</f>
        <v>1298.6666666666667</v>
      </c>
      <c r="EM47" s="7">
        <f>IFERROR(AVERAGEIF('Данные 1st'!$S$2:$S$317,$A47,'Данные 1st'!$JH$2:$JH$317),"")</f>
        <v>0</v>
      </c>
      <c r="EN47" s="7">
        <f>IFERROR(AVERAGEIF('Данные 1st'!$S$2:$S$317,$A47,'Данные 1st'!$JJ$2:$JJ$317),"")</f>
        <v>180</v>
      </c>
      <c r="EO47" s="7">
        <f>IFERROR(AVERAGEIF('Данные 1st'!$S$2:$S$317,$A47,'Данные 1st'!$JK$2:$JK$317),"")</f>
        <v>473.6666666666667</v>
      </c>
      <c r="EP47" s="7">
        <f>IFERROR(AVERAGEIF('Данные 1st'!$S$2:$S$317,$A47,'Данные 1st'!$JL$2:$JL$317),"")</f>
        <v/>
      </c>
      <c r="EQ47" s="7">
        <f>IFERROR(AVERAGEIF('Данные 1st'!$S$2:$S$317,$A47,'Данные 1st'!$JM$2:$JM$317),"")</f>
        <v/>
      </c>
      <c r="ER47" s="7">
        <f>IFERROR(AVERAGEIF('Данные 1st'!$S$2:$S$317,$A47,'Данные 1st'!$JN$2:$JN$317),"")</f>
        <v>410</v>
      </c>
      <c r="ES47" s="7">
        <f>IFERROR(AVERAGEIF('Данные 1st'!$S$2:$S$317,$A47,'Данные 1st'!$JO$2:$JO$317),"")</f>
        <v>580</v>
      </c>
      <c r="ET47" s="7">
        <f>IFERROR(AVERAGEIF('Данные 1st'!$S$2:$S$317,$A47,'Данные 1st'!$JP$2:$JP$317),"")</f>
        <v>490</v>
      </c>
      <c r="EU47" s="7">
        <f>IFERROR(AVERAGEIF('Данные 1st'!$S$2:$S$317,$A47,'Данные 1st'!$JQ$2:$JQ$317),"")</f>
        <v>0</v>
      </c>
      <c r="EV47" s="7">
        <f>IFERROR(AVERAGEIF('Данные 1st'!$S$2:$S$317,$A47,'Данные 1st'!$JR$2:$JR$317),"")</f>
        <v>408</v>
      </c>
      <c r="EW47" s="7">
        <f>IFERROR(AVERAGEIF('Данные 1st'!$S$2:$S$317,$A47,'Данные 1st'!$JS$2:$JS$317),"")</f>
        <v>145</v>
      </c>
      <c r="EX47" s="7">
        <f>IFERROR(AVERAGEIF('Данные 1st'!$S$2:$S$317,$A47,'Данные 1st'!$JT$2:$JT$317),"")</f>
        <v/>
      </c>
      <c r="EY47" s="7">
        <f>IFERROR(AVERAGEIF('Данные 1st'!$S$2:$S$317,$A47,'Данные 1st'!$JU$2:$JU$317),"")</f>
        <v/>
      </c>
      <c r="EZ47" s="7">
        <f>IFERROR(AVERAGEIF('Данные 1st'!$S$2:$S$317,$A47,'Данные 1st'!$JV$2:$JV$317),"")</f>
        <v>8</v>
      </c>
      <c r="FA47" s="7">
        <f>IFERROR(AVERAGEIF('Данные 1st'!$S$2:$S$317,$A47,'Данные 1st'!$JW$2:$JW$317),"")</f>
        <v/>
      </c>
      <c r="FB47" s="7">
        <f>IFERROR(AVERAGEIF('Данные 1st'!$S$2:$S$317,$A47,'Данные 1st'!$JX$2:$JX$317),"")</f>
        <v>160</v>
      </c>
      <c r="FC47" s="7">
        <f>IFERROR(AVERAGEIF('Данные 1st'!$S$2:$S$317,$A47,'Данные 1st'!$JY$2:$JY$317),"")</f>
        <v/>
      </c>
      <c r="FD47" s="7">
        <f>IFERROR(AVERAGEIF('Данные 1st'!$S$2:$S$317,$A47,'Данные 1st'!$JZ$2:$JZ$317),"")</f>
        <v/>
      </c>
      <c r="FE47" s="7">
        <f>IFERROR(AVERAGEIF('Данные 1st'!$S$2:$S$317,$A47,'Данные 1st'!$KA$2:$KA$317),"")</f>
        <v>225</v>
      </c>
      <c r="FF47" s="7">
        <f>IFERROR(AVERAGEIF('Данные 1st'!$S$2:$S$317,$A47,'Данные 1st'!$KB$2:$KB$317),"")</f>
        <v>110</v>
      </c>
      <c r="FG47" s="7">
        <f>IFERROR(AVERAGEIF('Данные 1st'!$S$2:$S$317,$A47,'Данные 1st'!$KC$2:$KC$317),"")</f>
        <v>0</v>
      </c>
      <c r="FH47" s="7">
        <f>IFERROR(AVERAGEIF('Данные 1st'!$S$2:$S$317,$A47,'Данные 1st'!$KD$2:$KD$317),"")</f>
        <v>80</v>
      </c>
      <c r="FI47" s="7">
        <f>IFERROR(AVERAGEIF('Данные 1st'!$S$2:$S$317,$A47,'Данные 1st'!$KE$2:$KE$317),"")</f>
        <v/>
      </c>
      <c r="FJ47" s="7">
        <f>IFERROR(AVERAGEIF('Данные 1st'!$S$2:$S$317,$A47,'Данные 1st'!$KF$2:$KF$317),"")</f>
        <v>4</v>
      </c>
      <c r="FK47" s="7">
        <f>IFERROR(AVERAGEIF('Данные 1st'!$S$2:$S$317,$A47,'Данные 1st'!$KG$2:$KG$317),"")</f>
        <v>2.6666666666666665</v>
      </c>
      <c r="FL47" s="7">
        <f>IFERROR(AVERAGEIF('Данные 1st'!$S$2:$S$317,$A47,'Данные 1st'!$KH$2:$KH$317),"")</f>
        <v>2</v>
      </c>
      <c r="FM47" s="7">
        <f>IFERROR(AVERAGEIF('Данные 1st'!$S$2:$S$317,$A47,'Данные 1st'!$KI$2:$KI$317),"")</f>
        <v>2</v>
      </c>
      <c r="FN47" s="7">
        <f>IFERROR(AVERAGEIF('Данные 1st'!$S$2:$S$317,$A47,'Данные 1st'!$KJ$2:$KJ$317),"")</f>
        <v>0</v>
      </c>
      <c r="FO47" s="7">
        <f>IFERROR(AVERAGEIF('Данные 1st'!$S$2:$S$317,$A47,'Данные 1st'!$KK$2:$KK$317),"")</f>
        <v>1.5</v>
      </c>
      <c r="FP47" s="7">
        <f>IFERROR(AVERAGEIF('Данные 1st'!$S$2:$S$317,$A47,'Данные 1st'!$KL$2:$KL$317),"")</f>
        <v>1.5</v>
      </c>
      <c r="FQ47" s="7">
        <f>IFERROR(AVERAGEIF('Данные 1st'!$S$2:$S$317,$A47,'Данные 1st'!$KM$2:$KM$317),"")</f>
        <v>0</v>
      </c>
      <c r="FR47" s="7">
        <f>IFERROR(AVERAGEIF('Данные 1st'!$S$2:$S$317,$A47,'Данные 1st'!$KN$2:$KN$317),"")</f>
        <v>0</v>
      </c>
      <c r="FS47" s="7">
        <f>IFERROR(AVERAGEIF('Данные 1st'!$S$2:$S$317,$A47,'Данные 1st'!$KR$2:$KR$317),"")</f>
        <v>23.333333333333332</v>
      </c>
      <c r="FT47" s="7">
        <f>IFERROR(AVERAGEIF('Данные 1st'!$S$2:$S$317,$A47,'Данные 1st'!$KS$2:$KS$317),"")</f>
        <v>60</v>
      </c>
      <c r="FU47" s="7">
        <f>IFERROR(AVERAGEIF('Данные 1st'!$S$2:$S$317,$A47,'Данные 1st'!$KT$2:$KT$317),"")</f>
        <v>0</v>
      </c>
      <c r="FV47" s="7">
        <f>IFERROR(AVERAGEIF('Данные 1st'!$S$2:$S$317,$A47,'Данные 1st'!$KV$2:$KV$317),"")</f>
        <v/>
      </c>
      <c r="FW47" s="7">
        <f>IFERROR(AVERAGEIF('Данные 1st'!$S$2:$S$317,$A47,'Данные 1st'!$KW$2:$KW$317),"")</f>
        <v/>
      </c>
      <c r="FX47" s="7">
        <f>IFERROR(AVERAGEIF('Данные 1st'!$S$2:$S$317,$A47,'Данные 1st'!$KX$2:$KX$317),"")</f>
        <v/>
      </c>
      <c r="FY47" s="7">
        <f>IFERROR(AVERAGEIF('Данные 1st'!$S$2:$S$317,$A47,'Данные 1st'!$KY$2:$KY$317),"")</f>
        <v/>
      </c>
      <c r="FZ47" s="7">
        <f>IFERROR(AVERAGEIF('Данные 1st'!$S$2:$S$317,$A47,'Данные 1st'!$KZ$2:$KZ$317),"")</f>
        <v/>
      </c>
      <c r="GA47" s="7">
        <f>IFERROR(AVERAGEIF('Данные 1st'!$S$2:$S$317,$A47,'Данные 1st'!$LA$2:$LA$317),"")</f>
        <v/>
      </c>
      <c r="GB47" s="7">
        <f>IFERROR(AVERAGEIF('Данные 1st'!$S$2:$S$317,$A47,'Данные 1st'!$LB$2:$LB$317),"")</f>
        <v/>
      </c>
      <c r="GC47" s="7">
        <f>IFERROR(AVERAGEIF('Данные 1st'!$S$2:$S$317,$A47,'Данные 1st'!$LC$2:$LC$317),"")</f>
        <v/>
      </c>
      <c r="GD47" s="7">
        <f>IFERROR(AVERAGEIF('Данные 1st'!$S$2:$S$317,$A47,'Данные 1st'!$LD$2:$LD$317),"")</f>
        <v/>
      </c>
      <c r="GE47" s="7">
        <f>IFERROR(AVERAGEIF('Данные 1st'!$S$2:$S$317,$A47,'Данные 1st'!$LE$2:$LE$317),"")</f>
        <v/>
      </c>
      <c r="GF47" s="7">
        <f>IFERROR(AVERAGEIF('Данные 1st'!$S$2:$S$317,$A47,'Данные 1st'!$LF$2:$LF$317),"")</f>
        <v/>
      </c>
      <c r="GG47" s="7">
        <f>IFERROR(AVERAGEIF('Данные 1st'!$S$2:$S$317,$A47,'Данные 1st'!$LG$2:$LG$317),"")</f>
        <v/>
      </c>
      <c r="GH47" s="7">
        <f>IFERROR(AVERAGEIF('Данные 1st'!$S$2:$S$317,$A47,'Данные 1st'!$LH$2:$LH$317),"")</f>
        <v/>
      </c>
      <c r="GI47" s="7">
        <f>IFERROR(AVERAGEIF('Данные 1st'!$S$2:$S$317,$A47,'Данные 1st'!$LI$2:$LI$317),"")</f>
        <v/>
      </c>
      <c r="GJ47" s="7">
        <f>IFERROR(AVERAGEIF('Данные 1st'!$S$2:$S$317,$A47,'Данные 1st'!$LJ$2:$LJ$317),"")</f>
        <v/>
      </c>
      <c r="GK47" s="7">
        <f>IFERROR(AVERAGEIF('Данные 1st'!$S$2:$S$317,$A47,'Данные 1st'!$LK$2:$LK$317),"")</f>
        <v>480</v>
      </c>
      <c r="GL47" s="7">
        <f>IFERROR(AVERAGEIF('Данные 1st'!$S$2:$S$317,$A47,'Данные 1st'!$LV$2:$LV$317),"")</f>
        <v/>
      </c>
      <c r="GM47" s="7">
        <f>IFERROR(AVERAGEIF('Данные 1st'!$S$2:$S$317,$A47,'Данные 1st'!$LW$2:$LW$317),"")</f>
        <v/>
      </c>
      <c r="GN47" s="7">
        <f>IFERROR(AVERAGEIF('Данные 1st'!$S$2:$S$317,$A47,'Данные 1st'!$LX$2:$LX$317),"")</f>
        <v/>
      </c>
      <c r="GO47" s="7">
        <f>IFERROR(AVERAGEIF('Данные 1st'!$S$2:$S$317,$A47,'Данные 1st'!$LY$2:$LY$317),"")</f>
        <v/>
      </c>
      <c r="GP47" s="7">
        <f>IFERROR(AVERAGEIF('Данные 1st'!$S$2:$S$317,$A47,'Данные 1st'!$LZ$2:$LZ$317),"")</f>
        <v/>
      </c>
      <c r="GQ47" s="7">
        <f>IFERROR(AVERAGEIF('Данные 1st'!$S$2:$S$317,$A47,'Данные 1st'!$PG$2:$PG$317),"")</f>
        <v>1</v>
      </c>
      <c r="GR47" s="7">
        <f>IFERROR(AVERAGEIF('Данные 1st'!$S$2:$S$317,$A47,'Данные 1st'!$PX$2:$PX$317),"")</f>
        <v>56</v>
      </c>
      <c r="GS47" s="7">
        <f>IFERROR(AVERAGEIF('Данные 1st'!$S$2:$S$317,$A47,'Данные 1st'!$PY$2:$PY$317),"")</f>
        <v>56.333333333333336</v>
      </c>
      <c r="GT47" s="7">
        <f>IFERROR(AVERAGEIF('Данные 1st'!$S$2:$S$317,$A47,'Данные 1st'!$QA$2:$QA$317),"")</f>
        <v>2</v>
      </c>
      <c r="GU47" s="7">
        <f>IFERROR(AVERAGEIF('Данные 1st'!$S$2:$S$317,$A47,'Данные 1st'!$QB$2:$QB$317),"")</f>
        <v>1298.6666666666667</v>
      </c>
      <c r="GV47" s="7">
        <f>IFERROR(AVERAGEIF('Данные 1st'!$S$2:$S$317,$A47,'Данные 1st'!$QC$2:$QC$317),"")</f>
        <v>69</v>
      </c>
      <c r="GW47" s="7">
        <f>IFERROR(AVERAGEIF('Данные 1st'!$S$2:$S$317,$A47,'Данные 1st'!$QD$2:$QD$317),"")</f>
        <v>69</v>
      </c>
      <c r="GX47" s="7">
        <f>IFERROR(AVERAGEIF('Данные 1st'!$S$2:$S$317,$A47,'Данные 1st'!$QF$2:$QF$317),"")</f>
        <v>1.3333333333333333</v>
      </c>
      <c r="GY47" s="7">
        <f>IFERROR(AVERAGEIF('Данные 1st'!$S$2:$S$317,$A47,'Данные 1st'!$QG$2:$QG$317),"")</f>
        <v>1315.6666666666667</v>
      </c>
      <c r="GZ47" s="7">
        <f>IFERROR(AVERAGEIF('Данные 1st'!$S$2:$S$317,$A47,'Данные 1st'!$QH$2:$QH$317),"")</f>
        <v>66</v>
      </c>
      <c r="HA47" s="7">
        <f>IFERROR(AVERAGEIF('Данные 1st'!$S$2:$S$317,$A47,'Данные 1st'!$QI$2:$QI$317),"")</f>
        <v>66</v>
      </c>
      <c r="HB47" s="7">
        <f>IFERROR(AVERAGEIF('Данные 1st'!$S$2:$S$317,$A47,'Данные 1st'!$QK$2:$QK$317),"")</f>
        <v>1</v>
      </c>
      <c r="HC47" s="7">
        <f>IFERROR(AVERAGEIF('Данные 1st'!$S$2:$S$317,$A47,'Данные 1st'!$QL$2:$QL$317),"")</f>
        <v>439.6666666666667</v>
      </c>
      <c r="HD47" s="7">
        <f>IFERROR(AVERAGEIF('Данные 1st'!$S$2:$S$317,$A47,'Данные 1st'!$QM$2:$QM$317),"")</f>
        <v>62</v>
      </c>
      <c r="HE47" s="7">
        <f>IFERROR(AVERAGEIF('Данные 1st'!$S$2:$S$317,$A47,'Данные 1st'!$QN$2:$QN$317),"")</f>
        <v>62</v>
      </c>
      <c r="HF47" s="7">
        <f>IFERROR(AVERAGEIF('Данные 1st'!$S$2:$S$317,$A47,'Данные 1st'!$QP$2:$QP$317),"")</f>
        <v>1</v>
      </c>
      <c r="HG47" s="7">
        <f>IFERROR(AVERAGEIF('Данные 1st'!$S$2:$S$317,$A47,'Данные 1st'!$QQ$2:$QQ$317),"")</f>
        <v>1311.3333333333333</v>
      </c>
      <c r="HH47" s="7">
        <f>IFERROR(AVERAGEIF('Данные 1st'!$S$2:$S$317,$A47,'Данные 1st'!$QR$2:$QR$317),"")</f>
        <v>63</v>
      </c>
      <c r="HI47" s="7">
        <f>IFERROR(AVERAGEIF('Данные 1st'!$S$2:$S$317,$A47,'Данные 1st'!$QS$2:$QS$317),"")</f>
        <v>63</v>
      </c>
      <c r="HJ47" s="7">
        <f>IFERROR(AVERAGEIF('Данные 1st'!$S$2:$S$317,$A47,'Данные 1st'!$QU$2:$QU$317),"")</f>
        <v>1</v>
      </c>
      <c r="HK47" s="7">
        <f>IFERROR(AVERAGEIF('Данные 1st'!$S$2:$S$317,$A47,'Данные 1st'!$QV$2:$QV$317),"")</f>
        <v>1317.3333333333333</v>
      </c>
      <c r="HL47" s="7">
        <f>IFERROR(AVERAGEIF('Данные 1st'!$S$2:$S$317,$A47,'Данные 1st'!$QW$2:$QW$317),"")</f>
        <v>82</v>
      </c>
      <c r="HM47" s="7">
        <f>IFERROR(AVERAGEIF('Данные 1st'!$S$2:$S$317,$A47,'Данные 1st'!$QX$2:$QX$317),"")</f>
        <v>82.66666666666667</v>
      </c>
      <c r="HN47" s="7">
        <f>IFERROR(AVERAGEIF('Данные 1st'!$S$2:$S$317,$A47,'Данные 1st'!$QZ$2:$QZ$317),"")</f>
        <v>1.6666666666666667</v>
      </c>
      <c r="HO47" s="7">
        <f>IFERROR(AVERAGEIF('Данные 1st'!$S$2:$S$317,$A47,'Данные 1st'!$RA$2:$RA$317),"")</f>
        <v>66</v>
      </c>
      <c r="HP47" s="7">
        <f>IFERROR(AVERAGEIF('Данные 1st'!$S$2:$S$317,$A47,'Данные 1st'!$RB$2:$RB$317),"")</f>
        <v>66</v>
      </c>
      <c r="HQ47" s="7">
        <f>IFERROR(AVERAGEIF('Данные 1st'!$S$2:$S$317,$A47,'Данные 1st'!$RD$2:$RD$317),"")</f>
        <v/>
      </c>
      <c r="HR47" s="7">
        <f>IFERROR(AVERAGEIF('Данные 1st'!$S$2:$S$317,$A47,'Данные 1st'!$RE$2:$RE$317),"")</f>
        <v>0</v>
      </c>
      <c r="HS47" s="7">
        <f>IFERROR(AVERAGEIF('Данные 1st'!$S$2:$S$317,$A47,'Данные 1st'!$RF$2:$RF$317),"")</f>
        <v>1</v>
      </c>
      <c r="HT47" s="7">
        <f>IFERROR(AVERAGEIF('Данные 1st'!$S$2:$S$317,$A47,'Данные 1st'!$RG$2:$RG$317),"")</f>
        <v/>
      </c>
      <c r="HU47" s="7">
        <f>IFERROR(AVERAGEIF('Данные 1st'!$S$2:$S$317,$A47,'Данные 1st'!$RH$2:$RH$317),"")</f>
        <v/>
      </c>
      <c r="HV47" s="7">
        <f>IFERROR(AVERAGEIF('Данные 1st'!$S$2:$S$317,$A47,'Данные 1st'!$RI$2:$RI$317),"")</f>
        <v>1</v>
      </c>
      <c r="HW47" s="7">
        <f>IFERROR(AVERAGEIF('Данные 1st'!$S$2:$S$317,$A47,'Данные 1st'!$RJ$2:$RJ$317),"")</f>
        <v>1</v>
      </c>
      <c r="HX47" s="7">
        <f>IFERROR(AVERAGEIF('Данные 1st'!$S$2:$S$317,$A47,'Данные 1st'!$RK$2:$RK$317),"")</f>
        <v>2</v>
      </c>
      <c r="HY47" s="7">
        <f>IFERROR(AVERAGEIF('Данные 1st'!$S$2:$S$317,$A47,'Данные 1st'!$RL$2:$RL$317),"")</f>
        <v>2.3333333333333335</v>
      </c>
      <c r="HZ47" s="7">
        <f>IFERROR(AVERAGEIF('Данные 1st'!$S$2:$S$317,$A47,'Данные 1st'!$RM$2:$RM$317),"")</f>
        <v>2.3333333333333335</v>
      </c>
      <c r="IA47" s="7">
        <f>IFERROR(AVERAGEIF('Данные 1st'!$S$2:$S$317,$A47,'Данные 1st'!$RN$2:$RN$317),"")</f>
        <v/>
      </c>
      <c r="IB47" s="7">
        <f>IFERROR(AVERAGEIF('Данные 1st'!$S$2:$S$317,$A47,'Данные 1st'!$RO$2:$RO$317),"")</f>
        <v>597.3333333333334</v>
      </c>
      <c r="IC47" s="7">
        <f>IFERROR(AVERAGEIF('Данные 1st'!$S$2:$S$317,$A47,'Данные 1st'!$RP$2:$RP$317),"")</f>
        <v>105</v>
      </c>
      <c r="ID47" s="7">
        <f>IFERROR(AVERAGEIF('Данные 1st'!$S$2:$S$317,$A47,'Данные 1st'!$RQ$2:$RQ$317),"")</f>
        <v>738</v>
      </c>
      <c r="IE47" s="7">
        <f>IFERROR(AVERAGEIF('Данные 1st'!$S$2:$S$317,$A47,'Данные 1st'!$RR$2:$RR$317),"")</f>
        <v>692</v>
      </c>
      <c r="IF47" s="7">
        <f>IFERROR(AVERAGEIF('Данные 1st'!$S$2:$S$317,$A47,'Данные 1st'!$RS$2:$RS$317),"")</f>
        <v/>
      </c>
      <c r="IG47" s="7">
        <f>IFERROR(AVERAGEIF('Данные 1st'!$S$2:$S$317,$A47,'Данные 1st'!$RT$2:$RT$317),"")</f>
        <v>261.3333333333333</v>
      </c>
      <c r="IH47" s="7">
        <f>IFERROR(AVERAGEIF('Данные 1st'!$S$2:$S$317,$A47,'Данные 1st'!$RU$2:$RU$317),"")</f>
        <v>258.3333333333333</v>
      </c>
      <c r="II47" s="7">
        <f>IFERROR(AVERAGEIF('Данные 1st'!$S$2:$S$317,$A47,'Данные 1st'!$RX$2:$RX$317),"")</f>
        <v>15</v>
      </c>
      <c r="IJ47" s="7">
        <f>IFERROR(AVERAGEIF('Данные 1st'!$S$2:$S$317,$A47,'Данные 1st'!$RY$2:$RY$317),"")</f>
        <v>4</v>
      </c>
      <c r="IK47" s="7">
        <f>IFERROR(AVERAGEIF('Данные 1st'!$S$2:$S$317,$A47,'Данные 1st'!$SA$2:$SA$317),"")</f>
        <v>15</v>
      </c>
      <c r="IL47" s="7">
        <f>IFERROR(AVERAGEIF('Данные 1st'!$S$2:$S$317,$A47,'Данные 1st'!$SD$2:$SD$317),"")</f>
        <v>1</v>
      </c>
      <c r="IM47" s="7">
        <f>IFERROR(AVERAGEIF('Данные 1st'!$S$2:$S$317,$A47,'Данные 1st'!$SG$2:$SG$317),"")</f>
        <v>1</v>
      </c>
      <c r="IN47" s="7">
        <f>IFERROR(AVERAGEIF('Данные 1st'!$S$2:$S$317,$A47,'Данные 1st'!$SH$2:$SH$317),"")</f>
        <v>0.995</v>
      </c>
      <c r="IO47" s="7">
        <f>IFERROR(AVERAGEIF('Данные 1st'!$S$2:$S$317,$A47,'Данные 1st'!$SI$2:$SI$317),"")</f>
        <v>0.995</v>
      </c>
      <c r="IP47" s="7">
        <f>IFERROR(AVERAGEIF('Данные 1st'!$S$2:$S$317,$A47,'Данные 1st'!$SJ$2:$SJ$317),"")</f>
        <v>0.995</v>
      </c>
      <c r="IQ47" s="7">
        <f>IFERROR(AVERAGEIF('Данные 1st'!$S$2:$S$317,$A47,'Данные 1st'!$SK$2:$SK$317),"")</f>
        <v>15</v>
      </c>
      <c r="IR47" s="7">
        <f>IFERROR(AVERAGEIF('Данные 1st'!$S$2:$S$317,$A47,'Данные 1st'!$SL$2:$SL$317),"")</f>
        <v>0</v>
      </c>
      <c r="IS47" s="7">
        <f>IFERROR(AVERAGEIF('Данные 1st'!$S$2:$S$317,$A47,'Данные 1st'!$SM$2:$SM$317),"")</f>
        <v>0</v>
      </c>
      <c r="IT47" s="7">
        <f>IFERROR(AVERAGEIF('Данные 1st'!$S$2:$S$317,$A47,'Данные 1st'!$SN$2:$SN$317),"")</f>
        <v>0</v>
      </c>
      <c r="IU47" s="7">
        <f>IFERROR(AVERAGEIF('Данные 1st'!$S$2:$S$317,$A47,'Данные 1st'!$SO$2:$SO$317),"")</f>
        <v>0</v>
      </c>
      <c r="IV47" s="7">
        <f>IFERROR(AVERAGEIF('Данные 1st'!$S$2:$S$317,$A47,'Данные 1st'!$SP$2:$SP$317),"")</f>
        <v>0</v>
      </c>
      <c r="IW47" s="7">
        <f>IFERROR(AVERAGEIF('Данные 1st'!$S$2:$S$317,$A47,'Данные 1st'!$SQ$2:$SQ$317),"")</f>
        <v>0</v>
      </c>
      <c r="IX47" s="7">
        <f>IFERROR(AVERAGEIF('Данные 1st'!$S$2:$S$317,$A47,'Данные 1st'!$SR$2:$SR$317),"")</f>
        <v>0</v>
      </c>
      <c r="IY47" s="7">
        <f>IFERROR(AVERAGEIF('Данные 1st'!$S$2:$S$317,$A47,'Данные 1st'!$SS$2:$SS$317),"")</f>
        <v>0</v>
      </c>
      <c r="IZ47" s="7">
        <f>IFERROR(AVERAGEIF('Данные 1st'!$S$2:$S$317,$A47,'Данные 1st'!$ST$2:$ST$317),"")</f>
        <v>0</v>
      </c>
      <c r="JA47" s="7">
        <f>IFERROR(AVERAGEIF('Данные 1st'!$S$2:$S$317,$A47,'Данные 1st'!$SU$2:$SU$317),"")</f>
        <v>0</v>
      </c>
      <c r="JB47" s="7">
        <f>IFERROR(AVERAGEIF('Данные 1st'!$S$2:$S$317,$A47,'Данные 1st'!$SV$2:$SV$317),"")</f>
        <v>0</v>
      </c>
      <c r="JC47" s="7">
        <f>IFERROR(AVERAGEIF('Данные 1st'!$S$2:$S$317,$A47,'Данные 1st'!$SW$2:$SW$317),"")</f>
        <v>0</v>
      </c>
      <c r="JD47" s="7">
        <f>IFERROR(AVERAGEIF('Данные 1st'!$S$2:$S$317,$A47,'Данные 1st'!$SX$2:$SX$317),"")</f>
        <v>0</v>
      </c>
      <c r="JE47" s="7">
        <f>IFERROR(AVERAGEIF('Данные 1st'!$S$2:$S$317,$A47,'Данные 1st'!$SY$2:$SY$317),"")</f>
        <v>1</v>
      </c>
      <c r="JF47" s="7">
        <f>IFERROR(AVERAGEIF('Данные 1st'!$S$2:$S$317,$A47,'Данные 1st'!$SZ$2:$SZ$317),"")</f>
        <v>1</v>
      </c>
      <c r="JG47" s="7">
        <f>IFERROR(AVERAGEIF('Данные 1st'!$S$2:$S$317,$A47,'Данные 1st'!$TA$2:$TA$317),"")</f>
        <v/>
      </c>
      <c r="JH47" s="7">
        <f>IFERROR(AVERAGEIF('Данные 1st'!$S$2:$S$317,$A47,'Данные 1st'!$TB$2:$TB$317),"")</f>
        <v>0</v>
      </c>
      <c r="JI47" s="7">
        <f>IFERROR(AVERAGEIF('Данные 1st'!$S$2:$S$317,$A47,'Данные 1st'!$TC$2:$TC$317),"")</f>
        <v>0</v>
      </c>
      <c r="JJ47" s="7">
        <f>IFERROR(AVERAGEIF('Данные 1st'!$S$2:$S$317,$A47,'Данные 1st'!$TD$2:$TD$317),"")</f>
        <v>7.5</v>
      </c>
      <c r="JK47" s="7">
        <f>IFERROR(AVERAGEIF('Данные 1st'!$S$2:$S$317,$A47,'Данные 1st'!$TN$2:$TN$317),"")</f>
        <v>0</v>
      </c>
      <c r="JL47">
        <f>COUNTIF('Данные 2st'!$Q$2:$Q$317,$A47)</f>
        <v>3</v>
      </c>
      <c r="JM47" s="6" t="s">
        <v>5104</v>
      </c>
      <c r="JN47" s="6" t="s">
        <v>513</v>
      </c>
      <c r="JO47" s="6" t="s">
        <v>5125</v>
      </c>
      <c r="JP47" s="6" t="s">
        <v>5501</v>
      </c>
      <c r="JQ47" s="7">
        <f>IFERROR(AVERAGEIF('Данные 2st'!$Q$2:$Q$317,$A47,'Данные 2st'!$AC$2:$AC$317),"")</f>
        <v>11.333333333333334</v>
      </c>
      <c r="JR47" s="7">
        <f>IFERROR(AVERAGEIF('Данные 2st'!$Q$2:$Q$317,$A47,'Данные 2st'!$AF$2:$AF$317),"")</f>
        <v>5395.333333333333</v>
      </c>
      <c r="JS47" s="7">
        <f>IFERROR(AVERAGEIF('Данные 2st'!$Q$2:$Q$317,$A47,'Данные 2st'!$AW$2:$AW$317),"")</f>
        <v>6.4</v>
      </c>
      <c r="JT47" s="7">
        <f>IFERROR(AVERAGEIF('Данные 2st'!$Q$2:$Q$317,$A47,'Данные 2st'!$AX$2:$AX$317),"")</f>
        <v>-6</v>
      </c>
      <c r="JU47" s="7">
        <f>IFERROR(AVERAGEIF('Данные 2st'!$Q$2:$Q$317,$A47,'Данные 2st'!$AY$2:$AY$317),"")</f>
        <v>107.5</v>
      </c>
      <c r="JV47" s="7">
        <f>IFERROR(AVERAGEIF('Данные 2st'!$Q$2:$Q$317,$A47,'Данные 2st'!$AZ$2:$AZ$317),"")</f>
        <v>80.66666666666667</v>
      </c>
      <c r="JW47" s="7">
        <f>IFERROR(AVERAGEIF('Данные 2st'!$Q$2:$Q$317,$A47,'Данные 2st'!$BA$2:$BA$317),"")</f>
        <v/>
      </c>
      <c r="JX47" s="7">
        <f>IFERROR(AVERAGEIF('Данные 2st'!$Q$2:$Q$317,$A47,'Данные 2st'!$BB$2:$BB$317),"")</f>
        <v/>
      </c>
      <c r="JY47" s="7">
        <f>IFERROR(AVERAGEIF('Данные 2st'!$Q$2:$Q$317,$A47,'Данные 2st'!$BC$2:$BC$317),"")</f>
        <v/>
      </c>
      <c r="JZ47" s="7">
        <f>IFERROR(AVERAGEIF('Данные 2st'!$Q$2:$Q$317,$A47,'Данные 2st'!$BH$2:$BH$317),"")</f>
        <v>107.5</v>
      </c>
      <c r="KA47" s="7">
        <f>IFERROR(AVERAGEIF('Данные 2st'!$Q$2:$Q$317,$A47,'Данные 2st'!$BI$2:$BI$317),"")</f>
        <v>26.833333333333332</v>
      </c>
      <c r="KB47" s="7">
        <f>IFERROR(AVERAGEIF('Данные 2st'!$Q$2:$Q$317,$A47,'Данные 2st'!$BJ$2:$BJ$317),"")</f>
        <v>80.66666666666667</v>
      </c>
      <c r="KC47" s="7">
        <f>IFERROR(AVERAGEIF('Данные 2st'!$Q$2:$Q$317,$A47,'Данные 2st'!$BK$2:$BK$317),"")</f>
        <v>3.3333333333333335</v>
      </c>
      <c r="KD47" s="7">
        <f>IFERROR(AVERAGEIF('Данные 2st'!$Q$2:$Q$317,$A47,'Данные 2st'!$BL$2:$BL$317),"")</f>
        <v>215</v>
      </c>
      <c r="KE47" s="7">
        <f>IFERROR(AVERAGEIF('Данные 2st'!$Q$2:$Q$317,$A47,'Данные 2st'!$BM$2:$BM$317),"")</f>
        <v>-6</v>
      </c>
      <c r="KF47" s="7">
        <f>IFERROR(AVERAGEIF('Данные 2st'!$Q$2:$Q$317,$A47,'Данные 2st'!$BN$2:$BN$317),"")</f>
        <v>0</v>
      </c>
      <c r="KG47" s="7">
        <f>IFERROR(AVERAGEIF('Данные 2st'!$Q$2:$Q$317,$A47,'Данные 2st'!$BO$2:$BO$317),"")</f>
        <v/>
      </c>
      <c r="KH47" s="7">
        <f>IFERROR(AVERAGEIF('Данные 2st'!$Q$2:$Q$317,$A47,'Данные 2st'!$BP$2:$BP$317),"")</f>
        <v>0</v>
      </c>
      <c r="KI47" s="7">
        <f>IFERROR(AVERAGEIF('Данные 2st'!$Q$2:$Q$317,$A47,'Данные 2st'!$BR$2:$BR$317),"")</f>
        <v>208.33333333333334</v>
      </c>
      <c r="KJ47" s="7">
        <f>IFERROR(AVERAGEIF('Данные 2st'!$Q$2:$Q$317,$A47,'Данные 2st'!$BS$2:$BS$317),"")</f>
        <v>198.33333333333334</v>
      </c>
      <c r="KK47" s="7">
        <f>IFERROR(AVERAGEIF('Данные 2st'!$Q$2:$Q$317,$A47,'Данные 2st'!$BT$2:$BT$317),"")</f>
        <v>2015</v>
      </c>
      <c r="KL47" s="7">
        <f>IFERROR(AVERAGEIF('Данные 2st'!$Q$2:$Q$317,$A47,'Данные 2st'!$CV$2:$CV$317),"")</f>
        <v>132.66666666666666</v>
      </c>
      <c r="KM47" s="7">
        <f>IFERROR(AVERAGEIF('Данные 2st'!$Q$2:$Q$317,$A47,'Данные 2st'!$CW$2:$CW$317),"")</f>
        <v>3</v>
      </c>
      <c r="KN47" s="7">
        <f>IFERROR(AVERAGEIF('Данные 2st'!$Q$2:$Q$317,$A47,'Данные 2st'!$CX$2:$CX$317),"")</f>
        <v>111.66666666666667</v>
      </c>
      <c r="KO47" s="7">
        <f>IFERROR(AVERAGEIF('Данные 2st'!$Q$2:$Q$317,$A47,'Данные 2st'!$CY$2:$CY$317),"")</f>
        <v>5</v>
      </c>
      <c r="KP47" s="7">
        <f>IFERROR(AVERAGEIF('Данные 2st'!$Q$2:$Q$317,$A47,'Данные 2st'!$CZ$2:$CZ$317),"")</f>
        <v>150.33333333333334</v>
      </c>
      <c r="KQ47" s="7">
        <f>IFERROR(AVERAGEIF('Данные 2st'!$Q$2:$Q$317,$A47,'Данные 2st'!$DA$2:$DA$317),"")</f>
        <v>5</v>
      </c>
      <c r="KR47" s="7">
        <f>IFERROR(AVERAGEIF('Данные 2st'!$Q$2:$Q$317,$A47,'Данные 2st'!$DB$2:$DB$317),"")</f>
        <v>12290</v>
      </c>
      <c r="KS47" s="7">
        <f>IFERROR(AVERAGEIF('Данные 2st'!$Q$2:$Q$317,$A47,'Данные 2st'!$DC$2:$DC$317),"")</f>
        <v>303.3333333333333</v>
      </c>
      <c r="KT47" s="7">
        <f>IFERROR(AVERAGEIF('Данные 2st'!$Q$2:$Q$317,$A47,'Данные 2st'!$DD$2:$DD$317),"")</f>
        <v>341.6666666666667</v>
      </c>
      <c r="KU47" s="7">
        <f>IFERROR(AVERAGEIF('Данные 2st'!$Q$2:$Q$317,$A47,'Данные 2st'!$DE$2:$DE$317),"")</f>
        <v>2127.6666666666665</v>
      </c>
      <c r="KV47" s="7">
        <f>IFERROR(AVERAGEIF('Данные 2st'!$Q$2:$Q$317,$A47,'Данные 2st'!$DF$2:$DF$317),"")</f>
        <v>2129.3333333333335</v>
      </c>
      <c r="KW47" s="7">
        <f>IFERROR(AVERAGEIF('Данные 2st'!$Q$2:$Q$317,$A47,'Данные 2st'!$DG$2:$DG$317),"")</f>
        <v>2140.6666666666665</v>
      </c>
      <c r="KX47" s="7">
        <f>IFERROR(AVERAGEIF('Данные 2st'!$Q$2:$Q$317,$A47,'Данные 2st'!$DH$2:$DH$317),"")</f>
        <v>2</v>
      </c>
      <c r="KY47" s="7">
        <f>IFERROR(AVERAGEIF('Данные 2st'!$Q$2:$Q$317,$A47,'Данные 2st'!$DI$2:$DI$317),"")</f>
        <v/>
      </c>
      <c r="KZ47" s="7">
        <f>IFERROR(AVERAGEIF('Данные 2st'!$Q$2:$Q$317,$A47,'Данные 2st'!$DK$2:$DK$317),"")</f>
        <v>208.33333333333334</v>
      </c>
      <c r="LA47" s="7">
        <f>IFERROR(AVERAGEIF('Данные 2st'!$Q$2:$Q$317,$A47,'Данные 2st'!$DM$2:$DM$317),"")</f>
        <v>66.33333333333333</v>
      </c>
      <c r="LB47" s="7">
        <f>IFERROR(AVERAGEIF('Данные 2st'!$Q$2:$Q$317,$A47,'Данные 2st'!$DN$2:$DN$317),"")</f>
        <v>1.08</v>
      </c>
      <c r="LC47" s="7">
        <f>IFERROR(AVERAGEIF('Данные 2st'!$Q$2:$Q$317,$A47,'Данные 2st'!$DO$2:$DO$317),"")</f>
        <v>1</v>
      </c>
      <c r="LD47" s="7">
        <f>IFERROR(AVERAGEIF('Данные 2st'!$Q$2:$Q$317,$A47,'Данные 2st'!$DP$2:$DP$317),"")</f>
        <v>2018.6666666666667</v>
      </c>
      <c r="LE47" s="7">
        <f>IFERROR(AVERAGEIF('Данные 2st'!$Q$2:$Q$317,$A47,'Данные 2st'!$DQ$2:$DQ$317),"")</f>
        <v>899.6666666666666</v>
      </c>
      <c r="LF47" s="7">
        <f>IFERROR(AVERAGEIF('Данные 2st'!$Q$2:$Q$317,$A47,'Данные 2st'!$DS$2:$DS$317),"")</f>
        <v>198.33333333333334</v>
      </c>
      <c r="LG47" s="7">
        <f>IFERROR(AVERAGEIF('Данные 2st'!$Q$2:$Q$317,$A47,'Данные 2st'!$DU$2:$DU$317),"")</f>
        <v>66.33333333333333</v>
      </c>
      <c r="LH47" s="7">
        <f>IFERROR(AVERAGEIF('Данные 2st'!$Q$2:$Q$317,$A47,'Данные 2st'!$DV$2:$DV$317),"")</f>
        <v>1.08</v>
      </c>
      <c r="LI47" s="7">
        <f>IFERROR(AVERAGEIF('Данные 2st'!$Q$2:$Q$317,$A47,'Данные 2st'!$DW$2:$DW$317),"")</f>
        <v>1</v>
      </c>
      <c r="LJ47" s="7">
        <f>IFERROR(AVERAGEIF('Данные 2st'!$Q$2:$Q$317,$A47,'Данные 2st'!$DX$2:$DX$317),"")</f>
        <v>2029</v>
      </c>
      <c r="LK47" s="7">
        <f>IFERROR(AVERAGEIF('Данные 2st'!$Q$2:$Q$317,$A47,'Данные 2st'!$DY$2:$DY$317),"")</f>
        <v>861</v>
      </c>
      <c r="LL47" s="7">
        <f>IFERROR(AVERAGEIF('Данные 2st'!$Q$2:$Q$317,$A47,'Данные 2st'!$EA$2:$EA$317),"")</f>
        <v>24.333333333333332</v>
      </c>
      <c r="LM47" s="7">
        <f>IFERROR(AVERAGEIF('Данные 2st'!$Q$2:$Q$317,$A47,'Данные 2st'!$EC$2:$EC$317),"")</f>
        <v>0.6666666666666667</v>
      </c>
      <c r="LN47" s="7">
        <f>IFERROR(AVERAGEIF('Данные 2st'!$Q$2:$Q$317,$A47,'Данные 2st'!$ED$2:$ED$317),"")</f>
        <v>2018.6666666666667</v>
      </c>
      <c r="LO47" s="7">
        <f>IFERROR(AVERAGEIF('Данные 2st'!$Q$2:$Q$317,$A47,'Данные 2st'!$EE$2:$EE$317),"")</f>
        <v>66.33333333333333</v>
      </c>
      <c r="LP47" s="7">
        <f>IFERROR(AVERAGEIF('Данные 2st'!$Q$2:$Q$317,$A47,'Данные 2st'!$EG$2:$EG$317),"")</f>
        <v>11</v>
      </c>
      <c r="LQ47" s="7">
        <f>IFERROR(AVERAGEIF('Данные 2st'!$Q$2:$Q$317,$A47,'Данные 2st'!$EI$2:$EI$317),"")</f>
        <v>0.13333333333333333</v>
      </c>
      <c r="LR47" s="7">
        <f>IFERROR(AVERAGEIF('Данные 2st'!$Q$2:$Q$317,$A47,'Данные 2st'!$EJ$2:$EJ$317),"")</f>
        <v>2035</v>
      </c>
      <c r="LS47" s="7">
        <f>IFERROR(AVERAGEIF('Данные 2st'!$Q$2:$Q$317,$A47,'Данные 2st'!$EK$2:$EK$317),"")</f>
        <v>59</v>
      </c>
      <c r="LT47" s="7">
        <f>IFERROR(AVERAGEIF('Данные 2st'!$Q$2:$Q$317,$A47,'Данные 2st'!$EM$2:$EM$317),"")</f>
        <v>12</v>
      </c>
      <c r="LU47" s="7">
        <f>IFERROR(AVERAGEIF('Данные 2st'!$Q$2:$Q$317,$A47,'Данные 2st'!$EN$2:$EN$317),"")</f>
        <v>0.5</v>
      </c>
      <c r="LV47" s="7">
        <f>IFERROR(AVERAGEIF('Данные 2st'!$Q$2:$Q$317,$A47,'Данные 2st'!$EO$2:$EO$317),"")</f>
        <v>0.96</v>
      </c>
      <c r="LW47" s="7">
        <f>IFERROR(AVERAGEIF('Данные 2st'!$Q$2:$Q$317,$A47,'Данные 2st'!$EP$2:$EP$317),"")</f>
        <v>2028.5733333333333</v>
      </c>
      <c r="LX47" s="7">
        <f>IFERROR(AVERAGEIF('Данные 2st'!$Q$2:$Q$317,$A47,'Данные 2st'!$EQ$2:$EQ$317),"")</f>
        <v>35976.026666666665</v>
      </c>
      <c r="LY47" s="7">
        <f>IFERROR(AVERAGEIF('Данные 2st'!$Q$2:$Q$317,$A47,'Данные 2st'!$ER$2:$ER$317),"")</f>
        <v>8537.966666666667</v>
      </c>
      <c r="LZ47" s="7">
        <f>IFERROR(AVERAGEIF('Данные 2st'!$Q$2:$Q$317,$A47,'Данные 2st'!$ES$2:$ES$317),"")</f>
        <v>0</v>
      </c>
      <c r="MA47" s="7">
        <f>IFERROR(AVERAGEIF('Данные 2st'!$Q$2:$Q$317,$A47,'Данные 2st'!$ET$2:$ET$317),"")</f>
        <v>0</v>
      </c>
      <c r="MB47" s="7">
        <f>IFERROR(AVERAGEIF('Данные 2st'!$Q$2:$Q$317,$A47,'Данные 2st'!$EU$2:$EU$317),"")</f>
        <v>1</v>
      </c>
      <c r="MC47" s="7">
        <f>IFERROR(AVERAGEIF('Данные 2st'!$Q$2:$Q$317,$A47,'Данные 2st'!$EV$2:$EV$317),"")</f>
        <v>44514.333333333336</v>
      </c>
      <c r="MD47" s="7">
        <f>IFERROR(AVERAGEIF('Данные 2st'!$Q$2:$Q$317,$A47,'Данные 2st'!$EW$2:$EW$317),"")</f>
        <v>535</v>
      </c>
      <c r="ME47" s="7">
        <f>IFERROR(AVERAGEIF('Данные 2st'!$Q$2:$Q$317,$A47,'Данные 2st'!$EY$2:$EY$317),"")</f>
        <v>224.66666666666666</v>
      </c>
      <c r="MF47" s="7">
        <f>IFERROR(AVERAGEIF('Данные 2st'!$Q$2:$Q$317,$A47,'Данные 2st'!$FA$2:$FA$317),"")</f>
        <v>5.933333333333334</v>
      </c>
      <c r="MG47" s="7">
        <f>IFERROR(AVERAGEIF('Данные 2st'!$Q$2:$Q$317,$A47,'Данные 2st'!$FB$2:$FB$317),"")</f>
        <v>1</v>
      </c>
      <c r="MH47" s="7">
        <f>IFERROR(AVERAGEIF('Данные 2st'!$Q$2:$Q$317,$A47,'Данные 2st'!$FC$2:$FC$317),"")</f>
        <v>1</v>
      </c>
      <c r="MI47" s="7">
        <f>IFERROR(AVERAGEIF('Данные 2st'!$Q$2:$Q$317,$A47,'Данные 2st'!$FD$2:$FD$317),"")</f>
        <v>2062.6666666666665</v>
      </c>
      <c r="MJ47" s="7">
        <f>IFERROR(AVERAGEIF('Данные 2st'!$Q$2:$Q$317,$A47,'Данные 2st'!$FE$2:$FE$317),"")</f>
        <v>2875</v>
      </c>
      <c r="MK47" s="7">
        <f>IFERROR(AVERAGEIF('Данные 2st'!$Q$2:$Q$317,$A47,'Данные 2st'!$FG$2:$FG$317),"")</f>
        <v>226.66666666666666</v>
      </c>
      <c r="ML47" s="7">
        <f>IFERROR(AVERAGEIF('Данные 2st'!$Q$2:$Q$317,$A47,'Данные 2st'!$FI$2:$FI$317),"")</f>
        <v>2.4333333333333336</v>
      </c>
      <c r="MM47" s="7">
        <f>IFERROR(AVERAGEIF('Данные 2st'!$Q$2:$Q$317,$A47,'Данные 2st'!$FJ$2:$FJ$317),"")</f>
        <v>2062.6666666666665</v>
      </c>
      <c r="MN47" s="7">
        <f>IFERROR(AVERAGEIF('Данные 2st'!$Q$2:$Q$317,$A47,'Данные 2st'!$FK$2:$FK$317),"")</f>
        <v>1236.6666666666667</v>
      </c>
      <c r="MO47" s="7">
        <f>IFERROR(AVERAGEIF('Данные 2st'!$Q$2:$Q$317,$A47,'Данные 2st'!$FP$2:$FP$317),"")</f>
        <v>2062.6666666666665</v>
      </c>
      <c r="MP47" s="7">
        <f>IFERROR(AVERAGEIF('Данные 2st'!$Q$2:$Q$317,$A47,'Данные 2st'!$FQ$2:$FQ$317),"")</f>
        <v>172.33333333333334</v>
      </c>
      <c r="MQ47" s="7">
        <f>IFERROR(AVERAGEIF('Данные 2st'!$Q$2:$Q$317,$A47,'Данные 2st'!$FS$2:$FS$317),"")</f>
        <v>230.66666666666666</v>
      </c>
      <c r="MR47" s="7">
        <f>IFERROR(AVERAGEIF('Данные 2st'!$Q$2:$Q$317,$A47,'Данные 2st'!$FU$2:$FU$317),"")</f>
        <v>0.4</v>
      </c>
      <c r="MS47" s="7">
        <f>IFERROR(AVERAGEIF('Данные 2st'!$Q$2:$Q$317,$A47,'Данные 2st'!$FV$2:$FV$317),"")</f>
        <v>2062.6666666666665</v>
      </c>
      <c r="MT47" s="7">
        <f>IFERROR(AVERAGEIF('Данные 2st'!$Q$2:$Q$317,$A47,'Данные 2st'!$FW$2:$FW$317),"")</f>
        <v>210.66666666666666</v>
      </c>
      <c r="MU47" s="7">
        <f>IFERROR(AVERAGEIF('Данные 2st'!$Q$2:$Q$317,$A47,'Данные 2st'!$FY$2:$FY$317),"")</f>
        <v>5</v>
      </c>
      <c r="MV47" s="7">
        <f>IFERROR(AVERAGEIF('Данные 2st'!$Q$2:$Q$317,$A47,'Данные 2st'!$GB$2:$GB$317),"")</f>
        <v>2063</v>
      </c>
      <c r="MW47" s="7">
        <f>IFERROR(AVERAGEIF('Данные 2st'!$Q$2:$Q$317,$A47,'Данные 2st'!$GC$2:$GC$317),"")</f>
        <v>20</v>
      </c>
      <c r="MX47" s="7">
        <f>IFERROR(AVERAGEIF('Данные 2st'!$Q$2:$Q$317,$A47,'Данные 2st'!$GD$2:$GD$317),"")</f>
        <v>4508</v>
      </c>
      <c r="MY47" s="7">
        <f>IFERROR(AVERAGEIF('Данные 2st'!$Q$2:$Q$317,$A47,'Данные 2st'!$GN$2:$GN$317),"")</f>
        <v/>
      </c>
      <c r="MZ47" s="7">
        <f>IFERROR(AVERAGEIF('Данные 2st'!$Q$2:$Q$317,$A47,'Данные 2st'!$GQ$2:$GQ$317),"")</f>
        <v>0</v>
      </c>
      <c r="NA47" s="7">
        <f>IFERROR(AVERAGEIF('Данные 2st'!$Q$2:$Q$317,$A47,'Данные 2st'!$GV$2:$GV$317),"")</f>
        <v>8.766666666666666</v>
      </c>
      <c r="NB47" s="7">
        <f>IFERROR(AVERAGEIF('Данные 2st'!$Q$2:$Q$317,$A47,'Данные 2st'!$GW$2:$GW$317),"")</f>
        <v>9.5</v>
      </c>
      <c r="NC47" s="7">
        <f>IFERROR(AVERAGEIF('Данные 2st'!$Q$2:$Q$317,$A47,'Данные 2st'!$GX$2:$GX$317),"")</f>
        <v>0.5</v>
      </c>
      <c r="ND47" s="7">
        <f>IFERROR(AVERAGEIF('Данные 2st'!$Q$2:$Q$317,$A47,'Данные 2st'!$GY$2:$GY$317),"")</f>
        <v>193.33333333333334</v>
      </c>
      <c r="NE47" s="7">
        <f>IFERROR(AVERAGEIF('Данные 2st'!$Q$2:$Q$317,$A47,'Данные 2st'!$GZ$2:$GZ$317),"")</f>
        <v>3</v>
      </c>
      <c r="NF47" s="7">
        <f>IFERROR(AVERAGEIF('Данные 2st'!$Q$2:$Q$317,$A47,'Данные 2st'!$HA$2:$HA$317),"")</f>
        <v>248.66666666666666</v>
      </c>
      <c r="NG47" s="7">
        <f>IFERROR(AVERAGEIF('Данные 2st'!$Q$2:$Q$317,$A47,'Данные 2st'!$HB$2:$HB$317),"")</f>
        <v>3</v>
      </c>
      <c r="NH47" s="7">
        <f>IFERROR(AVERAGEIF('Данные 2st'!$Q$2:$Q$317,$A47,'Данные 2st'!$HC$2:$HC$317),"")</f>
        <v>2062.6666666666665</v>
      </c>
      <c r="NI47" s="7">
        <f>IFERROR(AVERAGEIF('Данные 2st'!$Q$2:$Q$317,$A47,'Данные 2st'!$HD$2:$HD$317),"")</f>
        <v>4</v>
      </c>
      <c r="NJ47" s="7">
        <f>IFERROR(AVERAGEIF('Данные 2st'!$Q$2:$Q$317,$A47,'Данные 2st'!$HM$2:$HM$317),"")</f>
        <v>17</v>
      </c>
      <c r="NK47" s="7">
        <f>IFERROR(AVERAGEIF('Данные 2st'!$Q$2:$Q$317,$A47,'Данные 2st'!$HR$2:$HR$317),"")</f>
        <v>2</v>
      </c>
      <c r="NL47" s="7">
        <f>IFERROR(AVERAGEIF('Данные 2st'!$Q$2:$Q$317,$A47,'Данные 2st'!$HS$2:$HS$317),"")</f>
        <v>2015</v>
      </c>
      <c r="NM47" s="7">
        <f>IFERROR(AVERAGEIF('Данные 2st'!$Q$2:$Q$317,$A47,'Данные 2st'!$HT$2:$HT$317),"")</f>
        <v>5</v>
      </c>
      <c r="NN47" s="7">
        <f>IFERROR(AVERAGEIF('Данные 2st'!$Q$2:$Q$317,$A47,'Данные 2st'!$HY$2:$HY$317),"")</f>
        <v>0</v>
      </c>
      <c r="NO47" s="7">
        <f>IFERROR(AVERAGEIF('Данные 2st'!$Q$2:$Q$317,$A47,'Данные 2st'!$HZ$2:$HZ$317),"")</f>
        <v>66.33333333333333</v>
      </c>
      <c r="NP47" s="7">
        <f>IFERROR(AVERAGEIF('Данные 2st'!$Q$2:$Q$317,$A47,'Данные 2st'!$IA$2:$IA$317),"")</f>
        <v>2018.6666666666667</v>
      </c>
      <c r="NQ47" s="7">
        <f>IFERROR(AVERAGEIF('Данные 2st'!$Q$2:$Q$317,$A47,'Данные 2st'!$IB$2:$IB$317),"")</f>
        <v>2029</v>
      </c>
      <c r="NR47" s="7">
        <f>IFERROR(AVERAGEIF('Данные 2st'!$Q$2:$Q$317,$A47,'Данные 2st'!$IC$2:$IC$317),"")</f>
        <v/>
      </c>
      <c r="NS47" s="7">
        <f>IFERROR(AVERAGEIF('Данные 2st'!$Q$2:$Q$317,$A47,'Данные 2st'!$ID$2:$ID$317),"")</f>
        <v>2062.6666666666665</v>
      </c>
      <c r="NT47" s="7">
        <f>IFERROR(AVERAGEIF('Данные 2st'!$Q$2:$Q$317,$A47,'Данные 2st'!$IE$2:$IE$317),"")</f>
        <v>2062.6666666666665</v>
      </c>
      <c r="NU47" s="7">
        <f>IFERROR(AVERAGEIF('Данные 2st'!$Q$2:$Q$317,$A47,'Данные 2st'!$IF$2:$IF$317),"")</f>
        <v>208.33333333333334</v>
      </c>
      <c r="NV47" s="7">
        <f>IFERROR(AVERAGEIF('Данные 2st'!$Q$2:$Q$317,$A47,'Данные 2st'!$IG$2:$IG$317),"")</f>
        <v>198.33333333333334</v>
      </c>
      <c r="NW47" s="7">
        <f>IFERROR(AVERAGEIF('Данные 2st'!$Q$2:$Q$317,$A47,'Данные 2st'!$IH$2:$IH$317),"")</f>
        <v>248.66666666666666</v>
      </c>
      <c r="NX47" s="7">
        <f>IFERROR(AVERAGEIF('Данные 2st'!$Q$2:$Q$317,$A47,'Данные 2st'!$IJ$2:$IJ$317),"")</f>
        <v>6.666666666666667</v>
      </c>
      <c r="NY47" s="7">
        <f>IFERROR(AVERAGEIF('Данные 2st'!$Q$2:$Q$317,$A47,'Данные 2st'!$IM$2:$IM$317),"")</f>
        <v>0</v>
      </c>
      <c r="NZ47" s="7">
        <f>IFERROR(AVERAGEIF('Данные 2st'!$Q$2:$Q$317,$A47,'Данные 2st'!$IN$2:$IN$317),"")</f>
        <v>270</v>
      </c>
      <c r="OA47" s="7">
        <f>IFERROR(AVERAGEIF('Данные 2st'!$Q$2:$Q$317,$A47,'Данные 2st'!$IO$2:$IO$317),"")</f>
        <v>0</v>
      </c>
      <c r="OB47" s="7">
        <f>IFERROR(AVERAGEIF('Данные 2st'!$Q$2:$Q$317,$A47,'Данные 2st'!$IP$2:$IP$317),"")</f>
        <v>180</v>
      </c>
      <c r="OC47" s="7">
        <f>IFERROR(AVERAGEIF('Данные 2st'!$Q$2:$Q$317,$A47,'Данные 2st'!$IQ$2:$IQ$317),"")</f>
        <v>0</v>
      </c>
      <c r="OD47" s="7">
        <f>IFERROR(AVERAGEIF('Данные 2st'!$Q$2:$Q$317,$A47,'Данные 2st'!$IR$2:$IR$317),"")</f>
        <v>330</v>
      </c>
      <c r="OE47" s="7">
        <f>IFERROR(AVERAGEIF('Данные 2st'!$Q$2:$Q$317,$A47,'Данные 2st'!$IT$2:$IT$317),"")</f>
        <v>90</v>
      </c>
      <c r="OF47" s="7">
        <f>IFERROR(AVERAGEIF('Данные 2st'!$Q$2:$Q$317,$A47,'Данные 2st'!$IU$2:$IU$317),"")</f>
        <v>0</v>
      </c>
      <c r="OG47" s="7">
        <f>IFERROR(AVERAGEIF('Данные 2st'!$Q$2:$Q$317,$A47,'Данные 2st'!$IV$2:$IV$317),"")</f>
        <v>6.4</v>
      </c>
      <c r="OH47" s="7">
        <f>IFERROR(AVERAGEIF('Данные 2st'!$Q$2:$Q$317,$A47,'Данные 2st'!$IW$2:$IW$317),"")</f>
        <v>-6</v>
      </c>
      <c r="OI47" s="7">
        <f>IFERROR(AVERAGEIF('Данные 2st'!$Q$2:$Q$317,$A47,'Данные 2st'!$IX$2:$IX$317),"")</f>
        <v>107.5</v>
      </c>
      <c r="OJ47" s="7">
        <f>IFERROR(AVERAGEIF('Данные 2st'!$Q$2:$Q$317,$A47,'Данные 2st'!$IY$2:$IY$317),"")</f>
        <v>80.66666666666667</v>
      </c>
      <c r="OK47" s="7">
        <f>IFERROR(AVERAGEIF('Данные 2st'!$Q$2:$Q$317,$A47,'Данные 2st'!$IZ$2:$IZ$317),"")</f>
        <v>0</v>
      </c>
      <c r="OL47" s="7">
        <f>IFERROR(AVERAGEIF('Данные 2st'!$Q$2:$Q$317,$A47,'Данные 2st'!$JA$2:$JA$317),"")</f>
        <v>0</v>
      </c>
      <c r="OM47" s="7">
        <f>IFERROR(AVERAGEIF('Данные 2st'!$Q$2:$Q$317,$A47,'Данные 2st'!$JB$2:$JB$317),"")</f>
        <v>0</v>
      </c>
      <c r="ON47" s="7">
        <f>IFERROR(AVERAGEIF('Данные 2st'!$Q$2:$Q$317,$A47,'Данные 2st'!$JC$2:$JC$317),"")</f>
        <v>0</v>
      </c>
      <c r="OO47" s="7">
        <f>IFERROR(AVERAGEIF('Данные 2st'!$Q$2:$Q$317,$A47,'Данные 2st'!$JD$2:$JD$317),"")</f>
        <v>0</v>
      </c>
      <c r="OP47" s="7">
        <f>IFERROR(AVERAGEIF('Данные 2st'!$Q$2:$Q$317,$A47,'Данные 2st'!$JE$2:$JE$317),"")</f>
        <v>0</v>
      </c>
      <c r="OQ47" s="7">
        <f>IFERROR(AVERAGEIF('Данные 2st'!$Q$2:$Q$317,$A47,'Данные 2st'!$JF$2:$JF$317),"")</f>
        <v>0</v>
      </c>
      <c r="OR47" s="7">
        <f>IFERROR(AVERAGEIF('Данные 2st'!$Q$2:$Q$317,$A47,'Данные 2st'!$JG$2:$JG$317),"")</f>
        <v>0</v>
      </c>
      <c r="OS47" s="7">
        <f>IFERROR(AVERAGEIF('Данные 2st'!$Q$2:$Q$317,$A47,'Данные 2st'!$JH$2:$JH$317),"")</f>
        <v>0</v>
      </c>
      <c r="OT47" s="7">
        <f>IFERROR(AVERAGEIF('Данные 2st'!$Q$2:$Q$317,$A47,'Данные 2st'!$JI$2:$JI$317),"")</f>
        <v>403.3333333333333</v>
      </c>
      <c r="OU47" s="7">
        <f>IFERROR(AVERAGEIF('Данные 2st'!$Q$2:$Q$317,$A47,'Данные 2st'!$JJ$2:$JJ$317),"")</f>
        <v>373.3333333333333</v>
      </c>
      <c r="OV47" s="7">
        <f>IFERROR(AVERAGEIF('Данные 2st'!$Q$2:$Q$317,$A47,'Данные 2st'!$JK$2:$JK$317),"")</f>
        <v>269.3333333333333</v>
      </c>
      <c r="OW47" s="7">
        <f>IFERROR(AVERAGEIF('Данные 2st'!$Q$2:$Q$317,$A47,'Данные 2st'!$JL$2:$JL$317),"")</f>
        <v>370.6666666666667</v>
      </c>
      <c r="OX47" s="7">
        <f>IFERROR(AVERAGEIF('Данные 2st'!$Q$2:$Q$317,$A47,'Данные 2st'!$JM$2:$JM$317),"")</f>
        <v>277.3333333333333</v>
      </c>
      <c r="OY47" s="7">
        <f>IFERROR(AVERAGEIF('Данные 2st'!$Q$2:$Q$317,$A47,'Данные 2st'!$JP$2:$JP$317),"")</f>
        <v>206.66666666666666</v>
      </c>
      <c r="OZ47" s="7">
        <f>IFERROR(AVERAGEIF('Данные 2st'!$Q$2:$Q$317,$A47,'Данные 2st'!$JQ$2:$JQ$317),"")</f>
        <v>252.66666666666666</v>
      </c>
      <c r="PA47" s="7">
        <f>IFERROR(AVERAGEIF('Данные 2st'!$Q$2:$Q$317,$A47,'Данные 2st'!$JR$2:$JR$317),"")</f>
        <v>335.3333333333333</v>
      </c>
      <c r="PB47" s="7">
        <f>IFERROR(AVERAGEIF('Данные 2st'!$Q$2:$Q$317,$A47,'Данные 2st'!$JS$2:$JS$317),"")</f>
        <v>261.6666666666667</v>
      </c>
      <c r="PC47" s="7">
        <f>IFERROR(AVERAGEIF('Данные 2st'!$Q$2:$Q$317,$A47,'Данные 2st'!$JT$2:$JT$317),"")</f>
        <v>0</v>
      </c>
      <c r="PD47" s="7">
        <f>IFERROR(AVERAGEIF('Данные 2st'!$Q$2:$Q$317,$A47,'Данные 2st'!$JU$2:$JU$317),"")</f>
        <v>0</v>
      </c>
      <c r="PE47" s="7">
        <f>IFERROR(AVERAGEIF('Данные 2st'!$Q$2:$Q$317,$A47,'Данные 2st'!$JV$2:$JV$317),"")</f>
        <v>310</v>
      </c>
      <c r="PF47" s="7">
        <f>IFERROR(AVERAGEIF('Данные 2st'!$Q$2:$Q$317,$A47,'Данные 2st'!$JW$2:$JW$317),"")</f>
        <v>304</v>
      </c>
      <c r="PG47" s="7">
        <f>IFERROR(AVERAGEIF('Данные 2st'!$Q$2:$Q$317,$A47,'Данные 2st'!$KF$2:$KF$317),"")</f>
        <v>0.18666666666666668</v>
      </c>
      <c r="PH47" s="7">
        <f>IFERROR(AVERAGEIF('Данные 2st'!$Q$2:$Q$317,$A47,'Данные 2st'!$KG$2:$KG$317),"")</f>
        <v>0.1</v>
      </c>
      <c r="PI47" s="7">
        <f>IFERROR(AVERAGEIF('Данные 2st'!$Q$2:$Q$317,$A47,'Данные 2st'!$KM$2:$KM$317),"")</f>
        <v>1</v>
      </c>
      <c r="PJ47" s="7">
        <f>IFERROR(AVERAGEIF('Данные 2st'!$Q$2:$Q$317,$A47,'Данные 2st'!$KN$2:$KN$317),"")</f>
        <v>1.5333333333333334</v>
      </c>
      <c r="PK47" s="7">
        <f>IFERROR(AVERAGEIF('Данные 2st'!$Q$2:$Q$317,$A47,'Данные 2st'!$KO$2:$KO$317),"")</f>
        <v>1.3333333333333333</v>
      </c>
      <c r="PL47" s="7">
        <f>IFERROR(AVERAGEIF('Данные 2st'!$Q$2:$Q$317,$A47,'Данные 2st'!$KP$2:$KP$317),"")</f>
        <v>0</v>
      </c>
      <c r="PM47" s="7">
        <f>IFERROR(AVERAGEIF('Данные 2st'!$Q$2:$Q$317,$A47,'Данные 2st'!$KQ$2:$KQ$317),"")</f>
        <v>1</v>
      </c>
      <c r="PN47" s="7">
        <f>IFERROR(AVERAGEIF('Данные 2st'!$Q$2:$Q$317,$A47,'Данные 2st'!$KR$2:$KR$317),"")</f>
        <v>1.1666666666666667</v>
      </c>
      <c r="PO47" s="7">
        <f>IFERROR(AVERAGEIF('Данные 2st'!$Q$2:$Q$317,$A47,'Данные 2st'!$KS$2:$KS$317),"")</f>
        <v>0</v>
      </c>
      <c r="PP47" s="7">
        <f>IFERROR(AVERAGEIF('Данные 2st'!$Q$2:$Q$317,$A47,'Данные 2st'!$KT$2:$KT$317),"")</f>
        <v>2.8333333333333335</v>
      </c>
      <c r="PQ47" s="7">
        <f>IFERROR(AVERAGEIF('Данные 2st'!$Q$2:$Q$317,$A47,'Данные 2st'!$KU$2:$KU$317),"")</f>
        <v>0</v>
      </c>
      <c r="PR47" s="7">
        <f>IFERROR(AVERAGEIF('Данные 2st'!$Q$2:$Q$317,$A47,'Данные 2st'!$KV$2:$KV$317),"")</f>
        <v>0</v>
      </c>
      <c r="PS47" s="7">
        <f>IFERROR(AVERAGEIF('Данные 2st'!$Q$2:$Q$317,$A47,'Данные 2st'!$KW$2:$KW$317),"")</f>
        <v>1.0333333333333332</v>
      </c>
      <c r="PT47" s="7">
        <f>IFERROR(AVERAGEIF('Данные 2st'!$Q$2:$Q$317,$A47,'Данные 2st'!$KX$2:$KX$317),"")</f>
        <v>1.8333333333333333</v>
      </c>
      <c r="PU47" s="7">
        <f>IFERROR(AVERAGEIF('Данные 2st'!$Q$2:$Q$317,$A47,'Данные 2st'!$KY$2:$KY$317),"")</f>
        <v>0.6666666666666666</v>
      </c>
      <c r="PV47" s="7">
        <f>IFERROR(AVERAGEIF('Данные 2st'!$Q$2:$Q$317,$A47,'Данные 2st'!$KZ$2:$KZ$317),"")</f>
        <v>0</v>
      </c>
      <c r="PW47" s="7">
        <f>IFERROR(AVERAGEIF('Данные 2st'!$Q$2:$Q$317,$A47,'Данные 2st'!$LA$2:$LA$317),"")</f>
        <v>0</v>
      </c>
      <c r="PX47" s="7">
        <f>IFERROR(AVERAGEIF('Данные 2st'!$Q$2:$Q$317,$A47,'Данные 2st'!$LB$2:$LB$317),"")</f>
        <v>0</v>
      </c>
      <c r="PY47" s="7">
        <f>IFERROR(AVERAGEIF('Данные 2st'!$Q$2:$Q$317,$A47,'Данные 2st'!$LC$2:$LC$317),"")</f>
        <v>0</v>
      </c>
      <c r="PZ47" s="7">
        <f>IFERROR(AVERAGEIF('Данные 2st'!$Q$2:$Q$317,$A47,'Данные 2st'!$LD$2:$LD$317),"")</f>
        <v>0</v>
      </c>
      <c r="QA47" s="7">
        <f>IFERROR(AVERAGEIF('Данные 2st'!$Q$2:$Q$317,$A47,'Данные 2st'!$LE$2:$LE$317),"")</f>
        <v>0</v>
      </c>
      <c r="QB47" s="7">
        <f>IFERROR(AVERAGEIF('Данные 2st'!$Q$2:$Q$317,$A47,'Данные 2st'!$LF$2:$LF$317),"")</f>
        <v>0</v>
      </c>
      <c r="QC47" s="7">
        <f>IFERROR(AVERAGEIF('Данные 2st'!$Q$2:$Q$317,$A47,'Данные 2st'!$LG$2:$LG$317),"")</f>
        <v>0</v>
      </c>
      <c r="QD47" s="7">
        <f>IFERROR(AVERAGEIF('Данные 2st'!$Q$2:$Q$317,$A47,'Данные 2st'!$LH$2:$LH$317),"")</f>
        <v>1</v>
      </c>
      <c r="QE47" s="7">
        <f>IFERROR(AVERAGEIF('Данные 2st'!$Q$2:$Q$317,$A47,'Данные 2st'!$LJ$2:$LJ$317),"")</f>
        <v>0</v>
      </c>
      <c r="QF47" s="7">
        <f>IFERROR(AVERAGEIF('Данные 2st'!$Q$2:$Q$317,$A47,'Данные 2st'!$LK$2:$LK$317),"")</f>
        <v>9</v>
      </c>
      <c r="QG47" s="7">
        <f>IFERROR(AVERAGEIF('Данные 2st'!$Q$2:$Q$317,$A47,'Данные 2st'!$LL$2:$LL$317),"")</f>
        <v>7.666666666666667</v>
      </c>
      <c r="QH47" s="7">
        <f>IFERROR(AVERAGEIF('Данные 2st'!$Q$2:$Q$317,$A47,'Данные 2st'!$LM$2:$LM$317),"")</f>
        <v>5.666666666666667</v>
      </c>
      <c r="QI47" s="7">
        <f>IFERROR(AVERAGEIF('Данные 2st'!$Q$2:$Q$317,$A47,'Данные 2st'!$LN$2:$LN$317),"")</f>
        <v>0.4</v>
      </c>
      <c r="QJ47" s="7">
        <f>IFERROR(AVERAGEIF('Данные 2st'!$Q$2:$Q$317,$A47,'Данные 2st'!$LO$2:$LO$317),"")</f>
        <v>0.7333333333333334</v>
      </c>
      <c r="QK47" s="7">
        <f>IFERROR(AVERAGEIF('Данные 2st'!$Q$2:$Q$317,$A47,'Данные 2st'!$LP$2:$LP$317),"")</f>
        <v>0</v>
      </c>
      <c r="QL47" s="7">
        <f>IFERROR(AVERAGEIF('Данные 2st'!$Q$2:$Q$317,$A47,'Данные 2st'!$LQ$2:$LQ$317),"")</f>
        <v>0</v>
      </c>
      <c r="QM47" s="7">
        <f>IFERROR(AVERAGEIF('Данные 2st'!$Q$2:$Q$317,$A47,'Данные 2st'!$LW$2:$LW$317),"")</f>
        <v>1.8</v>
      </c>
      <c r="QN47" s="7">
        <f>IFERROR(AVERAGEIF('Данные 2st'!$Q$2:$Q$317,$A47,'Данные 2st'!$LX$2:$LX$317),"")</f>
        <v>1.8</v>
      </c>
      <c r="QO47" s="7">
        <f>IFERROR(AVERAGEIF('Данные 2st'!$Q$2:$Q$317,$A47,'Данные 2st'!$LY$2:$LY$317),"")</f>
        <v>2.1</v>
      </c>
      <c r="QP47" s="7">
        <f>IFERROR(AVERAGEIF('Данные 2st'!$Q$2:$Q$317,$A47,'Данные 2st'!$LZ$2:$LZ$317),"")</f>
        <v>2.1</v>
      </c>
      <c r="QQ47" s="7">
        <f>IFERROR(AVERAGEIF('Данные 2st'!$Q$2:$Q$317,$A47,'Данные 2st'!$MB$2:$MB$317),"")</f>
        <v>0.7333333333333334</v>
      </c>
      <c r="QR47" s="7">
        <f>IFERROR(AVERAGEIF('Данные 2st'!$Q$2:$Q$317,$A47,'Данные 2st'!$MG$2:$MG$317),"")</f>
        <v>0</v>
      </c>
      <c r="QS47" s="7">
        <f>IFERROR(AVERAGEIF('Данные 2st'!$Q$2:$Q$317,$A47,'Данные 2st'!$MH$2:$MH$317),"")</f>
        <v>0</v>
      </c>
      <c r="QT47" s="7">
        <f>IFERROR(AVERAGEIF('Данные 2st'!$Q$2:$Q$317,$A47,'Данные 2st'!$MI$2:$MI$317),"")</f>
        <v>0</v>
      </c>
      <c r="QU47" s="7">
        <f>IFERROR(AVERAGEIF('Данные 2st'!$Q$2:$Q$317,$A47,'Данные 2st'!$MJ$2:$MJ$317),"")</f>
        <v>0</v>
      </c>
      <c r="QV47" s="7">
        <f>IFERROR(AVERAGEIF('Данные 2st'!$Q$2:$Q$317,$A47,'Данные 2st'!$MK$2:$MK$317),"")</f>
        <v>0</v>
      </c>
      <c r="QW47" s="7">
        <f>IFERROR(AVERAGEIF('Данные 2st'!$Q$2:$Q$317,$A47,'Данные 2st'!$MM$2:$MM$317),"")</f>
        <v>420</v>
      </c>
      <c r="QX47" s="7">
        <f>IFERROR(AVERAGEIF('Данные 2st'!$Q$2:$Q$317,$A47,'Данные 2st'!$MQ$2:$MQ$317),"")</f>
        <v/>
      </c>
      <c r="QY47" s="7">
        <f>IFERROR(AVERAGEIF('Данные 2st'!$Q$2:$Q$317,$A47,'Данные 2st'!$MR$2:$MR$317),"")</f>
        <v/>
      </c>
      <c r="QZ47" s="7">
        <f>IFERROR(AVERAGEIF('Данные 2st'!$Q$2:$Q$317,$A47,'Данные 2st'!$MS$2:$MS$317),"")</f>
        <v/>
      </c>
      <c r="RA47" s="7">
        <f>IFERROR(AVERAGEIF('Данные 2st'!$Q$2:$Q$317,$A47,'Данные 2st'!$MT$2:$MT$317),"")</f>
        <v/>
      </c>
      <c r="RB47" s="7">
        <f>IFERROR(AVERAGEIF('Данные 2st'!$Q$2:$Q$317,$A47,'Данные 2st'!$MU$2:$MU$317),"")</f>
        <v/>
      </c>
      <c r="RC47" s="7">
        <f>IFERROR(AVERAGEIF('Данные 2st'!$Q$2:$Q$317,$A47,'Данные 2st'!$MV$2:$MV$317),"")</f>
        <v/>
      </c>
      <c r="RD47" s="7">
        <f>IFERROR(AVERAGEIF('Данные 2st'!$Q$2:$Q$317,$A47,'Данные 2st'!$MW$2:$MW$317),"")</f>
        <v/>
      </c>
      <c r="RE47" s="7">
        <f>IFERROR(AVERAGEIF('Данные 2st'!$Q$2:$Q$317,$A47,'Данные 2st'!$MX$2:$MX$317),"")</f>
        <v/>
      </c>
      <c r="RF47" s="7">
        <f>IFERROR(AVERAGEIF('Данные 2st'!$Q$2:$Q$317,$A47,'Данные 2st'!$MY$2:$MY$317),"")</f>
        <v/>
      </c>
      <c r="RG47" s="7">
        <f>IFERROR(AVERAGEIF('Данные 2st'!$Q$2:$Q$317,$A47,'Данные 2st'!$MZ$2:$MZ$317),"")</f>
        <v/>
      </c>
      <c r="RH47" s="7">
        <f>IFERROR(AVERAGEIF('Данные 2st'!$Q$2:$Q$317,$A47,'Данные 2st'!$NA$2:$NA$317),"")</f>
        <v/>
      </c>
      <c r="RI47" s="7">
        <f>IFERROR(AVERAGEIF('Данные 2st'!$Q$2:$Q$317,$A47,'Данные 2st'!$NB$2:$NB$317),"")</f>
        <v/>
      </c>
      <c r="RJ47" s="7">
        <f>IFERROR(AVERAGEIF('Данные 2st'!$Q$2:$Q$317,$A47,'Данные 2st'!$NC$2:$NC$317),"")</f>
        <v/>
      </c>
      <c r="RK47" s="7">
        <f>IFERROR(AVERAGEIF('Данные 2st'!$Q$2:$Q$317,$A47,'Данные 2st'!$ND$2:$ND$317),"")</f>
        <v/>
      </c>
      <c r="RL47" s="7">
        <f>IFERROR(AVERAGEIF('Данные 2st'!$Q$2:$Q$317,$A47,'Данные 2st'!$NE$2:$NE$317),"")</f>
        <v/>
      </c>
      <c r="RM47" s="7">
        <f>IFERROR(AVERAGEIF('Данные 2st'!$Q$2:$Q$317,$A47,'Данные 2st'!$NF$2:$NF$317),"")</f>
        <v/>
      </c>
      <c r="RN47" s="7">
        <f>IFERROR(AVERAGEIF('Данные 2st'!$Q$2:$Q$317,$A47,'Данные 2st'!$NG$2:$NG$317),"")</f>
        <v/>
      </c>
      <c r="RO47" s="7">
        <f>IFERROR(AVERAGEIF('Данные 2st'!$Q$2:$Q$317,$A47,'Данные 2st'!$NH$2:$NH$317),"")</f>
        <v/>
      </c>
      <c r="RP47" s="7">
        <f>IFERROR(AVERAGEIF('Данные 2st'!$Q$2:$Q$317,$A47,'Данные 2st'!$NJ$2:$NJ$317),"")</f>
        <v/>
      </c>
      <c r="RQ47" s="7">
        <f>IFERROR(AVERAGEIF('Данные 2st'!$Q$2:$Q$317,$A47,'Данные 2st'!$NK$2:$NK$317),"")</f>
        <v/>
      </c>
      <c r="RR47" s="7">
        <f>IFERROR(AVERAGEIF('Данные 2st'!$Q$2:$Q$317,$A47,'Данные 2st'!$NM$2:$NM$317),"")</f>
        <v/>
      </c>
      <c r="RS47" s="7">
        <f>IFERROR(AVERAGEIF('Данные 2st'!$Q$2:$Q$317,$A47,'Данные 2st'!$NN$2:$NN$317),"")</f>
        <v/>
      </c>
      <c r="RT47" s="7">
        <f>IFERROR(AVERAGEIF('Данные 2st'!$Q$2:$Q$317,$A47,'Данные 2st'!$NO$2:$NO$317),"")</f>
        <v/>
      </c>
      <c r="RU47" s="7">
        <f>IFERROR(AVERAGEIF('Данные 2st'!$Q$2:$Q$317,$A47,'Данные 2st'!$NP$2:$NP$317),"")</f>
        <v/>
      </c>
      <c r="RV47" s="7">
        <f>IFERROR(AVERAGEIF('Данные 2st'!$Q$2:$Q$317,$A47,'Данные 2st'!$NQ$2:$NQ$317),"")</f>
        <v/>
      </c>
      <c r="RW47" s="7">
        <f>IFERROR(AVERAGEIF('Данные 2st'!$Q$2:$Q$317,$A47,'Данные 2st'!$NR$2:$NR$317),"")</f>
        <v/>
      </c>
      <c r="RX47" s="7">
        <f>IFERROR(AVERAGEIF('Данные 2st'!$Q$2:$Q$317,$A47,'Данные 2st'!$NS$2:$NS$317),"")</f>
        <v/>
      </c>
      <c r="RY47" s="7">
        <f>IFERROR(AVERAGEIF('Данные 2st'!$Q$2:$Q$317,$A47,'Данные 2st'!$NT$2:$NT$317),"")</f>
        <v/>
      </c>
      <c r="RZ47" s="7">
        <f>IFERROR(AVERAGEIF('Данные 2st'!$Q$2:$Q$317,$A47,'Данные 2st'!$OK$2:$OK$317),"")</f>
        <v>61</v>
      </c>
      <c r="SA47" s="7">
        <f>IFERROR(AVERAGEIF('Данные 2st'!$Q$2:$Q$317,$A47,'Данные 2st'!$OL$2:$OL$317),"")</f>
        <v>61</v>
      </c>
      <c r="SB47" s="7">
        <f>IFERROR(AVERAGEIF('Данные 2st'!$Q$2:$Q$317,$A47,'Данные 2st'!$ON$2:$ON$317),"")</f>
        <v>1.6666666666666667</v>
      </c>
      <c r="SC47" s="7">
        <f>IFERROR(AVERAGEIF('Данные 2st'!$Q$2:$Q$317,$A47,'Данные 2st'!$OO$2:$OO$317),"")</f>
        <v>2018.6666666666667</v>
      </c>
      <c r="SD47" s="7">
        <f>IFERROR(AVERAGEIF('Данные 2st'!$Q$2:$Q$317,$A47,'Данные 2st'!$OP$2:$OP$317),"")</f>
        <v>61</v>
      </c>
      <c r="SE47" s="7">
        <f>IFERROR(AVERAGEIF('Данные 2st'!$Q$2:$Q$317,$A47,'Данные 2st'!$OQ$2:$OQ$317),"")</f>
        <v>61</v>
      </c>
      <c r="SF47" s="7">
        <f>IFERROR(AVERAGEIF('Данные 2st'!$Q$2:$Q$317,$A47,'Данные 2st'!$OS$2:$OS$317),"")</f>
        <v>1.6666666666666667</v>
      </c>
      <c r="SG47" s="7">
        <f>IFERROR(AVERAGEIF('Данные 2st'!$Q$2:$Q$317,$A47,'Данные 2st'!$OT$2:$OT$317),"")</f>
        <v>2029</v>
      </c>
      <c r="SH47" s="7">
        <f>IFERROR(AVERAGEIF('Данные 2st'!$Q$2:$Q$317,$A47,'Данные 2st'!$OU$2:$OU$317),"")</f>
        <v>65</v>
      </c>
      <c r="SI47" s="7">
        <f>IFERROR(AVERAGEIF('Данные 2st'!$Q$2:$Q$317,$A47,'Данные 2st'!$OV$2:$OV$317),"")</f>
        <v>65</v>
      </c>
      <c r="SJ47" s="7">
        <f>IFERROR(AVERAGEIF('Данные 2st'!$Q$2:$Q$317,$A47,'Данные 2st'!$OX$2:$OX$317),"")</f>
        <v>1</v>
      </c>
      <c r="SK47" s="7">
        <f>IFERROR(AVERAGEIF('Данные 2st'!$Q$2:$Q$317,$A47,'Данные 2st'!$OY$2:$OY$317),"")</f>
        <v>44514.333333333336</v>
      </c>
      <c r="SL47" s="7">
        <f>IFERROR(AVERAGEIF('Данные 2st'!$Q$2:$Q$317,$A47,'Данные 2st'!$OZ$2:$OZ$317),"")</f>
        <v>51</v>
      </c>
      <c r="SM47" s="7">
        <f>IFERROR(AVERAGEIF('Данные 2st'!$Q$2:$Q$317,$A47,'Данные 2st'!$PA$2:$PA$317),"")</f>
        <v>51.666666666666664</v>
      </c>
      <c r="SN47" s="7">
        <f>IFERROR(AVERAGEIF('Данные 2st'!$Q$2:$Q$317,$A47,'Данные 2st'!$PC$2:$PC$317),"")</f>
        <v>1.3333333333333333</v>
      </c>
      <c r="SO47" s="7">
        <f>IFERROR(AVERAGEIF('Данные 2st'!$Q$2:$Q$317,$A47,'Данные 2st'!$PD$2:$PD$317),"")</f>
        <v>2062.6666666666665</v>
      </c>
      <c r="SP47" s="7">
        <f>IFERROR(AVERAGEIF('Данные 2st'!$Q$2:$Q$317,$A47,'Данные 2st'!$PF$2:$PF$317),"")</f>
        <v>445.6666666666667</v>
      </c>
      <c r="SQ47" s="7">
        <f>IFERROR(AVERAGEIF('Данные 2st'!$Q$2:$Q$317,$A47,'Данные 2st'!$PG$2:$PG$317),"")</f>
        <v>33</v>
      </c>
      <c r="SR47" s="7">
        <f>IFERROR(AVERAGEIF('Данные 2st'!$Q$2:$Q$317,$A47,'Данные 2st'!$PH$2:$PH$317),"")</f>
        <v>424.3333333333333</v>
      </c>
      <c r="SS47" s="7">
        <f>IFERROR(AVERAGEIF('Данные 2st'!$Q$2:$Q$317,$A47,'Данные 2st'!$PI$2:$PI$317),"")</f>
        <v>9.666666666666666</v>
      </c>
      <c r="ST47" s="7">
        <f>IFERROR(AVERAGEIF('Данные 2st'!$Q$2:$Q$317,$A47,'Данные 2st'!$PJ$2:$PJ$317),"")</f>
        <v>83.60000000000001</v>
      </c>
      <c r="SU47" s="7">
        <f>IFERROR(AVERAGEIF('Данные 2st'!$Q$2:$Q$317,$A47,'Данные 2st'!$PK$2:$PK$317),"")</f>
        <v>2189</v>
      </c>
      <c r="SV47" s="7">
        <f>IFERROR(AVERAGEIF('Данные 2st'!$Q$2:$Q$317,$A47,'Данные 2st'!$PL$2:$PL$317),"")</f>
        <v>1393.6</v>
      </c>
      <c r="SW47" s="7">
        <f>IFERROR(AVERAGEIF('Данные 2st'!$Q$2:$Q$317,$A47,'Данные 2st'!$PM$2:$PM$317),"")</f>
        <v>599.6666666666666</v>
      </c>
      <c r="SX47" s="7">
        <f>IFERROR(AVERAGEIF('Данные 2st'!$Q$2:$Q$317,$A47,'Данные 2st'!$PN$2:$PN$317),"")</f>
        <v>102.16666666666667</v>
      </c>
      <c r="SY47" s="7">
        <f>IFERROR(AVERAGEIF('Данные 2st'!$Q$2:$Q$317,$A47,'Данные 2st'!$PO$2:$PO$317),"")</f>
        <v>9.7</v>
      </c>
      <c r="SZ47" s="7">
        <f>IFERROR(AVERAGEIF('Данные 2st'!$Q$2:$Q$317,$A47,'Данные 2st'!$PP$2:$PP$317),"")</f>
        <v>12</v>
      </c>
      <c r="TA47" s="7">
        <f>IFERROR(AVERAGEIF('Данные 2st'!$Q$2:$Q$317,$A47,'Данные 2st'!$PQ$2:$PQ$317),"")</f>
        <v>3</v>
      </c>
      <c r="TB47" s="7">
        <f>IFERROR(AVERAGEIF('Данные 2st'!$Q$2:$Q$317,$A47,'Данные 2st'!$PR$2:$PR$317),"")</f>
        <v>3</v>
      </c>
      <c r="TC47" s="7">
        <f>IFERROR(AVERAGEIF('Данные 2st'!$Q$2:$Q$317,$A47,'Данные 2st'!$PS$2:$PS$317),"")</f>
        <v>0</v>
      </c>
      <c r="TD47" s="7">
        <f>IFERROR(AVERAGEIF('Данные 2st'!$Q$2:$Q$317,$A47,'Данные 2st'!$PT$2:$PT$317),"")</f>
        <v>248.66666666666666</v>
      </c>
      <c r="TE47" s="7">
        <f>IFERROR(AVERAGEIF('Данные 2st'!$Q$2:$Q$317,$A47,'Данные 2st'!$PU$2:$PU$317),"")</f>
        <v>11</v>
      </c>
      <c r="TF47" s="7">
        <f>IFERROR(AVERAGEIF('Данные 2st'!$Q$2:$Q$317,$A47,'Данные 2st'!$PX$2:$PX$317),"")</f>
        <v>0</v>
      </c>
      <c r="TG47" s="7">
        <f>IFERROR(AVERAGEIF('Данные 2st'!$Q$2:$Q$317,$A47,'Данные 2st'!$PY$2:$PY$317),"")</f>
        <v>0</v>
      </c>
      <c r="TH47" s="7">
        <f>IFERROR(AVERAGEIF('Данные 2st'!$Q$2:$Q$317,$A47,'Данные 2st'!$PZ$2:$PZ$317),"")</f>
        <v>0</v>
      </c>
      <c r="TI47" s="7">
        <f>IFERROR(AVERAGEIF('Данные 2st'!$Q$2:$Q$317,$A47,'Данные 2st'!$QA$2:$QA$317),"")</f>
        <v>0</v>
      </c>
      <c r="TJ47" s="7">
        <f>IFERROR(AVERAGEIF('Данные 2st'!$Q$2:$Q$317,$A47,'Данные 2st'!$QB$2:$QB$317),"")</f>
        <v>0</v>
      </c>
      <c r="TK47" s="7">
        <f>IFERROR(AVERAGEIF('Данные 2st'!$Q$2:$Q$317,$A47,'Данные 2st'!$QC$2:$QC$317),"")</f>
        <v>0</v>
      </c>
      <c r="TL47" s="7">
        <f>IFERROR(AVERAGEIF('Данные 2st'!$Q$2:$Q$317,$A47,'Данные 2st'!$QD$2:$QD$317),"")</f>
        <v>0</v>
      </c>
      <c r="TM47" s="7">
        <f>IFERROR(AVERAGEIF('Данные 2st'!$Q$2:$Q$317,$A47,'Данные 2st'!$QE$2:$QE$317),"")</f>
        <v>-1</v>
      </c>
      <c r="TN47" s="7">
        <f>IFERROR(AVERAGEIF('Данные 2st'!$Q$2:$Q$317,$A47,'Данные 2st'!$QF$2:$QF$317),"")</f>
        <v>1</v>
      </c>
      <c r="TO47" s="7">
        <f>IFERROR(AVERAGEIF('Данные 2st'!$Q$2:$Q$317,$A47,'Данные 2st'!$QG$2:$QG$317),"")</f>
        <v>0</v>
      </c>
      <c r="TP47" s="7">
        <f>IFERROR(AVERAGEIF('Данные 2st'!$Q$2:$Q$317,$A47,'Данные 2st'!$QH$2:$QH$317),"")</f>
        <v>5</v>
      </c>
      <c r="TQ47" s="7">
        <f>IFERROR(AVERAGEIF('Данные 2st'!$Q$2:$Q$317,$A47,'Данные 2st'!$QI$2:$QI$317),"")</f>
        <v>5</v>
      </c>
      <c r="TR47" s="7">
        <f>IFERROR(AVERAGEIF('Данные 2st'!$Q$2:$Q$317,$A47,'Данные 2st'!$QJ$2:$QJ$317),"")</f>
        <v>5</v>
      </c>
      <c r="TS47" s="7">
        <f>IFERROR(AVERAGEIF('Данные 2st'!$Q$2:$Q$317,$A47,'Данные 2st'!$QK$2:$QK$317),"")</f>
        <v>204</v>
      </c>
      <c r="TT47" s="7">
        <f>IFERROR(AVERAGEIF('Данные 2st'!$Q$2:$Q$317,$A47,'Данные 2st'!$QL$2:$QL$317),"")</f>
        <v>436</v>
      </c>
      <c r="TU47" s="7">
        <f>IFERROR(AVERAGEIF('Данные 2st'!$Q$2:$Q$317,$A47,'Данные 2st'!$QM$2:$QM$317),"")</f>
        <v>7.5</v>
      </c>
      <c r="TV47" s="7">
        <f>IFERROR(AVERAGEIF('Данные 2st'!$Q$2:$Q$317,$A47,'Данные 2st'!$QN$2:$QN$317),"")</f>
        <v>1384.6</v>
      </c>
      <c r="TW47" s="7">
        <f>IFERROR(AVERAGEIF('Данные 2st'!$Q$2:$Q$317,$A47,'Данные 2st'!$QQ$2:$QQ$317),"")</f>
        <v>0</v>
      </c>
      <c r="TX47" s="7">
        <f>IFERROR(AVERAGEIF('Данные 2st'!$Q$2:$Q$317,$A47,'Данные 2st'!$QS$2:$QS$317),"")</f>
        <v>33.333333333333336</v>
      </c>
      <c r="TY47" s="7">
        <f>IFERROR(AVERAGEIF('Данные 2st'!$Q$2:$Q$317,$A47,'Данные 2st'!$QT$2:$QT$317),"")</f>
        <v>43.333333333333336</v>
      </c>
    </row>
    <row r="48" spans="1:545" ht="32" customHeight="1">
      <c r="A48" s="11" t="s">
        <v>835</v>
      </c>
      <c r="B48">
        <f>COUNTIF('Данные 1st'!$S$2:$S$317,$A48)</f>
        <v>3</v>
      </c>
      <c r="C48" s="6" t="s">
        <v>5107</v>
      </c>
      <c r="D48" s="6" t="s">
        <v>513</v>
      </c>
      <c r="E48" s="6" t="s">
        <v>5125</v>
      </c>
      <c r="F48" s="6" t="s">
        <v>5167</v>
      </c>
      <c r="G48" s="7">
        <f>IFERROR(AVERAGEIF('Данные 1st'!$S$2:$S$317,$A48,'Данные 1st'!$AE$2:$AE$317),"")</f>
        <v>193.33333333333334</v>
      </c>
      <c r="H48" s="7">
        <f>IFERROR(AVERAGEIF('Данные 1st'!$S$2:$S$317,$A48,'Данные 1st'!$AF$2:$AF$317),"")</f>
        <v>1.5</v>
      </c>
      <c r="I48" s="7">
        <f>IFERROR(AVERAGEIF('Данные 1st'!$S$2:$S$317,$A48,'Данные 1st'!$AJ$2:$AJ$317),"")</f>
        <v>204.16666666666666</v>
      </c>
      <c r="J48" s="7">
        <f>IFERROR(AVERAGEIF('Данные 1st'!$S$2:$S$317,$A48,'Данные 1st'!$AL$2:$AL$317),"")</f>
        <v>1.5</v>
      </c>
      <c r="K48" s="7">
        <f>IFERROR(AVERAGEIF('Данные 1st'!$S$2:$S$317,$A48,'Данные 1st'!$AR$2:$AR$317),"")</f>
        <v>0</v>
      </c>
      <c r="L48" s="7">
        <f>IFERROR(AVERAGEIF('Данные 1st'!$S$2:$S$317,$A48,'Данные 1st'!$AS$2:$AS$317),"")</f>
        <v>1.5</v>
      </c>
      <c r="M48" s="7">
        <f>IFERROR(AVERAGEIF('Данные 1st'!$S$2:$S$317,$A48,'Данные 1st'!$AY$2:$AY$317),"")</f>
        <v>311.6666666666667</v>
      </c>
      <c r="N48" s="7">
        <f>IFERROR(AVERAGEIF('Данные 1st'!$S$2:$S$317,$A48,'Данные 1st'!$AZ$2:$AZ$317),"")</f>
        <v>1.5</v>
      </c>
      <c r="O48" s="7">
        <f>IFERROR(AVERAGEIF('Данные 1st'!$S$2:$S$317,$A48,'Данные 1st'!$BF$2:$BF$317),"")</f>
        <v>241.25</v>
      </c>
      <c r="P48" s="7">
        <f>IFERROR(AVERAGEIF('Данные 1st'!$S$2:$S$317,$A48,'Данные 1st'!$BG$2:$BG$317),"")</f>
        <v>1.5</v>
      </c>
      <c r="Q48" s="7">
        <f>IFERROR(AVERAGEIF('Данные 1st'!$S$2:$S$317,$A48,'Данные 1st'!$BM$2:$BM$317),"")</f>
        <v/>
      </c>
      <c r="R48" s="7">
        <f>IFERROR(AVERAGEIF('Данные 1st'!$S$2:$S$317,$A48,'Данные 1st'!$BN$2:$BN$317),"")</f>
        <v>1.5</v>
      </c>
      <c r="S48" s="7">
        <f>IFERROR(AVERAGEIF('Данные 1st'!$S$2:$S$317,$A48,'Данные 1st'!$BT$2:$BT$317),"")</f>
        <v>215.66666666666666</v>
      </c>
      <c r="T48" s="7">
        <f>IFERROR(AVERAGEIF('Данные 1st'!$S$2:$S$317,$A48,'Данные 1st'!$BU$2:$BU$317),"")</f>
        <v>0.5</v>
      </c>
      <c r="U48" s="7">
        <f>IFERROR(AVERAGEIF('Данные 1st'!$S$2:$S$317,$A48,'Данные 1st'!$BW$2:$BW$317),"")</f>
        <v>431.3333333333333</v>
      </c>
      <c r="V48" s="7">
        <f>IFERROR(AVERAGEIF('Данные 1st'!$S$2:$S$317,$A48,'Данные 1st'!$BX$2:$BX$317),"")</f>
        <v>1</v>
      </c>
      <c r="W48" s="7">
        <f>IFERROR(AVERAGEIF('Данные 1st'!$S$2:$S$317,$A48,'Данные 1st'!$BZ$2:$BZ$317),"")</f>
        <v>350</v>
      </c>
      <c r="X48" s="7">
        <f>IFERROR(AVERAGEIF('Данные 1st'!$S$2:$S$317,$A48,'Данные 1st'!$CA$2:$CA$317),"")</f>
        <v>510</v>
      </c>
      <c r="Y48" s="7">
        <f>IFERROR(AVERAGEIF('Данные 1st'!$S$2:$S$317,$A48,'Данные 1st'!$CD$2:$CD$317),"")</f>
        <v>448.6666666666667</v>
      </c>
      <c r="Z48" s="7">
        <f>IFERROR(AVERAGEIF('Данные 1st'!$S$2:$S$317,$A48,'Данные 1st'!$CF$2:$CF$317),"")</f>
        <v>15</v>
      </c>
      <c r="AA48" s="7">
        <f>IFERROR(AVERAGEIF('Данные 1st'!$S$2:$S$317,$A48,'Данные 1st'!$CI$2:$CI$317),"")</f>
        <v>80</v>
      </c>
      <c r="AB48" s="7">
        <f>IFERROR(AVERAGEIF('Данные 1st'!$S$2:$S$317,$A48,'Данные 1st'!$CJ$2:$CJ$317),"")</f>
        <v>1381</v>
      </c>
      <c r="AC48" s="7">
        <f>IFERROR(AVERAGEIF('Данные 1st'!$S$2:$S$317,$A48,'Данные 1st'!$CK$2:$CK$317),"")</f>
        <v>2</v>
      </c>
      <c r="AD48" s="7">
        <f>IFERROR(AVERAGEIF('Данные 1st'!$S$2:$S$317,$A48,'Данные 1st'!$CL$2:$CL$317),"")</f>
        <v>1475</v>
      </c>
      <c r="AE48" s="7">
        <f>IFERROR(AVERAGEIF('Данные 1st'!$S$2:$S$317,$A48,'Данные 1st'!$CM$2:$CM$317),"")</f>
        <v>2</v>
      </c>
      <c r="AF48" s="7">
        <f>IFERROR(AVERAGEIF('Данные 1st'!$S$2:$S$317,$A48,'Данные 1st'!$CT$2:$CT$317),"")</f>
        <v>408.3333333333333</v>
      </c>
      <c r="AG48" s="7">
        <f>IFERROR(AVERAGEIF('Данные 1st'!$S$2:$S$317,$A48,'Данные 1st'!$CU$2:$CU$317),"")</f>
        <v>5</v>
      </c>
      <c r="AH48" s="7">
        <f>IFERROR(AVERAGEIF('Данные 1st'!$S$2:$S$317,$A48,'Данные 1st'!$CV$2:$CV$317),"")</f>
        <v>1.2666666666666666</v>
      </c>
      <c r="AI48" s="7">
        <f>IFERROR(AVERAGEIF('Данные 1st'!$S$2:$S$317,$A48,'Данные 1st'!$CW$2:$CW$317),"")</f>
        <v>1395.3333333333333</v>
      </c>
      <c r="AJ48" s="7">
        <f>IFERROR(AVERAGEIF('Данные 1st'!$S$2:$S$317,$A48,'Данные 1st'!$CX$2:$CX$317),"")</f>
        <v>852.6666666666666</v>
      </c>
      <c r="AK48" s="7">
        <f>IFERROR(AVERAGEIF('Данные 1st'!$S$2:$S$317,$A48,'Данные 1st'!$CZ$2:$CZ$317),"")</f>
        <v/>
      </c>
      <c r="AL48" s="7">
        <f>IFERROR(AVERAGEIF('Данные 1st'!$S$2:$S$317,$A48,'Данные 1st'!$DA$2:$DA$317),"")</f>
        <v/>
      </c>
      <c r="AM48" s="7">
        <f>IFERROR(AVERAGEIF('Данные 1st'!$S$2:$S$317,$A48,'Данные 1st'!$DB$2:$DB$317),"")</f>
        <v/>
      </c>
      <c r="AN48" s="7">
        <f>IFERROR(AVERAGEIF('Данные 1st'!$S$2:$S$317,$A48,'Данные 1st'!$DC$2:$DC$317),"")</f>
        <v/>
      </c>
      <c r="AO48" s="7">
        <f>IFERROR(AVERAGEIF('Данные 1st'!$S$2:$S$317,$A48,'Данные 1st'!$DD$2:$DD$317),"")</f>
        <v>0</v>
      </c>
      <c r="AP48" s="7">
        <f>IFERROR(AVERAGEIF('Данные 1st'!$S$2:$S$317,$A48,'Данные 1st'!$DF$2:$DF$317),"")</f>
        <v>623.3333333333334</v>
      </c>
      <c r="AQ48" s="7">
        <f>IFERROR(AVERAGEIF('Данные 1st'!$S$2:$S$317,$A48,'Данные 1st'!$DG$2:$DG$317),"")</f>
        <v>3</v>
      </c>
      <c r="AR48" s="7">
        <f>IFERROR(AVERAGEIF('Данные 1st'!$S$2:$S$317,$A48,'Данные 1st'!$DH$2:$DH$317),"")</f>
        <v>0.98</v>
      </c>
      <c r="AS48" s="7">
        <f>IFERROR(AVERAGEIF('Данные 1st'!$S$2:$S$317,$A48,'Данные 1st'!$DI$2:$DI$317),"")</f>
        <v>1391</v>
      </c>
      <c r="AT48" s="7">
        <f>IFERROR(AVERAGEIF('Данные 1st'!$S$2:$S$317,$A48,'Данные 1st'!$DJ$2:$DJ$317),"")</f>
        <v>1105.3333333333333</v>
      </c>
      <c r="AU48" s="7">
        <f>IFERROR(AVERAGEIF('Данные 1st'!$S$2:$S$317,$A48,'Данные 1st'!$DL$2:$DL$317),"")</f>
        <v>482.5</v>
      </c>
      <c r="AV48" s="7">
        <f>IFERROR(AVERAGEIF('Данные 1st'!$S$2:$S$317,$A48,'Данные 1st'!$DM$2:$DM$317),"")</f>
        <v>3</v>
      </c>
      <c r="AW48" s="7">
        <f>IFERROR(AVERAGEIF('Данные 1st'!$S$2:$S$317,$A48,'Данные 1st'!$DN$2:$DN$317),"")</f>
        <v>0.88</v>
      </c>
      <c r="AX48" s="7">
        <f>IFERROR(AVERAGEIF('Данные 1st'!$S$2:$S$317,$A48,'Данные 1st'!$DO$2:$DO$317),"")</f>
        <v>1396</v>
      </c>
      <c r="AY48" s="7">
        <f>IFERROR(AVERAGEIF('Данные 1st'!$S$2:$S$317,$A48,'Данные 1st'!$DP$2:$DP$317),"")</f>
        <v>792</v>
      </c>
      <c r="AZ48" s="7">
        <f>IFERROR(AVERAGEIF('Данные 1st'!$S$2:$S$317,$A48,'Данные 1st'!$DR$2:$DR$317),"")</f>
        <v/>
      </c>
      <c r="BA48" s="7">
        <f>IFERROR(AVERAGEIF('Данные 1st'!$S$2:$S$317,$A48,'Данные 1st'!$DS$2:$DS$317),"")</f>
        <v/>
      </c>
      <c r="BB48" s="7">
        <f>IFERROR(AVERAGEIF('Данные 1st'!$S$2:$S$317,$A48,'Данные 1st'!$DT$2:$DT$317),"")</f>
        <v/>
      </c>
      <c r="BC48" s="7">
        <f>IFERROR(AVERAGEIF('Данные 1st'!$S$2:$S$317,$A48,'Данные 1st'!$DU$2:$DU$317),"")</f>
        <v/>
      </c>
      <c r="BD48" s="7">
        <f>IFERROR(AVERAGEIF('Данные 1st'!$S$2:$S$317,$A48,'Данные 1st'!$DV$2:$DV$317),"")</f>
        <v/>
      </c>
      <c r="BE48" s="7">
        <f>IFERROR(AVERAGEIF('Данные 1st'!$S$2:$S$317,$A48,'Данные 1st'!$DX$2:$DX$317),"")</f>
        <v>7.5</v>
      </c>
      <c r="BF48" s="7">
        <f>IFERROR(AVERAGEIF('Данные 1st'!$S$2:$S$317,$A48,'Данные 1st'!$EA$2:$EA$317),"")</f>
        <v>1462.7</v>
      </c>
      <c r="BG48" s="7">
        <f>IFERROR(AVERAGEIF('Данные 1st'!$S$2:$S$317,$A48,'Данные 1st'!$EB$2:$EB$317),"")</f>
        <v>270</v>
      </c>
      <c r="BH48" s="7">
        <f>IFERROR(AVERAGEIF('Данные 1st'!$S$2:$S$317,$A48,'Данные 1st'!$ED$2:$ED$317),"")</f>
        <v>36.666666666666664</v>
      </c>
      <c r="BI48" s="7">
        <f>IFERROR(AVERAGEIF('Данные 1st'!$S$2:$S$317,$A48,'Данные 1st'!$EE$2:$EE$317),"")</f>
        <v>3</v>
      </c>
      <c r="BJ48" s="7">
        <f>IFERROR(AVERAGEIF('Данные 1st'!$S$2:$S$317,$A48,'Данные 1st'!$EG$2:$EG$317),"")</f>
        <v>1503.3333333333333</v>
      </c>
      <c r="BK48" s="7">
        <f>IFERROR(AVERAGEIF('Данные 1st'!$S$2:$S$317,$A48,'Данные 1st'!$EH$2:$EH$317),"")</f>
        <v>235.33333333333334</v>
      </c>
      <c r="BL48" s="7">
        <f>IFERROR(AVERAGEIF('Данные 1st'!$S$2:$S$317,$A48,'Данные 1st'!$EJ$2:$EJ$317),"")</f>
        <v>0</v>
      </c>
      <c r="BM48" s="7">
        <f>IFERROR(AVERAGEIF('Данные 1st'!$S$2:$S$317,$A48,'Данные 1st'!$EK$2:$EK$317),"")</f>
        <v>1</v>
      </c>
      <c r="BN48" s="7">
        <f>IFERROR(AVERAGEIF('Данные 1st'!$S$2:$S$317,$A48,'Данные 1st'!$EN$2:$EN$317),"")</f>
        <v>0</v>
      </c>
      <c r="BO48" s="7">
        <f>IFERROR(AVERAGEIF('Данные 1st'!$S$2:$S$317,$A48,'Данные 1st'!$EQ$2:$EQ$317),"")</f>
        <v>105</v>
      </c>
      <c r="BP48" s="7">
        <f>IFERROR(AVERAGEIF('Данные 1st'!$S$2:$S$317,$A48,'Данные 1st'!$ER$2:$ER$317),"")</f>
        <v>3</v>
      </c>
      <c r="BQ48" s="7">
        <f>IFERROR(AVERAGEIF('Данные 1st'!$S$2:$S$317,$A48,'Данные 1st'!$ES$2:$ES$317),"")</f>
        <v>5.833333333333333</v>
      </c>
      <c r="BR48" s="7">
        <f>IFERROR(AVERAGEIF('Данные 1st'!$S$2:$S$317,$A48,'Данные 1st'!$ET$2:$ET$317),"")</f>
        <v>1380</v>
      </c>
      <c r="BS48" s="7">
        <f>IFERROR(AVERAGEIF('Данные 1st'!$S$2:$S$317,$A48,'Данные 1st'!$EU$2:$EU$317),"")</f>
        <v>481.90000000000003</v>
      </c>
      <c r="BT48" s="7">
        <f>IFERROR(AVERAGEIF('Данные 1st'!$S$2:$S$317,$A48,'Данные 1st'!$EV$2:$EV$317),"")</f>
        <v>665</v>
      </c>
      <c r="BU48" s="7">
        <f>IFERROR(AVERAGEIF('Данные 1st'!$S$2:$S$317,$A48,'Данные 1st'!$EX$2:$EX$317),"")</f>
        <v>70</v>
      </c>
      <c r="BV48" s="7">
        <f>IFERROR(AVERAGEIF('Данные 1st'!$S$2:$S$317,$A48,'Данные 1st'!$EY$2:$EY$317),"")</f>
        <v>2</v>
      </c>
      <c r="BW48" s="7">
        <f>IFERROR(AVERAGEIF('Данные 1st'!$S$2:$S$317,$A48,'Данные 1st'!$EZ$2:$EZ$317),"")</f>
        <v>4.333333333333333</v>
      </c>
      <c r="BX48" s="7">
        <f>IFERROR(AVERAGEIF('Данные 1st'!$S$2:$S$317,$A48,'Данные 1st'!$FA$2:$FA$317),"")</f>
        <v>1380</v>
      </c>
      <c r="BY48" s="7">
        <f>IFERROR(AVERAGEIF('Данные 1st'!$S$2:$S$317,$A48,'Данные 1st'!$FB$2:$FB$317),"")</f>
        <v>221.4</v>
      </c>
      <c r="BZ48" s="7">
        <f>IFERROR(AVERAGEIF('Данные 1st'!$S$2:$S$317,$A48,'Данные 1st'!$FC$2:$FC$317),"")</f>
        <v>305.6666666666667</v>
      </c>
      <c r="CA48" s="7">
        <f>IFERROR(AVERAGEIF('Данные 1st'!$S$2:$S$317,$A48,'Данные 1st'!$FE$2:$FE$317),"")</f>
        <v>0</v>
      </c>
      <c r="CB48" s="7">
        <f>IFERROR(AVERAGEIF('Данные 1st'!$S$2:$S$317,$A48,'Данные 1st'!$FF$2:$FF$317),"")</f>
        <v>2</v>
      </c>
      <c r="CC48" s="7">
        <f>IFERROR(AVERAGEIF('Данные 1st'!$S$2:$S$317,$A48,'Данные 1st'!$FI$2:$FI$317),"")</f>
        <v>0</v>
      </c>
      <c r="CD48" s="7">
        <f>IFERROR(AVERAGEIF('Данные 1st'!$S$2:$S$317,$A48,'Данные 1st'!$FL$2:$FL$317),"")</f>
        <v>0.4</v>
      </c>
      <c r="CE48" s="7">
        <f>IFERROR(AVERAGEIF('Данные 1st'!$S$2:$S$317,$A48,'Данные 1st'!$FM$2:$FM$317),"")</f>
        <v>103.33333333333333</v>
      </c>
      <c r="CF48" s="7">
        <f>IFERROR(AVERAGEIF('Данные 1st'!$S$2:$S$317,$A48,'Данные 1st'!$FN$2:$FN$317),"")</f>
        <v>133.33333333333334</v>
      </c>
      <c r="CG48" s="7">
        <f>IFERROR(AVERAGEIF('Данные 1st'!$S$2:$S$317,$A48,'Данные 1st'!$FO$2:$FO$317),"")</f>
        <v/>
      </c>
      <c r="CH48" s="7">
        <f>IFERROR(AVERAGEIF('Данные 1st'!$S$2:$S$317,$A48,'Данные 1st'!$FP$2:$FP$317),"")</f>
        <v/>
      </c>
      <c r="CI48" s="7">
        <f>IFERROR(AVERAGEIF('Данные 1st'!$S$2:$S$317,$A48,'Данные 1st'!$FS$2:$FS$317),"")</f>
        <v/>
      </c>
      <c r="CJ48" s="7">
        <f>IFERROR(AVERAGEIF('Данные 1st'!$S$2:$S$317,$A48,'Данные 1st'!$FT$2:$FT$317),"")</f>
        <v/>
      </c>
      <c r="CK48" s="7">
        <f>IFERROR(AVERAGEIF('Данные 1st'!$S$2:$S$317,$A48,'Данные 1st'!$FU$2:$FU$317),"")</f>
        <v/>
      </c>
      <c r="CL48" s="7">
        <f>IFERROR(AVERAGEIF('Данные 1st'!$S$2:$S$317,$A48,'Данные 1st'!$FV$2:$FV$317),"")</f>
        <v/>
      </c>
      <c r="CM48" s="7">
        <f>IFERROR(AVERAGEIF('Данные 1st'!$S$2:$S$317,$A48,'Данные 1st'!$FW$2:$FW$317),"")</f>
        <v/>
      </c>
      <c r="CN48" s="7">
        <f>IFERROR(AVERAGEIF('Данные 1st'!$S$2:$S$317,$A48,'Данные 1st'!$FZ$2:$FZ$317),"")</f>
        <v/>
      </c>
      <c r="CO48" s="7">
        <f>IFERROR(AVERAGEIF('Данные 1st'!$S$2:$S$317,$A48,'Данные 1st'!$GA$2:$GA$317),"")</f>
        <v/>
      </c>
      <c r="CP48" s="7">
        <f>IFERROR(AVERAGEIF('Данные 1st'!$S$2:$S$317,$A48,'Данные 1st'!$GB$2:$GB$317),"")</f>
        <v/>
      </c>
      <c r="CQ48" s="7">
        <f>IFERROR(AVERAGEIF('Данные 1st'!$S$2:$S$317,$A48,'Данные 1st'!$GH$2:$GH$317),"")</f>
        <v/>
      </c>
      <c r="CR48" s="7">
        <f>IFERROR(AVERAGEIF('Данные 1st'!$S$2:$S$317,$A48,'Данные 1st'!$GI$2:$GI$317),"")</f>
        <v/>
      </c>
      <c r="CS48" s="7">
        <f>IFERROR(AVERAGEIF('Данные 1st'!$S$2:$S$317,$A48,'Данные 1st'!$GJ$2:$GJ$317),"")</f>
        <v/>
      </c>
      <c r="CT48" s="7">
        <f>IFERROR(AVERAGEIF('Данные 1st'!$S$2:$S$317,$A48,'Данные 1st'!$GS$2:$GS$317),"")</f>
        <v>0.4</v>
      </c>
      <c r="CU48" s="7">
        <f>IFERROR(AVERAGEIF('Данные 1st'!$S$2:$S$317,$A48,'Данные 1st'!$GT$2:$GT$317),"")</f>
        <v>30</v>
      </c>
      <c r="CV48" s="7">
        <f>IFERROR(AVERAGEIF('Данные 1st'!$S$2:$S$317,$A48,'Данные 1st'!$GU$2:$GU$317),"")</f>
        <v>395</v>
      </c>
      <c r="CW48" s="7">
        <f>IFERROR(AVERAGEIF('Данные 1st'!$S$2:$S$317,$A48,'Данные 1st'!$GV$2:$GV$317),"")</f>
        <v>35</v>
      </c>
      <c r="CX48" s="7">
        <f>IFERROR(AVERAGEIF('Данные 1st'!$S$2:$S$317,$A48,'Данные 1st'!$GW$2:$GW$317),"")</f>
        <v>255</v>
      </c>
      <c r="CY48" s="7">
        <f>IFERROR(AVERAGEIF('Данные 1st'!$S$2:$S$317,$A48,'Данные 1st'!$GZ$2:$GZ$317),"")</f>
        <v>1.6</v>
      </c>
      <c r="CZ48" s="7">
        <f>IFERROR(AVERAGEIF('Данные 1st'!$S$2:$S$317,$A48,'Данные 1st'!$HA$2:$HA$317),"")</f>
        <v>20</v>
      </c>
      <c r="DA48" s="7">
        <f>IFERROR(AVERAGEIF('Данные 1st'!$S$2:$S$317,$A48,'Данные 1st'!$HB$2:$HB$317),"")</f>
        <v>181</v>
      </c>
      <c r="DB48" s="7">
        <f>IFERROR(AVERAGEIF('Данные 1st'!$S$2:$S$317,$A48,'Данные 1st'!$HC$2:$HC$317),"")</f>
        <v>0.1</v>
      </c>
      <c r="DC48" s="7">
        <f>IFERROR(AVERAGEIF('Данные 1st'!$S$2:$S$317,$A48,'Данные 1st'!$HD$2:$HD$317),"")</f>
        <v>3</v>
      </c>
      <c r="DD48" s="7">
        <f>IFERROR(AVERAGEIF('Данные 1st'!$S$2:$S$317,$A48,'Данные 1st'!$HE$2:$HE$317),"")</f>
        <v>3</v>
      </c>
      <c r="DE48" s="7">
        <f>IFERROR(AVERAGEIF('Данные 1st'!$S$2:$S$317,$A48,'Данные 1st'!$HF$2:$HF$317),"")</f>
        <v>3</v>
      </c>
      <c r="DF48" s="7">
        <f>IFERROR(AVERAGEIF('Данные 1st'!$S$2:$S$317,$A48,'Данные 1st'!$HG$2:$HG$317),"")</f>
        <v>3</v>
      </c>
      <c r="DG48" s="7">
        <f>IFERROR(AVERAGEIF('Данные 1st'!$S$2:$S$317,$A48,'Данные 1st'!$HH$2:$HH$317),"")</f>
        <v>3</v>
      </c>
      <c r="DH48" s="7">
        <f>IFERROR(AVERAGEIF('Данные 1st'!$S$2:$S$317,$A48,'Данные 1st'!$HI$2:$HI$317),"")</f>
        <v>160</v>
      </c>
      <c r="DI48" s="7">
        <f>IFERROR(AVERAGEIF('Данные 1st'!$S$2:$S$317,$A48,'Данные 1st'!$HJ$2:$HJ$317),"")</f>
        <v>3</v>
      </c>
      <c r="DJ48" s="7">
        <f>IFERROR(AVERAGEIF('Данные 1st'!$S$2:$S$317,$A48,'Данные 1st'!$HK$2:$HK$317),"")</f>
        <v>55</v>
      </c>
      <c r="DK48" s="7">
        <f>IFERROR(AVERAGEIF('Данные 1st'!$S$2:$S$317,$A48,'Данные 1st'!$HL$2:$HL$317),"")</f>
        <v>2</v>
      </c>
      <c r="DL48" s="7">
        <f>IFERROR(AVERAGEIF('Данные 1st'!$S$2:$S$317,$A48,'Данные 1st'!$HM$2:$HM$317),"")</f>
        <v>0</v>
      </c>
      <c r="DM48" s="7">
        <f>IFERROR(AVERAGEIF('Данные 1st'!$S$2:$S$317,$A48,'Данные 1st'!$HN$2:$HN$317),"")</f>
        <v>2</v>
      </c>
      <c r="DN48" s="7">
        <f>IFERROR(AVERAGEIF('Данные 1st'!$S$2:$S$317,$A48,'Данные 1st'!$HO$2:$HO$317),"")</f>
        <v>90</v>
      </c>
      <c r="DO48" s="7">
        <f>IFERROR(AVERAGEIF('Данные 1st'!$S$2:$S$317,$A48,'Данные 1st'!$HP$2:$HP$317),"")</f>
        <v>3</v>
      </c>
      <c r="DP48" s="7">
        <f>IFERROR(AVERAGEIF('Данные 1st'!$S$2:$S$317,$A48,'Данные 1st'!$HQ$2:$HQ$317),"")</f>
        <v>0</v>
      </c>
      <c r="DQ48" s="7">
        <f>IFERROR(AVERAGEIF('Данные 1st'!$S$2:$S$317,$A48,'Данные 1st'!$HR$2:$HR$317),"")</f>
        <v>2</v>
      </c>
      <c r="DR48" s="7">
        <f>IFERROR(AVERAGEIF('Данные 1st'!$S$2:$S$317,$A48,'Данные 1st'!$HS$2:$HS$317),"")</f>
        <v>5438</v>
      </c>
      <c r="DS48" s="7">
        <f>IFERROR(AVERAGEIF('Данные 1st'!$S$2:$S$317,$A48,'Данные 1st'!$HT$2:$HT$317),"")</f>
        <v>163.33333333333334</v>
      </c>
      <c r="DT48" s="7">
        <f>IFERROR(AVERAGEIF('Данные 1st'!$S$2:$S$317,$A48,'Данные 1st'!$HU$2:$HU$317),"")</f>
        <v>180</v>
      </c>
      <c r="DU48" s="7">
        <f>IFERROR(AVERAGEIF('Данные 1st'!$S$2:$S$317,$A48,'Данные 1st'!$HW$2:$HW$317),"")</f>
        <v>6.666666666666667</v>
      </c>
      <c r="DV48" s="7">
        <f>IFERROR(AVERAGEIF('Данные 1st'!$S$2:$S$317,$A48,'Данные 1st'!$HX$2:$HX$317),"")</f>
        <v>475</v>
      </c>
      <c r="DW48" s="7">
        <f>IFERROR(AVERAGEIF('Данные 1st'!$S$2:$S$317,$A48,'Данные 1st'!$HY$2:$HY$317),"")</f>
        <v>0.18</v>
      </c>
      <c r="DX48" s="7">
        <f>IFERROR(AVERAGEIF('Данные 1st'!$S$2:$S$317,$A48,'Данные 1st'!$IA$2:$IA$317),"")</f>
        <v>0.15</v>
      </c>
      <c r="DY48" s="7">
        <f>IFERROR(AVERAGEIF('Данные 1st'!$S$2:$S$317,$A48,'Данные 1st'!$IB$2:$IB$317),"")</f>
        <v>0</v>
      </c>
      <c r="DZ48" s="7">
        <f>IFERROR(AVERAGEIF('Данные 1st'!$S$2:$S$317,$A48,'Данные 1st'!$IC$2:$IC$317),"")</f>
        <v>180</v>
      </c>
      <c r="EA48" s="7">
        <f>IFERROR(AVERAGEIF('Данные 1st'!$S$2:$S$317,$A48,'Данные 1st'!$ID$2:$ID$317),"")</f>
        <v>110</v>
      </c>
      <c r="EB48" s="7">
        <f>IFERROR(AVERAGEIF('Данные 1st'!$S$2:$S$317,$A48,'Данные 1st'!$IE$2:$IE$317),"")</f>
        <v>150</v>
      </c>
      <c r="EC48" s="7">
        <f>IFERROR(AVERAGEIF('Данные 1st'!$S$2:$S$317,$A48,'Данные 1st'!$IF$2:$IF$317),"")</f>
        <v>0</v>
      </c>
      <c r="ED48" s="7">
        <f>IFERROR(AVERAGEIF('Данные 1st'!$S$2:$S$317,$A48,'Данные 1st'!$IP$2:$IP$317),"")</f>
        <v>18</v>
      </c>
      <c r="EE48" s="7">
        <f>IFERROR(AVERAGEIF('Данные 1st'!$S$2:$S$317,$A48,'Данные 1st'!$IV$2:$IV$317),"")</f>
        <v>1381</v>
      </c>
      <c r="EF48" s="7">
        <f>IFERROR(AVERAGEIF('Данные 1st'!$S$2:$S$317,$A48,'Данные 1st'!$IW$2:$IW$317),"")</f>
        <v>431.3333333333333</v>
      </c>
      <c r="EG48" s="7">
        <f>IFERROR(AVERAGEIF('Данные 1st'!$S$2:$S$317,$A48,'Данные 1st'!$IX$2:$IX$317),"")</f>
        <v/>
      </c>
      <c r="EH48" s="7">
        <f>IFERROR(AVERAGEIF('Данные 1st'!$S$2:$S$317,$A48,'Данные 1st'!$IY$2:$IY$317),"")</f>
        <v/>
      </c>
      <c r="EI48" s="7">
        <f>IFERROR(AVERAGEIF('Данные 1st'!$S$2:$S$317,$A48,'Данные 1st'!$JD$2:$JD$317),"")</f>
        <v>1395.3333333333333</v>
      </c>
      <c r="EJ48" s="7">
        <f>IFERROR(AVERAGEIF('Данные 1st'!$S$2:$S$317,$A48,'Данные 1st'!$JE$2:$JE$317),"")</f>
        <v>1391</v>
      </c>
      <c r="EK48" s="7">
        <f>IFERROR(AVERAGEIF('Данные 1st'!$S$2:$S$317,$A48,'Данные 1st'!$JF$2:$JF$317),"")</f>
        <v>930.6666666666666</v>
      </c>
      <c r="EL48" s="7">
        <f>IFERROR(AVERAGEIF('Данные 1st'!$S$2:$S$317,$A48,'Данные 1st'!$JG$2:$JG$317),"")</f>
        <v>1380</v>
      </c>
      <c r="EM48" s="7">
        <f>IFERROR(AVERAGEIF('Данные 1st'!$S$2:$S$317,$A48,'Данные 1st'!$JH$2:$JH$317),"")</f>
        <v>0</v>
      </c>
      <c r="EN48" s="7">
        <f>IFERROR(AVERAGEIF('Данные 1st'!$S$2:$S$317,$A48,'Данные 1st'!$JJ$2:$JJ$317),"")</f>
        <v>180</v>
      </c>
      <c r="EO48" s="7">
        <f>IFERROR(AVERAGEIF('Данные 1st'!$S$2:$S$317,$A48,'Данные 1st'!$JK$2:$JK$317),"")</f>
        <v>475</v>
      </c>
      <c r="EP48" s="7">
        <f>IFERROR(AVERAGEIF('Данные 1st'!$S$2:$S$317,$A48,'Данные 1st'!$JL$2:$JL$317),"")</f>
        <v/>
      </c>
      <c r="EQ48" s="7">
        <f>IFERROR(AVERAGEIF('Данные 1st'!$S$2:$S$317,$A48,'Данные 1st'!$JM$2:$JM$317),"")</f>
        <v/>
      </c>
      <c r="ER48" s="7">
        <f>IFERROR(AVERAGEIF('Данные 1st'!$S$2:$S$317,$A48,'Данные 1st'!$JN$2:$JN$317),"")</f>
        <v>408.3333333333333</v>
      </c>
      <c r="ES48" s="7">
        <f>IFERROR(AVERAGEIF('Данные 1st'!$S$2:$S$317,$A48,'Данные 1st'!$JO$2:$JO$317),"")</f>
        <v>623.3333333333334</v>
      </c>
      <c r="ET48" s="7">
        <f>IFERROR(AVERAGEIF('Данные 1st'!$S$2:$S$317,$A48,'Данные 1st'!$JP$2:$JP$317),"")</f>
        <v>321.6666666666667</v>
      </c>
      <c r="EU48" s="7">
        <f>IFERROR(AVERAGEIF('Данные 1st'!$S$2:$S$317,$A48,'Данные 1st'!$JQ$2:$JQ$317),"")</f>
        <v>0</v>
      </c>
      <c r="EV48" s="7">
        <f>IFERROR(AVERAGEIF('Данные 1st'!$S$2:$S$317,$A48,'Данные 1st'!$JR$2:$JR$317),"")</f>
        <v>386.6666666666667</v>
      </c>
      <c r="EW48" s="7">
        <f>IFERROR(AVERAGEIF('Данные 1st'!$S$2:$S$317,$A48,'Данные 1st'!$JS$2:$JS$317),"")</f>
        <v>160</v>
      </c>
      <c r="EX48" s="7">
        <f>IFERROR(AVERAGEIF('Данные 1st'!$S$2:$S$317,$A48,'Данные 1st'!$JT$2:$JT$317),"")</f>
        <v/>
      </c>
      <c r="EY48" s="7">
        <f>IFERROR(AVERAGEIF('Данные 1st'!$S$2:$S$317,$A48,'Данные 1st'!$JU$2:$JU$317),"")</f>
        <v/>
      </c>
      <c r="EZ48" s="7">
        <f>IFERROR(AVERAGEIF('Данные 1st'!$S$2:$S$317,$A48,'Данные 1st'!$JV$2:$JV$317),"")</f>
        <v>8</v>
      </c>
      <c r="FA48" s="7">
        <f>IFERROR(AVERAGEIF('Данные 1st'!$S$2:$S$317,$A48,'Данные 1st'!$JW$2:$JW$317),"")</f>
        <v/>
      </c>
      <c r="FB48" s="7">
        <f>IFERROR(AVERAGEIF('Данные 1st'!$S$2:$S$317,$A48,'Данные 1st'!$JX$2:$JX$317),"")</f>
        <v>0</v>
      </c>
      <c r="FC48" s="7">
        <f>IFERROR(AVERAGEIF('Данные 1st'!$S$2:$S$317,$A48,'Данные 1st'!$JY$2:$JY$317),"")</f>
        <v/>
      </c>
      <c r="FD48" s="7">
        <f>IFERROR(AVERAGEIF('Данные 1st'!$S$2:$S$317,$A48,'Данные 1st'!$JZ$2:$JZ$317),"")</f>
        <v/>
      </c>
      <c r="FE48" s="7">
        <f>IFERROR(AVERAGEIF('Данные 1st'!$S$2:$S$317,$A48,'Данные 1st'!$KA$2:$KA$317),"")</f>
        <v>150</v>
      </c>
      <c r="FF48" s="7">
        <f>IFERROR(AVERAGEIF('Данные 1st'!$S$2:$S$317,$A48,'Данные 1st'!$KB$2:$KB$317),"")</f>
        <v>110</v>
      </c>
      <c r="FG48" s="7">
        <f>IFERROR(AVERAGEIF('Данные 1st'!$S$2:$S$317,$A48,'Данные 1st'!$KC$2:$KC$317),"")</f>
        <v>0</v>
      </c>
      <c r="FH48" s="7">
        <f>IFERROR(AVERAGEIF('Данные 1st'!$S$2:$S$317,$A48,'Данные 1st'!$KD$2:$KD$317),"")</f>
        <v>80</v>
      </c>
      <c r="FI48" s="7">
        <f>IFERROR(AVERAGEIF('Данные 1st'!$S$2:$S$317,$A48,'Данные 1st'!$KE$2:$KE$317),"")</f>
        <v/>
      </c>
      <c r="FJ48" s="7">
        <f>IFERROR(AVERAGEIF('Данные 1st'!$S$2:$S$317,$A48,'Данные 1st'!$KF$2:$KF$317),"")</f>
        <v>4</v>
      </c>
      <c r="FK48" s="7">
        <f>IFERROR(AVERAGEIF('Данные 1st'!$S$2:$S$317,$A48,'Данные 1st'!$KG$2:$KG$317),"")</f>
        <v>2</v>
      </c>
      <c r="FL48" s="7">
        <f>IFERROR(AVERAGEIF('Данные 1st'!$S$2:$S$317,$A48,'Данные 1st'!$KH$2:$KH$317),"")</f>
        <v>2</v>
      </c>
      <c r="FM48" s="7">
        <f>IFERROR(AVERAGEIF('Данные 1st'!$S$2:$S$317,$A48,'Данные 1st'!$KI$2:$KI$317),"")</f>
        <v>2</v>
      </c>
      <c r="FN48" s="7">
        <f>IFERROR(AVERAGEIF('Данные 1st'!$S$2:$S$317,$A48,'Данные 1st'!$KJ$2:$KJ$317),"")</f>
        <v>0</v>
      </c>
      <c r="FO48" s="7">
        <f>IFERROR(AVERAGEIF('Данные 1st'!$S$2:$S$317,$A48,'Данные 1st'!$KK$2:$KK$317),"")</f>
        <v>1.5</v>
      </c>
      <c r="FP48" s="7">
        <f>IFERROR(AVERAGEIF('Данные 1st'!$S$2:$S$317,$A48,'Данные 1st'!$KL$2:$KL$317),"")</f>
        <v>1.5</v>
      </c>
      <c r="FQ48" s="7">
        <f>IFERROR(AVERAGEIF('Данные 1st'!$S$2:$S$317,$A48,'Данные 1st'!$KM$2:$KM$317),"")</f>
        <v>0</v>
      </c>
      <c r="FR48" s="7">
        <f>IFERROR(AVERAGEIF('Данные 1st'!$S$2:$S$317,$A48,'Данные 1st'!$KN$2:$KN$317),"")</f>
        <v>0</v>
      </c>
      <c r="FS48" s="7">
        <f>IFERROR(AVERAGEIF('Данные 1st'!$S$2:$S$317,$A48,'Данные 1st'!$KR$2:$KR$317),"")</f>
        <v>30</v>
      </c>
      <c r="FT48" s="7">
        <f>IFERROR(AVERAGEIF('Данные 1st'!$S$2:$S$317,$A48,'Данные 1st'!$KS$2:$KS$317),"")</f>
        <v>60</v>
      </c>
      <c r="FU48" s="7">
        <f>IFERROR(AVERAGEIF('Данные 1st'!$S$2:$S$317,$A48,'Данные 1st'!$KT$2:$KT$317),"")</f>
        <v>0</v>
      </c>
      <c r="FV48" s="7">
        <f>IFERROR(AVERAGEIF('Данные 1st'!$S$2:$S$317,$A48,'Данные 1st'!$KV$2:$KV$317),"")</f>
        <v/>
      </c>
      <c r="FW48" s="7">
        <f>IFERROR(AVERAGEIF('Данные 1st'!$S$2:$S$317,$A48,'Данные 1st'!$KW$2:$KW$317),"")</f>
        <v/>
      </c>
      <c r="FX48" s="7">
        <f>IFERROR(AVERAGEIF('Данные 1st'!$S$2:$S$317,$A48,'Данные 1st'!$KX$2:$KX$317),"")</f>
        <v/>
      </c>
      <c r="FY48" s="7">
        <f>IFERROR(AVERAGEIF('Данные 1st'!$S$2:$S$317,$A48,'Данные 1st'!$KY$2:$KY$317),"")</f>
        <v/>
      </c>
      <c r="FZ48" s="7">
        <f>IFERROR(AVERAGEIF('Данные 1st'!$S$2:$S$317,$A48,'Данные 1st'!$KZ$2:$KZ$317),"")</f>
        <v/>
      </c>
      <c r="GA48" s="7">
        <f>IFERROR(AVERAGEIF('Данные 1st'!$S$2:$S$317,$A48,'Данные 1st'!$LA$2:$LA$317),"")</f>
        <v/>
      </c>
      <c r="GB48" s="7">
        <f>IFERROR(AVERAGEIF('Данные 1st'!$S$2:$S$317,$A48,'Данные 1st'!$LB$2:$LB$317),"")</f>
        <v/>
      </c>
      <c r="GC48" s="7">
        <f>IFERROR(AVERAGEIF('Данные 1st'!$S$2:$S$317,$A48,'Данные 1st'!$LC$2:$LC$317),"")</f>
        <v/>
      </c>
      <c r="GD48" s="7">
        <f>IFERROR(AVERAGEIF('Данные 1st'!$S$2:$S$317,$A48,'Данные 1st'!$LD$2:$LD$317),"")</f>
        <v/>
      </c>
      <c r="GE48" s="7">
        <f>IFERROR(AVERAGEIF('Данные 1st'!$S$2:$S$317,$A48,'Данные 1st'!$LE$2:$LE$317),"")</f>
        <v/>
      </c>
      <c r="GF48" s="7">
        <f>IFERROR(AVERAGEIF('Данные 1st'!$S$2:$S$317,$A48,'Данные 1st'!$LF$2:$LF$317),"")</f>
        <v/>
      </c>
      <c r="GG48" s="7">
        <f>IFERROR(AVERAGEIF('Данные 1st'!$S$2:$S$317,$A48,'Данные 1st'!$LG$2:$LG$317),"")</f>
        <v/>
      </c>
      <c r="GH48" s="7">
        <f>IFERROR(AVERAGEIF('Данные 1st'!$S$2:$S$317,$A48,'Данные 1st'!$LH$2:$LH$317),"")</f>
        <v/>
      </c>
      <c r="GI48" s="7">
        <f>IFERROR(AVERAGEIF('Данные 1st'!$S$2:$S$317,$A48,'Данные 1st'!$LI$2:$LI$317),"")</f>
        <v/>
      </c>
      <c r="GJ48" s="7">
        <f>IFERROR(AVERAGEIF('Данные 1st'!$S$2:$S$317,$A48,'Данные 1st'!$LJ$2:$LJ$317),"")</f>
        <v/>
      </c>
      <c r="GK48" s="7">
        <f>IFERROR(AVERAGEIF('Данные 1st'!$S$2:$S$317,$A48,'Данные 1st'!$LK$2:$LK$317),"")</f>
        <v>480</v>
      </c>
      <c r="GL48" s="7">
        <f>IFERROR(AVERAGEIF('Данные 1st'!$S$2:$S$317,$A48,'Данные 1st'!$LV$2:$LV$317),"")</f>
        <v/>
      </c>
      <c r="GM48" s="7">
        <f>IFERROR(AVERAGEIF('Данные 1st'!$S$2:$S$317,$A48,'Данные 1st'!$LW$2:$LW$317),"")</f>
        <v/>
      </c>
      <c r="GN48" s="7">
        <f>IFERROR(AVERAGEIF('Данные 1st'!$S$2:$S$317,$A48,'Данные 1st'!$LX$2:$LX$317),"")</f>
        <v/>
      </c>
      <c r="GO48" s="7">
        <f>IFERROR(AVERAGEIF('Данные 1st'!$S$2:$S$317,$A48,'Данные 1st'!$LY$2:$LY$317),"")</f>
        <v/>
      </c>
      <c r="GP48" s="7">
        <f>IFERROR(AVERAGEIF('Данные 1st'!$S$2:$S$317,$A48,'Данные 1st'!$LZ$2:$LZ$317),"")</f>
        <v/>
      </c>
      <c r="GQ48" s="7">
        <f>IFERROR(AVERAGEIF('Данные 1st'!$S$2:$S$317,$A48,'Данные 1st'!$PG$2:$PG$317),"")</f>
        <v>1</v>
      </c>
      <c r="GR48" s="7">
        <f>IFERROR(AVERAGEIF('Данные 1st'!$S$2:$S$317,$A48,'Данные 1st'!$PX$2:$PX$317),"")</f>
        <v>56</v>
      </c>
      <c r="GS48" s="7">
        <f>IFERROR(AVERAGEIF('Данные 1st'!$S$2:$S$317,$A48,'Данные 1st'!$PY$2:$PY$317),"")</f>
        <v>56.333333333333336</v>
      </c>
      <c r="GT48" s="7">
        <f>IFERROR(AVERAGEIF('Данные 1st'!$S$2:$S$317,$A48,'Данные 1st'!$QA$2:$QA$317),"")</f>
        <v>1</v>
      </c>
      <c r="GU48" s="7">
        <f>IFERROR(AVERAGEIF('Данные 1st'!$S$2:$S$317,$A48,'Данные 1st'!$QB$2:$QB$317),"")</f>
        <v>1380</v>
      </c>
      <c r="GV48" s="7">
        <f>IFERROR(AVERAGEIF('Данные 1st'!$S$2:$S$317,$A48,'Данные 1st'!$QC$2:$QC$317),"")</f>
        <v>69</v>
      </c>
      <c r="GW48" s="7">
        <f>IFERROR(AVERAGEIF('Данные 1st'!$S$2:$S$317,$A48,'Данные 1st'!$QD$2:$QD$317),"")</f>
        <v>69</v>
      </c>
      <c r="GX48" s="7">
        <f>IFERROR(AVERAGEIF('Данные 1st'!$S$2:$S$317,$A48,'Данные 1st'!$QF$2:$QF$317),"")</f>
        <v>1.6666666666666667</v>
      </c>
      <c r="GY48" s="7">
        <f>IFERROR(AVERAGEIF('Данные 1st'!$S$2:$S$317,$A48,'Данные 1st'!$QG$2:$QG$317),"")</f>
        <v>1395.3333333333333</v>
      </c>
      <c r="GZ48" s="7">
        <f>IFERROR(AVERAGEIF('Данные 1st'!$S$2:$S$317,$A48,'Данные 1st'!$QH$2:$QH$317),"")</f>
        <v>66</v>
      </c>
      <c r="HA48" s="7">
        <f>IFERROR(AVERAGEIF('Данные 1st'!$S$2:$S$317,$A48,'Данные 1st'!$QI$2:$QI$317),"")</f>
        <v>66</v>
      </c>
      <c r="HB48" s="7">
        <f>IFERROR(AVERAGEIF('Данные 1st'!$S$2:$S$317,$A48,'Данные 1st'!$QK$2:$QK$317),"")</f>
        <v/>
      </c>
      <c r="HC48" s="7">
        <f>IFERROR(AVERAGEIF('Данные 1st'!$S$2:$S$317,$A48,'Данные 1st'!$QL$2:$QL$317),"")</f>
        <v>0</v>
      </c>
      <c r="HD48" s="7">
        <f>IFERROR(AVERAGEIF('Данные 1st'!$S$2:$S$317,$A48,'Данные 1st'!$QM$2:$QM$317),"")</f>
        <v>62</v>
      </c>
      <c r="HE48" s="7">
        <f>IFERROR(AVERAGEIF('Данные 1st'!$S$2:$S$317,$A48,'Данные 1st'!$QN$2:$QN$317),"")</f>
        <v>62</v>
      </c>
      <c r="HF48" s="7">
        <f>IFERROR(AVERAGEIF('Данные 1st'!$S$2:$S$317,$A48,'Данные 1st'!$QP$2:$QP$317),"")</f>
        <v>1</v>
      </c>
      <c r="HG48" s="7">
        <f>IFERROR(AVERAGEIF('Данные 1st'!$S$2:$S$317,$A48,'Данные 1st'!$QQ$2:$QQ$317),"")</f>
        <v>1391</v>
      </c>
      <c r="HH48" s="7">
        <f>IFERROR(AVERAGEIF('Данные 1st'!$S$2:$S$317,$A48,'Данные 1st'!$QR$2:$QR$317),"")</f>
        <v>62.5</v>
      </c>
      <c r="HI48" s="7">
        <f>IFERROR(AVERAGEIF('Данные 1st'!$S$2:$S$317,$A48,'Данные 1st'!$QS$2:$QS$317),"")</f>
        <v>62.5</v>
      </c>
      <c r="HJ48" s="7">
        <f>IFERROR(AVERAGEIF('Данные 1st'!$S$2:$S$317,$A48,'Данные 1st'!$QU$2:$QU$317),"")</f>
        <v>1</v>
      </c>
      <c r="HK48" s="7">
        <f>IFERROR(AVERAGEIF('Данные 1st'!$S$2:$S$317,$A48,'Данные 1st'!$QV$2:$QV$317),"")</f>
        <v>1396</v>
      </c>
      <c r="HL48" s="7">
        <f>IFERROR(AVERAGEIF('Данные 1st'!$S$2:$S$317,$A48,'Данные 1st'!$QW$2:$QW$317),"")</f>
        <v>82</v>
      </c>
      <c r="HM48" s="7">
        <f>IFERROR(AVERAGEIF('Данные 1st'!$S$2:$S$317,$A48,'Данные 1st'!$QX$2:$QX$317),"")</f>
        <v>86.33333333333333</v>
      </c>
      <c r="HN48" s="7">
        <f>IFERROR(AVERAGEIF('Данные 1st'!$S$2:$S$317,$A48,'Данные 1st'!$QZ$2:$QZ$317),"")</f>
        <v>1.3333333333333333</v>
      </c>
      <c r="HO48" s="7">
        <f>IFERROR(AVERAGEIF('Данные 1st'!$S$2:$S$317,$A48,'Данные 1st'!$RA$2:$RA$317),"")</f>
        <v>66</v>
      </c>
      <c r="HP48" s="7">
        <f>IFERROR(AVERAGEIF('Данные 1st'!$S$2:$S$317,$A48,'Данные 1st'!$RB$2:$RB$317),"")</f>
        <v>66</v>
      </c>
      <c r="HQ48" s="7">
        <f>IFERROR(AVERAGEIF('Данные 1st'!$S$2:$S$317,$A48,'Данные 1st'!$RD$2:$RD$317),"")</f>
        <v/>
      </c>
      <c r="HR48" s="7">
        <f>IFERROR(AVERAGEIF('Данные 1st'!$S$2:$S$317,$A48,'Данные 1st'!$RE$2:$RE$317),"")</f>
        <v>0</v>
      </c>
      <c r="HS48" s="7">
        <f>IFERROR(AVERAGEIF('Данные 1st'!$S$2:$S$317,$A48,'Данные 1st'!$RF$2:$RF$317),"")</f>
        <v>1</v>
      </c>
      <c r="HT48" s="7">
        <f>IFERROR(AVERAGEIF('Данные 1st'!$S$2:$S$317,$A48,'Данные 1st'!$RG$2:$RG$317),"")</f>
        <v/>
      </c>
      <c r="HU48" s="7">
        <f>IFERROR(AVERAGEIF('Данные 1st'!$S$2:$S$317,$A48,'Данные 1st'!$RH$2:$RH$317),"")</f>
        <v>1</v>
      </c>
      <c r="HV48" s="7">
        <f>IFERROR(AVERAGEIF('Данные 1st'!$S$2:$S$317,$A48,'Данные 1st'!$RI$2:$RI$317),"")</f>
        <v>1</v>
      </c>
      <c r="HW48" s="7">
        <f>IFERROR(AVERAGEIF('Данные 1st'!$S$2:$S$317,$A48,'Данные 1st'!$RJ$2:$RJ$317),"")</f>
        <v>1</v>
      </c>
      <c r="HX48" s="7">
        <f>IFERROR(AVERAGEIF('Данные 1st'!$S$2:$S$317,$A48,'Данные 1st'!$RK$2:$RK$317),"")</f>
        <v/>
      </c>
      <c r="HY48" s="7">
        <f>IFERROR(AVERAGEIF('Данные 1st'!$S$2:$S$317,$A48,'Данные 1st'!$RL$2:$RL$317),"")</f>
        <v>2.6666666666666665</v>
      </c>
      <c r="HZ48" s="7">
        <f>IFERROR(AVERAGEIF('Данные 1st'!$S$2:$S$317,$A48,'Данные 1st'!$RM$2:$RM$317),"")</f>
        <v>3.5</v>
      </c>
      <c r="IA48" s="7">
        <f>IFERROR(AVERAGEIF('Данные 1st'!$S$2:$S$317,$A48,'Данные 1st'!$RN$2:$RN$317),"")</f>
        <v/>
      </c>
      <c r="IB48" s="7">
        <f>IFERROR(AVERAGEIF('Данные 1st'!$S$2:$S$317,$A48,'Данные 1st'!$RO$2:$RO$317),"")</f>
        <v>611.3333333333334</v>
      </c>
      <c r="IC48" s="7">
        <f>IFERROR(AVERAGEIF('Данные 1st'!$S$2:$S$317,$A48,'Данные 1st'!$RP$2:$RP$317),"")</f>
        <v/>
      </c>
      <c r="ID48" s="7">
        <f>IFERROR(AVERAGEIF('Данные 1st'!$S$2:$S$317,$A48,'Данные 1st'!$RQ$2:$RQ$317),"")</f>
        <v>794.6666666666666</v>
      </c>
      <c r="IE48" s="7">
        <f>IFERROR(AVERAGEIF('Данные 1st'!$S$2:$S$317,$A48,'Данные 1st'!$RR$2:$RR$317),"")</f>
        <v>567.5</v>
      </c>
      <c r="IF48" s="7">
        <f>IFERROR(AVERAGEIF('Данные 1st'!$S$2:$S$317,$A48,'Данные 1st'!$RS$2:$RS$317),"")</f>
        <v/>
      </c>
      <c r="IG48" s="7">
        <f>IFERROR(AVERAGEIF('Данные 1st'!$S$2:$S$317,$A48,'Данные 1st'!$RT$2:$RT$317),"")</f>
        <v>270</v>
      </c>
      <c r="IH48" s="7">
        <f>IFERROR(AVERAGEIF('Данные 1st'!$S$2:$S$317,$A48,'Данные 1st'!$RU$2:$RU$317),"")</f>
        <v>235.33333333333334</v>
      </c>
      <c r="II48" s="7">
        <f>IFERROR(AVERAGEIF('Данные 1st'!$S$2:$S$317,$A48,'Данные 1st'!$RX$2:$RX$317),"")</f>
        <v>15</v>
      </c>
      <c r="IJ48" s="7">
        <f>IFERROR(AVERAGEIF('Данные 1st'!$S$2:$S$317,$A48,'Данные 1st'!$RY$2:$RY$317),"")</f>
        <v>4</v>
      </c>
      <c r="IK48" s="7">
        <f>IFERROR(AVERAGEIF('Данные 1st'!$S$2:$S$317,$A48,'Данные 1st'!$SA$2:$SA$317),"")</f>
        <v>15</v>
      </c>
      <c r="IL48" s="7">
        <f>IFERROR(AVERAGEIF('Данные 1st'!$S$2:$S$317,$A48,'Данные 1st'!$SD$2:$SD$317),"")</f>
        <v>1</v>
      </c>
      <c r="IM48" s="7">
        <f>IFERROR(AVERAGEIF('Данные 1st'!$S$2:$S$317,$A48,'Данные 1st'!$SG$2:$SG$317),"")</f>
        <v>1</v>
      </c>
      <c r="IN48" s="7">
        <f>IFERROR(AVERAGEIF('Данные 1st'!$S$2:$S$317,$A48,'Данные 1st'!$SH$2:$SH$317),"")</f>
        <v>0.995</v>
      </c>
      <c r="IO48" s="7">
        <f>IFERROR(AVERAGEIF('Данные 1st'!$S$2:$S$317,$A48,'Данные 1st'!$SI$2:$SI$317),"")</f>
        <v>0.995</v>
      </c>
      <c r="IP48" s="7">
        <f>IFERROR(AVERAGEIF('Данные 1st'!$S$2:$S$317,$A48,'Данные 1st'!$SJ$2:$SJ$317),"")</f>
        <v>0.995</v>
      </c>
      <c r="IQ48" s="7">
        <f>IFERROR(AVERAGEIF('Данные 1st'!$S$2:$S$317,$A48,'Данные 1st'!$SK$2:$SK$317),"")</f>
        <v>15</v>
      </c>
      <c r="IR48" s="7">
        <f>IFERROR(AVERAGEIF('Данные 1st'!$S$2:$S$317,$A48,'Данные 1st'!$SL$2:$SL$317),"")</f>
        <v>0</v>
      </c>
      <c r="IS48" s="7">
        <f>IFERROR(AVERAGEIF('Данные 1st'!$S$2:$S$317,$A48,'Данные 1st'!$SM$2:$SM$317),"")</f>
        <v>0</v>
      </c>
      <c r="IT48" s="7">
        <f>IFERROR(AVERAGEIF('Данные 1st'!$S$2:$S$317,$A48,'Данные 1st'!$SN$2:$SN$317),"")</f>
        <v>0</v>
      </c>
      <c r="IU48" s="7">
        <f>IFERROR(AVERAGEIF('Данные 1st'!$S$2:$S$317,$A48,'Данные 1st'!$SO$2:$SO$317),"")</f>
        <v>0</v>
      </c>
      <c r="IV48" s="7">
        <f>IFERROR(AVERAGEIF('Данные 1st'!$S$2:$S$317,$A48,'Данные 1st'!$SP$2:$SP$317),"")</f>
        <v>0</v>
      </c>
      <c r="IW48" s="7">
        <f>IFERROR(AVERAGEIF('Данные 1st'!$S$2:$S$317,$A48,'Данные 1st'!$SQ$2:$SQ$317),"")</f>
        <v>0</v>
      </c>
      <c r="IX48" s="7">
        <f>IFERROR(AVERAGEIF('Данные 1st'!$S$2:$S$317,$A48,'Данные 1st'!$SR$2:$SR$317),"")</f>
        <v>0</v>
      </c>
      <c r="IY48" s="7">
        <f>IFERROR(AVERAGEIF('Данные 1st'!$S$2:$S$317,$A48,'Данные 1st'!$SS$2:$SS$317),"")</f>
        <v>0</v>
      </c>
      <c r="IZ48" s="7">
        <f>IFERROR(AVERAGEIF('Данные 1st'!$S$2:$S$317,$A48,'Данные 1st'!$ST$2:$ST$317),"")</f>
        <v>0</v>
      </c>
      <c r="JA48" s="7">
        <f>IFERROR(AVERAGEIF('Данные 1st'!$S$2:$S$317,$A48,'Данные 1st'!$SU$2:$SU$317),"")</f>
        <v>0</v>
      </c>
      <c r="JB48" s="7">
        <f>IFERROR(AVERAGEIF('Данные 1st'!$S$2:$S$317,$A48,'Данные 1st'!$SV$2:$SV$317),"")</f>
        <v>0</v>
      </c>
      <c r="JC48" s="7">
        <f>IFERROR(AVERAGEIF('Данные 1st'!$S$2:$S$317,$A48,'Данные 1st'!$SW$2:$SW$317),"")</f>
        <v>0</v>
      </c>
      <c r="JD48" s="7">
        <f>IFERROR(AVERAGEIF('Данные 1st'!$S$2:$S$317,$A48,'Данные 1st'!$SX$2:$SX$317),"")</f>
        <v>0</v>
      </c>
      <c r="JE48" s="7">
        <f>IFERROR(AVERAGEIF('Данные 1st'!$S$2:$S$317,$A48,'Данные 1st'!$SY$2:$SY$317),"")</f>
        <v/>
      </c>
      <c r="JF48" s="7">
        <f>IFERROR(AVERAGEIF('Данные 1st'!$S$2:$S$317,$A48,'Данные 1st'!$SZ$2:$SZ$317),"")</f>
        <v>1</v>
      </c>
      <c r="JG48" s="7">
        <f>IFERROR(AVERAGEIF('Данные 1st'!$S$2:$S$317,$A48,'Данные 1st'!$TA$2:$TA$317),"")</f>
        <v/>
      </c>
      <c r="JH48" s="7">
        <f>IFERROR(AVERAGEIF('Данные 1st'!$S$2:$S$317,$A48,'Данные 1st'!$TB$2:$TB$317),"")</f>
        <v>0</v>
      </c>
      <c r="JI48" s="7">
        <f>IFERROR(AVERAGEIF('Данные 1st'!$S$2:$S$317,$A48,'Данные 1st'!$TC$2:$TC$317),"")</f>
        <v>0</v>
      </c>
      <c r="JJ48" s="7">
        <f>IFERROR(AVERAGEIF('Данные 1st'!$S$2:$S$317,$A48,'Данные 1st'!$TD$2:$TD$317),"")</f>
        <v>7.5</v>
      </c>
      <c r="JK48" s="7">
        <f>IFERROR(AVERAGEIF('Данные 1st'!$S$2:$S$317,$A48,'Данные 1st'!$TN$2:$TN$317),"")</f>
        <v>0</v>
      </c>
      <c r="JL48">
        <f>COUNTIF('Данные 2st'!$Q$2:$Q$317,$A48)</f>
        <v>3</v>
      </c>
      <c r="JM48" s="6" t="s">
        <v>5107</v>
      </c>
      <c r="JN48" s="6" t="s">
        <v>513</v>
      </c>
      <c r="JO48" s="6" t="s">
        <v>5125</v>
      </c>
      <c r="JP48" s="6" t="s">
        <v>5502</v>
      </c>
      <c r="JQ48" s="7">
        <f>IFERROR(AVERAGEIF('Данные 2st'!$Q$2:$Q$317,$A48,'Данные 2st'!$AC$2:$AC$317),"")</f>
        <v>10.666666666666666</v>
      </c>
      <c r="JR48" s="7">
        <f>IFERROR(AVERAGEIF('Данные 2st'!$Q$2:$Q$317,$A48,'Данные 2st'!$AF$2:$AF$317),"")</f>
        <v>5438</v>
      </c>
      <c r="JS48" s="7">
        <f>IFERROR(AVERAGEIF('Данные 2st'!$Q$2:$Q$317,$A48,'Данные 2st'!$AW$2:$AW$317),"")</f>
        <v>6.4</v>
      </c>
      <c r="JT48" s="7">
        <f>IFERROR(AVERAGEIF('Данные 2st'!$Q$2:$Q$317,$A48,'Данные 2st'!$AX$2:$AX$317),"")</f>
        <v>-6</v>
      </c>
      <c r="JU48" s="7">
        <f>IFERROR(AVERAGEIF('Данные 2st'!$Q$2:$Q$317,$A48,'Данные 2st'!$AY$2:$AY$317),"")</f>
        <v>103.16666666666667</v>
      </c>
      <c r="JV48" s="7">
        <f>IFERROR(AVERAGEIF('Данные 2st'!$Q$2:$Q$317,$A48,'Данные 2st'!$AZ$2:$AZ$317),"")</f>
        <v>78.83333333333333</v>
      </c>
      <c r="JW48" s="7">
        <f>IFERROR(AVERAGEIF('Данные 2st'!$Q$2:$Q$317,$A48,'Данные 2st'!$BA$2:$BA$317),"")</f>
        <v>0</v>
      </c>
      <c r="JX48" s="7">
        <f>IFERROR(AVERAGEIF('Данные 2st'!$Q$2:$Q$317,$A48,'Данные 2st'!$BB$2:$BB$317),"")</f>
        <v>0</v>
      </c>
      <c r="JY48" s="7">
        <f>IFERROR(AVERAGEIF('Данные 2st'!$Q$2:$Q$317,$A48,'Данные 2st'!$BC$2:$BC$317),"")</f>
        <v>0</v>
      </c>
      <c r="JZ48" s="7">
        <f>IFERROR(AVERAGEIF('Данные 2st'!$Q$2:$Q$317,$A48,'Данные 2st'!$BH$2:$BH$317),"")</f>
        <v>103.16666666666667</v>
      </c>
      <c r="KA48" s="7">
        <f>IFERROR(AVERAGEIF('Данные 2st'!$Q$2:$Q$317,$A48,'Данные 2st'!$BI$2:$BI$317),"")</f>
        <v>24.333333333333332</v>
      </c>
      <c r="KB48" s="7">
        <f>IFERROR(AVERAGEIF('Данные 2st'!$Q$2:$Q$317,$A48,'Данные 2st'!$BJ$2:$BJ$317),"")</f>
        <v>78.83333333333333</v>
      </c>
      <c r="KC48" s="7">
        <f>IFERROR(AVERAGEIF('Данные 2st'!$Q$2:$Q$317,$A48,'Данные 2st'!$BK$2:$BK$317),"")</f>
        <v>3.1666666666666665</v>
      </c>
      <c r="KD48" s="7">
        <f>IFERROR(AVERAGEIF('Данные 2st'!$Q$2:$Q$317,$A48,'Данные 2st'!$BL$2:$BL$317),"")</f>
        <v>206.33333333333334</v>
      </c>
      <c r="KE48" s="7">
        <f>IFERROR(AVERAGEIF('Данные 2st'!$Q$2:$Q$317,$A48,'Данные 2st'!$BM$2:$BM$317),"")</f>
        <v>-6</v>
      </c>
      <c r="KF48" s="7">
        <f>IFERROR(AVERAGEIF('Данные 2st'!$Q$2:$Q$317,$A48,'Данные 2st'!$BN$2:$BN$317),"")</f>
        <v>0</v>
      </c>
      <c r="KG48" s="7">
        <f>IFERROR(AVERAGEIF('Данные 2st'!$Q$2:$Q$317,$A48,'Данные 2st'!$BO$2:$BO$317),"")</f>
        <v/>
      </c>
      <c r="KH48" s="7">
        <f>IFERROR(AVERAGEIF('Данные 2st'!$Q$2:$Q$317,$A48,'Данные 2st'!$BP$2:$BP$317),"")</f>
        <v>0</v>
      </c>
      <c r="KI48" s="7">
        <f>IFERROR(AVERAGEIF('Данные 2st'!$Q$2:$Q$317,$A48,'Данные 2st'!$BR$2:$BR$317),"")</f>
        <v>200</v>
      </c>
      <c r="KJ48" s="7">
        <f>IFERROR(AVERAGEIF('Данные 2st'!$Q$2:$Q$317,$A48,'Данные 2st'!$BS$2:$BS$317),"")</f>
        <v>190</v>
      </c>
      <c r="KK48" s="7">
        <f>IFERROR(AVERAGEIF('Данные 2st'!$Q$2:$Q$317,$A48,'Данные 2st'!$BT$2:$BT$317),"")</f>
        <v>2088.3333333333335</v>
      </c>
      <c r="KL48" s="7">
        <f>IFERROR(AVERAGEIF('Данные 2st'!$Q$2:$Q$317,$A48,'Данные 2st'!$CV$2:$CV$317),"")</f>
        <v>129.33333333333334</v>
      </c>
      <c r="KM48" s="7">
        <f>IFERROR(AVERAGEIF('Данные 2st'!$Q$2:$Q$317,$A48,'Данные 2st'!$CW$2:$CW$317),"")</f>
        <v>3</v>
      </c>
      <c r="KN48" s="7">
        <f>IFERROR(AVERAGEIF('Данные 2st'!$Q$2:$Q$317,$A48,'Данные 2st'!$CX$2:$CX$317),"")</f>
        <v>94</v>
      </c>
      <c r="KO48" s="7">
        <f>IFERROR(AVERAGEIF('Данные 2st'!$Q$2:$Q$317,$A48,'Данные 2st'!$CY$2:$CY$317),"")</f>
        <v>5</v>
      </c>
      <c r="KP48" s="7">
        <f>IFERROR(AVERAGEIF('Данные 2st'!$Q$2:$Q$317,$A48,'Данные 2st'!$CZ$2:$CZ$317),"")</f>
        <v>123.66666666666667</v>
      </c>
      <c r="KQ48" s="7">
        <f>IFERROR(AVERAGEIF('Данные 2st'!$Q$2:$Q$317,$A48,'Данные 2st'!$DA$2:$DA$317),"")</f>
        <v>5</v>
      </c>
      <c r="KR48" s="7">
        <f>IFERROR(AVERAGEIF('Данные 2st'!$Q$2:$Q$317,$A48,'Данные 2st'!$DB$2:$DB$317),"")</f>
        <v>12346.666666666666</v>
      </c>
      <c r="KS48" s="7">
        <f>IFERROR(AVERAGEIF('Данные 2st'!$Q$2:$Q$317,$A48,'Данные 2st'!$DC$2:$DC$317),"")</f>
        <v>336.6666666666667</v>
      </c>
      <c r="KT48" s="7">
        <f>IFERROR(AVERAGEIF('Данные 2st'!$Q$2:$Q$317,$A48,'Данные 2st'!$DD$2:$DD$317),"")</f>
        <v>343.3333333333333</v>
      </c>
      <c r="KU48" s="7">
        <f>IFERROR(AVERAGEIF('Данные 2st'!$Q$2:$Q$317,$A48,'Данные 2st'!$DE$2:$DE$317),"")</f>
        <v>2206.6666666666665</v>
      </c>
      <c r="KV48" s="7">
        <f>IFERROR(AVERAGEIF('Данные 2st'!$Q$2:$Q$317,$A48,'Данные 2st'!$DF$2:$DF$317),"")</f>
        <v>2206.6666666666665</v>
      </c>
      <c r="KW48" s="7">
        <f>IFERROR(AVERAGEIF('Данные 2st'!$Q$2:$Q$317,$A48,'Данные 2st'!$DG$2:$DG$317),"")</f>
        <v>2220.6666666666665</v>
      </c>
      <c r="KX48" s="7">
        <f>IFERROR(AVERAGEIF('Данные 2st'!$Q$2:$Q$317,$A48,'Данные 2st'!$DH$2:$DH$317),"")</f>
        <v/>
      </c>
      <c r="KY48" s="7">
        <f>IFERROR(AVERAGEIF('Данные 2st'!$Q$2:$Q$317,$A48,'Данные 2st'!$DI$2:$DI$317),"")</f>
        <v/>
      </c>
      <c r="KZ48" s="7">
        <f>IFERROR(AVERAGEIF('Данные 2st'!$Q$2:$Q$317,$A48,'Данные 2st'!$DK$2:$DK$317),"")</f>
        <v>200</v>
      </c>
      <c r="LA48" s="7">
        <f>IFERROR(AVERAGEIF('Данные 2st'!$Q$2:$Q$317,$A48,'Данные 2st'!$DM$2:$DM$317),"")</f>
        <v>64.33333333333333</v>
      </c>
      <c r="LB48" s="7">
        <f>IFERROR(AVERAGEIF('Данные 2st'!$Q$2:$Q$317,$A48,'Данные 2st'!$DN$2:$DN$317),"")</f>
        <v>1.1666666666666667</v>
      </c>
      <c r="LC48" s="7">
        <f>IFERROR(AVERAGEIF('Данные 2st'!$Q$2:$Q$317,$A48,'Данные 2st'!$DO$2:$DO$317),"")</f>
        <v>1</v>
      </c>
      <c r="LD48" s="7">
        <f>IFERROR(AVERAGEIF('Данные 2st'!$Q$2:$Q$317,$A48,'Данные 2st'!$DP$2:$DP$317),"")</f>
        <v>2092</v>
      </c>
      <c r="LE48" s="7">
        <f>IFERROR(AVERAGEIF('Данные 2st'!$Q$2:$Q$317,$A48,'Данные 2st'!$DQ$2:$DQ$317),"")</f>
        <v>943</v>
      </c>
      <c r="LF48" s="7">
        <f>IFERROR(AVERAGEIF('Данные 2st'!$Q$2:$Q$317,$A48,'Данные 2st'!$DS$2:$DS$317),"")</f>
        <v>190</v>
      </c>
      <c r="LG48" s="7">
        <f>IFERROR(AVERAGEIF('Данные 2st'!$Q$2:$Q$317,$A48,'Данные 2st'!$DU$2:$DU$317),"")</f>
        <v>64.33333333333333</v>
      </c>
      <c r="LH48" s="7">
        <f>IFERROR(AVERAGEIF('Данные 2st'!$Q$2:$Q$317,$A48,'Данные 2st'!$DV$2:$DV$317),"")</f>
        <v>1.1666666666666667</v>
      </c>
      <c r="LI48" s="7">
        <f>IFERROR(AVERAGEIF('Данные 2st'!$Q$2:$Q$317,$A48,'Данные 2st'!$DW$2:$DW$317),"")</f>
        <v>1</v>
      </c>
      <c r="LJ48" s="7">
        <f>IFERROR(AVERAGEIF('Данные 2st'!$Q$2:$Q$317,$A48,'Данные 2st'!$DX$2:$DX$317),"")</f>
        <v>2104</v>
      </c>
      <c r="LK48" s="7">
        <f>IFERROR(AVERAGEIF('Данные 2st'!$Q$2:$Q$317,$A48,'Данные 2st'!$DY$2:$DY$317),"")</f>
        <v>900.3333333333334</v>
      </c>
      <c r="LL48" s="7">
        <f>IFERROR(AVERAGEIF('Данные 2st'!$Q$2:$Q$317,$A48,'Данные 2st'!$EA$2:$EA$317),"")</f>
        <v>20</v>
      </c>
      <c r="LM48" s="7">
        <f>IFERROR(AVERAGEIF('Данные 2st'!$Q$2:$Q$317,$A48,'Данные 2st'!$EC$2:$EC$317),"")</f>
        <v>0.8</v>
      </c>
      <c r="LN48" s="7">
        <f>IFERROR(AVERAGEIF('Данные 2st'!$Q$2:$Q$317,$A48,'Данные 2st'!$ED$2:$ED$317),"")</f>
        <v>2092</v>
      </c>
      <c r="LO48" s="7">
        <f>IFERROR(AVERAGEIF('Данные 2st'!$Q$2:$Q$317,$A48,'Данные 2st'!$EE$2:$EE$317),"")</f>
        <v>73</v>
      </c>
      <c r="LP48" s="7">
        <f>IFERROR(AVERAGEIF('Данные 2st'!$Q$2:$Q$317,$A48,'Данные 2st'!$EG$2:$EG$317),"")</f>
        <v>0</v>
      </c>
      <c r="LQ48" s="7">
        <f>IFERROR(AVERAGEIF('Данные 2st'!$Q$2:$Q$317,$A48,'Данные 2st'!$EI$2:$EI$317),"")</f>
        <v>0</v>
      </c>
      <c r="LR48" s="7">
        <f>IFERROR(AVERAGEIF('Данные 2st'!$Q$2:$Q$317,$A48,'Данные 2st'!$EJ$2:$EJ$317),"")</f>
        <v/>
      </c>
      <c r="LS48" s="7">
        <f>IFERROR(AVERAGEIF('Данные 2st'!$Q$2:$Q$317,$A48,'Данные 2st'!$EK$2:$EK$317),"")</f>
        <v/>
      </c>
      <c r="LT48" s="7">
        <f>IFERROR(AVERAGEIF('Данные 2st'!$Q$2:$Q$317,$A48,'Данные 2st'!$EM$2:$EM$317),"")</f>
        <v>12</v>
      </c>
      <c r="LU48" s="7">
        <f>IFERROR(AVERAGEIF('Данные 2st'!$Q$2:$Q$317,$A48,'Данные 2st'!$EN$2:$EN$317),"")</f>
        <v>0.5</v>
      </c>
      <c r="LV48" s="7">
        <f>IFERROR(AVERAGEIF('Данные 2st'!$Q$2:$Q$317,$A48,'Данные 2st'!$EO$2:$EO$317),"")</f>
        <v>0.96</v>
      </c>
      <c r="LW48" s="7">
        <f>IFERROR(AVERAGEIF('Данные 2st'!$Q$2:$Q$317,$A48,'Данные 2st'!$EP$2:$EP$317),"")</f>
        <v>2102.9966666666664</v>
      </c>
      <c r="LX48" s="7">
        <f>IFERROR(AVERAGEIF('Данные 2st'!$Q$2:$Q$317,$A48,'Данные 2st'!$EQ$2:$EQ$317),"")</f>
        <v>35869.46333333333</v>
      </c>
      <c r="LY48" s="7">
        <f>IFERROR(AVERAGEIF('Данные 2st'!$Q$2:$Q$317,$A48,'Данные 2st'!$ER$2:$ER$317),"")</f>
        <v>8045.240000000001</v>
      </c>
      <c r="LZ48" s="7">
        <f>IFERROR(AVERAGEIF('Данные 2st'!$Q$2:$Q$317,$A48,'Данные 2st'!$ES$2:$ES$317),"")</f>
        <v>0</v>
      </c>
      <c r="MA48" s="7">
        <f>IFERROR(AVERAGEIF('Данные 2st'!$Q$2:$Q$317,$A48,'Данные 2st'!$ET$2:$ET$317),"")</f>
        <v>0</v>
      </c>
      <c r="MB48" s="7">
        <f>IFERROR(AVERAGEIF('Данные 2st'!$Q$2:$Q$317,$A48,'Данные 2st'!$EU$2:$EU$317),"")</f>
        <v>1</v>
      </c>
      <c r="MC48" s="7">
        <f>IFERROR(AVERAGEIF('Данные 2st'!$Q$2:$Q$317,$A48,'Данные 2st'!$EV$2:$EV$317),"")</f>
        <v>43915.333333333336</v>
      </c>
      <c r="MD48" s="7">
        <f>IFERROR(AVERAGEIF('Данные 2st'!$Q$2:$Q$317,$A48,'Данные 2st'!$EW$2:$EW$317),"")</f>
        <v>527.6666666666666</v>
      </c>
      <c r="ME48" s="7">
        <f>IFERROR(AVERAGEIF('Данные 2st'!$Q$2:$Q$317,$A48,'Данные 2st'!$EY$2:$EY$317),"")</f>
        <v>222.66666666666666</v>
      </c>
      <c r="MF48" s="7">
        <f>IFERROR(AVERAGEIF('Данные 2st'!$Q$2:$Q$317,$A48,'Данные 2st'!$FA$2:$FA$317),"")</f>
        <v>5.433333333333334</v>
      </c>
      <c r="MG48" s="7">
        <f>IFERROR(AVERAGEIF('Данные 2st'!$Q$2:$Q$317,$A48,'Данные 2st'!$FB$2:$FB$317),"")</f>
        <v>1</v>
      </c>
      <c r="MH48" s="7">
        <f>IFERROR(AVERAGEIF('Данные 2st'!$Q$2:$Q$317,$A48,'Данные 2st'!$FC$2:$FC$317),"")</f>
        <v>1</v>
      </c>
      <c r="MI48" s="7">
        <f>IFERROR(AVERAGEIF('Данные 2st'!$Q$2:$Q$317,$A48,'Данные 2st'!$FD$2:$FD$317),"")</f>
        <v>2135.6666666666665</v>
      </c>
      <c r="MJ48" s="7">
        <f>IFERROR(AVERAGEIF('Данные 2st'!$Q$2:$Q$317,$A48,'Данные 2st'!$FE$2:$FE$317),"")</f>
        <v>2758.6666666666665</v>
      </c>
      <c r="MK48" s="7">
        <f>IFERROR(AVERAGEIF('Данные 2st'!$Q$2:$Q$317,$A48,'Данные 2st'!$FG$2:$FG$317),"")</f>
        <v>222.66666666666666</v>
      </c>
      <c r="ML48" s="7">
        <f>IFERROR(AVERAGEIF('Данные 2st'!$Q$2:$Q$317,$A48,'Данные 2st'!$FI$2:$FI$317),"")</f>
        <v>2.5</v>
      </c>
      <c r="MM48" s="7">
        <f>IFERROR(AVERAGEIF('Данные 2st'!$Q$2:$Q$317,$A48,'Данные 2st'!$FJ$2:$FJ$317),"")</f>
        <v>2135.6666666666665</v>
      </c>
      <c r="MN48" s="7">
        <f>IFERROR(AVERAGEIF('Данные 2st'!$Q$2:$Q$317,$A48,'Данные 2st'!$FK$2:$FK$317),"")</f>
        <v>1279.6666666666667</v>
      </c>
      <c r="MO48" s="7">
        <f>IFERROR(AVERAGEIF('Данные 2st'!$Q$2:$Q$317,$A48,'Данные 2st'!$FP$2:$FP$317),"")</f>
        <v>2135.6666666666665</v>
      </c>
      <c r="MP48" s="7">
        <f>IFERROR(AVERAGEIF('Данные 2st'!$Q$2:$Q$317,$A48,'Данные 2st'!$FQ$2:$FQ$317),"")</f>
        <v>185</v>
      </c>
      <c r="MQ48" s="7">
        <f>IFERROR(AVERAGEIF('Данные 2st'!$Q$2:$Q$317,$A48,'Данные 2st'!$FS$2:$FS$317),"")</f>
        <v>226.66666666666666</v>
      </c>
      <c r="MR48" s="7">
        <f>IFERROR(AVERAGEIF('Данные 2st'!$Q$2:$Q$317,$A48,'Данные 2st'!$FU$2:$FU$317),"")</f>
        <v>0.4</v>
      </c>
      <c r="MS48" s="7">
        <f>IFERROR(AVERAGEIF('Данные 2st'!$Q$2:$Q$317,$A48,'Данные 2st'!$FV$2:$FV$317),"")</f>
        <v>2135.6666666666665</v>
      </c>
      <c r="MT48" s="7">
        <f>IFERROR(AVERAGEIF('Данные 2st'!$Q$2:$Q$317,$A48,'Данные 2st'!$FW$2:$FW$317),"")</f>
        <v>215.33333333333334</v>
      </c>
      <c r="MU48" s="7">
        <f>IFERROR(AVERAGEIF('Данные 2st'!$Q$2:$Q$317,$A48,'Данные 2st'!$FY$2:$FY$317),"")</f>
        <v>5</v>
      </c>
      <c r="MV48" s="7">
        <f>IFERROR(AVERAGEIF('Данные 2st'!$Q$2:$Q$317,$A48,'Данные 2st'!$GB$2:$GB$317),"")</f>
        <v>2135.6666666666665</v>
      </c>
      <c r="MW48" s="7">
        <f>IFERROR(AVERAGEIF('Данные 2st'!$Q$2:$Q$317,$A48,'Данные 2st'!$GC$2:$GC$317),"")</f>
        <v>20.666666666666668</v>
      </c>
      <c r="MX48" s="7">
        <f>IFERROR(AVERAGEIF('Данные 2st'!$Q$2:$Q$317,$A48,'Данные 2st'!$GD$2:$GD$317),"")</f>
        <v>4459.333333333333</v>
      </c>
      <c r="MY48" s="7">
        <f>IFERROR(AVERAGEIF('Данные 2st'!$Q$2:$Q$317,$A48,'Данные 2st'!$GN$2:$GN$317),"")</f>
        <v/>
      </c>
      <c r="MZ48" s="7">
        <f>IFERROR(AVERAGEIF('Данные 2st'!$Q$2:$Q$317,$A48,'Данные 2st'!$GQ$2:$GQ$317),"")</f>
        <v>0</v>
      </c>
      <c r="NA48" s="7">
        <f>IFERROR(AVERAGEIF('Данные 2st'!$Q$2:$Q$317,$A48,'Данные 2st'!$GV$2:$GV$317),"")</f>
        <v>8.333333333333334</v>
      </c>
      <c r="NB48" s="7">
        <f>IFERROR(AVERAGEIF('Данные 2st'!$Q$2:$Q$317,$A48,'Данные 2st'!$GW$2:$GW$317),"")</f>
        <v>9.433333333333334</v>
      </c>
      <c r="NC48" s="7">
        <f>IFERROR(AVERAGEIF('Данные 2st'!$Q$2:$Q$317,$A48,'Данные 2st'!$GX$2:$GX$317),"")</f>
        <v>0.5</v>
      </c>
      <c r="ND48" s="7">
        <f>IFERROR(AVERAGEIF('Данные 2st'!$Q$2:$Q$317,$A48,'Данные 2st'!$GY$2:$GY$317),"")</f>
        <v>194</v>
      </c>
      <c r="NE48" s="7">
        <f>IFERROR(AVERAGEIF('Данные 2st'!$Q$2:$Q$317,$A48,'Данные 2st'!$GZ$2:$GZ$317),"")</f>
        <v>3</v>
      </c>
      <c r="NF48" s="7">
        <f>IFERROR(AVERAGEIF('Данные 2st'!$Q$2:$Q$317,$A48,'Данные 2st'!$HA$2:$HA$317),"")</f>
        <v>243.33333333333334</v>
      </c>
      <c r="NG48" s="7">
        <f>IFERROR(AVERAGEIF('Данные 2st'!$Q$2:$Q$317,$A48,'Данные 2st'!$HB$2:$HB$317),"")</f>
        <v>3</v>
      </c>
      <c r="NH48" s="7">
        <f>IFERROR(AVERAGEIF('Данные 2st'!$Q$2:$Q$317,$A48,'Данные 2st'!$HC$2:$HC$317),"")</f>
        <v>2135.6666666666665</v>
      </c>
      <c r="NI48" s="7">
        <f>IFERROR(AVERAGEIF('Данные 2st'!$Q$2:$Q$317,$A48,'Данные 2st'!$HD$2:$HD$317),"")</f>
        <v>4</v>
      </c>
      <c r="NJ48" s="7">
        <f>IFERROR(AVERAGEIF('Данные 2st'!$Q$2:$Q$317,$A48,'Данные 2st'!$HM$2:$HM$317),"")</f>
        <v>18</v>
      </c>
      <c r="NK48" s="7">
        <f>IFERROR(AVERAGEIF('Данные 2st'!$Q$2:$Q$317,$A48,'Данные 2st'!$HR$2:$HR$317),"")</f>
        <v>2.6666666666666665</v>
      </c>
      <c r="NL48" s="7">
        <f>IFERROR(AVERAGEIF('Данные 2st'!$Q$2:$Q$317,$A48,'Данные 2st'!$HS$2:$HS$317),"")</f>
        <v>2088.3333333333335</v>
      </c>
      <c r="NM48" s="7">
        <f>IFERROR(AVERAGEIF('Данные 2st'!$Q$2:$Q$317,$A48,'Данные 2st'!$HT$2:$HT$317),"")</f>
        <v>5</v>
      </c>
      <c r="NN48" s="7">
        <f>IFERROR(AVERAGEIF('Данные 2st'!$Q$2:$Q$317,$A48,'Данные 2st'!$HY$2:$HY$317),"")</f>
        <v>0</v>
      </c>
      <c r="NO48" s="7">
        <f>IFERROR(AVERAGEIF('Данные 2st'!$Q$2:$Q$317,$A48,'Данные 2st'!$HZ$2:$HZ$317),"")</f>
        <v>64.33333333333333</v>
      </c>
      <c r="NP48" s="7">
        <f>IFERROR(AVERAGEIF('Данные 2st'!$Q$2:$Q$317,$A48,'Данные 2st'!$IA$2:$IA$317),"")</f>
        <v>2092</v>
      </c>
      <c r="NQ48" s="7">
        <f>IFERROR(AVERAGEIF('Данные 2st'!$Q$2:$Q$317,$A48,'Данные 2st'!$IB$2:$IB$317),"")</f>
        <v>2104</v>
      </c>
      <c r="NR48" s="7">
        <f>IFERROR(AVERAGEIF('Данные 2st'!$Q$2:$Q$317,$A48,'Данные 2st'!$IC$2:$IC$317),"")</f>
        <v/>
      </c>
      <c r="NS48" s="7">
        <f>IFERROR(AVERAGEIF('Данные 2st'!$Q$2:$Q$317,$A48,'Данные 2st'!$ID$2:$ID$317),"")</f>
        <v>2135.6666666666665</v>
      </c>
      <c r="NT48" s="7">
        <f>IFERROR(AVERAGEIF('Данные 2st'!$Q$2:$Q$317,$A48,'Данные 2st'!$IE$2:$IE$317),"")</f>
        <v>2135.6666666666665</v>
      </c>
      <c r="NU48" s="7">
        <f>IFERROR(AVERAGEIF('Данные 2st'!$Q$2:$Q$317,$A48,'Данные 2st'!$IF$2:$IF$317),"")</f>
        <v>200</v>
      </c>
      <c r="NV48" s="7">
        <f>IFERROR(AVERAGEIF('Данные 2st'!$Q$2:$Q$317,$A48,'Данные 2st'!$IG$2:$IG$317),"")</f>
        <v>190</v>
      </c>
      <c r="NW48" s="7">
        <f>IFERROR(AVERAGEIF('Данные 2st'!$Q$2:$Q$317,$A48,'Данные 2st'!$IH$2:$IH$317),"")</f>
        <v>243.33333333333334</v>
      </c>
      <c r="NX48" s="7">
        <f>IFERROR(AVERAGEIF('Данные 2st'!$Q$2:$Q$317,$A48,'Данные 2st'!$IJ$2:$IJ$317),"")</f>
        <v>5</v>
      </c>
      <c r="NY48" s="7">
        <f>IFERROR(AVERAGEIF('Данные 2st'!$Q$2:$Q$317,$A48,'Данные 2st'!$IM$2:$IM$317),"")</f>
        <v>0</v>
      </c>
      <c r="NZ48" s="7">
        <f>IFERROR(AVERAGEIF('Данные 2st'!$Q$2:$Q$317,$A48,'Данные 2st'!$IN$2:$IN$317),"")</f>
        <v>270</v>
      </c>
      <c r="OA48" s="7">
        <f>IFERROR(AVERAGEIF('Данные 2st'!$Q$2:$Q$317,$A48,'Данные 2st'!$IO$2:$IO$317),"")</f>
        <v>0</v>
      </c>
      <c r="OB48" s="7">
        <f>IFERROR(AVERAGEIF('Данные 2st'!$Q$2:$Q$317,$A48,'Данные 2st'!$IP$2:$IP$317),"")</f>
        <v>180</v>
      </c>
      <c r="OC48" s="7">
        <f>IFERROR(AVERAGEIF('Данные 2st'!$Q$2:$Q$317,$A48,'Данные 2st'!$IQ$2:$IQ$317),"")</f>
        <v>0</v>
      </c>
      <c r="OD48" s="7">
        <f>IFERROR(AVERAGEIF('Данные 2st'!$Q$2:$Q$317,$A48,'Данные 2st'!$IR$2:$IR$317),"")</f>
        <v>330</v>
      </c>
      <c r="OE48" s="7">
        <f>IFERROR(AVERAGEIF('Данные 2st'!$Q$2:$Q$317,$A48,'Данные 2st'!$IT$2:$IT$317),"")</f>
        <v>90</v>
      </c>
      <c r="OF48" s="7">
        <f>IFERROR(AVERAGEIF('Данные 2st'!$Q$2:$Q$317,$A48,'Данные 2st'!$IU$2:$IU$317),"")</f>
        <v>0</v>
      </c>
      <c r="OG48" s="7">
        <f>IFERROR(AVERAGEIF('Данные 2st'!$Q$2:$Q$317,$A48,'Данные 2st'!$IV$2:$IV$317),"")</f>
        <v>6.4</v>
      </c>
      <c r="OH48" s="7">
        <f>IFERROR(AVERAGEIF('Данные 2st'!$Q$2:$Q$317,$A48,'Данные 2st'!$IW$2:$IW$317),"")</f>
        <v>-6</v>
      </c>
      <c r="OI48" s="7">
        <f>IFERROR(AVERAGEIF('Данные 2st'!$Q$2:$Q$317,$A48,'Данные 2st'!$IX$2:$IX$317),"")</f>
        <v>103.16666666666667</v>
      </c>
      <c r="OJ48" s="7">
        <f>IFERROR(AVERAGEIF('Данные 2st'!$Q$2:$Q$317,$A48,'Данные 2st'!$IY$2:$IY$317),"")</f>
        <v>78.83333333333333</v>
      </c>
      <c r="OK48" s="7">
        <f>IFERROR(AVERAGEIF('Данные 2st'!$Q$2:$Q$317,$A48,'Данные 2st'!$IZ$2:$IZ$317),"")</f>
        <v>0</v>
      </c>
      <c r="OL48" s="7">
        <f>IFERROR(AVERAGEIF('Данные 2st'!$Q$2:$Q$317,$A48,'Данные 2st'!$JA$2:$JA$317),"")</f>
        <v>0</v>
      </c>
      <c r="OM48" s="7">
        <f>IFERROR(AVERAGEIF('Данные 2st'!$Q$2:$Q$317,$A48,'Данные 2st'!$JB$2:$JB$317),"")</f>
        <v>0</v>
      </c>
      <c r="ON48" s="7">
        <f>IFERROR(AVERAGEIF('Данные 2st'!$Q$2:$Q$317,$A48,'Данные 2st'!$JC$2:$JC$317),"")</f>
        <v>0</v>
      </c>
      <c r="OO48" s="7">
        <f>IFERROR(AVERAGEIF('Данные 2st'!$Q$2:$Q$317,$A48,'Данные 2st'!$JD$2:$JD$317),"")</f>
        <v>0</v>
      </c>
      <c r="OP48" s="7">
        <f>IFERROR(AVERAGEIF('Данные 2st'!$Q$2:$Q$317,$A48,'Данные 2st'!$JE$2:$JE$317),"")</f>
        <v>0</v>
      </c>
      <c r="OQ48" s="7">
        <f>IFERROR(AVERAGEIF('Данные 2st'!$Q$2:$Q$317,$A48,'Данные 2st'!$JF$2:$JF$317),"")</f>
        <v>0</v>
      </c>
      <c r="OR48" s="7">
        <f>IFERROR(AVERAGEIF('Данные 2st'!$Q$2:$Q$317,$A48,'Данные 2st'!$JG$2:$JG$317),"")</f>
        <v>0</v>
      </c>
      <c r="OS48" s="7">
        <f>IFERROR(AVERAGEIF('Данные 2st'!$Q$2:$Q$317,$A48,'Данные 2st'!$JH$2:$JH$317),"")</f>
        <v>0</v>
      </c>
      <c r="OT48" s="7">
        <f>IFERROR(AVERAGEIF('Данные 2st'!$Q$2:$Q$317,$A48,'Данные 2st'!$JI$2:$JI$317),"")</f>
        <v>397.3333333333333</v>
      </c>
      <c r="OU48" s="7">
        <f>IFERROR(AVERAGEIF('Данные 2st'!$Q$2:$Q$317,$A48,'Данные 2st'!$JJ$2:$JJ$317),"")</f>
        <v>367.3333333333333</v>
      </c>
      <c r="OV48" s="7">
        <f>IFERROR(AVERAGEIF('Данные 2st'!$Q$2:$Q$317,$A48,'Данные 2st'!$JK$2:$JK$317),"")</f>
        <v>276</v>
      </c>
      <c r="OW48" s="7">
        <f>IFERROR(AVERAGEIF('Данные 2st'!$Q$2:$Q$317,$A48,'Данные 2st'!$JL$2:$JL$317),"")</f>
        <v>365.3333333333333</v>
      </c>
      <c r="OX48" s="7">
        <f>IFERROR(AVERAGEIF('Данные 2st'!$Q$2:$Q$317,$A48,'Данные 2st'!$JM$2:$JM$317),"")</f>
        <v>281.6666666666667</v>
      </c>
      <c r="OY48" s="7">
        <f>IFERROR(AVERAGEIF('Данные 2st'!$Q$2:$Q$317,$A48,'Данные 2st'!$JP$2:$JP$317),"")</f>
        <v>217.66666666666666</v>
      </c>
      <c r="OZ48" s="7">
        <f>IFERROR(AVERAGEIF('Данные 2st'!$Q$2:$Q$317,$A48,'Данные 2st'!$JQ$2:$JQ$317),"")</f>
        <v>248.33333333333334</v>
      </c>
      <c r="PA48" s="7">
        <f>IFERROR(AVERAGEIF('Данные 2st'!$Q$2:$Q$317,$A48,'Данные 2st'!$JR$2:$JR$317),"")</f>
        <v>318.3333333333333</v>
      </c>
      <c r="PB48" s="7">
        <f>IFERROR(AVERAGEIF('Данные 2st'!$Q$2:$Q$317,$A48,'Данные 2st'!$JS$2:$JS$317),"")</f>
        <v>235</v>
      </c>
      <c r="PC48" s="7">
        <f>IFERROR(AVERAGEIF('Данные 2st'!$Q$2:$Q$317,$A48,'Данные 2st'!$JT$2:$JT$317),"")</f>
        <v>0</v>
      </c>
      <c r="PD48" s="7">
        <f>IFERROR(AVERAGEIF('Данные 2st'!$Q$2:$Q$317,$A48,'Данные 2st'!$JU$2:$JU$317),"")</f>
        <v>0</v>
      </c>
      <c r="PE48" s="7">
        <f>IFERROR(AVERAGEIF('Данные 2st'!$Q$2:$Q$317,$A48,'Данные 2st'!$JV$2:$JV$317),"")</f>
        <v>305</v>
      </c>
      <c r="PF48" s="7">
        <f>IFERROR(AVERAGEIF('Данные 2st'!$Q$2:$Q$317,$A48,'Данные 2st'!$JW$2:$JW$317),"")</f>
        <v>322.3333333333333</v>
      </c>
      <c r="PG48" s="7">
        <f>IFERROR(AVERAGEIF('Данные 2st'!$Q$2:$Q$317,$A48,'Данные 2st'!$KF$2:$KF$317),"")</f>
        <v>0.17333333333333334</v>
      </c>
      <c r="PH48" s="7">
        <f>IFERROR(AVERAGEIF('Данные 2st'!$Q$2:$Q$317,$A48,'Данные 2st'!$KG$2:$KG$317),"")</f>
        <v>0.10333333333333333</v>
      </c>
      <c r="PI48" s="7">
        <f>IFERROR(AVERAGEIF('Данные 2st'!$Q$2:$Q$317,$A48,'Данные 2st'!$KM$2:$KM$317),"")</f>
        <v>1.0</v>
      </c>
      <c r="PJ48" s="7">
        <f>IFERROR(AVERAGEIF('Данные 2st'!$Q$2:$Q$317,$A48,'Данные 2st'!$KN$2:$KN$317),"")</f>
        <v>1.4666666666666666</v>
      </c>
      <c r="PK48" s="7">
        <f>IFERROR(AVERAGEIF('Данные 2st'!$Q$2:$Q$317,$A48,'Данные 2st'!$KO$2:$KO$317),"")</f>
        <v>0</v>
      </c>
      <c r="PL48" s="7">
        <f>IFERROR(AVERAGEIF('Данные 2st'!$Q$2:$Q$317,$A48,'Данные 2st'!$KP$2:$KP$317),"")</f>
        <v>0</v>
      </c>
      <c r="PM48" s="7">
        <f>IFERROR(AVERAGEIF('Данные 2st'!$Q$2:$Q$317,$A48,'Данные 2st'!$KQ$2:$KQ$317),"")</f>
        <v>1</v>
      </c>
      <c r="PN48" s="7">
        <f>IFERROR(AVERAGEIF('Данные 2st'!$Q$2:$Q$317,$A48,'Данные 2st'!$KR$2:$KR$317),"")</f>
        <v>0.8</v>
      </c>
      <c r="PO48" s="7">
        <f>IFERROR(AVERAGEIF('Данные 2st'!$Q$2:$Q$317,$A48,'Данные 2st'!$KS$2:$KS$317),"")</f>
        <v>0</v>
      </c>
      <c r="PP48" s="7">
        <f>IFERROR(AVERAGEIF('Данные 2st'!$Q$2:$Q$317,$A48,'Данные 2st'!$KT$2:$KT$317),"")</f>
        <v>2.8666666666666667</v>
      </c>
      <c r="PQ48" s="7">
        <f>IFERROR(AVERAGEIF('Данные 2st'!$Q$2:$Q$317,$A48,'Данные 2st'!$KU$2:$KU$317),"")</f>
        <v>0</v>
      </c>
      <c r="PR48" s="7">
        <f>IFERROR(AVERAGEIF('Данные 2st'!$Q$2:$Q$317,$A48,'Данные 2st'!$KV$2:$KV$317),"")</f>
        <v>0</v>
      </c>
      <c r="PS48" s="7">
        <f>IFERROR(AVERAGEIF('Данные 2st'!$Q$2:$Q$317,$A48,'Данные 2st'!$KW$2:$KW$317),"")</f>
        <v>1.0666666666666667</v>
      </c>
      <c r="PT48" s="7">
        <f>IFERROR(AVERAGEIF('Данные 2st'!$Q$2:$Q$317,$A48,'Данные 2st'!$KX$2:$KX$317),"")</f>
        <v>2</v>
      </c>
      <c r="PU48" s="7">
        <f>IFERROR(AVERAGEIF('Данные 2st'!$Q$2:$Q$317,$A48,'Данные 2st'!$KY$2:$KY$317),"")</f>
        <v>0.3333333333333333</v>
      </c>
      <c r="PV48" s="7">
        <f>IFERROR(AVERAGEIF('Данные 2st'!$Q$2:$Q$317,$A48,'Данные 2st'!$KZ$2:$KZ$317),"")</f>
        <v>0</v>
      </c>
      <c r="PW48" s="7">
        <f>IFERROR(AVERAGEIF('Данные 2st'!$Q$2:$Q$317,$A48,'Данные 2st'!$LA$2:$LA$317),"")</f>
        <v>0</v>
      </c>
      <c r="PX48" s="7">
        <f>IFERROR(AVERAGEIF('Данные 2st'!$Q$2:$Q$317,$A48,'Данные 2st'!$LB$2:$LB$317),"")</f>
        <v>0</v>
      </c>
      <c r="PY48" s="7">
        <f>IFERROR(AVERAGEIF('Данные 2st'!$Q$2:$Q$317,$A48,'Данные 2st'!$LC$2:$LC$317),"")</f>
        <v>0</v>
      </c>
      <c r="PZ48" s="7">
        <f>IFERROR(AVERAGEIF('Данные 2st'!$Q$2:$Q$317,$A48,'Данные 2st'!$LD$2:$LD$317),"")</f>
        <v>0</v>
      </c>
      <c r="QA48" s="7">
        <f>IFERROR(AVERAGEIF('Данные 2st'!$Q$2:$Q$317,$A48,'Данные 2st'!$LE$2:$LE$317),"")</f>
        <v>0</v>
      </c>
      <c r="QB48" s="7">
        <f>IFERROR(AVERAGEIF('Данные 2st'!$Q$2:$Q$317,$A48,'Данные 2st'!$LF$2:$LF$317),"")</f>
        <v>0</v>
      </c>
      <c r="QC48" s="7">
        <f>IFERROR(AVERAGEIF('Данные 2st'!$Q$2:$Q$317,$A48,'Данные 2st'!$LG$2:$LG$317),"")</f>
        <v>0</v>
      </c>
      <c r="QD48" s="7">
        <f>IFERROR(AVERAGEIF('Данные 2st'!$Q$2:$Q$317,$A48,'Данные 2st'!$LH$2:$LH$317),"")</f>
        <v>1.3333333333333333</v>
      </c>
      <c r="QE48" s="7">
        <f>IFERROR(AVERAGEIF('Данные 2st'!$Q$2:$Q$317,$A48,'Данные 2st'!$LJ$2:$LJ$317),"")</f>
        <v>0</v>
      </c>
      <c r="QF48" s="7">
        <f>IFERROR(AVERAGEIF('Данные 2st'!$Q$2:$Q$317,$A48,'Данные 2st'!$LK$2:$LK$317),"")</f>
        <v>6.666666666666667</v>
      </c>
      <c r="QG48" s="7">
        <f>IFERROR(AVERAGEIF('Данные 2st'!$Q$2:$Q$317,$A48,'Данные 2st'!$LL$2:$LL$317),"")</f>
        <v>5.666666666666667</v>
      </c>
      <c r="QH48" s="7">
        <f>IFERROR(AVERAGEIF('Данные 2st'!$Q$2:$Q$317,$A48,'Данные 2st'!$LM$2:$LM$317),"")</f>
        <v>9</v>
      </c>
      <c r="QI48" s="7">
        <f>IFERROR(AVERAGEIF('Данные 2st'!$Q$2:$Q$317,$A48,'Данные 2st'!$LN$2:$LN$317),"")</f>
        <v>0.5</v>
      </c>
      <c r="QJ48" s="7">
        <f>IFERROR(AVERAGEIF('Данные 2st'!$Q$2:$Q$317,$A48,'Данные 2st'!$LO$2:$LO$317),"")</f>
        <v>2.3333333333333335</v>
      </c>
      <c r="QK48" s="7">
        <f>IFERROR(AVERAGEIF('Данные 2st'!$Q$2:$Q$317,$A48,'Данные 2st'!$LP$2:$LP$317),"")</f>
        <v>0</v>
      </c>
      <c r="QL48" s="7">
        <f>IFERROR(AVERAGEIF('Данные 2st'!$Q$2:$Q$317,$A48,'Данные 2st'!$LQ$2:$LQ$317),"")</f>
        <v>0</v>
      </c>
      <c r="QM48" s="7">
        <f>IFERROR(AVERAGEIF('Данные 2st'!$Q$2:$Q$317,$A48,'Данные 2st'!$LW$2:$LW$317),"")</f>
        <v>2.0666666666666664</v>
      </c>
      <c r="QN48" s="7">
        <f>IFERROR(AVERAGEIF('Данные 2st'!$Q$2:$Q$317,$A48,'Данные 2st'!$LX$2:$LX$317),"")</f>
        <v>2.0666666666666664</v>
      </c>
      <c r="QO48" s="7">
        <f>IFERROR(AVERAGEIF('Данные 2st'!$Q$2:$Q$317,$A48,'Данные 2st'!$LY$2:$LY$317),"")</f>
        <v>2.1</v>
      </c>
      <c r="QP48" s="7">
        <f>IFERROR(AVERAGEIF('Данные 2st'!$Q$2:$Q$317,$A48,'Данные 2st'!$LZ$2:$LZ$317),"")</f>
        <v>2.1</v>
      </c>
      <c r="QQ48" s="7">
        <f>IFERROR(AVERAGEIF('Данные 2st'!$Q$2:$Q$317,$A48,'Данные 2st'!$MB$2:$MB$317),"")</f>
        <v>8</v>
      </c>
      <c r="QR48" s="7">
        <f>IFERROR(AVERAGEIF('Данные 2st'!$Q$2:$Q$317,$A48,'Данные 2st'!$MG$2:$MG$317),"")</f>
        <v>0</v>
      </c>
      <c r="QS48" s="7">
        <f>IFERROR(AVERAGEIF('Данные 2st'!$Q$2:$Q$317,$A48,'Данные 2st'!$MH$2:$MH$317),"")</f>
        <v>0</v>
      </c>
      <c r="QT48" s="7">
        <f>IFERROR(AVERAGEIF('Данные 2st'!$Q$2:$Q$317,$A48,'Данные 2st'!$MI$2:$MI$317),"")</f>
        <v>0</v>
      </c>
      <c r="QU48" s="7">
        <f>IFERROR(AVERAGEIF('Данные 2st'!$Q$2:$Q$317,$A48,'Данные 2st'!$MJ$2:$MJ$317),"")</f>
        <v>0</v>
      </c>
      <c r="QV48" s="7">
        <f>IFERROR(AVERAGEIF('Данные 2st'!$Q$2:$Q$317,$A48,'Данные 2st'!$MK$2:$MK$317),"")</f>
        <v>0</v>
      </c>
      <c r="QW48" s="7">
        <f>IFERROR(AVERAGEIF('Данные 2st'!$Q$2:$Q$317,$A48,'Данные 2st'!$MM$2:$MM$317),"")</f>
        <v>426.6666666666667</v>
      </c>
      <c r="QX48" s="7">
        <f>IFERROR(AVERAGEIF('Данные 2st'!$Q$2:$Q$317,$A48,'Данные 2st'!$MQ$2:$MQ$317),"")</f>
        <v/>
      </c>
      <c r="QY48" s="7">
        <f>IFERROR(AVERAGEIF('Данные 2st'!$Q$2:$Q$317,$A48,'Данные 2st'!$MR$2:$MR$317),"")</f>
        <v/>
      </c>
      <c r="QZ48" s="7">
        <f>IFERROR(AVERAGEIF('Данные 2st'!$Q$2:$Q$317,$A48,'Данные 2st'!$MS$2:$MS$317),"")</f>
        <v/>
      </c>
      <c r="RA48" s="7">
        <f>IFERROR(AVERAGEIF('Данные 2st'!$Q$2:$Q$317,$A48,'Данные 2st'!$MT$2:$MT$317),"")</f>
        <v/>
      </c>
      <c r="RB48" s="7">
        <f>IFERROR(AVERAGEIF('Данные 2st'!$Q$2:$Q$317,$A48,'Данные 2st'!$MU$2:$MU$317),"")</f>
        <v/>
      </c>
      <c r="RC48" s="7">
        <f>IFERROR(AVERAGEIF('Данные 2st'!$Q$2:$Q$317,$A48,'Данные 2st'!$MV$2:$MV$317),"")</f>
        <v/>
      </c>
      <c r="RD48" s="7">
        <f>IFERROR(AVERAGEIF('Данные 2st'!$Q$2:$Q$317,$A48,'Данные 2st'!$MW$2:$MW$317),"")</f>
        <v/>
      </c>
      <c r="RE48" s="7">
        <f>IFERROR(AVERAGEIF('Данные 2st'!$Q$2:$Q$317,$A48,'Данные 2st'!$MX$2:$MX$317),"")</f>
        <v/>
      </c>
      <c r="RF48" s="7">
        <f>IFERROR(AVERAGEIF('Данные 2st'!$Q$2:$Q$317,$A48,'Данные 2st'!$MY$2:$MY$317),"")</f>
        <v/>
      </c>
      <c r="RG48" s="7">
        <f>IFERROR(AVERAGEIF('Данные 2st'!$Q$2:$Q$317,$A48,'Данные 2st'!$MZ$2:$MZ$317),"")</f>
        <v/>
      </c>
      <c r="RH48" s="7">
        <f>IFERROR(AVERAGEIF('Данные 2st'!$Q$2:$Q$317,$A48,'Данные 2st'!$NA$2:$NA$317),"")</f>
        <v/>
      </c>
      <c r="RI48" s="7">
        <f>IFERROR(AVERAGEIF('Данные 2st'!$Q$2:$Q$317,$A48,'Данные 2st'!$NB$2:$NB$317),"")</f>
        <v/>
      </c>
      <c r="RJ48" s="7">
        <f>IFERROR(AVERAGEIF('Данные 2st'!$Q$2:$Q$317,$A48,'Данные 2st'!$NC$2:$NC$317),"")</f>
        <v/>
      </c>
      <c r="RK48" s="7">
        <f>IFERROR(AVERAGEIF('Данные 2st'!$Q$2:$Q$317,$A48,'Данные 2st'!$ND$2:$ND$317),"")</f>
        <v/>
      </c>
      <c r="RL48" s="7">
        <f>IFERROR(AVERAGEIF('Данные 2st'!$Q$2:$Q$317,$A48,'Данные 2st'!$NE$2:$NE$317),"")</f>
        <v/>
      </c>
      <c r="RM48" s="7">
        <f>IFERROR(AVERAGEIF('Данные 2st'!$Q$2:$Q$317,$A48,'Данные 2st'!$NF$2:$NF$317),"")</f>
        <v/>
      </c>
      <c r="RN48" s="7">
        <f>IFERROR(AVERAGEIF('Данные 2st'!$Q$2:$Q$317,$A48,'Данные 2st'!$NG$2:$NG$317),"")</f>
        <v/>
      </c>
      <c r="RO48" s="7">
        <f>IFERROR(AVERAGEIF('Данные 2st'!$Q$2:$Q$317,$A48,'Данные 2st'!$NH$2:$NH$317),"")</f>
        <v/>
      </c>
      <c r="RP48" s="7">
        <f>IFERROR(AVERAGEIF('Данные 2st'!$Q$2:$Q$317,$A48,'Данные 2st'!$NJ$2:$NJ$317),"")</f>
        <v/>
      </c>
      <c r="RQ48" s="7">
        <f>IFERROR(AVERAGEIF('Данные 2st'!$Q$2:$Q$317,$A48,'Данные 2st'!$NK$2:$NK$317),"")</f>
        <v/>
      </c>
      <c r="RR48" s="7">
        <f>IFERROR(AVERAGEIF('Данные 2st'!$Q$2:$Q$317,$A48,'Данные 2st'!$NM$2:$NM$317),"")</f>
        <v/>
      </c>
      <c r="RS48" s="7">
        <f>IFERROR(AVERAGEIF('Данные 2st'!$Q$2:$Q$317,$A48,'Данные 2st'!$NN$2:$NN$317),"")</f>
        <v/>
      </c>
      <c r="RT48" s="7">
        <f>IFERROR(AVERAGEIF('Данные 2st'!$Q$2:$Q$317,$A48,'Данные 2st'!$NO$2:$NO$317),"")</f>
        <v/>
      </c>
      <c r="RU48" s="7">
        <f>IFERROR(AVERAGEIF('Данные 2st'!$Q$2:$Q$317,$A48,'Данные 2st'!$NP$2:$NP$317),"")</f>
        <v/>
      </c>
      <c r="RV48" s="7">
        <f>IFERROR(AVERAGEIF('Данные 2st'!$Q$2:$Q$317,$A48,'Данные 2st'!$NQ$2:$NQ$317),"")</f>
        <v/>
      </c>
      <c r="RW48" s="7">
        <f>IFERROR(AVERAGEIF('Данные 2st'!$Q$2:$Q$317,$A48,'Данные 2st'!$NR$2:$NR$317),"")</f>
        <v/>
      </c>
      <c r="RX48" s="7">
        <f>IFERROR(AVERAGEIF('Данные 2st'!$Q$2:$Q$317,$A48,'Данные 2st'!$NS$2:$NS$317),"")</f>
        <v/>
      </c>
      <c r="RY48" s="7">
        <f>IFERROR(AVERAGEIF('Данные 2st'!$Q$2:$Q$317,$A48,'Данные 2st'!$NT$2:$NT$317),"")</f>
        <v/>
      </c>
      <c r="RZ48" s="7">
        <f>IFERROR(AVERAGEIF('Данные 2st'!$Q$2:$Q$317,$A48,'Данные 2st'!$OK$2:$OK$317),"")</f>
        <v>61</v>
      </c>
      <c r="SA48" s="7">
        <f>IFERROR(AVERAGEIF('Данные 2st'!$Q$2:$Q$317,$A48,'Данные 2st'!$OL$2:$OL$317),"")</f>
        <v>61</v>
      </c>
      <c r="SB48" s="7">
        <f>IFERROR(AVERAGEIF('Данные 2st'!$Q$2:$Q$317,$A48,'Данные 2st'!$ON$2:$ON$317),"")</f>
        <v>1</v>
      </c>
      <c r="SC48" s="7">
        <f>IFERROR(AVERAGEIF('Данные 2st'!$Q$2:$Q$317,$A48,'Данные 2st'!$OO$2:$OO$317),"")</f>
        <v>2092</v>
      </c>
      <c r="SD48" s="7">
        <f>IFERROR(AVERAGEIF('Данные 2st'!$Q$2:$Q$317,$A48,'Данные 2st'!$OP$2:$OP$317),"")</f>
        <v>61</v>
      </c>
      <c r="SE48" s="7">
        <f>IFERROR(AVERAGEIF('Данные 2st'!$Q$2:$Q$317,$A48,'Данные 2st'!$OQ$2:$OQ$317),"")</f>
        <v>61</v>
      </c>
      <c r="SF48" s="7">
        <f>IFERROR(AVERAGEIF('Данные 2st'!$Q$2:$Q$317,$A48,'Данные 2st'!$OS$2:$OS$317),"")</f>
        <v>1</v>
      </c>
      <c r="SG48" s="7">
        <f>IFERROR(AVERAGEIF('Данные 2st'!$Q$2:$Q$317,$A48,'Данные 2st'!$OT$2:$OT$317),"")</f>
        <v>2104</v>
      </c>
      <c r="SH48" s="7">
        <f>IFERROR(AVERAGEIF('Данные 2st'!$Q$2:$Q$317,$A48,'Данные 2st'!$OU$2:$OU$317),"")</f>
        <v>65</v>
      </c>
      <c r="SI48" s="7">
        <f>IFERROR(AVERAGEIF('Данные 2st'!$Q$2:$Q$317,$A48,'Данные 2st'!$OV$2:$OV$317),"")</f>
        <v>65</v>
      </c>
      <c r="SJ48" s="7">
        <f>IFERROR(AVERAGEIF('Данные 2st'!$Q$2:$Q$317,$A48,'Данные 2st'!$OX$2:$OX$317),"")</f>
        <v>1.3333333333333333</v>
      </c>
      <c r="SK48" s="7">
        <f>IFERROR(AVERAGEIF('Данные 2st'!$Q$2:$Q$317,$A48,'Данные 2st'!$OY$2:$OY$317),"")</f>
        <v>43915.333333333336</v>
      </c>
      <c r="SL48" s="7">
        <f>IFERROR(AVERAGEIF('Данные 2st'!$Q$2:$Q$317,$A48,'Данные 2st'!$OZ$2:$OZ$317),"")</f>
        <v>51</v>
      </c>
      <c r="SM48" s="7">
        <f>IFERROR(AVERAGEIF('Данные 2st'!$Q$2:$Q$317,$A48,'Данные 2st'!$PA$2:$PA$317),"")</f>
        <v>51.333333333333336</v>
      </c>
      <c r="SN48" s="7">
        <f>IFERROR(AVERAGEIF('Данные 2st'!$Q$2:$Q$317,$A48,'Данные 2st'!$PC$2:$PC$317),"")</f>
        <v>2</v>
      </c>
      <c r="SO48" s="7">
        <f>IFERROR(AVERAGEIF('Данные 2st'!$Q$2:$Q$317,$A48,'Данные 2st'!$PD$2:$PD$317),"")</f>
        <v>2135.6666666666665</v>
      </c>
      <c r="SP48" s="7">
        <f>IFERROR(AVERAGEIF('Данные 2st'!$Q$2:$Q$317,$A48,'Данные 2st'!$PF$2:$PF$317),"")</f>
        <v>450.6666666666667</v>
      </c>
      <c r="SQ48" s="7">
        <f>IFERROR(AVERAGEIF('Данные 2st'!$Q$2:$Q$317,$A48,'Данные 2st'!$PG$2:$PG$317),"")</f>
        <v>35</v>
      </c>
      <c r="SR48" s="7">
        <f>IFERROR(AVERAGEIF('Данные 2st'!$Q$2:$Q$317,$A48,'Данные 2st'!$PH$2:$PH$317),"")</f>
        <v>428</v>
      </c>
      <c r="SS48" s="7">
        <f>IFERROR(AVERAGEIF('Данные 2st'!$Q$2:$Q$317,$A48,'Данные 2st'!$PI$2:$PI$317),"")</f>
        <v>0</v>
      </c>
      <c r="ST48" s="7">
        <f>IFERROR(AVERAGEIF('Данные 2st'!$Q$2:$Q$317,$A48,'Данные 2st'!$PJ$2:$PJ$317),"")</f>
        <v>86.76666666666667</v>
      </c>
      <c r="SU48" s="7">
        <f>IFERROR(AVERAGEIF('Данные 2st'!$Q$2:$Q$317,$A48,'Данные 2st'!$PK$2:$PK$317),"")</f>
        <v>2084.6666666666665</v>
      </c>
      <c r="SV48" s="7">
        <f>IFERROR(AVERAGEIF('Данные 2st'!$Q$2:$Q$317,$A48,'Данные 2st'!$PL$2:$PL$317),"")</f>
        <v>1292.3333333333335</v>
      </c>
      <c r="SW48" s="7">
        <f>IFERROR(AVERAGEIF('Данные 2st'!$Q$2:$Q$317,$A48,'Данные 2st'!$PM$2:$PM$317),"")</f>
        <v>600.9333333333334</v>
      </c>
      <c r="SX48" s="7">
        <f>IFERROR(AVERAGEIF('Данные 2st'!$Q$2:$Q$317,$A48,'Данные 2st'!$PN$2:$PN$317),"")</f>
        <v>100.8</v>
      </c>
      <c r="SY48" s="7">
        <f>IFERROR(AVERAGEIF('Данные 2st'!$Q$2:$Q$317,$A48,'Данные 2st'!$PO$2:$PO$317),"")</f>
        <v>9.666666666666666</v>
      </c>
      <c r="SZ48" s="7">
        <f>IFERROR(AVERAGEIF('Данные 2st'!$Q$2:$Q$317,$A48,'Данные 2st'!$PP$2:$PP$317),"")</f>
        <v>12</v>
      </c>
      <c r="TA48" s="7">
        <f>IFERROR(AVERAGEIF('Данные 2st'!$Q$2:$Q$317,$A48,'Данные 2st'!$PQ$2:$PQ$317),"")</f>
        <v>4.333333333333333</v>
      </c>
      <c r="TB48" s="7">
        <f>IFERROR(AVERAGEIF('Данные 2st'!$Q$2:$Q$317,$A48,'Данные 2st'!$PR$2:$PR$317),"")</f>
        <v>5</v>
      </c>
      <c r="TC48" s="7">
        <f>IFERROR(AVERAGEIF('Данные 2st'!$Q$2:$Q$317,$A48,'Данные 2st'!$PS$2:$PS$317),"")</f>
        <v>0</v>
      </c>
      <c r="TD48" s="7">
        <f>IFERROR(AVERAGEIF('Данные 2st'!$Q$2:$Q$317,$A48,'Данные 2st'!$PT$2:$PT$317),"")</f>
        <v>243.33333333333334</v>
      </c>
      <c r="TE48" s="7">
        <f>IFERROR(AVERAGEIF('Данные 2st'!$Q$2:$Q$317,$A48,'Данные 2st'!$PU$2:$PU$317),"")</f>
        <v>10.333333333333334</v>
      </c>
      <c r="TF48" s="7">
        <f>IFERROR(AVERAGEIF('Данные 2st'!$Q$2:$Q$317,$A48,'Данные 2st'!$PX$2:$PX$317),"")</f>
        <v>0</v>
      </c>
      <c r="TG48" s="7">
        <f>IFERROR(AVERAGEIF('Данные 2st'!$Q$2:$Q$317,$A48,'Данные 2st'!$PY$2:$PY$317),"")</f>
        <v>0</v>
      </c>
      <c r="TH48" s="7">
        <f>IFERROR(AVERAGEIF('Данные 2st'!$Q$2:$Q$317,$A48,'Данные 2st'!$PZ$2:$PZ$317),"")</f>
        <v>0</v>
      </c>
      <c r="TI48" s="7">
        <f>IFERROR(AVERAGEIF('Данные 2st'!$Q$2:$Q$317,$A48,'Данные 2st'!$QA$2:$QA$317),"")</f>
        <v>0</v>
      </c>
      <c r="TJ48" s="7">
        <f>IFERROR(AVERAGEIF('Данные 2st'!$Q$2:$Q$317,$A48,'Данные 2st'!$QB$2:$QB$317),"")</f>
        <v>0</v>
      </c>
      <c r="TK48" s="7">
        <f>IFERROR(AVERAGEIF('Данные 2st'!$Q$2:$Q$317,$A48,'Данные 2st'!$QC$2:$QC$317),"")</f>
        <v>0</v>
      </c>
      <c r="TL48" s="7">
        <f>IFERROR(AVERAGEIF('Данные 2st'!$Q$2:$Q$317,$A48,'Данные 2st'!$QD$2:$QD$317),"")</f>
        <v>0</v>
      </c>
      <c r="TM48" s="7">
        <f>IFERROR(AVERAGEIF('Данные 2st'!$Q$2:$Q$317,$A48,'Данные 2st'!$QE$2:$QE$317),"")</f>
        <v>-1</v>
      </c>
      <c r="TN48" s="7">
        <f>IFERROR(AVERAGEIF('Данные 2st'!$Q$2:$Q$317,$A48,'Данные 2st'!$QF$2:$QF$317),"")</f>
        <v>1</v>
      </c>
      <c r="TO48" s="7">
        <f>IFERROR(AVERAGEIF('Данные 2st'!$Q$2:$Q$317,$A48,'Данные 2st'!$QG$2:$QG$317),"")</f>
        <v>0</v>
      </c>
      <c r="TP48" s="7">
        <f>IFERROR(AVERAGEIF('Данные 2st'!$Q$2:$Q$317,$A48,'Данные 2st'!$QH$2:$QH$317),"")</f>
        <v>5</v>
      </c>
      <c r="TQ48" s="7">
        <f>IFERROR(AVERAGEIF('Данные 2st'!$Q$2:$Q$317,$A48,'Данные 2st'!$QI$2:$QI$317),"")</f>
        <v>5</v>
      </c>
      <c r="TR48" s="7">
        <f>IFERROR(AVERAGEIF('Данные 2st'!$Q$2:$Q$317,$A48,'Данные 2st'!$QJ$2:$QJ$317),"")</f>
        <v>5</v>
      </c>
      <c r="TS48" s="7">
        <f>IFERROR(AVERAGEIF('Данные 2st'!$Q$2:$Q$317,$A48,'Данные 2st'!$QK$2:$QK$317),"")</f>
        <v>193.33333333333334</v>
      </c>
      <c r="TT48" s="7">
        <f>IFERROR(AVERAGEIF('Данные 2st'!$Q$2:$Q$317,$A48,'Данные 2st'!$QL$2:$QL$317),"")</f>
        <v>431.3333333333333</v>
      </c>
      <c r="TU48" s="7">
        <f>IFERROR(AVERAGEIF('Данные 2st'!$Q$2:$Q$317,$A48,'Данные 2st'!$QM$2:$QM$317),"")</f>
        <v>7.5</v>
      </c>
      <c r="TV48" s="7">
        <f>IFERROR(AVERAGEIF('Данные 2st'!$Q$2:$Q$317,$A48,'Данные 2st'!$QN$2:$QN$317),"")</f>
        <v>1462.7</v>
      </c>
      <c r="TW48" s="7">
        <f>IFERROR(AVERAGEIF('Данные 2st'!$Q$2:$Q$317,$A48,'Данные 2st'!$QQ$2:$QQ$317),"")</f>
        <v>0</v>
      </c>
      <c r="TX48" s="7">
        <f>IFERROR(AVERAGEIF('Данные 2st'!$Q$2:$Q$317,$A48,'Данные 2st'!$QS$2:$QS$317),"")</f>
        <v>30</v>
      </c>
      <c r="TY48" s="7">
        <f>IFERROR(AVERAGEIF('Данные 2st'!$Q$2:$Q$317,$A48,'Данные 2st'!$QT$2:$QT$317),"")</f>
        <v>40</v>
      </c>
    </row>
    <row r="49" spans="1:545" ht="32" customHeight="1">
      <c r="A49" s="11" t="s">
        <v>684</v>
      </c>
      <c r="B49">
        <f>COUNTIF('Данные 1st'!$S$2:$S$317,$A49)</f>
        <v>7</v>
      </c>
      <c r="C49" s="6" t="s">
        <v>5108</v>
      </c>
      <c r="D49" s="6" t="s">
        <v>513</v>
      </c>
      <c r="E49" s="6" t="s">
        <v>5125</v>
      </c>
      <c r="F49" s="6" t="s">
        <v>5168</v>
      </c>
      <c r="G49" s="7">
        <f>IFERROR(AVERAGEIF('Данные 1st'!$S$2:$S$317,$A49,'Данные 1st'!$AE$2:$AE$317),"")</f>
        <v>218.71428571428572</v>
      </c>
      <c r="H49" s="7">
        <f>IFERROR(AVERAGEIF('Данные 1st'!$S$2:$S$317,$A49,'Данные 1st'!$AF$2:$AF$317),"")</f>
        <v>1.5</v>
      </c>
      <c r="I49" s="7">
        <f>IFERROR(AVERAGEIF('Данные 1st'!$S$2:$S$317,$A49,'Данные 1st'!$AJ$2:$AJ$317),"")</f>
        <v>200.71428571428572</v>
      </c>
      <c r="J49" s="7">
        <f>IFERROR(AVERAGEIF('Данные 1st'!$S$2:$S$317,$A49,'Данные 1st'!$AL$2:$AL$317),"")</f>
        <v>1.5</v>
      </c>
      <c r="K49" s="7">
        <f>IFERROR(AVERAGEIF('Данные 1st'!$S$2:$S$317,$A49,'Данные 1st'!$AR$2:$AR$317),"")</f>
        <v>239</v>
      </c>
      <c r="L49" s="7">
        <f>IFERROR(AVERAGEIF('Данные 1st'!$S$2:$S$317,$A49,'Данные 1st'!$AS$2:$AS$317),"")</f>
        <v>1.5</v>
      </c>
      <c r="M49" s="7">
        <f>IFERROR(AVERAGEIF('Данные 1st'!$S$2:$S$317,$A49,'Данные 1st'!$AY$2:$AY$317),"")</f>
        <v>302.5</v>
      </c>
      <c r="N49" s="7">
        <f>IFERROR(AVERAGEIF('Данные 1st'!$S$2:$S$317,$A49,'Данные 1st'!$AZ$2:$AZ$317),"")</f>
        <v>1.5</v>
      </c>
      <c r="O49" s="7">
        <f>IFERROR(AVERAGEIF('Данные 1st'!$S$2:$S$317,$A49,'Данные 1st'!$BF$2:$BF$317),"")</f>
        <v>245.0</v>
      </c>
      <c r="P49" s="7">
        <f>IFERROR(AVERAGEIF('Данные 1st'!$S$2:$S$317,$A49,'Данные 1st'!$BG$2:$BG$317),"")</f>
        <v>1.5</v>
      </c>
      <c r="Q49" s="7">
        <f>IFERROR(AVERAGEIF('Данные 1st'!$S$2:$S$317,$A49,'Данные 1st'!$BM$2:$BM$317),"")</f>
        <v/>
      </c>
      <c r="R49" s="7">
        <f>IFERROR(AVERAGEIF('Данные 1st'!$S$2:$S$317,$A49,'Данные 1st'!$BN$2:$BN$317),"")</f>
        <v>1.5</v>
      </c>
      <c r="S49" s="7">
        <f>IFERROR(AVERAGEIF('Данные 1st'!$S$2:$S$317,$A49,'Данные 1st'!$BT$2:$BT$317),"")</f>
        <v>218.42857142857142</v>
      </c>
      <c r="T49" s="7">
        <f>IFERROR(AVERAGEIF('Данные 1st'!$S$2:$S$317,$A49,'Данные 1st'!$BU$2:$BU$317),"")</f>
        <v>0.5</v>
      </c>
      <c r="U49" s="7">
        <f>IFERROR(AVERAGEIF('Данные 1st'!$S$2:$S$317,$A49,'Данные 1st'!$BW$2:$BW$317),"")</f>
        <v>436.85714285714283</v>
      </c>
      <c r="V49" s="7">
        <f>IFERROR(AVERAGEIF('Данные 1st'!$S$2:$S$317,$A49,'Данные 1st'!$BX$2:$BX$317),"")</f>
        <v>1</v>
      </c>
      <c r="W49" s="7">
        <f>IFERROR(AVERAGEIF('Данные 1st'!$S$2:$S$317,$A49,'Данные 1st'!$BZ$2:$BZ$317),"")</f>
        <v>324.2857142857143</v>
      </c>
      <c r="X49" s="7">
        <f>IFERROR(AVERAGEIF('Данные 1st'!$S$2:$S$317,$A49,'Данные 1st'!$CA$2:$CA$317),"")</f>
        <v>504.2857142857143</v>
      </c>
      <c r="Y49" s="7">
        <f>IFERROR(AVERAGEIF('Данные 1st'!$S$2:$S$317,$A49,'Данные 1st'!$CD$2:$CD$317),"")</f>
        <v>457</v>
      </c>
      <c r="Z49" s="7">
        <f>IFERROR(AVERAGEIF('Данные 1st'!$S$2:$S$317,$A49,'Данные 1st'!$CF$2:$CF$317),"")</f>
        <v>15</v>
      </c>
      <c r="AA49" s="7">
        <f>IFERROR(AVERAGEIF('Данные 1st'!$S$2:$S$317,$A49,'Данные 1st'!$CI$2:$CI$317),"")</f>
        <v>90</v>
      </c>
      <c r="AB49" s="7">
        <f>IFERROR(AVERAGEIF('Данные 1st'!$S$2:$S$317,$A49,'Данные 1st'!$CJ$2:$CJ$317),"")</f>
        <v>1458</v>
      </c>
      <c r="AC49" s="7">
        <f>IFERROR(AVERAGEIF('Данные 1st'!$S$2:$S$317,$A49,'Данные 1st'!$CK$2:$CK$317),"")</f>
        <v>2</v>
      </c>
      <c r="AD49" s="7">
        <f>IFERROR(AVERAGEIF('Данные 1st'!$S$2:$S$317,$A49,'Данные 1st'!$CL$2:$CL$317),"")</f>
        <v>1552</v>
      </c>
      <c r="AE49" s="7">
        <f>IFERROR(AVERAGEIF('Данные 1st'!$S$2:$S$317,$A49,'Данные 1st'!$CM$2:$CM$317),"")</f>
        <v>2</v>
      </c>
      <c r="AF49" s="7">
        <f>IFERROR(AVERAGEIF('Данные 1st'!$S$2:$S$317,$A49,'Данные 1st'!$CT$2:$CT$317),"")</f>
        <v>401.42857142857144</v>
      </c>
      <c r="AG49" s="7">
        <f>IFERROR(AVERAGEIF('Данные 1st'!$S$2:$S$317,$A49,'Данные 1st'!$CU$2:$CU$317),"")</f>
        <v>5</v>
      </c>
      <c r="AH49" s="7">
        <f>IFERROR(AVERAGEIF('Данные 1st'!$S$2:$S$317,$A49,'Данные 1st'!$CV$2:$CV$317),"")</f>
        <v>1.2</v>
      </c>
      <c r="AI49" s="7">
        <f>IFERROR(AVERAGEIF('Данные 1st'!$S$2:$S$317,$A49,'Данные 1st'!$CW$2:$CW$317),"")</f>
        <v>1475</v>
      </c>
      <c r="AJ49" s="7">
        <f>IFERROR(AVERAGEIF('Данные 1st'!$S$2:$S$317,$A49,'Данные 1st'!$CX$2:$CX$317),"")</f>
        <v>838.2857142857143</v>
      </c>
      <c r="AK49" s="7">
        <f>IFERROR(AVERAGEIF('Данные 1st'!$S$2:$S$317,$A49,'Данные 1st'!$CZ$2:$CZ$317),"")</f>
        <v>50</v>
      </c>
      <c r="AL49" s="7">
        <f>IFERROR(AVERAGEIF('Данные 1st'!$S$2:$S$317,$A49,'Данные 1st'!$DA$2:$DA$317),"")</f>
        <v>3</v>
      </c>
      <c r="AM49" s="7">
        <f>IFERROR(AVERAGEIF('Данные 1st'!$S$2:$S$317,$A49,'Данные 1st'!$DB$2:$DB$317),"")</f>
        <v>1.12</v>
      </c>
      <c r="AN49" s="7">
        <f>IFERROR(AVERAGEIF('Данные 1st'!$S$2:$S$317,$A49,'Данные 1st'!$DC$2:$DC$317),"")</f>
        <v>1475</v>
      </c>
      <c r="AO49" s="7">
        <f>IFERROR(AVERAGEIF('Данные 1st'!$S$2:$S$317,$A49,'Данные 1st'!$DD$2:$DD$317),"")</f>
        <v>89</v>
      </c>
      <c r="AP49" s="7">
        <f>IFERROR(AVERAGEIF('Данные 1st'!$S$2:$S$317,$A49,'Данные 1st'!$DF$2:$DF$317),"")</f>
        <v>605</v>
      </c>
      <c r="AQ49" s="7">
        <f>IFERROR(AVERAGEIF('Данные 1st'!$S$2:$S$317,$A49,'Данные 1st'!$DG$2:$DG$317),"")</f>
        <v>3</v>
      </c>
      <c r="AR49" s="7">
        <f>IFERROR(AVERAGEIF('Данные 1st'!$S$2:$S$317,$A49,'Данные 1st'!$DH$2:$DH$317),"")</f>
        <v>1.0142857142857142</v>
      </c>
      <c r="AS49" s="7">
        <f>IFERROR(AVERAGEIF('Данные 1st'!$S$2:$S$317,$A49,'Данные 1st'!$DI$2:$DI$317),"")</f>
        <v>1467.4285714285713</v>
      </c>
      <c r="AT49" s="7">
        <f>IFERROR(AVERAGEIF('Данные 1st'!$S$2:$S$317,$A49,'Данные 1st'!$DJ$2:$DJ$317),"")</f>
        <v>1210.142857142857</v>
      </c>
      <c r="AU49" s="7">
        <f>IFERROR(AVERAGEIF('Данные 1st'!$S$2:$S$317,$A49,'Данные 1st'!$DL$2:$DL$317),"")</f>
        <v>490</v>
      </c>
      <c r="AV49" s="7">
        <f>IFERROR(AVERAGEIF('Данные 1st'!$S$2:$S$317,$A49,'Данные 1st'!$DM$2:$DM$317),"")</f>
        <v>3</v>
      </c>
      <c r="AW49" s="7">
        <f>IFERROR(AVERAGEIF('Данные 1st'!$S$2:$S$317,$A49,'Данные 1st'!$DN$2:$DN$317),"")</f>
        <v>0.94</v>
      </c>
      <c r="AX49" s="7">
        <f>IFERROR(AVERAGEIF('Данные 1st'!$S$2:$S$317,$A49,'Данные 1st'!$DO$2:$DO$317),"")</f>
        <v>1472.6</v>
      </c>
      <c r="AY49" s="7">
        <f>IFERROR(AVERAGEIF('Данные 1st'!$S$2:$S$317,$A49,'Данные 1st'!$DP$2:$DP$317),"")</f>
        <v>925.6</v>
      </c>
      <c r="AZ49" s="7">
        <f>IFERROR(AVERAGEIF('Данные 1st'!$S$2:$S$317,$A49,'Данные 1st'!$DR$2:$DR$317),"")</f>
        <v/>
      </c>
      <c r="BA49" s="7">
        <f>IFERROR(AVERAGEIF('Данные 1st'!$S$2:$S$317,$A49,'Данные 1st'!$DS$2:$DS$317),"")</f>
        <v/>
      </c>
      <c r="BB49" s="7">
        <f>IFERROR(AVERAGEIF('Данные 1st'!$S$2:$S$317,$A49,'Данные 1st'!$DT$2:$DT$317),"")</f>
        <v/>
      </c>
      <c r="BC49" s="7">
        <f>IFERROR(AVERAGEIF('Данные 1st'!$S$2:$S$317,$A49,'Данные 1st'!$DU$2:$DU$317),"")</f>
        <v/>
      </c>
      <c r="BD49" s="7">
        <f>IFERROR(AVERAGEIF('Данные 1st'!$S$2:$S$317,$A49,'Данные 1st'!$DV$2:$DV$317),"")</f>
        <v/>
      </c>
      <c r="BE49" s="7">
        <f>IFERROR(AVERAGEIF('Данные 1st'!$S$2:$S$317,$A49,'Данные 1st'!$DX$2:$DX$317),"")</f>
        <v>7.5</v>
      </c>
      <c r="BF49" s="7">
        <f>IFERROR(AVERAGEIF('Данные 1st'!$S$2:$S$317,$A49,'Данные 1st'!$EA$2:$EA$317),"")</f>
        <v>1543.4142857142856</v>
      </c>
      <c r="BG49" s="7">
        <f>IFERROR(AVERAGEIF('Данные 1st'!$S$2:$S$317,$A49,'Данные 1st'!$EB$2:$EB$317),"")</f>
        <v>285.7142857142857</v>
      </c>
      <c r="BH49" s="7">
        <f>IFERROR(AVERAGEIF('Данные 1st'!$S$2:$S$317,$A49,'Данные 1st'!$ED$2:$ED$317),"")</f>
        <v>37.857142857142854</v>
      </c>
      <c r="BI49" s="7">
        <f>IFERROR(AVERAGEIF('Данные 1st'!$S$2:$S$317,$A49,'Данные 1st'!$EE$2:$EE$317),"")</f>
        <v>3</v>
      </c>
      <c r="BJ49" s="7">
        <f>IFERROR(AVERAGEIF('Данные 1st'!$S$2:$S$317,$A49,'Данные 1st'!$EG$2:$EG$317),"")</f>
        <v>1585.857142857143</v>
      </c>
      <c r="BK49" s="7">
        <f>IFERROR(AVERAGEIF('Данные 1st'!$S$2:$S$317,$A49,'Данные 1st'!$EH$2:$EH$317),"")</f>
        <v>240.14285714285714</v>
      </c>
      <c r="BL49" s="7">
        <f>IFERROR(AVERAGEIF('Данные 1st'!$S$2:$S$317,$A49,'Данные 1st'!$EJ$2:$EJ$317),"")</f>
        <v>0</v>
      </c>
      <c r="BM49" s="7">
        <f>IFERROR(AVERAGEIF('Данные 1st'!$S$2:$S$317,$A49,'Данные 1st'!$EK$2:$EK$317),"")</f>
        <v>1</v>
      </c>
      <c r="BN49" s="7">
        <f>IFERROR(AVERAGEIF('Данные 1st'!$S$2:$S$317,$A49,'Данные 1st'!$EN$2:$EN$317),"")</f>
        <v>0</v>
      </c>
      <c r="BO49" s="7">
        <f>IFERROR(AVERAGEIF('Данные 1st'!$S$2:$S$317,$A49,'Данные 1st'!$EQ$2:$EQ$317),"")</f>
        <v>107.85714285714286</v>
      </c>
      <c r="BP49" s="7">
        <f>IFERROR(AVERAGEIF('Данные 1st'!$S$2:$S$317,$A49,'Данные 1st'!$ER$2:$ER$317),"")</f>
        <v>3</v>
      </c>
      <c r="BQ49" s="7">
        <f>IFERROR(AVERAGEIF('Данные 1st'!$S$2:$S$317,$A49,'Данные 1st'!$ES$2:$ES$317),"")</f>
        <v>5.714285714285714</v>
      </c>
      <c r="BR49" s="7">
        <f>IFERROR(AVERAGEIF('Данные 1st'!$S$2:$S$317,$A49,'Данные 1st'!$ET$2:$ET$317),"")</f>
        <v>1455.5714285714287</v>
      </c>
      <c r="BS49" s="7">
        <f>IFERROR(AVERAGEIF('Данные 1st'!$S$2:$S$317,$A49,'Данные 1st'!$EU$2:$EU$317),"")</f>
        <v>487.6714285714286</v>
      </c>
      <c r="BT49" s="7">
        <f>IFERROR(AVERAGEIF('Данные 1st'!$S$2:$S$317,$A49,'Данные 1st'!$EV$2:$EV$317),"")</f>
        <v>709.8571428571429</v>
      </c>
      <c r="BU49" s="7">
        <f>IFERROR(AVERAGEIF('Данные 1st'!$S$2:$S$317,$A49,'Данные 1st'!$EX$2:$EX$317),"")</f>
        <v>45</v>
      </c>
      <c r="BV49" s="7">
        <f>IFERROR(AVERAGEIF('Данные 1st'!$S$2:$S$317,$A49,'Данные 1st'!$EY$2:$EY$317),"")</f>
        <v>2</v>
      </c>
      <c r="BW49" s="7">
        <f>IFERROR(AVERAGEIF('Данные 1st'!$S$2:$S$317,$A49,'Данные 1st'!$EZ$2:$EZ$317),"")</f>
        <v>4.357142857142857</v>
      </c>
      <c r="BX49" s="7">
        <f>IFERROR(AVERAGEIF('Данные 1st'!$S$2:$S$317,$A49,'Данные 1st'!$FA$2:$FA$317),"")</f>
        <v>1455.5714285714287</v>
      </c>
      <c r="BY49" s="7">
        <f>IFERROR(AVERAGEIF('Данные 1st'!$S$2:$S$317,$A49,'Данные 1st'!$FB$2:$FB$317),"")</f>
        <v>142.04285714285714</v>
      </c>
      <c r="BZ49" s="7">
        <f>IFERROR(AVERAGEIF('Данные 1st'!$S$2:$S$317,$A49,'Данные 1st'!$FC$2:$FC$317),"")</f>
        <v>206.71428571428572</v>
      </c>
      <c r="CA49" s="7">
        <f>IFERROR(AVERAGEIF('Данные 1st'!$S$2:$S$317,$A49,'Данные 1st'!$FE$2:$FE$317),"")</f>
        <v>0</v>
      </c>
      <c r="CB49" s="7">
        <f>IFERROR(AVERAGEIF('Данные 1st'!$S$2:$S$317,$A49,'Данные 1st'!$FF$2:$FF$317),"")</f>
        <v>2</v>
      </c>
      <c r="CC49" s="7">
        <f>IFERROR(AVERAGEIF('Данные 1st'!$S$2:$S$317,$A49,'Данные 1st'!$FI$2:$FI$317),"")</f>
        <v>0</v>
      </c>
      <c r="CD49" s="7">
        <f>IFERROR(AVERAGEIF('Данные 1st'!$S$2:$S$317,$A49,'Данные 1st'!$FL$2:$FL$317),"")</f>
        <v>0.4</v>
      </c>
      <c r="CE49" s="7">
        <f>IFERROR(AVERAGEIF('Данные 1st'!$S$2:$S$317,$A49,'Данные 1st'!$FM$2:$FM$317),"")</f>
        <v>50.714285714285715</v>
      </c>
      <c r="CF49" s="7">
        <f>IFERROR(AVERAGEIF('Данные 1st'!$S$2:$S$317,$A49,'Данные 1st'!$FN$2:$FN$317),"")</f>
        <v>370</v>
      </c>
      <c r="CG49" s="7">
        <f>IFERROR(AVERAGEIF('Данные 1st'!$S$2:$S$317,$A49,'Данные 1st'!$FO$2:$FO$317),"")</f>
        <v>81.42857142857143</v>
      </c>
      <c r="CH49" s="7">
        <f>IFERROR(AVERAGEIF('Данные 1st'!$S$2:$S$317,$A49,'Данные 1st'!$FP$2:$FP$317),"")</f>
        <v>135.71428571428572</v>
      </c>
      <c r="CI49" s="7">
        <f>IFERROR(AVERAGEIF('Данные 1st'!$S$2:$S$317,$A49,'Данные 1st'!$FS$2:$FS$317),"")</f>
        <v>0.4</v>
      </c>
      <c r="CJ49" s="7">
        <f>IFERROR(AVERAGEIF('Данные 1st'!$S$2:$S$317,$A49,'Данные 1st'!$FT$2:$FT$317),"")</f>
        <v>30</v>
      </c>
      <c r="CK49" s="7">
        <f>IFERROR(AVERAGEIF('Данные 1st'!$S$2:$S$317,$A49,'Данные 1st'!$FU$2:$FU$317),"")</f>
        <v>335</v>
      </c>
      <c r="CL49" s="7">
        <f>IFERROR(AVERAGEIF('Данные 1st'!$S$2:$S$317,$A49,'Данные 1st'!$FV$2:$FV$317),"")</f>
        <v/>
      </c>
      <c r="CM49" s="7">
        <f>IFERROR(AVERAGEIF('Данные 1st'!$S$2:$S$317,$A49,'Данные 1st'!$FW$2:$FW$317),"")</f>
        <v/>
      </c>
      <c r="CN49" s="7">
        <f>IFERROR(AVERAGEIF('Данные 1st'!$S$2:$S$317,$A49,'Данные 1st'!$FZ$2:$FZ$317),"")</f>
        <v/>
      </c>
      <c r="CO49" s="7">
        <f>IFERROR(AVERAGEIF('Данные 1st'!$S$2:$S$317,$A49,'Данные 1st'!$GA$2:$GA$317),"")</f>
        <v/>
      </c>
      <c r="CP49" s="7">
        <f>IFERROR(AVERAGEIF('Данные 1st'!$S$2:$S$317,$A49,'Данные 1st'!$GB$2:$GB$317),"")</f>
        <v/>
      </c>
      <c r="CQ49" s="7">
        <f>IFERROR(AVERAGEIF('Данные 1st'!$S$2:$S$317,$A49,'Данные 1st'!$GH$2:$GH$317),"")</f>
        <v/>
      </c>
      <c r="CR49" s="7">
        <f>IFERROR(AVERAGEIF('Данные 1st'!$S$2:$S$317,$A49,'Данные 1st'!$GI$2:$GI$317),"")</f>
        <v/>
      </c>
      <c r="CS49" s="7">
        <f>IFERROR(AVERAGEIF('Данные 1st'!$S$2:$S$317,$A49,'Данные 1st'!$GJ$2:$GJ$317),"")</f>
        <v/>
      </c>
      <c r="CT49" s="7">
        <f>IFERROR(AVERAGEIF('Данные 1st'!$S$2:$S$317,$A49,'Данные 1st'!$GS$2:$GS$317),"")</f>
        <v>0.48</v>
      </c>
      <c r="CU49" s="7">
        <f>IFERROR(AVERAGEIF('Данные 1st'!$S$2:$S$317,$A49,'Данные 1st'!$GT$2:$GT$317),"")</f>
        <v>59</v>
      </c>
      <c r="CV49" s="7">
        <f>IFERROR(AVERAGEIF('Данные 1st'!$S$2:$S$317,$A49,'Данные 1st'!$GU$2:$GU$317),"")</f>
        <v>326</v>
      </c>
      <c r="CW49" s="7">
        <f>IFERROR(AVERAGEIF('Данные 1st'!$S$2:$S$317,$A49,'Данные 1st'!$GV$2:$GV$317),"")</f>
        <v>30</v>
      </c>
      <c r="CX49" s="7">
        <f>IFERROR(AVERAGEIF('Данные 1st'!$S$2:$S$317,$A49,'Данные 1st'!$GW$2:$GW$317),"")</f>
        <v>266.6666666666667</v>
      </c>
      <c r="CY49" s="7">
        <f>IFERROR(AVERAGEIF('Данные 1st'!$S$2:$S$317,$A49,'Данные 1st'!$GZ$2:$GZ$317),"")</f>
        <v>1.6</v>
      </c>
      <c r="CZ49" s="7">
        <f>IFERROR(AVERAGEIF('Данные 1st'!$S$2:$S$317,$A49,'Данные 1st'!$HA$2:$HA$317),"")</f>
        <v>20</v>
      </c>
      <c r="DA49" s="7">
        <f>IFERROR(AVERAGEIF('Данные 1st'!$S$2:$S$317,$A49,'Данные 1st'!$HB$2:$HB$317),"")</f>
        <v>181</v>
      </c>
      <c r="DB49" s="7">
        <f>IFERROR(AVERAGEIF('Данные 1st'!$S$2:$S$317,$A49,'Данные 1st'!$HC$2:$HC$317),"")</f>
        <v>0.1</v>
      </c>
      <c r="DC49" s="7">
        <f>IFERROR(AVERAGEIF('Данные 1st'!$S$2:$S$317,$A49,'Данные 1st'!$HD$2:$HD$317),"")</f>
        <v>3</v>
      </c>
      <c r="DD49" s="7">
        <f>IFERROR(AVERAGEIF('Данные 1st'!$S$2:$S$317,$A49,'Данные 1st'!$HE$2:$HE$317),"")</f>
        <v>3</v>
      </c>
      <c r="DE49" s="7">
        <f>IFERROR(AVERAGEIF('Данные 1st'!$S$2:$S$317,$A49,'Данные 1st'!$HF$2:$HF$317),"")</f>
        <v>3</v>
      </c>
      <c r="DF49" s="7">
        <f>IFERROR(AVERAGEIF('Данные 1st'!$S$2:$S$317,$A49,'Данные 1st'!$HG$2:$HG$317),"")</f>
        <v>3</v>
      </c>
      <c r="DG49" s="7">
        <f>IFERROR(AVERAGEIF('Данные 1st'!$S$2:$S$317,$A49,'Данные 1st'!$HH$2:$HH$317),"")</f>
        <v>3</v>
      </c>
      <c r="DH49" s="7">
        <f>IFERROR(AVERAGEIF('Данные 1st'!$S$2:$S$317,$A49,'Данные 1st'!$HI$2:$HI$317),"")</f>
        <v>137.85714285714286</v>
      </c>
      <c r="DI49" s="7">
        <f>IFERROR(AVERAGEIF('Данные 1st'!$S$2:$S$317,$A49,'Данные 1st'!$HJ$2:$HJ$317),"")</f>
        <v>3</v>
      </c>
      <c r="DJ49" s="7">
        <f>IFERROR(AVERAGEIF('Данные 1st'!$S$2:$S$317,$A49,'Данные 1st'!$HK$2:$HK$317),"")</f>
        <v>30</v>
      </c>
      <c r="DK49" s="7">
        <f>IFERROR(AVERAGEIF('Данные 1st'!$S$2:$S$317,$A49,'Данные 1st'!$HL$2:$HL$317),"")</f>
        <v>2</v>
      </c>
      <c r="DL49" s="7">
        <f>IFERROR(AVERAGEIF('Данные 1st'!$S$2:$S$317,$A49,'Данные 1st'!$HM$2:$HM$317),"")</f>
        <v>0</v>
      </c>
      <c r="DM49" s="7">
        <f>IFERROR(AVERAGEIF('Данные 1st'!$S$2:$S$317,$A49,'Данные 1st'!$HN$2:$HN$317),"")</f>
        <v>2</v>
      </c>
      <c r="DN49" s="7">
        <f>IFERROR(AVERAGEIF('Данные 1st'!$S$2:$S$317,$A49,'Данные 1st'!$HO$2:$HO$317),"")</f>
        <v>92.85714285714286</v>
      </c>
      <c r="DO49" s="7">
        <f>IFERROR(AVERAGEIF('Данные 1st'!$S$2:$S$317,$A49,'Данные 1st'!$HP$2:$HP$317),"")</f>
        <v>3</v>
      </c>
      <c r="DP49" s="7">
        <f>IFERROR(AVERAGEIF('Данные 1st'!$S$2:$S$317,$A49,'Данные 1st'!$HQ$2:$HQ$317),"")</f>
        <v>0</v>
      </c>
      <c r="DQ49" s="7">
        <f>IFERROR(AVERAGEIF('Данные 1st'!$S$2:$S$317,$A49,'Данные 1st'!$HR$2:$HR$317),"")</f>
        <v>2</v>
      </c>
      <c r="DR49" s="7">
        <f>IFERROR(AVERAGEIF('Данные 1st'!$S$2:$S$317,$A49,'Данные 1st'!$HS$2:$HS$317),"")</f>
        <v>5772.428571428572</v>
      </c>
      <c r="DS49" s="7">
        <f>IFERROR(AVERAGEIF('Данные 1st'!$S$2:$S$317,$A49,'Данные 1st'!$HT$2:$HT$317),"")</f>
        <v>172.85714285714286</v>
      </c>
      <c r="DT49" s="7">
        <f>IFERROR(AVERAGEIF('Данные 1st'!$S$2:$S$317,$A49,'Данные 1st'!$HU$2:$HU$317),"")</f>
        <v>180</v>
      </c>
      <c r="DU49" s="7">
        <f>IFERROR(AVERAGEIF('Данные 1st'!$S$2:$S$317,$A49,'Данные 1st'!$HW$2:$HW$317),"")</f>
        <v>2.857142857142857</v>
      </c>
      <c r="DV49" s="7">
        <f>IFERROR(AVERAGEIF('Данные 1st'!$S$2:$S$317,$A49,'Данные 1st'!$HX$2:$HX$317),"")</f>
        <v>481.14285714285717</v>
      </c>
      <c r="DW49" s="7">
        <f>IFERROR(AVERAGEIF('Данные 1st'!$S$2:$S$317,$A49,'Данные 1st'!$HY$2:$HY$317),"")</f>
        <v>0.18</v>
      </c>
      <c r="DX49" s="7">
        <f>IFERROR(AVERAGEIF('Данные 1st'!$S$2:$S$317,$A49,'Данные 1st'!$IA$2:$IA$317),"")</f>
        <v>0.15</v>
      </c>
      <c r="DY49" s="7">
        <f>IFERROR(AVERAGEIF('Данные 1st'!$S$2:$S$317,$A49,'Данные 1st'!$IB$2:$IB$317),"")</f>
        <v>0</v>
      </c>
      <c r="DZ49" s="7">
        <f>IFERROR(AVERAGEIF('Данные 1st'!$S$2:$S$317,$A49,'Данные 1st'!$IC$2:$IC$317),"")</f>
        <v>180</v>
      </c>
      <c r="EA49" s="7">
        <f>IFERROR(AVERAGEIF('Данные 1st'!$S$2:$S$317,$A49,'Данные 1st'!$ID$2:$ID$317),"")</f>
        <v>110</v>
      </c>
      <c r="EB49" s="7">
        <f>IFERROR(AVERAGEIF('Данные 1st'!$S$2:$S$317,$A49,'Данные 1st'!$IE$2:$IE$317),"")</f>
        <v>160.71428571428572</v>
      </c>
      <c r="EC49" s="7">
        <f>IFERROR(AVERAGEIF('Данные 1st'!$S$2:$S$317,$A49,'Данные 1st'!$IF$2:$IF$317),"")</f>
        <v>0</v>
      </c>
      <c r="ED49" s="7">
        <f>IFERROR(AVERAGEIF('Данные 1st'!$S$2:$S$317,$A49,'Данные 1st'!$IP$2:$IP$317),"")</f>
        <v>19</v>
      </c>
      <c r="EE49" s="7">
        <f>IFERROR(AVERAGEIF('Данные 1st'!$S$2:$S$317,$A49,'Данные 1st'!$IV$2:$IV$317),"")</f>
        <v>1458</v>
      </c>
      <c r="EF49" s="7">
        <f>IFERROR(AVERAGEIF('Данные 1st'!$S$2:$S$317,$A49,'Данные 1st'!$IW$2:$IW$317),"")</f>
        <v>436.85714285714283</v>
      </c>
      <c r="EG49" s="7">
        <f>IFERROR(AVERAGEIF('Данные 1st'!$S$2:$S$317,$A49,'Данные 1st'!$IX$2:$IX$317),"")</f>
        <v/>
      </c>
      <c r="EH49" s="7">
        <f>IFERROR(AVERAGEIF('Данные 1st'!$S$2:$S$317,$A49,'Данные 1st'!$IY$2:$IY$317),"")</f>
        <v>470</v>
      </c>
      <c r="EI49" s="7">
        <f>IFERROR(AVERAGEIF('Данные 1st'!$S$2:$S$317,$A49,'Данные 1st'!$JD$2:$JD$317),"")</f>
        <v>1475</v>
      </c>
      <c r="EJ49" s="7">
        <f>IFERROR(AVERAGEIF('Данные 1st'!$S$2:$S$317,$A49,'Данные 1st'!$JE$2:$JE$317),"")</f>
        <v>1467.4285714285713</v>
      </c>
      <c r="EK49" s="7">
        <f>IFERROR(AVERAGEIF('Данные 1st'!$S$2:$S$317,$A49,'Данные 1st'!$JF$2:$JF$317),"")</f>
        <v>1051.857142857143</v>
      </c>
      <c r="EL49" s="7">
        <f>IFERROR(AVERAGEIF('Данные 1st'!$S$2:$S$317,$A49,'Данные 1st'!$JG$2:$JG$317),"")</f>
        <v>1455.5714285714287</v>
      </c>
      <c r="EM49" s="7">
        <f>IFERROR(AVERAGEIF('Данные 1st'!$S$2:$S$317,$A49,'Данные 1st'!$JH$2:$JH$317),"")</f>
        <v>0</v>
      </c>
      <c r="EN49" s="7">
        <f>IFERROR(AVERAGEIF('Данные 1st'!$S$2:$S$317,$A49,'Данные 1st'!$JJ$2:$JJ$317),"")</f>
        <v>180</v>
      </c>
      <c r="EO49" s="7">
        <f>IFERROR(AVERAGEIF('Данные 1st'!$S$2:$S$317,$A49,'Данные 1st'!$JK$2:$JK$317),"")</f>
        <v>481.14285714285717</v>
      </c>
      <c r="EP49" s="7">
        <f>IFERROR(AVERAGEIF('Данные 1st'!$S$2:$S$317,$A49,'Данные 1st'!$JL$2:$JL$317),"")</f>
        <v/>
      </c>
      <c r="EQ49" s="7">
        <f>IFERROR(AVERAGEIF('Данные 1st'!$S$2:$S$317,$A49,'Данные 1st'!$JM$2:$JM$317),"")</f>
        <v/>
      </c>
      <c r="ER49" s="7">
        <f>IFERROR(AVERAGEIF('Данные 1st'!$S$2:$S$317,$A49,'Данные 1st'!$JN$2:$JN$317),"")</f>
        <v>401.42857142857144</v>
      </c>
      <c r="ES49" s="7">
        <f>IFERROR(AVERAGEIF('Данные 1st'!$S$2:$S$317,$A49,'Данные 1st'!$JO$2:$JO$317),"")</f>
        <v>605</v>
      </c>
      <c r="ET49" s="7">
        <f>IFERROR(AVERAGEIF('Данные 1st'!$S$2:$S$317,$A49,'Данные 1st'!$JP$2:$JP$317),"")</f>
        <v>350</v>
      </c>
      <c r="EU49" s="7">
        <f>IFERROR(AVERAGEIF('Данные 1st'!$S$2:$S$317,$A49,'Данные 1st'!$JQ$2:$JQ$317),"")</f>
        <v>0</v>
      </c>
      <c r="EV49" s="7">
        <f>IFERROR(AVERAGEIF('Данные 1st'!$S$2:$S$317,$A49,'Данные 1st'!$JR$2:$JR$317),"")</f>
        <v>437.42857142857144</v>
      </c>
      <c r="EW49" s="7">
        <f>IFERROR(AVERAGEIF('Данные 1st'!$S$2:$S$317,$A49,'Данные 1st'!$JS$2:$JS$317),"")</f>
        <v>137.85714285714286</v>
      </c>
      <c r="EX49" s="7">
        <f>IFERROR(AVERAGEIF('Данные 1st'!$S$2:$S$317,$A49,'Данные 1st'!$JT$2:$JT$317),"")</f>
        <v/>
      </c>
      <c r="EY49" s="7">
        <f>IFERROR(AVERAGEIF('Данные 1st'!$S$2:$S$317,$A49,'Данные 1st'!$JU$2:$JU$317),"")</f>
        <v/>
      </c>
      <c r="EZ49" s="7">
        <f>IFERROR(AVERAGEIF('Данные 1st'!$S$2:$S$317,$A49,'Данные 1st'!$JV$2:$JV$317),"")</f>
        <v>8</v>
      </c>
      <c r="FA49" s="7">
        <f>IFERROR(AVERAGEIF('Данные 1st'!$S$2:$S$317,$A49,'Данные 1st'!$JW$2:$JW$317),"")</f>
        <v/>
      </c>
      <c r="FB49" s="7">
        <f>IFERROR(AVERAGEIF('Данные 1st'!$S$2:$S$317,$A49,'Данные 1st'!$JX$2:$JX$317),"")</f>
        <v>478</v>
      </c>
      <c r="FC49" s="7">
        <f>IFERROR(AVERAGEIF('Данные 1st'!$S$2:$S$317,$A49,'Данные 1st'!$JY$2:$JY$317),"")</f>
        <v/>
      </c>
      <c r="FD49" s="7">
        <f>IFERROR(AVERAGEIF('Данные 1st'!$S$2:$S$317,$A49,'Данные 1st'!$JZ$2:$JZ$317),"")</f>
        <v/>
      </c>
      <c r="FE49" s="7">
        <f>IFERROR(AVERAGEIF('Данные 1st'!$S$2:$S$317,$A49,'Данные 1st'!$KA$2:$KA$317),"")</f>
        <v>160.71428571428572</v>
      </c>
      <c r="FF49" s="7">
        <f>IFERROR(AVERAGEIF('Данные 1st'!$S$2:$S$317,$A49,'Данные 1st'!$KB$2:$KB$317),"")</f>
        <v>110</v>
      </c>
      <c r="FG49" s="7">
        <f>IFERROR(AVERAGEIF('Данные 1st'!$S$2:$S$317,$A49,'Данные 1st'!$KC$2:$KC$317),"")</f>
        <v>0</v>
      </c>
      <c r="FH49" s="7">
        <f>IFERROR(AVERAGEIF('Данные 1st'!$S$2:$S$317,$A49,'Данные 1st'!$KD$2:$KD$317),"")</f>
        <v>80</v>
      </c>
      <c r="FI49" s="7">
        <f>IFERROR(AVERAGEIF('Данные 1st'!$S$2:$S$317,$A49,'Данные 1st'!$KE$2:$KE$317),"")</f>
        <v/>
      </c>
      <c r="FJ49" s="7">
        <f>IFERROR(AVERAGEIF('Данные 1st'!$S$2:$S$317,$A49,'Данные 1st'!$KF$2:$KF$317),"")</f>
        <v>4</v>
      </c>
      <c r="FK49" s="7">
        <f>IFERROR(AVERAGEIF('Данные 1st'!$S$2:$S$317,$A49,'Данные 1st'!$KG$2:$KG$317),"")</f>
        <v>2.2857142857142856</v>
      </c>
      <c r="FL49" s="7">
        <f>IFERROR(AVERAGEIF('Данные 1st'!$S$2:$S$317,$A49,'Данные 1st'!$KH$2:$KH$317),"")</f>
        <v>2</v>
      </c>
      <c r="FM49" s="7">
        <f>IFERROR(AVERAGEIF('Данные 1st'!$S$2:$S$317,$A49,'Данные 1st'!$KI$2:$KI$317),"")</f>
        <v>2</v>
      </c>
      <c r="FN49" s="7">
        <f>IFERROR(AVERAGEIF('Данные 1st'!$S$2:$S$317,$A49,'Данные 1st'!$KJ$2:$KJ$317),"")</f>
        <v>0</v>
      </c>
      <c r="FO49" s="7">
        <f>IFERROR(AVERAGEIF('Данные 1st'!$S$2:$S$317,$A49,'Данные 1st'!$KK$2:$KK$317),"")</f>
        <v>1.5</v>
      </c>
      <c r="FP49" s="7">
        <f>IFERROR(AVERAGEIF('Данные 1st'!$S$2:$S$317,$A49,'Данные 1st'!$KL$2:$KL$317),"")</f>
        <v>1.5</v>
      </c>
      <c r="FQ49" s="7">
        <f>IFERROR(AVERAGEIF('Данные 1st'!$S$2:$S$317,$A49,'Данные 1st'!$KM$2:$KM$317),"")</f>
        <v>0</v>
      </c>
      <c r="FR49" s="7">
        <f>IFERROR(AVERAGEIF('Данные 1st'!$S$2:$S$317,$A49,'Данные 1st'!$KN$2:$KN$317),"")</f>
        <v>0</v>
      </c>
      <c r="FS49" s="7">
        <f>IFERROR(AVERAGEIF('Данные 1st'!$S$2:$S$317,$A49,'Данные 1st'!$KR$2:$KR$317),"")</f>
        <v>33.57142857142857</v>
      </c>
      <c r="FT49" s="7">
        <f>IFERROR(AVERAGEIF('Данные 1st'!$S$2:$S$317,$A49,'Данные 1st'!$KS$2:$KS$317),"")</f>
        <v>55.714285714285715</v>
      </c>
      <c r="FU49" s="7">
        <f>IFERROR(AVERAGEIF('Данные 1st'!$S$2:$S$317,$A49,'Данные 1st'!$KT$2:$KT$317),"")</f>
        <v>0</v>
      </c>
      <c r="FV49" s="7">
        <f>IFERROR(AVERAGEIF('Данные 1st'!$S$2:$S$317,$A49,'Данные 1st'!$KV$2:$KV$317),"")</f>
        <v/>
      </c>
      <c r="FW49" s="7">
        <f>IFERROR(AVERAGEIF('Данные 1st'!$S$2:$S$317,$A49,'Данные 1st'!$KW$2:$KW$317),"")</f>
        <v/>
      </c>
      <c r="FX49" s="7">
        <f>IFERROR(AVERAGEIF('Данные 1st'!$S$2:$S$317,$A49,'Данные 1st'!$KX$2:$KX$317),"")</f>
        <v/>
      </c>
      <c r="FY49" s="7">
        <f>IFERROR(AVERAGEIF('Данные 1st'!$S$2:$S$317,$A49,'Данные 1st'!$KY$2:$KY$317),"")</f>
        <v/>
      </c>
      <c r="FZ49" s="7">
        <f>IFERROR(AVERAGEIF('Данные 1st'!$S$2:$S$317,$A49,'Данные 1st'!$KZ$2:$KZ$317),"")</f>
        <v/>
      </c>
      <c r="GA49" s="7">
        <f>IFERROR(AVERAGEIF('Данные 1st'!$S$2:$S$317,$A49,'Данные 1st'!$LA$2:$LA$317),"")</f>
        <v/>
      </c>
      <c r="GB49" s="7">
        <f>IFERROR(AVERAGEIF('Данные 1st'!$S$2:$S$317,$A49,'Данные 1st'!$LB$2:$LB$317),"")</f>
        <v/>
      </c>
      <c r="GC49" s="7">
        <f>IFERROR(AVERAGEIF('Данные 1st'!$S$2:$S$317,$A49,'Данные 1st'!$LC$2:$LC$317),"")</f>
        <v/>
      </c>
      <c r="GD49" s="7">
        <f>IFERROR(AVERAGEIF('Данные 1st'!$S$2:$S$317,$A49,'Данные 1st'!$LD$2:$LD$317),"")</f>
        <v/>
      </c>
      <c r="GE49" s="7">
        <f>IFERROR(AVERAGEIF('Данные 1st'!$S$2:$S$317,$A49,'Данные 1st'!$LE$2:$LE$317),"")</f>
        <v/>
      </c>
      <c r="GF49" s="7">
        <f>IFERROR(AVERAGEIF('Данные 1st'!$S$2:$S$317,$A49,'Данные 1st'!$LF$2:$LF$317),"")</f>
        <v/>
      </c>
      <c r="GG49" s="7">
        <f>IFERROR(AVERAGEIF('Данные 1st'!$S$2:$S$317,$A49,'Данные 1st'!$LG$2:$LG$317),"")</f>
        <v/>
      </c>
      <c r="GH49" s="7">
        <f>IFERROR(AVERAGEIF('Данные 1st'!$S$2:$S$317,$A49,'Данные 1st'!$LH$2:$LH$317),"")</f>
        <v/>
      </c>
      <c r="GI49" s="7">
        <f>IFERROR(AVERAGEIF('Данные 1st'!$S$2:$S$317,$A49,'Данные 1st'!$LI$2:$LI$317),"")</f>
        <v/>
      </c>
      <c r="GJ49" s="7">
        <f>IFERROR(AVERAGEIF('Данные 1st'!$S$2:$S$317,$A49,'Данные 1st'!$LJ$2:$LJ$317),"")</f>
        <v/>
      </c>
      <c r="GK49" s="7">
        <f>IFERROR(AVERAGEIF('Данные 1st'!$S$2:$S$317,$A49,'Данные 1st'!$LK$2:$LK$317),"")</f>
        <v>480</v>
      </c>
      <c r="GL49" s="7">
        <f>IFERROR(AVERAGEIF('Данные 1st'!$S$2:$S$317,$A49,'Данные 1st'!$LV$2:$LV$317),"")</f>
        <v/>
      </c>
      <c r="GM49" s="7">
        <f>IFERROR(AVERAGEIF('Данные 1st'!$S$2:$S$317,$A49,'Данные 1st'!$LW$2:$LW$317),"")</f>
        <v/>
      </c>
      <c r="GN49" s="7">
        <f>IFERROR(AVERAGEIF('Данные 1st'!$S$2:$S$317,$A49,'Данные 1st'!$LX$2:$LX$317),"")</f>
        <v>377</v>
      </c>
      <c r="GO49" s="7">
        <f>IFERROR(AVERAGEIF('Данные 1st'!$S$2:$S$317,$A49,'Данные 1st'!$LY$2:$LY$317),"")</f>
        <v>3.5</v>
      </c>
      <c r="GP49" s="7">
        <f>IFERROR(AVERAGEIF('Данные 1st'!$S$2:$S$317,$A49,'Данные 1st'!$LZ$2:$LZ$317),"")</f>
        <v>250</v>
      </c>
      <c r="GQ49" s="7">
        <f>IFERROR(AVERAGEIF('Данные 1st'!$S$2:$S$317,$A49,'Данные 1st'!$PG$2:$PG$317),"")</f>
        <v>1</v>
      </c>
      <c r="GR49" s="7">
        <f>IFERROR(AVERAGEIF('Данные 1st'!$S$2:$S$317,$A49,'Данные 1st'!$PX$2:$PX$317),"")</f>
        <v>56</v>
      </c>
      <c r="GS49" s="7">
        <f>IFERROR(AVERAGEIF('Данные 1st'!$S$2:$S$317,$A49,'Данные 1st'!$PY$2:$PY$317),"")</f>
        <v>56.42857142857143</v>
      </c>
      <c r="GT49" s="7">
        <f>IFERROR(AVERAGEIF('Данные 1st'!$S$2:$S$317,$A49,'Данные 1st'!$QA$2:$QA$317),"")</f>
        <v>1.5714285714285714</v>
      </c>
      <c r="GU49" s="7">
        <f>IFERROR(AVERAGEIF('Данные 1st'!$S$2:$S$317,$A49,'Данные 1st'!$QB$2:$QB$317),"")</f>
        <v>1455.5714285714287</v>
      </c>
      <c r="GV49" s="7">
        <f>IFERROR(AVERAGEIF('Данные 1st'!$S$2:$S$317,$A49,'Данные 1st'!$QC$2:$QC$317),"")</f>
        <v>69</v>
      </c>
      <c r="GW49" s="7">
        <f>IFERROR(AVERAGEIF('Данные 1st'!$S$2:$S$317,$A49,'Данные 1st'!$QD$2:$QD$317),"")</f>
        <v>69</v>
      </c>
      <c r="GX49" s="7">
        <f>IFERROR(AVERAGEIF('Данные 1st'!$S$2:$S$317,$A49,'Данные 1st'!$QF$2:$QF$317),"")</f>
        <v>1</v>
      </c>
      <c r="GY49" s="7">
        <f>IFERROR(AVERAGEIF('Данные 1st'!$S$2:$S$317,$A49,'Данные 1st'!$QG$2:$QG$317),"")</f>
        <v>1475</v>
      </c>
      <c r="GZ49" s="7">
        <f>IFERROR(AVERAGEIF('Данные 1st'!$S$2:$S$317,$A49,'Данные 1st'!$QH$2:$QH$317),"")</f>
        <v>66</v>
      </c>
      <c r="HA49" s="7">
        <f>IFERROR(AVERAGEIF('Данные 1st'!$S$2:$S$317,$A49,'Данные 1st'!$QI$2:$QI$317),"")</f>
        <v>66</v>
      </c>
      <c r="HB49" s="7">
        <f>IFERROR(AVERAGEIF('Данные 1st'!$S$2:$S$317,$A49,'Данные 1st'!$QK$2:$QK$317),"")</f>
        <v>1</v>
      </c>
      <c r="HC49" s="7">
        <f>IFERROR(AVERAGEIF('Данные 1st'!$S$2:$S$317,$A49,'Данные 1st'!$QL$2:$QL$317),"")</f>
        <v>1475</v>
      </c>
      <c r="HD49" s="7">
        <f>IFERROR(AVERAGEIF('Данные 1st'!$S$2:$S$317,$A49,'Данные 1st'!$QM$2:$QM$317),"")</f>
        <v>62</v>
      </c>
      <c r="HE49" s="7">
        <f>IFERROR(AVERAGEIF('Данные 1st'!$S$2:$S$317,$A49,'Данные 1st'!$QN$2:$QN$317),"")</f>
        <v>62</v>
      </c>
      <c r="HF49" s="7">
        <f>IFERROR(AVERAGEIF('Данные 1st'!$S$2:$S$317,$A49,'Данные 1st'!$QP$2:$QP$317),"")</f>
        <v>1</v>
      </c>
      <c r="HG49" s="7">
        <f>IFERROR(AVERAGEIF('Данные 1st'!$S$2:$S$317,$A49,'Данные 1st'!$QQ$2:$QQ$317),"")</f>
        <v>1467.4285714285713</v>
      </c>
      <c r="HH49" s="7">
        <f>IFERROR(AVERAGEIF('Данные 1st'!$S$2:$S$317,$A49,'Данные 1st'!$QR$2:$QR$317),"")</f>
        <v>62.4</v>
      </c>
      <c r="HI49" s="7">
        <f>IFERROR(AVERAGEIF('Данные 1st'!$S$2:$S$317,$A49,'Данные 1st'!$QS$2:$QS$317),"")</f>
        <v>62.4</v>
      </c>
      <c r="HJ49" s="7">
        <f>IFERROR(AVERAGEIF('Данные 1st'!$S$2:$S$317,$A49,'Данные 1st'!$QU$2:$QU$317),"")</f>
        <v>1</v>
      </c>
      <c r="HK49" s="7">
        <f>IFERROR(AVERAGEIF('Данные 1st'!$S$2:$S$317,$A49,'Данные 1st'!$QV$2:$QV$317),"")</f>
        <v>1472.6</v>
      </c>
      <c r="HL49" s="7">
        <f>IFERROR(AVERAGEIF('Данные 1st'!$S$2:$S$317,$A49,'Данные 1st'!$QW$2:$QW$317),"")</f>
        <v>82</v>
      </c>
      <c r="HM49" s="7">
        <f>IFERROR(AVERAGEIF('Данные 1st'!$S$2:$S$317,$A49,'Данные 1st'!$QX$2:$QX$317),"")</f>
        <v>88.71428571428571</v>
      </c>
      <c r="HN49" s="7">
        <f>IFERROR(AVERAGEIF('Данные 1st'!$S$2:$S$317,$A49,'Данные 1st'!$QZ$2:$QZ$317),"")</f>
        <v>1</v>
      </c>
      <c r="HO49" s="7">
        <f>IFERROR(AVERAGEIF('Данные 1st'!$S$2:$S$317,$A49,'Данные 1st'!$RA$2:$RA$317),"")</f>
        <v>66</v>
      </c>
      <c r="HP49" s="7">
        <f>IFERROR(AVERAGEIF('Данные 1st'!$S$2:$S$317,$A49,'Данные 1st'!$RB$2:$RB$317),"")</f>
        <v>66</v>
      </c>
      <c r="HQ49" s="7">
        <f>IFERROR(AVERAGEIF('Данные 1st'!$S$2:$S$317,$A49,'Данные 1st'!$RD$2:$RD$317),"")</f>
        <v/>
      </c>
      <c r="HR49" s="7">
        <f>IFERROR(AVERAGEIF('Данные 1st'!$S$2:$S$317,$A49,'Данные 1st'!$RE$2:$RE$317),"")</f>
        <v>0</v>
      </c>
      <c r="HS49" s="7">
        <f>IFERROR(AVERAGEIF('Данные 1st'!$S$2:$S$317,$A49,'Данные 1st'!$RF$2:$RF$317),"")</f>
        <v>1</v>
      </c>
      <c r="HT49" s="7">
        <f>IFERROR(AVERAGEIF('Данные 1st'!$S$2:$S$317,$A49,'Данные 1st'!$RG$2:$RG$317),"")</f>
        <v/>
      </c>
      <c r="HU49" s="7">
        <f>IFERROR(AVERAGEIF('Данные 1st'!$S$2:$S$317,$A49,'Данные 1st'!$RH$2:$RH$317),"")</f>
        <v>1</v>
      </c>
      <c r="HV49" s="7">
        <f>IFERROR(AVERAGEIF('Данные 1st'!$S$2:$S$317,$A49,'Данные 1st'!$RI$2:$RI$317),"")</f>
        <v>1</v>
      </c>
      <c r="HW49" s="7">
        <f>IFERROR(AVERAGEIF('Данные 1st'!$S$2:$S$317,$A49,'Данные 1st'!$RJ$2:$RJ$317),"")</f>
        <v>1</v>
      </c>
      <c r="HX49" s="7">
        <f>IFERROR(AVERAGEIF('Данные 1st'!$S$2:$S$317,$A49,'Данные 1st'!$RK$2:$RK$317),"")</f>
        <v>2.4285714285714284</v>
      </c>
      <c r="HY49" s="7">
        <f>IFERROR(AVERAGEIF('Данные 1st'!$S$2:$S$317,$A49,'Данные 1st'!$RL$2:$RL$317),"")</f>
        <v>3.142857142857143</v>
      </c>
      <c r="HZ49" s="7">
        <f>IFERROR(AVERAGEIF('Данные 1st'!$S$2:$S$317,$A49,'Данные 1st'!$RM$2:$RM$317),"")</f>
        <v>3.6</v>
      </c>
      <c r="IA49" s="7">
        <f>IFERROR(AVERAGEIF('Данные 1st'!$S$2:$S$317,$A49,'Данные 1st'!$RN$2:$RN$317),"")</f>
        <v/>
      </c>
      <c r="IB49" s="7">
        <f>IFERROR(AVERAGEIF('Данные 1st'!$S$2:$S$317,$A49,'Данные 1st'!$RO$2:$RO$317),"")</f>
        <v>568.4285714285714</v>
      </c>
      <c r="IC49" s="7">
        <f>IFERROR(AVERAGEIF('Данные 1st'!$S$2:$S$317,$A49,'Данные 1st'!$RP$2:$RP$317),"")</f>
        <v>120.85714285714286</v>
      </c>
      <c r="ID49" s="7">
        <f>IFERROR(AVERAGEIF('Данные 1st'!$S$2:$S$317,$A49,'Данные 1st'!$RQ$2:$RQ$317),"")</f>
        <v>824.7142857142857</v>
      </c>
      <c r="IE49" s="7">
        <f>IFERROR(AVERAGEIF('Данные 1st'!$S$2:$S$317,$A49,'Данные 1st'!$RR$2:$RR$317),"")</f>
        <v>628.4</v>
      </c>
      <c r="IF49" s="7">
        <f>IFERROR(AVERAGEIF('Данные 1st'!$S$2:$S$317,$A49,'Данные 1st'!$RS$2:$RS$317),"")</f>
        <v/>
      </c>
      <c r="IG49" s="7">
        <f>IFERROR(AVERAGEIF('Данные 1st'!$S$2:$S$317,$A49,'Данные 1st'!$RT$2:$RT$317),"")</f>
        <v>285.7142857142857</v>
      </c>
      <c r="IH49" s="7">
        <f>IFERROR(AVERAGEIF('Данные 1st'!$S$2:$S$317,$A49,'Данные 1st'!$RU$2:$RU$317),"")</f>
        <v>240.14285714285714</v>
      </c>
      <c r="II49" s="7">
        <f>IFERROR(AVERAGEIF('Данные 1st'!$S$2:$S$317,$A49,'Данные 1st'!$RX$2:$RX$317),"")</f>
        <v>15</v>
      </c>
      <c r="IJ49" s="7">
        <f>IFERROR(AVERAGEIF('Данные 1st'!$S$2:$S$317,$A49,'Данные 1st'!$RY$2:$RY$317),"")</f>
        <v>4</v>
      </c>
      <c r="IK49" s="7">
        <f>IFERROR(AVERAGEIF('Данные 1st'!$S$2:$S$317,$A49,'Данные 1st'!$SA$2:$SA$317),"")</f>
        <v>15</v>
      </c>
      <c r="IL49" s="7">
        <f>IFERROR(AVERAGEIF('Данные 1st'!$S$2:$S$317,$A49,'Данные 1st'!$SD$2:$SD$317),"")</f>
        <v>1</v>
      </c>
      <c r="IM49" s="7">
        <f>IFERROR(AVERAGEIF('Данные 1st'!$S$2:$S$317,$A49,'Данные 1st'!$SG$2:$SG$317),"")</f>
        <v>1</v>
      </c>
      <c r="IN49" s="7">
        <f>IFERROR(AVERAGEIF('Данные 1st'!$S$2:$S$317,$A49,'Данные 1st'!$SH$2:$SH$317),"")</f>
        <v>0.995</v>
      </c>
      <c r="IO49" s="7">
        <f>IFERROR(AVERAGEIF('Данные 1st'!$S$2:$S$317,$A49,'Данные 1st'!$SI$2:$SI$317),"")</f>
        <v>0.995</v>
      </c>
      <c r="IP49" s="7">
        <f>IFERROR(AVERAGEIF('Данные 1st'!$S$2:$S$317,$A49,'Данные 1st'!$SJ$2:$SJ$317),"")</f>
        <v>0.995</v>
      </c>
      <c r="IQ49" s="7">
        <f>IFERROR(AVERAGEIF('Данные 1st'!$S$2:$S$317,$A49,'Данные 1st'!$SK$2:$SK$317),"")</f>
        <v>15</v>
      </c>
      <c r="IR49" s="7">
        <f>IFERROR(AVERAGEIF('Данные 1st'!$S$2:$S$317,$A49,'Данные 1st'!$SL$2:$SL$317),"")</f>
        <v>0</v>
      </c>
      <c r="IS49" s="7">
        <f>IFERROR(AVERAGEIF('Данные 1st'!$S$2:$S$317,$A49,'Данные 1st'!$SM$2:$SM$317),"")</f>
        <v>0</v>
      </c>
      <c r="IT49" s="7">
        <f>IFERROR(AVERAGEIF('Данные 1st'!$S$2:$S$317,$A49,'Данные 1st'!$SN$2:$SN$317),"")</f>
        <v>0</v>
      </c>
      <c r="IU49" s="7">
        <f>IFERROR(AVERAGEIF('Данные 1st'!$S$2:$S$317,$A49,'Данные 1st'!$SO$2:$SO$317),"")</f>
        <v>0</v>
      </c>
      <c r="IV49" s="7">
        <f>IFERROR(AVERAGEIF('Данные 1st'!$S$2:$S$317,$A49,'Данные 1st'!$SP$2:$SP$317),"")</f>
        <v>0</v>
      </c>
      <c r="IW49" s="7">
        <f>IFERROR(AVERAGEIF('Данные 1st'!$S$2:$S$317,$A49,'Данные 1st'!$SQ$2:$SQ$317),"")</f>
        <v>0</v>
      </c>
      <c r="IX49" s="7">
        <f>IFERROR(AVERAGEIF('Данные 1st'!$S$2:$S$317,$A49,'Данные 1st'!$SR$2:$SR$317),"")</f>
        <v>0</v>
      </c>
      <c r="IY49" s="7">
        <f>IFERROR(AVERAGEIF('Данные 1st'!$S$2:$S$317,$A49,'Данные 1st'!$SS$2:$SS$317),"")</f>
        <v>0</v>
      </c>
      <c r="IZ49" s="7">
        <f>IFERROR(AVERAGEIF('Данные 1st'!$S$2:$S$317,$A49,'Данные 1st'!$ST$2:$ST$317),"")</f>
        <v>0</v>
      </c>
      <c r="JA49" s="7">
        <f>IFERROR(AVERAGEIF('Данные 1st'!$S$2:$S$317,$A49,'Данные 1st'!$SU$2:$SU$317),"")</f>
        <v>0</v>
      </c>
      <c r="JB49" s="7">
        <f>IFERROR(AVERAGEIF('Данные 1st'!$S$2:$S$317,$A49,'Данные 1st'!$SV$2:$SV$317),"")</f>
        <v>0</v>
      </c>
      <c r="JC49" s="7">
        <f>IFERROR(AVERAGEIF('Данные 1st'!$S$2:$S$317,$A49,'Данные 1st'!$SW$2:$SW$317),"")</f>
        <v>0</v>
      </c>
      <c r="JD49" s="7">
        <f>IFERROR(AVERAGEIF('Данные 1st'!$S$2:$S$317,$A49,'Данные 1st'!$SX$2:$SX$317),"")</f>
        <v>0</v>
      </c>
      <c r="JE49" s="7">
        <f>IFERROR(AVERAGEIF('Данные 1st'!$S$2:$S$317,$A49,'Данные 1st'!$SY$2:$SY$317),"")</f>
        <v>1</v>
      </c>
      <c r="JF49" s="7">
        <f>IFERROR(AVERAGEIF('Данные 1st'!$S$2:$S$317,$A49,'Данные 1st'!$SZ$2:$SZ$317),"")</f>
        <v>1</v>
      </c>
      <c r="JG49" s="7">
        <f>IFERROR(AVERAGEIF('Данные 1st'!$S$2:$S$317,$A49,'Данные 1st'!$TA$2:$TA$317),"")</f>
        <v/>
      </c>
      <c r="JH49" s="7">
        <f>IFERROR(AVERAGEIF('Данные 1st'!$S$2:$S$317,$A49,'Данные 1st'!$TB$2:$TB$317),"")</f>
        <v>0.14285714285714285</v>
      </c>
      <c r="JI49" s="7">
        <f>IFERROR(AVERAGEIF('Данные 1st'!$S$2:$S$317,$A49,'Данные 1st'!$TC$2:$TC$317),"")</f>
        <v>0</v>
      </c>
      <c r="JJ49" s="7">
        <f>IFERROR(AVERAGEIF('Данные 1st'!$S$2:$S$317,$A49,'Данные 1st'!$TD$2:$TD$317),"")</f>
        <v>7.5</v>
      </c>
      <c r="JK49" s="7">
        <f>IFERROR(AVERAGEIF('Данные 1st'!$S$2:$S$317,$A49,'Данные 1st'!$TN$2:$TN$317),"")</f>
        <v>0</v>
      </c>
      <c r="JL49">
        <f>COUNTIF('Данные 2st'!$Q$2:$Q$317,$A49)</f>
        <v>7</v>
      </c>
      <c r="JM49" s="6" t="s">
        <v>5108</v>
      </c>
      <c r="JN49" s="6" t="s">
        <v>513</v>
      </c>
      <c r="JO49" s="6" t="s">
        <v>5125</v>
      </c>
      <c r="JP49" s="6" t="s">
        <v>5503</v>
      </c>
      <c r="JQ49" s="7">
        <f>IFERROR(AVERAGEIF('Данные 2st'!$Q$2:$Q$317,$A49,'Данные 2st'!$AC$2:$AC$317),"")</f>
        <v>10.142857142857142</v>
      </c>
      <c r="JR49" s="7">
        <f>IFERROR(AVERAGEIF('Данные 2st'!$Q$2:$Q$317,$A49,'Данные 2st'!$AF$2:$AF$317),"")</f>
        <v>5775.285714285715</v>
      </c>
      <c r="JS49" s="7">
        <f>IFERROR(AVERAGEIF('Данные 2st'!$Q$2:$Q$317,$A49,'Данные 2st'!$AW$2:$AW$317),"")</f>
        <v>6.4</v>
      </c>
      <c r="JT49" s="7">
        <f>IFERROR(AVERAGEIF('Данные 2st'!$Q$2:$Q$317,$A49,'Данные 2st'!$AX$2:$AX$317),"")</f>
        <v>-6</v>
      </c>
      <c r="JU49" s="7">
        <f>IFERROR(AVERAGEIF('Данные 2st'!$Q$2:$Q$317,$A49,'Данные 2st'!$AY$2:$AY$317),"")</f>
        <v>103.92857142857143</v>
      </c>
      <c r="JV49" s="7">
        <f>IFERROR(AVERAGEIF('Данные 2st'!$Q$2:$Q$317,$A49,'Данные 2st'!$AZ$2:$AZ$317),"")</f>
        <v>79.28571428571429</v>
      </c>
      <c r="JW49" s="7">
        <f>IFERROR(AVERAGEIF('Данные 2st'!$Q$2:$Q$317,$A49,'Данные 2st'!$BA$2:$BA$317),"")</f>
        <v>0</v>
      </c>
      <c r="JX49" s="7">
        <f>IFERROR(AVERAGEIF('Данные 2st'!$Q$2:$Q$317,$A49,'Данные 2st'!$BB$2:$BB$317),"")</f>
        <v>34.166666666666664</v>
      </c>
      <c r="JY49" s="7">
        <f>IFERROR(AVERAGEIF('Данные 2st'!$Q$2:$Q$317,$A49,'Данные 2st'!$BC$2:$BC$317),"")</f>
        <v>0</v>
      </c>
      <c r="JZ49" s="7">
        <f>IFERROR(AVERAGEIF('Данные 2st'!$Q$2:$Q$317,$A49,'Данные 2st'!$BH$2:$BH$317),"")</f>
        <v>103.92857142857143</v>
      </c>
      <c r="KA49" s="7">
        <f>IFERROR(AVERAGEIF('Данные 2st'!$Q$2:$Q$317,$A49,'Данные 2st'!$BI$2:$BI$317),"")</f>
        <v>24.642857142857142</v>
      </c>
      <c r="KB49" s="7">
        <f>IFERROR(AVERAGEIF('Данные 2st'!$Q$2:$Q$317,$A49,'Данные 2st'!$BJ$2:$BJ$317),"")</f>
        <v>79.28571428571429</v>
      </c>
      <c r="KC49" s="7">
        <f>IFERROR(AVERAGEIF('Данные 2st'!$Q$2:$Q$317,$A49,'Данные 2st'!$BK$2:$BK$317),"")</f>
        <v>2.857142857142857</v>
      </c>
      <c r="KD49" s="7">
        <f>IFERROR(AVERAGEIF('Данные 2st'!$Q$2:$Q$317,$A49,'Данные 2st'!$BL$2:$BL$317),"")</f>
        <v>207.85714285714286</v>
      </c>
      <c r="KE49" s="7">
        <f>IFERROR(AVERAGEIF('Данные 2st'!$Q$2:$Q$317,$A49,'Данные 2st'!$BM$2:$BM$317),"")</f>
        <v>-6</v>
      </c>
      <c r="KF49" s="7">
        <f>IFERROR(AVERAGEIF('Данные 2st'!$Q$2:$Q$317,$A49,'Данные 2st'!$BN$2:$BN$317),"")</f>
        <v>14.642857142857142</v>
      </c>
      <c r="KG49" s="7">
        <f>IFERROR(AVERAGEIF('Данные 2st'!$Q$2:$Q$317,$A49,'Данные 2st'!$BO$2:$BO$317),"")</f>
        <v>0</v>
      </c>
      <c r="KH49" s="7">
        <f>IFERROR(AVERAGEIF('Данные 2st'!$Q$2:$Q$317,$A49,'Данные 2st'!$BP$2:$BP$317),"")</f>
        <v>29.285714285714285</v>
      </c>
      <c r="KI49" s="7">
        <f>IFERROR(AVERAGEIF('Данные 2st'!$Q$2:$Q$317,$A49,'Данные 2st'!$BR$2:$BR$317),"")</f>
        <v>202.14285714285714</v>
      </c>
      <c r="KJ49" s="7">
        <f>IFERROR(AVERAGEIF('Данные 2st'!$Q$2:$Q$317,$A49,'Данные 2st'!$BS$2:$BS$317),"")</f>
        <v>192.14285714285714</v>
      </c>
      <c r="KK49" s="7">
        <f>IFERROR(AVERAGEIF('Данные 2st'!$Q$2:$Q$317,$A49,'Данные 2st'!$BT$2:$BT$317),"")</f>
        <v>2170.714285714286</v>
      </c>
      <c r="KL49" s="7">
        <f>IFERROR(AVERAGEIF('Данные 2st'!$Q$2:$Q$317,$A49,'Данные 2st'!$CV$2:$CV$317),"")</f>
        <v>128.42857142857142</v>
      </c>
      <c r="KM49" s="7">
        <f>IFERROR(AVERAGEIF('Данные 2st'!$Q$2:$Q$317,$A49,'Данные 2st'!$CW$2:$CW$317),"")</f>
        <v>3</v>
      </c>
      <c r="KN49" s="7">
        <f>IFERROR(AVERAGEIF('Данные 2st'!$Q$2:$Q$317,$A49,'Данные 2st'!$CX$2:$CX$317),"")</f>
        <v>93.57142857142857</v>
      </c>
      <c r="KO49" s="7">
        <f>IFERROR(AVERAGEIF('Данные 2st'!$Q$2:$Q$317,$A49,'Данные 2st'!$CY$2:$CY$317),"")</f>
        <v>5</v>
      </c>
      <c r="KP49" s="7">
        <f>IFERROR(AVERAGEIF('Данные 2st'!$Q$2:$Q$317,$A49,'Данные 2st'!$CZ$2:$CZ$317),"")</f>
        <v>138.85714285714286</v>
      </c>
      <c r="KQ49" s="7">
        <f>IFERROR(AVERAGEIF('Данные 2st'!$Q$2:$Q$317,$A49,'Данные 2st'!$DA$2:$DA$317),"")</f>
        <v>5</v>
      </c>
      <c r="KR49" s="7">
        <f>IFERROR(AVERAGEIF('Данные 2st'!$Q$2:$Q$317,$A49,'Данные 2st'!$DB$2:$DB$317),"")</f>
        <v>13084.285714285714</v>
      </c>
      <c r="KS49" s="7">
        <f>IFERROR(AVERAGEIF('Данные 2st'!$Q$2:$Q$317,$A49,'Данные 2st'!$DC$2:$DC$317),"")</f>
        <v>390</v>
      </c>
      <c r="KT49" s="7">
        <f>IFERROR(AVERAGEIF('Данные 2st'!$Q$2:$Q$317,$A49,'Данные 2st'!$DD$2:$DD$317),"")</f>
        <v>348.85714285714283</v>
      </c>
      <c r="KU49" s="7">
        <f>IFERROR(AVERAGEIF('Данные 2st'!$Q$2:$Q$317,$A49,'Данные 2st'!$DE$2:$DE$317),"")</f>
        <v>2287.714285714286</v>
      </c>
      <c r="KV49" s="7">
        <f>IFERROR(AVERAGEIF('Данные 2st'!$Q$2:$Q$317,$A49,'Данные 2st'!$DF$2:$DF$317),"")</f>
        <v>2287.714285714286</v>
      </c>
      <c r="KW49" s="7">
        <f>IFERROR(AVERAGEIF('Данные 2st'!$Q$2:$Q$317,$A49,'Данные 2st'!$DG$2:$DG$317),"")</f>
        <v>2301</v>
      </c>
      <c r="KX49" s="7">
        <f>IFERROR(AVERAGEIF('Данные 2st'!$Q$2:$Q$317,$A49,'Данные 2st'!$DH$2:$DH$317),"")</f>
        <v>1.7142857142857142</v>
      </c>
      <c r="KY49" s="7">
        <f>IFERROR(AVERAGEIF('Данные 2st'!$Q$2:$Q$317,$A49,'Данные 2st'!$DI$2:$DI$317),"")</f>
        <v/>
      </c>
      <c r="KZ49" s="7">
        <f>IFERROR(AVERAGEIF('Данные 2st'!$Q$2:$Q$317,$A49,'Данные 2st'!$DK$2:$DK$317),"")</f>
        <v>202.14285714285714</v>
      </c>
      <c r="LA49" s="7">
        <f>IFERROR(AVERAGEIF('Данные 2st'!$Q$2:$Q$317,$A49,'Данные 2st'!$DM$2:$DM$317),"")</f>
        <v>64.42857142857143</v>
      </c>
      <c r="LB49" s="7">
        <f>IFERROR(AVERAGEIF('Данные 2st'!$Q$2:$Q$317,$A49,'Данные 2st'!$DN$2:$DN$317),"")</f>
        <v>1.1</v>
      </c>
      <c r="LC49" s="7">
        <f>IFERROR(AVERAGEIF('Данные 2st'!$Q$2:$Q$317,$A49,'Данные 2st'!$DO$2:$DO$317),"")</f>
        <v>1</v>
      </c>
      <c r="LD49" s="7">
        <f>IFERROR(AVERAGEIF('Данные 2st'!$Q$2:$Q$317,$A49,'Данные 2st'!$DP$2:$DP$317),"")</f>
        <v>2173.714285714286</v>
      </c>
      <c r="LE49" s="7">
        <f>IFERROR(AVERAGEIF('Данные 2st'!$Q$2:$Q$317,$A49,'Данные 2st'!$DQ$2:$DQ$317),"")</f>
        <v>950</v>
      </c>
      <c r="LF49" s="7">
        <f>IFERROR(AVERAGEIF('Данные 2st'!$Q$2:$Q$317,$A49,'Данные 2st'!$DS$2:$DS$317),"")</f>
        <v>192.14285714285714</v>
      </c>
      <c r="LG49" s="7">
        <f>IFERROR(AVERAGEIF('Данные 2st'!$Q$2:$Q$317,$A49,'Данные 2st'!$DU$2:$DU$317),"")</f>
        <v>64.42857142857143</v>
      </c>
      <c r="LH49" s="7">
        <f>IFERROR(AVERAGEIF('Данные 2st'!$Q$2:$Q$317,$A49,'Данные 2st'!$DV$2:$DV$317),"")</f>
        <v>1.1</v>
      </c>
      <c r="LI49" s="7">
        <f>IFERROR(AVERAGEIF('Данные 2st'!$Q$2:$Q$317,$A49,'Данные 2st'!$DW$2:$DW$317),"")</f>
        <v>1</v>
      </c>
      <c r="LJ49" s="7">
        <f>IFERROR(AVERAGEIF('Данные 2st'!$Q$2:$Q$317,$A49,'Данные 2st'!$DX$2:$DX$317),"")</f>
        <v>2185.714285714286</v>
      </c>
      <c r="LK49" s="7">
        <f>IFERROR(AVERAGEIF('Данные 2st'!$Q$2:$Q$317,$A49,'Данные 2st'!$DY$2:$DY$317),"")</f>
        <v>908.5714285714286</v>
      </c>
      <c r="LL49" s="7">
        <f>IFERROR(AVERAGEIF('Данные 2st'!$Q$2:$Q$317,$A49,'Данные 2st'!$EA$2:$EA$317),"")</f>
        <v>20</v>
      </c>
      <c r="LM49" s="7">
        <f>IFERROR(AVERAGEIF('Данные 2st'!$Q$2:$Q$317,$A49,'Данные 2st'!$EC$2:$EC$317),"")</f>
        <v>0.8</v>
      </c>
      <c r="LN49" s="7">
        <f>IFERROR(AVERAGEIF('Данные 2st'!$Q$2:$Q$317,$A49,'Данные 2st'!$ED$2:$ED$317),"")</f>
        <v>2173.714285714286</v>
      </c>
      <c r="LO49" s="7">
        <f>IFERROR(AVERAGEIF('Данные 2st'!$Q$2:$Q$317,$A49,'Данные 2st'!$EE$2:$EE$317),"")</f>
        <v>76.28571428571429</v>
      </c>
      <c r="LP49" s="7">
        <f>IFERROR(AVERAGEIF('Данные 2st'!$Q$2:$Q$317,$A49,'Данные 2st'!$EG$2:$EG$317),"")</f>
        <v>0</v>
      </c>
      <c r="LQ49" s="7">
        <f>IFERROR(AVERAGEIF('Данные 2st'!$Q$2:$Q$317,$A49,'Данные 2st'!$EI$2:$EI$317),"")</f>
        <v>0</v>
      </c>
      <c r="LR49" s="7">
        <f>IFERROR(AVERAGEIF('Данные 2st'!$Q$2:$Q$317,$A49,'Данные 2st'!$EJ$2:$EJ$317),"")</f>
        <v/>
      </c>
      <c r="LS49" s="7">
        <f>IFERROR(AVERAGEIF('Данные 2st'!$Q$2:$Q$317,$A49,'Данные 2st'!$EK$2:$EK$317),"")</f>
        <v/>
      </c>
      <c r="LT49" s="7">
        <f>IFERROR(AVERAGEIF('Данные 2st'!$Q$2:$Q$317,$A49,'Данные 2st'!$EM$2:$EM$317),"")</f>
        <v>12</v>
      </c>
      <c r="LU49" s="7">
        <f>IFERROR(AVERAGEIF('Данные 2st'!$Q$2:$Q$317,$A49,'Данные 2st'!$EN$2:$EN$317),"")</f>
        <v>0.5</v>
      </c>
      <c r="LV49" s="7">
        <f>IFERROR(AVERAGEIF('Данные 2st'!$Q$2:$Q$317,$A49,'Данные 2st'!$EO$2:$EO$317),"")</f>
        <v>0.96</v>
      </c>
      <c r="LW49" s="7">
        <f>IFERROR(AVERAGEIF('Данные 2st'!$Q$2:$Q$317,$A49,'Данные 2st'!$EP$2:$EP$317),"")</f>
        <v>2184.5442857142857</v>
      </c>
      <c r="LX49" s="7">
        <f>IFERROR(AVERAGEIF('Данные 2st'!$Q$2:$Q$317,$A49,'Данные 2st'!$EQ$2:$EQ$317),"")</f>
        <v>37521.7</v>
      </c>
      <c r="LY49" s="7">
        <f>IFERROR(AVERAGEIF('Данные 2st'!$Q$2:$Q$317,$A49,'Данные 2st'!$ER$2:$ER$317),"")</f>
        <v>8437.078571428572</v>
      </c>
      <c r="LZ49" s="7">
        <f>IFERROR(AVERAGEIF('Данные 2st'!$Q$2:$Q$317,$A49,'Данные 2st'!$ES$2:$ES$317),"")</f>
        <v>5058.405714285714</v>
      </c>
      <c r="MA49" s="7">
        <f>IFERROR(AVERAGEIF('Данные 2st'!$Q$2:$Q$317,$A49,'Данные 2st'!$ET$2:$ET$317),"")</f>
        <v>0</v>
      </c>
      <c r="MB49" s="7">
        <f>IFERROR(AVERAGEIF('Данные 2st'!$Q$2:$Q$317,$A49,'Данные 2st'!$EU$2:$EU$317),"")</f>
        <v>1</v>
      </c>
      <c r="MC49" s="7">
        <f>IFERROR(AVERAGEIF('Данные 2st'!$Q$2:$Q$317,$A49,'Данные 2st'!$EV$2:$EV$317),"")</f>
        <v>51017.57142857143</v>
      </c>
      <c r="MD49" s="7">
        <f>IFERROR(AVERAGEIF('Данные 2st'!$Q$2:$Q$317,$A49,'Данные 2st'!$EW$2:$EW$317),"")</f>
        <v>612.7142857142857</v>
      </c>
      <c r="ME49" s="7">
        <f>IFERROR(AVERAGEIF('Данные 2st'!$Q$2:$Q$317,$A49,'Данные 2st'!$EY$2:$EY$317),"")</f>
        <v>222.57142857142858</v>
      </c>
      <c r="MF49" s="7">
        <f>IFERROR(AVERAGEIF('Данные 2st'!$Q$2:$Q$317,$A49,'Данные 2st'!$FA$2:$FA$317),"")</f>
        <v>5.6</v>
      </c>
      <c r="MG49" s="7">
        <f>IFERROR(AVERAGEIF('Данные 2st'!$Q$2:$Q$317,$A49,'Данные 2st'!$FB$2:$FB$317),"")</f>
        <v>1</v>
      </c>
      <c r="MH49" s="7">
        <f>IFERROR(AVERAGEIF('Данные 2st'!$Q$2:$Q$317,$A49,'Данные 2st'!$FC$2:$FC$317),"")</f>
        <v>1</v>
      </c>
      <c r="MI49" s="7">
        <f>IFERROR(AVERAGEIF('Данные 2st'!$Q$2:$Q$317,$A49,'Данные 2st'!$FD$2:$FD$317),"")</f>
        <v>2218</v>
      </c>
      <c r="MJ49" s="7">
        <f>IFERROR(AVERAGEIF('Данные 2st'!$Q$2:$Q$317,$A49,'Данные 2st'!$FE$2:$FE$317),"")</f>
        <v>2895.285714285714</v>
      </c>
      <c r="MK49" s="7">
        <f>IFERROR(AVERAGEIF('Данные 2st'!$Q$2:$Q$317,$A49,'Данные 2st'!$FG$2:$FG$317),"")</f>
        <v>222.57142857142858</v>
      </c>
      <c r="ML49" s="7">
        <f>IFERROR(AVERAGEIF('Данные 2st'!$Q$2:$Q$317,$A49,'Данные 2st'!$FI$2:$FI$317),"")</f>
        <v>2.642857142857143</v>
      </c>
      <c r="MM49" s="7">
        <f>IFERROR(AVERAGEIF('Данные 2st'!$Q$2:$Q$317,$A49,'Данные 2st'!$FJ$2:$FJ$317),"")</f>
        <v>2218</v>
      </c>
      <c r="MN49" s="7">
        <f>IFERROR(AVERAGEIF('Данные 2st'!$Q$2:$Q$317,$A49,'Данные 2st'!$FK$2:$FK$317),"")</f>
        <v>1434.7142857142858</v>
      </c>
      <c r="MO49" s="7">
        <f>IFERROR(AVERAGEIF('Данные 2st'!$Q$2:$Q$317,$A49,'Данные 2st'!$FP$2:$FP$317),"")</f>
        <v>2218</v>
      </c>
      <c r="MP49" s="7">
        <f>IFERROR(AVERAGEIF('Данные 2st'!$Q$2:$Q$317,$A49,'Данные 2st'!$FQ$2:$FQ$317),"")</f>
        <v>181.57142857142858</v>
      </c>
      <c r="MQ49" s="7">
        <f>IFERROR(AVERAGEIF('Данные 2st'!$Q$2:$Q$317,$A49,'Данные 2st'!$FS$2:$FS$317),"")</f>
        <v>226.57142857142858</v>
      </c>
      <c r="MR49" s="7">
        <f>IFERROR(AVERAGEIF('Данные 2st'!$Q$2:$Q$317,$A49,'Данные 2st'!$FU$2:$FU$317),"")</f>
        <v>0.4</v>
      </c>
      <c r="MS49" s="7">
        <f>IFERROR(AVERAGEIF('Данные 2st'!$Q$2:$Q$317,$A49,'Данные 2st'!$FV$2:$FV$317),"")</f>
        <v>2218</v>
      </c>
      <c r="MT49" s="7">
        <f>IFERROR(AVERAGEIF('Данные 2st'!$Q$2:$Q$317,$A49,'Данные 2st'!$FW$2:$FW$317),"")</f>
        <v>222.85714285714286</v>
      </c>
      <c r="MU49" s="7">
        <f>IFERROR(AVERAGEIF('Данные 2st'!$Q$2:$Q$317,$A49,'Данные 2st'!$FY$2:$FY$317),"")</f>
        <v>5</v>
      </c>
      <c r="MV49" s="7">
        <f>IFERROR(AVERAGEIF('Данные 2st'!$Q$2:$Q$317,$A49,'Данные 2st'!$GB$2:$GB$317),"")</f>
        <v>2218</v>
      </c>
      <c r="MW49" s="7">
        <f>IFERROR(AVERAGEIF('Данные 2st'!$Q$2:$Q$317,$A49,'Данные 2st'!$GC$2:$GC$317),"")</f>
        <v>22.142857142857142</v>
      </c>
      <c r="MX49" s="7">
        <f>IFERROR(AVERAGEIF('Данные 2st'!$Q$2:$Q$317,$A49,'Данные 2st'!$GD$2:$GD$317),"")</f>
        <v>4756.571428571428</v>
      </c>
      <c r="MY49" s="7">
        <f>IFERROR(AVERAGEIF('Данные 2st'!$Q$2:$Q$317,$A49,'Данные 2st'!$GN$2:$GN$317),"")</f>
        <v/>
      </c>
      <c r="MZ49" s="7">
        <f>IFERROR(AVERAGEIF('Данные 2st'!$Q$2:$Q$317,$A49,'Данные 2st'!$GQ$2:$GQ$317),"")</f>
        <v>0</v>
      </c>
      <c r="NA49" s="7">
        <f>IFERROR(AVERAGEIF('Данные 2st'!$Q$2:$Q$317,$A49,'Данные 2st'!$GV$2:$GV$317),"")</f>
        <v>8.642857142857142</v>
      </c>
      <c r="NB49" s="7">
        <f>IFERROR(AVERAGEIF('Данные 2st'!$Q$2:$Q$317,$A49,'Данные 2st'!$GW$2:$GW$317),"")</f>
        <v>9.742857142857142</v>
      </c>
      <c r="NC49" s="7">
        <f>IFERROR(AVERAGEIF('Данные 2st'!$Q$2:$Q$317,$A49,'Данные 2st'!$GX$2:$GX$317),"")</f>
        <v>0.5</v>
      </c>
      <c r="ND49" s="7">
        <f>IFERROR(AVERAGEIF('Данные 2st'!$Q$2:$Q$317,$A49,'Данные 2st'!$GY$2:$GY$317),"")</f>
        <v>191.14285714285714</v>
      </c>
      <c r="NE49" s="7">
        <f>IFERROR(AVERAGEIF('Данные 2st'!$Q$2:$Q$317,$A49,'Данные 2st'!$GZ$2:$GZ$317),"")</f>
        <v>3</v>
      </c>
      <c r="NF49" s="7">
        <f>IFERROR(AVERAGEIF('Данные 2st'!$Q$2:$Q$317,$A49,'Данные 2st'!$HA$2:$HA$317),"")</f>
        <v>243.14285714285714</v>
      </c>
      <c r="NG49" s="7">
        <f>IFERROR(AVERAGEIF('Данные 2st'!$Q$2:$Q$317,$A49,'Данные 2st'!$HB$2:$HB$317),"")</f>
        <v>3</v>
      </c>
      <c r="NH49" s="7">
        <f>IFERROR(AVERAGEIF('Данные 2st'!$Q$2:$Q$317,$A49,'Данные 2st'!$HC$2:$HC$317),"")</f>
        <v>2218</v>
      </c>
      <c r="NI49" s="7">
        <f>IFERROR(AVERAGEIF('Данные 2st'!$Q$2:$Q$317,$A49,'Данные 2st'!$HD$2:$HD$317),"")</f>
        <v>4</v>
      </c>
      <c r="NJ49" s="7">
        <f>IFERROR(AVERAGEIF('Данные 2st'!$Q$2:$Q$317,$A49,'Данные 2st'!$HM$2:$HM$317),"")</f>
        <v>19</v>
      </c>
      <c r="NK49" s="7">
        <f>IFERROR(AVERAGEIF('Данные 2st'!$Q$2:$Q$317,$A49,'Данные 2st'!$HR$2:$HR$317),"")</f>
        <v>2.4285714285714284</v>
      </c>
      <c r="NL49" s="7">
        <f>IFERROR(AVERAGEIF('Данные 2st'!$Q$2:$Q$317,$A49,'Данные 2st'!$HS$2:$HS$317),"")</f>
        <v>2170.714285714286</v>
      </c>
      <c r="NM49" s="7">
        <f>IFERROR(AVERAGEIF('Данные 2st'!$Q$2:$Q$317,$A49,'Данные 2st'!$HT$2:$HT$317),"")</f>
        <v>4.928571428571429</v>
      </c>
      <c r="NN49" s="7">
        <f>IFERROR(AVERAGEIF('Данные 2st'!$Q$2:$Q$317,$A49,'Данные 2st'!$HY$2:$HY$317),"")</f>
        <v>0</v>
      </c>
      <c r="NO49" s="7">
        <f>IFERROR(AVERAGEIF('Данные 2st'!$Q$2:$Q$317,$A49,'Данные 2st'!$HZ$2:$HZ$317),"")</f>
        <v>64.42857142857143</v>
      </c>
      <c r="NP49" s="7">
        <f>IFERROR(AVERAGEIF('Данные 2st'!$Q$2:$Q$317,$A49,'Данные 2st'!$IA$2:$IA$317),"")</f>
        <v>2173.714285714286</v>
      </c>
      <c r="NQ49" s="7">
        <f>IFERROR(AVERAGEIF('Данные 2st'!$Q$2:$Q$317,$A49,'Данные 2st'!$IB$2:$IB$317),"")</f>
        <v>2185.714285714286</v>
      </c>
      <c r="NR49" s="7">
        <f>IFERROR(AVERAGEIF('Данные 2st'!$Q$2:$Q$317,$A49,'Данные 2st'!$IC$2:$IC$317),"")</f>
        <v/>
      </c>
      <c r="NS49" s="7">
        <f>IFERROR(AVERAGEIF('Данные 2st'!$Q$2:$Q$317,$A49,'Данные 2st'!$ID$2:$ID$317),"")</f>
        <v>2218</v>
      </c>
      <c r="NT49" s="7">
        <f>IFERROR(AVERAGEIF('Данные 2st'!$Q$2:$Q$317,$A49,'Данные 2st'!$IE$2:$IE$317),"")</f>
        <v>2218</v>
      </c>
      <c r="NU49" s="7">
        <f>IFERROR(AVERAGEIF('Данные 2st'!$Q$2:$Q$317,$A49,'Данные 2st'!$IF$2:$IF$317),"")</f>
        <v>202.14285714285714</v>
      </c>
      <c r="NV49" s="7">
        <f>IFERROR(AVERAGEIF('Данные 2st'!$Q$2:$Q$317,$A49,'Данные 2st'!$IG$2:$IG$317),"")</f>
        <v>192.14285714285714</v>
      </c>
      <c r="NW49" s="7">
        <f>IFERROR(AVERAGEIF('Данные 2st'!$Q$2:$Q$317,$A49,'Данные 2st'!$IH$2:$IH$317),"")</f>
        <v>243.14285714285714</v>
      </c>
      <c r="NX49" s="7">
        <f>IFERROR(AVERAGEIF('Данные 2st'!$Q$2:$Q$317,$A49,'Данные 2st'!$IJ$2:$IJ$317),"")</f>
        <v>5.714285714285714</v>
      </c>
      <c r="NY49" s="7">
        <f>IFERROR(AVERAGEIF('Данные 2st'!$Q$2:$Q$317,$A49,'Данные 2st'!$IM$2:$IM$317),"")</f>
        <v>0</v>
      </c>
      <c r="NZ49" s="7">
        <f>IFERROR(AVERAGEIF('Данные 2st'!$Q$2:$Q$317,$A49,'Данные 2st'!$IN$2:$IN$317),"")</f>
        <v>270</v>
      </c>
      <c r="OA49" s="7">
        <f>IFERROR(AVERAGEIF('Данные 2st'!$Q$2:$Q$317,$A49,'Данные 2st'!$IO$2:$IO$317),"")</f>
        <v>0</v>
      </c>
      <c r="OB49" s="7">
        <f>IFERROR(AVERAGEIF('Данные 2st'!$Q$2:$Q$317,$A49,'Данные 2st'!$IP$2:$IP$317),"")</f>
        <v>180</v>
      </c>
      <c r="OC49" s="7">
        <f>IFERROR(AVERAGEIF('Данные 2st'!$Q$2:$Q$317,$A49,'Данные 2st'!$IQ$2:$IQ$317),"")</f>
        <v>0</v>
      </c>
      <c r="OD49" s="7">
        <f>IFERROR(AVERAGEIF('Данные 2st'!$Q$2:$Q$317,$A49,'Данные 2st'!$IR$2:$IR$317),"")</f>
        <v>330</v>
      </c>
      <c r="OE49" s="7">
        <f>IFERROR(AVERAGEIF('Данные 2st'!$Q$2:$Q$317,$A49,'Данные 2st'!$IT$2:$IT$317),"")</f>
        <v>90</v>
      </c>
      <c r="OF49" s="7">
        <f>IFERROR(AVERAGEIF('Данные 2st'!$Q$2:$Q$317,$A49,'Данные 2st'!$IU$2:$IU$317),"")</f>
        <v>0</v>
      </c>
      <c r="OG49" s="7">
        <f>IFERROR(AVERAGEIF('Данные 2st'!$Q$2:$Q$317,$A49,'Данные 2st'!$IV$2:$IV$317),"")</f>
        <v>6.4</v>
      </c>
      <c r="OH49" s="7">
        <f>IFERROR(AVERAGEIF('Данные 2st'!$Q$2:$Q$317,$A49,'Данные 2st'!$IW$2:$IW$317),"")</f>
        <v>-6</v>
      </c>
      <c r="OI49" s="7">
        <f>IFERROR(AVERAGEIF('Данные 2st'!$Q$2:$Q$317,$A49,'Данные 2st'!$IX$2:$IX$317),"")</f>
        <v>103.92857142857143</v>
      </c>
      <c r="OJ49" s="7">
        <f>IFERROR(AVERAGEIF('Данные 2st'!$Q$2:$Q$317,$A49,'Данные 2st'!$IY$2:$IY$317),"")</f>
        <v>79.28571428571429</v>
      </c>
      <c r="OK49" s="7">
        <f>IFERROR(AVERAGEIF('Данные 2st'!$Q$2:$Q$317,$A49,'Данные 2st'!$IZ$2:$IZ$317),"")</f>
        <v>0</v>
      </c>
      <c r="OL49" s="7">
        <f>IFERROR(AVERAGEIF('Данные 2st'!$Q$2:$Q$317,$A49,'Данные 2st'!$JA$2:$JA$317),"")</f>
        <v>14.642857142857142</v>
      </c>
      <c r="OM49" s="7">
        <f>IFERROR(AVERAGEIF('Данные 2st'!$Q$2:$Q$317,$A49,'Данные 2st'!$JB$2:$JB$317),"")</f>
        <v>0</v>
      </c>
      <c r="ON49" s="7">
        <f>IFERROR(AVERAGEIF('Данные 2st'!$Q$2:$Q$317,$A49,'Данные 2st'!$JC$2:$JC$317),"")</f>
        <v>0</v>
      </c>
      <c r="OO49" s="7">
        <f>IFERROR(AVERAGEIF('Данные 2st'!$Q$2:$Q$317,$A49,'Данные 2st'!$JD$2:$JD$317),"")</f>
        <v>0</v>
      </c>
      <c r="OP49" s="7">
        <f>IFERROR(AVERAGEIF('Данные 2st'!$Q$2:$Q$317,$A49,'Данные 2st'!$JE$2:$JE$317),"")</f>
        <v>0</v>
      </c>
      <c r="OQ49" s="7">
        <f>IFERROR(AVERAGEIF('Данные 2st'!$Q$2:$Q$317,$A49,'Данные 2st'!$JF$2:$JF$317),"")</f>
        <v>0</v>
      </c>
      <c r="OR49" s="7">
        <f>IFERROR(AVERAGEIF('Данные 2st'!$Q$2:$Q$317,$A49,'Данные 2st'!$JG$2:$JG$317),"")</f>
        <v>0</v>
      </c>
      <c r="OS49" s="7">
        <f>IFERROR(AVERAGEIF('Данные 2st'!$Q$2:$Q$317,$A49,'Данные 2st'!$JH$2:$JH$317),"")</f>
        <v>0</v>
      </c>
      <c r="OT49" s="7">
        <f>IFERROR(AVERAGEIF('Данные 2st'!$Q$2:$Q$317,$A49,'Данные 2st'!$JI$2:$JI$317),"")</f>
        <v>406.85714285714283</v>
      </c>
      <c r="OU49" s="7">
        <f>IFERROR(AVERAGEIF('Данные 2st'!$Q$2:$Q$317,$A49,'Данные 2st'!$JJ$2:$JJ$317),"")</f>
        <v>376.85714285714283</v>
      </c>
      <c r="OV49" s="7">
        <f>IFERROR(AVERAGEIF('Данные 2st'!$Q$2:$Q$317,$A49,'Данные 2st'!$JK$2:$JK$317),"")</f>
        <v>276.7142857142857</v>
      </c>
      <c r="OW49" s="7">
        <f>IFERROR(AVERAGEIF('Данные 2st'!$Q$2:$Q$317,$A49,'Данные 2st'!$JL$2:$JL$317),"")</f>
        <v>374.85714285714283</v>
      </c>
      <c r="OX49" s="7">
        <f>IFERROR(AVERAGEIF('Данные 2st'!$Q$2:$Q$317,$A49,'Данные 2st'!$JM$2:$JM$317),"")</f>
        <v>288.85714285714283</v>
      </c>
      <c r="OY49" s="7">
        <f>IFERROR(AVERAGEIF('Данные 2st'!$Q$2:$Q$317,$A49,'Данные 2st'!$JP$2:$JP$317),"")</f>
        <v>192.85714285714286</v>
      </c>
      <c r="OZ49" s="7">
        <f>IFERROR(AVERAGEIF('Данные 2st'!$Q$2:$Q$317,$A49,'Данные 2st'!$JQ$2:$JQ$317),"")</f>
        <v>233.14285714285714</v>
      </c>
      <c r="PA49" s="7">
        <f>IFERROR(AVERAGEIF('Данные 2st'!$Q$2:$Q$317,$A49,'Данные 2st'!$JR$2:$JR$317),"")</f>
        <v>310.2857142857143</v>
      </c>
      <c r="PB49" s="7">
        <f>IFERROR(AVERAGEIF('Данные 2st'!$Q$2:$Q$317,$A49,'Данные 2st'!$JS$2:$JS$317),"")</f>
        <v>247.28571428571428</v>
      </c>
      <c r="PC49" s="7">
        <f>IFERROR(AVERAGEIF('Данные 2st'!$Q$2:$Q$317,$A49,'Данные 2st'!$JT$2:$JT$317),"")</f>
        <v>0</v>
      </c>
      <c r="PD49" s="7">
        <f>IFERROR(AVERAGEIF('Данные 2st'!$Q$2:$Q$317,$A49,'Данные 2st'!$JU$2:$JU$317),"")</f>
        <v>0</v>
      </c>
      <c r="PE49" s="7">
        <f>IFERROR(AVERAGEIF('Данные 2st'!$Q$2:$Q$317,$A49,'Данные 2st'!$JV$2:$JV$317),"")</f>
        <v>303.7142857142857</v>
      </c>
      <c r="PF49" s="7">
        <f>IFERROR(AVERAGEIF('Данные 2st'!$Q$2:$Q$317,$A49,'Данные 2st'!$JW$2:$JW$317),"")</f>
        <v>290.14285714285717</v>
      </c>
      <c r="PG49" s="7">
        <f>IFERROR(AVERAGEIF('Данные 2st'!$Q$2:$Q$317,$A49,'Данные 2st'!$KF$2:$KF$317),"")</f>
        <v>0.1757142857142857</v>
      </c>
      <c r="PH49" s="7">
        <f>IFERROR(AVERAGEIF('Данные 2st'!$Q$2:$Q$317,$A49,'Данные 2st'!$KG$2:$KG$317),"")</f>
        <v>0.11142857142857143</v>
      </c>
      <c r="PI49" s="7">
        <f>IFERROR(AVERAGEIF('Данные 2st'!$Q$2:$Q$317,$A49,'Данные 2st'!$KM$2:$KM$317),"")</f>
        <v>0.14285714285714285</v>
      </c>
      <c r="PJ49" s="7">
        <f>IFERROR(AVERAGEIF('Данные 2st'!$Q$2:$Q$317,$A49,'Данные 2st'!$KN$2:$KN$317),"")</f>
        <v>1.7</v>
      </c>
      <c r="PK49" s="7">
        <f>IFERROR(AVERAGEIF('Данные 2st'!$Q$2:$Q$317,$A49,'Данные 2st'!$KO$2:$KO$317),"")</f>
        <v>0</v>
      </c>
      <c r="PL49" s="7">
        <f>IFERROR(AVERAGEIF('Данные 2st'!$Q$2:$Q$317,$A49,'Данные 2st'!$KP$2:$KP$317),"")</f>
        <v>0</v>
      </c>
      <c r="PM49" s="7">
        <f>IFERROR(AVERAGEIF('Данные 2st'!$Q$2:$Q$317,$A49,'Данные 2st'!$KQ$2:$KQ$317),"")</f>
        <v>0.7571428571428571</v>
      </c>
      <c r="PN49" s="7">
        <f>IFERROR(AVERAGEIF('Данные 2st'!$Q$2:$Q$317,$A49,'Данные 2st'!$KR$2:$KR$317),"")</f>
        <v>0.7857142857142857</v>
      </c>
      <c r="PO49" s="7">
        <f>IFERROR(AVERAGEIF('Данные 2st'!$Q$2:$Q$317,$A49,'Данные 2st'!$KS$2:$KS$317),"")</f>
        <v>0.05714285714285715</v>
      </c>
      <c r="PP49" s="7">
        <f>IFERROR(AVERAGEIF('Данные 2st'!$Q$2:$Q$317,$A49,'Данные 2st'!$KT$2:$KT$317),"")</f>
        <v>2.4285714285714284</v>
      </c>
      <c r="PQ49" s="7">
        <f>IFERROR(AVERAGEIF('Данные 2st'!$Q$2:$Q$317,$A49,'Данные 2st'!$KU$2:$KU$317),"")</f>
        <v>0</v>
      </c>
      <c r="PR49" s="7">
        <f>IFERROR(AVERAGEIF('Данные 2st'!$Q$2:$Q$317,$A49,'Данные 2st'!$KV$2:$KV$317),"")</f>
        <v>0</v>
      </c>
      <c r="PS49" s="7">
        <f>IFERROR(AVERAGEIF('Данные 2st'!$Q$2:$Q$317,$A49,'Данные 2st'!$KW$2:$KW$317),"")</f>
        <v>1.0</v>
      </c>
      <c r="PT49" s="7">
        <f>IFERROR(AVERAGEIF('Данные 2st'!$Q$2:$Q$317,$A49,'Данные 2st'!$KX$2:$KX$317),"")</f>
        <v>1.7857142857142858</v>
      </c>
      <c r="PU49" s="7">
        <f>IFERROR(AVERAGEIF('Данные 2st'!$Q$2:$Q$317,$A49,'Данные 2st'!$KY$2:$KY$317),"")</f>
        <v>0</v>
      </c>
      <c r="PV49" s="7">
        <f>IFERROR(AVERAGEIF('Данные 2st'!$Q$2:$Q$317,$A49,'Данные 2st'!$KZ$2:$KZ$317),"")</f>
        <v>0</v>
      </c>
      <c r="PW49" s="7">
        <f>IFERROR(AVERAGEIF('Данные 2st'!$Q$2:$Q$317,$A49,'Данные 2st'!$LA$2:$LA$317),"")</f>
        <v>0</v>
      </c>
      <c r="PX49" s="7">
        <f>IFERROR(AVERAGEIF('Данные 2st'!$Q$2:$Q$317,$A49,'Данные 2st'!$LB$2:$LB$317),"")</f>
        <v>0</v>
      </c>
      <c r="PY49" s="7">
        <f>IFERROR(AVERAGEIF('Данные 2st'!$Q$2:$Q$317,$A49,'Данные 2st'!$LC$2:$LC$317),"")</f>
        <v>0</v>
      </c>
      <c r="PZ49" s="7">
        <f>IFERROR(AVERAGEIF('Данные 2st'!$Q$2:$Q$317,$A49,'Данные 2st'!$LD$2:$LD$317),"")</f>
        <v>0</v>
      </c>
      <c r="QA49" s="7">
        <f>IFERROR(AVERAGEIF('Данные 2st'!$Q$2:$Q$317,$A49,'Данные 2st'!$LE$2:$LE$317),"")</f>
        <v>0</v>
      </c>
      <c r="QB49" s="7">
        <f>IFERROR(AVERAGEIF('Данные 2st'!$Q$2:$Q$317,$A49,'Данные 2st'!$LF$2:$LF$317),"")</f>
        <v>0</v>
      </c>
      <c r="QC49" s="7">
        <f>IFERROR(AVERAGEIF('Данные 2st'!$Q$2:$Q$317,$A49,'Данные 2st'!$LG$2:$LG$317),"")</f>
        <v>0</v>
      </c>
      <c r="QD49" s="7">
        <f>IFERROR(AVERAGEIF('Данные 2st'!$Q$2:$Q$317,$A49,'Данные 2st'!$LH$2:$LH$317),"")</f>
        <v>3</v>
      </c>
      <c r="QE49" s="7">
        <f>IFERROR(AVERAGEIF('Данные 2st'!$Q$2:$Q$317,$A49,'Данные 2st'!$LJ$2:$LJ$317),"")</f>
        <v>0</v>
      </c>
      <c r="QF49" s="7">
        <f>IFERROR(AVERAGEIF('Данные 2st'!$Q$2:$Q$317,$A49,'Данные 2st'!$LK$2:$LK$317),"")</f>
        <v>7.928571428571429</v>
      </c>
      <c r="QG49" s="7">
        <f>IFERROR(AVERAGEIF('Данные 2st'!$Q$2:$Q$317,$A49,'Данные 2st'!$LL$2:$LL$317),"")</f>
        <v>6.214285714285714</v>
      </c>
      <c r="QH49" s="7">
        <f>IFERROR(AVERAGEIF('Данные 2st'!$Q$2:$Q$317,$A49,'Данные 2st'!$LM$2:$LM$317),"")</f>
        <v>8.857142857142858</v>
      </c>
      <c r="QI49" s="7">
        <f>IFERROR(AVERAGEIF('Данные 2st'!$Q$2:$Q$317,$A49,'Данные 2st'!$LN$2:$LN$317),"")</f>
        <v>0.9571428571428572</v>
      </c>
      <c r="QJ49" s="7">
        <f>IFERROR(AVERAGEIF('Данные 2st'!$Q$2:$Q$317,$A49,'Данные 2st'!$LO$2:$LO$317),"")</f>
        <v>2.1857142857142855</v>
      </c>
      <c r="QK49" s="7">
        <f>IFERROR(AVERAGEIF('Данные 2st'!$Q$2:$Q$317,$A49,'Данные 2st'!$LP$2:$LP$317),"")</f>
        <v>0</v>
      </c>
      <c r="QL49" s="7">
        <f>IFERROR(AVERAGEIF('Данные 2st'!$Q$2:$Q$317,$A49,'Данные 2st'!$LQ$2:$LQ$317),"")</f>
        <v>0</v>
      </c>
      <c r="QM49" s="7">
        <f>IFERROR(AVERAGEIF('Данные 2st'!$Q$2:$Q$317,$A49,'Данные 2st'!$LW$2:$LW$317),"")</f>
        <v>2.1142857142857143</v>
      </c>
      <c r="QN49" s="7">
        <f>IFERROR(AVERAGEIF('Данные 2st'!$Q$2:$Q$317,$A49,'Данные 2st'!$LX$2:$LX$317),"")</f>
        <v>2.1142857142857143</v>
      </c>
      <c r="QO49" s="7">
        <f>IFERROR(AVERAGEIF('Данные 2st'!$Q$2:$Q$317,$A49,'Данные 2st'!$LY$2:$LY$317),"")</f>
        <v>2.242857142857143</v>
      </c>
      <c r="QP49" s="7">
        <f>IFERROR(AVERAGEIF('Данные 2st'!$Q$2:$Q$317,$A49,'Данные 2st'!$LZ$2:$LZ$317),"")</f>
        <v>2.242857142857143</v>
      </c>
      <c r="QQ49" s="7">
        <f>IFERROR(AVERAGEIF('Данные 2st'!$Q$2:$Q$317,$A49,'Данные 2st'!$MB$2:$MB$317),"")</f>
        <v>3.642857142857143</v>
      </c>
      <c r="QR49" s="7">
        <f>IFERROR(AVERAGEIF('Данные 2st'!$Q$2:$Q$317,$A49,'Данные 2st'!$MG$2:$MG$317),"")</f>
        <v>0</v>
      </c>
      <c r="QS49" s="7">
        <f>IFERROR(AVERAGEIF('Данные 2st'!$Q$2:$Q$317,$A49,'Данные 2st'!$MH$2:$MH$317),"")</f>
        <v>0</v>
      </c>
      <c r="QT49" s="7">
        <f>IFERROR(AVERAGEIF('Данные 2st'!$Q$2:$Q$317,$A49,'Данные 2st'!$MI$2:$MI$317),"")</f>
        <v>0</v>
      </c>
      <c r="QU49" s="7">
        <f>IFERROR(AVERAGEIF('Данные 2st'!$Q$2:$Q$317,$A49,'Данные 2st'!$MJ$2:$MJ$317),"")</f>
        <v>0</v>
      </c>
      <c r="QV49" s="7">
        <f>IFERROR(AVERAGEIF('Данные 2st'!$Q$2:$Q$317,$A49,'Данные 2st'!$MK$2:$MK$317),"")</f>
        <v>0</v>
      </c>
      <c r="QW49" s="7">
        <f>IFERROR(AVERAGEIF('Данные 2st'!$Q$2:$Q$317,$A49,'Данные 2st'!$MM$2:$MM$317),"")</f>
        <v>418.57142857142856</v>
      </c>
      <c r="QX49" s="7">
        <f>IFERROR(AVERAGEIF('Данные 2st'!$Q$2:$Q$317,$A49,'Данные 2st'!$MQ$2:$MQ$317),"")</f>
        <v/>
      </c>
      <c r="QY49" s="7">
        <f>IFERROR(AVERAGEIF('Данные 2st'!$Q$2:$Q$317,$A49,'Данные 2st'!$MR$2:$MR$317),"")</f>
        <v/>
      </c>
      <c r="QZ49" s="7">
        <f>IFERROR(AVERAGEIF('Данные 2st'!$Q$2:$Q$317,$A49,'Данные 2st'!$MS$2:$MS$317),"")</f>
        <v/>
      </c>
      <c r="RA49" s="7">
        <f>IFERROR(AVERAGEIF('Данные 2st'!$Q$2:$Q$317,$A49,'Данные 2st'!$MT$2:$MT$317),"")</f>
        <v/>
      </c>
      <c r="RB49" s="7">
        <f>IFERROR(AVERAGEIF('Данные 2st'!$Q$2:$Q$317,$A49,'Данные 2st'!$MU$2:$MU$317),"")</f>
        <v/>
      </c>
      <c r="RC49" s="7">
        <f>IFERROR(AVERAGEIF('Данные 2st'!$Q$2:$Q$317,$A49,'Данные 2st'!$MV$2:$MV$317),"")</f>
        <v/>
      </c>
      <c r="RD49" s="7">
        <f>IFERROR(AVERAGEIF('Данные 2st'!$Q$2:$Q$317,$A49,'Данные 2st'!$MW$2:$MW$317),"")</f>
        <v/>
      </c>
      <c r="RE49" s="7">
        <f>IFERROR(AVERAGEIF('Данные 2st'!$Q$2:$Q$317,$A49,'Данные 2st'!$MX$2:$MX$317),"")</f>
        <v/>
      </c>
      <c r="RF49" s="7">
        <f>IFERROR(AVERAGEIF('Данные 2st'!$Q$2:$Q$317,$A49,'Данные 2st'!$MY$2:$MY$317),"")</f>
        <v/>
      </c>
      <c r="RG49" s="7">
        <f>IFERROR(AVERAGEIF('Данные 2st'!$Q$2:$Q$317,$A49,'Данные 2st'!$MZ$2:$MZ$317),"")</f>
        <v/>
      </c>
      <c r="RH49" s="7">
        <f>IFERROR(AVERAGEIF('Данные 2st'!$Q$2:$Q$317,$A49,'Данные 2st'!$NA$2:$NA$317),"")</f>
        <v/>
      </c>
      <c r="RI49" s="7">
        <f>IFERROR(AVERAGEIF('Данные 2st'!$Q$2:$Q$317,$A49,'Данные 2st'!$NB$2:$NB$317),"")</f>
        <v/>
      </c>
      <c r="RJ49" s="7">
        <f>IFERROR(AVERAGEIF('Данные 2st'!$Q$2:$Q$317,$A49,'Данные 2st'!$NC$2:$NC$317),"")</f>
        <v/>
      </c>
      <c r="RK49" s="7">
        <f>IFERROR(AVERAGEIF('Данные 2st'!$Q$2:$Q$317,$A49,'Данные 2st'!$ND$2:$ND$317),"")</f>
        <v/>
      </c>
      <c r="RL49" s="7">
        <f>IFERROR(AVERAGEIF('Данные 2st'!$Q$2:$Q$317,$A49,'Данные 2st'!$NE$2:$NE$317),"")</f>
        <v/>
      </c>
      <c r="RM49" s="7">
        <f>IFERROR(AVERAGEIF('Данные 2st'!$Q$2:$Q$317,$A49,'Данные 2st'!$NF$2:$NF$317),"")</f>
        <v/>
      </c>
      <c r="RN49" s="7">
        <f>IFERROR(AVERAGEIF('Данные 2st'!$Q$2:$Q$317,$A49,'Данные 2st'!$NG$2:$NG$317),"")</f>
        <v/>
      </c>
      <c r="RO49" s="7">
        <f>IFERROR(AVERAGEIF('Данные 2st'!$Q$2:$Q$317,$A49,'Данные 2st'!$NH$2:$NH$317),"")</f>
        <v/>
      </c>
      <c r="RP49" s="7">
        <f>IFERROR(AVERAGEIF('Данные 2st'!$Q$2:$Q$317,$A49,'Данные 2st'!$NJ$2:$NJ$317),"")</f>
        <v/>
      </c>
      <c r="RQ49" s="7">
        <f>IFERROR(AVERAGEIF('Данные 2st'!$Q$2:$Q$317,$A49,'Данные 2st'!$NK$2:$NK$317),"")</f>
        <v/>
      </c>
      <c r="RR49" s="7">
        <f>IFERROR(AVERAGEIF('Данные 2st'!$Q$2:$Q$317,$A49,'Данные 2st'!$NM$2:$NM$317),"")</f>
        <v/>
      </c>
      <c r="RS49" s="7">
        <f>IFERROR(AVERAGEIF('Данные 2st'!$Q$2:$Q$317,$A49,'Данные 2st'!$NN$2:$NN$317),"")</f>
        <v/>
      </c>
      <c r="RT49" s="7">
        <f>IFERROR(AVERAGEIF('Данные 2st'!$Q$2:$Q$317,$A49,'Данные 2st'!$NO$2:$NO$317),"")</f>
        <v/>
      </c>
      <c r="RU49" s="7">
        <f>IFERROR(AVERAGEIF('Данные 2st'!$Q$2:$Q$317,$A49,'Данные 2st'!$NP$2:$NP$317),"")</f>
        <v/>
      </c>
      <c r="RV49" s="7">
        <f>IFERROR(AVERAGEIF('Данные 2st'!$Q$2:$Q$317,$A49,'Данные 2st'!$NQ$2:$NQ$317),"")</f>
        <v/>
      </c>
      <c r="RW49" s="7">
        <f>IFERROR(AVERAGEIF('Данные 2st'!$Q$2:$Q$317,$A49,'Данные 2st'!$NR$2:$NR$317),"")</f>
        <v/>
      </c>
      <c r="RX49" s="7">
        <f>IFERROR(AVERAGEIF('Данные 2st'!$Q$2:$Q$317,$A49,'Данные 2st'!$NS$2:$NS$317),"")</f>
        <v/>
      </c>
      <c r="RY49" s="7">
        <f>IFERROR(AVERAGEIF('Данные 2st'!$Q$2:$Q$317,$A49,'Данные 2st'!$NT$2:$NT$317),"")</f>
        <v/>
      </c>
      <c r="RZ49" s="7">
        <f>IFERROR(AVERAGEIF('Данные 2st'!$Q$2:$Q$317,$A49,'Данные 2st'!$OK$2:$OK$317),"")</f>
        <v>61</v>
      </c>
      <c r="SA49" s="7">
        <f>IFERROR(AVERAGEIF('Данные 2st'!$Q$2:$Q$317,$A49,'Данные 2st'!$OL$2:$OL$317),"")</f>
        <v>61</v>
      </c>
      <c r="SB49" s="7">
        <f>IFERROR(AVERAGEIF('Данные 2st'!$Q$2:$Q$317,$A49,'Данные 2st'!$ON$2:$ON$317),"")</f>
        <v>1</v>
      </c>
      <c r="SC49" s="7">
        <f>IFERROR(AVERAGEIF('Данные 2st'!$Q$2:$Q$317,$A49,'Данные 2st'!$OO$2:$OO$317),"")</f>
        <v>2173.714285714286</v>
      </c>
      <c r="SD49" s="7">
        <f>IFERROR(AVERAGEIF('Данные 2st'!$Q$2:$Q$317,$A49,'Данные 2st'!$OP$2:$OP$317),"")</f>
        <v>61</v>
      </c>
      <c r="SE49" s="7">
        <f>IFERROR(AVERAGEIF('Данные 2st'!$Q$2:$Q$317,$A49,'Данные 2st'!$OQ$2:$OQ$317),"")</f>
        <v>61</v>
      </c>
      <c r="SF49" s="7">
        <f>IFERROR(AVERAGEIF('Данные 2st'!$Q$2:$Q$317,$A49,'Данные 2st'!$OS$2:$OS$317),"")</f>
        <v>1</v>
      </c>
      <c r="SG49" s="7">
        <f>IFERROR(AVERAGEIF('Данные 2st'!$Q$2:$Q$317,$A49,'Данные 2st'!$OT$2:$OT$317),"")</f>
        <v>2185.714285714286</v>
      </c>
      <c r="SH49" s="7">
        <f>IFERROR(AVERAGEIF('Данные 2st'!$Q$2:$Q$317,$A49,'Данные 2st'!$OU$2:$OU$317),"")</f>
        <v>65</v>
      </c>
      <c r="SI49" s="7">
        <f>IFERROR(AVERAGEIF('Данные 2st'!$Q$2:$Q$317,$A49,'Данные 2st'!$OV$2:$OV$317),"")</f>
        <v>65</v>
      </c>
      <c r="SJ49" s="7">
        <f>IFERROR(AVERAGEIF('Данные 2st'!$Q$2:$Q$317,$A49,'Данные 2st'!$OX$2:$OX$317),"")</f>
        <v>2</v>
      </c>
      <c r="SK49" s="7">
        <f>IFERROR(AVERAGEIF('Данные 2st'!$Q$2:$Q$317,$A49,'Данные 2st'!$OY$2:$OY$317),"")</f>
        <v>51017.57142857143</v>
      </c>
      <c r="SL49" s="7">
        <f>IFERROR(AVERAGEIF('Данные 2st'!$Q$2:$Q$317,$A49,'Данные 2st'!$OZ$2:$OZ$317),"")</f>
        <v>51</v>
      </c>
      <c r="SM49" s="7">
        <f>IFERROR(AVERAGEIF('Данные 2st'!$Q$2:$Q$317,$A49,'Данные 2st'!$PA$2:$PA$317),"")</f>
        <v>51.42857142857143</v>
      </c>
      <c r="SN49" s="7">
        <f>IFERROR(AVERAGEIF('Данные 2st'!$Q$2:$Q$317,$A49,'Данные 2st'!$PC$2:$PC$317),"")</f>
        <v>1.5714285714285714</v>
      </c>
      <c r="SO49" s="7">
        <f>IFERROR(AVERAGEIF('Данные 2st'!$Q$2:$Q$317,$A49,'Данные 2st'!$PD$2:$PD$317),"")</f>
        <v>2218</v>
      </c>
      <c r="SP49" s="7">
        <f>IFERROR(AVERAGEIF('Данные 2st'!$Q$2:$Q$317,$A49,'Данные 2st'!$PF$2:$PF$317),"")</f>
        <v>437.14285714285717</v>
      </c>
      <c r="SQ49" s="7">
        <f>IFERROR(AVERAGEIF('Данные 2st'!$Q$2:$Q$317,$A49,'Данные 2st'!$PG$2:$PG$317),"")</f>
        <v>35</v>
      </c>
      <c r="SR49" s="7">
        <f>IFERROR(AVERAGEIF('Данные 2st'!$Q$2:$Q$317,$A49,'Данные 2st'!$PH$2:$PH$317),"")</f>
        <v>415.7142857142857</v>
      </c>
      <c r="SS49" s="7">
        <f>IFERROR(AVERAGEIF('Данные 2st'!$Q$2:$Q$317,$A49,'Данные 2st'!$PI$2:$PI$317),"")</f>
        <v>0</v>
      </c>
      <c r="ST49" s="7">
        <f>IFERROR(AVERAGEIF('Данные 2st'!$Q$2:$Q$317,$A49,'Данные 2st'!$PJ$2:$PJ$317),"")</f>
        <v>81.87142857142857</v>
      </c>
      <c r="SU49" s="7">
        <f>IFERROR(AVERAGEIF('Данные 2st'!$Q$2:$Q$317,$A49,'Данные 2st'!$PK$2:$PK$317),"")</f>
        <v>2083.3333333333335</v>
      </c>
      <c r="SV49" s="7">
        <f>IFERROR(AVERAGEIF('Данные 2st'!$Q$2:$Q$317,$A49,'Данные 2st'!$PL$2:$PL$317),"")</f>
        <v>1305.6142857142856</v>
      </c>
      <c r="SW49" s="7">
        <f>IFERROR(AVERAGEIF('Данные 2st'!$Q$2:$Q$317,$A49,'Данные 2st'!$PM$2:$PM$317),"")</f>
        <v>646.8</v>
      </c>
      <c r="SX49" s="7">
        <f>IFERROR(AVERAGEIF('Данные 2st'!$Q$2:$Q$317,$A49,'Данные 2st'!$PN$2:$PN$317),"")</f>
        <v>100.5</v>
      </c>
      <c r="SY49" s="7">
        <f>IFERROR(AVERAGEIF('Данные 2st'!$Q$2:$Q$317,$A49,'Данные 2st'!$PO$2:$PO$317),"")</f>
        <v>9.971428571428572</v>
      </c>
      <c r="SZ49" s="7">
        <f>IFERROR(AVERAGEIF('Данные 2st'!$Q$2:$Q$317,$A49,'Данные 2st'!$PP$2:$PP$317),"")</f>
        <v>12</v>
      </c>
      <c r="TA49" s="7">
        <f>IFERROR(AVERAGEIF('Данные 2st'!$Q$2:$Q$317,$A49,'Данные 2st'!$PQ$2:$PQ$317),"")</f>
        <v>5</v>
      </c>
      <c r="TB49" s="7">
        <f>IFERROR(AVERAGEIF('Данные 2st'!$Q$2:$Q$317,$A49,'Данные 2st'!$PR$2:$PR$317),"")</f>
        <v>5</v>
      </c>
      <c r="TC49" s="7">
        <f>IFERROR(AVERAGEIF('Данные 2st'!$Q$2:$Q$317,$A49,'Данные 2st'!$PS$2:$PS$317),"")</f>
        <v>0</v>
      </c>
      <c r="TD49" s="7">
        <f>IFERROR(AVERAGEIF('Данные 2st'!$Q$2:$Q$317,$A49,'Данные 2st'!$PT$2:$PT$317),"")</f>
        <v>243.14285714285714</v>
      </c>
      <c r="TE49" s="7">
        <f>IFERROR(AVERAGEIF('Данные 2st'!$Q$2:$Q$317,$A49,'Данные 2st'!$PU$2:$PU$317),"")</f>
        <v>10.285714285714286</v>
      </c>
      <c r="TF49" s="7">
        <f>IFERROR(AVERAGEIF('Данные 2st'!$Q$2:$Q$317,$A49,'Данные 2st'!$PX$2:$PX$317),"")</f>
        <v>0</v>
      </c>
      <c r="TG49" s="7">
        <f>IFERROR(AVERAGEIF('Данные 2st'!$Q$2:$Q$317,$A49,'Данные 2st'!$PY$2:$PY$317),"")</f>
        <v>0</v>
      </c>
      <c r="TH49" s="7">
        <f>IFERROR(AVERAGEIF('Данные 2st'!$Q$2:$Q$317,$A49,'Данные 2st'!$PZ$2:$PZ$317),"")</f>
        <v>0</v>
      </c>
      <c r="TI49" s="7">
        <f>IFERROR(AVERAGEIF('Данные 2st'!$Q$2:$Q$317,$A49,'Данные 2st'!$QA$2:$QA$317),"")</f>
        <v>0</v>
      </c>
      <c r="TJ49" s="7">
        <f>IFERROR(AVERAGEIF('Данные 2st'!$Q$2:$Q$317,$A49,'Данные 2st'!$QB$2:$QB$317),"")</f>
        <v>0</v>
      </c>
      <c r="TK49" s="7">
        <f>IFERROR(AVERAGEIF('Данные 2st'!$Q$2:$Q$317,$A49,'Данные 2st'!$QC$2:$QC$317),"")</f>
        <v>0</v>
      </c>
      <c r="TL49" s="7">
        <f>IFERROR(AVERAGEIF('Данные 2st'!$Q$2:$Q$317,$A49,'Данные 2st'!$QD$2:$QD$317),"")</f>
        <v>0</v>
      </c>
      <c r="TM49" s="7">
        <f>IFERROR(AVERAGEIF('Данные 2st'!$Q$2:$Q$317,$A49,'Данные 2st'!$QE$2:$QE$317),"")</f>
        <v>-1</v>
      </c>
      <c r="TN49" s="7">
        <f>IFERROR(AVERAGEIF('Данные 2st'!$Q$2:$Q$317,$A49,'Данные 2st'!$QF$2:$QF$317),"")</f>
        <v>1</v>
      </c>
      <c r="TO49" s="7">
        <f>IFERROR(AVERAGEIF('Данные 2st'!$Q$2:$Q$317,$A49,'Данные 2st'!$QG$2:$QG$317),"")</f>
        <v>0</v>
      </c>
      <c r="TP49" s="7">
        <f>IFERROR(AVERAGEIF('Данные 2st'!$Q$2:$Q$317,$A49,'Данные 2st'!$QH$2:$QH$317),"")</f>
        <v>5</v>
      </c>
      <c r="TQ49" s="7">
        <f>IFERROR(AVERAGEIF('Данные 2st'!$Q$2:$Q$317,$A49,'Данные 2st'!$QI$2:$QI$317),"")</f>
        <v>5</v>
      </c>
      <c r="TR49" s="7">
        <f>IFERROR(AVERAGEIF('Данные 2st'!$Q$2:$Q$317,$A49,'Данные 2st'!$QJ$2:$QJ$317),"")</f>
        <v>5</v>
      </c>
      <c r="TS49" s="7">
        <f>IFERROR(AVERAGEIF('Данные 2st'!$Q$2:$Q$317,$A49,'Данные 2st'!$QK$2:$QK$317),"")</f>
        <v>218.71428571428572</v>
      </c>
      <c r="TT49" s="7">
        <f>IFERROR(AVERAGEIF('Данные 2st'!$Q$2:$Q$317,$A49,'Данные 2st'!$QL$2:$QL$317),"")</f>
        <v>436.85714285714283</v>
      </c>
      <c r="TU49" s="7">
        <f>IFERROR(AVERAGEIF('Данные 2st'!$Q$2:$Q$317,$A49,'Данные 2st'!$QM$2:$QM$317),"")</f>
        <v>7.5</v>
      </c>
      <c r="TV49" s="7">
        <f>IFERROR(AVERAGEIF('Данные 2st'!$Q$2:$Q$317,$A49,'Данные 2st'!$QN$2:$QN$317),"")</f>
        <v>1543.4142857142856</v>
      </c>
      <c r="TW49" s="7">
        <f>IFERROR(AVERAGEIF('Данные 2st'!$Q$2:$Q$317,$A49,'Данные 2st'!$QQ$2:$QQ$317),"")</f>
        <v>0</v>
      </c>
      <c r="TX49" s="7">
        <f>IFERROR(AVERAGEIF('Данные 2st'!$Q$2:$Q$317,$A49,'Данные 2st'!$QS$2:$QS$317),"")</f>
        <v>40</v>
      </c>
      <c r="TY49" s="7">
        <f>IFERROR(AVERAGEIF('Данные 2st'!$Q$2:$Q$317,$A49,'Данные 2st'!$QT$2:$QT$317),"")</f>
        <v>50</v>
      </c>
    </row>
    <row r="50" spans="1:545" ht="32" customHeight="1">
      <c r="A50" s="11" t="s">
        <v>789</v>
      </c>
      <c r="B50">
        <f>COUNTIF('Данные 1st'!$S$2:$S$317,$A50)</f>
        <v>1</v>
      </c>
      <c r="C50" s="6" t="s">
        <v>573</v>
      </c>
      <c r="D50" s="6" t="s">
        <v>513</v>
      </c>
      <c r="E50" s="6" t="s">
        <v>567</v>
      </c>
      <c r="F50" s="6" t="s">
        <v>786</v>
      </c>
      <c r="G50" s="7">
        <f>IFERROR(AVERAGEIF('Данные 1st'!$S$2:$S$317,$A50,'Данные 1st'!$AE$2:$AE$317),"")</f>
        <v>217</v>
      </c>
      <c r="H50" s="7">
        <f>IFERROR(AVERAGEIF('Данные 1st'!$S$2:$S$317,$A50,'Данные 1st'!$AF$2:$AF$317),"")</f>
        <v>1.5</v>
      </c>
      <c r="I50" s="7">
        <f>IFERROR(AVERAGEIF('Данные 1st'!$S$2:$S$317,$A50,'Данные 1st'!$AJ$2:$AJ$317),"")</f>
        <v>200</v>
      </c>
      <c r="J50" s="7">
        <f>IFERROR(AVERAGEIF('Данные 1st'!$S$2:$S$317,$A50,'Данные 1st'!$AL$2:$AL$317),"")</f>
        <v>1.5</v>
      </c>
      <c r="K50" s="7">
        <f>IFERROR(AVERAGEIF('Данные 1st'!$S$2:$S$317,$A50,'Данные 1st'!$AR$2:$AR$317),"")</f>
        <v>248</v>
      </c>
      <c r="L50" s="7">
        <f>IFERROR(AVERAGEIF('Данные 1st'!$S$2:$S$317,$A50,'Данные 1st'!$AS$2:$AS$317),"")</f>
        <v>1.5</v>
      </c>
      <c r="M50" s="7">
        <f>IFERROR(AVERAGEIF('Данные 1st'!$S$2:$S$317,$A50,'Данные 1st'!$AY$2:$AY$317),"")</f>
        <v>287.5</v>
      </c>
      <c r="N50" s="7">
        <f>IFERROR(AVERAGEIF('Данные 1st'!$S$2:$S$317,$A50,'Данные 1st'!$AZ$2:$AZ$317),"")</f>
        <v>1.5</v>
      </c>
      <c r="O50" s="7">
        <f>IFERROR(AVERAGEIF('Данные 1st'!$S$2:$S$317,$A50,'Данные 1st'!$BF$2:$BF$317),"")</f>
        <v>240</v>
      </c>
      <c r="P50" s="7">
        <f>IFERROR(AVERAGEIF('Данные 1st'!$S$2:$S$317,$A50,'Данные 1st'!$BG$2:$BG$317),"")</f>
        <v>1.5</v>
      </c>
      <c r="Q50" s="7">
        <f>IFERROR(AVERAGEIF('Данные 1st'!$S$2:$S$317,$A50,'Данные 1st'!$BM$2:$BM$317),"")</f>
        <v/>
      </c>
      <c r="R50" s="7">
        <f>IFERROR(AVERAGEIF('Данные 1st'!$S$2:$S$317,$A50,'Данные 1st'!$BN$2:$BN$317),"")</f>
        <v>1.5</v>
      </c>
      <c r="S50" s="7">
        <f>IFERROR(AVERAGEIF('Данные 1st'!$S$2:$S$317,$A50,'Данные 1st'!$BT$2:$BT$317),"")</f>
        <v>217</v>
      </c>
      <c r="T50" s="7">
        <f>IFERROR(AVERAGEIF('Данные 1st'!$S$2:$S$317,$A50,'Данные 1st'!$BU$2:$BU$317),"")</f>
        <v>0.5</v>
      </c>
      <c r="U50" s="7">
        <f>IFERROR(AVERAGEIF('Данные 1st'!$S$2:$S$317,$A50,'Данные 1st'!$BW$2:$BW$317),"")</f>
        <v>434</v>
      </c>
      <c r="V50" s="7">
        <f>IFERROR(AVERAGEIF('Данные 1st'!$S$2:$S$317,$A50,'Данные 1st'!$BX$2:$BX$317),"")</f>
        <v>1</v>
      </c>
      <c r="W50" s="7">
        <f>IFERROR(AVERAGEIF('Данные 1st'!$S$2:$S$317,$A50,'Данные 1st'!$BZ$2:$BZ$317),"")</f>
        <v>300</v>
      </c>
      <c r="X50" s="7">
        <f>IFERROR(AVERAGEIF('Данные 1st'!$S$2:$S$317,$A50,'Данные 1st'!$CA$2:$CA$317),"")</f>
        <v>520</v>
      </c>
      <c r="Y50" s="7">
        <f>IFERROR(AVERAGEIF('Данные 1st'!$S$2:$S$317,$A50,'Данные 1st'!$CD$2:$CD$317),"")</f>
        <v>452</v>
      </c>
      <c r="Z50" s="7">
        <f>IFERROR(AVERAGEIF('Данные 1st'!$S$2:$S$317,$A50,'Данные 1st'!$CF$2:$CF$317),"")</f>
        <v>15</v>
      </c>
      <c r="AA50" s="7">
        <f>IFERROR(AVERAGEIF('Данные 1st'!$S$2:$S$317,$A50,'Данные 1st'!$CI$2:$CI$317),"")</f>
        <v>110</v>
      </c>
      <c r="AB50" s="7">
        <f>IFERROR(AVERAGEIF('Данные 1st'!$S$2:$S$317,$A50,'Данные 1st'!$CJ$2:$CJ$317),"")</f>
        <v>1538</v>
      </c>
      <c r="AC50" s="7">
        <f>IFERROR(AVERAGEIF('Данные 1st'!$S$2:$S$317,$A50,'Данные 1st'!$CK$2:$CK$317),"")</f>
        <v>2</v>
      </c>
      <c r="AD50" s="7">
        <f>IFERROR(AVERAGEIF('Данные 1st'!$S$2:$S$317,$A50,'Данные 1st'!$CL$2:$CL$317),"")</f>
        <v>1632</v>
      </c>
      <c r="AE50" s="7">
        <f>IFERROR(AVERAGEIF('Данные 1st'!$S$2:$S$317,$A50,'Данные 1st'!$CM$2:$CM$317),"")</f>
        <v>2</v>
      </c>
      <c r="AF50" s="7">
        <f>IFERROR(AVERAGEIF('Данные 1st'!$S$2:$S$317,$A50,'Данные 1st'!$CT$2:$CT$317),"")</f>
        <v>400</v>
      </c>
      <c r="AG50" s="7">
        <f>IFERROR(AVERAGEIF('Данные 1st'!$S$2:$S$317,$A50,'Данные 1st'!$CU$2:$CU$317),"")</f>
        <v>5</v>
      </c>
      <c r="AH50" s="7">
        <f>IFERROR(AVERAGEIF('Данные 1st'!$S$2:$S$317,$A50,'Данные 1st'!$CV$2:$CV$317),"")</f>
        <v>1.3</v>
      </c>
      <c r="AI50" s="7">
        <f>IFERROR(AVERAGEIF('Данные 1st'!$S$2:$S$317,$A50,'Данные 1st'!$CW$2:$CW$317),"")</f>
        <v>1555</v>
      </c>
      <c r="AJ50" s="7">
        <f>IFERROR(AVERAGEIF('Данные 1st'!$S$2:$S$317,$A50,'Данные 1st'!$CX$2:$CX$317),"")</f>
        <v>956</v>
      </c>
      <c r="AK50" s="7">
        <f>IFERROR(AVERAGEIF('Данные 1st'!$S$2:$S$317,$A50,'Данные 1st'!$CZ$2:$CZ$317),"")</f>
        <v>60</v>
      </c>
      <c r="AL50" s="7">
        <f>IFERROR(AVERAGEIF('Данные 1st'!$S$2:$S$317,$A50,'Данные 1st'!$DA$2:$DA$317),"")</f>
        <v>3</v>
      </c>
      <c r="AM50" s="7">
        <f>IFERROR(AVERAGEIF('Данные 1st'!$S$2:$S$317,$A50,'Данные 1st'!$DB$2:$DB$317),"")</f>
        <v>1</v>
      </c>
      <c r="AN50" s="7">
        <f>IFERROR(AVERAGEIF('Данные 1st'!$S$2:$S$317,$A50,'Данные 1st'!$DC$2:$DC$317),"")</f>
        <v>1555</v>
      </c>
      <c r="AO50" s="7">
        <f>IFERROR(AVERAGEIF('Данные 1st'!$S$2:$S$317,$A50,'Данные 1st'!$DD$2:$DD$317),"")</f>
        <v>97</v>
      </c>
      <c r="AP50" s="7">
        <f>IFERROR(AVERAGEIF('Данные 1st'!$S$2:$S$317,$A50,'Данные 1st'!$DF$2:$DF$317),"")</f>
        <v>575</v>
      </c>
      <c r="AQ50" s="7">
        <f>IFERROR(AVERAGEIF('Данные 1st'!$S$2:$S$317,$A50,'Данные 1st'!$DG$2:$DG$317),"")</f>
        <v>3</v>
      </c>
      <c r="AR50" s="7">
        <f>IFERROR(AVERAGEIF('Данные 1st'!$S$2:$S$317,$A50,'Данные 1st'!$DH$2:$DH$317),"")</f>
        <v>0.88</v>
      </c>
      <c r="AS50" s="7">
        <f>IFERROR(AVERAGEIF('Данные 1st'!$S$2:$S$317,$A50,'Данные 1st'!$DI$2:$DI$317),"")</f>
        <v>1547</v>
      </c>
      <c r="AT50" s="7">
        <f>IFERROR(AVERAGEIF('Данные 1st'!$S$2:$S$317,$A50,'Данные 1st'!$DJ$2:$DJ$317),"")</f>
        <v>1047</v>
      </c>
      <c r="AU50" s="7">
        <f>IFERROR(AVERAGEIF('Данные 1st'!$S$2:$S$317,$A50,'Данные 1st'!$DL$2:$DL$317),"")</f>
        <v>480</v>
      </c>
      <c r="AV50" s="7">
        <f>IFERROR(AVERAGEIF('Данные 1st'!$S$2:$S$317,$A50,'Данные 1st'!$DM$2:$DM$317),"")</f>
        <v>3</v>
      </c>
      <c r="AW50" s="7">
        <f>IFERROR(AVERAGEIF('Данные 1st'!$S$2:$S$317,$A50,'Данные 1st'!$DN$2:$DN$317),"")</f>
        <v>0.88</v>
      </c>
      <c r="AX50" s="7">
        <f>IFERROR(AVERAGEIF('Данные 1st'!$S$2:$S$317,$A50,'Данные 1st'!$DO$2:$DO$317),"")</f>
        <v>1553</v>
      </c>
      <c r="AY50" s="7">
        <f>IFERROR(AVERAGEIF('Данные 1st'!$S$2:$S$317,$A50,'Данные 1st'!$DP$2:$DP$317),"")</f>
        <v>859</v>
      </c>
      <c r="AZ50" s="7">
        <f>IFERROR(AVERAGEIF('Данные 1st'!$S$2:$S$317,$A50,'Данные 1st'!$DR$2:$DR$317),"")</f>
        <v/>
      </c>
      <c r="BA50" s="7">
        <f>IFERROR(AVERAGEIF('Данные 1st'!$S$2:$S$317,$A50,'Данные 1st'!$DS$2:$DS$317),"")</f>
        <v/>
      </c>
      <c r="BB50" s="7">
        <f>IFERROR(AVERAGEIF('Данные 1st'!$S$2:$S$317,$A50,'Данные 1st'!$DT$2:$DT$317),"")</f>
        <v/>
      </c>
      <c r="BC50" s="7">
        <f>IFERROR(AVERAGEIF('Данные 1st'!$S$2:$S$317,$A50,'Данные 1st'!$DU$2:$DU$317),"")</f>
        <v/>
      </c>
      <c r="BD50" s="7">
        <f>IFERROR(AVERAGEIF('Данные 1st'!$S$2:$S$317,$A50,'Данные 1st'!$DV$2:$DV$317),"")</f>
        <v/>
      </c>
      <c r="BE50" s="7">
        <f>IFERROR(AVERAGEIF('Данные 1st'!$S$2:$S$317,$A50,'Данные 1st'!$DX$2:$DX$317),"")</f>
        <v>7.5</v>
      </c>
      <c r="BF50" s="7">
        <f>IFERROR(AVERAGEIF('Данные 1st'!$S$2:$S$317,$A50,'Данные 1st'!$EA$2:$EA$317),"")</f>
        <v>1623.8</v>
      </c>
      <c r="BG50" s="7">
        <f>IFERROR(AVERAGEIF('Данные 1st'!$S$2:$S$317,$A50,'Данные 1st'!$EB$2:$EB$317),"")</f>
        <v>382</v>
      </c>
      <c r="BH50" s="7">
        <f>IFERROR(AVERAGEIF('Данные 1st'!$S$2:$S$317,$A50,'Данные 1st'!$ED$2:$ED$317),"")</f>
        <v>40</v>
      </c>
      <c r="BI50" s="7">
        <f>IFERROR(AVERAGEIF('Данные 1st'!$S$2:$S$317,$A50,'Данные 1st'!$EE$2:$EE$317),"")</f>
        <v>3</v>
      </c>
      <c r="BJ50" s="7">
        <f>IFERROR(AVERAGEIF('Данные 1st'!$S$2:$S$317,$A50,'Данные 1st'!$EG$2:$EG$317),"")</f>
        <v>1675</v>
      </c>
      <c r="BK50" s="7">
        <f>IFERROR(AVERAGEIF('Данные 1st'!$S$2:$S$317,$A50,'Данные 1st'!$EH$2:$EH$317),"")</f>
        <v>266</v>
      </c>
      <c r="BL50" s="7">
        <f>IFERROR(AVERAGEIF('Данные 1st'!$S$2:$S$317,$A50,'Данные 1st'!$EJ$2:$EJ$317),"")</f>
        <v>0</v>
      </c>
      <c r="BM50" s="7">
        <f>IFERROR(AVERAGEIF('Данные 1st'!$S$2:$S$317,$A50,'Данные 1st'!$EK$2:$EK$317),"")</f>
        <v>1</v>
      </c>
      <c r="BN50" s="7">
        <f>IFERROR(AVERAGEIF('Данные 1st'!$S$2:$S$317,$A50,'Данные 1st'!$EN$2:$EN$317),"")</f>
        <v>0</v>
      </c>
      <c r="BO50" s="7">
        <f>IFERROR(AVERAGEIF('Данные 1st'!$S$2:$S$317,$A50,'Данные 1st'!$EQ$2:$EQ$317),"")</f>
        <v>105</v>
      </c>
      <c r="BP50" s="7">
        <f>IFERROR(AVERAGEIF('Данные 1st'!$S$2:$S$317,$A50,'Данные 1st'!$ER$2:$ER$317),"")</f>
        <v>3</v>
      </c>
      <c r="BQ50" s="7">
        <f>IFERROR(AVERAGEIF('Данные 1st'!$S$2:$S$317,$A50,'Данные 1st'!$ES$2:$ES$317),"")</f>
        <v>6</v>
      </c>
      <c r="BR50" s="7">
        <f>IFERROR(AVERAGEIF('Данные 1st'!$S$2:$S$317,$A50,'Данные 1st'!$ET$2:$ET$317),"")</f>
        <v>1537</v>
      </c>
      <c r="BS50" s="7">
        <f>IFERROR(AVERAGEIF('Данные 1st'!$S$2:$S$317,$A50,'Данные 1st'!$EU$2:$EU$317),"")</f>
        <v>487.9</v>
      </c>
      <c r="BT50" s="7">
        <f>IFERROR(AVERAGEIF('Данные 1st'!$S$2:$S$317,$A50,'Данные 1st'!$EV$2:$EV$317),"")</f>
        <v>750</v>
      </c>
      <c r="BU50" s="7">
        <f>IFERROR(AVERAGEIF('Данные 1st'!$S$2:$S$317,$A50,'Данные 1st'!$EX$2:$EX$317),"")</f>
        <v>45</v>
      </c>
      <c r="BV50" s="7">
        <f>IFERROR(AVERAGEIF('Данные 1st'!$S$2:$S$317,$A50,'Данные 1st'!$EY$2:$EY$317),"")</f>
        <v>2</v>
      </c>
      <c r="BW50" s="7">
        <f>IFERROR(AVERAGEIF('Данные 1st'!$S$2:$S$317,$A50,'Данные 1st'!$EZ$2:$EZ$317),"")</f>
        <v>4.5</v>
      </c>
      <c r="BX50" s="7">
        <f>IFERROR(AVERAGEIF('Данные 1st'!$S$2:$S$317,$A50,'Данные 1st'!$FA$2:$FA$317),"")</f>
        <v>1537</v>
      </c>
      <c r="BY50" s="7">
        <f>IFERROR(AVERAGEIF('Данные 1st'!$S$2:$S$317,$A50,'Данные 1st'!$FB$2:$FB$317),"")</f>
        <v>155</v>
      </c>
      <c r="BZ50" s="7">
        <f>IFERROR(AVERAGEIF('Данные 1st'!$S$2:$S$317,$A50,'Данные 1st'!$FC$2:$FC$317),"")</f>
        <v>238</v>
      </c>
      <c r="CA50" s="7">
        <f>IFERROR(AVERAGEIF('Данные 1st'!$S$2:$S$317,$A50,'Данные 1st'!$FE$2:$FE$317),"")</f>
        <v>0</v>
      </c>
      <c r="CB50" s="7">
        <f>IFERROR(AVERAGEIF('Данные 1st'!$S$2:$S$317,$A50,'Данные 1st'!$FF$2:$FF$317),"")</f>
        <v>2</v>
      </c>
      <c r="CC50" s="7">
        <f>IFERROR(AVERAGEIF('Данные 1st'!$S$2:$S$317,$A50,'Данные 1st'!$FI$2:$FI$317),"")</f>
        <v>0</v>
      </c>
      <c r="CD50" s="7">
        <f>IFERROR(AVERAGEIF('Данные 1st'!$S$2:$S$317,$A50,'Данные 1st'!$FL$2:$FL$317),"")</f>
        <v>0.4</v>
      </c>
      <c r="CE50" s="7">
        <f>IFERROR(AVERAGEIF('Данные 1st'!$S$2:$S$317,$A50,'Данные 1st'!$FM$2:$FM$317),"")</f>
        <v>50</v>
      </c>
      <c r="CF50" s="7">
        <f>IFERROR(AVERAGEIF('Данные 1st'!$S$2:$S$317,$A50,'Данные 1st'!$FN$2:$FN$317),"")</f>
        <v>360</v>
      </c>
      <c r="CG50" s="7">
        <f>IFERROR(AVERAGEIF('Данные 1st'!$S$2:$S$317,$A50,'Данные 1st'!$FO$2:$FO$317),"")</f>
        <v>75</v>
      </c>
      <c r="CH50" s="7">
        <f>IFERROR(AVERAGEIF('Данные 1st'!$S$2:$S$317,$A50,'Данные 1st'!$FP$2:$FP$317),"")</f>
        <v>160</v>
      </c>
      <c r="CI50" s="7">
        <f>IFERROR(AVERAGEIF('Данные 1st'!$S$2:$S$317,$A50,'Данные 1st'!$FS$2:$FS$317),"")</f>
        <v/>
      </c>
      <c r="CJ50" s="7">
        <f>IFERROR(AVERAGEIF('Данные 1st'!$S$2:$S$317,$A50,'Данные 1st'!$FT$2:$FT$317),"")</f>
        <v/>
      </c>
      <c r="CK50" s="7">
        <f>IFERROR(AVERAGEIF('Данные 1st'!$S$2:$S$317,$A50,'Данные 1st'!$FU$2:$FU$317),"")</f>
        <v/>
      </c>
      <c r="CL50" s="7">
        <f>IFERROR(AVERAGEIF('Данные 1st'!$S$2:$S$317,$A50,'Данные 1st'!$FV$2:$FV$317),"")</f>
        <v/>
      </c>
      <c r="CM50" s="7">
        <f>IFERROR(AVERAGEIF('Данные 1st'!$S$2:$S$317,$A50,'Данные 1st'!$FW$2:$FW$317),"")</f>
        <v/>
      </c>
      <c r="CN50" s="7">
        <f>IFERROR(AVERAGEIF('Данные 1st'!$S$2:$S$317,$A50,'Данные 1st'!$FZ$2:$FZ$317),"")</f>
        <v/>
      </c>
      <c r="CO50" s="7">
        <f>IFERROR(AVERAGEIF('Данные 1st'!$S$2:$S$317,$A50,'Данные 1st'!$GA$2:$GA$317),"")</f>
        <v/>
      </c>
      <c r="CP50" s="7">
        <f>IFERROR(AVERAGEIF('Данные 1st'!$S$2:$S$317,$A50,'Данные 1st'!$GB$2:$GB$317),"")</f>
        <v/>
      </c>
      <c r="CQ50" s="7">
        <f>IFERROR(AVERAGEIF('Данные 1st'!$S$2:$S$317,$A50,'Данные 1st'!$GH$2:$GH$317),"")</f>
        <v/>
      </c>
      <c r="CR50" s="7">
        <f>IFERROR(AVERAGEIF('Данные 1st'!$S$2:$S$317,$A50,'Данные 1st'!$GI$2:$GI$317),"")</f>
        <v/>
      </c>
      <c r="CS50" s="7">
        <f>IFERROR(AVERAGEIF('Данные 1st'!$S$2:$S$317,$A50,'Данные 1st'!$GJ$2:$GJ$317),"")</f>
        <v/>
      </c>
      <c r="CT50" s="7">
        <f>IFERROR(AVERAGEIF('Данные 1st'!$S$2:$S$317,$A50,'Данные 1st'!$GS$2:$GS$317),"")</f>
        <v>0.4</v>
      </c>
      <c r="CU50" s="7">
        <f>IFERROR(AVERAGEIF('Данные 1st'!$S$2:$S$317,$A50,'Данные 1st'!$GT$2:$GT$317),"")</f>
        <v>90</v>
      </c>
      <c r="CV50" s="7">
        <f>IFERROR(AVERAGEIF('Данные 1st'!$S$2:$S$317,$A50,'Данные 1st'!$GU$2:$GU$317),"")</f>
        <v>280</v>
      </c>
      <c r="CW50" s="7">
        <f>IFERROR(AVERAGEIF('Данные 1st'!$S$2:$S$317,$A50,'Данные 1st'!$GV$2:$GV$317),"")</f>
        <v/>
      </c>
      <c r="CX50" s="7">
        <f>IFERROR(AVERAGEIF('Данные 1st'!$S$2:$S$317,$A50,'Данные 1st'!$GW$2:$GW$317),"")</f>
        <v/>
      </c>
      <c r="CY50" s="7">
        <f>IFERROR(AVERAGEIF('Данные 1st'!$S$2:$S$317,$A50,'Данные 1st'!$GZ$2:$GZ$317),"")</f>
        <v/>
      </c>
      <c r="CZ50" s="7">
        <f>IFERROR(AVERAGEIF('Данные 1st'!$S$2:$S$317,$A50,'Данные 1st'!$HA$2:$HA$317),"")</f>
        <v/>
      </c>
      <c r="DA50" s="7">
        <f>IFERROR(AVERAGEIF('Данные 1st'!$S$2:$S$317,$A50,'Данные 1st'!$HB$2:$HB$317),"")</f>
        <v/>
      </c>
      <c r="DB50" s="7">
        <f>IFERROR(AVERAGEIF('Данные 1st'!$S$2:$S$317,$A50,'Данные 1st'!$HC$2:$HC$317),"")</f>
        <v>0.1</v>
      </c>
      <c r="DC50" s="7">
        <f>IFERROR(AVERAGEIF('Данные 1st'!$S$2:$S$317,$A50,'Данные 1st'!$HD$2:$HD$317),"")</f>
        <v>3</v>
      </c>
      <c r="DD50" s="7">
        <f>IFERROR(AVERAGEIF('Данные 1st'!$S$2:$S$317,$A50,'Данные 1st'!$HE$2:$HE$317),"")</f>
        <v>3</v>
      </c>
      <c r="DE50" s="7">
        <f>IFERROR(AVERAGEIF('Данные 1st'!$S$2:$S$317,$A50,'Данные 1st'!$HF$2:$HF$317),"")</f>
        <v>3</v>
      </c>
      <c r="DF50" s="7">
        <f>IFERROR(AVERAGEIF('Данные 1st'!$S$2:$S$317,$A50,'Данные 1st'!$HG$2:$HG$317),"")</f>
        <v>3</v>
      </c>
      <c r="DG50" s="7">
        <f>IFERROR(AVERAGEIF('Данные 1st'!$S$2:$S$317,$A50,'Данные 1st'!$HH$2:$HH$317),"")</f>
        <v>3</v>
      </c>
      <c r="DH50" s="7">
        <f>IFERROR(AVERAGEIF('Данные 1st'!$S$2:$S$317,$A50,'Данные 1st'!$HI$2:$HI$317),"")</f>
        <v>135</v>
      </c>
      <c r="DI50" s="7">
        <f>IFERROR(AVERAGEIF('Данные 1st'!$S$2:$S$317,$A50,'Данные 1st'!$HJ$2:$HJ$317),"")</f>
        <v>3</v>
      </c>
      <c r="DJ50" s="7">
        <f>IFERROR(AVERAGEIF('Данные 1st'!$S$2:$S$317,$A50,'Данные 1st'!$HK$2:$HK$317),"")</f>
        <v>30</v>
      </c>
      <c r="DK50" s="7">
        <f>IFERROR(AVERAGEIF('Данные 1st'!$S$2:$S$317,$A50,'Данные 1st'!$HL$2:$HL$317),"")</f>
        <v>2</v>
      </c>
      <c r="DL50" s="7">
        <f>IFERROR(AVERAGEIF('Данные 1st'!$S$2:$S$317,$A50,'Данные 1st'!$HM$2:$HM$317),"")</f>
        <v>0</v>
      </c>
      <c r="DM50" s="7">
        <f>IFERROR(AVERAGEIF('Данные 1st'!$S$2:$S$317,$A50,'Данные 1st'!$HN$2:$HN$317),"")</f>
        <v>2</v>
      </c>
      <c r="DN50" s="7">
        <f>IFERROR(AVERAGEIF('Данные 1st'!$S$2:$S$317,$A50,'Данные 1st'!$HO$2:$HO$317),"")</f>
        <v>90</v>
      </c>
      <c r="DO50" s="7">
        <f>IFERROR(AVERAGEIF('Данные 1st'!$S$2:$S$317,$A50,'Данные 1st'!$HP$2:$HP$317),"")</f>
        <v>3</v>
      </c>
      <c r="DP50" s="7">
        <f>IFERROR(AVERAGEIF('Данные 1st'!$S$2:$S$317,$A50,'Данные 1st'!$HQ$2:$HQ$317),"")</f>
        <v>0</v>
      </c>
      <c r="DQ50" s="7">
        <f>IFERROR(AVERAGEIF('Данные 1st'!$S$2:$S$317,$A50,'Данные 1st'!$HR$2:$HR$317),"")</f>
        <v>2</v>
      </c>
      <c r="DR50" s="7">
        <f>IFERROR(AVERAGEIF('Данные 1st'!$S$2:$S$317,$A50,'Данные 1st'!$HS$2:$HS$317),"")</f>
        <v>6328</v>
      </c>
      <c r="DS50" s="7">
        <f>IFERROR(AVERAGEIF('Данные 1st'!$S$2:$S$317,$A50,'Данные 1st'!$HT$2:$HT$317),"")</f>
        <v>190</v>
      </c>
      <c r="DT50" s="7">
        <f>IFERROR(AVERAGEIF('Данные 1st'!$S$2:$S$317,$A50,'Данные 1st'!$HU$2:$HU$317),"")</f>
        <v>180</v>
      </c>
      <c r="DU50" s="7">
        <f>IFERROR(AVERAGEIF('Данные 1st'!$S$2:$S$317,$A50,'Данные 1st'!$HW$2:$HW$317),"")</f>
        <v>0</v>
      </c>
      <c r="DV50" s="7">
        <f>IFERROR(AVERAGEIF('Данные 1st'!$S$2:$S$317,$A50,'Данные 1st'!$HX$2:$HX$317),"")</f>
        <v>500</v>
      </c>
      <c r="DW50" s="7">
        <f>IFERROR(AVERAGEIF('Данные 1st'!$S$2:$S$317,$A50,'Данные 1st'!$HY$2:$HY$317),"")</f>
        <v>0.18</v>
      </c>
      <c r="DX50" s="7">
        <f>IFERROR(AVERAGEIF('Данные 1st'!$S$2:$S$317,$A50,'Данные 1st'!$IA$2:$IA$317),"")</f>
        <v>0.15</v>
      </c>
      <c r="DY50" s="7">
        <f>IFERROR(AVERAGEIF('Данные 1st'!$S$2:$S$317,$A50,'Данные 1st'!$IB$2:$IB$317),"")</f>
        <v>0</v>
      </c>
      <c r="DZ50" s="7">
        <f>IFERROR(AVERAGEIF('Данные 1st'!$S$2:$S$317,$A50,'Данные 1st'!$IC$2:$IC$317),"")</f>
        <v>180</v>
      </c>
      <c r="EA50" s="7">
        <f>IFERROR(AVERAGEIF('Данные 1st'!$S$2:$S$317,$A50,'Данные 1st'!$ID$2:$ID$317),"")</f>
        <v>110</v>
      </c>
      <c r="EB50" s="7">
        <f>IFERROR(AVERAGEIF('Данные 1st'!$S$2:$S$317,$A50,'Данные 1st'!$IE$2:$IE$317),"")</f>
        <v>225</v>
      </c>
      <c r="EC50" s="7">
        <f>IFERROR(AVERAGEIF('Данные 1st'!$S$2:$S$317,$A50,'Данные 1st'!$IF$2:$IF$317),"")</f>
        <v>0</v>
      </c>
      <c r="ED50" s="7">
        <f>IFERROR(AVERAGEIF('Данные 1st'!$S$2:$S$317,$A50,'Данные 1st'!$IP$2:$IP$317),"")</f>
        <v>20</v>
      </c>
      <c r="EE50" s="7">
        <f>IFERROR(AVERAGEIF('Данные 1st'!$S$2:$S$317,$A50,'Данные 1st'!$IV$2:$IV$317),"")</f>
        <v>1538</v>
      </c>
      <c r="EF50" s="7">
        <f>IFERROR(AVERAGEIF('Данные 1st'!$S$2:$S$317,$A50,'Данные 1st'!$IW$2:$IW$317),"")</f>
        <v>434</v>
      </c>
      <c r="EG50" s="7">
        <f>IFERROR(AVERAGEIF('Данные 1st'!$S$2:$S$317,$A50,'Данные 1st'!$IX$2:$IX$317),"")</f>
        <v/>
      </c>
      <c r="EH50" s="7">
        <f>IFERROR(AVERAGEIF('Данные 1st'!$S$2:$S$317,$A50,'Данные 1st'!$IY$2:$IY$317),"")</f>
        <v/>
      </c>
      <c r="EI50" s="7">
        <f>IFERROR(AVERAGEIF('Данные 1st'!$S$2:$S$317,$A50,'Данные 1st'!$JD$2:$JD$317),"")</f>
        <v>1555</v>
      </c>
      <c r="EJ50" s="7">
        <f>IFERROR(AVERAGEIF('Данные 1st'!$S$2:$S$317,$A50,'Данные 1st'!$JE$2:$JE$317),"")</f>
        <v>1547</v>
      </c>
      <c r="EK50" s="7">
        <f>IFERROR(AVERAGEIF('Данные 1st'!$S$2:$S$317,$A50,'Данные 1st'!$JF$2:$JF$317),"")</f>
        <v>1553</v>
      </c>
      <c r="EL50" s="7">
        <f>IFERROR(AVERAGEIF('Данные 1st'!$S$2:$S$317,$A50,'Данные 1st'!$JG$2:$JG$317),"")</f>
        <v>1537</v>
      </c>
      <c r="EM50" s="7">
        <f>IFERROR(AVERAGEIF('Данные 1st'!$S$2:$S$317,$A50,'Данные 1st'!$JH$2:$JH$317),"")</f>
        <v>0</v>
      </c>
      <c r="EN50" s="7">
        <f>IFERROR(AVERAGEIF('Данные 1st'!$S$2:$S$317,$A50,'Данные 1st'!$JJ$2:$JJ$317),"")</f>
        <v>180</v>
      </c>
      <c r="EO50" s="7">
        <f>IFERROR(AVERAGEIF('Данные 1st'!$S$2:$S$317,$A50,'Данные 1st'!$JK$2:$JK$317),"")</f>
        <v>500</v>
      </c>
      <c r="EP50" s="7">
        <f>IFERROR(AVERAGEIF('Данные 1st'!$S$2:$S$317,$A50,'Данные 1st'!$JL$2:$JL$317),"")</f>
        <v/>
      </c>
      <c r="EQ50" s="7">
        <f>IFERROR(AVERAGEIF('Данные 1st'!$S$2:$S$317,$A50,'Данные 1st'!$JM$2:$JM$317),"")</f>
        <v/>
      </c>
      <c r="ER50" s="7">
        <f>IFERROR(AVERAGEIF('Данные 1st'!$S$2:$S$317,$A50,'Данные 1st'!$JN$2:$JN$317),"")</f>
        <v>400</v>
      </c>
      <c r="ES50" s="7">
        <f>IFERROR(AVERAGEIF('Данные 1st'!$S$2:$S$317,$A50,'Данные 1st'!$JO$2:$JO$317),"")</f>
        <v>575</v>
      </c>
      <c r="ET50" s="7">
        <f>IFERROR(AVERAGEIF('Данные 1st'!$S$2:$S$317,$A50,'Данные 1st'!$JP$2:$JP$317),"")</f>
        <v>480</v>
      </c>
      <c r="EU50" s="7">
        <f>IFERROR(AVERAGEIF('Данные 1st'!$S$2:$S$317,$A50,'Данные 1st'!$JQ$2:$JQ$317),"")</f>
        <v>0</v>
      </c>
      <c r="EV50" s="7">
        <f>IFERROR(AVERAGEIF('Данные 1st'!$S$2:$S$317,$A50,'Данные 1st'!$JR$2:$JR$317),"")</f>
        <v>434</v>
      </c>
      <c r="EW50" s="7">
        <f>IFERROR(AVERAGEIF('Данные 1st'!$S$2:$S$317,$A50,'Данные 1st'!$JS$2:$JS$317),"")</f>
        <v>135</v>
      </c>
      <c r="EX50" s="7">
        <f>IFERROR(AVERAGEIF('Данные 1st'!$S$2:$S$317,$A50,'Данные 1st'!$JT$2:$JT$317),"")</f>
        <v/>
      </c>
      <c r="EY50" s="7">
        <f>IFERROR(AVERAGEIF('Данные 1st'!$S$2:$S$317,$A50,'Данные 1st'!$JU$2:$JU$317),"")</f>
        <v/>
      </c>
      <c r="EZ50" s="7">
        <f>IFERROR(AVERAGEIF('Данные 1st'!$S$2:$S$317,$A50,'Данные 1st'!$JV$2:$JV$317),"")</f>
        <v>8</v>
      </c>
      <c r="FA50" s="7">
        <f>IFERROR(AVERAGEIF('Данные 1st'!$S$2:$S$317,$A50,'Данные 1st'!$JW$2:$JW$317),"")</f>
        <v/>
      </c>
      <c r="FB50" s="7">
        <f>IFERROR(AVERAGEIF('Данные 1st'!$S$2:$S$317,$A50,'Данные 1st'!$JX$2:$JX$317),"")</f>
        <v>496</v>
      </c>
      <c r="FC50" s="7">
        <f>IFERROR(AVERAGEIF('Данные 1st'!$S$2:$S$317,$A50,'Данные 1st'!$JY$2:$JY$317),"")</f>
        <v/>
      </c>
      <c r="FD50" s="7">
        <f>IFERROR(AVERAGEIF('Данные 1st'!$S$2:$S$317,$A50,'Данные 1st'!$JZ$2:$JZ$317),"")</f>
        <v/>
      </c>
      <c r="FE50" s="7">
        <f>IFERROR(AVERAGEIF('Данные 1st'!$S$2:$S$317,$A50,'Данные 1st'!$KA$2:$KA$317),"")</f>
        <v>225</v>
      </c>
      <c r="FF50" s="7">
        <f>IFERROR(AVERAGEIF('Данные 1st'!$S$2:$S$317,$A50,'Данные 1st'!$KB$2:$KB$317),"")</f>
        <v>110</v>
      </c>
      <c r="FG50" s="7">
        <f>IFERROR(AVERAGEIF('Данные 1st'!$S$2:$S$317,$A50,'Данные 1st'!$KC$2:$KC$317),"")</f>
        <v>0</v>
      </c>
      <c r="FH50" s="7">
        <f>IFERROR(AVERAGEIF('Данные 1st'!$S$2:$S$317,$A50,'Данные 1st'!$KD$2:$KD$317),"")</f>
        <v>80</v>
      </c>
      <c r="FI50" s="7">
        <f>IFERROR(AVERAGEIF('Данные 1st'!$S$2:$S$317,$A50,'Данные 1st'!$KE$2:$KE$317),"")</f>
        <v/>
      </c>
      <c r="FJ50" s="7">
        <f>IFERROR(AVERAGEIF('Данные 1st'!$S$2:$S$317,$A50,'Данные 1st'!$KF$2:$KF$317),"")</f>
        <v>4</v>
      </c>
      <c r="FK50" s="7">
        <f>IFERROR(AVERAGEIF('Данные 1st'!$S$2:$S$317,$A50,'Данные 1st'!$KG$2:$KG$317),"")</f>
        <v>4</v>
      </c>
      <c r="FL50" s="7">
        <f>IFERROR(AVERAGEIF('Данные 1st'!$S$2:$S$317,$A50,'Данные 1st'!$KH$2:$KH$317),"")</f>
        <v>2</v>
      </c>
      <c r="FM50" s="7">
        <f>IFERROR(AVERAGEIF('Данные 1st'!$S$2:$S$317,$A50,'Данные 1st'!$KI$2:$KI$317),"")</f>
        <v>2</v>
      </c>
      <c r="FN50" s="7">
        <f>IFERROR(AVERAGEIF('Данные 1st'!$S$2:$S$317,$A50,'Данные 1st'!$KJ$2:$KJ$317),"")</f>
        <v>0</v>
      </c>
      <c r="FO50" s="7">
        <f>IFERROR(AVERAGEIF('Данные 1st'!$S$2:$S$317,$A50,'Данные 1st'!$KK$2:$KK$317),"")</f>
        <v>1.5</v>
      </c>
      <c r="FP50" s="7">
        <f>IFERROR(AVERAGEIF('Данные 1st'!$S$2:$S$317,$A50,'Данные 1st'!$KL$2:$KL$317),"")</f>
        <v>1.5</v>
      </c>
      <c r="FQ50" s="7">
        <f>IFERROR(AVERAGEIF('Данные 1st'!$S$2:$S$317,$A50,'Данные 1st'!$KM$2:$KM$317),"")</f>
        <v>0</v>
      </c>
      <c r="FR50" s="7">
        <f>IFERROR(AVERAGEIF('Данные 1st'!$S$2:$S$317,$A50,'Данные 1st'!$KN$2:$KN$317),"")</f>
        <v>0</v>
      </c>
      <c r="FS50" s="7">
        <f>IFERROR(AVERAGEIF('Данные 1st'!$S$2:$S$317,$A50,'Данные 1st'!$KR$2:$KR$317),"")</f>
        <v>30</v>
      </c>
      <c r="FT50" s="7">
        <f>IFERROR(AVERAGEIF('Данные 1st'!$S$2:$S$317,$A50,'Данные 1st'!$KS$2:$KS$317),"")</f>
        <v>60</v>
      </c>
      <c r="FU50" s="7">
        <f>IFERROR(AVERAGEIF('Данные 1st'!$S$2:$S$317,$A50,'Данные 1st'!$KT$2:$KT$317),"")</f>
        <v>0</v>
      </c>
      <c r="FV50" s="7">
        <f>IFERROR(AVERAGEIF('Данные 1st'!$S$2:$S$317,$A50,'Данные 1st'!$KV$2:$KV$317),"")</f>
        <v/>
      </c>
      <c r="FW50" s="7">
        <f>IFERROR(AVERAGEIF('Данные 1st'!$S$2:$S$317,$A50,'Данные 1st'!$KW$2:$KW$317),"")</f>
        <v/>
      </c>
      <c r="FX50" s="7">
        <f>IFERROR(AVERAGEIF('Данные 1st'!$S$2:$S$317,$A50,'Данные 1st'!$KX$2:$KX$317),"")</f>
        <v/>
      </c>
      <c r="FY50" s="7">
        <f>IFERROR(AVERAGEIF('Данные 1st'!$S$2:$S$317,$A50,'Данные 1st'!$KY$2:$KY$317),"")</f>
        <v/>
      </c>
      <c r="FZ50" s="7">
        <f>IFERROR(AVERAGEIF('Данные 1st'!$S$2:$S$317,$A50,'Данные 1st'!$KZ$2:$KZ$317),"")</f>
        <v/>
      </c>
      <c r="GA50" s="7">
        <f>IFERROR(AVERAGEIF('Данные 1st'!$S$2:$S$317,$A50,'Данные 1st'!$LA$2:$LA$317),"")</f>
        <v/>
      </c>
      <c r="GB50" s="7">
        <f>IFERROR(AVERAGEIF('Данные 1st'!$S$2:$S$317,$A50,'Данные 1st'!$LB$2:$LB$317),"")</f>
        <v/>
      </c>
      <c r="GC50" s="7">
        <f>IFERROR(AVERAGEIF('Данные 1st'!$S$2:$S$317,$A50,'Данные 1st'!$LC$2:$LC$317),"")</f>
        <v/>
      </c>
      <c r="GD50" s="7">
        <f>IFERROR(AVERAGEIF('Данные 1st'!$S$2:$S$317,$A50,'Данные 1st'!$LD$2:$LD$317),"")</f>
        <v/>
      </c>
      <c r="GE50" s="7">
        <f>IFERROR(AVERAGEIF('Данные 1st'!$S$2:$S$317,$A50,'Данные 1st'!$LE$2:$LE$317),"")</f>
        <v/>
      </c>
      <c r="GF50" s="7">
        <f>IFERROR(AVERAGEIF('Данные 1st'!$S$2:$S$317,$A50,'Данные 1st'!$LF$2:$LF$317),"")</f>
        <v/>
      </c>
      <c r="GG50" s="7">
        <f>IFERROR(AVERAGEIF('Данные 1st'!$S$2:$S$317,$A50,'Данные 1st'!$LG$2:$LG$317),"")</f>
        <v/>
      </c>
      <c r="GH50" s="7">
        <f>IFERROR(AVERAGEIF('Данные 1st'!$S$2:$S$317,$A50,'Данные 1st'!$LH$2:$LH$317),"")</f>
        <v/>
      </c>
      <c r="GI50" s="7">
        <f>IFERROR(AVERAGEIF('Данные 1st'!$S$2:$S$317,$A50,'Данные 1st'!$LI$2:$LI$317),"")</f>
        <v/>
      </c>
      <c r="GJ50" s="7">
        <f>IFERROR(AVERAGEIF('Данные 1st'!$S$2:$S$317,$A50,'Данные 1st'!$LJ$2:$LJ$317),"")</f>
        <v/>
      </c>
      <c r="GK50" s="7">
        <f>IFERROR(AVERAGEIF('Данные 1st'!$S$2:$S$317,$A50,'Данные 1st'!$LK$2:$LK$317),"")</f>
        <v>480</v>
      </c>
      <c r="GL50" s="7">
        <f>IFERROR(AVERAGEIF('Данные 1st'!$S$2:$S$317,$A50,'Данные 1st'!$LV$2:$LV$317),"")</f>
        <v/>
      </c>
      <c r="GM50" s="7">
        <f>IFERROR(AVERAGEIF('Данные 1st'!$S$2:$S$317,$A50,'Данные 1st'!$LW$2:$LW$317),"")</f>
        <v/>
      </c>
      <c r="GN50" s="7">
        <f>IFERROR(AVERAGEIF('Данные 1st'!$S$2:$S$317,$A50,'Данные 1st'!$LX$2:$LX$317),"")</f>
        <v/>
      </c>
      <c r="GO50" s="7">
        <f>IFERROR(AVERAGEIF('Данные 1st'!$S$2:$S$317,$A50,'Данные 1st'!$LY$2:$LY$317),"")</f>
        <v/>
      </c>
      <c r="GP50" s="7">
        <f>IFERROR(AVERAGEIF('Данные 1st'!$S$2:$S$317,$A50,'Данные 1st'!$LZ$2:$LZ$317),"")</f>
        <v/>
      </c>
      <c r="GQ50" s="7">
        <f>IFERROR(AVERAGEIF('Данные 1st'!$S$2:$S$317,$A50,'Данные 1st'!$PG$2:$PG$317),"")</f>
        <v>1</v>
      </c>
      <c r="GR50" s="7">
        <f>IFERROR(AVERAGEIF('Данные 1st'!$S$2:$S$317,$A50,'Данные 1st'!$PX$2:$PX$317),"")</f>
        <v>56</v>
      </c>
      <c r="GS50" s="7">
        <f>IFERROR(AVERAGEIF('Данные 1st'!$S$2:$S$317,$A50,'Данные 1st'!$PY$2:$PY$317),"")</f>
        <v>56</v>
      </c>
      <c r="GT50" s="7">
        <f>IFERROR(AVERAGEIF('Данные 1st'!$S$2:$S$317,$A50,'Данные 1st'!$QA$2:$QA$317),"")</f>
        <v>1</v>
      </c>
      <c r="GU50" s="7">
        <f>IFERROR(AVERAGEIF('Данные 1st'!$S$2:$S$317,$A50,'Данные 1st'!$QB$2:$QB$317),"")</f>
        <v>1537</v>
      </c>
      <c r="GV50" s="7">
        <f>IFERROR(AVERAGEIF('Данные 1st'!$S$2:$S$317,$A50,'Данные 1st'!$QC$2:$QC$317),"")</f>
        <v>69</v>
      </c>
      <c r="GW50" s="7">
        <f>IFERROR(AVERAGEIF('Данные 1st'!$S$2:$S$317,$A50,'Данные 1st'!$QD$2:$QD$317),"")</f>
        <v>69</v>
      </c>
      <c r="GX50" s="7">
        <f>IFERROR(AVERAGEIF('Данные 1st'!$S$2:$S$317,$A50,'Данные 1st'!$QF$2:$QF$317),"")</f>
        <v>2</v>
      </c>
      <c r="GY50" s="7">
        <f>IFERROR(AVERAGEIF('Данные 1st'!$S$2:$S$317,$A50,'Данные 1st'!$QG$2:$QG$317),"")</f>
        <v>1555</v>
      </c>
      <c r="GZ50" s="7">
        <f>IFERROR(AVERAGEIF('Данные 1st'!$S$2:$S$317,$A50,'Данные 1st'!$QH$2:$QH$317),"")</f>
        <v>66</v>
      </c>
      <c r="HA50" s="7">
        <f>IFERROR(AVERAGEIF('Данные 1st'!$S$2:$S$317,$A50,'Данные 1st'!$QI$2:$QI$317),"")</f>
        <v>66</v>
      </c>
      <c r="HB50" s="7">
        <f>IFERROR(AVERAGEIF('Данные 1st'!$S$2:$S$317,$A50,'Данные 1st'!$QK$2:$QK$317),"")</f>
        <v>1</v>
      </c>
      <c r="HC50" s="7">
        <f>IFERROR(AVERAGEIF('Данные 1st'!$S$2:$S$317,$A50,'Данные 1st'!$QL$2:$QL$317),"")</f>
        <v>1555</v>
      </c>
      <c r="HD50" s="7">
        <f>IFERROR(AVERAGEIF('Данные 1st'!$S$2:$S$317,$A50,'Данные 1st'!$QM$2:$QM$317),"")</f>
        <v>62</v>
      </c>
      <c r="HE50" s="7">
        <f>IFERROR(AVERAGEIF('Данные 1st'!$S$2:$S$317,$A50,'Данные 1st'!$QN$2:$QN$317),"")</f>
        <v>62</v>
      </c>
      <c r="HF50" s="7">
        <f>IFERROR(AVERAGEIF('Данные 1st'!$S$2:$S$317,$A50,'Данные 1st'!$QP$2:$QP$317),"")</f>
        <v>1</v>
      </c>
      <c r="HG50" s="7">
        <f>IFERROR(AVERAGEIF('Данные 1st'!$S$2:$S$317,$A50,'Данные 1st'!$QQ$2:$QQ$317),"")</f>
        <v>1547</v>
      </c>
      <c r="HH50" s="7">
        <f>IFERROR(AVERAGEIF('Данные 1st'!$S$2:$S$317,$A50,'Данные 1st'!$QR$2:$QR$317),"")</f>
        <v>62</v>
      </c>
      <c r="HI50" s="7">
        <f>IFERROR(AVERAGEIF('Данные 1st'!$S$2:$S$317,$A50,'Данные 1st'!$QS$2:$QS$317),"")</f>
        <v>62</v>
      </c>
      <c r="HJ50" s="7">
        <f>IFERROR(AVERAGEIF('Данные 1st'!$S$2:$S$317,$A50,'Данные 1st'!$QU$2:$QU$317),"")</f>
        <v>1</v>
      </c>
      <c r="HK50" s="7">
        <f>IFERROR(AVERAGEIF('Данные 1st'!$S$2:$S$317,$A50,'Данные 1st'!$QV$2:$QV$317),"")</f>
        <v>1553</v>
      </c>
      <c r="HL50" s="7">
        <f>IFERROR(AVERAGEIF('Данные 1st'!$S$2:$S$317,$A50,'Данные 1st'!$QW$2:$QW$317),"")</f>
        <v>82</v>
      </c>
      <c r="HM50" s="7">
        <f>IFERROR(AVERAGEIF('Данные 1st'!$S$2:$S$317,$A50,'Данные 1st'!$QX$2:$QX$317),"")</f>
        <v/>
      </c>
      <c r="HN50" s="7">
        <f>IFERROR(AVERAGEIF('Данные 1st'!$S$2:$S$317,$A50,'Данные 1st'!$QZ$2:$QZ$317),"")</f>
        <v>2</v>
      </c>
      <c r="HO50" s="7">
        <f>IFERROR(AVERAGEIF('Данные 1st'!$S$2:$S$317,$A50,'Данные 1st'!$RA$2:$RA$317),"")</f>
        <v>66</v>
      </c>
      <c r="HP50" s="7">
        <f>IFERROR(AVERAGEIF('Данные 1st'!$S$2:$S$317,$A50,'Данные 1st'!$RB$2:$RB$317),"")</f>
        <v>66</v>
      </c>
      <c r="HQ50" s="7">
        <f>IFERROR(AVERAGEIF('Данные 1st'!$S$2:$S$317,$A50,'Данные 1st'!$RD$2:$RD$317),"")</f>
        <v/>
      </c>
      <c r="HR50" s="7">
        <f>IFERROR(AVERAGEIF('Данные 1st'!$S$2:$S$317,$A50,'Данные 1st'!$RE$2:$RE$317),"")</f>
        <v>0</v>
      </c>
      <c r="HS50" s="7">
        <f>IFERROR(AVERAGEIF('Данные 1st'!$S$2:$S$317,$A50,'Данные 1st'!$RF$2:$RF$317),"")</f>
        <v>1</v>
      </c>
      <c r="HT50" s="7">
        <f>IFERROR(AVERAGEIF('Данные 1st'!$S$2:$S$317,$A50,'Данные 1st'!$RG$2:$RG$317),"")</f>
        <v/>
      </c>
      <c r="HU50" s="7">
        <f>IFERROR(AVERAGEIF('Данные 1st'!$S$2:$S$317,$A50,'Данные 1st'!$RH$2:$RH$317),"")</f>
        <v>1</v>
      </c>
      <c r="HV50" s="7">
        <f>IFERROR(AVERAGEIF('Данные 1st'!$S$2:$S$317,$A50,'Данные 1st'!$RI$2:$RI$317),"")</f>
        <v/>
      </c>
      <c r="HW50" s="7">
        <f>IFERROR(AVERAGEIF('Данные 1st'!$S$2:$S$317,$A50,'Данные 1st'!$RJ$2:$RJ$317),"")</f>
        <v>1</v>
      </c>
      <c r="HX50" s="7">
        <f>IFERROR(AVERAGEIF('Данные 1st'!$S$2:$S$317,$A50,'Данные 1st'!$RK$2:$RK$317),"")</f>
        <v>2</v>
      </c>
      <c r="HY50" s="7">
        <f>IFERROR(AVERAGEIF('Данные 1st'!$S$2:$S$317,$A50,'Данные 1st'!$RL$2:$RL$317),"")</f>
        <v>3</v>
      </c>
      <c r="HZ50" s="7">
        <f>IFERROR(AVERAGEIF('Данные 1st'!$S$2:$S$317,$A50,'Данные 1st'!$RM$2:$RM$317),"")</f>
        <v>3</v>
      </c>
      <c r="IA50" s="7">
        <f>IFERROR(AVERAGEIF('Данные 1st'!$S$2:$S$317,$A50,'Данные 1st'!$RN$2:$RN$317),"")</f>
        <v/>
      </c>
      <c r="IB50" s="7">
        <f>IFERROR(AVERAGEIF('Данные 1st'!$S$2:$S$317,$A50,'Данные 1st'!$RO$2:$RO$317),"")</f>
        <v>615</v>
      </c>
      <c r="IC50" s="7">
        <f>IFERROR(AVERAGEIF('Данные 1st'!$S$2:$S$317,$A50,'Данные 1st'!$RP$2:$RP$317),"")</f>
        <v>125</v>
      </c>
      <c r="ID50" s="7">
        <f>IFERROR(AVERAGEIF('Данные 1st'!$S$2:$S$317,$A50,'Данные 1st'!$RQ$2:$RQ$317),"")</f>
        <v>677</v>
      </c>
      <c r="IE50" s="7">
        <f>IFERROR(AVERAGEIF('Данные 1st'!$S$2:$S$317,$A50,'Данные 1st'!$RR$2:$RR$317),"")</f>
        <v>553</v>
      </c>
      <c r="IF50" s="7">
        <f>IFERROR(AVERAGEIF('Данные 1st'!$S$2:$S$317,$A50,'Данные 1st'!$RS$2:$RS$317),"")</f>
        <v/>
      </c>
      <c r="IG50" s="7">
        <f>IFERROR(AVERAGEIF('Данные 1st'!$S$2:$S$317,$A50,'Данные 1st'!$RT$2:$RT$317),"")</f>
        <v>382</v>
      </c>
      <c r="IH50" s="7">
        <f>IFERROR(AVERAGEIF('Данные 1st'!$S$2:$S$317,$A50,'Данные 1st'!$RU$2:$RU$317),"")</f>
        <v>266</v>
      </c>
      <c r="II50" s="7">
        <f>IFERROR(AVERAGEIF('Данные 1st'!$S$2:$S$317,$A50,'Данные 1st'!$RX$2:$RX$317),"")</f>
        <v>15</v>
      </c>
      <c r="IJ50" s="7">
        <f>IFERROR(AVERAGEIF('Данные 1st'!$S$2:$S$317,$A50,'Данные 1st'!$RY$2:$RY$317),"")</f>
        <v>4</v>
      </c>
      <c r="IK50" s="7">
        <f>IFERROR(AVERAGEIF('Данные 1st'!$S$2:$S$317,$A50,'Данные 1st'!$SA$2:$SA$317),"")</f>
        <v>15</v>
      </c>
      <c r="IL50" s="7">
        <f>IFERROR(AVERAGEIF('Данные 1st'!$S$2:$S$317,$A50,'Данные 1st'!$SD$2:$SD$317),"")</f>
        <v>1</v>
      </c>
      <c r="IM50" s="7">
        <f>IFERROR(AVERAGEIF('Данные 1st'!$S$2:$S$317,$A50,'Данные 1st'!$SG$2:$SG$317),"")</f>
        <v>1</v>
      </c>
      <c r="IN50" s="7">
        <f>IFERROR(AVERAGEIF('Данные 1st'!$S$2:$S$317,$A50,'Данные 1st'!$SH$2:$SH$317),"")</f>
        <v>0.995</v>
      </c>
      <c r="IO50" s="7">
        <f>IFERROR(AVERAGEIF('Данные 1st'!$S$2:$S$317,$A50,'Данные 1st'!$SI$2:$SI$317),"")</f>
        <v>0.995</v>
      </c>
      <c r="IP50" s="7">
        <f>IFERROR(AVERAGEIF('Данные 1st'!$S$2:$S$317,$A50,'Данные 1st'!$SJ$2:$SJ$317),"")</f>
        <v>0.995</v>
      </c>
      <c r="IQ50" s="7">
        <f>IFERROR(AVERAGEIF('Данные 1st'!$S$2:$S$317,$A50,'Данные 1st'!$SK$2:$SK$317),"")</f>
        <v>15</v>
      </c>
      <c r="IR50" s="7">
        <f>IFERROR(AVERAGEIF('Данные 1st'!$S$2:$S$317,$A50,'Данные 1st'!$SL$2:$SL$317),"")</f>
        <v>0</v>
      </c>
      <c r="IS50" s="7">
        <f>IFERROR(AVERAGEIF('Данные 1st'!$S$2:$S$317,$A50,'Данные 1st'!$SM$2:$SM$317),"")</f>
        <v>0</v>
      </c>
      <c r="IT50" s="7">
        <f>IFERROR(AVERAGEIF('Данные 1st'!$S$2:$S$317,$A50,'Данные 1st'!$SN$2:$SN$317),"")</f>
        <v>0</v>
      </c>
      <c r="IU50" s="7">
        <f>IFERROR(AVERAGEIF('Данные 1st'!$S$2:$S$317,$A50,'Данные 1st'!$SO$2:$SO$317),"")</f>
        <v>0</v>
      </c>
      <c r="IV50" s="7">
        <f>IFERROR(AVERAGEIF('Данные 1st'!$S$2:$S$317,$A50,'Данные 1st'!$SP$2:$SP$317),"")</f>
        <v>0</v>
      </c>
      <c r="IW50" s="7">
        <f>IFERROR(AVERAGEIF('Данные 1st'!$S$2:$S$317,$A50,'Данные 1st'!$SQ$2:$SQ$317),"")</f>
        <v>0</v>
      </c>
      <c r="IX50" s="7">
        <f>IFERROR(AVERAGEIF('Данные 1st'!$S$2:$S$317,$A50,'Данные 1st'!$SR$2:$SR$317),"")</f>
        <v>0</v>
      </c>
      <c r="IY50" s="7">
        <f>IFERROR(AVERAGEIF('Данные 1st'!$S$2:$S$317,$A50,'Данные 1st'!$SS$2:$SS$317),"")</f>
        <v>0</v>
      </c>
      <c r="IZ50" s="7">
        <f>IFERROR(AVERAGEIF('Данные 1st'!$S$2:$S$317,$A50,'Данные 1st'!$ST$2:$ST$317),"")</f>
        <v>0</v>
      </c>
      <c r="JA50" s="7">
        <f>IFERROR(AVERAGEIF('Данные 1st'!$S$2:$S$317,$A50,'Данные 1st'!$SU$2:$SU$317),"")</f>
        <v>0</v>
      </c>
      <c r="JB50" s="7">
        <f>IFERROR(AVERAGEIF('Данные 1st'!$S$2:$S$317,$A50,'Данные 1st'!$SV$2:$SV$317),"")</f>
        <v>0</v>
      </c>
      <c r="JC50" s="7">
        <f>IFERROR(AVERAGEIF('Данные 1st'!$S$2:$S$317,$A50,'Данные 1st'!$SW$2:$SW$317),"")</f>
        <v>0</v>
      </c>
      <c r="JD50" s="7">
        <f>IFERROR(AVERAGEIF('Данные 1st'!$S$2:$S$317,$A50,'Данные 1st'!$SX$2:$SX$317),"")</f>
        <v>0</v>
      </c>
      <c r="JE50" s="7">
        <f>IFERROR(AVERAGEIF('Данные 1st'!$S$2:$S$317,$A50,'Данные 1st'!$SY$2:$SY$317),"")</f>
        <v>1</v>
      </c>
      <c r="JF50" s="7">
        <f>IFERROR(AVERAGEIF('Данные 1st'!$S$2:$S$317,$A50,'Данные 1st'!$SZ$2:$SZ$317),"")</f>
        <v>1</v>
      </c>
      <c r="JG50" s="7">
        <f>IFERROR(AVERAGEIF('Данные 1st'!$S$2:$S$317,$A50,'Данные 1st'!$TA$2:$TA$317),"")</f>
        <v/>
      </c>
      <c r="JH50" s="7">
        <f>IFERROR(AVERAGEIF('Данные 1st'!$S$2:$S$317,$A50,'Данные 1st'!$TB$2:$TB$317),"")</f>
        <v>0</v>
      </c>
      <c r="JI50" s="7">
        <f>IFERROR(AVERAGEIF('Данные 1st'!$S$2:$S$317,$A50,'Данные 1st'!$TC$2:$TC$317),"")</f>
        <v>0</v>
      </c>
      <c r="JJ50" s="7">
        <f>IFERROR(AVERAGEIF('Данные 1st'!$S$2:$S$317,$A50,'Данные 1st'!$TD$2:$TD$317),"")</f>
        <v>7.5</v>
      </c>
      <c r="JK50" s="7">
        <f>IFERROR(AVERAGEIF('Данные 1st'!$S$2:$S$317,$A50,'Данные 1st'!$TN$2:$TN$317),"")</f>
        <v>0</v>
      </c>
      <c r="JL50">
        <f>COUNTIF('Данные 2st'!$Q$2:$Q$317,$A50)</f>
        <v>1</v>
      </c>
      <c r="JM50" s="6" t="s">
        <v>573</v>
      </c>
      <c r="JN50" s="6" t="s">
        <v>513</v>
      </c>
      <c r="JO50" s="6" t="s">
        <v>567</v>
      </c>
      <c r="JP50" s="6" t="s">
        <v>788</v>
      </c>
      <c r="JQ50" s="7">
        <f>IFERROR(AVERAGEIF('Данные 2st'!$Q$2:$Q$317,$A50,'Данные 2st'!$AC$2:$AC$317),"")</f>
        <v>9</v>
      </c>
      <c r="JR50" s="7">
        <f>IFERROR(AVERAGEIF('Данные 2st'!$Q$2:$Q$317,$A50,'Данные 2st'!$AF$2:$AF$317),"")</f>
        <v>6328</v>
      </c>
      <c r="JS50" s="7">
        <f>IFERROR(AVERAGEIF('Данные 2st'!$Q$2:$Q$317,$A50,'Данные 2st'!$AW$2:$AW$317),"")</f>
        <v>6.4</v>
      </c>
      <c r="JT50" s="7">
        <f>IFERROR(AVERAGEIF('Данные 2st'!$Q$2:$Q$317,$A50,'Данные 2st'!$AX$2:$AX$317),"")</f>
        <v>-6</v>
      </c>
      <c r="JU50" s="7">
        <f>IFERROR(AVERAGEIF('Данные 2st'!$Q$2:$Q$317,$A50,'Данные 2st'!$AY$2:$AY$317),"")</f>
        <v>111</v>
      </c>
      <c r="JV50" s="7">
        <f>IFERROR(AVERAGEIF('Данные 2st'!$Q$2:$Q$317,$A50,'Данные 2st'!$AZ$2:$AZ$317),"")</f>
        <v>81</v>
      </c>
      <c r="JW50" s="7">
        <f>IFERROR(AVERAGEIF('Данные 2st'!$Q$2:$Q$317,$A50,'Данные 2st'!$BA$2:$BA$317),"")</f>
        <v/>
      </c>
      <c r="JX50" s="7">
        <f>IFERROR(AVERAGEIF('Данные 2st'!$Q$2:$Q$317,$A50,'Данные 2st'!$BB$2:$BB$317),"")</f>
        <v/>
      </c>
      <c r="JY50" s="7">
        <f>IFERROR(AVERAGEIF('Данные 2st'!$Q$2:$Q$317,$A50,'Данные 2st'!$BC$2:$BC$317),"")</f>
        <v/>
      </c>
      <c r="JZ50" s="7">
        <f>IFERROR(AVERAGEIF('Данные 2st'!$Q$2:$Q$317,$A50,'Данные 2st'!$BH$2:$BH$317),"")</f>
        <v>111</v>
      </c>
      <c r="KA50" s="7">
        <f>IFERROR(AVERAGEIF('Данные 2st'!$Q$2:$Q$317,$A50,'Данные 2st'!$BI$2:$BI$317),"")</f>
        <v>30</v>
      </c>
      <c r="KB50" s="7">
        <f>IFERROR(AVERAGEIF('Данные 2st'!$Q$2:$Q$317,$A50,'Данные 2st'!$BJ$2:$BJ$317),"")</f>
        <v>81</v>
      </c>
      <c r="KC50" s="7">
        <f>IFERROR(AVERAGEIF('Данные 2st'!$Q$2:$Q$317,$A50,'Данные 2st'!$BK$2:$BK$317),"")</f>
        <v>3.5</v>
      </c>
      <c r="KD50" s="7">
        <f>IFERROR(AVERAGEIF('Данные 2st'!$Q$2:$Q$317,$A50,'Данные 2st'!$BL$2:$BL$317),"")</f>
        <v>222</v>
      </c>
      <c r="KE50" s="7">
        <f>IFERROR(AVERAGEIF('Данные 2st'!$Q$2:$Q$317,$A50,'Данные 2st'!$BM$2:$BM$317),"")</f>
        <v>-6</v>
      </c>
      <c r="KF50" s="7">
        <f>IFERROR(AVERAGEIF('Данные 2st'!$Q$2:$Q$317,$A50,'Данные 2st'!$BN$2:$BN$317),"")</f>
        <v>0</v>
      </c>
      <c r="KG50" s="7">
        <f>IFERROR(AVERAGEIF('Данные 2st'!$Q$2:$Q$317,$A50,'Данные 2st'!$BO$2:$BO$317),"")</f>
        <v/>
      </c>
      <c r="KH50" s="7">
        <f>IFERROR(AVERAGEIF('Данные 2st'!$Q$2:$Q$317,$A50,'Данные 2st'!$BP$2:$BP$317),"")</f>
        <v>0</v>
      </c>
      <c r="KI50" s="7">
        <f>IFERROR(AVERAGEIF('Данные 2st'!$Q$2:$Q$317,$A50,'Данные 2st'!$BR$2:$BR$317),"")</f>
        <v>215</v>
      </c>
      <c r="KJ50" s="7">
        <f>IFERROR(AVERAGEIF('Данные 2st'!$Q$2:$Q$317,$A50,'Данные 2st'!$BS$2:$BS$317),"")</f>
        <v>205</v>
      </c>
      <c r="KK50" s="7">
        <f>IFERROR(AVERAGEIF('Данные 2st'!$Q$2:$Q$317,$A50,'Данные 2st'!$BT$2:$BT$317),"")</f>
        <v>2250</v>
      </c>
      <c r="KL50" s="7">
        <f>IFERROR(AVERAGEIF('Данные 2st'!$Q$2:$Q$317,$A50,'Данные 2st'!$CV$2:$CV$317),"")</f>
        <v>133</v>
      </c>
      <c r="KM50" s="7">
        <f>IFERROR(AVERAGEIF('Данные 2st'!$Q$2:$Q$317,$A50,'Данные 2st'!$CW$2:$CW$317),"")</f>
        <v>3</v>
      </c>
      <c r="KN50" s="7">
        <f>IFERROR(AVERAGEIF('Данные 2st'!$Q$2:$Q$317,$A50,'Данные 2st'!$CX$2:$CX$317),"")</f>
        <v>91</v>
      </c>
      <c r="KO50" s="7">
        <f>IFERROR(AVERAGEIF('Данные 2st'!$Q$2:$Q$317,$A50,'Данные 2st'!$CY$2:$CY$317),"")</f>
        <v>5</v>
      </c>
      <c r="KP50" s="7">
        <f>IFERROR(AVERAGEIF('Данные 2st'!$Q$2:$Q$317,$A50,'Данные 2st'!$CZ$2:$CZ$317),"")</f>
        <v>153</v>
      </c>
      <c r="KQ50" s="7">
        <f>IFERROR(AVERAGEIF('Данные 2st'!$Q$2:$Q$317,$A50,'Данные 2st'!$DA$2:$DA$317),"")</f>
        <v>5</v>
      </c>
      <c r="KR50" s="7">
        <f>IFERROR(AVERAGEIF('Данные 2st'!$Q$2:$Q$317,$A50,'Данные 2st'!$DB$2:$DB$317),"")</f>
        <v>13740</v>
      </c>
      <c r="KS50" s="7">
        <f>IFERROR(AVERAGEIF('Данные 2st'!$Q$2:$Q$317,$A50,'Данные 2st'!$DC$2:$DC$317),"")</f>
        <v>410</v>
      </c>
      <c r="KT50" s="7">
        <f>IFERROR(AVERAGEIF('Данные 2st'!$Q$2:$Q$317,$A50,'Данные 2st'!$DD$2:$DD$317),"")</f>
        <v>335</v>
      </c>
      <c r="KU50" s="7">
        <f>IFERROR(AVERAGEIF('Данные 2st'!$Q$2:$Q$317,$A50,'Данные 2st'!$DE$2:$DE$317),"")</f>
        <v>2373</v>
      </c>
      <c r="KV50" s="7">
        <f>IFERROR(AVERAGEIF('Данные 2st'!$Q$2:$Q$317,$A50,'Данные 2st'!$DF$2:$DF$317),"")</f>
        <v>2373</v>
      </c>
      <c r="KW50" s="7">
        <f>IFERROR(AVERAGEIF('Данные 2st'!$Q$2:$Q$317,$A50,'Данные 2st'!$DG$2:$DG$317),"")</f>
        <v>2383</v>
      </c>
      <c r="KX50" s="7">
        <f>IFERROR(AVERAGEIF('Данные 2st'!$Q$2:$Q$317,$A50,'Данные 2st'!$DH$2:$DH$317),"")</f>
        <v>2</v>
      </c>
      <c r="KY50" s="7">
        <f>IFERROR(AVERAGEIF('Данные 2st'!$Q$2:$Q$317,$A50,'Данные 2st'!$DI$2:$DI$317),"")</f>
        <v/>
      </c>
      <c r="KZ50" s="7">
        <f>IFERROR(AVERAGEIF('Данные 2st'!$Q$2:$Q$317,$A50,'Данные 2st'!$DK$2:$DK$317),"")</f>
        <v>215</v>
      </c>
      <c r="LA50" s="7">
        <f>IFERROR(AVERAGEIF('Данные 2st'!$Q$2:$Q$317,$A50,'Данные 2st'!$DM$2:$DM$317),"")</f>
        <v>65</v>
      </c>
      <c r="LB50" s="7">
        <f>IFERROR(AVERAGEIF('Данные 2st'!$Q$2:$Q$317,$A50,'Данные 2st'!$DN$2:$DN$317),"")</f>
        <v>1.2</v>
      </c>
      <c r="LC50" s="7">
        <f>IFERROR(AVERAGEIF('Данные 2st'!$Q$2:$Q$317,$A50,'Данные 2st'!$DO$2:$DO$317),"")</f>
        <v>1</v>
      </c>
      <c r="LD50" s="7">
        <f>IFERROR(AVERAGEIF('Данные 2st'!$Q$2:$Q$317,$A50,'Данные 2st'!$DP$2:$DP$317),"")</f>
        <v>2254</v>
      </c>
      <c r="LE50" s="7">
        <f>IFERROR(AVERAGEIF('Данные 2st'!$Q$2:$Q$317,$A50,'Данные 2st'!$DQ$2:$DQ$317),"")</f>
        <v>1113</v>
      </c>
      <c r="LF50" s="7">
        <f>IFERROR(AVERAGEIF('Данные 2st'!$Q$2:$Q$317,$A50,'Данные 2st'!$DS$2:$DS$317),"")</f>
        <v>205</v>
      </c>
      <c r="LG50" s="7">
        <f>IFERROR(AVERAGEIF('Данные 2st'!$Q$2:$Q$317,$A50,'Данные 2st'!$DU$2:$DU$317),"")</f>
        <v>65</v>
      </c>
      <c r="LH50" s="7">
        <f>IFERROR(AVERAGEIF('Данные 2st'!$Q$2:$Q$317,$A50,'Данные 2st'!$DV$2:$DV$317),"")</f>
        <v>1.2</v>
      </c>
      <c r="LI50" s="7">
        <f>IFERROR(AVERAGEIF('Данные 2st'!$Q$2:$Q$317,$A50,'Данные 2st'!$DW$2:$DW$317),"")</f>
        <v>1</v>
      </c>
      <c r="LJ50" s="7">
        <f>IFERROR(AVERAGEIF('Данные 2st'!$Q$2:$Q$317,$A50,'Данные 2st'!$DX$2:$DX$317),"")</f>
        <v>2266</v>
      </c>
      <c r="LK50" s="7">
        <f>IFERROR(AVERAGEIF('Данные 2st'!$Q$2:$Q$317,$A50,'Данные 2st'!$DY$2:$DY$317),"")</f>
        <v>1067</v>
      </c>
      <c r="LL50" s="7">
        <f>IFERROR(AVERAGEIF('Данные 2st'!$Q$2:$Q$317,$A50,'Данные 2st'!$EA$2:$EA$317),"")</f>
        <v>20</v>
      </c>
      <c r="LM50" s="7">
        <f>IFERROR(AVERAGEIF('Данные 2st'!$Q$2:$Q$317,$A50,'Данные 2st'!$EC$2:$EC$317),"")</f>
        <v>0.8</v>
      </c>
      <c r="LN50" s="7">
        <f>IFERROR(AVERAGEIF('Данные 2st'!$Q$2:$Q$317,$A50,'Данные 2st'!$ED$2:$ED$317),"")</f>
        <v>2254</v>
      </c>
      <c r="LO50" s="7">
        <f>IFERROR(AVERAGEIF('Данные 2st'!$Q$2:$Q$317,$A50,'Данные 2st'!$EE$2:$EE$317),"")</f>
        <v>79</v>
      </c>
      <c r="LP50" s="7">
        <f>IFERROR(AVERAGEIF('Данные 2st'!$Q$2:$Q$317,$A50,'Данные 2st'!$EG$2:$EG$317),"")</f>
        <v>0</v>
      </c>
      <c r="LQ50" s="7">
        <f>IFERROR(AVERAGEIF('Данные 2st'!$Q$2:$Q$317,$A50,'Данные 2st'!$EI$2:$EI$317),"")</f>
        <v>0</v>
      </c>
      <c r="LR50" s="7">
        <f>IFERROR(AVERAGEIF('Данные 2st'!$Q$2:$Q$317,$A50,'Данные 2st'!$EJ$2:$EJ$317),"")</f>
        <v/>
      </c>
      <c r="LS50" s="7">
        <f>IFERROR(AVERAGEIF('Данные 2st'!$Q$2:$Q$317,$A50,'Данные 2st'!$EK$2:$EK$317),"")</f>
        <v/>
      </c>
      <c r="LT50" s="7">
        <f>IFERROR(AVERAGEIF('Данные 2st'!$Q$2:$Q$317,$A50,'Данные 2st'!$EM$2:$EM$317),"")</f>
        <v>12</v>
      </c>
      <c r="LU50" s="7">
        <f>IFERROR(AVERAGEIF('Данные 2st'!$Q$2:$Q$317,$A50,'Данные 2st'!$EN$2:$EN$317),"")</f>
        <v>0.5</v>
      </c>
      <c r="LV50" s="7">
        <f>IFERROR(AVERAGEIF('Данные 2st'!$Q$2:$Q$317,$A50,'Данные 2st'!$EO$2:$EO$317),"")</f>
        <v>0.96</v>
      </c>
      <c r="LW50" s="7">
        <f>IFERROR(AVERAGEIF('Данные 2st'!$Q$2:$Q$317,$A50,'Данные 2st'!$EP$2:$EP$317),"")</f>
        <v>2265.08</v>
      </c>
      <c r="LX50" s="7">
        <f>IFERROR(AVERAGEIF('Данные 2st'!$Q$2:$Q$317,$A50,'Данные 2st'!$EQ$2:$EQ$317),"")</f>
        <v>41408.49</v>
      </c>
      <c r="LY50" s="7">
        <f>IFERROR(AVERAGEIF('Данные 2st'!$Q$2:$Q$317,$A50,'Данные 2st'!$ER$2:$ER$317),"")</f>
        <v>10645.84</v>
      </c>
      <c r="LZ50" s="7">
        <f>IFERROR(AVERAGEIF('Данные 2st'!$Q$2:$Q$317,$A50,'Данные 2st'!$ES$2:$ES$317),"")</f>
        <v>0</v>
      </c>
      <c r="MA50" s="7">
        <f>IFERROR(AVERAGEIF('Данные 2st'!$Q$2:$Q$317,$A50,'Данные 2st'!$ET$2:$ET$317),"")</f>
        <v>0</v>
      </c>
      <c r="MB50" s="7">
        <f>IFERROR(AVERAGEIF('Данные 2st'!$Q$2:$Q$317,$A50,'Данные 2st'!$EU$2:$EU$317),"")</f>
        <v>1</v>
      </c>
      <c r="MC50" s="7">
        <f>IFERROR(AVERAGEIF('Данные 2st'!$Q$2:$Q$317,$A50,'Данные 2st'!$EV$2:$EV$317),"")</f>
        <v>52055</v>
      </c>
      <c r="MD50" s="7">
        <f>IFERROR(AVERAGEIF('Данные 2st'!$Q$2:$Q$317,$A50,'Данные 2st'!$EW$2:$EW$317),"")</f>
        <v>625</v>
      </c>
      <c r="ME50" s="7">
        <f>IFERROR(AVERAGEIF('Данные 2st'!$Q$2:$Q$317,$A50,'Данные 2st'!$EY$2:$EY$317),"")</f>
        <v>232</v>
      </c>
      <c r="MF50" s="7">
        <f>IFERROR(AVERAGEIF('Данные 2st'!$Q$2:$Q$317,$A50,'Данные 2st'!$FA$2:$FA$317),"")</f>
        <v>5.8</v>
      </c>
      <c r="MG50" s="7">
        <f>IFERROR(AVERAGEIF('Данные 2st'!$Q$2:$Q$317,$A50,'Данные 2st'!$FB$2:$FB$317),"")</f>
        <v>1</v>
      </c>
      <c r="MH50" s="7">
        <f>IFERROR(AVERAGEIF('Данные 2st'!$Q$2:$Q$317,$A50,'Данные 2st'!$FC$2:$FC$317),"")</f>
        <v>1</v>
      </c>
      <c r="MI50" s="7">
        <f>IFERROR(AVERAGEIF('Данные 2st'!$Q$2:$Q$317,$A50,'Данные 2st'!$FD$2:$FD$317),"")</f>
        <v>2297</v>
      </c>
      <c r="MJ50" s="7">
        <f>IFERROR(AVERAGEIF('Данные 2st'!$Q$2:$Q$317,$A50,'Данные 2st'!$FE$2:$FE$317),"")</f>
        <v>3123</v>
      </c>
      <c r="MK50" s="7">
        <f>IFERROR(AVERAGEIF('Данные 2st'!$Q$2:$Q$317,$A50,'Данные 2st'!$FG$2:$FG$317),"")</f>
        <v>232</v>
      </c>
      <c r="ML50" s="7">
        <f>IFERROR(AVERAGEIF('Данные 2st'!$Q$2:$Q$317,$A50,'Данные 2st'!$FI$2:$FI$317),"")</f>
        <v>1.8</v>
      </c>
      <c r="MM50" s="7">
        <f>IFERROR(AVERAGEIF('Данные 2st'!$Q$2:$Q$317,$A50,'Данные 2st'!$FJ$2:$FJ$317),"")</f>
        <v>2297</v>
      </c>
      <c r="MN50" s="7">
        <f>IFERROR(AVERAGEIF('Данные 2st'!$Q$2:$Q$317,$A50,'Данные 2st'!$FK$2:$FK$317),"")</f>
        <v>975</v>
      </c>
      <c r="MO50" s="7">
        <f>IFERROR(AVERAGEIF('Данные 2st'!$Q$2:$Q$317,$A50,'Данные 2st'!$FP$2:$FP$317),"")</f>
        <v>2297</v>
      </c>
      <c r="MP50" s="7">
        <f>IFERROR(AVERAGEIF('Данные 2st'!$Q$2:$Q$317,$A50,'Данные 2st'!$FQ$2:$FQ$317),"")</f>
        <v>160</v>
      </c>
      <c r="MQ50" s="7">
        <f>IFERROR(AVERAGEIF('Данные 2st'!$Q$2:$Q$317,$A50,'Данные 2st'!$FS$2:$FS$317),"")</f>
        <v>236</v>
      </c>
      <c r="MR50" s="7">
        <f>IFERROR(AVERAGEIF('Данные 2st'!$Q$2:$Q$317,$A50,'Данные 2st'!$FU$2:$FU$317),"")</f>
        <v>0.4</v>
      </c>
      <c r="MS50" s="7">
        <f>IFERROR(AVERAGEIF('Данные 2st'!$Q$2:$Q$317,$A50,'Данные 2st'!$FV$2:$FV$317),"")</f>
        <v>2297</v>
      </c>
      <c r="MT50" s="7">
        <f>IFERROR(AVERAGEIF('Данные 2st'!$Q$2:$Q$317,$A50,'Данные 2st'!$FW$2:$FW$317),"")</f>
        <v>241</v>
      </c>
      <c r="MU50" s="7">
        <f>IFERROR(AVERAGEIF('Данные 2st'!$Q$2:$Q$317,$A50,'Данные 2st'!$FY$2:$FY$317),"")</f>
        <v>5</v>
      </c>
      <c r="MV50" s="7">
        <f>IFERROR(AVERAGEIF('Данные 2st'!$Q$2:$Q$317,$A50,'Данные 2st'!$GB$2:$GB$317),"")</f>
        <v>2297</v>
      </c>
      <c r="MW50" s="7">
        <f>IFERROR(AVERAGEIF('Данные 2st'!$Q$2:$Q$317,$A50,'Данные 2st'!$GC$2:$GC$317),"")</f>
        <v>21</v>
      </c>
      <c r="MX50" s="7">
        <f>IFERROR(AVERAGEIF('Данные 2st'!$Q$2:$Q$317,$A50,'Данные 2st'!$GD$2:$GD$317),"")</f>
        <v>4520</v>
      </c>
      <c r="MY50" s="7">
        <f>IFERROR(AVERAGEIF('Данные 2st'!$Q$2:$Q$317,$A50,'Данные 2st'!$GN$2:$GN$317),"")</f>
        <v/>
      </c>
      <c r="MZ50" s="7">
        <f>IFERROR(AVERAGEIF('Данные 2st'!$Q$2:$Q$317,$A50,'Данные 2st'!$GQ$2:$GQ$317),"")</f>
        <v>0</v>
      </c>
      <c r="NA50" s="7">
        <f>IFERROR(AVERAGEIF('Данные 2st'!$Q$2:$Q$317,$A50,'Данные 2st'!$GV$2:$GV$317),"")</f>
        <v>8</v>
      </c>
      <c r="NB50" s="7">
        <f>IFERROR(AVERAGEIF('Данные 2st'!$Q$2:$Q$317,$A50,'Данные 2st'!$GW$2:$GW$317),"")</f>
        <v>7.8</v>
      </c>
      <c r="NC50" s="7">
        <f>IFERROR(AVERAGEIF('Данные 2st'!$Q$2:$Q$317,$A50,'Данные 2st'!$GX$2:$GX$317),"")</f>
        <v>0.5</v>
      </c>
      <c r="ND50" s="7">
        <f>IFERROR(AVERAGEIF('Данные 2st'!$Q$2:$Q$317,$A50,'Данные 2st'!$GY$2:$GY$317),"")</f>
        <v>200</v>
      </c>
      <c r="NE50" s="7">
        <f>IFERROR(AVERAGEIF('Данные 2st'!$Q$2:$Q$317,$A50,'Данные 2st'!$GZ$2:$GZ$317),"")</f>
        <v>3</v>
      </c>
      <c r="NF50" s="7">
        <f>IFERROR(AVERAGEIF('Данные 2st'!$Q$2:$Q$317,$A50,'Данные 2st'!$HA$2:$HA$317),"")</f>
        <v>252</v>
      </c>
      <c r="NG50" s="7">
        <f>IFERROR(AVERAGEIF('Данные 2st'!$Q$2:$Q$317,$A50,'Данные 2st'!$HB$2:$HB$317),"")</f>
        <v>3</v>
      </c>
      <c r="NH50" s="7">
        <f>IFERROR(AVERAGEIF('Данные 2st'!$Q$2:$Q$317,$A50,'Данные 2st'!$HC$2:$HC$317),"")</f>
        <v>2297</v>
      </c>
      <c r="NI50" s="7">
        <f>IFERROR(AVERAGEIF('Данные 2st'!$Q$2:$Q$317,$A50,'Данные 2st'!$HD$2:$HD$317),"")</f>
        <v>4</v>
      </c>
      <c r="NJ50" s="7">
        <f>IFERROR(AVERAGEIF('Данные 2st'!$Q$2:$Q$317,$A50,'Данные 2st'!$HM$2:$HM$317),"")</f>
        <v>20</v>
      </c>
      <c r="NK50" s="7">
        <f>IFERROR(AVERAGEIF('Данные 2st'!$Q$2:$Q$317,$A50,'Данные 2st'!$HR$2:$HR$317),"")</f>
        <v>2</v>
      </c>
      <c r="NL50" s="7">
        <f>IFERROR(AVERAGEIF('Данные 2st'!$Q$2:$Q$317,$A50,'Данные 2st'!$HS$2:$HS$317),"")</f>
        <v>2250</v>
      </c>
      <c r="NM50" s="7">
        <f>IFERROR(AVERAGEIF('Данные 2st'!$Q$2:$Q$317,$A50,'Данные 2st'!$HT$2:$HT$317),"")</f>
        <v>5</v>
      </c>
      <c r="NN50" s="7">
        <f>IFERROR(AVERAGEIF('Данные 2st'!$Q$2:$Q$317,$A50,'Данные 2st'!$HY$2:$HY$317),"")</f>
        <v>0</v>
      </c>
      <c r="NO50" s="7">
        <f>IFERROR(AVERAGEIF('Данные 2st'!$Q$2:$Q$317,$A50,'Данные 2st'!$HZ$2:$HZ$317),"")</f>
        <v>65</v>
      </c>
      <c r="NP50" s="7">
        <f>IFERROR(AVERAGEIF('Данные 2st'!$Q$2:$Q$317,$A50,'Данные 2st'!$IA$2:$IA$317),"")</f>
        <v>2254</v>
      </c>
      <c r="NQ50" s="7">
        <f>IFERROR(AVERAGEIF('Данные 2st'!$Q$2:$Q$317,$A50,'Данные 2st'!$IB$2:$IB$317),"")</f>
        <v>2266</v>
      </c>
      <c r="NR50" s="7">
        <f>IFERROR(AVERAGEIF('Данные 2st'!$Q$2:$Q$317,$A50,'Данные 2st'!$IC$2:$IC$317),"")</f>
        <v/>
      </c>
      <c r="NS50" s="7">
        <f>IFERROR(AVERAGEIF('Данные 2st'!$Q$2:$Q$317,$A50,'Данные 2st'!$ID$2:$ID$317),"")</f>
        <v>2297</v>
      </c>
      <c r="NT50" s="7">
        <f>IFERROR(AVERAGEIF('Данные 2st'!$Q$2:$Q$317,$A50,'Данные 2st'!$IE$2:$IE$317),"")</f>
        <v>2297</v>
      </c>
      <c r="NU50" s="7">
        <f>IFERROR(AVERAGEIF('Данные 2st'!$Q$2:$Q$317,$A50,'Данные 2st'!$IF$2:$IF$317),"")</f>
        <v>215</v>
      </c>
      <c r="NV50" s="7">
        <f>IFERROR(AVERAGEIF('Данные 2st'!$Q$2:$Q$317,$A50,'Данные 2st'!$IG$2:$IG$317),"")</f>
        <v>205</v>
      </c>
      <c r="NW50" s="7">
        <f>IFERROR(AVERAGEIF('Данные 2st'!$Q$2:$Q$317,$A50,'Данные 2st'!$IH$2:$IH$317),"")</f>
        <v>252</v>
      </c>
      <c r="NX50" s="7">
        <f>IFERROR(AVERAGEIF('Данные 2st'!$Q$2:$Q$317,$A50,'Данные 2st'!$IJ$2:$IJ$317),"")</f>
        <v>10</v>
      </c>
      <c r="NY50" s="7">
        <f>IFERROR(AVERAGEIF('Данные 2st'!$Q$2:$Q$317,$A50,'Данные 2st'!$IM$2:$IM$317),"")</f>
        <v>0</v>
      </c>
      <c r="NZ50" s="7">
        <f>IFERROR(AVERAGEIF('Данные 2st'!$Q$2:$Q$317,$A50,'Данные 2st'!$IN$2:$IN$317),"")</f>
        <v>270</v>
      </c>
      <c r="OA50" s="7">
        <f>IFERROR(AVERAGEIF('Данные 2st'!$Q$2:$Q$317,$A50,'Данные 2st'!$IO$2:$IO$317),"")</f>
        <v>0</v>
      </c>
      <c r="OB50" s="7">
        <f>IFERROR(AVERAGEIF('Данные 2st'!$Q$2:$Q$317,$A50,'Данные 2st'!$IP$2:$IP$317),"")</f>
        <v>180</v>
      </c>
      <c r="OC50" s="7">
        <f>IFERROR(AVERAGEIF('Данные 2st'!$Q$2:$Q$317,$A50,'Данные 2st'!$IQ$2:$IQ$317),"")</f>
        <v>0</v>
      </c>
      <c r="OD50" s="7">
        <f>IFERROR(AVERAGEIF('Данные 2st'!$Q$2:$Q$317,$A50,'Данные 2st'!$IR$2:$IR$317),"")</f>
        <v>330</v>
      </c>
      <c r="OE50" s="7">
        <f>IFERROR(AVERAGEIF('Данные 2st'!$Q$2:$Q$317,$A50,'Данные 2st'!$IT$2:$IT$317),"")</f>
        <v>90</v>
      </c>
      <c r="OF50" s="7">
        <f>IFERROR(AVERAGEIF('Данные 2st'!$Q$2:$Q$317,$A50,'Данные 2st'!$IU$2:$IU$317),"")</f>
        <v>0</v>
      </c>
      <c r="OG50" s="7">
        <f>IFERROR(AVERAGEIF('Данные 2st'!$Q$2:$Q$317,$A50,'Данные 2st'!$IV$2:$IV$317),"")</f>
        <v>6.4</v>
      </c>
      <c r="OH50" s="7">
        <f>IFERROR(AVERAGEIF('Данные 2st'!$Q$2:$Q$317,$A50,'Данные 2st'!$IW$2:$IW$317),"")</f>
        <v>-6</v>
      </c>
      <c r="OI50" s="7">
        <f>IFERROR(AVERAGEIF('Данные 2st'!$Q$2:$Q$317,$A50,'Данные 2st'!$IX$2:$IX$317),"")</f>
        <v>111</v>
      </c>
      <c r="OJ50" s="7">
        <f>IFERROR(AVERAGEIF('Данные 2st'!$Q$2:$Q$317,$A50,'Данные 2st'!$IY$2:$IY$317),"")</f>
        <v>81</v>
      </c>
      <c r="OK50" s="7">
        <f>IFERROR(AVERAGEIF('Данные 2st'!$Q$2:$Q$317,$A50,'Данные 2st'!$IZ$2:$IZ$317),"")</f>
        <v>0</v>
      </c>
      <c r="OL50" s="7">
        <f>IFERROR(AVERAGEIF('Данные 2st'!$Q$2:$Q$317,$A50,'Данные 2st'!$JA$2:$JA$317),"")</f>
        <v>0</v>
      </c>
      <c r="OM50" s="7">
        <f>IFERROR(AVERAGEIF('Данные 2st'!$Q$2:$Q$317,$A50,'Данные 2st'!$JB$2:$JB$317),"")</f>
        <v>0</v>
      </c>
      <c r="ON50" s="7">
        <f>IFERROR(AVERAGEIF('Данные 2st'!$Q$2:$Q$317,$A50,'Данные 2st'!$JC$2:$JC$317),"")</f>
        <v>0</v>
      </c>
      <c r="OO50" s="7">
        <f>IFERROR(AVERAGEIF('Данные 2st'!$Q$2:$Q$317,$A50,'Данные 2st'!$JD$2:$JD$317),"")</f>
        <v>0</v>
      </c>
      <c r="OP50" s="7">
        <f>IFERROR(AVERAGEIF('Данные 2st'!$Q$2:$Q$317,$A50,'Данные 2st'!$JE$2:$JE$317),"")</f>
        <v>0</v>
      </c>
      <c r="OQ50" s="7">
        <f>IFERROR(AVERAGEIF('Данные 2st'!$Q$2:$Q$317,$A50,'Данные 2st'!$JF$2:$JF$317),"")</f>
        <v>0</v>
      </c>
      <c r="OR50" s="7">
        <f>IFERROR(AVERAGEIF('Данные 2st'!$Q$2:$Q$317,$A50,'Данные 2st'!$JG$2:$JG$317),"")</f>
        <v>0</v>
      </c>
      <c r="OS50" s="7">
        <f>IFERROR(AVERAGEIF('Данные 2st'!$Q$2:$Q$317,$A50,'Данные 2st'!$JH$2:$JH$317),"")</f>
        <v>0</v>
      </c>
      <c r="OT50" s="7">
        <f>IFERROR(AVERAGEIF('Данные 2st'!$Q$2:$Q$317,$A50,'Данные 2st'!$JI$2:$JI$317),"")</f>
        <v>404</v>
      </c>
      <c r="OU50" s="7">
        <f>IFERROR(AVERAGEIF('Данные 2st'!$Q$2:$Q$317,$A50,'Данные 2st'!$JJ$2:$JJ$317),"")</f>
        <v>374</v>
      </c>
      <c r="OV50" s="7">
        <f>IFERROR(AVERAGEIF('Данные 2st'!$Q$2:$Q$317,$A50,'Данные 2st'!$JK$2:$JK$317),"")</f>
        <v>268</v>
      </c>
      <c r="OW50" s="7">
        <f>IFERROR(AVERAGEIF('Данные 2st'!$Q$2:$Q$317,$A50,'Данные 2st'!$JL$2:$JL$317),"")</f>
        <v>370</v>
      </c>
      <c r="OX50" s="7">
        <f>IFERROR(AVERAGEIF('Данные 2st'!$Q$2:$Q$317,$A50,'Данные 2st'!$JM$2:$JM$317),"")</f>
        <v>278</v>
      </c>
      <c r="OY50" s="7">
        <f>IFERROR(AVERAGEIF('Данные 2st'!$Q$2:$Q$317,$A50,'Данные 2st'!$JP$2:$JP$317),"")</f>
        <v>190</v>
      </c>
      <c r="OZ50" s="7">
        <f>IFERROR(AVERAGEIF('Данные 2st'!$Q$2:$Q$317,$A50,'Данные 2st'!$JQ$2:$JQ$317),"")</f>
        <v>220</v>
      </c>
      <c r="PA50" s="7">
        <f>IFERROR(AVERAGEIF('Данные 2st'!$Q$2:$Q$317,$A50,'Данные 2st'!$JR$2:$JR$317),"")</f>
        <v>305</v>
      </c>
      <c r="PB50" s="7">
        <f>IFERROR(AVERAGEIF('Данные 2st'!$Q$2:$Q$317,$A50,'Данные 2st'!$JS$2:$JS$317),"")</f>
        <v>240</v>
      </c>
      <c r="PC50" s="7">
        <f>IFERROR(AVERAGEIF('Данные 2st'!$Q$2:$Q$317,$A50,'Данные 2st'!$JT$2:$JT$317),"")</f>
        <v>0</v>
      </c>
      <c r="PD50" s="7">
        <f>IFERROR(AVERAGEIF('Данные 2st'!$Q$2:$Q$317,$A50,'Данные 2st'!$JU$2:$JU$317),"")</f>
        <v>0</v>
      </c>
      <c r="PE50" s="7">
        <f>IFERROR(AVERAGEIF('Данные 2st'!$Q$2:$Q$317,$A50,'Данные 2st'!$JV$2:$JV$317),"")</f>
        <v>300</v>
      </c>
      <c r="PF50" s="7">
        <f>IFERROR(AVERAGEIF('Данные 2st'!$Q$2:$Q$317,$A50,'Данные 2st'!$JW$2:$JW$317),"")</f>
        <v>300</v>
      </c>
      <c r="PG50" s="7">
        <f>IFERROR(AVERAGEIF('Данные 2st'!$Q$2:$Q$317,$A50,'Данные 2st'!$KF$2:$KF$317),"")</f>
        <v>0.2</v>
      </c>
      <c r="PH50" s="7">
        <f>IFERROR(AVERAGEIF('Данные 2st'!$Q$2:$Q$317,$A50,'Данные 2st'!$KG$2:$KG$317),"")</f>
        <v>0.11</v>
      </c>
      <c r="PI50" s="7">
        <f>IFERROR(AVERAGEIF('Данные 2st'!$Q$2:$Q$317,$A50,'Данные 2st'!$KM$2:$KM$317),"")</f>
        <v>0</v>
      </c>
      <c r="PJ50" s="7">
        <f>IFERROR(AVERAGEIF('Данные 2st'!$Q$2:$Q$317,$A50,'Данные 2st'!$KN$2:$KN$317),"")</f>
        <v>2.4</v>
      </c>
      <c r="PK50" s="7">
        <f>IFERROR(AVERAGEIF('Данные 2st'!$Q$2:$Q$317,$A50,'Данные 2st'!$KO$2:$KO$317),"")</f>
        <v>0</v>
      </c>
      <c r="PL50" s="7">
        <f>IFERROR(AVERAGEIF('Данные 2st'!$Q$2:$Q$317,$A50,'Данные 2st'!$KP$2:$KP$317),"")</f>
        <v>0</v>
      </c>
      <c r="PM50" s="7">
        <f>IFERROR(AVERAGEIF('Данные 2st'!$Q$2:$Q$317,$A50,'Данные 2st'!$KQ$2:$KQ$317),"")</f>
        <v>0.7</v>
      </c>
      <c r="PN50" s="7">
        <f>IFERROR(AVERAGEIF('Данные 2st'!$Q$2:$Q$317,$A50,'Данные 2st'!$KR$2:$KR$317),"")</f>
        <v>0.9</v>
      </c>
      <c r="PO50" s="7">
        <f>IFERROR(AVERAGEIF('Данные 2st'!$Q$2:$Q$317,$A50,'Данные 2st'!$KS$2:$KS$317),"")</f>
        <v>0</v>
      </c>
      <c r="PP50" s="7">
        <f>IFERROR(AVERAGEIF('Данные 2st'!$Q$2:$Q$317,$A50,'Данные 2st'!$KT$2:$KT$317),"")</f>
        <v>2.8</v>
      </c>
      <c r="PQ50" s="7">
        <f>IFERROR(AVERAGEIF('Данные 2st'!$Q$2:$Q$317,$A50,'Данные 2st'!$KU$2:$KU$317),"")</f>
        <v>0</v>
      </c>
      <c r="PR50" s="7">
        <f>IFERROR(AVERAGEIF('Данные 2st'!$Q$2:$Q$317,$A50,'Данные 2st'!$KV$2:$KV$317),"")</f>
        <v>0</v>
      </c>
      <c r="PS50" s="7">
        <f>IFERROR(AVERAGEIF('Данные 2st'!$Q$2:$Q$317,$A50,'Данные 2st'!$KW$2:$KW$317),"")</f>
        <v>0.7</v>
      </c>
      <c r="PT50" s="7">
        <f>IFERROR(AVERAGEIF('Данные 2st'!$Q$2:$Q$317,$A50,'Данные 2st'!$KX$2:$KX$317),"")</f>
        <v>1.5</v>
      </c>
      <c r="PU50" s="7">
        <f>IFERROR(AVERAGEIF('Данные 2st'!$Q$2:$Q$317,$A50,'Данные 2st'!$KY$2:$KY$317),"")</f>
        <v>0</v>
      </c>
      <c r="PV50" s="7">
        <f>IFERROR(AVERAGEIF('Данные 2st'!$Q$2:$Q$317,$A50,'Данные 2st'!$KZ$2:$KZ$317),"")</f>
        <v>0</v>
      </c>
      <c r="PW50" s="7">
        <f>IFERROR(AVERAGEIF('Данные 2st'!$Q$2:$Q$317,$A50,'Данные 2st'!$LA$2:$LA$317),"")</f>
        <v>0</v>
      </c>
      <c r="PX50" s="7">
        <f>IFERROR(AVERAGEIF('Данные 2st'!$Q$2:$Q$317,$A50,'Данные 2st'!$LB$2:$LB$317),"")</f>
        <v>0</v>
      </c>
      <c r="PY50" s="7">
        <f>IFERROR(AVERAGEIF('Данные 2st'!$Q$2:$Q$317,$A50,'Данные 2st'!$LC$2:$LC$317),"")</f>
        <v>0</v>
      </c>
      <c r="PZ50" s="7">
        <f>IFERROR(AVERAGEIF('Данные 2st'!$Q$2:$Q$317,$A50,'Данные 2st'!$LD$2:$LD$317),"")</f>
        <v>0</v>
      </c>
      <c r="QA50" s="7">
        <f>IFERROR(AVERAGEIF('Данные 2st'!$Q$2:$Q$317,$A50,'Данные 2st'!$LE$2:$LE$317),"")</f>
        <v>0</v>
      </c>
      <c r="QB50" s="7">
        <f>IFERROR(AVERAGEIF('Данные 2st'!$Q$2:$Q$317,$A50,'Данные 2st'!$LF$2:$LF$317),"")</f>
        <v>0</v>
      </c>
      <c r="QC50" s="7">
        <f>IFERROR(AVERAGEIF('Данные 2st'!$Q$2:$Q$317,$A50,'Данные 2st'!$LG$2:$LG$317),"")</f>
        <v>0</v>
      </c>
      <c r="QD50" s="7">
        <f>IFERROR(AVERAGEIF('Данные 2st'!$Q$2:$Q$317,$A50,'Данные 2st'!$LH$2:$LH$317),"")</f>
        <v>3</v>
      </c>
      <c r="QE50" s="7">
        <f>IFERROR(AVERAGEIF('Данные 2st'!$Q$2:$Q$317,$A50,'Данные 2st'!$LJ$2:$LJ$317),"")</f>
        <v>0</v>
      </c>
      <c r="QF50" s="7">
        <f>IFERROR(AVERAGEIF('Данные 2st'!$Q$2:$Q$317,$A50,'Данные 2st'!$LK$2:$LK$317),"")</f>
        <v>9</v>
      </c>
      <c r="QG50" s="7">
        <f>IFERROR(AVERAGEIF('Данные 2st'!$Q$2:$Q$317,$A50,'Данные 2st'!$LL$2:$LL$317),"")</f>
        <v>5</v>
      </c>
      <c r="QH50" s="7">
        <f>IFERROR(AVERAGEIF('Данные 2st'!$Q$2:$Q$317,$A50,'Данные 2st'!$LM$2:$LM$317),"")</f>
        <v>8</v>
      </c>
      <c r="QI50" s="7">
        <f>IFERROR(AVERAGEIF('Данные 2st'!$Q$2:$Q$317,$A50,'Данные 2st'!$LN$2:$LN$317),"")</f>
        <v>0.5</v>
      </c>
      <c r="QJ50" s="7">
        <f>IFERROR(AVERAGEIF('Данные 2st'!$Q$2:$Q$317,$A50,'Данные 2st'!$LO$2:$LO$317),"")</f>
        <v>3</v>
      </c>
      <c r="QK50" s="7">
        <f>IFERROR(AVERAGEIF('Данные 2st'!$Q$2:$Q$317,$A50,'Данные 2st'!$LP$2:$LP$317),"")</f>
        <v>0</v>
      </c>
      <c r="QL50" s="7">
        <f>IFERROR(AVERAGEIF('Данные 2st'!$Q$2:$Q$317,$A50,'Данные 2st'!$LQ$2:$LQ$317),"")</f>
        <v>0</v>
      </c>
      <c r="QM50" s="7">
        <f>IFERROR(AVERAGEIF('Данные 2st'!$Q$2:$Q$317,$A50,'Данные 2st'!$LW$2:$LW$317),"")</f>
        <v>2.1</v>
      </c>
      <c r="QN50" s="7">
        <f>IFERROR(AVERAGEIF('Данные 2st'!$Q$2:$Q$317,$A50,'Данные 2st'!$LX$2:$LX$317),"")</f>
        <v>2.1</v>
      </c>
      <c r="QO50" s="7">
        <f>IFERROR(AVERAGEIF('Данные 2st'!$Q$2:$Q$317,$A50,'Данные 2st'!$LY$2:$LY$317),"")</f>
        <v>2.8</v>
      </c>
      <c r="QP50" s="7">
        <f>IFERROR(AVERAGEIF('Данные 2st'!$Q$2:$Q$317,$A50,'Данные 2st'!$LZ$2:$LZ$317),"")</f>
        <v>2.8</v>
      </c>
      <c r="QQ50" s="7">
        <f>IFERROR(AVERAGEIF('Данные 2st'!$Q$2:$Q$317,$A50,'Данные 2st'!$MB$2:$MB$317),"")</f>
        <v>4</v>
      </c>
      <c r="QR50" s="7">
        <f>IFERROR(AVERAGEIF('Данные 2st'!$Q$2:$Q$317,$A50,'Данные 2st'!$MG$2:$MG$317),"")</f>
        <v>0</v>
      </c>
      <c r="QS50" s="7">
        <f>IFERROR(AVERAGEIF('Данные 2st'!$Q$2:$Q$317,$A50,'Данные 2st'!$MH$2:$MH$317),"")</f>
        <v>0</v>
      </c>
      <c r="QT50" s="7">
        <f>IFERROR(AVERAGEIF('Данные 2st'!$Q$2:$Q$317,$A50,'Данные 2st'!$MI$2:$MI$317),"")</f>
        <v>0</v>
      </c>
      <c r="QU50" s="7">
        <f>IFERROR(AVERAGEIF('Данные 2st'!$Q$2:$Q$317,$A50,'Данные 2st'!$MJ$2:$MJ$317),"")</f>
        <v>0</v>
      </c>
      <c r="QV50" s="7">
        <f>IFERROR(AVERAGEIF('Данные 2st'!$Q$2:$Q$317,$A50,'Данные 2st'!$MK$2:$MK$317),"")</f>
        <v>0</v>
      </c>
      <c r="QW50" s="7">
        <f>IFERROR(AVERAGEIF('Данные 2st'!$Q$2:$Q$317,$A50,'Данные 2st'!$MM$2:$MM$317),"")</f>
        <v>390</v>
      </c>
      <c r="QX50" s="7">
        <f>IFERROR(AVERAGEIF('Данные 2st'!$Q$2:$Q$317,$A50,'Данные 2st'!$MQ$2:$MQ$317),"")</f>
        <v/>
      </c>
      <c r="QY50" s="7">
        <f>IFERROR(AVERAGEIF('Данные 2st'!$Q$2:$Q$317,$A50,'Данные 2st'!$MR$2:$MR$317),"")</f>
        <v/>
      </c>
      <c r="QZ50" s="7">
        <f>IFERROR(AVERAGEIF('Данные 2st'!$Q$2:$Q$317,$A50,'Данные 2st'!$MS$2:$MS$317),"")</f>
        <v/>
      </c>
      <c r="RA50" s="7">
        <f>IFERROR(AVERAGEIF('Данные 2st'!$Q$2:$Q$317,$A50,'Данные 2st'!$MT$2:$MT$317),"")</f>
        <v/>
      </c>
      <c r="RB50" s="7">
        <f>IFERROR(AVERAGEIF('Данные 2st'!$Q$2:$Q$317,$A50,'Данные 2st'!$MU$2:$MU$317),"")</f>
        <v/>
      </c>
      <c r="RC50" s="7">
        <f>IFERROR(AVERAGEIF('Данные 2st'!$Q$2:$Q$317,$A50,'Данные 2st'!$MV$2:$MV$317),"")</f>
        <v/>
      </c>
      <c r="RD50" s="7">
        <f>IFERROR(AVERAGEIF('Данные 2st'!$Q$2:$Q$317,$A50,'Данные 2st'!$MW$2:$MW$317),"")</f>
        <v/>
      </c>
      <c r="RE50" s="7">
        <f>IFERROR(AVERAGEIF('Данные 2st'!$Q$2:$Q$317,$A50,'Данные 2st'!$MX$2:$MX$317),"")</f>
        <v/>
      </c>
      <c r="RF50" s="7">
        <f>IFERROR(AVERAGEIF('Данные 2st'!$Q$2:$Q$317,$A50,'Данные 2st'!$MY$2:$MY$317),"")</f>
        <v/>
      </c>
      <c r="RG50" s="7">
        <f>IFERROR(AVERAGEIF('Данные 2st'!$Q$2:$Q$317,$A50,'Данные 2st'!$MZ$2:$MZ$317),"")</f>
        <v/>
      </c>
      <c r="RH50" s="7">
        <f>IFERROR(AVERAGEIF('Данные 2st'!$Q$2:$Q$317,$A50,'Данные 2st'!$NA$2:$NA$317),"")</f>
        <v/>
      </c>
      <c r="RI50" s="7">
        <f>IFERROR(AVERAGEIF('Данные 2st'!$Q$2:$Q$317,$A50,'Данные 2st'!$NB$2:$NB$317),"")</f>
        <v/>
      </c>
      <c r="RJ50" s="7">
        <f>IFERROR(AVERAGEIF('Данные 2st'!$Q$2:$Q$317,$A50,'Данные 2st'!$NC$2:$NC$317),"")</f>
        <v/>
      </c>
      <c r="RK50" s="7">
        <f>IFERROR(AVERAGEIF('Данные 2st'!$Q$2:$Q$317,$A50,'Данные 2st'!$ND$2:$ND$317),"")</f>
        <v/>
      </c>
      <c r="RL50" s="7">
        <f>IFERROR(AVERAGEIF('Данные 2st'!$Q$2:$Q$317,$A50,'Данные 2st'!$NE$2:$NE$317),"")</f>
        <v/>
      </c>
      <c r="RM50" s="7">
        <f>IFERROR(AVERAGEIF('Данные 2st'!$Q$2:$Q$317,$A50,'Данные 2st'!$NF$2:$NF$317),"")</f>
        <v/>
      </c>
      <c r="RN50" s="7">
        <f>IFERROR(AVERAGEIF('Данные 2st'!$Q$2:$Q$317,$A50,'Данные 2st'!$NG$2:$NG$317),"")</f>
        <v/>
      </c>
      <c r="RO50" s="7">
        <f>IFERROR(AVERAGEIF('Данные 2st'!$Q$2:$Q$317,$A50,'Данные 2st'!$NH$2:$NH$317),"")</f>
        <v/>
      </c>
      <c r="RP50" s="7">
        <f>IFERROR(AVERAGEIF('Данные 2st'!$Q$2:$Q$317,$A50,'Данные 2st'!$NJ$2:$NJ$317),"")</f>
        <v/>
      </c>
      <c r="RQ50" s="7">
        <f>IFERROR(AVERAGEIF('Данные 2st'!$Q$2:$Q$317,$A50,'Данные 2st'!$NK$2:$NK$317),"")</f>
        <v/>
      </c>
      <c r="RR50" s="7">
        <f>IFERROR(AVERAGEIF('Данные 2st'!$Q$2:$Q$317,$A50,'Данные 2st'!$NM$2:$NM$317),"")</f>
        <v/>
      </c>
      <c r="RS50" s="7">
        <f>IFERROR(AVERAGEIF('Данные 2st'!$Q$2:$Q$317,$A50,'Данные 2st'!$NN$2:$NN$317),"")</f>
        <v/>
      </c>
      <c r="RT50" s="7">
        <f>IFERROR(AVERAGEIF('Данные 2st'!$Q$2:$Q$317,$A50,'Данные 2st'!$NO$2:$NO$317),"")</f>
        <v/>
      </c>
      <c r="RU50" s="7">
        <f>IFERROR(AVERAGEIF('Данные 2st'!$Q$2:$Q$317,$A50,'Данные 2st'!$NP$2:$NP$317),"")</f>
        <v/>
      </c>
      <c r="RV50" s="7">
        <f>IFERROR(AVERAGEIF('Данные 2st'!$Q$2:$Q$317,$A50,'Данные 2st'!$NQ$2:$NQ$317),"")</f>
        <v/>
      </c>
      <c r="RW50" s="7">
        <f>IFERROR(AVERAGEIF('Данные 2st'!$Q$2:$Q$317,$A50,'Данные 2st'!$NR$2:$NR$317),"")</f>
        <v/>
      </c>
      <c r="RX50" s="7">
        <f>IFERROR(AVERAGEIF('Данные 2st'!$Q$2:$Q$317,$A50,'Данные 2st'!$NS$2:$NS$317),"")</f>
        <v/>
      </c>
      <c r="RY50" s="7">
        <f>IFERROR(AVERAGEIF('Данные 2st'!$Q$2:$Q$317,$A50,'Данные 2st'!$NT$2:$NT$317),"")</f>
        <v/>
      </c>
      <c r="RZ50" s="7">
        <f>IFERROR(AVERAGEIF('Данные 2st'!$Q$2:$Q$317,$A50,'Данные 2st'!$OK$2:$OK$317),"")</f>
        <v>61</v>
      </c>
      <c r="SA50" s="7">
        <f>IFERROR(AVERAGEIF('Данные 2st'!$Q$2:$Q$317,$A50,'Данные 2st'!$OL$2:$OL$317),"")</f>
        <v>61</v>
      </c>
      <c r="SB50" s="7">
        <f>IFERROR(AVERAGEIF('Данные 2st'!$Q$2:$Q$317,$A50,'Данные 2st'!$ON$2:$ON$317),"")</f>
        <v>1</v>
      </c>
      <c r="SC50" s="7">
        <f>IFERROR(AVERAGEIF('Данные 2st'!$Q$2:$Q$317,$A50,'Данные 2st'!$OO$2:$OO$317),"")</f>
        <v>2254</v>
      </c>
      <c r="SD50" s="7">
        <f>IFERROR(AVERAGEIF('Данные 2st'!$Q$2:$Q$317,$A50,'Данные 2st'!$OP$2:$OP$317),"")</f>
        <v>61</v>
      </c>
      <c r="SE50" s="7">
        <f>IFERROR(AVERAGEIF('Данные 2st'!$Q$2:$Q$317,$A50,'Данные 2st'!$OQ$2:$OQ$317),"")</f>
        <v>61</v>
      </c>
      <c r="SF50" s="7">
        <f>IFERROR(AVERAGEIF('Данные 2st'!$Q$2:$Q$317,$A50,'Данные 2st'!$OS$2:$OS$317),"")</f>
        <v>1</v>
      </c>
      <c r="SG50" s="7">
        <f>IFERROR(AVERAGEIF('Данные 2st'!$Q$2:$Q$317,$A50,'Данные 2st'!$OT$2:$OT$317),"")</f>
        <v>2266</v>
      </c>
      <c r="SH50" s="7">
        <f>IFERROR(AVERAGEIF('Данные 2st'!$Q$2:$Q$317,$A50,'Данные 2st'!$OU$2:$OU$317),"")</f>
        <v>65</v>
      </c>
      <c r="SI50" s="7">
        <f>IFERROR(AVERAGEIF('Данные 2st'!$Q$2:$Q$317,$A50,'Данные 2st'!$OV$2:$OV$317),"")</f>
        <v>65</v>
      </c>
      <c r="SJ50" s="7">
        <f>IFERROR(AVERAGEIF('Данные 2st'!$Q$2:$Q$317,$A50,'Данные 2st'!$OX$2:$OX$317),"")</f>
        <v>1</v>
      </c>
      <c r="SK50" s="7">
        <f>IFERROR(AVERAGEIF('Данные 2st'!$Q$2:$Q$317,$A50,'Данные 2st'!$OY$2:$OY$317),"")</f>
        <v>52055</v>
      </c>
      <c r="SL50" s="7">
        <f>IFERROR(AVERAGEIF('Данные 2st'!$Q$2:$Q$317,$A50,'Данные 2st'!$OZ$2:$OZ$317),"")</f>
        <v>51</v>
      </c>
      <c r="SM50" s="7">
        <f>IFERROR(AVERAGEIF('Данные 2st'!$Q$2:$Q$317,$A50,'Данные 2st'!$PA$2:$PA$317),"")</f>
        <v>52</v>
      </c>
      <c r="SN50" s="7">
        <f>IFERROR(AVERAGEIF('Данные 2st'!$Q$2:$Q$317,$A50,'Данные 2st'!$PC$2:$PC$317),"")</f>
        <v>1</v>
      </c>
      <c r="SO50" s="7">
        <f>IFERROR(AVERAGEIF('Данные 2st'!$Q$2:$Q$317,$A50,'Данные 2st'!$PD$2:$PD$317),"")</f>
        <v>2297</v>
      </c>
      <c r="SP50" s="7">
        <f>IFERROR(AVERAGEIF('Данные 2st'!$Q$2:$Q$317,$A50,'Данные 2st'!$PF$2:$PF$317),"")</f>
        <v>494</v>
      </c>
      <c r="SQ50" s="7">
        <f>IFERROR(AVERAGEIF('Данные 2st'!$Q$2:$Q$317,$A50,'Данные 2st'!$PG$2:$PG$317),"")</f>
        <v>35</v>
      </c>
      <c r="SR50" s="7">
        <f>IFERROR(AVERAGEIF('Данные 2st'!$Q$2:$Q$317,$A50,'Данные 2st'!$PH$2:$PH$317),"")</f>
        <v>471</v>
      </c>
      <c r="SS50" s="7">
        <f>IFERROR(AVERAGEIF('Данные 2st'!$Q$2:$Q$317,$A50,'Данные 2st'!$PI$2:$PI$317),"")</f>
        <v>0</v>
      </c>
      <c r="ST50" s="7">
        <f>IFERROR(AVERAGEIF('Данные 2st'!$Q$2:$Q$317,$A50,'Данные 2st'!$PJ$2:$PJ$317),"")</f>
        <v>69.7</v>
      </c>
      <c r="SU50" s="7">
        <f>IFERROR(AVERAGEIF('Данные 2st'!$Q$2:$Q$317,$A50,'Данные 2st'!$PK$2:$PK$317),"")</f>
        <v>1996</v>
      </c>
      <c r="SV50" s="7">
        <f>IFERROR(AVERAGEIF('Данные 2st'!$Q$2:$Q$317,$A50,'Данные 2st'!$PL$2:$PL$317),"")</f>
        <v>1359.4</v>
      </c>
      <c r="SW50" s="7">
        <f>IFERROR(AVERAGEIF('Данные 2st'!$Q$2:$Q$317,$A50,'Данные 2st'!$PM$2:$PM$317),"")</f>
        <v>424.6</v>
      </c>
      <c r="SX50" s="7">
        <f>IFERROR(AVERAGEIF('Данные 2st'!$Q$2:$Q$317,$A50,'Данные 2st'!$PN$2:$PN$317),"")</f>
        <v>105</v>
      </c>
      <c r="SY50" s="7">
        <f>IFERROR(AVERAGEIF('Данные 2st'!$Q$2:$Q$317,$A50,'Данные 2st'!$PO$2:$PO$317),"")</f>
        <v>9.3</v>
      </c>
      <c r="SZ50" s="7">
        <f>IFERROR(AVERAGEIF('Данные 2st'!$Q$2:$Q$317,$A50,'Данные 2st'!$PP$2:$PP$317),"")</f>
        <v>12</v>
      </c>
      <c r="TA50" s="7">
        <f>IFERROR(AVERAGEIF('Данные 2st'!$Q$2:$Q$317,$A50,'Данные 2st'!$PQ$2:$PQ$317),"")</f>
        <v>4</v>
      </c>
      <c r="TB50" s="7">
        <f>IFERROR(AVERAGEIF('Данные 2st'!$Q$2:$Q$317,$A50,'Данные 2st'!$PR$2:$PR$317),"")</f>
        <v>4</v>
      </c>
      <c r="TC50" s="7">
        <f>IFERROR(AVERAGEIF('Данные 2st'!$Q$2:$Q$317,$A50,'Данные 2st'!$PS$2:$PS$317),"")</f>
        <v>0</v>
      </c>
      <c r="TD50" s="7">
        <f>IFERROR(AVERAGEIF('Данные 2st'!$Q$2:$Q$317,$A50,'Данные 2st'!$PT$2:$PT$317),"")</f>
        <v>252</v>
      </c>
      <c r="TE50" s="7">
        <f>IFERROR(AVERAGEIF('Данные 2st'!$Q$2:$Q$317,$A50,'Данные 2st'!$PU$2:$PU$317),"")</f>
        <v>10</v>
      </c>
      <c r="TF50" s="7">
        <f>IFERROR(AVERAGEIF('Данные 2st'!$Q$2:$Q$317,$A50,'Данные 2st'!$PX$2:$PX$317),"")</f>
        <v>0</v>
      </c>
      <c r="TG50" s="7">
        <f>IFERROR(AVERAGEIF('Данные 2st'!$Q$2:$Q$317,$A50,'Данные 2st'!$PY$2:$PY$317),"")</f>
        <v>0</v>
      </c>
      <c r="TH50" s="7">
        <f>IFERROR(AVERAGEIF('Данные 2st'!$Q$2:$Q$317,$A50,'Данные 2st'!$PZ$2:$PZ$317),"")</f>
        <v>0</v>
      </c>
      <c r="TI50" s="7">
        <f>IFERROR(AVERAGEIF('Данные 2st'!$Q$2:$Q$317,$A50,'Данные 2st'!$QA$2:$QA$317),"")</f>
        <v>0</v>
      </c>
      <c r="TJ50" s="7">
        <f>IFERROR(AVERAGEIF('Данные 2st'!$Q$2:$Q$317,$A50,'Данные 2st'!$QB$2:$QB$317),"")</f>
        <v>0</v>
      </c>
      <c r="TK50" s="7">
        <f>IFERROR(AVERAGEIF('Данные 2st'!$Q$2:$Q$317,$A50,'Данные 2st'!$QC$2:$QC$317),"")</f>
        <v>0</v>
      </c>
      <c r="TL50" s="7">
        <f>IFERROR(AVERAGEIF('Данные 2st'!$Q$2:$Q$317,$A50,'Данные 2st'!$QD$2:$QD$317),"")</f>
        <v>0</v>
      </c>
      <c r="TM50" s="7">
        <f>IFERROR(AVERAGEIF('Данные 2st'!$Q$2:$Q$317,$A50,'Данные 2st'!$QE$2:$QE$317),"")</f>
        <v>-1</v>
      </c>
      <c r="TN50" s="7">
        <f>IFERROR(AVERAGEIF('Данные 2st'!$Q$2:$Q$317,$A50,'Данные 2st'!$QF$2:$QF$317),"")</f>
        <v>1</v>
      </c>
      <c r="TO50" s="7">
        <f>IFERROR(AVERAGEIF('Данные 2st'!$Q$2:$Q$317,$A50,'Данные 2st'!$QG$2:$QG$317),"")</f>
        <v>0</v>
      </c>
      <c r="TP50" s="7">
        <f>IFERROR(AVERAGEIF('Данные 2st'!$Q$2:$Q$317,$A50,'Данные 2st'!$QH$2:$QH$317),"")</f>
        <v>5</v>
      </c>
      <c r="TQ50" s="7">
        <f>IFERROR(AVERAGEIF('Данные 2st'!$Q$2:$Q$317,$A50,'Данные 2st'!$QI$2:$QI$317),"")</f>
        <v>5</v>
      </c>
      <c r="TR50" s="7">
        <f>IFERROR(AVERAGEIF('Данные 2st'!$Q$2:$Q$317,$A50,'Данные 2st'!$QJ$2:$QJ$317),"")</f>
        <v>5</v>
      </c>
      <c r="TS50" s="7">
        <f>IFERROR(AVERAGEIF('Данные 2st'!$Q$2:$Q$317,$A50,'Данные 2st'!$QK$2:$QK$317),"")</f>
        <v>217</v>
      </c>
      <c r="TT50" s="7">
        <f>IFERROR(AVERAGEIF('Данные 2st'!$Q$2:$Q$317,$A50,'Данные 2st'!$QL$2:$QL$317),"")</f>
        <v>434</v>
      </c>
      <c r="TU50" s="7">
        <f>IFERROR(AVERAGEIF('Данные 2st'!$Q$2:$Q$317,$A50,'Данные 2st'!$QM$2:$QM$317),"")</f>
        <v>7.5</v>
      </c>
      <c r="TV50" s="7">
        <f>IFERROR(AVERAGEIF('Данные 2st'!$Q$2:$Q$317,$A50,'Данные 2st'!$QN$2:$QN$317),"")</f>
        <v>1623.8</v>
      </c>
      <c r="TW50" s="7">
        <f>IFERROR(AVERAGEIF('Данные 2st'!$Q$2:$Q$317,$A50,'Данные 2st'!$QQ$2:$QQ$317),"")</f>
        <v>0</v>
      </c>
      <c r="TX50" s="7">
        <f>IFERROR(AVERAGEIF('Данные 2st'!$Q$2:$Q$317,$A50,'Данные 2st'!$QS$2:$QS$317),"")</f>
        <v>40</v>
      </c>
      <c r="TY50" s="7">
        <f>IFERROR(AVERAGEIF('Данные 2st'!$Q$2:$Q$317,$A50,'Данные 2st'!$QT$2:$QT$317),"")</f>
        <v>50</v>
      </c>
    </row>
    <row r="51" spans="1:545" ht="32" customHeight="1">
      <c r="A51" s="11" t="s">
        <v>1075</v>
      </c>
      <c r="B51">
        <f>COUNTIF('Данные 1st'!$S$2:$S$317,$A51)</f>
        <v>4</v>
      </c>
      <c r="C51" s="6" t="s">
        <v>5100</v>
      </c>
      <c r="D51" s="6" t="s">
        <v>513</v>
      </c>
      <c r="E51" s="6" t="s">
        <v>5125</v>
      </c>
      <c r="F51" s="6" t="s">
        <v>5169</v>
      </c>
      <c r="G51" s="7">
        <f>IFERROR(AVERAGEIF('Данные 1st'!$S$2:$S$317,$A51,'Данные 1st'!$AE$2:$AE$317),"")</f>
        <v>205.25</v>
      </c>
      <c r="H51" s="7">
        <f>IFERROR(AVERAGEIF('Данные 1st'!$S$2:$S$317,$A51,'Данные 1st'!$AF$2:$AF$317),"")</f>
        <v>1.5</v>
      </c>
      <c r="I51" s="7">
        <f>IFERROR(AVERAGEIF('Данные 1st'!$S$2:$S$317,$A51,'Данные 1st'!$AJ$2:$AJ$317),"")</f>
        <v>216.875</v>
      </c>
      <c r="J51" s="7">
        <f>IFERROR(AVERAGEIF('Данные 1st'!$S$2:$S$317,$A51,'Данные 1st'!$AL$2:$AL$317),"")</f>
        <v>1.5</v>
      </c>
      <c r="K51" s="7">
        <f>IFERROR(AVERAGEIF('Данные 1st'!$S$2:$S$317,$A51,'Данные 1st'!$AR$2:$AR$317),"")</f>
        <v>0</v>
      </c>
      <c r="L51" s="7">
        <f>IFERROR(AVERAGEIF('Данные 1st'!$S$2:$S$317,$A51,'Данные 1st'!$AS$2:$AS$317),"")</f>
        <v>1.5</v>
      </c>
      <c r="M51" s="7">
        <f>IFERROR(AVERAGEIF('Данные 1st'!$S$2:$S$317,$A51,'Данные 1st'!$AY$2:$AY$317),"")</f>
        <v>326.25</v>
      </c>
      <c r="N51" s="7">
        <f>IFERROR(AVERAGEIF('Данные 1st'!$S$2:$S$317,$A51,'Данные 1st'!$AZ$2:$AZ$317),"")</f>
        <v>1.5</v>
      </c>
      <c r="O51" s="7">
        <f>IFERROR(AVERAGEIF('Данные 1st'!$S$2:$S$317,$A51,'Данные 1st'!$BF$2:$BF$317),"")</f>
        <v>250.83333333333334</v>
      </c>
      <c r="P51" s="7">
        <f>IFERROR(AVERAGEIF('Данные 1st'!$S$2:$S$317,$A51,'Данные 1st'!$BG$2:$BG$317),"")</f>
        <v>1.5</v>
      </c>
      <c r="Q51" s="7">
        <f>IFERROR(AVERAGEIF('Данные 1st'!$S$2:$S$317,$A51,'Данные 1st'!$BM$2:$BM$317),"")</f>
        <v/>
      </c>
      <c r="R51" s="7">
        <f>IFERROR(AVERAGEIF('Данные 1st'!$S$2:$S$317,$A51,'Данные 1st'!$BN$2:$BN$317),"")</f>
        <v>1.5</v>
      </c>
      <c r="S51" s="7">
        <f>IFERROR(AVERAGEIF('Данные 1st'!$S$2:$S$317,$A51,'Данные 1st'!$BT$2:$BT$317),"")</f>
        <v>227.5</v>
      </c>
      <c r="T51" s="7">
        <f>IFERROR(AVERAGEIF('Данные 1st'!$S$2:$S$317,$A51,'Данные 1st'!$BU$2:$BU$317),"")</f>
        <v>0.5</v>
      </c>
      <c r="U51" s="7">
        <f>IFERROR(AVERAGEIF('Данные 1st'!$S$2:$S$317,$A51,'Данные 1st'!$BW$2:$BW$317),"")</f>
        <v>455</v>
      </c>
      <c r="V51" s="7">
        <f>IFERROR(AVERAGEIF('Данные 1st'!$S$2:$S$317,$A51,'Данные 1st'!$BX$2:$BX$317),"")</f>
        <v>1</v>
      </c>
      <c r="W51" s="7">
        <f>IFERROR(AVERAGEIF('Данные 1st'!$S$2:$S$317,$A51,'Данные 1st'!$BZ$2:$BZ$317),"")</f>
        <v>425</v>
      </c>
      <c r="X51" s="7">
        <f>IFERROR(AVERAGEIF('Данные 1st'!$S$2:$S$317,$A51,'Данные 1st'!$CA$2:$CA$317),"")</f>
        <v>555</v>
      </c>
      <c r="Y51" s="7">
        <f>IFERROR(AVERAGEIF('Данные 1st'!$S$2:$S$317,$A51,'Данные 1st'!$CD$2:$CD$317),"")</f>
        <v>465</v>
      </c>
      <c r="Z51" s="7">
        <f>IFERROR(AVERAGEIF('Данные 1st'!$S$2:$S$317,$A51,'Данные 1st'!$CF$2:$CF$317),"")</f>
        <v>15</v>
      </c>
      <c r="AA51" s="7">
        <f>IFERROR(AVERAGEIF('Данные 1st'!$S$2:$S$317,$A51,'Данные 1st'!$CI$2:$CI$317),"")</f>
        <v>65</v>
      </c>
      <c r="AB51" s="7">
        <f>IFERROR(AVERAGEIF('Данные 1st'!$S$2:$S$317,$A51,'Данные 1st'!$CJ$2:$CJ$317),"")</f>
        <v>1381</v>
      </c>
      <c r="AC51" s="7">
        <f>IFERROR(AVERAGEIF('Данные 1st'!$S$2:$S$317,$A51,'Данные 1st'!$CK$2:$CK$317),"")</f>
        <v>2</v>
      </c>
      <c r="AD51" s="7">
        <f>IFERROR(AVERAGEIF('Данные 1st'!$S$2:$S$317,$A51,'Данные 1st'!$CL$2:$CL$317),"")</f>
        <v>1475</v>
      </c>
      <c r="AE51" s="7">
        <f>IFERROR(AVERAGEIF('Данные 1st'!$S$2:$S$317,$A51,'Данные 1st'!$CM$2:$CM$317),"")</f>
        <v>2</v>
      </c>
      <c r="AF51" s="7">
        <f>IFERROR(AVERAGEIF('Данные 1st'!$S$2:$S$317,$A51,'Данные 1st'!$CT$2:$CT$317),"")</f>
        <v>433.75</v>
      </c>
      <c r="AG51" s="7">
        <f>IFERROR(AVERAGEIF('Данные 1st'!$S$2:$S$317,$A51,'Данные 1st'!$CU$2:$CU$317),"")</f>
        <v>5</v>
      </c>
      <c r="AH51" s="7">
        <f>IFERROR(AVERAGEIF('Данные 1st'!$S$2:$S$317,$A51,'Данные 1st'!$CV$2:$CV$317),"")</f>
        <v>1.225</v>
      </c>
      <c r="AI51" s="7">
        <f>IFERROR(AVERAGEIF('Данные 1st'!$S$2:$S$317,$A51,'Данные 1st'!$CW$2:$CW$317),"")</f>
        <v>1394.5</v>
      </c>
      <c r="AJ51" s="7">
        <f>IFERROR(AVERAGEIF('Данные 1st'!$S$2:$S$317,$A51,'Данные 1st'!$CX$2:$CX$317),"")</f>
        <v>875.25</v>
      </c>
      <c r="AK51" s="7">
        <f>IFERROR(AVERAGEIF('Данные 1st'!$S$2:$S$317,$A51,'Данные 1st'!$CZ$2:$CZ$317),"")</f>
        <v/>
      </c>
      <c r="AL51" s="7">
        <f>IFERROR(AVERAGEIF('Данные 1st'!$S$2:$S$317,$A51,'Данные 1st'!$DA$2:$DA$317),"")</f>
        <v/>
      </c>
      <c r="AM51" s="7">
        <f>IFERROR(AVERAGEIF('Данные 1st'!$S$2:$S$317,$A51,'Данные 1st'!$DB$2:$DB$317),"")</f>
        <v/>
      </c>
      <c r="AN51" s="7">
        <f>IFERROR(AVERAGEIF('Данные 1st'!$S$2:$S$317,$A51,'Данные 1st'!$DC$2:$DC$317),"")</f>
        <v/>
      </c>
      <c r="AO51" s="7">
        <f>IFERROR(AVERAGEIF('Данные 1st'!$S$2:$S$317,$A51,'Данные 1st'!$DD$2:$DD$317),"")</f>
        <v>0</v>
      </c>
      <c r="AP51" s="7">
        <f>IFERROR(AVERAGEIF('Данные 1st'!$S$2:$S$317,$A51,'Данные 1st'!$DF$2:$DF$317),"")</f>
        <v>652.5</v>
      </c>
      <c r="AQ51" s="7">
        <f>IFERROR(AVERAGEIF('Данные 1st'!$S$2:$S$317,$A51,'Данные 1st'!$DG$2:$DG$317),"")</f>
        <v>3</v>
      </c>
      <c r="AR51" s="7">
        <f>IFERROR(AVERAGEIF('Данные 1st'!$S$2:$S$317,$A51,'Данные 1st'!$DH$2:$DH$317),"")</f>
        <v>1.03</v>
      </c>
      <c r="AS51" s="7">
        <f>IFERROR(AVERAGEIF('Данные 1st'!$S$2:$S$317,$A51,'Данные 1st'!$DI$2:$DI$317),"")</f>
        <v>1390.75</v>
      </c>
      <c r="AT51" s="7">
        <f>IFERROR(AVERAGEIF('Данные 1st'!$S$2:$S$317,$A51,'Данные 1st'!$DJ$2:$DJ$317),"")</f>
        <v>1219.5</v>
      </c>
      <c r="AU51" s="7">
        <f>IFERROR(AVERAGEIF('Данные 1st'!$S$2:$S$317,$A51,'Данные 1st'!$DL$2:$DL$317),"")</f>
        <v>501.6666666666667</v>
      </c>
      <c r="AV51" s="7">
        <f>IFERROR(AVERAGEIF('Данные 1st'!$S$2:$S$317,$A51,'Данные 1st'!$DM$2:$DM$317),"")</f>
        <v>3</v>
      </c>
      <c r="AW51" s="7">
        <f>IFERROR(AVERAGEIF('Данные 1st'!$S$2:$S$317,$A51,'Данные 1st'!$DN$2:$DN$317),"")</f>
        <v>0.98</v>
      </c>
      <c r="AX51" s="7">
        <f>IFERROR(AVERAGEIF('Данные 1st'!$S$2:$S$317,$A51,'Данные 1st'!$DO$2:$DO$317),"")</f>
        <v>1397</v>
      </c>
      <c r="AY51" s="7">
        <f>IFERROR(AVERAGEIF('Данные 1st'!$S$2:$S$317,$A51,'Данные 1st'!$DP$2:$DP$317),"")</f>
        <v>851.3333333333334</v>
      </c>
      <c r="AZ51" s="7">
        <f>IFERROR(AVERAGEIF('Данные 1st'!$S$2:$S$317,$A51,'Данные 1st'!$DR$2:$DR$317),"")</f>
        <v/>
      </c>
      <c r="BA51" s="7">
        <f>IFERROR(AVERAGEIF('Данные 1st'!$S$2:$S$317,$A51,'Данные 1st'!$DS$2:$DS$317),"")</f>
        <v/>
      </c>
      <c r="BB51" s="7">
        <f>IFERROR(AVERAGEIF('Данные 1st'!$S$2:$S$317,$A51,'Данные 1st'!$DT$2:$DT$317),"")</f>
        <v/>
      </c>
      <c r="BC51" s="7">
        <f>IFERROR(AVERAGEIF('Данные 1st'!$S$2:$S$317,$A51,'Данные 1st'!$DU$2:$DU$317),"")</f>
        <v/>
      </c>
      <c r="BD51" s="7">
        <f>IFERROR(AVERAGEIF('Данные 1st'!$S$2:$S$317,$A51,'Данные 1st'!$DV$2:$DV$317),"")</f>
        <v/>
      </c>
      <c r="BE51" s="7">
        <f>IFERROR(AVERAGEIF('Данные 1st'!$S$2:$S$317,$A51,'Данные 1st'!$DX$2:$DX$317),"")</f>
        <v>7.5</v>
      </c>
      <c r="BF51" s="7">
        <f>IFERROR(AVERAGEIF('Данные 1st'!$S$2:$S$317,$A51,'Данные 1st'!$EA$2:$EA$317),"")</f>
        <v>1462.6999999999998</v>
      </c>
      <c r="BG51" s="7">
        <f>IFERROR(AVERAGEIF('Данные 1st'!$S$2:$S$317,$A51,'Данные 1st'!$EB$2:$EB$317),"")</f>
        <v>288.75</v>
      </c>
      <c r="BH51" s="7">
        <f>IFERROR(AVERAGEIF('Данные 1st'!$S$2:$S$317,$A51,'Данные 1st'!$ED$2:$ED$317),"")</f>
        <v>38.75</v>
      </c>
      <c r="BI51" s="7">
        <f>IFERROR(AVERAGEIF('Данные 1st'!$S$2:$S$317,$A51,'Данные 1st'!$EE$2:$EE$317),"")</f>
        <v>3</v>
      </c>
      <c r="BJ51" s="7">
        <f>IFERROR(AVERAGEIF('Данные 1st'!$S$2:$S$317,$A51,'Данные 1st'!$EG$2:$EG$317),"")</f>
        <v>1506</v>
      </c>
      <c r="BK51" s="7">
        <f>IFERROR(AVERAGEIF('Данные 1st'!$S$2:$S$317,$A51,'Данные 1st'!$EH$2:$EH$317),"")</f>
        <v>233.5</v>
      </c>
      <c r="BL51" s="7">
        <f>IFERROR(AVERAGEIF('Данные 1st'!$S$2:$S$317,$A51,'Данные 1st'!$EJ$2:$EJ$317),"")</f>
        <v>0</v>
      </c>
      <c r="BM51" s="7">
        <f>IFERROR(AVERAGEIF('Данные 1st'!$S$2:$S$317,$A51,'Данные 1st'!$EK$2:$EK$317),"")</f>
        <v>1</v>
      </c>
      <c r="BN51" s="7">
        <f>IFERROR(AVERAGEIF('Данные 1st'!$S$2:$S$317,$A51,'Данные 1st'!$EN$2:$EN$317),"")</f>
        <v>0</v>
      </c>
      <c r="BO51" s="7">
        <f>IFERROR(AVERAGEIF('Данные 1st'!$S$2:$S$317,$A51,'Данные 1st'!$EQ$2:$EQ$317),"")</f>
        <v>126.25</v>
      </c>
      <c r="BP51" s="7">
        <f>IFERROR(AVERAGEIF('Данные 1st'!$S$2:$S$317,$A51,'Данные 1st'!$ER$2:$ER$317),"")</f>
        <v>3</v>
      </c>
      <c r="BQ51" s="7">
        <f>IFERROR(AVERAGEIF('Данные 1st'!$S$2:$S$317,$A51,'Данные 1st'!$ES$2:$ES$317),"")</f>
        <v>5.75</v>
      </c>
      <c r="BR51" s="7">
        <f>IFERROR(AVERAGEIF('Данные 1st'!$S$2:$S$317,$A51,'Данные 1st'!$ET$2:$ET$317),"")</f>
        <v>1379.5</v>
      </c>
      <c r="BS51" s="7">
        <f>IFERROR(AVERAGEIF('Данные 1st'!$S$2:$S$317,$A51,'Данные 1st'!$EU$2:$EU$317),"")</f>
        <v>565.975</v>
      </c>
      <c r="BT51" s="7">
        <f>IFERROR(AVERAGEIF('Данные 1st'!$S$2:$S$317,$A51,'Данные 1st'!$EV$2:$EV$317),"")</f>
        <v>781</v>
      </c>
      <c r="BU51" s="7">
        <f>IFERROR(AVERAGEIF('Данные 1st'!$S$2:$S$317,$A51,'Данные 1st'!$EX$2:$EX$317),"")</f>
        <v>70</v>
      </c>
      <c r="BV51" s="7">
        <f>IFERROR(AVERAGEIF('Данные 1st'!$S$2:$S$317,$A51,'Данные 1st'!$EY$2:$EY$317),"")</f>
        <v>2</v>
      </c>
      <c r="BW51" s="7">
        <f>IFERROR(AVERAGEIF('Данные 1st'!$S$2:$S$317,$A51,'Данные 1st'!$EZ$2:$EZ$317),"")</f>
        <v>4.45</v>
      </c>
      <c r="BX51" s="7">
        <f>IFERROR(AVERAGEIF('Данные 1st'!$S$2:$S$317,$A51,'Данные 1st'!$FA$2:$FA$317),"")</f>
        <v>1379.5</v>
      </c>
      <c r="BY51" s="7">
        <f>IFERROR(AVERAGEIF('Данные 1st'!$S$2:$S$317,$A51,'Данные 1st'!$FB$2:$FB$317),"")</f>
        <v>215.425</v>
      </c>
      <c r="BZ51" s="7">
        <f>IFERROR(AVERAGEIF('Данные 1st'!$S$2:$S$317,$A51,'Данные 1st'!$FC$2:$FC$317),"")</f>
        <v>297</v>
      </c>
      <c r="CA51" s="7">
        <f>IFERROR(AVERAGEIF('Данные 1st'!$S$2:$S$317,$A51,'Данные 1st'!$FE$2:$FE$317),"")</f>
        <v>0</v>
      </c>
      <c r="CB51" s="7">
        <f>IFERROR(AVERAGEIF('Данные 1st'!$S$2:$S$317,$A51,'Данные 1st'!$FF$2:$FF$317),"")</f>
        <v>2</v>
      </c>
      <c r="CC51" s="7">
        <f>IFERROR(AVERAGEIF('Данные 1st'!$S$2:$S$317,$A51,'Данные 1st'!$FI$2:$FI$317),"")</f>
        <v>0</v>
      </c>
      <c r="CD51" s="7">
        <f>IFERROR(AVERAGEIF('Данные 1st'!$S$2:$S$317,$A51,'Данные 1st'!$FL$2:$FL$317),"")</f>
        <v>0.4</v>
      </c>
      <c r="CE51" s="7">
        <f>IFERROR(AVERAGEIF('Данные 1st'!$S$2:$S$317,$A51,'Данные 1st'!$FM$2:$FM$317),"")</f>
        <v>111.25</v>
      </c>
      <c r="CF51" s="7">
        <f>IFERROR(AVERAGEIF('Данные 1st'!$S$2:$S$317,$A51,'Данные 1st'!$FN$2:$FN$317),"")</f>
        <v>142.5</v>
      </c>
      <c r="CG51" s="7">
        <f>IFERROR(AVERAGEIF('Данные 1st'!$S$2:$S$317,$A51,'Данные 1st'!$FO$2:$FO$317),"")</f>
        <v/>
      </c>
      <c r="CH51" s="7">
        <f>IFERROR(AVERAGEIF('Данные 1st'!$S$2:$S$317,$A51,'Данные 1st'!$FP$2:$FP$317),"")</f>
        <v/>
      </c>
      <c r="CI51" s="7">
        <f>IFERROR(AVERAGEIF('Данные 1st'!$S$2:$S$317,$A51,'Данные 1st'!$FS$2:$FS$317),"")</f>
        <v>0.4</v>
      </c>
      <c r="CJ51" s="7">
        <f>IFERROR(AVERAGEIF('Данные 1st'!$S$2:$S$317,$A51,'Данные 1st'!$FT$2:$FT$317),"")</f>
        <v>30</v>
      </c>
      <c r="CK51" s="7">
        <f>IFERROR(AVERAGEIF('Данные 1st'!$S$2:$S$317,$A51,'Данные 1st'!$FU$2:$FU$317),"")</f>
        <v>430</v>
      </c>
      <c r="CL51" s="7">
        <f>IFERROR(AVERAGEIF('Данные 1st'!$S$2:$S$317,$A51,'Данные 1st'!$FV$2:$FV$317),"")</f>
        <v/>
      </c>
      <c r="CM51" s="7">
        <f>IFERROR(AVERAGEIF('Данные 1st'!$S$2:$S$317,$A51,'Данные 1st'!$FW$2:$FW$317),"")</f>
        <v/>
      </c>
      <c r="CN51" s="7">
        <f>IFERROR(AVERAGEIF('Данные 1st'!$S$2:$S$317,$A51,'Данные 1st'!$FZ$2:$FZ$317),"")</f>
        <v/>
      </c>
      <c r="CO51" s="7">
        <f>IFERROR(AVERAGEIF('Данные 1st'!$S$2:$S$317,$A51,'Данные 1st'!$GA$2:$GA$317),"")</f>
        <v/>
      </c>
      <c r="CP51" s="7">
        <f>IFERROR(AVERAGEIF('Данные 1st'!$S$2:$S$317,$A51,'Данные 1st'!$GB$2:$GB$317),"")</f>
        <v/>
      </c>
      <c r="CQ51" s="7">
        <f>IFERROR(AVERAGEIF('Данные 1st'!$S$2:$S$317,$A51,'Данные 1st'!$GH$2:$GH$317),"")</f>
        <v/>
      </c>
      <c r="CR51" s="7">
        <f>IFERROR(AVERAGEIF('Данные 1st'!$S$2:$S$317,$A51,'Данные 1st'!$GI$2:$GI$317),"")</f>
        <v/>
      </c>
      <c r="CS51" s="7">
        <f>IFERROR(AVERAGEIF('Данные 1st'!$S$2:$S$317,$A51,'Данные 1st'!$GJ$2:$GJ$317),"")</f>
        <v/>
      </c>
      <c r="CT51" s="7">
        <f>IFERROR(AVERAGEIF('Данные 1st'!$S$2:$S$317,$A51,'Данные 1st'!$GS$2:$GS$317),"")</f>
        <v>0.4</v>
      </c>
      <c r="CU51" s="7">
        <f>IFERROR(AVERAGEIF('Данные 1st'!$S$2:$S$317,$A51,'Данные 1st'!$GT$2:$GT$317),"")</f>
        <v>30</v>
      </c>
      <c r="CV51" s="7">
        <f>IFERROR(AVERAGEIF('Данные 1st'!$S$2:$S$317,$A51,'Данные 1st'!$GU$2:$GU$317),"")</f>
        <v>420</v>
      </c>
      <c r="CW51" s="7">
        <f>IFERROR(AVERAGEIF('Данные 1st'!$S$2:$S$317,$A51,'Данные 1st'!$GV$2:$GV$317),"")</f>
        <v>30</v>
      </c>
      <c r="CX51" s="7">
        <f>IFERROR(AVERAGEIF('Данные 1st'!$S$2:$S$317,$A51,'Данные 1st'!$GW$2:$GW$317),"")</f>
        <v>273.3333333333333</v>
      </c>
      <c r="CY51" s="7">
        <f>IFERROR(AVERAGEIF('Данные 1st'!$S$2:$S$317,$A51,'Данные 1st'!$GZ$2:$GZ$317),"")</f>
        <v/>
      </c>
      <c r="CZ51" s="7">
        <f>IFERROR(AVERAGEIF('Данные 1st'!$S$2:$S$317,$A51,'Данные 1st'!$HA$2:$HA$317),"")</f>
        <v/>
      </c>
      <c r="DA51" s="7">
        <f>IFERROR(AVERAGEIF('Данные 1st'!$S$2:$S$317,$A51,'Данные 1st'!$HB$2:$HB$317),"")</f>
        <v/>
      </c>
      <c r="DB51" s="7">
        <f>IFERROR(AVERAGEIF('Данные 1st'!$S$2:$S$317,$A51,'Данные 1st'!$HC$2:$HC$317),"")</f>
        <v>0.1</v>
      </c>
      <c r="DC51" s="7">
        <f>IFERROR(AVERAGEIF('Данные 1st'!$S$2:$S$317,$A51,'Данные 1st'!$HD$2:$HD$317),"")</f>
        <v>3</v>
      </c>
      <c r="DD51" s="7">
        <f>IFERROR(AVERAGEIF('Данные 1st'!$S$2:$S$317,$A51,'Данные 1st'!$HE$2:$HE$317),"")</f>
        <v>3</v>
      </c>
      <c r="DE51" s="7">
        <f>IFERROR(AVERAGEIF('Данные 1st'!$S$2:$S$317,$A51,'Данные 1st'!$HF$2:$HF$317),"")</f>
        <v>3</v>
      </c>
      <c r="DF51" s="7">
        <f>IFERROR(AVERAGEIF('Данные 1st'!$S$2:$S$317,$A51,'Данные 1st'!$HG$2:$HG$317),"")</f>
        <v>3</v>
      </c>
      <c r="DG51" s="7">
        <f>IFERROR(AVERAGEIF('Данные 1st'!$S$2:$S$317,$A51,'Данные 1st'!$HH$2:$HH$317),"")</f>
        <v>3</v>
      </c>
      <c r="DH51" s="7">
        <f>IFERROR(AVERAGEIF('Данные 1st'!$S$2:$S$317,$A51,'Данные 1st'!$HI$2:$HI$317),"")</f>
        <v>181.25</v>
      </c>
      <c r="DI51" s="7">
        <f>IFERROR(AVERAGEIF('Данные 1st'!$S$2:$S$317,$A51,'Данные 1st'!$HJ$2:$HJ$317),"")</f>
        <v>3</v>
      </c>
      <c r="DJ51" s="7">
        <f>IFERROR(AVERAGEIF('Данные 1st'!$S$2:$S$317,$A51,'Данные 1st'!$HK$2:$HK$317),"")</f>
        <v>55</v>
      </c>
      <c r="DK51" s="7">
        <f>IFERROR(AVERAGEIF('Данные 1st'!$S$2:$S$317,$A51,'Данные 1st'!$HL$2:$HL$317),"")</f>
        <v>2</v>
      </c>
      <c r="DL51" s="7">
        <f>IFERROR(AVERAGEIF('Данные 1st'!$S$2:$S$317,$A51,'Данные 1st'!$HM$2:$HM$317),"")</f>
        <v>0</v>
      </c>
      <c r="DM51" s="7">
        <f>IFERROR(AVERAGEIF('Данные 1st'!$S$2:$S$317,$A51,'Данные 1st'!$HN$2:$HN$317),"")</f>
        <v>2</v>
      </c>
      <c r="DN51" s="7">
        <f>IFERROR(AVERAGEIF('Данные 1st'!$S$2:$S$317,$A51,'Данные 1st'!$HO$2:$HO$317),"")</f>
        <v>111.25</v>
      </c>
      <c r="DO51" s="7">
        <f>IFERROR(AVERAGEIF('Данные 1st'!$S$2:$S$317,$A51,'Данные 1st'!$HP$2:$HP$317),"")</f>
        <v>3</v>
      </c>
      <c r="DP51" s="7">
        <f>IFERROR(AVERAGEIF('Данные 1st'!$S$2:$S$317,$A51,'Данные 1st'!$HQ$2:$HQ$317),"")</f>
        <v>0</v>
      </c>
      <c r="DQ51" s="7">
        <f>IFERROR(AVERAGEIF('Данные 1st'!$S$2:$S$317,$A51,'Данные 1st'!$HR$2:$HR$317),"")</f>
        <v>2</v>
      </c>
      <c r="DR51" s="7">
        <f>IFERROR(AVERAGEIF('Данные 1st'!$S$2:$S$317,$A51,'Данные 1st'!$HS$2:$HS$317),"")</f>
        <v>5933.75</v>
      </c>
      <c r="DS51" s="7">
        <f>IFERROR(AVERAGEIF('Данные 1st'!$S$2:$S$317,$A51,'Данные 1st'!$HT$2:$HT$317),"")</f>
        <v>177.5</v>
      </c>
      <c r="DT51" s="7">
        <f>IFERROR(AVERAGEIF('Данные 1st'!$S$2:$S$317,$A51,'Данные 1st'!$HU$2:$HU$317),"")</f>
        <v>180</v>
      </c>
      <c r="DU51" s="7">
        <f>IFERROR(AVERAGEIF('Данные 1st'!$S$2:$S$317,$A51,'Данные 1st'!$HW$2:$HW$317),"")</f>
        <v>5</v>
      </c>
      <c r="DV51" s="7">
        <f>IFERROR(AVERAGEIF('Данные 1st'!$S$2:$S$317,$A51,'Данные 1st'!$HX$2:$HX$317),"")</f>
        <v>502.5</v>
      </c>
      <c r="DW51" s="7">
        <f>IFERROR(AVERAGEIF('Данные 1st'!$S$2:$S$317,$A51,'Данные 1st'!$HY$2:$HY$317),"")</f>
        <v>0.18</v>
      </c>
      <c r="DX51" s="7">
        <f>IFERROR(AVERAGEIF('Данные 1st'!$S$2:$S$317,$A51,'Данные 1st'!$IA$2:$IA$317),"")</f>
        <v>0.15</v>
      </c>
      <c r="DY51" s="7">
        <f>IFERROR(AVERAGEIF('Данные 1st'!$S$2:$S$317,$A51,'Данные 1st'!$IB$2:$IB$317),"")</f>
        <v>0</v>
      </c>
      <c r="DZ51" s="7">
        <f>IFERROR(AVERAGEIF('Данные 1st'!$S$2:$S$317,$A51,'Данные 1st'!$IC$2:$IC$317),"")</f>
        <v>180</v>
      </c>
      <c r="EA51" s="7">
        <f>IFERROR(AVERAGEIF('Данные 1st'!$S$2:$S$317,$A51,'Данные 1st'!$ID$2:$ID$317),"")</f>
        <v>110</v>
      </c>
      <c r="EB51" s="7">
        <f>IFERROR(AVERAGEIF('Данные 1st'!$S$2:$S$317,$A51,'Данные 1st'!$IE$2:$IE$317),"")</f>
        <v>112.5</v>
      </c>
      <c r="EC51" s="7">
        <f>IFERROR(AVERAGEIF('Данные 1st'!$S$2:$S$317,$A51,'Данные 1st'!$IF$2:$IF$317),"")</f>
        <v>0</v>
      </c>
      <c r="ED51" s="7">
        <f>IFERROR(AVERAGEIF('Данные 1st'!$S$2:$S$317,$A51,'Данные 1st'!$IP$2:$IP$317),"")</f>
        <v>18</v>
      </c>
      <c r="EE51" s="7">
        <f>IFERROR(AVERAGEIF('Данные 1st'!$S$2:$S$317,$A51,'Данные 1st'!$IV$2:$IV$317),"")</f>
        <v>1381</v>
      </c>
      <c r="EF51" s="7">
        <f>IFERROR(AVERAGEIF('Данные 1st'!$S$2:$S$317,$A51,'Данные 1st'!$IW$2:$IW$317),"")</f>
        <v>455</v>
      </c>
      <c r="EG51" s="7">
        <f>IFERROR(AVERAGEIF('Данные 1st'!$S$2:$S$317,$A51,'Данные 1st'!$IX$2:$IX$317),"")</f>
        <v/>
      </c>
      <c r="EH51" s="7">
        <f>IFERROR(AVERAGEIF('Данные 1st'!$S$2:$S$317,$A51,'Данные 1st'!$IY$2:$IY$317),"")</f>
        <v/>
      </c>
      <c r="EI51" s="7">
        <f>IFERROR(AVERAGEIF('Данные 1st'!$S$2:$S$317,$A51,'Данные 1st'!$JD$2:$JD$317),"")</f>
        <v>1394.5</v>
      </c>
      <c r="EJ51" s="7">
        <f>IFERROR(AVERAGEIF('Данные 1st'!$S$2:$S$317,$A51,'Данные 1st'!$JE$2:$JE$317),"")</f>
        <v>1390.75</v>
      </c>
      <c r="EK51" s="7">
        <f>IFERROR(AVERAGEIF('Данные 1st'!$S$2:$S$317,$A51,'Данные 1st'!$JF$2:$JF$317),"")</f>
        <v>1047.75</v>
      </c>
      <c r="EL51" s="7">
        <f>IFERROR(AVERAGEIF('Данные 1st'!$S$2:$S$317,$A51,'Данные 1st'!$JG$2:$JG$317),"")</f>
        <v>1379.5</v>
      </c>
      <c r="EM51" s="7">
        <f>IFERROR(AVERAGEIF('Данные 1st'!$S$2:$S$317,$A51,'Данные 1st'!$JH$2:$JH$317),"")</f>
        <v>0</v>
      </c>
      <c r="EN51" s="7">
        <f>IFERROR(AVERAGEIF('Данные 1st'!$S$2:$S$317,$A51,'Данные 1st'!$JJ$2:$JJ$317),"")</f>
        <v>180</v>
      </c>
      <c r="EO51" s="7">
        <f>IFERROR(AVERAGEIF('Данные 1st'!$S$2:$S$317,$A51,'Данные 1st'!$JK$2:$JK$317),"")</f>
        <v>502.5</v>
      </c>
      <c r="EP51" s="7">
        <f>IFERROR(AVERAGEIF('Данные 1st'!$S$2:$S$317,$A51,'Данные 1st'!$JL$2:$JL$317),"")</f>
        <v/>
      </c>
      <c r="EQ51" s="7">
        <f>IFERROR(AVERAGEIF('Данные 1st'!$S$2:$S$317,$A51,'Данные 1st'!$JM$2:$JM$317),"")</f>
        <v/>
      </c>
      <c r="ER51" s="7">
        <f>IFERROR(AVERAGEIF('Данные 1st'!$S$2:$S$317,$A51,'Данные 1st'!$JN$2:$JN$317),"")</f>
        <v>433.75</v>
      </c>
      <c r="ES51" s="7">
        <f>IFERROR(AVERAGEIF('Данные 1st'!$S$2:$S$317,$A51,'Данные 1st'!$JO$2:$JO$317),"")</f>
        <v>652.5</v>
      </c>
      <c r="ET51" s="7">
        <f>IFERROR(AVERAGEIF('Данные 1st'!$S$2:$S$317,$A51,'Данные 1st'!$JP$2:$JP$317),"")</f>
        <v>376.25</v>
      </c>
      <c r="EU51" s="7">
        <f>IFERROR(AVERAGEIF('Данные 1st'!$S$2:$S$317,$A51,'Данные 1st'!$JQ$2:$JQ$317),"")</f>
        <v>0</v>
      </c>
      <c r="EV51" s="7">
        <f>IFERROR(AVERAGEIF('Данные 1st'!$S$2:$S$317,$A51,'Данные 1st'!$JR$2:$JR$317),"")</f>
        <v>410.5</v>
      </c>
      <c r="EW51" s="7">
        <f>IFERROR(AVERAGEIF('Данные 1st'!$S$2:$S$317,$A51,'Данные 1st'!$JS$2:$JS$317),"")</f>
        <v>181.25</v>
      </c>
      <c r="EX51" s="7">
        <f>IFERROR(AVERAGEIF('Данные 1st'!$S$2:$S$317,$A51,'Данные 1st'!$JT$2:$JT$317),"")</f>
        <v/>
      </c>
      <c r="EY51" s="7">
        <f>IFERROR(AVERAGEIF('Данные 1st'!$S$2:$S$317,$A51,'Данные 1st'!$JU$2:$JU$317),"")</f>
        <v/>
      </c>
      <c r="EZ51" s="7">
        <f>IFERROR(AVERAGEIF('Данные 1st'!$S$2:$S$317,$A51,'Данные 1st'!$JV$2:$JV$317),"")</f>
        <v>8</v>
      </c>
      <c r="FA51" s="7">
        <f>IFERROR(AVERAGEIF('Данные 1st'!$S$2:$S$317,$A51,'Данные 1st'!$JW$2:$JW$317),"")</f>
        <v/>
      </c>
      <c r="FB51" s="7">
        <f>IFERROR(AVERAGEIF('Данные 1st'!$S$2:$S$317,$A51,'Данные 1st'!$JX$2:$JX$317),"")</f>
        <v>0</v>
      </c>
      <c r="FC51" s="7">
        <f>IFERROR(AVERAGEIF('Данные 1st'!$S$2:$S$317,$A51,'Данные 1st'!$JY$2:$JY$317),"")</f>
        <v/>
      </c>
      <c r="FD51" s="7">
        <f>IFERROR(AVERAGEIF('Данные 1st'!$S$2:$S$317,$A51,'Данные 1st'!$JZ$2:$JZ$317),"")</f>
        <v/>
      </c>
      <c r="FE51" s="7">
        <f>IFERROR(AVERAGEIF('Данные 1st'!$S$2:$S$317,$A51,'Данные 1st'!$KA$2:$KA$317),"")</f>
        <v>112.5</v>
      </c>
      <c r="FF51" s="7">
        <f>IFERROR(AVERAGEIF('Данные 1st'!$S$2:$S$317,$A51,'Данные 1st'!$KB$2:$KB$317),"")</f>
        <v>110</v>
      </c>
      <c r="FG51" s="7">
        <f>IFERROR(AVERAGEIF('Данные 1st'!$S$2:$S$317,$A51,'Данные 1st'!$KC$2:$KC$317),"")</f>
        <v>0</v>
      </c>
      <c r="FH51" s="7">
        <f>IFERROR(AVERAGEIF('Данные 1st'!$S$2:$S$317,$A51,'Данные 1st'!$KD$2:$KD$317),"")</f>
        <v>80</v>
      </c>
      <c r="FI51" s="7">
        <f>IFERROR(AVERAGEIF('Данные 1st'!$S$2:$S$317,$A51,'Данные 1st'!$KE$2:$KE$317),"")</f>
        <v/>
      </c>
      <c r="FJ51" s="7">
        <f>IFERROR(AVERAGEIF('Данные 1st'!$S$2:$S$317,$A51,'Данные 1st'!$KF$2:$KF$317),"")</f>
        <v>4</v>
      </c>
      <c r="FK51" s="7">
        <f>IFERROR(AVERAGEIF('Данные 1st'!$S$2:$S$317,$A51,'Данные 1st'!$KG$2:$KG$317),"")</f>
        <v>2.5</v>
      </c>
      <c r="FL51" s="7">
        <f>IFERROR(AVERAGEIF('Данные 1st'!$S$2:$S$317,$A51,'Данные 1st'!$KH$2:$KH$317),"")</f>
        <v>2</v>
      </c>
      <c r="FM51" s="7">
        <f>IFERROR(AVERAGEIF('Данные 1st'!$S$2:$S$317,$A51,'Данные 1st'!$KI$2:$KI$317),"")</f>
        <v>2</v>
      </c>
      <c r="FN51" s="7">
        <f>IFERROR(AVERAGEIF('Данные 1st'!$S$2:$S$317,$A51,'Данные 1st'!$KJ$2:$KJ$317),"")</f>
        <v>0</v>
      </c>
      <c r="FO51" s="7">
        <f>IFERROR(AVERAGEIF('Данные 1st'!$S$2:$S$317,$A51,'Данные 1st'!$KK$2:$KK$317),"")</f>
        <v>1.5</v>
      </c>
      <c r="FP51" s="7">
        <f>IFERROR(AVERAGEIF('Данные 1st'!$S$2:$S$317,$A51,'Данные 1st'!$KL$2:$KL$317),"")</f>
        <v>1.5</v>
      </c>
      <c r="FQ51" s="7">
        <f>IFERROR(AVERAGEIF('Данные 1st'!$S$2:$S$317,$A51,'Данные 1st'!$KM$2:$KM$317),"")</f>
        <v>0</v>
      </c>
      <c r="FR51" s="7">
        <f>IFERROR(AVERAGEIF('Данные 1st'!$S$2:$S$317,$A51,'Данные 1st'!$KN$2:$KN$317),"")</f>
        <v>0</v>
      </c>
      <c r="FS51" s="7">
        <f>IFERROR(AVERAGEIF('Данные 1st'!$S$2:$S$317,$A51,'Данные 1st'!$KR$2:$KR$317),"")</f>
        <v>30</v>
      </c>
      <c r="FT51" s="7">
        <f>IFERROR(AVERAGEIF('Данные 1st'!$S$2:$S$317,$A51,'Данные 1st'!$KS$2:$KS$317),"")</f>
        <v>60</v>
      </c>
      <c r="FU51" s="7">
        <f>IFERROR(AVERAGEIF('Данные 1st'!$S$2:$S$317,$A51,'Данные 1st'!$KT$2:$KT$317),"")</f>
        <v>0</v>
      </c>
      <c r="FV51" s="7">
        <f>IFERROR(AVERAGEIF('Данные 1st'!$S$2:$S$317,$A51,'Данные 1st'!$KV$2:$KV$317),"")</f>
        <v/>
      </c>
      <c r="FW51" s="7">
        <f>IFERROR(AVERAGEIF('Данные 1st'!$S$2:$S$317,$A51,'Данные 1st'!$KW$2:$KW$317),"")</f>
        <v/>
      </c>
      <c r="FX51" s="7">
        <f>IFERROR(AVERAGEIF('Данные 1st'!$S$2:$S$317,$A51,'Данные 1st'!$KX$2:$KX$317),"")</f>
        <v/>
      </c>
      <c r="FY51" s="7">
        <f>IFERROR(AVERAGEIF('Данные 1st'!$S$2:$S$317,$A51,'Данные 1st'!$KY$2:$KY$317),"")</f>
        <v/>
      </c>
      <c r="FZ51" s="7">
        <f>IFERROR(AVERAGEIF('Данные 1st'!$S$2:$S$317,$A51,'Данные 1st'!$KZ$2:$KZ$317),"")</f>
        <v/>
      </c>
      <c r="GA51" s="7">
        <f>IFERROR(AVERAGEIF('Данные 1st'!$S$2:$S$317,$A51,'Данные 1st'!$LA$2:$LA$317),"")</f>
        <v/>
      </c>
      <c r="GB51" s="7">
        <f>IFERROR(AVERAGEIF('Данные 1st'!$S$2:$S$317,$A51,'Данные 1st'!$LB$2:$LB$317),"")</f>
        <v/>
      </c>
      <c r="GC51" s="7">
        <f>IFERROR(AVERAGEIF('Данные 1st'!$S$2:$S$317,$A51,'Данные 1st'!$LC$2:$LC$317),"")</f>
        <v/>
      </c>
      <c r="GD51" s="7">
        <f>IFERROR(AVERAGEIF('Данные 1st'!$S$2:$S$317,$A51,'Данные 1st'!$LD$2:$LD$317),"")</f>
        <v/>
      </c>
      <c r="GE51" s="7">
        <f>IFERROR(AVERAGEIF('Данные 1st'!$S$2:$S$317,$A51,'Данные 1st'!$LE$2:$LE$317),"")</f>
        <v/>
      </c>
      <c r="GF51" s="7">
        <f>IFERROR(AVERAGEIF('Данные 1st'!$S$2:$S$317,$A51,'Данные 1st'!$LF$2:$LF$317),"")</f>
        <v/>
      </c>
      <c r="GG51" s="7">
        <f>IFERROR(AVERAGEIF('Данные 1st'!$S$2:$S$317,$A51,'Данные 1st'!$LG$2:$LG$317),"")</f>
        <v/>
      </c>
      <c r="GH51" s="7">
        <f>IFERROR(AVERAGEIF('Данные 1st'!$S$2:$S$317,$A51,'Данные 1st'!$LH$2:$LH$317),"")</f>
        <v/>
      </c>
      <c r="GI51" s="7">
        <f>IFERROR(AVERAGEIF('Данные 1st'!$S$2:$S$317,$A51,'Данные 1st'!$LI$2:$LI$317),"")</f>
        <v/>
      </c>
      <c r="GJ51" s="7">
        <f>IFERROR(AVERAGEIF('Данные 1st'!$S$2:$S$317,$A51,'Данные 1st'!$LJ$2:$LJ$317),"")</f>
        <v/>
      </c>
      <c r="GK51" s="7">
        <f>IFERROR(AVERAGEIF('Данные 1st'!$S$2:$S$317,$A51,'Данные 1st'!$LK$2:$LK$317),"")</f>
        <v>480</v>
      </c>
      <c r="GL51" s="7">
        <f>IFERROR(AVERAGEIF('Данные 1st'!$S$2:$S$317,$A51,'Данные 1st'!$LV$2:$LV$317),"")</f>
        <v/>
      </c>
      <c r="GM51" s="7">
        <f>IFERROR(AVERAGEIF('Данные 1st'!$S$2:$S$317,$A51,'Данные 1st'!$LW$2:$LW$317),"")</f>
        <v/>
      </c>
      <c r="GN51" s="7">
        <f>IFERROR(AVERAGEIF('Данные 1st'!$S$2:$S$317,$A51,'Данные 1st'!$LX$2:$LX$317),"")</f>
        <v/>
      </c>
      <c r="GO51" s="7">
        <f>IFERROR(AVERAGEIF('Данные 1st'!$S$2:$S$317,$A51,'Данные 1st'!$LY$2:$LY$317),"")</f>
        <v/>
      </c>
      <c r="GP51" s="7">
        <f>IFERROR(AVERAGEIF('Данные 1st'!$S$2:$S$317,$A51,'Данные 1st'!$LZ$2:$LZ$317),"")</f>
        <v/>
      </c>
      <c r="GQ51" s="7">
        <f>IFERROR(AVERAGEIF('Данные 1st'!$S$2:$S$317,$A51,'Данные 1st'!$PG$2:$PG$317),"")</f>
        <v>1</v>
      </c>
      <c r="GR51" s="7">
        <f>IFERROR(AVERAGEIF('Данные 1st'!$S$2:$S$317,$A51,'Данные 1st'!$PX$2:$PX$317),"")</f>
        <v>56</v>
      </c>
      <c r="GS51" s="7">
        <f>IFERROR(AVERAGEIF('Данные 1st'!$S$2:$S$317,$A51,'Данные 1st'!$PY$2:$PY$317),"")</f>
        <v>56.5</v>
      </c>
      <c r="GT51" s="7">
        <f>IFERROR(AVERAGEIF('Данные 1st'!$S$2:$S$317,$A51,'Данные 1st'!$QA$2:$QA$317),"")</f>
        <v>1.25</v>
      </c>
      <c r="GU51" s="7">
        <f>IFERROR(AVERAGEIF('Данные 1st'!$S$2:$S$317,$A51,'Данные 1st'!$QB$2:$QB$317),"")</f>
        <v>1379.5</v>
      </c>
      <c r="GV51" s="7">
        <f>IFERROR(AVERAGEIF('Данные 1st'!$S$2:$S$317,$A51,'Данные 1st'!$QC$2:$QC$317),"")</f>
        <v>69</v>
      </c>
      <c r="GW51" s="7">
        <f>IFERROR(AVERAGEIF('Данные 1st'!$S$2:$S$317,$A51,'Данные 1st'!$QD$2:$QD$317),"")</f>
        <v>69</v>
      </c>
      <c r="GX51" s="7">
        <f>IFERROR(AVERAGEIF('Данные 1st'!$S$2:$S$317,$A51,'Данные 1st'!$QF$2:$QF$317),"")</f>
        <v>1</v>
      </c>
      <c r="GY51" s="7">
        <f>IFERROR(AVERAGEIF('Данные 1st'!$S$2:$S$317,$A51,'Данные 1st'!$QG$2:$QG$317),"")</f>
        <v>1394.5</v>
      </c>
      <c r="GZ51" s="7">
        <f>IFERROR(AVERAGEIF('Данные 1st'!$S$2:$S$317,$A51,'Данные 1st'!$QH$2:$QH$317),"")</f>
        <v>66</v>
      </c>
      <c r="HA51" s="7">
        <f>IFERROR(AVERAGEIF('Данные 1st'!$S$2:$S$317,$A51,'Данные 1st'!$QI$2:$QI$317),"")</f>
        <v>66</v>
      </c>
      <c r="HB51" s="7">
        <f>IFERROR(AVERAGEIF('Данные 1st'!$S$2:$S$317,$A51,'Данные 1st'!$QK$2:$QK$317),"")</f>
        <v/>
      </c>
      <c r="HC51" s="7">
        <f>IFERROR(AVERAGEIF('Данные 1st'!$S$2:$S$317,$A51,'Данные 1st'!$QL$2:$QL$317),"")</f>
        <v>0</v>
      </c>
      <c r="HD51" s="7">
        <f>IFERROR(AVERAGEIF('Данные 1st'!$S$2:$S$317,$A51,'Данные 1st'!$QM$2:$QM$317),"")</f>
        <v>62</v>
      </c>
      <c r="HE51" s="7">
        <f>IFERROR(AVERAGEIF('Данные 1st'!$S$2:$S$317,$A51,'Данные 1st'!$QN$2:$QN$317),"")</f>
        <v>62</v>
      </c>
      <c r="HF51" s="7">
        <f>IFERROR(AVERAGEIF('Данные 1st'!$S$2:$S$317,$A51,'Данные 1st'!$QP$2:$QP$317),"")</f>
        <v>1</v>
      </c>
      <c r="HG51" s="7">
        <f>IFERROR(AVERAGEIF('Данные 1st'!$S$2:$S$317,$A51,'Данные 1st'!$QQ$2:$QQ$317),"")</f>
        <v>1390.75</v>
      </c>
      <c r="HH51" s="7">
        <f>IFERROR(AVERAGEIF('Данные 1st'!$S$2:$S$317,$A51,'Данные 1st'!$QR$2:$QR$317),"")</f>
        <v>62</v>
      </c>
      <c r="HI51" s="7">
        <f>IFERROR(AVERAGEIF('Данные 1st'!$S$2:$S$317,$A51,'Данные 1st'!$QS$2:$QS$317),"")</f>
        <v>62</v>
      </c>
      <c r="HJ51" s="7">
        <f>IFERROR(AVERAGEIF('Данные 1st'!$S$2:$S$317,$A51,'Данные 1st'!$QU$2:$QU$317),"")</f>
        <v>1</v>
      </c>
      <c r="HK51" s="7">
        <f>IFERROR(AVERAGEIF('Данные 1st'!$S$2:$S$317,$A51,'Данные 1st'!$QV$2:$QV$317),"")</f>
        <v>1397</v>
      </c>
      <c r="HL51" s="7">
        <f>IFERROR(AVERAGEIF('Данные 1st'!$S$2:$S$317,$A51,'Данные 1st'!$QW$2:$QW$317),"")</f>
        <v>82</v>
      </c>
      <c r="HM51" s="7">
        <f>IFERROR(AVERAGEIF('Данные 1st'!$S$2:$S$317,$A51,'Данные 1st'!$QX$2:$QX$317),"")</f>
        <v>88</v>
      </c>
      <c r="HN51" s="7">
        <f>IFERROR(AVERAGEIF('Данные 1st'!$S$2:$S$317,$A51,'Данные 1st'!$QZ$2:$QZ$317),"")</f>
        <v>1</v>
      </c>
      <c r="HO51" s="7">
        <f>IFERROR(AVERAGEIF('Данные 1st'!$S$2:$S$317,$A51,'Данные 1st'!$RA$2:$RA$317),"")</f>
        <v>66</v>
      </c>
      <c r="HP51" s="7">
        <f>IFERROR(AVERAGEIF('Данные 1st'!$S$2:$S$317,$A51,'Данные 1st'!$RB$2:$RB$317),"")</f>
        <v>66</v>
      </c>
      <c r="HQ51" s="7">
        <f>IFERROR(AVERAGEIF('Данные 1st'!$S$2:$S$317,$A51,'Данные 1st'!$RD$2:$RD$317),"")</f>
        <v/>
      </c>
      <c r="HR51" s="7">
        <f>IFERROR(AVERAGEIF('Данные 1st'!$S$2:$S$317,$A51,'Данные 1st'!$RE$2:$RE$317),"")</f>
        <v>0</v>
      </c>
      <c r="HS51" s="7">
        <f>IFERROR(AVERAGEIF('Данные 1st'!$S$2:$S$317,$A51,'Данные 1st'!$RF$2:$RF$317),"")</f>
        <v>1</v>
      </c>
      <c r="HT51" s="7">
        <f>IFERROR(AVERAGEIF('Данные 1st'!$S$2:$S$317,$A51,'Данные 1st'!$RG$2:$RG$317),"")</f>
        <v/>
      </c>
      <c r="HU51" s="7">
        <f>IFERROR(AVERAGEIF('Данные 1st'!$S$2:$S$317,$A51,'Данные 1st'!$RH$2:$RH$317),"")</f>
        <v>1</v>
      </c>
      <c r="HV51" s="7">
        <f>IFERROR(AVERAGEIF('Данные 1st'!$S$2:$S$317,$A51,'Данные 1st'!$RI$2:$RI$317),"")</f>
        <v/>
      </c>
      <c r="HW51" s="7">
        <f>IFERROR(AVERAGEIF('Данные 1st'!$S$2:$S$317,$A51,'Данные 1st'!$RJ$2:$RJ$317),"")</f>
        <v>1</v>
      </c>
      <c r="HX51" s="7">
        <f>IFERROR(AVERAGEIF('Данные 1st'!$S$2:$S$317,$A51,'Данные 1st'!$RK$2:$RK$317),"")</f>
        <v/>
      </c>
      <c r="HY51" s="7">
        <f>IFERROR(AVERAGEIF('Данные 1st'!$S$2:$S$317,$A51,'Данные 1st'!$RL$2:$RL$317),"")</f>
        <v>2.25</v>
      </c>
      <c r="HZ51" s="7">
        <f>IFERROR(AVERAGEIF('Данные 1st'!$S$2:$S$317,$A51,'Данные 1st'!$RM$2:$RM$317),"")</f>
        <v>2.6666666666666665</v>
      </c>
      <c r="IA51" s="7">
        <f>IFERROR(AVERAGEIF('Данные 1st'!$S$2:$S$317,$A51,'Данные 1st'!$RN$2:$RN$317),"")</f>
        <v/>
      </c>
      <c r="IB51" s="7">
        <f>IFERROR(AVERAGEIF('Данные 1st'!$S$2:$S$317,$A51,'Данные 1st'!$RO$2:$RO$317),"")</f>
        <v>627.75</v>
      </c>
      <c r="IC51" s="7">
        <f>IFERROR(AVERAGEIF('Данные 1st'!$S$2:$S$317,$A51,'Данные 1st'!$RP$2:$RP$317),"")</f>
        <v/>
      </c>
      <c r="ID51" s="7">
        <f>IFERROR(AVERAGEIF('Данные 1st'!$S$2:$S$317,$A51,'Данные 1st'!$RQ$2:$RQ$317),"")</f>
        <v>876.75</v>
      </c>
      <c r="IE51" s="7">
        <f>IFERROR(AVERAGEIF('Данные 1st'!$S$2:$S$317,$A51,'Данные 1st'!$RR$2:$RR$317),"")</f>
        <v>609.3333333333334</v>
      </c>
      <c r="IF51" s="7">
        <f>IFERROR(AVERAGEIF('Данные 1st'!$S$2:$S$317,$A51,'Данные 1st'!$RS$2:$RS$317),"")</f>
        <v/>
      </c>
      <c r="IG51" s="7">
        <f>IFERROR(AVERAGEIF('Данные 1st'!$S$2:$S$317,$A51,'Данные 1st'!$RT$2:$RT$317),"")</f>
        <v>288.75</v>
      </c>
      <c r="IH51" s="7">
        <f>IFERROR(AVERAGEIF('Данные 1st'!$S$2:$S$317,$A51,'Данные 1st'!$RU$2:$RU$317),"")</f>
        <v>233.5</v>
      </c>
      <c r="II51" s="7">
        <f>IFERROR(AVERAGEIF('Данные 1st'!$S$2:$S$317,$A51,'Данные 1st'!$RX$2:$RX$317),"")</f>
        <v>15</v>
      </c>
      <c r="IJ51" s="7">
        <f>IFERROR(AVERAGEIF('Данные 1st'!$S$2:$S$317,$A51,'Данные 1st'!$RY$2:$RY$317),"")</f>
        <v>4</v>
      </c>
      <c r="IK51" s="7">
        <f>IFERROR(AVERAGEIF('Данные 1st'!$S$2:$S$317,$A51,'Данные 1st'!$SA$2:$SA$317),"")</f>
        <v>15</v>
      </c>
      <c r="IL51" s="7">
        <f>IFERROR(AVERAGEIF('Данные 1st'!$S$2:$S$317,$A51,'Данные 1st'!$SD$2:$SD$317),"")</f>
        <v>1</v>
      </c>
      <c r="IM51" s="7">
        <f>IFERROR(AVERAGEIF('Данные 1st'!$S$2:$S$317,$A51,'Данные 1st'!$SG$2:$SG$317),"")</f>
        <v>1</v>
      </c>
      <c r="IN51" s="7">
        <f>IFERROR(AVERAGEIF('Данные 1st'!$S$2:$S$317,$A51,'Данные 1st'!$SH$2:$SH$317),"")</f>
        <v>0.995</v>
      </c>
      <c r="IO51" s="7">
        <f>IFERROR(AVERAGEIF('Данные 1st'!$S$2:$S$317,$A51,'Данные 1st'!$SI$2:$SI$317),"")</f>
        <v>0.995</v>
      </c>
      <c r="IP51" s="7">
        <f>IFERROR(AVERAGEIF('Данные 1st'!$S$2:$S$317,$A51,'Данные 1st'!$SJ$2:$SJ$317),"")</f>
        <v>0.995</v>
      </c>
      <c r="IQ51" s="7">
        <f>IFERROR(AVERAGEIF('Данные 1st'!$S$2:$S$317,$A51,'Данные 1st'!$SK$2:$SK$317),"")</f>
        <v>15</v>
      </c>
      <c r="IR51" s="7">
        <f>IFERROR(AVERAGEIF('Данные 1st'!$S$2:$S$317,$A51,'Данные 1st'!$SL$2:$SL$317),"")</f>
        <v>0</v>
      </c>
      <c r="IS51" s="7">
        <f>IFERROR(AVERAGEIF('Данные 1st'!$S$2:$S$317,$A51,'Данные 1st'!$SM$2:$SM$317),"")</f>
        <v>0</v>
      </c>
      <c r="IT51" s="7">
        <f>IFERROR(AVERAGEIF('Данные 1st'!$S$2:$S$317,$A51,'Данные 1st'!$SN$2:$SN$317),"")</f>
        <v>0</v>
      </c>
      <c r="IU51" s="7">
        <f>IFERROR(AVERAGEIF('Данные 1st'!$S$2:$S$317,$A51,'Данные 1st'!$SO$2:$SO$317),"")</f>
        <v>0</v>
      </c>
      <c r="IV51" s="7">
        <f>IFERROR(AVERAGEIF('Данные 1st'!$S$2:$S$317,$A51,'Данные 1st'!$SP$2:$SP$317),"")</f>
        <v>0</v>
      </c>
      <c r="IW51" s="7">
        <f>IFERROR(AVERAGEIF('Данные 1st'!$S$2:$S$317,$A51,'Данные 1st'!$SQ$2:$SQ$317),"")</f>
        <v>0</v>
      </c>
      <c r="IX51" s="7">
        <f>IFERROR(AVERAGEIF('Данные 1st'!$S$2:$S$317,$A51,'Данные 1st'!$SR$2:$SR$317),"")</f>
        <v>0</v>
      </c>
      <c r="IY51" s="7">
        <f>IFERROR(AVERAGEIF('Данные 1st'!$S$2:$S$317,$A51,'Данные 1st'!$SS$2:$SS$317),"")</f>
        <v>0</v>
      </c>
      <c r="IZ51" s="7">
        <f>IFERROR(AVERAGEIF('Данные 1st'!$S$2:$S$317,$A51,'Данные 1st'!$ST$2:$ST$317),"")</f>
        <v>0</v>
      </c>
      <c r="JA51" s="7">
        <f>IFERROR(AVERAGEIF('Данные 1st'!$S$2:$S$317,$A51,'Данные 1st'!$SU$2:$SU$317),"")</f>
        <v>0</v>
      </c>
      <c r="JB51" s="7">
        <f>IFERROR(AVERAGEIF('Данные 1st'!$S$2:$S$317,$A51,'Данные 1st'!$SV$2:$SV$317),"")</f>
        <v>0</v>
      </c>
      <c r="JC51" s="7">
        <f>IFERROR(AVERAGEIF('Данные 1st'!$S$2:$S$317,$A51,'Данные 1st'!$SW$2:$SW$317),"")</f>
        <v>0</v>
      </c>
      <c r="JD51" s="7">
        <f>IFERROR(AVERAGEIF('Данные 1st'!$S$2:$S$317,$A51,'Данные 1st'!$SX$2:$SX$317),"")</f>
        <v>0</v>
      </c>
      <c r="JE51" s="7">
        <f>IFERROR(AVERAGEIF('Данные 1st'!$S$2:$S$317,$A51,'Данные 1st'!$SY$2:$SY$317),"")</f>
        <v/>
      </c>
      <c r="JF51" s="7">
        <f>IFERROR(AVERAGEIF('Данные 1st'!$S$2:$S$317,$A51,'Данные 1st'!$SZ$2:$SZ$317),"")</f>
        <v>1</v>
      </c>
      <c r="JG51" s="7">
        <f>IFERROR(AVERAGEIF('Данные 1st'!$S$2:$S$317,$A51,'Данные 1st'!$TA$2:$TA$317),"")</f>
        <v/>
      </c>
      <c r="JH51" s="7">
        <f>IFERROR(AVERAGEIF('Данные 1st'!$S$2:$S$317,$A51,'Данные 1st'!$TB$2:$TB$317),"")</f>
        <v>0</v>
      </c>
      <c r="JI51" s="7">
        <f>IFERROR(AVERAGEIF('Данные 1st'!$S$2:$S$317,$A51,'Данные 1st'!$TC$2:$TC$317),"")</f>
        <v>0</v>
      </c>
      <c r="JJ51" s="7">
        <f>IFERROR(AVERAGEIF('Данные 1st'!$S$2:$S$317,$A51,'Данные 1st'!$TD$2:$TD$317),"")</f>
        <v>7.5</v>
      </c>
      <c r="JK51" s="7">
        <f>IFERROR(AVERAGEIF('Данные 1st'!$S$2:$S$317,$A51,'Данные 1st'!$TN$2:$TN$317),"")</f>
        <v>0</v>
      </c>
      <c r="JL51">
        <f>COUNTIF('Данные 2st'!$Q$2:$Q$317,$A51)</f>
        <v>4</v>
      </c>
      <c r="JM51" s="6" t="s">
        <v>5100</v>
      </c>
      <c r="JN51" s="6" t="s">
        <v>513</v>
      </c>
      <c r="JO51" s="6" t="s">
        <v>5125</v>
      </c>
      <c r="JP51" s="6" t="s">
        <v>5504</v>
      </c>
      <c r="JQ51" s="7">
        <f>IFERROR(AVERAGEIF('Данные 2st'!$Q$2:$Q$317,$A51,'Данные 2st'!$AC$2:$AC$317),"")</f>
        <v>10</v>
      </c>
      <c r="JR51" s="7">
        <f>IFERROR(AVERAGEIF('Данные 2st'!$Q$2:$Q$317,$A51,'Данные 2st'!$AF$2:$AF$317),"")</f>
        <v>5933.75</v>
      </c>
      <c r="JS51" s="7">
        <f>IFERROR(AVERAGEIF('Данные 2st'!$Q$2:$Q$317,$A51,'Данные 2st'!$AW$2:$AW$317),"")</f>
        <v>6.4</v>
      </c>
      <c r="JT51" s="7">
        <f>IFERROR(AVERAGEIF('Данные 2st'!$Q$2:$Q$317,$A51,'Данные 2st'!$AX$2:$AX$317),"")</f>
        <v>-6</v>
      </c>
      <c r="JU51" s="7">
        <f>IFERROR(AVERAGEIF('Данные 2st'!$Q$2:$Q$317,$A51,'Данные 2st'!$AY$2:$AY$317),"")</f>
        <v>100.875</v>
      </c>
      <c r="JV51" s="7">
        <f>IFERROR(AVERAGEIF('Данные 2st'!$Q$2:$Q$317,$A51,'Данные 2st'!$AZ$2:$AZ$317),"")</f>
        <v>72.875</v>
      </c>
      <c r="JW51" s="7">
        <f>IFERROR(AVERAGEIF('Данные 2st'!$Q$2:$Q$317,$A51,'Данные 2st'!$BA$2:$BA$317),"")</f>
        <v>0</v>
      </c>
      <c r="JX51" s="7">
        <f>IFERROR(AVERAGEIF('Данные 2st'!$Q$2:$Q$317,$A51,'Данные 2st'!$BB$2:$BB$317),"")</f>
        <v>32.5</v>
      </c>
      <c r="JY51" s="7">
        <f>IFERROR(AVERAGEIF('Данные 2st'!$Q$2:$Q$317,$A51,'Данные 2st'!$BC$2:$BC$317),"")</f>
        <v>0</v>
      </c>
      <c r="JZ51" s="7">
        <f>IFERROR(AVERAGEIF('Данные 2st'!$Q$2:$Q$317,$A51,'Данные 2st'!$BH$2:$BH$317),"")</f>
        <v>100.875</v>
      </c>
      <c r="KA51" s="7">
        <f>IFERROR(AVERAGEIF('Данные 2st'!$Q$2:$Q$317,$A51,'Данные 2st'!$BI$2:$BI$317),"")</f>
        <v>28.0</v>
      </c>
      <c r="KB51" s="7">
        <f>IFERROR(AVERAGEIF('Данные 2st'!$Q$2:$Q$317,$A51,'Данные 2st'!$BJ$2:$BJ$317),"")</f>
        <v>72.875</v>
      </c>
      <c r="KC51" s="7">
        <f>IFERROR(AVERAGEIF('Данные 2st'!$Q$2:$Q$317,$A51,'Данные 2st'!$BK$2:$BK$317),"")</f>
        <v>2.75</v>
      </c>
      <c r="KD51" s="7">
        <f>IFERROR(AVERAGEIF('Данные 2st'!$Q$2:$Q$317,$A51,'Данные 2st'!$BL$2:$BL$317),"")</f>
        <v>201.75</v>
      </c>
      <c r="KE51" s="7">
        <f>IFERROR(AVERAGEIF('Данные 2st'!$Q$2:$Q$317,$A51,'Данные 2st'!$BM$2:$BM$317),"")</f>
        <v>-6</v>
      </c>
      <c r="KF51" s="7">
        <f>IFERROR(AVERAGEIF('Данные 2st'!$Q$2:$Q$317,$A51,'Данные 2st'!$BN$2:$BN$317),"")</f>
        <v>24.375</v>
      </c>
      <c r="KG51" s="7">
        <f>IFERROR(AVERAGEIF('Данные 2st'!$Q$2:$Q$317,$A51,'Данные 2st'!$BO$2:$BO$317),"")</f>
        <v>0</v>
      </c>
      <c r="KH51" s="7">
        <f>IFERROR(AVERAGEIF('Данные 2st'!$Q$2:$Q$317,$A51,'Данные 2st'!$BP$2:$BP$317),"")</f>
        <v>48.75</v>
      </c>
      <c r="KI51" s="7">
        <f>IFERROR(AVERAGEIF('Данные 2st'!$Q$2:$Q$317,$A51,'Данные 2st'!$BR$2:$BR$317),"")</f>
        <v>196.25</v>
      </c>
      <c r="KJ51" s="7">
        <f>IFERROR(AVERAGEIF('Данные 2st'!$Q$2:$Q$317,$A51,'Данные 2st'!$BS$2:$BS$317),"")</f>
        <v>186.25</v>
      </c>
      <c r="KK51" s="7">
        <f>IFERROR(AVERAGEIF('Данные 2st'!$Q$2:$Q$317,$A51,'Данные 2st'!$BT$2:$BT$317),"")</f>
        <v>2166.25</v>
      </c>
      <c r="KL51" s="7">
        <f>IFERROR(AVERAGEIF('Данные 2st'!$Q$2:$Q$317,$A51,'Данные 2st'!$CV$2:$CV$317),"")</f>
        <v>127.5</v>
      </c>
      <c r="KM51" s="7">
        <f>IFERROR(AVERAGEIF('Данные 2st'!$Q$2:$Q$317,$A51,'Данные 2st'!$CW$2:$CW$317),"")</f>
        <v>3</v>
      </c>
      <c r="KN51" s="7">
        <f>IFERROR(AVERAGEIF('Данные 2st'!$Q$2:$Q$317,$A51,'Данные 2st'!$CX$2:$CX$317),"")</f>
        <v>81.75</v>
      </c>
      <c r="KO51" s="7">
        <f>IFERROR(AVERAGEIF('Данные 2st'!$Q$2:$Q$317,$A51,'Данные 2st'!$CY$2:$CY$317),"")</f>
        <v>5</v>
      </c>
      <c r="KP51" s="7">
        <f>IFERROR(AVERAGEIF('Данные 2st'!$Q$2:$Q$317,$A51,'Данные 2st'!$CZ$2:$CZ$317),"")</f>
        <v>133.5</v>
      </c>
      <c r="KQ51" s="7">
        <f>IFERROR(AVERAGEIF('Данные 2st'!$Q$2:$Q$317,$A51,'Данные 2st'!$DA$2:$DA$317),"")</f>
        <v>5</v>
      </c>
      <c r="KR51" s="7">
        <f>IFERROR(AVERAGEIF('Данные 2st'!$Q$2:$Q$317,$A51,'Данные 2st'!$DB$2:$DB$317),"")</f>
        <v>13265</v>
      </c>
      <c r="KS51" s="7">
        <f>IFERROR(AVERAGEIF('Данные 2st'!$Q$2:$Q$317,$A51,'Данные 2st'!$DC$2:$DC$317),"")</f>
        <v>392.5</v>
      </c>
      <c r="KT51" s="7">
        <f>IFERROR(AVERAGEIF('Данные 2st'!$Q$2:$Q$317,$A51,'Данные 2st'!$DD$2:$DD$317),"")</f>
        <v>355.25</v>
      </c>
      <c r="KU51" s="7">
        <f>IFERROR(AVERAGEIF('Данные 2st'!$Q$2:$Q$317,$A51,'Данные 2st'!$DE$2:$DE$317),"")</f>
        <v>2287.5</v>
      </c>
      <c r="KV51" s="7">
        <f>IFERROR(AVERAGEIF('Данные 2st'!$Q$2:$Q$317,$A51,'Данные 2st'!$DF$2:$DF$317),"")</f>
        <v>2286.25</v>
      </c>
      <c r="KW51" s="7">
        <f>IFERROR(AVERAGEIF('Данные 2st'!$Q$2:$Q$317,$A51,'Данные 2st'!$DG$2:$DG$317),"")</f>
        <v>2298.25</v>
      </c>
      <c r="KX51" s="7">
        <f>IFERROR(AVERAGEIF('Данные 2st'!$Q$2:$Q$317,$A51,'Данные 2st'!$DH$2:$DH$317),"")</f>
        <v/>
      </c>
      <c r="KY51" s="7">
        <f>IFERROR(AVERAGEIF('Данные 2st'!$Q$2:$Q$317,$A51,'Данные 2st'!$DI$2:$DI$317),"")</f>
        <v/>
      </c>
      <c r="KZ51" s="7">
        <f>IFERROR(AVERAGEIF('Данные 2st'!$Q$2:$Q$317,$A51,'Данные 2st'!$DK$2:$DK$317),"")</f>
        <v>196.25</v>
      </c>
      <c r="LA51" s="7">
        <f>IFERROR(AVERAGEIF('Данные 2st'!$Q$2:$Q$317,$A51,'Данные 2st'!$DM$2:$DM$317),"")</f>
        <v>64</v>
      </c>
      <c r="LB51" s="7">
        <f>IFERROR(AVERAGEIF('Данные 2st'!$Q$2:$Q$317,$A51,'Данные 2st'!$DN$2:$DN$317),"")</f>
        <v>1.335</v>
      </c>
      <c r="LC51" s="7">
        <f>IFERROR(AVERAGEIF('Данные 2st'!$Q$2:$Q$317,$A51,'Данные 2st'!$DO$2:$DO$317),"")</f>
        <v>1</v>
      </c>
      <c r="LD51" s="7">
        <f>IFERROR(AVERAGEIF('Данные 2st'!$Q$2:$Q$317,$A51,'Данные 2st'!$DP$2:$DP$317),"")</f>
        <v>2170.25</v>
      </c>
      <c r="LE51" s="7">
        <f>IFERROR(AVERAGEIF('Данные 2st'!$Q$2:$Q$317,$A51,'Данные 2st'!$DQ$2:$DQ$317),"")</f>
        <v>1061</v>
      </c>
      <c r="LF51" s="7">
        <f>IFERROR(AVERAGEIF('Данные 2st'!$Q$2:$Q$317,$A51,'Данные 2st'!$DS$2:$DS$317),"")</f>
        <v>186.25</v>
      </c>
      <c r="LG51" s="7">
        <f>IFERROR(AVERAGEIF('Данные 2st'!$Q$2:$Q$317,$A51,'Данные 2st'!$DU$2:$DU$317),"")</f>
        <v>64</v>
      </c>
      <c r="LH51" s="7">
        <f>IFERROR(AVERAGEIF('Данные 2st'!$Q$2:$Q$317,$A51,'Данные 2st'!$DV$2:$DV$317),"")</f>
        <v>1.335</v>
      </c>
      <c r="LI51" s="7">
        <f>IFERROR(AVERAGEIF('Данные 2st'!$Q$2:$Q$317,$A51,'Данные 2st'!$DW$2:$DW$317),"")</f>
        <v>1</v>
      </c>
      <c r="LJ51" s="7">
        <f>IFERROR(AVERAGEIF('Данные 2st'!$Q$2:$Q$317,$A51,'Данные 2st'!$DX$2:$DX$317),"")</f>
        <v>2184</v>
      </c>
      <c r="LK51" s="7">
        <f>IFERROR(AVERAGEIF('Данные 2st'!$Q$2:$Q$317,$A51,'Данные 2st'!$DY$2:$DY$317),"")</f>
        <v>1013.25</v>
      </c>
      <c r="LL51" s="7">
        <f>IFERROR(AVERAGEIF('Данные 2st'!$Q$2:$Q$317,$A51,'Данные 2st'!$EA$2:$EA$317),"")</f>
        <v>20</v>
      </c>
      <c r="LM51" s="7">
        <f>IFERROR(AVERAGEIF('Данные 2st'!$Q$2:$Q$317,$A51,'Данные 2st'!$EC$2:$EC$317),"")</f>
        <v>0.8</v>
      </c>
      <c r="LN51" s="7">
        <f>IFERROR(AVERAGEIF('Данные 2st'!$Q$2:$Q$317,$A51,'Данные 2st'!$ED$2:$ED$317),"")</f>
        <v>2170.25</v>
      </c>
      <c r="LO51" s="7">
        <f>IFERROR(AVERAGEIF('Данные 2st'!$Q$2:$Q$317,$A51,'Данные 2st'!$EE$2:$EE$317),"")</f>
        <v>75.75</v>
      </c>
      <c r="LP51" s="7">
        <f>IFERROR(AVERAGEIF('Данные 2st'!$Q$2:$Q$317,$A51,'Данные 2st'!$EG$2:$EG$317),"")</f>
        <v>0</v>
      </c>
      <c r="LQ51" s="7">
        <f>IFERROR(AVERAGEIF('Данные 2st'!$Q$2:$Q$317,$A51,'Данные 2st'!$EI$2:$EI$317),"")</f>
        <v>0</v>
      </c>
      <c r="LR51" s="7">
        <f>IFERROR(AVERAGEIF('Данные 2st'!$Q$2:$Q$317,$A51,'Данные 2st'!$EJ$2:$EJ$317),"")</f>
        <v/>
      </c>
      <c r="LS51" s="7">
        <f>IFERROR(AVERAGEIF('Данные 2st'!$Q$2:$Q$317,$A51,'Данные 2st'!$EK$2:$EK$317),"")</f>
        <v/>
      </c>
      <c r="LT51" s="7">
        <f>IFERROR(AVERAGEIF('Данные 2st'!$Q$2:$Q$317,$A51,'Данные 2st'!$EM$2:$EM$317),"")</f>
        <v>12</v>
      </c>
      <c r="LU51" s="7">
        <f>IFERROR(AVERAGEIF('Данные 2st'!$Q$2:$Q$317,$A51,'Данные 2st'!$EN$2:$EN$317),"")</f>
        <v>0.5</v>
      </c>
      <c r="LV51" s="7">
        <f>IFERROR(AVERAGEIF('Данные 2st'!$Q$2:$Q$317,$A51,'Данные 2st'!$EO$2:$EO$317),"")</f>
        <v>0.96</v>
      </c>
      <c r="LW51" s="7">
        <f>IFERROR(AVERAGEIF('Данные 2st'!$Q$2:$Q$317,$A51,'Данные 2st'!$EP$2:$EP$317),"")</f>
        <v>2183.035</v>
      </c>
      <c r="LX51" s="7">
        <f>IFERROR(AVERAGEIF('Данные 2st'!$Q$2:$Q$317,$A51,'Данные 2st'!$EQ$2:$EQ$317),"")</f>
        <v>36451.41</v>
      </c>
      <c r="LY51" s="7">
        <f>IFERROR(AVERAGEIF('Данные 2st'!$Q$2:$Q$317,$A51,'Данные 2st'!$ER$2:$ER$317),"")</f>
        <v>9583.9775</v>
      </c>
      <c r="LZ51" s="7">
        <f>IFERROR(AVERAGEIF('Данные 2st'!$Q$2:$Q$317,$A51,'Данные 2st'!$ES$2:$ES$317),"")</f>
        <v>8413.8075</v>
      </c>
      <c r="MA51" s="7">
        <f>IFERROR(AVERAGEIF('Данные 2st'!$Q$2:$Q$317,$A51,'Данные 2st'!$ET$2:$ET$317),"")</f>
        <v>0</v>
      </c>
      <c r="MB51" s="7">
        <f>IFERROR(AVERAGEIF('Данные 2st'!$Q$2:$Q$317,$A51,'Данные 2st'!$EU$2:$EU$317),"")</f>
        <v>1</v>
      </c>
      <c r="MC51" s="7">
        <f>IFERROR(AVERAGEIF('Данные 2st'!$Q$2:$Q$317,$A51,'Данные 2st'!$EV$2:$EV$317),"")</f>
        <v>54449.75</v>
      </c>
      <c r="MD51" s="7">
        <f>IFERROR(AVERAGEIF('Данные 2st'!$Q$2:$Q$317,$A51,'Данные 2st'!$EW$2:$EW$317),"")</f>
        <v>654</v>
      </c>
      <c r="ME51" s="7">
        <f>IFERROR(AVERAGEIF('Данные 2st'!$Q$2:$Q$317,$A51,'Данные 2st'!$EY$2:$EY$317),"")</f>
        <v>218.5</v>
      </c>
      <c r="MF51" s="7">
        <f>IFERROR(AVERAGEIF('Данные 2st'!$Q$2:$Q$317,$A51,'Данные 2st'!$FA$2:$FA$317),"")</f>
        <v>4.575</v>
      </c>
      <c r="MG51" s="7">
        <f>IFERROR(AVERAGEIF('Данные 2st'!$Q$2:$Q$317,$A51,'Данные 2st'!$FB$2:$FB$317),"")</f>
        <v>1</v>
      </c>
      <c r="MH51" s="7">
        <f>IFERROR(AVERAGEIF('Данные 2st'!$Q$2:$Q$317,$A51,'Данные 2st'!$FC$2:$FC$317),"")</f>
        <v>1</v>
      </c>
      <c r="MI51" s="7">
        <f>IFERROR(AVERAGEIF('Данные 2st'!$Q$2:$Q$317,$A51,'Данные 2st'!$FD$2:$FD$317),"")</f>
        <v>2214.25</v>
      </c>
      <c r="MJ51" s="7">
        <f>IFERROR(AVERAGEIF('Данные 2st'!$Q$2:$Q$317,$A51,'Данные 2st'!$FE$2:$FE$317),"")</f>
        <v>2530.5</v>
      </c>
      <c r="MK51" s="7">
        <f>IFERROR(AVERAGEIF('Данные 2st'!$Q$2:$Q$317,$A51,'Данные 2st'!$FG$2:$FG$317),"")</f>
        <v>218.5</v>
      </c>
      <c r="ML51" s="7">
        <f>IFERROR(AVERAGEIF('Данные 2st'!$Q$2:$Q$317,$A51,'Данные 2st'!$FI$2:$FI$317),"")</f>
        <v>2.9</v>
      </c>
      <c r="MM51" s="7">
        <f>IFERROR(AVERAGEIF('Данные 2st'!$Q$2:$Q$317,$A51,'Данные 2st'!$FJ$2:$FJ$317),"")</f>
        <v>2214.25</v>
      </c>
      <c r="MN51" s="7">
        <f>IFERROR(AVERAGEIF('Данные 2st'!$Q$2:$Q$317,$A51,'Данные 2st'!$FK$2:$FK$317),"")</f>
        <v>1554</v>
      </c>
      <c r="MO51" s="7">
        <f>IFERROR(AVERAGEIF('Данные 2st'!$Q$2:$Q$317,$A51,'Данные 2st'!$FP$2:$FP$317),"")</f>
        <v>2214.25</v>
      </c>
      <c r="MP51" s="7">
        <f>IFERROR(AVERAGEIF('Данные 2st'!$Q$2:$Q$317,$A51,'Данные 2st'!$FQ$2:$FQ$317),"")</f>
        <v>199.75</v>
      </c>
      <c r="MQ51" s="7">
        <f>IFERROR(AVERAGEIF('Данные 2st'!$Q$2:$Q$317,$A51,'Данные 2st'!$FS$2:$FS$317),"")</f>
        <v>222.5</v>
      </c>
      <c r="MR51" s="7">
        <f>IFERROR(AVERAGEIF('Данные 2st'!$Q$2:$Q$317,$A51,'Данные 2st'!$FU$2:$FU$317),"")</f>
        <v>0.4</v>
      </c>
      <c r="MS51" s="7">
        <f>IFERROR(AVERAGEIF('Данные 2st'!$Q$2:$Q$317,$A51,'Данные 2st'!$FV$2:$FV$317),"")</f>
        <v>2214.25</v>
      </c>
      <c r="MT51" s="7">
        <f>IFERROR(AVERAGEIF('Данные 2st'!$Q$2:$Q$317,$A51,'Данные 2st'!$FW$2:$FW$317),"")</f>
        <v>219.25</v>
      </c>
      <c r="MU51" s="7">
        <f>IFERROR(AVERAGEIF('Данные 2st'!$Q$2:$Q$317,$A51,'Данные 2st'!$FY$2:$FY$317),"")</f>
        <v>5</v>
      </c>
      <c r="MV51" s="7">
        <f>IFERROR(AVERAGEIF('Данные 2st'!$Q$2:$Q$317,$A51,'Данные 2st'!$GB$2:$GB$317),"")</f>
        <v>2214.25</v>
      </c>
      <c r="MW51" s="7">
        <f>IFERROR(AVERAGEIF('Данные 2st'!$Q$2:$Q$317,$A51,'Данные 2st'!$GC$2:$GC$317),"")</f>
        <v>20.25</v>
      </c>
      <c r="MX51" s="7">
        <f>IFERROR(AVERAGEIF('Данные 2st'!$Q$2:$Q$317,$A51,'Данные 2st'!$GD$2:$GD$317),"")</f>
        <v>4523.75</v>
      </c>
      <c r="MY51" s="7">
        <f>IFERROR(AVERAGEIF('Данные 2st'!$Q$2:$Q$317,$A51,'Данные 2st'!$GN$2:$GN$317),"")</f>
        <v/>
      </c>
      <c r="MZ51" s="7">
        <f>IFERROR(AVERAGEIF('Данные 2st'!$Q$2:$Q$317,$A51,'Данные 2st'!$GQ$2:$GQ$317),"")</f>
        <v>0</v>
      </c>
      <c r="NA51" s="7">
        <f>IFERROR(AVERAGEIF('Данные 2st'!$Q$2:$Q$317,$A51,'Данные 2st'!$GV$2:$GV$317),"")</f>
        <v>7.875</v>
      </c>
      <c r="NB51" s="7">
        <f>IFERROR(AVERAGEIF('Данные 2st'!$Q$2:$Q$317,$A51,'Данные 2st'!$GW$2:$GW$317),"")</f>
        <v>9.35</v>
      </c>
      <c r="NC51" s="7">
        <f>IFERROR(AVERAGEIF('Данные 2st'!$Q$2:$Q$317,$A51,'Данные 2st'!$GX$2:$GX$317),"")</f>
        <v>0.5</v>
      </c>
      <c r="ND51" s="7">
        <f>IFERROR(AVERAGEIF('Данные 2st'!$Q$2:$Q$317,$A51,'Данные 2st'!$GY$2:$GY$317),"")</f>
        <v>185</v>
      </c>
      <c r="NE51" s="7">
        <f>IFERROR(AVERAGEIF('Данные 2st'!$Q$2:$Q$317,$A51,'Данные 2st'!$GZ$2:$GZ$317),"")</f>
        <v>3</v>
      </c>
      <c r="NF51" s="7">
        <f>IFERROR(AVERAGEIF('Данные 2st'!$Q$2:$Q$317,$A51,'Данные 2st'!$HA$2:$HA$317),"")</f>
        <v>241</v>
      </c>
      <c r="NG51" s="7">
        <f>IFERROR(AVERAGEIF('Данные 2st'!$Q$2:$Q$317,$A51,'Данные 2st'!$HB$2:$HB$317),"")</f>
        <v>3</v>
      </c>
      <c r="NH51" s="7">
        <f>IFERROR(AVERAGEIF('Данные 2st'!$Q$2:$Q$317,$A51,'Данные 2st'!$HC$2:$HC$317),"")</f>
        <v>2214.25</v>
      </c>
      <c r="NI51" s="7">
        <f>IFERROR(AVERAGEIF('Данные 2st'!$Q$2:$Q$317,$A51,'Данные 2st'!$HD$2:$HD$317),"")</f>
        <v>4</v>
      </c>
      <c r="NJ51" s="7">
        <f>IFERROR(AVERAGEIF('Данные 2st'!$Q$2:$Q$317,$A51,'Данные 2st'!$HM$2:$HM$317),"")</f>
        <v>18</v>
      </c>
      <c r="NK51" s="7">
        <f>IFERROR(AVERAGEIF('Данные 2st'!$Q$2:$Q$317,$A51,'Данные 2st'!$HR$2:$HR$317),"")</f>
        <v>2.25</v>
      </c>
      <c r="NL51" s="7">
        <f>IFERROR(AVERAGEIF('Данные 2st'!$Q$2:$Q$317,$A51,'Данные 2st'!$HS$2:$HS$317),"")</f>
        <v>2166.25</v>
      </c>
      <c r="NM51" s="7">
        <f>IFERROR(AVERAGEIF('Данные 2st'!$Q$2:$Q$317,$A51,'Данные 2st'!$HT$2:$HT$317),"")</f>
        <v>5</v>
      </c>
      <c r="NN51" s="7">
        <f>IFERROR(AVERAGEIF('Данные 2st'!$Q$2:$Q$317,$A51,'Данные 2st'!$HY$2:$HY$317),"")</f>
        <v>0</v>
      </c>
      <c r="NO51" s="7">
        <f>IFERROR(AVERAGEIF('Данные 2st'!$Q$2:$Q$317,$A51,'Данные 2st'!$HZ$2:$HZ$317),"")</f>
        <v>64</v>
      </c>
      <c r="NP51" s="7">
        <f>IFERROR(AVERAGEIF('Данные 2st'!$Q$2:$Q$317,$A51,'Данные 2st'!$IA$2:$IA$317),"")</f>
        <v>2170.25</v>
      </c>
      <c r="NQ51" s="7">
        <f>IFERROR(AVERAGEIF('Данные 2st'!$Q$2:$Q$317,$A51,'Данные 2st'!$IB$2:$IB$317),"")</f>
        <v>2184</v>
      </c>
      <c r="NR51" s="7">
        <f>IFERROR(AVERAGEIF('Данные 2st'!$Q$2:$Q$317,$A51,'Данные 2st'!$IC$2:$IC$317),"")</f>
        <v/>
      </c>
      <c r="NS51" s="7">
        <f>IFERROR(AVERAGEIF('Данные 2st'!$Q$2:$Q$317,$A51,'Данные 2st'!$ID$2:$ID$317),"")</f>
        <v>2214.25</v>
      </c>
      <c r="NT51" s="7">
        <f>IFERROR(AVERAGEIF('Данные 2st'!$Q$2:$Q$317,$A51,'Данные 2st'!$IE$2:$IE$317),"")</f>
        <v>2214.25</v>
      </c>
      <c r="NU51" s="7">
        <f>IFERROR(AVERAGEIF('Данные 2st'!$Q$2:$Q$317,$A51,'Данные 2st'!$IF$2:$IF$317),"")</f>
        <v>196.25</v>
      </c>
      <c r="NV51" s="7">
        <f>IFERROR(AVERAGEIF('Данные 2st'!$Q$2:$Q$317,$A51,'Данные 2st'!$IG$2:$IG$317),"")</f>
        <v>186.25</v>
      </c>
      <c r="NW51" s="7">
        <f>IFERROR(AVERAGEIF('Данные 2st'!$Q$2:$Q$317,$A51,'Данные 2st'!$IH$2:$IH$317),"")</f>
        <v>241</v>
      </c>
      <c r="NX51" s="7">
        <f>IFERROR(AVERAGEIF('Данные 2st'!$Q$2:$Q$317,$A51,'Данные 2st'!$IJ$2:$IJ$317),"")</f>
        <v>6.25</v>
      </c>
      <c r="NY51" s="7">
        <f>IFERROR(AVERAGEIF('Данные 2st'!$Q$2:$Q$317,$A51,'Данные 2st'!$IM$2:$IM$317),"")</f>
        <v>0</v>
      </c>
      <c r="NZ51" s="7">
        <f>IFERROR(AVERAGEIF('Данные 2st'!$Q$2:$Q$317,$A51,'Данные 2st'!$IN$2:$IN$317),"")</f>
        <v>270</v>
      </c>
      <c r="OA51" s="7">
        <f>IFERROR(AVERAGEIF('Данные 2st'!$Q$2:$Q$317,$A51,'Данные 2st'!$IO$2:$IO$317),"")</f>
        <v>0</v>
      </c>
      <c r="OB51" s="7">
        <f>IFERROR(AVERAGEIF('Данные 2st'!$Q$2:$Q$317,$A51,'Данные 2st'!$IP$2:$IP$317),"")</f>
        <v>180</v>
      </c>
      <c r="OC51" s="7">
        <f>IFERROR(AVERAGEIF('Данные 2st'!$Q$2:$Q$317,$A51,'Данные 2st'!$IQ$2:$IQ$317),"")</f>
        <v>0</v>
      </c>
      <c r="OD51" s="7">
        <f>IFERROR(AVERAGEIF('Данные 2st'!$Q$2:$Q$317,$A51,'Данные 2st'!$IR$2:$IR$317),"")</f>
        <v>330</v>
      </c>
      <c r="OE51" s="7">
        <f>IFERROR(AVERAGEIF('Данные 2st'!$Q$2:$Q$317,$A51,'Данные 2st'!$IT$2:$IT$317),"")</f>
        <v>90</v>
      </c>
      <c r="OF51" s="7">
        <f>IFERROR(AVERAGEIF('Данные 2st'!$Q$2:$Q$317,$A51,'Данные 2st'!$IU$2:$IU$317),"")</f>
        <v>0</v>
      </c>
      <c r="OG51" s="7">
        <f>IFERROR(AVERAGEIF('Данные 2st'!$Q$2:$Q$317,$A51,'Данные 2st'!$IV$2:$IV$317),"")</f>
        <v>6.4</v>
      </c>
      <c r="OH51" s="7">
        <f>IFERROR(AVERAGEIF('Данные 2st'!$Q$2:$Q$317,$A51,'Данные 2st'!$IW$2:$IW$317),"")</f>
        <v>-6</v>
      </c>
      <c r="OI51" s="7">
        <f>IFERROR(AVERAGEIF('Данные 2st'!$Q$2:$Q$317,$A51,'Данные 2st'!$IX$2:$IX$317),"")</f>
        <v>100.875</v>
      </c>
      <c r="OJ51" s="7">
        <f>IFERROR(AVERAGEIF('Данные 2st'!$Q$2:$Q$317,$A51,'Данные 2st'!$IY$2:$IY$317),"")</f>
        <v>72.875</v>
      </c>
      <c r="OK51" s="7">
        <f>IFERROR(AVERAGEIF('Данные 2st'!$Q$2:$Q$317,$A51,'Данные 2st'!$IZ$2:$IZ$317),"")</f>
        <v>0</v>
      </c>
      <c r="OL51" s="7">
        <f>IFERROR(AVERAGEIF('Данные 2st'!$Q$2:$Q$317,$A51,'Данные 2st'!$JA$2:$JA$317),"")</f>
        <v>24.375</v>
      </c>
      <c r="OM51" s="7">
        <f>IFERROR(AVERAGEIF('Данные 2st'!$Q$2:$Q$317,$A51,'Данные 2st'!$JB$2:$JB$317),"")</f>
        <v>0</v>
      </c>
      <c r="ON51" s="7">
        <f>IFERROR(AVERAGEIF('Данные 2st'!$Q$2:$Q$317,$A51,'Данные 2st'!$JC$2:$JC$317),"")</f>
        <v>0</v>
      </c>
      <c r="OO51" s="7">
        <f>IFERROR(AVERAGEIF('Данные 2st'!$Q$2:$Q$317,$A51,'Данные 2st'!$JD$2:$JD$317),"")</f>
        <v>0</v>
      </c>
      <c r="OP51" s="7">
        <f>IFERROR(AVERAGEIF('Данные 2st'!$Q$2:$Q$317,$A51,'Данные 2st'!$JE$2:$JE$317),"")</f>
        <v>0</v>
      </c>
      <c r="OQ51" s="7">
        <f>IFERROR(AVERAGEIF('Данные 2st'!$Q$2:$Q$317,$A51,'Данные 2st'!$JF$2:$JF$317),"")</f>
        <v>0</v>
      </c>
      <c r="OR51" s="7">
        <f>IFERROR(AVERAGEIF('Данные 2st'!$Q$2:$Q$317,$A51,'Данные 2st'!$JG$2:$JG$317),"")</f>
        <v>0</v>
      </c>
      <c r="OS51" s="7">
        <f>IFERROR(AVERAGEIF('Данные 2st'!$Q$2:$Q$317,$A51,'Данные 2st'!$JH$2:$JH$317),"")</f>
        <v>0</v>
      </c>
      <c r="OT51" s="7">
        <f>IFERROR(AVERAGEIF('Данные 2st'!$Q$2:$Q$317,$A51,'Данные 2st'!$JI$2:$JI$317),"")</f>
        <v>421</v>
      </c>
      <c r="OU51" s="7">
        <f>IFERROR(AVERAGEIF('Данные 2st'!$Q$2:$Q$317,$A51,'Данные 2st'!$JJ$2:$JJ$317),"")</f>
        <v>388.5</v>
      </c>
      <c r="OV51" s="7">
        <f>IFERROR(AVERAGEIF('Данные 2st'!$Q$2:$Q$317,$A51,'Данные 2st'!$JK$2:$JK$317),"")</f>
        <v>285.5</v>
      </c>
      <c r="OW51" s="7">
        <f>IFERROR(AVERAGEIF('Данные 2st'!$Q$2:$Q$317,$A51,'Данные 2st'!$JL$2:$JL$317),"")</f>
        <v>387.5</v>
      </c>
      <c r="OX51" s="7">
        <f>IFERROR(AVERAGEIF('Данные 2st'!$Q$2:$Q$317,$A51,'Данные 2st'!$JM$2:$JM$317),"")</f>
        <v>292.25</v>
      </c>
      <c r="OY51" s="7">
        <f>IFERROR(AVERAGEIF('Данные 2st'!$Q$2:$Q$317,$A51,'Данные 2st'!$JP$2:$JP$317),"")</f>
        <v>198.75</v>
      </c>
      <c r="OZ51" s="7">
        <f>IFERROR(AVERAGEIF('Данные 2st'!$Q$2:$Q$317,$A51,'Данные 2st'!$JQ$2:$JQ$317),"")</f>
        <v>251</v>
      </c>
      <c r="PA51" s="7">
        <f>IFERROR(AVERAGEIF('Данные 2st'!$Q$2:$Q$317,$A51,'Данные 2st'!$JR$2:$JR$317),"")</f>
        <v>318.5</v>
      </c>
      <c r="PB51" s="7">
        <f>IFERROR(AVERAGEIF('Данные 2st'!$Q$2:$Q$317,$A51,'Данные 2st'!$JS$2:$JS$317),"")</f>
        <v>225</v>
      </c>
      <c r="PC51" s="7">
        <f>IFERROR(AVERAGEIF('Данные 2st'!$Q$2:$Q$317,$A51,'Данные 2st'!$JT$2:$JT$317),"")</f>
        <v>0</v>
      </c>
      <c r="PD51" s="7">
        <f>IFERROR(AVERAGEIF('Данные 2st'!$Q$2:$Q$317,$A51,'Данные 2st'!$JU$2:$JU$317),"")</f>
        <v>0</v>
      </c>
      <c r="PE51" s="7">
        <f>IFERROR(AVERAGEIF('Данные 2st'!$Q$2:$Q$317,$A51,'Данные 2st'!$JV$2:$JV$317),"")</f>
        <v>291.25</v>
      </c>
      <c r="PF51" s="7">
        <f>IFERROR(AVERAGEIF('Данные 2st'!$Q$2:$Q$317,$A51,'Данные 2st'!$JW$2:$JW$317),"")</f>
        <v>310.25</v>
      </c>
      <c r="PG51" s="7">
        <f>IFERROR(AVERAGEIF('Данные 2st'!$Q$2:$Q$317,$A51,'Данные 2st'!$KF$2:$KF$317),"")</f>
        <v>0.1775</v>
      </c>
      <c r="PH51" s="7">
        <f>IFERROR(AVERAGEIF('Данные 2st'!$Q$2:$Q$317,$A51,'Данные 2st'!$KG$2:$KG$317),"")</f>
        <v>0.1075</v>
      </c>
      <c r="PI51" s="7">
        <f>IFERROR(AVERAGEIF('Данные 2st'!$Q$2:$Q$317,$A51,'Данные 2st'!$KM$2:$KM$317),"")</f>
        <v>0.875</v>
      </c>
      <c r="PJ51" s="7">
        <f>IFERROR(AVERAGEIF('Данные 2st'!$Q$2:$Q$317,$A51,'Данные 2st'!$KN$2:$KN$317),"")</f>
        <v>1.7</v>
      </c>
      <c r="PK51" s="7">
        <f>IFERROR(AVERAGEIF('Данные 2st'!$Q$2:$Q$317,$A51,'Данные 2st'!$KO$2:$KO$317),"")</f>
        <v>0</v>
      </c>
      <c r="PL51" s="7">
        <f>IFERROR(AVERAGEIF('Данные 2st'!$Q$2:$Q$317,$A51,'Данные 2st'!$KP$2:$KP$317),"")</f>
        <v>0</v>
      </c>
      <c r="PM51" s="7">
        <f>IFERROR(AVERAGEIF('Данные 2st'!$Q$2:$Q$317,$A51,'Данные 2st'!$KQ$2:$KQ$317),"")</f>
        <v>0.8500000000000001</v>
      </c>
      <c r="PN51" s="7">
        <f>IFERROR(AVERAGEIF('Данные 2st'!$Q$2:$Q$317,$A51,'Данные 2st'!$KR$2:$KR$317),"")</f>
        <v>0.8</v>
      </c>
      <c r="PO51" s="7">
        <f>IFERROR(AVERAGEIF('Данные 2st'!$Q$2:$Q$317,$A51,'Данные 2st'!$KS$2:$KS$317),"")</f>
        <v>0</v>
      </c>
      <c r="PP51" s="7">
        <f>IFERROR(AVERAGEIF('Данные 2st'!$Q$2:$Q$317,$A51,'Данные 2st'!$KT$2:$KT$317),"")</f>
        <v>2.825</v>
      </c>
      <c r="PQ51" s="7">
        <f>IFERROR(AVERAGEIF('Данные 2st'!$Q$2:$Q$317,$A51,'Данные 2st'!$KU$2:$KU$317),"")</f>
        <v>0</v>
      </c>
      <c r="PR51" s="7">
        <f>IFERROR(AVERAGEIF('Данные 2st'!$Q$2:$Q$317,$A51,'Данные 2st'!$KV$2:$KV$317),"")</f>
        <v>0</v>
      </c>
      <c r="PS51" s="7">
        <f>IFERROR(AVERAGEIF('Данные 2st'!$Q$2:$Q$317,$A51,'Данные 2st'!$KW$2:$KW$317),"")</f>
        <v>1.075</v>
      </c>
      <c r="PT51" s="7">
        <f>IFERROR(AVERAGEIF('Данные 2st'!$Q$2:$Q$317,$A51,'Данные 2st'!$KX$2:$KX$317),"")</f>
        <v>1.875</v>
      </c>
      <c r="PU51" s="7">
        <f>IFERROR(AVERAGEIF('Данные 2st'!$Q$2:$Q$317,$A51,'Данные 2st'!$KY$2:$KY$317),"")</f>
        <v>0.5</v>
      </c>
      <c r="PV51" s="7">
        <f>IFERROR(AVERAGEIF('Данные 2st'!$Q$2:$Q$317,$A51,'Данные 2st'!$KZ$2:$KZ$317),"")</f>
        <v>0</v>
      </c>
      <c r="PW51" s="7">
        <f>IFERROR(AVERAGEIF('Данные 2st'!$Q$2:$Q$317,$A51,'Данные 2st'!$LA$2:$LA$317),"")</f>
        <v>0</v>
      </c>
      <c r="PX51" s="7">
        <f>IFERROR(AVERAGEIF('Данные 2st'!$Q$2:$Q$317,$A51,'Данные 2st'!$LB$2:$LB$317),"")</f>
        <v>0</v>
      </c>
      <c r="PY51" s="7">
        <f>IFERROR(AVERAGEIF('Данные 2st'!$Q$2:$Q$317,$A51,'Данные 2st'!$LC$2:$LC$317),"")</f>
        <v>0</v>
      </c>
      <c r="PZ51" s="7">
        <f>IFERROR(AVERAGEIF('Данные 2st'!$Q$2:$Q$317,$A51,'Данные 2st'!$LD$2:$LD$317),"")</f>
        <v>0</v>
      </c>
      <c r="QA51" s="7">
        <f>IFERROR(AVERAGEIF('Данные 2st'!$Q$2:$Q$317,$A51,'Данные 2st'!$LE$2:$LE$317),"")</f>
        <v>0</v>
      </c>
      <c r="QB51" s="7">
        <f>IFERROR(AVERAGEIF('Данные 2st'!$Q$2:$Q$317,$A51,'Данные 2st'!$LF$2:$LF$317),"")</f>
        <v>0</v>
      </c>
      <c r="QC51" s="7">
        <f>IFERROR(AVERAGEIF('Данные 2st'!$Q$2:$Q$317,$A51,'Данные 2st'!$LG$2:$LG$317),"")</f>
        <v>0</v>
      </c>
      <c r="QD51" s="7">
        <f>IFERROR(AVERAGEIF('Данные 2st'!$Q$2:$Q$317,$A51,'Данные 2st'!$LH$2:$LH$317),"")</f>
        <v>1.5</v>
      </c>
      <c r="QE51" s="7">
        <f>IFERROR(AVERAGEIF('Данные 2st'!$Q$2:$Q$317,$A51,'Данные 2st'!$LJ$2:$LJ$317),"")</f>
        <v>0</v>
      </c>
      <c r="QF51" s="7">
        <f>IFERROR(AVERAGEIF('Данные 2st'!$Q$2:$Q$317,$A51,'Данные 2st'!$LK$2:$LK$317),"")</f>
        <v>7.25</v>
      </c>
      <c r="QG51" s="7">
        <f>IFERROR(AVERAGEIF('Данные 2st'!$Q$2:$Q$317,$A51,'Данные 2st'!$LL$2:$LL$317),"")</f>
        <v>5.25</v>
      </c>
      <c r="QH51" s="7">
        <f>IFERROR(AVERAGEIF('Данные 2st'!$Q$2:$Q$317,$A51,'Данные 2st'!$LM$2:$LM$317),"")</f>
        <v>9</v>
      </c>
      <c r="QI51" s="7">
        <f>IFERROR(AVERAGEIF('Данные 2st'!$Q$2:$Q$317,$A51,'Данные 2st'!$LN$2:$LN$317),"")</f>
        <v>0.325</v>
      </c>
      <c r="QJ51" s="7">
        <f>IFERROR(AVERAGEIF('Данные 2st'!$Q$2:$Q$317,$A51,'Данные 2st'!$LO$2:$LO$317),"")</f>
        <v>2.75</v>
      </c>
      <c r="QK51" s="7">
        <f>IFERROR(AVERAGEIF('Данные 2st'!$Q$2:$Q$317,$A51,'Данные 2st'!$LP$2:$LP$317),"")</f>
        <v>0</v>
      </c>
      <c r="QL51" s="7">
        <f>IFERROR(AVERAGEIF('Данные 2st'!$Q$2:$Q$317,$A51,'Данные 2st'!$LQ$2:$LQ$317),"")</f>
        <v>0</v>
      </c>
      <c r="QM51" s="7">
        <f>IFERROR(AVERAGEIF('Данные 2st'!$Q$2:$Q$317,$A51,'Данные 2st'!$LW$2:$LW$317),"")</f>
        <v>2.45</v>
      </c>
      <c r="QN51" s="7">
        <f>IFERROR(AVERAGEIF('Данные 2st'!$Q$2:$Q$317,$A51,'Данные 2st'!$LX$2:$LX$317),"")</f>
        <v>2.45</v>
      </c>
      <c r="QO51" s="7">
        <f>IFERROR(AVERAGEIF('Данные 2st'!$Q$2:$Q$317,$A51,'Данные 2st'!$LY$2:$LY$317),"")</f>
        <v>2.275</v>
      </c>
      <c r="QP51" s="7">
        <f>IFERROR(AVERAGEIF('Данные 2st'!$Q$2:$Q$317,$A51,'Данные 2st'!$LZ$2:$LZ$317),"")</f>
        <v>2.275</v>
      </c>
      <c r="QQ51" s="7">
        <f>IFERROR(AVERAGEIF('Данные 2st'!$Q$2:$Q$317,$A51,'Данные 2st'!$MB$2:$MB$317),"")</f>
        <v>3.8</v>
      </c>
      <c r="QR51" s="7">
        <f>IFERROR(AVERAGEIF('Данные 2st'!$Q$2:$Q$317,$A51,'Данные 2st'!$MG$2:$MG$317),"")</f>
        <v>0</v>
      </c>
      <c r="QS51" s="7">
        <f>IFERROR(AVERAGEIF('Данные 2st'!$Q$2:$Q$317,$A51,'Данные 2st'!$MH$2:$MH$317),"")</f>
        <v>0</v>
      </c>
      <c r="QT51" s="7">
        <f>IFERROR(AVERAGEIF('Данные 2st'!$Q$2:$Q$317,$A51,'Данные 2st'!$MI$2:$MI$317),"")</f>
        <v>0</v>
      </c>
      <c r="QU51" s="7">
        <f>IFERROR(AVERAGEIF('Данные 2st'!$Q$2:$Q$317,$A51,'Данные 2st'!$MJ$2:$MJ$317),"")</f>
        <v>0</v>
      </c>
      <c r="QV51" s="7">
        <f>IFERROR(AVERAGEIF('Данные 2st'!$Q$2:$Q$317,$A51,'Данные 2st'!$MK$2:$MK$317),"")</f>
        <v>0</v>
      </c>
      <c r="QW51" s="7">
        <f>IFERROR(AVERAGEIF('Данные 2st'!$Q$2:$Q$317,$A51,'Данные 2st'!$MM$2:$MM$317),"")</f>
        <v>433</v>
      </c>
      <c r="QX51" s="7">
        <f>IFERROR(AVERAGEIF('Данные 2st'!$Q$2:$Q$317,$A51,'Данные 2st'!$MQ$2:$MQ$317),"")</f>
        <v/>
      </c>
      <c r="QY51" s="7">
        <f>IFERROR(AVERAGEIF('Данные 2st'!$Q$2:$Q$317,$A51,'Данные 2st'!$MR$2:$MR$317),"")</f>
        <v/>
      </c>
      <c r="QZ51" s="7">
        <f>IFERROR(AVERAGEIF('Данные 2st'!$Q$2:$Q$317,$A51,'Данные 2st'!$MS$2:$MS$317),"")</f>
        <v/>
      </c>
      <c r="RA51" s="7">
        <f>IFERROR(AVERAGEIF('Данные 2st'!$Q$2:$Q$317,$A51,'Данные 2st'!$MT$2:$MT$317),"")</f>
        <v/>
      </c>
      <c r="RB51" s="7">
        <f>IFERROR(AVERAGEIF('Данные 2st'!$Q$2:$Q$317,$A51,'Данные 2st'!$MU$2:$MU$317),"")</f>
        <v/>
      </c>
      <c r="RC51" s="7">
        <f>IFERROR(AVERAGEIF('Данные 2st'!$Q$2:$Q$317,$A51,'Данные 2st'!$MV$2:$MV$317),"")</f>
        <v/>
      </c>
      <c r="RD51" s="7">
        <f>IFERROR(AVERAGEIF('Данные 2st'!$Q$2:$Q$317,$A51,'Данные 2st'!$MW$2:$MW$317),"")</f>
        <v/>
      </c>
      <c r="RE51" s="7">
        <f>IFERROR(AVERAGEIF('Данные 2st'!$Q$2:$Q$317,$A51,'Данные 2st'!$MX$2:$MX$317),"")</f>
        <v/>
      </c>
      <c r="RF51" s="7">
        <f>IFERROR(AVERAGEIF('Данные 2st'!$Q$2:$Q$317,$A51,'Данные 2st'!$MY$2:$MY$317),"")</f>
        <v/>
      </c>
      <c r="RG51" s="7">
        <f>IFERROR(AVERAGEIF('Данные 2st'!$Q$2:$Q$317,$A51,'Данные 2st'!$MZ$2:$MZ$317),"")</f>
        <v/>
      </c>
      <c r="RH51" s="7">
        <f>IFERROR(AVERAGEIF('Данные 2st'!$Q$2:$Q$317,$A51,'Данные 2st'!$NA$2:$NA$317),"")</f>
        <v/>
      </c>
      <c r="RI51" s="7">
        <f>IFERROR(AVERAGEIF('Данные 2st'!$Q$2:$Q$317,$A51,'Данные 2st'!$NB$2:$NB$317),"")</f>
        <v/>
      </c>
      <c r="RJ51" s="7">
        <f>IFERROR(AVERAGEIF('Данные 2st'!$Q$2:$Q$317,$A51,'Данные 2st'!$NC$2:$NC$317),"")</f>
        <v/>
      </c>
      <c r="RK51" s="7">
        <f>IFERROR(AVERAGEIF('Данные 2st'!$Q$2:$Q$317,$A51,'Данные 2st'!$ND$2:$ND$317),"")</f>
        <v/>
      </c>
      <c r="RL51" s="7">
        <f>IFERROR(AVERAGEIF('Данные 2st'!$Q$2:$Q$317,$A51,'Данные 2st'!$NE$2:$NE$317),"")</f>
        <v/>
      </c>
      <c r="RM51" s="7">
        <f>IFERROR(AVERAGEIF('Данные 2st'!$Q$2:$Q$317,$A51,'Данные 2st'!$NF$2:$NF$317),"")</f>
        <v/>
      </c>
      <c r="RN51" s="7">
        <f>IFERROR(AVERAGEIF('Данные 2st'!$Q$2:$Q$317,$A51,'Данные 2st'!$NG$2:$NG$317),"")</f>
        <v/>
      </c>
      <c r="RO51" s="7">
        <f>IFERROR(AVERAGEIF('Данные 2st'!$Q$2:$Q$317,$A51,'Данные 2st'!$NH$2:$NH$317),"")</f>
        <v/>
      </c>
      <c r="RP51" s="7">
        <f>IFERROR(AVERAGEIF('Данные 2st'!$Q$2:$Q$317,$A51,'Данные 2st'!$NJ$2:$NJ$317),"")</f>
        <v/>
      </c>
      <c r="RQ51" s="7">
        <f>IFERROR(AVERAGEIF('Данные 2st'!$Q$2:$Q$317,$A51,'Данные 2st'!$NK$2:$NK$317),"")</f>
        <v/>
      </c>
      <c r="RR51" s="7">
        <f>IFERROR(AVERAGEIF('Данные 2st'!$Q$2:$Q$317,$A51,'Данные 2st'!$NM$2:$NM$317),"")</f>
        <v/>
      </c>
      <c r="RS51" s="7">
        <f>IFERROR(AVERAGEIF('Данные 2st'!$Q$2:$Q$317,$A51,'Данные 2st'!$NN$2:$NN$317),"")</f>
        <v/>
      </c>
      <c r="RT51" s="7">
        <f>IFERROR(AVERAGEIF('Данные 2st'!$Q$2:$Q$317,$A51,'Данные 2st'!$NO$2:$NO$317),"")</f>
        <v/>
      </c>
      <c r="RU51" s="7">
        <f>IFERROR(AVERAGEIF('Данные 2st'!$Q$2:$Q$317,$A51,'Данные 2st'!$NP$2:$NP$317),"")</f>
        <v/>
      </c>
      <c r="RV51" s="7">
        <f>IFERROR(AVERAGEIF('Данные 2st'!$Q$2:$Q$317,$A51,'Данные 2st'!$NQ$2:$NQ$317),"")</f>
        <v/>
      </c>
      <c r="RW51" s="7">
        <f>IFERROR(AVERAGEIF('Данные 2st'!$Q$2:$Q$317,$A51,'Данные 2st'!$NR$2:$NR$317),"")</f>
        <v/>
      </c>
      <c r="RX51" s="7">
        <f>IFERROR(AVERAGEIF('Данные 2st'!$Q$2:$Q$317,$A51,'Данные 2st'!$NS$2:$NS$317),"")</f>
        <v/>
      </c>
      <c r="RY51" s="7">
        <f>IFERROR(AVERAGEIF('Данные 2st'!$Q$2:$Q$317,$A51,'Данные 2st'!$NT$2:$NT$317),"")</f>
        <v/>
      </c>
      <c r="RZ51" s="7">
        <f>IFERROR(AVERAGEIF('Данные 2st'!$Q$2:$Q$317,$A51,'Данные 2st'!$OK$2:$OK$317),"")</f>
        <v>61</v>
      </c>
      <c r="SA51" s="7">
        <f>IFERROR(AVERAGEIF('Данные 2st'!$Q$2:$Q$317,$A51,'Данные 2st'!$OL$2:$OL$317),"")</f>
        <v>61</v>
      </c>
      <c r="SB51" s="7">
        <f>IFERROR(AVERAGEIF('Данные 2st'!$Q$2:$Q$317,$A51,'Данные 2st'!$ON$2:$ON$317),"")</f>
        <v>1.5</v>
      </c>
      <c r="SC51" s="7">
        <f>IFERROR(AVERAGEIF('Данные 2st'!$Q$2:$Q$317,$A51,'Данные 2st'!$OO$2:$OO$317),"")</f>
        <v>2170.25</v>
      </c>
      <c r="SD51" s="7">
        <f>IFERROR(AVERAGEIF('Данные 2st'!$Q$2:$Q$317,$A51,'Данные 2st'!$OP$2:$OP$317),"")</f>
        <v>61</v>
      </c>
      <c r="SE51" s="7">
        <f>IFERROR(AVERAGEIF('Данные 2st'!$Q$2:$Q$317,$A51,'Данные 2st'!$OQ$2:$OQ$317),"")</f>
        <v>61</v>
      </c>
      <c r="SF51" s="7">
        <f>IFERROR(AVERAGEIF('Данные 2st'!$Q$2:$Q$317,$A51,'Данные 2st'!$OS$2:$OS$317),"")</f>
        <v>1.5</v>
      </c>
      <c r="SG51" s="7">
        <f>IFERROR(AVERAGEIF('Данные 2st'!$Q$2:$Q$317,$A51,'Данные 2st'!$OT$2:$OT$317),"")</f>
        <v>2184</v>
      </c>
      <c r="SH51" s="7">
        <f>IFERROR(AVERAGEIF('Данные 2st'!$Q$2:$Q$317,$A51,'Данные 2st'!$OU$2:$OU$317),"")</f>
        <v>65</v>
      </c>
      <c r="SI51" s="7">
        <f>IFERROR(AVERAGEIF('Данные 2st'!$Q$2:$Q$317,$A51,'Данные 2st'!$OV$2:$OV$317),"")</f>
        <v>65</v>
      </c>
      <c r="SJ51" s="7">
        <f>IFERROR(AVERAGEIF('Данные 2st'!$Q$2:$Q$317,$A51,'Данные 2st'!$OX$2:$OX$317),"")</f>
        <v>1.25</v>
      </c>
      <c r="SK51" s="7">
        <f>IFERROR(AVERAGEIF('Данные 2st'!$Q$2:$Q$317,$A51,'Данные 2st'!$OY$2:$OY$317),"")</f>
        <v>54449.75</v>
      </c>
      <c r="SL51" s="7">
        <f>IFERROR(AVERAGEIF('Данные 2st'!$Q$2:$Q$317,$A51,'Данные 2st'!$OZ$2:$OZ$317),"")</f>
        <v>51</v>
      </c>
      <c r="SM51" s="7">
        <f>IFERROR(AVERAGEIF('Данные 2st'!$Q$2:$Q$317,$A51,'Данные 2st'!$PA$2:$PA$317),"")</f>
        <v>51.5</v>
      </c>
      <c r="SN51" s="7">
        <f>IFERROR(AVERAGEIF('Данные 2st'!$Q$2:$Q$317,$A51,'Данные 2st'!$PC$2:$PC$317),"")</f>
        <v>1.5</v>
      </c>
      <c r="SO51" s="7">
        <f>IFERROR(AVERAGEIF('Данные 2st'!$Q$2:$Q$317,$A51,'Данные 2st'!$PD$2:$PD$317),"")</f>
        <v>2214.25</v>
      </c>
      <c r="SP51" s="7">
        <f>IFERROR(AVERAGEIF('Данные 2st'!$Q$2:$Q$317,$A51,'Данные 2st'!$PF$2:$PF$317),"")</f>
        <v>489</v>
      </c>
      <c r="SQ51" s="7">
        <f>IFERROR(AVERAGEIF('Данные 2st'!$Q$2:$Q$317,$A51,'Данные 2st'!$PG$2:$PG$317),"")</f>
        <v>35</v>
      </c>
      <c r="SR51" s="7">
        <f>IFERROR(AVERAGEIF('Данные 2st'!$Q$2:$Q$317,$A51,'Данные 2st'!$PH$2:$PH$317),"")</f>
        <v>464</v>
      </c>
      <c r="SS51" s="7">
        <f>IFERROR(AVERAGEIF('Данные 2st'!$Q$2:$Q$317,$A51,'Данные 2st'!$PI$2:$PI$317),"")</f>
        <v>0</v>
      </c>
      <c r="ST51" s="7">
        <f>IFERROR(AVERAGEIF('Данные 2st'!$Q$2:$Q$317,$A51,'Данные 2st'!$PJ$2:$PJ$317),"")</f>
        <v>90.39999999999999</v>
      </c>
      <c r="SU51" s="7">
        <f>IFERROR(AVERAGEIF('Данные 2st'!$Q$2:$Q$317,$A51,'Данные 2st'!$PK$2:$PK$317),"")</f>
        <v>2160.6666666666665</v>
      </c>
      <c r="SV51" s="7">
        <f>IFERROR(AVERAGEIF('Данные 2st'!$Q$2:$Q$317,$A51,'Данные 2st'!$PL$2:$PL$317),"")</f>
        <v>1142.7</v>
      </c>
      <c r="SW51" s="7">
        <f>IFERROR(AVERAGEIF('Данные 2st'!$Q$2:$Q$317,$A51,'Данные 2st'!$PM$2:$PM$317),"")</f>
        <v>703.4</v>
      </c>
      <c r="SX51" s="7">
        <f>IFERROR(AVERAGEIF('Данные 2st'!$Q$2:$Q$317,$A51,'Данные 2st'!$PN$2:$PN$317),"")</f>
        <v>98.95</v>
      </c>
      <c r="SY51" s="7">
        <f>IFERROR(AVERAGEIF('Данные 2st'!$Q$2:$Q$317,$A51,'Данные 2st'!$PO$2:$PO$317),"")</f>
        <v>9.15</v>
      </c>
      <c r="SZ51" s="7">
        <f>IFERROR(AVERAGEIF('Данные 2st'!$Q$2:$Q$317,$A51,'Данные 2st'!$PP$2:$PP$317),"")</f>
        <v>12</v>
      </c>
      <c r="TA51" s="7">
        <f>IFERROR(AVERAGEIF('Данные 2st'!$Q$2:$Q$317,$A51,'Данные 2st'!$PQ$2:$PQ$317),"")</f>
        <v>5</v>
      </c>
      <c r="TB51" s="7">
        <f>IFERROR(AVERAGEIF('Данные 2st'!$Q$2:$Q$317,$A51,'Данные 2st'!$PR$2:$PR$317),"")</f>
        <v>5</v>
      </c>
      <c r="TC51" s="7">
        <f>IFERROR(AVERAGEIF('Данные 2st'!$Q$2:$Q$317,$A51,'Данные 2st'!$PS$2:$PS$317),"")</f>
        <v>0</v>
      </c>
      <c r="TD51" s="7">
        <f>IFERROR(AVERAGEIF('Данные 2st'!$Q$2:$Q$317,$A51,'Данные 2st'!$PT$2:$PT$317),"")</f>
        <v>241</v>
      </c>
      <c r="TE51" s="7">
        <f>IFERROR(AVERAGEIF('Данные 2st'!$Q$2:$Q$317,$A51,'Данные 2st'!$PU$2:$PU$317),"")</f>
        <v>11.25</v>
      </c>
      <c r="TF51" s="7">
        <f>IFERROR(AVERAGEIF('Данные 2st'!$Q$2:$Q$317,$A51,'Данные 2st'!$PX$2:$PX$317),"")</f>
        <v>0</v>
      </c>
      <c r="TG51" s="7">
        <f>IFERROR(AVERAGEIF('Данные 2st'!$Q$2:$Q$317,$A51,'Данные 2st'!$PY$2:$PY$317),"")</f>
        <v>0</v>
      </c>
      <c r="TH51" s="7">
        <f>IFERROR(AVERAGEIF('Данные 2st'!$Q$2:$Q$317,$A51,'Данные 2st'!$PZ$2:$PZ$317),"")</f>
        <v>0</v>
      </c>
      <c r="TI51" s="7">
        <f>IFERROR(AVERAGEIF('Данные 2st'!$Q$2:$Q$317,$A51,'Данные 2st'!$QA$2:$QA$317),"")</f>
        <v>0</v>
      </c>
      <c r="TJ51" s="7">
        <f>IFERROR(AVERAGEIF('Данные 2st'!$Q$2:$Q$317,$A51,'Данные 2st'!$QB$2:$QB$317),"")</f>
        <v>0</v>
      </c>
      <c r="TK51" s="7">
        <f>IFERROR(AVERAGEIF('Данные 2st'!$Q$2:$Q$317,$A51,'Данные 2st'!$QC$2:$QC$317),"")</f>
        <v>0</v>
      </c>
      <c r="TL51" s="7">
        <f>IFERROR(AVERAGEIF('Данные 2st'!$Q$2:$Q$317,$A51,'Данные 2st'!$QD$2:$QD$317),"")</f>
        <v>0</v>
      </c>
      <c r="TM51" s="7">
        <f>IFERROR(AVERAGEIF('Данные 2st'!$Q$2:$Q$317,$A51,'Данные 2st'!$QE$2:$QE$317),"")</f>
        <v>-1</v>
      </c>
      <c r="TN51" s="7">
        <f>IFERROR(AVERAGEIF('Данные 2st'!$Q$2:$Q$317,$A51,'Данные 2st'!$QF$2:$QF$317),"")</f>
        <v>1</v>
      </c>
      <c r="TO51" s="7">
        <f>IFERROR(AVERAGEIF('Данные 2st'!$Q$2:$Q$317,$A51,'Данные 2st'!$QG$2:$QG$317),"")</f>
        <v>0</v>
      </c>
      <c r="TP51" s="7">
        <f>IFERROR(AVERAGEIF('Данные 2st'!$Q$2:$Q$317,$A51,'Данные 2st'!$QH$2:$QH$317),"")</f>
        <v>5</v>
      </c>
      <c r="TQ51" s="7">
        <f>IFERROR(AVERAGEIF('Данные 2st'!$Q$2:$Q$317,$A51,'Данные 2st'!$QI$2:$QI$317),"")</f>
        <v>5</v>
      </c>
      <c r="TR51" s="7">
        <f>IFERROR(AVERAGEIF('Данные 2st'!$Q$2:$Q$317,$A51,'Данные 2st'!$QJ$2:$QJ$317),"")</f>
        <v>5</v>
      </c>
      <c r="TS51" s="7">
        <f>IFERROR(AVERAGEIF('Данные 2st'!$Q$2:$Q$317,$A51,'Данные 2st'!$QK$2:$QK$317),"")</f>
        <v>205.25</v>
      </c>
      <c r="TT51" s="7">
        <f>IFERROR(AVERAGEIF('Данные 2st'!$Q$2:$Q$317,$A51,'Данные 2st'!$QL$2:$QL$317),"")</f>
        <v>455</v>
      </c>
      <c r="TU51" s="7">
        <f>IFERROR(AVERAGEIF('Данные 2st'!$Q$2:$Q$317,$A51,'Данные 2st'!$QM$2:$QM$317),"")</f>
        <v>7.5</v>
      </c>
      <c r="TV51" s="7">
        <f>IFERROR(AVERAGEIF('Данные 2st'!$Q$2:$Q$317,$A51,'Данные 2st'!$QN$2:$QN$317),"")</f>
        <v>1462.6999999999998</v>
      </c>
      <c r="TW51" s="7">
        <f>IFERROR(AVERAGEIF('Данные 2st'!$Q$2:$Q$317,$A51,'Данные 2st'!$QQ$2:$QQ$317),"")</f>
        <v>0</v>
      </c>
      <c r="TX51" s="7">
        <f>IFERROR(AVERAGEIF('Данные 2st'!$Q$2:$Q$317,$A51,'Данные 2st'!$QS$2:$QS$317),"")</f>
        <v>30</v>
      </c>
      <c r="TY51" s="7">
        <f>IFERROR(AVERAGEIF('Данные 2st'!$Q$2:$Q$317,$A51,'Данные 2st'!$QT$2:$QT$317),"")</f>
        <v>40</v>
      </c>
    </row>
    <row r="52" spans="1:545" ht="32" customHeight="1">
      <c r="A52" s="11" t="s">
        <v>1102</v>
      </c>
      <c r="B52">
        <f>COUNTIF('Данные 1st'!$S$2:$S$317,$A52)</f>
        <v>4</v>
      </c>
      <c r="C52" s="6" t="s">
        <v>5109</v>
      </c>
      <c r="D52" s="6" t="s">
        <v>513</v>
      </c>
      <c r="E52" s="6" t="s">
        <v>5125</v>
      </c>
      <c r="F52" s="6" t="s">
        <v>5170</v>
      </c>
      <c r="G52" s="7">
        <f>IFERROR(AVERAGEIF('Данные 1st'!$S$2:$S$317,$A52,'Данные 1st'!$AE$2:$AE$317),"")</f>
        <v>217.75</v>
      </c>
      <c r="H52" s="7">
        <f>IFERROR(AVERAGEIF('Данные 1st'!$S$2:$S$317,$A52,'Данные 1st'!$AF$2:$AF$317),"")</f>
        <v>1.5</v>
      </c>
      <c r="I52" s="7">
        <f>IFERROR(AVERAGEIF('Данные 1st'!$S$2:$S$317,$A52,'Данные 1st'!$AJ$2:$AJ$317),"")</f>
        <v>221.25</v>
      </c>
      <c r="J52" s="7">
        <f>IFERROR(AVERAGEIF('Данные 1st'!$S$2:$S$317,$A52,'Данные 1st'!$AL$2:$AL$317),"")</f>
        <v>1.5</v>
      </c>
      <c r="K52" s="7">
        <f>IFERROR(AVERAGEIF('Данные 1st'!$S$2:$S$317,$A52,'Данные 1st'!$AR$2:$AR$317),"")</f>
        <v>62.5</v>
      </c>
      <c r="L52" s="7">
        <f>IFERROR(AVERAGEIF('Данные 1st'!$S$2:$S$317,$A52,'Данные 1st'!$AS$2:$AS$317),"")</f>
        <v>1.5</v>
      </c>
      <c r="M52" s="7">
        <f>IFERROR(AVERAGEIF('Данные 1st'!$S$2:$S$317,$A52,'Данные 1st'!$AY$2:$AY$317),"")</f>
        <v>322.5</v>
      </c>
      <c r="N52" s="7">
        <f>IFERROR(AVERAGEIF('Данные 1st'!$S$2:$S$317,$A52,'Данные 1st'!$AZ$2:$AZ$317),"")</f>
        <v>1.5</v>
      </c>
      <c r="O52" s="7">
        <f>IFERROR(AVERAGEIF('Данные 1st'!$S$2:$S$317,$A52,'Данные 1st'!$BF$2:$BF$317),"")</f>
        <v>285.0</v>
      </c>
      <c r="P52" s="7">
        <f>IFERROR(AVERAGEIF('Данные 1st'!$S$2:$S$317,$A52,'Данные 1st'!$BG$2:$BG$317),"")</f>
        <v>1.5</v>
      </c>
      <c r="Q52" s="7">
        <f>IFERROR(AVERAGEIF('Данные 1st'!$S$2:$S$317,$A52,'Данные 1st'!$BM$2:$BM$317),"")</f>
        <v/>
      </c>
      <c r="R52" s="7">
        <f>IFERROR(AVERAGEIF('Данные 1st'!$S$2:$S$317,$A52,'Данные 1st'!$BN$2:$BN$317),"")</f>
        <v>1.5</v>
      </c>
      <c r="S52" s="7">
        <f>IFERROR(AVERAGEIF('Данные 1st'!$S$2:$S$317,$A52,'Данные 1st'!$BT$2:$BT$317),"")</f>
        <v>234.25</v>
      </c>
      <c r="T52" s="7">
        <f>IFERROR(AVERAGEIF('Данные 1st'!$S$2:$S$317,$A52,'Данные 1st'!$BU$2:$BU$317),"")</f>
        <v>0.5</v>
      </c>
      <c r="U52" s="7">
        <f>IFERROR(AVERAGEIF('Данные 1st'!$S$2:$S$317,$A52,'Данные 1st'!$BW$2:$BW$317),"")</f>
        <v>468.5</v>
      </c>
      <c r="V52" s="7">
        <f>IFERROR(AVERAGEIF('Данные 1st'!$S$2:$S$317,$A52,'Данные 1st'!$BX$2:$BX$317),"")</f>
        <v>1</v>
      </c>
      <c r="W52" s="7">
        <f>IFERROR(AVERAGEIF('Данные 1st'!$S$2:$S$317,$A52,'Данные 1st'!$BZ$2:$BZ$317),"")</f>
        <v>427.5</v>
      </c>
      <c r="X52" s="7">
        <f>IFERROR(AVERAGEIF('Данные 1st'!$S$2:$S$317,$A52,'Данные 1st'!$CA$2:$CA$317),"")</f>
        <v>552.5</v>
      </c>
      <c r="Y52" s="7">
        <f>IFERROR(AVERAGEIF('Данные 1st'!$S$2:$S$317,$A52,'Данные 1st'!$CD$2:$CD$317),"")</f>
        <v>490</v>
      </c>
      <c r="Z52" s="7">
        <f>IFERROR(AVERAGEIF('Данные 1st'!$S$2:$S$317,$A52,'Данные 1st'!$CF$2:$CF$317),"")</f>
        <v>15</v>
      </c>
      <c r="AA52" s="7">
        <f>IFERROR(AVERAGEIF('Данные 1st'!$S$2:$S$317,$A52,'Данные 1st'!$CI$2:$CI$317),"")</f>
        <v>62.5</v>
      </c>
      <c r="AB52" s="7">
        <f>IFERROR(AVERAGEIF('Данные 1st'!$S$2:$S$317,$A52,'Данные 1st'!$CJ$2:$CJ$317),"")</f>
        <v>1301</v>
      </c>
      <c r="AC52" s="7">
        <f>IFERROR(AVERAGEIF('Данные 1st'!$S$2:$S$317,$A52,'Данные 1st'!$CK$2:$CK$317),"")</f>
        <v>2</v>
      </c>
      <c r="AD52" s="7">
        <f>IFERROR(AVERAGEIF('Данные 1st'!$S$2:$S$317,$A52,'Данные 1st'!$CL$2:$CL$317),"")</f>
        <v>1395</v>
      </c>
      <c r="AE52" s="7">
        <f>IFERROR(AVERAGEIF('Данные 1st'!$S$2:$S$317,$A52,'Данные 1st'!$CM$2:$CM$317),"")</f>
        <v>2</v>
      </c>
      <c r="AF52" s="7">
        <f>IFERROR(AVERAGEIF('Данные 1st'!$S$2:$S$317,$A52,'Данные 1st'!$CT$2:$CT$317),"")</f>
        <v>442.5</v>
      </c>
      <c r="AG52" s="7">
        <f>IFERROR(AVERAGEIF('Данные 1st'!$S$2:$S$317,$A52,'Данные 1st'!$CU$2:$CU$317),"")</f>
        <v>5</v>
      </c>
      <c r="AH52" s="7">
        <f>IFERROR(AVERAGEIF('Данные 1st'!$S$2:$S$317,$A52,'Данные 1st'!$CV$2:$CV$317),"")</f>
        <v>1.2</v>
      </c>
      <c r="AI52" s="7">
        <f>IFERROR(AVERAGEIF('Данные 1st'!$S$2:$S$317,$A52,'Данные 1st'!$CW$2:$CW$317),"")</f>
        <v>1315.25</v>
      </c>
      <c r="AJ52" s="7">
        <f>IFERROR(AVERAGEIF('Данные 1st'!$S$2:$S$317,$A52,'Данные 1st'!$CX$2:$CX$317),"")</f>
        <v>824</v>
      </c>
      <c r="AK52" s="7">
        <f>IFERROR(AVERAGEIF('Данные 1st'!$S$2:$S$317,$A52,'Данные 1st'!$CZ$2:$CZ$317),"")</f>
        <v>50</v>
      </c>
      <c r="AL52" s="7">
        <f>IFERROR(AVERAGEIF('Данные 1st'!$S$2:$S$317,$A52,'Данные 1st'!$DA$2:$DA$317),"")</f>
        <v>3</v>
      </c>
      <c r="AM52" s="7">
        <f>IFERROR(AVERAGEIF('Данные 1st'!$S$2:$S$317,$A52,'Данные 1st'!$DB$2:$DB$317),"")</f>
        <v>1</v>
      </c>
      <c r="AN52" s="7">
        <f>IFERROR(AVERAGEIF('Данные 1st'!$S$2:$S$317,$A52,'Данные 1st'!$DC$2:$DC$317),"")</f>
        <v>1319</v>
      </c>
      <c r="AO52" s="7">
        <f>IFERROR(AVERAGEIF('Данные 1st'!$S$2:$S$317,$A52,'Данные 1st'!$DD$2:$DD$317),"")</f>
        <v>17.25</v>
      </c>
      <c r="AP52" s="7">
        <f>IFERROR(AVERAGEIF('Данные 1st'!$S$2:$S$317,$A52,'Данные 1st'!$DF$2:$DF$317),"")</f>
        <v>645</v>
      </c>
      <c r="AQ52" s="7">
        <f>IFERROR(AVERAGEIF('Данные 1st'!$S$2:$S$317,$A52,'Данные 1st'!$DG$2:$DG$317),"")</f>
        <v>3</v>
      </c>
      <c r="AR52" s="7">
        <f>IFERROR(AVERAGEIF('Данные 1st'!$S$2:$S$317,$A52,'Данные 1st'!$DH$2:$DH$317),"")</f>
        <v>1.18</v>
      </c>
      <c r="AS52" s="7">
        <f>IFERROR(AVERAGEIF('Данные 1st'!$S$2:$S$317,$A52,'Данные 1st'!$DI$2:$DI$317),"")</f>
        <v>1312</v>
      </c>
      <c r="AT52" s="7">
        <f>IFERROR(AVERAGEIF('Данные 1st'!$S$2:$S$317,$A52,'Данные 1st'!$DJ$2:$DJ$317),"")</f>
        <v>1325</v>
      </c>
      <c r="AU52" s="7">
        <f>IFERROR(AVERAGEIF('Данные 1st'!$S$2:$S$317,$A52,'Данные 1st'!$DL$2:$DL$317),"")</f>
        <v>570</v>
      </c>
      <c r="AV52" s="7">
        <f>IFERROR(AVERAGEIF('Данные 1st'!$S$2:$S$317,$A52,'Данные 1st'!$DM$2:$DM$317),"")</f>
        <v>3</v>
      </c>
      <c r="AW52" s="7">
        <f>IFERROR(AVERAGEIF('Данные 1st'!$S$2:$S$317,$A52,'Данные 1st'!$DN$2:$DN$317),"")</f>
        <v>1.18</v>
      </c>
      <c r="AX52" s="7">
        <f>IFERROR(AVERAGEIF('Данные 1st'!$S$2:$S$317,$A52,'Данные 1st'!$DO$2:$DO$317),"")</f>
        <v>1320.5</v>
      </c>
      <c r="AY52" s="7">
        <f>IFERROR(AVERAGEIF('Данные 1st'!$S$2:$S$317,$A52,'Данные 1st'!$DP$2:$DP$317),"")</f>
        <v>1138.25</v>
      </c>
      <c r="AZ52" s="7">
        <f>IFERROR(AVERAGEIF('Данные 1st'!$S$2:$S$317,$A52,'Данные 1st'!$DR$2:$DR$317),"")</f>
        <v/>
      </c>
      <c r="BA52" s="7">
        <f>IFERROR(AVERAGEIF('Данные 1st'!$S$2:$S$317,$A52,'Данные 1st'!$DS$2:$DS$317),"")</f>
        <v/>
      </c>
      <c r="BB52" s="7">
        <f>IFERROR(AVERAGEIF('Данные 1st'!$S$2:$S$317,$A52,'Данные 1st'!$DT$2:$DT$317),"")</f>
        <v/>
      </c>
      <c r="BC52" s="7">
        <f>IFERROR(AVERAGEIF('Данные 1st'!$S$2:$S$317,$A52,'Данные 1st'!$DU$2:$DU$317),"")</f>
        <v/>
      </c>
      <c r="BD52" s="7">
        <f>IFERROR(AVERAGEIF('Данные 1st'!$S$2:$S$317,$A52,'Данные 1st'!$DV$2:$DV$317),"")</f>
        <v/>
      </c>
      <c r="BE52" s="7">
        <f>IFERROR(AVERAGEIF('Данные 1st'!$S$2:$S$317,$A52,'Данные 1st'!$DX$2:$DX$317),"")</f>
        <v>7.5</v>
      </c>
      <c r="BF52" s="7">
        <f>IFERROR(AVERAGEIF('Данные 1st'!$S$2:$S$317,$A52,'Данные 1st'!$EA$2:$EA$317),"")</f>
        <v>1385.0</v>
      </c>
      <c r="BG52" s="7">
        <f>IFERROR(AVERAGEIF('Данные 1st'!$S$2:$S$317,$A52,'Данные 1st'!$EB$2:$EB$317),"")</f>
        <v>286</v>
      </c>
      <c r="BH52" s="7">
        <f>IFERROR(AVERAGEIF('Данные 1st'!$S$2:$S$317,$A52,'Данные 1st'!$ED$2:$ED$317),"")</f>
        <v>50</v>
      </c>
      <c r="BI52" s="7">
        <f>IFERROR(AVERAGEIF('Данные 1st'!$S$2:$S$317,$A52,'Данные 1st'!$EE$2:$EE$317),"")</f>
        <v>3</v>
      </c>
      <c r="BJ52" s="7">
        <f>IFERROR(AVERAGEIF('Данные 1st'!$S$2:$S$317,$A52,'Данные 1st'!$EG$2:$EG$317),"")</f>
        <v>1430.75</v>
      </c>
      <c r="BK52" s="7">
        <f>IFERROR(AVERAGEIF('Данные 1st'!$S$2:$S$317,$A52,'Данные 1st'!$EH$2:$EH$317),"")</f>
        <v>292.25</v>
      </c>
      <c r="BL52" s="7">
        <f>IFERROR(AVERAGEIF('Данные 1st'!$S$2:$S$317,$A52,'Данные 1st'!$EJ$2:$EJ$317),"")</f>
        <v>0</v>
      </c>
      <c r="BM52" s="7">
        <f>IFERROR(AVERAGEIF('Данные 1st'!$S$2:$S$317,$A52,'Данные 1st'!$EK$2:$EK$317),"")</f>
        <v>1</v>
      </c>
      <c r="BN52" s="7">
        <f>IFERROR(AVERAGEIF('Данные 1st'!$S$2:$S$317,$A52,'Данные 1st'!$EN$2:$EN$317),"")</f>
        <v>0</v>
      </c>
      <c r="BO52" s="7">
        <f>IFERROR(AVERAGEIF('Данные 1st'!$S$2:$S$317,$A52,'Данные 1st'!$EQ$2:$EQ$317),"")</f>
        <v>136.25</v>
      </c>
      <c r="BP52" s="7">
        <f>IFERROR(AVERAGEIF('Данные 1st'!$S$2:$S$317,$A52,'Данные 1st'!$ER$2:$ER$317),"")</f>
        <v>3</v>
      </c>
      <c r="BQ52" s="7">
        <f>IFERROR(AVERAGEIF('Данные 1st'!$S$2:$S$317,$A52,'Данные 1st'!$ES$2:$ES$317),"")</f>
        <v>6.225</v>
      </c>
      <c r="BR52" s="7">
        <f>IFERROR(AVERAGEIF('Данные 1st'!$S$2:$S$317,$A52,'Данные 1st'!$ET$2:$ET$317),"")</f>
        <v>1302.5</v>
      </c>
      <c r="BS52" s="7">
        <f>IFERROR(AVERAGEIF('Данные 1st'!$S$2:$S$317,$A52,'Данные 1st'!$EU$2:$EU$317),"")</f>
        <v>660.95</v>
      </c>
      <c r="BT52" s="7">
        <f>IFERROR(AVERAGEIF('Данные 1st'!$S$2:$S$317,$A52,'Данные 1st'!$EV$2:$EV$317),"")</f>
        <v>861.5</v>
      </c>
      <c r="BU52" s="7">
        <f>IFERROR(AVERAGEIF('Данные 1st'!$S$2:$S$317,$A52,'Данные 1st'!$EX$2:$EX$317),"")</f>
        <v>63.75</v>
      </c>
      <c r="BV52" s="7">
        <f>IFERROR(AVERAGEIF('Данные 1st'!$S$2:$S$317,$A52,'Данные 1st'!$EY$2:$EY$317),"")</f>
        <v>2</v>
      </c>
      <c r="BW52" s="7">
        <f>IFERROR(AVERAGEIF('Данные 1st'!$S$2:$S$317,$A52,'Данные 1st'!$EZ$2:$EZ$317),"")</f>
        <v>4.65</v>
      </c>
      <c r="BX52" s="7">
        <f>IFERROR(AVERAGEIF('Данные 1st'!$S$2:$S$317,$A52,'Данные 1st'!$FA$2:$FA$317),"")</f>
        <v>1302.5</v>
      </c>
      <c r="BY52" s="7">
        <f>IFERROR(AVERAGEIF('Данные 1st'!$S$2:$S$317,$A52,'Данные 1st'!$FB$2:$FB$317),"")</f>
        <v>201.275</v>
      </c>
      <c r="BZ52" s="7">
        <f>IFERROR(AVERAGEIF('Данные 1st'!$S$2:$S$317,$A52,'Данные 1st'!$FC$2:$FC$317),"")</f>
        <v>262</v>
      </c>
      <c r="CA52" s="7">
        <f>IFERROR(AVERAGEIF('Данные 1st'!$S$2:$S$317,$A52,'Данные 1st'!$FE$2:$FE$317),"")</f>
        <v>0</v>
      </c>
      <c r="CB52" s="7">
        <f>IFERROR(AVERAGEIF('Данные 1st'!$S$2:$S$317,$A52,'Данные 1st'!$FF$2:$FF$317),"")</f>
        <v>2</v>
      </c>
      <c r="CC52" s="7">
        <f>IFERROR(AVERAGEIF('Данные 1st'!$S$2:$S$317,$A52,'Данные 1st'!$FI$2:$FI$317),"")</f>
        <v>0</v>
      </c>
      <c r="CD52" s="7">
        <f>IFERROR(AVERAGEIF('Данные 1st'!$S$2:$S$317,$A52,'Данные 1st'!$FL$2:$FL$317),"")</f>
        <v>0.4</v>
      </c>
      <c r="CE52" s="7">
        <f>IFERROR(AVERAGEIF('Данные 1st'!$S$2:$S$317,$A52,'Данные 1st'!$FM$2:$FM$317),"")</f>
        <v>108.75</v>
      </c>
      <c r="CF52" s="7">
        <f>IFERROR(AVERAGEIF('Данные 1st'!$S$2:$S$317,$A52,'Данные 1st'!$FN$2:$FN$317),"")</f>
        <v>195</v>
      </c>
      <c r="CG52" s="7">
        <f>IFERROR(AVERAGEIF('Данные 1st'!$S$2:$S$317,$A52,'Данные 1st'!$FO$2:$FO$317),"")</f>
        <v>95</v>
      </c>
      <c r="CH52" s="7">
        <f>IFERROR(AVERAGEIF('Данные 1st'!$S$2:$S$317,$A52,'Данные 1st'!$FP$2:$FP$317),"")</f>
        <v>130</v>
      </c>
      <c r="CI52" s="7">
        <f>IFERROR(AVERAGEIF('Данные 1st'!$S$2:$S$317,$A52,'Данные 1st'!$FS$2:$FS$317),"")</f>
        <v>0.4</v>
      </c>
      <c r="CJ52" s="7">
        <f>IFERROR(AVERAGEIF('Данные 1st'!$S$2:$S$317,$A52,'Данные 1st'!$FT$2:$FT$317),"")</f>
        <v>42.5</v>
      </c>
      <c r="CK52" s="7">
        <f>IFERROR(AVERAGEIF('Данные 1st'!$S$2:$S$317,$A52,'Данные 1st'!$FU$2:$FU$317),"")</f>
        <v>550</v>
      </c>
      <c r="CL52" s="7">
        <f>IFERROR(AVERAGEIF('Данные 1st'!$S$2:$S$317,$A52,'Данные 1st'!$FV$2:$FV$317),"")</f>
        <v/>
      </c>
      <c r="CM52" s="7">
        <f>IFERROR(AVERAGEIF('Данные 1st'!$S$2:$S$317,$A52,'Данные 1st'!$FW$2:$FW$317),"")</f>
        <v/>
      </c>
      <c r="CN52" s="7">
        <f>IFERROR(AVERAGEIF('Данные 1st'!$S$2:$S$317,$A52,'Данные 1st'!$FZ$2:$FZ$317),"")</f>
        <v/>
      </c>
      <c r="CO52" s="7">
        <f>IFERROR(AVERAGEIF('Данные 1st'!$S$2:$S$317,$A52,'Данные 1st'!$GA$2:$GA$317),"")</f>
        <v/>
      </c>
      <c r="CP52" s="7">
        <f>IFERROR(AVERAGEIF('Данные 1st'!$S$2:$S$317,$A52,'Данные 1st'!$GB$2:$GB$317),"")</f>
        <v/>
      </c>
      <c r="CQ52" s="7">
        <f>IFERROR(AVERAGEIF('Данные 1st'!$S$2:$S$317,$A52,'Данные 1st'!$GH$2:$GH$317),"")</f>
        <v/>
      </c>
      <c r="CR52" s="7">
        <f>IFERROR(AVERAGEIF('Данные 1st'!$S$2:$S$317,$A52,'Данные 1st'!$GI$2:$GI$317),"")</f>
        <v/>
      </c>
      <c r="CS52" s="7">
        <f>IFERROR(AVERAGEIF('Данные 1st'!$S$2:$S$317,$A52,'Данные 1st'!$GJ$2:$GJ$317),"")</f>
        <v/>
      </c>
      <c r="CT52" s="7">
        <f>IFERROR(AVERAGEIF('Данные 1st'!$S$2:$S$317,$A52,'Данные 1st'!$GS$2:$GS$317),"")</f>
        <v>0.4</v>
      </c>
      <c r="CU52" s="7">
        <f>IFERROR(AVERAGEIF('Данные 1st'!$S$2:$S$317,$A52,'Данные 1st'!$GT$2:$GT$317),"")</f>
        <v>93.75</v>
      </c>
      <c r="CV52" s="7">
        <f>IFERROR(AVERAGEIF('Данные 1st'!$S$2:$S$317,$A52,'Данные 1st'!$GU$2:$GU$317),"")</f>
        <v>275</v>
      </c>
      <c r="CW52" s="7">
        <f>IFERROR(AVERAGEIF('Данные 1st'!$S$2:$S$317,$A52,'Данные 1st'!$GV$2:$GV$317),"")</f>
        <v>30</v>
      </c>
      <c r="CX52" s="7">
        <f>IFERROR(AVERAGEIF('Данные 1st'!$S$2:$S$317,$A52,'Данные 1st'!$GW$2:$GW$317),"")</f>
        <v>280</v>
      </c>
      <c r="CY52" s="7">
        <f>IFERROR(AVERAGEIF('Данные 1st'!$S$2:$S$317,$A52,'Данные 1st'!$GZ$2:$GZ$317),"")</f>
        <v/>
      </c>
      <c r="CZ52" s="7">
        <f>IFERROR(AVERAGEIF('Данные 1st'!$S$2:$S$317,$A52,'Данные 1st'!$HA$2:$HA$317),"")</f>
        <v/>
      </c>
      <c r="DA52" s="7">
        <f>IFERROR(AVERAGEIF('Данные 1st'!$S$2:$S$317,$A52,'Данные 1st'!$HB$2:$HB$317),"")</f>
        <v/>
      </c>
      <c r="DB52" s="7">
        <f>IFERROR(AVERAGEIF('Данные 1st'!$S$2:$S$317,$A52,'Данные 1st'!$HC$2:$HC$317),"")</f>
        <v>0.1</v>
      </c>
      <c r="DC52" s="7">
        <f>IFERROR(AVERAGEIF('Данные 1st'!$S$2:$S$317,$A52,'Данные 1st'!$HD$2:$HD$317),"")</f>
        <v>3</v>
      </c>
      <c r="DD52" s="7">
        <f>IFERROR(AVERAGEIF('Данные 1st'!$S$2:$S$317,$A52,'Данные 1st'!$HE$2:$HE$317),"")</f>
        <v>3</v>
      </c>
      <c r="DE52" s="7">
        <f>IFERROR(AVERAGEIF('Данные 1st'!$S$2:$S$317,$A52,'Данные 1st'!$HF$2:$HF$317),"")</f>
        <v>3</v>
      </c>
      <c r="DF52" s="7">
        <f>IFERROR(AVERAGEIF('Данные 1st'!$S$2:$S$317,$A52,'Данные 1st'!$HG$2:$HG$317),"")</f>
        <v>3</v>
      </c>
      <c r="DG52" s="7">
        <f>IFERROR(AVERAGEIF('Данные 1st'!$S$2:$S$317,$A52,'Данные 1st'!$HH$2:$HH$317),"")</f>
        <v>3</v>
      </c>
      <c r="DH52" s="7">
        <f>IFERROR(AVERAGEIF('Данные 1st'!$S$2:$S$317,$A52,'Данные 1st'!$HI$2:$HI$317),"")</f>
        <v>183.75</v>
      </c>
      <c r="DI52" s="7">
        <f>IFERROR(AVERAGEIF('Данные 1st'!$S$2:$S$317,$A52,'Данные 1st'!$HJ$2:$HJ$317),"")</f>
        <v>3</v>
      </c>
      <c r="DJ52" s="7">
        <f>IFERROR(AVERAGEIF('Данные 1st'!$S$2:$S$317,$A52,'Данные 1st'!$HK$2:$HK$317),"")</f>
        <v>47.5</v>
      </c>
      <c r="DK52" s="7">
        <f>IFERROR(AVERAGEIF('Данные 1st'!$S$2:$S$317,$A52,'Данные 1st'!$HL$2:$HL$317),"")</f>
        <v>2</v>
      </c>
      <c r="DL52" s="7">
        <f>IFERROR(AVERAGEIF('Данные 1st'!$S$2:$S$317,$A52,'Данные 1st'!$HM$2:$HM$317),"")</f>
        <v>0</v>
      </c>
      <c r="DM52" s="7">
        <f>IFERROR(AVERAGEIF('Данные 1st'!$S$2:$S$317,$A52,'Данные 1st'!$HN$2:$HN$317),"")</f>
        <v>2</v>
      </c>
      <c r="DN52" s="7">
        <f>IFERROR(AVERAGEIF('Данные 1st'!$S$2:$S$317,$A52,'Данные 1st'!$HO$2:$HO$317),"")</f>
        <v>120</v>
      </c>
      <c r="DO52" s="7">
        <f>IFERROR(AVERAGEIF('Данные 1st'!$S$2:$S$317,$A52,'Данные 1st'!$HP$2:$HP$317),"")</f>
        <v>3</v>
      </c>
      <c r="DP52" s="7">
        <f>IFERROR(AVERAGEIF('Данные 1st'!$S$2:$S$317,$A52,'Данные 1st'!$HQ$2:$HQ$317),"")</f>
        <v>0</v>
      </c>
      <c r="DQ52" s="7">
        <f>IFERROR(AVERAGEIF('Данные 1st'!$S$2:$S$317,$A52,'Данные 1st'!$HR$2:$HR$317),"")</f>
        <v>2</v>
      </c>
      <c r="DR52" s="7">
        <f>IFERROR(AVERAGEIF('Данные 1st'!$S$2:$S$317,$A52,'Данные 1st'!$HS$2:$HS$317),"")</f>
        <v>6725.25</v>
      </c>
      <c r="DS52" s="7">
        <f>IFERROR(AVERAGEIF('Данные 1st'!$S$2:$S$317,$A52,'Данные 1st'!$HT$2:$HT$317),"")</f>
        <v>202.5</v>
      </c>
      <c r="DT52" s="7">
        <f>IFERROR(AVERAGEIF('Данные 1st'!$S$2:$S$317,$A52,'Данные 1st'!$HU$2:$HU$317),"")</f>
        <v>180</v>
      </c>
      <c r="DU52" s="7">
        <f>IFERROR(AVERAGEIF('Данные 1st'!$S$2:$S$317,$A52,'Данные 1st'!$HW$2:$HW$317),"")</f>
        <v>0</v>
      </c>
      <c r="DV52" s="7">
        <f>IFERROR(AVERAGEIF('Данные 1st'!$S$2:$S$317,$A52,'Данные 1st'!$HX$2:$HX$317),"")</f>
        <v>536.5</v>
      </c>
      <c r="DW52" s="7">
        <f>IFERROR(AVERAGEIF('Данные 1st'!$S$2:$S$317,$A52,'Данные 1st'!$HY$2:$HY$317),"")</f>
        <v>0.18</v>
      </c>
      <c r="DX52" s="7">
        <f>IFERROR(AVERAGEIF('Данные 1st'!$S$2:$S$317,$A52,'Данные 1st'!$IA$2:$IA$317),"")</f>
        <v>0.15</v>
      </c>
      <c r="DY52" s="7">
        <f>IFERROR(AVERAGEIF('Данные 1st'!$S$2:$S$317,$A52,'Данные 1st'!$IB$2:$IB$317),"")</f>
        <v>0</v>
      </c>
      <c r="DZ52" s="7">
        <f>IFERROR(AVERAGEIF('Данные 1st'!$S$2:$S$317,$A52,'Данные 1st'!$IC$2:$IC$317),"")</f>
        <v>180</v>
      </c>
      <c r="EA52" s="7">
        <f>IFERROR(AVERAGEIF('Данные 1st'!$S$2:$S$317,$A52,'Данные 1st'!$ID$2:$ID$317),"")</f>
        <v>110</v>
      </c>
      <c r="EB52" s="7">
        <f>IFERROR(AVERAGEIF('Данные 1st'!$S$2:$S$317,$A52,'Данные 1st'!$IE$2:$IE$317),"")</f>
        <v>225</v>
      </c>
      <c r="EC52" s="7">
        <f>IFERROR(AVERAGEIF('Данные 1st'!$S$2:$S$317,$A52,'Данные 1st'!$IF$2:$IF$317),"")</f>
        <v>0</v>
      </c>
      <c r="ED52" s="7">
        <f>IFERROR(AVERAGEIF('Данные 1st'!$S$2:$S$317,$A52,'Данные 1st'!$IP$2:$IP$317),"")</f>
        <v>17</v>
      </c>
      <c r="EE52" s="7">
        <f>IFERROR(AVERAGEIF('Данные 1st'!$S$2:$S$317,$A52,'Данные 1st'!$IV$2:$IV$317),"")</f>
        <v>1301</v>
      </c>
      <c r="EF52" s="7">
        <f>IFERROR(AVERAGEIF('Данные 1st'!$S$2:$S$317,$A52,'Данные 1st'!$IW$2:$IW$317),"")</f>
        <v>468.5</v>
      </c>
      <c r="EG52" s="7">
        <f>IFERROR(AVERAGEIF('Данные 1st'!$S$2:$S$317,$A52,'Данные 1st'!$IX$2:$IX$317),"")</f>
        <v/>
      </c>
      <c r="EH52" s="7">
        <f>IFERROR(AVERAGEIF('Данные 1st'!$S$2:$S$317,$A52,'Данные 1st'!$IY$2:$IY$317),"")</f>
        <v/>
      </c>
      <c r="EI52" s="7">
        <f>IFERROR(AVERAGEIF('Данные 1st'!$S$2:$S$317,$A52,'Данные 1st'!$JD$2:$JD$317),"")</f>
        <v>1315.25</v>
      </c>
      <c r="EJ52" s="7">
        <f>IFERROR(AVERAGEIF('Данные 1st'!$S$2:$S$317,$A52,'Данные 1st'!$JE$2:$JE$317),"")</f>
        <v>1312</v>
      </c>
      <c r="EK52" s="7">
        <f>IFERROR(AVERAGEIF('Данные 1st'!$S$2:$S$317,$A52,'Данные 1st'!$JF$2:$JF$317),"")</f>
        <v>1320.5</v>
      </c>
      <c r="EL52" s="7">
        <f>IFERROR(AVERAGEIF('Данные 1st'!$S$2:$S$317,$A52,'Данные 1st'!$JG$2:$JG$317),"")</f>
        <v>1302.5</v>
      </c>
      <c r="EM52" s="7">
        <f>IFERROR(AVERAGEIF('Данные 1st'!$S$2:$S$317,$A52,'Данные 1st'!$JH$2:$JH$317),"")</f>
        <v>0</v>
      </c>
      <c r="EN52" s="7">
        <f>IFERROR(AVERAGEIF('Данные 1st'!$S$2:$S$317,$A52,'Данные 1st'!$JJ$2:$JJ$317),"")</f>
        <v>180</v>
      </c>
      <c r="EO52" s="7">
        <f>IFERROR(AVERAGEIF('Данные 1st'!$S$2:$S$317,$A52,'Данные 1st'!$JK$2:$JK$317),"")</f>
        <v>536.5</v>
      </c>
      <c r="EP52" s="7">
        <f>IFERROR(AVERAGEIF('Данные 1st'!$S$2:$S$317,$A52,'Данные 1st'!$JL$2:$JL$317),"")</f>
        <v/>
      </c>
      <c r="EQ52" s="7">
        <f>IFERROR(AVERAGEIF('Данные 1st'!$S$2:$S$317,$A52,'Данные 1st'!$JM$2:$JM$317),"")</f>
        <v/>
      </c>
      <c r="ER52" s="7">
        <f>IFERROR(AVERAGEIF('Данные 1st'!$S$2:$S$317,$A52,'Данные 1st'!$JN$2:$JN$317),"")</f>
        <v>442.5</v>
      </c>
      <c r="ES52" s="7">
        <f>IFERROR(AVERAGEIF('Данные 1st'!$S$2:$S$317,$A52,'Данные 1st'!$JO$2:$JO$317),"")</f>
        <v>645</v>
      </c>
      <c r="ET52" s="7">
        <f>IFERROR(AVERAGEIF('Данные 1st'!$S$2:$S$317,$A52,'Данные 1st'!$JP$2:$JP$317),"")</f>
        <v>570</v>
      </c>
      <c r="EU52" s="7">
        <f>IFERROR(AVERAGEIF('Данные 1st'!$S$2:$S$317,$A52,'Данные 1st'!$JQ$2:$JQ$317),"")</f>
        <v>0</v>
      </c>
      <c r="EV52" s="7">
        <f>IFERROR(AVERAGEIF('Данные 1st'!$S$2:$S$317,$A52,'Данные 1st'!$JR$2:$JR$317),"")</f>
        <v>435.5</v>
      </c>
      <c r="EW52" s="7">
        <f>IFERROR(AVERAGEIF('Данные 1st'!$S$2:$S$317,$A52,'Данные 1st'!$JS$2:$JS$317),"")</f>
        <v>183.75</v>
      </c>
      <c r="EX52" s="7">
        <f>IFERROR(AVERAGEIF('Данные 1st'!$S$2:$S$317,$A52,'Данные 1st'!$JT$2:$JT$317),"")</f>
        <v/>
      </c>
      <c r="EY52" s="7">
        <f>IFERROR(AVERAGEIF('Данные 1st'!$S$2:$S$317,$A52,'Данные 1st'!$JU$2:$JU$317),"")</f>
        <v/>
      </c>
      <c r="EZ52" s="7">
        <f>IFERROR(AVERAGEIF('Данные 1st'!$S$2:$S$317,$A52,'Данные 1st'!$JV$2:$JV$317),"")</f>
        <v>8</v>
      </c>
      <c r="FA52" s="7">
        <f>IFERROR(AVERAGEIF('Данные 1st'!$S$2:$S$317,$A52,'Данные 1st'!$JW$2:$JW$317),"")</f>
        <v/>
      </c>
      <c r="FB52" s="7">
        <f>IFERROR(AVERAGEIF('Данные 1st'!$S$2:$S$317,$A52,'Данные 1st'!$JX$2:$JX$317),"")</f>
        <v>125</v>
      </c>
      <c r="FC52" s="7">
        <f>IFERROR(AVERAGEIF('Данные 1st'!$S$2:$S$317,$A52,'Данные 1st'!$JY$2:$JY$317),"")</f>
        <v/>
      </c>
      <c r="FD52" s="7">
        <f>IFERROR(AVERAGEIF('Данные 1st'!$S$2:$S$317,$A52,'Данные 1st'!$JZ$2:$JZ$317),"")</f>
        <v/>
      </c>
      <c r="FE52" s="7">
        <f>IFERROR(AVERAGEIF('Данные 1st'!$S$2:$S$317,$A52,'Данные 1st'!$KA$2:$KA$317),"")</f>
        <v>225</v>
      </c>
      <c r="FF52" s="7">
        <f>IFERROR(AVERAGEIF('Данные 1st'!$S$2:$S$317,$A52,'Данные 1st'!$KB$2:$KB$317),"")</f>
        <v>110</v>
      </c>
      <c r="FG52" s="7">
        <f>IFERROR(AVERAGEIF('Данные 1st'!$S$2:$S$317,$A52,'Данные 1st'!$KC$2:$KC$317),"")</f>
        <v>0</v>
      </c>
      <c r="FH52" s="7">
        <f>IFERROR(AVERAGEIF('Данные 1st'!$S$2:$S$317,$A52,'Данные 1st'!$KD$2:$KD$317),"")</f>
        <v>80</v>
      </c>
      <c r="FI52" s="7">
        <f>IFERROR(AVERAGEIF('Данные 1st'!$S$2:$S$317,$A52,'Данные 1st'!$KE$2:$KE$317),"")</f>
        <v/>
      </c>
      <c r="FJ52" s="7">
        <f>IFERROR(AVERAGEIF('Данные 1st'!$S$2:$S$317,$A52,'Данные 1st'!$KF$2:$KF$317),"")</f>
        <v>4</v>
      </c>
      <c r="FK52" s="7">
        <f>IFERROR(AVERAGEIF('Данные 1st'!$S$2:$S$317,$A52,'Данные 1st'!$KG$2:$KG$317),"")</f>
        <v>3</v>
      </c>
      <c r="FL52" s="7">
        <f>IFERROR(AVERAGEIF('Данные 1st'!$S$2:$S$317,$A52,'Данные 1st'!$KH$2:$KH$317),"")</f>
        <v>2</v>
      </c>
      <c r="FM52" s="7">
        <f>IFERROR(AVERAGEIF('Данные 1st'!$S$2:$S$317,$A52,'Данные 1st'!$KI$2:$KI$317),"")</f>
        <v>2</v>
      </c>
      <c r="FN52" s="7">
        <f>IFERROR(AVERAGEIF('Данные 1st'!$S$2:$S$317,$A52,'Данные 1st'!$KJ$2:$KJ$317),"")</f>
        <v>0</v>
      </c>
      <c r="FO52" s="7">
        <f>IFERROR(AVERAGEIF('Данные 1st'!$S$2:$S$317,$A52,'Данные 1st'!$KK$2:$KK$317),"")</f>
        <v>1.5</v>
      </c>
      <c r="FP52" s="7">
        <f>IFERROR(AVERAGEIF('Данные 1st'!$S$2:$S$317,$A52,'Данные 1st'!$KL$2:$KL$317),"")</f>
        <v>1.5</v>
      </c>
      <c r="FQ52" s="7">
        <f>IFERROR(AVERAGEIF('Данные 1st'!$S$2:$S$317,$A52,'Данные 1st'!$KM$2:$KM$317),"")</f>
        <v>0</v>
      </c>
      <c r="FR52" s="7">
        <f>IFERROR(AVERAGEIF('Данные 1st'!$S$2:$S$317,$A52,'Данные 1st'!$KN$2:$KN$317),"")</f>
        <v>0</v>
      </c>
      <c r="FS52" s="7">
        <f>IFERROR(AVERAGEIF('Данные 1st'!$S$2:$S$317,$A52,'Данные 1st'!$KR$2:$KR$317),"")</f>
        <v>27.5</v>
      </c>
      <c r="FT52" s="7">
        <f>IFERROR(AVERAGEIF('Данные 1st'!$S$2:$S$317,$A52,'Данные 1st'!$KS$2:$KS$317),"")</f>
        <v>60</v>
      </c>
      <c r="FU52" s="7">
        <f>IFERROR(AVERAGEIF('Данные 1st'!$S$2:$S$317,$A52,'Данные 1st'!$KT$2:$KT$317),"")</f>
        <v>0</v>
      </c>
      <c r="FV52" s="7">
        <f>IFERROR(AVERAGEIF('Данные 1st'!$S$2:$S$317,$A52,'Данные 1st'!$KV$2:$KV$317),"")</f>
        <v/>
      </c>
      <c r="FW52" s="7">
        <f>IFERROR(AVERAGEIF('Данные 1st'!$S$2:$S$317,$A52,'Данные 1st'!$KW$2:$KW$317),"")</f>
        <v/>
      </c>
      <c r="FX52" s="7">
        <f>IFERROR(AVERAGEIF('Данные 1st'!$S$2:$S$317,$A52,'Данные 1st'!$KX$2:$KX$317),"")</f>
        <v/>
      </c>
      <c r="FY52" s="7">
        <f>IFERROR(AVERAGEIF('Данные 1st'!$S$2:$S$317,$A52,'Данные 1st'!$KY$2:$KY$317),"")</f>
        <v/>
      </c>
      <c r="FZ52" s="7">
        <f>IFERROR(AVERAGEIF('Данные 1st'!$S$2:$S$317,$A52,'Данные 1st'!$KZ$2:$KZ$317),"")</f>
        <v/>
      </c>
      <c r="GA52" s="7">
        <f>IFERROR(AVERAGEIF('Данные 1st'!$S$2:$S$317,$A52,'Данные 1st'!$LA$2:$LA$317),"")</f>
        <v/>
      </c>
      <c r="GB52" s="7">
        <f>IFERROR(AVERAGEIF('Данные 1st'!$S$2:$S$317,$A52,'Данные 1st'!$LB$2:$LB$317),"")</f>
        <v/>
      </c>
      <c r="GC52" s="7">
        <f>IFERROR(AVERAGEIF('Данные 1st'!$S$2:$S$317,$A52,'Данные 1st'!$LC$2:$LC$317),"")</f>
        <v/>
      </c>
      <c r="GD52" s="7">
        <f>IFERROR(AVERAGEIF('Данные 1st'!$S$2:$S$317,$A52,'Данные 1st'!$LD$2:$LD$317),"")</f>
        <v/>
      </c>
      <c r="GE52" s="7">
        <f>IFERROR(AVERAGEIF('Данные 1st'!$S$2:$S$317,$A52,'Данные 1st'!$LE$2:$LE$317),"")</f>
        <v/>
      </c>
      <c r="GF52" s="7">
        <f>IFERROR(AVERAGEIF('Данные 1st'!$S$2:$S$317,$A52,'Данные 1st'!$LF$2:$LF$317),"")</f>
        <v/>
      </c>
      <c r="GG52" s="7">
        <f>IFERROR(AVERAGEIF('Данные 1st'!$S$2:$S$317,$A52,'Данные 1st'!$LG$2:$LG$317),"")</f>
        <v/>
      </c>
      <c r="GH52" s="7">
        <f>IFERROR(AVERAGEIF('Данные 1st'!$S$2:$S$317,$A52,'Данные 1st'!$LH$2:$LH$317),"")</f>
        <v/>
      </c>
      <c r="GI52" s="7">
        <f>IFERROR(AVERAGEIF('Данные 1st'!$S$2:$S$317,$A52,'Данные 1st'!$LI$2:$LI$317),"")</f>
        <v/>
      </c>
      <c r="GJ52" s="7">
        <f>IFERROR(AVERAGEIF('Данные 1st'!$S$2:$S$317,$A52,'Данные 1st'!$LJ$2:$LJ$317),"")</f>
        <v/>
      </c>
      <c r="GK52" s="7">
        <f>IFERROR(AVERAGEIF('Данные 1st'!$S$2:$S$317,$A52,'Данные 1st'!$LK$2:$LK$317),"")</f>
        <v>480</v>
      </c>
      <c r="GL52" s="7">
        <f>IFERROR(AVERAGEIF('Данные 1st'!$S$2:$S$317,$A52,'Данные 1st'!$LV$2:$LV$317),"")</f>
        <v/>
      </c>
      <c r="GM52" s="7">
        <f>IFERROR(AVERAGEIF('Данные 1st'!$S$2:$S$317,$A52,'Данные 1st'!$LW$2:$LW$317),"")</f>
        <v/>
      </c>
      <c r="GN52" s="7">
        <f>IFERROR(AVERAGEIF('Данные 1st'!$S$2:$S$317,$A52,'Данные 1st'!$LX$2:$LX$317),"")</f>
        <v/>
      </c>
      <c r="GO52" s="7">
        <f>IFERROR(AVERAGEIF('Данные 1st'!$S$2:$S$317,$A52,'Данные 1st'!$LY$2:$LY$317),"")</f>
        <v/>
      </c>
      <c r="GP52" s="7">
        <f>IFERROR(AVERAGEIF('Данные 1st'!$S$2:$S$317,$A52,'Данные 1st'!$LZ$2:$LZ$317),"")</f>
        <v/>
      </c>
      <c r="GQ52" s="7">
        <f>IFERROR(AVERAGEIF('Данные 1st'!$S$2:$S$317,$A52,'Данные 1st'!$PG$2:$PG$317),"")</f>
        <v>1</v>
      </c>
      <c r="GR52" s="7">
        <f>IFERROR(AVERAGEIF('Данные 1st'!$S$2:$S$317,$A52,'Данные 1st'!$PX$2:$PX$317),"")</f>
        <v>56</v>
      </c>
      <c r="GS52" s="7">
        <f>IFERROR(AVERAGEIF('Данные 1st'!$S$2:$S$317,$A52,'Данные 1st'!$PY$2:$PY$317),"")</f>
        <v>56.75</v>
      </c>
      <c r="GT52" s="7">
        <f>IFERROR(AVERAGEIF('Данные 1st'!$S$2:$S$317,$A52,'Данные 1st'!$QA$2:$QA$317),"")</f>
        <v>2.25</v>
      </c>
      <c r="GU52" s="7">
        <f>IFERROR(AVERAGEIF('Данные 1st'!$S$2:$S$317,$A52,'Данные 1st'!$QB$2:$QB$317),"")</f>
        <v>1302.5</v>
      </c>
      <c r="GV52" s="7">
        <f>IFERROR(AVERAGEIF('Данные 1st'!$S$2:$S$317,$A52,'Данные 1st'!$QC$2:$QC$317),"")</f>
        <v>69</v>
      </c>
      <c r="GW52" s="7">
        <f>IFERROR(AVERAGEIF('Данные 1st'!$S$2:$S$317,$A52,'Данные 1st'!$QD$2:$QD$317),"")</f>
        <v>69</v>
      </c>
      <c r="GX52" s="7">
        <f>IFERROR(AVERAGEIF('Данные 1st'!$S$2:$S$317,$A52,'Данные 1st'!$QF$2:$QF$317),"")</f>
        <v>1</v>
      </c>
      <c r="GY52" s="7">
        <f>IFERROR(AVERAGEIF('Данные 1st'!$S$2:$S$317,$A52,'Данные 1st'!$QG$2:$QG$317),"")</f>
        <v>1315.25</v>
      </c>
      <c r="GZ52" s="7">
        <f>IFERROR(AVERAGEIF('Данные 1st'!$S$2:$S$317,$A52,'Данные 1st'!$QH$2:$QH$317),"")</f>
        <v>66</v>
      </c>
      <c r="HA52" s="7">
        <f>IFERROR(AVERAGEIF('Данные 1st'!$S$2:$S$317,$A52,'Данные 1st'!$QI$2:$QI$317),"")</f>
        <v>66</v>
      </c>
      <c r="HB52" s="7">
        <f>IFERROR(AVERAGEIF('Данные 1st'!$S$2:$S$317,$A52,'Данные 1st'!$QK$2:$QK$317),"")</f>
        <v>1</v>
      </c>
      <c r="HC52" s="7">
        <f>IFERROR(AVERAGEIF('Данные 1st'!$S$2:$S$317,$A52,'Данные 1st'!$QL$2:$QL$317),"")</f>
        <v>329.75</v>
      </c>
      <c r="HD52" s="7">
        <f>IFERROR(AVERAGEIF('Данные 1st'!$S$2:$S$317,$A52,'Данные 1st'!$QM$2:$QM$317),"")</f>
        <v>62</v>
      </c>
      <c r="HE52" s="7">
        <f>IFERROR(AVERAGEIF('Данные 1st'!$S$2:$S$317,$A52,'Данные 1st'!$QN$2:$QN$317),"")</f>
        <v>62</v>
      </c>
      <c r="HF52" s="7">
        <f>IFERROR(AVERAGEIF('Данные 1st'!$S$2:$S$317,$A52,'Данные 1st'!$QP$2:$QP$317),"")</f>
        <v>1</v>
      </c>
      <c r="HG52" s="7">
        <f>IFERROR(AVERAGEIF('Данные 1st'!$S$2:$S$317,$A52,'Данные 1st'!$QQ$2:$QQ$317),"")</f>
        <v>1312</v>
      </c>
      <c r="HH52" s="7">
        <f>IFERROR(AVERAGEIF('Данные 1st'!$S$2:$S$317,$A52,'Данные 1st'!$QR$2:$QR$317),"")</f>
        <v>62</v>
      </c>
      <c r="HI52" s="7">
        <f>IFERROR(AVERAGEIF('Данные 1st'!$S$2:$S$317,$A52,'Данные 1st'!$QS$2:$QS$317),"")</f>
        <v>62</v>
      </c>
      <c r="HJ52" s="7">
        <f>IFERROR(AVERAGEIF('Данные 1st'!$S$2:$S$317,$A52,'Данные 1st'!$QU$2:$QU$317),"")</f>
        <v>1</v>
      </c>
      <c r="HK52" s="7">
        <f>IFERROR(AVERAGEIF('Данные 1st'!$S$2:$S$317,$A52,'Данные 1st'!$QV$2:$QV$317),"")</f>
        <v>1320.5</v>
      </c>
      <c r="HL52" s="7">
        <f>IFERROR(AVERAGEIF('Данные 1st'!$S$2:$S$317,$A52,'Данные 1st'!$QW$2:$QW$317),"")</f>
        <v>82</v>
      </c>
      <c r="HM52" s="7">
        <f>IFERROR(AVERAGEIF('Данные 1st'!$S$2:$S$317,$A52,'Данные 1st'!$QX$2:$QX$317),"")</f>
        <v>88.5</v>
      </c>
      <c r="HN52" s="7">
        <f>IFERROR(AVERAGEIF('Данные 1st'!$S$2:$S$317,$A52,'Данные 1st'!$QZ$2:$QZ$317),"")</f>
        <v>1.5</v>
      </c>
      <c r="HO52" s="7">
        <f>IFERROR(AVERAGEIF('Данные 1st'!$S$2:$S$317,$A52,'Данные 1st'!$RA$2:$RA$317),"")</f>
        <v>66</v>
      </c>
      <c r="HP52" s="7">
        <f>IFERROR(AVERAGEIF('Данные 1st'!$S$2:$S$317,$A52,'Данные 1st'!$RB$2:$RB$317),"")</f>
        <v>66</v>
      </c>
      <c r="HQ52" s="7">
        <f>IFERROR(AVERAGEIF('Данные 1st'!$S$2:$S$317,$A52,'Данные 1st'!$RD$2:$RD$317),"")</f>
        <v/>
      </c>
      <c r="HR52" s="7">
        <f>IFERROR(AVERAGEIF('Данные 1st'!$S$2:$S$317,$A52,'Данные 1st'!$RE$2:$RE$317),"")</f>
        <v>0</v>
      </c>
      <c r="HS52" s="7">
        <f>IFERROR(AVERAGEIF('Данные 1st'!$S$2:$S$317,$A52,'Данные 1st'!$RF$2:$RF$317),"")</f>
        <v>1</v>
      </c>
      <c r="HT52" s="7">
        <f>IFERROR(AVERAGEIF('Данные 1st'!$S$2:$S$317,$A52,'Данные 1st'!$RG$2:$RG$317),"")</f>
        <v/>
      </c>
      <c r="HU52" s="7">
        <f>IFERROR(AVERAGEIF('Данные 1st'!$S$2:$S$317,$A52,'Данные 1st'!$RH$2:$RH$317),"")</f>
        <v>1</v>
      </c>
      <c r="HV52" s="7">
        <f>IFERROR(AVERAGEIF('Данные 1st'!$S$2:$S$317,$A52,'Данные 1st'!$RI$2:$RI$317),"")</f>
        <v/>
      </c>
      <c r="HW52" s="7">
        <f>IFERROR(AVERAGEIF('Данные 1st'!$S$2:$S$317,$A52,'Данные 1st'!$RJ$2:$RJ$317),"")</f>
        <v>1.25</v>
      </c>
      <c r="HX52" s="7">
        <f>IFERROR(AVERAGEIF('Данные 1st'!$S$2:$S$317,$A52,'Данные 1st'!$RK$2:$RK$317),"")</f>
        <v>2</v>
      </c>
      <c r="HY52" s="7">
        <f>IFERROR(AVERAGEIF('Данные 1st'!$S$2:$S$317,$A52,'Данные 1st'!$RL$2:$RL$317),"")</f>
        <v>1.75</v>
      </c>
      <c r="HZ52" s="7">
        <f>IFERROR(AVERAGEIF('Данные 1st'!$S$2:$S$317,$A52,'Данные 1st'!$RM$2:$RM$317),"")</f>
        <v>1.75</v>
      </c>
      <c r="IA52" s="7">
        <f>IFERROR(AVERAGEIF('Данные 1st'!$S$2:$S$317,$A52,'Данные 1st'!$RN$2:$RN$317),"")</f>
        <v/>
      </c>
      <c r="IB52" s="7">
        <f>IFERROR(AVERAGEIF('Данные 1st'!$S$2:$S$317,$A52,'Данные 1st'!$RO$2:$RO$317),"")</f>
        <v>626.5</v>
      </c>
      <c r="IC52" s="7">
        <f>IFERROR(AVERAGEIF('Данные 1st'!$S$2:$S$317,$A52,'Данные 1st'!$RP$2:$RP$317),"")</f>
        <v>105</v>
      </c>
      <c r="ID52" s="7">
        <f>IFERROR(AVERAGEIF('Данные 1st'!$S$2:$S$317,$A52,'Данные 1st'!$RQ$2:$RQ$317),"")</f>
        <v>1009.75</v>
      </c>
      <c r="IE52" s="7">
        <f>IFERROR(AVERAGEIF('Данные 1st'!$S$2:$S$317,$A52,'Данные 1st'!$RR$2:$RR$317),"")</f>
        <v>861.75</v>
      </c>
      <c r="IF52" s="7">
        <f>IFERROR(AVERAGEIF('Данные 1st'!$S$2:$S$317,$A52,'Данные 1st'!$RS$2:$RS$317),"")</f>
        <v/>
      </c>
      <c r="IG52" s="7">
        <f>IFERROR(AVERAGEIF('Данные 1st'!$S$2:$S$317,$A52,'Данные 1st'!$RT$2:$RT$317),"")</f>
        <v>286</v>
      </c>
      <c r="IH52" s="7">
        <f>IFERROR(AVERAGEIF('Данные 1st'!$S$2:$S$317,$A52,'Данные 1st'!$RU$2:$RU$317),"")</f>
        <v>292.25</v>
      </c>
      <c r="II52" s="7">
        <f>IFERROR(AVERAGEIF('Данные 1st'!$S$2:$S$317,$A52,'Данные 1st'!$RX$2:$RX$317),"")</f>
        <v>15</v>
      </c>
      <c r="IJ52" s="7">
        <f>IFERROR(AVERAGEIF('Данные 1st'!$S$2:$S$317,$A52,'Данные 1st'!$RY$2:$RY$317),"")</f>
        <v>4</v>
      </c>
      <c r="IK52" s="7">
        <f>IFERROR(AVERAGEIF('Данные 1st'!$S$2:$S$317,$A52,'Данные 1st'!$SA$2:$SA$317),"")</f>
        <v>15</v>
      </c>
      <c r="IL52" s="7">
        <f>IFERROR(AVERAGEIF('Данные 1st'!$S$2:$S$317,$A52,'Данные 1st'!$SD$2:$SD$317),"")</f>
        <v>1</v>
      </c>
      <c r="IM52" s="7">
        <f>IFERROR(AVERAGEIF('Данные 1st'!$S$2:$S$317,$A52,'Данные 1st'!$SG$2:$SG$317),"")</f>
        <v>1</v>
      </c>
      <c r="IN52" s="7">
        <f>IFERROR(AVERAGEIF('Данные 1st'!$S$2:$S$317,$A52,'Данные 1st'!$SH$2:$SH$317),"")</f>
        <v>0.995</v>
      </c>
      <c r="IO52" s="7">
        <f>IFERROR(AVERAGEIF('Данные 1st'!$S$2:$S$317,$A52,'Данные 1st'!$SI$2:$SI$317),"")</f>
        <v>0.995</v>
      </c>
      <c r="IP52" s="7">
        <f>IFERROR(AVERAGEIF('Данные 1st'!$S$2:$S$317,$A52,'Данные 1st'!$SJ$2:$SJ$317),"")</f>
        <v>0.995</v>
      </c>
      <c r="IQ52" s="7">
        <f>IFERROR(AVERAGEIF('Данные 1st'!$S$2:$S$317,$A52,'Данные 1st'!$SK$2:$SK$317),"")</f>
        <v>15</v>
      </c>
      <c r="IR52" s="7">
        <f>IFERROR(AVERAGEIF('Данные 1st'!$S$2:$S$317,$A52,'Данные 1st'!$SL$2:$SL$317),"")</f>
        <v>0</v>
      </c>
      <c r="IS52" s="7">
        <f>IFERROR(AVERAGEIF('Данные 1st'!$S$2:$S$317,$A52,'Данные 1st'!$SM$2:$SM$317),"")</f>
        <v>0</v>
      </c>
      <c r="IT52" s="7">
        <f>IFERROR(AVERAGEIF('Данные 1st'!$S$2:$S$317,$A52,'Данные 1st'!$SN$2:$SN$317),"")</f>
        <v>0</v>
      </c>
      <c r="IU52" s="7">
        <f>IFERROR(AVERAGEIF('Данные 1st'!$S$2:$S$317,$A52,'Данные 1st'!$SO$2:$SO$317),"")</f>
        <v>0</v>
      </c>
      <c r="IV52" s="7">
        <f>IFERROR(AVERAGEIF('Данные 1st'!$S$2:$S$317,$A52,'Данные 1st'!$SP$2:$SP$317),"")</f>
        <v>0</v>
      </c>
      <c r="IW52" s="7">
        <f>IFERROR(AVERAGEIF('Данные 1st'!$S$2:$S$317,$A52,'Данные 1st'!$SQ$2:$SQ$317),"")</f>
        <v>0</v>
      </c>
      <c r="IX52" s="7">
        <f>IFERROR(AVERAGEIF('Данные 1st'!$S$2:$S$317,$A52,'Данные 1st'!$SR$2:$SR$317),"")</f>
        <v>0</v>
      </c>
      <c r="IY52" s="7">
        <f>IFERROR(AVERAGEIF('Данные 1st'!$S$2:$S$317,$A52,'Данные 1st'!$SS$2:$SS$317),"")</f>
        <v>0</v>
      </c>
      <c r="IZ52" s="7">
        <f>IFERROR(AVERAGEIF('Данные 1st'!$S$2:$S$317,$A52,'Данные 1st'!$ST$2:$ST$317),"")</f>
        <v>0</v>
      </c>
      <c r="JA52" s="7">
        <f>IFERROR(AVERAGEIF('Данные 1st'!$S$2:$S$317,$A52,'Данные 1st'!$SU$2:$SU$317),"")</f>
        <v>0</v>
      </c>
      <c r="JB52" s="7">
        <f>IFERROR(AVERAGEIF('Данные 1st'!$S$2:$S$317,$A52,'Данные 1st'!$SV$2:$SV$317),"")</f>
        <v>0</v>
      </c>
      <c r="JC52" s="7">
        <f>IFERROR(AVERAGEIF('Данные 1st'!$S$2:$S$317,$A52,'Данные 1st'!$SW$2:$SW$317),"")</f>
        <v>0</v>
      </c>
      <c r="JD52" s="7">
        <f>IFERROR(AVERAGEIF('Данные 1st'!$S$2:$S$317,$A52,'Данные 1st'!$SX$2:$SX$317),"")</f>
        <v>0</v>
      </c>
      <c r="JE52" s="7">
        <f>IFERROR(AVERAGEIF('Данные 1st'!$S$2:$S$317,$A52,'Данные 1st'!$SY$2:$SY$317),"")</f>
        <v>1</v>
      </c>
      <c r="JF52" s="7">
        <f>IFERROR(AVERAGEIF('Данные 1st'!$S$2:$S$317,$A52,'Данные 1st'!$SZ$2:$SZ$317),"")</f>
        <v>1</v>
      </c>
      <c r="JG52" s="7">
        <f>IFERROR(AVERAGEIF('Данные 1st'!$S$2:$S$317,$A52,'Данные 1st'!$TA$2:$TA$317),"")</f>
        <v/>
      </c>
      <c r="JH52" s="7">
        <f>IFERROR(AVERAGEIF('Данные 1st'!$S$2:$S$317,$A52,'Данные 1st'!$TB$2:$TB$317),"")</f>
        <v>0</v>
      </c>
      <c r="JI52" s="7">
        <f>IFERROR(AVERAGEIF('Данные 1st'!$S$2:$S$317,$A52,'Данные 1st'!$TC$2:$TC$317),"")</f>
        <v>0</v>
      </c>
      <c r="JJ52" s="7">
        <f>IFERROR(AVERAGEIF('Данные 1st'!$S$2:$S$317,$A52,'Данные 1st'!$TD$2:$TD$317),"")</f>
        <v>7.5</v>
      </c>
      <c r="JK52" s="7">
        <f>IFERROR(AVERAGEIF('Данные 1st'!$S$2:$S$317,$A52,'Данные 1st'!$TN$2:$TN$317),"")</f>
        <v>0</v>
      </c>
      <c r="JL52">
        <f>COUNTIF('Данные 2st'!$Q$2:$Q$317,$A52)</f>
        <v>4</v>
      </c>
      <c r="JM52" s="6" t="s">
        <v>5109</v>
      </c>
      <c r="JN52" s="6" t="s">
        <v>513</v>
      </c>
      <c r="JO52" s="6" t="s">
        <v>5125</v>
      </c>
      <c r="JP52" s="6" t="s">
        <v>5505</v>
      </c>
      <c r="JQ52" s="7">
        <f>IFERROR(AVERAGEIF('Данные 2st'!$Q$2:$Q$317,$A52,'Данные 2st'!$AC$2:$AC$317),"")</f>
        <v>10.25</v>
      </c>
      <c r="JR52" s="7">
        <f>IFERROR(AVERAGEIF('Данные 2st'!$Q$2:$Q$317,$A52,'Данные 2st'!$AF$2:$AF$317),"")</f>
        <v>6725.25</v>
      </c>
      <c r="JS52" s="7">
        <f>IFERROR(AVERAGEIF('Данные 2st'!$Q$2:$Q$317,$A52,'Данные 2st'!$AW$2:$AW$317),"")</f>
        <v>6.4</v>
      </c>
      <c r="JT52" s="7">
        <f>IFERROR(AVERAGEIF('Данные 2st'!$Q$2:$Q$317,$A52,'Данные 2st'!$AX$2:$AX$317),"")</f>
        <v>-6</v>
      </c>
      <c r="JU52" s="7">
        <f>IFERROR(AVERAGEIF('Данные 2st'!$Q$2:$Q$317,$A52,'Данные 2st'!$AY$2:$AY$317),"")</f>
        <v>99.25</v>
      </c>
      <c r="JV52" s="7">
        <f>IFERROR(AVERAGEIF('Данные 2st'!$Q$2:$Q$317,$A52,'Данные 2st'!$AZ$2:$AZ$317),"")</f>
        <v>79.0</v>
      </c>
      <c r="JW52" s="7">
        <f>IFERROR(AVERAGEIF('Данные 2st'!$Q$2:$Q$317,$A52,'Данные 2st'!$BA$2:$BA$317),"")</f>
        <v/>
      </c>
      <c r="JX52" s="7">
        <f>IFERROR(AVERAGEIF('Данные 2st'!$Q$2:$Q$317,$A52,'Данные 2st'!$BB$2:$BB$317),"")</f>
        <v>97.5</v>
      </c>
      <c r="JY52" s="7">
        <f>IFERROR(AVERAGEIF('Данные 2st'!$Q$2:$Q$317,$A52,'Данные 2st'!$BC$2:$BC$317),"")</f>
        <v/>
      </c>
      <c r="JZ52" s="7">
        <f>IFERROR(AVERAGEIF('Данные 2st'!$Q$2:$Q$317,$A52,'Данные 2st'!$BH$2:$BH$317),"")</f>
        <v>99.25</v>
      </c>
      <c r="KA52" s="7">
        <f>IFERROR(AVERAGEIF('Данные 2st'!$Q$2:$Q$317,$A52,'Данные 2st'!$BI$2:$BI$317),"")</f>
        <v>20.25</v>
      </c>
      <c r="KB52" s="7">
        <f>IFERROR(AVERAGEIF('Данные 2st'!$Q$2:$Q$317,$A52,'Данные 2st'!$BJ$2:$BJ$317),"")</f>
        <v>79.0</v>
      </c>
      <c r="KC52" s="7">
        <f>IFERROR(AVERAGEIF('Данные 2st'!$Q$2:$Q$317,$A52,'Данные 2st'!$BK$2:$BK$317),"")</f>
        <v>3.0</v>
      </c>
      <c r="KD52" s="7">
        <f>IFERROR(AVERAGEIF('Данные 2st'!$Q$2:$Q$317,$A52,'Данные 2st'!$BL$2:$BL$317),"")</f>
        <v>198.5</v>
      </c>
      <c r="KE52" s="7">
        <f>IFERROR(AVERAGEIF('Данные 2st'!$Q$2:$Q$317,$A52,'Данные 2st'!$BM$2:$BM$317),"")</f>
        <v>-6</v>
      </c>
      <c r="KF52" s="7">
        <f>IFERROR(AVERAGEIF('Данные 2st'!$Q$2:$Q$317,$A52,'Данные 2st'!$BN$2:$BN$317),"")</f>
        <v>24.375</v>
      </c>
      <c r="KG52" s="7">
        <f>IFERROR(AVERAGEIF('Данные 2st'!$Q$2:$Q$317,$A52,'Данные 2st'!$BO$2:$BO$317),"")</f>
        <v>0</v>
      </c>
      <c r="KH52" s="7">
        <f>IFERROR(AVERAGEIF('Данные 2st'!$Q$2:$Q$317,$A52,'Данные 2st'!$BP$2:$BP$317),"")</f>
        <v>48.75</v>
      </c>
      <c r="KI52" s="7">
        <f>IFERROR(AVERAGEIF('Данные 2st'!$Q$2:$Q$317,$A52,'Данные 2st'!$BR$2:$BR$317),"")</f>
        <v>192.5</v>
      </c>
      <c r="KJ52" s="7">
        <f>IFERROR(AVERAGEIF('Данные 2st'!$Q$2:$Q$317,$A52,'Данные 2st'!$BS$2:$BS$317),"")</f>
        <v>182.5</v>
      </c>
      <c r="KK52" s="7">
        <f>IFERROR(AVERAGEIF('Данные 2st'!$Q$2:$Q$317,$A52,'Данные 2st'!$BT$2:$BT$317),"")</f>
        <v>2163.75</v>
      </c>
      <c r="KL52" s="7">
        <f>IFERROR(AVERAGEIF('Данные 2st'!$Q$2:$Q$317,$A52,'Данные 2st'!$CV$2:$CV$317),"")</f>
        <v>126.25</v>
      </c>
      <c r="KM52" s="7">
        <f>IFERROR(AVERAGEIF('Данные 2st'!$Q$2:$Q$317,$A52,'Данные 2st'!$CW$2:$CW$317),"")</f>
        <v>3</v>
      </c>
      <c r="KN52" s="7">
        <f>IFERROR(AVERAGEIF('Данные 2st'!$Q$2:$Q$317,$A52,'Данные 2st'!$CX$2:$CX$317),"")</f>
        <v>81</v>
      </c>
      <c r="KO52" s="7">
        <f>IFERROR(AVERAGEIF('Данные 2st'!$Q$2:$Q$317,$A52,'Данные 2st'!$CY$2:$CY$317),"")</f>
        <v>5</v>
      </c>
      <c r="KP52" s="7">
        <f>IFERROR(AVERAGEIF('Данные 2st'!$Q$2:$Q$317,$A52,'Данные 2st'!$CZ$2:$CZ$317),"")</f>
        <v>150.25</v>
      </c>
      <c r="KQ52" s="7">
        <f>IFERROR(AVERAGEIF('Данные 2st'!$Q$2:$Q$317,$A52,'Данные 2st'!$DA$2:$DA$317),"")</f>
        <v>5</v>
      </c>
      <c r="KR52" s="7">
        <f>IFERROR(AVERAGEIF('Данные 2st'!$Q$2:$Q$317,$A52,'Данные 2st'!$DB$2:$DB$317),"")</f>
        <v>13905</v>
      </c>
      <c r="KS52" s="7">
        <f>IFERROR(AVERAGEIF('Данные 2st'!$Q$2:$Q$317,$A52,'Данные 2st'!$DC$2:$DC$317),"")</f>
        <v>412.5</v>
      </c>
      <c r="KT52" s="7">
        <f>IFERROR(AVERAGEIF('Данные 2st'!$Q$2:$Q$317,$A52,'Данные 2st'!$DD$2:$DD$317),"")</f>
        <v>347.25</v>
      </c>
      <c r="KU52" s="7">
        <f>IFERROR(AVERAGEIF('Данные 2st'!$Q$2:$Q$317,$A52,'Данные 2st'!$DE$2:$DE$317),"")</f>
        <v>2278.5</v>
      </c>
      <c r="KV52" s="7">
        <f>IFERROR(AVERAGEIF('Данные 2st'!$Q$2:$Q$317,$A52,'Данные 2st'!$DF$2:$DF$317),"")</f>
        <v>2278.5</v>
      </c>
      <c r="KW52" s="7">
        <f>IFERROR(AVERAGEIF('Данные 2st'!$Q$2:$Q$317,$A52,'Данные 2st'!$DG$2:$DG$317),"")</f>
        <v>2295</v>
      </c>
      <c r="KX52" s="7">
        <f>IFERROR(AVERAGEIF('Данные 2st'!$Q$2:$Q$317,$A52,'Данные 2st'!$DH$2:$DH$317),"")</f>
        <v>2</v>
      </c>
      <c r="KY52" s="7">
        <f>IFERROR(AVERAGEIF('Данные 2st'!$Q$2:$Q$317,$A52,'Данные 2st'!$DI$2:$DI$317),"")</f>
        <v/>
      </c>
      <c r="KZ52" s="7">
        <f>IFERROR(AVERAGEIF('Данные 2st'!$Q$2:$Q$317,$A52,'Данные 2st'!$DK$2:$DK$317),"")</f>
        <v>192.5</v>
      </c>
      <c r="LA52" s="7">
        <f>IFERROR(AVERAGEIF('Данные 2st'!$Q$2:$Q$317,$A52,'Данные 2st'!$DM$2:$DM$317),"")</f>
        <v>65</v>
      </c>
      <c r="LB52" s="7">
        <f>IFERROR(AVERAGEIF('Данные 2st'!$Q$2:$Q$317,$A52,'Данные 2st'!$DN$2:$DN$317),"")</f>
        <v>1.2850000000000001</v>
      </c>
      <c r="LC52" s="7">
        <f>IFERROR(AVERAGEIF('Данные 2st'!$Q$2:$Q$317,$A52,'Данные 2st'!$DO$2:$DO$317),"")</f>
        <v>1</v>
      </c>
      <c r="LD52" s="7">
        <f>IFERROR(AVERAGEIF('Данные 2st'!$Q$2:$Q$317,$A52,'Данные 2st'!$DP$2:$DP$317),"")</f>
        <v>2167.75</v>
      </c>
      <c r="LE52" s="7">
        <f>IFERROR(AVERAGEIF('Данные 2st'!$Q$2:$Q$317,$A52,'Данные 2st'!$DQ$2:$DQ$317),"")</f>
        <v>1019.25</v>
      </c>
      <c r="LF52" s="7">
        <f>IFERROR(AVERAGEIF('Данные 2st'!$Q$2:$Q$317,$A52,'Данные 2st'!$DS$2:$DS$317),"")</f>
        <v>182.5</v>
      </c>
      <c r="LG52" s="7">
        <f>IFERROR(AVERAGEIF('Данные 2st'!$Q$2:$Q$317,$A52,'Данные 2st'!$DU$2:$DU$317),"")</f>
        <v>65</v>
      </c>
      <c r="LH52" s="7">
        <f>IFERROR(AVERAGEIF('Данные 2st'!$Q$2:$Q$317,$A52,'Данные 2st'!$DV$2:$DV$317),"")</f>
        <v>1.2850000000000001</v>
      </c>
      <c r="LI52" s="7">
        <f>IFERROR(AVERAGEIF('Данные 2st'!$Q$2:$Q$317,$A52,'Данные 2st'!$DW$2:$DW$317),"")</f>
        <v>1</v>
      </c>
      <c r="LJ52" s="7">
        <f>IFERROR(AVERAGEIF('Данные 2st'!$Q$2:$Q$317,$A52,'Данные 2st'!$DX$2:$DX$317),"")</f>
        <v>2181</v>
      </c>
      <c r="LK52" s="7">
        <f>IFERROR(AVERAGEIF('Данные 2st'!$Q$2:$Q$317,$A52,'Данные 2st'!$DY$2:$DY$317),"")</f>
        <v>971.5</v>
      </c>
      <c r="LL52" s="7">
        <f>IFERROR(AVERAGEIF('Данные 2st'!$Q$2:$Q$317,$A52,'Данные 2st'!$EA$2:$EA$317),"")</f>
        <v>20</v>
      </c>
      <c r="LM52" s="7">
        <f>IFERROR(AVERAGEIF('Данные 2st'!$Q$2:$Q$317,$A52,'Данные 2st'!$EC$2:$EC$317),"")</f>
        <v>0.8</v>
      </c>
      <c r="LN52" s="7">
        <f>IFERROR(AVERAGEIF('Данные 2st'!$Q$2:$Q$317,$A52,'Данные 2st'!$ED$2:$ED$317),"")</f>
        <v>2167.75</v>
      </c>
      <c r="LO52" s="7">
        <f>IFERROR(AVERAGEIF('Данные 2st'!$Q$2:$Q$317,$A52,'Данные 2st'!$EE$2:$EE$317),"")</f>
        <v>75.75</v>
      </c>
      <c r="LP52" s="7">
        <f>IFERROR(AVERAGEIF('Данные 2st'!$Q$2:$Q$317,$A52,'Данные 2st'!$EG$2:$EG$317),"")</f>
        <v>0</v>
      </c>
      <c r="LQ52" s="7">
        <f>IFERROR(AVERAGEIF('Данные 2st'!$Q$2:$Q$317,$A52,'Данные 2st'!$EI$2:$EI$317),"")</f>
        <v>0</v>
      </c>
      <c r="LR52" s="7">
        <f>IFERROR(AVERAGEIF('Данные 2st'!$Q$2:$Q$317,$A52,'Данные 2st'!$EJ$2:$EJ$317),"")</f>
        <v/>
      </c>
      <c r="LS52" s="7">
        <f>IFERROR(AVERAGEIF('Данные 2st'!$Q$2:$Q$317,$A52,'Данные 2st'!$EK$2:$EK$317),"")</f>
        <v/>
      </c>
      <c r="LT52" s="7">
        <f>IFERROR(AVERAGEIF('Данные 2st'!$Q$2:$Q$317,$A52,'Данные 2st'!$EM$2:$EM$317),"")</f>
        <v>12</v>
      </c>
      <c r="LU52" s="7">
        <f>IFERROR(AVERAGEIF('Данные 2st'!$Q$2:$Q$317,$A52,'Данные 2st'!$EN$2:$EN$317),"")</f>
        <v>0.5</v>
      </c>
      <c r="LV52" s="7">
        <f>IFERROR(AVERAGEIF('Данные 2st'!$Q$2:$Q$317,$A52,'Данные 2st'!$EO$2:$EO$317),"")</f>
        <v>0.96</v>
      </c>
      <c r="LW52" s="7">
        <f>IFERROR(AVERAGEIF('Данные 2st'!$Q$2:$Q$317,$A52,'Данные 2st'!$EP$2:$EP$317),"")</f>
        <v>2179.905</v>
      </c>
      <c r="LX52" s="7">
        <f>IFERROR(AVERAGEIF('Данные 2st'!$Q$2:$Q$317,$A52,'Данные 2st'!$EQ$2:$EQ$317),"")</f>
        <v>35845.520000000004</v>
      </c>
      <c r="LY52" s="7">
        <f>IFERROR(AVERAGEIF('Данные 2st'!$Q$2:$Q$317,$A52,'Данные 2st'!$ER$2:$ER$317),"")</f>
        <v>6909.1575</v>
      </c>
      <c r="LZ52" s="7">
        <f>IFERROR(AVERAGEIF('Данные 2st'!$Q$2:$Q$317,$A52,'Данные 2st'!$ES$2:$ES$317),"")</f>
        <v>8370.9225</v>
      </c>
      <c r="MA52" s="7">
        <f>IFERROR(AVERAGEIF('Данные 2st'!$Q$2:$Q$317,$A52,'Данные 2st'!$ET$2:$ET$317),"")</f>
        <v>0</v>
      </c>
      <c r="MB52" s="7">
        <f>IFERROR(AVERAGEIF('Данные 2st'!$Q$2:$Q$317,$A52,'Данные 2st'!$EU$2:$EU$317),"")</f>
        <v>1</v>
      </c>
      <c r="MC52" s="7">
        <f>IFERROR(AVERAGEIF('Данные 2st'!$Q$2:$Q$317,$A52,'Данные 2st'!$EV$2:$EV$317),"")</f>
        <v>51126</v>
      </c>
      <c r="MD52" s="7">
        <f>IFERROR(AVERAGEIF('Данные 2st'!$Q$2:$Q$317,$A52,'Данные 2st'!$EW$2:$EW$317),"")</f>
        <v>614</v>
      </c>
      <c r="ME52" s="7">
        <f>IFERROR(AVERAGEIF('Данные 2st'!$Q$2:$Q$317,$A52,'Данные 2st'!$EY$2:$EY$317),"")</f>
        <v>216.5</v>
      </c>
      <c r="MF52" s="7">
        <f>IFERROR(AVERAGEIF('Данные 2st'!$Q$2:$Q$317,$A52,'Данные 2st'!$FA$2:$FA$317),"")</f>
        <v>5.025</v>
      </c>
      <c r="MG52" s="7">
        <f>IFERROR(AVERAGEIF('Данные 2st'!$Q$2:$Q$317,$A52,'Данные 2st'!$FB$2:$FB$317),"")</f>
        <v>1</v>
      </c>
      <c r="MH52" s="7">
        <f>IFERROR(AVERAGEIF('Данные 2st'!$Q$2:$Q$317,$A52,'Данные 2st'!$FC$2:$FC$317),"")</f>
        <v>1</v>
      </c>
      <c r="MI52" s="7">
        <f>IFERROR(AVERAGEIF('Данные 2st'!$Q$2:$Q$317,$A52,'Данные 2st'!$FD$2:$FD$317),"")</f>
        <v>2213</v>
      </c>
      <c r="MJ52" s="7">
        <f>IFERROR(AVERAGEIF('Данные 2st'!$Q$2:$Q$317,$A52,'Данные 2st'!$FE$2:$FE$317),"")</f>
        <v>2470.75</v>
      </c>
      <c r="MK52" s="7">
        <f>IFERROR(AVERAGEIF('Данные 2st'!$Q$2:$Q$317,$A52,'Данные 2st'!$FG$2:$FG$317),"")</f>
        <v>220.5</v>
      </c>
      <c r="ML52" s="7">
        <f>IFERROR(AVERAGEIF('Данные 2st'!$Q$2:$Q$317,$A52,'Данные 2st'!$FI$2:$FI$317),"")</f>
        <v>3.025</v>
      </c>
      <c r="MM52" s="7">
        <f>IFERROR(AVERAGEIF('Данные 2st'!$Q$2:$Q$317,$A52,'Данные 2st'!$FJ$2:$FJ$317),"")</f>
        <v>2213</v>
      </c>
      <c r="MN52" s="7">
        <f>IFERROR(AVERAGEIF('Данные 2st'!$Q$2:$Q$317,$A52,'Данные 2st'!$FK$2:$FK$317),"")</f>
        <v>1639.75</v>
      </c>
      <c r="MO52" s="7">
        <f>IFERROR(AVERAGEIF('Данные 2st'!$Q$2:$Q$317,$A52,'Данные 2st'!$FP$2:$FP$317),"")</f>
        <v>2213</v>
      </c>
      <c r="MP52" s="7">
        <f>IFERROR(AVERAGEIF('Данные 2st'!$Q$2:$Q$317,$A52,'Данные 2st'!$FQ$2:$FQ$317),"")</f>
        <v>147.5</v>
      </c>
      <c r="MQ52" s="7">
        <f>IFERROR(AVERAGEIF('Данные 2st'!$Q$2:$Q$317,$A52,'Данные 2st'!$FS$2:$FS$317),"")</f>
        <v>224.5</v>
      </c>
      <c r="MR52" s="7">
        <f>IFERROR(AVERAGEIF('Данные 2st'!$Q$2:$Q$317,$A52,'Данные 2st'!$FU$2:$FU$317),"")</f>
        <v>0.4</v>
      </c>
      <c r="MS52" s="7">
        <f>IFERROR(AVERAGEIF('Данные 2st'!$Q$2:$Q$317,$A52,'Данные 2st'!$FV$2:$FV$317),"")</f>
        <v>2213</v>
      </c>
      <c r="MT52" s="7">
        <f>IFERROR(AVERAGEIF('Данные 2st'!$Q$2:$Q$317,$A52,'Данные 2st'!$FW$2:$FW$317),"")</f>
        <v>221.25</v>
      </c>
      <c r="MU52" s="7">
        <f>IFERROR(AVERAGEIF('Данные 2st'!$Q$2:$Q$317,$A52,'Данные 2st'!$FY$2:$FY$317),"")</f>
        <v>5</v>
      </c>
      <c r="MV52" s="7">
        <f>IFERROR(AVERAGEIF('Данные 2st'!$Q$2:$Q$317,$A52,'Данные 2st'!$GB$2:$GB$317),"")</f>
        <v>2212</v>
      </c>
      <c r="MW52" s="7">
        <f>IFERROR(AVERAGEIF('Данные 2st'!$Q$2:$Q$317,$A52,'Данные 2st'!$GC$2:$GC$317),"")</f>
        <v>21.333333333333332</v>
      </c>
      <c r="MX52" s="7">
        <f>IFERROR(AVERAGEIF('Данные 2st'!$Q$2:$Q$317,$A52,'Данные 2st'!$GD$2:$GD$317),"")</f>
        <v>4495.25</v>
      </c>
      <c r="MY52" s="7">
        <f>IFERROR(AVERAGEIF('Данные 2st'!$Q$2:$Q$317,$A52,'Данные 2st'!$GN$2:$GN$317),"")</f>
        <v/>
      </c>
      <c r="MZ52" s="7">
        <f>IFERROR(AVERAGEIF('Данные 2st'!$Q$2:$Q$317,$A52,'Данные 2st'!$GQ$2:$GQ$317),"")</f>
        <v>0</v>
      </c>
      <c r="NA52" s="7">
        <f>IFERROR(AVERAGEIF('Данные 2st'!$Q$2:$Q$317,$A52,'Данные 2st'!$GV$2:$GV$317),"")</f>
        <v>8.45</v>
      </c>
      <c r="NB52" s="7">
        <f>IFERROR(AVERAGEIF('Данные 2st'!$Q$2:$Q$317,$A52,'Данные 2st'!$GW$2:$GW$317),"")</f>
        <v>9.375</v>
      </c>
      <c r="NC52" s="7">
        <f>IFERROR(AVERAGEIF('Данные 2st'!$Q$2:$Q$317,$A52,'Данные 2st'!$GX$2:$GX$317),"")</f>
        <v>0.5</v>
      </c>
      <c r="ND52" s="7">
        <f>IFERROR(AVERAGEIF('Данные 2st'!$Q$2:$Q$317,$A52,'Данные 2st'!$GY$2:$GY$317),"")</f>
        <v>181</v>
      </c>
      <c r="NE52" s="7">
        <f>IFERROR(AVERAGEIF('Данные 2st'!$Q$2:$Q$317,$A52,'Данные 2st'!$GZ$2:$GZ$317),"")</f>
        <v>3</v>
      </c>
      <c r="NF52" s="7">
        <f>IFERROR(AVERAGEIF('Данные 2st'!$Q$2:$Q$317,$A52,'Данные 2st'!$HA$2:$HA$317),"")</f>
        <v>238</v>
      </c>
      <c r="NG52" s="7">
        <f>IFERROR(AVERAGEIF('Данные 2st'!$Q$2:$Q$317,$A52,'Данные 2st'!$HB$2:$HB$317),"")</f>
        <v>3</v>
      </c>
      <c r="NH52" s="7">
        <f>IFERROR(AVERAGEIF('Данные 2st'!$Q$2:$Q$317,$A52,'Данные 2st'!$HC$2:$HC$317),"")</f>
        <v>2213</v>
      </c>
      <c r="NI52" s="7">
        <f>IFERROR(AVERAGEIF('Данные 2st'!$Q$2:$Q$317,$A52,'Данные 2st'!$HD$2:$HD$317),"")</f>
        <v>4</v>
      </c>
      <c r="NJ52" s="7">
        <f>IFERROR(AVERAGEIF('Данные 2st'!$Q$2:$Q$317,$A52,'Данные 2st'!$HM$2:$HM$317),"")</f>
        <v>17</v>
      </c>
      <c r="NK52" s="7">
        <f>IFERROR(AVERAGEIF('Данные 2st'!$Q$2:$Q$317,$A52,'Данные 2st'!$HR$2:$HR$317),"")</f>
        <v>2.25</v>
      </c>
      <c r="NL52" s="7">
        <f>IFERROR(AVERAGEIF('Данные 2st'!$Q$2:$Q$317,$A52,'Данные 2st'!$HS$2:$HS$317),"")</f>
        <v>2163.75</v>
      </c>
      <c r="NM52" s="7">
        <f>IFERROR(AVERAGEIF('Данные 2st'!$Q$2:$Q$317,$A52,'Данные 2st'!$HT$2:$HT$317),"")</f>
        <v>5</v>
      </c>
      <c r="NN52" s="7">
        <f>IFERROR(AVERAGEIF('Данные 2st'!$Q$2:$Q$317,$A52,'Данные 2st'!$HY$2:$HY$317),"")</f>
        <v>0</v>
      </c>
      <c r="NO52" s="7">
        <f>IFERROR(AVERAGEIF('Данные 2st'!$Q$2:$Q$317,$A52,'Данные 2st'!$HZ$2:$HZ$317),"")</f>
        <v>65</v>
      </c>
      <c r="NP52" s="7">
        <f>IFERROR(AVERAGEIF('Данные 2st'!$Q$2:$Q$317,$A52,'Данные 2st'!$IA$2:$IA$317),"")</f>
        <v>2167.75</v>
      </c>
      <c r="NQ52" s="7">
        <f>IFERROR(AVERAGEIF('Данные 2st'!$Q$2:$Q$317,$A52,'Данные 2st'!$IB$2:$IB$317),"")</f>
        <v>2181</v>
      </c>
      <c r="NR52" s="7">
        <f>IFERROR(AVERAGEIF('Данные 2st'!$Q$2:$Q$317,$A52,'Данные 2st'!$IC$2:$IC$317),"")</f>
        <v/>
      </c>
      <c r="NS52" s="7">
        <f>IFERROR(AVERAGEIF('Данные 2st'!$Q$2:$Q$317,$A52,'Данные 2st'!$ID$2:$ID$317),"")</f>
        <v>2213</v>
      </c>
      <c r="NT52" s="7">
        <f>IFERROR(AVERAGEIF('Данные 2st'!$Q$2:$Q$317,$A52,'Данные 2st'!$IE$2:$IE$317),"")</f>
        <v>2213</v>
      </c>
      <c r="NU52" s="7">
        <f>IFERROR(AVERAGEIF('Данные 2st'!$Q$2:$Q$317,$A52,'Данные 2st'!$IF$2:$IF$317),"")</f>
        <v>192.5</v>
      </c>
      <c r="NV52" s="7">
        <f>IFERROR(AVERAGEIF('Данные 2st'!$Q$2:$Q$317,$A52,'Данные 2st'!$IG$2:$IG$317),"")</f>
        <v>182.5</v>
      </c>
      <c r="NW52" s="7">
        <f>IFERROR(AVERAGEIF('Данные 2st'!$Q$2:$Q$317,$A52,'Данные 2st'!$IH$2:$IH$317),"")</f>
        <v>238</v>
      </c>
      <c r="NX52" s="7">
        <f>IFERROR(AVERAGEIF('Данные 2st'!$Q$2:$Q$317,$A52,'Данные 2st'!$IJ$2:$IJ$317),"")</f>
        <v>7.5</v>
      </c>
      <c r="NY52" s="7">
        <f>IFERROR(AVERAGEIF('Данные 2st'!$Q$2:$Q$317,$A52,'Данные 2st'!$IM$2:$IM$317),"")</f>
        <v>0</v>
      </c>
      <c r="NZ52" s="7">
        <f>IFERROR(AVERAGEIF('Данные 2st'!$Q$2:$Q$317,$A52,'Данные 2st'!$IN$2:$IN$317),"")</f>
        <v>270</v>
      </c>
      <c r="OA52" s="7">
        <f>IFERROR(AVERAGEIF('Данные 2st'!$Q$2:$Q$317,$A52,'Данные 2st'!$IO$2:$IO$317),"")</f>
        <v>0</v>
      </c>
      <c r="OB52" s="7">
        <f>IFERROR(AVERAGEIF('Данные 2st'!$Q$2:$Q$317,$A52,'Данные 2st'!$IP$2:$IP$317),"")</f>
        <v>180</v>
      </c>
      <c r="OC52" s="7">
        <f>IFERROR(AVERAGEIF('Данные 2st'!$Q$2:$Q$317,$A52,'Данные 2st'!$IQ$2:$IQ$317),"")</f>
        <v>0</v>
      </c>
      <c r="OD52" s="7">
        <f>IFERROR(AVERAGEIF('Данные 2st'!$Q$2:$Q$317,$A52,'Данные 2st'!$IR$2:$IR$317),"")</f>
        <v>330</v>
      </c>
      <c r="OE52" s="7">
        <f>IFERROR(AVERAGEIF('Данные 2st'!$Q$2:$Q$317,$A52,'Данные 2st'!$IT$2:$IT$317),"")</f>
        <v>90</v>
      </c>
      <c r="OF52" s="7">
        <f>IFERROR(AVERAGEIF('Данные 2st'!$Q$2:$Q$317,$A52,'Данные 2st'!$IU$2:$IU$317),"")</f>
        <v>0</v>
      </c>
      <c r="OG52" s="7">
        <f>IFERROR(AVERAGEIF('Данные 2st'!$Q$2:$Q$317,$A52,'Данные 2st'!$IV$2:$IV$317),"")</f>
        <v>6.4</v>
      </c>
      <c r="OH52" s="7">
        <f>IFERROR(AVERAGEIF('Данные 2st'!$Q$2:$Q$317,$A52,'Данные 2st'!$IW$2:$IW$317),"")</f>
        <v>-6</v>
      </c>
      <c r="OI52" s="7">
        <f>IFERROR(AVERAGEIF('Данные 2st'!$Q$2:$Q$317,$A52,'Данные 2st'!$IX$2:$IX$317),"")</f>
        <v>99.25</v>
      </c>
      <c r="OJ52" s="7">
        <f>IFERROR(AVERAGEIF('Данные 2st'!$Q$2:$Q$317,$A52,'Данные 2st'!$IY$2:$IY$317),"")</f>
        <v>79.0</v>
      </c>
      <c r="OK52" s="7">
        <f>IFERROR(AVERAGEIF('Данные 2st'!$Q$2:$Q$317,$A52,'Данные 2st'!$IZ$2:$IZ$317),"")</f>
        <v>0</v>
      </c>
      <c r="OL52" s="7">
        <f>IFERROR(AVERAGEIF('Данные 2st'!$Q$2:$Q$317,$A52,'Данные 2st'!$JA$2:$JA$317),"")</f>
        <v>24.375</v>
      </c>
      <c r="OM52" s="7">
        <f>IFERROR(AVERAGEIF('Данные 2st'!$Q$2:$Q$317,$A52,'Данные 2st'!$JB$2:$JB$317),"")</f>
        <v>0</v>
      </c>
      <c r="ON52" s="7">
        <f>IFERROR(AVERAGEIF('Данные 2st'!$Q$2:$Q$317,$A52,'Данные 2st'!$JC$2:$JC$317),"")</f>
        <v>0</v>
      </c>
      <c r="OO52" s="7">
        <f>IFERROR(AVERAGEIF('Данные 2st'!$Q$2:$Q$317,$A52,'Данные 2st'!$JD$2:$JD$317),"")</f>
        <v>0</v>
      </c>
      <c r="OP52" s="7">
        <f>IFERROR(AVERAGEIF('Данные 2st'!$Q$2:$Q$317,$A52,'Данные 2st'!$JE$2:$JE$317),"")</f>
        <v>0</v>
      </c>
      <c r="OQ52" s="7">
        <f>IFERROR(AVERAGEIF('Данные 2st'!$Q$2:$Q$317,$A52,'Данные 2st'!$JF$2:$JF$317),"")</f>
        <v>0</v>
      </c>
      <c r="OR52" s="7">
        <f>IFERROR(AVERAGEIF('Данные 2st'!$Q$2:$Q$317,$A52,'Данные 2st'!$JG$2:$JG$317),"")</f>
        <v>0</v>
      </c>
      <c r="OS52" s="7">
        <f>IFERROR(AVERAGEIF('Данные 2st'!$Q$2:$Q$317,$A52,'Данные 2st'!$JH$2:$JH$317),"")</f>
        <v>0</v>
      </c>
      <c r="OT52" s="7">
        <f>IFERROR(AVERAGEIF('Данные 2st'!$Q$2:$Q$317,$A52,'Данные 2st'!$JI$2:$JI$317),"")</f>
        <v>435.5</v>
      </c>
      <c r="OU52" s="7">
        <f>IFERROR(AVERAGEIF('Данные 2st'!$Q$2:$Q$317,$A52,'Данные 2st'!$JJ$2:$JJ$317),"")</f>
        <v>395.5</v>
      </c>
      <c r="OV52" s="7">
        <f>IFERROR(AVERAGEIF('Данные 2st'!$Q$2:$Q$317,$A52,'Данные 2st'!$JK$2:$JK$317),"")</f>
        <v>288</v>
      </c>
      <c r="OW52" s="7">
        <f>IFERROR(AVERAGEIF('Данные 2st'!$Q$2:$Q$317,$A52,'Данные 2st'!$JL$2:$JL$317),"")</f>
        <v>393.5</v>
      </c>
      <c r="OX52" s="7">
        <f>IFERROR(AVERAGEIF('Данные 2st'!$Q$2:$Q$317,$A52,'Данные 2st'!$JM$2:$JM$317),"")</f>
        <v>294.5</v>
      </c>
      <c r="OY52" s="7">
        <f>IFERROR(AVERAGEIF('Данные 2st'!$Q$2:$Q$317,$A52,'Данные 2st'!$JP$2:$JP$317),"")</f>
        <v>196.25</v>
      </c>
      <c r="OZ52" s="7">
        <f>IFERROR(AVERAGEIF('Данные 2st'!$Q$2:$Q$317,$A52,'Данные 2st'!$JQ$2:$JQ$317),"")</f>
        <v>246.25</v>
      </c>
      <c r="PA52" s="7">
        <f>IFERROR(AVERAGEIF('Данные 2st'!$Q$2:$Q$317,$A52,'Данные 2st'!$JR$2:$JR$317),"")</f>
        <v>348.75</v>
      </c>
      <c r="PB52" s="7">
        <f>IFERROR(AVERAGEIF('Данные 2st'!$Q$2:$Q$317,$A52,'Данные 2st'!$JS$2:$JS$317),"")</f>
        <v>225</v>
      </c>
      <c r="PC52" s="7">
        <f>IFERROR(AVERAGEIF('Данные 2st'!$Q$2:$Q$317,$A52,'Данные 2st'!$JT$2:$JT$317),"")</f>
        <v>0</v>
      </c>
      <c r="PD52" s="7">
        <f>IFERROR(AVERAGEIF('Данные 2st'!$Q$2:$Q$317,$A52,'Данные 2st'!$JU$2:$JU$317),"")</f>
        <v>0</v>
      </c>
      <c r="PE52" s="7">
        <f>IFERROR(AVERAGEIF('Данные 2st'!$Q$2:$Q$317,$A52,'Данные 2st'!$JV$2:$JV$317),"")</f>
        <v>317.5</v>
      </c>
      <c r="PF52" s="7">
        <f>IFERROR(AVERAGEIF('Данные 2st'!$Q$2:$Q$317,$A52,'Данные 2st'!$JW$2:$JW$317),"")</f>
        <v>313.5</v>
      </c>
      <c r="PG52" s="7">
        <f>IFERROR(AVERAGEIF('Данные 2st'!$Q$2:$Q$317,$A52,'Данные 2st'!$KF$2:$KF$317),"")</f>
        <v>0.1875</v>
      </c>
      <c r="PH52" s="7">
        <f>IFERROR(AVERAGEIF('Данные 2st'!$Q$2:$Q$317,$A52,'Данные 2st'!$KG$2:$KG$317),"")</f>
        <v>0.11</v>
      </c>
      <c r="PI52" s="7">
        <f>IFERROR(AVERAGEIF('Данные 2st'!$Q$2:$Q$317,$A52,'Данные 2st'!$KM$2:$KM$317),"")</f>
        <v>0</v>
      </c>
      <c r="PJ52" s="7">
        <f>IFERROR(AVERAGEIF('Данные 2st'!$Q$2:$Q$317,$A52,'Данные 2st'!$KN$2:$KN$317),"")</f>
        <v>1.975</v>
      </c>
      <c r="PK52" s="7">
        <f>IFERROR(AVERAGEIF('Данные 2st'!$Q$2:$Q$317,$A52,'Данные 2st'!$KO$2:$KO$317),"")</f>
        <v>0.5</v>
      </c>
      <c r="PL52" s="7">
        <f>IFERROR(AVERAGEIF('Данные 2st'!$Q$2:$Q$317,$A52,'Данные 2st'!$KP$2:$KP$317),"")</f>
        <v>0</v>
      </c>
      <c r="PM52" s="7">
        <f>IFERROR(AVERAGEIF('Данные 2st'!$Q$2:$Q$317,$A52,'Данные 2st'!$KQ$2:$KQ$317),"")</f>
        <v>0.875</v>
      </c>
      <c r="PN52" s="7">
        <f>IFERROR(AVERAGEIF('Данные 2st'!$Q$2:$Q$317,$A52,'Данные 2st'!$KR$2:$KR$317),"")</f>
        <v>0.95</v>
      </c>
      <c r="PO52" s="7">
        <f>IFERROR(AVERAGEIF('Данные 2st'!$Q$2:$Q$317,$A52,'Данные 2st'!$KS$2:$KS$317),"")</f>
        <v>0</v>
      </c>
      <c r="PP52" s="7">
        <f>IFERROR(AVERAGEIF('Данные 2st'!$Q$2:$Q$317,$A52,'Данные 2st'!$KT$2:$KT$317),"")</f>
        <v>2.5</v>
      </c>
      <c r="PQ52" s="7">
        <f>IFERROR(AVERAGEIF('Данные 2st'!$Q$2:$Q$317,$A52,'Данные 2st'!$KU$2:$KU$317),"")</f>
        <v>0</v>
      </c>
      <c r="PR52" s="7">
        <f>IFERROR(AVERAGEIF('Данные 2st'!$Q$2:$Q$317,$A52,'Данные 2st'!$KV$2:$KV$317),"")</f>
        <v>0</v>
      </c>
      <c r="PS52" s="7">
        <f>IFERROR(AVERAGEIF('Данные 2st'!$Q$2:$Q$317,$A52,'Данные 2st'!$KW$2:$KW$317),"")</f>
        <v>0.8</v>
      </c>
      <c r="PT52" s="7">
        <f>IFERROR(AVERAGEIF('Данные 2st'!$Q$2:$Q$317,$A52,'Данные 2st'!$KX$2:$KX$317),"")</f>
        <v>1.75</v>
      </c>
      <c r="PU52" s="7">
        <f>IFERROR(AVERAGEIF('Данные 2st'!$Q$2:$Q$317,$A52,'Данные 2st'!$KY$2:$KY$317),"")</f>
        <v>0</v>
      </c>
      <c r="PV52" s="7">
        <f>IFERROR(AVERAGEIF('Данные 2st'!$Q$2:$Q$317,$A52,'Данные 2st'!$KZ$2:$KZ$317),"")</f>
        <v>0.75</v>
      </c>
      <c r="PW52" s="7">
        <f>IFERROR(AVERAGEIF('Данные 2st'!$Q$2:$Q$317,$A52,'Данные 2st'!$LA$2:$LA$317),"")</f>
        <v>0.35</v>
      </c>
      <c r="PX52" s="7">
        <f>IFERROR(AVERAGEIF('Данные 2st'!$Q$2:$Q$317,$A52,'Данные 2st'!$LB$2:$LB$317),"")</f>
        <v>2</v>
      </c>
      <c r="PY52" s="7">
        <f>IFERROR(AVERAGEIF('Данные 2st'!$Q$2:$Q$317,$A52,'Данные 2st'!$LC$2:$LC$317),"")</f>
        <v>0.7</v>
      </c>
      <c r="PZ52" s="7">
        <f>IFERROR(AVERAGEIF('Данные 2st'!$Q$2:$Q$317,$A52,'Данные 2st'!$LD$2:$LD$317),"")</f>
        <v>0.875</v>
      </c>
      <c r="QA52" s="7">
        <f>IFERROR(AVERAGEIF('Данные 2st'!$Q$2:$Q$317,$A52,'Данные 2st'!$LE$2:$LE$317),"")</f>
        <v>0.4</v>
      </c>
      <c r="QB52" s="7">
        <f>IFERROR(AVERAGEIF('Данные 2st'!$Q$2:$Q$317,$A52,'Данные 2st'!$LF$2:$LF$317),"")</f>
        <v>0</v>
      </c>
      <c r="QC52" s="7">
        <f>IFERROR(AVERAGEIF('Данные 2st'!$Q$2:$Q$317,$A52,'Данные 2st'!$LG$2:$LG$317),"")</f>
        <v>0</v>
      </c>
      <c r="QD52" s="7">
        <f>IFERROR(AVERAGEIF('Данные 2st'!$Q$2:$Q$317,$A52,'Данные 2st'!$LH$2:$LH$317),"")</f>
        <v>3</v>
      </c>
      <c r="QE52" s="7">
        <f>IFERROR(AVERAGEIF('Данные 2st'!$Q$2:$Q$317,$A52,'Данные 2st'!$LJ$2:$LJ$317),"")</f>
        <v>0</v>
      </c>
      <c r="QF52" s="7">
        <f>IFERROR(AVERAGEIF('Данные 2st'!$Q$2:$Q$317,$A52,'Данные 2st'!$LK$2:$LK$317),"")</f>
        <v>9</v>
      </c>
      <c r="QG52" s="7">
        <f>IFERROR(AVERAGEIF('Данные 2st'!$Q$2:$Q$317,$A52,'Данные 2st'!$LL$2:$LL$317),"")</f>
        <v>8.25</v>
      </c>
      <c r="QH52" s="7">
        <f>IFERROR(AVERAGEIF('Данные 2st'!$Q$2:$Q$317,$A52,'Данные 2st'!$LM$2:$LM$317),"")</f>
        <v>10.5</v>
      </c>
      <c r="QI52" s="7">
        <f>IFERROR(AVERAGEIF('Данные 2st'!$Q$2:$Q$317,$A52,'Данные 2st'!$LN$2:$LN$317),"")</f>
        <v>0.4</v>
      </c>
      <c r="QJ52" s="7">
        <f>IFERROR(AVERAGEIF('Данные 2st'!$Q$2:$Q$317,$A52,'Данные 2st'!$LO$2:$LO$317),"")</f>
        <v>2.5</v>
      </c>
      <c r="QK52" s="7">
        <f>IFERROR(AVERAGEIF('Данные 2st'!$Q$2:$Q$317,$A52,'Данные 2st'!$LP$2:$LP$317),"")</f>
        <v>0</v>
      </c>
      <c r="QL52" s="7">
        <f>IFERROR(AVERAGEIF('Данные 2st'!$Q$2:$Q$317,$A52,'Данные 2st'!$LQ$2:$LQ$317),"")</f>
        <v>0</v>
      </c>
      <c r="QM52" s="7">
        <f>IFERROR(AVERAGEIF('Данные 2st'!$Q$2:$Q$317,$A52,'Данные 2st'!$LW$2:$LW$317),"")</f>
        <v>2.35</v>
      </c>
      <c r="QN52" s="7">
        <f>IFERROR(AVERAGEIF('Данные 2st'!$Q$2:$Q$317,$A52,'Данные 2st'!$LX$2:$LX$317),"")</f>
        <v>2.35</v>
      </c>
      <c r="QO52" s="7">
        <f>IFERROR(AVERAGEIF('Данные 2st'!$Q$2:$Q$317,$A52,'Данные 2st'!$LY$2:$LY$317),"")</f>
        <v>2.45</v>
      </c>
      <c r="QP52" s="7">
        <f>IFERROR(AVERAGEIF('Данные 2st'!$Q$2:$Q$317,$A52,'Данные 2st'!$LZ$2:$LZ$317),"")</f>
        <v>2.45</v>
      </c>
      <c r="QQ52" s="7">
        <f>IFERROR(AVERAGEIF('Данные 2st'!$Q$2:$Q$317,$A52,'Данные 2st'!$MB$2:$MB$317),"")</f>
        <v>6.25</v>
      </c>
      <c r="QR52" s="7">
        <f>IFERROR(AVERAGEIF('Данные 2st'!$Q$2:$Q$317,$A52,'Данные 2st'!$MG$2:$MG$317),"")</f>
        <v>0</v>
      </c>
      <c r="QS52" s="7">
        <f>IFERROR(AVERAGEIF('Данные 2st'!$Q$2:$Q$317,$A52,'Данные 2st'!$MH$2:$MH$317),"")</f>
        <v>0</v>
      </c>
      <c r="QT52" s="7">
        <f>IFERROR(AVERAGEIF('Данные 2st'!$Q$2:$Q$317,$A52,'Данные 2st'!$MI$2:$MI$317),"")</f>
        <v>0</v>
      </c>
      <c r="QU52" s="7">
        <f>IFERROR(AVERAGEIF('Данные 2st'!$Q$2:$Q$317,$A52,'Данные 2st'!$MJ$2:$MJ$317),"")</f>
        <v>0</v>
      </c>
      <c r="QV52" s="7">
        <f>IFERROR(AVERAGEIF('Данные 2st'!$Q$2:$Q$317,$A52,'Данные 2st'!$MK$2:$MK$317),"")</f>
        <v>0</v>
      </c>
      <c r="QW52" s="7">
        <f>IFERROR(AVERAGEIF('Данные 2st'!$Q$2:$Q$317,$A52,'Данные 2st'!$MM$2:$MM$317),"")</f>
        <v>468</v>
      </c>
      <c r="QX52" s="7">
        <f>IFERROR(AVERAGEIF('Данные 2st'!$Q$2:$Q$317,$A52,'Данные 2st'!$MQ$2:$MQ$317),"")</f>
        <v/>
      </c>
      <c r="QY52" s="7">
        <f>IFERROR(AVERAGEIF('Данные 2st'!$Q$2:$Q$317,$A52,'Данные 2st'!$MR$2:$MR$317),"")</f>
        <v/>
      </c>
      <c r="QZ52" s="7">
        <f>IFERROR(AVERAGEIF('Данные 2st'!$Q$2:$Q$317,$A52,'Данные 2st'!$MS$2:$MS$317),"")</f>
        <v/>
      </c>
      <c r="RA52" s="7">
        <f>IFERROR(AVERAGEIF('Данные 2st'!$Q$2:$Q$317,$A52,'Данные 2st'!$MT$2:$MT$317),"")</f>
        <v/>
      </c>
      <c r="RB52" s="7">
        <f>IFERROR(AVERAGEIF('Данные 2st'!$Q$2:$Q$317,$A52,'Данные 2st'!$MU$2:$MU$317),"")</f>
        <v/>
      </c>
      <c r="RC52" s="7">
        <f>IFERROR(AVERAGEIF('Данные 2st'!$Q$2:$Q$317,$A52,'Данные 2st'!$MV$2:$MV$317),"")</f>
        <v/>
      </c>
      <c r="RD52" s="7">
        <f>IFERROR(AVERAGEIF('Данные 2st'!$Q$2:$Q$317,$A52,'Данные 2st'!$MW$2:$MW$317),"")</f>
        <v/>
      </c>
      <c r="RE52" s="7">
        <f>IFERROR(AVERAGEIF('Данные 2st'!$Q$2:$Q$317,$A52,'Данные 2st'!$MX$2:$MX$317),"")</f>
        <v/>
      </c>
      <c r="RF52" s="7">
        <f>IFERROR(AVERAGEIF('Данные 2st'!$Q$2:$Q$317,$A52,'Данные 2st'!$MY$2:$MY$317),"")</f>
        <v/>
      </c>
      <c r="RG52" s="7">
        <f>IFERROR(AVERAGEIF('Данные 2st'!$Q$2:$Q$317,$A52,'Данные 2st'!$MZ$2:$MZ$317),"")</f>
        <v/>
      </c>
      <c r="RH52" s="7">
        <f>IFERROR(AVERAGEIF('Данные 2st'!$Q$2:$Q$317,$A52,'Данные 2st'!$NA$2:$NA$317),"")</f>
        <v/>
      </c>
      <c r="RI52" s="7">
        <f>IFERROR(AVERAGEIF('Данные 2st'!$Q$2:$Q$317,$A52,'Данные 2st'!$NB$2:$NB$317),"")</f>
        <v/>
      </c>
      <c r="RJ52" s="7">
        <f>IFERROR(AVERAGEIF('Данные 2st'!$Q$2:$Q$317,$A52,'Данные 2st'!$NC$2:$NC$317),"")</f>
        <v/>
      </c>
      <c r="RK52" s="7">
        <f>IFERROR(AVERAGEIF('Данные 2st'!$Q$2:$Q$317,$A52,'Данные 2st'!$ND$2:$ND$317),"")</f>
        <v/>
      </c>
      <c r="RL52" s="7">
        <f>IFERROR(AVERAGEIF('Данные 2st'!$Q$2:$Q$317,$A52,'Данные 2st'!$NE$2:$NE$317),"")</f>
        <v/>
      </c>
      <c r="RM52" s="7">
        <f>IFERROR(AVERAGEIF('Данные 2st'!$Q$2:$Q$317,$A52,'Данные 2st'!$NF$2:$NF$317),"")</f>
        <v/>
      </c>
      <c r="RN52" s="7">
        <f>IFERROR(AVERAGEIF('Данные 2st'!$Q$2:$Q$317,$A52,'Данные 2st'!$NG$2:$NG$317),"")</f>
        <v/>
      </c>
      <c r="RO52" s="7">
        <f>IFERROR(AVERAGEIF('Данные 2st'!$Q$2:$Q$317,$A52,'Данные 2st'!$NH$2:$NH$317),"")</f>
        <v/>
      </c>
      <c r="RP52" s="7">
        <f>IFERROR(AVERAGEIF('Данные 2st'!$Q$2:$Q$317,$A52,'Данные 2st'!$NJ$2:$NJ$317),"")</f>
        <v/>
      </c>
      <c r="RQ52" s="7">
        <f>IFERROR(AVERAGEIF('Данные 2st'!$Q$2:$Q$317,$A52,'Данные 2st'!$NK$2:$NK$317),"")</f>
        <v/>
      </c>
      <c r="RR52" s="7">
        <f>IFERROR(AVERAGEIF('Данные 2st'!$Q$2:$Q$317,$A52,'Данные 2st'!$NM$2:$NM$317),"")</f>
        <v/>
      </c>
      <c r="RS52" s="7">
        <f>IFERROR(AVERAGEIF('Данные 2st'!$Q$2:$Q$317,$A52,'Данные 2st'!$NN$2:$NN$317),"")</f>
        <v/>
      </c>
      <c r="RT52" s="7">
        <f>IFERROR(AVERAGEIF('Данные 2st'!$Q$2:$Q$317,$A52,'Данные 2st'!$NO$2:$NO$317),"")</f>
        <v/>
      </c>
      <c r="RU52" s="7">
        <f>IFERROR(AVERAGEIF('Данные 2st'!$Q$2:$Q$317,$A52,'Данные 2st'!$NP$2:$NP$317),"")</f>
        <v/>
      </c>
      <c r="RV52" s="7">
        <f>IFERROR(AVERAGEIF('Данные 2st'!$Q$2:$Q$317,$A52,'Данные 2st'!$NQ$2:$NQ$317),"")</f>
        <v/>
      </c>
      <c r="RW52" s="7">
        <f>IFERROR(AVERAGEIF('Данные 2st'!$Q$2:$Q$317,$A52,'Данные 2st'!$NR$2:$NR$317),"")</f>
        <v/>
      </c>
      <c r="RX52" s="7">
        <f>IFERROR(AVERAGEIF('Данные 2st'!$Q$2:$Q$317,$A52,'Данные 2st'!$NS$2:$NS$317),"")</f>
        <v/>
      </c>
      <c r="RY52" s="7">
        <f>IFERROR(AVERAGEIF('Данные 2st'!$Q$2:$Q$317,$A52,'Данные 2st'!$NT$2:$NT$317),"")</f>
        <v/>
      </c>
      <c r="RZ52" s="7">
        <f>IFERROR(AVERAGEIF('Данные 2st'!$Q$2:$Q$317,$A52,'Данные 2st'!$OK$2:$OK$317),"")</f>
        <v>61</v>
      </c>
      <c r="SA52" s="7">
        <f>IFERROR(AVERAGEIF('Данные 2st'!$Q$2:$Q$317,$A52,'Данные 2st'!$OL$2:$OL$317),"")</f>
        <v>61</v>
      </c>
      <c r="SB52" s="7">
        <f>IFERROR(AVERAGEIF('Данные 2st'!$Q$2:$Q$317,$A52,'Данные 2st'!$ON$2:$ON$317),"")</f>
        <v>1.25</v>
      </c>
      <c r="SC52" s="7">
        <f>IFERROR(AVERAGEIF('Данные 2st'!$Q$2:$Q$317,$A52,'Данные 2st'!$OO$2:$OO$317),"")</f>
        <v>2167.75</v>
      </c>
      <c r="SD52" s="7">
        <f>IFERROR(AVERAGEIF('Данные 2st'!$Q$2:$Q$317,$A52,'Данные 2st'!$OP$2:$OP$317),"")</f>
        <v>61</v>
      </c>
      <c r="SE52" s="7">
        <f>IFERROR(AVERAGEIF('Данные 2st'!$Q$2:$Q$317,$A52,'Данные 2st'!$OQ$2:$OQ$317),"")</f>
        <v>61</v>
      </c>
      <c r="SF52" s="7">
        <f>IFERROR(AVERAGEIF('Данные 2st'!$Q$2:$Q$317,$A52,'Данные 2st'!$OS$2:$OS$317),"")</f>
        <v>1.25</v>
      </c>
      <c r="SG52" s="7">
        <f>IFERROR(AVERAGEIF('Данные 2st'!$Q$2:$Q$317,$A52,'Данные 2st'!$OT$2:$OT$317),"")</f>
        <v>2181</v>
      </c>
      <c r="SH52" s="7">
        <f>IFERROR(AVERAGEIF('Данные 2st'!$Q$2:$Q$317,$A52,'Данные 2st'!$OU$2:$OU$317),"")</f>
        <v>65</v>
      </c>
      <c r="SI52" s="7">
        <f>IFERROR(AVERAGEIF('Данные 2st'!$Q$2:$Q$317,$A52,'Данные 2st'!$OV$2:$OV$317),"")</f>
        <v>65</v>
      </c>
      <c r="SJ52" s="7">
        <f>IFERROR(AVERAGEIF('Данные 2st'!$Q$2:$Q$317,$A52,'Данные 2st'!$OX$2:$OX$317),"")</f>
        <v>1.75</v>
      </c>
      <c r="SK52" s="7">
        <f>IFERROR(AVERAGEIF('Данные 2st'!$Q$2:$Q$317,$A52,'Данные 2st'!$OY$2:$OY$317),"")</f>
        <v>51126</v>
      </c>
      <c r="SL52" s="7">
        <f>IFERROR(AVERAGEIF('Данные 2st'!$Q$2:$Q$317,$A52,'Данные 2st'!$OZ$2:$OZ$317),"")</f>
        <v>51</v>
      </c>
      <c r="SM52" s="7">
        <f>IFERROR(AVERAGEIF('Данные 2st'!$Q$2:$Q$317,$A52,'Данные 2st'!$PA$2:$PA$317),"")</f>
        <v>51.5</v>
      </c>
      <c r="SN52" s="7">
        <f>IFERROR(AVERAGEIF('Данные 2st'!$Q$2:$Q$317,$A52,'Данные 2st'!$PC$2:$PC$317),"")</f>
        <v>2</v>
      </c>
      <c r="SO52" s="7">
        <f>IFERROR(AVERAGEIF('Данные 2st'!$Q$2:$Q$317,$A52,'Данные 2st'!$PD$2:$PD$317),"")</f>
        <v>2213</v>
      </c>
      <c r="SP52" s="7">
        <f>IFERROR(AVERAGEIF('Данные 2st'!$Q$2:$Q$317,$A52,'Данные 2st'!$PF$2:$PF$317),"")</f>
        <v>470.25</v>
      </c>
      <c r="SQ52" s="7">
        <f>IFERROR(AVERAGEIF('Данные 2st'!$Q$2:$Q$317,$A52,'Данные 2st'!$PG$2:$PG$317),"")</f>
        <v>35</v>
      </c>
      <c r="SR52" s="7">
        <f>IFERROR(AVERAGEIF('Данные 2st'!$Q$2:$Q$317,$A52,'Данные 2st'!$PH$2:$PH$317),"")</f>
        <v>445.5</v>
      </c>
      <c r="SS52" s="7">
        <f>IFERROR(AVERAGEIF('Данные 2st'!$Q$2:$Q$317,$A52,'Данные 2st'!$PI$2:$PI$317),"")</f>
        <v>0</v>
      </c>
      <c r="ST52" s="7">
        <f>IFERROR(AVERAGEIF('Данные 2st'!$Q$2:$Q$317,$A52,'Данные 2st'!$PJ$2:$PJ$317),"")</f>
        <v>66.725</v>
      </c>
      <c r="SU52" s="7">
        <f>IFERROR(AVERAGEIF('Данные 2st'!$Q$2:$Q$317,$A52,'Данные 2st'!$PK$2:$PK$317),"")</f>
        <v>2026.5</v>
      </c>
      <c r="SV52" s="7">
        <f>IFERROR(AVERAGEIF('Данные 2st'!$Q$2:$Q$317,$A52,'Данные 2st'!$PL$2:$PL$317),"")</f>
        <v>1116.55</v>
      </c>
      <c r="SW52" s="7">
        <f>IFERROR(AVERAGEIF('Данные 2st'!$Q$2:$Q$317,$A52,'Данные 2st'!$PM$2:$PM$317),"")</f>
        <v>742.025</v>
      </c>
      <c r="SX52" s="7">
        <f>IFERROR(AVERAGEIF('Данные 2st'!$Q$2:$Q$317,$A52,'Данные 2st'!$PN$2:$PN$317),"")</f>
        <v>99.975</v>
      </c>
      <c r="SY52" s="7">
        <f>IFERROR(AVERAGEIF('Данные 2st'!$Q$2:$Q$317,$A52,'Данные 2st'!$PO$2:$PO$317),"")</f>
        <v>9.566666666666666</v>
      </c>
      <c r="SZ52" s="7">
        <f>IFERROR(AVERAGEIF('Данные 2st'!$Q$2:$Q$317,$A52,'Данные 2st'!$PP$2:$PP$317),"")</f>
        <v>12</v>
      </c>
      <c r="TA52" s="7">
        <f>IFERROR(AVERAGEIF('Данные 2st'!$Q$2:$Q$317,$A52,'Данные 2st'!$PQ$2:$PQ$317),"")</f>
        <v>5</v>
      </c>
      <c r="TB52" s="7">
        <f>IFERROR(AVERAGEIF('Данные 2st'!$Q$2:$Q$317,$A52,'Данные 2st'!$PR$2:$PR$317),"")</f>
        <v>5</v>
      </c>
      <c r="TC52" s="7">
        <f>IFERROR(AVERAGEIF('Данные 2st'!$Q$2:$Q$317,$A52,'Данные 2st'!$PS$2:$PS$317),"")</f>
        <v>0</v>
      </c>
      <c r="TD52" s="7">
        <f>IFERROR(AVERAGEIF('Данные 2st'!$Q$2:$Q$317,$A52,'Данные 2st'!$PT$2:$PT$317),"")</f>
        <v>238</v>
      </c>
      <c r="TE52" s="7">
        <f>IFERROR(AVERAGEIF('Данные 2st'!$Q$2:$Q$317,$A52,'Данные 2st'!$PU$2:$PU$317),"")</f>
        <v>8.75</v>
      </c>
      <c r="TF52" s="7">
        <f>IFERROR(AVERAGEIF('Данные 2st'!$Q$2:$Q$317,$A52,'Данные 2st'!$PX$2:$PX$317),"")</f>
        <v>0</v>
      </c>
      <c r="TG52" s="7">
        <f>IFERROR(AVERAGEIF('Данные 2st'!$Q$2:$Q$317,$A52,'Данные 2st'!$PY$2:$PY$317),"")</f>
        <v>0</v>
      </c>
      <c r="TH52" s="7">
        <f>IFERROR(AVERAGEIF('Данные 2st'!$Q$2:$Q$317,$A52,'Данные 2st'!$PZ$2:$PZ$317),"")</f>
        <v>0</v>
      </c>
      <c r="TI52" s="7">
        <f>IFERROR(AVERAGEIF('Данные 2st'!$Q$2:$Q$317,$A52,'Данные 2st'!$QA$2:$QA$317),"")</f>
        <v>0</v>
      </c>
      <c r="TJ52" s="7">
        <f>IFERROR(AVERAGEIF('Данные 2st'!$Q$2:$Q$317,$A52,'Данные 2st'!$QB$2:$QB$317),"")</f>
        <v>0</v>
      </c>
      <c r="TK52" s="7">
        <f>IFERROR(AVERAGEIF('Данные 2st'!$Q$2:$Q$317,$A52,'Данные 2st'!$QC$2:$QC$317),"")</f>
        <v>0</v>
      </c>
      <c r="TL52" s="7">
        <f>IFERROR(AVERAGEIF('Данные 2st'!$Q$2:$Q$317,$A52,'Данные 2st'!$QD$2:$QD$317),"")</f>
        <v>0</v>
      </c>
      <c r="TM52" s="7">
        <f>IFERROR(AVERAGEIF('Данные 2st'!$Q$2:$Q$317,$A52,'Данные 2st'!$QE$2:$QE$317),"")</f>
        <v>-1</v>
      </c>
      <c r="TN52" s="7">
        <f>IFERROR(AVERAGEIF('Данные 2st'!$Q$2:$Q$317,$A52,'Данные 2st'!$QF$2:$QF$317),"")</f>
        <v>1</v>
      </c>
      <c r="TO52" s="7">
        <f>IFERROR(AVERAGEIF('Данные 2st'!$Q$2:$Q$317,$A52,'Данные 2st'!$QG$2:$QG$317),"")</f>
        <v>0</v>
      </c>
      <c r="TP52" s="7">
        <f>IFERROR(AVERAGEIF('Данные 2st'!$Q$2:$Q$317,$A52,'Данные 2st'!$QH$2:$QH$317),"")</f>
        <v>5</v>
      </c>
      <c r="TQ52" s="7">
        <f>IFERROR(AVERAGEIF('Данные 2st'!$Q$2:$Q$317,$A52,'Данные 2st'!$QI$2:$QI$317),"")</f>
        <v>5</v>
      </c>
      <c r="TR52" s="7">
        <f>IFERROR(AVERAGEIF('Данные 2st'!$Q$2:$Q$317,$A52,'Данные 2st'!$QJ$2:$QJ$317),"")</f>
        <v>5</v>
      </c>
      <c r="TS52" s="7">
        <f>IFERROR(AVERAGEIF('Данные 2st'!$Q$2:$Q$317,$A52,'Данные 2st'!$QK$2:$QK$317),"")</f>
        <v>217.75</v>
      </c>
      <c r="TT52" s="7">
        <f>IFERROR(AVERAGEIF('Данные 2st'!$Q$2:$Q$317,$A52,'Данные 2st'!$QL$2:$QL$317),"")</f>
        <v>468.5</v>
      </c>
      <c r="TU52" s="7">
        <f>IFERROR(AVERAGEIF('Данные 2st'!$Q$2:$Q$317,$A52,'Данные 2st'!$QM$2:$QM$317),"")</f>
        <v>7.5</v>
      </c>
      <c r="TV52" s="7">
        <f>IFERROR(AVERAGEIF('Данные 2st'!$Q$2:$Q$317,$A52,'Данные 2st'!$QN$2:$QN$317),"")</f>
        <v>1385.0</v>
      </c>
      <c r="TW52" s="7">
        <f>IFERROR(AVERAGEIF('Данные 2st'!$Q$2:$Q$317,$A52,'Данные 2st'!$QQ$2:$QQ$317),"")</f>
        <v>0</v>
      </c>
      <c r="TX52" s="7">
        <f>IFERROR(AVERAGEIF('Данные 2st'!$Q$2:$Q$317,$A52,'Данные 2st'!$QS$2:$QS$317),"")</f>
        <v>32.5</v>
      </c>
      <c r="TY52" s="7">
        <f>IFERROR(AVERAGEIF('Данные 2st'!$Q$2:$Q$317,$A52,'Данные 2st'!$QT$2:$QT$317),"")</f>
        <v>42.5</v>
      </c>
    </row>
    <row r="53" spans="1:545" ht="32" customHeight="1">
      <c r="A53" s="11" t="s">
        <v>1187</v>
      </c>
      <c r="B53">
        <f>COUNTIF('Данные 1st'!$S$2:$S$317,$A53)</f>
        <v>3</v>
      </c>
      <c r="C53" s="6" t="s">
        <v>5110</v>
      </c>
      <c r="D53" s="6" t="s">
        <v>513</v>
      </c>
      <c r="E53" s="6" t="s">
        <v>5125</v>
      </c>
      <c r="F53" s="6" t="s">
        <v>5171</v>
      </c>
      <c r="G53" s="7">
        <f>IFERROR(AVERAGEIF('Данные 1st'!$S$2:$S$317,$A53,'Данные 1st'!$AE$2:$AE$317),"")</f>
        <v>213</v>
      </c>
      <c r="H53" s="7">
        <f>IFERROR(AVERAGEIF('Данные 1st'!$S$2:$S$317,$A53,'Данные 1st'!$AF$2:$AF$317),"")</f>
        <v>1.5</v>
      </c>
      <c r="I53" s="7">
        <f>IFERROR(AVERAGEIF('Данные 1st'!$S$2:$S$317,$A53,'Данные 1st'!$AJ$2:$AJ$317),"")</f>
        <v>225</v>
      </c>
      <c r="J53" s="7">
        <f>IFERROR(AVERAGEIF('Данные 1st'!$S$2:$S$317,$A53,'Данные 1st'!$AL$2:$AL$317),"")</f>
        <v>1.5</v>
      </c>
      <c r="K53" s="7">
        <f>IFERROR(AVERAGEIF('Данные 1st'!$S$2:$S$317,$A53,'Данные 1st'!$AR$2:$AR$317),"")</f>
        <v>0</v>
      </c>
      <c r="L53" s="7">
        <f>IFERROR(AVERAGEIF('Данные 1st'!$S$2:$S$317,$A53,'Данные 1st'!$AS$2:$AS$317),"")</f>
        <v>1.5</v>
      </c>
      <c r="M53" s="7">
        <f>IFERROR(AVERAGEIF('Данные 1st'!$S$2:$S$317,$A53,'Данные 1st'!$AY$2:$AY$317),"")</f>
        <v>347.5</v>
      </c>
      <c r="N53" s="7">
        <f>IFERROR(AVERAGEIF('Данные 1st'!$S$2:$S$317,$A53,'Данные 1st'!$AZ$2:$AZ$317),"")</f>
        <v>1.5</v>
      </c>
      <c r="O53" s="7">
        <f>IFERROR(AVERAGEIF('Данные 1st'!$S$2:$S$317,$A53,'Данные 1st'!$BF$2:$BF$317),"")</f>
        <v>260.0</v>
      </c>
      <c r="P53" s="7">
        <f>IFERROR(AVERAGEIF('Данные 1st'!$S$2:$S$317,$A53,'Данные 1st'!$BG$2:$BG$317),"")</f>
        <v>1.5</v>
      </c>
      <c r="Q53" s="7">
        <f>IFERROR(AVERAGEIF('Данные 1st'!$S$2:$S$317,$A53,'Данные 1st'!$BM$2:$BM$317),"")</f>
        <v/>
      </c>
      <c r="R53" s="7">
        <f>IFERROR(AVERAGEIF('Данные 1st'!$S$2:$S$317,$A53,'Данные 1st'!$BN$2:$BN$317),"")</f>
        <v>1.5</v>
      </c>
      <c r="S53" s="7">
        <f>IFERROR(AVERAGEIF('Данные 1st'!$S$2:$S$317,$A53,'Данные 1st'!$BT$2:$BT$317),"")</f>
        <v>235.33333333333334</v>
      </c>
      <c r="T53" s="7">
        <f>IFERROR(AVERAGEIF('Данные 1st'!$S$2:$S$317,$A53,'Данные 1st'!$BU$2:$BU$317),"")</f>
        <v>0.5</v>
      </c>
      <c r="U53" s="7">
        <f>IFERROR(AVERAGEIF('Данные 1st'!$S$2:$S$317,$A53,'Данные 1st'!$BW$2:$BW$317),"")</f>
        <v>470.6666666666667</v>
      </c>
      <c r="V53" s="7">
        <f>IFERROR(AVERAGEIF('Данные 1st'!$S$2:$S$317,$A53,'Данные 1st'!$BX$2:$BX$317),"")</f>
        <v>1</v>
      </c>
      <c r="W53" s="7">
        <f>IFERROR(AVERAGEIF('Данные 1st'!$S$2:$S$317,$A53,'Данные 1st'!$BZ$2:$BZ$317),"")</f>
        <v>350</v>
      </c>
      <c r="X53" s="7">
        <f>IFERROR(AVERAGEIF('Данные 1st'!$S$2:$S$317,$A53,'Данные 1st'!$CA$2:$CA$317),"")</f>
        <v>543.3333333333334</v>
      </c>
      <c r="Y53" s="7">
        <f>IFERROR(AVERAGEIF('Данные 1st'!$S$2:$S$317,$A53,'Данные 1st'!$CD$2:$CD$317),"")</f>
        <v>494</v>
      </c>
      <c r="Z53" s="7">
        <f>IFERROR(AVERAGEIF('Данные 1st'!$S$2:$S$317,$A53,'Данные 1st'!$CF$2:$CF$317),"")</f>
        <v>15</v>
      </c>
      <c r="AA53" s="7">
        <f>IFERROR(AVERAGEIF('Данные 1st'!$S$2:$S$317,$A53,'Данные 1st'!$CI$2:$CI$317),"")</f>
        <v>96.66666666666667</v>
      </c>
      <c r="AB53" s="7">
        <f>IFERROR(AVERAGEIF('Данные 1st'!$S$2:$S$317,$A53,'Данные 1st'!$CJ$2:$CJ$317),"")</f>
        <v>1381</v>
      </c>
      <c r="AC53" s="7">
        <f>IFERROR(AVERAGEIF('Данные 1st'!$S$2:$S$317,$A53,'Данные 1st'!$CK$2:$CK$317),"")</f>
        <v>2</v>
      </c>
      <c r="AD53" s="7">
        <f>IFERROR(AVERAGEIF('Данные 1st'!$S$2:$S$317,$A53,'Данные 1st'!$CL$2:$CL$317),"")</f>
        <v>1475</v>
      </c>
      <c r="AE53" s="7">
        <f>IFERROR(AVERAGEIF('Данные 1st'!$S$2:$S$317,$A53,'Данные 1st'!$CM$2:$CM$317),"")</f>
        <v>2</v>
      </c>
      <c r="AF53" s="7">
        <f>IFERROR(AVERAGEIF('Данные 1st'!$S$2:$S$317,$A53,'Данные 1st'!$CT$2:$CT$317),"")</f>
        <v>450</v>
      </c>
      <c r="AG53" s="7">
        <f>IFERROR(AVERAGEIF('Данные 1st'!$S$2:$S$317,$A53,'Данные 1st'!$CU$2:$CU$317),"")</f>
        <v>5</v>
      </c>
      <c r="AH53" s="7">
        <f>IFERROR(AVERAGEIF('Данные 1st'!$S$2:$S$317,$A53,'Данные 1st'!$CV$2:$CV$317),"")</f>
        <v>1.2333333333333334</v>
      </c>
      <c r="AI53" s="7">
        <f>IFERROR(AVERAGEIF('Данные 1st'!$S$2:$S$317,$A53,'Данные 1st'!$CW$2:$CW$317),"")</f>
        <v>1395</v>
      </c>
      <c r="AJ53" s="7">
        <f>IFERROR(AVERAGEIF('Данные 1st'!$S$2:$S$317,$A53,'Данные 1st'!$CX$2:$CX$317),"")</f>
        <v>914</v>
      </c>
      <c r="AK53" s="7">
        <f>IFERROR(AVERAGEIF('Данные 1st'!$S$2:$S$317,$A53,'Данные 1st'!$CZ$2:$CZ$317),"")</f>
        <v/>
      </c>
      <c r="AL53" s="7">
        <f>IFERROR(AVERAGEIF('Данные 1st'!$S$2:$S$317,$A53,'Данные 1st'!$DA$2:$DA$317),"")</f>
        <v/>
      </c>
      <c r="AM53" s="7">
        <f>IFERROR(AVERAGEIF('Данные 1st'!$S$2:$S$317,$A53,'Данные 1st'!$DB$2:$DB$317),"")</f>
        <v/>
      </c>
      <c r="AN53" s="7">
        <f>IFERROR(AVERAGEIF('Данные 1st'!$S$2:$S$317,$A53,'Данные 1st'!$DC$2:$DC$317),"")</f>
        <v/>
      </c>
      <c r="AO53" s="7">
        <f>IFERROR(AVERAGEIF('Данные 1st'!$S$2:$S$317,$A53,'Данные 1st'!$DD$2:$DD$317),"")</f>
        <v>0</v>
      </c>
      <c r="AP53" s="7">
        <f>IFERROR(AVERAGEIF('Данные 1st'!$S$2:$S$317,$A53,'Данные 1st'!$DF$2:$DF$317),"")</f>
        <v>695</v>
      </c>
      <c r="AQ53" s="7">
        <f>IFERROR(AVERAGEIF('Данные 1st'!$S$2:$S$317,$A53,'Данные 1st'!$DG$2:$DG$317),"")</f>
        <v>3</v>
      </c>
      <c r="AR53" s="7">
        <f>IFERROR(AVERAGEIF('Данные 1st'!$S$2:$S$317,$A53,'Данные 1st'!$DH$2:$DH$317),"")</f>
        <v>1.08</v>
      </c>
      <c r="AS53" s="7">
        <f>IFERROR(AVERAGEIF('Данные 1st'!$S$2:$S$317,$A53,'Данные 1st'!$DI$2:$DI$317),"")</f>
        <v>1391</v>
      </c>
      <c r="AT53" s="7">
        <f>IFERROR(AVERAGEIF('Данные 1st'!$S$2:$S$317,$A53,'Данные 1st'!$DJ$2:$DJ$317),"")</f>
        <v>1356</v>
      </c>
      <c r="AU53" s="7">
        <f>IFERROR(AVERAGEIF('Данные 1st'!$S$2:$S$317,$A53,'Данные 1st'!$DL$2:$DL$317),"")</f>
        <v>520</v>
      </c>
      <c r="AV53" s="7">
        <f>IFERROR(AVERAGEIF('Данные 1st'!$S$2:$S$317,$A53,'Данные 1st'!$DM$2:$DM$317),"")</f>
        <v>3</v>
      </c>
      <c r="AW53" s="7">
        <f>IFERROR(AVERAGEIF('Данные 1st'!$S$2:$S$317,$A53,'Данные 1st'!$DN$2:$DN$317),"")</f>
        <v>1.03</v>
      </c>
      <c r="AX53" s="7">
        <f>IFERROR(AVERAGEIF('Данные 1st'!$S$2:$S$317,$A53,'Данные 1st'!$DO$2:$DO$317),"")</f>
        <v>1397.5</v>
      </c>
      <c r="AY53" s="7">
        <f>IFERROR(AVERAGEIF('Данные 1st'!$S$2:$S$317,$A53,'Данные 1st'!$DP$2:$DP$317),"")</f>
        <v>993.5</v>
      </c>
      <c r="AZ53" s="7">
        <f>IFERROR(AVERAGEIF('Данные 1st'!$S$2:$S$317,$A53,'Данные 1st'!$DR$2:$DR$317),"")</f>
        <v/>
      </c>
      <c r="BA53" s="7">
        <f>IFERROR(AVERAGEIF('Данные 1st'!$S$2:$S$317,$A53,'Данные 1st'!$DS$2:$DS$317),"")</f>
        <v/>
      </c>
      <c r="BB53" s="7">
        <f>IFERROR(AVERAGEIF('Данные 1st'!$S$2:$S$317,$A53,'Данные 1st'!$DT$2:$DT$317),"")</f>
        <v/>
      </c>
      <c r="BC53" s="7">
        <f>IFERROR(AVERAGEIF('Данные 1st'!$S$2:$S$317,$A53,'Данные 1st'!$DU$2:$DU$317),"")</f>
        <v/>
      </c>
      <c r="BD53" s="7">
        <f>IFERROR(AVERAGEIF('Данные 1st'!$S$2:$S$317,$A53,'Данные 1st'!$DV$2:$DV$317),"")</f>
        <v/>
      </c>
      <c r="BE53" s="7">
        <f>IFERROR(AVERAGEIF('Данные 1st'!$S$2:$S$317,$A53,'Данные 1st'!$DX$2:$DX$317),"")</f>
        <v>8.133333333333333</v>
      </c>
      <c r="BF53" s="7">
        <f>IFERROR(AVERAGEIF('Данные 1st'!$S$2:$S$317,$A53,'Данные 1st'!$EA$2:$EA$317),"")</f>
        <v>1463.2333333333333</v>
      </c>
      <c r="BG53" s="7">
        <f>IFERROR(AVERAGEIF('Данные 1st'!$S$2:$S$317,$A53,'Данные 1st'!$EB$2:$EB$317),"")</f>
        <v>344.6666666666667</v>
      </c>
      <c r="BH53" s="7">
        <f>IFERROR(AVERAGEIF('Данные 1st'!$S$2:$S$317,$A53,'Данные 1st'!$ED$2:$ED$317),"")</f>
        <v>40</v>
      </c>
      <c r="BI53" s="7">
        <f>IFERROR(AVERAGEIF('Данные 1st'!$S$2:$S$317,$A53,'Данные 1st'!$EE$2:$EE$317),"")</f>
        <v>3</v>
      </c>
      <c r="BJ53" s="7">
        <f>IFERROR(AVERAGEIF('Данные 1st'!$S$2:$S$317,$A53,'Данные 1st'!$EG$2:$EG$317),"")</f>
        <v>1510.6666666666667</v>
      </c>
      <c r="BK53" s="7">
        <f>IFERROR(AVERAGEIF('Данные 1st'!$S$2:$S$317,$A53,'Данные 1st'!$EH$2:$EH$317),"")</f>
        <v>253</v>
      </c>
      <c r="BL53" s="7">
        <f>IFERROR(AVERAGEIF('Данные 1st'!$S$2:$S$317,$A53,'Данные 1st'!$EJ$2:$EJ$317),"")</f>
        <v>0</v>
      </c>
      <c r="BM53" s="7">
        <f>IFERROR(AVERAGEIF('Данные 1st'!$S$2:$S$317,$A53,'Данные 1st'!$EK$2:$EK$317),"")</f>
        <v>1</v>
      </c>
      <c r="BN53" s="7">
        <f>IFERROR(AVERAGEIF('Данные 1st'!$S$2:$S$317,$A53,'Данные 1st'!$EN$2:$EN$317),"")</f>
        <v>0</v>
      </c>
      <c r="BO53" s="7">
        <f>IFERROR(AVERAGEIF('Данные 1st'!$S$2:$S$317,$A53,'Данные 1st'!$EQ$2:$EQ$317),"")</f>
        <v>133.33333333333334</v>
      </c>
      <c r="BP53" s="7">
        <f>IFERROR(AVERAGEIF('Данные 1st'!$S$2:$S$317,$A53,'Данные 1st'!$ER$2:$ER$317),"")</f>
        <v>3</v>
      </c>
      <c r="BQ53" s="7">
        <f>IFERROR(AVERAGEIF('Данные 1st'!$S$2:$S$317,$A53,'Данные 1st'!$ES$2:$ES$317),"")</f>
        <v>5.833333333333333</v>
      </c>
      <c r="BR53" s="7">
        <f>IFERROR(AVERAGEIF('Данные 1st'!$S$2:$S$317,$A53,'Данные 1st'!$ET$2:$ET$317),"")</f>
        <v>1380</v>
      </c>
      <c r="BS53" s="7">
        <f>IFERROR(AVERAGEIF('Данные 1st'!$S$2:$S$317,$A53,'Данные 1st'!$EU$2:$EU$317),"")</f>
        <v>628.9333333333333</v>
      </c>
      <c r="BT53" s="7">
        <f>IFERROR(AVERAGEIF('Данные 1st'!$S$2:$S$317,$A53,'Данные 1st'!$EV$2:$EV$317),"")</f>
        <v>868</v>
      </c>
      <c r="BU53" s="7">
        <f>IFERROR(AVERAGEIF('Данные 1st'!$S$2:$S$317,$A53,'Данные 1st'!$EX$2:$EX$317),"")</f>
        <v>70</v>
      </c>
      <c r="BV53" s="7">
        <f>IFERROR(AVERAGEIF('Данные 1st'!$S$2:$S$317,$A53,'Данные 1st'!$EY$2:$EY$317),"")</f>
        <v>2</v>
      </c>
      <c r="BW53" s="7">
        <f>IFERROR(AVERAGEIF('Данные 1st'!$S$2:$S$317,$A53,'Данные 1st'!$EZ$2:$EZ$317),"")</f>
        <v>4.5</v>
      </c>
      <c r="BX53" s="7">
        <f>IFERROR(AVERAGEIF('Данные 1st'!$S$2:$S$317,$A53,'Данные 1st'!$FA$2:$FA$317),"")</f>
        <v>1380</v>
      </c>
      <c r="BY53" s="7">
        <f>IFERROR(AVERAGEIF('Данные 1st'!$S$2:$S$317,$A53,'Данные 1st'!$FB$2:$FB$317),"")</f>
        <v>218.96666666666667</v>
      </c>
      <c r="BZ53" s="7">
        <f>IFERROR(AVERAGEIF('Данные 1st'!$S$2:$S$317,$A53,'Данные 1st'!$FC$2:$FC$317),"")</f>
        <v>302</v>
      </c>
      <c r="CA53" s="7">
        <f>IFERROR(AVERAGEIF('Данные 1st'!$S$2:$S$317,$A53,'Данные 1st'!$FE$2:$FE$317),"")</f>
        <v>0</v>
      </c>
      <c r="CB53" s="7">
        <f>IFERROR(AVERAGEIF('Данные 1st'!$S$2:$S$317,$A53,'Данные 1st'!$FF$2:$FF$317),"")</f>
        <v>2</v>
      </c>
      <c r="CC53" s="7">
        <f>IFERROR(AVERAGEIF('Данные 1st'!$S$2:$S$317,$A53,'Данные 1st'!$FI$2:$FI$317),"")</f>
        <v>0</v>
      </c>
      <c r="CD53" s="7">
        <f>IFERROR(AVERAGEIF('Данные 1st'!$S$2:$S$317,$A53,'Данные 1st'!$FL$2:$FL$317),"")</f>
        <v>0.4</v>
      </c>
      <c r="CE53" s="7">
        <f>IFERROR(AVERAGEIF('Данные 1st'!$S$2:$S$317,$A53,'Данные 1st'!$FM$2:$FM$317),"")</f>
        <v>115</v>
      </c>
      <c r="CF53" s="7">
        <f>IFERROR(AVERAGEIF('Данные 1st'!$S$2:$S$317,$A53,'Данные 1st'!$FN$2:$FN$317),"")</f>
        <v>130</v>
      </c>
      <c r="CG53" s="7">
        <f>IFERROR(AVERAGEIF('Данные 1st'!$S$2:$S$317,$A53,'Данные 1st'!$FO$2:$FO$317),"")</f>
        <v/>
      </c>
      <c r="CH53" s="7">
        <f>IFERROR(AVERAGEIF('Данные 1st'!$S$2:$S$317,$A53,'Данные 1st'!$FP$2:$FP$317),"")</f>
        <v/>
      </c>
      <c r="CI53" s="7">
        <f>IFERROR(AVERAGEIF('Данные 1st'!$S$2:$S$317,$A53,'Данные 1st'!$FS$2:$FS$317),"")</f>
        <v>0.4</v>
      </c>
      <c r="CJ53" s="7">
        <f>IFERROR(AVERAGEIF('Данные 1st'!$S$2:$S$317,$A53,'Данные 1st'!$FT$2:$FT$317),"")</f>
        <v>30</v>
      </c>
      <c r="CK53" s="7">
        <f>IFERROR(AVERAGEIF('Данные 1st'!$S$2:$S$317,$A53,'Данные 1st'!$FU$2:$FU$317),"")</f>
        <v>430</v>
      </c>
      <c r="CL53" s="7">
        <f>IFERROR(AVERAGEIF('Данные 1st'!$S$2:$S$317,$A53,'Данные 1st'!$FV$2:$FV$317),"")</f>
        <v/>
      </c>
      <c r="CM53" s="7">
        <f>IFERROR(AVERAGEIF('Данные 1st'!$S$2:$S$317,$A53,'Данные 1st'!$FW$2:$FW$317),"")</f>
        <v/>
      </c>
      <c r="CN53" s="7">
        <f>IFERROR(AVERAGEIF('Данные 1st'!$S$2:$S$317,$A53,'Данные 1st'!$FZ$2:$FZ$317),"")</f>
        <v/>
      </c>
      <c r="CO53" s="7">
        <f>IFERROR(AVERAGEIF('Данные 1st'!$S$2:$S$317,$A53,'Данные 1st'!$GA$2:$GA$317),"")</f>
        <v/>
      </c>
      <c r="CP53" s="7">
        <f>IFERROR(AVERAGEIF('Данные 1st'!$S$2:$S$317,$A53,'Данные 1st'!$GB$2:$GB$317),"")</f>
        <v/>
      </c>
      <c r="CQ53" s="7">
        <f>IFERROR(AVERAGEIF('Данные 1st'!$S$2:$S$317,$A53,'Данные 1st'!$GH$2:$GH$317),"")</f>
        <v/>
      </c>
      <c r="CR53" s="7">
        <f>IFERROR(AVERAGEIF('Данные 1st'!$S$2:$S$317,$A53,'Данные 1st'!$GI$2:$GI$317),"")</f>
        <v/>
      </c>
      <c r="CS53" s="7">
        <f>IFERROR(AVERAGEIF('Данные 1st'!$S$2:$S$317,$A53,'Данные 1st'!$GJ$2:$GJ$317),"")</f>
        <v/>
      </c>
      <c r="CT53" s="7">
        <f>IFERROR(AVERAGEIF('Данные 1st'!$S$2:$S$317,$A53,'Данные 1st'!$GS$2:$GS$317),"")</f>
        <v>0.4</v>
      </c>
      <c r="CU53" s="7">
        <f>IFERROR(AVERAGEIF('Данные 1st'!$S$2:$S$317,$A53,'Данные 1st'!$GT$2:$GT$317),"")</f>
        <v>100</v>
      </c>
      <c r="CV53" s="7">
        <f>IFERROR(AVERAGEIF('Данные 1st'!$S$2:$S$317,$A53,'Данные 1st'!$GU$2:$GU$317),"")</f>
        <v>295</v>
      </c>
      <c r="CW53" s="7">
        <f>IFERROR(AVERAGEIF('Данные 1st'!$S$2:$S$317,$A53,'Данные 1st'!$GV$2:$GV$317),"")</f>
        <v>30</v>
      </c>
      <c r="CX53" s="7">
        <f>IFERROR(AVERAGEIF('Данные 1st'!$S$2:$S$317,$A53,'Данные 1st'!$GW$2:$GW$317),"")</f>
        <v>300</v>
      </c>
      <c r="CY53" s="7">
        <f>IFERROR(AVERAGEIF('Данные 1st'!$S$2:$S$317,$A53,'Данные 1st'!$GZ$2:$GZ$317),"")</f>
        <v/>
      </c>
      <c r="CZ53" s="7">
        <f>IFERROR(AVERAGEIF('Данные 1st'!$S$2:$S$317,$A53,'Данные 1st'!$HA$2:$HA$317),"")</f>
        <v/>
      </c>
      <c r="DA53" s="7">
        <f>IFERROR(AVERAGEIF('Данные 1st'!$S$2:$S$317,$A53,'Данные 1st'!$HB$2:$HB$317),"")</f>
        <v/>
      </c>
      <c r="DB53" s="7">
        <f>IFERROR(AVERAGEIF('Данные 1st'!$S$2:$S$317,$A53,'Данные 1st'!$HC$2:$HC$317),"")</f>
        <v>0.1</v>
      </c>
      <c r="DC53" s="7">
        <f>IFERROR(AVERAGEIF('Данные 1st'!$S$2:$S$317,$A53,'Данные 1st'!$HD$2:$HD$317),"")</f>
        <v>3</v>
      </c>
      <c r="DD53" s="7">
        <f>IFERROR(AVERAGEIF('Данные 1st'!$S$2:$S$317,$A53,'Данные 1st'!$HE$2:$HE$317),"")</f>
        <v>3</v>
      </c>
      <c r="DE53" s="7">
        <f>IFERROR(AVERAGEIF('Данные 1st'!$S$2:$S$317,$A53,'Данные 1st'!$HF$2:$HF$317),"")</f>
        <v>3</v>
      </c>
      <c r="DF53" s="7">
        <f>IFERROR(AVERAGEIF('Данные 1st'!$S$2:$S$317,$A53,'Данные 1st'!$HG$2:$HG$317),"")</f>
        <v>3</v>
      </c>
      <c r="DG53" s="7">
        <f>IFERROR(AVERAGEIF('Данные 1st'!$S$2:$S$317,$A53,'Данные 1st'!$HH$2:$HH$317),"")</f>
        <v>3</v>
      </c>
      <c r="DH53" s="7">
        <f>IFERROR(AVERAGEIF('Данные 1st'!$S$2:$S$317,$A53,'Данные 1st'!$HI$2:$HI$317),"")</f>
        <v>188.33333333333334</v>
      </c>
      <c r="DI53" s="7">
        <f>IFERROR(AVERAGEIF('Данные 1st'!$S$2:$S$317,$A53,'Данные 1st'!$HJ$2:$HJ$317),"")</f>
        <v>3</v>
      </c>
      <c r="DJ53" s="7">
        <f>IFERROR(AVERAGEIF('Данные 1st'!$S$2:$S$317,$A53,'Данные 1st'!$HK$2:$HK$317),"")</f>
        <v>55</v>
      </c>
      <c r="DK53" s="7">
        <f>IFERROR(AVERAGEIF('Данные 1st'!$S$2:$S$317,$A53,'Данные 1st'!$HL$2:$HL$317),"")</f>
        <v>2</v>
      </c>
      <c r="DL53" s="7">
        <f>IFERROR(AVERAGEIF('Данные 1st'!$S$2:$S$317,$A53,'Данные 1st'!$HM$2:$HM$317),"")</f>
        <v>0</v>
      </c>
      <c r="DM53" s="7">
        <f>IFERROR(AVERAGEIF('Данные 1st'!$S$2:$S$317,$A53,'Данные 1st'!$HN$2:$HN$317),"")</f>
        <v>2</v>
      </c>
      <c r="DN53" s="7">
        <f>IFERROR(AVERAGEIF('Данные 1st'!$S$2:$S$317,$A53,'Данные 1st'!$HO$2:$HO$317),"")</f>
        <v>118.33333333333333</v>
      </c>
      <c r="DO53" s="7">
        <f>IFERROR(AVERAGEIF('Данные 1st'!$S$2:$S$317,$A53,'Данные 1st'!$HP$2:$HP$317),"")</f>
        <v>3</v>
      </c>
      <c r="DP53" s="7">
        <f>IFERROR(AVERAGEIF('Данные 1st'!$S$2:$S$317,$A53,'Данные 1st'!$HQ$2:$HQ$317),"")</f>
        <v>0</v>
      </c>
      <c r="DQ53" s="7">
        <f>IFERROR(AVERAGEIF('Данные 1st'!$S$2:$S$317,$A53,'Данные 1st'!$HR$2:$HR$317),"")</f>
        <v>2</v>
      </c>
      <c r="DR53" s="7">
        <f>IFERROR(AVERAGEIF('Данные 1st'!$S$2:$S$317,$A53,'Данные 1st'!$HS$2:$HS$317),"")</f>
        <v>6467.666666666667</v>
      </c>
      <c r="DS53" s="7">
        <f>IFERROR(AVERAGEIF('Данные 1st'!$S$2:$S$317,$A53,'Данные 1st'!$HT$2:$HT$317),"")</f>
        <v>193.33333333333334</v>
      </c>
      <c r="DT53" s="7">
        <f>IFERROR(AVERAGEIF('Данные 1st'!$S$2:$S$317,$A53,'Данные 1st'!$HU$2:$HU$317),"")</f>
        <v>180</v>
      </c>
      <c r="DU53" s="7">
        <f>IFERROR(AVERAGEIF('Данные 1st'!$S$2:$S$317,$A53,'Данные 1st'!$HW$2:$HW$317),"")</f>
        <v>6.666666666666667</v>
      </c>
      <c r="DV53" s="7">
        <f>IFERROR(AVERAGEIF('Данные 1st'!$S$2:$S$317,$A53,'Данные 1st'!$HX$2:$HX$317),"")</f>
        <v>502</v>
      </c>
      <c r="DW53" s="7">
        <f>IFERROR(AVERAGEIF('Данные 1st'!$S$2:$S$317,$A53,'Данные 1st'!$HY$2:$HY$317),"")</f>
        <v>0.18</v>
      </c>
      <c r="DX53" s="7">
        <f>IFERROR(AVERAGEIF('Данные 1st'!$S$2:$S$317,$A53,'Данные 1st'!$IA$2:$IA$317),"")</f>
        <v>0.15</v>
      </c>
      <c r="DY53" s="7">
        <f>IFERROR(AVERAGEIF('Данные 1st'!$S$2:$S$317,$A53,'Данные 1st'!$IB$2:$IB$317),"")</f>
        <v>0</v>
      </c>
      <c r="DZ53" s="7">
        <f>IFERROR(AVERAGEIF('Данные 1st'!$S$2:$S$317,$A53,'Данные 1st'!$IC$2:$IC$317),"")</f>
        <v>180</v>
      </c>
      <c r="EA53" s="7">
        <f>IFERROR(AVERAGEIF('Данные 1st'!$S$2:$S$317,$A53,'Данные 1st'!$ID$2:$ID$317),"")</f>
        <v>110</v>
      </c>
      <c r="EB53" s="7">
        <f>IFERROR(AVERAGEIF('Данные 1st'!$S$2:$S$317,$A53,'Данные 1st'!$IE$2:$IE$317),"")</f>
        <v>150</v>
      </c>
      <c r="EC53" s="7">
        <f>IFERROR(AVERAGEIF('Данные 1st'!$S$2:$S$317,$A53,'Данные 1st'!$IF$2:$IF$317),"")</f>
        <v>0</v>
      </c>
      <c r="ED53" s="7">
        <f>IFERROR(AVERAGEIF('Данные 1st'!$S$2:$S$317,$A53,'Данные 1st'!$IP$2:$IP$317),"")</f>
        <v>18</v>
      </c>
      <c r="EE53" s="7">
        <f>IFERROR(AVERAGEIF('Данные 1st'!$S$2:$S$317,$A53,'Данные 1st'!$IV$2:$IV$317),"")</f>
        <v>1381</v>
      </c>
      <c r="EF53" s="7">
        <f>IFERROR(AVERAGEIF('Данные 1st'!$S$2:$S$317,$A53,'Данные 1st'!$IW$2:$IW$317),"")</f>
        <v>470.6666666666667</v>
      </c>
      <c r="EG53" s="7">
        <f>IFERROR(AVERAGEIF('Данные 1st'!$S$2:$S$317,$A53,'Данные 1st'!$IX$2:$IX$317),"")</f>
        <v/>
      </c>
      <c r="EH53" s="7">
        <f>IFERROR(AVERAGEIF('Данные 1st'!$S$2:$S$317,$A53,'Данные 1st'!$IY$2:$IY$317),"")</f>
        <v/>
      </c>
      <c r="EI53" s="7">
        <f>IFERROR(AVERAGEIF('Данные 1st'!$S$2:$S$317,$A53,'Данные 1st'!$JD$2:$JD$317),"")</f>
        <v>1395</v>
      </c>
      <c r="EJ53" s="7">
        <f>IFERROR(AVERAGEIF('Данные 1st'!$S$2:$S$317,$A53,'Данные 1st'!$JE$2:$JE$317),"")</f>
        <v>1391</v>
      </c>
      <c r="EK53" s="7">
        <f>IFERROR(AVERAGEIF('Данные 1st'!$S$2:$S$317,$A53,'Данные 1st'!$JF$2:$JF$317),"")</f>
        <v>931.6666666666666</v>
      </c>
      <c r="EL53" s="7">
        <f>IFERROR(AVERAGEIF('Данные 1st'!$S$2:$S$317,$A53,'Данные 1st'!$JG$2:$JG$317),"")</f>
        <v>1380</v>
      </c>
      <c r="EM53" s="7">
        <f>IFERROR(AVERAGEIF('Данные 1st'!$S$2:$S$317,$A53,'Данные 1st'!$JH$2:$JH$317),"")</f>
        <v>0</v>
      </c>
      <c r="EN53" s="7">
        <f>IFERROR(AVERAGEIF('Данные 1st'!$S$2:$S$317,$A53,'Данные 1st'!$JJ$2:$JJ$317),"")</f>
        <v>180</v>
      </c>
      <c r="EO53" s="7">
        <f>IFERROR(AVERAGEIF('Данные 1st'!$S$2:$S$317,$A53,'Данные 1st'!$JK$2:$JK$317),"")</f>
        <v>502</v>
      </c>
      <c r="EP53" s="7">
        <f>IFERROR(AVERAGEIF('Данные 1st'!$S$2:$S$317,$A53,'Данные 1st'!$JL$2:$JL$317),"")</f>
        <v/>
      </c>
      <c r="EQ53" s="7">
        <f>IFERROR(AVERAGEIF('Данные 1st'!$S$2:$S$317,$A53,'Данные 1st'!$JM$2:$JM$317),"")</f>
        <v/>
      </c>
      <c r="ER53" s="7">
        <f>IFERROR(AVERAGEIF('Данные 1st'!$S$2:$S$317,$A53,'Данные 1st'!$JN$2:$JN$317),"")</f>
        <v>450</v>
      </c>
      <c r="ES53" s="7">
        <f>IFERROR(AVERAGEIF('Данные 1st'!$S$2:$S$317,$A53,'Данные 1st'!$JO$2:$JO$317),"")</f>
        <v>695</v>
      </c>
      <c r="ET53" s="7">
        <f>IFERROR(AVERAGEIF('Данные 1st'!$S$2:$S$317,$A53,'Данные 1st'!$JP$2:$JP$317),"")</f>
        <v>346.6666666666667</v>
      </c>
      <c r="EU53" s="7">
        <f>IFERROR(AVERAGEIF('Данные 1st'!$S$2:$S$317,$A53,'Данные 1st'!$JQ$2:$JQ$317),"")</f>
        <v>0</v>
      </c>
      <c r="EV53" s="7">
        <f>IFERROR(AVERAGEIF('Данные 1st'!$S$2:$S$317,$A53,'Данные 1st'!$JR$2:$JR$317),"")</f>
        <v>426</v>
      </c>
      <c r="EW53" s="7">
        <f>IFERROR(AVERAGEIF('Данные 1st'!$S$2:$S$317,$A53,'Данные 1st'!$JS$2:$JS$317),"")</f>
        <v>188.33333333333334</v>
      </c>
      <c r="EX53" s="7">
        <f>IFERROR(AVERAGEIF('Данные 1st'!$S$2:$S$317,$A53,'Данные 1st'!$JT$2:$JT$317),"")</f>
        <v/>
      </c>
      <c r="EY53" s="7">
        <f>IFERROR(AVERAGEIF('Данные 1st'!$S$2:$S$317,$A53,'Данные 1st'!$JU$2:$JU$317),"")</f>
        <v/>
      </c>
      <c r="EZ53" s="7">
        <f>IFERROR(AVERAGEIF('Данные 1st'!$S$2:$S$317,$A53,'Данные 1st'!$JV$2:$JV$317),"")</f>
        <v>8.666666666666666</v>
      </c>
      <c r="FA53" s="7">
        <f>IFERROR(AVERAGEIF('Данные 1st'!$S$2:$S$317,$A53,'Данные 1st'!$JW$2:$JW$317),"")</f>
        <v/>
      </c>
      <c r="FB53" s="7">
        <f>IFERROR(AVERAGEIF('Данные 1st'!$S$2:$S$317,$A53,'Данные 1st'!$JX$2:$JX$317),"")</f>
        <v>0</v>
      </c>
      <c r="FC53" s="7">
        <f>IFERROR(AVERAGEIF('Данные 1st'!$S$2:$S$317,$A53,'Данные 1st'!$JY$2:$JY$317),"")</f>
        <v/>
      </c>
      <c r="FD53" s="7">
        <f>IFERROR(AVERAGEIF('Данные 1st'!$S$2:$S$317,$A53,'Данные 1st'!$JZ$2:$JZ$317),"")</f>
        <v/>
      </c>
      <c r="FE53" s="7">
        <f>IFERROR(AVERAGEIF('Данные 1st'!$S$2:$S$317,$A53,'Данные 1st'!$KA$2:$KA$317),"")</f>
        <v>150</v>
      </c>
      <c r="FF53" s="7">
        <f>IFERROR(AVERAGEIF('Данные 1st'!$S$2:$S$317,$A53,'Данные 1st'!$KB$2:$KB$317),"")</f>
        <v>110</v>
      </c>
      <c r="FG53" s="7">
        <f>IFERROR(AVERAGEIF('Данные 1st'!$S$2:$S$317,$A53,'Данные 1st'!$KC$2:$KC$317),"")</f>
        <v>0</v>
      </c>
      <c r="FH53" s="7">
        <f>IFERROR(AVERAGEIF('Данные 1st'!$S$2:$S$317,$A53,'Данные 1st'!$KD$2:$KD$317),"")</f>
        <v>80</v>
      </c>
      <c r="FI53" s="7">
        <f>IFERROR(AVERAGEIF('Данные 1st'!$S$2:$S$317,$A53,'Данные 1st'!$KE$2:$KE$317),"")</f>
        <v/>
      </c>
      <c r="FJ53" s="7">
        <f>IFERROR(AVERAGEIF('Данные 1st'!$S$2:$S$317,$A53,'Данные 1st'!$KF$2:$KF$317),"")</f>
        <v>4</v>
      </c>
      <c r="FK53" s="7">
        <f>IFERROR(AVERAGEIF('Данные 1st'!$S$2:$S$317,$A53,'Данные 1st'!$KG$2:$KG$317),"")</f>
        <v>2</v>
      </c>
      <c r="FL53" s="7">
        <f>IFERROR(AVERAGEIF('Данные 1st'!$S$2:$S$317,$A53,'Данные 1st'!$KH$2:$KH$317),"")</f>
        <v>2</v>
      </c>
      <c r="FM53" s="7">
        <f>IFERROR(AVERAGEIF('Данные 1st'!$S$2:$S$317,$A53,'Данные 1st'!$KI$2:$KI$317),"")</f>
        <v>2</v>
      </c>
      <c r="FN53" s="7">
        <f>IFERROR(AVERAGEIF('Данные 1st'!$S$2:$S$317,$A53,'Данные 1st'!$KJ$2:$KJ$317),"")</f>
        <v>0</v>
      </c>
      <c r="FO53" s="7">
        <f>IFERROR(AVERAGEIF('Данные 1st'!$S$2:$S$317,$A53,'Данные 1st'!$KK$2:$KK$317),"")</f>
        <v>1.5</v>
      </c>
      <c r="FP53" s="7">
        <f>IFERROR(AVERAGEIF('Данные 1st'!$S$2:$S$317,$A53,'Данные 1st'!$KL$2:$KL$317),"")</f>
        <v>1.5</v>
      </c>
      <c r="FQ53" s="7">
        <f>IFERROR(AVERAGEIF('Данные 1st'!$S$2:$S$317,$A53,'Данные 1st'!$KM$2:$KM$317),"")</f>
        <v>0</v>
      </c>
      <c r="FR53" s="7">
        <f>IFERROR(AVERAGEIF('Данные 1st'!$S$2:$S$317,$A53,'Данные 1st'!$KN$2:$KN$317),"")</f>
        <v>0</v>
      </c>
      <c r="FS53" s="7">
        <f>IFERROR(AVERAGEIF('Данные 1st'!$S$2:$S$317,$A53,'Данные 1st'!$KR$2:$KR$317),"")</f>
        <v>43.333333333333336</v>
      </c>
      <c r="FT53" s="7">
        <f>IFERROR(AVERAGEIF('Данные 1st'!$S$2:$S$317,$A53,'Данные 1st'!$KS$2:$KS$317),"")</f>
        <v>60</v>
      </c>
      <c r="FU53" s="7">
        <f>IFERROR(AVERAGEIF('Данные 1st'!$S$2:$S$317,$A53,'Данные 1st'!$KT$2:$KT$317),"")</f>
        <v>0</v>
      </c>
      <c r="FV53" s="7">
        <f>IFERROR(AVERAGEIF('Данные 1st'!$S$2:$S$317,$A53,'Данные 1st'!$KV$2:$KV$317),"")</f>
        <v/>
      </c>
      <c r="FW53" s="7">
        <f>IFERROR(AVERAGEIF('Данные 1st'!$S$2:$S$317,$A53,'Данные 1st'!$KW$2:$KW$317),"")</f>
        <v/>
      </c>
      <c r="FX53" s="7">
        <f>IFERROR(AVERAGEIF('Данные 1st'!$S$2:$S$317,$A53,'Данные 1st'!$KX$2:$KX$317),"")</f>
        <v/>
      </c>
      <c r="FY53" s="7">
        <f>IFERROR(AVERAGEIF('Данные 1st'!$S$2:$S$317,$A53,'Данные 1st'!$KY$2:$KY$317),"")</f>
        <v/>
      </c>
      <c r="FZ53" s="7">
        <f>IFERROR(AVERAGEIF('Данные 1st'!$S$2:$S$317,$A53,'Данные 1st'!$KZ$2:$KZ$317),"")</f>
        <v/>
      </c>
      <c r="GA53" s="7">
        <f>IFERROR(AVERAGEIF('Данные 1st'!$S$2:$S$317,$A53,'Данные 1st'!$LA$2:$LA$317),"")</f>
        <v/>
      </c>
      <c r="GB53" s="7">
        <f>IFERROR(AVERAGEIF('Данные 1st'!$S$2:$S$317,$A53,'Данные 1st'!$LB$2:$LB$317),"")</f>
        <v/>
      </c>
      <c r="GC53" s="7">
        <f>IFERROR(AVERAGEIF('Данные 1st'!$S$2:$S$317,$A53,'Данные 1st'!$LC$2:$LC$317),"")</f>
        <v/>
      </c>
      <c r="GD53" s="7">
        <f>IFERROR(AVERAGEIF('Данные 1st'!$S$2:$S$317,$A53,'Данные 1st'!$LD$2:$LD$317),"")</f>
        <v/>
      </c>
      <c r="GE53" s="7">
        <f>IFERROR(AVERAGEIF('Данные 1st'!$S$2:$S$317,$A53,'Данные 1st'!$LE$2:$LE$317),"")</f>
        <v/>
      </c>
      <c r="GF53" s="7">
        <f>IFERROR(AVERAGEIF('Данные 1st'!$S$2:$S$317,$A53,'Данные 1st'!$LF$2:$LF$317),"")</f>
        <v/>
      </c>
      <c r="GG53" s="7">
        <f>IFERROR(AVERAGEIF('Данные 1st'!$S$2:$S$317,$A53,'Данные 1st'!$LG$2:$LG$317),"")</f>
        <v/>
      </c>
      <c r="GH53" s="7">
        <f>IFERROR(AVERAGEIF('Данные 1st'!$S$2:$S$317,$A53,'Данные 1st'!$LH$2:$LH$317),"")</f>
        <v/>
      </c>
      <c r="GI53" s="7">
        <f>IFERROR(AVERAGEIF('Данные 1st'!$S$2:$S$317,$A53,'Данные 1st'!$LI$2:$LI$317),"")</f>
        <v/>
      </c>
      <c r="GJ53" s="7">
        <f>IFERROR(AVERAGEIF('Данные 1st'!$S$2:$S$317,$A53,'Данные 1st'!$LJ$2:$LJ$317),"")</f>
        <v/>
      </c>
      <c r="GK53" s="7">
        <f>IFERROR(AVERAGEIF('Данные 1st'!$S$2:$S$317,$A53,'Данные 1st'!$LK$2:$LK$317),"")</f>
        <v>480</v>
      </c>
      <c r="GL53" s="7">
        <f>IFERROR(AVERAGEIF('Данные 1st'!$S$2:$S$317,$A53,'Данные 1st'!$LV$2:$LV$317),"")</f>
        <v/>
      </c>
      <c r="GM53" s="7">
        <f>IFERROR(AVERAGEIF('Данные 1st'!$S$2:$S$317,$A53,'Данные 1st'!$LW$2:$LW$317),"")</f>
        <v/>
      </c>
      <c r="GN53" s="7">
        <f>IFERROR(AVERAGEIF('Данные 1st'!$S$2:$S$317,$A53,'Данные 1st'!$LX$2:$LX$317),"")</f>
        <v/>
      </c>
      <c r="GO53" s="7">
        <f>IFERROR(AVERAGEIF('Данные 1st'!$S$2:$S$317,$A53,'Данные 1st'!$LY$2:$LY$317),"")</f>
        <v/>
      </c>
      <c r="GP53" s="7">
        <f>IFERROR(AVERAGEIF('Данные 1st'!$S$2:$S$317,$A53,'Данные 1st'!$LZ$2:$LZ$317),"")</f>
        <v/>
      </c>
      <c r="GQ53" s="7">
        <f>IFERROR(AVERAGEIF('Данные 1st'!$S$2:$S$317,$A53,'Данные 1st'!$PG$2:$PG$317),"")</f>
        <v>1</v>
      </c>
      <c r="GR53" s="7">
        <f>IFERROR(AVERAGEIF('Данные 1st'!$S$2:$S$317,$A53,'Данные 1st'!$PX$2:$PX$317),"")</f>
        <v>56</v>
      </c>
      <c r="GS53" s="7">
        <f>IFERROR(AVERAGEIF('Данные 1st'!$S$2:$S$317,$A53,'Данные 1st'!$PY$2:$PY$317),"")</f>
        <v>56.333333333333336</v>
      </c>
      <c r="GT53" s="7">
        <f>IFERROR(AVERAGEIF('Данные 1st'!$S$2:$S$317,$A53,'Данные 1st'!$QA$2:$QA$317),"")</f>
        <v>1.3333333333333333</v>
      </c>
      <c r="GU53" s="7">
        <f>IFERROR(AVERAGEIF('Данные 1st'!$S$2:$S$317,$A53,'Данные 1st'!$QB$2:$QB$317),"")</f>
        <v>1380</v>
      </c>
      <c r="GV53" s="7">
        <f>IFERROR(AVERAGEIF('Данные 1st'!$S$2:$S$317,$A53,'Данные 1st'!$QC$2:$QC$317),"")</f>
        <v>69</v>
      </c>
      <c r="GW53" s="7">
        <f>IFERROR(AVERAGEIF('Данные 1st'!$S$2:$S$317,$A53,'Данные 1st'!$QD$2:$QD$317),"")</f>
        <v>69</v>
      </c>
      <c r="GX53" s="7">
        <f>IFERROR(AVERAGEIF('Данные 1st'!$S$2:$S$317,$A53,'Данные 1st'!$QF$2:$QF$317),"")</f>
        <v>1.3333333333333333</v>
      </c>
      <c r="GY53" s="7">
        <f>IFERROR(AVERAGEIF('Данные 1st'!$S$2:$S$317,$A53,'Данные 1st'!$QG$2:$QG$317),"")</f>
        <v>1395</v>
      </c>
      <c r="GZ53" s="7">
        <f>IFERROR(AVERAGEIF('Данные 1st'!$S$2:$S$317,$A53,'Данные 1st'!$QH$2:$QH$317),"")</f>
        <v>66</v>
      </c>
      <c r="HA53" s="7">
        <f>IFERROR(AVERAGEIF('Данные 1st'!$S$2:$S$317,$A53,'Данные 1st'!$QI$2:$QI$317),"")</f>
        <v>66</v>
      </c>
      <c r="HB53" s="7">
        <f>IFERROR(AVERAGEIF('Данные 1st'!$S$2:$S$317,$A53,'Данные 1st'!$QK$2:$QK$317),"")</f>
        <v/>
      </c>
      <c r="HC53" s="7">
        <f>IFERROR(AVERAGEIF('Данные 1st'!$S$2:$S$317,$A53,'Данные 1st'!$QL$2:$QL$317),"")</f>
        <v>0</v>
      </c>
      <c r="HD53" s="7">
        <f>IFERROR(AVERAGEIF('Данные 1st'!$S$2:$S$317,$A53,'Данные 1st'!$QM$2:$QM$317),"")</f>
        <v>62</v>
      </c>
      <c r="HE53" s="7">
        <f>IFERROR(AVERAGEIF('Данные 1st'!$S$2:$S$317,$A53,'Данные 1st'!$QN$2:$QN$317),"")</f>
        <v>62</v>
      </c>
      <c r="HF53" s="7">
        <f>IFERROR(AVERAGEIF('Данные 1st'!$S$2:$S$317,$A53,'Данные 1st'!$QP$2:$QP$317),"")</f>
        <v>1</v>
      </c>
      <c r="HG53" s="7">
        <f>IFERROR(AVERAGEIF('Данные 1st'!$S$2:$S$317,$A53,'Данные 1st'!$QQ$2:$QQ$317),"")</f>
        <v>1391</v>
      </c>
      <c r="HH53" s="7">
        <f>IFERROR(AVERAGEIF('Данные 1st'!$S$2:$S$317,$A53,'Данные 1st'!$QR$2:$QR$317),"")</f>
        <v>62</v>
      </c>
      <c r="HI53" s="7">
        <f>IFERROR(AVERAGEIF('Данные 1st'!$S$2:$S$317,$A53,'Данные 1st'!$QS$2:$QS$317),"")</f>
        <v>62</v>
      </c>
      <c r="HJ53" s="7">
        <f>IFERROR(AVERAGEIF('Данные 1st'!$S$2:$S$317,$A53,'Данные 1st'!$QU$2:$QU$317),"")</f>
        <v>1</v>
      </c>
      <c r="HK53" s="7">
        <f>IFERROR(AVERAGEIF('Данные 1st'!$S$2:$S$317,$A53,'Данные 1st'!$QV$2:$QV$317),"")</f>
        <v>1397.5</v>
      </c>
      <c r="HL53" s="7">
        <f>IFERROR(AVERAGEIF('Данные 1st'!$S$2:$S$317,$A53,'Данные 1st'!$QW$2:$QW$317),"")</f>
        <v>82</v>
      </c>
      <c r="HM53" s="7">
        <f>IFERROR(AVERAGEIF('Данные 1st'!$S$2:$S$317,$A53,'Данные 1st'!$QX$2:$QX$317),"")</f>
        <v>88.66666666666667</v>
      </c>
      <c r="HN53" s="7">
        <f>IFERROR(AVERAGEIF('Данные 1st'!$S$2:$S$317,$A53,'Данные 1st'!$QZ$2:$QZ$317),"")</f>
        <v>1</v>
      </c>
      <c r="HO53" s="7">
        <f>IFERROR(AVERAGEIF('Данные 1st'!$S$2:$S$317,$A53,'Данные 1st'!$RA$2:$RA$317),"")</f>
        <v>66</v>
      </c>
      <c r="HP53" s="7">
        <f>IFERROR(AVERAGEIF('Данные 1st'!$S$2:$S$317,$A53,'Данные 1st'!$RB$2:$RB$317),"")</f>
        <v>66</v>
      </c>
      <c r="HQ53" s="7">
        <f>IFERROR(AVERAGEIF('Данные 1st'!$S$2:$S$317,$A53,'Данные 1st'!$RD$2:$RD$317),"")</f>
        <v/>
      </c>
      <c r="HR53" s="7">
        <f>IFERROR(AVERAGEIF('Данные 1st'!$S$2:$S$317,$A53,'Данные 1st'!$RE$2:$RE$317),"")</f>
        <v>0</v>
      </c>
      <c r="HS53" s="7">
        <f>IFERROR(AVERAGEIF('Данные 1st'!$S$2:$S$317,$A53,'Данные 1st'!$RF$2:$RF$317),"")</f>
        <v>1</v>
      </c>
      <c r="HT53" s="7">
        <f>IFERROR(AVERAGEIF('Данные 1st'!$S$2:$S$317,$A53,'Данные 1st'!$RG$2:$RG$317),"")</f>
        <v/>
      </c>
      <c r="HU53" s="7">
        <f>IFERROR(AVERAGEIF('Данные 1st'!$S$2:$S$317,$A53,'Данные 1st'!$RH$2:$RH$317),"")</f>
        <v>1</v>
      </c>
      <c r="HV53" s="7">
        <f>IFERROR(AVERAGEIF('Данные 1st'!$S$2:$S$317,$A53,'Данные 1st'!$RI$2:$RI$317),"")</f>
        <v/>
      </c>
      <c r="HW53" s="7">
        <f>IFERROR(AVERAGEIF('Данные 1st'!$S$2:$S$317,$A53,'Данные 1st'!$RJ$2:$RJ$317),"")</f>
        <v>1</v>
      </c>
      <c r="HX53" s="7">
        <f>IFERROR(AVERAGEIF('Данные 1st'!$S$2:$S$317,$A53,'Данные 1st'!$RK$2:$RK$317),"")</f>
        <v/>
      </c>
      <c r="HY53" s="7">
        <f>IFERROR(AVERAGEIF('Данные 1st'!$S$2:$S$317,$A53,'Данные 1st'!$RL$2:$RL$317),"")</f>
        <v>1.6666666666666667</v>
      </c>
      <c r="HZ53" s="7">
        <f>IFERROR(AVERAGEIF('Данные 1st'!$S$2:$S$317,$A53,'Данные 1st'!$RM$2:$RM$317),"")</f>
        <v>2</v>
      </c>
      <c r="IA53" s="7">
        <f>IFERROR(AVERAGEIF('Данные 1st'!$S$2:$S$317,$A53,'Данные 1st'!$RN$2:$RN$317),"")</f>
        <v/>
      </c>
      <c r="IB53" s="7">
        <f>IFERROR(AVERAGEIF('Данные 1st'!$S$2:$S$317,$A53,'Данные 1st'!$RO$2:$RO$317),"")</f>
        <v>655.3333333333334</v>
      </c>
      <c r="IC53" s="7">
        <f>IFERROR(AVERAGEIF('Данные 1st'!$S$2:$S$317,$A53,'Данные 1st'!$RP$2:$RP$317),"")</f>
        <v/>
      </c>
      <c r="ID53" s="7">
        <f>IFERROR(AVERAGEIF('Данные 1st'!$S$2:$S$317,$A53,'Данные 1st'!$RQ$2:$RQ$317),"")</f>
        <v>974.6666666666666</v>
      </c>
      <c r="IE53" s="7">
        <f>IFERROR(AVERAGEIF('Данные 1st'!$S$2:$S$317,$A53,'Данные 1st'!$RR$2:$RR$317),"")</f>
        <v>710.5</v>
      </c>
      <c r="IF53" s="7">
        <f>IFERROR(AVERAGEIF('Данные 1st'!$S$2:$S$317,$A53,'Данные 1st'!$RS$2:$RS$317),"")</f>
        <v/>
      </c>
      <c r="IG53" s="7">
        <f>IFERROR(AVERAGEIF('Данные 1st'!$S$2:$S$317,$A53,'Данные 1st'!$RT$2:$RT$317),"")</f>
        <v>344.6666666666667</v>
      </c>
      <c r="IH53" s="7">
        <f>IFERROR(AVERAGEIF('Данные 1st'!$S$2:$S$317,$A53,'Данные 1st'!$RU$2:$RU$317),"")</f>
        <v>253</v>
      </c>
      <c r="II53" s="7">
        <f>IFERROR(AVERAGEIF('Данные 1st'!$S$2:$S$317,$A53,'Данные 1st'!$RX$2:$RX$317),"")</f>
        <v>15</v>
      </c>
      <c r="IJ53" s="7">
        <f>IFERROR(AVERAGEIF('Данные 1st'!$S$2:$S$317,$A53,'Данные 1st'!$RY$2:$RY$317),"")</f>
        <v>4</v>
      </c>
      <c r="IK53" s="7">
        <f>IFERROR(AVERAGEIF('Данные 1st'!$S$2:$S$317,$A53,'Данные 1st'!$SA$2:$SA$317),"")</f>
        <v>15</v>
      </c>
      <c r="IL53" s="7">
        <f>IFERROR(AVERAGEIF('Данные 1st'!$S$2:$S$317,$A53,'Данные 1st'!$SD$2:$SD$317),"")</f>
        <v>1</v>
      </c>
      <c r="IM53" s="7">
        <f>IFERROR(AVERAGEIF('Данные 1st'!$S$2:$S$317,$A53,'Данные 1st'!$SG$2:$SG$317),"")</f>
        <v>1</v>
      </c>
      <c r="IN53" s="7">
        <f>IFERROR(AVERAGEIF('Данные 1st'!$S$2:$S$317,$A53,'Данные 1st'!$SH$2:$SH$317),"")</f>
        <v>0.995</v>
      </c>
      <c r="IO53" s="7">
        <f>IFERROR(AVERAGEIF('Данные 1st'!$S$2:$S$317,$A53,'Данные 1st'!$SI$2:$SI$317),"")</f>
        <v>0.995</v>
      </c>
      <c r="IP53" s="7">
        <f>IFERROR(AVERAGEIF('Данные 1st'!$S$2:$S$317,$A53,'Данные 1st'!$SJ$2:$SJ$317),"")</f>
        <v>0.995</v>
      </c>
      <c r="IQ53" s="7">
        <f>IFERROR(AVERAGEIF('Данные 1st'!$S$2:$S$317,$A53,'Данные 1st'!$SK$2:$SK$317),"")</f>
        <v>15</v>
      </c>
      <c r="IR53" s="7">
        <f>IFERROR(AVERAGEIF('Данные 1st'!$S$2:$S$317,$A53,'Данные 1st'!$SL$2:$SL$317),"")</f>
        <v>0</v>
      </c>
      <c r="IS53" s="7">
        <f>IFERROR(AVERAGEIF('Данные 1st'!$S$2:$S$317,$A53,'Данные 1st'!$SM$2:$SM$317),"")</f>
        <v>0</v>
      </c>
      <c r="IT53" s="7">
        <f>IFERROR(AVERAGEIF('Данные 1st'!$S$2:$S$317,$A53,'Данные 1st'!$SN$2:$SN$317),"")</f>
        <v>0</v>
      </c>
      <c r="IU53" s="7">
        <f>IFERROR(AVERAGEIF('Данные 1st'!$S$2:$S$317,$A53,'Данные 1st'!$SO$2:$SO$317),"")</f>
        <v>0</v>
      </c>
      <c r="IV53" s="7">
        <f>IFERROR(AVERAGEIF('Данные 1st'!$S$2:$S$317,$A53,'Данные 1st'!$SP$2:$SP$317),"")</f>
        <v>0</v>
      </c>
      <c r="IW53" s="7">
        <f>IFERROR(AVERAGEIF('Данные 1st'!$S$2:$S$317,$A53,'Данные 1st'!$SQ$2:$SQ$317),"")</f>
        <v>0</v>
      </c>
      <c r="IX53" s="7">
        <f>IFERROR(AVERAGEIF('Данные 1st'!$S$2:$S$317,$A53,'Данные 1st'!$SR$2:$SR$317),"")</f>
        <v>0</v>
      </c>
      <c r="IY53" s="7">
        <f>IFERROR(AVERAGEIF('Данные 1st'!$S$2:$S$317,$A53,'Данные 1st'!$SS$2:$SS$317),"")</f>
        <v>0</v>
      </c>
      <c r="IZ53" s="7">
        <f>IFERROR(AVERAGEIF('Данные 1st'!$S$2:$S$317,$A53,'Данные 1st'!$ST$2:$ST$317),"")</f>
        <v>0</v>
      </c>
      <c r="JA53" s="7">
        <f>IFERROR(AVERAGEIF('Данные 1st'!$S$2:$S$317,$A53,'Данные 1st'!$SU$2:$SU$317),"")</f>
        <v>0</v>
      </c>
      <c r="JB53" s="7">
        <f>IFERROR(AVERAGEIF('Данные 1st'!$S$2:$S$317,$A53,'Данные 1st'!$SV$2:$SV$317),"")</f>
        <v>0</v>
      </c>
      <c r="JC53" s="7">
        <f>IFERROR(AVERAGEIF('Данные 1st'!$S$2:$S$317,$A53,'Данные 1st'!$SW$2:$SW$317),"")</f>
        <v>0</v>
      </c>
      <c r="JD53" s="7">
        <f>IFERROR(AVERAGEIF('Данные 1st'!$S$2:$S$317,$A53,'Данные 1st'!$SX$2:$SX$317),"")</f>
        <v>0</v>
      </c>
      <c r="JE53" s="7">
        <f>IFERROR(AVERAGEIF('Данные 1st'!$S$2:$S$317,$A53,'Данные 1st'!$SY$2:$SY$317),"")</f>
        <v/>
      </c>
      <c r="JF53" s="7">
        <f>IFERROR(AVERAGEIF('Данные 1st'!$S$2:$S$317,$A53,'Данные 1st'!$SZ$2:$SZ$317),"")</f>
        <v>1</v>
      </c>
      <c r="JG53" s="7">
        <f>IFERROR(AVERAGEIF('Данные 1st'!$S$2:$S$317,$A53,'Данные 1st'!$TA$2:$TA$317),"")</f>
        <v/>
      </c>
      <c r="JH53" s="7">
        <f>IFERROR(AVERAGEIF('Данные 1st'!$S$2:$S$317,$A53,'Данные 1st'!$TB$2:$TB$317),"")</f>
        <v>0</v>
      </c>
      <c r="JI53" s="7">
        <f>IFERROR(AVERAGEIF('Данные 1st'!$S$2:$S$317,$A53,'Данные 1st'!$TC$2:$TC$317),"")</f>
        <v>0</v>
      </c>
      <c r="JJ53" s="7">
        <f>IFERROR(AVERAGEIF('Данные 1st'!$S$2:$S$317,$A53,'Данные 1st'!$TD$2:$TD$317),"")</f>
        <v>8.133333333333333</v>
      </c>
      <c r="JK53" s="7">
        <f>IFERROR(AVERAGEIF('Данные 1st'!$S$2:$S$317,$A53,'Данные 1st'!$TN$2:$TN$317),"")</f>
        <v>0</v>
      </c>
      <c r="JL53">
        <f>COUNTIF('Данные 2st'!$Q$2:$Q$317,$A53)</f>
        <v>3</v>
      </c>
      <c r="JM53" s="6" t="s">
        <v>5110</v>
      </c>
      <c r="JN53" s="6" t="s">
        <v>513</v>
      </c>
      <c r="JO53" s="6" t="s">
        <v>5125</v>
      </c>
      <c r="JP53" s="6" t="s">
        <v>5506</v>
      </c>
      <c r="JQ53" s="7">
        <f>IFERROR(AVERAGEIF('Данные 2st'!$Q$2:$Q$317,$A53,'Данные 2st'!$AC$2:$AC$317),"")</f>
        <v>10.666666666666666</v>
      </c>
      <c r="JR53" s="7">
        <f>IFERROR(AVERAGEIF('Данные 2st'!$Q$2:$Q$317,$A53,'Данные 2st'!$AF$2:$AF$317),"")</f>
        <v>6467.666666666667</v>
      </c>
      <c r="JS53" s="7">
        <f>IFERROR(AVERAGEIF('Данные 2st'!$Q$2:$Q$317,$A53,'Данные 2st'!$AW$2:$AW$317),"")</f>
        <v>6.4</v>
      </c>
      <c r="JT53" s="7">
        <f>IFERROR(AVERAGEIF('Данные 2st'!$Q$2:$Q$317,$A53,'Данные 2st'!$AX$2:$AX$317),"")</f>
        <v>-6</v>
      </c>
      <c r="JU53" s="7">
        <f>IFERROR(AVERAGEIF('Данные 2st'!$Q$2:$Q$317,$A53,'Данные 2st'!$AY$2:$AY$317),"")</f>
        <v>101.16666666666667</v>
      </c>
      <c r="JV53" s="7">
        <f>IFERROR(AVERAGEIF('Данные 2st'!$Q$2:$Q$317,$A53,'Данные 2st'!$AZ$2:$AZ$317),"")</f>
        <v>78.33333333333333</v>
      </c>
      <c r="JW53" s="7">
        <f>IFERROR(AVERAGEIF('Данные 2st'!$Q$2:$Q$317,$A53,'Данные 2st'!$BA$2:$BA$317),"")</f>
        <v/>
      </c>
      <c r="JX53" s="7">
        <f>IFERROR(AVERAGEIF('Данные 2st'!$Q$2:$Q$317,$A53,'Данные 2st'!$BB$2:$BB$317),"")</f>
        <v>100</v>
      </c>
      <c r="JY53" s="7">
        <f>IFERROR(AVERAGEIF('Данные 2st'!$Q$2:$Q$317,$A53,'Данные 2st'!$BC$2:$BC$317),"")</f>
        <v/>
      </c>
      <c r="JZ53" s="7">
        <f>IFERROR(AVERAGEIF('Данные 2st'!$Q$2:$Q$317,$A53,'Данные 2st'!$BH$2:$BH$317),"")</f>
        <v>101.16666666666667</v>
      </c>
      <c r="KA53" s="7">
        <f>IFERROR(AVERAGEIF('Данные 2st'!$Q$2:$Q$317,$A53,'Данные 2st'!$BI$2:$BI$317),"")</f>
        <v>22.833333333333332</v>
      </c>
      <c r="KB53" s="7">
        <f>IFERROR(AVERAGEIF('Данные 2st'!$Q$2:$Q$317,$A53,'Данные 2st'!$BJ$2:$BJ$317),"")</f>
        <v>78.33333333333333</v>
      </c>
      <c r="KC53" s="7">
        <f>IFERROR(AVERAGEIF('Данные 2st'!$Q$2:$Q$317,$A53,'Данные 2st'!$BK$2:$BK$317),"")</f>
        <v>2.8333333333333335</v>
      </c>
      <c r="KD53" s="7">
        <f>IFERROR(AVERAGEIF('Данные 2st'!$Q$2:$Q$317,$A53,'Данные 2st'!$BL$2:$BL$317),"")</f>
        <v>202.33333333333334</v>
      </c>
      <c r="KE53" s="7">
        <f>IFERROR(AVERAGEIF('Данные 2st'!$Q$2:$Q$317,$A53,'Данные 2st'!$BM$2:$BM$317),"")</f>
        <v>-6</v>
      </c>
      <c r="KF53" s="7">
        <f>IFERROR(AVERAGEIF('Данные 2st'!$Q$2:$Q$317,$A53,'Данные 2st'!$BN$2:$BN$317),"")</f>
        <v>33.333333333333336</v>
      </c>
      <c r="KG53" s="7">
        <f>IFERROR(AVERAGEIF('Данные 2st'!$Q$2:$Q$317,$A53,'Данные 2st'!$BO$2:$BO$317),"")</f>
        <v/>
      </c>
      <c r="KH53" s="7">
        <f>IFERROR(AVERAGEIF('Данные 2st'!$Q$2:$Q$317,$A53,'Данные 2st'!$BP$2:$BP$317),"")</f>
        <v>66.66666666666667</v>
      </c>
      <c r="KI53" s="7">
        <f>IFERROR(AVERAGEIF('Данные 2st'!$Q$2:$Q$317,$A53,'Данные 2st'!$BR$2:$BR$317),"")</f>
        <v>196.66666666666666</v>
      </c>
      <c r="KJ53" s="7">
        <f>IFERROR(AVERAGEIF('Данные 2st'!$Q$2:$Q$317,$A53,'Данные 2st'!$BS$2:$BS$317),"")</f>
        <v>186.66666666666666</v>
      </c>
      <c r="KK53" s="7">
        <f>IFERROR(AVERAGEIF('Данные 2st'!$Q$2:$Q$317,$A53,'Данные 2st'!$BT$2:$BT$317),"")</f>
        <v>2241.6666666666665</v>
      </c>
      <c r="KL53" s="7">
        <f>IFERROR(AVERAGEIF('Данные 2st'!$Q$2:$Q$317,$A53,'Данные 2st'!$CV$2:$CV$317),"")</f>
        <v>132.66666666666666</v>
      </c>
      <c r="KM53" s="7">
        <f>IFERROR(AVERAGEIF('Данные 2st'!$Q$2:$Q$317,$A53,'Данные 2st'!$CW$2:$CW$317),"")</f>
        <v>3</v>
      </c>
      <c r="KN53" s="7">
        <f>IFERROR(AVERAGEIF('Данные 2st'!$Q$2:$Q$317,$A53,'Данные 2st'!$CX$2:$CX$317),"")</f>
        <v>84</v>
      </c>
      <c r="KO53" s="7">
        <f>IFERROR(AVERAGEIF('Данные 2st'!$Q$2:$Q$317,$A53,'Данные 2st'!$CY$2:$CY$317),"")</f>
        <v>5</v>
      </c>
      <c r="KP53" s="7">
        <f>IFERROR(AVERAGEIF('Данные 2st'!$Q$2:$Q$317,$A53,'Данные 2st'!$CZ$2:$CZ$317),"")</f>
        <v>128.66666666666666</v>
      </c>
      <c r="KQ53" s="7">
        <f>IFERROR(AVERAGEIF('Данные 2st'!$Q$2:$Q$317,$A53,'Данные 2st'!$DA$2:$DA$317),"")</f>
        <v>5</v>
      </c>
      <c r="KR53" s="7">
        <f>IFERROR(AVERAGEIF('Данные 2st'!$Q$2:$Q$317,$A53,'Данные 2st'!$DB$2:$DB$317),"")</f>
        <v>14576.666666666666</v>
      </c>
      <c r="KS53" s="7">
        <f>IFERROR(AVERAGEIF('Данные 2st'!$Q$2:$Q$317,$A53,'Данные 2st'!$DC$2:$DC$317),"")</f>
        <v>370</v>
      </c>
      <c r="KT53" s="7">
        <f>IFERROR(AVERAGEIF('Данные 2st'!$Q$2:$Q$317,$A53,'Данные 2st'!$DD$2:$DD$317),"")</f>
        <v>354.6666666666667</v>
      </c>
      <c r="KU53" s="7">
        <f>IFERROR(AVERAGEIF('Данные 2st'!$Q$2:$Q$317,$A53,'Данные 2st'!$DE$2:$DE$317),"")</f>
        <v>2362.6666666666665</v>
      </c>
      <c r="KV53" s="7">
        <f>IFERROR(AVERAGEIF('Данные 2st'!$Q$2:$Q$317,$A53,'Данные 2st'!$DF$2:$DF$317),"")</f>
        <v>2362.6666666666665</v>
      </c>
      <c r="KW53" s="7">
        <f>IFERROR(AVERAGEIF('Данные 2st'!$Q$2:$Q$317,$A53,'Данные 2st'!$DG$2:$DG$317),"")</f>
        <v>2371.6666666666665</v>
      </c>
      <c r="KX53" s="7">
        <f>IFERROR(AVERAGEIF('Данные 2st'!$Q$2:$Q$317,$A53,'Данные 2st'!$DH$2:$DH$317),"")</f>
        <v/>
      </c>
      <c r="KY53" s="7">
        <f>IFERROR(AVERAGEIF('Данные 2st'!$Q$2:$Q$317,$A53,'Данные 2st'!$DI$2:$DI$317),"")</f>
        <v/>
      </c>
      <c r="KZ53" s="7">
        <f>IFERROR(AVERAGEIF('Данные 2st'!$Q$2:$Q$317,$A53,'Данные 2st'!$DK$2:$DK$317),"")</f>
        <v>196.66666666666666</v>
      </c>
      <c r="LA53" s="7">
        <f>IFERROR(AVERAGEIF('Данные 2st'!$Q$2:$Q$317,$A53,'Данные 2st'!$DM$2:$DM$317),"")</f>
        <v>63.666666666666664</v>
      </c>
      <c r="LB53" s="7">
        <f>IFERROR(AVERAGEIF('Данные 2st'!$Q$2:$Q$317,$A53,'Данные 2st'!$DN$2:$DN$317),"")</f>
        <v>1.36</v>
      </c>
      <c r="LC53" s="7">
        <f>IFERROR(AVERAGEIF('Данные 2st'!$Q$2:$Q$317,$A53,'Данные 2st'!$DO$2:$DO$317),"")</f>
        <v>1</v>
      </c>
      <c r="LD53" s="7">
        <f>IFERROR(AVERAGEIF('Данные 2st'!$Q$2:$Q$317,$A53,'Данные 2st'!$DP$2:$DP$317),"")</f>
        <v>2245.6666666666665</v>
      </c>
      <c r="LE53" s="7">
        <f>IFERROR(AVERAGEIF('Данные 2st'!$Q$2:$Q$317,$A53,'Данные 2st'!$DQ$2:$DQ$317),"")</f>
        <v>1112.3333333333333</v>
      </c>
      <c r="LF53" s="7">
        <f>IFERROR(AVERAGEIF('Данные 2st'!$Q$2:$Q$317,$A53,'Данные 2st'!$DS$2:$DS$317),"")</f>
        <v>186.66666666666666</v>
      </c>
      <c r="LG53" s="7">
        <f>IFERROR(AVERAGEIF('Данные 2st'!$Q$2:$Q$317,$A53,'Данные 2st'!$DU$2:$DU$317),"")</f>
        <v>63.666666666666664</v>
      </c>
      <c r="LH53" s="7">
        <f>IFERROR(AVERAGEIF('Данные 2st'!$Q$2:$Q$317,$A53,'Данные 2st'!$DV$2:$DV$317),"")</f>
        <v>1.36</v>
      </c>
      <c r="LI53" s="7">
        <f>IFERROR(AVERAGEIF('Данные 2st'!$Q$2:$Q$317,$A53,'Данные 2st'!$DW$2:$DW$317),"")</f>
        <v>1</v>
      </c>
      <c r="LJ53" s="7">
        <f>IFERROR(AVERAGEIF('Данные 2st'!$Q$2:$Q$317,$A53,'Данные 2st'!$DX$2:$DX$317),"")</f>
        <v>2259.6666666666665</v>
      </c>
      <c r="LK53" s="7">
        <f>IFERROR(AVERAGEIF('Данные 2st'!$Q$2:$Q$317,$A53,'Данные 2st'!$DY$2:$DY$317),"")</f>
        <v>1062.3333333333333</v>
      </c>
      <c r="LL53" s="7">
        <f>IFERROR(AVERAGEIF('Данные 2st'!$Q$2:$Q$317,$A53,'Данные 2st'!$EA$2:$EA$317),"")</f>
        <v>20</v>
      </c>
      <c r="LM53" s="7">
        <f>IFERROR(AVERAGEIF('Данные 2st'!$Q$2:$Q$317,$A53,'Данные 2st'!$EC$2:$EC$317),"")</f>
        <v>0.8</v>
      </c>
      <c r="LN53" s="7">
        <f>IFERROR(AVERAGEIF('Данные 2st'!$Q$2:$Q$317,$A53,'Данные 2st'!$ED$2:$ED$317),"")</f>
        <v>2245.6666666666665</v>
      </c>
      <c r="LO53" s="7">
        <f>IFERROR(AVERAGEIF('Данные 2st'!$Q$2:$Q$317,$A53,'Данные 2st'!$EE$2:$EE$317),"")</f>
        <v>78.33333333333333</v>
      </c>
      <c r="LP53" s="7">
        <f>IFERROR(AVERAGEIF('Данные 2st'!$Q$2:$Q$317,$A53,'Данные 2st'!$EG$2:$EG$317),"")</f>
        <v>0</v>
      </c>
      <c r="LQ53" s="7">
        <f>IFERROR(AVERAGEIF('Данные 2st'!$Q$2:$Q$317,$A53,'Данные 2st'!$EI$2:$EI$317),"")</f>
        <v>0</v>
      </c>
      <c r="LR53" s="7">
        <f>IFERROR(AVERAGEIF('Данные 2st'!$Q$2:$Q$317,$A53,'Данные 2st'!$EJ$2:$EJ$317),"")</f>
        <v/>
      </c>
      <c r="LS53" s="7">
        <f>IFERROR(AVERAGEIF('Данные 2st'!$Q$2:$Q$317,$A53,'Данные 2st'!$EK$2:$EK$317),"")</f>
        <v/>
      </c>
      <c r="LT53" s="7">
        <f>IFERROR(AVERAGEIF('Данные 2st'!$Q$2:$Q$317,$A53,'Данные 2st'!$EM$2:$EM$317),"")</f>
        <v>12</v>
      </c>
      <c r="LU53" s="7">
        <f>IFERROR(AVERAGEIF('Данные 2st'!$Q$2:$Q$317,$A53,'Данные 2st'!$EN$2:$EN$317),"")</f>
        <v>0.5</v>
      </c>
      <c r="LV53" s="7">
        <f>IFERROR(AVERAGEIF('Данные 2st'!$Q$2:$Q$317,$A53,'Данные 2st'!$EO$2:$EO$317),"")</f>
        <v>0.96</v>
      </c>
      <c r="LW53" s="7">
        <f>IFERROR(AVERAGEIF('Данные 2st'!$Q$2:$Q$317,$A53,'Данные 2st'!$EP$2:$EP$317),"")</f>
        <v>2258.7666666666664</v>
      </c>
      <c r="LX53" s="7">
        <f>IFERROR(AVERAGEIF('Данные 2st'!$Q$2:$Q$317,$A53,'Данные 2st'!$EQ$2:$EQ$317),"")</f>
        <v>37824.61666666667</v>
      </c>
      <c r="LY53" s="7">
        <f>IFERROR(AVERAGEIF('Данные 2st'!$Q$2:$Q$317,$A53,'Данные 2st'!$ER$2:$ER$317),"")</f>
        <v>8093.986666666667</v>
      </c>
      <c r="LZ53" s="7">
        <f>IFERROR(AVERAGEIF('Данные 2st'!$Q$2:$Q$317,$A53,'Данные 2st'!$ES$2:$ES$317),"")</f>
        <v>11922.726666666667</v>
      </c>
      <c r="MA53" s="7">
        <f>IFERROR(AVERAGEIF('Данные 2st'!$Q$2:$Q$317,$A53,'Данные 2st'!$ET$2:$ET$317),"")</f>
        <v>0</v>
      </c>
      <c r="MB53" s="7">
        <f>IFERROR(AVERAGEIF('Данные 2st'!$Q$2:$Q$317,$A53,'Данные 2st'!$EU$2:$EU$317),"")</f>
        <v>1</v>
      </c>
      <c r="MC53" s="7">
        <f>IFERROR(AVERAGEIF('Данные 2st'!$Q$2:$Q$317,$A53,'Данные 2st'!$EV$2:$EV$317),"")</f>
        <v>57842</v>
      </c>
      <c r="MD53" s="7">
        <f>IFERROR(AVERAGEIF('Данные 2st'!$Q$2:$Q$317,$A53,'Данные 2st'!$EW$2:$EW$317),"")</f>
        <v>694.6666666666666</v>
      </c>
      <c r="ME53" s="7">
        <f>IFERROR(AVERAGEIF('Данные 2st'!$Q$2:$Q$317,$A53,'Данные 2st'!$EY$2:$EY$317),"")</f>
        <v>231.33333333333334</v>
      </c>
      <c r="MF53" s="7">
        <f>IFERROR(AVERAGEIF('Данные 2st'!$Q$2:$Q$317,$A53,'Данные 2st'!$FA$2:$FA$317),"")</f>
        <v>4.933333333333334</v>
      </c>
      <c r="MG53" s="7">
        <f>IFERROR(AVERAGEIF('Данные 2st'!$Q$2:$Q$317,$A53,'Данные 2st'!$FB$2:$FB$317),"")</f>
        <v>1</v>
      </c>
      <c r="MH53" s="7">
        <f>IFERROR(AVERAGEIF('Данные 2st'!$Q$2:$Q$317,$A53,'Данные 2st'!$FC$2:$FC$317),"")</f>
        <v>1</v>
      </c>
      <c r="MI53" s="7">
        <f>IFERROR(AVERAGEIF('Данные 2st'!$Q$2:$Q$317,$A53,'Данные 2st'!$FD$2:$FD$317),"")</f>
        <v>2291.6666666666665</v>
      </c>
      <c r="MJ53" s="7">
        <f>IFERROR(AVERAGEIF('Данные 2st'!$Q$2:$Q$317,$A53,'Данные 2st'!$FE$2:$FE$317),"")</f>
        <v>2802.3333333333335</v>
      </c>
      <c r="MK53" s="7">
        <f>IFERROR(AVERAGEIF('Данные 2st'!$Q$2:$Q$317,$A53,'Данные 2st'!$FG$2:$FG$317),"")</f>
        <v>231.33333333333334</v>
      </c>
      <c r="ML53" s="7">
        <f>IFERROR(AVERAGEIF('Данные 2st'!$Q$2:$Q$317,$A53,'Данные 2st'!$FI$2:$FI$317),"")</f>
        <v>3.0</v>
      </c>
      <c r="MM53" s="7">
        <f>IFERROR(AVERAGEIF('Данные 2st'!$Q$2:$Q$317,$A53,'Данные 2st'!$FJ$2:$FJ$317),"")</f>
        <v>2291.6666666666665</v>
      </c>
      <c r="MN53" s="7">
        <f>IFERROR(AVERAGEIF('Данные 2st'!$Q$2:$Q$317,$A53,'Данные 2st'!$FK$2:$FK$317),"")</f>
        <v>1932.6666666666667</v>
      </c>
      <c r="MO53" s="7">
        <f>IFERROR(AVERAGEIF('Данные 2st'!$Q$2:$Q$317,$A53,'Данные 2st'!$FP$2:$FP$317),"")</f>
        <v>2291.6666666666665</v>
      </c>
      <c r="MP53" s="7">
        <f>IFERROR(AVERAGEIF('Данные 2st'!$Q$2:$Q$317,$A53,'Данные 2st'!$FQ$2:$FQ$317),"")</f>
        <v>161</v>
      </c>
      <c r="MQ53" s="7">
        <f>IFERROR(AVERAGEIF('Данные 2st'!$Q$2:$Q$317,$A53,'Данные 2st'!$FS$2:$FS$317),"")</f>
        <v>235.33333333333334</v>
      </c>
      <c r="MR53" s="7">
        <f>IFERROR(AVERAGEIF('Данные 2st'!$Q$2:$Q$317,$A53,'Данные 2st'!$FU$2:$FU$317),"")</f>
        <v>0.4</v>
      </c>
      <c r="MS53" s="7">
        <f>IFERROR(AVERAGEIF('Данные 2st'!$Q$2:$Q$317,$A53,'Данные 2st'!$FV$2:$FV$317),"")</f>
        <v>2291.6666666666665</v>
      </c>
      <c r="MT53" s="7">
        <f>IFERROR(AVERAGEIF('Данные 2st'!$Q$2:$Q$317,$A53,'Данные 2st'!$FW$2:$FW$317),"")</f>
        <v>240</v>
      </c>
      <c r="MU53" s="7">
        <f>IFERROR(AVERAGEIF('Данные 2st'!$Q$2:$Q$317,$A53,'Данные 2st'!$FY$2:$FY$317),"")</f>
        <v>5</v>
      </c>
      <c r="MV53" s="7">
        <f>IFERROR(AVERAGEIF('Данные 2st'!$Q$2:$Q$317,$A53,'Данные 2st'!$GB$2:$GB$317),"")</f>
        <v>2291.6666666666665</v>
      </c>
      <c r="MW53" s="7">
        <f>IFERROR(AVERAGEIF('Данные 2st'!$Q$2:$Q$317,$A53,'Данные 2st'!$GC$2:$GC$317),"")</f>
        <v>22.333333333333332</v>
      </c>
      <c r="MX53" s="7">
        <f>IFERROR(AVERAGEIF('Данные 2st'!$Q$2:$Q$317,$A53,'Данные 2st'!$GD$2:$GD$317),"")</f>
        <v>5158.333333333333</v>
      </c>
      <c r="MY53" s="7">
        <f>IFERROR(AVERAGEIF('Данные 2st'!$Q$2:$Q$317,$A53,'Данные 2st'!$GN$2:$GN$317),"")</f>
        <v/>
      </c>
      <c r="MZ53" s="7">
        <f>IFERROR(AVERAGEIF('Данные 2st'!$Q$2:$Q$317,$A53,'Данные 2st'!$GQ$2:$GQ$317),"")</f>
        <v>0</v>
      </c>
      <c r="NA53" s="7">
        <f>IFERROR(AVERAGEIF('Данные 2st'!$Q$2:$Q$317,$A53,'Данные 2st'!$GV$2:$GV$317),"")</f>
        <v>8.333333333333334</v>
      </c>
      <c r="NB53" s="7">
        <f>IFERROR(AVERAGEIF('Данные 2st'!$Q$2:$Q$317,$A53,'Данные 2st'!$GW$2:$GW$317),"")</f>
        <v>9.933333333333334</v>
      </c>
      <c r="NC53" s="7">
        <f>IFERROR(AVERAGEIF('Данные 2st'!$Q$2:$Q$317,$A53,'Данные 2st'!$GX$2:$GX$317),"")</f>
        <v>0.5</v>
      </c>
      <c r="ND53" s="7">
        <f>IFERROR(AVERAGEIF('Данные 2st'!$Q$2:$Q$317,$A53,'Данные 2st'!$GY$2:$GY$317),"")</f>
        <v>192</v>
      </c>
      <c r="NE53" s="7">
        <f>IFERROR(AVERAGEIF('Данные 2st'!$Q$2:$Q$317,$A53,'Данные 2st'!$GZ$2:$GZ$317),"")</f>
        <v>3</v>
      </c>
      <c r="NF53" s="7">
        <f>IFERROR(AVERAGEIF('Данные 2st'!$Q$2:$Q$317,$A53,'Данные 2st'!$HA$2:$HA$317),"")</f>
        <v>250</v>
      </c>
      <c r="NG53" s="7">
        <f>IFERROR(AVERAGEIF('Данные 2st'!$Q$2:$Q$317,$A53,'Данные 2st'!$HB$2:$HB$317),"")</f>
        <v>3</v>
      </c>
      <c r="NH53" s="7">
        <f>IFERROR(AVERAGEIF('Данные 2st'!$Q$2:$Q$317,$A53,'Данные 2st'!$HC$2:$HC$317),"")</f>
        <v>2291.6666666666665</v>
      </c>
      <c r="NI53" s="7">
        <f>IFERROR(AVERAGEIF('Данные 2st'!$Q$2:$Q$317,$A53,'Данные 2st'!$HD$2:$HD$317),"")</f>
        <v>4</v>
      </c>
      <c r="NJ53" s="7">
        <f>IFERROR(AVERAGEIF('Данные 2st'!$Q$2:$Q$317,$A53,'Данные 2st'!$HM$2:$HM$317),"")</f>
        <v>18</v>
      </c>
      <c r="NK53" s="7">
        <f>IFERROR(AVERAGEIF('Данные 2st'!$Q$2:$Q$317,$A53,'Данные 2st'!$HR$2:$HR$317),"")</f>
        <v>3</v>
      </c>
      <c r="NL53" s="7">
        <f>IFERROR(AVERAGEIF('Данные 2st'!$Q$2:$Q$317,$A53,'Данные 2st'!$HS$2:$HS$317),"")</f>
        <v>2241.6666666666665</v>
      </c>
      <c r="NM53" s="7">
        <f>IFERROR(AVERAGEIF('Данные 2st'!$Q$2:$Q$317,$A53,'Данные 2st'!$HT$2:$HT$317),"")</f>
        <v>5</v>
      </c>
      <c r="NN53" s="7">
        <f>IFERROR(AVERAGEIF('Данные 2st'!$Q$2:$Q$317,$A53,'Данные 2st'!$HY$2:$HY$317),"")</f>
        <v>0</v>
      </c>
      <c r="NO53" s="7">
        <f>IFERROR(AVERAGEIF('Данные 2st'!$Q$2:$Q$317,$A53,'Данные 2st'!$HZ$2:$HZ$317),"")</f>
        <v>63.666666666666664</v>
      </c>
      <c r="NP53" s="7">
        <f>IFERROR(AVERAGEIF('Данные 2st'!$Q$2:$Q$317,$A53,'Данные 2st'!$IA$2:$IA$317),"")</f>
        <v>2245.6666666666665</v>
      </c>
      <c r="NQ53" s="7">
        <f>IFERROR(AVERAGEIF('Данные 2st'!$Q$2:$Q$317,$A53,'Данные 2st'!$IB$2:$IB$317),"")</f>
        <v>2259.6666666666665</v>
      </c>
      <c r="NR53" s="7">
        <f>IFERROR(AVERAGEIF('Данные 2st'!$Q$2:$Q$317,$A53,'Данные 2st'!$IC$2:$IC$317),"")</f>
        <v/>
      </c>
      <c r="NS53" s="7">
        <f>IFERROR(AVERAGEIF('Данные 2st'!$Q$2:$Q$317,$A53,'Данные 2st'!$ID$2:$ID$317),"")</f>
        <v>2291.6666666666665</v>
      </c>
      <c r="NT53" s="7">
        <f>IFERROR(AVERAGEIF('Данные 2st'!$Q$2:$Q$317,$A53,'Данные 2st'!$IE$2:$IE$317),"")</f>
        <v>2291.6666666666665</v>
      </c>
      <c r="NU53" s="7">
        <f>IFERROR(AVERAGEIF('Данные 2st'!$Q$2:$Q$317,$A53,'Данные 2st'!$IF$2:$IF$317),"")</f>
        <v>196.66666666666666</v>
      </c>
      <c r="NV53" s="7">
        <f>IFERROR(AVERAGEIF('Данные 2st'!$Q$2:$Q$317,$A53,'Данные 2st'!$IG$2:$IG$317),"")</f>
        <v>186.66666666666666</v>
      </c>
      <c r="NW53" s="7">
        <f>IFERROR(AVERAGEIF('Данные 2st'!$Q$2:$Q$317,$A53,'Данные 2st'!$IH$2:$IH$317),"")</f>
        <v>250</v>
      </c>
      <c r="NX53" s="7">
        <f>IFERROR(AVERAGEIF('Данные 2st'!$Q$2:$Q$317,$A53,'Данные 2st'!$IJ$2:$IJ$317),"")</f>
        <v>5</v>
      </c>
      <c r="NY53" s="7">
        <f>IFERROR(AVERAGEIF('Данные 2st'!$Q$2:$Q$317,$A53,'Данные 2st'!$IM$2:$IM$317),"")</f>
        <v>0</v>
      </c>
      <c r="NZ53" s="7">
        <f>IFERROR(AVERAGEIF('Данные 2st'!$Q$2:$Q$317,$A53,'Данные 2st'!$IN$2:$IN$317),"")</f>
        <v>150</v>
      </c>
      <c r="OA53" s="7">
        <f>IFERROR(AVERAGEIF('Данные 2st'!$Q$2:$Q$317,$A53,'Данные 2st'!$IO$2:$IO$317),"")</f>
        <v>0</v>
      </c>
      <c r="OB53" s="7">
        <f>IFERROR(AVERAGEIF('Данные 2st'!$Q$2:$Q$317,$A53,'Данные 2st'!$IP$2:$IP$317),"")</f>
        <v>180</v>
      </c>
      <c r="OC53" s="7">
        <f>IFERROR(AVERAGEIF('Данные 2st'!$Q$2:$Q$317,$A53,'Данные 2st'!$IQ$2:$IQ$317),"")</f>
        <v>0</v>
      </c>
      <c r="OD53" s="7">
        <f>IFERROR(AVERAGEIF('Данные 2st'!$Q$2:$Q$317,$A53,'Данные 2st'!$IR$2:$IR$317),"")</f>
        <v>330</v>
      </c>
      <c r="OE53" s="7">
        <f>IFERROR(AVERAGEIF('Данные 2st'!$Q$2:$Q$317,$A53,'Данные 2st'!$IT$2:$IT$317),"")</f>
        <v>90</v>
      </c>
      <c r="OF53" s="7">
        <f>IFERROR(AVERAGEIF('Данные 2st'!$Q$2:$Q$317,$A53,'Данные 2st'!$IU$2:$IU$317),"")</f>
        <v>0</v>
      </c>
      <c r="OG53" s="7">
        <f>IFERROR(AVERAGEIF('Данные 2st'!$Q$2:$Q$317,$A53,'Данные 2st'!$IV$2:$IV$317),"")</f>
        <v>6.4</v>
      </c>
      <c r="OH53" s="7">
        <f>IFERROR(AVERAGEIF('Данные 2st'!$Q$2:$Q$317,$A53,'Данные 2st'!$IW$2:$IW$317),"")</f>
        <v>-6</v>
      </c>
      <c r="OI53" s="7">
        <f>IFERROR(AVERAGEIF('Данные 2st'!$Q$2:$Q$317,$A53,'Данные 2st'!$IX$2:$IX$317),"")</f>
        <v>101.16666666666667</v>
      </c>
      <c r="OJ53" s="7">
        <f>IFERROR(AVERAGEIF('Данные 2st'!$Q$2:$Q$317,$A53,'Данные 2st'!$IY$2:$IY$317),"")</f>
        <v>78.33333333333333</v>
      </c>
      <c r="OK53" s="7">
        <f>IFERROR(AVERAGEIF('Данные 2st'!$Q$2:$Q$317,$A53,'Данные 2st'!$IZ$2:$IZ$317),"")</f>
        <v>0</v>
      </c>
      <c r="OL53" s="7">
        <f>IFERROR(AVERAGEIF('Данные 2st'!$Q$2:$Q$317,$A53,'Данные 2st'!$JA$2:$JA$317),"")</f>
        <v>33.333333333333336</v>
      </c>
      <c r="OM53" s="7">
        <f>IFERROR(AVERAGEIF('Данные 2st'!$Q$2:$Q$317,$A53,'Данные 2st'!$JB$2:$JB$317),"")</f>
        <v>0</v>
      </c>
      <c r="ON53" s="7">
        <f>IFERROR(AVERAGEIF('Данные 2st'!$Q$2:$Q$317,$A53,'Данные 2st'!$JC$2:$JC$317),"")</f>
        <v>0</v>
      </c>
      <c r="OO53" s="7">
        <f>IFERROR(AVERAGEIF('Данные 2st'!$Q$2:$Q$317,$A53,'Данные 2st'!$JD$2:$JD$317),"")</f>
        <v>0</v>
      </c>
      <c r="OP53" s="7">
        <f>IFERROR(AVERAGEIF('Данные 2st'!$Q$2:$Q$317,$A53,'Данные 2st'!$JE$2:$JE$317),"")</f>
        <v>0</v>
      </c>
      <c r="OQ53" s="7">
        <f>IFERROR(AVERAGEIF('Данные 2st'!$Q$2:$Q$317,$A53,'Данные 2st'!$JF$2:$JF$317),"")</f>
        <v>0</v>
      </c>
      <c r="OR53" s="7">
        <f>IFERROR(AVERAGEIF('Данные 2st'!$Q$2:$Q$317,$A53,'Данные 2st'!$JG$2:$JG$317),"")</f>
        <v>0</v>
      </c>
      <c r="OS53" s="7">
        <f>IFERROR(AVERAGEIF('Данные 2st'!$Q$2:$Q$317,$A53,'Данные 2st'!$JH$2:$JH$317),"")</f>
        <v>0</v>
      </c>
      <c r="OT53" s="7">
        <f>IFERROR(AVERAGEIF('Данные 2st'!$Q$2:$Q$317,$A53,'Данные 2st'!$JI$2:$JI$317),"")</f>
        <v>436.6666666666667</v>
      </c>
      <c r="OU53" s="7">
        <f>IFERROR(AVERAGEIF('Данные 2st'!$Q$2:$Q$317,$A53,'Данные 2st'!$JJ$2:$JJ$317),"")</f>
        <v>403.3333333333333</v>
      </c>
      <c r="OV53" s="7">
        <f>IFERROR(AVERAGEIF('Данные 2st'!$Q$2:$Q$317,$A53,'Данные 2st'!$JK$2:$JK$317),"")</f>
        <v>298.3333333333333</v>
      </c>
      <c r="OW53" s="7">
        <f>IFERROR(AVERAGEIF('Данные 2st'!$Q$2:$Q$317,$A53,'Данные 2st'!$JL$2:$JL$317),"")</f>
        <v>401.3333333333333</v>
      </c>
      <c r="OX53" s="7">
        <f>IFERROR(AVERAGEIF('Данные 2st'!$Q$2:$Q$317,$A53,'Данные 2st'!$JM$2:$JM$317),"")</f>
        <v>310</v>
      </c>
      <c r="OY53" s="7">
        <f>IFERROR(AVERAGEIF('Данные 2st'!$Q$2:$Q$317,$A53,'Данные 2st'!$JP$2:$JP$317),"")</f>
        <v>191.66666666666666</v>
      </c>
      <c r="OZ53" s="7">
        <f>IFERROR(AVERAGEIF('Данные 2st'!$Q$2:$Q$317,$A53,'Данные 2st'!$JQ$2:$JQ$317),"")</f>
        <v>230</v>
      </c>
      <c r="PA53" s="7">
        <f>IFERROR(AVERAGEIF('Данные 2st'!$Q$2:$Q$317,$A53,'Данные 2st'!$JR$2:$JR$317),"")</f>
        <v>333.3333333333333</v>
      </c>
      <c r="PB53" s="7">
        <f>IFERROR(AVERAGEIF('Данные 2st'!$Q$2:$Q$317,$A53,'Данные 2st'!$JS$2:$JS$317),"")</f>
        <v>210</v>
      </c>
      <c r="PC53" s="7">
        <f>IFERROR(AVERAGEIF('Данные 2st'!$Q$2:$Q$317,$A53,'Данные 2st'!$JT$2:$JT$317),"")</f>
        <v>0</v>
      </c>
      <c r="PD53" s="7">
        <f>IFERROR(AVERAGEIF('Данные 2st'!$Q$2:$Q$317,$A53,'Данные 2st'!$JU$2:$JU$317),"")</f>
        <v>0</v>
      </c>
      <c r="PE53" s="7">
        <f>IFERROR(AVERAGEIF('Данные 2st'!$Q$2:$Q$317,$A53,'Данные 2st'!$JV$2:$JV$317),"")</f>
        <v>331.6666666666667</v>
      </c>
      <c r="PF53" s="7">
        <f>IFERROR(AVERAGEIF('Данные 2st'!$Q$2:$Q$317,$A53,'Данные 2st'!$JW$2:$JW$317),"")</f>
        <v>333.6666666666667</v>
      </c>
      <c r="PG53" s="7">
        <f>IFERROR(AVERAGEIF('Данные 2st'!$Q$2:$Q$317,$A53,'Данные 2st'!$KF$2:$KF$317),"")</f>
        <v>0.19</v>
      </c>
      <c r="PH53" s="7">
        <f>IFERROR(AVERAGEIF('Данные 2st'!$Q$2:$Q$317,$A53,'Данные 2st'!$KG$2:$KG$317),"")</f>
        <v>0.10333333333333333</v>
      </c>
      <c r="PI53" s="7">
        <f>IFERROR(AVERAGEIF('Данные 2st'!$Q$2:$Q$317,$A53,'Данные 2st'!$KM$2:$KM$317),"")</f>
        <v>0</v>
      </c>
      <c r="PJ53" s="7">
        <f>IFERROR(AVERAGEIF('Данные 2st'!$Q$2:$Q$317,$A53,'Данные 2st'!$KN$2:$KN$317),"")</f>
        <v>2.3</v>
      </c>
      <c r="PK53" s="7">
        <f>IFERROR(AVERAGEIF('Данные 2st'!$Q$2:$Q$317,$A53,'Данные 2st'!$KO$2:$KO$317),"")</f>
        <v>0</v>
      </c>
      <c r="PL53" s="7">
        <f>IFERROR(AVERAGEIF('Данные 2st'!$Q$2:$Q$317,$A53,'Данные 2st'!$KP$2:$KP$317),"")</f>
        <v>0</v>
      </c>
      <c r="PM53" s="7">
        <f>IFERROR(AVERAGEIF('Данные 2st'!$Q$2:$Q$317,$A53,'Данные 2st'!$KQ$2:$KQ$317),"")</f>
        <v>0.8</v>
      </c>
      <c r="PN53" s="7">
        <f>IFERROR(AVERAGEIF('Данные 2st'!$Q$2:$Q$317,$A53,'Данные 2st'!$KR$2:$KR$317),"")</f>
        <v>1.2666666666666666</v>
      </c>
      <c r="PO53" s="7">
        <f>IFERROR(AVERAGEIF('Данные 2st'!$Q$2:$Q$317,$A53,'Данные 2st'!$KS$2:$KS$317),"")</f>
        <v>0</v>
      </c>
      <c r="PP53" s="7">
        <f>IFERROR(AVERAGEIF('Данные 2st'!$Q$2:$Q$317,$A53,'Данные 2st'!$KT$2:$KT$317),"")</f>
        <v>3.1666666666666665</v>
      </c>
      <c r="PQ53" s="7">
        <f>IFERROR(AVERAGEIF('Данные 2st'!$Q$2:$Q$317,$A53,'Данные 2st'!$KU$2:$KU$317),"")</f>
        <v>0</v>
      </c>
      <c r="PR53" s="7">
        <f>IFERROR(AVERAGEIF('Данные 2st'!$Q$2:$Q$317,$A53,'Данные 2st'!$KV$2:$KV$317),"")</f>
        <v>0</v>
      </c>
      <c r="PS53" s="7">
        <f>IFERROR(AVERAGEIF('Данные 2st'!$Q$2:$Q$317,$A53,'Данные 2st'!$KW$2:$KW$317),"")</f>
        <v>1.1333333333333333</v>
      </c>
      <c r="PT53" s="7">
        <f>IFERROR(AVERAGEIF('Данные 2st'!$Q$2:$Q$317,$A53,'Данные 2st'!$KX$2:$KX$317),"")</f>
        <v>2</v>
      </c>
      <c r="PU53" s="7">
        <f>IFERROR(AVERAGEIF('Данные 2st'!$Q$2:$Q$317,$A53,'Данные 2st'!$KY$2:$KY$317),"")</f>
        <v>0</v>
      </c>
      <c r="PV53" s="7">
        <f>IFERROR(AVERAGEIF('Данные 2st'!$Q$2:$Q$317,$A53,'Данные 2st'!$KZ$2:$KZ$317),"")</f>
        <v>2</v>
      </c>
      <c r="PW53" s="7">
        <f>IFERROR(AVERAGEIF('Данные 2st'!$Q$2:$Q$317,$A53,'Данные 2st'!$LA$2:$LA$317),"")</f>
        <v>0.9333333333333332</v>
      </c>
      <c r="PX53" s="7">
        <f>IFERROR(AVERAGEIF('Данные 2st'!$Q$2:$Q$317,$A53,'Данные 2st'!$LB$2:$LB$317),"")</f>
        <v>5.333333333333333</v>
      </c>
      <c r="PY53" s="7">
        <f>IFERROR(AVERAGEIF('Данные 2st'!$Q$2:$Q$317,$A53,'Данные 2st'!$LC$2:$LC$317),"")</f>
        <v>1.8666666666666665</v>
      </c>
      <c r="PZ53" s="7">
        <f>IFERROR(AVERAGEIF('Данные 2st'!$Q$2:$Q$317,$A53,'Данные 2st'!$LD$2:$LD$317),"")</f>
        <v>2.3333333333333335</v>
      </c>
      <c r="QA53" s="7">
        <f>IFERROR(AVERAGEIF('Данные 2st'!$Q$2:$Q$317,$A53,'Данные 2st'!$LE$2:$LE$317),"")</f>
        <v>1.0666666666666667</v>
      </c>
      <c r="QB53" s="7">
        <f>IFERROR(AVERAGEIF('Данные 2st'!$Q$2:$Q$317,$A53,'Данные 2st'!$LF$2:$LF$317),"")</f>
        <v>0</v>
      </c>
      <c r="QC53" s="7">
        <f>IFERROR(AVERAGEIF('Данные 2st'!$Q$2:$Q$317,$A53,'Данные 2st'!$LG$2:$LG$317),"")</f>
        <v>0</v>
      </c>
      <c r="QD53" s="7">
        <f>IFERROR(AVERAGEIF('Данные 2st'!$Q$2:$Q$317,$A53,'Данные 2st'!$LH$2:$LH$317),"")</f>
        <v>3</v>
      </c>
      <c r="QE53" s="7">
        <f>IFERROR(AVERAGEIF('Данные 2st'!$Q$2:$Q$317,$A53,'Данные 2st'!$LJ$2:$LJ$317),"")</f>
        <v>0</v>
      </c>
      <c r="QF53" s="7">
        <f>IFERROR(AVERAGEIF('Данные 2st'!$Q$2:$Q$317,$A53,'Данные 2st'!$LK$2:$LK$317),"")</f>
        <v>7.333333333333333</v>
      </c>
      <c r="QG53" s="7">
        <f>IFERROR(AVERAGEIF('Данные 2st'!$Q$2:$Q$317,$A53,'Данные 2st'!$LL$2:$LL$317),"")</f>
        <v>12.333333333333334</v>
      </c>
      <c r="QH53" s="7">
        <f>IFERROR(AVERAGEIF('Данные 2st'!$Q$2:$Q$317,$A53,'Данные 2st'!$LM$2:$LM$317),"")</f>
        <v>13</v>
      </c>
      <c r="QI53" s="7">
        <f>IFERROR(AVERAGEIF('Данные 2st'!$Q$2:$Q$317,$A53,'Данные 2st'!$LN$2:$LN$317),"")</f>
        <v>0.1</v>
      </c>
      <c r="QJ53" s="7">
        <f>IFERROR(AVERAGEIF('Данные 2st'!$Q$2:$Q$317,$A53,'Данные 2st'!$LO$2:$LO$317),"")</f>
        <v>0.6666666666666666</v>
      </c>
      <c r="QK53" s="7">
        <f>IFERROR(AVERAGEIF('Данные 2st'!$Q$2:$Q$317,$A53,'Данные 2st'!$LP$2:$LP$317),"")</f>
        <v>0</v>
      </c>
      <c r="QL53" s="7">
        <f>IFERROR(AVERAGEIF('Данные 2st'!$Q$2:$Q$317,$A53,'Данные 2st'!$LQ$2:$LQ$317),"")</f>
        <v>0</v>
      </c>
      <c r="QM53" s="7">
        <f>IFERROR(AVERAGEIF('Данные 2st'!$Q$2:$Q$317,$A53,'Данные 2st'!$LW$2:$LW$317),"")</f>
        <v>2.8666666666666667</v>
      </c>
      <c r="QN53" s="7">
        <f>IFERROR(AVERAGEIF('Данные 2st'!$Q$2:$Q$317,$A53,'Данные 2st'!$LX$2:$LX$317),"")</f>
        <v>2.8666666666666667</v>
      </c>
      <c r="QO53" s="7">
        <f>IFERROR(AVERAGEIF('Данные 2st'!$Q$2:$Q$317,$A53,'Данные 2st'!$LY$2:$LY$317),"")</f>
        <v>2.1</v>
      </c>
      <c r="QP53" s="7">
        <f>IFERROR(AVERAGEIF('Данные 2st'!$Q$2:$Q$317,$A53,'Данные 2st'!$LZ$2:$LZ$317),"")</f>
        <v>2.1</v>
      </c>
      <c r="QQ53" s="7">
        <f>IFERROR(AVERAGEIF('Данные 2st'!$Q$2:$Q$317,$A53,'Данные 2st'!$MB$2:$MB$317),"")</f>
        <v>10</v>
      </c>
      <c r="QR53" s="7">
        <f>IFERROR(AVERAGEIF('Данные 2st'!$Q$2:$Q$317,$A53,'Данные 2st'!$MG$2:$MG$317),"")</f>
        <v/>
      </c>
      <c r="QS53" s="7">
        <f>IFERROR(AVERAGEIF('Данные 2st'!$Q$2:$Q$317,$A53,'Данные 2st'!$MH$2:$MH$317),"")</f>
        <v/>
      </c>
      <c r="QT53" s="7">
        <f>IFERROR(AVERAGEIF('Данные 2st'!$Q$2:$Q$317,$A53,'Данные 2st'!$MI$2:$MI$317),"")</f>
        <v>0</v>
      </c>
      <c r="QU53" s="7">
        <f>IFERROR(AVERAGEIF('Данные 2st'!$Q$2:$Q$317,$A53,'Данные 2st'!$MJ$2:$MJ$317),"")</f>
        <v>0</v>
      </c>
      <c r="QV53" s="7">
        <f>IFERROR(AVERAGEIF('Данные 2st'!$Q$2:$Q$317,$A53,'Данные 2st'!$MK$2:$MK$317),"")</f>
        <v/>
      </c>
      <c r="QW53" s="7">
        <f>IFERROR(AVERAGEIF('Данные 2st'!$Q$2:$Q$317,$A53,'Данные 2st'!$MM$2:$MM$317),"")</f>
        <v>480.6666666666667</v>
      </c>
      <c r="QX53" s="7">
        <f>IFERROR(AVERAGEIF('Данные 2st'!$Q$2:$Q$317,$A53,'Данные 2st'!$MQ$2:$MQ$317),"")</f>
        <v/>
      </c>
      <c r="QY53" s="7">
        <f>IFERROR(AVERAGEIF('Данные 2st'!$Q$2:$Q$317,$A53,'Данные 2st'!$MR$2:$MR$317),"")</f>
        <v/>
      </c>
      <c r="QZ53" s="7">
        <f>IFERROR(AVERAGEIF('Данные 2st'!$Q$2:$Q$317,$A53,'Данные 2st'!$MS$2:$MS$317),"")</f>
        <v/>
      </c>
      <c r="RA53" s="7">
        <f>IFERROR(AVERAGEIF('Данные 2st'!$Q$2:$Q$317,$A53,'Данные 2st'!$MT$2:$MT$317),"")</f>
        <v/>
      </c>
      <c r="RB53" s="7">
        <f>IFERROR(AVERAGEIF('Данные 2st'!$Q$2:$Q$317,$A53,'Данные 2st'!$MU$2:$MU$317),"")</f>
        <v/>
      </c>
      <c r="RC53" s="7">
        <f>IFERROR(AVERAGEIF('Данные 2st'!$Q$2:$Q$317,$A53,'Данные 2st'!$MV$2:$MV$317),"")</f>
        <v/>
      </c>
      <c r="RD53" s="7">
        <f>IFERROR(AVERAGEIF('Данные 2st'!$Q$2:$Q$317,$A53,'Данные 2st'!$MW$2:$MW$317),"")</f>
        <v/>
      </c>
      <c r="RE53" s="7">
        <f>IFERROR(AVERAGEIF('Данные 2st'!$Q$2:$Q$317,$A53,'Данные 2st'!$MX$2:$MX$317),"")</f>
        <v/>
      </c>
      <c r="RF53" s="7">
        <f>IFERROR(AVERAGEIF('Данные 2st'!$Q$2:$Q$317,$A53,'Данные 2st'!$MY$2:$MY$317),"")</f>
        <v/>
      </c>
      <c r="RG53" s="7">
        <f>IFERROR(AVERAGEIF('Данные 2st'!$Q$2:$Q$317,$A53,'Данные 2st'!$MZ$2:$MZ$317),"")</f>
        <v/>
      </c>
      <c r="RH53" s="7">
        <f>IFERROR(AVERAGEIF('Данные 2st'!$Q$2:$Q$317,$A53,'Данные 2st'!$NA$2:$NA$317),"")</f>
        <v/>
      </c>
      <c r="RI53" s="7">
        <f>IFERROR(AVERAGEIF('Данные 2st'!$Q$2:$Q$317,$A53,'Данные 2st'!$NB$2:$NB$317),"")</f>
        <v/>
      </c>
      <c r="RJ53" s="7">
        <f>IFERROR(AVERAGEIF('Данные 2st'!$Q$2:$Q$317,$A53,'Данные 2st'!$NC$2:$NC$317),"")</f>
        <v/>
      </c>
      <c r="RK53" s="7">
        <f>IFERROR(AVERAGEIF('Данные 2st'!$Q$2:$Q$317,$A53,'Данные 2st'!$ND$2:$ND$317),"")</f>
        <v/>
      </c>
      <c r="RL53" s="7">
        <f>IFERROR(AVERAGEIF('Данные 2st'!$Q$2:$Q$317,$A53,'Данные 2st'!$NE$2:$NE$317),"")</f>
        <v/>
      </c>
      <c r="RM53" s="7">
        <f>IFERROR(AVERAGEIF('Данные 2st'!$Q$2:$Q$317,$A53,'Данные 2st'!$NF$2:$NF$317),"")</f>
        <v/>
      </c>
      <c r="RN53" s="7">
        <f>IFERROR(AVERAGEIF('Данные 2st'!$Q$2:$Q$317,$A53,'Данные 2st'!$NG$2:$NG$317),"")</f>
        <v/>
      </c>
      <c r="RO53" s="7">
        <f>IFERROR(AVERAGEIF('Данные 2st'!$Q$2:$Q$317,$A53,'Данные 2st'!$NH$2:$NH$317),"")</f>
        <v/>
      </c>
      <c r="RP53" s="7">
        <f>IFERROR(AVERAGEIF('Данные 2st'!$Q$2:$Q$317,$A53,'Данные 2st'!$NJ$2:$NJ$317),"")</f>
        <v/>
      </c>
      <c r="RQ53" s="7">
        <f>IFERROR(AVERAGEIF('Данные 2st'!$Q$2:$Q$317,$A53,'Данные 2st'!$NK$2:$NK$317),"")</f>
        <v/>
      </c>
      <c r="RR53" s="7">
        <f>IFERROR(AVERAGEIF('Данные 2st'!$Q$2:$Q$317,$A53,'Данные 2st'!$NM$2:$NM$317),"")</f>
        <v/>
      </c>
      <c r="RS53" s="7">
        <f>IFERROR(AVERAGEIF('Данные 2st'!$Q$2:$Q$317,$A53,'Данные 2st'!$NN$2:$NN$317),"")</f>
        <v/>
      </c>
      <c r="RT53" s="7">
        <f>IFERROR(AVERAGEIF('Данные 2st'!$Q$2:$Q$317,$A53,'Данные 2st'!$NO$2:$NO$317),"")</f>
        <v/>
      </c>
      <c r="RU53" s="7">
        <f>IFERROR(AVERAGEIF('Данные 2st'!$Q$2:$Q$317,$A53,'Данные 2st'!$NP$2:$NP$317),"")</f>
        <v/>
      </c>
      <c r="RV53" s="7">
        <f>IFERROR(AVERAGEIF('Данные 2st'!$Q$2:$Q$317,$A53,'Данные 2st'!$NQ$2:$NQ$317),"")</f>
        <v/>
      </c>
      <c r="RW53" s="7">
        <f>IFERROR(AVERAGEIF('Данные 2st'!$Q$2:$Q$317,$A53,'Данные 2st'!$NR$2:$NR$317),"")</f>
        <v/>
      </c>
      <c r="RX53" s="7">
        <f>IFERROR(AVERAGEIF('Данные 2st'!$Q$2:$Q$317,$A53,'Данные 2st'!$NS$2:$NS$317),"")</f>
        <v/>
      </c>
      <c r="RY53" s="7">
        <f>IFERROR(AVERAGEIF('Данные 2st'!$Q$2:$Q$317,$A53,'Данные 2st'!$NT$2:$NT$317),"")</f>
        <v/>
      </c>
      <c r="RZ53" s="7">
        <f>IFERROR(AVERAGEIF('Данные 2st'!$Q$2:$Q$317,$A53,'Данные 2st'!$OK$2:$OK$317),"")</f>
        <v>61</v>
      </c>
      <c r="SA53" s="7">
        <f>IFERROR(AVERAGEIF('Данные 2st'!$Q$2:$Q$317,$A53,'Данные 2st'!$OL$2:$OL$317),"")</f>
        <v>61</v>
      </c>
      <c r="SB53" s="7">
        <f>IFERROR(AVERAGEIF('Данные 2st'!$Q$2:$Q$317,$A53,'Данные 2st'!$ON$2:$ON$317),"")</f>
        <v>1.6666666666666667</v>
      </c>
      <c r="SC53" s="7">
        <f>IFERROR(AVERAGEIF('Данные 2st'!$Q$2:$Q$317,$A53,'Данные 2st'!$OO$2:$OO$317),"")</f>
        <v>2245.6666666666665</v>
      </c>
      <c r="SD53" s="7">
        <f>IFERROR(AVERAGEIF('Данные 2st'!$Q$2:$Q$317,$A53,'Данные 2st'!$OP$2:$OP$317),"")</f>
        <v>61</v>
      </c>
      <c r="SE53" s="7">
        <f>IFERROR(AVERAGEIF('Данные 2st'!$Q$2:$Q$317,$A53,'Данные 2st'!$OQ$2:$OQ$317),"")</f>
        <v>61</v>
      </c>
      <c r="SF53" s="7">
        <f>IFERROR(AVERAGEIF('Данные 2st'!$Q$2:$Q$317,$A53,'Данные 2st'!$OS$2:$OS$317),"")</f>
        <v>1.6666666666666667</v>
      </c>
      <c r="SG53" s="7">
        <f>IFERROR(AVERAGEIF('Данные 2st'!$Q$2:$Q$317,$A53,'Данные 2st'!$OT$2:$OT$317),"")</f>
        <v>2259.6666666666665</v>
      </c>
      <c r="SH53" s="7">
        <f>IFERROR(AVERAGEIF('Данные 2st'!$Q$2:$Q$317,$A53,'Данные 2st'!$OU$2:$OU$317),"")</f>
        <v>65</v>
      </c>
      <c r="SI53" s="7">
        <f>IFERROR(AVERAGEIF('Данные 2st'!$Q$2:$Q$317,$A53,'Данные 2st'!$OV$2:$OV$317),"")</f>
        <v>65</v>
      </c>
      <c r="SJ53" s="7">
        <f>IFERROR(AVERAGEIF('Данные 2st'!$Q$2:$Q$317,$A53,'Данные 2st'!$OX$2:$OX$317),"")</f>
        <v>1</v>
      </c>
      <c r="SK53" s="7">
        <f>IFERROR(AVERAGEIF('Данные 2st'!$Q$2:$Q$317,$A53,'Данные 2st'!$OY$2:$OY$317),"")</f>
        <v>57842</v>
      </c>
      <c r="SL53" s="7">
        <f>IFERROR(AVERAGEIF('Данные 2st'!$Q$2:$Q$317,$A53,'Данные 2st'!$OZ$2:$OZ$317),"")</f>
        <v>51</v>
      </c>
      <c r="SM53" s="7">
        <f>IFERROR(AVERAGEIF('Данные 2st'!$Q$2:$Q$317,$A53,'Данные 2st'!$PA$2:$PA$317),"")</f>
        <v>51.666666666666664</v>
      </c>
      <c r="SN53" s="7">
        <f>IFERROR(AVERAGEIF('Данные 2st'!$Q$2:$Q$317,$A53,'Данные 2st'!$PC$2:$PC$317),"")</f>
        <v>1.6666666666666667</v>
      </c>
      <c r="SO53" s="7">
        <f>IFERROR(AVERAGEIF('Данные 2st'!$Q$2:$Q$317,$A53,'Данные 2st'!$PD$2:$PD$317),"")</f>
        <v>2291.6666666666665</v>
      </c>
      <c r="SP53" s="7">
        <f>IFERROR(AVERAGEIF('Данные 2st'!$Q$2:$Q$317,$A53,'Данные 2st'!$PF$2:$PF$317),"")</f>
        <v>495.3333333333333</v>
      </c>
      <c r="SQ53" s="7">
        <f>IFERROR(AVERAGEIF('Данные 2st'!$Q$2:$Q$317,$A53,'Данные 2st'!$PG$2:$PG$317),"")</f>
        <v>35</v>
      </c>
      <c r="SR53" s="7">
        <f>IFERROR(AVERAGEIF('Данные 2st'!$Q$2:$Q$317,$A53,'Данные 2st'!$PH$2:$PH$317),"")</f>
        <v>470</v>
      </c>
      <c r="SS53" s="7">
        <f>IFERROR(AVERAGEIF('Данные 2st'!$Q$2:$Q$317,$A53,'Данные 2st'!$PI$2:$PI$317),"")</f>
        <v>0</v>
      </c>
      <c r="ST53" s="7">
        <f>IFERROR(AVERAGEIF('Данные 2st'!$Q$2:$Q$317,$A53,'Данные 2st'!$PJ$2:$PJ$317),"")</f>
        <v>70.3</v>
      </c>
      <c r="SU53" s="7">
        <f>IFERROR(AVERAGEIF('Данные 2st'!$Q$2:$Q$317,$A53,'Данные 2st'!$PK$2:$PK$317),"")</f>
        <v>2249</v>
      </c>
      <c r="SV53" s="7">
        <f>IFERROR(AVERAGEIF('Данные 2st'!$Q$2:$Q$317,$A53,'Данные 2st'!$PL$2:$PL$317),"")</f>
        <v>1222.1666666666667</v>
      </c>
      <c r="SW53" s="7">
        <f>IFERROR(AVERAGEIF('Данные 2st'!$Q$2:$Q$317,$A53,'Данные 2st'!$PM$2:$PM$317),"")</f>
        <v>845.2666666666667</v>
      </c>
      <c r="SX53" s="7">
        <f>IFERROR(AVERAGEIF('Данные 2st'!$Q$2:$Q$317,$A53,'Данные 2st'!$PN$2:$PN$317),"")</f>
        <v>104.7</v>
      </c>
      <c r="SY53" s="7">
        <f>IFERROR(AVERAGEIF('Данные 2st'!$Q$2:$Q$317,$A53,'Данные 2st'!$PO$2:$PO$317),"")</f>
        <v>9.666666666666666</v>
      </c>
      <c r="SZ53" s="7">
        <f>IFERROR(AVERAGEIF('Данные 2st'!$Q$2:$Q$317,$A53,'Данные 2st'!$PP$2:$PP$317),"")</f>
        <v>12</v>
      </c>
      <c r="TA53" s="7">
        <f>IFERROR(AVERAGEIF('Данные 2st'!$Q$2:$Q$317,$A53,'Данные 2st'!$PQ$2:$PQ$317),"")</f>
        <v>4</v>
      </c>
      <c r="TB53" s="7">
        <f>IFERROR(AVERAGEIF('Данные 2st'!$Q$2:$Q$317,$A53,'Данные 2st'!$PR$2:$PR$317),"")</f>
        <v>4</v>
      </c>
      <c r="TC53" s="7">
        <f>IFERROR(AVERAGEIF('Данные 2st'!$Q$2:$Q$317,$A53,'Данные 2st'!$PS$2:$PS$317),"")</f>
        <v>0</v>
      </c>
      <c r="TD53" s="7">
        <f>IFERROR(AVERAGEIF('Данные 2st'!$Q$2:$Q$317,$A53,'Данные 2st'!$PT$2:$PT$317),"")</f>
        <v>250</v>
      </c>
      <c r="TE53" s="7">
        <f>IFERROR(AVERAGEIF('Данные 2st'!$Q$2:$Q$317,$A53,'Данные 2st'!$PU$2:$PU$317),"")</f>
        <v>9.333333333333334</v>
      </c>
      <c r="TF53" s="7">
        <f>IFERROR(AVERAGEIF('Данные 2st'!$Q$2:$Q$317,$A53,'Данные 2st'!$PX$2:$PX$317),"")</f>
        <v>0</v>
      </c>
      <c r="TG53" s="7">
        <f>IFERROR(AVERAGEIF('Данные 2st'!$Q$2:$Q$317,$A53,'Данные 2st'!$PY$2:$PY$317),"")</f>
        <v>0</v>
      </c>
      <c r="TH53" s="7">
        <f>IFERROR(AVERAGEIF('Данные 2st'!$Q$2:$Q$317,$A53,'Данные 2st'!$PZ$2:$PZ$317),"")</f>
        <v>0</v>
      </c>
      <c r="TI53" s="7">
        <f>IFERROR(AVERAGEIF('Данные 2st'!$Q$2:$Q$317,$A53,'Данные 2st'!$QA$2:$QA$317),"")</f>
        <v>0</v>
      </c>
      <c r="TJ53" s="7">
        <f>IFERROR(AVERAGEIF('Данные 2st'!$Q$2:$Q$317,$A53,'Данные 2st'!$QB$2:$QB$317),"")</f>
        <v>0</v>
      </c>
      <c r="TK53" s="7">
        <f>IFERROR(AVERAGEIF('Данные 2st'!$Q$2:$Q$317,$A53,'Данные 2st'!$QC$2:$QC$317),"")</f>
        <v>0</v>
      </c>
      <c r="TL53" s="7">
        <f>IFERROR(AVERAGEIF('Данные 2st'!$Q$2:$Q$317,$A53,'Данные 2st'!$QD$2:$QD$317),"")</f>
        <v>0</v>
      </c>
      <c r="TM53" s="7">
        <f>IFERROR(AVERAGEIF('Данные 2st'!$Q$2:$Q$317,$A53,'Данные 2st'!$QE$2:$QE$317),"")</f>
        <v>-1</v>
      </c>
      <c r="TN53" s="7">
        <f>IFERROR(AVERAGEIF('Данные 2st'!$Q$2:$Q$317,$A53,'Данные 2st'!$QF$2:$QF$317),"")</f>
        <v>1</v>
      </c>
      <c r="TO53" s="7">
        <f>IFERROR(AVERAGEIF('Данные 2st'!$Q$2:$Q$317,$A53,'Данные 2st'!$QG$2:$QG$317),"")</f>
        <v>0</v>
      </c>
      <c r="TP53" s="7">
        <f>IFERROR(AVERAGEIF('Данные 2st'!$Q$2:$Q$317,$A53,'Данные 2st'!$QH$2:$QH$317),"")</f>
        <v>5</v>
      </c>
      <c r="TQ53" s="7">
        <f>IFERROR(AVERAGEIF('Данные 2st'!$Q$2:$Q$317,$A53,'Данные 2st'!$QI$2:$QI$317),"")</f>
        <v>5</v>
      </c>
      <c r="TR53" s="7">
        <f>IFERROR(AVERAGEIF('Данные 2st'!$Q$2:$Q$317,$A53,'Данные 2st'!$QJ$2:$QJ$317),"")</f>
        <v>5</v>
      </c>
      <c r="TS53" s="7">
        <f>IFERROR(AVERAGEIF('Данные 2st'!$Q$2:$Q$317,$A53,'Данные 2st'!$QK$2:$QK$317),"")</f>
        <v>213</v>
      </c>
      <c r="TT53" s="7">
        <f>IFERROR(AVERAGEIF('Данные 2st'!$Q$2:$Q$317,$A53,'Данные 2st'!$QL$2:$QL$317),"")</f>
        <v>470.6666666666667</v>
      </c>
      <c r="TU53" s="7">
        <f>IFERROR(AVERAGEIF('Данные 2st'!$Q$2:$Q$317,$A53,'Данные 2st'!$QM$2:$QM$317),"")</f>
        <v>8.133333333333333</v>
      </c>
      <c r="TV53" s="7">
        <f>IFERROR(AVERAGEIF('Данные 2st'!$Q$2:$Q$317,$A53,'Данные 2st'!$QN$2:$QN$317),"")</f>
        <v>1463.2333333333333</v>
      </c>
      <c r="TW53" s="7">
        <f>IFERROR(AVERAGEIF('Данные 2st'!$Q$2:$Q$317,$A53,'Данные 2st'!$QQ$2:$QQ$317),"")</f>
        <v>0</v>
      </c>
      <c r="TX53" s="7">
        <f>IFERROR(AVERAGEIF('Данные 2st'!$Q$2:$Q$317,$A53,'Данные 2st'!$QS$2:$QS$317),"")</f>
        <v>30</v>
      </c>
      <c r="TY53" s="7">
        <f>IFERROR(AVERAGEIF('Данные 2st'!$Q$2:$Q$317,$A53,'Данные 2st'!$QT$2:$QT$317),"")</f>
        <v>40</v>
      </c>
    </row>
    <row r="54" spans="1:545" ht="32" customHeight="1">
      <c r="A54" s="11" t="s">
        <v>2594</v>
      </c>
      <c r="B54">
        <f>COUNTIF('Данные 1st'!$S$2:$S$317,$A54)</f>
        <v>1</v>
      </c>
      <c r="C54" s="6" t="s">
        <v>2336</v>
      </c>
      <c r="D54" s="6" t="s">
        <v>513</v>
      </c>
      <c r="E54" s="6" t="s">
        <v>517</v>
      </c>
      <c r="F54" s="6" t="s">
        <v>2592</v>
      </c>
      <c r="G54" s="7">
        <f>IFERROR(AVERAGEIF('Данные 1st'!$S$2:$S$317,$A54,'Данные 1st'!$AE$2:$AE$317),"")</f>
        <v>252</v>
      </c>
      <c r="H54" s="7">
        <f>IFERROR(AVERAGEIF('Данные 1st'!$S$2:$S$317,$A54,'Данные 1st'!$AF$2:$AF$317),"")</f>
        <v>1.5</v>
      </c>
      <c r="I54" s="7">
        <f>IFERROR(AVERAGEIF('Данные 1st'!$S$2:$S$317,$A54,'Данные 1st'!$AJ$2:$AJ$317),"")</f>
        <v>232.5</v>
      </c>
      <c r="J54" s="7">
        <f>IFERROR(AVERAGEIF('Данные 1st'!$S$2:$S$317,$A54,'Данные 1st'!$AL$2:$AL$317),"")</f>
        <v>1.5</v>
      </c>
      <c r="K54" s="7">
        <f>IFERROR(AVERAGEIF('Данные 1st'!$S$2:$S$317,$A54,'Данные 1st'!$AR$2:$AR$317),"")</f>
        <v>270</v>
      </c>
      <c r="L54" s="7">
        <f>IFERROR(AVERAGEIF('Данные 1st'!$S$2:$S$317,$A54,'Данные 1st'!$AS$2:$AS$317),"")</f>
        <v>1.5</v>
      </c>
      <c r="M54" s="7">
        <f>IFERROR(AVERAGEIF('Данные 1st'!$S$2:$S$317,$A54,'Данные 1st'!$AY$2:$AY$317),"")</f>
        <v>335</v>
      </c>
      <c r="N54" s="7">
        <f>IFERROR(AVERAGEIF('Данные 1st'!$S$2:$S$317,$A54,'Данные 1st'!$AZ$2:$AZ$317),"")</f>
        <v>1.5</v>
      </c>
      <c r="O54" s="7">
        <f>IFERROR(AVERAGEIF('Данные 1st'!$S$2:$S$317,$A54,'Данные 1st'!$BF$2:$BF$317),"")</f>
        <v>315</v>
      </c>
      <c r="P54" s="7">
        <f>IFERROR(AVERAGEIF('Данные 1st'!$S$2:$S$317,$A54,'Данные 1st'!$BG$2:$BG$317),"")</f>
        <v>1.5</v>
      </c>
      <c r="Q54" s="7">
        <f>IFERROR(AVERAGEIF('Данные 1st'!$S$2:$S$317,$A54,'Данные 1st'!$BM$2:$BM$317),"")</f>
        <v/>
      </c>
      <c r="R54" s="7">
        <f>IFERROR(AVERAGEIF('Данные 1st'!$S$2:$S$317,$A54,'Данные 1st'!$BN$2:$BN$317),"")</f>
        <v>1.5</v>
      </c>
      <c r="S54" s="7">
        <f>IFERROR(AVERAGEIF('Данные 1st'!$S$2:$S$317,$A54,'Данные 1st'!$BT$2:$BT$317),"")</f>
        <v>249</v>
      </c>
      <c r="T54" s="7">
        <f>IFERROR(AVERAGEIF('Данные 1st'!$S$2:$S$317,$A54,'Данные 1st'!$BU$2:$BU$317),"")</f>
        <v>0.5</v>
      </c>
      <c r="U54" s="7">
        <f>IFERROR(AVERAGEIF('Данные 1st'!$S$2:$S$317,$A54,'Данные 1st'!$BW$2:$BW$317),"")</f>
        <v>498</v>
      </c>
      <c r="V54" s="7">
        <f>IFERROR(AVERAGEIF('Данные 1st'!$S$2:$S$317,$A54,'Данные 1st'!$BX$2:$BX$317),"")</f>
        <v>1</v>
      </c>
      <c r="W54" s="7">
        <f>IFERROR(AVERAGEIF('Данные 1st'!$S$2:$S$317,$A54,'Данные 1st'!$BZ$2:$BZ$317),"")</f>
        <v>470</v>
      </c>
      <c r="X54" s="7">
        <f>IFERROR(AVERAGEIF('Данные 1st'!$S$2:$S$317,$A54,'Данные 1st'!$CA$2:$CA$317),"")</f>
        <v>570</v>
      </c>
      <c r="Y54" s="7">
        <f>IFERROR(AVERAGEIF('Данные 1st'!$S$2:$S$317,$A54,'Данные 1st'!$CD$2:$CD$317),"")</f>
        <v>518</v>
      </c>
      <c r="Z54" s="7">
        <f>IFERROR(AVERAGEIF('Данные 1st'!$S$2:$S$317,$A54,'Данные 1st'!$CF$2:$CF$317),"")</f>
        <v>15</v>
      </c>
      <c r="AA54" s="7">
        <f>IFERROR(AVERAGEIF('Данные 1st'!$S$2:$S$317,$A54,'Данные 1st'!$CI$2:$CI$317),"")</f>
        <v>50</v>
      </c>
      <c r="AB54" s="7">
        <f>IFERROR(AVERAGEIF('Данные 1st'!$S$2:$S$317,$A54,'Данные 1st'!$CJ$2:$CJ$317),"")</f>
        <v>1200</v>
      </c>
      <c r="AC54" s="7">
        <f>IFERROR(AVERAGEIF('Данные 1st'!$S$2:$S$317,$A54,'Данные 1st'!$CK$2:$CK$317),"")</f>
        <v>2</v>
      </c>
      <c r="AD54" s="7">
        <f>IFERROR(AVERAGEIF('Данные 1st'!$S$2:$S$317,$A54,'Данные 1st'!$CL$2:$CL$317),"")</f>
        <v>1301</v>
      </c>
      <c r="AE54" s="7">
        <f>IFERROR(AVERAGEIF('Данные 1st'!$S$2:$S$317,$A54,'Данные 1st'!$CM$2:$CM$317),"")</f>
        <v>2</v>
      </c>
      <c r="AF54" s="7">
        <f>IFERROR(AVERAGEIF('Данные 1st'!$S$2:$S$317,$A54,'Данные 1st'!$CT$2:$CT$317),"")</f>
        <v>465</v>
      </c>
      <c r="AG54" s="7">
        <f>IFERROR(AVERAGEIF('Данные 1st'!$S$2:$S$317,$A54,'Данные 1st'!$CU$2:$CU$317),"")</f>
        <v>5</v>
      </c>
      <c r="AH54" s="7">
        <f>IFERROR(AVERAGEIF('Данные 1st'!$S$2:$S$317,$A54,'Данные 1st'!$CV$2:$CV$317),"")</f>
        <v>1.5</v>
      </c>
      <c r="AI54" s="7">
        <f>IFERROR(AVERAGEIF('Данные 1st'!$S$2:$S$317,$A54,'Данные 1st'!$CW$2:$CW$317),"")</f>
        <v>1219</v>
      </c>
      <c r="AJ54" s="7">
        <f>IFERROR(AVERAGEIF('Данные 1st'!$S$2:$S$317,$A54,'Данные 1st'!$CX$2:$CX$317),"")</f>
        <v>1008</v>
      </c>
      <c r="AK54" s="7">
        <f>IFERROR(AVERAGEIF('Данные 1st'!$S$2:$S$317,$A54,'Данные 1st'!$CZ$2:$CZ$317),"")</f>
        <v>50</v>
      </c>
      <c r="AL54" s="7">
        <f>IFERROR(AVERAGEIF('Данные 1st'!$S$2:$S$317,$A54,'Данные 1st'!$DA$2:$DA$317),"")</f>
        <v>3</v>
      </c>
      <c r="AM54" s="7">
        <f>IFERROR(AVERAGEIF('Данные 1st'!$S$2:$S$317,$A54,'Данные 1st'!$DB$2:$DB$317),"")</f>
        <v>1</v>
      </c>
      <c r="AN54" s="7">
        <f>IFERROR(AVERAGEIF('Данные 1st'!$S$2:$S$317,$A54,'Данные 1st'!$DC$2:$DC$317),"")</f>
        <v>1219</v>
      </c>
      <c r="AO54" s="7">
        <f>IFERROR(AVERAGEIF('Данные 1st'!$S$2:$S$317,$A54,'Данные 1st'!$DD$2:$DD$317),"")</f>
        <v>64</v>
      </c>
      <c r="AP54" s="7">
        <f>IFERROR(AVERAGEIF('Данные 1st'!$S$2:$S$317,$A54,'Данные 1st'!$DF$2:$DF$317),"")</f>
        <v>670</v>
      </c>
      <c r="AQ54" s="7">
        <f>IFERROR(AVERAGEIF('Данные 1st'!$S$2:$S$317,$A54,'Данные 1st'!$DG$2:$DG$317),"")</f>
        <v>3</v>
      </c>
      <c r="AR54" s="7">
        <f>IFERROR(AVERAGEIF('Данные 1st'!$S$2:$S$317,$A54,'Данные 1st'!$DH$2:$DH$317),"")</f>
        <v>1.18</v>
      </c>
      <c r="AS54" s="7">
        <f>IFERROR(AVERAGEIF('Данные 1st'!$S$2:$S$317,$A54,'Данные 1st'!$DI$2:$DI$317),"")</f>
        <v>1217</v>
      </c>
      <c r="AT54" s="7">
        <f>IFERROR(AVERAGEIF('Данные 1st'!$S$2:$S$317,$A54,'Данные 1st'!$DJ$2:$DJ$317),"")</f>
        <v>1577</v>
      </c>
      <c r="AU54" s="7">
        <f>IFERROR(AVERAGEIF('Данные 1st'!$S$2:$S$317,$A54,'Данные 1st'!$DL$2:$DL$317),"")</f>
        <v>630</v>
      </c>
      <c r="AV54" s="7">
        <f>IFERROR(AVERAGEIF('Данные 1st'!$S$2:$S$317,$A54,'Данные 1st'!$DM$2:$DM$317),"")</f>
        <v>3</v>
      </c>
      <c r="AW54" s="7">
        <f>IFERROR(AVERAGEIF('Данные 1st'!$S$2:$S$317,$A54,'Данные 1st'!$DN$2:$DN$317),"")</f>
        <v>1.18</v>
      </c>
      <c r="AX54" s="7">
        <f>IFERROR(AVERAGEIF('Данные 1st'!$S$2:$S$317,$A54,'Данные 1st'!$DO$2:$DO$317),"")</f>
        <v>1227</v>
      </c>
      <c r="AY54" s="7">
        <f>IFERROR(AVERAGEIF('Данные 1st'!$S$2:$S$317,$A54,'Данные 1st'!$DP$2:$DP$317),"")</f>
        <v>1113</v>
      </c>
      <c r="AZ54" s="7">
        <f>IFERROR(AVERAGEIF('Данные 1st'!$S$2:$S$317,$A54,'Данные 1st'!$DR$2:$DR$317),"")</f>
        <v/>
      </c>
      <c r="BA54" s="7">
        <f>IFERROR(AVERAGEIF('Данные 1st'!$S$2:$S$317,$A54,'Данные 1st'!$DS$2:$DS$317),"")</f>
        <v/>
      </c>
      <c r="BB54" s="7">
        <f>IFERROR(AVERAGEIF('Данные 1st'!$S$2:$S$317,$A54,'Данные 1st'!$DT$2:$DT$317),"")</f>
        <v/>
      </c>
      <c r="BC54" s="7">
        <f>IFERROR(AVERAGEIF('Данные 1st'!$S$2:$S$317,$A54,'Данные 1st'!$DU$2:$DU$317),"")</f>
        <v/>
      </c>
      <c r="BD54" s="7">
        <f>IFERROR(AVERAGEIF('Данные 1st'!$S$2:$S$317,$A54,'Данные 1st'!$DV$2:$DV$317),"")</f>
        <v/>
      </c>
      <c r="BE54" s="7">
        <f>IFERROR(AVERAGEIF('Данные 1st'!$S$2:$S$317,$A54,'Данные 1st'!$DX$2:$DX$317),"")</f>
        <v>7.5</v>
      </c>
      <c r="BF54" s="7">
        <f>IFERROR(AVERAGEIF('Данные 1st'!$S$2:$S$317,$A54,'Данные 1st'!$EA$2:$EA$317),"")</f>
        <v>1288.9</v>
      </c>
      <c r="BG54" s="7">
        <f>IFERROR(AVERAGEIF('Данные 1st'!$S$2:$S$317,$A54,'Данные 1st'!$EB$2:$EB$317),"")</f>
        <v>228</v>
      </c>
      <c r="BH54" s="7">
        <f>IFERROR(AVERAGEIF('Данные 1st'!$S$2:$S$317,$A54,'Данные 1st'!$ED$2:$ED$317),"")</f>
        <v>30</v>
      </c>
      <c r="BI54" s="7">
        <f>IFERROR(AVERAGEIF('Данные 1st'!$S$2:$S$317,$A54,'Данные 1st'!$EE$2:$EE$317),"")</f>
        <v>3</v>
      </c>
      <c r="BJ54" s="7">
        <f>IFERROR(AVERAGEIF('Данные 1st'!$S$2:$S$317,$A54,'Данные 1st'!$EG$2:$EG$317),"")</f>
        <v>1330</v>
      </c>
      <c r="BK54" s="7">
        <f>IFERROR(AVERAGEIF('Данные 1st'!$S$2:$S$317,$A54,'Данные 1st'!$EH$2:$EH$317),"")</f>
        <v>157</v>
      </c>
      <c r="BL54" s="7">
        <f>IFERROR(AVERAGEIF('Данные 1st'!$S$2:$S$317,$A54,'Данные 1st'!$EJ$2:$EJ$317),"")</f>
        <v>0</v>
      </c>
      <c r="BM54" s="7">
        <f>IFERROR(AVERAGEIF('Данные 1st'!$S$2:$S$317,$A54,'Данные 1st'!$EK$2:$EK$317),"")</f>
        <v>1</v>
      </c>
      <c r="BN54" s="7">
        <f>IFERROR(AVERAGEIF('Данные 1st'!$S$2:$S$317,$A54,'Данные 1st'!$EN$2:$EN$317),"")</f>
        <v>0</v>
      </c>
      <c r="BO54" s="7">
        <f>IFERROR(AVERAGEIF('Данные 1st'!$S$2:$S$317,$A54,'Данные 1st'!$EQ$2:$EQ$317),"")</f>
        <v>155</v>
      </c>
      <c r="BP54" s="7">
        <f>IFERROR(AVERAGEIF('Данные 1st'!$S$2:$S$317,$A54,'Данные 1st'!$ER$2:$ER$317),"")</f>
        <v>3</v>
      </c>
      <c r="BQ54" s="7">
        <f>IFERROR(AVERAGEIF('Данные 1st'!$S$2:$S$317,$A54,'Данные 1st'!$ES$2:$ES$317),"")</f>
        <v>10.5</v>
      </c>
      <c r="BR54" s="7">
        <f>IFERROR(AVERAGEIF('Данные 1st'!$S$2:$S$317,$A54,'Данные 1st'!$ET$2:$ET$317),"")</f>
        <v>1229</v>
      </c>
      <c r="BS54" s="7">
        <f>IFERROR(AVERAGEIF('Данные 1st'!$S$2:$S$317,$A54,'Данные 1st'!$EU$2:$EU$317),"")</f>
        <v>1099.6</v>
      </c>
      <c r="BT54" s="7">
        <f>IFERROR(AVERAGEIF('Данные 1st'!$S$2:$S$317,$A54,'Данные 1st'!$EV$2:$EV$317),"")</f>
        <v>1351</v>
      </c>
      <c r="BU54" s="7">
        <f>IFERROR(AVERAGEIF('Данные 1st'!$S$2:$S$317,$A54,'Данные 1st'!$EX$2:$EX$317),"")</f>
        <v>45</v>
      </c>
      <c r="BV54" s="7">
        <f>IFERROR(AVERAGEIF('Данные 1st'!$S$2:$S$317,$A54,'Данные 1st'!$EY$2:$EY$317),"")</f>
        <v>2</v>
      </c>
      <c r="BW54" s="7">
        <f>IFERROR(AVERAGEIF('Данные 1st'!$S$2:$S$317,$A54,'Данные 1st'!$EZ$2:$EZ$317),"")</f>
        <v>4</v>
      </c>
      <c r="BX54" s="7">
        <f>IFERROR(AVERAGEIF('Данные 1st'!$S$2:$S$317,$A54,'Данные 1st'!$FA$2:$FA$317),"")</f>
        <v>1229</v>
      </c>
      <c r="BY54" s="7">
        <f>IFERROR(AVERAGEIF('Данные 1st'!$S$2:$S$317,$A54,'Данные 1st'!$FB$2:$FB$317),"")</f>
        <v>132.1</v>
      </c>
      <c r="BZ54" s="7">
        <f>IFERROR(AVERAGEIF('Данные 1st'!$S$2:$S$317,$A54,'Данные 1st'!$FC$2:$FC$317),"")</f>
        <v>162</v>
      </c>
      <c r="CA54" s="7">
        <f>IFERROR(AVERAGEIF('Данные 1st'!$S$2:$S$317,$A54,'Данные 1st'!$FE$2:$FE$317),"")</f>
        <v>0</v>
      </c>
      <c r="CB54" s="7">
        <f>IFERROR(AVERAGEIF('Данные 1st'!$S$2:$S$317,$A54,'Данные 1st'!$FF$2:$FF$317),"")</f>
        <v>2</v>
      </c>
      <c r="CC54" s="7">
        <f>IFERROR(AVERAGEIF('Данные 1st'!$S$2:$S$317,$A54,'Данные 1st'!$FI$2:$FI$317),"")</f>
        <v>0</v>
      </c>
      <c r="CD54" s="7">
        <f>IFERROR(AVERAGEIF('Данные 1st'!$S$2:$S$317,$A54,'Данные 1st'!$FL$2:$FL$317),"")</f>
        <v>1</v>
      </c>
      <c r="CE54" s="7">
        <f>IFERROR(AVERAGEIF('Данные 1st'!$S$2:$S$317,$A54,'Данные 1st'!$FM$2:$FM$317),"")</f>
        <v>40</v>
      </c>
      <c r="CF54" s="7">
        <f>IFERROR(AVERAGEIF('Данные 1st'!$S$2:$S$317,$A54,'Данные 1st'!$FN$2:$FN$317),"")</f>
        <v>440</v>
      </c>
      <c r="CG54" s="7">
        <f>IFERROR(AVERAGEIF('Данные 1st'!$S$2:$S$317,$A54,'Данные 1st'!$FO$2:$FO$317),"")</f>
        <v>125</v>
      </c>
      <c r="CH54" s="7">
        <f>IFERROR(AVERAGEIF('Данные 1st'!$S$2:$S$317,$A54,'Данные 1st'!$FP$2:$FP$317),"")</f>
        <v>140</v>
      </c>
      <c r="CI54" s="7">
        <f>IFERROR(AVERAGEIF('Данные 1st'!$S$2:$S$317,$A54,'Данные 1st'!$FS$2:$FS$317),"")</f>
        <v>0.4</v>
      </c>
      <c r="CJ54" s="7">
        <f>IFERROR(AVERAGEIF('Данные 1st'!$S$2:$S$317,$A54,'Данные 1st'!$FT$2:$FT$317),"")</f>
        <v>30</v>
      </c>
      <c r="CK54" s="7">
        <f>IFERROR(AVERAGEIF('Данные 1st'!$S$2:$S$317,$A54,'Данные 1st'!$FU$2:$FU$317),"")</f>
        <v>590</v>
      </c>
      <c r="CL54" s="7">
        <f>IFERROR(AVERAGEIF('Данные 1st'!$S$2:$S$317,$A54,'Данные 1st'!$FV$2:$FV$317),"")</f>
        <v/>
      </c>
      <c r="CM54" s="7">
        <f>IFERROR(AVERAGEIF('Данные 1st'!$S$2:$S$317,$A54,'Данные 1st'!$FW$2:$FW$317),"")</f>
        <v/>
      </c>
      <c r="CN54" s="7">
        <f>IFERROR(AVERAGEIF('Данные 1st'!$S$2:$S$317,$A54,'Данные 1st'!$FZ$2:$FZ$317),"")</f>
        <v/>
      </c>
      <c r="CO54" s="7">
        <f>IFERROR(AVERAGEIF('Данные 1st'!$S$2:$S$317,$A54,'Данные 1st'!$GA$2:$GA$317),"")</f>
        <v/>
      </c>
      <c r="CP54" s="7">
        <f>IFERROR(AVERAGEIF('Данные 1st'!$S$2:$S$317,$A54,'Данные 1st'!$GB$2:$GB$317),"")</f>
        <v/>
      </c>
      <c r="CQ54" s="7">
        <f>IFERROR(AVERAGEIF('Данные 1st'!$S$2:$S$317,$A54,'Данные 1st'!$GH$2:$GH$317),"")</f>
        <v/>
      </c>
      <c r="CR54" s="7">
        <f>IFERROR(AVERAGEIF('Данные 1st'!$S$2:$S$317,$A54,'Данные 1st'!$GI$2:$GI$317),"")</f>
        <v/>
      </c>
      <c r="CS54" s="7">
        <f>IFERROR(AVERAGEIF('Данные 1st'!$S$2:$S$317,$A54,'Данные 1st'!$GJ$2:$GJ$317),"")</f>
        <v/>
      </c>
      <c r="CT54" s="7">
        <f>IFERROR(AVERAGEIF('Данные 1st'!$S$2:$S$317,$A54,'Данные 1st'!$GS$2:$GS$317),"")</f>
        <v>0.4</v>
      </c>
      <c r="CU54" s="7">
        <f>IFERROR(AVERAGEIF('Данные 1st'!$S$2:$S$317,$A54,'Данные 1st'!$GT$2:$GT$317),"")</f>
        <v>60</v>
      </c>
      <c r="CV54" s="7">
        <f>IFERROR(AVERAGEIF('Данные 1st'!$S$2:$S$317,$A54,'Данные 1st'!$GU$2:$GU$317),"")</f>
        <v>320</v>
      </c>
      <c r="CW54" s="7">
        <f>IFERROR(AVERAGEIF('Данные 1st'!$S$2:$S$317,$A54,'Данные 1st'!$GV$2:$GV$317),"")</f>
        <v/>
      </c>
      <c r="CX54" s="7">
        <f>IFERROR(AVERAGEIF('Данные 1st'!$S$2:$S$317,$A54,'Данные 1st'!$GW$2:$GW$317),"")</f>
        <v/>
      </c>
      <c r="CY54" s="7">
        <f>IFERROR(AVERAGEIF('Данные 1st'!$S$2:$S$317,$A54,'Данные 1st'!$GZ$2:$GZ$317),"")</f>
        <v/>
      </c>
      <c r="CZ54" s="7">
        <f>IFERROR(AVERAGEIF('Данные 1st'!$S$2:$S$317,$A54,'Данные 1st'!$HA$2:$HA$317),"")</f>
        <v/>
      </c>
      <c r="DA54" s="7">
        <f>IFERROR(AVERAGEIF('Данные 1st'!$S$2:$S$317,$A54,'Данные 1st'!$HB$2:$HB$317),"")</f>
        <v/>
      </c>
      <c r="DB54" s="7">
        <f>IFERROR(AVERAGEIF('Данные 1st'!$S$2:$S$317,$A54,'Данные 1st'!$HC$2:$HC$317),"")</f>
        <v>0.1</v>
      </c>
      <c r="DC54" s="7">
        <f>IFERROR(AVERAGEIF('Данные 1st'!$S$2:$S$317,$A54,'Данные 1st'!$HD$2:$HD$317),"")</f>
        <v>3</v>
      </c>
      <c r="DD54" s="7">
        <f>IFERROR(AVERAGEIF('Данные 1st'!$S$2:$S$317,$A54,'Данные 1st'!$HE$2:$HE$317),"")</f>
        <v>3</v>
      </c>
      <c r="DE54" s="7">
        <f>IFERROR(AVERAGEIF('Данные 1st'!$S$2:$S$317,$A54,'Данные 1st'!$HF$2:$HF$317),"")</f>
        <v>3</v>
      </c>
      <c r="DF54" s="7">
        <f>IFERROR(AVERAGEIF('Данные 1st'!$S$2:$S$317,$A54,'Данные 1st'!$HG$2:$HG$317),"")</f>
        <v>3</v>
      </c>
      <c r="DG54" s="7">
        <f>IFERROR(AVERAGEIF('Данные 1st'!$S$2:$S$317,$A54,'Данные 1st'!$HH$2:$HH$317),"")</f>
        <v>3</v>
      </c>
      <c r="DH54" s="7">
        <f>IFERROR(AVERAGEIF('Данные 1st'!$S$2:$S$317,$A54,'Данные 1st'!$HI$2:$HI$317),"")</f>
        <v>185</v>
      </c>
      <c r="DI54" s="7">
        <f>IFERROR(AVERAGEIF('Данные 1st'!$S$2:$S$317,$A54,'Данные 1st'!$HJ$2:$HJ$317),"")</f>
        <v>3</v>
      </c>
      <c r="DJ54" s="7">
        <f>IFERROR(AVERAGEIF('Данные 1st'!$S$2:$S$317,$A54,'Данные 1st'!$HK$2:$HK$317),"")</f>
        <v>30</v>
      </c>
      <c r="DK54" s="7">
        <f>IFERROR(AVERAGEIF('Данные 1st'!$S$2:$S$317,$A54,'Данные 1st'!$HL$2:$HL$317),"")</f>
        <v>2</v>
      </c>
      <c r="DL54" s="7">
        <f>IFERROR(AVERAGEIF('Данные 1st'!$S$2:$S$317,$A54,'Данные 1st'!$HM$2:$HM$317),"")</f>
        <v>0</v>
      </c>
      <c r="DM54" s="7">
        <f>IFERROR(AVERAGEIF('Данные 1st'!$S$2:$S$317,$A54,'Данные 1st'!$HN$2:$HN$317),"")</f>
        <v>2</v>
      </c>
      <c r="DN54" s="7">
        <f>IFERROR(AVERAGEIF('Данные 1st'!$S$2:$S$317,$A54,'Данные 1st'!$HO$2:$HO$317),"")</f>
        <v>140</v>
      </c>
      <c r="DO54" s="7">
        <f>IFERROR(AVERAGEIF('Данные 1st'!$S$2:$S$317,$A54,'Данные 1st'!$HP$2:$HP$317),"")</f>
        <v>3</v>
      </c>
      <c r="DP54" s="7">
        <f>IFERROR(AVERAGEIF('Данные 1st'!$S$2:$S$317,$A54,'Данные 1st'!$HQ$2:$HQ$317),"")</f>
        <v>0</v>
      </c>
      <c r="DQ54" s="7">
        <f>IFERROR(AVERAGEIF('Данные 1st'!$S$2:$S$317,$A54,'Данные 1st'!$HR$2:$HR$317),"")</f>
        <v>2</v>
      </c>
      <c r="DR54" s="7">
        <f>IFERROR(AVERAGEIF('Данные 1st'!$S$2:$S$317,$A54,'Данные 1st'!$HS$2:$HS$317),"")</f>
        <v>7622</v>
      </c>
      <c r="DS54" s="7">
        <f>IFERROR(AVERAGEIF('Данные 1st'!$S$2:$S$317,$A54,'Данные 1st'!$HT$2:$HT$317),"")</f>
        <v>230</v>
      </c>
      <c r="DT54" s="7">
        <f>IFERROR(AVERAGEIF('Данные 1st'!$S$2:$S$317,$A54,'Данные 1st'!$HU$2:$HU$317),"")</f>
        <v>180</v>
      </c>
      <c r="DU54" s="7">
        <f>IFERROR(AVERAGEIF('Данные 1st'!$S$2:$S$317,$A54,'Данные 1st'!$HW$2:$HW$317),"")</f>
        <v>0</v>
      </c>
      <c r="DV54" s="7">
        <f>IFERROR(AVERAGEIF('Данные 1st'!$S$2:$S$317,$A54,'Данные 1st'!$HX$2:$HX$317),"")</f>
        <v>505</v>
      </c>
      <c r="DW54" s="7">
        <f>IFERROR(AVERAGEIF('Данные 1st'!$S$2:$S$317,$A54,'Данные 1st'!$HY$2:$HY$317),"")</f>
        <v>0.18</v>
      </c>
      <c r="DX54" s="7">
        <f>IFERROR(AVERAGEIF('Данные 1st'!$S$2:$S$317,$A54,'Данные 1st'!$IA$2:$IA$317),"")</f>
        <v>0.15</v>
      </c>
      <c r="DY54" s="7">
        <f>IFERROR(AVERAGEIF('Данные 1st'!$S$2:$S$317,$A54,'Данные 1st'!$IB$2:$IB$317),"")</f>
        <v>0</v>
      </c>
      <c r="DZ54" s="7">
        <f>IFERROR(AVERAGEIF('Данные 1st'!$S$2:$S$317,$A54,'Данные 1st'!$IC$2:$IC$317),"")</f>
        <v>180</v>
      </c>
      <c r="EA54" s="7">
        <f>IFERROR(AVERAGEIF('Данные 1st'!$S$2:$S$317,$A54,'Данные 1st'!$ID$2:$ID$317),"")</f>
        <v>110</v>
      </c>
      <c r="EB54" s="7">
        <f>IFERROR(AVERAGEIF('Данные 1st'!$S$2:$S$317,$A54,'Данные 1st'!$IE$2:$IE$317),"")</f>
        <v>225</v>
      </c>
      <c r="EC54" s="7">
        <f>IFERROR(AVERAGEIF('Данные 1st'!$S$2:$S$317,$A54,'Данные 1st'!$IF$2:$IF$317),"")</f>
        <v>0</v>
      </c>
      <c r="ED54" s="7">
        <f>IFERROR(AVERAGEIF('Данные 1st'!$S$2:$S$317,$A54,'Данные 1st'!$IP$2:$IP$317),"")</f>
        <v>16</v>
      </c>
      <c r="EE54" s="7">
        <f>IFERROR(AVERAGEIF('Данные 1st'!$S$2:$S$317,$A54,'Данные 1st'!$IV$2:$IV$317),"")</f>
        <v>1200</v>
      </c>
      <c r="EF54" s="7">
        <f>IFERROR(AVERAGEIF('Данные 1st'!$S$2:$S$317,$A54,'Данные 1st'!$IW$2:$IW$317),"")</f>
        <v>498</v>
      </c>
      <c r="EG54" s="7">
        <f>IFERROR(AVERAGEIF('Данные 1st'!$S$2:$S$317,$A54,'Данные 1st'!$IX$2:$IX$317),"")</f>
        <v/>
      </c>
      <c r="EH54" s="7">
        <f>IFERROR(AVERAGEIF('Данные 1st'!$S$2:$S$317,$A54,'Данные 1st'!$IY$2:$IY$317),"")</f>
        <v/>
      </c>
      <c r="EI54" s="7">
        <f>IFERROR(AVERAGEIF('Данные 1st'!$S$2:$S$317,$A54,'Данные 1st'!$JD$2:$JD$317),"")</f>
        <v>1219</v>
      </c>
      <c r="EJ54" s="7">
        <f>IFERROR(AVERAGEIF('Данные 1st'!$S$2:$S$317,$A54,'Данные 1st'!$JE$2:$JE$317),"")</f>
        <v>1217</v>
      </c>
      <c r="EK54" s="7">
        <f>IFERROR(AVERAGEIF('Данные 1st'!$S$2:$S$317,$A54,'Данные 1st'!$JF$2:$JF$317),"")</f>
        <v>1227</v>
      </c>
      <c r="EL54" s="7">
        <f>IFERROR(AVERAGEIF('Данные 1st'!$S$2:$S$317,$A54,'Данные 1st'!$JG$2:$JG$317),"")</f>
        <v>1229</v>
      </c>
      <c r="EM54" s="7">
        <f>IFERROR(AVERAGEIF('Данные 1st'!$S$2:$S$317,$A54,'Данные 1st'!$JH$2:$JH$317),"")</f>
        <v>0</v>
      </c>
      <c r="EN54" s="7">
        <f>IFERROR(AVERAGEIF('Данные 1st'!$S$2:$S$317,$A54,'Данные 1st'!$JJ$2:$JJ$317),"")</f>
        <v>180</v>
      </c>
      <c r="EO54" s="7">
        <f>IFERROR(AVERAGEIF('Данные 1st'!$S$2:$S$317,$A54,'Данные 1st'!$JK$2:$JK$317),"")</f>
        <v>505</v>
      </c>
      <c r="EP54" s="7">
        <f>IFERROR(AVERAGEIF('Данные 1st'!$S$2:$S$317,$A54,'Данные 1st'!$JL$2:$JL$317),"")</f>
        <v/>
      </c>
      <c r="EQ54" s="7">
        <f>IFERROR(AVERAGEIF('Данные 1st'!$S$2:$S$317,$A54,'Данные 1st'!$JM$2:$JM$317),"")</f>
        <v/>
      </c>
      <c r="ER54" s="7">
        <f>IFERROR(AVERAGEIF('Данные 1st'!$S$2:$S$317,$A54,'Данные 1st'!$JN$2:$JN$317),"")</f>
        <v>465</v>
      </c>
      <c r="ES54" s="7">
        <f>IFERROR(AVERAGEIF('Данные 1st'!$S$2:$S$317,$A54,'Данные 1st'!$JO$2:$JO$317),"")</f>
        <v>670</v>
      </c>
      <c r="ET54" s="7">
        <f>IFERROR(AVERAGEIF('Данные 1st'!$S$2:$S$317,$A54,'Данные 1st'!$JP$2:$JP$317),"")</f>
        <v>630</v>
      </c>
      <c r="EU54" s="7">
        <f>IFERROR(AVERAGEIF('Данные 1st'!$S$2:$S$317,$A54,'Данные 1st'!$JQ$2:$JQ$317),"")</f>
        <v>0</v>
      </c>
      <c r="EV54" s="7">
        <f>IFERROR(AVERAGEIF('Данные 1st'!$S$2:$S$317,$A54,'Данные 1st'!$JR$2:$JR$317),"")</f>
        <v>504</v>
      </c>
      <c r="EW54" s="7">
        <f>IFERROR(AVERAGEIF('Данные 1st'!$S$2:$S$317,$A54,'Данные 1st'!$JS$2:$JS$317),"")</f>
        <v>185</v>
      </c>
      <c r="EX54" s="7">
        <f>IFERROR(AVERAGEIF('Данные 1st'!$S$2:$S$317,$A54,'Данные 1st'!$JT$2:$JT$317),"")</f>
        <v/>
      </c>
      <c r="EY54" s="7">
        <f>IFERROR(AVERAGEIF('Данные 1st'!$S$2:$S$317,$A54,'Данные 1st'!$JU$2:$JU$317),"")</f>
        <v/>
      </c>
      <c r="EZ54" s="7">
        <f>IFERROR(AVERAGEIF('Данные 1st'!$S$2:$S$317,$A54,'Данные 1st'!$JV$2:$JV$317),"")</f>
        <v>8</v>
      </c>
      <c r="FA54" s="7">
        <f>IFERROR(AVERAGEIF('Данные 1st'!$S$2:$S$317,$A54,'Данные 1st'!$JW$2:$JW$317),"")</f>
        <v/>
      </c>
      <c r="FB54" s="7">
        <f>IFERROR(AVERAGEIF('Данные 1st'!$S$2:$S$317,$A54,'Данные 1st'!$JX$2:$JX$317),"")</f>
        <v>540</v>
      </c>
      <c r="FC54" s="7">
        <f>IFERROR(AVERAGEIF('Данные 1st'!$S$2:$S$317,$A54,'Данные 1st'!$JY$2:$JY$317),"")</f>
        <v/>
      </c>
      <c r="FD54" s="7">
        <f>IFERROR(AVERAGEIF('Данные 1st'!$S$2:$S$317,$A54,'Данные 1st'!$JZ$2:$JZ$317),"")</f>
        <v/>
      </c>
      <c r="FE54" s="7">
        <f>IFERROR(AVERAGEIF('Данные 1st'!$S$2:$S$317,$A54,'Данные 1st'!$KA$2:$KA$317),"")</f>
        <v>225</v>
      </c>
      <c r="FF54" s="7">
        <f>IFERROR(AVERAGEIF('Данные 1st'!$S$2:$S$317,$A54,'Данные 1st'!$KB$2:$KB$317),"")</f>
        <v>110</v>
      </c>
      <c r="FG54" s="7">
        <f>IFERROR(AVERAGEIF('Данные 1st'!$S$2:$S$317,$A54,'Данные 1st'!$KC$2:$KC$317),"")</f>
        <v>0</v>
      </c>
      <c r="FH54" s="7">
        <f>IFERROR(AVERAGEIF('Данные 1st'!$S$2:$S$317,$A54,'Данные 1st'!$KD$2:$KD$317),"")</f>
        <v>80</v>
      </c>
      <c r="FI54" s="7">
        <f>IFERROR(AVERAGEIF('Данные 1st'!$S$2:$S$317,$A54,'Данные 1st'!$KE$2:$KE$317),"")</f>
        <v/>
      </c>
      <c r="FJ54" s="7">
        <f>IFERROR(AVERAGEIF('Данные 1st'!$S$2:$S$317,$A54,'Данные 1st'!$KF$2:$KF$317),"")</f>
        <v>4</v>
      </c>
      <c r="FK54" s="7">
        <f>IFERROR(AVERAGEIF('Данные 1st'!$S$2:$S$317,$A54,'Данные 1st'!$KG$2:$KG$317),"")</f>
        <v>2</v>
      </c>
      <c r="FL54" s="7">
        <f>IFERROR(AVERAGEIF('Данные 1st'!$S$2:$S$317,$A54,'Данные 1st'!$KH$2:$KH$317),"")</f>
        <v>2</v>
      </c>
      <c r="FM54" s="7">
        <f>IFERROR(AVERAGEIF('Данные 1st'!$S$2:$S$317,$A54,'Данные 1st'!$KI$2:$KI$317),"")</f>
        <v>2</v>
      </c>
      <c r="FN54" s="7">
        <f>IFERROR(AVERAGEIF('Данные 1st'!$S$2:$S$317,$A54,'Данные 1st'!$KJ$2:$KJ$317),"")</f>
        <v>0</v>
      </c>
      <c r="FO54" s="7">
        <f>IFERROR(AVERAGEIF('Данные 1st'!$S$2:$S$317,$A54,'Данные 1st'!$KK$2:$KK$317),"")</f>
        <v>1.5</v>
      </c>
      <c r="FP54" s="7">
        <f>IFERROR(AVERAGEIF('Данные 1st'!$S$2:$S$317,$A54,'Данные 1st'!$KL$2:$KL$317),"")</f>
        <v>1.5</v>
      </c>
      <c r="FQ54" s="7">
        <f>IFERROR(AVERAGEIF('Данные 1st'!$S$2:$S$317,$A54,'Данные 1st'!$KM$2:$KM$317),"")</f>
        <v>0</v>
      </c>
      <c r="FR54" s="7">
        <f>IFERROR(AVERAGEIF('Данные 1st'!$S$2:$S$317,$A54,'Данные 1st'!$KN$2:$KN$317),"")</f>
        <v>0</v>
      </c>
      <c r="FS54" s="7">
        <f>IFERROR(AVERAGEIF('Данные 1st'!$S$2:$S$317,$A54,'Данные 1st'!$KR$2:$KR$317),"")</f>
        <v>50</v>
      </c>
      <c r="FT54" s="7">
        <f>IFERROR(AVERAGEIF('Данные 1st'!$S$2:$S$317,$A54,'Данные 1st'!$KS$2:$KS$317),"")</f>
        <v>60</v>
      </c>
      <c r="FU54" s="7">
        <f>IFERROR(AVERAGEIF('Данные 1st'!$S$2:$S$317,$A54,'Данные 1st'!$KT$2:$KT$317),"")</f>
        <v>0</v>
      </c>
      <c r="FV54" s="7">
        <f>IFERROR(AVERAGEIF('Данные 1st'!$S$2:$S$317,$A54,'Данные 1st'!$KV$2:$KV$317),"")</f>
        <v/>
      </c>
      <c r="FW54" s="7">
        <f>IFERROR(AVERAGEIF('Данные 1st'!$S$2:$S$317,$A54,'Данные 1st'!$KW$2:$KW$317),"")</f>
        <v/>
      </c>
      <c r="FX54" s="7">
        <f>IFERROR(AVERAGEIF('Данные 1st'!$S$2:$S$317,$A54,'Данные 1st'!$KX$2:$KX$317),"")</f>
        <v/>
      </c>
      <c r="FY54" s="7">
        <f>IFERROR(AVERAGEIF('Данные 1st'!$S$2:$S$317,$A54,'Данные 1st'!$KY$2:$KY$317),"")</f>
        <v/>
      </c>
      <c r="FZ54" s="7">
        <f>IFERROR(AVERAGEIF('Данные 1st'!$S$2:$S$317,$A54,'Данные 1st'!$KZ$2:$KZ$317),"")</f>
        <v/>
      </c>
      <c r="GA54" s="7">
        <f>IFERROR(AVERAGEIF('Данные 1st'!$S$2:$S$317,$A54,'Данные 1st'!$LA$2:$LA$317),"")</f>
        <v/>
      </c>
      <c r="GB54" s="7">
        <f>IFERROR(AVERAGEIF('Данные 1st'!$S$2:$S$317,$A54,'Данные 1st'!$LB$2:$LB$317),"")</f>
        <v/>
      </c>
      <c r="GC54" s="7">
        <f>IFERROR(AVERAGEIF('Данные 1st'!$S$2:$S$317,$A54,'Данные 1st'!$LC$2:$LC$317),"")</f>
        <v/>
      </c>
      <c r="GD54" s="7">
        <f>IFERROR(AVERAGEIF('Данные 1st'!$S$2:$S$317,$A54,'Данные 1st'!$LD$2:$LD$317),"")</f>
        <v/>
      </c>
      <c r="GE54" s="7">
        <f>IFERROR(AVERAGEIF('Данные 1st'!$S$2:$S$317,$A54,'Данные 1st'!$LE$2:$LE$317),"")</f>
        <v/>
      </c>
      <c r="GF54" s="7">
        <f>IFERROR(AVERAGEIF('Данные 1st'!$S$2:$S$317,$A54,'Данные 1st'!$LF$2:$LF$317),"")</f>
        <v/>
      </c>
      <c r="GG54" s="7">
        <f>IFERROR(AVERAGEIF('Данные 1st'!$S$2:$S$317,$A54,'Данные 1st'!$LG$2:$LG$317),"")</f>
        <v/>
      </c>
      <c r="GH54" s="7">
        <f>IFERROR(AVERAGEIF('Данные 1st'!$S$2:$S$317,$A54,'Данные 1st'!$LH$2:$LH$317),"")</f>
        <v/>
      </c>
      <c r="GI54" s="7">
        <f>IFERROR(AVERAGEIF('Данные 1st'!$S$2:$S$317,$A54,'Данные 1st'!$LI$2:$LI$317),"")</f>
        <v/>
      </c>
      <c r="GJ54" s="7">
        <f>IFERROR(AVERAGEIF('Данные 1st'!$S$2:$S$317,$A54,'Данные 1st'!$LJ$2:$LJ$317),"")</f>
        <v/>
      </c>
      <c r="GK54" s="7">
        <f>IFERROR(AVERAGEIF('Данные 1st'!$S$2:$S$317,$A54,'Данные 1st'!$LK$2:$LK$317),"")</f>
        <v>480</v>
      </c>
      <c r="GL54" s="7">
        <f>IFERROR(AVERAGEIF('Данные 1st'!$S$2:$S$317,$A54,'Данные 1st'!$LV$2:$LV$317),"")</f>
        <v/>
      </c>
      <c r="GM54" s="7">
        <f>IFERROR(AVERAGEIF('Данные 1st'!$S$2:$S$317,$A54,'Данные 1st'!$LW$2:$LW$317),"")</f>
        <v/>
      </c>
      <c r="GN54" s="7">
        <f>IFERROR(AVERAGEIF('Данные 1st'!$S$2:$S$317,$A54,'Данные 1st'!$LX$2:$LX$317),"")</f>
        <v/>
      </c>
      <c r="GO54" s="7">
        <f>IFERROR(AVERAGEIF('Данные 1st'!$S$2:$S$317,$A54,'Данные 1st'!$LY$2:$LY$317),"")</f>
        <v/>
      </c>
      <c r="GP54" s="7">
        <f>IFERROR(AVERAGEIF('Данные 1st'!$S$2:$S$317,$A54,'Данные 1st'!$LZ$2:$LZ$317),"")</f>
        <v/>
      </c>
      <c r="GQ54" s="7">
        <f>IFERROR(AVERAGEIF('Данные 1st'!$S$2:$S$317,$A54,'Данные 1st'!$PG$2:$PG$317),"")</f>
        <v>1</v>
      </c>
      <c r="GR54" s="7">
        <f>IFERROR(AVERAGEIF('Данные 1st'!$S$2:$S$317,$A54,'Данные 1st'!$PX$2:$PX$317),"")</f>
        <v>56</v>
      </c>
      <c r="GS54" s="7">
        <f>IFERROR(AVERAGEIF('Данные 1st'!$S$2:$S$317,$A54,'Данные 1st'!$PY$2:$PY$317),"")</f>
        <v>57</v>
      </c>
      <c r="GT54" s="7">
        <f>IFERROR(AVERAGEIF('Данные 1st'!$S$2:$S$317,$A54,'Данные 1st'!$QA$2:$QA$317),"")</f>
        <v>1</v>
      </c>
      <c r="GU54" s="7">
        <f>IFERROR(AVERAGEIF('Данные 1st'!$S$2:$S$317,$A54,'Данные 1st'!$QB$2:$QB$317),"")</f>
        <v>1229</v>
      </c>
      <c r="GV54" s="7">
        <f>IFERROR(AVERAGEIF('Данные 1st'!$S$2:$S$317,$A54,'Данные 1st'!$QC$2:$QC$317),"")</f>
        <v>69</v>
      </c>
      <c r="GW54" s="7">
        <f>IFERROR(AVERAGEIF('Данные 1st'!$S$2:$S$317,$A54,'Данные 1st'!$QD$2:$QD$317),"")</f>
        <v>69</v>
      </c>
      <c r="GX54" s="7">
        <f>IFERROR(AVERAGEIF('Данные 1st'!$S$2:$S$317,$A54,'Данные 1st'!$QF$2:$QF$317),"")</f>
        <v>1</v>
      </c>
      <c r="GY54" s="7">
        <f>IFERROR(AVERAGEIF('Данные 1st'!$S$2:$S$317,$A54,'Данные 1st'!$QG$2:$QG$317),"")</f>
        <v>1219</v>
      </c>
      <c r="GZ54" s="7">
        <f>IFERROR(AVERAGEIF('Данные 1st'!$S$2:$S$317,$A54,'Данные 1st'!$QH$2:$QH$317),"")</f>
        <v>66</v>
      </c>
      <c r="HA54" s="7">
        <f>IFERROR(AVERAGEIF('Данные 1st'!$S$2:$S$317,$A54,'Данные 1st'!$QI$2:$QI$317),"")</f>
        <v>66</v>
      </c>
      <c r="HB54" s="7">
        <f>IFERROR(AVERAGEIF('Данные 1st'!$S$2:$S$317,$A54,'Данные 1st'!$QK$2:$QK$317),"")</f>
        <v>1</v>
      </c>
      <c r="HC54" s="7">
        <f>IFERROR(AVERAGEIF('Данные 1st'!$S$2:$S$317,$A54,'Данные 1st'!$QL$2:$QL$317),"")</f>
        <v>1219</v>
      </c>
      <c r="HD54" s="7">
        <f>IFERROR(AVERAGEIF('Данные 1st'!$S$2:$S$317,$A54,'Данные 1st'!$QM$2:$QM$317),"")</f>
        <v>62</v>
      </c>
      <c r="HE54" s="7">
        <f>IFERROR(AVERAGEIF('Данные 1st'!$S$2:$S$317,$A54,'Данные 1st'!$QN$2:$QN$317),"")</f>
        <v>62</v>
      </c>
      <c r="HF54" s="7">
        <f>IFERROR(AVERAGEIF('Данные 1st'!$S$2:$S$317,$A54,'Данные 1st'!$QP$2:$QP$317),"")</f>
        <v>1</v>
      </c>
      <c r="HG54" s="7">
        <f>IFERROR(AVERAGEIF('Данные 1st'!$S$2:$S$317,$A54,'Данные 1st'!$QQ$2:$QQ$317),"")</f>
        <v>1217</v>
      </c>
      <c r="HH54" s="7">
        <f>IFERROR(AVERAGEIF('Данные 1st'!$S$2:$S$317,$A54,'Данные 1st'!$QR$2:$QR$317),"")</f>
        <v>62</v>
      </c>
      <c r="HI54" s="7">
        <f>IFERROR(AVERAGEIF('Данные 1st'!$S$2:$S$317,$A54,'Данные 1st'!$QS$2:$QS$317),"")</f>
        <v>62</v>
      </c>
      <c r="HJ54" s="7">
        <f>IFERROR(AVERAGEIF('Данные 1st'!$S$2:$S$317,$A54,'Данные 1st'!$QU$2:$QU$317),"")</f>
        <v>1</v>
      </c>
      <c r="HK54" s="7">
        <f>IFERROR(AVERAGEIF('Данные 1st'!$S$2:$S$317,$A54,'Данные 1st'!$QV$2:$QV$317),"")</f>
        <v>1227</v>
      </c>
      <c r="HL54" s="7">
        <f>IFERROR(AVERAGEIF('Данные 1st'!$S$2:$S$317,$A54,'Данные 1st'!$QW$2:$QW$317),"")</f>
        <v>82</v>
      </c>
      <c r="HM54" s="7">
        <f>IFERROR(AVERAGEIF('Данные 1st'!$S$2:$S$317,$A54,'Данные 1st'!$QX$2:$QX$317),"")</f>
        <v>89</v>
      </c>
      <c r="HN54" s="7">
        <f>IFERROR(AVERAGEIF('Данные 1st'!$S$2:$S$317,$A54,'Данные 1st'!$QZ$2:$QZ$317),"")</f>
        <v>1</v>
      </c>
      <c r="HO54" s="7">
        <f>IFERROR(AVERAGEIF('Данные 1st'!$S$2:$S$317,$A54,'Данные 1st'!$RA$2:$RA$317),"")</f>
        <v>66</v>
      </c>
      <c r="HP54" s="7">
        <f>IFERROR(AVERAGEIF('Данные 1st'!$S$2:$S$317,$A54,'Данные 1st'!$RB$2:$RB$317),"")</f>
        <v>66</v>
      </c>
      <c r="HQ54" s="7">
        <f>IFERROR(AVERAGEIF('Данные 1st'!$S$2:$S$317,$A54,'Данные 1st'!$RD$2:$RD$317),"")</f>
        <v/>
      </c>
      <c r="HR54" s="7">
        <f>IFERROR(AVERAGEIF('Данные 1st'!$S$2:$S$317,$A54,'Данные 1st'!$RE$2:$RE$317),"")</f>
        <v>0</v>
      </c>
      <c r="HS54" s="7">
        <f>IFERROR(AVERAGEIF('Данные 1st'!$S$2:$S$317,$A54,'Данные 1st'!$RF$2:$RF$317),"")</f>
        <v>1</v>
      </c>
      <c r="HT54" s="7">
        <f>IFERROR(AVERAGEIF('Данные 1st'!$S$2:$S$317,$A54,'Данные 1st'!$RG$2:$RG$317),"")</f>
        <v/>
      </c>
      <c r="HU54" s="7">
        <f>IFERROR(AVERAGEIF('Данные 1st'!$S$2:$S$317,$A54,'Данные 1st'!$RH$2:$RH$317),"")</f>
        <v>1</v>
      </c>
      <c r="HV54" s="7">
        <f>IFERROR(AVERAGEIF('Данные 1st'!$S$2:$S$317,$A54,'Данные 1st'!$RI$2:$RI$317),"")</f>
        <v/>
      </c>
      <c r="HW54" s="7">
        <f>IFERROR(AVERAGEIF('Данные 1st'!$S$2:$S$317,$A54,'Данные 1st'!$RJ$2:$RJ$317),"")</f>
        <v>1</v>
      </c>
      <c r="HX54" s="7">
        <f>IFERROR(AVERAGEIF('Данные 1st'!$S$2:$S$317,$A54,'Данные 1st'!$RK$2:$RK$317),"")</f>
        <v>2</v>
      </c>
      <c r="HY54" s="7">
        <f>IFERROR(AVERAGEIF('Данные 1st'!$S$2:$S$317,$A54,'Данные 1st'!$RL$2:$RL$317),"")</f>
        <v>2</v>
      </c>
      <c r="HZ54" s="7">
        <f>IFERROR(AVERAGEIF('Данные 1st'!$S$2:$S$317,$A54,'Данные 1st'!$RM$2:$RM$317),"")</f>
        <v>2</v>
      </c>
      <c r="IA54" s="7">
        <f>IFERROR(AVERAGEIF('Данные 1st'!$S$2:$S$317,$A54,'Данные 1st'!$RN$2:$RN$317),"")</f>
        <v/>
      </c>
      <c r="IB54" s="7">
        <f>IFERROR(AVERAGEIF('Данные 1st'!$S$2:$S$317,$A54,'Данные 1st'!$RO$2:$RO$317),"")</f>
        <v>827</v>
      </c>
      <c r="IC54" s="7">
        <f>IFERROR(AVERAGEIF('Данные 1st'!$S$2:$S$317,$A54,'Данные 1st'!$RP$2:$RP$317),"")</f>
        <v>105</v>
      </c>
      <c r="ID54" s="7">
        <f>IFERROR(AVERAGEIF('Данные 1st'!$S$2:$S$317,$A54,'Данные 1st'!$RQ$2:$RQ$317),"")</f>
        <v>1296</v>
      </c>
      <c r="IE54" s="7">
        <f>IFERROR(AVERAGEIF('Данные 1st'!$S$2:$S$317,$A54,'Данные 1st'!$RR$2:$RR$317),"")</f>
        <v>907</v>
      </c>
      <c r="IF54" s="7">
        <f>IFERROR(AVERAGEIF('Данные 1st'!$S$2:$S$317,$A54,'Данные 1st'!$RS$2:$RS$317),"")</f>
        <v/>
      </c>
      <c r="IG54" s="7">
        <f>IFERROR(AVERAGEIF('Данные 1st'!$S$2:$S$317,$A54,'Данные 1st'!$RT$2:$RT$317),"")</f>
        <v>228</v>
      </c>
      <c r="IH54" s="7">
        <f>IFERROR(AVERAGEIF('Данные 1st'!$S$2:$S$317,$A54,'Данные 1st'!$RU$2:$RU$317),"")</f>
        <v>157</v>
      </c>
      <c r="II54" s="7">
        <f>IFERROR(AVERAGEIF('Данные 1st'!$S$2:$S$317,$A54,'Данные 1st'!$RX$2:$RX$317),"")</f>
        <v>15</v>
      </c>
      <c r="IJ54" s="7">
        <f>IFERROR(AVERAGEIF('Данные 1st'!$S$2:$S$317,$A54,'Данные 1st'!$RY$2:$RY$317),"")</f>
        <v>4</v>
      </c>
      <c r="IK54" s="7">
        <f>IFERROR(AVERAGEIF('Данные 1st'!$S$2:$S$317,$A54,'Данные 1st'!$SA$2:$SA$317),"")</f>
        <v>15</v>
      </c>
      <c r="IL54" s="7">
        <f>IFERROR(AVERAGEIF('Данные 1st'!$S$2:$S$317,$A54,'Данные 1st'!$SD$2:$SD$317),"")</f>
        <v>1</v>
      </c>
      <c r="IM54" s="7">
        <f>IFERROR(AVERAGEIF('Данные 1st'!$S$2:$S$317,$A54,'Данные 1st'!$SG$2:$SG$317),"")</f>
        <v>1</v>
      </c>
      <c r="IN54" s="7">
        <f>IFERROR(AVERAGEIF('Данные 1st'!$S$2:$S$317,$A54,'Данные 1st'!$SH$2:$SH$317),"")</f>
        <v>0.995</v>
      </c>
      <c r="IO54" s="7">
        <f>IFERROR(AVERAGEIF('Данные 1st'!$S$2:$S$317,$A54,'Данные 1st'!$SI$2:$SI$317),"")</f>
        <v>0.995</v>
      </c>
      <c r="IP54" s="7">
        <f>IFERROR(AVERAGEIF('Данные 1st'!$S$2:$S$317,$A54,'Данные 1st'!$SJ$2:$SJ$317),"")</f>
        <v>0.995</v>
      </c>
      <c r="IQ54" s="7">
        <f>IFERROR(AVERAGEIF('Данные 1st'!$S$2:$S$317,$A54,'Данные 1st'!$SK$2:$SK$317),"")</f>
        <v>15</v>
      </c>
      <c r="IR54" s="7">
        <f>IFERROR(AVERAGEIF('Данные 1st'!$S$2:$S$317,$A54,'Данные 1st'!$SL$2:$SL$317),"")</f>
        <v>0</v>
      </c>
      <c r="IS54" s="7">
        <f>IFERROR(AVERAGEIF('Данные 1st'!$S$2:$S$317,$A54,'Данные 1st'!$SM$2:$SM$317),"")</f>
        <v>0</v>
      </c>
      <c r="IT54" s="7">
        <f>IFERROR(AVERAGEIF('Данные 1st'!$S$2:$S$317,$A54,'Данные 1st'!$SN$2:$SN$317),"")</f>
        <v>0</v>
      </c>
      <c r="IU54" s="7">
        <f>IFERROR(AVERAGEIF('Данные 1st'!$S$2:$S$317,$A54,'Данные 1st'!$SO$2:$SO$317),"")</f>
        <v>0</v>
      </c>
      <c r="IV54" s="7">
        <f>IFERROR(AVERAGEIF('Данные 1st'!$S$2:$S$317,$A54,'Данные 1st'!$SP$2:$SP$317),"")</f>
        <v>0</v>
      </c>
      <c r="IW54" s="7">
        <f>IFERROR(AVERAGEIF('Данные 1st'!$S$2:$S$317,$A54,'Данные 1st'!$SQ$2:$SQ$317),"")</f>
        <v>0</v>
      </c>
      <c r="IX54" s="7">
        <f>IFERROR(AVERAGEIF('Данные 1st'!$S$2:$S$317,$A54,'Данные 1st'!$SR$2:$SR$317),"")</f>
        <v>0</v>
      </c>
      <c r="IY54" s="7">
        <f>IFERROR(AVERAGEIF('Данные 1st'!$S$2:$S$317,$A54,'Данные 1st'!$SS$2:$SS$317),"")</f>
        <v>0</v>
      </c>
      <c r="IZ54" s="7">
        <f>IFERROR(AVERAGEIF('Данные 1st'!$S$2:$S$317,$A54,'Данные 1st'!$ST$2:$ST$317),"")</f>
        <v>0</v>
      </c>
      <c r="JA54" s="7">
        <f>IFERROR(AVERAGEIF('Данные 1st'!$S$2:$S$317,$A54,'Данные 1st'!$SU$2:$SU$317),"")</f>
        <v>0</v>
      </c>
      <c r="JB54" s="7">
        <f>IFERROR(AVERAGEIF('Данные 1st'!$S$2:$S$317,$A54,'Данные 1st'!$SV$2:$SV$317),"")</f>
        <v>0</v>
      </c>
      <c r="JC54" s="7">
        <f>IFERROR(AVERAGEIF('Данные 1st'!$S$2:$S$317,$A54,'Данные 1st'!$SW$2:$SW$317),"")</f>
        <v>0</v>
      </c>
      <c r="JD54" s="7">
        <f>IFERROR(AVERAGEIF('Данные 1st'!$S$2:$S$317,$A54,'Данные 1st'!$SX$2:$SX$317),"")</f>
        <v>0</v>
      </c>
      <c r="JE54" s="7">
        <f>IFERROR(AVERAGEIF('Данные 1st'!$S$2:$S$317,$A54,'Данные 1st'!$SY$2:$SY$317),"")</f>
        <v>1</v>
      </c>
      <c r="JF54" s="7">
        <f>IFERROR(AVERAGEIF('Данные 1st'!$S$2:$S$317,$A54,'Данные 1st'!$SZ$2:$SZ$317),"")</f>
        <v>1</v>
      </c>
      <c r="JG54" s="7">
        <f>IFERROR(AVERAGEIF('Данные 1st'!$S$2:$S$317,$A54,'Данные 1st'!$TA$2:$TA$317),"")</f>
        <v/>
      </c>
      <c r="JH54" s="7">
        <f>IFERROR(AVERAGEIF('Данные 1st'!$S$2:$S$317,$A54,'Данные 1st'!$TB$2:$TB$317),"")</f>
        <v>0</v>
      </c>
      <c r="JI54" s="7">
        <f>IFERROR(AVERAGEIF('Данные 1st'!$S$2:$S$317,$A54,'Данные 1st'!$TC$2:$TC$317),"")</f>
        <v>0</v>
      </c>
      <c r="JJ54" s="7">
        <f>IFERROR(AVERAGEIF('Данные 1st'!$S$2:$S$317,$A54,'Данные 1st'!$TD$2:$TD$317),"")</f>
        <v>7.5</v>
      </c>
      <c r="JK54" s="7">
        <f>IFERROR(AVERAGEIF('Данные 1st'!$S$2:$S$317,$A54,'Данные 1st'!$TN$2:$TN$317),"")</f>
        <v>0</v>
      </c>
      <c r="JL54">
        <f>COUNTIF('Данные 2st'!$Q$2:$Q$317,$A54)</f>
        <v>1</v>
      </c>
      <c r="JM54" s="6" t="s">
        <v>2336</v>
      </c>
      <c r="JN54" s="6" t="s">
        <v>513</v>
      </c>
      <c r="JO54" s="6" t="s">
        <v>517</v>
      </c>
      <c r="JP54" s="6" t="s">
        <v>2593</v>
      </c>
      <c r="JQ54" s="7">
        <f>IFERROR(AVERAGEIF('Данные 2st'!$Q$2:$Q$317,$A54,'Данные 2st'!$AC$2:$AC$317),"")</f>
        <v>13</v>
      </c>
      <c r="JR54" s="7">
        <f>IFERROR(AVERAGEIF('Данные 2st'!$Q$2:$Q$317,$A54,'Данные 2st'!$AF$2:$AF$317),"")</f>
        <v>7622</v>
      </c>
      <c r="JS54" s="7">
        <f>IFERROR(AVERAGEIF('Данные 2st'!$Q$2:$Q$317,$A54,'Данные 2st'!$AW$2:$AW$317),"")</f>
        <v>6.4</v>
      </c>
      <c r="JT54" s="7">
        <f>IFERROR(AVERAGEIF('Данные 2st'!$Q$2:$Q$317,$A54,'Данные 2st'!$AX$2:$AX$317),"")</f>
        <v>-6</v>
      </c>
      <c r="JU54" s="7">
        <f>IFERROR(AVERAGEIF('Данные 2st'!$Q$2:$Q$317,$A54,'Данные 2st'!$AY$2:$AY$317),"")</f>
        <v>97.5</v>
      </c>
      <c r="JV54" s="7">
        <f>IFERROR(AVERAGEIF('Данные 2st'!$Q$2:$Q$317,$A54,'Данные 2st'!$AZ$2:$AZ$317),"")</f>
        <v>80</v>
      </c>
      <c r="JW54" s="7">
        <f>IFERROR(AVERAGEIF('Данные 2st'!$Q$2:$Q$317,$A54,'Данные 2st'!$BA$2:$BA$317),"")</f>
        <v/>
      </c>
      <c r="JX54" s="7">
        <f>IFERROR(AVERAGEIF('Данные 2st'!$Q$2:$Q$317,$A54,'Данные 2st'!$BB$2:$BB$317),"")</f>
        <v/>
      </c>
      <c r="JY54" s="7">
        <f>IFERROR(AVERAGEIF('Данные 2st'!$Q$2:$Q$317,$A54,'Данные 2st'!$BC$2:$BC$317),"")</f>
        <v/>
      </c>
      <c r="JZ54" s="7">
        <f>IFERROR(AVERAGEIF('Данные 2st'!$Q$2:$Q$317,$A54,'Данные 2st'!$BH$2:$BH$317),"")</f>
        <v>97.5</v>
      </c>
      <c r="KA54" s="7">
        <f>IFERROR(AVERAGEIF('Данные 2st'!$Q$2:$Q$317,$A54,'Данные 2st'!$BI$2:$BI$317),"")</f>
        <v>17.5</v>
      </c>
      <c r="KB54" s="7">
        <f>IFERROR(AVERAGEIF('Данные 2st'!$Q$2:$Q$317,$A54,'Данные 2st'!$BJ$2:$BJ$317),"")</f>
        <v>80</v>
      </c>
      <c r="KC54" s="7">
        <f>IFERROR(AVERAGEIF('Данные 2st'!$Q$2:$Q$317,$A54,'Данные 2st'!$BK$2:$BK$317),"")</f>
        <v>2.5</v>
      </c>
      <c r="KD54" s="7">
        <f>IFERROR(AVERAGEIF('Данные 2st'!$Q$2:$Q$317,$A54,'Данные 2st'!$BL$2:$BL$317),"")</f>
        <v>195</v>
      </c>
      <c r="KE54" s="7">
        <f>IFERROR(AVERAGEIF('Данные 2st'!$Q$2:$Q$317,$A54,'Данные 2st'!$BM$2:$BM$317),"")</f>
        <v>-6</v>
      </c>
      <c r="KF54" s="7">
        <f>IFERROR(AVERAGEIF('Данные 2st'!$Q$2:$Q$317,$A54,'Данные 2st'!$BN$2:$BN$317),"")</f>
        <v>0</v>
      </c>
      <c r="KG54" s="7">
        <f>IFERROR(AVERAGEIF('Данные 2st'!$Q$2:$Q$317,$A54,'Данные 2st'!$BO$2:$BO$317),"")</f>
        <v/>
      </c>
      <c r="KH54" s="7">
        <f>IFERROR(AVERAGEIF('Данные 2st'!$Q$2:$Q$317,$A54,'Данные 2st'!$BP$2:$BP$317),"")</f>
        <v>0</v>
      </c>
      <c r="KI54" s="7">
        <f>IFERROR(AVERAGEIF('Данные 2st'!$Q$2:$Q$317,$A54,'Данные 2st'!$BR$2:$BR$317),"")</f>
        <v>190</v>
      </c>
      <c r="KJ54" s="7">
        <f>IFERROR(AVERAGEIF('Данные 2st'!$Q$2:$Q$317,$A54,'Данные 2st'!$BS$2:$BS$317),"")</f>
        <v>180</v>
      </c>
      <c r="KK54" s="7">
        <f>IFERROR(AVERAGEIF('Данные 2st'!$Q$2:$Q$317,$A54,'Данные 2st'!$BT$2:$BT$317),"")</f>
        <v>2175</v>
      </c>
      <c r="KL54" s="7">
        <f>IFERROR(AVERAGEIF('Данные 2st'!$Q$2:$Q$317,$A54,'Данные 2st'!$CV$2:$CV$317),"")</f>
        <v>140</v>
      </c>
      <c r="KM54" s="7">
        <f>IFERROR(AVERAGEIF('Данные 2st'!$Q$2:$Q$317,$A54,'Данные 2st'!$CW$2:$CW$317),"")</f>
        <v>3</v>
      </c>
      <c r="KN54" s="7">
        <f>IFERROR(AVERAGEIF('Данные 2st'!$Q$2:$Q$317,$A54,'Данные 2st'!$CX$2:$CX$317),"")</f>
        <v>73</v>
      </c>
      <c r="KO54" s="7">
        <f>IFERROR(AVERAGEIF('Данные 2st'!$Q$2:$Q$317,$A54,'Данные 2st'!$CY$2:$CY$317),"")</f>
        <v>5</v>
      </c>
      <c r="KP54" s="7">
        <f>IFERROR(AVERAGEIF('Данные 2st'!$Q$2:$Q$317,$A54,'Данные 2st'!$CZ$2:$CZ$317),"")</f>
        <v>167</v>
      </c>
      <c r="KQ54" s="7">
        <f>IFERROR(AVERAGEIF('Данные 2st'!$Q$2:$Q$317,$A54,'Данные 2st'!$DA$2:$DA$317),"")</f>
        <v>5</v>
      </c>
      <c r="KR54" s="7">
        <f>IFERROR(AVERAGEIF('Данные 2st'!$Q$2:$Q$317,$A54,'Данные 2st'!$DB$2:$DB$317),"")</f>
        <v>15820</v>
      </c>
      <c r="KS54" s="7">
        <f>IFERROR(AVERAGEIF('Данные 2st'!$Q$2:$Q$317,$A54,'Данные 2st'!$DC$2:$DC$317),"")</f>
        <v>470</v>
      </c>
      <c r="KT54" s="7">
        <f>IFERROR(AVERAGEIF('Данные 2st'!$Q$2:$Q$317,$A54,'Данные 2st'!$DD$2:$DD$317),"")</f>
        <v>370</v>
      </c>
      <c r="KU54" s="7">
        <f>IFERROR(AVERAGEIF('Данные 2st'!$Q$2:$Q$317,$A54,'Данные 2st'!$DE$2:$DE$317),"")</f>
        <v>2272</v>
      </c>
      <c r="KV54" s="7">
        <f>IFERROR(AVERAGEIF('Данные 2st'!$Q$2:$Q$317,$A54,'Данные 2st'!$DF$2:$DF$317),"")</f>
        <v>2272</v>
      </c>
      <c r="KW54" s="7">
        <f>IFERROR(AVERAGEIF('Данные 2st'!$Q$2:$Q$317,$A54,'Данные 2st'!$DG$2:$DG$317),"")</f>
        <v>2295</v>
      </c>
      <c r="KX54" s="7">
        <f>IFERROR(AVERAGEIF('Данные 2st'!$Q$2:$Q$317,$A54,'Данные 2st'!$DH$2:$DH$317),"")</f>
        <v>3</v>
      </c>
      <c r="KY54" s="7">
        <f>IFERROR(AVERAGEIF('Данные 2st'!$Q$2:$Q$317,$A54,'Данные 2st'!$DI$2:$DI$317),"")</f>
        <v/>
      </c>
      <c r="KZ54" s="7">
        <f>IFERROR(AVERAGEIF('Данные 2st'!$Q$2:$Q$317,$A54,'Данные 2st'!$DK$2:$DK$317),"")</f>
        <v>190</v>
      </c>
      <c r="LA54" s="7">
        <f>IFERROR(AVERAGEIF('Данные 2st'!$Q$2:$Q$317,$A54,'Данные 2st'!$DM$2:$DM$317),"")</f>
        <v>63</v>
      </c>
      <c r="LB54" s="7">
        <f>IFERROR(AVERAGEIF('Данные 2st'!$Q$2:$Q$317,$A54,'Данные 2st'!$DN$2:$DN$317),"")</f>
        <v>1.26</v>
      </c>
      <c r="LC54" s="7">
        <f>IFERROR(AVERAGEIF('Данные 2st'!$Q$2:$Q$317,$A54,'Данные 2st'!$DO$2:$DO$317),"")</f>
        <v>1</v>
      </c>
      <c r="LD54" s="7">
        <f>IFERROR(AVERAGEIF('Данные 2st'!$Q$2:$Q$317,$A54,'Данные 2st'!$DP$2:$DP$317),"")</f>
        <v>2179</v>
      </c>
      <c r="LE54" s="7">
        <f>IFERROR(AVERAGEIF('Данные 2st'!$Q$2:$Q$317,$A54,'Данные 2st'!$DQ$2:$DQ$317),"")</f>
        <v>1000</v>
      </c>
      <c r="LF54" s="7">
        <f>IFERROR(AVERAGEIF('Данные 2st'!$Q$2:$Q$317,$A54,'Данные 2st'!$DS$2:$DS$317),"")</f>
        <v>180</v>
      </c>
      <c r="LG54" s="7">
        <f>IFERROR(AVERAGEIF('Данные 2st'!$Q$2:$Q$317,$A54,'Данные 2st'!$DU$2:$DU$317),"")</f>
        <v>63</v>
      </c>
      <c r="LH54" s="7">
        <f>IFERROR(AVERAGEIF('Данные 2st'!$Q$2:$Q$317,$A54,'Данные 2st'!$DV$2:$DV$317),"")</f>
        <v>1.26</v>
      </c>
      <c r="LI54" s="7">
        <f>IFERROR(AVERAGEIF('Данные 2st'!$Q$2:$Q$317,$A54,'Данные 2st'!$DW$2:$DW$317),"")</f>
        <v>1</v>
      </c>
      <c r="LJ54" s="7">
        <f>IFERROR(AVERAGEIF('Данные 2st'!$Q$2:$Q$317,$A54,'Данные 2st'!$DX$2:$DX$317),"")</f>
        <v>2192</v>
      </c>
      <c r="LK54" s="7">
        <f>IFERROR(AVERAGEIF('Данные 2st'!$Q$2:$Q$317,$A54,'Данные 2st'!$DY$2:$DY$317),"")</f>
        <v>954</v>
      </c>
      <c r="LL54" s="7">
        <f>IFERROR(AVERAGEIF('Данные 2st'!$Q$2:$Q$317,$A54,'Данные 2st'!$EA$2:$EA$317),"")</f>
        <v>20</v>
      </c>
      <c r="LM54" s="7">
        <f>IFERROR(AVERAGEIF('Данные 2st'!$Q$2:$Q$317,$A54,'Данные 2st'!$EC$2:$EC$317),"")</f>
        <v>0.8</v>
      </c>
      <c r="LN54" s="7">
        <f>IFERROR(AVERAGEIF('Данные 2st'!$Q$2:$Q$317,$A54,'Данные 2st'!$ED$2:$ED$317),"")</f>
        <v>2179</v>
      </c>
      <c r="LO54" s="7">
        <f>IFERROR(AVERAGEIF('Данные 2st'!$Q$2:$Q$317,$A54,'Данные 2st'!$EE$2:$EE$317),"")</f>
        <v>76</v>
      </c>
      <c r="LP54" s="7">
        <f>IFERROR(AVERAGEIF('Данные 2st'!$Q$2:$Q$317,$A54,'Данные 2st'!$EG$2:$EG$317),"")</f>
        <v>0</v>
      </c>
      <c r="LQ54" s="7">
        <f>IFERROR(AVERAGEIF('Данные 2st'!$Q$2:$Q$317,$A54,'Данные 2st'!$EI$2:$EI$317),"")</f>
        <v>0</v>
      </c>
      <c r="LR54" s="7">
        <f>IFERROR(AVERAGEIF('Данные 2st'!$Q$2:$Q$317,$A54,'Данные 2st'!$EJ$2:$EJ$317),"")</f>
        <v/>
      </c>
      <c r="LS54" s="7">
        <f>IFERROR(AVERAGEIF('Данные 2st'!$Q$2:$Q$317,$A54,'Данные 2st'!$EK$2:$EK$317),"")</f>
        <v/>
      </c>
      <c r="LT54" s="7">
        <f>IFERROR(AVERAGEIF('Данные 2st'!$Q$2:$Q$317,$A54,'Данные 2st'!$EM$2:$EM$317),"")</f>
        <v>12</v>
      </c>
      <c r="LU54" s="7">
        <f>IFERROR(AVERAGEIF('Данные 2st'!$Q$2:$Q$317,$A54,'Данные 2st'!$EN$2:$EN$317),"")</f>
        <v>0.5</v>
      </c>
      <c r="LV54" s="7">
        <f>IFERROR(AVERAGEIF('Данные 2st'!$Q$2:$Q$317,$A54,'Данные 2st'!$EO$2:$EO$317),"")</f>
        <v>0.96</v>
      </c>
      <c r="LW54" s="7">
        <f>IFERROR(AVERAGEIF('Данные 2st'!$Q$2:$Q$317,$A54,'Данные 2st'!$EP$2:$EP$317),"")</f>
        <v>2190.84</v>
      </c>
      <c r="LX54" s="7">
        <f>IFERROR(AVERAGEIF('Данные 2st'!$Q$2:$Q$317,$A54,'Данные 2st'!$EQ$2:$EQ$317),"")</f>
        <v>35429.99</v>
      </c>
      <c r="LY54" s="7">
        <f>IFERROR(AVERAGEIF('Данные 2st'!$Q$2:$Q$317,$A54,'Данные 2st'!$ER$2:$ER$317),"")</f>
        <v>6007.07</v>
      </c>
      <c r="LZ54" s="7">
        <f>IFERROR(AVERAGEIF('Данные 2st'!$Q$2:$Q$317,$A54,'Данные 2st'!$ES$2:$ES$317),"")</f>
        <v>0</v>
      </c>
      <c r="MA54" s="7">
        <f>IFERROR(AVERAGEIF('Данные 2st'!$Q$2:$Q$317,$A54,'Данные 2st'!$ET$2:$ET$317),"")</f>
        <v>0</v>
      </c>
      <c r="MB54" s="7">
        <f>IFERROR(AVERAGEIF('Данные 2st'!$Q$2:$Q$317,$A54,'Данные 2st'!$EU$2:$EU$317),"")</f>
        <v>1</v>
      </c>
      <c r="MC54" s="7">
        <f>IFERROR(AVERAGEIF('Данные 2st'!$Q$2:$Q$317,$A54,'Данные 2st'!$EV$2:$EV$317),"")</f>
        <v>41438</v>
      </c>
      <c r="MD54" s="7">
        <f>IFERROR(AVERAGEIF('Данные 2st'!$Q$2:$Q$317,$A54,'Данные 2st'!$EW$2:$EW$317),"")</f>
        <v>498</v>
      </c>
      <c r="ME54" s="7">
        <f>IFERROR(AVERAGEIF('Данные 2st'!$Q$2:$Q$317,$A54,'Данные 2st'!$EY$2:$EY$317),"")</f>
        <v>226</v>
      </c>
      <c r="MF54" s="7">
        <f>IFERROR(AVERAGEIF('Данные 2st'!$Q$2:$Q$317,$A54,'Данные 2st'!$FA$2:$FA$317),"")</f>
        <v>4.6</v>
      </c>
      <c r="MG54" s="7">
        <f>IFERROR(AVERAGEIF('Данные 2st'!$Q$2:$Q$317,$A54,'Данные 2st'!$FB$2:$FB$317),"")</f>
        <v>1</v>
      </c>
      <c r="MH54" s="7">
        <f>IFERROR(AVERAGEIF('Данные 2st'!$Q$2:$Q$317,$A54,'Данные 2st'!$FC$2:$FC$317),"")</f>
        <v>1</v>
      </c>
      <c r="MI54" s="7">
        <f>IFERROR(AVERAGEIF('Данные 2st'!$Q$2:$Q$317,$A54,'Данные 2st'!$FD$2:$FD$317),"")</f>
        <v>2226</v>
      </c>
      <c r="MJ54" s="7">
        <f>IFERROR(AVERAGEIF('Данные 2st'!$Q$2:$Q$317,$A54,'Данные 2st'!$FE$2:$FE$317),"")</f>
        <v>2434</v>
      </c>
      <c r="MK54" s="7">
        <f>IFERROR(AVERAGEIF('Данные 2st'!$Q$2:$Q$317,$A54,'Данные 2st'!$FG$2:$FG$317),"")</f>
        <v>248</v>
      </c>
      <c r="ML54" s="7">
        <f>IFERROR(AVERAGEIF('Данные 2st'!$Q$2:$Q$317,$A54,'Данные 2st'!$FI$2:$FI$317),"")</f>
        <v>4.1</v>
      </c>
      <c r="MM54" s="7">
        <f>IFERROR(AVERAGEIF('Данные 2st'!$Q$2:$Q$317,$A54,'Данные 2st'!$FJ$2:$FJ$317),"")</f>
        <v>2226</v>
      </c>
      <c r="MN54" s="7">
        <f>IFERROR(AVERAGEIF('Данные 2st'!$Q$2:$Q$317,$A54,'Данные 2st'!$FK$2:$FK$317),"")</f>
        <v>2736</v>
      </c>
      <c r="MO54" s="7">
        <f>IFERROR(AVERAGEIF('Данные 2st'!$Q$2:$Q$317,$A54,'Данные 2st'!$FP$2:$FP$317),"")</f>
        <v>2226</v>
      </c>
      <c r="MP54" s="7">
        <f>IFERROR(AVERAGEIF('Данные 2st'!$Q$2:$Q$317,$A54,'Данные 2st'!$FQ$2:$FQ$317),"")</f>
        <v>241</v>
      </c>
      <c r="MQ54" s="7">
        <f>IFERROR(AVERAGEIF('Данные 2st'!$Q$2:$Q$317,$A54,'Данные 2st'!$FS$2:$FS$317),"")</f>
        <v>252</v>
      </c>
      <c r="MR54" s="7">
        <f>IFERROR(AVERAGEIF('Данные 2st'!$Q$2:$Q$317,$A54,'Данные 2st'!$FU$2:$FU$317),"")</f>
        <v>0.4</v>
      </c>
      <c r="MS54" s="7">
        <f>IFERROR(AVERAGEIF('Данные 2st'!$Q$2:$Q$317,$A54,'Данные 2st'!$FV$2:$FV$317),"")</f>
        <v>2226</v>
      </c>
      <c r="MT54" s="7">
        <f>IFERROR(AVERAGEIF('Данные 2st'!$Q$2:$Q$317,$A54,'Данные 2st'!$FW$2:$FW$317),"")</f>
        <v>251</v>
      </c>
      <c r="MU54" s="7">
        <f>IFERROR(AVERAGEIF('Данные 2st'!$Q$2:$Q$317,$A54,'Данные 2st'!$FY$2:$FY$317),"")</f>
        <v/>
      </c>
      <c r="MV54" s="7">
        <f>IFERROR(AVERAGEIF('Данные 2st'!$Q$2:$Q$317,$A54,'Данные 2st'!$GB$2:$GB$317),"")</f>
        <v/>
      </c>
      <c r="MW54" s="7">
        <f>IFERROR(AVERAGEIF('Данные 2st'!$Q$2:$Q$317,$A54,'Данные 2st'!$GC$2:$GC$317),"")</f>
        <v/>
      </c>
      <c r="MX54" s="7">
        <f>IFERROR(AVERAGEIF('Данные 2st'!$Q$2:$Q$317,$A54,'Данные 2st'!$GD$2:$GD$317),"")</f>
        <v>5662</v>
      </c>
      <c r="MY54" s="7">
        <f>IFERROR(AVERAGEIF('Данные 2st'!$Q$2:$Q$317,$A54,'Данные 2st'!$GN$2:$GN$317),"")</f>
        <v/>
      </c>
      <c r="MZ54" s="7">
        <f>IFERROR(AVERAGEIF('Данные 2st'!$Q$2:$Q$317,$A54,'Данные 2st'!$GQ$2:$GQ$317),"")</f>
        <v>0</v>
      </c>
      <c r="NA54" s="7">
        <f>IFERROR(AVERAGEIF('Данные 2st'!$Q$2:$Q$317,$A54,'Данные 2st'!$GV$2:$GV$317),"")</f>
        <v>9.1</v>
      </c>
      <c r="NB54" s="7">
        <f>IFERROR(AVERAGEIF('Данные 2st'!$Q$2:$Q$317,$A54,'Данные 2st'!$GW$2:$GW$317),"")</f>
        <v>11</v>
      </c>
      <c r="NC54" s="7">
        <f>IFERROR(AVERAGEIF('Данные 2st'!$Q$2:$Q$317,$A54,'Данные 2st'!$GX$2:$GX$317),"")</f>
        <v>0.5</v>
      </c>
      <c r="ND54" s="7">
        <f>IFERROR(AVERAGEIF('Данные 2st'!$Q$2:$Q$317,$A54,'Данные 2st'!$GY$2:$GY$317),"")</f>
        <v>194</v>
      </c>
      <c r="NE54" s="7">
        <f>IFERROR(AVERAGEIF('Данные 2st'!$Q$2:$Q$317,$A54,'Данные 2st'!$GZ$2:$GZ$317),"")</f>
        <v>3</v>
      </c>
      <c r="NF54" s="7">
        <f>IFERROR(AVERAGEIF('Данные 2st'!$Q$2:$Q$317,$A54,'Данные 2st'!$HA$2:$HA$317),"")</f>
        <v>268</v>
      </c>
      <c r="NG54" s="7">
        <f>IFERROR(AVERAGEIF('Данные 2st'!$Q$2:$Q$317,$A54,'Данные 2st'!$HB$2:$HB$317),"")</f>
        <v>3</v>
      </c>
      <c r="NH54" s="7">
        <f>IFERROR(AVERAGEIF('Данные 2st'!$Q$2:$Q$317,$A54,'Данные 2st'!$HC$2:$HC$317),"")</f>
        <v>2226</v>
      </c>
      <c r="NI54" s="7">
        <f>IFERROR(AVERAGEIF('Данные 2st'!$Q$2:$Q$317,$A54,'Данные 2st'!$HD$2:$HD$317),"")</f>
        <v>4</v>
      </c>
      <c r="NJ54" s="7">
        <f>IFERROR(AVERAGEIF('Данные 2st'!$Q$2:$Q$317,$A54,'Данные 2st'!$HM$2:$HM$317),"")</f>
        <v>16</v>
      </c>
      <c r="NK54" s="7">
        <f>IFERROR(AVERAGEIF('Данные 2st'!$Q$2:$Q$317,$A54,'Данные 2st'!$HR$2:$HR$317),"")</f>
        <v>3</v>
      </c>
      <c r="NL54" s="7">
        <f>IFERROR(AVERAGEIF('Данные 2st'!$Q$2:$Q$317,$A54,'Данные 2st'!$HS$2:$HS$317),"")</f>
        <v>2175</v>
      </c>
      <c r="NM54" s="7">
        <f>IFERROR(AVERAGEIF('Данные 2st'!$Q$2:$Q$317,$A54,'Данные 2st'!$HT$2:$HT$317),"")</f>
        <v>5</v>
      </c>
      <c r="NN54" s="7">
        <f>IFERROR(AVERAGEIF('Данные 2st'!$Q$2:$Q$317,$A54,'Данные 2st'!$HY$2:$HY$317),"")</f>
        <v>0</v>
      </c>
      <c r="NO54" s="7">
        <f>IFERROR(AVERAGEIF('Данные 2st'!$Q$2:$Q$317,$A54,'Данные 2st'!$HZ$2:$HZ$317),"")</f>
        <v>63</v>
      </c>
      <c r="NP54" s="7">
        <f>IFERROR(AVERAGEIF('Данные 2st'!$Q$2:$Q$317,$A54,'Данные 2st'!$IA$2:$IA$317),"")</f>
        <v>2179</v>
      </c>
      <c r="NQ54" s="7">
        <f>IFERROR(AVERAGEIF('Данные 2st'!$Q$2:$Q$317,$A54,'Данные 2st'!$IB$2:$IB$317),"")</f>
        <v>2192</v>
      </c>
      <c r="NR54" s="7">
        <f>IFERROR(AVERAGEIF('Данные 2st'!$Q$2:$Q$317,$A54,'Данные 2st'!$IC$2:$IC$317),"")</f>
        <v/>
      </c>
      <c r="NS54" s="7">
        <f>IFERROR(AVERAGEIF('Данные 2st'!$Q$2:$Q$317,$A54,'Данные 2st'!$ID$2:$ID$317),"")</f>
        <v>2226</v>
      </c>
      <c r="NT54" s="7">
        <f>IFERROR(AVERAGEIF('Данные 2st'!$Q$2:$Q$317,$A54,'Данные 2st'!$IE$2:$IE$317),"")</f>
        <v>2226</v>
      </c>
      <c r="NU54" s="7">
        <f>IFERROR(AVERAGEIF('Данные 2st'!$Q$2:$Q$317,$A54,'Данные 2st'!$IF$2:$IF$317),"")</f>
        <v>190</v>
      </c>
      <c r="NV54" s="7">
        <f>IFERROR(AVERAGEIF('Данные 2st'!$Q$2:$Q$317,$A54,'Данные 2st'!$IG$2:$IG$317),"")</f>
        <v>180</v>
      </c>
      <c r="NW54" s="7">
        <f>IFERROR(AVERAGEIF('Данные 2st'!$Q$2:$Q$317,$A54,'Данные 2st'!$IH$2:$IH$317),"")</f>
        <v>268</v>
      </c>
      <c r="NX54" s="7">
        <f>IFERROR(AVERAGEIF('Данные 2st'!$Q$2:$Q$317,$A54,'Данные 2st'!$IJ$2:$IJ$317),"")</f>
        <v>5</v>
      </c>
      <c r="NY54" s="7">
        <f>IFERROR(AVERAGEIF('Данные 2st'!$Q$2:$Q$317,$A54,'Данные 2st'!$IM$2:$IM$317),"")</f>
        <v>0</v>
      </c>
      <c r="NZ54" s="7">
        <f>IFERROR(AVERAGEIF('Данные 2st'!$Q$2:$Q$317,$A54,'Данные 2st'!$IN$2:$IN$317),"")</f>
        <v>270</v>
      </c>
      <c r="OA54" s="7">
        <f>IFERROR(AVERAGEIF('Данные 2st'!$Q$2:$Q$317,$A54,'Данные 2st'!$IO$2:$IO$317),"")</f>
        <v>0</v>
      </c>
      <c r="OB54" s="7">
        <f>IFERROR(AVERAGEIF('Данные 2st'!$Q$2:$Q$317,$A54,'Данные 2st'!$IP$2:$IP$317),"")</f>
        <v>180</v>
      </c>
      <c r="OC54" s="7">
        <f>IFERROR(AVERAGEIF('Данные 2st'!$Q$2:$Q$317,$A54,'Данные 2st'!$IQ$2:$IQ$317),"")</f>
        <v>0</v>
      </c>
      <c r="OD54" s="7">
        <f>IFERROR(AVERAGEIF('Данные 2st'!$Q$2:$Q$317,$A54,'Данные 2st'!$IR$2:$IR$317),"")</f>
        <v>330</v>
      </c>
      <c r="OE54" s="7">
        <f>IFERROR(AVERAGEIF('Данные 2st'!$Q$2:$Q$317,$A54,'Данные 2st'!$IT$2:$IT$317),"")</f>
        <v>90</v>
      </c>
      <c r="OF54" s="7">
        <f>IFERROR(AVERAGEIF('Данные 2st'!$Q$2:$Q$317,$A54,'Данные 2st'!$IU$2:$IU$317),"")</f>
        <v>0</v>
      </c>
      <c r="OG54" s="7">
        <f>IFERROR(AVERAGEIF('Данные 2st'!$Q$2:$Q$317,$A54,'Данные 2st'!$IV$2:$IV$317),"")</f>
        <v>6.4</v>
      </c>
      <c r="OH54" s="7">
        <f>IFERROR(AVERAGEIF('Данные 2st'!$Q$2:$Q$317,$A54,'Данные 2st'!$IW$2:$IW$317),"")</f>
        <v>-6</v>
      </c>
      <c r="OI54" s="7">
        <f>IFERROR(AVERAGEIF('Данные 2st'!$Q$2:$Q$317,$A54,'Данные 2st'!$IX$2:$IX$317),"")</f>
        <v>97.5</v>
      </c>
      <c r="OJ54" s="7">
        <f>IFERROR(AVERAGEIF('Данные 2st'!$Q$2:$Q$317,$A54,'Данные 2st'!$IY$2:$IY$317),"")</f>
        <v>80</v>
      </c>
      <c r="OK54" s="7">
        <f>IFERROR(AVERAGEIF('Данные 2st'!$Q$2:$Q$317,$A54,'Данные 2st'!$IZ$2:$IZ$317),"")</f>
        <v>0</v>
      </c>
      <c r="OL54" s="7">
        <f>IFERROR(AVERAGEIF('Данные 2st'!$Q$2:$Q$317,$A54,'Данные 2st'!$JA$2:$JA$317),"")</f>
        <v>0</v>
      </c>
      <c r="OM54" s="7">
        <f>IFERROR(AVERAGEIF('Данные 2st'!$Q$2:$Q$317,$A54,'Данные 2st'!$JB$2:$JB$317),"")</f>
        <v>0</v>
      </c>
      <c r="ON54" s="7">
        <f>IFERROR(AVERAGEIF('Данные 2st'!$Q$2:$Q$317,$A54,'Данные 2st'!$JC$2:$JC$317),"")</f>
        <v>0</v>
      </c>
      <c r="OO54" s="7">
        <f>IFERROR(AVERAGEIF('Данные 2st'!$Q$2:$Q$317,$A54,'Данные 2st'!$JD$2:$JD$317),"")</f>
        <v>0</v>
      </c>
      <c r="OP54" s="7">
        <f>IFERROR(AVERAGEIF('Данные 2st'!$Q$2:$Q$317,$A54,'Данные 2st'!$JE$2:$JE$317),"")</f>
        <v>0</v>
      </c>
      <c r="OQ54" s="7">
        <f>IFERROR(AVERAGEIF('Данные 2st'!$Q$2:$Q$317,$A54,'Данные 2st'!$JF$2:$JF$317),"")</f>
        <v>0</v>
      </c>
      <c r="OR54" s="7">
        <f>IFERROR(AVERAGEIF('Данные 2st'!$Q$2:$Q$317,$A54,'Данные 2st'!$JG$2:$JG$317),"")</f>
        <v>0</v>
      </c>
      <c r="OS54" s="7">
        <f>IFERROR(AVERAGEIF('Данные 2st'!$Q$2:$Q$317,$A54,'Данные 2st'!$JH$2:$JH$317),"")</f>
        <v>0</v>
      </c>
      <c r="OT54" s="7">
        <f>IFERROR(AVERAGEIF('Данные 2st'!$Q$2:$Q$317,$A54,'Данные 2st'!$JI$2:$JI$317),"")</f>
        <v>468</v>
      </c>
      <c r="OU54" s="7">
        <f>IFERROR(AVERAGEIF('Данные 2st'!$Q$2:$Q$317,$A54,'Данные 2st'!$JJ$2:$JJ$317),"")</f>
        <v>438</v>
      </c>
      <c r="OV54" s="7">
        <f>IFERROR(AVERAGEIF('Данные 2st'!$Q$2:$Q$317,$A54,'Данные 2st'!$JK$2:$JK$317),"")</f>
        <v>318</v>
      </c>
      <c r="OW54" s="7">
        <f>IFERROR(AVERAGEIF('Данные 2st'!$Q$2:$Q$317,$A54,'Данные 2st'!$JL$2:$JL$317),"")</f>
        <v>436</v>
      </c>
      <c r="OX54" s="7">
        <f>IFERROR(AVERAGEIF('Данные 2st'!$Q$2:$Q$317,$A54,'Данные 2st'!$JM$2:$JM$317),"")</f>
        <v>315</v>
      </c>
      <c r="OY54" s="7">
        <f>IFERROR(AVERAGEIF('Данные 2st'!$Q$2:$Q$317,$A54,'Данные 2st'!$JP$2:$JP$317),"")</f>
        <v>195</v>
      </c>
      <c r="OZ54" s="7">
        <f>IFERROR(AVERAGEIF('Данные 2st'!$Q$2:$Q$317,$A54,'Данные 2st'!$JQ$2:$JQ$317),"")</f>
        <v>260</v>
      </c>
      <c r="PA54" s="7">
        <f>IFERROR(AVERAGEIF('Данные 2st'!$Q$2:$Q$317,$A54,'Данные 2st'!$JR$2:$JR$317),"")</f>
        <v>356</v>
      </c>
      <c r="PB54" s="7">
        <f>IFERROR(AVERAGEIF('Данные 2st'!$Q$2:$Q$317,$A54,'Данные 2st'!$JS$2:$JS$317),"")</f>
        <v>230</v>
      </c>
      <c r="PC54" s="7">
        <f>IFERROR(AVERAGEIF('Данные 2st'!$Q$2:$Q$317,$A54,'Данные 2st'!$JT$2:$JT$317),"")</f>
        <v>0</v>
      </c>
      <c r="PD54" s="7">
        <f>IFERROR(AVERAGEIF('Данные 2st'!$Q$2:$Q$317,$A54,'Данные 2st'!$JU$2:$JU$317),"")</f>
        <v>0</v>
      </c>
      <c r="PE54" s="7">
        <f>IFERROR(AVERAGEIF('Данные 2st'!$Q$2:$Q$317,$A54,'Данные 2st'!$JV$2:$JV$317),"")</f>
        <v>335</v>
      </c>
      <c r="PF54" s="7">
        <f>IFERROR(AVERAGEIF('Данные 2st'!$Q$2:$Q$317,$A54,'Данные 2st'!$JW$2:$JW$317),"")</f>
        <v>337</v>
      </c>
      <c r="PG54" s="7">
        <f>IFERROR(AVERAGEIF('Данные 2st'!$Q$2:$Q$317,$A54,'Данные 2st'!$KF$2:$KF$317),"")</f>
        <v>0.18</v>
      </c>
      <c r="PH54" s="7">
        <f>IFERROR(AVERAGEIF('Данные 2st'!$Q$2:$Q$317,$A54,'Данные 2st'!$KG$2:$KG$317),"")</f>
        <v>0.11</v>
      </c>
      <c r="PI54" s="7">
        <f>IFERROR(AVERAGEIF('Данные 2st'!$Q$2:$Q$317,$A54,'Данные 2st'!$KM$2:$KM$317),"")</f>
        <v>4</v>
      </c>
      <c r="PJ54" s="7">
        <f>IFERROR(AVERAGEIF('Данные 2st'!$Q$2:$Q$317,$A54,'Данные 2st'!$KN$2:$KN$317),"")</f>
        <v>1.9</v>
      </c>
      <c r="PK54" s="7">
        <f>IFERROR(AVERAGEIF('Данные 2st'!$Q$2:$Q$317,$A54,'Данные 2st'!$KO$2:$KO$317),"")</f>
        <v>0</v>
      </c>
      <c r="PL54" s="7">
        <f>IFERROR(AVERAGEIF('Данные 2st'!$Q$2:$Q$317,$A54,'Данные 2st'!$KP$2:$KP$317),"")</f>
        <v>0</v>
      </c>
      <c r="PM54" s="7">
        <f>IFERROR(AVERAGEIF('Данные 2st'!$Q$2:$Q$317,$A54,'Данные 2st'!$KQ$2:$KQ$317),"")</f>
        <v>0.8</v>
      </c>
      <c r="PN54" s="7">
        <f>IFERROR(AVERAGEIF('Данные 2st'!$Q$2:$Q$317,$A54,'Данные 2st'!$KR$2:$KR$317),"")</f>
        <v>0.8</v>
      </c>
      <c r="PO54" s="7">
        <f>IFERROR(AVERAGEIF('Данные 2st'!$Q$2:$Q$317,$A54,'Данные 2st'!$KS$2:$KS$317),"")</f>
        <v>0</v>
      </c>
      <c r="PP54" s="7">
        <f>IFERROR(AVERAGEIF('Данные 2st'!$Q$2:$Q$317,$A54,'Данные 2st'!$KT$2:$KT$317),"")</f>
        <v>3.5</v>
      </c>
      <c r="PQ54" s="7">
        <f>IFERROR(AVERAGEIF('Данные 2st'!$Q$2:$Q$317,$A54,'Данные 2st'!$KU$2:$KU$317),"")</f>
        <v>0</v>
      </c>
      <c r="PR54" s="7">
        <f>IFERROR(AVERAGEIF('Данные 2st'!$Q$2:$Q$317,$A54,'Данные 2st'!$KV$2:$KV$317),"")</f>
        <v>0</v>
      </c>
      <c r="PS54" s="7">
        <f>IFERROR(AVERAGEIF('Данные 2st'!$Q$2:$Q$317,$A54,'Данные 2st'!$KW$2:$KW$317),"")</f>
        <v>1.2</v>
      </c>
      <c r="PT54" s="7">
        <f>IFERROR(AVERAGEIF('Данные 2st'!$Q$2:$Q$317,$A54,'Данные 2st'!$KX$2:$KX$317),"")</f>
        <v>2</v>
      </c>
      <c r="PU54" s="7">
        <f>IFERROR(AVERAGEIF('Данные 2st'!$Q$2:$Q$317,$A54,'Данные 2st'!$KY$2:$KY$317),"")</f>
        <v>2</v>
      </c>
      <c r="PV54" s="7">
        <f>IFERROR(AVERAGEIF('Данные 2st'!$Q$2:$Q$317,$A54,'Данные 2st'!$KZ$2:$KZ$317),"")</f>
        <v>0</v>
      </c>
      <c r="PW54" s="7">
        <f>IFERROR(AVERAGEIF('Данные 2st'!$Q$2:$Q$317,$A54,'Данные 2st'!$LA$2:$LA$317),"")</f>
        <v>0</v>
      </c>
      <c r="PX54" s="7">
        <f>IFERROR(AVERAGEIF('Данные 2st'!$Q$2:$Q$317,$A54,'Данные 2st'!$LB$2:$LB$317),"")</f>
        <v>0</v>
      </c>
      <c r="PY54" s="7">
        <f>IFERROR(AVERAGEIF('Данные 2st'!$Q$2:$Q$317,$A54,'Данные 2st'!$LC$2:$LC$317),"")</f>
        <v>0</v>
      </c>
      <c r="PZ54" s="7">
        <f>IFERROR(AVERAGEIF('Данные 2st'!$Q$2:$Q$317,$A54,'Данные 2st'!$LD$2:$LD$317),"")</f>
        <v>0</v>
      </c>
      <c r="QA54" s="7">
        <f>IFERROR(AVERAGEIF('Данные 2st'!$Q$2:$Q$317,$A54,'Данные 2st'!$LE$2:$LE$317),"")</f>
        <v>0</v>
      </c>
      <c r="QB54" s="7">
        <f>IFERROR(AVERAGEIF('Данные 2st'!$Q$2:$Q$317,$A54,'Данные 2st'!$LF$2:$LF$317),"")</f>
        <v>0</v>
      </c>
      <c r="QC54" s="7">
        <f>IFERROR(AVERAGEIF('Данные 2st'!$Q$2:$Q$317,$A54,'Данные 2st'!$LG$2:$LG$317),"")</f>
        <v>0</v>
      </c>
      <c r="QD54" s="7">
        <f>IFERROR(AVERAGEIF('Данные 2st'!$Q$2:$Q$317,$A54,'Данные 2st'!$LH$2:$LH$317),"")</f>
        <v>0</v>
      </c>
      <c r="QE54" s="7">
        <f>IFERROR(AVERAGEIF('Данные 2st'!$Q$2:$Q$317,$A54,'Данные 2st'!$LJ$2:$LJ$317),"")</f>
        <v>0</v>
      </c>
      <c r="QF54" s="7">
        <f>IFERROR(AVERAGEIF('Данные 2st'!$Q$2:$Q$317,$A54,'Данные 2st'!$LK$2:$LK$317),"")</f>
        <v>5</v>
      </c>
      <c r="QG54" s="7">
        <f>IFERROR(AVERAGEIF('Данные 2st'!$Q$2:$Q$317,$A54,'Данные 2st'!$LL$2:$LL$317),"")</f>
        <v>10</v>
      </c>
      <c r="QH54" s="7">
        <f>IFERROR(AVERAGEIF('Данные 2st'!$Q$2:$Q$317,$A54,'Данные 2st'!$LM$2:$LM$317),"")</f>
        <v>8</v>
      </c>
      <c r="QI54" s="7">
        <f>IFERROR(AVERAGEIF('Данные 2st'!$Q$2:$Q$317,$A54,'Данные 2st'!$LN$2:$LN$317),"")</f>
        <v>0.3</v>
      </c>
      <c r="QJ54" s="7">
        <f>IFERROR(AVERAGEIF('Данные 2st'!$Q$2:$Q$317,$A54,'Данные 2st'!$LO$2:$LO$317),"")</f>
        <v>0.5</v>
      </c>
      <c r="QK54" s="7">
        <f>IFERROR(AVERAGEIF('Данные 2st'!$Q$2:$Q$317,$A54,'Данные 2st'!$LP$2:$LP$317),"")</f>
        <v>0</v>
      </c>
      <c r="QL54" s="7">
        <f>IFERROR(AVERAGEIF('Данные 2st'!$Q$2:$Q$317,$A54,'Данные 2st'!$LQ$2:$LQ$317),"")</f>
        <v>0</v>
      </c>
      <c r="QM54" s="7">
        <f>IFERROR(AVERAGEIF('Данные 2st'!$Q$2:$Q$317,$A54,'Данные 2st'!$LW$2:$LW$317),"")</f>
        <v>3.5</v>
      </c>
      <c r="QN54" s="7">
        <f>IFERROR(AVERAGEIF('Данные 2st'!$Q$2:$Q$317,$A54,'Данные 2st'!$LX$2:$LX$317),"")</f>
        <v>3.5</v>
      </c>
      <c r="QO54" s="7">
        <f>IFERROR(AVERAGEIF('Данные 2st'!$Q$2:$Q$317,$A54,'Данные 2st'!$LY$2:$LY$317),"")</f>
        <v>1.7</v>
      </c>
      <c r="QP54" s="7">
        <f>IFERROR(AVERAGEIF('Данные 2st'!$Q$2:$Q$317,$A54,'Данные 2st'!$LZ$2:$LZ$317),"")</f>
        <v>1.7</v>
      </c>
      <c r="QQ54" s="7">
        <f>IFERROR(AVERAGEIF('Данные 2st'!$Q$2:$Q$317,$A54,'Данные 2st'!$MB$2:$MB$317),"")</f>
        <v>2</v>
      </c>
      <c r="QR54" s="7">
        <f>IFERROR(AVERAGEIF('Данные 2st'!$Q$2:$Q$317,$A54,'Данные 2st'!$MG$2:$MG$317),"")</f>
        <v>0</v>
      </c>
      <c r="QS54" s="7">
        <f>IFERROR(AVERAGEIF('Данные 2st'!$Q$2:$Q$317,$A54,'Данные 2st'!$MH$2:$MH$317),"")</f>
        <v>0</v>
      </c>
      <c r="QT54" s="7">
        <f>IFERROR(AVERAGEIF('Данные 2st'!$Q$2:$Q$317,$A54,'Данные 2st'!$MI$2:$MI$317),"")</f>
        <v>0</v>
      </c>
      <c r="QU54" s="7">
        <f>IFERROR(AVERAGEIF('Данные 2st'!$Q$2:$Q$317,$A54,'Данные 2st'!$MJ$2:$MJ$317),"")</f>
        <v>0</v>
      </c>
      <c r="QV54" s="7">
        <f>IFERROR(AVERAGEIF('Данные 2st'!$Q$2:$Q$317,$A54,'Данные 2st'!$MK$2:$MK$317),"")</f>
        <v>0</v>
      </c>
      <c r="QW54" s="7">
        <f>IFERROR(AVERAGEIF('Данные 2st'!$Q$2:$Q$317,$A54,'Данные 2st'!$MM$2:$MM$317),"")</f>
        <v>358</v>
      </c>
      <c r="QX54" s="7">
        <f>IFERROR(AVERAGEIF('Данные 2st'!$Q$2:$Q$317,$A54,'Данные 2st'!$MQ$2:$MQ$317),"")</f>
        <v/>
      </c>
      <c r="QY54" s="7">
        <f>IFERROR(AVERAGEIF('Данные 2st'!$Q$2:$Q$317,$A54,'Данные 2st'!$MR$2:$MR$317),"")</f>
        <v/>
      </c>
      <c r="QZ54" s="7">
        <f>IFERROR(AVERAGEIF('Данные 2st'!$Q$2:$Q$317,$A54,'Данные 2st'!$MS$2:$MS$317),"")</f>
        <v/>
      </c>
      <c r="RA54" s="7">
        <f>IFERROR(AVERAGEIF('Данные 2st'!$Q$2:$Q$317,$A54,'Данные 2st'!$MT$2:$MT$317),"")</f>
        <v/>
      </c>
      <c r="RB54" s="7">
        <f>IFERROR(AVERAGEIF('Данные 2st'!$Q$2:$Q$317,$A54,'Данные 2st'!$MU$2:$MU$317),"")</f>
        <v/>
      </c>
      <c r="RC54" s="7">
        <f>IFERROR(AVERAGEIF('Данные 2st'!$Q$2:$Q$317,$A54,'Данные 2st'!$MV$2:$MV$317),"")</f>
        <v/>
      </c>
      <c r="RD54" s="7">
        <f>IFERROR(AVERAGEIF('Данные 2st'!$Q$2:$Q$317,$A54,'Данные 2st'!$MW$2:$MW$317),"")</f>
        <v/>
      </c>
      <c r="RE54" s="7">
        <f>IFERROR(AVERAGEIF('Данные 2st'!$Q$2:$Q$317,$A54,'Данные 2st'!$MX$2:$MX$317),"")</f>
        <v/>
      </c>
      <c r="RF54" s="7">
        <f>IFERROR(AVERAGEIF('Данные 2st'!$Q$2:$Q$317,$A54,'Данные 2st'!$MY$2:$MY$317),"")</f>
        <v/>
      </c>
      <c r="RG54" s="7">
        <f>IFERROR(AVERAGEIF('Данные 2st'!$Q$2:$Q$317,$A54,'Данные 2st'!$MZ$2:$MZ$317),"")</f>
        <v/>
      </c>
      <c r="RH54" s="7">
        <f>IFERROR(AVERAGEIF('Данные 2st'!$Q$2:$Q$317,$A54,'Данные 2st'!$NA$2:$NA$317),"")</f>
        <v/>
      </c>
      <c r="RI54" s="7">
        <f>IFERROR(AVERAGEIF('Данные 2st'!$Q$2:$Q$317,$A54,'Данные 2st'!$NB$2:$NB$317),"")</f>
        <v/>
      </c>
      <c r="RJ54" s="7">
        <f>IFERROR(AVERAGEIF('Данные 2st'!$Q$2:$Q$317,$A54,'Данные 2st'!$NC$2:$NC$317),"")</f>
        <v/>
      </c>
      <c r="RK54" s="7">
        <f>IFERROR(AVERAGEIF('Данные 2st'!$Q$2:$Q$317,$A54,'Данные 2st'!$ND$2:$ND$317),"")</f>
        <v/>
      </c>
      <c r="RL54" s="7">
        <f>IFERROR(AVERAGEIF('Данные 2st'!$Q$2:$Q$317,$A54,'Данные 2st'!$NE$2:$NE$317),"")</f>
        <v/>
      </c>
      <c r="RM54" s="7">
        <f>IFERROR(AVERAGEIF('Данные 2st'!$Q$2:$Q$317,$A54,'Данные 2st'!$NF$2:$NF$317),"")</f>
        <v/>
      </c>
      <c r="RN54" s="7">
        <f>IFERROR(AVERAGEIF('Данные 2st'!$Q$2:$Q$317,$A54,'Данные 2st'!$NG$2:$NG$317),"")</f>
        <v/>
      </c>
      <c r="RO54" s="7">
        <f>IFERROR(AVERAGEIF('Данные 2st'!$Q$2:$Q$317,$A54,'Данные 2st'!$NH$2:$NH$317),"")</f>
        <v/>
      </c>
      <c r="RP54" s="7">
        <f>IFERROR(AVERAGEIF('Данные 2st'!$Q$2:$Q$317,$A54,'Данные 2st'!$NJ$2:$NJ$317),"")</f>
        <v/>
      </c>
      <c r="RQ54" s="7">
        <f>IFERROR(AVERAGEIF('Данные 2st'!$Q$2:$Q$317,$A54,'Данные 2st'!$NK$2:$NK$317),"")</f>
        <v/>
      </c>
      <c r="RR54" s="7">
        <f>IFERROR(AVERAGEIF('Данные 2st'!$Q$2:$Q$317,$A54,'Данные 2st'!$NM$2:$NM$317),"")</f>
        <v/>
      </c>
      <c r="RS54" s="7">
        <f>IFERROR(AVERAGEIF('Данные 2st'!$Q$2:$Q$317,$A54,'Данные 2st'!$NN$2:$NN$317),"")</f>
        <v/>
      </c>
      <c r="RT54" s="7">
        <f>IFERROR(AVERAGEIF('Данные 2st'!$Q$2:$Q$317,$A54,'Данные 2st'!$NO$2:$NO$317),"")</f>
        <v/>
      </c>
      <c r="RU54" s="7">
        <f>IFERROR(AVERAGEIF('Данные 2st'!$Q$2:$Q$317,$A54,'Данные 2st'!$NP$2:$NP$317),"")</f>
        <v/>
      </c>
      <c r="RV54" s="7">
        <f>IFERROR(AVERAGEIF('Данные 2st'!$Q$2:$Q$317,$A54,'Данные 2st'!$NQ$2:$NQ$317),"")</f>
        <v/>
      </c>
      <c r="RW54" s="7">
        <f>IFERROR(AVERAGEIF('Данные 2st'!$Q$2:$Q$317,$A54,'Данные 2st'!$NR$2:$NR$317),"")</f>
        <v/>
      </c>
      <c r="RX54" s="7">
        <f>IFERROR(AVERAGEIF('Данные 2st'!$Q$2:$Q$317,$A54,'Данные 2st'!$NS$2:$NS$317),"")</f>
        <v/>
      </c>
      <c r="RY54" s="7">
        <f>IFERROR(AVERAGEIF('Данные 2st'!$Q$2:$Q$317,$A54,'Данные 2st'!$NT$2:$NT$317),"")</f>
        <v/>
      </c>
      <c r="RZ54" s="7">
        <f>IFERROR(AVERAGEIF('Данные 2st'!$Q$2:$Q$317,$A54,'Данные 2st'!$OK$2:$OK$317),"")</f>
        <v>61</v>
      </c>
      <c r="SA54" s="7">
        <f>IFERROR(AVERAGEIF('Данные 2st'!$Q$2:$Q$317,$A54,'Данные 2st'!$OL$2:$OL$317),"")</f>
        <v>61</v>
      </c>
      <c r="SB54" s="7">
        <f>IFERROR(AVERAGEIF('Данные 2st'!$Q$2:$Q$317,$A54,'Данные 2st'!$ON$2:$ON$317),"")</f>
        <v>1</v>
      </c>
      <c r="SC54" s="7">
        <f>IFERROR(AVERAGEIF('Данные 2st'!$Q$2:$Q$317,$A54,'Данные 2st'!$OO$2:$OO$317),"")</f>
        <v>2179</v>
      </c>
      <c r="SD54" s="7">
        <f>IFERROR(AVERAGEIF('Данные 2st'!$Q$2:$Q$317,$A54,'Данные 2st'!$OP$2:$OP$317),"")</f>
        <v>61</v>
      </c>
      <c r="SE54" s="7">
        <f>IFERROR(AVERAGEIF('Данные 2st'!$Q$2:$Q$317,$A54,'Данные 2st'!$OQ$2:$OQ$317),"")</f>
        <v>61</v>
      </c>
      <c r="SF54" s="7">
        <f>IFERROR(AVERAGEIF('Данные 2st'!$Q$2:$Q$317,$A54,'Данные 2st'!$OS$2:$OS$317),"")</f>
        <v>1</v>
      </c>
      <c r="SG54" s="7">
        <f>IFERROR(AVERAGEIF('Данные 2st'!$Q$2:$Q$317,$A54,'Данные 2st'!$OT$2:$OT$317),"")</f>
        <v>2192</v>
      </c>
      <c r="SH54" s="7">
        <f>IFERROR(AVERAGEIF('Данные 2st'!$Q$2:$Q$317,$A54,'Данные 2st'!$OU$2:$OU$317),"")</f>
        <v>65</v>
      </c>
      <c r="SI54" s="7">
        <f>IFERROR(AVERAGEIF('Данные 2st'!$Q$2:$Q$317,$A54,'Данные 2st'!$OV$2:$OV$317),"")</f>
        <v>65</v>
      </c>
      <c r="SJ54" s="7">
        <f>IFERROR(AVERAGEIF('Данные 2st'!$Q$2:$Q$317,$A54,'Данные 2st'!$OX$2:$OX$317),"")</f>
        <v>2</v>
      </c>
      <c r="SK54" s="7">
        <f>IFERROR(AVERAGEIF('Данные 2st'!$Q$2:$Q$317,$A54,'Данные 2st'!$OY$2:$OY$317),"")</f>
        <v>41438</v>
      </c>
      <c r="SL54" s="7">
        <f>IFERROR(AVERAGEIF('Данные 2st'!$Q$2:$Q$317,$A54,'Данные 2st'!$OZ$2:$OZ$317),"")</f>
        <v>51</v>
      </c>
      <c r="SM54" s="7">
        <f>IFERROR(AVERAGEIF('Данные 2st'!$Q$2:$Q$317,$A54,'Данные 2st'!$PA$2:$PA$317),"")</f>
        <v>52</v>
      </c>
      <c r="SN54" s="7">
        <f>IFERROR(AVERAGEIF('Данные 2st'!$Q$2:$Q$317,$A54,'Данные 2st'!$PC$2:$PC$317),"")</f>
        <v>1</v>
      </c>
      <c r="SO54" s="7">
        <f>IFERROR(AVERAGEIF('Данные 2st'!$Q$2:$Q$317,$A54,'Данные 2st'!$PD$2:$PD$317),"")</f>
        <v>2226</v>
      </c>
      <c r="SP54" s="7">
        <f>IFERROR(AVERAGEIF('Данные 2st'!$Q$2:$Q$317,$A54,'Данные 2st'!$PF$2:$PF$317),"")</f>
        <v>459</v>
      </c>
      <c r="SQ54" s="7">
        <f>IFERROR(AVERAGEIF('Данные 2st'!$Q$2:$Q$317,$A54,'Данные 2st'!$PG$2:$PG$317),"")</f>
        <v>35</v>
      </c>
      <c r="SR54" s="7">
        <f>IFERROR(AVERAGEIF('Данные 2st'!$Q$2:$Q$317,$A54,'Данные 2st'!$PH$2:$PH$317),"")</f>
        <v>435</v>
      </c>
      <c r="SS54" s="7">
        <f>IFERROR(AVERAGEIF('Данные 2st'!$Q$2:$Q$317,$A54,'Данные 2st'!$PI$2:$PI$317),"")</f>
        <v>0</v>
      </c>
      <c r="ST54" s="7">
        <f>IFERROR(AVERAGEIF('Данные 2st'!$Q$2:$Q$317,$A54,'Данные 2st'!$PJ$2:$PJ$317),"")</f>
        <v>108.2</v>
      </c>
      <c r="SU54" s="7">
        <f>IFERROR(AVERAGEIF('Данные 2st'!$Q$2:$Q$317,$A54,'Данные 2st'!$PK$2:$PK$317),"")</f>
        <v>2222</v>
      </c>
      <c r="SV54" s="7">
        <f>IFERROR(AVERAGEIF('Данные 2st'!$Q$2:$Q$317,$A54,'Данные 2st'!$PL$2:$PL$317),"")</f>
        <v>1093.4</v>
      </c>
      <c r="SW54" s="7">
        <f>IFERROR(AVERAGEIF('Данные 2st'!$Q$2:$Q$317,$A54,'Данные 2st'!$PM$2:$PM$317),"")</f>
        <v>1228.9</v>
      </c>
      <c r="SX54" s="7">
        <f>IFERROR(AVERAGEIF('Данные 2st'!$Q$2:$Q$317,$A54,'Данные 2st'!$PN$2:$PN$317),"")</f>
        <v>112.6</v>
      </c>
      <c r="SY54" s="7">
        <f>IFERROR(AVERAGEIF('Данные 2st'!$Q$2:$Q$317,$A54,'Данные 2st'!$PO$2:$PO$317),"")</f>
        <v/>
      </c>
      <c r="SZ54" s="7">
        <f>IFERROR(AVERAGEIF('Данные 2st'!$Q$2:$Q$317,$A54,'Данные 2st'!$PP$2:$PP$317),"")</f>
        <v>12</v>
      </c>
      <c r="TA54" s="7">
        <f>IFERROR(AVERAGEIF('Данные 2st'!$Q$2:$Q$317,$A54,'Данные 2st'!$PQ$2:$PQ$317),"")</f>
        <v>5</v>
      </c>
      <c r="TB54" s="7">
        <f>IFERROR(AVERAGEIF('Данные 2st'!$Q$2:$Q$317,$A54,'Данные 2st'!$PR$2:$PR$317),"")</f>
        <v>5</v>
      </c>
      <c r="TC54" s="7">
        <f>IFERROR(AVERAGEIF('Данные 2st'!$Q$2:$Q$317,$A54,'Данные 2st'!$PS$2:$PS$317),"")</f>
        <v>0</v>
      </c>
      <c r="TD54" s="7">
        <f>IFERROR(AVERAGEIF('Данные 2st'!$Q$2:$Q$317,$A54,'Данные 2st'!$PT$2:$PT$317),"")</f>
        <v>268</v>
      </c>
      <c r="TE54" s="7">
        <f>IFERROR(AVERAGEIF('Данные 2st'!$Q$2:$Q$317,$A54,'Данные 2st'!$PU$2:$PU$317),"")</f>
        <v>10</v>
      </c>
      <c r="TF54" s="7">
        <f>IFERROR(AVERAGEIF('Данные 2st'!$Q$2:$Q$317,$A54,'Данные 2st'!$PX$2:$PX$317),"")</f>
        <v>0</v>
      </c>
      <c r="TG54" s="7">
        <f>IFERROR(AVERAGEIF('Данные 2st'!$Q$2:$Q$317,$A54,'Данные 2st'!$PY$2:$PY$317),"")</f>
        <v>0</v>
      </c>
      <c r="TH54" s="7">
        <f>IFERROR(AVERAGEIF('Данные 2st'!$Q$2:$Q$317,$A54,'Данные 2st'!$PZ$2:$PZ$317),"")</f>
        <v>0</v>
      </c>
      <c r="TI54" s="7">
        <f>IFERROR(AVERAGEIF('Данные 2st'!$Q$2:$Q$317,$A54,'Данные 2st'!$QA$2:$QA$317),"")</f>
        <v>0</v>
      </c>
      <c r="TJ54" s="7">
        <f>IFERROR(AVERAGEIF('Данные 2st'!$Q$2:$Q$317,$A54,'Данные 2st'!$QB$2:$QB$317),"")</f>
        <v>0</v>
      </c>
      <c r="TK54" s="7">
        <f>IFERROR(AVERAGEIF('Данные 2st'!$Q$2:$Q$317,$A54,'Данные 2st'!$QC$2:$QC$317),"")</f>
        <v>0</v>
      </c>
      <c r="TL54" s="7">
        <f>IFERROR(AVERAGEIF('Данные 2st'!$Q$2:$Q$317,$A54,'Данные 2st'!$QD$2:$QD$317),"")</f>
        <v>0</v>
      </c>
      <c r="TM54" s="7">
        <f>IFERROR(AVERAGEIF('Данные 2st'!$Q$2:$Q$317,$A54,'Данные 2st'!$QE$2:$QE$317),"")</f>
        <v>-1</v>
      </c>
      <c r="TN54" s="7">
        <f>IFERROR(AVERAGEIF('Данные 2st'!$Q$2:$Q$317,$A54,'Данные 2st'!$QF$2:$QF$317),"")</f>
        <v>1</v>
      </c>
      <c r="TO54" s="7">
        <f>IFERROR(AVERAGEIF('Данные 2st'!$Q$2:$Q$317,$A54,'Данные 2st'!$QG$2:$QG$317),"")</f>
        <v>0</v>
      </c>
      <c r="TP54" s="7">
        <f>IFERROR(AVERAGEIF('Данные 2st'!$Q$2:$Q$317,$A54,'Данные 2st'!$QH$2:$QH$317),"")</f>
        <v>5</v>
      </c>
      <c r="TQ54" s="7">
        <f>IFERROR(AVERAGEIF('Данные 2st'!$Q$2:$Q$317,$A54,'Данные 2st'!$QI$2:$QI$317),"")</f>
        <v>5</v>
      </c>
      <c r="TR54" s="7">
        <f>IFERROR(AVERAGEIF('Данные 2st'!$Q$2:$Q$317,$A54,'Данные 2st'!$QJ$2:$QJ$317),"")</f>
        <v>5</v>
      </c>
      <c r="TS54" s="7">
        <f>IFERROR(AVERAGEIF('Данные 2st'!$Q$2:$Q$317,$A54,'Данные 2st'!$QK$2:$QK$317),"")</f>
        <v>252</v>
      </c>
      <c r="TT54" s="7">
        <f>IFERROR(AVERAGEIF('Данные 2st'!$Q$2:$Q$317,$A54,'Данные 2st'!$QL$2:$QL$317),"")</f>
        <v>498</v>
      </c>
      <c r="TU54" s="7">
        <f>IFERROR(AVERAGEIF('Данные 2st'!$Q$2:$Q$317,$A54,'Данные 2st'!$QM$2:$QM$317),"")</f>
        <v>7.5</v>
      </c>
      <c r="TV54" s="7">
        <f>IFERROR(AVERAGEIF('Данные 2st'!$Q$2:$Q$317,$A54,'Данные 2st'!$QN$2:$QN$317),"")</f>
        <v>1288.9</v>
      </c>
      <c r="TW54" s="7">
        <f>IFERROR(AVERAGEIF('Данные 2st'!$Q$2:$Q$317,$A54,'Данные 2st'!$QQ$2:$QQ$317),"")</f>
        <v>0</v>
      </c>
      <c r="TX54" s="7">
        <f>IFERROR(AVERAGEIF('Данные 2st'!$Q$2:$Q$317,$A54,'Данные 2st'!$QS$2:$QS$317),"")</f>
        <v>40</v>
      </c>
      <c r="TY54" s="7">
        <f>IFERROR(AVERAGEIF('Данные 2st'!$Q$2:$Q$317,$A54,'Данные 2st'!$QT$2:$QT$317),"")</f>
        <v>50</v>
      </c>
    </row>
    <row r="55" spans="1:545" ht="32" customHeight="1">
      <c r="A55" s="11" t="s">
        <v>1137</v>
      </c>
      <c r="B55">
        <f>COUNTIF('Данные 1st'!$S$2:$S$317,$A55)</f>
        <v>2</v>
      </c>
      <c r="C55" s="6" t="s">
        <v>5111</v>
      </c>
      <c r="D55" s="6" t="s">
        <v>513</v>
      </c>
      <c r="E55" s="6" t="s">
        <v>5125</v>
      </c>
      <c r="F55" s="6" t="s">
        <v>5172</v>
      </c>
      <c r="G55" s="7">
        <f>IFERROR(AVERAGEIF('Данные 1st'!$S$2:$S$317,$A55,'Данные 1st'!$AE$2:$AE$317),"")</f>
        <v>170.5</v>
      </c>
      <c r="H55" s="7">
        <f>IFERROR(AVERAGEIF('Данные 1st'!$S$2:$S$317,$A55,'Данные 1st'!$AF$2:$AF$317),"")</f>
        <v>1.5</v>
      </c>
      <c r="I55" s="7">
        <f>IFERROR(AVERAGEIF('Данные 1st'!$S$2:$S$317,$A55,'Данные 1st'!$AJ$2:$AJ$317),"")</f>
        <v>182.5</v>
      </c>
      <c r="J55" s="7">
        <f>IFERROR(AVERAGEIF('Данные 1st'!$S$2:$S$317,$A55,'Данные 1st'!$AL$2:$AL$317),"")</f>
        <v>1.5</v>
      </c>
      <c r="K55" s="7">
        <f>IFERROR(AVERAGEIF('Данные 1st'!$S$2:$S$317,$A55,'Данные 1st'!$AR$2:$AR$317),"")</f>
        <v>0</v>
      </c>
      <c r="L55" s="7">
        <f>IFERROR(AVERAGEIF('Данные 1st'!$S$2:$S$317,$A55,'Данные 1st'!$AS$2:$AS$317),"")</f>
        <v>1.5</v>
      </c>
      <c r="M55" s="7">
        <f>IFERROR(AVERAGEIF('Данные 1st'!$S$2:$S$317,$A55,'Данные 1st'!$AY$2:$AY$317),"")</f>
        <v>247.5</v>
      </c>
      <c r="N55" s="7">
        <f>IFERROR(AVERAGEIF('Данные 1st'!$S$2:$S$317,$A55,'Данные 1st'!$AZ$2:$AZ$317),"")</f>
        <v>1.5</v>
      </c>
      <c r="O55" s="7">
        <f>IFERROR(AVERAGEIF('Данные 1st'!$S$2:$S$317,$A55,'Данные 1st'!$BF$2:$BF$317),"")</f>
        <v/>
      </c>
      <c r="P55" s="7">
        <f>IFERROR(AVERAGEIF('Данные 1st'!$S$2:$S$317,$A55,'Данные 1st'!$BG$2:$BG$317),"")</f>
        <v>1.5</v>
      </c>
      <c r="Q55" s="7">
        <f>IFERROR(AVERAGEIF('Данные 1st'!$S$2:$S$317,$A55,'Данные 1st'!$BM$2:$BM$317),"")</f>
        <v/>
      </c>
      <c r="R55" s="7">
        <f>IFERROR(AVERAGEIF('Данные 1st'!$S$2:$S$317,$A55,'Данные 1st'!$BN$2:$BN$317),"")</f>
        <v>1.5</v>
      </c>
      <c r="S55" s="7">
        <f>IFERROR(AVERAGEIF('Данные 1st'!$S$2:$S$317,$A55,'Данные 1st'!$BT$2:$BT$317),"")</f>
        <v>193</v>
      </c>
      <c r="T55" s="7">
        <f>IFERROR(AVERAGEIF('Данные 1st'!$S$2:$S$317,$A55,'Данные 1st'!$BU$2:$BU$317),"")</f>
        <v>0.5</v>
      </c>
      <c r="U55" s="7">
        <f>IFERROR(AVERAGEIF('Данные 1st'!$S$2:$S$317,$A55,'Данные 1st'!$BW$2:$BW$317),"")</f>
        <v>386</v>
      </c>
      <c r="V55" s="7">
        <f>IFERROR(AVERAGEIF('Данные 1st'!$S$2:$S$317,$A55,'Данные 1st'!$BX$2:$BX$317),"")</f>
        <v>1</v>
      </c>
      <c r="W55" s="7">
        <f>IFERROR(AVERAGEIF('Данные 1st'!$S$2:$S$317,$A55,'Данные 1st'!$BZ$2:$BZ$317),"")</f>
        <v>290</v>
      </c>
      <c r="X55" s="7">
        <f>IFERROR(AVERAGEIF('Данные 1st'!$S$2:$S$317,$A55,'Данные 1st'!$CA$2:$CA$317),"")</f>
        <v>470</v>
      </c>
      <c r="Y55" s="7">
        <f>IFERROR(AVERAGEIF('Данные 1st'!$S$2:$S$317,$A55,'Данные 1st'!$CD$2:$CD$317),"")</f>
        <v>409</v>
      </c>
      <c r="Z55" s="7">
        <f>IFERROR(AVERAGEIF('Данные 1st'!$S$2:$S$317,$A55,'Данные 1st'!$CF$2:$CF$317),"")</f>
        <v>15</v>
      </c>
      <c r="AA55" s="7">
        <f>IFERROR(AVERAGEIF('Данные 1st'!$S$2:$S$317,$A55,'Данные 1st'!$CI$2:$CI$317),"")</f>
        <v>90</v>
      </c>
      <c r="AB55" s="7">
        <f>IFERROR(AVERAGEIF('Данные 1st'!$S$2:$S$317,$A55,'Данные 1st'!$CJ$2:$CJ$317),"")</f>
        <v>1381</v>
      </c>
      <c r="AC55" s="7">
        <f>IFERROR(AVERAGEIF('Данные 1st'!$S$2:$S$317,$A55,'Данные 1st'!$CK$2:$CK$317),"")</f>
        <v>2</v>
      </c>
      <c r="AD55" s="7">
        <f>IFERROR(AVERAGEIF('Данные 1st'!$S$2:$S$317,$A55,'Данные 1st'!$CL$2:$CL$317),"")</f>
        <v>1475</v>
      </c>
      <c r="AE55" s="7">
        <f>IFERROR(AVERAGEIF('Данные 1st'!$S$2:$S$317,$A55,'Данные 1st'!$CM$2:$CM$317),"")</f>
        <v>2</v>
      </c>
      <c r="AF55" s="7">
        <f>IFERROR(AVERAGEIF('Данные 1st'!$S$2:$S$317,$A55,'Данные 1st'!$CT$2:$CT$317),"")</f>
        <v>365</v>
      </c>
      <c r="AG55" s="7">
        <f>IFERROR(AVERAGEIF('Данные 1st'!$S$2:$S$317,$A55,'Данные 1st'!$CU$2:$CU$317),"")</f>
        <v>5</v>
      </c>
      <c r="AH55" s="7">
        <f>IFERROR(AVERAGEIF('Данные 1st'!$S$2:$S$317,$A55,'Данные 1st'!$CV$2:$CV$317),"")</f>
        <v>1.25</v>
      </c>
      <c r="AI55" s="7">
        <f>IFERROR(AVERAGEIF('Данные 1st'!$S$2:$S$317,$A55,'Данные 1st'!$CW$2:$CW$317),"")</f>
        <v>1393.5</v>
      </c>
      <c r="AJ55" s="7">
        <f>IFERROR(AVERAGEIF('Данные 1st'!$S$2:$S$317,$A55,'Данные 1st'!$CX$2:$CX$317),"")</f>
        <v>750.5</v>
      </c>
      <c r="AK55" s="7">
        <f>IFERROR(AVERAGEIF('Данные 1st'!$S$2:$S$317,$A55,'Данные 1st'!$CZ$2:$CZ$317),"")</f>
        <v/>
      </c>
      <c r="AL55" s="7">
        <f>IFERROR(AVERAGEIF('Данные 1st'!$S$2:$S$317,$A55,'Данные 1st'!$DA$2:$DA$317),"")</f>
        <v/>
      </c>
      <c r="AM55" s="7">
        <f>IFERROR(AVERAGEIF('Данные 1st'!$S$2:$S$317,$A55,'Данные 1st'!$DB$2:$DB$317),"")</f>
        <v/>
      </c>
      <c r="AN55" s="7">
        <f>IFERROR(AVERAGEIF('Данные 1st'!$S$2:$S$317,$A55,'Данные 1st'!$DC$2:$DC$317),"")</f>
        <v/>
      </c>
      <c r="AO55" s="7">
        <f>IFERROR(AVERAGEIF('Данные 1st'!$S$2:$S$317,$A55,'Данные 1st'!$DD$2:$DD$317),"")</f>
        <v>0</v>
      </c>
      <c r="AP55" s="7">
        <f>IFERROR(AVERAGEIF('Данные 1st'!$S$2:$S$317,$A55,'Данные 1st'!$DF$2:$DF$317),"")</f>
        <v>495</v>
      </c>
      <c r="AQ55" s="7">
        <f>IFERROR(AVERAGEIF('Данные 1st'!$S$2:$S$317,$A55,'Данные 1st'!$DG$2:$DG$317),"")</f>
        <v>3</v>
      </c>
      <c r="AR55" s="7">
        <f>IFERROR(AVERAGEIF('Данные 1st'!$S$2:$S$317,$A55,'Данные 1st'!$DH$2:$DH$317),"")</f>
        <v>1.18</v>
      </c>
      <c r="AS55" s="7">
        <f>IFERROR(AVERAGEIF('Данные 1st'!$S$2:$S$317,$A55,'Данные 1st'!$DI$2:$DI$317),"")</f>
        <v>1391.5</v>
      </c>
      <c r="AT55" s="7">
        <f>IFERROR(AVERAGEIF('Данные 1st'!$S$2:$S$317,$A55,'Данные 1st'!$DJ$2:$DJ$317),"")</f>
        <v>1161.5</v>
      </c>
      <c r="AU55" s="7">
        <f>IFERROR(AVERAGEIF('Данные 1st'!$S$2:$S$317,$A55,'Данные 1st'!$DL$2:$DL$317),"")</f>
        <v/>
      </c>
      <c r="AV55" s="7">
        <f>IFERROR(AVERAGEIF('Данные 1st'!$S$2:$S$317,$A55,'Данные 1st'!$DM$2:$DM$317),"")</f>
        <v/>
      </c>
      <c r="AW55" s="7">
        <f>IFERROR(AVERAGEIF('Данные 1st'!$S$2:$S$317,$A55,'Данные 1st'!$DN$2:$DN$317),"")</f>
        <v/>
      </c>
      <c r="AX55" s="7">
        <f>IFERROR(AVERAGEIF('Данные 1st'!$S$2:$S$317,$A55,'Данные 1st'!$DO$2:$DO$317),"")</f>
        <v/>
      </c>
      <c r="AY55" s="7">
        <f>IFERROR(AVERAGEIF('Данные 1st'!$S$2:$S$317,$A55,'Данные 1st'!$DP$2:$DP$317),"")</f>
        <v/>
      </c>
      <c r="AZ55" s="7">
        <f>IFERROR(AVERAGEIF('Данные 1st'!$S$2:$S$317,$A55,'Данные 1st'!$DR$2:$DR$317),"")</f>
        <v/>
      </c>
      <c r="BA55" s="7">
        <f>IFERROR(AVERAGEIF('Данные 1st'!$S$2:$S$317,$A55,'Данные 1st'!$DS$2:$DS$317),"")</f>
        <v/>
      </c>
      <c r="BB55" s="7">
        <f>IFERROR(AVERAGEIF('Данные 1st'!$S$2:$S$317,$A55,'Данные 1st'!$DT$2:$DT$317),"")</f>
        <v/>
      </c>
      <c r="BC55" s="7">
        <f>IFERROR(AVERAGEIF('Данные 1st'!$S$2:$S$317,$A55,'Данные 1st'!$DU$2:$DU$317),"")</f>
        <v/>
      </c>
      <c r="BD55" s="7">
        <f>IFERROR(AVERAGEIF('Данные 1st'!$S$2:$S$317,$A55,'Данные 1st'!$DV$2:$DV$317),"")</f>
        <v/>
      </c>
      <c r="BE55" s="7">
        <f>IFERROR(AVERAGEIF('Данные 1st'!$S$2:$S$317,$A55,'Данные 1st'!$DX$2:$DX$317),"")</f>
        <v>7.5</v>
      </c>
      <c r="BF55" s="7">
        <f>IFERROR(AVERAGEIF('Данные 1st'!$S$2:$S$317,$A55,'Данные 1st'!$EA$2:$EA$317),"")</f>
        <v>1461.1</v>
      </c>
      <c r="BG55" s="7">
        <f>IFERROR(AVERAGEIF('Данные 1st'!$S$2:$S$317,$A55,'Данные 1st'!$EB$2:$EB$317),"")</f>
        <v>266.5</v>
      </c>
      <c r="BH55" s="7">
        <f>IFERROR(AVERAGEIF('Данные 1st'!$S$2:$S$317,$A55,'Данные 1st'!$ED$2:$ED$317),"")</f>
        <v>22.5</v>
      </c>
      <c r="BI55" s="7">
        <f>IFERROR(AVERAGEIF('Данные 1st'!$S$2:$S$317,$A55,'Данные 1st'!$EE$2:$EE$317),"")</f>
        <v>3</v>
      </c>
      <c r="BJ55" s="7">
        <f>IFERROR(AVERAGEIF('Данные 1st'!$S$2:$S$317,$A55,'Данные 1st'!$EG$2:$EG$317),"")</f>
        <v>1502</v>
      </c>
      <c r="BK55" s="7">
        <f>IFERROR(AVERAGEIF('Данные 1st'!$S$2:$S$317,$A55,'Данные 1st'!$EH$2:$EH$317),"")</f>
        <v>153.5</v>
      </c>
      <c r="BL55" s="7">
        <f>IFERROR(AVERAGEIF('Данные 1st'!$S$2:$S$317,$A55,'Данные 1st'!$EJ$2:$EJ$317),"")</f>
        <v>0</v>
      </c>
      <c r="BM55" s="7">
        <f>IFERROR(AVERAGEIF('Данные 1st'!$S$2:$S$317,$A55,'Данные 1st'!$EK$2:$EK$317),"")</f>
        <v>1</v>
      </c>
      <c r="BN55" s="7">
        <f>IFERROR(AVERAGEIF('Данные 1st'!$S$2:$S$317,$A55,'Данные 1st'!$EN$2:$EN$317),"")</f>
        <v>0</v>
      </c>
      <c r="BO55" s="7">
        <f>IFERROR(AVERAGEIF('Данные 1st'!$S$2:$S$317,$A55,'Данные 1st'!$EQ$2:$EQ$317),"")</f>
        <v>60</v>
      </c>
      <c r="BP55" s="7">
        <f>IFERROR(AVERAGEIF('Данные 1st'!$S$2:$S$317,$A55,'Данные 1st'!$ER$2:$ER$317),"")</f>
        <v>3</v>
      </c>
      <c r="BQ55" s="7">
        <f>IFERROR(AVERAGEIF('Данные 1st'!$S$2:$S$317,$A55,'Данные 1st'!$ES$2:$ES$317),"")</f>
        <v>4.75</v>
      </c>
      <c r="BR55" s="7">
        <f>IFERROR(AVERAGEIF('Данные 1st'!$S$2:$S$317,$A55,'Данные 1st'!$ET$2:$ET$317),"")</f>
        <v>1373</v>
      </c>
      <c r="BS55" s="7">
        <f>IFERROR(AVERAGEIF('Данные 1st'!$S$2:$S$317,$A55,'Данные 1st'!$EU$2:$EU$317),"")</f>
        <v>230.39999999999998</v>
      </c>
      <c r="BT55" s="7">
        <f>IFERROR(AVERAGEIF('Данные 1st'!$S$2:$S$317,$A55,'Данные 1st'!$EV$2:$EV$317),"")</f>
        <v>316.5</v>
      </c>
      <c r="BU55" s="7">
        <f>IFERROR(AVERAGEIF('Данные 1st'!$S$2:$S$317,$A55,'Данные 1st'!$EX$2:$EX$317),"")</f>
        <v>70</v>
      </c>
      <c r="BV55" s="7">
        <f>IFERROR(AVERAGEIF('Данные 1st'!$S$2:$S$317,$A55,'Данные 1st'!$EY$2:$EY$317),"")</f>
        <v>2</v>
      </c>
      <c r="BW55" s="7">
        <f>IFERROR(AVERAGEIF('Данные 1st'!$S$2:$S$317,$A55,'Данные 1st'!$EZ$2:$EZ$317),"")</f>
        <v>4.5</v>
      </c>
      <c r="BX55" s="7">
        <f>IFERROR(AVERAGEIF('Данные 1st'!$S$2:$S$317,$A55,'Данные 1st'!$FA$2:$FA$317),"")</f>
        <v>1373</v>
      </c>
      <c r="BY55" s="7">
        <f>IFERROR(AVERAGEIF('Данные 1st'!$S$2:$S$317,$A55,'Данные 1st'!$FB$2:$FB$317),"")</f>
        <v>216.65</v>
      </c>
      <c r="BZ55" s="7">
        <f>IFERROR(AVERAGEIF('Данные 1st'!$S$2:$S$317,$A55,'Данные 1st'!$FC$2:$FC$317),"")</f>
        <v>297.5</v>
      </c>
      <c r="CA55" s="7">
        <f>IFERROR(AVERAGEIF('Данные 1st'!$S$2:$S$317,$A55,'Данные 1st'!$FE$2:$FE$317),"")</f>
        <v>0</v>
      </c>
      <c r="CB55" s="7">
        <f>IFERROR(AVERAGEIF('Данные 1st'!$S$2:$S$317,$A55,'Данные 1st'!$FF$2:$FF$317),"")</f>
        <v>2</v>
      </c>
      <c r="CC55" s="7">
        <f>IFERROR(AVERAGEIF('Данные 1st'!$S$2:$S$317,$A55,'Данные 1st'!$FI$2:$FI$317),"")</f>
        <v>0</v>
      </c>
      <c r="CD55" s="7">
        <f>IFERROR(AVERAGEIF('Данные 1st'!$S$2:$S$317,$A55,'Данные 1st'!$FL$2:$FL$317),"")</f>
        <v>0.4</v>
      </c>
      <c r="CE55" s="7">
        <f>IFERROR(AVERAGEIF('Данные 1st'!$S$2:$S$317,$A55,'Данные 1st'!$FM$2:$FM$317),"")</f>
        <v>70</v>
      </c>
      <c r="CF55" s="7">
        <f>IFERROR(AVERAGEIF('Данные 1st'!$S$2:$S$317,$A55,'Данные 1st'!$FN$2:$FN$317),"")</f>
        <v>165</v>
      </c>
      <c r="CG55" s="7">
        <f>IFERROR(AVERAGEIF('Данные 1st'!$S$2:$S$317,$A55,'Данные 1st'!$FO$2:$FO$317),"")</f>
        <v/>
      </c>
      <c r="CH55" s="7">
        <f>IFERROR(AVERAGEIF('Данные 1st'!$S$2:$S$317,$A55,'Данные 1st'!$FP$2:$FP$317),"")</f>
        <v/>
      </c>
      <c r="CI55" s="7">
        <f>IFERROR(AVERAGEIF('Данные 1st'!$S$2:$S$317,$A55,'Данные 1st'!$FS$2:$FS$317),"")</f>
        <v>0.5</v>
      </c>
      <c r="CJ55" s="7">
        <f>IFERROR(AVERAGEIF('Данные 1st'!$S$2:$S$317,$A55,'Данные 1st'!$FT$2:$FT$317),"")</f>
        <v>30</v>
      </c>
      <c r="CK55" s="7">
        <f>IFERROR(AVERAGEIF('Данные 1st'!$S$2:$S$317,$A55,'Данные 1st'!$FU$2:$FU$317),"")</f>
        <v>345</v>
      </c>
      <c r="CL55" s="7">
        <f>IFERROR(AVERAGEIF('Данные 1st'!$S$2:$S$317,$A55,'Данные 1st'!$FV$2:$FV$317),"")</f>
        <v/>
      </c>
      <c r="CM55" s="7">
        <f>IFERROR(AVERAGEIF('Данные 1st'!$S$2:$S$317,$A55,'Данные 1st'!$FW$2:$FW$317),"")</f>
        <v/>
      </c>
      <c r="CN55" s="7">
        <f>IFERROR(AVERAGEIF('Данные 1st'!$S$2:$S$317,$A55,'Данные 1st'!$FZ$2:$FZ$317),"")</f>
        <v>1.6</v>
      </c>
      <c r="CO55" s="7">
        <f>IFERROR(AVERAGEIF('Данные 1st'!$S$2:$S$317,$A55,'Данные 1st'!$GA$2:$GA$317),"")</f>
        <v>20</v>
      </c>
      <c r="CP55" s="7">
        <f>IFERROR(AVERAGEIF('Данные 1st'!$S$2:$S$317,$A55,'Данные 1st'!$GB$2:$GB$317),"")</f>
        <v>193.5</v>
      </c>
      <c r="CQ55" s="7">
        <f>IFERROR(AVERAGEIF('Данные 1st'!$S$2:$S$317,$A55,'Данные 1st'!$GH$2:$GH$317),"")</f>
        <v>1.6</v>
      </c>
      <c r="CR55" s="7">
        <f>IFERROR(AVERAGEIF('Данные 1st'!$S$2:$S$317,$A55,'Данные 1st'!$GI$2:$GI$317),"")</f>
        <v>20</v>
      </c>
      <c r="CS55" s="7">
        <f>IFERROR(AVERAGEIF('Данные 1st'!$S$2:$S$317,$A55,'Данные 1st'!$GJ$2:$GJ$317),"")</f>
        <v>193.5</v>
      </c>
      <c r="CT55" s="7">
        <f>IFERROR(AVERAGEIF('Данные 1st'!$S$2:$S$317,$A55,'Данные 1st'!$GS$2:$GS$317),"")</f>
        <v/>
      </c>
      <c r="CU55" s="7">
        <f>IFERROR(AVERAGEIF('Данные 1st'!$S$2:$S$317,$A55,'Данные 1st'!$GT$2:$GT$317),"")</f>
        <v/>
      </c>
      <c r="CV55" s="7">
        <f>IFERROR(AVERAGEIF('Данные 1st'!$S$2:$S$317,$A55,'Данные 1st'!$GU$2:$GU$317),"")</f>
        <v/>
      </c>
      <c r="CW55" s="7">
        <f>IFERROR(AVERAGEIF('Данные 1st'!$S$2:$S$317,$A55,'Данные 1st'!$GV$2:$GV$317),"")</f>
        <v/>
      </c>
      <c r="CX55" s="7">
        <f>IFERROR(AVERAGEIF('Данные 1st'!$S$2:$S$317,$A55,'Данные 1st'!$GW$2:$GW$317),"")</f>
        <v/>
      </c>
      <c r="CY55" s="7">
        <f>IFERROR(AVERAGEIF('Данные 1st'!$S$2:$S$317,$A55,'Данные 1st'!$GZ$2:$GZ$317),"")</f>
        <v/>
      </c>
      <c r="CZ55" s="7">
        <f>IFERROR(AVERAGEIF('Данные 1st'!$S$2:$S$317,$A55,'Данные 1st'!$HA$2:$HA$317),"")</f>
        <v/>
      </c>
      <c r="DA55" s="7">
        <f>IFERROR(AVERAGEIF('Данные 1st'!$S$2:$S$317,$A55,'Данные 1st'!$HB$2:$HB$317),"")</f>
        <v/>
      </c>
      <c r="DB55" s="7">
        <f>IFERROR(AVERAGEIF('Данные 1st'!$S$2:$S$317,$A55,'Данные 1st'!$HC$2:$HC$317),"")</f>
        <v>0.1</v>
      </c>
      <c r="DC55" s="7">
        <f>IFERROR(AVERAGEIF('Данные 1st'!$S$2:$S$317,$A55,'Данные 1st'!$HD$2:$HD$317),"")</f>
        <v>3</v>
      </c>
      <c r="DD55" s="7">
        <f>IFERROR(AVERAGEIF('Данные 1st'!$S$2:$S$317,$A55,'Данные 1st'!$HE$2:$HE$317),"")</f>
        <v>3</v>
      </c>
      <c r="DE55" s="7">
        <f>IFERROR(AVERAGEIF('Данные 1st'!$S$2:$S$317,$A55,'Данные 1st'!$HF$2:$HF$317),"")</f>
        <v>3</v>
      </c>
      <c r="DF55" s="7">
        <f>IFERROR(AVERAGEIF('Данные 1st'!$S$2:$S$317,$A55,'Данные 1st'!$HG$2:$HG$317),"")</f>
        <v>3</v>
      </c>
      <c r="DG55" s="7">
        <f>IFERROR(AVERAGEIF('Данные 1st'!$S$2:$S$317,$A55,'Данные 1st'!$HH$2:$HH$317),"")</f>
        <v>3</v>
      </c>
      <c r="DH55" s="7">
        <f>IFERROR(AVERAGEIF('Данные 1st'!$S$2:$S$317,$A55,'Данные 1st'!$HI$2:$HI$317),"")</f>
        <v>115</v>
      </c>
      <c r="DI55" s="7">
        <f>IFERROR(AVERAGEIF('Данные 1st'!$S$2:$S$317,$A55,'Данные 1st'!$HJ$2:$HJ$317),"")</f>
        <v>3</v>
      </c>
      <c r="DJ55" s="7">
        <f>IFERROR(AVERAGEIF('Данные 1st'!$S$2:$S$317,$A55,'Данные 1st'!$HK$2:$HK$317),"")</f>
        <v>55</v>
      </c>
      <c r="DK55" s="7">
        <f>IFERROR(AVERAGEIF('Данные 1st'!$S$2:$S$317,$A55,'Данные 1st'!$HL$2:$HL$317),"")</f>
        <v>2</v>
      </c>
      <c r="DL55" s="7">
        <f>IFERROR(AVERAGEIF('Данные 1st'!$S$2:$S$317,$A55,'Данные 1st'!$HM$2:$HM$317),"")</f>
        <v>0</v>
      </c>
      <c r="DM55" s="7">
        <f>IFERROR(AVERAGEIF('Данные 1st'!$S$2:$S$317,$A55,'Данные 1st'!$HN$2:$HN$317),"")</f>
        <v>2</v>
      </c>
      <c r="DN55" s="7">
        <f>IFERROR(AVERAGEIF('Данные 1st'!$S$2:$S$317,$A55,'Данные 1st'!$HO$2:$HO$317),"")</f>
        <v>45</v>
      </c>
      <c r="DO55" s="7">
        <f>IFERROR(AVERAGEIF('Данные 1st'!$S$2:$S$317,$A55,'Данные 1st'!$HP$2:$HP$317),"")</f>
        <v>3</v>
      </c>
      <c r="DP55" s="7">
        <f>IFERROR(AVERAGEIF('Данные 1st'!$S$2:$S$317,$A55,'Данные 1st'!$HQ$2:$HQ$317),"")</f>
        <v>0</v>
      </c>
      <c r="DQ55" s="7">
        <f>IFERROR(AVERAGEIF('Данные 1st'!$S$2:$S$317,$A55,'Данные 1st'!$HR$2:$HR$317),"")</f>
        <v>2</v>
      </c>
      <c r="DR55" s="7">
        <f>IFERROR(AVERAGEIF('Данные 1st'!$S$2:$S$317,$A55,'Данные 1st'!$HS$2:$HS$317),"")</f>
        <v>3980</v>
      </c>
      <c r="DS55" s="7">
        <f>IFERROR(AVERAGEIF('Данные 1st'!$S$2:$S$317,$A55,'Данные 1st'!$HT$2:$HT$317),"")</f>
        <v>120</v>
      </c>
      <c r="DT55" s="7">
        <f>IFERROR(AVERAGEIF('Данные 1st'!$S$2:$S$317,$A55,'Данные 1st'!$HU$2:$HU$317),"")</f>
        <v>180</v>
      </c>
      <c r="DU55" s="7">
        <f>IFERROR(AVERAGEIF('Данные 1st'!$S$2:$S$317,$A55,'Данные 1st'!$HW$2:$HW$317),"")</f>
        <v>0</v>
      </c>
      <c r="DV55" s="7">
        <f>IFERROR(AVERAGEIF('Данные 1st'!$S$2:$S$317,$A55,'Данные 1st'!$HX$2:$HX$317),"")</f>
        <v>445</v>
      </c>
      <c r="DW55" s="7">
        <f>IFERROR(AVERAGEIF('Данные 1st'!$S$2:$S$317,$A55,'Данные 1st'!$HY$2:$HY$317),"")</f>
        <v>0.18</v>
      </c>
      <c r="DX55" s="7">
        <f>IFERROR(AVERAGEIF('Данные 1st'!$S$2:$S$317,$A55,'Данные 1st'!$IA$2:$IA$317),"")</f>
        <v>0.15</v>
      </c>
      <c r="DY55" s="7">
        <f>IFERROR(AVERAGEIF('Данные 1st'!$S$2:$S$317,$A55,'Данные 1st'!$IB$2:$IB$317),"")</f>
        <v>0</v>
      </c>
      <c r="DZ55" s="7">
        <f>IFERROR(AVERAGEIF('Данные 1st'!$S$2:$S$317,$A55,'Данные 1st'!$IC$2:$IC$317),"")</f>
        <v>180</v>
      </c>
      <c r="EA55" s="7">
        <f>IFERROR(AVERAGEIF('Данные 1st'!$S$2:$S$317,$A55,'Данные 1st'!$ID$2:$ID$317),"")</f>
        <v>110</v>
      </c>
      <c r="EB55" s="7">
        <f>IFERROR(AVERAGEIF('Данные 1st'!$S$2:$S$317,$A55,'Данные 1st'!$IE$2:$IE$317),"")</f>
        <v>0</v>
      </c>
      <c r="EC55" s="7">
        <f>IFERROR(AVERAGEIF('Данные 1st'!$S$2:$S$317,$A55,'Данные 1st'!$IF$2:$IF$317),"")</f>
        <v>0</v>
      </c>
      <c r="ED55" s="7">
        <f>IFERROR(AVERAGEIF('Данные 1st'!$S$2:$S$317,$A55,'Данные 1st'!$IP$2:$IP$317),"")</f>
        <v>18</v>
      </c>
      <c r="EE55" s="7">
        <f>IFERROR(AVERAGEIF('Данные 1st'!$S$2:$S$317,$A55,'Данные 1st'!$IV$2:$IV$317),"")</f>
        <v>1381</v>
      </c>
      <c r="EF55" s="7">
        <f>IFERROR(AVERAGEIF('Данные 1st'!$S$2:$S$317,$A55,'Данные 1st'!$IW$2:$IW$317),"")</f>
        <v>386</v>
      </c>
      <c r="EG55" s="7">
        <f>IFERROR(AVERAGEIF('Данные 1st'!$S$2:$S$317,$A55,'Данные 1st'!$IX$2:$IX$317),"")</f>
        <v/>
      </c>
      <c r="EH55" s="7">
        <f>IFERROR(AVERAGEIF('Данные 1st'!$S$2:$S$317,$A55,'Данные 1st'!$IY$2:$IY$317),"")</f>
        <v>290</v>
      </c>
      <c r="EI55" s="7">
        <f>IFERROR(AVERAGEIF('Данные 1st'!$S$2:$S$317,$A55,'Данные 1st'!$JD$2:$JD$317),"")</f>
        <v>1393.5</v>
      </c>
      <c r="EJ55" s="7">
        <f>IFERROR(AVERAGEIF('Данные 1st'!$S$2:$S$317,$A55,'Данные 1st'!$JE$2:$JE$317),"")</f>
        <v>1391.5</v>
      </c>
      <c r="EK55" s="7">
        <f>IFERROR(AVERAGEIF('Данные 1st'!$S$2:$S$317,$A55,'Данные 1st'!$JF$2:$JF$317),"")</f>
        <v>0</v>
      </c>
      <c r="EL55" s="7">
        <f>IFERROR(AVERAGEIF('Данные 1st'!$S$2:$S$317,$A55,'Данные 1st'!$JG$2:$JG$317),"")</f>
        <v>1373</v>
      </c>
      <c r="EM55" s="7">
        <f>IFERROR(AVERAGEIF('Данные 1st'!$S$2:$S$317,$A55,'Данные 1st'!$JH$2:$JH$317),"")</f>
        <v>0</v>
      </c>
      <c r="EN55" s="7">
        <f>IFERROR(AVERAGEIF('Данные 1st'!$S$2:$S$317,$A55,'Данные 1st'!$JJ$2:$JJ$317),"")</f>
        <v>180</v>
      </c>
      <c r="EO55" s="7">
        <f>IFERROR(AVERAGEIF('Данные 1st'!$S$2:$S$317,$A55,'Данные 1st'!$JK$2:$JK$317),"")</f>
        <v>445</v>
      </c>
      <c r="EP55" s="7">
        <f>IFERROR(AVERAGEIF('Данные 1st'!$S$2:$S$317,$A55,'Данные 1st'!$JL$2:$JL$317),"")</f>
        <v/>
      </c>
      <c r="EQ55" s="7">
        <f>IFERROR(AVERAGEIF('Данные 1st'!$S$2:$S$317,$A55,'Данные 1st'!$JM$2:$JM$317),"")</f>
        <v/>
      </c>
      <c r="ER55" s="7">
        <f>IFERROR(AVERAGEIF('Данные 1st'!$S$2:$S$317,$A55,'Данные 1st'!$JN$2:$JN$317),"")</f>
        <v>365</v>
      </c>
      <c r="ES55" s="7">
        <f>IFERROR(AVERAGEIF('Данные 1st'!$S$2:$S$317,$A55,'Данные 1st'!$JO$2:$JO$317),"")</f>
        <v>495</v>
      </c>
      <c r="ET55" s="7">
        <f>IFERROR(AVERAGEIF('Данные 1st'!$S$2:$S$317,$A55,'Данные 1st'!$JP$2:$JP$317),"")</f>
        <v>0</v>
      </c>
      <c r="EU55" s="7">
        <f>IFERROR(AVERAGEIF('Данные 1st'!$S$2:$S$317,$A55,'Данные 1st'!$JQ$2:$JQ$317),"")</f>
        <v>0</v>
      </c>
      <c r="EV55" s="7">
        <f>IFERROR(AVERAGEIF('Данные 1st'!$S$2:$S$317,$A55,'Данные 1st'!$JR$2:$JR$317),"")</f>
        <v>341</v>
      </c>
      <c r="EW55" s="7">
        <f>IFERROR(AVERAGEIF('Данные 1st'!$S$2:$S$317,$A55,'Данные 1st'!$JS$2:$JS$317),"")</f>
        <v>115</v>
      </c>
      <c r="EX55" s="7">
        <f>IFERROR(AVERAGEIF('Данные 1st'!$S$2:$S$317,$A55,'Данные 1st'!$JT$2:$JT$317),"")</f>
        <v/>
      </c>
      <c r="EY55" s="7">
        <f>IFERROR(AVERAGEIF('Данные 1st'!$S$2:$S$317,$A55,'Данные 1st'!$JU$2:$JU$317),"")</f>
        <v/>
      </c>
      <c r="EZ55" s="7">
        <f>IFERROR(AVERAGEIF('Данные 1st'!$S$2:$S$317,$A55,'Данные 1st'!$JV$2:$JV$317),"")</f>
        <v>8</v>
      </c>
      <c r="FA55" s="7">
        <f>IFERROR(AVERAGEIF('Данные 1st'!$S$2:$S$317,$A55,'Данные 1st'!$JW$2:$JW$317),"")</f>
        <v/>
      </c>
      <c r="FB55" s="7">
        <f>IFERROR(AVERAGEIF('Данные 1st'!$S$2:$S$317,$A55,'Данные 1st'!$JX$2:$JX$317),"")</f>
        <v>0</v>
      </c>
      <c r="FC55" s="7">
        <f>IFERROR(AVERAGEIF('Данные 1st'!$S$2:$S$317,$A55,'Данные 1st'!$JY$2:$JY$317),"")</f>
        <v/>
      </c>
      <c r="FD55" s="7">
        <f>IFERROR(AVERAGEIF('Данные 1st'!$S$2:$S$317,$A55,'Данные 1st'!$JZ$2:$JZ$317),"")</f>
        <v/>
      </c>
      <c r="FE55" s="7">
        <f>IFERROR(AVERAGEIF('Данные 1st'!$S$2:$S$317,$A55,'Данные 1st'!$KA$2:$KA$317),"")</f>
        <v>0</v>
      </c>
      <c r="FF55" s="7">
        <f>IFERROR(AVERAGEIF('Данные 1st'!$S$2:$S$317,$A55,'Данные 1st'!$KB$2:$KB$317),"")</f>
        <v>110</v>
      </c>
      <c r="FG55" s="7">
        <f>IFERROR(AVERAGEIF('Данные 1st'!$S$2:$S$317,$A55,'Данные 1st'!$KC$2:$KC$317),"")</f>
        <v>0</v>
      </c>
      <c r="FH55" s="7">
        <f>IFERROR(AVERAGEIF('Данные 1st'!$S$2:$S$317,$A55,'Данные 1st'!$KD$2:$KD$317),"")</f>
        <v>80</v>
      </c>
      <c r="FI55" s="7">
        <f>IFERROR(AVERAGEIF('Данные 1st'!$S$2:$S$317,$A55,'Данные 1st'!$KE$2:$KE$317),"")</f>
        <v/>
      </c>
      <c r="FJ55" s="7">
        <f>IFERROR(AVERAGEIF('Данные 1st'!$S$2:$S$317,$A55,'Данные 1st'!$KF$2:$KF$317),"")</f>
        <v>4</v>
      </c>
      <c r="FK55" s="7">
        <f>IFERROR(AVERAGEIF('Данные 1st'!$S$2:$S$317,$A55,'Данные 1st'!$KG$2:$KG$317),"")</f>
        <v>2</v>
      </c>
      <c r="FL55" s="7">
        <f>IFERROR(AVERAGEIF('Данные 1st'!$S$2:$S$317,$A55,'Данные 1st'!$KH$2:$KH$317),"")</f>
        <v>2</v>
      </c>
      <c r="FM55" s="7">
        <f>IFERROR(AVERAGEIF('Данные 1st'!$S$2:$S$317,$A55,'Данные 1st'!$KI$2:$KI$317),"")</f>
        <v>2</v>
      </c>
      <c r="FN55" s="7">
        <f>IFERROR(AVERAGEIF('Данные 1st'!$S$2:$S$317,$A55,'Данные 1st'!$KJ$2:$KJ$317),"")</f>
        <v>0</v>
      </c>
      <c r="FO55" s="7">
        <f>IFERROR(AVERAGEIF('Данные 1st'!$S$2:$S$317,$A55,'Данные 1st'!$KK$2:$KK$317),"")</f>
        <v>1.5</v>
      </c>
      <c r="FP55" s="7">
        <f>IFERROR(AVERAGEIF('Данные 1st'!$S$2:$S$317,$A55,'Данные 1st'!$KL$2:$KL$317),"")</f>
        <v>1.5</v>
      </c>
      <c r="FQ55" s="7">
        <f>IFERROR(AVERAGEIF('Данные 1st'!$S$2:$S$317,$A55,'Данные 1st'!$KM$2:$KM$317),"")</f>
        <v>0</v>
      </c>
      <c r="FR55" s="7">
        <f>IFERROR(AVERAGEIF('Данные 1st'!$S$2:$S$317,$A55,'Данные 1st'!$KN$2:$KN$317),"")</f>
        <v>0</v>
      </c>
      <c r="FS55" s="7">
        <f>IFERROR(AVERAGEIF('Данные 1st'!$S$2:$S$317,$A55,'Данные 1st'!$KR$2:$KR$317),"")</f>
        <v>40</v>
      </c>
      <c r="FT55" s="7">
        <f>IFERROR(AVERAGEIF('Данные 1st'!$S$2:$S$317,$A55,'Данные 1st'!$KS$2:$KS$317),"")</f>
        <v>60</v>
      </c>
      <c r="FU55" s="7">
        <f>IFERROR(AVERAGEIF('Данные 1st'!$S$2:$S$317,$A55,'Данные 1st'!$KT$2:$KT$317),"")</f>
        <v>0</v>
      </c>
      <c r="FV55" s="7">
        <f>IFERROR(AVERAGEIF('Данные 1st'!$S$2:$S$317,$A55,'Данные 1st'!$KV$2:$KV$317),"")</f>
        <v/>
      </c>
      <c r="FW55" s="7">
        <f>IFERROR(AVERAGEIF('Данные 1st'!$S$2:$S$317,$A55,'Данные 1st'!$KW$2:$KW$317),"")</f>
        <v/>
      </c>
      <c r="FX55" s="7">
        <f>IFERROR(AVERAGEIF('Данные 1st'!$S$2:$S$317,$A55,'Данные 1st'!$KX$2:$KX$317),"")</f>
        <v/>
      </c>
      <c r="FY55" s="7">
        <f>IFERROR(AVERAGEIF('Данные 1st'!$S$2:$S$317,$A55,'Данные 1st'!$KY$2:$KY$317),"")</f>
        <v/>
      </c>
      <c r="FZ55" s="7">
        <f>IFERROR(AVERAGEIF('Данные 1st'!$S$2:$S$317,$A55,'Данные 1st'!$KZ$2:$KZ$317),"")</f>
        <v/>
      </c>
      <c r="GA55" s="7">
        <f>IFERROR(AVERAGEIF('Данные 1st'!$S$2:$S$317,$A55,'Данные 1st'!$LA$2:$LA$317),"")</f>
        <v/>
      </c>
      <c r="GB55" s="7">
        <f>IFERROR(AVERAGEIF('Данные 1st'!$S$2:$S$317,$A55,'Данные 1st'!$LB$2:$LB$317),"")</f>
        <v/>
      </c>
      <c r="GC55" s="7">
        <f>IFERROR(AVERAGEIF('Данные 1st'!$S$2:$S$317,$A55,'Данные 1st'!$LC$2:$LC$317),"")</f>
        <v/>
      </c>
      <c r="GD55" s="7">
        <f>IFERROR(AVERAGEIF('Данные 1st'!$S$2:$S$317,$A55,'Данные 1st'!$LD$2:$LD$317),"")</f>
        <v/>
      </c>
      <c r="GE55" s="7">
        <f>IFERROR(AVERAGEIF('Данные 1st'!$S$2:$S$317,$A55,'Данные 1st'!$LE$2:$LE$317),"")</f>
        <v/>
      </c>
      <c r="GF55" s="7">
        <f>IFERROR(AVERAGEIF('Данные 1st'!$S$2:$S$317,$A55,'Данные 1st'!$LF$2:$LF$317),"")</f>
        <v/>
      </c>
      <c r="GG55" s="7">
        <f>IFERROR(AVERAGEIF('Данные 1st'!$S$2:$S$317,$A55,'Данные 1st'!$LG$2:$LG$317),"")</f>
        <v/>
      </c>
      <c r="GH55" s="7">
        <f>IFERROR(AVERAGEIF('Данные 1st'!$S$2:$S$317,$A55,'Данные 1st'!$LH$2:$LH$317),"")</f>
        <v/>
      </c>
      <c r="GI55" s="7">
        <f>IFERROR(AVERAGEIF('Данные 1st'!$S$2:$S$317,$A55,'Данные 1st'!$LI$2:$LI$317),"")</f>
        <v/>
      </c>
      <c r="GJ55" s="7">
        <f>IFERROR(AVERAGEIF('Данные 1st'!$S$2:$S$317,$A55,'Данные 1st'!$LJ$2:$LJ$317),"")</f>
        <v/>
      </c>
      <c r="GK55" s="7">
        <f>IFERROR(AVERAGEIF('Данные 1st'!$S$2:$S$317,$A55,'Данные 1st'!$LK$2:$LK$317),"")</f>
        <v>480</v>
      </c>
      <c r="GL55" s="7">
        <f>IFERROR(AVERAGEIF('Данные 1st'!$S$2:$S$317,$A55,'Данные 1st'!$LV$2:$LV$317),"")</f>
        <v/>
      </c>
      <c r="GM55" s="7">
        <f>IFERROR(AVERAGEIF('Данные 1st'!$S$2:$S$317,$A55,'Данные 1st'!$LW$2:$LW$317),"")</f>
        <v/>
      </c>
      <c r="GN55" s="7">
        <f>IFERROR(AVERAGEIF('Данные 1st'!$S$2:$S$317,$A55,'Данные 1st'!$LX$2:$LX$317),"")</f>
        <v/>
      </c>
      <c r="GO55" s="7">
        <f>IFERROR(AVERAGEIF('Данные 1st'!$S$2:$S$317,$A55,'Данные 1st'!$LY$2:$LY$317),"")</f>
        <v/>
      </c>
      <c r="GP55" s="7">
        <f>IFERROR(AVERAGEIF('Данные 1st'!$S$2:$S$317,$A55,'Данные 1st'!$LZ$2:$LZ$317),"")</f>
        <v/>
      </c>
      <c r="GQ55" s="7">
        <f>IFERROR(AVERAGEIF('Данные 1st'!$S$2:$S$317,$A55,'Данные 1st'!$PG$2:$PG$317),"")</f>
        <v>1</v>
      </c>
      <c r="GR55" s="7">
        <f>IFERROR(AVERAGEIF('Данные 1st'!$S$2:$S$317,$A55,'Данные 1st'!$PX$2:$PX$317),"")</f>
        <v>56</v>
      </c>
      <c r="GS55" s="7">
        <f>IFERROR(AVERAGEIF('Данные 1st'!$S$2:$S$317,$A55,'Данные 1st'!$PY$2:$PY$317),"")</f>
        <v>56</v>
      </c>
      <c r="GT55" s="7">
        <f>IFERROR(AVERAGEIF('Данные 1st'!$S$2:$S$317,$A55,'Данные 1st'!$QA$2:$QA$317),"")</f>
        <v>2</v>
      </c>
      <c r="GU55" s="7">
        <f>IFERROR(AVERAGEIF('Данные 1st'!$S$2:$S$317,$A55,'Данные 1st'!$QB$2:$QB$317),"")</f>
        <v>1373</v>
      </c>
      <c r="GV55" s="7">
        <f>IFERROR(AVERAGEIF('Данные 1st'!$S$2:$S$317,$A55,'Данные 1st'!$QC$2:$QC$317),"")</f>
        <v>69</v>
      </c>
      <c r="GW55" s="7">
        <f>IFERROR(AVERAGEIF('Данные 1st'!$S$2:$S$317,$A55,'Данные 1st'!$QD$2:$QD$317),"")</f>
        <v>69</v>
      </c>
      <c r="GX55" s="7">
        <f>IFERROR(AVERAGEIF('Данные 1st'!$S$2:$S$317,$A55,'Данные 1st'!$QF$2:$QF$317),"")</f>
        <v>1.5</v>
      </c>
      <c r="GY55" s="7">
        <f>IFERROR(AVERAGEIF('Данные 1st'!$S$2:$S$317,$A55,'Данные 1st'!$QG$2:$QG$317),"")</f>
        <v>1393.5</v>
      </c>
      <c r="GZ55" s="7">
        <f>IFERROR(AVERAGEIF('Данные 1st'!$S$2:$S$317,$A55,'Данные 1st'!$QH$2:$QH$317),"")</f>
        <v>66</v>
      </c>
      <c r="HA55" s="7">
        <f>IFERROR(AVERAGEIF('Данные 1st'!$S$2:$S$317,$A55,'Данные 1st'!$QI$2:$QI$317),"")</f>
        <v>66</v>
      </c>
      <c r="HB55" s="7">
        <f>IFERROR(AVERAGEIF('Данные 1st'!$S$2:$S$317,$A55,'Данные 1st'!$QK$2:$QK$317),"")</f>
        <v/>
      </c>
      <c r="HC55" s="7">
        <f>IFERROR(AVERAGEIF('Данные 1st'!$S$2:$S$317,$A55,'Данные 1st'!$QL$2:$QL$317),"")</f>
        <v>0</v>
      </c>
      <c r="HD55" s="7">
        <f>IFERROR(AVERAGEIF('Данные 1st'!$S$2:$S$317,$A55,'Данные 1st'!$QM$2:$QM$317),"")</f>
        <v>63</v>
      </c>
      <c r="HE55" s="7">
        <f>IFERROR(AVERAGEIF('Данные 1st'!$S$2:$S$317,$A55,'Данные 1st'!$QN$2:$QN$317),"")</f>
        <v>63</v>
      </c>
      <c r="HF55" s="7">
        <f>IFERROR(AVERAGEIF('Данные 1st'!$S$2:$S$317,$A55,'Данные 1st'!$QP$2:$QP$317),"")</f>
        <v>1</v>
      </c>
      <c r="HG55" s="7">
        <f>IFERROR(AVERAGEIF('Данные 1st'!$S$2:$S$317,$A55,'Данные 1st'!$QQ$2:$QQ$317),"")</f>
        <v>1391.5</v>
      </c>
      <c r="HH55" s="7">
        <f>IFERROR(AVERAGEIF('Данные 1st'!$S$2:$S$317,$A55,'Данные 1st'!$QR$2:$QR$317),"")</f>
        <v/>
      </c>
      <c r="HI55" s="7">
        <f>IFERROR(AVERAGEIF('Данные 1st'!$S$2:$S$317,$A55,'Данные 1st'!$QS$2:$QS$317),"")</f>
        <v/>
      </c>
      <c r="HJ55" s="7">
        <f>IFERROR(AVERAGEIF('Данные 1st'!$S$2:$S$317,$A55,'Данные 1st'!$QU$2:$QU$317),"")</f>
        <v/>
      </c>
      <c r="HK55" s="7">
        <f>IFERROR(AVERAGEIF('Данные 1st'!$S$2:$S$317,$A55,'Данные 1st'!$QV$2:$QV$317),"")</f>
        <v/>
      </c>
      <c r="HL55" s="7">
        <f>IFERROR(AVERAGEIF('Данные 1st'!$S$2:$S$317,$A55,'Данные 1st'!$QW$2:$QW$317),"")</f>
        <v>82</v>
      </c>
      <c r="HM55" s="7">
        <f>IFERROR(AVERAGEIF('Данные 1st'!$S$2:$S$317,$A55,'Данные 1st'!$QX$2:$QX$317),"")</f>
        <v>83</v>
      </c>
      <c r="HN55" s="7">
        <f>IFERROR(AVERAGEIF('Данные 1st'!$S$2:$S$317,$A55,'Данные 1st'!$QZ$2:$QZ$317),"")</f>
        <v>1</v>
      </c>
      <c r="HO55" s="7">
        <f>IFERROR(AVERAGEIF('Данные 1st'!$S$2:$S$317,$A55,'Данные 1st'!$RA$2:$RA$317),"")</f>
        <v>66</v>
      </c>
      <c r="HP55" s="7">
        <f>IFERROR(AVERAGEIF('Данные 1st'!$S$2:$S$317,$A55,'Данные 1st'!$RB$2:$RB$317),"")</f>
        <v>66</v>
      </c>
      <c r="HQ55" s="7">
        <f>IFERROR(AVERAGEIF('Данные 1st'!$S$2:$S$317,$A55,'Данные 1st'!$RD$2:$RD$317),"")</f>
        <v/>
      </c>
      <c r="HR55" s="7">
        <f>IFERROR(AVERAGEIF('Данные 1st'!$S$2:$S$317,$A55,'Данные 1st'!$RE$2:$RE$317),"")</f>
        <v>0</v>
      </c>
      <c r="HS55" s="7">
        <f>IFERROR(AVERAGEIF('Данные 1st'!$S$2:$S$317,$A55,'Данные 1st'!$RF$2:$RF$317),"")</f>
        <v/>
      </c>
      <c r="HT55" s="7">
        <f>IFERROR(AVERAGEIF('Данные 1st'!$S$2:$S$317,$A55,'Данные 1st'!$RG$2:$RG$317),"")</f>
        <v>1</v>
      </c>
      <c r="HU55" s="7">
        <f>IFERROR(AVERAGEIF('Данные 1st'!$S$2:$S$317,$A55,'Данные 1st'!$RH$2:$RH$317),"")</f>
        <v/>
      </c>
      <c r="HV55" s="7">
        <f>IFERROR(AVERAGEIF('Данные 1st'!$S$2:$S$317,$A55,'Данные 1st'!$RI$2:$RI$317),"")</f>
        <v/>
      </c>
      <c r="HW55" s="7">
        <f>IFERROR(AVERAGEIF('Данные 1st'!$S$2:$S$317,$A55,'Данные 1st'!$RJ$2:$RJ$317),"")</f>
        <v>1</v>
      </c>
      <c r="HX55" s="7">
        <f>IFERROR(AVERAGEIF('Данные 1st'!$S$2:$S$317,$A55,'Данные 1st'!$RK$2:$RK$317),"")</f>
        <v/>
      </c>
      <c r="HY55" s="7">
        <f>IFERROR(AVERAGEIF('Данные 1st'!$S$2:$S$317,$A55,'Данные 1st'!$RL$2:$RL$317),"")</f>
        <v>1.5</v>
      </c>
      <c r="HZ55" s="7">
        <f>IFERROR(AVERAGEIF('Данные 1st'!$S$2:$S$317,$A55,'Данные 1st'!$RM$2:$RM$317),"")</f>
        <v/>
      </c>
      <c r="IA55" s="7">
        <f>IFERROR(AVERAGEIF('Данные 1st'!$S$2:$S$317,$A55,'Данные 1st'!$RN$2:$RN$317),"")</f>
        <v/>
      </c>
      <c r="IB55" s="7">
        <f>IFERROR(AVERAGEIF('Данные 1st'!$S$2:$S$317,$A55,'Данные 1st'!$RO$2:$RO$317),"")</f>
        <v>538.5</v>
      </c>
      <c r="IC55" s="7">
        <f>IFERROR(AVERAGEIF('Данные 1st'!$S$2:$S$317,$A55,'Данные 1st'!$RP$2:$RP$317),"")</f>
        <v/>
      </c>
      <c r="ID55" s="7">
        <f>IFERROR(AVERAGEIF('Данные 1st'!$S$2:$S$317,$A55,'Данные 1st'!$RQ$2:$RQ$317),"")</f>
        <v>835</v>
      </c>
      <c r="IE55" s="7">
        <f>IFERROR(AVERAGEIF('Данные 1st'!$S$2:$S$317,$A55,'Данные 1st'!$RR$2:$RR$317),"")</f>
        <v/>
      </c>
      <c r="IF55" s="7">
        <f>IFERROR(AVERAGEIF('Данные 1st'!$S$2:$S$317,$A55,'Данные 1st'!$RS$2:$RS$317),"")</f>
        <v/>
      </c>
      <c r="IG55" s="7">
        <f>IFERROR(AVERAGEIF('Данные 1st'!$S$2:$S$317,$A55,'Данные 1st'!$RT$2:$RT$317),"")</f>
        <v>266.5</v>
      </c>
      <c r="IH55" s="7">
        <f>IFERROR(AVERAGEIF('Данные 1st'!$S$2:$S$317,$A55,'Данные 1st'!$RU$2:$RU$317),"")</f>
        <v>153.5</v>
      </c>
      <c r="II55" s="7">
        <f>IFERROR(AVERAGEIF('Данные 1st'!$S$2:$S$317,$A55,'Данные 1st'!$RX$2:$RX$317),"")</f>
        <v>15</v>
      </c>
      <c r="IJ55" s="7">
        <f>IFERROR(AVERAGEIF('Данные 1st'!$S$2:$S$317,$A55,'Данные 1st'!$RY$2:$RY$317),"")</f>
        <v>4</v>
      </c>
      <c r="IK55" s="7">
        <f>IFERROR(AVERAGEIF('Данные 1st'!$S$2:$S$317,$A55,'Данные 1st'!$SA$2:$SA$317),"")</f>
        <v>15</v>
      </c>
      <c r="IL55" s="7">
        <f>IFERROR(AVERAGEIF('Данные 1st'!$S$2:$S$317,$A55,'Данные 1st'!$SD$2:$SD$317),"")</f>
        <v>1</v>
      </c>
      <c r="IM55" s="7">
        <f>IFERROR(AVERAGEIF('Данные 1st'!$S$2:$S$317,$A55,'Данные 1st'!$SG$2:$SG$317),"")</f>
        <v/>
      </c>
      <c r="IN55" s="7">
        <f>IFERROR(AVERAGEIF('Данные 1st'!$S$2:$S$317,$A55,'Данные 1st'!$SH$2:$SH$317),"")</f>
        <v>0.995</v>
      </c>
      <c r="IO55" s="7">
        <f>IFERROR(AVERAGEIF('Данные 1st'!$S$2:$S$317,$A55,'Данные 1st'!$SI$2:$SI$317),"")</f>
        <v>0.995</v>
      </c>
      <c r="IP55" s="7">
        <f>IFERROR(AVERAGEIF('Данные 1st'!$S$2:$S$317,$A55,'Данные 1st'!$SJ$2:$SJ$317),"")</f>
        <v>0.995</v>
      </c>
      <c r="IQ55" s="7">
        <f>IFERROR(AVERAGEIF('Данные 1st'!$S$2:$S$317,$A55,'Данные 1st'!$SK$2:$SK$317),"")</f>
        <v>15</v>
      </c>
      <c r="IR55" s="7">
        <f>IFERROR(AVERAGEIF('Данные 1st'!$S$2:$S$317,$A55,'Данные 1st'!$SL$2:$SL$317),"")</f>
        <v>0</v>
      </c>
      <c r="IS55" s="7">
        <f>IFERROR(AVERAGEIF('Данные 1st'!$S$2:$S$317,$A55,'Данные 1st'!$SM$2:$SM$317),"")</f>
        <v>0</v>
      </c>
      <c r="IT55" s="7">
        <f>IFERROR(AVERAGEIF('Данные 1st'!$S$2:$S$317,$A55,'Данные 1st'!$SN$2:$SN$317),"")</f>
        <v>0</v>
      </c>
      <c r="IU55" s="7">
        <f>IFERROR(AVERAGEIF('Данные 1st'!$S$2:$S$317,$A55,'Данные 1st'!$SO$2:$SO$317),"")</f>
        <v>0</v>
      </c>
      <c r="IV55" s="7">
        <f>IFERROR(AVERAGEIF('Данные 1st'!$S$2:$S$317,$A55,'Данные 1st'!$SP$2:$SP$317),"")</f>
        <v>0</v>
      </c>
      <c r="IW55" s="7">
        <f>IFERROR(AVERAGEIF('Данные 1st'!$S$2:$S$317,$A55,'Данные 1st'!$SQ$2:$SQ$317),"")</f>
        <v>0</v>
      </c>
      <c r="IX55" s="7">
        <f>IFERROR(AVERAGEIF('Данные 1st'!$S$2:$S$317,$A55,'Данные 1st'!$SR$2:$SR$317),"")</f>
        <v>0</v>
      </c>
      <c r="IY55" s="7">
        <f>IFERROR(AVERAGEIF('Данные 1st'!$S$2:$S$317,$A55,'Данные 1st'!$SS$2:$SS$317),"")</f>
        <v>0</v>
      </c>
      <c r="IZ55" s="7">
        <f>IFERROR(AVERAGEIF('Данные 1st'!$S$2:$S$317,$A55,'Данные 1st'!$ST$2:$ST$317),"")</f>
        <v>0</v>
      </c>
      <c r="JA55" s="7">
        <f>IFERROR(AVERAGEIF('Данные 1st'!$S$2:$S$317,$A55,'Данные 1st'!$SU$2:$SU$317),"")</f>
        <v>0</v>
      </c>
      <c r="JB55" s="7">
        <f>IFERROR(AVERAGEIF('Данные 1st'!$S$2:$S$317,$A55,'Данные 1st'!$SV$2:$SV$317),"")</f>
        <v>0</v>
      </c>
      <c r="JC55" s="7">
        <f>IFERROR(AVERAGEIF('Данные 1st'!$S$2:$S$317,$A55,'Данные 1st'!$SW$2:$SW$317),"")</f>
        <v>0</v>
      </c>
      <c r="JD55" s="7">
        <f>IFERROR(AVERAGEIF('Данные 1st'!$S$2:$S$317,$A55,'Данные 1st'!$SX$2:$SX$317),"")</f>
        <v>0</v>
      </c>
      <c r="JE55" s="7">
        <f>IFERROR(AVERAGEIF('Данные 1st'!$S$2:$S$317,$A55,'Данные 1st'!$SY$2:$SY$317),"")</f>
        <v/>
      </c>
      <c r="JF55" s="7">
        <f>IFERROR(AVERAGEIF('Данные 1st'!$S$2:$S$317,$A55,'Данные 1st'!$SZ$2:$SZ$317),"")</f>
        <v/>
      </c>
      <c r="JG55" s="7">
        <f>IFERROR(AVERAGEIF('Данные 1st'!$S$2:$S$317,$A55,'Данные 1st'!$TA$2:$TA$317),"")</f>
        <v/>
      </c>
      <c r="JH55" s="7">
        <f>IFERROR(AVERAGEIF('Данные 1st'!$S$2:$S$317,$A55,'Данные 1st'!$TB$2:$TB$317),"")</f>
        <v>0</v>
      </c>
      <c r="JI55" s="7">
        <f>IFERROR(AVERAGEIF('Данные 1st'!$S$2:$S$317,$A55,'Данные 1st'!$TC$2:$TC$317),"")</f>
        <v>0</v>
      </c>
      <c r="JJ55" s="7">
        <f>IFERROR(AVERAGEIF('Данные 1st'!$S$2:$S$317,$A55,'Данные 1st'!$TD$2:$TD$317),"")</f>
        <v>7.5</v>
      </c>
      <c r="JK55" s="7">
        <f>IFERROR(AVERAGEIF('Данные 1st'!$S$2:$S$317,$A55,'Данные 1st'!$TN$2:$TN$317),"")</f>
        <v>0</v>
      </c>
      <c r="JL55">
        <f>COUNTIF('Данные 2st'!$Q$2:$Q$317,$A55)</f>
        <v>2</v>
      </c>
      <c r="JM55" s="6" t="s">
        <v>5111</v>
      </c>
      <c r="JN55" s="6" t="s">
        <v>513</v>
      </c>
      <c r="JO55" s="6" t="s">
        <v>5125</v>
      </c>
      <c r="JP55" s="6" t="s">
        <v>5507</v>
      </c>
      <c r="JQ55" s="7">
        <f>IFERROR(AVERAGEIF('Данные 2st'!$Q$2:$Q$317,$A55,'Данные 2st'!$AC$2:$AC$317),"")</f>
        <v>9</v>
      </c>
      <c r="JR55" s="7">
        <f>IFERROR(AVERAGEIF('Данные 2st'!$Q$2:$Q$317,$A55,'Данные 2st'!$AF$2:$AF$317),"")</f>
        <v>3980</v>
      </c>
      <c r="JS55" s="7">
        <f>IFERROR(AVERAGEIF('Данные 2st'!$Q$2:$Q$317,$A55,'Данные 2st'!$AW$2:$AW$317),"")</f>
        <v>6.4</v>
      </c>
      <c r="JT55" s="7">
        <f>IFERROR(AVERAGEIF('Данные 2st'!$Q$2:$Q$317,$A55,'Данные 2st'!$AX$2:$AX$317),"")</f>
        <v>-6</v>
      </c>
      <c r="JU55" s="7">
        <f>IFERROR(AVERAGEIF('Данные 2st'!$Q$2:$Q$317,$A55,'Данные 2st'!$AY$2:$AY$317),"")</f>
        <v>111.75</v>
      </c>
      <c r="JV55" s="7">
        <f>IFERROR(AVERAGEIF('Данные 2st'!$Q$2:$Q$317,$A55,'Данные 2st'!$AZ$2:$AZ$317),"")</f>
        <v>80</v>
      </c>
      <c r="JW55" s="7">
        <f>IFERROR(AVERAGEIF('Данные 2st'!$Q$2:$Q$317,$A55,'Данные 2st'!$BA$2:$BA$317),"")</f>
        <v>0</v>
      </c>
      <c r="JX55" s="7">
        <f>IFERROR(AVERAGEIF('Данные 2st'!$Q$2:$Q$317,$A55,'Данные 2st'!$BB$2:$BB$317),"")</f>
        <v>0</v>
      </c>
      <c r="JY55" s="7">
        <f>IFERROR(AVERAGEIF('Данные 2st'!$Q$2:$Q$317,$A55,'Данные 2st'!$BC$2:$BC$317),"")</f>
        <v>0</v>
      </c>
      <c r="JZ55" s="7">
        <f>IFERROR(AVERAGEIF('Данные 2st'!$Q$2:$Q$317,$A55,'Данные 2st'!$BH$2:$BH$317),"")</f>
        <v>111.75</v>
      </c>
      <c r="KA55" s="7">
        <f>IFERROR(AVERAGEIF('Данные 2st'!$Q$2:$Q$317,$A55,'Данные 2st'!$BI$2:$BI$317),"")</f>
        <v>31.75</v>
      </c>
      <c r="KB55" s="7">
        <f>IFERROR(AVERAGEIF('Данные 2st'!$Q$2:$Q$317,$A55,'Данные 2st'!$BJ$2:$BJ$317),"")</f>
        <v>80</v>
      </c>
      <c r="KC55" s="7">
        <f>IFERROR(AVERAGEIF('Данные 2st'!$Q$2:$Q$317,$A55,'Данные 2st'!$BK$2:$BK$317),"")</f>
        <v>3.0</v>
      </c>
      <c r="KD55" s="7">
        <f>IFERROR(AVERAGEIF('Данные 2st'!$Q$2:$Q$317,$A55,'Данные 2st'!$BL$2:$BL$317),"")</f>
        <v>223.5</v>
      </c>
      <c r="KE55" s="7">
        <f>IFERROR(AVERAGEIF('Данные 2st'!$Q$2:$Q$317,$A55,'Данные 2st'!$BM$2:$BM$317),"")</f>
        <v>-6</v>
      </c>
      <c r="KF55" s="7">
        <f>IFERROR(AVERAGEIF('Данные 2st'!$Q$2:$Q$317,$A55,'Данные 2st'!$BN$2:$BN$317),"")</f>
        <v>0</v>
      </c>
      <c r="KG55" s="7">
        <f>IFERROR(AVERAGEIF('Данные 2st'!$Q$2:$Q$317,$A55,'Данные 2st'!$BO$2:$BO$317),"")</f>
        <v>0</v>
      </c>
      <c r="KH55" s="7">
        <f>IFERROR(AVERAGEIF('Данные 2st'!$Q$2:$Q$317,$A55,'Данные 2st'!$BP$2:$BP$317),"")</f>
        <v>0</v>
      </c>
      <c r="KI55" s="7">
        <f>IFERROR(AVERAGEIF('Данные 2st'!$Q$2:$Q$317,$A55,'Данные 2st'!$BR$2:$BR$317),"")</f>
        <v>217.5</v>
      </c>
      <c r="KJ55" s="7">
        <f>IFERROR(AVERAGEIF('Данные 2st'!$Q$2:$Q$317,$A55,'Данные 2st'!$BS$2:$BS$317),"")</f>
        <v>207.5</v>
      </c>
      <c r="KK55" s="7">
        <f>IFERROR(AVERAGEIF('Данные 2st'!$Q$2:$Q$317,$A55,'Данные 2st'!$BT$2:$BT$317),"")</f>
        <v>1895</v>
      </c>
      <c r="KL55" s="7">
        <f>IFERROR(AVERAGEIF('Данные 2st'!$Q$2:$Q$317,$A55,'Данные 2st'!$CV$2:$CV$317),"")</f>
        <v>133</v>
      </c>
      <c r="KM55" s="7">
        <f>IFERROR(AVERAGEIF('Данные 2st'!$Q$2:$Q$317,$A55,'Данные 2st'!$CW$2:$CW$317),"")</f>
        <v>3</v>
      </c>
      <c r="KN55" s="7">
        <f>IFERROR(AVERAGEIF('Данные 2st'!$Q$2:$Q$317,$A55,'Данные 2st'!$CX$2:$CX$317),"")</f>
        <v>115.5</v>
      </c>
      <c r="KO55" s="7">
        <f>IFERROR(AVERAGEIF('Данные 2st'!$Q$2:$Q$317,$A55,'Данные 2st'!$CY$2:$CY$317),"")</f>
        <v>5</v>
      </c>
      <c r="KP55" s="7">
        <f>IFERROR(AVERAGEIF('Данные 2st'!$Q$2:$Q$317,$A55,'Данные 2st'!$CZ$2:$CZ$317),"")</f>
        <v>140</v>
      </c>
      <c r="KQ55" s="7">
        <f>IFERROR(AVERAGEIF('Данные 2st'!$Q$2:$Q$317,$A55,'Данные 2st'!$DA$2:$DA$317),"")</f>
        <v>5</v>
      </c>
      <c r="KR55" s="7">
        <f>IFERROR(AVERAGEIF('Данные 2st'!$Q$2:$Q$317,$A55,'Данные 2st'!$DB$2:$DB$317),"")</f>
        <v>10555</v>
      </c>
      <c r="KS55" s="7">
        <f>IFERROR(AVERAGEIF('Данные 2st'!$Q$2:$Q$317,$A55,'Данные 2st'!$DC$2:$DC$317),"")</f>
        <v>315</v>
      </c>
      <c r="KT55" s="7">
        <f>IFERROR(AVERAGEIF('Данные 2st'!$Q$2:$Q$317,$A55,'Данные 2st'!$DD$2:$DD$317),"")</f>
        <v>322.5</v>
      </c>
      <c r="KU55" s="7">
        <f>IFERROR(AVERAGEIF('Данные 2st'!$Q$2:$Q$317,$A55,'Данные 2st'!$DE$2:$DE$317),"")</f>
        <v>2015</v>
      </c>
      <c r="KV55" s="7">
        <f>IFERROR(AVERAGEIF('Данные 2st'!$Q$2:$Q$317,$A55,'Данные 2st'!$DF$2:$DF$317),"")</f>
        <v>2015</v>
      </c>
      <c r="KW55" s="7">
        <f>IFERROR(AVERAGEIF('Данные 2st'!$Q$2:$Q$317,$A55,'Данные 2st'!$DG$2:$DG$317),"")</f>
        <v>2025.5</v>
      </c>
      <c r="KX55" s="7">
        <f>IFERROR(AVERAGEIF('Данные 2st'!$Q$2:$Q$317,$A55,'Данные 2st'!$DH$2:$DH$317),"")</f>
        <v/>
      </c>
      <c r="KY55" s="7">
        <f>IFERROR(AVERAGEIF('Данные 2st'!$Q$2:$Q$317,$A55,'Данные 2st'!$DI$2:$DI$317),"")</f>
        <v/>
      </c>
      <c r="KZ55" s="7">
        <f>IFERROR(AVERAGEIF('Данные 2st'!$Q$2:$Q$317,$A55,'Данные 2st'!$DK$2:$DK$317),"")</f>
        <v>217.5</v>
      </c>
      <c r="LA55" s="7">
        <f>IFERROR(AVERAGEIF('Данные 2st'!$Q$2:$Q$317,$A55,'Данные 2st'!$DM$2:$DM$317),"")</f>
        <v>64</v>
      </c>
      <c r="LB55" s="7">
        <f>IFERROR(AVERAGEIF('Данные 2st'!$Q$2:$Q$317,$A55,'Данные 2st'!$DN$2:$DN$317),"")</f>
        <v>1.15</v>
      </c>
      <c r="LC55" s="7">
        <f>IFERROR(AVERAGEIF('Данные 2st'!$Q$2:$Q$317,$A55,'Данные 2st'!$DO$2:$DO$317),"")</f>
        <v>1</v>
      </c>
      <c r="LD55" s="7">
        <f>IFERROR(AVERAGEIF('Данные 2st'!$Q$2:$Q$317,$A55,'Данные 2st'!$DP$2:$DP$317),"")</f>
        <v>1898.5</v>
      </c>
      <c r="LE55" s="7">
        <f>IFERROR(AVERAGEIF('Данные 2st'!$Q$2:$Q$317,$A55,'Данные 2st'!$DQ$2:$DQ$317),"")</f>
        <v>921</v>
      </c>
      <c r="LF55" s="7">
        <f>IFERROR(AVERAGEIF('Данные 2st'!$Q$2:$Q$317,$A55,'Данные 2st'!$DS$2:$DS$317),"")</f>
        <v>207.5</v>
      </c>
      <c r="LG55" s="7">
        <f>IFERROR(AVERAGEIF('Данные 2st'!$Q$2:$Q$317,$A55,'Данные 2st'!$DU$2:$DU$317),"")</f>
        <v>64</v>
      </c>
      <c r="LH55" s="7">
        <f>IFERROR(AVERAGEIF('Данные 2st'!$Q$2:$Q$317,$A55,'Данные 2st'!$DV$2:$DV$317),"")</f>
        <v>1.15</v>
      </c>
      <c r="LI55" s="7">
        <f>IFERROR(AVERAGEIF('Данные 2st'!$Q$2:$Q$317,$A55,'Данные 2st'!$DW$2:$DW$317),"")</f>
        <v>1</v>
      </c>
      <c r="LJ55" s="7">
        <f>IFERROR(AVERAGEIF('Данные 2st'!$Q$2:$Q$317,$A55,'Данные 2st'!$DX$2:$DX$317),"")</f>
        <v>1910.5</v>
      </c>
      <c r="LK55" s="7">
        <f>IFERROR(AVERAGEIF('Данные 2st'!$Q$2:$Q$317,$A55,'Данные 2st'!$DY$2:$DY$317),"")</f>
        <v>883.5</v>
      </c>
      <c r="LL55" s="7">
        <f>IFERROR(AVERAGEIF('Данные 2st'!$Q$2:$Q$317,$A55,'Данные 2st'!$EA$2:$EA$317),"")</f>
        <v>20</v>
      </c>
      <c r="LM55" s="7">
        <f>IFERROR(AVERAGEIF('Данные 2st'!$Q$2:$Q$317,$A55,'Данные 2st'!$EC$2:$EC$317),"")</f>
        <v>0.8</v>
      </c>
      <c r="LN55" s="7">
        <f>IFERROR(AVERAGEIF('Данные 2st'!$Q$2:$Q$317,$A55,'Данные 2st'!$ED$2:$ED$317),"")</f>
        <v>1898.5</v>
      </c>
      <c r="LO55" s="7">
        <f>IFERROR(AVERAGEIF('Данные 2st'!$Q$2:$Q$317,$A55,'Данные 2st'!$EE$2:$EE$317),"")</f>
        <v>66</v>
      </c>
      <c r="LP55" s="7">
        <f>IFERROR(AVERAGEIF('Данные 2st'!$Q$2:$Q$317,$A55,'Данные 2st'!$EG$2:$EG$317),"")</f>
        <v>0</v>
      </c>
      <c r="LQ55" s="7">
        <f>IFERROR(AVERAGEIF('Данные 2st'!$Q$2:$Q$317,$A55,'Данные 2st'!$EI$2:$EI$317),"")</f>
        <v>0</v>
      </c>
      <c r="LR55" s="7">
        <f>IFERROR(AVERAGEIF('Данные 2st'!$Q$2:$Q$317,$A55,'Данные 2st'!$EJ$2:$EJ$317),"")</f>
        <v/>
      </c>
      <c r="LS55" s="7">
        <f>IFERROR(AVERAGEIF('Данные 2st'!$Q$2:$Q$317,$A55,'Данные 2st'!$EK$2:$EK$317),"")</f>
        <v/>
      </c>
      <c r="LT55" s="7">
        <f>IFERROR(AVERAGEIF('Данные 2st'!$Q$2:$Q$317,$A55,'Данные 2st'!$EM$2:$EM$317),"")</f>
        <v>12</v>
      </c>
      <c r="LU55" s="7">
        <f>IFERROR(AVERAGEIF('Данные 2st'!$Q$2:$Q$317,$A55,'Данные 2st'!$EN$2:$EN$317),"")</f>
        <v>0.5</v>
      </c>
      <c r="LV55" s="7">
        <f>IFERROR(AVERAGEIF('Данные 2st'!$Q$2:$Q$317,$A55,'Данные 2st'!$EO$2:$EO$317),"")</f>
        <v>0.96</v>
      </c>
      <c r="LW55" s="7">
        <f>IFERROR(AVERAGEIF('Данные 2st'!$Q$2:$Q$317,$A55,'Данные 2st'!$EP$2:$EP$317),"")</f>
        <v>1909.455</v>
      </c>
      <c r="LX55" s="7">
        <f>IFERROR(AVERAGEIF('Данные 2st'!$Q$2:$Q$317,$A55,'Данные 2st'!$EQ$2:$EQ$317),"")</f>
        <v>35131.16</v>
      </c>
      <c r="LY55" s="7">
        <f>IFERROR(AVERAGEIF('Данные 2st'!$Q$2:$Q$317,$A55,'Данные 2st'!$ER$2:$ER$317),"")</f>
        <v>9502.779999999999</v>
      </c>
      <c r="LZ55" s="7">
        <f>IFERROR(AVERAGEIF('Данные 2st'!$Q$2:$Q$317,$A55,'Данные 2st'!$ES$2:$ES$317),"")</f>
        <v>0</v>
      </c>
      <c r="MA55" s="7">
        <f>IFERROR(AVERAGEIF('Данные 2st'!$Q$2:$Q$317,$A55,'Данные 2st'!$ET$2:$ET$317),"")</f>
        <v>0</v>
      </c>
      <c r="MB55" s="7">
        <f>IFERROR(AVERAGEIF('Данные 2st'!$Q$2:$Q$317,$A55,'Данные 2st'!$EU$2:$EU$317),"")</f>
        <v>1</v>
      </c>
      <c r="MC55" s="7">
        <f>IFERROR(AVERAGEIF('Данные 2st'!$Q$2:$Q$317,$A55,'Данные 2st'!$EV$2:$EV$317),"")</f>
        <v>44634.5</v>
      </c>
      <c r="MD55" s="7">
        <f>IFERROR(AVERAGEIF('Данные 2st'!$Q$2:$Q$317,$A55,'Данные 2st'!$EW$2:$EW$317),"")</f>
        <v>536</v>
      </c>
      <c r="ME55" s="7">
        <f>IFERROR(AVERAGEIF('Данные 2st'!$Q$2:$Q$317,$A55,'Данные 2st'!$EY$2:$EY$317),"")</f>
        <v>233</v>
      </c>
      <c r="MF55" s="7">
        <f>IFERROR(AVERAGEIF('Данные 2st'!$Q$2:$Q$317,$A55,'Данные 2st'!$FA$2:$FA$317),"")</f>
        <v>5.4</v>
      </c>
      <c r="MG55" s="7">
        <f>IFERROR(AVERAGEIF('Данные 2st'!$Q$2:$Q$317,$A55,'Данные 2st'!$FB$2:$FB$317),"")</f>
        <v>1</v>
      </c>
      <c r="MH55" s="7">
        <f>IFERROR(AVERAGEIF('Данные 2st'!$Q$2:$Q$317,$A55,'Данные 2st'!$FC$2:$FC$317),"")</f>
        <v>1</v>
      </c>
      <c r="MI55" s="7">
        <f>IFERROR(AVERAGEIF('Данные 2st'!$Q$2:$Q$317,$A55,'Данные 2st'!$FD$2:$FD$317),"")</f>
        <v>1943</v>
      </c>
      <c r="MJ55" s="7">
        <f>IFERROR(AVERAGEIF('Данные 2st'!$Q$2:$Q$317,$A55,'Данные 2st'!$FE$2:$FE$317),"")</f>
        <v>2344.5</v>
      </c>
      <c r="MK55" s="7">
        <f>IFERROR(AVERAGEIF('Данные 2st'!$Q$2:$Q$317,$A55,'Данные 2st'!$FG$2:$FG$317),"")</f>
        <v>233</v>
      </c>
      <c r="ML55" s="7">
        <f>IFERROR(AVERAGEIF('Данные 2st'!$Q$2:$Q$317,$A55,'Данные 2st'!$FI$2:$FI$317),"")</f>
        <v>2.8</v>
      </c>
      <c r="MM55" s="7">
        <f>IFERROR(AVERAGEIF('Данные 2st'!$Q$2:$Q$317,$A55,'Данные 2st'!$FJ$2:$FJ$317),"")</f>
        <v>1943</v>
      </c>
      <c r="MN55" s="7">
        <f>IFERROR(AVERAGEIF('Данные 2st'!$Q$2:$Q$317,$A55,'Данные 2st'!$FK$2:$FK$317),"")</f>
        <v>1462.5</v>
      </c>
      <c r="MO55" s="7">
        <f>IFERROR(AVERAGEIF('Данные 2st'!$Q$2:$Q$317,$A55,'Данные 2st'!$FP$2:$FP$317),"")</f>
        <v>1943</v>
      </c>
      <c r="MP55" s="7">
        <f>IFERROR(AVERAGEIF('Данные 2st'!$Q$2:$Q$317,$A55,'Данные 2st'!$FQ$2:$FQ$317),"")</f>
        <v>134</v>
      </c>
      <c r="MQ55" s="7">
        <f>IFERROR(AVERAGEIF('Данные 2st'!$Q$2:$Q$317,$A55,'Данные 2st'!$FS$2:$FS$317),"")</f>
        <v>237</v>
      </c>
      <c r="MR55" s="7">
        <f>IFERROR(AVERAGEIF('Данные 2st'!$Q$2:$Q$317,$A55,'Данные 2st'!$FU$2:$FU$317),"")</f>
        <v>0.4</v>
      </c>
      <c r="MS55" s="7">
        <f>IFERROR(AVERAGEIF('Данные 2st'!$Q$2:$Q$317,$A55,'Данные 2st'!$FV$2:$FV$317),"")</f>
        <v>1943</v>
      </c>
      <c r="MT55" s="7">
        <f>IFERROR(AVERAGEIF('Данные 2st'!$Q$2:$Q$317,$A55,'Данные 2st'!$FW$2:$FW$317),"")</f>
        <v>204.5</v>
      </c>
      <c r="MU55" s="7">
        <f>IFERROR(AVERAGEIF('Данные 2st'!$Q$2:$Q$317,$A55,'Данные 2st'!$FY$2:$FY$317),"")</f>
        <v>5</v>
      </c>
      <c r="MV55" s="7">
        <f>IFERROR(AVERAGEIF('Данные 2st'!$Q$2:$Q$317,$A55,'Данные 2st'!$GB$2:$GB$317),"")</f>
        <v>1943</v>
      </c>
      <c r="MW55" s="7">
        <f>IFERROR(AVERAGEIF('Данные 2st'!$Q$2:$Q$317,$A55,'Данные 2st'!$GC$2:$GC$317),"")</f>
        <v>18.5</v>
      </c>
      <c r="MX55" s="7">
        <f>IFERROR(AVERAGEIF('Данные 2st'!$Q$2:$Q$317,$A55,'Данные 2st'!$GD$2:$GD$317),"")</f>
        <v>4164</v>
      </c>
      <c r="MY55" s="7">
        <f>IFERROR(AVERAGEIF('Данные 2st'!$Q$2:$Q$317,$A55,'Данные 2st'!$GN$2:$GN$317),"")</f>
        <v/>
      </c>
      <c r="MZ55" s="7">
        <f>IFERROR(AVERAGEIF('Данные 2st'!$Q$2:$Q$317,$A55,'Данные 2st'!$GQ$2:$GQ$317),"")</f>
        <v>0</v>
      </c>
      <c r="NA55" s="7">
        <f>IFERROR(AVERAGEIF('Данные 2st'!$Q$2:$Q$317,$A55,'Данные 2st'!$GV$2:$GV$317),"")</f>
        <v>8.600000000000001</v>
      </c>
      <c r="NB55" s="7">
        <f>IFERROR(AVERAGEIF('Данные 2st'!$Q$2:$Q$317,$A55,'Данные 2st'!$GW$2:$GW$317),"")</f>
        <v>9.15</v>
      </c>
      <c r="NC55" s="7">
        <f>IFERROR(AVERAGEIF('Данные 2st'!$Q$2:$Q$317,$A55,'Данные 2st'!$GX$2:$GX$317),"")</f>
        <v>0.5</v>
      </c>
      <c r="ND55" s="7">
        <f>IFERROR(AVERAGEIF('Данные 2st'!$Q$2:$Q$317,$A55,'Данные 2st'!$GY$2:$GY$317),"")</f>
        <v>208</v>
      </c>
      <c r="NE55" s="7">
        <f>IFERROR(AVERAGEIF('Данные 2st'!$Q$2:$Q$317,$A55,'Данные 2st'!$GZ$2:$GZ$317),"")</f>
        <v>3</v>
      </c>
      <c r="NF55" s="7">
        <f>IFERROR(AVERAGEIF('Данные 2st'!$Q$2:$Q$317,$A55,'Данные 2st'!$HA$2:$HA$317),"")</f>
        <v>253</v>
      </c>
      <c r="NG55" s="7">
        <f>IFERROR(AVERAGEIF('Данные 2st'!$Q$2:$Q$317,$A55,'Данные 2st'!$HB$2:$HB$317),"")</f>
        <v>3</v>
      </c>
      <c r="NH55" s="7">
        <f>IFERROR(AVERAGEIF('Данные 2st'!$Q$2:$Q$317,$A55,'Данные 2st'!$HC$2:$HC$317),"")</f>
        <v>1943</v>
      </c>
      <c r="NI55" s="7">
        <f>IFERROR(AVERAGEIF('Данные 2st'!$Q$2:$Q$317,$A55,'Данные 2st'!$HD$2:$HD$317),"")</f>
        <v>4</v>
      </c>
      <c r="NJ55" s="7">
        <f>IFERROR(AVERAGEIF('Данные 2st'!$Q$2:$Q$317,$A55,'Данные 2st'!$HM$2:$HM$317),"")</f>
        <v>18</v>
      </c>
      <c r="NK55" s="7">
        <f>IFERROR(AVERAGEIF('Данные 2st'!$Q$2:$Q$317,$A55,'Данные 2st'!$HR$2:$HR$317),"")</f>
        <v>3</v>
      </c>
      <c r="NL55" s="7">
        <f>IFERROR(AVERAGEIF('Данные 2st'!$Q$2:$Q$317,$A55,'Данные 2st'!$HS$2:$HS$317),"")</f>
        <v>1895</v>
      </c>
      <c r="NM55" s="7">
        <f>IFERROR(AVERAGEIF('Данные 2st'!$Q$2:$Q$317,$A55,'Данные 2st'!$HT$2:$HT$317),"")</f>
        <v>5</v>
      </c>
      <c r="NN55" s="7">
        <f>IFERROR(AVERAGEIF('Данные 2st'!$Q$2:$Q$317,$A55,'Данные 2st'!$HY$2:$HY$317),"")</f>
        <v>0</v>
      </c>
      <c r="NO55" s="7">
        <f>IFERROR(AVERAGEIF('Данные 2st'!$Q$2:$Q$317,$A55,'Данные 2st'!$HZ$2:$HZ$317),"")</f>
        <v>64</v>
      </c>
      <c r="NP55" s="7">
        <f>IFERROR(AVERAGEIF('Данные 2st'!$Q$2:$Q$317,$A55,'Данные 2st'!$IA$2:$IA$317),"")</f>
        <v>1898.5</v>
      </c>
      <c r="NQ55" s="7">
        <f>IFERROR(AVERAGEIF('Данные 2st'!$Q$2:$Q$317,$A55,'Данные 2st'!$IB$2:$IB$317),"")</f>
        <v>1910.5</v>
      </c>
      <c r="NR55" s="7">
        <f>IFERROR(AVERAGEIF('Данные 2st'!$Q$2:$Q$317,$A55,'Данные 2st'!$IC$2:$IC$317),"")</f>
        <v/>
      </c>
      <c r="NS55" s="7">
        <f>IFERROR(AVERAGEIF('Данные 2st'!$Q$2:$Q$317,$A55,'Данные 2st'!$ID$2:$ID$317),"")</f>
        <v>1943</v>
      </c>
      <c r="NT55" s="7">
        <f>IFERROR(AVERAGEIF('Данные 2st'!$Q$2:$Q$317,$A55,'Данные 2st'!$IE$2:$IE$317),"")</f>
        <v>1943</v>
      </c>
      <c r="NU55" s="7">
        <f>IFERROR(AVERAGEIF('Данные 2st'!$Q$2:$Q$317,$A55,'Данные 2st'!$IF$2:$IF$317),"")</f>
        <v>217.5</v>
      </c>
      <c r="NV55" s="7">
        <f>IFERROR(AVERAGEIF('Данные 2st'!$Q$2:$Q$317,$A55,'Данные 2st'!$IG$2:$IG$317),"")</f>
        <v>207.5</v>
      </c>
      <c r="NW55" s="7">
        <f>IFERROR(AVERAGEIF('Данные 2st'!$Q$2:$Q$317,$A55,'Данные 2st'!$IH$2:$IH$317),"")</f>
        <v>253</v>
      </c>
      <c r="NX55" s="7">
        <f>IFERROR(AVERAGEIF('Данные 2st'!$Q$2:$Q$317,$A55,'Данные 2st'!$IJ$2:$IJ$317),"")</f>
        <v>5</v>
      </c>
      <c r="NY55" s="7">
        <f>IFERROR(AVERAGEIF('Данные 2st'!$Q$2:$Q$317,$A55,'Данные 2st'!$IM$2:$IM$317),"")</f>
        <v>0</v>
      </c>
      <c r="NZ55" s="7">
        <f>IFERROR(AVERAGEIF('Данные 2st'!$Q$2:$Q$317,$A55,'Данные 2st'!$IN$2:$IN$317),"")</f>
        <v>270</v>
      </c>
      <c r="OA55" s="7">
        <f>IFERROR(AVERAGEIF('Данные 2st'!$Q$2:$Q$317,$A55,'Данные 2st'!$IO$2:$IO$317),"")</f>
        <v>0</v>
      </c>
      <c r="OB55" s="7">
        <f>IFERROR(AVERAGEIF('Данные 2st'!$Q$2:$Q$317,$A55,'Данные 2st'!$IP$2:$IP$317),"")</f>
        <v>180</v>
      </c>
      <c r="OC55" s="7">
        <f>IFERROR(AVERAGEIF('Данные 2st'!$Q$2:$Q$317,$A55,'Данные 2st'!$IQ$2:$IQ$317),"")</f>
        <v>0</v>
      </c>
      <c r="OD55" s="7">
        <f>IFERROR(AVERAGEIF('Данные 2st'!$Q$2:$Q$317,$A55,'Данные 2st'!$IR$2:$IR$317),"")</f>
        <v>330</v>
      </c>
      <c r="OE55" s="7">
        <f>IFERROR(AVERAGEIF('Данные 2st'!$Q$2:$Q$317,$A55,'Данные 2st'!$IT$2:$IT$317),"")</f>
        <v>90</v>
      </c>
      <c r="OF55" s="7">
        <f>IFERROR(AVERAGEIF('Данные 2st'!$Q$2:$Q$317,$A55,'Данные 2st'!$IU$2:$IU$317),"")</f>
        <v>0</v>
      </c>
      <c r="OG55" s="7">
        <f>IFERROR(AVERAGEIF('Данные 2st'!$Q$2:$Q$317,$A55,'Данные 2st'!$IV$2:$IV$317),"")</f>
        <v>6.4</v>
      </c>
      <c r="OH55" s="7">
        <f>IFERROR(AVERAGEIF('Данные 2st'!$Q$2:$Q$317,$A55,'Данные 2st'!$IW$2:$IW$317),"")</f>
        <v>-6</v>
      </c>
      <c r="OI55" s="7">
        <f>IFERROR(AVERAGEIF('Данные 2st'!$Q$2:$Q$317,$A55,'Данные 2st'!$IX$2:$IX$317),"")</f>
        <v>111.75</v>
      </c>
      <c r="OJ55" s="7">
        <f>IFERROR(AVERAGEIF('Данные 2st'!$Q$2:$Q$317,$A55,'Данные 2st'!$IY$2:$IY$317),"")</f>
        <v>80</v>
      </c>
      <c r="OK55" s="7">
        <f>IFERROR(AVERAGEIF('Данные 2st'!$Q$2:$Q$317,$A55,'Данные 2st'!$IZ$2:$IZ$317),"")</f>
        <v>0</v>
      </c>
      <c r="OL55" s="7">
        <f>IFERROR(AVERAGEIF('Данные 2st'!$Q$2:$Q$317,$A55,'Данные 2st'!$JA$2:$JA$317),"")</f>
        <v>0</v>
      </c>
      <c r="OM55" s="7">
        <f>IFERROR(AVERAGEIF('Данные 2st'!$Q$2:$Q$317,$A55,'Данные 2st'!$JB$2:$JB$317),"")</f>
        <v>0</v>
      </c>
      <c r="ON55" s="7">
        <f>IFERROR(AVERAGEIF('Данные 2st'!$Q$2:$Q$317,$A55,'Данные 2st'!$JC$2:$JC$317),"")</f>
        <v>0</v>
      </c>
      <c r="OO55" s="7">
        <f>IFERROR(AVERAGEIF('Данные 2st'!$Q$2:$Q$317,$A55,'Данные 2st'!$JD$2:$JD$317),"")</f>
        <v>0</v>
      </c>
      <c r="OP55" s="7">
        <f>IFERROR(AVERAGEIF('Данные 2st'!$Q$2:$Q$317,$A55,'Данные 2st'!$JE$2:$JE$317),"")</f>
        <v>0</v>
      </c>
      <c r="OQ55" s="7">
        <f>IFERROR(AVERAGEIF('Данные 2st'!$Q$2:$Q$317,$A55,'Данные 2st'!$JF$2:$JF$317),"")</f>
        <v>0</v>
      </c>
      <c r="OR55" s="7">
        <f>IFERROR(AVERAGEIF('Данные 2st'!$Q$2:$Q$317,$A55,'Данные 2st'!$JG$2:$JG$317),"")</f>
        <v>0</v>
      </c>
      <c r="OS55" s="7">
        <f>IFERROR(AVERAGEIF('Данные 2st'!$Q$2:$Q$317,$A55,'Данные 2st'!$JH$2:$JH$317),"")</f>
        <v>0</v>
      </c>
      <c r="OT55" s="7">
        <f>IFERROR(AVERAGEIF('Данные 2st'!$Q$2:$Q$317,$A55,'Данные 2st'!$JI$2:$JI$317),"")</f>
        <v>352</v>
      </c>
      <c r="OU55" s="7">
        <f>IFERROR(AVERAGEIF('Данные 2st'!$Q$2:$Q$317,$A55,'Данные 2st'!$JJ$2:$JJ$317),"")</f>
        <v>332</v>
      </c>
      <c r="OV55" s="7">
        <f>IFERROR(AVERAGEIF('Данные 2st'!$Q$2:$Q$317,$A55,'Данные 2st'!$JK$2:$JK$317),"")</f>
        <v>235</v>
      </c>
      <c r="OW55" s="7">
        <f>IFERROR(AVERAGEIF('Данные 2st'!$Q$2:$Q$317,$A55,'Данные 2st'!$JL$2:$JL$317),"")</f>
        <v>331</v>
      </c>
      <c r="OX55" s="7">
        <f>IFERROR(AVERAGEIF('Данные 2st'!$Q$2:$Q$317,$A55,'Данные 2st'!$JM$2:$JM$317),"")</f>
        <v>240</v>
      </c>
      <c r="OY55" s="7">
        <f>IFERROR(AVERAGEIF('Данные 2st'!$Q$2:$Q$317,$A55,'Данные 2st'!$JP$2:$JP$317),"")</f>
        <v>237.5</v>
      </c>
      <c r="OZ55" s="7">
        <f>IFERROR(AVERAGEIF('Данные 2st'!$Q$2:$Q$317,$A55,'Данные 2st'!$JQ$2:$JQ$317),"")</f>
        <v>269</v>
      </c>
      <c r="PA55" s="7">
        <f>IFERROR(AVERAGEIF('Данные 2st'!$Q$2:$Q$317,$A55,'Данные 2st'!$JR$2:$JR$317),"")</f>
        <v>319</v>
      </c>
      <c r="PB55" s="7">
        <f>IFERROR(AVERAGEIF('Данные 2st'!$Q$2:$Q$317,$A55,'Данные 2st'!$JS$2:$JS$317),"")</f>
        <v>285</v>
      </c>
      <c r="PC55" s="7">
        <f>IFERROR(AVERAGEIF('Данные 2st'!$Q$2:$Q$317,$A55,'Данные 2st'!$JT$2:$JT$317),"")</f>
        <v>0</v>
      </c>
      <c r="PD55" s="7">
        <f>IFERROR(AVERAGEIF('Данные 2st'!$Q$2:$Q$317,$A55,'Данные 2st'!$JU$2:$JU$317),"")</f>
        <v>0</v>
      </c>
      <c r="PE55" s="7">
        <f>IFERROR(AVERAGEIF('Данные 2st'!$Q$2:$Q$317,$A55,'Данные 2st'!$JV$2:$JV$317),"")</f>
        <v>315</v>
      </c>
      <c r="PF55" s="7">
        <f>IFERROR(AVERAGEIF('Данные 2st'!$Q$2:$Q$317,$A55,'Данные 2st'!$JW$2:$JW$317),"")</f>
        <v>310.5</v>
      </c>
      <c r="PG55" s="7">
        <f>IFERROR(AVERAGEIF('Данные 2st'!$Q$2:$Q$317,$A55,'Данные 2st'!$KF$2:$KF$317),"")</f>
        <v>0.22999999999999998</v>
      </c>
      <c r="PH55" s="7">
        <f>IFERROR(AVERAGEIF('Данные 2st'!$Q$2:$Q$317,$A55,'Данные 2st'!$KG$2:$KG$317),"")</f>
        <v>0.10500000000000001</v>
      </c>
      <c r="PI55" s="7">
        <f>IFERROR(AVERAGEIF('Данные 2st'!$Q$2:$Q$317,$A55,'Данные 2st'!$KM$2:$KM$317),"")</f>
        <v>0.5</v>
      </c>
      <c r="PJ55" s="7">
        <f>IFERROR(AVERAGEIF('Данные 2st'!$Q$2:$Q$317,$A55,'Данные 2st'!$KN$2:$KN$317),"")</f>
        <v>1.45</v>
      </c>
      <c r="PK55" s="7">
        <f>IFERROR(AVERAGEIF('Данные 2st'!$Q$2:$Q$317,$A55,'Данные 2st'!$KO$2:$KO$317),"")</f>
        <v>0</v>
      </c>
      <c r="PL55" s="7">
        <f>IFERROR(AVERAGEIF('Данные 2st'!$Q$2:$Q$317,$A55,'Данные 2st'!$KP$2:$KP$317),"")</f>
        <v>0</v>
      </c>
      <c r="PM55" s="7">
        <f>IFERROR(AVERAGEIF('Данные 2st'!$Q$2:$Q$317,$A55,'Данные 2st'!$KQ$2:$KQ$317),"")</f>
        <v>0.85</v>
      </c>
      <c r="PN55" s="7">
        <f>IFERROR(AVERAGEIF('Данные 2st'!$Q$2:$Q$317,$A55,'Данные 2st'!$KR$2:$KR$317),"")</f>
        <v>0.75</v>
      </c>
      <c r="PO55" s="7">
        <f>IFERROR(AVERAGEIF('Данные 2st'!$Q$2:$Q$317,$A55,'Данные 2st'!$KS$2:$KS$317),"")</f>
        <v>0.1</v>
      </c>
      <c r="PP55" s="7">
        <f>IFERROR(AVERAGEIF('Данные 2st'!$Q$2:$Q$317,$A55,'Данные 2st'!$KT$2:$KT$317),"")</f>
        <v>1.8</v>
      </c>
      <c r="PQ55" s="7">
        <f>IFERROR(AVERAGEIF('Данные 2st'!$Q$2:$Q$317,$A55,'Данные 2st'!$KU$2:$KU$317),"")</f>
        <v>0</v>
      </c>
      <c r="PR55" s="7">
        <f>IFERROR(AVERAGEIF('Данные 2st'!$Q$2:$Q$317,$A55,'Данные 2st'!$KV$2:$KV$317),"")</f>
        <v>0</v>
      </c>
      <c r="PS55" s="7">
        <f>IFERROR(AVERAGEIF('Данные 2st'!$Q$2:$Q$317,$A55,'Данные 2st'!$KW$2:$KW$317),"")</f>
        <v>1.3</v>
      </c>
      <c r="PT55" s="7">
        <f>IFERROR(AVERAGEIF('Данные 2st'!$Q$2:$Q$317,$A55,'Данные 2st'!$KX$2:$KX$317),"")</f>
        <v>2</v>
      </c>
      <c r="PU55" s="7">
        <f>IFERROR(AVERAGEIF('Данные 2st'!$Q$2:$Q$317,$A55,'Данные 2st'!$KY$2:$KY$317),"")</f>
        <v>0.5</v>
      </c>
      <c r="PV55" s="7">
        <f>IFERROR(AVERAGEIF('Данные 2st'!$Q$2:$Q$317,$A55,'Данные 2st'!$KZ$2:$KZ$317),"")</f>
        <v>0</v>
      </c>
      <c r="PW55" s="7">
        <f>IFERROR(AVERAGEIF('Данные 2st'!$Q$2:$Q$317,$A55,'Данные 2st'!$LA$2:$LA$317),"")</f>
        <v>0</v>
      </c>
      <c r="PX55" s="7">
        <f>IFERROR(AVERAGEIF('Данные 2st'!$Q$2:$Q$317,$A55,'Данные 2st'!$LB$2:$LB$317),"")</f>
        <v>0</v>
      </c>
      <c r="PY55" s="7">
        <f>IFERROR(AVERAGEIF('Данные 2st'!$Q$2:$Q$317,$A55,'Данные 2st'!$LC$2:$LC$317),"")</f>
        <v>0</v>
      </c>
      <c r="PZ55" s="7">
        <f>IFERROR(AVERAGEIF('Данные 2st'!$Q$2:$Q$317,$A55,'Данные 2st'!$LD$2:$LD$317),"")</f>
        <v>0</v>
      </c>
      <c r="QA55" s="7">
        <f>IFERROR(AVERAGEIF('Данные 2st'!$Q$2:$Q$317,$A55,'Данные 2st'!$LE$2:$LE$317),"")</f>
        <v>0</v>
      </c>
      <c r="QB55" s="7">
        <f>IFERROR(AVERAGEIF('Данные 2st'!$Q$2:$Q$317,$A55,'Данные 2st'!$LF$2:$LF$317),"")</f>
        <v>0</v>
      </c>
      <c r="QC55" s="7">
        <f>IFERROR(AVERAGEIF('Данные 2st'!$Q$2:$Q$317,$A55,'Данные 2st'!$LG$2:$LG$317),"")</f>
        <v>0</v>
      </c>
      <c r="QD55" s="7">
        <f>IFERROR(AVERAGEIF('Данные 2st'!$Q$2:$Q$317,$A55,'Данные 2st'!$LH$2:$LH$317),"")</f>
        <v>3</v>
      </c>
      <c r="QE55" s="7">
        <f>IFERROR(AVERAGEIF('Данные 2st'!$Q$2:$Q$317,$A55,'Данные 2st'!$LJ$2:$LJ$317),"")</f>
        <v>0</v>
      </c>
      <c r="QF55" s="7">
        <f>IFERROR(AVERAGEIF('Данные 2st'!$Q$2:$Q$317,$A55,'Данные 2st'!$LK$2:$LK$317),"")</f>
        <v>4.75</v>
      </c>
      <c r="QG55" s="7">
        <f>IFERROR(AVERAGEIF('Данные 2st'!$Q$2:$Q$317,$A55,'Данные 2st'!$LL$2:$LL$317),"")</f>
        <v>5.25</v>
      </c>
      <c r="QH55" s="7">
        <f>IFERROR(AVERAGEIF('Данные 2st'!$Q$2:$Q$317,$A55,'Данные 2st'!$LM$2:$LM$317),"")</f>
        <v>7</v>
      </c>
      <c r="QI55" s="7">
        <f>IFERROR(AVERAGEIF('Данные 2st'!$Q$2:$Q$317,$A55,'Данные 2st'!$LN$2:$LN$317),"")</f>
        <v>0.25</v>
      </c>
      <c r="QJ55" s="7">
        <f>IFERROR(AVERAGEIF('Данные 2st'!$Q$2:$Q$317,$A55,'Данные 2st'!$LO$2:$LO$317),"")</f>
        <v>3.25</v>
      </c>
      <c r="QK55" s="7">
        <f>IFERROR(AVERAGEIF('Данные 2st'!$Q$2:$Q$317,$A55,'Данные 2st'!$LP$2:$LP$317),"")</f>
        <v>0</v>
      </c>
      <c r="QL55" s="7">
        <f>IFERROR(AVERAGEIF('Данные 2st'!$Q$2:$Q$317,$A55,'Данные 2st'!$LQ$2:$LQ$317),"")</f>
        <v>0</v>
      </c>
      <c r="QM55" s="7">
        <f>IFERROR(AVERAGEIF('Данные 2st'!$Q$2:$Q$317,$A55,'Данные 2st'!$LW$2:$LW$317),"")</f>
        <v>1.7000000000000002</v>
      </c>
      <c r="QN55" s="7">
        <f>IFERROR(AVERAGEIF('Данные 2st'!$Q$2:$Q$317,$A55,'Данные 2st'!$LX$2:$LX$317),"")</f>
        <v>1.7000000000000002</v>
      </c>
      <c r="QO55" s="7">
        <f>IFERROR(AVERAGEIF('Данные 2st'!$Q$2:$Q$317,$A55,'Данные 2st'!$LY$2:$LY$317),"")</f>
        <v>1.9500000000000002</v>
      </c>
      <c r="QP55" s="7">
        <f>IFERROR(AVERAGEIF('Данные 2st'!$Q$2:$Q$317,$A55,'Данные 2st'!$LZ$2:$LZ$317),"")</f>
        <v>1.9500000000000002</v>
      </c>
      <c r="QQ55" s="7">
        <f>IFERROR(AVERAGEIF('Данные 2st'!$Q$2:$Q$317,$A55,'Данные 2st'!$MB$2:$MB$317),"")</f>
        <v>4.75</v>
      </c>
      <c r="QR55" s="7">
        <f>IFERROR(AVERAGEIF('Данные 2st'!$Q$2:$Q$317,$A55,'Данные 2st'!$MG$2:$MG$317),"")</f>
        <v>0</v>
      </c>
      <c r="QS55" s="7">
        <f>IFERROR(AVERAGEIF('Данные 2st'!$Q$2:$Q$317,$A55,'Данные 2st'!$MH$2:$MH$317),"")</f>
        <v>0</v>
      </c>
      <c r="QT55" s="7">
        <f>IFERROR(AVERAGEIF('Данные 2st'!$Q$2:$Q$317,$A55,'Данные 2st'!$MI$2:$MI$317),"")</f>
        <v>0</v>
      </c>
      <c r="QU55" s="7">
        <f>IFERROR(AVERAGEIF('Данные 2st'!$Q$2:$Q$317,$A55,'Данные 2st'!$MJ$2:$MJ$317),"")</f>
        <v>0</v>
      </c>
      <c r="QV55" s="7">
        <f>IFERROR(AVERAGEIF('Данные 2st'!$Q$2:$Q$317,$A55,'Данные 2st'!$MK$2:$MK$317),"")</f>
        <v>0</v>
      </c>
      <c r="QW55" s="7">
        <f>IFERROR(AVERAGEIF('Данные 2st'!$Q$2:$Q$317,$A55,'Данные 2st'!$MM$2:$MM$317),"")</f>
        <v>374</v>
      </c>
      <c r="QX55" s="7">
        <f>IFERROR(AVERAGEIF('Данные 2st'!$Q$2:$Q$317,$A55,'Данные 2st'!$MQ$2:$MQ$317),"")</f>
        <v/>
      </c>
      <c r="QY55" s="7">
        <f>IFERROR(AVERAGEIF('Данные 2st'!$Q$2:$Q$317,$A55,'Данные 2st'!$MR$2:$MR$317),"")</f>
        <v/>
      </c>
      <c r="QZ55" s="7">
        <f>IFERROR(AVERAGEIF('Данные 2st'!$Q$2:$Q$317,$A55,'Данные 2st'!$MS$2:$MS$317),"")</f>
        <v/>
      </c>
      <c r="RA55" s="7">
        <f>IFERROR(AVERAGEIF('Данные 2st'!$Q$2:$Q$317,$A55,'Данные 2st'!$MT$2:$MT$317),"")</f>
        <v/>
      </c>
      <c r="RB55" s="7">
        <f>IFERROR(AVERAGEIF('Данные 2st'!$Q$2:$Q$317,$A55,'Данные 2st'!$MU$2:$MU$317),"")</f>
        <v/>
      </c>
      <c r="RC55" s="7">
        <f>IFERROR(AVERAGEIF('Данные 2st'!$Q$2:$Q$317,$A55,'Данные 2st'!$MV$2:$MV$317),"")</f>
        <v/>
      </c>
      <c r="RD55" s="7">
        <f>IFERROR(AVERAGEIF('Данные 2st'!$Q$2:$Q$317,$A55,'Данные 2st'!$MW$2:$MW$317),"")</f>
        <v/>
      </c>
      <c r="RE55" s="7">
        <f>IFERROR(AVERAGEIF('Данные 2st'!$Q$2:$Q$317,$A55,'Данные 2st'!$MX$2:$MX$317),"")</f>
        <v/>
      </c>
      <c r="RF55" s="7">
        <f>IFERROR(AVERAGEIF('Данные 2st'!$Q$2:$Q$317,$A55,'Данные 2st'!$MY$2:$MY$317),"")</f>
        <v/>
      </c>
      <c r="RG55" s="7">
        <f>IFERROR(AVERAGEIF('Данные 2st'!$Q$2:$Q$317,$A55,'Данные 2st'!$MZ$2:$MZ$317),"")</f>
        <v/>
      </c>
      <c r="RH55" s="7">
        <f>IFERROR(AVERAGEIF('Данные 2st'!$Q$2:$Q$317,$A55,'Данные 2st'!$NA$2:$NA$317),"")</f>
        <v/>
      </c>
      <c r="RI55" s="7">
        <f>IFERROR(AVERAGEIF('Данные 2st'!$Q$2:$Q$317,$A55,'Данные 2st'!$NB$2:$NB$317),"")</f>
        <v/>
      </c>
      <c r="RJ55" s="7">
        <f>IFERROR(AVERAGEIF('Данные 2st'!$Q$2:$Q$317,$A55,'Данные 2st'!$NC$2:$NC$317),"")</f>
        <v/>
      </c>
      <c r="RK55" s="7">
        <f>IFERROR(AVERAGEIF('Данные 2st'!$Q$2:$Q$317,$A55,'Данные 2st'!$ND$2:$ND$317),"")</f>
        <v/>
      </c>
      <c r="RL55" s="7">
        <f>IFERROR(AVERAGEIF('Данные 2st'!$Q$2:$Q$317,$A55,'Данные 2st'!$NE$2:$NE$317),"")</f>
        <v/>
      </c>
      <c r="RM55" s="7">
        <f>IFERROR(AVERAGEIF('Данные 2st'!$Q$2:$Q$317,$A55,'Данные 2st'!$NF$2:$NF$317),"")</f>
        <v/>
      </c>
      <c r="RN55" s="7">
        <f>IFERROR(AVERAGEIF('Данные 2st'!$Q$2:$Q$317,$A55,'Данные 2st'!$NG$2:$NG$317),"")</f>
        <v/>
      </c>
      <c r="RO55" s="7">
        <f>IFERROR(AVERAGEIF('Данные 2st'!$Q$2:$Q$317,$A55,'Данные 2st'!$NH$2:$NH$317),"")</f>
        <v/>
      </c>
      <c r="RP55" s="7">
        <f>IFERROR(AVERAGEIF('Данные 2st'!$Q$2:$Q$317,$A55,'Данные 2st'!$NJ$2:$NJ$317),"")</f>
        <v/>
      </c>
      <c r="RQ55" s="7">
        <f>IFERROR(AVERAGEIF('Данные 2st'!$Q$2:$Q$317,$A55,'Данные 2st'!$NK$2:$NK$317),"")</f>
        <v/>
      </c>
      <c r="RR55" s="7">
        <f>IFERROR(AVERAGEIF('Данные 2st'!$Q$2:$Q$317,$A55,'Данные 2st'!$NM$2:$NM$317),"")</f>
        <v/>
      </c>
      <c r="RS55" s="7">
        <f>IFERROR(AVERAGEIF('Данные 2st'!$Q$2:$Q$317,$A55,'Данные 2st'!$NN$2:$NN$317),"")</f>
        <v/>
      </c>
      <c r="RT55" s="7">
        <f>IFERROR(AVERAGEIF('Данные 2st'!$Q$2:$Q$317,$A55,'Данные 2st'!$NO$2:$NO$317),"")</f>
        <v/>
      </c>
      <c r="RU55" s="7">
        <f>IFERROR(AVERAGEIF('Данные 2st'!$Q$2:$Q$317,$A55,'Данные 2st'!$NP$2:$NP$317),"")</f>
        <v/>
      </c>
      <c r="RV55" s="7">
        <f>IFERROR(AVERAGEIF('Данные 2st'!$Q$2:$Q$317,$A55,'Данные 2st'!$NQ$2:$NQ$317),"")</f>
        <v/>
      </c>
      <c r="RW55" s="7">
        <f>IFERROR(AVERAGEIF('Данные 2st'!$Q$2:$Q$317,$A55,'Данные 2st'!$NR$2:$NR$317),"")</f>
        <v/>
      </c>
      <c r="RX55" s="7">
        <f>IFERROR(AVERAGEIF('Данные 2st'!$Q$2:$Q$317,$A55,'Данные 2st'!$NS$2:$NS$317),"")</f>
        <v/>
      </c>
      <c r="RY55" s="7">
        <f>IFERROR(AVERAGEIF('Данные 2st'!$Q$2:$Q$317,$A55,'Данные 2st'!$NT$2:$NT$317),"")</f>
        <v/>
      </c>
      <c r="RZ55" s="7">
        <f>IFERROR(AVERAGEIF('Данные 2st'!$Q$2:$Q$317,$A55,'Данные 2st'!$OK$2:$OK$317),"")</f>
        <v>61</v>
      </c>
      <c r="SA55" s="7">
        <f>IFERROR(AVERAGEIF('Данные 2st'!$Q$2:$Q$317,$A55,'Данные 2st'!$OL$2:$OL$317),"")</f>
        <v>61</v>
      </c>
      <c r="SB55" s="7">
        <f>IFERROR(AVERAGEIF('Данные 2st'!$Q$2:$Q$317,$A55,'Данные 2st'!$ON$2:$ON$317),"")</f>
        <v>1</v>
      </c>
      <c r="SC55" s="7">
        <f>IFERROR(AVERAGEIF('Данные 2st'!$Q$2:$Q$317,$A55,'Данные 2st'!$OO$2:$OO$317),"")</f>
        <v>1898.5</v>
      </c>
      <c r="SD55" s="7">
        <f>IFERROR(AVERAGEIF('Данные 2st'!$Q$2:$Q$317,$A55,'Данные 2st'!$OP$2:$OP$317),"")</f>
        <v>61</v>
      </c>
      <c r="SE55" s="7">
        <f>IFERROR(AVERAGEIF('Данные 2st'!$Q$2:$Q$317,$A55,'Данные 2st'!$OQ$2:$OQ$317),"")</f>
        <v>61</v>
      </c>
      <c r="SF55" s="7">
        <f>IFERROR(AVERAGEIF('Данные 2st'!$Q$2:$Q$317,$A55,'Данные 2st'!$OS$2:$OS$317),"")</f>
        <v>1</v>
      </c>
      <c r="SG55" s="7">
        <f>IFERROR(AVERAGEIF('Данные 2st'!$Q$2:$Q$317,$A55,'Данные 2st'!$OT$2:$OT$317),"")</f>
        <v>1910.5</v>
      </c>
      <c r="SH55" s="7">
        <f>IFERROR(AVERAGEIF('Данные 2st'!$Q$2:$Q$317,$A55,'Данные 2st'!$OU$2:$OU$317),"")</f>
        <v>65</v>
      </c>
      <c r="SI55" s="7">
        <f>IFERROR(AVERAGEIF('Данные 2st'!$Q$2:$Q$317,$A55,'Данные 2st'!$OV$2:$OV$317),"")</f>
        <v>65</v>
      </c>
      <c r="SJ55" s="7">
        <f>IFERROR(AVERAGEIF('Данные 2st'!$Q$2:$Q$317,$A55,'Данные 2st'!$OX$2:$OX$317),"")</f>
        <v>1.5</v>
      </c>
      <c r="SK55" s="7">
        <f>IFERROR(AVERAGEIF('Данные 2st'!$Q$2:$Q$317,$A55,'Данные 2st'!$OY$2:$OY$317),"")</f>
        <v>44634.5</v>
      </c>
      <c r="SL55" s="7">
        <f>IFERROR(AVERAGEIF('Данные 2st'!$Q$2:$Q$317,$A55,'Данные 2st'!$OZ$2:$OZ$317),"")</f>
        <v>51</v>
      </c>
      <c r="SM55" s="7">
        <f>IFERROR(AVERAGEIF('Данные 2st'!$Q$2:$Q$317,$A55,'Данные 2st'!$PA$2:$PA$317),"")</f>
        <v>52</v>
      </c>
      <c r="SN55" s="7">
        <f>IFERROR(AVERAGEIF('Данные 2st'!$Q$2:$Q$317,$A55,'Данные 2st'!$PC$2:$PC$317),"")</f>
        <v>1</v>
      </c>
      <c r="SO55" s="7">
        <f>IFERROR(AVERAGEIF('Данные 2st'!$Q$2:$Q$317,$A55,'Данные 2st'!$PD$2:$PD$317),"")</f>
        <v>1943</v>
      </c>
      <c r="SP55" s="7">
        <f>IFERROR(AVERAGEIF('Данные 2st'!$Q$2:$Q$317,$A55,'Данные 2st'!$PF$2:$PF$317),"")</f>
        <v>485</v>
      </c>
      <c r="SQ55" s="7">
        <f>IFERROR(AVERAGEIF('Данные 2st'!$Q$2:$Q$317,$A55,'Данные 2st'!$PG$2:$PG$317),"")</f>
        <v>35</v>
      </c>
      <c r="SR55" s="7">
        <f>IFERROR(AVERAGEIF('Данные 2st'!$Q$2:$Q$317,$A55,'Данные 2st'!$PH$2:$PH$317),"")</f>
        <v>462.5</v>
      </c>
      <c r="SS55" s="7">
        <f>IFERROR(AVERAGEIF('Данные 2st'!$Q$2:$Q$317,$A55,'Данные 2st'!$PI$2:$PI$317),"")</f>
        <v>0</v>
      </c>
      <c r="ST55" s="7">
        <f>IFERROR(AVERAGEIF('Данные 2st'!$Q$2:$Q$317,$A55,'Данные 2st'!$PJ$2:$PJ$317),"")</f>
        <v>69.15</v>
      </c>
      <c r="SU55" s="7">
        <f>IFERROR(AVERAGEIF('Данные 2st'!$Q$2:$Q$317,$A55,'Данные 2st'!$PK$2:$PK$317),"")</f>
        <v/>
      </c>
      <c r="SV55" s="7">
        <f>IFERROR(AVERAGEIF('Данные 2st'!$Q$2:$Q$317,$A55,'Данные 2st'!$PL$2:$PL$317),"")</f>
        <v>1206.5</v>
      </c>
      <c r="SW55" s="7">
        <f>IFERROR(AVERAGEIF('Данные 2st'!$Q$2:$Q$317,$A55,'Данные 2st'!$PM$2:$PM$317),"")</f>
        <v>752.9499999999999</v>
      </c>
      <c r="SX55" s="7">
        <f>IFERROR(AVERAGEIF('Данные 2st'!$Q$2:$Q$317,$A55,'Данные 2st'!$PN$2:$PN$317),"")</f>
        <v>105.45</v>
      </c>
      <c r="SY55" s="7">
        <f>IFERROR(AVERAGEIF('Данные 2st'!$Q$2:$Q$317,$A55,'Данные 2st'!$PO$2:$PO$317),"")</f>
        <v>9.45</v>
      </c>
      <c r="SZ55" s="7">
        <f>IFERROR(AVERAGEIF('Данные 2st'!$Q$2:$Q$317,$A55,'Данные 2st'!$PP$2:$PP$317),"")</f>
        <v>12</v>
      </c>
      <c r="TA55" s="7">
        <f>IFERROR(AVERAGEIF('Данные 2st'!$Q$2:$Q$317,$A55,'Данные 2st'!$PQ$2:$PQ$317),"")</f>
        <v>1</v>
      </c>
      <c r="TB55" s="7">
        <f>IFERROR(AVERAGEIF('Данные 2st'!$Q$2:$Q$317,$A55,'Данные 2st'!$PR$2:$PR$317),"")</f>
        <v>1</v>
      </c>
      <c r="TC55" s="7">
        <f>IFERROR(AVERAGEIF('Данные 2st'!$Q$2:$Q$317,$A55,'Данные 2st'!$PS$2:$PS$317),"")</f>
        <v>7</v>
      </c>
      <c r="TD55" s="7">
        <f>IFERROR(AVERAGEIF('Данные 2st'!$Q$2:$Q$317,$A55,'Данные 2st'!$PT$2:$PT$317),"")</f>
        <v>253</v>
      </c>
      <c r="TE55" s="7">
        <f>IFERROR(AVERAGEIF('Данные 2st'!$Q$2:$Q$317,$A55,'Данные 2st'!$PU$2:$PU$317),"")</f>
        <v>10</v>
      </c>
      <c r="TF55" s="7">
        <f>IFERROR(AVERAGEIF('Данные 2st'!$Q$2:$Q$317,$A55,'Данные 2st'!$PX$2:$PX$317),"")</f>
        <v>0</v>
      </c>
      <c r="TG55" s="7">
        <f>IFERROR(AVERAGEIF('Данные 2st'!$Q$2:$Q$317,$A55,'Данные 2st'!$PY$2:$PY$317),"")</f>
        <v>0</v>
      </c>
      <c r="TH55" s="7">
        <f>IFERROR(AVERAGEIF('Данные 2st'!$Q$2:$Q$317,$A55,'Данные 2st'!$PZ$2:$PZ$317),"")</f>
        <v>0</v>
      </c>
      <c r="TI55" s="7">
        <f>IFERROR(AVERAGEIF('Данные 2st'!$Q$2:$Q$317,$A55,'Данные 2st'!$QA$2:$QA$317),"")</f>
        <v>0</v>
      </c>
      <c r="TJ55" s="7">
        <f>IFERROR(AVERAGEIF('Данные 2st'!$Q$2:$Q$317,$A55,'Данные 2st'!$QB$2:$QB$317),"")</f>
        <v>0</v>
      </c>
      <c r="TK55" s="7">
        <f>IFERROR(AVERAGEIF('Данные 2st'!$Q$2:$Q$317,$A55,'Данные 2st'!$QC$2:$QC$317),"")</f>
        <v>0</v>
      </c>
      <c r="TL55" s="7">
        <f>IFERROR(AVERAGEIF('Данные 2st'!$Q$2:$Q$317,$A55,'Данные 2st'!$QD$2:$QD$317),"")</f>
        <v>0</v>
      </c>
      <c r="TM55" s="7">
        <f>IFERROR(AVERAGEIF('Данные 2st'!$Q$2:$Q$317,$A55,'Данные 2st'!$QE$2:$QE$317),"")</f>
        <v>-1</v>
      </c>
      <c r="TN55" s="7">
        <f>IFERROR(AVERAGEIF('Данные 2st'!$Q$2:$Q$317,$A55,'Данные 2st'!$QF$2:$QF$317),"")</f>
        <v>1</v>
      </c>
      <c r="TO55" s="7">
        <f>IFERROR(AVERAGEIF('Данные 2st'!$Q$2:$Q$317,$A55,'Данные 2st'!$QG$2:$QG$317),"")</f>
        <v>0</v>
      </c>
      <c r="TP55" s="7">
        <f>IFERROR(AVERAGEIF('Данные 2st'!$Q$2:$Q$317,$A55,'Данные 2st'!$QH$2:$QH$317),"")</f>
        <v>5</v>
      </c>
      <c r="TQ55" s="7">
        <f>IFERROR(AVERAGEIF('Данные 2st'!$Q$2:$Q$317,$A55,'Данные 2st'!$QI$2:$QI$317),"")</f>
        <v>5</v>
      </c>
      <c r="TR55" s="7">
        <f>IFERROR(AVERAGEIF('Данные 2st'!$Q$2:$Q$317,$A55,'Данные 2st'!$QJ$2:$QJ$317),"")</f>
        <v>5</v>
      </c>
      <c r="TS55" s="7">
        <f>IFERROR(AVERAGEIF('Данные 2st'!$Q$2:$Q$317,$A55,'Данные 2st'!$QK$2:$QK$317),"")</f>
        <v>170.5</v>
      </c>
      <c r="TT55" s="7">
        <f>IFERROR(AVERAGEIF('Данные 2st'!$Q$2:$Q$317,$A55,'Данные 2st'!$QL$2:$QL$317),"")</f>
        <v>386</v>
      </c>
      <c r="TU55" s="7">
        <f>IFERROR(AVERAGEIF('Данные 2st'!$Q$2:$Q$317,$A55,'Данные 2st'!$QM$2:$QM$317),"")</f>
        <v>7.5</v>
      </c>
      <c r="TV55" s="7">
        <f>IFERROR(AVERAGEIF('Данные 2st'!$Q$2:$Q$317,$A55,'Данные 2st'!$QN$2:$QN$317),"")</f>
        <v>1461.1</v>
      </c>
      <c r="TW55" s="7">
        <f>IFERROR(AVERAGEIF('Данные 2st'!$Q$2:$Q$317,$A55,'Данные 2st'!$QQ$2:$QQ$317),"")</f>
        <v>0</v>
      </c>
      <c r="TX55" s="7">
        <f>IFERROR(AVERAGEIF('Данные 2st'!$Q$2:$Q$317,$A55,'Данные 2st'!$QS$2:$QS$317),"")</f>
        <v>30</v>
      </c>
      <c r="TY55" s="7">
        <f>IFERROR(AVERAGEIF('Данные 2st'!$Q$2:$Q$317,$A55,'Данные 2st'!$QT$2:$QT$317),"")</f>
        <v>40</v>
      </c>
    </row>
    <row r="56" spans="1:545" ht="32" customHeight="1">
      <c r="A56" s="11" t="s">
        <v>2980</v>
      </c>
      <c r="B56">
        <f>COUNTIF('Данные 1st'!$S$2:$S$317,$A56)</f>
        <v>1</v>
      </c>
      <c r="C56" s="6" t="s">
        <v>2657</v>
      </c>
      <c r="D56" s="6" t="s">
        <v>513</v>
      </c>
      <c r="E56" s="6" t="s">
        <v>517</v>
      </c>
      <c r="F56" s="6" t="s">
        <v>2978</v>
      </c>
      <c r="G56" s="7">
        <f>IFERROR(AVERAGEIF('Данные 1st'!$S$2:$S$317,$A56,'Данные 1st'!$AE$2:$AE$317),"")</f>
        <v>189</v>
      </c>
      <c r="H56" s="7">
        <f>IFERROR(AVERAGEIF('Данные 1st'!$S$2:$S$317,$A56,'Данные 1st'!$AF$2:$AF$317),"")</f>
        <v>1.5</v>
      </c>
      <c r="I56" s="7">
        <f>IFERROR(AVERAGEIF('Данные 1st'!$S$2:$S$317,$A56,'Данные 1st'!$AJ$2:$AJ$317),"")</f>
        <v>172.5</v>
      </c>
      <c r="J56" s="7">
        <f>IFERROR(AVERAGEIF('Данные 1st'!$S$2:$S$317,$A56,'Данные 1st'!$AL$2:$AL$317),"")</f>
        <v>1.5</v>
      </c>
      <c r="K56" s="7">
        <f>IFERROR(AVERAGEIF('Данные 1st'!$S$2:$S$317,$A56,'Данные 1st'!$AR$2:$AR$317),"")</f>
        <v>211</v>
      </c>
      <c r="L56" s="7">
        <f>IFERROR(AVERAGEIF('Данные 1st'!$S$2:$S$317,$A56,'Данные 1st'!$AS$2:$AS$317),"")</f>
        <v>1.5</v>
      </c>
      <c r="M56" s="7">
        <f>IFERROR(AVERAGEIF('Данные 1st'!$S$2:$S$317,$A56,'Данные 1st'!$AY$2:$AY$317),"")</f>
        <v>240</v>
      </c>
      <c r="N56" s="7">
        <f>IFERROR(AVERAGEIF('Данные 1st'!$S$2:$S$317,$A56,'Данные 1st'!$AZ$2:$AZ$317),"")</f>
        <v>1.5</v>
      </c>
      <c r="O56" s="7">
        <f>IFERROR(AVERAGEIF('Данные 1st'!$S$2:$S$317,$A56,'Данные 1st'!$BF$2:$BF$317),"")</f>
        <v/>
      </c>
      <c r="P56" s="7">
        <f>IFERROR(AVERAGEIF('Данные 1st'!$S$2:$S$317,$A56,'Данные 1st'!$BG$2:$BG$317),"")</f>
        <v>1.5</v>
      </c>
      <c r="Q56" s="7">
        <f>IFERROR(AVERAGEIF('Данные 1st'!$S$2:$S$317,$A56,'Данные 1st'!$BM$2:$BM$317),"")</f>
        <v/>
      </c>
      <c r="R56" s="7">
        <f>IFERROR(AVERAGEIF('Данные 1st'!$S$2:$S$317,$A56,'Данные 1st'!$BN$2:$BN$317),"")</f>
        <v>1.5</v>
      </c>
      <c r="S56" s="7">
        <f>IFERROR(AVERAGEIF('Данные 1st'!$S$2:$S$317,$A56,'Данные 1st'!$BT$2:$BT$317),"")</f>
        <v>188</v>
      </c>
      <c r="T56" s="7">
        <f>IFERROR(AVERAGEIF('Данные 1st'!$S$2:$S$317,$A56,'Данные 1st'!$BU$2:$BU$317),"")</f>
        <v>0.5</v>
      </c>
      <c r="U56" s="7">
        <f>IFERROR(AVERAGEIF('Данные 1st'!$S$2:$S$317,$A56,'Данные 1st'!$BW$2:$BW$317),"")</f>
        <v>376</v>
      </c>
      <c r="V56" s="7">
        <f>IFERROR(AVERAGEIF('Данные 1st'!$S$2:$S$317,$A56,'Данные 1st'!$BX$2:$BX$317),"")</f>
        <v>1</v>
      </c>
      <c r="W56" s="7">
        <f>IFERROR(AVERAGEIF('Данные 1st'!$S$2:$S$317,$A56,'Данные 1st'!$BZ$2:$BZ$317),"")</f>
        <v>300</v>
      </c>
      <c r="X56" s="7">
        <f>IFERROR(AVERAGEIF('Данные 1st'!$S$2:$S$317,$A56,'Данные 1st'!$CA$2:$CA$317),"")</f>
        <v>460</v>
      </c>
      <c r="Y56" s="7">
        <f>IFERROR(AVERAGEIF('Данные 1st'!$S$2:$S$317,$A56,'Данные 1st'!$CD$2:$CD$317),"")</f>
        <v>392</v>
      </c>
      <c r="Z56" s="7">
        <f>IFERROR(AVERAGEIF('Данные 1st'!$S$2:$S$317,$A56,'Данные 1st'!$CF$2:$CF$317),"")</f>
        <v>15</v>
      </c>
      <c r="AA56" s="7">
        <f>IFERROR(AVERAGEIF('Данные 1st'!$S$2:$S$317,$A56,'Данные 1st'!$CI$2:$CI$317),"")</f>
        <v>80</v>
      </c>
      <c r="AB56" s="7">
        <f>IFERROR(AVERAGEIF('Данные 1st'!$S$2:$S$317,$A56,'Данные 1st'!$CJ$2:$CJ$317),"")</f>
        <v>1458</v>
      </c>
      <c r="AC56" s="7">
        <f>IFERROR(AVERAGEIF('Данные 1st'!$S$2:$S$317,$A56,'Данные 1st'!$CK$2:$CK$317),"")</f>
        <v>2</v>
      </c>
      <c r="AD56" s="7">
        <f>IFERROR(AVERAGEIF('Данные 1st'!$S$2:$S$317,$A56,'Данные 1st'!$CL$2:$CL$317),"")</f>
        <v>1552</v>
      </c>
      <c r="AE56" s="7">
        <f>IFERROR(AVERAGEIF('Данные 1st'!$S$2:$S$317,$A56,'Данные 1st'!$CM$2:$CM$317),"")</f>
        <v>2</v>
      </c>
      <c r="AF56" s="7">
        <f>IFERROR(AVERAGEIF('Данные 1st'!$S$2:$S$317,$A56,'Данные 1st'!$CT$2:$CT$317),"")</f>
        <v>345</v>
      </c>
      <c r="AG56" s="7">
        <f>IFERROR(AVERAGEIF('Данные 1st'!$S$2:$S$317,$A56,'Данные 1st'!$CU$2:$CU$317),"")</f>
        <v>5</v>
      </c>
      <c r="AH56" s="7">
        <f>IFERROR(AVERAGEIF('Данные 1st'!$S$2:$S$317,$A56,'Данные 1st'!$CV$2:$CV$317),"")</f>
        <v>1.2</v>
      </c>
      <c r="AI56" s="7">
        <f>IFERROR(AVERAGEIF('Данные 1st'!$S$2:$S$317,$A56,'Данные 1st'!$CW$2:$CW$317),"")</f>
        <v>1475</v>
      </c>
      <c r="AJ56" s="7">
        <f>IFERROR(AVERAGEIF('Данные 1st'!$S$2:$S$317,$A56,'Данные 1st'!$CX$2:$CX$317),"")</f>
        <v>720</v>
      </c>
      <c r="AK56" s="7">
        <f>IFERROR(AVERAGEIF('Данные 1st'!$S$2:$S$317,$A56,'Данные 1st'!$CZ$2:$CZ$317),"")</f>
        <v>50</v>
      </c>
      <c r="AL56" s="7">
        <f>IFERROR(AVERAGEIF('Данные 1st'!$S$2:$S$317,$A56,'Данные 1st'!$DA$2:$DA$317),"")</f>
        <v>3</v>
      </c>
      <c r="AM56" s="7">
        <f>IFERROR(AVERAGEIF('Данные 1st'!$S$2:$S$317,$A56,'Данные 1st'!$DB$2:$DB$317),"")</f>
        <v>1</v>
      </c>
      <c r="AN56" s="7">
        <f>IFERROR(AVERAGEIF('Данные 1st'!$S$2:$S$317,$A56,'Данные 1st'!$DC$2:$DC$317),"")</f>
        <v>1475</v>
      </c>
      <c r="AO56" s="7">
        <f>IFERROR(AVERAGEIF('Данные 1st'!$S$2:$S$317,$A56,'Данные 1st'!$DD$2:$DD$317),"")</f>
        <v>77</v>
      </c>
      <c r="AP56" s="7">
        <f>IFERROR(AVERAGEIF('Данные 1st'!$S$2:$S$317,$A56,'Данные 1st'!$DF$2:$DF$317),"")</f>
        <v>480</v>
      </c>
      <c r="AQ56" s="7">
        <f>IFERROR(AVERAGEIF('Данные 1st'!$S$2:$S$317,$A56,'Данные 1st'!$DG$2:$DG$317),"")</f>
        <v>3</v>
      </c>
      <c r="AR56" s="7">
        <f>IFERROR(AVERAGEIF('Данные 1st'!$S$2:$S$317,$A56,'Данные 1st'!$DH$2:$DH$317),"")</f>
        <v>1.18</v>
      </c>
      <c r="AS56" s="7">
        <f>IFERROR(AVERAGEIF('Данные 1st'!$S$2:$S$317,$A56,'Данные 1st'!$DI$2:$DI$317),"")</f>
        <v>1468</v>
      </c>
      <c r="AT56" s="7">
        <f>IFERROR(AVERAGEIF('Данные 1st'!$S$2:$S$317,$A56,'Данные 1st'!$DJ$2:$DJ$317),"")</f>
        <v>1236</v>
      </c>
      <c r="AU56" s="7">
        <f>IFERROR(AVERAGEIF('Данные 1st'!$S$2:$S$317,$A56,'Данные 1st'!$DL$2:$DL$317),"")</f>
        <v/>
      </c>
      <c r="AV56" s="7">
        <f>IFERROR(AVERAGEIF('Данные 1st'!$S$2:$S$317,$A56,'Данные 1st'!$DM$2:$DM$317),"")</f>
        <v/>
      </c>
      <c r="AW56" s="7">
        <f>IFERROR(AVERAGEIF('Данные 1st'!$S$2:$S$317,$A56,'Данные 1st'!$DN$2:$DN$317),"")</f>
        <v/>
      </c>
      <c r="AX56" s="7">
        <f>IFERROR(AVERAGEIF('Данные 1st'!$S$2:$S$317,$A56,'Данные 1st'!$DO$2:$DO$317),"")</f>
        <v/>
      </c>
      <c r="AY56" s="7">
        <f>IFERROR(AVERAGEIF('Данные 1st'!$S$2:$S$317,$A56,'Данные 1st'!$DP$2:$DP$317),"")</f>
        <v/>
      </c>
      <c r="AZ56" s="7">
        <f>IFERROR(AVERAGEIF('Данные 1st'!$S$2:$S$317,$A56,'Данные 1st'!$DR$2:$DR$317),"")</f>
        <v/>
      </c>
      <c r="BA56" s="7">
        <f>IFERROR(AVERAGEIF('Данные 1st'!$S$2:$S$317,$A56,'Данные 1st'!$DS$2:$DS$317),"")</f>
        <v/>
      </c>
      <c r="BB56" s="7">
        <f>IFERROR(AVERAGEIF('Данные 1st'!$S$2:$S$317,$A56,'Данные 1st'!$DT$2:$DT$317),"")</f>
        <v/>
      </c>
      <c r="BC56" s="7">
        <f>IFERROR(AVERAGEIF('Данные 1st'!$S$2:$S$317,$A56,'Данные 1st'!$DU$2:$DU$317),"")</f>
        <v/>
      </c>
      <c r="BD56" s="7">
        <f>IFERROR(AVERAGEIF('Данные 1st'!$S$2:$S$317,$A56,'Данные 1st'!$DV$2:$DV$317),"")</f>
        <v/>
      </c>
      <c r="BE56" s="7">
        <f>IFERROR(AVERAGEIF('Данные 1st'!$S$2:$S$317,$A56,'Данные 1st'!$DX$2:$DX$317),"")</f>
        <v>7.5</v>
      </c>
      <c r="BF56" s="7">
        <f>IFERROR(AVERAGEIF('Данные 1st'!$S$2:$S$317,$A56,'Данные 1st'!$EA$2:$EA$317),"")</f>
        <v>1540.9</v>
      </c>
      <c r="BG56" s="7">
        <f>IFERROR(AVERAGEIF('Данные 1st'!$S$2:$S$317,$A56,'Данные 1st'!$EB$2:$EB$317),"")</f>
        <v>272</v>
      </c>
      <c r="BH56" s="7">
        <f>IFERROR(AVERAGEIF('Данные 1st'!$S$2:$S$317,$A56,'Данные 1st'!$ED$2:$ED$317),"")</f>
        <v>25</v>
      </c>
      <c r="BI56" s="7">
        <f>IFERROR(AVERAGEIF('Данные 1st'!$S$2:$S$317,$A56,'Данные 1st'!$EE$2:$EE$317),"")</f>
        <v>3</v>
      </c>
      <c r="BJ56" s="7">
        <f>IFERROR(AVERAGEIF('Данные 1st'!$S$2:$S$317,$A56,'Данные 1st'!$EG$2:$EG$317),"")</f>
        <v>1582</v>
      </c>
      <c r="BK56" s="7">
        <f>IFERROR(AVERAGEIF('Данные 1st'!$S$2:$S$317,$A56,'Данные 1st'!$EH$2:$EH$317),"")</f>
        <v>150</v>
      </c>
      <c r="BL56" s="7">
        <f>IFERROR(AVERAGEIF('Данные 1st'!$S$2:$S$317,$A56,'Данные 1st'!$EJ$2:$EJ$317),"")</f>
        <v>0</v>
      </c>
      <c r="BM56" s="7">
        <f>IFERROR(AVERAGEIF('Данные 1st'!$S$2:$S$317,$A56,'Данные 1st'!$EK$2:$EK$317),"")</f>
        <v>1</v>
      </c>
      <c r="BN56" s="7">
        <f>IFERROR(AVERAGEIF('Данные 1st'!$S$2:$S$317,$A56,'Данные 1st'!$EN$2:$EN$317),"")</f>
        <v>0</v>
      </c>
      <c r="BO56" s="7">
        <f>IFERROR(AVERAGEIF('Данные 1st'!$S$2:$S$317,$A56,'Данные 1st'!$EQ$2:$EQ$317),"")</f>
        <v>70</v>
      </c>
      <c r="BP56" s="7">
        <f>IFERROR(AVERAGEIF('Данные 1st'!$S$2:$S$317,$A56,'Данные 1st'!$ER$2:$ER$317),"")</f>
        <v>3</v>
      </c>
      <c r="BQ56" s="7">
        <f>IFERROR(AVERAGEIF('Данные 1st'!$S$2:$S$317,$A56,'Данные 1st'!$ES$2:$ES$317),"")</f>
        <v>4.3</v>
      </c>
      <c r="BR56" s="7">
        <f>IFERROR(AVERAGEIF('Данные 1st'!$S$2:$S$317,$A56,'Данные 1st'!$ET$2:$ET$317),"")</f>
        <v>1447</v>
      </c>
      <c r="BS56" s="7">
        <f>IFERROR(AVERAGEIF('Данные 1st'!$S$2:$S$317,$A56,'Данные 1st'!$EU$2:$EU$317),"")</f>
        <v>257.4</v>
      </c>
      <c r="BT56" s="7">
        <f>IFERROR(AVERAGEIF('Данные 1st'!$S$2:$S$317,$A56,'Данные 1st'!$EV$2:$EV$317),"")</f>
        <v>372</v>
      </c>
      <c r="BU56" s="7">
        <f>IFERROR(AVERAGEIF('Данные 1st'!$S$2:$S$317,$A56,'Данные 1st'!$EX$2:$EX$317),"")</f>
        <v>45</v>
      </c>
      <c r="BV56" s="7">
        <f>IFERROR(AVERAGEIF('Данные 1st'!$S$2:$S$317,$A56,'Данные 1st'!$EY$2:$EY$317),"")</f>
        <v>2</v>
      </c>
      <c r="BW56" s="7">
        <f>IFERROR(AVERAGEIF('Данные 1st'!$S$2:$S$317,$A56,'Данные 1st'!$EZ$2:$EZ$317),"")</f>
        <v>4.3</v>
      </c>
      <c r="BX56" s="7">
        <f>IFERROR(AVERAGEIF('Данные 1st'!$S$2:$S$317,$A56,'Данные 1st'!$FA$2:$FA$317),"")</f>
        <v>1447</v>
      </c>
      <c r="BY56" s="7">
        <f>IFERROR(AVERAGEIF('Данные 1st'!$S$2:$S$317,$A56,'Данные 1st'!$FB$2:$FB$317),"")</f>
        <v>140.3</v>
      </c>
      <c r="BZ56" s="7">
        <f>IFERROR(AVERAGEIF('Данные 1st'!$S$2:$S$317,$A56,'Данные 1st'!$FC$2:$FC$317),"")</f>
        <v>203</v>
      </c>
      <c r="CA56" s="7">
        <f>IFERROR(AVERAGEIF('Данные 1st'!$S$2:$S$317,$A56,'Данные 1st'!$FE$2:$FE$317),"")</f>
        <v>0</v>
      </c>
      <c r="CB56" s="7">
        <f>IFERROR(AVERAGEIF('Данные 1st'!$S$2:$S$317,$A56,'Данные 1st'!$FF$2:$FF$317),"")</f>
        <v>2</v>
      </c>
      <c r="CC56" s="7">
        <f>IFERROR(AVERAGEIF('Данные 1st'!$S$2:$S$317,$A56,'Данные 1st'!$FI$2:$FI$317),"")</f>
        <v>0</v>
      </c>
      <c r="CD56" s="7">
        <f>IFERROR(AVERAGEIF('Данные 1st'!$S$2:$S$317,$A56,'Данные 1st'!$FL$2:$FL$317),"")</f>
        <v>0.4</v>
      </c>
      <c r="CE56" s="7">
        <f>IFERROR(AVERAGEIF('Данные 1st'!$S$2:$S$317,$A56,'Данные 1st'!$FM$2:$FM$317),"")</f>
        <v>60</v>
      </c>
      <c r="CF56" s="7">
        <f>IFERROR(AVERAGEIF('Данные 1st'!$S$2:$S$317,$A56,'Данные 1st'!$FN$2:$FN$317),"")</f>
        <v>310</v>
      </c>
      <c r="CG56" s="7">
        <f>IFERROR(AVERAGEIF('Данные 1st'!$S$2:$S$317,$A56,'Данные 1st'!$FO$2:$FO$317),"")</f>
        <v>50</v>
      </c>
      <c r="CH56" s="7">
        <f>IFERROR(AVERAGEIF('Данные 1st'!$S$2:$S$317,$A56,'Данные 1st'!$FP$2:$FP$317),"")</f>
        <v>160</v>
      </c>
      <c r="CI56" s="7">
        <f>IFERROR(AVERAGEIF('Данные 1st'!$S$2:$S$317,$A56,'Данные 1st'!$FS$2:$FS$317),"")</f>
        <v>0.4</v>
      </c>
      <c r="CJ56" s="7">
        <f>IFERROR(AVERAGEIF('Данные 1st'!$S$2:$S$317,$A56,'Данные 1st'!$FT$2:$FT$317),"")</f>
        <v>30</v>
      </c>
      <c r="CK56" s="7">
        <f>IFERROR(AVERAGEIF('Данные 1st'!$S$2:$S$317,$A56,'Данные 1st'!$FU$2:$FU$317),"")</f>
        <v>340</v>
      </c>
      <c r="CL56" s="7">
        <f>IFERROR(AVERAGEIF('Данные 1st'!$S$2:$S$317,$A56,'Данные 1st'!$FV$2:$FV$317),"")</f>
        <v/>
      </c>
      <c r="CM56" s="7">
        <f>IFERROR(AVERAGEIF('Данные 1st'!$S$2:$S$317,$A56,'Данные 1st'!$FW$2:$FW$317),"")</f>
        <v/>
      </c>
      <c r="CN56" s="7">
        <f>IFERROR(AVERAGEIF('Данные 1st'!$S$2:$S$317,$A56,'Данные 1st'!$FZ$2:$FZ$317),"")</f>
        <v>1.6</v>
      </c>
      <c r="CO56" s="7">
        <f>IFERROR(AVERAGEIF('Данные 1st'!$S$2:$S$317,$A56,'Данные 1st'!$GA$2:$GA$317),"")</f>
        <v>20</v>
      </c>
      <c r="CP56" s="7">
        <f>IFERROR(AVERAGEIF('Данные 1st'!$S$2:$S$317,$A56,'Данные 1st'!$GB$2:$GB$317),"")</f>
        <v>186</v>
      </c>
      <c r="CQ56" s="7">
        <f>IFERROR(AVERAGEIF('Данные 1st'!$S$2:$S$317,$A56,'Данные 1st'!$GH$2:$GH$317),"")</f>
        <v>1.6</v>
      </c>
      <c r="CR56" s="7">
        <f>IFERROR(AVERAGEIF('Данные 1st'!$S$2:$S$317,$A56,'Данные 1st'!$GI$2:$GI$317),"")</f>
        <v>20</v>
      </c>
      <c r="CS56" s="7">
        <f>IFERROR(AVERAGEIF('Данные 1st'!$S$2:$S$317,$A56,'Данные 1st'!$GJ$2:$GJ$317),"")</f>
        <v>186</v>
      </c>
      <c r="CT56" s="7">
        <f>IFERROR(AVERAGEIF('Данные 1st'!$S$2:$S$317,$A56,'Данные 1st'!$GS$2:$GS$317),"")</f>
        <v/>
      </c>
      <c r="CU56" s="7">
        <f>IFERROR(AVERAGEIF('Данные 1st'!$S$2:$S$317,$A56,'Данные 1st'!$GT$2:$GT$317),"")</f>
        <v/>
      </c>
      <c r="CV56" s="7">
        <f>IFERROR(AVERAGEIF('Данные 1st'!$S$2:$S$317,$A56,'Данные 1st'!$GU$2:$GU$317),"")</f>
        <v/>
      </c>
      <c r="CW56" s="7">
        <f>IFERROR(AVERAGEIF('Данные 1st'!$S$2:$S$317,$A56,'Данные 1st'!$GV$2:$GV$317),"")</f>
        <v/>
      </c>
      <c r="CX56" s="7">
        <f>IFERROR(AVERAGEIF('Данные 1st'!$S$2:$S$317,$A56,'Данные 1st'!$GW$2:$GW$317),"")</f>
        <v/>
      </c>
      <c r="CY56" s="7">
        <f>IFERROR(AVERAGEIF('Данные 1st'!$S$2:$S$317,$A56,'Данные 1st'!$GZ$2:$GZ$317),"")</f>
        <v/>
      </c>
      <c r="CZ56" s="7">
        <f>IFERROR(AVERAGEIF('Данные 1st'!$S$2:$S$317,$A56,'Данные 1st'!$HA$2:$HA$317),"")</f>
        <v/>
      </c>
      <c r="DA56" s="7">
        <f>IFERROR(AVERAGEIF('Данные 1st'!$S$2:$S$317,$A56,'Данные 1st'!$HB$2:$HB$317),"")</f>
        <v/>
      </c>
      <c r="DB56" s="7">
        <f>IFERROR(AVERAGEIF('Данные 1st'!$S$2:$S$317,$A56,'Данные 1st'!$HC$2:$HC$317),"")</f>
        <v>0.1</v>
      </c>
      <c r="DC56" s="7">
        <f>IFERROR(AVERAGEIF('Данные 1st'!$S$2:$S$317,$A56,'Данные 1st'!$HD$2:$HD$317),"")</f>
        <v>3</v>
      </c>
      <c r="DD56" s="7">
        <f>IFERROR(AVERAGEIF('Данные 1st'!$S$2:$S$317,$A56,'Данные 1st'!$HE$2:$HE$317),"")</f>
        <v>3</v>
      </c>
      <c r="DE56" s="7">
        <f>IFERROR(AVERAGEIF('Данные 1st'!$S$2:$S$317,$A56,'Данные 1st'!$HF$2:$HF$317),"")</f>
        <v>3</v>
      </c>
      <c r="DF56" s="7">
        <f>IFERROR(AVERAGEIF('Данные 1st'!$S$2:$S$317,$A56,'Данные 1st'!$HG$2:$HG$317),"")</f>
        <v>3</v>
      </c>
      <c r="DG56" s="7">
        <f>IFERROR(AVERAGEIF('Данные 1st'!$S$2:$S$317,$A56,'Данные 1st'!$HH$2:$HH$317),"")</f>
        <v>3</v>
      </c>
      <c r="DH56" s="7">
        <f>IFERROR(AVERAGEIF('Данные 1st'!$S$2:$S$317,$A56,'Данные 1st'!$HI$2:$HI$317),"")</f>
        <v>100</v>
      </c>
      <c r="DI56" s="7">
        <f>IFERROR(AVERAGEIF('Данные 1st'!$S$2:$S$317,$A56,'Данные 1st'!$HJ$2:$HJ$317),"")</f>
        <v>3</v>
      </c>
      <c r="DJ56" s="7">
        <f>IFERROR(AVERAGEIF('Данные 1st'!$S$2:$S$317,$A56,'Данные 1st'!$HK$2:$HK$317),"")</f>
        <v>30</v>
      </c>
      <c r="DK56" s="7">
        <f>IFERROR(AVERAGEIF('Данные 1st'!$S$2:$S$317,$A56,'Данные 1st'!$HL$2:$HL$317),"")</f>
        <v>2</v>
      </c>
      <c r="DL56" s="7">
        <f>IFERROR(AVERAGEIF('Данные 1st'!$S$2:$S$317,$A56,'Данные 1st'!$HM$2:$HM$317),"")</f>
        <v>0</v>
      </c>
      <c r="DM56" s="7">
        <f>IFERROR(AVERAGEIF('Данные 1st'!$S$2:$S$317,$A56,'Данные 1st'!$HN$2:$HN$317),"")</f>
        <v>2</v>
      </c>
      <c r="DN56" s="7">
        <f>IFERROR(AVERAGEIF('Данные 1st'!$S$2:$S$317,$A56,'Данные 1st'!$HO$2:$HO$317),"")</f>
        <v>55</v>
      </c>
      <c r="DO56" s="7">
        <f>IFERROR(AVERAGEIF('Данные 1st'!$S$2:$S$317,$A56,'Данные 1st'!$HP$2:$HP$317),"")</f>
        <v>3</v>
      </c>
      <c r="DP56" s="7">
        <f>IFERROR(AVERAGEIF('Данные 1st'!$S$2:$S$317,$A56,'Данные 1st'!$HQ$2:$HQ$317),"")</f>
        <v>0</v>
      </c>
      <c r="DQ56" s="7">
        <f>IFERROR(AVERAGEIF('Данные 1st'!$S$2:$S$317,$A56,'Данные 1st'!$HR$2:$HR$317),"")</f>
        <v>2</v>
      </c>
      <c r="DR56" s="7">
        <f>IFERROR(AVERAGEIF('Данные 1st'!$S$2:$S$317,$A56,'Данные 1st'!$HS$2:$HS$317),"")</f>
        <v>4104</v>
      </c>
      <c r="DS56" s="7">
        <f>IFERROR(AVERAGEIF('Данные 1st'!$S$2:$S$317,$A56,'Данные 1st'!$HT$2:$HT$317),"")</f>
        <v>120</v>
      </c>
      <c r="DT56" s="7">
        <f>IFERROR(AVERAGEIF('Данные 1st'!$S$2:$S$317,$A56,'Данные 1st'!$HU$2:$HU$317),"")</f>
        <v>180</v>
      </c>
      <c r="DU56" s="7">
        <f>IFERROR(AVERAGEIF('Данные 1st'!$S$2:$S$317,$A56,'Данные 1st'!$HW$2:$HW$317),"")</f>
        <v>0</v>
      </c>
      <c r="DV56" s="7">
        <f>IFERROR(AVERAGEIF('Данные 1st'!$S$2:$S$317,$A56,'Данные 1st'!$HX$2:$HX$317),"")</f>
        <v>385</v>
      </c>
      <c r="DW56" s="7">
        <f>IFERROR(AVERAGEIF('Данные 1st'!$S$2:$S$317,$A56,'Данные 1st'!$HY$2:$HY$317),"")</f>
        <v>0.18</v>
      </c>
      <c r="DX56" s="7">
        <f>IFERROR(AVERAGEIF('Данные 1st'!$S$2:$S$317,$A56,'Данные 1st'!$IA$2:$IA$317),"")</f>
        <v>0.15</v>
      </c>
      <c r="DY56" s="7">
        <f>IFERROR(AVERAGEIF('Данные 1st'!$S$2:$S$317,$A56,'Данные 1st'!$IB$2:$IB$317),"")</f>
        <v>0</v>
      </c>
      <c r="DZ56" s="7">
        <f>IFERROR(AVERAGEIF('Данные 1st'!$S$2:$S$317,$A56,'Данные 1st'!$IC$2:$IC$317),"")</f>
        <v>180</v>
      </c>
      <c r="EA56" s="7">
        <f>IFERROR(AVERAGEIF('Данные 1st'!$S$2:$S$317,$A56,'Данные 1st'!$ID$2:$ID$317),"")</f>
        <v>110</v>
      </c>
      <c r="EB56" s="7">
        <f>IFERROR(AVERAGEIF('Данные 1st'!$S$2:$S$317,$A56,'Данные 1st'!$IE$2:$IE$317),"")</f>
        <v>0</v>
      </c>
      <c r="EC56" s="7">
        <f>IFERROR(AVERAGEIF('Данные 1st'!$S$2:$S$317,$A56,'Данные 1st'!$IF$2:$IF$317),"")</f>
        <v>0</v>
      </c>
      <c r="ED56" s="7">
        <f>IFERROR(AVERAGEIF('Данные 1st'!$S$2:$S$317,$A56,'Данные 1st'!$IP$2:$IP$317),"")</f>
        <v>19</v>
      </c>
      <c r="EE56" s="7">
        <f>IFERROR(AVERAGEIF('Данные 1st'!$S$2:$S$317,$A56,'Данные 1st'!$IV$2:$IV$317),"")</f>
        <v>1458</v>
      </c>
      <c r="EF56" s="7">
        <f>IFERROR(AVERAGEIF('Данные 1st'!$S$2:$S$317,$A56,'Данные 1st'!$IW$2:$IW$317),"")</f>
        <v>376</v>
      </c>
      <c r="EG56" s="7">
        <f>IFERROR(AVERAGEIF('Данные 1st'!$S$2:$S$317,$A56,'Данные 1st'!$IX$2:$IX$317),"")</f>
        <v/>
      </c>
      <c r="EH56" s="7">
        <f>IFERROR(AVERAGEIF('Данные 1st'!$S$2:$S$317,$A56,'Данные 1st'!$IY$2:$IY$317),"")</f>
        <v>290</v>
      </c>
      <c r="EI56" s="7">
        <f>IFERROR(AVERAGEIF('Данные 1st'!$S$2:$S$317,$A56,'Данные 1st'!$JD$2:$JD$317),"")</f>
        <v>1475</v>
      </c>
      <c r="EJ56" s="7">
        <f>IFERROR(AVERAGEIF('Данные 1st'!$S$2:$S$317,$A56,'Данные 1st'!$JE$2:$JE$317),"")</f>
        <v>1468</v>
      </c>
      <c r="EK56" s="7">
        <f>IFERROR(AVERAGEIF('Данные 1st'!$S$2:$S$317,$A56,'Данные 1st'!$JF$2:$JF$317),"")</f>
        <v>0</v>
      </c>
      <c r="EL56" s="7">
        <f>IFERROR(AVERAGEIF('Данные 1st'!$S$2:$S$317,$A56,'Данные 1st'!$JG$2:$JG$317),"")</f>
        <v>1447</v>
      </c>
      <c r="EM56" s="7">
        <f>IFERROR(AVERAGEIF('Данные 1st'!$S$2:$S$317,$A56,'Данные 1st'!$JH$2:$JH$317),"")</f>
        <v>0</v>
      </c>
      <c r="EN56" s="7">
        <f>IFERROR(AVERAGEIF('Данные 1st'!$S$2:$S$317,$A56,'Данные 1st'!$JJ$2:$JJ$317),"")</f>
        <v>180</v>
      </c>
      <c r="EO56" s="7">
        <f>IFERROR(AVERAGEIF('Данные 1st'!$S$2:$S$317,$A56,'Данные 1st'!$JK$2:$JK$317),"")</f>
        <v>385</v>
      </c>
      <c r="EP56" s="7">
        <f>IFERROR(AVERAGEIF('Данные 1st'!$S$2:$S$317,$A56,'Данные 1st'!$JL$2:$JL$317),"")</f>
        <v/>
      </c>
      <c r="EQ56" s="7">
        <f>IFERROR(AVERAGEIF('Данные 1st'!$S$2:$S$317,$A56,'Данные 1st'!$JM$2:$JM$317),"")</f>
        <v/>
      </c>
      <c r="ER56" s="7">
        <f>IFERROR(AVERAGEIF('Данные 1st'!$S$2:$S$317,$A56,'Данные 1st'!$JN$2:$JN$317),"")</f>
        <v>345</v>
      </c>
      <c r="ES56" s="7">
        <f>IFERROR(AVERAGEIF('Данные 1st'!$S$2:$S$317,$A56,'Данные 1st'!$JO$2:$JO$317),"")</f>
        <v>480</v>
      </c>
      <c r="ET56" s="7">
        <f>IFERROR(AVERAGEIF('Данные 1st'!$S$2:$S$317,$A56,'Данные 1st'!$JP$2:$JP$317),"")</f>
        <v>0</v>
      </c>
      <c r="EU56" s="7">
        <f>IFERROR(AVERAGEIF('Данные 1st'!$S$2:$S$317,$A56,'Данные 1st'!$JQ$2:$JQ$317),"")</f>
        <v>0</v>
      </c>
      <c r="EV56" s="7">
        <f>IFERROR(AVERAGEIF('Данные 1st'!$S$2:$S$317,$A56,'Данные 1st'!$JR$2:$JR$317),"")</f>
        <v>378</v>
      </c>
      <c r="EW56" s="7">
        <f>IFERROR(AVERAGEIF('Данные 1st'!$S$2:$S$317,$A56,'Данные 1st'!$JS$2:$JS$317),"")</f>
        <v>100</v>
      </c>
      <c r="EX56" s="7">
        <f>IFERROR(AVERAGEIF('Данные 1st'!$S$2:$S$317,$A56,'Данные 1st'!$JT$2:$JT$317),"")</f>
        <v/>
      </c>
      <c r="EY56" s="7">
        <f>IFERROR(AVERAGEIF('Данные 1st'!$S$2:$S$317,$A56,'Данные 1st'!$JU$2:$JU$317),"")</f>
        <v/>
      </c>
      <c r="EZ56" s="7">
        <f>IFERROR(AVERAGEIF('Данные 1st'!$S$2:$S$317,$A56,'Данные 1st'!$JV$2:$JV$317),"")</f>
        <v>8</v>
      </c>
      <c r="FA56" s="7">
        <f>IFERROR(AVERAGEIF('Данные 1st'!$S$2:$S$317,$A56,'Данные 1st'!$JW$2:$JW$317),"")</f>
        <v/>
      </c>
      <c r="FB56" s="7">
        <f>IFERROR(AVERAGEIF('Данные 1st'!$S$2:$S$317,$A56,'Данные 1st'!$JX$2:$JX$317),"")</f>
        <v>422</v>
      </c>
      <c r="FC56" s="7">
        <f>IFERROR(AVERAGEIF('Данные 1st'!$S$2:$S$317,$A56,'Данные 1st'!$JY$2:$JY$317),"")</f>
        <v/>
      </c>
      <c r="FD56" s="7">
        <f>IFERROR(AVERAGEIF('Данные 1st'!$S$2:$S$317,$A56,'Данные 1st'!$JZ$2:$JZ$317),"")</f>
        <v/>
      </c>
      <c r="FE56" s="7">
        <f>IFERROR(AVERAGEIF('Данные 1st'!$S$2:$S$317,$A56,'Данные 1st'!$KA$2:$KA$317),"")</f>
        <v>0</v>
      </c>
      <c r="FF56" s="7">
        <f>IFERROR(AVERAGEIF('Данные 1st'!$S$2:$S$317,$A56,'Данные 1st'!$KB$2:$KB$317),"")</f>
        <v>110</v>
      </c>
      <c r="FG56" s="7">
        <f>IFERROR(AVERAGEIF('Данные 1st'!$S$2:$S$317,$A56,'Данные 1st'!$KC$2:$KC$317),"")</f>
        <v>0</v>
      </c>
      <c r="FH56" s="7">
        <f>IFERROR(AVERAGEIF('Данные 1st'!$S$2:$S$317,$A56,'Данные 1st'!$KD$2:$KD$317),"")</f>
        <v>80</v>
      </c>
      <c r="FI56" s="7">
        <f>IFERROR(AVERAGEIF('Данные 1st'!$S$2:$S$317,$A56,'Данные 1st'!$KE$2:$KE$317),"")</f>
        <v/>
      </c>
      <c r="FJ56" s="7">
        <f>IFERROR(AVERAGEIF('Данные 1st'!$S$2:$S$317,$A56,'Данные 1st'!$KF$2:$KF$317),"")</f>
        <v>4</v>
      </c>
      <c r="FK56" s="7">
        <f>IFERROR(AVERAGEIF('Данные 1st'!$S$2:$S$317,$A56,'Данные 1st'!$KG$2:$KG$317),"")</f>
        <v>2</v>
      </c>
      <c r="FL56" s="7">
        <f>IFERROR(AVERAGEIF('Данные 1st'!$S$2:$S$317,$A56,'Данные 1st'!$KH$2:$KH$317),"")</f>
        <v>2</v>
      </c>
      <c r="FM56" s="7">
        <f>IFERROR(AVERAGEIF('Данные 1st'!$S$2:$S$317,$A56,'Данные 1st'!$KI$2:$KI$317),"")</f>
        <v>2</v>
      </c>
      <c r="FN56" s="7">
        <f>IFERROR(AVERAGEIF('Данные 1st'!$S$2:$S$317,$A56,'Данные 1st'!$KJ$2:$KJ$317),"")</f>
        <v>0</v>
      </c>
      <c r="FO56" s="7">
        <f>IFERROR(AVERAGEIF('Данные 1st'!$S$2:$S$317,$A56,'Данные 1st'!$KK$2:$KK$317),"")</f>
        <v>1.5</v>
      </c>
      <c r="FP56" s="7">
        <f>IFERROR(AVERAGEIF('Данные 1st'!$S$2:$S$317,$A56,'Данные 1st'!$KL$2:$KL$317),"")</f>
        <v>1.5</v>
      </c>
      <c r="FQ56" s="7">
        <f>IFERROR(AVERAGEIF('Данные 1st'!$S$2:$S$317,$A56,'Данные 1st'!$KM$2:$KM$317),"")</f>
        <v>0</v>
      </c>
      <c r="FR56" s="7">
        <f>IFERROR(AVERAGEIF('Данные 1st'!$S$2:$S$317,$A56,'Данные 1st'!$KN$2:$KN$317),"")</f>
        <v>0</v>
      </c>
      <c r="FS56" s="7">
        <f>IFERROR(AVERAGEIF('Данные 1st'!$S$2:$S$317,$A56,'Данные 1st'!$KR$2:$KR$317),"")</f>
        <v>50</v>
      </c>
      <c r="FT56" s="7">
        <f>IFERROR(AVERAGEIF('Данные 1st'!$S$2:$S$317,$A56,'Данные 1st'!$KS$2:$KS$317),"")</f>
        <v>60</v>
      </c>
      <c r="FU56" s="7">
        <f>IFERROR(AVERAGEIF('Данные 1st'!$S$2:$S$317,$A56,'Данные 1st'!$KT$2:$KT$317),"")</f>
        <v>0</v>
      </c>
      <c r="FV56" s="7">
        <f>IFERROR(AVERAGEIF('Данные 1st'!$S$2:$S$317,$A56,'Данные 1st'!$KV$2:$KV$317),"")</f>
        <v/>
      </c>
      <c r="FW56" s="7">
        <f>IFERROR(AVERAGEIF('Данные 1st'!$S$2:$S$317,$A56,'Данные 1st'!$KW$2:$KW$317),"")</f>
        <v/>
      </c>
      <c r="FX56" s="7">
        <f>IFERROR(AVERAGEIF('Данные 1st'!$S$2:$S$317,$A56,'Данные 1st'!$KX$2:$KX$317),"")</f>
        <v/>
      </c>
      <c r="FY56" s="7">
        <f>IFERROR(AVERAGEIF('Данные 1st'!$S$2:$S$317,$A56,'Данные 1st'!$KY$2:$KY$317),"")</f>
        <v/>
      </c>
      <c r="FZ56" s="7">
        <f>IFERROR(AVERAGEIF('Данные 1st'!$S$2:$S$317,$A56,'Данные 1st'!$KZ$2:$KZ$317),"")</f>
        <v/>
      </c>
      <c r="GA56" s="7">
        <f>IFERROR(AVERAGEIF('Данные 1st'!$S$2:$S$317,$A56,'Данные 1st'!$LA$2:$LA$317),"")</f>
        <v/>
      </c>
      <c r="GB56" s="7">
        <f>IFERROR(AVERAGEIF('Данные 1st'!$S$2:$S$317,$A56,'Данные 1st'!$LB$2:$LB$317),"")</f>
        <v/>
      </c>
      <c r="GC56" s="7">
        <f>IFERROR(AVERAGEIF('Данные 1st'!$S$2:$S$317,$A56,'Данные 1st'!$LC$2:$LC$317),"")</f>
        <v/>
      </c>
      <c r="GD56" s="7">
        <f>IFERROR(AVERAGEIF('Данные 1st'!$S$2:$S$317,$A56,'Данные 1st'!$LD$2:$LD$317),"")</f>
        <v/>
      </c>
      <c r="GE56" s="7">
        <f>IFERROR(AVERAGEIF('Данные 1st'!$S$2:$S$317,$A56,'Данные 1st'!$LE$2:$LE$317),"")</f>
        <v/>
      </c>
      <c r="GF56" s="7">
        <f>IFERROR(AVERAGEIF('Данные 1st'!$S$2:$S$317,$A56,'Данные 1st'!$LF$2:$LF$317),"")</f>
        <v/>
      </c>
      <c r="GG56" s="7">
        <f>IFERROR(AVERAGEIF('Данные 1st'!$S$2:$S$317,$A56,'Данные 1st'!$LG$2:$LG$317),"")</f>
        <v/>
      </c>
      <c r="GH56" s="7">
        <f>IFERROR(AVERAGEIF('Данные 1st'!$S$2:$S$317,$A56,'Данные 1st'!$LH$2:$LH$317),"")</f>
        <v/>
      </c>
      <c r="GI56" s="7">
        <f>IFERROR(AVERAGEIF('Данные 1st'!$S$2:$S$317,$A56,'Данные 1st'!$LI$2:$LI$317),"")</f>
        <v/>
      </c>
      <c r="GJ56" s="7">
        <f>IFERROR(AVERAGEIF('Данные 1st'!$S$2:$S$317,$A56,'Данные 1st'!$LJ$2:$LJ$317),"")</f>
        <v/>
      </c>
      <c r="GK56" s="7">
        <f>IFERROR(AVERAGEIF('Данные 1st'!$S$2:$S$317,$A56,'Данные 1st'!$LK$2:$LK$317),"")</f>
        <v>480</v>
      </c>
      <c r="GL56" s="7">
        <f>IFERROR(AVERAGEIF('Данные 1st'!$S$2:$S$317,$A56,'Данные 1st'!$LV$2:$LV$317),"")</f>
        <v/>
      </c>
      <c r="GM56" s="7">
        <f>IFERROR(AVERAGEIF('Данные 1st'!$S$2:$S$317,$A56,'Данные 1st'!$LW$2:$LW$317),"")</f>
        <v/>
      </c>
      <c r="GN56" s="7">
        <f>IFERROR(AVERAGEIF('Данные 1st'!$S$2:$S$317,$A56,'Данные 1st'!$LX$2:$LX$317),"")</f>
        <v/>
      </c>
      <c r="GO56" s="7">
        <f>IFERROR(AVERAGEIF('Данные 1st'!$S$2:$S$317,$A56,'Данные 1st'!$LY$2:$LY$317),"")</f>
        <v/>
      </c>
      <c r="GP56" s="7">
        <f>IFERROR(AVERAGEIF('Данные 1st'!$S$2:$S$317,$A56,'Данные 1st'!$LZ$2:$LZ$317),"")</f>
        <v/>
      </c>
      <c r="GQ56" s="7">
        <f>IFERROR(AVERAGEIF('Данные 1st'!$S$2:$S$317,$A56,'Данные 1st'!$PG$2:$PG$317),"")</f>
        <v>1</v>
      </c>
      <c r="GR56" s="7">
        <f>IFERROR(AVERAGEIF('Данные 1st'!$S$2:$S$317,$A56,'Данные 1st'!$PX$2:$PX$317),"")</f>
        <v>56</v>
      </c>
      <c r="GS56" s="7">
        <f>IFERROR(AVERAGEIF('Данные 1st'!$S$2:$S$317,$A56,'Данные 1st'!$PY$2:$PY$317),"")</f>
        <v>56</v>
      </c>
      <c r="GT56" s="7">
        <f>IFERROR(AVERAGEIF('Данные 1st'!$S$2:$S$317,$A56,'Данные 1st'!$QA$2:$QA$317),"")</f>
        <v>1</v>
      </c>
      <c r="GU56" s="7">
        <f>IFERROR(AVERAGEIF('Данные 1st'!$S$2:$S$317,$A56,'Данные 1st'!$QB$2:$QB$317),"")</f>
        <v>1447</v>
      </c>
      <c r="GV56" s="7">
        <f>IFERROR(AVERAGEIF('Данные 1st'!$S$2:$S$317,$A56,'Данные 1st'!$QC$2:$QC$317),"")</f>
        <v>69</v>
      </c>
      <c r="GW56" s="7">
        <f>IFERROR(AVERAGEIF('Данные 1st'!$S$2:$S$317,$A56,'Данные 1st'!$QD$2:$QD$317),"")</f>
        <v>69</v>
      </c>
      <c r="GX56" s="7">
        <f>IFERROR(AVERAGEIF('Данные 1st'!$S$2:$S$317,$A56,'Данные 1st'!$QF$2:$QF$317),"")</f>
        <v>1</v>
      </c>
      <c r="GY56" s="7">
        <f>IFERROR(AVERAGEIF('Данные 1st'!$S$2:$S$317,$A56,'Данные 1st'!$QG$2:$QG$317),"")</f>
        <v>1475</v>
      </c>
      <c r="GZ56" s="7">
        <f>IFERROR(AVERAGEIF('Данные 1st'!$S$2:$S$317,$A56,'Данные 1st'!$QH$2:$QH$317),"")</f>
        <v>66</v>
      </c>
      <c r="HA56" s="7">
        <f>IFERROR(AVERAGEIF('Данные 1st'!$S$2:$S$317,$A56,'Данные 1st'!$QI$2:$QI$317),"")</f>
        <v>66</v>
      </c>
      <c r="HB56" s="7">
        <f>IFERROR(AVERAGEIF('Данные 1st'!$S$2:$S$317,$A56,'Данные 1st'!$QK$2:$QK$317),"")</f>
        <v>1</v>
      </c>
      <c r="HC56" s="7">
        <f>IFERROR(AVERAGEIF('Данные 1st'!$S$2:$S$317,$A56,'Данные 1st'!$QL$2:$QL$317),"")</f>
        <v>1475</v>
      </c>
      <c r="HD56" s="7">
        <f>IFERROR(AVERAGEIF('Данные 1st'!$S$2:$S$317,$A56,'Данные 1st'!$QM$2:$QM$317),"")</f>
        <v>63</v>
      </c>
      <c r="HE56" s="7">
        <f>IFERROR(AVERAGEIF('Данные 1st'!$S$2:$S$317,$A56,'Данные 1st'!$QN$2:$QN$317),"")</f>
        <v>63</v>
      </c>
      <c r="HF56" s="7">
        <f>IFERROR(AVERAGEIF('Данные 1st'!$S$2:$S$317,$A56,'Данные 1st'!$QP$2:$QP$317),"")</f>
        <v>1</v>
      </c>
      <c r="HG56" s="7">
        <f>IFERROR(AVERAGEIF('Данные 1st'!$S$2:$S$317,$A56,'Данные 1st'!$QQ$2:$QQ$317),"")</f>
        <v>1468</v>
      </c>
      <c r="HH56" s="7">
        <f>IFERROR(AVERAGEIF('Данные 1st'!$S$2:$S$317,$A56,'Данные 1st'!$QR$2:$QR$317),"")</f>
        <v/>
      </c>
      <c r="HI56" s="7">
        <f>IFERROR(AVERAGEIF('Данные 1st'!$S$2:$S$317,$A56,'Данные 1st'!$QS$2:$QS$317),"")</f>
        <v/>
      </c>
      <c r="HJ56" s="7">
        <f>IFERROR(AVERAGEIF('Данные 1st'!$S$2:$S$317,$A56,'Данные 1st'!$QU$2:$QU$317),"")</f>
        <v/>
      </c>
      <c r="HK56" s="7">
        <f>IFERROR(AVERAGEIF('Данные 1st'!$S$2:$S$317,$A56,'Данные 1st'!$QV$2:$QV$317),"")</f>
        <v/>
      </c>
      <c r="HL56" s="7">
        <f>IFERROR(AVERAGEIF('Данные 1st'!$S$2:$S$317,$A56,'Данные 1st'!$QW$2:$QW$317),"")</f>
        <v>82</v>
      </c>
      <c r="HM56" s="7">
        <f>IFERROR(AVERAGEIF('Данные 1st'!$S$2:$S$317,$A56,'Данные 1st'!$QX$2:$QX$317),"")</f>
        <v>88</v>
      </c>
      <c r="HN56" s="7">
        <f>IFERROR(AVERAGEIF('Данные 1st'!$S$2:$S$317,$A56,'Данные 1st'!$QZ$2:$QZ$317),"")</f>
        <v>1</v>
      </c>
      <c r="HO56" s="7">
        <f>IFERROR(AVERAGEIF('Данные 1st'!$S$2:$S$317,$A56,'Данные 1st'!$RA$2:$RA$317),"")</f>
        <v>66</v>
      </c>
      <c r="HP56" s="7">
        <f>IFERROR(AVERAGEIF('Данные 1st'!$S$2:$S$317,$A56,'Данные 1st'!$RB$2:$RB$317),"")</f>
        <v>66</v>
      </c>
      <c r="HQ56" s="7">
        <f>IFERROR(AVERAGEIF('Данные 1st'!$S$2:$S$317,$A56,'Данные 1st'!$RD$2:$RD$317),"")</f>
        <v/>
      </c>
      <c r="HR56" s="7">
        <f>IFERROR(AVERAGEIF('Данные 1st'!$S$2:$S$317,$A56,'Данные 1st'!$RE$2:$RE$317),"")</f>
        <v>0</v>
      </c>
      <c r="HS56" s="7">
        <f>IFERROR(AVERAGEIF('Данные 1st'!$S$2:$S$317,$A56,'Данные 1st'!$RF$2:$RF$317),"")</f>
        <v/>
      </c>
      <c r="HT56" s="7">
        <f>IFERROR(AVERAGEIF('Данные 1st'!$S$2:$S$317,$A56,'Данные 1st'!$RG$2:$RG$317),"")</f>
        <v>1</v>
      </c>
      <c r="HU56" s="7">
        <f>IFERROR(AVERAGEIF('Данные 1st'!$S$2:$S$317,$A56,'Данные 1st'!$RH$2:$RH$317),"")</f>
        <v/>
      </c>
      <c r="HV56" s="7">
        <f>IFERROR(AVERAGEIF('Данные 1st'!$S$2:$S$317,$A56,'Данные 1st'!$RI$2:$RI$317),"")</f>
        <v/>
      </c>
      <c r="HW56" s="7">
        <f>IFERROR(AVERAGEIF('Данные 1st'!$S$2:$S$317,$A56,'Данные 1st'!$RJ$2:$RJ$317),"")</f>
        <v>1</v>
      </c>
      <c r="HX56" s="7">
        <f>IFERROR(AVERAGEIF('Данные 1st'!$S$2:$S$317,$A56,'Данные 1st'!$RK$2:$RK$317),"")</f>
        <v>2</v>
      </c>
      <c r="HY56" s="7">
        <f>IFERROR(AVERAGEIF('Данные 1st'!$S$2:$S$317,$A56,'Данные 1st'!$RL$2:$RL$317),"")</f>
        <v>2</v>
      </c>
      <c r="HZ56" s="7">
        <f>IFERROR(AVERAGEIF('Данные 1st'!$S$2:$S$317,$A56,'Данные 1st'!$RM$2:$RM$317),"")</f>
        <v/>
      </c>
      <c r="IA56" s="7">
        <f>IFERROR(AVERAGEIF('Данные 1st'!$S$2:$S$317,$A56,'Данные 1st'!$RN$2:$RN$317),"")</f>
        <v/>
      </c>
      <c r="IB56" s="7">
        <f>IFERROR(AVERAGEIF('Данные 1st'!$S$2:$S$317,$A56,'Данные 1st'!$RO$2:$RO$317),"")</f>
        <v>488</v>
      </c>
      <c r="IC56" s="7">
        <f>IFERROR(AVERAGEIF('Данные 1st'!$S$2:$S$317,$A56,'Данные 1st'!$RP$2:$RP$317),"")</f>
        <v>105</v>
      </c>
      <c r="ID56" s="7">
        <f>IFERROR(AVERAGEIF('Данные 1st'!$S$2:$S$317,$A56,'Данные 1st'!$RQ$2:$RQ$317),"")</f>
        <v>842</v>
      </c>
      <c r="IE56" s="7">
        <f>IFERROR(AVERAGEIF('Данные 1st'!$S$2:$S$317,$A56,'Данные 1st'!$RR$2:$RR$317),"")</f>
        <v/>
      </c>
      <c r="IF56" s="7">
        <f>IFERROR(AVERAGEIF('Данные 1st'!$S$2:$S$317,$A56,'Данные 1st'!$RS$2:$RS$317),"")</f>
        <v/>
      </c>
      <c r="IG56" s="7">
        <f>IFERROR(AVERAGEIF('Данные 1st'!$S$2:$S$317,$A56,'Данные 1st'!$RT$2:$RT$317),"")</f>
        <v>272</v>
      </c>
      <c r="IH56" s="7">
        <f>IFERROR(AVERAGEIF('Данные 1st'!$S$2:$S$317,$A56,'Данные 1st'!$RU$2:$RU$317),"")</f>
        <v>150</v>
      </c>
      <c r="II56" s="7">
        <f>IFERROR(AVERAGEIF('Данные 1st'!$S$2:$S$317,$A56,'Данные 1st'!$RX$2:$RX$317),"")</f>
        <v>15</v>
      </c>
      <c r="IJ56" s="7">
        <f>IFERROR(AVERAGEIF('Данные 1st'!$S$2:$S$317,$A56,'Данные 1st'!$RY$2:$RY$317),"")</f>
        <v>4</v>
      </c>
      <c r="IK56" s="7">
        <f>IFERROR(AVERAGEIF('Данные 1st'!$S$2:$S$317,$A56,'Данные 1st'!$SA$2:$SA$317),"")</f>
        <v>15</v>
      </c>
      <c r="IL56" s="7">
        <f>IFERROR(AVERAGEIF('Данные 1st'!$S$2:$S$317,$A56,'Данные 1st'!$SD$2:$SD$317),"")</f>
        <v>1</v>
      </c>
      <c r="IM56" s="7">
        <f>IFERROR(AVERAGEIF('Данные 1st'!$S$2:$S$317,$A56,'Данные 1st'!$SG$2:$SG$317),"")</f>
        <v/>
      </c>
      <c r="IN56" s="7">
        <f>IFERROR(AVERAGEIF('Данные 1st'!$S$2:$S$317,$A56,'Данные 1st'!$SH$2:$SH$317),"")</f>
        <v>0.995</v>
      </c>
      <c r="IO56" s="7">
        <f>IFERROR(AVERAGEIF('Данные 1st'!$S$2:$S$317,$A56,'Данные 1st'!$SI$2:$SI$317),"")</f>
        <v>0.995</v>
      </c>
      <c r="IP56" s="7">
        <f>IFERROR(AVERAGEIF('Данные 1st'!$S$2:$S$317,$A56,'Данные 1st'!$SJ$2:$SJ$317),"")</f>
        <v>0.995</v>
      </c>
      <c r="IQ56" s="7">
        <f>IFERROR(AVERAGEIF('Данные 1st'!$S$2:$S$317,$A56,'Данные 1st'!$SK$2:$SK$317),"")</f>
        <v>15</v>
      </c>
      <c r="IR56" s="7">
        <f>IFERROR(AVERAGEIF('Данные 1st'!$S$2:$S$317,$A56,'Данные 1st'!$SL$2:$SL$317),"")</f>
        <v>0</v>
      </c>
      <c r="IS56" s="7">
        <f>IFERROR(AVERAGEIF('Данные 1st'!$S$2:$S$317,$A56,'Данные 1st'!$SM$2:$SM$317),"")</f>
        <v>0</v>
      </c>
      <c r="IT56" s="7">
        <f>IFERROR(AVERAGEIF('Данные 1st'!$S$2:$S$317,$A56,'Данные 1st'!$SN$2:$SN$317),"")</f>
        <v>0</v>
      </c>
      <c r="IU56" s="7">
        <f>IFERROR(AVERAGEIF('Данные 1st'!$S$2:$S$317,$A56,'Данные 1st'!$SO$2:$SO$317),"")</f>
        <v>0</v>
      </c>
      <c r="IV56" s="7">
        <f>IFERROR(AVERAGEIF('Данные 1st'!$S$2:$S$317,$A56,'Данные 1st'!$SP$2:$SP$317),"")</f>
        <v>0</v>
      </c>
      <c r="IW56" s="7">
        <f>IFERROR(AVERAGEIF('Данные 1st'!$S$2:$S$317,$A56,'Данные 1st'!$SQ$2:$SQ$317),"")</f>
        <v>0</v>
      </c>
      <c r="IX56" s="7">
        <f>IFERROR(AVERAGEIF('Данные 1st'!$S$2:$S$317,$A56,'Данные 1st'!$SR$2:$SR$317),"")</f>
        <v>0</v>
      </c>
      <c r="IY56" s="7">
        <f>IFERROR(AVERAGEIF('Данные 1st'!$S$2:$S$317,$A56,'Данные 1st'!$SS$2:$SS$317),"")</f>
        <v>0</v>
      </c>
      <c r="IZ56" s="7">
        <f>IFERROR(AVERAGEIF('Данные 1st'!$S$2:$S$317,$A56,'Данные 1st'!$ST$2:$ST$317),"")</f>
        <v>0</v>
      </c>
      <c r="JA56" s="7">
        <f>IFERROR(AVERAGEIF('Данные 1st'!$S$2:$S$317,$A56,'Данные 1st'!$SU$2:$SU$317),"")</f>
        <v>0</v>
      </c>
      <c r="JB56" s="7">
        <f>IFERROR(AVERAGEIF('Данные 1st'!$S$2:$S$317,$A56,'Данные 1st'!$SV$2:$SV$317),"")</f>
        <v>0</v>
      </c>
      <c r="JC56" s="7">
        <f>IFERROR(AVERAGEIF('Данные 1st'!$S$2:$S$317,$A56,'Данные 1st'!$SW$2:$SW$317),"")</f>
        <v>0</v>
      </c>
      <c r="JD56" s="7">
        <f>IFERROR(AVERAGEIF('Данные 1st'!$S$2:$S$317,$A56,'Данные 1st'!$SX$2:$SX$317),"")</f>
        <v>0</v>
      </c>
      <c r="JE56" s="7">
        <f>IFERROR(AVERAGEIF('Данные 1st'!$S$2:$S$317,$A56,'Данные 1st'!$SY$2:$SY$317),"")</f>
        <v>1</v>
      </c>
      <c r="JF56" s="7">
        <f>IFERROR(AVERAGEIF('Данные 1st'!$S$2:$S$317,$A56,'Данные 1st'!$SZ$2:$SZ$317),"")</f>
        <v/>
      </c>
      <c r="JG56" s="7">
        <f>IFERROR(AVERAGEIF('Данные 1st'!$S$2:$S$317,$A56,'Данные 1st'!$TA$2:$TA$317),"")</f>
        <v/>
      </c>
      <c r="JH56" s="7">
        <f>IFERROR(AVERAGEIF('Данные 1st'!$S$2:$S$317,$A56,'Данные 1st'!$TB$2:$TB$317),"")</f>
        <v>0</v>
      </c>
      <c r="JI56" s="7">
        <f>IFERROR(AVERAGEIF('Данные 1st'!$S$2:$S$317,$A56,'Данные 1st'!$TC$2:$TC$317),"")</f>
        <v>0</v>
      </c>
      <c r="JJ56" s="7">
        <f>IFERROR(AVERAGEIF('Данные 1st'!$S$2:$S$317,$A56,'Данные 1st'!$TD$2:$TD$317),"")</f>
        <v>7.5</v>
      </c>
      <c r="JK56" s="7">
        <f>IFERROR(AVERAGEIF('Данные 1st'!$S$2:$S$317,$A56,'Данные 1st'!$TN$2:$TN$317),"")</f>
        <v>0</v>
      </c>
      <c r="JL56">
        <f>COUNTIF('Данные 2st'!$Q$2:$Q$317,$A56)</f>
        <v>1</v>
      </c>
      <c r="JM56" s="6" t="s">
        <v>2657</v>
      </c>
      <c r="JN56" s="6" t="s">
        <v>513</v>
      </c>
      <c r="JO56" s="6" t="s">
        <v>517</v>
      </c>
      <c r="JP56" s="6" t="s">
        <v>2979</v>
      </c>
      <c r="JQ56" s="7">
        <f>IFERROR(AVERAGEIF('Данные 2st'!$Q$2:$Q$317,$A56,'Данные 2st'!$AC$2:$AC$317),"")</f>
        <v>9</v>
      </c>
      <c r="JR56" s="7">
        <f>IFERROR(AVERAGEIF('Данные 2st'!$Q$2:$Q$317,$A56,'Данные 2st'!$AF$2:$AF$317),"")</f>
        <v>4104</v>
      </c>
      <c r="JS56" s="7">
        <f>IFERROR(AVERAGEIF('Данные 2st'!$Q$2:$Q$317,$A56,'Данные 2st'!$AW$2:$AW$317),"")</f>
        <v>6.4</v>
      </c>
      <c r="JT56" s="7">
        <f>IFERROR(AVERAGEIF('Данные 2st'!$Q$2:$Q$317,$A56,'Данные 2st'!$AX$2:$AX$317),"")</f>
        <v>-6</v>
      </c>
      <c r="JU56" s="7">
        <f>IFERROR(AVERAGEIF('Данные 2st'!$Q$2:$Q$317,$A56,'Данные 2st'!$AY$2:$AY$317),"")</f>
        <v>107.5</v>
      </c>
      <c r="JV56" s="7">
        <f>IFERROR(AVERAGEIF('Данные 2st'!$Q$2:$Q$317,$A56,'Данные 2st'!$AZ$2:$AZ$317),"")</f>
        <v>77.5</v>
      </c>
      <c r="JW56" s="7">
        <f>IFERROR(AVERAGEIF('Данные 2st'!$Q$2:$Q$317,$A56,'Данные 2st'!$BA$2:$BA$317),"")</f>
        <v>0</v>
      </c>
      <c r="JX56" s="7">
        <f>IFERROR(AVERAGEIF('Данные 2st'!$Q$2:$Q$317,$A56,'Данные 2st'!$BB$2:$BB$317),"")</f>
        <v>0</v>
      </c>
      <c r="JY56" s="7">
        <f>IFERROR(AVERAGEIF('Данные 2st'!$Q$2:$Q$317,$A56,'Данные 2st'!$BC$2:$BC$317),"")</f>
        <v>0</v>
      </c>
      <c r="JZ56" s="7">
        <f>IFERROR(AVERAGEIF('Данные 2st'!$Q$2:$Q$317,$A56,'Данные 2st'!$BH$2:$BH$317),"")</f>
        <v>107.5</v>
      </c>
      <c r="KA56" s="7">
        <f>IFERROR(AVERAGEIF('Данные 2st'!$Q$2:$Q$317,$A56,'Данные 2st'!$BI$2:$BI$317),"")</f>
        <v>30</v>
      </c>
      <c r="KB56" s="7">
        <f>IFERROR(AVERAGEIF('Данные 2st'!$Q$2:$Q$317,$A56,'Данные 2st'!$BJ$2:$BJ$317),"")</f>
        <v>77.5</v>
      </c>
      <c r="KC56" s="7">
        <f>IFERROR(AVERAGEIF('Данные 2st'!$Q$2:$Q$317,$A56,'Данные 2st'!$BK$2:$BK$317),"")</f>
        <v>2.5</v>
      </c>
      <c r="KD56" s="7">
        <f>IFERROR(AVERAGEIF('Данные 2st'!$Q$2:$Q$317,$A56,'Данные 2st'!$BL$2:$BL$317),"")</f>
        <v>215</v>
      </c>
      <c r="KE56" s="7">
        <f>IFERROR(AVERAGEIF('Данные 2st'!$Q$2:$Q$317,$A56,'Данные 2st'!$BM$2:$BM$317),"")</f>
        <v>-6</v>
      </c>
      <c r="KF56" s="7">
        <f>IFERROR(AVERAGEIF('Данные 2st'!$Q$2:$Q$317,$A56,'Данные 2st'!$BN$2:$BN$317),"")</f>
        <v>0</v>
      </c>
      <c r="KG56" s="7">
        <f>IFERROR(AVERAGEIF('Данные 2st'!$Q$2:$Q$317,$A56,'Данные 2st'!$BO$2:$BO$317),"")</f>
        <v>0</v>
      </c>
      <c r="KH56" s="7">
        <f>IFERROR(AVERAGEIF('Данные 2st'!$Q$2:$Q$317,$A56,'Данные 2st'!$BP$2:$BP$317),"")</f>
        <v>0</v>
      </c>
      <c r="KI56" s="7">
        <f>IFERROR(AVERAGEIF('Данные 2st'!$Q$2:$Q$317,$A56,'Данные 2st'!$BR$2:$BR$317),"")</f>
        <v>210</v>
      </c>
      <c r="KJ56" s="7">
        <f>IFERROR(AVERAGEIF('Данные 2st'!$Q$2:$Q$317,$A56,'Данные 2st'!$BS$2:$BS$317),"")</f>
        <v>200</v>
      </c>
      <c r="KK56" s="7">
        <f>IFERROR(AVERAGEIF('Данные 2st'!$Q$2:$Q$317,$A56,'Данные 2st'!$BT$2:$BT$317),"")</f>
        <v>1975</v>
      </c>
      <c r="KL56" s="7">
        <f>IFERROR(AVERAGEIF('Данные 2st'!$Q$2:$Q$317,$A56,'Данные 2st'!$CV$2:$CV$317),"")</f>
        <v>132</v>
      </c>
      <c r="KM56" s="7">
        <f>IFERROR(AVERAGEIF('Данные 2st'!$Q$2:$Q$317,$A56,'Данные 2st'!$CW$2:$CW$317),"")</f>
        <v>3</v>
      </c>
      <c r="KN56" s="7">
        <f>IFERROR(AVERAGEIF('Данные 2st'!$Q$2:$Q$317,$A56,'Данные 2st'!$CX$2:$CX$317),"")</f>
        <v>110</v>
      </c>
      <c r="KO56" s="7">
        <f>IFERROR(AVERAGEIF('Данные 2st'!$Q$2:$Q$317,$A56,'Данные 2st'!$CY$2:$CY$317),"")</f>
        <v>5</v>
      </c>
      <c r="KP56" s="7">
        <f>IFERROR(AVERAGEIF('Данные 2st'!$Q$2:$Q$317,$A56,'Данные 2st'!$CZ$2:$CZ$317),"")</f>
        <v>141</v>
      </c>
      <c r="KQ56" s="7">
        <f>IFERROR(AVERAGEIF('Данные 2st'!$Q$2:$Q$317,$A56,'Данные 2st'!$DA$2:$DA$317),"")</f>
        <v>5</v>
      </c>
      <c r="KR56" s="7">
        <f>IFERROR(AVERAGEIF('Данные 2st'!$Q$2:$Q$317,$A56,'Данные 2st'!$DB$2:$DB$317),"")</f>
        <v>11610</v>
      </c>
      <c r="KS56" s="7">
        <f>IFERROR(AVERAGEIF('Данные 2st'!$Q$2:$Q$317,$A56,'Данные 2st'!$DC$2:$DC$317),"")</f>
        <v>340</v>
      </c>
      <c r="KT56" s="7">
        <f>IFERROR(AVERAGEIF('Данные 2st'!$Q$2:$Q$317,$A56,'Данные 2st'!$DD$2:$DD$317),"")</f>
        <v>315</v>
      </c>
      <c r="KU56" s="7">
        <f>IFERROR(AVERAGEIF('Данные 2st'!$Q$2:$Q$317,$A56,'Данные 2st'!$DE$2:$DE$317),"")</f>
        <v>2100</v>
      </c>
      <c r="KV56" s="7">
        <f>IFERROR(AVERAGEIF('Данные 2st'!$Q$2:$Q$317,$A56,'Данные 2st'!$DF$2:$DF$317),"")</f>
        <v>2100</v>
      </c>
      <c r="KW56" s="7">
        <f>IFERROR(AVERAGEIF('Данные 2st'!$Q$2:$Q$317,$A56,'Данные 2st'!$DG$2:$DG$317),"")</f>
        <v>2112</v>
      </c>
      <c r="KX56" s="7">
        <f>IFERROR(AVERAGEIF('Данные 2st'!$Q$2:$Q$317,$A56,'Данные 2st'!$DH$2:$DH$317),"")</f>
        <v/>
      </c>
      <c r="KY56" s="7">
        <f>IFERROR(AVERAGEIF('Данные 2st'!$Q$2:$Q$317,$A56,'Данные 2st'!$DI$2:$DI$317),"")</f>
        <v/>
      </c>
      <c r="KZ56" s="7">
        <f>IFERROR(AVERAGEIF('Данные 2st'!$Q$2:$Q$317,$A56,'Данные 2st'!$DK$2:$DK$317),"")</f>
        <v>210</v>
      </c>
      <c r="LA56" s="7">
        <f>IFERROR(AVERAGEIF('Данные 2st'!$Q$2:$Q$317,$A56,'Данные 2st'!$DM$2:$DM$317),"")</f>
        <v>61</v>
      </c>
      <c r="LB56" s="7">
        <f>IFERROR(AVERAGEIF('Данные 2st'!$Q$2:$Q$317,$A56,'Данные 2st'!$DN$2:$DN$317),"")</f>
        <v>1.1</v>
      </c>
      <c r="LC56" s="7">
        <f>IFERROR(AVERAGEIF('Данные 2st'!$Q$2:$Q$317,$A56,'Данные 2st'!$DO$2:$DO$317),"")</f>
        <v>1</v>
      </c>
      <c r="LD56" s="7">
        <f>IFERROR(AVERAGEIF('Данные 2st'!$Q$2:$Q$317,$A56,'Данные 2st'!$DP$2:$DP$317),"")</f>
        <v>1978</v>
      </c>
      <c r="LE56" s="7">
        <f>IFERROR(AVERAGEIF('Данные 2st'!$Q$2:$Q$317,$A56,'Данные 2st'!$DQ$2:$DQ$317),"")</f>
        <v>898</v>
      </c>
      <c r="LF56" s="7">
        <f>IFERROR(AVERAGEIF('Данные 2st'!$Q$2:$Q$317,$A56,'Данные 2st'!$DS$2:$DS$317),"")</f>
        <v>200</v>
      </c>
      <c r="LG56" s="7">
        <f>IFERROR(AVERAGEIF('Данные 2st'!$Q$2:$Q$317,$A56,'Данные 2st'!$DU$2:$DU$317),"")</f>
        <v>61</v>
      </c>
      <c r="LH56" s="7">
        <f>IFERROR(AVERAGEIF('Данные 2st'!$Q$2:$Q$317,$A56,'Данные 2st'!$DV$2:$DV$317),"")</f>
        <v>1.1</v>
      </c>
      <c r="LI56" s="7">
        <f>IFERROR(AVERAGEIF('Данные 2st'!$Q$2:$Q$317,$A56,'Данные 2st'!$DW$2:$DW$317),"")</f>
        <v>1</v>
      </c>
      <c r="LJ56" s="7">
        <f>IFERROR(AVERAGEIF('Данные 2st'!$Q$2:$Q$317,$A56,'Данные 2st'!$DX$2:$DX$317),"")</f>
        <v>1990</v>
      </c>
      <c r="LK56" s="7">
        <f>IFERROR(AVERAGEIF('Данные 2st'!$Q$2:$Q$317,$A56,'Данные 2st'!$DY$2:$DY$317),"")</f>
        <v>862</v>
      </c>
      <c r="LL56" s="7">
        <f>IFERROR(AVERAGEIF('Данные 2st'!$Q$2:$Q$317,$A56,'Данные 2st'!$EA$2:$EA$317),"")</f>
        <v>20</v>
      </c>
      <c r="LM56" s="7">
        <f>IFERROR(AVERAGEIF('Данные 2st'!$Q$2:$Q$317,$A56,'Данные 2st'!$EC$2:$EC$317),"")</f>
        <v>0.8</v>
      </c>
      <c r="LN56" s="7">
        <f>IFERROR(AVERAGEIF('Данные 2st'!$Q$2:$Q$317,$A56,'Данные 2st'!$ED$2:$ED$317),"")</f>
        <v>1978</v>
      </c>
      <c r="LO56" s="7">
        <f>IFERROR(AVERAGEIF('Данные 2st'!$Q$2:$Q$317,$A56,'Данные 2st'!$EE$2:$EE$317),"")</f>
        <v>69</v>
      </c>
      <c r="LP56" s="7">
        <f>IFERROR(AVERAGEIF('Данные 2st'!$Q$2:$Q$317,$A56,'Данные 2st'!$EG$2:$EG$317),"")</f>
        <v>0</v>
      </c>
      <c r="LQ56" s="7">
        <f>IFERROR(AVERAGEIF('Данные 2st'!$Q$2:$Q$317,$A56,'Данные 2st'!$EI$2:$EI$317),"")</f>
        <v>0</v>
      </c>
      <c r="LR56" s="7">
        <f>IFERROR(AVERAGEIF('Данные 2st'!$Q$2:$Q$317,$A56,'Данные 2st'!$EJ$2:$EJ$317),"")</f>
        <v/>
      </c>
      <c r="LS56" s="7">
        <f>IFERROR(AVERAGEIF('Данные 2st'!$Q$2:$Q$317,$A56,'Данные 2st'!$EK$2:$EK$317),"")</f>
        <v/>
      </c>
      <c r="LT56" s="7">
        <f>IFERROR(AVERAGEIF('Данные 2st'!$Q$2:$Q$317,$A56,'Данные 2st'!$EM$2:$EM$317),"")</f>
        <v>12</v>
      </c>
      <c r="LU56" s="7">
        <f>IFERROR(AVERAGEIF('Данные 2st'!$Q$2:$Q$317,$A56,'Данные 2st'!$EN$2:$EN$317),"")</f>
        <v>0.5</v>
      </c>
      <c r="LV56" s="7">
        <f>IFERROR(AVERAGEIF('Данные 2st'!$Q$2:$Q$317,$A56,'Данные 2st'!$EO$2:$EO$317),"")</f>
        <v>0.96</v>
      </c>
      <c r="LW56" s="7">
        <f>IFERROR(AVERAGEIF('Данные 2st'!$Q$2:$Q$317,$A56,'Данные 2st'!$EP$2:$EP$317),"")</f>
        <v>1988.83</v>
      </c>
      <c r="LX56" s="7">
        <f>IFERROR(AVERAGEIF('Данные 2st'!$Q$2:$Q$317,$A56,'Данные 2st'!$EQ$2:$EQ$317),"")</f>
        <v>35270.66</v>
      </c>
      <c r="LY56" s="7">
        <f>IFERROR(AVERAGEIF('Данные 2st'!$Q$2:$Q$317,$A56,'Данные 2st'!$ER$2:$ER$317),"")</f>
        <v>9350.91</v>
      </c>
      <c r="LZ56" s="7">
        <f>IFERROR(AVERAGEIF('Данные 2st'!$Q$2:$Q$317,$A56,'Данные 2st'!$ES$2:$ES$317),"")</f>
        <v>0</v>
      </c>
      <c r="MA56" s="7">
        <f>IFERROR(AVERAGEIF('Данные 2st'!$Q$2:$Q$317,$A56,'Данные 2st'!$ET$2:$ET$317),"")</f>
        <v>0</v>
      </c>
      <c r="MB56" s="7">
        <f>IFERROR(AVERAGEIF('Данные 2st'!$Q$2:$Q$317,$A56,'Данные 2st'!$EU$2:$EU$317),"")</f>
        <v>1</v>
      </c>
      <c r="MC56" s="7">
        <f>IFERROR(AVERAGEIF('Данные 2st'!$Q$2:$Q$317,$A56,'Данные 2st'!$EV$2:$EV$317),"")</f>
        <v>44622</v>
      </c>
      <c r="MD56" s="7">
        <f>IFERROR(AVERAGEIF('Данные 2st'!$Q$2:$Q$317,$A56,'Данные 2st'!$EW$2:$EW$317),"")</f>
        <v>536</v>
      </c>
      <c r="ME56" s="7">
        <f>IFERROR(AVERAGEIF('Данные 2st'!$Q$2:$Q$317,$A56,'Данные 2st'!$EY$2:$EY$317),"")</f>
        <v>228</v>
      </c>
      <c r="MF56" s="7">
        <f>IFERROR(AVERAGEIF('Данные 2st'!$Q$2:$Q$317,$A56,'Данные 2st'!$FA$2:$FA$317),"")</f>
        <v>4</v>
      </c>
      <c r="MG56" s="7">
        <f>IFERROR(AVERAGEIF('Данные 2st'!$Q$2:$Q$317,$A56,'Данные 2st'!$FB$2:$FB$317),"")</f>
        <v>1</v>
      </c>
      <c r="MH56" s="7">
        <f>IFERROR(AVERAGEIF('Данные 2st'!$Q$2:$Q$317,$A56,'Данные 2st'!$FC$2:$FC$317),"")</f>
        <v>1</v>
      </c>
      <c r="MI56" s="7">
        <f>IFERROR(AVERAGEIF('Данные 2st'!$Q$2:$Q$317,$A56,'Данные 2st'!$FD$2:$FD$317),"")</f>
        <v>2024</v>
      </c>
      <c r="MJ56" s="7">
        <f>IFERROR(AVERAGEIF('Данные 2st'!$Q$2:$Q$317,$A56,'Данные 2st'!$FE$2:$FE$317),"")</f>
        <v>2195</v>
      </c>
      <c r="MK56" s="7">
        <f>IFERROR(AVERAGEIF('Данные 2st'!$Q$2:$Q$317,$A56,'Данные 2st'!$FG$2:$FG$317),"")</f>
        <v>228</v>
      </c>
      <c r="ML56" s="7">
        <f>IFERROR(AVERAGEIF('Данные 2st'!$Q$2:$Q$317,$A56,'Данные 2st'!$FI$2:$FI$317),"")</f>
        <v>4.6</v>
      </c>
      <c r="MM56" s="7">
        <f>IFERROR(AVERAGEIF('Данные 2st'!$Q$2:$Q$317,$A56,'Данные 2st'!$FJ$2:$FJ$317),"")</f>
        <v>2024</v>
      </c>
      <c r="MN56" s="7">
        <f>IFERROR(AVERAGEIF('Данные 2st'!$Q$2:$Q$317,$A56,'Данные 2st'!$FK$2:$FK$317),"")</f>
        <v>2503</v>
      </c>
      <c r="MO56" s="7">
        <f>IFERROR(AVERAGEIF('Данные 2st'!$Q$2:$Q$317,$A56,'Данные 2st'!$FP$2:$FP$317),"")</f>
        <v>2024</v>
      </c>
      <c r="MP56" s="7">
        <f>IFERROR(AVERAGEIF('Данные 2st'!$Q$2:$Q$317,$A56,'Данные 2st'!$FQ$2:$FQ$317),"")</f>
        <v>206</v>
      </c>
      <c r="MQ56" s="7">
        <f>IFERROR(AVERAGEIF('Данные 2st'!$Q$2:$Q$317,$A56,'Данные 2st'!$FS$2:$FS$317),"")</f>
        <v>232</v>
      </c>
      <c r="MR56" s="7">
        <f>IFERROR(AVERAGEIF('Данные 2st'!$Q$2:$Q$317,$A56,'Данные 2st'!$FU$2:$FU$317),"")</f>
        <v>0.4</v>
      </c>
      <c r="MS56" s="7">
        <f>IFERROR(AVERAGEIF('Данные 2st'!$Q$2:$Q$317,$A56,'Данные 2st'!$FV$2:$FV$317),"")</f>
        <v>2024</v>
      </c>
      <c r="MT56" s="7">
        <f>IFERROR(AVERAGEIF('Данные 2st'!$Q$2:$Q$317,$A56,'Данные 2st'!$FW$2:$FW$317),"")</f>
        <v>209</v>
      </c>
      <c r="MU56" s="7">
        <f>IFERROR(AVERAGEIF('Данные 2st'!$Q$2:$Q$317,$A56,'Данные 2st'!$FY$2:$FY$317),"")</f>
        <v>5</v>
      </c>
      <c r="MV56" s="7">
        <f>IFERROR(AVERAGEIF('Данные 2st'!$Q$2:$Q$317,$A56,'Данные 2st'!$GB$2:$GB$317),"")</f>
        <v>2024</v>
      </c>
      <c r="MW56" s="7">
        <f>IFERROR(AVERAGEIF('Данные 2st'!$Q$2:$Q$317,$A56,'Данные 2st'!$GC$2:$GC$317),"")</f>
        <v>21</v>
      </c>
      <c r="MX56" s="7">
        <f>IFERROR(AVERAGEIF('Данные 2st'!$Q$2:$Q$317,$A56,'Данные 2st'!$GD$2:$GD$317),"")</f>
        <v>5134</v>
      </c>
      <c r="MY56" s="7">
        <f>IFERROR(AVERAGEIF('Данные 2st'!$Q$2:$Q$317,$A56,'Данные 2st'!$GN$2:$GN$317),"")</f>
        <v/>
      </c>
      <c r="MZ56" s="7">
        <f>IFERROR(AVERAGEIF('Данные 2st'!$Q$2:$Q$317,$A56,'Данные 2st'!$GQ$2:$GQ$317),"")</f>
        <v>0</v>
      </c>
      <c r="NA56" s="7">
        <f>IFERROR(AVERAGEIF('Данные 2st'!$Q$2:$Q$317,$A56,'Данные 2st'!$GV$2:$GV$317),"")</f>
        <v>9</v>
      </c>
      <c r="NB56" s="7">
        <f>IFERROR(AVERAGEIF('Данные 2st'!$Q$2:$Q$317,$A56,'Данные 2st'!$GW$2:$GW$317),"")</f>
        <v>11.5</v>
      </c>
      <c r="NC56" s="7">
        <f>IFERROR(AVERAGEIF('Данные 2st'!$Q$2:$Q$317,$A56,'Данные 2st'!$GX$2:$GX$317),"")</f>
        <v>0.5</v>
      </c>
      <c r="ND56" s="7">
        <f>IFERROR(AVERAGEIF('Данные 2st'!$Q$2:$Q$317,$A56,'Данные 2st'!$GY$2:$GY$317),"")</f>
        <v>206</v>
      </c>
      <c r="NE56" s="7">
        <f>IFERROR(AVERAGEIF('Данные 2st'!$Q$2:$Q$317,$A56,'Данные 2st'!$GZ$2:$GZ$317),"")</f>
        <v>3</v>
      </c>
      <c r="NF56" s="7">
        <f>IFERROR(AVERAGEIF('Данные 2st'!$Q$2:$Q$317,$A56,'Данные 2st'!$HA$2:$HA$317),"")</f>
        <v>248</v>
      </c>
      <c r="NG56" s="7">
        <f>IFERROR(AVERAGEIF('Данные 2st'!$Q$2:$Q$317,$A56,'Данные 2st'!$HB$2:$HB$317),"")</f>
        <v>3</v>
      </c>
      <c r="NH56" s="7">
        <f>IFERROR(AVERAGEIF('Данные 2st'!$Q$2:$Q$317,$A56,'Данные 2st'!$HC$2:$HC$317),"")</f>
        <v>2024</v>
      </c>
      <c r="NI56" s="7">
        <f>IFERROR(AVERAGEIF('Данные 2st'!$Q$2:$Q$317,$A56,'Данные 2st'!$HD$2:$HD$317),"")</f>
        <v>4</v>
      </c>
      <c r="NJ56" s="7">
        <f>IFERROR(AVERAGEIF('Данные 2st'!$Q$2:$Q$317,$A56,'Данные 2st'!$HM$2:$HM$317),"")</f>
        <v>19</v>
      </c>
      <c r="NK56" s="7">
        <f>IFERROR(AVERAGEIF('Данные 2st'!$Q$2:$Q$317,$A56,'Данные 2st'!$HR$2:$HR$317),"")</f>
        <v>1</v>
      </c>
      <c r="NL56" s="7">
        <f>IFERROR(AVERAGEIF('Данные 2st'!$Q$2:$Q$317,$A56,'Данные 2st'!$HS$2:$HS$317),"")</f>
        <v>1975</v>
      </c>
      <c r="NM56" s="7">
        <f>IFERROR(AVERAGEIF('Данные 2st'!$Q$2:$Q$317,$A56,'Данные 2st'!$HT$2:$HT$317),"")</f>
        <v>5</v>
      </c>
      <c r="NN56" s="7">
        <f>IFERROR(AVERAGEIF('Данные 2st'!$Q$2:$Q$317,$A56,'Данные 2st'!$HY$2:$HY$317),"")</f>
        <v>0</v>
      </c>
      <c r="NO56" s="7">
        <f>IFERROR(AVERAGEIF('Данные 2st'!$Q$2:$Q$317,$A56,'Данные 2st'!$HZ$2:$HZ$317),"")</f>
        <v>61</v>
      </c>
      <c r="NP56" s="7">
        <f>IFERROR(AVERAGEIF('Данные 2st'!$Q$2:$Q$317,$A56,'Данные 2st'!$IA$2:$IA$317),"")</f>
        <v>1978</v>
      </c>
      <c r="NQ56" s="7">
        <f>IFERROR(AVERAGEIF('Данные 2st'!$Q$2:$Q$317,$A56,'Данные 2st'!$IB$2:$IB$317),"")</f>
        <v>1990</v>
      </c>
      <c r="NR56" s="7">
        <f>IFERROR(AVERAGEIF('Данные 2st'!$Q$2:$Q$317,$A56,'Данные 2st'!$IC$2:$IC$317),"")</f>
        <v/>
      </c>
      <c r="NS56" s="7">
        <f>IFERROR(AVERAGEIF('Данные 2st'!$Q$2:$Q$317,$A56,'Данные 2st'!$ID$2:$ID$317),"")</f>
        <v>2024</v>
      </c>
      <c r="NT56" s="7">
        <f>IFERROR(AVERAGEIF('Данные 2st'!$Q$2:$Q$317,$A56,'Данные 2st'!$IE$2:$IE$317),"")</f>
        <v>2024</v>
      </c>
      <c r="NU56" s="7">
        <f>IFERROR(AVERAGEIF('Данные 2st'!$Q$2:$Q$317,$A56,'Данные 2st'!$IF$2:$IF$317),"")</f>
        <v>210</v>
      </c>
      <c r="NV56" s="7">
        <f>IFERROR(AVERAGEIF('Данные 2st'!$Q$2:$Q$317,$A56,'Данные 2st'!$IG$2:$IG$317),"")</f>
        <v>200</v>
      </c>
      <c r="NW56" s="7">
        <f>IFERROR(AVERAGEIF('Данные 2st'!$Q$2:$Q$317,$A56,'Данные 2st'!$IH$2:$IH$317),"")</f>
        <v>248</v>
      </c>
      <c r="NX56" s="7">
        <f>IFERROR(AVERAGEIF('Данные 2st'!$Q$2:$Q$317,$A56,'Данные 2st'!$IJ$2:$IJ$317),"")</f>
        <v>5</v>
      </c>
      <c r="NY56" s="7">
        <f>IFERROR(AVERAGEIF('Данные 2st'!$Q$2:$Q$317,$A56,'Данные 2st'!$IM$2:$IM$317),"")</f>
        <v>0</v>
      </c>
      <c r="NZ56" s="7">
        <f>IFERROR(AVERAGEIF('Данные 2st'!$Q$2:$Q$317,$A56,'Данные 2st'!$IN$2:$IN$317),"")</f>
        <v>270</v>
      </c>
      <c r="OA56" s="7">
        <f>IFERROR(AVERAGEIF('Данные 2st'!$Q$2:$Q$317,$A56,'Данные 2st'!$IO$2:$IO$317),"")</f>
        <v>0</v>
      </c>
      <c r="OB56" s="7">
        <f>IFERROR(AVERAGEIF('Данные 2st'!$Q$2:$Q$317,$A56,'Данные 2st'!$IP$2:$IP$317),"")</f>
        <v>180</v>
      </c>
      <c r="OC56" s="7">
        <f>IFERROR(AVERAGEIF('Данные 2st'!$Q$2:$Q$317,$A56,'Данные 2st'!$IQ$2:$IQ$317),"")</f>
        <v>0</v>
      </c>
      <c r="OD56" s="7">
        <f>IFERROR(AVERAGEIF('Данные 2st'!$Q$2:$Q$317,$A56,'Данные 2st'!$IR$2:$IR$317),"")</f>
        <v>330</v>
      </c>
      <c r="OE56" s="7">
        <f>IFERROR(AVERAGEIF('Данные 2st'!$Q$2:$Q$317,$A56,'Данные 2st'!$IT$2:$IT$317),"")</f>
        <v>90</v>
      </c>
      <c r="OF56" s="7">
        <f>IFERROR(AVERAGEIF('Данные 2st'!$Q$2:$Q$317,$A56,'Данные 2st'!$IU$2:$IU$317),"")</f>
        <v>0</v>
      </c>
      <c r="OG56" s="7">
        <f>IFERROR(AVERAGEIF('Данные 2st'!$Q$2:$Q$317,$A56,'Данные 2st'!$IV$2:$IV$317),"")</f>
        <v>6.4</v>
      </c>
      <c r="OH56" s="7">
        <f>IFERROR(AVERAGEIF('Данные 2st'!$Q$2:$Q$317,$A56,'Данные 2st'!$IW$2:$IW$317),"")</f>
        <v>-6</v>
      </c>
      <c r="OI56" s="7">
        <f>IFERROR(AVERAGEIF('Данные 2st'!$Q$2:$Q$317,$A56,'Данные 2st'!$IX$2:$IX$317),"")</f>
        <v>107.5</v>
      </c>
      <c r="OJ56" s="7">
        <f>IFERROR(AVERAGEIF('Данные 2st'!$Q$2:$Q$317,$A56,'Данные 2st'!$IY$2:$IY$317),"")</f>
        <v>77.5</v>
      </c>
      <c r="OK56" s="7">
        <f>IFERROR(AVERAGEIF('Данные 2st'!$Q$2:$Q$317,$A56,'Данные 2st'!$IZ$2:$IZ$317),"")</f>
        <v>0</v>
      </c>
      <c r="OL56" s="7">
        <f>IFERROR(AVERAGEIF('Данные 2st'!$Q$2:$Q$317,$A56,'Данные 2st'!$JA$2:$JA$317),"")</f>
        <v>0</v>
      </c>
      <c r="OM56" s="7">
        <f>IFERROR(AVERAGEIF('Данные 2st'!$Q$2:$Q$317,$A56,'Данные 2st'!$JB$2:$JB$317),"")</f>
        <v>0</v>
      </c>
      <c r="ON56" s="7">
        <f>IFERROR(AVERAGEIF('Данные 2st'!$Q$2:$Q$317,$A56,'Данные 2st'!$JC$2:$JC$317),"")</f>
        <v>0</v>
      </c>
      <c r="OO56" s="7">
        <f>IFERROR(AVERAGEIF('Данные 2st'!$Q$2:$Q$317,$A56,'Данные 2st'!$JD$2:$JD$317),"")</f>
        <v>0</v>
      </c>
      <c r="OP56" s="7">
        <f>IFERROR(AVERAGEIF('Данные 2st'!$Q$2:$Q$317,$A56,'Данные 2st'!$JE$2:$JE$317),"")</f>
        <v>0</v>
      </c>
      <c r="OQ56" s="7">
        <f>IFERROR(AVERAGEIF('Данные 2st'!$Q$2:$Q$317,$A56,'Данные 2st'!$JF$2:$JF$317),"")</f>
        <v>0</v>
      </c>
      <c r="OR56" s="7">
        <f>IFERROR(AVERAGEIF('Данные 2st'!$Q$2:$Q$317,$A56,'Данные 2st'!$JG$2:$JG$317),"")</f>
        <v>0</v>
      </c>
      <c r="OS56" s="7">
        <f>IFERROR(AVERAGEIF('Данные 2st'!$Q$2:$Q$317,$A56,'Данные 2st'!$JH$2:$JH$317),"")</f>
        <v>0</v>
      </c>
      <c r="OT56" s="7">
        <f>IFERROR(AVERAGEIF('Данные 2st'!$Q$2:$Q$317,$A56,'Данные 2st'!$JI$2:$JI$317),"")</f>
        <v>346</v>
      </c>
      <c r="OU56" s="7">
        <f>IFERROR(AVERAGEIF('Данные 2st'!$Q$2:$Q$317,$A56,'Данные 2st'!$JJ$2:$JJ$317),"")</f>
        <v>316</v>
      </c>
      <c r="OV56" s="7">
        <f>IFERROR(AVERAGEIF('Данные 2st'!$Q$2:$Q$317,$A56,'Данные 2st'!$JK$2:$JK$317),"")</f>
        <v>240</v>
      </c>
      <c r="OW56" s="7">
        <f>IFERROR(AVERAGEIF('Данные 2st'!$Q$2:$Q$317,$A56,'Данные 2st'!$JL$2:$JL$317),"")</f>
        <v>314</v>
      </c>
      <c r="OX56" s="7">
        <f>IFERROR(AVERAGEIF('Данные 2st'!$Q$2:$Q$317,$A56,'Данные 2st'!$JM$2:$JM$317),"")</f>
        <v>254</v>
      </c>
      <c r="OY56" s="7">
        <f>IFERROR(AVERAGEIF('Данные 2st'!$Q$2:$Q$317,$A56,'Данные 2st'!$JP$2:$JP$317),"")</f>
        <v>228</v>
      </c>
      <c r="OZ56" s="7">
        <f>IFERROR(AVERAGEIF('Данные 2st'!$Q$2:$Q$317,$A56,'Данные 2st'!$JQ$2:$JQ$317),"")</f>
        <v>260</v>
      </c>
      <c r="PA56" s="7">
        <f>IFERROR(AVERAGEIF('Данные 2st'!$Q$2:$Q$317,$A56,'Данные 2st'!$JR$2:$JR$317),"")</f>
        <v>303</v>
      </c>
      <c r="PB56" s="7">
        <f>IFERROR(AVERAGEIF('Данные 2st'!$Q$2:$Q$317,$A56,'Данные 2st'!$JS$2:$JS$317),"")</f>
        <v>280</v>
      </c>
      <c r="PC56" s="7">
        <f>IFERROR(AVERAGEIF('Данные 2st'!$Q$2:$Q$317,$A56,'Данные 2st'!$JT$2:$JT$317),"")</f>
        <v>0</v>
      </c>
      <c r="PD56" s="7">
        <f>IFERROR(AVERAGEIF('Данные 2st'!$Q$2:$Q$317,$A56,'Данные 2st'!$JU$2:$JU$317),"")</f>
        <v>0</v>
      </c>
      <c r="PE56" s="7">
        <f>IFERROR(AVERAGEIF('Данные 2st'!$Q$2:$Q$317,$A56,'Данные 2st'!$JV$2:$JV$317),"")</f>
        <v>300</v>
      </c>
      <c r="PF56" s="7">
        <f>IFERROR(AVERAGEIF('Данные 2st'!$Q$2:$Q$317,$A56,'Данные 2st'!$JW$2:$JW$317),"")</f>
        <v>311</v>
      </c>
      <c r="PG56" s="7">
        <f>IFERROR(AVERAGEIF('Данные 2st'!$Q$2:$Q$317,$A56,'Данные 2st'!$KF$2:$KF$317),"")</f>
        <v>0.2</v>
      </c>
      <c r="PH56" s="7">
        <f>IFERROR(AVERAGEIF('Данные 2st'!$Q$2:$Q$317,$A56,'Данные 2st'!$KG$2:$KG$317),"")</f>
        <v>0.11</v>
      </c>
      <c r="PI56" s="7">
        <f>IFERROR(AVERAGEIF('Данные 2st'!$Q$2:$Q$317,$A56,'Данные 2st'!$KM$2:$KM$317),"")</f>
        <v>0.5</v>
      </c>
      <c r="PJ56" s="7">
        <f>IFERROR(AVERAGEIF('Данные 2st'!$Q$2:$Q$317,$A56,'Данные 2st'!$KN$2:$KN$317),"")</f>
        <v>1.4</v>
      </c>
      <c r="PK56" s="7">
        <f>IFERROR(AVERAGEIF('Данные 2st'!$Q$2:$Q$317,$A56,'Данные 2st'!$KO$2:$KO$317),"")</f>
        <v>0</v>
      </c>
      <c r="PL56" s="7">
        <f>IFERROR(AVERAGEIF('Данные 2st'!$Q$2:$Q$317,$A56,'Данные 2st'!$KP$2:$KP$317),"")</f>
        <v>0</v>
      </c>
      <c r="PM56" s="7">
        <f>IFERROR(AVERAGEIF('Данные 2st'!$Q$2:$Q$317,$A56,'Данные 2st'!$KQ$2:$KQ$317),"")</f>
        <v>0.7</v>
      </c>
      <c r="PN56" s="7">
        <f>IFERROR(AVERAGEIF('Данные 2st'!$Q$2:$Q$317,$A56,'Данные 2st'!$KR$2:$KR$317),"")</f>
        <v>0.7</v>
      </c>
      <c r="PO56" s="7">
        <f>IFERROR(AVERAGEIF('Данные 2st'!$Q$2:$Q$317,$A56,'Данные 2st'!$KS$2:$KS$317),"")</f>
        <v>0.2</v>
      </c>
      <c r="PP56" s="7">
        <f>IFERROR(AVERAGEIF('Данные 2st'!$Q$2:$Q$317,$A56,'Данные 2st'!$KT$2:$KT$317),"")</f>
        <v>2.1</v>
      </c>
      <c r="PQ56" s="7">
        <f>IFERROR(AVERAGEIF('Данные 2st'!$Q$2:$Q$317,$A56,'Данные 2st'!$KU$2:$KU$317),"")</f>
        <v>0</v>
      </c>
      <c r="PR56" s="7">
        <f>IFERROR(AVERAGEIF('Данные 2st'!$Q$2:$Q$317,$A56,'Данные 2st'!$KV$2:$KV$317),"")</f>
        <v>0</v>
      </c>
      <c r="PS56" s="7">
        <f>IFERROR(AVERAGEIF('Данные 2st'!$Q$2:$Q$317,$A56,'Данные 2st'!$KW$2:$KW$317),"")</f>
        <v>1</v>
      </c>
      <c r="PT56" s="7">
        <f>IFERROR(AVERAGEIF('Данные 2st'!$Q$2:$Q$317,$A56,'Данные 2st'!$KX$2:$KX$317),"")</f>
        <v>2</v>
      </c>
      <c r="PU56" s="7">
        <f>IFERROR(AVERAGEIF('Данные 2st'!$Q$2:$Q$317,$A56,'Данные 2st'!$KY$2:$KY$317),"")</f>
        <v>0</v>
      </c>
      <c r="PV56" s="7">
        <f>IFERROR(AVERAGEIF('Данные 2st'!$Q$2:$Q$317,$A56,'Данные 2st'!$KZ$2:$KZ$317),"")</f>
        <v>0</v>
      </c>
      <c r="PW56" s="7">
        <f>IFERROR(AVERAGEIF('Данные 2st'!$Q$2:$Q$317,$A56,'Данные 2st'!$LA$2:$LA$317),"")</f>
        <v>0</v>
      </c>
      <c r="PX56" s="7">
        <f>IFERROR(AVERAGEIF('Данные 2st'!$Q$2:$Q$317,$A56,'Данные 2st'!$LB$2:$LB$317),"")</f>
        <v>0</v>
      </c>
      <c r="PY56" s="7">
        <f>IFERROR(AVERAGEIF('Данные 2st'!$Q$2:$Q$317,$A56,'Данные 2st'!$LC$2:$LC$317),"")</f>
        <v>0</v>
      </c>
      <c r="PZ56" s="7">
        <f>IFERROR(AVERAGEIF('Данные 2st'!$Q$2:$Q$317,$A56,'Данные 2st'!$LD$2:$LD$317),"")</f>
        <v>0</v>
      </c>
      <c r="QA56" s="7">
        <f>IFERROR(AVERAGEIF('Данные 2st'!$Q$2:$Q$317,$A56,'Данные 2st'!$LE$2:$LE$317),"")</f>
        <v>0</v>
      </c>
      <c r="QB56" s="7">
        <f>IFERROR(AVERAGEIF('Данные 2st'!$Q$2:$Q$317,$A56,'Данные 2st'!$LF$2:$LF$317),"")</f>
        <v>0</v>
      </c>
      <c r="QC56" s="7">
        <f>IFERROR(AVERAGEIF('Данные 2st'!$Q$2:$Q$317,$A56,'Данные 2st'!$LG$2:$LG$317),"")</f>
        <v>0</v>
      </c>
      <c r="QD56" s="7">
        <f>IFERROR(AVERAGEIF('Данные 2st'!$Q$2:$Q$317,$A56,'Данные 2st'!$LH$2:$LH$317),"")</f>
        <v>3</v>
      </c>
      <c r="QE56" s="7">
        <f>IFERROR(AVERAGEIF('Данные 2st'!$Q$2:$Q$317,$A56,'Данные 2st'!$LJ$2:$LJ$317),"")</f>
        <v>0</v>
      </c>
      <c r="QF56" s="7">
        <f>IFERROR(AVERAGEIF('Данные 2st'!$Q$2:$Q$317,$A56,'Данные 2st'!$LK$2:$LK$317),"")</f>
        <v>4.5</v>
      </c>
      <c r="QG56" s="7">
        <f>IFERROR(AVERAGEIF('Данные 2st'!$Q$2:$Q$317,$A56,'Данные 2st'!$LL$2:$LL$317),"")</f>
        <v>4.5</v>
      </c>
      <c r="QH56" s="7">
        <f>IFERROR(AVERAGEIF('Данные 2st'!$Q$2:$Q$317,$A56,'Данные 2st'!$LM$2:$LM$317),"")</f>
        <v>7</v>
      </c>
      <c r="QI56" s="7">
        <f>IFERROR(AVERAGEIF('Данные 2st'!$Q$2:$Q$317,$A56,'Данные 2st'!$LN$2:$LN$317),"")</f>
        <v>0.4</v>
      </c>
      <c r="QJ56" s="7">
        <f>IFERROR(AVERAGEIF('Данные 2st'!$Q$2:$Q$317,$A56,'Данные 2st'!$LO$2:$LO$317),"")</f>
        <v>3.5</v>
      </c>
      <c r="QK56" s="7">
        <f>IFERROR(AVERAGEIF('Данные 2st'!$Q$2:$Q$317,$A56,'Данные 2st'!$LP$2:$LP$317),"")</f>
        <v>0</v>
      </c>
      <c r="QL56" s="7">
        <f>IFERROR(AVERAGEIF('Данные 2st'!$Q$2:$Q$317,$A56,'Данные 2st'!$LQ$2:$LQ$317),"")</f>
        <v>0</v>
      </c>
      <c r="QM56" s="7">
        <f>IFERROR(AVERAGEIF('Данные 2st'!$Q$2:$Q$317,$A56,'Данные 2st'!$LW$2:$LW$317),"")</f>
        <v>1.6</v>
      </c>
      <c r="QN56" s="7">
        <f>IFERROR(AVERAGEIF('Данные 2st'!$Q$2:$Q$317,$A56,'Данные 2st'!$LX$2:$LX$317),"")</f>
        <v>1.6</v>
      </c>
      <c r="QO56" s="7">
        <f>IFERROR(AVERAGEIF('Данные 2st'!$Q$2:$Q$317,$A56,'Данные 2st'!$LY$2:$LY$317),"")</f>
        <v>1.8</v>
      </c>
      <c r="QP56" s="7">
        <f>IFERROR(AVERAGEIF('Данные 2st'!$Q$2:$Q$317,$A56,'Данные 2st'!$LZ$2:$LZ$317),"")</f>
        <v>1.8</v>
      </c>
      <c r="QQ56" s="7">
        <f>IFERROR(AVERAGEIF('Данные 2st'!$Q$2:$Q$317,$A56,'Данные 2st'!$MB$2:$MB$317),"")</f>
        <v>2.5</v>
      </c>
      <c r="QR56" s="7">
        <f>IFERROR(AVERAGEIF('Данные 2st'!$Q$2:$Q$317,$A56,'Данные 2st'!$MG$2:$MG$317),"")</f>
        <v/>
      </c>
      <c r="QS56" s="7">
        <f>IFERROR(AVERAGEIF('Данные 2st'!$Q$2:$Q$317,$A56,'Данные 2st'!$MH$2:$MH$317),"")</f>
        <v/>
      </c>
      <c r="QT56" s="7">
        <f>IFERROR(AVERAGEIF('Данные 2st'!$Q$2:$Q$317,$A56,'Данные 2st'!$MI$2:$MI$317),"")</f>
        <v>0</v>
      </c>
      <c r="QU56" s="7">
        <f>IFERROR(AVERAGEIF('Данные 2st'!$Q$2:$Q$317,$A56,'Данные 2st'!$MJ$2:$MJ$317),"")</f>
        <v>0</v>
      </c>
      <c r="QV56" s="7">
        <f>IFERROR(AVERAGEIF('Данные 2st'!$Q$2:$Q$317,$A56,'Данные 2st'!$MK$2:$MK$317),"")</f>
        <v/>
      </c>
      <c r="QW56" s="7">
        <f>IFERROR(AVERAGEIF('Данные 2st'!$Q$2:$Q$317,$A56,'Данные 2st'!$MM$2:$MM$317),"")</f>
        <v>390</v>
      </c>
      <c r="QX56" s="7">
        <f>IFERROR(AVERAGEIF('Данные 2st'!$Q$2:$Q$317,$A56,'Данные 2st'!$MQ$2:$MQ$317),"")</f>
        <v/>
      </c>
      <c r="QY56" s="7">
        <f>IFERROR(AVERAGEIF('Данные 2st'!$Q$2:$Q$317,$A56,'Данные 2st'!$MR$2:$MR$317),"")</f>
        <v/>
      </c>
      <c r="QZ56" s="7">
        <f>IFERROR(AVERAGEIF('Данные 2st'!$Q$2:$Q$317,$A56,'Данные 2st'!$MS$2:$MS$317),"")</f>
        <v/>
      </c>
      <c r="RA56" s="7">
        <f>IFERROR(AVERAGEIF('Данные 2st'!$Q$2:$Q$317,$A56,'Данные 2st'!$MT$2:$MT$317),"")</f>
        <v/>
      </c>
      <c r="RB56" s="7">
        <f>IFERROR(AVERAGEIF('Данные 2st'!$Q$2:$Q$317,$A56,'Данные 2st'!$MU$2:$MU$317),"")</f>
        <v/>
      </c>
      <c r="RC56" s="7">
        <f>IFERROR(AVERAGEIF('Данные 2st'!$Q$2:$Q$317,$A56,'Данные 2st'!$MV$2:$MV$317),"")</f>
        <v/>
      </c>
      <c r="RD56" s="7">
        <f>IFERROR(AVERAGEIF('Данные 2st'!$Q$2:$Q$317,$A56,'Данные 2st'!$MW$2:$MW$317),"")</f>
        <v/>
      </c>
      <c r="RE56" s="7">
        <f>IFERROR(AVERAGEIF('Данные 2st'!$Q$2:$Q$317,$A56,'Данные 2st'!$MX$2:$MX$317),"")</f>
        <v/>
      </c>
      <c r="RF56" s="7">
        <f>IFERROR(AVERAGEIF('Данные 2st'!$Q$2:$Q$317,$A56,'Данные 2st'!$MY$2:$MY$317),"")</f>
        <v/>
      </c>
      <c r="RG56" s="7">
        <f>IFERROR(AVERAGEIF('Данные 2st'!$Q$2:$Q$317,$A56,'Данные 2st'!$MZ$2:$MZ$317),"")</f>
        <v/>
      </c>
      <c r="RH56" s="7">
        <f>IFERROR(AVERAGEIF('Данные 2st'!$Q$2:$Q$317,$A56,'Данные 2st'!$NA$2:$NA$317),"")</f>
        <v/>
      </c>
      <c r="RI56" s="7">
        <f>IFERROR(AVERAGEIF('Данные 2st'!$Q$2:$Q$317,$A56,'Данные 2st'!$NB$2:$NB$317),"")</f>
        <v/>
      </c>
      <c r="RJ56" s="7">
        <f>IFERROR(AVERAGEIF('Данные 2st'!$Q$2:$Q$317,$A56,'Данные 2st'!$NC$2:$NC$317),"")</f>
        <v/>
      </c>
      <c r="RK56" s="7">
        <f>IFERROR(AVERAGEIF('Данные 2st'!$Q$2:$Q$317,$A56,'Данные 2st'!$ND$2:$ND$317),"")</f>
        <v/>
      </c>
      <c r="RL56" s="7">
        <f>IFERROR(AVERAGEIF('Данные 2st'!$Q$2:$Q$317,$A56,'Данные 2st'!$NE$2:$NE$317),"")</f>
        <v/>
      </c>
      <c r="RM56" s="7">
        <f>IFERROR(AVERAGEIF('Данные 2st'!$Q$2:$Q$317,$A56,'Данные 2st'!$NF$2:$NF$317),"")</f>
        <v/>
      </c>
      <c r="RN56" s="7">
        <f>IFERROR(AVERAGEIF('Данные 2st'!$Q$2:$Q$317,$A56,'Данные 2st'!$NG$2:$NG$317),"")</f>
        <v/>
      </c>
      <c r="RO56" s="7">
        <f>IFERROR(AVERAGEIF('Данные 2st'!$Q$2:$Q$317,$A56,'Данные 2st'!$NH$2:$NH$317),"")</f>
        <v/>
      </c>
      <c r="RP56" s="7">
        <f>IFERROR(AVERAGEIF('Данные 2st'!$Q$2:$Q$317,$A56,'Данные 2st'!$NJ$2:$NJ$317),"")</f>
        <v/>
      </c>
      <c r="RQ56" s="7">
        <f>IFERROR(AVERAGEIF('Данные 2st'!$Q$2:$Q$317,$A56,'Данные 2st'!$NK$2:$NK$317),"")</f>
        <v/>
      </c>
      <c r="RR56" s="7">
        <f>IFERROR(AVERAGEIF('Данные 2st'!$Q$2:$Q$317,$A56,'Данные 2st'!$NM$2:$NM$317),"")</f>
        <v/>
      </c>
      <c r="RS56" s="7">
        <f>IFERROR(AVERAGEIF('Данные 2st'!$Q$2:$Q$317,$A56,'Данные 2st'!$NN$2:$NN$317),"")</f>
        <v/>
      </c>
      <c r="RT56" s="7">
        <f>IFERROR(AVERAGEIF('Данные 2st'!$Q$2:$Q$317,$A56,'Данные 2st'!$NO$2:$NO$317),"")</f>
        <v/>
      </c>
      <c r="RU56" s="7">
        <f>IFERROR(AVERAGEIF('Данные 2st'!$Q$2:$Q$317,$A56,'Данные 2st'!$NP$2:$NP$317),"")</f>
        <v/>
      </c>
      <c r="RV56" s="7">
        <f>IFERROR(AVERAGEIF('Данные 2st'!$Q$2:$Q$317,$A56,'Данные 2st'!$NQ$2:$NQ$317),"")</f>
        <v/>
      </c>
      <c r="RW56" s="7">
        <f>IFERROR(AVERAGEIF('Данные 2st'!$Q$2:$Q$317,$A56,'Данные 2st'!$NR$2:$NR$317),"")</f>
        <v/>
      </c>
      <c r="RX56" s="7">
        <f>IFERROR(AVERAGEIF('Данные 2st'!$Q$2:$Q$317,$A56,'Данные 2st'!$NS$2:$NS$317),"")</f>
        <v/>
      </c>
      <c r="RY56" s="7">
        <f>IFERROR(AVERAGEIF('Данные 2st'!$Q$2:$Q$317,$A56,'Данные 2st'!$NT$2:$NT$317),"")</f>
        <v/>
      </c>
      <c r="RZ56" s="7">
        <f>IFERROR(AVERAGEIF('Данные 2st'!$Q$2:$Q$317,$A56,'Данные 2st'!$OK$2:$OK$317),"")</f>
        <v>61</v>
      </c>
      <c r="SA56" s="7">
        <f>IFERROR(AVERAGEIF('Данные 2st'!$Q$2:$Q$317,$A56,'Данные 2st'!$OL$2:$OL$317),"")</f>
        <v>61</v>
      </c>
      <c r="SB56" s="7">
        <f>IFERROR(AVERAGEIF('Данные 2st'!$Q$2:$Q$317,$A56,'Данные 2st'!$ON$2:$ON$317),"")</f>
        <v>1</v>
      </c>
      <c r="SC56" s="7">
        <f>IFERROR(AVERAGEIF('Данные 2st'!$Q$2:$Q$317,$A56,'Данные 2st'!$OO$2:$OO$317),"")</f>
        <v>1978</v>
      </c>
      <c r="SD56" s="7">
        <f>IFERROR(AVERAGEIF('Данные 2st'!$Q$2:$Q$317,$A56,'Данные 2st'!$OP$2:$OP$317),"")</f>
        <v>61</v>
      </c>
      <c r="SE56" s="7">
        <f>IFERROR(AVERAGEIF('Данные 2st'!$Q$2:$Q$317,$A56,'Данные 2st'!$OQ$2:$OQ$317),"")</f>
        <v>61</v>
      </c>
      <c r="SF56" s="7">
        <f>IFERROR(AVERAGEIF('Данные 2st'!$Q$2:$Q$317,$A56,'Данные 2st'!$OS$2:$OS$317),"")</f>
        <v>1</v>
      </c>
      <c r="SG56" s="7">
        <f>IFERROR(AVERAGEIF('Данные 2st'!$Q$2:$Q$317,$A56,'Данные 2st'!$OT$2:$OT$317),"")</f>
        <v>1990</v>
      </c>
      <c r="SH56" s="7">
        <f>IFERROR(AVERAGEIF('Данные 2st'!$Q$2:$Q$317,$A56,'Данные 2st'!$OU$2:$OU$317),"")</f>
        <v>65</v>
      </c>
      <c r="SI56" s="7">
        <f>IFERROR(AVERAGEIF('Данные 2st'!$Q$2:$Q$317,$A56,'Данные 2st'!$OV$2:$OV$317),"")</f>
        <v>65</v>
      </c>
      <c r="SJ56" s="7">
        <f>IFERROR(AVERAGEIF('Данные 2st'!$Q$2:$Q$317,$A56,'Данные 2st'!$OX$2:$OX$317),"")</f>
        <v>2</v>
      </c>
      <c r="SK56" s="7">
        <f>IFERROR(AVERAGEIF('Данные 2st'!$Q$2:$Q$317,$A56,'Данные 2st'!$OY$2:$OY$317),"")</f>
        <v>44622</v>
      </c>
      <c r="SL56" s="7">
        <f>IFERROR(AVERAGEIF('Данные 2st'!$Q$2:$Q$317,$A56,'Данные 2st'!$OZ$2:$OZ$317),"")</f>
        <v>51</v>
      </c>
      <c r="SM56" s="7">
        <f>IFERROR(AVERAGEIF('Данные 2st'!$Q$2:$Q$317,$A56,'Данные 2st'!$PA$2:$PA$317),"")</f>
        <v>52</v>
      </c>
      <c r="SN56" s="7">
        <f>IFERROR(AVERAGEIF('Данные 2st'!$Q$2:$Q$317,$A56,'Данные 2st'!$PC$2:$PC$317),"")</f>
        <v>1</v>
      </c>
      <c r="SO56" s="7">
        <f>IFERROR(AVERAGEIF('Данные 2st'!$Q$2:$Q$317,$A56,'Данные 2st'!$PD$2:$PD$317),"")</f>
        <v>2024</v>
      </c>
      <c r="SP56" s="7">
        <f>IFERROR(AVERAGEIF('Данные 2st'!$Q$2:$Q$317,$A56,'Данные 2st'!$PF$2:$PF$317),"")</f>
        <v>454</v>
      </c>
      <c r="SQ56" s="7">
        <f>IFERROR(AVERAGEIF('Данные 2st'!$Q$2:$Q$317,$A56,'Данные 2st'!$PG$2:$PG$317),"")</f>
        <v>35</v>
      </c>
      <c r="SR56" s="7">
        <f>IFERROR(AVERAGEIF('Данные 2st'!$Q$2:$Q$317,$A56,'Данные 2st'!$PH$2:$PH$317),"")</f>
        <v>433</v>
      </c>
      <c r="SS56" s="7">
        <f>IFERROR(AVERAGEIF('Данные 2st'!$Q$2:$Q$317,$A56,'Данные 2st'!$PI$2:$PI$317),"")</f>
        <v>0</v>
      </c>
      <c r="ST56" s="7">
        <f>IFERROR(AVERAGEIF('Данные 2st'!$Q$2:$Q$317,$A56,'Данные 2st'!$PJ$2:$PJ$317),"")</f>
        <v>101.9</v>
      </c>
      <c r="SU56" s="7">
        <f>IFERROR(AVERAGEIF('Данные 2st'!$Q$2:$Q$317,$A56,'Данные 2st'!$PK$2:$PK$317),"")</f>
        <v/>
      </c>
      <c r="SV56" s="7">
        <f>IFERROR(AVERAGEIF('Данные 2st'!$Q$2:$Q$317,$A56,'Данные 2st'!$PL$2:$PL$317),"")</f>
        <v>1084.4</v>
      </c>
      <c r="SW56" s="7">
        <f>IFERROR(AVERAGEIF('Данные 2st'!$Q$2:$Q$317,$A56,'Данные 2st'!$PM$2:$PM$317),"")</f>
        <v>1236.6</v>
      </c>
      <c r="SX56" s="7">
        <f>IFERROR(AVERAGEIF('Данные 2st'!$Q$2:$Q$317,$A56,'Данные 2st'!$PN$2:$PN$317),"")</f>
        <v>103.2</v>
      </c>
      <c r="SY56" s="7">
        <f>IFERROR(AVERAGEIF('Данные 2st'!$Q$2:$Q$317,$A56,'Данные 2st'!$PO$2:$PO$317),"")</f>
        <v>10.5</v>
      </c>
      <c r="SZ56" s="7">
        <f>IFERROR(AVERAGEIF('Данные 2st'!$Q$2:$Q$317,$A56,'Данные 2st'!$PP$2:$PP$317),"")</f>
        <v>12</v>
      </c>
      <c r="TA56" s="7">
        <f>IFERROR(AVERAGEIF('Данные 2st'!$Q$2:$Q$317,$A56,'Данные 2st'!$PQ$2:$PQ$317),"")</f>
        <v>3</v>
      </c>
      <c r="TB56" s="7">
        <f>IFERROR(AVERAGEIF('Данные 2st'!$Q$2:$Q$317,$A56,'Данные 2st'!$PR$2:$PR$317),"")</f>
        <v>3</v>
      </c>
      <c r="TC56" s="7">
        <f>IFERROR(AVERAGEIF('Данные 2st'!$Q$2:$Q$317,$A56,'Данные 2st'!$PS$2:$PS$317),"")</f>
        <v>8</v>
      </c>
      <c r="TD56" s="7">
        <f>IFERROR(AVERAGEIF('Данные 2st'!$Q$2:$Q$317,$A56,'Данные 2st'!$PT$2:$PT$317),"")</f>
        <v>248</v>
      </c>
      <c r="TE56" s="7">
        <f>IFERROR(AVERAGEIF('Данные 2st'!$Q$2:$Q$317,$A56,'Данные 2st'!$PU$2:$PU$317),"")</f>
        <v>10</v>
      </c>
      <c r="TF56" s="7">
        <f>IFERROR(AVERAGEIF('Данные 2st'!$Q$2:$Q$317,$A56,'Данные 2st'!$PX$2:$PX$317),"")</f>
        <v>0</v>
      </c>
      <c r="TG56" s="7">
        <f>IFERROR(AVERAGEIF('Данные 2st'!$Q$2:$Q$317,$A56,'Данные 2st'!$PY$2:$PY$317),"")</f>
        <v>0</v>
      </c>
      <c r="TH56" s="7">
        <f>IFERROR(AVERAGEIF('Данные 2st'!$Q$2:$Q$317,$A56,'Данные 2st'!$PZ$2:$PZ$317),"")</f>
        <v>0</v>
      </c>
      <c r="TI56" s="7">
        <f>IFERROR(AVERAGEIF('Данные 2st'!$Q$2:$Q$317,$A56,'Данные 2st'!$QA$2:$QA$317),"")</f>
        <v>0</v>
      </c>
      <c r="TJ56" s="7">
        <f>IFERROR(AVERAGEIF('Данные 2st'!$Q$2:$Q$317,$A56,'Данные 2st'!$QB$2:$QB$317),"")</f>
        <v>0</v>
      </c>
      <c r="TK56" s="7">
        <f>IFERROR(AVERAGEIF('Данные 2st'!$Q$2:$Q$317,$A56,'Данные 2st'!$QC$2:$QC$317),"")</f>
        <v>0</v>
      </c>
      <c r="TL56" s="7">
        <f>IFERROR(AVERAGEIF('Данные 2st'!$Q$2:$Q$317,$A56,'Данные 2st'!$QD$2:$QD$317),"")</f>
        <v>0</v>
      </c>
      <c r="TM56" s="7">
        <f>IFERROR(AVERAGEIF('Данные 2st'!$Q$2:$Q$317,$A56,'Данные 2st'!$QE$2:$QE$317),"")</f>
        <v>-1</v>
      </c>
      <c r="TN56" s="7">
        <f>IFERROR(AVERAGEIF('Данные 2st'!$Q$2:$Q$317,$A56,'Данные 2st'!$QF$2:$QF$317),"")</f>
        <v>1</v>
      </c>
      <c r="TO56" s="7">
        <f>IFERROR(AVERAGEIF('Данные 2st'!$Q$2:$Q$317,$A56,'Данные 2st'!$QG$2:$QG$317),"")</f>
        <v>0</v>
      </c>
      <c r="TP56" s="7">
        <f>IFERROR(AVERAGEIF('Данные 2st'!$Q$2:$Q$317,$A56,'Данные 2st'!$QH$2:$QH$317),"")</f>
        <v>5</v>
      </c>
      <c r="TQ56" s="7">
        <f>IFERROR(AVERAGEIF('Данные 2st'!$Q$2:$Q$317,$A56,'Данные 2st'!$QI$2:$QI$317),"")</f>
        <v>5</v>
      </c>
      <c r="TR56" s="7">
        <f>IFERROR(AVERAGEIF('Данные 2st'!$Q$2:$Q$317,$A56,'Данные 2st'!$QJ$2:$QJ$317),"")</f>
        <v>5</v>
      </c>
      <c r="TS56" s="7">
        <f>IFERROR(AVERAGEIF('Данные 2st'!$Q$2:$Q$317,$A56,'Данные 2st'!$QK$2:$QK$317),"")</f>
        <v>189</v>
      </c>
      <c r="TT56" s="7">
        <f>IFERROR(AVERAGEIF('Данные 2st'!$Q$2:$Q$317,$A56,'Данные 2st'!$QL$2:$QL$317),"")</f>
        <v>376</v>
      </c>
      <c r="TU56" s="7">
        <f>IFERROR(AVERAGEIF('Данные 2st'!$Q$2:$Q$317,$A56,'Данные 2st'!$QM$2:$QM$317),"")</f>
        <v>7.5</v>
      </c>
      <c r="TV56" s="7">
        <f>IFERROR(AVERAGEIF('Данные 2st'!$Q$2:$Q$317,$A56,'Данные 2st'!$QN$2:$QN$317),"")</f>
        <v>1540.9</v>
      </c>
      <c r="TW56" s="7">
        <f>IFERROR(AVERAGEIF('Данные 2st'!$Q$2:$Q$317,$A56,'Данные 2st'!$QQ$2:$QQ$317),"")</f>
        <v>0</v>
      </c>
      <c r="TX56" s="7">
        <f>IFERROR(AVERAGEIF('Данные 2st'!$Q$2:$Q$317,$A56,'Данные 2st'!$QS$2:$QS$317),"")</f>
        <v>40</v>
      </c>
      <c r="TY56" s="7">
        <f>IFERROR(AVERAGEIF('Данные 2st'!$Q$2:$Q$317,$A56,'Данные 2st'!$QT$2:$QT$317),"")</f>
        <v>50</v>
      </c>
    </row>
    <row r="57" spans="1:545" ht="32" customHeight="1">
      <c r="A57" s="11" t="s">
        <v>2231</v>
      </c>
      <c r="B57">
        <f>COUNTIF('Данные 1st'!$S$2:$S$317,$A57)</f>
        <v>2</v>
      </c>
      <c r="C57" s="6" t="s">
        <v>5112</v>
      </c>
      <c r="D57" s="6" t="s">
        <v>513</v>
      </c>
      <c r="E57" s="6" t="s">
        <v>5125</v>
      </c>
      <c r="F57" s="6" t="s">
        <v>5173</v>
      </c>
      <c r="G57" s="7">
        <f>IFERROR(AVERAGEIF('Данные 1st'!$S$2:$S$317,$A57,'Данные 1st'!$AE$2:$AE$317),"")</f>
        <v>190</v>
      </c>
      <c r="H57" s="7">
        <f>IFERROR(AVERAGEIF('Данные 1st'!$S$2:$S$317,$A57,'Данные 1st'!$AF$2:$AF$317),"")</f>
        <v>1.5</v>
      </c>
      <c r="I57" s="7">
        <f>IFERROR(AVERAGEIF('Данные 1st'!$S$2:$S$317,$A57,'Данные 1st'!$AJ$2:$AJ$317),"")</f>
        <v>172.5</v>
      </c>
      <c r="J57" s="7">
        <f>IFERROR(AVERAGEIF('Данные 1st'!$S$2:$S$317,$A57,'Данные 1st'!$AL$2:$AL$317),"")</f>
        <v>1.5</v>
      </c>
      <c r="K57" s="7">
        <f>IFERROR(AVERAGEIF('Данные 1st'!$S$2:$S$317,$A57,'Данные 1st'!$AR$2:$AR$317),"")</f>
        <v>210.5</v>
      </c>
      <c r="L57" s="7">
        <f>IFERROR(AVERAGEIF('Данные 1st'!$S$2:$S$317,$A57,'Данные 1st'!$AS$2:$AS$317),"")</f>
        <v>1.5</v>
      </c>
      <c r="M57" s="7">
        <f>IFERROR(AVERAGEIF('Данные 1st'!$S$2:$S$317,$A57,'Данные 1st'!$AY$2:$AY$317),"")</f>
        <v>237.5</v>
      </c>
      <c r="N57" s="7">
        <f>IFERROR(AVERAGEIF('Данные 1st'!$S$2:$S$317,$A57,'Данные 1st'!$AZ$2:$AZ$317),"")</f>
        <v>1.5</v>
      </c>
      <c r="O57" s="7">
        <f>IFERROR(AVERAGEIF('Данные 1st'!$S$2:$S$317,$A57,'Данные 1st'!$BF$2:$BF$317),"")</f>
        <v>212.5</v>
      </c>
      <c r="P57" s="7">
        <f>IFERROR(AVERAGEIF('Данные 1st'!$S$2:$S$317,$A57,'Данные 1st'!$BG$2:$BG$317),"")</f>
        <v>1.5</v>
      </c>
      <c r="Q57" s="7">
        <f>IFERROR(AVERAGEIF('Данные 1st'!$S$2:$S$317,$A57,'Данные 1st'!$BM$2:$BM$317),"")</f>
        <v/>
      </c>
      <c r="R57" s="7">
        <f>IFERROR(AVERAGEIF('Данные 1st'!$S$2:$S$317,$A57,'Данные 1st'!$BN$2:$BN$317),"")</f>
        <v>1.5</v>
      </c>
      <c r="S57" s="7">
        <f>IFERROR(AVERAGEIF('Данные 1st'!$S$2:$S$317,$A57,'Данные 1st'!$BT$2:$BT$317),"")</f>
        <v>190</v>
      </c>
      <c r="T57" s="7">
        <f>IFERROR(AVERAGEIF('Данные 1st'!$S$2:$S$317,$A57,'Данные 1st'!$BU$2:$BU$317),"")</f>
        <v>0.5</v>
      </c>
      <c r="U57" s="7">
        <f>IFERROR(AVERAGEIF('Данные 1st'!$S$2:$S$317,$A57,'Данные 1st'!$BW$2:$BW$317),"")</f>
        <v>380</v>
      </c>
      <c r="V57" s="7">
        <f>IFERROR(AVERAGEIF('Данные 1st'!$S$2:$S$317,$A57,'Данные 1st'!$BX$2:$BX$317),"")</f>
        <v>1</v>
      </c>
      <c r="W57" s="7">
        <f>IFERROR(AVERAGEIF('Данные 1st'!$S$2:$S$317,$A57,'Данные 1st'!$BZ$2:$BZ$317),"")</f>
        <v>300</v>
      </c>
      <c r="X57" s="7">
        <f>IFERROR(AVERAGEIF('Данные 1st'!$S$2:$S$317,$A57,'Данные 1st'!$CA$2:$CA$317),"")</f>
        <v>440</v>
      </c>
      <c r="Y57" s="7">
        <f>IFERROR(AVERAGEIF('Данные 1st'!$S$2:$S$317,$A57,'Данные 1st'!$CD$2:$CD$317),"")</f>
        <v>396</v>
      </c>
      <c r="Z57" s="7">
        <f>IFERROR(AVERAGEIF('Данные 1st'!$S$2:$S$317,$A57,'Данные 1st'!$CF$2:$CF$317),"")</f>
        <v>15</v>
      </c>
      <c r="AA57" s="7">
        <f>IFERROR(AVERAGEIF('Данные 1st'!$S$2:$S$317,$A57,'Данные 1st'!$CI$2:$CI$317),"")</f>
        <v>70</v>
      </c>
      <c r="AB57" s="7">
        <f>IFERROR(AVERAGEIF('Данные 1st'!$S$2:$S$317,$A57,'Данные 1st'!$CJ$2:$CJ$317),"")</f>
        <v>1538</v>
      </c>
      <c r="AC57" s="7">
        <f>IFERROR(AVERAGEIF('Данные 1st'!$S$2:$S$317,$A57,'Данные 1st'!$CK$2:$CK$317),"")</f>
        <v>2</v>
      </c>
      <c r="AD57" s="7">
        <f>IFERROR(AVERAGEIF('Данные 1st'!$S$2:$S$317,$A57,'Данные 1st'!$CL$2:$CL$317),"")</f>
        <v>1632</v>
      </c>
      <c r="AE57" s="7">
        <f>IFERROR(AVERAGEIF('Данные 1st'!$S$2:$S$317,$A57,'Данные 1st'!$CM$2:$CM$317),"")</f>
        <v>2</v>
      </c>
      <c r="AF57" s="7">
        <f>IFERROR(AVERAGEIF('Данные 1st'!$S$2:$S$317,$A57,'Данные 1st'!$CT$2:$CT$317),"")</f>
        <v>345</v>
      </c>
      <c r="AG57" s="7">
        <f>IFERROR(AVERAGEIF('Данные 1st'!$S$2:$S$317,$A57,'Данные 1st'!$CU$2:$CU$317),"")</f>
        <v>5</v>
      </c>
      <c r="AH57" s="7">
        <f>IFERROR(AVERAGEIF('Данные 1st'!$S$2:$S$317,$A57,'Данные 1st'!$CV$2:$CV$317),"")</f>
        <v>1.2</v>
      </c>
      <c r="AI57" s="7">
        <f>IFERROR(AVERAGEIF('Данные 1st'!$S$2:$S$317,$A57,'Данные 1st'!$CW$2:$CW$317),"")</f>
        <v>1554</v>
      </c>
      <c r="AJ57" s="7">
        <f>IFERROR(AVERAGEIF('Данные 1st'!$S$2:$S$317,$A57,'Данные 1st'!$CX$2:$CX$317),"")</f>
        <v>758</v>
      </c>
      <c r="AK57" s="7">
        <f>IFERROR(AVERAGEIF('Данные 1st'!$S$2:$S$317,$A57,'Данные 1st'!$CZ$2:$CZ$317),"")</f>
        <v>50</v>
      </c>
      <c r="AL57" s="7">
        <f>IFERROR(AVERAGEIF('Данные 1st'!$S$2:$S$317,$A57,'Данные 1st'!$DA$2:$DA$317),"")</f>
        <v>3</v>
      </c>
      <c r="AM57" s="7">
        <f>IFERROR(AVERAGEIF('Данные 1st'!$S$2:$S$317,$A57,'Данные 1st'!$DB$2:$DB$317),"")</f>
        <v>1.1400000000000001</v>
      </c>
      <c r="AN57" s="7">
        <f>IFERROR(AVERAGEIF('Данные 1st'!$S$2:$S$317,$A57,'Данные 1st'!$DC$2:$DC$317),"")</f>
        <v>1554</v>
      </c>
      <c r="AO57" s="7">
        <f>IFERROR(AVERAGEIF('Данные 1st'!$S$2:$S$317,$A57,'Данные 1st'!$DD$2:$DD$317),"")</f>
        <v>96</v>
      </c>
      <c r="AP57" s="7">
        <f>IFERROR(AVERAGEIF('Данные 1st'!$S$2:$S$317,$A57,'Данные 1st'!$DF$2:$DF$317),"")</f>
        <v>475</v>
      </c>
      <c r="AQ57" s="7">
        <f>IFERROR(AVERAGEIF('Данные 1st'!$S$2:$S$317,$A57,'Данные 1st'!$DG$2:$DG$317),"")</f>
        <v>3</v>
      </c>
      <c r="AR57" s="7">
        <f>IFERROR(AVERAGEIF('Данные 1st'!$S$2:$S$317,$A57,'Данные 1st'!$DH$2:$DH$317),"")</f>
        <v>0.88</v>
      </c>
      <c r="AS57" s="7">
        <f>IFERROR(AVERAGEIF('Данные 1st'!$S$2:$S$317,$A57,'Данные 1st'!$DI$2:$DI$317),"")</f>
        <v>1547</v>
      </c>
      <c r="AT57" s="7">
        <f>IFERROR(AVERAGEIF('Данные 1st'!$S$2:$S$317,$A57,'Данные 1st'!$DJ$2:$DJ$317),"")</f>
        <v>854</v>
      </c>
      <c r="AU57" s="7">
        <f>IFERROR(AVERAGEIF('Данные 1st'!$S$2:$S$317,$A57,'Данные 1st'!$DL$2:$DL$317),"")</f>
        <v>425</v>
      </c>
      <c r="AV57" s="7">
        <f>IFERROR(AVERAGEIF('Данные 1st'!$S$2:$S$317,$A57,'Данные 1st'!$DM$2:$DM$317),"")</f>
        <v>3</v>
      </c>
      <c r="AW57" s="7">
        <f>IFERROR(AVERAGEIF('Данные 1st'!$S$2:$S$317,$A57,'Данные 1st'!$DN$2:$DN$317),"")</f>
        <v>0.88</v>
      </c>
      <c r="AX57" s="7">
        <f>IFERROR(AVERAGEIF('Данные 1st'!$S$2:$S$317,$A57,'Данные 1st'!$DO$2:$DO$317),"")</f>
        <v>1552</v>
      </c>
      <c r="AY57" s="7">
        <f>IFERROR(AVERAGEIF('Данные 1st'!$S$2:$S$317,$A57,'Данные 1st'!$DP$2:$DP$317),"")</f>
        <v>842</v>
      </c>
      <c r="AZ57" s="7">
        <f>IFERROR(AVERAGEIF('Данные 1st'!$S$2:$S$317,$A57,'Данные 1st'!$DR$2:$DR$317),"")</f>
        <v/>
      </c>
      <c r="BA57" s="7">
        <f>IFERROR(AVERAGEIF('Данные 1st'!$S$2:$S$317,$A57,'Данные 1st'!$DS$2:$DS$317),"")</f>
        <v/>
      </c>
      <c r="BB57" s="7">
        <f>IFERROR(AVERAGEIF('Данные 1st'!$S$2:$S$317,$A57,'Данные 1st'!$DT$2:$DT$317),"")</f>
        <v/>
      </c>
      <c r="BC57" s="7">
        <f>IFERROR(AVERAGEIF('Данные 1st'!$S$2:$S$317,$A57,'Данные 1st'!$DU$2:$DU$317),"")</f>
        <v/>
      </c>
      <c r="BD57" s="7">
        <f>IFERROR(AVERAGEIF('Данные 1st'!$S$2:$S$317,$A57,'Данные 1st'!$DV$2:$DV$317),"")</f>
        <v/>
      </c>
      <c r="BE57" s="7">
        <f>IFERROR(AVERAGEIF('Данные 1st'!$S$2:$S$317,$A57,'Данные 1st'!$DX$2:$DX$317),"")</f>
        <v>7.5</v>
      </c>
      <c r="BF57" s="7">
        <f>IFERROR(AVERAGEIF('Данные 1st'!$S$2:$S$317,$A57,'Данные 1st'!$EA$2:$EA$317),"")</f>
        <v>1623.8</v>
      </c>
      <c r="BG57" s="7">
        <f>IFERROR(AVERAGEIF('Данные 1st'!$S$2:$S$317,$A57,'Данные 1st'!$EB$2:$EB$317),"")</f>
        <v>334.5</v>
      </c>
      <c r="BH57" s="7">
        <f>IFERROR(AVERAGEIF('Данные 1st'!$S$2:$S$317,$A57,'Данные 1st'!$ED$2:$ED$317),"")</f>
        <v>20</v>
      </c>
      <c r="BI57" s="7">
        <f>IFERROR(AVERAGEIF('Данные 1st'!$S$2:$S$317,$A57,'Данные 1st'!$EE$2:$EE$317),"")</f>
        <v/>
      </c>
      <c r="BJ57" s="7">
        <f>IFERROR(AVERAGEIF('Данные 1st'!$S$2:$S$317,$A57,'Данные 1st'!$EG$2:$EG$317),"")</f>
        <v>1670</v>
      </c>
      <c r="BK57" s="7">
        <f>IFERROR(AVERAGEIF('Данные 1st'!$S$2:$S$317,$A57,'Данные 1st'!$EH$2:$EH$317),"")</f>
        <v>123.5</v>
      </c>
      <c r="BL57" s="7">
        <f>IFERROR(AVERAGEIF('Данные 1st'!$S$2:$S$317,$A57,'Данные 1st'!$EJ$2:$EJ$317),"")</f>
        <v>0</v>
      </c>
      <c r="BM57" s="7">
        <f>IFERROR(AVERAGEIF('Данные 1st'!$S$2:$S$317,$A57,'Данные 1st'!$EK$2:$EK$317),"")</f>
        <v>1</v>
      </c>
      <c r="BN57" s="7">
        <f>IFERROR(AVERAGEIF('Данные 1st'!$S$2:$S$317,$A57,'Данные 1st'!$EN$2:$EN$317),"")</f>
        <v>0</v>
      </c>
      <c r="BO57" s="7">
        <f>IFERROR(AVERAGEIF('Данные 1st'!$S$2:$S$317,$A57,'Данные 1st'!$EQ$2:$EQ$317),"")</f>
        <v>60</v>
      </c>
      <c r="BP57" s="7">
        <f>IFERROR(AVERAGEIF('Данные 1st'!$S$2:$S$317,$A57,'Данные 1st'!$ER$2:$ER$317),"")</f>
        <v>3</v>
      </c>
      <c r="BQ57" s="7">
        <f>IFERROR(AVERAGEIF('Данные 1st'!$S$2:$S$317,$A57,'Данные 1st'!$ES$2:$ES$317),"")</f>
        <v>4.5</v>
      </c>
      <c r="BR57" s="7">
        <f>IFERROR(AVERAGEIF('Данные 1st'!$S$2:$S$317,$A57,'Данные 1st'!$ET$2:$ET$317),"")</f>
        <v>1528</v>
      </c>
      <c r="BS57" s="7">
        <f>IFERROR(AVERAGEIF('Данные 1st'!$S$2:$S$317,$A57,'Данные 1st'!$EU$2:$EU$317),"")</f>
        <v>235.15</v>
      </c>
      <c r="BT57" s="7">
        <f>IFERROR(AVERAGEIF('Данные 1st'!$S$2:$S$317,$A57,'Данные 1st'!$EV$2:$EV$317),"")</f>
        <v>359</v>
      </c>
      <c r="BU57" s="7">
        <f>IFERROR(AVERAGEIF('Данные 1st'!$S$2:$S$317,$A57,'Данные 1st'!$EX$2:$EX$317),"")</f>
        <v>45</v>
      </c>
      <c r="BV57" s="7">
        <f>IFERROR(AVERAGEIF('Данные 1st'!$S$2:$S$317,$A57,'Данные 1st'!$EY$2:$EY$317),"")</f>
        <v>2</v>
      </c>
      <c r="BW57" s="7">
        <f>IFERROR(AVERAGEIF('Данные 1st'!$S$2:$S$317,$A57,'Данные 1st'!$EZ$2:$EZ$317),"")</f>
        <v>4.4</v>
      </c>
      <c r="BX57" s="7">
        <f>IFERROR(AVERAGEIF('Данные 1st'!$S$2:$S$317,$A57,'Данные 1st'!$FA$2:$FA$317),"")</f>
        <v>1528</v>
      </c>
      <c r="BY57" s="7">
        <f>IFERROR(AVERAGEIF('Данные 1st'!$S$2:$S$317,$A57,'Данные 1st'!$FB$2:$FB$317),"")</f>
        <v>137.85000000000002</v>
      </c>
      <c r="BZ57" s="7">
        <f>IFERROR(AVERAGEIF('Данные 1st'!$S$2:$S$317,$A57,'Данные 1st'!$FC$2:$FC$317),"")</f>
        <v>210.5</v>
      </c>
      <c r="CA57" s="7">
        <f>IFERROR(AVERAGEIF('Данные 1st'!$S$2:$S$317,$A57,'Данные 1st'!$FE$2:$FE$317),"")</f>
        <v>0</v>
      </c>
      <c r="CB57" s="7">
        <f>IFERROR(AVERAGEIF('Данные 1st'!$S$2:$S$317,$A57,'Данные 1st'!$FF$2:$FF$317),"")</f>
        <v>2</v>
      </c>
      <c r="CC57" s="7">
        <f>IFERROR(AVERAGEIF('Данные 1st'!$S$2:$S$317,$A57,'Данные 1st'!$FI$2:$FI$317),"")</f>
        <v>0</v>
      </c>
      <c r="CD57" s="7">
        <f>IFERROR(AVERAGEIF('Данные 1st'!$S$2:$S$317,$A57,'Данные 1st'!$FL$2:$FL$317),"")</f>
        <v>0.4</v>
      </c>
      <c r="CE57" s="7">
        <f>IFERROR(AVERAGEIF('Данные 1st'!$S$2:$S$317,$A57,'Данные 1st'!$FM$2:$FM$317),"")</f>
        <v>40</v>
      </c>
      <c r="CF57" s="7">
        <f>IFERROR(AVERAGEIF('Данные 1st'!$S$2:$S$317,$A57,'Данные 1st'!$FN$2:$FN$317),"")</f>
        <v>325</v>
      </c>
      <c r="CG57" s="7">
        <f>IFERROR(AVERAGEIF('Данные 1st'!$S$2:$S$317,$A57,'Данные 1st'!$FO$2:$FO$317),"")</f>
        <v>55</v>
      </c>
      <c r="CH57" s="7">
        <f>IFERROR(AVERAGEIF('Данные 1st'!$S$2:$S$317,$A57,'Данные 1st'!$FP$2:$FP$317),"")</f>
        <v>165</v>
      </c>
      <c r="CI57" s="7">
        <f>IFERROR(AVERAGEIF('Данные 1st'!$S$2:$S$317,$A57,'Данные 1st'!$FS$2:$FS$317),"")</f>
        <v/>
      </c>
      <c r="CJ57" s="7">
        <f>IFERROR(AVERAGEIF('Данные 1st'!$S$2:$S$317,$A57,'Данные 1st'!$FT$2:$FT$317),"")</f>
        <v/>
      </c>
      <c r="CK57" s="7">
        <f>IFERROR(AVERAGEIF('Данные 1st'!$S$2:$S$317,$A57,'Данные 1st'!$FU$2:$FU$317),"")</f>
        <v/>
      </c>
      <c r="CL57" s="7">
        <f>IFERROR(AVERAGEIF('Данные 1st'!$S$2:$S$317,$A57,'Данные 1st'!$FV$2:$FV$317),"")</f>
        <v/>
      </c>
      <c r="CM57" s="7">
        <f>IFERROR(AVERAGEIF('Данные 1st'!$S$2:$S$317,$A57,'Данные 1st'!$FW$2:$FW$317),"")</f>
        <v/>
      </c>
      <c r="CN57" s="7">
        <f>IFERROR(AVERAGEIF('Данные 1st'!$S$2:$S$317,$A57,'Данные 1st'!$FZ$2:$FZ$317),"")</f>
        <v/>
      </c>
      <c r="CO57" s="7">
        <f>IFERROR(AVERAGEIF('Данные 1st'!$S$2:$S$317,$A57,'Данные 1st'!$GA$2:$GA$317),"")</f>
        <v/>
      </c>
      <c r="CP57" s="7">
        <f>IFERROR(AVERAGEIF('Данные 1st'!$S$2:$S$317,$A57,'Данные 1st'!$GB$2:$GB$317),"")</f>
        <v/>
      </c>
      <c r="CQ57" s="7">
        <f>IFERROR(AVERAGEIF('Данные 1st'!$S$2:$S$317,$A57,'Данные 1st'!$GH$2:$GH$317),"")</f>
        <v/>
      </c>
      <c r="CR57" s="7">
        <f>IFERROR(AVERAGEIF('Данные 1st'!$S$2:$S$317,$A57,'Данные 1st'!$GI$2:$GI$317),"")</f>
        <v/>
      </c>
      <c r="CS57" s="7">
        <f>IFERROR(AVERAGEIF('Данные 1st'!$S$2:$S$317,$A57,'Данные 1st'!$GJ$2:$GJ$317),"")</f>
        <v/>
      </c>
      <c r="CT57" s="7">
        <f>IFERROR(AVERAGEIF('Данные 1st'!$S$2:$S$317,$A57,'Данные 1st'!$GS$2:$GS$317),"")</f>
        <v>0.4</v>
      </c>
      <c r="CU57" s="7">
        <f>IFERROR(AVERAGEIF('Данные 1st'!$S$2:$S$317,$A57,'Данные 1st'!$GT$2:$GT$317),"")</f>
        <v>30</v>
      </c>
      <c r="CV57" s="7">
        <f>IFERROR(AVERAGEIF('Данные 1st'!$S$2:$S$317,$A57,'Данные 1st'!$GU$2:$GU$317),"")</f>
        <v>345</v>
      </c>
      <c r="CW57" s="7">
        <f>IFERROR(AVERAGEIF('Данные 1st'!$S$2:$S$317,$A57,'Данные 1st'!$GV$2:$GV$317),"")</f>
        <v>65</v>
      </c>
      <c r="CX57" s="7">
        <f>IFERROR(AVERAGEIF('Данные 1st'!$S$2:$S$317,$A57,'Данные 1st'!$GW$2:$GW$317),"")</f>
        <v>180</v>
      </c>
      <c r="CY57" s="7">
        <f>IFERROR(AVERAGEIF('Данные 1st'!$S$2:$S$317,$A57,'Данные 1st'!$GZ$2:$GZ$317),"")</f>
        <v>1.6</v>
      </c>
      <c r="CZ57" s="7">
        <f>IFERROR(AVERAGEIF('Данные 1st'!$S$2:$S$317,$A57,'Данные 1st'!$HA$2:$HA$317),"")</f>
        <v>20</v>
      </c>
      <c r="DA57" s="7">
        <f>IFERROR(AVERAGEIF('Данные 1st'!$S$2:$S$317,$A57,'Данные 1st'!$HB$2:$HB$317),"")</f>
        <v>196</v>
      </c>
      <c r="DB57" s="7">
        <f>IFERROR(AVERAGEIF('Данные 1st'!$S$2:$S$317,$A57,'Данные 1st'!$HC$2:$HC$317),"")</f>
        <v>0.1</v>
      </c>
      <c r="DC57" s="7">
        <f>IFERROR(AVERAGEIF('Данные 1st'!$S$2:$S$317,$A57,'Данные 1st'!$HD$2:$HD$317),"")</f>
        <v>3</v>
      </c>
      <c r="DD57" s="7">
        <f>IFERROR(AVERAGEIF('Данные 1st'!$S$2:$S$317,$A57,'Данные 1st'!$HE$2:$HE$317),"")</f>
        <v>3</v>
      </c>
      <c r="DE57" s="7">
        <f>IFERROR(AVERAGEIF('Данные 1st'!$S$2:$S$317,$A57,'Данные 1st'!$HF$2:$HF$317),"")</f>
        <v>3</v>
      </c>
      <c r="DF57" s="7">
        <f>IFERROR(AVERAGEIF('Данные 1st'!$S$2:$S$317,$A57,'Данные 1st'!$HG$2:$HG$317),"")</f>
        <v>3</v>
      </c>
      <c r="DG57" s="7">
        <f>IFERROR(AVERAGEIF('Данные 1st'!$S$2:$S$317,$A57,'Данные 1st'!$HH$2:$HH$317),"")</f>
        <v>3</v>
      </c>
      <c r="DH57" s="7">
        <f>IFERROR(AVERAGEIF('Данные 1st'!$S$2:$S$317,$A57,'Данные 1st'!$HI$2:$HI$317),"")</f>
        <v>90</v>
      </c>
      <c r="DI57" s="7">
        <f>IFERROR(AVERAGEIF('Данные 1st'!$S$2:$S$317,$A57,'Данные 1st'!$HJ$2:$HJ$317),"")</f>
        <v>3</v>
      </c>
      <c r="DJ57" s="7">
        <f>IFERROR(AVERAGEIF('Данные 1st'!$S$2:$S$317,$A57,'Данные 1st'!$HK$2:$HK$317),"")</f>
        <v>30</v>
      </c>
      <c r="DK57" s="7">
        <f>IFERROR(AVERAGEIF('Данные 1st'!$S$2:$S$317,$A57,'Данные 1st'!$HL$2:$HL$317),"")</f>
        <v>2</v>
      </c>
      <c r="DL57" s="7">
        <f>IFERROR(AVERAGEIF('Данные 1st'!$S$2:$S$317,$A57,'Данные 1st'!$HM$2:$HM$317),"")</f>
        <v>0</v>
      </c>
      <c r="DM57" s="7">
        <f>IFERROR(AVERAGEIF('Данные 1st'!$S$2:$S$317,$A57,'Данные 1st'!$HN$2:$HN$317),"")</f>
        <v>2</v>
      </c>
      <c r="DN57" s="7">
        <f>IFERROR(AVERAGEIF('Данные 1st'!$S$2:$S$317,$A57,'Данные 1st'!$HO$2:$HO$317),"")</f>
        <v>45</v>
      </c>
      <c r="DO57" s="7">
        <f>IFERROR(AVERAGEIF('Данные 1st'!$S$2:$S$317,$A57,'Данные 1st'!$HP$2:$HP$317),"")</f>
        <v>3</v>
      </c>
      <c r="DP57" s="7">
        <f>IFERROR(AVERAGEIF('Данные 1st'!$S$2:$S$317,$A57,'Данные 1st'!$HQ$2:$HQ$317),"")</f>
        <v>0</v>
      </c>
      <c r="DQ57" s="7">
        <f>IFERROR(AVERAGEIF('Данные 1st'!$S$2:$S$317,$A57,'Данные 1st'!$HR$2:$HR$317),"")</f>
        <v>2</v>
      </c>
      <c r="DR57" s="7">
        <f>IFERROR(AVERAGEIF('Данные 1st'!$S$2:$S$317,$A57,'Данные 1st'!$HS$2:$HS$317),"")</f>
        <v>4701</v>
      </c>
      <c r="DS57" s="7">
        <f>IFERROR(AVERAGEIF('Данные 1st'!$S$2:$S$317,$A57,'Данные 1st'!$HT$2:$HT$317),"")</f>
        <v>140</v>
      </c>
      <c r="DT57" s="7">
        <f>IFERROR(AVERAGEIF('Данные 1st'!$S$2:$S$317,$A57,'Данные 1st'!$HU$2:$HU$317),"")</f>
        <v>180</v>
      </c>
      <c r="DU57" s="7">
        <f>IFERROR(AVERAGEIF('Данные 1st'!$S$2:$S$317,$A57,'Данные 1st'!$HW$2:$HW$317),"")</f>
        <v>0</v>
      </c>
      <c r="DV57" s="7">
        <f>IFERROR(AVERAGEIF('Данные 1st'!$S$2:$S$317,$A57,'Данные 1st'!$HX$2:$HX$317),"")</f>
        <v>407.5</v>
      </c>
      <c r="DW57" s="7">
        <f>IFERROR(AVERAGEIF('Данные 1st'!$S$2:$S$317,$A57,'Данные 1st'!$HY$2:$HY$317),"")</f>
        <v>0.18</v>
      </c>
      <c r="DX57" s="7">
        <f>IFERROR(AVERAGEIF('Данные 1st'!$S$2:$S$317,$A57,'Данные 1st'!$IA$2:$IA$317),"")</f>
        <v>0.15</v>
      </c>
      <c r="DY57" s="7">
        <f>IFERROR(AVERAGEIF('Данные 1st'!$S$2:$S$317,$A57,'Данные 1st'!$IB$2:$IB$317),"")</f>
        <v>0</v>
      </c>
      <c r="DZ57" s="7">
        <f>IFERROR(AVERAGEIF('Данные 1st'!$S$2:$S$317,$A57,'Данные 1st'!$IC$2:$IC$317),"")</f>
        <v>180</v>
      </c>
      <c r="EA57" s="7">
        <f>IFERROR(AVERAGEIF('Данные 1st'!$S$2:$S$317,$A57,'Данные 1st'!$ID$2:$ID$317),"")</f>
        <v>110</v>
      </c>
      <c r="EB57" s="7">
        <f>IFERROR(AVERAGEIF('Данные 1st'!$S$2:$S$317,$A57,'Данные 1st'!$IE$2:$IE$317),"")</f>
        <v>225</v>
      </c>
      <c r="EC57" s="7">
        <f>IFERROR(AVERAGEIF('Данные 1st'!$S$2:$S$317,$A57,'Данные 1st'!$IF$2:$IF$317),"")</f>
        <v>0</v>
      </c>
      <c r="ED57" s="7">
        <f>IFERROR(AVERAGEIF('Данные 1st'!$S$2:$S$317,$A57,'Данные 1st'!$IP$2:$IP$317),"")</f>
        <v>20</v>
      </c>
      <c r="EE57" s="7">
        <f>IFERROR(AVERAGEIF('Данные 1st'!$S$2:$S$317,$A57,'Данные 1st'!$IV$2:$IV$317),"")</f>
        <v>1538</v>
      </c>
      <c r="EF57" s="7">
        <f>IFERROR(AVERAGEIF('Данные 1st'!$S$2:$S$317,$A57,'Данные 1st'!$IW$2:$IW$317),"")</f>
        <v>380</v>
      </c>
      <c r="EG57" s="7">
        <f>IFERROR(AVERAGEIF('Данные 1st'!$S$2:$S$317,$A57,'Данные 1st'!$IX$2:$IX$317),"")</f>
        <v/>
      </c>
      <c r="EH57" s="7">
        <f>IFERROR(AVERAGEIF('Данные 1st'!$S$2:$S$317,$A57,'Данные 1st'!$IY$2:$IY$317),"")</f>
        <v/>
      </c>
      <c r="EI57" s="7">
        <f>IFERROR(AVERAGEIF('Данные 1st'!$S$2:$S$317,$A57,'Данные 1st'!$JD$2:$JD$317),"")</f>
        <v>1554</v>
      </c>
      <c r="EJ57" s="7">
        <f>IFERROR(AVERAGEIF('Данные 1st'!$S$2:$S$317,$A57,'Данные 1st'!$JE$2:$JE$317),"")</f>
        <v>1547</v>
      </c>
      <c r="EK57" s="7">
        <f>IFERROR(AVERAGEIF('Данные 1st'!$S$2:$S$317,$A57,'Данные 1st'!$JF$2:$JF$317),"")</f>
        <v>1552</v>
      </c>
      <c r="EL57" s="7">
        <f>IFERROR(AVERAGEIF('Данные 1st'!$S$2:$S$317,$A57,'Данные 1st'!$JG$2:$JG$317),"")</f>
        <v>1528</v>
      </c>
      <c r="EM57" s="7">
        <f>IFERROR(AVERAGEIF('Данные 1st'!$S$2:$S$317,$A57,'Данные 1st'!$JH$2:$JH$317),"")</f>
        <v>0</v>
      </c>
      <c r="EN57" s="7">
        <f>IFERROR(AVERAGEIF('Данные 1st'!$S$2:$S$317,$A57,'Данные 1st'!$JJ$2:$JJ$317),"")</f>
        <v>180</v>
      </c>
      <c r="EO57" s="7">
        <f>IFERROR(AVERAGEIF('Данные 1st'!$S$2:$S$317,$A57,'Данные 1st'!$JK$2:$JK$317),"")</f>
        <v>407.5</v>
      </c>
      <c r="EP57" s="7">
        <f>IFERROR(AVERAGEIF('Данные 1st'!$S$2:$S$317,$A57,'Данные 1st'!$JL$2:$JL$317),"")</f>
        <v/>
      </c>
      <c r="EQ57" s="7">
        <f>IFERROR(AVERAGEIF('Данные 1st'!$S$2:$S$317,$A57,'Данные 1st'!$JM$2:$JM$317),"")</f>
        <v/>
      </c>
      <c r="ER57" s="7">
        <f>IFERROR(AVERAGEIF('Данные 1st'!$S$2:$S$317,$A57,'Данные 1st'!$JN$2:$JN$317),"")</f>
        <v>345</v>
      </c>
      <c r="ES57" s="7">
        <f>IFERROR(AVERAGEIF('Данные 1st'!$S$2:$S$317,$A57,'Данные 1st'!$JO$2:$JO$317),"")</f>
        <v>475</v>
      </c>
      <c r="ET57" s="7">
        <f>IFERROR(AVERAGEIF('Данные 1st'!$S$2:$S$317,$A57,'Данные 1st'!$JP$2:$JP$317),"")</f>
        <v>425</v>
      </c>
      <c r="EU57" s="7">
        <f>IFERROR(AVERAGEIF('Данные 1st'!$S$2:$S$317,$A57,'Данные 1st'!$JQ$2:$JQ$317),"")</f>
        <v>0</v>
      </c>
      <c r="EV57" s="7">
        <f>IFERROR(AVERAGEIF('Данные 1st'!$S$2:$S$317,$A57,'Данные 1st'!$JR$2:$JR$317),"")</f>
        <v>380</v>
      </c>
      <c r="EW57" s="7">
        <f>IFERROR(AVERAGEIF('Данные 1st'!$S$2:$S$317,$A57,'Данные 1st'!$JS$2:$JS$317),"")</f>
        <v>90</v>
      </c>
      <c r="EX57" s="7">
        <f>IFERROR(AVERAGEIF('Данные 1st'!$S$2:$S$317,$A57,'Данные 1st'!$JT$2:$JT$317),"")</f>
        <v/>
      </c>
      <c r="EY57" s="7">
        <f>IFERROR(AVERAGEIF('Данные 1st'!$S$2:$S$317,$A57,'Данные 1st'!$JU$2:$JU$317),"")</f>
        <v/>
      </c>
      <c r="EZ57" s="7">
        <f>IFERROR(AVERAGEIF('Данные 1st'!$S$2:$S$317,$A57,'Данные 1st'!$JV$2:$JV$317),"")</f>
        <v>8</v>
      </c>
      <c r="FA57" s="7">
        <f>IFERROR(AVERAGEIF('Данные 1st'!$S$2:$S$317,$A57,'Данные 1st'!$JW$2:$JW$317),"")</f>
        <v/>
      </c>
      <c r="FB57" s="7">
        <f>IFERROR(AVERAGEIF('Данные 1st'!$S$2:$S$317,$A57,'Данные 1st'!$JX$2:$JX$317),"")</f>
        <v>421</v>
      </c>
      <c r="FC57" s="7">
        <f>IFERROR(AVERAGEIF('Данные 1st'!$S$2:$S$317,$A57,'Данные 1st'!$JY$2:$JY$317),"")</f>
        <v/>
      </c>
      <c r="FD57" s="7">
        <f>IFERROR(AVERAGEIF('Данные 1st'!$S$2:$S$317,$A57,'Данные 1st'!$JZ$2:$JZ$317),"")</f>
        <v/>
      </c>
      <c r="FE57" s="7">
        <f>IFERROR(AVERAGEIF('Данные 1st'!$S$2:$S$317,$A57,'Данные 1st'!$KA$2:$KA$317),"")</f>
        <v>225</v>
      </c>
      <c r="FF57" s="7">
        <f>IFERROR(AVERAGEIF('Данные 1st'!$S$2:$S$317,$A57,'Данные 1st'!$KB$2:$KB$317),"")</f>
        <v>110</v>
      </c>
      <c r="FG57" s="7">
        <f>IFERROR(AVERAGEIF('Данные 1st'!$S$2:$S$317,$A57,'Данные 1st'!$KC$2:$KC$317),"")</f>
        <v>0</v>
      </c>
      <c r="FH57" s="7">
        <f>IFERROR(AVERAGEIF('Данные 1st'!$S$2:$S$317,$A57,'Данные 1st'!$KD$2:$KD$317),"")</f>
        <v>80</v>
      </c>
      <c r="FI57" s="7">
        <f>IFERROR(AVERAGEIF('Данные 1st'!$S$2:$S$317,$A57,'Данные 1st'!$KE$2:$KE$317),"")</f>
        <v/>
      </c>
      <c r="FJ57" s="7">
        <f>IFERROR(AVERAGEIF('Данные 1st'!$S$2:$S$317,$A57,'Данные 1st'!$KF$2:$KF$317),"")</f>
        <v>4</v>
      </c>
      <c r="FK57" s="7">
        <f>IFERROR(AVERAGEIF('Данные 1st'!$S$2:$S$317,$A57,'Данные 1st'!$KG$2:$KG$317),"")</f>
        <v>2</v>
      </c>
      <c r="FL57" s="7">
        <f>IFERROR(AVERAGEIF('Данные 1st'!$S$2:$S$317,$A57,'Данные 1st'!$KH$2:$KH$317),"")</f>
        <v>2</v>
      </c>
      <c r="FM57" s="7">
        <f>IFERROR(AVERAGEIF('Данные 1st'!$S$2:$S$317,$A57,'Данные 1st'!$KI$2:$KI$317),"")</f>
        <v>2</v>
      </c>
      <c r="FN57" s="7">
        <f>IFERROR(AVERAGEIF('Данные 1st'!$S$2:$S$317,$A57,'Данные 1st'!$KJ$2:$KJ$317),"")</f>
        <v>0</v>
      </c>
      <c r="FO57" s="7">
        <f>IFERROR(AVERAGEIF('Данные 1st'!$S$2:$S$317,$A57,'Данные 1st'!$KK$2:$KK$317),"")</f>
        <v>1.5</v>
      </c>
      <c r="FP57" s="7">
        <f>IFERROR(AVERAGEIF('Данные 1st'!$S$2:$S$317,$A57,'Данные 1st'!$KL$2:$KL$317),"")</f>
        <v>1.5</v>
      </c>
      <c r="FQ57" s="7">
        <f>IFERROR(AVERAGEIF('Данные 1st'!$S$2:$S$317,$A57,'Данные 1st'!$KM$2:$KM$317),"")</f>
        <v>0</v>
      </c>
      <c r="FR57" s="7">
        <f>IFERROR(AVERAGEIF('Данные 1st'!$S$2:$S$317,$A57,'Данные 1st'!$KN$2:$KN$317),"")</f>
        <v>0</v>
      </c>
      <c r="FS57" s="7">
        <f>IFERROR(AVERAGEIF('Данные 1st'!$S$2:$S$317,$A57,'Данные 1st'!$KR$2:$KR$317),"")</f>
        <v>30</v>
      </c>
      <c r="FT57" s="7">
        <f>IFERROR(AVERAGEIF('Данные 1st'!$S$2:$S$317,$A57,'Данные 1st'!$KS$2:$KS$317),"")</f>
        <v>60</v>
      </c>
      <c r="FU57" s="7">
        <f>IFERROR(AVERAGEIF('Данные 1st'!$S$2:$S$317,$A57,'Данные 1st'!$KT$2:$KT$317),"")</f>
        <v>0</v>
      </c>
      <c r="FV57" s="7">
        <f>IFERROR(AVERAGEIF('Данные 1st'!$S$2:$S$317,$A57,'Данные 1st'!$KV$2:$KV$317),"")</f>
        <v/>
      </c>
      <c r="FW57" s="7">
        <f>IFERROR(AVERAGEIF('Данные 1st'!$S$2:$S$317,$A57,'Данные 1st'!$KW$2:$KW$317),"")</f>
        <v/>
      </c>
      <c r="FX57" s="7">
        <f>IFERROR(AVERAGEIF('Данные 1st'!$S$2:$S$317,$A57,'Данные 1st'!$KX$2:$KX$317),"")</f>
        <v/>
      </c>
      <c r="FY57" s="7">
        <f>IFERROR(AVERAGEIF('Данные 1st'!$S$2:$S$317,$A57,'Данные 1st'!$KY$2:$KY$317),"")</f>
        <v/>
      </c>
      <c r="FZ57" s="7">
        <f>IFERROR(AVERAGEIF('Данные 1st'!$S$2:$S$317,$A57,'Данные 1st'!$KZ$2:$KZ$317),"")</f>
        <v/>
      </c>
      <c r="GA57" s="7">
        <f>IFERROR(AVERAGEIF('Данные 1st'!$S$2:$S$317,$A57,'Данные 1st'!$LA$2:$LA$317),"")</f>
        <v/>
      </c>
      <c r="GB57" s="7">
        <f>IFERROR(AVERAGEIF('Данные 1st'!$S$2:$S$317,$A57,'Данные 1st'!$LB$2:$LB$317),"")</f>
        <v/>
      </c>
      <c r="GC57" s="7">
        <f>IFERROR(AVERAGEIF('Данные 1st'!$S$2:$S$317,$A57,'Данные 1st'!$LC$2:$LC$317),"")</f>
        <v/>
      </c>
      <c r="GD57" s="7">
        <f>IFERROR(AVERAGEIF('Данные 1st'!$S$2:$S$317,$A57,'Данные 1st'!$LD$2:$LD$317),"")</f>
        <v/>
      </c>
      <c r="GE57" s="7">
        <f>IFERROR(AVERAGEIF('Данные 1st'!$S$2:$S$317,$A57,'Данные 1st'!$LE$2:$LE$317),"")</f>
        <v/>
      </c>
      <c r="GF57" s="7">
        <f>IFERROR(AVERAGEIF('Данные 1st'!$S$2:$S$317,$A57,'Данные 1st'!$LF$2:$LF$317),"")</f>
        <v/>
      </c>
      <c r="GG57" s="7">
        <f>IFERROR(AVERAGEIF('Данные 1st'!$S$2:$S$317,$A57,'Данные 1st'!$LG$2:$LG$317),"")</f>
        <v/>
      </c>
      <c r="GH57" s="7">
        <f>IFERROR(AVERAGEIF('Данные 1st'!$S$2:$S$317,$A57,'Данные 1st'!$LH$2:$LH$317),"")</f>
        <v/>
      </c>
      <c r="GI57" s="7">
        <f>IFERROR(AVERAGEIF('Данные 1st'!$S$2:$S$317,$A57,'Данные 1st'!$LI$2:$LI$317),"")</f>
        <v/>
      </c>
      <c r="GJ57" s="7">
        <f>IFERROR(AVERAGEIF('Данные 1st'!$S$2:$S$317,$A57,'Данные 1st'!$LJ$2:$LJ$317),"")</f>
        <v/>
      </c>
      <c r="GK57" s="7">
        <f>IFERROR(AVERAGEIF('Данные 1st'!$S$2:$S$317,$A57,'Данные 1st'!$LK$2:$LK$317),"")</f>
        <v>480</v>
      </c>
      <c r="GL57" s="7">
        <f>IFERROR(AVERAGEIF('Данные 1st'!$S$2:$S$317,$A57,'Данные 1st'!$LV$2:$LV$317),"")</f>
        <v/>
      </c>
      <c r="GM57" s="7">
        <f>IFERROR(AVERAGEIF('Данные 1st'!$S$2:$S$317,$A57,'Данные 1st'!$LW$2:$LW$317),"")</f>
        <v/>
      </c>
      <c r="GN57" s="7">
        <f>IFERROR(AVERAGEIF('Данные 1st'!$S$2:$S$317,$A57,'Данные 1st'!$LX$2:$LX$317),"")</f>
        <v/>
      </c>
      <c r="GO57" s="7">
        <f>IFERROR(AVERAGEIF('Данные 1st'!$S$2:$S$317,$A57,'Данные 1st'!$LY$2:$LY$317),"")</f>
        <v/>
      </c>
      <c r="GP57" s="7">
        <f>IFERROR(AVERAGEIF('Данные 1st'!$S$2:$S$317,$A57,'Данные 1st'!$LZ$2:$LZ$317),"")</f>
        <v/>
      </c>
      <c r="GQ57" s="7">
        <f>IFERROR(AVERAGEIF('Данные 1st'!$S$2:$S$317,$A57,'Данные 1st'!$PG$2:$PG$317),"")</f>
        <v>1</v>
      </c>
      <c r="GR57" s="7">
        <f>IFERROR(AVERAGEIF('Данные 1st'!$S$2:$S$317,$A57,'Данные 1st'!$PX$2:$PX$317),"")</f>
        <v>56</v>
      </c>
      <c r="GS57" s="7">
        <f>IFERROR(AVERAGEIF('Данные 1st'!$S$2:$S$317,$A57,'Данные 1st'!$PY$2:$PY$317),"")</f>
        <v>56.5</v>
      </c>
      <c r="GT57" s="7">
        <f>IFERROR(AVERAGEIF('Данные 1st'!$S$2:$S$317,$A57,'Данные 1st'!$QA$2:$QA$317),"")</f>
        <v>1</v>
      </c>
      <c r="GU57" s="7">
        <f>IFERROR(AVERAGEIF('Данные 1st'!$S$2:$S$317,$A57,'Данные 1st'!$QB$2:$QB$317),"")</f>
        <v>1528</v>
      </c>
      <c r="GV57" s="7">
        <f>IFERROR(AVERAGEIF('Данные 1st'!$S$2:$S$317,$A57,'Данные 1st'!$QC$2:$QC$317),"")</f>
        <v>69</v>
      </c>
      <c r="GW57" s="7">
        <f>IFERROR(AVERAGEIF('Данные 1st'!$S$2:$S$317,$A57,'Данные 1st'!$QD$2:$QD$317),"")</f>
        <v>69</v>
      </c>
      <c r="GX57" s="7">
        <f>IFERROR(AVERAGEIF('Данные 1st'!$S$2:$S$317,$A57,'Данные 1st'!$QF$2:$QF$317),"")</f>
        <v>1</v>
      </c>
      <c r="GY57" s="7">
        <f>IFERROR(AVERAGEIF('Данные 1st'!$S$2:$S$317,$A57,'Данные 1st'!$QG$2:$QG$317),"")</f>
        <v>1554</v>
      </c>
      <c r="GZ57" s="7">
        <f>IFERROR(AVERAGEIF('Данные 1st'!$S$2:$S$317,$A57,'Данные 1st'!$QH$2:$QH$317),"")</f>
        <v>66</v>
      </c>
      <c r="HA57" s="7">
        <f>IFERROR(AVERAGEIF('Данные 1st'!$S$2:$S$317,$A57,'Данные 1st'!$QI$2:$QI$317),"")</f>
        <v>66</v>
      </c>
      <c r="HB57" s="7">
        <f>IFERROR(AVERAGEIF('Данные 1st'!$S$2:$S$317,$A57,'Данные 1st'!$QK$2:$QK$317),"")</f>
        <v>1</v>
      </c>
      <c r="HC57" s="7">
        <f>IFERROR(AVERAGEIF('Данные 1st'!$S$2:$S$317,$A57,'Данные 1st'!$QL$2:$QL$317),"")</f>
        <v>1554</v>
      </c>
      <c r="HD57" s="7">
        <f>IFERROR(AVERAGEIF('Данные 1st'!$S$2:$S$317,$A57,'Данные 1st'!$QM$2:$QM$317),"")</f>
        <v>62</v>
      </c>
      <c r="HE57" s="7">
        <f>IFERROR(AVERAGEIF('Данные 1st'!$S$2:$S$317,$A57,'Данные 1st'!$QN$2:$QN$317),"")</f>
        <v>62</v>
      </c>
      <c r="HF57" s="7">
        <f>IFERROR(AVERAGEIF('Данные 1st'!$S$2:$S$317,$A57,'Данные 1st'!$QP$2:$QP$317),"")</f>
        <v>1</v>
      </c>
      <c r="HG57" s="7">
        <f>IFERROR(AVERAGEIF('Данные 1st'!$S$2:$S$317,$A57,'Данные 1st'!$QQ$2:$QQ$317),"")</f>
        <v>1547</v>
      </c>
      <c r="HH57" s="7">
        <f>IFERROR(AVERAGEIF('Данные 1st'!$S$2:$S$317,$A57,'Данные 1st'!$QR$2:$QR$317),"")</f>
        <v>63</v>
      </c>
      <c r="HI57" s="7">
        <f>IFERROR(AVERAGEIF('Данные 1st'!$S$2:$S$317,$A57,'Данные 1st'!$QS$2:$QS$317),"")</f>
        <v>63</v>
      </c>
      <c r="HJ57" s="7">
        <f>IFERROR(AVERAGEIF('Данные 1st'!$S$2:$S$317,$A57,'Данные 1st'!$QU$2:$QU$317),"")</f>
        <v>1</v>
      </c>
      <c r="HK57" s="7">
        <f>IFERROR(AVERAGEIF('Данные 1st'!$S$2:$S$317,$A57,'Данные 1st'!$QV$2:$QV$317),"")</f>
        <v>1552</v>
      </c>
      <c r="HL57" s="7">
        <f>IFERROR(AVERAGEIF('Данные 1st'!$S$2:$S$317,$A57,'Данные 1st'!$QW$2:$QW$317),"")</f>
        <v>82</v>
      </c>
      <c r="HM57" s="7">
        <f>IFERROR(AVERAGEIF('Данные 1st'!$S$2:$S$317,$A57,'Данные 1st'!$QX$2:$QX$317),"")</f>
        <v/>
      </c>
      <c r="HN57" s="7">
        <f>IFERROR(AVERAGEIF('Данные 1st'!$S$2:$S$317,$A57,'Данные 1st'!$QZ$2:$QZ$317),"")</f>
        <v>1</v>
      </c>
      <c r="HO57" s="7">
        <f>IFERROR(AVERAGEIF('Данные 1st'!$S$2:$S$317,$A57,'Данные 1st'!$RA$2:$RA$317),"")</f>
        <v>66</v>
      </c>
      <c r="HP57" s="7">
        <f>IFERROR(AVERAGEIF('Данные 1st'!$S$2:$S$317,$A57,'Данные 1st'!$RB$2:$RB$317),"")</f>
        <v>66</v>
      </c>
      <c r="HQ57" s="7">
        <f>IFERROR(AVERAGEIF('Данные 1st'!$S$2:$S$317,$A57,'Данные 1st'!$RD$2:$RD$317),"")</f>
        <v/>
      </c>
      <c r="HR57" s="7">
        <f>IFERROR(AVERAGEIF('Данные 1st'!$S$2:$S$317,$A57,'Данные 1st'!$RE$2:$RE$317),"")</f>
        <v>0</v>
      </c>
      <c r="HS57" s="7">
        <f>IFERROR(AVERAGEIF('Данные 1st'!$S$2:$S$317,$A57,'Данные 1st'!$RF$2:$RF$317),"")</f>
        <v>1</v>
      </c>
      <c r="HT57" s="7">
        <f>IFERROR(AVERAGEIF('Данные 1st'!$S$2:$S$317,$A57,'Данные 1st'!$RG$2:$RG$317),"")</f>
        <v/>
      </c>
      <c r="HU57" s="7">
        <f>IFERROR(AVERAGEIF('Данные 1st'!$S$2:$S$317,$A57,'Данные 1st'!$RH$2:$RH$317),"")</f>
        <v/>
      </c>
      <c r="HV57" s="7">
        <f>IFERROR(AVERAGEIF('Данные 1st'!$S$2:$S$317,$A57,'Данные 1st'!$RI$2:$RI$317),"")</f>
        <v>1</v>
      </c>
      <c r="HW57" s="7">
        <f>IFERROR(AVERAGEIF('Данные 1st'!$S$2:$S$317,$A57,'Данные 1st'!$RJ$2:$RJ$317),"")</f>
        <v>1</v>
      </c>
      <c r="HX57" s="7">
        <f>IFERROR(AVERAGEIF('Данные 1st'!$S$2:$S$317,$A57,'Данные 1st'!$RK$2:$RK$317),"")</f>
        <v>2.5</v>
      </c>
      <c r="HY57" s="7">
        <f>IFERROR(AVERAGEIF('Данные 1st'!$S$2:$S$317,$A57,'Данные 1st'!$RL$2:$RL$317),"")</f>
        <v>4</v>
      </c>
      <c r="HZ57" s="7">
        <f>IFERROR(AVERAGEIF('Данные 1st'!$S$2:$S$317,$A57,'Данные 1st'!$RM$2:$RM$317),"")</f>
        <v>4</v>
      </c>
      <c r="IA57" s="7">
        <f>IFERROR(AVERAGEIF('Данные 1st'!$S$2:$S$317,$A57,'Данные 1st'!$RN$2:$RN$317),"")</f>
        <v/>
      </c>
      <c r="IB57" s="7">
        <f>IFERROR(AVERAGEIF('Данные 1st'!$S$2:$S$317,$A57,'Данные 1st'!$RO$2:$RO$317),"")</f>
        <v>488</v>
      </c>
      <c r="IC57" s="7">
        <f>IFERROR(AVERAGEIF('Данные 1st'!$S$2:$S$317,$A57,'Данные 1st'!$RP$2:$RP$317),"")</f>
        <v>123.5</v>
      </c>
      <c r="ID57" s="7">
        <f>IFERROR(AVERAGEIF('Данные 1st'!$S$2:$S$317,$A57,'Данные 1st'!$RQ$2:$RQ$317),"")</f>
        <v>552</v>
      </c>
      <c r="IE57" s="7">
        <f>IFERROR(AVERAGEIF('Данные 1st'!$S$2:$S$317,$A57,'Данные 1st'!$RR$2:$RR$317),"")</f>
        <v>542.5</v>
      </c>
      <c r="IF57" s="7">
        <f>IFERROR(AVERAGEIF('Данные 1st'!$S$2:$S$317,$A57,'Данные 1st'!$RS$2:$RS$317),"")</f>
        <v/>
      </c>
      <c r="IG57" s="7">
        <f>IFERROR(AVERAGEIF('Данные 1st'!$S$2:$S$317,$A57,'Данные 1st'!$RT$2:$RT$317),"")</f>
        <v>334.5</v>
      </c>
      <c r="IH57" s="7">
        <f>IFERROR(AVERAGEIF('Данные 1st'!$S$2:$S$317,$A57,'Данные 1st'!$RU$2:$RU$317),"")</f>
        <v>123.5</v>
      </c>
      <c r="II57" s="7">
        <f>IFERROR(AVERAGEIF('Данные 1st'!$S$2:$S$317,$A57,'Данные 1st'!$RX$2:$RX$317),"")</f>
        <v>15</v>
      </c>
      <c r="IJ57" s="7">
        <f>IFERROR(AVERAGEIF('Данные 1st'!$S$2:$S$317,$A57,'Данные 1st'!$RY$2:$RY$317),"")</f>
        <v>4</v>
      </c>
      <c r="IK57" s="7">
        <f>IFERROR(AVERAGEIF('Данные 1st'!$S$2:$S$317,$A57,'Данные 1st'!$SA$2:$SA$317),"")</f>
        <v>15</v>
      </c>
      <c r="IL57" s="7">
        <f>IFERROR(AVERAGEIF('Данные 1st'!$S$2:$S$317,$A57,'Данные 1st'!$SD$2:$SD$317),"")</f>
        <v>1</v>
      </c>
      <c r="IM57" s="7">
        <f>IFERROR(AVERAGEIF('Данные 1st'!$S$2:$S$317,$A57,'Данные 1st'!$SG$2:$SG$317),"")</f>
        <v>1</v>
      </c>
      <c r="IN57" s="7">
        <f>IFERROR(AVERAGEIF('Данные 1st'!$S$2:$S$317,$A57,'Данные 1st'!$SH$2:$SH$317),"")</f>
        <v>0.995</v>
      </c>
      <c r="IO57" s="7">
        <f>IFERROR(AVERAGEIF('Данные 1st'!$S$2:$S$317,$A57,'Данные 1st'!$SI$2:$SI$317),"")</f>
        <v>0.995</v>
      </c>
      <c r="IP57" s="7">
        <f>IFERROR(AVERAGEIF('Данные 1st'!$S$2:$S$317,$A57,'Данные 1st'!$SJ$2:$SJ$317),"")</f>
        <v>0.995</v>
      </c>
      <c r="IQ57" s="7">
        <f>IFERROR(AVERAGEIF('Данные 1st'!$S$2:$S$317,$A57,'Данные 1st'!$SK$2:$SK$317),"")</f>
        <v>15</v>
      </c>
      <c r="IR57" s="7">
        <f>IFERROR(AVERAGEIF('Данные 1st'!$S$2:$S$317,$A57,'Данные 1st'!$SL$2:$SL$317),"")</f>
        <v>0</v>
      </c>
      <c r="IS57" s="7">
        <f>IFERROR(AVERAGEIF('Данные 1st'!$S$2:$S$317,$A57,'Данные 1st'!$SM$2:$SM$317),"")</f>
        <v>0</v>
      </c>
      <c r="IT57" s="7">
        <f>IFERROR(AVERAGEIF('Данные 1st'!$S$2:$S$317,$A57,'Данные 1st'!$SN$2:$SN$317),"")</f>
        <v>0</v>
      </c>
      <c r="IU57" s="7">
        <f>IFERROR(AVERAGEIF('Данные 1st'!$S$2:$S$317,$A57,'Данные 1st'!$SO$2:$SO$317),"")</f>
        <v>0</v>
      </c>
      <c r="IV57" s="7">
        <f>IFERROR(AVERAGEIF('Данные 1st'!$S$2:$S$317,$A57,'Данные 1st'!$SP$2:$SP$317),"")</f>
        <v>0</v>
      </c>
      <c r="IW57" s="7">
        <f>IFERROR(AVERAGEIF('Данные 1st'!$S$2:$S$317,$A57,'Данные 1st'!$SQ$2:$SQ$317),"")</f>
        <v>0</v>
      </c>
      <c r="IX57" s="7">
        <f>IFERROR(AVERAGEIF('Данные 1st'!$S$2:$S$317,$A57,'Данные 1st'!$SR$2:$SR$317),"")</f>
        <v>0</v>
      </c>
      <c r="IY57" s="7">
        <f>IFERROR(AVERAGEIF('Данные 1st'!$S$2:$S$317,$A57,'Данные 1st'!$SS$2:$SS$317),"")</f>
        <v>0</v>
      </c>
      <c r="IZ57" s="7">
        <f>IFERROR(AVERAGEIF('Данные 1st'!$S$2:$S$317,$A57,'Данные 1st'!$ST$2:$ST$317),"")</f>
        <v>0</v>
      </c>
      <c r="JA57" s="7">
        <f>IFERROR(AVERAGEIF('Данные 1st'!$S$2:$S$317,$A57,'Данные 1st'!$SU$2:$SU$317),"")</f>
        <v>0</v>
      </c>
      <c r="JB57" s="7">
        <f>IFERROR(AVERAGEIF('Данные 1st'!$S$2:$S$317,$A57,'Данные 1st'!$SV$2:$SV$317),"")</f>
        <v>0</v>
      </c>
      <c r="JC57" s="7">
        <f>IFERROR(AVERAGEIF('Данные 1st'!$S$2:$S$317,$A57,'Данные 1st'!$SW$2:$SW$317),"")</f>
        <v>0</v>
      </c>
      <c r="JD57" s="7">
        <f>IFERROR(AVERAGEIF('Данные 1st'!$S$2:$S$317,$A57,'Данные 1st'!$SX$2:$SX$317),"")</f>
        <v>0</v>
      </c>
      <c r="JE57" s="7">
        <f>IFERROR(AVERAGEIF('Данные 1st'!$S$2:$S$317,$A57,'Данные 1st'!$SY$2:$SY$317),"")</f>
        <v>1</v>
      </c>
      <c r="JF57" s="7">
        <f>IFERROR(AVERAGEIF('Данные 1st'!$S$2:$S$317,$A57,'Данные 1st'!$SZ$2:$SZ$317),"")</f>
        <v>1</v>
      </c>
      <c r="JG57" s="7">
        <f>IFERROR(AVERAGEIF('Данные 1st'!$S$2:$S$317,$A57,'Данные 1st'!$TA$2:$TA$317),"")</f>
        <v/>
      </c>
      <c r="JH57" s="7">
        <f>IFERROR(AVERAGEIF('Данные 1st'!$S$2:$S$317,$A57,'Данные 1st'!$TB$2:$TB$317),"")</f>
        <v>0</v>
      </c>
      <c r="JI57" s="7">
        <f>IFERROR(AVERAGEIF('Данные 1st'!$S$2:$S$317,$A57,'Данные 1st'!$TC$2:$TC$317),"")</f>
        <v>0</v>
      </c>
      <c r="JJ57" s="7">
        <f>IFERROR(AVERAGEIF('Данные 1st'!$S$2:$S$317,$A57,'Данные 1st'!$TD$2:$TD$317),"")</f>
        <v>7.5</v>
      </c>
      <c r="JK57" s="7">
        <f>IFERROR(AVERAGEIF('Данные 1st'!$S$2:$S$317,$A57,'Данные 1st'!$TN$2:$TN$317),"")</f>
        <v>0</v>
      </c>
      <c r="JL57">
        <f>COUNTIF('Данные 2st'!$Q$2:$Q$317,$A57)</f>
        <v>2</v>
      </c>
      <c r="JM57" s="6" t="s">
        <v>5112</v>
      </c>
      <c r="JN57" s="6" t="s">
        <v>513</v>
      </c>
      <c r="JO57" s="6" t="s">
        <v>5125</v>
      </c>
      <c r="JP57" s="6" t="s">
        <v>5508</v>
      </c>
      <c r="JQ57" s="7">
        <f>IFERROR(AVERAGEIF('Данные 2st'!$Q$2:$Q$317,$A57,'Данные 2st'!$AC$2:$AC$317),"")</f>
        <v>9</v>
      </c>
      <c r="JR57" s="7">
        <f>IFERROR(AVERAGEIF('Данные 2st'!$Q$2:$Q$317,$A57,'Данные 2st'!$AF$2:$AF$317),"")</f>
        <v>4701</v>
      </c>
      <c r="JS57" s="7">
        <f>IFERROR(AVERAGEIF('Данные 2st'!$Q$2:$Q$317,$A57,'Данные 2st'!$AW$2:$AW$317),"")</f>
        <v>6.4</v>
      </c>
      <c r="JT57" s="7">
        <f>IFERROR(AVERAGEIF('Данные 2st'!$Q$2:$Q$317,$A57,'Данные 2st'!$AX$2:$AX$317),"")</f>
        <v>-6</v>
      </c>
      <c r="JU57" s="7">
        <f>IFERROR(AVERAGEIF('Данные 2st'!$Q$2:$Q$317,$A57,'Данные 2st'!$AY$2:$AY$317),"")</f>
        <v>112.5</v>
      </c>
      <c r="JV57" s="7">
        <f>IFERROR(AVERAGEIF('Данные 2st'!$Q$2:$Q$317,$A57,'Данные 2st'!$AZ$2:$AZ$317),"")</f>
        <v>79.5</v>
      </c>
      <c r="JW57" s="7">
        <f>IFERROR(AVERAGEIF('Данные 2st'!$Q$2:$Q$317,$A57,'Данные 2st'!$BA$2:$BA$317),"")</f>
        <v>85</v>
      </c>
      <c r="JX57" s="7">
        <f>IFERROR(AVERAGEIF('Данные 2st'!$Q$2:$Q$317,$A57,'Данные 2st'!$BB$2:$BB$317),"")</f>
        <v>108</v>
      </c>
      <c r="JY57" s="7">
        <f>IFERROR(AVERAGEIF('Данные 2st'!$Q$2:$Q$317,$A57,'Данные 2st'!$BC$2:$BC$317),"")</f>
        <v/>
      </c>
      <c r="JZ57" s="7">
        <f>IFERROR(AVERAGEIF('Данные 2st'!$Q$2:$Q$317,$A57,'Данные 2st'!$BH$2:$BH$317),"")</f>
        <v>112.5</v>
      </c>
      <c r="KA57" s="7">
        <f>IFERROR(AVERAGEIF('Данные 2st'!$Q$2:$Q$317,$A57,'Данные 2st'!$BI$2:$BI$317),"")</f>
        <v>33</v>
      </c>
      <c r="KB57" s="7">
        <f>IFERROR(AVERAGEIF('Данные 2st'!$Q$2:$Q$317,$A57,'Данные 2st'!$BJ$2:$BJ$317),"")</f>
        <v>79.5</v>
      </c>
      <c r="KC57" s="7">
        <f>IFERROR(AVERAGEIF('Данные 2st'!$Q$2:$Q$317,$A57,'Данные 2st'!$BK$2:$BK$317),"")</f>
        <v>2.5</v>
      </c>
      <c r="KD57" s="7">
        <f>IFERROR(AVERAGEIF('Данные 2st'!$Q$2:$Q$317,$A57,'Данные 2st'!$BL$2:$BL$317),"")</f>
        <v>225</v>
      </c>
      <c r="KE57" s="7">
        <f>IFERROR(AVERAGEIF('Данные 2st'!$Q$2:$Q$317,$A57,'Данные 2st'!$BM$2:$BM$317),"")</f>
        <v>-6</v>
      </c>
      <c r="KF57" s="7">
        <f>IFERROR(AVERAGEIF('Данные 2st'!$Q$2:$Q$317,$A57,'Данные 2st'!$BN$2:$BN$317),"")</f>
        <v>54</v>
      </c>
      <c r="KG57" s="7">
        <f>IFERROR(AVERAGEIF('Данные 2st'!$Q$2:$Q$317,$A57,'Данные 2st'!$BO$2:$BO$317),"")</f>
        <v>85</v>
      </c>
      <c r="KH57" s="7">
        <f>IFERROR(AVERAGEIF('Данные 2st'!$Q$2:$Q$317,$A57,'Данные 2st'!$BP$2:$BP$317),"")</f>
        <v>108</v>
      </c>
      <c r="KI57" s="7">
        <f>IFERROR(AVERAGEIF('Данные 2st'!$Q$2:$Q$317,$A57,'Данные 2st'!$BR$2:$BR$317),"")</f>
        <v>220</v>
      </c>
      <c r="KJ57" s="7">
        <f>IFERROR(AVERAGEIF('Данные 2st'!$Q$2:$Q$317,$A57,'Данные 2st'!$BS$2:$BS$317),"")</f>
        <v>210</v>
      </c>
      <c r="KK57" s="7">
        <f>IFERROR(AVERAGEIF('Данные 2st'!$Q$2:$Q$317,$A57,'Данные 2st'!$BT$2:$BT$317),"")</f>
        <v>2052.5</v>
      </c>
      <c r="KL57" s="7">
        <f>IFERROR(AVERAGEIF('Данные 2st'!$Q$2:$Q$317,$A57,'Данные 2st'!$CV$2:$CV$317),"")</f>
        <v>139.5</v>
      </c>
      <c r="KM57" s="7">
        <f>IFERROR(AVERAGEIF('Данные 2st'!$Q$2:$Q$317,$A57,'Данные 2st'!$CW$2:$CW$317),"")</f>
        <v>3</v>
      </c>
      <c r="KN57" s="7">
        <f>IFERROR(AVERAGEIF('Данные 2st'!$Q$2:$Q$317,$A57,'Данные 2st'!$CX$2:$CX$317),"")</f>
        <v>118</v>
      </c>
      <c r="KO57" s="7">
        <f>IFERROR(AVERAGEIF('Данные 2st'!$Q$2:$Q$317,$A57,'Данные 2st'!$CY$2:$CY$317),"")</f>
        <v>5</v>
      </c>
      <c r="KP57" s="7">
        <f>IFERROR(AVERAGEIF('Данные 2st'!$Q$2:$Q$317,$A57,'Данные 2st'!$CZ$2:$CZ$317),"")</f>
        <v>147.5</v>
      </c>
      <c r="KQ57" s="7">
        <f>IFERROR(AVERAGEIF('Данные 2st'!$Q$2:$Q$317,$A57,'Данные 2st'!$DA$2:$DA$317),"")</f>
        <v>5</v>
      </c>
      <c r="KR57" s="7">
        <f>IFERROR(AVERAGEIF('Данные 2st'!$Q$2:$Q$317,$A57,'Данные 2st'!$DB$2:$DB$317),"")</f>
        <v>12295</v>
      </c>
      <c r="KS57" s="7">
        <f>IFERROR(AVERAGEIF('Данные 2st'!$Q$2:$Q$317,$A57,'Данные 2st'!$DC$2:$DC$317),"")</f>
        <v>365</v>
      </c>
      <c r="KT57" s="7">
        <f>IFERROR(AVERAGEIF('Данные 2st'!$Q$2:$Q$317,$A57,'Данные 2st'!$DD$2:$DD$317),"")</f>
        <v>312.5</v>
      </c>
      <c r="KU57" s="7">
        <f>IFERROR(AVERAGEIF('Данные 2st'!$Q$2:$Q$317,$A57,'Данные 2st'!$DE$2:$DE$317),"")</f>
        <v>2173</v>
      </c>
      <c r="KV57" s="7">
        <f>IFERROR(AVERAGEIF('Данные 2st'!$Q$2:$Q$317,$A57,'Данные 2st'!$DF$2:$DF$317),"")</f>
        <v>2173</v>
      </c>
      <c r="KW57" s="7">
        <f>IFERROR(AVERAGEIF('Данные 2st'!$Q$2:$Q$317,$A57,'Данные 2st'!$DG$2:$DG$317),"")</f>
        <v>2183.5</v>
      </c>
      <c r="KX57" s="7">
        <f>IFERROR(AVERAGEIF('Данные 2st'!$Q$2:$Q$317,$A57,'Данные 2st'!$DH$2:$DH$317),"")</f>
        <v>0.5</v>
      </c>
      <c r="KY57" s="7">
        <f>IFERROR(AVERAGEIF('Данные 2st'!$Q$2:$Q$317,$A57,'Данные 2st'!$DI$2:$DI$317),"")</f>
        <v/>
      </c>
      <c r="KZ57" s="7">
        <f>IFERROR(AVERAGEIF('Данные 2st'!$Q$2:$Q$317,$A57,'Данные 2st'!$DK$2:$DK$317),"")</f>
        <v>220</v>
      </c>
      <c r="LA57" s="7">
        <f>IFERROR(AVERAGEIF('Данные 2st'!$Q$2:$Q$317,$A57,'Данные 2st'!$DM$2:$DM$317),"")</f>
        <v>66</v>
      </c>
      <c r="LB57" s="7">
        <f>IFERROR(AVERAGEIF('Данные 2st'!$Q$2:$Q$317,$A57,'Данные 2st'!$DN$2:$DN$317),"")</f>
        <v>1.1</v>
      </c>
      <c r="LC57" s="7">
        <f>IFERROR(AVERAGEIF('Данные 2st'!$Q$2:$Q$317,$A57,'Данные 2st'!$DO$2:$DO$317),"")</f>
        <v>1</v>
      </c>
      <c r="LD57" s="7">
        <f>IFERROR(AVERAGEIF('Данные 2st'!$Q$2:$Q$317,$A57,'Данные 2st'!$DP$2:$DP$317),"")</f>
        <v>2055.5</v>
      </c>
      <c r="LE57" s="7">
        <f>IFERROR(AVERAGEIF('Данные 2st'!$Q$2:$Q$317,$A57,'Данные 2st'!$DQ$2:$DQ$317),"")</f>
        <v>978.5</v>
      </c>
      <c r="LF57" s="7">
        <f>IFERROR(AVERAGEIF('Данные 2st'!$Q$2:$Q$317,$A57,'Данные 2st'!$DS$2:$DS$317),"")</f>
        <v>210</v>
      </c>
      <c r="LG57" s="7">
        <f>IFERROR(AVERAGEIF('Данные 2st'!$Q$2:$Q$317,$A57,'Данные 2st'!$DU$2:$DU$317),"")</f>
        <v>66</v>
      </c>
      <c r="LH57" s="7">
        <f>IFERROR(AVERAGEIF('Данные 2st'!$Q$2:$Q$317,$A57,'Данные 2st'!$DV$2:$DV$317),"")</f>
        <v>1.1</v>
      </c>
      <c r="LI57" s="7">
        <f>IFERROR(AVERAGEIF('Данные 2st'!$Q$2:$Q$317,$A57,'Данные 2st'!$DW$2:$DW$317),"")</f>
        <v>1</v>
      </c>
      <c r="LJ57" s="7">
        <f>IFERROR(AVERAGEIF('Данные 2st'!$Q$2:$Q$317,$A57,'Данные 2st'!$DX$2:$DX$317),"")</f>
        <v>2067.5</v>
      </c>
      <c r="LK57" s="7">
        <f>IFERROR(AVERAGEIF('Данные 2st'!$Q$2:$Q$317,$A57,'Данные 2st'!$DY$2:$DY$317),"")</f>
        <v>938.5</v>
      </c>
      <c r="LL57" s="7">
        <f>IFERROR(AVERAGEIF('Данные 2st'!$Q$2:$Q$317,$A57,'Данные 2st'!$EA$2:$EA$317),"")</f>
        <v>20</v>
      </c>
      <c r="LM57" s="7">
        <f>IFERROR(AVERAGEIF('Данные 2st'!$Q$2:$Q$317,$A57,'Данные 2st'!$EC$2:$EC$317),"")</f>
        <v>0.8</v>
      </c>
      <c r="LN57" s="7">
        <f>IFERROR(AVERAGEIF('Данные 2st'!$Q$2:$Q$317,$A57,'Данные 2st'!$ED$2:$ED$317),"")</f>
        <v>2055.5</v>
      </c>
      <c r="LO57" s="7">
        <f>IFERROR(AVERAGEIF('Данные 2st'!$Q$2:$Q$317,$A57,'Данные 2st'!$EE$2:$EE$317),"")</f>
        <v>72</v>
      </c>
      <c r="LP57" s="7">
        <f>IFERROR(AVERAGEIF('Данные 2st'!$Q$2:$Q$317,$A57,'Данные 2st'!$EG$2:$EG$317),"")</f>
        <v>0</v>
      </c>
      <c r="LQ57" s="7">
        <f>IFERROR(AVERAGEIF('Данные 2st'!$Q$2:$Q$317,$A57,'Данные 2st'!$EI$2:$EI$317),"")</f>
        <v>0</v>
      </c>
      <c r="LR57" s="7">
        <f>IFERROR(AVERAGEIF('Данные 2st'!$Q$2:$Q$317,$A57,'Данные 2st'!$EJ$2:$EJ$317),"")</f>
        <v/>
      </c>
      <c r="LS57" s="7">
        <f>IFERROR(AVERAGEIF('Данные 2st'!$Q$2:$Q$317,$A57,'Данные 2st'!$EK$2:$EK$317),"")</f>
        <v/>
      </c>
      <c r="LT57" s="7">
        <f>IFERROR(AVERAGEIF('Данные 2st'!$Q$2:$Q$317,$A57,'Данные 2st'!$EM$2:$EM$317),"")</f>
        <v>12</v>
      </c>
      <c r="LU57" s="7">
        <f>IFERROR(AVERAGEIF('Данные 2st'!$Q$2:$Q$317,$A57,'Данные 2st'!$EN$2:$EN$317),"")</f>
        <v>0.5</v>
      </c>
      <c r="LV57" s="7">
        <f>IFERROR(AVERAGEIF('Данные 2st'!$Q$2:$Q$317,$A57,'Данные 2st'!$EO$2:$EO$317),"")</f>
        <v>0.96</v>
      </c>
      <c r="LW57" s="7">
        <f>IFERROR(AVERAGEIF('Данные 2st'!$Q$2:$Q$317,$A57,'Данные 2st'!$EP$2:$EP$317),"")</f>
        <v>2066.33</v>
      </c>
      <c r="LX57" s="7">
        <f>IFERROR(AVERAGEIF('Данные 2st'!$Q$2:$Q$317,$A57,'Данные 2st'!$EQ$2:$EQ$317),"")</f>
        <v>38258.415</v>
      </c>
      <c r="LY57" s="7">
        <f>IFERROR(AVERAGEIF('Данные 2st'!$Q$2:$Q$317,$A57,'Данные 2st'!$ER$2:$ER$317),"")</f>
        <v>10684.439999999999</v>
      </c>
      <c r="LZ57" s="7">
        <f>IFERROR(AVERAGEIF('Данные 2st'!$Q$2:$Q$317,$A57,'Данные 2st'!$ES$2:$ES$317),"")</f>
        <v>3730.12</v>
      </c>
      <c r="MA57" s="7">
        <f>IFERROR(AVERAGEIF('Данные 2st'!$Q$2:$Q$317,$A57,'Данные 2st'!$ET$2:$ET$317),"")</f>
        <v>0</v>
      </c>
      <c r="MB57" s="7">
        <f>IFERROR(AVERAGEIF('Данные 2st'!$Q$2:$Q$317,$A57,'Данные 2st'!$EU$2:$EU$317),"")</f>
        <v>1</v>
      </c>
      <c r="MC57" s="7">
        <f>IFERROR(AVERAGEIF('Данные 2st'!$Q$2:$Q$317,$A57,'Данные 2st'!$EV$2:$EV$317),"")</f>
        <v>52673.5</v>
      </c>
      <c r="MD57" s="7">
        <f>IFERROR(AVERAGEIF('Данные 2st'!$Q$2:$Q$317,$A57,'Данные 2st'!$EW$2:$EW$317),"")</f>
        <v>632.5</v>
      </c>
      <c r="ME57" s="7">
        <f>IFERROR(AVERAGEIF('Данные 2st'!$Q$2:$Q$317,$A57,'Данные 2st'!$EY$2:$EY$317),"")</f>
        <v>241</v>
      </c>
      <c r="MF57" s="7">
        <f>IFERROR(AVERAGEIF('Данные 2st'!$Q$2:$Q$317,$A57,'Данные 2st'!$FA$2:$FA$317),"")</f>
        <v>5</v>
      </c>
      <c r="MG57" s="7">
        <f>IFERROR(AVERAGEIF('Данные 2st'!$Q$2:$Q$317,$A57,'Данные 2st'!$FB$2:$FB$317),"")</f>
        <v>1</v>
      </c>
      <c r="MH57" s="7">
        <f>IFERROR(AVERAGEIF('Данные 2st'!$Q$2:$Q$317,$A57,'Данные 2st'!$FC$2:$FC$317),"")</f>
        <v>1</v>
      </c>
      <c r="MI57" s="7">
        <f>IFERROR(AVERAGEIF('Данные 2st'!$Q$2:$Q$317,$A57,'Данные 2st'!$FD$2:$FD$317),"")</f>
        <v>2098.5</v>
      </c>
      <c r="MJ57" s="7">
        <f>IFERROR(AVERAGEIF('Данные 2st'!$Q$2:$Q$317,$A57,'Данные 2st'!$FE$2:$FE$317),"")</f>
        <v>2862</v>
      </c>
      <c r="MK57" s="7">
        <f>IFERROR(AVERAGEIF('Данные 2st'!$Q$2:$Q$317,$A57,'Данные 2st'!$FG$2:$FG$317),"")</f>
        <v>241</v>
      </c>
      <c r="ML57" s="7">
        <f>IFERROR(AVERAGEIF('Данные 2st'!$Q$2:$Q$317,$A57,'Данные 2st'!$FI$2:$FI$317),"")</f>
        <v>2.8499999999999996</v>
      </c>
      <c r="MM57" s="7">
        <f>IFERROR(AVERAGEIF('Данные 2st'!$Q$2:$Q$317,$A57,'Данные 2st'!$FJ$2:$FJ$317),"")</f>
        <v>2098.5</v>
      </c>
      <c r="MN57" s="7">
        <f>IFERROR(AVERAGEIF('Данные 2st'!$Q$2:$Q$317,$A57,'Данные 2st'!$FK$2:$FK$317),"")</f>
        <v>1662</v>
      </c>
      <c r="MO57" s="7">
        <f>IFERROR(AVERAGEIF('Данные 2st'!$Q$2:$Q$317,$A57,'Данные 2st'!$FP$2:$FP$317),"")</f>
        <v>2098.5</v>
      </c>
      <c r="MP57" s="7">
        <f>IFERROR(AVERAGEIF('Данные 2st'!$Q$2:$Q$317,$A57,'Данные 2st'!$FQ$2:$FQ$317),"")</f>
        <v>196.5</v>
      </c>
      <c r="MQ57" s="7">
        <f>IFERROR(AVERAGEIF('Данные 2st'!$Q$2:$Q$317,$A57,'Данные 2st'!$FS$2:$FS$317),"")</f>
        <v>245</v>
      </c>
      <c r="MR57" s="7">
        <f>IFERROR(AVERAGEIF('Данные 2st'!$Q$2:$Q$317,$A57,'Данные 2st'!$FU$2:$FU$317),"")</f>
        <v>0.4</v>
      </c>
      <c r="MS57" s="7">
        <f>IFERROR(AVERAGEIF('Данные 2st'!$Q$2:$Q$317,$A57,'Данные 2st'!$FV$2:$FV$317),"")</f>
        <v>2098.5</v>
      </c>
      <c r="MT57" s="7">
        <f>IFERROR(AVERAGEIF('Данные 2st'!$Q$2:$Q$317,$A57,'Данные 2st'!$FW$2:$FW$317),"")</f>
        <v>229</v>
      </c>
      <c r="MU57" s="7">
        <f>IFERROR(AVERAGEIF('Данные 2st'!$Q$2:$Q$317,$A57,'Данные 2st'!$FY$2:$FY$317),"")</f>
        <v>5</v>
      </c>
      <c r="MV57" s="7">
        <f>IFERROR(AVERAGEIF('Данные 2st'!$Q$2:$Q$317,$A57,'Данные 2st'!$GB$2:$GB$317),"")</f>
        <v>2098.5</v>
      </c>
      <c r="MW57" s="7">
        <f>IFERROR(AVERAGEIF('Данные 2st'!$Q$2:$Q$317,$A57,'Данные 2st'!$GC$2:$GC$317),"")</f>
        <v>20</v>
      </c>
      <c r="MX57" s="7">
        <f>IFERROR(AVERAGEIF('Данные 2st'!$Q$2:$Q$317,$A57,'Данные 2st'!$GD$2:$GD$317),"")</f>
        <v>4969.5</v>
      </c>
      <c r="MY57" s="7">
        <f>IFERROR(AVERAGEIF('Данные 2st'!$Q$2:$Q$317,$A57,'Данные 2st'!$GN$2:$GN$317),"")</f>
        <v/>
      </c>
      <c r="MZ57" s="7">
        <f>IFERROR(AVERAGEIF('Данные 2st'!$Q$2:$Q$317,$A57,'Данные 2st'!$GQ$2:$GQ$317),"")</f>
        <v>0</v>
      </c>
      <c r="NA57" s="7">
        <f>IFERROR(AVERAGEIF('Данные 2st'!$Q$2:$Q$317,$A57,'Данные 2st'!$GV$2:$GV$317),"")</f>
        <v>8.25</v>
      </c>
      <c r="NB57" s="7">
        <f>IFERROR(AVERAGEIF('Данные 2st'!$Q$2:$Q$317,$A57,'Данные 2st'!$GW$2:$GW$317),"")</f>
        <v>10.75</v>
      </c>
      <c r="NC57" s="7">
        <f>IFERROR(AVERAGEIF('Данные 2st'!$Q$2:$Q$317,$A57,'Данные 2st'!$GX$2:$GX$317),"")</f>
        <v>0.5</v>
      </c>
      <c r="ND57" s="7">
        <f>IFERROR(AVERAGEIF('Данные 2st'!$Q$2:$Q$317,$A57,'Данные 2st'!$GY$2:$GY$317),"")</f>
        <v>208</v>
      </c>
      <c r="NE57" s="7">
        <f>IFERROR(AVERAGEIF('Данные 2st'!$Q$2:$Q$317,$A57,'Данные 2st'!$GZ$2:$GZ$317),"")</f>
        <v>3</v>
      </c>
      <c r="NF57" s="7">
        <f>IFERROR(AVERAGEIF('Данные 2st'!$Q$2:$Q$317,$A57,'Данные 2st'!$HA$2:$HA$317),"")</f>
        <v>261</v>
      </c>
      <c r="NG57" s="7">
        <f>IFERROR(AVERAGEIF('Данные 2st'!$Q$2:$Q$317,$A57,'Данные 2st'!$HB$2:$HB$317),"")</f>
        <v>3</v>
      </c>
      <c r="NH57" s="7">
        <f>IFERROR(AVERAGEIF('Данные 2st'!$Q$2:$Q$317,$A57,'Данные 2st'!$HC$2:$HC$317),"")</f>
        <v>2098.5</v>
      </c>
      <c r="NI57" s="7">
        <f>IFERROR(AVERAGEIF('Данные 2st'!$Q$2:$Q$317,$A57,'Данные 2st'!$HD$2:$HD$317),"")</f>
        <v>4</v>
      </c>
      <c r="NJ57" s="7">
        <f>IFERROR(AVERAGEIF('Данные 2st'!$Q$2:$Q$317,$A57,'Данные 2st'!$HM$2:$HM$317),"")</f>
        <v>20</v>
      </c>
      <c r="NK57" s="7">
        <f>IFERROR(AVERAGEIF('Данные 2st'!$Q$2:$Q$317,$A57,'Данные 2st'!$HR$2:$HR$317),"")</f>
        <v>2</v>
      </c>
      <c r="NL57" s="7">
        <f>IFERROR(AVERAGEIF('Данные 2st'!$Q$2:$Q$317,$A57,'Данные 2st'!$HS$2:$HS$317),"")</f>
        <v>2052.5</v>
      </c>
      <c r="NM57" s="7">
        <f>IFERROR(AVERAGEIF('Данные 2st'!$Q$2:$Q$317,$A57,'Данные 2st'!$HT$2:$HT$317),"")</f>
        <v>5</v>
      </c>
      <c r="NN57" s="7">
        <f>IFERROR(AVERAGEIF('Данные 2st'!$Q$2:$Q$317,$A57,'Данные 2st'!$HY$2:$HY$317),"")</f>
        <v>0</v>
      </c>
      <c r="NO57" s="7">
        <f>IFERROR(AVERAGEIF('Данные 2st'!$Q$2:$Q$317,$A57,'Данные 2st'!$HZ$2:$HZ$317),"")</f>
        <v>66</v>
      </c>
      <c r="NP57" s="7">
        <f>IFERROR(AVERAGEIF('Данные 2st'!$Q$2:$Q$317,$A57,'Данные 2st'!$IA$2:$IA$317),"")</f>
        <v>2055.5</v>
      </c>
      <c r="NQ57" s="7">
        <f>IFERROR(AVERAGEIF('Данные 2st'!$Q$2:$Q$317,$A57,'Данные 2st'!$IB$2:$IB$317),"")</f>
        <v>2067.5</v>
      </c>
      <c r="NR57" s="7">
        <f>IFERROR(AVERAGEIF('Данные 2st'!$Q$2:$Q$317,$A57,'Данные 2st'!$IC$2:$IC$317),"")</f>
        <v/>
      </c>
      <c r="NS57" s="7">
        <f>IFERROR(AVERAGEIF('Данные 2st'!$Q$2:$Q$317,$A57,'Данные 2st'!$ID$2:$ID$317),"")</f>
        <v>2098.5</v>
      </c>
      <c r="NT57" s="7">
        <f>IFERROR(AVERAGEIF('Данные 2st'!$Q$2:$Q$317,$A57,'Данные 2st'!$IE$2:$IE$317),"")</f>
        <v>2098.5</v>
      </c>
      <c r="NU57" s="7">
        <f>IFERROR(AVERAGEIF('Данные 2st'!$Q$2:$Q$317,$A57,'Данные 2st'!$IF$2:$IF$317),"")</f>
        <v>220</v>
      </c>
      <c r="NV57" s="7">
        <f>IFERROR(AVERAGEIF('Данные 2st'!$Q$2:$Q$317,$A57,'Данные 2st'!$IG$2:$IG$317),"")</f>
        <v>210</v>
      </c>
      <c r="NW57" s="7">
        <f>IFERROR(AVERAGEIF('Данные 2st'!$Q$2:$Q$317,$A57,'Данные 2st'!$IH$2:$IH$317),"")</f>
        <v>261</v>
      </c>
      <c r="NX57" s="7">
        <f>IFERROR(AVERAGEIF('Данные 2st'!$Q$2:$Q$317,$A57,'Данные 2st'!$IJ$2:$IJ$317),"")</f>
        <v>5</v>
      </c>
      <c r="NY57" s="7">
        <f>IFERROR(AVERAGEIF('Данные 2st'!$Q$2:$Q$317,$A57,'Данные 2st'!$IM$2:$IM$317),"")</f>
        <v>0</v>
      </c>
      <c r="NZ57" s="7">
        <f>IFERROR(AVERAGEIF('Данные 2st'!$Q$2:$Q$317,$A57,'Данные 2st'!$IN$2:$IN$317),"")</f>
        <v>270</v>
      </c>
      <c r="OA57" s="7">
        <f>IFERROR(AVERAGEIF('Данные 2st'!$Q$2:$Q$317,$A57,'Данные 2st'!$IO$2:$IO$317),"")</f>
        <v>0</v>
      </c>
      <c r="OB57" s="7">
        <f>IFERROR(AVERAGEIF('Данные 2st'!$Q$2:$Q$317,$A57,'Данные 2st'!$IP$2:$IP$317),"")</f>
        <v>180</v>
      </c>
      <c r="OC57" s="7">
        <f>IFERROR(AVERAGEIF('Данные 2st'!$Q$2:$Q$317,$A57,'Данные 2st'!$IQ$2:$IQ$317),"")</f>
        <v>0</v>
      </c>
      <c r="OD57" s="7">
        <f>IFERROR(AVERAGEIF('Данные 2st'!$Q$2:$Q$317,$A57,'Данные 2st'!$IR$2:$IR$317),"")</f>
        <v>330</v>
      </c>
      <c r="OE57" s="7">
        <f>IFERROR(AVERAGEIF('Данные 2st'!$Q$2:$Q$317,$A57,'Данные 2st'!$IT$2:$IT$317),"")</f>
        <v>90</v>
      </c>
      <c r="OF57" s="7">
        <f>IFERROR(AVERAGEIF('Данные 2st'!$Q$2:$Q$317,$A57,'Данные 2st'!$IU$2:$IU$317),"")</f>
        <v>0</v>
      </c>
      <c r="OG57" s="7">
        <f>IFERROR(AVERAGEIF('Данные 2st'!$Q$2:$Q$317,$A57,'Данные 2st'!$IV$2:$IV$317),"")</f>
        <v>6.4</v>
      </c>
      <c r="OH57" s="7">
        <f>IFERROR(AVERAGEIF('Данные 2st'!$Q$2:$Q$317,$A57,'Данные 2st'!$IW$2:$IW$317),"")</f>
        <v>-6</v>
      </c>
      <c r="OI57" s="7">
        <f>IFERROR(AVERAGEIF('Данные 2st'!$Q$2:$Q$317,$A57,'Данные 2st'!$IX$2:$IX$317),"")</f>
        <v>112.5</v>
      </c>
      <c r="OJ57" s="7">
        <f>IFERROR(AVERAGEIF('Данные 2st'!$Q$2:$Q$317,$A57,'Данные 2st'!$IY$2:$IY$317),"")</f>
        <v>79.5</v>
      </c>
      <c r="OK57" s="7">
        <f>IFERROR(AVERAGEIF('Данные 2st'!$Q$2:$Q$317,$A57,'Данные 2st'!$IZ$2:$IZ$317),"")</f>
        <v>42.5</v>
      </c>
      <c r="OL57" s="7">
        <f>IFERROR(AVERAGEIF('Данные 2st'!$Q$2:$Q$317,$A57,'Данные 2st'!$JA$2:$JA$317),"")</f>
        <v>54</v>
      </c>
      <c r="OM57" s="7">
        <f>IFERROR(AVERAGEIF('Данные 2st'!$Q$2:$Q$317,$A57,'Данные 2st'!$JB$2:$JB$317),"")</f>
        <v>0</v>
      </c>
      <c r="ON57" s="7">
        <f>IFERROR(AVERAGEIF('Данные 2st'!$Q$2:$Q$317,$A57,'Данные 2st'!$JC$2:$JC$317),"")</f>
        <v>0</v>
      </c>
      <c r="OO57" s="7">
        <f>IFERROR(AVERAGEIF('Данные 2st'!$Q$2:$Q$317,$A57,'Данные 2st'!$JD$2:$JD$317),"")</f>
        <v>0</v>
      </c>
      <c r="OP57" s="7">
        <f>IFERROR(AVERAGEIF('Данные 2st'!$Q$2:$Q$317,$A57,'Данные 2st'!$JE$2:$JE$317),"")</f>
        <v>0</v>
      </c>
      <c r="OQ57" s="7">
        <f>IFERROR(AVERAGEIF('Данные 2st'!$Q$2:$Q$317,$A57,'Данные 2st'!$JF$2:$JF$317),"")</f>
        <v>0</v>
      </c>
      <c r="OR57" s="7">
        <f>IFERROR(AVERAGEIF('Данные 2st'!$Q$2:$Q$317,$A57,'Данные 2st'!$JG$2:$JG$317),"")</f>
        <v>0</v>
      </c>
      <c r="OS57" s="7">
        <f>IFERROR(AVERAGEIF('Данные 2st'!$Q$2:$Q$317,$A57,'Данные 2st'!$JH$2:$JH$317),"")</f>
        <v>0</v>
      </c>
      <c r="OT57" s="7">
        <f>IFERROR(AVERAGEIF('Данные 2st'!$Q$2:$Q$317,$A57,'Данные 2st'!$JI$2:$JI$317),"")</f>
        <v>350</v>
      </c>
      <c r="OU57" s="7">
        <f>IFERROR(AVERAGEIF('Данные 2st'!$Q$2:$Q$317,$A57,'Данные 2st'!$JJ$2:$JJ$317),"")</f>
        <v>330</v>
      </c>
      <c r="OV57" s="7">
        <f>IFERROR(AVERAGEIF('Данные 2st'!$Q$2:$Q$317,$A57,'Данные 2st'!$JK$2:$JK$317),"")</f>
        <v>251</v>
      </c>
      <c r="OW57" s="7">
        <f>IFERROR(AVERAGEIF('Данные 2st'!$Q$2:$Q$317,$A57,'Данные 2st'!$JL$2:$JL$317),"")</f>
        <v>323</v>
      </c>
      <c r="OX57" s="7">
        <f>IFERROR(AVERAGEIF('Данные 2st'!$Q$2:$Q$317,$A57,'Данные 2st'!$JM$2:$JM$317),"")</f>
        <v>255</v>
      </c>
      <c r="OY57" s="7">
        <f>IFERROR(AVERAGEIF('Данные 2st'!$Q$2:$Q$317,$A57,'Данные 2st'!$JP$2:$JP$317),"")</f>
        <v>212.5</v>
      </c>
      <c r="OZ57" s="7">
        <f>IFERROR(AVERAGEIF('Данные 2st'!$Q$2:$Q$317,$A57,'Данные 2st'!$JQ$2:$JQ$317),"")</f>
        <v>257.5</v>
      </c>
      <c r="PA57" s="7">
        <f>IFERROR(AVERAGEIF('Данные 2st'!$Q$2:$Q$317,$A57,'Данные 2st'!$JR$2:$JR$317),"")</f>
        <v>300</v>
      </c>
      <c r="PB57" s="7">
        <f>IFERROR(AVERAGEIF('Данные 2st'!$Q$2:$Q$317,$A57,'Данные 2st'!$JS$2:$JS$317),"")</f>
        <v>265.5</v>
      </c>
      <c r="PC57" s="7">
        <f>IFERROR(AVERAGEIF('Данные 2st'!$Q$2:$Q$317,$A57,'Данные 2st'!$JT$2:$JT$317),"")</f>
        <v>0</v>
      </c>
      <c r="PD57" s="7">
        <f>IFERROR(AVERAGEIF('Данные 2st'!$Q$2:$Q$317,$A57,'Данные 2st'!$JU$2:$JU$317),"")</f>
        <v>0</v>
      </c>
      <c r="PE57" s="7">
        <f>IFERROR(AVERAGEIF('Данные 2st'!$Q$2:$Q$317,$A57,'Данные 2st'!$JV$2:$JV$317),"")</f>
        <v>293.5</v>
      </c>
      <c r="PF57" s="7">
        <f>IFERROR(AVERAGEIF('Данные 2st'!$Q$2:$Q$317,$A57,'Данные 2st'!$JW$2:$JW$317),"")</f>
        <v>292.5</v>
      </c>
      <c r="PG57" s="7">
        <f>IFERROR(AVERAGEIF('Данные 2st'!$Q$2:$Q$317,$A57,'Данные 2st'!$KF$2:$KF$317),"")</f>
        <v>0.19</v>
      </c>
      <c r="PH57" s="7">
        <f>IFERROR(AVERAGEIF('Данные 2st'!$Q$2:$Q$317,$A57,'Данные 2st'!$KG$2:$KG$317),"")</f>
        <v>0.10500000000000001</v>
      </c>
      <c r="PI57" s="7">
        <f>IFERROR(AVERAGEIF('Данные 2st'!$Q$2:$Q$317,$A57,'Данные 2st'!$KM$2:$KM$317),"")</f>
        <v>0.5</v>
      </c>
      <c r="PJ57" s="7">
        <f>IFERROR(AVERAGEIF('Данные 2st'!$Q$2:$Q$317,$A57,'Данные 2st'!$KN$2:$KN$317),"")</f>
        <v>2.1</v>
      </c>
      <c r="PK57" s="7">
        <f>IFERROR(AVERAGEIF('Данные 2st'!$Q$2:$Q$317,$A57,'Данные 2st'!$KO$2:$KO$317),"")</f>
        <v>0.5</v>
      </c>
      <c r="PL57" s="7">
        <f>IFERROR(AVERAGEIF('Данные 2st'!$Q$2:$Q$317,$A57,'Данные 2st'!$KP$2:$KP$317),"")</f>
        <v>0</v>
      </c>
      <c r="PM57" s="7">
        <f>IFERROR(AVERAGEIF('Данные 2st'!$Q$2:$Q$317,$A57,'Данные 2st'!$KQ$2:$KQ$317),"")</f>
        <v>0.8</v>
      </c>
      <c r="PN57" s="7">
        <f>IFERROR(AVERAGEIF('Данные 2st'!$Q$2:$Q$317,$A57,'Данные 2st'!$KR$2:$KR$317),"")</f>
        <v>0.8</v>
      </c>
      <c r="PO57" s="7">
        <f>IFERROR(AVERAGEIF('Данные 2st'!$Q$2:$Q$317,$A57,'Данные 2st'!$KS$2:$KS$317),"")</f>
        <v>0</v>
      </c>
      <c r="PP57" s="7">
        <f>IFERROR(AVERAGEIF('Данные 2st'!$Q$2:$Q$317,$A57,'Данные 2st'!$KT$2:$KT$317),"")</f>
        <v>2.5</v>
      </c>
      <c r="PQ57" s="7">
        <f>IFERROR(AVERAGEIF('Данные 2st'!$Q$2:$Q$317,$A57,'Данные 2st'!$KU$2:$KU$317),"")</f>
        <v>0</v>
      </c>
      <c r="PR57" s="7">
        <f>IFERROR(AVERAGEIF('Данные 2st'!$Q$2:$Q$317,$A57,'Данные 2st'!$KV$2:$KV$317),"")</f>
        <v>0</v>
      </c>
      <c r="PS57" s="7">
        <f>IFERROR(AVERAGEIF('Данные 2st'!$Q$2:$Q$317,$A57,'Данные 2st'!$KW$2:$KW$317),"")</f>
        <v>1.4</v>
      </c>
      <c r="PT57" s="7">
        <f>IFERROR(AVERAGEIF('Данные 2st'!$Q$2:$Q$317,$A57,'Данные 2st'!$KX$2:$KX$317),"")</f>
        <v>2</v>
      </c>
      <c r="PU57" s="7">
        <f>IFERROR(AVERAGEIF('Данные 2st'!$Q$2:$Q$317,$A57,'Данные 2st'!$KY$2:$KY$317),"")</f>
        <v>1</v>
      </c>
      <c r="PV57" s="7">
        <f>IFERROR(AVERAGEIF('Данные 2st'!$Q$2:$Q$317,$A57,'Данные 2st'!$KZ$2:$KZ$317),"")</f>
        <v>0</v>
      </c>
      <c r="PW57" s="7">
        <f>IFERROR(AVERAGEIF('Данные 2st'!$Q$2:$Q$317,$A57,'Данные 2st'!$LA$2:$LA$317),"")</f>
        <v>0</v>
      </c>
      <c r="PX57" s="7">
        <f>IFERROR(AVERAGEIF('Данные 2st'!$Q$2:$Q$317,$A57,'Данные 2st'!$LB$2:$LB$317),"")</f>
        <v>0</v>
      </c>
      <c r="PY57" s="7">
        <f>IFERROR(AVERAGEIF('Данные 2st'!$Q$2:$Q$317,$A57,'Данные 2st'!$LC$2:$LC$317),"")</f>
        <v>0</v>
      </c>
      <c r="PZ57" s="7">
        <f>IFERROR(AVERAGEIF('Данные 2st'!$Q$2:$Q$317,$A57,'Данные 2st'!$LD$2:$LD$317),"")</f>
        <v>0</v>
      </c>
      <c r="QA57" s="7">
        <f>IFERROR(AVERAGEIF('Данные 2st'!$Q$2:$Q$317,$A57,'Данные 2st'!$LE$2:$LE$317),"")</f>
        <v>0</v>
      </c>
      <c r="QB57" s="7">
        <f>IFERROR(AVERAGEIF('Данные 2st'!$Q$2:$Q$317,$A57,'Данные 2st'!$LF$2:$LF$317),"")</f>
        <v>0</v>
      </c>
      <c r="QC57" s="7">
        <f>IFERROR(AVERAGEIF('Данные 2st'!$Q$2:$Q$317,$A57,'Данные 2st'!$LG$2:$LG$317),"")</f>
        <v>0</v>
      </c>
      <c r="QD57" s="7">
        <f>IFERROR(AVERAGEIF('Данные 2st'!$Q$2:$Q$317,$A57,'Данные 2st'!$LH$2:$LH$317),"")</f>
        <v>3</v>
      </c>
      <c r="QE57" s="7">
        <f>IFERROR(AVERAGEIF('Данные 2st'!$Q$2:$Q$317,$A57,'Данные 2st'!$LJ$2:$LJ$317),"")</f>
        <v>0</v>
      </c>
      <c r="QF57" s="7">
        <f>IFERROR(AVERAGEIF('Данные 2st'!$Q$2:$Q$317,$A57,'Данные 2st'!$LK$2:$LK$317),"")</f>
        <v>9</v>
      </c>
      <c r="QG57" s="7">
        <f>IFERROR(AVERAGEIF('Данные 2st'!$Q$2:$Q$317,$A57,'Данные 2st'!$LL$2:$LL$317),"")</f>
        <v>5</v>
      </c>
      <c r="QH57" s="7">
        <f>IFERROR(AVERAGEIF('Данные 2st'!$Q$2:$Q$317,$A57,'Данные 2st'!$LM$2:$LM$317),"")</f>
        <v>10</v>
      </c>
      <c r="QI57" s="7">
        <f>IFERROR(AVERAGEIF('Данные 2st'!$Q$2:$Q$317,$A57,'Данные 2st'!$LN$2:$LN$317),"")</f>
        <v>1.55</v>
      </c>
      <c r="QJ57" s="7">
        <f>IFERROR(AVERAGEIF('Данные 2st'!$Q$2:$Q$317,$A57,'Данные 2st'!$LO$2:$LO$317),"")</f>
        <v>2</v>
      </c>
      <c r="QK57" s="7">
        <f>IFERROR(AVERAGEIF('Данные 2st'!$Q$2:$Q$317,$A57,'Данные 2st'!$LP$2:$LP$317),"")</f>
        <v>0</v>
      </c>
      <c r="QL57" s="7">
        <f>IFERROR(AVERAGEIF('Данные 2st'!$Q$2:$Q$317,$A57,'Данные 2st'!$LQ$2:$LQ$317),"")</f>
        <v>0</v>
      </c>
      <c r="QM57" s="7">
        <f>IFERROR(AVERAGEIF('Данные 2st'!$Q$2:$Q$317,$A57,'Данные 2st'!$LW$2:$LW$317),"")</f>
        <v>1.8</v>
      </c>
      <c r="QN57" s="7">
        <f>IFERROR(AVERAGEIF('Данные 2st'!$Q$2:$Q$317,$A57,'Данные 2st'!$LX$2:$LX$317),"")</f>
        <v>1.8</v>
      </c>
      <c r="QO57" s="7">
        <f>IFERROR(AVERAGEIF('Данные 2st'!$Q$2:$Q$317,$A57,'Данные 2st'!$LY$2:$LY$317),"")</f>
        <v>2.1</v>
      </c>
      <c r="QP57" s="7">
        <f>IFERROR(AVERAGEIF('Данные 2st'!$Q$2:$Q$317,$A57,'Данные 2st'!$LZ$2:$LZ$317),"")</f>
        <v>2.1</v>
      </c>
      <c r="QQ57" s="7">
        <f>IFERROR(AVERAGEIF('Данные 2st'!$Q$2:$Q$317,$A57,'Данные 2st'!$MB$2:$MB$317),"")</f>
        <v>7.5</v>
      </c>
      <c r="QR57" s="7">
        <f>IFERROR(AVERAGEIF('Данные 2st'!$Q$2:$Q$317,$A57,'Данные 2st'!$MG$2:$MG$317),"")</f>
        <v>0</v>
      </c>
      <c r="QS57" s="7">
        <f>IFERROR(AVERAGEIF('Данные 2st'!$Q$2:$Q$317,$A57,'Данные 2st'!$MH$2:$MH$317),"")</f>
        <v>0</v>
      </c>
      <c r="QT57" s="7">
        <f>IFERROR(AVERAGEIF('Данные 2st'!$Q$2:$Q$317,$A57,'Данные 2st'!$MI$2:$MI$317),"")</f>
        <v>0</v>
      </c>
      <c r="QU57" s="7">
        <f>IFERROR(AVERAGEIF('Данные 2st'!$Q$2:$Q$317,$A57,'Данные 2st'!$MJ$2:$MJ$317),"")</f>
        <v>0</v>
      </c>
      <c r="QV57" s="7">
        <f>IFERROR(AVERAGEIF('Данные 2st'!$Q$2:$Q$317,$A57,'Данные 2st'!$MK$2:$MK$317),"")</f>
        <v>0</v>
      </c>
      <c r="QW57" s="7">
        <f>IFERROR(AVERAGEIF('Данные 2st'!$Q$2:$Q$317,$A57,'Данные 2st'!$MM$2:$MM$317),"")</f>
        <v>405</v>
      </c>
      <c r="QX57" s="7">
        <f>IFERROR(AVERAGEIF('Данные 2st'!$Q$2:$Q$317,$A57,'Данные 2st'!$MQ$2:$MQ$317),"")</f>
        <v/>
      </c>
      <c r="QY57" s="7">
        <f>IFERROR(AVERAGEIF('Данные 2st'!$Q$2:$Q$317,$A57,'Данные 2st'!$MR$2:$MR$317),"")</f>
        <v/>
      </c>
      <c r="QZ57" s="7">
        <f>IFERROR(AVERAGEIF('Данные 2st'!$Q$2:$Q$317,$A57,'Данные 2st'!$MS$2:$MS$317),"")</f>
        <v/>
      </c>
      <c r="RA57" s="7">
        <f>IFERROR(AVERAGEIF('Данные 2st'!$Q$2:$Q$317,$A57,'Данные 2st'!$MT$2:$MT$317),"")</f>
        <v/>
      </c>
      <c r="RB57" s="7">
        <f>IFERROR(AVERAGEIF('Данные 2st'!$Q$2:$Q$317,$A57,'Данные 2st'!$MU$2:$MU$317),"")</f>
        <v/>
      </c>
      <c r="RC57" s="7">
        <f>IFERROR(AVERAGEIF('Данные 2st'!$Q$2:$Q$317,$A57,'Данные 2st'!$MV$2:$MV$317),"")</f>
        <v/>
      </c>
      <c r="RD57" s="7">
        <f>IFERROR(AVERAGEIF('Данные 2st'!$Q$2:$Q$317,$A57,'Данные 2st'!$MW$2:$MW$317),"")</f>
        <v/>
      </c>
      <c r="RE57" s="7">
        <f>IFERROR(AVERAGEIF('Данные 2st'!$Q$2:$Q$317,$A57,'Данные 2st'!$MX$2:$MX$317),"")</f>
        <v/>
      </c>
      <c r="RF57" s="7">
        <f>IFERROR(AVERAGEIF('Данные 2st'!$Q$2:$Q$317,$A57,'Данные 2st'!$MY$2:$MY$317),"")</f>
        <v/>
      </c>
      <c r="RG57" s="7">
        <f>IFERROR(AVERAGEIF('Данные 2st'!$Q$2:$Q$317,$A57,'Данные 2st'!$MZ$2:$MZ$317),"")</f>
        <v/>
      </c>
      <c r="RH57" s="7">
        <f>IFERROR(AVERAGEIF('Данные 2st'!$Q$2:$Q$317,$A57,'Данные 2st'!$NA$2:$NA$317),"")</f>
        <v/>
      </c>
      <c r="RI57" s="7">
        <f>IFERROR(AVERAGEIF('Данные 2st'!$Q$2:$Q$317,$A57,'Данные 2st'!$NB$2:$NB$317),"")</f>
        <v/>
      </c>
      <c r="RJ57" s="7">
        <f>IFERROR(AVERAGEIF('Данные 2st'!$Q$2:$Q$317,$A57,'Данные 2st'!$NC$2:$NC$317),"")</f>
        <v/>
      </c>
      <c r="RK57" s="7">
        <f>IFERROR(AVERAGEIF('Данные 2st'!$Q$2:$Q$317,$A57,'Данные 2st'!$ND$2:$ND$317),"")</f>
        <v/>
      </c>
      <c r="RL57" s="7">
        <f>IFERROR(AVERAGEIF('Данные 2st'!$Q$2:$Q$317,$A57,'Данные 2st'!$NE$2:$NE$317),"")</f>
        <v/>
      </c>
      <c r="RM57" s="7">
        <f>IFERROR(AVERAGEIF('Данные 2st'!$Q$2:$Q$317,$A57,'Данные 2st'!$NF$2:$NF$317),"")</f>
        <v/>
      </c>
      <c r="RN57" s="7">
        <f>IFERROR(AVERAGEIF('Данные 2st'!$Q$2:$Q$317,$A57,'Данные 2st'!$NG$2:$NG$317),"")</f>
        <v/>
      </c>
      <c r="RO57" s="7">
        <f>IFERROR(AVERAGEIF('Данные 2st'!$Q$2:$Q$317,$A57,'Данные 2st'!$NH$2:$NH$317),"")</f>
        <v/>
      </c>
      <c r="RP57" s="7">
        <f>IFERROR(AVERAGEIF('Данные 2st'!$Q$2:$Q$317,$A57,'Данные 2st'!$NJ$2:$NJ$317),"")</f>
        <v/>
      </c>
      <c r="RQ57" s="7">
        <f>IFERROR(AVERAGEIF('Данные 2st'!$Q$2:$Q$317,$A57,'Данные 2st'!$NK$2:$NK$317),"")</f>
        <v/>
      </c>
      <c r="RR57" s="7">
        <f>IFERROR(AVERAGEIF('Данные 2st'!$Q$2:$Q$317,$A57,'Данные 2st'!$NM$2:$NM$317),"")</f>
        <v/>
      </c>
      <c r="RS57" s="7">
        <f>IFERROR(AVERAGEIF('Данные 2st'!$Q$2:$Q$317,$A57,'Данные 2st'!$NN$2:$NN$317),"")</f>
        <v/>
      </c>
      <c r="RT57" s="7">
        <f>IFERROR(AVERAGEIF('Данные 2st'!$Q$2:$Q$317,$A57,'Данные 2st'!$NO$2:$NO$317),"")</f>
        <v/>
      </c>
      <c r="RU57" s="7">
        <f>IFERROR(AVERAGEIF('Данные 2st'!$Q$2:$Q$317,$A57,'Данные 2st'!$NP$2:$NP$317),"")</f>
        <v/>
      </c>
      <c r="RV57" s="7">
        <f>IFERROR(AVERAGEIF('Данные 2st'!$Q$2:$Q$317,$A57,'Данные 2st'!$NQ$2:$NQ$317),"")</f>
        <v/>
      </c>
      <c r="RW57" s="7">
        <f>IFERROR(AVERAGEIF('Данные 2st'!$Q$2:$Q$317,$A57,'Данные 2st'!$NR$2:$NR$317),"")</f>
        <v/>
      </c>
      <c r="RX57" s="7">
        <f>IFERROR(AVERAGEIF('Данные 2st'!$Q$2:$Q$317,$A57,'Данные 2st'!$NS$2:$NS$317),"")</f>
        <v/>
      </c>
      <c r="RY57" s="7">
        <f>IFERROR(AVERAGEIF('Данные 2st'!$Q$2:$Q$317,$A57,'Данные 2st'!$NT$2:$NT$317),"")</f>
        <v/>
      </c>
      <c r="RZ57" s="7">
        <f>IFERROR(AVERAGEIF('Данные 2st'!$Q$2:$Q$317,$A57,'Данные 2st'!$OK$2:$OK$317),"")</f>
        <v>61</v>
      </c>
      <c r="SA57" s="7">
        <f>IFERROR(AVERAGEIF('Данные 2st'!$Q$2:$Q$317,$A57,'Данные 2st'!$OL$2:$OL$317),"")</f>
        <v>61</v>
      </c>
      <c r="SB57" s="7">
        <f>IFERROR(AVERAGEIF('Данные 2st'!$Q$2:$Q$317,$A57,'Данные 2st'!$ON$2:$ON$317),"")</f>
        <v>1</v>
      </c>
      <c r="SC57" s="7">
        <f>IFERROR(AVERAGEIF('Данные 2st'!$Q$2:$Q$317,$A57,'Данные 2st'!$OO$2:$OO$317),"")</f>
        <v>2055.5</v>
      </c>
      <c r="SD57" s="7">
        <f>IFERROR(AVERAGEIF('Данные 2st'!$Q$2:$Q$317,$A57,'Данные 2st'!$OP$2:$OP$317),"")</f>
        <v>61</v>
      </c>
      <c r="SE57" s="7">
        <f>IFERROR(AVERAGEIF('Данные 2st'!$Q$2:$Q$317,$A57,'Данные 2st'!$OQ$2:$OQ$317),"")</f>
        <v>61</v>
      </c>
      <c r="SF57" s="7">
        <f>IFERROR(AVERAGEIF('Данные 2st'!$Q$2:$Q$317,$A57,'Данные 2st'!$OS$2:$OS$317),"")</f>
        <v>1</v>
      </c>
      <c r="SG57" s="7">
        <f>IFERROR(AVERAGEIF('Данные 2st'!$Q$2:$Q$317,$A57,'Данные 2st'!$OT$2:$OT$317),"")</f>
        <v>2067.5</v>
      </c>
      <c r="SH57" s="7">
        <f>IFERROR(AVERAGEIF('Данные 2st'!$Q$2:$Q$317,$A57,'Данные 2st'!$OU$2:$OU$317),"")</f>
        <v>65</v>
      </c>
      <c r="SI57" s="7">
        <f>IFERROR(AVERAGEIF('Данные 2st'!$Q$2:$Q$317,$A57,'Данные 2st'!$OV$2:$OV$317),"")</f>
        <v>65</v>
      </c>
      <c r="SJ57" s="7">
        <f>IFERROR(AVERAGEIF('Данные 2st'!$Q$2:$Q$317,$A57,'Данные 2st'!$OX$2:$OX$317),"")</f>
        <v>2</v>
      </c>
      <c r="SK57" s="7">
        <f>IFERROR(AVERAGEIF('Данные 2st'!$Q$2:$Q$317,$A57,'Данные 2st'!$OY$2:$OY$317),"")</f>
        <v>52673.5</v>
      </c>
      <c r="SL57" s="7">
        <f>IFERROR(AVERAGEIF('Данные 2st'!$Q$2:$Q$317,$A57,'Данные 2st'!$OZ$2:$OZ$317),"")</f>
        <v>51</v>
      </c>
      <c r="SM57" s="7">
        <f>IFERROR(AVERAGEIF('Данные 2st'!$Q$2:$Q$317,$A57,'Данные 2st'!$PA$2:$PA$317),"")</f>
        <v>51.5</v>
      </c>
      <c r="SN57" s="7">
        <f>IFERROR(AVERAGEIF('Данные 2st'!$Q$2:$Q$317,$A57,'Данные 2st'!$PC$2:$PC$317),"")</f>
        <v>1</v>
      </c>
      <c r="SO57" s="7">
        <f>IFERROR(AVERAGEIF('Данные 2st'!$Q$2:$Q$317,$A57,'Данные 2st'!$PD$2:$PD$317),"")</f>
        <v>2098.5</v>
      </c>
      <c r="SP57" s="7">
        <f>IFERROR(AVERAGEIF('Данные 2st'!$Q$2:$Q$317,$A57,'Данные 2st'!$PF$2:$PF$317),"")</f>
        <v>476</v>
      </c>
      <c r="SQ57" s="7">
        <f>IFERROR(AVERAGEIF('Данные 2st'!$Q$2:$Q$317,$A57,'Данные 2st'!$PG$2:$PG$317),"")</f>
        <v>35</v>
      </c>
      <c r="SR57" s="7">
        <f>IFERROR(AVERAGEIF('Данные 2st'!$Q$2:$Q$317,$A57,'Данные 2st'!$PH$2:$PH$317),"")</f>
        <v>454</v>
      </c>
      <c r="SS57" s="7">
        <f>IFERROR(AVERAGEIF('Данные 2st'!$Q$2:$Q$317,$A57,'Данные 2st'!$PI$2:$PI$317),"")</f>
        <v>0</v>
      </c>
      <c r="ST57" s="7">
        <f>IFERROR(AVERAGEIF('Данные 2st'!$Q$2:$Q$317,$A57,'Данные 2st'!$PJ$2:$PJ$317),"")</f>
        <v>93.65</v>
      </c>
      <c r="SU57" s="7">
        <f>IFERROR(AVERAGEIF('Данные 2st'!$Q$2:$Q$317,$A57,'Данные 2st'!$PK$2:$PK$317),"")</f>
        <v>2236.5</v>
      </c>
      <c r="SV57" s="7">
        <f>IFERROR(AVERAGEIF('Данные 2st'!$Q$2:$Q$317,$A57,'Данные 2st'!$PL$2:$PL$317),"")</f>
        <v>1364.15</v>
      </c>
      <c r="SW57" s="7">
        <f>IFERROR(AVERAGEIF('Данные 2st'!$Q$2:$Q$317,$A57,'Данные 2st'!$PM$2:$PM$317),"")</f>
        <v>791.35</v>
      </c>
      <c r="SX57" s="7">
        <f>IFERROR(AVERAGEIF('Данные 2st'!$Q$2:$Q$317,$A57,'Данные 2st'!$PN$2:$PN$317),"")</f>
        <v>109</v>
      </c>
      <c r="SY57" s="7">
        <f>IFERROR(AVERAGEIF('Данные 2st'!$Q$2:$Q$317,$A57,'Данные 2st'!$PO$2:$PO$317),"")</f>
        <v>9.600000000000001</v>
      </c>
      <c r="SZ57" s="7">
        <f>IFERROR(AVERAGEIF('Данные 2st'!$Q$2:$Q$317,$A57,'Данные 2st'!$PP$2:$PP$317),"")</f>
        <v>12</v>
      </c>
      <c r="TA57" s="7">
        <f>IFERROR(AVERAGEIF('Данные 2st'!$Q$2:$Q$317,$A57,'Данные 2st'!$PQ$2:$PQ$317),"")</f>
        <v>3</v>
      </c>
      <c r="TB57" s="7">
        <f>IFERROR(AVERAGEIF('Данные 2st'!$Q$2:$Q$317,$A57,'Данные 2st'!$PR$2:$PR$317),"")</f>
        <v>3</v>
      </c>
      <c r="TC57" s="7">
        <f>IFERROR(AVERAGEIF('Данные 2st'!$Q$2:$Q$317,$A57,'Данные 2st'!$PS$2:$PS$317),"")</f>
        <v>0</v>
      </c>
      <c r="TD57" s="7">
        <f>IFERROR(AVERAGEIF('Данные 2st'!$Q$2:$Q$317,$A57,'Данные 2st'!$PT$2:$PT$317),"")</f>
        <v>261</v>
      </c>
      <c r="TE57" s="7">
        <f>IFERROR(AVERAGEIF('Данные 2st'!$Q$2:$Q$317,$A57,'Данные 2st'!$PU$2:$PU$317),"")</f>
        <v>10</v>
      </c>
      <c r="TF57" s="7">
        <f>IFERROR(AVERAGEIF('Данные 2st'!$Q$2:$Q$317,$A57,'Данные 2st'!$PX$2:$PX$317),"")</f>
        <v>0</v>
      </c>
      <c r="TG57" s="7">
        <f>IFERROR(AVERAGEIF('Данные 2st'!$Q$2:$Q$317,$A57,'Данные 2st'!$PY$2:$PY$317),"")</f>
        <v>0</v>
      </c>
      <c r="TH57" s="7">
        <f>IFERROR(AVERAGEIF('Данные 2st'!$Q$2:$Q$317,$A57,'Данные 2st'!$PZ$2:$PZ$317),"")</f>
        <v>0</v>
      </c>
      <c r="TI57" s="7">
        <f>IFERROR(AVERAGEIF('Данные 2st'!$Q$2:$Q$317,$A57,'Данные 2st'!$QA$2:$QA$317),"")</f>
        <v>0</v>
      </c>
      <c r="TJ57" s="7">
        <f>IFERROR(AVERAGEIF('Данные 2st'!$Q$2:$Q$317,$A57,'Данные 2st'!$QB$2:$QB$317),"")</f>
        <v>0</v>
      </c>
      <c r="TK57" s="7">
        <f>IFERROR(AVERAGEIF('Данные 2st'!$Q$2:$Q$317,$A57,'Данные 2st'!$QC$2:$QC$317),"")</f>
        <v>0</v>
      </c>
      <c r="TL57" s="7">
        <f>IFERROR(AVERAGEIF('Данные 2st'!$Q$2:$Q$317,$A57,'Данные 2st'!$QD$2:$QD$317),"")</f>
        <v>0</v>
      </c>
      <c r="TM57" s="7">
        <f>IFERROR(AVERAGEIF('Данные 2st'!$Q$2:$Q$317,$A57,'Данные 2st'!$QE$2:$QE$317),"")</f>
        <v>-1</v>
      </c>
      <c r="TN57" s="7">
        <f>IFERROR(AVERAGEIF('Данные 2st'!$Q$2:$Q$317,$A57,'Данные 2st'!$QF$2:$QF$317),"")</f>
        <v>1</v>
      </c>
      <c r="TO57" s="7">
        <f>IFERROR(AVERAGEIF('Данные 2st'!$Q$2:$Q$317,$A57,'Данные 2st'!$QG$2:$QG$317),"")</f>
        <v>0</v>
      </c>
      <c r="TP57" s="7">
        <f>IFERROR(AVERAGEIF('Данные 2st'!$Q$2:$Q$317,$A57,'Данные 2st'!$QH$2:$QH$317),"")</f>
        <v>5</v>
      </c>
      <c r="TQ57" s="7">
        <f>IFERROR(AVERAGEIF('Данные 2st'!$Q$2:$Q$317,$A57,'Данные 2st'!$QI$2:$QI$317),"")</f>
        <v>5</v>
      </c>
      <c r="TR57" s="7">
        <f>IFERROR(AVERAGEIF('Данные 2st'!$Q$2:$Q$317,$A57,'Данные 2st'!$QJ$2:$QJ$317),"")</f>
        <v>5</v>
      </c>
      <c r="TS57" s="7">
        <f>IFERROR(AVERAGEIF('Данные 2st'!$Q$2:$Q$317,$A57,'Данные 2st'!$QK$2:$QK$317),"")</f>
        <v>190</v>
      </c>
      <c r="TT57" s="7">
        <f>IFERROR(AVERAGEIF('Данные 2st'!$Q$2:$Q$317,$A57,'Данные 2st'!$QL$2:$QL$317),"")</f>
        <v>380</v>
      </c>
      <c r="TU57" s="7">
        <f>IFERROR(AVERAGEIF('Данные 2st'!$Q$2:$Q$317,$A57,'Данные 2st'!$QM$2:$QM$317),"")</f>
        <v>7.5</v>
      </c>
      <c r="TV57" s="7">
        <f>IFERROR(AVERAGEIF('Данные 2st'!$Q$2:$Q$317,$A57,'Данные 2st'!$QN$2:$QN$317),"")</f>
        <v>1623.8</v>
      </c>
      <c r="TW57" s="7">
        <f>IFERROR(AVERAGEIF('Данные 2st'!$Q$2:$Q$317,$A57,'Данные 2st'!$QQ$2:$QQ$317),"")</f>
        <v>0</v>
      </c>
      <c r="TX57" s="7">
        <f>IFERROR(AVERAGEIF('Данные 2st'!$Q$2:$Q$317,$A57,'Данные 2st'!$QS$2:$QS$317),"")</f>
        <v>40</v>
      </c>
      <c r="TY57" s="7">
        <f>IFERROR(AVERAGEIF('Данные 2st'!$Q$2:$Q$317,$A57,'Данные 2st'!$QT$2:$QT$317),"")</f>
        <v>50</v>
      </c>
    </row>
    <row r="58" spans="1:545" ht="32" customHeight="1">
      <c r="A58" s="11" t="s">
        <v>1117</v>
      </c>
      <c r="B58">
        <f>COUNTIF('Данные 1st'!$S$2:$S$317,$A58)</f>
        <v>3</v>
      </c>
      <c r="C58" s="6" t="s">
        <v>5110</v>
      </c>
      <c r="D58" s="6" t="s">
        <v>513</v>
      </c>
      <c r="E58" s="6" t="s">
        <v>5125</v>
      </c>
      <c r="F58" s="6" t="s">
        <v>5174</v>
      </c>
      <c r="G58" s="7">
        <f>IFERROR(AVERAGEIF('Данные 1st'!$S$2:$S$317,$A58,'Данные 1st'!$AE$2:$AE$317),"")</f>
        <v>176.33333333333334</v>
      </c>
      <c r="H58" s="7">
        <f>IFERROR(AVERAGEIF('Данные 1st'!$S$2:$S$317,$A58,'Данные 1st'!$AF$2:$AF$317),"")</f>
        <v>1.5</v>
      </c>
      <c r="I58" s="7">
        <f>IFERROR(AVERAGEIF('Данные 1st'!$S$2:$S$317,$A58,'Данные 1st'!$AJ$2:$AJ$317),"")</f>
        <v>188.33333333333334</v>
      </c>
      <c r="J58" s="7">
        <f>IFERROR(AVERAGEIF('Данные 1st'!$S$2:$S$317,$A58,'Данные 1st'!$AL$2:$AL$317),"")</f>
        <v>1.5</v>
      </c>
      <c r="K58" s="7">
        <f>IFERROR(AVERAGEIF('Данные 1st'!$S$2:$S$317,$A58,'Данные 1st'!$AR$2:$AR$317),"")</f>
        <v>0</v>
      </c>
      <c r="L58" s="7">
        <f>IFERROR(AVERAGEIF('Данные 1st'!$S$2:$S$317,$A58,'Данные 1st'!$AS$2:$AS$317),"")</f>
        <v>1.5</v>
      </c>
      <c r="M58" s="7">
        <f>IFERROR(AVERAGEIF('Данные 1st'!$S$2:$S$317,$A58,'Данные 1st'!$AY$2:$AY$317),"")</f>
        <v>279.1666666666667</v>
      </c>
      <c r="N58" s="7">
        <f>IFERROR(AVERAGEIF('Данные 1st'!$S$2:$S$317,$A58,'Данные 1st'!$AZ$2:$AZ$317),"")</f>
        <v>1.5</v>
      </c>
      <c r="O58" s="7">
        <f>IFERROR(AVERAGEIF('Данные 1st'!$S$2:$S$317,$A58,'Данные 1st'!$BF$2:$BF$317),"")</f>
        <v/>
      </c>
      <c r="P58" s="7">
        <f>IFERROR(AVERAGEIF('Данные 1st'!$S$2:$S$317,$A58,'Данные 1st'!$BG$2:$BG$317),"")</f>
        <v>1.5</v>
      </c>
      <c r="Q58" s="7">
        <f>IFERROR(AVERAGEIF('Данные 1st'!$S$2:$S$317,$A58,'Данные 1st'!$BM$2:$BM$317),"")</f>
        <v/>
      </c>
      <c r="R58" s="7">
        <f>IFERROR(AVERAGEIF('Данные 1st'!$S$2:$S$317,$A58,'Данные 1st'!$BN$2:$BN$317),"")</f>
        <v>1.5</v>
      </c>
      <c r="S58" s="7">
        <f>IFERROR(AVERAGEIF('Данные 1st'!$S$2:$S$317,$A58,'Данные 1st'!$BT$2:$BT$317),"")</f>
        <v>198.66666666666666</v>
      </c>
      <c r="T58" s="7">
        <f>IFERROR(AVERAGEIF('Данные 1st'!$S$2:$S$317,$A58,'Данные 1st'!$BU$2:$BU$317),"")</f>
        <v>0.5</v>
      </c>
      <c r="U58" s="7">
        <f>IFERROR(AVERAGEIF('Данные 1st'!$S$2:$S$317,$A58,'Данные 1st'!$BW$2:$BW$317),"")</f>
        <v>397.3333333333333</v>
      </c>
      <c r="V58" s="7">
        <f>IFERROR(AVERAGEIF('Данные 1st'!$S$2:$S$317,$A58,'Данные 1st'!$BX$2:$BX$317),"")</f>
        <v>1</v>
      </c>
      <c r="W58" s="7">
        <f>IFERROR(AVERAGEIF('Данные 1st'!$S$2:$S$317,$A58,'Данные 1st'!$BZ$2:$BZ$317),"")</f>
        <v>290</v>
      </c>
      <c r="X58" s="7">
        <f>IFERROR(AVERAGEIF('Данные 1st'!$S$2:$S$317,$A58,'Данные 1st'!$CA$2:$CA$317),"")</f>
        <v>463.3333333333333</v>
      </c>
      <c r="Y58" s="7">
        <f>IFERROR(AVERAGEIF('Данные 1st'!$S$2:$S$317,$A58,'Данные 1st'!$CD$2:$CD$317),"")</f>
        <v>417.3333333333333</v>
      </c>
      <c r="Z58" s="7">
        <f>IFERROR(AVERAGEIF('Данные 1st'!$S$2:$S$317,$A58,'Данные 1st'!$CF$2:$CF$317),"")</f>
        <v>15</v>
      </c>
      <c r="AA58" s="7">
        <f>IFERROR(AVERAGEIF('Данные 1st'!$S$2:$S$317,$A58,'Данные 1st'!$CI$2:$CI$317),"")</f>
        <v>86.66666666666667</v>
      </c>
      <c r="AB58" s="7">
        <f>IFERROR(AVERAGEIF('Данные 1st'!$S$2:$S$317,$A58,'Данные 1st'!$CJ$2:$CJ$317),"")</f>
        <v>1381</v>
      </c>
      <c r="AC58" s="7">
        <f>IFERROR(AVERAGEIF('Данные 1st'!$S$2:$S$317,$A58,'Данные 1st'!$CK$2:$CK$317),"")</f>
        <v>2</v>
      </c>
      <c r="AD58" s="7">
        <f>IFERROR(AVERAGEIF('Данные 1st'!$S$2:$S$317,$A58,'Данные 1st'!$CL$2:$CL$317),"")</f>
        <v>1475</v>
      </c>
      <c r="AE58" s="7">
        <f>IFERROR(AVERAGEIF('Данные 1st'!$S$2:$S$317,$A58,'Данные 1st'!$CM$2:$CM$317),"")</f>
        <v>2</v>
      </c>
      <c r="AF58" s="7">
        <f>IFERROR(AVERAGEIF('Данные 1st'!$S$2:$S$317,$A58,'Данные 1st'!$CT$2:$CT$317),"")</f>
        <v>376.6666666666667</v>
      </c>
      <c r="AG58" s="7">
        <f>IFERROR(AVERAGEIF('Данные 1st'!$S$2:$S$317,$A58,'Данные 1st'!$CU$2:$CU$317),"")</f>
        <v>5</v>
      </c>
      <c r="AH58" s="7">
        <f>IFERROR(AVERAGEIF('Данные 1st'!$S$2:$S$317,$A58,'Данные 1st'!$CV$2:$CV$317),"")</f>
        <v>1.2333333333333334</v>
      </c>
      <c r="AI58" s="7">
        <f>IFERROR(AVERAGEIF('Данные 1st'!$S$2:$S$317,$A58,'Данные 1st'!$CW$2:$CW$317),"")</f>
        <v>1393.3333333333333</v>
      </c>
      <c r="AJ58" s="7">
        <f>IFERROR(AVERAGEIF('Данные 1st'!$S$2:$S$317,$A58,'Данные 1st'!$CX$2:$CX$317),"")</f>
        <v>764</v>
      </c>
      <c r="AK58" s="7">
        <f>IFERROR(AVERAGEIF('Данные 1st'!$S$2:$S$317,$A58,'Данные 1st'!$CZ$2:$CZ$317),"")</f>
        <v/>
      </c>
      <c r="AL58" s="7">
        <f>IFERROR(AVERAGEIF('Данные 1st'!$S$2:$S$317,$A58,'Данные 1st'!$DA$2:$DA$317),"")</f>
        <v/>
      </c>
      <c r="AM58" s="7">
        <f>IFERROR(AVERAGEIF('Данные 1st'!$S$2:$S$317,$A58,'Данные 1st'!$DB$2:$DB$317),"")</f>
        <v/>
      </c>
      <c r="AN58" s="7">
        <f>IFERROR(AVERAGEIF('Данные 1st'!$S$2:$S$317,$A58,'Данные 1st'!$DC$2:$DC$317),"")</f>
        <v/>
      </c>
      <c r="AO58" s="7">
        <f>IFERROR(AVERAGEIF('Данные 1st'!$S$2:$S$317,$A58,'Данные 1st'!$DD$2:$DD$317),"")</f>
        <v>0</v>
      </c>
      <c r="AP58" s="7">
        <f>IFERROR(AVERAGEIF('Данные 1st'!$S$2:$S$317,$A58,'Данные 1st'!$DF$2:$DF$317),"")</f>
        <v>558.3333333333334</v>
      </c>
      <c r="AQ58" s="7">
        <f>IFERROR(AVERAGEIF('Данные 1st'!$S$2:$S$317,$A58,'Данные 1st'!$DG$2:$DG$317),"")</f>
        <v>3</v>
      </c>
      <c r="AR58" s="7">
        <f>IFERROR(AVERAGEIF('Данные 1st'!$S$2:$S$317,$A58,'Данные 1st'!$DH$2:$DH$317),"")</f>
        <v>1.1933333333333334</v>
      </c>
      <c r="AS58" s="7">
        <f>IFERROR(AVERAGEIF('Данные 1st'!$S$2:$S$317,$A58,'Данные 1st'!$DI$2:$DI$317),"")</f>
        <v>1391.3333333333333</v>
      </c>
      <c r="AT58" s="7">
        <f>IFERROR(AVERAGEIF('Данные 1st'!$S$2:$S$317,$A58,'Данные 1st'!$DJ$2:$DJ$317),"")</f>
        <v>1273.6666666666667</v>
      </c>
      <c r="AU58" s="7">
        <f>IFERROR(AVERAGEIF('Данные 1st'!$S$2:$S$317,$A58,'Данные 1st'!$DL$2:$DL$317),"")</f>
        <v/>
      </c>
      <c r="AV58" s="7">
        <f>IFERROR(AVERAGEIF('Данные 1st'!$S$2:$S$317,$A58,'Данные 1st'!$DM$2:$DM$317),"")</f>
        <v/>
      </c>
      <c r="AW58" s="7">
        <f>IFERROR(AVERAGEIF('Данные 1st'!$S$2:$S$317,$A58,'Данные 1st'!$DN$2:$DN$317),"")</f>
        <v/>
      </c>
      <c r="AX58" s="7">
        <f>IFERROR(AVERAGEIF('Данные 1st'!$S$2:$S$317,$A58,'Данные 1st'!$DO$2:$DO$317),"")</f>
        <v/>
      </c>
      <c r="AY58" s="7">
        <f>IFERROR(AVERAGEIF('Данные 1st'!$S$2:$S$317,$A58,'Данные 1st'!$DP$2:$DP$317),"")</f>
        <v/>
      </c>
      <c r="AZ58" s="7">
        <f>IFERROR(AVERAGEIF('Данные 1st'!$S$2:$S$317,$A58,'Данные 1st'!$DR$2:$DR$317),"")</f>
        <v/>
      </c>
      <c r="BA58" s="7">
        <f>IFERROR(AVERAGEIF('Данные 1st'!$S$2:$S$317,$A58,'Данные 1st'!$DS$2:$DS$317),"")</f>
        <v/>
      </c>
      <c r="BB58" s="7">
        <f>IFERROR(AVERAGEIF('Данные 1st'!$S$2:$S$317,$A58,'Данные 1st'!$DT$2:$DT$317),"")</f>
        <v/>
      </c>
      <c r="BC58" s="7">
        <f>IFERROR(AVERAGEIF('Данные 1st'!$S$2:$S$317,$A58,'Данные 1st'!$DU$2:$DU$317),"")</f>
        <v/>
      </c>
      <c r="BD58" s="7">
        <f>IFERROR(AVERAGEIF('Данные 1st'!$S$2:$S$317,$A58,'Данные 1st'!$DV$2:$DV$317),"")</f>
        <v/>
      </c>
      <c r="BE58" s="7">
        <f>IFERROR(AVERAGEIF('Данные 1st'!$S$2:$S$317,$A58,'Данные 1st'!$DX$2:$DX$317),"")</f>
        <v>7.5</v>
      </c>
      <c r="BF58" s="7">
        <f>IFERROR(AVERAGEIF('Данные 1st'!$S$2:$S$317,$A58,'Данные 1st'!$EA$2:$EA$317),"")</f>
        <v>1461.1</v>
      </c>
      <c r="BG58" s="7">
        <f>IFERROR(AVERAGEIF('Данные 1st'!$S$2:$S$317,$A58,'Данные 1st'!$EB$2:$EB$317),"")</f>
        <v>287</v>
      </c>
      <c r="BH58" s="7">
        <f>IFERROR(AVERAGEIF('Данные 1st'!$S$2:$S$317,$A58,'Данные 1st'!$ED$2:$ED$317),"")</f>
        <v>28.333333333333332</v>
      </c>
      <c r="BI58" s="7">
        <f>IFERROR(AVERAGEIF('Данные 1st'!$S$2:$S$317,$A58,'Данные 1st'!$EE$2:$EE$317),"")</f>
        <v>3</v>
      </c>
      <c r="BJ58" s="7">
        <f>IFERROR(AVERAGEIF('Данные 1st'!$S$2:$S$317,$A58,'Данные 1st'!$EG$2:$EG$317),"")</f>
        <v>1505.3333333333333</v>
      </c>
      <c r="BK58" s="7">
        <f>IFERROR(AVERAGEIF('Данные 1st'!$S$2:$S$317,$A58,'Данные 1st'!$EH$2:$EH$317),"")</f>
        <v>172.33333333333334</v>
      </c>
      <c r="BL58" s="7">
        <f>IFERROR(AVERAGEIF('Данные 1st'!$S$2:$S$317,$A58,'Данные 1st'!$EJ$2:$EJ$317),"")</f>
        <v>0</v>
      </c>
      <c r="BM58" s="7">
        <f>IFERROR(AVERAGEIF('Данные 1st'!$S$2:$S$317,$A58,'Данные 1st'!$EK$2:$EK$317),"")</f>
        <v>1</v>
      </c>
      <c r="BN58" s="7">
        <f>IFERROR(AVERAGEIF('Данные 1st'!$S$2:$S$317,$A58,'Данные 1st'!$EN$2:$EN$317),"")</f>
        <v>0</v>
      </c>
      <c r="BO58" s="7">
        <f>IFERROR(AVERAGEIF('Данные 1st'!$S$2:$S$317,$A58,'Данные 1st'!$EQ$2:$EQ$317),"")</f>
        <v>81.66666666666667</v>
      </c>
      <c r="BP58" s="7">
        <f>IFERROR(AVERAGEIF('Данные 1st'!$S$2:$S$317,$A58,'Данные 1st'!$ER$2:$ER$317),"")</f>
        <v>3</v>
      </c>
      <c r="BQ58" s="7">
        <f>IFERROR(AVERAGEIF('Данные 1st'!$S$2:$S$317,$A58,'Данные 1st'!$ES$2:$ES$317),"")</f>
        <v>5.333333333333333</v>
      </c>
      <c r="BR58" s="7">
        <f>IFERROR(AVERAGEIF('Данные 1st'!$S$2:$S$317,$A58,'Данные 1st'!$ET$2:$ET$317),"")</f>
        <v>1377</v>
      </c>
      <c r="BS58" s="7">
        <f>IFERROR(AVERAGEIF('Данные 1st'!$S$2:$S$317,$A58,'Данные 1st'!$EU$2:$EU$317),"")</f>
        <v>348.93333333333334</v>
      </c>
      <c r="BT58" s="7">
        <f>IFERROR(AVERAGEIF('Данные 1st'!$S$2:$S$317,$A58,'Данные 1st'!$EV$2:$EV$317),"")</f>
        <v>480.6666666666667</v>
      </c>
      <c r="BU58" s="7">
        <f>IFERROR(AVERAGEIF('Данные 1st'!$S$2:$S$317,$A58,'Данные 1st'!$EX$2:$EX$317),"")</f>
        <v>68.33333333333333</v>
      </c>
      <c r="BV58" s="7">
        <f>IFERROR(AVERAGEIF('Данные 1st'!$S$2:$S$317,$A58,'Данные 1st'!$EY$2:$EY$317),"")</f>
        <v>2</v>
      </c>
      <c r="BW58" s="7">
        <f>IFERROR(AVERAGEIF('Данные 1st'!$S$2:$S$317,$A58,'Данные 1st'!$EZ$2:$EZ$317),"")</f>
        <v>4.333333333333333</v>
      </c>
      <c r="BX58" s="7">
        <f>IFERROR(AVERAGEIF('Данные 1st'!$S$2:$S$317,$A58,'Данные 1st'!$FA$2:$FA$317),"")</f>
        <v>1377</v>
      </c>
      <c r="BY58" s="7">
        <f>IFERROR(AVERAGEIF('Данные 1st'!$S$2:$S$317,$A58,'Данные 1st'!$FB$2:$FB$317),"")</f>
        <v>213.56666666666666</v>
      </c>
      <c r="BZ58" s="7">
        <f>IFERROR(AVERAGEIF('Данные 1st'!$S$2:$S$317,$A58,'Данные 1st'!$FC$2:$FC$317),"")</f>
        <v>294</v>
      </c>
      <c r="CA58" s="7">
        <f>IFERROR(AVERAGEIF('Данные 1st'!$S$2:$S$317,$A58,'Данные 1st'!$FE$2:$FE$317),"")</f>
        <v>0</v>
      </c>
      <c r="CB58" s="7">
        <f>IFERROR(AVERAGEIF('Данные 1st'!$S$2:$S$317,$A58,'Данные 1st'!$FF$2:$FF$317),"")</f>
        <v>2</v>
      </c>
      <c r="CC58" s="7">
        <f>IFERROR(AVERAGEIF('Данные 1st'!$S$2:$S$317,$A58,'Данные 1st'!$FI$2:$FI$317),"")</f>
        <v>0</v>
      </c>
      <c r="CD58" s="7">
        <f>IFERROR(AVERAGEIF('Данные 1st'!$S$2:$S$317,$A58,'Данные 1st'!$FL$2:$FL$317),"")</f>
        <v>0.4</v>
      </c>
      <c r="CE58" s="7">
        <f>IFERROR(AVERAGEIF('Данные 1st'!$S$2:$S$317,$A58,'Данные 1st'!$FM$2:$FM$317),"")</f>
        <v>81.66666666666667</v>
      </c>
      <c r="CF58" s="7">
        <f>IFERROR(AVERAGEIF('Данные 1st'!$S$2:$S$317,$A58,'Данные 1st'!$FN$2:$FN$317),"")</f>
        <v>143.33333333333334</v>
      </c>
      <c r="CG58" s="7">
        <f>IFERROR(AVERAGEIF('Данные 1st'!$S$2:$S$317,$A58,'Данные 1st'!$FO$2:$FO$317),"")</f>
        <v/>
      </c>
      <c r="CH58" s="7">
        <f>IFERROR(AVERAGEIF('Данные 1st'!$S$2:$S$317,$A58,'Данные 1st'!$FP$2:$FP$317),"")</f>
        <v/>
      </c>
      <c r="CI58" s="7">
        <f>IFERROR(AVERAGEIF('Данные 1st'!$S$2:$S$317,$A58,'Данные 1st'!$FS$2:$FS$317),"")</f>
        <v>0.4</v>
      </c>
      <c r="CJ58" s="7">
        <f>IFERROR(AVERAGEIF('Данные 1st'!$S$2:$S$317,$A58,'Данные 1st'!$FT$2:$FT$317),"")</f>
        <v>63.333333333333336</v>
      </c>
      <c r="CK58" s="7">
        <f>IFERROR(AVERAGEIF('Данные 1st'!$S$2:$S$317,$A58,'Данные 1st'!$FU$2:$FU$317),"")</f>
        <v>293.3333333333333</v>
      </c>
      <c r="CL58" s="7">
        <f>IFERROR(AVERAGEIF('Данные 1st'!$S$2:$S$317,$A58,'Данные 1st'!$FV$2:$FV$317),"")</f>
        <v/>
      </c>
      <c r="CM58" s="7">
        <f>IFERROR(AVERAGEIF('Данные 1st'!$S$2:$S$317,$A58,'Данные 1st'!$FW$2:$FW$317),"")</f>
        <v/>
      </c>
      <c r="CN58" s="7">
        <f>IFERROR(AVERAGEIF('Данные 1st'!$S$2:$S$317,$A58,'Данные 1st'!$FZ$2:$FZ$317),"")</f>
        <v>1.6</v>
      </c>
      <c r="CO58" s="7">
        <f>IFERROR(AVERAGEIF('Данные 1st'!$S$2:$S$317,$A58,'Данные 1st'!$GA$2:$GA$317),"")</f>
        <v>20</v>
      </c>
      <c r="CP58" s="7">
        <f>IFERROR(AVERAGEIF('Данные 1st'!$S$2:$S$317,$A58,'Данные 1st'!$GB$2:$GB$317),"")</f>
        <v>191</v>
      </c>
      <c r="CQ58" s="7">
        <f>IFERROR(AVERAGEIF('Данные 1st'!$S$2:$S$317,$A58,'Данные 1st'!$GH$2:$GH$317),"")</f>
        <v>1.6</v>
      </c>
      <c r="CR58" s="7">
        <f>IFERROR(AVERAGEIF('Данные 1st'!$S$2:$S$317,$A58,'Данные 1st'!$GI$2:$GI$317),"")</f>
        <v>20</v>
      </c>
      <c r="CS58" s="7">
        <f>IFERROR(AVERAGEIF('Данные 1st'!$S$2:$S$317,$A58,'Данные 1st'!$GJ$2:$GJ$317),"")</f>
        <v>191</v>
      </c>
      <c r="CT58" s="7">
        <f>IFERROR(AVERAGEIF('Данные 1st'!$S$2:$S$317,$A58,'Данные 1st'!$GS$2:$GS$317),"")</f>
        <v/>
      </c>
      <c r="CU58" s="7">
        <f>IFERROR(AVERAGEIF('Данные 1st'!$S$2:$S$317,$A58,'Данные 1st'!$GT$2:$GT$317),"")</f>
        <v/>
      </c>
      <c r="CV58" s="7">
        <f>IFERROR(AVERAGEIF('Данные 1st'!$S$2:$S$317,$A58,'Данные 1st'!$GU$2:$GU$317),"")</f>
        <v/>
      </c>
      <c r="CW58" s="7">
        <f>IFERROR(AVERAGEIF('Данные 1st'!$S$2:$S$317,$A58,'Данные 1st'!$GV$2:$GV$317),"")</f>
        <v/>
      </c>
      <c r="CX58" s="7">
        <f>IFERROR(AVERAGEIF('Данные 1st'!$S$2:$S$317,$A58,'Данные 1st'!$GW$2:$GW$317),"")</f>
        <v/>
      </c>
      <c r="CY58" s="7">
        <f>IFERROR(AVERAGEIF('Данные 1st'!$S$2:$S$317,$A58,'Данные 1st'!$GZ$2:$GZ$317),"")</f>
        <v/>
      </c>
      <c r="CZ58" s="7">
        <f>IFERROR(AVERAGEIF('Данные 1st'!$S$2:$S$317,$A58,'Данные 1st'!$HA$2:$HA$317),"")</f>
        <v/>
      </c>
      <c r="DA58" s="7">
        <f>IFERROR(AVERAGEIF('Данные 1st'!$S$2:$S$317,$A58,'Данные 1st'!$HB$2:$HB$317),"")</f>
        <v/>
      </c>
      <c r="DB58" s="7">
        <f>IFERROR(AVERAGEIF('Данные 1st'!$S$2:$S$317,$A58,'Данные 1st'!$HC$2:$HC$317),"")</f>
        <v>0.1</v>
      </c>
      <c r="DC58" s="7">
        <f>IFERROR(AVERAGEIF('Данные 1st'!$S$2:$S$317,$A58,'Данные 1st'!$HD$2:$HD$317),"")</f>
        <v>3</v>
      </c>
      <c r="DD58" s="7">
        <f>IFERROR(AVERAGEIF('Данные 1st'!$S$2:$S$317,$A58,'Данные 1st'!$HE$2:$HE$317),"")</f>
        <v>3</v>
      </c>
      <c r="DE58" s="7">
        <f>IFERROR(AVERAGEIF('Данные 1st'!$S$2:$S$317,$A58,'Данные 1st'!$HF$2:$HF$317),"")</f>
        <v>3</v>
      </c>
      <c r="DF58" s="7">
        <f>IFERROR(AVERAGEIF('Данные 1st'!$S$2:$S$317,$A58,'Данные 1st'!$HG$2:$HG$317),"")</f>
        <v>3</v>
      </c>
      <c r="DG58" s="7">
        <f>IFERROR(AVERAGEIF('Данные 1st'!$S$2:$S$317,$A58,'Данные 1st'!$HH$2:$HH$317),"")</f>
        <v>3</v>
      </c>
      <c r="DH58" s="7">
        <f>IFERROR(AVERAGEIF('Данные 1st'!$S$2:$S$317,$A58,'Данные 1st'!$HI$2:$HI$317),"")</f>
        <v>135</v>
      </c>
      <c r="DI58" s="7">
        <f>IFERROR(AVERAGEIF('Данные 1st'!$S$2:$S$317,$A58,'Данные 1st'!$HJ$2:$HJ$317),"")</f>
        <v>3</v>
      </c>
      <c r="DJ58" s="7">
        <f>IFERROR(AVERAGEIF('Данные 1st'!$S$2:$S$317,$A58,'Данные 1st'!$HK$2:$HK$317),"")</f>
        <v>53.333333333333336</v>
      </c>
      <c r="DK58" s="7">
        <f>IFERROR(AVERAGEIF('Данные 1st'!$S$2:$S$317,$A58,'Данные 1st'!$HL$2:$HL$317),"")</f>
        <v>2</v>
      </c>
      <c r="DL58" s="7">
        <f>IFERROR(AVERAGEIF('Данные 1st'!$S$2:$S$317,$A58,'Данные 1st'!$HM$2:$HM$317),"")</f>
        <v>0</v>
      </c>
      <c r="DM58" s="7">
        <f>IFERROR(AVERAGEIF('Данные 1st'!$S$2:$S$317,$A58,'Данные 1st'!$HN$2:$HN$317),"")</f>
        <v>2</v>
      </c>
      <c r="DN58" s="7">
        <f>IFERROR(AVERAGEIF('Данные 1st'!$S$2:$S$317,$A58,'Данные 1st'!$HO$2:$HO$317),"")</f>
        <v>66.66666666666667</v>
      </c>
      <c r="DO58" s="7">
        <f>IFERROR(AVERAGEIF('Данные 1st'!$S$2:$S$317,$A58,'Данные 1st'!$HP$2:$HP$317),"")</f>
        <v>3</v>
      </c>
      <c r="DP58" s="7">
        <f>IFERROR(AVERAGEIF('Данные 1st'!$S$2:$S$317,$A58,'Данные 1st'!$HQ$2:$HQ$317),"")</f>
        <v>0</v>
      </c>
      <c r="DQ58" s="7">
        <f>IFERROR(AVERAGEIF('Данные 1st'!$S$2:$S$317,$A58,'Данные 1st'!$HR$2:$HR$317),"")</f>
        <v>2</v>
      </c>
      <c r="DR58" s="7">
        <f>IFERROR(AVERAGEIF('Данные 1st'!$S$2:$S$317,$A58,'Данные 1st'!$HS$2:$HS$317),"")</f>
        <v>4505.666666666667</v>
      </c>
      <c r="DS58" s="7">
        <f>IFERROR(AVERAGEIF('Данные 1st'!$S$2:$S$317,$A58,'Данные 1st'!$HT$2:$HT$317),"")</f>
        <v>136.66666666666666</v>
      </c>
      <c r="DT58" s="7">
        <f>IFERROR(AVERAGEIF('Данные 1st'!$S$2:$S$317,$A58,'Данные 1st'!$HU$2:$HU$317),"")</f>
        <v>180</v>
      </c>
      <c r="DU58" s="7">
        <f>IFERROR(AVERAGEIF('Данные 1st'!$S$2:$S$317,$A58,'Данные 1st'!$HW$2:$HW$317),"")</f>
        <v>6.666666666666667</v>
      </c>
      <c r="DV58" s="7">
        <f>IFERROR(AVERAGEIF('Данные 1st'!$S$2:$S$317,$A58,'Данные 1st'!$HX$2:$HX$317),"")</f>
        <v>453.3333333333333</v>
      </c>
      <c r="DW58" s="7">
        <f>IFERROR(AVERAGEIF('Данные 1st'!$S$2:$S$317,$A58,'Данные 1st'!$HY$2:$HY$317),"")</f>
        <v>0.18</v>
      </c>
      <c r="DX58" s="7">
        <f>IFERROR(AVERAGEIF('Данные 1st'!$S$2:$S$317,$A58,'Данные 1st'!$IA$2:$IA$317),"")</f>
        <v>0.15</v>
      </c>
      <c r="DY58" s="7">
        <f>IFERROR(AVERAGEIF('Данные 1st'!$S$2:$S$317,$A58,'Данные 1st'!$IB$2:$IB$317),"")</f>
        <v>0</v>
      </c>
      <c r="DZ58" s="7">
        <f>IFERROR(AVERAGEIF('Данные 1st'!$S$2:$S$317,$A58,'Данные 1st'!$IC$2:$IC$317),"")</f>
        <v>180</v>
      </c>
      <c r="EA58" s="7">
        <f>IFERROR(AVERAGEIF('Данные 1st'!$S$2:$S$317,$A58,'Данные 1st'!$ID$2:$ID$317),"")</f>
        <v>110</v>
      </c>
      <c r="EB58" s="7">
        <f>IFERROR(AVERAGEIF('Данные 1st'!$S$2:$S$317,$A58,'Данные 1st'!$IE$2:$IE$317),"")</f>
        <v>0</v>
      </c>
      <c r="EC58" s="7">
        <f>IFERROR(AVERAGEIF('Данные 1st'!$S$2:$S$317,$A58,'Данные 1st'!$IF$2:$IF$317),"")</f>
        <v>0</v>
      </c>
      <c r="ED58" s="7">
        <f>IFERROR(AVERAGEIF('Данные 1st'!$S$2:$S$317,$A58,'Данные 1st'!$IP$2:$IP$317),"")</f>
        <v>18</v>
      </c>
      <c r="EE58" s="7">
        <f>IFERROR(AVERAGEIF('Данные 1st'!$S$2:$S$317,$A58,'Данные 1st'!$IV$2:$IV$317),"")</f>
        <v>1381</v>
      </c>
      <c r="EF58" s="7">
        <f>IFERROR(AVERAGEIF('Данные 1st'!$S$2:$S$317,$A58,'Данные 1st'!$IW$2:$IW$317),"")</f>
        <v>397.3333333333333</v>
      </c>
      <c r="EG58" s="7">
        <f>IFERROR(AVERAGEIF('Данные 1st'!$S$2:$S$317,$A58,'Данные 1st'!$IX$2:$IX$317),"")</f>
        <v/>
      </c>
      <c r="EH58" s="7">
        <f>IFERROR(AVERAGEIF('Данные 1st'!$S$2:$S$317,$A58,'Данные 1st'!$IY$2:$IY$317),"")</f>
        <v>290</v>
      </c>
      <c r="EI58" s="7">
        <f>IFERROR(AVERAGEIF('Данные 1st'!$S$2:$S$317,$A58,'Данные 1st'!$JD$2:$JD$317),"")</f>
        <v>1393.3333333333333</v>
      </c>
      <c r="EJ58" s="7">
        <f>IFERROR(AVERAGEIF('Данные 1st'!$S$2:$S$317,$A58,'Данные 1st'!$JE$2:$JE$317),"")</f>
        <v>1391.3333333333333</v>
      </c>
      <c r="EK58" s="7">
        <f>IFERROR(AVERAGEIF('Данные 1st'!$S$2:$S$317,$A58,'Данные 1st'!$JF$2:$JF$317),"")</f>
        <v>0</v>
      </c>
      <c r="EL58" s="7">
        <f>IFERROR(AVERAGEIF('Данные 1st'!$S$2:$S$317,$A58,'Данные 1st'!$JG$2:$JG$317),"")</f>
        <v>1377</v>
      </c>
      <c r="EM58" s="7">
        <f>IFERROR(AVERAGEIF('Данные 1st'!$S$2:$S$317,$A58,'Данные 1st'!$JH$2:$JH$317),"")</f>
        <v>0</v>
      </c>
      <c r="EN58" s="7">
        <f>IFERROR(AVERAGEIF('Данные 1st'!$S$2:$S$317,$A58,'Данные 1st'!$JJ$2:$JJ$317),"")</f>
        <v>180</v>
      </c>
      <c r="EO58" s="7">
        <f>IFERROR(AVERAGEIF('Данные 1st'!$S$2:$S$317,$A58,'Данные 1st'!$JK$2:$JK$317),"")</f>
        <v>453.3333333333333</v>
      </c>
      <c r="EP58" s="7">
        <f>IFERROR(AVERAGEIF('Данные 1st'!$S$2:$S$317,$A58,'Данные 1st'!$JL$2:$JL$317),"")</f>
        <v/>
      </c>
      <c r="EQ58" s="7">
        <f>IFERROR(AVERAGEIF('Данные 1st'!$S$2:$S$317,$A58,'Данные 1st'!$JM$2:$JM$317),"")</f>
        <v/>
      </c>
      <c r="ER58" s="7">
        <f>IFERROR(AVERAGEIF('Данные 1st'!$S$2:$S$317,$A58,'Данные 1st'!$JN$2:$JN$317),"")</f>
        <v>376.6666666666667</v>
      </c>
      <c r="ES58" s="7">
        <f>IFERROR(AVERAGEIF('Данные 1st'!$S$2:$S$317,$A58,'Данные 1st'!$JO$2:$JO$317),"")</f>
        <v>558.3333333333334</v>
      </c>
      <c r="ET58" s="7">
        <f>IFERROR(AVERAGEIF('Данные 1st'!$S$2:$S$317,$A58,'Данные 1st'!$JP$2:$JP$317),"")</f>
        <v>0</v>
      </c>
      <c r="EU58" s="7">
        <f>IFERROR(AVERAGEIF('Данные 1st'!$S$2:$S$317,$A58,'Данные 1st'!$JQ$2:$JQ$317),"")</f>
        <v>0</v>
      </c>
      <c r="EV58" s="7">
        <f>IFERROR(AVERAGEIF('Данные 1st'!$S$2:$S$317,$A58,'Данные 1st'!$JR$2:$JR$317),"")</f>
        <v>352.6666666666667</v>
      </c>
      <c r="EW58" s="7">
        <f>IFERROR(AVERAGEIF('Данные 1st'!$S$2:$S$317,$A58,'Данные 1st'!$JS$2:$JS$317),"")</f>
        <v>135</v>
      </c>
      <c r="EX58" s="7">
        <f>IFERROR(AVERAGEIF('Данные 1st'!$S$2:$S$317,$A58,'Данные 1st'!$JT$2:$JT$317),"")</f>
        <v/>
      </c>
      <c r="EY58" s="7">
        <f>IFERROR(AVERAGEIF('Данные 1st'!$S$2:$S$317,$A58,'Данные 1st'!$JU$2:$JU$317),"")</f>
        <v/>
      </c>
      <c r="EZ58" s="7">
        <f>IFERROR(AVERAGEIF('Данные 1st'!$S$2:$S$317,$A58,'Данные 1st'!$JV$2:$JV$317),"")</f>
        <v>8</v>
      </c>
      <c r="FA58" s="7">
        <f>IFERROR(AVERAGEIF('Данные 1st'!$S$2:$S$317,$A58,'Данные 1st'!$JW$2:$JW$317),"")</f>
        <v/>
      </c>
      <c r="FB58" s="7">
        <f>IFERROR(AVERAGEIF('Данные 1st'!$S$2:$S$317,$A58,'Данные 1st'!$JX$2:$JX$317),"")</f>
        <v>0</v>
      </c>
      <c r="FC58" s="7">
        <f>IFERROR(AVERAGEIF('Данные 1st'!$S$2:$S$317,$A58,'Данные 1st'!$JY$2:$JY$317),"")</f>
        <v/>
      </c>
      <c r="FD58" s="7">
        <f>IFERROR(AVERAGEIF('Данные 1st'!$S$2:$S$317,$A58,'Данные 1st'!$JZ$2:$JZ$317),"")</f>
        <v/>
      </c>
      <c r="FE58" s="7">
        <f>IFERROR(AVERAGEIF('Данные 1st'!$S$2:$S$317,$A58,'Данные 1st'!$KA$2:$KA$317),"")</f>
        <v>0</v>
      </c>
      <c r="FF58" s="7">
        <f>IFERROR(AVERAGEIF('Данные 1st'!$S$2:$S$317,$A58,'Данные 1st'!$KB$2:$KB$317),"")</f>
        <v>110</v>
      </c>
      <c r="FG58" s="7">
        <f>IFERROR(AVERAGEIF('Данные 1st'!$S$2:$S$317,$A58,'Данные 1st'!$KC$2:$KC$317),"")</f>
        <v>0</v>
      </c>
      <c r="FH58" s="7">
        <f>IFERROR(AVERAGEIF('Данные 1st'!$S$2:$S$317,$A58,'Данные 1st'!$KD$2:$KD$317),"")</f>
        <v>80</v>
      </c>
      <c r="FI58" s="7">
        <f>IFERROR(AVERAGEIF('Данные 1st'!$S$2:$S$317,$A58,'Данные 1st'!$KE$2:$KE$317),"")</f>
        <v/>
      </c>
      <c r="FJ58" s="7">
        <f>IFERROR(AVERAGEIF('Данные 1st'!$S$2:$S$317,$A58,'Данные 1st'!$KF$2:$KF$317),"")</f>
        <v>4</v>
      </c>
      <c r="FK58" s="7">
        <f>IFERROR(AVERAGEIF('Данные 1st'!$S$2:$S$317,$A58,'Данные 1st'!$KG$2:$KG$317),"")</f>
        <v>2.6666666666666665</v>
      </c>
      <c r="FL58" s="7">
        <f>IFERROR(AVERAGEIF('Данные 1st'!$S$2:$S$317,$A58,'Данные 1st'!$KH$2:$KH$317),"")</f>
        <v>2</v>
      </c>
      <c r="FM58" s="7">
        <f>IFERROR(AVERAGEIF('Данные 1st'!$S$2:$S$317,$A58,'Данные 1st'!$KI$2:$KI$317),"")</f>
        <v>2</v>
      </c>
      <c r="FN58" s="7">
        <f>IFERROR(AVERAGEIF('Данные 1st'!$S$2:$S$317,$A58,'Данные 1st'!$KJ$2:$KJ$317),"")</f>
        <v>0</v>
      </c>
      <c r="FO58" s="7">
        <f>IFERROR(AVERAGEIF('Данные 1st'!$S$2:$S$317,$A58,'Данные 1st'!$KK$2:$KK$317),"")</f>
        <v>1.5</v>
      </c>
      <c r="FP58" s="7">
        <f>IFERROR(AVERAGEIF('Данные 1st'!$S$2:$S$317,$A58,'Данные 1st'!$KL$2:$KL$317),"")</f>
        <v>1.5</v>
      </c>
      <c r="FQ58" s="7">
        <f>IFERROR(AVERAGEIF('Данные 1st'!$S$2:$S$317,$A58,'Данные 1st'!$KM$2:$KM$317),"")</f>
        <v>0</v>
      </c>
      <c r="FR58" s="7">
        <f>IFERROR(AVERAGEIF('Данные 1st'!$S$2:$S$317,$A58,'Данные 1st'!$KN$2:$KN$317),"")</f>
        <v>0</v>
      </c>
      <c r="FS58" s="7">
        <f>IFERROR(AVERAGEIF('Данные 1st'!$S$2:$S$317,$A58,'Данные 1st'!$KR$2:$KR$317),"")</f>
        <v>43.333333333333336</v>
      </c>
      <c r="FT58" s="7">
        <f>IFERROR(AVERAGEIF('Данные 1st'!$S$2:$S$317,$A58,'Данные 1st'!$KS$2:$KS$317),"")</f>
        <v>60</v>
      </c>
      <c r="FU58" s="7">
        <f>IFERROR(AVERAGEIF('Данные 1st'!$S$2:$S$317,$A58,'Данные 1st'!$KT$2:$KT$317),"")</f>
        <v>0</v>
      </c>
      <c r="FV58" s="7">
        <f>IFERROR(AVERAGEIF('Данные 1st'!$S$2:$S$317,$A58,'Данные 1st'!$KV$2:$KV$317),"")</f>
        <v/>
      </c>
      <c r="FW58" s="7">
        <f>IFERROR(AVERAGEIF('Данные 1st'!$S$2:$S$317,$A58,'Данные 1st'!$KW$2:$KW$317),"")</f>
        <v/>
      </c>
      <c r="FX58" s="7">
        <f>IFERROR(AVERAGEIF('Данные 1st'!$S$2:$S$317,$A58,'Данные 1st'!$KX$2:$KX$317),"")</f>
        <v/>
      </c>
      <c r="FY58" s="7">
        <f>IFERROR(AVERAGEIF('Данные 1st'!$S$2:$S$317,$A58,'Данные 1st'!$KY$2:$KY$317),"")</f>
        <v/>
      </c>
      <c r="FZ58" s="7">
        <f>IFERROR(AVERAGEIF('Данные 1st'!$S$2:$S$317,$A58,'Данные 1st'!$KZ$2:$KZ$317),"")</f>
        <v/>
      </c>
      <c r="GA58" s="7">
        <f>IFERROR(AVERAGEIF('Данные 1st'!$S$2:$S$317,$A58,'Данные 1st'!$LA$2:$LA$317),"")</f>
        <v/>
      </c>
      <c r="GB58" s="7">
        <f>IFERROR(AVERAGEIF('Данные 1st'!$S$2:$S$317,$A58,'Данные 1st'!$LB$2:$LB$317),"")</f>
        <v/>
      </c>
      <c r="GC58" s="7">
        <f>IFERROR(AVERAGEIF('Данные 1st'!$S$2:$S$317,$A58,'Данные 1st'!$LC$2:$LC$317),"")</f>
        <v/>
      </c>
      <c r="GD58" s="7">
        <f>IFERROR(AVERAGEIF('Данные 1st'!$S$2:$S$317,$A58,'Данные 1st'!$LD$2:$LD$317),"")</f>
        <v/>
      </c>
      <c r="GE58" s="7">
        <f>IFERROR(AVERAGEIF('Данные 1st'!$S$2:$S$317,$A58,'Данные 1st'!$LE$2:$LE$317),"")</f>
        <v/>
      </c>
      <c r="GF58" s="7">
        <f>IFERROR(AVERAGEIF('Данные 1st'!$S$2:$S$317,$A58,'Данные 1st'!$LF$2:$LF$317),"")</f>
        <v/>
      </c>
      <c r="GG58" s="7">
        <f>IFERROR(AVERAGEIF('Данные 1st'!$S$2:$S$317,$A58,'Данные 1st'!$LG$2:$LG$317),"")</f>
        <v/>
      </c>
      <c r="GH58" s="7">
        <f>IFERROR(AVERAGEIF('Данные 1st'!$S$2:$S$317,$A58,'Данные 1st'!$LH$2:$LH$317),"")</f>
        <v/>
      </c>
      <c r="GI58" s="7">
        <f>IFERROR(AVERAGEIF('Данные 1st'!$S$2:$S$317,$A58,'Данные 1st'!$LI$2:$LI$317),"")</f>
        <v/>
      </c>
      <c r="GJ58" s="7">
        <f>IFERROR(AVERAGEIF('Данные 1st'!$S$2:$S$317,$A58,'Данные 1st'!$LJ$2:$LJ$317),"")</f>
        <v/>
      </c>
      <c r="GK58" s="7">
        <f>IFERROR(AVERAGEIF('Данные 1st'!$S$2:$S$317,$A58,'Данные 1st'!$LK$2:$LK$317),"")</f>
        <v>480</v>
      </c>
      <c r="GL58" s="7">
        <f>IFERROR(AVERAGEIF('Данные 1st'!$S$2:$S$317,$A58,'Данные 1st'!$LV$2:$LV$317),"")</f>
        <v/>
      </c>
      <c r="GM58" s="7">
        <f>IFERROR(AVERAGEIF('Данные 1st'!$S$2:$S$317,$A58,'Данные 1st'!$LW$2:$LW$317),"")</f>
        <v/>
      </c>
      <c r="GN58" s="7">
        <f>IFERROR(AVERAGEIF('Данные 1st'!$S$2:$S$317,$A58,'Данные 1st'!$LX$2:$LX$317),"")</f>
        <v/>
      </c>
      <c r="GO58" s="7">
        <f>IFERROR(AVERAGEIF('Данные 1st'!$S$2:$S$317,$A58,'Данные 1st'!$LY$2:$LY$317),"")</f>
        <v/>
      </c>
      <c r="GP58" s="7">
        <f>IFERROR(AVERAGEIF('Данные 1st'!$S$2:$S$317,$A58,'Данные 1st'!$LZ$2:$LZ$317),"")</f>
        <v/>
      </c>
      <c r="GQ58" s="7">
        <f>IFERROR(AVERAGEIF('Данные 1st'!$S$2:$S$317,$A58,'Данные 1st'!$PG$2:$PG$317),"")</f>
        <v>1</v>
      </c>
      <c r="GR58" s="7">
        <f>IFERROR(AVERAGEIF('Данные 1st'!$S$2:$S$317,$A58,'Данные 1st'!$PX$2:$PX$317),"")</f>
        <v>56</v>
      </c>
      <c r="GS58" s="7">
        <f>IFERROR(AVERAGEIF('Данные 1st'!$S$2:$S$317,$A58,'Данные 1st'!$PY$2:$PY$317),"")</f>
        <v>56.333333333333336</v>
      </c>
      <c r="GT58" s="7">
        <f>IFERROR(AVERAGEIF('Данные 1st'!$S$2:$S$317,$A58,'Данные 1st'!$QA$2:$QA$317),"")</f>
        <v>1.6666666666666667</v>
      </c>
      <c r="GU58" s="7">
        <f>IFERROR(AVERAGEIF('Данные 1st'!$S$2:$S$317,$A58,'Данные 1st'!$QB$2:$QB$317),"")</f>
        <v>1377</v>
      </c>
      <c r="GV58" s="7">
        <f>IFERROR(AVERAGEIF('Данные 1st'!$S$2:$S$317,$A58,'Данные 1st'!$QC$2:$QC$317),"")</f>
        <v>69</v>
      </c>
      <c r="GW58" s="7">
        <f>IFERROR(AVERAGEIF('Данные 1st'!$S$2:$S$317,$A58,'Данные 1st'!$QD$2:$QD$317),"")</f>
        <v>69</v>
      </c>
      <c r="GX58" s="7">
        <f>IFERROR(AVERAGEIF('Данные 1st'!$S$2:$S$317,$A58,'Данные 1st'!$QF$2:$QF$317),"")</f>
        <v>1.3333333333333333</v>
      </c>
      <c r="GY58" s="7">
        <f>IFERROR(AVERAGEIF('Данные 1st'!$S$2:$S$317,$A58,'Данные 1st'!$QG$2:$QG$317),"")</f>
        <v>1393.3333333333333</v>
      </c>
      <c r="GZ58" s="7">
        <f>IFERROR(AVERAGEIF('Данные 1st'!$S$2:$S$317,$A58,'Данные 1st'!$QH$2:$QH$317),"")</f>
        <v>66</v>
      </c>
      <c r="HA58" s="7">
        <f>IFERROR(AVERAGEIF('Данные 1st'!$S$2:$S$317,$A58,'Данные 1st'!$QI$2:$QI$317),"")</f>
        <v>66</v>
      </c>
      <c r="HB58" s="7">
        <f>IFERROR(AVERAGEIF('Данные 1st'!$S$2:$S$317,$A58,'Данные 1st'!$QK$2:$QK$317),"")</f>
        <v/>
      </c>
      <c r="HC58" s="7">
        <f>IFERROR(AVERAGEIF('Данные 1st'!$S$2:$S$317,$A58,'Данные 1st'!$QL$2:$QL$317),"")</f>
        <v>0</v>
      </c>
      <c r="HD58" s="7">
        <f>IFERROR(AVERAGEIF('Данные 1st'!$S$2:$S$317,$A58,'Данные 1st'!$QM$2:$QM$317),"")</f>
        <v>62.333333333333336</v>
      </c>
      <c r="HE58" s="7">
        <f>IFERROR(AVERAGEIF('Данные 1st'!$S$2:$S$317,$A58,'Данные 1st'!$QN$2:$QN$317),"")</f>
        <v>62.333333333333336</v>
      </c>
      <c r="HF58" s="7">
        <f>IFERROR(AVERAGEIF('Данные 1st'!$S$2:$S$317,$A58,'Данные 1st'!$QP$2:$QP$317),"")</f>
        <v>1</v>
      </c>
      <c r="HG58" s="7">
        <f>IFERROR(AVERAGEIF('Данные 1st'!$S$2:$S$317,$A58,'Данные 1st'!$QQ$2:$QQ$317),"")</f>
        <v>1391.3333333333333</v>
      </c>
      <c r="HH58" s="7">
        <f>IFERROR(AVERAGEIF('Данные 1st'!$S$2:$S$317,$A58,'Данные 1st'!$QR$2:$QR$317),"")</f>
        <v/>
      </c>
      <c r="HI58" s="7">
        <f>IFERROR(AVERAGEIF('Данные 1st'!$S$2:$S$317,$A58,'Данные 1st'!$QS$2:$QS$317),"")</f>
        <v/>
      </c>
      <c r="HJ58" s="7">
        <f>IFERROR(AVERAGEIF('Данные 1st'!$S$2:$S$317,$A58,'Данные 1st'!$QU$2:$QU$317),"")</f>
        <v/>
      </c>
      <c r="HK58" s="7">
        <f>IFERROR(AVERAGEIF('Данные 1st'!$S$2:$S$317,$A58,'Данные 1st'!$QV$2:$QV$317),"")</f>
        <v/>
      </c>
      <c r="HL58" s="7">
        <f>IFERROR(AVERAGEIF('Данные 1st'!$S$2:$S$317,$A58,'Данные 1st'!$QW$2:$QW$317),"")</f>
        <v>82</v>
      </c>
      <c r="HM58" s="7">
        <f>IFERROR(AVERAGEIF('Данные 1st'!$S$2:$S$317,$A58,'Данные 1st'!$QX$2:$QX$317),"")</f>
        <v>86</v>
      </c>
      <c r="HN58" s="7">
        <f>IFERROR(AVERAGEIF('Данные 1st'!$S$2:$S$317,$A58,'Данные 1st'!$QZ$2:$QZ$317),"")</f>
        <v>1</v>
      </c>
      <c r="HO58" s="7">
        <f>IFERROR(AVERAGEIF('Данные 1st'!$S$2:$S$317,$A58,'Данные 1st'!$RA$2:$RA$317),"")</f>
        <v>66</v>
      </c>
      <c r="HP58" s="7">
        <f>IFERROR(AVERAGEIF('Данные 1st'!$S$2:$S$317,$A58,'Данные 1st'!$RB$2:$RB$317),"")</f>
        <v>66</v>
      </c>
      <c r="HQ58" s="7">
        <f>IFERROR(AVERAGEIF('Данные 1st'!$S$2:$S$317,$A58,'Данные 1st'!$RD$2:$RD$317),"")</f>
        <v/>
      </c>
      <c r="HR58" s="7">
        <f>IFERROR(AVERAGEIF('Данные 1st'!$S$2:$S$317,$A58,'Данные 1st'!$RE$2:$RE$317),"")</f>
        <v>0</v>
      </c>
      <c r="HS58" s="7">
        <f>IFERROR(AVERAGEIF('Данные 1st'!$S$2:$S$317,$A58,'Данные 1st'!$RF$2:$RF$317),"")</f>
        <v>1</v>
      </c>
      <c r="HT58" s="7">
        <f>IFERROR(AVERAGEIF('Данные 1st'!$S$2:$S$317,$A58,'Данные 1st'!$RG$2:$RG$317),"")</f>
        <v>1</v>
      </c>
      <c r="HU58" s="7">
        <f>IFERROR(AVERAGEIF('Данные 1st'!$S$2:$S$317,$A58,'Данные 1st'!$RH$2:$RH$317),"")</f>
        <v/>
      </c>
      <c r="HV58" s="7">
        <f>IFERROR(AVERAGEIF('Данные 1st'!$S$2:$S$317,$A58,'Данные 1st'!$RI$2:$RI$317),"")</f>
        <v/>
      </c>
      <c r="HW58" s="7">
        <f>IFERROR(AVERAGEIF('Данные 1st'!$S$2:$S$317,$A58,'Данные 1st'!$RJ$2:$RJ$317),"")</f>
        <v>1</v>
      </c>
      <c r="HX58" s="7">
        <f>IFERROR(AVERAGEIF('Данные 1st'!$S$2:$S$317,$A58,'Данные 1st'!$RK$2:$RK$317),"")</f>
        <v/>
      </c>
      <c r="HY58" s="7">
        <f>IFERROR(AVERAGEIF('Данные 1st'!$S$2:$S$317,$A58,'Данные 1st'!$RL$2:$RL$317),"")</f>
        <v>1.6666666666666667</v>
      </c>
      <c r="HZ58" s="7">
        <f>IFERROR(AVERAGEIF('Данные 1st'!$S$2:$S$317,$A58,'Данные 1st'!$RM$2:$RM$317),"")</f>
        <v/>
      </c>
      <c r="IA58" s="7">
        <f>IFERROR(AVERAGEIF('Данные 1st'!$S$2:$S$317,$A58,'Данные 1st'!$RN$2:$RN$317),"")</f>
        <v/>
      </c>
      <c r="IB58" s="7">
        <f>IFERROR(AVERAGEIF('Данные 1st'!$S$2:$S$317,$A58,'Данные 1st'!$RO$2:$RO$317),"")</f>
        <v>548.3333333333334</v>
      </c>
      <c r="IC58" s="7">
        <f>IFERROR(AVERAGEIF('Данные 1st'!$S$2:$S$317,$A58,'Данные 1st'!$RP$2:$RP$317),"")</f>
        <v/>
      </c>
      <c r="ID58" s="7">
        <f>IFERROR(AVERAGEIF('Данные 1st'!$S$2:$S$317,$A58,'Данные 1st'!$RQ$2:$RQ$317),"")</f>
        <v>915.3333333333334</v>
      </c>
      <c r="IE58" s="7">
        <f>IFERROR(AVERAGEIF('Данные 1st'!$S$2:$S$317,$A58,'Данные 1st'!$RR$2:$RR$317),"")</f>
        <v/>
      </c>
      <c r="IF58" s="7">
        <f>IFERROR(AVERAGEIF('Данные 1st'!$S$2:$S$317,$A58,'Данные 1st'!$RS$2:$RS$317),"")</f>
        <v/>
      </c>
      <c r="IG58" s="7">
        <f>IFERROR(AVERAGEIF('Данные 1st'!$S$2:$S$317,$A58,'Данные 1st'!$RT$2:$RT$317),"")</f>
        <v>287</v>
      </c>
      <c r="IH58" s="7">
        <f>IFERROR(AVERAGEIF('Данные 1st'!$S$2:$S$317,$A58,'Данные 1st'!$RU$2:$RU$317),"")</f>
        <v>172.33333333333334</v>
      </c>
      <c r="II58" s="7">
        <f>IFERROR(AVERAGEIF('Данные 1st'!$S$2:$S$317,$A58,'Данные 1st'!$RX$2:$RX$317),"")</f>
        <v>15</v>
      </c>
      <c r="IJ58" s="7">
        <f>IFERROR(AVERAGEIF('Данные 1st'!$S$2:$S$317,$A58,'Данные 1st'!$RY$2:$RY$317),"")</f>
        <v>4</v>
      </c>
      <c r="IK58" s="7">
        <f>IFERROR(AVERAGEIF('Данные 1st'!$S$2:$S$317,$A58,'Данные 1st'!$SA$2:$SA$317),"")</f>
        <v>15</v>
      </c>
      <c r="IL58" s="7">
        <f>IFERROR(AVERAGEIF('Данные 1st'!$S$2:$S$317,$A58,'Данные 1st'!$SD$2:$SD$317),"")</f>
        <v>1</v>
      </c>
      <c r="IM58" s="7">
        <f>IFERROR(AVERAGEIF('Данные 1st'!$S$2:$S$317,$A58,'Данные 1st'!$SG$2:$SG$317),"")</f>
        <v/>
      </c>
      <c r="IN58" s="7">
        <f>IFERROR(AVERAGEIF('Данные 1st'!$S$2:$S$317,$A58,'Данные 1st'!$SH$2:$SH$317),"")</f>
        <v>0.995</v>
      </c>
      <c r="IO58" s="7">
        <f>IFERROR(AVERAGEIF('Данные 1st'!$S$2:$S$317,$A58,'Данные 1st'!$SI$2:$SI$317),"")</f>
        <v>0.995</v>
      </c>
      <c r="IP58" s="7">
        <f>IFERROR(AVERAGEIF('Данные 1st'!$S$2:$S$317,$A58,'Данные 1st'!$SJ$2:$SJ$317),"")</f>
        <v>0.995</v>
      </c>
      <c r="IQ58" s="7">
        <f>IFERROR(AVERAGEIF('Данные 1st'!$S$2:$S$317,$A58,'Данные 1st'!$SK$2:$SK$317),"")</f>
        <v>15</v>
      </c>
      <c r="IR58" s="7">
        <f>IFERROR(AVERAGEIF('Данные 1st'!$S$2:$S$317,$A58,'Данные 1st'!$SL$2:$SL$317),"")</f>
        <v>0</v>
      </c>
      <c r="IS58" s="7">
        <f>IFERROR(AVERAGEIF('Данные 1st'!$S$2:$S$317,$A58,'Данные 1st'!$SM$2:$SM$317),"")</f>
        <v>0</v>
      </c>
      <c r="IT58" s="7">
        <f>IFERROR(AVERAGEIF('Данные 1st'!$S$2:$S$317,$A58,'Данные 1st'!$SN$2:$SN$317),"")</f>
        <v>0</v>
      </c>
      <c r="IU58" s="7">
        <f>IFERROR(AVERAGEIF('Данные 1st'!$S$2:$S$317,$A58,'Данные 1st'!$SO$2:$SO$317),"")</f>
        <v>0</v>
      </c>
      <c r="IV58" s="7">
        <f>IFERROR(AVERAGEIF('Данные 1st'!$S$2:$S$317,$A58,'Данные 1st'!$SP$2:$SP$317),"")</f>
        <v>0</v>
      </c>
      <c r="IW58" s="7">
        <f>IFERROR(AVERAGEIF('Данные 1st'!$S$2:$S$317,$A58,'Данные 1st'!$SQ$2:$SQ$317),"")</f>
        <v>0</v>
      </c>
      <c r="IX58" s="7">
        <f>IFERROR(AVERAGEIF('Данные 1st'!$S$2:$S$317,$A58,'Данные 1st'!$SR$2:$SR$317),"")</f>
        <v>0</v>
      </c>
      <c r="IY58" s="7">
        <f>IFERROR(AVERAGEIF('Данные 1st'!$S$2:$S$317,$A58,'Данные 1st'!$SS$2:$SS$317),"")</f>
        <v>0</v>
      </c>
      <c r="IZ58" s="7">
        <f>IFERROR(AVERAGEIF('Данные 1st'!$S$2:$S$317,$A58,'Данные 1st'!$ST$2:$ST$317),"")</f>
        <v>0</v>
      </c>
      <c r="JA58" s="7">
        <f>IFERROR(AVERAGEIF('Данные 1st'!$S$2:$S$317,$A58,'Данные 1st'!$SU$2:$SU$317),"")</f>
        <v>0</v>
      </c>
      <c r="JB58" s="7">
        <f>IFERROR(AVERAGEIF('Данные 1st'!$S$2:$S$317,$A58,'Данные 1st'!$SV$2:$SV$317),"")</f>
        <v>0</v>
      </c>
      <c r="JC58" s="7">
        <f>IFERROR(AVERAGEIF('Данные 1st'!$S$2:$S$317,$A58,'Данные 1st'!$SW$2:$SW$317),"")</f>
        <v>0</v>
      </c>
      <c r="JD58" s="7">
        <f>IFERROR(AVERAGEIF('Данные 1st'!$S$2:$S$317,$A58,'Данные 1st'!$SX$2:$SX$317),"")</f>
        <v>0</v>
      </c>
      <c r="JE58" s="7">
        <f>IFERROR(AVERAGEIF('Данные 1st'!$S$2:$S$317,$A58,'Данные 1st'!$SY$2:$SY$317),"")</f>
        <v/>
      </c>
      <c r="JF58" s="7">
        <f>IFERROR(AVERAGEIF('Данные 1st'!$S$2:$S$317,$A58,'Данные 1st'!$SZ$2:$SZ$317),"")</f>
        <v/>
      </c>
      <c r="JG58" s="7">
        <f>IFERROR(AVERAGEIF('Данные 1st'!$S$2:$S$317,$A58,'Данные 1st'!$TA$2:$TA$317),"")</f>
        <v/>
      </c>
      <c r="JH58" s="7">
        <f>IFERROR(AVERAGEIF('Данные 1st'!$S$2:$S$317,$A58,'Данные 1st'!$TB$2:$TB$317),"")</f>
        <v>0</v>
      </c>
      <c r="JI58" s="7">
        <f>IFERROR(AVERAGEIF('Данные 1st'!$S$2:$S$317,$A58,'Данные 1st'!$TC$2:$TC$317),"")</f>
        <v>0</v>
      </c>
      <c r="JJ58" s="7">
        <f>IFERROR(AVERAGEIF('Данные 1st'!$S$2:$S$317,$A58,'Данные 1st'!$TD$2:$TD$317),"")</f>
        <v>7.5</v>
      </c>
      <c r="JK58" s="7">
        <f>IFERROR(AVERAGEIF('Данные 1st'!$S$2:$S$317,$A58,'Данные 1st'!$TN$2:$TN$317),"")</f>
        <v>0</v>
      </c>
      <c r="JL58">
        <f>COUNTIF('Данные 2st'!$Q$2:$Q$317,$A58)</f>
        <v>3</v>
      </c>
      <c r="JM58" s="6" t="s">
        <v>5110</v>
      </c>
      <c r="JN58" s="6" t="s">
        <v>513</v>
      </c>
      <c r="JO58" s="6" t="s">
        <v>5125</v>
      </c>
      <c r="JP58" s="6" t="s">
        <v>5509</v>
      </c>
      <c r="JQ58" s="7">
        <f>IFERROR(AVERAGEIF('Данные 2st'!$Q$2:$Q$317,$A58,'Данные 2st'!$AC$2:$AC$317),"")</f>
        <v>10.333333333333334</v>
      </c>
      <c r="JR58" s="7">
        <f>IFERROR(AVERAGEIF('Данные 2st'!$Q$2:$Q$317,$A58,'Данные 2st'!$AF$2:$AF$317),"")</f>
        <v>4505.666666666667</v>
      </c>
      <c r="JS58" s="7">
        <f>IFERROR(AVERAGEIF('Данные 2st'!$Q$2:$Q$317,$A58,'Данные 2st'!$AW$2:$AW$317),"")</f>
        <v>6.4</v>
      </c>
      <c r="JT58" s="7">
        <f>IFERROR(AVERAGEIF('Данные 2st'!$Q$2:$Q$317,$A58,'Данные 2st'!$AX$2:$AX$317),"")</f>
        <v>-6</v>
      </c>
      <c r="JU58" s="7">
        <f>IFERROR(AVERAGEIF('Данные 2st'!$Q$2:$Q$317,$A58,'Данные 2st'!$AY$2:$AY$317),"")</f>
        <v>110.33333333333333</v>
      </c>
      <c r="JV58" s="7">
        <f>IFERROR(AVERAGEIF('Данные 2st'!$Q$2:$Q$317,$A58,'Данные 2st'!$AZ$2:$AZ$317),"")</f>
        <v>84</v>
      </c>
      <c r="JW58" s="7">
        <f>IFERROR(AVERAGEIF('Данные 2st'!$Q$2:$Q$317,$A58,'Данные 2st'!$BA$2:$BA$317),"")</f>
        <v>0</v>
      </c>
      <c r="JX58" s="7">
        <f>IFERROR(AVERAGEIF('Данные 2st'!$Q$2:$Q$317,$A58,'Данные 2st'!$BB$2:$BB$317),"")</f>
        <v>0</v>
      </c>
      <c r="JY58" s="7">
        <f>IFERROR(AVERAGEIF('Данные 2st'!$Q$2:$Q$317,$A58,'Данные 2st'!$BC$2:$BC$317),"")</f>
        <v>0</v>
      </c>
      <c r="JZ58" s="7">
        <f>IFERROR(AVERAGEIF('Данные 2st'!$Q$2:$Q$317,$A58,'Данные 2st'!$BH$2:$BH$317),"")</f>
        <v>110.33333333333333</v>
      </c>
      <c r="KA58" s="7">
        <f>IFERROR(AVERAGEIF('Данные 2st'!$Q$2:$Q$317,$A58,'Данные 2st'!$BI$2:$BI$317),"")</f>
        <v>26.333333333333332</v>
      </c>
      <c r="KB58" s="7">
        <f>IFERROR(AVERAGEIF('Данные 2st'!$Q$2:$Q$317,$A58,'Данные 2st'!$BJ$2:$BJ$317),"")</f>
        <v>84</v>
      </c>
      <c r="KC58" s="7">
        <f>IFERROR(AVERAGEIF('Данные 2st'!$Q$2:$Q$317,$A58,'Данные 2st'!$BK$2:$BK$317),"")</f>
        <v>2.8333333333333335</v>
      </c>
      <c r="KD58" s="7">
        <f>IFERROR(AVERAGEIF('Данные 2st'!$Q$2:$Q$317,$A58,'Данные 2st'!$BL$2:$BL$317),"")</f>
        <v>220.66666666666666</v>
      </c>
      <c r="KE58" s="7">
        <f>IFERROR(AVERAGEIF('Данные 2st'!$Q$2:$Q$317,$A58,'Данные 2st'!$BM$2:$BM$317),"")</f>
        <v>-6</v>
      </c>
      <c r="KF58" s="7">
        <f>IFERROR(AVERAGEIF('Данные 2st'!$Q$2:$Q$317,$A58,'Данные 2st'!$BN$2:$BN$317),"")</f>
        <v>0</v>
      </c>
      <c r="KG58" s="7">
        <f>IFERROR(AVERAGEIF('Данные 2st'!$Q$2:$Q$317,$A58,'Данные 2st'!$BO$2:$BO$317),"")</f>
        <v>0</v>
      </c>
      <c r="KH58" s="7">
        <f>IFERROR(AVERAGEIF('Данные 2st'!$Q$2:$Q$317,$A58,'Данные 2st'!$BP$2:$BP$317),"")</f>
        <v>0</v>
      </c>
      <c r="KI58" s="7">
        <f>IFERROR(AVERAGEIF('Данные 2st'!$Q$2:$Q$317,$A58,'Данные 2st'!$BR$2:$BR$317),"")</f>
        <v>215</v>
      </c>
      <c r="KJ58" s="7">
        <f>IFERROR(AVERAGEIF('Данные 2st'!$Q$2:$Q$317,$A58,'Данные 2st'!$BS$2:$BS$317),"")</f>
        <v>205</v>
      </c>
      <c r="KK58" s="7">
        <f>IFERROR(AVERAGEIF('Данные 2st'!$Q$2:$Q$317,$A58,'Данные 2st'!$BT$2:$BT$317),"")</f>
        <v>1968.3333333333333</v>
      </c>
      <c r="KL58" s="7">
        <f>IFERROR(AVERAGEIF('Данные 2st'!$Q$2:$Q$317,$A58,'Данные 2st'!$CV$2:$CV$317),"")</f>
        <v>132.33333333333334</v>
      </c>
      <c r="KM58" s="7">
        <f>IFERROR(AVERAGEIF('Данные 2st'!$Q$2:$Q$317,$A58,'Данные 2st'!$CW$2:$CW$317),"")</f>
        <v>3</v>
      </c>
      <c r="KN58" s="7">
        <f>IFERROR(AVERAGEIF('Данные 2st'!$Q$2:$Q$317,$A58,'Данные 2st'!$CX$2:$CX$317),"")</f>
        <v>98.33333333333333</v>
      </c>
      <c r="KO58" s="7">
        <f>IFERROR(AVERAGEIF('Данные 2st'!$Q$2:$Q$317,$A58,'Данные 2st'!$CY$2:$CY$317),"")</f>
        <v>5</v>
      </c>
      <c r="KP58" s="7">
        <f>IFERROR(AVERAGEIF('Данные 2st'!$Q$2:$Q$317,$A58,'Данные 2st'!$CZ$2:$CZ$317),"")</f>
        <v>122</v>
      </c>
      <c r="KQ58" s="7">
        <f>IFERROR(AVERAGEIF('Данные 2st'!$Q$2:$Q$317,$A58,'Данные 2st'!$DA$2:$DA$317),"")</f>
        <v>5</v>
      </c>
      <c r="KR58" s="7">
        <f>IFERROR(AVERAGEIF('Данные 2st'!$Q$2:$Q$317,$A58,'Данные 2st'!$DB$2:$DB$317),"")</f>
        <v>11603.333333333334</v>
      </c>
      <c r="KS58" s="7">
        <f>IFERROR(AVERAGEIF('Данные 2st'!$Q$2:$Q$317,$A58,'Данные 2st'!$DC$2:$DC$317),"")</f>
        <v>343.3333333333333</v>
      </c>
      <c r="KT58" s="7">
        <f>IFERROR(AVERAGEIF('Данные 2st'!$Q$2:$Q$317,$A58,'Данные 2st'!$DD$2:$DD$317),"")</f>
        <v>321.6666666666667</v>
      </c>
      <c r="KU58" s="7">
        <f>IFERROR(AVERAGEIF('Данные 2st'!$Q$2:$Q$317,$A58,'Данные 2st'!$DE$2:$DE$317),"")</f>
        <v>2089</v>
      </c>
      <c r="KV58" s="7">
        <f>IFERROR(AVERAGEIF('Данные 2st'!$Q$2:$Q$317,$A58,'Данные 2st'!$DF$2:$DF$317),"")</f>
        <v>2089</v>
      </c>
      <c r="KW58" s="7">
        <f>IFERROR(AVERAGEIF('Данные 2st'!$Q$2:$Q$317,$A58,'Данные 2st'!$DG$2:$DG$317),"")</f>
        <v>2100.6666666666665</v>
      </c>
      <c r="KX58" s="7">
        <f>IFERROR(AVERAGEIF('Данные 2st'!$Q$2:$Q$317,$A58,'Данные 2st'!$DH$2:$DH$317),"")</f>
        <v/>
      </c>
      <c r="KY58" s="7">
        <f>IFERROR(AVERAGEIF('Данные 2st'!$Q$2:$Q$317,$A58,'Данные 2st'!$DI$2:$DI$317),"")</f>
        <v/>
      </c>
      <c r="KZ58" s="7">
        <f>IFERROR(AVERAGEIF('Данные 2st'!$Q$2:$Q$317,$A58,'Данные 2st'!$DK$2:$DK$317),"")</f>
        <v>215</v>
      </c>
      <c r="LA58" s="7">
        <f>IFERROR(AVERAGEIF('Данные 2st'!$Q$2:$Q$317,$A58,'Данные 2st'!$DM$2:$DM$317),"")</f>
        <v>63.666666666666664</v>
      </c>
      <c r="LB58" s="7">
        <f>IFERROR(AVERAGEIF('Данные 2st'!$Q$2:$Q$317,$A58,'Данные 2st'!$DN$2:$DN$317),"")</f>
        <v>1.1333333333333333</v>
      </c>
      <c r="LC58" s="7">
        <f>IFERROR(AVERAGEIF('Данные 2st'!$Q$2:$Q$317,$A58,'Данные 2st'!$DO$2:$DO$317),"")</f>
        <v>1</v>
      </c>
      <c r="LD58" s="7">
        <f>IFERROR(AVERAGEIF('Данные 2st'!$Q$2:$Q$317,$A58,'Данные 2st'!$DP$2:$DP$317),"")</f>
        <v>1971.6666666666667</v>
      </c>
      <c r="LE58" s="7">
        <f>IFERROR(AVERAGEIF('Данные 2st'!$Q$2:$Q$317,$A58,'Данные 2st'!$DQ$2:$DQ$317),"")</f>
        <v>936</v>
      </c>
      <c r="LF58" s="7">
        <f>IFERROR(AVERAGEIF('Данные 2st'!$Q$2:$Q$317,$A58,'Данные 2st'!$DS$2:$DS$317),"")</f>
        <v>205</v>
      </c>
      <c r="LG58" s="7">
        <f>IFERROR(AVERAGEIF('Данные 2st'!$Q$2:$Q$317,$A58,'Данные 2st'!$DU$2:$DU$317),"")</f>
        <v>63.666666666666664</v>
      </c>
      <c r="LH58" s="7">
        <f>IFERROR(AVERAGEIF('Данные 2st'!$Q$2:$Q$317,$A58,'Данные 2st'!$DV$2:$DV$317),"")</f>
        <v>1.1333333333333333</v>
      </c>
      <c r="LI58" s="7">
        <f>IFERROR(AVERAGEIF('Данные 2st'!$Q$2:$Q$317,$A58,'Данные 2st'!$DW$2:$DW$317),"")</f>
        <v>1</v>
      </c>
      <c r="LJ58" s="7">
        <f>IFERROR(AVERAGEIF('Данные 2st'!$Q$2:$Q$317,$A58,'Данные 2st'!$DX$2:$DX$317),"")</f>
        <v>1983.6666666666667</v>
      </c>
      <c r="LK58" s="7">
        <f>IFERROR(AVERAGEIF('Данные 2st'!$Q$2:$Q$317,$A58,'Данные 2st'!$DY$2:$DY$317),"")</f>
        <v>897.3333333333334</v>
      </c>
      <c r="LL58" s="7">
        <f>IFERROR(AVERAGEIF('Данные 2st'!$Q$2:$Q$317,$A58,'Данные 2st'!$EA$2:$EA$317),"")</f>
        <v>20</v>
      </c>
      <c r="LM58" s="7">
        <f>IFERROR(AVERAGEIF('Данные 2st'!$Q$2:$Q$317,$A58,'Данные 2st'!$EC$2:$EC$317),"")</f>
        <v>0.8</v>
      </c>
      <c r="LN58" s="7">
        <f>IFERROR(AVERAGEIF('Данные 2st'!$Q$2:$Q$317,$A58,'Данные 2st'!$ED$2:$ED$317),"")</f>
        <v>1971.6666666666667</v>
      </c>
      <c r="LO58" s="7">
        <f>IFERROR(AVERAGEIF('Данные 2st'!$Q$2:$Q$317,$A58,'Данные 2st'!$EE$2:$EE$317),"")</f>
        <v>69</v>
      </c>
      <c r="LP58" s="7">
        <f>IFERROR(AVERAGEIF('Данные 2st'!$Q$2:$Q$317,$A58,'Данные 2st'!$EG$2:$EG$317),"")</f>
        <v>0</v>
      </c>
      <c r="LQ58" s="7">
        <f>IFERROR(AVERAGEIF('Данные 2st'!$Q$2:$Q$317,$A58,'Данные 2st'!$EI$2:$EI$317),"")</f>
        <v>0</v>
      </c>
      <c r="LR58" s="7">
        <f>IFERROR(AVERAGEIF('Данные 2st'!$Q$2:$Q$317,$A58,'Данные 2st'!$EJ$2:$EJ$317),"")</f>
        <v/>
      </c>
      <c r="LS58" s="7">
        <f>IFERROR(AVERAGEIF('Данные 2st'!$Q$2:$Q$317,$A58,'Данные 2st'!$EK$2:$EK$317),"")</f>
        <v/>
      </c>
      <c r="LT58" s="7">
        <f>IFERROR(AVERAGEIF('Данные 2st'!$Q$2:$Q$317,$A58,'Данные 2st'!$EM$2:$EM$317),"")</f>
        <v>12</v>
      </c>
      <c r="LU58" s="7">
        <f>IFERROR(AVERAGEIF('Данные 2st'!$Q$2:$Q$317,$A58,'Данные 2st'!$EN$2:$EN$317),"")</f>
        <v>0.5</v>
      </c>
      <c r="LV58" s="7">
        <f>IFERROR(AVERAGEIF('Данные 2st'!$Q$2:$Q$317,$A58,'Данные 2st'!$EO$2:$EO$317),"")</f>
        <v>0.96</v>
      </c>
      <c r="LW58" s="7">
        <f>IFERROR(AVERAGEIF('Данные 2st'!$Q$2:$Q$317,$A58,'Данные 2st'!$EP$2:$EP$317),"")</f>
        <v>1982.58</v>
      </c>
      <c r="LX58" s="7">
        <f>IFERROR(AVERAGEIF('Данные 2st'!$Q$2:$Q$317,$A58,'Данные 2st'!$EQ$2:$EQ$317),"")</f>
        <v>36037.066666666666</v>
      </c>
      <c r="LY58" s="7">
        <f>IFERROR(AVERAGEIF('Данные 2st'!$Q$2:$Q$317,$A58,'Данные 2st'!$ER$2:$ER$317),"")</f>
        <v>8187.32</v>
      </c>
      <c r="LZ58" s="7">
        <f>IFERROR(AVERAGEIF('Данные 2st'!$Q$2:$Q$317,$A58,'Данные 2st'!$ES$2:$ES$317),"")</f>
        <v>0</v>
      </c>
      <c r="MA58" s="7">
        <f>IFERROR(AVERAGEIF('Данные 2st'!$Q$2:$Q$317,$A58,'Данные 2st'!$ET$2:$ET$317),"")</f>
        <v>0</v>
      </c>
      <c r="MB58" s="7">
        <f>IFERROR(AVERAGEIF('Данные 2st'!$Q$2:$Q$317,$A58,'Данные 2st'!$EU$2:$EU$317),"")</f>
        <v>1</v>
      </c>
      <c r="MC58" s="7">
        <f>IFERROR(AVERAGEIF('Данные 2st'!$Q$2:$Q$317,$A58,'Данные 2st'!$EV$2:$EV$317),"")</f>
        <v>44224.666666666664</v>
      </c>
      <c r="MD58" s="7">
        <f>IFERROR(AVERAGEIF('Данные 2st'!$Q$2:$Q$317,$A58,'Данные 2st'!$EW$2:$EW$317),"")</f>
        <v>531.3333333333334</v>
      </c>
      <c r="ME58" s="7">
        <f>IFERROR(AVERAGEIF('Данные 2st'!$Q$2:$Q$317,$A58,'Данные 2st'!$EY$2:$EY$317),"")</f>
        <v>230</v>
      </c>
      <c r="MF58" s="7">
        <f>IFERROR(AVERAGEIF('Данные 2st'!$Q$2:$Q$317,$A58,'Данные 2st'!$FA$2:$FA$317),"")</f>
        <v>4.633333333333333</v>
      </c>
      <c r="MG58" s="7">
        <f>IFERROR(AVERAGEIF('Данные 2st'!$Q$2:$Q$317,$A58,'Данные 2st'!$FB$2:$FB$317),"")</f>
        <v>1</v>
      </c>
      <c r="MH58" s="7">
        <f>IFERROR(AVERAGEIF('Данные 2st'!$Q$2:$Q$317,$A58,'Данные 2st'!$FC$2:$FC$317),"")</f>
        <v>1</v>
      </c>
      <c r="MI58" s="7">
        <f>IFERROR(AVERAGEIF('Данные 2st'!$Q$2:$Q$317,$A58,'Данные 2st'!$FD$2:$FD$317),"")</f>
        <v>2017</v>
      </c>
      <c r="MJ58" s="7">
        <f>IFERROR(AVERAGEIF('Данные 2st'!$Q$2:$Q$317,$A58,'Данные 2st'!$FE$2:$FE$317),"")</f>
        <v>2284</v>
      </c>
      <c r="MK58" s="7">
        <f>IFERROR(AVERAGEIF('Данные 2st'!$Q$2:$Q$317,$A58,'Данные 2st'!$FG$2:$FG$317),"")</f>
        <v>230</v>
      </c>
      <c r="ML58" s="7">
        <f>IFERROR(AVERAGEIF('Данные 2st'!$Q$2:$Q$317,$A58,'Данные 2st'!$FI$2:$FI$317),"")</f>
        <v>3.8000000000000003</v>
      </c>
      <c r="MM58" s="7">
        <f>IFERROR(AVERAGEIF('Данные 2st'!$Q$2:$Q$317,$A58,'Данные 2st'!$FJ$2:$FJ$317),"")</f>
        <v>2017</v>
      </c>
      <c r="MN58" s="7">
        <f>IFERROR(AVERAGEIF('Данные 2st'!$Q$2:$Q$317,$A58,'Данные 2st'!$FK$2:$FK$317),"")</f>
        <v>1991</v>
      </c>
      <c r="MO58" s="7">
        <f>IFERROR(AVERAGEIF('Данные 2st'!$Q$2:$Q$317,$A58,'Данные 2st'!$FP$2:$FP$317),"")</f>
        <v>2017</v>
      </c>
      <c r="MP58" s="7">
        <f>IFERROR(AVERAGEIF('Данные 2st'!$Q$2:$Q$317,$A58,'Данные 2st'!$FQ$2:$FQ$317),"")</f>
        <v>156.66666666666666</v>
      </c>
      <c r="MQ58" s="7">
        <f>IFERROR(AVERAGEIF('Данные 2st'!$Q$2:$Q$317,$A58,'Данные 2st'!$FS$2:$FS$317),"")</f>
        <v>234</v>
      </c>
      <c r="MR58" s="7">
        <f>IFERROR(AVERAGEIF('Данные 2st'!$Q$2:$Q$317,$A58,'Данные 2st'!$FU$2:$FU$317),"")</f>
        <v>0.4</v>
      </c>
      <c r="MS58" s="7">
        <f>IFERROR(AVERAGEIF('Данные 2st'!$Q$2:$Q$317,$A58,'Данные 2st'!$FV$2:$FV$317),"")</f>
        <v>2017</v>
      </c>
      <c r="MT58" s="7">
        <f>IFERROR(AVERAGEIF('Данные 2st'!$Q$2:$Q$317,$A58,'Данные 2st'!$FW$2:$FW$317),"")</f>
        <v>210</v>
      </c>
      <c r="MU58" s="7">
        <f>IFERROR(AVERAGEIF('Данные 2st'!$Q$2:$Q$317,$A58,'Данные 2st'!$FY$2:$FY$317),"")</f>
        <v>5</v>
      </c>
      <c r="MV58" s="7">
        <f>IFERROR(AVERAGEIF('Данные 2st'!$Q$2:$Q$317,$A58,'Данные 2st'!$GB$2:$GB$317),"")</f>
        <v>2017</v>
      </c>
      <c r="MW58" s="7">
        <f>IFERROR(AVERAGEIF('Данные 2st'!$Q$2:$Q$317,$A58,'Данные 2st'!$GC$2:$GC$317),"")</f>
        <v>20</v>
      </c>
      <c r="MX58" s="7">
        <f>IFERROR(AVERAGEIF('Данные 2st'!$Q$2:$Q$317,$A58,'Данные 2st'!$GD$2:$GD$317),"")</f>
        <v>4661.666666666667</v>
      </c>
      <c r="MY58" s="7">
        <f>IFERROR(AVERAGEIF('Данные 2st'!$Q$2:$Q$317,$A58,'Данные 2st'!$GN$2:$GN$317),"")</f>
        <v/>
      </c>
      <c r="MZ58" s="7">
        <f>IFERROR(AVERAGEIF('Данные 2st'!$Q$2:$Q$317,$A58,'Данные 2st'!$GQ$2:$GQ$317),"")</f>
        <v>0</v>
      </c>
      <c r="NA58" s="7">
        <f>IFERROR(AVERAGEIF('Данные 2st'!$Q$2:$Q$317,$A58,'Данные 2st'!$GV$2:$GV$317),"")</f>
        <v>8.833333333333334</v>
      </c>
      <c r="NB58" s="7">
        <f>IFERROR(AVERAGEIF('Данные 2st'!$Q$2:$Q$317,$A58,'Данные 2st'!$GW$2:$GW$317),"")</f>
        <v>10.133333333333333</v>
      </c>
      <c r="NC58" s="7">
        <f>IFERROR(AVERAGEIF('Данные 2st'!$Q$2:$Q$317,$A58,'Данные 2st'!$GX$2:$GX$317),"")</f>
        <v>0.5</v>
      </c>
      <c r="ND58" s="7">
        <f>IFERROR(AVERAGEIF('Данные 2st'!$Q$2:$Q$317,$A58,'Данные 2st'!$GY$2:$GY$317),"")</f>
        <v>204</v>
      </c>
      <c r="NE58" s="7">
        <f>IFERROR(AVERAGEIF('Данные 2st'!$Q$2:$Q$317,$A58,'Данные 2st'!$GZ$2:$GZ$317),"")</f>
        <v>3</v>
      </c>
      <c r="NF58" s="7">
        <f>IFERROR(AVERAGEIF('Данные 2st'!$Q$2:$Q$317,$A58,'Данные 2st'!$HA$2:$HA$317),"")</f>
        <v>251.33333333333334</v>
      </c>
      <c r="NG58" s="7">
        <f>IFERROR(AVERAGEIF('Данные 2st'!$Q$2:$Q$317,$A58,'Данные 2st'!$HB$2:$HB$317),"")</f>
        <v>3</v>
      </c>
      <c r="NH58" s="7">
        <f>IFERROR(AVERAGEIF('Данные 2st'!$Q$2:$Q$317,$A58,'Данные 2st'!$HC$2:$HC$317),"")</f>
        <v>2017</v>
      </c>
      <c r="NI58" s="7">
        <f>IFERROR(AVERAGEIF('Данные 2st'!$Q$2:$Q$317,$A58,'Данные 2st'!$HD$2:$HD$317),"")</f>
        <v>4</v>
      </c>
      <c r="NJ58" s="7">
        <f>IFERROR(AVERAGEIF('Данные 2st'!$Q$2:$Q$317,$A58,'Данные 2st'!$HM$2:$HM$317),"")</f>
        <v>18</v>
      </c>
      <c r="NK58" s="7">
        <f>IFERROR(AVERAGEIF('Данные 2st'!$Q$2:$Q$317,$A58,'Данные 2st'!$HR$2:$HR$317),"")</f>
        <v>2.3333333333333335</v>
      </c>
      <c r="NL58" s="7">
        <f>IFERROR(AVERAGEIF('Данные 2st'!$Q$2:$Q$317,$A58,'Данные 2st'!$HS$2:$HS$317),"")</f>
        <v>1968.3333333333333</v>
      </c>
      <c r="NM58" s="7">
        <f>IFERROR(AVERAGEIF('Данные 2st'!$Q$2:$Q$317,$A58,'Данные 2st'!$HT$2:$HT$317),"")</f>
        <v>5</v>
      </c>
      <c r="NN58" s="7">
        <f>IFERROR(AVERAGEIF('Данные 2st'!$Q$2:$Q$317,$A58,'Данные 2st'!$HY$2:$HY$317),"")</f>
        <v>0</v>
      </c>
      <c r="NO58" s="7">
        <f>IFERROR(AVERAGEIF('Данные 2st'!$Q$2:$Q$317,$A58,'Данные 2st'!$HZ$2:$HZ$317),"")</f>
        <v>63.666666666666664</v>
      </c>
      <c r="NP58" s="7">
        <f>IFERROR(AVERAGEIF('Данные 2st'!$Q$2:$Q$317,$A58,'Данные 2st'!$IA$2:$IA$317),"")</f>
        <v>1971.6666666666667</v>
      </c>
      <c r="NQ58" s="7">
        <f>IFERROR(AVERAGEIF('Данные 2st'!$Q$2:$Q$317,$A58,'Данные 2st'!$IB$2:$IB$317),"")</f>
        <v>1983.6666666666667</v>
      </c>
      <c r="NR58" s="7">
        <f>IFERROR(AVERAGEIF('Данные 2st'!$Q$2:$Q$317,$A58,'Данные 2st'!$IC$2:$IC$317),"")</f>
        <v/>
      </c>
      <c r="NS58" s="7">
        <f>IFERROR(AVERAGEIF('Данные 2st'!$Q$2:$Q$317,$A58,'Данные 2st'!$ID$2:$ID$317),"")</f>
        <v>2017</v>
      </c>
      <c r="NT58" s="7">
        <f>IFERROR(AVERAGEIF('Данные 2st'!$Q$2:$Q$317,$A58,'Данные 2st'!$IE$2:$IE$317),"")</f>
        <v>2017</v>
      </c>
      <c r="NU58" s="7">
        <f>IFERROR(AVERAGEIF('Данные 2st'!$Q$2:$Q$317,$A58,'Данные 2st'!$IF$2:$IF$317),"")</f>
        <v>215</v>
      </c>
      <c r="NV58" s="7">
        <f>IFERROR(AVERAGEIF('Данные 2st'!$Q$2:$Q$317,$A58,'Данные 2st'!$IG$2:$IG$317),"")</f>
        <v>205</v>
      </c>
      <c r="NW58" s="7">
        <f>IFERROR(AVERAGEIF('Данные 2st'!$Q$2:$Q$317,$A58,'Данные 2st'!$IH$2:$IH$317),"")</f>
        <v>251.33333333333334</v>
      </c>
      <c r="NX58" s="7">
        <f>IFERROR(AVERAGEIF('Данные 2st'!$Q$2:$Q$317,$A58,'Данные 2st'!$IJ$2:$IJ$317),"")</f>
        <v>5</v>
      </c>
      <c r="NY58" s="7">
        <f>IFERROR(AVERAGEIF('Данные 2st'!$Q$2:$Q$317,$A58,'Данные 2st'!$IM$2:$IM$317),"")</f>
        <v>0</v>
      </c>
      <c r="NZ58" s="7">
        <f>IFERROR(AVERAGEIF('Данные 2st'!$Q$2:$Q$317,$A58,'Данные 2st'!$IN$2:$IN$317),"")</f>
        <v>270</v>
      </c>
      <c r="OA58" s="7">
        <f>IFERROR(AVERAGEIF('Данные 2st'!$Q$2:$Q$317,$A58,'Данные 2st'!$IO$2:$IO$317),"")</f>
        <v>0</v>
      </c>
      <c r="OB58" s="7">
        <f>IFERROR(AVERAGEIF('Данные 2st'!$Q$2:$Q$317,$A58,'Данные 2st'!$IP$2:$IP$317),"")</f>
        <v>180</v>
      </c>
      <c r="OC58" s="7">
        <f>IFERROR(AVERAGEIF('Данные 2st'!$Q$2:$Q$317,$A58,'Данные 2st'!$IQ$2:$IQ$317),"")</f>
        <v>0</v>
      </c>
      <c r="OD58" s="7">
        <f>IFERROR(AVERAGEIF('Данные 2st'!$Q$2:$Q$317,$A58,'Данные 2st'!$IR$2:$IR$317),"")</f>
        <v>330</v>
      </c>
      <c r="OE58" s="7">
        <f>IFERROR(AVERAGEIF('Данные 2st'!$Q$2:$Q$317,$A58,'Данные 2st'!$IT$2:$IT$317),"")</f>
        <v>90</v>
      </c>
      <c r="OF58" s="7">
        <f>IFERROR(AVERAGEIF('Данные 2st'!$Q$2:$Q$317,$A58,'Данные 2st'!$IU$2:$IU$317),"")</f>
        <v>0</v>
      </c>
      <c r="OG58" s="7">
        <f>IFERROR(AVERAGEIF('Данные 2st'!$Q$2:$Q$317,$A58,'Данные 2st'!$IV$2:$IV$317),"")</f>
        <v>6.4</v>
      </c>
      <c r="OH58" s="7">
        <f>IFERROR(AVERAGEIF('Данные 2st'!$Q$2:$Q$317,$A58,'Данные 2st'!$IW$2:$IW$317),"")</f>
        <v>-6</v>
      </c>
      <c r="OI58" s="7">
        <f>IFERROR(AVERAGEIF('Данные 2st'!$Q$2:$Q$317,$A58,'Данные 2st'!$IX$2:$IX$317),"")</f>
        <v>110.33333333333333</v>
      </c>
      <c r="OJ58" s="7">
        <f>IFERROR(AVERAGEIF('Данные 2st'!$Q$2:$Q$317,$A58,'Данные 2st'!$IY$2:$IY$317),"")</f>
        <v>84</v>
      </c>
      <c r="OK58" s="7">
        <f>IFERROR(AVERAGEIF('Данные 2st'!$Q$2:$Q$317,$A58,'Данные 2st'!$IZ$2:$IZ$317),"")</f>
        <v>0</v>
      </c>
      <c r="OL58" s="7">
        <f>IFERROR(AVERAGEIF('Данные 2st'!$Q$2:$Q$317,$A58,'Данные 2st'!$JA$2:$JA$317),"")</f>
        <v>0</v>
      </c>
      <c r="OM58" s="7">
        <f>IFERROR(AVERAGEIF('Данные 2st'!$Q$2:$Q$317,$A58,'Данные 2st'!$JB$2:$JB$317),"")</f>
        <v>0</v>
      </c>
      <c r="ON58" s="7">
        <f>IFERROR(AVERAGEIF('Данные 2st'!$Q$2:$Q$317,$A58,'Данные 2st'!$JC$2:$JC$317),"")</f>
        <v>0</v>
      </c>
      <c r="OO58" s="7">
        <f>IFERROR(AVERAGEIF('Данные 2st'!$Q$2:$Q$317,$A58,'Данные 2st'!$JD$2:$JD$317),"")</f>
        <v>0</v>
      </c>
      <c r="OP58" s="7">
        <f>IFERROR(AVERAGEIF('Данные 2st'!$Q$2:$Q$317,$A58,'Данные 2st'!$JE$2:$JE$317),"")</f>
        <v>0</v>
      </c>
      <c r="OQ58" s="7">
        <f>IFERROR(AVERAGEIF('Данные 2st'!$Q$2:$Q$317,$A58,'Данные 2st'!$JF$2:$JF$317),"")</f>
        <v>0</v>
      </c>
      <c r="OR58" s="7">
        <f>IFERROR(AVERAGEIF('Данные 2st'!$Q$2:$Q$317,$A58,'Данные 2st'!$JG$2:$JG$317),"")</f>
        <v>0</v>
      </c>
      <c r="OS58" s="7">
        <f>IFERROR(AVERAGEIF('Данные 2st'!$Q$2:$Q$317,$A58,'Данные 2st'!$JH$2:$JH$317),"")</f>
        <v>0</v>
      </c>
      <c r="OT58" s="7">
        <f>IFERROR(AVERAGEIF('Данные 2st'!$Q$2:$Q$317,$A58,'Данные 2st'!$JI$2:$JI$317),"")</f>
        <v>363.3333333333333</v>
      </c>
      <c r="OU58" s="7">
        <f>IFERROR(AVERAGEIF('Данные 2st'!$Q$2:$Q$317,$A58,'Данные 2st'!$JJ$2:$JJ$317),"")</f>
        <v>333.3333333333333</v>
      </c>
      <c r="OV58" s="7">
        <f>IFERROR(AVERAGEIF('Данные 2st'!$Q$2:$Q$317,$A58,'Данные 2st'!$JK$2:$JK$317),"")</f>
        <v>249.33333333333334</v>
      </c>
      <c r="OW58" s="7">
        <f>IFERROR(AVERAGEIF('Данные 2st'!$Q$2:$Q$317,$A58,'Данные 2st'!$JL$2:$JL$317),"")</f>
        <v>332</v>
      </c>
      <c r="OX58" s="7">
        <f>IFERROR(AVERAGEIF('Данные 2st'!$Q$2:$Q$317,$A58,'Данные 2st'!$JM$2:$JM$317),"")</f>
        <v>255.66666666666666</v>
      </c>
      <c r="OY58" s="7">
        <f>IFERROR(AVERAGEIF('Данные 2st'!$Q$2:$Q$317,$A58,'Данные 2st'!$JP$2:$JP$317),"")</f>
        <v>223.33333333333334</v>
      </c>
      <c r="OZ58" s="7">
        <f>IFERROR(AVERAGEIF('Данные 2st'!$Q$2:$Q$317,$A58,'Данные 2st'!$JQ$2:$JQ$317),"")</f>
        <v>258.3333333333333</v>
      </c>
      <c r="PA58" s="7">
        <f>IFERROR(AVERAGEIF('Данные 2st'!$Q$2:$Q$317,$A58,'Данные 2st'!$JR$2:$JR$317),"")</f>
        <v>310.3333333333333</v>
      </c>
      <c r="PB58" s="7">
        <f>IFERROR(AVERAGEIF('Данные 2st'!$Q$2:$Q$317,$A58,'Данные 2st'!$JS$2:$JS$317),"")</f>
        <v>276.6666666666667</v>
      </c>
      <c r="PC58" s="7">
        <f>IFERROR(AVERAGEIF('Данные 2st'!$Q$2:$Q$317,$A58,'Данные 2st'!$JT$2:$JT$317),"")</f>
        <v>0</v>
      </c>
      <c r="PD58" s="7">
        <f>IFERROR(AVERAGEIF('Данные 2st'!$Q$2:$Q$317,$A58,'Данные 2st'!$JU$2:$JU$317),"")</f>
        <v>0</v>
      </c>
      <c r="PE58" s="7">
        <f>IFERROR(AVERAGEIF('Данные 2st'!$Q$2:$Q$317,$A58,'Данные 2st'!$JV$2:$JV$317),"")</f>
        <v>300.3333333333333</v>
      </c>
      <c r="PF58" s="7">
        <f>IFERROR(AVERAGEIF('Данные 2st'!$Q$2:$Q$317,$A58,'Данные 2st'!$JW$2:$JW$317),"")</f>
        <v>287.3333333333333</v>
      </c>
      <c r="PG58" s="7">
        <f>IFERROR(AVERAGEIF('Данные 2st'!$Q$2:$Q$317,$A58,'Данные 2st'!$KF$2:$KF$317),"")</f>
        <v>0.19333333333333333</v>
      </c>
      <c r="PH58" s="7">
        <f>IFERROR(AVERAGEIF('Данные 2st'!$Q$2:$Q$317,$A58,'Данные 2st'!$KG$2:$KG$317),"")</f>
        <v>0.10666666666666667</v>
      </c>
      <c r="PI58" s="7">
        <f>IFERROR(AVERAGEIF('Данные 2st'!$Q$2:$Q$317,$A58,'Данные 2st'!$KM$2:$KM$317),"")</f>
        <v>0.3333333333333333</v>
      </c>
      <c r="PJ58" s="7">
        <f>IFERROR(AVERAGEIF('Данные 2st'!$Q$2:$Q$317,$A58,'Данные 2st'!$KN$2:$KN$317),"")</f>
        <v>1.6333333333333333</v>
      </c>
      <c r="PK58" s="7">
        <f>IFERROR(AVERAGEIF('Данные 2st'!$Q$2:$Q$317,$A58,'Данные 2st'!$KO$2:$KO$317),"")</f>
        <v>0</v>
      </c>
      <c r="PL58" s="7">
        <f>IFERROR(AVERAGEIF('Данные 2st'!$Q$2:$Q$317,$A58,'Данные 2st'!$KP$2:$KP$317),"")</f>
        <v>0</v>
      </c>
      <c r="PM58" s="7">
        <f>IFERROR(AVERAGEIF('Данные 2st'!$Q$2:$Q$317,$A58,'Данные 2st'!$KQ$2:$KQ$317),"")</f>
        <v>0.7333333333333333</v>
      </c>
      <c r="PN58" s="7">
        <f>IFERROR(AVERAGEIF('Данные 2st'!$Q$2:$Q$317,$A58,'Данные 2st'!$KR$2:$KR$317),"")</f>
        <v>0.9333333333333333</v>
      </c>
      <c r="PO58" s="7">
        <f>IFERROR(AVERAGEIF('Данные 2st'!$Q$2:$Q$317,$A58,'Данные 2st'!$KS$2:$KS$317),"")</f>
        <v>0.13333333333333333</v>
      </c>
      <c r="PP58" s="7">
        <f>IFERROR(AVERAGEIF('Данные 2st'!$Q$2:$Q$317,$A58,'Данные 2st'!$KT$2:$KT$317),"")</f>
        <v>2.4333333333333336</v>
      </c>
      <c r="PQ58" s="7">
        <f>IFERROR(AVERAGEIF('Данные 2st'!$Q$2:$Q$317,$A58,'Данные 2st'!$KU$2:$KU$317),"")</f>
        <v>0</v>
      </c>
      <c r="PR58" s="7">
        <f>IFERROR(AVERAGEIF('Данные 2st'!$Q$2:$Q$317,$A58,'Данные 2st'!$KV$2:$KV$317),"")</f>
        <v>0</v>
      </c>
      <c r="PS58" s="7">
        <f>IFERROR(AVERAGEIF('Данные 2st'!$Q$2:$Q$317,$A58,'Данные 2st'!$KW$2:$KW$317),"")</f>
        <v>0.9333333333333333</v>
      </c>
      <c r="PT58" s="7">
        <f>IFERROR(AVERAGEIF('Данные 2st'!$Q$2:$Q$317,$A58,'Данные 2st'!$KX$2:$KX$317),"")</f>
        <v>1.8333333333333333</v>
      </c>
      <c r="PU58" s="7">
        <f>IFERROR(AVERAGEIF('Данные 2st'!$Q$2:$Q$317,$A58,'Данные 2st'!$KY$2:$KY$317),"")</f>
        <v>0</v>
      </c>
      <c r="PV58" s="7">
        <f>IFERROR(AVERAGEIF('Данные 2st'!$Q$2:$Q$317,$A58,'Данные 2st'!$KZ$2:$KZ$317),"")</f>
        <v>0</v>
      </c>
      <c r="PW58" s="7">
        <f>IFERROR(AVERAGEIF('Данные 2st'!$Q$2:$Q$317,$A58,'Данные 2st'!$LA$2:$LA$317),"")</f>
        <v>0</v>
      </c>
      <c r="PX58" s="7">
        <f>IFERROR(AVERAGEIF('Данные 2st'!$Q$2:$Q$317,$A58,'Данные 2st'!$LB$2:$LB$317),"")</f>
        <v>0</v>
      </c>
      <c r="PY58" s="7">
        <f>IFERROR(AVERAGEIF('Данные 2st'!$Q$2:$Q$317,$A58,'Данные 2st'!$LC$2:$LC$317),"")</f>
        <v>0</v>
      </c>
      <c r="PZ58" s="7">
        <f>IFERROR(AVERAGEIF('Данные 2st'!$Q$2:$Q$317,$A58,'Данные 2st'!$LD$2:$LD$317),"")</f>
        <v>0</v>
      </c>
      <c r="QA58" s="7">
        <f>IFERROR(AVERAGEIF('Данные 2st'!$Q$2:$Q$317,$A58,'Данные 2st'!$LE$2:$LE$317),"")</f>
        <v>0</v>
      </c>
      <c r="QB58" s="7">
        <f>IFERROR(AVERAGEIF('Данные 2st'!$Q$2:$Q$317,$A58,'Данные 2st'!$LF$2:$LF$317),"")</f>
        <v>0</v>
      </c>
      <c r="QC58" s="7">
        <f>IFERROR(AVERAGEIF('Данные 2st'!$Q$2:$Q$317,$A58,'Данные 2st'!$LG$2:$LG$317),"")</f>
        <v>0</v>
      </c>
      <c r="QD58" s="7">
        <f>IFERROR(AVERAGEIF('Данные 2st'!$Q$2:$Q$317,$A58,'Данные 2st'!$LH$2:$LH$317),"")</f>
        <v>3</v>
      </c>
      <c r="QE58" s="7">
        <f>IFERROR(AVERAGEIF('Данные 2st'!$Q$2:$Q$317,$A58,'Данные 2st'!$LJ$2:$LJ$317),"")</f>
        <v>0</v>
      </c>
      <c r="QF58" s="7">
        <f>IFERROR(AVERAGEIF('Данные 2st'!$Q$2:$Q$317,$A58,'Данные 2st'!$LK$2:$LK$317),"")</f>
        <v>5.333333333333333</v>
      </c>
      <c r="QG58" s="7">
        <f>IFERROR(AVERAGEIF('Данные 2st'!$Q$2:$Q$317,$A58,'Данные 2st'!$LL$2:$LL$317),"")</f>
        <v>4.333333333333333</v>
      </c>
      <c r="QH58" s="7">
        <f>IFERROR(AVERAGEIF('Данные 2st'!$Q$2:$Q$317,$A58,'Данные 2st'!$LM$2:$LM$317),"")</f>
        <v>7</v>
      </c>
      <c r="QI58" s="7">
        <f>IFERROR(AVERAGEIF('Данные 2st'!$Q$2:$Q$317,$A58,'Данные 2st'!$LN$2:$LN$317),"")</f>
        <v>0.30000000000000004</v>
      </c>
      <c r="QJ58" s="7">
        <f>IFERROR(AVERAGEIF('Данные 2st'!$Q$2:$Q$317,$A58,'Данные 2st'!$LO$2:$LO$317),"")</f>
        <v>2.3666666666666667</v>
      </c>
      <c r="QK58" s="7">
        <f>IFERROR(AVERAGEIF('Данные 2st'!$Q$2:$Q$317,$A58,'Данные 2st'!$LP$2:$LP$317),"")</f>
        <v>0</v>
      </c>
      <c r="QL58" s="7">
        <f>IFERROR(AVERAGEIF('Данные 2st'!$Q$2:$Q$317,$A58,'Данные 2st'!$LQ$2:$LQ$317),"")</f>
        <v>0</v>
      </c>
      <c r="QM58" s="7">
        <f>IFERROR(AVERAGEIF('Данные 2st'!$Q$2:$Q$317,$A58,'Данные 2st'!$LW$2:$LW$317),"")</f>
        <v>1.9666666666666666</v>
      </c>
      <c r="QN58" s="7">
        <f>IFERROR(AVERAGEIF('Данные 2st'!$Q$2:$Q$317,$A58,'Данные 2st'!$LX$2:$LX$317),"")</f>
        <v>1.9666666666666666</v>
      </c>
      <c r="QO58" s="7">
        <f>IFERROR(AVERAGEIF('Данные 2st'!$Q$2:$Q$317,$A58,'Данные 2st'!$LY$2:$LY$317),"")</f>
        <v>2.033333333333333</v>
      </c>
      <c r="QP58" s="7">
        <f>IFERROR(AVERAGEIF('Данные 2st'!$Q$2:$Q$317,$A58,'Данные 2st'!$LZ$2:$LZ$317),"")</f>
        <v>2.033333333333333</v>
      </c>
      <c r="QQ58" s="7">
        <f>IFERROR(AVERAGEIF('Данные 2st'!$Q$2:$Q$317,$A58,'Данные 2st'!$MB$2:$MB$317),"")</f>
        <v>3.1666666666666665</v>
      </c>
      <c r="QR58" s="7">
        <f>IFERROR(AVERAGEIF('Данные 2st'!$Q$2:$Q$317,$A58,'Данные 2st'!$MG$2:$MG$317),"")</f>
        <v>0</v>
      </c>
      <c r="QS58" s="7">
        <f>IFERROR(AVERAGEIF('Данные 2st'!$Q$2:$Q$317,$A58,'Данные 2st'!$MH$2:$MH$317),"")</f>
        <v>0</v>
      </c>
      <c r="QT58" s="7">
        <f>IFERROR(AVERAGEIF('Данные 2st'!$Q$2:$Q$317,$A58,'Данные 2st'!$MI$2:$MI$317),"")</f>
        <v>0</v>
      </c>
      <c r="QU58" s="7">
        <f>IFERROR(AVERAGEIF('Данные 2st'!$Q$2:$Q$317,$A58,'Данные 2st'!$MJ$2:$MJ$317),"")</f>
        <v>0</v>
      </c>
      <c r="QV58" s="7">
        <f>IFERROR(AVERAGEIF('Данные 2st'!$Q$2:$Q$317,$A58,'Данные 2st'!$MK$2:$MK$317),"")</f>
        <v>0</v>
      </c>
      <c r="QW58" s="7">
        <f>IFERROR(AVERAGEIF('Данные 2st'!$Q$2:$Q$317,$A58,'Данные 2st'!$MM$2:$MM$317),"")</f>
        <v>390</v>
      </c>
      <c r="QX58" s="7">
        <f>IFERROR(AVERAGEIF('Данные 2st'!$Q$2:$Q$317,$A58,'Данные 2st'!$MQ$2:$MQ$317),"")</f>
        <v/>
      </c>
      <c r="QY58" s="7">
        <f>IFERROR(AVERAGEIF('Данные 2st'!$Q$2:$Q$317,$A58,'Данные 2st'!$MR$2:$MR$317),"")</f>
        <v/>
      </c>
      <c r="QZ58" s="7">
        <f>IFERROR(AVERAGEIF('Данные 2st'!$Q$2:$Q$317,$A58,'Данные 2st'!$MS$2:$MS$317),"")</f>
        <v/>
      </c>
      <c r="RA58" s="7">
        <f>IFERROR(AVERAGEIF('Данные 2st'!$Q$2:$Q$317,$A58,'Данные 2st'!$MT$2:$MT$317),"")</f>
        <v/>
      </c>
      <c r="RB58" s="7">
        <f>IFERROR(AVERAGEIF('Данные 2st'!$Q$2:$Q$317,$A58,'Данные 2st'!$MU$2:$MU$317),"")</f>
        <v/>
      </c>
      <c r="RC58" s="7">
        <f>IFERROR(AVERAGEIF('Данные 2st'!$Q$2:$Q$317,$A58,'Данные 2st'!$MV$2:$MV$317),"")</f>
        <v/>
      </c>
      <c r="RD58" s="7">
        <f>IFERROR(AVERAGEIF('Данные 2st'!$Q$2:$Q$317,$A58,'Данные 2st'!$MW$2:$MW$317),"")</f>
        <v/>
      </c>
      <c r="RE58" s="7">
        <f>IFERROR(AVERAGEIF('Данные 2st'!$Q$2:$Q$317,$A58,'Данные 2st'!$MX$2:$MX$317),"")</f>
        <v/>
      </c>
      <c r="RF58" s="7">
        <f>IFERROR(AVERAGEIF('Данные 2st'!$Q$2:$Q$317,$A58,'Данные 2st'!$MY$2:$MY$317),"")</f>
        <v/>
      </c>
      <c r="RG58" s="7">
        <f>IFERROR(AVERAGEIF('Данные 2st'!$Q$2:$Q$317,$A58,'Данные 2st'!$MZ$2:$MZ$317),"")</f>
        <v/>
      </c>
      <c r="RH58" s="7">
        <f>IFERROR(AVERAGEIF('Данные 2st'!$Q$2:$Q$317,$A58,'Данные 2st'!$NA$2:$NA$317),"")</f>
        <v/>
      </c>
      <c r="RI58" s="7">
        <f>IFERROR(AVERAGEIF('Данные 2st'!$Q$2:$Q$317,$A58,'Данные 2st'!$NB$2:$NB$317),"")</f>
        <v/>
      </c>
      <c r="RJ58" s="7">
        <f>IFERROR(AVERAGEIF('Данные 2st'!$Q$2:$Q$317,$A58,'Данные 2st'!$NC$2:$NC$317),"")</f>
        <v/>
      </c>
      <c r="RK58" s="7">
        <f>IFERROR(AVERAGEIF('Данные 2st'!$Q$2:$Q$317,$A58,'Данные 2st'!$ND$2:$ND$317),"")</f>
        <v/>
      </c>
      <c r="RL58" s="7">
        <f>IFERROR(AVERAGEIF('Данные 2st'!$Q$2:$Q$317,$A58,'Данные 2st'!$NE$2:$NE$317),"")</f>
        <v/>
      </c>
      <c r="RM58" s="7">
        <f>IFERROR(AVERAGEIF('Данные 2st'!$Q$2:$Q$317,$A58,'Данные 2st'!$NF$2:$NF$317),"")</f>
        <v/>
      </c>
      <c r="RN58" s="7">
        <f>IFERROR(AVERAGEIF('Данные 2st'!$Q$2:$Q$317,$A58,'Данные 2st'!$NG$2:$NG$317),"")</f>
        <v/>
      </c>
      <c r="RO58" s="7">
        <f>IFERROR(AVERAGEIF('Данные 2st'!$Q$2:$Q$317,$A58,'Данные 2st'!$NH$2:$NH$317),"")</f>
        <v/>
      </c>
      <c r="RP58" s="7">
        <f>IFERROR(AVERAGEIF('Данные 2st'!$Q$2:$Q$317,$A58,'Данные 2st'!$NJ$2:$NJ$317),"")</f>
        <v/>
      </c>
      <c r="RQ58" s="7">
        <f>IFERROR(AVERAGEIF('Данные 2st'!$Q$2:$Q$317,$A58,'Данные 2st'!$NK$2:$NK$317),"")</f>
        <v/>
      </c>
      <c r="RR58" s="7">
        <f>IFERROR(AVERAGEIF('Данные 2st'!$Q$2:$Q$317,$A58,'Данные 2st'!$NM$2:$NM$317),"")</f>
        <v/>
      </c>
      <c r="RS58" s="7">
        <f>IFERROR(AVERAGEIF('Данные 2st'!$Q$2:$Q$317,$A58,'Данные 2st'!$NN$2:$NN$317),"")</f>
        <v/>
      </c>
      <c r="RT58" s="7">
        <f>IFERROR(AVERAGEIF('Данные 2st'!$Q$2:$Q$317,$A58,'Данные 2st'!$NO$2:$NO$317),"")</f>
        <v/>
      </c>
      <c r="RU58" s="7">
        <f>IFERROR(AVERAGEIF('Данные 2st'!$Q$2:$Q$317,$A58,'Данные 2st'!$NP$2:$NP$317),"")</f>
        <v/>
      </c>
      <c r="RV58" s="7">
        <f>IFERROR(AVERAGEIF('Данные 2st'!$Q$2:$Q$317,$A58,'Данные 2st'!$NQ$2:$NQ$317),"")</f>
        <v/>
      </c>
      <c r="RW58" s="7">
        <f>IFERROR(AVERAGEIF('Данные 2st'!$Q$2:$Q$317,$A58,'Данные 2st'!$NR$2:$NR$317),"")</f>
        <v/>
      </c>
      <c r="RX58" s="7">
        <f>IFERROR(AVERAGEIF('Данные 2st'!$Q$2:$Q$317,$A58,'Данные 2st'!$NS$2:$NS$317),"")</f>
        <v/>
      </c>
      <c r="RY58" s="7">
        <f>IFERROR(AVERAGEIF('Данные 2st'!$Q$2:$Q$317,$A58,'Данные 2st'!$NT$2:$NT$317),"")</f>
        <v/>
      </c>
      <c r="RZ58" s="7">
        <f>IFERROR(AVERAGEIF('Данные 2st'!$Q$2:$Q$317,$A58,'Данные 2st'!$OK$2:$OK$317),"")</f>
        <v>61</v>
      </c>
      <c r="SA58" s="7">
        <f>IFERROR(AVERAGEIF('Данные 2st'!$Q$2:$Q$317,$A58,'Данные 2st'!$OL$2:$OL$317),"")</f>
        <v>61</v>
      </c>
      <c r="SB58" s="7">
        <f>IFERROR(AVERAGEIF('Данные 2st'!$Q$2:$Q$317,$A58,'Данные 2st'!$ON$2:$ON$317),"")</f>
        <v>1</v>
      </c>
      <c r="SC58" s="7">
        <f>IFERROR(AVERAGEIF('Данные 2st'!$Q$2:$Q$317,$A58,'Данные 2st'!$OO$2:$OO$317),"")</f>
        <v>1971.6666666666667</v>
      </c>
      <c r="SD58" s="7">
        <f>IFERROR(AVERAGEIF('Данные 2st'!$Q$2:$Q$317,$A58,'Данные 2st'!$OP$2:$OP$317),"")</f>
        <v>61</v>
      </c>
      <c r="SE58" s="7">
        <f>IFERROR(AVERAGEIF('Данные 2st'!$Q$2:$Q$317,$A58,'Данные 2st'!$OQ$2:$OQ$317),"")</f>
        <v>61</v>
      </c>
      <c r="SF58" s="7">
        <f>IFERROR(AVERAGEIF('Данные 2st'!$Q$2:$Q$317,$A58,'Данные 2st'!$OS$2:$OS$317),"")</f>
        <v>1</v>
      </c>
      <c r="SG58" s="7">
        <f>IFERROR(AVERAGEIF('Данные 2st'!$Q$2:$Q$317,$A58,'Данные 2st'!$OT$2:$OT$317),"")</f>
        <v>1983.6666666666667</v>
      </c>
      <c r="SH58" s="7">
        <f>IFERROR(AVERAGEIF('Данные 2st'!$Q$2:$Q$317,$A58,'Данные 2st'!$OU$2:$OU$317),"")</f>
        <v>65</v>
      </c>
      <c r="SI58" s="7">
        <f>IFERROR(AVERAGEIF('Данные 2st'!$Q$2:$Q$317,$A58,'Данные 2st'!$OV$2:$OV$317),"")</f>
        <v>65</v>
      </c>
      <c r="SJ58" s="7">
        <f>IFERROR(AVERAGEIF('Данные 2st'!$Q$2:$Q$317,$A58,'Данные 2st'!$OX$2:$OX$317),"")</f>
        <v>1.6666666666666667</v>
      </c>
      <c r="SK58" s="7">
        <f>IFERROR(AVERAGEIF('Данные 2st'!$Q$2:$Q$317,$A58,'Данные 2st'!$OY$2:$OY$317),"")</f>
        <v>44224.666666666664</v>
      </c>
      <c r="SL58" s="7">
        <f>IFERROR(AVERAGEIF('Данные 2st'!$Q$2:$Q$317,$A58,'Данные 2st'!$OZ$2:$OZ$317),"")</f>
        <v>51</v>
      </c>
      <c r="SM58" s="7">
        <f>IFERROR(AVERAGEIF('Данные 2st'!$Q$2:$Q$317,$A58,'Данные 2st'!$PA$2:$PA$317),"")</f>
        <v>51.666666666666664</v>
      </c>
      <c r="SN58" s="7">
        <f>IFERROR(AVERAGEIF('Данные 2st'!$Q$2:$Q$317,$A58,'Данные 2st'!$PC$2:$PC$317),"")</f>
        <v>1.6666666666666667</v>
      </c>
      <c r="SO58" s="7">
        <f>IFERROR(AVERAGEIF('Данные 2st'!$Q$2:$Q$317,$A58,'Данные 2st'!$PD$2:$PD$317),"")</f>
        <v>2017</v>
      </c>
      <c r="SP58" s="7">
        <f>IFERROR(AVERAGEIF('Данные 2st'!$Q$2:$Q$317,$A58,'Данные 2st'!$PF$2:$PF$317),"")</f>
        <v>474.6666666666667</v>
      </c>
      <c r="SQ58" s="7">
        <f>IFERROR(AVERAGEIF('Данные 2st'!$Q$2:$Q$317,$A58,'Данные 2st'!$PG$2:$PG$317),"")</f>
        <v>35</v>
      </c>
      <c r="SR58" s="7">
        <f>IFERROR(AVERAGEIF('Данные 2st'!$Q$2:$Q$317,$A58,'Данные 2st'!$PH$2:$PH$317),"")</f>
        <v>452.3333333333333</v>
      </c>
      <c r="SS58" s="7">
        <f>IFERROR(AVERAGEIF('Данные 2st'!$Q$2:$Q$317,$A58,'Данные 2st'!$PI$2:$PI$317),"")</f>
        <v>0</v>
      </c>
      <c r="ST58" s="7">
        <f>IFERROR(AVERAGEIF('Данные 2st'!$Q$2:$Q$317,$A58,'Данные 2st'!$PJ$2:$PJ$317),"")</f>
        <v>77.7</v>
      </c>
      <c r="SU58" s="7">
        <f>IFERROR(AVERAGEIF('Данные 2st'!$Q$2:$Q$317,$A58,'Данные 2st'!$PK$2:$PK$317),"")</f>
        <v>2201</v>
      </c>
      <c r="SV58" s="7">
        <f>IFERROR(AVERAGEIF('Данные 2st'!$Q$2:$Q$317,$A58,'Данные 2st'!$PL$2:$PL$317),"")</f>
        <v>1132.4666666666667</v>
      </c>
      <c r="SW58" s="7">
        <f>IFERROR(AVERAGEIF('Данные 2st'!$Q$2:$Q$317,$A58,'Данные 2st'!$PM$2:$PM$317),"")</f>
        <v>987.8333333333334</v>
      </c>
      <c r="SX58" s="7">
        <f>IFERROR(AVERAGEIF('Данные 2st'!$Q$2:$Q$317,$A58,'Данные 2st'!$PN$2:$PN$317),"")</f>
        <v>104.10000000000001</v>
      </c>
      <c r="SY58" s="7">
        <f>IFERROR(AVERAGEIF('Данные 2st'!$Q$2:$Q$317,$A58,'Данные 2st'!$PO$2:$PO$317),"")</f>
        <v>9.933333333333334</v>
      </c>
      <c r="SZ58" s="7">
        <f>IFERROR(AVERAGEIF('Данные 2st'!$Q$2:$Q$317,$A58,'Данные 2st'!$PP$2:$PP$317),"")</f>
        <v>12</v>
      </c>
      <c r="TA58" s="7">
        <f>IFERROR(AVERAGEIF('Данные 2st'!$Q$2:$Q$317,$A58,'Данные 2st'!$PQ$2:$PQ$317),"")</f>
        <v>2.3333333333333335</v>
      </c>
      <c r="TB58" s="7">
        <f>IFERROR(AVERAGEIF('Данные 2st'!$Q$2:$Q$317,$A58,'Данные 2st'!$PR$2:$PR$317),"")</f>
        <v>3</v>
      </c>
      <c r="TC58" s="7">
        <f>IFERROR(AVERAGEIF('Данные 2st'!$Q$2:$Q$317,$A58,'Данные 2st'!$PS$2:$PS$317),"")</f>
        <v>8</v>
      </c>
      <c r="TD58" s="7">
        <f>IFERROR(AVERAGEIF('Данные 2st'!$Q$2:$Q$317,$A58,'Данные 2st'!$PT$2:$PT$317),"")</f>
        <v>251.33333333333334</v>
      </c>
      <c r="TE58" s="7">
        <f>IFERROR(AVERAGEIF('Данные 2st'!$Q$2:$Q$317,$A58,'Данные 2st'!$PU$2:$PU$317),"")</f>
        <v>10.666666666666666</v>
      </c>
      <c r="TF58" s="7">
        <f>IFERROR(AVERAGEIF('Данные 2st'!$Q$2:$Q$317,$A58,'Данные 2st'!$PX$2:$PX$317),"")</f>
        <v>0</v>
      </c>
      <c r="TG58" s="7">
        <f>IFERROR(AVERAGEIF('Данные 2st'!$Q$2:$Q$317,$A58,'Данные 2st'!$PY$2:$PY$317),"")</f>
        <v>0</v>
      </c>
      <c r="TH58" s="7">
        <f>IFERROR(AVERAGEIF('Данные 2st'!$Q$2:$Q$317,$A58,'Данные 2st'!$PZ$2:$PZ$317),"")</f>
        <v>0</v>
      </c>
      <c r="TI58" s="7">
        <f>IFERROR(AVERAGEIF('Данные 2st'!$Q$2:$Q$317,$A58,'Данные 2st'!$QA$2:$QA$317),"")</f>
        <v>0</v>
      </c>
      <c r="TJ58" s="7">
        <f>IFERROR(AVERAGEIF('Данные 2st'!$Q$2:$Q$317,$A58,'Данные 2st'!$QB$2:$QB$317),"")</f>
        <v>0</v>
      </c>
      <c r="TK58" s="7">
        <f>IFERROR(AVERAGEIF('Данные 2st'!$Q$2:$Q$317,$A58,'Данные 2st'!$QC$2:$QC$317),"")</f>
        <v>0</v>
      </c>
      <c r="TL58" s="7">
        <f>IFERROR(AVERAGEIF('Данные 2st'!$Q$2:$Q$317,$A58,'Данные 2st'!$QD$2:$QD$317),"")</f>
        <v>0</v>
      </c>
      <c r="TM58" s="7">
        <f>IFERROR(AVERAGEIF('Данные 2st'!$Q$2:$Q$317,$A58,'Данные 2st'!$QE$2:$QE$317),"")</f>
        <v>-1</v>
      </c>
      <c r="TN58" s="7">
        <f>IFERROR(AVERAGEIF('Данные 2st'!$Q$2:$Q$317,$A58,'Данные 2st'!$QF$2:$QF$317),"")</f>
        <v>1</v>
      </c>
      <c r="TO58" s="7">
        <f>IFERROR(AVERAGEIF('Данные 2st'!$Q$2:$Q$317,$A58,'Данные 2st'!$QG$2:$QG$317),"")</f>
        <v>0</v>
      </c>
      <c r="TP58" s="7">
        <f>IFERROR(AVERAGEIF('Данные 2st'!$Q$2:$Q$317,$A58,'Данные 2st'!$QH$2:$QH$317),"")</f>
        <v>5</v>
      </c>
      <c r="TQ58" s="7">
        <f>IFERROR(AVERAGEIF('Данные 2st'!$Q$2:$Q$317,$A58,'Данные 2st'!$QI$2:$QI$317),"")</f>
        <v>5</v>
      </c>
      <c r="TR58" s="7">
        <f>IFERROR(AVERAGEIF('Данные 2st'!$Q$2:$Q$317,$A58,'Данные 2st'!$QJ$2:$QJ$317),"")</f>
        <v>5</v>
      </c>
      <c r="TS58" s="7">
        <f>IFERROR(AVERAGEIF('Данные 2st'!$Q$2:$Q$317,$A58,'Данные 2st'!$QK$2:$QK$317),"")</f>
        <v>176.33333333333334</v>
      </c>
      <c r="TT58" s="7">
        <f>IFERROR(AVERAGEIF('Данные 2st'!$Q$2:$Q$317,$A58,'Данные 2st'!$QL$2:$QL$317),"")</f>
        <v>397.3333333333333</v>
      </c>
      <c r="TU58" s="7">
        <f>IFERROR(AVERAGEIF('Данные 2st'!$Q$2:$Q$317,$A58,'Данные 2st'!$QM$2:$QM$317),"")</f>
        <v>7.5</v>
      </c>
      <c r="TV58" s="7">
        <f>IFERROR(AVERAGEIF('Данные 2st'!$Q$2:$Q$317,$A58,'Данные 2st'!$QN$2:$QN$317),"")</f>
        <v>1461.1</v>
      </c>
      <c r="TW58" s="7">
        <f>IFERROR(AVERAGEIF('Данные 2st'!$Q$2:$Q$317,$A58,'Данные 2st'!$QQ$2:$QQ$317),"")</f>
        <v>0</v>
      </c>
      <c r="TX58" s="7">
        <f>IFERROR(AVERAGEIF('Данные 2st'!$Q$2:$Q$317,$A58,'Данные 2st'!$QS$2:$QS$317),"")</f>
        <v>30</v>
      </c>
      <c r="TY58" s="7">
        <f>IFERROR(AVERAGEIF('Данные 2st'!$Q$2:$Q$317,$A58,'Данные 2st'!$QT$2:$QT$317),"")</f>
        <v>40</v>
      </c>
    </row>
    <row r="59" spans="1:545" ht="32" customHeight="1">
      <c r="A59" s="11" t="s">
        <v>913</v>
      </c>
      <c r="B59">
        <f>COUNTIF('Данные 1st'!$S$2:$S$317,$A59)</f>
        <v>2</v>
      </c>
      <c r="C59" s="6" t="s">
        <v>5111</v>
      </c>
      <c r="D59" s="6" t="s">
        <v>513</v>
      </c>
      <c r="E59" s="6" t="s">
        <v>5125</v>
      </c>
      <c r="F59" s="6" t="s">
        <v>5175</v>
      </c>
      <c r="G59" s="7">
        <f>IFERROR(AVERAGEIF('Данные 1st'!$S$2:$S$317,$A59,'Данные 1st'!$AE$2:$AE$317),"")</f>
        <v>201</v>
      </c>
      <c r="H59" s="7">
        <f>IFERROR(AVERAGEIF('Данные 1st'!$S$2:$S$317,$A59,'Данные 1st'!$AF$2:$AF$317),"")</f>
        <v>1.5</v>
      </c>
      <c r="I59" s="7">
        <f>IFERROR(AVERAGEIF('Данные 1st'!$S$2:$S$317,$A59,'Данные 1st'!$AJ$2:$AJ$317),"")</f>
        <v>183.75</v>
      </c>
      <c r="J59" s="7">
        <f>IFERROR(AVERAGEIF('Данные 1st'!$S$2:$S$317,$A59,'Данные 1st'!$AL$2:$AL$317),"")</f>
        <v>1.5</v>
      </c>
      <c r="K59" s="7">
        <f>IFERROR(AVERAGEIF('Данные 1st'!$S$2:$S$317,$A59,'Данные 1st'!$AR$2:$AR$317),"")</f>
        <v>225</v>
      </c>
      <c r="L59" s="7">
        <f>IFERROR(AVERAGEIF('Данные 1st'!$S$2:$S$317,$A59,'Данные 1st'!$AS$2:$AS$317),"")</f>
        <v>1.5</v>
      </c>
      <c r="M59" s="7">
        <f>IFERROR(AVERAGEIF('Данные 1st'!$S$2:$S$317,$A59,'Данные 1st'!$AY$2:$AY$317),"")</f>
        <v>290.0</v>
      </c>
      <c r="N59" s="7">
        <f>IFERROR(AVERAGEIF('Данные 1st'!$S$2:$S$317,$A59,'Данные 1st'!$AZ$2:$AZ$317),"")</f>
        <v>1.5</v>
      </c>
      <c r="O59" s="7">
        <f>IFERROR(AVERAGEIF('Данные 1st'!$S$2:$S$317,$A59,'Данные 1st'!$BF$2:$BF$317),"")</f>
        <v>222.5</v>
      </c>
      <c r="P59" s="7">
        <f>IFERROR(AVERAGEIF('Данные 1st'!$S$2:$S$317,$A59,'Данные 1st'!$BG$2:$BG$317),"")</f>
        <v>1.5</v>
      </c>
      <c r="Q59" s="7">
        <f>IFERROR(AVERAGEIF('Данные 1st'!$S$2:$S$317,$A59,'Данные 1st'!$BM$2:$BM$317),"")</f>
        <v/>
      </c>
      <c r="R59" s="7">
        <f>IFERROR(AVERAGEIF('Данные 1st'!$S$2:$S$317,$A59,'Данные 1st'!$BN$2:$BN$317),"")</f>
        <v>1.5</v>
      </c>
      <c r="S59" s="7">
        <f>IFERROR(AVERAGEIF('Данные 1st'!$S$2:$S$317,$A59,'Данные 1st'!$BT$2:$BT$317),"")</f>
        <v>200.5</v>
      </c>
      <c r="T59" s="7">
        <f>IFERROR(AVERAGEIF('Данные 1st'!$S$2:$S$317,$A59,'Данные 1st'!$BU$2:$BU$317),"")</f>
        <v>0.5</v>
      </c>
      <c r="U59" s="7">
        <f>IFERROR(AVERAGEIF('Данные 1st'!$S$2:$S$317,$A59,'Данные 1st'!$BW$2:$BW$317),"")</f>
        <v>401</v>
      </c>
      <c r="V59" s="7">
        <f>IFERROR(AVERAGEIF('Данные 1st'!$S$2:$S$317,$A59,'Данные 1st'!$BX$2:$BX$317),"")</f>
        <v>1</v>
      </c>
      <c r="W59" s="7">
        <f>IFERROR(AVERAGEIF('Данные 1st'!$S$2:$S$317,$A59,'Данные 1st'!$BZ$2:$BZ$317),"")</f>
        <v>300</v>
      </c>
      <c r="X59" s="7">
        <f>IFERROR(AVERAGEIF('Данные 1st'!$S$2:$S$317,$A59,'Данные 1st'!$CA$2:$CA$317),"")</f>
        <v>460</v>
      </c>
      <c r="Y59" s="7">
        <f>IFERROR(AVERAGEIF('Данные 1st'!$S$2:$S$317,$A59,'Данные 1st'!$CD$2:$CD$317),"")</f>
        <v>425</v>
      </c>
      <c r="Z59" s="7">
        <f>IFERROR(AVERAGEIF('Данные 1st'!$S$2:$S$317,$A59,'Данные 1st'!$CF$2:$CF$317),"")</f>
        <v>15</v>
      </c>
      <c r="AA59" s="7">
        <f>IFERROR(AVERAGEIF('Данные 1st'!$S$2:$S$317,$A59,'Данные 1st'!$CI$2:$CI$317),"")</f>
        <v>80</v>
      </c>
      <c r="AB59" s="7">
        <f>IFERROR(AVERAGEIF('Данные 1st'!$S$2:$S$317,$A59,'Данные 1st'!$CJ$2:$CJ$317),"")</f>
        <v>1458</v>
      </c>
      <c r="AC59" s="7">
        <f>IFERROR(AVERAGEIF('Данные 1st'!$S$2:$S$317,$A59,'Данные 1st'!$CK$2:$CK$317),"")</f>
        <v>2</v>
      </c>
      <c r="AD59" s="7">
        <f>IFERROR(AVERAGEIF('Данные 1st'!$S$2:$S$317,$A59,'Данные 1st'!$CL$2:$CL$317),"")</f>
        <v>1552</v>
      </c>
      <c r="AE59" s="7">
        <f>IFERROR(AVERAGEIF('Данные 1st'!$S$2:$S$317,$A59,'Данные 1st'!$CM$2:$CM$317),"")</f>
        <v>2</v>
      </c>
      <c r="AF59" s="7">
        <f>IFERROR(AVERAGEIF('Данные 1st'!$S$2:$S$317,$A59,'Данные 1st'!$CT$2:$CT$317),"")</f>
        <v>367.5</v>
      </c>
      <c r="AG59" s="7">
        <f>IFERROR(AVERAGEIF('Данные 1st'!$S$2:$S$317,$A59,'Данные 1st'!$CU$2:$CU$317),"")</f>
        <v>5</v>
      </c>
      <c r="AH59" s="7">
        <f>IFERROR(AVERAGEIF('Данные 1st'!$S$2:$S$317,$A59,'Данные 1st'!$CV$2:$CV$317),"")</f>
        <v>1.25</v>
      </c>
      <c r="AI59" s="7">
        <f>IFERROR(AVERAGEIF('Данные 1st'!$S$2:$S$317,$A59,'Данные 1st'!$CW$2:$CW$317),"")</f>
        <v>1475</v>
      </c>
      <c r="AJ59" s="7">
        <f>IFERROR(AVERAGEIF('Данные 1st'!$S$2:$S$317,$A59,'Данные 1st'!$CX$2:$CX$317),"")</f>
        <v>800.5</v>
      </c>
      <c r="AK59" s="7">
        <f>IFERROR(AVERAGEIF('Данные 1st'!$S$2:$S$317,$A59,'Данные 1st'!$CZ$2:$CZ$317),"")</f>
        <v>50</v>
      </c>
      <c r="AL59" s="7">
        <f>IFERROR(AVERAGEIF('Данные 1st'!$S$2:$S$317,$A59,'Данные 1st'!$DA$2:$DA$317),"")</f>
        <v>3</v>
      </c>
      <c r="AM59" s="7">
        <f>IFERROR(AVERAGEIF('Данные 1st'!$S$2:$S$317,$A59,'Данные 1st'!$DB$2:$DB$317),"")</f>
        <v>1</v>
      </c>
      <c r="AN59" s="7">
        <f>IFERROR(AVERAGEIF('Данные 1st'!$S$2:$S$317,$A59,'Данные 1st'!$DC$2:$DC$317),"")</f>
        <v>1475</v>
      </c>
      <c r="AO59" s="7">
        <f>IFERROR(AVERAGEIF('Данные 1st'!$S$2:$S$317,$A59,'Данные 1st'!$DD$2:$DD$317),"")</f>
        <v>77</v>
      </c>
      <c r="AP59" s="7">
        <f>IFERROR(AVERAGEIF('Данные 1st'!$S$2:$S$317,$A59,'Данные 1st'!$DF$2:$DF$317),"")</f>
        <v>580</v>
      </c>
      <c r="AQ59" s="7">
        <f>IFERROR(AVERAGEIF('Данные 1st'!$S$2:$S$317,$A59,'Данные 1st'!$DG$2:$DG$317),"")</f>
        <v>3</v>
      </c>
      <c r="AR59" s="7">
        <f>IFERROR(AVERAGEIF('Данные 1st'!$S$2:$S$317,$A59,'Данные 1st'!$DH$2:$DH$317),"")</f>
        <v>1.03</v>
      </c>
      <c r="AS59" s="7">
        <f>IFERROR(AVERAGEIF('Данные 1st'!$S$2:$S$317,$A59,'Данные 1st'!$DI$2:$DI$317),"")</f>
        <v>1468</v>
      </c>
      <c r="AT59" s="7">
        <f>IFERROR(AVERAGEIF('Данные 1st'!$S$2:$S$317,$A59,'Данные 1st'!$DJ$2:$DJ$317),"")</f>
        <v>1186.5</v>
      </c>
      <c r="AU59" s="7">
        <f>IFERROR(AVERAGEIF('Данные 1st'!$S$2:$S$317,$A59,'Данные 1st'!$DL$2:$DL$317),"")</f>
        <v>445</v>
      </c>
      <c r="AV59" s="7">
        <f>IFERROR(AVERAGEIF('Данные 1st'!$S$2:$S$317,$A59,'Данные 1st'!$DM$2:$DM$317),"")</f>
        <v>3</v>
      </c>
      <c r="AW59" s="7">
        <f>IFERROR(AVERAGEIF('Данные 1st'!$S$2:$S$317,$A59,'Данные 1st'!$DN$2:$DN$317),"")</f>
        <v>0.88</v>
      </c>
      <c r="AX59" s="7">
        <f>IFERROR(AVERAGEIF('Данные 1st'!$S$2:$S$317,$A59,'Данные 1st'!$DO$2:$DO$317),"")</f>
        <v>1473</v>
      </c>
      <c r="AY59" s="7">
        <f>IFERROR(AVERAGEIF('Данные 1st'!$S$2:$S$317,$A59,'Данные 1st'!$DP$2:$DP$317),"")</f>
        <v>801</v>
      </c>
      <c r="AZ59" s="7">
        <f>IFERROR(AVERAGEIF('Данные 1st'!$S$2:$S$317,$A59,'Данные 1st'!$DR$2:$DR$317),"")</f>
        <v/>
      </c>
      <c r="BA59" s="7">
        <f>IFERROR(AVERAGEIF('Данные 1st'!$S$2:$S$317,$A59,'Данные 1st'!$DS$2:$DS$317),"")</f>
        <v/>
      </c>
      <c r="BB59" s="7">
        <f>IFERROR(AVERAGEIF('Данные 1st'!$S$2:$S$317,$A59,'Данные 1st'!$DT$2:$DT$317),"")</f>
        <v/>
      </c>
      <c r="BC59" s="7">
        <f>IFERROR(AVERAGEIF('Данные 1st'!$S$2:$S$317,$A59,'Данные 1st'!$DU$2:$DU$317),"")</f>
        <v/>
      </c>
      <c r="BD59" s="7">
        <f>IFERROR(AVERAGEIF('Данные 1st'!$S$2:$S$317,$A59,'Данные 1st'!$DV$2:$DV$317),"")</f>
        <v/>
      </c>
      <c r="BE59" s="7">
        <f>IFERROR(AVERAGEIF('Данные 1st'!$S$2:$S$317,$A59,'Данные 1st'!$DX$2:$DX$317),"")</f>
        <v>7.5</v>
      </c>
      <c r="BF59" s="7">
        <f>IFERROR(AVERAGEIF('Данные 1st'!$S$2:$S$317,$A59,'Данные 1st'!$EA$2:$EA$317),"")</f>
        <v>1542.5</v>
      </c>
      <c r="BG59" s="7">
        <f>IFERROR(AVERAGEIF('Данные 1st'!$S$2:$S$317,$A59,'Данные 1st'!$EB$2:$EB$317),"")</f>
        <v>281.5</v>
      </c>
      <c r="BH59" s="7">
        <f>IFERROR(AVERAGEIF('Данные 1st'!$S$2:$S$317,$A59,'Данные 1st'!$ED$2:$ED$317),"")</f>
        <v>32.5</v>
      </c>
      <c r="BI59" s="7">
        <f>IFERROR(AVERAGEIF('Данные 1st'!$S$2:$S$317,$A59,'Данные 1st'!$EE$2:$EE$317),"")</f>
        <v>3</v>
      </c>
      <c r="BJ59" s="7">
        <f>IFERROR(AVERAGEIF('Данные 1st'!$S$2:$S$317,$A59,'Данные 1st'!$EG$2:$EG$317),"")</f>
        <v>1583.5</v>
      </c>
      <c r="BK59" s="7">
        <f>IFERROR(AVERAGEIF('Данные 1st'!$S$2:$S$317,$A59,'Данные 1st'!$EH$2:$EH$317),"")</f>
        <v>203.5</v>
      </c>
      <c r="BL59" s="7">
        <f>IFERROR(AVERAGEIF('Данные 1st'!$S$2:$S$317,$A59,'Данные 1st'!$EJ$2:$EJ$317),"")</f>
        <v>0</v>
      </c>
      <c r="BM59" s="7">
        <f>IFERROR(AVERAGEIF('Данные 1st'!$S$2:$S$317,$A59,'Данные 1st'!$EK$2:$EK$317),"")</f>
        <v>1</v>
      </c>
      <c r="BN59" s="7">
        <f>IFERROR(AVERAGEIF('Данные 1st'!$S$2:$S$317,$A59,'Данные 1st'!$EN$2:$EN$317),"")</f>
        <v>0</v>
      </c>
      <c r="BO59" s="7">
        <f>IFERROR(AVERAGEIF('Данные 1st'!$S$2:$S$317,$A59,'Данные 1st'!$EQ$2:$EQ$317),"")</f>
        <v>87.5</v>
      </c>
      <c r="BP59" s="7">
        <f>IFERROR(AVERAGEIF('Данные 1st'!$S$2:$S$317,$A59,'Данные 1st'!$ER$2:$ER$317),"")</f>
        <v>3</v>
      </c>
      <c r="BQ59" s="7">
        <f>IFERROR(AVERAGEIF('Данные 1st'!$S$2:$S$317,$A59,'Данные 1st'!$ES$2:$ES$317),"")</f>
        <v>5.65</v>
      </c>
      <c r="BR59" s="7">
        <f>IFERROR(AVERAGEIF('Данные 1st'!$S$2:$S$317,$A59,'Данные 1st'!$ET$2:$ET$317),"")</f>
        <v>1455</v>
      </c>
      <c r="BS59" s="7">
        <f>IFERROR(AVERAGEIF('Данные 1st'!$S$2:$S$317,$A59,'Данные 1st'!$EU$2:$EU$317),"")</f>
        <v>392.15</v>
      </c>
      <c r="BT59" s="7">
        <f>IFERROR(AVERAGEIF('Данные 1st'!$S$2:$S$317,$A59,'Данные 1st'!$EV$2:$EV$317),"")</f>
        <v>570.5</v>
      </c>
      <c r="BU59" s="7">
        <f>IFERROR(AVERAGEIF('Данные 1st'!$S$2:$S$317,$A59,'Данные 1st'!$EX$2:$EX$317),"")</f>
        <v>45</v>
      </c>
      <c r="BV59" s="7">
        <f>IFERROR(AVERAGEIF('Данные 1st'!$S$2:$S$317,$A59,'Данные 1st'!$EY$2:$EY$317),"")</f>
        <v>2</v>
      </c>
      <c r="BW59" s="7">
        <f>IFERROR(AVERAGEIF('Данные 1st'!$S$2:$S$317,$A59,'Данные 1st'!$EZ$2:$EZ$317),"")</f>
        <v>4.5</v>
      </c>
      <c r="BX59" s="7">
        <f>IFERROR(AVERAGEIF('Данные 1st'!$S$2:$S$317,$A59,'Данные 1st'!$FA$2:$FA$317),"")</f>
        <v>1455</v>
      </c>
      <c r="BY59" s="7">
        <f>IFERROR(AVERAGEIF('Данные 1st'!$S$2:$S$317,$A59,'Данные 1st'!$FB$2:$FB$317),"")</f>
        <v>144.95</v>
      </c>
      <c r="BZ59" s="7">
        <f>IFERROR(AVERAGEIF('Данные 1st'!$S$2:$S$317,$A59,'Данные 1st'!$FC$2:$FC$317),"")</f>
        <v>211</v>
      </c>
      <c r="CA59" s="7">
        <f>IFERROR(AVERAGEIF('Данные 1st'!$S$2:$S$317,$A59,'Данные 1st'!$FE$2:$FE$317),"")</f>
        <v>0</v>
      </c>
      <c r="CB59" s="7">
        <f>IFERROR(AVERAGEIF('Данные 1st'!$S$2:$S$317,$A59,'Данные 1st'!$FF$2:$FF$317),"")</f>
        <v>2</v>
      </c>
      <c r="CC59" s="7">
        <f>IFERROR(AVERAGEIF('Данные 1st'!$S$2:$S$317,$A59,'Данные 1st'!$FI$2:$FI$317),"")</f>
        <v>0</v>
      </c>
      <c r="CD59" s="7">
        <f>IFERROR(AVERAGEIF('Данные 1st'!$S$2:$S$317,$A59,'Данные 1st'!$FL$2:$FL$317),"")</f>
        <v>0.4</v>
      </c>
      <c r="CE59" s="7">
        <f>IFERROR(AVERAGEIF('Данные 1st'!$S$2:$S$317,$A59,'Данные 1st'!$FM$2:$FM$317),"")</f>
        <v>55</v>
      </c>
      <c r="CF59" s="7">
        <f>IFERROR(AVERAGEIF('Данные 1st'!$S$2:$S$317,$A59,'Данные 1st'!$FN$2:$FN$317),"")</f>
        <v>330</v>
      </c>
      <c r="CG59" s="7">
        <f>IFERROR(AVERAGEIF('Данные 1st'!$S$2:$S$317,$A59,'Данные 1st'!$FO$2:$FO$317),"")</f>
        <v>65</v>
      </c>
      <c r="CH59" s="7">
        <f>IFERROR(AVERAGEIF('Данные 1st'!$S$2:$S$317,$A59,'Данные 1st'!$FP$2:$FP$317),"")</f>
        <v>140</v>
      </c>
      <c r="CI59" s="7">
        <f>IFERROR(AVERAGEIF('Данные 1st'!$S$2:$S$317,$A59,'Данные 1st'!$FS$2:$FS$317),"")</f>
        <v>0.4</v>
      </c>
      <c r="CJ59" s="7">
        <f>IFERROR(AVERAGEIF('Данные 1st'!$S$2:$S$317,$A59,'Данные 1st'!$FT$2:$FT$317),"")</f>
        <v>30</v>
      </c>
      <c r="CK59" s="7">
        <f>IFERROR(AVERAGEIF('Данные 1st'!$S$2:$S$317,$A59,'Данные 1st'!$FU$2:$FU$317),"")</f>
        <v>360</v>
      </c>
      <c r="CL59" s="7">
        <f>IFERROR(AVERAGEIF('Данные 1st'!$S$2:$S$317,$A59,'Данные 1st'!$FV$2:$FV$317),"")</f>
        <v/>
      </c>
      <c r="CM59" s="7">
        <f>IFERROR(AVERAGEIF('Данные 1st'!$S$2:$S$317,$A59,'Данные 1st'!$FW$2:$FW$317),"")</f>
        <v/>
      </c>
      <c r="CN59" s="7">
        <f>IFERROR(AVERAGEIF('Данные 1st'!$S$2:$S$317,$A59,'Данные 1st'!$FZ$2:$FZ$317),"")</f>
        <v/>
      </c>
      <c r="CO59" s="7">
        <f>IFERROR(AVERAGEIF('Данные 1st'!$S$2:$S$317,$A59,'Данные 1st'!$GA$2:$GA$317),"")</f>
        <v/>
      </c>
      <c r="CP59" s="7">
        <f>IFERROR(AVERAGEIF('Данные 1st'!$S$2:$S$317,$A59,'Данные 1st'!$GB$2:$GB$317),"")</f>
        <v/>
      </c>
      <c r="CQ59" s="7">
        <f>IFERROR(AVERAGEIF('Данные 1st'!$S$2:$S$317,$A59,'Данные 1st'!$GH$2:$GH$317),"")</f>
        <v/>
      </c>
      <c r="CR59" s="7">
        <f>IFERROR(AVERAGEIF('Данные 1st'!$S$2:$S$317,$A59,'Данные 1st'!$GI$2:$GI$317),"")</f>
        <v/>
      </c>
      <c r="CS59" s="7">
        <f>IFERROR(AVERAGEIF('Данные 1st'!$S$2:$S$317,$A59,'Данные 1st'!$GJ$2:$GJ$317),"")</f>
        <v/>
      </c>
      <c r="CT59" s="7">
        <f>IFERROR(AVERAGEIF('Данные 1st'!$S$2:$S$317,$A59,'Данные 1st'!$GS$2:$GS$317),"")</f>
        <v>0.6</v>
      </c>
      <c r="CU59" s="7">
        <f>IFERROR(AVERAGEIF('Данные 1st'!$S$2:$S$317,$A59,'Данные 1st'!$GT$2:$GT$317),"")</f>
        <v>80</v>
      </c>
      <c r="CV59" s="7">
        <f>IFERROR(AVERAGEIF('Данные 1st'!$S$2:$S$317,$A59,'Данные 1st'!$GU$2:$GU$317),"")</f>
        <v>260</v>
      </c>
      <c r="CW59" s="7">
        <f>IFERROR(AVERAGEIF('Данные 1st'!$S$2:$S$317,$A59,'Данные 1st'!$GV$2:$GV$317),"")</f>
        <v/>
      </c>
      <c r="CX59" s="7">
        <f>IFERROR(AVERAGEIF('Данные 1st'!$S$2:$S$317,$A59,'Данные 1st'!$GW$2:$GW$317),"")</f>
        <v/>
      </c>
      <c r="CY59" s="7">
        <f>IFERROR(AVERAGEIF('Данные 1st'!$S$2:$S$317,$A59,'Данные 1st'!$GZ$2:$GZ$317),"")</f>
        <v/>
      </c>
      <c r="CZ59" s="7">
        <f>IFERROR(AVERAGEIF('Данные 1st'!$S$2:$S$317,$A59,'Данные 1st'!$HA$2:$HA$317),"")</f>
        <v/>
      </c>
      <c r="DA59" s="7">
        <f>IFERROR(AVERAGEIF('Данные 1st'!$S$2:$S$317,$A59,'Данные 1st'!$HB$2:$HB$317),"")</f>
        <v/>
      </c>
      <c r="DB59" s="7">
        <f>IFERROR(AVERAGEIF('Данные 1st'!$S$2:$S$317,$A59,'Данные 1st'!$HC$2:$HC$317),"")</f>
        <v>0.1</v>
      </c>
      <c r="DC59" s="7">
        <f>IFERROR(AVERAGEIF('Данные 1st'!$S$2:$S$317,$A59,'Данные 1st'!$HD$2:$HD$317),"")</f>
        <v>3</v>
      </c>
      <c r="DD59" s="7">
        <f>IFERROR(AVERAGEIF('Данные 1st'!$S$2:$S$317,$A59,'Данные 1st'!$HE$2:$HE$317),"")</f>
        <v>3</v>
      </c>
      <c r="DE59" s="7">
        <f>IFERROR(AVERAGEIF('Данные 1st'!$S$2:$S$317,$A59,'Данные 1st'!$HF$2:$HF$317),"")</f>
        <v>3</v>
      </c>
      <c r="DF59" s="7">
        <f>IFERROR(AVERAGEIF('Данные 1st'!$S$2:$S$317,$A59,'Данные 1st'!$HG$2:$HG$317),"")</f>
        <v>3</v>
      </c>
      <c r="DG59" s="7">
        <f>IFERROR(AVERAGEIF('Данные 1st'!$S$2:$S$317,$A59,'Данные 1st'!$HH$2:$HH$317),"")</f>
        <v>3</v>
      </c>
      <c r="DH59" s="7">
        <f>IFERROR(AVERAGEIF('Данные 1st'!$S$2:$S$317,$A59,'Данные 1st'!$HI$2:$HI$317),"")</f>
        <v>117.5</v>
      </c>
      <c r="DI59" s="7">
        <f>IFERROR(AVERAGEIF('Данные 1st'!$S$2:$S$317,$A59,'Данные 1st'!$HJ$2:$HJ$317),"")</f>
        <v>3</v>
      </c>
      <c r="DJ59" s="7">
        <f>IFERROR(AVERAGEIF('Данные 1st'!$S$2:$S$317,$A59,'Данные 1st'!$HK$2:$HK$317),"")</f>
        <v>30</v>
      </c>
      <c r="DK59" s="7">
        <f>IFERROR(AVERAGEIF('Данные 1st'!$S$2:$S$317,$A59,'Данные 1st'!$HL$2:$HL$317),"")</f>
        <v>2</v>
      </c>
      <c r="DL59" s="7">
        <f>IFERROR(AVERAGEIF('Данные 1st'!$S$2:$S$317,$A59,'Данные 1st'!$HM$2:$HM$317),"")</f>
        <v>0</v>
      </c>
      <c r="DM59" s="7">
        <f>IFERROR(AVERAGEIF('Данные 1st'!$S$2:$S$317,$A59,'Данные 1st'!$HN$2:$HN$317),"")</f>
        <v>2</v>
      </c>
      <c r="DN59" s="7">
        <f>IFERROR(AVERAGEIF('Данные 1st'!$S$2:$S$317,$A59,'Данные 1st'!$HO$2:$HO$317),"")</f>
        <v>72.5</v>
      </c>
      <c r="DO59" s="7">
        <f>IFERROR(AVERAGEIF('Данные 1st'!$S$2:$S$317,$A59,'Данные 1st'!$HP$2:$HP$317),"")</f>
        <v>3</v>
      </c>
      <c r="DP59" s="7">
        <f>IFERROR(AVERAGEIF('Данные 1st'!$S$2:$S$317,$A59,'Данные 1st'!$HQ$2:$HQ$317),"")</f>
        <v>0</v>
      </c>
      <c r="DQ59" s="7">
        <f>IFERROR(AVERAGEIF('Данные 1st'!$S$2:$S$317,$A59,'Данные 1st'!$HR$2:$HR$317),"")</f>
        <v>2</v>
      </c>
      <c r="DR59" s="7">
        <f>IFERROR(AVERAGEIF('Данные 1st'!$S$2:$S$317,$A59,'Данные 1st'!$HS$2:$HS$317),"")</f>
        <v>5074.5</v>
      </c>
      <c r="DS59" s="7">
        <f>IFERROR(AVERAGEIF('Данные 1st'!$S$2:$S$317,$A59,'Данные 1st'!$HT$2:$HT$317),"")</f>
        <v>150</v>
      </c>
      <c r="DT59" s="7">
        <f>IFERROR(AVERAGEIF('Данные 1st'!$S$2:$S$317,$A59,'Данные 1st'!$HU$2:$HU$317),"")</f>
        <v>180</v>
      </c>
      <c r="DU59" s="7">
        <f>IFERROR(AVERAGEIF('Данные 1st'!$S$2:$S$317,$A59,'Данные 1st'!$HW$2:$HW$317),"")</f>
        <v>10</v>
      </c>
      <c r="DV59" s="7">
        <f>IFERROR(AVERAGEIF('Данные 1st'!$S$2:$S$317,$A59,'Данные 1st'!$HX$2:$HX$317),"")</f>
        <v>445</v>
      </c>
      <c r="DW59" s="7">
        <f>IFERROR(AVERAGEIF('Данные 1st'!$S$2:$S$317,$A59,'Данные 1st'!$HY$2:$HY$317),"")</f>
        <v>0.18</v>
      </c>
      <c r="DX59" s="7">
        <f>IFERROR(AVERAGEIF('Данные 1st'!$S$2:$S$317,$A59,'Данные 1st'!$IA$2:$IA$317),"")</f>
        <v>0.15</v>
      </c>
      <c r="DY59" s="7">
        <f>IFERROR(AVERAGEIF('Данные 1st'!$S$2:$S$317,$A59,'Данные 1st'!$IB$2:$IB$317),"")</f>
        <v>0</v>
      </c>
      <c r="DZ59" s="7">
        <f>IFERROR(AVERAGEIF('Данные 1st'!$S$2:$S$317,$A59,'Данные 1st'!$IC$2:$IC$317),"")</f>
        <v>180</v>
      </c>
      <c r="EA59" s="7">
        <f>IFERROR(AVERAGEIF('Данные 1st'!$S$2:$S$317,$A59,'Данные 1st'!$ID$2:$ID$317),"")</f>
        <v>110</v>
      </c>
      <c r="EB59" s="7">
        <f>IFERROR(AVERAGEIF('Данные 1st'!$S$2:$S$317,$A59,'Данные 1st'!$IE$2:$IE$317),"")</f>
        <v>112.5</v>
      </c>
      <c r="EC59" s="7">
        <f>IFERROR(AVERAGEIF('Данные 1st'!$S$2:$S$317,$A59,'Данные 1st'!$IF$2:$IF$317),"")</f>
        <v>0</v>
      </c>
      <c r="ED59" s="7">
        <f>IFERROR(AVERAGEIF('Данные 1st'!$S$2:$S$317,$A59,'Данные 1st'!$IP$2:$IP$317),"")</f>
        <v>19</v>
      </c>
      <c r="EE59" s="7">
        <f>IFERROR(AVERAGEIF('Данные 1st'!$S$2:$S$317,$A59,'Данные 1st'!$IV$2:$IV$317),"")</f>
        <v>1458</v>
      </c>
      <c r="EF59" s="7">
        <f>IFERROR(AVERAGEIF('Данные 1st'!$S$2:$S$317,$A59,'Данные 1st'!$IW$2:$IW$317),"")</f>
        <v>401</v>
      </c>
      <c r="EG59" s="7">
        <f>IFERROR(AVERAGEIF('Данные 1st'!$S$2:$S$317,$A59,'Данные 1st'!$IX$2:$IX$317),"")</f>
        <v/>
      </c>
      <c r="EH59" s="7">
        <f>IFERROR(AVERAGEIF('Данные 1st'!$S$2:$S$317,$A59,'Данные 1st'!$IY$2:$IY$317),"")</f>
        <v>300</v>
      </c>
      <c r="EI59" s="7">
        <f>IFERROR(AVERAGEIF('Данные 1st'!$S$2:$S$317,$A59,'Данные 1st'!$JD$2:$JD$317),"")</f>
        <v>1475</v>
      </c>
      <c r="EJ59" s="7">
        <f>IFERROR(AVERAGEIF('Данные 1st'!$S$2:$S$317,$A59,'Данные 1st'!$JE$2:$JE$317),"")</f>
        <v>1468</v>
      </c>
      <c r="EK59" s="7">
        <f>IFERROR(AVERAGEIF('Данные 1st'!$S$2:$S$317,$A59,'Данные 1st'!$JF$2:$JF$317),"")</f>
        <v>736.5</v>
      </c>
      <c r="EL59" s="7">
        <f>IFERROR(AVERAGEIF('Данные 1st'!$S$2:$S$317,$A59,'Данные 1st'!$JG$2:$JG$317),"")</f>
        <v>1455</v>
      </c>
      <c r="EM59" s="7">
        <f>IFERROR(AVERAGEIF('Данные 1st'!$S$2:$S$317,$A59,'Данные 1st'!$JH$2:$JH$317),"")</f>
        <v>0</v>
      </c>
      <c r="EN59" s="7">
        <f>IFERROR(AVERAGEIF('Данные 1st'!$S$2:$S$317,$A59,'Данные 1st'!$JJ$2:$JJ$317),"")</f>
        <v>180</v>
      </c>
      <c r="EO59" s="7">
        <f>IFERROR(AVERAGEIF('Данные 1st'!$S$2:$S$317,$A59,'Данные 1st'!$JK$2:$JK$317),"")</f>
        <v>445</v>
      </c>
      <c r="EP59" s="7">
        <f>IFERROR(AVERAGEIF('Данные 1st'!$S$2:$S$317,$A59,'Данные 1st'!$JL$2:$JL$317),"")</f>
        <v/>
      </c>
      <c r="EQ59" s="7">
        <f>IFERROR(AVERAGEIF('Данные 1st'!$S$2:$S$317,$A59,'Данные 1st'!$JM$2:$JM$317),"")</f>
        <v/>
      </c>
      <c r="ER59" s="7">
        <f>IFERROR(AVERAGEIF('Данные 1st'!$S$2:$S$317,$A59,'Данные 1st'!$JN$2:$JN$317),"")</f>
        <v>367.5</v>
      </c>
      <c r="ES59" s="7">
        <f>IFERROR(AVERAGEIF('Данные 1st'!$S$2:$S$317,$A59,'Данные 1st'!$JO$2:$JO$317),"")</f>
        <v>580</v>
      </c>
      <c r="ET59" s="7">
        <f>IFERROR(AVERAGEIF('Данные 1st'!$S$2:$S$317,$A59,'Данные 1st'!$JP$2:$JP$317),"")</f>
        <v>222.5</v>
      </c>
      <c r="EU59" s="7">
        <f>IFERROR(AVERAGEIF('Данные 1st'!$S$2:$S$317,$A59,'Данные 1st'!$JQ$2:$JQ$317),"")</f>
        <v>0</v>
      </c>
      <c r="EV59" s="7">
        <f>IFERROR(AVERAGEIF('Данные 1st'!$S$2:$S$317,$A59,'Данные 1st'!$JR$2:$JR$317),"")</f>
        <v>402</v>
      </c>
      <c r="EW59" s="7">
        <f>IFERROR(AVERAGEIF('Данные 1st'!$S$2:$S$317,$A59,'Данные 1st'!$JS$2:$JS$317),"")</f>
        <v>117.5</v>
      </c>
      <c r="EX59" s="7">
        <f>IFERROR(AVERAGEIF('Данные 1st'!$S$2:$S$317,$A59,'Данные 1st'!$JT$2:$JT$317),"")</f>
        <v/>
      </c>
      <c r="EY59" s="7">
        <f>IFERROR(AVERAGEIF('Данные 1st'!$S$2:$S$317,$A59,'Данные 1st'!$JU$2:$JU$317),"")</f>
        <v/>
      </c>
      <c r="EZ59" s="7">
        <f>IFERROR(AVERAGEIF('Данные 1st'!$S$2:$S$317,$A59,'Данные 1st'!$JV$2:$JV$317),"")</f>
        <v>8</v>
      </c>
      <c r="FA59" s="7">
        <f>IFERROR(AVERAGEIF('Данные 1st'!$S$2:$S$317,$A59,'Данные 1st'!$JW$2:$JW$317),"")</f>
        <v/>
      </c>
      <c r="FB59" s="7">
        <f>IFERROR(AVERAGEIF('Данные 1st'!$S$2:$S$317,$A59,'Данные 1st'!$JX$2:$JX$317),"")</f>
        <v>450</v>
      </c>
      <c r="FC59" s="7">
        <f>IFERROR(AVERAGEIF('Данные 1st'!$S$2:$S$317,$A59,'Данные 1st'!$JY$2:$JY$317),"")</f>
        <v/>
      </c>
      <c r="FD59" s="7">
        <f>IFERROR(AVERAGEIF('Данные 1st'!$S$2:$S$317,$A59,'Данные 1st'!$JZ$2:$JZ$317),"")</f>
        <v/>
      </c>
      <c r="FE59" s="7">
        <f>IFERROR(AVERAGEIF('Данные 1st'!$S$2:$S$317,$A59,'Данные 1st'!$KA$2:$KA$317),"")</f>
        <v>112.5</v>
      </c>
      <c r="FF59" s="7">
        <f>IFERROR(AVERAGEIF('Данные 1st'!$S$2:$S$317,$A59,'Данные 1st'!$KB$2:$KB$317),"")</f>
        <v>110</v>
      </c>
      <c r="FG59" s="7">
        <f>IFERROR(AVERAGEIF('Данные 1st'!$S$2:$S$317,$A59,'Данные 1st'!$KC$2:$KC$317),"")</f>
        <v>0</v>
      </c>
      <c r="FH59" s="7">
        <f>IFERROR(AVERAGEIF('Данные 1st'!$S$2:$S$317,$A59,'Данные 1st'!$KD$2:$KD$317),"")</f>
        <v>80</v>
      </c>
      <c r="FI59" s="7">
        <f>IFERROR(AVERAGEIF('Данные 1st'!$S$2:$S$317,$A59,'Данные 1st'!$KE$2:$KE$317),"")</f>
        <v/>
      </c>
      <c r="FJ59" s="7">
        <f>IFERROR(AVERAGEIF('Данные 1st'!$S$2:$S$317,$A59,'Данные 1st'!$KF$2:$KF$317),"")</f>
        <v>4</v>
      </c>
      <c r="FK59" s="7">
        <f>IFERROR(AVERAGEIF('Данные 1st'!$S$2:$S$317,$A59,'Данные 1st'!$KG$2:$KG$317),"")</f>
        <v>3</v>
      </c>
      <c r="FL59" s="7">
        <f>IFERROR(AVERAGEIF('Данные 1st'!$S$2:$S$317,$A59,'Данные 1st'!$KH$2:$KH$317),"")</f>
        <v>2</v>
      </c>
      <c r="FM59" s="7">
        <f>IFERROR(AVERAGEIF('Данные 1st'!$S$2:$S$317,$A59,'Данные 1st'!$KI$2:$KI$317),"")</f>
        <v>2</v>
      </c>
      <c r="FN59" s="7">
        <f>IFERROR(AVERAGEIF('Данные 1st'!$S$2:$S$317,$A59,'Данные 1st'!$KJ$2:$KJ$317),"")</f>
        <v>0</v>
      </c>
      <c r="FO59" s="7">
        <f>IFERROR(AVERAGEIF('Данные 1st'!$S$2:$S$317,$A59,'Данные 1st'!$KK$2:$KK$317),"")</f>
        <v>1.5</v>
      </c>
      <c r="FP59" s="7">
        <f>IFERROR(AVERAGEIF('Данные 1st'!$S$2:$S$317,$A59,'Данные 1st'!$KL$2:$KL$317),"")</f>
        <v>1.5</v>
      </c>
      <c r="FQ59" s="7">
        <f>IFERROR(AVERAGEIF('Данные 1st'!$S$2:$S$317,$A59,'Данные 1st'!$KM$2:$KM$317),"")</f>
        <v>0</v>
      </c>
      <c r="FR59" s="7">
        <f>IFERROR(AVERAGEIF('Данные 1st'!$S$2:$S$317,$A59,'Данные 1st'!$KN$2:$KN$317),"")</f>
        <v>0</v>
      </c>
      <c r="FS59" s="7">
        <f>IFERROR(AVERAGEIF('Данные 1st'!$S$2:$S$317,$A59,'Данные 1st'!$KR$2:$KR$317),"")</f>
        <v>40</v>
      </c>
      <c r="FT59" s="7">
        <f>IFERROR(AVERAGEIF('Данные 1st'!$S$2:$S$317,$A59,'Данные 1st'!$KS$2:$KS$317),"")</f>
        <v>60</v>
      </c>
      <c r="FU59" s="7">
        <f>IFERROR(AVERAGEIF('Данные 1st'!$S$2:$S$317,$A59,'Данные 1st'!$KT$2:$KT$317),"")</f>
        <v>0</v>
      </c>
      <c r="FV59" s="7">
        <f>IFERROR(AVERAGEIF('Данные 1st'!$S$2:$S$317,$A59,'Данные 1st'!$KV$2:$KV$317),"")</f>
        <v/>
      </c>
      <c r="FW59" s="7">
        <f>IFERROR(AVERAGEIF('Данные 1st'!$S$2:$S$317,$A59,'Данные 1st'!$KW$2:$KW$317),"")</f>
        <v/>
      </c>
      <c r="FX59" s="7">
        <f>IFERROR(AVERAGEIF('Данные 1st'!$S$2:$S$317,$A59,'Данные 1st'!$KX$2:$KX$317),"")</f>
        <v/>
      </c>
      <c r="FY59" s="7">
        <f>IFERROR(AVERAGEIF('Данные 1st'!$S$2:$S$317,$A59,'Данные 1st'!$KY$2:$KY$317),"")</f>
        <v/>
      </c>
      <c r="FZ59" s="7">
        <f>IFERROR(AVERAGEIF('Данные 1st'!$S$2:$S$317,$A59,'Данные 1st'!$KZ$2:$KZ$317),"")</f>
        <v/>
      </c>
      <c r="GA59" s="7">
        <f>IFERROR(AVERAGEIF('Данные 1st'!$S$2:$S$317,$A59,'Данные 1st'!$LA$2:$LA$317),"")</f>
        <v/>
      </c>
      <c r="GB59" s="7">
        <f>IFERROR(AVERAGEIF('Данные 1st'!$S$2:$S$317,$A59,'Данные 1st'!$LB$2:$LB$317),"")</f>
        <v/>
      </c>
      <c r="GC59" s="7">
        <f>IFERROR(AVERAGEIF('Данные 1st'!$S$2:$S$317,$A59,'Данные 1st'!$LC$2:$LC$317),"")</f>
        <v/>
      </c>
      <c r="GD59" s="7">
        <f>IFERROR(AVERAGEIF('Данные 1st'!$S$2:$S$317,$A59,'Данные 1st'!$LD$2:$LD$317),"")</f>
        <v/>
      </c>
      <c r="GE59" s="7">
        <f>IFERROR(AVERAGEIF('Данные 1st'!$S$2:$S$317,$A59,'Данные 1st'!$LE$2:$LE$317),"")</f>
        <v/>
      </c>
      <c r="GF59" s="7">
        <f>IFERROR(AVERAGEIF('Данные 1st'!$S$2:$S$317,$A59,'Данные 1st'!$LF$2:$LF$317),"")</f>
        <v/>
      </c>
      <c r="GG59" s="7">
        <f>IFERROR(AVERAGEIF('Данные 1st'!$S$2:$S$317,$A59,'Данные 1st'!$LG$2:$LG$317),"")</f>
        <v/>
      </c>
      <c r="GH59" s="7">
        <f>IFERROR(AVERAGEIF('Данные 1st'!$S$2:$S$317,$A59,'Данные 1st'!$LH$2:$LH$317),"")</f>
        <v/>
      </c>
      <c r="GI59" s="7">
        <f>IFERROR(AVERAGEIF('Данные 1st'!$S$2:$S$317,$A59,'Данные 1st'!$LI$2:$LI$317),"")</f>
        <v/>
      </c>
      <c r="GJ59" s="7">
        <f>IFERROR(AVERAGEIF('Данные 1st'!$S$2:$S$317,$A59,'Данные 1st'!$LJ$2:$LJ$317),"")</f>
        <v/>
      </c>
      <c r="GK59" s="7">
        <f>IFERROR(AVERAGEIF('Данные 1st'!$S$2:$S$317,$A59,'Данные 1st'!$LK$2:$LK$317),"")</f>
        <v>480</v>
      </c>
      <c r="GL59" s="7">
        <f>IFERROR(AVERAGEIF('Данные 1st'!$S$2:$S$317,$A59,'Данные 1st'!$LV$2:$LV$317),"")</f>
        <v/>
      </c>
      <c r="GM59" s="7">
        <f>IFERROR(AVERAGEIF('Данные 1st'!$S$2:$S$317,$A59,'Данные 1st'!$LW$2:$LW$317),"")</f>
        <v/>
      </c>
      <c r="GN59" s="7">
        <f>IFERROR(AVERAGEIF('Данные 1st'!$S$2:$S$317,$A59,'Данные 1st'!$LX$2:$LX$317),"")</f>
        <v/>
      </c>
      <c r="GO59" s="7">
        <f>IFERROR(AVERAGEIF('Данные 1st'!$S$2:$S$317,$A59,'Данные 1st'!$LY$2:$LY$317),"")</f>
        <v/>
      </c>
      <c r="GP59" s="7">
        <f>IFERROR(AVERAGEIF('Данные 1st'!$S$2:$S$317,$A59,'Данные 1st'!$LZ$2:$LZ$317),"")</f>
        <v/>
      </c>
      <c r="GQ59" s="7">
        <f>IFERROR(AVERAGEIF('Данные 1st'!$S$2:$S$317,$A59,'Данные 1st'!$PG$2:$PG$317),"")</f>
        <v>1</v>
      </c>
      <c r="GR59" s="7">
        <f>IFERROR(AVERAGEIF('Данные 1st'!$S$2:$S$317,$A59,'Данные 1st'!$PX$2:$PX$317),"")</f>
        <v>56</v>
      </c>
      <c r="GS59" s="7">
        <f>IFERROR(AVERAGEIF('Данные 1st'!$S$2:$S$317,$A59,'Данные 1st'!$PY$2:$PY$317),"")</f>
        <v>56</v>
      </c>
      <c r="GT59" s="7">
        <f>IFERROR(AVERAGEIF('Данные 1st'!$S$2:$S$317,$A59,'Данные 1st'!$QA$2:$QA$317),"")</f>
        <v>1.5</v>
      </c>
      <c r="GU59" s="7">
        <f>IFERROR(AVERAGEIF('Данные 1st'!$S$2:$S$317,$A59,'Данные 1st'!$QB$2:$QB$317),"")</f>
        <v>1455</v>
      </c>
      <c r="GV59" s="7">
        <f>IFERROR(AVERAGEIF('Данные 1st'!$S$2:$S$317,$A59,'Данные 1st'!$QC$2:$QC$317),"")</f>
        <v>69</v>
      </c>
      <c r="GW59" s="7">
        <f>IFERROR(AVERAGEIF('Данные 1st'!$S$2:$S$317,$A59,'Данные 1st'!$QD$2:$QD$317),"")</f>
        <v>69</v>
      </c>
      <c r="GX59" s="7">
        <f>IFERROR(AVERAGEIF('Данные 1st'!$S$2:$S$317,$A59,'Данные 1st'!$QF$2:$QF$317),"")</f>
        <v>1.5</v>
      </c>
      <c r="GY59" s="7">
        <f>IFERROR(AVERAGEIF('Данные 1st'!$S$2:$S$317,$A59,'Данные 1st'!$QG$2:$QG$317),"")</f>
        <v>1475</v>
      </c>
      <c r="GZ59" s="7">
        <f>IFERROR(AVERAGEIF('Данные 1st'!$S$2:$S$317,$A59,'Данные 1st'!$QH$2:$QH$317),"")</f>
        <v>66</v>
      </c>
      <c r="HA59" s="7">
        <f>IFERROR(AVERAGEIF('Данные 1st'!$S$2:$S$317,$A59,'Данные 1st'!$QI$2:$QI$317),"")</f>
        <v>66</v>
      </c>
      <c r="HB59" s="7">
        <f>IFERROR(AVERAGEIF('Данные 1st'!$S$2:$S$317,$A59,'Данные 1st'!$QK$2:$QK$317),"")</f>
        <v>1</v>
      </c>
      <c r="HC59" s="7">
        <f>IFERROR(AVERAGEIF('Данные 1st'!$S$2:$S$317,$A59,'Данные 1st'!$QL$2:$QL$317),"")</f>
        <v>1475</v>
      </c>
      <c r="HD59" s="7">
        <f>IFERROR(AVERAGEIF('Данные 1st'!$S$2:$S$317,$A59,'Данные 1st'!$QM$2:$QM$317),"")</f>
        <v>62</v>
      </c>
      <c r="HE59" s="7">
        <f>IFERROR(AVERAGEIF('Данные 1st'!$S$2:$S$317,$A59,'Данные 1st'!$QN$2:$QN$317),"")</f>
        <v>62</v>
      </c>
      <c r="HF59" s="7">
        <f>IFERROR(AVERAGEIF('Данные 1st'!$S$2:$S$317,$A59,'Данные 1st'!$QP$2:$QP$317),"")</f>
        <v>1</v>
      </c>
      <c r="HG59" s="7">
        <f>IFERROR(AVERAGEIF('Данные 1st'!$S$2:$S$317,$A59,'Данные 1st'!$QQ$2:$QQ$317),"")</f>
        <v>1468</v>
      </c>
      <c r="HH59" s="7">
        <f>IFERROR(AVERAGEIF('Данные 1st'!$S$2:$S$317,$A59,'Данные 1st'!$QR$2:$QR$317),"")</f>
        <v>62</v>
      </c>
      <c r="HI59" s="7">
        <f>IFERROR(AVERAGEIF('Данные 1st'!$S$2:$S$317,$A59,'Данные 1st'!$QS$2:$QS$317),"")</f>
        <v>62</v>
      </c>
      <c r="HJ59" s="7">
        <f>IFERROR(AVERAGEIF('Данные 1st'!$S$2:$S$317,$A59,'Данные 1st'!$QU$2:$QU$317),"")</f>
        <v>1</v>
      </c>
      <c r="HK59" s="7">
        <f>IFERROR(AVERAGEIF('Данные 1st'!$S$2:$S$317,$A59,'Данные 1st'!$QV$2:$QV$317),"")</f>
        <v>1473</v>
      </c>
      <c r="HL59" s="7">
        <f>IFERROR(AVERAGEIF('Данные 1st'!$S$2:$S$317,$A59,'Данные 1st'!$QW$2:$QW$317),"")</f>
        <v>82</v>
      </c>
      <c r="HM59" s="7">
        <f>IFERROR(AVERAGEIF('Данные 1st'!$S$2:$S$317,$A59,'Данные 1st'!$QX$2:$QX$317),"")</f>
        <v>89</v>
      </c>
      <c r="HN59" s="7">
        <f>IFERROR(AVERAGEIF('Данные 1st'!$S$2:$S$317,$A59,'Данные 1st'!$QZ$2:$QZ$317),"")</f>
        <v>1</v>
      </c>
      <c r="HO59" s="7">
        <f>IFERROR(AVERAGEIF('Данные 1st'!$S$2:$S$317,$A59,'Данные 1st'!$RA$2:$RA$317),"")</f>
        <v>66</v>
      </c>
      <c r="HP59" s="7">
        <f>IFERROR(AVERAGEIF('Данные 1st'!$S$2:$S$317,$A59,'Данные 1st'!$RB$2:$RB$317),"")</f>
        <v>66</v>
      </c>
      <c r="HQ59" s="7">
        <f>IFERROR(AVERAGEIF('Данные 1st'!$S$2:$S$317,$A59,'Данные 1st'!$RD$2:$RD$317),"")</f>
        <v/>
      </c>
      <c r="HR59" s="7">
        <f>IFERROR(AVERAGEIF('Данные 1st'!$S$2:$S$317,$A59,'Данные 1st'!$RE$2:$RE$317),"")</f>
        <v>0</v>
      </c>
      <c r="HS59" s="7">
        <f>IFERROR(AVERAGEIF('Данные 1st'!$S$2:$S$317,$A59,'Данные 1st'!$RF$2:$RF$317),"")</f>
        <v>1</v>
      </c>
      <c r="HT59" s="7">
        <f>IFERROR(AVERAGEIF('Данные 1st'!$S$2:$S$317,$A59,'Данные 1st'!$RG$2:$RG$317),"")</f>
        <v/>
      </c>
      <c r="HU59" s="7">
        <f>IFERROR(AVERAGEIF('Данные 1st'!$S$2:$S$317,$A59,'Данные 1st'!$RH$2:$RH$317),"")</f>
        <v>1</v>
      </c>
      <c r="HV59" s="7">
        <f>IFERROR(AVERAGEIF('Данные 1st'!$S$2:$S$317,$A59,'Данные 1st'!$RI$2:$RI$317),"")</f>
        <v/>
      </c>
      <c r="HW59" s="7">
        <f>IFERROR(AVERAGEIF('Данные 1st'!$S$2:$S$317,$A59,'Данные 1st'!$RJ$2:$RJ$317),"")</f>
        <v>1</v>
      </c>
      <c r="HX59" s="7">
        <f>IFERROR(AVERAGEIF('Данные 1st'!$S$2:$S$317,$A59,'Данные 1st'!$RK$2:$RK$317),"")</f>
        <v>2</v>
      </c>
      <c r="HY59" s="7">
        <f>IFERROR(AVERAGEIF('Данные 1st'!$S$2:$S$317,$A59,'Данные 1st'!$RL$2:$RL$317),"")</f>
        <v>2.5</v>
      </c>
      <c r="HZ59" s="7">
        <f>IFERROR(AVERAGEIF('Данные 1st'!$S$2:$S$317,$A59,'Данные 1st'!$RM$2:$RM$317),"")</f>
        <v>3</v>
      </c>
      <c r="IA59" s="7">
        <f>IFERROR(AVERAGEIF('Данные 1st'!$S$2:$S$317,$A59,'Данные 1st'!$RN$2:$RN$317),"")</f>
        <v/>
      </c>
      <c r="IB59" s="7">
        <f>IFERROR(AVERAGEIF('Данные 1st'!$S$2:$S$317,$A59,'Данные 1st'!$RO$2:$RO$317),"")</f>
        <v>542.5</v>
      </c>
      <c r="IC59" s="7">
        <f>IFERROR(AVERAGEIF('Данные 1st'!$S$2:$S$317,$A59,'Данные 1st'!$RP$2:$RP$317),"")</f>
        <v>105</v>
      </c>
      <c r="ID59" s="7">
        <f>IFERROR(AVERAGEIF('Данные 1st'!$S$2:$S$317,$A59,'Данные 1st'!$RQ$2:$RQ$317),"")</f>
        <v>808</v>
      </c>
      <c r="IE59" s="7">
        <f>IFERROR(AVERAGEIF('Данные 1st'!$S$2:$S$317,$A59,'Данные 1st'!$RR$2:$RR$317),"")</f>
        <v>544</v>
      </c>
      <c r="IF59" s="7">
        <f>IFERROR(AVERAGEIF('Данные 1st'!$S$2:$S$317,$A59,'Данные 1st'!$RS$2:$RS$317),"")</f>
        <v/>
      </c>
      <c r="IG59" s="7">
        <f>IFERROR(AVERAGEIF('Данные 1st'!$S$2:$S$317,$A59,'Данные 1st'!$RT$2:$RT$317),"")</f>
        <v>281.5</v>
      </c>
      <c r="IH59" s="7">
        <f>IFERROR(AVERAGEIF('Данные 1st'!$S$2:$S$317,$A59,'Данные 1st'!$RU$2:$RU$317),"")</f>
        <v>203.5</v>
      </c>
      <c r="II59" s="7">
        <f>IFERROR(AVERAGEIF('Данные 1st'!$S$2:$S$317,$A59,'Данные 1st'!$RX$2:$RX$317),"")</f>
        <v>15</v>
      </c>
      <c r="IJ59" s="7">
        <f>IFERROR(AVERAGEIF('Данные 1st'!$S$2:$S$317,$A59,'Данные 1st'!$RY$2:$RY$317),"")</f>
        <v>4</v>
      </c>
      <c r="IK59" s="7">
        <f>IFERROR(AVERAGEIF('Данные 1st'!$S$2:$S$317,$A59,'Данные 1st'!$SA$2:$SA$317),"")</f>
        <v>15</v>
      </c>
      <c r="IL59" s="7">
        <f>IFERROR(AVERAGEIF('Данные 1st'!$S$2:$S$317,$A59,'Данные 1st'!$SD$2:$SD$317),"")</f>
        <v>1</v>
      </c>
      <c r="IM59" s="7">
        <f>IFERROR(AVERAGEIF('Данные 1st'!$S$2:$S$317,$A59,'Данные 1st'!$SG$2:$SG$317),"")</f>
        <v>1</v>
      </c>
      <c r="IN59" s="7">
        <f>IFERROR(AVERAGEIF('Данные 1st'!$S$2:$S$317,$A59,'Данные 1st'!$SH$2:$SH$317),"")</f>
        <v>0.995</v>
      </c>
      <c r="IO59" s="7">
        <f>IFERROR(AVERAGEIF('Данные 1st'!$S$2:$S$317,$A59,'Данные 1st'!$SI$2:$SI$317),"")</f>
        <v>0.995</v>
      </c>
      <c r="IP59" s="7">
        <f>IFERROR(AVERAGEIF('Данные 1st'!$S$2:$S$317,$A59,'Данные 1st'!$SJ$2:$SJ$317),"")</f>
        <v>0.995</v>
      </c>
      <c r="IQ59" s="7">
        <f>IFERROR(AVERAGEIF('Данные 1st'!$S$2:$S$317,$A59,'Данные 1st'!$SK$2:$SK$317),"")</f>
        <v>15</v>
      </c>
      <c r="IR59" s="7">
        <f>IFERROR(AVERAGEIF('Данные 1st'!$S$2:$S$317,$A59,'Данные 1st'!$SL$2:$SL$317),"")</f>
        <v>0</v>
      </c>
      <c r="IS59" s="7">
        <f>IFERROR(AVERAGEIF('Данные 1st'!$S$2:$S$317,$A59,'Данные 1st'!$SM$2:$SM$317),"")</f>
        <v>0</v>
      </c>
      <c r="IT59" s="7">
        <f>IFERROR(AVERAGEIF('Данные 1st'!$S$2:$S$317,$A59,'Данные 1st'!$SN$2:$SN$317),"")</f>
        <v>0</v>
      </c>
      <c r="IU59" s="7">
        <f>IFERROR(AVERAGEIF('Данные 1st'!$S$2:$S$317,$A59,'Данные 1st'!$SO$2:$SO$317),"")</f>
        <v>0</v>
      </c>
      <c r="IV59" s="7">
        <f>IFERROR(AVERAGEIF('Данные 1st'!$S$2:$S$317,$A59,'Данные 1st'!$SP$2:$SP$317),"")</f>
        <v>0</v>
      </c>
      <c r="IW59" s="7">
        <f>IFERROR(AVERAGEIF('Данные 1st'!$S$2:$S$317,$A59,'Данные 1st'!$SQ$2:$SQ$317),"")</f>
        <v>0</v>
      </c>
      <c r="IX59" s="7">
        <f>IFERROR(AVERAGEIF('Данные 1st'!$S$2:$S$317,$A59,'Данные 1st'!$SR$2:$SR$317),"")</f>
        <v>0</v>
      </c>
      <c r="IY59" s="7">
        <f>IFERROR(AVERAGEIF('Данные 1st'!$S$2:$S$317,$A59,'Данные 1st'!$SS$2:$SS$317),"")</f>
        <v>0</v>
      </c>
      <c r="IZ59" s="7">
        <f>IFERROR(AVERAGEIF('Данные 1st'!$S$2:$S$317,$A59,'Данные 1st'!$ST$2:$ST$317),"")</f>
        <v>0</v>
      </c>
      <c r="JA59" s="7">
        <f>IFERROR(AVERAGEIF('Данные 1st'!$S$2:$S$317,$A59,'Данные 1st'!$SU$2:$SU$317),"")</f>
        <v>0</v>
      </c>
      <c r="JB59" s="7">
        <f>IFERROR(AVERAGEIF('Данные 1st'!$S$2:$S$317,$A59,'Данные 1st'!$SV$2:$SV$317),"")</f>
        <v>0</v>
      </c>
      <c r="JC59" s="7">
        <f>IFERROR(AVERAGEIF('Данные 1st'!$S$2:$S$317,$A59,'Данные 1st'!$SW$2:$SW$317),"")</f>
        <v>0</v>
      </c>
      <c r="JD59" s="7">
        <f>IFERROR(AVERAGEIF('Данные 1st'!$S$2:$S$317,$A59,'Данные 1st'!$SX$2:$SX$317),"")</f>
        <v>0</v>
      </c>
      <c r="JE59" s="7">
        <f>IFERROR(AVERAGEIF('Данные 1st'!$S$2:$S$317,$A59,'Данные 1st'!$SY$2:$SY$317),"")</f>
        <v>1</v>
      </c>
      <c r="JF59" s="7">
        <f>IFERROR(AVERAGEIF('Данные 1st'!$S$2:$S$317,$A59,'Данные 1st'!$SZ$2:$SZ$317),"")</f>
        <v>1</v>
      </c>
      <c r="JG59" s="7">
        <f>IFERROR(AVERAGEIF('Данные 1st'!$S$2:$S$317,$A59,'Данные 1st'!$TA$2:$TA$317),"")</f>
        <v/>
      </c>
      <c r="JH59" s="7">
        <f>IFERROR(AVERAGEIF('Данные 1st'!$S$2:$S$317,$A59,'Данные 1st'!$TB$2:$TB$317),"")</f>
        <v>0</v>
      </c>
      <c r="JI59" s="7">
        <f>IFERROR(AVERAGEIF('Данные 1st'!$S$2:$S$317,$A59,'Данные 1st'!$TC$2:$TC$317),"")</f>
        <v>0</v>
      </c>
      <c r="JJ59" s="7">
        <f>IFERROR(AVERAGEIF('Данные 1st'!$S$2:$S$317,$A59,'Данные 1st'!$TD$2:$TD$317),"")</f>
        <v>7.5</v>
      </c>
      <c r="JK59" s="7">
        <f>IFERROR(AVERAGEIF('Данные 1st'!$S$2:$S$317,$A59,'Данные 1st'!$TN$2:$TN$317),"")</f>
        <v>0</v>
      </c>
      <c r="JL59">
        <f>COUNTIF('Данные 2st'!$Q$2:$Q$317,$A59)</f>
        <v>2</v>
      </c>
      <c r="JM59" s="6" t="s">
        <v>5111</v>
      </c>
      <c r="JN59" s="6" t="s">
        <v>513</v>
      </c>
      <c r="JO59" s="6" t="s">
        <v>5125</v>
      </c>
      <c r="JP59" s="6" t="s">
        <v>5510</v>
      </c>
      <c r="JQ59" s="7">
        <f>IFERROR(AVERAGEIF('Данные 2st'!$Q$2:$Q$317,$A59,'Данные 2st'!$AC$2:$AC$317),"")</f>
        <v>9</v>
      </c>
      <c r="JR59" s="7">
        <f>IFERROR(AVERAGEIF('Данные 2st'!$Q$2:$Q$317,$A59,'Данные 2st'!$AF$2:$AF$317),"")</f>
        <v>5074.5</v>
      </c>
      <c r="JS59" s="7">
        <f>IFERROR(AVERAGEIF('Данные 2st'!$Q$2:$Q$317,$A59,'Данные 2st'!$AW$2:$AW$317),"")</f>
        <v>6.4</v>
      </c>
      <c r="JT59" s="7">
        <f>IFERROR(AVERAGEIF('Данные 2st'!$Q$2:$Q$317,$A59,'Данные 2st'!$AX$2:$AX$317),"")</f>
        <v>-6</v>
      </c>
      <c r="JU59" s="7">
        <f>IFERROR(AVERAGEIF('Данные 2st'!$Q$2:$Q$317,$A59,'Данные 2st'!$AY$2:$AY$317),"")</f>
        <v>110</v>
      </c>
      <c r="JV59" s="7">
        <f>IFERROR(AVERAGEIF('Данные 2st'!$Q$2:$Q$317,$A59,'Данные 2st'!$AZ$2:$AZ$317),"")</f>
        <v>80</v>
      </c>
      <c r="JW59" s="7">
        <f>IFERROR(AVERAGEIF('Данные 2st'!$Q$2:$Q$317,$A59,'Данные 2st'!$BA$2:$BA$317),"")</f>
        <v>0</v>
      </c>
      <c r="JX59" s="7">
        <f>IFERROR(AVERAGEIF('Данные 2st'!$Q$2:$Q$317,$A59,'Данные 2st'!$BB$2:$BB$317),"")</f>
        <v>0</v>
      </c>
      <c r="JY59" s="7">
        <f>IFERROR(AVERAGEIF('Данные 2st'!$Q$2:$Q$317,$A59,'Данные 2st'!$BC$2:$BC$317),"")</f>
        <v>0</v>
      </c>
      <c r="JZ59" s="7">
        <f>IFERROR(AVERAGEIF('Данные 2st'!$Q$2:$Q$317,$A59,'Данные 2st'!$BH$2:$BH$317),"")</f>
        <v>110</v>
      </c>
      <c r="KA59" s="7">
        <f>IFERROR(AVERAGEIF('Данные 2st'!$Q$2:$Q$317,$A59,'Данные 2st'!$BI$2:$BI$317),"")</f>
        <v>30</v>
      </c>
      <c r="KB59" s="7">
        <f>IFERROR(AVERAGEIF('Данные 2st'!$Q$2:$Q$317,$A59,'Данные 2st'!$BJ$2:$BJ$317),"")</f>
        <v>80</v>
      </c>
      <c r="KC59" s="7">
        <f>IFERROR(AVERAGEIF('Данные 2st'!$Q$2:$Q$317,$A59,'Данные 2st'!$BK$2:$BK$317),"")</f>
        <v>2.5</v>
      </c>
      <c r="KD59" s="7">
        <f>IFERROR(AVERAGEIF('Данные 2st'!$Q$2:$Q$317,$A59,'Данные 2st'!$BL$2:$BL$317),"")</f>
        <v>220</v>
      </c>
      <c r="KE59" s="7">
        <f>IFERROR(AVERAGEIF('Данные 2st'!$Q$2:$Q$317,$A59,'Данные 2st'!$BM$2:$BM$317),"")</f>
        <v>-6</v>
      </c>
      <c r="KF59" s="7">
        <f>IFERROR(AVERAGEIF('Данные 2st'!$Q$2:$Q$317,$A59,'Данные 2st'!$BN$2:$BN$317),"")</f>
        <v>0</v>
      </c>
      <c r="KG59" s="7">
        <f>IFERROR(AVERAGEIF('Данные 2st'!$Q$2:$Q$317,$A59,'Данные 2st'!$BO$2:$BO$317),"")</f>
        <v>0</v>
      </c>
      <c r="KH59" s="7">
        <f>IFERROR(AVERAGEIF('Данные 2st'!$Q$2:$Q$317,$A59,'Данные 2st'!$BP$2:$BP$317),"")</f>
        <v>0</v>
      </c>
      <c r="KI59" s="7">
        <f>IFERROR(AVERAGEIF('Данные 2st'!$Q$2:$Q$317,$A59,'Данные 2st'!$BR$2:$BR$317),"")</f>
        <v>215</v>
      </c>
      <c r="KJ59" s="7">
        <f>IFERROR(AVERAGEIF('Данные 2st'!$Q$2:$Q$317,$A59,'Данные 2st'!$BS$2:$BS$317),"")</f>
        <v>205</v>
      </c>
      <c r="KK59" s="7">
        <f>IFERROR(AVERAGEIF('Данные 2st'!$Q$2:$Q$317,$A59,'Данные 2st'!$BT$2:$BT$317),"")</f>
        <v>2050</v>
      </c>
      <c r="KL59" s="7">
        <f>IFERROR(AVERAGEIF('Данные 2st'!$Q$2:$Q$317,$A59,'Данные 2st'!$CV$2:$CV$317),"")</f>
        <v>133.5</v>
      </c>
      <c r="KM59" s="7">
        <f>IFERROR(AVERAGEIF('Данные 2st'!$Q$2:$Q$317,$A59,'Данные 2st'!$CW$2:$CW$317),"")</f>
        <v>3</v>
      </c>
      <c r="KN59" s="7">
        <f>IFERROR(AVERAGEIF('Данные 2st'!$Q$2:$Q$317,$A59,'Данные 2st'!$CX$2:$CX$317),"")</f>
        <v>92.5</v>
      </c>
      <c r="KO59" s="7">
        <f>IFERROR(AVERAGEIF('Данные 2st'!$Q$2:$Q$317,$A59,'Данные 2st'!$CY$2:$CY$317),"")</f>
        <v>5</v>
      </c>
      <c r="KP59" s="7">
        <f>IFERROR(AVERAGEIF('Данные 2st'!$Q$2:$Q$317,$A59,'Данные 2st'!$CZ$2:$CZ$317),"")</f>
        <v>115.5</v>
      </c>
      <c r="KQ59" s="7">
        <f>IFERROR(AVERAGEIF('Данные 2st'!$Q$2:$Q$317,$A59,'Данные 2st'!$DA$2:$DA$317),"")</f>
        <v>5</v>
      </c>
      <c r="KR59" s="7">
        <f>IFERROR(AVERAGEIF('Данные 2st'!$Q$2:$Q$317,$A59,'Данные 2st'!$DB$2:$DB$317),"")</f>
        <v>12265</v>
      </c>
      <c r="KS59" s="7">
        <f>IFERROR(AVERAGEIF('Данные 2st'!$Q$2:$Q$317,$A59,'Данные 2st'!$DC$2:$DC$317),"")</f>
        <v>365</v>
      </c>
      <c r="KT59" s="7">
        <f>IFERROR(AVERAGEIF('Данные 2st'!$Q$2:$Q$317,$A59,'Данные 2st'!$DD$2:$DD$317),"")</f>
        <v>330</v>
      </c>
      <c r="KU59" s="7">
        <f>IFERROR(AVERAGEIF('Данные 2st'!$Q$2:$Q$317,$A59,'Данные 2st'!$DE$2:$DE$317),"")</f>
        <v>2170</v>
      </c>
      <c r="KV59" s="7">
        <f>IFERROR(AVERAGEIF('Данные 2st'!$Q$2:$Q$317,$A59,'Данные 2st'!$DF$2:$DF$317),"")</f>
        <v>2170</v>
      </c>
      <c r="KW59" s="7">
        <f>IFERROR(AVERAGEIF('Данные 2st'!$Q$2:$Q$317,$A59,'Данные 2st'!$DG$2:$DG$317),"")</f>
        <v>2180.5</v>
      </c>
      <c r="KX59" s="7">
        <f>IFERROR(AVERAGEIF('Данные 2st'!$Q$2:$Q$317,$A59,'Данные 2st'!$DH$2:$DH$317),"")</f>
        <v>0.5</v>
      </c>
      <c r="KY59" s="7">
        <f>IFERROR(AVERAGEIF('Данные 2st'!$Q$2:$Q$317,$A59,'Данные 2st'!$DI$2:$DI$317),"")</f>
        <v/>
      </c>
      <c r="KZ59" s="7">
        <f>IFERROR(AVERAGEIF('Данные 2st'!$Q$2:$Q$317,$A59,'Данные 2st'!$DK$2:$DK$317),"")</f>
        <v>215</v>
      </c>
      <c r="LA59" s="7">
        <f>IFERROR(AVERAGEIF('Данные 2st'!$Q$2:$Q$317,$A59,'Данные 2st'!$DM$2:$DM$317),"")</f>
        <v>64</v>
      </c>
      <c r="LB59" s="7">
        <f>IFERROR(AVERAGEIF('Данные 2st'!$Q$2:$Q$317,$A59,'Данные 2st'!$DN$2:$DN$317),"")</f>
        <v>1.15</v>
      </c>
      <c r="LC59" s="7">
        <f>IFERROR(AVERAGEIF('Данные 2st'!$Q$2:$Q$317,$A59,'Данные 2st'!$DO$2:$DO$317),"")</f>
        <v>1</v>
      </c>
      <c r="LD59" s="7">
        <f>IFERROR(AVERAGEIF('Данные 2st'!$Q$2:$Q$317,$A59,'Данные 2st'!$DP$2:$DP$317),"")</f>
        <v>2053.5</v>
      </c>
      <c r="LE59" s="7">
        <f>IFERROR(AVERAGEIF('Данные 2st'!$Q$2:$Q$317,$A59,'Данные 2st'!$DQ$2:$DQ$317),"")</f>
        <v>984.5</v>
      </c>
      <c r="LF59" s="7">
        <f>IFERROR(AVERAGEIF('Данные 2st'!$Q$2:$Q$317,$A59,'Данные 2st'!$DS$2:$DS$317),"")</f>
        <v>205</v>
      </c>
      <c r="LG59" s="7">
        <f>IFERROR(AVERAGEIF('Данные 2st'!$Q$2:$Q$317,$A59,'Данные 2st'!$DU$2:$DU$317),"")</f>
        <v>64</v>
      </c>
      <c r="LH59" s="7">
        <f>IFERROR(AVERAGEIF('Данные 2st'!$Q$2:$Q$317,$A59,'Данные 2st'!$DV$2:$DV$317),"")</f>
        <v>1.15</v>
      </c>
      <c r="LI59" s="7">
        <f>IFERROR(AVERAGEIF('Данные 2st'!$Q$2:$Q$317,$A59,'Данные 2st'!$DW$2:$DW$317),"")</f>
        <v>1</v>
      </c>
      <c r="LJ59" s="7">
        <f>IFERROR(AVERAGEIF('Данные 2st'!$Q$2:$Q$317,$A59,'Данные 2st'!$DX$2:$DX$317),"")</f>
        <v>2065.5</v>
      </c>
      <c r="LK59" s="7">
        <f>IFERROR(AVERAGEIF('Данные 2st'!$Q$2:$Q$317,$A59,'Данные 2st'!$DY$2:$DY$317),"")</f>
        <v>944</v>
      </c>
      <c r="LL59" s="7">
        <f>IFERROR(AVERAGEIF('Данные 2st'!$Q$2:$Q$317,$A59,'Данные 2st'!$EA$2:$EA$317),"")</f>
        <v>20</v>
      </c>
      <c r="LM59" s="7">
        <f>IFERROR(AVERAGEIF('Данные 2st'!$Q$2:$Q$317,$A59,'Данные 2st'!$EC$2:$EC$317),"")</f>
        <v>0.8</v>
      </c>
      <c r="LN59" s="7">
        <f>IFERROR(AVERAGEIF('Данные 2st'!$Q$2:$Q$317,$A59,'Данные 2st'!$ED$2:$ED$317),"")</f>
        <v>2053.5</v>
      </c>
      <c r="LO59" s="7">
        <f>IFERROR(AVERAGEIF('Данные 2st'!$Q$2:$Q$317,$A59,'Данные 2st'!$EE$2:$EE$317),"")</f>
        <v>72</v>
      </c>
      <c r="LP59" s="7">
        <f>IFERROR(AVERAGEIF('Данные 2st'!$Q$2:$Q$317,$A59,'Данные 2st'!$EG$2:$EG$317),"")</f>
        <v>0</v>
      </c>
      <c r="LQ59" s="7">
        <f>IFERROR(AVERAGEIF('Данные 2st'!$Q$2:$Q$317,$A59,'Данные 2st'!$EI$2:$EI$317),"")</f>
        <v>0</v>
      </c>
      <c r="LR59" s="7">
        <f>IFERROR(AVERAGEIF('Данные 2st'!$Q$2:$Q$317,$A59,'Данные 2st'!$EJ$2:$EJ$317),"")</f>
        <v/>
      </c>
      <c r="LS59" s="7">
        <f>IFERROR(AVERAGEIF('Данные 2st'!$Q$2:$Q$317,$A59,'Данные 2st'!$EK$2:$EK$317),"")</f>
        <v/>
      </c>
      <c r="LT59" s="7">
        <f>IFERROR(AVERAGEIF('Данные 2st'!$Q$2:$Q$317,$A59,'Данные 2st'!$EM$2:$EM$317),"")</f>
        <v>12</v>
      </c>
      <c r="LU59" s="7">
        <f>IFERROR(AVERAGEIF('Данные 2st'!$Q$2:$Q$317,$A59,'Данные 2st'!$EN$2:$EN$317),"")</f>
        <v>0.5</v>
      </c>
      <c r="LV59" s="7">
        <f>IFERROR(AVERAGEIF('Данные 2st'!$Q$2:$Q$317,$A59,'Данные 2st'!$EO$2:$EO$317),"")</f>
        <v>0.96</v>
      </c>
      <c r="LW59" s="7">
        <f>IFERROR(AVERAGEIF('Данные 2st'!$Q$2:$Q$317,$A59,'Данные 2st'!$EP$2:$EP$317),"")</f>
        <v>2064.455</v>
      </c>
      <c r="LX59" s="7">
        <f>IFERROR(AVERAGEIF('Данные 2st'!$Q$2:$Q$317,$A59,'Данные 2st'!$EQ$2:$EQ$317),"")</f>
        <v>37418.244999999995</v>
      </c>
      <c r="LY59" s="7">
        <f>IFERROR(AVERAGEIF('Данные 2st'!$Q$2:$Q$317,$A59,'Данные 2st'!$ER$2:$ER$317),"")</f>
        <v>9705.405</v>
      </c>
      <c r="LZ59" s="7">
        <f>IFERROR(AVERAGEIF('Данные 2st'!$Q$2:$Q$317,$A59,'Данные 2st'!$ES$2:$ES$317),"")</f>
        <v>0</v>
      </c>
      <c r="MA59" s="7">
        <f>IFERROR(AVERAGEIF('Данные 2st'!$Q$2:$Q$317,$A59,'Данные 2st'!$ET$2:$ET$317),"")</f>
        <v>0</v>
      </c>
      <c r="MB59" s="7">
        <f>IFERROR(AVERAGEIF('Данные 2st'!$Q$2:$Q$317,$A59,'Данные 2st'!$EU$2:$EU$317),"")</f>
        <v>1</v>
      </c>
      <c r="MC59" s="7">
        <f>IFERROR(AVERAGEIF('Данные 2st'!$Q$2:$Q$317,$A59,'Данные 2st'!$EV$2:$EV$317),"")</f>
        <v>47124</v>
      </c>
      <c r="MD59" s="7">
        <f>IFERROR(AVERAGEIF('Данные 2st'!$Q$2:$Q$317,$A59,'Данные 2st'!$EW$2:$EW$317),"")</f>
        <v>566</v>
      </c>
      <c r="ME59" s="7">
        <f>IFERROR(AVERAGEIF('Данные 2st'!$Q$2:$Q$317,$A59,'Данные 2st'!$EY$2:$EY$317),"")</f>
        <v>231</v>
      </c>
      <c r="MF59" s="7">
        <f>IFERROR(AVERAGEIF('Данные 2st'!$Q$2:$Q$317,$A59,'Данные 2st'!$FA$2:$FA$317),"")</f>
        <v>5.0</v>
      </c>
      <c r="MG59" s="7">
        <f>IFERROR(AVERAGEIF('Данные 2st'!$Q$2:$Q$317,$A59,'Данные 2st'!$FB$2:$FB$317),"")</f>
        <v>1</v>
      </c>
      <c r="MH59" s="7">
        <f>IFERROR(AVERAGEIF('Данные 2st'!$Q$2:$Q$317,$A59,'Данные 2st'!$FC$2:$FC$317),"")</f>
        <v>1</v>
      </c>
      <c r="MI59" s="7">
        <f>IFERROR(AVERAGEIF('Данные 2st'!$Q$2:$Q$317,$A59,'Данные 2st'!$FD$2:$FD$317),"")</f>
        <v>2098.5</v>
      </c>
      <c r="MJ59" s="7">
        <f>IFERROR(AVERAGEIF('Данные 2st'!$Q$2:$Q$317,$A59,'Данные 2st'!$FE$2:$FE$317),"")</f>
        <v>2346.5</v>
      </c>
      <c r="MK59" s="7">
        <f>IFERROR(AVERAGEIF('Данные 2st'!$Q$2:$Q$317,$A59,'Данные 2st'!$FG$2:$FG$317),"")</f>
        <v>231</v>
      </c>
      <c r="ML59" s="7">
        <f>IFERROR(AVERAGEIF('Данные 2st'!$Q$2:$Q$317,$A59,'Данные 2st'!$FI$2:$FI$317),"")</f>
        <v>3.35</v>
      </c>
      <c r="MM59" s="7">
        <f>IFERROR(AVERAGEIF('Данные 2st'!$Q$2:$Q$317,$A59,'Данные 2st'!$FJ$2:$FJ$317),"")</f>
        <v>2098.5</v>
      </c>
      <c r="MN59" s="7">
        <f>IFERROR(AVERAGEIF('Данные 2st'!$Q$2:$Q$317,$A59,'Данные 2st'!$FK$2:$FK$317),"")</f>
        <v>1887.5</v>
      </c>
      <c r="MO59" s="7">
        <f>IFERROR(AVERAGEIF('Данные 2st'!$Q$2:$Q$317,$A59,'Данные 2st'!$FP$2:$FP$317),"")</f>
        <v>2098.5</v>
      </c>
      <c r="MP59" s="7">
        <f>IFERROR(AVERAGEIF('Данные 2st'!$Q$2:$Q$317,$A59,'Данные 2st'!$FQ$2:$FQ$317),"")</f>
        <v>143.5</v>
      </c>
      <c r="MQ59" s="7">
        <f>IFERROR(AVERAGEIF('Данные 2st'!$Q$2:$Q$317,$A59,'Данные 2st'!$FS$2:$FS$317),"")</f>
        <v>235</v>
      </c>
      <c r="MR59" s="7">
        <f>IFERROR(AVERAGEIF('Данные 2st'!$Q$2:$Q$317,$A59,'Данные 2st'!$FU$2:$FU$317),"")</f>
        <v>0.4</v>
      </c>
      <c r="MS59" s="7">
        <f>IFERROR(AVERAGEIF('Данные 2st'!$Q$2:$Q$317,$A59,'Данные 2st'!$FV$2:$FV$317),"")</f>
        <v>2098.5</v>
      </c>
      <c r="MT59" s="7">
        <f>IFERROR(AVERAGEIF('Данные 2st'!$Q$2:$Q$317,$A59,'Данные 2st'!$FW$2:$FW$317),"")</f>
        <v>219.5</v>
      </c>
      <c r="MU59" s="7">
        <f>IFERROR(AVERAGEIF('Данные 2st'!$Q$2:$Q$317,$A59,'Данные 2st'!$FY$2:$FY$317),"")</f>
        <v>5</v>
      </c>
      <c r="MV59" s="7">
        <f>IFERROR(AVERAGEIF('Данные 2st'!$Q$2:$Q$317,$A59,'Данные 2st'!$GB$2:$GB$317),"")</f>
        <v>2098.5</v>
      </c>
      <c r="MW59" s="7">
        <f>IFERROR(AVERAGEIF('Данные 2st'!$Q$2:$Q$317,$A59,'Данные 2st'!$GC$2:$GC$317),"")</f>
        <v>20</v>
      </c>
      <c r="MX59" s="7">
        <f>IFERROR(AVERAGEIF('Данные 2st'!$Q$2:$Q$317,$A59,'Данные 2st'!$GD$2:$GD$317),"")</f>
        <v>4617</v>
      </c>
      <c r="MY59" s="7">
        <f>IFERROR(AVERAGEIF('Данные 2st'!$Q$2:$Q$317,$A59,'Данные 2st'!$GN$2:$GN$317),"")</f>
        <v/>
      </c>
      <c r="MZ59" s="7">
        <f>IFERROR(AVERAGEIF('Данные 2st'!$Q$2:$Q$317,$A59,'Данные 2st'!$GQ$2:$GQ$317),"")</f>
        <v>0</v>
      </c>
      <c r="NA59" s="7">
        <f>IFERROR(AVERAGEIF('Данные 2st'!$Q$2:$Q$317,$A59,'Данные 2st'!$GV$2:$GV$317),"")</f>
        <v>8.75</v>
      </c>
      <c r="NB59" s="7">
        <f>IFERROR(AVERAGEIF('Данные 2st'!$Q$2:$Q$317,$A59,'Данные 2st'!$GW$2:$GW$317),"")</f>
        <v>9.45</v>
      </c>
      <c r="NC59" s="7">
        <f>IFERROR(AVERAGEIF('Данные 2st'!$Q$2:$Q$317,$A59,'Данные 2st'!$GX$2:$GX$317),"")</f>
        <v>0.5</v>
      </c>
      <c r="ND59" s="7">
        <f>IFERROR(AVERAGEIF('Данные 2st'!$Q$2:$Q$317,$A59,'Данные 2st'!$GY$2:$GY$317),"")</f>
        <v>206</v>
      </c>
      <c r="NE59" s="7">
        <f>IFERROR(AVERAGEIF('Данные 2st'!$Q$2:$Q$317,$A59,'Данные 2st'!$GZ$2:$GZ$317),"")</f>
        <v>3</v>
      </c>
      <c r="NF59" s="7">
        <f>IFERROR(AVERAGEIF('Данные 2st'!$Q$2:$Q$317,$A59,'Данные 2st'!$HA$2:$HA$317),"")</f>
        <v>251</v>
      </c>
      <c r="NG59" s="7">
        <f>IFERROR(AVERAGEIF('Данные 2st'!$Q$2:$Q$317,$A59,'Данные 2st'!$HB$2:$HB$317),"")</f>
        <v>3</v>
      </c>
      <c r="NH59" s="7">
        <f>IFERROR(AVERAGEIF('Данные 2st'!$Q$2:$Q$317,$A59,'Данные 2st'!$HC$2:$HC$317),"")</f>
        <v>2098.5</v>
      </c>
      <c r="NI59" s="7">
        <f>IFERROR(AVERAGEIF('Данные 2st'!$Q$2:$Q$317,$A59,'Данные 2st'!$HD$2:$HD$317),"")</f>
        <v>4</v>
      </c>
      <c r="NJ59" s="7">
        <f>IFERROR(AVERAGEIF('Данные 2st'!$Q$2:$Q$317,$A59,'Данные 2st'!$HM$2:$HM$317),"")</f>
        <v>19</v>
      </c>
      <c r="NK59" s="7">
        <f>IFERROR(AVERAGEIF('Данные 2st'!$Q$2:$Q$317,$A59,'Данные 2st'!$HR$2:$HR$317),"")</f>
        <v>3</v>
      </c>
      <c r="NL59" s="7">
        <f>IFERROR(AVERAGEIF('Данные 2st'!$Q$2:$Q$317,$A59,'Данные 2st'!$HS$2:$HS$317),"")</f>
        <v>2050</v>
      </c>
      <c r="NM59" s="7">
        <f>IFERROR(AVERAGEIF('Данные 2st'!$Q$2:$Q$317,$A59,'Данные 2st'!$HT$2:$HT$317),"")</f>
        <v>5</v>
      </c>
      <c r="NN59" s="7">
        <f>IFERROR(AVERAGEIF('Данные 2st'!$Q$2:$Q$317,$A59,'Данные 2st'!$HY$2:$HY$317),"")</f>
        <v>0</v>
      </c>
      <c r="NO59" s="7">
        <f>IFERROR(AVERAGEIF('Данные 2st'!$Q$2:$Q$317,$A59,'Данные 2st'!$HZ$2:$HZ$317),"")</f>
        <v>64</v>
      </c>
      <c r="NP59" s="7">
        <f>IFERROR(AVERAGEIF('Данные 2st'!$Q$2:$Q$317,$A59,'Данные 2st'!$IA$2:$IA$317),"")</f>
        <v>2053.5</v>
      </c>
      <c r="NQ59" s="7">
        <f>IFERROR(AVERAGEIF('Данные 2st'!$Q$2:$Q$317,$A59,'Данные 2st'!$IB$2:$IB$317),"")</f>
        <v>2065.5</v>
      </c>
      <c r="NR59" s="7">
        <f>IFERROR(AVERAGEIF('Данные 2st'!$Q$2:$Q$317,$A59,'Данные 2st'!$IC$2:$IC$317),"")</f>
        <v/>
      </c>
      <c r="NS59" s="7">
        <f>IFERROR(AVERAGEIF('Данные 2st'!$Q$2:$Q$317,$A59,'Данные 2st'!$ID$2:$ID$317),"")</f>
        <v>2098.5</v>
      </c>
      <c r="NT59" s="7">
        <f>IFERROR(AVERAGEIF('Данные 2st'!$Q$2:$Q$317,$A59,'Данные 2st'!$IE$2:$IE$317),"")</f>
        <v>2098.5</v>
      </c>
      <c r="NU59" s="7">
        <f>IFERROR(AVERAGEIF('Данные 2st'!$Q$2:$Q$317,$A59,'Данные 2st'!$IF$2:$IF$317),"")</f>
        <v>215</v>
      </c>
      <c r="NV59" s="7">
        <f>IFERROR(AVERAGEIF('Данные 2st'!$Q$2:$Q$317,$A59,'Данные 2st'!$IG$2:$IG$317),"")</f>
        <v>205</v>
      </c>
      <c r="NW59" s="7">
        <f>IFERROR(AVERAGEIF('Данные 2st'!$Q$2:$Q$317,$A59,'Данные 2st'!$IH$2:$IH$317),"")</f>
        <v>251</v>
      </c>
      <c r="NX59" s="7">
        <f>IFERROR(AVERAGEIF('Данные 2st'!$Q$2:$Q$317,$A59,'Данные 2st'!$IJ$2:$IJ$317),"")</f>
        <v>5</v>
      </c>
      <c r="NY59" s="7">
        <f>IFERROR(AVERAGEIF('Данные 2st'!$Q$2:$Q$317,$A59,'Данные 2st'!$IM$2:$IM$317),"")</f>
        <v>0</v>
      </c>
      <c r="NZ59" s="7">
        <f>IFERROR(AVERAGEIF('Данные 2st'!$Q$2:$Q$317,$A59,'Данные 2st'!$IN$2:$IN$317),"")</f>
        <v>270</v>
      </c>
      <c r="OA59" s="7">
        <f>IFERROR(AVERAGEIF('Данные 2st'!$Q$2:$Q$317,$A59,'Данные 2st'!$IO$2:$IO$317),"")</f>
        <v>0</v>
      </c>
      <c r="OB59" s="7">
        <f>IFERROR(AVERAGEIF('Данные 2st'!$Q$2:$Q$317,$A59,'Данные 2st'!$IP$2:$IP$317),"")</f>
        <v>180</v>
      </c>
      <c r="OC59" s="7">
        <f>IFERROR(AVERAGEIF('Данные 2st'!$Q$2:$Q$317,$A59,'Данные 2st'!$IQ$2:$IQ$317),"")</f>
        <v>0</v>
      </c>
      <c r="OD59" s="7">
        <f>IFERROR(AVERAGEIF('Данные 2st'!$Q$2:$Q$317,$A59,'Данные 2st'!$IR$2:$IR$317),"")</f>
        <v>330</v>
      </c>
      <c r="OE59" s="7">
        <f>IFERROR(AVERAGEIF('Данные 2st'!$Q$2:$Q$317,$A59,'Данные 2st'!$IT$2:$IT$317),"")</f>
        <v>90</v>
      </c>
      <c r="OF59" s="7">
        <f>IFERROR(AVERAGEIF('Данные 2st'!$Q$2:$Q$317,$A59,'Данные 2st'!$IU$2:$IU$317),"")</f>
        <v>0</v>
      </c>
      <c r="OG59" s="7">
        <f>IFERROR(AVERAGEIF('Данные 2st'!$Q$2:$Q$317,$A59,'Данные 2st'!$IV$2:$IV$317),"")</f>
        <v>6.4</v>
      </c>
      <c r="OH59" s="7">
        <f>IFERROR(AVERAGEIF('Данные 2st'!$Q$2:$Q$317,$A59,'Данные 2st'!$IW$2:$IW$317),"")</f>
        <v>-6</v>
      </c>
      <c r="OI59" s="7">
        <f>IFERROR(AVERAGEIF('Данные 2st'!$Q$2:$Q$317,$A59,'Данные 2st'!$IX$2:$IX$317),"")</f>
        <v>110</v>
      </c>
      <c r="OJ59" s="7">
        <f>IFERROR(AVERAGEIF('Данные 2st'!$Q$2:$Q$317,$A59,'Данные 2st'!$IY$2:$IY$317),"")</f>
        <v>80</v>
      </c>
      <c r="OK59" s="7">
        <f>IFERROR(AVERAGEIF('Данные 2st'!$Q$2:$Q$317,$A59,'Данные 2st'!$IZ$2:$IZ$317),"")</f>
        <v>0</v>
      </c>
      <c r="OL59" s="7">
        <f>IFERROR(AVERAGEIF('Данные 2st'!$Q$2:$Q$317,$A59,'Данные 2st'!$JA$2:$JA$317),"")</f>
        <v>0</v>
      </c>
      <c r="OM59" s="7">
        <f>IFERROR(AVERAGEIF('Данные 2st'!$Q$2:$Q$317,$A59,'Данные 2st'!$JB$2:$JB$317),"")</f>
        <v>0</v>
      </c>
      <c r="ON59" s="7">
        <f>IFERROR(AVERAGEIF('Данные 2st'!$Q$2:$Q$317,$A59,'Данные 2st'!$JC$2:$JC$317),"")</f>
        <v>0</v>
      </c>
      <c r="OO59" s="7">
        <f>IFERROR(AVERAGEIF('Данные 2st'!$Q$2:$Q$317,$A59,'Данные 2st'!$JD$2:$JD$317),"")</f>
        <v>0</v>
      </c>
      <c r="OP59" s="7">
        <f>IFERROR(AVERAGEIF('Данные 2st'!$Q$2:$Q$317,$A59,'Данные 2st'!$JE$2:$JE$317),"")</f>
        <v>0</v>
      </c>
      <c r="OQ59" s="7">
        <f>IFERROR(AVERAGEIF('Данные 2st'!$Q$2:$Q$317,$A59,'Данные 2st'!$JF$2:$JF$317),"")</f>
        <v>0</v>
      </c>
      <c r="OR59" s="7">
        <f>IFERROR(AVERAGEIF('Данные 2st'!$Q$2:$Q$317,$A59,'Данные 2st'!$JG$2:$JG$317),"")</f>
        <v>0</v>
      </c>
      <c r="OS59" s="7">
        <f>IFERROR(AVERAGEIF('Данные 2st'!$Q$2:$Q$317,$A59,'Данные 2st'!$JH$2:$JH$317),"")</f>
        <v>0</v>
      </c>
      <c r="OT59" s="7">
        <f>IFERROR(AVERAGEIF('Данные 2st'!$Q$2:$Q$317,$A59,'Данные 2st'!$JI$2:$JI$317),"")</f>
        <v>371</v>
      </c>
      <c r="OU59" s="7">
        <f>IFERROR(AVERAGEIF('Данные 2st'!$Q$2:$Q$317,$A59,'Данные 2st'!$JJ$2:$JJ$317),"")</f>
        <v>341</v>
      </c>
      <c r="OV59" s="7">
        <f>IFERROR(AVERAGEIF('Данные 2st'!$Q$2:$Q$317,$A59,'Данные 2st'!$JK$2:$JK$317),"")</f>
        <v>254</v>
      </c>
      <c r="OW59" s="7">
        <f>IFERROR(AVERAGEIF('Данные 2st'!$Q$2:$Q$317,$A59,'Данные 2st'!$JL$2:$JL$317),"")</f>
        <v>338</v>
      </c>
      <c r="OX59" s="7">
        <f>IFERROR(AVERAGEIF('Данные 2st'!$Q$2:$Q$317,$A59,'Данные 2st'!$JM$2:$JM$317),"")</f>
        <v>280.5</v>
      </c>
      <c r="OY59" s="7">
        <f>IFERROR(AVERAGEIF('Данные 2st'!$Q$2:$Q$317,$A59,'Данные 2st'!$JP$2:$JP$317),"")</f>
        <v>205</v>
      </c>
      <c r="OZ59" s="7">
        <f>IFERROR(AVERAGEIF('Данные 2st'!$Q$2:$Q$317,$A59,'Данные 2st'!$JQ$2:$JQ$317),"")</f>
        <v>254</v>
      </c>
      <c r="PA59" s="7">
        <f>IFERROR(AVERAGEIF('Данные 2st'!$Q$2:$Q$317,$A59,'Данные 2st'!$JR$2:$JR$317),"")</f>
        <v>301</v>
      </c>
      <c r="PB59" s="7">
        <f>IFERROR(AVERAGEIF('Данные 2st'!$Q$2:$Q$317,$A59,'Данные 2st'!$JS$2:$JS$317),"")</f>
        <v>265</v>
      </c>
      <c r="PC59" s="7">
        <f>IFERROR(AVERAGEIF('Данные 2st'!$Q$2:$Q$317,$A59,'Данные 2st'!$JT$2:$JT$317),"")</f>
        <v>0</v>
      </c>
      <c r="PD59" s="7">
        <f>IFERROR(AVERAGEIF('Данные 2st'!$Q$2:$Q$317,$A59,'Данные 2st'!$JU$2:$JU$317),"")</f>
        <v>0</v>
      </c>
      <c r="PE59" s="7">
        <f>IFERROR(AVERAGEIF('Данные 2st'!$Q$2:$Q$317,$A59,'Данные 2st'!$JV$2:$JV$317),"")</f>
        <v>298</v>
      </c>
      <c r="PF59" s="7">
        <f>IFERROR(AVERAGEIF('Данные 2st'!$Q$2:$Q$317,$A59,'Данные 2st'!$JW$2:$JW$317),"")</f>
        <v>275.5</v>
      </c>
      <c r="PG59" s="7">
        <f>IFERROR(AVERAGEIF('Данные 2st'!$Q$2:$Q$317,$A59,'Данные 2st'!$KF$2:$KF$317),"")</f>
        <v>0.19</v>
      </c>
      <c r="PH59" s="7">
        <f>IFERROR(AVERAGEIF('Данные 2st'!$Q$2:$Q$317,$A59,'Данные 2st'!$KG$2:$KG$317),"")</f>
        <v>0.10500000000000001</v>
      </c>
      <c r="PI59" s="7">
        <f>IFERROR(AVERAGEIF('Данные 2st'!$Q$2:$Q$317,$A59,'Данные 2st'!$KM$2:$KM$317),"")</f>
        <v>0.25</v>
      </c>
      <c r="PJ59" s="7">
        <f>IFERROR(AVERAGEIF('Данные 2st'!$Q$2:$Q$317,$A59,'Данные 2st'!$KN$2:$KN$317),"")</f>
        <v>2.0</v>
      </c>
      <c r="PK59" s="7">
        <f>IFERROR(AVERAGEIF('Данные 2st'!$Q$2:$Q$317,$A59,'Данные 2st'!$KO$2:$KO$317),"")</f>
        <v>0</v>
      </c>
      <c r="PL59" s="7">
        <f>IFERROR(AVERAGEIF('Данные 2st'!$Q$2:$Q$317,$A59,'Данные 2st'!$KP$2:$KP$317),"")</f>
        <v>0</v>
      </c>
      <c r="PM59" s="7">
        <f>IFERROR(AVERAGEIF('Данные 2st'!$Q$2:$Q$317,$A59,'Данные 2st'!$KQ$2:$KQ$317),"")</f>
        <v>0.75</v>
      </c>
      <c r="PN59" s="7">
        <f>IFERROR(AVERAGEIF('Данные 2st'!$Q$2:$Q$317,$A59,'Данные 2st'!$KR$2:$KR$317),"")</f>
        <v>0.9</v>
      </c>
      <c r="PO59" s="7">
        <f>IFERROR(AVERAGEIF('Данные 2st'!$Q$2:$Q$317,$A59,'Данные 2st'!$KS$2:$KS$317),"")</f>
        <v>0.1</v>
      </c>
      <c r="PP59" s="7">
        <f>IFERROR(AVERAGEIF('Данные 2st'!$Q$2:$Q$317,$A59,'Данные 2st'!$KT$2:$KT$317),"")</f>
        <v>2.3</v>
      </c>
      <c r="PQ59" s="7">
        <f>IFERROR(AVERAGEIF('Данные 2st'!$Q$2:$Q$317,$A59,'Данные 2st'!$KU$2:$KU$317),"")</f>
        <v>0</v>
      </c>
      <c r="PR59" s="7">
        <f>IFERROR(AVERAGEIF('Данные 2st'!$Q$2:$Q$317,$A59,'Данные 2st'!$KV$2:$KV$317),"")</f>
        <v>0</v>
      </c>
      <c r="PS59" s="7">
        <f>IFERROR(AVERAGEIF('Данные 2st'!$Q$2:$Q$317,$A59,'Данные 2st'!$KW$2:$KW$317),"")</f>
        <v>0.9</v>
      </c>
      <c r="PT59" s="7">
        <f>IFERROR(AVERAGEIF('Данные 2st'!$Q$2:$Q$317,$A59,'Данные 2st'!$KX$2:$KX$317),"")</f>
        <v>1.75</v>
      </c>
      <c r="PU59" s="7">
        <f>IFERROR(AVERAGEIF('Данные 2st'!$Q$2:$Q$317,$A59,'Данные 2st'!$KY$2:$KY$317),"")</f>
        <v>0</v>
      </c>
      <c r="PV59" s="7">
        <f>IFERROR(AVERAGEIF('Данные 2st'!$Q$2:$Q$317,$A59,'Данные 2st'!$KZ$2:$KZ$317),"")</f>
        <v>0</v>
      </c>
      <c r="PW59" s="7">
        <f>IFERROR(AVERAGEIF('Данные 2st'!$Q$2:$Q$317,$A59,'Данные 2st'!$LA$2:$LA$317),"")</f>
        <v>0</v>
      </c>
      <c r="PX59" s="7">
        <f>IFERROR(AVERAGEIF('Данные 2st'!$Q$2:$Q$317,$A59,'Данные 2st'!$LB$2:$LB$317),"")</f>
        <v>0</v>
      </c>
      <c r="PY59" s="7">
        <f>IFERROR(AVERAGEIF('Данные 2st'!$Q$2:$Q$317,$A59,'Данные 2st'!$LC$2:$LC$317),"")</f>
        <v>0</v>
      </c>
      <c r="PZ59" s="7">
        <f>IFERROR(AVERAGEIF('Данные 2st'!$Q$2:$Q$317,$A59,'Данные 2st'!$LD$2:$LD$317),"")</f>
        <v>0</v>
      </c>
      <c r="QA59" s="7">
        <f>IFERROR(AVERAGEIF('Данные 2st'!$Q$2:$Q$317,$A59,'Данные 2st'!$LE$2:$LE$317),"")</f>
        <v>0</v>
      </c>
      <c r="QB59" s="7">
        <f>IFERROR(AVERAGEIF('Данные 2st'!$Q$2:$Q$317,$A59,'Данные 2st'!$LF$2:$LF$317),"")</f>
        <v>0</v>
      </c>
      <c r="QC59" s="7">
        <f>IFERROR(AVERAGEIF('Данные 2st'!$Q$2:$Q$317,$A59,'Данные 2st'!$LG$2:$LG$317),"")</f>
        <v>0</v>
      </c>
      <c r="QD59" s="7">
        <f>IFERROR(AVERAGEIF('Данные 2st'!$Q$2:$Q$317,$A59,'Данные 2st'!$LH$2:$LH$317),"")</f>
        <v>3</v>
      </c>
      <c r="QE59" s="7">
        <f>IFERROR(AVERAGEIF('Данные 2st'!$Q$2:$Q$317,$A59,'Данные 2st'!$LJ$2:$LJ$317),"")</f>
        <v>0</v>
      </c>
      <c r="QF59" s="7">
        <f>IFERROR(AVERAGEIF('Данные 2st'!$Q$2:$Q$317,$A59,'Данные 2st'!$LK$2:$LK$317),"")</f>
        <v>5.75</v>
      </c>
      <c r="QG59" s="7">
        <f>IFERROR(AVERAGEIF('Данные 2st'!$Q$2:$Q$317,$A59,'Данные 2st'!$LL$2:$LL$317),"")</f>
        <v>4.25</v>
      </c>
      <c r="QH59" s="7">
        <f>IFERROR(AVERAGEIF('Данные 2st'!$Q$2:$Q$317,$A59,'Данные 2st'!$LM$2:$LM$317),"")</f>
        <v>7</v>
      </c>
      <c r="QI59" s="7">
        <f>IFERROR(AVERAGEIF('Данные 2st'!$Q$2:$Q$317,$A59,'Данные 2st'!$LN$2:$LN$317),"")</f>
        <v>0.25</v>
      </c>
      <c r="QJ59" s="7">
        <f>IFERROR(AVERAGEIF('Данные 2st'!$Q$2:$Q$317,$A59,'Данные 2st'!$LO$2:$LO$317),"")</f>
        <v>1.8</v>
      </c>
      <c r="QK59" s="7">
        <f>IFERROR(AVERAGEIF('Данные 2st'!$Q$2:$Q$317,$A59,'Данные 2st'!$LP$2:$LP$317),"")</f>
        <v>0</v>
      </c>
      <c r="QL59" s="7">
        <f>IFERROR(AVERAGEIF('Данные 2st'!$Q$2:$Q$317,$A59,'Данные 2st'!$LQ$2:$LQ$317),"")</f>
        <v>0</v>
      </c>
      <c r="QM59" s="7">
        <f>IFERROR(AVERAGEIF('Данные 2st'!$Q$2:$Q$317,$A59,'Данные 2st'!$LW$2:$LW$317),"")</f>
        <v>1.9500000000000002</v>
      </c>
      <c r="QN59" s="7">
        <f>IFERROR(AVERAGEIF('Данные 2st'!$Q$2:$Q$317,$A59,'Данные 2st'!$LX$2:$LX$317),"")</f>
        <v>1.9500000000000002</v>
      </c>
      <c r="QO59" s="7">
        <f>IFERROR(AVERAGEIF('Данные 2st'!$Q$2:$Q$317,$A59,'Данные 2st'!$LY$2:$LY$317),"")</f>
        <v>2.05</v>
      </c>
      <c r="QP59" s="7">
        <f>IFERROR(AVERAGEIF('Данные 2st'!$Q$2:$Q$317,$A59,'Данные 2st'!$LZ$2:$LZ$317),"")</f>
        <v>2.05</v>
      </c>
      <c r="QQ59" s="7">
        <f>IFERROR(AVERAGEIF('Данные 2st'!$Q$2:$Q$317,$A59,'Данные 2st'!$MB$2:$MB$317),"")</f>
        <v>3.5</v>
      </c>
      <c r="QR59" s="7">
        <f>IFERROR(AVERAGEIF('Данные 2st'!$Q$2:$Q$317,$A59,'Данные 2st'!$MG$2:$MG$317),"")</f>
        <v>0</v>
      </c>
      <c r="QS59" s="7">
        <f>IFERROR(AVERAGEIF('Данные 2st'!$Q$2:$Q$317,$A59,'Данные 2st'!$MH$2:$MH$317),"")</f>
        <v>0</v>
      </c>
      <c r="QT59" s="7">
        <f>IFERROR(AVERAGEIF('Данные 2st'!$Q$2:$Q$317,$A59,'Данные 2st'!$MI$2:$MI$317),"")</f>
        <v>0</v>
      </c>
      <c r="QU59" s="7">
        <f>IFERROR(AVERAGEIF('Данные 2st'!$Q$2:$Q$317,$A59,'Данные 2st'!$MJ$2:$MJ$317),"")</f>
        <v>0</v>
      </c>
      <c r="QV59" s="7">
        <f>IFERROR(AVERAGEIF('Данные 2st'!$Q$2:$Q$317,$A59,'Данные 2st'!$MK$2:$MK$317),"")</f>
        <v>0</v>
      </c>
      <c r="QW59" s="7">
        <f>IFERROR(AVERAGEIF('Данные 2st'!$Q$2:$Q$317,$A59,'Данные 2st'!$MM$2:$MM$317),"")</f>
        <v>390</v>
      </c>
      <c r="QX59" s="7">
        <f>IFERROR(AVERAGEIF('Данные 2st'!$Q$2:$Q$317,$A59,'Данные 2st'!$MQ$2:$MQ$317),"")</f>
        <v/>
      </c>
      <c r="QY59" s="7">
        <f>IFERROR(AVERAGEIF('Данные 2st'!$Q$2:$Q$317,$A59,'Данные 2st'!$MR$2:$MR$317),"")</f>
        <v/>
      </c>
      <c r="QZ59" s="7">
        <f>IFERROR(AVERAGEIF('Данные 2st'!$Q$2:$Q$317,$A59,'Данные 2st'!$MS$2:$MS$317),"")</f>
        <v/>
      </c>
      <c r="RA59" s="7">
        <f>IFERROR(AVERAGEIF('Данные 2st'!$Q$2:$Q$317,$A59,'Данные 2st'!$MT$2:$MT$317),"")</f>
        <v/>
      </c>
      <c r="RB59" s="7">
        <f>IFERROR(AVERAGEIF('Данные 2st'!$Q$2:$Q$317,$A59,'Данные 2st'!$MU$2:$MU$317),"")</f>
        <v/>
      </c>
      <c r="RC59" s="7">
        <f>IFERROR(AVERAGEIF('Данные 2st'!$Q$2:$Q$317,$A59,'Данные 2st'!$MV$2:$MV$317),"")</f>
        <v/>
      </c>
      <c r="RD59" s="7">
        <f>IFERROR(AVERAGEIF('Данные 2st'!$Q$2:$Q$317,$A59,'Данные 2st'!$MW$2:$MW$317),"")</f>
        <v/>
      </c>
      <c r="RE59" s="7">
        <f>IFERROR(AVERAGEIF('Данные 2st'!$Q$2:$Q$317,$A59,'Данные 2st'!$MX$2:$MX$317),"")</f>
        <v/>
      </c>
      <c r="RF59" s="7">
        <f>IFERROR(AVERAGEIF('Данные 2st'!$Q$2:$Q$317,$A59,'Данные 2st'!$MY$2:$MY$317),"")</f>
        <v/>
      </c>
      <c r="RG59" s="7">
        <f>IFERROR(AVERAGEIF('Данные 2st'!$Q$2:$Q$317,$A59,'Данные 2st'!$MZ$2:$MZ$317),"")</f>
        <v/>
      </c>
      <c r="RH59" s="7">
        <f>IFERROR(AVERAGEIF('Данные 2st'!$Q$2:$Q$317,$A59,'Данные 2st'!$NA$2:$NA$317),"")</f>
        <v/>
      </c>
      <c r="RI59" s="7">
        <f>IFERROR(AVERAGEIF('Данные 2st'!$Q$2:$Q$317,$A59,'Данные 2st'!$NB$2:$NB$317),"")</f>
        <v/>
      </c>
      <c r="RJ59" s="7">
        <f>IFERROR(AVERAGEIF('Данные 2st'!$Q$2:$Q$317,$A59,'Данные 2st'!$NC$2:$NC$317),"")</f>
        <v/>
      </c>
      <c r="RK59" s="7">
        <f>IFERROR(AVERAGEIF('Данные 2st'!$Q$2:$Q$317,$A59,'Данные 2st'!$ND$2:$ND$317),"")</f>
        <v/>
      </c>
      <c r="RL59" s="7">
        <f>IFERROR(AVERAGEIF('Данные 2st'!$Q$2:$Q$317,$A59,'Данные 2st'!$NE$2:$NE$317),"")</f>
        <v/>
      </c>
      <c r="RM59" s="7">
        <f>IFERROR(AVERAGEIF('Данные 2st'!$Q$2:$Q$317,$A59,'Данные 2st'!$NF$2:$NF$317),"")</f>
        <v/>
      </c>
      <c r="RN59" s="7">
        <f>IFERROR(AVERAGEIF('Данные 2st'!$Q$2:$Q$317,$A59,'Данные 2st'!$NG$2:$NG$317),"")</f>
        <v/>
      </c>
      <c r="RO59" s="7">
        <f>IFERROR(AVERAGEIF('Данные 2st'!$Q$2:$Q$317,$A59,'Данные 2st'!$NH$2:$NH$317),"")</f>
        <v/>
      </c>
      <c r="RP59" s="7">
        <f>IFERROR(AVERAGEIF('Данные 2st'!$Q$2:$Q$317,$A59,'Данные 2st'!$NJ$2:$NJ$317),"")</f>
        <v/>
      </c>
      <c r="RQ59" s="7">
        <f>IFERROR(AVERAGEIF('Данные 2st'!$Q$2:$Q$317,$A59,'Данные 2st'!$NK$2:$NK$317),"")</f>
        <v/>
      </c>
      <c r="RR59" s="7">
        <f>IFERROR(AVERAGEIF('Данные 2st'!$Q$2:$Q$317,$A59,'Данные 2st'!$NM$2:$NM$317),"")</f>
        <v/>
      </c>
      <c r="RS59" s="7">
        <f>IFERROR(AVERAGEIF('Данные 2st'!$Q$2:$Q$317,$A59,'Данные 2st'!$NN$2:$NN$317),"")</f>
        <v/>
      </c>
      <c r="RT59" s="7">
        <f>IFERROR(AVERAGEIF('Данные 2st'!$Q$2:$Q$317,$A59,'Данные 2st'!$NO$2:$NO$317),"")</f>
        <v/>
      </c>
      <c r="RU59" s="7">
        <f>IFERROR(AVERAGEIF('Данные 2st'!$Q$2:$Q$317,$A59,'Данные 2st'!$NP$2:$NP$317),"")</f>
        <v/>
      </c>
      <c r="RV59" s="7">
        <f>IFERROR(AVERAGEIF('Данные 2st'!$Q$2:$Q$317,$A59,'Данные 2st'!$NQ$2:$NQ$317),"")</f>
        <v/>
      </c>
      <c r="RW59" s="7">
        <f>IFERROR(AVERAGEIF('Данные 2st'!$Q$2:$Q$317,$A59,'Данные 2st'!$NR$2:$NR$317),"")</f>
        <v/>
      </c>
      <c r="RX59" s="7">
        <f>IFERROR(AVERAGEIF('Данные 2st'!$Q$2:$Q$317,$A59,'Данные 2st'!$NS$2:$NS$317),"")</f>
        <v/>
      </c>
      <c r="RY59" s="7">
        <f>IFERROR(AVERAGEIF('Данные 2st'!$Q$2:$Q$317,$A59,'Данные 2st'!$NT$2:$NT$317),"")</f>
        <v/>
      </c>
      <c r="RZ59" s="7">
        <f>IFERROR(AVERAGEIF('Данные 2st'!$Q$2:$Q$317,$A59,'Данные 2st'!$OK$2:$OK$317),"")</f>
        <v>61</v>
      </c>
      <c r="SA59" s="7">
        <f>IFERROR(AVERAGEIF('Данные 2st'!$Q$2:$Q$317,$A59,'Данные 2st'!$OL$2:$OL$317),"")</f>
        <v>61</v>
      </c>
      <c r="SB59" s="7">
        <f>IFERROR(AVERAGEIF('Данные 2st'!$Q$2:$Q$317,$A59,'Данные 2st'!$ON$2:$ON$317),"")</f>
        <v>1</v>
      </c>
      <c r="SC59" s="7">
        <f>IFERROR(AVERAGEIF('Данные 2st'!$Q$2:$Q$317,$A59,'Данные 2st'!$OO$2:$OO$317),"")</f>
        <v>2053.5</v>
      </c>
      <c r="SD59" s="7">
        <f>IFERROR(AVERAGEIF('Данные 2st'!$Q$2:$Q$317,$A59,'Данные 2st'!$OP$2:$OP$317),"")</f>
        <v>61</v>
      </c>
      <c r="SE59" s="7">
        <f>IFERROR(AVERAGEIF('Данные 2st'!$Q$2:$Q$317,$A59,'Данные 2st'!$OQ$2:$OQ$317),"")</f>
        <v>61</v>
      </c>
      <c r="SF59" s="7">
        <f>IFERROR(AVERAGEIF('Данные 2st'!$Q$2:$Q$317,$A59,'Данные 2st'!$OS$2:$OS$317),"")</f>
        <v>1</v>
      </c>
      <c r="SG59" s="7">
        <f>IFERROR(AVERAGEIF('Данные 2st'!$Q$2:$Q$317,$A59,'Данные 2st'!$OT$2:$OT$317),"")</f>
        <v>2065.5</v>
      </c>
      <c r="SH59" s="7">
        <f>IFERROR(AVERAGEIF('Данные 2st'!$Q$2:$Q$317,$A59,'Данные 2st'!$OU$2:$OU$317),"")</f>
        <v>65</v>
      </c>
      <c r="SI59" s="7">
        <f>IFERROR(AVERAGEIF('Данные 2st'!$Q$2:$Q$317,$A59,'Данные 2st'!$OV$2:$OV$317),"")</f>
        <v>65</v>
      </c>
      <c r="SJ59" s="7">
        <f>IFERROR(AVERAGEIF('Данные 2st'!$Q$2:$Q$317,$A59,'Данные 2st'!$OX$2:$OX$317),"")</f>
        <v>1.5</v>
      </c>
      <c r="SK59" s="7">
        <f>IFERROR(AVERAGEIF('Данные 2st'!$Q$2:$Q$317,$A59,'Данные 2st'!$OY$2:$OY$317),"")</f>
        <v>47124</v>
      </c>
      <c r="SL59" s="7">
        <f>IFERROR(AVERAGEIF('Данные 2st'!$Q$2:$Q$317,$A59,'Данные 2st'!$OZ$2:$OZ$317),"")</f>
        <v>51</v>
      </c>
      <c r="SM59" s="7">
        <f>IFERROR(AVERAGEIF('Данные 2st'!$Q$2:$Q$317,$A59,'Данные 2st'!$PA$2:$PA$317),"")</f>
        <v>52</v>
      </c>
      <c r="SN59" s="7">
        <f>IFERROR(AVERAGEIF('Данные 2st'!$Q$2:$Q$317,$A59,'Данные 2st'!$PC$2:$PC$317),"")</f>
        <v>2</v>
      </c>
      <c r="SO59" s="7">
        <f>IFERROR(AVERAGEIF('Данные 2st'!$Q$2:$Q$317,$A59,'Данные 2st'!$PD$2:$PD$317),"")</f>
        <v>2098.5</v>
      </c>
      <c r="SP59" s="7">
        <f>IFERROR(AVERAGEIF('Данные 2st'!$Q$2:$Q$317,$A59,'Данные 2st'!$PF$2:$PF$317),"")</f>
        <v>479.5</v>
      </c>
      <c r="SQ59" s="7">
        <f>IFERROR(AVERAGEIF('Данные 2st'!$Q$2:$Q$317,$A59,'Данные 2st'!$PG$2:$PG$317),"")</f>
        <v>35</v>
      </c>
      <c r="SR59" s="7">
        <f>IFERROR(AVERAGEIF('Данные 2st'!$Q$2:$Q$317,$A59,'Данные 2st'!$PH$2:$PH$317),"")</f>
        <v>457</v>
      </c>
      <c r="SS59" s="7">
        <f>IFERROR(AVERAGEIF('Данные 2st'!$Q$2:$Q$317,$A59,'Данные 2st'!$PI$2:$PI$317),"")</f>
        <v>0</v>
      </c>
      <c r="ST59" s="7">
        <f>IFERROR(AVERAGEIF('Данные 2st'!$Q$2:$Q$317,$A59,'Данные 2st'!$PJ$2:$PJ$317),"")</f>
        <v>68.5</v>
      </c>
      <c r="SU59" s="7">
        <f>IFERROR(AVERAGEIF('Данные 2st'!$Q$2:$Q$317,$A59,'Данные 2st'!$PK$2:$PK$317),"")</f>
        <v>1876</v>
      </c>
      <c r="SV59" s="7">
        <f>IFERROR(AVERAGEIF('Данные 2st'!$Q$2:$Q$317,$A59,'Данные 2st'!$PL$2:$PL$317),"")</f>
        <v>1117.7</v>
      </c>
      <c r="SW59" s="7">
        <f>IFERROR(AVERAGEIF('Данные 2st'!$Q$2:$Q$317,$A59,'Данные 2st'!$PM$2:$PM$317),"")</f>
        <v>900.7</v>
      </c>
      <c r="SX59" s="7">
        <f>IFERROR(AVERAGEIF('Данные 2st'!$Q$2:$Q$317,$A59,'Данные 2st'!$PN$2:$PN$317),"")</f>
        <v>104.55000000000001</v>
      </c>
      <c r="SY59" s="7">
        <f>IFERROR(AVERAGEIF('Данные 2st'!$Q$2:$Q$317,$A59,'Данные 2st'!$PO$2:$PO$317),"")</f>
        <v>9.649999999999999</v>
      </c>
      <c r="SZ59" s="7">
        <f>IFERROR(AVERAGEIF('Данные 2st'!$Q$2:$Q$317,$A59,'Данные 2st'!$PP$2:$PP$317),"")</f>
        <v>12</v>
      </c>
      <c r="TA59" s="7">
        <f>IFERROR(AVERAGEIF('Данные 2st'!$Q$2:$Q$317,$A59,'Данные 2st'!$PQ$2:$PQ$317),"")</f>
        <v>3</v>
      </c>
      <c r="TB59" s="7">
        <f>IFERROR(AVERAGEIF('Данные 2st'!$Q$2:$Q$317,$A59,'Данные 2st'!$PR$2:$PR$317),"")</f>
        <v>3</v>
      </c>
      <c r="TC59" s="7">
        <f>IFERROR(AVERAGEIF('Данные 2st'!$Q$2:$Q$317,$A59,'Данные 2st'!$PS$2:$PS$317),"")</f>
        <v>0</v>
      </c>
      <c r="TD59" s="7">
        <f>IFERROR(AVERAGEIF('Данные 2st'!$Q$2:$Q$317,$A59,'Данные 2st'!$PT$2:$PT$317),"")</f>
        <v>251</v>
      </c>
      <c r="TE59" s="7">
        <f>IFERROR(AVERAGEIF('Данные 2st'!$Q$2:$Q$317,$A59,'Данные 2st'!$PU$2:$PU$317),"")</f>
        <v>10</v>
      </c>
      <c r="TF59" s="7">
        <f>IFERROR(AVERAGEIF('Данные 2st'!$Q$2:$Q$317,$A59,'Данные 2st'!$PX$2:$PX$317),"")</f>
        <v>0</v>
      </c>
      <c r="TG59" s="7">
        <f>IFERROR(AVERAGEIF('Данные 2st'!$Q$2:$Q$317,$A59,'Данные 2st'!$PY$2:$PY$317),"")</f>
        <v>0</v>
      </c>
      <c r="TH59" s="7">
        <f>IFERROR(AVERAGEIF('Данные 2st'!$Q$2:$Q$317,$A59,'Данные 2st'!$PZ$2:$PZ$317),"")</f>
        <v>0</v>
      </c>
      <c r="TI59" s="7">
        <f>IFERROR(AVERAGEIF('Данные 2st'!$Q$2:$Q$317,$A59,'Данные 2st'!$QA$2:$QA$317),"")</f>
        <v>0</v>
      </c>
      <c r="TJ59" s="7">
        <f>IFERROR(AVERAGEIF('Данные 2st'!$Q$2:$Q$317,$A59,'Данные 2st'!$QB$2:$QB$317),"")</f>
        <v>0</v>
      </c>
      <c r="TK59" s="7">
        <f>IFERROR(AVERAGEIF('Данные 2st'!$Q$2:$Q$317,$A59,'Данные 2st'!$QC$2:$QC$317),"")</f>
        <v>0</v>
      </c>
      <c r="TL59" s="7">
        <f>IFERROR(AVERAGEIF('Данные 2st'!$Q$2:$Q$317,$A59,'Данные 2st'!$QD$2:$QD$317),"")</f>
        <v>0</v>
      </c>
      <c r="TM59" s="7">
        <f>IFERROR(AVERAGEIF('Данные 2st'!$Q$2:$Q$317,$A59,'Данные 2st'!$QE$2:$QE$317),"")</f>
        <v>-1</v>
      </c>
      <c r="TN59" s="7">
        <f>IFERROR(AVERAGEIF('Данные 2st'!$Q$2:$Q$317,$A59,'Данные 2st'!$QF$2:$QF$317),"")</f>
        <v>1</v>
      </c>
      <c r="TO59" s="7">
        <f>IFERROR(AVERAGEIF('Данные 2st'!$Q$2:$Q$317,$A59,'Данные 2st'!$QG$2:$QG$317),"")</f>
        <v>0</v>
      </c>
      <c r="TP59" s="7">
        <f>IFERROR(AVERAGEIF('Данные 2st'!$Q$2:$Q$317,$A59,'Данные 2st'!$QH$2:$QH$317),"")</f>
        <v>5</v>
      </c>
      <c r="TQ59" s="7">
        <f>IFERROR(AVERAGEIF('Данные 2st'!$Q$2:$Q$317,$A59,'Данные 2st'!$QI$2:$QI$317),"")</f>
        <v>5</v>
      </c>
      <c r="TR59" s="7">
        <f>IFERROR(AVERAGEIF('Данные 2st'!$Q$2:$Q$317,$A59,'Данные 2st'!$QJ$2:$QJ$317),"")</f>
        <v>5</v>
      </c>
      <c r="TS59" s="7">
        <f>IFERROR(AVERAGEIF('Данные 2st'!$Q$2:$Q$317,$A59,'Данные 2st'!$QK$2:$QK$317),"")</f>
        <v>201</v>
      </c>
      <c r="TT59" s="7">
        <f>IFERROR(AVERAGEIF('Данные 2st'!$Q$2:$Q$317,$A59,'Данные 2st'!$QL$2:$QL$317),"")</f>
        <v>401</v>
      </c>
      <c r="TU59" s="7">
        <f>IFERROR(AVERAGEIF('Данные 2st'!$Q$2:$Q$317,$A59,'Данные 2st'!$QM$2:$QM$317),"")</f>
        <v>7.5</v>
      </c>
      <c r="TV59" s="7">
        <f>IFERROR(AVERAGEIF('Данные 2st'!$Q$2:$Q$317,$A59,'Данные 2st'!$QN$2:$QN$317),"")</f>
        <v>1542.5</v>
      </c>
      <c r="TW59" s="7">
        <f>IFERROR(AVERAGEIF('Данные 2st'!$Q$2:$Q$317,$A59,'Данные 2st'!$QQ$2:$QQ$317),"")</f>
        <v>0</v>
      </c>
      <c r="TX59" s="7">
        <f>IFERROR(AVERAGEIF('Данные 2st'!$Q$2:$Q$317,$A59,'Данные 2st'!$QS$2:$QS$317),"")</f>
        <v>40</v>
      </c>
      <c r="TY59" s="7">
        <f>IFERROR(AVERAGEIF('Данные 2st'!$Q$2:$Q$317,$A59,'Данные 2st'!$QT$2:$QT$317),"")</f>
        <v>50</v>
      </c>
    </row>
    <row r="60" spans="1:545" ht="32" customHeight="1">
      <c r="A60" s="11" t="s">
        <v>713</v>
      </c>
      <c r="B60">
        <f>COUNTIF('Данные 1st'!$S$2:$S$317,$A60)</f>
        <v>6</v>
      </c>
      <c r="C60" s="6" t="s">
        <v>5113</v>
      </c>
      <c r="D60" s="6" t="s">
        <v>513</v>
      </c>
      <c r="E60" s="6" t="s">
        <v>5125</v>
      </c>
      <c r="F60" s="6" t="s">
        <v>5176</v>
      </c>
      <c r="G60" s="7">
        <f>IFERROR(AVERAGEIF('Данные 1st'!$S$2:$S$317,$A60,'Данные 1st'!$AE$2:$AE$317),"")</f>
        <v>199.5</v>
      </c>
      <c r="H60" s="7">
        <f>IFERROR(AVERAGEIF('Данные 1st'!$S$2:$S$317,$A60,'Данные 1st'!$AF$2:$AF$317),"")</f>
        <v>1.5</v>
      </c>
      <c r="I60" s="7">
        <f>IFERROR(AVERAGEIF('Данные 1st'!$S$2:$S$317,$A60,'Данные 1st'!$AJ$2:$AJ$317),"")</f>
        <v>182.91666666666666</v>
      </c>
      <c r="J60" s="7">
        <f>IFERROR(AVERAGEIF('Данные 1st'!$S$2:$S$317,$A60,'Данные 1st'!$AL$2:$AL$317),"")</f>
        <v>1.5</v>
      </c>
      <c r="K60" s="7">
        <f>IFERROR(AVERAGEIF('Данные 1st'!$S$2:$S$317,$A60,'Данные 1st'!$AR$2:$AR$317),"")</f>
        <v>224.5</v>
      </c>
      <c r="L60" s="7">
        <f>IFERROR(AVERAGEIF('Данные 1st'!$S$2:$S$317,$A60,'Данные 1st'!$AS$2:$AS$317),"")</f>
        <v>1.5</v>
      </c>
      <c r="M60" s="7">
        <f>IFERROR(AVERAGEIF('Данные 1st'!$S$2:$S$317,$A60,'Данные 1st'!$AY$2:$AY$317),"")</f>
        <v>260.4166666666667</v>
      </c>
      <c r="N60" s="7">
        <f>IFERROR(AVERAGEIF('Данные 1st'!$S$2:$S$317,$A60,'Данные 1st'!$AZ$2:$AZ$317),"")</f>
        <v>1.5</v>
      </c>
      <c r="O60" s="7">
        <f>IFERROR(AVERAGEIF('Данные 1st'!$S$2:$S$317,$A60,'Данные 1st'!$BF$2:$BF$317),"")</f>
        <v>223.5</v>
      </c>
      <c r="P60" s="7">
        <f>IFERROR(AVERAGEIF('Данные 1st'!$S$2:$S$317,$A60,'Данные 1st'!$BG$2:$BG$317),"")</f>
        <v>1.5</v>
      </c>
      <c r="Q60" s="7">
        <f>IFERROR(AVERAGEIF('Данные 1st'!$S$2:$S$317,$A60,'Данные 1st'!$BM$2:$BM$317),"")</f>
        <v/>
      </c>
      <c r="R60" s="7">
        <f>IFERROR(AVERAGEIF('Данные 1st'!$S$2:$S$317,$A60,'Данные 1st'!$BN$2:$BN$317),"")</f>
        <v>1.5</v>
      </c>
      <c r="S60" s="7">
        <f>IFERROR(AVERAGEIF('Данные 1st'!$S$2:$S$317,$A60,'Данные 1st'!$BT$2:$BT$317),"")</f>
        <v>199.33333333333334</v>
      </c>
      <c r="T60" s="7">
        <f>IFERROR(AVERAGEIF('Данные 1st'!$S$2:$S$317,$A60,'Данные 1st'!$BU$2:$BU$317),"")</f>
        <v>0.5</v>
      </c>
      <c r="U60" s="7">
        <f>IFERROR(AVERAGEIF('Данные 1st'!$S$2:$S$317,$A60,'Данные 1st'!$BW$2:$BW$317),"")</f>
        <v>398.6666666666667</v>
      </c>
      <c r="V60" s="7">
        <f>IFERROR(AVERAGEIF('Данные 1st'!$S$2:$S$317,$A60,'Данные 1st'!$BX$2:$BX$317),"")</f>
        <v>1</v>
      </c>
      <c r="W60" s="7">
        <f>IFERROR(AVERAGEIF('Данные 1st'!$S$2:$S$317,$A60,'Данные 1st'!$BZ$2:$BZ$317),"")</f>
        <v>300</v>
      </c>
      <c r="X60" s="7">
        <f>IFERROR(AVERAGEIF('Данные 1st'!$S$2:$S$317,$A60,'Данные 1st'!$CA$2:$CA$317),"")</f>
        <v>470</v>
      </c>
      <c r="Y60" s="7">
        <f>IFERROR(AVERAGEIF('Данные 1st'!$S$2:$S$317,$A60,'Данные 1st'!$CD$2:$CD$317),"")</f>
        <v>429.1666666666667</v>
      </c>
      <c r="Z60" s="7">
        <f>IFERROR(AVERAGEIF('Данные 1st'!$S$2:$S$317,$A60,'Данные 1st'!$CF$2:$CF$317),"")</f>
        <v>15</v>
      </c>
      <c r="AA60" s="7">
        <f>IFERROR(AVERAGEIF('Данные 1st'!$S$2:$S$317,$A60,'Данные 1st'!$CI$2:$CI$317),"")</f>
        <v>85</v>
      </c>
      <c r="AB60" s="7">
        <f>IFERROR(AVERAGEIF('Данные 1st'!$S$2:$S$317,$A60,'Данные 1st'!$CJ$2:$CJ$317),"")</f>
        <v>1538</v>
      </c>
      <c r="AC60" s="7">
        <f>IFERROR(AVERAGEIF('Данные 1st'!$S$2:$S$317,$A60,'Данные 1st'!$CK$2:$CK$317),"")</f>
        <v>2</v>
      </c>
      <c r="AD60" s="7">
        <f>IFERROR(AVERAGEIF('Данные 1st'!$S$2:$S$317,$A60,'Данные 1st'!$CL$2:$CL$317),"")</f>
        <v>1632</v>
      </c>
      <c r="AE60" s="7">
        <f>IFERROR(AVERAGEIF('Данные 1st'!$S$2:$S$317,$A60,'Данные 1st'!$CM$2:$CM$317),"")</f>
        <v>2</v>
      </c>
      <c r="AF60" s="7">
        <f>IFERROR(AVERAGEIF('Данные 1st'!$S$2:$S$317,$A60,'Данные 1st'!$CT$2:$CT$317),"")</f>
        <v>365.8333333333333</v>
      </c>
      <c r="AG60" s="7">
        <f>IFERROR(AVERAGEIF('Данные 1st'!$S$2:$S$317,$A60,'Данные 1st'!$CU$2:$CU$317),"")</f>
        <v>5</v>
      </c>
      <c r="AH60" s="7">
        <f>IFERROR(AVERAGEIF('Данные 1st'!$S$2:$S$317,$A60,'Данные 1st'!$CV$2:$CV$317),"")</f>
        <v>1.2</v>
      </c>
      <c r="AI60" s="7">
        <f>IFERROR(AVERAGEIF('Данные 1st'!$S$2:$S$317,$A60,'Данные 1st'!$CW$2:$CW$317),"")</f>
        <v>1554</v>
      </c>
      <c r="AJ60" s="7">
        <f>IFERROR(AVERAGEIF('Данные 1st'!$S$2:$S$317,$A60,'Данные 1st'!$CX$2:$CX$317),"")</f>
        <v>804.6666666666666</v>
      </c>
      <c r="AK60" s="7">
        <f>IFERROR(AVERAGEIF('Данные 1st'!$S$2:$S$317,$A60,'Данные 1st'!$CZ$2:$CZ$317),"")</f>
        <v>53.333333333333336</v>
      </c>
      <c r="AL60" s="7">
        <f>IFERROR(AVERAGEIF('Данные 1st'!$S$2:$S$317,$A60,'Данные 1st'!$DA$2:$DA$317),"")</f>
        <v>3</v>
      </c>
      <c r="AM60" s="7">
        <f>IFERROR(AVERAGEIF('Данные 1st'!$S$2:$S$317,$A60,'Данные 1st'!$DB$2:$DB$317),"")</f>
        <v>1.0933333333333333</v>
      </c>
      <c r="AN60" s="7">
        <f>IFERROR(AVERAGEIF('Данные 1st'!$S$2:$S$317,$A60,'Данные 1st'!$DC$2:$DC$317),"")</f>
        <v>1554</v>
      </c>
      <c r="AO60" s="7">
        <f>IFERROR(AVERAGEIF('Данные 1st'!$S$2:$S$317,$A60,'Данные 1st'!$DD$2:$DD$317),"")</f>
        <v>96.33333333333333</v>
      </c>
      <c r="AP60" s="7">
        <f>IFERROR(AVERAGEIF('Данные 1st'!$S$2:$S$317,$A60,'Данные 1st'!$DF$2:$DF$317),"")</f>
        <v>520.8333333333334</v>
      </c>
      <c r="AQ60" s="7">
        <f>IFERROR(AVERAGEIF('Данные 1st'!$S$2:$S$317,$A60,'Данные 1st'!$DG$2:$DG$317),"")</f>
        <v>3</v>
      </c>
      <c r="AR60" s="7">
        <f>IFERROR(AVERAGEIF('Данные 1st'!$S$2:$S$317,$A60,'Данные 1st'!$DH$2:$DH$317),"")</f>
        <v>0.9366666666666666</v>
      </c>
      <c r="AS60" s="7">
        <f>IFERROR(AVERAGEIF('Данные 1st'!$S$2:$S$317,$A60,'Данные 1st'!$DI$2:$DI$317),"")</f>
        <v>1547.3333333333333</v>
      </c>
      <c r="AT60" s="7">
        <f>IFERROR(AVERAGEIF('Данные 1st'!$S$2:$S$317,$A60,'Данные 1st'!$DJ$2:$DJ$317),"")</f>
        <v>1031.5</v>
      </c>
      <c r="AU60" s="7">
        <f>IFERROR(AVERAGEIF('Данные 1st'!$S$2:$S$317,$A60,'Данные 1st'!$DL$2:$DL$317),"")</f>
        <v>447</v>
      </c>
      <c r="AV60" s="7">
        <f>IFERROR(AVERAGEIF('Данные 1st'!$S$2:$S$317,$A60,'Данные 1st'!$DM$2:$DM$317),"")</f>
        <v>3</v>
      </c>
      <c r="AW60" s="7">
        <f>IFERROR(AVERAGEIF('Данные 1st'!$S$2:$S$317,$A60,'Данные 1st'!$DN$2:$DN$317),"")</f>
        <v>0.88</v>
      </c>
      <c r="AX60" s="7">
        <f>IFERROR(AVERAGEIF('Данные 1st'!$S$2:$S$317,$A60,'Данные 1st'!$DO$2:$DO$317),"")</f>
        <v>1552.2</v>
      </c>
      <c r="AY60" s="7">
        <f>IFERROR(AVERAGEIF('Данные 1st'!$S$2:$S$317,$A60,'Данные 1st'!$DP$2:$DP$317),"")</f>
        <v>839.2</v>
      </c>
      <c r="AZ60" s="7">
        <f>IFERROR(AVERAGEIF('Данные 1st'!$S$2:$S$317,$A60,'Данные 1st'!$DR$2:$DR$317),"")</f>
        <v/>
      </c>
      <c r="BA60" s="7">
        <f>IFERROR(AVERAGEIF('Данные 1st'!$S$2:$S$317,$A60,'Данные 1st'!$DS$2:$DS$317),"")</f>
        <v/>
      </c>
      <c r="BB60" s="7">
        <f>IFERROR(AVERAGEIF('Данные 1st'!$S$2:$S$317,$A60,'Данные 1st'!$DT$2:$DT$317),"")</f>
        <v/>
      </c>
      <c r="BC60" s="7">
        <f>IFERROR(AVERAGEIF('Данные 1st'!$S$2:$S$317,$A60,'Данные 1st'!$DU$2:$DU$317),"")</f>
        <v/>
      </c>
      <c r="BD60" s="7">
        <f>IFERROR(AVERAGEIF('Данные 1st'!$S$2:$S$317,$A60,'Данные 1st'!$DV$2:$DV$317),"")</f>
        <v/>
      </c>
      <c r="BE60" s="7">
        <f>IFERROR(AVERAGEIF('Данные 1st'!$S$2:$S$317,$A60,'Данные 1st'!$DX$2:$DX$317),"")</f>
        <v>7.816666666666666</v>
      </c>
      <c r="BF60" s="7">
        <f>IFERROR(AVERAGEIF('Данные 1st'!$S$2:$S$317,$A60,'Данные 1st'!$EA$2:$EA$317),"")</f>
        <v>1623.2666666666667</v>
      </c>
      <c r="BG60" s="7">
        <f>IFERROR(AVERAGEIF('Данные 1st'!$S$2:$S$317,$A60,'Данные 1st'!$EB$2:$EB$317),"")</f>
        <v>337.3333333333333</v>
      </c>
      <c r="BH60" s="7">
        <f>IFERROR(AVERAGEIF('Данные 1st'!$S$2:$S$317,$A60,'Данные 1st'!$ED$2:$ED$317),"")</f>
        <v>30.833333333333332</v>
      </c>
      <c r="BI60" s="7">
        <f>IFERROR(AVERAGEIF('Данные 1st'!$S$2:$S$317,$A60,'Данные 1st'!$EE$2:$EE$317),"")</f>
        <v>3</v>
      </c>
      <c r="BJ60" s="7">
        <f>IFERROR(AVERAGEIF('Данные 1st'!$S$2:$S$317,$A60,'Данные 1st'!$EG$2:$EG$317),"")</f>
        <v>1667.6666666666667</v>
      </c>
      <c r="BK60" s="7">
        <f>IFERROR(AVERAGEIF('Данные 1st'!$S$2:$S$317,$A60,'Данные 1st'!$EH$2:$EH$317),"")</f>
        <v>208.33333333333334</v>
      </c>
      <c r="BL60" s="7">
        <f>IFERROR(AVERAGEIF('Данные 1st'!$S$2:$S$317,$A60,'Данные 1st'!$EJ$2:$EJ$317),"")</f>
        <v>0</v>
      </c>
      <c r="BM60" s="7">
        <f>IFERROR(AVERAGEIF('Данные 1st'!$S$2:$S$317,$A60,'Данные 1st'!$EK$2:$EK$317),"")</f>
        <v>1</v>
      </c>
      <c r="BN60" s="7">
        <f>IFERROR(AVERAGEIF('Данные 1st'!$S$2:$S$317,$A60,'Данные 1st'!$EN$2:$EN$317),"")</f>
        <v>0</v>
      </c>
      <c r="BO60" s="7">
        <f>IFERROR(AVERAGEIF('Данные 1st'!$S$2:$S$317,$A60,'Данные 1st'!$EQ$2:$EQ$317),"")</f>
        <v>76.66666666666667</v>
      </c>
      <c r="BP60" s="7">
        <f>IFERROR(AVERAGEIF('Данные 1st'!$S$2:$S$317,$A60,'Данные 1st'!$ER$2:$ER$317),"")</f>
        <v>3</v>
      </c>
      <c r="BQ60" s="7">
        <f>IFERROR(AVERAGEIF('Данные 1st'!$S$2:$S$317,$A60,'Данные 1st'!$ES$2:$ES$317),"")</f>
        <v>4.916666666666667</v>
      </c>
      <c r="BR60" s="7">
        <f>IFERROR(AVERAGEIF('Данные 1st'!$S$2:$S$317,$A60,'Данные 1st'!$ET$2:$ET$317),"")</f>
        <v>1530.5</v>
      </c>
      <c r="BS60" s="7">
        <f>IFERROR(AVERAGEIF('Данные 1st'!$S$2:$S$317,$A60,'Данные 1st'!$EU$2:$EU$317),"")</f>
        <v>310.9166666666667</v>
      </c>
      <c r="BT60" s="7">
        <f>IFERROR(AVERAGEIF('Данные 1st'!$S$2:$S$317,$A60,'Данные 1st'!$EV$2:$EV$317),"")</f>
        <v>476</v>
      </c>
      <c r="BU60" s="7">
        <f>IFERROR(AVERAGEIF('Данные 1st'!$S$2:$S$317,$A60,'Данные 1st'!$EX$2:$EX$317),"")</f>
        <v>45</v>
      </c>
      <c r="BV60" s="7">
        <f>IFERROR(AVERAGEIF('Данные 1st'!$S$2:$S$317,$A60,'Данные 1st'!$EY$2:$EY$317),"")</f>
        <v>2</v>
      </c>
      <c r="BW60" s="7">
        <f>IFERROR(AVERAGEIF('Данные 1st'!$S$2:$S$317,$A60,'Данные 1st'!$EZ$2:$EZ$317),"")</f>
        <v>4.4</v>
      </c>
      <c r="BX60" s="7">
        <f>IFERROR(AVERAGEIF('Данные 1st'!$S$2:$S$317,$A60,'Данные 1st'!$FA$2:$FA$317),"")</f>
        <v>1530.5</v>
      </c>
      <c r="BY60" s="7">
        <f>IFERROR(AVERAGEIF('Данные 1st'!$S$2:$S$317,$A60,'Данные 1st'!$FB$2:$FB$317),"")</f>
        <v>140.38333333333333</v>
      </c>
      <c r="BZ60" s="7">
        <f>IFERROR(AVERAGEIF('Данные 1st'!$S$2:$S$317,$A60,'Данные 1st'!$FC$2:$FC$317),"")</f>
        <v>215.16666666666666</v>
      </c>
      <c r="CA60" s="7">
        <f>IFERROR(AVERAGEIF('Данные 1st'!$S$2:$S$317,$A60,'Данные 1st'!$FE$2:$FE$317),"")</f>
        <v>0</v>
      </c>
      <c r="CB60" s="7">
        <f>IFERROR(AVERAGEIF('Данные 1st'!$S$2:$S$317,$A60,'Данные 1st'!$FF$2:$FF$317),"")</f>
        <v>2</v>
      </c>
      <c r="CC60" s="7">
        <f>IFERROR(AVERAGEIF('Данные 1st'!$S$2:$S$317,$A60,'Данные 1st'!$FI$2:$FI$317),"")</f>
        <v>0</v>
      </c>
      <c r="CD60" s="7">
        <f>IFERROR(AVERAGEIF('Данные 1st'!$S$2:$S$317,$A60,'Данные 1st'!$FL$2:$FL$317),"")</f>
        <v>0.43333333333333335</v>
      </c>
      <c r="CE60" s="7">
        <f>IFERROR(AVERAGEIF('Данные 1st'!$S$2:$S$317,$A60,'Данные 1st'!$FM$2:$FM$317),"")</f>
        <v>52.5</v>
      </c>
      <c r="CF60" s="7">
        <f>IFERROR(AVERAGEIF('Данные 1st'!$S$2:$S$317,$A60,'Данные 1st'!$FN$2:$FN$317),"")</f>
        <v>331.6666666666667</v>
      </c>
      <c r="CG60" s="7">
        <f>IFERROR(AVERAGEIF('Данные 1st'!$S$2:$S$317,$A60,'Данные 1st'!$FO$2:$FO$317),"")</f>
        <v>55.833333333333336</v>
      </c>
      <c r="CH60" s="7">
        <f>IFERROR(AVERAGEIF('Данные 1st'!$S$2:$S$317,$A60,'Данные 1st'!$FP$2:$FP$317),"")</f>
        <v>163.33333333333334</v>
      </c>
      <c r="CI60" s="7">
        <f>IFERROR(AVERAGEIF('Данные 1st'!$S$2:$S$317,$A60,'Данные 1st'!$FS$2:$FS$317),"")</f>
        <v>0.4</v>
      </c>
      <c r="CJ60" s="7">
        <f>IFERROR(AVERAGEIF('Данные 1st'!$S$2:$S$317,$A60,'Данные 1st'!$FT$2:$FT$317),"")</f>
        <v>30</v>
      </c>
      <c r="CK60" s="7">
        <f>IFERROR(AVERAGEIF('Данные 1st'!$S$2:$S$317,$A60,'Данные 1st'!$FU$2:$FU$317),"")</f>
        <v>250</v>
      </c>
      <c r="CL60" s="7">
        <f>IFERROR(AVERAGEIF('Данные 1st'!$S$2:$S$317,$A60,'Данные 1st'!$FV$2:$FV$317),"")</f>
        <v/>
      </c>
      <c r="CM60" s="7">
        <f>IFERROR(AVERAGEIF('Данные 1st'!$S$2:$S$317,$A60,'Данные 1st'!$FW$2:$FW$317),"")</f>
        <v/>
      </c>
      <c r="CN60" s="7">
        <f>IFERROR(AVERAGEIF('Данные 1st'!$S$2:$S$317,$A60,'Данные 1st'!$FZ$2:$FZ$317),"")</f>
        <v>1.6</v>
      </c>
      <c r="CO60" s="7">
        <f>IFERROR(AVERAGEIF('Данные 1st'!$S$2:$S$317,$A60,'Данные 1st'!$GA$2:$GA$317),"")</f>
        <v>20</v>
      </c>
      <c r="CP60" s="7">
        <f>IFERROR(AVERAGEIF('Данные 1st'!$S$2:$S$317,$A60,'Данные 1st'!$GB$2:$GB$317),"")</f>
        <v>191</v>
      </c>
      <c r="CQ60" s="7">
        <f>IFERROR(AVERAGEIF('Данные 1st'!$S$2:$S$317,$A60,'Данные 1st'!$GH$2:$GH$317),"")</f>
        <v>1.6</v>
      </c>
      <c r="CR60" s="7">
        <f>IFERROR(AVERAGEIF('Данные 1st'!$S$2:$S$317,$A60,'Данные 1st'!$GI$2:$GI$317),"")</f>
        <v>20</v>
      </c>
      <c r="CS60" s="7">
        <f>IFERROR(AVERAGEIF('Данные 1st'!$S$2:$S$317,$A60,'Данные 1st'!$GJ$2:$GJ$317),"")</f>
        <v>191</v>
      </c>
      <c r="CT60" s="7">
        <f>IFERROR(AVERAGEIF('Данные 1st'!$S$2:$S$317,$A60,'Данные 1st'!$GS$2:$GS$317),"")</f>
        <v>0.4</v>
      </c>
      <c r="CU60" s="7">
        <f>IFERROR(AVERAGEIF('Данные 1st'!$S$2:$S$317,$A60,'Данные 1st'!$GT$2:$GT$317),"")</f>
        <v>30</v>
      </c>
      <c r="CV60" s="7">
        <f>IFERROR(AVERAGEIF('Данные 1st'!$S$2:$S$317,$A60,'Данные 1st'!$GU$2:$GU$317),"")</f>
        <v>362</v>
      </c>
      <c r="CW60" s="7">
        <f>IFERROR(AVERAGEIF('Данные 1st'!$S$2:$S$317,$A60,'Данные 1st'!$GV$2:$GV$317),"")</f>
        <v>37</v>
      </c>
      <c r="CX60" s="7">
        <f>IFERROR(AVERAGEIF('Данные 1st'!$S$2:$S$317,$A60,'Данные 1st'!$GW$2:$GW$317),"")</f>
        <v>236</v>
      </c>
      <c r="CY60" s="7">
        <f>IFERROR(AVERAGEIF('Данные 1st'!$S$2:$S$317,$A60,'Данные 1st'!$GZ$2:$GZ$317),"")</f>
        <v>1.6</v>
      </c>
      <c r="CZ60" s="7">
        <f>IFERROR(AVERAGEIF('Данные 1st'!$S$2:$S$317,$A60,'Данные 1st'!$HA$2:$HA$317),"")</f>
        <v>20</v>
      </c>
      <c r="DA60" s="7">
        <f>IFERROR(AVERAGEIF('Данные 1st'!$S$2:$S$317,$A60,'Данные 1st'!$HB$2:$HB$317),"")</f>
        <v>186</v>
      </c>
      <c r="DB60" s="7">
        <f>IFERROR(AVERAGEIF('Данные 1st'!$S$2:$S$317,$A60,'Данные 1st'!$HC$2:$HC$317),"")</f>
        <v>0.1</v>
      </c>
      <c r="DC60" s="7">
        <f>IFERROR(AVERAGEIF('Данные 1st'!$S$2:$S$317,$A60,'Данные 1st'!$HD$2:$HD$317),"")</f>
        <v>3</v>
      </c>
      <c r="DD60" s="7">
        <f>IFERROR(AVERAGEIF('Данные 1st'!$S$2:$S$317,$A60,'Данные 1st'!$HE$2:$HE$317),"")</f>
        <v>3</v>
      </c>
      <c r="DE60" s="7">
        <f>IFERROR(AVERAGEIF('Данные 1st'!$S$2:$S$317,$A60,'Данные 1st'!$HF$2:$HF$317),"")</f>
        <v>3</v>
      </c>
      <c r="DF60" s="7">
        <f>IFERROR(AVERAGEIF('Данные 1st'!$S$2:$S$317,$A60,'Данные 1st'!$HG$2:$HG$317),"")</f>
        <v>3</v>
      </c>
      <c r="DG60" s="7">
        <f>IFERROR(AVERAGEIF('Данные 1st'!$S$2:$S$317,$A60,'Данные 1st'!$HH$2:$HH$317),"")</f>
        <v>3</v>
      </c>
      <c r="DH60" s="7">
        <f>IFERROR(AVERAGEIF('Данные 1st'!$S$2:$S$317,$A60,'Данные 1st'!$HI$2:$HI$317),"")</f>
        <v>106.66666666666667</v>
      </c>
      <c r="DI60" s="7">
        <f>IFERROR(AVERAGEIF('Данные 1st'!$S$2:$S$317,$A60,'Данные 1st'!$HJ$2:$HJ$317),"")</f>
        <v>3</v>
      </c>
      <c r="DJ60" s="7">
        <f>IFERROR(AVERAGEIF('Данные 1st'!$S$2:$S$317,$A60,'Данные 1st'!$HK$2:$HK$317),"")</f>
        <v>30</v>
      </c>
      <c r="DK60" s="7">
        <f>IFERROR(AVERAGEIF('Данные 1st'!$S$2:$S$317,$A60,'Данные 1st'!$HL$2:$HL$317),"")</f>
        <v>2</v>
      </c>
      <c r="DL60" s="7">
        <f>IFERROR(AVERAGEIF('Данные 1st'!$S$2:$S$317,$A60,'Данные 1st'!$HM$2:$HM$317),"")</f>
        <v>0</v>
      </c>
      <c r="DM60" s="7">
        <f>IFERROR(AVERAGEIF('Данные 1st'!$S$2:$S$317,$A60,'Данные 1st'!$HN$2:$HN$317),"")</f>
        <v>2</v>
      </c>
      <c r="DN60" s="7">
        <f>IFERROR(AVERAGEIF('Данные 1st'!$S$2:$S$317,$A60,'Данные 1st'!$HO$2:$HO$317),"")</f>
        <v>61.666666666666664</v>
      </c>
      <c r="DO60" s="7">
        <f>IFERROR(AVERAGEIF('Данные 1st'!$S$2:$S$317,$A60,'Данные 1st'!$HP$2:$HP$317),"")</f>
        <v>3</v>
      </c>
      <c r="DP60" s="7">
        <f>IFERROR(AVERAGEIF('Данные 1st'!$S$2:$S$317,$A60,'Данные 1st'!$HQ$2:$HQ$317),"")</f>
        <v>0</v>
      </c>
      <c r="DQ60" s="7">
        <f>IFERROR(AVERAGEIF('Данные 1st'!$S$2:$S$317,$A60,'Данные 1st'!$HR$2:$HR$317),"")</f>
        <v>2</v>
      </c>
      <c r="DR60" s="7">
        <f>IFERROR(AVERAGEIF('Данные 1st'!$S$2:$S$317,$A60,'Данные 1st'!$HS$2:$HS$317),"")</f>
        <v>5201.833333333333</v>
      </c>
      <c r="DS60" s="7">
        <f>IFERROR(AVERAGEIF('Данные 1st'!$S$2:$S$317,$A60,'Данные 1st'!$HT$2:$HT$317),"")</f>
        <v>156.66666666666666</v>
      </c>
      <c r="DT60" s="7">
        <f>IFERROR(AVERAGEIF('Данные 1st'!$S$2:$S$317,$A60,'Данные 1st'!$HU$2:$HU$317),"")</f>
        <v>180</v>
      </c>
      <c r="DU60" s="7">
        <f>IFERROR(AVERAGEIF('Данные 1st'!$S$2:$S$317,$A60,'Данные 1st'!$HW$2:$HW$317),"")</f>
        <v>0</v>
      </c>
      <c r="DV60" s="7">
        <f>IFERROR(AVERAGEIF('Данные 1st'!$S$2:$S$317,$A60,'Данные 1st'!$HX$2:$HX$317),"")</f>
        <v>446</v>
      </c>
      <c r="DW60" s="7">
        <f>IFERROR(AVERAGEIF('Данные 1st'!$S$2:$S$317,$A60,'Данные 1st'!$HY$2:$HY$317),"")</f>
        <v>0.18</v>
      </c>
      <c r="DX60" s="7">
        <f>IFERROR(AVERAGEIF('Данные 1st'!$S$2:$S$317,$A60,'Данные 1st'!$IA$2:$IA$317),"")</f>
        <v>0.15</v>
      </c>
      <c r="DY60" s="7">
        <f>IFERROR(AVERAGEIF('Данные 1st'!$S$2:$S$317,$A60,'Данные 1st'!$IB$2:$IB$317),"")</f>
        <v>0</v>
      </c>
      <c r="DZ60" s="7">
        <f>IFERROR(AVERAGEIF('Данные 1st'!$S$2:$S$317,$A60,'Данные 1st'!$IC$2:$IC$317),"")</f>
        <v>180</v>
      </c>
      <c r="EA60" s="7">
        <f>IFERROR(AVERAGEIF('Данные 1st'!$S$2:$S$317,$A60,'Данные 1st'!$ID$2:$ID$317),"")</f>
        <v>110</v>
      </c>
      <c r="EB60" s="7">
        <f>IFERROR(AVERAGEIF('Данные 1st'!$S$2:$S$317,$A60,'Данные 1st'!$IE$2:$IE$317),"")</f>
        <v>187.5</v>
      </c>
      <c r="EC60" s="7">
        <f>IFERROR(AVERAGEIF('Данные 1st'!$S$2:$S$317,$A60,'Данные 1st'!$IF$2:$IF$317),"")</f>
        <v>0</v>
      </c>
      <c r="ED60" s="7">
        <f>IFERROR(AVERAGEIF('Данные 1st'!$S$2:$S$317,$A60,'Данные 1st'!$IP$2:$IP$317),"")</f>
        <v>20</v>
      </c>
      <c r="EE60" s="7">
        <f>IFERROR(AVERAGEIF('Данные 1st'!$S$2:$S$317,$A60,'Данные 1st'!$IV$2:$IV$317),"")</f>
        <v>1538</v>
      </c>
      <c r="EF60" s="7">
        <f>IFERROR(AVERAGEIF('Данные 1st'!$S$2:$S$317,$A60,'Данные 1st'!$IW$2:$IW$317),"")</f>
        <v>398.6666666666667</v>
      </c>
      <c r="EG60" s="7">
        <f>IFERROR(AVERAGEIF('Данные 1st'!$S$2:$S$317,$A60,'Данные 1st'!$IX$2:$IX$317),"")</f>
        <v/>
      </c>
      <c r="EH60" s="7">
        <f>IFERROR(AVERAGEIF('Данные 1st'!$S$2:$S$317,$A60,'Данные 1st'!$IY$2:$IY$317),"")</f>
        <v/>
      </c>
      <c r="EI60" s="7">
        <f>IFERROR(AVERAGEIF('Данные 1st'!$S$2:$S$317,$A60,'Данные 1st'!$JD$2:$JD$317),"")</f>
        <v>1554</v>
      </c>
      <c r="EJ60" s="7">
        <f>IFERROR(AVERAGEIF('Данные 1st'!$S$2:$S$317,$A60,'Данные 1st'!$JE$2:$JE$317),"")</f>
        <v>1547.3333333333333</v>
      </c>
      <c r="EK60" s="7">
        <f>IFERROR(AVERAGEIF('Данные 1st'!$S$2:$S$317,$A60,'Данные 1st'!$JF$2:$JF$317),"")</f>
        <v>1293.5</v>
      </c>
      <c r="EL60" s="7">
        <f>IFERROR(AVERAGEIF('Данные 1st'!$S$2:$S$317,$A60,'Данные 1st'!$JG$2:$JG$317),"")</f>
        <v>1530.5</v>
      </c>
      <c r="EM60" s="7">
        <f>IFERROR(AVERAGEIF('Данные 1st'!$S$2:$S$317,$A60,'Данные 1st'!$JH$2:$JH$317),"")</f>
        <v>0</v>
      </c>
      <c r="EN60" s="7">
        <f>IFERROR(AVERAGEIF('Данные 1st'!$S$2:$S$317,$A60,'Данные 1st'!$JJ$2:$JJ$317),"")</f>
        <v>180</v>
      </c>
      <c r="EO60" s="7">
        <f>IFERROR(AVERAGEIF('Данные 1st'!$S$2:$S$317,$A60,'Данные 1st'!$JK$2:$JK$317),"")</f>
        <v>446</v>
      </c>
      <c r="EP60" s="7">
        <f>IFERROR(AVERAGEIF('Данные 1st'!$S$2:$S$317,$A60,'Данные 1st'!$JL$2:$JL$317),"")</f>
        <v/>
      </c>
      <c r="EQ60" s="7">
        <f>IFERROR(AVERAGEIF('Данные 1st'!$S$2:$S$317,$A60,'Данные 1st'!$JM$2:$JM$317),"")</f>
        <v/>
      </c>
      <c r="ER60" s="7">
        <f>IFERROR(AVERAGEIF('Данные 1st'!$S$2:$S$317,$A60,'Данные 1st'!$JN$2:$JN$317),"")</f>
        <v>365.8333333333333</v>
      </c>
      <c r="ES60" s="7">
        <f>IFERROR(AVERAGEIF('Данные 1st'!$S$2:$S$317,$A60,'Данные 1st'!$JO$2:$JO$317),"")</f>
        <v>520.8333333333334</v>
      </c>
      <c r="ET60" s="7">
        <f>IFERROR(AVERAGEIF('Данные 1st'!$S$2:$S$317,$A60,'Данные 1st'!$JP$2:$JP$317),"")</f>
        <v>372.5</v>
      </c>
      <c r="EU60" s="7">
        <f>IFERROR(AVERAGEIF('Данные 1st'!$S$2:$S$317,$A60,'Данные 1st'!$JQ$2:$JQ$317),"")</f>
        <v>0</v>
      </c>
      <c r="EV60" s="7">
        <f>IFERROR(AVERAGEIF('Данные 1st'!$S$2:$S$317,$A60,'Данные 1st'!$JR$2:$JR$317),"")</f>
        <v>399</v>
      </c>
      <c r="EW60" s="7">
        <f>IFERROR(AVERAGEIF('Данные 1st'!$S$2:$S$317,$A60,'Данные 1st'!$JS$2:$JS$317),"")</f>
        <v>106.66666666666667</v>
      </c>
      <c r="EX60" s="7">
        <f>IFERROR(AVERAGEIF('Данные 1st'!$S$2:$S$317,$A60,'Данные 1st'!$JT$2:$JT$317),"")</f>
        <v/>
      </c>
      <c r="EY60" s="7">
        <f>IFERROR(AVERAGEIF('Данные 1st'!$S$2:$S$317,$A60,'Данные 1st'!$JU$2:$JU$317),"")</f>
        <v/>
      </c>
      <c r="EZ60" s="7">
        <f>IFERROR(AVERAGEIF('Данные 1st'!$S$2:$S$317,$A60,'Данные 1st'!$JV$2:$JV$317),"")</f>
        <v>8.333333333333334</v>
      </c>
      <c r="FA60" s="7">
        <f>IFERROR(AVERAGEIF('Данные 1st'!$S$2:$S$317,$A60,'Данные 1st'!$JW$2:$JW$317),"")</f>
        <v/>
      </c>
      <c r="FB60" s="7">
        <f>IFERROR(AVERAGEIF('Данные 1st'!$S$2:$S$317,$A60,'Данные 1st'!$JX$2:$JX$317),"")</f>
        <v>449</v>
      </c>
      <c r="FC60" s="7">
        <f>IFERROR(AVERAGEIF('Данные 1st'!$S$2:$S$317,$A60,'Данные 1st'!$JY$2:$JY$317),"")</f>
        <v/>
      </c>
      <c r="FD60" s="7">
        <f>IFERROR(AVERAGEIF('Данные 1st'!$S$2:$S$317,$A60,'Данные 1st'!$JZ$2:$JZ$317),"")</f>
        <v/>
      </c>
      <c r="FE60" s="7">
        <f>IFERROR(AVERAGEIF('Данные 1st'!$S$2:$S$317,$A60,'Данные 1st'!$KA$2:$KA$317),"")</f>
        <v>187.5</v>
      </c>
      <c r="FF60" s="7">
        <f>IFERROR(AVERAGEIF('Данные 1st'!$S$2:$S$317,$A60,'Данные 1st'!$KB$2:$KB$317),"")</f>
        <v>110</v>
      </c>
      <c r="FG60" s="7">
        <f>IFERROR(AVERAGEIF('Данные 1st'!$S$2:$S$317,$A60,'Данные 1st'!$KC$2:$KC$317),"")</f>
        <v>0</v>
      </c>
      <c r="FH60" s="7">
        <f>IFERROR(AVERAGEIF('Данные 1st'!$S$2:$S$317,$A60,'Данные 1st'!$KD$2:$KD$317),"")</f>
        <v>80</v>
      </c>
      <c r="FI60" s="7">
        <f>IFERROR(AVERAGEIF('Данные 1st'!$S$2:$S$317,$A60,'Данные 1st'!$KE$2:$KE$317),"")</f>
        <v/>
      </c>
      <c r="FJ60" s="7">
        <f>IFERROR(AVERAGEIF('Данные 1st'!$S$2:$S$317,$A60,'Данные 1st'!$KF$2:$KF$317),"")</f>
        <v>4</v>
      </c>
      <c r="FK60" s="7">
        <f>IFERROR(AVERAGEIF('Данные 1st'!$S$2:$S$317,$A60,'Данные 1st'!$KG$2:$KG$317),"")</f>
        <v>2</v>
      </c>
      <c r="FL60" s="7">
        <f>IFERROR(AVERAGEIF('Данные 1st'!$S$2:$S$317,$A60,'Данные 1st'!$KH$2:$KH$317),"")</f>
        <v>2</v>
      </c>
      <c r="FM60" s="7">
        <f>IFERROR(AVERAGEIF('Данные 1st'!$S$2:$S$317,$A60,'Данные 1st'!$KI$2:$KI$317),"")</f>
        <v>2</v>
      </c>
      <c r="FN60" s="7">
        <f>IFERROR(AVERAGEIF('Данные 1st'!$S$2:$S$317,$A60,'Данные 1st'!$KJ$2:$KJ$317),"")</f>
        <v>0</v>
      </c>
      <c r="FO60" s="7">
        <f>IFERROR(AVERAGEIF('Данные 1st'!$S$2:$S$317,$A60,'Данные 1st'!$KK$2:$KK$317),"")</f>
        <v>1.5</v>
      </c>
      <c r="FP60" s="7">
        <f>IFERROR(AVERAGEIF('Данные 1st'!$S$2:$S$317,$A60,'Данные 1st'!$KL$2:$KL$317),"")</f>
        <v>1.5</v>
      </c>
      <c r="FQ60" s="7">
        <f>IFERROR(AVERAGEIF('Данные 1st'!$S$2:$S$317,$A60,'Данные 1st'!$KM$2:$KM$317),"")</f>
        <v>0</v>
      </c>
      <c r="FR60" s="7">
        <f>IFERROR(AVERAGEIF('Данные 1st'!$S$2:$S$317,$A60,'Данные 1st'!$KN$2:$KN$317),"")</f>
        <v>0</v>
      </c>
      <c r="FS60" s="7">
        <f>IFERROR(AVERAGEIF('Данные 1st'!$S$2:$S$317,$A60,'Данные 1st'!$KR$2:$KR$317),"")</f>
        <v>30.833333333333332</v>
      </c>
      <c r="FT60" s="7">
        <f>IFERROR(AVERAGEIF('Данные 1st'!$S$2:$S$317,$A60,'Данные 1st'!$KS$2:$KS$317),"")</f>
        <v>55</v>
      </c>
      <c r="FU60" s="7">
        <f>IFERROR(AVERAGEIF('Данные 1st'!$S$2:$S$317,$A60,'Данные 1st'!$KT$2:$KT$317),"")</f>
        <v>0</v>
      </c>
      <c r="FV60" s="7">
        <f>IFERROR(AVERAGEIF('Данные 1st'!$S$2:$S$317,$A60,'Данные 1st'!$KV$2:$KV$317),"")</f>
        <v/>
      </c>
      <c r="FW60" s="7">
        <f>IFERROR(AVERAGEIF('Данные 1st'!$S$2:$S$317,$A60,'Данные 1st'!$KW$2:$KW$317),"")</f>
        <v/>
      </c>
      <c r="FX60" s="7">
        <f>IFERROR(AVERAGEIF('Данные 1st'!$S$2:$S$317,$A60,'Данные 1st'!$KX$2:$KX$317),"")</f>
        <v/>
      </c>
      <c r="FY60" s="7">
        <f>IFERROR(AVERAGEIF('Данные 1st'!$S$2:$S$317,$A60,'Данные 1st'!$KY$2:$KY$317),"")</f>
        <v/>
      </c>
      <c r="FZ60" s="7">
        <f>IFERROR(AVERAGEIF('Данные 1st'!$S$2:$S$317,$A60,'Данные 1st'!$KZ$2:$KZ$317),"")</f>
        <v/>
      </c>
      <c r="GA60" s="7">
        <f>IFERROR(AVERAGEIF('Данные 1st'!$S$2:$S$317,$A60,'Данные 1st'!$LA$2:$LA$317),"")</f>
        <v/>
      </c>
      <c r="GB60" s="7">
        <f>IFERROR(AVERAGEIF('Данные 1st'!$S$2:$S$317,$A60,'Данные 1st'!$LB$2:$LB$317),"")</f>
        <v/>
      </c>
      <c r="GC60" s="7">
        <f>IFERROR(AVERAGEIF('Данные 1st'!$S$2:$S$317,$A60,'Данные 1st'!$LC$2:$LC$317),"")</f>
        <v/>
      </c>
      <c r="GD60" s="7">
        <f>IFERROR(AVERAGEIF('Данные 1st'!$S$2:$S$317,$A60,'Данные 1st'!$LD$2:$LD$317),"")</f>
        <v/>
      </c>
      <c r="GE60" s="7">
        <f>IFERROR(AVERAGEIF('Данные 1st'!$S$2:$S$317,$A60,'Данные 1st'!$LE$2:$LE$317),"")</f>
        <v/>
      </c>
      <c r="GF60" s="7">
        <f>IFERROR(AVERAGEIF('Данные 1st'!$S$2:$S$317,$A60,'Данные 1st'!$LF$2:$LF$317),"")</f>
        <v/>
      </c>
      <c r="GG60" s="7">
        <f>IFERROR(AVERAGEIF('Данные 1st'!$S$2:$S$317,$A60,'Данные 1st'!$LG$2:$LG$317),"")</f>
        <v/>
      </c>
      <c r="GH60" s="7">
        <f>IFERROR(AVERAGEIF('Данные 1st'!$S$2:$S$317,$A60,'Данные 1st'!$LH$2:$LH$317),"")</f>
        <v/>
      </c>
      <c r="GI60" s="7">
        <f>IFERROR(AVERAGEIF('Данные 1st'!$S$2:$S$317,$A60,'Данные 1st'!$LI$2:$LI$317),"")</f>
        <v/>
      </c>
      <c r="GJ60" s="7">
        <f>IFERROR(AVERAGEIF('Данные 1st'!$S$2:$S$317,$A60,'Данные 1st'!$LJ$2:$LJ$317),"")</f>
        <v/>
      </c>
      <c r="GK60" s="7">
        <f>IFERROR(AVERAGEIF('Данные 1st'!$S$2:$S$317,$A60,'Данные 1st'!$LK$2:$LK$317),"")</f>
        <v>480</v>
      </c>
      <c r="GL60" s="7">
        <f>IFERROR(AVERAGEIF('Данные 1st'!$S$2:$S$317,$A60,'Данные 1st'!$LV$2:$LV$317),"")</f>
        <v/>
      </c>
      <c r="GM60" s="7">
        <f>IFERROR(AVERAGEIF('Данные 1st'!$S$2:$S$317,$A60,'Данные 1st'!$LW$2:$LW$317),"")</f>
        <v/>
      </c>
      <c r="GN60" s="7">
        <f>IFERROR(AVERAGEIF('Данные 1st'!$S$2:$S$317,$A60,'Данные 1st'!$LX$2:$LX$317),"")</f>
        <v>332</v>
      </c>
      <c r="GO60" s="7">
        <f>IFERROR(AVERAGEIF('Данные 1st'!$S$2:$S$317,$A60,'Данные 1st'!$LY$2:$LY$317),"")</f>
        <v>2</v>
      </c>
      <c r="GP60" s="7">
        <f>IFERROR(AVERAGEIF('Данные 1st'!$S$2:$S$317,$A60,'Данные 1st'!$LZ$2:$LZ$317),"")</f>
        <v>200</v>
      </c>
      <c r="GQ60" s="7">
        <f>IFERROR(AVERAGEIF('Данные 1st'!$S$2:$S$317,$A60,'Данные 1st'!$PG$2:$PG$317),"")</f>
        <v>1</v>
      </c>
      <c r="GR60" s="7">
        <f>IFERROR(AVERAGEIF('Данные 1st'!$S$2:$S$317,$A60,'Данные 1st'!$PX$2:$PX$317),"")</f>
        <v>56</v>
      </c>
      <c r="GS60" s="7">
        <f>IFERROR(AVERAGEIF('Данные 1st'!$S$2:$S$317,$A60,'Данные 1st'!$PY$2:$PY$317),"")</f>
        <v>56.666666666666664</v>
      </c>
      <c r="GT60" s="7">
        <f>IFERROR(AVERAGEIF('Данные 1st'!$S$2:$S$317,$A60,'Данные 1st'!$QA$2:$QA$317),"")</f>
        <v>2</v>
      </c>
      <c r="GU60" s="7">
        <f>IFERROR(AVERAGEIF('Данные 1st'!$S$2:$S$317,$A60,'Данные 1st'!$QB$2:$QB$317),"")</f>
        <v>1530.5</v>
      </c>
      <c r="GV60" s="7">
        <f>IFERROR(AVERAGEIF('Данные 1st'!$S$2:$S$317,$A60,'Данные 1st'!$QC$2:$QC$317),"")</f>
        <v>69</v>
      </c>
      <c r="GW60" s="7">
        <f>IFERROR(AVERAGEIF('Данные 1st'!$S$2:$S$317,$A60,'Данные 1st'!$QD$2:$QD$317),"")</f>
        <v>69</v>
      </c>
      <c r="GX60" s="7">
        <f>IFERROR(AVERAGEIF('Данные 1st'!$S$2:$S$317,$A60,'Данные 1st'!$QF$2:$QF$317),"")</f>
        <v>1</v>
      </c>
      <c r="GY60" s="7">
        <f>IFERROR(AVERAGEIF('Данные 1st'!$S$2:$S$317,$A60,'Данные 1st'!$QG$2:$QG$317),"")</f>
        <v>1554</v>
      </c>
      <c r="GZ60" s="7">
        <f>IFERROR(AVERAGEIF('Данные 1st'!$S$2:$S$317,$A60,'Данные 1st'!$QH$2:$QH$317),"")</f>
        <v>66</v>
      </c>
      <c r="HA60" s="7">
        <f>IFERROR(AVERAGEIF('Данные 1st'!$S$2:$S$317,$A60,'Данные 1st'!$QI$2:$QI$317),"")</f>
        <v>66</v>
      </c>
      <c r="HB60" s="7">
        <f>IFERROR(AVERAGEIF('Данные 1st'!$S$2:$S$317,$A60,'Данные 1st'!$QK$2:$QK$317),"")</f>
        <v>1</v>
      </c>
      <c r="HC60" s="7">
        <f>IFERROR(AVERAGEIF('Данные 1st'!$S$2:$S$317,$A60,'Данные 1st'!$QL$2:$QL$317),"")</f>
        <v>1554</v>
      </c>
      <c r="HD60" s="7">
        <f>IFERROR(AVERAGEIF('Данные 1st'!$S$2:$S$317,$A60,'Данные 1st'!$QM$2:$QM$317),"")</f>
        <v>62.166666666666664</v>
      </c>
      <c r="HE60" s="7">
        <f>IFERROR(AVERAGEIF('Данные 1st'!$S$2:$S$317,$A60,'Данные 1st'!$QN$2:$QN$317),"")</f>
        <v>62.166666666666664</v>
      </c>
      <c r="HF60" s="7">
        <f>IFERROR(AVERAGEIF('Данные 1st'!$S$2:$S$317,$A60,'Данные 1st'!$QP$2:$QP$317),"")</f>
        <v>1</v>
      </c>
      <c r="HG60" s="7">
        <f>IFERROR(AVERAGEIF('Данные 1st'!$S$2:$S$317,$A60,'Данные 1st'!$QQ$2:$QQ$317),"")</f>
        <v>1547.3333333333333</v>
      </c>
      <c r="HH60" s="7">
        <f>IFERROR(AVERAGEIF('Данные 1st'!$S$2:$S$317,$A60,'Данные 1st'!$QR$2:$QR$317),"")</f>
        <v>62.6</v>
      </c>
      <c r="HI60" s="7">
        <f>IFERROR(AVERAGEIF('Данные 1st'!$S$2:$S$317,$A60,'Данные 1st'!$QS$2:$QS$317),"")</f>
        <v>62.6</v>
      </c>
      <c r="HJ60" s="7">
        <f>IFERROR(AVERAGEIF('Данные 1st'!$S$2:$S$317,$A60,'Данные 1st'!$QU$2:$QU$317),"")</f>
        <v>1</v>
      </c>
      <c r="HK60" s="7">
        <f>IFERROR(AVERAGEIF('Данные 1st'!$S$2:$S$317,$A60,'Данные 1st'!$QV$2:$QV$317),"")</f>
        <v>1552.2</v>
      </c>
      <c r="HL60" s="7">
        <f>IFERROR(AVERAGEIF('Данные 1st'!$S$2:$S$317,$A60,'Данные 1st'!$QW$2:$QW$317),"")</f>
        <v>82</v>
      </c>
      <c r="HM60" s="7">
        <f>IFERROR(AVERAGEIF('Данные 1st'!$S$2:$S$317,$A60,'Данные 1st'!$QX$2:$QX$317),"")</f>
        <v/>
      </c>
      <c r="HN60" s="7">
        <f>IFERROR(AVERAGEIF('Данные 1st'!$S$2:$S$317,$A60,'Данные 1st'!$QZ$2:$QZ$317),"")</f>
        <v>2</v>
      </c>
      <c r="HO60" s="7">
        <f>IFERROR(AVERAGEIF('Данные 1st'!$S$2:$S$317,$A60,'Данные 1st'!$RA$2:$RA$317),"")</f>
        <v>66</v>
      </c>
      <c r="HP60" s="7">
        <f>IFERROR(AVERAGEIF('Данные 1st'!$S$2:$S$317,$A60,'Данные 1st'!$RB$2:$RB$317),"")</f>
        <v>66</v>
      </c>
      <c r="HQ60" s="7">
        <f>IFERROR(AVERAGEIF('Данные 1st'!$S$2:$S$317,$A60,'Данные 1st'!$RD$2:$RD$317),"")</f>
        <v/>
      </c>
      <c r="HR60" s="7">
        <f>IFERROR(AVERAGEIF('Данные 1st'!$S$2:$S$317,$A60,'Данные 1st'!$RE$2:$RE$317),"")</f>
        <v>0</v>
      </c>
      <c r="HS60" s="7">
        <f>IFERROR(AVERAGEIF('Данные 1st'!$S$2:$S$317,$A60,'Данные 1st'!$RF$2:$RF$317),"")</f>
        <v>1</v>
      </c>
      <c r="HT60" s="7">
        <f>IFERROR(AVERAGEIF('Данные 1st'!$S$2:$S$317,$A60,'Данные 1st'!$RG$2:$RG$317),"")</f>
        <v>1</v>
      </c>
      <c r="HU60" s="7">
        <f>IFERROR(AVERAGEIF('Данные 1st'!$S$2:$S$317,$A60,'Данные 1st'!$RH$2:$RH$317),"")</f>
        <v>1</v>
      </c>
      <c r="HV60" s="7">
        <f>IFERROR(AVERAGEIF('Данные 1st'!$S$2:$S$317,$A60,'Данные 1st'!$RI$2:$RI$317),"")</f>
        <v>1</v>
      </c>
      <c r="HW60" s="7">
        <f>IFERROR(AVERAGEIF('Данные 1st'!$S$2:$S$317,$A60,'Данные 1st'!$RJ$2:$RJ$317),"")</f>
        <v>1</v>
      </c>
      <c r="HX60" s="7">
        <f>IFERROR(AVERAGEIF('Данные 1st'!$S$2:$S$317,$A60,'Данные 1st'!$RK$2:$RK$317),"")</f>
        <v>2.3333333333333335</v>
      </c>
      <c r="HY60" s="7">
        <f>IFERROR(AVERAGEIF('Данные 1st'!$S$2:$S$317,$A60,'Данные 1st'!$RL$2:$RL$317),"")</f>
        <v>3.5</v>
      </c>
      <c r="HZ60" s="7">
        <f>IFERROR(AVERAGEIF('Данные 1st'!$S$2:$S$317,$A60,'Данные 1st'!$RM$2:$RM$317),"")</f>
        <v>3.8</v>
      </c>
      <c r="IA60" s="7">
        <f>IFERROR(AVERAGEIF('Данные 1st'!$S$2:$S$317,$A60,'Данные 1st'!$RN$2:$RN$317),"")</f>
        <v/>
      </c>
      <c r="IB60" s="7">
        <f>IFERROR(AVERAGEIF('Данные 1st'!$S$2:$S$317,$A60,'Данные 1st'!$RO$2:$RO$317),"")</f>
        <v>518</v>
      </c>
      <c r="IC60" s="7">
        <f>IFERROR(AVERAGEIF('Данные 1st'!$S$2:$S$317,$A60,'Данные 1st'!$RP$2:$RP$317),"")</f>
        <v>124</v>
      </c>
      <c r="ID60" s="7">
        <f>IFERROR(AVERAGEIF('Данные 1st'!$S$2:$S$317,$A60,'Данные 1st'!$RQ$2:$RQ$317),"")</f>
        <v>666.6666666666666</v>
      </c>
      <c r="IE60" s="7">
        <f>IFERROR(AVERAGEIF('Данные 1st'!$S$2:$S$317,$A60,'Данные 1st'!$RR$2:$RR$317),"")</f>
        <v>540.8</v>
      </c>
      <c r="IF60" s="7">
        <f>IFERROR(AVERAGEIF('Данные 1st'!$S$2:$S$317,$A60,'Данные 1st'!$RS$2:$RS$317),"")</f>
        <v/>
      </c>
      <c r="IG60" s="7">
        <f>IFERROR(AVERAGEIF('Данные 1st'!$S$2:$S$317,$A60,'Данные 1st'!$RT$2:$RT$317),"")</f>
        <v>337.3333333333333</v>
      </c>
      <c r="IH60" s="7">
        <f>IFERROR(AVERAGEIF('Данные 1st'!$S$2:$S$317,$A60,'Данные 1st'!$RU$2:$RU$317),"")</f>
        <v>208.33333333333334</v>
      </c>
      <c r="II60" s="7">
        <f>IFERROR(AVERAGEIF('Данные 1st'!$S$2:$S$317,$A60,'Данные 1st'!$RX$2:$RX$317),"")</f>
        <v>15</v>
      </c>
      <c r="IJ60" s="7">
        <f>IFERROR(AVERAGEIF('Данные 1st'!$S$2:$S$317,$A60,'Данные 1st'!$RY$2:$RY$317),"")</f>
        <v>4</v>
      </c>
      <c r="IK60" s="7">
        <f>IFERROR(AVERAGEIF('Данные 1st'!$S$2:$S$317,$A60,'Данные 1st'!$SA$2:$SA$317),"")</f>
        <v>15</v>
      </c>
      <c r="IL60" s="7">
        <f>IFERROR(AVERAGEIF('Данные 1st'!$S$2:$S$317,$A60,'Данные 1st'!$SD$2:$SD$317),"")</f>
        <v>1</v>
      </c>
      <c r="IM60" s="7">
        <f>IFERROR(AVERAGEIF('Данные 1st'!$S$2:$S$317,$A60,'Данные 1st'!$SG$2:$SG$317),"")</f>
        <v>1</v>
      </c>
      <c r="IN60" s="7">
        <f>IFERROR(AVERAGEIF('Данные 1st'!$S$2:$S$317,$A60,'Данные 1st'!$SH$2:$SH$317),"")</f>
        <v>0.995</v>
      </c>
      <c r="IO60" s="7">
        <f>IFERROR(AVERAGEIF('Данные 1st'!$S$2:$S$317,$A60,'Данные 1st'!$SI$2:$SI$317),"")</f>
        <v>0.995</v>
      </c>
      <c r="IP60" s="7">
        <f>IFERROR(AVERAGEIF('Данные 1st'!$S$2:$S$317,$A60,'Данные 1st'!$SJ$2:$SJ$317),"")</f>
        <v>0.995</v>
      </c>
      <c r="IQ60" s="7">
        <f>IFERROR(AVERAGEIF('Данные 1st'!$S$2:$S$317,$A60,'Данные 1st'!$SK$2:$SK$317),"")</f>
        <v>15</v>
      </c>
      <c r="IR60" s="7">
        <f>IFERROR(AVERAGEIF('Данные 1st'!$S$2:$S$317,$A60,'Данные 1st'!$SL$2:$SL$317),"")</f>
        <v>0</v>
      </c>
      <c r="IS60" s="7">
        <f>IFERROR(AVERAGEIF('Данные 1st'!$S$2:$S$317,$A60,'Данные 1st'!$SM$2:$SM$317),"")</f>
        <v>0</v>
      </c>
      <c r="IT60" s="7">
        <f>IFERROR(AVERAGEIF('Данные 1st'!$S$2:$S$317,$A60,'Данные 1st'!$SN$2:$SN$317),"")</f>
        <v>0</v>
      </c>
      <c r="IU60" s="7">
        <f>IFERROR(AVERAGEIF('Данные 1st'!$S$2:$S$317,$A60,'Данные 1st'!$SO$2:$SO$317),"")</f>
        <v>0</v>
      </c>
      <c r="IV60" s="7">
        <f>IFERROR(AVERAGEIF('Данные 1st'!$S$2:$S$317,$A60,'Данные 1st'!$SP$2:$SP$317),"")</f>
        <v>0</v>
      </c>
      <c r="IW60" s="7">
        <f>IFERROR(AVERAGEIF('Данные 1st'!$S$2:$S$317,$A60,'Данные 1st'!$SQ$2:$SQ$317),"")</f>
        <v>0</v>
      </c>
      <c r="IX60" s="7">
        <f>IFERROR(AVERAGEIF('Данные 1st'!$S$2:$S$317,$A60,'Данные 1st'!$SR$2:$SR$317),"")</f>
        <v>0</v>
      </c>
      <c r="IY60" s="7">
        <f>IFERROR(AVERAGEIF('Данные 1st'!$S$2:$S$317,$A60,'Данные 1st'!$SS$2:$SS$317),"")</f>
        <v>0</v>
      </c>
      <c r="IZ60" s="7">
        <f>IFERROR(AVERAGEIF('Данные 1st'!$S$2:$S$317,$A60,'Данные 1st'!$ST$2:$ST$317),"")</f>
        <v>0</v>
      </c>
      <c r="JA60" s="7">
        <f>IFERROR(AVERAGEIF('Данные 1st'!$S$2:$S$317,$A60,'Данные 1st'!$SU$2:$SU$317),"")</f>
        <v>0</v>
      </c>
      <c r="JB60" s="7">
        <f>IFERROR(AVERAGEIF('Данные 1st'!$S$2:$S$317,$A60,'Данные 1st'!$SV$2:$SV$317),"")</f>
        <v>0</v>
      </c>
      <c r="JC60" s="7">
        <f>IFERROR(AVERAGEIF('Данные 1st'!$S$2:$S$317,$A60,'Данные 1st'!$SW$2:$SW$317),"")</f>
        <v>0</v>
      </c>
      <c r="JD60" s="7">
        <f>IFERROR(AVERAGEIF('Данные 1st'!$S$2:$S$317,$A60,'Данные 1st'!$SX$2:$SX$317),"")</f>
        <v>0</v>
      </c>
      <c r="JE60" s="7">
        <f>IFERROR(AVERAGEIF('Данные 1st'!$S$2:$S$317,$A60,'Данные 1st'!$SY$2:$SY$317),"")</f>
        <v>1</v>
      </c>
      <c r="JF60" s="7">
        <f>IFERROR(AVERAGEIF('Данные 1st'!$S$2:$S$317,$A60,'Данные 1st'!$SZ$2:$SZ$317),"")</f>
        <v>1</v>
      </c>
      <c r="JG60" s="7">
        <f>IFERROR(AVERAGEIF('Данные 1st'!$S$2:$S$317,$A60,'Данные 1st'!$TA$2:$TA$317),"")</f>
        <v/>
      </c>
      <c r="JH60" s="7">
        <f>IFERROR(AVERAGEIF('Данные 1st'!$S$2:$S$317,$A60,'Данные 1st'!$TB$2:$TB$317),"")</f>
        <v>0.16666666666666666</v>
      </c>
      <c r="JI60" s="7">
        <f>IFERROR(AVERAGEIF('Данные 1st'!$S$2:$S$317,$A60,'Данные 1st'!$TC$2:$TC$317),"")</f>
        <v>0</v>
      </c>
      <c r="JJ60" s="7">
        <f>IFERROR(AVERAGEIF('Данные 1st'!$S$2:$S$317,$A60,'Данные 1st'!$TD$2:$TD$317),"")</f>
        <v>7.816666666666666</v>
      </c>
      <c r="JK60" s="7">
        <f>IFERROR(AVERAGEIF('Данные 1st'!$S$2:$S$317,$A60,'Данные 1st'!$TN$2:$TN$317),"")</f>
        <v>0</v>
      </c>
      <c r="JL60">
        <f>COUNTIF('Данные 2st'!$Q$2:$Q$317,$A60)</f>
        <v>6</v>
      </c>
      <c r="JM60" s="6" t="s">
        <v>5113</v>
      </c>
      <c r="JN60" s="6" t="s">
        <v>513</v>
      </c>
      <c r="JO60" s="6" t="s">
        <v>5125</v>
      </c>
      <c r="JP60" s="6" t="s">
        <v>5511</v>
      </c>
      <c r="JQ60" s="7">
        <f>IFERROR(AVERAGEIF('Данные 2st'!$Q$2:$Q$317,$A60,'Данные 2st'!$AC$2:$AC$317),"")</f>
        <v>9.166666666666666</v>
      </c>
      <c r="JR60" s="7">
        <f>IFERROR(AVERAGEIF('Данные 2st'!$Q$2:$Q$317,$A60,'Данные 2st'!$AF$2:$AF$317),"")</f>
        <v>5201.833333333333</v>
      </c>
      <c r="JS60" s="7">
        <f>IFERROR(AVERAGEIF('Данные 2st'!$Q$2:$Q$317,$A60,'Данные 2st'!$AW$2:$AW$317),"")</f>
        <v>6.4</v>
      </c>
      <c r="JT60" s="7">
        <f>IFERROR(AVERAGEIF('Данные 2st'!$Q$2:$Q$317,$A60,'Данные 2st'!$AX$2:$AX$317),"")</f>
        <v>-6</v>
      </c>
      <c r="JU60" s="7">
        <f>IFERROR(AVERAGEIF('Данные 2st'!$Q$2:$Q$317,$A60,'Данные 2st'!$AY$2:$AY$317),"")</f>
        <v>108.91666666666667</v>
      </c>
      <c r="JV60" s="7">
        <f>IFERROR(AVERAGEIF('Данные 2st'!$Q$2:$Q$317,$A60,'Данные 2st'!$AZ$2:$AZ$317),"")</f>
        <v>81.25</v>
      </c>
      <c r="JW60" s="7">
        <f>IFERROR(AVERAGEIF('Данные 2st'!$Q$2:$Q$317,$A60,'Данные 2st'!$BA$2:$BA$317),"")</f>
        <v/>
      </c>
      <c r="JX60" s="7">
        <f>IFERROR(AVERAGEIF('Данные 2st'!$Q$2:$Q$317,$A60,'Данные 2st'!$BB$2:$BB$317),"")</f>
        <v/>
      </c>
      <c r="JY60" s="7">
        <f>IFERROR(AVERAGEIF('Данные 2st'!$Q$2:$Q$317,$A60,'Данные 2st'!$BC$2:$BC$317),"")</f>
        <v/>
      </c>
      <c r="JZ60" s="7">
        <f>IFERROR(AVERAGEIF('Данные 2st'!$Q$2:$Q$317,$A60,'Данные 2st'!$BH$2:$BH$317),"")</f>
        <v>108.91666666666667</v>
      </c>
      <c r="KA60" s="7">
        <f>IFERROR(AVERAGEIF('Данные 2st'!$Q$2:$Q$317,$A60,'Данные 2st'!$BI$2:$BI$317),"")</f>
        <v>27.666666666666668</v>
      </c>
      <c r="KB60" s="7">
        <f>IFERROR(AVERAGEIF('Данные 2st'!$Q$2:$Q$317,$A60,'Данные 2st'!$BJ$2:$BJ$317),"")</f>
        <v>81.25</v>
      </c>
      <c r="KC60" s="7">
        <f>IFERROR(AVERAGEIF('Данные 2st'!$Q$2:$Q$317,$A60,'Данные 2st'!$BK$2:$BK$317),"")</f>
        <v>2.6666666666666665</v>
      </c>
      <c r="KD60" s="7">
        <f>IFERROR(AVERAGEIF('Данные 2st'!$Q$2:$Q$317,$A60,'Данные 2st'!$BL$2:$BL$317),"")</f>
        <v>217.83333333333334</v>
      </c>
      <c r="KE60" s="7">
        <f>IFERROR(AVERAGEIF('Данные 2st'!$Q$2:$Q$317,$A60,'Данные 2st'!$BM$2:$BM$317),"")</f>
        <v>-6</v>
      </c>
      <c r="KF60" s="7">
        <f>IFERROR(AVERAGEIF('Данные 2st'!$Q$2:$Q$317,$A60,'Данные 2st'!$BN$2:$BN$317),"")</f>
        <v>0</v>
      </c>
      <c r="KG60" s="7">
        <f>IFERROR(AVERAGEIF('Данные 2st'!$Q$2:$Q$317,$A60,'Данные 2st'!$BO$2:$BO$317),"")</f>
        <v>0</v>
      </c>
      <c r="KH60" s="7">
        <f>IFERROR(AVERAGEIF('Данные 2st'!$Q$2:$Q$317,$A60,'Данные 2st'!$BP$2:$BP$317),"")</f>
        <v>0</v>
      </c>
      <c r="KI60" s="7">
        <f>IFERROR(AVERAGEIF('Данные 2st'!$Q$2:$Q$317,$A60,'Данные 2st'!$BR$2:$BR$317),"")</f>
        <v>212.5</v>
      </c>
      <c r="KJ60" s="7">
        <f>IFERROR(AVERAGEIF('Данные 2st'!$Q$2:$Q$317,$A60,'Данные 2st'!$BS$2:$BS$317),"")</f>
        <v>202.5</v>
      </c>
      <c r="KK60" s="7">
        <f>IFERROR(AVERAGEIF('Данные 2st'!$Q$2:$Q$317,$A60,'Данные 2st'!$BT$2:$BT$317),"")</f>
        <v>2126.6666666666665</v>
      </c>
      <c r="KL60" s="7">
        <f>IFERROR(AVERAGEIF('Данные 2st'!$Q$2:$Q$317,$A60,'Данные 2st'!$CV$2:$CV$317),"")</f>
        <v>133.33333333333334</v>
      </c>
      <c r="KM60" s="7">
        <f>IFERROR(AVERAGEIF('Данные 2st'!$Q$2:$Q$317,$A60,'Данные 2st'!$CW$2:$CW$317),"")</f>
        <v>3</v>
      </c>
      <c r="KN60" s="7">
        <f>IFERROR(AVERAGEIF('Данные 2st'!$Q$2:$Q$317,$A60,'Данные 2st'!$CX$2:$CX$317),"")</f>
        <v>108.83333333333333</v>
      </c>
      <c r="KO60" s="7">
        <f>IFERROR(AVERAGEIF('Данные 2st'!$Q$2:$Q$317,$A60,'Данные 2st'!$CY$2:$CY$317),"")</f>
        <v>5</v>
      </c>
      <c r="KP60" s="7">
        <f>IFERROR(AVERAGEIF('Данные 2st'!$Q$2:$Q$317,$A60,'Данные 2st'!$CZ$2:$CZ$317),"")</f>
        <v>143.16666666666666</v>
      </c>
      <c r="KQ60" s="7">
        <f>IFERROR(AVERAGEIF('Данные 2st'!$Q$2:$Q$317,$A60,'Данные 2st'!$DA$2:$DA$317),"")</f>
        <v>5</v>
      </c>
      <c r="KR60" s="7">
        <f>IFERROR(AVERAGEIF('Данные 2st'!$Q$2:$Q$317,$A60,'Данные 2st'!$DB$2:$DB$317),"")</f>
        <v>12573.333333333334</v>
      </c>
      <c r="KS60" s="7">
        <f>IFERROR(AVERAGEIF('Данные 2st'!$Q$2:$Q$317,$A60,'Данные 2st'!$DC$2:$DC$317),"")</f>
        <v>371.6666666666667</v>
      </c>
      <c r="KT60" s="7">
        <f>IFERROR(AVERAGEIF('Данные 2st'!$Q$2:$Q$317,$A60,'Данные 2st'!$DD$2:$DD$317),"")</f>
        <v>329.5</v>
      </c>
      <c r="KU60" s="7">
        <f>IFERROR(AVERAGEIF('Данные 2st'!$Q$2:$Q$317,$A60,'Данные 2st'!$DE$2:$DE$317),"")</f>
        <v>2248.3333333333335</v>
      </c>
      <c r="KV60" s="7">
        <f>IFERROR(AVERAGEIF('Данные 2st'!$Q$2:$Q$317,$A60,'Данные 2st'!$DF$2:$DF$317),"")</f>
        <v>2247.5</v>
      </c>
      <c r="KW60" s="7">
        <f>IFERROR(AVERAGEIF('Данные 2st'!$Q$2:$Q$317,$A60,'Данные 2st'!$DG$2:$DG$317),"")</f>
        <v>2260.8333333333335</v>
      </c>
      <c r="KX60" s="7">
        <f>IFERROR(AVERAGEIF('Данные 2st'!$Q$2:$Q$317,$A60,'Данные 2st'!$DH$2:$DH$317),"")</f>
        <v>1</v>
      </c>
      <c r="KY60" s="7">
        <f>IFERROR(AVERAGEIF('Данные 2st'!$Q$2:$Q$317,$A60,'Данные 2st'!$DI$2:$DI$317),"")</f>
        <v/>
      </c>
      <c r="KZ60" s="7">
        <f>IFERROR(AVERAGEIF('Данные 2st'!$Q$2:$Q$317,$A60,'Данные 2st'!$DK$2:$DK$317),"")</f>
        <v>212.5</v>
      </c>
      <c r="LA60" s="7">
        <f>IFERROR(AVERAGEIF('Данные 2st'!$Q$2:$Q$317,$A60,'Данные 2st'!$DM$2:$DM$317),"")</f>
        <v>64</v>
      </c>
      <c r="LB60" s="7">
        <f>IFERROR(AVERAGEIF('Данные 2st'!$Q$2:$Q$317,$A60,'Данные 2st'!$DN$2:$DN$317),"")</f>
        <v>1.1166666666666667</v>
      </c>
      <c r="LC60" s="7">
        <f>IFERROR(AVERAGEIF('Данные 2st'!$Q$2:$Q$317,$A60,'Данные 2st'!$DO$2:$DO$317),"")</f>
        <v>1</v>
      </c>
      <c r="LD60" s="7">
        <f>IFERROR(AVERAGEIF('Данные 2st'!$Q$2:$Q$317,$A60,'Данные 2st'!$DP$2:$DP$317),"")</f>
        <v>2129.8333333333335</v>
      </c>
      <c r="LE60" s="7">
        <f>IFERROR(AVERAGEIF('Данные 2st'!$Q$2:$Q$317,$A60,'Данные 2st'!$DQ$2:$DQ$317),"")</f>
        <v>989</v>
      </c>
      <c r="LF60" s="7">
        <f>IFERROR(AVERAGEIF('Данные 2st'!$Q$2:$Q$317,$A60,'Данные 2st'!$DS$2:$DS$317),"")</f>
        <v>202.5</v>
      </c>
      <c r="LG60" s="7">
        <f>IFERROR(AVERAGEIF('Данные 2st'!$Q$2:$Q$317,$A60,'Данные 2st'!$DU$2:$DU$317),"")</f>
        <v>64</v>
      </c>
      <c r="LH60" s="7">
        <f>IFERROR(AVERAGEIF('Данные 2st'!$Q$2:$Q$317,$A60,'Данные 2st'!$DV$2:$DV$317),"")</f>
        <v>1.1166666666666667</v>
      </c>
      <c r="LI60" s="7">
        <f>IFERROR(AVERAGEIF('Данные 2st'!$Q$2:$Q$317,$A60,'Данные 2st'!$DW$2:$DW$317),"")</f>
        <v>1</v>
      </c>
      <c r="LJ60" s="7">
        <f>IFERROR(AVERAGEIF('Данные 2st'!$Q$2:$Q$317,$A60,'Данные 2st'!$DX$2:$DX$317),"")</f>
        <v>2141.8333333333335</v>
      </c>
      <c r="LK60" s="7">
        <f>IFERROR(AVERAGEIF('Данные 2st'!$Q$2:$Q$317,$A60,'Данные 2st'!$DY$2:$DY$317),"")</f>
        <v>947.8333333333334</v>
      </c>
      <c r="LL60" s="7">
        <f>IFERROR(AVERAGEIF('Данные 2st'!$Q$2:$Q$317,$A60,'Данные 2st'!$EA$2:$EA$317),"")</f>
        <v>20</v>
      </c>
      <c r="LM60" s="7">
        <f>IFERROR(AVERAGEIF('Данные 2st'!$Q$2:$Q$317,$A60,'Данные 2st'!$EC$2:$EC$317),"")</f>
        <v>0.8</v>
      </c>
      <c r="LN60" s="7">
        <f>IFERROR(AVERAGEIF('Данные 2st'!$Q$2:$Q$317,$A60,'Данные 2st'!$ED$2:$ED$317),"")</f>
        <v>2129.8333333333335</v>
      </c>
      <c r="LO60" s="7">
        <f>IFERROR(AVERAGEIF('Данные 2st'!$Q$2:$Q$317,$A60,'Данные 2st'!$EE$2:$EE$317),"")</f>
        <v>74.33333333333333</v>
      </c>
      <c r="LP60" s="7">
        <f>IFERROR(AVERAGEIF('Данные 2st'!$Q$2:$Q$317,$A60,'Данные 2st'!$EG$2:$EG$317),"")</f>
        <v>0</v>
      </c>
      <c r="LQ60" s="7">
        <f>IFERROR(AVERAGEIF('Данные 2st'!$Q$2:$Q$317,$A60,'Данные 2st'!$EI$2:$EI$317),"")</f>
        <v>0</v>
      </c>
      <c r="LR60" s="7">
        <f>IFERROR(AVERAGEIF('Данные 2st'!$Q$2:$Q$317,$A60,'Данные 2st'!$EJ$2:$EJ$317),"")</f>
        <v/>
      </c>
      <c r="LS60" s="7">
        <f>IFERROR(AVERAGEIF('Данные 2st'!$Q$2:$Q$317,$A60,'Данные 2st'!$EK$2:$EK$317),"")</f>
        <v/>
      </c>
      <c r="LT60" s="7">
        <f>IFERROR(AVERAGEIF('Данные 2st'!$Q$2:$Q$317,$A60,'Данные 2st'!$EM$2:$EM$317),"")</f>
        <v>12</v>
      </c>
      <c r="LU60" s="7">
        <f>IFERROR(AVERAGEIF('Данные 2st'!$Q$2:$Q$317,$A60,'Данные 2st'!$EN$2:$EN$317),"")</f>
        <v>0.5</v>
      </c>
      <c r="LV60" s="7">
        <f>IFERROR(AVERAGEIF('Данные 2st'!$Q$2:$Q$317,$A60,'Данные 2st'!$EO$2:$EO$317),"")</f>
        <v>0.96</v>
      </c>
      <c r="LW60" s="7">
        <f>IFERROR(AVERAGEIF('Данные 2st'!$Q$2:$Q$317,$A60,'Данные 2st'!$EP$2:$EP$317),"")</f>
        <v>2140.705</v>
      </c>
      <c r="LX60" s="7">
        <f>IFERROR(AVERAGEIF('Данные 2st'!$Q$2:$Q$317,$A60,'Данные 2st'!$EQ$2:$EQ$317),"")</f>
        <v>38438.43166666667</v>
      </c>
      <c r="LY60" s="7">
        <f>IFERROR(AVERAGEIF('Данные 2st'!$Q$2:$Q$317,$A60,'Данные 2st'!$ER$2:$ER$317),"")</f>
        <v>9284.135</v>
      </c>
      <c r="LZ60" s="7">
        <f>IFERROR(AVERAGEIF('Данные 2st'!$Q$2:$Q$317,$A60,'Данные 2st'!$ES$2:$ES$317),"")</f>
        <v>0</v>
      </c>
      <c r="MA60" s="7">
        <f>IFERROR(AVERAGEIF('Данные 2st'!$Q$2:$Q$317,$A60,'Данные 2st'!$ET$2:$ET$317),"")</f>
        <v>0</v>
      </c>
      <c r="MB60" s="7">
        <f>IFERROR(AVERAGEIF('Данные 2st'!$Q$2:$Q$317,$A60,'Данные 2st'!$EU$2:$EU$317),"")</f>
        <v>1</v>
      </c>
      <c r="MC60" s="7">
        <f>IFERROR(AVERAGEIF('Данные 2st'!$Q$2:$Q$317,$A60,'Данные 2st'!$EV$2:$EV$317),"")</f>
        <v>47723.166666666664</v>
      </c>
      <c r="MD60" s="7">
        <f>IFERROR(AVERAGEIF('Данные 2st'!$Q$2:$Q$317,$A60,'Данные 2st'!$EW$2:$EW$317),"")</f>
        <v>573.1666666666666</v>
      </c>
      <c r="ME60" s="7">
        <f>IFERROR(AVERAGEIF('Данные 2st'!$Q$2:$Q$317,$A60,'Данные 2st'!$EY$2:$EY$317),"")</f>
        <v>229.33333333333334</v>
      </c>
      <c r="MF60" s="7">
        <f>IFERROR(AVERAGEIF('Данные 2st'!$Q$2:$Q$317,$A60,'Данные 2st'!$FA$2:$FA$317),"")</f>
        <v>5.05</v>
      </c>
      <c r="MG60" s="7">
        <f>IFERROR(AVERAGEIF('Данные 2st'!$Q$2:$Q$317,$A60,'Данные 2st'!$FB$2:$FB$317),"")</f>
        <v>1</v>
      </c>
      <c r="MH60" s="7">
        <f>IFERROR(AVERAGEIF('Данные 2st'!$Q$2:$Q$317,$A60,'Данные 2st'!$FC$2:$FC$317),"")</f>
        <v>1</v>
      </c>
      <c r="MI60" s="7">
        <f>IFERROR(AVERAGEIF('Данные 2st'!$Q$2:$Q$317,$A60,'Данные 2st'!$FD$2:$FD$317),"")</f>
        <v>2173.5</v>
      </c>
      <c r="MJ60" s="7">
        <f>IFERROR(AVERAGEIF('Данные 2st'!$Q$2:$Q$317,$A60,'Данные 2st'!$FE$2:$FE$317),"")</f>
        <v>2683.3333333333335</v>
      </c>
      <c r="MK60" s="7">
        <f>IFERROR(AVERAGEIF('Данные 2st'!$Q$2:$Q$317,$A60,'Данные 2st'!$FG$2:$FG$317),"")</f>
        <v>229.33333333333334</v>
      </c>
      <c r="ML60" s="7">
        <f>IFERROR(AVERAGEIF('Данные 2st'!$Q$2:$Q$317,$A60,'Данные 2st'!$FI$2:$FI$317),"")</f>
        <v>2.966666666666667</v>
      </c>
      <c r="MM60" s="7">
        <f>IFERROR(AVERAGEIF('Данные 2st'!$Q$2:$Q$317,$A60,'Данные 2st'!$FJ$2:$FJ$317),"")</f>
        <v>2173.5</v>
      </c>
      <c r="MN60" s="7">
        <f>IFERROR(AVERAGEIF('Данные 2st'!$Q$2:$Q$317,$A60,'Данные 2st'!$FK$2:$FK$317),"")</f>
        <v>1668.1666666666667</v>
      </c>
      <c r="MO60" s="7">
        <f>IFERROR(AVERAGEIF('Данные 2st'!$Q$2:$Q$317,$A60,'Данные 2st'!$FP$2:$FP$317),"")</f>
        <v>2173.5</v>
      </c>
      <c r="MP60" s="7">
        <f>IFERROR(AVERAGEIF('Данные 2st'!$Q$2:$Q$317,$A60,'Данные 2st'!$FQ$2:$FQ$317),"")</f>
        <v>184.16666666666666</v>
      </c>
      <c r="MQ60" s="7">
        <f>IFERROR(AVERAGEIF('Данные 2st'!$Q$2:$Q$317,$A60,'Данные 2st'!$FS$2:$FS$317),"")</f>
        <v>233.33333333333334</v>
      </c>
      <c r="MR60" s="7">
        <f>IFERROR(AVERAGEIF('Данные 2st'!$Q$2:$Q$317,$A60,'Данные 2st'!$FU$2:$FU$317),"")</f>
        <v>0.4</v>
      </c>
      <c r="MS60" s="7">
        <f>IFERROR(AVERAGEIF('Данные 2st'!$Q$2:$Q$317,$A60,'Данные 2st'!$FV$2:$FV$317),"")</f>
        <v>2173.5</v>
      </c>
      <c r="MT60" s="7">
        <f>IFERROR(AVERAGEIF('Данные 2st'!$Q$2:$Q$317,$A60,'Данные 2st'!$FW$2:$FW$317),"")</f>
        <v>225.66666666666666</v>
      </c>
      <c r="MU60" s="7">
        <f>IFERROR(AVERAGEIF('Данные 2st'!$Q$2:$Q$317,$A60,'Данные 2st'!$FY$2:$FY$317),"")</f>
        <v>5</v>
      </c>
      <c r="MV60" s="7">
        <f>IFERROR(AVERAGEIF('Данные 2st'!$Q$2:$Q$317,$A60,'Данные 2st'!$GB$2:$GB$317),"")</f>
        <v>2173.5</v>
      </c>
      <c r="MW60" s="7">
        <f>IFERROR(AVERAGEIF('Данные 2st'!$Q$2:$Q$317,$A60,'Данные 2st'!$GC$2:$GC$317),"")</f>
        <v>20.833333333333332</v>
      </c>
      <c r="MX60" s="7">
        <f>IFERROR(AVERAGEIF('Данные 2st'!$Q$2:$Q$317,$A60,'Данные 2st'!$GD$2:$GD$317),"")</f>
        <v>4782.166666666667</v>
      </c>
      <c r="MY60" s="7">
        <f>IFERROR(AVERAGEIF('Данные 2st'!$Q$2:$Q$317,$A60,'Данные 2st'!$GN$2:$GN$317),"")</f>
        <v/>
      </c>
      <c r="MZ60" s="7">
        <f>IFERROR(AVERAGEIF('Данные 2st'!$Q$2:$Q$317,$A60,'Данные 2st'!$GQ$2:$GQ$317),"")</f>
        <v>0</v>
      </c>
      <c r="NA60" s="7">
        <f>IFERROR(AVERAGEIF('Данные 2st'!$Q$2:$Q$317,$A60,'Данные 2st'!$GV$2:$GV$317),"")</f>
        <v>8.416666666666666</v>
      </c>
      <c r="NB60" s="7">
        <f>IFERROR(AVERAGEIF('Данные 2st'!$Q$2:$Q$317,$A60,'Данные 2st'!$GW$2:$GW$317),"")</f>
        <v>10.05</v>
      </c>
      <c r="NC60" s="7">
        <f>IFERROR(AVERAGEIF('Данные 2st'!$Q$2:$Q$317,$A60,'Данные 2st'!$GX$2:$GX$317),"")</f>
        <v>0.5</v>
      </c>
      <c r="ND60" s="7">
        <f>IFERROR(AVERAGEIF('Данные 2st'!$Q$2:$Q$317,$A60,'Данные 2st'!$GY$2:$GY$317),"")</f>
        <v>202.33333333333334</v>
      </c>
      <c r="NE60" s="7">
        <f>IFERROR(AVERAGEIF('Данные 2st'!$Q$2:$Q$317,$A60,'Данные 2st'!$GZ$2:$GZ$317),"")</f>
        <v>3</v>
      </c>
      <c r="NF60" s="7">
        <f>IFERROR(AVERAGEIF('Данные 2st'!$Q$2:$Q$317,$A60,'Данные 2st'!$HA$2:$HA$317),"")</f>
        <v>251.33333333333334</v>
      </c>
      <c r="NG60" s="7">
        <f>IFERROR(AVERAGEIF('Данные 2st'!$Q$2:$Q$317,$A60,'Данные 2st'!$HB$2:$HB$317),"")</f>
        <v>3</v>
      </c>
      <c r="NH60" s="7">
        <f>IFERROR(AVERAGEIF('Данные 2st'!$Q$2:$Q$317,$A60,'Данные 2st'!$HC$2:$HC$317),"")</f>
        <v>2173.5</v>
      </c>
      <c r="NI60" s="7">
        <f>IFERROR(AVERAGEIF('Данные 2st'!$Q$2:$Q$317,$A60,'Данные 2st'!$HD$2:$HD$317),"")</f>
        <v>4</v>
      </c>
      <c r="NJ60" s="7">
        <f>IFERROR(AVERAGEIF('Данные 2st'!$Q$2:$Q$317,$A60,'Данные 2st'!$HM$2:$HM$317),"")</f>
        <v>20</v>
      </c>
      <c r="NK60" s="7">
        <f>IFERROR(AVERAGEIF('Данные 2st'!$Q$2:$Q$317,$A60,'Данные 2st'!$HR$2:$HR$317),"")</f>
        <v>2</v>
      </c>
      <c r="NL60" s="7">
        <f>IFERROR(AVERAGEIF('Данные 2st'!$Q$2:$Q$317,$A60,'Данные 2st'!$HS$2:$HS$317),"")</f>
        <v>2126.6666666666665</v>
      </c>
      <c r="NM60" s="7">
        <f>IFERROR(AVERAGEIF('Данные 2st'!$Q$2:$Q$317,$A60,'Данные 2st'!$HT$2:$HT$317),"")</f>
        <v>5</v>
      </c>
      <c r="NN60" s="7">
        <f>IFERROR(AVERAGEIF('Данные 2st'!$Q$2:$Q$317,$A60,'Данные 2st'!$HY$2:$HY$317),"")</f>
        <v>0</v>
      </c>
      <c r="NO60" s="7">
        <f>IFERROR(AVERAGEIF('Данные 2st'!$Q$2:$Q$317,$A60,'Данные 2st'!$HZ$2:$HZ$317),"")</f>
        <v>64</v>
      </c>
      <c r="NP60" s="7">
        <f>IFERROR(AVERAGEIF('Данные 2st'!$Q$2:$Q$317,$A60,'Данные 2st'!$IA$2:$IA$317),"")</f>
        <v>2129.8333333333335</v>
      </c>
      <c r="NQ60" s="7">
        <f>IFERROR(AVERAGEIF('Данные 2st'!$Q$2:$Q$317,$A60,'Данные 2st'!$IB$2:$IB$317),"")</f>
        <v>2141.8333333333335</v>
      </c>
      <c r="NR60" s="7">
        <f>IFERROR(AVERAGEIF('Данные 2st'!$Q$2:$Q$317,$A60,'Данные 2st'!$IC$2:$IC$317),"")</f>
        <v/>
      </c>
      <c r="NS60" s="7">
        <f>IFERROR(AVERAGEIF('Данные 2st'!$Q$2:$Q$317,$A60,'Данные 2st'!$ID$2:$ID$317),"")</f>
        <v>2173.5</v>
      </c>
      <c r="NT60" s="7">
        <f>IFERROR(AVERAGEIF('Данные 2st'!$Q$2:$Q$317,$A60,'Данные 2st'!$IE$2:$IE$317),"")</f>
        <v>2173.5</v>
      </c>
      <c r="NU60" s="7">
        <f>IFERROR(AVERAGEIF('Данные 2st'!$Q$2:$Q$317,$A60,'Данные 2st'!$IF$2:$IF$317),"")</f>
        <v>212.5</v>
      </c>
      <c r="NV60" s="7">
        <f>IFERROR(AVERAGEIF('Данные 2st'!$Q$2:$Q$317,$A60,'Данные 2st'!$IG$2:$IG$317),"")</f>
        <v>202.5</v>
      </c>
      <c r="NW60" s="7">
        <f>IFERROR(AVERAGEIF('Данные 2st'!$Q$2:$Q$317,$A60,'Данные 2st'!$IH$2:$IH$317),"")</f>
        <v>251.33333333333334</v>
      </c>
      <c r="NX60" s="7">
        <f>IFERROR(AVERAGEIF('Данные 2st'!$Q$2:$Q$317,$A60,'Данные 2st'!$IJ$2:$IJ$317),"")</f>
        <v>5</v>
      </c>
      <c r="NY60" s="7">
        <f>IFERROR(AVERAGEIF('Данные 2st'!$Q$2:$Q$317,$A60,'Данные 2st'!$IM$2:$IM$317),"")</f>
        <v>0</v>
      </c>
      <c r="NZ60" s="7">
        <f>IFERROR(AVERAGEIF('Данные 2st'!$Q$2:$Q$317,$A60,'Данные 2st'!$IN$2:$IN$317),"")</f>
        <v>270</v>
      </c>
      <c r="OA60" s="7">
        <f>IFERROR(AVERAGEIF('Данные 2st'!$Q$2:$Q$317,$A60,'Данные 2st'!$IO$2:$IO$317),"")</f>
        <v>0</v>
      </c>
      <c r="OB60" s="7">
        <f>IFERROR(AVERAGEIF('Данные 2st'!$Q$2:$Q$317,$A60,'Данные 2st'!$IP$2:$IP$317),"")</f>
        <v>180</v>
      </c>
      <c r="OC60" s="7">
        <f>IFERROR(AVERAGEIF('Данные 2st'!$Q$2:$Q$317,$A60,'Данные 2st'!$IQ$2:$IQ$317),"")</f>
        <v>0</v>
      </c>
      <c r="OD60" s="7">
        <f>IFERROR(AVERAGEIF('Данные 2st'!$Q$2:$Q$317,$A60,'Данные 2st'!$IR$2:$IR$317),"")</f>
        <v>330</v>
      </c>
      <c r="OE60" s="7">
        <f>IFERROR(AVERAGEIF('Данные 2st'!$Q$2:$Q$317,$A60,'Данные 2st'!$IT$2:$IT$317),"")</f>
        <v>90</v>
      </c>
      <c r="OF60" s="7">
        <f>IFERROR(AVERAGEIF('Данные 2st'!$Q$2:$Q$317,$A60,'Данные 2st'!$IU$2:$IU$317),"")</f>
        <v>0</v>
      </c>
      <c r="OG60" s="7">
        <f>IFERROR(AVERAGEIF('Данные 2st'!$Q$2:$Q$317,$A60,'Данные 2st'!$IV$2:$IV$317),"")</f>
        <v>6.4</v>
      </c>
      <c r="OH60" s="7">
        <f>IFERROR(AVERAGEIF('Данные 2st'!$Q$2:$Q$317,$A60,'Данные 2st'!$IW$2:$IW$317),"")</f>
        <v>-6</v>
      </c>
      <c r="OI60" s="7">
        <f>IFERROR(AVERAGEIF('Данные 2st'!$Q$2:$Q$317,$A60,'Данные 2st'!$IX$2:$IX$317),"")</f>
        <v>108.91666666666667</v>
      </c>
      <c r="OJ60" s="7">
        <f>IFERROR(AVERAGEIF('Данные 2st'!$Q$2:$Q$317,$A60,'Данные 2st'!$IY$2:$IY$317),"")</f>
        <v>81.25</v>
      </c>
      <c r="OK60" s="7">
        <f>IFERROR(AVERAGEIF('Данные 2st'!$Q$2:$Q$317,$A60,'Данные 2st'!$IZ$2:$IZ$317),"")</f>
        <v>0</v>
      </c>
      <c r="OL60" s="7">
        <f>IFERROR(AVERAGEIF('Данные 2st'!$Q$2:$Q$317,$A60,'Данные 2st'!$JA$2:$JA$317),"")</f>
        <v>0</v>
      </c>
      <c r="OM60" s="7">
        <f>IFERROR(AVERAGEIF('Данные 2st'!$Q$2:$Q$317,$A60,'Данные 2st'!$JB$2:$JB$317),"")</f>
        <v>0</v>
      </c>
      <c r="ON60" s="7">
        <f>IFERROR(AVERAGEIF('Данные 2st'!$Q$2:$Q$317,$A60,'Данные 2st'!$JC$2:$JC$317),"")</f>
        <v>0</v>
      </c>
      <c r="OO60" s="7">
        <f>IFERROR(AVERAGEIF('Данные 2st'!$Q$2:$Q$317,$A60,'Данные 2st'!$JD$2:$JD$317),"")</f>
        <v>0</v>
      </c>
      <c r="OP60" s="7">
        <f>IFERROR(AVERAGEIF('Данные 2st'!$Q$2:$Q$317,$A60,'Данные 2st'!$JE$2:$JE$317),"")</f>
        <v>0</v>
      </c>
      <c r="OQ60" s="7">
        <f>IFERROR(AVERAGEIF('Данные 2st'!$Q$2:$Q$317,$A60,'Данные 2st'!$JF$2:$JF$317),"")</f>
        <v>0</v>
      </c>
      <c r="OR60" s="7">
        <f>IFERROR(AVERAGEIF('Данные 2st'!$Q$2:$Q$317,$A60,'Данные 2st'!$JG$2:$JG$317),"")</f>
        <v>0</v>
      </c>
      <c r="OS60" s="7">
        <f>IFERROR(AVERAGEIF('Данные 2st'!$Q$2:$Q$317,$A60,'Данные 2st'!$JH$2:$JH$317),"")</f>
        <v>0</v>
      </c>
      <c r="OT60" s="7">
        <f>IFERROR(AVERAGEIF('Данные 2st'!$Q$2:$Q$317,$A60,'Данные 2st'!$JI$2:$JI$317),"")</f>
        <v>368.6666666666667</v>
      </c>
      <c r="OU60" s="7">
        <f>IFERROR(AVERAGEIF('Данные 2st'!$Q$2:$Q$317,$A60,'Данные 2st'!$JJ$2:$JJ$317),"")</f>
        <v>338.6666666666667</v>
      </c>
      <c r="OV60" s="7">
        <f>IFERROR(AVERAGEIF('Данные 2st'!$Q$2:$Q$317,$A60,'Данные 2st'!$JK$2:$JK$317),"")</f>
        <v>254.5</v>
      </c>
      <c r="OW60" s="7">
        <f>IFERROR(AVERAGEIF('Данные 2st'!$Q$2:$Q$317,$A60,'Данные 2st'!$JL$2:$JL$317),"")</f>
        <v>337.6666666666667</v>
      </c>
      <c r="OX60" s="7">
        <f>IFERROR(AVERAGEIF('Данные 2st'!$Q$2:$Q$317,$A60,'Данные 2st'!$JM$2:$JM$317),"")</f>
        <v>265.5</v>
      </c>
      <c r="OY60" s="7">
        <f>IFERROR(AVERAGEIF('Данные 2st'!$Q$2:$Q$317,$A60,'Данные 2st'!$JP$2:$JP$317),"")</f>
        <v>200</v>
      </c>
      <c r="OZ60" s="7">
        <f>IFERROR(AVERAGEIF('Данные 2st'!$Q$2:$Q$317,$A60,'Данные 2st'!$JQ$2:$JQ$317),"")</f>
        <v>234.16666666666666</v>
      </c>
      <c r="PA60" s="7">
        <f>IFERROR(AVERAGEIF('Данные 2st'!$Q$2:$Q$317,$A60,'Данные 2st'!$JR$2:$JR$317),"")</f>
        <v>289.8333333333333</v>
      </c>
      <c r="PB60" s="7">
        <f>IFERROR(AVERAGEIF('Данные 2st'!$Q$2:$Q$317,$A60,'Данные 2st'!$JS$2:$JS$317),"")</f>
        <v>245.5</v>
      </c>
      <c r="PC60" s="7">
        <f>IFERROR(AVERAGEIF('Данные 2st'!$Q$2:$Q$317,$A60,'Данные 2st'!$JT$2:$JT$317),"")</f>
        <v>0</v>
      </c>
      <c r="PD60" s="7">
        <f>IFERROR(AVERAGEIF('Данные 2st'!$Q$2:$Q$317,$A60,'Данные 2st'!$JU$2:$JU$317),"")</f>
        <v>0</v>
      </c>
      <c r="PE60" s="7">
        <f>IFERROR(AVERAGEIF('Данные 2st'!$Q$2:$Q$317,$A60,'Данные 2st'!$JV$2:$JV$317),"")</f>
        <v>281.6666666666667</v>
      </c>
      <c r="PF60" s="7">
        <f>IFERROR(AVERAGEIF('Данные 2st'!$Q$2:$Q$317,$A60,'Данные 2st'!$JW$2:$JW$317),"")</f>
        <v>285</v>
      </c>
      <c r="PG60" s="7">
        <f>IFERROR(AVERAGEIF('Данные 2st'!$Q$2:$Q$317,$A60,'Данные 2st'!$KF$2:$KF$317),"")</f>
        <v>0.185</v>
      </c>
      <c r="PH60" s="7">
        <f>IFERROR(AVERAGEIF('Данные 2st'!$Q$2:$Q$317,$A60,'Данные 2st'!$KG$2:$KG$317),"")</f>
        <v>0.11</v>
      </c>
      <c r="PI60" s="7">
        <f>IFERROR(AVERAGEIF('Данные 2st'!$Q$2:$Q$317,$A60,'Данные 2st'!$KM$2:$KM$317),"")</f>
        <v>0.3333333333333333</v>
      </c>
      <c r="PJ60" s="7">
        <f>IFERROR(AVERAGEIF('Данные 2st'!$Q$2:$Q$317,$A60,'Данные 2st'!$KN$2:$KN$317),"")</f>
        <v>1.7333333333333334</v>
      </c>
      <c r="PK60" s="7">
        <f>IFERROR(AVERAGEIF('Данные 2st'!$Q$2:$Q$317,$A60,'Данные 2st'!$KO$2:$KO$317),"")</f>
        <v>0.3333333333333333</v>
      </c>
      <c r="PL60" s="7">
        <f>IFERROR(AVERAGEIF('Данные 2st'!$Q$2:$Q$317,$A60,'Данные 2st'!$KP$2:$KP$317),"")</f>
        <v>0</v>
      </c>
      <c r="PM60" s="7">
        <f>IFERROR(AVERAGEIF('Данные 2st'!$Q$2:$Q$317,$A60,'Данные 2st'!$KQ$2:$KQ$317),"")</f>
        <v>0.9333333333333333</v>
      </c>
      <c r="PN60" s="7">
        <f>IFERROR(AVERAGEIF('Данные 2st'!$Q$2:$Q$317,$A60,'Данные 2st'!$KR$2:$KR$317),"")</f>
        <v>0.8</v>
      </c>
      <c r="PO60" s="7">
        <f>IFERROR(AVERAGEIF('Данные 2st'!$Q$2:$Q$317,$A60,'Данные 2st'!$KS$2:$KS$317),"")</f>
        <v>0</v>
      </c>
      <c r="PP60" s="7">
        <f>IFERROR(AVERAGEIF('Данные 2st'!$Q$2:$Q$317,$A60,'Данные 2st'!$KT$2:$KT$317),"")</f>
        <v>2.783333333333333</v>
      </c>
      <c r="PQ60" s="7">
        <f>IFERROR(AVERAGEIF('Данные 2st'!$Q$2:$Q$317,$A60,'Данные 2st'!$KU$2:$KU$317),"")</f>
        <v>0</v>
      </c>
      <c r="PR60" s="7">
        <f>IFERROR(AVERAGEIF('Данные 2st'!$Q$2:$Q$317,$A60,'Данные 2st'!$KV$2:$KV$317),"")</f>
        <v>0</v>
      </c>
      <c r="PS60" s="7">
        <f>IFERROR(AVERAGEIF('Данные 2st'!$Q$2:$Q$317,$A60,'Данные 2st'!$KW$2:$KW$317),"")</f>
        <v>1.3333333333333333</v>
      </c>
      <c r="PT60" s="7">
        <f>IFERROR(AVERAGEIF('Данные 2st'!$Q$2:$Q$317,$A60,'Данные 2st'!$KX$2:$KX$317),"")</f>
        <v>2</v>
      </c>
      <c r="PU60" s="7">
        <f>IFERROR(AVERAGEIF('Данные 2st'!$Q$2:$Q$317,$A60,'Данные 2st'!$KY$2:$KY$317),"")</f>
        <v>0.6666666666666666</v>
      </c>
      <c r="PV60" s="7">
        <f>IFERROR(AVERAGEIF('Данные 2st'!$Q$2:$Q$317,$A60,'Данные 2st'!$KZ$2:$KZ$317),"")</f>
        <v>0</v>
      </c>
      <c r="PW60" s="7">
        <f>IFERROR(AVERAGEIF('Данные 2st'!$Q$2:$Q$317,$A60,'Данные 2st'!$LA$2:$LA$317),"")</f>
        <v>0</v>
      </c>
      <c r="PX60" s="7">
        <f>IFERROR(AVERAGEIF('Данные 2st'!$Q$2:$Q$317,$A60,'Данные 2st'!$LB$2:$LB$317),"")</f>
        <v>0</v>
      </c>
      <c r="PY60" s="7">
        <f>IFERROR(AVERAGEIF('Данные 2st'!$Q$2:$Q$317,$A60,'Данные 2st'!$LC$2:$LC$317),"")</f>
        <v>0</v>
      </c>
      <c r="PZ60" s="7">
        <f>IFERROR(AVERAGEIF('Данные 2st'!$Q$2:$Q$317,$A60,'Данные 2st'!$LD$2:$LD$317),"")</f>
        <v>0</v>
      </c>
      <c r="QA60" s="7">
        <f>IFERROR(AVERAGEIF('Данные 2st'!$Q$2:$Q$317,$A60,'Данные 2st'!$LE$2:$LE$317),"")</f>
        <v>0</v>
      </c>
      <c r="QB60" s="7">
        <f>IFERROR(AVERAGEIF('Данные 2st'!$Q$2:$Q$317,$A60,'Данные 2st'!$LF$2:$LF$317),"")</f>
        <v>0</v>
      </c>
      <c r="QC60" s="7">
        <f>IFERROR(AVERAGEIF('Данные 2st'!$Q$2:$Q$317,$A60,'Данные 2st'!$LG$2:$LG$317),"")</f>
        <v>0</v>
      </c>
      <c r="QD60" s="7">
        <f>IFERROR(AVERAGEIF('Данные 2st'!$Q$2:$Q$317,$A60,'Данные 2st'!$LH$2:$LH$317),"")</f>
        <v>3</v>
      </c>
      <c r="QE60" s="7">
        <f>IFERROR(AVERAGEIF('Данные 2st'!$Q$2:$Q$317,$A60,'Данные 2st'!$LJ$2:$LJ$317),"")</f>
        <v>0</v>
      </c>
      <c r="QF60" s="7">
        <f>IFERROR(AVERAGEIF('Данные 2st'!$Q$2:$Q$317,$A60,'Данные 2st'!$LK$2:$LK$317),"")</f>
        <v>7.833333333333333</v>
      </c>
      <c r="QG60" s="7">
        <f>IFERROR(AVERAGEIF('Данные 2st'!$Q$2:$Q$317,$A60,'Данные 2st'!$LL$2:$LL$317),"")</f>
        <v>5.083333333333333</v>
      </c>
      <c r="QH60" s="7">
        <f>IFERROR(AVERAGEIF('Данные 2st'!$Q$2:$Q$317,$A60,'Данные 2st'!$LM$2:$LM$317),"")</f>
        <v>9</v>
      </c>
      <c r="QI60" s="7">
        <f>IFERROR(AVERAGEIF('Данные 2st'!$Q$2:$Q$317,$A60,'Данные 2st'!$LN$2:$LN$317),"")</f>
        <v>0.25</v>
      </c>
      <c r="QJ60" s="7">
        <f>IFERROR(AVERAGEIF('Данные 2st'!$Q$2:$Q$317,$A60,'Данные 2st'!$LO$2:$LO$317),"")</f>
        <v>2.183333333333333</v>
      </c>
      <c r="QK60" s="7">
        <f>IFERROR(AVERAGEIF('Данные 2st'!$Q$2:$Q$317,$A60,'Данные 2st'!$LP$2:$LP$317),"")</f>
        <v>0</v>
      </c>
      <c r="QL60" s="7">
        <f>IFERROR(AVERAGEIF('Данные 2st'!$Q$2:$Q$317,$A60,'Данные 2st'!$LQ$2:$LQ$317),"")</f>
        <v>0</v>
      </c>
      <c r="QM60" s="7">
        <f>IFERROR(AVERAGEIF('Данные 2st'!$Q$2:$Q$317,$A60,'Данные 2st'!$LW$2:$LW$317),"")</f>
        <v>1.8666666666666667</v>
      </c>
      <c r="QN60" s="7">
        <f>IFERROR(AVERAGEIF('Данные 2st'!$Q$2:$Q$317,$A60,'Данные 2st'!$LX$2:$LX$317),"")</f>
        <v>1.8666666666666667</v>
      </c>
      <c r="QO60" s="7">
        <f>IFERROR(AVERAGEIF('Данные 2st'!$Q$2:$Q$317,$A60,'Данные 2st'!$LY$2:$LY$317),"")</f>
        <v>2.1</v>
      </c>
      <c r="QP60" s="7">
        <f>IFERROR(AVERAGEIF('Данные 2st'!$Q$2:$Q$317,$A60,'Данные 2st'!$LZ$2:$LZ$317),"")</f>
        <v>2.1</v>
      </c>
      <c r="QQ60" s="7">
        <f>IFERROR(AVERAGEIF('Данные 2st'!$Q$2:$Q$317,$A60,'Данные 2st'!$MB$2:$MB$317),"")</f>
        <v>3.1666666666666665</v>
      </c>
      <c r="QR60" s="7">
        <f>IFERROR(AVERAGEIF('Данные 2st'!$Q$2:$Q$317,$A60,'Данные 2st'!$MG$2:$MG$317),"")</f>
        <v>0</v>
      </c>
      <c r="QS60" s="7">
        <f>IFERROR(AVERAGEIF('Данные 2st'!$Q$2:$Q$317,$A60,'Данные 2st'!$MH$2:$MH$317),"")</f>
        <v>0</v>
      </c>
      <c r="QT60" s="7">
        <f>IFERROR(AVERAGEIF('Данные 2st'!$Q$2:$Q$317,$A60,'Данные 2st'!$MI$2:$MI$317),"")</f>
        <v>0</v>
      </c>
      <c r="QU60" s="7">
        <f>IFERROR(AVERAGEIF('Данные 2st'!$Q$2:$Q$317,$A60,'Данные 2st'!$MJ$2:$MJ$317),"")</f>
        <v>0</v>
      </c>
      <c r="QV60" s="7">
        <f>IFERROR(AVERAGEIF('Данные 2st'!$Q$2:$Q$317,$A60,'Данные 2st'!$MK$2:$MK$317),"")</f>
        <v>0</v>
      </c>
      <c r="QW60" s="7">
        <f>IFERROR(AVERAGEIF('Данные 2st'!$Q$2:$Q$317,$A60,'Данные 2st'!$MM$2:$MM$317),"")</f>
        <v>400</v>
      </c>
      <c r="QX60" s="7">
        <f>IFERROR(AVERAGEIF('Данные 2st'!$Q$2:$Q$317,$A60,'Данные 2st'!$MQ$2:$MQ$317),"")</f>
        <v/>
      </c>
      <c r="QY60" s="7">
        <f>IFERROR(AVERAGEIF('Данные 2st'!$Q$2:$Q$317,$A60,'Данные 2st'!$MR$2:$MR$317),"")</f>
        <v/>
      </c>
      <c r="QZ60" s="7">
        <f>IFERROR(AVERAGEIF('Данные 2st'!$Q$2:$Q$317,$A60,'Данные 2st'!$MS$2:$MS$317),"")</f>
        <v/>
      </c>
      <c r="RA60" s="7">
        <f>IFERROR(AVERAGEIF('Данные 2st'!$Q$2:$Q$317,$A60,'Данные 2st'!$MT$2:$MT$317),"")</f>
        <v/>
      </c>
      <c r="RB60" s="7">
        <f>IFERROR(AVERAGEIF('Данные 2st'!$Q$2:$Q$317,$A60,'Данные 2st'!$MU$2:$MU$317),"")</f>
        <v/>
      </c>
      <c r="RC60" s="7">
        <f>IFERROR(AVERAGEIF('Данные 2st'!$Q$2:$Q$317,$A60,'Данные 2st'!$MV$2:$MV$317),"")</f>
        <v/>
      </c>
      <c r="RD60" s="7">
        <f>IFERROR(AVERAGEIF('Данные 2st'!$Q$2:$Q$317,$A60,'Данные 2st'!$MW$2:$MW$317),"")</f>
        <v/>
      </c>
      <c r="RE60" s="7">
        <f>IFERROR(AVERAGEIF('Данные 2st'!$Q$2:$Q$317,$A60,'Данные 2st'!$MX$2:$MX$317),"")</f>
        <v/>
      </c>
      <c r="RF60" s="7">
        <f>IFERROR(AVERAGEIF('Данные 2st'!$Q$2:$Q$317,$A60,'Данные 2st'!$MY$2:$MY$317),"")</f>
        <v/>
      </c>
      <c r="RG60" s="7">
        <f>IFERROR(AVERAGEIF('Данные 2st'!$Q$2:$Q$317,$A60,'Данные 2st'!$MZ$2:$MZ$317),"")</f>
        <v/>
      </c>
      <c r="RH60" s="7">
        <f>IFERROR(AVERAGEIF('Данные 2st'!$Q$2:$Q$317,$A60,'Данные 2st'!$NA$2:$NA$317),"")</f>
        <v/>
      </c>
      <c r="RI60" s="7">
        <f>IFERROR(AVERAGEIF('Данные 2st'!$Q$2:$Q$317,$A60,'Данные 2st'!$NB$2:$NB$317),"")</f>
        <v/>
      </c>
      <c r="RJ60" s="7">
        <f>IFERROR(AVERAGEIF('Данные 2st'!$Q$2:$Q$317,$A60,'Данные 2st'!$NC$2:$NC$317),"")</f>
        <v/>
      </c>
      <c r="RK60" s="7">
        <f>IFERROR(AVERAGEIF('Данные 2st'!$Q$2:$Q$317,$A60,'Данные 2st'!$ND$2:$ND$317),"")</f>
        <v/>
      </c>
      <c r="RL60" s="7">
        <f>IFERROR(AVERAGEIF('Данные 2st'!$Q$2:$Q$317,$A60,'Данные 2st'!$NE$2:$NE$317),"")</f>
        <v/>
      </c>
      <c r="RM60" s="7">
        <f>IFERROR(AVERAGEIF('Данные 2st'!$Q$2:$Q$317,$A60,'Данные 2st'!$NF$2:$NF$317),"")</f>
        <v/>
      </c>
      <c r="RN60" s="7">
        <f>IFERROR(AVERAGEIF('Данные 2st'!$Q$2:$Q$317,$A60,'Данные 2st'!$NG$2:$NG$317),"")</f>
        <v/>
      </c>
      <c r="RO60" s="7">
        <f>IFERROR(AVERAGEIF('Данные 2st'!$Q$2:$Q$317,$A60,'Данные 2st'!$NH$2:$NH$317),"")</f>
        <v/>
      </c>
      <c r="RP60" s="7">
        <f>IFERROR(AVERAGEIF('Данные 2st'!$Q$2:$Q$317,$A60,'Данные 2st'!$NJ$2:$NJ$317),"")</f>
        <v/>
      </c>
      <c r="RQ60" s="7">
        <f>IFERROR(AVERAGEIF('Данные 2st'!$Q$2:$Q$317,$A60,'Данные 2st'!$NK$2:$NK$317),"")</f>
        <v/>
      </c>
      <c r="RR60" s="7">
        <f>IFERROR(AVERAGEIF('Данные 2st'!$Q$2:$Q$317,$A60,'Данные 2st'!$NM$2:$NM$317),"")</f>
        <v/>
      </c>
      <c r="RS60" s="7">
        <f>IFERROR(AVERAGEIF('Данные 2st'!$Q$2:$Q$317,$A60,'Данные 2st'!$NN$2:$NN$317),"")</f>
        <v/>
      </c>
      <c r="RT60" s="7">
        <f>IFERROR(AVERAGEIF('Данные 2st'!$Q$2:$Q$317,$A60,'Данные 2st'!$NO$2:$NO$317),"")</f>
        <v/>
      </c>
      <c r="RU60" s="7">
        <f>IFERROR(AVERAGEIF('Данные 2st'!$Q$2:$Q$317,$A60,'Данные 2st'!$NP$2:$NP$317),"")</f>
        <v/>
      </c>
      <c r="RV60" s="7">
        <f>IFERROR(AVERAGEIF('Данные 2st'!$Q$2:$Q$317,$A60,'Данные 2st'!$NQ$2:$NQ$317),"")</f>
        <v/>
      </c>
      <c r="RW60" s="7">
        <f>IFERROR(AVERAGEIF('Данные 2st'!$Q$2:$Q$317,$A60,'Данные 2st'!$NR$2:$NR$317),"")</f>
        <v/>
      </c>
      <c r="RX60" s="7">
        <f>IFERROR(AVERAGEIF('Данные 2st'!$Q$2:$Q$317,$A60,'Данные 2st'!$NS$2:$NS$317),"")</f>
        <v/>
      </c>
      <c r="RY60" s="7">
        <f>IFERROR(AVERAGEIF('Данные 2st'!$Q$2:$Q$317,$A60,'Данные 2st'!$NT$2:$NT$317),"")</f>
        <v/>
      </c>
      <c r="RZ60" s="7">
        <f>IFERROR(AVERAGEIF('Данные 2st'!$Q$2:$Q$317,$A60,'Данные 2st'!$OK$2:$OK$317),"")</f>
        <v>61</v>
      </c>
      <c r="SA60" s="7">
        <f>IFERROR(AVERAGEIF('Данные 2st'!$Q$2:$Q$317,$A60,'Данные 2st'!$OL$2:$OL$317),"")</f>
        <v>61</v>
      </c>
      <c r="SB60" s="7">
        <f>IFERROR(AVERAGEIF('Данные 2st'!$Q$2:$Q$317,$A60,'Данные 2st'!$ON$2:$ON$317),"")</f>
        <v>1</v>
      </c>
      <c r="SC60" s="7">
        <f>IFERROR(AVERAGEIF('Данные 2st'!$Q$2:$Q$317,$A60,'Данные 2st'!$OO$2:$OO$317),"")</f>
        <v>2129.8333333333335</v>
      </c>
      <c r="SD60" s="7">
        <f>IFERROR(AVERAGEIF('Данные 2st'!$Q$2:$Q$317,$A60,'Данные 2st'!$OP$2:$OP$317),"")</f>
        <v>61</v>
      </c>
      <c r="SE60" s="7">
        <f>IFERROR(AVERAGEIF('Данные 2st'!$Q$2:$Q$317,$A60,'Данные 2st'!$OQ$2:$OQ$317),"")</f>
        <v>61</v>
      </c>
      <c r="SF60" s="7">
        <f>IFERROR(AVERAGEIF('Данные 2st'!$Q$2:$Q$317,$A60,'Данные 2st'!$OS$2:$OS$317),"")</f>
        <v>1</v>
      </c>
      <c r="SG60" s="7">
        <f>IFERROR(AVERAGEIF('Данные 2st'!$Q$2:$Q$317,$A60,'Данные 2st'!$OT$2:$OT$317),"")</f>
        <v>2141.8333333333335</v>
      </c>
      <c r="SH60" s="7">
        <f>IFERROR(AVERAGEIF('Данные 2st'!$Q$2:$Q$317,$A60,'Данные 2st'!$OU$2:$OU$317),"")</f>
        <v>65</v>
      </c>
      <c r="SI60" s="7">
        <f>IFERROR(AVERAGEIF('Данные 2st'!$Q$2:$Q$317,$A60,'Данные 2st'!$OV$2:$OV$317),"")</f>
        <v>65</v>
      </c>
      <c r="SJ60" s="7">
        <f>IFERROR(AVERAGEIF('Данные 2st'!$Q$2:$Q$317,$A60,'Данные 2st'!$OX$2:$OX$317),"")</f>
        <v>1.8333333333333333</v>
      </c>
      <c r="SK60" s="7">
        <f>IFERROR(AVERAGEIF('Данные 2st'!$Q$2:$Q$317,$A60,'Данные 2st'!$OY$2:$OY$317),"")</f>
        <v>47723.166666666664</v>
      </c>
      <c r="SL60" s="7">
        <f>IFERROR(AVERAGEIF('Данные 2st'!$Q$2:$Q$317,$A60,'Данные 2st'!$OZ$2:$OZ$317),"")</f>
        <v>51</v>
      </c>
      <c r="SM60" s="7">
        <f>IFERROR(AVERAGEIF('Данные 2st'!$Q$2:$Q$317,$A60,'Данные 2st'!$PA$2:$PA$317),"")</f>
        <v>51.5</v>
      </c>
      <c r="SN60" s="7">
        <f>IFERROR(AVERAGEIF('Данные 2st'!$Q$2:$Q$317,$A60,'Данные 2st'!$PC$2:$PC$317),"")</f>
        <v>2.1666666666666665</v>
      </c>
      <c r="SO60" s="7">
        <f>IFERROR(AVERAGEIF('Данные 2st'!$Q$2:$Q$317,$A60,'Данные 2st'!$PD$2:$PD$317),"")</f>
        <v>2173.5</v>
      </c>
      <c r="SP60" s="7">
        <f>IFERROR(AVERAGEIF('Данные 2st'!$Q$2:$Q$317,$A60,'Данные 2st'!$PF$2:$PF$317),"")</f>
        <v>464.3333333333333</v>
      </c>
      <c r="SQ60" s="7">
        <f>IFERROR(AVERAGEIF('Данные 2st'!$Q$2:$Q$317,$A60,'Данные 2st'!$PG$2:$PG$317),"")</f>
        <v>35</v>
      </c>
      <c r="SR60" s="7">
        <f>IFERROR(AVERAGEIF('Данные 2st'!$Q$2:$Q$317,$A60,'Данные 2st'!$PH$2:$PH$317),"")</f>
        <v>442.5</v>
      </c>
      <c r="SS60" s="7">
        <f>IFERROR(AVERAGEIF('Данные 2st'!$Q$2:$Q$317,$A60,'Данные 2st'!$PI$2:$PI$317),"")</f>
        <v>0</v>
      </c>
      <c r="ST60" s="7">
        <f>IFERROR(AVERAGEIF('Данные 2st'!$Q$2:$Q$317,$A60,'Данные 2st'!$PJ$2:$PJ$317),"")</f>
        <v>84.76666666666667</v>
      </c>
      <c r="SU60" s="7">
        <f>IFERROR(AVERAGEIF('Данные 2st'!$Q$2:$Q$317,$A60,'Данные 2st'!$PK$2:$PK$317),"")</f>
        <v>2191.3333333333335</v>
      </c>
      <c r="SV60" s="7">
        <f>IFERROR(AVERAGEIF('Данные 2st'!$Q$2:$Q$317,$A60,'Данные 2st'!$PL$2:$PL$317),"")</f>
        <v>1234.7666666666667</v>
      </c>
      <c r="SW60" s="7">
        <f>IFERROR(AVERAGEIF('Данные 2st'!$Q$2:$Q$317,$A60,'Данные 2st'!$PM$2:$PM$317),"")</f>
        <v>767.8666666666667</v>
      </c>
      <c r="SX60" s="7">
        <f>IFERROR(AVERAGEIF('Данные 2st'!$Q$2:$Q$317,$A60,'Данные 2st'!$PN$2:$PN$317),"")</f>
        <v>103.8</v>
      </c>
      <c r="SY60" s="7">
        <f>IFERROR(AVERAGEIF('Данные 2st'!$Q$2:$Q$317,$A60,'Данные 2st'!$PO$2:$PO$317),"")</f>
        <v>9.55</v>
      </c>
      <c r="SZ60" s="7">
        <f>IFERROR(AVERAGEIF('Данные 2st'!$Q$2:$Q$317,$A60,'Данные 2st'!$PP$2:$PP$317),"")</f>
        <v>12</v>
      </c>
      <c r="TA60" s="7">
        <f>IFERROR(AVERAGEIF('Данные 2st'!$Q$2:$Q$317,$A60,'Данные 2st'!$PQ$2:$PQ$317),"")</f>
        <v>5</v>
      </c>
      <c r="TB60" s="7">
        <f>IFERROR(AVERAGEIF('Данные 2st'!$Q$2:$Q$317,$A60,'Данные 2st'!$PR$2:$PR$317),"")</f>
        <v>5</v>
      </c>
      <c r="TC60" s="7">
        <f>IFERROR(AVERAGEIF('Данные 2st'!$Q$2:$Q$317,$A60,'Данные 2st'!$PS$2:$PS$317),"")</f>
        <v>0</v>
      </c>
      <c r="TD60" s="7">
        <f>IFERROR(AVERAGEIF('Данные 2st'!$Q$2:$Q$317,$A60,'Данные 2st'!$PT$2:$PT$317),"")</f>
        <v>251.33333333333334</v>
      </c>
      <c r="TE60" s="7">
        <f>IFERROR(AVERAGEIF('Данные 2st'!$Q$2:$Q$317,$A60,'Данные 2st'!$PU$2:$PU$317),"")</f>
        <v>11</v>
      </c>
      <c r="TF60" s="7">
        <f>IFERROR(AVERAGEIF('Данные 2st'!$Q$2:$Q$317,$A60,'Данные 2st'!$PX$2:$PX$317),"")</f>
        <v>0</v>
      </c>
      <c r="TG60" s="7">
        <f>IFERROR(AVERAGEIF('Данные 2st'!$Q$2:$Q$317,$A60,'Данные 2st'!$PY$2:$PY$317),"")</f>
        <v>0</v>
      </c>
      <c r="TH60" s="7">
        <f>IFERROR(AVERAGEIF('Данные 2st'!$Q$2:$Q$317,$A60,'Данные 2st'!$PZ$2:$PZ$317),"")</f>
        <v>0</v>
      </c>
      <c r="TI60" s="7">
        <f>IFERROR(AVERAGEIF('Данные 2st'!$Q$2:$Q$317,$A60,'Данные 2st'!$QA$2:$QA$317),"")</f>
        <v>0</v>
      </c>
      <c r="TJ60" s="7">
        <f>IFERROR(AVERAGEIF('Данные 2st'!$Q$2:$Q$317,$A60,'Данные 2st'!$QB$2:$QB$317),"")</f>
        <v>0</v>
      </c>
      <c r="TK60" s="7">
        <f>IFERROR(AVERAGEIF('Данные 2st'!$Q$2:$Q$317,$A60,'Данные 2st'!$QC$2:$QC$317),"")</f>
        <v>0</v>
      </c>
      <c r="TL60" s="7">
        <f>IFERROR(AVERAGEIF('Данные 2st'!$Q$2:$Q$317,$A60,'Данные 2st'!$QD$2:$QD$317),"")</f>
        <v>0</v>
      </c>
      <c r="TM60" s="7">
        <f>IFERROR(AVERAGEIF('Данные 2st'!$Q$2:$Q$317,$A60,'Данные 2st'!$QE$2:$QE$317),"")</f>
        <v>-1</v>
      </c>
      <c r="TN60" s="7">
        <f>IFERROR(AVERAGEIF('Данные 2st'!$Q$2:$Q$317,$A60,'Данные 2st'!$QF$2:$QF$317),"")</f>
        <v>1</v>
      </c>
      <c r="TO60" s="7">
        <f>IFERROR(AVERAGEIF('Данные 2st'!$Q$2:$Q$317,$A60,'Данные 2st'!$QG$2:$QG$317),"")</f>
        <v>0</v>
      </c>
      <c r="TP60" s="7">
        <f>IFERROR(AVERAGEIF('Данные 2st'!$Q$2:$Q$317,$A60,'Данные 2st'!$QH$2:$QH$317),"")</f>
        <v>5</v>
      </c>
      <c r="TQ60" s="7">
        <f>IFERROR(AVERAGEIF('Данные 2st'!$Q$2:$Q$317,$A60,'Данные 2st'!$QI$2:$QI$317),"")</f>
        <v>5</v>
      </c>
      <c r="TR60" s="7">
        <f>IFERROR(AVERAGEIF('Данные 2st'!$Q$2:$Q$317,$A60,'Данные 2st'!$QJ$2:$QJ$317),"")</f>
        <v>5</v>
      </c>
      <c r="TS60" s="7">
        <f>IFERROR(AVERAGEIF('Данные 2st'!$Q$2:$Q$317,$A60,'Данные 2st'!$QK$2:$QK$317),"")</f>
        <v>199.5</v>
      </c>
      <c r="TT60" s="7">
        <f>IFERROR(AVERAGEIF('Данные 2st'!$Q$2:$Q$317,$A60,'Данные 2st'!$QL$2:$QL$317),"")</f>
        <v>398.6666666666667</v>
      </c>
      <c r="TU60" s="7">
        <f>IFERROR(AVERAGEIF('Данные 2st'!$Q$2:$Q$317,$A60,'Данные 2st'!$QM$2:$QM$317),"")</f>
        <v>7.816666666666666</v>
      </c>
      <c r="TV60" s="7">
        <f>IFERROR(AVERAGEIF('Данные 2st'!$Q$2:$Q$317,$A60,'Данные 2st'!$QN$2:$QN$317),"")</f>
        <v>1623.2666666666667</v>
      </c>
      <c r="TW60" s="7">
        <f>IFERROR(AVERAGEIF('Данные 2st'!$Q$2:$Q$317,$A60,'Данные 2st'!$QQ$2:$QQ$317),"")</f>
        <v>0</v>
      </c>
      <c r="TX60" s="7">
        <f>IFERROR(AVERAGEIF('Данные 2st'!$Q$2:$Q$317,$A60,'Данные 2st'!$QS$2:$QS$317),"")</f>
        <v>40</v>
      </c>
      <c r="TY60" s="7">
        <f>IFERROR(AVERAGEIF('Данные 2st'!$Q$2:$Q$317,$A60,'Данные 2st'!$QT$2:$QT$317),"")</f>
        <v>50</v>
      </c>
    </row>
    <row r="61" spans="1:545" ht="32" customHeight="1">
      <c r="A61" s="11" t="s">
        <v>3020</v>
      </c>
      <c r="B61">
        <f>COUNTIF('Данные 1st'!$S$2:$S$317,$A61)</f>
        <v>2</v>
      </c>
      <c r="C61" s="6" t="s">
        <v>5114</v>
      </c>
      <c r="D61" s="6" t="s">
        <v>513</v>
      </c>
      <c r="E61" s="6" t="s">
        <v>517</v>
      </c>
      <c r="F61" s="6" t="s">
        <v>5177</v>
      </c>
      <c r="G61" s="7">
        <f>IFERROR(AVERAGEIF('Данные 1st'!$S$2:$S$317,$A61,'Данные 1st'!$AE$2:$AE$317),"")</f>
        <v>196</v>
      </c>
      <c r="H61" s="7">
        <f>IFERROR(AVERAGEIF('Данные 1st'!$S$2:$S$317,$A61,'Данные 1st'!$AF$2:$AF$317),"")</f>
        <v>1.5</v>
      </c>
      <c r="I61" s="7">
        <f>IFERROR(AVERAGEIF('Данные 1st'!$S$2:$S$317,$A61,'Данные 1st'!$AJ$2:$AJ$317),"")</f>
        <v>207.5</v>
      </c>
      <c r="J61" s="7">
        <f>IFERROR(AVERAGEIF('Данные 1st'!$S$2:$S$317,$A61,'Данные 1st'!$AL$2:$AL$317),"")</f>
        <v>1.5</v>
      </c>
      <c r="K61" s="7">
        <f>IFERROR(AVERAGEIF('Данные 1st'!$S$2:$S$317,$A61,'Данные 1st'!$AR$2:$AR$317),"")</f>
        <v>0</v>
      </c>
      <c r="L61" s="7">
        <f>IFERROR(AVERAGEIF('Данные 1st'!$S$2:$S$317,$A61,'Данные 1st'!$AS$2:$AS$317),"")</f>
        <v>1.5</v>
      </c>
      <c r="M61" s="7">
        <f>IFERROR(AVERAGEIF('Данные 1st'!$S$2:$S$317,$A61,'Данные 1st'!$AY$2:$AY$317),"")</f>
        <v>292.5</v>
      </c>
      <c r="N61" s="7">
        <f>IFERROR(AVERAGEIF('Данные 1st'!$S$2:$S$317,$A61,'Данные 1st'!$AZ$2:$AZ$317),"")</f>
        <v>1.5</v>
      </c>
      <c r="O61" s="7">
        <f>IFERROR(AVERAGEIF('Данные 1st'!$S$2:$S$317,$A61,'Данные 1st'!$BF$2:$BF$317),"")</f>
        <v>256.25</v>
      </c>
      <c r="P61" s="7">
        <f>IFERROR(AVERAGEIF('Данные 1st'!$S$2:$S$317,$A61,'Данные 1st'!$BG$2:$BG$317),"")</f>
        <v>1.5</v>
      </c>
      <c r="Q61" s="7">
        <f>IFERROR(AVERAGEIF('Данные 1st'!$S$2:$S$317,$A61,'Данные 1st'!$BM$2:$BM$317),"")</f>
        <v/>
      </c>
      <c r="R61" s="7">
        <f>IFERROR(AVERAGEIF('Данные 1st'!$S$2:$S$317,$A61,'Данные 1st'!$BN$2:$BN$317),"")</f>
        <v>1.5</v>
      </c>
      <c r="S61" s="7">
        <f>IFERROR(AVERAGEIF('Данные 1st'!$S$2:$S$317,$A61,'Данные 1st'!$BT$2:$BT$317),"")</f>
        <v>218</v>
      </c>
      <c r="T61" s="7">
        <f>IFERROR(AVERAGEIF('Данные 1st'!$S$2:$S$317,$A61,'Данные 1st'!$BU$2:$BU$317),"")</f>
        <v>0.5</v>
      </c>
      <c r="U61" s="7">
        <f>IFERROR(AVERAGEIF('Данные 1st'!$S$2:$S$317,$A61,'Данные 1st'!$BW$2:$BW$317),"")</f>
        <v>436</v>
      </c>
      <c r="V61" s="7">
        <f>IFERROR(AVERAGEIF('Данные 1st'!$S$2:$S$317,$A61,'Данные 1st'!$BX$2:$BX$317),"")</f>
        <v>1</v>
      </c>
      <c r="W61" s="7">
        <f>IFERROR(AVERAGEIF('Данные 1st'!$S$2:$S$317,$A61,'Данные 1st'!$BZ$2:$BZ$317),"")</f>
        <v>290</v>
      </c>
      <c r="X61" s="7">
        <f>IFERROR(AVERAGEIF('Данные 1st'!$S$2:$S$317,$A61,'Данные 1st'!$CA$2:$CA$317),"")</f>
        <v>500</v>
      </c>
      <c r="Y61" s="7">
        <f>IFERROR(AVERAGEIF('Данные 1st'!$S$2:$S$317,$A61,'Данные 1st'!$CD$2:$CD$317),"")</f>
        <v>449</v>
      </c>
      <c r="Z61" s="7">
        <f>IFERROR(AVERAGEIF('Данные 1st'!$S$2:$S$317,$A61,'Данные 1st'!$CF$2:$CF$317),"")</f>
        <v>15</v>
      </c>
      <c r="AA61" s="7">
        <f>IFERROR(AVERAGEIF('Данные 1st'!$S$2:$S$317,$A61,'Данные 1st'!$CI$2:$CI$317),"")</f>
        <v>105</v>
      </c>
      <c r="AB61" s="7">
        <f>IFERROR(AVERAGEIF('Данные 1st'!$S$2:$S$317,$A61,'Данные 1st'!$CJ$2:$CJ$317),"")</f>
        <v>1381</v>
      </c>
      <c r="AC61" s="7">
        <f>IFERROR(AVERAGEIF('Данные 1st'!$S$2:$S$317,$A61,'Данные 1st'!$CK$2:$CK$317),"")</f>
        <v>2</v>
      </c>
      <c r="AD61" s="7">
        <f>IFERROR(AVERAGEIF('Данные 1st'!$S$2:$S$317,$A61,'Данные 1st'!$CL$2:$CL$317),"")</f>
        <v>1475</v>
      </c>
      <c r="AE61" s="7">
        <f>IFERROR(AVERAGEIF('Данные 1st'!$S$2:$S$317,$A61,'Данные 1st'!$CM$2:$CM$317),"")</f>
        <v>2</v>
      </c>
      <c r="AF61" s="7">
        <f>IFERROR(AVERAGEIF('Данные 1st'!$S$2:$S$317,$A61,'Данные 1st'!$CT$2:$CT$317),"")</f>
        <v>415</v>
      </c>
      <c r="AG61" s="7">
        <f>IFERROR(AVERAGEIF('Данные 1st'!$S$2:$S$317,$A61,'Данные 1st'!$CU$2:$CU$317),"")</f>
        <v>5</v>
      </c>
      <c r="AH61" s="7">
        <f>IFERROR(AVERAGEIF('Данные 1st'!$S$2:$S$317,$A61,'Данные 1st'!$CV$2:$CV$317),"")</f>
        <v>1.2</v>
      </c>
      <c r="AI61" s="7">
        <f>IFERROR(AVERAGEIF('Данные 1st'!$S$2:$S$317,$A61,'Данные 1st'!$CW$2:$CW$317),"")</f>
        <v>1393</v>
      </c>
      <c r="AJ61" s="7">
        <f>IFERROR(AVERAGEIF('Данные 1st'!$S$2:$S$317,$A61,'Данные 1st'!$CX$2:$CX$317),"")</f>
        <v>819</v>
      </c>
      <c r="AK61" s="7">
        <f>IFERROR(AVERAGEIF('Данные 1st'!$S$2:$S$317,$A61,'Данные 1st'!$CZ$2:$CZ$317),"")</f>
        <v/>
      </c>
      <c r="AL61" s="7">
        <f>IFERROR(AVERAGEIF('Данные 1st'!$S$2:$S$317,$A61,'Данные 1st'!$DA$2:$DA$317),"")</f>
        <v/>
      </c>
      <c r="AM61" s="7">
        <f>IFERROR(AVERAGEIF('Данные 1st'!$S$2:$S$317,$A61,'Данные 1st'!$DB$2:$DB$317),"")</f>
        <v/>
      </c>
      <c r="AN61" s="7">
        <f>IFERROR(AVERAGEIF('Данные 1st'!$S$2:$S$317,$A61,'Данные 1st'!$DC$2:$DC$317),"")</f>
        <v/>
      </c>
      <c r="AO61" s="7">
        <f>IFERROR(AVERAGEIF('Данные 1st'!$S$2:$S$317,$A61,'Данные 1st'!$DD$2:$DD$317),"")</f>
        <v>0</v>
      </c>
      <c r="AP61" s="7">
        <f>IFERROR(AVERAGEIF('Данные 1st'!$S$2:$S$317,$A61,'Данные 1st'!$DF$2:$DF$317),"")</f>
        <v>585</v>
      </c>
      <c r="AQ61" s="7">
        <f>IFERROR(AVERAGEIF('Данные 1st'!$S$2:$S$317,$A61,'Данные 1st'!$DG$2:$DG$317),"")</f>
        <v>3</v>
      </c>
      <c r="AR61" s="7">
        <f>IFERROR(AVERAGEIF('Данные 1st'!$S$2:$S$317,$A61,'Данные 1st'!$DH$2:$DH$317),"")</f>
        <v>1.03</v>
      </c>
      <c r="AS61" s="7">
        <f>IFERROR(AVERAGEIF('Данные 1st'!$S$2:$S$317,$A61,'Данные 1st'!$DI$2:$DI$317),"")</f>
        <v>1390.5</v>
      </c>
      <c r="AT61" s="7">
        <f>IFERROR(AVERAGEIF('Данные 1st'!$S$2:$S$317,$A61,'Данные 1st'!$DJ$2:$DJ$317),"")</f>
        <v>1086.5</v>
      </c>
      <c r="AU61" s="7">
        <f>IFERROR(AVERAGEIF('Данные 1st'!$S$2:$S$317,$A61,'Данные 1st'!$DL$2:$DL$317),"")</f>
        <v>512.5</v>
      </c>
      <c r="AV61" s="7">
        <f>IFERROR(AVERAGEIF('Данные 1st'!$S$2:$S$317,$A61,'Данные 1st'!$DM$2:$DM$317),"")</f>
        <v>3</v>
      </c>
      <c r="AW61" s="7">
        <f>IFERROR(AVERAGEIF('Данные 1st'!$S$2:$S$317,$A61,'Данные 1st'!$DN$2:$DN$317),"")</f>
        <v>1.03</v>
      </c>
      <c r="AX61" s="7">
        <f>IFERROR(AVERAGEIF('Данные 1st'!$S$2:$S$317,$A61,'Данные 1st'!$DO$2:$DO$317),"")</f>
        <v>1398.5</v>
      </c>
      <c r="AY61" s="7">
        <f>IFERROR(AVERAGEIF('Данные 1st'!$S$2:$S$317,$A61,'Данные 1st'!$DP$2:$DP$317),"")</f>
        <v>996.5</v>
      </c>
      <c r="AZ61" s="7">
        <f>IFERROR(AVERAGEIF('Данные 1st'!$S$2:$S$317,$A61,'Данные 1st'!$DR$2:$DR$317),"")</f>
        <v/>
      </c>
      <c r="BA61" s="7">
        <f>IFERROR(AVERAGEIF('Данные 1st'!$S$2:$S$317,$A61,'Данные 1st'!$DS$2:$DS$317),"")</f>
        <v/>
      </c>
      <c r="BB61" s="7">
        <f>IFERROR(AVERAGEIF('Данные 1st'!$S$2:$S$317,$A61,'Данные 1st'!$DT$2:$DT$317),"")</f>
        <v/>
      </c>
      <c r="BC61" s="7">
        <f>IFERROR(AVERAGEIF('Данные 1st'!$S$2:$S$317,$A61,'Данные 1st'!$DU$2:$DU$317),"")</f>
        <v/>
      </c>
      <c r="BD61" s="7">
        <f>IFERROR(AVERAGEIF('Данные 1st'!$S$2:$S$317,$A61,'Данные 1st'!$DV$2:$DV$317),"")</f>
        <v/>
      </c>
      <c r="BE61" s="7">
        <f>IFERROR(AVERAGEIF('Данные 1st'!$S$2:$S$317,$A61,'Данные 1st'!$DX$2:$DX$317),"")</f>
        <v>7.5</v>
      </c>
      <c r="BF61" s="7">
        <f>IFERROR(AVERAGEIF('Данные 1st'!$S$2:$S$317,$A61,'Данные 1st'!$EA$2:$EA$317),"")</f>
        <v>1463.5</v>
      </c>
      <c r="BG61" s="7">
        <f>IFERROR(AVERAGEIF('Данные 1st'!$S$2:$S$317,$A61,'Данные 1st'!$EB$2:$EB$317),"")</f>
        <v>258.5</v>
      </c>
      <c r="BH61" s="7">
        <f>IFERROR(AVERAGEIF('Данные 1st'!$S$2:$S$317,$A61,'Данные 1st'!$ED$2:$ED$317),"")</f>
        <v>27.5</v>
      </c>
      <c r="BI61" s="7">
        <f>IFERROR(AVERAGEIF('Данные 1st'!$S$2:$S$317,$A61,'Данные 1st'!$EE$2:$EE$317),"")</f>
        <v>3</v>
      </c>
      <c r="BJ61" s="7">
        <f>IFERROR(AVERAGEIF('Данные 1st'!$S$2:$S$317,$A61,'Данные 1st'!$EG$2:$EG$317),"")</f>
        <v>1504.5</v>
      </c>
      <c r="BK61" s="7">
        <f>IFERROR(AVERAGEIF('Данные 1st'!$S$2:$S$317,$A61,'Данные 1st'!$EH$2:$EH$317),"")</f>
        <v>170.5</v>
      </c>
      <c r="BL61" s="7">
        <f>IFERROR(AVERAGEIF('Данные 1st'!$S$2:$S$317,$A61,'Данные 1st'!$EJ$2:$EJ$317),"")</f>
        <v>0</v>
      </c>
      <c r="BM61" s="7">
        <f>IFERROR(AVERAGEIF('Данные 1st'!$S$2:$S$317,$A61,'Данные 1st'!$EK$2:$EK$317),"")</f>
        <v>1</v>
      </c>
      <c r="BN61" s="7">
        <f>IFERROR(AVERAGEIF('Данные 1st'!$S$2:$S$317,$A61,'Данные 1st'!$EN$2:$EN$317),"")</f>
        <v>0</v>
      </c>
      <c r="BO61" s="7">
        <f>IFERROR(AVERAGEIF('Данные 1st'!$S$2:$S$317,$A61,'Данные 1st'!$EQ$2:$EQ$317),"")</f>
        <v>100</v>
      </c>
      <c r="BP61" s="7">
        <f>IFERROR(AVERAGEIF('Данные 1st'!$S$2:$S$317,$A61,'Данные 1st'!$ER$2:$ER$317),"")</f>
        <v>3</v>
      </c>
      <c r="BQ61" s="7">
        <f>IFERROR(AVERAGEIF('Данные 1st'!$S$2:$S$317,$A61,'Данные 1st'!$ES$2:$ES$317),"")</f>
        <v>5.5</v>
      </c>
      <c r="BR61" s="7">
        <f>IFERROR(AVERAGEIF('Данные 1st'!$S$2:$S$317,$A61,'Данные 1st'!$ET$2:$ET$317),"")</f>
        <v>1378</v>
      </c>
      <c r="BS61" s="7">
        <f>IFERROR(AVERAGEIF('Данные 1st'!$S$2:$S$317,$A61,'Данные 1st'!$EU$2:$EU$317),"")</f>
        <v>455.45</v>
      </c>
      <c r="BT61" s="7">
        <f>IFERROR(AVERAGEIF('Данные 1st'!$S$2:$S$317,$A61,'Данные 1st'!$EV$2:$EV$317),"")</f>
        <v>627.5</v>
      </c>
      <c r="BU61" s="7">
        <f>IFERROR(AVERAGEIF('Данные 1st'!$S$2:$S$317,$A61,'Данные 1st'!$EX$2:$EX$317),"")</f>
        <v>70</v>
      </c>
      <c r="BV61" s="7">
        <f>IFERROR(AVERAGEIF('Данные 1st'!$S$2:$S$317,$A61,'Данные 1st'!$EY$2:$EY$317),"")</f>
        <v>2</v>
      </c>
      <c r="BW61" s="7">
        <f>IFERROR(AVERAGEIF('Данные 1st'!$S$2:$S$317,$A61,'Данные 1st'!$EZ$2:$EZ$317),"")</f>
        <v>4.4</v>
      </c>
      <c r="BX61" s="7">
        <f>IFERROR(AVERAGEIF('Данные 1st'!$S$2:$S$317,$A61,'Данные 1st'!$FA$2:$FA$317),"")</f>
        <v>1378</v>
      </c>
      <c r="BY61" s="7">
        <f>IFERROR(AVERAGEIF('Данные 1st'!$S$2:$S$317,$A61,'Данные 1st'!$FB$2:$FB$317),"")</f>
        <v>211.15</v>
      </c>
      <c r="BZ61" s="7">
        <f>IFERROR(AVERAGEIF('Данные 1st'!$S$2:$S$317,$A61,'Данные 1st'!$FC$2:$FC$317),"")</f>
        <v>291</v>
      </c>
      <c r="CA61" s="7">
        <f>IFERROR(AVERAGEIF('Данные 1st'!$S$2:$S$317,$A61,'Данные 1st'!$FE$2:$FE$317),"")</f>
        <v>0</v>
      </c>
      <c r="CB61" s="7">
        <f>IFERROR(AVERAGEIF('Данные 1st'!$S$2:$S$317,$A61,'Данные 1st'!$FF$2:$FF$317),"")</f>
        <v>2</v>
      </c>
      <c r="CC61" s="7">
        <f>IFERROR(AVERAGEIF('Данные 1st'!$S$2:$S$317,$A61,'Данные 1st'!$FI$2:$FI$317),"")</f>
        <v>0</v>
      </c>
      <c r="CD61" s="7">
        <f>IFERROR(AVERAGEIF('Данные 1st'!$S$2:$S$317,$A61,'Данные 1st'!$FL$2:$FL$317),"")</f>
        <v>0.4</v>
      </c>
      <c r="CE61" s="7">
        <f>IFERROR(AVERAGEIF('Данные 1st'!$S$2:$S$317,$A61,'Данные 1st'!$FM$2:$FM$317),"")</f>
        <v>95</v>
      </c>
      <c r="CF61" s="7">
        <f>IFERROR(AVERAGEIF('Данные 1st'!$S$2:$S$317,$A61,'Данные 1st'!$FN$2:$FN$317),"")</f>
        <v>160</v>
      </c>
      <c r="CG61" s="7">
        <f>IFERROR(AVERAGEIF('Данные 1st'!$S$2:$S$317,$A61,'Данные 1st'!$FO$2:$FO$317),"")</f>
        <v/>
      </c>
      <c r="CH61" s="7">
        <f>IFERROR(AVERAGEIF('Данные 1st'!$S$2:$S$317,$A61,'Данные 1st'!$FP$2:$FP$317),"")</f>
        <v/>
      </c>
      <c r="CI61" s="7">
        <f>IFERROR(AVERAGEIF('Данные 1st'!$S$2:$S$317,$A61,'Данные 1st'!$FS$2:$FS$317),"")</f>
        <v>0.4</v>
      </c>
      <c r="CJ61" s="7">
        <f>IFERROR(AVERAGEIF('Данные 1st'!$S$2:$S$317,$A61,'Данные 1st'!$FT$2:$FT$317),"")</f>
        <v>30</v>
      </c>
      <c r="CK61" s="7">
        <f>IFERROR(AVERAGEIF('Данные 1st'!$S$2:$S$317,$A61,'Данные 1st'!$FU$2:$FU$317),"")</f>
        <v>510</v>
      </c>
      <c r="CL61" s="7">
        <f>IFERROR(AVERAGEIF('Данные 1st'!$S$2:$S$317,$A61,'Данные 1st'!$FV$2:$FV$317),"")</f>
        <v/>
      </c>
      <c r="CM61" s="7">
        <f>IFERROR(AVERAGEIF('Данные 1st'!$S$2:$S$317,$A61,'Данные 1st'!$FW$2:$FW$317),"")</f>
        <v/>
      </c>
      <c r="CN61" s="7">
        <f>IFERROR(AVERAGEIF('Данные 1st'!$S$2:$S$317,$A61,'Данные 1st'!$FZ$2:$FZ$317),"")</f>
        <v/>
      </c>
      <c r="CO61" s="7">
        <f>IFERROR(AVERAGEIF('Данные 1st'!$S$2:$S$317,$A61,'Данные 1st'!$GA$2:$GA$317),"")</f>
        <v/>
      </c>
      <c r="CP61" s="7">
        <f>IFERROR(AVERAGEIF('Данные 1st'!$S$2:$S$317,$A61,'Данные 1st'!$GB$2:$GB$317),"")</f>
        <v/>
      </c>
      <c r="CQ61" s="7">
        <f>IFERROR(AVERAGEIF('Данные 1st'!$S$2:$S$317,$A61,'Данные 1st'!$GH$2:$GH$317),"")</f>
        <v/>
      </c>
      <c r="CR61" s="7">
        <f>IFERROR(AVERAGEIF('Данные 1st'!$S$2:$S$317,$A61,'Данные 1st'!$GI$2:$GI$317),"")</f>
        <v/>
      </c>
      <c r="CS61" s="7">
        <f>IFERROR(AVERAGEIF('Данные 1st'!$S$2:$S$317,$A61,'Данные 1st'!$GJ$2:$GJ$317),"")</f>
        <v/>
      </c>
      <c r="CT61" s="7">
        <f>IFERROR(AVERAGEIF('Данные 1st'!$S$2:$S$317,$A61,'Данные 1st'!$GS$2:$GS$317),"")</f>
        <v>0.4</v>
      </c>
      <c r="CU61" s="7">
        <f>IFERROR(AVERAGEIF('Данные 1st'!$S$2:$S$317,$A61,'Данные 1st'!$GT$2:$GT$317),"")</f>
        <v>67.5</v>
      </c>
      <c r="CV61" s="7">
        <f>IFERROR(AVERAGEIF('Данные 1st'!$S$2:$S$317,$A61,'Данные 1st'!$GU$2:$GU$317),"")</f>
        <v>290</v>
      </c>
      <c r="CW61" s="7">
        <f>IFERROR(AVERAGEIF('Данные 1st'!$S$2:$S$317,$A61,'Данные 1st'!$GV$2:$GV$317),"")</f>
        <v>30</v>
      </c>
      <c r="CX61" s="7">
        <f>IFERROR(AVERAGEIF('Данные 1st'!$S$2:$S$317,$A61,'Данные 1st'!$GW$2:$GW$317),"")</f>
        <v>280</v>
      </c>
      <c r="CY61" s="7">
        <f>IFERROR(AVERAGEIF('Данные 1st'!$S$2:$S$317,$A61,'Данные 1st'!$GZ$2:$GZ$317),"")</f>
        <v>1.6</v>
      </c>
      <c r="CZ61" s="7">
        <f>IFERROR(AVERAGEIF('Данные 1st'!$S$2:$S$317,$A61,'Данные 1st'!$HA$2:$HA$317),"")</f>
        <v>20</v>
      </c>
      <c r="DA61" s="7">
        <f>IFERROR(AVERAGEIF('Данные 1st'!$S$2:$S$317,$A61,'Данные 1st'!$HB$2:$HB$317),"")</f>
        <v>201</v>
      </c>
      <c r="DB61" s="7">
        <f>IFERROR(AVERAGEIF('Данные 1st'!$S$2:$S$317,$A61,'Данные 1st'!$HC$2:$HC$317),"")</f>
        <v>0.1</v>
      </c>
      <c r="DC61" s="7">
        <f>IFERROR(AVERAGEIF('Данные 1st'!$S$2:$S$317,$A61,'Данные 1st'!$HD$2:$HD$317),"")</f>
        <v>3</v>
      </c>
      <c r="DD61" s="7">
        <f>IFERROR(AVERAGEIF('Данные 1st'!$S$2:$S$317,$A61,'Данные 1st'!$HE$2:$HE$317),"")</f>
        <v>3</v>
      </c>
      <c r="DE61" s="7">
        <f>IFERROR(AVERAGEIF('Данные 1st'!$S$2:$S$317,$A61,'Данные 1st'!$HF$2:$HF$317),"")</f>
        <v>3</v>
      </c>
      <c r="DF61" s="7">
        <f>IFERROR(AVERAGEIF('Данные 1st'!$S$2:$S$317,$A61,'Данные 1st'!$HG$2:$HG$317),"")</f>
        <v>3</v>
      </c>
      <c r="DG61" s="7">
        <f>IFERROR(AVERAGEIF('Данные 1st'!$S$2:$S$317,$A61,'Данные 1st'!$HH$2:$HH$317),"")</f>
        <v>3</v>
      </c>
      <c r="DH61" s="7">
        <f>IFERROR(AVERAGEIF('Данные 1st'!$S$2:$S$317,$A61,'Данные 1st'!$HI$2:$HI$317),"")</f>
        <v>155</v>
      </c>
      <c r="DI61" s="7">
        <f>IFERROR(AVERAGEIF('Данные 1st'!$S$2:$S$317,$A61,'Данные 1st'!$HJ$2:$HJ$317),"")</f>
        <v>3</v>
      </c>
      <c r="DJ61" s="7">
        <f>IFERROR(AVERAGEIF('Данные 1st'!$S$2:$S$317,$A61,'Данные 1st'!$HK$2:$HK$317),"")</f>
        <v>55</v>
      </c>
      <c r="DK61" s="7">
        <f>IFERROR(AVERAGEIF('Данные 1st'!$S$2:$S$317,$A61,'Данные 1st'!$HL$2:$HL$317),"")</f>
        <v>2</v>
      </c>
      <c r="DL61" s="7">
        <f>IFERROR(AVERAGEIF('Данные 1st'!$S$2:$S$317,$A61,'Данные 1st'!$HM$2:$HM$317),"")</f>
        <v>0</v>
      </c>
      <c r="DM61" s="7">
        <f>IFERROR(AVERAGEIF('Данные 1st'!$S$2:$S$317,$A61,'Данные 1st'!$HN$2:$HN$317),"")</f>
        <v>2</v>
      </c>
      <c r="DN61" s="7">
        <f>IFERROR(AVERAGEIF('Данные 1st'!$S$2:$S$317,$A61,'Данные 1st'!$HO$2:$HO$317),"")</f>
        <v>85</v>
      </c>
      <c r="DO61" s="7">
        <f>IFERROR(AVERAGEIF('Данные 1st'!$S$2:$S$317,$A61,'Данные 1st'!$HP$2:$HP$317),"")</f>
        <v>3</v>
      </c>
      <c r="DP61" s="7">
        <f>IFERROR(AVERAGEIF('Данные 1st'!$S$2:$S$317,$A61,'Данные 1st'!$HQ$2:$HQ$317),"")</f>
        <v>0</v>
      </c>
      <c r="DQ61" s="7">
        <f>IFERROR(AVERAGEIF('Данные 1st'!$S$2:$S$317,$A61,'Данные 1st'!$HR$2:$HR$317),"")</f>
        <v>2</v>
      </c>
      <c r="DR61" s="7">
        <f>IFERROR(AVERAGEIF('Данные 1st'!$S$2:$S$317,$A61,'Данные 1st'!$HS$2:$HS$317),"")</f>
        <v>5597</v>
      </c>
      <c r="DS61" s="7">
        <f>IFERROR(AVERAGEIF('Данные 1st'!$S$2:$S$317,$A61,'Данные 1st'!$HT$2:$HT$317),"")</f>
        <v>170</v>
      </c>
      <c r="DT61" s="7">
        <f>IFERROR(AVERAGEIF('Данные 1st'!$S$2:$S$317,$A61,'Данные 1st'!$HU$2:$HU$317),"")</f>
        <v>180</v>
      </c>
      <c r="DU61" s="7">
        <f>IFERROR(AVERAGEIF('Данные 1st'!$S$2:$S$317,$A61,'Данные 1st'!$HW$2:$HW$317),"")</f>
        <v>0</v>
      </c>
      <c r="DV61" s="7">
        <f>IFERROR(AVERAGEIF('Данные 1st'!$S$2:$S$317,$A61,'Данные 1st'!$HX$2:$HX$317),"")</f>
        <v>472.5</v>
      </c>
      <c r="DW61" s="7">
        <f>IFERROR(AVERAGEIF('Данные 1st'!$S$2:$S$317,$A61,'Данные 1st'!$HY$2:$HY$317),"")</f>
        <v>0.18</v>
      </c>
      <c r="DX61" s="7">
        <f>IFERROR(AVERAGEIF('Данные 1st'!$S$2:$S$317,$A61,'Данные 1st'!$IA$2:$IA$317),"")</f>
        <v>0.15</v>
      </c>
      <c r="DY61" s="7">
        <f>IFERROR(AVERAGEIF('Данные 1st'!$S$2:$S$317,$A61,'Данные 1st'!$IB$2:$IB$317),"")</f>
        <v>0</v>
      </c>
      <c r="DZ61" s="7">
        <f>IFERROR(AVERAGEIF('Данные 1st'!$S$2:$S$317,$A61,'Данные 1st'!$IC$2:$IC$317),"")</f>
        <v>180</v>
      </c>
      <c r="EA61" s="7">
        <f>IFERROR(AVERAGEIF('Данные 1st'!$S$2:$S$317,$A61,'Данные 1st'!$ID$2:$ID$317),"")</f>
        <v>110</v>
      </c>
      <c r="EB61" s="7">
        <f>IFERROR(AVERAGEIF('Данные 1st'!$S$2:$S$317,$A61,'Данные 1st'!$IE$2:$IE$317),"")</f>
        <v>225</v>
      </c>
      <c r="EC61" s="7">
        <f>IFERROR(AVERAGEIF('Данные 1st'!$S$2:$S$317,$A61,'Данные 1st'!$IF$2:$IF$317),"")</f>
        <v>0</v>
      </c>
      <c r="ED61" s="7">
        <f>IFERROR(AVERAGEIF('Данные 1st'!$S$2:$S$317,$A61,'Данные 1st'!$IP$2:$IP$317),"")</f>
        <v>18</v>
      </c>
      <c r="EE61" s="7">
        <f>IFERROR(AVERAGEIF('Данные 1st'!$S$2:$S$317,$A61,'Данные 1st'!$IV$2:$IV$317),"")</f>
        <v>1381</v>
      </c>
      <c r="EF61" s="7">
        <f>IFERROR(AVERAGEIF('Данные 1st'!$S$2:$S$317,$A61,'Данные 1st'!$IW$2:$IW$317),"")</f>
        <v>436</v>
      </c>
      <c r="EG61" s="7">
        <f>IFERROR(AVERAGEIF('Данные 1st'!$S$2:$S$317,$A61,'Данные 1st'!$IX$2:$IX$317),"")</f>
        <v/>
      </c>
      <c r="EH61" s="7">
        <f>IFERROR(AVERAGEIF('Данные 1st'!$S$2:$S$317,$A61,'Данные 1st'!$IY$2:$IY$317),"")</f>
        <v>290</v>
      </c>
      <c r="EI61" s="7">
        <f>IFERROR(AVERAGEIF('Данные 1st'!$S$2:$S$317,$A61,'Данные 1st'!$JD$2:$JD$317),"")</f>
        <v>1393</v>
      </c>
      <c r="EJ61" s="7">
        <f>IFERROR(AVERAGEIF('Данные 1st'!$S$2:$S$317,$A61,'Данные 1st'!$JE$2:$JE$317),"")</f>
        <v>1390.5</v>
      </c>
      <c r="EK61" s="7">
        <f>IFERROR(AVERAGEIF('Данные 1st'!$S$2:$S$317,$A61,'Данные 1st'!$JF$2:$JF$317),"")</f>
        <v>1398.5</v>
      </c>
      <c r="EL61" s="7">
        <f>IFERROR(AVERAGEIF('Данные 1st'!$S$2:$S$317,$A61,'Данные 1st'!$JG$2:$JG$317),"")</f>
        <v>1378</v>
      </c>
      <c r="EM61" s="7">
        <f>IFERROR(AVERAGEIF('Данные 1st'!$S$2:$S$317,$A61,'Данные 1st'!$JH$2:$JH$317),"")</f>
        <v>0</v>
      </c>
      <c r="EN61" s="7">
        <f>IFERROR(AVERAGEIF('Данные 1st'!$S$2:$S$317,$A61,'Данные 1st'!$JJ$2:$JJ$317),"")</f>
        <v>180</v>
      </c>
      <c r="EO61" s="7">
        <f>IFERROR(AVERAGEIF('Данные 1st'!$S$2:$S$317,$A61,'Данные 1st'!$JK$2:$JK$317),"")</f>
        <v>472.5</v>
      </c>
      <c r="EP61" s="7">
        <f>IFERROR(AVERAGEIF('Данные 1st'!$S$2:$S$317,$A61,'Данные 1st'!$JL$2:$JL$317),"")</f>
        <v/>
      </c>
      <c r="EQ61" s="7">
        <f>IFERROR(AVERAGEIF('Данные 1st'!$S$2:$S$317,$A61,'Данные 1st'!$JM$2:$JM$317),"")</f>
        <v/>
      </c>
      <c r="ER61" s="7">
        <f>IFERROR(AVERAGEIF('Данные 1st'!$S$2:$S$317,$A61,'Данные 1st'!$JN$2:$JN$317),"")</f>
        <v>415</v>
      </c>
      <c r="ES61" s="7">
        <f>IFERROR(AVERAGEIF('Данные 1st'!$S$2:$S$317,$A61,'Данные 1st'!$JO$2:$JO$317),"")</f>
        <v>585</v>
      </c>
      <c r="ET61" s="7">
        <f>IFERROR(AVERAGEIF('Данные 1st'!$S$2:$S$317,$A61,'Данные 1st'!$JP$2:$JP$317),"")</f>
        <v>512.5</v>
      </c>
      <c r="EU61" s="7">
        <f>IFERROR(AVERAGEIF('Данные 1st'!$S$2:$S$317,$A61,'Данные 1st'!$JQ$2:$JQ$317),"")</f>
        <v>0</v>
      </c>
      <c r="EV61" s="7">
        <f>IFERROR(AVERAGEIF('Данные 1st'!$S$2:$S$317,$A61,'Данные 1st'!$JR$2:$JR$317),"")</f>
        <v>392</v>
      </c>
      <c r="EW61" s="7">
        <f>IFERROR(AVERAGEIF('Данные 1st'!$S$2:$S$317,$A61,'Данные 1st'!$JS$2:$JS$317),"")</f>
        <v>155</v>
      </c>
      <c r="EX61" s="7">
        <f>IFERROR(AVERAGEIF('Данные 1st'!$S$2:$S$317,$A61,'Данные 1st'!$JT$2:$JT$317),"")</f>
        <v/>
      </c>
      <c r="EY61" s="7">
        <f>IFERROR(AVERAGEIF('Данные 1st'!$S$2:$S$317,$A61,'Данные 1st'!$JU$2:$JU$317),"")</f>
        <v/>
      </c>
      <c r="EZ61" s="7">
        <f>IFERROR(AVERAGEIF('Данные 1st'!$S$2:$S$317,$A61,'Данные 1st'!$JV$2:$JV$317),"")</f>
        <v>8</v>
      </c>
      <c r="FA61" s="7">
        <f>IFERROR(AVERAGEIF('Данные 1st'!$S$2:$S$317,$A61,'Данные 1st'!$JW$2:$JW$317),"")</f>
        <v/>
      </c>
      <c r="FB61" s="7">
        <f>IFERROR(AVERAGEIF('Данные 1st'!$S$2:$S$317,$A61,'Данные 1st'!$JX$2:$JX$317),"")</f>
        <v>0</v>
      </c>
      <c r="FC61" s="7">
        <f>IFERROR(AVERAGEIF('Данные 1st'!$S$2:$S$317,$A61,'Данные 1st'!$JY$2:$JY$317),"")</f>
        <v/>
      </c>
      <c r="FD61" s="7">
        <f>IFERROR(AVERAGEIF('Данные 1st'!$S$2:$S$317,$A61,'Данные 1st'!$JZ$2:$JZ$317),"")</f>
        <v/>
      </c>
      <c r="FE61" s="7">
        <f>IFERROR(AVERAGEIF('Данные 1st'!$S$2:$S$317,$A61,'Данные 1st'!$KA$2:$KA$317),"")</f>
        <v>225</v>
      </c>
      <c r="FF61" s="7">
        <f>IFERROR(AVERAGEIF('Данные 1st'!$S$2:$S$317,$A61,'Данные 1st'!$KB$2:$KB$317),"")</f>
        <v>110</v>
      </c>
      <c r="FG61" s="7">
        <f>IFERROR(AVERAGEIF('Данные 1st'!$S$2:$S$317,$A61,'Данные 1st'!$KC$2:$KC$317),"")</f>
        <v>0</v>
      </c>
      <c r="FH61" s="7">
        <f>IFERROR(AVERAGEIF('Данные 1st'!$S$2:$S$317,$A61,'Данные 1st'!$KD$2:$KD$317),"")</f>
        <v>80</v>
      </c>
      <c r="FI61" s="7">
        <f>IFERROR(AVERAGEIF('Данные 1st'!$S$2:$S$317,$A61,'Данные 1st'!$KE$2:$KE$317),"")</f>
        <v/>
      </c>
      <c r="FJ61" s="7">
        <f>IFERROR(AVERAGEIF('Данные 1st'!$S$2:$S$317,$A61,'Данные 1st'!$KF$2:$KF$317),"")</f>
        <v>4</v>
      </c>
      <c r="FK61" s="7">
        <f>IFERROR(AVERAGEIF('Данные 1st'!$S$2:$S$317,$A61,'Данные 1st'!$KG$2:$KG$317),"")</f>
        <v>2</v>
      </c>
      <c r="FL61" s="7">
        <f>IFERROR(AVERAGEIF('Данные 1st'!$S$2:$S$317,$A61,'Данные 1st'!$KH$2:$KH$317),"")</f>
        <v>2</v>
      </c>
      <c r="FM61" s="7">
        <f>IFERROR(AVERAGEIF('Данные 1st'!$S$2:$S$317,$A61,'Данные 1st'!$KI$2:$KI$317),"")</f>
        <v>2</v>
      </c>
      <c r="FN61" s="7">
        <f>IFERROR(AVERAGEIF('Данные 1st'!$S$2:$S$317,$A61,'Данные 1st'!$KJ$2:$KJ$317),"")</f>
        <v>0</v>
      </c>
      <c r="FO61" s="7">
        <f>IFERROR(AVERAGEIF('Данные 1st'!$S$2:$S$317,$A61,'Данные 1st'!$KK$2:$KK$317),"")</f>
        <v>1.5</v>
      </c>
      <c r="FP61" s="7">
        <f>IFERROR(AVERAGEIF('Данные 1st'!$S$2:$S$317,$A61,'Данные 1st'!$KL$2:$KL$317),"")</f>
        <v>1.5</v>
      </c>
      <c r="FQ61" s="7">
        <f>IFERROR(AVERAGEIF('Данные 1st'!$S$2:$S$317,$A61,'Данные 1st'!$KM$2:$KM$317),"")</f>
        <v>0</v>
      </c>
      <c r="FR61" s="7">
        <f>IFERROR(AVERAGEIF('Данные 1st'!$S$2:$S$317,$A61,'Данные 1st'!$KN$2:$KN$317),"")</f>
        <v>0</v>
      </c>
      <c r="FS61" s="7">
        <f>IFERROR(AVERAGEIF('Данные 1st'!$S$2:$S$317,$A61,'Данные 1st'!$KR$2:$KR$317),"")</f>
        <v>40</v>
      </c>
      <c r="FT61" s="7">
        <f>IFERROR(AVERAGEIF('Данные 1st'!$S$2:$S$317,$A61,'Данные 1st'!$KS$2:$KS$317),"")</f>
        <v>60</v>
      </c>
      <c r="FU61" s="7">
        <f>IFERROR(AVERAGEIF('Данные 1st'!$S$2:$S$317,$A61,'Данные 1st'!$KT$2:$KT$317),"")</f>
        <v>0</v>
      </c>
      <c r="FV61" s="7">
        <f>IFERROR(AVERAGEIF('Данные 1st'!$S$2:$S$317,$A61,'Данные 1st'!$KV$2:$KV$317),"")</f>
        <v/>
      </c>
      <c r="FW61" s="7">
        <f>IFERROR(AVERAGEIF('Данные 1st'!$S$2:$S$317,$A61,'Данные 1st'!$KW$2:$KW$317),"")</f>
        <v/>
      </c>
      <c r="FX61" s="7">
        <f>IFERROR(AVERAGEIF('Данные 1st'!$S$2:$S$317,$A61,'Данные 1st'!$KX$2:$KX$317),"")</f>
        <v/>
      </c>
      <c r="FY61" s="7">
        <f>IFERROR(AVERAGEIF('Данные 1st'!$S$2:$S$317,$A61,'Данные 1st'!$KY$2:$KY$317),"")</f>
        <v/>
      </c>
      <c r="FZ61" s="7">
        <f>IFERROR(AVERAGEIF('Данные 1st'!$S$2:$S$317,$A61,'Данные 1st'!$KZ$2:$KZ$317),"")</f>
        <v/>
      </c>
      <c r="GA61" s="7">
        <f>IFERROR(AVERAGEIF('Данные 1st'!$S$2:$S$317,$A61,'Данные 1st'!$LA$2:$LA$317),"")</f>
        <v/>
      </c>
      <c r="GB61" s="7">
        <f>IFERROR(AVERAGEIF('Данные 1st'!$S$2:$S$317,$A61,'Данные 1st'!$LB$2:$LB$317),"")</f>
        <v/>
      </c>
      <c r="GC61" s="7">
        <f>IFERROR(AVERAGEIF('Данные 1st'!$S$2:$S$317,$A61,'Данные 1st'!$LC$2:$LC$317),"")</f>
        <v/>
      </c>
      <c r="GD61" s="7">
        <f>IFERROR(AVERAGEIF('Данные 1st'!$S$2:$S$317,$A61,'Данные 1st'!$LD$2:$LD$317),"")</f>
        <v/>
      </c>
      <c r="GE61" s="7">
        <f>IFERROR(AVERAGEIF('Данные 1st'!$S$2:$S$317,$A61,'Данные 1st'!$LE$2:$LE$317),"")</f>
        <v/>
      </c>
      <c r="GF61" s="7">
        <f>IFERROR(AVERAGEIF('Данные 1st'!$S$2:$S$317,$A61,'Данные 1st'!$LF$2:$LF$317),"")</f>
        <v/>
      </c>
      <c r="GG61" s="7">
        <f>IFERROR(AVERAGEIF('Данные 1st'!$S$2:$S$317,$A61,'Данные 1st'!$LG$2:$LG$317),"")</f>
        <v/>
      </c>
      <c r="GH61" s="7">
        <f>IFERROR(AVERAGEIF('Данные 1st'!$S$2:$S$317,$A61,'Данные 1st'!$LH$2:$LH$317),"")</f>
        <v/>
      </c>
      <c r="GI61" s="7">
        <f>IFERROR(AVERAGEIF('Данные 1st'!$S$2:$S$317,$A61,'Данные 1st'!$LI$2:$LI$317),"")</f>
        <v/>
      </c>
      <c r="GJ61" s="7">
        <f>IFERROR(AVERAGEIF('Данные 1st'!$S$2:$S$317,$A61,'Данные 1st'!$LJ$2:$LJ$317),"")</f>
        <v/>
      </c>
      <c r="GK61" s="7">
        <f>IFERROR(AVERAGEIF('Данные 1st'!$S$2:$S$317,$A61,'Данные 1st'!$LK$2:$LK$317),"")</f>
        <v>480</v>
      </c>
      <c r="GL61" s="7">
        <f>IFERROR(AVERAGEIF('Данные 1st'!$S$2:$S$317,$A61,'Данные 1st'!$LV$2:$LV$317),"")</f>
        <v/>
      </c>
      <c r="GM61" s="7">
        <f>IFERROR(AVERAGEIF('Данные 1st'!$S$2:$S$317,$A61,'Данные 1st'!$LW$2:$LW$317),"")</f>
        <v/>
      </c>
      <c r="GN61" s="7">
        <f>IFERROR(AVERAGEIF('Данные 1st'!$S$2:$S$317,$A61,'Данные 1st'!$LX$2:$LX$317),"")</f>
        <v/>
      </c>
      <c r="GO61" s="7">
        <f>IFERROR(AVERAGEIF('Данные 1st'!$S$2:$S$317,$A61,'Данные 1st'!$LY$2:$LY$317),"")</f>
        <v/>
      </c>
      <c r="GP61" s="7">
        <f>IFERROR(AVERAGEIF('Данные 1st'!$S$2:$S$317,$A61,'Данные 1st'!$LZ$2:$LZ$317),"")</f>
        <v/>
      </c>
      <c r="GQ61" s="7">
        <f>IFERROR(AVERAGEIF('Данные 1st'!$S$2:$S$317,$A61,'Данные 1st'!$PG$2:$PG$317),"")</f>
        <v>1</v>
      </c>
      <c r="GR61" s="7">
        <f>IFERROR(AVERAGEIF('Данные 1st'!$S$2:$S$317,$A61,'Данные 1st'!$PX$2:$PX$317),"")</f>
        <v>56</v>
      </c>
      <c r="GS61" s="7">
        <f>IFERROR(AVERAGEIF('Данные 1st'!$S$2:$S$317,$A61,'Данные 1st'!$PY$2:$PY$317),"")</f>
        <v>56.5</v>
      </c>
      <c r="GT61" s="7">
        <f>IFERROR(AVERAGEIF('Данные 1st'!$S$2:$S$317,$A61,'Данные 1st'!$QA$2:$QA$317),"")</f>
        <v>1.5</v>
      </c>
      <c r="GU61" s="7">
        <f>IFERROR(AVERAGEIF('Данные 1st'!$S$2:$S$317,$A61,'Данные 1st'!$QB$2:$QB$317),"")</f>
        <v>1378</v>
      </c>
      <c r="GV61" s="7">
        <f>IFERROR(AVERAGEIF('Данные 1st'!$S$2:$S$317,$A61,'Данные 1st'!$QC$2:$QC$317),"")</f>
        <v>69</v>
      </c>
      <c r="GW61" s="7">
        <f>IFERROR(AVERAGEIF('Данные 1st'!$S$2:$S$317,$A61,'Данные 1st'!$QD$2:$QD$317),"")</f>
        <v>69</v>
      </c>
      <c r="GX61" s="7">
        <f>IFERROR(AVERAGEIF('Данные 1st'!$S$2:$S$317,$A61,'Данные 1st'!$QF$2:$QF$317),"")</f>
        <v>1</v>
      </c>
      <c r="GY61" s="7">
        <f>IFERROR(AVERAGEIF('Данные 1st'!$S$2:$S$317,$A61,'Данные 1st'!$QG$2:$QG$317),"")</f>
        <v>1393</v>
      </c>
      <c r="GZ61" s="7">
        <f>IFERROR(AVERAGEIF('Данные 1st'!$S$2:$S$317,$A61,'Данные 1st'!$QH$2:$QH$317),"")</f>
        <v>66</v>
      </c>
      <c r="HA61" s="7">
        <f>IFERROR(AVERAGEIF('Данные 1st'!$S$2:$S$317,$A61,'Данные 1st'!$QI$2:$QI$317),"")</f>
        <v>66</v>
      </c>
      <c r="HB61" s="7">
        <f>IFERROR(AVERAGEIF('Данные 1st'!$S$2:$S$317,$A61,'Данные 1st'!$QK$2:$QK$317),"")</f>
        <v/>
      </c>
      <c r="HC61" s="7">
        <f>IFERROR(AVERAGEIF('Данные 1st'!$S$2:$S$317,$A61,'Данные 1st'!$QL$2:$QL$317),"")</f>
        <v>0</v>
      </c>
      <c r="HD61" s="7">
        <f>IFERROR(AVERAGEIF('Данные 1st'!$S$2:$S$317,$A61,'Данные 1st'!$QM$2:$QM$317),"")</f>
        <v>62</v>
      </c>
      <c r="HE61" s="7">
        <f>IFERROR(AVERAGEIF('Данные 1st'!$S$2:$S$317,$A61,'Данные 1st'!$QN$2:$QN$317),"")</f>
        <v>62</v>
      </c>
      <c r="HF61" s="7">
        <f>IFERROR(AVERAGEIF('Данные 1st'!$S$2:$S$317,$A61,'Данные 1st'!$QP$2:$QP$317),"")</f>
        <v>1</v>
      </c>
      <c r="HG61" s="7">
        <f>IFERROR(AVERAGEIF('Данные 1st'!$S$2:$S$317,$A61,'Данные 1st'!$QQ$2:$QQ$317),"")</f>
        <v>1390.5</v>
      </c>
      <c r="HH61" s="7">
        <f>IFERROR(AVERAGEIF('Данные 1st'!$S$2:$S$317,$A61,'Данные 1st'!$QR$2:$QR$317),"")</f>
        <v>62.5</v>
      </c>
      <c r="HI61" s="7">
        <f>IFERROR(AVERAGEIF('Данные 1st'!$S$2:$S$317,$A61,'Данные 1st'!$QS$2:$QS$317),"")</f>
        <v>62.5</v>
      </c>
      <c r="HJ61" s="7">
        <f>IFERROR(AVERAGEIF('Данные 1st'!$S$2:$S$317,$A61,'Данные 1st'!$QU$2:$QU$317),"")</f>
        <v>1</v>
      </c>
      <c r="HK61" s="7">
        <f>IFERROR(AVERAGEIF('Данные 1st'!$S$2:$S$317,$A61,'Данные 1st'!$QV$2:$QV$317),"")</f>
        <v>1398.5</v>
      </c>
      <c r="HL61" s="7">
        <f>IFERROR(AVERAGEIF('Данные 1st'!$S$2:$S$317,$A61,'Данные 1st'!$QW$2:$QW$317),"")</f>
        <v>82</v>
      </c>
      <c r="HM61" s="7">
        <f>IFERROR(AVERAGEIF('Данные 1st'!$S$2:$S$317,$A61,'Данные 1st'!$QX$2:$QX$317),"")</f>
        <v>85</v>
      </c>
      <c r="HN61" s="7">
        <f>IFERROR(AVERAGEIF('Данные 1st'!$S$2:$S$317,$A61,'Данные 1st'!$QZ$2:$QZ$317),"")</f>
        <v>1</v>
      </c>
      <c r="HO61" s="7">
        <f>IFERROR(AVERAGEIF('Данные 1st'!$S$2:$S$317,$A61,'Данные 1st'!$RA$2:$RA$317),"")</f>
        <v>66</v>
      </c>
      <c r="HP61" s="7">
        <f>IFERROR(AVERAGEIF('Данные 1st'!$S$2:$S$317,$A61,'Данные 1st'!$RB$2:$RB$317),"")</f>
        <v>66</v>
      </c>
      <c r="HQ61" s="7">
        <f>IFERROR(AVERAGEIF('Данные 1st'!$S$2:$S$317,$A61,'Данные 1st'!$RD$2:$RD$317),"")</f>
        <v/>
      </c>
      <c r="HR61" s="7">
        <f>IFERROR(AVERAGEIF('Данные 1st'!$S$2:$S$317,$A61,'Данные 1st'!$RE$2:$RE$317),"")</f>
        <v>0</v>
      </c>
      <c r="HS61" s="7">
        <f>IFERROR(AVERAGEIF('Данные 1st'!$S$2:$S$317,$A61,'Данные 1st'!$RF$2:$RF$317),"")</f>
        <v>1</v>
      </c>
      <c r="HT61" s="7">
        <f>IFERROR(AVERAGEIF('Данные 1st'!$S$2:$S$317,$A61,'Данные 1st'!$RG$2:$RG$317),"")</f>
        <v/>
      </c>
      <c r="HU61" s="7">
        <f>IFERROR(AVERAGEIF('Данные 1st'!$S$2:$S$317,$A61,'Данные 1st'!$RH$2:$RH$317),"")</f>
        <v>1</v>
      </c>
      <c r="HV61" s="7">
        <f>IFERROR(AVERAGEIF('Данные 1st'!$S$2:$S$317,$A61,'Данные 1st'!$RI$2:$RI$317),"")</f>
        <v>1</v>
      </c>
      <c r="HW61" s="7">
        <f>IFERROR(AVERAGEIF('Данные 1st'!$S$2:$S$317,$A61,'Данные 1st'!$RJ$2:$RJ$317),"")</f>
        <v>1</v>
      </c>
      <c r="HX61" s="7">
        <f>IFERROR(AVERAGEIF('Данные 1st'!$S$2:$S$317,$A61,'Данные 1st'!$RK$2:$RK$317),"")</f>
        <v/>
      </c>
      <c r="HY61" s="7">
        <f>IFERROR(AVERAGEIF('Данные 1st'!$S$2:$S$317,$A61,'Данные 1st'!$RL$2:$RL$317),"")</f>
        <v>2.5</v>
      </c>
      <c r="HZ61" s="7">
        <f>IFERROR(AVERAGEIF('Данные 1st'!$S$2:$S$317,$A61,'Данные 1st'!$RM$2:$RM$317),"")</f>
        <v>2.5</v>
      </c>
      <c r="IA61" s="7">
        <f>IFERROR(AVERAGEIF('Данные 1st'!$S$2:$S$317,$A61,'Данные 1st'!$RN$2:$RN$317),"")</f>
        <v/>
      </c>
      <c r="IB61" s="7">
        <f>IFERROR(AVERAGEIF('Данные 1st'!$S$2:$S$317,$A61,'Данные 1st'!$RO$2:$RO$317),"")</f>
        <v>588</v>
      </c>
      <c r="IC61" s="7">
        <f>IFERROR(AVERAGEIF('Данные 1st'!$S$2:$S$317,$A61,'Данные 1st'!$RP$2:$RP$317),"")</f>
        <v/>
      </c>
      <c r="ID61" s="7">
        <f>IFERROR(AVERAGEIF('Данные 1st'!$S$2:$S$317,$A61,'Данные 1st'!$RQ$2:$RQ$317),"")</f>
        <v>781.5</v>
      </c>
      <c r="IE61" s="7">
        <f>IFERROR(AVERAGEIF('Данные 1st'!$S$2:$S$317,$A61,'Данные 1st'!$RR$2:$RR$317),"")</f>
        <v>712.5</v>
      </c>
      <c r="IF61" s="7">
        <f>IFERROR(AVERAGEIF('Данные 1st'!$S$2:$S$317,$A61,'Данные 1st'!$RS$2:$RS$317),"")</f>
        <v/>
      </c>
      <c r="IG61" s="7">
        <f>IFERROR(AVERAGEIF('Данные 1st'!$S$2:$S$317,$A61,'Данные 1st'!$RT$2:$RT$317),"")</f>
        <v>258.5</v>
      </c>
      <c r="IH61" s="7">
        <f>IFERROR(AVERAGEIF('Данные 1st'!$S$2:$S$317,$A61,'Данные 1st'!$RU$2:$RU$317),"")</f>
        <v>170.5</v>
      </c>
      <c r="II61" s="7">
        <f>IFERROR(AVERAGEIF('Данные 1st'!$S$2:$S$317,$A61,'Данные 1st'!$RX$2:$RX$317),"")</f>
        <v>15</v>
      </c>
      <c r="IJ61" s="7">
        <f>IFERROR(AVERAGEIF('Данные 1st'!$S$2:$S$317,$A61,'Данные 1st'!$RY$2:$RY$317),"")</f>
        <v>4</v>
      </c>
      <c r="IK61" s="7">
        <f>IFERROR(AVERAGEIF('Данные 1st'!$S$2:$S$317,$A61,'Данные 1st'!$SA$2:$SA$317),"")</f>
        <v>15</v>
      </c>
      <c r="IL61" s="7">
        <f>IFERROR(AVERAGEIF('Данные 1st'!$S$2:$S$317,$A61,'Данные 1st'!$SD$2:$SD$317),"")</f>
        <v>1</v>
      </c>
      <c r="IM61" s="7">
        <f>IFERROR(AVERAGEIF('Данные 1st'!$S$2:$S$317,$A61,'Данные 1st'!$SG$2:$SG$317),"")</f>
        <v>1</v>
      </c>
      <c r="IN61" s="7">
        <f>IFERROR(AVERAGEIF('Данные 1st'!$S$2:$S$317,$A61,'Данные 1st'!$SH$2:$SH$317),"")</f>
        <v>0.995</v>
      </c>
      <c r="IO61" s="7">
        <f>IFERROR(AVERAGEIF('Данные 1st'!$S$2:$S$317,$A61,'Данные 1st'!$SI$2:$SI$317),"")</f>
        <v>0.995</v>
      </c>
      <c r="IP61" s="7">
        <f>IFERROR(AVERAGEIF('Данные 1st'!$S$2:$S$317,$A61,'Данные 1st'!$SJ$2:$SJ$317),"")</f>
        <v>0.995</v>
      </c>
      <c r="IQ61" s="7">
        <f>IFERROR(AVERAGEIF('Данные 1st'!$S$2:$S$317,$A61,'Данные 1st'!$SK$2:$SK$317),"")</f>
        <v>15</v>
      </c>
      <c r="IR61" s="7">
        <f>IFERROR(AVERAGEIF('Данные 1st'!$S$2:$S$317,$A61,'Данные 1st'!$SL$2:$SL$317),"")</f>
        <v>0</v>
      </c>
      <c r="IS61" s="7">
        <f>IFERROR(AVERAGEIF('Данные 1st'!$S$2:$S$317,$A61,'Данные 1st'!$SM$2:$SM$317),"")</f>
        <v>0</v>
      </c>
      <c r="IT61" s="7">
        <f>IFERROR(AVERAGEIF('Данные 1st'!$S$2:$S$317,$A61,'Данные 1st'!$SN$2:$SN$317),"")</f>
        <v>0</v>
      </c>
      <c r="IU61" s="7">
        <f>IFERROR(AVERAGEIF('Данные 1st'!$S$2:$S$317,$A61,'Данные 1st'!$SO$2:$SO$317),"")</f>
        <v>0</v>
      </c>
      <c r="IV61" s="7">
        <f>IFERROR(AVERAGEIF('Данные 1st'!$S$2:$S$317,$A61,'Данные 1st'!$SP$2:$SP$317),"")</f>
        <v>0</v>
      </c>
      <c r="IW61" s="7">
        <f>IFERROR(AVERAGEIF('Данные 1st'!$S$2:$S$317,$A61,'Данные 1st'!$SQ$2:$SQ$317),"")</f>
        <v>0</v>
      </c>
      <c r="IX61" s="7">
        <f>IFERROR(AVERAGEIF('Данные 1st'!$S$2:$S$317,$A61,'Данные 1st'!$SR$2:$SR$317),"")</f>
        <v>0</v>
      </c>
      <c r="IY61" s="7">
        <f>IFERROR(AVERAGEIF('Данные 1st'!$S$2:$S$317,$A61,'Данные 1st'!$SS$2:$SS$317),"")</f>
        <v>0</v>
      </c>
      <c r="IZ61" s="7">
        <f>IFERROR(AVERAGEIF('Данные 1st'!$S$2:$S$317,$A61,'Данные 1st'!$ST$2:$ST$317),"")</f>
        <v>0</v>
      </c>
      <c r="JA61" s="7">
        <f>IFERROR(AVERAGEIF('Данные 1st'!$S$2:$S$317,$A61,'Данные 1st'!$SU$2:$SU$317),"")</f>
        <v>0</v>
      </c>
      <c r="JB61" s="7">
        <f>IFERROR(AVERAGEIF('Данные 1st'!$S$2:$S$317,$A61,'Данные 1st'!$SV$2:$SV$317),"")</f>
        <v>0</v>
      </c>
      <c r="JC61" s="7">
        <f>IFERROR(AVERAGEIF('Данные 1st'!$S$2:$S$317,$A61,'Данные 1st'!$SW$2:$SW$317),"")</f>
        <v>0</v>
      </c>
      <c r="JD61" s="7">
        <f>IFERROR(AVERAGEIF('Данные 1st'!$S$2:$S$317,$A61,'Данные 1st'!$SX$2:$SX$317),"")</f>
        <v>0</v>
      </c>
      <c r="JE61" s="7">
        <f>IFERROR(AVERAGEIF('Данные 1st'!$S$2:$S$317,$A61,'Данные 1st'!$SY$2:$SY$317),"")</f>
        <v/>
      </c>
      <c r="JF61" s="7">
        <f>IFERROR(AVERAGEIF('Данные 1st'!$S$2:$S$317,$A61,'Данные 1st'!$SZ$2:$SZ$317),"")</f>
        <v>1</v>
      </c>
      <c r="JG61" s="7">
        <f>IFERROR(AVERAGEIF('Данные 1st'!$S$2:$S$317,$A61,'Данные 1st'!$TA$2:$TA$317),"")</f>
        <v/>
      </c>
      <c r="JH61" s="7">
        <f>IFERROR(AVERAGEIF('Данные 1st'!$S$2:$S$317,$A61,'Данные 1st'!$TB$2:$TB$317),"")</f>
        <v>0</v>
      </c>
      <c r="JI61" s="7">
        <f>IFERROR(AVERAGEIF('Данные 1st'!$S$2:$S$317,$A61,'Данные 1st'!$TC$2:$TC$317),"")</f>
        <v>0</v>
      </c>
      <c r="JJ61" s="7">
        <f>IFERROR(AVERAGEIF('Данные 1st'!$S$2:$S$317,$A61,'Данные 1st'!$TD$2:$TD$317),"")</f>
        <v>7.5</v>
      </c>
      <c r="JK61" s="7">
        <f>IFERROR(AVERAGEIF('Данные 1st'!$S$2:$S$317,$A61,'Данные 1st'!$TN$2:$TN$317),"")</f>
        <v>0</v>
      </c>
      <c r="JL61">
        <f>COUNTIF('Данные 2st'!$Q$2:$Q$317,$A61)</f>
        <v>2</v>
      </c>
      <c r="JM61" s="6" t="s">
        <v>5114</v>
      </c>
      <c r="JN61" s="6" t="s">
        <v>513</v>
      </c>
      <c r="JO61" s="6" t="s">
        <v>517</v>
      </c>
      <c r="JP61" s="6" t="s">
        <v>5512</v>
      </c>
      <c r="JQ61" s="7">
        <f>IFERROR(AVERAGEIF('Данные 2st'!$Q$2:$Q$317,$A61,'Данные 2st'!$AC$2:$AC$317),"")</f>
        <v>11</v>
      </c>
      <c r="JR61" s="7">
        <f>IFERROR(AVERAGEIF('Данные 2st'!$Q$2:$Q$317,$A61,'Данные 2st'!$AF$2:$AF$317),"")</f>
        <v>5597</v>
      </c>
      <c r="JS61" s="7">
        <f>IFERROR(AVERAGEIF('Данные 2st'!$Q$2:$Q$317,$A61,'Данные 2st'!$AW$2:$AW$317),"")</f>
        <v>6.4</v>
      </c>
      <c r="JT61" s="7">
        <f>IFERROR(AVERAGEIF('Данные 2st'!$Q$2:$Q$317,$A61,'Данные 2st'!$AX$2:$AX$317),"")</f>
        <v>-6</v>
      </c>
      <c r="JU61" s="7">
        <f>IFERROR(AVERAGEIF('Данные 2st'!$Q$2:$Q$317,$A61,'Данные 2st'!$AY$2:$AY$317),"")</f>
        <v>113</v>
      </c>
      <c r="JV61" s="7">
        <f>IFERROR(AVERAGEIF('Данные 2st'!$Q$2:$Q$317,$A61,'Данные 2st'!$AZ$2:$AZ$317),"")</f>
        <v>93.5</v>
      </c>
      <c r="JW61" s="7">
        <f>IFERROR(AVERAGEIF('Данные 2st'!$Q$2:$Q$317,$A61,'Данные 2st'!$BA$2:$BA$317),"")</f>
        <v>0</v>
      </c>
      <c r="JX61" s="7">
        <f>IFERROR(AVERAGEIF('Данные 2st'!$Q$2:$Q$317,$A61,'Данные 2st'!$BB$2:$BB$317),"")</f>
        <v>0</v>
      </c>
      <c r="JY61" s="7">
        <f>IFERROR(AVERAGEIF('Данные 2st'!$Q$2:$Q$317,$A61,'Данные 2st'!$BC$2:$BC$317),"")</f>
        <v>0</v>
      </c>
      <c r="JZ61" s="7">
        <f>IFERROR(AVERAGEIF('Данные 2st'!$Q$2:$Q$317,$A61,'Данные 2st'!$BH$2:$BH$317),"")</f>
        <v>113</v>
      </c>
      <c r="KA61" s="7">
        <f>IFERROR(AVERAGEIF('Данные 2st'!$Q$2:$Q$317,$A61,'Данные 2st'!$BI$2:$BI$317),"")</f>
        <v>19.5</v>
      </c>
      <c r="KB61" s="7">
        <f>IFERROR(AVERAGEIF('Данные 2st'!$Q$2:$Q$317,$A61,'Данные 2st'!$BJ$2:$BJ$317),"")</f>
        <v>93.5</v>
      </c>
      <c r="KC61" s="7">
        <f>IFERROR(AVERAGEIF('Данные 2st'!$Q$2:$Q$317,$A61,'Данные 2st'!$BK$2:$BK$317),"")</f>
        <v>3.0</v>
      </c>
      <c r="KD61" s="7">
        <f>IFERROR(AVERAGEIF('Данные 2st'!$Q$2:$Q$317,$A61,'Данные 2st'!$BL$2:$BL$317),"")</f>
        <v>226</v>
      </c>
      <c r="KE61" s="7">
        <f>IFERROR(AVERAGEIF('Данные 2st'!$Q$2:$Q$317,$A61,'Данные 2st'!$BM$2:$BM$317),"")</f>
        <v>-6</v>
      </c>
      <c r="KF61" s="7">
        <f>IFERROR(AVERAGEIF('Данные 2st'!$Q$2:$Q$317,$A61,'Данные 2st'!$BN$2:$BN$317),"")</f>
        <v>0</v>
      </c>
      <c r="KG61" s="7">
        <f>IFERROR(AVERAGEIF('Данные 2st'!$Q$2:$Q$317,$A61,'Данные 2st'!$BO$2:$BO$317),"")</f>
        <v/>
      </c>
      <c r="KH61" s="7">
        <f>IFERROR(AVERAGEIF('Данные 2st'!$Q$2:$Q$317,$A61,'Данные 2st'!$BP$2:$BP$317),"")</f>
        <v>0</v>
      </c>
      <c r="KI61" s="7">
        <f>IFERROR(AVERAGEIF('Данные 2st'!$Q$2:$Q$317,$A61,'Данные 2st'!$BR$2:$BR$317),"")</f>
        <v>220</v>
      </c>
      <c r="KJ61" s="7">
        <f>IFERROR(AVERAGEIF('Данные 2st'!$Q$2:$Q$317,$A61,'Данные 2st'!$BS$2:$BS$317),"")</f>
        <v>210</v>
      </c>
      <c r="KK61" s="7">
        <f>IFERROR(AVERAGEIF('Данные 2st'!$Q$2:$Q$317,$A61,'Данные 2st'!$BT$2:$BT$317),"")</f>
        <v>2050</v>
      </c>
      <c r="KL61" s="7">
        <f>IFERROR(AVERAGEIF('Данные 2st'!$Q$2:$Q$317,$A61,'Данные 2st'!$CV$2:$CV$317),"")</f>
        <v>137.5</v>
      </c>
      <c r="KM61" s="7">
        <f>IFERROR(AVERAGEIF('Данные 2st'!$Q$2:$Q$317,$A61,'Данные 2st'!$CW$2:$CW$317),"")</f>
        <v>3</v>
      </c>
      <c r="KN61" s="7">
        <f>IFERROR(AVERAGEIF('Данные 2st'!$Q$2:$Q$317,$A61,'Данные 2st'!$CX$2:$CX$317),"")</f>
        <v>103</v>
      </c>
      <c r="KO61" s="7">
        <f>IFERROR(AVERAGEIF('Данные 2st'!$Q$2:$Q$317,$A61,'Данные 2st'!$CY$2:$CY$317),"")</f>
        <v>5</v>
      </c>
      <c r="KP61" s="7">
        <f>IFERROR(AVERAGEIF('Данные 2st'!$Q$2:$Q$317,$A61,'Данные 2st'!$CZ$2:$CZ$317),"")</f>
        <v>148</v>
      </c>
      <c r="KQ61" s="7">
        <f>IFERROR(AVERAGEIF('Данные 2st'!$Q$2:$Q$317,$A61,'Данные 2st'!$DA$2:$DA$317),"")</f>
        <v>5</v>
      </c>
      <c r="KR61" s="7">
        <f>IFERROR(AVERAGEIF('Данные 2st'!$Q$2:$Q$317,$A61,'Данные 2st'!$DB$2:$DB$317),"")</f>
        <v>13575</v>
      </c>
      <c r="KS61" s="7">
        <f>IFERROR(AVERAGEIF('Данные 2st'!$Q$2:$Q$317,$A61,'Данные 2st'!$DC$2:$DC$317),"")</f>
        <v>405</v>
      </c>
      <c r="KT61" s="7">
        <f>IFERROR(AVERAGEIF('Данные 2st'!$Q$2:$Q$317,$A61,'Данные 2st'!$DD$2:$DD$317),"")</f>
        <v>347.5</v>
      </c>
      <c r="KU61" s="7">
        <f>IFERROR(AVERAGEIF('Данные 2st'!$Q$2:$Q$317,$A61,'Данные 2st'!$DE$2:$DE$317),"")</f>
        <v>2173.5</v>
      </c>
      <c r="KV61" s="7">
        <f>IFERROR(AVERAGEIF('Данные 2st'!$Q$2:$Q$317,$A61,'Данные 2st'!$DF$2:$DF$317),"")</f>
        <v>2173.5</v>
      </c>
      <c r="KW61" s="7">
        <f>IFERROR(AVERAGEIF('Данные 2st'!$Q$2:$Q$317,$A61,'Данные 2st'!$DG$2:$DG$317),"")</f>
        <v>2185.5</v>
      </c>
      <c r="KX61" s="7">
        <f>IFERROR(AVERAGEIF('Данные 2st'!$Q$2:$Q$317,$A61,'Данные 2st'!$DH$2:$DH$317),"")</f>
        <v/>
      </c>
      <c r="KY61" s="7">
        <f>IFERROR(AVERAGEIF('Данные 2st'!$Q$2:$Q$317,$A61,'Данные 2st'!$DI$2:$DI$317),"")</f>
        <v/>
      </c>
      <c r="KZ61" s="7">
        <f>IFERROR(AVERAGEIF('Данные 2st'!$Q$2:$Q$317,$A61,'Данные 2st'!$DK$2:$DK$317),"")</f>
        <v>220</v>
      </c>
      <c r="LA61" s="7">
        <f>IFERROR(AVERAGEIF('Данные 2st'!$Q$2:$Q$317,$A61,'Данные 2st'!$DM$2:$DM$317),"")</f>
        <v>63</v>
      </c>
      <c r="LB61" s="7">
        <f>IFERROR(AVERAGEIF('Данные 2st'!$Q$2:$Q$317,$A61,'Данные 2st'!$DN$2:$DN$317),"")</f>
        <v>1.1</v>
      </c>
      <c r="LC61" s="7">
        <f>IFERROR(AVERAGEIF('Данные 2st'!$Q$2:$Q$317,$A61,'Данные 2st'!$DO$2:$DO$317),"")</f>
        <v>1</v>
      </c>
      <c r="LD61" s="7">
        <f>IFERROR(AVERAGEIF('Данные 2st'!$Q$2:$Q$317,$A61,'Данные 2st'!$DP$2:$DP$317),"")</f>
        <v>2053</v>
      </c>
      <c r="LE61" s="7">
        <f>IFERROR(AVERAGEIF('Данные 2st'!$Q$2:$Q$317,$A61,'Данные 2st'!$DQ$2:$DQ$317),"")</f>
        <v>977</v>
      </c>
      <c r="LF61" s="7">
        <f>IFERROR(AVERAGEIF('Данные 2st'!$Q$2:$Q$317,$A61,'Данные 2st'!$DS$2:$DS$317),"")</f>
        <v>210</v>
      </c>
      <c r="LG61" s="7">
        <f>IFERROR(AVERAGEIF('Данные 2st'!$Q$2:$Q$317,$A61,'Данные 2st'!$DU$2:$DU$317),"")</f>
        <v>63</v>
      </c>
      <c r="LH61" s="7">
        <f>IFERROR(AVERAGEIF('Данные 2st'!$Q$2:$Q$317,$A61,'Данные 2st'!$DV$2:$DV$317),"")</f>
        <v>1.1</v>
      </c>
      <c r="LI61" s="7">
        <f>IFERROR(AVERAGEIF('Данные 2st'!$Q$2:$Q$317,$A61,'Данные 2st'!$DW$2:$DW$317),"")</f>
        <v>1</v>
      </c>
      <c r="LJ61" s="7">
        <f>IFERROR(AVERAGEIF('Данные 2st'!$Q$2:$Q$317,$A61,'Данные 2st'!$DX$2:$DX$317),"")</f>
        <v>2065</v>
      </c>
      <c r="LK61" s="7">
        <f>IFERROR(AVERAGEIF('Данные 2st'!$Q$2:$Q$317,$A61,'Данные 2st'!$DY$2:$DY$317),"")</f>
        <v>937.5</v>
      </c>
      <c r="LL61" s="7">
        <f>IFERROR(AVERAGEIF('Данные 2st'!$Q$2:$Q$317,$A61,'Данные 2st'!$EA$2:$EA$317),"")</f>
        <v>20</v>
      </c>
      <c r="LM61" s="7">
        <f>IFERROR(AVERAGEIF('Данные 2st'!$Q$2:$Q$317,$A61,'Данные 2st'!$EC$2:$EC$317),"")</f>
        <v>0.8</v>
      </c>
      <c r="LN61" s="7">
        <f>IFERROR(AVERAGEIF('Данные 2st'!$Q$2:$Q$317,$A61,'Данные 2st'!$ED$2:$ED$317),"")</f>
        <v>2053</v>
      </c>
      <c r="LO61" s="7">
        <f>IFERROR(AVERAGEIF('Данные 2st'!$Q$2:$Q$317,$A61,'Данные 2st'!$EE$2:$EE$317),"")</f>
        <v>72</v>
      </c>
      <c r="LP61" s="7">
        <f>IFERROR(AVERAGEIF('Данные 2st'!$Q$2:$Q$317,$A61,'Данные 2st'!$EG$2:$EG$317),"")</f>
        <v>0</v>
      </c>
      <c r="LQ61" s="7">
        <f>IFERROR(AVERAGEIF('Данные 2st'!$Q$2:$Q$317,$A61,'Данные 2st'!$EI$2:$EI$317),"")</f>
        <v>0</v>
      </c>
      <c r="LR61" s="7">
        <f>IFERROR(AVERAGEIF('Данные 2st'!$Q$2:$Q$317,$A61,'Данные 2st'!$EJ$2:$EJ$317),"")</f>
        <v/>
      </c>
      <c r="LS61" s="7">
        <f>IFERROR(AVERAGEIF('Данные 2st'!$Q$2:$Q$317,$A61,'Данные 2st'!$EK$2:$EK$317),"")</f>
        <v/>
      </c>
      <c r="LT61" s="7">
        <f>IFERROR(AVERAGEIF('Данные 2st'!$Q$2:$Q$317,$A61,'Данные 2st'!$EM$2:$EM$317),"")</f>
        <v>12</v>
      </c>
      <c r="LU61" s="7">
        <f>IFERROR(AVERAGEIF('Данные 2st'!$Q$2:$Q$317,$A61,'Данные 2st'!$EN$2:$EN$317),"")</f>
        <v>0.5</v>
      </c>
      <c r="LV61" s="7">
        <f>IFERROR(AVERAGEIF('Данные 2st'!$Q$2:$Q$317,$A61,'Данные 2st'!$EO$2:$EO$317),"")</f>
        <v>0.96</v>
      </c>
      <c r="LW61" s="7">
        <f>IFERROR(AVERAGEIF('Данные 2st'!$Q$2:$Q$317,$A61,'Данные 2st'!$EP$2:$EP$317),"")</f>
        <v>2063.83</v>
      </c>
      <c r="LX61" s="7">
        <f>IFERROR(AVERAGEIF('Данные 2st'!$Q$2:$Q$317,$A61,'Данные 2st'!$EQ$2:$EQ$317),"")</f>
        <v>38371.994999999995</v>
      </c>
      <c r="LY61" s="7">
        <f>IFERROR(AVERAGEIF('Данные 2st'!$Q$2:$Q$317,$A61,'Данные 2st'!$ER$2:$ER$317),"")</f>
        <v>6314.8099999999995</v>
      </c>
      <c r="LZ61" s="7">
        <f>IFERROR(AVERAGEIF('Данные 2st'!$Q$2:$Q$317,$A61,'Данные 2st'!$ES$2:$ES$317),"")</f>
        <v>0</v>
      </c>
      <c r="MA61" s="7">
        <f>IFERROR(AVERAGEIF('Данные 2st'!$Q$2:$Q$317,$A61,'Данные 2st'!$ET$2:$ET$317),"")</f>
        <v>0</v>
      </c>
      <c r="MB61" s="7">
        <f>IFERROR(AVERAGEIF('Данные 2st'!$Q$2:$Q$317,$A61,'Данные 2st'!$EU$2:$EU$317),"")</f>
        <v>1</v>
      </c>
      <c r="MC61" s="7">
        <f>IFERROR(AVERAGEIF('Данные 2st'!$Q$2:$Q$317,$A61,'Данные 2st'!$EV$2:$EV$317),"")</f>
        <v>44687.5</v>
      </c>
      <c r="MD61" s="7">
        <f>IFERROR(AVERAGEIF('Данные 2st'!$Q$2:$Q$317,$A61,'Данные 2st'!$EW$2:$EW$317),"")</f>
        <v>536.5</v>
      </c>
      <c r="ME61" s="7">
        <f>IFERROR(AVERAGEIF('Данные 2st'!$Q$2:$Q$317,$A61,'Данные 2st'!$EY$2:$EY$317),"")</f>
        <v>238</v>
      </c>
      <c r="MF61" s="7">
        <f>IFERROR(AVERAGEIF('Данные 2st'!$Q$2:$Q$317,$A61,'Данные 2st'!$FA$2:$FA$317),"")</f>
        <v>4.4</v>
      </c>
      <c r="MG61" s="7">
        <f>IFERROR(AVERAGEIF('Данные 2st'!$Q$2:$Q$317,$A61,'Данные 2st'!$FB$2:$FB$317),"")</f>
        <v>1</v>
      </c>
      <c r="MH61" s="7">
        <f>IFERROR(AVERAGEIF('Данные 2st'!$Q$2:$Q$317,$A61,'Данные 2st'!$FC$2:$FC$317),"")</f>
        <v>1</v>
      </c>
      <c r="MI61" s="7">
        <f>IFERROR(AVERAGEIF('Данные 2st'!$Q$2:$Q$317,$A61,'Данные 2st'!$FD$2:$FD$317),"")</f>
        <v>2098.5</v>
      </c>
      <c r="MJ61" s="7">
        <f>IFERROR(AVERAGEIF('Данные 2st'!$Q$2:$Q$317,$A61,'Данные 2st'!$FE$2:$FE$317),"")</f>
        <v>2495</v>
      </c>
      <c r="MK61" s="7">
        <f>IFERROR(AVERAGEIF('Данные 2st'!$Q$2:$Q$317,$A61,'Данные 2st'!$FG$2:$FG$317),"")</f>
        <v>238</v>
      </c>
      <c r="ML61" s="7">
        <f>IFERROR(AVERAGEIF('Данные 2st'!$Q$2:$Q$317,$A61,'Данные 2st'!$FI$2:$FI$317),"")</f>
        <v>4.25</v>
      </c>
      <c r="MM61" s="7">
        <f>IFERROR(AVERAGEIF('Данные 2st'!$Q$2:$Q$317,$A61,'Данные 2st'!$FJ$2:$FJ$317),"")</f>
        <v>2098.5</v>
      </c>
      <c r="MN61" s="7">
        <f>IFERROR(AVERAGEIF('Данные 2st'!$Q$2:$Q$317,$A61,'Данные 2st'!$FK$2:$FK$317),"")</f>
        <v>2521</v>
      </c>
      <c r="MO61" s="7">
        <f>IFERROR(AVERAGEIF('Данные 2st'!$Q$2:$Q$317,$A61,'Данные 2st'!$FP$2:$FP$317),"")</f>
        <v>2098.5</v>
      </c>
      <c r="MP61" s="7">
        <f>IFERROR(AVERAGEIF('Данные 2st'!$Q$2:$Q$317,$A61,'Данные 2st'!$FQ$2:$FQ$317),"")</f>
        <v>188</v>
      </c>
      <c r="MQ61" s="7">
        <f>IFERROR(AVERAGEIF('Данные 2st'!$Q$2:$Q$317,$A61,'Данные 2st'!$FS$2:$FS$317),"")</f>
        <v>242</v>
      </c>
      <c r="MR61" s="7">
        <f>IFERROR(AVERAGEIF('Данные 2st'!$Q$2:$Q$317,$A61,'Данные 2st'!$FU$2:$FU$317),"")</f>
        <v>0.4</v>
      </c>
      <c r="MS61" s="7">
        <f>IFERROR(AVERAGEIF('Данные 2st'!$Q$2:$Q$317,$A61,'Данные 2st'!$FV$2:$FV$317),"")</f>
        <v>2098.5</v>
      </c>
      <c r="MT61" s="7">
        <f>IFERROR(AVERAGEIF('Данные 2st'!$Q$2:$Q$317,$A61,'Данные 2st'!$FW$2:$FW$317),"")</f>
        <v>226</v>
      </c>
      <c r="MU61" s="7">
        <f>IFERROR(AVERAGEIF('Данные 2st'!$Q$2:$Q$317,$A61,'Данные 2st'!$FY$2:$FY$317),"")</f>
        <v>5</v>
      </c>
      <c r="MV61" s="7">
        <f>IFERROR(AVERAGEIF('Данные 2st'!$Q$2:$Q$317,$A61,'Данные 2st'!$GB$2:$GB$317),"")</f>
        <v>2098.5</v>
      </c>
      <c r="MW61" s="7">
        <f>IFERROR(AVERAGEIF('Данные 2st'!$Q$2:$Q$317,$A61,'Данные 2st'!$GC$2:$GC$317),"")</f>
        <v>22</v>
      </c>
      <c r="MX61" s="7">
        <f>IFERROR(AVERAGEIF('Данные 2st'!$Q$2:$Q$317,$A61,'Данные 2st'!$GD$2:$GD$317),"")</f>
        <v>5452</v>
      </c>
      <c r="MY61" s="7">
        <f>IFERROR(AVERAGEIF('Данные 2st'!$Q$2:$Q$317,$A61,'Данные 2st'!$GN$2:$GN$317),"")</f>
        <v/>
      </c>
      <c r="MZ61" s="7">
        <f>IFERROR(AVERAGEIF('Данные 2st'!$Q$2:$Q$317,$A61,'Данные 2st'!$GQ$2:$GQ$317),"")</f>
        <v>0</v>
      </c>
      <c r="NA61" s="7">
        <f>IFERROR(AVERAGEIF('Данные 2st'!$Q$2:$Q$317,$A61,'Данные 2st'!$GV$2:$GV$317),"")</f>
        <v>9.05</v>
      </c>
      <c r="NB61" s="7">
        <f>IFERROR(AVERAGEIF('Данные 2st'!$Q$2:$Q$317,$A61,'Данные 2st'!$GW$2:$GW$317),"")</f>
        <v>11.5</v>
      </c>
      <c r="NC61" s="7">
        <f>IFERROR(AVERAGEIF('Данные 2st'!$Q$2:$Q$317,$A61,'Данные 2st'!$GX$2:$GX$317),"")</f>
        <v>0.5</v>
      </c>
      <c r="ND61" s="7">
        <f>IFERROR(AVERAGEIF('Данные 2st'!$Q$2:$Q$317,$A61,'Данные 2st'!$GY$2:$GY$317),"")</f>
        <v>207</v>
      </c>
      <c r="NE61" s="7">
        <f>IFERROR(AVERAGEIF('Данные 2st'!$Q$2:$Q$317,$A61,'Данные 2st'!$GZ$2:$GZ$317),"")</f>
        <v>3</v>
      </c>
      <c r="NF61" s="7">
        <f>IFERROR(AVERAGEIF('Данные 2st'!$Q$2:$Q$317,$A61,'Данные 2st'!$HA$2:$HA$317),"")</f>
        <v>258</v>
      </c>
      <c r="NG61" s="7">
        <f>IFERROR(AVERAGEIF('Данные 2st'!$Q$2:$Q$317,$A61,'Данные 2st'!$HB$2:$HB$317),"")</f>
        <v>3</v>
      </c>
      <c r="NH61" s="7">
        <f>IFERROR(AVERAGEIF('Данные 2st'!$Q$2:$Q$317,$A61,'Данные 2st'!$HC$2:$HC$317),"")</f>
        <v>2098.5</v>
      </c>
      <c r="NI61" s="7">
        <f>IFERROR(AVERAGEIF('Данные 2st'!$Q$2:$Q$317,$A61,'Данные 2st'!$HD$2:$HD$317),"")</f>
        <v>4</v>
      </c>
      <c r="NJ61" s="7">
        <f>IFERROR(AVERAGEIF('Данные 2st'!$Q$2:$Q$317,$A61,'Данные 2st'!$HM$2:$HM$317),"")</f>
        <v>18</v>
      </c>
      <c r="NK61" s="7">
        <f>IFERROR(AVERAGEIF('Данные 2st'!$Q$2:$Q$317,$A61,'Данные 2st'!$HR$2:$HR$317),"")</f>
        <v>2</v>
      </c>
      <c r="NL61" s="7">
        <f>IFERROR(AVERAGEIF('Данные 2st'!$Q$2:$Q$317,$A61,'Данные 2st'!$HS$2:$HS$317),"")</f>
        <v>2050</v>
      </c>
      <c r="NM61" s="7">
        <f>IFERROR(AVERAGEIF('Данные 2st'!$Q$2:$Q$317,$A61,'Данные 2st'!$HT$2:$HT$317),"")</f>
        <v>5</v>
      </c>
      <c r="NN61" s="7">
        <f>IFERROR(AVERAGEIF('Данные 2st'!$Q$2:$Q$317,$A61,'Данные 2st'!$HY$2:$HY$317),"")</f>
        <v>0</v>
      </c>
      <c r="NO61" s="7">
        <f>IFERROR(AVERAGEIF('Данные 2st'!$Q$2:$Q$317,$A61,'Данные 2st'!$HZ$2:$HZ$317),"")</f>
        <v>63</v>
      </c>
      <c r="NP61" s="7">
        <f>IFERROR(AVERAGEIF('Данные 2st'!$Q$2:$Q$317,$A61,'Данные 2st'!$IA$2:$IA$317),"")</f>
        <v>2053</v>
      </c>
      <c r="NQ61" s="7">
        <f>IFERROR(AVERAGEIF('Данные 2st'!$Q$2:$Q$317,$A61,'Данные 2st'!$IB$2:$IB$317),"")</f>
        <v>2065</v>
      </c>
      <c r="NR61" s="7">
        <f>IFERROR(AVERAGEIF('Данные 2st'!$Q$2:$Q$317,$A61,'Данные 2st'!$IC$2:$IC$317),"")</f>
        <v/>
      </c>
      <c r="NS61" s="7">
        <f>IFERROR(AVERAGEIF('Данные 2st'!$Q$2:$Q$317,$A61,'Данные 2st'!$ID$2:$ID$317),"")</f>
        <v>2098.5</v>
      </c>
      <c r="NT61" s="7">
        <f>IFERROR(AVERAGEIF('Данные 2st'!$Q$2:$Q$317,$A61,'Данные 2st'!$IE$2:$IE$317),"")</f>
        <v>2098.5</v>
      </c>
      <c r="NU61" s="7">
        <f>IFERROR(AVERAGEIF('Данные 2st'!$Q$2:$Q$317,$A61,'Данные 2st'!$IF$2:$IF$317),"")</f>
        <v>220</v>
      </c>
      <c r="NV61" s="7">
        <f>IFERROR(AVERAGEIF('Данные 2st'!$Q$2:$Q$317,$A61,'Данные 2st'!$IG$2:$IG$317),"")</f>
        <v>210</v>
      </c>
      <c r="NW61" s="7">
        <f>IFERROR(AVERAGEIF('Данные 2st'!$Q$2:$Q$317,$A61,'Данные 2st'!$IH$2:$IH$317),"")</f>
        <v>258</v>
      </c>
      <c r="NX61" s="7">
        <f>IFERROR(AVERAGEIF('Данные 2st'!$Q$2:$Q$317,$A61,'Данные 2st'!$IJ$2:$IJ$317),"")</f>
        <v>5</v>
      </c>
      <c r="NY61" s="7">
        <f>IFERROR(AVERAGEIF('Данные 2st'!$Q$2:$Q$317,$A61,'Данные 2st'!$IM$2:$IM$317),"")</f>
        <v>0</v>
      </c>
      <c r="NZ61" s="7">
        <f>IFERROR(AVERAGEIF('Данные 2st'!$Q$2:$Q$317,$A61,'Данные 2st'!$IN$2:$IN$317),"")</f>
        <v>270</v>
      </c>
      <c r="OA61" s="7">
        <f>IFERROR(AVERAGEIF('Данные 2st'!$Q$2:$Q$317,$A61,'Данные 2st'!$IO$2:$IO$317),"")</f>
        <v>0</v>
      </c>
      <c r="OB61" s="7">
        <f>IFERROR(AVERAGEIF('Данные 2st'!$Q$2:$Q$317,$A61,'Данные 2st'!$IP$2:$IP$317),"")</f>
        <v>180</v>
      </c>
      <c r="OC61" s="7">
        <f>IFERROR(AVERAGEIF('Данные 2st'!$Q$2:$Q$317,$A61,'Данные 2st'!$IQ$2:$IQ$317),"")</f>
        <v>0</v>
      </c>
      <c r="OD61" s="7">
        <f>IFERROR(AVERAGEIF('Данные 2st'!$Q$2:$Q$317,$A61,'Данные 2st'!$IR$2:$IR$317),"")</f>
        <v>330</v>
      </c>
      <c r="OE61" s="7">
        <f>IFERROR(AVERAGEIF('Данные 2st'!$Q$2:$Q$317,$A61,'Данные 2st'!$IT$2:$IT$317),"")</f>
        <v>90</v>
      </c>
      <c r="OF61" s="7">
        <f>IFERROR(AVERAGEIF('Данные 2st'!$Q$2:$Q$317,$A61,'Данные 2st'!$IU$2:$IU$317),"")</f>
        <v>0</v>
      </c>
      <c r="OG61" s="7">
        <f>IFERROR(AVERAGEIF('Данные 2st'!$Q$2:$Q$317,$A61,'Данные 2st'!$IV$2:$IV$317),"")</f>
        <v>6.4</v>
      </c>
      <c r="OH61" s="7">
        <f>IFERROR(AVERAGEIF('Данные 2st'!$Q$2:$Q$317,$A61,'Данные 2st'!$IW$2:$IW$317),"")</f>
        <v>-6</v>
      </c>
      <c r="OI61" s="7">
        <f>IFERROR(AVERAGEIF('Данные 2st'!$Q$2:$Q$317,$A61,'Данные 2st'!$IX$2:$IX$317),"")</f>
        <v>113</v>
      </c>
      <c r="OJ61" s="7">
        <f>IFERROR(AVERAGEIF('Данные 2st'!$Q$2:$Q$317,$A61,'Данные 2st'!$IY$2:$IY$317),"")</f>
        <v>93.5</v>
      </c>
      <c r="OK61" s="7">
        <f>IFERROR(AVERAGEIF('Данные 2st'!$Q$2:$Q$317,$A61,'Данные 2st'!$IZ$2:$IZ$317),"")</f>
        <v>0</v>
      </c>
      <c r="OL61" s="7">
        <f>IFERROR(AVERAGEIF('Данные 2st'!$Q$2:$Q$317,$A61,'Данные 2st'!$JA$2:$JA$317),"")</f>
        <v>0</v>
      </c>
      <c r="OM61" s="7">
        <f>IFERROR(AVERAGEIF('Данные 2st'!$Q$2:$Q$317,$A61,'Данные 2st'!$JB$2:$JB$317),"")</f>
        <v>0</v>
      </c>
      <c r="ON61" s="7">
        <f>IFERROR(AVERAGEIF('Данные 2st'!$Q$2:$Q$317,$A61,'Данные 2st'!$JC$2:$JC$317),"")</f>
        <v>0</v>
      </c>
      <c r="OO61" s="7">
        <f>IFERROR(AVERAGEIF('Данные 2st'!$Q$2:$Q$317,$A61,'Данные 2st'!$JD$2:$JD$317),"")</f>
        <v>0</v>
      </c>
      <c r="OP61" s="7">
        <f>IFERROR(AVERAGEIF('Данные 2st'!$Q$2:$Q$317,$A61,'Данные 2st'!$JE$2:$JE$317),"")</f>
        <v>0</v>
      </c>
      <c r="OQ61" s="7">
        <f>IFERROR(AVERAGEIF('Данные 2st'!$Q$2:$Q$317,$A61,'Данные 2st'!$JF$2:$JF$317),"")</f>
        <v>0</v>
      </c>
      <c r="OR61" s="7">
        <f>IFERROR(AVERAGEIF('Данные 2st'!$Q$2:$Q$317,$A61,'Данные 2st'!$JG$2:$JG$317),"")</f>
        <v>0</v>
      </c>
      <c r="OS61" s="7">
        <f>IFERROR(AVERAGEIF('Данные 2st'!$Q$2:$Q$317,$A61,'Данные 2st'!$JH$2:$JH$317),"")</f>
        <v>0</v>
      </c>
      <c r="OT61" s="7">
        <f>IFERROR(AVERAGEIF('Данные 2st'!$Q$2:$Q$317,$A61,'Данные 2st'!$JI$2:$JI$317),"")</f>
        <v>402</v>
      </c>
      <c r="OU61" s="7">
        <f>IFERROR(AVERAGEIF('Данные 2st'!$Q$2:$Q$317,$A61,'Данные 2st'!$JJ$2:$JJ$317),"")</f>
        <v>372</v>
      </c>
      <c r="OV61" s="7">
        <f>IFERROR(AVERAGEIF('Данные 2st'!$Q$2:$Q$317,$A61,'Данные 2st'!$JK$2:$JK$317),"")</f>
        <v>276</v>
      </c>
      <c r="OW61" s="7">
        <f>IFERROR(AVERAGEIF('Данные 2st'!$Q$2:$Q$317,$A61,'Данные 2st'!$JL$2:$JL$317),"")</f>
        <v>369</v>
      </c>
      <c r="OX61" s="7">
        <f>IFERROR(AVERAGEIF('Данные 2st'!$Q$2:$Q$317,$A61,'Данные 2st'!$JM$2:$JM$317),"")</f>
        <v>273</v>
      </c>
      <c r="OY61" s="7">
        <f>IFERROR(AVERAGEIF('Данные 2st'!$Q$2:$Q$317,$A61,'Данные 2st'!$JP$2:$JP$317),"")</f>
        <v>202.5</v>
      </c>
      <c r="OZ61" s="7">
        <f>IFERROR(AVERAGEIF('Данные 2st'!$Q$2:$Q$317,$A61,'Данные 2st'!$JQ$2:$JQ$317),"")</f>
        <v>250</v>
      </c>
      <c r="PA61" s="7">
        <f>IFERROR(AVERAGEIF('Данные 2st'!$Q$2:$Q$317,$A61,'Данные 2st'!$JR$2:$JR$317),"")</f>
        <v>326.5</v>
      </c>
      <c r="PB61" s="7">
        <f>IFERROR(AVERAGEIF('Данные 2st'!$Q$2:$Q$317,$A61,'Данные 2st'!$JS$2:$JS$317),"")</f>
        <v>255</v>
      </c>
      <c r="PC61" s="7">
        <f>IFERROR(AVERAGEIF('Данные 2st'!$Q$2:$Q$317,$A61,'Данные 2st'!$JT$2:$JT$317),"")</f>
        <v>0</v>
      </c>
      <c r="PD61" s="7">
        <f>IFERROR(AVERAGEIF('Данные 2st'!$Q$2:$Q$317,$A61,'Данные 2st'!$JU$2:$JU$317),"")</f>
        <v>0</v>
      </c>
      <c r="PE61" s="7">
        <f>IFERROR(AVERAGEIF('Данные 2st'!$Q$2:$Q$317,$A61,'Данные 2st'!$JV$2:$JV$317),"")</f>
        <v>309</v>
      </c>
      <c r="PF61" s="7">
        <f>IFERROR(AVERAGEIF('Данные 2st'!$Q$2:$Q$317,$A61,'Данные 2st'!$JW$2:$JW$317),"")</f>
        <v>309.5</v>
      </c>
      <c r="PG61" s="7">
        <f>IFERROR(AVERAGEIF('Данные 2st'!$Q$2:$Q$317,$A61,'Данные 2st'!$KF$2:$KF$317),"")</f>
        <v>0.18</v>
      </c>
      <c r="PH61" s="7">
        <f>IFERROR(AVERAGEIF('Данные 2st'!$Q$2:$Q$317,$A61,'Данные 2st'!$KG$2:$KG$317),"")</f>
        <v>0.11</v>
      </c>
      <c r="PI61" s="7">
        <f>IFERROR(AVERAGEIF('Данные 2st'!$Q$2:$Q$317,$A61,'Данные 2st'!$KM$2:$KM$317),"")</f>
        <v>0.5</v>
      </c>
      <c r="PJ61" s="7">
        <f>IFERROR(AVERAGEIF('Данные 2st'!$Q$2:$Q$317,$A61,'Данные 2st'!$KN$2:$KN$317),"")</f>
        <v>1.9</v>
      </c>
      <c r="PK61" s="7">
        <f>IFERROR(AVERAGEIF('Данные 2st'!$Q$2:$Q$317,$A61,'Данные 2st'!$KO$2:$KO$317),"")</f>
        <v>0</v>
      </c>
      <c r="PL61" s="7">
        <f>IFERROR(AVERAGEIF('Данные 2st'!$Q$2:$Q$317,$A61,'Данные 2st'!$KP$2:$KP$317),"")</f>
        <v>0</v>
      </c>
      <c r="PM61" s="7">
        <f>IFERROR(AVERAGEIF('Данные 2st'!$Q$2:$Q$317,$A61,'Данные 2st'!$KQ$2:$KQ$317),"")</f>
        <v>0.85</v>
      </c>
      <c r="PN61" s="7">
        <f>IFERROR(AVERAGEIF('Данные 2st'!$Q$2:$Q$317,$A61,'Данные 2st'!$KR$2:$KR$317),"")</f>
        <v>1</v>
      </c>
      <c r="PO61" s="7">
        <f>IFERROR(AVERAGEIF('Данные 2st'!$Q$2:$Q$317,$A61,'Данные 2st'!$KS$2:$KS$317),"")</f>
        <v>0.2</v>
      </c>
      <c r="PP61" s="7">
        <f>IFERROR(AVERAGEIF('Данные 2st'!$Q$2:$Q$317,$A61,'Данные 2st'!$KT$2:$KT$317),"")</f>
        <v>2.5</v>
      </c>
      <c r="PQ61" s="7">
        <f>IFERROR(AVERAGEIF('Данные 2st'!$Q$2:$Q$317,$A61,'Данные 2st'!$KU$2:$KU$317),"")</f>
        <v>0</v>
      </c>
      <c r="PR61" s="7">
        <f>IFERROR(AVERAGEIF('Данные 2st'!$Q$2:$Q$317,$A61,'Данные 2st'!$KV$2:$KV$317),"")</f>
        <v>0</v>
      </c>
      <c r="PS61" s="7">
        <f>IFERROR(AVERAGEIF('Данные 2st'!$Q$2:$Q$317,$A61,'Данные 2st'!$KW$2:$KW$317),"")</f>
        <v>1</v>
      </c>
      <c r="PT61" s="7">
        <f>IFERROR(AVERAGEIF('Данные 2st'!$Q$2:$Q$317,$A61,'Данные 2st'!$KX$2:$KX$317),"")</f>
        <v>1.5</v>
      </c>
      <c r="PU61" s="7">
        <f>IFERROR(AVERAGEIF('Данные 2st'!$Q$2:$Q$317,$A61,'Данные 2st'!$KY$2:$KY$317),"")</f>
        <v>0</v>
      </c>
      <c r="PV61" s="7">
        <f>IFERROR(AVERAGEIF('Данные 2st'!$Q$2:$Q$317,$A61,'Данные 2st'!$KZ$2:$KZ$317),"")</f>
        <v>0</v>
      </c>
      <c r="PW61" s="7">
        <f>IFERROR(AVERAGEIF('Данные 2st'!$Q$2:$Q$317,$A61,'Данные 2st'!$LA$2:$LA$317),"")</f>
        <v>0</v>
      </c>
      <c r="PX61" s="7">
        <f>IFERROR(AVERAGEIF('Данные 2st'!$Q$2:$Q$317,$A61,'Данные 2st'!$LB$2:$LB$317),"")</f>
        <v>0</v>
      </c>
      <c r="PY61" s="7">
        <f>IFERROR(AVERAGEIF('Данные 2st'!$Q$2:$Q$317,$A61,'Данные 2st'!$LC$2:$LC$317),"")</f>
        <v>0</v>
      </c>
      <c r="PZ61" s="7">
        <f>IFERROR(AVERAGEIF('Данные 2st'!$Q$2:$Q$317,$A61,'Данные 2st'!$LD$2:$LD$317),"")</f>
        <v>0</v>
      </c>
      <c r="QA61" s="7">
        <f>IFERROR(AVERAGEIF('Данные 2st'!$Q$2:$Q$317,$A61,'Данные 2st'!$LE$2:$LE$317),"")</f>
        <v>0</v>
      </c>
      <c r="QB61" s="7">
        <f>IFERROR(AVERAGEIF('Данные 2st'!$Q$2:$Q$317,$A61,'Данные 2st'!$LF$2:$LF$317),"")</f>
        <v>0</v>
      </c>
      <c r="QC61" s="7">
        <f>IFERROR(AVERAGEIF('Данные 2st'!$Q$2:$Q$317,$A61,'Данные 2st'!$LG$2:$LG$317),"")</f>
        <v>0</v>
      </c>
      <c r="QD61" s="7">
        <f>IFERROR(AVERAGEIF('Данные 2st'!$Q$2:$Q$317,$A61,'Данные 2st'!$LH$2:$LH$317),"")</f>
        <v>3</v>
      </c>
      <c r="QE61" s="7">
        <f>IFERROR(AVERAGEIF('Данные 2st'!$Q$2:$Q$317,$A61,'Данные 2st'!$LJ$2:$LJ$317),"")</f>
        <v>0</v>
      </c>
      <c r="QF61" s="7">
        <f>IFERROR(AVERAGEIF('Данные 2st'!$Q$2:$Q$317,$A61,'Данные 2st'!$LK$2:$LK$317),"")</f>
        <v>5.25</v>
      </c>
      <c r="QG61" s="7">
        <f>IFERROR(AVERAGEIF('Данные 2st'!$Q$2:$Q$317,$A61,'Данные 2st'!$LL$2:$LL$317),"")</f>
        <v>5.75</v>
      </c>
      <c r="QH61" s="7">
        <f>IFERROR(AVERAGEIF('Данные 2st'!$Q$2:$Q$317,$A61,'Данные 2st'!$LM$2:$LM$317),"")</f>
        <v>8.25</v>
      </c>
      <c r="QI61" s="7">
        <f>IFERROR(AVERAGEIF('Данные 2st'!$Q$2:$Q$317,$A61,'Данные 2st'!$LN$2:$LN$317),"")</f>
        <v>0.4</v>
      </c>
      <c r="QJ61" s="7">
        <f>IFERROR(AVERAGEIF('Данные 2st'!$Q$2:$Q$317,$A61,'Данные 2st'!$LO$2:$LO$317),"")</f>
        <v>1.8</v>
      </c>
      <c r="QK61" s="7">
        <f>IFERROR(AVERAGEIF('Данные 2st'!$Q$2:$Q$317,$A61,'Данные 2st'!$LP$2:$LP$317),"")</f>
        <v>0</v>
      </c>
      <c r="QL61" s="7">
        <f>IFERROR(AVERAGEIF('Данные 2st'!$Q$2:$Q$317,$A61,'Данные 2st'!$LQ$2:$LQ$317),"")</f>
        <v>0</v>
      </c>
      <c r="QM61" s="7">
        <f>IFERROR(AVERAGEIF('Данные 2st'!$Q$2:$Q$317,$A61,'Данные 2st'!$LW$2:$LW$317),"")</f>
        <v>1.5</v>
      </c>
      <c r="QN61" s="7">
        <f>IFERROR(AVERAGEIF('Данные 2st'!$Q$2:$Q$317,$A61,'Данные 2st'!$LX$2:$LX$317),"")</f>
        <v>1.5</v>
      </c>
      <c r="QO61" s="7">
        <f>IFERROR(AVERAGEIF('Данные 2st'!$Q$2:$Q$317,$A61,'Данные 2st'!$LY$2:$LY$317),"")</f>
        <v>2</v>
      </c>
      <c r="QP61" s="7">
        <f>IFERROR(AVERAGEIF('Данные 2st'!$Q$2:$Q$317,$A61,'Данные 2st'!$LZ$2:$LZ$317),"")</f>
        <v>2</v>
      </c>
      <c r="QQ61" s="7">
        <f>IFERROR(AVERAGEIF('Данные 2st'!$Q$2:$Q$317,$A61,'Данные 2st'!$MB$2:$MB$317),"")</f>
        <v>4</v>
      </c>
      <c r="QR61" s="7">
        <f>IFERROR(AVERAGEIF('Данные 2st'!$Q$2:$Q$317,$A61,'Данные 2st'!$MG$2:$MG$317),"")</f>
        <v/>
      </c>
      <c r="QS61" s="7">
        <f>IFERROR(AVERAGEIF('Данные 2st'!$Q$2:$Q$317,$A61,'Данные 2st'!$MH$2:$MH$317),"")</f>
        <v/>
      </c>
      <c r="QT61" s="7">
        <f>IFERROR(AVERAGEIF('Данные 2st'!$Q$2:$Q$317,$A61,'Данные 2st'!$MI$2:$MI$317),"")</f>
        <v>0</v>
      </c>
      <c r="QU61" s="7">
        <f>IFERROR(AVERAGEIF('Данные 2st'!$Q$2:$Q$317,$A61,'Данные 2st'!$MJ$2:$MJ$317),"")</f>
        <v>0</v>
      </c>
      <c r="QV61" s="7">
        <f>IFERROR(AVERAGEIF('Данные 2st'!$Q$2:$Q$317,$A61,'Данные 2st'!$MK$2:$MK$317),"")</f>
        <v/>
      </c>
      <c r="QW61" s="7">
        <f>IFERROR(AVERAGEIF('Данные 2st'!$Q$2:$Q$317,$A61,'Данные 2st'!$MM$2:$MM$317),"")</f>
        <v>421</v>
      </c>
      <c r="QX61" s="7">
        <f>IFERROR(AVERAGEIF('Данные 2st'!$Q$2:$Q$317,$A61,'Данные 2st'!$MQ$2:$MQ$317),"")</f>
        <v/>
      </c>
      <c r="QY61" s="7">
        <f>IFERROR(AVERAGEIF('Данные 2st'!$Q$2:$Q$317,$A61,'Данные 2st'!$MR$2:$MR$317),"")</f>
        <v/>
      </c>
      <c r="QZ61" s="7">
        <f>IFERROR(AVERAGEIF('Данные 2st'!$Q$2:$Q$317,$A61,'Данные 2st'!$MS$2:$MS$317),"")</f>
        <v/>
      </c>
      <c r="RA61" s="7">
        <f>IFERROR(AVERAGEIF('Данные 2st'!$Q$2:$Q$317,$A61,'Данные 2st'!$MT$2:$MT$317),"")</f>
        <v/>
      </c>
      <c r="RB61" s="7">
        <f>IFERROR(AVERAGEIF('Данные 2st'!$Q$2:$Q$317,$A61,'Данные 2st'!$MU$2:$MU$317),"")</f>
        <v/>
      </c>
      <c r="RC61" s="7">
        <f>IFERROR(AVERAGEIF('Данные 2st'!$Q$2:$Q$317,$A61,'Данные 2st'!$MV$2:$MV$317),"")</f>
        <v/>
      </c>
      <c r="RD61" s="7">
        <f>IFERROR(AVERAGEIF('Данные 2st'!$Q$2:$Q$317,$A61,'Данные 2st'!$MW$2:$MW$317),"")</f>
        <v/>
      </c>
      <c r="RE61" s="7">
        <f>IFERROR(AVERAGEIF('Данные 2st'!$Q$2:$Q$317,$A61,'Данные 2st'!$MX$2:$MX$317),"")</f>
        <v/>
      </c>
      <c r="RF61" s="7">
        <f>IFERROR(AVERAGEIF('Данные 2st'!$Q$2:$Q$317,$A61,'Данные 2st'!$MY$2:$MY$317),"")</f>
        <v/>
      </c>
      <c r="RG61" s="7">
        <f>IFERROR(AVERAGEIF('Данные 2st'!$Q$2:$Q$317,$A61,'Данные 2st'!$MZ$2:$MZ$317),"")</f>
        <v/>
      </c>
      <c r="RH61" s="7">
        <f>IFERROR(AVERAGEIF('Данные 2st'!$Q$2:$Q$317,$A61,'Данные 2st'!$NA$2:$NA$317),"")</f>
        <v/>
      </c>
      <c r="RI61" s="7">
        <f>IFERROR(AVERAGEIF('Данные 2st'!$Q$2:$Q$317,$A61,'Данные 2st'!$NB$2:$NB$317),"")</f>
        <v/>
      </c>
      <c r="RJ61" s="7">
        <f>IFERROR(AVERAGEIF('Данные 2st'!$Q$2:$Q$317,$A61,'Данные 2st'!$NC$2:$NC$317),"")</f>
        <v/>
      </c>
      <c r="RK61" s="7">
        <f>IFERROR(AVERAGEIF('Данные 2st'!$Q$2:$Q$317,$A61,'Данные 2st'!$ND$2:$ND$317),"")</f>
        <v/>
      </c>
      <c r="RL61" s="7">
        <f>IFERROR(AVERAGEIF('Данные 2st'!$Q$2:$Q$317,$A61,'Данные 2st'!$NE$2:$NE$317),"")</f>
        <v/>
      </c>
      <c r="RM61" s="7">
        <f>IFERROR(AVERAGEIF('Данные 2st'!$Q$2:$Q$317,$A61,'Данные 2st'!$NF$2:$NF$317),"")</f>
        <v/>
      </c>
      <c r="RN61" s="7">
        <f>IFERROR(AVERAGEIF('Данные 2st'!$Q$2:$Q$317,$A61,'Данные 2st'!$NG$2:$NG$317),"")</f>
        <v/>
      </c>
      <c r="RO61" s="7">
        <f>IFERROR(AVERAGEIF('Данные 2st'!$Q$2:$Q$317,$A61,'Данные 2st'!$NH$2:$NH$317),"")</f>
        <v/>
      </c>
      <c r="RP61" s="7">
        <f>IFERROR(AVERAGEIF('Данные 2st'!$Q$2:$Q$317,$A61,'Данные 2st'!$NJ$2:$NJ$317),"")</f>
        <v/>
      </c>
      <c r="RQ61" s="7">
        <f>IFERROR(AVERAGEIF('Данные 2st'!$Q$2:$Q$317,$A61,'Данные 2st'!$NK$2:$NK$317),"")</f>
        <v/>
      </c>
      <c r="RR61" s="7">
        <f>IFERROR(AVERAGEIF('Данные 2st'!$Q$2:$Q$317,$A61,'Данные 2st'!$NM$2:$NM$317),"")</f>
        <v/>
      </c>
      <c r="RS61" s="7">
        <f>IFERROR(AVERAGEIF('Данные 2st'!$Q$2:$Q$317,$A61,'Данные 2st'!$NN$2:$NN$317),"")</f>
        <v/>
      </c>
      <c r="RT61" s="7">
        <f>IFERROR(AVERAGEIF('Данные 2st'!$Q$2:$Q$317,$A61,'Данные 2st'!$NO$2:$NO$317),"")</f>
        <v/>
      </c>
      <c r="RU61" s="7">
        <f>IFERROR(AVERAGEIF('Данные 2st'!$Q$2:$Q$317,$A61,'Данные 2st'!$NP$2:$NP$317),"")</f>
        <v/>
      </c>
      <c r="RV61" s="7">
        <f>IFERROR(AVERAGEIF('Данные 2st'!$Q$2:$Q$317,$A61,'Данные 2st'!$NQ$2:$NQ$317),"")</f>
        <v/>
      </c>
      <c r="RW61" s="7">
        <f>IFERROR(AVERAGEIF('Данные 2st'!$Q$2:$Q$317,$A61,'Данные 2st'!$NR$2:$NR$317),"")</f>
        <v/>
      </c>
      <c r="RX61" s="7">
        <f>IFERROR(AVERAGEIF('Данные 2st'!$Q$2:$Q$317,$A61,'Данные 2st'!$NS$2:$NS$317),"")</f>
        <v/>
      </c>
      <c r="RY61" s="7">
        <f>IFERROR(AVERAGEIF('Данные 2st'!$Q$2:$Q$317,$A61,'Данные 2st'!$NT$2:$NT$317),"")</f>
        <v/>
      </c>
      <c r="RZ61" s="7">
        <f>IFERROR(AVERAGEIF('Данные 2st'!$Q$2:$Q$317,$A61,'Данные 2st'!$OK$2:$OK$317),"")</f>
        <v>61</v>
      </c>
      <c r="SA61" s="7">
        <f>IFERROR(AVERAGEIF('Данные 2st'!$Q$2:$Q$317,$A61,'Данные 2st'!$OL$2:$OL$317),"")</f>
        <v>61</v>
      </c>
      <c r="SB61" s="7">
        <f>IFERROR(AVERAGEIF('Данные 2st'!$Q$2:$Q$317,$A61,'Данные 2st'!$ON$2:$ON$317),"")</f>
        <v>1</v>
      </c>
      <c r="SC61" s="7">
        <f>IFERROR(AVERAGEIF('Данные 2st'!$Q$2:$Q$317,$A61,'Данные 2st'!$OO$2:$OO$317),"")</f>
        <v>2053</v>
      </c>
      <c r="SD61" s="7">
        <f>IFERROR(AVERAGEIF('Данные 2st'!$Q$2:$Q$317,$A61,'Данные 2st'!$OP$2:$OP$317),"")</f>
        <v>61</v>
      </c>
      <c r="SE61" s="7">
        <f>IFERROR(AVERAGEIF('Данные 2st'!$Q$2:$Q$317,$A61,'Данные 2st'!$OQ$2:$OQ$317),"")</f>
        <v>61</v>
      </c>
      <c r="SF61" s="7">
        <f>IFERROR(AVERAGEIF('Данные 2st'!$Q$2:$Q$317,$A61,'Данные 2st'!$OS$2:$OS$317),"")</f>
        <v>1</v>
      </c>
      <c r="SG61" s="7">
        <f>IFERROR(AVERAGEIF('Данные 2st'!$Q$2:$Q$317,$A61,'Данные 2st'!$OT$2:$OT$317),"")</f>
        <v>2065</v>
      </c>
      <c r="SH61" s="7">
        <f>IFERROR(AVERAGEIF('Данные 2st'!$Q$2:$Q$317,$A61,'Данные 2st'!$OU$2:$OU$317),"")</f>
        <v>65</v>
      </c>
      <c r="SI61" s="7">
        <f>IFERROR(AVERAGEIF('Данные 2st'!$Q$2:$Q$317,$A61,'Данные 2st'!$OV$2:$OV$317),"")</f>
        <v>65</v>
      </c>
      <c r="SJ61" s="7">
        <f>IFERROR(AVERAGEIF('Данные 2st'!$Q$2:$Q$317,$A61,'Данные 2st'!$OX$2:$OX$317),"")</f>
        <v>1.5</v>
      </c>
      <c r="SK61" s="7">
        <f>IFERROR(AVERAGEIF('Данные 2st'!$Q$2:$Q$317,$A61,'Данные 2st'!$OY$2:$OY$317),"")</f>
        <v>44687.5</v>
      </c>
      <c r="SL61" s="7">
        <f>IFERROR(AVERAGEIF('Данные 2st'!$Q$2:$Q$317,$A61,'Данные 2st'!$OZ$2:$OZ$317),"")</f>
        <v>51</v>
      </c>
      <c r="SM61" s="7">
        <f>IFERROR(AVERAGEIF('Данные 2st'!$Q$2:$Q$317,$A61,'Данные 2st'!$PA$2:$PA$317),"")</f>
        <v>52</v>
      </c>
      <c r="SN61" s="7">
        <f>IFERROR(AVERAGEIF('Данные 2st'!$Q$2:$Q$317,$A61,'Данные 2st'!$PC$2:$PC$317),"")</f>
        <v>2</v>
      </c>
      <c r="SO61" s="7">
        <f>IFERROR(AVERAGEIF('Данные 2st'!$Q$2:$Q$317,$A61,'Данные 2st'!$PD$2:$PD$317),"")</f>
        <v>2098.5</v>
      </c>
      <c r="SP61" s="7">
        <f>IFERROR(AVERAGEIF('Данные 2st'!$Q$2:$Q$317,$A61,'Данные 2st'!$PF$2:$PF$317),"")</f>
        <v>476</v>
      </c>
      <c r="SQ61" s="7">
        <f>IFERROR(AVERAGEIF('Данные 2st'!$Q$2:$Q$317,$A61,'Данные 2st'!$PG$2:$PG$317),"")</f>
        <v>35</v>
      </c>
      <c r="SR61" s="7">
        <f>IFERROR(AVERAGEIF('Данные 2st'!$Q$2:$Q$317,$A61,'Данные 2st'!$PH$2:$PH$317),"")</f>
        <v>454</v>
      </c>
      <c r="SS61" s="7">
        <f>IFERROR(AVERAGEIF('Данные 2st'!$Q$2:$Q$317,$A61,'Данные 2st'!$PI$2:$PI$317),"")</f>
        <v>0</v>
      </c>
      <c r="ST61" s="7">
        <f>IFERROR(AVERAGEIF('Данные 2st'!$Q$2:$Q$317,$A61,'Данные 2st'!$PJ$2:$PJ$317),"")</f>
        <v>89.45</v>
      </c>
      <c r="SU61" s="7">
        <f>IFERROR(AVERAGEIF('Данные 2st'!$Q$2:$Q$317,$A61,'Данные 2st'!$PK$2:$PK$317),"")</f>
        <v>2600.5</v>
      </c>
      <c r="SV61" s="7">
        <f>IFERROR(AVERAGEIF('Данные 2st'!$Q$2:$Q$317,$A61,'Данные 2st'!$PL$2:$PL$317),"")</f>
        <v>1189.0</v>
      </c>
      <c r="SW61" s="7">
        <f>IFERROR(AVERAGEIF('Данные 2st'!$Q$2:$Q$317,$A61,'Данные 2st'!$PM$2:$PM$317),"")</f>
        <v>1201.25</v>
      </c>
      <c r="SX61" s="7">
        <f>IFERROR(AVERAGEIF('Данные 2st'!$Q$2:$Q$317,$A61,'Данные 2st'!$PN$2:$PN$317),"")</f>
        <v>107.69999999999999</v>
      </c>
      <c r="SY61" s="7">
        <f>IFERROR(AVERAGEIF('Данные 2st'!$Q$2:$Q$317,$A61,'Данные 2st'!$PO$2:$PO$317),"")</f>
        <v>10.5</v>
      </c>
      <c r="SZ61" s="7">
        <f>IFERROR(AVERAGEIF('Данные 2st'!$Q$2:$Q$317,$A61,'Данные 2st'!$PP$2:$PP$317),"")</f>
        <v>12</v>
      </c>
      <c r="TA61" s="7">
        <f>IFERROR(AVERAGEIF('Данные 2st'!$Q$2:$Q$317,$A61,'Данные 2st'!$PQ$2:$PQ$317),"")</f>
        <v>3</v>
      </c>
      <c r="TB61" s="7">
        <f>IFERROR(AVERAGEIF('Данные 2st'!$Q$2:$Q$317,$A61,'Данные 2st'!$PR$2:$PR$317),"")</f>
        <v>3</v>
      </c>
      <c r="TC61" s="7">
        <f>IFERROR(AVERAGEIF('Данные 2st'!$Q$2:$Q$317,$A61,'Данные 2st'!$PS$2:$PS$317),"")</f>
        <v>0</v>
      </c>
      <c r="TD61" s="7">
        <f>IFERROR(AVERAGEIF('Данные 2st'!$Q$2:$Q$317,$A61,'Данные 2st'!$PT$2:$PT$317),"")</f>
        <v>258</v>
      </c>
      <c r="TE61" s="7">
        <f>IFERROR(AVERAGEIF('Данные 2st'!$Q$2:$Q$317,$A61,'Данные 2st'!$PU$2:$PU$317),"")</f>
        <v>10</v>
      </c>
      <c r="TF61" s="7">
        <f>IFERROR(AVERAGEIF('Данные 2st'!$Q$2:$Q$317,$A61,'Данные 2st'!$PX$2:$PX$317),"")</f>
        <v>0</v>
      </c>
      <c r="TG61" s="7">
        <f>IFERROR(AVERAGEIF('Данные 2st'!$Q$2:$Q$317,$A61,'Данные 2st'!$PY$2:$PY$317),"")</f>
        <v>0</v>
      </c>
      <c r="TH61" s="7">
        <f>IFERROR(AVERAGEIF('Данные 2st'!$Q$2:$Q$317,$A61,'Данные 2st'!$PZ$2:$PZ$317),"")</f>
        <v>0</v>
      </c>
      <c r="TI61" s="7">
        <f>IFERROR(AVERAGEIF('Данные 2st'!$Q$2:$Q$317,$A61,'Данные 2st'!$QA$2:$QA$317),"")</f>
        <v>0</v>
      </c>
      <c r="TJ61" s="7">
        <f>IFERROR(AVERAGEIF('Данные 2st'!$Q$2:$Q$317,$A61,'Данные 2st'!$QB$2:$QB$317),"")</f>
        <v>0</v>
      </c>
      <c r="TK61" s="7">
        <f>IFERROR(AVERAGEIF('Данные 2st'!$Q$2:$Q$317,$A61,'Данные 2st'!$QC$2:$QC$317),"")</f>
        <v>0</v>
      </c>
      <c r="TL61" s="7">
        <f>IFERROR(AVERAGEIF('Данные 2st'!$Q$2:$Q$317,$A61,'Данные 2st'!$QD$2:$QD$317),"")</f>
        <v>0</v>
      </c>
      <c r="TM61" s="7">
        <f>IFERROR(AVERAGEIF('Данные 2st'!$Q$2:$Q$317,$A61,'Данные 2st'!$QE$2:$QE$317),"")</f>
        <v>-1</v>
      </c>
      <c r="TN61" s="7">
        <f>IFERROR(AVERAGEIF('Данные 2st'!$Q$2:$Q$317,$A61,'Данные 2st'!$QF$2:$QF$317),"")</f>
        <v>1</v>
      </c>
      <c r="TO61" s="7">
        <f>IFERROR(AVERAGEIF('Данные 2st'!$Q$2:$Q$317,$A61,'Данные 2st'!$QG$2:$QG$317),"")</f>
        <v>0</v>
      </c>
      <c r="TP61" s="7">
        <f>IFERROR(AVERAGEIF('Данные 2st'!$Q$2:$Q$317,$A61,'Данные 2st'!$QH$2:$QH$317),"")</f>
        <v>5</v>
      </c>
      <c r="TQ61" s="7">
        <f>IFERROR(AVERAGEIF('Данные 2st'!$Q$2:$Q$317,$A61,'Данные 2st'!$QI$2:$QI$317),"")</f>
        <v>5</v>
      </c>
      <c r="TR61" s="7">
        <f>IFERROR(AVERAGEIF('Данные 2st'!$Q$2:$Q$317,$A61,'Данные 2st'!$QJ$2:$QJ$317),"")</f>
        <v>5</v>
      </c>
      <c r="TS61" s="7">
        <f>IFERROR(AVERAGEIF('Данные 2st'!$Q$2:$Q$317,$A61,'Данные 2st'!$QK$2:$QK$317),"")</f>
        <v>196</v>
      </c>
      <c r="TT61" s="7">
        <f>IFERROR(AVERAGEIF('Данные 2st'!$Q$2:$Q$317,$A61,'Данные 2st'!$QL$2:$QL$317),"")</f>
        <v>436</v>
      </c>
      <c r="TU61" s="7">
        <f>IFERROR(AVERAGEIF('Данные 2st'!$Q$2:$Q$317,$A61,'Данные 2st'!$QM$2:$QM$317),"")</f>
        <v>7.5</v>
      </c>
      <c r="TV61" s="7">
        <f>IFERROR(AVERAGEIF('Данные 2st'!$Q$2:$Q$317,$A61,'Данные 2st'!$QN$2:$QN$317),"")</f>
        <v>1463.5</v>
      </c>
      <c r="TW61" s="7">
        <f>IFERROR(AVERAGEIF('Данные 2st'!$Q$2:$Q$317,$A61,'Данные 2st'!$QQ$2:$QQ$317),"")</f>
        <v>0</v>
      </c>
      <c r="TX61" s="7">
        <f>IFERROR(AVERAGEIF('Данные 2st'!$Q$2:$Q$317,$A61,'Данные 2st'!$QS$2:$QS$317),"")</f>
        <v>30</v>
      </c>
      <c r="TY61" s="7">
        <f>IFERROR(AVERAGEIF('Данные 2st'!$Q$2:$Q$317,$A61,'Данные 2st'!$QT$2:$QT$317),"")</f>
        <v>40</v>
      </c>
    </row>
    <row r="62" spans="1:545" ht="32" customHeight="1">
      <c r="A62" s="11" t="s">
        <v>2934</v>
      </c>
      <c r="B62">
        <f>COUNTIF('Данные 1st'!$S$2:$S$317,$A62)</f>
        <v>1</v>
      </c>
      <c r="C62" s="6" t="s">
        <v>2657</v>
      </c>
      <c r="D62" s="6" t="s">
        <v>513</v>
      </c>
      <c r="E62" s="6" t="s">
        <v>517</v>
      </c>
      <c r="F62" s="6" t="s">
        <v>2931</v>
      </c>
      <c r="G62" s="7">
        <f>IFERROR(AVERAGEIF('Данные 1st'!$S$2:$S$317,$A62,'Данные 1st'!$AE$2:$AE$317),"")</f>
        <v>217</v>
      </c>
      <c r="H62" s="7">
        <f>IFERROR(AVERAGEIF('Данные 1st'!$S$2:$S$317,$A62,'Данные 1st'!$AF$2:$AF$317),"")</f>
        <v>1.5</v>
      </c>
      <c r="I62" s="7">
        <f>IFERROR(AVERAGEIF('Данные 1st'!$S$2:$S$317,$A62,'Данные 1st'!$AJ$2:$AJ$317),"")</f>
        <v>200</v>
      </c>
      <c r="J62" s="7">
        <f>IFERROR(AVERAGEIF('Данные 1st'!$S$2:$S$317,$A62,'Данные 1st'!$AL$2:$AL$317),"")</f>
        <v>1.5</v>
      </c>
      <c r="K62" s="7">
        <f>IFERROR(AVERAGEIF('Данные 1st'!$S$2:$S$317,$A62,'Данные 1st'!$AR$2:$AR$317),"")</f>
        <v>237</v>
      </c>
      <c r="L62" s="7">
        <f>IFERROR(AVERAGEIF('Данные 1st'!$S$2:$S$317,$A62,'Данные 1st'!$AS$2:$AS$317),"")</f>
        <v>1.5</v>
      </c>
      <c r="M62" s="7">
        <f>IFERROR(AVERAGEIF('Данные 1st'!$S$2:$S$317,$A62,'Данные 1st'!$AY$2:$AY$317),"")</f>
        <v>282.5</v>
      </c>
      <c r="N62" s="7">
        <f>IFERROR(AVERAGEIF('Данные 1st'!$S$2:$S$317,$A62,'Данные 1st'!$AZ$2:$AZ$317),"")</f>
        <v>1.5</v>
      </c>
      <c r="O62" s="7">
        <f>IFERROR(AVERAGEIF('Данные 1st'!$S$2:$S$317,$A62,'Данные 1st'!$BF$2:$BF$317),"")</f>
        <v>240</v>
      </c>
      <c r="P62" s="7">
        <f>IFERROR(AVERAGEIF('Данные 1st'!$S$2:$S$317,$A62,'Данные 1st'!$BG$2:$BG$317),"")</f>
        <v>1.5</v>
      </c>
      <c r="Q62" s="7">
        <f>IFERROR(AVERAGEIF('Данные 1st'!$S$2:$S$317,$A62,'Данные 1st'!$BM$2:$BM$317),"")</f>
        <v/>
      </c>
      <c r="R62" s="7">
        <f>IFERROR(AVERAGEIF('Данные 1st'!$S$2:$S$317,$A62,'Данные 1st'!$BN$2:$BN$317),"")</f>
        <v>1.5</v>
      </c>
      <c r="S62" s="7">
        <f>IFERROR(AVERAGEIF('Данные 1st'!$S$2:$S$317,$A62,'Данные 1st'!$BT$2:$BT$317),"")</f>
        <v>217</v>
      </c>
      <c r="T62" s="7">
        <f>IFERROR(AVERAGEIF('Данные 1st'!$S$2:$S$317,$A62,'Данные 1st'!$BU$2:$BU$317),"")</f>
        <v>0.5</v>
      </c>
      <c r="U62" s="7">
        <f>IFERROR(AVERAGEIF('Данные 1st'!$S$2:$S$317,$A62,'Данные 1st'!$BW$2:$BW$317),"")</f>
        <v>434</v>
      </c>
      <c r="V62" s="7">
        <f>IFERROR(AVERAGEIF('Данные 1st'!$S$2:$S$317,$A62,'Данные 1st'!$BX$2:$BX$317),"")</f>
        <v>1</v>
      </c>
      <c r="W62" s="7">
        <f>IFERROR(AVERAGEIF('Данные 1st'!$S$2:$S$317,$A62,'Данные 1st'!$BZ$2:$BZ$317),"")</f>
        <v>300</v>
      </c>
      <c r="X62" s="7">
        <f>IFERROR(AVERAGEIF('Данные 1st'!$S$2:$S$317,$A62,'Данные 1st'!$CA$2:$CA$317),"")</f>
        <v>500</v>
      </c>
      <c r="Y62" s="7">
        <f>IFERROR(AVERAGEIF('Данные 1st'!$S$2:$S$317,$A62,'Данные 1st'!$CD$2:$CD$317),"")</f>
        <v>454</v>
      </c>
      <c r="Z62" s="7">
        <f>IFERROR(AVERAGEIF('Данные 1st'!$S$2:$S$317,$A62,'Данные 1st'!$CF$2:$CF$317),"")</f>
        <v>15</v>
      </c>
      <c r="AA62" s="7">
        <f>IFERROR(AVERAGEIF('Данные 1st'!$S$2:$S$317,$A62,'Данные 1st'!$CI$2:$CI$317),"")</f>
        <v>100</v>
      </c>
      <c r="AB62" s="7">
        <f>IFERROR(AVERAGEIF('Данные 1st'!$S$2:$S$317,$A62,'Данные 1st'!$CJ$2:$CJ$317),"")</f>
        <v>1458</v>
      </c>
      <c r="AC62" s="7">
        <f>IFERROR(AVERAGEIF('Данные 1st'!$S$2:$S$317,$A62,'Данные 1st'!$CK$2:$CK$317),"")</f>
        <v>2</v>
      </c>
      <c r="AD62" s="7">
        <f>IFERROR(AVERAGEIF('Данные 1st'!$S$2:$S$317,$A62,'Данные 1st'!$CL$2:$CL$317),"")</f>
        <v>1552</v>
      </c>
      <c r="AE62" s="7">
        <f>IFERROR(AVERAGEIF('Данные 1st'!$S$2:$S$317,$A62,'Данные 1st'!$CM$2:$CM$317),"")</f>
        <v>2</v>
      </c>
      <c r="AF62" s="7">
        <f>IFERROR(AVERAGEIF('Данные 1st'!$S$2:$S$317,$A62,'Данные 1st'!$CT$2:$CT$317),"")</f>
        <v>400</v>
      </c>
      <c r="AG62" s="7">
        <f>IFERROR(AVERAGEIF('Данные 1st'!$S$2:$S$317,$A62,'Данные 1st'!$CU$2:$CU$317),"")</f>
        <v>5</v>
      </c>
      <c r="AH62" s="7">
        <f>IFERROR(AVERAGEIF('Данные 1st'!$S$2:$S$317,$A62,'Данные 1st'!$CV$2:$CV$317),"")</f>
        <v>1.2</v>
      </c>
      <c r="AI62" s="7">
        <f>IFERROR(AVERAGEIF('Данные 1st'!$S$2:$S$317,$A62,'Данные 1st'!$CW$2:$CW$317),"")</f>
        <v>1475</v>
      </c>
      <c r="AJ62" s="7">
        <f>IFERROR(AVERAGEIF('Данные 1st'!$S$2:$S$317,$A62,'Данные 1st'!$CX$2:$CX$317),"")</f>
        <v>836</v>
      </c>
      <c r="AK62" s="7">
        <f>IFERROR(AVERAGEIF('Данные 1st'!$S$2:$S$317,$A62,'Данные 1st'!$CZ$2:$CZ$317),"")</f>
        <v>50</v>
      </c>
      <c r="AL62" s="7">
        <f>IFERROR(AVERAGEIF('Данные 1st'!$S$2:$S$317,$A62,'Данные 1st'!$DA$2:$DA$317),"")</f>
        <v>3</v>
      </c>
      <c r="AM62" s="7">
        <f>IFERROR(AVERAGEIF('Данные 1st'!$S$2:$S$317,$A62,'Данные 1st'!$DB$2:$DB$317),"")</f>
        <v>1</v>
      </c>
      <c r="AN62" s="7">
        <f>IFERROR(AVERAGEIF('Данные 1st'!$S$2:$S$317,$A62,'Данные 1st'!$DC$2:$DC$317),"")</f>
        <v>1475</v>
      </c>
      <c r="AO62" s="7">
        <f>IFERROR(AVERAGEIF('Данные 1st'!$S$2:$S$317,$A62,'Данные 1st'!$DD$2:$DD$317),"")</f>
        <v>77</v>
      </c>
      <c r="AP62" s="7">
        <f>IFERROR(AVERAGEIF('Данные 1st'!$S$2:$S$317,$A62,'Данные 1st'!$DF$2:$DF$317),"")</f>
        <v>565</v>
      </c>
      <c r="AQ62" s="7">
        <f>IFERROR(AVERAGEIF('Данные 1st'!$S$2:$S$317,$A62,'Данные 1st'!$DG$2:$DG$317),"")</f>
        <v>3</v>
      </c>
      <c r="AR62" s="7">
        <f>IFERROR(AVERAGEIF('Данные 1st'!$S$2:$S$317,$A62,'Данные 1st'!$DH$2:$DH$317),"")</f>
        <v>0.88</v>
      </c>
      <c r="AS62" s="7">
        <f>IFERROR(AVERAGEIF('Данные 1st'!$S$2:$S$317,$A62,'Данные 1st'!$DI$2:$DI$317),"")</f>
        <v>1467</v>
      </c>
      <c r="AT62" s="7">
        <f>IFERROR(AVERAGEIF('Данные 1st'!$S$2:$S$317,$A62,'Данные 1st'!$DJ$2:$DJ$317),"")</f>
        <v>978</v>
      </c>
      <c r="AU62" s="7">
        <f>IFERROR(AVERAGEIF('Данные 1st'!$S$2:$S$317,$A62,'Данные 1st'!$DL$2:$DL$317),"")</f>
        <v>480</v>
      </c>
      <c r="AV62" s="7">
        <f>IFERROR(AVERAGEIF('Данные 1st'!$S$2:$S$317,$A62,'Данные 1st'!$DM$2:$DM$317),"")</f>
        <v>3</v>
      </c>
      <c r="AW62" s="7">
        <f>IFERROR(AVERAGEIF('Данные 1st'!$S$2:$S$317,$A62,'Данные 1st'!$DN$2:$DN$317),"")</f>
        <v>0.88</v>
      </c>
      <c r="AX62" s="7">
        <f>IFERROR(AVERAGEIF('Данные 1st'!$S$2:$S$317,$A62,'Данные 1st'!$DO$2:$DO$317),"")</f>
        <v>1472</v>
      </c>
      <c r="AY62" s="7">
        <f>IFERROR(AVERAGEIF('Данные 1st'!$S$2:$S$317,$A62,'Данные 1st'!$DP$2:$DP$317),"")</f>
        <v>736</v>
      </c>
      <c r="AZ62" s="7">
        <f>IFERROR(AVERAGEIF('Данные 1st'!$S$2:$S$317,$A62,'Данные 1st'!$DR$2:$DR$317),"")</f>
        <v/>
      </c>
      <c r="BA62" s="7">
        <f>IFERROR(AVERAGEIF('Данные 1st'!$S$2:$S$317,$A62,'Данные 1st'!$DS$2:$DS$317),"")</f>
        <v/>
      </c>
      <c r="BB62" s="7">
        <f>IFERROR(AVERAGEIF('Данные 1st'!$S$2:$S$317,$A62,'Данные 1st'!$DT$2:$DT$317),"")</f>
        <v/>
      </c>
      <c r="BC62" s="7">
        <f>IFERROR(AVERAGEIF('Данные 1st'!$S$2:$S$317,$A62,'Данные 1st'!$DU$2:$DU$317),"")</f>
        <v/>
      </c>
      <c r="BD62" s="7">
        <f>IFERROR(AVERAGEIF('Данные 1st'!$S$2:$S$317,$A62,'Данные 1st'!$DV$2:$DV$317),"")</f>
        <v/>
      </c>
      <c r="BE62" s="7">
        <f>IFERROR(AVERAGEIF('Данные 1st'!$S$2:$S$317,$A62,'Данные 1st'!$DX$2:$DX$317),"")</f>
        <v>7.5</v>
      </c>
      <c r="BF62" s="7">
        <f>IFERROR(AVERAGEIF('Данные 1st'!$S$2:$S$317,$A62,'Данные 1st'!$EA$2:$EA$317),"")</f>
        <v>1544.1</v>
      </c>
      <c r="BG62" s="7">
        <f>IFERROR(AVERAGEIF('Данные 1st'!$S$2:$S$317,$A62,'Данные 1st'!$EB$2:$EB$317),"")</f>
        <v>273</v>
      </c>
      <c r="BH62" s="7">
        <f>IFERROR(AVERAGEIF('Данные 1st'!$S$2:$S$317,$A62,'Данные 1st'!$ED$2:$ED$317),"")</f>
        <v>30</v>
      </c>
      <c r="BI62" s="7">
        <f>IFERROR(AVERAGEIF('Данные 1st'!$S$2:$S$317,$A62,'Данные 1st'!$EE$2:$EE$317),"")</f>
        <v>3</v>
      </c>
      <c r="BJ62" s="7">
        <f>IFERROR(AVERAGEIF('Данные 1st'!$S$2:$S$317,$A62,'Данные 1st'!$EG$2:$EG$317),"")</f>
        <v>1585</v>
      </c>
      <c r="BK62" s="7">
        <f>IFERROR(AVERAGEIF('Данные 1st'!$S$2:$S$317,$A62,'Данные 1st'!$EH$2:$EH$317),"")</f>
        <v>187</v>
      </c>
      <c r="BL62" s="7">
        <f>IFERROR(AVERAGEIF('Данные 1st'!$S$2:$S$317,$A62,'Данные 1st'!$EJ$2:$EJ$317),"")</f>
        <v>0</v>
      </c>
      <c r="BM62" s="7">
        <f>IFERROR(AVERAGEIF('Данные 1st'!$S$2:$S$317,$A62,'Данные 1st'!$EK$2:$EK$317),"")</f>
        <v>1</v>
      </c>
      <c r="BN62" s="7">
        <f>IFERROR(AVERAGEIF('Данные 1st'!$S$2:$S$317,$A62,'Данные 1st'!$EN$2:$EN$317),"")</f>
        <v>0</v>
      </c>
      <c r="BO62" s="7">
        <f>IFERROR(AVERAGEIF('Данные 1st'!$S$2:$S$317,$A62,'Данные 1st'!$EQ$2:$EQ$317),"")</f>
        <v>105</v>
      </c>
      <c r="BP62" s="7">
        <f>IFERROR(AVERAGEIF('Данные 1st'!$S$2:$S$317,$A62,'Данные 1st'!$ER$2:$ER$317),"")</f>
        <v>3</v>
      </c>
      <c r="BQ62" s="7">
        <f>IFERROR(AVERAGEIF('Данные 1st'!$S$2:$S$317,$A62,'Данные 1st'!$ES$2:$ES$317),"")</f>
        <v>5.5</v>
      </c>
      <c r="BR62" s="7">
        <f>IFERROR(AVERAGEIF('Данные 1st'!$S$2:$S$317,$A62,'Данные 1st'!$ET$2:$ET$317),"")</f>
        <v>1454</v>
      </c>
      <c r="BS62" s="7">
        <f>IFERROR(AVERAGEIF('Данные 1st'!$S$2:$S$317,$A62,'Данные 1st'!$EU$2:$EU$317),"")</f>
        <v>478.4</v>
      </c>
      <c r="BT62" s="7">
        <f>IFERROR(AVERAGEIF('Данные 1st'!$S$2:$S$317,$A62,'Данные 1st'!$EV$2:$EV$317),"")</f>
        <v>696</v>
      </c>
      <c r="BU62" s="7">
        <f>IFERROR(AVERAGEIF('Данные 1st'!$S$2:$S$317,$A62,'Данные 1st'!$EX$2:$EX$317),"")</f>
        <v>45</v>
      </c>
      <c r="BV62" s="7">
        <f>IFERROR(AVERAGEIF('Данные 1st'!$S$2:$S$317,$A62,'Данные 1st'!$EY$2:$EY$317),"")</f>
        <v>2</v>
      </c>
      <c r="BW62" s="7">
        <f>IFERROR(AVERAGEIF('Данные 1st'!$S$2:$S$317,$A62,'Данные 1st'!$EZ$2:$EZ$317),"")</f>
        <v>4.5</v>
      </c>
      <c r="BX62" s="7">
        <f>IFERROR(AVERAGEIF('Данные 1st'!$S$2:$S$317,$A62,'Данные 1st'!$FA$2:$FA$317),"")</f>
        <v>1454</v>
      </c>
      <c r="BY62" s="7">
        <f>IFERROR(AVERAGEIF('Данные 1st'!$S$2:$S$317,$A62,'Данные 1st'!$FB$2:$FB$317),"")</f>
        <v>138.3</v>
      </c>
      <c r="BZ62" s="7">
        <f>IFERROR(AVERAGEIF('Данные 1st'!$S$2:$S$317,$A62,'Данные 1st'!$FC$2:$FC$317),"")</f>
        <v>201</v>
      </c>
      <c r="CA62" s="7">
        <f>IFERROR(AVERAGEIF('Данные 1st'!$S$2:$S$317,$A62,'Данные 1st'!$FE$2:$FE$317),"")</f>
        <v>0</v>
      </c>
      <c r="CB62" s="7">
        <f>IFERROR(AVERAGEIF('Данные 1st'!$S$2:$S$317,$A62,'Данные 1st'!$FF$2:$FF$317),"")</f>
        <v>2</v>
      </c>
      <c r="CC62" s="7">
        <f>IFERROR(AVERAGEIF('Данные 1st'!$S$2:$S$317,$A62,'Данные 1st'!$FI$2:$FI$317),"")</f>
        <v>0</v>
      </c>
      <c r="CD62" s="7">
        <f>IFERROR(AVERAGEIF('Данные 1st'!$S$2:$S$317,$A62,'Данные 1st'!$FL$2:$FL$317),"")</f>
        <v>0.4</v>
      </c>
      <c r="CE62" s="7">
        <f>IFERROR(AVERAGEIF('Данные 1st'!$S$2:$S$317,$A62,'Данные 1st'!$FM$2:$FM$317),"")</f>
        <v>45</v>
      </c>
      <c r="CF62" s="7">
        <f>IFERROR(AVERAGEIF('Данные 1st'!$S$2:$S$317,$A62,'Данные 1st'!$FN$2:$FN$317),"")</f>
        <v>370</v>
      </c>
      <c r="CG62" s="7">
        <f>IFERROR(AVERAGEIF('Данные 1st'!$S$2:$S$317,$A62,'Данные 1st'!$FO$2:$FO$317),"")</f>
        <v>80</v>
      </c>
      <c r="CH62" s="7">
        <f>IFERROR(AVERAGEIF('Данные 1st'!$S$2:$S$317,$A62,'Данные 1st'!$FP$2:$FP$317),"")</f>
        <v>160</v>
      </c>
      <c r="CI62" s="7">
        <f>IFERROR(AVERAGEIF('Данные 1st'!$S$2:$S$317,$A62,'Данные 1st'!$FS$2:$FS$317),"")</f>
        <v/>
      </c>
      <c r="CJ62" s="7">
        <f>IFERROR(AVERAGEIF('Данные 1st'!$S$2:$S$317,$A62,'Данные 1st'!$FT$2:$FT$317),"")</f>
        <v/>
      </c>
      <c r="CK62" s="7">
        <f>IFERROR(AVERAGEIF('Данные 1st'!$S$2:$S$317,$A62,'Данные 1st'!$FU$2:$FU$317),"")</f>
        <v/>
      </c>
      <c r="CL62" s="7">
        <f>IFERROR(AVERAGEIF('Данные 1st'!$S$2:$S$317,$A62,'Данные 1st'!$FV$2:$FV$317),"")</f>
        <v/>
      </c>
      <c r="CM62" s="7">
        <f>IFERROR(AVERAGEIF('Данные 1st'!$S$2:$S$317,$A62,'Данные 1st'!$FW$2:$FW$317),"")</f>
        <v/>
      </c>
      <c r="CN62" s="7">
        <f>IFERROR(AVERAGEIF('Данные 1st'!$S$2:$S$317,$A62,'Данные 1st'!$FZ$2:$FZ$317),"")</f>
        <v/>
      </c>
      <c r="CO62" s="7">
        <f>IFERROR(AVERAGEIF('Данные 1st'!$S$2:$S$317,$A62,'Данные 1st'!$GA$2:$GA$317),"")</f>
        <v/>
      </c>
      <c r="CP62" s="7">
        <f>IFERROR(AVERAGEIF('Данные 1st'!$S$2:$S$317,$A62,'Данные 1st'!$GB$2:$GB$317),"")</f>
        <v/>
      </c>
      <c r="CQ62" s="7">
        <f>IFERROR(AVERAGEIF('Данные 1st'!$S$2:$S$317,$A62,'Данные 1st'!$GH$2:$GH$317),"")</f>
        <v/>
      </c>
      <c r="CR62" s="7">
        <f>IFERROR(AVERAGEIF('Данные 1st'!$S$2:$S$317,$A62,'Данные 1st'!$GI$2:$GI$317),"")</f>
        <v/>
      </c>
      <c r="CS62" s="7">
        <f>IFERROR(AVERAGEIF('Данные 1st'!$S$2:$S$317,$A62,'Данные 1st'!$GJ$2:$GJ$317),"")</f>
        <v/>
      </c>
      <c r="CT62" s="7">
        <f>IFERROR(AVERAGEIF('Данные 1st'!$S$2:$S$317,$A62,'Данные 1st'!$GS$2:$GS$317),"")</f>
        <v>0.4</v>
      </c>
      <c r="CU62" s="7">
        <f>IFERROR(AVERAGEIF('Данные 1st'!$S$2:$S$317,$A62,'Данные 1st'!$GT$2:$GT$317),"")</f>
        <v>30</v>
      </c>
      <c r="CV62" s="7">
        <f>IFERROR(AVERAGEIF('Данные 1st'!$S$2:$S$317,$A62,'Данные 1st'!$GU$2:$GU$317),"")</f>
        <v>280</v>
      </c>
      <c r="CW62" s="7">
        <f>IFERROR(AVERAGEIF('Данные 1st'!$S$2:$S$317,$A62,'Данные 1st'!$GV$2:$GV$317),"")</f>
        <v/>
      </c>
      <c r="CX62" s="7">
        <f>IFERROR(AVERAGEIF('Данные 1st'!$S$2:$S$317,$A62,'Данные 1st'!$GW$2:$GW$317),"")</f>
        <v/>
      </c>
      <c r="CY62" s="7">
        <f>IFERROR(AVERAGEIF('Данные 1st'!$S$2:$S$317,$A62,'Данные 1st'!$GZ$2:$GZ$317),"")</f>
        <v/>
      </c>
      <c r="CZ62" s="7">
        <f>IFERROR(AVERAGEIF('Данные 1st'!$S$2:$S$317,$A62,'Данные 1st'!$HA$2:$HA$317),"")</f>
        <v/>
      </c>
      <c r="DA62" s="7">
        <f>IFERROR(AVERAGEIF('Данные 1st'!$S$2:$S$317,$A62,'Данные 1st'!$HB$2:$HB$317),"")</f>
        <v/>
      </c>
      <c r="DB62" s="7">
        <f>IFERROR(AVERAGEIF('Данные 1st'!$S$2:$S$317,$A62,'Данные 1st'!$HC$2:$HC$317),"")</f>
        <v>0.1</v>
      </c>
      <c r="DC62" s="7">
        <f>IFERROR(AVERAGEIF('Данные 1st'!$S$2:$S$317,$A62,'Данные 1st'!$HD$2:$HD$317),"")</f>
        <v>3</v>
      </c>
      <c r="DD62" s="7">
        <f>IFERROR(AVERAGEIF('Данные 1st'!$S$2:$S$317,$A62,'Данные 1st'!$HE$2:$HE$317),"")</f>
        <v>3</v>
      </c>
      <c r="DE62" s="7">
        <f>IFERROR(AVERAGEIF('Данные 1st'!$S$2:$S$317,$A62,'Данные 1st'!$HF$2:$HF$317),"")</f>
        <v>3</v>
      </c>
      <c r="DF62" s="7">
        <f>IFERROR(AVERAGEIF('Данные 1st'!$S$2:$S$317,$A62,'Данные 1st'!$HG$2:$HG$317),"")</f>
        <v>3</v>
      </c>
      <c r="DG62" s="7">
        <f>IFERROR(AVERAGEIF('Данные 1st'!$S$2:$S$317,$A62,'Данные 1st'!$HH$2:$HH$317),"")</f>
        <v>3</v>
      </c>
      <c r="DH62" s="7">
        <f>IFERROR(AVERAGEIF('Данные 1st'!$S$2:$S$317,$A62,'Данные 1st'!$HI$2:$HI$317),"")</f>
        <v>135</v>
      </c>
      <c r="DI62" s="7">
        <f>IFERROR(AVERAGEIF('Данные 1st'!$S$2:$S$317,$A62,'Данные 1st'!$HJ$2:$HJ$317),"")</f>
        <v>3</v>
      </c>
      <c r="DJ62" s="7">
        <f>IFERROR(AVERAGEIF('Данные 1st'!$S$2:$S$317,$A62,'Данные 1st'!$HK$2:$HK$317),"")</f>
        <v>30</v>
      </c>
      <c r="DK62" s="7">
        <f>IFERROR(AVERAGEIF('Данные 1st'!$S$2:$S$317,$A62,'Данные 1st'!$HL$2:$HL$317),"")</f>
        <v>2</v>
      </c>
      <c r="DL62" s="7">
        <f>IFERROR(AVERAGEIF('Данные 1st'!$S$2:$S$317,$A62,'Данные 1st'!$HM$2:$HM$317),"")</f>
        <v>0</v>
      </c>
      <c r="DM62" s="7">
        <f>IFERROR(AVERAGEIF('Данные 1st'!$S$2:$S$317,$A62,'Данные 1st'!$HN$2:$HN$317),"")</f>
        <v>2</v>
      </c>
      <c r="DN62" s="7">
        <f>IFERROR(AVERAGEIF('Данные 1st'!$S$2:$S$317,$A62,'Данные 1st'!$HO$2:$HO$317),"")</f>
        <v>90</v>
      </c>
      <c r="DO62" s="7">
        <f>IFERROR(AVERAGEIF('Данные 1st'!$S$2:$S$317,$A62,'Данные 1st'!$HP$2:$HP$317),"")</f>
        <v>3</v>
      </c>
      <c r="DP62" s="7">
        <f>IFERROR(AVERAGEIF('Данные 1st'!$S$2:$S$317,$A62,'Данные 1st'!$HQ$2:$HQ$317),"")</f>
        <v>0</v>
      </c>
      <c r="DQ62" s="7">
        <f>IFERROR(AVERAGEIF('Данные 1st'!$S$2:$S$317,$A62,'Данные 1st'!$HR$2:$HR$317),"")</f>
        <v>2</v>
      </c>
      <c r="DR62" s="7">
        <f>IFERROR(AVERAGEIF('Данные 1st'!$S$2:$S$317,$A62,'Данные 1st'!$HS$2:$HS$317),"")</f>
        <v>5418</v>
      </c>
      <c r="DS62" s="7">
        <f>IFERROR(AVERAGEIF('Данные 1st'!$S$2:$S$317,$A62,'Данные 1st'!$HT$2:$HT$317),"")</f>
        <v>160</v>
      </c>
      <c r="DT62" s="7">
        <f>IFERROR(AVERAGEIF('Данные 1st'!$S$2:$S$317,$A62,'Данные 1st'!$HU$2:$HU$317),"")</f>
        <v>180</v>
      </c>
      <c r="DU62" s="7">
        <f>IFERROR(AVERAGEIF('Данные 1st'!$S$2:$S$317,$A62,'Данные 1st'!$HW$2:$HW$317),"")</f>
        <v>0</v>
      </c>
      <c r="DV62" s="7">
        <f>IFERROR(AVERAGEIF('Данные 1st'!$S$2:$S$317,$A62,'Данные 1st'!$HX$2:$HX$317),"")</f>
        <v>440</v>
      </c>
      <c r="DW62" s="7">
        <f>IFERROR(AVERAGEIF('Данные 1st'!$S$2:$S$317,$A62,'Данные 1st'!$HY$2:$HY$317),"")</f>
        <v>0.18</v>
      </c>
      <c r="DX62" s="7">
        <f>IFERROR(AVERAGEIF('Данные 1st'!$S$2:$S$317,$A62,'Данные 1st'!$IA$2:$IA$317),"")</f>
        <v>0.15</v>
      </c>
      <c r="DY62" s="7">
        <f>IFERROR(AVERAGEIF('Данные 1st'!$S$2:$S$317,$A62,'Данные 1st'!$IB$2:$IB$317),"")</f>
        <v>0</v>
      </c>
      <c r="DZ62" s="7">
        <f>IFERROR(AVERAGEIF('Данные 1st'!$S$2:$S$317,$A62,'Данные 1st'!$IC$2:$IC$317),"")</f>
        <v>180</v>
      </c>
      <c r="EA62" s="7">
        <f>IFERROR(AVERAGEIF('Данные 1st'!$S$2:$S$317,$A62,'Данные 1st'!$ID$2:$ID$317),"")</f>
        <v>110</v>
      </c>
      <c r="EB62" s="7">
        <f>IFERROR(AVERAGEIF('Данные 1st'!$S$2:$S$317,$A62,'Данные 1st'!$IE$2:$IE$317),"")</f>
        <v>225</v>
      </c>
      <c r="EC62" s="7">
        <f>IFERROR(AVERAGEIF('Данные 1st'!$S$2:$S$317,$A62,'Данные 1st'!$IF$2:$IF$317),"")</f>
        <v>0</v>
      </c>
      <c r="ED62" s="7">
        <f>IFERROR(AVERAGEIF('Данные 1st'!$S$2:$S$317,$A62,'Данные 1st'!$IP$2:$IP$317),"")</f>
        <v>19</v>
      </c>
      <c r="EE62" s="7">
        <f>IFERROR(AVERAGEIF('Данные 1st'!$S$2:$S$317,$A62,'Данные 1st'!$IV$2:$IV$317),"")</f>
        <v>1458</v>
      </c>
      <c r="EF62" s="7">
        <f>IFERROR(AVERAGEIF('Данные 1st'!$S$2:$S$317,$A62,'Данные 1st'!$IW$2:$IW$317),"")</f>
        <v>434</v>
      </c>
      <c r="EG62" s="7">
        <f>IFERROR(AVERAGEIF('Данные 1st'!$S$2:$S$317,$A62,'Данные 1st'!$IX$2:$IX$317),"")</f>
        <v/>
      </c>
      <c r="EH62" s="7">
        <f>IFERROR(AVERAGEIF('Данные 1st'!$S$2:$S$317,$A62,'Данные 1st'!$IY$2:$IY$317),"")</f>
        <v/>
      </c>
      <c r="EI62" s="7">
        <f>IFERROR(AVERAGEIF('Данные 1st'!$S$2:$S$317,$A62,'Данные 1st'!$JD$2:$JD$317),"")</f>
        <v>1475</v>
      </c>
      <c r="EJ62" s="7">
        <f>IFERROR(AVERAGEIF('Данные 1st'!$S$2:$S$317,$A62,'Данные 1st'!$JE$2:$JE$317),"")</f>
        <v>1467</v>
      </c>
      <c r="EK62" s="7">
        <f>IFERROR(AVERAGEIF('Данные 1st'!$S$2:$S$317,$A62,'Данные 1st'!$JF$2:$JF$317),"")</f>
        <v>1472</v>
      </c>
      <c r="EL62" s="7">
        <f>IFERROR(AVERAGEIF('Данные 1st'!$S$2:$S$317,$A62,'Данные 1st'!$JG$2:$JG$317),"")</f>
        <v>1454</v>
      </c>
      <c r="EM62" s="7">
        <f>IFERROR(AVERAGEIF('Данные 1st'!$S$2:$S$317,$A62,'Данные 1st'!$JH$2:$JH$317),"")</f>
        <v>0</v>
      </c>
      <c r="EN62" s="7">
        <f>IFERROR(AVERAGEIF('Данные 1st'!$S$2:$S$317,$A62,'Данные 1st'!$JJ$2:$JJ$317),"")</f>
        <v>180</v>
      </c>
      <c r="EO62" s="7">
        <f>IFERROR(AVERAGEIF('Данные 1st'!$S$2:$S$317,$A62,'Данные 1st'!$JK$2:$JK$317),"")</f>
        <v>440</v>
      </c>
      <c r="EP62" s="7">
        <f>IFERROR(AVERAGEIF('Данные 1st'!$S$2:$S$317,$A62,'Данные 1st'!$JL$2:$JL$317),"")</f>
        <v/>
      </c>
      <c r="EQ62" s="7">
        <f>IFERROR(AVERAGEIF('Данные 1st'!$S$2:$S$317,$A62,'Данные 1st'!$JM$2:$JM$317),"")</f>
        <v/>
      </c>
      <c r="ER62" s="7">
        <f>IFERROR(AVERAGEIF('Данные 1st'!$S$2:$S$317,$A62,'Данные 1st'!$JN$2:$JN$317),"")</f>
        <v>400</v>
      </c>
      <c r="ES62" s="7">
        <f>IFERROR(AVERAGEIF('Данные 1st'!$S$2:$S$317,$A62,'Данные 1st'!$JO$2:$JO$317),"")</f>
        <v>565</v>
      </c>
      <c r="ET62" s="7">
        <f>IFERROR(AVERAGEIF('Данные 1st'!$S$2:$S$317,$A62,'Данные 1st'!$JP$2:$JP$317),"")</f>
        <v>480</v>
      </c>
      <c r="EU62" s="7">
        <f>IFERROR(AVERAGEIF('Данные 1st'!$S$2:$S$317,$A62,'Данные 1st'!$JQ$2:$JQ$317),"")</f>
        <v>0</v>
      </c>
      <c r="EV62" s="7">
        <f>IFERROR(AVERAGEIF('Данные 1st'!$S$2:$S$317,$A62,'Данные 1st'!$JR$2:$JR$317),"")</f>
        <v>434</v>
      </c>
      <c r="EW62" s="7">
        <f>IFERROR(AVERAGEIF('Данные 1st'!$S$2:$S$317,$A62,'Данные 1st'!$JS$2:$JS$317),"")</f>
        <v>135</v>
      </c>
      <c r="EX62" s="7">
        <f>IFERROR(AVERAGEIF('Данные 1st'!$S$2:$S$317,$A62,'Данные 1st'!$JT$2:$JT$317),"")</f>
        <v/>
      </c>
      <c r="EY62" s="7">
        <f>IFERROR(AVERAGEIF('Данные 1st'!$S$2:$S$317,$A62,'Данные 1st'!$JU$2:$JU$317),"")</f>
        <v/>
      </c>
      <c r="EZ62" s="7">
        <f>IFERROR(AVERAGEIF('Данные 1st'!$S$2:$S$317,$A62,'Данные 1st'!$JV$2:$JV$317),"")</f>
        <v>8</v>
      </c>
      <c r="FA62" s="7">
        <f>IFERROR(AVERAGEIF('Данные 1st'!$S$2:$S$317,$A62,'Данные 1st'!$JW$2:$JW$317),"")</f>
        <v/>
      </c>
      <c r="FB62" s="7">
        <f>IFERROR(AVERAGEIF('Данные 1st'!$S$2:$S$317,$A62,'Данные 1st'!$JX$2:$JX$317),"")</f>
        <v>474</v>
      </c>
      <c r="FC62" s="7">
        <f>IFERROR(AVERAGEIF('Данные 1st'!$S$2:$S$317,$A62,'Данные 1st'!$JY$2:$JY$317),"")</f>
        <v/>
      </c>
      <c r="FD62" s="7">
        <f>IFERROR(AVERAGEIF('Данные 1st'!$S$2:$S$317,$A62,'Данные 1st'!$JZ$2:$JZ$317),"")</f>
        <v/>
      </c>
      <c r="FE62" s="7">
        <f>IFERROR(AVERAGEIF('Данные 1st'!$S$2:$S$317,$A62,'Данные 1st'!$KA$2:$KA$317),"")</f>
        <v>225</v>
      </c>
      <c r="FF62" s="7">
        <f>IFERROR(AVERAGEIF('Данные 1st'!$S$2:$S$317,$A62,'Данные 1st'!$KB$2:$KB$317),"")</f>
        <v>110</v>
      </c>
      <c r="FG62" s="7">
        <f>IFERROR(AVERAGEIF('Данные 1st'!$S$2:$S$317,$A62,'Данные 1st'!$KC$2:$KC$317),"")</f>
        <v>0</v>
      </c>
      <c r="FH62" s="7">
        <f>IFERROR(AVERAGEIF('Данные 1st'!$S$2:$S$317,$A62,'Данные 1st'!$KD$2:$KD$317),"")</f>
        <v>80</v>
      </c>
      <c r="FI62" s="7">
        <f>IFERROR(AVERAGEIF('Данные 1st'!$S$2:$S$317,$A62,'Данные 1st'!$KE$2:$KE$317),"")</f>
        <v/>
      </c>
      <c r="FJ62" s="7">
        <f>IFERROR(AVERAGEIF('Данные 1st'!$S$2:$S$317,$A62,'Данные 1st'!$KF$2:$KF$317),"")</f>
        <v>4</v>
      </c>
      <c r="FK62" s="7">
        <f>IFERROR(AVERAGEIF('Данные 1st'!$S$2:$S$317,$A62,'Данные 1st'!$KG$2:$KG$317),"")</f>
        <v>2</v>
      </c>
      <c r="FL62" s="7">
        <f>IFERROR(AVERAGEIF('Данные 1st'!$S$2:$S$317,$A62,'Данные 1st'!$KH$2:$KH$317),"")</f>
        <v>2</v>
      </c>
      <c r="FM62" s="7">
        <f>IFERROR(AVERAGEIF('Данные 1st'!$S$2:$S$317,$A62,'Данные 1st'!$KI$2:$KI$317),"")</f>
        <v>2</v>
      </c>
      <c r="FN62" s="7">
        <f>IFERROR(AVERAGEIF('Данные 1st'!$S$2:$S$317,$A62,'Данные 1st'!$KJ$2:$KJ$317),"")</f>
        <v>0</v>
      </c>
      <c r="FO62" s="7">
        <f>IFERROR(AVERAGEIF('Данные 1st'!$S$2:$S$317,$A62,'Данные 1st'!$KK$2:$KK$317),"")</f>
        <v>1.5</v>
      </c>
      <c r="FP62" s="7">
        <f>IFERROR(AVERAGEIF('Данные 1st'!$S$2:$S$317,$A62,'Данные 1st'!$KL$2:$KL$317),"")</f>
        <v>1.5</v>
      </c>
      <c r="FQ62" s="7">
        <f>IFERROR(AVERAGEIF('Данные 1st'!$S$2:$S$317,$A62,'Данные 1st'!$KM$2:$KM$317),"")</f>
        <v>0</v>
      </c>
      <c r="FR62" s="7">
        <f>IFERROR(AVERAGEIF('Данные 1st'!$S$2:$S$317,$A62,'Данные 1st'!$KN$2:$KN$317),"")</f>
        <v>0</v>
      </c>
      <c r="FS62" s="7">
        <f>IFERROR(AVERAGEIF('Данные 1st'!$S$2:$S$317,$A62,'Данные 1st'!$KR$2:$KR$317),"")</f>
        <v>30</v>
      </c>
      <c r="FT62" s="7">
        <f>IFERROR(AVERAGEIF('Данные 1st'!$S$2:$S$317,$A62,'Данные 1st'!$KS$2:$KS$317),"")</f>
        <v>60</v>
      </c>
      <c r="FU62" s="7">
        <f>IFERROR(AVERAGEIF('Данные 1st'!$S$2:$S$317,$A62,'Данные 1st'!$KT$2:$KT$317),"")</f>
        <v>0</v>
      </c>
      <c r="FV62" s="7">
        <f>IFERROR(AVERAGEIF('Данные 1st'!$S$2:$S$317,$A62,'Данные 1st'!$KV$2:$KV$317),"")</f>
        <v/>
      </c>
      <c r="FW62" s="7">
        <f>IFERROR(AVERAGEIF('Данные 1st'!$S$2:$S$317,$A62,'Данные 1st'!$KW$2:$KW$317),"")</f>
        <v/>
      </c>
      <c r="FX62" s="7">
        <f>IFERROR(AVERAGEIF('Данные 1st'!$S$2:$S$317,$A62,'Данные 1st'!$KX$2:$KX$317),"")</f>
        <v/>
      </c>
      <c r="FY62" s="7">
        <f>IFERROR(AVERAGEIF('Данные 1st'!$S$2:$S$317,$A62,'Данные 1st'!$KY$2:$KY$317),"")</f>
        <v/>
      </c>
      <c r="FZ62" s="7">
        <f>IFERROR(AVERAGEIF('Данные 1st'!$S$2:$S$317,$A62,'Данные 1st'!$KZ$2:$KZ$317),"")</f>
        <v/>
      </c>
      <c r="GA62" s="7">
        <f>IFERROR(AVERAGEIF('Данные 1st'!$S$2:$S$317,$A62,'Данные 1st'!$LA$2:$LA$317),"")</f>
        <v/>
      </c>
      <c r="GB62" s="7">
        <f>IFERROR(AVERAGEIF('Данные 1st'!$S$2:$S$317,$A62,'Данные 1st'!$LB$2:$LB$317),"")</f>
        <v/>
      </c>
      <c r="GC62" s="7">
        <f>IFERROR(AVERAGEIF('Данные 1st'!$S$2:$S$317,$A62,'Данные 1st'!$LC$2:$LC$317),"")</f>
        <v/>
      </c>
      <c r="GD62" s="7">
        <f>IFERROR(AVERAGEIF('Данные 1st'!$S$2:$S$317,$A62,'Данные 1st'!$LD$2:$LD$317),"")</f>
        <v/>
      </c>
      <c r="GE62" s="7">
        <f>IFERROR(AVERAGEIF('Данные 1st'!$S$2:$S$317,$A62,'Данные 1st'!$LE$2:$LE$317),"")</f>
        <v/>
      </c>
      <c r="GF62" s="7">
        <f>IFERROR(AVERAGEIF('Данные 1st'!$S$2:$S$317,$A62,'Данные 1st'!$LF$2:$LF$317),"")</f>
        <v/>
      </c>
      <c r="GG62" s="7">
        <f>IFERROR(AVERAGEIF('Данные 1st'!$S$2:$S$317,$A62,'Данные 1st'!$LG$2:$LG$317),"")</f>
        <v/>
      </c>
      <c r="GH62" s="7">
        <f>IFERROR(AVERAGEIF('Данные 1st'!$S$2:$S$317,$A62,'Данные 1st'!$LH$2:$LH$317),"")</f>
        <v/>
      </c>
      <c r="GI62" s="7">
        <f>IFERROR(AVERAGEIF('Данные 1st'!$S$2:$S$317,$A62,'Данные 1st'!$LI$2:$LI$317),"")</f>
        <v/>
      </c>
      <c r="GJ62" s="7">
        <f>IFERROR(AVERAGEIF('Данные 1st'!$S$2:$S$317,$A62,'Данные 1st'!$LJ$2:$LJ$317),"")</f>
        <v/>
      </c>
      <c r="GK62" s="7">
        <f>IFERROR(AVERAGEIF('Данные 1st'!$S$2:$S$317,$A62,'Данные 1st'!$LK$2:$LK$317),"")</f>
        <v>480</v>
      </c>
      <c r="GL62" s="7">
        <f>IFERROR(AVERAGEIF('Данные 1st'!$S$2:$S$317,$A62,'Данные 1st'!$LV$2:$LV$317),"")</f>
        <v/>
      </c>
      <c r="GM62" s="7">
        <f>IFERROR(AVERAGEIF('Данные 1st'!$S$2:$S$317,$A62,'Данные 1st'!$LW$2:$LW$317),"")</f>
        <v/>
      </c>
      <c r="GN62" s="7">
        <f>IFERROR(AVERAGEIF('Данные 1st'!$S$2:$S$317,$A62,'Данные 1st'!$LX$2:$LX$317),"")</f>
        <v/>
      </c>
      <c r="GO62" s="7">
        <f>IFERROR(AVERAGEIF('Данные 1st'!$S$2:$S$317,$A62,'Данные 1st'!$LY$2:$LY$317),"")</f>
        <v/>
      </c>
      <c r="GP62" s="7">
        <f>IFERROR(AVERAGEIF('Данные 1st'!$S$2:$S$317,$A62,'Данные 1st'!$LZ$2:$LZ$317),"")</f>
        <v/>
      </c>
      <c r="GQ62" s="7">
        <f>IFERROR(AVERAGEIF('Данные 1st'!$S$2:$S$317,$A62,'Данные 1st'!$PG$2:$PG$317),"")</f>
        <v>1</v>
      </c>
      <c r="GR62" s="7">
        <f>IFERROR(AVERAGEIF('Данные 1st'!$S$2:$S$317,$A62,'Данные 1st'!$PX$2:$PX$317),"")</f>
        <v>56</v>
      </c>
      <c r="GS62" s="7">
        <f>IFERROR(AVERAGEIF('Данные 1st'!$S$2:$S$317,$A62,'Данные 1st'!$PY$2:$PY$317),"")</f>
        <v>56</v>
      </c>
      <c r="GT62" s="7">
        <f>IFERROR(AVERAGEIF('Данные 1st'!$S$2:$S$317,$A62,'Данные 1st'!$QA$2:$QA$317),"")</f>
        <v>2</v>
      </c>
      <c r="GU62" s="7">
        <f>IFERROR(AVERAGEIF('Данные 1st'!$S$2:$S$317,$A62,'Данные 1st'!$QB$2:$QB$317),"")</f>
        <v>1454</v>
      </c>
      <c r="GV62" s="7">
        <f>IFERROR(AVERAGEIF('Данные 1st'!$S$2:$S$317,$A62,'Данные 1st'!$QC$2:$QC$317),"")</f>
        <v>69</v>
      </c>
      <c r="GW62" s="7">
        <f>IFERROR(AVERAGEIF('Данные 1st'!$S$2:$S$317,$A62,'Данные 1st'!$QD$2:$QD$317),"")</f>
        <v>69</v>
      </c>
      <c r="GX62" s="7">
        <f>IFERROR(AVERAGEIF('Данные 1st'!$S$2:$S$317,$A62,'Данные 1st'!$QF$2:$QF$317),"")</f>
        <v>1</v>
      </c>
      <c r="GY62" s="7">
        <f>IFERROR(AVERAGEIF('Данные 1st'!$S$2:$S$317,$A62,'Данные 1st'!$QG$2:$QG$317),"")</f>
        <v>1475</v>
      </c>
      <c r="GZ62" s="7">
        <f>IFERROR(AVERAGEIF('Данные 1st'!$S$2:$S$317,$A62,'Данные 1st'!$QH$2:$QH$317),"")</f>
        <v>66</v>
      </c>
      <c r="HA62" s="7">
        <f>IFERROR(AVERAGEIF('Данные 1st'!$S$2:$S$317,$A62,'Данные 1st'!$QI$2:$QI$317),"")</f>
        <v>66</v>
      </c>
      <c r="HB62" s="7">
        <f>IFERROR(AVERAGEIF('Данные 1st'!$S$2:$S$317,$A62,'Данные 1st'!$QK$2:$QK$317),"")</f>
        <v>1</v>
      </c>
      <c r="HC62" s="7">
        <f>IFERROR(AVERAGEIF('Данные 1st'!$S$2:$S$317,$A62,'Данные 1st'!$QL$2:$QL$317),"")</f>
        <v>1475</v>
      </c>
      <c r="HD62" s="7">
        <f>IFERROR(AVERAGEIF('Данные 1st'!$S$2:$S$317,$A62,'Данные 1st'!$QM$2:$QM$317),"")</f>
        <v>62</v>
      </c>
      <c r="HE62" s="7">
        <f>IFERROR(AVERAGEIF('Данные 1st'!$S$2:$S$317,$A62,'Данные 1st'!$QN$2:$QN$317),"")</f>
        <v>62</v>
      </c>
      <c r="HF62" s="7">
        <f>IFERROR(AVERAGEIF('Данные 1st'!$S$2:$S$317,$A62,'Данные 1st'!$QP$2:$QP$317),"")</f>
        <v>1</v>
      </c>
      <c r="HG62" s="7">
        <f>IFERROR(AVERAGEIF('Данные 1st'!$S$2:$S$317,$A62,'Данные 1st'!$QQ$2:$QQ$317),"")</f>
        <v>1467</v>
      </c>
      <c r="HH62" s="7">
        <f>IFERROR(AVERAGEIF('Данные 1st'!$S$2:$S$317,$A62,'Данные 1st'!$QR$2:$QR$317),"")</f>
        <v>62</v>
      </c>
      <c r="HI62" s="7">
        <f>IFERROR(AVERAGEIF('Данные 1st'!$S$2:$S$317,$A62,'Данные 1st'!$QS$2:$QS$317),"")</f>
        <v>62</v>
      </c>
      <c r="HJ62" s="7">
        <f>IFERROR(AVERAGEIF('Данные 1st'!$S$2:$S$317,$A62,'Данные 1st'!$QU$2:$QU$317),"")</f>
        <v>1</v>
      </c>
      <c r="HK62" s="7">
        <f>IFERROR(AVERAGEIF('Данные 1st'!$S$2:$S$317,$A62,'Данные 1st'!$QV$2:$QV$317),"")</f>
        <v>1472</v>
      </c>
      <c r="HL62" s="7">
        <f>IFERROR(AVERAGEIF('Данные 1st'!$S$2:$S$317,$A62,'Данные 1st'!$QW$2:$QW$317),"")</f>
        <v>82</v>
      </c>
      <c r="HM62" s="7">
        <f>IFERROR(AVERAGEIF('Данные 1st'!$S$2:$S$317,$A62,'Данные 1st'!$QX$2:$QX$317),"")</f>
        <v>89</v>
      </c>
      <c r="HN62" s="7">
        <f>IFERROR(AVERAGEIF('Данные 1st'!$S$2:$S$317,$A62,'Данные 1st'!$QZ$2:$QZ$317),"")</f>
        <v>1</v>
      </c>
      <c r="HO62" s="7">
        <f>IFERROR(AVERAGEIF('Данные 1st'!$S$2:$S$317,$A62,'Данные 1st'!$RA$2:$RA$317),"")</f>
        <v>66</v>
      </c>
      <c r="HP62" s="7">
        <f>IFERROR(AVERAGEIF('Данные 1st'!$S$2:$S$317,$A62,'Данные 1st'!$RB$2:$RB$317),"")</f>
        <v>66</v>
      </c>
      <c r="HQ62" s="7">
        <f>IFERROR(AVERAGEIF('Данные 1st'!$S$2:$S$317,$A62,'Данные 1st'!$RD$2:$RD$317),"")</f>
        <v/>
      </c>
      <c r="HR62" s="7">
        <f>IFERROR(AVERAGEIF('Данные 1st'!$S$2:$S$317,$A62,'Данные 1st'!$RE$2:$RE$317),"")</f>
        <v>0</v>
      </c>
      <c r="HS62" s="7">
        <f>IFERROR(AVERAGEIF('Данные 1st'!$S$2:$S$317,$A62,'Данные 1st'!$RF$2:$RF$317),"")</f>
        <v>1</v>
      </c>
      <c r="HT62" s="7">
        <f>IFERROR(AVERAGEIF('Данные 1st'!$S$2:$S$317,$A62,'Данные 1st'!$RG$2:$RG$317),"")</f>
        <v/>
      </c>
      <c r="HU62" s="7">
        <f>IFERROR(AVERAGEIF('Данные 1st'!$S$2:$S$317,$A62,'Данные 1st'!$RH$2:$RH$317),"")</f>
        <v>1</v>
      </c>
      <c r="HV62" s="7">
        <f>IFERROR(AVERAGEIF('Данные 1st'!$S$2:$S$317,$A62,'Данные 1st'!$RI$2:$RI$317),"")</f>
        <v/>
      </c>
      <c r="HW62" s="7">
        <f>IFERROR(AVERAGEIF('Данные 1st'!$S$2:$S$317,$A62,'Данные 1st'!$RJ$2:$RJ$317),"")</f>
        <v>1</v>
      </c>
      <c r="HX62" s="7">
        <f>IFERROR(AVERAGEIF('Данные 1st'!$S$2:$S$317,$A62,'Данные 1st'!$RK$2:$RK$317),"")</f>
        <v>2</v>
      </c>
      <c r="HY62" s="7">
        <f>IFERROR(AVERAGEIF('Данные 1st'!$S$2:$S$317,$A62,'Данные 1st'!$RL$2:$RL$317),"")</f>
        <v>4</v>
      </c>
      <c r="HZ62" s="7">
        <f>IFERROR(AVERAGEIF('Данные 1st'!$S$2:$S$317,$A62,'Данные 1st'!$RM$2:$RM$317),"")</f>
        <v>4</v>
      </c>
      <c r="IA62" s="7">
        <f>IFERROR(AVERAGEIF('Данные 1st'!$S$2:$S$317,$A62,'Данные 1st'!$RN$2:$RN$317),"")</f>
        <v/>
      </c>
      <c r="IB62" s="7">
        <f>IFERROR(AVERAGEIF('Данные 1st'!$S$2:$S$317,$A62,'Данные 1st'!$RO$2:$RO$317),"")</f>
        <v>567</v>
      </c>
      <c r="IC62" s="7">
        <f>IFERROR(AVERAGEIF('Данные 1st'!$S$2:$S$317,$A62,'Данные 1st'!$RP$2:$RP$317),"")</f>
        <v>105</v>
      </c>
      <c r="ID62" s="7">
        <f>IFERROR(AVERAGEIF('Данные 1st'!$S$2:$S$317,$A62,'Данные 1st'!$RQ$2:$RQ$317),"")</f>
        <v>667</v>
      </c>
      <c r="IE62" s="7">
        <f>IFERROR(AVERAGEIF('Данные 1st'!$S$2:$S$317,$A62,'Данные 1st'!$RR$2:$RR$317),"")</f>
        <v>500</v>
      </c>
      <c r="IF62" s="7">
        <f>IFERROR(AVERAGEIF('Данные 1st'!$S$2:$S$317,$A62,'Данные 1st'!$RS$2:$RS$317),"")</f>
        <v/>
      </c>
      <c r="IG62" s="7">
        <f>IFERROR(AVERAGEIF('Данные 1st'!$S$2:$S$317,$A62,'Данные 1st'!$RT$2:$RT$317),"")</f>
        <v>273</v>
      </c>
      <c r="IH62" s="7">
        <f>IFERROR(AVERAGEIF('Данные 1st'!$S$2:$S$317,$A62,'Данные 1st'!$RU$2:$RU$317),"")</f>
        <v>187</v>
      </c>
      <c r="II62" s="7">
        <f>IFERROR(AVERAGEIF('Данные 1st'!$S$2:$S$317,$A62,'Данные 1st'!$RX$2:$RX$317),"")</f>
        <v>15</v>
      </c>
      <c r="IJ62" s="7">
        <f>IFERROR(AVERAGEIF('Данные 1st'!$S$2:$S$317,$A62,'Данные 1st'!$RY$2:$RY$317),"")</f>
        <v>4</v>
      </c>
      <c r="IK62" s="7">
        <f>IFERROR(AVERAGEIF('Данные 1st'!$S$2:$S$317,$A62,'Данные 1st'!$SA$2:$SA$317),"")</f>
        <v>15</v>
      </c>
      <c r="IL62" s="7">
        <f>IFERROR(AVERAGEIF('Данные 1st'!$S$2:$S$317,$A62,'Данные 1st'!$SD$2:$SD$317),"")</f>
        <v>1</v>
      </c>
      <c r="IM62" s="7">
        <f>IFERROR(AVERAGEIF('Данные 1st'!$S$2:$S$317,$A62,'Данные 1st'!$SG$2:$SG$317),"")</f>
        <v>1</v>
      </c>
      <c r="IN62" s="7">
        <f>IFERROR(AVERAGEIF('Данные 1st'!$S$2:$S$317,$A62,'Данные 1st'!$SH$2:$SH$317),"")</f>
        <v>0.995</v>
      </c>
      <c r="IO62" s="7">
        <f>IFERROR(AVERAGEIF('Данные 1st'!$S$2:$S$317,$A62,'Данные 1st'!$SI$2:$SI$317),"")</f>
        <v>0.995</v>
      </c>
      <c r="IP62" s="7">
        <f>IFERROR(AVERAGEIF('Данные 1st'!$S$2:$S$317,$A62,'Данные 1st'!$SJ$2:$SJ$317),"")</f>
        <v>0.995</v>
      </c>
      <c r="IQ62" s="7">
        <f>IFERROR(AVERAGEIF('Данные 1st'!$S$2:$S$317,$A62,'Данные 1st'!$SK$2:$SK$317),"")</f>
        <v>15</v>
      </c>
      <c r="IR62" s="7">
        <f>IFERROR(AVERAGEIF('Данные 1st'!$S$2:$S$317,$A62,'Данные 1st'!$SL$2:$SL$317),"")</f>
        <v>0</v>
      </c>
      <c r="IS62" s="7">
        <f>IFERROR(AVERAGEIF('Данные 1st'!$S$2:$S$317,$A62,'Данные 1st'!$SM$2:$SM$317),"")</f>
        <v>0</v>
      </c>
      <c r="IT62" s="7">
        <f>IFERROR(AVERAGEIF('Данные 1st'!$S$2:$S$317,$A62,'Данные 1st'!$SN$2:$SN$317),"")</f>
        <v>0</v>
      </c>
      <c r="IU62" s="7">
        <f>IFERROR(AVERAGEIF('Данные 1st'!$S$2:$S$317,$A62,'Данные 1st'!$SO$2:$SO$317),"")</f>
        <v>0</v>
      </c>
      <c r="IV62" s="7">
        <f>IFERROR(AVERAGEIF('Данные 1st'!$S$2:$S$317,$A62,'Данные 1st'!$SP$2:$SP$317),"")</f>
        <v>0</v>
      </c>
      <c r="IW62" s="7">
        <f>IFERROR(AVERAGEIF('Данные 1st'!$S$2:$S$317,$A62,'Данные 1st'!$SQ$2:$SQ$317),"")</f>
        <v>0</v>
      </c>
      <c r="IX62" s="7">
        <f>IFERROR(AVERAGEIF('Данные 1st'!$S$2:$S$317,$A62,'Данные 1st'!$SR$2:$SR$317),"")</f>
        <v>0</v>
      </c>
      <c r="IY62" s="7">
        <f>IFERROR(AVERAGEIF('Данные 1st'!$S$2:$S$317,$A62,'Данные 1st'!$SS$2:$SS$317),"")</f>
        <v>0</v>
      </c>
      <c r="IZ62" s="7">
        <f>IFERROR(AVERAGEIF('Данные 1st'!$S$2:$S$317,$A62,'Данные 1st'!$ST$2:$ST$317),"")</f>
        <v>0</v>
      </c>
      <c r="JA62" s="7">
        <f>IFERROR(AVERAGEIF('Данные 1st'!$S$2:$S$317,$A62,'Данные 1st'!$SU$2:$SU$317),"")</f>
        <v>0</v>
      </c>
      <c r="JB62" s="7">
        <f>IFERROR(AVERAGEIF('Данные 1st'!$S$2:$S$317,$A62,'Данные 1st'!$SV$2:$SV$317),"")</f>
        <v>0</v>
      </c>
      <c r="JC62" s="7">
        <f>IFERROR(AVERAGEIF('Данные 1st'!$S$2:$S$317,$A62,'Данные 1st'!$SW$2:$SW$317),"")</f>
        <v>0</v>
      </c>
      <c r="JD62" s="7">
        <f>IFERROR(AVERAGEIF('Данные 1st'!$S$2:$S$317,$A62,'Данные 1st'!$SX$2:$SX$317),"")</f>
        <v>0</v>
      </c>
      <c r="JE62" s="7">
        <f>IFERROR(AVERAGEIF('Данные 1st'!$S$2:$S$317,$A62,'Данные 1st'!$SY$2:$SY$317),"")</f>
        <v>1</v>
      </c>
      <c r="JF62" s="7">
        <f>IFERROR(AVERAGEIF('Данные 1st'!$S$2:$S$317,$A62,'Данные 1st'!$SZ$2:$SZ$317),"")</f>
        <v>1</v>
      </c>
      <c r="JG62" s="7">
        <f>IFERROR(AVERAGEIF('Данные 1st'!$S$2:$S$317,$A62,'Данные 1st'!$TA$2:$TA$317),"")</f>
        <v/>
      </c>
      <c r="JH62" s="7">
        <f>IFERROR(AVERAGEIF('Данные 1st'!$S$2:$S$317,$A62,'Данные 1st'!$TB$2:$TB$317),"")</f>
        <v>0</v>
      </c>
      <c r="JI62" s="7">
        <f>IFERROR(AVERAGEIF('Данные 1st'!$S$2:$S$317,$A62,'Данные 1st'!$TC$2:$TC$317),"")</f>
        <v>0</v>
      </c>
      <c r="JJ62" s="7">
        <f>IFERROR(AVERAGEIF('Данные 1st'!$S$2:$S$317,$A62,'Данные 1st'!$TD$2:$TD$317),"")</f>
        <v>7.5</v>
      </c>
      <c r="JK62" s="7">
        <f>IFERROR(AVERAGEIF('Данные 1st'!$S$2:$S$317,$A62,'Данные 1st'!$TN$2:$TN$317),"")</f>
        <v>0</v>
      </c>
      <c r="JL62">
        <f>COUNTIF('Данные 2st'!$Q$2:$Q$317,$A62)</f>
        <v>1</v>
      </c>
      <c r="JM62" s="6" t="s">
        <v>2657</v>
      </c>
      <c r="JN62" s="6" t="s">
        <v>513</v>
      </c>
      <c r="JO62" s="6" t="s">
        <v>517</v>
      </c>
      <c r="JP62" s="6" t="s">
        <v>2933</v>
      </c>
      <c r="JQ62" s="7">
        <f>IFERROR(AVERAGEIF('Данные 2st'!$Q$2:$Q$317,$A62,'Данные 2st'!$AC$2:$AC$317),"")</f>
        <v>9</v>
      </c>
      <c r="JR62" s="7">
        <f>IFERROR(AVERAGEIF('Данные 2st'!$Q$2:$Q$317,$A62,'Данные 2st'!$AF$2:$AF$317),"")</f>
        <v>5418</v>
      </c>
      <c r="JS62" s="7">
        <f>IFERROR(AVERAGEIF('Данные 2st'!$Q$2:$Q$317,$A62,'Данные 2st'!$AW$2:$AW$317),"")</f>
        <v>6.4</v>
      </c>
      <c r="JT62" s="7">
        <f>IFERROR(AVERAGEIF('Данные 2st'!$Q$2:$Q$317,$A62,'Данные 2st'!$AX$2:$AX$317),"")</f>
        <v>-6</v>
      </c>
      <c r="JU62" s="7">
        <f>IFERROR(AVERAGEIF('Данные 2st'!$Q$2:$Q$317,$A62,'Данные 2st'!$AY$2:$AY$317),"")</f>
        <v>107.5</v>
      </c>
      <c r="JV62" s="7">
        <f>IFERROR(AVERAGEIF('Данные 2st'!$Q$2:$Q$317,$A62,'Данные 2st'!$AZ$2:$AZ$317),"")</f>
        <v>78</v>
      </c>
      <c r="JW62" s="7">
        <f>IFERROR(AVERAGEIF('Данные 2st'!$Q$2:$Q$317,$A62,'Данные 2st'!$BA$2:$BA$317),"")</f>
        <v>0</v>
      </c>
      <c r="JX62" s="7">
        <f>IFERROR(AVERAGEIF('Данные 2st'!$Q$2:$Q$317,$A62,'Данные 2st'!$BB$2:$BB$317),"")</f>
        <v>0</v>
      </c>
      <c r="JY62" s="7">
        <f>IFERROR(AVERAGEIF('Данные 2st'!$Q$2:$Q$317,$A62,'Данные 2st'!$BC$2:$BC$317),"")</f>
        <v>0</v>
      </c>
      <c r="JZ62" s="7">
        <f>IFERROR(AVERAGEIF('Данные 2st'!$Q$2:$Q$317,$A62,'Данные 2st'!$BH$2:$BH$317),"")</f>
        <v>107.5</v>
      </c>
      <c r="KA62" s="7">
        <f>IFERROR(AVERAGEIF('Данные 2st'!$Q$2:$Q$317,$A62,'Данные 2st'!$BI$2:$BI$317),"")</f>
        <v>29.5</v>
      </c>
      <c r="KB62" s="7">
        <f>IFERROR(AVERAGEIF('Данные 2st'!$Q$2:$Q$317,$A62,'Данные 2st'!$BJ$2:$BJ$317),"")</f>
        <v>78</v>
      </c>
      <c r="KC62" s="7">
        <f>IFERROR(AVERAGEIF('Данные 2st'!$Q$2:$Q$317,$A62,'Данные 2st'!$BK$2:$BK$317),"")</f>
        <v>2.5</v>
      </c>
      <c r="KD62" s="7">
        <f>IFERROR(AVERAGEIF('Данные 2st'!$Q$2:$Q$317,$A62,'Данные 2st'!$BL$2:$BL$317),"")</f>
        <v>215</v>
      </c>
      <c r="KE62" s="7">
        <f>IFERROR(AVERAGEIF('Данные 2st'!$Q$2:$Q$317,$A62,'Данные 2st'!$BM$2:$BM$317),"")</f>
        <v>-6</v>
      </c>
      <c r="KF62" s="7">
        <f>IFERROR(AVERAGEIF('Данные 2st'!$Q$2:$Q$317,$A62,'Данные 2st'!$BN$2:$BN$317),"")</f>
        <v>0</v>
      </c>
      <c r="KG62" s="7">
        <f>IFERROR(AVERAGEIF('Данные 2st'!$Q$2:$Q$317,$A62,'Данные 2st'!$BO$2:$BO$317),"")</f>
        <v/>
      </c>
      <c r="KH62" s="7">
        <f>IFERROR(AVERAGEIF('Данные 2st'!$Q$2:$Q$317,$A62,'Данные 2st'!$BP$2:$BP$317),"")</f>
        <v>0</v>
      </c>
      <c r="KI62" s="7">
        <f>IFERROR(AVERAGEIF('Данные 2st'!$Q$2:$Q$317,$A62,'Данные 2st'!$BR$2:$BR$317),"")</f>
        <v>210</v>
      </c>
      <c r="KJ62" s="7">
        <f>IFERROR(AVERAGEIF('Данные 2st'!$Q$2:$Q$317,$A62,'Данные 2st'!$BS$2:$BS$317),"")</f>
        <v>200</v>
      </c>
      <c r="KK62" s="7">
        <f>IFERROR(AVERAGEIF('Данные 2st'!$Q$2:$Q$317,$A62,'Данные 2st'!$BT$2:$BT$317),"")</f>
        <v>2130</v>
      </c>
      <c r="KL62" s="7">
        <f>IFERROR(AVERAGEIF('Данные 2st'!$Q$2:$Q$317,$A62,'Данные 2st'!$CV$2:$CV$317),"")</f>
        <v>134</v>
      </c>
      <c r="KM62" s="7">
        <f>IFERROR(AVERAGEIF('Данные 2st'!$Q$2:$Q$317,$A62,'Данные 2st'!$CW$2:$CW$317),"")</f>
        <v>3</v>
      </c>
      <c r="KN62" s="7">
        <f>IFERROR(AVERAGEIF('Данные 2st'!$Q$2:$Q$317,$A62,'Данные 2st'!$CX$2:$CX$317),"")</f>
        <v>95</v>
      </c>
      <c r="KO62" s="7">
        <f>IFERROR(AVERAGEIF('Данные 2st'!$Q$2:$Q$317,$A62,'Данные 2st'!$CY$2:$CY$317),"")</f>
        <v>5</v>
      </c>
      <c r="KP62" s="7">
        <f>IFERROR(AVERAGEIF('Данные 2st'!$Q$2:$Q$317,$A62,'Данные 2st'!$CZ$2:$CZ$317),"")</f>
        <v>156</v>
      </c>
      <c r="KQ62" s="7">
        <f>IFERROR(AVERAGEIF('Данные 2st'!$Q$2:$Q$317,$A62,'Данные 2st'!$DA$2:$DA$317),"")</f>
        <v>5</v>
      </c>
      <c r="KR62" s="7">
        <f>IFERROR(AVERAGEIF('Данные 2st'!$Q$2:$Q$317,$A62,'Данные 2st'!$DB$2:$DB$317),"")</f>
        <v>13380</v>
      </c>
      <c r="KS62" s="7">
        <f>IFERROR(AVERAGEIF('Данные 2st'!$Q$2:$Q$317,$A62,'Данные 2st'!$DC$2:$DC$317),"")</f>
        <v>400</v>
      </c>
      <c r="KT62" s="7">
        <f>IFERROR(AVERAGEIF('Данные 2st'!$Q$2:$Q$317,$A62,'Данные 2st'!$DD$2:$DD$317),"")</f>
        <v>350</v>
      </c>
      <c r="KU62" s="7">
        <f>IFERROR(AVERAGEIF('Данные 2st'!$Q$2:$Q$317,$A62,'Данные 2st'!$DE$2:$DE$317),"")</f>
        <v>2257</v>
      </c>
      <c r="KV62" s="7">
        <f>IFERROR(AVERAGEIF('Данные 2st'!$Q$2:$Q$317,$A62,'Данные 2st'!$DF$2:$DF$317),"")</f>
        <v>2257</v>
      </c>
      <c r="KW62" s="7">
        <f>IFERROR(AVERAGEIF('Данные 2st'!$Q$2:$Q$317,$A62,'Данные 2st'!$DG$2:$DG$317),"")</f>
        <v>2269</v>
      </c>
      <c r="KX62" s="7">
        <f>IFERROR(AVERAGEIF('Данные 2st'!$Q$2:$Q$317,$A62,'Данные 2st'!$DH$2:$DH$317),"")</f>
        <v>2</v>
      </c>
      <c r="KY62" s="7">
        <f>IFERROR(AVERAGEIF('Данные 2st'!$Q$2:$Q$317,$A62,'Данные 2st'!$DI$2:$DI$317),"")</f>
        <v/>
      </c>
      <c r="KZ62" s="7">
        <f>IFERROR(AVERAGEIF('Данные 2st'!$Q$2:$Q$317,$A62,'Данные 2st'!$DK$2:$DK$317),"")</f>
        <v>210</v>
      </c>
      <c r="LA62" s="7">
        <f>IFERROR(AVERAGEIF('Данные 2st'!$Q$2:$Q$317,$A62,'Данные 2st'!$DM$2:$DM$317),"")</f>
        <v>63</v>
      </c>
      <c r="LB62" s="7">
        <f>IFERROR(AVERAGEIF('Данные 2st'!$Q$2:$Q$317,$A62,'Данные 2st'!$DN$2:$DN$317),"")</f>
        <v>1.1</v>
      </c>
      <c r="LC62" s="7">
        <f>IFERROR(AVERAGEIF('Данные 2st'!$Q$2:$Q$317,$A62,'Данные 2st'!$DO$2:$DO$317),"")</f>
        <v>1</v>
      </c>
      <c r="LD62" s="7">
        <f>IFERROR(AVERAGEIF('Данные 2st'!$Q$2:$Q$317,$A62,'Данные 2st'!$DP$2:$DP$317),"")</f>
        <v>2133</v>
      </c>
      <c r="LE62" s="7">
        <f>IFERROR(AVERAGEIF('Данные 2st'!$Q$2:$Q$317,$A62,'Данные 2st'!$DQ$2:$DQ$317),"")</f>
        <v>968</v>
      </c>
      <c r="LF62" s="7">
        <f>IFERROR(AVERAGEIF('Данные 2st'!$Q$2:$Q$317,$A62,'Данные 2st'!$DS$2:$DS$317),"")</f>
        <v>200</v>
      </c>
      <c r="LG62" s="7">
        <f>IFERROR(AVERAGEIF('Данные 2st'!$Q$2:$Q$317,$A62,'Данные 2st'!$DU$2:$DU$317),"")</f>
        <v>63</v>
      </c>
      <c r="LH62" s="7">
        <f>IFERROR(AVERAGEIF('Данные 2st'!$Q$2:$Q$317,$A62,'Данные 2st'!$DV$2:$DV$317),"")</f>
        <v>1.1</v>
      </c>
      <c r="LI62" s="7">
        <f>IFERROR(AVERAGEIF('Данные 2st'!$Q$2:$Q$317,$A62,'Данные 2st'!$DW$2:$DW$317),"")</f>
        <v>1</v>
      </c>
      <c r="LJ62" s="7">
        <f>IFERROR(AVERAGEIF('Данные 2st'!$Q$2:$Q$317,$A62,'Данные 2st'!$DX$2:$DX$317),"")</f>
        <v>2145</v>
      </c>
      <c r="LK62" s="7">
        <f>IFERROR(AVERAGEIF('Данные 2st'!$Q$2:$Q$317,$A62,'Данные 2st'!$DY$2:$DY$317),"")</f>
        <v>929</v>
      </c>
      <c r="LL62" s="7">
        <f>IFERROR(AVERAGEIF('Данные 2st'!$Q$2:$Q$317,$A62,'Данные 2st'!$EA$2:$EA$317),"")</f>
        <v>20</v>
      </c>
      <c r="LM62" s="7">
        <f>IFERROR(AVERAGEIF('Данные 2st'!$Q$2:$Q$317,$A62,'Данные 2st'!$EC$2:$EC$317),"")</f>
        <v>0.8</v>
      </c>
      <c r="LN62" s="7">
        <f>IFERROR(AVERAGEIF('Данные 2st'!$Q$2:$Q$317,$A62,'Данные 2st'!$ED$2:$ED$317),"")</f>
        <v>2133</v>
      </c>
      <c r="LO62" s="7">
        <f>IFERROR(AVERAGEIF('Данные 2st'!$Q$2:$Q$317,$A62,'Данные 2st'!$EE$2:$EE$317),"")</f>
        <v>75</v>
      </c>
      <c r="LP62" s="7">
        <f>IFERROR(AVERAGEIF('Данные 2st'!$Q$2:$Q$317,$A62,'Данные 2st'!$EG$2:$EG$317),"")</f>
        <v>0</v>
      </c>
      <c r="LQ62" s="7">
        <f>IFERROR(AVERAGEIF('Данные 2st'!$Q$2:$Q$317,$A62,'Данные 2st'!$EI$2:$EI$317),"")</f>
        <v>0</v>
      </c>
      <c r="LR62" s="7">
        <f>IFERROR(AVERAGEIF('Данные 2st'!$Q$2:$Q$317,$A62,'Данные 2st'!$EJ$2:$EJ$317),"")</f>
        <v/>
      </c>
      <c r="LS62" s="7">
        <f>IFERROR(AVERAGEIF('Данные 2st'!$Q$2:$Q$317,$A62,'Данные 2st'!$EK$2:$EK$317),"")</f>
        <v/>
      </c>
      <c r="LT62" s="7">
        <f>IFERROR(AVERAGEIF('Данные 2st'!$Q$2:$Q$317,$A62,'Данные 2st'!$EM$2:$EM$317),"")</f>
        <v>12</v>
      </c>
      <c r="LU62" s="7">
        <f>IFERROR(AVERAGEIF('Данные 2st'!$Q$2:$Q$317,$A62,'Данные 2st'!$EN$2:$EN$317),"")</f>
        <v>0.5</v>
      </c>
      <c r="LV62" s="7">
        <f>IFERROR(AVERAGEIF('Данные 2st'!$Q$2:$Q$317,$A62,'Данные 2st'!$EO$2:$EO$317),"")</f>
        <v>0.96</v>
      </c>
      <c r="LW62" s="7">
        <f>IFERROR(AVERAGEIF('Данные 2st'!$Q$2:$Q$317,$A62,'Данные 2st'!$EP$2:$EP$317),"")</f>
        <v>2143.83</v>
      </c>
      <c r="LX62" s="7">
        <f>IFERROR(AVERAGEIF('Данные 2st'!$Q$2:$Q$317,$A62,'Данные 2st'!$EQ$2:$EQ$317),"")</f>
        <v>38019.49</v>
      </c>
      <c r="LY62" s="7">
        <f>IFERROR(AVERAGEIF('Данные 2st'!$Q$2:$Q$317,$A62,'Данные 2st'!$ER$2:$ER$317),"")</f>
        <v>9909.52</v>
      </c>
      <c r="LZ62" s="7">
        <f>IFERROR(AVERAGEIF('Данные 2st'!$Q$2:$Q$317,$A62,'Данные 2st'!$ES$2:$ES$317),"")</f>
        <v>0</v>
      </c>
      <c r="MA62" s="7">
        <f>IFERROR(AVERAGEIF('Данные 2st'!$Q$2:$Q$317,$A62,'Данные 2st'!$ET$2:$ET$317),"")</f>
        <v>0</v>
      </c>
      <c r="MB62" s="7">
        <f>IFERROR(AVERAGEIF('Данные 2st'!$Q$2:$Q$317,$A62,'Данные 2st'!$EU$2:$EU$317),"")</f>
        <v>1</v>
      </c>
      <c r="MC62" s="7">
        <f>IFERROR(AVERAGEIF('Данные 2st'!$Q$2:$Q$317,$A62,'Данные 2st'!$EV$2:$EV$317),"")</f>
        <v>47930</v>
      </c>
      <c r="MD62" s="7">
        <f>IFERROR(AVERAGEIF('Данные 2st'!$Q$2:$Q$317,$A62,'Данные 2st'!$EW$2:$EW$317),"")</f>
        <v>576</v>
      </c>
      <c r="ME62" s="7">
        <f>IFERROR(AVERAGEIF('Данные 2st'!$Q$2:$Q$317,$A62,'Данные 2st'!$EY$2:$EY$317),"")</f>
        <v>232</v>
      </c>
      <c r="MF62" s="7">
        <f>IFERROR(AVERAGEIF('Данные 2st'!$Q$2:$Q$317,$A62,'Данные 2st'!$FA$2:$FA$317),"")</f>
        <v>4</v>
      </c>
      <c r="MG62" s="7">
        <f>IFERROR(AVERAGEIF('Данные 2st'!$Q$2:$Q$317,$A62,'Данные 2st'!$FB$2:$FB$317),"")</f>
        <v>1</v>
      </c>
      <c r="MH62" s="7">
        <f>IFERROR(AVERAGEIF('Данные 2st'!$Q$2:$Q$317,$A62,'Данные 2st'!$FC$2:$FC$317),"")</f>
        <v>1</v>
      </c>
      <c r="MI62" s="7">
        <f>IFERROR(AVERAGEIF('Данные 2st'!$Q$2:$Q$317,$A62,'Данные 2st'!$FD$2:$FD$317),"")</f>
        <v>2177</v>
      </c>
      <c r="MJ62" s="7">
        <f>IFERROR(AVERAGEIF('Данные 2st'!$Q$2:$Q$317,$A62,'Данные 2st'!$FE$2:$FE$317),"")</f>
        <v>2492</v>
      </c>
      <c r="MK62" s="7">
        <f>IFERROR(AVERAGEIF('Данные 2st'!$Q$2:$Q$317,$A62,'Данные 2st'!$FG$2:$FG$317),"")</f>
        <v>232</v>
      </c>
      <c r="ML62" s="7">
        <f>IFERROR(AVERAGEIF('Данные 2st'!$Q$2:$Q$317,$A62,'Данные 2st'!$FI$2:$FI$317),"")</f>
        <v>4.2</v>
      </c>
      <c r="MM62" s="7">
        <f>IFERROR(AVERAGEIF('Данные 2st'!$Q$2:$Q$317,$A62,'Данные 2st'!$FJ$2:$FJ$317),"")</f>
        <v>2177</v>
      </c>
      <c r="MN62" s="7">
        <f>IFERROR(AVERAGEIF('Данные 2st'!$Q$2:$Q$317,$A62,'Данные 2st'!$FK$2:$FK$317),"")</f>
        <v>2480</v>
      </c>
      <c r="MO62" s="7">
        <f>IFERROR(AVERAGEIF('Данные 2st'!$Q$2:$Q$317,$A62,'Данные 2st'!$FP$2:$FP$317),"")</f>
        <v>2177</v>
      </c>
      <c r="MP62" s="7">
        <f>IFERROR(AVERAGEIF('Данные 2st'!$Q$2:$Q$317,$A62,'Данные 2st'!$FQ$2:$FQ$317),"")</f>
        <v>191</v>
      </c>
      <c r="MQ62" s="7">
        <f>IFERROR(AVERAGEIF('Данные 2st'!$Q$2:$Q$317,$A62,'Данные 2st'!$FS$2:$FS$317),"")</f>
        <v>236</v>
      </c>
      <c r="MR62" s="7">
        <f>IFERROR(AVERAGEIF('Данные 2st'!$Q$2:$Q$317,$A62,'Данные 2st'!$FU$2:$FU$317),"")</f>
        <v>0.4</v>
      </c>
      <c r="MS62" s="7">
        <f>IFERROR(AVERAGEIF('Данные 2st'!$Q$2:$Q$317,$A62,'Данные 2st'!$FV$2:$FV$317),"")</f>
        <v>2177</v>
      </c>
      <c r="MT62" s="7">
        <f>IFERROR(AVERAGEIF('Данные 2st'!$Q$2:$Q$317,$A62,'Данные 2st'!$FW$2:$FW$317),"")</f>
        <v>229</v>
      </c>
      <c r="MU62" s="7">
        <f>IFERROR(AVERAGEIF('Данные 2st'!$Q$2:$Q$317,$A62,'Данные 2st'!$FY$2:$FY$317),"")</f>
        <v>5</v>
      </c>
      <c r="MV62" s="7">
        <f>IFERROR(AVERAGEIF('Данные 2st'!$Q$2:$Q$317,$A62,'Данные 2st'!$GB$2:$GB$317),"")</f>
        <v>2177</v>
      </c>
      <c r="MW62" s="7">
        <f>IFERROR(AVERAGEIF('Данные 2st'!$Q$2:$Q$317,$A62,'Данные 2st'!$GC$2:$GC$317),"")</f>
        <v>22</v>
      </c>
      <c r="MX62" s="7">
        <f>IFERROR(AVERAGEIF('Данные 2st'!$Q$2:$Q$317,$A62,'Данные 2st'!$GD$2:$GD$317),"")</f>
        <v>5414</v>
      </c>
      <c r="MY62" s="7">
        <f>IFERROR(AVERAGEIF('Данные 2st'!$Q$2:$Q$317,$A62,'Данные 2st'!$GN$2:$GN$317),"")</f>
        <v/>
      </c>
      <c r="MZ62" s="7">
        <f>IFERROR(AVERAGEIF('Данные 2st'!$Q$2:$Q$317,$A62,'Данные 2st'!$GQ$2:$GQ$317),"")</f>
        <v>0</v>
      </c>
      <c r="NA62" s="7">
        <f>IFERROR(AVERAGEIF('Данные 2st'!$Q$2:$Q$317,$A62,'Данные 2st'!$GV$2:$GV$317),"")</f>
        <v>8.6</v>
      </c>
      <c r="NB62" s="7">
        <f>IFERROR(AVERAGEIF('Данные 2st'!$Q$2:$Q$317,$A62,'Данные 2st'!$GW$2:$GW$317),"")</f>
        <v>11.5</v>
      </c>
      <c r="NC62" s="7">
        <f>IFERROR(AVERAGEIF('Данные 2st'!$Q$2:$Q$317,$A62,'Данные 2st'!$GX$2:$GX$317),"")</f>
        <v>0.5</v>
      </c>
      <c r="ND62" s="7">
        <f>IFERROR(AVERAGEIF('Данные 2st'!$Q$2:$Q$317,$A62,'Данные 2st'!$GY$2:$GY$317),"")</f>
        <v>202</v>
      </c>
      <c r="NE62" s="7">
        <f>IFERROR(AVERAGEIF('Данные 2st'!$Q$2:$Q$317,$A62,'Данные 2st'!$GZ$2:$GZ$317),"")</f>
        <v>3</v>
      </c>
      <c r="NF62" s="7">
        <f>IFERROR(AVERAGEIF('Данные 2st'!$Q$2:$Q$317,$A62,'Данные 2st'!$HA$2:$HA$317),"")</f>
        <v>252</v>
      </c>
      <c r="NG62" s="7">
        <f>IFERROR(AVERAGEIF('Данные 2st'!$Q$2:$Q$317,$A62,'Данные 2st'!$HB$2:$HB$317),"")</f>
        <v>3</v>
      </c>
      <c r="NH62" s="7">
        <f>IFERROR(AVERAGEIF('Данные 2st'!$Q$2:$Q$317,$A62,'Данные 2st'!$HC$2:$HC$317),"")</f>
        <v>2177</v>
      </c>
      <c r="NI62" s="7">
        <f>IFERROR(AVERAGEIF('Данные 2st'!$Q$2:$Q$317,$A62,'Данные 2st'!$HD$2:$HD$317),"")</f>
        <v>4</v>
      </c>
      <c r="NJ62" s="7">
        <f>IFERROR(AVERAGEIF('Данные 2st'!$Q$2:$Q$317,$A62,'Данные 2st'!$HM$2:$HM$317),"")</f>
        <v>19</v>
      </c>
      <c r="NK62" s="7">
        <f>IFERROR(AVERAGEIF('Данные 2st'!$Q$2:$Q$317,$A62,'Данные 2st'!$HR$2:$HR$317),"")</f>
        <v>3</v>
      </c>
      <c r="NL62" s="7">
        <f>IFERROR(AVERAGEIF('Данные 2st'!$Q$2:$Q$317,$A62,'Данные 2st'!$HS$2:$HS$317),"")</f>
        <v>2130</v>
      </c>
      <c r="NM62" s="7">
        <f>IFERROR(AVERAGEIF('Данные 2st'!$Q$2:$Q$317,$A62,'Данные 2st'!$HT$2:$HT$317),"")</f>
        <v>5</v>
      </c>
      <c r="NN62" s="7">
        <f>IFERROR(AVERAGEIF('Данные 2st'!$Q$2:$Q$317,$A62,'Данные 2st'!$HY$2:$HY$317),"")</f>
        <v>0</v>
      </c>
      <c r="NO62" s="7">
        <f>IFERROR(AVERAGEIF('Данные 2st'!$Q$2:$Q$317,$A62,'Данные 2st'!$HZ$2:$HZ$317),"")</f>
        <v>63</v>
      </c>
      <c r="NP62" s="7">
        <f>IFERROR(AVERAGEIF('Данные 2st'!$Q$2:$Q$317,$A62,'Данные 2st'!$IA$2:$IA$317),"")</f>
        <v>2133</v>
      </c>
      <c r="NQ62" s="7">
        <f>IFERROR(AVERAGEIF('Данные 2st'!$Q$2:$Q$317,$A62,'Данные 2st'!$IB$2:$IB$317),"")</f>
        <v>2145</v>
      </c>
      <c r="NR62" s="7">
        <f>IFERROR(AVERAGEIF('Данные 2st'!$Q$2:$Q$317,$A62,'Данные 2st'!$IC$2:$IC$317),"")</f>
        <v/>
      </c>
      <c r="NS62" s="7">
        <f>IFERROR(AVERAGEIF('Данные 2st'!$Q$2:$Q$317,$A62,'Данные 2st'!$ID$2:$ID$317),"")</f>
        <v>2177</v>
      </c>
      <c r="NT62" s="7">
        <f>IFERROR(AVERAGEIF('Данные 2st'!$Q$2:$Q$317,$A62,'Данные 2st'!$IE$2:$IE$317),"")</f>
        <v>2177</v>
      </c>
      <c r="NU62" s="7">
        <f>IFERROR(AVERAGEIF('Данные 2st'!$Q$2:$Q$317,$A62,'Данные 2st'!$IF$2:$IF$317),"")</f>
        <v>210</v>
      </c>
      <c r="NV62" s="7">
        <f>IFERROR(AVERAGEIF('Данные 2st'!$Q$2:$Q$317,$A62,'Данные 2st'!$IG$2:$IG$317),"")</f>
        <v>200</v>
      </c>
      <c r="NW62" s="7">
        <f>IFERROR(AVERAGEIF('Данные 2st'!$Q$2:$Q$317,$A62,'Данные 2st'!$IH$2:$IH$317),"")</f>
        <v>252</v>
      </c>
      <c r="NX62" s="7">
        <f>IFERROR(AVERAGEIF('Данные 2st'!$Q$2:$Q$317,$A62,'Данные 2st'!$IJ$2:$IJ$317),"")</f>
        <v>5</v>
      </c>
      <c r="NY62" s="7">
        <f>IFERROR(AVERAGEIF('Данные 2st'!$Q$2:$Q$317,$A62,'Данные 2st'!$IM$2:$IM$317),"")</f>
        <v>0</v>
      </c>
      <c r="NZ62" s="7">
        <f>IFERROR(AVERAGEIF('Данные 2st'!$Q$2:$Q$317,$A62,'Данные 2st'!$IN$2:$IN$317),"")</f>
        <v>270</v>
      </c>
      <c r="OA62" s="7">
        <f>IFERROR(AVERAGEIF('Данные 2st'!$Q$2:$Q$317,$A62,'Данные 2st'!$IO$2:$IO$317),"")</f>
        <v>0</v>
      </c>
      <c r="OB62" s="7">
        <f>IFERROR(AVERAGEIF('Данные 2st'!$Q$2:$Q$317,$A62,'Данные 2st'!$IP$2:$IP$317),"")</f>
        <v>180</v>
      </c>
      <c r="OC62" s="7">
        <f>IFERROR(AVERAGEIF('Данные 2st'!$Q$2:$Q$317,$A62,'Данные 2st'!$IQ$2:$IQ$317),"")</f>
        <v>0</v>
      </c>
      <c r="OD62" s="7">
        <f>IFERROR(AVERAGEIF('Данные 2st'!$Q$2:$Q$317,$A62,'Данные 2st'!$IR$2:$IR$317),"")</f>
        <v>330</v>
      </c>
      <c r="OE62" s="7">
        <f>IFERROR(AVERAGEIF('Данные 2st'!$Q$2:$Q$317,$A62,'Данные 2st'!$IT$2:$IT$317),"")</f>
        <v>90</v>
      </c>
      <c r="OF62" s="7">
        <f>IFERROR(AVERAGEIF('Данные 2st'!$Q$2:$Q$317,$A62,'Данные 2st'!$IU$2:$IU$317),"")</f>
        <v>0</v>
      </c>
      <c r="OG62" s="7">
        <f>IFERROR(AVERAGEIF('Данные 2st'!$Q$2:$Q$317,$A62,'Данные 2st'!$IV$2:$IV$317),"")</f>
        <v>6.4</v>
      </c>
      <c r="OH62" s="7">
        <f>IFERROR(AVERAGEIF('Данные 2st'!$Q$2:$Q$317,$A62,'Данные 2st'!$IW$2:$IW$317),"")</f>
        <v>-6</v>
      </c>
      <c r="OI62" s="7">
        <f>IFERROR(AVERAGEIF('Данные 2st'!$Q$2:$Q$317,$A62,'Данные 2st'!$IX$2:$IX$317),"")</f>
        <v>107.5</v>
      </c>
      <c r="OJ62" s="7">
        <f>IFERROR(AVERAGEIF('Данные 2st'!$Q$2:$Q$317,$A62,'Данные 2st'!$IY$2:$IY$317),"")</f>
        <v>78</v>
      </c>
      <c r="OK62" s="7">
        <f>IFERROR(AVERAGEIF('Данные 2st'!$Q$2:$Q$317,$A62,'Данные 2st'!$IZ$2:$IZ$317),"")</f>
        <v>0</v>
      </c>
      <c r="OL62" s="7">
        <f>IFERROR(AVERAGEIF('Данные 2st'!$Q$2:$Q$317,$A62,'Данные 2st'!$JA$2:$JA$317),"")</f>
        <v>0</v>
      </c>
      <c r="OM62" s="7">
        <f>IFERROR(AVERAGEIF('Данные 2st'!$Q$2:$Q$317,$A62,'Данные 2st'!$JB$2:$JB$317),"")</f>
        <v>0</v>
      </c>
      <c r="ON62" s="7">
        <f>IFERROR(AVERAGEIF('Данные 2st'!$Q$2:$Q$317,$A62,'Данные 2st'!$JC$2:$JC$317),"")</f>
        <v>0</v>
      </c>
      <c r="OO62" s="7">
        <f>IFERROR(AVERAGEIF('Данные 2st'!$Q$2:$Q$317,$A62,'Данные 2st'!$JD$2:$JD$317),"")</f>
        <v>0</v>
      </c>
      <c r="OP62" s="7">
        <f>IFERROR(AVERAGEIF('Данные 2st'!$Q$2:$Q$317,$A62,'Данные 2st'!$JE$2:$JE$317),"")</f>
        <v>0</v>
      </c>
      <c r="OQ62" s="7">
        <f>IFERROR(AVERAGEIF('Данные 2st'!$Q$2:$Q$317,$A62,'Данные 2st'!$JF$2:$JF$317),"")</f>
        <v>0</v>
      </c>
      <c r="OR62" s="7">
        <f>IFERROR(AVERAGEIF('Данные 2st'!$Q$2:$Q$317,$A62,'Данные 2st'!$JG$2:$JG$317),"")</f>
        <v>0</v>
      </c>
      <c r="OS62" s="7">
        <f>IFERROR(AVERAGEIF('Данные 2st'!$Q$2:$Q$317,$A62,'Данные 2st'!$JH$2:$JH$317),"")</f>
        <v>0</v>
      </c>
      <c r="OT62" s="7">
        <f>IFERROR(AVERAGEIF('Данные 2st'!$Q$2:$Q$317,$A62,'Данные 2st'!$JI$2:$JI$317),"")</f>
        <v>404</v>
      </c>
      <c r="OU62" s="7">
        <f>IFERROR(AVERAGEIF('Данные 2st'!$Q$2:$Q$317,$A62,'Данные 2st'!$JJ$2:$JJ$317),"")</f>
        <v>374</v>
      </c>
      <c r="OV62" s="7">
        <f>IFERROR(AVERAGEIF('Данные 2st'!$Q$2:$Q$317,$A62,'Данные 2st'!$JK$2:$JK$317),"")</f>
        <v>270</v>
      </c>
      <c r="OW62" s="7">
        <f>IFERROR(AVERAGEIF('Данные 2st'!$Q$2:$Q$317,$A62,'Данные 2st'!$JL$2:$JL$317),"")</f>
        <v>370</v>
      </c>
      <c r="OX62" s="7">
        <f>IFERROR(AVERAGEIF('Данные 2st'!$Q$2:$Q$317,$A62,'Данные 2st'!$JM$2:$JM$317),"")</f>
        <v>285</v>
      </c>
      <c r="OY62" s="7">
        <f>IFERROR(AVERAGEIF('Данные 2st'!$Q$2:$Q$317,$A62,'Данные 2st'!$JP$2:$JP$317),"")</f>
        <v>200</v>
      </c>
      <c r="OZ62" s="7">
        <f>IFERROR(AVERAGEIF('Данные 2st'!$Q$2:$Q$317,$A62,'Данные 2st'!$JQ$2:$JQ$317),"")</f>
        <v>250</v>
      </c>
      <c r="PA62" s="7">
        <f>IFERROR(AVERAGEIF('Данные 2st'!$Q$2:$Q$317,$A62,'Данные 2st'!$JR$2:$JR$317),"")</f>
        <v>305</v>
      </c>
      <c r="PB62" s="7">
        <f>IFERROR(AVERAGEIF('Данные 2st'!$Q$2:$Q$317,$A62,'Данные 2st'!$JS$2:$JS$317),"")</f>
        <v>250</v>
      </c>
      <c r="PC62" s="7">
        <f>IFERROR(AVERAGEIF('Данные 2st'!$Q$2:$Q$317,$A62,'Данные 2st'!$JT$2:$JT$317),"")</f>
        <v>0</v>
      </c>
      <c r="PD62" s="7">
        <f>IFERROR(AVERAGEIF('Данные 2st'!$Q$2:$Q$317,$A62,'Данные 2st'!$JU$2:$JU$317),"")</f>
        <v>0</v>
      </c>
      <c r="PE62" s="7">
        <f>IFERROR(AVERAGEIF('Данные 2st'!$Q$2:$Q$317,$A62,'Данные 2st'!$JV$2:$JV$317),"")</f>
        <v>300</v>
      </c>
      <c r="PF62" s="7">
        <f>IFERROR(AVERAGEIF('Данные 2st'!$Q$2:$Q$317,$A62,'Данные 2st'!$JW$2:$JW$317),"")</f>
        <v>305</v>
      </c>
      <c r="PG62" s="7">
        <f>IFERROR(AVERAGEIF('Данные 2st'!$Q$2:$Q$317,$A62,'Данные 2st'!$KF$2:$KF$317),"")</f>
        <v>0.18</v>
      </c>
      <c r="PH62" s="7">
        <f>IFERROR(AVERAGEIF('Данные 2st'!$Q$2:$Q$317,$A62,'Данные 2st'!$KG$2:$KG$317),"")</f>
        <v>0.11</v>
      </c>
      <c r="PI62" s="7">
        <f>IFERROR(AVERAGEIF('Данные 2st'!$Q$2:$Q$317,$A62,'Данные 2st'!$KM$2:$KM$317),"")</f>
        <v>0.5</v>
      </c>
      <c r="PJ62" s="7">
        <f>IFERROR(AVERAGEIF('Данные 2st'!$Q$2:$Q$317,$A62,'Данные 2st'!$KN$2:$KN$317),"")</f>
        <v>1.6</v>
      </c>
      <c r="PK62" s="7">
        <f>IFERROR(AVERAGEIF('Данные 2st'!$Q$2:$Q$317,$A62,'Данные 2st'!$KO$2:$KO$317),"")</f>
        <v>0</v>
      </c>
      <c r="PL62" s="7">
        <f>IFERROR(AVERAGEIF('Данные 2st'!$Q$2:$Q$317,$A62,'Данные 2st'!$KP$2:$KP$317),"")</f>
        <v>0</v>
      </c>
      <c r="PM62" s="7">
        <f>IFERROR(AVERAGEIF('Данные 2st'!$Q$2:$Q$317,$A62,'Данные 2st'!$KQ$2:$KQ$317),"")</f>
        <v>1</v>
      </c>
      <c r="PN62" s="7">
        <f>IFERROR(AVERAGEIF('Данные 2st'!$Q$2:$Q$317,$A62,'Данные 2st'!$KR$2:$KR$317),"")</f>
        <v>1</v>
      </c>
      <c r="PO62" s="7">
        <f>IFERROR(AVERAGEIF('Данные 2st'!$Q$2:$Q$317,$A62,'Данные 2st'!$KS$2:$KS$317),"")</f>
        <v>0.2</v>
      </c>
      <c r="PP62" s="7">
        <f>IFERROR(AVERAGEIF('Данные 2st'!$Q$2:$Q$317,$A62,'Данные 2st'!$KT$2:$KT$317),"")</f>
        <v>2.3</v>
      </c>
      <c r="PQ62" s="7">
        <f>IFERROR(AVERAGEIF('Данные 2st'!$Q$2:$Q$317,$A62,'Данные 2st'!$KU$2:$KU$317),"")</f>
        <v>0</v>
      </c>
      <c r="PR62" s="7">
        <f>IFERROR(AVERAGEIF('Данные 2st'!$Q$2:$Q$317,$A62,'Данные 2st'!$KV$2:$KV$317),"")</f>
        <v>0</v>
      </c>
      <c r="PS62" s="7">
        <f>IFERROR(AVERAGEIF('Данные 2st'!$Q$2:$Q$317,$A62,'Данные 2st'!$KW$2:$KW$317),"")</f>
        <v>1</v>
      </c>
      <c r="PT62" s="7">
        <f>IFERROR(AVERAGEIF('Данные 2st'!$Q$2:$Q$317,$A62,'Данные 2st'!$KX$2:$KX$317),"")</f>
        <v>1</v>
      </c>
      <c r="PU62" s="7">
        <f>IFERROR(AVERAGEIF('Данные 2st'!$Q$2:$Q$317,$A62,'Данные 2st'!$KY$2:$KY$317),"")</f>
        <v>0</v>
      </c>
      <c r="PV62" s="7">
        <f>IFERROR(AVERAGEIF('Данные 2st'!$Q$2:$Q$317,$A62,'Данные 2st'!$KZ$2:$KZ$317),"")</f>
        <v>0</v>
      </c>
      <c r="PW62" s="7">
        <f>IFERROR(AVERAGEIF('Данные 2st'!$Q$2:$Q$317,$A62,'Данные 2st'!$LA$2:$LA$317),"")</f>
        <v>0</v>
      </c>
      <c r="PX62" s="7">
        <f>IFERROR(AVERAGEIF('Данные 2st'!$Q$2:$Q$317,$A62,'Данные 2st'!$LB$2:$LB$317),"")</f>
        <v>0</v>
      </c>
      <c r="PY62" s="7">
        <f>IFERROR(AVERAGEIF('Данные 2st'!$Q$2:$Q$317,$A62,'Данные 2st'!$LC$2:$LC$317),"")</f>
        <v>0</v>
      </c>
      <c r="PZ62" s="7">
        <f>IFERROR(AVERAGEIF('Данные 2st'!$Q$2:$Q$317,$A62,'Данные 2st'!$LD$2:$LD$317),"")</f>
        <v>0</v>
      </c>
      <c r="QA62" s="7">
        <f>IFERROR(AVERAGEIF('Данные 2st'!$Q$2:$Q$317,$A62,'Данные 2st'!$LE$2:$LE$317),"")</f>
        <v>0</v>
      </c>
      <c r="QB62" s="7">
        <f>IFERROR(AVERAGEIF('Данные 2st'!$Q$2:$Q$317,$A62,'Данные 2st'!$LF$2:$LF$317),"")</f>
        <v>0</v>
      </c>
      <c r="QC62" s="7">
        <f>IFERROR(AVERAGEIF('Данные 2st'!$Q$2:$Q$317,$A62,'Данные 2st'!$LG$2:$LG$317),"")</f>
        <v>0</v>
      </c>
      <c r="QD62" s="7">
        <f>IFERROR(AVERAGEIF('Данные 2st'!$Q$2:$Q$317,$A62,'Данные 2st'!$LH$2:$LH$317),"")</f>
        <v>3</v>
      </c>
      <c r="QE62" s="7">
        <f>IFERROR(AVERAGEIF('Данные 2st'!$Q$2:$Q$317,$A62,'Данные 2st'!$LJ$2:$LJ$317),"")</f>
        <v>0</v>
      </c>
      <c r="QF62" s="7">
        <f>IFERROR(AVERAGEIF('Данные 2st'!$Q$2:$Q$317,$A62,'Данные 2st'!$LK$2:$LK$317),"")</f>
        <v>6</v>
      </c>
      <c r="QG62" s="7">
        <f>IFERROR(AVERAGEIF('Данные 2st'!$Q$2:$Q$317,$A62,'Данные 2st'!$LL$2:$LL$317),"")</f>
        <v>4.5</v>
      </c>
      <c r="QH62" s="7">
        <f>IFERROR(AVERAGEIF('Данные 2st'!$Q$2:$Q$317,$A62,'Данные 2st'!$LM$2:$LM$317),"")</f>
        <v>9.5</v>
      </c>
      <c r="QI62" s="7">
        <f>IFERROR(AVERAGEIF('Данные 2st'!$Q$2:$Q$317,$A62,'Данные 2st'!$LN$2:$LN$317),"")</f>
        <v>0.4</v>
      </c>
      <c r="QJ62" s="7">
        <f>IFERROR(AVERAGEIF('Данные 2st'!$Q$2:$Q$317,$A62,'Данные 2st'!$LO$2:$LO$317),"")</f>
        <v>0.1</v>
      </c>
      <c r="QK62" s="7">
        <f>IFERROR(AVERAGEIF('Данные 2st'!$Q$2:$Q$317,$A62,'Данные 2st'!$LP$2:$LP$317),"")</f>
        <v>0</v>
      </c>
      <c r="QL62" s="7">
        <f>IFERROR(AVERAGEIF('Данные 2st'!$Q$2:$Q$317,$A62,'Данные 2st'!$LQ$2:$LQ$317),"")</f>
        <v>0</v>
      </c>
      <c r="QM62" s="7">
        <f>IFERROR(AVERAGEIF('Данные 2st'!$Q$2:$Q$317,$A62,'Данные 2st'!$LW$2:$LW$317),"")</f>
        <v>1.8</v>
      </c>
      <c r="QN62" s="7">
        <f>IFERROR(AVERAGEIF('Данные 2st'!$Q$2:$Q$317,$A62,'Данные 2st'!$LX$2:$LX$317),"")</f>
        <v>1.8</v>
      </c>
      <c r="QO62" s="7">
        <f>IFERROR(AVERAGEIF('Данные 2st'!$Q$2:$Q$317,$A62,'Данные 2st'!$LY$2:$LY$317),"")</f>
        <v>2</v>
      </c>
      <c r="QP62" s="7">
        <f>IFERROR(AVERAGEIF('Данные 2st'!$Q$2:$Q$317,$A62,'Данные 2st'!$LZ$2:$LZ$317),"")</f>
        <v>2</v>
      </c>
      <c r="QQ62" s="7">
        <f>IFERROR(AVERAGEIF('Данные 2st'!$Q$2:$Q$317,$A62,'Данные 2st'!$MB$2:$MB$317),"")</f>
        <v>4</v>
      </c>
      <c r="QR62" s="7">
        <f>IFERROR(AVERAGEIF('Данные 2st'!$Q$2:$Q$317,$A62,'Данные 2st'!$MG$2:$MG$317),"")</f>
        <v/>
      </c>
      <c r="QS62" s="7">
        <f>IFERROR(AVERAGEIF('Данные 2st'!$Q$2:$Q$317,$A62,'Данные 2st'!$MH$2:$MH$317),"")</f>
        <v/>
      </c>
      <c r="QT62" s="7">
        <f>IFERROR(AVERAGEIF('Данные 2st'!$Q$2:$Q$317,$A62,'Данные 2st'!$MI$2:$MI$317),"")</f>
        <v>0</v>
      </c>
      <c r="QU62" s="7">
        <f>IFERROR(AVERAGEIF('Данные 2st'!$Q$2:$Q$317,$A62,'Данные 2st'!$MJ$2:$MJ$317),"")</f>
        <v>0</v>
      </c>
      <c r="QV62" s="7">
        <f>IFERROR(AVERAGEIF('Данные 2st'!$Q$2:$Q$317,$A62,'Данные 2st'!$MK$2:$MK$317),"")</f>
        <v/>
      </c>
      <c r="QW62" s="7">
        <f>IFERROR(AVERAGEIF('Данные 2st'!$Q$2:$Q$317,$A62,'Данные 2st'!$MM$2:$MM$317),"")</f>
        <v>452</v>
      </c>
      <c r="QX62" s="7">
        <f>IFERROR(AVERAGEIF('Данные 2st'!$Q$2:$Q$317,$A62,'Данные 2st'!$MQ$2:$MQ$317),"")</f>
        <v/>
      </c>
      <c r="QY62" s="7">
        <f>IFERROR(AVERAGEIF('Данные 2st'!$Q$2:$Q$317,$A62,'Данные 2st'!$MR$2:$MR$317),"")</f>
        <v/>
      </c>
      <c r="QZ62" s="7">
        <f>IFERROR(AVERAGEIF('Данные 2st'!$Q$2:$Q$317,$A62,'Данные 2st'!$MS$2:$MS$317),"")</f>
        <v/>
      </c>
      <c r="RA62" s="7">
        <f>IFERROR(AVERAGEIF('Данные 2st'!$Q$2:$Q$317,$A62,'Данные 2st'!$MT$2:$MT$317),"")</f>
        <v/>
      </c>
      <c r="RB62" s="7">
        <f>IFERROR(AVERAGEIF('Данные 2st'!$Q$2:$Q$317,$A62,'Данные 2st'!$MU$2:$MU$317),"")</f>
        <v/>
      </c>
      <c r="RC62" s="7">
        <f>IFERROR(AVERAGEIF('Данные 2st'!$Q$2:$Q$317,$A62,'Данные 2st'!$MV$2:$MV$317),"")</f>
        <v/>
      </c>
      <c r="RD62" s="7">
        <f>IFERROR(AVERAGEIF('Данные 2st'!$Q$2:$Q$317,$A62,'Данные 2st'!$MW$2:$MW$317),"")</f>
        <v/>
      </c>
      <c r="RE62" s="7">
        <f>IFERROR(AVERAGEIF('Данные 2st'!$Q$2:$Q$317,$A62,'Данные 2st'!$MX$2:$MX$317),"")</f>
        <v/>
      </c>
      <c r="RF62" s="7">
        <f>IFERROR(AVERAGEIF('Данные 2st'!$Q$2:$Q$317,$A62,'Данные 2st'!$MY$2:$MY$317),"")</f>
        <v/>
      </c>
      <c r="RG62" s="7">
        <f>IFERROR(AVERAGEIF('Данные 2st'!$Q$2:$Q$317,$A62,'Данные 2st'!$MZ$2:$MZ$317),"")</f>
        <v/>
      </c>
      <c r="RH62" s="7">
        <f>IFERROR(AVERAGEIF('Данные 2st'!$Q$2:$Q$317,$A62,'Данные 2st'!$NA$2:$NA$317),"")</f>
        <v/>
      </c>
      <c r="RI62" s="7">
        <f>IFERROR(AVERAGEIF('Данные 2st'!$Q$2:$Q$317,$A62,'Данные 2st'!$NB$2:$NB$317),"")</f>
        <v/>
      </c>
      <c r="RJ62" s="7">
        <f>IFERROR(AVERAGEIF('Данные 2st'!$Q$2:$Q$317,$A62,'Данные 2st'!$NC$2:$NC$317),"")</f>
        <v/>
      </c>
      <c r="RK62" s="7">
        <f>IFERROR(AVERAGEIF('Данные 2st'!$Q$2:$Q$317,$A62,'Данные 2st'!$ND$2:$ND$317),"")</f>
        <v/>
      </c>
      <c r="RL62" s="7">
        <f>IFERROR(AVERAGEIF('Данные 2st'!$Q$2:$Q$317,$A62,'Данные 2st'!$NE$2:$NE$317),"")</f>
        <v/>
      </c>
      <c r="RM62" s="7">
        <f>IFERROR(AVERAGEIF('Данные 2st'!$Q$2:$Q$317,$A62,'Данные 2st'!$NF$2:$NF$317),"")</f>
        <v/>
      </c>
      <c r="RN62" s="7">
        <f>IFERROR(AVERAGEIF('Данные 2st'!$Q$2:$Q$317,$A62,'Данные 2st'!$NG$2:$NG$317),"")</f>
        <v/>
      </c>
      <c r="RO62" s="7">
        <f>IFERROR(AVERAGEIF('Данные 2st'!$Q$2:$Q$317,$A62,'Данные 2st'!$NH$2:$NH$317),"")</f>
        <v/>
      </c>
      <c r="RP62" s="7">
        <f>IFERROR(AVERAGEIF('Данные 2st'!$Q$2:$Q$317,$A62,'Данные 2st'!$NJ$2:$NJ$317),"")</f>
        <v/>
      </c>
      <c r="RQ62" s="7">
        <f>IFERROR(AVERAGEIF('Данные 2st'!$Q$2:$Q$317,$A62,'Данные 2st'!$NK$2:$NK$317),"")</f>
        <v/>
      </c>
      <c r="RR62" s="7">
        <f>IFERROR(AVERAGEIF('Данные 2st'!$Q$2:$Q$317,$A62,'Данные 2st'!$NM$2:$NM$317),"")</f>
        <v/>
      </c>
      <c r="RS62" s="7">
        <f>IFERROR(AVERAGEIF('Данные 2st'!$Q$2:$Q$317,$A62,'Данные 2st'!$NN$2:$NN$317),"")</f>
        <v/>
      </c>
      <c r="RT62" s="7">
        <f>IFERROR(AVERAGEIF('Данные 2st'!$Q$2:$Q$317,$A62,'Данные 2st'!$NO$2:$NO$317),"")</f>
        <v/>
      </c>
      <c r="RU62" s="7">
        <f>IFERROR(AVERAGEIF('Данные 2st'!$Q$2:$Q$317,$A62,'Данные 2st'!$NP$2:$NP$317),"")</f>
        <v/>
      </c>
      <c r="RV62" s="7">
        <f>IFERROR(AVERAGEIF('Данные 2st'!$Q$2:$Q$317,$A62,'Данные 2st'!$NQ$2:$NQ$317),"")</f>
        <v/>
      </c>
      <c r="RW62" s="7">
        <f>IFERROR(AVERAGEIF('Данные 2st'!$Q$2:$Q$317,$A62,'Данные 2st'!$NR$2:$NR$317),"")</f>
        <v/>
      </c>
      <c r="RX62" s="7">
        <f>IFERROR(AVERAGEIF('Данные 2st'!$Q$2:$Q$317,$A62,'Данные 2st'!$NS$2:$NS$317),"")</f>
        <v/>
      </c>
      <c r="RY62" s="7">
        <f>IFERROR(AVERAGEIF('Данные 2st'!$Q$2:$Q$317,$A62,'Данные 2st'!$NT$2:$NT$317),"")</f>
        <v/>
      </c>
      <c r="RZ62" s="7">
        <f>IFERROR(AVERAGEIF('Данные 2st'!$Q$2:$Q$317,$A62,'Данные 2st'!$OK$2:$OK$317),"")</f>
        <v>61</v>
      </c>
      <c r="SA62" s="7">
        <f>IFERROR(AVERAGEIF('Данные 2st'!$Q$2:$Q$317,$A62,'Данные 2st'!$OL$2:$OL$317),"")</f>
        <v>61</v>
      </c>
      <c r="SB62" s="7">
        <f>IFERROR(AVERAGEIF('Данные 2st'!$Q$2:$Q$317,$A62,'Данные 2st'!$ON$2:$ON$317),"")</f>
        <v>1</v>
      </c>
      <c r="SC62" s="7">
        <f>IFERROR(AVERAGEIF('Данные 2st'!$Q$2:$Q$317,$A62,'Данные 2st'!$OO$2:$OO$317),"")</f>
        <v>2133</v>
      </c>
      <c r="SD62" s="7">
        <f>IFERROR(AVERAGEIF('Данные 2st'!$Q$2:$Q$317,$A62,'Данные 2st'!$OP$2:$OP$317),"")</f>
        <v>61</v>
      </c>
      <c r="SE62" s="7">
        <f>IFERROR(AVERAGEIF('Данные 2st'!$Q$2:$Q$317,$A62,'Данные 2st'!$OQ$2:$OQ$317),"")</f>
        <v>61</v>
      </c>
      <c r="SF62" s="7">
        <f>IFERROR(AVERAGEIF('Данные 2st'!$Q$2:$Q$317,$A62,'Данные 2st'!$OS$2:$OS$317),"")</f>
        <v>1</v>
      </c>
      <c r="SG62" s="7">
        <f>IFERROR(AVERAGEIF('Данные 2st'!$Q$2:$Q$317,$A62,'Данные 2st'!$OT$2:$OT$317),"")</f>
        <v>2145</v>
      </c>
      <c r="SH62" s="7">
        <f>IFERROR(AVERAGEIF('Данные 2st'!$Q$2:$Q$317,$A62,'Данные 2st'!$OU$2:$OU$317),"")</f>
        <v>65</v>
      </c>
      <c r="SI62" s="7">
        <f>IFERROR(AVERAGEIF('Данные 2st'!$Q$2:$Q$317,$A62,'Данные 2st'!$OV$2:$OV$317),"")</f>
        <v>65</v>
      </c>
      <c r="SJ62" s="7">
        <f>IFERROR(AVERAGEIF('Данные 2st'!$Q$2:$Q$317,$A62,'Данные 2st'!$OX$2:$OX$317),"")</f>
        <v>2</v>
      </c>
      <c r="SK62" s="7">
        <f>IFERROR(AVERAGEIF('Данные 2st'!$Q$2:$Q$317,$A62,'Данные 2st'!$OY$2:$OY$317),"")</f>
        <v>47930</v>
      </c>
      <c r="SL62" s="7">
        <f>IFERROR(AVERAGEIF('Данные 2st'!$Q$2:$Q$317,$A62,'Данные 2st'!$OZ$2:$OZ$317),"")</f>
        <v>51</v>
      </c>
      <c r="SM62" s="7">
        <f>IFERROR(AVERAGEIF('Данные 2st'!$Q$2:$Q$317,$A62,'Данные 2st'!$PA$2:$PA$317),"")</f>
        <v>52</v>
      </c>
      <c r="SN62" s="7">
        <f>IFERROR(AVERAGEIF('Данные 2st'!$Q$2:$Q$317,$A62,'Данные 2st'!$PC$2:$PC$317),"")</f>
        <v>1</v>
      </c>
      <c r="SO62" s="7">
        <f>IFERROR(AVERAGEIF('Данные 2st'!$Q$2:$Q$317,$A62,'Данные 2st'!$PD$2:$PD$317),"")</f>
        <v>2177</v>
      </c>
      <c r="SP62" s="7">
        <f>IFERROR(AVERAGEIF('Данные 2st'!$Q$2:$Q$317,$A62,'Данные 2st'!$PF$2:$PF$317),"")</f>
        <v>454</v>
      </c>
      <c r="SQ62" s="7">
        <f>IFERROR(AVERAGEIF('Данные 2st'!$Q$2:$Q$317,$A62,'Данные 2st'!$PG$2:$PG$317),"")</f>
        <v>35</v>
      </c>
      <c r="SR62" s="7">
        <f>IFERROR(AVERAGEIF('Данные 2st'!$Q$2:$Q$317,$A62,'Данные 2st'!$PH$2:$PH$317),"")</f>
        <v>433</v>
      </c>
      <c r="SS62" s="7">
        <f>IFERROR(AVERAGEIF('Данные 2st'!$Q$2:$Q$317,$A62,'Данные 2st'!$PI$2:$PI$317),"")</f>
        <v>0</v>
      </c>
      <c r="ST62" s="7">
        <f>IFERROR(AVERAGEIF('Данные 2st'!$Q$2:$Q$317,$A62,'Данные 2st'!$PJ$2:$PJ$317),"")</f>
        <v>87.6</v>
      </c>
      <c r="SU62" s="7">
        <f>IFERROR(AVERAGEIF('Данные 2st'!$Q$2:$Q$317,$A62,'Данные 2st'!$PK$2:$PK$317),"")</f>
        <v/>
      </c>
      <c r="SV62" s="7">
        <f>IFERROR(AVERAGEIF('Данные 2st'!$Q$2:$Q$317,$A62,'Данные 2st'!$PL$2:$PL$317),"")</f>
        <v>1144.6</v>
      </c>
      <c r="SW62" s="7">
        <f>IFERROR(AVERAGEIF('Данные 2st'!$Q$2:$Q$317,$A62,'Данные 2st'!$PM$2:$PM$317),"")</f>
        <v>1139</v>
      </c>
      <c r="SX62" s="7">
        <f>IFERROR(AVERAGEIF('Данные 2st'!$Q$2:$Q$317,$A62,'Данные 2st'!$PN$2:$PN$317),"")</f>
        <v>105</v>
      </c>
      <c r="SY62" s="7">
        <f>IFERROR(AVERAGEIF('Данные 2st'!$Q$2:$Q$317,$A62,'Данные 2st'!$PO$2:$PO$317),"")</f>
        <v>10</v>
      </c>
      <c r="SZ62" s="7">
        <f>IFERROR(AVERAGEIF('Данные 2st'!$Q$2:$Q$317,$A62,'Данные 2st'!$PP$2:$PP$317),"")</f>
        <v>12</v>
      </c>
      <c r="TA62" s="7">
        <f>IFERROR(AVERAGEIF('Данные 2st'!$Q$2:$Q$317,$A62,'Данные 2st'!$PQ$2:$PQ$317),"")</f>
        <v>5</v>
      </c>
      <c r="TB62" s="7">
        <f>IFERROR(AVERAGEIF('Данные 2st'!$Q$2:$Q$317,$A62,'Данные 2st'!$PR$2:$PR$317),"")</f>
        <v>5</v>
      </c>
      <c r="TC62" s="7">
        <f>IFERROR(AVERAGEIF('Данные 2st'!$Q$2:$Q$317,$A62,'Данные 2st'!$PS$2:$PS$317),"")</f>
        <v>0</v>
      </c>
      <c r="TD62" s="7">
        <f>IFERROR(AVERAGEIF('Данные 2st'!$Q$2:$Q$317,$A62,'Данные 2st'!$PT$2:$PT$317),"")</f>
        <v>252</v>
      </c>
      <c r="TE62" s="7">
        <f>IFERROR(AVERAGEIF('Данные 2st'!$Q$2:$Q$317,$A62,'Данные 2st'!$PU$2:$PU$317),"")</f>
        <v>10</v>
      </c>
      <c r="TF62" s="7">
        <f>IFERROR(AVERAGEIF('Данные 2st'!$Q$2:$Q$317,$A62,'Данные 2st'!$PX$2:$PX$317),"")</f>
        <v>0</v>
      </c>
      <c r="TG62" s="7">
        <f>IFERROR(AVERAGEIF('Данные 2st'!$Q$2:$Q$317,$A62,'Данные 2st'!$PY$2:$PY$317),"")</f>
        <v>0</v>
      </c>
      <c r="TH62" s="7">
        <f>IFERROR(AVERAGEIF('Данные 2st'!$Q$2:$Q$317,$A62,'Данные 2st'!$PZ$2:$PZ$317),"")</f>
        <v>0</v>
      </c>
      <c r="TI62" s="7">
        <f>IFERROR(AVERAGEIF('Данные 2st'!$Q$2:$Q$317,$A62,'Данные 2st'!$QA$2:$QA$317),"")</f>
        <v>0</v>
      </c>
      <c r="TJ62" s="7">
        <f>IFERROR(AVERAGEIF('Данные 2st'!$Q$2:$Q$317,$A62,'Данные 2st'!$QB$2:$QB$317),"")</f>
        <v>0</v>
      </c>
      <c r="TK62" s="7">
        <f>IFERROR(AVERAGEIF('Данные 2st'!$Q$2:$Q$317,$A62,'Данные 2st'!$QC$2:$QC$317),"")</f>
        <v>0</v>
      </c>
      <c r="TL62" s="7">
        <f>IFERROR(AVERAGEIF('Данные 2st'!$Q$2:$Q$317,$A62,'Данные 2st'!$QD$2:$QD$317),"")</f>
        <v>0</v>
      </c>
      <c r="TM62" s="7">
        <f>IFERROR(AVERAGEIF('Данные 2st'!$Q$2:$Q$317,$A62,'Данные 2st'!$QE$2:$QE$317),"")</f>
        <v>-1</v>
      </c>
      <c r="TN62" s="7">
        <f>IFERROR(AVERAGEIF('Данные 2st'!$Q$2:$Q$317,$A62,'Данные 2st'!$QF$2:$QF$317),"")</f>
        <v>1</v>
      </c>
      <c r="TO62" s="7">
        <f>IFERROR(AVERAGEIF('Данные 2st'!$Q$2:$Q$317,$A62,'Данные 2st'!$QG$2:$QG$317),"")</f>
        <v>0</v>
      </c>
      <c r="TP62" s="7">
        <f>IFERROR(AVERAGEIF('Данные 2st'!$Q$2:$Q$317,$A62,'Данные 2st'!$QH$2:$QH$317),"")</f>
        <v>5</v>
      </c>
      <c r="TQ62" s="7">
        <f>IFERROR(AVERAGEIF('Данные 2st'!$Q$2:$Q$317,$A62,'Данные 2st'!$QI$2:$QI$317),"")</f>
        <v>5</v>
      </c>
      <c r="TR62" s="7">
        <f>IFERROR(AVERAGEIF('Данные 2st'!$Q$2:$Q$317,$A62,'Данные 2st'!$QJ$2:$QJ$317),"")</f>
        <v>5</v>
      </c>
      <c r="TS62" s="7">
        <f>IFERROR(AVERAGEIF('Данные 2st'!$Q$2:$Q$317,$A62,'Данные 2st'!$QK$2:$QK$317),"")</f>
        <v>217</v>
      </c>
      <c r="TT62" s="7">
        <f>IFERROR(AVERAGEIF('Данные 2st'!$Q$2:$Q$317,$A62,'Данные 2st'!$QL$2:$QL$317),"")</f>
        <v>434</v>
      </c>
      <c r="TU62" s="7">
        <f>IFERROR(AVERAGEIF('Данные 2st'!$Q$2:$Q$317,$A62,'Данные 2st'!$QM$2:$QM$317),"")</f>
        <v>7.5</v>
      </c>
      <c r="TV62" s="7">
        <f>IFERROR(AVERAGEIF('Данные 2st'!$Q$2:$Q$317,$A62,'Данные 2st'!$QN$2:$QN$317),"")</f>
        <v>1544.1</v>
      </c>
      <c r="TW62" s="7">
        <f>IFERROR(AVERAGEIF('Данные 2st'!$Q$2:$Q$317,$A62,'Данные 2st'!$QQ$2:$QQ$317),"")</f>
        <v>0</v>
      </c>
      <c r="TX62" s="7">
        <f>IFERROR(AVERAGEIF('Данные 2st'!$Q$2:$Q$317,$A62,'Данные 2st'!$QS$2:$QS$317),"")</f>
        <v>40</v>
      </c>
      <c r="TY62" s="7">
        <f>IFERROR(AVERAGEIF('Данные 2st'!$Q$2:$Q$317,$A62,'Данные 2st'!$QT$2:$QT$317),"")</f>
        <v>50</v>
      </c>
    </row>
    <row r="63" spans="1:545" ht="32" customHeight="1">
      <c r="A63" s="11" t="s">
        <v>1326</v>
      </c>
      <c r="B63">
        <f>COUNTIF('Данные 1st'!$S$2:$S$317,$A63)</f>
        <v>6</v>
      </c>
      <c r="C63" s="6" t="s">
        <v>5115</v>
      </c>
      <c r="D63" s="6" t="s">
        <v>513</v>
      </c>
      <c r="E63" s="6" t="s">
        <v>5125</v>
      </c>
      <c r="F63" s="6" t="s">
        <v>5178</v>
      </c>
      <c r="G63" s="7">
        <f>IFERROR(AVERAGEIF('Данные 1st'!$S$2:$S$317,$A63,'Данные 1st'!$AE$2:$AE$317),"")</f>
        <v>218.5</v>
      </c>
      <c r="H63" s="7">
        <f>IFERROR(AVERAGEIF('Данные 1st'!$S$2:$S$317,$A63,'Данные 1st'!$AF$2:$AF$317),"")</f>
        <v>1.5</v>
      </c>
      <c r="I63" s="7">
        <f>IFERROR(AVERAGEIF('Данные 1st'!$S$2:$S$317,$A63,'Данные 1st'!$AJ$2:$AJ$317),"")</f>
        <v>200.41666666666666</v>
      </c>
      <c r="J63" s="7">
        <f>IFERROR(AVERAGEIF('Данные 1st'!$S$2:$S$317,$A63,'Данные 1st'!$AL$2:$AL$317),"")</f>
        <v>1.5</v>
      </c>
      <c r="K63" s="7">
        <f>IFERROR(AVERAGEIF('Данные 1st'!$S$2:$S$317,$A63,'Данные 1st'!$AR$2:$AR$317),"")</f>
        <v>243.16666666666666</v>
      </c>
      <c r="L63" s="7">
        <f>IFERROR(AVERAGEIF('Данные 1st'!$S$2:$S$317,$A63,'Данные 1st'!$AS$2:$AS$317),"")</f>
        <v>1.5</v>
      </c>
      <c r="M63" s="7">
        <f>IFERROR(AVERAGEIF('Данные 1st'!$S$2:$S$317,$A63,'Данные 1st'!$AY$2:$AY$317),"")</f>
        <v>286.25</v>
      </c>
      <c r="N63" s="7">
        <f>IFERROR(AVERAGEIF('Данные 1st'!$S$2:$S$317,$A63,'Данные 1st'!$AZ$2:$AZ$317),"")</f>
        <v>1.5</v>
      </c>
      <c r="O63" s="7">
        <f>IFERROR(AVERAGEIF('Данные 1st'!$S$2:$S$317,$A63,'Данные 1st'!$BF$2:$BF$317),"")</f>
        <v>247.91666666666666</v>
      </c>
      <c r="P63" s="7">
        <f>IFERROR(AVERAGEIF('Данные 1st'!$S$2:$S$317,$A63,'Данные 1st'!$BG$2:$BG$317),"")</f>
        <v>1.5</v>
      </c>
      <c r="Q63" s="7">
        <f>IFERROR(AVERAGEIF('Данные 1st'!$S$2:$S$317,$A63,'Данные 1st'!$BM$2:$BM$317),"")</f>
        <v/>
      </c>
      <c r="R63" s="7">
        <f>IFERROR(AVERAGEIF('Данные 1st'!$S$2:$S$317,$A63,'Данные 1st'!$BN$2:$BN$317),"")</f>
        <v>1.5</v>
      </c>
      <c r="S63" s="7">
        <f>IFERROR(AVERAGEIF('Данные 1st'!$S$2:$S$317,$A63,'Данные 1st'!$BT$2:$BT$317),"")</f>
        <v>217.66666666666666</v>
      </c>
      <c r="T63" s="7">
        <f>IFERROR(AVERAGEIF('Данные 1st'!$S$2:$S$317,$A63,'Данные 1st'!$BU$2:$BU$317),"")</f>
        <v>0.5</v>
      </c>
      <c r="U63" s="7">
        <f>IFERROR(AVERAGEIF('Данные 1st'!$S$2:$S$317,$A63,'Данные 1st'!$BW$2:$BW$317),"")</f>
        <v>435.3333333333333</v>
      </c>
      <c r="V63" s="7">
        <f>IFERROR(AVERAGEIF('Данные 1st'!$S$2:$S$317,$A63,'Данные 1st'!$BX$2:$BX$317),"")</f>
        <v>1</v>
      </c>
      <c r="W63" s="7">
        <f>IFERROR(AVERAGEIF('Данные 1st'!$S$2:$S$317,$A63,'Данные 1st'!$BZ$2:$BZ$317),"")</f>
        <v>356.6666666666667</v>
      </c>
      <c r="X63" s="7">
        <f>IFERROR(AVERAGEIF('Данные 1st'!$S$2:$S$317,$A63,'Данные 1st'!$CA$2:$CA$317),"")</f>
        <v>513.3333333333334</v>
      </c>
      <c r="Y63" s="7">
        <f>IFERROR(AVERAGEIF('Данные 1st'!$S$2:$S$317,$A63,'Данные 1st'!$CD$2:$CD$317),"")</f>
        <v>457.8333333333333</v>
      </c>
      <c r="Z63" s="7">
        <f>IFERROR(AVERAGEIF('Данные 1st'!$S$2:$S$317,$A63,'Данные 1st'!$CF$2:$CF$317),"")</f>
        <v>15</v>
      </c>
      <c r="AA63" s="7">
        <f>IFERROR(AVERAGEIF('Данные 1st'!$S$2:$S$317,$A63,'Данные 1st'!$CI$2:$CI$317),"")</f>
        <v>78.33333333333333</v>
      </c>
      <c r="AB63" s="7">
        <f>IFERROR(AVERAGEIF('Данные 1st'!$S$2:$S$317,$A63,'Данные 1st'!$CJ$2:$CJ$317),"")</f>
        <v>1538</v>
      </c>
      <c r="AC63" s="7">
        <f>IFERROR(AVERAGEIF('Данные 1st'!$S$2:$S$317,$A63,'Данные 1st'!$CK$2:$CK$317),"")</f>
        <v>2</v>
      </c>
      <c r="AD63" s="7">
        <f>IFERROR(AVERAGEIF('Данные 1st'!$S$2:$S$317,$A63,'Данные 1st'!$CL$2:$CL$317),"")</f>
        <v>1632</v>
      </c>
      <c r="AE63" s="7">
        <f>IFERROR(AVERAGEIF('Данные 1st'!$S$2:$S$317,$A63,'Данные 1st'!$CM$2:$CM$317),"")</f>
        <v>2</v>
      </c>
      <c r="AF63" s="7">
        <f>IFERROR(AVERAGEIF('Данные 1st'!$S$2:$S$317,$A63,'Данные 1st'!$CT$2:$CT$317),"")</f>
        <v>400.8333333333333</v>
      </c>
      <c r="AG63" s="7">
        <f>IFERROR(AVERAGEIF('Данные 1st'!$S$2:$S$317,$A63,'Данные 1st'!$CU$2:$CU$317),"")</f>
        <v>5</v>
      </c>
      <c r="AH63" s="7">
        <f>IFERROR(AVERAGEIF('Данные 1st'!$S$2:$S$317,$A63,'Данные 1st'!$CV$2:$CV$317),"")</f>
        <v>1.2</v>
      </c>
      <c r="AI63" s="7">
        <f>IFERROR(AVERAGEIF('Данные 1st'!$S$2:$S$317,$A63,'Данные 1st'!$CW$2:$CW$317),"")</f>
        <v>1554</v>
      </c>
      <c r="AJ63" s="7">
        <f>IFERROR(AVERAGEIF('Данные 1st'!$S$2:$S$317,$A63,'Данные 1st'!$CX$2:$CX$317),"")</f>
        <v>882.1666666666666</v>
      </c>
      <c r="AK63" s="7">
        <f>IFERROR(AVERAGEIF('Данные 1st'!$S$2:$S$317,$A63,'Данные 1st'!$CZ$2:$CZ$317),"")</f>
        <v>55</v>
      </c>
      <c r="AL63" s="7">
        <f>IFERROR(AVERAGEIF('Данные 1st'!$S$2:$S$317,$A63,'Данные 1st'!$DA$2:$DA$317),"")</f>
        <v>3</v>
      </c>
      <c r="AM63" s="7">
        <f>IFERROR(AVERAGEIF('Данные 1st'!$S$2:$S$317,$A63,'Данные 1st'!$DB$2:$DB$317),"")</f>
        <v>1.0466666666666666</v>
      </c>
      <c r="AN63" s="7">
        <f>IFERROR(AVERAGEIF('Данные 1st'!$S$2:$S$317,$A63,'Данные 1st'!$DC$2:$DC$317),"")</f>
        <v>1554</v>
      </c>
      <c r="AO63" s="7">
        <f>IFERROR(AVERAGEIF('Данные 1st'!$S$2:$S$317,$A63,'Данные 1st'!$DD$2:$DD$317),"")</f>
        <v>95.33333333333333</v>
      </c>
      <c r="AP63" s="7">
        <f>IFERROR(AVERAGEIF('Данные 1st'!$S$2:$S$317,$A63,'Данные 1st'!$DF$2:$DF$317),"")</f>
        <v>572.5</v>
      </c>
      <c r="AQ63" s="7">
        <f>IFERROR(AVERAGEIF('Данные 1st'!$S$2:$S$317,$A63,'Данные 1st'!$DG$2:$DG$317),"")</f>
        <v>3</v>
      </c>
      <c r="AR63" s="7">
        <f>IFERROR(AVERAGEIF('Данные 1st'!$S$2:$S$317,$A63,'Данные 1st'!$DH$2:$DH$317),"")</f>
        <v>0.88</v>
      </c>
      <c r="AS63" s="7">
        <f>IFERROR(AVERAGEIF('Данные 1st'!$S$2:$S$317,$A63,'Данные 1st'!$DI$2:$DI$317),"")</f>
        <v>1547</v>
      </c>
      <c r="AT63" s="7">
        <f>IFERROR(AVERAGEIF('Данные 1st'!$S$2:$S$317,$A63,'Данные 1st'!$DJ$2:$DJ$317),"")</f>
        <v>1064.5</v>
      </c>
      <c r="AU63" s="7">
        <f>IFERROR(AVERAGEIF('Данные 1st'!$S$2:$S$317,$A63,'Данные 1st'!$DL$2:$DL$317),"")</f>
        <v>495.8333333333333</v>
      </c>
      <c r="AV63" s="7">
        <f>IFERROR(AVERAGEIF('Данные 1st'!$S$2:$S$317,$A63,'Данные 1st'!$DM$2:$DM$317),"")</f>
        <v>3</v>
      </c>
      <c r="AW63" s="7">
        <f>IFERROR(AVERAGEIF('Данные 1st'!$S$2:$S$317,$A63,'Данные 1st'!$DN$2:$DN$317),"")</f>
        <v>0.88</v>
      </c>
      <c r="AX63" s="7">
        <f>IFERROR(AVERAGEIF('Данные 1st'!$S$2:$S$317,$A63,'Данные 1st'!$DO$2:$DO$317),"")</f>
        <v>1552.5</v>
      </c>
      <c r="AY63" s="7">
        <f>IFERROR(AVERAGEIF('Данные 1st'!$S$2:$S$317,$A63,'Данные 1st'!$DP$2:$DP$317),"")</f>
        <v>841.3333333333334</v>
      </c>
      <c r="AZ63" s="7">
        <f>IFERROR(AVERAGEIF('Данные 1st'!$S$2:$S$317,$A63,'Данные 1st'!$DR$2:$DR$317),"")</f>
        <v/>
      </c>
      <c r="BA63" s="7">
        <f>IFERROR(AVERAGEIF('Данные 1st'!$S$2:$S$317,$A63,'Данные 1st'!$DS$2:$DS$317),"")</f>
        <v/>
      </c>
      <c r="BB63" s="7">
        <f>IFERROR(AVERAGEIF('Данные 1st'!$S$2:$S$317,$A63,'Данные 1st'!$DT$2:$DT$317),"")</f>
        <v/>
      </c>
      <c r="BC63" s="7">
        <f>IFERROR(AVERAGEIF('Данные 1st'!$S$2:$S$317,$A63,'Данные 1st'!$DU$2:$DU$317),"")</f>
        <v/>
      </c>
      <c r="BD63" s="7">
        <f>IFERROR(AVERAGEIF('Данные 1st'!$S$2:$S$317,$A63,'Данные 1st'!$DV$2:$DV$317),"")</f>
        <v/>
      </c>
      <c r="BE63" s="7">
        <f>IFERROR(AVERAGEIF('Данные 1st'!$S$2:$S$317,$A63,'Данные 1st'!$DX$2:$DX$317),"")</f>
        <v>7.816666666666666</v>
      </c>
      <c r="BF63" s="7">
        <f>IFERROR(AVERAGEIF('Данные 1st'!$S$2:$S$317,$A63,'Данные 1st'!$EA$2:$EA$317),"")</f>
        <v>1623.8</v>
      </c>
      <c r="BG63" s="7">
        <f>IFERROR(AVERAGEIF('Данные 1st'!$S$2:$S$317,$A63,'Данные 1st'!$EB$2:$EB$317),"")</f>
        <v>366</v>
      </c>
      <c r="BH63" s="7">
        <f>IFERROR(AVERAGEIF('Данные 1st'!$S$2:$S$317,$A63,'Данные 1st'!$ED$2:$ED$317),"")</f>
        <v>31.666666666666668</v>
      </c>
      <c r="BI63" s="7">
        <f>IFERROR(AVERAGEIF('Данные 1st'!$S$2:$S$317,$A63,'Данные 1st'!$EE$2:$EE$317),"")</f>
        <v>3</v>
      </c>
      <c r="BJ63" s="7">
        <f>IFERROR(AVERAGEIF('Данные 1st'!$S$2:$S$317,$A63,'Данные 1st'!$EG$2:$EG$317),"")</f>
        <v>1671.6666666666667</v>
      </c>
      <c r="BK63" s="7">
        <f>IFERROR(AVERAGEIF('Данные 1st'!$S$2:$S$317,$A63,'Данные 1st'!$EH$2:$EH$317),"")</f>
        <v>220.5</v>
      </c>
      <c r="BL63" s="7">
        <f>IFERROR(AVERAGEIF('Данные 1st'!$S$2:$S$317,$A63,'Данные 1st'!$EJ$2:$EJ$317),"")</f>
        <v>0</v>
      </c>
      <c r="BM63" s="7">
        <f>IFERROR(AVERAGEIF('Данные 1st'!$S$2:$S$317,$A63,'Данные 1st'!$EK$2:$EK$317),"")</f>
        <v>1</v>
      </c>
      <c r="BN63" s="7">
        <f>IFERROR(AVERAGEIF('Данные 1st'!$S$2:$S$317,$A63,'Данные 1st'!$EN$2:$EN$317),"")</f>
        <v>0</v>
      </c>
      <c r="BO63" s="7">
        <f>IFERROR(AVERAGEIF('Данные 1st'!$S$2:$S$317,$A63,'Данные 1st'!$EQ$2:$EQ$317),"")</f>
        <v>107.5</v>
      </c>
      <c r="BP63" s="7">
        <f>IFERROR(AVERAGEIF('Данные 1st'!$S$2:$S$317,$A63,'Данные 1st'!$ER$2:$ER$317),"")</f>
        <v>3</v>
      </c>
      <c r="BQ63" s="7">
        <f>IFERROR(AVERAGEIF('Данные 1st'!$S$2:$S$317,$A63,'Данные 1st'!$ES$2:$ES$317),"")</f>
        <v>5.333333333333333</v>
      </c>
      <c r="BR63" s="7">
        <f>IFERROR(AVERAGEIF('Данные 1st'!$S$2:$S$317,$A63,'Данные 1st'!$ET$2:$ET$317),"")</f>
        <v>1533</v>
      </c>
      <c r="BS63" s="7">
        <f>IFERROR(AVERAGEIF('Данные 1st'!$S$2:$S$317,$A63,'Данные 1st'!$EU$2:$EU$317),"")</f>
        <v>457.3</v>
      </c>
      <c r="BT63" s="7">
        <f>IFERROR(AVERAGEIF('Данные 1st'!$S$2:$S$317,$A63,'Данные 1st'!$EV$2:$EV$317),"")</f>
        <v>701.1666666666666</v>
      </c>
      <c r="BU63" s="7">
        <f>IFERROR(AVERAGEIF('Данные 1st'!$S$2:$S$317,$A63,'Данные 1st'!$EX$2:$EX$317),"")</f>
        <v>45</v>
      </c>
      <c r="BV63" s="7">
        <f>IFERROR(AVERAGEIF('Данные 1st'!$S$2:$S$317,$A63,'Данные 1st'!$EY$2:$EY$317),"")</f>
        <v>2</v>
      </c>
      <c r="BW63" s="7">
        <f>IFERROR(AVERAGEIF('Данные 1st'!$S$2:$S$317,$A63,'Данные 1st'!$EZ$2:$EZ$317),"")</f>
        <v>4.433333333333334</v>
      </c>
      <c r="BX63" s="7">
        <f>IFERROR(AVERAGEIF('Данные 1st'!$S$2:$S$317,$A63,'Данные 1st'!$FA$2:$FA$317),"")</f>
        <v>1533</v>
      </c>
      <c r="BY63" s="7">
        <f>IFERROR(AVERAGEIF('Данные 1st'!$S$2:$S$317,$A63,'Данные 1st'!$FB$2:$FB$317),"")</f>
        <v>138.81666666666666</v>
      </c>
      <c r="BZ63" s="7">
        <f>IFERROR(AVERAGEIF('Данные 1st'!$S$2:$S$317,$A63,'Данные 1st'!$FC$2:$FC$317),"")</f>
        <v>212.66666666666666</v>
      </c>
      <c r="CA63" s="7">
        <f>IFERROR(AVERAGEIF('Данные 1st'!$S$2:$S$317,$A63,'Данные 1st'!$FE$2:$FE$317),"")</f>
        <v>0</v>
      </c>
      <c r="CB63" s="7">
        <f>IFERROR(AVERAGEIF('Данные 1st'!$S$2:$S$317,$A63,'Данные 1st'!$FF$2:$FF$317),"")</f>
        <v>2</v>
      </c>
      <c r="CC63" s="7">
        <f>IFERROR(AVERAGEIF('Данные 1st'!$S$2:$S$317,$A63,'Данные 1st'!$FI$2:$FI$317),"")</f>
        <v>0</v>
      </c>
      <c r="CD63" s="7">
        <f>IFERROR(AVERAGEIF('Данные 1st'!$S$2:$S$317,$A63,'Данные 1st'!$FL$2:$FL$317),"")</f>
        <v>0.4</v>
      </c>
      <c r="CE63" s="7">
        <f>IFERROR(AVERAGEIF('Данные 1st'!$S$2:$S$317,$A63,'Данные 1st'!$FM$2:$FM$317),"")</f>
        <v>55</v>
      </c>
      <c r="CF63" s="7">
        <f>IFERROR(AVERAGEIF('Данные 1st'!$S$2:$S$317,$A63,'Данные 1st'!$FN$2:$FN$317),"")</f>
        <v>371.6666666666667</v>
      </c>
      <c r="CG63" s="7">
        <f>IFERROR(AVERAGEIF('Данные 1st'!$S$2:$S$317,$A63,'Данные 1st'!$FO$2:$FO$317),"")</f>
        <v>80.83333333333333</v>
      </c>
      <c r="CH63" s="7">
        <f>IFERROR(AVERAGEIF('Данные 1st'!$S$2:$S$317,$A63,'Данные 1st'!$FP$2:$FP$317),"")</f>
        <v>158.33333333333334</v>
      </c>
      <c r="CI63" s="7">
        <f>IFERROR(AVERAGEIF('Данные 1st'!$S$2:$S$317,$A63,'Данные 1st'!$FS$2:$FS$317),"")</f>
        <v>0.4</v>
      </c>
      <c r="CJ63" s="7">
        <f>IFERROR(AVERAGEIF('Данные 1st'!$S$2:$S$317,$A63,'Данные 1st'!$FT$2:$FT$317),"")</f>
        <v>30</v>
      </c>
      <c r="CK63" s="7">
        <f>IFERROR(AVERAGEIF('Данные 1st'!$S$2:$S$317,$A63,'Данные 1st'!$FU$2:$FU$317),"")</f>
        <v>510</v>
      </c>
      <c r="CL63" s="7">
        <f>IFERROR(AVERAGEIF('Данные 1st'!$S$2:$S$317,$A63,'Данные 1st'!$FV$2:$FV$317),"")</f>
        <v/>
      </c>
      <c r="CM63" s="7">
        <f>IFERROR(AVERAGEIF('Данные 1st'!$S$2:$S$317,$A63,'Данные 1st'!$FW$2:$FW$317),"")</f>
        <v/>
      </c>
      <c r="CN63" s="7">
        <f>IFERROR(AVERAGEIF('Данные 1st'!$S$2:$S$317,$A63,'Данные 1st'!$FZ$2:$FZ$317),"")</f>
        <v/>
      </c>
      <c r="CO63" s="7">
        <f>IFERROR(AVERAGEIF('Данные 1st'!$S$2:$S$317,$A63,'Данные 1st'!$GA$2:$GA$317),"")</f>
        <v/>
      </c>
      <c r="CP63" s="7">
        <f>IFERROR(AVERAGEIF('Данные 1st'!$S$2:$S$317,$A63,'Данные 1st'!$GB$2:$GB$317),"")</f>
        <v/>
      </c>
      <c r="CQ63" s="7">
        <f>IFERROR(AVERAGEIF('Данные 1st'!$S$2:$S$317,$A63,'Данные 1st'!$GH$2:$GH$317),"")</f>
        <v/>
      </c>
      <c r="CR63" s="7">
        <f>IFERROR(AVERAGEIF('Данные 1st'!$S$2:$S$317,$A63,'Данные 1st'!$GI$2:$GI$317),"")</f>
        <v/>
      </c>
      <c r="CS63" s="7">
        <f>IFERROR(AVERAGEIF('Данные 1st'!$S$2:$S$317,$A63,'Данные 1st'!$GJ$2:$GJ$317),"")</f>
        <v/>
      </c>
      <c r="CT63" s="7">
        <f>IFERROR(AVERAGEIF('Данные 1st'!$S$2:$S$317,$A63,'Данные 1st'!$GS$2:$GS$317),"")</f>
        <v>0.43333333333333335</v>
      </c>
      <c r="CU63" s="7">
        <f>IFERROR(AVERAGEIF('Данные 1st'!$S$2:$S$317,$A63,'Данные 1st'!$GT$2:$GT$317),"")</f>
        <v>30</v>
      </c>
      <c r="CV63" s="7">
        <f>IFERROR(AVERAGEIF('Данные 1st'!$S$2:$S$317,$A63,'Данные 1st'!$GU$2:$GU$317),"")</f>
        <v>378.3333333333333</v>
      </c>
      <c r="CW63" s="7">
        <f>IFERROR(AVERAGEIF('Данные 1st'!$S$2:$S$317,$A63,'Данные 1st'!$GV$2:$GV$317),"")</f>
        <v>30</v>
      </c>
      <c r="CX63" s="7">
        <f>IFERROR(AVERAGEIF('Данные 1st'!$S$2:$S$317,$A63,'Данные 1st'!$GW$2:$GW$317),"")</f>
        <v>276</v>
      </c>
      <c r="CY63" s="7">
        <f>IFERROR(AVERAGEIF('Данные 1st'!$S$2:$S$317,$A63,'Данные 1st'!$GZ$2:$GZ$317),"")</f>
        <v/>
      </c>
      <c r="CZ63" s="7">
        <f>IFERROR(AVERAGEIF('Данные 1st'!$S$2:$S$317,$A63,'Данные 1st'!$HA$2:$HA$317),"")</f>
        <v/>
      </c>
      <c r="DA63" s="7">
        <f>IFERROR(AVERAGEIF('Данные 1st'!$S$2:$S$317,$A63,'Данные 1st'!$HB$2:$HB$317),"")</f>
        <v/>
      </c>
      <c r="DB63" s="7">
        <f>IFERROR(AVERAGEIF('Данные 1st'!$S$2:$S$317,$A63,'Данные 1st'!$HC$2:$HC$317),"")</f>
        <v>0.1</v>
      </c>
      <c r="DC63" s="7">
        <f>IFERROR(AVERAGEIF('Данные 1st'!$S$2:$S$317,$A63,'Данные 1st'!$HD$2:$HD$317),"")</f>
        <v>3</v>
      </c>
      <c r="DD63" s="7">
        <f>IFERROR(AVERAGEIF('Данные 1st'!$S$2:$S$317,$A63,'Данные 1st'!$HE$2:$HE$317),"")</f>
        <v>3</v>
      </c>
      <c r="DE63" s="7">
        <f>IFERROR(AVERAGEIF('Данные 1st'!$S$2:$S$317,$A63,'Данные 1st'!$HF$2:$HF$317),"")</f>
        <v>3</v>
      </c>
      <c r="DF63" s="7">
        <f>IFERROR(AVERAGEIF('Данные 1st'!$S$2:$S$317,$A63,'Данные 1st'!$HG$2:$HG$317),"")</f>
        <v>3</v>
      </c>
      <c r="DG63" s="7">
        <f>IFERROR(AVERAGEIF('Данные 1st'!$S$2:$S$317,$A63,'Данные 1st'!$HH$2:$HH$317),"")</f>
        <v>3</v>
      </c>
      <c r="DH63" s="7">
        <f>IFERROR(AVERAGEIF('Данные 1st'!$S$2:$S$317,$A63,'Данные 1st'!$HI$2:$HI$317),"")</f>
        <v>137.5</v>
      </c>
      <c r="DI63" s="7">
        <f>IFERROR(AVERAGEIF('Данные 1st'!$S$2:$S$317,$A63,'Данные 1st'!$HJ$2:$HJ$317),"")</f>
        <v>3</v>
      </c>
      <c r="DJ63" s="7">
        <f>IFERROR(AVERAGEIF('Данные 1st'!$S$2:$S$317,$A63,'Данные 1st'!$HK$2:$HK$317),"")</f>
        <v>30</v>
      </c>
      <c r="DK63" s="7">
        <f>IFERROR(AVERAGEIF('Данные 1st'!$S$2:$S$317,$A63,'Данные 1st'!$HL$2:$HL$317),"")</f>
        <v>2</v>
      </c>
      <c r="DL63" s="7">
        <f>IFERROR(AVERAGEIF('Данные 1st'!$S$2:$S$317,$A63,'Данные 1st'!$HM$2:$HM$317),"")</f>
        <v>0</v>
      </c>
      <c r="DM63" s="7">
        <f>IFERROR(AVERAGEIF('Данные 1st'!$S$2:$S$317,$A63,'Данные 1st'!$HN$2:$HN$317),"")</f>
        <v>2</v>
      </c>
      <c r="DN63" s="7">
        <f>IFERROR(AVERAGEIF('Данные 1st'!$S$2:$S$317,$A63,'Данные 1st'!$HO$2:$HO$317),"")</f>
        <v>92.5</v>
      </c>
      <c r="DO63" s="7">
        <f>IFERROR(AVERAGEIF('Данные 1st'!$S$2:$S$317,$A63,'Данные 1st'!$HP$2:$HP$317),"")</f>
        <v>3</v>
      </c>
      <c r="DP63" s="7">
        <f>IFERROR(AVERAGEIF('Данные 1st'!$S$2:$S$317,$A63,'Данные 1st'!$HQ$2:$HQ$317),"")</f>
        <v>0</v>
      </c>
      <c r="DQ63" s="7">
        <f>IFERROR(AVERAGEIF('Данные 1st'!$S$2:$S$317,$A63,'Данные 1st'!$HR$2:$HR$317),"")</f>
        <v>2</v>
      </c>
      <c r="DR63" s="7">
        <f>IFERROR(AVERAGEIF('Данные 1st'!$S$2:$S$317,$A63,'Данные 1st'!$HS$2:$HS$317),"")</f>
        <v>5979.333333333333</v>
      </c>
      <c r="DS63" s="7">
        <f>IFERROR(AVERAGEIF('Данные 1st'!$S$2:$S$317,$A63,'Данные 1st'!$HT$2:$HT$317),"")</f>
        <v>178.33333333333334</v>
      </c>
      <c r="DT63" s="7">
        <f>IFERROR(AVERAGEIF('Данные 1st'!$S$2:$S$317,$A63,'Данные 1st'!$HU$2:$HU$317),"")</f>
        <v>180</v>
      </c>
      <c r="DU63" s="7">
        <f>IFERROR(AVERAGEIF('Данные 1st'!$S$2:$S$317,$A63,'Данные 1st'!$HW$2:$HW$317),"")</f>
        <v>0</v>
      </c>
      <c r="DV63" s="7">
        <f>IFERROR(AVERAGEIF('Данные 1st'!$S$2:$S$317,$A63,'Данные 1st'!$HX$2:$HX$317),"")</f>
        <v>449.1666666666667</v>
      </c>
      <c r="DW63" s="7">
        <f>IFERROR(AVERAGEIF('Данные 1st'!$S$2:$S$317,$A63,'Данные 1st'!$HY$2:$HY$317),"")</f>
        <v>0.18</v>
      </c>
      <c r="DX63" s="7">
        <f>IFERROR(AVERAGEIF('Данные 1st'!$S$2:$S$317,$A63,'Данные 1st'!$IA$2:$IA$317),"")</f>
        <v>0.15</v>
      </c>
      <c r="DY63" s="7">
        <f>IFERROR(AVERAGEIF('Данные 1st'!$S$2:$S$317,$A63,'Данные 1st'!$IB$2:$IB$317),"")</f>
        <v>0</v>
      </c>
      <c r="DZ63" s="7">
        <f>IFERROR(AVERAGEIF('Данные 1st'!$S$2:$S$317,$A63,'Данные 1st'!$IC$2:$IC$317),"")</f>
        <v>180</v>
      </c>
      <c r="EA63" s="7">
        <f>IFERROR(AVERAGEIF('Данные 1st'!$S$2:$S$317,$A63,'Данные 1st'!$ID$2:$ID$317),"")</f>
        <v>110</v>
      </c>
      <c r="EB63" s="7">
        <f>IFERROR(AVERAGEIF('Данные 1st'!$S$2:$S$317,$A63,'Данные 1st'!$IE$2:$IE$317),"")</f>
        <v>225</v>
      </c>
      <c r="EC63" s="7">
        <f>IFERROR(AVERAGEIF('Данные 1st'!$S$2:$S$317,$A63,'Данные 1st'!$IF$2:$IF$317),"")</f>
        <v>0</v>
      </c>
      <c r="ED63" s="7">
        <f>IFERROR(AVERAGEIF('Данные 1st'!$S$2:$S$317,$A63,'Данные 1st'!$IP$2:$IP$317),"")</f>
        <v>20</v>
      </c>
      <c r="EE63" s="7">
        <f>IFERROR(AVERAGEIF('Данные 1st'!$S$2:$S$317,$A63,'Данные 1st'!$IV$2:$IV$317),"")</f>
        <v>1538</v>
      </c>
      <c r="EF63" s="7">
        <f>IFERROR(AVERAGEIF('Данные 1st'!$S$2:$S$317,$A63,'Данные 1st'!$IW$2:$IW$317),"")</f>
        <v>435.3333333333333</v>
      </c>
      <c r="EG63" s="7">
        <f>IFERROR(AVERAGEIF('Данные 1st'!$S$2:$S$317,$A63,'Данные 1st'!$IX$2:$IX$317),"")</f>
        <v/>
      </c>
      <c r="EH63" s="7">
        <f>IFERROR(AVERAGEIF('Данные 1st'!$S$2:$S$317,$A63,'Данные 1st'!$IY$2:$IY$317),"")</f>
        <v/>
      </c>
      <c r="EI63" s="7">
        <f>IFERROR(AVERAGEIF('Данные 1st'!$S$2:$S$317,$A63,'Данные 1st'!$JD$2:$JD$317),"")</f>
        <v>1554</v>
      </c>
      <c r="EJ63" s="7">
        <f>IFERROR(AVERAGEIF('Данные 1st'!$S$2:$S$317,$A63,'Данные 1st'!$JE$2:$JE$317),"")</f>
        <v>1547</v>
      </c>
      <c r="EK63" s="7">
        <f>IFERROR(AVERAGEIF('Данные 1st'!$S$2:$S$317,$A63,'Данные 1st'!$JF$2:$JF$317),"")</f>
        <v>1552.5</v>
      </c>
      <c r="EL63" s="7">
        <f>IFERROR(AVERAGEIF('Данные 1st'!$S$2:$S$317,$A63,'Данные 1st'!$JG$2:$JG$317),"")</f>
        <v>1533</v>
      </c>
      <c r="EM63" s="7">
        <f>IFERROR(AVERAGEIF('Данные 1st'!$S$2:$S$317,$A63,'Данные 1st'!$JH$2:$JH$317),"")</f>
        <v>0</v>
      </c>
      <c r="EN63" s="7">
        <f>IFERROR(AVERAGEIF('Данные 1st'!$S$2:$S$317,$A63,'Данные 1st'!$JJ$2:$JJ$317),"")</f>
        <v>180</v>
      </c>
      <c r="EO63" s="7">
        <f>IFERROR(AVERAGEIF('Данные 1st'!$S$2:$S$317,$A63,'Данные 1st'!$JK$2:$JK$317),"")</f>
        <v>449.1666666666667</v>
      </c>
      <c r="EP63" s="7">
        <f>IFERROR(AVERAGEIF('Данные 1st'!$S$2:$S$317,$A63,'Данные 1st'!$JL$2:$JL$317),"")</f>
        <v/>
      </c>
      <c r="EQ63" s="7">
        <f>IFERROR(AVERAGEIF('Данные 1st'!$S$2:$S$317,$A63,'Данные 1st'!$JM$2:$JM$317),"")</f>
        <v/>
      </c>
      <c r="ER63" s="7">
        <f>IFERROR(AVERAGEIF('Данные 1st'!$S$2:$S$317,$A63,'Данные 1st'!$JN$2:$JN$317),"")</f>
        <v>400.8333333333333</v>
      </c>
      <c r="ES63" s="7">
        <f>IFERROR(AVERAGEIF('Данные 1st'!$S$2:$S$317,$A63,'Данные 1st'!$JO$2:$JO$317),"")</f>
        <v>572.5</v>
      </c>
      <c r="ET63" s="7">
        <f>IFERROR(AVERAGEIF('Данные 1st'!$S$2:$S$317,$A63,'Данные 1st'!$JP$2:$JP$317),"")</f>
        <v>495.8333333333333</v>
      </c>
      <c r="EU63" s="7">
        <f>IFERROR(AVERAGEIF('Данные 1st'!$S$2:$S$317,$A63,'Данные 1st'!$JQ$2:$JQ$317),"")</f>
        <v>0</v>
      </c>
      <c r="EV63" s="7">
        <f>IFERROR(AVERAGEIF('Данные 1st'!$S$2:$S$317,$A63,'Данные 1st'!$JR$2:$JR$317),"")</f>
        <v>437</v>
      </c>
      <c r="EW63" s="7">
        <f>IFERROR(AVERAGEIF('Данные 1st'!$S$2:$S$317,$A63,'Данные 1st'!$JS$2:$JS$317),"")</f>
        <v>137.5</v>
      </c>
      <c r="EX63" s="7">
        <f>IFERROR(AVERAGEIF('Данные 1st'!$S$2:$S$317,$A63,'Данные 1st'!$JT$2:$JT$317),"")</f>
        <v/>
      </c>
      <c r="EY63" s="7">
        <f>IFERROR(AVERAGEIF('Данные 1st'!$S$2:$S$317,$A63,'Данные 1st'!$JU$2:$JU$317),"")</f>
        <v/>
      </c>
      <c r="EZ63" s="7">
        <f>IFERROR(AVERAGEIF('Данные 1st'!$S$2:$S$317,$A63,'Данные 1st'!$JV$2:$JV$317),"")</f>
        <v>8.333333333333334</v>
      </c>
      <c r="FA63" s="7">
        <f>IFERROR(AVERAGEIF('Данные 1st'!$S$2:$S$317,$A63,'Данные 1st'!$JW$2:$JW$317),"")</f>
        <v/>
      </c>
      <c r="FB63" s="7">
        <f>IFERROR(AVERAGEIF('Данные 1st'!$S$2:$S$317,$A63,'Данные 1st'!$JX$2:$JX$317),"")</f>
        <v>486.3333333333333</v>
      </c>
      <c r="FC63" s="7">
        <f>IFERROR(AVERAGEIF('Данные 1st'!$S$2:$S$317,$A63,'Данные 1st'!$JY$2:$JY$317),"")</f>
        <v/>
      </c>
      <c r="FD63" s="7">
        <f>IFERROR(AVERAGEIF('Данные 1st'!$S$2:$S$317,$A63,'Данные 1st'!$JZ$2:$JZ$317),"")</f>
        <v/>
      </c>
      <c r="FE63" s="7">
        <f>IFERROR(AVERAGEIF('Данные 1st'!$S$2:$S$317,$A63,'Данные 1st'!$KA$2:$KA$317),"")</f>
        <v>225</v>
      </c>
      <c r="FF63" s="7">
        <f>IFERROR(AVERAGEIF('Данные 1st'!$S$2:$S$317,$A63,'Данные 1st'!$KB$2:$KB$317),"")</f>
        <v>110</v>
      </c>
      <c r="FG63" s="7">
        <f>IFERROR(AVERAGEIF('Данные 1st'!$S$2:$S$317,$A63,'Данные 1st'!$KC$2:$KC$317),"")</f>
        <v>0</v>
      </c>
      <c r="FH63" s="7">
        <f>IFERROR(AVERAGEIF('Данные 1st'!$S$2:$S$317,$A63,'Данные 1st'!$KD$2:$KD$317),"")</f>
        <v>80</v>
      </c>
      <c r="FI63" s="7">
        <f>IFERROR(AVERAGEIF('Данные 1st'!$S$2:$S$317,$A63,'Данные 1st'!$KE$2:$KE$317),"")</f>
        <v/>
      </c>
      <c r="FJ63" s="7">
        <f>IFERROR(AVERAGEIF('Данные 1st'!$S$2:$S$317,$A63,'Данные 1st'!$KF$2:$KF$317),"")</f>
        <v>4</v>
      </c>
      <c r="FK63" s="7">
        <f>IFERROR(AVERAGEIF('Данные 1st'!$S$2:$S$317,$A63,'Данные 1st'!$KG$2:$KG$317),"")</f>
        <v>3</v>
      </c>
      <c r="FL63" s="7">
        <f>IFERROR(AVERAGEIF('Данные 1st'!$S$2:$S$317,$A63,'Данные 1st'!$KH$2:$KH$317),"")</f>
        <v>2</v>
      </c>
      <c r="FM63" s="7">
        <f>IFERROR(AVERAGEIF('Данные 1st'!$S$2:$S$317,$A63,'Данные 1st'!$KI$2:$KI$317),"")</f>
        <v>2</v>
      </c>
      <c r="FN63" s="7">
        <f>IFERROR(AVERAGEIF('Данные 1st'!$S$2:$S$317,$A63,'Данные 1st'!$KJ$2:$KJ$317),"")</f>
        <v>0</v>
      </c>
      <c r="FO63" s="7">
        <f>IFERROR(AVERAGEIF('Данные 1st'!$S$2:$S$317,$A63,'Данные 1st'!$KK$2:$KK$317),"")</f>
        <v>1.5</v>
      </c>
      <c r="FP63" s="7">
        <f>IFERROR(AVERAGEIF('Данные 1st'!$S$2:$S$317,$A63,'Данные 1st'!$KL$2:$KL$317),"")</f>
        <v>1.5</v>
      </c>
      <c r="FQ63" s="7">
        <f>IFERROR(AVERAGEIF('Данные 1st'!$S$2:$S$317,$A63,'Данные 1st'!$KM$2:$KM$317),"")</f>
        <v>0</v>
      </c>
      <c r="FR63" s="7">
        <f>IFERROR(AVERAGEIF('Данные 1st'!$S$2:$S$317,$A63,'Данные 1st'!$KN$2:$KN$317),"")</f>
        <v>0</v>
      </c>
      <c r="FS63" s="7">
        <f>IFERROR(AVERAGEIF('Данные 1st'!$S$2:$S$317,$A63,'Данные 1st'!$KR$2:$KR$317),"")</f>
        <v>28.333333333333332</v>
      </c>
      <c r="FT63" s="7">
        <f>IFERROR(AVERAGEIF('Данные 1st'!$S$2:$S$317,$A63,'Данные 1st'!$KS$2:$KS$317),"")</f>
        <v>50</v>
      </c>
      <c r="FU63" s="7">
        <f>IFERROR(AVERAGEIF('Данные 1st'!$S$2:$S$317,$A63,'Данные 1st'!$KT$2:$KT$317),"")</f>
        <v>0</v>
      </c>
      <c r="FV63" s="7">
        <f>IFERROR(AVERAGEIF('Данные 1st'!$S$2:$S$317,$A63,'Данные 1st'!$KV$2:$KV$317),"")</f>
        <v/>
      </c>
      <c r="FW63" s="7">
        <f>IFERROR(AVERAGEIF('Данные 1st'!$S$2:$S$317,$A63,'Данные 1st'!$KW$2:$KW$317),"")</f>
        <v/>
      </c>
      <c r="FX63" s="7">
        <f>IFERROR(AVERAGEIF('Данные 1st'!$S$2:$S$317,$A63,'Данные 1st'!$KX$2:$KX$317),"")</f>
        <v/>
      </c>
      <c r="FY63" s="7">
        <f>IFERROR(AVERAGEIF('Данные 1st'!$S$2:$S$317,$A63,'Данные 1st'!$KY$2:$KY$317),"")</f>
        <v/>
      </c>
      <c r="FZ63" s="7">
        <f>IFERROR(AVERAGEIF('Данные 1st'!$S$2:$S$317,$A63,'Данные 1st'!$KZ$2:$KZ$317),"")</f>
        <v/>
      </c>
      <c r="GA63" s="7">
        <f>IFERROR(AVERAGEIF('Данные 1st'!$S$2:$S$317,$A63,'Данные 1st'!$LA$2:$LA$317),"")</f>
        <v/>
      </c>
      <c r="GB63" s="7">
        <f>IFERROR(AVERAGEIF('Данные 1st'!$S$2:$S$317,$A63,'Данные 1st'!$LB$2:$LB$317),"")</f>
        <v/>
      </c>
      <c r="GC63" s="7">
        <f>IFERROR(AVERAGEIF('Данные 1st'!$S$2:$S$317,$A63,'Данные 1st'!$LC$2:$LC$317),"")</f>
        <v/>
      </c>
      <c r="GD63" s="7">
        <f>IFERROR(AVERAGEIF('Данные 1st'!$S$2:$S$317,$A63,'Данные 1st'!$LD$2:$LD$317),"")</f>
        <v/>
      </c>
      <c r="GE63" s="7">
        <f>IFERROR(AVERAGEIF('Данные 1st'!$S$2:$S$317,$A63,'Данные 1st'!$LE$2:$LE$317),"")</f>
        <v/>
      </c>
      <c r="GF63" s="7">
        <f>IFERROR(AVERAGEIF('Данные 1st'!$S$2:$S$317,$A63,'Данные 1st'!$LF$2:$LF$317),"")</f>
        <v/>
      </c>
      <c r="GG63" s="7">
        <f>IFERROR(AVERAGEIF('Данные 1st'!$S$2:$S$317,$A63,'Данные 1st'!$LG$2:$LG$317),"")</f>
        <v/>
      </c>
      <c r="GH63" s="7">
        <f>IFERROR(AVERAGEIF('Данные 1st'!$S$2:$S$317,$A63,'Данные 1st'!$LH$2:$LH$317),"")</f>
        <v/>
      </c>
      <c r="GI63" s="7">
        <f>IFERROR(AVERAGEIF('Данные 1st'!$S$2:$S$317,$A63,'Данные 1st'!$LI$2:$LI$317),"")</f>
        <v/>
      </c>
      <c r="GJ63" s="7">
        <f>IFERROR(AVERAGEIF('Данные 1st'!$S$2:$S$317,$A63,'Данные 1st'!$LJ$2:$LJ$317),"")</f>
        <v/>
      </c>
      <c r="GK63" s="7">
        <f>IFERROR(AVERAGEIF('Данные 1st'!$S$2:$S$317,$A63,'Данные 1st'!$LK$2:$LK$317),"")</f>
        <v>480</v>
      </c>
      <c r="GL63" s="7">
        <f>IFERROR(AVERAGEIF('Данные 1st'!$S$2:$S$317,$A63,'Данные 1st'!$LV$2:$LV$317),"")</f>
        <v/>
      </c>
      <c r="GM63" s="7">
        <f>IFERROR(AVERAGEIF('Данные 1st'!$S$2:$S$317,$A63,'Данные 1st'!$LW$2:$LW$317),"")</f>
        <v/>
      </c>
      <c r="GN63" s="7">
        <f>IFERROR(AVERAGEIF('Данные 1st'!$S$2:$S$317,$A63,'Данные 1st'!$LX$2:$LX$317),"")</f>
        <v/>
      </c>
      <c r="GO63" s="7">
        <f>IFERROR(AVERAGEIF('Данные 1st'!$S$2:$S$317,$A63,'Данные 1st'!$LY$2:$LY$317),"")</f>
        <v/>
      </c>
      <c r="GP63" s="7">
        <f>IFERROR(AVERAGEIF('Данные 1st'!$S$2:$S$317,$A63,'Данные 1st'!$LZ$2:$LZ$317),"")</f>
        <v/>
      </c>
      <c r="GQ63" s="7">
        <f>IFERROR(AVERAGEIF('Данные 1st'!$S$2:$S$317,$A63,'Данные 1st'!$PG$2:$PG$317),"")</f>
        <v>1</v>
      </c>
      <c r="GR63" s="7">
        <f>IFERROR(AVERAGEIF('Данные 1st'!$S$2:$S$317,$A63,'Данные 1st'!$PX$2:$PX$317),"")</f>
        <v>56</v>
      </c>
      <c r="GS63" s="7">
        <f>IFERROR(AVERAGEIF('Данные 1st'!$S$2:$S$317,$A63,'Данные 1st'!$PY$2:$PY$317),"")</f>
        <v>56.666666666666664</v>
      </c>
      <c r="GT63" s="7">
        <f>IFERROR(AVERAGEIF('Данные 1st'!$S$2:$S$317,$A63,'Данные 1st'!$QA$2:$QA$317),"")</f>
        <v>1.3333333333333333</v>
      </c>
      <c r="GU63" s="7">
        <f>IFERROR(AVERAGEIF('Данные 1st'!$S$2:$S$317,$A63,'Данные 1st'!$QB$2:$QB$317),"")</f>
        <v>1533</v>
      </c>
      <c r="GV63" s="7">
        <f>IFERROR(AVERAGEIF('Данные 1st'!$S$2:$S$317,$A63,'Данные 1st'!$QC$2:$QC$317),"")</f>
        <v>69</v>
      </c>
      <c r="GW63" s="7">
        <f>IFERROR(AVERAGEIF('Данные 1st'!$S$2:$S$317,$A63,'Данные 1st'!$QD$2:$QD$317),"")</f>
        <v>69</v>
      </c>
      <c r="GX63" s="7">
        <f>IFERROR(AVERAGEIF('Данные 1st'!$S$2:$S$317,$A63,'Данные 1st'!$QF$2:$QF$317),"")</f>
        <v>1</v>
      </c>
      <c r="GY63" s="7">
        <f>IFERROR(AVERAGEIF('Данные 1st'!$S$2:$S$317,$A63,'Данные 1st'!$QG$2:$QG$317),"")</f>
        <v>1554</v>
      </c>
      <c r="GZ63" s="7">
        <f>IFERROR(AVERAGEIF('Данные 1st'!$S$2:$S$317,$A63,'Данные 1st'!$QH$2:$QH$317),"")</f>
        <v>66</v>
      </c>
      <c r="HA63" s="7">
        <f>IFERROR(AVERAGEIF('Данные 1st'!$S$2:$S$317,$A63,'Данные 1st'!$QI$2:$QI$317),"")</f>
        <v>66</v>
      </c>
      <c r="HB63" s="7">
        <f>IFERROR(AVERAGEIF('Данные 1st'!$S$2:$S$317,$A63,'Данные 1st'!$QK$2:$QK$317),"")</f>
        <v>1</v>
      </c>
      <c r="HC63" s="7">
        <f>IFERROR(AVERAGEIF('Данные 1st'!$S$2:$S$317,$A63,'Данные 1st'!$QL$2:$QL$317),"")</f>
        <v>1554</v>
      </c>
      <c r="HD63" s="7">
        <f>IFERROR(AVERAGEIF('Данные 1st'!$S$2:$S$317,$A63,'Данные 1st'!$QM$2:$QM$317),"")</f>
        <v>62</v>
      </c>
      <c r="HE63" s="7">
        <f>IFERROR(AVERAGEIF('Данные 1st'!$S$2:$S$317,$A63,'Данные 1st'!$QN$2:$QN$317),"")</f>
        <v>62</v>
      </c>
      <c r="HF63" s="7">
        <f>IFERROR(AVERAGEIF('Данные 1st'!$S$2:$S$317,$A63,'Данные 1st'!$QP$2:$QP$317),"")</f>
        <v>1</v>
      </c>
      <c r="HG63" s="7">
        <f>IFERROR(AVERAGEIF('Данные 1st'!$S$2:$S$317,$A63,'Данные 1st'!$QQ$2:$QQ$317),"")</f>
        <v>1547</v>
      </c>
      <c r="HH63" s="7">
        <f>IFERROR(AVERAGEIF('Данные 1st'!$S$2:$S$317,$A63,'Данные 1st'!$QR$2:$QR$317),"")</f>
        <v>62</v>
      </c>
      <c r="HI63" s="7">
        <f>IFERROR(AVERAGEIF('Данные 1st'!$S$2:$S$317,$A63,'Данные 1st'!$QS$2:$QS$317),"")</f>
        <v>62</v>
      </c>
      <c r="HJ63" s="7">
        <f>IFERROR(AVERAGEIF('Данные 1st'!$S$2:$S$317,$A63,'Данные 1st'!$QU$2:$QU$317),"")</f>
        <v>1</v>
      </c>
      <c r="HK63" s="7">
        <f>IFERROR(AVERAGEIF('Данные 1st'!$S$2:$S$317,$A63,'Данные 1st'!$QV$2:$QV$317),"")</f>
        <v>1552.5</v>
      </c>
      <c r="HL63" s="7">
        <f>IFERROR(AVERAGEIF('Данные 1st'!$S$2:$S$317,$A63,'Данные 1st'!$QW$2:$QW$317),"")</f>
        <v>82</v>
      </c>
      <c r="HM63" s="7">
        <f>IFERROR(AVERAGEIF('Данные 1st'!$S$2:$S$317,$A63,'Данные 1st'!$QX$2:$QX$317),"")</f>
        <v/>
      </c>
      <c r="HN63" s="7">
        <f>IFERROR(AVERAGEIF('Данные 1st'!$S$2:$S$317,$A63,'Данные 1st'!$QZ$2:$QZ$317),"")</f>
        <v>2.6666666666666665</v>
      </c>
      <c r="HO63" s="7">
        <f>IFERROR(AVERAGEIF('Данные 1st'!$S$2:$S$317,$A63,'Данные 1st'!$RA$2:$RA$317),"")</f>
        <v>66</v>
      </c>
      <c r="HP63" s="7">
        <f>IFERROR(AVERAGEIF('Данные 1st'!$S$2:$S$317,$A63,'Данные 1st'!$RB$2:$RB$317),"")</f>
        <v>66</v>
      </c>
      <c r="HQ63" s="7">
        <f>IFERROR(AVERAGEIF('Данные 1st'!$S$2:$S$317,$A63,'Данные 1st'!$RD$2:$RD$317),"")</f>
        <v/>
      </c>
      <c r="HR63" s="7">
        <f>IFERROR(AVERAGEIF('Данные 1st'!$S$2:$S$317,$A63,'Данные 1st'!$RE$2:$RE$317),"")</f>
        <v>0</v>
      </c>
      <c r="HS63" s="7">
        <f>IFERROR(AVERAGEIF('Данные 1st'!$S$2:$S$317,$A63,'Данные 1st'!$RF$2:$RF$317),"")</f>
        <v>1</v>
      </c>
      <c r="HT63" s="7">
        <f>IFERROR(AVERAGEIF('Данные 1st'!$S$2:$S$317,$A63,'Данные 1st'!$RG$2:$RG$317),"")</f>
        <v/>
      </c>
      <c r="HU63" s="7">
        <f>IFERROR(AVERAGEIF('Данные 1st'!$S$2:$S$317,$A63,'Данные 1st'!$RH$2:$RH$317),"")</f>
        <v>1</v>
      </c>
      <c r="HV63" s="7">
        <f>IFERROR(AVERAGEIF('Данные 1st'!$S$2:$S$317,$A63,'Данные 1st'!$RI$2:$RI$317),"")</f>
        <v/>
      </c>
      <c r="HW63" s="7">
        <f>IFERROR(AVERAGEIF('Данные 1st'!$S$2:$S$317,$A63,'Данные 1st'!$RJ$2:$RJ$317),"")</f>
        <v>1</v>
      </c>
      <c r="HX63" s="7">
        <f>IFERROR(AVERAGEIF('Данные 1st'!$S$2:$S$317,$A63,'Данные 1st'!$RK$2:$RK$317),"")</f>
        <v>2.1666666666666665</v>
      </c>
      <c r="HY63" s="7">
        <f>IFERROR(AVERAGEIF('Данные 1st'!$S$2:$S$317,$A63,'Данные 1st'!$RL$2:$RL$317),"")</f>
        <v>4</v>
      </c>
      <c r="HZ63" s="7">
        <f>IFERROR(AVERAGEIF('Данные 1st'!$S$2:$S$317,$A63,'Данные 1st'!$RM$2:$RM$317),"")</f>
        <v>4</v>
      </c>
      <c r="IA63" s="7">
        <f>IFERROR(AVERAGEIF('Данные 1st'!$S$2:$S$317,$A63,'Данные 1st'!$RN$2:$RN$317),"")</f>
        <v/>
      </c>
      <c r="IB63" s="7">
        <f>IFERROR(AVERAGEIF('Данные 1st'!$S$2:$S$317,$A63,'Данные 1st'!$RO$2:$RO$317),"")</f>
        <v>567.6666666666666</v>
      </c>
      <c r="IC63" s="7">
        <f>IFERROR(AVERAGEIF('Данные 1st'!$S$2:$S$317,$A63,'Данные 1st'!$RP$2:$RP$317),"")</f>
        <v>122.5</v>
      </c>
      <c r="ID63" s="7">
        <f>IFERROR(AVERAGEIF('Данные 1st'!$S$2:$S$317,$A63,'Данные 1st'!$RQ$2:$RQ$317),"")</f>
        <v>688.1666666666666</v>
      </c>
      <c r="IE63" s="7">
        <f>IFERROR(AVERAGEIF('Данные 1st'!$S$2:$S$317,$A63,'Данные 1st'!$RR$2:$RR$317),"")</f>
        <v>541.8333333333334</v>
      </c>
      <c r="IF63" s="7">
        <f>IFERROR(AVERAGEIF('Данные 1st'!$S$2:$S$317,$A63,'Данные 1st'!$RS$2:$RS$317),"")</f>
        <v/>
      </c>
      <c r="IG63" s="7">
        <f>IFERROR(AVERAGEIF('Данные 1st'!$S$2:$S$317,$A63,'Данные 1st'!$RT$2:$RT$317),"")</f>
        <v>366</v>
      </c>
      <c r="IH63" s="7">
        <f>IFERROR(AVERAGEIF('Данные 1st'!$S$2:$S$317,$A63,'Данные 1st'!$RU$2:$RU$317),"")</f>
        <v>220.5</v>
      </c>
      <c r="II63" s="7">
        <f>IFERROR(AVERAGEIF('Данные 1st'!$S$2:$S$317,$A63,'Данные 1st'!$RX$2:$RX$317),"")</f>
        <v>15</v>
      </c>
      <c r="IJ63" s="7">
        <f>IFERROR(AVERAGEIF('Данные 1st'!$S$2:$S$317,$A63,'Данные 1st'!$RY$2:$RY$317),"")</f>
        <v>4</v>
      </c>
      <c r="IK63" s="7">
        <f>IFERROR(AVERAGEIF('Данные 1st'!$S$2:$S$317,$A63,'Данные 1st'!$SA$2:$SA$317),"")</f>
        <v>15</v>
      </c>
      <c r="IL63" s="7">
        <f>IFERROR(AVERAGEIF('Данные 1st'!$S$2:$S$317,$A63,'Данные 1st'!$SD$2:$SD$317),"")</f>
        <v>1</v>
      </c>
      <c r="IM63" s="7">
        <f>IFERROR(AVERAGEIF('Данные 1st'!$S$2:$S$317,$A63,'Данные 1st'!$SG$2:$SG$317),"")</f>
        <v>1</v>
      </c>
      <c r="IN63" s="7">
        <f>IFERROR(AVERAGEIF('Данные 1st'!$S$2:$S$317,$A63,'Данные 1st'!$SH$2:$SH$317),"")</f>
        <v>0.995</v>
      </c>
      <c r="IO63" s="7">
        <f>IFERROR(AVERAGEIF('Данные 1st'!$S$2:$S$317,$A63,'Данные 1st'!$SI$2:$SI$317),"")</f>
        <v>0.995</v>
      </c>
      <c r="IP63" s="7">
        <f>IFERROR(AVERAGEIF('Данные 1st'!$S$2:$S$317,$A63,'Данные 1st'!$SJ$2:$SJ$317),"")</f>
        <v>0.995</v>
      </c>
      <c r="IQ63" s="7">
        <f>IFERROR(AVERAGEIF('Данные 1st'!$S$2:$S$317,$A63,'Данные 1st'!$SK$2:$SK$317),"")</f>
        <v>15</v>
      </c>
      <c r="IR63" s="7">
        <f>IFERROR(AVERAGEIF('Данные 1st'!$S$2:$S$317,$A63,'Данные 1st'!$SL$2:$SL$317),"")</f>
        <v>0</v>
      </c>
      <c r="IS63" s="7">
        <f>IFERROR(AVERAGEIF('Данные 1st'!$S$2:$S$317,$A63,'Данные 1st'!$SM$2:$SM$317),"")</f>
        <v>0</v>
      </c>
      <c r="IT63" s="7">
        <f>IFERROR(AVERAGEIF('Данные 1st'!$S$2:$S$317,$A63,'Данные 1st'!$SN$2:$SN$317),"")</f>
        <v>0</v>
      </c>
      <c r="IU63" s="7">
        <f>IFERROR(AVERAGEIF('Данные 1st'!$S$2:$S$317,$A63,'Данные 1st'!$SO$2:$SO$317),"")</f>
        <v>0</v>
      </c>
      <c r="IV63" s="7">
        <f>IFERROR(AVERAGEIF('Данные 1st'!$S$2:$S$317,$A63,'Данные 1st'!$SP$2:$SP$317),"")</f>
        <v>0</v>
      </c>
      <c r="IW63" s="7">
        <f>IFERROR(AVERAGEIF('Данные 1st'!$S$2:$S$317,$A63,'Данные 1st'!$SQ$2:$SQ$317),"")</f>
        <v>0</v>
      </c>
      <c r="IX63" s="7">
        <f>IFERROR(AVERAGEIF('Данные 1st'!$S$2:$S$317,$A63,'Данные 1st'!$SR$2:$SR$317),"")</f>
        <v>0</v>
      </c>
      <c r="IY63" s="7">
        <f>IFERROR(AVERAGEIF('Данные 1st'!$S$2:$S$317,$A63,'Данные 1st'!$SS$2:$SS$317),"")</f>
        <v>0</v>
      </c>
      <c r="IZ63" s="7">
        <f>IFERROR(AVERAGEIF('Данные 1st'!$S$2:$S$317,$A63,'Данные 1st'!$ST$2:$ST$317),"")</f>
        <v>0</v>
      </c>
      <c r="JA63" s="7">
        <f>IFERROR(AVERAGEIF('Данные 1st'!$S$2:$S$317,$A63,'Данные 1st'!$SU$2:$SU$317),"")</f>
        <v>0</v>
      </c>
      <c r="JB63" s="7">
        <f>IFERROR(AVERAGEIF('Данные 1st'!$S$2:$S$317,$A63,'Данные 1st'!$SV$2:$SV$317),"")</f>
        <v>0</v>
      </c>
      <c r="JC63" s="7">
        <f>IFERROR(AVERAGEIF('Данные 1st'!$S$2:$S$317,$A63,'Данные 1st'!$SW$2:$SW$317),"")</f>
        <v>0</v>
      </c>
      <c r="JD63" s="7">
        <f>IFERROR(AVERAGEIF('Данные 1st'!$S$2:$S$317,$A63,'Данные 1st'!$SX$2:$SX$317),"")</f>
        <v>0</v>
      </c>
      <c r="JE63" s="7">
        <f>IFERROR(AVERAGEIF('Данные 1st'!$S$2:$S$317,$A63,'Данные 1st'!$SY$2:$SY$317),"")</f>
        <v>1</v>
      </c>
      <c r="JF63" s="7">
        <f>IFERROR(AVERAGEIF('Данные 1st'!$S$2:$S$317,$A63,'Данные 1st'!$SZ$2:$SZ$317),"")</f>
        <v>1</v>
      </c>
      <c r="JG63" s="7">
        <f>IFERROR(AVERAGEIF('Данные 1st'!$S$2:$S$317,$A63,'Данные 1st'!$TA$2:$TA$317),"")</f>
        <v/>
      </c>
      <c r="JH63" s="7">
        <f>IFERROR(AVERAGEIF('Данные 1st'!$S$2:$S$317,$A63,'Данные 1st'!$TB$2:$TB$317),"")</f>
        <v>0.3333333333333333</v>
      </c>
      <c r="JI63" s="7">
        <f>IFERROR(AVERAGEIF('Данные 1st'!$S$2:$S$317,$A63,'Данные 1st'!$TC$2:$TC$317),"")</f>
        <v>0</v>
      </c>
      <c r="JJ63" s="7">
        <f>IFERROR(AVERAGEIF('Данные 1st'!$S$2:$S$317,$A63,'Данные 1st'!$TD$2:$TD$317),"")</f>
        <v>7.816666666666666</v>
      </c>
      <c r="JK63" s="7">
        <f>IFERROR(AVERAGEIF('Данные 1st'!$S$2:$S$317,$A63,'Данные 1st'!$TN$2:$TN$317),"")</f>
        <v>0</v>
      </c>
      <c r="JL63">
        <f>COUNTIF('Данные 2st'!$Q$2:$Q$317,$A63)</f>
        <v>6</v>
      </c>
      <c r="JM63" s="6" t="s">
        <v>5115</v>
      </c>
      <c r="JN63" s="6" t="s">
        <v>513</v>
      </c>
      <c r="JO63" s="6" t="s">
        <v>5125</v>
      </c>
      <c r="JP63" s="6" t="s">
        <v>5513</v>
      </c>
      <c r="JQ63" s="7">
        <f>IFERROR(AVERAGEIF('Данные 2st'!$Q$2:$Q$317,$A63,'Данные 2st'!$AC$2:$AC$317),"")</f>
        <v>9.666666666666666</v>
      </c>
      <c r="JR63" s="7">
        <f>IFERROR(AVERAGEIF('Данные 2st'!$Q$2:$Q$317,$A63,'Данные 2st'!$AF$2:$AF$317),"")</f>
        <v>5979.333333333333</v>
      </c>
      <c r="JS63" s="7">
        <f>IFERROR(AVERAGEIF('Данные 2st'!$Q$2:$Q$317,$A63,'Данные 2st'!$AW$2:$AW$317),"")</f>
        <v>6.4</v>
      </c>
      <c r="JT63" s="7">
        <f>IFERROR(AVERAGEIF('Данные 2st'!$Q$2:$Q$317,$A63,'Данные 2st'!$AX$2:$AX$317),"")</f>
        <v>-6</v>
      </c>
      <c r="JU63" s="7">
        <f>IFERROR(AVERAGEIF('Данные 2st'!$Q$2:$Q$317,$A63,'Данные 2st'!$AY$2:$AY$317),"")</f>
        <v>107.91666666666667</v>
      </c>
      <c r="JV63" s="7">
        <f>IFERROR(AVERAGEIF('Данные 2st'!$Q$2:$Q$317,$A63,'Данные 2st'!$AZ$2:$AZ$317),"")</f>
        <v>79.0</v>
      </c>
      <c r="JW63" s="7">
        <f>IFERROR(AVERAGEIF('Данные 2st'!$Q$2:$Q$317,$A63,'Данные 2st'!$BA$2:$BA$317),"")</f>
        <v/>
      </c>
      <c r="JX63" s="7">
        <f>IFERROR(AVERAGEIF('Данные 2st'!$Q$2:$Q$317,$A63,'Данные 2st'!$BB$2:$BB$317),"")</f>
        <v/>
      </c>
      <c r="JY63" s="7">
        <f>IFERROR(AVERAGEIF('Данные 2st'!$Q$2:$Q$317,$A63,'Данные 2st'!$BC$2:$BC$317),"")</f>
        <v/>
      </c>
      <c r="JZ63" s="7">
        <f>IFERROR(AVERAGEIF('Данные 2st'!$Q$2:$Q$317,$A63,'Данные 2st'!$BH$2:$BH$317),"")</f>
        <v>107.91666666666667</v>
      </c>
      <c r="KA63" s="7">
        <f>IFERROR(AVERAGEIF('Данные 2st'!$Q$2:$Q$317,$A63,'Данные 2st'!$BI$2:$BI$317),"")</f>
        <v>28.916666666666668</v>
      </c>
      <c r="KB63" s="7">
        <f>IFERROR(AVERAGEIF('Данные 2st'!$Q$2:$Q$317,$A63,'Данные 2st'!$BJ$2:$BJ$317),"")</f>
        <v>79.0</v>
      </c>
      <c r="KC63" s="7">
        <f>IFERROR(AVERAGEIF('Данные 2st'!$Q$2:$Q$317,$A63,'Данные 2st'!$BK$2:$BK$317),"")</f>
        <v>2.5</v>
      </c>
      <c r="KD63" s="7">
        <f>IFERROR(AVERAGEIF('Данные 2st'!$Q$2:$Q$317,$A63,'Данные 2st'!$BL$2:$BL$317),"")</f>
        <v>215.83333333333334</v>
      </c>
      <c r="KE63" s="7">
        <f>IFERROR(AVERAGEIF('Данные 2st'!$Q$2:$Q$317,$A63,'Данные 2st'!$BM$2:$BM$317),"")</f>
        <v>-6</v>
      </c>
      <c r="KF63" s="7">
        <f>IFERROR(AVERAGEIF('Данные 2st'!$Q$2:$Q$317,$A63,'Данные 2st'!$BN$2:$BN$317),"")</f>
        <v>0</v>
      </c>
      <c r="KG63" s="7">
        <f>IFERROR(AVERAGEIF('Данные 2st'!$Q$2:$Q$317,$A63,'Данные 2st'!$BO$2:$BO$317),"")</f>
        <v>0</v>
      </c>
      <c r="KH63" s="7">
        <f>IFERROR(AVERAGEIF('Данные 2st'!$Q$2:$Q$317,$A63,'Данные 2st'!$BP$2:$BP$317),"")</f>
        <v>0</v>
      </c>
      <c r="KI63" s="7">
        <f>IFERROR(AVERAGEIF('Данные 2st'!$Q$2:$Q$317,$A63,'Данные 2st'!$BR$2:$BR$317),"")</f>
        <v>210.83333333333334</v>
      </c>
      <c r="KJ63" s="7">
        <f>IFERROR(AVERAGEIF('Данные 2st'!$Q$2:$Q$317,$A63,'Данные 2st'!$BS$2:$BS$317),"")</f>
        <v>200.83333333333334</v>
      </c>
      <c r="KK63" s="7">
        <f>IFERROR(AVERAGEIF('Данные 2st'!$Q$2:$Q$317,$A63,'Данные 2st'!$BT$2:$BT$317),"")</f>
        <v>2205.8333333333335</v>
      </c>
      <c r="KL63" s="7">
        <f>IFERROR(AVERAGEIF('Данные 2st'!$Q$2:$Q$317,$A63,'Данные 2st'!$CV$2:$CV$317),"")</f>
        <v>131.16666666666666</v>
      </c>
      <c r="KM63" s="7">
        <f>IFERROR(AVERAGEIF('Данные 2st'!$Q$2:$Q$317,$A63,'Данные 2st'!$CW$2:$CW$317),"")</f>
        <v>3</v>
      </c>
      <c r="KN63" s="7">
        <f>IFERROR(AVERAGEIF('Данные 2st'!$Q$2:$Q$317,$A63,'Данные 2st'!$CX$2:$CX$317),"")</f>
        <v>92.33333333333333</v>
      </c>
      <c r="KO63" s="7">
        <f>IFERROR(AVERAGEIF('Данные 2st'!$Q$2:$Q$317,$A63,'Данные 2st'!$CY$2:$CY$317),"")</f>
        <v>5</v>
      </c>
      <c r="KP63" s="7">
        <f>IFERROR(AVERAGEIF('Данные 2st'!$Q$2:$Q$317,$A63,'Данные 2st'!$CZ$2:$CZ$317),"")</f>
        <v>154.66666666666666</v>
      </c>
      <c r="KQ63" s="7">
        <f>IFERROR(AVERAGEIF('Данные 2st'!$Q$2:$Q$317,$A63,'Данные 2st'!$DA$2:$DA$317),"")</f>
        <v>5</v>
      </c>
      <c r="KR63" s="7">
        <f>IFERROR(AVERAGEIF('Данные 2st'!$Q$2:$Q$317,$A63,'Данные 2st'!$DB$2:$DB$317),"")</f>
        <v>13963.333333333334</v>
      </c>
      <c r="KS63" s="7">
        <f>IFERROR(AVERAGEIF('Данные 2st'!$Q$2:$Q$317,$A63,'Данные 2st'!$DC$2:$DC$317),"")</f>
        <v>415</v>
      </c>
      <c r="KT63" s="7">
        <f>IFERROR(AVERAGEIF('Данные 2st'!$Q$2:$Q$317,$A63,'Данные 2st'!$DD$2:$DD$317),"")</f>
        <v>360</v>
      </c>
      <c r="KU63" s="7">
        <f>IFERROR(AVERAGEIF('Данные 2st'!$Q$2:$Q$317,$A63,'Данные 2st'!$DE$2:$DE$317),"")</f>
        <v>2331.5</v>
      </c>
      <c r="KV63" s="7">
        <f>IFERROR(AVERAGEIF('Данные 2st'!$Q$2:$Q$317,$A63,'Данные 2st'!$DF$2:$DF$317),"")</f>
        <v>2331.5</v>
      </c>
      <c r="KW63" s="7">
        <f>IFERROR(AVERAGEIF('Данные 2st'!$Q$2:$Q$317,$A63,'Данные 2st'!$DG$2:$DG$317),"")</f>
        <v>2343</v>
      </c>
      <c r="KX63" s="7">
        <f>IFERROR(AVERAGEIF('Данные 2st'!$Q$2:$Q$317,$A63,'Данные 2st'!$DH$2:$DH$317),"")</f>
        <v>1.8333333333333333</v>
      </c>
      <c r="KY63" s="7">
        <f>IFERROR(AVERAGEIF('Данные 2st'!$Q$2:$Q$317,$A63,'Данные 2st'!$DI$2:$DI$317),"")</f>
        <v/>
      </c>
      <c r="KZ63" s="7">
        <f>IFERROR(AVERAGEIF('Данные 2st'!$Q$2:$Q$317,$A63,'Данные 2st'!$DK$2:$DK$317),"")</f>
        <v>210.83333333333334</v>
      </c>
      <c r="LA63" s="7">
        <f>IFERROR(AVERAGEIF('Данные 2st'!$Q$2:$Q$317,$A63,'Данные 2st'!$DM$2:$DM$317),"")</f>
        <v>63.666666666666664</v>
      </c>
      <c r="LB63" s="7">
        <f>IFERROR(AVERAGEIF('Данные 2st'!$Q$2:$Q$317,$A63,'Данные 2st'!$DN$2:$DN$317),"")</f>
        <v>1.1</v>
      </c>
      <c r="LC63" s="7">
        <f>IFERROR(AVERAGEIF('Данные 2st'!$Q$2:$Q$317,$A63,'Данные 2st'!$DO$2:$DO$317),"")</f>
        <v>1</v>
      </c>
      <c r="LD63" s="7">
        <f>IFERROR(AVERAGEIF('Данные 2st'!$Q$2:$Q$317,$A63,'Данные 2st'!$DP$2:$DP$317),"")</f>
        <v>2208.8333333333335</v>
      </c>
      <c r="LE63" s="7">
        <f>IFERROR(AVERAGEIF('Данные 2st'!$Q$2:$Q$317,$A63,'Данные 2st'!$DQ$2:$DQ$317),"")</f>
        <v>1006.6666666666666</v>
      </c>
      <c r="LF63" s="7">
        <f>IFERROR(AVERAGEIF('Данные 2st'!$Q$2:$Q$317,$A63,'Данные 2st'!$DS$2:$DS$317),"")</f>
        <v>200.83333333333334</v>
      </c>
      <c r="LG63" s="7">
        <f>IFERROR(AVERAGEIF('Данные 2st'!$Q$2:$Q$317,$A63,'Данные 2st'!$DU$2:$DU$317),"")</f>
        <v>63.666666666666664</v>
      </c>
      <c r="LH63" s="7">
        <f>IFERROR(AVERAGEIF('Данные 2st'!$Q$2:$Q$317,$A63,'Данные 2st'!$DV$2:$DV$317),"")</f>
        <v>1.1</v>
      </c>
      <c r="LI63" s="7">
        <f>IFERROR(AVERAGEIF('Данные 2st'!$Q$2:$Q$317,$A63,'Данные 2st'!$DW$2:$DW$317),"")</f>
        <v>1</v>
      </c>
      <c r="LJ63" s="7">
        <f>IFERROR(AVERAGEIF('Данные 2st'!$Q$2:$Q$317,$A63,'Данные 2st'!$DX$2:$DX$317),"")</f>
        <v>2220.8333333333335</v>
      </c>
      <c r="LK63" s="7">
        <f>IFERROR(AVERAGEIF('Данные 2st'!$Q$2:$Q$317,$A63,'Данные 2st'!$DY$2:$DY$317),"")</f>
        <v>964.8333333333334</v>
      </c>
      <c r="LL63" s="7">
        <f>IFERROR(AVERAGEIF('Данные 2st'!$Q$2:$Q$317,$A63,'Данные 2st'!$EA$2:$EA$317),"")</f>
        <v>20</v>
      </c>
      <c r="LM63" s="7">
        <f>IFERROR(AVERAGEIF('Данные 2st'!$Q$2:$Q$317,$A63,'Данные 2st'!$EC$2:$EC$317),"")</f>
        <v>0.8</v>
      </c>
      <c r="LN63" s="7">
        <f>IFERROR(AVERAGEIF('Данные 2st'!$Q$2:$Q$317,$A63,'Данные 2st'!$ED$2:$ED$317),"")</f>
        <v>2208.8333333333335</v>
      </c>
      <c r="LO63" s="7">
        <f>IFERROR(AVERAGEIF('Данные 2st'!$Q$2:$Q$317,$A63,'Данные 2st'!$EE$2:$EE$317),"")</f>
        <v>77.16666666666667</v>
      </c>
      <c r="LP63" s="7">
        <f>IFERROR(AVERAGEIF('Данные 2st'!$Q$2:$Q$317,$A63,'Данные 2st'!$EG$2:$EG$317),"")</f>
        <v>0</v>
      </c>
      <c r="LQ63" s="7">
        <f>IFERROR(AVERAGEIF('Данные 2st'!$Q$2:$Q$317,$A63,'Данные 2st'!$EI$2:$EI$317),"")</f>
        <v>0</v>
      </c>
      <c r="LR63" s="7">
        <f>IFERROR(AVERAGEIF('Данные 2st'!$Q$2:$Q$317,$A63,'Данные 2st'!$EJ$2:$EJ$317),"")</f>
        <v/>
      </c>
      <c r="LS63" s="7">
        <f>IFERROR(AVERAGEIF('Данные 2st'!$Q$2:$Q$317,$A63,'Данные 2st'!$EK$2:$EK$317),"")</f>
        <v/>
      </c>
      <c r="LT63" s="7">
        <f>IFERROR(AVERAGEIF('Данные 2st'!$Q$2:$Q$317,$A63,'Данные 2st'!$EM$2:$EM$317),"")</f>
        <v>12</v>
      </c>
      <c r="LU63" s="7">
        <f>IFERROR(AVERAGEIF('Данные 2st'!$Q$2:$Q$317,$A63,'Данные 2st'!$EN$2:$EN$317),"")</f>
        <v>0.5</v>
      </c>
      <c r="LV63" s="7">
        <f>IFERROR(AVERAGEIF('Данные 2st'!$Q$2:$Q$317,$A63,'Данные 2st'!$EO$2:$EO$317),"")</f>
        <v>0.96</v>
      </c>
      <c r="LW63" s="7">
        <f>IFERROR(AVERAGEIF('Данные 2st'!$Q$2:$Q$317,$A63,'Данные 2st'!$EP$2:$EP$317),"")</f>
        <v>2219.6633333333334</v>
      </c>
      <c r="LX63" s="7">
        <f>IFERROR(AVERAGEIF('Данные 2st'!$Q$2:$Q$317,$A63,'Данные 2st'!$EQ$2:$EQ$317),"")</f>
        <v>39508.47</v>
      </c>
      <c r="LY63" s="7">
        <f>IFERROR(AVERAGEIF('Данные 2st'!$Q$2:$Q$317,$A63,'Данные 2st'!$ER$2:$ER$317),"")</f>
        <v>10057.903333333334</v>
      </c>
      <c r="LZ63" s="7">
        <f>IFERROR(AVERAGEIF('Данные 2st'!$Q$2:$Q$317,$A63,'Данные 2st'!$ES$2:$ES$317),"")</f>
        <v>0</v>
      </c>
      <c r="MA63" s="7">
        <f>IFERROR(AVERAGEIF('Данные 2st'!$Q$2:$Q$317,$A63,'Данные 2st'!$ET$2:$ET$317),"")</f>
        <v>0</v>
      </c>
      <c r="MB63" s="7">
        <f>IFERROR(AVERAGEIF('Данные 2st'!$Q$2:$Q$317,$A63,'Данные 2st'!$EU$2:$EU$317),"")</f>
        <v>1</v>
      </c>
      <c r="MC63" s="7">
        <f>IFERROR(AVERAGEIF('Данные 2st'!$Q$2:$Q$317,$A63,'Данные 2st'!$EV$2:$EV$317),"")</f>
        <v>49567</v>
      </c>
      <c r="MD63" s="7">
        <f>IFERROR(AVERAGEIF('Данные 2st'!$Q$2:$Q$317,$A63,'Данные 2st'!$EW$2:$EW$317),"")</f>
        <v>595.3333333333334</v>
      </c>
      <c r="ME63" s="7">
        <f>IFERROR(AVERAGEIF('Данные 2st'!$Q$2:$Q$317,$A63,'Данные 2st'!$EY$2:$EY$317),"")</f>
        <v>231.66666666666666</v>
      </c>
      <c r="MF63" s="7">
        <f>IFERROR(AVERAGEIF('Данные 2st'!$Q$2:$Q$317,$A63,'Данные 2st'!$FA$2:$FA$317),"")</f>
        <v>4.833333333333333</v>
      </c>
      <c r="MG63" s="7">
        <f>IFERROR(AVERAGEIF('Данные 2st'!$Q$2:$Q$317,$A63,'Данные 2st'!$FB$2:$FB$317),"")</f>
        <v>1</v>
      </c>
      <c r="MH63" s="7">
        <f>IFERROR(AVERAGEIF('Данные 2st'!$Q$2:$Q$317,$A63,'Данные 2st'!$FC$2:$FC$317),"")</f>
        <v>1</v>
      </c>
      <c r="MI63" s="7">
        <f>IFERROR(AVERAGEIF('Данные 2st'!$Q$2:$Q$317,$A63,'Данные 2st'!$FD$2:$FD$317),"")</f>
        <v>2253.5</v>
      </c>
      <c r="MJ63" s="7">
        <f>IFERROR(AVERAGEIF('Данные 2st'!$Q$2:$Q$317,$A63,'Данные 2st'!$FE$2:$FE$317),"")</f>
        <v>2834.3333333333335</v>
      </c>
      <c r="MK63" s="7">
        <f>IFERROR(AVERAGEIF('Данные 2st'!$Q$2:$Q$317,$A63,'Данные 2st'!$FG$2:$FG$317),"")</f>
        <v>231.66666666666666</v>
      </c>
      <c r="ML63" s="7">
        <f>IFERROR(AVERAGEIF('Данные 2st'!$Q$2:$Q$317,$A63,'Данные 2st'!$FI$2:$FI$317),"")</f>
        <v>3.5</v>
      </c>
      <c r="MM63" s="7">
        <f>IFERROR(AVERAGEIF('Данные 2st'!$Q$2:$Q$317,$A63,'Данные 2st'!$FJ$2:$FJ$317),"")</f>
        <v>2253.5</v>
      </c>
      <c r="MN63" s="7">
        <f>IFERROR(AVERAGEIF('Данные 2st'!$Q$2:$Q$317,$A63,'Данные 2st'!$FK$2:$FK$317),"")</f>
        <v>2054.3333333333335</v>
      </c>
      <c r="MO63" s="7">
        <f>IFERROR(AVERAGEIF('Данные 2st'!$Q$2:$Q$317,$A63,'Данные 2st'!$FP$2:$FP$317),"")</f>
        <v>2253.5</v>
      </c>
      <c r="MP63" s="7">
        <f>IFERROR(AVERAGEIF('Данные 2st'!$Q$2:$Q$317,$A63,'Данные 2st'!$FQ$2:$FQ$317),"")</f>
        <v>185.83333333333334</v>
      </c>
      <c r="MQ63" s="7">
        <f>IFERROR(AVERAGEIF('Данные 2st'!$Q$2:$Q$317,$A63,'Данные 2st'!$FS$2:$FS$317),"")</f>
        <v>235.66666666666666</v>
      </c>
      <c r="MR63" s="7">
        <f>IFERROR(AVERAGEIF('Данные 2st'!$Q$2:$Q$317,$A63,'Данные 2st'!$FU$2:$FU$317),"")</f>
        <v>0.4</v>
      </c>
      <c r="MS63" s="7">
        <f>IFERROR(AVERAGEIF('Данные 2st'!$Q$2:$Q$317,$A63,'Данные 2st'!$FV$2:$FV$317),"")</f>
        <v>2253.5</v>
      </c>
      <c r="MT63" s="7">
        <f>IFERROR(AVERAGEIF('Данные 2st'!$Q$2:$Q$317,$A63,'Данные 2st'!$FW$2:$FW$317),"")</f>
        <v>236.33333333333334</v>
      </c>
      <c r="MU63" s="7">
        <f>IFERROR(AVERAGEIF('Данные 2st'!$Q$2:$Q$317,$A63,'Данные 2st'!$FY$2:$FY$317),"")</f>
        <v>5</v>
      </c>
      <c r="MV63" s="7">
        <f>IFERROR(AVERAGEIF('Данные 2st'!$Q$2:$Q$317,$A63,'Данные 2st'!$GB$2:$GB$317),"")</f>
        <v>2253.5</v>
      </c>
      <c r="MW63" s="7">
        <f>IFERROR(AVERAGEIF('Данные 2st'!$Q$2:$Q$317,$A63,'Данные 2st'!$GC$2:$GC$317),"")</f>
        <v>23</v>
      </c>
      <c r="MX63" s="7">
        <f>IFERROR(AVERAGEIF('Данные 2st'!$Q$2:$Q$317,$A63,'Данные 2st'!$GD$2:$GD$317),"")</f>
        <v>5333.833333333333</v>
      </c>
      <c r="MY63" s="7">
        <f>IFERROR(AVERAGEIF('Данные 2st'!$Q$2:$Q$317,$A63,'Данные 2st'!$GN$2:$GN$317),"")</f>
        <v/>
      </c>
      <c r="MZ63" s="7">
        <f>IFERROR(AVERAGEIF('Данные 2st'!$Q$2:$Q$317,$A63,'Данные 2st'!$GQ$2:$GQ$317),"")</f>
        <v>0</v>
      </c>
      <c r="NA63" s="7">
        <f>IFERROR(AVERAGEIF('Данные 2st'!$Q$2:$Q$317,$A63,'Данные 2st'!$GV$2:$GV$317),"")</f>
        <v>8.733333333333333</v>
      </c>
      <c r="NB63" s="7">
        <f>IFERROR(AVERAGEIF('Данные 2st'!$Q$2:$Q$317,$A63,'Данные 2st'!$GW$2:$GW$317),"")</f>
        <v>10.766666666666667</v>
      </c>
      <c r="NC63" s="7">
        <f>IFERROR(AVERAGEIF('Данные 2st'!$Q$2:$Q$317,$A63,'Данные 2st'!$GX$2:$GX$317),"")</f>
        <v>0.5</v>
      </c>
      <c r="ND63" s="7">
        <f>IFERROR(AVERAGEIF('Данные 2st'!$Q$2:$Q$317,$A63,'Данные 2st'!$GY$2:$GY$317),"")</f>
        <v>201.33333333333334</v>
      </c>
      <c r="NE63" s="7">
        <f>IFERROR(AVERAGEIF('Данные 2st'!$Q$2:$Q$317,$A63,'Данные 2st'!$GZ$2:$GZ$317),"")</f>
        <v>3</v>
      </c>
      <c r="NF63" s="7">
        <f>IFERROR(AVERAGEIF('Данные 2st'!$Q$2:$Q$317,$A63,'Данные 2st'!$HA$2:$HA$317),"")</f>
        <v>251</v>
      </c>
      <c r="NG63" s="7">
        <f>IFERROR(AVERAGEIF('Данные 2st'!$Q$2:$Q$317,$A63,'Данные 2st'!$HB$2:$HB$317),"")</f>
        <v>3</v>
      </c>
      <c r="NH63" s="7">
        <f>IFERROR(AVERAGEIF('Данные 2st'!$Q$2:$Q$317,$A63,'Данные 2st'!$HC$2:$HC$317),"")</f>
        <v>2253.5</v>
      </c>
      <c r="NI63" s="7">
        <f>IFERROR(AVERAGEIF('Данные 2st'!$Q$2:$Q$317,$A63,'Данные 2st'!$HD$2:$HD$317),"")</f>
        <v>4</v>
      </c>
      <c r="NJ63" s="7">
        <f>IFERROR(AVERAGEIF('Данные 2st'!$Q$2:$Q$317,$A63,'Данные 2st'!$HM$2:$HM$317),"")</f>
        <v>20</v>
      </c>
      <c r="NK63" s="7">
        <f>IFERROR(AVERAGEIF('Данные 2st'!$Q$2:$Q$317,$A63,'Данные 2st'!$HR$2:$HR$317),"")</f>
        <v>2.1666666666666665</v>
      </c>
      <c r="NL63" s="7">
        <f>IFERROR(AVERAGEIF('Данные 2st'!$Q$2:$Q$317,$A63,'Данные 2st'!$HS$2:$HS$317),"")</f>
        <v>2205.8333333333335</v>
      </c>
      <c r="NM63" s="7">
        <f>IFERROR(AVERAGEIF('Данные 2st'!$Q$2:$Q$317,$A63,'Данные 2st'!$HT$2:$HT$317),"")</f>
        <v>5</v>
      </c>
      <c r="NN63" s="7">
        <f>IFERROR(AVERAGEIF('Данные 2st'!$Q$2:$Q$317,$A63,'Данные 2st'!$HY$2:$HY$317),"")</f>
        <v>0</v>
      </c>
      <c r="NO63" s="7">
        <f>IFERROR(AVERAGEIF('Данные 2st'!$Q$2:$Q$317,$A63,'Данные 2st'!$HZ$2:$HZ$317),"")</f>
        <v>63.666666666666664</v>
      </c>
      <c r="NP63" s="7">
        <f>IFERROR(AVERAGEIF('Данные 2st'!$Q$2:$Q$317,$A63,'Данные 2st'!$IA$2:$IA$317),"")</f>
        <v>2208.8333333333335</v>
      </c>
      <c r="NQ63" s="7">
        <f>IFERROR(AVERAGEIF('Данные 2st'!$Q$2:$Q$317,$A63,'Данные 2st'!$IB$2:$IB$317),"")</f>
        <v>2220.8333333333335</v>
      </c>
      <c r="NR63" s="7">
        <f>IFERROR(AVERAGEIF('Данные 2st'!$Q$2:$Q$317,$A63,'Данные 2st'!$IC$2:$IC$317),"")</f>
        <v/>
      </c>
      <c r="NS63" s="7">
        <f>IFERROR(AVERAGEIF('Данные 2st'!$Q$2:$Q$317,$A63,'Данные 2st'!$ID$2:$ID$317),"")</f>
        <v>2253.5</v>
      </c>
      <c r="NT63" s="7">
        <f>IFERROR(AVERAGEIF('Данные 2st'!$Q$2:$Q$317,$A63,'Данные 2st'!$IE$2:$IE$317),"")</f>
        <v>2253.5</v>
      </c>
      <c r="NU63" s="7">
        <f>IFERROR(AVERAGEIF('Данные 2st'!$Q$2:$Q$317,$A63,'Данные 2st'!$IF$2:$IF$317),"")</f>
        <v>210.83333333333334</v>
      </c>
      <c r="NV63" s="7">
        <f>IFERROR(AVERAGEIF('Данные 2st'!$Q$2:$Q$317,$A63,'Данные 2st'!$IG$2:$IG$317),"")</f>
        <v>200.83333333333334</v>
      </c>
      <c r="NW63" s="7">
        <f>IFERROR(AVERAGEIF('Данные 2st'!$Q$2:$Q$317,$A63,'Данные 2st'!$IH$2:$IH$317),"")</f>
        <v>251</v>
      </c>
      <c r="NX63" s="7">
        <f>IFERROR(AVERAGEIF('Данные 2st'!$Q$2:$Q$317,$A63,'Данные 2st'!$IJ$2:$IJ$317),"")</f>
        <v>7.5</v>
      </c>
      <c r="NY63" s="7">
        <f>IFERROR(AVERAGEIF('Данные 2st'!$Q$2:$Q$317,$A63,'Данные 2st'!$IM$2:$IM$317),"")</f>
        <v>0</v>
      </c>
      <c r="NZ63" s="7">
        <f>IFERROR(AVERAGEIF('Данные 2st'!$Q$2:$Q$317,$A63,'Данные 2st'!$IN$2:$IN$317),"")</f>
        <v>270</v>
      </c>
      <c r="OA63" s="7">
        <f>IFERROR(AVERAGEIF('Данные 2st'!$Q$2:$Q$317,$A63,'Данные 2st'!$IO$2:$IO$317),"")</f>
        <v>0</v>
      </c>
      <c r="OB63" s="7">
        <f>IFERROR(AVERAGEIF('Данные 2st'!$Q$2:$Q$317,$A63,'Данные 2st'!$IP$2:$IP$317),"")</f>
        <v>180</v>
      </c>
      <c r="OC63" s="7">
        <f>IFERROR(AVERAGEIF('Данные 2st'!$Q$2:$Q$317,$A63,'Данные 2st'!$IQ$2:$IQ$317),"")</f>
        <v>0</v>
      </c>
      <c r="OD63" s="7">
        <f>IFERROR(AVERAGEIF('Данные 2st'!$Q$2:$Q$317,$A63,'Данные 2st'!$IR$2:$IR$317),"")</f>
        <v>330</v>
      </c>
      <c r="OE63" s="7">
        <f>IFERROR(AVERAGEIF('Данные 2st'!$Q$2:$Q$317,$A63,'Данные 2st'!$IT$2:$IT$317),"")</f>
        <v>90</v>
      </c>
      <c r="OF63" s="7">
        <f>IFERROR(AVERAGEIF('Данные 2st'!$Q$2:$Q$317,$A63,'Данные 2st'!$IU$2:$IU$317),"")</f>
        <v>0</v>
      </c>
      <c r="OG63" s="7">
        <f>IFERROR(AVERAGEIF('Данные 2st'!$Q$2:$Q$317,$A63,'Данные 2st'!$IV$2:$IV$317),"")</f>
        <v>6.4</v>
      </c>
      <c r="OH63" s="7">
        <f>IFERROR(AVERAGEIF('Данные 2st'!$Q$2:$Q$317,$A63,'Данные 2st'!$IW$2:$IW$317),"")</f>
        <v>-6</v>
      </c>
      <c r="OI63" s="7">
        <f>IFERROR(AVERAGEIF('Данные 2st'!$Q$2:$Q$317,$A63,'Данные 2st'!$IX$2:$IX$317),"")</f>
        <v>107.91666666666667</v>
      </c>
      <c r="OJ63" s="7">
        <f>IFERROR(AVERAGEIF('Данные 2st'!$Q$2:$Q$317,$A63,'Данные 2st'!$IY$2:$IY$317),"")</f>
        <v>79.0</v>
      </c>
      <c r="OK63" s="7">
        <f>IFERROR(AVERAGEIF('Данные 2st'!$Q$2:$Q$317,$A63,'Данные 2st'!$IZ$2:$IZ$317),"")</f>
        <v>0</v>
      </c>
      <c r="OL63" s="7">
        <f>IFERROR(AVERAGEIF('Данные 2st'!$Q$2:$Q$317,$A63,'Данные 2st'!$JA$2:$JA$317),"")</f>
        <v>0</v>
      </c>
      <c r="OM63" s="7">
        <f>IFERROR(AVERAGEIF('Данные 2st'!$Q$2:$Q$317,$A63,'Данные 2st'!$JB$2:$JB$317),"")</f>
        <v>0</v>
      </c>
      <c r="ON63" s="7">
        <f>IFERROR(AVERAGEIF('Данные 2st'!$Q$2:$Q$317,$A63,'Данные 2st'!$JC$2:$JC$317),"")</f>
        <v>0</v>
      </c>
      <c r="OO63" s="7">
        <f>IFERROR(AVERAGEIF('Данные 2st'!$Q$2:$Q$317,$A63,'Данные 2st'!$JD$2:$JD$317),"")</f>
        <v>0</v>
      </c>
      <c r="OP63" s="7">
        <f>IFERROR(AVERAGEIF('Данные 2st'!$Q$2:$Q$317,$A63,'Данные 2st'!$JE$2:$JE$317),"")</f>
        <v>0</v>
      </c>
      <c r="OQ63" s="7">
        <f>IFERROR(AVERAGEIF('Данные 2st'!$Q$2:$Q$317,$A63,'Данные 2st'!$JF$2:$JF$317),"")</f>
        <v>0</v>
      </c>
      <c r="OR63" s="7">
        <f>IFERROR(AVERAGEIF('Данные 2st'!$Q$2:$Q$317,$A63,'Данные 2st'!$JG$2:$JG$317),"")</f>
        <v>0</v>
      </c>
      <c r="OS63" s="7">
        <f>IFERROR(AVERAGEIF('Данные 2st'!$Q$2:$Q$317,$A63,'Данные 2st'!$JH$2:$JH$317),"")</f>
        <v>0</v>
      </c>
      <c r="OT63" s="7">
        <f>IFERROR(AVERAGEIF('Данные 2st'!$Q$2:$Q$317,$A63,'Данные 2st'!$JI$2:$JI$317),"")</f>
        <v>405.3333333333333</v>
      </c>
      <c r="OU63" s="7">
        <f>IFERROR(AVERAGEIF('Данные 2st'!$Q$2:$Q$317,$A63,'Данные 2st'!$JJ$2:$JJ$317),"")</f>
        <v>375.3333333333333</v>
      </c>
      <c r="OV63" s="7">
        <f>IFERROR(AVERAGEIF('Данные 2st'!$Q$2:$Q$317,$A63,'Данные 2st'!$JK$2:$JK$317),"")</f>
        <v>276.6666666666667</v>
      </c>
      <c r="OW63" s="7">
        <f>IFERROR(AVERAGEIF('Данные 2st'!$Q$2:$Q$317,$A63,'Данные 2st'!$JL$2:$JL$317),"")</f>
        <v>373.3333333333333</v>
      </c>
      <c r="OX63" s="7">
        <f>IFERROR(AVERAGEIF('Данные 2st'!$Q$2:$Q$317,$A63,'Данные 2st'!$JM$2:$JM$317),"")</f>
        <v>300.3333333333333</v>
      </c>
      <c r="OY63" s="7">
        <f>IFERROR(AVERAGEIF('Данные 2st'!$Q$2:$Q$317,$A63,'Данные 2st'!$JP$2:$JP$317),"")</f>
        <v>190.83333333333334</v>
      </c>
      <c r="OZ63" s="7">
        <f>IFERROR(AVERAGEIF('Данные 2st'!$Q$2:$Q$317,$A63,'Данные 2st'!$JQ$2:$JQ$317),"")</f>
        <v>233.33333333333334</v>
      </c>
      <c r="PA63" s="7">
        <f>IFERROR(AVERAGEIF('Данные 2st'!$Q$2:$Q$317,$A63,'Данные 2st'!$JR$2:$JR$317),"")</f>
        <v>302.5</v>
      </c>
      <c r="PB63" s="7">
        <f>IFERROR(AVERAGEIF('Данные 2st'!$Q$2:$Q$317,$A63,'Данные 2st'!$JS$2:$JS$317),"")</f>
        <v>240.83333333333334</v>
      </c>
      <c r="PC63" s="7">
        <f>IFERROR(AVERAGEIF('Данные 2st'!$Q$2:$Q$317,$A63,'Данные 2st'!$JT$2:$JT$317),"")</f>
        <v>0</v>
      </c>
      <c r="PD63" s="7">
        <f>IFERROR(AVERAGEIF('Данные 2st'!$Q$2:$Q$317,$A63,'Данные 2st'!$JU$2:$JU$317),"")</f>
        <v>0</v>
      </c>
      <c r="PE63" s="7">
        <f>IFERROR(AVERAGEIF('Данные 2st'!$Q$2:$Q$317,$A63,'Данные 2st'!$JV$2:$JV$317),"")</f>
        <v>295.8333333333333</v>
      </c>
      <c r="PF63" s="7">
        <f>IFERROR(AVERAGEIF('Данные 2st'!$Q$2:$Q$317,$A63,'Данные 2st'!$JW$2:$JW$317),"")</f>
        <v>287.5</v>
      </c>
      <c r="PG63" s="7">
        <f>IFERROR(AVERAGEIF('Данные 2st'!$Q$2:$Q$317,$A63,'Данные 2st'!$KF$2:$KF$317),"")</f>
        <v>0.18333333333333335</v>
      </c>
      <c r="PH63" s="7">
        <f>IFERROR(AVERAGEIF('Данные 2st'!$Q$2:$Q$317,$A63,'Данные 2st'!$KG$2:$KG$317),"")</f>
        <v>0.11833333333333333</v>
      </c>
      <c r="PI63" s="7">
        <f>IFERROR(AVERAGEIF('Данные 2st'!$Q$2:$Q$317,$A63,'Данные 2st'!$KM$2:$KM$317),"")</f>
        <v>0.16666666666666666</v>
      </c>
      <c r="PJ63" s="7">
        <f>IFERROR(AVERAGEIF('Данные 2st'!$Q$2:$Q$317,$A63,'Данные 2st'!$KN$2:$KN$317),"")</f>
        <v>1.6666666666666667</v>
      </c>
      <c r="PK63" s="7">
        <f>IFERROR(AVERAGEIF('Данные 2st'!$Q$2:$Q$317,$A63,'Данные 2st'!$KO$2:$KO$317),"")</f>
        <v>0.16666666666666666</v>
      </c>
      <c r="PL63" s="7">
        <f>IFERROR(AVERAGEIF('Данные 2st'!$Q$2:$Q$317,$A63,'Данные 2st'!$KP$2:$KP$317),"")</f>
        <v>0</v>
      </c>
      <c r="PM63" s="7">
        <f>IFERROR(AVERAGEIF('Данные 2st'!$Q$2:$Q$317,$A63,'Данные 2st'!$KQ$2:$KQ$317),"")</f>
        <v>0.7333333333333333</v>
      </c>
      <c r="PN63" s="7">
        <f>IFERROR(AVERAGEIF('Данные 2st'!$Q$2:$Q$317,$A63,'Данные 2st'!$KR$2:$KR$317),"")</f>
        <v>0.6833333333333333</v>
      </c>
      <c r="PO63" s="7">
        <f>IFERROR(AVERAGEIF('Данные 2st'!$Q$2:$Q$317,$A63,'Данные 2st'!$KS$2:$KS$317),"")</f>
        <v>0</v>
      </c>
      <c r="PP63" s="7">
        <f>IFERROR(AVERAGEIF('Данные 2st'!$Q$2:$Q$317,$A63,'Данные 2st'!$KT$2:$KT$317),"")</f>
        <v>2.9</v>
      </c>
      <c r="PQ63" s="7">
        <f>IFERROR(AVERAGEIF('Данные 2st'!$Q$2:$Q$317,$A63,'Данные 2st'!$KU$2:$KU$317),"")</f>
        <v>0</v>
      </c>
      <c r="PR63" s="7">
        <f>IFERROR(AVERAGEIF('Данные 2st'!$Q$2:$Q$317,$A63,'Данные 2st'!$KV$2:$KV$317),"")</f>
        <v>0</v>
      </c>
      <c r="PS63" s="7">
        <f>IFERROR(AVERAGEIF('Данные 2st'!$Q$2:$Q$317,$A63,'Данные 2st'!$KW$2:$KW$317),"")</f>
        <v>1.0166666666666666</v>
      </c>
      <c r="PT63" s="7">
        <f>IFERROR(AVERAGEIF('Данные 2st'!$Q$2:$Q$317,$A63,'Данные 2st'!$KX$2:$KX$317),"")</f>
        <v>1.5833333333333333</v>
      </c>
      <c r="PU63" s="7">
        <f>IFERROR(AVERAGEIF('Данные 2st'!$Q$2:$Q$317,$A63,'Данные 2st'!$KY$2:$KY$317),"")</f>
        <v>0.3333333333333333</v>
      </c>
      <c r="PV63" s="7">
        <f>IFERROR(AVERAGEIF('Данные 2st'!$Q$2:$Q$317,$A63,'Данные 2st'!$KZ$2:$KZ$317),"")</f>
        <v>0</v>
      </c>
      <c r="PW63" s="7">
        <f>IFERROR(AVERAGEIF('Данные 2st'!$Q$2:$Q$317,$A63,'Данные 2st'!$LA$2:$LA$317),"")</f>
        <v>0</v>
      </c>
      <c r="PX63" s="7">
        <f>IFERROR(AVERAGEIF('Данные 2st'!$Q$2:$Q$317,$A63,'Данные 2st'!$LB$2:$LB$317),"")</f>
        <v>0</v>
      </c>
      <c r="PY63" s="7">
        <f>IFERROR(AVERAGEIF('Данные 2st'!$Q$2:$Q$317,$A63,'Данные 2st'!$LC$2:$LC$317),"")</f>
        <v>0</v>
      </c>
      <c r="PZ63" s="7">
        <f>IFERROR(AVERAGEIF('Данные 2st'!$Q$2:$Q$317,$A63,'Данные 2st'!$LD$2:$LD$317),"")</f>
        <v>0</v>
      </c>
      <c r="QA63" s="7">
        <f>IFERROR(AVERAGEIF('Данные 2st'!$Q$2:$Q$317,$A63,'Данные 2st'!$LE$2:$LE$317),"")</f>
        <v>0</v>
      </c>
      <c r="QB63" s="7">
        <f>IFERROR(AVERAGEIF('Данные 2st'!$Q$2:$Q$317,$A63,'Данные 2st'!$LF$2:$LF$317),"")</f>
        <v>0</v>
      </c>
      <c r="QC63" s="7">
        <f>IFERROR(AVERAGEIF('Данные 2st'!$Q$2:$Q$317,$A63,'Данные 2st'!$LG$2:$LG$317),"")</f>
        <v>0</v>
      </c>
      <c r="QD63" s="7">
        <f>IFERROR(AVERAGEIF('Данные 2st'!$Q$2:$Q$317,$A63,'Данные 2st'!$LH$2:$LH$317),"")</f>
        <v>3</v>
      </c>
      <c r="QE63" s="7">
        <f>IFERROR(AVERAGEIF('Данные 2st'!$Q$2:$Q$317,$A63,'Данные 2st'!$LJ$2:$LJ$317),"")</f>
        <v>0</v>
      </c>
      <c r="QF63" s="7">
        <f>IFERROR(AVERAGEIF('Данные 2st'!$Q$2:$Q$317,$A63,'Данные 2st'!$LK$2:$LK$317),"")</f>
        <v>7.666666666666667</v>
      </c>
      <c r="QG63" s="7">
        <f>IFERROR(AVERAGEIF('Данные 2st'!$Q$2:$Q$317,$A63,'Данные 2st'!$LL$2:$LL$317),"")</f>
        <v>7.75</v>
      </c>
      <c r="QH63" s="7">
        <f>IFERROR(AVERAGEIF('Данные 2st'!$Q$2:$Q$317,$A63,'Данные 2st'!$LM$2:$LM$317),"")</f>
        <v>8.833333333333334</v>
      </c>
      <c r="QI63" s="7">
        <f>IFERROR(AVERAGEIF('Данные 2st'!$Q$2:$Q$317,$A63,'Данные 2st'!$LN$2:$LN$317),"")</f>
        <v>0.45</v>
      </c>
      <c r="QJ63" s="7">
        <f>IFERROR(AVERAGEIF('Данные 2st'!$Q$2:$Q$317,$A63,'Данные 2st'!$LO$2:$LO$317),"")</f>
        <v>1.6666666666666667</v>
      </c>
      <c r="QK63" s="7">
        <f>IFERROR(AVERAGEIF('Данные 2st'!$Q$2:$Q$317,$A63,'Данные 2st'!$LP$2:$LP$317),"")</f>
        <v>0</v>
      </c>
      <c r="QL63" s="7">
        <f>IFERROR(AVERAGEIF('Данные 2st'!$Q$2:$Q$317,$A63,'Данные 2st'!$LQ$2:$LQ$317),"")</f>
        <v>0</v>
      </c>
      <c r="QM63" s="7">
        <f>IFERROR(AVERAGEIF('Данные 2st'!$Q$2:$Q$317,$A63,'Данные 2st'!$LW$2:$LW$317),"")</f>
        <v>1.9833333333333334</v>
      </c>
      <c r="QN63" s="7">
        <f>IFERROR(AVERAGEIF('Данные 2st'!$Q$2:$Q$317,$A63,'Данные 2st'!$LX$2:$LX$317),"")</f>
        <v>1.9833333333333334</v>
      </c>
      <c r="QO63" s="7">
        <f>IFERROR(AVERAGEIF('Данные 2st'!$Q$2:$Q$317,$A63,'Данные 2st'!$LY$2:$LY$317),"")</f>
        <v>2.45</v>
      </c>
      <c r="QP63" s="7">
        <f>IFERROR(AVERAGEIF('Данные 2st'!$Q$2:$Q$317,$A63,'Данные 2st'!$LZ$2:$LZ$317),"")</f>
        <v>2.45</v>
      </c>
      <c r="QQ63" s="7">
        <f>IFERROR(AVERAGEIF('Данные 2st'!$Q$2:$Q$317,$A63,'Данные 2st'!$MB$2:$MB$317),"")</f>
        <v>5.416666666666667</v>
      </c>
      <c r="QR63" s="7">
        <f>IFERROR(AVERAGEIF('Данные 2st'!$Q$2:$Q$317,$A63,'Данные 2st'!$MG$2:$MG$317),"")</f>
        <v>0</v>
      </c>
      <c r="QS63" s="7">
        <f>IFERROR(AVERAGEIF('Данные 2st'!$Q$2:$Q$317,$A63,'Данные 2st'!$MH$2:$MH$317),"")</f>
        <v>0</v>
      </c>
      <c r="QT63" s="7">
        <f>IFERROR(AVERAGEIF('Данные 2st'!$Q$2:$Q$317,$A63,'Данные 2st'!$MI$2:$MI$317),"")</f>
        <v>0</v>
      </c>
      <c r="QU63" s="7">
        <f>IFERROR(AVERAGEIF('Данные 2st'!$Q$2:$Q$317,$A63,'Данные 2st'!$MJ$2:$MJ$317),"")</f>
        <v>0</v>
      </c>
      <c r="QV63" s="7">
        <f>IFERROR(AVERAGEIF('Данные 2st'!$Q$2:$Q$317,$A63,'Данные 2st'!$MK$2:$MK$317),"")</f>
        <v>0</v>
      </c>
      <c r="QW63" s="7">
        <f>IFERROR(AVERAGEIF('Данные 2st'!$Q$2:$Q$317,$A63,'Данные 2st'!$MM$2:$MM$317),"")</f>
        <v>429.1666666666667</v>
      </c>
      <c r="QX63" s="7">
        <f>IFERROR(AVERAGEIF('Данные 2st'!$Q$2:$Q$317,$A63,'Данные 2st'!$MQ$2:$MQ$317),"")</f>
        <v/>
      </c>
      <c r="QY63" s="7">
        <f>IFERROR(AVERAGEIF('Данные 2st'!$Q$2:$Q$317,$A63,'Данные 2st'!$MR$2:$MR$317),"")</f>
        <v/>
      </c>
      <c r="QZ63" s="7">
        <f>IFERROR(AVERAGEIF('Данные 2st'!$Q$2:$Q$317,$A63,'Данные 2st'!$MS$2:$MS$317),"")</f>
        <v/>
      </c>
      <c r="RA63" s="7">
        <f>IFERROR(AVERAGEIF('Данные 2st'!$Q$2:$Q$317,$A63,'Данные 2st'!$MT$2:$MT$317),"")</f>
        <v/>
      </c>
      <c r="RB63" s="7">
        <f>IFERROR(AVERAGEIF('Данные 2st'!$Q$2:$Q$317,$A63,'Данные 2st'!$MU$2:$MU$317),"")</f>
        <v/>
      </c>
      <c r="RC63" s="7">
        <f>IFERROR(AVERAGEIF('Данные 2st'!$Q$2:$Q$317,$A63,'Данные 2st'!$MV$2:$MV$317),"")</f>
        <v/>
      </c>
      <c r="RD63" s="7">
        <f>IFERROR(AVERAGEIF('Данные 2st'!$Q$2:$Q$317,$A63,'Данные 2st'!$MW$2:$MW$317),"")</f>
        <v/>
      </c>
      <c r="RE63" s="7">
        <f>IFERROR(AVERAGEIF('Данные 2st'!$Q$2:$Q$317,$A63,'Данные 2st'!$MX$2:$MX$317),"")</f>
        <v/>
      </c>
      <c r="RF63" s="7">
        <f>IFERROR(AVERAGEIF('Данные 2st'!$Q$2:$Q$317,$A63,'Данные 2st'!$MY$2:$MY$317),"")</f>
        <v/>
      </c>
      <c r="RG63" s="7">
        <f>IFERROR(AVERAGEIF('Данные 2st'!$Q$2:$Q$317,$A63,'Данные 2st'!$MZ$2:$MZ$317),"")</f>
        <v/>
      </c>
      <c r="RH63" s="7">
        <f>IFERROR(AVERAGEIF('Данные 2st'!$Q$2:$Q$317,$A63,'Данные 2st'!$NA$2:$NA$317),"")</f>
        <v/>
      </c>
      <c r="RI63" s="7">
        <f>IFERROR(AVERAGEIF('Данные 2st'!$Q$2:$Q$317,$A63,'Данные 2st'!$NB$2:$NB$317),"")</f>
        <v/>
      </c>
      <c r="RJ63" s="7">
        <f>IFERROR(AVERAGEIF('Данные 2st'!$Q$2:$Q$317,$A63,'Данные 2st'!$NC$2:$NC$317),"")</f>
        <v/>
      </c>
      <c r="RK63" s="7">
        <f>IFERROR(AVERAGEIF('Данные 2st'!$Q$2:$Q$317,$A63,'Данные 2st'!$ND$2:$ND$317),"")</f>
        <v/>
      </c>
      <c r="RL63" s="7">
        <f>IFERROR(AVERAGEIF('Данные 2st'!$Q$2:$Q$317,$A63,'Данные 2st'!$NE$2:$NE$317),"")</f>
        <v/>
      </c>
      <c r="RM63" s="7">
        <f>IFERROR(AVERAGEIF('Данные 2st'!$Q$2:$Q$317,$A63,'Данные 2st'!$NF$2:$NF$317),"")</f>
        <v/>
      </c>
      <c r="RN63" s="7">
        <f>IFERROR(AVERAGEIF('Данные 2st'!$Q$2:$Q$317,$A63,'Данные 2st'!$NG$2:$NG$317),"")</f>
        <v/>
      </c>
      <c r="RO63" s="7">
        <f>IFERROR(AVERAGEIF('Данные 2st'!$Q$2:$Q$317,$A63,'Данные 2st'!$NH$2:$NH$317),"")</f>
        <v/>
      </c>
      <c r="RP63" s="7">
        <f>IFERROR(AVERAGEIF('Данные 2st'!$Q$2:$Q$317,$A63,'Данные 2st'!$NJ$2:$NJ$317),"")</f>
        <v/>
      </c>
      <c r="RQ63" s="7">
        <f>IFERROR(AVERAGEIF('Данные 2st'!$Q$2:$Q$317,$A63,'Данные 2st'!$NK$2:$NK$317),"")</f>
        <v/>
      </c>
      <c r="RR63" s="7">
        <f>IFERROR(AVERAGEIF('Данные 2st'!$Q$2:$Q$317,$A63,'Данные 2st'!$NM$2:$NM$317),"")</f>
        <v/>
      </c>
      <c r="RS63" s="7">
        <f>IFERROR(AVERAGEIF('Данные 2st'!$Q$2:$Q$317,$A63,'Данные 2st'!$NN$2:$NN$317),"")</f>
        <v/>
      </c>
      <c r="RT63" s="7">
        <f>IFERROR(AVERAGEIF('Данные 2st'!$Q$2:$Q$317,$A63,'Данные 2st'!$NO$2:$NO$317),"")</f>
        <v/>
      </c>
      <c r="RU63" s="7">
        <f>IFERROR(AVERAGEIF('Данные 2st'!$Q$2:$Q$317,$A63,'Данные 2st'!$NP$2:$NP$317),"")</f>
        <v/>
      </c>
      <c r="RV63" s="7">
        <f>IFERROR(AVERAGEIF('Данные 2st'!$Q$2:$Q$317,$A63,'Данные 2st'!$NQ$2:$NQ$317),"")</f>
        <v/>
      </c>
      <c r="RW63" s="7">
        <f>IFERROR(AVERAGEIF('Данные 2st'!$Q$2:$Q$317,$A63,'Данные 2st'!$NR$2:$NR$317),"")</f>
        <v/>
      </c>
      <c r="RX63" s="7">
        <f>IFERROR(AVERAGEIF('Данные 2st'!$Q$2:$Q$317,$A63,'Данные 2st'!$NS$2:$NS$317),"")</f>
        <v/>
      </c>
      <c r="RY63" s="7">
        <f>IFERROR(AVERAGEIF('Данные 2st'!$Q$2:$Q$317,$A63,'Данные 2st'!$NT$2:$NT$317),"")</f>
        <v/>
      </c>
      <c r="RZ63" s="7">
        <f>IFERROR(AVERAGEIF('Данные 2st'!$Q$2:$Q$317,$A63,'Данные 2st'!$OK$2:$OK$317),"")</f>
        <v>61</v>
      </c>
      <c r="SA63" s="7">
        <f>IFERROR(AVERAGEIF('Данные 2st'!$Q$2:$Q$317,$A63,'Данные 2st'!$OL$2:$OL$317),"")</f>
        <v>61</v>
      </c>
      <c r="SB63" s="7">
        <f>IFERROR(AVERAGEIF('Данные 2st'!$Q$2:$Q$317,$A63,'Данные 2st'!$ON$2:$ON$317),"")</f>
        <v>1</v>
      </c>
      <c r="SC63" s="7">
        <f>IFERROR(AVERAGEIF('Данные 2st'!$Q$2:$Q$317,$A63,'Данные 2st'!$OO$2:$OO$317),"")</f>
        <v>2208.8333333333335</v>
      </c>
      <c r="SD63" s="7">
        <f>IFERROR(AVERAGEIF('Данные 2st'!$Q$2:$Q$317,$A63,'Данные 2st'!$OP$2:$OP$317),"")</f>
        <v>61</v>
      </c>
      <c r="SE63" s="7">
        <f>IFERROR(AVERAGEIF('Данные 2st'!$Q$2:$Q$317,$A63,'Данные 2st'!$OQ$2:$OQ$317),"")</f>
        <v>61</v>
      </c>
      <c r="SF63" s="7">
        <f>IFERROR(AVERAGEIF('Данные 2st'!$Q$2:$Q$317,$A63,'Данные 2st'!$OS$2:$OS$317),"")</f>
        <v>1</v>
      </c>
      <c r="SG63" s="7">
        <f>IFERROR(AVERAGEIF('Данные 2st'!$Q$2:$Q$317,$A63,'Данные 2st'!$OT$2:$OT$317),"")</f>
        <v>2220.8333333333335</v>
      </c>
      <c r="SH63" s="7">
        <f>IFERROR(AVERAGEIF('Данные 2st'!$Q$2:$Q$317,$A63,'Данные 2st'!$OU$2:$OU$317),"")</f>
        <v>65</v>
      </c>
      <c r="SI63" s="7">
        <f>IFERROR(AVERAGEIF('Данные 2st'!$Q$2:$Q$317,$A63,'Данные 2st'!$OV$2:$OV$317),"")</f>
        <v>65</v>
      </c>
      <c r="SJ63" s="7">
        <f>IFERROR(AVERAGEIF('Данные 2st'!$Q$2:$Q$317,$A63,'Данные 2st'!$OX$2:$OX$317),"")</f>
        <v>2</v>
      </c>
      <c r="SK63" s="7">
        <f>IFERROR(AVERAGEIF('Данные 2st'!$Q$2:$Q$317,$A63,'Данные 2st'!$OY$2:$OY$317),"")</f>
        <v>49567</v>
      </c>
      <c r="SL63" s="7">
        <f>IFERROR(AVERAGEIF('Данные 2st'!$Q$2:$Q$317,$A63,'Данные 2st'!$OZ$2:$OZ$317),"")</f>
        <v>51</v>
      </c>
      <c r="SM63" s="7">
        <f>IFERROR(AVERAGEIF('Данные 2st'!$Q$2:$Q$317,$A63,'Данные 2st'!$PA$2:$PA$317),"")</f>
        <v>51.666666666666664</v>
      </c>
      <c r="SN63" s="7">
        <f>IFERROR(AVERAGEIF('Данные 2st'!$Q$2:$Q$317,$A63,'Данные 2st'!$PC$2:$PC$317),"")</f>
        <v>2.5</v>
      </c>
      <c r="SO63" s="7">
        <f>IFERROR(AVERAGEIF('Данные 2st'!$Q$2:$Q$317,$A63,'Данные 2st'!$PD$2:$PD$317),"")</f>
        <v>2253.5</v>
      </c>
      <c r="SP63" s="7">
        <f>IFERROR(AVERAGEIF('Данные 2st'!$Q$2:$Q$317,$A63,'Данные 2st'!$PF$2:$PF$317),"")</f>
        <v>455.8333333333333</v>
      </c>
      <c r="SQ63" s="7">
        <f>IFERROR(AVERAGEIF('Данные 2st'!$Q$2:$Q$317,$A63,'Данные 2st'!$PG$2:$PG$317),"")</f>
        <v>35</v>
      </c>
      <c r="SR63" s="7">
        <f>IFERROR(AVERAGEIF('Данные 2st'!$Q$2:$Q$317,$A63,'Данные 2st'!$PH$2:$PH$317),"")</f>
        <v>434.5</v>
      </c>
      <c r="SS63" s="7">
        <f>IFERROR(AVERAGEIF('Данные 2st'!$Q$2:$Q$317,$A63,'Данные 2st'!$PI$2:$PI$317),"")</f>
        <v>0</v>
      </c>
      <c r="ST63" s="7">
        <f>IFERROR(AVERAGEIF('Данные 2st'!$Q$2:$Q$317,$A63,'Данные 2st'!$PJ$2:$PJ$317),"")</f>
        <v>82.48333333333333</v>
      </c>
      <c r="SU63" s="7">
        <f>IFERROR(AVERAGEIF('Данные 2st'!$Q$2:$Q$317,$A63,'Данные 2st'!$PK$2:$PK$317),"")</f>
        <v>2331.8</v>
      </c>
      <c r="SV63" s="7">
        <f>IFERROR(AVERAGEIF('Данные 2st'!$Q$2:$Q$317,$A63,'Данные 2st'!$PL$2:$PL$317),"")</f>
        <v>1257.75</v>
      </c>
      <c r="SW63" s="7">
        <f>IFERROR(AVERAGEIF('Данные 2st'!$Q$2:$Q$317,$A63,'Данные 2st'!$PM$2:$PM$317),"")</f>
        <v>911.9833333333333</v>
      </c>
      <c r="SX63" s="7">
        <f>IFERROR(AVERAGEIF('Данные 2st'!$Q$2:$Q$317,$A63,'Данные 2st'!$PN$2:$PN$317),"")</f>
        <v>104.85</v>
      </c>
      <c r="SY63" s="7">
        <f>IFERROR(AVERAGEIF('Данные 2st'!$Q$2:$Q$317,$A63,'Данные 2st'!$PO$2:$PO$317),"")</f>
        <v>10.166666666666668</v>
      </c>
      <c r="SZ63" s="7">
        <f>IFERROR(AVERAGEIF('Данные 2st'!$Q$2:$Q$317,$A63,'Данные 2st'!$PP$2:$PP$317),"")</f>
        <v>12</v>
      </c>
      <c r="TA63" s="7">
        <f>IFERROR(AVERAGEIF('Данные 2st'!$Q$2:$Q$317,$A63,'Данные 2st'!$PQ$2:$PQ$317),"")</f>
        <v>4.833333333333333</v>
      </c>
      <c r="TB63" s="7">
        <f>IFERROR(AVERAGEIF('Данные 2st'!$Q$2:$Q$317,$A63,'Данные 2st'!$PR$2:$PR$317),"")</f>
        <v>4</v>
      </c>
      <c r="TC63" s="7">
        <f>IFERROR(AVERAGEIF('Данные 2st'!$Q$2:$Q$317,$A63,'Данные 2st'!$PS$2:$PS$317),"")</f>
        <v>0</v>
      </c>
      <c r="TD63" s="7">
        <f>IFERROR(AVERAGEIF('Данные 2st'!$Q$2:$Q$317,$A63,'Данные 2st'!$PT$2:$PT$317),"")</f>
        <v>251</v>
      </c>
      <c r="TE63" s="7">
        <f>IFERROR(AVERAGEIF('Данные 2st'!$Q$2:$Q$317,$A63,'Данные 2st'!$PU$2:$PU$317),"")</f>
        <v>9.666666666666666</v>
      </c>
      <c r="TF63" s="7">
        <f>IFERROR(AVERAGEIF('Данные 2st'!$Q$2:$Q$317,$A63,'Данные 2st'!$PX$2:$PX$317),"")</f>
        <v>0</v>
      </c>
      <c r="TG63" s="7">
        <f>IFERROR(AVERAGEIF('Данные 2st'!$Q$2:$Q$317,$A63,'Данные 2st'!$PY$2:$PY$317),"")</f>
        <v>0</v>
      </c>
      <c r="TH63" s="7">
        <f>IFERROR(AVERAGEIF('Данные 2st'!$Q$2:$Q$317,$A63,'Данные 2st'!$PZ$2:$PZ$317),"")</f>
        <v>0</v>
      </c>
      <c r="TI63" s="7">
        <f>IFERROR(AVERAGEIF('Данные 2st'!$Q$2:$Q$317,$A63,'Данные 2st'!$QA$2:$QA$317),"")</f>
        <v>0</v>
      </c>
      <c r="TJ63" s="7">
        <f>IFERROR(AVERAGEIF('Данные 2st'!$Q$2:$Q$317,$A63,'Данные 2st'!$QB$2:$QB$317),"")</f>
        <v>0</v>
      </c>
      <c r="TK63" s="7">
        <f>IFERROR(AVERAGEIF('Данные 2st'!$Q$2:$Q$317,$A63,'Данные 2st'!$QC$2:$QC$317),"")</f>
        <v>0</v>
      </c>
      <c r="TL63" s="7">
        <f>IFERROR(AVERAGEIF('Данные 2st'!$Q$2:$Q$317,$A63,'Данные 2st'!$QD$2:$QD$317),"")</f>
        <v>0</v>
      </c>
      <c r="TM63" s="7">
        <f>IFERROR(AVERAGEIF('Данные 2st'!$Q$2:$Q$317,$A63,'Данные 2st'!$QE$2:$QE$317),"")</f>
        <v>-1</v>
      </c>
      <c r="TN63" s="7">
        <f>IFERROR(AVERAGEIF('Данные 2st'!$Q$2:$Q$317,$A63,'Данные 2st'!$QF$2:$QF$317),"")</f>
        <v>1</v>
      </c>
      <c r="TO63" s="7">
        <f>IFERROR(AVERAGEIF('Данные 2st'!$Q$2:$Q$317,$A63,'Данные 2st'!$QG$2:$QG$317),"")</f>
        <v>0</v>
      </c>
      <c r="TP63" s="7">
        <f>IFERROR(AVERAGEIF('Данные 2st'!$Q$2:$Q$317,$A63,'Данные 2st'!$QH$2:$QH$317),"")</f>
        <v>5</v>
      </c>
      <c r="TQ63" s="7">
        <f>IFERROR(AVERAGEIF('Данные 2st'!$Q$2:$Q$317,$A63,'Данные 2st'!$QI$2:$QI$317),"")</f>
        <v>5</v>
      </c>
      <c r="TR63" s="7">
        <f>IFERROR(AVERAGEIF('Данные 2st'!$Q$2:$Q$317,$A63,'Данные 2st'!$QJ$2:$QJ$317),"")</f>
        <v>5</v>
      </c>
      <c r="TS63" s="7">
        <f>IFERROR(AVERAGEIF('Данные 2st'!$Q$2:$Q$317,$A63,'Данные 2st'!$QK$2:$QK$317),"")</f>
        <v>218.5</v>
      </c>
      <c r="TT63" s="7">
        <f>IFERROR(AVERAGEIF('Данные 2st'!$Q$2:$Q$317,$A63,'Данные 2st'!$QL$2:$QL$317),"")</f>
        <v>435.3333333333333</v>
      </c>
      <c r="TU63" s="7">
        <f>IFERROR(AVERAGEIF('Данные 2st'!$Q$2:$Q$317,$A63,'Данные 2st'!$QM$2:$QM$317),"")</f>
        <v>7.816666666666666</v>
      </c>
      <c r="TV63" s="7">
        <f>IFERROR(AVERAGEIF('Данные 2st'!$Q$2:$Q$317,$A63,'Данные 2st'!$QN$2:$QN$317),"")</f>
        <v>1623.8</v>
      </c>
      <c r="TW63" s="7">
        <f>IFERROR(AVERAGEIF('Данные 2st'!$Q$2:$Q$317,$A63,'Данные 2st'!$QQ$2:$QQ$317),"")</f>
        <v>0</v>
      </c>
      <c r="TX63" s="7">
        <f>IFERROR(AVERAGEIF('Данные 2st'!$Q$2:$Q$317,$A63,'Данные 2st'!$QS$2:$QS$317),"")</f>
        <v>40</v>
      </c>
      <c r="TY63" s="7">
        <f>IFERROR(AVERAGEIF('Данные 2st'!$Q$2:$Q$317,$A63,'Данные 2st'!$QT$2:$QT$317),"")</f>
        <v>50</v>
      </c>
    </row>
    <row r="64" spans="1:545" ht="32" customHeight="1">
      <c r="A64" s="11" t="s">
        <v>1002</v>
      </c>
      <c r="B64">
        <f>COUNTIF('Данные 1st'!$S$2:$S$317,$A64)</f>
        <v>4</v>
      </c>
      <c r="C64" s="6" t="s">
        <v>5092</v>
      </c>
      <c r="D64" s="6" t="s">
        <v>513</v>
      </c>
      <c r="E64" s="6" t="s">
        <v>5125</v>
      </c>
      <c r="F64" s="6" t="s">
        <v>5179</v>
      </c>
      <c r="G64" s="7">
        <f>IFERROR(AVERAGEIF('Данные 1st'!$S$2:$S$317,$A64,'Данные 1st'!$AE$2:$AE$317),"")</f>
        <v>230.75</v>
      </c>
      <c r="H64" s="7">
        <f>IFERROR(AVERAGEIF('Данные 1st'!$S$2:$S$317,$A64,'Данные 1st'!$AF$2:$AF$317),"")</f>
        <v>1.5</v>
      </c>
      <c r="I64" s="7">
        <f>IFERROR(AVERAGEIF('Данные 1st'!$S$2:$S$317,$A64,'Данные 1st'!$AJ$2:$AJ$317),"")</f>
        <v>211.25</v>
      </c>
      <c r="J64" s="7">
        <f>IFERROR(AVERAGEIF('Данные 1st'!$S$2:$S$317,$A64,'Данные 1st'!$AL$2:$AL$317),"")</f>
        <v>1.5</v>
      </c>
      <c r="K64" s="7">
        <f>IFERROR(AVERAGEIF('Данные 1st'!$S$2:$S$317,$A64,'Данные 1st'!$AR$2:$AR$317),"")</f>
        <v>249</v>
      </c>
      <c r="L64" s="7">
        <f>IFERROR(AVERAGEIF('Данные 1st'!$S$2:$S$317,$A64,'Данные 1st'!$AS$2:$AS$317),"")</f>
        <v>1.5</v>
      </c>
      <c r="M64" s="7">
        <f>IFERROR(AVERAGEIF('Данные 1st'!$S$2:$S$317,$A64,'Данные 1st'!$AY$2:$AY$317),"")</f>
        <v>325.625</v>
      </c>
      <c r="N64" s="7">
        <f>IFERROR(AVERAGEIF('Данные 1st'!$S$2:$S$317,$A64,'Данные 1st'!$AZ$2:$AZ$317),"")</f>
        <v>1.5</v>
      </c>
      <c r="O64" s="7">
        <f>IFERROR(AVERAGEIF('Данные 1st'!$S$2:$S$317,$A64,'Данные 1st'!$BF$2:$BF$317),"")</f>
        <v>254.16666666666666</v>
      </c>
      <c r="P64" s="7">
        <f>IFERROR(AVERAGEIF('Данные 1st'!$S$2:$S$317,$A64,'Данные 1st'!$BG$2:$BG$317),"")</f>
        <v>1.5</v>
      </c>
      <c r="Q64" s="7">
        <f>IFERROR(AVERAGEIF('Данные 1st'!$S$2:$S$317,$A64,'Данные 1st'!$BM$2:$BM$317),"")</f>
        <v/>
      </c>
      <c r="R64" s="7">
        <f>IFERROR(AVERAGEIF('Данные 1st'!$S$2:$S$317,$A64,'Данные 1st'!$BN$2:$BN$317),"")</f>
        <v>1.5</v>
      </c>
      <c r="S64" s="7">
        <f>IFERROR(AVERAGEIF('Данные 1st'!$S$2:$S$317,$A64,'Данные 1st'!$BT$2:$BT$317),"")</f>
        <v>230.25</v>
      </c>
      <c r="T64" s="7">
        <f>IFERROR(AVERAGEIF('Данные 1st'!$S$2:$S$317,$A64,'Данные 1st'!$BU$2:$BU$317),"")</f>
        <v>0.5</v>
      </c>
      <c r="U64" s="7">
        <f>IFERROR(AVERAGEIF('Данные 1st'!$S$2:$S$317,$A64,'Данные 1st'!$BW$2:$BW$317),"")</f>
        <v>460.5</v>
      </c>
      <c r="V64" s="7">
        <f>IFERROR(AVERAGEIF('Данные 1st'!$S$2:$S$317,$A64,'Данные 1st'!$BX$2:$BX$317),"")</f>
        <v>1</v>
      </c>
      <c r="W64" s="7">
        <f>IFERROR(AVERAGEIF('Данные 1st'!$S$2:$S$317,$A64,'Данные 1st'!$BZ$2:$BZ$317),"")</f>
        <v>385</v>
      </c>
      <c r="X64" s="7">
        <f>IFERROR(AVERAGEIF('Данные 1st'!$S$2:$S$317,$A64,'Данные 1st'!$CA$2:$CA$317),"")</f>
        <v>540</v>
      </c>
      <c r="Y64" s="7">
        <f>IFERROR(AVERAGEIF('Данные 1st'!$S$2:$S$317,$A64,'Данные 1st'!$CD$2:$CD$317),"")</f>
        <v>475.5</v>
      </c>
      <c r="Z64" s="7">
        <f>IFERROR(AVERAGEIF('Данные 1st'!$S$2:$S$317,$A64,'Данные 1st'!$CF$2:$CF$317),"")</f>
        <v>15</v>
      </c>
      <c r="AA64" s="7">
        <f>IFERROR(AVERAGEIF('Данные 1st'!$S$2:$S$317,$A64,'Данные 1st'!$CI$2:$CI$317),"")</f>
        <v>77.5</v>
      </c>
      <c r="AB64" s="7">
        <f>IFERROR(AVERAGEIF('Данные 1st'!$S$2:$S$317,$A64,'Данные 1st'!$CJ$2:$CJ$317),"")</f>
        <v>1458</v>
      </c>
      <c r="AC64" s="7">
        <f>IFERROR(AVERAGEIF('Данные 1st'!$S$2:$S$317,$A64,'Данные 1st'!$CK$2:$CK$317),"")</f>
        <v>2</v>
      </c>
      <c r="AD64" s="7">
        <f>IFERROR(AVERAGEIF('Данные 1st'!$S$2:$S$317,$A64,'Данные 1st'!$CL$2:$CL$317),"")</f>
        <v>1552</v>
      </c>
      <c r="AE64" s="7">
        <f>IFERROR(AVERAGEIF('Данные 1st'!$S$2:$S$317,$A64,'Данные 1st'!$CM$2:$CM$317),"")</f>
        <v>2</v>
      </c>
      <c r="AF64" s="7">
        <f>IFERROR(AVERAGEIF('Данные 1st'!$S$2:$S$317,$A64,'Данные 1st'!$CT$2:$CT$317),"")</f>
        <v>422.5</v>
      </c>
      <c r="AG64" s="7">
        <f>IFERROR(AVERAGEIF('Данные 1st'!$S$2:$S$317,$A64,'Данные 1st'!$CU$2:$CU$317),"")</f>
        <v>5</v>
      </c>
      <c r="AH64" s="7">
        <f>IFERROR(AVERAGEIF('Данные 1st'!$S$2:$S$317,$A64,'Данные 1st'!$CV$2:$CV$317),"")</f>
        <v>1.25</v>
      </c>
      <c r="AI64" s="7">
        <f>IFERROR(AVERAGEIF('Данные 1st'!$S$2:$S$317,$A64,'Данные 1st'!$CW$2:$CW$317),"")</f>
        <v>1475</v>
      </c>
      <c r="AJ64" s="7">
        <f>IFERROR(AVERAGEIF('Данные 1st'!$S$2:$S$317,$A64,'Данные 1st'!$CX$2:$CX$317),"")</f>
        <v>920.5</v>
      </c>
      <c r="AK64" s="7">
        <f>IFERROR(AVERAGEIF('Данные 1st'!$S$2:$S$317,$A64,'Данные 1st'!$CZ$2:$CZ$317),"")</f>
        <v>50</v>
      </c>
      <c r="AL64" s="7">
        <f>IFERROR(AVERAGEIF('Данные 1st'!$S$2:$S$317,$A64,'Данные 1st'!$DA$2:$DA$317),"")</f>
        <v>3</v>
      </c>
      <c r="AM64" s="7">
        <f>IFERROR(AVERAGEIF('Данные 1st'!$S$2:$S$317,$A64,'Данные 1st'!$DB$2:$DB$317),"")</f>
        <v>1</v>
      </c>
      <c r="AN64" s="7">
        <f>IFERROR(AVERAGEIF('Данные 1st'!$S$2:$S$317,$A64,'Данные 1st'!$DC$2:$DC$317),"")</f>
        <v>1475</v>
      </c>
      <c r="AO64" s="7">
        <f>IFERROR(AVERAGEIF('Данные 1st'!$S$2:$S$317,$A64,'Данные 1st'!$DD$2:$DD$317),"")</f>
        <v>77</v>
      </c>
      <c r="AP64" s="7">
        <f>IFERROR(AVERAGEIF('Данные 1st'!$S$2:$S$317,$A64,'Данные 1st'!$DF$2:$DF$317),"")</f>
        <v>651.25</v>
      </c>
      <c r="AQ64" s="7">
        <f>IFERROR(AVERAGEIF('Данные 1st'!$S$2:$S$317,$A64,'Данные 1st'!$DG$2:$DG$317),"")</f>
        <v>3</v>
      </c>
      <c r="AR64" s="7">
        <f>IFERROR(AVERAGEIF('Данные 1st'!$S$2:$S$317,$A64,'Данные 1st'!$DH$2:$DH$317),"")</f>
        <v>0.955</v>
      </c>
      <c r="AS64" s="7">
        <f>IFERROR(AVERAGEIF('Данные 1st'!$S$2:$S$317,$A64,'Данные 1st'!$DI$2:$DI$317),"")</f>
        <v>1468</v>
      </c>
      <c r="AT64" s="7">
        <f>IFERROR(AVERAGEIF('Данные 1st'!$S$2:$S$317,$A64,'Данные 1st'!$DJ$2:$DJ$317),"")</f>
        <v>1227.25</v>
      </c>
      <c r="AU64" s="7">
        <f>IFERROR(AVERAGEIF('Данные 1st'!$S$2:$S$317,$A64,'Данные 1st'!$DL$2:$DL$317),"")</f>
        <v>508.3333333333333</v>
      </c>
      <c r="AV64" s="7">
        <f>IFERROR(AVERAGEIF('Данные 1st'!$S$2:$S$317,$A64,'Данные 1st'!$DM$2:$DM$317),"")</f>
        <v>3</v>
      </c>
      <c r="AW64" s="7">
        <f>IFERROR(AVERAGEIF('Данные 1st'!$S$2:$S$317,$A64,'Данные 1st'!$DN$2:$DN$317),"")</f>
        <v>0.98</v>
      </c>
      <c r="AX64" s="7">
        <f>IFERROR(AVERAGEIF('Данные 1st'!$S$2:$S$317,$A64,'Данные 1st'!$DO$2:$DO$317),"")</f>
        <v>1473.6666666666667</v>
      </c>
      <c r="AY64" s="7">
        <f>IFERROR(AVERAGEIF('Данные 1st'!$S$2:$S$317,$A64,'Данные 1st'!$DP$2:$DP$317),"")</f>
        <v>951.3333333333334</v>
      </c>
      <c r="AZ64" s="7">
        <f>IFERROR(AVERAGEIF('Данные 1st'!$S$2:$S$317,$A64,'Данные 1st'!$DR$2:$DR$317),"")</f>
        <v/>
      </c>
      <c r="BA64" s="7">
        <f>IFERROR(AVERAGEIF('Данные 1st'!$S$2:$S$317,$A64,'Данные 1st'!$DS$2:$DS$317),"")</f>
        <v/>
      </c>
      <c r="BB64" s="7">
        <f>IFERROR(AVERAGEIF('Данные 1st'!$S$2:$S$317,$A64,'Данные 1st'!$DT$2:$DT$317),"")</f>
        <v/>
      </c>
      <c r="BC64" s="7">
        <f>IFERROR(AVERAGEIF('Данные 1st'!$S$2:$S$317,$A64,'Данные 1st'!$DU$2:$DU$317),"")</f>
        <v/>
      </c>
      <c r="BD64" s="7">
        <f>IFERROR(AVERAGEIF('Данные 1st'!$S$2:$S$317,$A64,'Данные 1st'!$DV$2:$DV$317),"")</f>
        <v/>
      </c>
      <c r="BE64" s="7">
        <f>IFERROR(AVERAGEIF('Данные 1st'!$S$2:$S$317,$A64,'Данные 1st'!$DX$2:$DX$317),"")</f>
        <v>7.5</v>
      </c>
      <c r="BF64" s="7">
        <f>IFERROR(AVERAGEIF('Данные 1st'!$S$2:$S$317,$A64,'Данные 1st'!$EA$2:$EA$317),"")</f>
        <v>1543.3</v>
      </c>
      <c r="BG64" s="7">
        <f>IFERROR(AVERAGEIF('Данные 1st'!$S$2:$S$317,$A64,'Данные 1st'!$EB$2:$EB$317),"")</f>
        <v>322.75</v>
      </c>
      <c r="BH64" s="7">
        <f>IFERROR(AVERAGEIF('Данные 1st'!$S$2:$S$317,$A64,'Данные 1st'!$ED$2:$ED$317),"")</f>
        <v>37.5</v>
      </c>
      <c r="BI64" s="7">
        <f>IFERROR(AVERAGEIF('Данные 1st'!$S$2:$S$317,$A64,'Данные 1st'!$EE$2:$EE$317),"")</f>
        <v>3</v>
      </c>
      <c r="BJ64" s="7">
        <f>IFERROR(AVERAGEIF('Данные 1st'!$S$2:$S$317,$A64,'Данные 1st'!$EG$2:$EG$317),"")</f>
        <v>1589.25</v>
      </c>
      <c r="BK64" s="7">
        <f>IFERROR(AVERAGEIF('Данные 1st'!$S$2:$S$317,$A64,'Данные 1st'!$EH$2:$EH$317),"")</f>
        <v>237.75</v>
      </c>
      <c r="BL64" s="7">
        <f>IFERROR(AVERAGEIF('Данные 1st'!$S$2:$S$317,$A64,'Данные 1st'!$EJ$2:$EJ$317),"")</f>
        <v>0</v>
      </c>
      <c r="BM64" s="7">
        <f>IFERROR(AVERAGEIF('Данные 1st'!$S$2:$S$317,$A64,'Данные 1st'!$EK$2:$EK$317),"")</f>
        <v>1</v>
      </c>
      <c r="BN64" s="7">
        <f>IFERROR(AVERAGEIF('Данные 1st'!$S$2:$S$317,$A64,'Данные 1st'!$EN$2:$EN$317),"")</f>
        <v>0</v>
      </c>
      <c r="BO64" s="7">
        <f>IFERROR(AVERAGEIF('Данные 1st'!$S$2:$S$317,$A64,'Данные 1st'!$EQ$2:$EQ$317),"")</f>
        <v>113.75</v>
      </c>
      <c r="BP64" s="7">
        <f>IFERROR(AVERAGEIF('Данные 1st'!$S$2:$S$317,$A64,'Данные 1st'!$ER$2:$ER$317),"")</f>
        <v>3</v>
      </c>
      <c r="BQ64" s="7">
        <f>IFERROR(AVERAGEIF('Данные 1st'!$S$2:$S$317,$A64,'Данные 1st'!$ES$2:$ES$317),"")</f>
        <v>5.875</v>
      </c>
      <c r="BR64" s="7">
        <f>IFERROR(AVERAGEIF('Данные 1st'!$S$2:$S$317,$A64,'Данные 1st'!$ET$2:$ET$317),"")</f>
        <v>1456.5</v>
      </c>
      <c r="BS64" s="7">
        <f>IFERROR(AVERAGEIF('Данные 1st'!$S$2:$S$317,$A64,'Данные 1st'!$EU$2:$EU$317),"")</f>
        <v>532.6</v>
      </c>
      <c r="BT64" s="7">
        <f>IFERROR(AVERAGEIF('Данные 1st'!$S$2:$S$317,$A64,'Данные 1st'!$EV$2:$EV$317),"")</f>
        <v>775.75</v>
      </c>
      <c r="BU64" s="7">
        <f>IFERROR(AVERAGEIF('Данные 1st'!$S$2:$S$317,$A64,'Данные 1st'!$EX$2:$EX$317),"")</f>
        <v>45</v>
      </c>
      <c r="BV64" s="7">
        <f>IFERROR(AVERAGEIF('Данные 1st'!$S$2:$S$317,$A64,'Данные 1st'!$EY$2:$EY$317),"")</f>
        <v>2</v>
      </c>
      <c r="BW64" s="7">
        <f>IFERROR(AVERAGEIF('Данные 1st'!$S$2:$S$317,$A64,'Данные 1st'!$EZ$2:$EZ$317),"")</f>
        <v>4.45</v>
      </c>
      <c r="BX64" s="7">
        <f>IFERROR(AVERAGEIF('Данные 1st'!$S$2:$S$317,$A64,'Данные 1st'!$FA$2:$FA$317),"")</f>
        <v>1456.5</v>
      </c>
      <c r="BY64" s="7">
        <f>IFERROR(AVERAGEIF('Данные 1st'!$S$2:$S$317,$A64,'Данные 1st'!$FB$2:$FB$317),"")</f>
        <v>149.7</v>
      </c>
      <c r="BZ64" s="7">
        <f>IFERROR(AVERAGEIF('Данные 1st'!$S$2:$S$317,$A64,'Данные 1st'!$FC$2:$FC$317),"")</f>
        <v>218.25</v>
      </c>
      <c r="CA64" s="7">
        <f>IFERROR(AVERAGEIF('Данные 1st'!$S$2:$S$317,$A64,'Данные 1st'!$FE$2:$FE$317),"")</f>
        <v>0</v>
      </c>
      <c r="CB64" s="7">
        <f>IFERROR(AVERAGEIF('Данные 1st'!$S$2:$S$317,$A64,'Данные 1st'!$FF$2:$FF$317),"")</f>
        <v>2</v>
      </c>
      <c r="CC64" s="7">
        <f>IFERROR(AVERAGEIF('Данные 1st'!$S$2:$S$317,$A64,'Данные 1st'!$FI$2:$FI$317),"")</f>
        <v>0</v>
      </c>
      <c r="CD64" s="7">
        <f>IFERROR(AVERAGEIF('Данные 1st'!$S$2:$S$317,$A64,'Данные 1st'!$FL$2:$FL$317),"")</f>
        <v>0.45</v>
      </c>
      <c r="CE64" s="7">
        <f>IFERROR(AVERAGEIF('Данные 1st'!$S$2:$S$317,$A64,'Данные 1st'!$FM$2:$FM$317),"")</f>
        <v>53.75</v>
      </c>
      <c r="CF64" s="7">
        <f>IFERROR(AVERAGEIF('Данные 1st'!$S$2:$S$317,$A64,'Данные 1st'!$FN$2:$FN$317),"")</f>
        <v>387.5</v>
      </c>
      <c r="CG64" s="7">
        <f>IFERROR(AVERAGEIF('Данные 1st'!$S$2:$S$317,$A64,'Данные 1st'!$FO$2:$FO$317),"")</f>
        <v>85</v>
      </c>
      <c r="CH64" s="7">
        <f>IFERROR(AVERAGEIF('Данные 1st'!$S$2:$S$317,$A64,'Данные 1st'!$FP$2:$FP$317),"")</f>
        <v>155</v>
      </c>
      <c r="CI64" s="7">
        <f>IFERROR(AVERAGEIF('Данные 1st'!$S$2:$S$317,$A64,'Данные 1st'!$FS$2:$FS$317),"")</f>
        <v/>
      </c>
      <c r="CJ64" s="7">
        <f>IFERROR(AVERAGEIF('Данные 1st'!$S$2:$S$317,$A64,'Данные 1st'!$FT$2:$FT$317),"")</f>
        <v/>
      </c>
      <c r="CK64" s="7">
        <f>IFERROR(AVERAGEIF('Данные 1st'!$S$2:$S$317,$A64,'Данные 1st'!$FU$2:$FU$317),"")</f>
        <v/>
      </c>
      <c r="CL64" s="7">
        <f>IFERROR(AVERAGEIF('Данные 1st'!$S$2:$S$317,$A64,'Данные 1st'!$FV$2:$FV$317),"")</f>
        <v/>
      </c>
      <c r="CM64" s="7">
        <f>IFERROR(AVERAGEIF('Данные 1st'!$S$2:$S$317,$A64,'Данные 1st'!$FW$2:$FW$317),"")</f>
        <v/>
      </c>
      <c r="CN64" s="7">
        <f>IFERROR(AVERAGEIF('Данные 1st'!$S$2:$S$317,$A64,'Данные 1st'!$FZ$2:$FZ$317),"")</f>
        <v/>
      </c>
      <c r="CO64" s="7">
        <f>IFERROR(AVERAGEIF('Данные 1st'!$S$2:$S$317,$A64,'Данные 1st'!$GA$2:$GA$317),"")</f>
        <v/>
      </c>
      <c r="CP64" s="7">
        <f>IFERROR(AVERAGEIF('Данные 1st'!$S$2:$S$317,$A64,'Данные 1st'!$GB$2:$GB$317),"")</f>
        <v/>
      </c>
      <c r="CQ64" s="7">
        <f>IFERROR(AVERAGEIF('Данные 1st'!$S$2:$S$317,$A64,'Данные 1st'!$GH$2:$GH$317),"")</f>
        <v/>
      </c>
      <c r="CR64" s="7">
        <f>IFERROR(AVERAGEIF('Данные 1st'!$S$2:$S$317,$A64,'Данные 1st'!$GI$2:$GI$317),"")</f>
        <v/>
      </c>
      <c r="CS64" s="7">
        <f>IFERROR(AVERAGEIF('Данные 1st'!$S$2:$S$317,$A64,'Данные 1st'!$GJ$2:$GJ$317),"")</f>
        <v/>
      </c>
      <c r="CT64" s="7">
        <f>IFERROR(AVERAGEIF('Данные 1st'!$S$2:$S$317,$A64,'Данные 1st'!$GS$2:$GS$317),"")</f>
        <v>0.4</v>
      </c>
      <c r="CU64" s="7">
        <f>IFERROR(AVERAGEIF('Данные 1st'!$S$2:$S$317,$A64,'Данные 1st'!$GT$2:$GT$317),"")</f>
        <v>56.666666666666664</v>
      </c>
      <c r="CV64" s="7">
        <f>IFERROR(AVERAGEIF('Данные 1st'!$S$2:$S$317,$A64,'Данные 1st'!$GU$2:$GU$317),"")</f>
        <v>320</v>
      </c>
      <c r="CW64" s="7">
        <f>IFERROR(AVERAGEIF('Данные 1st'!$S$2:$S$317,$A64,'Данные 1st'!$GV$2:$GV$317),"")</f>
        <v>30</v>
      </c>
      <c r="CX64" s="7">
        <f>IFERROR(AVERAGEIF('Данные 1st'!$S$2:$S$317,$A64,'Данные 1st'!$GW$2:$GW$317),"")</f>
        <v>290</v>
      </c>
      <c r="CY64" s="7">
        <f>IFERROR(AVERAGEIF('Данные 1st'!$S$2:$S$317,$A64,'Данные 1st'!$GZ$2:$GZ$317),"")</f>
        <v>1.6</v>
      </c>
      <c r="CZ64" s="7">
        <f>IFERROR(AVERAGEIF('Данные 1st'!$S$2:$S$317,$A64,'Данные 1st'!$HA$2:$HA$317),"")</f>
        <v>20</v>
      </c>
      <c r="DA64" s="7">
        <f>IFERROR(AVERAGEIF('Данные 1st'!$S$2:$S$317,$A64,'Данные 1st'!$HB$2:$HB$317),"")</f>
        <v>191</v>
      </c>
      <c r="DB64" s="7">
        <f>IFERROR(AVERAGEIF('Данные 1st'!$S$2:$S$317,$A64,'Данные 1st'!$HC$2:$HC$317),"")</f>
        <v>0.1</v>
      </c>
      <c r="DC64" s="7">
        <f>IFERROR(AVERAGEIF('Данные 1st'!$S$2:$S$317,$A64,'Данные 1st'!$HD$2:$HD$317),"")</f>
        <v>3</v>
      </c>
      <c r="DD64" s="7">
        <f>IFERROR(AVERAGEIF('Данные 1st'!$S$2:$S$317,$A64,'Данные 1st'!$HE$2:$HE$317),"")</f>
        <v>3</v>
      </c>
      <c r="DE64" s="7">
        <f>IFERROR(AVERAGEIF('Данные 1st'!$S$2:$S$317,$A64,'Данные 1st'!$HF$2:$HF$317),"")</f>
        <v>3</v>
      </c>
      <c r="DF64" s="7">
        <f>IFERROR(AVERAGEIF('Данные 1st'!$S$2:$S$317,$A64,'Данные 1st'!$HG$2:$HG$317),"")</f>
        <v>3</v>
      </c>
      <c r="DG64" s="7">
        <f>IFERROR(AVERAGEIF('Данные 1st'!$S$2:$S$317,$A64,'Данные 1st'!$HH$2:$HH$317),"")</f>
        <v>3</v>
      </c>
      <c r="DH64" s="7">
        <f>IFERROR(AVERAGEIF('Данные 1st'!$S$2:$S$317,$A64,'Данные 1st'!$HI$2:$HI$317),"")</f>
        <v>143.75</v>
      </c>
      <c r="DI64" s="7">
        <f>IFERROR(AVERAGEIF('Данные 1st'!$S$2:$S$317,$A64,'Данные 1st'!$HJ$2:$HJ$317),"")</f>
        <v>3</v>
      </c>
      <c r="DJ64" s="7">
        <f>IFERROR(AVERAGEIF('Данные 1st'!$S$2:$S$317,$A64,'Данные 1st'!$HK$2:$HK$317),"")</f>
        <v>30</v>
      </c>
      <c r="DK64" s="7">
        <f>IFERROR(AVERAGEIF('Данные 1st'!$S$2:$S$317,$A64,'Данные 1st'!$HL$2:$HL$317),"")</f>
        <v>2</v>
      </c>
      <c r="DL64" s="7">
        <f>IFERROR(AVERAGEIF('Данные 1st'!$S$2:$S$317,$A64,'Данные 1st'!$HM$2:$HM$317),"")</f>
        <v>0</v>
      </c>
      <c r="DM64" s="7">
        <f>IFERROR(AVERAGEIF('Данные 1st'!$S$2:$S$317,$A64,'Данные 1st'!$HN$2:$HN$317),"")</f>
        <v>2</v>
      </c>
      <c r="DN64" s="7">
        <f>IFERROR(AVERAGEIF('Данные 1st'!$S$2:$S$317,$A64,'Данные 1st'!$HO$2:$HO$317),"")</f>
        <v>98.75</v>
      </c>
      <c r="DO64" s="7">
        <f>IFERROR(AVERAGEIF('Данные 1st'!$S$2:$S$317,$A64,'Данные 1st'!$HP$2:$HP$317),"")</f>
        <v>3</v>
      </c>
      <c r="DP64" s="7">
        <f>IFERROR(AVERAGEIF('Данные 1st'!$S$2:$S$317,$A64,'Данные 1st'!$HQ$2:$HQ$317),"")</f>
        <v>0</v>
      </c>
      <c r="DQ64" s="7">
        <f>IFERROR(AVERAGEIF('Данные 1st'!$S$2:$S$317,$A64,'Данные 1st'!$HR$2:$HR$317),"")</f>
        <v>2</v>
      </c>
      <c r="DR64" s="7">
        <f>IFERROR(AVERAGEIF('Данные 1st'!$S$2:$S$317,$A64,'Данные 1st'!$HS$2:$HS$317),"")</f>
        <v>6124.25</v>
      </c>
      <c r="DS64" s="7">
        <f>IFERROR(AVERAGEIF('Данные 1st'!$S$2:$S$317,$A64,'Данные 1st'!$HT$2:$HT$317),"")</f>
        <v>185</v>
      </c>
      <c r="DT64" s="7">
        <f>IFERROR(AVERAGEIF('Данные 1st'!$S$2:$S$317,$A64,'Данные 1st'!$HU$2:$HU$317),"")</f>
        <v>180</v>
      </c>
      <c r="DU64" s="7">
        <f>IFERROR(AVERAGEIF('Данные 1st'!$S$2:$S$317,$A64,'Данные 1st'!$HW$2:$HW$317),"")</f>
        <v>5</v>
      </c>
      <c r="DV64" s="7">
        <f>IFERROR(AVERAGEIF('Данные 1st'!$S$2:$S$317,$A64,'Данные 1st'!$HX$2:$HX$317),"")</f>
        <v>516.25</v>
      </c>
      <c r="DW64" s="7">
        <f>IFERROR(AVERAGEIF('Данные 1st'!$S$2:$S$317,$A64,'Данные 1st'!$HY$2:$HY$317),"")</f>
        <v>0.18</v>
      </c>
      <c r="DX64" s="7">
        <f>IFERROR(AVERAGEIF('Данные 1st'!$S$2:$S$317,$A64,'Данные 1st'!$IA$2:$IA$317),"")</f>
        <v>0.15</v>
      </c>
      <c r="DY64" s="7">
        <f>IFERROR(AVERAGEIF('Данные 1st'!$S$2:$S$317,$A64,'Данные 1st'!$IB$2:$IB$317),"")</f>
        <v>0</v>
      </c>
      <c r="DZ64" s="7">
        <f>IFERROR(AVERAGEIF('Данные 1st'!$S$2:$S$317,$A64,'Данные 1st'!$IC$2:$IC$317),"")</f>
        <v>180</v>
      </c>
      <c r="EA64" s="7">
        <f>IFERROR(AVERAGEIF('Данные 1st'!$S$2:$S$317,$A64,'Данные 1st'!$ID$2:$ID$317),"")</f>
        <v>110</v>
      </c>
      <c r="EB64" s="7">
        <f>IFERROR(AVERAGEIF('Данные 1st'!$S$2:$S$317,$A64,'Данные 1st'!$IE$2:$IE$317),"")</f>
        <v>168.75</v>
      </c>
      <c r="EC64" s="7">
        <f>IFERROR(AVERAGEIF('Данные 1st'!$S$2:$S$317,$A64,'Данные 1st'!$IF$2:$IF$317),"")</f>
        <v>0</v>
      </c>
      <c r="ED64" s="7">
        <f>IFERROR(AVERAGEIF('Данные 1st'!$S$2:$S$317,$A64,'Данные 1st'!$IP$2:$IP$317),"")</f>
        <v>19</v>
      </c>
      <c r="EE64" s="7">
        <f>IFERROR(AVERAGEIF('Данные 1st'!$S$2:$S$317,$A64,'Данные 1st'!$IV$2:$IV$317),"")</f>
        <v>1458</v>
      </c>
      <c r="EF64" s="7">
        <f>IFERROR(AVERAGEIF('Данные 1st'!$S$2:$S$317,$A64,'Данные 1st'!$IW$2:$IW$317),"")</f>
        <v>460.5</v>
      </c>
      <c r="EG64" s="7">
        <f>IFERROR(AVERAGEIF('Данные 1st'!$S$2:$S$317,$A64,'Данные 1st'!$IX$2:$IX$317),"")</f>
        <v/>
      </c>
      <c r="EH64" s="7">
        <f>IFERROR(AVERAGEIF('Данные 1st'!$S$2:$S$317,$A64,'Данные 1st'!$IY$2:$IY$317),"")</f>
        <v/>
      </c>
      <c r="EI64" s="7">
        <f>IFERROR(AVERAGEIF('Данные 1st'!$S$2:$S$317,$A64,'Данные 1st'!$JD$2:$JD$317),"")</f>
        <v>1475</v>
      </c>
      <c r="EJ64" s="7">
        <f>IFERROR(AVERAGEIF('Данные 1st'!$S$2:$S$317,$A64,'Данные 1st'!$JE$2:$JE$317),"")</f>
        <v>1468</v>
      </c>
      <c r="EK64" s="7">
        <f>IFERROR(AVERAGEIF('Данные 1st'!$S$2:$S$317,$A64,'Данные 1st'!$JF$2:$JF$317),"")</f>
        <v>1105.25</v>
      </c>
      <c r="EL64" s="7">
        <f>IFERROR(AVERAGEIF('Данные 1st'!$S$2:$S$317,$A64,'Данные 1st'!$JG$2:$JG$317),"")</f>
        <v>1456.5</v>
      </c>
      <c r="EM64" s="7">
        <f>IFERROR(AVERAGEIF('Данные 1st'!$S$2:$S$317,$A64,'Данные 1st'!$JH$2:$JH$317),"")</f>
        <v>0</v>
      </c>
      <c r="EN64" s="7">
        <f>IFERROR(AVERAGEIF('Данные 1st'!$S$2:$S$317,$A64,'Данные 1st'!$JJ$2:$JJ$317),"")</f>
        <v>180</v>
      </c>
      <c r="EO64" s="7">
        <f>IFERROR(AVERAGEIF('Данные 1st'!$S$2:$S$317,$A64,'Данные 1st'!$JK$2:$JK$317),"")</f>
        <v>516.25</v>
      </c>
      <c r="EP64" s="7">
        <f>IFERROR(AVERAGEIF('Данные 1st'!$S$2:$S$317,$A64,'Данные 1st'!$JL$2:$JL$317),"")</f>
        <v/>
      </c>
      <c r="EQ64" s="7">
        <f>IFERROR(AVERAGEIF('Данные 1st'!$S$2:$S$317,$A64,'Данные 1st'!$JM$2:$JM$317),"")</f>
        <v/>
      </c>
      <c r="ER64" s="7">
        <f>IFERROR(AVERAGEIF('Данные 1st'!$S$2:$S$317,$A64,'Данные 1st'!$JN$2:$JN$317),"")</f>
        <v>422.5</v>
      </c>
      <c r="ES64" s="7">
        <f>IFERROR(AVERAGEIF('Данные 1st'!$S$2:$S$317,$A64,'Данные 1st'!$JO$2:$JO$317),"")</f>
        <v>651.25</v>
      </c>
      <c r="ET64" s="7">
        <f>IFERROR(AVERAGEIF('Данные 1st'!$S$2:$S$317,$A64,'Данные 1st'!$JP$2:$JP$317),"")</f>
        <v>381.25</v>
      </c>
      <c r="EU64" s="7">
        <f>IFERROR(AVERAGEIF('Данные 1st'!$S$2:$S$317,$A64,'Данные 1st'!$JQ$2:$JQ$317),"")</f>
        <v>0</v>
      </c>
      <c r="EV64" s="7">
        <f>IFERROR(AVERAGEIF('Данные 1st'!$S$2:$S$317,$A64,'Данные 1st'!$JR$2:$JR$317),"")</f>
        <v>461.5</v>
      </c>
      <c r="EW64" s="7">
        <f>IFERROR(AVERAGEIF('Данные 1st'!$S$2:$S$317,$A64,'Данные 1st'!$JS$2:$JS$317),"")</f>
        <v>143.75</v>
      </c>
      <c r="EX64" s="7">
        <f>IFERROR(AVERAGEIF('Данные 1st'!$S$2:$S$317,$A64,'Данные 1st'!$JT$2:$JT$317),"")</f>
        <v/>
      </c>
      <c r="EY64" s="7">
        <f>IFERROR(AVERAGEIF('Данные 1st'!$S$2:$S$317,$A64,'Данные 1st'!$JU$2:$JU$317),"")</f>
        <v/>
      </c>
      <c r="EZ64" s="7">
        <f>IFERROR(AVERAGEIF('Данные 1st'!$S$2:$S$317,$A64,'Данные 1st'!$JV$2:$JV$317),"")</f>
        <v>8</v>
      </c>
      <c r="FA64" s="7">
        <f>IFERROR(AVERAGEIF('Данные 1st'!$S$2:$S$317,$A64,'Данные 1st'!$JW$2:$JW$317),"")</f>
        <v/>
      </c>
      <c r="FB64" s="7">
        <f>IFERROR(AVERAGEIF('Данные 1st'!$S$2:$S$317,$A64,'Данные 1st'!$JX$2:$JX$317),"")</f>
        <v>498</v>
      </c>
      <c r="FC64" s="7">
        <f>IFERROR(AVERAGEIF('Данные 1st'!$S$2:$S$317,$A64,'Данные 1st'!$JY$2:$JY$317),"")</f>
        <v/>
      </c>
      <c r="FD64" s="7">
        <f>IFERROR(AVERAGEIF('Данные 1st'!$S$2:$S$317,$A64,'Данные 1st'!$JZ$2:$JZ$317),"")</f>
        <v/>
      </c>
      <c r="FE64" s="7">
        <f>IFERROR(AVERAGEIF('Данные 1st'!$S$2:$S$317,$A64,'Данные 1st'!$KA$2:$KA$317),"")</f>
        <v>168.75</v>
      </c>
      <c r="FF64" s="7">
        <f>IFERROR(AVERAGEIF('Данные 1st'!$S$2:$S$317,$A64,'Данные 1st'!$KB$2:$KB$317),"")</f>
        <v>110</v>
      </c>
      <c r="FG64" s="7">
        <f>IFERROR(AVERAGEIF('Данные 1st'!$S$2:$S$317,$A64,'Данные 1st'!$KC$2:$KC$317),"")</f>
        <v>0</v>
      </c>
      <c r="FH64" s="7">
        <f>IFERROR(AVERAGEIF('Данные 1st'!$S$2:$S$317,$A64,'Данные 1st'!$KD$2:$KD$317),"")</f>
        <v>80</v>
      </c>
      <c r="FI64" s="7">
        <f>IFERROR(AVERAGEIF('Данные 1st'!$S$2:$S$317,$A64,'Данные 1st'!$KE$2:$KE$317),"")</f>
        <v/>
      </c>
      <c r="FJ64" s="7">
        <f>IFERROR(AVERAGEIF('Данные 1st'!$S$2:$S$317,$A64,'Данные 1st'!$KF$2:$KF$317),"")</f>
        <v>4</v>
      </c>
      <c r="FK64" s="7">
        <f>IFERROR(AVERAGEIF('Данные 1st'!$S$2:$S$317,$A64,'Данные 1st'!$KG$2:$KG$317),"")</f>
        <v>3.5</v>
      </c>
      <c r="FL64" s="7">
        <f>IFERROR(AVERAGEIF('Данные 1st'!$S$2:$S$317,$A64,'Данные 1st'!$KH$2:$KH$317),"")</f>
        <v>2</v>
      </c>
      <c r="FM64" s="7">
        <f>IFERROR(AVERAGEIF('Данные 1st'!$S$2:$S$317,$A64,'Данные 1st'!$KI$2:$KI$317),"")</f>
        <v>2</v>
      </c>
      <c r="FN64" s="7">
        <f>IFERROR(AVERAGEIF('Данные 1st'!$S$2:$S$317,$A64,'Данные 1st'!$KJ$2:$KJ$317),"")</f>
        <v>0</v>
      </c>
      <c r="FO64" s="7">
        <f>IFERROR(AVERAGEIF('Данные 1st'!$S$2:$S$317,$A64,'Данные 1st'!$KK$2:$KK$317),"")</f>
        <v>1.5</v>
      </c>
      <c r="FP64" s="7">
        <f>IFERROR(AVERAGEIF('Данные 1st'!$S$2:$S$317,$A64,'Данные 1st'!$KL$2:$KL$317),"")</f>
        <v>1.5</v>
      </c>
      <c r="FQ64" s="7">
        <f>IFERROR(AVERAGEIF('Данные 1st'!$S$2:$S$317,$A64,'Данные 1st'!$KM$2:$KM$317),"")</f>
        <v>0</v>
      </c>
      <c r="FR64" s="7">
        <f>IFERROR(AVERAGEIF('Данные 1st'!$S$2:$S$317,$A64,'Данные 1st'!$KN$2:$KN$317),"")</f>
        <v>0</v>
      </c>
      <c r="FS64" s="7">
        <f>IFERROR(AVERAGEIF('Данные 1st'!$S$2:$S$317,$A64,'Данные 1st'!$KR$2:$KR$317),"")</f>
        <v>27.5</v>
      </c>
      <c r="FT64" s="7">
        <f>IFERROR(AVERAGEIF('Данные 1st'!$S$2:$S$317,$A64,'Данные 1st'!$KS$2:$KS$317),"")</f>
        <v>60</v>
      </c>
      <c r="FU64" s="7">
        <f>IFERROR(AVERAGEIF('Данные 1st'!$S$2:$S$317,$A64,'Данные 1st'!$KT$2:$KT$317),"")</f>
        <v>0</v>
      </c>
      <c r="FV64" s="7">
        <f>IFERROR(AVERAGEIF('Данные 1st'!$S$2:$S$317,$A64,'Данные 1st'!$KV$2:$KV$317),"")</f>
        <v/>
      </c>
      <c r="FW64" s="7">
        <f>IFERROR(AVERAGEIF('Данные 1st'!$S$2:$S$317,$A64,'Данные 1st'!$KW$2:$KW$317),"")</f>
        <v/>
      </c>
      <c r="FX64" s="7">
        <f>IFERROR(AVERAGEIF('Данные 1st'!$S$2:$S$317,$A64,'Данные 1st'!$KX$2:$KX$317),"")</f>
        <v/>
      </c>
      <c r="FY64" s="7">
        <f>IFERROR(AVERAGEIF('Данные 1st'!$S$2:$S$317,$A64,'Данные 1st'!$KY$2:$KY$317),"")</f>
        <v/>
      </c>
      <c r="FZ64" s="7">
        <f>IFERROR(AVERAGEIF('Данные 1st'!$S$2:$S$317,$A64,'Данные 1st'!$KZ$2:$KZ$317),"")</f>
        <v/>
      </c>
      <c r="GA64" s="7">
        <f>IFERROR(AVERAGEIF('Данные 1st'!$S$2:$S$317,$A64,'Данные 1st'!$LA$2:$LA$317),"")</f>
        <v/>
      </c>
      <c r="GB64" s="7">
        <f>IFERROR(AVERAGEIF('Данные 1st'!$S$2:$S$317,$A64,'Данные 1st'!$LB$2:$LB$317),"")</f>
        <v/>
      </c>
      <c r="GC64" s="7">
        <f>IFERROR(AVERAGEIF('Данные 1st'!$S$2:$S$317,$A64,'Данные 1st'!$LC$2:$LC$317),"")</f>
        <v/>
      </c>
      <c r="GD64" s="7">
        <f>IFERROR(AVERAGEIF('Данные 1st'!$S$2:$S$317,$A64,'Данные 1st'!$LD$2:$LD$317),"")</f>
        <v/>
      </c>
      <c r="GE64" s="7">
        <f>IFERROR(AVERAGEIF('Данные 1st'!$S$2:$S$317,$A64,'Данные 1st'!$LE$2:$LE$317),"")</f>
        <v/>
      </c>
      <c r="GF64" s="7">
        <f>IFERROR(AVERAGEIF('Данные 1st'!$S$2:$S$317,$A64,'Данные 1st'!$LF$2:$LF$317),"")</f>
        <v/>
      </c>
      <c r="GG64" s="7">
        <f>IFERROR(AVERAGEIF('Данные 1st'!$S$2:$S$317,$A64,'Данные 1st'!$LG$2:$LG$317),"")</f>
        <v/>
      </c>
      <c r="GH64" s="7">
        <f>IFERROR(AVERAGEIF('Данные 1st'!$S$2:$S$317,$A64,'Данные 1st'!$LH$2:$LH$317),"")</f>
        <v/>
      </c>
      <c r="GI64" s="7">
        <f>IFERROR(AVERAGEIF('Данные 1st'!$S$2:$S$317,$A64,'Данные 1st'!$LI$2:$LI$317),"")</f>
        <v/>
      </c>
      <c r="GJ64" s="7">
        <f>IFERROR(AVERAGEIF('Данные 1st'!$S$2:$S$317,$A64,'Данные 1st'!$LJ$2:$LJ$317),"")</f>
        <v/>
      </c>
      <c r="GK64" s="7">
        <f>IFERROR(AVERAGEIF('Данные 1st'!$S$2:$S$317,$A64,'Данные 1st'!$LK$2:$LK$317),"")</f>
        <v>480</v>
      </c>
      <c r="GL64" s="7">
        <f>IFERROR(AVERAGEIF('Данные 1st'!$S$2:$S$317,$A64,'Данные 1st'!$LV$2:$LV$317),"")</f>
        <v/>
      </c>
      <c r="GM64" s="7">
        <f>IFERROR(AVERAGEIF('Данные 1st'!$S$2:$S$317,$A64,'Данные 1st'!$LW$2:$LW$317),"")</f>
        <v/>
      </c>
      <c r="GN64" s="7">
        <f>IFERROR(AVERAGEIF('Данные 1st'!$S$2:$S$317,$A64,'Данные 1st'!$LX$2:$LX$317),"")</f>
        <v/>
      </c>
      <c r="GO64" s="7">
        <f>IFERROR(AVERAGEIF('Данные 1st'!$S$2:$S$317,$A64,'Данные 1st'!$LY$2:$LY$317),"")</f>
        <v/>
      </c>
      <c r="GP64" s="7">
        <f>IFERROR(AVERAGEIF('Данные 1st'!$S$2:$S$317,$A64,'Данные 1st'!$LZ$2:$LZ$317),"")</f>
        <v/>
      </c>
      <c r="GQ64" s="7">
        <f>IFERROR(AVERAGEIF('Данные 1st'!$S$2:$S$317,$A64,'Данные 1st'!$PG$2:$PG$317),"")</f>
        <v>1</v>
      </c>
      <c r="GR64" s="7">
        <f>IFERROR(AVERAGEIF('Данные 1st'!$S$2:$S$317,$A64,'Данные 1st'!$PX$2:$PX$317),"")</f>
        <v>56</v>
      </c>
      <c r="GS64" s="7">
        <f>IFERROR(AVERAGEIF('Данные 1st'!$S$2:$S$317,$A64,'Данные 1st'!$PY$2:$PY$317),"")</f>
        <v>56.25</v>
      </c>
      <c r="GT64" s="7">
        <f>IFERROR(AVERAGEIF('Данные 1st'!$S$2:$S$317,$A64,'Данные 1st'!$QA$2:$QA$317),"")</f>
        <v>1.25</v>
      </c>
      <c r="GU64" s="7">
        <f>IFERROR(AVERAGEIF('Данные 1st'!$S$2:$S$317,$A64,'Данные 1st'!$QB$2:$QB$317),"")</f>
        <v>1456.5</v>
      </c>
      <c r="GV64" s="7">
        <f>IFERROR(AVERAGEIF('Данные 1st'!$S$2:$S$317,$A64,'Данные 1st'!$QC$2:$QC$317),"")</f>
        <v>69</v>
      </c>
      <c r="GW64" s="7">
        <f>IFERROR(AVERAGEIF('Данные 1st'!$S$2:$S$317,$A64,'Данные 1st'!$QD$2:$QD$317),"")</f>
        <v>69</v>
      </c>
      <c r="GX64" s="7">
        <f>IFERROR(AVERAGEIF('Данные 1st'!$S$2:$S$317,$A64,'Данные 1st'!$QF$2:$QF$317),"")</f>
        <v>1.5</v>
      </c>
      <c r="GY64" s="7">
        <f>IFERROR(AVERAGEIF('Данные 1st'!$S$2:$S$317,$A64,'Данные 1st'!$QG$2:$QG$317),"")</f>
        <v>1475</v>
      </c>
      <c r="GZ64" s="7">
        <f>IFERROR(AVERAGEIF('Данные 1st'!$S$2:$S$317,$A64,'Данные 1st'!$QH$2:$QH$317),"")</f>
        <v>66</v>
      </c>
      <c r="HA64" s="7">
        <f>IFERROR(AVERAGEIF('Данные 1st'!$S$2:$S$317,$A64,'Данные 1st'!$QI$2:$QI$317),"")</f>
        <v>66</v>
      </c>
      <c r="HB64" s="7">
        <f>IFERROR(AVERAGEIF('Данные 1st'!$S$2:$S$317,$A64,'Данные 1st'!$QK$2:$QK$317),"")</f>
        <v>1</v>
      </c>
      <c r="HC64" s="7">
        <f>IFERROR(AVERAGEIF('Данные 1st'!$S$2:$S$317,$A64,'Данные 1st'!$QL$2:$QL$317),"")</f>
        <v>1475</v>
      </c>
      <c r="HD64" s="7">
        <f>IFERROR(AVERAGEIF('Данные 1st'!$S$2:$S$317,$A64,'Данные 1st'!$QM$2:$QM$317),"")</f>
        <v>62</v>
      </c>
      <c r="HE64" s="7">
        <f>IFERROR(AVERAGEIF('Данные 1st'!$S$2:$S$317,$A64,'Данные 1st'!$QN$2:$QN$317),"")</f>
        <v>62</v>
      </c>
      <c r="HF64" s="7">
        <f>IFERROR(AVERAGEIF('Данные 1st'!$S$2:$S$317,$A64,'Данные 1st'!$QP$2:$QP$317),"")</f>
        <v>1</v>
      </c>
      <c r="HG64" s="7">
        <f>IFERROR(AVERAGEIF('Данные 1st'!$S$2:$S$317,$A64,'Данные 1st'!$QQ$2:$QQ$317),"")</f>
        <v>1468</v>
      </c>
      <c r="HH64" s="7">
        <f>IFERROR(AVERAGEIF('Данные 1st'!$S$2:$S$317,$A64,'Данные 1st'!$QR$2:$QR$317),"")</f>
        <v>62.333333333333336</v>
      </c>
      <c r="HI64" s="7">
        <f>IFERROR(AVERAGEIF('Данные 1st'!$S$2:$S$317,$A64,'Данные 1st'!$QS$2:$QS$317),"")</f>
        <v>62.333333333333336</v>
      </c>
      <c r="HJ64" s="7">
        <f>IFERROR(AVERAGEIF('Данные 1st'!$S$2:$S$317,$A64,'Данные 1st'!$QU$2:$QU$317),"")</f>
        <v>1</v>
      </c>
      <c r="HK64" s="7">
        <f>IFERROR(AVERAGEIF('Данные 1st'!$S$2:$S$317,$A64,'Данные 1st'!$QV$2:$QV$317),"")</f>
        <v>1473.6666666666667</v>
      </c>
      <c r="HL64" s="7">
        <f>IFERROR(AVERAGEIF('Данные 1st'!$S$2:$S$317,$A64,'Данные 1st'!$QW$2:$QW$317),"")</f>
        <v>82</v>
      </c>
      <c r="HM64" s="7">
        <f>IFERROR(AVERAGEIF('Данные 1st'!$S$2:$S$317,$A64,'Данные 1st'!$QX$2:$QX$317),"")</f>
        <v>89</v>
      </c>
      <c r="HN64" s="7">
        <f>IFERROR(AVERAGEIF('Данные 1st'!$S$2:$S$317,$A64,'Данные 1st'!$QZ$2:$QZ$317),"")</f>
        <v>1</v>
      </c>
      <c r="HO64" s="7">
        <f>IFERROR(AVERAGEIF('Данные 1st'!$S$2:$S$317,$A64,'Данные 1st'!$RA$2:$RA$317),"")</f>
        <v>66</v>
      </c>
      <c r="HP64" s="7">
        <f>IFERROR(AVERAGEIF('Данные 1st'!$S$2:$S$317,$A64,'Данные 1st'!$RB$2:$RB$317),"")</f>
        <v>66</v>
      </c>
      <c r="HQ64" s="7">
        <f>IFERROR(AVERAGEIF('Данные 1st'!$S$2:$S$317,$A64,'Данные 1st'!$RD$2:$RD$317),"")</f>
        <v/>
      </c>
      <c r="HR64" s="7">
        <f>IFERROR(AVERAGEIF('Данные 1st'!$S$2:$S$317,$A64,'Данные 1st'!$RE$2:$RE$317),"")</f>
        <v>0</v>
      </c>
      <c r="HS64" s="7">
        <f>IFERROR(AVERAGEIF('Данные 1st'!$S$2:$S$317,$A64,'Данные 1st'!$RF$2:$RF$317),"")</f>
        <v>1</v>
      </c>
      <c r="HT64" s="7">
        <f>IFERROR(AVERAGEIF('Данные 1st'!$S$2:$S$317,$A64,'Данные 1st'!$RG$2:$RG$317),"")</f>
        <v/>
      </c>
      <c r="HU64" s="7">
        <f>IFERROR(AVERAGEIF('Данные 1st'!$S$2:$S$317,$A64,'Данные 1st'!$RH$2:$RH$317),"")</f>
        <v>1</v>
      </c>
      <c r="HV64" s="7">
        <f>IFERROR(AVERAGEIF('Данные 1st'!$S$2:$S$317,$A64,'Данные 1st'!$RI$2:$RI$317),"")</f>
        <v>1</v>
      </c>
      <c r="HW64" s="7">
        <f>IFERROR(AVERAGEIF('Данные 1st'!$S$2:$S$317,$A64,'Данные 1st'!$RJ$2:$RJ$317),"")</f>
        <v>1</v>
      </c>
      <c r="HX64" s="7">
        <f>IFERROR(AVERAGEIF('Данные 1st'!$S$2:$S$317,$A64,'Данные 1st'!$RK$2:$RK$317),"")</f>
        <v>2</v>
      </c>
      <c r="HY64" s="7">
        <f>IFERROR(AVERAGEIF('Данные 1st'!$S$2:$S$317,$A64,'Данные 1st'!$RL$2:$RL$317),"")</f>
        <v>3</v>
      </c>
      <c r="HZ64" s="7">
        <f>IFERROR(AVERAGEIF('Данные 1st'!$S$2:$S$317,$A64,'Данные 1st'!$RM$2:$RM$317),"")</f>
        <v>2.6666666666666665</v>
      </c>
      <c r="IA64" s="7">
        <f>IFERROR(AVERAGEIF('Данные 1st'!$S$2:$S$317,$A64,'Данные 1st'!$RN$2:$RN$317),"")</f>
        <v/>
      </c>
      <c r="IB64" s="7">
        <f>IFERROR(AVERAGEIF('Данные 1st'!$S$2:$S$317,$A64,'Данные 1st'!$RO$2:$RO$317),"")</f>
        <v>624</v>
      </c>
      <c r="IC64" s="7">
        <f>IFERROR(AVERAGEIF('Данные 1st'!$S$2:$S$317,$A64,'Данные 1st'!$RP$2:$RP$317),"")</f>
        <v>105</v>
      </c>
      <c r="ID64" s="7">
        <f>IFERROR(AVERAGEIF('Данные 1st'!$S$2:$S$317,$A64,'Данные 1st'!$RQ$2:$RQ$317),"")</f>
        <v>836</v>
      </c>
      <c r="IE64" s="7">
        <f>IFERROR(AVERAGEIF('Данные 1st'!$S$2:$S$317,$A64,'Данные 1st'!$RR$2:$RR$317),"")</f>
        <v>645.3333333333334</v>
      </c>
      <c r="IF64" s="7">
        <f>IFERROR(AVERAGEIF('Данные 1st'!$S$2:$S$317,$A64,'Данные 1st'!$RS$2:$RS$317),"")</f>
        <v/>
      </c>
      <c r="IG64" s="7">
        <f>IFERROR(AVERAGEIF('Данные 1st'!$S$2:$S$317,$A64,'Данные 1st'!$RT$2:$RT$317),"")</f>
        <v>322.75</v>
      </c>
      <c r="IH64" s="7">
        <f>IFERROR(AVERAGEIF('Данные 1st'!$S$2:$S$317,$A64,'Данные 1st'!$RU$2:$RU$317),"")</f>
        <v>237.75</v>
      </c>
      <c r="II64" s="7">
        <f>IFERROR(AVERAGEIF('Данные 1st'!$S$2:$S$317,$A64,'Данные 1st'!$RX$2:$RX$317),"")</f>
        <v>15</v>
      </c>
      <c r="IJ64" s="7">
        <f>IFERROR(AVERAGEIF('Данные 1st'!$S$2:$S$317,$A64,'Данные 1st'!$RY$2:$RY$317),"")</f>
        <v>4</v>
      </c>
      <c r="IK64" s="7">
        <f>IFERROR(AVERAGEIF('Данные 1st'!$S$2:$S$317,$A64,'Данные 1st'!$SA$2:$SA$317),"")</f>
        <v>15</v>
      </c>
      <c r="IL64" s="7">
        <f>IFERROR(AVERAGEIF('Данные 1st'!$S$2:$S$317,$A64,'Данные 1st'!$SD$2:$SD$317),"")</f>
        <v>1</v>
      </c>
      <c r="IM64" s="7">
        <f>IFERROR(AVERAGEIF('Данные 1st'!$S$2:$S$317,$A64,'Данные 1st'!$SG$2:$SG$317),"")</f>
        <v>1</v>
      </c>
      <c r="IN64" s="7">
        <f>IFERROR(AVERAGEIF('Данные 1st'!$S$2:$S$317,$A64,'Данные 1st'!$SH$2:$SH$317),"")</f>
        <v>0.995</v>
      </c>
      <c r="IO64" s="7">
        <f>IFERROR(AVERAGEIF('Данные 1st'!$S$2:$S$317,$A64,'Данные 1st'!$SI$2:$SI$317),"")</f>
        <v>0.995</v>
      </c>
      <c r="IP64" s="7">
        <f>IFERROR(AVERAGEIF('Данные 1st'!$S$2:$S$317,$A64,'Данные 1st'!$SJ$2:$SJ$317),"")</f>
        <v>0.995</v>
      </c>
      <c r="IQ64" s="7">
        <f>IFERROR(AVERAGEIF('Данные 1st'!$S$2:$S$317,$A64,'Данные 1st'!$SK$2:$SK$317),"")</f>
        <v>15</v>
      </c>
      <c r="IR64" s="7">
        <f>IFERROR(AVERAGEIF('Данные 1st'!$S$2:$S$317,$A64,'Данные 1st'!$SL$2:$SL$317),"")</f>
        <v>0</v>
      </c>
      <c r="IS64" s="7">
        <f>IFERROR(AVERAGEIF('Данные 1st'!$S$2:$S$317,$A64,'Данные 1st'!$SM$2:$SM$317),"")</f>
        <v>0</v>
      </c>
      <c r="IT64" s="7">
        <f>IFERROR(AVERAGEIF('Данные 1st'!$S$2:$S$317,$A64,'Данные 1st'!$SN$2:$SN$317),"")</f>
        <v>0</v>
      </c>
      <c r="IU64" s="7">
        <f>IFERROR(AVERAGEIF('Данные 1st'!$S$2:$S$317,$A64,'Данные 1st'!$SO$2:$SO$317),"")</f>
        <v>0</v>
      </c>
      <c r="IV64" s="7">
        <f>IFERROR(AVERAGEIF('Данные 1st'!$S$2:$S$317,$A64,'Данные 1st'!$SP$2:$SP$317),"")</f>
        <v>0</v>
      </c>
      <c r="IW64" s="7">
        <f>IFERROR(AVERAGEIF('Данные 1st'!$S$2:$S$317,$A64,'Данные 1st'!$SQ$2:$SQ$317),"")</f>
        <v>0</v>
      </c>
      <c r="IX64" s="7">
        <f>IFERROR(AVERAGEIF('Данные 1st'!$S$2:$S$317,$A64,'Данные 1st'!$SR$2:$SR$317),"")</f>
        <v>0</v>
      </c>
      <c r="IY64" s="7">
        <f>IFERROR(AVERAGEIF('Данные 1st'!$S$2:$S$317,$A64,'Данные 1st'!$SS$2:$SS$317),"")</f>
        <v>0</v>
      </c>
      <c r="IZ64" s="7">
        <f>IFERROR(AVERAGEIF('Данные 1st'!$S$2:$S$317,$A64,'Данные 1st'!$ST$2:$ST$317),"")</f>
        <v>0</v>
      </c>
      <c r="JA64" s="7">
        <f>IFERROR(AVERAGEIF('Данные 1st'!$S$2:$S$317,$A64,'Данные 1st'!$SU$2:$SU$317),"")</f>
        <v>0</v>
      </c>
      <c r="JB64" s="7">
        <f>IFERROR(AVERAGEIF('Данные 1st'!$S$2:$S$317,$A64,'Данные 1st'!$SV$2:$SV$317),"")</f>
        <v>0</v>
      </c>
      <c r="JC64" s="7">
        <f>IFERROR(AVERAGEIF('Данные 1st'!$S$2:$S$317,$A64,'Данные 1st'!$SW$2:$SW$317),"")</f>
        <v>0</v>
      </c>
      <c r="JD64" s="7">
        <f>IFERROR(AVERAGEIF('Данные 1st'!$S$2:$S$317,$A64,'Данные 1st'!$SX$2:$SX$317),"")</f>
        <v>0</v>
      </c>
      <c r="JE64" s="7">
        <f>IFERROR(AVERAGEIF('Данные 1st'!$S$2:$S$317,$A64,'Данные 1st'!$SY$2:$SY$317),"")</f>
        <v>1</v>
      </c>
      <c r="JF64" s="7">
        <f>IFERROR(AVERAGEIF('Данные 1st'!$S$2:$S$317,$A64,'Данные 1st'!$SZ$2:$SZ$317),"")</f>
        <v>1</v>
      </c>
      <c r="JG64" s="7">
        <f>IFERROR(AVERAGEIF('Данные 1st'!$S$2:$S$317,$A64,'Данные 1st'!$TA$2:$TA$317),"")</f>
        <v/>
      </c>
      <c r="JH64" s="7">
        <f>IFERROR(AVERAGEIF('Данные 1st'!$S$2:$S$317,$A64,'Данные 1st'!$TB$2:$TB$317),"")</f>
        <v>0</v>
      </c>
      <c r="JI64" s="7">
        <f>IFERROR(AVERAGEIF('Данные 1st'!$S$2:$S$317,$A64,'Данные 1st'!$TC$2:$TC$317),"")</f>
        <v>0</v>
      </c>
      <c r="JJ64" s="7">
        <f>IFERROR(AVERAGEIF('Данные 1st'!$S$2:$S$317,$A64,'Данные 1st'!$TD$2:$TD$317),"")</f>
        <v>7.5</v>
      </c>
      <c r="JK64" s="7">
        <f>IFERROR(AVERAGEIF('Данные 1st'!$S$2:$S$317,$A64,'Данные 1st'!$TN$2:$TN$317),"")</f>
        <v>0</v>
      </c>
      <c r="JL64">
        <f>COUNTIF('Данные 2st'!$Q$2:$Q$317,$A64)</f>
        <v>4</v>
      </c>
      <c r="JM64" s="6" t="s">
        <v>5092</v>
      </c>
      <c r="JN64" s="6" t="s">
        <v>513</v>
      </c>
      <c r="JO64" s="6" t="s">
        <v>5125</v>
      </c>
      <c r="JP64" s="6" t="s">
        <v>5514</v>
      </c>
      <c r="JQ64" s="7">
        <f>IFERROR(AVERAGEIF('Данные 2st'!$Q$2:$Q$317,$A64,'Данные 2st'!$AC$2:$AC$317),"")</f>
        <v>11</v>
      </c>
      <c r="JR64" s="7">
        <f>IFERROR(AVERAGEIF('Данные 2st'!$Q$2:$Q$317,$A64,'Данные 2st'!$AF$2:$AF$317),"")</f>
        <v>6124.25</v>
      </c>
      <c r="JS64" s="7">
        <f>IFERROR(AVERAGEIF('Данные 2st'!$Q$2:$Q$317,$A64,'Данные 2st'!$AW$2:$AW$317),"")</f>
        <v>6.4</v>
      </c>
      <c r="JT64" s="7">
        <f>IFERROR(AVERAGEIF('Данные 2st'!$Q$2:$Q$317,$A64,'Данные 2st'!$AX$2:$AX$317),"")</f>
        <v>-6</v>
      </c>
      <c r="JU64" s="7">
        <f>IFERROR(AVERAGEIF('Данные 2st'!$Q$2:$Q$317,$A64,'Данные 2st'!$AY$2:$AY$317),"")</f>
        <v>109.125</v>
      </c>
      <c r="JV64" s="7">
        <f>IFERROR(AVERAGEIF('Данные 2st'!$Q$2:$Q$317,$A64,'Данные 2st'!$AZ$2:$AZ$317),"")</f>
        <v>79.5</v>
      </c>
      <c r="JW64" s="7">
        <f>IFERROR(AVERAGEIF('Данные 2st'!$Q$2:$Q$317,$A64,'Данные 2st'!$BA$2:$BA$317),"")</f>
        <v/>
      </c>
      <c r="JX64" s="7">
        <f>IFERROR(AVERAGEIF('Данные 2st'!$Q$2:$Q$317,$A64,'Данные 2st'!$BB$2:$BB$317),"")</f>
        <v/>
      </c>
      <c r="JY64" s="7">
        <f>IFERROR(AVERAGEIF('Данные 2st'!$Q$2:$Q$317,$A64,'Данные 2st'!$BC$2:$BC$317),"")</f>
        <v/>
      </c>
      <c r="JZ64" s="7">
        <f>IFERROR(AVERAGEIF('Данные 2st'!$Q$2:$Q$317,$A64,'Данные 2st'!$BH$2:$BH$317),"")</f>
        <v>109.125</v>
      </c>
      <c r="KA64" s="7">
        <f>IFERROR(AVERAGEIF('Данные 2st'!$Q$2:$Q$317,$A64,'Данные 2st'!$BI$2:$BI$317),"")</f>
        <v>29.625</v>
      </c>
      <c r="KB64" s="7">
        <f>IFERROR(AVERAGEIF('Данные 2st'!$Q$2:$Q$317,$A64,'Данные 2st'!$BJ$2:$BJ$317),"")</f>
        <v>79.5</v>
      </c>
      <c r="KC64" s="7">
        <f>IFERROR(AVERAGEIF('Данные 2st'!$Q$2:$Q$317,$A64,'Данные 2st'!$BK$2:$BK$317),"")</f>
        <v>2.875</v>
      </c>
      <c r="KD64" s="7">
        <f>IFERROR(AVERAGEIF('Данные 2st'!$Q$2:$Q$317,$A64,'Данные 2st'!$BL$2:$BL$317),"")</f>
        <v>218.25</v>
      </c>
      <c r="KE64" s="7">
        <f>IFERROR(AVERAGEIF('Данные 2st'!$Q$2:$Q$317,$A64,'Данные 2st'!$BM$2:$BM$317),"")</f>
        <v>-6</v>
      </c>
      <c r="KF64" s="7">
        <f>IFERROR(AVERAGEIF('Данные 2st'!$Q$2:$Q$317,$A64,'Данные 2st'!$BN$2:$BN$317),"")</f>
        <v>0</v>
      </c>
      <c r="KG64" s="7">
        <f>IFERROR(AVERAGEIF('Данные 2st'!$Q$2:$Q$317,$A64,'Данные 2st'!$BO$2:$BO$317),"")</f>
        <v>0</v>
      </c>
      <c r="KH64" s="7">
        <f>IFERROR(AVERAGEIF('Данные 2st'!$Q$2:$Q$317,$A64,'Данные 2st'!$BP$2:$BP$317),"")</f>
        <v>0</v>
      </c>
      <c r="KI64" s="7">
        <f>IFERROR(AVERAGEIF('Данные 2st'!$Q$2:$Q$317,$A64,'Данные 2st'!$BR$2:$BR$317),"")</f>
        <v>212.5</v>
      </c>
      <c r="KJ64" s="7">
        <f>IFERROR(AVERAGEIF('Данные 2st'!$Q$2:$Q$317,$A64,'Данные 2st'!$BS$2:$BS$317),"")</f>
        <v>202.5</v>
      </c>
      <c r="KK64" s="7">
        <f>IFERROR(AVERAGEIF('Данные 2st'!$Q$2:$Q$317,$A64,'Данные 2st'!$BT$2:$BT$317),"")</f>
        <v>2202.5</v>
      </c>
      <c r="KL64" s="7">
        <f>IFERROR(AVERAGEIF('Данные 2st'!$Q$2:$Q$317,$A64,'Данные 2st'!$CV$2:$CV$317),"")</f>
        <v>135.75</v>
      </c>
      <c r="KM64" s="7">
        <f>IFERROR(AVERAGEIF('Данные 2st'!$Q$2:$Q$317,$A64,'Данные 2st'!$CW$2:$CW$317),"")</f>
        <v>3</v>
      </c>
      <c r="KN64" s="7">
        <f>IFERROR(AVERAGEIF('Данные 2st'!$Q$2:$Q$317,$A64,'Данные 2st'!$CX$2:$CX$317),"")</f>
        <v>97.25</v>
      </c>
      <c r="KO64" s="7">
        <f>IFERROR(AVERAGEIF('Данные 2st'!$Q$2:$Q$317,$A64,'Данные 2st'!$CY$2:$CY$317),"")</f>
        <v>5</v>
      </c>
      <c r="KP64" s="7">
        <f>IFERROR(AVERAGEIF('Данные 2st'!$Q$2:$Q$317,$A64,'Данные 2st'!$CZ$2:$CZ$317),"")</f>
        <v>140.25</v>
      </c>
      <c r="KQ64" s="7">
        <f>IFERROR(AVERAGEIF('Данные 2st'!$Q$2:$Q$317,$A64,'Данные 2st'!$DA$2:$DA$317),"")</f>
        <v>5</v>
      </c>
      <c r="KR64" s="7">
        <f>IFERROR(AVERAGEIF('Данные 2st'!$Q$2:$Q$317,$A64,'Данные 2st'!$DB$2:$DB$317),"")</f>
        <v>14225</v>
      </c>
      <c r="KS64" s="7">
        <f>IFERROR(AVERAGEIF('Данные 2st'!$Q$2:$Q$317,$A64,'Данные 2st'!$DC$2:$DC$317),"")</f>
        <v>370</v>
      </c>
      <c r="KT64" s="7">
        <f>IFERROR(AVERAGEIF('Данные 2st'!$Q$2:$Q$317,$A64,'Данные 2st'!$DD$2:$DD$317),"")</f>
        <v>363</v>
      </c>
      <c r="KU64" s="7">
        <f>IFERROR(AVERAGEIF('Данные 2st'!$Q$2:$Q$317,$A64,'Данные 2st'!$DE$2:$DE$317),"")</f>
        <v>2326.75</v>
      </c>
      <c r="KV64" s="7">
        <f>IFERROR(AVERAGEIF('Данные 2st'!$Q$2:$Q$317,$A64,'Данные 2st'!$DF$2:$DF$317),"")</f>
        <v>2326.75</v>
      </c>
      <c r="KW64" s="7">
        <f>IFERROR(AVERAGEIF('Данные 2st'!$Q$2:$Q$317,$A64,'Данные 2st'!$DG$2:$DG$317),"")</f>
        <v>2338.25</v>
      </c>
      <c r="KX64" s="7">
        <f>IFERROR(AVERAGEIF('Данные 2st'!$Q$2:$Q$317,$A64,'Данные 2st'!$DH$2:$DH$317),"")</f>
        <v>1.75</v>
      </c>
      <c r="KY64" s="7">
        <f>IFERROR(AVERAGEIF('Данные 2st'!$Q$2:$Q$317,$A64,'Данные 2st'!$DI$2:$DI$317),"")</f>
        <v/>
      </c>
      <c r="KZ64" s="7">
        <f>IFERROR(AVERAGEIF('Данные 2st'!$Q$2:$Q$317,$A64,'Данные 2st'!$DK$2:$DK$317),"")</f>
        <v>212.5</v>
      </c>
      <c r="LA64" s="7">
        <f>IFERROR(AVERAGEIF('Данные 2st'!$Q$2:$Q$317,$A64,'Данные 2st'!$DM$2:$DM$317),"")</f>
        <v>64</v>
      </c>
      <c r="LB64" s="7">
        <f>IFERROR(AVERAGEIF('Данные 2st'!$Q$2:$Q$317,$A64,'Данные 2st'!$DN$2:$DN$317),"")</f>
        <v>1.23</v>
      </c>
      <c r="LC64" s="7">
        <f>IFERROR(AVERAGEIF('Данные 2st'!$Q$2:$Q$317,$A64,'Данные 2st'!$DO$2:$DO$317),"")</f>
        <v>1</v>
      </c>
      <c r="LD64" s="7">
        <f>IFERROR(AVERAGEIF('Данные 2st'!$Q$2:$Q$317,$A64,'Данные 2st'!$DP$2:$DP$317),"")</f>
        <v>2206.5</v>
      </c>
      <c r="LE64" s="7">
        <f>IFERROR(AVERAGEIF('Данные 2st'!$Q$2:$Q$317,$A64,'Данные 2st'!$DQ$2:$DQ$317),"")</f>
        <v>1104</v>
      </c>
      <c r="LF64" s="7">
        <f>IFERROR(AVERAGEIF('Данные 2st'!$Q$2:$Q$317,$A64,'Данные 2st'!$DS$2:$DS$317),"")</f>
        <v>202.5</v>
      </c>
      <c r="LG64" s="7">
        <f>IFERROR(AVERAGEIF('Данные 2st'!$Q$2:$Q$317,$A64,'Данные 2st'!$DU$2:$DU$317),"")</f>
        <v>64</v>
      </c>
      <c r="LH64" s="7">
        <f>IFERROR(AVERAGEIF('Данные 2st'!$Q$2:$Q$317,$A64,'Данные 2st'!$DV$2:$DV$317),"")</f>
        <v>1.23</v>
      </c>
      <c r="LI64" s="7">
        <f>IFERROR(AVERAGEIF('Данные 2st'!$Q$2:$Q$317,$A64,'Данные 2st'!$DW$2:$DW$317),"")</f>
        <v>1</v>
      </c>
      <c r="LJ64" s="7">
        <f>IFERROR(AVERAGEIF('Данные 2st'!$Q$2:$Q$317,$A64,'Данные 2st'!$DX$2:$DX$317),"")</f>
        <v>2219</v>
      </c>
      <c r="LK64" s="7">
        <f>IFERROR(AVERAGEIF('Данные 2st'!$Q$2:$Q$317,$A64,'Данные 2st'!$DY$2:$DY$317),"")</f>
        <v>1058.5</v>
      </c>
      <c r="LL64" s="7">
        <f>IFERROR(AVERAGEIF('Данные 2st'!$Q$2:$Q$317,$A64,'Данные 2st'!$EA$2:$EA$317),"")</f>
        <v>20</v>
      </c>
      <c r="LM64" s="7">
        <f>IFERROR(AVERAGEIF('Данные 2st'!$Q$2:$Q$317,$A64,'Данные 2st'!$EC$2:$EC$317),"")</f>
        <v>0.8</v>
      </c>
      <c r="LN64" s="7">
        <f>IFERROR(AVERAGEIF('Данные 2st'!$Q$2:$Q$317,$A64,'Данные 2st'!$ED$2:$ED$317),"")</f>
        <v>2206.5</v>
      </c>
      <c r="LO64" s="7">
        <f>IFERROR(AVERAGEIF('Данные 2st'!$Q$2:$Q$317,$A64,'Данные 2st'!$EE$2:$EE$317),"")</f>
        <v>77</v>
      </c>
      <c r="LP64" s="7">
        <f>IFERROR(AVERAGEIF('Данные 2st'!$Q$2:$Q$317,$A64,'Данные 2st'!$EG$2:$EG$317),"")</f>
        <v>0</v>
      </c>
      <c r="LQ64" s="7">
        <f>IFERROR(AVERAGEIF('Данные 2st'!$Q$2:$Q$317,$A64,'Данные 2st'!$EI$2:$EI$317),"")</f>
        <v>0</v>
      </c>
      <c r="LR64" s="7">
        <f>IFERROR(AVERAGEIF('Данные 2st'!$Q$2:$Q$317,$A64,'Данные 2st'!$EJ$2:$EJ$317),"")</f>
        <v/>
      </c>
      <c r="LS64" s="7">
        <f>IFERROR(AVERAGEIF('Данные 2st'!$Q$2:$Q$317,$A64,'Данные 2st'!$EK$2:$EK$317),"")</f>
        <v/>
      </c>
      <c r="LT64" s="7">
        <f>IFERROR(AVERAGEIF('Данные 2st'!$Q$2:$Q$317,$A64,'Данные 2st'!$EM$2:$EM$317),"")</f>
        <v>12</v>
      </c>
      <c r="LU64" s="7">
        <f>IFERROR(AVERAGEIF('Данные 2st'!$Q$2:$Q$317,$A64,'Данные 2st'!$EN$2:$EN$317),"")</f>
        <v>0.5</v>
      </c>
      <c r="LV64" s="7">
        <f>IFERROR(AVERAGEIF('Данные 2st'!$Q$2:$Q$317,$A64,'Данные 2st'!$EO$2:$EO$317),"")</f>
        <v>0.96</v>
      </c>
      <c r="LW64" s="7">
        <f>IFERROR(AVERAGEIF('Данные 2st'!$Q$2:$Q$317,$A64,'Данные 2st'!$EP$2:$EP$317),"")</f>
        <v>2217.96</v>
      </c>
      <c r="LX64" s="7">
        <f>IFERROR(AVERAGEIF('Данные 2st'!$Q$2:$Q$317,$A64,'Данные 2st'!$EQ$2:$EQ$317),"")</f>
        <v>39897.744999999995</v>
      </c>
      <c r="LY64" s="7">
        <f>IFERROR(AVERAGEIF('Данные 2st'!$Q$2:$Q$317,$A64,'Данные 2st'!$ER$2:$ER$317),"")</f>
        <v>10295.4375</v>
      </c>
      <c r="LZ64" s="7">
        <f>IFERROR(AVERAGEIF('Данные 2st'!$Q$2:$Q$317,$A64,'Данные 2st'!$ES$2:$ES$317),"")</f>
        <v>0</v>
      </c>
      <c r="MA64" s="7">
        <f>IFERROR(AVERAGEIF('Данные 2st'!$Q$2:$Q$317,$A64,'Данные 2st'!$ET$2:$ET$317),"")</f>
        <v>0</v>
      </c>
      <c r="MB64" s="7">
        <f>IFERROR(AVERAGEIF('Данные 2st'!$Q$2:$Q$317,$A64,'Данные 2st'!$EU$2:$EU$317),"")</f>
        <v>1</v>
      </c>
      <c r="MC64" s="7">
        <f>IFERROR(AVERAGEIF('Данные 2st'!$Q$2:$Q$317,$A64,'Данные 2st'!$EV$2:$EV$317),"")</f>
        <v>50193.5</v>
      </c>
      <c r="MD64" s="7">
        <f>IFERROR(AVERAGEIF('Данные 2st'!$Q$2:$Q$317,$A64,'Данные 2st'!$EW$2:$EW$317),"")</f>
        <v>602.75</v>
      </c>
      <c r="ME64" s="7">
        <f>IFERROR(AVERAGEIF('Данные 2st'!$Q$2:$Q$317,$A64,'Данные 2st'!$EY$2:$EY$317),"")</f>
        <v>236.5</v>
      </c>
      <c r="MF64" s="7">
        <f>IFERROR(AVERAGEIF('Данные 2st'!$Q$2:$Q$317,$A64,'Данные 2st'!$FA$2:$FA$317),"")</f>
        <v>5.65</v>
      </c>
      <c r="MG64" s="7">
        <f>IFERROR(AVERAGEIF('Данные 2st'!$Q$2:$Q$317,$A64,'Данные 2st'!$FB$2:$FB$317),"")</f>
        <v>1</v>
      </c>
      <c r="MH64" s="7">
        <f>IFERROR(AVERAGEIF('Данные 2st'!$Q$2:$Q$317,$A64,'Данные 2st'!$FC$2:$FC$317),"")</f>
        <v>1</v>
      </c>
      <c r="MI64" s="7">
        <f>IFERROR(AVERAGEIF('Данные 2st'!$Q$2:$Q$317,$A64,'Данные 2st'!$FD$2:$FD$317),"")</f>
        <v>2252</v>
      </c>
      <c r="MJ64" s="7">
        <f>IFERROR(AVERAGEIF('Данные 2st'!$Q$2:$Q$317,$A64,'Данные 2st'!$FE$2:$FE$317),"")</f>
        <v>3127</v>
      </c>
      <c r="MK64" s="7">
        <f>IFERROR(AVERAGEIF('Данные 2st'!$Q$2:$Q$317,$A64,'Данные 2st'!$FG$2:$FG$317),"")</f>
        <v>236.5</v>
      </c>
      <c r="ML64" s="7">
        <f>IFERROR(AVERAGEIF('Данные 2st'!$Q$2:$Q$317,$A64,'Данные 2st'!$FI$2:$FI$317),"")</f>
        <v>2.775</v>
      </c>
      <c r="MM64" s="7">
        <f>IFERROR(AVERAGEIF('Данные 2st'!$Q$2:$Q$317,$A64,'Данные 2st'!$FJ$2:$FJ$317),"")</f>
        <v>2252</v>
      </c>
      <c r="MN64" s="7">
        <f>IFERROR(AVERAGEIF('Данные 2st'!$Q$2:$Q$317,$A64,'Данные 2st'!$FK$2:$FK$317),"")</f>
        <v>1669.75</v>
      </c>
      <c r="MO64" s="7">
        <f>IFERROR(AVERAGEIF('Данные 2st'!$Q$2:$Q$317,$A64,'Данные 2st'!$FP$2:$FP$317),"")</f>
        <v>2252</v>
      </c>
      <c r="MP64" s="7">
        <f>IFERROR(AVERAGEIF('Данные 2st'!$Q$2:$Q$317,$A64,'Данные 2st'!$FQ$2:$FQ$317),"")</f>
        <v>194.25</v>
      </c>
      <c r="MQ64" s="7">
        <f>IFERROR(AVERAGEIF('Данные 2st'!$Q$2:$Q$317,$A64,'Данные 2st'!$FS$2:$FS$317),"")</f>
        <v>240.5</v>
      </c>
      <c r="MR64" s="7">
        <f>IFERROR(AVERAGEIF('Данные 2st'!$Q$2:$Q$317,$A64,'Данные 2st'!$FU$2:$FU$317),"")</f>
        <v>0.4</v>
      </c>
      <c r="MS64" s="7">
        <f>IFERROR(AVERAGEIF('Данные 2st'!$Q$2:$Q$317,$A64,'Данные 2st'!$FV$2:$FV$317),"")</f>
        <v>2252</v>
      </c>
      <c r="MT64" s="7">
        <f>IFERROR(AVERAGEIF('Данные 2st'!$Q$2:$Q$317,$A64,'Данные 2st'!$FW$2:$FW$317),"")</f>
        <v>241.25</v>
      </c>
      <c r="MU64" s="7">
        <f>IFERROR(AVERAGEIF('Данные 2st'!$Q$2:$Q$317,$A64,'Данные 2st'!$FY$2:$FY$317),"")</f>
        <v>5</v>
      </c>
      <c r="MV64" s="7">
        <f>IFERROR(AVERAGEIF('Данные 2st'!$Q$2:$Q$317,$A64,'Данные 2st'!$GB$2:$GB$317),"")</f>
        <v>2252</v>
      </c>
      <c r="MW64" s="7">
        <f>IFERROR(AVERAGEIF('Данные 2st'!$Q$2:$Q$317,$A64,'Данные 2st'!$GC$2:$GC$317),"")</f>
        <v>22.5</v>
      </c>
      <c r="MX64" s="7">
        <f>IFERROR(AVERAGEIF('Данные 2st'!$Q$2:$Q$317,$A64,'Данные 2st'!$GD$2:$GD$317),"")</f>
        <v>5254.75</v>
      </c>
      <c r="MY64" s="7">
        <f>IFERROR(AVERAGEIF('Данные 2st'!$Q$2:$Q$317,$A64,'Данные 2st'!$GN$2:$GN$317),"")</f>
        <v/>
      </c>
      <c r="MZ64" s="7">
        <f>IFERROR(AVERAGEIF('Данные 2st'!$Q$2:$Q$317,$A64,'Данные 2st'!$GQ$2:$GQ$317),"")</f>
        <v>0</v>
      </c>
      <c r="NA64" s="7">
        <f>IFERROR(AVERAGEIF('Данные 2st'!$Q$2:$Q$317,$A64,'Данные 2st'!$GV$2:$GV$317),"")</f>
        <v>8.825</v>
      </c>
      <c r="NB64" s="7">
        <f>IFERROR(AVERAGEIF('Данные 2st'!$Q$2:$Q$317,$A64,'Данные 2st'!$GW$2:$GW$317),"")</f>
        <v>9.9</v>
      </c>
      <c r="NC64" s="7">
        <f>IFERROR(AVERAGEIF('Данные 2st'!$Q$2:$Q$317,$A64,'Данные 2st'!$GX$2:$GX$317),"")</f>
        <v>0.5</v>
      </c>
      <c r="ND64" s="7">
        <f>IFERROR(AVERAGEIF('Данные 2st'!$Q$2:$Q$317,$A64,'Данные 2st'!$GY$2:$GY$317),"")</f>
        <v>198.5</v>
      </c>
      <c r="NE64" s="7">
        <f>IFERROR(AVERAGEIF('Данные 2st'!$Q$2:$Q$317,$A64,'Данные 2st'!$GZ$2:$GZ$317),"")</f>
        <v>3</v>
      </c>
      <c r="NF64" s="7">
        <f>IFERROR(AVERAGEIF('Данные 2st'!$Q$2:$Q$317,$A64,'Данные 2st'!$HA$2:$HA$317),"")</f>
        <v>258</v>
      </c>
      <c r="NG64" s="7">
        <f>IFERROR(AVERAGEIF('Данные 2st'!$Q$2:$Q$317,$A64,'Данные 2st'!$HB$2:$HB$317),"")</f>
        <v>3</v>
      </c>
      <c r="NH64" s="7">
        <f>IFERROR(AVERAGEIF('Данные 2st'!$Q$2:$Q$317,$A64,'Данные 2st'!$HC$2:$HC$317),"")</f>
        <v>2252</v>
      </c>
      <c r="NI64" s="7">
        <f>IFERROR(AVERAGEIF('Данные 2st'!$Q$2:$Q$317,$A64,'Данные 2st'!$HD$2:$HD$317),"")</f>
        <v>4</v>
      </c>
      <c r="NJ64" s="7">
        <f>IFERROR(AVERAGEIF('Данные 2st'!$Q$2:$Q$317,$A64,'Данные 2st'!$HM$2:$HM$317),"")</f>
        <v>19</v>
      </c>
      <c r="NK64" s="7">
        <f>IFERROR(AVERAGEIF('Данные 2st'!$Q$2:$Q$317,$A64,'Данные 2st'!$HR$2:$HR$317),"")</f>
        <v>2.5</v>
      </c>
      <c r="NL64" s="7">
        <f>IFERROR(AVERAGEIF('Данные 2st'!$Q$2:$Q$317,$A64,'Данные 2st'!$HS$2:$HS$317),"")</f>
        <v>2202.5</v>
      </c>
      <c r="NM64" s="7">
        <f>IFERROR(AVERAGEIF('Данные 2st'!$Q$2:$Q$317,$A64,'Данные 2st'!$HT$2:$HT$317),"")</f>
        <v>5</v>
      </c>
      <c r="NN64" s="7">
        <f>IFERROR(AVERAGEIF('Данные 2st'!$Q$2:$Q$317,$A64,'Данные 2st'!$HY$2:$HY$317),"")</f>
        <v>0</v>
      </c>
      <c r="NO64" s="7">
        <f>IFERROR(AVERAGEIF('Данные 2st'!$Q$2:$Q$317,$A64,'Данные 2st'!$HZ$2:$HZ$317),"")</f>
        <v>64</v>
      </c>
      <c r="NP64" s="7">
        <f>IFERROR(AVERAGEIF('Данные 2st'!$Q$2:$Q$317,$A64,'Данные 2st'!$IA$2:$IA$317),"")</f>
        <v>2206.5</v>
      </c>
      <c r="NQ64" s="7">
        <f>IFERROR(AVERAGEIF('Данные 2st'!$Q$2:$Q$317,$A64,'Данные 2st'!$IB$2:$IB$317),"")</f>
        <v>2219</v>
      </c>
      <c r="NR64" s="7">
        <f>IFERROR(AVERAGEIF('Данные 2st'!$Q$2:$Q$317,$A64,'Данные 2st'!$IC$2:$IC$317),"")</f>
        <v/>
      </c>
      <c r="NS64" s="7">
        <f>IFERROR(AVERAGEIF('Данные 2st'!$Q$2:$Q$317,$A64,'Данные 2st'!$ID$2:$ID$317),"")</f>
        <v>2252</v>
      </c>
      <c r="NT64" s="7">
        <f>IFERROR(AVERAGEIF('Данные 2st'!$Q$2:$Q$317,$A64,'Данные 2st'!$IE$2:$IE$317),"")</f>
        <v>2252</v>
      </c>
      <c r="NU64" s="7">
        <f>IFERROR(AVERAGEIF('Данные 2st'!$Q$2:$Q$317,$A64,'Данные 2st'!$IF$2:$IF$317),"")</f>
        <v>212.5</v>
      </c>
      <c r="NV64" s="7">
        <f>IFERROR(AVERAGEIF('Данные 2st'!$Q$2:$Q$317,$A64,'Данные 2st'!$IG$2:$IG$317),"")</f>
        <v>202.5</v>
      </c>
      <c r="NW64" s="7">
        <f>IFERROR(AVERAGEIF('Данные 2st'!$Q$2:$Q$317,$A64,'Данные 2st'!$IH$2:$IH$317),"")</f>
        <v>258</v>
      </c>
      <c r="NX64" s="7">
        <f>IFERROR(AVERAGEIF('Данные 2st'!$Q$2:$Q$317,$A64,'Данные 2st'!$IJ$2:$IJ$317),"")</f>
        <v>6.25</v>
      </c>
      <c r="NY64" s="7">
        <f>IFERROR(AVERAGEIF('Данные 2st'!$Q$2:$Q$317,$A64,'Данные 2st'!$IM$2:$IM$317),"")</f>
        <v>0</v>
      </c>
      <c r="NZ64" s="7">
        <f>IFERROR(AVERAGEIF('Данные 2st'!$Q$2:$Q$317,$A64,'Данные 2st'!$IN$2:$IN$317),"")</f>
        <v>270</v>
      </c>
      <c r="OA64" s="7">
        <f>IFERROR(AVERAGEIF('Данные 2st'!$Q$2:$Q$317,$A64,'Данные 2st'!$IO$2:$IO$317),"")</f>
        <v>0</v>
      </c>
      <c r="OB64" s="7">
        <f>IFERROR(AVERAGEIF('Данные 2st'!$Q$2:$Q$317,$A64,'Данные 2st'!$IP$2:$IP$317),"")</f>
        <v>180</v>
      </c>
      <c r="OC64" s="7">
        <f>IFERROR(AVERAGEIF('Данные 2st'!$Q$2:$Q$317,$A64,'Данные 2st'!$IQ$2:$IQ$317),"")</f>
        <v>0</v>
      </c>
      <c r="OD64" s="7">
        <f>IFERROR(AVERAGEIF('Данные 2st'!$Q$2:$Q$317,$A64,'Данные 2st'!$IR$2:$IR$317),"")</f>
        <v>330</v>
      </c>
      <c r="OE64" s="7">
        <f>IFERROR(AVERAGEIF('Данные 2st'!$Q$2:$Q$317,$A64,'Данные 2st'!$IT$2:$IT$317),"")</f>
        <v>90</v>
      </c>
      <c r="OF64" s="7">
        <f>IFERROR(AVERAGEIF('Данные 2st'!$Q$2:$Q$317,$A64,'Данные 2st'!$IU$2:$IU$317),"")</f>
        <v>0</v>
      </c>
      <c r="OG64" s="7">
        <f>IFERROR(AVERAGEIF('Данные 2st'!$Q$2:$Q$317,$A64,'Данные 2st'!$IV$2:$IV$317),"")</f>
        <v>6.4</v>
      </c>
      <c r="OH64" s="7">
        <f>IFERROR(AVERAGEIF('Данные 2st'!$Q$2:$Q$317,$A64,'Данные 2st'!$IW$2:$IW$317),"")</f>
        <v>-6</v>
      </c>
      <c r="OI64" s="7">
        <f>IFERROR(AVERAGEIF('Данные 2st'!$Q$2:$Q$317,$A64,'Данные 2st'!$IX$2:$IX$317),"")</f>
        <v>109.125</v>
      </c>
      <c r="OJ64" s="7">
        <f>IFERROR(AVERAGEIF('Данные 2st'!$Q$2:$Q$317,$A64,'Данные 2st'!$IY$2:$IY$317),"")</f>
        <v>79.5</v>
      </c>
      <c r="OK64" s="7">
        <f>IFERROR(AVERAGEIF('Данные 2st'!$Q$2:$Q$317,$A64,'Данные 2st'!$IZ$2:$IZ$317),"")</f>
        <v>0</v>
      </c>
      <c r="OL64" s="7">
        <f>IFERROR(AVERAGEIF('Данные 2st'!$Q$2:$Q$317,$A64,'Данные 2st'!$JA$2:$JA$317),"")</f>
        <v>0</v>
      </c>
      <c r="OM64" s="7">
        <f>IFERROR(AVERAGEIF('Данные 2st'!$Q$2:$Q$317,$A64,'Данные 2st'!$JB$2:$JB$317),"")</f>
        <v>0</v>
      </c>
      <c r="ON64" s="7">
        <f>IFERROR(AVERAGEIF('Данные 2st'!$Q$2:$Q$317,$A64,'Данные 2st'!$JC$2:$JC$317),"")</f>
        <v>0</v>
      </c>
      <c r="OO64" s="7">
        <f>IFERROR(AVERAGEIF('Данные 2st'!$Q$2:$Q$317,$A64,'Данные 2st'!$JD$2:$JD$317),"")</f>
        <v>0</v>
      </c>
      <c r="OP64" s="7">
        <f>IFERROR(AVERAGEIF('Данные 2st'!$Q$2:$Q$317,$A64,'Данные 2st'!$JE$2:$JE$317),"")</f>
        <v>0</v>
      </c>
      <c r="OQ64" s="7">
        <f>IFERROR(AVERAGEIF('Данные 2st'!$Q$2:$Q$317,$A64,'Данные 2st'!$JF$2:$JF$317),"")</f>
        <v>0</v>
      </c>
      <c r="OR64" s="7">
        <f>IFERROR(AVERAGEIF('Данные 2st'!$Q$2:$Q$317,$A64,'Данные 2st'!$JG$2:$JG$317),"")</f>
        <v>0</v>
      </c>
      <c r="OS64" s="7">
        <f>IFERROR(AVERAGEIF('Данные 2st'!$Q$2:$Q$317,$A64,'Данные 2st'!$JH$2:$JH$317),"")</f>
        <v>0</v>
      </c>
      <c r="OT64" s="7">
        <f>IFERROR(AVERAGEIF('Данные 2st'!$Q$2:$Q$317,$A64,'Данные 2st'!$JI$2:$JI$317),"")</f>
        <v>429.5</v>
      </c>
      <c r="OU64" s="7">
        <f>IFERROR(AVERAGEIF('Данные 2st'!$Q$2:$Q$317,$A64,'Данные 2st'!$JJ$2:$JJ$317),"")</f>
        <v>400</v>
      </c>
      <c r="OV64" s="7">
        <f>IFERROR(AVERAGEIF('Данные 2st'!$Q$2:$Q$317,$A64,'Данные 2st'!$JK$2:$JK$317),"")</f>
        <v>289.75</v>
      </c>
      <c r="OW64" s="7">
        <f>IFERROR(AVERAGEIF('Данные 2st'!$Q$2:$Q$317,$A64,'Данные 2st'!$JL$2:$JL$317),"")</f>
        <v>394.5</v>
      </c>
      <c r="OX64" s="7">
        <f>IFERROR(AVERAGEIF('Данные 2st'!$Q$2:$Q$317,$A64,'Данные 2st'!$JM$2:$JM$317),"")</f>
        <v>309</v>
      </c>
      <c r="OY64" s="7">
        <f>IFERROR(AVERAGEIF('Данные 2st'!$Q$2:$Q$317,$A64,'Данные 2st'!$JP$2:$JP$317),"")</f>
        <v>204.75</v>
      </c>
      <c r="OZ64" s="7">
        <f>IFERROR(AVERAGEIF('Данные 2st'!$Q$2:$Q$317,$A64,'Данные 2st'!$JQ$2:$JQ$317),"")</f>
        <v>243.75</v>
      </c>
      <c r="PA64" s="7">
        <f>IFERROR(AVERAGEIF('Данные 2st'!$Q$2:$Q$317,$A64,'Данные 2st'!$JR$2:$JR$317),"")</f>
        <v>317.5</v>
      </c>
      <c r="PB64" s="7">
        <f>IFERROR(AVERAGEIF('Данные 2st'!$Q$2:$Q$317,$A64,'Данные 2st'!$JS$2:$JS$317),"")</f>
        <v>248.75</v>
      </c>
      <c r="PC64" s="7">
        <f>IFERROR(AVERAGEIF('Данные 2st'!$Q$2:$Q$317,$A64,'Данные 2st'!$JT$2:$JT$317),"")</f>
        <v>0</v>
      </c>
      <c r="PD64" s="7">
        <f>IFERROR(AVERAGEIF('Данные 2st'!$Q$2:$Q$317,$A64,'Данные 2st'!$JU$2:$JU$317),"")</f>
        <v>0</v>
      </c>
      <c r="PE64" s="7">
        <f>IFERROR(AVERAGEIF('Данные 2st'!$Q$2:$Q$317,$A64,'Данные 2st'!$JV$2:$JV$317),"")</f>
        <v>307.5</v>
      </c>
      <c r="PF64" s="7">
        <f>IFERROR(AVERAGEIF('Данные 2st'!$Q$2:$Q$317,$A64,'Данные 2st'!$JW$2:$JW$317),"")</f>
        <v>300</v>
      </c>
      <c r="PG64" s="7">
        <f>IFERROR(AVERAGEIF('Данные 2st'!$Q$2:$Q$317,$A64,'Данные 2st'!$KF$2:$KF$317),"")</f>
        <v>0.19</v>
      </c>
      <c r="PH64" s="7">
        <f>IFERROR(AVERAGEIF('Данные 2st'!$Q$2:$Q$317,$A64,'Данные 2st'!$KG$2:$KG$317),"")</f>
        <v>0.11</v>
      </c>
      <c r="PI64" s="7">
        <f>IFERROR(AVERAGEIF('Данные 2st'!$Q$2:$Q$317,$A64,'Данные 2st'!$KM$2:$KM$317),"")</f>
        <v>0.25</v>
      </c>
      <c r="PJ64" s="7">
        <f>IFERROR(AVERAGEIF('Данные 2st'!$Q$2:$Q$317,$A64,'Данные 2st'!$KN$2:$KN$317),"")</f>
        <v>2.0</v>
      </c>
      <c r="PK64" s="7">
        <f>IFERROR(AVERAGEIF('Данные 2st'!$Q$2:$Q$317,$A64,'Данные 2st'!$KO$2:$KO$317),"")</f>
        <v>0</v>
      </c>
      <c r="PL64" s="7">
        <f>IFERROR(AVERAGEIF('Данные 2st'!$Q$2:$Q$317,$A64,'Данные 2st'!$KP$2:$KP$317),"")</f>
        <v>0</v>
      </c>
      <c r="PM64" s="7">
        <f>IFERROR(AVERAGEIF('Данные 2st'!$Q$2:$Q$317,$A64,'Данные 2st'!$KQ$2:$KQ$317),"")</f>
        <v>0.7</v>
      </c>
      <c r="PN64" s="7">
        <f>IFERROR(AVERAGEIF('Данные 2st'!$Q$2:$Q$317,$A64,'Данные 2st'!$KR$2:$KR$317),"")</f>
        <v>0.875</v>
      </c>
      <c r="PO64" s="7">
        <f>IFERROR(AVERAGEIF('Данные 2st'!$Q$2:$Q$317,$A64,'Данные 2st'!$KS$2:$KS$317),"")</f>
        <v>0</v>
      </c>
      <c r="PP64" s="7">
        <f>IFERROR(AVERAGEIF('Данные 2st'!$Q$2:$Q$317,$A64,'Данные 2st'!$KT$2:$KT$317),"")</f>
        <v>2.775</v>
      </c>
      <c r="PQ64" s="7">
        <f>IFERROR(AVERAGEIF('Данные 2st'!$Q$2:$Q$317,$A64,'Данные 2st'!$KU$2:$KU$317),"")</f>
        <v>0</v>
      </c>
      <c r="PR64" s="7">
        <f>IFERROR(AVERAGEIF('Данные 2st'!$Q$2:$Q$317,$A64,'Данные 2st'!$KV$2:$KV$317),"")</f>
        <v>0</v>
      </c>
      <c r="PS64" s="7">
        <f>IFERROR(AVERAGEIF('Данные 2st'!$Q$2:$Q$317,$A64,'Данные 2st'!$KW$2:$KW$317),"")</f>
        <v>1.025</v>
      </c>
      <c r="PT64" s="7">
        <f>IFERROR(AVERAGEIF('Данные 2st'!$Q$2:$Q$317,$A64,'Данные 2st'!$KX$2:$KX$317),"")</f>
        <v>1.375</v>
      </c>
      <c r="PU64" s="7">
        <f>IFERROR(AVERAGEIF('Данные 2st'!$Q$2:$Q$317,$A64,'Данные 2st'!$KY$2:$KY$317),"")</f>
        <v>0</v>
      </c>
      <c r="PV64" s="7">
        <f>IFERROR(AVERAGEIF('Данные 2st'!$Q$2:$Q$317,$A64,'Данные 2st'!$KZ$2:$KZ$317),"")</f>
        <v>0</v>
      </c>
      <c r="PW64" s="7">
        <f>IFERROR(AVERAGEIF('Данные 2st'!$Q$2:$Q$317,$A64,'Данные 2st'!$LA$2:$LA$317),"")</f>
        <v>0</v>
      </c>
      <c r="PX64" s="7">
        <f>IFERROR(AVERAGEIF('Данные 2st'!$Q$2:$Q$317,$A64,'Данные 2st'!$LB$2:$LB$317),"")</f>
        <v>0</v>
      </c>
      <c r="PY64" s="7">
        <f>IFERROR(AVERAGEIF('Данные 2st'!$Q$2:$Q$317,$A64,'Данные 2st'!$LC$2:$LC$317),"")</f>
        <v>0</v>
      </c>
      <c r="PZ64" s="7">
        <f>IFERROR(AVERAGEIF('Данные 2st'!$Q$2:$Q$317,$A64,'Данные 2st'!$LD$2:$LD$317),"")</f>
        <v>0</v>
      </c>
      <c r="QA64" s="7">
        <f>IFERROR(AVERAGEIF('Данные 2st'!$Q$2:$Q$317,$A64,'Данные 2st'!$LE$2:$LE$317),"")</f>
        <v>0</v>
      </c>
      <c r="QB64" s="7">
        <f>IFERROR(AVERAGEIF('Данные 2st'!$Q$2:$Q$317,$A64,'Данные 2st'!$LF$2:$LF$317),"")</f>
        <v>0</v>
      </c>
      <c r="QC64" s="7">
        <f>IFERROR(AVERAGEIF('Данные 2st'!$Q$2:$Q$317,$A64,'Данные 2st'!$LG$2:$LG$317),"")</f>
        <v>0</v>
      </c>
      <c r="QD64" s="7">
        <f>IFERROR(AVERAGEIF('Данные 2st'!$Q$2:$Q$317,$A64,'Данные 2st'!$LH$2:$LH$317),"")</f>
        <v>3</v>
      </c>
      <c r="QE64" s="7">
        <f>IFERROR(AVERAGEIF('Данные 2st'!$Q$2:$Q$317,$A64,'Данные 2st'!$LJ$2:$LJ$317),"")</f>
        <v>0</v>
      </c>
      <c r="QF64" s="7">
        <f>IFERROR(AVERAGEIF('Данные 2st'!$Q$2:$Q$317,$A64,'Данные 2st'!$LK$2:$LK$317),"")</f>
        <v>6.375</v>
      </c>
      <c r="QG64" s="7">
        <f>IFERROR(AVERAGEIF('Данные 2st'!$Q$2:$Q$317,$A64,'Данные 2st'!$LL$2:$LL$317),"")</f>
        <v>6.75</v>
      </c>
      <c r="QH64" s="7">
        <f>IFERROR(AVERAGEIF('Данные 2st'!$Q$2:$Q$317,$A64,'Данные 2st'!$LM$2:$LM$317),"")</f>
        <v>9.25</v>
      </c>
      <c r="QI64" s="7">
        <f>IFERROR(AVERAGEIF('Данные 2st'!$Q$2:$Q$317,$A64,'Данные 2st'!$LN$2:$LN$317),"")</f>
        <v>0.2</v>
      </c>
      <c r="QJ64" s="7">
        <f>IFERROR(AVERAGEIF('Данные 2st'!$Q$2:$Q$317,$A64,'Данные 2st'!$LO$2:$LO$317),"")</f>
        <v>1.275</v>
      </c>
      <c r="QK64" s="7">
        <f>IFERROR(AVERAGEIF('Данные 2st'!$Q$2:$Q$317,$A64,'Данные 2st'!$LP$2:$LP$317),"")</f>
        <v>0</v>
      </c>
      <c r="QL64" s="7">
        <f>IFERROR(AVERAGEIF('Данные 2st'!$Q$2:$Q$317,$A64,'Данные 2st'!$LQ$2:$LQ$317),"")</f>
        <v>0</v>
      </c>
      <c r="QM64" s="7">
        <f>IFERROR(AVERAGEIF('Данные 2st'!$Q$2:$Q$317,$A64,'Данные 2st'!$LW$2:$LW$317),"")</f>
        <v>2.35</v>
      </c>
      <c r="QN64" s="7">
        <f>IFERROR(AVERAGEIF('Данные 2st'!$Q$2:$Q$317,$A64,'Данные 2st'!$LX$2:$LX$317),"")</f>
        <v>2.35</v>
      </c>
      <c r="QO64" s="7">
        <f>IFERROR(AVERAGEIF('Данные 2st'!$Q$2:$Q$317,$A64,'Данные 2st'!$LY$2:$LY$317),"")</f>
        <v>2.625</v>
      </c>
      <c r="QP64" s="7">
        <f>IFERROR(AVERAGEIF('Данные 2st'!$Q$2:$Q$317,$A64,'Данные 2st'!$LZ$2:$LZ$317),"")</f>
        <v>2.625</v>
      </c>
      <c r="QQ64" s="7">
        <f>IFERROR(AVERAGEIF('Данные 2st'!$Q$2:$Q$317,$A64,'Данные 2st'!$MB$2:$MB$317),"")</f>
        <v>5.5</v>
      </c>
      <c r="QR64" s="7">
        <f>IFERROR(AVERAGEIF('Данные 2st'!$Q$2:$Q$317,$A64,'Данные 2st'!$MG$2:$MG$317),"")</f>
        <v>0</v>
      </c>
      <c r="QS64" s="7">
        <f>IFERROR(AVERAGEIF('Данные 2st'!$Q$2:$Q$317,$A64,'Данные 2st'!$MH$2:$MH$317),"")</f>
        <v>0</v>
      </c>
      <c r="QT64" s="7">
        <f>IFERROR(AVERAGEIF('Данные 2st'!$Q$2:$Q$317,$A64,'Данные 2st'!$MI$2:$MI$317),"")</f>
        <v>0</v>
      </c>
      <c r="QU64" s="7">
        <f>IFERROR(AVERAGEIF('Данные 2st'!$Q$2:$Q$317,$A64,'Данные 2st'!$MJ$2:$MJ$317),"")</f>
        <v>0</v>
      </c>
      <c r="QV64" s="7">
        <f>IFERROR(AVERAGEIF('Данные 2st'!$Q$2:$Q$317,$A64,'Данные 2st'!$MK$2:$MK$317),"")</f>
        <v>0</v>
      </c>
      <c r="QW64" s="7">
        <f>IFERROR(AVERAGEIF('Данные 2st'!$Q$2:$Q$317,$A64,'Данные 2st'!$MM$2:$MM$317),"")</f>
        <v>444</v>
      </c>
      <c r="QX64" s="7">
        <f>IFERROR(AVERAGEIF('Данные 2st'!$Q$2:$Q$317,$A64,'Данные 2st'!$MQ$2:$MQ$317),"")</f>
        <v/>
      </c>
      <c r="QY64" s="7">
        <f>IFERROR(AVERAGEIF('Данные 2st'!$Q$2:$Q$317,$A64,'Данные 2st'!$MR$2:$MR$317),"")</f>
        <v/>
      </c>
      <c r="QZ64" s="7">
        <f>IFERROR(AVERAGEIF('Данные 2st'!$Q$2:$Q$317,$A64,'Данные 2st'!$MS$2:$MS$317),"")</f>
        <v/>
      </c>
      <c r="RA64" s="7">
        <f>IFERROR(AVERAGEIF('Данные 2st'!$Q$2:$Q$317,$A64,'Данные 2st'!$MT$2:$MT$317),"")</f>
        <v/>
      </c>
      <c r="RB64" s="7">
        <f>IFERROR(AVERAGEIF('Данные 2st'!$Q$2:$Q$317,$A64,'Данные 2st'!$MU$2:$MU$317),"")</f>
        <v/>
      </c>
      <c r="RC64" s="7">
        <f>IFERROR(AVERAGEIF('Данные 2st'!$Q$2:$Q$317,$A64,'Данные 2st'!$MV$2:$MV$317),"")</f>
        <v/>
      </c>
      <c r="RD64" s="7">
        <f>IFERROR(AVERAGEIF('Данные 2st'!$Q$2:$Q$317,$A64,'Данные 2st'!$MW$2:$MW$317),"")</f>
        <v/>
      </c>
      <c r="RE64" s="7">
        <f>IFERROR(AVERAGEIF('Данные 2st'!$Q$2:$Q$317,$A64,'Данные 2st'!$MX$2:$MX$317),"")</f>
        <v/>
      </c>
      <c r="RF64" s="7">
        <f>IFERROR(AVERAGEIF('Данные 2st'!$Q$2:$Q$317,$A64,'Данные 2st'!$MY$2:$MY$317),"")</f>
        <v/>
      </c>
      <c r="RG64" s="7">
        <f>IFERROR(AVERAGEIF('Данные 2st'!$Q$2:$Q$317,$A64,'Данные 2st'!$MZ$2:$MZ$317),"")</f>
        <v/>
      </c>
      <c r="RH64" s="7">
        <f>IFERROR(AVERAGEIF('Данные 2st'!$Q$2:$Q$317,$A64,'Данные 2st'!$NA$2:$NA$317),"")</f>
        <v/>
      </c>
      <c r="RI64" s="7">
        <f>IFERROR(AVERAGEIF('Данные 2st'!$Q$2:$Q$317,$A64,'Данные 2st'!$NB$2:$NB$317),"")</f>
        <v/>
      </c>
      <c r="RJ64" s="7">
        <f>IFERROR(AVERAGEIF('Данные 2st'!$Q$2:$Q$317,$A64,'Данные 2st'!$NC$2:$NC$317),"")</f>
        <v/>
      </c>
      <c r="RK64" s="7">
        <f>IFERROR(AVERAGEIF('Данные 2st'!$Q$2:$Q$317,$A64,'Данные 2st'!$ND$2:$ND$317),"")</f>
        <v/>
      </c>
      <c r="RL64" s="7">
        <f>IFERROR(AVERAGEIF('Данные 2st'!$Q$2:$Q$317,$A64,'Данные 2st'!$NE$2:$NE$317),"")</f>
        <v/>
      </c>
      <c r="RM64" s="7">
        <f>IFERROR(AVERAGEIF('Данные 2st'!$Q$2:$Q$317,$A64,'Данные 2st'!$NF$2:$NF$317),"")</f>
        <v/>
      </c>
      <c r="RN64" s="7">
        <f>IFERROR(AVERAGEIF('Данные 2st'!$Q$2:$Q$317,$A64,'Данные 2st'!$NG$2:$NG$317),"")</f>
        <v/>
      </c>
      <c r="RO64" s="7">
        <f>IFERROR(AVERAGEIF('Данные 2st'!$Q$2:$Q$317,$A64,'Данные 2st'!$NH$2:$NH$317),"")</f>
        <v/>
      </c>
      <c r="RP64" s="7">
        <f>IFERROR(AVERAGEIF('Данные 2st'!$Q$2:$Q$317,$A64,'Данные 2st'!$NJ$2:$NJ$317),"")</f>
        <v/>
      </c>
      <c r="RQ64" s="7">
        <f>IFERROR(AVERAGEIF('Данные 2st'!$Q$2:$Q$317,$A64,'Данные 2st'!$NK$2:$NK$317),"")</f>
        <v/>
      </c>
      <c r="RR64" s="7">
        <f>IFERROR(AVERAGEIF('Данные 2st'!$Q$2:$Q$317,$A64,'Данные 2st'!$NM$2:$NM$317),"")</f>
        <v/>
      </c>
      <c r="RS64" s="7">
        <f>IFERROR(AVERAGEIF('Данные 2st'!$Q$2:$Q$317,$A64,'Данные 2st'!$NN$2:$NN$317),"")</f>
        <v/>
      </c>
      <c r="RT64" s="7">
        <f>IFERROR(AVERAGEIF('Данные 2st'!$Q$2:$Q$317,$A64,'Данные 2st'!$NO$2:$NO$317),"")</f>
        <v/>
      </c>
      <c r="RU64" s="7">
        <f>IFERROR(AVERAGEIF('Данные 2st'!$Q$2:$Q$317,$A64,'Данные 2st'!$NP$2:$NP$317),"")</f>
        <v/>
      </c>
      <c r="RV64" s="7">
        <f>IFERROR(AVERAGEIF('Данные 2st'!$Q$2:$Q$317,$A64,'Данные 2st'!$NQ$2:$NQ$317),"")</f>
        <v/>
      </c>
      <c r="RW64" s="7">
        <f>IFERROR(AVERAGEIF('Данные 2st'!$Q$2:$Q$317,$A64,'Данные 2st'!$NR$2:$NR$317),"")</f>
        <v/>
      </c>
      <c r="RX64" s="7">
        <f>IFERROR(AVERAGEIF('Данные 2st'!$Q$2:$Q$317,$A64,'Данные 2st'!$NS$2:$NS$317),"")</f>
        <v/>
      </c>
      <c r="RY64" s="7">
        <f>IFERROR(AVERAGEIF('Данные 2st'!$Q$2:$Q$317,$A64,'Данные 2st'!$NT$2:$NT$317),"")</f>
        <v/>
      </c>
      <c r="RZ64" s="7">
        <f>IFERROR(AVERAGEIF('Данные 2st'!$Q$2:$Q$317,$A64,'Данные 2st'!$OK$2:$OK$317),"")</f>
        <v>61</v>
      </c>
      <c r="SA64" s="7">
        <f>IFERROR(AVERAGEIF('Данные 2st'!$Q$2:$Q$317,$A64,'Данные 2st'!$OL$2:$OL$317),"")</f>
        <v>61</v>
      </c>
      <c r="SB64" s="7">
        <f>IFERROR(AVERAGEIF('Данные 2st'!$Q$2:$Q$317,$A64,'Данные 2st'!$ON$2:$ON$317),"")</f>
        <v>1</v>
      </c>
      <c r="SC64" s="7">
        <f>IFERROR(AVERAGEIF('Данные 2st'!$Q$2:$Q$317,$A64,'Данные 2st'!$OO$2:$OO$317),"")</f>
        <v>2206.5</v>
      </c>
      <c r="SD64" s="7">
        <f>IFERROR(AVERAGEIF('Данные 2st'!$Q$2:$Q$317,$A64,'Данные 2st'!$OP$2:$OP$317),"")</f>
        <v>61</v>
      </c>
      <c r="SE64" s="7">
        <f>IFERROR(AVERAGEIF('Данные 2st'!$Q$2:$Q$317,$A64,'Данные 2st'!$OQ$2:$OQ$317),"")</f>
        <v>61</v>
      </c>
      <c r="SF64" s="7">
        <f>IFERROR(AVERAGEIF('Данные 2st'!$Q$2:$Q$317,$A64,'Данные 2st'!$OS$2:$OS$317),"")</f>
        <v>1</v>
      </c>
      <c r="SG64" s="7">
        <f>IFERROR(AVERAGEIF('Данные 2st'!$Q$2:$Q$317,$A64,'Данные 2st'!$OT$2:$OT$317),"")</f>
        <v>2219</v>
      </c>
      <c r="SH64" s="7">
        <f>IFERROR(AVERAGEIF('Данные 2st'!$Q$2:$Q$317,$A64,'Данные 2st'!$OU$2:$OU$317),"")</f>
        <v>65</v>
      </c>
      <c r="SI64" s="7">
        <f>IFERROR(AVERAGEIF('Данные 2st'!$Q$2:$Q$317,$A64,'Данные 2st'!$OV$2:$OV$317),"")</f>
        <v>65</v>
      </c>
      <c r="SJ64" s="7">
        <f>IFERROR(AVERAGEIF('Данные 2st'!$Q$2:$Q$317,$A64,'Данные 2st'!$OX$2:$OX$317),"")</f>
        <v>1.5</v>
      </c>
      <c r="SK64" s="7">
        <f>IFERROR(AVERAGEIF('Данные 2st'!$Q$2:$Q$317,$A64,'Данные 2st'!$OY$2:$OY$317),"")</f>
        <v>50193.5</v>
      </c>
      <c r="SL64" s="7">
        <f>IFERROR(AVERAGEIF('Данные 2st'!$Q$2:$Q$317,$A64,'Данные 2st'!$OZ$2:$OZ$317),"")</f>
        <v>51</v>
      </c>
      <c r="SM64" s="7">
        <f>IFERROR(AVERAGEIF('Данные 2st'!$Q$2:$Q$317,$A64,'Данные 2st'!$PA$2:$PA$317),"")</f>
        <v>51.75</v>
      </c>
      <c r="SN64" s="7">
        <f>IFERROR(AVERAGEIF('Данные 2st'!$Q$2:$Q$317,$A64,'Данные 2st'!$PC$2:$PC$317),"")</f>
        <v>1</v>
      </c>
      <c r="SO64" s="7">
        <f>IFERROR(AVERAGEIF('Данные 2st'!$Q$2:$Q$317,$A64,'Данные 2st'!$PD$2:$PD$317),"")</f>
        <v>2252</v>
      </c>
      <c r="SP64" s="7">
        <f>IFERROR(AVERAGEIF('Данные 2st'!$Q$2:$Q$317,$A64,'Данные 2st'!$PF$2:$PF$317),"")</f>
        <v>500.5</v>
      </c>
      <c r="SQ64" s="7">
        <f>IFERROR(AVERAGEIF('Данные 2st'!$Q$2:$Q$317,$A64,'Данные 2st'!$PG$2:$PG$317),"")</f>
        <v>35</v>
      </c>
      <c r="SR64" s="7">
        <f>IFERROR(AVERAGEIF('Данные 2st'!$Q$2:$Q$317,$A64,'Данные 2st'!$PH$2:$PH$317),"")</f>
        <v>477</v>
      </c>
      <c r="SS64" s="7">
        <f>IFERROR(AVERAGEIF('Данные 2st'!$Q$2:$Q$317,$A64,'Данные 2st'!$PI$2:$PI$317),"")</f>
        <v>0</v>
      </c>
      <c r="ST64" s="7">
        <f>IFERROR(AVERAGEIF('Данные 2st'!$Q$2:$Q$317,$A64,'Данные 2st'!$PJ$2:$PJ$317),"")</f>
        <v>86.275</v>
      </c>
      <c r="SU64" s="7">
        <f>IFERROR(AVERAGEIF('Данные 2st'!$Q$2:$Q$317,$A64,'Данные 2st'!$PK$2:$PK$317),"")</f>
        <v>2255.3333333333335</v>
      </c>
      <c r="SV64" s="7">
        <f>IFERROR(AVERAGEIF('Данные 2st'!$Q$2:$Q$317,$A64,'Данные 2st'!$PL$2:$PL$317),"")</f>
        <v>1388.425</v>
      </c>
      <c r="SW64" s="7">
        <f>IFERROR(AVERAGEIF('Данные 2st'!$Q$2:$Q$317,$A64,'Данные 2st'!$PM$2:$PM$317),"")</f>
        <v>741.625</v>
      </c>
      <c r="SX64" s="7">
        <f>IFERROR(AVERAGEIF('Данные 2st'!$Q$2:$Q$317,$A64,'Данные 2st'!$PN$2:$PN$317),"")</f>
        <v>107.025</v>
      </c>
      <c r="SY64" s="7">
        <f>IFERROR(AVERAGEIF('Данные 2st'!$Q$2:$Q$317,$A64,'Данные 2st'!$PO$2:$PO$317),"")</f>
        <v>10.025</v>
      </c>
      <c r="SZ64" s="7">
        <f>IFERROR(AVERAGEIF('Данные 2st'!$Q$2:$Q$317,$A64,'Данные 2st'!$PP$2:$PP$317),"")</f>
        <v>12</v>
      </c>
      <c r="TA64" s="7">
        <f>IFERROR(AVERAGEIF('Данные 2st'!$Q$2:$Q$317,$A64,'Данные 2st'!$PQ$2:$PQ$317),"")</f>
        <v>5</v>
      </c>
      <c r="TB64" s="7">
        <f>IFERROR(AVERAGEIF('Данные 2st'!$Q$2:$Q$317,$A64,'Данные 2st'!$PR$2:$PR$317),"")</f>
        <v>4</v>
      </c>
      <c r="TC64" s="7">
        <f>IFERROR(AVERAGEIF('Данные 2st'!$Q$2:$Q$317,$A64,'Данные 2st'!$PS$2:$PS$317),"")</f>
        <v>0</v>
      </c>
      <c r="TD64" s="7">
        <f>IFERROR(AVERAGEIF('Данные 2st'!$Q$2:$Q$317,$A64,'Данные 2st'!$PT$2:$PT$317),"")</f>
        <v>258</v>
      </c>
      <c r="TE64" s="7">
        <f>IFERROR(AVERAGEIF('Данные 2st'!$Q$2:$Q$317,$A64,'Данные 2st'!$PU$2:$PU$317),"")</f>
        <v>10.75</v>
      </c>
      <c r="TF64" s="7">
        <f>IFERROR(AVERAGEIF('Данные 2st'!$Q$2:$Q$317,$A64,'Данные 2st'!$PX$2:$PX$317),"")</f>
        <v>0</v>
      </c>
      <c r="TG64" s="7">
        <f>IFERROR(AVERAGEIF('Данные 2st'!$Q$2:$Q$317,$A64,'Данные 2st'!$PY$2:$PY$317),"")</f>
        <v>0</v>
      </c>
      <c r="TH64" s="7">
        <f>IFERROR(AVERAGEIF('Данные 2st'!$Q$2:$Q$317,$A64,'Данные 2st'!$PZ$2:$PZ$317),"")</f>
        <v>0</v>
      </c>
      <c r="TI64" s="7">
        <f>IFERROR(AVERAGEIF('Данные 2st'!$Q$2:$Q$317,$A64,'Данные 2st'!$QA$2:$QA$317),"")</f>
        <v>0</v>
      </c>
      <c r="TJ64" s="7">
        <f>IFERROR(AVERAGEIF('Данные 2st'!$Q$2:$Q$317,$A64,'Данные 2st'!$QB$2:$QB$317),"")</f>
        <v>0</v>
      </c>
      <c r="TK64" s="7">
        <f>IFERROR(AVERAGEIF('Данные 2st'!$Q$2:$Q$317,$A64,'Данные 2st'!$QC$2:$QC$317),"")</f>
        <v>0</v>
      </c>
      <c r="TL64" s="7">
        <f>IFERROR(AVERAGEIF('Данные 2st'!$Q$2:$Q$317,$A64,'Данные 2st'!$QD$2:$QD$317),"")</f>
        <v>0</v>
      </c>
      <c r="TM64" s="7">
        <f>IFERROR(AVERAGEIF('Данные 2st'!$Q$2:$Q$317,$A64,'Данные 2st'!$QE$2:$QE$317),"")</f>
        <v>-1</v>
      </c>
      <c r="TN64" s="7">
        <f>IFERROR(AVERAGEIF('Данные 2st'!$Q$2:$Q$317,$A64,'Данные 2st'!$QF$2:$QF$317),"")</f>
        <v>1</v>
      </c>
      <c r="TO64" s="7">
        <f>IFERROR(AVERAGEIF('Данные 2st'!$Q$2:$Q$317,$A64,'Данные 2st'!$QG$2:$QG$317),"")</f>
        <v>0</v>
      </c>
      <c r="TP64" s="7">
        <f>IFERROR(AVERAGEIF('Данные 2st'!$Q$2:$Q$317,$A64,'Данные 2st'!$QH$2:$QH$317),"")</f>
        <v>5</v>
      </c>
      <c r="TQ64" s="7">
        <f>IFERROR(AVERAGEIF('Данные 2st'!$Q$2:$Q$317,$A64,'Данные 2st'!$QI$2:$QI$317),"")</f>
        <v>5</v>
      </c>
      <c r="TR64" s="7">
        <f>IFERROR(AVERAGEIF('Данные 2st'!$Q$2:$Q$317,$A64,'Данные 2st'!$QJ$2:$QJ$317),"")</f>
        <v>5</v>
      </c>
      <c r="TS64" s="7">
        <f>IFERROR(AVERAGEIF('Данные 2st'!$Q$2:$Q$317,$A64,'Данные 2st'!$QK$2:$QK$317),"")</f>
        <v>230.75</v>
      </c>
      <c r="TT64" s="7">
        <f>IFERROR(AVERAGEIF('Данные 2st'!$Q$2:$Q$317,$A64,'Данные 2st'!$QL$2:$QL$317),"")</f>
        <v>460.5</v>
      </c>
      <c r="TU64" s="7">
        <f>IFERROR(AVERAGEIF('Данные 2st'!$Q$2:$Q$317,$A64,'Данные 2st'!$QM$2:$QM$317),"")</f>
        <v>7.5</v>
      </c>
      <c r="TV64" s="7">
        <f>IFERROR(AVERAGEIF('Данные 2st'!$Q$2:$Q$317,$A64,'Данные 2st'!$QN$2:$QN$317),"")</f>
        <v>1543.3</v>
      </c>
      <c r="TW64" s="7">
        <f>IFERROR(AVERAGEIF('Данные 2st'!$Q$2:$Q$317,$A64,'Данные 2st'!$QQ$2:$QQ$317),"")</f>
        <v>0</v>
      </c>
      <c r="TX64" s="7">
        <f>IFERROR(AVERAGEIF('Данные 2st'!$Q$2:$Q$317,$A64,'Данные 2st'!$QS$2:$QS$317),"")</f>
        <v>40</v>
      </c>
      <c r="TY64" s="7">
        <f>IFERROR(AVERAGEIF('Данные 2st'!$Q$2:$Q$317,$A64,'Данные 2st'!$QT$2:$QT$317),"")</f>
        <v>50</v>
      </c>
    </row>
    <row r="65" spans="1:545" ht="32" customHeight="1">
      <c r="A65" s="11" t="s">
        <v>2701</v>
      </c>
      <c r="B65">
        <f>COUNTIF('Данные 1st'!$S$2:$S$317,$A65)</f>
        <v>1</v>
      </c>
      <c r="C65" s="6" t="s">
        <v>2657</v>
      </c>
      <c r="D65" s="6" t="s">
        <v>513</v>
      </c>
      <c r="E65" s="6" t="s">
        <v>517</v>
      </c>
      <c r="F65" s="6" t="s">
        <v>2698</v>
      </c>
      <c r="G65" s="7">
        <f>IFERROR(AVERAGEIF('Данные 1st'!$S$2:$S$317,$A65,'Данные 1st'!$AE$2:$AE$317),"")</f>
        <v>214</v>
      </c>
      <c r="H65" s="7">
        <f>IFERROR(AVERAGEIF('Данные 1st'!$S$2:$S$317,$A65,'Данные 1st'!$AF$2:$AF$317),"")</f>
        <v>1.5</v>
      </c>
      <c r="I65" s="7">
        <f>IFERROR(AVERAGEIF('Данные 1st'!$S$2:$S$317,$A65,'Данные 1st'!$AJ$2:$AJ$317),"")</f>
        <v>225</v>
      </c>
      <c r="J65" s="7">
        <f>IFERROR(AVERAGEIF('Данные 1st'!$S$2:$S$317,$A65,'Данные 1st'!$AL$2:$AL$317),"")</f>
        <v>1.5</v>
      </c>
      <c r="K65" s="7">
        <f>IFERROR(AVERAGEIF('Данные 1st'!$S$2:$S$317,$A65,'Данные 1st'!$AR$2:$AR$317),"")</f>
        <v>0</v>
      </c>
      <c r="L65" s="7">
        <f>IFERROR(AVERAGEIF('Данные 1st'!$S$2:$S$317,$A65,'Данные 1st'!$AS$2:$AS$317),"")</f>
        <v>1.5</v>
      </c>
      <c r="M65" s="7">
        <f>IFERROR(AVERAGEIF('Данные 1st'!$S$2:$S$317,$A65,'Данные 1st'!$AY$2:$AY$317),"")</f>
        <v>320</v>
      </c>
      <c r="N65" s="7">
        <f>IFERROR(AVERAGEIF('Данные 1st'!$S$2:$S$317,$A65,'Данные 1st'!$AZ$2:$AZ$317),"")</f>
        <v>1.5</v>
      </c>
      <c r="O65" s="7">
        <f>IFERROR(AVERAGEIF('Данные 1st'!$S$2:$S$317,$A65,'Данные 1st'!$BF$2:$BF$317),"")</f>
        <v>260</v>
      </c>
      <c r="P65" s="7">
        <f>IFERROR(AVERAGEIF('Данные 1st'!$S$2:$S$317,$A65,'Данные 1st'!$BG$2:$BG$317),"")</f>
        <v>1.5</v>
      </c>
      <c r="Q65" s="7">
        <f>IFERROR(AVERAGEIF('Данные 1st'!$S$2:$S$317,$A65,'Данные 1st'!$BM$2:$BM$317),"")</f>
        <v/>
      </c>
      <c r="R65" s="7">
        <f>IFERROR(AVERAGEIF('Данные 1st'!$S$2:$S$317,$A65,'Данные 1st'!$BN$2:$BN$317),"")</f>
        <v>1.5</v>
      </c>
      <c r="S65" s="7">
        <f>IFERROR(AVERAGEIF('Данные 1st'!$S$2:$S$317,$A65,'Данные 1st'!$BT$2:$BT$317),"")</f>
        <v>236</v>
      </c>
      <c r="T65" s="7">
        <f>IFERROR(AVERAGEIF('Данные 1st'!$S$2:$S$317,$A65,'Данные 1st'!$BU$2:$BU$317),"")</f>
        <v>0.5</v>
      </c>
      <c r="U65" s="7">
        <f>IFERROR(AVERAGEIF('Данные 1st'!$S$2:$S$317,$A65,'Данные 1st'!$BW$2:$BW$317),"")</f>
        <v>472</v>
      </c>
      <c r="V65" s="7">
        <f>IFERROR(AVERAGEIF('Данные 1st'!$S$2:$S$317,$A65,'Данные 1st'!$BX$2:$BX$317),"")</f>
        <v>1</v>
      </c>
      <c r="W65" s="7">
        <f>IFERROR(AVERAGEIF('Данные 1st'!$S$2:$S$317,$A65,'Данные 1st'!$BZ$2:$BZ$317),"")</f>
        <v>470</v>
      </c>
      <c r="X65" s="7">
        <f>IFERROR(AVERAGEIF('Данные 1st'!$S$2:$S$317,$A65,'Данные 1st'!$CA$2:$CA$317),"")</f>
        <v>550</v>
      </c>
      <c r="Y65" s="7">
        <f>IFERROR(AVERAGEIF('Данные 1st'!$S$2:$S$317,$A65,'Данные 1st'!$CD$2:$CD$317),"")</f>
        <v>436</v>
      </c>
      <c r="Z65" s="7">
        <f>IFERROR(AVERAGEIF('Данные 1st'!$S$2:$S$317,$A65,'Данные 1st'!$CF$2:$CF$317),"")</f>
        <v>15</v>
      </c>
      <c r="AA65" s="7">
        <f>IFERROR(AVERAGEIF('Данные 1st'!$S$2:$S$317,$A65,'Данные 1st'!$CI$2:$CI$317),"")</f>
        <v>40</v>
      </c>
      <c r="AB65" s="7">
        <f>IFERROR(AVERAGEIF('Данные 1st'!$S$2:$S$317,$A65,'Данные 1st'!$CJ$2:$CJ$317),"")</f>
        <v>1381</v>
      </c>
      <c r="AC65" s="7">
        <f>IFERROR(AVERAGEIF('Данные 1st'!$S$2:$S$317,$A65,'Данные 1st'!$CK$2:$CK$317),"")</f>
        <v>2</v>
      </c>
      <c r="AD65" s="7">
        <f>IFERROR(AVERAGEIF('Данные 1st'!$S$2:$S$317,$A65,'Данные 1st'!$CL$2:$CL$317),"")</f>
        <v>1475</v>
      </c>
      <c r="AE65" s="7">
        <f>IFERROR(AVERAGEIF('Данные 1st'!$S$2:$S$317,$A65,'Данные 1st'!$CM$2:$CM$317),"")</f>
        <v>2</v>
      </c>
      <c r="AF65" s="7">
        <f>IFERROR(AVERAGEIF('Данные 1st'!$S$2:$S$317,$A65,'Данные 1st'!$CT$2:$CT$317),"")</f>
        <v>450</v>
      </c>
      <c r="AG65" s="7">
        <f>IFERROR(AVERAGEIF('Данные 1st'!$S$2:$S$317,$A65,'Данные 1st'!$CU$2:$CU$317),"")</f>
        <v>5</v>
      </c>
      <c r="AH65" s="7">
        <f>IFERROR(AVERAGEIF('Данные 1st'!$S$2:$S$317,$A65,'Данные 1st'!$CV$2:$CV$317),"")</f>
        <v>1.2</v>
      </c>
      <c r="AI65" s="7">
        <f>IFERROR(AVERAGEIF('Данные 1st'!$S$2:$S$317,$A65,'Данные 1st'!$CW$2:$CW$317),"")</f>
        <v>1393</v>
      </c>
      <c r="AJ65" s="7">
        <f>IFERROR(AVERAGEIF('Данные 1st'!$S$2:$S$317,$A65,'Данные 1st'!$CX$2:$CX$317),"")</f>
        <v>887</v>
      </c>
      <c r="AK65" s="7">
        <f>IFERROR(AVERAGEIF('Данные 1st'!$S$2:$S$317,$A65,'Данные 1st'!$CZ$2:$CZ$317),"")</f>
        <v/>
      </c>
      <c r="AL65" s="7">
        <f>IFERROR(AVERAGEIF('Данные 1st'!$S$2:$S$317,$A65,'Данные 1st'!$DA$2:$DA$317),"")</f>
        <v/>
      </c>
      <c r="AM65" s="7">
        <f>IFERROR(AVERAGEIF('Данные 1st'!$S$2:$S$317,$A65,'Данные 1st'!$DB$2:$DB$317),"")</f>
        <v/>
      </c>
      <c r="AN65" s="7">
        <f>IFERROR(AVERAGEIF('Данные 1st'!$S$2:$S$317,$A65,'Данные 1st'!$DC$2:$DC$317),"")</f>
        <v/>
      </c>
      <c r="AO65" s="7">
        <f>IFERROR(AVERAGEIF('Данные 1st'!$S$2:$S$317,$A65,'Данные 1st'!$DD$2:$DD$317),"")</f>
        <v>0</v>
      </c>
      <c r="AP65" s="7">
        <f>IFERROR(AVERAGEIF('Данные 1st'!$S$2:$S$317,$A65,'Данные 1st'!$DF$2:$DF$317),"")</f>
        <v>640</v>
      </c>
      <c r="AQ65" s="7">
        <f>IFERROR(AVERAGEIF('Данные 1st'!$S$2:$S$317,$A65,'Данные 1st'!$DG$2:$DG$317),"")</f>
        <v>3</v>
      </c>
      <c r="AR65" s="7">
        <f>IFERROR(AVERAGEIF('Данные 1st'!$S$2:$S$317,$A65,'Данные 1st'!$DH$2:$DH$317),"")</f>
        <v>0.88</v>
      </c>
      <c r="AS65" s="7">
        <f>IFERROR(AVERAGEIF('Данные 1st'!$S$2:$S$317,$A65,'Данные 1st'!$DI$2:$DI$317),"")</f>
        <v>1390</v>
      </c>
      <c r="AT65" s="7">
        <f>IFERROR(AVERAGEIF('Данные 1st'!$S$2:$S$317,$A65,'Данные 1st'!$DJ$2:$DJ$317),"")</f>
        <v>994</v>
      </c>
      <c r="AU65" s="7">
        <f>IFERROR(AVERAGEIF('Данные 1st'!$S$2:$S$317,$A65,'Данные 1st'!$DL$2:$DL$317),"")</f>
        <v>520</v>
      </c>
      <c r="AV65" s="7">
        <f>IFERROR(AVERAGEIF('Данные 1st'!$S$2:$S$317,$A65,'Данные 1st'!$DM$2:$DM$317),"")</f>
        <v>3</v>
      </c>
      <c r="AW65" s="7">
        <f>IFERROR(AVERAGEIF('Данные 1st'!$S$2:$S$317,$A65,'Данные 1st'!$DN$2:$DN$317),"")</f>
        <v>0.88</v>
      </c>
      <c r="AX65" s="7">
        <f>IFERROR(AVERAGEIF('Данные 1st'!$S$2:$S$317,$A65,'Данные 1st'!$DO$2:$DO$317),"")</f>
        <v>1396</v>
      </c>
      <c r="AY65" s="7">
        <f>IFERROR(AVERAGEIF('Данные 1st'!$S$2:$S$317,$A65,'Данные 1st'!$DP$2:$DP$317),"")</f>
        <v>789</v>
      </c>
      <c r="AZ65" s="7">
        <f>IFERROR(AVERAGEIF('Данные 1st'!$S$2:$S$317,$A65,'Данные 1st'!$DR$2:$DR$317),"")</f>
        <v/>
      </c>
      <c r="BA65" s="7">
        <f>IFERROR(AVERAGEIF('Данные 1st'!$S$2:$S$317,$A65,'Данные 1st'!$DS$2:$DS$317),"")</f>
        <v/>
      </c>
      <c r="BB65" s="7">
        <f>IFERROR(AVERAGEIF('Данные 1st'!$S$2:$S$317,$A65,'Данные 1st'!$DT$2:$DT$317),"")</f>
        <v/>
      </c>
      <c r="BC65" s="7">
        <f>IFERROR(AVERAGEIF('Данные 1st'!$S$2:$S$317,$A65,'Данные 1st'!$DU$2:$DU$317),"")</f>
        <v/>
      </c>
      <c r="BD65" s="7">
        <f>IFERROR(AVERAGEIF('Данные 1st'!$S$2:$S$317,$A65,'Данные 1st'!$DV$2:$DV$317),"")</f>
        <v/>
      </c>
      <c r="BE65" s="7">
        <f>IFERROR(AVERAGEIF('Данные 1st'!$S$2:$S$317,$A65,'Данные 1st'!$DX$2:$DX$317),"")</f>
        <v>7.5</v>
      </c>
      <c r="BF65" s="7">
        <f>IFERROR(AVERAGEIF('Данные 1st'!$S$2:$S$317,$A65,'Данные 1st'!$EA$2:$EA$317),"")</f>
        <v>1464.3</v>
      </c>
      <c r="BG65" s="7">
        <f>IFERROR(AVERAGEIF('Данные 1st'!$S$2:$S$317,$A65,'Данные 1st'!$EB$2:$EB$317),"")</f>
        <v>345</v>
      </c>
      <c r="BH65" s="7">
        <f>IFERROR(AVERAGEIF('Данные 1st'!$S$2:$S$317,$A65,'Данные 1st'!$ED$2:$ED$317),"")</f>
        <v>40</v>
      </c>
      <c r="BI65" s="7">
        <f>IFERROR(AVERAGEIF('Данные 1st'!$S$2:$S$317,$A65,'Данные 1st'!$EE$2:$EE$317),"")</f>
        <v>3</v>
      </c>
      <c r="BJ65" s="7">
        <f>IFERROR(AVERAGEIF('Данные 1st'!$S$2:$S$317,$A65,'Данные 1st'!$EG$2:$EG$317),"")</f>
        <v>1515</v>
      </c>
      <c r="BK65" s="7">
        <f>IFERROR(AVERAGEIF('Данные 1st'!$S$2:$S$317,$A65,'Данные 1st'!$EH$2:$EH$317),"")</f>
        <v>241</v>
      </c>
      <c r="BL65" s="7">
        <f>IFERROR(AVERAGEIF('Данные 1st'!$S$2:$S$317,$A65,'Данные 1st'!$EJ$2:$EJ$317),"")</f>
        <v>0</v>
      </c>
      <c r="BM65" s="7">
        <f>IFERROR(AVERAGEIF('Данные 1st'!$S$2:$S$317,$A65,'Данные 1st'!$EK$2:$EK$317),"")</f>
        <v>1</v>
      </c>
      <c r="BN65" s="7">
        <f>IFERROR(AVERAGEIF('Данные 1st'!$S$2:$S$317,$A65,'Данные 1st'!$EN$2:$EN$317),"")</f>
        <v>0</v>
      </c>
      <c r="BO65" s="7">
        <f>IFERROR(AVERAGEIF('Данные 1st'!$S$2:$S$317,$A65,'Данные 1st'!$EQ$2:$EQ$317),"")</f>
        <v>130</v>
      </c>
      <c r="BP65" s="7">
        <f>IFERROR(AVERAGEIF('Данные 1st'!$S$2:$S$317,$A65,'Данные 1st'!$ER$2:$ER$317),"")</f>
        <v>3</v>
      </c>
      <c r="BQ65" s="7">
        <f>IFERROR(AVERAGEIF('Данные 1st'!$S$2:$S$317,$A65,'Данные 1st'!$ES$2:$ES$317),"")</f>
        <v>5.5</v>
      </c>
      <c r="BR65" s="7">
        <f>IFERROR(AVERAGEIF('Данные 1st'!$S$2:$S$317,$A65,'Данные 1st'!$ET$2:$ET$317),"")</f>
        <v>1378</v>
      </c>
      <c r="BS65" s="7">
        <f>IFERROR(AVERAGEIF('Данные 1st'!$S$2:$S$317,$A65,'Данные 1st'!$EU$2:$EU$317),"")</f>
        <v>616.3</v>
      </c>
      <c r="BT65" s="7">
        <f>IFERROR(AVERAGEIF('Данные 1st'!$S$2:$S$317,$A65,'Данные 1st'!$EV$2:$EV$317),"")</f>
        <v>849</v>
      </c>
      <c r="BU65" s="7">
        <f>IFERROR(AVERAGEIF('Данные 1st'!$S$2:$S$317,$A65,'Данные 1st'!$EX$2:$EX$317),"")</f>
        <v>70</v>
      </c>
      <c r="BV65" s="7">
        <f>IFERROR(AVERAGEIF('Данные 1st'!$S$2:$S$317,$A65,'Данные 1st'!$EY$2:$EY$317),"")</f>
        <v>2</v>
      </c>
      <c r="BW65" s="7">
        <f>IFERROR(AVERAGEIF('Данные 1st'!$S$2:$S$317,$A65,'Данные 1st'!$EZ$2:$EZ$317),"")</f>
        <v>4.5</v>
      </c>
      <c r="BX65" s="7">
        <f>IFERROR(AVERAGEIF('Данные 1st'!$S$2:$S$317,$A65,'Данные 1st'!$FA$2:$FA$317),"")</f>
        <v>1378</v>
      </c>
      <c r="BY65" s="7">
        <f>IFERROR(AVERAGEIF('Данные 1st'!$S$2:$S$317,$A65,'Данные 1st'!$FB$2:$FB$317),"")</f>
        <v>232.9</v>
      </c>
      <c r="BZ65" s="7">
        <f>IFERROR(AVERAGEIF('Данные 1st'!$S$2:$S$317,$A65,'Данные 1st'!$FC$2:$FC$317),"")</f>
        <v>321</v>
      </c>
      <c r="CA65" s="7">
        <f>IFERROR(AVERAGEIF('Данные 1st'!$S$2:$S$317,$A65,'Данные 1st'!$FE$2:$FE$317),"")</f>
        <v>0</v>
      </c>
      <c r="CB65" s="7">
        <f>IFERROR(AVERAGEIF('Данные 1st'!$S$2:$S$317,$A65,'Данные 1st'!$FF$2:$FF$317),"")</f>
        <v>2</v>
      </c>
      <c r="CC65" s="7">
        <f>IFERROR(AVERAGEIF('Данные 1st'!$S$2:$S$317,$A65,'Данные 1st'!$FI$2:$FI$317),"")</f>
        <v>0</v>
      </c>
      <c r="CD65" s="7">
        <f>IFERROR(AVERAGEIF('Данные 1st'!$S$2:$S$317,$A65,'Данные 1st'!$FL$2:$FL$317),"")</f>
        <v>0.4</v>
      </c>
      <c r="CE65" s="7">
        <f>IFERROR(AVERAGEIF('Данные 1st'!$S$2:$S$317,$A65,'Данные 1st'!$FM$2:$FM$317),"")</f>
        <v>95</v>
      </c>
      <c r="CF65" s="7">
        <f>IFERROR(AVERAGEIF('Данные 1st'!$S$2:$S$317,$A65,'Данные 1st'!$FN$2:$FN$317),"")</f>
        <v>160</v>
      </c>
      <c r="CG65" s="7">
        <f>IFERROR(AVERAGEIF('Данные 1st'!$S$2:$S$317,$A65,'Данные 1st'!$FO$2:$FO$317),"")</f>
        <v/>
      </c>
      <c r="CH65" s="7">
        <f>IFERROR(AVERAGEIF('Данные 1st'!$S$2:$S$317,$A65,'Данные 1st'!$FP$2:$FP$317),"")</f>
        <v/>
      </c>
      <c r="CI65" s="7">
        <f>IFERROR(AVERAGEIF('Данные 1st'!$S$2:$S$317,$A65,'Данные 1st'!$FS$2:$FS$317),"")</f>
        <v/>
      </c>
      <c r="CJ65" s="7">
        <f>IFERROR(AVERAGEIF('Данные 1st'!$S$2:$S$317,$A65,'Данные 1st'!$FT$2:$FT$317),"")</f>
        <v/>
      </c>
      <c r="CK65" s="7">
        <f>IFERROR(AVERAGEIF('Данные 1st'!$S$2:$S$317,$A65,'Данные 1st'!$FU$2:$FU$317),"")</f>
        <v/>
      </c>
      <c r="CL65" s="7">
        <f>IFERROR(AVERAGEIF('Данные 1st'!$S$2:$S$317,$A65,'Данные 1st'!$FV$2:$FV$317),"")</f>
        <v/>
      </c>
      <c r="CM65" s="7">
        <f>IFERROR(AVERAGEIF('Данные 1st'!$S$2:$S$317,$A65,'Данные 1st'!$FW$2:$FW$317),"")</f>
        <v/>
      </c>
      <c r="CN65" s="7">
        <f>IFERROR(AVERAGEIF('Данные 1st'!$S$2:$S$317,$A65,'Данные 1st'!$FZ$2:$FZ$317),"")</f>
        <v/>
      </c>
      <c r="CO65" s="7">
        <f>IFERROR(AVERAGEIF('Данные 1st'!$S$2:$S$317,$A65,'Данные 1st'!$GA$2:$GA$317),"")</f>
        <v/>
      </c>
      <c r="CP65" s="7">
        <f>IFERROR(AVERAGEIF('Данные 1st'!$S$2:$S$317,$A65,'Данные 1st'!$GB$2:$GB$317),"")</f>
        <v/>
      </c>
      <c r="CQ65" s="7">
        <f>IFERROR(AVERAGEIF('Данные 1st'!$S$2:$S$317,$A65,'Данные 1st'!$GH$2:$GH$317),"")</f>
        <v/>
      </c>
      <c r="CR65" s="7">
        <f>IFERROR(AVERAGEIF('Данные 1st'!$S$2:$S$317,$A65,'Данные 1st'!$GI$2:$GI$317),"")</f>
        <v/>
      </c>
      <c r="CS65" s="7">
        <f>IFERROR(AVERAGEIF('Данные 1st'!$S$2:$S$317,$A65,'Данные 1st'!$GJ$2:$GJ$317),"")</f>
        <v/>
      </c>
      <c r="CT65" s="7">
        <f>IFERROR(AVERAGEIF('Данные 1st'!$S$2:$S$317,$A65,'Данные 1st'!$GS$2:$GS$317),"")</f>
        <v>0.4</v>
      </c>
      <c r="CU65" s="7">
        <f>IFERROR(AVERAGEIF('Данные 1st'!$S$2:$S$317,$A65,'Данные 1st'!$GT$2:$GT$317),"")</f>
        <v>30</v>
      </c>
      <c r="CV65" s="7">
        <f>IFERROR(AVERAGEIF('Данные 1st'!$S$2:$S$317,$A65,'Данные 1st'!$GU$2:$GU$317),"")</f>
        <v>430</v>
      </c>
      <c r="CW65" s="7">
        <f>IFERROR(AVERAGEIF('Данные 1st'!$S$2:$S$317,$A65,'Данные 1st'!$GV$2:$GV$317),"")</f>
        <v>30</v>
      </c>
      <c r="CX65" s="7">
        <f>IFERROR(AVERAGEIF('Данные 1st'!$S$2:$S$317,$A65,'Данные 1st'!$GW$2:$GW$317),"")</f>
        <v>300</v>
      </c>
      <c r="CY65" s="7">
        <f>IFERROR(AVERAGEIF('Данные 1st'!$S$2:$S$317,$A65,'Данные 1st'!$GZ$2:$GZ$317),"")</f>
        <v/>
      </c>
      <c r="CZ65" s="7">
        <f>IFERROR(AVERAGEIF('Данные 1st'!$S$2:$S$317,$A65,'Данные 1st'!$HA$2:$HA$317),"")</f>
        <v/>
      </c>
      <c r="DA65" s="7">
        <f>IFERROR(AVERAGEIF('Данные 1st'!$S$2:$S$317,$A65,'Данные 1st'!$HB$2:$HB$317),"")</f>
        <v/>
      </c>
      <c r="DB65" s="7">
        <f>IFERROR(AVERAGEIF('Данные 1st'!$S$2:$S$317,$A65,'Данные 1st'!$HC$2:$HC$317),"")</f>
        <v>0.1</v>
      </c>
      <c r="DC65" s="7">
        <f>IFERROR(AVERAGEIF('Данные 1st'!$S$2:$S$317,$A65,'Данные 1st'!$HD$2:$HD$317),"")</f>
        <v>3</v>
      </c>
      <c r="DD65" s="7">
        <f>IFERROR(AVERAGEIF('Данные 1st'!$S$2:$S$317,$A65,'Данные 1st'!$HE$2:$HE$317),"")</f>
        <v>3</v>
      </c>
      <c r="DE65" s="7">
        <f>IFERROR(AVERAGEIF('Данные 1st'!$S$2:$S$317,$A65,'Данные 1st'!$HF$2:$HF$317),"")</f>
        <v>3</v>
      </c>
      <c r="DF65" s="7">
        <f>IFERROR(AVERAGEIF('Данные 1st'!$S$2:$S$317,$A65,'Данные 1st'!$HG$2:$HG$317),"")</f>
        <v>3</v>
      </c>
      <c r="DG65" s="7">
        <f>IFERROR(AVERAGEIF('Данные 1st'!$S$2:$S$317,$A65,'Данные 1st'!$HH$2:$HH$317),"")</f>
        <v>3</v>
      </c>
      <c r="DH65" s="7">
        <f>IFERROR(AVERAGEIF('Данные 1st'!$S$2:$S$317,$A65,'Данные 1st'!$HI$2:$HI$317),"")</f>
        <v>185</v>
      </c>
      <c r="DI65" s="7">
        <f>IFERROR(AVERAGEIF('Данные 1st'!$S$2:$S$317,$A65,'Данные 1st'!$HJ$2:$HJ$317),"")</f>
        <v>3</v>
      </c>
      <c r="DJ65" s="7">
        <f>IFERROR(AVERAGEIF('Данные 1st'!$S$2:$S$317,$A65,'Данные 1st'!$HK$2:$HK$317),"")</f>
        <v>55</v>
      </c>
      <c r="DK65" s="7">
        <f>IFERROR(AVERAGEIF('Данные 1st'!$S$2:$S$317,$A65,'Данные 1st'!$HL$2:$HL$317),"")</f>
        <v>2</v>
      </c>
      <c r="DL65" s="7">
        <f>IFERROR(AVERAGEIF('Данные 1st'!$S$2:$S$317,$A65,'Данные 1st'!$HM$2:$HM$317),"")</f>
        <v>0</v>
      </c>
      <c r="DM65" s="7">
        <f>IFERROR(AVERAGEIF('Данные 1st'!$S$2:$S$317,$A65,'Данные 1st'!$HN$2:$HN$317),"")</f>
        <v>2</v>
      </c>
      <c r="DN65" s="7">
        <f>IFERROR(AVERAGEIF('Данные 1st'!$S$2:$S$317,$A65,'Данные 1st'!$HO$2:$HO$317),"")</f>
        <v>115</v>
      </c>
      <c r="DO65" s="7">
        <f>IFERROR(AVERAGEIF('Данные 1st'!$S$2:$S$317,$A65,'Данные 1st'!$HP$2:$HP$317),"")</f>
        <v>3</v>
      </c>
      <c r="DP65" s="7">
        <f>IFERROR(AVERAGEIF('Данные 1st'!$S$2:$S$317,$A65,'Данные 1st'!$HQ$2:$HQ$317),"")</f>
        <v>0</v>
      </c>
      <c r="DQ65" s="7">
        <f>IFERROR(AVERAGEIF('Данные 1st'!$S$2:$S$317,$A65,'Данные 1st'!$HR$2:$HR$317),"")</f>
        <v>2</v>
      </c>
      <c r="DR65" s="7">
        <f>IFERROR(AVERAGEIF('Данные 1st'!$S$2:$S$317,$A65,'Данные 1st'!$HS$2:$HS$317),"")</f>
        <v>6182</v>
      </c>
      <c r="DS65" s="7">
        <f>IFERROR(AVERAGEIF('Данные 1st'!$S$2:$S$317,$A65,'Данные 1st'!$HT$2:$HT$317),"")</f>
        <v>190</v>
      </c>
      <c r="DT65" s="7">
        <f>IFERROR(AVERAGEIF('Данные 1st'!$S$2:$S$317,$A65,'Данные 1st'!$HU$2:$HU$317),"")</f>
        <v>180</v>
      </c>
      <c r="DU65" s="7">
        <f>IFERROR(AVERAGEIF('Данные 1st'!$S$2:$S$317,$A65,'Данные 1st'!$HW$2:$HW$317),"")</f>
        <v>0</v>
      </c>
      <c r="DV65" s="7">
        <f>IFERROR(AVERAGEIF('Данные 1st'!$S$2:$S$317,$A65,'Данные 1st'!$HX$2:$HX$317),"")</f>
        <v>530</v>
      </c>
      <c r="DW65" s="7">
        <f>IFERROR(AVERAGEIF('Данные 1st'!$S$2:$S$317,$A65,'Данные 1st'!$HY$2:$HY$317),"")</f>
        <v>0.18</v>
      </c>
      <c r="DX65" s="7">
        <f>IFERROR(AVERAGEIF('Данные 1st'!$S$2:$S$317,$A65,'Данные 1st'!$IA$2:$IA$317),"")</f>
        <v>0.15</v>
      </c>
      <c r="DY65" s="7">
        <f>IFERROR(AVERAGEIF('Данные 1st'!$S$2:$S$317,$A65,'Данные 1st'!$IB$2:$IB$317),"")</f>
        <v>0</v>
      </c>
      <c r="DZ65" s="7">
        <f>IFERROR(AVERAGEIF('Данные 1st'!$S$2:$S$317,$A65,'Данные 1st'!$IC$2:$IC$317),"")</f>
        <v>180</v>
      </c>
      <c r="EA65" s="7">
        <f>IFERROR(AVERAGEIF('Данные 1st'!$S$2:$S$317,$A65,'Данные 1st'!$ID$2:$ID$317),"")</f>
        <v>110</v>
      </c>
      <c r="EB65" s="7">
        <f>IFERROR(AVERAGEIF('Данные 1st'!$S$2:$S$317,$A65,'Данные 1st'!$IE$2:$IE$317),"")</f>
        <v>225</v>
      </c>
      <c r="EC65" s="7">
        <f>IFERROR(AVERAGEIF('Данные 1st'!$S$2:$S$317,$A65,'Данные 1st'!$IF$2:$IF$317),"")</f>
        <v>0</v>
      </c>
      <c r="ED65" s="7">
        <f>IFERROR(AVERAGEIF('Данные 1st'!$S$2:$S$317,$A65,'Данные 1st'!$IP$2:$IP$317),"")</f>
        <v>18</v>
      </c>
      <c r="EE65" s="7">
        <f>IFERROR(AVERAGEIF('Данные 1st'!$S$2:$S$317,$A65,'Данные 1st'!$IV$2:$IV$317),"")</f>
        <v>1381</v>
      </c>
      <c r="EF65" s="7">
        <f>IFERROR(AVERAGEIF('Данные 1st'!$S$2:$S$317,$A65,'Данные 1st'!$IW$2:$IW$317),"")</f>
        <v>472</v>
      </c>
      <c r="EG65" s="7">
        <f>IFERROR(AVERAGEIF('Данные 1st'!$S$2:$S$317,$A65,'Данные 1st'!$IX$2:$IX$317),"")</f>
        <v/>
      </c>
      <c r="EH65" s="7">
        <f>IFERROR(AVERAGEIF('Данные 1st'!$S$2:$S$317,$A65,'Данные 1st'!$IY$2:$IY$317),"")</f>
        <v/>
      </c>
      <c r="EI65" s="7">
        <f>IFERROR(AVERAGEIF('Данные 1st'!$S$2:$S$317,$A65,'Данные 1st'!$JD$2:$JD$317),"")</f>
        <v>1393</v>
      </c>
      <c r="EJ65" s="7">
        <f>IFERROR(AVERAGEIF('Данные 1st'!$S$2:$S$317,$A65,'Данные 1st'!$JE$2:$JE$317),"")</f>
        <v>1390</v>
      </c>
      <c r="EK65" s="7">
        <f>IFERROR(AVERAGEIF('Данные 1st'!$S$2:$S$317,$A65,'Данные 1st'!$JF$2:$JF$317),"")</f>
        <v>1396</v>
      </c>
      <c r="EL65" s="7">
        <f>IFERROR(AVERAGEIF('Данные 1st'!$S$2:$S$317,$A65,'Данные 1st'!$JG$2:$JG$317),"")</f>
        <v>1378</v>
      </c>
      <c r="EM65" s="7">
        <f>IFERROR(AVERAGEIF('Данные 1st'!$S$2:$S$317,$A65,'Данные 1st'!$JH$2:$JH$317),"")</f>
        <v>0</v>
      </c>
      <c r="EN65" s="7">
        <f>IFERROR(AVERAGEIF('Данные 1st'!$S$2:$S$317,$A65,'Данные 1st'!$JJ$2:$JJ$317),"")</f>
        <v>180</v>
      </c>
      <c r="EO65" s="7">
        <f>IFERROR(AVERAGEIF('Данные 1st'!$S$2:$S$317,$A65,'Данные 1st'!$JK$2:$JK$317),"")</f>
        <v>530</v>
      </c>
      <c r="EP65" s="7">
        <f>IFERROR(AVERAGEIF('Данные 1st'!$S$2:$S$317,$A65,'Данные 1st'!$JL$2:$JL$317),"")</f>
        <v/>
      </c>
      <c r="EQ65" s="7">
        <f>IFERROR(AVERAGEIF('Данные 1st'!$S$2:$S$317,$A65,'Данные 1st'!$JM$2:$JM$317),"")</f>
        <v/>
      </c>
      <c r="ER65" s="7">
        <f>IFERROR(AVERAGEIF('Данные 1st'!$S$2:$S$317,$A65,'Данные 1st'!$JN$2:$JN$317),"")</f>
        <v>450</v>
      </c>
      <c r="ES65" s="7">
        <f>IFERROR(AVERAGEIF('Данные 1st'!$S$2:$S$317,$A65,'Данные 1st'!$JO$2:$JO$317),"")</f>
        <v>640</v>
      </c>
      <c r="ET65" s="7">
        <f>IFERROR(AVERAGEIF('Данные 1st'!$S$2:$S$317,$A65,'Данные 1st'!$JP$2:$JP$317),"")</f>
        <v>520</v>
      </c>
      <c r="EU65" s="7">
        <f>IFERROR(AVERAGEIF('Данные 1st'!$S$2:$S$317,$A65,'Данные 1st'!$JQ$2:$JQ$317),"")</f>
        <v>0</v>
      </c>
      <c r="EV65" s="7">
        <f>IFERROR(AVERAGEIF('Данные 1st'!$S$2:$S$317,$A65,'Данные 1st'!$JR$2:$JR$317),"")</f>
        <v>428</v>
      </c>
      <c r="EW65" s="7">
        <f>IFERROR(AVERAGEIF('Данные 1st'!$S$2:$S$317,$A65,'Данные 1st'!$JS$2:$JS$317),"")</f>
        <v>185</v>
      </c>
      <c r="EX65" s="7">
        <f>IFERROR(AVERAGEIF('Данные 1st'!$S$2:$S$317,$A65,'Данные 1st'!$JT$2:$JT$317),"")</f>
        <v/>
      </c>
      <c r="EY65" s="7">
        <f>IFERROR(AVERAGEIF('Данные 1st'!$S$2:$S$317,$A65,'Данные 1st'!$JU$2:$JU$317),"")</f>
        <v/>
      </c>
      <c r="EZ65" s="7">
        <f>IFERROR(AVERAGEIF('Данные 1st'!$S$2:$S$317,$A65,'Данные 1st'!$JV$2:$JV$317),"")</f>
        <v>8</v>
      </c>
      <c r="FA65" s="7">
        <f>IFERROR(AVERAGEIF('Данные 1st'!$S$2:$S$317,$A65,'Данные 1st'!$JW$2:$JW$317),"")</f>
        <v/>
      </c>
      <c r="FB65" s="7">
        <f>IFERROR(AVERAGEIF('Данные 1st'!$S$2:$S$317,$A65,'Данные 1st'!$JX$2:$JX$317),"")</f>
        <v>0</v>
      </c>
      <c r="FC65" s="7">
        <f>IFERROR(AVERAGEIF('Данные 1st'!$S$2:$S$317,$A65,'Данные 1st'!$JY$2:$JY$317),"")</f>
        <v/>
      </c>
      <c r="FD65" s="7">
        <f>IFERROR(AVERAGEIF('Данные 1st'!$S$2:$S$317,$A65,'Данные 1st'!$JZ$2:$JZ$317),"")</f>
        <v/>
      </c>
      <c r="FE65" s="7">
        <f>IFERROR(AVERAGEIF('Данные 1st'!$S$2:$S$317,$A65,'Данные 1st'!$KA$2:$KA$317),"")</f>
        <v>225</v>
      </c>
      <c r="FF65" s="7">
        <f>IFERROR(AVERAGEIF('Данные 1st'!$S$2:$S$317,$A65,'Данные 1st'!$KB$2:$KB$317),"")</f>
        <v>110</v>
      </c>
      <c r="FG65" s="7">
        <f>IFERROR(AVERAGEIF('Данные 1st'!$S$2:$S$317,$A65,'Данные 1st'!$KC$2:$KC$317),"")</f>
        <v>0</v>
      </c>
      <c r="FH65" s="7">
        <f>IFERROR(AVERAGEIF('Данные 1st'!$S$2:$S$317,$A65,'Данные 1st'!$KD$2:$KD$317),"")</f>
        <v>80</v>
      </c>
      <c r="FI65" s="7">
        <f>IFERROR(AVERAGEIF('Данные 1st'!$S$2:$S$317,$A65,'Данные 1st'!$KE$2:$KE$317),"")</f>
        <v/>
      </c>
      <c r="FJ65" s="7">
        <f>IFERROR(AVERAGEIF('Данные 1st'!$S$2:$S$317,$A65,'Данные 1st'!$KF$2:$KF$317),"")</f>
        <v>4</v>
      </c>
      <c r="FK65" s="7">
        <f>IFERROR(AVERAGEIF('Данные 1st'!$S$2:$S$317,$A65,'Данные 1st'!$KG$2:$KG$317),"")</f>
        <v>2</v>
      </c>
      <c r="FL65" s="7">
        <f>IFERROR(AVERAGEIF('Данные 1st'!$S$2:$S$317,$A65,'Данные 1st'!$KH$2:$KH$317),"")</f>
        <v>2</v>
      </c>
      <c r="FM65" s="7">
        <f>IFERROR(AVERAGEIF('Данные 1st'!$S$2:$S$317,$A65,'Данные 1st'!$KI$2:$KI$317),"")</f>
        <v>2</v>
      </c>
      <c r="FN65" s="7">
        <f>IFERROR(AVERAGEIF('Данные 1st'!$S$2:$S$317,$A65,'Данные 1st'!$KJ$2:$KJ$317),"")</f>
        <v>0</v>
      </c>
      <c r="FO65" s="7">
        <f>IFERROR(AVERAGEIF('Данные 1st'!$S$2:$S$317,$A65,'Данные 1st'!$KK$2:$KK$317),"")</f>
        <v>1.5</v>
      </c>
      <c r="FP65" s="7">
        <f>IFERROR(AVERAGEIF('Данные 1st'!$S$2:$S$317,$A65,'Данные 1st'!$KL$2:$KL$317),"")</f>
        <v>1.5</v>
      </c>
      <c r="FQ65" s="7">
        <f>IFERROR(AVERAGEIF('Данные 1st'!$S$2:$S$317,$A65,'Данные 1st'!$KM$2:$KM$317),"")</f>
        <v>0</v>
      </c>
      <c r="FR65" s="7">
        <f>IFERROR(AVERAGEIF('Данные 1st'!$S$2:$S$317,$A65,'Данные 1st'!$KN$2:$KN$317),"")</f>
        <v>0</v>
      </c>
      <c r="FS65" s="7">
        <f>IFERROR(AVERAGEIF('Данные 1st'!$S$2:$S$317,$A65,'Данные 1st'!$KR$2:$KR$317),"")</f>
        <v>30</v>
      </c>
      <c r="FT65" s="7">
        <f>IFERROR(AVERAGEIF('Данные 1st'!$S$2:$S$317,$A65,'Данные 1st'!$KS$2:$KS$317),"")</f>
        <v>60</v>
      </c>
      <c r="FU65" s="7">
        <f>IFERROR(AVERAGEIF('Данные 1st'!$S$2:$S$317,$A65,'Данные 1st'!$KT$2:$KT$317),"")</f>
        <v>0</v>
      </c>
      <c r="FV65" s="7">
        <f>IFERROR(AVERAGEIF('Данные 1st'!$S$2:$S$317,$A65,'Данные 1st'!$KV$2:$KV$317),"")</f>
        <v/>
      </c>
      <c r="FW65" s="7">
        <f>IFERROR(AVERAGEIF('Данные 1st'!$S$2:$S$317,$A65,'Данные 1st'!$KW$2:$KW$317),"")</f>
        <v/>
      </c>
      <c r="FX65" s="7">
        <f>IFERROR(AVERAGEIF('Данные 1st'!$S$2:$S$317,$A65,'Данные 1st'!$KX$2:$KX$317),"")</f>
        <v/>
      </c>
      <c r="FY65" s="7">
        <f>IFERROR(AVERAGEIF('Данные 1st'!$S$2:$S$317,$A65,'Данные 1st'!$KY$2:$KY$317),"")</f>
        <v/>
      </c>
      <c r="FZ65" s="7">
        <f>IFERROR(AVERAGEIF('Данные 1st'!$S$2:$S$317,$A65,'Данные 1st'!$KZ$2:$KZ$317),"")</f>
        <v/>
      </c>
      <c r="GA65" s="7">
        <f>IFERROR(AVERAGEIF('Данные 1st'!$S$2:$S$317,$A65,'Данные 1st'!$LA$2:$LA$317),"")</f>
        <v/>
      </c>
      <c r="GB65" s="7">
        <f>IFERROR(AVERAGEIF('Данные 1st'!$S$2:$S$317,$A65,'Данные 1st'!$LB$2:$LB$317),"")</f>
        <v/>
      </c>
      <c r="GC65" s="7">
        <f>IFERROR(AVERAGEIF('Данные 1st'!$S$2:$S$317,$A65,'Данные 1st'!$LC$2:$LC$317),"")</f>
        <v/>
      </c>
      <c r="GD65" s="7">
        <f>IFERROR(AVERAGEIF('Данные 1st'!$S$2:$S$317,$A65,'Данные 1st'!$LD$2:$LD$317),"")</f>
        <v/>
      </c>
      <c r="GE65" s="7">
        <f>IFERROR(AVERAGEIF('Данные 1st'!$S$2:$S$317,$A65,'Данные 1st'!$LE$2:$LE$317),"")</f>
        <v/>
      </c>
      <c r="GF65" s="7">
        <f>IFERROR(AVERAGEIF('Данные 1st'!$S$2:$S$317,$A65,'Данные 1st'!$LF$2:$LF$317),"")</f>
        <v/>
      </c>
      <c r="GG65" s="7">
        <f>IFERROR(AVERAGEIF('Данные 1st'!$S$2:$S$317,$A65,'Данные 1st'!$LG$2:$LG$317),"")</f>
        <v/>
      </c>
      <c r="GH65" s="7">
        <f>IFERROR(AVERAGEIF('Данные 1st'!$S$2:$S$317,$A65,'Данные 1st'!$LH$2:$LH$317),"")</f>
        <v/>
      </c>
      <c r="GI65" s="7">
        <f>IFERROR(AVERAGEIF('Данные 1st'!$S$2:$S$317,$A65,'Данные 1st'!$LI$2:$LI$317),"")</f>
        <v/>
      </c>
      <c r="GJ65" s="7">
        <f>IFERROR(AVERAGEIF('Данные 1st'!$S$2:$S$317,$A65,'Данные 1st'!$LJ$2:$LJ$317),"")</f>
        <v/>
      </c>
      <c r="GK65" s="7">
        <f>IFERROR(AVERAGEIF('Данные 1st'!$S$2:$S$317,$A65,'Данные 1st'!$LK$2:$LK$317),"")</f>
        <v>480</v>
      </c>
      <c r="GL65" s="7">
        <f>IFERROR(AVERAGEIF('Данные 1st'!$S$2:$S$317,$A65,'Данные 1st'!$LV$2:$LV$317),"")</f>
        <v/>
      </c>
      <c r="GM65" s="7">
        <f>IFERROR(AVERAGEIF('Данные 1st'!$S$2:$S$317,$A65,'Данные 1st'!$LW$2:$LW$317),"")</f>
        <v/>
      </c>
      <c r="GN65" s="7">
        <f>IFERROR(AVERAGEIF('Данные 1st'!$S$2:$S$317,$A65,'Данные 1st'!$LX$2:$LX$317),"")</f>
        <v/>
      </c>
      <c r="GO65" s="7">
        <f>IFERROR(AVERAGEIF('Данные 1st'!$S$2:$S$317,$A65,'Данные 1st'!$LY$2:$LY$317),"")</f>
        <v/>
      </c>
      <c r="GP65" s="7">
        <f>IFERROR(AVERAGEIF('Данные 1st'!$S$2:$S$317,$A65,'Данные 1st'!$LZ$2:$LZ$317),"")</f>
        <v/>
      </c>
      <c r="GQ65" s="7">
        <f>IFERROR(AVERAGEIF('Данные 1st'!$S$2:$S$317,$A65,'Данные 1st'!$PG$2:$PG$317),"")</f>
        <v>1</v>
      </c>
      <c r="GR65" s="7">
        <f>IFERROR(AVERAGEIF('Данные 1st'!$S$2:$S$317,$A65,'Данные 1st'!$PX$2:$PX$317),"")</f>
        <v>56</v>
      </c>
      <c r="GS65" s="7">
        <f>IFERROR(AVERAGEIF('Данные 1st'!$S$2:$S$317,$A65,'Данные 1st'!$PY$2:$PY$317),"")</f>
        <v>56</v>
      </c>
      <c r="GT65" s="7">
        <f>IFERROR(AVERAGEIF('Данные 1st'!$S$2:$S$317,$A65,'Данные 1st'!$QA$2:$QA$317),"")</f>
        <v>1</v>
      </c>
      <c r="GU65" s="7">
        <f>IFERROR(AVERAGEIF('Данные 1st'!$S$2:$S$317,$A65,'Данные 1st'!$QB$2:$QB$317),"")</f>
        <v>1378</v>
      </c>
      <c r="GV65" s="7">
        <f>IFERROR(AVERAGEIF('Данные 1st'!$S$2:$S$317,$A65,'Данные 1st'!$QC$2:$QC$317),"")</f>
        <v>69</v>
      </c>
      <c r="GW65" s="7">
        <f>IFERROR(AVERAGEIF('Данные 1st'!$S$2:$S$317,$A65,'Данные 1st'!$QD$2:$QD$317),"")</f>
        <v>69</v>
      </c>
      <c r="GX65" s="7">
        <f>IFERROR(AVERAGEIF('Данные 1st'!$S$2:$S$317,$A65,'Данные 1st'!$QF$2:$QF$317),"")</f>
        <v>1</v>
      </c>
      <c r="GY65" s="7">
        <f>IFERROR(AVERAGEIF('Данные 1st'!$S$2:$S$317,$A65,'Данные 1st'!$QG$2:$QG$317),"")</f>
        <v>1393</v>
      </c>
      <c r="GZ65" s="7">
        <f>IFERROR(AVERAGEIF('Данные 1st'!$S$2:$S$317,$A65,'Данные 1st'!$QH$2:$QH$317),"")</f>
        <v>66</v>
      </c>
      <c r="HA65" s="7">
        <f>IFERROR(AVERAGEIF('Данные 1st'!$S$2:$S$317,$A65,'Данные 1st'!$QI$2:$QI$317),"")</f>
        <v>66</v>
      </c>
      <c r="HB65" s="7">
        <f>IFERROR(AVERAGEIF('Данные 1st'!$S$2:$S$317,$A65,'Данные 1st'!$QK$2:$QK$317),"")</f>
        <v/>
      </c>
      <c r="HC65" s="7">
        <f>IFERROR(AVERAGEIF('Данные 1st'!$S$2:$S$317,$A65,'Данные 1st'!$QL$2:$QL$317),"")</f>
        <v>0</v>
      </c>
      <c r="HD65" s="7">
        <f>IFERROR(AVERAGEIF('Данные 1st'!$S$2:$S$317,$A65,'Данные 1st'!$QM$2:$QM$317),"")</f>
        <v>62</v>
      </c>
      <c r="HE65" s="7">
        <f>IFERROR(AVERAGEIF('Данные 1st'!$S$2:$S$317,$A65,'Данные 1st'!$QN$2:$QN$317),"")</f>
        <v>62</v>
      </c>
      <c r="HF65" s="7">
        <f>IFERROR(AVERAGEIF('Данные 1st'!$S$2:$S$317,$A65,'Данные 1st'!$QP$2:$QP$317),"")</f>
        <v>1</v>
      </c>
      <c r="HG65" s="7">
        <f>IFERROR(AVERAGEIF('Данные 1st'!$S$2:$S$317,$A65,'Данные 1st'!$QQ$2:$QQ$317),"")</f>
        <v>1390</v>
      </c>
      <c r="HH65" s="7">
        <f>IFERROR(AVERAGEIF('Данные 1st'!$S$2:$S$317,$A65,'Данные 1st'!$QR$2:$QR$317),"")</f>
        <v>62</v>
      </c>
      <c r="HI65" s="7">
        <f>IFERROR(AVERAGEIF('Данные 1st'!$S$2:$S$317,$A65,'Данные 1st'!$QS$2:$QS$317),"")</f>
        <v>62</v>
      </c>
      <c r="HJ65" s="7">
        <f>IFERROR(AVERAGEIF('Данные 1st'!$S$2:$S$317,$A65,'Данные 1st'!$QU$2:$QU$317),"")</f>
        <v>1</v>
      </c>
      <c r="HK65" s="7">
        <f>IFERROR(AVERAGEIF('Данные 1st'!$S$2:$S$317,$A65,'Данные 1st'!$QV$2:$QV$317),"")</f>
        <v>1396</v>
      </c>
      <c r="HL65" s="7">
        <f>IFERROR(AVERAGEIF('Данные 1st'!$S$2:$S$317,$A65,'Данные 1st'!$QW$2:$QW$317),"")</f>
        <v>82</v>
      </c>
      <c r="HM65" s="7">
        <f>IFERROR(AVERAGEIF('Данные 1st'!$S$2:$S$317,$A65,'Данные 1st'!$QX$2:$QX$317),"")</f>
        <v>88</v>
      </c>
      <c r="HN65" s="7">
        <f>IFERROR(AVERAGEIF('Данные 1st'!$S$2:$S$317,$A65,'Данные 1st'!$QZ$2:$QZ$317),"")</f>
        <v>1</v>
      </c>
      <c r="HO65" s="7">
        <f>IFERROR(AVERAGEIF('Данные 1st'!$S$2:$S$317,$A65,'Данные 1st'!$RA$2:$RA$317),"")</f>
        <v>66</v>
      </c>
      <c r="HP65" s="7">
        <f>IFERROR(AVERAGEIF('Данные 1st'!$S$2:$S$317,$A65,'Данные 1st'!$RB$2:$RB$317),"")</f>
        <v>66</v>
      </c>
      <c r="HQ65" s="7">
        <f>IFERROR(AVERAGEIF('Данные 1st'!$S$2:$S$317,$A65,'Данные 1st'!$RD$2:$RD$317),"")</f>
        <v/>
      </c>
      <c r="HR65" s="7">
        <f>IFERROR(AVERAGEIF('Данные 1st'!$S$2:$S$317,$A65,'Данные 1st'!$RE$2:$RE$317),"")</f>
        <v>0</v>
      </c>
      <c r="HS65" s="7">
        <f>IFERROR(AVERAGEIF('Данные 1st'!$S$2:$S$317,$A65,'Данные 1st'!$RF$2:$RF$317),"")</f>
        <v>1</v>
      </c>
      <c r="HT65" s="7">
        <f>IFERROR(AVERAGEIF('Данные 1st'!$S$2:$S$317,$A65,'Данные 1st'!$RG$2:$RG$317),"")</f>
        <v/>
      </c>
      <c r="HU65" s="7">
        <f>IFERROR(AVERAGEIF('Данные 1st'!$S$2:$S$317,$A65,'Данные 1st'!$RH$2:$RH$317),"")</f>
        <v>1</v>
      </c>
      <c r="HV65" s="7">
        <f>IFERROR(AVERAGEIF('Данные 1st'!$S$2:$S$317,$A65,'Данные 1st'!$RI$2:$RI$317),"")</f>
        <v/>
      </c>
      <c r="HW65" s="7">
        <f>IFERROR(AVERAGEIF('Данные 1st'!$S$2:$S$317,$A65,'Данные 1st'!$RJ$2:$RJ$317),"")</f>
        <v>1</v>
      </c>
      <c r="HX65" s="7">
        <f>IFERROR(AVERAGEIF('Данные 1st'!$S$2:$S$317,$A65,'Данные 1st'!$RK$2:$RK$317),"")</f>
        <v/>
      </c>
      <c r="HY65" s="7">
        <f>IFERROR(AVERAGEIF('Данные 1st'!$S$2:$S$317,$A65,'Данные 1st'!$RL$2:$RL$317),"")</f>
        <v>4</v>
      </c>
      <c r="HZ65" s="7">
        <f>IFERROR(AVERAGEIF('Данные 1st'!$S$2:$S$317,$A65,'Данные 1st'!$RM$2:$RM$317),"")</f>
        <v>4</v>
      </c>
      <c r="IA65" s="7">
        <f>IFERROR(AVERAGEIF('Данные 1st'!$S$2:$S$317,$A65,'Данные 1st'!$RN$2:$RN$317),"")</f>
        <v/>
      </c>
      <c r="IB65" s="7">
        <f>IFERROR(AVERAGEIF('Данные 1st'!$S$2:$S$317,$A65,'Данные 1st'!$RO$2:$RO$317),"")</f>
        <v>637</v>
      </c>
      <c r="IC65" s="7">
        <f>IFERROR(AVERAGEIF('Данные 1st'!$S$2:$S$317,$A65,'Данные 1st'!$RP$2:$RP$317),"")</f>
        <v/>
      </c>
      <c r="ID65" s="7">
        <f>IFERROR(AVERAGEIF('Данные 1st'!$S$2:$S$317,$A65,'Данные 1st'!$RQ$2:$RQ$317),"")</f>
        <v>715</v>
      </c>
      <c r="IE65" s="7">
        <f>IFERROR(AVERAGEIF('Данные 1st'!$S$2:$S$317,$A65,'Данные 1st'!$RR$2:$RR$317),"")</f>
        <v>565</v>
      </c>
      <c r="IF65" s="7">
        <f>IFERROR(AVERAGEIF('Данные 1st'!$S$2:$S$317,$A65,'Данные 1st'!$RS$2:$RS$317),"")</f>
        <v/>
      </c>
      <c r="IG65" s="7">
        <f>IFERROR(AVERAGEIF('Данные 1st'!$S$2:$S$317,$A65,'Данные 1st'!$RT$2:$RT$317),"")</f>
        <v>345</v>
      </c>
      <c r="IH65" s="7">
        <f>IFERROR(AVERAGEIF('Данные 1st'!$S$2:$S$317,$A65,'Данные 1st'!$RU$2:$RU$317),"")</f>
        <v>241</v>
      </c>
      <c r="II65" s="7">
        <f>IFERROR(AVERAGEIF('Данные 1st'!$S$2:$S$317,$A65,'Данные 1st'!$RX$2:$RX$317),"")</f>
        <v>15</v>
      </c>
      <c r="IJ65" s="7">
        <f>IFERROR(AVERAGEIF('Данные 1st'!$S$2:$S$317,$A65,'Данные 1st'!$RY$2:$RY$317),"")</f>
        <v>4</v>
      </c>
      <c r="IK65" s="7">
        <f>IFERROR(AVERAGEIF('Данные 1st'!$S$2:$S$317,$A65,'Данные 1st'!$SA$2:$SA$317),"")</f>
        <v>15</v>
      </c>
      <c r="IL65" s="7">
        <f>IFERROR(AVERAGEIF('Данные 1st'!$S$2:$S$317,$A65,'Данные 1st'!$SD$2:$SD$317),"")</f>
        <v>1</v>
      </c>
      <c r="IM65" s="7">
        <f>IFERROR(AVERAGEIF('Данные 1st'!$S$2:$S$317,$A65,'Данные 1st'!$SG$2:$SG$317),"")</f>
        <v>1</v>
      </c>
      <c r="IN65" s="7">
        <f>IFERROR(AVERAGEIF('Данные 1st'!$S$2:$S$317,$A65,'Данные 1st'!$SH$2:$SH$317),"")</f>
        <v>0.995</v>
      </c>
      <c r="IO65" s="7">
        <f>IFERROR(AVERAGEIF('Данные 1st'!$S$2:$S$317,$A65,'Данные 1st'!$SI$2:$SI$317),"")</f>
        <v>0.995</v>
      </c>
      <c r="IP65" s="7">
        <f>IFERROR(AVERAGEIF('Данные 1st'!$S$2:$S$317,$A65,'Данные 1st'!$SJ$2:$SJ$317),"")</f>
        <v>0.995</v>
      </c>
      <c r="IQ65" s="7">
        <f>IFERROR(AVERAGEIF('Данные 1st'!$S$2:$S$317,$A65,'Данные 1st'!$SK$2:$SK$317),"")</f>
        <v>15</v>
      </c>
      <c r="IR65" s="7">
        <f>IFERROR(AVERAGEIF('Данные 1st'!$S$2:$S$317,$A65,'Данные 1st'!$SL$2:$SL$317),"")</f>
        <v>0</v>
      </c>
      <c r="IS65" s="7">
        <f>IFERROR(AVERAGEIF('Данные 1st'!$S$2:$S$317,$A65,'Данные 1st'!$SM$2:$SM$317),"")</f>
        <v>0</v>
      </c>
      <c r="IT65" s="7">
        <f>IFERROR(AVERAGEIF('Данные 1st'!$S$2:$S$317,$A65,'Данные 1st'!$SN$2:$SN$317),"")</f>
        <v>0</v>
      </c>
      <c r="IU65" s="7">
        <f>IFERROR(AVERAGEIF('Данные 1st'!$S$2:$S$317,$A65,'Данные 1st'!$SO$2:$SO$317),"")</f>
        <v>0</v>
      </c>
      <c r="IV65" s="7">
        <f>IFERROR(AVERAGEIF('Данные 1st'!$S$2:$S$317,$A65,'Данные 1st'!$SP$2:$SP$317),"")</f>
        <v>0</v>
      </c>
      <c r="IW65" s="7">
        <f>IFERROR(AVERAGEIF('Данные 1st'!$S$2:$S$317,$A65,'Данные 1st'!$SQ$2:$SQ$317),"")</f>
        <v>0</v>
      </c>
      <c r="IX65" s="7">
        <f>IFERROR(AVERAGEIF('Данные 1st'!$S$2:$S$317,$A65,'Данные 1st'!$SR$2:$SR$317),"")</f>
        <v>0</v>
      </c>
      <c r="IY65" s="7">
        <f>IFERROR(AVERAGEIF('Данные 1st'!$S$2:$S$317,$A65,'Данные 1st'!$SS$2:$SS$317),"")</f>
        <v>0</v>
      </c>
      <c r="IZ65" s="7">
        <f>IFERROR(AVERAGEIF('Данные 1st'!$S$2:$S$317,$A65,'Данные 1st'!$ST$2:$ST$317),"")</f>
        <v>0</v>
      </c>
      <c r="JA65" s="7">
        <f>IFERROR(AVERAGEIF('Данные 1st'!$S$2:$S$317,$A65,'Данные 1st'!$SU$2:$SU$317),"")</f>
        <v>0</v>
      </c>
      <c r="JB65" s="7">
        <f>IFERROR(AVERAGEIF('Данные 1st'!$S$2:$S$317,$A65,'Данные 1st'!$SV$2:$SV$317),"")</f>
        <v>0</v>
      </c>
      <c r="JC65" s="7">
        <f>IFERROR(AVERAGEIF('Данные 1st'!$S$2:$S$317,$A65,'Данные 1st'!$SW$2:$SW$317),"")</f>
        <v>0</v>
      </c>
      <c r="JD65" s="7">
        <f>IFERROR(AVERAGEIF('Данные 1st'!$S$2:$S$317,$A65,'Данные 1st'!$SX$2:$SX$317),"")</f>
        <v>0</v>
      </c>
      <c r="JE65" s="7">
        <f>IFERROR(AVERAGEIF('Данные 1st'!$S$2:$S$317,$A65,'Данные 1st'!$SY$2:$SY$317),"")</f>
        <v/>
      </c>
      <c r="JF65" s="7">
        <f>IFERROR(AVERAGEIF('Данные 1st'!$S$2:$S$317,$A65,'Данные 1st'!$SZ$2:$SZ$317),"")</f>
        <v>1</v>
      </c>
      <c r="JG65" s="7">
        <f>IFERROR(AVERAGEIF('Данные 1st'!$S$2:$S$317,$A65,'Данные 1st'!$TA$2:$TA$317),"")</f>
        <v/>
      </c>
      <c r="JH65" s="7">
        <f>IFERROR(AVERAGEIF('Данные 1st'!$S$2:$S$317,$A65,'Данные 1st'!$TB$2:$TB$317),"")</f>
        <v>0</v>
      </c>
      <c r="JI65" s="7">
        <f>IFERROR(AVERAGEIF('Данные 1st'!$S$2:$S$317,$A65,'Данные 1st'!$TC$2:$TC$317),"")</f>
        <v>0</v>
      </c>
      <c r="JJ65" s="7">
        <f>IFERROR(AVERAGEIF('Данные 1st'!$S$2:$S$317,$A65,'Данные 1st'!$TD$2:$TD$317),"")</f>
        <v>7.5</v>
      </c>
      <c r="JK65" s="7">
        <f>IFERROR(AVERAGEIF('Данные 1st'!$S$2:$S$317,$A65,'Данные 1st'!$TN$2:$TN$317),"")</f>
        <v>0</v>
      </c>
      <c r="JL65">
        <f>COUNTIF('Данные 2st'!$Q$2:$Q$317,$A65)</f>
        <v>1</v>
      </c>
      <c r="JM65" s="6" t="s">
        <v>2657</v>
      </c>
      <c r="JN65" s="6" t="s">
        <v>513</v>
      </c>
      <c r="JO65" s="6" t="s">
        <v>517</v>
      </c>
      <c r="JP65" s="6" t="s">
        <v>2700</v>
      </c>
      <c r="JQ65" s="7">
        <f>IFERROR(AVERAGEIF('Данные 2st'!$Q$2:$Q$317,$A65,'Данные 2st'!$AC$2:$AC$317),"")</f>
        <v>9</v>
      </c>
      <c r="JR65" s="7">
        <f>IFERROR(AVERAGEIF('Данные 2st'!$Q$2:$Q$317,$A65,'Данные 2st'!$AF$2:$AF$317),"")</f>
        <v>6182</v>
      </c>
      <c r="JS65" s="7">
        <f>IFERROR(AVERAGEIF('Данные 2st'!$Q$2:$Q$317,$A65,'Данные 2st'!$AW$2:$AW$317),"")</f>
        <v>6.4</v>
      </c>
      <c r="JT65" s="7">
        <f>IFERROR(AVERAGEIF('Данные 2st'!$Q$2:$Q$317,$A65,'Данные 2st'!$AX$2:$AX$317),"")</f>
        <v>-6</v>
      </c>
      <c r="JU65" s="7">
        <f>IFERROR(AVERAGEIF('Данные 2st'!$Q$2:$Q$317,$A65,'Данные 2st'!$AY$2:$AY$317),"")</f>
        <v>105</v>
      </c>
      <c r="JV65" s="7">
        <f>IFERROR(AVERAGEIF('Данные 2st'!$Q$2:$Q$317,$A65,'Данные 2st'!$AZ$2:$AZ$317),"")</f>
        <v>75</v>
      </c>
      <c r="JW65" s="7">
        <f>IFERROR(AVERAGEIF('Данные 2st'!$Q$2:$Q$317,$A65,'Данные 2st'!$BA$2:$BA$317),"")</f>
        <v>0</v>
      </c>
      <c r="JX65" s="7">
        <f>IFERROR(AVERAGEIF('Данные 2st'!$Q$2:$Q$317,$A65,'Данные 2st'!$BB$2:$BB$317),"")</f>
        <v>0</v>
      </c>
      <c r="JY65" s="7">
        <f>IFERROR(AVERAGEIF('Данные 2st'!$Q$2:$Q$317,$A65,'Данные 2st'!$BC$2:$BC$317),"")</f>
        <v>0</v>
      </c>
      <c r="JZ65" s="7">
        <f>IFERROR(AVERAGEIF('Данные 2st'!$Q$2:$Q$317,$A65,'Данные 2st'!$BH$2:$BH$317),"")</f>
        <v>105</v>
      </c>
      <c r="KA65" s="7">
        <f>IFERROR(AVERAGEIF('Данные 2st'!$Q$2:$Q$317,$A65,'Данные 2st'!$BI$2:$BI$317),"")</f>
        <v>30</v>
      </c>
      <c r="KB65" s="7">
        <f>IFERROR(AVERAGEIF('Данные 2st'!$Q$2:$Q$317,$A65,'Данные 2st'!$BJ$2:$BJ$317),"")</f>
        <v>75</v>
      </c>
      <c r="KC65" s="7">
        <f>IFERROR(AVERAGEIF('Данные 2st'!$Q$2:$Q$317,$A65,'Данные 2st'!$BK$2:$BK$317),"")</f>
        <v>2.5</v>
      </c>
      <c r="KD65" s="7">
        <f>IFERROR(AVERAGEIF('Данные 2st'!$Q$2:$Q$317,$A65,'Данные 2st'!$BL$2:$BL$317),"")</f>
        <v>210</v>
      </c>
      <c r="KE65" s="7">
        <f>IFERROR(AVERAGEIF('Данные 2st'!$Q$2:$Q$317,$A65,'Данные 2st'!$BM$2:$BM$317),"")</f>
        <v>-6</v>
      </c>
      <c r="KF65" s="7">
        <f>IFERROR(AVERAGEIF('Данные 2st'!$Q$2:$Q$317,$A65,'Данные 2st'!$BN$2:$BN$317),"")</f>
        <v>0</v>
      </c>
      <c r="KG65" s="7">
        <f>IFERROR(AVERAGEIF('Данные 2st'!$Q$2:$Q$317,$A65,'Данные 2st'!$BO$2:$BO$317),"")</f>
        <v>0</v>
      </c>
      <c r="KH65" s="7">
        <f>IFERROR(AVERAGEIF('Данные 2st'!$Q$2:$Q$317,$A65,'Данные 2st'!$BP$2:$BP$317),"")</f>
        <v>0</v>
      </c>
      <c r="KI65" s="7">
        <f>IFERROR(AVERAGEIF('Данные 2st'!$Q$2:$Q$317,$A65,'Данные 2st'!$BR$2:$BR$317),"")</f>
        <v>205</v>
      </c>
      <c r="KJ65" s="7">
        <f>IFERROR(AVERAGEIF('Данные 2st'!$Q$2:$Q$317,$A65,'Данные 2st'!$BS$2:$BS$317),"")</f>
        <v>195</v>
      </c>
      <c r="KK65" s="7">
        <f>IFERROR(AVERAGEIF('Данные 2st'!$Q$2:$Q$317,$A65,'Данные 2st'!$BT$2:$BT$317),"")</f>
        <v>2190</v>
      </c>
      <c r="KL65" s="7">
        <f>IFERROR(AVERAGEIF('Данные 2st'!$Q$2:$Q$317,$A65,'Данные 2st'!$CV$2:$CV$317),"")</f>
        <v>134</v>
      </c>
      <c r="KM65" s="7">
        <f>IFERROR(AVERAGEIF('Данные 2st'!$Q$2:$Q$317,$A65,'Данные 2st'!$CW$2:$CW$317),"")</f>
        <v>3</v>
      </c>
      <c r="KN65" s="7">
        <f>IFERROR(AVERAGEIF('Данные 2st'!$Q$2:$Q$317,$A65,'Данные 2st'!$CX$2:$CX$317),"")</f>
        <v>89</v>
      </c>
      <c r="KO65" s="7">
        <f>IFERROR(AVERAGEIF('Данные 2st'!$Q$2:$Q$317,$A65,'Данные 2st'!$CY$2:$CY$317),"")</f>
        <v>5</v>
      </c>
      <c r="KP65" s="7">
        <f>IFERROR(AVERAGEIF('Данные 2st'!$Q$2:$Q$317,$A65,'Данные 2st'!$CZ$2:$CZ$317),"")</f>
        <v>158</v>
      </c>
      <c r="KQ65" s="7">
        <f>IFERROR(AVERAGEIF('Данные 2st'!$Q$2:$Q$317,$A65,'Данные 2st'!$DA$2:$DA$317),"")</f>
        <v>5</v>
      </c>
      <c r="KR65" s="7">
        <f>IFERROR(AVERAGEIF('Данные 2st'!$Q$2:$Q$317,$A65,'Данные 2st'!$DB$2:$DB$317),"")</f>
        <v>14540</v>
      </c>
      <c r="KS65" s="7">
        <f>IFERROR(AVERAGEIF('Данные 2st'!$Q$2:$Q$317,$A65,'Данные 2st'!$DC$2:$DC$317),"")</f>
        <v>430</v>
      </c>
      <c r="KT65" s="7">
        <f>IFERROR(AVERAGEIF('Данные 2st'!$Q$2:$Q$317,$A65,'Данные 2st'!$DD$2:$DD$317),"")</f>
        <v>367</v>
      </c>
      <c r="KU65" s="7">
        <f>IFERROR(AVERAGEIF('Данные 2st'!$Q$2:$Q$317,$A65,'Данные 2st'!$DE$2:$DE$317),"")</f>
        <v>2324</v>
      </c>
      <c r="KV65" s="7">
        <f>IFERROR(AVERAGEIF('Данные 2st'!$Q$2:$Q$317,$A65,'Данные 2st'!$DF$2:$DF$317),"")</f>
        <v>2324</v>
      </c>
      <c r="KW65" s="7">
        <f>IFERROR(AVERAGEIF('Данные 2st'!$Q$2:$Q$317,$A65,'Данные 2st'!$DG$2:$DG$317),"")</f>
        <v>2335</v>
      </c>
      <c r="KX65" s="7">
        <f>IFERROR(AVERAGEIF('Данные 2st'!$Q$2:$Q$317,$A65,'Данные 2st'!$DH$2:$DH$317),"")</f>
        <v/>
      </c>
      <c r="KY65" s="7">
        <f>IFERROR(AVERAGEIF('Данные 2st'!$Q$2:$Q$317,$A65,'Данные 2st'!$DI$2:$DI$317),"")</f>
        <v/>
      </c>
      <c r="KZ65" s="7">
        <f>IFERROR(AVERAGEIF('Данные 2st'!$Q$2:$Q$317,$A65,'Данные 2st'!$DK$2:$DK$317),"")</f>
        <v>205</v>
      </c>
      <c r="LA65" s="7">
        <f>IFERROR(AVERAGEIF('Данные 2st'!$Q$2:$Q$317,$A65,'Данные 2st'!$DM$2:$DM$317),"")</f>
        <v>63</v>
      </c>
      <c r="LB65" s="7">
        <f>IFERROR(AVERAGEIF('Данные 2st'!$Q$2:$Q$317,$A65,'Данные 2st'!$DN$2:$DN$317),"")</f>
        <v>1.26</v>
      </c>
      <c r="LC65" s="7">
        <f>IFERROR(AVERAGEIF('Данные 2st'!$Q$2:$Q$317,$A65,'Данные 2st'!$DO$2:$DO$317),"")</f>
        <v>1</v>
      </c>
      <c r="LD65" s="7">
        <f>IFERROR(AVERAGEIF('Данные 2st'!$Q$2:$Q$317,$A65,'Данные 2st'!$DP$2:$DP$317),"")</f>
        <v>2194</v>
      </c>
      <c r="LE65" s="7">
        <f>IFERROR(AVERAGEIF('Данные 2st'!$Q$2:$Q$317,$A65,'Данные 2st'!$DQ$2:$DQ$317),"")</f>
        <v>1086</v>
      </c>
      <c r="LF65" s="7">
        <f>IFERROR(AVERAGEIF('Данные 2st'!$Q$2:$Q$317,$A65,'Данные 2st'!$DS$2:$DS$317),"")</f>
        <v>195</v>
      </c>
      <c r="LG65" s="7">
        <f>IFERROR(AVERAGEIF('Данные 2st'!$Q$2:$Q$317,$A65,'Данные 2st'!$DU$2:$DU$317),"")</f>
        <v>63</v>
      </c>
      <c r="LH65" s="7">
        <f>IFERROR(AVERAGEIF('Данные 2st'!$Q$2:$Q$317,$A65,'Данные 2st'!$DV$2:$DV$317),"")</f>
        <v>1.26</v>
      </c>
      <c r="LI65" s="7">
        <f>IFERROR(AVERAGEIF('Данные 2st'!$Q$2:$Q$317,$A65,'Данные 2st'!$DW$2:$DW$317),"")</f>
        <v>1</v>
      </c>
      <c r="LJ65" s="7">
        <f>IFERROR(AVERAGEIF('Данные 2st'!$Q$2:$Q$317,$A65,'Данные 2st'!$DX$2:$DX$317),"")</f>
        <v>2207</v>
      </c>
      <c r="LK65" s="7">
        <f>IFERROR(AVERAGEIF('Данные 2st'!$Q$2:$Q$317,$A65,'Данные 2st'!$DY$2:$DY$317),"")</f>
        <v>1039</v>
      </c>
      <c r="LL65" s="7">
        <f>IFERROR(AVERAGEIF('Данные 2st'!$Q$2:$Q$317,$A65,'Данные 2st'!$EA$2:$EA$317),"")</f>
        <v>20</v>
      </c>
      <c r="LM65" s="7">
        <f>IFERROR(AVERAGEIF('Данные 2st'!$Q$2:$Q$317,$A65,'Данные 2st'!$EC$2:$EC$317),"")</f>
        <v>0.8</v>
      </c>
      <c r="LN65" s="7">
        <f>IFERROR(AVERAGEIF('Данные 2st'!$Q$2:$Q$317,$A65,'Данные 2st'!$ED$2:$ED$317),"")</f>
        <v>2194</v>
      </c>
      <c r="LO65" s="7">
        <f>IFERROR(AVERAGEIF('Данные 2st'!$Q$2:$Q$317,$A65,'Данные 2st'!$EE$2:$EE$317),"")</f>
        <v>77</v>
      </c>
      <c r="LP65" s="7">
        <f>IFERROR(AVERAGEIF('Данные 2st'!$Q$2:$Q$317,$A65,'Данные 2st'!$EG$2:$EG$317),"")</f>
        <v>0</v>
      </c>
      <c r="LQ65" s="7">
        <f>IFERROR(AVERAGEIF('Данные 2st'!$Q$2:$Q$317,$A65,'Данные 2st'!$EI$2:$EI$317),"")</f>
        <v>0</v>
      </c>
      <c r="LR65" s="7">
        <f>IFERROR(AVERAGEIF('Данные 2st'!$Q$2:$Q$317,$A65,'Данные 2st'!$EJ$2:$EJ$317),"")</f>
        <v/>
      </c>
      <c r="LS65" s="7">
        <f>IFERROR(AVERAGEIF('Данные 2st'!$Q$2:$Q$317,$A65,'Данные 2st'!$EK$2:$EK$317),"")</f>
        <v/>
      </c>
      <c r="LT65" s="7">
        <f>IFERROR(AVERAGEIF('Данные 2st'!$Q$2:$Q$317,$A65,'Данные 2st'!$EM$2:$EM$317),"")</f>
        <v>12</v>
      </c>
      <c r="LU65" s="7">
        <f>IFERROR(AVERAGEIF('Данные 2st'!$Q$2:$Q$317,$A65,'Данные 2st'!$EN$2:$EN$317),"")</f>
        <v>0.5</v>
      </c>
      <c r="LV65" s="7">
        <f>IFERROR(AVERAGEIF('Данные 2st'!$Q$2:$Q$317,$A65,'Данные 2st'!$EO$2:$EO$317),"")</f>
        <v>0.96</v>
      </c>
      <c r="LW65" s="7">
        <f>IFERROR(AVERAGEIF('Данные 2st'!$Q$2:$Q$317,$A65,'Данные 2st'!$EP$2:$EP$317),"")</f>
        <v>2205.84</v>
      </c>
      <c r="LX65" s="7">
        <f>IFERROR(AVERAGEIF('Данные 2st'!$Q$2:$Q$317,$A65,'Данные 2st'!$EQ$2:$EQ$317),"")</f>
        <v>38257.54</v>
      </c>
      <c r="LY65" s="7">
        <f>IFERROR(AVERAGEIF('Данные 2st'!$Q$2:$Q$317,$A65,'Данные 2st'!$ER$2:$ER$317),"")</f>
        <v>10368.15</v>
      </c>
      <c r="LZ65" s="7">
        <f>IFERROR(AVERAGEIF('Данные 2st'!$Q$2:$Q$317,$A65,'Данные 2st'!$ES$2:$ES$317),"")</f>
        <v>0</v>
      </c>
      <c r="MA65" s="7">
        <f>IFERROR(AVERAGEIF('Данные 2st'!$Q$2:$Q$317,$A65,'Данные 2st'!$ET$2:$ET$317),"")</f>
        <v>0</v>
      </c>
      <c r="MB65" s="7">
        <f>IFERROR(AVERAGEIF('Данные 2st'!$Q$2:$Q$317,$A65,'Данные 2st'!$EU$2:$EU$317),"")</f>
        <v>1</v>
      </c>
      <c r="MC65" s="7">
        <f>IFERROR(AVERAGEIF('Данные 2st'!$Q$2:$Q$317,$A65,'Данные 2st'!$EV$2:$EV$317),"")</f>
        <v>48626</v>
      </c>
      <c r="MD65" s="7">
        <f>IFERROR(AVERAGEIF('Данные 2st'!$Q$2:$Q$317,$A65,'Данные 2st'!$EW$2:$EW$317),"")</f>
        <v>584</v>
      </c>
      <c r="ME65" s="7">
        <f>IFERROR(AVERAGEIF('Данные 2st'!$Q$2:$Q$317,$A65,'Данные 2st'!$EY$2:$EY$317),"")</f>
        <v>232</v>
      </c>
      <c r="MF65" s="7">
        <f>IFERROR(AVERAGEIF('Данные 2st'!$Q$2:$Q$317,$A65,'Данные 2st'!$FA$2:$FA$317),"")</f>
        <v>4</v>
      </c>
      <c r="MG65" s="7">
        <f>IFERROR(AVERAGEIF('Данные 2st'!$Q$2:$Q$317,$A65,'Данные 2st'!$FB$2:$FB$317),"")</f>
        <v>1</v>
      </c>
      <c r="MH65" s="7">
        <f>IFERROR(AVERAGEIF('Данные 2st'!$Q$2:$Q$317,$A65,'Данные 2st'!$FC$2:$FC$317),"")</f>
        <v>1</v>
      </c>
      <c r="MI65" s="7">
        <f>IFERROR(AVERAGEIF('Данные 2st'!$Q$2:$Q$317,$A65,'Данные 2st'!$FD$2:$FD$317),"")</f>
        <v>2239</v>
      </c>
      <c r="MJ65" s="7">
        <f>IFERROR(AVERAGEIF('Данные 2st'!$Q$2:$Q$317,$A65,'Данные 2st'!$FE$2:$FE$317),"")</f>
        <v>2563</v>
      </c>
      <c r="MK65" s="7">
        <f>IFERROR(AVERAGEIF('Данные 2st'!$Q$2:$Q$317,$A65,'Данные 2st'!$FG$2:$FG$317),"")</f>
        <v>232</v>
      </c>
      <c r="ML65" s="7">
        <f>IFERROR(AVERAGEIF('Данные 2st'!$Q$2:$Q$317,$A65,'Данные 2st'!$FI$2:$FI$317),"")</f>
        <v>4.2</v>
      </c>
      <c r="MM65" s="7">
        <f>IFERROR(AVERAGEIF('Данные 2st'!$Q$2:$Q$317,$A65,'Данные 2st'!$FJ$2:$FJ$317),"")</f>
        <v>2239</v>
      </c>
      <c r="MN65" s="7">
        <f>IFERROR(AVERAGEIF('Данные 2st'!$Q$2:$Q$317,$A65,'Данные 2st'!$FK$2:$FK$317),"")</f>
        <v>2550</v>
      </c>
      <c r="MO65" s="7">
        <f>IFERROR(AVERAGEIF('Данные 2st'!$Q$2:$Q$317,$A65,'Данные 2st'!$FP$2:$FP$317),"")</f>
        <v>2239</v>
      </c>
      <c r="MP65" s="7">
        <f>IFERROR(AVERAGEIF('Данные 2st'!$Q$2:$Q$317,$A65,'Данные 2st'!$FQ$2:$FQ$317),"")</f>
        <v>196</v>
      </c>
      <c r="MQ65" s="7">
        <f>IFERROR(AVERAGEIF('Данные 2st'!$Q$2:$Q$317,$A65,'Данные 2st'!$FS$2:$FS$317),"")</f>
        <v>236</v>
      </c>
      <c r="MR65" s="7">
        <f>IFERROR(AVERAGEIF('Данные 2st'!$Q$2:$Q$317,$A65,'Данные 2st'!$FU$2:$FU$317),"")</f>
        <v>0.4</v>
      </c>
      <c r="MS65" s="7">
        <f>IFERROR(AVERAGEIF('Данные 2st'!$Q$2:$Q$317,$A65,'Данные 2st'!$FV$2:$FV$317),"")</f>
        <v>2239</v>
      </c>
      <c r="MT65" s="7">
        <f>IFERROR(AVERAGEIF('Данные 2st'!$Q$2:$Q$317,$A65,'Данные 2st'!$FW$2:$FW$317),"")</f>
        <v>235</v>
      </c>
      <c r="MU65" s="7">
        <f>IFERROR(AVERAGEIF('Данные 2st'!$Q$2:$Q$317,$A65,'Данные 2st'!$FY$2:$FY$317),"")</f>
        <v>5</v>
      </c>
      <c r="MV65" s="7">
        <f>IFERROR(AVERAGEIF('Данные 2st'!$Q$2:$Q$317,$A65,'Данные 2st'!$GB$2:$GB$317),"")</f>
        <v>2239</v>
      </c>
      <c r="MW65" s="7">
        <f>IFERROR(AVERAGEIF('Данные 2st'!$Q$2:$Q$317,$A65,'Данные 2st'!$GC$2:$GC$317),"")</f>
        <v>22</v>
      </c>
      <c r="MX65" s="7">
        <f>IFERROR(AVERAGEIF('Данные 2st'!$Q$2:$Q$317,$A65,'Данные 2st'!$GD$2:$GD$317),"")</f>
        <v>5566</v>
      </c>
      <c r="MY65" s="7">
        <f>IFERROR(AVERAGEIF('Данные 2st'!$Q$2:$Q$317,$A65,'Данные 2st'!$GN$2:$GN$317),"")</f>
        <v/>
      </c>
      <c r="MZ65" s="7">
        <f>IFERROR(AVERAGEIF('Данные 2st'!$Q$2:$Q$317,$A65,'Данные 2st'!$GQ$2:$GQ$317),"")</f>
        <v>0</v>
      </c>
      <c r="NA65" s="7">
        <f>IFERROR(AVERAGEIF('Данные 2st'!$Q$2:$Q$317,$A65,'Данные 2st'!$GV$2:$GV$317),"")</f>
        <v>8.6</v>
      </c>
      <c r="NB65" s="7">
        <f>IFERROR(AVERAGEIF('Данные 2st'!$Q$2:$Q$317,$A65,'Данные 2st'!$GW$2:$GW$317),"")</f>
        <v>11.5</v>
      </c>
      <c r="NC65" s="7">
        <f>IFERROR(AVERAGEIF('Данные 2st'!$Q$2:$Q$317,$A65,'Данные 2st'!$GX$2:$GX$317),"")</f>
        <v>0.5</v>
      </c>
      <c r="ND65" s="7">
        <f>IFERROR(AVERAGEIF('Данные 2st'!$Q$2:$Q$317,$A65,'Данные 2st'!$GY$2:$GY$317),"")</f>
        <v>202</v>
      </c>
      <c r="NE65" s="7">
        <f>IFERROR(AVERAGEIF('Данные 2st'!$Q$2:$Q$317,$A65,'Данные 2st'!$GZ$2:$GZ$317),"")</f>
        <v>3</v>
      </c>
      <c r="NF65" s="7">
        <f>IFERROR(AVERAGEIF('Данные 2st'!$Q$2:$Q$317,$A65,'Данные 2st'!$HA$2:$HA$317),"")</f>
        <v>252</v>
      </c>
      <c r="NG65" s="7">
        <f>IFERROR(AVERAGEIF('Данные 2st'!$Q$2:$Q$317,$A65,'Данные 2st'!$HB$2:$HB$317),"")</f>
        <v>3</v>
      </c>
      <c r="NH65" s="7">
        <f>IFERROR(AVERAGEIF('Данные 2st'!$Q$2:$Q$317,$A65,'Данные 2st'!$HC$2:$HC$317),"")</f>
        <v>2239</v>
      </c>
      <c r="NI65" s="7">
        <f>IFERROR(AVERAGEIF('Данные 2st'!$Q$2:$Q$317,$A65,'Данные 2st'!$HD$2:$HD$317),"")</f>
        <v>4</v>
      </c>
      <c r="NJ65" s="7">
        <f>IFERROR(AVERAGEIF('Данные 2st'!$Q$2:$Q$317,$A65,'Данные 2st'!$HM$2:$HM$317),"")</f>
        <v>18</v>
      </c>
      <c r="NK65" s="7">
        <f>IFERROR(AVERAGEIF('Данные 2st'!$Q$2:$Q$317,$A65,'Данные 2st'!$HR$2:$HR$317),"")</f>
        <v>3</v>
      </c>
      <c r="NL65" s="7">
        <f>IFERROR(AVERAGEIF('Данные 2st'!$Q$2:$Q$317,$A65,'Данные 2st'!$HS$2:$HS$317),"")</f>
        <v>2190</v>
      </c>
      <c r="NM65" s="7">
        <f>IFERROR(AVERAGEIF('Данные 2st'!$Q$2:$Q$317,$A65,'Данные 2st'!$HT$2:$HT$317),"")</f>
        <v>5</v>
      </c>
      <c r="NN65" s="7">
        <f>IFERROR(AVERAGEIF('Данные 2st'!$Q$2:$Q$317,$A65,'Данные 2st'!$HY$2:$HY$317),"")</f>
        <v>0</v>
      </c>
      <c r="NO65" s="7">
        <f>IFERROR(AVERAGEIF('Данные 2st'!$Q$2:$Q$317,$A65,'Данные 2st'!$HZ$2:$HZ$317),"")</f>
        <v>63</v>
      </c>
      <c r="NP65" s="7">
        <f>IFERROR(AVERAGEIF('Данные 2st'!$Q$2:$Q$317,$A65,'Данные 2st'!$IA$2:$IA$317),"")</f>
        <v>2194</v>
      </c>
      <c r="NQ65" s="7">
        <f>IFERROR(AVERAGEIF('Данные 2st'!$Q$2:$Q$317,$A65,'Данные 2st'!$IB$2:$IB$317),"")</f>
        <v>2207</v>
      </c>
      <c r="NR65" s="7">
        <f>IFERROR(AVERAGEIF('Данные 2st'!$Q$2:$Q$317,$A65,'Данные 2st'!$IC$2:$IC$317),"")</f>
        <v/>
      </c>
      <c r="NS65" s="7">
        <f>IFERROR(AVERAGEIF('Данные 2st'!$Q$2:$Q$317,$A65,'Данные 2st'!$ID$2:$ID$317),"")</f>
        <v>2239</v>
      </c>
      <c r="NT65" s="7">
        <f>IFERROR(AVERAGEIF('Данные 2st'!$Q$2:$Q$317,$A65,'Данные 2st'!$IE$2:$IE$317),"")</f>
        <v>2239</v>
      </c>
      <c r="NU65" s="7">
        <f>IFERROR(AVERAGEIF('Данные 2st'!$Q$2:$Q$317,$A65,'Данные 2st'!$IF$2:$IF$317),"")</f>
        <v>205</v>
      </c>
      <c r="NV65" s="7">
        <f>IFERROR(AVERAGEIF('Данные 2st'!$Q$2:$Q$317,$A65,'Данные 2st'!$IG$2:$IG$317),"")</f>
        <v>195</v>
      </c>
      <c r="NW65" s="7">
        <f>IFERROR(AVERAGEIF('Данные 2st'!$Q$2:$Q$317,$A65,'Данные 2st'!$IH$2:$IH$317),"")</f>
        <v>252</v>
      </c>
      <c r="NX65" s="7">
        <f>IFERROR(AVERAGEIF('Данные 2st'!$Q$2:$Q$317,$A65,'Данные 2st'!$IJ$2:$IJ$317),"")</f>
        <v>5</v>
      </c>
      <c r="NY65" s="7">
        <f>IFERROR(AVERAGEIF('Данные 2st'!$Q$2:$Q$317,$A65,'Данные 2st'!$IM$2:$IM$317),"")</f>
        <v>0</v>
      </c>
      <c r="NZ65" s="7">
        <f>IFERROR(AVERAGEIF('Данные 2st'!$Q$2:$Q$317,$A65,'Данные 2st'!$IN$2:$IN$317),"")</f>
        <v>270</v>
      </c>
      <c r="OA65" s="7">
        <f>IFERROR(AVERAGEIF('Данные 2st'!$Q$2:$Q$317,$A65,'Данные 2st'!$IO$2:$IO$317),"")</f>
        <v>0</v>
      </c>
      <c r="OB65" s="7">
        <f>IFERROR(AVERAGEIF('Данные 2st'!$Q$2:$Q$317,$A65,'Данные 2st'!$IP$2:$IP$317),"")</f>
        <v>180</v>
      </c>
      <c r="OC65" s="7">
        <f>IFERROR(AVERAGEIF('Данные 2st'!$Q$2:$Q$317,$A65,'Данные 2st'!$IQ$2:$IQ$317),"")</f>
        <v>0</v>
      </c>
      <c r="OD65" s="7">
        <f>IFERROR(AVERAGEIF('Данные 2st'!$Q$2:$Q$317,$A65,'Данные 2st'!$IR$2:$IR$317),"")</f>
        <v>330</v>
      </c>
      <c r="OE65" s="7">
        <f>IFERROR(AVERAGEIF('Данные 2st'!$Q$2:$Q$317,$A65,'Данные 2st'!$IT$2:$IT$317),"")</f>
        <v>90</v>
      </c>
      <c r="OF65" s="7">
        <f>IFERROR(AVERAGEIF('Данные 2st'!$Q$2:$Q$317,$A65,'Данные 2st'!$IU$2:$IU$317),"")</f>
        <v>0</v>
      </c>
      <c r="OG65" s="7">
        <f>IFERROR(AVERAGEIF('Данные 2st'!$Q$2:$Q$317,$A65,'Данные 2st'!$IV$2:$IV$317),"")</f>
        <v>6.4</v>
      </c>
      <c r="OH65" s="7">
        <f>IFERROR(AVERAGEIF('Данные 2st'!$Q$2:$Q$317,$A65,'Данные 2st'!$IW$2:$IW$317),"")</f>
        <v>-6</v>
      </c>
      <c r="OI65" s="7">
        <f>IFERROR(AVERAGEIF('Данные 2st'!$Q$2:$Q$317,$A65,'Данные 2st'!$IX$2:$IX$317),"")</f>
        <v>105</v>
      </c>
      <c r="OJ65" s="7">
        <f>IFERROR(AVERAGEIF('Данные 2st'!$Q$2:$Q$317,$A65,'Данные 2st'!$IY$2:$IY$317),"")</f>
        <v>75</v>
      </c>
      <c r="OK65" s="7">
        <f>IFERROR(AVERAGEIF('Данные 2st'!$Q$2:$Q$317,$A65,'Данные 2st'!$IZ$2:$IZ$317),"")</f>
        <v>0</v>
      </c>
      <c r="OL65" s="7">
        <f>IFERROR(AVERAGEIF('Данные 2st'!$Q$2:$Q$317,$A65,'Данные 2st'!$JA$2:$JA$317),"")</f>
        <v>0</v>
      </c>
      <c r="OM65" s="7">
        <f>IFERROR(AVERAGEIF('Данные 2st'!$Q$2:$Q$317,$A65,'Данные 2st'!$JB$2:$JB$317),"")</f>
        <v>0</v>
      </c>
      <c r="ON65" s="7">
        <f>IFERROR(AVERAGEIF('Данные 2st'!$Q$2:$Q$317,$A65,'Данные 2st'!$JC$2:$JC$317),"")</f>
        <v>0</v>
      </c>
      <c r="OO65" s="7">
        <f>IFERROR(AVERAGEIF('Данные 2st'!$Q$2:$Q$317,$A65,'Данные 2st'!$JD$2:$JD$317),"")</f>
        <v>0</v>
      </c>
      <c r="OP65" s="7">
        <f>IFERROR(AVERAGEIF('Данные 2st'!$Q$2:$Q$317,$A65,'Данные 2st'!$JE$2:$JE$317),"")</f>
        <v>0</v>
      </c>
      <c r="OQ65" s="7">
        <f>IFERROR(AVERAGEIF('Данные 2st'!$Q$2:$Q$317,$A65,'Данные 2st'!$JF$2:$JF$317),"")</f>
        <v>0</v>
      </c>
      <c r="OR65" s="7">
        <f>IFERROR(AVERAGEIF('Данные 2st'!$Q$2:$Q$317,$A65,'Данные 2st'!$JG$2:$JG$317),"")</f>
        <v>0</v>
      </c>
      <c r="OS65" s="7">
        <f>IFERROR(AVERAGEIF('Данные 2st'!$Q$2:$Q$317,$A65,'Данные 2st'!$JH$2:$JH$317),"")</f>
        <v>0</v>
      </c>
      <c r="OT65" s="7">
        <f>IFERROR(AVERAGEIF('Данные 2st'!$Q$2:$Q$317,$A65,'Данные 2st'!$JI$2:$JI$317),"")</f>
        <v>438</v>
      </c>
      <c r="OU65" s="7">
        <f>IFERROR(AVERAGEIF('Данные 2st'!$Q$2:$Q$317,$A65,'Данные 2st'!$JJ$2:$JJ$317),"")</f>
        <v>408</v>
      </c>
      <c r="OV65" s="7">
        <f>IFERROR(AVERAGEIF('Данные 2st'!$Q$2:$Q$317,$A65,'Данные 2st'!$JK$2:$JK$317),"")</f>
        <v>296</v>
      </c>
      <c r="OW65" s="7">
        <f>IFERROR(AVERAGEIF('Данные 2st'!$Q$2:$Q$317,$A65,'Данные 2st'!$JL$2:$JL$317),"")</f>
        <v>406</v>
      </c>
      <c r="OX65" s="7">
        <f>IFERROR(AVERAGEIF('Данные 2st'!$Q$2:$Q$317,$A65,'Данные 2st'!$JM$2:$JM$317),"")</f>
        <v>306</v>
      </c>
      <c r="OY65" s="7">
        <f>IFERROR(AVERAGEIF('Данные 2st'!$Q$2:$Q$317,$A65,'Данные 2st'!$JP$2:$JP$317),"")</f>
        <v>200</v>
      </c>
      <c r="OZ65" s="7">
        <f>IFERROR(AVERAGEIF('Данные 2st'!$Q$2:$Q$317,$A65,'Данные 2st'!$JQ$2:$JQ$317),"")</f>
        <v>245</v>
      </c>
      <c r="PA65" s="7">
        <f>IFERROR(AVERAGEIF('Данные 2st'!$Q$2:$Q$317,$A65,'Данные 2st'!$JR$2:$JR$317),"")</f>
        <v>323</v>
      </c>
      <c r="PB65" s="7">
        <f>IFERROR(AVERAGEIF('Данные 2st'!$Q$2:$Q$317,$A65,'Данные 2st'!$JS$2:$JS$317),"")</f>
        <v>250</v>
      </c>
      <c r="PC65" s="7">
        <f>IFERROR(AVERAGEIF('Данные 2st'!$Q$2:$Q$317,$A65,'Данные 2st'!$JT$2:$JT$317),"")</f>
        <v>0</v>
      </c>
      <c r="PD65" s="7">
        <f>IFERROR(AVERAGEIF('Данные 2st'!$Q$2:$Q$317,$A65,'Данные 2st'!$JU$2:$JU$317),"")</f>
        <v>0</v>
      </c>
      <c r="PE65" s="7">
        <f>IFERROR(AVERAGEIF('Данные 2st'!$Q$2:$Q$317,$A65,'Данные 2st'!$JV$2:$JV$317),"")</f>
        <v>318</v>
      </c>
      <c r="PF65" s="7">
        <f>IFERROR(AVERAGEIF('Данные 2st'!$Q$2:$Q$317,$A65,'Данные 2st'!$JW$2:$JW$317),"")</f>
        <v>308</v>
      </c>
      <c r="PG65" s="7">
        <f>IFERROR(AVERAGEIF('Данные 2st'!$Q$2:$Q$317,$A65,'Данные 2st'!$KF$2:$KF$317),"")</f>
        <v>0.19</v>
      </c>
      <c r="PH65" s="7">
        <f>IFERROR(AVERAGEIF('Данные 2st'!$Q$2:$Q$317,$A65,'Данные 2st'!$KG$2:$KG$317),"")</f>
        <v>0.12</v>
      </c>
      <c r="PI65" s="7">
        <f>IFERROR(AVERAGEIF('Данные 2st'!$Q$2:$Q$317,$A65,'Данные 2st'!$KM$2:$KM$317),"")</f>
        <v>0.5</v>
      </c>
      <c r="PJ65" s="7">
        <f>IFERROR(AVERAGEIF('Данные 2st'!$Q$2:$Q$317,$A65,'Данные 2st'!$KN$2:$KN$317),"")</f>
        <v>2</v>
      </c>
      <c r="PK65" s="7">
        <f>IFERROR(AVERAGEIF('Данные 2st'!$Q$2:$Q$317,$A65,'Данные 2st'!$KO$2:$KO$317),"")</f>
        <v>0</v>
      </c>
      <c r="PL65" s="7">
        <f>IFERROR(AVERAGEIF('Данные 2st'!$Q$2:$Q$317,$A65,'Данные 2st'!$KP$2:$KP$317),"")</f>
        <v>0</v>
      </c>
      <c r="PM65" s="7">
        <f>IFERROR(AVERAGEIF('Данные 2st'!$Q$2:$Q$317,$A65,'Данные 2st'!$KQ$2:$KQ$317),"")</f>
        <v>1</v>
      </c>
      <c r="PN65" s="7">
        <f>IFERROR(AVERAGEIF('Данные 2st'!$Q$2:$Q$317,$A65,'Данные 2st'!$KR$2:$KR$317),"")</f>
        <v>1</v>
      </c>
      <c r="PO65" s="7">
        <f>IFERROR(AVERAGEIF('Данные 2st'!$Q$2:$Q$317,$A65,'Данные 2st'!$KS$2:$KS$317),"")</f>
        <v>0.2</v>
      </c>
      <c r="PP65" s="7">
        <f>IFERROR(AVERAGEIF('Данные 2st'!$Q$2:$Q$317,$A65,'Данные 2st'!$KT$2:$KT$317),"")</f>
        <v>2.9</v>
      </c>
      <c r="PQ65" s="7">
        <f>IFERROR(AVERAGEIF('Данные 2st'!$Q$2:$Q$317,$A65,'Данные 2st'!$KU$2:$KU$317),"")</f>
        <v>0</v>
      </c>
      <c r="PR65" s="7">
        <f>IFERROR(AVERAGEIF('Данные 2st'!$Q$2:$Q$317,$A65,'Данные 2st'!$KV$2:$KV$317),"")</f>
        <v>0</v>
      </c>
      <c r="PS65" s="7">
        <f>IFERROR(AVERAGEIF('Данные 2st'!$Q$2:$Q$317,$A65,'Данные 2st'!$KW$2:$KW$317),"")</f>
        <v>1</v>
      </c>
      <c r="PT65" s="7">
        <f>IFERROR(AVERAGEIF('Данные 2st'!$Q$2:$Q$317,$A65,'Данные 2st'!$KX$2:$KX$317),"")</f>
        <v>1</v>
      </c>
      <c r="PU65" s="7">
        <f>IFERROR(AVERAGEIF('Данные 2st'!$Q$2:$Q$317,$A65,'Данные 2st'!$KY$2:$KY$317),"")</f>
        <v>0</v>
      </c>
      <c r="PV65" s="7">
        <f>IFERROR(AVERAGEIF('Данные 2st'!$Q$2:$Q$317,$A65,'Данные 2st'!$KZ$2:$KZ$317),"")</f>
        <v>0</v>
      </c>
      <c r="PW65" s="7">
        <f>IFERROR(AVERAGEIF('Данные 2st'!$Q$2:$Q$317,$A65,'Данные 2st'!$LA$2:$LA$317),"")</f>
        <v>0</v>
      </c>
      <c r="PX65" s="7">
        <f>IFERROR(AVERAGEIF('Данные 2st'!$Q$2:$Q$317,$A65,'Данные 2st'!$LB$2:$LB$317),"")</f>
        <v>0</v>
      </c>
      <c r="PY65" s="7">
        <f>IFERROR(AVERAGEIF('Данные 2st'!$Q$2:$Q$317,$A65,'Данные 2st'!$LC$2:$LC$317),"")</f>
        <v>0</v>
      </c>
      <c r="PZ65" s="7">
        <f>IFERROR(AVERAGEIF('Данные 2st'!$Q$2:$Q$317,$A65,'Данные 2st'!$LD$2:$LD$317),"")</f>
        <v>0</v>
      </c>
      <c r="QA65" s="7">
        <f>IFERROR(AVERAGEIF('Данные 2st'!$Q$2:$Q$317,$A65,'Данные 2st'!$LE$2:$LE$317),"")</f>
        <v>0</v>
      </c>
      <c r="QB65" s="7">
        <f>IFERROR(AVERAGEIF('Данные 2st'!$Q$2:$Q$317,$A65,'Данные 2st'!$LF$2:$LF$317),"")</f>
        <v>0</v>
      </c>
      <c r="QC65" s="7">
        <f>IFERROR(AVERAGEIF('Данные 2st'!$Q$2:$Q$317,$A65,'Данные 2st'!$LG$2:$LG$317),"")</f>
        <v>0</v>
      </c>
      <c r="QD65" s="7">
        <f>IFERROR(AVERAGEIF('Данные 2st'!$Q$2:$Q$317,$A65,'Данные 2st'!$LH$2:$LH$317),"")</f>
        <v>3</v>
      </c>
      <c r="QE65" s="7">
        <f>IFERROR(AVERAGEIF('Данные 2st'!$Q$2:$Q$317,$A65,'Данные 2st'!$LJ$2:$LJ$317),"")</f>
        <v>0</v>
      </c>
      <c r="QF65" s="7">
        <f>IFERROR(AVERAGEIF('Данные 2st'!$Q$2:$Q$317,$A65,'Данные 2st'!$LK$2:$LK$317),"")</f>
        <v>6</v>
      </c>
      <c r="QG65" s="7">
        <f>IFERROR(AVERAGEIF('Данные 2st'!$Q$2:$Q$317,$A65,'Данные 2st'!$LL$2:$LL$317),"")</f>
        <v>7</v>
      </c>
      <c r="QH65" s="7">
        <f>IFERROR(AVERAGEIF('Данные 2st'!$Q$2:$Q$317,$A65,'Данные 2st'!$LM$2:$LM$317),"")</f>
        <v>9</v>
      </c>
      <c r="QI65" s="7">
        <f>IFERROR(AVERAGEIF('Данные 2st'!$Q$2:$Q$317,$A65,'Данные 2st'!$LN$2:$LN$317),"")</f>
        <v>0.4</v>
      </c>
      <c r="QJ65" s="7">
        <f>IFERROR(AVERAGEIF('Данные 2st'!$Q$2:$Q$317,$A65,'Данные 2st'!$LO$2:$LO$317),"")</f>
        <v>0.1</v>
      </c>
      <c r="QK65" s="7">
        <f>IFERROR(AVERAGEIF('Данные 2st'!$Q$2:$Q$317,$A65,'Данные 2st'!$LP$2:$LP$317),"")</f>
        <v>0</v>
      </c>
      <c r="QL65" s="7">
        <f>IFERROR(AVERAGEIF('Данные 2st'!$Q$2:$Q$317,$A65,'Данные 2st'!$LQ$2:$LQ$317),"")</f>
        <v>0</v>
      </c>
      <c r="QM65" s="7">
        <f>IFERROR(AVERAGEIF('Данные 2st'!$Q$2:$Q$317,$A65,'Данные 2st'!$LW$2:$LW$317),"")</f>
        <v>1.8</v>
      </c>
      <c r="QN65" s="7">
        <f>IFERROR(AVERAGEIF('Данные 2st'!$Q$2:$Q$317,$A65,'Данные 2st'!$LX$2:$LX$317),"")</f>
        <v>1.8</v>
      </c>
      <c r="QO65" s="7">
        <f>IFERROR(AVERAGEIF('Данные 2st'!$Q$2:$Q$317,$A65,'Данные 2st'!$LY$2:$LY$317),"")</f>
        <v>2</v>
      </c>
      <c r="QP65" s="7">
        <f>IFERROR(AVERAGEIF('Данные 2st'!$Q$2:$Q$317,$A65,'Данные 2st'!$LZ$2:$LZ$317),"")</f>
        <v>2</v>
      </c>
      <c r="QQ65" s="7">
        <f>IFERROR(AVERAGEIF('Данные 2st'!$Q$2:$Q$317,$A65,'Данные 2st'!$MB$2:$MB$317),"")</f>
        <v>4</v>
      </c>
      <c r="QR65" s="7">
        <f>IFERROR(AVERAGEIF('Данные 2st'!$Q$2:$Q$317,$A65,'Данные 2st'!$MG$2:$MG$317),"")</f>
        <v/>
      </c>
      <c r="QS65" s="7">
        <f>IFERROR(AVERAGEIF('Данные 2st'!$Q$2:$Q$317,$A65,'Данные 2st'!$MH$2:$MH$317),"")</f>
        <v/>
      </c>
      <c r="QT65" s="7">
        <f>IFERROR(AVERAGEIF('Данные 2st'!$Q$2:$Q$317,$A65,'Данные 2st'!$MI$2:$MI$317),"")</f>
        <v>0</v>
      </c>
      <c r="QU65" s="7">
        <f>IFERROR(AVERAGEIF('Данные 2st'!$Q$2:$Q$317,$A65,'Данные 2st'!$MJ$2:$MJ$317),"")</f>
        <v>0</v>
      </c>
      <c r="QV65" s="7">
        <f>IFERROR(AVERAGEIF('Данные 2st'!$Q$2:$Q$317,$A65,'Данные 2st'!$MK$2:$MK$317),"")</f>
        <v/>
      </c>
      <c r="QW65" s="7">
        <f>IFERROR(AVERAGEIF('Данные 2st'!$Q$2:$Q$317,$A65,'Данные 2st'!$MM$2:$MM$317),"")</f>
        <v>452</v>
      </c>
      <c r="QX65" s="7">
        <f>IFERROR(AVERAGEIF('Данные 2st'!$Q$2:$Q$317,$A65,'Данные 2st'!$MQ$2:$MQ$317),"")</f>
        <v/>
      </c>
      <c r="QY65" s="7">
        <f>IFERROR(AVERAGEIF('Данные 2st'!$Q$2:$Q$317,$A65,'Данные 2st'!$MR$2:$MR$317),"")</f>
        <v/>
      </c>
      <c r="QZ65" s="7">
        <f>IFERROR(AVERAGEIF('Данные 2st'!$Q$2:$Q$317,$A65,'Данные 2st'!$MS$2:$MS$317),"")</f>
        <v/>
      </c>
      <c r="RA65" s="7">
        <f>IFERROR(AVERAGEIF('Данные 2st'!$Q$2:$Q$317,$A65,'Данные 2st'!$MT$2:$MT$317),"")</f>
        <v/>
      </c>
      <c r="RB65" s="7">
        <f>IFERROR(AVERAGEIF('Данные 2st'!$Q$2:$Q$317,$A65,'Данные 2st'!$MU$2:$MU$317),"")</f>
        <v/>
      </c>
      <c r="RC65" s="7">
        <f>IFERROR(AVERAGEIF('Данные 2st'!$Q$2:$Q$317,$A65,'Данные 2st'!$MV$2:$MV$317),"")</f>
        <v/>
      </c>
      <c r="RD65" s="7">
        <f>IFERROR(AVERAGEIF('Данные 2st'!$Q$2:$Q$317,$A65,'Данные 2st'!$MW$2:$MW$317),"")</f>
        <v/>
      </c>
      <c r="RE65" s="7">
        <f>IFERROR(AVERAGEIF('Данные 2st'!$Q$2:$Q$317,$A65,'Данные 2st'!$MX$2:$MX$317),"")</f>
        <v/>
      </c>
      <c r="RF65" s="7">
        <f>IFERROR(AVERAGEIF('Данные 2st'!$Q$2:$Q$317,$A65,'Данные 2st'!$MY$2:$MY$317),"")</f>
        <v/>
      </c>
      <c r="RG65" s="7">
        <f>IFERROR(AVERAGEIF('Данные 2st'!$Q$2:$Q$317,$A65,'Данные 2st'!$MZ$2:$MZ$317),"")</f>
        <v/>
      </c>
      <c r="RH65" s="7">
        <f>IFERROR(AVERAGEIF('Данные 2st'!$Q$2:$Q$317,$A65,'Данные 2st'!$NA$2:$NA$317),"")</f>
        <v/>
      </c>
      <c r="RI65" s="7">
        <f>IFERROR(AVERAGEIF('Данные 2st'!$Q$2:$Q$317,$A65,'Данные 2st'!$NB$2:$NB$317),"")</f>
        <v/>
      </c>
      <c r="RJ65" s="7">
        <f>IFERROR(AVERAGEIF('Данные 2st'!$Q$2:$Q$317,$A65,'Данные 2st'!$NC$2:$NC$317),"")</f>
        <v/>
      </c>
      <c r="RK65" s="7">
        <f>IFERROR(AVERAGEIF('Данные 2st'!$Q$2:$Q$317,$A65,'Данные 2st'!$ND$2:$ND$317),"")</f>
        <v/>
      </c>
      <c r="RL65" s="7">
        <f>IFERROR(AVERAGEIF('Данные 2st'!$Q$2:$Q$317,$A65,'Данные 2st'!$NE$2:$NE$317),"")</f>
        <v/>
      </c>
      <c r="RM65" s="7">
        <f>IFERROR(AVERAGEIF('Данные 2st'!$Q$2:$Q$317,$A65,'Данные 2st'!$NF$2:$NF$317),"")</f>
        <v/>
      </c>
      <c r="RN65" s="7">
        <f>IFERROR(AVERAGEIF('Данные 2st'!$Q$2:$Q$317,$A65,'Данные 2st'!$NG$2:$NG$317),"")</f>
        <v/>
      </c>
      <c r="RO65" s="7">
        <f>IFERROR(AVERAGEIF('Данные 2st'!$Q$2:$Q$317,$A65,'Данные 2st'!$NH$2:$NH$317),"")</f>
        <v/>
      </c>
      <c r="RP65" s="7">
        <f>IFERROR(AVERAGEIF('Данные 2st'!$Q$2:$Q$317,$A65,'Данные 2st'!$NJ$2:$NJ$317),"")</f>
        <v/>
      </c>
      <c r="RQ65" s="7">
        <f>IFERROR(AVERAGEIF('Данные 2st'!$Q$2:$Q$317,$A65,'Данные 2st'!$NK$2:$NK$317),"")</f>
        <v/>
      </c>
      <c r="RR65" s="7">
        <f>IFERROR(AVERAGEIF('Данные 2st'!$Q$2:$Q$317,$A65,'Данные 2st'!$NM$2:$NM$317),"")</f>
        <v/>
      </c>
      <c r="RS65" s="7">
        <f>IFERROR(AVERAGEIF('Данные 2st'!$Q$2:$Q$317,$A65,'Данные 2st'!$NN$2:$NN$317),"")</f>
        <v/>
      </c>
      <c r="RT65" s="7">
        <f>IFERROR(AVERAGEIF('Данные 2st'!$Q$2:$Q$317,$A65,'Данные 2st'!$NO$2:$NO$317),"")</f>
        <v/>
      </c>
      <c r="RU65" s="7">
        <f>IFERROR(AVERAGEIF('Данные 2st'!$Q$2:$Q$317,$A65,'Данные 2st'!$NP$2:$NP$317),"")</f>
        <v/>
      </c>
      <c r="RV65" s="7">
        <f>IFERROR(AVERAGEIF('Данные 2st'!$Q$2:$Q$317,$A65,'Данные 2st'!$NQ$2:$NQ$317),"")</f>
        <v/>
      </c>
      <c r="RW65" s="7">
        <f>IFERROR(AVERAGEIF('Данные 2st'!$Q$2:$Q$317,$A65,'Данные 2st'!$NR$2:$NR$317),"")</f>
        <v/>
      </c>
      <c r="RX65" s="7">
        <f>IFERROR(AVERAGEIF('Данные 2st'!$Q$2:$Q$317,$A65,'Данные 2st'!$NS$2:$NS$317),"")</f>
        <v/>
      </c>
      <c r="RY65" s="7">
        <f>IFERROR(AVERAGEIF('Данные 2st'!$Q$2:$Q$317,$A65,'Данные 2st'!$NT$2:$NT$317),"")</f>
        <v/>
      </c>
      <c r="RZ65" s="7">
        <f>IFERROR(AVERAGEIF('Данные 2st'!$Q$2:$Q$317,$A65,'Данные 2st'!$OK$2:$OK$317),"")</f>
        <v>61</v>
      </c>
      <c r="SA65" s="7">
        <f>IFERROR(AVERAGEIF('Данные 2st'!$Q$2:$Q$317,$A65,'Данные 2st'!$OL$2:$OL$317),"")</f>
        <v>61</v>
      </c>
      <c r="SB65" s="7">
        <f>IFERROR(AVERAGEIF('Данные 2st'!$Q$2:$Q$317,$A65,'Данные 2st'!$ON$2:$ON$317),"")</f>
        <v>1</v>
      </c>
      <c r="SC65" s="7">
        <f>IFERROR(AVERAGEIF('Данные 2st'!$Q$2:$Q$317,$A65,'Данные 2st'!$OO$2:$OO$317),"")</f>
        <v>2194</v>
      </c>
      <c r="SD65" s="7">
        <f>IFERROR(AVERAGEIF('Данные 2st'!$Q$2:$Q$317,$A65,'Данные 2st'!$OP$2:$OP$317),"")</f>
        <v>61</v>
      </c>
      <c r="SE65" s="7">
        <f>IFERROR(AVERAGEIF('Данные 2st'!$Q$2:$Q$317,$A65,'Данные 2st'!$OQ$2:$OQ$317),"")</f>
        <v>61</v>
      </c>
      <c r="SF65" s="7">
        <f>IFERROR(AVERAGEIF('Данные 2st'!$Q$2:$Q$317,$A65,'Данные 2st'!$OS$2:$OS$317),"")</f>
        <v>1</v>
      </c>
      <c r="SG65" s="7">
        <f>IFERROR(AVERAGEIF('Данные 2st'!$Q$2:$Q$317,$A65,'Данные 2st'!$OT$2:$OT$317),"")</f>
        <v>2207</v>
      </c>
      <c r="SH65" s="7">
        <f>IFERROR(AVERAGEIF('Данные 2st'!$Q$2:$Q$317,$A65,'Данные 2st'!$OU$2:$OU$317),"")</f>
        <v>65</v>
      </c>
      <c r="SI65" s="7">
        <f>IFERROR(AVERAGEIF('Данные 2st'!$Q$2:$Q$317,$A65,'Данные 2st'!$OV$2:$OV$317),"")</f>
        <v>65</v>
      </c>
      <c r="SJ65" s="7">
        <f>IFERROR(AVERAGEIF('Данные 2st'!$Q$2:$Q$317,$A65,'Данные 2st'!$OX$2:$OX$317),"")</f>
        <v>2</v>
      </c>
      <c r="SK65" s="7">
        <f>IFERROR(AVERAGEIF('Данные 2st'!$Q$2:$Q$317,$A65,'Данные 2st'!$OY$2:$OY$317),"")</f>
        <v>48626</v>
      </c>
      <c r="SL65" s="7">
        <f>IFERROR(AVERAGEIF('Данные 2st'!$Q$2:$Q$317,$A65,'Данные 2st'!$OZ$2:$OZ$317),"")</f>
        <v>51</v>
      </c>
      <c r="SM65" s="7">
        <f>IFERROR(AVERAGEIF('Данные 2st'!$Q$2:$Q$317,$A65,'Данные 2st'!$PA$2:$PA$317),"")</f>
        <v>52</v>
      </c>
      <c r="SN65" s="7">
        <f>IFERROR(AVERAGEIF('Данные 2st'!$Q$2:$Q$317,$A65,'Данные 2st'!$PC$2:$PC$317),"")</f>
        <v>1</v>
      </c>
      <c r="SO65" s="7">
        <f>IFERROR(AVERAGEIF('Данные 2st'!$Q$2:$Q$317,$A65,'Данные 2st'!$PD$2:$PD$317),"")</f>
        <v>2239</v>
      </c>
      <c r="SP65" s="7">
        <f>IFERROR(AVERAGEIF('Данные 2st'!$Q$2:$Q$317,$A65,'Данные 2st'!$PF$2:$PF$317),"")</f>
        <v>495</v>
      </c>
      <c r="SQ65" s="7">
        <f>IFERROR(AVERAGEIF('Данные 2st'!$Q$2:$Q$317,$A65,'Данные 2st'!$PG$2:$PG$317),"")</f>
        <v>35</v>
      </c>
      <c r="SR65" s="7">
        <f>IFERROR(AVERAGEIF('Данные 2st'!$Q$2:$Q$317,$A65,'Данные 2st'!$PH$2:$PH$317),"")</f>
        <v>471</v>
      </c>
      <c r="SS65" s="7">
        <f>IFERROR(AVERAGEIF('Данные 2st'!$Q$2:$Q$317,$A65,'Данные 2st'!$PI$2:$PI$317),"")</f>
        <v>0</v>
      </c>
      <c r="ST65" s="7">
        <f>IFERROR(AVERAGEIF('Данные 2st'!$Q$2:$Q$317,$A65,'Данные 2st'!$PJ$2:$PJ$317),"")</f>
        <v>87.6</v>
      </c>
      <c r="SU65" s="7">
        <f>IFERROR(AVERAGEIF('Данные 2st'!$Q$2:$Q$317,$A65,'Данные 2st'!$PK$2:$PK$317),"")</f>
        <v/>
      </c>
      <c r="SV65" s="7">
        <f>IFERROR(AVERAGEIF('Данные 2st'!$Q$2:$Q$317,$A65,'Данные 2st'!$PL$2:$PL$317),"")</f>
        <v>1144.6</v>
      </c>
      <c r="SW65" s="7">
        <f>IFERROR(AVERAGEIF('Данные 2st'!$Q$2:$Q$317,$A65,'Данные 2st'!$PM$2:$PM$317),"")</f>
        <v>1139</v>
      </c>
      <c r="SX65" s="7">
        <f>IFERROR(AVERAGEIF('Данные 2st'!$Q$2:$Q$317,$A65,'Данные 2st'!$PN$2:$PN$317),"")</f>
        <v>105</v>
      </c>
      <c r="SY65" s="7">
        <f>IFERROR(AVERAGEIF('Данные 2st'!$Q$2:$Q$317,$A65,'Данные 2st'!$PO$2:$PO$317),"")</f>
        <v>10</v>
      </c>
      <c r="SZ65" s="7">
        <f>IFERROR(AVERAGEIF('Данные 2st'!$Q$2:$Q$317,$A65,'Данные 2st'!$PP$2:$PP$317),"")</f>
        <v>12</v>
      </c>
      <c r="TA65" s="7">
        <f>IFERROR(AVERAGEIF('Данные 2st'!$Q$2:$Q$317,$A65,'Данные 2st'!$PQ$2:$PQ$317),"")</f>
        <v>5</v>
      </c>
      <c r="TB65" s="7">
        <f>IFERROR(AVERAGEIF('Данные 2st'!$Q$2:$Q$317,$A65,'Данные 2st'!$PR$2:$PR$317),"")</f>
        <v>5</v>
      </c>
      <c r="TC65" s="7">
        <f>IFERROR(AVERAGEIF('Данные 2st'!$Q$2:$Q$317,$A65,'Данные 2st'!$PS$2:$PS$317),"")</f>
        <v>0</v>
      </c>
      <c r="TD65" s="7">
        <f>IFERROR(AVERAGEIF('Данные 2st'!$Q$2:$Q$317,$A65,'Данные 2st'!$PT$2:$PT$317),"")</f>
        <v>252</v>
      </c>
      <c r="TE65" s="7">
        <f>IFERROR(AVERAGEIF('Данные 2st'!$Q$2:$Q$317,$A65,'Данные 2st'!$PU$2:$PU$317),"")</f>
        <v>10</v>
      </c>
      <c r="TF65" s="7">
        <f>IFERROR(AVERAGEIF('Данные 2st'!$Q$2:$Q$317,$A65,'Данные 2st'!$PX$2:$PX$317),"")</f>
        <v>0</v>
      </c>
      <c r="TG65" s="7">
        <f>IFERROR(AVERAGEIF('Данные 2st'!$Q$2:$Q$317,$A65,'Данные 2st'!$PY$2:$PY$317),"")</f>
        <v>0</v>
      </c>
      <c r="TH65" s="7">
        <f>IFERROR(AVERAGEIF('Данные 2st'!$Q$2:$Q$317,$A65,'Данные 2st'!$PZ$2:$PZ$317),"")</f>
        <v>0</v>
      </c>
      <c r="TI65" s="7">
        <f>IFERROR(AVERAGEIF('Данные 2st'!$Q$2:$Q$317,$A65,'Данные 2st'!$QA$2:$QA$317),"")</f>
        <v>0</v>
      </c>
      <c r="TJ65" s="7">
        <f>IFERROR(AVERAGEIF('Данные 2st'!$Q$2:$Q$317,$A65,'Данные 2st'!$QB$2:$QB$317),"")</f>
        <v>0</v>
      </c>
      <c r="TK65" s="7">
        <f>IFERROR(AVERAGEIF('Данные 2st'!$Q$2:$Q$317,$A65,'Данные 2st'!$QC$2:$QC$317),"")</f>
        <v>0</v>
      </c>
      <c r="TL65" s="7">
        <f>IFERROR(AVERAGEIF('Данные 2st'!$Q$2:$Q$317,$A65,'Данные 2st'!$QD$2:$QD$317),"")</f>
        <v>0</v>
      </c>
      <c r="TM65" s="7">
        <f>IFERROR(AVERAGEIF('Данные 2st'!$Q$2:$Q$317,$A65,'Данные 2st'!$QE$2:$QE$317),"")</f>
        <v>-1</v>
      </c>
      <c r="TN65" s="7">
        <f>IFERROR(AVERAGEIF('Данные 2st'!$Q$2:$Q$317,$A65,'Данные 2st'!$QF$2:$QF$317),"")</f>
        <v>1</v>
      </c>
      <c r="TO65" s="7">
        <f>IFERROR(AVERAGEIF('Данные 2st'!$Q$2:$Q$317,$A65,'Данные 2st'!$QG$2:$QG$317),"")</f>
        <v>0</v>
      </c>
      <c r="TP65" s="7">
        <f>IFERROR(AVERAGEIF('Данные 2st'!$Q$2:$Q$317,$A65,'Данные 2st'!$QH$2:$QH$317),"")</f>
        <v>5</v>
      </c>
      <c r="TQ65" s="7">
        <f>IFERROR(AVERAGEIF('Данные 2st'!$Q$2:$Q$317,$A65,'Данные 2st'!$QI$2:$QI$317),"")</f>
        <v>5</v>
      </c>
      <c r="TR65" s="7">
        <f>IFERROR(AVERAGEIF('Данные 2st'!$Q$2:$Q$317,$A65,'Данные 2st'!$QJ$2:$QJ$317),"")</f>
        <v>5</v>
      </c>
      <c r="TS65" s="7">
        <f>IFERROR(AVERAGEIF('Данные 2st'!$Q$2:$Q$317,$A65,'Данные 2st'!$QK$2:$QK$317),"")</f>
        <v>214</v>
      </c>
      <c r="TT65" s="7">
        <f>IFERROR(AVERAGEIF('Данные 2st'!$Q$2:$Q$317,$A65,'Данные 2st'!$QL$2:$QL$317),"")</f>
        <v>472</v>
      </c>
      <c r="TU65" s="7">
        <f>IFERROR(AVERAGEIF('Данные 2st'!$Q$2:$Q$317,$A65,'Данные 2st'!$QM$2:$QM$317),"")</f>
        <v>7.5</v>
      </c>
      <c r="TV65" s="7">
        <f>IFERROR(AVERAGEIF('Данные 2st'!$Q$2:$Q$317,$A65,'Данные 2st'!$QN$2:$QN$317),"")</f>
        <v>1464.3</v>
      </c>
      <c r="TW65" s="7">
        <f>IFERROR(AVERAGEIF('Данные 2st'!$Q$2:$Q$317,$A65,'Данные 2st'!$QQ$2:$QQ$317),"")</f>
        <v>0</v>
      </c>
      <c r="TX65" s="7">
        <f>IFERROR(AVERAGEIF('Данные 2st'!$Q$2:$Q$317,$A65,'Данные 2st'!$QS$2:$QS$317),"")</f>
        <v>30</v>
      </c>
      <c r="TY65" s="7">
        <f>IFERROR(AVERAGEIF('Данные 2st'!$Q$2:$Q$317,$A65,'Данные 2st'!$QT$2:$QT$317),"")</f>
        <v>40</v>
      </c>
    </row>
    <row r="66" spans="1:545" ht="32" customHeight="1">
      <c r="A66" s="11" t="s">
        <v>2616</v>
      </c>
      <c r="B66">
        <f>COUNTIF('Данные 1st'!$S$2:$S$317,$A66)</f>
        <v>1</v>
      </c>
      <c r="C66" s="6" t="s">
        <v>2336</v>
      </c>
      <c r="D66" s="6" t="s">
        <v>513</v>
      </c>
      <c r="E66" s="6" t="s">
        <v>517</v>
      </c>
      <c r="F66" s="6" t="s">
        <v>2614</v>
      </c>
      <c r="G66" s="7">
        <f>IFERROR(AVERAGEIF('Данные 1st'!$S$2:$S$317,$A66,'Данные 1st'!$AE$2:$AE$317),"")</f>
        <v>266</v>
      </c>
      <c r="H66" s="7">
        <f>IFERROR(AVERAGEIF('Данные 1st'!$S$2:$S$317,$A66,'Данные 1st'!$AF$2:$AF$317),"")</f>
        <v>1.5</v>
      </c>
      <c r="I66" s="7">
        <f>IFERROR(AVERAGEIF('Данные 1st'!$S$2:$S$317,$A66,'Данные 1st'!$AJ$2:$AJ$317),"")</f>
        <v>245</v>
      </c>
      <c r="J66" s="7">
        <f>IFERROR(AVERAGEIF('Данные 1st'!$S$2:$S$317,$A66,'Данные 1st'!$AL$2:$AL$317),"")</f>
        <v>1.5</v>
      </c>
      <c r="K66" s="7">
        <f>IFERROR(AVERAGEIF('Данные 1st'!$S$2:$S$317,$A66,'Данные 1st'!$AR$2:$AR$317),"")</f>
        <v>283</v>
      </c>
      <c r="L66" s="7">
        <f>IFERROR(AVERAGEIF('Данные 1st'!$S$2:$S$317,$A66,'Данные 1st'!$AS$2:$AS$317),"")</f>
        <v>1.5</v>
      </c>
      <c r="M66" s="7">
        <f>IFERROR(AVERAGEIF('Данные 1st'!$S$2:$S$317,$A66,'Данные 1st'!$AY$2:$AY$317),"")</f>
        <v>345</v>
      </c>
      <c r="N66" s="7">
        <f>IFERROR(AVERAGEIF('Данные 1st'!$S$2:$S$317,$A66,'Данные 1st'!$AZ$2:$AZ$317),"")</f>
        <v>1.5</v>
      </c>
      <c r="O66" s="7">
        <f>IFERROR(AVERAGEIF('Данные 1st'!$S$2:$S$317,$A66,'Данные 1st'!$BF$2:$BF$317),"")</f>
        <v>287.5</v>
      </c>
      <c r="P66" s="7">
        <f>IFERROR(AVERAGEIF('Данные 1st'!$S$2:$S$317,$A66,'Данные 1st'!$BG$2:$BG$317),"")</f>
        <v>1.5</v>
      </c>
      <c r="Q66" s="7">
        <f>IFERROR(AVERAGEIF('Данные 1st'!$S$2:$S$317,$A66,'Данные 1st'!$BM$2:$BM$317),"")</f>
        <v/>
      </c>
      <c r="R66" s="7">
        <f>IFERROR(AVERAGEIF('Данные 1st'!$S$2:$S$317,$A66,'Данные 1st'!$BN$2:$BN$317),"")</f>
        <v>1.5</v>
      </c>
      <c r="S66" s="7">
        <f>IFERROR(AVERAGEIF('Данные 1st'!$S$2:$S$317,$A66,'Данные 1st'!$BT$2:$BT$317),"")</f>
        <v>263</v>
      </c>
      <c r="T66" s="7">
        <f>IFERROR(AVERAGEIF('Данные 1st'!$S$2:$S$317,$A66,'Данные 1st'!$BU$2:$BU$317),"")</f>
        <v>0.5</v>
      </c>
      <c r="U66" s="7">
        <f>IFERROR(AVERAGEIF('Данные 1st'!$S$2:$S$317,$A66,'Данные 1st'!$BW$2:$BW$317),"")</f>
        <v>526</v>
      </c>
      <c r="V66" s="7">
        <f>IFERROR(AVERAGEIF('Данные 1st'!$S$2:$S$317,$A66,'Данные 1st'!$BX$2:$BX$317),"")</f>
        <v>1</v>
      </c>
      <c r="W66" s="7">
        <f>IFERROR(AVERAGEIF('Данные 1st'!$S$2:$S$317,$A66,'Данные 1st'!$BZ$2:$BZ$317),"")</f>
        <v>470</v>
      </c>
      <c r="X66" s="7">
        <f>IFERROR(AVERAGEIF('Данные 1st'!$S$2:$S$317,$A66,'Данные 1st'!$CA$2:$CA$317),"")</f>
        <v>590</v>
      </c>
      <c r="Y66" s="7">
        <f>IFERROR(AVERAGEIF('Данные 1st'!$S$2:$S$317,$A66,'Данные 1st'!$CD$2:$CD$317),"")</f>
        <v>548</v>
      </c>
      <c r="Z66" s="7">
        <f>IFERROR(AVERAGEIF('Данные 1st'!$S$2:$S$317,$A66,'Данные 1st'!$CF$2:$CF$317),"")</f>
        <v>15</v>
      </c>
      <c r="AA66" s="7">
        <f>IFERROR(AVERAGEIF('Данные 1st'!$S$2:$S$317,$A66,'Данные 1st'!$CI$2:$CI$317),"")</f>
        <v>60</v>
      </c>
      <c r="AB66" s="7">
        <f>IFERROR(AVERAGEIF('Данные 1st'!$S$2:$S$317,$A66,'Данные 1st'!$CJ$2:$CJ$317),"")</f>
        <v>1200</v>
      </c>
      <c r="AC66" s="7">
        <f>IFERROR(AVERAGEIF('Данные 1st'!$S$2:$S$317,$A66,'Данные 1st'!$CK$2:$CK$317),"")</f>
        <v>2</v>
      </c>
      <c r="AD66" s="7">
        <f>IFERROR(AVERAGEIF('Данные 1st'!$S$2:$S$317,$A66,'Данные 1st'!$CL$2:$CL$317),"")</f>
        <v>1301</v>
      </c>
      <c r="AE66" s="7">
        <f>IFERROR(AVERAGEIF('Данные 1st'!$S$2:$S$317,$A66,'Данные 1st'!$CM$2:$CM$317),"")</f>
        <v>2</v>
      </c>
      <c r="AF66" s="7">
        <f>IFERROR(AVERAGEIF('Данные 1st'!$S$2:$S$317,$A66,'Данные 1st'!$CT$2:$CT$317),"")</f>
        <v>490</v>
      </c>
      <c r="AG66" s="7">
        <f>IFERROR(AVERAGEIF('Данные 1st'!$S$2:$S$317,$A66,'Данные 1st'!$CU$2:$CU$317),"")</f>
        <v>5</v>
      </c>
      <c r="AH66" s="7">
        <f>IFERROR(AVERAGEIF('Данные 1st'!$S$2:$S$317,$A66,'Данные 1st'!$CV$2:$CV$317),"")</f>
        <v>1.2</v>
      </c>
      <c r="AI66" s="7">
        <f>IFERROR(AVERAGEIF('Данные 1st'!$S$2:$S$317,$A66,'Данные 1st'!$CW$2:$CW$317),"")</f>
        <v>1218</v>
      </c>
      <c r="AJ66" s="7">
        <f>IFERROR(AVERAGEIF('Данные 1st'!$S$2:$S$317,$A66,'Данные 1st'!$CX$2:$CX$317),"")</f>
        <v>847</v>
      </c>
      <c r="AK66" s="7">
        <f>IFERROR(AVERAGEIF('Данные 1st'!$S$2:$S$317,$A66,'Данные 1st'!$CZ$2:$CZ$317),"")</f>
        <v>50</v>
      </c>
      <c r="AL66" s="7">
        <f>IFERROR(AVERAGEIF('Данные 1st'!$S$2:$S$317,$A66,'Данные 1st'!$DA$2:$DA$317),"")</f>
        <v>3</v>
      </c>
      <c r="AM66" s="7">
        <f>IFERROR(AVERAGEIF('Данные 1st'!$S$2:$S$317,$A66,'Данные 1st'!$DB$2:$DB$317),"")</f>
        <v>1.28</v>
      </c>
      <c r="AN66" s="7">
        <f>IFERROR(AVERAGEIF('Данные 1st'!$S$2:$S$317,$A66,'Данные 1st'!$DC$2:$DC$317),"")</f>
        <v>1218</v>
      </c>
      <c r="AO66" s="7">
        <f>IFERROR(AVERAGEIF('Данные 1st'!$S$2:$S$317,$A66,'Данные 1st'!$DD$2:$DD$317),"")</f>
        <v>86</v>
      </c>
      <c r="AP66" s="7">
        <f>IFERROR(AVERAGEIF('Данные 1st'!$S$2:$S$317,$A66,'Данные 1st'!$DF$2:$DF$317),"")</f>
        <v>690</v>
      </c>
      <c r="AQ66" s="7">
        <f>IFERROR(AVERAGEIF('Данные 1st'!$S$2:$S$317,$A66,'Данные 1st'!$DG$2:$DG$317),"")</f>
        <v>3</v>
      </c>
      <c r="AR66" s="7">
        <f>IFERROR(AVERAGEIF('Данные 1st'!$S$2:$S$317,$A66,'Данные 1st'!$DH$2:$DH$317),"")</f>
        <v>1.18</v>
      </c>
      <c r="AS66" s="7">
        <f>IFERROR(AVERAGEIF('Данные 1st'!$S$2:$S$317,$A66,'Данные 1st'!$DI$2:$DI$317),"")</f>
        <v>1211</v>
      </c>
      <c r="AT66" s="7">
        <f>IFERROR(AVERAGEIF('Данные 1st'!$S$2:$S$317,$A66,'Данные 1st'!$DJ$2:$DJ$317),"")</f>
        <v>1303</v>
      </c>
      <c r="AU66" s="7">
        <f>IFERROR(AVERAGEIF('Данные 1st'!$S$2:$S$317,$A66,'Данные 1st'!$DL$2:$DL$317),"")</f>
        <v>575</v>
      </c>
      <c r="AV66" s="7">
        <f>IFERROR(AVERAGEIF('Данные 1st'!$S$2:$S$317,$A66,'Данные 1st'!$DM$2:$DM$317),"")</f>
        <v>3</v>
      </c>
      <c r="AW66" s="7">
        <f>IFERROR(AVERAGEIF('Данные 1st'!$S$2:$S$317,$A66,'Данные 1st'!$DN$2:$DN$317),"")</f>
        <v>1.18</v>
      </c>
      <c r="AX66" s="7">
        <f>IFERROR(AVERAGEIF('Данные 1st'!$S$2:$S$317,$A66,'Данные 1st'!$DO$2:$DO$317),"")</f>
        <v>1219</v>
      </c>
      <c r="AY66" s="7">
        <f>IFERROR(AVERAGEIF('Данные 1st'!$S$2:$S$317,$A66,'Данные 1st'!$DP$2:$DP$317),"")</f>
        <v>1063</v>
      </c>
      <c r="AZ66" s="7">
        <f>IFERROR(AVERAGEIF('Данные 1st'!$S$2:$S$317,$A66,'Данные 1st'!$DR$2:$DR$317),"")</f>
        <v/>
      </c>
      <c r="BA66" s="7">
        <f>IFERROR(AVERAGEIF('Данные 1st'!$S$2:$S$317,$A66,'Данные 1st'!$DS$2:$DS$317),"")</f>
        <v/>
      </c>
      <c r="BB66" s="7">
        <f>IFERROR(AVERAGEIF('Данные 1st'!$S$2:$S$317,$A66,'Данные 1st'!$DT$2:$DT$317),"")</f>
        <v/>
      </c>
      <c r="BC66" s="7">
        <f>IFERROR(AVERAGEIF('Данные 1st'!$S$2:$S$317,$A66,'Данные 1st'!$DU$2:$DU$317),"")</f>
        <v/>
      </c>
      <c r="BD66" s="7">
        <f>IFERROR(AVERAGEIF('Данные 1st'!$S$2:$S$317,$A66,'Данные 1st'!$DV$2:$DV$317),"")</f>
        <v/>
      </c>
      <c r="BE66" s="7">
        <f>IFERROR(AVERAGEIF('Данные 1st'!$S$2:$S$317,$A66,'Данные 1st'!$DX$2:$DX$317),"")</f>
        <v>7.5</v>
      </c>
      <c r="BF66" s="7">
        <f>IFERROR(AVERAGEIF('Данные 1st'!$S$2:$S$317,$A66,'Данные 1st'!$EA$2:$EA$317),"")</f>
        <v>1288.9</v>
      </c>
      <c r="BG66" s="7">
        <f>IFERROR(AVERAGEIF('Данные 1st'!$S$2:$S$317,$A66,'Данные 1st'!$EB$2:$EB$317),"")</f>
        <v>228</v>
      </c>
      <c r="BH66" s="7">
        <f>IFERROR(AVERAGEIF('Данные 1st'!$S$2:$S$317,$A66,'Данные 1st'!$ED$2:$ED$317),"")</f>
        <v>30</v>
      </c>
      <c r="BI66" s="7">
        <f>IFERROR(AVERAGEIF('Данные 1st'!$S$2:$S$317,$A66,'Данные 1st'!$EE$2:$EE$317),"")</f>
        <v>3</v>
      </c>
      <c r="BJ66" s="7">
        <f>IFERROR(AVERAGEIF('Данные 1st'!$S$2:$S$317,$A66,'Данные 1st'!$EG$2:$EG$317),"")</f>
        <v>1330</v>
      </c>
      <c r="BK66" s="7">
        <f>IFERROR(AVERAGEIF('Данные 1st'!$S$2:$S$317,$A66,'Данные 1st'!$EH$2:$EH$317),"")</f>
        <v>157</v>
      </c>
      <c r="BL66" s="7">
        <f>IFERROR(AVERAGEIF('Данные 1st'!$S$2:$S$317,$A66,'Данные 1st'!$EJ$2:$EJ$317),"")</f>
        <v>0</v>
      </c>
      <c r="BM66" s="7">
        <f>IFERROR(AVERAGEIF('Данные 1st'!$S$2:$S$317,$A66,'Данные 1st'!$EK$2:$EK$317),"")</f>
        <v>1</v>
      </c>
      <c r="BN66" s="7">
        <f>IFERROR(AVERAGEIF('Данные 1st'!$S$2:$S$317,$A66,'Данные 1st'!$EN$2:$EN$317),"")</f>
        <v>0</v>
      </c>
      <c r="BO66" s="7">
        <f>IFERROR(AVERAGEIF('Данные 1st'!$S$2:$S$317,$A66,'Данные 1st'!$EQ$2:$EQ$317),"")</f>
        <v>155</v>
      </c>
      <c r="BP66" s="7">
        <f>IFERROR(AVERAGEIF('Данные 1st'!$S$2:$S$317,$A66,'Данные 1st'!$ER$2:$ER$317),"")</f>
        <v>3</v>
      </c>
      <c r="BQ66" s="7">
        <f>IFERROR(AVERAGEIF('Данные 1st'!$S$2:$S$317,$A66,'Данные 1st'!$ES$2:$ES$317),"")</f>
        <v>5.5</v>
      </c>
      <c r="BR66" s="7">
        <f>IFERROR(AVERAGEIF('Данные 1st'!$S$2:$S$317,$A66,'Данные 1st'!$ET$2:$ET$317),"")</f>
        <v>1198</v>
      </c>
      <c r="BS66" s="7">
        <f>IFERROR(AVERAGEIF('Данные 1st'!$S$2:$S$317,$A66,'Данные 1st'!$EU$2:$EU$317),"")</f>
        <v>689.5</v>
      </c>
      <c r="BT66" s="7">
        <f>IFERROR(AVERAGEIF('Данные 1st'!$S$2:$S$317,$A66,'Данные 1st'!$EV$2:$EV$317),"")</f>
        <v>826</v>
      </c>
      <c r="BU66" s="7">
        <f>IFERROR(AVERAGEIF('Данные 1st'!$S$2:$S$317,$A66,'Данные 1st'!$EX$2:$EX$317),"")</f>
        <v>45</v>
      </c>
      <c r="BV66" s="7">
        <f>IFERROR(AVERAGEIF('Данные 1st'!$S$2:$S$317,$A66,'Данные 1st'!$EY$2:$EY$317),"")</f>
        <v>2</v>
      </c>
      <c r="BW66" s="7">
        <f>IFERROR(AVERAGEIF('Данные 1st'!$S$2:$S$317,$A66,'Данные 1st'!$EZ$2:$EZ$317),"")</f>
        <v>4</v>
      </c>
      <c r="BX66" s="7">
        <f>IFERROR(AVERAGEIF('Данные 1st'!$S$2:$S$317,$A66,'Данные 1st'!$FA$2:$FA$317),"")</f>
        <v>1198</v>
      </c>
      <c r="BY66" s="7">
        <f>IFERROR(AVERAGEIF('Данные 1st'!$S$2:$S$317,$A66,'Данные 1st'!$FB$2:$FB$317),"")</f>
        <v>131.8</v>
      </c>
      <c r="BZ66" s="7">
        <f>IFERROR(AVERAGEIF('Данные 1st'!$S$2:$S$317,$A66,'Данные 1st'!$FC$2:$FC$317),"")</f>
        <v>158</v>
      </c>
      <c r="CA66" s="7">
        <f>IFERROR(AVERAGEIF('Данные 1st'!$S$2:$S$317,$A66,'Данные 1st'!$FE$2:$FE$317),"")</f>
        <v>0</v>
      </c>
      <c r="CB66" s="7">
        <f>IFERROR(AVERAGEIF('Данные 1st'!$S$2:$S$317,$A66,'Данные 1st'!$FF$2:$FF$317),"")</f>
        <v>2</v>
      </c>
      <c r="CC66" s="7">
        <f>IFERROR(AVERAGEIF('Данные 1st'!$S$2:$S$317,$A66,'Данные 1st'!$FI$2:$FI$317),"")</f>
        <v>0</v>
      </c>
      <c r="CD66" s="7">
        <f>IFERROR(AVERAGEIF('Данные 1st'!$S$2:$S$317,$A66,'Данные 1st'!$FL$2:$FL$317),"")</f>
        <v>0.4</v>
      </c>
      <c r="CE66" s="7">
        <f>IFERROR(AVERAGEIF('Данные 1st'!$S$2:$S$317,$A66,'Данные 1st'!$FM$2:$FM$317),"")</f>
        <v>40</v>
      </c>
      <c r="CF66" s="7">
        <f>IFERROR(AVERAGEIF('Данные 1st'!$S$2:$S$317,$A66,'Данные 1st'!$FN$2:$FN$317),"")</f>
        <v>460</v>
      </c>
      <c r="CG66" s="7">
        <f>IFERROR(AVERAGEIF('Данные 1st'!$S$2:$S$317,$A66,'Данные 1st'!$FO$2:$FO$317),"")</f>
        <v>120</v>
      </c>
      <c r="CH66" s="7">
        <f>IFERROR(AVERAGEIF('Данные 1st'!$S$2:$S$317,$A66,'Данные 1st'!$FP$2:$FP$317),"")</f>
        <v>150</v>
      </c>
      <c r="CI66" s="7">
        <f>IFERROR(AVERAGEIF('Данные 1st'!$S$2:$S$317,$A66,'Данные 1st'!$FS$2:$FS$317),"")</f>
        <v/>
      </c>
      <c r="CJ66" s="7">
        <f>IFERROR(AVERAGEIF('Данные 1st'!$S$2:$S$317,$A66,'Данные 1st'!$FT$2:$FT$317),"")</f>
        <v/>
      </c>
      <c r="CK66" s="7">
        <f>IFERROR(AVERAGEIF('Данные 1st'!$S$2:$S$317,$A66,'Данные 1st'!$FU$2:$FU$317),"")</f>
        <v/>
      </c>
      <c r="CL66" s="7">
        <f>IFERROR(AVERAGEIF('Данные 1st'!$S$2:$S$317,$A66,'Данные 1st'!$FV$2:$FV$317),"")</f>
        <v/>
      </c>
      <c r="CM66" s="7">
        <f>IFERROR(AVERAGEIF('Данные 1st'!$S$2:$S$317,$A66,'Данные 1st'!$FW$2:$FW$317),"")</f>
        <v/>
      </c>
      <c r="CN66" s="7">
        <f>IFERROR(AVERAGEIF('Данные 1st'!$S$2:$S$317,$A66,'Данные 1st'!$FZ$2:$FZ$317),"")</f>
        <v/>
      </c>
      <c r="CO66" s="7">
        <f>IFERROR(AVERAGEIF('Данные 1st'!$S$2:$S$317,$A66,'Данные 1st'!$GA$2:$GA$317),"")</f>
        <v/>
      </c>
      <c r="CP66" s="7">
        <f>IFERROR(AVERAGEIF('Данные 1st'!$S$2:$S$317,$A66,'Данные 1st'!$GB$2:$GB$317),"")</f>
        <v/>
      </c>
      <c r="CQ66" s="7">
        <f>IFERROR(AVERAGEIF('Данные 1st'!$S$2:$S$317,$A66,'Данные 1st'!$GH$2:$GH$317),"")</f>
        <v/>
      </c>
      <c r="CR66" s="7">
        <f>IFERROR(AVERAGEIF('Данные 1st'!$S$2:$S$317,$A66,'Данные 1st'!$GI$2:$GI$317),"")</f>
        <v/>
      </c>
      <c r="CS66" s="7">
        <f>IFERROR(AVERAGEIF('Данные 1st'!$S$2:$S$317,$A66,'Данные 1st'!$GJ$2:$GJ$317),"")</f>
        <v/>
      </c>
      <c r="CT66" s="7">
        <f>IFERROR(AVERAGEIF('Данные 1st'!$S$2:$S$317,$A66,'Данные 1st'!$GS$2:$GS$317),"")</f>
        <v>0.4</v>
      </c>
      <c r="CU66" s="7">
        <f>IFERROR(AVERAGEIF('Данные 1st'!$S$2:$S$317,$A66,'Данные 1st'!$GT$2:$GT$317),"")</f>
        <v>105</v>
      </c>
      <c r="CV66" s="7">
        <f>IFERROR(AVERAGEIF('Данные 1st'!$S$2:$S$317,$A66,'Данные 1st'!$GU$2:$GU$317),"")</f>
        <v>340</v>
      </c>
      <c r="CW66" s="7">
        <f>IFERROR(AVERAGEIF('Данные 1st'!$S$2:$S$317,$A66,'Данные 1st'!$GV$2:$GV$317),"")</f>
        <v/>
      </c>
      <c r="CX66" s="7">
        <f>IFERROR(AVERAGEIF('Данные 1st'!$S$2:$S$317,$A66,'Данные 1st'!$GW$2:$GW$317),"")</f>
        <v/>
      </c>
      <c r="CY66" s="7">
        <f>IFERROR(AVERAGEIF('Данные 1st'!$S$2:$S$317,$A66,'Данные 1st'!$GZ$2:$GZ$317),"")</f>
        <v/>
      </c>
      <c r="CZ66" s="7">
        <f>IFERROR(AVERAGEIF('Данные 1st'!$S$2:$S$317,$A66,'Данные 1st'!$HA$2:$HA$317),"")</f>
        <v/>
      </c>
      <c r="DA66" s="7">
        <f>IFERROR(AVERAGEIF('Данные 1st'!$S$2:$S$317,$A66,'Данные 1st'!$HB$2:$HB$317),"")</f>
        <v/>
      </c>
      <c r="DB66" s="7">
        <f>IFERROR(AVERAGEIF('Данные 1st'!$S$2:$S$317,$A66,'Данные 1st'!$HC$2:$HC$317),"")</f>
        <v>0.1</v>
      </c>
      <c r="DC66" s="7">
        <f>IFERROR(AVERAGEIF('Данные 1st'!$S$2:$S$317,$A66,'Данные 1st'!$HD$2:$HD$317),"")</f>
        <v>3</v>
      </c>
      <c r="DD66" s="7">
        <f>IFERROR(AVERAGEIF('Данные 1st'!$S$2:$S$317,$A66,'Данные 1st'!$HE$2:$HE$317),"")</f>
        <v>3</v>
      </c>
      <c r="DE66" s="7">
        <f>IFERROR(AVERAGEIF('Данные 1st'!$S$2:$S$317,$A66,'Данные 1st'!$HF$2:$HF$317),"")</f>
        <v>3</v>
      </c>
      <c r="DF66" s="7">
        <f>IFERROR(AVERAGEIF('Данные 1st'!$S$2:$S$317,$A66,'Данные 1st'!$HG$2:$HG$317),"")</f>
        <v>3</v>
      </c>
      <c r="DG66" s="7">
        <f>IFERROR(AVERAGEIF('Данные 1st'!$S$2:$S$317,$A66,'Данные 1st'!$HH$2:$HH$317),"")</f>
        <v>3</v>
      </c>
      <c r="DH66" s="7">
        <f>IFERROR(AVERAGEIF('Данные 1st'!$S$2:$S$317,$A66,'Данные 1st'!$HI$2:$HI$317),"")</f>
        <v>185</v>
      </c>
      <c r="DI66" s="7">
        <f>IFERROR(AVERAGEIF('Данные 1st'!$S$2:$S$317,$A66,'Данные 1st'!$HJ$2:$HJ$317),"")</f>
        <v>3</v>
      </c>
      <c r="DJ66" s="7">
        <f>IFERROR(AVERAGEIF('Данные 1st'!$S$2:$S$317,$A66,'Данные 1st'!$HK$2:$HK$317),"")</f>
        <v>30</v>
      </c>
      <c r="DK66" s="7">
        <f>IFERROR(AVERAGEIF('Данные 1st'!$S$2:$S$317,$A66,'Данные 1st'!$HL$2:$HL$317),"")</f>
        <v>2</v>
      </c>
      <c r="DL66" s="7">
        <f>IFERROR(AVERAGEIF('Данные 1st'!$S$2:$S$317,$A66,'Данные 1st'!$HM$2:$HM$317),"")</f>
        <v>0</v>
      </c>
      <c r="DM66" s="7">
        <f>IFERROR(AVERAGEIF('Данные 1st'!$S$2:$S$317,$A66,'Данные 1st'!$HN$2:$HN$317),"")</f>
        <v>2</v>
      </c>
      <c r="DN66" s="7">
        <f>IFERROR(AVERAGEIF('Данные 1st'!$S$2:$S$317,$A66,'Данные 1st'!$HO$2:$HO$317),"")</f>
        <v>140</v>
      </c>
      <c r="DO66" s="7">
        <f>IFERROR(AVERAGEIF('Данные 1st'!$S$2:$S$317,$A66,'Данные 1st'!$HP$2:$HP$317),"")</f>
        <v>3</v>
      </c>
      <c r="DP66" s="7">
        <f>IFERROR(AVERAGEIF('Данные 1st'!$S$2:$S$317,$A66,'Данные 1st'!$HQ$2:$HQ$317),"")</f>
        <v>0</v>
      </c>
      <c r="DQ66" s="7">
        <f>IFERROR(AVERAGEIF('Данные 1st'!$S$2:$S$317,$A66,'Данные 1st'!$HR$2:$HR$317),"")</f>
        <v>2</v>
      </c>
      <c r="DR66" s="7">
        <f>IFERROR(AVERAGEIF('Данные 1st'!$S$2:$S$317,$A66,'Данные 1st'!$HS$2:$HS$317),"")</f>
        <v>6123</v>
      </c>
      <c r="DS66" s="7">
        <f>IFERROR(AVERAGEIF('Данные 1st'!$S$2:$S$317,$A66,'Данные 1st'!$HT$2:$HT$317),"")</f>
        <v>180</v>
      </c>
      <c r="DT66" s="7">
        <f>IFERROR(AVERAGEIF('Данные 1st'!$S$2:$S$317,$A66,'Данные 1st'!$HU$2:$HU$317),"")</f>
        <v>180</v>
      </c>
      <c r="DU66" s="7">
        <f>IFERROR(AVERAGEIF('Данные 1st'!$S$2:$S$317,$A66,'Данные 1st'!$HW$2:$HW$317),"")</f>
        <v>0</v>
      </c>
      <c r="DV66" s="7">
        <f>IFERROR(AVERAGEIF('Данные 1st'!$S$2:$S$317,$A66,'Данные 1st'!$HX$2:$HX$317),"")</f>
        <v>525</v>
      </c>
      <c r="DW66" s="7">
        <f>IFERROR(AVERAGEIF('Данные 1st'!$S$2:$S$317,$A66,'Данные 1st'!$HY$2:$HY$317),"")</f>
        <v>0.18</v>
      </c>
      <c r="DX66" s="7">
        <f>IFERROR(AVERAGEIF('Данные 1st'!$S$2:$S$317,$A66,'Данные 1st'!$IA$2:$IA$317),"")</f>
        <v>0.15</v>
      </c>
      <c r="DY66" s="7">
        <f>IFERROR(AVERAGEIF('Данные 1st'!$S$2:$S$317,$A66,'Данные 1st'!$IB$2:$IB$317),"")</f>
        <v>0</v>
      </c>
      <c r="DZ66" s="7">
        <f>IFERROR(AVERAGEIF('Данные 1st'!$S$2:$S$317,$A66,'Данные 1st'!$IC$2:$IC$317),"")</f>
        <v>180</v>
      </c>
      <c r="EA66" s="7">
        <f>IFERROR(AVERAGEIF('Данные 1st'!$S$2:$S$317,$A66,'Данные 1st'!$ID$2:$ID$317),"")</f>
        <v>110</v>
      </c>
      <c r="EB66" s="7">
        <f>IFERROR(AVERAGEIF('Данные 1st'!$S$2:$S$317,$A66,'Данные 1st'!$IE$2:$IE$317),"")</f>
        <v>225</v>
      </c>
      <c r="EC66" s="7">
        <f>IFERROR(AVERAGEIF('Данные 1st'!$S$2:$S$317,$A66,'Данные 1st'!$IF$2:$IF$317),"")</f>
        <v>0</v>
      </c>
      <c r="ED66" s="7">
        <f>IFERROR(AVERAGEIF('Данные 1st'!$S$2:$S$317,$A66,'Данные 1st'!$IP$2:$IP$317),"")</f>
        <v>16</v>
      </c>
      <c r="EE66" s="7">
        <f>IFERROR(AVERAGEIF('Данные 1st'!$S$2:$S$317,$A66,'Данные 1st'!$IV$2:$IV$317),"")</f>
        <v>1200</v>
      </c>
      <c r="EF66" s="7">
        <f>IFERROR(AVERAGEIF('Данные 1st'!$S$2:$S$317,$A66,'Данные 1st'!$IW$2:$IW$317),"")</f>
        <v>526</v>
      </c>
      <c r="EG66" s="7">
        <f>IFERROR(AVERAGEIF('Данные 1st'!$S$2:$S$317,$A66,'Данные 1st'!$IX$2:$IX$317),"")</f>
        <v/>
      </c>
      <c r="EH66" s="7">
        <f>IFERROR(AVERAGEIF('Данные 1st'!$S$2:$S$317,$A66,'Данные 1st'!$IY$2:$IY$317),"")</f>
        <v/>
      </c>
      <c r="EI66" s="7">
        <f>IFERROR(AVERAGEIF('Данные 1st'!$S$2:$S$317,$A66,'Данные 1st'!$JD$2:$JD$317),"")</f>
        <v>1218</v>
      </c>
      <c r="EJ66" s="7">
        <f>IFERROR(AVERAGEIF('Данные 1st'!$S$2:$S$317,$A66,'Данные 1st'!$JE$2:$JE$317),"")</f>
        <v>1211</v>
      </c>
      <c r="EK66" s="7">
        <f>IFERROR(AVERAGEIF('Данные 1st'!$S$2:$S$317,$A66,'Данные 1st'!$JF$2:$JF$317),"")</f>
        <v>1219</v>
      </c>
      <c r="EL66" s="7">
        <f>IFERROR(AVERAGEIF('Данные 1st'!$S$2:$S$317,$A66,'Данные 1st'!$JG$2:$JG$317),"")</f>
        <v>1198</v>
      </c>
      <c r="EM66" s="7">
        <f>IFERROR(AVERAGEIF('Данные 1st'!$S$2:$S$317,$A66,'Данные 1st'!$JH$2:$JH$317),"")</f>
        <v>0</v>
      </c>
      <c r="EN66" s="7">
        <f>IFERROR(AVERAGEIF('Данные 1st'!$S$2:$S$317,$A66,'Данные 1st'!$JJ$2:$JJ$317),"")</f>
        <v>180</v>
      </c>
      <c r="EO66" s="7">
        <f>IFERROR(AVERAGEIF('Данные 1st'!$S$2:$S$317,$A66,'Данные 1st'!$JK$2:$JK$317),"")</f>
        <v>525</v>
      </c>
      <c r="EP66" s="7">
        <f>IFERROR(AVERAGEIF('Данные 1st'!$S$2:$S$317,$A66,'Данные 1st'!$JL$2:$JL$317),"")</f>
        <v/>
      </c>
      <c r="EQ66" s="7">
        <f>IFERROR(AVERAGEIF('Данные 1st'!$S$2:$S$317,$A66,'Данные 1st'!$JM$2:$JM$317),"")</f>
        <v/>
      </c>
      <c r="ER66" s="7">
        <f>IFERROR(AVERAGEIF('Данные 1st'!$S$2:$S$317,$A66,'Данные 1st'!$JN$2:$JN$317),"")</f>
        <v>490</v>
      </c>
      <c r="ES66" s="7">
        <f>IFERROR(AVERAGEIF('Данные 1st'!$S$2:$S$317,$A66,'Данные 1st'!$JO$2:$JO$317),"")</f>
        <v>690</v>
      </c>
      <c r="ET66" s="7">
        <f>IFERROR(AVERAGEIF('Данные 1st'!$S$2:$S$317,$A66,'Данные 1st'!$JP$2:$JP$317),"")</f>
        <v>575</v>
      </c>
      <c r="EU66" s="7">
        <f>IFERROR(AVERAGEIF('Данные 1st'!$S$2:$S$317,$A66,'Данные 1st'!$JQ$2:$JQ$317),"")</f>
        <v>0</v>
      </c>
      <c r="EV66" s="7">
        <f>IFERROR(AVERAGEIF('Данные 1st'!$S$2:$S$317,$A66,'Данные 1st'!$JR$2:$JR$317),"")</f>
        <v>532</v>
      </c>
      <c r="EW66" s="7">
        <f>IFERROR(AVERAGEIF('Данные 1st'!$S$2:$S$317,$A66,'Данные 1st'!$JS$2:$JS$317),"")</f>
        <v>185</v>
      </c>
      <c r="EX66" s="7">
        <f>IFERROR(AVERAGEIF('Данные 1st'!$S$2:$S$317,$A66,'Данные 1st'!$JT$2:$JT$317),"")</f>
        <v/>
      </c>
      <c r="EY66" s="7">
        <f>IFERROR(AVERAGEIF('Данные 1st'!$S$2:$S$317,$A66,'Данные 1st'!$JU$2:$JU$317),"")</f>
        <v/>
      </c>
      <c r="EZ66" s="7">
        <f>IFERROR(AVERAGEIF('Данные 1st'!$S$2:$S$317,$A66,'Данные 1st'!$JV$2:$JV$317),"")</f>
        <v>8</v>
      </c>
      <c r="FA66" s="7">
        <f>IFERROR(AVERAGEIF('Данные 1st'!$S$2:$S$317,$A66,'Данные 1st'!$JW$2:$JW$317),"")</f>
        <v/>
      </c>
      <c r="FB66" s="7">
        <f>IFERROR(AVERAGEIF('Данные 1st'!$S$2:$S$317,$A66,'Данные 1st'!$JX$2:$JX$317),"")</f>
        <v>566</v>
      </c>
      <c r="FC66" s="7">
        <f>IFERROR(AVERAGEIF('Данные 1st'!$S$2:$S$317,$A66,'Данные 1st'!$JY$2:$JY$317),"")</f>
        <v/>
      </c>
      <c r="FD66" s="7">
        <f>IFERROR(AVERAGEIF('Данные 1st'!$S$2:$S$317,$A66,'Данные 1st'!$JZ$2:$JZ$317),"")</f>
        <v/>
      </c>
      <c r="FE66" s="7">
        <f>IFERROR(AVERAGEIF('Данные 1st'!$S$2:$S$317,$A66,'Данные 1st'!$KA$2:$KA$317),"")</f>
        <v>225</v>
      </c>
      <c r="FF66" s="7">
        <f>IFERROR(AVERAGEIF('Данные 1st'!$S$2:$S$317,$A66,'Данные 1st'!$KB$2:$KB$317),"")</f>
        <v>110</v>
      </c>
      <c r="FG66" s="7">
        <f>IFERROR(AVERAGEIF('Данные 1st'!$S$2:$S$317,$A66,'Данные 1st'!$KC$2:$KC$317),"")</f>
        <v>0</v>
      </c>
      <c r="FH66" s="7">
        <f>IFERROR(AVERAGEIF('Данные 1st'!$S$2:$S$317,$A66,'Данные 1st'!$KD$2:$KD$317),"")</f>
        <v>80</v>
      </c>
      <c r="FI66" s="7">
        <f>IFERROR(AVERAGEIF('Данные 1st'!$S$2:$S$317,$A66,'Данные 1st'!$KE$2:$KE$317),"")</f>
        <v/>
      </c>
      <c r="FJ66" s="7">
        <f>IFERROR(AVERAGEIF('Данные 1st'!$S$2:$S$317,$A66,'Данные 1st'!$KF$2:$KF$317),"")</f>
        <v>4</v>
      </c>
      <c r="FK66" s="7">
        <f>IFERROR(AVERAGEIF('Данные 1st'!$S$2:$S$317,$A66,'Данные 1st'!$KG$2:$KG$317),"")</f>
        <v>2</v>
      </c>
      <c r="FL66" s="7">
        <f>IFERROR(AVERAGEIF('Данные 1st'!$S$2:$S$317,$A66,'Данные 1st'!$KH$2:$KH$317),"")</f>
        <v>2</v>
      </c>
      <c r="FM66" s="7">
        <f>IFERROR(AVERAGEIF('Данные 1st'!$S$2:$S$317,$A66,'Данные 1st'!$KI$2:$KI$317),"")</f>
        <v>2</v>
      </c>
      <c r="FN66" s="7">
        <f>IFERROR(AVERAGEIF('Данные 1st'!$S$2:$S$317,$A66,'Данные 1st'!$KJ$2:$KJ$317),"")</f>
        <v>0</v>
      </c>
      <c r="FO66" s="7">
        <f>IFERROR(AVERAGEIF('Данные 1st'!$S$2:$S$317,$A66,'Данные 1st'!$KK$2:$KK$317),"")</f>
        <v>1.5</v>
      </c>
      <c r="FP66" s="7">
        <f>IFERROR(AVERAGEIF('Данные 1st'!$S$2:$S$317,$A66,'Данные 1st'!$KL$2:$KL$317),"")</f>
        <v>1.5</v>
      </c>
      <c r="FQ66" s="7">
        <f>IFERROR(AVERAGEIF('Данные 1st'!$S$2:$S$317,$A66,'Данные 1st'!$KM$2:$KM$317),"")</f>
        <v>0</v>
      </c>
      <c r="FR66" s="7">
        <f>IFERROR(AVERAGEIF('Данные 1st'!$S$2:$S$317,$A66,'Данные 1st'!$KN$2:$KN$317),"")</f>
        <v>0</v>
      </c>
      <c r="FS66" s="7">
        <f>IFERROR(AVERAGEIF('Данные 1st'!$S$2:$S$317,$A66,'Данные 1st'!$KR$2:$KR$317),"")</f>
        <v>20</v>
      </c>
      <c r="FT66" s="7">
        <f>IFERROR(AVERAGEIF('Данные 1st'!$S$2:$S$317,$A66,'Данные 1st'!$KS$2:$KS$317),"")</f>
        <v>60</v>
      </c>
      <c r="FU66" s="7">
        <f>IFERROR(AVERAGEIF('Данные 1st'!$S$2:$S$317,$A66,'Данные 1st'!$KT$2:$KT$317),"")</f>
        <v>0</v>
      </c>
      <c r="FV66" s="7">
        <f>IFERROR(AVERAGEIF('Данные 1st'!$S$2:$S$317,$A66,'Данные 1st'!$KV$2:$KV$317),"")</f>
        <v/>
      </c>
      <c r="FW66" s="7">
        <f>IFERROR(AVERAGEIF('Данные 1st'!$S$2:$S$317,$A66,'Данные 1st'!$KW$2:$KW$317),"")</f>
        <v/>
      </c>
      <c r="FX66" s="7">
        <f>IFERROR(AVERAGEIF('Данные 1st'!$S$2:$S$317,$A66,'Данные 1st'!$KX$2:$KX$317),"")</f>
        <v/>
      </c>
      <c r="FY66" s="7">
        <f>IFERROR(AVERAGEIF('Данные 1st'!$S$2:$S$317,$A66,'Данные 1st'!$KY$2:$KY$317),"")</f>
        <v/>
      </c>
      <c r="FZ66" s="7">
        <f>IFERROR(AVERAGEIF('Данные 1st'!$S$2:$S$317,$A66,'Данные 1st'!$KZ$2:$KZ$317),"")</f>
        <v/>
      </c>
      <c r="GA66" s="7">
        <f>IFERROR(AVERAGEIF('Данные 1st'!$S$2:$S$317,$A66,'Данные 1st'!$LA$2:$LA$317),"")</f>
        <v/>
      </c>
      <c r="GB66" s="7">
        <f>IFERROR(AVERAGEIF('Данные 1st'!$S$2:$S$317,$A66,'Данные 1st'!$LB$2:$LB$317),"")</f>
        <v/>
      </c>
      <c r="GC66" s="7">
        <f>IFERROR(AVERAGEIF('Данные 1st'!$S$2:$S$317,$A66,'Данные 1st'!$LC$2:$LC$317),"")</f>
        <v/>
      </c>
      <c r="GD66" s="7">
        <f>IFERROR(AVERAGEIF('Данные 1st'!$S$2:$S$317,$A66,'Данные 1st'!$LD$2:$LD$317),"")</f>
        <v/>
      </c>
      <c r="GE66" s="7">
        <f>IFERROR(AVERAGEIF('Данные 1st'!$S$2:$S$317,$A66,'Данные 1st'!$LE$2:$LE$317),"")</f>
        <v/>
      </c>
      <c r="GF66" s="7">
        <f>IFERROR(AVERAGEIF('Данные 1st'!$S$2:$S$317,$A66,'Данные 1st'!$LF$2:$LF$317),"")</f>
        <v/>
      </c>
      <c r="GG66" s="7">
        <f>IFERROR(AVERAGEIF('Данные 1st'!$S$2:$S$317,$A66,'Данные 1st'!$LG$2:$LG$317),"")</f>
        <v/>
      </c>
      <c r="GH66" s="7">
        <f>IFERROR(AVERAGEIF('Данные 1st'!$S$2:$S$317,$A66,'Данные 1st'!$LH$2:$LH$317),"")</f>
        <v/>
      </c>
      <c r="GI66" s="7">
        <f>IFERROR(AVERAGEIF('Данные 1st'!$S$2:$S$317,$A66,'Данные 1st'!$LI$2:$LI$317),"")</f>
        <v/>
      </c>
      <c r="GJ66" s="7">
        <f>IFERROR(AVERAGEIF('Данные 1st'!$S$2:$S$317,$A66,'Данные 1st'!$LJ$2:$LJ$317),"")</f>
        <v/>
      </c>
      <c r="GK66" s="7">
        <f>IFERROR(AVERAGEIF('Данные 1st'!$S$2:$S$317,$A66,'Данные 1st'!$LK$2:$LK$317),"")</f>
        <v>480</v>
      </c>
      <c r="GL66" s="7">
        <f>IFERROR(AVERAGEIF('Данные 1st'!$S$2:$S$317,$A66,'Данные 1st'!$LV$2:$LV$317),"")</f>
        <v/>
      </c>
      <c r="GM66" s="7">
        <f>IFERROR(AVERAGEIF('Данные 1st'!$S$2:$S$317,$A66,'Данные 1st'!$LW$2:$LW$317),"")</f>
        <v/>
      </c>
      <c r="GN66" s="7">
        <f>IFERROR(AVERAGEIF('Данные 1st'!$S$2:$S$317,$A66,'Данные 1st'!$LX$2:$LX$317),"")</f>
        <v/>
      </c>
      <c r="GO66" s="7">
        <f>IFERROR(AVERAGEIF('Данные 1st'!$S$2:$S$317,$A66,'Данные 1st'!$LY$2:$LY$317),"")</f>
        <v/>
      </c>
      <c r="GP66" s="7">
        <f>IFERROR(AVERAGEIF('Данные 1st'!$S$2:$S$317,$A66,'Данные 1st'!$LZ$2:$LZ$317),"")</f>
        <v/>
      </c>
      <c r="GQ66" s="7">
        <f>IFERROR(AVERAGEIF('Данные 1st'!$S$2:$S$317,$A66,'Данные 1st'!$PG$2:$PG$317),"")</f>
        <v>1</v>
      </c>
      <c r="GR66" s="7">
        <f>IFERROR(AVERAGEIF('Данные 1st'!$S$2:$S$317,$A66,'Данные 1st'!$PX$2:$PX$317),"")</f>
        <v>56</v>
      </c>
      <c r="GS66" s="7">
        <f>IFERROR(AVERAGEIF('Данные 1st'!$S$2:$S$317,$A66,'Данные 1st'!$PY$2:$PY$317),"")</f>
        <v>57</v>
      </c>
      <c r="GT66" s="7">
        <f>IFERROR(AVERAGEIF('Данные 1st'!$S$2:$S$317,$A66,'Данные 1st'!$QA$2:$QA$317),"")</f>
        <v>3</v>
      </c>
      <c r="GU66" s="7">
        <f>IFERROR(AVERAGEIF('Данные 1st'!$S$2:$S$317,$A66,'Данные 1st'!$QB$2:$QB$317),"")</f>
        <v>1198</v>
      </c>
      <c r="GV66" s="7">
        <f>IFERROR(AVERAGEIF('Данные 1st'!$S$2:$S$317,$A66,'Данные 1st'!$QC$2:$QC$317),"")</f>
        <v>69</v>
      </c>
      <c r="GW66" s="7">
        <f>IFERROR(AVERAGEIF('Данные 1st'!$S$2:$S$317,$A66,'Данные 1st'!$QD$2:$QD$317),"")</f>
        <v>69</v>
      </c>
      <c r="GX66" s="7">
        <f>IFERROR(AVERAGEIF('Данные 1st'!$S$2:$S$317,$A66,'Данные 1st'!$QF$2:$QF$317),"")</f>
        <v>1</v>
      </c>
      <c r="GY66" s="7">
        <f>IFERROR(AVERAGEIF('Данные 1st'!$S$2:$S$317,$A66,'Данные 1st'!$QG$2:$QG$317),"")</f>
        <v>1218</v>
      </c>
      <c r="GZ66" s="7">
        <f>IFERROR(AVERAGEIF('Данные 1st'!$S$2:$S$317,$A66,'Данные 1st'!$QH$2:$QH$317),"")</f>
        <v>66</v>
      </c>
      <c r="HA66" s="7">
        <f>IFERROR(AVERAGEIF('Данные 1st'!$S$2:$S$317,$A66,'Данные 1st'!$QI$2:$QI$317),"")</f>
        <v>66</v>
      </c>
      <c r="HB66" s="7">
        <f>IFERROR(AVERAGEIF('Данные 1st'!$S$2:$S$317,$A66,'Данные 1st'!$QK$2:$QK$317),"")</f>
        <v>1</v>
      </c>
      <c r="HC66" s="7">
        <f>IFERROR(AVERAGEIF('Данные 1st'!$S$2:$S$317,$A66,'Данные 1st'!$QL$2:$QL$317),"")</f>
        <v>1218</v>
      </c>
      <c r="HD66" s="7">
        <f>IFERROR(AVERAGEIF('Данные 1st'!$S$2:$S$317,$A66,'Данные 1st'!$QM$2:$QM$317),"")</f>
        <v>62</v>
      </c>
      <c r="HE66" s="7">
        <f>IFERROR(AVERAGEIF('Данные 1st'!$S$2:$S$317,$A66,'Данные 1st'!$QN$2:$QN$317),"")</f>
        <v>62</v>
      </c>
      <c r="HF66" s="7">
        <f>IFERROR(AVERAGEIF('Данные 1st'!$S$2:$S$317,$A66,'Данные 1st'!$QP$2:$QP$317),"")</f>
        <v>1</v>
      </c>
      <c r="HG66" s="7">
        <f>IFERROR(AVERAGEIF('Данные 1st'!$S$2:$S$317,$A66,'Данные 1st'!$QQ$2:$QQ$317),"")</f>
        <v>1211</v>
      </c>
      <c r="HH66" s="7">
        <f>IFERROR(AVERAGEIF('Данные 1st'!$S$2:$S$317,$A66,'Данные 1st'!$QR$2:$QR$317),"")</f>
        <v>62</v>
      </c>
      <c r="HI66" s="7">
        <f>IFERROR(AVERAGEIF('Данные 1st'!$S$2:$S$317,$A66,'Данные 1st'!$QS$2:$QS$317),"")</f>
        <v>62</v>
      </c>
      <c r="HJ66" s="7">
        <f>IFERROR(AVERAGEIF('Данные 1st'!$S$2:$S$317,$A66,'Данные 1st'!$QU$2:$QU$317),"")</f>
        <v>1</v>
      </c>
      <c r="HK66" s="7">
        <f>IFERROR(AVERAGEIF('Данные 1st'!$S$2:$S$317,$A66,'Данные 1st'!$QV$2:$QV$317),"")</f>
        <v>1219</v>
      </c>
      <c r="HL66" s="7">
        <f>IFERROR(AVERAGEIF('Данные 1st'!$S$2:$S$317,$A66,'Данные 1st'!$QW$2:$QW$317),"")</f>
        <v>82</v>
      </c>
      <c r="HM66" s="7">
        <f>IFERROR(AVERAGEIF('Данные 1st'!$S$2:$S$317,$A66,'Данные 1st'!$QX$2:$QX$317),"")</f>
        <v>89</v>
      </c>
      <c r="HN66" s="7">
        <f>IFERROR(AVERAGEIF('Данные 1st'!$S$2:$S$317,$A66,'Данные 1st'!$QZ$2:$QZ$317),"")</f>
        <v>1</v>
      </c>
      <c r="HO66" s="7">
        <f>IFERROR(AVERAGEIF('Данные 1st'!$S$2:$S$317,$A66,'Данные 1st'!$RA$2:$RA$317),"")</f>
        <v>66</v>
      </c>
      <c r="HP66" s="7">
        <f>IFERROR(AVERAGEIF('Данные 1st'!$S$2:$S$317,$A66,'Данные 1st'!$RB$2:$RB$317),"")</f>
        <v>66</v>
      </c>
      <c r="HQ66" s="7">
        <f>IFERROR(AVERAGEIF('Данные 1st'!$S$2:$S$317,$A66,'Данные 1st'!$RD$2:$RD$317),"")</f>
        <v/>
      </c>
      <c r="HR66" s="7">
        <f>IFERROR(AVERAGEIF('Данные 1st'!$S$2:$S$317,$A66,'Данные 1st'!$RE$2:$RE$317),"")</f>
        <v>0</v>
      </c>
      <c r="HS66" s="7">
        <f>IFERROR(AVERAGEIF('Данные 1st'!$S$2:$S$317,$A66,'Данные 1st'!$RF$2:$RF$317),"")</f>
        <v>1</v>
      </c>
      <c r="HT66" s="7">
        <f>IFERROR(AVERAGEIF('Данные 1st'!$S$2:$S$317,$A66,'Данные 1st'!$RG$2:$RG$317),"")</f>
        <v/>
      </c>
      <c r="HU66" s="7">
        <f>IFERROR(AVERAGEIF('Данные 1st'!$S$2:$S$317,$A66,'Данные 1st'!$RH$2:$RH$317),"")</f>
        <v>1</v>
      </c>
      <c r="HV66" s="7">
        <f>IFERROR(AVERAGEIF('Данные 1st'!$S$2:$S$317,$A66,'Данные 1st'!$RI$2:$RI$317),"")</f>
        <v/>
      </c>
      <c r="HW66" s="7">
        <f>IFERROR(AVERAGEIF('Данные 1st'!$S$2:$S$317,$A66,'Данные 1st'!$RJ$2:$RJ$317),"")</f>
        <v>1</v>
      </c>
      <c r="HX66" s="7">
        <f>IFERROR(AVERAGEIF('Данные 1st'!$S$2:$S$317,$A66,'Данные 1st'!$RK$2:$RK$317),"")</f>
        <v>3</v>
      </c>
      <c r="HY66" s="7">
        <f>IFERROR(AVERAGEIF('Данные 1st'!$S$2:$S$317,$A66,'Данные 1st'!$RL$2:$RL$317),"")</f>
        <v>2</v>
      </c>
      <c r="HZ66" s="7">
        <f>IFERROR(AVERAGEIF('Данные 1st'!$S$2:$S$317,$A66,'Данные 1st'!$RM$2:$RM$317),"")</f>
        <v>2</v>
      </c>
      <c r="IA66" s="7">
        <f>IFERROR(AVERAGEIF('Данные 1st'!$S$2:$S$317,$A66,'Данные 1st'!$RN$2:$RN$317),"")</f>
        <v/>
      </c>
      <c r="IB66" s="7">
        <f>IFERROR(AVERAGEIF('Данные 1st'!$S$2:$S$317,$A66,'Данные 1st'!$RO$2:$RO$317),"")</f>
        <v>695</v>
      </c>
      <c r="IC66" s="7">
        <f>IFERROR(AVERAGEIF('Данные 1st'!$S$2:$S$317,$A66,'Данные 1st'!$RP$2:$RP$317),"")</f>
        <v>142</v>
      </c>
      <c r="ID66" s="7">
        <f>IFERROR(AVERAGEIF('Данные 1st'!$S$2:$S$317,$A66,'Данные 1st'!$RQ$2:$RQ$317),"")</f>
        <v>1076</v>
      </c>
      <c r="IE66" s="7">
        <f>IFERROR(AVERAGEIF('Данные 1st'!$S$2:$S$317,$A66,'Данные 1st'!$RR$2:$RR$317),"")</f>
        <v>872</v>
      </c>
      <c r="IF66" s="7">
        <f>IFERROR(AVERAGEIF('Данные 1st'!$S$2:$S$317,$A66,'Данные 1st'!$RS$2:$RS$317),"")</f>
        <v/>
      </c>
      <c r="IG66" s="7">
        <f>IFERROR(AVERAGEIF('Данные 1st'!$S$2:$S$317,$A66,'Данные 1st'!$RT$2:$RT$317),"")</f>
        <v>228</v>
      </c>
      <c r="IH66" s="7">
        <f>IFERROR(AVERAGEIF('Данные 1st'!$S$2:$S$317,$A66,'Данные 1st'!$RU$2:$RU$317),"")</f>
        <v>157</v>
      </c>
      <c r="II66" s="7">
        <f>IFERROR(AVERAGEIF('Данные 1st'!$S$2:$S$317,$A66,'Данные 1st'!$RX$2:$RX$317),"")</f>
        <v>15</v>
      </c>
      <c r="IJ66" s="7">
        <f>IFERROR(AVERAGEIF('Данные 1st'!$S$2:$S$317,$A66,'Данные 1st'!$RY$2:$RY$317),"")</f>
        <v>4</v>
      </c>
      <c r="IK66" s="7">
        <f>IFERROR(AVERAGEIF('Данные 1st'!$S$2:$S$317,$A66,'Данные 1st'!$SA$2:$SA$317),"")</f>
        <v>15</v>
      </c>
      <c r="IL66" s="7">
        <f>IFERROR(AVERAGEIF('Данные 1st'!$S$2:$S$317,$A66,'Данные 1st'!$SD$2:$SD$317),"")</f>
        <v>1</v>
      </c>
      <c r="IM66" s="7">
        <f>IFERROR(AVERAGEIF('Данные 1st'!$S$2:$S$317,$A66,'Данные 1st'!$SG$2:$SG$317),"")</f>
        <v>1</v>
      </c>
      <c r="IN66" s="7">
        <f>IFERROR(AVERAGEIF('Данные 1st'!$S$2:$S$317,$A66,'Данные 1st'!$SH$2:$SH$317),"")</f>
        <v>0.995</v>
      </c>
      <c r="IO66" s="7">
        <f>IFERROR(AVERAGEIF('Данные 1st'!$S$2:$S$317,$A66,'Данные 1st'!$SI$2:$SI$317),"")</f>
        <v>0.995</v>
      </c>
      <c r="IP66" s="7">
        <f>IFERROR(AVERAGEIF('Данные 1st'!$S$2:$S$317,$A66,'Данные 1st'!$SJ$2:$SJ$317),"")</f>
        <v>0.995</v>
      </c>
      <c r="IQ66" s="7">
        <f>IFERROR(AVERAGEIF('Данные 1st'!$S$2:$S$317,$A66,'Данные 1st'!$SK$2:$SK$317),"")</f>
        <v>15</v>
      </c>
      <c r="IR66" s="7">
        <f>IFERROR(AVERAGEIF('Данные 1st'!$S$2:$S$317,$A66,'Данные 1st'!$SL$2:$SL$317),"")</f>
        <v>0</v>
      </c>
      <c r="IS66" s="7">
        <f>IFERROR(AVERAGEIF('Данные 1st'!$S$2:$S$317,$A66,'Данные 1st'!$SM$2:$SM$317),"")</f>
        <v>0</v>
      </c>
      <c r="IT66" s="7">
        <f>IFERROR(AVERAGEIF('Данные 1st'!$S$2:$S$317,$A66,'Данные 1st'!$SN$2:$SN$317),"")</f>
        <v>0</v>
      </c>
      <c r="IU66" s="7">
        <f>IFERROR(AVERAGEIF('Данные 1st'!$S$2:$S$317,$A66,'Данные 1st'!$SO$2:$SO$317),"")</f>
        <v>0</v>
      </c>
      <c r="IV66" s="7">
        <f>IFERROR(AVERAGEIF('Данные 1st'!$S$2:$S$317,$A66,'Данные 1st'!$SP$2:$SP$317),"")</f>
        <v>0</v>
      </c>
      <c r="IW66" s="7">
        <f>IFERROR(AVERAGEIF('Данные 1st'!$S$2:$S$317,$A66,'Данные 1st'!$SQ$2:$SQ$317),"")</f>
        <v>0</v>
      </c>
      <c r="IX66" s="7">
        <f>IFERROR(AVERAGEIF('Данные 1st'!$S$2:$S$317,$A66,'Данные 1st'!$SR$2:$SR$317),"")</f>
        <v>0</v>
      </c>
      <c r="IY66" s="7">
        <f>IFERROR(AVERAGEIF('Данные 1st'!$S$2:$S$317,$A66,'Данные 1st'!$SS$2:$SS$317),"")</f>
        <v>0</v>
      </c>
      <c r="IZ66" s="7">
        <f>IFERROR(AVERAGEIF('Данные 1st'!$S$2:$S$317,$A66,'Данные 1st'!$ST$2:$ST$317),"")</f>
        <v>0</v>
      </c>
      <c r="JA66" s="7">
        <f>IFERROR(AVERAGEIF('Данные 1st'!$S$2:$S$317,$A66,'Данные 1st'!$SU$2:$SU$317),"")</f>
        <v>0</v>
      </c>
      <c r="JB66" s="7">
        <f>IFERROR(AVERAGEIF('Данные 1st'!$S$2:$S$317,$A66,'Данные 1st'!$SV$2:$SV$317),"")</f>
        <v>0</v>
      </c>
      <c r="JC66" s="7">
        <f>IFERROR(AVERAGEIF('Данные 1st'!$S$2:$S$317,$A66,'Данные 1st'!$SW$2:$SW$317),"")</f>
        <v>0</v>
      </c>
      <c r="JD66" s="7">
        <f>IFERROR(AVERAGEIF('Данные 1st'!$S$2:$S$317,$A66,'Данные 1st'!$SX$2:$SX$317),"")</f>
        <v>0</v>
      </c>
      <c r="JE66" s="7">
        <f>IFERROR(AVERAGEIF('Данные 1st'!$S$2:$S$317,$A66,'Данные 1st'!$SY$2:$SY$317),"")</f>
        <v>1</v>
      </c>
      <c r="JF66" s="7">
        <f>IFERROR(AVERAGEIF('Данные 1st'!$S$2:$S$317,$A66,'Данные 1st'!$SZ$2:$SZ$317),"")</f>
        <v>1</v>
      </c>
      <c r="JG66" s="7">
        <f>IFERROR(AVERAGEIF('Данные 1st'!$S$2:$S$317,$A66,'Данные 1st'!$TA$2:$TA$317),"")</f>
        <v/>
      </c>
      <c r="JH66" s="7">
        <f>IFERROR(AVERAGEIF('Данные 1st'!$S$2:$S$317,$A66,'Данные 1st'!$TB$2:$TB$317),"")</f>
        <v>0</v>
      </c>
      <c r="JI66" s="7">
        <f>IFERROR(AVERAGEIF('Данные 1st'!$S$2:$S$317,$A66,'Данные 1st'!$TC$2:$TC$317),"")</f>
        <v>0</v>
      </c>
      <c r="JJ66" s="7">
        <f>IFERROR(AVERAGEIF('Данные 1st'!$S$2:$S$317,$A66,'Данные 1st'!$TD$2:$TD$317),"")</f>
        <v>7.5</v>
      </c>
      <c r="JK66" s="7">
        <f>IFERROR(AVERAGEIF('Данные 1st'!$S$2:$S$317,$A66,'Данные 1st'!$TN$2:$TN$317),"")</f>
        <v>0</v>
      </c>
      <c r="JL66">
        <f>COUNTIF('Данные 2st'!$Q$2:$Q$317,$A66)</f>
        <v>1</v>
      </c>
      <c r="JM66" s="6" t="s">
        <v>2336</v>
      </c>
      <c r="JN66" s="6" t="s">
        <v>513</v>
      </c>
      <c r="JO66" s="6" t="s">
        <v>517</v>
      </c>
      <c r="JP66" s="6" t="s">
        <v>2615</v>
      </c>
      <c r="JQ66" s="7">
        <f>IFERROR(AVERAGEIF('Данные 2st'!$Q$2:$Q$317,$A66,'Данные 2st'!$AC$2:$AC$317),"")</f>
        <v>13</v>
      </c>
      <c r="JR66" s="7">
        <f>IFERROR(AVERAGEIF('Данные 2st'!$Q$2:$Q$317,$A66,'Данные 2st'!$AF$2:$AF$317),"")</f>
        <v>6123</v>
      </c>
      <c r="JS66" s="7">
        <f>IFERROR(AVERAGEIF('Данные 2st'!$Q$2:$Q$317,$A66,'Данные 2st'!$AW$2:$AW$317),"")</f>
        <v>6.4</v>
      </c>
      <c r="JT66" s="7">
        <f>IFERROR(AVERAGEIF('Данные 2st'!$Q$2:$Q$317,$A66,'Данные 2st'!$AX$2:$AX$317),"")</f>
        <v>-6</v>
      </c>
      <c r="JU66" s="7">
        <f>IFERROR(AVERAGEIF('Данные 2st'!$Q$2:$Q$317,$A66,'Данные 2st'!$AY$2:$AY$317),"")</f>
        <v>105</v>
      </c>
      <c r="JV66" s="7">
        <f>IFERROR(AVERAGEIF('Данные 2st'!$Q$2:$Q$317,$A66,'Данные 2st'!$AZ$2:$AZ$317),"")</f>
        <v>87</v>
      </c>
      <c r="JW66" s="7">
        <f>IFERROR(AVERAGEIF('Данные 2st'!$Q$2:$Q$317,$A66,'Данные 2st'!$BA$2:$BA$317),"")</f>
        <v/>
      </c>
      <c r="JX66" s="7">
        <f>IFERROR(AVERAGEIF('Данные 2st'!$Q$2:$Q$317,$A66,'Данные 2st'!$BB$2:$BB$317),"")</f>
        <v/>
      </c>
      <c r="JY66" s="7">
        <f>IFERROR(AVERAGEIF('Данные 2st'!$Q$2:$Q$317,$A66,'Данные 2st'!$BC$2:$BC$317),"")</f>
        <v/>
      </c>
      <c r="JZ66" s="7">
        <f>IFERROR(AVERAGEIF('Данные 2st'!$Q$2:$Q$317,$A66,'Данные 2st'!$BH$2:$BH$317),"")</f>
        <v>105</v>
      </c>
      <c r="KA66" s="7">
        <f>IFERROR(AVERAGEIF('Данные 2st'!$Q$2:$Q$317,$A66,'Данные 2st'!$BI$2:$BI$317),"")</f>
        <v>18</v>
      </c>
      <c r="KB66" s="7">
        <f>IFERROR(AVERAGEIF('Данные 2st'!$Q$2:$Q$317,$A66,'Данные 2st'!$BJ$2:$BJ$317),"")</f>
        <v>87</v>
      </c>
      <c r="KC66" s="7">
        <f>IFERROR(AVERAGEIF('Данные 2st'!$Q$2:$Q$317,$A66,'Данные 2st'!$BK$2:$BK$317),"")</f>
        <v>2.5</v>
      </c>
      <c r="KD66" s="7">
        <f>IFERROR(AVERAGEIF('Данные 2st'!$Q$2:$Q$317,$A66,'Данные 2st'!$BL$2:$BL$317),"")</f>
        <v>210</v>
      </c>
      <c r="KE66" s="7">
        <f>IFERROR(AVERAGEIF('Данные 2st'!$Q$2:$Q$317,$A66,'Данные 2st'!$BM$2:$BM$317),"")</f>
        <v>-6</v>
      </c>
      <c r="KF66" s="7">
        <f>IFERROR(AVERAGEIF('Данные 2st'!$Q$2:$Q$317,$A66,'Данные 2st'!$BN$2:$BN$317),"")</f>
        <v>0</v>
      </c>
      <c r="KG66" s="7">
        <f>IFERROR(AVERAGEIF('Данные 2st'!$Q$2:$Q$317,$A66,'Данные 2st'!$BO$2:$BO$317),"")</f>
        <v/>
      </c>
      <c r="KH66" s="7">
        <f>IFERROR(AVERAGEIF('Данные 2st'!$Q$2:$Q$317,$A66,'Данные 2st'!$BP$2:$BP$317),"")</f>
        <v>0</v>
      </c>
      <c r="KI66" s="7">
        <f>IFERROR(AVERAGEIF('Данные 2st'!$Q$2:$Q$317,$A66,'Данные 2st'!$BR$2:$BR$317),"")</f>
        <v>205</v>
      </c>
      <c r="KJ66" s="7">
        <f>IFERROR(AVERAGEIF('Данные 2st'!$Q$2:$Q$317,$A66,'Данные 2st'!$BS$2:$BS$317),"")</f>
        <v>195</v>
      </c>
      <c r="KK66" s="7">
        <f>IFERROR(AVERAGEIF('Данные 2st'!$Q$2:$Q$317,$A66,'Данные 2st'!$BT$2:$BT$317),"")</f>
        <v>2220</v>
      </c>
      <c r="KL66" s="7">
        <f>IFERROR(AVERAGEIF('Данные 2st'!$Q$2:$Q$317,$A66,'Данные 2st'!$CV$2:$CV$317),"")</f>
        <v>138</v>
      </c>
      <c r="KM66" s="7">
        <f>IFERROR(AVERAGEIF('Данные 2st'!$Q$2:$Q$317,$A66,'Данные 2st'!$CW$2:$CW$317),"")</f>
        <v>3</v>
      </c>
      <c r="KN66" s="7">
        <f>IFERROR(AVERAGEIF('Данные 2st'!$Q$2:$Q$317,$A66,'Данные 2st'!$CX$2:$CX$317),"")</f>
        <v>86</v>
      </c>
      <c r="KO66" s="7">
        <f>IFERROR(AVERAGEIF('Данные 2st'!$Q$2:$Q$317,$A66,'Данные 2st'!$CY$2:$CY$317),"")</f>
        <v>5</v>
      </c>
      <c r="KP66" s="7">
        <f>IFERROR(AVERAGEIF('Данные 2st'!$Q$2:$Q$317,$A66,'Данные 2st'!$CZ$2:$CZ$317),"")</f>
        <v>185</v>
      </c>
      <c r="KQ66" s="7">
        <f>IFERROR(AVERAGEIF('Данные 2st'!$Q$2:$Q$317,$A66,'Данные 2st'!$DA$2:$DA$317),"")</f>
        <v>5</v>
      </c>
      <c r="KR66" s="7">
        <f>IFERROR(AVERAGEIF('Данные 2st'!$Q$2:$Q$317,$A66,'Данные 2st'!$DB$2:$DB$317),"")</f>
        <v>14460</v>
      </c>
      <c r="KS66" s="7">
        <f>IFERROR(AVERAGEIF('Данные 2st'!$Q$2:$Q$317,$A66,'Данные 2st'!$DC$2:$DC$317),"")</f>
        <v>430</v>
      </c>
      <c r="KT66" s="7">
        <f>IFERROR(AVERAGEIF('Данные 2st'!$Q$2:$Q$317,$A66,'Данные 2st'!$DD$2:$DD$317),"")</f>
        <v>385</v>
      </c>
      <c r="KU66" s="7">
        <f>IFERROR(AVERAGEIF('Данные 2st'!$Q$2:$Q$317,$A66,'Данные 2st'!$DE$2:$DE$317),"")</f>
        <v>2325</v>
      </c>
      <c r="KV66" s="7">
        <f>IFERROR(AVERAGEIF('Данные 2st'!$Q$2:$Q$317,$A66,'Данные 2st'!$DF$2:$DF$317),"")</f>
        <v>2325</v>
      </c>
      <c r="KW66" s="7">
        <f>IFERROR(AVERAGEIF('Данные 2st'!$Q$2:$Q$317,$A66,'Данные 2st'!$DG$2:$DG$317),"")</f>
        <v>2338</v>
      </c>
      <c r="KX66" s="7">
        <f>IFERROR(AVERAGEIF('Данные 2st'!$Q$2:$Q$317,$A66,'Данные 2st'!$DH$2:$DH$317),"")</f>
        <v>3</v>
      </c>
      <c r="KY66" s="7">
        <f>IFERROR(AVERAGEIF('Данные 2st'!$Q$2:$Q$317,$A66,'Данные 2st'!$DI$2:$DI$317),"")</f>
        <v/>
      </c>
      <c r="KZ66" s="7">
        <f>IFERROR(AVERAGEIF('Данные 2st'!$Q$2:$Q$317,$A66,'Данные 2st'!$DK$2:$DK$317),"")</f>
        <v>205</v>
      </c>
      <c r="LA66" s="7">
        <f>IFERROR(AVERAGEIF('Данные 2st'!$Q$2:$Q$317,$A66,'Данные 2st'!$DM$2:$DM$317),"")</f>
        <v>63</v>
      </c>
      <c r="LB66" s="7">
        <f>IFERROR(AVERAGEIF('Данные 2st'!$Q$2:$Q$317,$A66,'Данные 2st'!$DN$2:$DN$317),"")</f>
        <v>1.26</v>
      </c>
      <c r="LC66" s="7">
        <f>IFERROR(AVERAGEIF('Данные 2st'!$Q$2:$Q$317,$A66,'Данные 2st'!$DO$2:$DO$317),"")</f>
        <v>1</v>
      </c>
      <c r="LD66" s="7">
        <f>IFERROR(AVERAGEIF('Данные 2st'!$Q$2:$Q$317,$A66,'Данные 2st'!$DP$2:$DP$317),"")</f>
        <v>2224</v>
      </c>
      <c r="LE66" s="7">
        <f>IFERROR(AVERAGEIF('Данные 2st'!$Q$2:$Q$317,$A66,'Данные 2st'!$DQ$2:$DQ$317),"")</f>
        <v>1101</v>
      </c>
      <c r="LF66" s="7">
        <f>IFERROR(AVERAGEIF('Данные 2st'!$Q$2:$Q$317,$A66,'Данные 2st'!$DS$2:$DS$317),"")</f>
        <v>195</v>
      </c>
      <c r="LG66" s="7">
        <f>IFERROR(AVERAGEIF('Данные 2st'!$Q$2:$Q$317,$A66,'Данные 2st'!$DU$2:$DU$317),"")</f>
        <v>63</v>
      </c>
      <c r="LH66" s="7">
        <f>IFERROR(AVERAGEIF('Данные 2st'!$Q$2:$Q$317,$A66,'Данные 2st'!$DV$2:$DV$317),"")</f>
        <v>1.26</v>
      </c>
      <c r="LI66" s="7">
        <f>IFERROR(AVERAGEIF('Данные 2st'!$Q$2:$Q$317,$A66,'Данные 2st'!$DW$2:$DW$317),"")</f>
        <v>1</v>
      </c>
      <c r="LJ66" s="7">
        <f>IFERROR(AVERAGEIF('Данные 2st'!$Q$2:$Q$317,$A66,'Данные 2st'!$DX$2:$DX$317),"")</f>
        <v>2237</v>
      </c>
      <c r="LK66" s="7">
        <f>IFERROR(AVERAGEIF('Данные 2st'!$Q$2:$Q$317,$A66,'Данные 2st'!$DY$2:$DY$317),"")</f>
        <v>1054</v>
      </c>
      <c r="LL66" s="7">
        <f>IFERROR(AVERAGEIF('Данные 2st'!$Q$2:$Q$317,$A66,'Данные 2st'!$EA$2:$EA$317),"")</f>
        <v>20</v>
      </c>
      <c r="LM66" s="7">
        <f>IFERROR(AVERAGEIF('Данные 2st'!$Q$2:$Q$317,$A66,'Данные 2st'!$EC$2:$EC$317),"")</f>
        <v>0.8</v>
      </c>
      <c r="LN66" s="7">
        <f>IFERROR(AVERAGEIF('Данные 2st'!$Q$2:$Q$317,$A66,'Данные 2st'!$ED$2:$ED$317),"")</f>
        <v>2224</v>
      </c>
      <c r="LO66" s="7">
        <f>IFERROR(AVERAGEIF('Данные 2st'!$Q$2:$Q$317,$A66,'Данные 2st'!$EE$2:$EE$317),"")</f>
        <v>78</v>
      </c>
      <c r="LP66" s="7">
        <f>IFERROR(AVERAGEIF('Данные 2st'!$Q$2:$Q$317,$A66,'Данные 2st'!$EG$2:$EG$317),"")</f>
        <v>0</v>
      </c>
      <c r="LQ66" s="7">
        <f>IFERROR(AVERAGEIF('Данные 2st'!$Q$2:$Q$317,$A66,'Данные 2st'!$EI$2:$EI$317),"")</f>
        <v>0</v>
      </c>
      <c r="LR66" s="7">
        <f>IFERROR(AVERAGEIF('Данные 2st'!$Q$2:$Q$317,$A66,'Данные 2st'!$EJ$2:$EJ$317),"")</f>
        <v/>
      </c>
      <c r="LS66" s="7">
        <f>IFERROR(AVERAGEIF('Данные 2st'!$Q$2:$Q$317,$A66,'Данные 2st'!$EK$2:$EK$317),"")</f>
        <v/>
      </c>
      <c r="LT66" s="7">
        <f>IFERROR(AVERAGEIF('Данные 2st'!$Q$2:$Q$317,$A66,'Данные 2st'!$EM$2:$EM$317),"")</f>
        <v>12</v>
      </c>
      <c r="LU66" s="7">
        <f>IFERROR(AVERAGEIF('Данные 2st'!$Q$2:$Q$317,$A66,'Данные 2st'!$EN$2:$EN$317),"")</f>
        <v>0.5</v>
      </c>
      <c r="LV66" s="7">
        <f>IFERROR(AVERAGEIF('Данные 2st'!$Q$2:$Q$317,$A66,'Данные 2st'!$EO$2:$EO$317),"")</f>
        <v>0.96</v>
      </c>
      <c r="LW66" s="7">
        <f>IFERROR(AVERAGEIF('Данные 2st'!$Q$2:$Q$317,$A66,'Данные 2st'!$EP$2:$EP$317),"")</f>
        <v>2235.84</v>
      </c>
      <c r="LX66" s="7">
        <f>IFERROR(AVERAGEIF('Данные 2st'!$Q$2:$Q$317,$A66,'Данные 2st'!$EQ$2:$EQ$317),"")</f>
        <v>38777.85</v>
      </c>
      <c r="LY66" s="7">
        <f>IFERROR(AVERAGEIF('Данные 2st'!$Q$2:$Q$317,$A66,'Данные 2st'!$ER$2:$ER$317),"")</f>
        <v>6305.26</v>
      </c>
      <c r="LZ66" s="7">
        <f>IFERROR(AVERAGEIF('Данные 2st'!$Q$2:$Q$317,$A66,'Данные 2st'!$ES$2:$ES$317),"")</f>
        <v>0</v>
      </c>
      <c r="MA66" s="7">
        <f>IFERROR(AVERAGEIF('Данные 2st'!$Q$2:$Q$317,$A66,'Данные 2st'!$ET$2:$ET$317),"")</f>
        <v>0</v>
      </c>
      <c r="MB66" s="7">
        <f>IFERROR(AVERAGEIF('Данные 2st'!$Q$2:$Q$317,$A66,'Данные 2st'!$EU$2:$EU$317),"")</f>
        <v>1</v>
      </c>
      <c r="MC66" s="7">
        <f>IFERROR(AVERAGEIF('Данные 2st'!$Q$2:$Q$317,$A66,'Данные 2st'!$EV$2:$EV$317),"")</f>
        <v>45084</v>
      </c>
      <c r="MD66" s="7">
        <f>IFERROR(AVERAGEIF('Данные 2st'!$Q$2:$Q$317,$A66,'Данные 2st'!$EW$2:$EW$317),"")</f>
        <v>542</v>
      </c>
      <c r="ME66" s="7">
        <f>IFERROR(AVERAGEIF('Данные 2st'!$Q$2:$Q$317,$A66,'Данные 2st'!$EY$2:$EY$317),"")</f>
        <v>236</v>
      </c>
      <c r="MF66" s="7">
        <f>IFERROR(AVERAGEIF('Данные 2st'!$Q$2:$Q$317,$A66,'Данные 2st'!$FA$2:$FA$317),"")</f>
        <v>4</v>
      </c>
      <c r="MG66" s="7">
        <f>IFERROR(AVERAGEIF('Данные 2st'!$Q$2:$Q$317,$A66,'Данные 2st'!$FB$2:$FB$317),"")</f>
        <v>1</v>
      </c>
      <c r="MH66" s="7">
        <f>IFERROR(AVERAGEIF('Данные 2st'!$Q$2:$Q$317,$A66,'Данные 2st'!$FC$2:$FC$317),"")</f>
        <v>1</v>
      </c>
      <c r="MI66" s="7">
        <f>IFERROR(AVERAGEIF('Данные 2st'!$Q$2:$Q$317,$A66,'Данные 2st'!$FD$2:$FD$317),"")</f>
        <v>2269</v>
      </c>
      <c r="MJ66" s="7">
        <f>IFERROR(AVERAGEIF('Данные 2st'!$Q$2:$Q$317,$A66,'Данные 2st'!$FE$2:$FE$317),"")</f>
        <v>2488</v>
      </c>
      <c r="MK66" s="7">
        <f>IFERROR(AVERAGEIF('Данные 2st'!$Q$2:$Q$317,$A66,'Данные 2st'!$FG$2:$FG$317),"")</f>
        <v>244</v>
      </c>
      <c r="ML66" s="7">
        <f>IFERROR(AVERAGEIF('Данные 2st'!$Q$2:$Q$317,$A66,'Данные 2st'!$FI$2:$FI$317),"")</f>
        <v>4.1</v>
      </c>
      <c r="MM66" s="7">
        <f>IFERROR(AVERAGEIF('Данные 2st'!$Q$2:$Q$317,$A66,'Данные 2st'!$FJ$2:$FJ$317),"")</f>
        <v>2269</v>
      </c>
      <c r="MN66" s="7">
        <f>IFERROR(AVERAGEIF('Данные 2st'!$Q$2:$Q$317,$A66,'Данные 2st'!$FK$2:$FK$317),"")</f>
        <v>2607</v>
      </c>
      <c r="MO66" s="7">
        <f>IFERROR(AVERAGEIF('Данные 2st'!$Q$2:$Q$317,$A66,'Данные 2st'!$FP$2:$FP$317),"")</f>
        <v>2269</v>
      </c>
      <c r="MP66" s="7">
        <f>IFERROR(AVERAGEIF('Данные 2st'!$Q$2:$Q$317,$A66,'Данные 2st'!$FQ$2:$FQ$317),"")</f>
        <v>215</v>
      </c>
      <c r="MQ66" s="7">
        <f>IFERROR(AVERAGEIF('Данные 2st'!$Q$2:$Q$317,$A66,'Данные 2st'!$FS$2:$FS$317),"")</f>
        <v>248</v>
      </c>
      <c r="MR66" s="7">
        <f>IFERROR(AVERAGEIF('Данные 2st'!$Q$2:$Q$317,$A66,'Данные 2st'!$FU$2:$FU$317),"")</f>
        <v>0.4</v>
      </c>
      <c r="MS66" s="7">
        <f>IFERROR(AVERAGEIF('Данные 2st'!$Q$2:$Q$317,$A66,'Данные 2st'!$FV$2:$FV$317),"")</f>
        <v>2269</v>
      </c>
      <c r="MT66" s="7">
        <f>IFERROR(AVERAGEIF('Данные 2st'!$Q$2:$Q$317,$A66,'Данные 2st'!$FW$2:$FW$317),"")</f>
        <v>251</v>
      </c>
      <c r="MU66" s="7">
        <f>IFERROR(AVERAGEIF('Данные 2st'!$Q$2:$Q$317,$A66,'Данные 2st'!$FY$2:$FY$317),"")</f>
        <v/>
      </c>
      <c r="MV66" s="7">
        <f>IFERROR(AVERAGEIF('Данные 2st'!$Q$2:$Q$317,$A66,'Данные 2st'!$GB$2:$GB$317),"")</f>
        <v/>
      </c>
      <c r="MW66" s="7">
        <f>IFERROR(AVERAGEIF('Данные 2st'!$Q$2:$Q$317,$A66,'Данные 2st'!$GC$2:$GC$317),"")</f>
        <v/>
      </c>
      <c r="MX66" s="7">
        <f>IFERROR(AVERAGEIF('Данные 2st'!$Q$2:$Q$317,$A66,'Данные 2st'!$GD$2:$GD$317),"")</f>
        <v>5561</v>
      </c>
      <c r="MY66" s="7">
        <f>IFERROR(AVERAGEIF('Данные 2st'!$Q$2:$Q$317,$A66,'Данные 2st'!$GN$2:$GN$317),"")</f>
        <v/>
      </c>
      <c r="MZ66" s="7">
        <f>IFERROR(AVERAGEIF('Данные 2st'!$Q$2:$Q$317,$A66,'Данные 2st'!$GQ$2:$GQ$317),"")</f>
        <v>0</v>
      </c>
      <c r="NA66" s="7">
        <f>IFERROR(AVERAGEIF('Данные 2st'!$Q$2:$Q$317,$A66,'Данные 2st'!$GV$2:$GV$317),"")</f>
        <v>8.5</v>
      </c>
      <c r="NB66" s="7">
        <f>IFERROR(AVERAGEIF('Данные 2st'!$Q$2:$Q$317,$A66,'Данные 2st'!$GW$2:$GW$317),"")</f>
        <v>11.5</v>
      </c>
      <c r="NC66" s="7">
        <f>IFERROR(AVERAGEIF('Данные 2st'!$Q$2:$Q$317,$A66,'Данные 2st'!$GX$2:$GX$317),"")</f>
        <v>0.5</v>
      </c>
      <c r="ND66" s="7">
        <f>IFERROR(AVERAGEIF('Данные 2st'!$Q$2:$Q$317,$A66,'Данные 2st'!$GY$2:$GY$317),"")</f>
        <v>188</v>
      </c>
      <c r="NE66" s="7">
        <f>IFERROR(AVERAGEIF('Данные 2st'!$Q$2:$Q$317,$A66,'Данные 2st'!$GZ$2:$GZ$317),"")</f>
        <v>3</v>
      </c>
      <c r="NF66" s="7">
        <f>IFERROR(AVERAGEIF('Данные 2st'!$Q$2:$Q$317,$A66,'Данные 2st'!$HA$2:$HA$317),"")</f>
        <v>264</v>
      </c>
      <c r="NG66" s="7">
        <f>IFERROR(AVERAGEIF('Данные 2st'!$Q$2:$Q$317,$A66,'Данные 2st'!$HB$2:$HB$317),"")</f>
        <v>3</v>
      </c>
      <c r="NH66" s="7">
        <f>IFERROR(AVERAGEIF('Данные 2st'!$Q$2:$Q$317,$A66,'Данные 2st'!$HC$2:$HC$317),"")</f>
        <v>2269</v>
      </c>
      <c r="NI66" s="7">
        <f>IFERROR(AVERAGEIF('Данные 2st'!$Q$2:$Q$317,$A66,'Данные 2st'!$HD$2:$HD$317),"")</f>
        <v>4</v>
      </c>
      <c r="NJ66" s="7">
        <f>IFERROR(AVERAGEIF('Данные 2st'!$Q$2:$Q$317,$A66,'Данные 2st'!$HM$2:$HM$317),"")</f>
        <v>16</v>
      </c>
      <c r="NK66" s="7">
        <f>IFERROR(AVERAGEIF('Данные 2st'!$Q$2:$Q$317,$A66,'Данные 2st'!$HR$2:$HR$317),"")</f>
        <v>2</v>
      </c>
      <c r="NL66" s="7">
        <f>IFERROR(AVERAGEIF('Данные 2st'!$Q$2:$Q$317,$A66,'Данные 2st'!$HS$2:$HS$317),"")</f>
        <v>2220</v>
      </c>
      <c r="NM66" s="7">
        <f>IFERROR(AVERAGEIF('Данные 2st'!$Q$2:$Q$317,$A66,'Данные 2st'!$HT$2:$HT$317),"")</f>
        <v>5</v>
      </c>
      <c r="NN66" s="7">
        <f>IFERROR(AVERAGEIF('Данные 2st'!$Q$2:$Q$317,$A66,'Данные 2st'!$HY$2:$HY$317),"")</f>
        <v>0</v>
      </c>
      <c r="NO66" s="7">
        <f>IFERROR(AVERAGEIF('Данные 2st'!$Q$2:$Q$317,$A66,'Данные 2st'!$HZ$2:$HZ$317),"")</f>
        <v>63</v>
      </c>
      <c r="NP66" s="7">
        <f>IFERROR(AVERAGEIF('Данные 2st'!$Q$2:$Q$317,$A66,'Данные 2st'!$IA$2:$IA$317),"")</f>
        <v>2224</v>
      </c>
      <c r="NQ66" s="7">
        <f>IFERROR(AVERAGEIF('Данные 2st'!$Q$2:$Q$317,$A66,'Данные 2st'!$IB$2:$IB$317),"")</f>
        <v>2237</v>
      </c>
      <c r="NR66" s="7">
        <f>IFERROR(AVERAGEIF('Данные 2st'!$Q$2:$Q$317,$A66,'Данные 2st'!$IC$2:$IC$317),"")</f>
        <v/>
      </c>
      <c r="NS66" s="7">
        <f>IFERROR(AVERAGEIF('Данные 2st'!$Q$2:$Q$317,$A66,'Данные 2st'!$ID$2:$ID$317),"")</f>
        <v>2269</v>
      </c>
      <c r="NT66" s="7">
        <f>IFERROR(AVERAGEIF('Данные 2st'!$Q$2:$Q$317,$A66,'Данные 2st'!$IE$2:$IE$317),"")</f>
        <v>2269</v>
      </c>
      <c r="NU66" s="7">
        <f>IFERROR(AVERAGEIF('Данные 2st'!$Q$2:$Q$317,$A66,'Данные 2st'!$IF$2:$IF$317),"")</f>
        <v>205</v>
      </c>
      <c r="NV66" s="7">
        <f>IFERROR(AVERAGEIF('Данные 2st'!$Q$2:$Q$317,$A66,'Данные 2st'!$IG$2:$IG$317),"")</f>
        <v>195</v>
      </c>
      <c r="NW66" s="7">
        <f>IFERROR(AVERAGEIF('Данные 2st'!$Q$2:$Q$317,$A66,'Данные 2st'!$IH$2:$IH$317),"")</f>
        <v>264</v>
      </c>
      <c r="NX66" s="7">
        <f>IFERROR(AVERAGEIF('Данные 2st'!$Q$2:$Q$317,$A66,'Данные 2st'!$IJ$2:$IJ$317),"")</f>
        <v>5</v>
      </c>
      <c r="NY66" s="7">
        <f>IFERROR(AVERAGEIF('Данные 2st'!$Q$2:$Q$317,$A66,'Данные 2st'!$IM$2:$IM$317),"")</f>
        <v>0</v>
      </c>
      <c r="NZ66" s="7">
        <f>IFERROR(AVERAGEIF('Данные 2st'!$Q$2:$Q$317,$A66,'Данные 2st'!$IN$2:$IN$317),"")</f>
        <v>150</v>
      </c>
      <c r="OA66" s="7">
        <f>IFERROR(AVERAGEIF('Данные 2st'!$Q$2:$Q$317,$A66,'Данные 2st'!$IO$2:$IO$317),"")</f>
        <v>0</v>
      </c>
      <c r="OB66" s="7">
        <f>IFERROR(AVERAGEIF('Данные 2st'!$Q$2:$Q$317,$A66,'Данные 2st'!$IP$2:$IP$317),"")</f>
        <v>180</v>
      </c>
      <c r="OC66" s="7">
        <f>IFERROR(AVERAGEIF('Данные 2st'!$Q$2:$Q$317,$A66,'Данные 2st'!$IQ$2:$IQ$317),"")</f>
        <v>0</v>
      </c>
      <c r="OD66" s="7">
        <f>IFERROR(AVERAGEIF('Данные 2st'!$Q$2:$Q$317,$A66,'Данные 2st'!$IR$2:$IR$317),"")</f>
        <v>330</v>
      </c>
      <c r="OE66" s="7">
        <f>IFERROR(AVERAGEIF('Данные 2st'!$Q$2:$Q$317,$A66,'Данные 2st'!$IT$2:$IT$317),"")</f>
        <v>90</v>
      </c>
      <c r="OF66" s="7">
        <f>IFERROR(AVERAGEIF('Данные 2st'!$Q$2:$Q$317,$A66,'Данные 2st'!$IU$2:$IU$317),"")</f>
        <v>0</v>
      </c>
      <c r="OG66" s="7">
        <f>IFERROR(AVERAGEIF('Данные 2st'!$Q$2:$Q$317,$A66,'Данные 2st'!$IV$2:$IV$317),"")</f>
        <v>6.4</v>
      </c>
      <c r="OH66" s="7">
        <f>IFERROR(AVERAGEIF('Данные 2st'!$Q$2:$Q$317,$A66,'Данные 2st'!$IW$2:$IW$317),"")</f>
        <v>-6</v>
      </c>
      <c r="OI66" s="7">
        <f>IFERROR(AVERAGEIF('Данные 2st'!$Q$2:$Q$317,$A66,'Данные 2st'!$IX$2:$IX$317),"")</f>
        <v>105</v>
      </c>
      <c r="OJ66" s="7">
        <f>IFERROR(AVERAGEIF('Данные 2st'!$Q$2:$Q$317,$A66,'Данные 2st'!$IY$2:$IY$317),"")</f>
        <v>87</v>
      </c>
      <c r="OK66" s="7">
        <f>IFERROR(AVERAGEIF('Данные 2st'!$Q$2:$Q$317,$A66,'Данные 2st'!$IZ$2:$IZ$317),"")</f>
        <v>0</v>
      </c>
      <c r="OL66" s="7">
        <f>IFERROR(AVERAGEIF('Данные 2st'!$Q$2:$Q$317,$A66,'Данные 2st'!$JA$2:$JA$317),"")</f>
        <v>0</v>
      </c>
      <c r="OM66" s="7">
        <f>IFERROR(AVERAGEIF('Данные 2st'!$Q$2:$Q$317,$A66,'Данные 2st'!$JB$2:$JB$317),"")</f>
        <v>0</v>
      </c>
      <c r="ON66" s="7">
        <f>IFERROR(AVERAGEIF('Данные 2st'!$Q$2:$Q$317,$A66,'Данные 2st'!$JC$2:$JC$317),"")</f>
        <v>0</v>
      </c>
      <c r="OO66" s="7">
        <f>IFERROR(AVERAGEIF('Данные 2st'!$Q$2:$Q$317,$A66,'Данные 2st'!$JD$2:$JD$317),"")</f>
        <v>0</v>
      </c>
      <c r="OP66" s="7">
        <f>IFERROR(AVERAGEIF('Данные 2st'!$Q$2:$Q$317,$A66,'Данные 2st'!$JE$2:$JE$317),"")</f>
        <v>0</v>
      </c>
      <c r="OQ66" s="7">
        <f>IFERROR(AVERAGEIF('Данные 2st'!$Q$2:$Q$317,$A66,'Данные 2st'!$JF$2:$JF$317),"")</f>
        <v>0</v>
      </c>
      <c r="OR66" s="7">
        <f>IFERROR(AVERAGEIF('Данные 2st'!$Q$2:$Q$317,$A66,'Данные 2st'!$JG$2:$JG$317),"")</f>
        <v>0</v>
      </c>
      <c r="OS66" s="7">
        <f>IFERROR(AVERAGEIF('Данные 2st'!$Q$2:$Q$317,$A66,'Данные 2st'!$JH$2:$JH$317),"")</f>
        <v>0</v>
      </c>
      <c r="OT66" s="7">
        <f>IFERROR(AVERAGEIF('Данные 2st'!$Q$2:$Q$317,$A66,'Данные 2st'!$JI$2:$JI$317),"")</f>
        <v>496</v>
      </c>
      <c r="OU66" s="7">
        <f>IFERROR(AVERAGEIF('Данные 2st'!$Q$2:$Q$317,$A66,'Данные 2st'!$JJ$2:$JJ$317),"")</f>
        <v>466</v>
      </c>
      <c r="OV66" s="7">
        <f>IFERROR(AVERAGEIF('Данные 2st'!$Q$2:$Q$317,$A66,'Данные 2st'!$JK$2:$JK$317),"")</f>
        <v>340</v>
      </c>
      <c r="OW66" s="7">
        <f>IFERROR(AVERAGEIF('Данные 2st'!$Q$2:$Q$317,$A66,'Данные 2st'!$JL$2:$JL$317),"")</f>
        <v>464</v>
      </c>
      <c r="OX66" s="7">
        <f>IFERROR(AVERAGEIF('Данные 2st'!$Q$2:$Q$317,$A66,'Данные 2st'!$JM$2:$JM$317),"")</f>
        <v>330</v>
      </c>
      <c r="OY66" s="7">
        <f>IFERROR(AVERAGEIF('Данные 2st'!$Q$2:$Q$317,$A66,'Данные 2st'!$JP$2:$JP$317),"")</f>
        <v>190</v>
      </c>
      <c r="OZ66" s="7">
        <f>IFERROR(AVERAGEIF('Данные 2st'!$Q$2:$Q$317,$A66,'Данные 2st'!$JQ$2:$JQ$317),"")</f>
        <v>240</v>
      </c>
      <c r="PA66" s="7">
        <f>IFERROR(AVERAGEIF('Данные 2st'!$Q$2:$Q$317,$A66,'Данные 2st'!$JR$2:$JR$317),"")</f>
        <v>385</v>
      </c>
      <c r="PB66" s="7">
        <f>IFERROR(AVERAGEIF('Данные 2st'!$Q$2:$Q$317,$A66,'Данные 2st'!$JS$2:$JS$317),"")</f>
        <v>230</v>
      </c>
      <c r="PC66" s="7">
        <f>IFERROR(AVERAGEIF('Данные 2st'!$Q$2:$Q$317,$A66,'Данные 2st'!$JT$2:$JT$317),"")</f>
        <v>0</v>
      </c>
      <c r="PD66" s="7">
        <f>IFERROR(AVERAGEIF('Данные 2st'!$Q$2:$Q$317,$A66,'Данные 2st'!$JU$2:$JU$317),"")</f>
        <v>0</v>
      </c>
      <c r="PE66" s="7">
        <f>IFERROR(AVERAGEIF('Данные 2st'!$Q$2:$Q$317,$A66,'Данные 2st'!$JV$2:$JV$317),"")</f>
        <v>335</v>
      </c>
      <c r="PF66" s="7">
        <f>IFERROR(AVERAGEIF('Данные 2st'!$Q$2:$Q$317,$A66,'Данные 2st'!$JW$2:$JW$317),"")</f>
        <v>337</v>
      </c>
      <c r="PG66" s="7">
        <f>IFERROR(AVERAGEIF('Данные 2st'!$Q$2:$Q$317,$A66,'Данные 2st'!$KF$2:$KF$317),"")</f>
        <v>0.21</v>
      </c>
      <c r="PH66" s="7">
        <f>IFERROR(AVERAGEIF('Данные 2st'!$Q$2:$Q$317,$A66,'Данные 2st'!$KG$2:$KG$317),"")</f>
        <v>0.1</v>
      </c>
      <c r="PI66" s="7">
        <f>IFERROR(AVERAGEIF('Данные 2st'!$Q$2:$Q$317,$A66,'Данные 2st'!$KM$2:$KM$317),"")</f>
        <v>0</v>
      </c>
      <c r="PJ66" s="7">
        <f>IFERROR(AVERAGEIF('Данные 2st'!$Q$2:$Q$317,$A66,'Данные 2st'!$KN$2:$KN$317),"")</f>
        <v>1.7</v>
      </c>
      <c r="PK66" s="7">
        <f>IFERROR(AVERAGEIF('Данные 2st'!$Q$2:$Q$317,$A66,'Данные 2st'!$KO$2:$KO$317),"")</f>
        <v>2</v>
      </c>
      <c r="PL66" s="7">
        <f>IFERROR(AVERAGEIF('Данные 2st'!$Q$2:$Q$317,$A66,'Данные 2st'!$KP$2:$KP$317),"")</f>
        <v>0</v>
      </c>
      <c r="PM66" s="7">
        <f>IFERROR(AVERAGEIF('Данные 2st'!$Q$2:$Q$317,$A66,'Данные 2st'!$KQ$2:$KQ$317),"")</f>
        <v>1</v>
      </c>
      <c r="PN66" s="7">
        <f>IFERROR(AVERAGEIF('Данные 2st'!$Q$2:$Q$317,$A66,'Данные 2st'!$KR$2:$KR$317),"")</f>
        <v>1</v>
      </c>
      <c r="PO66" s="7">
        <f>IFERROR(AVERAGEIF('Данные 2st'!$Q$2:$Q$317,$A66,'Данные 2st'!$KS$2:$KS$317),"")</f>
        <v>0</v>
      </c>
      <c r="PP66" s="7">
        <f>IFERROR(AVERAGEIF('Данные 2st'!$Q$2:$Q$317,$A66,'Данные 2st'!$KT$2:$KT$317),"")</f>
        <v>3</v>
      </c>
      <c r="PQ66" s="7">
        <f>IFERROR(AVERAGEIF('Данные 2st'!$Q$2:$Q$317,$A66,'Данные 2st'!$KU$2:$KU$317),"")</f>
        <v>0</v>
      </c>
      <c r="PR66" s="7">
        <f>IFERROR(AVERAGEIF('Данные 2st'!$Q$2:$Q$317,$A66,'Данные 2st'!$KV$2:$KV$317),"")</f>
        <v>0</v>
      </c>
      <c r="PS66" s="7">
        <f>IFERROR(AVERAGEIF('Данные 2st'!$Q$2:$Q$317,$A66,'Данные 2st'!$KW$2:$KW$317),"")</f>
        <v>0.8</v>
      </c>
      <c r="PT66" s="7">
        <f>IFERROR(AVERAGEIF('Данные 2st'!$Q$2:$Q$317,$A66,'Данные 2st'!$KX$2:$KX$317),"")</f>
        <v>2</v>
      </c>
      <c r="PU66" s="7">
        <f>IFERROR(AVERAGEIF('Данные 2st'!$Q$2:$Q$317,$A66,'Данные 2st'!$KY$2:$KY$317),"")</f>
        <v>0</v>
      </c>
      <c r="PV66" s="7">
        <f>IFERROR(AVERAGEIF('Данные 2st'!$Q$2:$Q$317,$A66,'Данные 2st'!$KZ$2:$KZ$317),"")</f>
        <v>3</v>
      </c>
      <c r="PW66" s="7">
        <f>IFERROR(AVERAGEIF('Данные 2st'!$Q$2:$Q$317,$A66,'Данные 2st'!$LA$2:$LA$317),"")</f>
        <v>1.4</v>
      </c>
      <c r="PX66" s="7">
        <f>IFERROR(AVERAGEIF('Данные 2st'!$Q$2:$Q$317,$A66,'Данные 2st'!$LB$2:$LB$317),"")</f>
        <v>8</v>
      </c>
      <c r="PY66" s="7">
        <f>IFERROR(AVERAGEIF('Данные 2st'!$Q$2:$Q$317,$A66,'Данные 2st'!$LC$2:$LC$317),"")</f>
        <v>2.8</v>
      </c>
      <c r="PZ66" s="7">
        <f>IFERROR(AVERAGEIF('Данные 2st'!$Q$2:$Q$317,$A66,'Данные 2st'!$LD$2:$LD$317),"")</f>
        <v>3.5</v>
      </c>
      <c r="QA66" s="7">
        <f>IFERROR(AVERAGEIF('Данные 2st'!$Q$2:$Q$317,$A66,'Данные 2st'!$LE$2:$LE$317),"")</f>
        <v>1.6</v>
      </c>
      <c r="QB66" s="7">
        <f>IFERROR(AVERAGEIF('Данные 2st'!$Q$2:$Q$317,$A66,'Данные 2st'!$LF$2:$LF$317),"")</f>
        <v>0</v>
      </c>
      <c r="QC66" s="7">
        <f>IFERROR(AVERAGEIF('Данные 2st'!$Q$2:$Q$317,$A66,'Данные 2st'!$LG$2:$LG$317),"")</f>
        <v>0</v>
      </c>
      <c r="QD66" s="7">
        <f>IFERROR(AVERAGEIF('Данные 2st'!$Q$2:$Q$317,$A66,'Данные 2st'!$LH$2:$LH$317),"")</f>
        <v>3</v>
      </c>
      <c r="QE66" s="7">
        <f>IFERROR(AVERAGEIF('Данные 2st'!$Q$2:$Q$317,$A66,'Данные 2st'!$LJ$2:$LJ$317),"")</f>
        <v>0</v>
      </c>
      <c r="QF66" s="7">
        <f>IFERROR(AVERAGEIF('Данные 2st'!$Q$2:$Q$317,$A66,'Данные 2st'!$LK$2:$LK$317),"")</f>
        <v>9</v>
      </c>
      <c r="QG66" s="7">
        <f>IFERROR(AVERAGEIF('Данные 2st'!$Q$2:$Q$317,$A66,'Данные 2st'!$LL$2:$LL$317),"")</f>
        <v>14</v>
      </c>
      <c r="QH66" s="7">
        <f>IFERROR(AVERAGEIF('Данные 2st'!$Q$2:$Q$317,$A66,'Данные 2st'!$LM$2:$LM$317),"")</f>
        <v>15</v>
      </c>
      <c r="QI66" s="7">
        <f>IFERROR(AVERAGEIF('Данные 2st'!$Q$2:$Q$317,$A66,'Данные 2st'!$LN$2:$LN$317),"")</f>
        <v>0.5</v>
      </c>
      <c r="QJ66" s="7">
        <f>IFERROR(AVERAGEIF('Данные 2st'!$Q$2:$Q$317,$A66,'Данные 2st'!$LO$2:$LO$317),"")</f>
        <v>3</v>
      </c>
      <c r="QK66" s="7">
        <f>IFERROR(AVERAGEIF('Данные 2st'!$Q$2:$Q$317,$A66,'Данные 2st'!$LP$2:$LP$317),"")</f>
        <v>0</v>
      </c>
      <c r="QL66" s="7">
        <f>IFERROR(AVERAGEIF('Данные 2st'!$Q$2:$Q$317,$A66,'Данные 2st'!$LQ$2:$LQ$317),"")</f>
        <v>0</v>
      </c>
      <c r="QM66" s="7">
        <f>IFERROR(AVERAGEIF('Данные 2st'!$Q$2:$Q$317,$A66,'Данные 2st'!$LW$2:$LW$317),"")</f>
        <v>2.6</v>
      </c>
      <c r="QN66" s="7">
        <f>IFERROR(AVERAGEIF('Данные 2st'!$Q$2:$Q$317,$A66,'Данные 2st'!$LX$2:$LX$317),"")</f>
        <v>2.6</v>
      </c>
      <c r="QO66" s="7">
        <f>IFERROR(AVERAGEIF('Данные 2st'!$Q$2:$Q$317,$A66,'Данные 2st'!$LY$2:$LY$317),"")</f>
        <v>2.1</v>
      </c>
      <c r="QP66" s="7">
        <f>IFERROR(AVERAGEIF('Данные 2st'!$Q$2:$Q$317,$A66,'Данные 2st'!$LZ$2:$LZ$317),"")</f>
        <v>2.1</v>
      </c>
      <c r="QQ66" s="7">
        <f>IFERROR(AVERAGEIF('Данные 2st'!$Q$2:$Q$317,$A66,'Данные 2st'!$MB$2:$MB$317),"")</f>
        <v>4</v>
      </c>
      <c r="QR66" s="7">
        <f>IFERROR(AVERAGEIF('Данные 2st'!$Q$2:$Q$317,$A66,'Данные 2st'!$MG$2:$MG$317),"")</f>
        <v>0</v>
      </c>
      <c r="QS66" s="7">
        <f>IFERROR(AVERAGEIF('Данные 2st'!$Q$2:$Q$317,$A66,'Данные 2st'!$MH$2:$MH$317),"")</f>
        <v>0</v>
      </c>
      <c r="QT66" s="7">
        <f>IFERROR(AVERAGEIF('Данные 2st'!$Q$2:$Q$317,$A66,'Данные 2st'!$MI$2:$MI$317),"")</f>
        <v>0</v>
      </c>
      <c r="QU66" s="7">
        <f>IFERROR(AVERAGEIF('Данные 2st'!$Q$2:$Q$317,$A66,'Данные 2st'!$MJ$2:$MJ$317),"")</f>
        <v>0</v>
      </c>
      <c r="QV66" s="7">
        <f>IFERROR(AVERAGEIF('Данные 2st'!$Q$2:$Q$317,$A66,'Данные 2st'!$MK$2:$MK$317),"")</f>
        <v>0</v>
      </c>
      <c r="QW66" s="7">
        <f>IFERROR(AVERAGEIF('Данные 2st'!$Q$2:$Q$317,$A66,'Данные 2st'!$MM$2:$MM$317),"")</f>
        <v>452</v>
      </c>
      <c r="QX66" s="7">
        <f>IFERROR(AVERAGEIF('Данные 2st'!$Q$2:$Q$317,$A66,'Данные 2st'!$MQ$2:$MQ$317),"")</f>
        <v/>
      </c>
      <c r="QY66" s="7">
        <f>IFERROR(AVERAGEIF('Данные 2st'!$Q$2:$Q$317,$A66,'Данные 2st'!$MR$2:$MR$317),"")</f>
        <v/>
      </c>
      <c r="QZ66" s="7">
        <f>IFERROR(AVERAGEIF('Данные 2st'!$Q$2:$Q$317,$A66,'Данные 2st'!$MS$2:$MS$317),"")</f>
        <v/>
      </c>
      <c r="RA66" s="7">
        <f>IFERROR(AVERAGEIF('Данные 2st'!$Q$2:$Q$317,$A66,'Данные 2st'!$MT$2:$MT$317),"")</f>
        <v/>
      </c>
      <c r="RB66" s="7">
        <f>IFERROR(AVERAGEIF('Данные 2st'!$Q$2:$Q$317,$A66,'Данные 2st'!$MU$2:$MU$317),"")</f>
        <v/>
      </c>
      <c r="RC66" s="7">
        <f>IFERROR(AVERAGEIF('Данные 2st'!$Q$2:$Q$317,$A66,'Данные 2st'!$MV$2:$MV$317),"")</f>
        <v/>
      </c>
      <c r="RD66" s="7">
        <f>IFERROR(AVERAGEIF('Данные 2st'!$Q$2:$Q$317,$A66,'Данные 2st'!$MW$2:$MW$317),"")</f>
        <v/>
      </c>
      <c r="RE66" s="7">
        <f>IFERROR(AVERAGEIF('Данные 2st'!$Q$2:$Q$317,$A66,'Данные 2st'!$MX$2:$MX$317),"")</f>
        <v/>
      </c>
      <c r="RF66" s="7">
        <f>IFERROR(AVERAGEIF('Данные 2st'!$Q$2:$Q$317,$A66,'Данные 2st'!$MY$2:$MY$317),"")</f>
        <v/>
      </c>
      <c r="RG66" s="7">
        <f>IFERROR(AVERAGEIF('Данные 2st'!$Q$2:$Q$317,$A66,'Данные 2st'!$MZ$2:$MZ$317),"")</f>
        <v/>
      </c>
      <c r="RH66" s="7">
        <f>IFERROR(AVERAGEIF('Данные 2st'!$Q$2:$Q$317,$A66,'Данные 2st'!$NA$2:$NA$317),"")</f>
        <v/>
      </c>
      <c r="RI66" s="7">
        <f>IFERROR(AVERAGEIF('Данные 2st'!$Q$2:$Q$317,$A66,'Данные 2st'!$NB$2:$NB$317),"")</f>
        <v/>
      </c>
      <c r="RJ66" s="7">
        <f>IFERROR(AVERAGEIF('Данные 2st'!$Q$2:$Q$317,$A66,'Данные 2st'!$NC$2:$NC$317),"")</f>
        <v/>
      </c>
      <c r="RK66" s="7">
        <f>IFERROR(AVERAGEIF('Данные 2st'!$Q$2:$Q$317,$A66,'Данные 2st'!$ND$2:$ND$317),"")</f>
        <v/>
      </c>
      <c r="RL66" s="7">
        <f>IFERROR(AVERAGEIF('Данные 2st'!$Q$2:$Q$317,$A66,'Данные 2st'!$NE$2:$NE$317),"")</f>
        <v/>
      </c>
      <c r="RM66" s="7">
        <f>IFERROR(AVERAGEIF('Данные 2st'!$Q$2:$Q$317,$A66,'Данные 2st'!$NF$2:$NF$317),"")</f>
        <v/>
      </c>
      <c r="RN66" s="7">
        <f>IFERROR(AVERAGEIF('Данные 2st'!$Q$2:$Q$317,$A66,'Данные 2st'!$NG$2:$NG$317),"")</f>
        <v/>
      </c>
      <c r="RO66" s="7">
        <f>IFERROR(AVERAGEIF('Данные 2st'!$Q$2:$Q$317,$A66,'Данные 2st'!$NH$2:$NH$317),"")</f>
        <v/>
      </c>
      <c r="RP66" s="7">
        <f>IFERROR(AVERAGEIF('Данные 2st'!$Q$2:$Q$317,$A66,'Данные 2st'!$NJ$2:$NJ$317),"")</f>
        <v/>
      </c>
      <c r="RQ66" s="7">
        <f>IFERROR(AVERAGEIF('Данные 2st'!$Q$2:$Q$317,$A66,'Данные 2st'!$NK$2:$NK$317),"")</f>
        <v/>
      </c>
      <c r="RR66" s="7">
        <f>IFERROR(AVERAGEIF('Данные 2st'!$Q$2:$Q$317,$A66,'Данные 2st'!$NM$2:$NM$317),"")</f>
        <v/>
      </c>
      <c r="RS66" s="7">
        <f>IFERROR(AVERAGEIF('Данные 2st'!$Q$2:$Q$317,$A66,'Данные 2st'!$NN$2:$NN$317),"")</f>
        <v/>
      </c>
      <c r="RT66" s="7">
        <f>IFERROR(AVERAGEIF('Данные 2st'!$Q$2:$Q$317,$A66,'Данные 2st'!$NO$2:$NO$317),"")</f>
        <v/>
      </c>
      <c r="RU66" s="7">
        <f>IFERROR(AVERAGEIF('Данные 2st'!$Q$2:$Q$317,$A66,'Данные 2st'!$NP$2:$NP$317),"")</f>
        <v/>
      </c>
      <c r="RV66" s="7">
        <f>IFERROR(AVERAGEIF('Данные 2st'!$Q$2:$Q$317,$A66,'Данные 2st'!$NQ$2:$NQ$317),"")</f>
        <v/>
      </c>
      <c r="RW66" s="7">
        <f>IFERROR(AVERAGEIF('Данные 2st'!$Q$2:$Q$317,$A66,'Данные 2st'!$NR$2:$NR$317),"")</f>
        <v/>
      </c>
      <c r="RX66" s="7">
        <f>IFERROR(AVERAGEIF('Данные 2st'!$Q$2:$Q$317,$A66,'Данные 2st'!$NS$2:$NS$317),"")</f>
        <v/>
      </c>
      <c r="RY66" s="7">
        <f>IFERROR(AVERAGEIF('Данные 2st'!$Q$2:$Q$317,$A66,'Данные 2st'!$NT$2:$NT$317),"")</f>
        <v/>
      </c>
      <c r="RZ66" s="7">
        <f>IFERROR(AVERAGEIF('Данные 2st'!$Q$2:$Q$317,$A66,'Данные 2st'!$OK$2:$OK$317),"")</f>
        <v>61</v>
      </c>
      <c r="SA66" s="7">
        <f>IFERROR(AVERAGEIF('Данные 2st'!$Q$2:$Q$317,$A66,'Данные 2st'!$OL$2:$OL$317),"")</f>
        <v>61</v>
      </c>
      <c r="SB66" s="7">
        <f>IFERROR(AVERAGEIF('Данные 2st'!$Q$2:$Q$317,$A66,'Данные 2st'!$ON$2:$ON$317),"")</f>
        <v>1</v>
      </c>
      <c r="SC66" s="7">
        <f>IFERROR(AVERAGEIF('Данные 2st'!$Q$2:$Q$317,$A66,'Данные 2st'!$OO$2:$OO$317),"")</f>
        <v>2224</v>
      </c>
      <c r="SD66" s="7">
        <f>IFERROR(AVERAGEIF('Данные 2st'!$Q$2:$Q$317,$A66,'Данные 2st'!$OP$2:$OP$317),"")</f>
        <v>61</v>
      </c>
      <c r="SE66" s="7">
        <f>IFERROR(AVERAGEIF('Данные 2st'!$Q$2:$Q$317,$A66,'Данные 2st'!$OQ$2:$OQ$317),"")</f>
        <v>61</v>
      </c>
      <c r="SF66" s="7">
        <f>IFERROR(AVERAGEIF('Данные 2st'!$Q$2:$Q$317,$A66,'Данные 2st'!$OS$2:$OS$317),"")</f>
        <v>1</v>
      </c>
      <c r="SG66" s="7">
        <f>IFERROR(AVERAGEIF('Данные 2st'!$Q$2:$Q$317,$A66,'Данные 2st'!$OT$2:$OT$317),"")</f>
        <v>2237</v>
      </c>
      <c r="SH66" s="7">
        <f>IFERROR(AVERAGEIF('Данные 2st'!$Q$2:$Q$317,$A66,'Данные 2st'!$OU$2:$OU$317),"")</f>
        <v>65</v>
      </c>
      <c r="SI66" s="7">
        <f>IFERROR(AVERAGEIF('Данные 2st'!$Q$2:$Q$317,$A66,'Данные 2st'!$OV$2:$OV$317),"")</f>
        <v>65</v>
      </c>
      <c r="SJ66" s="7">
        <f>IFERROR(AVERAGEIF('Данные 2st'!$Q$2:$Q$317,$A66,'Данные 2st'!$OX$2:$OX$317),"")</f>
        <v>2</v>
      </c>
      <c r="SK66" s="7">
        <f>IFERROR(AVERAGEIF('Данные 2st'!$Q$2:$Q$317,$A66,'Данные 2st'!$OY$2:$OY$317),"")</f>
        <v>45084</v>
      </c>
      <c r="SL66" s="7">
        <f>IFERROR(AVERAGEIF('Данные 2st'!$Q$2:$Q$317,$A66,'Данные 2st'!$OZ$2:$OZ$317),"")</f>
        <v>51</v>
      </c>
      <c r="SM66" s="7">
        <f>IFERROR(AVERAGEIF('Данные 2st'!$Q$2:$Q$317,$A66,'Данные 2st'!$PA$2:$PA$317),"")</f>
        <v>52</v>
      </c>
      <c r="SN66" s="7">
        <f>IFERROR(AVERAGEIF('Данные 2st'!$Q$2:$Q$317,$A66,'Данные 2st'!$PC$2:$PC$317),"")</f>
        <v>1</v>
      </c>
      <c r="SO66" s="7">
        <f>IFERROR(AVERAGEIF('Данные 2st'!$Q$2:$Q$317,$A66,'Данные 2st'!$PD$2:$PD$317),"")</f>
        <v>2269</v>
      </c>
      <c r="SP66" s="7">
        <f>IFERROR(AVERAGEIF('Данные 2st'!$Q$2:$Q$317,$A66,'Данные 2st'!$PF$2:$PF$317),"")</f>
        <v>495</v>
      </c>
      <c r="SQ66" s="7">
        <f>IFERROR(AVERAGEIF('Данные 2st'!$Q$2:$Q$317,$A66,'Данные 2st'!$PG$2:$PG$317),"")</f>
        <v>35</v>
      </c>
      <c r="SR66" s="7">
        <f>IFERROR(AVERAGEIF('Данные 2st'!$Q$2:$Q$317,$A66,'Данные 2st'!$PH$2:$PH$317),"")</f>
        <v>471</v>
      </c>
      <c r="SS66" s="7">
        <f>IFERROR(AVERAGEIF('Данные 2st'!$Q$2:$Q$317,$A66,'Данные 2st'!$PI$2:$PI$317),"")</f>
        <v>0</v>
      </c>
      <c r="ST66" s="7">
        <f>IFERROR(AVERAGEIF('Данные 2st'!$Q$2:$Q$317,$A66,'Данные 2st'!$PJ$2:$PJ$317),"")</f>
        <v>94.6</v>
      </c>
      <c r="SU66" s="7">
        <f>IFERROR(AVERAGEIF('Данные 2st'!$Q$2:$Q$317,$A66,'Данные 2st'!$PK$2:$PK$317),"")</f>
        <v/>
      </c>
      <c r="SV66" s="7">
        <f>IFERROR(AVERAGEIF('Данные 2st'!$Q$2:$Q$317,$A66,'Данные 2st'!$PL$2:$PL$317),"")</f>
        <v>1096.3</v>
      </c>
      <c r="SW66" s="7">
        <f>IFERROR(AVERAGEIF('Данные 2st'!$Q$2:$Q$317,$A66,'Данные 2st'!$PM$2:$PM$317),"")</f>
        <v>1149</v>
      </c>
      <c r="SX66" s="7">
        <f>IFERROR(AVERAGEIF('Данные 2st'!$Q$2:$Q$317,$A66,'Данные 2st'!$PN$2:$PN$317),"")</f>
        <v>110.8</v>
      </c>
      <c r="SY66" s="7">
        <f>IFERROR(AVERAGEIF('Данные 2st'!$Q$2:$Q$317,$A66,'Данные 2st'!$PO$2:$PO$317),"")</f>
        <v/>
      </c>
      <c r="SZ66" s="7">
        <f>IFERROR(AVERAGEIF('Данные 2st'!$Q$2:$Q$317,$A66,'Данные 2st'!$PP$2:$PP$317),"")</f>
        <v>12</v>
      </c>
      <c r="TA66" s="7">
        <f>IFERROR(AVERAGEIF('Данные 2st'!$Q$2:$Q$317,$A66,'Данные 2st'!$PQ$2:$PQ$317),"")</f>
        <v>4</v>
      </c>
      <c r="TB66" s="7">
        <f>IFERROR(AVERAGEIF('Данные 2st'!$Q$2:$Q$317,$A66,'Данные 2st'!$PR$2:$PR$317),"")</f>
        <v>4</v>
      </c>
      <c r="TC66" s="7">
        <f>IFERROR(AVERAGEIF('Данные 2st'!$Q$2:$Q$317,$A66,'Данные 2st'!$PS$2:$PS$317),"")</f>
        <v>0</v>
      </c>
      <c r="TD66" s="7">
        <f>IFERROR(AVERAGEIF('Данные 2st'!$Q$2:$Q$317,$A66,'Данные 2st'!$PT$2:$PT$317),"")</f>
        <v>264</v>
      </c>
      <c r="TE66" s="7">
        <f>IFERROR(AVERAGEIF('Данные 2st'!$Q$2:$Q$317,$A66,'Данные 2st'!$PU$2:$PU$317),"")</f>
        <v>10</v>
      </c>
      <c r="TF66" s="7">
        <f>IFERROR(AVERAGEIF('Данные 2st'!$Q$2:$Q$317,$A66,'Данные 2st'!$PX$2:$PX$317),"")</f>
        <v>0</v>
      </c>
      <c r="TG66" s="7">
        <f>IFERROR(AVERAGEIF('Данные 2st'!$Q$2:$Q$317,$A66,'Данные 2st'!$PY$2:$PY$317),"")</f>
        <v>0</v>
      </c>
      <c r="TH66" s="7">
        <f>IFERROR(AVERAGEIF('Данные 2st'!$Q$2:$Q$317,$A66,'Данные 2st'!$PZ$2:$PZ$317),"")</f>
        <v>0</v>
      </c>
      <c r="TI66" s="7">
        <f>IFERROR(AVERAGEIF('Данные 2st'!$Q$2:$Q$317,$A66,'Данные 2st'!$QA$2:$QA$317),"")</f>
        <v>0</v>
      </c>
      <c r="TJ66" s="7">
        <f>IFERROR(AVERAGEIF('Данные 2st'!$Q$2:$Q$317,$A66,'Данные 2st'!$QB$2:$QB$317),"")</f>
        <v>0</v>
      </c>
      <c r="TK66" s="7">
        <f>IFERROR(AVERAGEIF('Данные 2st'!$Q$2:$Q$317,$A66,'Данные 2st'!$QC$2:$QC$317),"")</f>
        <v>0</v>
      </c>
      <c r="TL66" s="7">
        <f>IFERROR(AVERAGEIF('Данные 2st'!$Q$2:$Q$317,$A66,'Данные 2st'!$QD$2:$QD$317),"")</f>
        <v>0</v>
      </c>
      <c r="TM66" s="7">
        <f>IFERROR(AVERAGEIF('Данные 2st'!$Q$2:$Q$317,$A66,'Данные 2st'!$QE$2:$QE$317),"")</f>
        <v>-1</v>
      </c>
      <c r="TN66" s="7">
        <f>IFERROR(AVERAGEIF('Данные 2st'!$Q$2:$Q$317,$A66,'Данные 2st'!$QF$2:$QF$317),"")</f>
        <v>1</v>
      </c>
      <c r="TO66" s="7">
        <f>IFERROR(AVERAGEIF('Данные 2st'!$Q$2:$Q$317,$A66,'Данные 2st'!$QG$2:$QG$317),"")</f>
        <v>0</v>
      </c>
      <c r="TP66" s="7">
        <f>IFERROR(AVERAGEIF('Данные 2st'!$Q$2:$Q$317,$A66,'Данные 2st'!$QH$2:$QH$317),"")</f>
        <v>5</v>
      </c>
      <c r="TQ66" s="7">
        <f>IFERROR(AVERAGEIF('Данные 2st'!$Q$2:$Q$317,$A66,'Данные 2st'!$QI$2:$QI$317),"")</f>
        <v>5</v>
      </c>
      <c r="TR66" s="7">
        <f>IFERROR(AVERAGEIF('Данные 2st'!$Q$2:$Q$317,$A66,'Данные 2st'!$QJ$2:$QJ$317),"")</f>
        <v>5</v>
      </c>
      <c r="TS66" s="7">
        <f>IFERROR(AVERAGEIF('Данные 2st'!$Q$2:$Q$317,$A66,'Данные 2st'!$QK$2:$QK$317),"")</f>
        <v>266</v>
      </c>
      <c r="TT66" s="7">
        <f>IFERROR(AVERAGEIF('Данные 2st'!$Q$2:$Q$317,$A66,'Данные 2st'!$QL$2:$QL$317),"")</f>
        <v>526</v>
      </c>
      <c r="TU66" s="7">
        <f>IFERROR(AVERAGEIF('Данные 2st'!$Q$2:$Q$317,$A66,'Данные 2st'!$QM$2:$QM$317),"")</f>
        <v>7.5</v>
      </c>
      <c r="TV66" s="7">
        <f>IFERROR(AVERAGEIF('Данные 2st'!$Q$2:$Q$317,$A66,'Данные 2st'!$QN$2:$QN$317),"")</f>
        <v>1288.9</v>
      </c>
      <c r="TW66" s="7">
        <f>IFERROR(AVERAGEIF('Данные 2st'!$Q$2:$Q$317,$A66,'Данные 2st'!$QQ$2:$QQ$317),"")</f>
        <v>0</v>
      </c>
      <c r="TX66" s="7">
        <f>IFERROR(AVERAGEIF('Данные 2st'!$Q$2:$Q$317,$A66,'Данные 2st'!$QS$2:$QS$317),"")</f>
        <v>40</v>
      </c>
      <c r="TY66" s="7">
        <f>IFERROR(AVERAGEIF('Данные 2st'!$Q$2:$Q$317,$A66,'Данные 2st'!$QT$2:$QT$317),"")</f>
        <v>50</v>
      </c>
    </row>
    <row r="67" spans="1:545" ht="32" customHeight="1">
      <c r="A67" s="11" t="s">
        <v>2767</v>
      </c>
      <c r="B67">
        <f>COUNTIF('Данные 1st'!$S$2:$S$317,$A67)</f>
        <v>1</v>
      </c>
      <c r="C67" s="6" t="s">
        <v>2657</v>
      </c>
      <c r="D67" s="6" t="s">
        <v>513</v>
      </c>
      <c r="E67" s="6" t="s">
        <v>517</v>
      </c>
      <c r="F67" s="6" t="s">
        <v>2764</v>
      </c>
      <c r="G67" s="7">
        <f>IFERROR(AVERAGEIF('Данные 1st'!$S$2:$S$317,$A67,'Данные 1st'!$AE$2:$AE$317),"")</f>
        <v>206</v>
      </c>
      <c r="H67" s="7">
        <f>IFERROR(AVERAGEIF('Данные 1st'!$S$2:$S$317,$A67,'Данные 1st'!$AF$2:$AF$317),"")</f>
        <v>1.5</v>
      </c>
      <c r="I67" s="7">
        <f>IFERROR(AVERAGEIF('Данные 1st'!$S$2:$S$317,$A67,'Данные 1st'!$AJ$2:$AJ$317),"")</f>
        <v>187.5</v>
      </c>
      <c r="J67" s="7">
        <f>IFERROR(AVERAGEIF('Данные 1st'!$S$2:$S$317,$A67,'Данные 1st'!$AL$2:$AL$317),"")</f>
        <v>1.5</v>
      </c>
      <c r="K67" s="7">
        <f>IFERROR(AVERAGEIF('Данные 1st'!$S$2:$S$317,$A67,'Данные 1st'!$AR$2:$AR$317),"")</f>
        <v>223</v>
      </c>
      <c r="L67" s="7">
        <f>IFERROR(AVERAGEIF('Данные 1st'!$S$2:$S$317,$A67,'Данные 1st'!$AS$2:$AS$317),"")</f>
        <v>1.5</v>
      </c>
      <c r="M67" s="7">
        <f>IFERROR(AVERAGEIF('Данные 1st'!$S$2:$S$317,$A67,'Данные 1st'!$AY$2:$AY$317),"")</f>
        <v>267.5</v>
      </c>
      <c r="N67" s="7">
        <f>IFERROR(AVERAGEIF('Данные 1st'!$S$2:$S$317,$A67,'Данные 1st'!$AZ$2:$AZ$317),"")</f>
        <v>1.5</v>
      </c>
      <c r="O67" s="7">
        <f>IFERROR(AVERAGEIF('Данные 1st'!$S$2:$S$317,$A67,'Данные 1st'!$BF$2:$BF$317),"")</f>
        <v>227.5</v>
      </c>
      <c r="P67" s="7">
        <f>IFERROR(AVERAGEIF('Данные 1st'!$S$2:$S$317,$A67,'Данные 1st'!$BG$2:$BG$317),"")</f>
        <v>1.5</v>
      </c>
      <c r="Q67" s="7">
        <f>IFERROR(AVERAGEIF('Данные 1st'!$S$2:$S$317,$A67,'Данные 1st'!$BM$2:$BM$317),"")</f>
        <v/>
      </c>
      <c r="R67" s="7">
        <f>IFERROR(AVERAGEIF('Данные 1st'!$S$2:$S$317,$A67,'Данные 1st'!$BN$2:$BN$317),"")</f>
        <v>1.5</v>
      </c>
      <c r="S67" s="7">
        <f>IFERROR(AVERAGEIF('Данные 1st'!$S$2:$S$317,$A67,'Данные 1st'!$BT$2:$BT$317),"")</f>
        <v>205</v>
      </c>
      <c r="T67" s="7">
        <f>IFERROR(AVERAGEIF('Данные 1st'!$S$2:$S$317,$A67,'Данные 1st'!$BU$2:$BU$317),"")</f>
        <v>0.5</v>
      </c>
      <c r="U67" s="7">
        <f>IFERROR(AVERAGEIF('Данные 1st'!$S$2:$S$317,$A67,'Данные 1st'!$BW$2:$BW$317),"")</f>
        <v>410</v>
      </c>
      <c r="V67" s="7">
        <f>IFERROR(AVERAGEIF('Данные 1st'!$S$2:$S$317,$A67,'Данные 1st'!$BX$2:$BX$317),"")</f>
        <v>1</v>
      </c>
      <c r="W67" s="7">
        <f>IFERROR(AVERAGEIF('Данные 1st'!$S$2:$S$317,$A67,'Данные 1st'!$BZ$2:$BZ$317),"")</f>
        <v>300</v>
      </c>
      <c r="X67" s="7">
        <f>IFERROR(AVERAGEIF('Данные 1st'!$S$2:$S$317,$A67,'Данные 1st'!$CA$2:$CA$317),"")</f>
        <v>480</v>
      </c>
      <c r="Y67" s="7">
        <f>IFERROR(AVERAGEIF('Данные 1st'!$S$2:$S$317,$A67,'Данные 1st'!$CD$2:$CD$317),"")</f>
        <v>430</v>
      </c>
      <c r="Z67" s="7">
        <f>IFERROR(AVERAGEIF('Данные 1st'!$S$2:$S$317,$A67,'Данные 1st'!$CF$2:$CF$317),"")</f>
        <v>15</v>
      </c>
      <c r="AA67" s="7">
        <f>IFERROR(AVERAGEIF('Данные 1st'!$S$2:$S$317,$A67,'Данные 1st'!$CI$2:$CI$317),"")</f>
        <v>90</v>
      </c>
      <c r="AB67" s="7">
        <f>IFERROR(AVERAGEIF('Данные 1st'!$S$2:$S$317,$A67,'Данные 1st'!$CJ$2:$CJ$317),"")</f>
        <v>1458</v>
      </c>
      <c r="AC67" s="7">
        <f>IFERROR(AVERAGEIF('Данные 1st'!$S$2:$S$317,$A67,'Данные 1st'!$CK$2:$CK$317),"")</f>
        <v>2</v>
      </c>
      <c r="AD67" s="7">
        <f>IFERROR(AVERAGEIF('Данные 1st'!$S$2:$S$317,$A67,'Данные 1st'!$CL$2:$CL$317),"")</f>
        <v>1552</v>
      </c>
      <c r="AE67" s="7">
        <f>IFERROR(AVERAGEIF('Данные 1st'!$S$2:$S$317,$A67,'Данные 1st'!$CM$2:$CM$317),"")</f>
        <v>2</v>
      </c>
      <c r="AF67" s="7">
        <f>IFERROR(AVERAGEIF('Данные 1st'!$S$2:$S$317,$A67,'Данные 1st'!$CT$2:$CT$317),"")</f>
        <v>375</v>
      </c>
      <c r="AG67" s="7">
        <f>IFERROR(AVERAGEIF('Данные 1st'!$S$2:$S$317,$A67,'Данные 1st'!$CU$2:$CU$317),"")</f>
        <v>5</v>
      </c>
      <c r="AH67" s="7">
        <f>IFERROR(AVERAGEIF('Данные 1st'!$S$2:$S$317,$A67,'Данные 1st'!$CV$2:$CV$317),"")</f>
        <v>1.2</v>
      </c>
      <c r="AI67" s="7">
        <f>IFERROR(AVERAGEIF('Данные 1st'!$S$2:$S$317,$A67,'Данные 1st'!$CW$2:$CW$317),"")</f>
        <v>1475</v>
      </c>
      <c r="AJ67" s="7">
        <f>IFERROR(AVERAGEIF('Данные 1st'!$S$2:$S$317,$A67,'Данные 1st'!$CX$2:$CX$317),"")</f>
        <v>783</v>
      </c>
      <c r="AK67" s="7">
        <f>IFERROR(AVERAGEIF('Данные 1st'!$S$2:$S$317,$A67,'Данные 1st'!$CZ$2:$CZ$317),"")</f>
        <v>50</v>
      </c>
      <c r="AL67" s="7">
        <f>IFERROR(AVERAGEIF('Данные 1st'!$S$2:$S$317,$A67,'Данные 1st'!$DA$2:$DA$317),"")</f>
        <v>3</v>
      </c>
      <c r="AM67" s="7">
        <f>IFERROR(AVERAGEIF('Данные 1st'!$S$2:$S$317,$A67,'Данные 1st'!$DB$2:$DB$317),"")</f>
        <v>1</v>
      </c>
      <c r="AN67" s="7">
        <f>IFERROR(AVERAGEIF('Данные 1st'!$S$2:$S$317,$A67,'Данные 1st'!$DC$2:$DC$317),"")</f>
        <v>1475</v>
      </c>
      <c r="AO67" s="7">
        <f>IFERROR(AVERAGEIF('Данные 1st'!$S$2:$S$317,$A67,'Данные 1st'!$DD$2:$DD$317),"")</f>
        <v>77</v>
      </c>
      <c r="AP67" s="7">
        <f>IFERROR(AVERAGEIF('Данные 1st'!$S$2:$S$317,$A67,'Данные 1st'!$DF$2:$DF$317),"")</f>
        <v>535</v>
      </c>
      <c r="AQ67" s="7">
        <f>IFERROR(AVERAGEIF('Данные 1st'!$S$2:$S$317,$A67,'Данные 1st'!$DG$2:$DG$317),"")</f>
        <v>3</v>
      </c>
      <c r="AR67" s="7">
        <f>IFERROR(AVERAGEIF('Данные 1st'!$S$2:$S$317,$A67,'Данные 1st'!$DH$2:$DH$317),"")</f>
        <v>0.88</v>
      </c>
      <c r="AS67" s="7">
        <f>IFERROR(AVERAGEIF('Данные 1st'!$S$2:$S$317,$A67,'Данные 1st'!$DI$2:$DI$317),"")</f>
        <v>1467</v>
      </c>
      <c r="AT67" s="7">
        <f>IFERROR(AVERAGEIF('Данные 1st'!$S$2:$S$317,$A67,'Данные 1st'!$DJ$2:$DJ$317),"")</f>
        <v>910</v>
      </c>
      <c r="AU67" s="7">
        <f>IFERROR(AVERAGEIF('Данные 1st'!$S$2:$S$317,$A67,'Данные 1st'!$DL$2:$DL$317),"")</f>
        <v>455</v>
      </c>
      <c r="AV67" s="7">
        <f>IFERROR(AVERAGEIF('Данные 1st'!$S$2:$S$317,$A67,'Данные 1st'!$DM$2:$DM$317),"")</f>
        <v>3</v>
      </c>
      <c r="AW67" s="7">
        <f>IFERROR(AVERAGEIF('Данные 1st'!$S$2:$S$317,$A67,'Данные 1st'!$DN$2:$DN$317),"")</f>
        <v>0.88</v>
      </c>
      <c r="AX67" s="7">
        <f>IFERROR(AVERAGEIF('Данные 1st'!$S$2:$S$317,$A67,'Данные 1st'!$DO$2:$DO$317),"")</f>
        <v>1472</v>
      </c>
      <c r="AY67" s="7">
        <f>IFERROR(AVERAGEIF('Данные 1st'!$S$2:$S$317,$A67,'Данные 1st'!$DP$2:$DP$317),"")</f>
        <v>777</v>
      </c>
      <c r="AZ67" s="7">
        <f>IFERROR(AVERAGEIF('Данные 1st'!$S$2:$S$317,$A67,'Данные 1st'!$DR$2:$DR$317),"")</f>
        <v/>
      </c>
      <c r="BA67" s="7">
        <f>IFERROR(AVERAGEIF('Данные 1st'!$S$2:$S$317,$A67,'Данные 1st'!$DS$2:$DS$317),"")</f>
        <v/>
      </c>
      <c r="BB67" s="7">
        <f>IFERROR(AVERAGEIF('Данные 1st'!$S$2:$S$317,$A67,'Данные 1st'!$DT$2:$DT$317),"")</f>
        <v/>
      </c>
      <c r="BC67" s="7">
        <f>IFERROR(AVERAGEIF('Данные 1st'!$S$2:$S$317,$A67,'Данные 1st'!$DU$2:$DU$317),"")</f>
        <v/>
      </c>
      <c r="BD67" s="7">
        <f>IFERROR(AVERAGEIF('Данные 1st'!$S$2:$S$317,$A67,'Данные 1st'!$DV$2:$DV$317),"")</f>
        <v/>
      </c>
      <c r="BE67" s="7">
        <f>IFERROR(AVERAGEIF('Данные 1st'!$S$2:$S$317,$A67,'Данные 1st'!$DX$2:$DX$317),"")</f>
        <v>7.5</v>
      </c>
      <c r="BF67" s="7">
        <f>IFERROR(AVERAGEIF('Данные 1st'!$S$2:$S$317,$A67,'Данные 1st'!$EA$2:$EA$317),"")</f>
        <v>1544.1</v>
      </c>
      <c r="BG67" s="7">
        <f>IFERROR(AVERAGEIF('Данные 1st'!$S$2:$S$317,$A67,'Данные 1st'!$EB$2:$EB$317),"")</f>
        <v>291</v>
      </c>
      <c r="BH67" s="7">
        <f>IFERROR(AVERAGEIF('Данные 1st'!$S$2:$S$317,$A67,'Данные 1st'!$ED$2:$ED$317),"")</f>
        <v>30</v>
      </c>
      <c r="BI67" s="7">
        <f>IFERROR(AVERAGEIF('Данные 1st'!$S$2:$S$317,$A67,'Данные 1st'!$EE$2:$EE$317),"")</f>
        <v>3</v>
      </c>
      <c r="BJ67" s="7">
        <f>IFERROR(AVERAGEIF('Данные 1st'!$S$2:$S$317,$A67,'Данные 1st'!$EG$2:$EG$317),"")</f>
        <v>1585</v>
      </c>
      <c r="BK67" s="7">
        <f>IFERROR(AVERAGEIF('Данные 1st'!$S$2:$S$317,$A67,'Данные 1st'!$EH$2:$EH$317),"")</f>
        <v>187</v>
      </c>
      <c r="BL67" s="7">
        <f>IFERROR(AVERAGEIF('Данные 1st'!$S$2:$S$317,$A67,'Данные 1st'!$EJ$2:$EJ$317),"")</f>
        <v>0</v>
      </c>
      <c r="BM67" s="7">
        <f>IFERROR(AVERAGEIF('Данные 1st'!$S$2:$S$317,$A67,'Данные 1st'!$EK$2:$EK$317),"")</f>
        <v>1</v>
      </c>
      <c r="BN67" s="7">
        <f>IFERROR(AVERAGEIF('Данные 1st'!$S$2:$S$317,$A67,'Данные 1st'!$EN$2:$EN$317),"")</f>
        <v>0</v>
      </c>
      <c r="BO67" s="7">
        <f>IFERROR(AVERAGEIF('Данные 1st'!$S$2:$S$317,$A67,'Данные 1st'!$EQ$2:$EQ$317),"")</f>
        <v>90</v>
      </c>
      <c r="BP67" s="7">
        <f>IFERROR(AVERAGEIF('Данные 1st'!$S$2:$S$317,$A67,'Данные 1st'!$ER$2:$ER$317),"")</f>
        <v>3</v>
      </c>
      <c r="BQ67" s="7">
        <f>IFERROR(AVERAGEIF('Данные 1st'!$S$2:$S$317,$A67,'Данные 1st'!$ES$2:$ES$317),"")</f>
        <v>5.5</v>
      </c>
      <c r="BR67" s="7">
        <f>IFERROR(AVERAGEIF('Данные 1st'!$S$2:$S$317,$A67,'Данные 1st'!$ET$2:$ET$317),"")</f>
        <v>1454</v>
      </c>
      <c r="BS67" s="7">
        <f>IFERROR(AVERAGEIF('Данные 1st'!$S$2:$S$317,$A67,'Данные 1st'!$EU$2:$EU$317),"")</f>
        <v>396.1</v>
      </c>
      <c r="BT67" s="7">
        <f>IFERROR(AVERAGEIF('Данные 1st'!$S$2:$S$317,$A67,'Данные 1st'!$EV$2:$EV$317),"")</f>
        <v>576</v>
      </c>
      <c r="BU67" s="7">
        <f>IFERROR(AVERAGEIF('Данные 1st'!$S$2:$S$317,$A67,'Данные 1st'!$EX$2:$EX$317),"")</f>
        <v>45</v>
      </c>
      <c r="BV67" s="7">
        <f>IFERROR(AVERAGEIF('Данные 1st'!$S$2:$S$317,$A67,'Данные 1st'!$EY$2:$EY$317),"")</f>
        <v>2</v>
      </c>
      <c r="BW67" s="7">
        <f>IFERROR(AVERAGEIF('Данные 1st'!$S$2:$S$317,$A67,'Данные 1st'!$EZ$2:$EZ$317),"")</f>
        <v>4.5</v>
      </c>
      <c r="BX67" s="7">
        <f>IFERROR(AVERAGEIF('Данные 1st'!$S$2:$S$317,$A67,'Данные 1st'!$FA$2:$FA$317),"")</f>
        <v>1454</v>
      </c>
      <c r="BY67" s="7">
        <f>IFERROR(AVERAGEIF('Данные 1st'!$S$2:$S$317,$A67,'Данные 1st'!$FB$2:$FB$317),"")</f>
        <v>137.5</v>
      </c>
      <c r="BZ67" s="7">
        <f>IFERROR(AVERAGEIF('Данные 1st'!$S$2:$S$317,$A67,'Данные 1st'!$FC$2:$FC$317),"")</f>
        <v>200</v>
      </c>
      <c r="CA67" s="7">
        <f>IFERROR(AVERAGEIF('Данные 1st'!$S$2:$S$317,$A67,'Данные 1st'!$FE$2:$FE$317),"")</f>
        <v>0</v>
      </c>
      <c r="CB67" s="7">
        <f>IFERROR(AVERAGEIF('Данные 1st'!$S$2:$S$317,$A67,'Данные 1st'!$FF$2:$FF$317),"")</f>
        <v>2</v>
      </c>
      <c r="CC67" s="7">
        <f>IFERROR(AVERAGEIF('Данные 1st'!$S$2:$S$317,$A67,'Данные 1st'!$FI$2:$FI$317),"")</f>
        <v>0</v>
      </c>
      <c r="CD67" s="7">
        <f>IFERROR(AVERAGEIF('Данные 1st'!$S$2:$S$317,$A67,'Данные 1st'!$FL$2:$FL$317),"")</f>
        <v>0.4</v>
      </c>
      <c r="CE67" s="7">
        <f>IFERROR(AVERAGEIF('Данные 1st'!$S$2:$S$317,$A67,'Данные 1st'!$FM$2:$FM$317),"")</f>
        <v>45</v>
      </c>
      <c r="CF67" s="7">
        <f>IFERROR(AVERAGEIF('Данные 1st'!$S$2:$S$317,$A67,'Данные 1st'!$FN$2:$FN$317),"")</f>
        <v>350</v>
      </c>
      <c r="CG67" s="7">
        <f>IFERROR(AVERAGEIF('Данные 1st'!$S$2:$S$317,$A67,'Данные 1st'!$FO$2:$FO$317),"")</f>
        <v>60</v>
      </c>
      <c r="CH67" s="7">
        <f>IFERROR(AVERAGEIF('Данные 1st'!$S$2:$S$317,$A67,'Данные 1st'!$FP$2:$FP$317),"")</f>
        <v>170</v>
      </c>
      <c r="CI67" s="7">
        <f>IFERROR(AVERAGEIF('Данные 1st'!$S$2:$S$317,$A67,'Данные 1st'!$FS$2:$FS$317),"")</f>
        <v/>
      </c>
      <c r="CJ67" s="7">
        <f>IFERROR(AVERAGEIF('Данные 1st'!$S$2:$S$317,$A67,'Данные 1st'!$FT$2:$FT$317),"")</f>
        <v/>
      </c>
      <c r="CK67" s="7">
        <f>IFERROR(AVERAGEIF('Данные 1st'!$S$2:$S$317,$A67,'Данные 1st'!$FU$2:$FU$317),"")</f>
        <v/>
      </c>
      <c r="CL67" s="7">
        <f>IFERROR(AVERAGEIF('Данные 1st'!$S$2:$S$317,$A67,'Данные 1st'!$FV$2:$FV$317),"")</f>
        <v/>
      </c>
      <c r="CM67" s="7">
        <f>IFERROR(AVERAGEIF('Данные 1st'!$S$2:$S$317,$A67,'Данные 1st'!$FW$2:$FW$317),"")</f>
        <v/>
      </c>
      <c r="CN67" s="7">
        <f>IFERROR(AVERAGEIF('Данные 1st'!$S$2:$S$317,$A67,'Данные 1st'!$FZ$2:$FZ$317),"")</f>
        <v/>
      </c>
      <c r="CO67" s="7">
        <f>IFERROR(AVERAGEIF('Данные 1st'!$S$2:$S$317,$A67,'Данные 1st'!$GA$2:$GA$317),"")</f>
        <v/>
      </c>
      <c r="CP67" s="7">
        <f>IFERROR(AVERAGEIF('Данные 1st'!$S$2:$S$317,$A67,'Данные 1st'!$GB$2:$GB$317),"")</f>
        <v/>
      </c>
      <c r="CQ67" s="7">
        <f>IFERROR(AVERAGEIF('Данные 1st'!$S$2:$S$317,$A67,'Данные 1st'!$GH$2:$GH$317),"")</f>
        <v/>
      </c>
      <c r="CR67" s="7">
        <f>IFERROR(AVERAGEIF('Данные 1st'!$S$2:$S$317,$A67,'Данные 1st'!$GI$2:$GI$317),"")</f>
        <v/>
      </c>
      <c r="CS67" s="7">
        <f>IFERROR(AVERAGEIF('Данные 1st'!$S$2:$S$317,$A67,'Данные 1st'!$GJ$2:$GJ$317),"")</f>
        <v/>
      </c>
      <c r="CT67" s="7">
        <f>IFERROR(AVERAGEIF('Данные 1st'!$S$2:$S$317,$A67,'Данные 1st'!$GS$2:$GS$317),"")</f>
        <v>0.6</v>
      </c>
      <c r="CU67" s="7">
        <f>IFERROR(AVERAGEIF('Данные 1st'!$S$2:$S$317,$A67,'Данные 1st'!$GT$2:$GT$317),"")</f>
        <v>30</v>
      </c>
      <c r="CV67" s="7">
        <f>IFERROR(AVERAGEIF('Данные 1st'!$S$2:$S$317,$A67,'Данные 1st'!$GU$2:$GU$317),"")</f>
        <v>380</v>
      </c>
      <c r="CW67" s="7">
        <f>IFERROR(AVERAGEIF('Данные 1st'!$S$2:$S$317,$A67,'Данные 1st'!$GV$2:$GV$317),"")</f>
        <v>30</v>
      </c>
      <c r="CX67" s="7">
        <f>IFERROR(AVERAGEIF('Данные 1st'!$S$2:$S$317,$A67,'Данные 1st'!$GW$2:$GW$317),"")</f>
        <v>270</v>
      </c>
      <c r="CY67" s="7">
        <f>IFERROR(AVERAGEIF('Данные 1st'!$S$2:$S$317,$A67,'Данные 1st'!$GZ$2:$GZ$317),"")</f>
        <v/>
      </c>
      <c r="CZ67" s="7">
        <f>IFERROR(AVERAGEIF('Данные 1st'!$S$2:$S$317,$A67,'Данные 1st'!$HA$2:$HA$317),"")</f>
        <v/>
      </c>
      <c r="DA67" s="7">
        <f>IFERROR(AVERAGEIF('Данные 1st'!$S$2:$S$317,$A67,'Данные 1st'!$HB$2:$HB$317),"")</f>
        <v/>
      </c>
      <c r="DB67" s="7">
        <f>IFERROR(AVERAGEIF('Данные 1st'!$S$2:$S$317,$A67,'Данные 1st'!$HC$2:$HC$317),"")</f>
        <v>0.1</v>
      </c>
      <c r="DC67" s="7">
        <f>IFERROR(AVERAGEIF('Данные 1st'!$S$2:$S$317,$A67,'Данные 1st'!$HD$2:$HD$317),"")</f>
        <v>3</v>
      </c>
      <c r="DD67" s="7">
        <f>IFERROR(AVERAGEIF('Данные 1st'!$S$2:$S$317,$A67,'Данные 1st'!$HE$2:$HE$317),"")</f>
        <v>3</v>
      </c>
      <c r="DE67" s="7">
        <f>IFERROR(AVERAGEIF('Данные 1st'!$S$2:$S$317,$A67,'Данные 1st'!$HF$2:$HF$317),"")</f>
        <v>3</v>
      </c>
      <c r="DF67" s="7">
        <f>IFERROR(AVERAGEIF('Данные 1st'!$S$2:$S$317,$A67,'Данные 1st'!$HG$2:$HG$317),"")</f>
        <v>3</v>
      </c>
      <c r="DG67" s="7">
        <f>IFERROR(AVERAGEIF('Данные 1st'!$S$2:$S$317,$A67,'Данные 1st'!$HH$2:$HH$317),"")</f>
        <v>3</v>
      </c>
      <c r="DH67" s="7">
        <f>IFERROR(AVERAGEIF('Данные 1st'!$S$2:$S$317,$A67,'Данные 1st'!$HI$2:$HI$317),"")</f>
        <v>120</v>
      </c>
      <c r="DI67" s="7">
        <f>IFERROR(AVERAGEIF('Данные 1st'!$S$2:$S$317,$A67,'Данные 1st'!$HJ$2:$HJ$317),"")</f>
        <v>3</v>
      </c>
      <c r="DJ67" s="7">
        <f>IFERROR(AVERAGEIF('Данные 1st'!$S$2:$S$317,$A67,'Данные 1st'!$HK$2:$HK$317),"")</f>
        <v>30</v>
      </c>
      <c r="DK67" s="7">
        <f>IFERROR(AVERAGEIF('Данные 1st'!$S$2:$S$317,$A67,'Данные 1st'!$HL$2:$HL$317),"")</f>
        <v>2</v>
      </c>
      <c r="DL67" s="7">
        <f>IFERROR(AVERAGEIF('Данные 1st'!$S$2:$S$317,$A67,'Данные 1st'!$HM$2:$HM$317),"")</f>
        <v>0</v>
      </c>
      <c r="DM67" s="7">
        <f>IFERROR(AVERAGEIF('Данные 1st'!$S$2:$S$317,$A67,'Данные 1st'!$HN$2:$HN$317),"")</f>
        <v>2</v>
      </c>
      <c r="DN67" s="7">
        <f>IFERROR(AVERAGEIF('Данные 1st'!$S$2:$S$317,$A67,'Данные 1st'!$HO$2:$HO$317),"")</f>
        <v>75</v>
      </c>
      <c r="DO67" s="7">
        <f>IFERROR(AVERAGEIF('Данные 1st'!$S$2:$S$317,$A67,'Данные 1st'!$HP$2:$HP$317),"")</f>
        <v>3</v>
      </c>
      <c r="DP67" s="7">
        <f>IFERROR(AVERAGEIF('Данные 1st'!$S$2:$S$317,$A67,'Данные 1st'!$HQ$2:$HQ$317),"")</f>
        <v>0</v>
      </c>
      <c r="DQ67" s="7">
        <f>IFERROR(AVERAGEIF('Данные 1st'!$S$2:$S$317,$A67,'Данные 1st'!$HR$2:$HR$317),"")</f>
        <v>2</v>
      </c>
      <c r="DR67" s="7">
        <f>IFERROR(AVERAGEIF('Данные 1st'!$S$2:$S$317,$A67,'Данные 1st'!$HS$2:$HS$317),"")</f>
        <v>5132</v>
      </c>
      <c r="DS67" s="7">
        <f>IFERROR(AVERAGEIF('Данные 1st'!$S$2:$S$317,$A67,'Данные 1st'!$HT$2:$HT$317),"")</f>
        <v>150</v>
      </c>
      <c r="DT67" s="7">
        <f>IFERROR(AVERAGEIF('Данные 1st'!$S$2:$S$317,$A67,'Данные 1st'!$HU$2:$HU$317),"")</f>
        <v>180</v>
      </c>
      <c r="DU67" s="7">
        <f>IFERROR(AVERAGEIF('Данные 1st'!$S$2:$S$317,$A67,'Данные 1st'!$HW$2:$HW$317),"")</f>
        <v>0</v>
      </c>
      <c r="DV67" s="7">
        <f>IFERROR(AVERAGEIF('Данные 1st'!$S$2:$S$317,$A67,'Данные 1st'!$HX$2:$HX$317),"")</f>
        <v>430</v>
      </c>
      <c r="DW67" s="7">
        <f>IFERROR(AVERAGEIF('Данные 1st'!$S$2:$S$317,$A67,'Данные 1st'!$HY$2:$HY$317),"")</f>
        <v>0.18</v>
      </c>
      <c r="DX67" s="7">
        <f>IFERROR(AVERAGEIF('Данные 1st'!$S$2:$S$317,$A67,'Данные 1st'!$IA$2:$IA$317),"")</f>
        <v>0.15</v>
      </c>
      <c r="DY67" s="7">
        <f>IFERROR(AVERAGEIF('Данные 1st'!$S$2:$S$317,$A67,'Данные 1st'!$IB$2:$IB$317),"")</f>
        <v>0</v>
      </c>
      <c r="DZ67" s="7">
        <f>IFERROR(AVERAGEIF('Данные 1st'!$S$2:$S$317,$A67,'Данные 1st'!$IC$2:$IC$317),"")</f>
        <v>180</v>
      </c>
      <c r="EA67" s="7">
        <f>IFERROR(AVERAGEIF('Данные 1st'!$S$2:$S$317,$A67,'Данные 1st'!$ID$2:$ID$317),"")</f>
        <v>110</v>
      </c>
      <c r="EB67" s="7">
        <f>IFERROR(AVERAGEIF('Данные 1st'!$S$2:$S$317,$A67,'Данные 1st'!$IE$2:$IE$317),"")</f>
        <v>225</v>
      </c>
      <c r="EC67" s="7">
        <f>IFERROR(AVERAGEIF('Данные 1st'!$S$2:$S$317,$A67,'Данные 1st'!$IF$2:$IF$317),"")</f>
        <v>0</v>
      </c>
      <c r="ED67" s="7">
        <f>IFERROR(AVERAGEIF('Данные 1st'!$S$2:$S$317,$A67,'Данные 1st'!$IP$2:$IP$317),"")</f>
        <v>19</v>
      </c>
      <c r="EE67" s="7">
        <f>IFERROR(AVERAGEIF('Данные 1st'!$S$2:$S$317,$A67,'Данные 1st'!$IV$2:$IV$317),"")</f>
        <v>1458</v>
      </c>
      <c r="EF67" s="7">
        <f>IFERROR(AVERAGEIF('Данные 1st'!$S$2:$S$317,$A67,'Данные 1st'!$IW$2:$IW$317),"")</f>
        <v>410</v>
      </c>
      <c r="EG67" s="7">
        <f>IFERROR(AVERAGEIF('Данные 1st'!$S$2:$S$317,$A67,'Данные 1st'!$IX$2:$IX$317),"")</f>
        <v/>
      </c>
      <c r="EH67" s="7">
        <f>IFERROR(AVERAGEIF('Данные 1st'!$S$2:$S$317,$A67,'Данные 1st'!$IY$2:$IY$317),"")</f>
        <v/>
      </c>
      <c r="EI67" s="7">
        <f>IFERROR(AVERAGEIF('Данные 1st'!$S$2:$S$317,$A67,'Данные 1st'!$JD$2:$JD$317),"")</f>
        <v>1475</v>
      </c>
      <c r="EJ67" s="7">
        <f>IFERROR(AVERAGEIF('Данные 1st'!$S$2:$S$317,$A67,'Данные 1st'!$JE$2:$JE$317),"")</f>
        <v>1467</v>
      </c>
      <c r="EK67" s="7">
        <f>IFERROR(AVERAGEIF('Данные 1st'!$S$2:$S$317,$A67,'Данные 1st'!$JF$2:$JF$317),"")</f>
        <v>1472</v>
      </c>
      <c r="EL67" s="7">
        <f>IFERROR(AVERAGEIF('Данные 1st'!$S$2:$S$317,$A67,'Данные 1st'!$JG$2:$JG$317),"")</f>
        <v>1454</v>
      </c>
      <c r="EM67" s="7">
        <f>IFERROR(AVERAGEIF('Данные 1st'!$S$2:$S$317,$A67,'Данные 1st'!$JH$2:$JH$317),"")</f>
        <v>0</v>
      </c>
      <c r="EN67" s="7">
        <f>IFERROR(AVERAGEIF('Данные 1st'!$S$2:$S$317,$A67,'Данные 1st'!$JJ$2:$JJ$317),"")</f>
        <v>180</v>
      </c>
      <c r="EO67" s="7">
        <f>IFERROR(AVERAGEIF('Данные 1st'!$S$2:$S$317,$A67,'Данные 1st'!$JK$2:$JK$317),"")</f>
        <v>430</v>
      </c>
      <c r="EP67" s="7">
        <f>IFERROR(AVERAGEIF('Данные 1st'!$S$2:$S$317,$A67,'Данные 1st'!$JL$2:$JL$317),"")</f>
        <v/>
      </c>
      <c r="EQ67" s="7">
        <f>IFERROR(AVERAGEIF('Данные 1st'!$S$2:$S$317,$A67,'Данные 1st'!$JM$2:$JM$317),"")</f>
        <v/>
      </c>
      <c r="ER67" s="7">
        <f>IFERROR(AVERAGEIF('Данные 1st'!$S$2:$S$317,$A67,'Данные 1st'!$JN$2:$JN$317),"")</f>
        <v>375</v>
      </c>
      <c r="ES67" s="7">
        <f>IFERROR(AVERAGEIF('Данные 1st'!$S$2:$S$317,$A67,'Данные 1st'!$JO$2:$JO$317),"")</f>
        <v>535</v>
      </c>
      <c r="ET67" s="7">
        <f>IFERROR(AVERAGEIF('Данные 1st'!$S$2:$S$317,$A67,'Данные 1st'!$JP$2:$JP$317),"")</f>
        <v>455</v>
      </c>
      <c r="EU67" s="7">
        <f>IFERROR(AVERAGEIF('Данные 1st'!$S$2:$S$317,$A67,'Данные 1st'!$JQ$2:$JQ$317),"")</f>
        <v>0</v>
      </c>
      <c r="EV67" s="7">
        <f>IFERROR(AVERAGEIF('Данные 1st'!$S$2:$S$317,$A67,'Данные 1st'!$JR$2:$JR$317),"")</f>
        <v>412</v>
      </c>
      <c r="EW67" s="7">
        <f>IFERROR(AVERAGEIF('Данные 1st'!$S$2:$S$317,$A67,'Данные 1st'!$JS$2:$JS$317),"")</f>
        <v>120</v>
      </c>
      <c r="EX67" s="7">
        <f>IFERROR(AVERAGEIF('Данные 1st'!$S$2:$S$317,$A67,'Данные 1st'!$JT$2:$JT$317),"")</f>
        <v/>
      </c>
      <c r="EY67" s="7">
        <f>IFERROR(AVERAGEIF('Данные 1st'!$S$2:$S$317,$A67,'Данные 1st'!$JU$2:$JU$317),"")</f>
        <v/>
      </c>
      <c r="EZ67" s="7">
        <f>IFERROR(AVERAGEIF('Данные 1st'!$S$2:$S$317,$A67,'Данные 1st'!$JV$2:$JV$317),"")</f>
        <v>8</v>
      </c>
      <c r="FA67" s="7">
        <f>IFERROR(AVERAGEIF('Данные 1st'!$S$2:$S$317,$A67,'Данные 1st'!$JW$2:$JW$317),"")</f>
        <v/>
      </c>
      <c r="FB67" s="7">
        <f>IFERROR(AVERAGEIF('Данные 1st'!$S$2:$S$317,$A67,'Данные 1st'!$JX$2:$JX$317),"")</f>
        <v>446</v>
      </c>
      <c r="FC67" s="7">
        <f>IFERROR(AVERAGEIF('Данные 1st'!$S$2:$S$317,$A67,'Данные 1st'!$JY$2:$JY$317),"")</f>
        <v/>
      </c>
      <c r="FD67" s="7">
        <f>IFERROR(AVERAGEIF('Данные 1st'!$S$2:$S$317,$A67,'Данные 1st'!$JZ$2:$JZ$317),"")</f>
        <v/>
      </c>
      <c r="FE67" s="7">
        <f>IFERROR(AVERAGEIF('Данные 1st'!$S$2:$S$317,$A67,'Данные 1st'!$KA$2:$KA$317),"")</f>
        <v>225</v>
      </c>
      <c r="FF67" s="7">
        <f>IFERROR(AVERAGEIF('Данные 1st'!$S$2:$S$317,$A67,'Данные 1st'!$KB$2:$KB$317),"")</f>
        <v>110</v>
      </c>
      <c r="FG67" s="7">
        <f>IFERROR(AVERAGEIF('Данные 1st'!$S$2:$S$317,$A67,'Данные 1st'!$KC$2:$KC$317),"")</f>
        <v>0</v>
      </c>
      <c r="FH67" s="7">
        <f>IFERROR(AVERAGEIF('Данные 1st'!$S$2:$S$317,$A67,'Данные 1st'!$KD$2:$KD$317),"")</f>
        <v>80</v>
      </c>
      <c r="FI67" s="7">
        <f>IFERROR(AVERAGEIF('Данные 1st'!$S$2:$S$317,$A67,'Данные 1st'!$KE$2:$KE$317),"")</f>
        <v/>
      </c>
      <c r="FJ67" s="7">
        <f>IFERROR(AVERAGEIF('Данные 1st'!$S$2:$S$317,$A67,'Данные 1st'!$KF$2:$KF$317),"")</f>
        <v>4</v>
      </c>
      <c r="FK67" s="7">
        <f>IFERROR(AVERAGEIF('Данные 1st'!$S$2:$S$317,$A67,'Данные 1st'!$KG$2:$KG$317),"")</f>
        <v>2</v>
      </c>
      <c r="FL67" s="7">
        <f>IFERROR(AVERAGEIF('Данные 1st'!$S$2:$S$317,$A67,'Данные 1st'!$KH$2:$KH$317),"")</f>
        <v>2</v>
      </c>
      <c r="FM67" s="7">
        <f>IFERROR(AVERAGEIF('Данные 1st'!$S$2:$S$317,$A67,'Данные 1st'!$KI$2:$KI$317),"")</f>
        <v>2</v>
      </c>
      <c r="FN67" s="7">
        <f>IFERROR(AVERAGEIF('Данные 1st'!$S$2:$S$317,$A67,'Данные 1st'!$KJ$2:$KJ$317),"")</f>
        <v>0</v>
      </c>
      <c r="FO67" s="7">
        <f>IFERROR(AVERAGEIF('Данные 1st'!$S$2:$S$317,$A67,'Данные 1st'!$KK$2:$KK$317),"")</f>
        <v>1.5</v>
      </c>
      <c r="FP67" s="7">
        <f>IFERROR(AVERAGEIF('Данные 1st'!$S$2:$S$317,$A67,'Данные 1st'!$KL$2:$KL$317),"")</f>
        <v>1.5</v>
      </c>
      <c r="FQ67" s="7">
        <f>IFERROR(AVERAGEIF('Данные 1st'!$S$2:$S$317,$A67,'Данные 1st'!$KM$2:$KM$317),"")</f>
        <v>0</v>
      </c>
      <c r="FR67" s="7">
        <f>IFERROR(AVERAGEIF('Данные 1st'!$S$2:$S$317,$A67,'Данные 1st'!$KN$2:$KN$317),"")</f>
        <v>0</v>
      </c>
      <c r="FS67" s="7">
        <f>IFERROR(AVERAGEIF('Данные 1st'!$S$2:$S$317,$A67,'Данные 1st'!$KR$2:$KR$317),"")</f>
        <v>50</v>
      </c>
      <c r="FT67" s="7">
        <f>IFERROR(AVERAGEIF('Данные 1st'!$S$2:$S$317,$A67,'Данные 1st'!$KS$2:$KS$317),"")</f>
        <v>60</v>
      </c>
      <c r="FU67" s="7">
        <f>IFERROR(AVERAGEIF('Данные 1st'!$S$2:$S$317,$A67,'Данные 1st'!$KT$2:$KT$317),"")</f>
        <v>0</v>
      </c>
      <c r="FV67" s="7">
        <f>IFERROR(AVERAGEIF('Данные 1st'!$S$2:$S$317,$A67,'Данные 1st'!$KV$2:$KV$317),"")</f>
        <v/>
      </c>
      <c r="FW67" s="7">
        <f>IFERROR(AVERAGEIF('Данные 1st'!$S$2:$S$317,$A67,'Данные 1st'!$KW$2:$KW$317),"")</f>
        <v/>
      </c>
      <c r="FX67" s="7">
        <f>IFERROR(AVERAGEIF('Данные 1st'!$S$2:$S$317,$A67,'Данные 1st'!$KX$2:$KX$317),"")</f>
        <v/>
      </c>
      <c r="FY67" s="7">
        <f>IFERROR(AVERAGEIF('Данные 1st'!$S$2:$S$317,$A67,'Данные 1st'!$KY$2:$KY$317),"")</f>
        <v/>
      </c>
      <c r="FZ67" s="7">
        <f>IFERROR(AVERAGEIF('Данные 1st'!$S$2:$S$317,$A67,'Данные 1st'!$KZ$2:$KZ$317),"")</f>
        <v/>
      </c>
      <c r="GA67" s="7">
        <f>IFERROR(AVERAGEIF('Данные 1st'!$S$2:$S$317,$A67,'Данные 1st'!$LA$2:$LA$317),"")</f>
        <v/>
      </c>
      <c r="GB67" s="7">
        <f>IFERROR(AVERAGEIF('Данные 1st'!$S$2:$S$317,$A67,'Данные 1st'!$LB$2:$LB$317),"")</f>
        <v/>
      </c>
      <c r="GC67" s="7">
        <f>IFERROR(AVERAGEIF('Данные 1st'!$S$2:$S$317,$A67,'Данные 1st'!$LC$2:$LC$317),"")</f>
        <v/>
      </c>
      <c r="GD67" s="7">
        <f>IFERROR(AVERAGEIF('Данные 1st'!$S$2:$S$317,$A67,'Данные 1st'!$LD$2:$LD$317),"")</f>
        <v/>
      </c>
      <c r="GE67" s="7">
        <f>IFERROR(AVERAGEIF('Данные 1st'!$S$2:$S$317,$A67,'Данные 1st'!$LE$2:$LE$317),"")</f>
        <v/>
      </c>
      <c r="GF67" s="7">
        <f>IFERROR(AVERAGEIF('Данные 1st'!$S$2:$S$317,$A67,'Данные 1st'!$LF$2:$LF$317),"")</f>
        <v/>
      </c>
      <c r="GG67" s="7">
        <f>IFERROR(AVERAGEIF('Данные 1st'!$S$2:$S$317,$A67,'Данные 1st'!$LG$2:$LG$317),"")</f>
        <v/>
      </c>
      <c r="GH67" s="7">
        <f>IFERROR(AVERAGEIF('Данные 1st'!$S$2:$S$317,$A67,'Данные 1st'!$LH$2:$LH$317),"")</f>
        <v/>
      </c>
      <c r="GI67" s="7">
        <f>IFERROR(AVERAGEIF('Данные 1st'!$S$2:$S$317,$A67,'Данные 1st'!$LI$2:$LI$317),"")</f>
        <v/>
      </c>
      <c r="GJ67" s="7">
        <f>IFERROR(AVERAGEIF('Данные 1st'!$S$2:$S$317,$A67,'Данные 1st'!$LJ$2:$LJ$317),"")</f>
        <v/>
      </c>
      <c r="GK67" s="7">
        <f>IFERROR(AVERAGEIF('Данные 1st'!$S$2:$S$317,$A67,'Данные 1st'!$LK$2:$LK$317),"")</f>
        <v>480</v>
      </c>
      <c r="GL67" s="7">
        <f>IFERROR(AVERAGEIF('Данные 1st'!$S$2:$S$317,$A67,'Данные 1st'!$LV$2:$LV$317),"")</f>
        <v/>
      </c>
      <c r="GM67" s="7">
        <f>IFERROR(AVERAGEIF('Данные 1st'!$S$2:$S$317,$A67,'Данные 1st'!$LW$2:$LW$317),"")</f>
        <v/>
      </c>
      <c r="GN67" s="7">
        <f>IFERROR(AVERAGEIF('Данные 1st'!$S$2:$S$317,$A67,'Данные 1st'!$LX$2:$LX$317),"")</f>
        <v/>
      </c>
      <c r="GO67" s="7">
        <f>IFERROR(AVERAGEIF('Данные 1st'!$S$2:$S$317,$A67,'Данные 1st'!$LY$2:$LY$317),"")</f>
        <v/>
      </c>
      <c r="GP67" s="7">
        <f>IFERROR(AVERAGEIF('Данные 1st'!$S$2:$S$317,$A67,'Данные 1st'!$LZ$2:$LZ$317),"")</f>
        <v/>
      </c>
      <c r="GQ67" s="7">
        <f>IFERROR(AVERAGEIF('Данные 1st'!$S$2:$S$317,$A67,'Данные 1st'!$PG$2:$PG$317),"")</f>
        <v>1</v>
      </c>
      <c r="GR67" s="7">
        <f>IFERROR(AVERAGEIF('Данные 1st'!$S$2:$S$317,$A67,'Данные 1st'!$PX$2:$PX$317),"")</f>
        <v>56</v>
      </c>
      <c r="GS67" s="7">
        <f>IFERROR(AVERAGEIF('Данные 1st'!$S$2:$S$317,$A67,'Данные 1st'!$PY$2:$PY$317),"")</f>
        <v>56</v>
      </c>
      <c r="GT67" s="7">
        <f>IFERROR(AVERAGEIF('Данные 1st'!$S$2:$S$317,$A67,'Данные 1st'!$QA$2:$QA$317),"")</f>
        <v>1</v>
      </c>
      <c r="GU67" s="7">
        <f>IFERROR(AVERAGEIF('Данные 1st'!$S$2:$S$317,$A67,'Данные 1st'!$QB$2:$QB$317),"")</f>
        <v>1454</v>
      </c>
      <c r="GV67" s="7">
        <f>IFERROR(AVERAGEIF('Данные 1st'!$S$2:$S$317,$A67,'Данные 1st'!$QC$2:$QC$317),"")</f>
        <v>69</v>
      </c>
      <c r="GW67" s="7">
        <f>IFERROR(AVERAGEIF('Данные 1st'!$S$2:$S$317,$A67,'Данные 1st'!$QD$2:$QD$317),"")</f>
        <v>69</v>
      </c>
      <c r="GX67" s="7">
        <f>IFERROR(AVERAGEIF('Данные 1st'!$S$2:$S$317,$A67,'Данные 1st'!$QF$2:$QF$317),"")</f>
        <v>1</v>
      </c>
      <c r="GY67" s="7">
        <f>IFERROR(AVERAGEIF('Данные 1st'!$S$2:$S$317,$A67,'Данные 1st'!$QG$2:$QG$317),"")</f>
        <v>1475</v>
      </c>
      <c r="GZ67" s="7">
        <f>IFERROR(AVERAGEIF('Данные 1st'!$S$2:$S$317,$A67,'Данные 1st'!$QH$2:$QH$317),"")</f>
        <v>66</v>
      </c>
      <c r="HA67" s="7">
        <f>IFERROR(AVERAGEIF('Данные 1st'!$S$2:$S$317,$A67,'Данные 1st'!$QI$2:$QI$317),"")</f>
        <v>66</v>
      </c>
      <c r="HB67" s="7">
        <f>IFERROR(AVERAGEIF('Данные 1st'!$S$2:$S$317,$A67,'Данные 1st'!$QK$2:$QK$317),"")</f>
        <v>1</v>
      </c>
      <c r="HC67" s="7">
        <f>IFERROR(AVERAGEIF('Данные 1st'!$S$2:$S$317,$A67,'Данные 1st'!$QL$2:$QL$317),"")</f>
        <v>1475</v>
      </c>
      <c r="HD67" s="7">
        <f>IFERROR(AVERAGEIF('Данные 1st'!$S$2:$S$317,$A67,'Данные 1st'!$QM$2:$QM$317),"")</f>
        <v>62</v>
      </c>
      <c r="HE67" s="7">
        <f>IFERROR(AVERAGEIF('Данные 1st'!$S$2:$S$317,$A67,'Данные 1st'!$QN$2:$QN$317),"")</f>
        <v>62</v>
      </c>
      <c r="HF67" s="7">
        <f>IFERROR(AVERAGEIF('Данные 1st'!$S$2:$S$317,$A67,'Данные 1st'!$QP$2:$QP$317),"")</f>
        <v>1</v>
      </c>
      <c r="HG67" s="7">
        <f>IFERROR(AVERAGEIF('Данные 1st'!$S$2:$S$317,$A67,'Данные 1st'!$QQ$2:$QQ$317),"")</f>
        <v>1467</v>
      </c>
      <c r="HH67" s="7">
        <f>IFERROR(AVERAGEIF('Данные 1st'!$S$2:$S$317,$A67,'Данные 1st'!$QR$2:$QR$317),"")</f>
        <v>62</v>
      </c>
      <c r="HI67" s="7">
        <f>IFERROR(AVERAGEIF('Данные 1st'!$S$2:$S$317,$A67,'Данные 1st'!$QS$2:$QS$317),"")</f>
        <v>62</v>
      </c>
      <c r="HJ67" s="7">
        <f>IFERROR(AVERAGEIF('Данные 1st'!$S$2:$S$317,$A67,'Данные 1st'!$QU$2:$QU$317),"")</f>
        <v>1</v>
      </c>
      <c r="HK67" s="7">
        <f>IFERROR(AVERAGEIF('Данные 1st'!$S$2:$S$317,$A67,'Данные 1st'!$QV$2:$QV$317),"")</f>
        <v>1472</v>
      </c>
      <c r="HL67" s="7">
        <f>IFERROR(AVERAGEIF('Данные 1st'!$S$2:$S$317,$A67,'Данные 1st'!$QW$2:$QW$317),"")</f>
        <v>82</v>
      </c>
      <c r="HM67" s="7">
        <f>IFERROR(AVERAGEIF('Данные 1st'!$S$2:$S$317,$A67,'Данные 1st'!$QX$2:$QX$317),"")</f>
        <v>89</v>
      </c>
      <c r="HN67" s="7">
        <f>IFERROR(AVERAGEIF('Данные 1st'!$S$2:$S$317,$A67,'Данные 1st'!$QZ$2:$QZ$317),"")</f>
        <v>1</v>
      </c>
      <c r="HO67" s="7">
        <f>IFERROR(AVERAGEIF('Данные 1st'!$S$2:$S$317,$A67,'Данные 1st'!$RA$2:$RA$317),"")</f>
        <v>66</v>
      </c>
      <c r="HP67" s="7">
        <f>IFERROR(AVERAGEIF('Данные 1st'!$S$2:$S$317,$A67,'Данные 1st'!$RB$2:$RB$317),"")</f>
        <v>66</v>
      </c>
      <c r="HQ67" s="7">
        <f>IFERROR(AVERAGEIF('Данные 1st'!$S$2:$S$317,$A67,'Данные 1st'!$RD$2:$RD$317),"")</f>
        <v/>
      </c>
      <c r="HR67" s="7">
        <f>IFERROR(AVERAGEIF('Данные 1st'!$S$2:$S$317,$A67,'Данные 1st'!$RE$2:$RE$317),"")</f>
        <v>0</v>
      </c>
      <c r="HS67" s="7">
        <f>IFERROR(AVERAGEIF('Данные 1st'!$S$2:$S$317,$A67,'Данные 1st'!$RF$2:$RF$317),"")</f>
        <v>1</v>
      </c>
      <c r="HT67" s="7">
        <f>IFERROR(AVERAGEIF('Данные 1st'!$S$2:$S$317,$A67,'Данные 1st'!$RG$2:$RG$317),"")</f>
        <v/>
      </c>
      <c r="HU67" s="7">
        <f>IFERROR(AVERAGEIF('Данные 1st'!$S$2:$S$317,$A67,'Данные 1st'!$RH$2:$RH$317),"")</f>
        <v>1</v>
      </c>
      <c r="HV67" s="7">
        <f>IFERROR(AVERAGEIF('Данные 1st'!$S$2:$S$317,$A67,'Данные 1st'!$RI$2:$RI$317),"")</f>
        <v/>
      </c>
      <c r="HW67" s="7">
        <f>IFERROR(AVERAGEIF('Данные 1st'!$S$2:$S$317,$A67,'Данные 1st'!$RJ$2:$RJ$317),"")</f>
        <v>2</v>
      </c>
      <c r="HX67" s="7">
        <f>IFERROR(AVERAGEIF('Данные 1st'!$S$2:$S$317,$A67,'Данные 1st'!$RK$2:$RK$317),"")</f>
        <v>2</v>
      </c>
      <c r="HY67" s="7">
        <f>IFERROR(AVERAGEIF('Данные 1st'!$S$2:$S$317,$A67,'Данные 1st'!$RL$2:$RL$317),"")</f>
        <v>3</v>
      </c>
      <c r="HZ67" s="7">
        <f>IFERROR(AVERAGEIF('Данные 1st'!$S$2:$S$317,$A67,'Данные 1st'!$RM$2:$RM$317),"")</f>
        <v>3</v>
      </c>
      <c r="IA67" s="7">
        <f>IFERROR(AVERAGEIF('Данные 1st'!$S$2:$S$317,$A67,'Данные 1st'!$RN$2:$RN$317),"")</f>
        <v/>
      </c>
      <c r="IB67" s="7">
        <f>IFERROR(AVERAGEIF('Данные 1st'!$S$2:$S$317,$A67,'Данные 1st'!$RO$2:$RO$317),"")</f>
        <v>531</v>
      </c>
      <c r="IC67" s="7">
        <f>IFERROR(AVERAGEIF('Данные 1st'!$S$2:$S$317,$A67,'Данные 1st'!$RP$2:$RP$317),"")</f>
        <v>105</v>
      </c>
      <c r="ID67" s="7">
        <f>IFERROR(AVERAGEIF('Данные 1st'!$S$2:$S$317,$A67,'Данные 1st'!$RQ$2:$RQ$317),"")</f>
        <v>620</v>
      </c>
      <c r="IE67" s="7">
        <f>IFERROR(AVERAGEIF('Данные 1st'!$S$2:$S$317,$A67,'Данные 1st'!$RR$2:$RR$317),"")</f>
        <v>528</v>
      </c>
      <c r="IF67" s="7">
        <f>IFERROR(AVERAGEIF('Данные 1st'!$S$2:$S$317,$A67,'Данные 1st'!$RS$2:$RS$317),"")</f>
        <v/>
      </c>
      <c r="IG67" s="7">
        <f>IFERROR(AVERAGEIF('Данные 1st'!$S$2:$S$317,$A67,'Данные 1st'!$RT$2:$RT$317),"")</f>
        <v>291</v>
      </c>
      <c r="IH67" s="7">
        <f>IFERROR(AVERAGEIF('Данные 1st'!$S$2:$S$317,$A67,'Данные 1st'!$RU$2:$RU$317),"")</f>
        <v>187</v>
      </c>
      <c r="II67" s="7">
        <f>IFERROR(AVERAGEIF('Данные 1st'!$S$2:$S$317,$A67,'Данные 1st'!$RX$2:$RX$317),"")</f>
        <v>15</v>
      </c>
      <c r="IJ67" s="7">
        <f>IFERROR(AVERAGEIF('Данные 1st'!$S$2:$S$317,$A67,'Данные 1st'!$RY$2:$RY$317),"")</f>
        <v>4</v>
      </c>
      <c r="IK67" s="7">
        <f>IFERROR(AVERAGEIF('Данные 1st'!$S$2:$S$317,$A67,'Данные 1st'!$SA$2:$SA$317),"")</f>
        <v>15</v>
      </c>
      <c r="IL67" s="7">
        <f>IFERROR(AVERAGEIF('Данные 1st'!$S$2:$S$317,$A67,'Данные 1st'!$SD$2:$SD$317),"")</f>
        <v>1</v>
      </c>
      <c r="IM67" s="7">
        <f>IFERROR(AVERAGEIF('Данные 1st'!$S$2:$S$317,$A67,'Данные 1st'!$SG$2:$SG$317),"")</f>
        <v>1</v>
      </c>
      <c r="IN67" s="7">
        <f>IFERROR(AVERAGEIF('Данные 1st'!$S$2:$S$317,$A67,'Данные 1st'!$SH$2:$SH$317),"")</f>
        <v>0.995</v>
      </c>
      <c r="IO67" s="7">
        <f>IFERROR(AVERAGEIF('Данные 1st'!$S$2:$S$317,$A67,'Данные 1st'!$SI$2:$SI$317),"")</f>
        <v>0.995</v>
      </c>
      <c r="IP67" s="7">
        <f>IFERROR(AVERAGEIF('Данные 1st'!$S$2:$S$317,$A67,'Данные 1st'!$SJ$2:$SJ$317),"")</f>
        <v>0.995</v>
      </c>
      <c r="IQ67" s="7">
        <f>IFERROR(AVERAGEIF('Данные 1st'!$S$2:$S$317,$A67,'Данные 1st'!$SK$2:$SK$317),"")</f>
        <v>15</v>
      </c>
      <c r="IR67" s="7">
        <f>IFERROR(AVERAGEIF('Данные 1st'!$S$2:$S$317,$A67,'Данные 1st'!$SL$2:$SL$317),"")</f>
        <v>0</v>
      </c>
      <c r="IS67" s="7">
        <f>IFERROR(AVERAGEIF('Данные 1st'!$S$2:$S$317,$A67,'Данные 1st'!$SM$2:$SM$317),"")</f>
        <v>0</v>
      </c>
      <c r="IT67" s="7">
        <f>IFERROR(AVERAGEIF('Данные 1st'!$S$2:$S$317,$A67,'Данные 1st'!$SN$2:$SN$317),"")</f>
        <v>0</v>
      </c>
      <c r="IU67" s="7">
        <f>IFERROR(AVERAGEIF('Данные 1st'!$S$2:$S$317,$A67,'Данные 1st'!$SO$2:$SO$317),"")</f>
        <v>0</v>
      </c>
      <c r="IV67" s="7">
        <f>IFERROR(AVERAGEIF('Данные 1st'!$S$2:$S$317,$A67,'Данные 1st'!$SP$2:$SP$317),"")</f>
        <v>0</v>
      </c>
      <c r="IW67" s="7">
        <f>IFERROR(AVERAGEIF('Данные 1st'!$S$2:$S$317,$A67,'Данные 1st'!$SQ$2:$SQ$317),"")</f>
        <v>0</v>
      </c>
      <c r="IX67" s="7">
        <f>IFERROR(AVERAGEIF('Данные 1st'!$S$2:$S$317,$A67,'Данные 1st'!$SR$2:$SR$317),"")</f>
        <v>0</v>
      </c>
      <c r="IY67" s="7">
        <f>IFERROR(AVERAGEIF('Данные 1st'!$S$2:$S$317,$A67,'Данные 1st'!$SS$2:$SS$317),"")</f>
        <v>0</v>
      </c>
      <c r="IZ67" s="7">
        <f>IFERROR(AVERAGEIF('Данные 1st'!$S$2:$S$317,$A67,'Данные 1st'!$ST$2:$ST$317),"")</f>
        <v>0</v>
      </c>
      <c r="JA67" s="7">
        <f>IFERROR(AVERAGEIF('Данные 1st'!$S$2:$S$317,$A67,'Данные 1st'!$SU$2:$SU$317),"")</f>
        <v>0</v>
      </c>
      <c r="JB67" s="7">
        <f>IFERROR(AVERAGEIF('Данные 1st'!$S$2:$S$317,$A67,'Данные 1st'!$SV$2:$SV$317),"")</f>
        <v>0</v>
      </c>
      <c r="JC67" s="7">
        <f>IFERROR(AVERAGEIF('Данные 1st'!$S$2:$S$317,$A67,'Данные 1st'!$SW$2:$SW$317),"")</f>
        <v>0</v>
      </c>
      <c r="JD67" s="7">
        <f>IFERROR(AVERAGEIF('Данные 1st'!$S$2:$S$317,$A67,'Данные 1st'!$SX$2:$SX$317),"")</f>
        <v>0</v>
      </c>
      <c r="JE67" s="7">
        <f>IFERROR(AVERAGEIF('Данные 1st'!$S$2:$S$317,$A67,'Данные 1st'!$SY$2:$SY$317),"")</f>
        <v>1</v>
      </c>
      <c r="JF67" s="7">
        <f>IFERROR(AVERAGEIF('Данные 1st'!$S$2:$S$317,$A67,'Данные 1st'!$SZ$2:$SZ$317),"")</f>
        <v>1</v>
      </c>
      <c r="JG67" s="7">
        <f>IFERROR(AVERAGEIF('Данные 1st'!$S$2:$S$317,$A67,'Данные 1st'!$TA$2:$TA$317),"")</f>
        <v/>
      </c>
      <c r="JH67" s="7">
        <f>IFERROR(AVERAGEIF('Данные 1st'!$S$2:$S$317,$A67,'Данные 1st'!$TB$2:$TB$317),"")</f>
        <v>0</v>
      </c>
      <c r="JI67" s="7">
        <f>IFERROR(AVERAGEIF('Данные 1st'!$S$2:$S$317,$A67,'Данные 1st'!$TC$2:$TC$317),"")</f>
        <v>0</v>
      </c>
      <c r="JJ67" s="7">
        <f>IFERROR(AVERAGEIF('Данные 1st'!$S$2:$S$317,$A67,'Данные 1st'!$TD$2:$TD$317),"")</f>
        <v>7.5</v>
      </c>
      <c r="JK67" s="7">
        <f>IFERROR(AVERAGEIF('Данные 1st'!$S$2:$S$317,$A67,'Данные 1st'!$TN$2:$TN$317),"")</f>
        <v>0</v>
      </c>
      <c r="JL67">
        <f>COUNTIF('Данные 2st'!$Q$2:$Q$317,$A67)</f>
        <v>1</v>
      </c>
      <c r="JM67" s="6" t="s">
        <v>2657</v>
      </c>
      <c r="JN67" s="6" t="s">
        <v>513</v>
      </c>
      <c r="JO67" s="6" t="s">
        <v>517</v>
      </c>
      <c r="JP67" s="6" t="s">
        <v>2766</v>
      </c>
      <c r="JQ67" s="7">
        <f>IFERROR(AVERAGEIF('Данные 2st'!$Q$2:$Q$317,$A67,'Данные 2st'!$AC$2:$AC$317),"")</f>
        <v>9</v>
      </c>
      <c r="JR67" s="7">
        <f>IFERROR(AVERAGEIF('Данные 2st'!$Q$2:$Q$317,$A67,'Данные 2st'!$AF$2:$AF$317),"")</f>
        <v>5132</v>
      </c>
      <c r="JS67" s="7">
        <f>IFERROR(AVERAGEIF('Данные 2st'!$Q$2:$Q$317,$A67,'Данные 2st'!$AW$2:$AW$317),"")</f>
        <v>6.4</v>
      </c>
      <c r="JT67" s="7">
        <f>IFERROR(AVERAGEIF('Данные 2st'!$Q$2:$Q$317,$A67,'Данные 2st'!$AX$2:$AX$317),"")</f>
        <v>-6</v>
      </c>
      <c r="JU67" s="7">
        <f>IFERROR(AVERAGEIF('Данные 2st'!$Q$2:$Q$317,$A67,'Данные 2st'!$AY$2:$AY$317),"")</f>
        <v>112.5</v>
      </c>
      <c r="JV67" s="7">
        <f>IFERROR(AVERAGEIF('Данные 2st'!$Q$2:$Q$317,$A67,'Данные 2st'!$AZ$2:$AZ$317),"")</f>
        <v>100.5</v>
      </c>
      <c r="JW67" s="7">
        <f>IFERROR(AVERAGEIF('Данные 2st'!$Q$2:$Q$317,$A67,'Данные 2st'!$BA$2:$BA$317),"")</f>
        <v/>
      </c>
      <c r="JX67" s="7">
        <f>IFERROR(AVERAGEIF('Данные 2st'!$Q$2:$Q$317,$A67,'Данные 2st'!$BB$2:$BB$317),"")</f>
        <v/>
      </c>
      <c r="JY67" s="7">
        <f>IFERROR(AVERAGEIF('Данные 2st'!$Q$2:$Q$317,$A67,'Данные 2st'!$BC$2:$BC$317),"")</f>
        <v/>
      </c>
      <c r="JZ67" s="7">
        <f>IFERROR(AVERAGEIF('Данные 2st'!$Q$2:$Q$317,$A67,'Данные 2st'!$BH$2:$BH$317),"")</f>
        <v>112.5</v>
      </c>
      <c r="KA67" s="7">
        <f>IFERROR(AVERAGEIF('Данные 2st'!$Q$2:$Q$317,$A67,'Данные 2st'!$BI$2:$BI$317),"")</f>
        <v>12</v>
      </c>
      <c r="KB67" s="7">
        <f>IFERROR(AVERAGEIF('Данные 2st'!$Q$2:$Q$317,$A67,'Данные 2st'!$BJ$2:$BJ$317),"")</f>
        <v>100.5</v>
      </c>
      <c r="KC67" s="7">
        <f>IFERROR(AVERAGEIF('Данные 2st'!$Q$2:$Q$317,$A67,'Данные 2st'!$BK$2:$BK$317),"")</f>
        <v>2.5</v>
      </c>
      <c r="KD67" s="7">
        <f>IFERROR(AVERAGEIF('Данные 2st'!$Q$2:$Q$317,$A67,'Данные 2st'!$BL$2:$BL$317),"")</f>
        <v>225</v>
      </c>
      <c r="KE67" s="7">
        <f>IFERROR(AVERAGEIF('Данные 2st'!$Q$2:$Q$317,$A67,'Данные 2st'!$BM$2:$BM$317),"")</f>
        <v>-6</v>
      </c>
      <c r="KF67" s="7">
        <f>IFERROR(AVERAGEIF('Данные 2st'!$Q$2:$Q$317,$A67,'Данные 2st'!$BN$2:$BN$317),"")</f>
        <v>0</v>
      </c>
      <c r="KG67" s="7">
        <f>IFERROR(AVERAGEIF('Данные 2st'!$Q$2:$Q$317,$A67,'Данные 2st'!$BO$2:$BO$317),"")</f>
        <v/>
      </c>
      <c r="KH67" s="7">
        <f>IFERROR(AVERAGEIF('Данные 2st'!$Q$2:$Q$317,$A67,'Данные 2st'!$BP$2:$BP$317),"")</f>
        <v>0</v>
      </c>
      <c r="KI67" s="7">
        <f>IFERROR(AVERAGEIF('Данные 2st'!$Q$2:$Q$317,$A67,'Данные 2st'!$BR$2:$BR$317),"")</f>
        <v>220</v>
      </c>
      <c r="KJ67" s="7">
        <f>IFERROR(AVERAGEIF('Данные 2st'!$Q$2:$Q$317,$A67,'Данные 2st'!$BS$2:$BS$317),"")</f>
        <v>210</v>
      </c>
      <c r="KK67" s="7">
        <f>IFERROR(AVERAGEIF('Данные 2st'!$Q$2:$Q$317,$A67,'Данные 2st'!$BT$2:$BT$317),"")</f>
        <v>2080</v>
      </c>
      <c r="KL67" s="7">
        <f>IFERROR(AVERAGEIF('Данные 2st'!$Q$2:$Q$317,$A67,'Данные 2st'!$CV$2:$CV$317),"")</f>
        <v>139</v>
      </c>
      <c r="KM67" s="7">
        <f>IFERROR(AVERAGEIF('Данные 2st'!$Q$2:$Q$317,$A67,'Данные 2st'!$CW$2:$CW$317),"")</f>
        <v>3</v>
      </c>
      <c r="KN67" s="7">
        <f>IFERROR(AVERAGEIF('Данные 2st'!$Q$2:$Q$317,$A67,'Данные 2st'!$CX$2:$CX$317),"")</f>
        <v>96</v>
      </c>
      <c r="KO67" s="7">
        <f>IFERROR(AVERAGEIF('Данные 2st'!$Q$2:$Q$317,$A67,'Данные 2st'!$CY$2:$CY$317),"")</f>
        <v>5</v>
      </c>
      <c r="KP67" s="7">
        <f>IFERROR(AVERAGEIF('Данные 2st'!$Q$2:$Q$317,$A67,'Данные 2st'!$CZ$2:$CZ$317),"")</f>
        <v>147</v>
      </c>
      <c r="KQ67" s="7">
        <f>IFERROR(AVERAGEIF('Данные 2st'!$Q$2:$Q$317,$A67,'Данные 2st'!$DA$2:$DA$317),"")</f>
        <v>5</v>
      </c>
      <c r="KR67" s="7">
        <f>IFERROR(AVERAGEIF('Данные 2st'!$Q$2:$Q$317,$A67,'Данные 2st'!$DB$2:$DB$317),"")</f>
        <v>13420</v>
      </c>
      <c r="KS67" s="7">
        <f>IFERROR(AVERAGEIF('Данные 2st'!$Q$2:$Q$317,$A67,'Данные 2st'!$DC$2:$DC$317),"")</f>
        <v>400</v>
      </c>
      <c r="KT67" s="7">
        <f>IFERROR(AVERAGEIF('Данные 2st'!$Q$2:$Q$317,$A67,'Данные 2st'!$DD$2:$DD$317),"")</f>
        <v>335</v>
      </c>
      <c r="KU67" s="7">
        <f>IFERROR(AVERAGEIF('Данные 2st'!$Q$2:$Q$317,$A67,'Данные 2st'!$DE$2:$DE$317),"")</f>
        <v>2207</v>
      </c>
      <c r="KV67" s="7">
        <f>IFERROR(AVERAGEIF('Данные 2st'!$Q$2:$Q$317,$A67,'Данные 2st'!$DF$2:$DF$317),"")</f>
        <v>2207</v>
      </c>
      <c r="KW67" s="7">
        <f>IFERROR(AVERAGEIF('Данные 2st'!$Q$2:$Q$317,$A67,'Данные 2st'!$DG$2:$DG$317),"")</f>
        <v>2218</v>
      </c>
      <c r="KX67" s="7">
        <f>IFERROR(AVERAGEIF('Данные 2st'!$Q$2:$Q$317,$A67,'Данные 2st'!$DH$2:$DH$317),"")</f>
        <v>1</v>
      </c>
      <c r="KY67" s="7">
        <f>IFERROR(AVERAGEIF('Данные 2st'!$Q$2:$Q$317,$A67,'Данные 2st'!$DI$2:$DI$317),"")</f>
        <v/>
      </c>
      <c r="KZ67" s="7">
        <f>IFERROR(AVERAGEIF('Данные 2st'!$Q$2:$Q$317,$A67,'Данные 2st'!$DK$2:$DK$317),"")</f>
        <v>220</v>
      </c>
      <c r="LA67" s="7">
        <f>IFERROR(AVERAGEIF('Данные 2st'!$Q$2:$Q$317,$A67,'Данные 2st'!$DM$2:$DM$317),"")</f>
        <v>63</v>
      </c>
      <c r="LB67" s="7">
        <f>IFERROR(AVERAGEIF('Данные 2st'!$Q$2:$Q$317,$A67,'Данные 2st'!$DN$2:$DN$317),"")</f>
        <v>1.2</v>
      </c>
      <c r="LC67" s="7">
        <f>IFERROR(AVERAGEIF('Данные 2st'!$Q$2:$Q$317,$A67,'Данные 2st'!$DO$2:$DO$317),"")</f>
        <v>1</v>
      </c>
      <c r="LD67" s="7">
        <f>IFERROR(AVERAGEIF('Данные 2st'!$Q$2:$Q$317,$A67,'Данные 2st'!$DP$2:$DP$317),"")</f>
        <v>2084</v>
      </c>
      <c r="LE67" s="7">
        <f>IFERROR(AVERAGEIF('Данные 2st'!$Q$2:$Q$317,$A67,'Данные 2st'!$DQ$2:$DQ$317),"")</f>
        <v>1052</v>
      </c>
      <c r="LF67" s="7">
        <f>IFERROR(AVERAGEIF('Данные 2st'!$Q$2:$Q$317,$A67,'Данные 2st'!$DS$2:$DS$317),"")</f>
        <v>210</v>
      </c>
      <c r="LG67" s="7">
        <f>IFERROR(AVERAGEIF('Данные 2st'!$Q$2:$Q$317,$A67,'Данные 2st'!$DU$2:$DU$317),"")</f>
        <v>63</v>
      </c>
      <c r="LH67" s="7">
        <f>IFERROR(AVERAGEIF('Данные 2st'!$Q$2:$Q$317,$A67,'Данные 2st'!$DV$2:$DV$317),"")</f>
        <v>1.2</v>
      </c>
      <c r="LI67" s="7">
        <f>IFERROR(AVERAGEIF('Данные 2st'!$Q$2:$Q$317,$A67,'Данные 2st'!$DW$2:$DW$317),"")</f>
        <v>1</v>
      </c>
      <c r="LJ67" s="7">
        <f>IFERROR(AVERAGEIF('Данные 2st'!$Q$2:$Q$317,$A67,'Данные 2st'!$DX$2:$DX$317),"")</f>
        <v>2096</v>
      </c>
      <c r="LK67" s="7">
        <f>IFERROR(AVERAGEIF('Данные 2st'!$Q$2:$Q$317,$A67,'Данные 2st'!$DY$2:$DY$317),"")</f>
        <v>1010</v>
      </c>
      <c r="LL67" s="7">
        <f>IFERROR(AVERAGEIF('Данные 2st'!$Q$2:$Q$317,$A67,'Данные 2st'!$EA$2:$EA$317),"")</f>
        <v>20</v>
      </c>
      <c r="LM67" s="7">
        <f>IFERROR(AVERAGEIF('Данные 2st'!$Q$2:$Q$317,$A67,'Данные 2st'!$EC$2:$EC$317),"")</f>
        <v>0.8</v>
      </c>
      <c r="LN67" s="7">
        <f>IFERROR(AVERAGEIF('Данные 2st'!$Q$2:$Q$317,$A67,'Данные 2st'!$ED$2:$ED$317),"")</f>
        <v>2084</v>
      </c>
      <c r="LO67" s="7">
        <f>IFERROR(AVERAGEIF('Данные 2st'!$Q$2:$Q$317,$A67,'Данные 2st'!$EE$2:$EE$317),"")</f>
        <v>73</v>
      </c>
      <c r="LP67" s="7">
        <f>IFERROR(AVERAGEIF('Данные 2st'!$Q$2:$Q$317,$A67,'Данные 2st'!$EG$2:$EG$317),"")</f>
        <v>0</v>
      </c>
      <c r="LQ67" s="7">
        <f>IFERROR(AVERAGEIF('Данные 2st'!$Q$2:$Q$317,$A67,'Данные 2st'!$EI$2:$EI$317),"")</f>
        <v>0</v>
      </c>
      <c r="LR67" s="7">
        <f>IFERROR(AVERAGEIF('Данные 2st'!$Q$2:$Q$317,$A67,'Данные 2st'!$EJ$2:$EJ$317),"")</f>
        <v/>
      </c>
      <c r="LS67" s="7">
        <f>IFERROR(AVERAGEIF('Данные 2st'!$Q$2:$Q$317,$A67,'Данные 2st'!$EK$2:$EK$317),"")</f>
        <v/>
      </c>
      <c r="LT67" s="7">
        <f>IFERROR(AVERAGEIF('Данные 2st'!$Q$2:$Q$317,$A67,'Данные 2st'!$EM$2:$EM$317),"")</f>
        <v>12</v>
      </c>
      <c r="LU67" s="7">
        <f>IFERROR(AVERAGEIF('Данные 2st'!$Q$2:$Q$317,$A67,'Данные 2st'!$EN$2:$EN$317),"")</f>
        <v>0.5</v>
      </c>
      <c r="LV67" s="7">
        <f>IFERROR(AVERAGEIF('Данные 2st'!$Q$2:$Q$317,$A67,'Данные 2st'!$EO$2:$EO$317),"")</f>
        <v>0.96</v>
      </c>
      <c r="LW67" s="7">
        <f>IFERROR(AVERAGEIF('Данные 2st'!$Q$2:$Q$317,$A67,'Данные 2st'!$EP$2:$EP$317),"")</f>
        <v>2095.08</v>
      </c>
      <c r="LX67" s="7">
        <f>IFERROR(AVERAGEIF('Данные 2st'!$Q$2:$Q$317,$A67,'Данные 2st'!$EQ$2:$EQ$317),"")</f>
        <v>38791.72</v>
      </c>
      <c r="LY67" s="7">
        <f>IFERROR(AVERAGEIF('Данные 2st'!$Q$2:$Q$317,$A67,'Данные 2st'!$ER$2:$ER$317),"")</f>
        <v>3939.58</v>
      </c>
      <c r="LZ67" s="7">
        <f>IFERROR(AVERAGEIF('Данные 2st'!$Q$2:$Q$317,$A67,'Данные 2st'!$ES$2:$ES$317),"")</f>
        <v>0</v>
      </c>
      <c r="MA67" s="7">
        <f>IFERROR(AVERAGEIF('Данные 2st'!$Q$2:$Q$317,$A67,'Данные 2st'!$ET$2:$ET$317),"")</f>
        <v>0</v>
      </c>
      <c r="MB67" s="7">
        <f>IFERROR(AVERAGEIF('Данные 2st'!$Q$2:$Q$317,$A67,'Данные 2st'!$EU$2:$EU$317),"")</f>
        <v>1</v>
      </c>
      <c r="MC67" s="7">
        <f>IFERROR(AVERAGEIF('Данные 2st'!$Q$2:$Q$317,$A67,'Данные 2st'!$EV$2:$EV$317),"")</f>
        <v>42732</v>
      </c>
      <c r="MD67" s="7">
        <f>IFERROR(AVERAGEIF('Данные 2st'!$Q$2:$Q$317,$A67,'Данные 2st'!$EW$2:$EW$317),"")</f>
        <v>513</v>
      </c>
      <c r="ME67" s="7">
        <f>IFERROR(AVERAGEIF('Данные 2st'!$Q$2:$Q$317,$A67,'Данные 2st'!$EY$2:$EY$317),"")</f>
        <v>242</v>
      </c>
      <c r="MF67" s="7">
        <f>IFERROR(AVERAGEIF('Данные 2st'!$Q$2:$Q$317,$A67,'Данные 2st'!$FA$2:$FA$317),"")</f>
        <v>4.4</v>
      </c>
      <c r="MG67" s="7">
        <f>IFERROR(AVERAGEIF('Данные 2st'!$Q$2:$Q$317,$A67,'Данные 2st'!$FB$2:$FB$317),"")</f>
        <v>1</v>
      </c>
      <c r="MH67" s="7">
        <f>IFERROR(AVERAGEIF('Данные 2st'!$Q$2:$Q$317,$A67,'Данные 2st'!$FC$2:$FC$317),"")</f>
        <v>1</v>
      </c>
      <c r="MI67" s="7">
        <f>IFERROR(AVERAGEIF('Данные 2st'!$Q$2:$Q$317,$A67,'Данные 2st'!$FD$2:$FD$317),"")</f>
        <v>2130</v>
      </c>
      <c r="MJ67" s="7">
        <f>IFERROR(AVERAGEIF('Данные 2st'!$Q$2:$Q$317,$A67,'Данные 2st'!$FE$2:$FE$317),"")</f>
        <v>2641</v>
      </c>
      <c r="MK67" s="7">
        <f>IFERROR(AVERAGEIF('Данные 2st'!$Q$2:$Q$317,$A67,'Данные 2st'!$FG$2:$FG$317),"")</f>
        <v>242</v>
      </c>
      <c r="ML67" s="7">
        <f>IFERROR(AVERAGEIF('Данные 2st'!$Q$2:$Q$317,$A67,'Данные 2st'!$FI$2:$FI$317),"")</f>
        <v>4.2</v>
      </c>
      <c r="MM67" s="7">
        <f>IFERROR(AVERAGEIF('Данные 2st'!$Q$2:$Q$317,$A67,'Данные 2st'!$FJ$2:$FJ$317),"")</f>
        <v>2130</v>
      </c>
      <c r="MN67" s="7">
        <f>IFERROR(AVERAGEIF('Данные 2st'!$Q$2:$Q$317,$A67,'Данные 2st'!$FK$2:$FK$317),"")</f>
        <v>2550</v>
      </c>
      <c r="MO67" s="7">
        <f>IFERROR(AVERAGEIF('Данные 2st'!$Q$2:$Q$317,$A67,'Данные 2st'!$FP$2:$FP$317),"")</f>
        <v>2130</v>
      </c>
      <c r="MP67" s="7">
        <f>IFERROR(AVERAGEIF('Данные 2st'!$Q$2:$Q$317,$A67,'Данные 2st'!$FQ$2:$FQ$317),"")</f>
        <v>187</v>
      </c>
      <c r="MQ67" s="7">
        <f>IFERROR(AVERAGEIF('Данные 2st'!$Q$2:$Q$317,$A67,'Данные 2st'!$FS$2:$FS$317),"")</f>
        <v>246</v>
      </c>
      <c r="MR67" s="7">
        <f>IFERROR(AVERAGEIF('Данные 2st'!$Q$2:$Q$317,$A67,'Данные 2st'!$FU$2:$FU$317),"")</f>
        <v>0.4</v>
      </c>
      <c r="MS67" s="7">
        <f>IFERROR(AVERAGEIF('Данные 2st'!$Q$2:$Q$317,$A67,'Данные 2st'!$FV$2:$FV$317),"")</f>
        <v>2130</v>
      </c>
      <c r="MT67" s="7">
        <f>IFERROR(AVERAGEIF('Данные 2st'!$Q$2:$Q$317,$A67,'Данные 2st'!$FW$2:$FW$317),"")</f>
        <v>233</v>
      </c>
      <c r="MU67" s="7">
        <f>IFERROR(AVERAGEIF('Данные 2st'!$Q$2:$Q$317,$A67,'Данные 2st'!$FY$2:$FY$317),"")</f>
        <v>5</v>
      </c>
      <c r="MV67" s="7">
        <f>IFERROR(AVERAGEIF('Данные 2st'!$Q$2:$Q$317,$A67,'Данные 2st'!$GB$2:$GB$317),"")</f>
        <v>2130</v>
      </c>
      <c r="MW67" s="7">
        <f>IFERROR(AVERAGEIF('Данные 2st'!$Q$2:$Q$317,$A67,'Данные 2st'!$GC$2:$GC$317),"")</f>
        <v>22</v>
      </c>
      <c r="MX67" s="7">
        <f>IFERROR(AVERAGEIF('Данные 2st'!$Q$2:$Q$317,$A67,'Данные 2st'!$GD$2:$GD$317),"")</f>
        <v>5633</v>
      </c>
      <c r="MY67" s="7">
        <f>IFERROR(AVERAGEIF('Данные 2st'!$Q$2:$Q$317,$A67,'Данные 2st'!$GN$2:$GN$317),"")</f>
        <v/>
      </c>
      <c r="MZ67" s="7">
        <f>IFERROR(AVERAGEIF('Данные 2st'!$Q$2:$Q$317,$A67,'Данные 2st'!$GQ$2:$GQ$317),"")</f>
        <v>0</v>
      </c>
      <c r="NA67" s="7">
        <f>IFERROR(AVERAGEIF('Данные 2st'!$Q$2:$Q$317,$A67,'Данные 2st'!$GV$2:$GV$317),"")</f>
        <v>9</v>
      </c>
      <c r="NB67" s="7">
        <f>IFERROR(AVERAGEIF('Данные 2st'!$Q$2:$Q$317,$A67,'Данные 2st'!$GW$2:$GW$317),"")</f>
        <v>11.5</v>
      </c>
      <c r="NC67" s="7">
        <f>IFERROR(AVERAGEIF('Данные 2st'!$Q$2:$Q$317,$A67,'Данные 2st'!$GX$2:$GX$317),"")</f>
        <v>0.5</v>
      </c>
      <c r="ND67" s="7">
        <f>IFERROR(AVERAGEIF('Данные 2st'!$Q$2:$Q$317,$A67,'Данные 2st'!$GY$2:$GY$317),"")</f>
        <v>216</v>
      </c>
      <c r="NE67" s="7">
        <f>IFERROR(AVERAGEIF('Данные 2st'!$Q$2:$Q$317,$A67,'Данные 2st'!$GZ$2:$GZ$317),"")</f>
        <v>3</v>
      </c>
      <c r="NF67" s="7">
        <f>IFERROR(AVERAGEIF('Данные 2st'!$Q$2:$Q$317,$A67,'Данные 2st'!$HA$2:$HA$317),"")</f>
        <v>262</v>
      </c>
      <c r="NG67" s="7">
        <f>IFERROR(AVERAGEIF('Данные 2st'!$Q$2:$Q$317,$A67,'Данные 2st'!$HB$2:$HB$317),"")</f>
        <v>3</v>
      </c>
      <c r="NH67" s="7">
        <f>IFERROR(AVERAGEIF('Данные 2st'!$Q$2:$Q$317,$A67,'Данные 2st'!$HC$2:$HC$317),"")</f>
        <v>2130</v>
      </c>
      <c r="NI67" s="7">
        <f>IFERROR(AVERAGEIF('Данные 2st'!$Q$2:$Q$317,$A67,'Данные 2st'!$HD$2:$HD$317),"")</f>
        <v>4</v>
      </c>
      <c r="NJ67" s="7">
        <f>IFERROR(AVERAGEIF('Данные 2st'!$Q$2:$Q$317,$A67,'Данные 2st'!$HM$2:$HM$317),"")</f>
        <v>19</v>
      </c>
      <c r="NK67" s="7">
        <f>IFERROR(AVERAGEIF('Данные 2st'!$Q$2:$Q$317,$A67,'Данные 2st'!$HR$2:$HR$317),"")</f>
        <v>2</v>
      </c>
      <c r="NL67" s="7">
        <f>IFERROR(AVERAGEIF('Данные 2st'!$Q$2:$Q$317,$A67,'Данные 2st'!$HS$2:$HS$317),"")</f>
        <v>2080</v>
      </c>
      <c r="NM67" s="7">
        <f>IFERROR(AVERAGEIF('Данные 2st'!$Q$2:$Q$317,$A67,'Данные 2st'!$HT$2:$HT$317),"")</f>
        <v>5</v>
      </c>
      <c r="NN67" s="7">
        <f>IFERROR(AVERAGEIF('Данные 2st'!$Q$2:$Q$317,$A67,'Данные 2st'!$HY$2:$HY$317),"")</f>
        <v>0</v>
      </c>
      <c r="NO67" s="7">
        <f>IFERROR(AVERAGEIF('Данные 2st'!$Q$2:$Q$317,$A67,'Данные 2st'!$HZ$2:$HZ$317),"")</f>
        <v>63</v>
      </c>
      <c r="NP67" s="7">
        <f>IFERROR(AVERAGEIF('Данные 2st'!$Q$2:$Q$317,$A67,'Данные 2st'!$IA$2:$IA$317),"")</f>
        <v>2084</v>
      </c>
      <c r="NQ67" s="7">
        <f>IFERROR(AVERAGEIF('Данные 2st'!$Q$2:$Q$317,$A67,'Данные 2st'!$IB$2:$IB$317),"")</f>
        <v>2096</v>
      </c>
      <c r="NR67" s="7">
        <f>IFERROR(AVERAGEIF('Данные 2st'!$Q$2:$Q$317,$A67,'Данные 2st'!$IC$2:$IC$317),"")</f>
        <v/>
      </c>
      <c r="NS67" s="7">
        <f>IFERROR(AVERAGEIF('Данные 2st'!$Q$2:$Q$317,$A67,'Данные 2st'!$ID$2:$ID$317),"")</f>
        <v>2130</v>
      </c>
      <c r="NT67" s="7">
        <f>IFERROR(AVERAGEIF('Данные 2st'!$Q$2:$Q$317,$A67,'Данные 2st'!$IE$2:$IE$317),"")</f>
        <v>2130</v>
      </c>
      <c r="NU67" s="7">
        <f>IFERROR(AVERAGEIF('Данные 2st'!$Q$2:$Q$317,$A67,'Данные 2st'!$IF$2:$IF$317),"")</f>
        <v>220</v>
      </c>
      <c r="NV67" s="7">
        <f>IFERROR(AVERAGEIF('Данные 2st'!$Q$2:$Q$317,$A67,'Данные 2st'!$IG$2:$IG$317),"")</f>
        <v>210</v>
      </c>
      <c r="NW67" s="7">
        <f>IFERROR(AVERAGEIF('Данные 2st'!$Q$2:$Q$317,$A67,'Данные 2st'!$IH$2:$IH$317),"")</f>
        <v>262</v>
      </c>
      <c r="NX67" s="7">
        <f>IFERROR(AVERAGEIF('Данные 2st'!$Q$2:$Q$317,$A67,'Данные 2st'!$IJ$2:$IJ$317),"")</f>
        <v>5</v>
      </c>
      <c r="NY67" s="7">
        <f>IFERROR(AVERAGEIF('Данные 2st'!$Q$2:$Q$317,$A67,'Данные 2st'!$IM$2:$IM$317),"")</f>
        <v>0</v>
      </c>
      <c r="NZ67" s="7">
        <f>IFERROR(AVERAGEIF('Данные 2st'!$Q$2:$Q$317,$A67,'Данные 2st'!$IN$2:$IN$317),"")</f>
        <v>270</v>
      </c>
      <c r="OA67" s="7">
        <f>IFERROR(AVERAGEIF('Данные 2st'!$Q$2:$Q$317,$A67,'Данные 2st'!$IO$2:$IO$317),"")</f>
        <v>0</v>
      </c>
      <c r="OB67" s="7">
        <f>IFERROR(AVERAGEIF('Данные 2st'!$Q$2:$Q$317,$A67,'Данные 2st'!$IP$2:$IP$317),"")</f>
        <v>180</v>
      </c>
      <c r="OC67" s="7">
        <f>IFERROR(AVERAGEIF('Данные 2st'!$Q$2:$Q$317,$A67,'Данные 2st'!$IQ$2:$IQ$317),"")</f>
        <v>0</v>
      </c>
      <c r="OD67" s="7">
        <f>IFERROR(AVERAGEIF('Данные 2st'!$Q$2:$Q$317,$A67,'Данные 2st'!$IR$2:$IR$317),"")</f>
        <v>330</v>
      </c>
      <c r="OE67" s="7">
        <f>IFERROR(AVERAGEIF('Данные 2st'!$Q$2:$Q$317,$A67,'Данные 2st'!$IT$2:$IT$317),"")</f>
        <v>90</v>
      </c>
      <c r="OF67" s="7">
        <f>IFERROR(AVERAGEIF('Данные 2st'!$Q$2:$Q$317,$A67,'Данные 2st'!$IU$2:$IU$317),"")</f>
        <v>0</v>
      </c>
      <c r="OG67" s="7">
        <f>IFERROR(AVERAGEIF('Данные 2st'!$Q$2:$Q$317,$A67,'Данные 2st'!$IV$2:$IV$317),"")</f>
        <v>6.4</v>
      </c>
      <c r="OH67" s="7">
        <f>IFERROR(AVERAGEIF('Данные 2st'!$Q$2:$Q$317,$A67,'Данные 2st'!$IW$2:$IW$317),"")</f>
        <v>-6</v>
      </c>
      <c r="OI67" s="7">
        <f>IFERROR(AVERAGEIF('Данные 2st'!$Q$2:$Q$317,$A67,'Данные 2st'!$IX$2:$IX$317),"")</f>
        <v>112.5</v>
      </c>
      <c r="OJ67" s="7">
        <f>IFERROR(AVERAGEIF('Данные 2st'!$Q$2:$Q$317,$A67,'Данные 2st'!$IY$2:$IY$317),"")</f>
        <v>100.5</v>
      </c>
      <c r="OK67" s="7">
        <f>IFERROR(AVERAGEIF('Данные 2st'!$Q$2:$Q$317,$A67,'Данные 2st'!$IZ$2:$IZ$317),"")</f>
        <v>0</v>
      </c>
      <c r="OL67" s="7">
        <f>IFERROR(AVERAGEIF('Данные 2st'!$Q$2:$Q$317,$A67,'Данные 2st'!$JA$2:$JA$317),"")</f>
        <v>0</v>
      </c>
      <c r="OM67" s="7">
        <f>IFERROR(AVERAGEIF('Данные 2st'!$Q$2:$Q$317,$A67,'Данные 2st'!$JB$2:$JB$317),"")</f>
        <v>0</v>
      </c>
      <c r="ON67" s="7">
        <f>IFERROR(AVERAGEIF('Данные 2st'!$Q$2:$Q$317,$A67,'Данные 2st'!$JC$2:$JC$317),"")</f>
        <v>0</v>
      </c>
      <c r="OO67" s="7">
        <f>IFERROR(AVERAGEIF('Данные 2st'!$Q$2:$Q$317,$A67,'Данные 2st'!$JD$2:$JD$317),"")</f>
        <v>0</v>
      </c>
      <c r="OP67" s="7">
        <f>IFERROR(AVERAGEIF('Данные 2st'!$Q$2:$Q$317,$A67,'Данные 2st'!$JE$2:$JE$317),"")</f>
        <v>0</v>
      </c>
      <c r="OQ67" s="7">
        <f>IFERROR(AVERAGEIF('Данные 2st'!$Q$2:$Q$317,$A67,'Данные 2st'!$JF$2:$JF$317),"")</f>
        <v>0</v>
      </c>
      <c r="OR67" s="7">
        <f>IFERROR(AVERAGEIF('Данные 2st'!$Q$2:$Q$317,$A67,'Данные 2st'!$JG$2:$JG$317),"")</f>
        <v>0</v>
      </c>
      <c r="OS67" s="7">
        <f>IFERROR(AVERAGEIF('Данные 2st'!$Q$2:$Q$317,$A67,'Данные 2st'!$JH$2:$JH$317),"")</f>
        <v>0</v>
      </c>
      <c r="OT67" s="7">
        <f>IFERROR(AVERAGEIF('Данные 2st'!$Q$2:$Q$317,$A67,'Данные 2st'!$JI$2:$JI$317),"")</f>
        <v>380</v>
      </c>
      <c r="OU67" s="7">
        <f>IFERROR(AVERAGEIF('Данные 2st'!$Q$2:$Q$317,$A67,'Данные 2st'!$JJ$2:$JJ$317),"")</f>
        <v>350</v>
      </c>
      <c r="OV67" s="7">
        <f>IFERROR(AVERAGEIF('Данные 2st'!$Q$2:$Q$317,$A67,'Данные 2st'!$JK$2:$JK$317),"")</f>
        <v>252</v>
      </c>
      <c r="OW67" s="7">
        <f>IFERROR(AVERAGEIF('Данные 2st'!$Q$2:$Q$317,$A67,'Данные 2st'!$JL$2:$JL$317),"")</f>
        <v>346</v>
      </c>
      <c r="OX67" s="7">
        <f>IFERROR(AVERAGEIF('Данные 2st'!$Q$2:$Q$317,$A67,'Данные 2st'!$JM$2:$JM$317),"")</f>
        <v>252</v>
      </c>
      <c r="OY67" s="7">
        <f>IFERROR(AVERAGEIF('Данные 2st'!$Q$2:$Q$317,$A67,'Данные 2st'!$JP$2:$JP$317),"")</f>
        <v>200</v>
      </c>
      <c r="OZ67" s="7">
        <f>IFERROR(AVERAGEIF('Данные 2st'!$Q$2:$Q$317,$A67,'Данные 2st'!$JQ$2:$JQ$317),"")</f>
        <v>250</v>
      </c>
      <c r="PA67" s="7">
        <f>IFERROR(AVERAGEIF('Данные 2st'!$Q$2:$Q$317,$A67,'Данные 2st'!$JR$2:$JR$317),"")</f>
        <v>295</v>
      </c>
      <c r="PB67" s="7">
        <f>IFERROR(AVERAGEIF('Данные 2st'!$Q$2:$Q$317,$A67,'Данные 2st'!$JS$2:$JS$317),"")</f>
        <v>230</v>
      </c>
      <c r="PC67" s="7">
        <f>IFERROR(AVERAGEIF('Данные 2st'!$Q$2:$Q$317,$A67,'Данные 2st'!$JT$2:$JT$317),"")</f>
        <v>0</v>
      </c>
      <c r="PD67" s="7">
        <f>IFERROR(AVERAGEIF('Данные 2st'!$Q$2:$Q$317,$A67,'Данные 2st'!$JU$2:$JU$317),"")</f>
        <v>0</v>
      </c>
      <c r="PE67" s="7">
        <f>IFERROR(AVERAGEIF('Данные 2st'!$Q$2:$Q$317,$A67,'Данные 2st'!$JV$2:$JV$317),"")</f>
        <v>290</v>
      </c>
      <c r="PF67" s="7">
        <f>IFERROR(AVERAGEIF('Данные 2st'!$Q$2:$Q$317,$A67,'Данные 2st'!$JW$2:$JW$317),"")</f>
        <v>280</v>
      </c>
      <c r="PG67" s="7">
        <f>IFERROR(AVERAGEIF('Данные 2st'!$Q$2:$Q$317,$A67,'Данные 2st'!$KF$2:$KF$317),"")</f>
        <v>0.2</v>
      </c>
      <c r="PH67" s="7">
        <f>IFERROR(AVERAGEIF('Данные 2st'!$Q$2:$Q$317,$A67,'Данные 2st'!$KG$2:$KG$317),"")</f>
        <v>0.11</v>
      </c>
      <c r="PI67" s="7">
        <f>IFERROR(AVERAGEIF('Данные 2st'!$Q$2:$Q$317,$A67,'Данные 2st'!$KM$2:$KM$317),"")</f>
        <v>0</v>
      </c>
      <c r="PJ67" s="7">
        <f>IFERROR(AVERAGEIF('Данные 2st'!$Q$2:$Q$317,$A67,'Данные 2st'!$KN$2:$KN$317),"")</f>
        <v>1.8</v>
      </c>
      <c r="PK67" s="7">
        <f>IFERROR(AVERAGEIF('Данные 2st'!$Q$2:$Q$317,$A67,'Данные 2st'!$KO$2:$KO$317),"")</f>
        <v>0</v>
      </c>
      <c r="PL67" s="7">
        <f>IFERROR(AVERAGEIF('Данные 2st'!$Q$2:$Q$317,$A67,'Данные 2st'!$KP$2:$KP$317),"")</f>
        <v>0</v>
      </c>
      <c r="PM67" s="7">
        <f>IFERROR(AVERAGEIF('Данные 2st'!$Q$2:$Q$317,$A67,'Данные 2st'!$KQ$2:$KQ$317),"")</f>
        <v>1</v>
      </c>
      <c r="PN67" s="7">
        <f>IFERROR(AVERAGEIF('Данные 2st'!$Q$2:$Q$317,$A67,'Данные 2st'!$KR$2:$KR$317),"")</f>
        <v>0.8</v>
      </c>
      <c r="PO67" s="7">
        <f>IFERROR(AVERAGEIF('Данные 2st'!$Q$2:$Q$317,$A67,'Данные 2st'!$KS$2:$KS$317),"")</f>
        <v>0</v>
      </c>
      <c r="PP67" s="7">
        <f>IFERROR(AVERAGEIF('Данные 2st'!$Q$2:$Q$317,$A67,'Данные 2st'!$KT$2:$KT$317),"")</f>
        <v>2.7</v>
      </c>
      <c r="PQ67" s="7">
        <f>IFERROR(AVERAGEIF('Данные 2st'!$Q$2:$Q$317,$A67,'Данные 2st'!$KU$2:$KU$317),"")</f>
        <v>0</v>
      </c>
      <c r="PR67" s="7">
        <f>IFERROR(AVERAGEIF('Данные 2st'!$Q$2:$Q$317,$A67,'Данные 2st'!$KV$2:$KV$317),"")</f>
        <v>0</v>
      </c>
      <c r="PS67" s="7">
        <f>IFERROR(AVERAGEIF('Данные 2st'!$Q$2:$Q$317,$A67,'Данные 2st'!$KW$2:$KW$317),"")</f>
        <v>1.2</v>
      </c>
      <c r="PT67" s="7">
        <f>IFERROR(AVERAGEIF('Данные 2st'!$Q$2:$Q$317,$A67,'Данные 2st'!$KX$2:$KX$317),"")</f>
        <v>2</v>
      </c>
      <c r="PU67" s="7">
        <f>IFERROR(AVERAGEIF('Данные 2st'!$Q$2:$Q$317,$A67,'Данные 2st'!$KY$2:$KY$317),"")</f>
        <v>0</v>
      </c>
      <c r="PV67" s="7">
        <f>IFERROR(AVERAGEIF('Данные 2st'!$Q$2:$Q$317,$A67,'Данные 2st'!$KZ$2:$KZ$317),"")</f>
        <v>0</v>
      </c>
      <c r="PW67" s="7">
        <f>IFERROR(AVERAGEIF('Данные 2st'!$Q$2:$Q$317,$A67,'Данные 2st'!$LA$2:$LA$317),"")</f>
        <v>0</v>
      </c>
      <c r="PX67" s="7">
        <f>IFERROR(AVERAGEIF('Данные 2st'!$Q$2:$Q$317,$A67,'Данные 2st'!$LB$2:$LB$317),"")</f>
        <v>0</v>
      </c>
      <c r="PY67" s="7">
        <f>IFERROR(AVERAGEIF('Данные 2st'!$Q$2:$Q$317,$A67,'Данные 2st'!$LC$2:$LC$317),"")</f>
        <v>0</v>
      </c>
      <c r="PZ67" s="7">
        <f>IFERROR(AVERAGEIF('Данные 2st'!$Q$2:$Q$317,$A67,'Данные 2st'!$LD$2:$LD$317),"")</f>
        <v>0</v>
      </c>
      <c r="QA67" s="7">
        <f>IFERROR(AVERAGEIF('Данные 2st'!$Q$2:$Q$317,$A67,'Данные 2st'!$LE$2:$LE$317),"")</f>
        <v>0</v>
      </c>
      <c r="QB67" s="7">
        <f>IFERROR(AVERAGEIF('Данные 2st'!$Q$2:$Q$317,$A67,'Данные 2st'!$LF$2:$LF$317),"")</f>
        <v>0</v>
      </c>
      <c r="QC67" s="7">
        <f>IFERROR(AVERAGEIF('Данные 2st'!$Q$2:$Q$317,$A67,'Данные 2st'!$LG$2:$LG$317),"")</f>
        <v>0</v>
      </c>
      <c r="QD67" s="7">
        <f>IFERROR(AVERAGEIF('Данные 2st'!$Q$2:$Q$317,$A67,'Данные 2st'!$LH$2:$LH$317),"")</f>
        <v>3</v>
      </c>
      <c r="QE67" s="7">
        <f>IFERROR(AVERAGEIF('Данные 2st'!$Q$2:$Q$317,$A67,'Данные 2st'!$LJ$2:$LJ$317),"")</f>
        <v>0</v>
      </c>
      <c r="QF67" s="7">
        <f>IFERROR(AVERAGEIF('Данные 2st'!$Q$2:$Q$317,$A67,'Данные 2st'!$LK$2:$LK$317),"")</f>
        <v>8</v>
      </c>
      <c r="QG67" s="7">
        <f>IFERROR(AVERAGEIF('Данные 2st'!$Q$2:$Q$317,$A67,'Данные 2st'!$LL$2:$LL$317),"")</f>
        <v>4</v>
      </c>
      <c r="QH67" s="7">
        <f>IFERROR(AVERAGEIF('Данные 2st'!$Q$2:$Q$317,$A67,'Данные 2st'!$LM$2:$LM$317),"")</f>
        <v>9</v>
      </c>
      <c r="QI67" s="7">
        <f>IFERROR(AVERAGEIF('Данные 2st'!$Q$2:$Q$317,$A67,'Данные 2st'!$LN$2:$LN$317),"")</f>
        <v>1</v>
      </c>
      <c r="QJ67" s="7">
        <f>IFERROR(AVERAGEIF('Данные 2st'!$Q$2:$Q$317,$A67,'Данные 2st'!$LO$2:$LO$317),"")</f>
        <v>0.1</v>
      </c>
      <c r="QK67" s="7">
        <f>IFERROR(AVERAGEIF('Данные 2st'!$Q$2:$Q$317,$A67,'Данные 2st'!$LP$2:$LP$317),"")</f>
        <v>0</v>
      </c>
      <c r="QL67" s="7">
        <f>IFERROR(AVERAGEIF('Данные 2st'!$Q$2:$Q$317,$A67,'Данные 2st'!$LQ$2:$LQ$317),"")</f>
        <v>0</v>
      </c>
      <c r="QM67" s="7">
        <f>IFERROR(AVERAGEIF('Данные 2st'!$Q$2:$Q$317,$A67,'Данные 2st'!$LW$2:$LW$317),"")</f>
        <v>1.8</v>
      </c>
      <c r="QN67" s="7">
        <f>IFERROR(AVERAGEIF('Данные 2st'!$Q$2:$Q$317,$A67,'Данные 2st'!$LX$2:$LX$317),"")</f>
        <v>1.8</v>
      </c>
      <c r="QO67" s="7">
        <f>IFERROR(AVERAGEIF('Данные 2st'!$Q$2:$Q$317,$A67,'Данные 2st'!$LY$2:$LY$317),"")</f>
        <v>2.1</v>
      </c>
      <c r="QP67" s="7">
        <f>IFERROR(AVERAGEIF('Данные 2st'!$Q$2:$Q$317,$A67,'Данные 2st'!$LZ$2:$LZ$317),"")</f>
        <v>2.1</v>
      </c>
      <c r="QQ67" s="7">
        <f>IFERROR(AVERAGEIF('Данные 2st'!$Q$2:$Q$317,$A67,'Данные 2st'!$MB$2:$MB$317),"")</f>
        <v>2.5</v>
      </c>
      <c r="QR67" s="7">
        <f>IFERROR(AVERAGEIF('Данные 2st'!$Q$2:$Q$317,$A67,'Данные 2st'!$MG$2:$MG$317),"")</f>
        <v/>
      </c>
      <c r="QS67" s="7">
        <f>IFERROR(AVERAGEIF('Данные 2st'!$Q$2:$Q$317,$A67,'Данные 2st'!$MH$2:$MH$317),"")</f>
        <v/>
      </c>
      <c r="QT67" s="7">
        <f>IFERROR(AVERAGEIF('Данные 2st'!$Q$2:$Q$317,$A67,'Данные 2st'!$MI$2:$MI$317),"")</f>
        <v>0</v>
      </c>
      <c r="QU67" s="7">
        <f>IFERROR(AVERAGEIF('Данные 2st'!$Q$2:$Q$317,$A67,'Данные 2st'!$MJ$2:$MJ$317),"")</f>
        <v>0</v>
      </c>
      <c r="QV67" s="7">
        <f>IFERROR(AVERAGEIF('Данные 2st'!$Q$2:$Q$317,$A67,'Данные 2st'!$MK$2:$MK$317),"")</f>
        <v/>
      </c>
      <c r="QW67" s="7">
        <f>IFERROR(AVERAGEIF('Данные 2st'!$Q$2:$Q$317,$A67,'Данные 2st'!$MM$2:$MM$317),"")</f>
        <v>390</v>
      </c>
      <c r="QX67" s="7">
        <f>IFERROR(AVERAGEIF('Данные 2st'!$Q$2:$Q$317,$A67,'Данные 2st'!$MQ$2:$MQ$317),"")</f>
        <v/>
      </c>
      <c r="QY67" s="7">
        <f>IFERROR(AVERAGEIF('Данные 2st'!$Q$2:$Q$317,$A67,'Данные 2st'!$MR$2:$MR$317),"")</f>
        <v/>
      </c>
      <c r="QZ67" s="7">
        <f>IFERROR(AVERAGEIF('Данные 2st'!$Q$2:$Q$317,$A67,'Данные 2st'!$MS$2:$MS$317),"")</f>
        <v/>
      </c>
      <c r="RA67" s="7">
        <f>IFERROR(AVERAGEIF('Данные 2st'!$Q$2:$Q$317,$A67,'Данные 2st'!$MT$2:$MT$317),"")</f>
        <v/>
      </c>
      <c r="RB67" s="7">
        <f>IFERROR(AVERAGEIF('Данные 2st'!$Q$2:$Q$317,$A67,'Данные 2st'!$MU$2:$MU$317),"")</f>
        <v/>
      </c>
      <c r="RC67" s="7">
        <f>IFERROR(AVERAGEIF('Данные 2st'!$Q$2:$Q$317,$A67,'Данные 2st'!$MV$2:$MV$317),"")</f>
        <v/>
      </c>
      <c r="RD67" s="7">
        <f>IFERROR(AVERAGEIF('Данные 2st'!$Q$2:$Q$317,$A67,'Данные 2st'!$MW$2:$MW$317),"")</f>
        <v/>
      </c>
      <c r="RE67" s="7">
        <f>IFERROR(AVERAGEIF('Данные 2st'!$Q$2:$Q$317,$A67,'Данные 2st'!$MX$2:$MX$317),"")</f>
        <v/>
      </c>
      <c r="RF67" s="7">
        <f>IFERROR(AVERAGEIF('Данные 2st'!$Q$2:$Q$317,$A67,'Данные 2st'!$MY$2:$MY$317),"")</f>
        <v/>
      </c>
      <c r="RG67" s="7">
        <f>IFERROR(AVERAGEIF('Данные 2st'!$Q$2:$Q$317,$A67,'Данные 2st'!$MZ$2:$MZ$317),"")</f>
        <v/>
      </c>
      <c r="RH67" s="7">
        <f>IFERROR(AVERAGEIF('Данные 2st'!$Q$2:$Q$317,$A67,'Данные 2st'!$NA$2:$NA$317),"")</f>
        <v/>
      </c>
      <c r="RI67" s="7">
        <f>IFERROR(AVERAGEIF('Данные 2st'!$Q$2:$Q$317,$A67,'Данные 2st'!$NB$2:$NB$317),"")</f>
        <v/>
      </c>
      <c r="RJ67" s="7">
        <f>IFERROR(AVERAGEIF('Данные 2st'!$Q$2:$Q$317,$A67,'Данные 2st'!$NC$2:$NC$317),"")</f>
        <v/>
      </c>
      <c r="RK67" s="7">
        <f>IFERROR(AVERAGEIF('Данные 2st'!$Q$2:$Q$317,$A67,'Данные 2st'!$ND$2:$ND$317),"")</f>
        <v/>
      </c>
      <c r="RL67" s="7">
        <f>IFERROR(AVERAGEIF('Данные 2st'!$Q$2:$Q$317,$A67,'Данные 2st'!$NE$2:$NE$317),"")</f>
        <v/>
      </c>
      <c r="RM67" s="7">
        <f>IFERROR(AVERAGEIF('Данные 2st'!$Q$2:$Q$317,$A67,'Данные 2st'!$NF$2:$NF$317),"")</f>
        <v/>
      </c>
      <c r="RN67" s="7">
        <f>IFERROR(AVERAGEIF('Данные 2st'!$Q$2:$Q$317,$A67,'Данные 2st'!$NG$2:$NG$317),"")</f>
        <v/>
      </c>
      <c r="RO67" s="7">
        <f>IFERROR(AVERAGEIF('Данные 2st'!$Q$2:$Q$317,$A67,'Данные 2st'!$NH$2:$NH$317),"")</f>
        <v/>
      </c>
      <c r="RP67" s="7">
        <f>IFERROR(AVERAGEIF('Данные 2st'!$Q$2:$Q$317,$A67,'Данные 2st'!$NJ$2:$NJ$317),"")</f>
        <v/>
      </c>
      <c r="RQ67" s="7">
        <f>IFERROR(AVERAGEIF('Данные 2st'!$Q$2:$Q$317,$A67,'Данные 2st'!$NK$2:$NK$317),"")</f>
        <v/>
      </c>
      <c r="RR67" s="7">
        <f>IFERROR(AVERAGEIF('Данные 2st'!$Q$2:$Q$317,$A67,'Данные 2st'!$NM$2:$NM$317),"")</f>
        <v/>
      </c>
      <c r="RS67" s="7">
        <f>IFERROR(AVERAGEIF('Данные 2st'!$Q$2:$Q$317,$A67,'Данные 2st'!$NN$2:$NN$317),"")</f>
        <v/>
      </c>
      <c r="RT67" s="7">
        <f>IFERROR(AVERAGEIF('Данные 2st'!$Q$2:$Q$317,$A67,'Данные 2st'!$NO$2:$NO$317),"")</f>
        <v/>
      </c>
      <c r="RU67" s="7">
        <f>IFERROR(AVERAGEIF('Данные 2st'!$Q$2:$Q$317,$A67,'Данные 2st'!$NP$2:$NP$317),"")</f>
        <v/>
      </c>
      <c r="RV67" s="7">
        <f>IFERROR(AVERAGEIF('Данные 2st'!$Q$2:$Q$317,$A67,'Данные 2st'!$NQ$2:$NQ$317),"")</f>
        <v/>
      </c>
      <c r="RW67" s="7">
        <f>IFERROR(AVERAGEIF('Данные 2st'!$Q$2:$Q$317,$A67,'Данные 2st'!$NR$2:$NR$317),"")</f>
        <v/>
      </c>
      <c r="RX67" s="7">
        <f>IFERROR(AVERAGEIF('Данные 2st'!$Q$2:$Q$317,$A67,'Данные 2st'!$NS$2:$NS$317),"")</f>
        <v/>
      </c>
      <c r="RY67" s="7">
        <f>IFERROR(AVERAGEIF('Данные 2st'!$Q$2:$Q$317,$A67,'Данные 2st'!$NT$2:$NT$317),"")</f>
        <v/>
      </c>
      <c r="RZ67" s="7">
        <f>IFERROR(AVERAGEIF('Данные 2st'!$Q$2:$Q$317,$A67,'Данные 2st'!$OK$2:$OK$317),"")</f>
        <v>61</v>
      </c>
      <c r="SA67" s="7">
        <f>IFERROR(AVERAGEIF('Данные 2st'!$Q$2:$Q$317,$A67,'Данные 2st'!$OL$2:$OL$317),"")</f>
        <v>61</v>
      </c>
      <c r="SB67" s="7">
        <f>IFERROR(AVERAGEIF('Данные 2st'!$Q$2:$Q$317,$A67,'Данные 2st'!$ON$2:$ON$317),"")</f>
        <v>1</v>
      </c>
      <c r="SC67" s="7">
        <f>IFERROR(AVERAGEIF('Данные 2st'!$Q$2:$Q$317,$A67,'Данные 2st'!$OO$2:$OO$317),"")</f>
        <v>2084</v>
      </c>
      <c r="SD67" s="7">
        <f>IFERROR(AVERAGEIF('Данные 2st'!$Q$2:$Q$317,$A67,'Данные 2st'!$OP$2:$OP$317),"")</f>
        <v>61</v>
      </c>
      <c r="SE67" s="7">
        <f>IFERROR(AVERAGEIF('Данные 2st'!$Q$2:$Q$317,$A67,'Данные 2st'!$OQ$2:$OQ$317),"")</f>
        <v>61</v>
      </c>
      <c r="SF67" s="7">
        <f>IFERROR(AVERAGEIF('Данные 2st'!$Q$2:$Q$317,$A67,'Данные 2st'!$OS$2:$OS$317),"")</f>
        <v>1</v>
      </c>
      <c r="SG67" s="7">
        <f>IFERROR(AVERAGEIF('Данные 2st'!$Q$2:$Q$317,$A67,'Данные 2st'!$OT$2:$OT$317),"")</f>
        <v>2096</v>
      </c>
      <c r="SH67" s="7">
        <f>IFERROR(AVERAGEIF('Данные 2st'!$Q$2:$Q$317,$A67,'Данные 2st'!$OU$2:$OU$317),"")</f>
        <v>65</v>
      </c>
      <c r="SI67" s="7">
        <f>IFERROR(AVERAGEIF('Данные 2st'!$Q$2:$Q$317,$A67,'Данные 2st'!$OV$2:$OV$317),"")</f>
        <v>65</v>
      </c>
      <c r="SJ67" s="7">
        <f>IFERROR(AVERAGEIF('Данные 2st'!$Q$2:$Q$317,$A67,'Данные 2st'!$OX$2:$OX$317),"")</f>
        <v>1</v>
      </c>
      <c r="SK67" s="7">
        <f>IFERROR(AVERAGEIF('Данные 2st'!$Q$2:$Q$317,$A67,'Данные 2st'!$OY$2:$OY$317),"")</f>
        <v>42732</v>
      </c>
      <c r="SL67" s="7">
        <f>IFERROR(AVERAGEIF('Данные 2st'!$Q$2:$Q$317,$A67,'Данные 2st'!$OZ$2:$OZ$317),"")</f>
        <v>51</v>
      </c>
      <c r="SM67" s="7">
        <f>IFERROR(AVERAGEIF('Данные 2st'!$Q$2:$Q$317,$A67,'Данные 2st'!$PA$2:$PA$317),"")</f>
        <v>52</v>
      </c>
      <c r="SN67" s="7">
        <f>IFERROR(AVERAGEIF('Данные 2st'!$Q$2:$Q$317,$A67,'Данные 2st'!$PC$2:$PC$317),"")</f>
        <v>1</v>
      </c>
      <c r="SO67" s="7">
        <f>IFERROR(AVERAGEIF('Данные 2st'!$Q$2:$Q$317,$A67,'Данные 2st'!$PD$2:$PD$317),"")</f>
        <v>2130</v>
      </c>
      <c r="SP67" s="7">
        <f>IFERROR(AVERAGEIF('Данные 2st'!$Q$2:$Q$317,$A67,'Данные 2st'!$PF$2:$PF$317),"")</f>
        <v>505</v>
      </c>
      <c r="SQ67" s="7">
        <f>IFERROR(AVERAGEIF('Данные 2st'!$Q$2:$Q$317,$A67,'Данные 2st'!$PG$2:$PG$317),"")</f>
        <v>35</v>
      </c>
      <c r="SR67" s="7">
        <f>IFERROR(AVERAGEIF('Данные 2st'!$Q$2:$Q$317,$A67,'Данные 2st'!$PH$2:$PH$317),"")</f>
        <v>482</v>
      </c>
      <c r="SS67" s="7">
        <f>IFERROR(AVERAGEIF('Данные 2st'!$Q$2:$Q$317,$A67,'Данные 2st'!$PI$2:$PI$317),"")</f>
        <v>0</v>
      </c>
      <c r="ST67" s="7">
        <f>IFERROR(AVERAGEIF('Данные 2st'!$Q$2:$Q$317,$A67,'Данные 2st'!$PJ$2:$PJ$317),"")</f>
        <v>87.6</v>
      </c>
      <c r="SU67" s="7">
        <f>IFERROR(AVERAGEIF('Данные 2st'!$Q$2:$Q$317,$A67,'Данные 2st'!$PK$2:$PK$317),"")</f>
        <v/>
      </c>
      <c r="SV67" s="7">
        <f>IFERROR(AVERAGEIF('Данные 2st'!$Q$2:$Q$317,$A67,'Данные 2st'!$PL$2:$PL$317),"")</f>
        <v>1239.7</v>
      </c>
      <c r="SW67" s="7">
        <f>IFERROR(AVERAGEIF('Данные 2st'!$Q$2:$Q$317,$A67,'Данные 2st'!$PM$2:$PM$317),"")</f>
        <v>1197</v>
      </c>
      <c r="SX67" s="7">
        <f>IFERROR(AVERAGEIF('Данные 2st'!$Q$2:$Q$317,$A67,'Данные 2st'!$PN$2:$PN$317),"")</f>
        <v>109.5</v>
      </c>
      <c r="SY67" s="7">
        <f>IFERROR(AVERAGEIF('Данные 2st'!$Q$2:$Q$317,$A67,'Данные 2st'!$PO$2:$PO$317),"")</f>
        <v>10.5</v>
      </c>
      <c r="SZ67" s="7">
        <f>IFERROR(AVERAGEIF('Данные 2st'!$Q$2:$Q$317,$A67,'Данные 2st'!$PP$2:$PP$317),"")</f>
        <v>12</v>
      </c>
      <c r="TA67" s="7">
        <f>IFERROR(AVERAGEIF('Данные 2st'!$Q$2:$Q$317,$A67,'Данные 2st'!$PQ$2:$PQ$317),"")</f>
        <v>3</v>
      </c>
      <c r="TB67" s="7">
        <f>IFERROR(AVERAGEIF('Данные 2st'!$Q$2:$Q$317,$A67,'Данные 2st'!$PR$2:$PR$317),"")</f>
        <v>5</v>
      </c>
      <c r="TC67" s="7">
        <f>IFERROR(AVERAGEIF('Данные 2st'!$Q$2:$Q$317,$A67,'Данные 2st'!$PS$2:$PS$317),"")</f>
        <v>0</v>
      </c>
      <c r="TD67" s="7">
        <f>IFERROR(AVERAGEIF('Данные 2st'!$Q$2:$Q$317,$A67,'Данные 2st'!$PT$2:$PT$317),"")</f>
        <v>262</v>
      </c>
      <c r="TE67" s="7">
        <f>IFERROR(AVERAGEIF('Данные 2st'!$Q$2:$Q$317,$A67,'Данные 2st'!$PU$2:$PU$317),"")</f>
        <v>10</v>
      </c>
      <c r="TF67" s="7">
        <f>IFERROR(AVERAGEIF('Данные 2st'!$Q$2:$Q$317,$A67,'Данные 2st'!$PX$2:$PX$317),"")</f>
        <v>0</v>
      </c>
      <c r="TG67" s="7">
        <f>IFERROR(AVERAGEIF('Данные 2st'!$Q$2:$Q$317,$A67,'Данные 2st'!$PY$2:$PY$317),"")</f>
        <v>0</v>
      </c>
      <c r="TH67" s="7">
        <f>IFERROR(AVERAGEIF('Данные 2st'!$Q$2:$Q$317,$A67,'Данные 2st'!$PZ$2:$PZ$317),"")</f>
        <v>0</v>
      </c>
      <c r="TI67" s="7">
        <f>IFERROR(AVERAGEIF('Данные 2st'!$Q$2:$Q$317,$A67,'Данные 2st'!$QA$2:$QA$317),"")</f>
        <v>0</v>
      </c>
      <c r="TJ67" s="7">
        <f>IFERROR(AVERAGEIF('Данные 2st'!$Q$2:$Q$317,$A67,'Данные 2st'!$QB$2:$QB$317),"")</f>
        <v>0</v>
      </c>
      <c r="TK67" s="7">
        <f>IFERROR(AVERAGEIF('Данные 2st'!$Q$2:$Q$317,$A67,'Данные 2st'!$QC$2:$QC$317),"")</f>
        <v>0</v>
      </c>
      <c r="TL67" s="7">
        <f>IFERROR(AVERAGEIF('Данные 2st'!$Q$2:$Q$317,$A67,'Данные 2st'!$QD$2:$QD$317),"")</f>
        <v>0</v>
      </c>
      <c r="TM67" s="7">
        <f>IFERROR(AVERAGEIF('Данные 2st'!$Q$2:$Q$317,$A67,'Данные 2st'!$QE$2:$QE$317),"")</f>
        <v>-1</v>
      </c>
      <c r="TN67" s="7">
        <f>IFERROR(AVERAGEIF('Данные 2st'!$Q$2:$Q$317,$A67,'Данные 2st'!$QF$2:$QF$317),"")</f>
        <v>1</v>
      </c>
      <c r="TO67" s="7">
        <f>IFERROR(AVERAGEIF('Данные 2st'!$Q$2:$Q$317,$A67,'Данные 2st'!$QG$2:$QG$317),"")</f>
        <v>0</v>
      </c>
      <c r="TP67" s="7">
        <f>IFERROR(AVERAGEIF('Данные 2st'!$Q$2:$Q$317,$A67,'Данные 2st'!$QH$2:$QH$317),"")</f>
        <v>5</v>
      </c>
      <c r="TQ67" s="7">
        <f>IFERROR(AVERAGEIF('Данные 2st'!$Q$2:$Q$317,$A67,'Данные 2st'!$QI$2:$QI$317),"")</f>
        <v>5</v>
      </c>
      <c r="TR67" s="7">
        <f>IFERROR(AVERAGEIF('Данные 2st'!$Q$2:$Q$317,$A67,'Данные 2st'!$QJ$2:$QJ$317),"")</f>
        <v>5</v>
      </c>
      <c r="TS67" s="7">
        <f>IFERROR(AVERAGEIF('Данные 2st'!$Q$2:$Q$317,$A67,'Данные 2st'!$QK$2:$QK$317),"")</f>
        <v>206</v>
      </c>
      <c r="TT67" s="7">
        <f>IFERROR(AVERAGEIF('Данные 2st'!$Q$2:$Q$317,$A67,'Данные 2st'!$QL$2:$QL$317),"")</f>
        <v>410</v>
      </c>
      <c r="TU67" s="7">
        <f>IFERROR(AVERAGEIF('Данные 2st'!$Q$2:$Q$317,$A67,'Данные 2st'!$QM$2:$QM$317),"")</f>
        <v>7.5</v>
      </c>
      <c r="TV67" s="7">
        <f>IFERROR(AVERAGEIF('Данные 2st'!$Q$2:$Q$317,$A67,'Данные 2st'!$QN$2:$QN$317),"")</f>
        <v>1544.1</v>
      </c>
      <c r="TW67" s="7">
        <f>IFERROR(AVERAGEIF('Данные 2st'!$Q$2:$Q$317,$A67,'Данные 2st'!$QQ$2:$QQ$317),"")</f>
        <v>0</v>
      </c>
      <c r="TX67" s="7">
        <f>IFERROR(AVERAGEIF('Данные 2st'!$Q$2:$Q$317,$A67,'Данные 2st'!$QS$2:$QS$317),"")</f>
        <v>40</v>
      </c>
      <c r="TY67" s="7">
        <f>IFERROR(AVERAGEIF('Данные 2st'!$Q$2:$Q$317,$A67,'Данные 2st'!$QT$2:$QT$317),"")</f>
        <v>50</v>
      </c>
    </row>
    <row r="68" spans="1:545" ht="32" customHeight="1">
      <c r="A68" s="11" t="s">
        <v>866</v>
      </c>
      <c r="B68">
        <f>COUNTIF('Данные 1st'!$S$2:$S$317,$A68)</f>
        <v>6</v>
      </c>
      <c r="C68" s="6" t="s">
        <v>5116</v>
      </c>
      <c r="D68" s="6" t="s">
        <v>513</v>
      </c>
      <c r="E68" s="6" t="s">
        <v>5125</v>
      </c>
      <c r="F68" s="6" t="s">
        <v>5180</v>
      </c>
      <c r="G68" s="7">
        <f>IFERROR(AVERAGEIF('Данные 1st'!$S$2:$S$317,$A68,'Данные 1st'!$AE$2:$AE$317),"")</f>
        <v>207.83333333333334</v>
      </c>
      <c r="H68" s="7">
        <f>IFERROR(AVERAGEIF('Данные 1st'!$S$2:$S$317,$A68,'Данные 1st'!$AF$2:$AF$317),"")</f>
        <v>1.5</v>
      </c>
      <c r="I68" s="7">
        <f>IFERROR(AVERAGEIF('Данные 1st'!$S$2:$S$317,$A68,'Данные 1st'!$AJ$2:$AJ$317),"")</f>
        <v>191.25</v>
      </c>
      <c r="J68" s="7">
        <f>IFERROR(AVERAGEIF('Данные 1st'!$S$2:$S$317,$A68,'Данные 1st'!$AL$2:$AL$317),"")</f>
        <v>1.5</v>
      </c>
      <c r="K68" s="7">
        <f>IFERROR(AVERAGEIF('Данные 1st'!$S$2:$S$317,$A68,'Данные 1st'!$AR$2:$AR$317),"")</f>
        <v>233.33333333333334</v>
      </c>
      <c r="L68" s="7">
        <f>IFERROR(AVERAGEIF('Данные 1st'!$S$2:$S$317,$A68,'Данные 1st'!$AS$2:$AS$317),"")</f>
        <v>1.5</v>
      </c>
      <c r="M68" s="7">
        <f>IFERROR(AVERAGEIF('Данные 1st'!$S$2:$S$317,$A68,'Данные 1st'!$AY$2:$AY$317),"")</f>
        <v>271.25</v>
      </c>
      <c r="N68" s="7">
        <f>IFERROR(AVERAGEIF('Данные 1st'!$S$2:$S$317,$A68,'Данные 1st'!$AZ$2:$AZ$317),"")</f>
        <v>1.5</v>
      </c>
      <c r="O68" s="7">
        <f>IFERROR(AVERAGEIF('Данные 1st'!$S$2:$S$317,$A68,'Данные 1st'!$BF$2:$BF$317),"")</f>
        <v>232.91666666666666</v>
      </c>
      <c r="P68" s="7">
        <f>IFERROR(AVERAGEIF('Данные 1st'!$S$2:$S$317,$A68,'Данные 1st'!$BG$2:$BG$317),"")</f>
        <v>1.5</v>
      </c>
      <c r="Q68" s="7">
        <f>IFERROR(AVERAGEIF('Данные 1st'!$S$2:$S$317,$A68,'Данные 1st'!$BM$2:$BM$317),"")</f>
        <v/>
      </c>
      <c r="R68" s="7">
        <f>IFERROR(AVERAGEIF('Данные 1st'!$S$2:$S$317,$A68,'Данные 1st'!$BN$2:$BN$317),"")</f>
        <v>1.5</v>
      </c>
      <c r="S68" s="7">
        <f>IFERROR(AVERAGEIF('Данные 1st'!$S$2:$S$317,$A68,'Данные 1st'!$BT$2:$BT$317),"")</f>
        <v>207.5</v>
      </c>
      <c r="T68" s="7">
        <f>IFERROR(AVERAGEIF('Данные 1st'!$S$2:$S$317,$A68,'Данные 1st'!$BU$2:$BU$317),"")</f>
        <v>0.5</v>
      </c>
      <c r="U68" s="7">
        <f>IFERROR(AVERAGEIF('Данные 1st'!$S$2:$S$317,$A68,'Данные 1st'!$BW$2:$BW$317),"")</f>
        <v>415</v>
      </c>
      <c r="V68" s="7">
        <f>IFERROR(AVERAGEIF('Данные 1st'!$S$2:$S$317,$A68,'Данные 1st'!$BX$2:$BX$317),"")</f>
        <v>1</v>
      </c>
      <c r="W68" s="7">
        <f>IFERROR(AVERAGEIF('Данные 1st'!$S$2:$S$317,$A68,'Данные 1st'!$BZ$2:$BZ$317),"")</f>
        <v>300</v>
      </c>
      <c r="X68" s="7">
        <f>IFERROR(AVERAGEIF('Данные 1st'!$S$2:$S$317,$A68,'Данные 1st'!$CA$2:$CA$317),"")</f>
        <v>483.3333333333333</v>
      </c>
      <c r="Y68" s="7">
        <f>IFERROR(AVERAGEIF('Данные 1st'!$S$2:$S$317,$A68,'Данные 1st'!$CD$2:$CD$317),"")</f>
        <v>437.6666666666667</v>
      </c>
      <c r="Z68" s="7">
        <f>IFERROR(AVERAGEIF('Данные 1st'!$S$2:$S$317,$A68,'Данные 1st'!$CF$2:$CF$317),"")</f>
        <v>15</v>
      </c>
      <c r="AA68" s="7">
        <f>IFERROR(AVERAGEIF('Данные 1st'!$S$2:$S$317,$A68,'Данные 1st'!$CI$2:$CI$317),"")</f>
        <v>91.66666666666667</v>
      </c>
      <c r="AB68" s="7">
        <f>IFERROR(AVERAGEIF('Данные 1st'!$S$2:$S$317,$A68,'Данные 1st'!$CJ$2:$CJ$317),"")</f>
        <v>1538</v>
      </c>
      <c r="AC68" s="7">
        <f>IFERROR(AVERAGEIF('Данные 1st'!$S$2:$S$317,$A68,'Данные 1st'!$CK$2:$CK$317),"")</f>
        <v>2</v>
      </c>
      <c r="AD68" s="7">
        <f>IFERROR(AVERAGEIF('Данные 1st'!$S$2:$S$317,$A68,'Данные 1st'!$CL$2:$CL$317),"")</f>
        <v>1632</v>
      </c>
      <c r="AE68" s="7">
        <f>IFERROR(AVERAGEIF('Данные 1st'!$S$2:$S$317,$A68,'Данные 1st'!$CM$2:$CM$317),"")</f>
        <v>2</v>
      </c>
      <c r="AF68" s="7">
        <f>IFERROR(AVERAGEIF('Данные 1st'!$S$2:$S$317,$A68,'Данные 1st'!$CT$2:$CT$317),"")</f>
        <v>382.5</v>
      </c>
      <c r="AG68" s="7">
        <f>IFERROR(AVERAGEIF('Данные 1st'!$S$2:$S$317,$A68,'Данные 1st'!$CU$2:$CU$317),"")</f>
        <v>5</v>
      </c>
      <c r="AH68" s="7">
        <f>IFERROR(AVERAGEIF('Данные 1st'!$S$2:$S$317,$A68,'Данные 1st'!$CV$2:$CV$317),"")</f>
        <v>1.2166666666666666</v>
      </c>
      <c r="AI68" s="7">
        <f>IFERROR(AVERAGEIF('Данные 1st'!$S$2:$S$317,$A68,'Данные 1st'!$CW$2:$CW$317),"")</f>
        <v>1554.1666666666667</v>
      </c>
      <c r="AJ68" s="7">
        <f>IFERROR(AVERAGEIF('Данные 1st'!$S$2:$S$317,$A68,'Данные 1st'!$CX$2:$CX$317),"")</f>
        <v>853.8333333333334</v>
      </c>
      <c r="AK68" s="7">
        <f>IFERROR(AVERAGEIF('Данные 1st'!$S$2:$S$317,$A68,'Данные 1st'!$CZ$2:$CZ$317),"")</f>
        <v>55</v>
      </c>
      <c r="AL68" s="7">
        <f>IFERROR(AVERAGEIF('Данные 1st'!$S$2:$S$317,$A68,'Данные 1st'!$DA$2:$DA$317),"")</f>
        <v>3</v>
      </c>
      <c r="AM68" s="7">
        <f>IFERROR(AVERAGEIF('Данные 1st'!$S$2:$S$317,$A68,'Данные 1st'!$DB$2:$DB$317),"")</f>
        <v>1.1400000000000001</v>
      </c>
      <c r="AN68" s="7">
        <f>IFERROR(AVERAGEIF('Данные 1st'!$S$2:$S$317,$A68,'Данные 1st'!$DC$2:$DC$317),"")</f>
        <v>1554.1666666666667</v>
      </c>
      <c r="AO68" s="7">
        <f>IFERROR(AVERAGEIF('Данные 1st'!$S$2:$S$317,$A68,'Данные 1st'!$DD$2:$DD$317),"")</f>
        <v>105.83333333333333</v>
      </c>
      <c r="AP68" s="7">
        <f>IFERROR(AVERAGEIF('Данные 1st'!$S$2:$S$317,$A68,'Данные 1st'!$DF$2:$DF$317),"")</f>
        <v>542.5</v>
      </c>
      <c r="AQ68" s="7">
        <f>IFERROR(AVERAGEIF('Данные 1st'!$S$2:$S$317,$A68,'Данные 1st'!$DG$2:$DG$317),"")</f>
        <v>3</v>
      </c>
      <c r="AR68" s="7">
        <f>IFERROR(AVERAGEIF('Данные 1st'!$S$2:$S$317,$A68,'Данные 1st'!$DH$2:$DH$317),"")</f>
        <v>0.88</v>
      </c>
      <c r="AS68" s="7">
        <f>IFERROR(AVERAGEIF('Данные 1st'!$S$2:$S$317,$A68,'Данные 1st'!$DI$2:$DI$317),"")</f>
        <v>1547</v>
      </c>
      <c r="AT68" s="7">
        <f>IFERROR(AVERAGEIF('Данные 1st'!$S$2:$S$317,$A68,'Данные 1st'!$DJ$2:$DJ$317),"")</f>
        <v>998.6666666666666</v>
      </c>
      <c r="AU68" s="7">
        <f>IFERROR(AVERAGEIF('Данные 1st'!$S$2:$S$317,$A68,'Данные 1st'!$DL$2:$DL$317),"")</f>
        <v>465.8333333333333</v>
      </c>
      <c r="AV68" s="7">
        <f>IFERROR(AVERAGEIF('Данные 1st'!$S$2:$S$317,$A68,'Данные 1st'!$DM$2:$DM$317),"")</f>
        <v>3</v>
      </c>
      <c r="AW68" s="7">
        <f>IFERROR(AVERAGEIF('Данные 1st'!$S$2:$S$317,$A68,'Данные 1st'!$DN$2:$DN$317),"")</f>
        <v>0.88</v>
      </c>
      <c r="AX68" s="7">
        <f>IFERROR(AVERAGEIF('Данные 1st'!$S$2:$S$317,$A68,'Данные 1st'!$DO$2:$DO$317),"")</f>
        <v>1552.1666666666667</v>
      </c>
      <c r="AY68" s="7">
        <f>IFERROR(AVERAGEIF('Данные 1st'!$S$2:$S$317,$A68,'Данные 1st'!$DP$2:$DP$317),"")</f>
        <v>818.5</v>
      </c>
      <c r="AZ68" s="7">
        <f>IFERROR(AVERAGEIF('Данные 1st'!$S$2:$S$317,$A68,'Данные 1st'!$DR$2:$DR$317),"")</f>
        <v/>
      </c>
      <c r="BA68" s="7">
        <f>IFERROR(AVERAGEIF('Данные 1st'!$S$2:$S$317,$A68,'Данные 1st'!$DS$2:$DS$317),"")</f>
        <v/>
      </c>
      <c r="BB68" s="7">
        <f>IFERROR(AVERAGEIF('Данные 1st'!$S$2:$S$317,$A68,'Данные 1st'!$DT$2:$DT$317),"")</f>
        <v/>
      </c>
      <c r="BC68" s="7">
        <f>IFERROR(AVERAGEIF('Данные 1st'!$S$2:$S$317,$A68,'Данные 1st'!$DU$2:$DU$317),"")</f>
        <v/>
      </c>
      <c r="BD68" s="7">
        <f>IFERROR(AVERAGEIF('Данные 1st'!$S$2:$S$317,$A68,'Данные 1st'!$DV$2:$DV$317),"")</f>
        <v/>
      </c>
      <c r="BE68" s="7">
        <f>IFERROR(AVERAGEIF('Данные 1st'!$S$2:$S$317,$A68,'Данные 1st'!$DX$2:$DX$317),"")</f>
        <v>7.816666666666666</v>
      </c>
      <c r="BF68" s="7">
        <f>IFERROR(AVERAGEIF('Данные 1st'!$S$2:$S$317,$A68,'Данные 1st'!$EA$2:$EA$317),"")</f>
        <v>1624.0666666666666</v>
      </c>
      <c r="BG68" s="7">
        <f>IFERROR(AVERAGEIF('Данные 1st'!$S$2:$S$317,$A68,'Данные 1st'!$EB$2:$EB$317),"")</f>
        <v>366.1666666666667</v>
      </c>
      <c r="BH68" s="7">
        <f>IFERROR(AVERAGEIF('Данные 1st'!$S$2:$S$317,$A68,'Данные 1st'!$ED$2:$ED$317),"")</f>
        <v>31.666666666666668</v>
      </c>
      <c r="BI68" s="7">
        <f>IFERROR(AVERAGEIF('Данные 1st'!$S$2:$S$317,$A68,'Данные 1st'!$EE$2:$EE$317),"")</f>
        <v>3</v>
      </c>
      <c r="BJ68" s="7">
        <f>IFERROR(AVERAGEIF('Данные 1st'!$S$2:$S$317,$A68,'Данные 1st'!$EG$2:$EG$317),"")</f>
        <v>1671.8333333333333</v>
      </c>
      <c r="BK68" s="7">
        <f>IFERROR(AVERAGEIF('Данные 1st'!$S$2:$S$317,$A68,'Данные 1st'!$EH$2:$EH$317),"")</f>
        <v>225.16666666666666</v>
      </c>
      <c r="BL68" s="7">
        <f>IFERROR(AVERAGEIF('Данные 1st'!$S$2:$S$317,$A68,'Данные 1st'!$EJ$2:$EJ$317),"")</f>
        <v>0</v>
      </c>
      <c r="BM68" s="7">
        <f>IFERROR(AVERAGEIF('Данные 1st'!$S$2:$S$317,$A68,'Данные 1st'!$EK$2:$EK$317),"")</f>
        <v>1</v>
      </c>
      <c r="BN68" s="7">
        <f>IFERROR(AVERAGEIF('Данные 1st'!$S$2:$S$317,$A68,'Данные 1st'!$EN$2:$EN$317),"")</f>
        <v>0</v>
      </c>
      <c r="BO68" s="7">
        <f>IFERROR(AVERAGEIF('Данные 1st'!$S$2:$S$317,$A68,'Данные 1st'!$EQ$2:$EQ$317),"")</f>
        <v>90</v>
      </c>
      <c r="BP68" s="7">
        <f>IFERROR(AVERAGEIF('Данные 1st'!$S$2:$S$317,$A68,'Данные 1st'!$ER$2:$ER$317),"")</f>
        <v>3</v>
      </c>
      <c r="BQ68" s="7">
        <f>IFERROR(AVERAGEIF('Данные 1st'!$S$2:$S$317,$A68,'Данные 1st'!$ES$2:$ES$317),"")</f>
        <v>5.3</v>
      </c>
      <c r="BR68" s="7">
        <f>IFERROR(AVERAGEIF('Данные 1st'!$S$2:$S$317,$A68,'Данные 1st'!$ET$2:$ET$317),"")</f>
        <v>1532.8333333333333</v>
      </c>
      <c r="BS68" s="7">
        <f>IFERROR(AVERAGEIF('Данные 1st'!$S$2:$S$317,$A68,'Данные 1st'!$EU$2:$EU$317),"")</f>
        <v>383.8333333333333</v>
      </c>
      <c r="BT68" s="7">
        <f>IFERROR(AVERAGEIF('Данные 1st'!$S$2:$S$317,$A68,'Данные 1st'!$EV$2:$EV$317),"")</f>
        <v>588.3333333333334</v>
      </c>
      <c r="BU68" s="7">
        <f>IFERROR(AVERAGEIF('Данные 1st'!$S$2:$S$317,$A68,'Данные 1st'!$EX$2:$EX$317),"")</f>
        <v>45</v>
      </c>
      <c r="BV68" s="7">
        <f>IFERROR(AVERAGEIF('Данные 1st'!$S$2:$S$317,$A68,'Данные 1st'!$EY$2:$EY$317),"")</f>
        <v>2</v>
      </c>
      <c r="BW68" s="7">
        <f>IFERROR(AVERAGEIF('Данные 1st'!$S$2:$S$317,$A68,'Данные 1st'!$EZ$2:$EZ$317),"")</f>
        <v>4.416666666666667</v>
      </c>
      <c r="BX68" s="7">
        <f>IFERROR(AVERAGEIF('Данные 1st'!$S$2:$S$317,$A68,'Данные 1st'!$FA$2:$FA$317),"")</f>
        <v>1532.8333333333333</v>
      </c>
      <c r="BY68" s="7">
        <f>IFERROR(AVERAGEIF('Данные 1st'!$S$2:$S$317,$A68,'Данные 1st'!$FB$2:$FB$317),"")</f>
        <v>140.8</v>
      </c>
      <c r="BZ68" s="7">
        <f>IFERROR(AVERAGEIF('Данные 1st'!$S$2:$S$317,$A68,'Данные 1st'!$FC$2:$FC$317),"")</f>
        <v>216.16666666666666</v>
      </c>
      <c r="CA68" s="7">
        <f>IFERROR(AVERAGEIF('Данные 1st'!$S$2:$S$317,$A68,'Данные 1st'!$FE$2:$FE$317),"")</f>
        <v>0</v>
      </c>
      <c r="CB68" s="7">
        <f>IFERROR(AVERAGEIF('Данные 1st'!$S$2:$S$317,$A68,'Данные 1st'!$FF$2:$FF$317),"")</f>
        <v>2</v>
      </c>
      <c r="CC68" s="7">
        <f>IFERROR(AVERAGEIF('Данные 1st'!$S$2:$S$317,$A68,'Данные 1st'!$FI$2:$FI$317),"")</f>
        <v>0</v>
      </c>
      <c r="CD68" s="7">
        <f>IFERROR(AVERAGEIF('Данные 1st'!$S$2:$S$317,$A68,'Данные 1st'!$FL$2:$FL$317),"")</f>
        <v>0.4</v>
      </c>
      <c r="CE68" s="7">
        <f>IFERROR(AVERAGEIF('Данные 1st'!$S$2:$S$317,$A68,'Данные 1st'!$FM$2:$FM$317),"")</f>
        <v>57.5</v>
      </c>
      <c r="CF68" s="7">
        <f>IFERROR(AVERAGEIF('Данные 1st'!$S$2:$S$317,$A68,'Данные 1st'!$FN$2:$FN$317),"")</f>
        <v>353.3333333333333</v>
      </c>
      <c r="CG68" s="7">
        <f>IFERROR(AVERAGEIF('Данные 1st'!$S$2:$S$317,$A68,'Данные 1st'!$FO$2:$FO$317),"")</f>
        <v>68.33333333333333</v>
      </c>
      <c r="CH68" s="7">
        <f>IFERROR(AVERAGEIF('Данные 1st'!$S$2:$S$317,$A68,'Данные 1st'!$FP$2:$FP$317),"")</f>
        <v>166.66666666666666</v>
      </c>
      <c r="CI68" s="7">
        <f>IFERROR(AVERAGEIF('Данные 1st'!$S$2:$S$317,$A68,'Данные 1st'!$FS$2:$FS$317),"")</f>
        <v/>
      </c>
      <c r="CJ68" s="7">
        <f>IFERROR(AVERAGEIF('Данные 1st'!$S$2:$S$317,$A68,'Данные 1st'!$FT$2:$FT$317),"")</f>
        <v/>
      </c>
      <c r="CK68" s="7">
        <f>IFERROR(AVERAGEIF('Данные 1st'!$S$2:$S$317,$A68,'Данные 1st'!$FU$2:$FU$317),"")</f>
        <v/>
      </c>
      <c r="CL68" s="7">
        <f>IFERROR(AVERAGEIF('Данные 1st'!$S$2:$S$317,$A68,'Данные 1st'!$FV$2:$FV$317),"")</f>
        <v/>
      </c>
      <c r="CM68" s="7">
        <f>IFERROR(AVERAGEIF('Данные 1st'!$S$2:$S$317,$A68,'Данные 1st'!$FW$2:$FW$317),"")</f>
        <v/>
      </c>
      <c r="CN68" s="7">
        <f>IFERROR(AVERAGEIF('Данные 1st'!$S$2:$S$317,$A68,'Данные 1st'!$FZ$2:$FZ$317),"")</f>
        <v/>
      </c>
      <c r="CO68" s="7">
        <f>IFERROR(AVERAGEIF('Данные 1st'!$S$2:$S$317,$A68,'Данные 1st'!$GA$2:$GA$317),"")</f>
        <v/>
      </c>
      <c r="CP68" s="7">
        <f>IFERROR(AVERAGEIF('Данные 1st'!$S$2:$S$317,$A68,'Данные 1st'!$GB$2:$GB$317),"")</f>
        <v/>
      </c>
      <c r="CQ68" s="7">
        <f>IFERROR(AVERAGEIF('Данные 1st'!$S$2:$S$317,$A68,'Данные 1st'!$GH$2:$GH$317),"")</f>
        <v/>
      </c>
      <c r="CR68" s="7">
        <f>IFERROR(AVERAGEIF('Данные 1st'!$S$2:$S$317,$A68,'Данные 1st'!$GI$2:$GI$317),"")</f>
        <v/>
      </c>
      <c r="CS68" s="7">
        <f>IFERROR(AVERAGEIF('Данные 1st'!$S$2:$S$317,$A68,'Данные 1st'!$GJ$2:$GJ$317),"")</f>
        <v/>
      </c>
      <c r="CT68" s="7">
        <f>IFERROR(AVERAGEIF('Данные 1st'!$S$2:$S$317,$A68,'Данные 1st'!$GS$2:$GS$317),"")</f>
        <v>0.4666666666666667</v>
      </c>
      <c r="CU68" s="7">
        <f>IFERROR(AVERAGEIF('Данные 1st'!$S$2:$S$317,$A68,'Данные 1st'!$GT$2:$GT$317),"")</f>
        <v>40</v>
      </c>
      <c r="CV68" s="7">
        <f>IFERROR(AVERAGEIF('Данные 1st'!$S$2:$S$317,$A68,'Данные 1st'!$GU$2:$GU$317),"")</f>
        <v>356.6666666666667</v>
      </c>
      <c r="CW68" s="7">
        <f>IFERROR(AVERAGEIF('Данные 1st'!$S$2:$S$317,$A68,'Данные 1st'!$GV$2:$GV$317),"")</f>
        <v>30</v>
      </c>
      <c r="CX68" s="7">
        <f>IFERROR(AVERAGEIF('Данные 1st'!$S$2:$S$317,$A68,'Данные 1st'!$GW$2:$GW$317),"")</f>
        <v>264</v>
      </c>
      <c r="CY68" s="7">
        <f>IFERROR(AVERAGEIF('Данные 1st'!$S$2:$S$317,$A68,'Данные 1st'!$GZ$2:$GZ$317),"")</f>
        <v/>
      </c>
      <c r="CZ68" s="7">
        <f>IFERROR(AVERAGEIF('Данные 1st'!$S$2:$S$317,$A68,'Данные 1st'!$HA$2:$HA$317),"")</f>
        <v/>
      </c>
      <c r="DA68" s="7">
        <f>IFERROR(AVERAGEIF('Данные 1st'!$S$2:$S$317,$A68,'Данные 1st'!$HB$2:$HB$317),"")</f>
        <v/>
      </c>
      <c r="DB68" s="7">
        <f>IFERROR(AVERAGEIF('Данные 1st'!$S$2:$S$317,$A68,'Данные 1st'!$HC$2:$HC$317),"")</f>
        <v>0.1</v>
      </c>
      <c r="DC68" s="7">
        <f>IFERROR(AVERAGEIF('Данные 1st'!$S$2:$S$317,$A68,'Данные 1st'!$HD$2:$HD$317),"")</f>
        <v>3</v>
      </c>
      <c r="DD68" s="7">
        <f>IFERROR(AVERAGEIF('Данные 1st'!$S$2:$S$317,$A68,'Данные 1st'!$HE$2:$HE$317),"")</f>
        <v>3</v>
      </c>
      <c r="DE68" s="7">
        <f>IFERROR(AVERAGEIF('Данные 1st'!$S$2:$S$317,$A68,'Данные 1st'!$HF$2:$HF$317),"")</f>
        <v>3</v>
      </c>
      <c r="DF68" s="7">
        <f>IFERROR(AVERAGEIF('Данные 1st'!$S$2:$S$317,$A68,'Данные 1st'!$HG$2:$HG$317),"")</f>
        <v>3</v>
      </c>
      <c r="DG68" s="7">
        <f>IFERROR(AVERAGEIF('Данные 1st'!$S$2:$S$317,$A68,'Данные 1st'!$HH$2:$HH$317),"")</f>
        <v>3</v>
      </c>
      <c r="DH68" s="7">
        <f>IFERROR(AVERAGEIF('Данные 1st'!$S$2:$S$317,$A68,'Данные 1st'!$HI$2:$HI$317),"")</f>
        <v>120</v>
      </c>
      <c r="DI68" s="7">
        <f>IFERROR(AVERAGEIF('Данные 1st'!$S$2:$S$317,$A68,'Данные 1st'!$HJ$2:$HJ$317),"")</f>
        <v>3</v>
      </c>
      <c r="DJ68" s="7">
        <f>IFERROR(AVERAGEIF('Данные 1st'!$S$2:$S$317,$A68,'Данные 1st'!$HK$2:$HK$317),"")</f>
        <v>30</v>
      </c>
      <c r="DK68" s="7">
        <f>IFERROR(AVERAGEIF('Данные 1st'!$S$2:$S$317,$A68,'Данные 1st'!$HL$2:$HL$317),"")</f>
        <v>2</v>
      </c>
      <c r="DL68" s="7">
        <f>IFERROR(AVERAGEIF('Данные 1st'!$S$2:$S$317,$A68,'Данные 1st'!$HM$2:$HM$317),"")</f>
        <v>0</v>
      </c>
      <c r="DM68" s="7">
        <f>IFERROR(AVERAGEIF('Данные 1st'!$S$2:$S$317,$A68,'Данные 1st'!$HN$2:$HN$317),"")</f>
        <v>2</v>
      </c>
      <c r="DN68" s="7">
        <f>IFERROR(AVERAGEIF('Данные 1st'!$S$2:$S$317,$A68,'Данные 1st'!$HO$2:$HO$317),"")</f>
        <v>75</v>
      </c>
      <c r="DO68" s="7">
        <f>IFERROR(AVERAGEIF('Данные 1st'!$S$2:$S$317,$A68,'Данные 1st'!$HP$2:$HP$317),"")</f>
        <v>3</v>
      </c>
      <c r="DP68" s="7">
        <f>IFERROR(AVERAGEIF('Данные 1st'!$S$2:$S$317,$A68,'Данные 1st'!$HQ$2:$HQ$317),"")</f>
        <v>0</v>
      </c>
      <c r="DQ68" s="7">
        <f>IFERROR(AVERAGEIF('Данные 1st'!$S$2:$S$317,$A68,'Данные 1st'!$HR$2:$HR$317),"")</f>
        <v>2</v>
      </c>
      <c r="DR68" s="7">
        <f>IFERROR(AVERAGEIF('Данные 1st'!$S$2:$S$317,$A68,'Данные 1st'!$HS$2:$HS$317),"")</f>
        <v>5674.333333333333</v>
      </c>
      <c r="DS68" s="7">
        <f>IFERROR(AVERAGEIF('Данные 1st'!$S$2:$S$317,$A68,'Данные 1st'!$HT$2:$HT$317),"")</f>
        <v>168.33333333333334</v>
      </c>
      <c r="DT68" s="7">
        <f>IFERROR(AVERAGEIF('Данные 1st'!$S$2:$S$317,$A68,'Данные 1st'!$HU$2:$HU$317),"")</f>
        <v>180</v>
      </c>
      <c r="DU68" s="7">
        <f>IFERROR(AVERAGEIF('Данные 1st'!$S$2:$S$317,$A68,'Данные 1st'!$HW$2:$HW$317),"")</f>
        <v>0</v>
      </c>
      <c r="DV68" s="7">
        <f>IFERROR(AVERAGEIF('Данные 1st'!$S$2:$S$317,$A68,'Данные 1st'!$HX$2:$HX$317),"")</f>
        <v>457.5</v>
      </c>
      <c r="DW68" s="7">
        <f>IFERROR(AVERAGEIF('Данные 1st'!$S$2:$S$317,$A68,'Данные 1st'!$HY$2:$HY$317),"")</f>
        <v>0.18</v>
      </c>
      <c r="DX68" s="7">
        <f>IFERROR(AVERAGEIF('Данные 1st'!$S$2:$S$317,$A68,'Данные 1st'!$IA$2:$IA$317),"")</f>
        <v>0.15</v>
      </c>
      <c r="DY68" s="7">
        <f>IFERROR(AVERAGEIF('Данные 1st'!$S$2:$S$317,$A68,'Данные 1st'!$IB$2:$IB$317),"")</f>
        <v>0</v>
      </c>
      <c r="DZ68" s="7">
        <f>IFERROR(AVERAGEIF('Данные 1st'!$S$2:$S$317,$A68,'Данные 1st'!$IC$2:$IC$317),"")</f>
        <v>180</v>
      </c>
      <c r="EA68" s="7">
        <f>IFERROR(AVERAGEIF('Данные 1st'!$S$2:$S$317,$A68,'Данные 1st'!$ID$2:$ID$317),"")</f>
        <v>110</v>
      </c>
      <c r="EB68" s="7">
        <f>IFERROR(AVERAGEIF('Данные 1st'!$S$2:$S$317,$A68,'Данные 1st'!$IE$2:$IE$317),"")</f>
        <v>225</v>
      </c>
      <c r="EC68" s="7">
        <f>IFERROR(AVERAGEIF('Данные 1st'!$S$2:$S$317,$A68,'Данные 1st'!$IF$2:$IF$317),"")</f>
        <v>0</v>
      </c>
      <c r="ED68" s="7">
        <f>IFERROR(AVERAGEIF('Данные 1st'!$S$2:$S$317,$A68,'Данные 1st'!$IP$2:$IP$317),"")</f>
        <v>20</v>
      </c>
      <c r="EE68" s="7">
        <f>IFERROR(AVERAGEIF('Данные 1st'!$S$2:$S$317,$A68,'Данные 1st'!$IV$2:$IV$317),"")</f>
        <v>1538</v>
      </c>
      <c r="EF68" s="7">
        <f>IFERROR(AVERAGEIF('Данные 1st'!$S$2:$S$317,$A68,'Данные 1st'!$IW$2:$IW$317),"")</f>
        <v>415</v>
      </c>
      <c r="EG68" s="7">
        <f>IFERROR(AVERAGEIF('Данные 1st'!$S$2:$S$317,$A68,'Данные 1st'!$IX$2:$IX$317),"")</f>
        <v/>
      </c>
      <c r="EH68" s="7">
        <f>IFERROR(AVERAGEIF('Данные 1st'!$S$2:$S$317,$A68,'Данные 1st'!$IY$2:$IY$317),"")</f>
        <v/>
      </c>
      <c r="EI68" s="7">
        <f>IFERROR(AVERAGEIF('Данные 1st'!$S$2:$S$317,$A68,'Данные 1st'!$JD$2:$JD$317),"")</f>
        <v>1554.1666666666667</v>
      </c>
      <c r="EJ68" s="7">
        <f>IFERROR(AVERAGEIF('Данные 1st'!$S$2:$S$317,$A68,'Данные 1st'!$JE$2:$JE$317),"")</f>
        <v>1547</v>
      </c>
      <c r="EK68" s="7">
        <f>IFERROR(AVERAGEIF('Данные 1st'!$S$2:$S$317,$A68,'Данные 1st'!$JF$2:$JF$317),"")</f>
        <v>1552.1666666666667</v>
      </c>
      <c r="EL68" s="7">
        <f>IFERROR(AVERAGEIF('Данные 1st'!$S$2:$S$317,$A68,'Данные 1st'!$JG$2:$JG$317),"")</f>
        <v>1532.8333333333333</v>
      </c>
      <c r="EM68" s="7">
        <f>IFERROR(AVERAGEIF('Данные 1st'!$S$2:$S$317,$A68,'Данные 1st'!$JH$2:$JH$317),"")</f>
        <v>0</v>
      </c>
      <c r="EN68" s="7">
        <f>IFERROR(AVERAGEIF('Данные 1st'!$S$2:$S$317,$A68,'Данные 1st'!$JJ$2:$JJ$317),"")</f>
        <v>180</v>
      </c>
      <c r="EO68" s="7">
        <f>IFERROR(AVERAGEIF('Данные 1st'!$S$2:$S$317,$A68,'Данные 1st'!$JK$2:$JK$317),"")</f>
        <v>457.5</v>
      </c>
      <c r="EP68" s="7">
        <f>IFERROR(AVERAGEIF('Данные 1st'!$S$2:$S$317,$A68,'Данные 1st'!$JL$2:$JL$317),"")</f>
        <v/>
      </c>
      <c r="EQ68" s="7">
        <f>IFERROR(AVERAGEIF('Данные 1st'!$S$2:$S$317,$A68,'Данные 1st'!$JM$2:$JM$317),"")</f>
        <v/>
      </c>
      <c r="ER68" s="7">
        <f>IFERROR(AVERAGEIF('Данные 1st'!$S$2:$S$317,$A68,'Данные 1st'!$JN$2:$JN$317),"")</f>
        <v>382.5</v>
      </c>
      <c r="ES68" s="7">
        <f>IFERROR(AVERAGEIF('Данные 1st'!$S$2:$S$317,$A68,'Данные 1st'!$JO$2:$JO$317),"")</f>
        <v>542.5</v>
      </c>
      <c r="ET68" s="7">
        <f>IFERROR(AVERAGEIF('Данные 1st'!$S$2:$S$317,$A68,'Данные 1st'!$JP$2:$JP$317),"")</f>
        <v>465.8333333333333</v>
      </c>
      <c r="EU68" s="7">
        <f>IFERROR(AVERAGEIF('Данные 1st'!$S$2:$S$317,$A68,'Данные 1st'!$JQ$2:$JQ$317),"")</f>
        <v>0</v>
      </c>
      <c r="EV68" s="7">
        <f>IFERROR(AVERAGEIF('Данные 1st'!$S$2:$S$317,$A68,'Данные 1st'!$JR$2:$JR$317),"")</f>
        <v>415.6666666666667</v>
      </c>
      <c r="EW68" s="7">
        <f>IFERROR(AVERAGEIF('Данные 1st'!$S$2:$S$317,$A68,'Данные 1st'!$JS$2:$JS$317),"")</f>
        <v>120</v>
      </c>
      <c r="EX68" s="7">
        <f>IFERROR(AVERAGEIF('Данные 1st'!$S$2:$S$317,$A68,'Данные 1st'!$JT$2:$JT$317),"")</f>
        <v/>
      </c>
      <c r="EY68" s="7">
        <f>IFERROR(AVERAGEIF('Данные 1st'!$S$2:$S$317,$A68,'Данные 1st'!$JU$2:$JU$317),"")</f>
        <v/>
      </c>
      <c r="EZ68" s="7">
        <f>IFERROR(AVERAGEIF('Данные 1st'!$S$2:$S$317,$A68,'Данные 1st'!$JV$2:$JV$317),"")</f>
        <v>8.333333333333334</v>
      </c>
      <c r="FA68" s="7">
        <f>IFERROR(AVERAGEIF('Данные 1st'!$S$2:$S$317,$A68,'Данные 1st'!$JW$2:$JW$317),"")</f>
        <v/>
      </c>
      <c r="FB68" s="7">
        <f>IFERROR(AVERAGEIF('Данные 1st'!$S$2:$S$317,$A68,'Данные 1st'!$JX$2:$JX$317),"")</f>
        <v>466.6666666666667</v>
      </c>
      <c r="FC68" s="7">
        <f>IFERROR(AVERAGEIF('Данные 1st'!$S$2:$S$317,$A68,'Данные 1st'!$JY$2:$JY$317),"")</f>
        <v/>
      </c>
      <c r="FD68" s="7">
        <f>IFERROR(AVERAGEIF('Данные 1st'!$S$2:$S$317,$A68,'Данные 1st'!$JZ$2:$JZ$317),"")</f>
        <v/>
      </c>
      <c r="FE68" s="7">
        <f>IFERROR(AVERAGEIF('Данные 1st'!$S$2:$S$317,$A68,'Данные 1st'!$KA$2:$KA$317),"")</f>
        <v>225</v>
      </c>
      <c r="FF68" s="7">
        <f>IFERROR(AVERAGEIF('Данные 1st'!$S$2:$S$317,$A68,'Данные 1st'!$KB$2:$KB$317),"")</f>
        <v>110</v>
      </c>
      <c r="FG68" s="7">
        <f>IFERROR(AVERAGEIF('Данные 1st'!$S$2:$S$317,$A68,'Данные 1st'!$KC$2:$KC$317),"")</f>
        <v>0</v>
      </c>
      <c r="FH68" s="7">
        <f>IFERROR(AVERAGEIF('Данные 1st'!$S$2:$S$317,$A68,'Данные 1st'!$KD$2:$KD$317),"")</f>
        <v>80</v>
      </c>
      <c r="FI68" s="7">
        <f>IFERROR(AVERAGEIF('Данные 1st'!$S$2:$S$317,$A68,'Данные 1st'!$KE$2:$KE$317),"")</f>
        <v/>
      </c>
      <c r="FJ68" s="7">
        <f>IFERROR(AVERAGEIF('Данные 1st'!$S$2:$S$317,$A68,'Данные 1st'!$KF$2:$KF$317),"")</f>
        <v>4</v>
      </c>
      <c r="FK68" s="7">
        <f>IFERROR(AVERAGEIF('Данные 1st'!$S$2:$S$317,$A68,'Данные 1st'!$KG$2:$KG$317),"")</f>
        <v>2</v>
      </c>
      <c r="FL68" s="7">
        <f>IFERROR(AVERAGEIF('Данные 1st'!$S$2:$S$317,$A68,'Данные 1st'!$KH$2:$KH$317),"")</f>
        <v>2</v>
      </c>
      <c r="FM68" s="7">
        <f>IFERROR(AVERAGEIF('Данные 1st'!$S$2:$S$317,$A68,'Данные 1st'!$KI$2:$KI$317),"")</f>
        <v>2</v>
      </c>
      <c r="FN68" s="7">
        <f>IFERROR(AVERAGEIF('Данные 1st'!$S$2:$S$317,$A68,'Данные 1st'!$KJ$2:$KJ$317),"")</f>
        <v>0</v>
      </c>
      <c r="FO68" s="7">
        <f>IFERROR(AVERAGEIF('Данные 1st'!$S$2:$S$317,$A68,'Данные 1st'!$KK$2:$KK$317),"")</f>
        <v>1.5</v>
      </c>
      <c r="FP68" s="7">
        <f>IFERROR(AVERAGEIF('Данные 1st'!$S$2:$S$317,$A68,'Данные 1st'!$KL$2:$KL$317),"")</f>
        <v>1.5</v>
      </c>
      <c r="FQ68" s="7">
        <f>IFERROR(AVERAGEIF('Данные 1st'!$S$2:$S$317,$A68,'Данные 1st'!$KM$2:$KM$317),"")</f>
        <v>0</v>
      </c>
      <c r="FR68" s="7">
        <f>IFERROR(AVERAGEIF('Данные 1st'!$S$2:$S$317,$A68,'Данные 1st'!$KN$2:$KN$317),"")</f>
        <v>0</v>
      </c>
      <c r="FS68" s="7">
        <f>IFERROR(AVERAGEIF('Данные 1st'!$S$2:$S$317,$A68,'Данные 1st'!$KR$2:$KR$317),"")</f>
        <v>30</v>
      </c>
      <c r="FT68" s="7">
        <f>IFERROR(AVERAGEIF('Данные 1st'!$S$2:$S$317,$A68,'Данные 1st'!$KS$2:$KS$317),"")</f>
        <v>60</v>
      </c>
      <c r="FU68" s="7">
        <f>IFERROR(AVERAGEIF('Данные 1st'!$S$2:$S$317,$A68,'Данные 1st'!$KT$2:$KT$317),"")</f>
        <v>0</v>
      </c>
      <c r="FV68" s="7">
        <f>IFERROR(AVERAGEIF('Данные 1st'!$S$2:$S$317,$A68,'Данные 1st'!$KV$2:$KV$317),"")</f>
        <v/>
      </c>
      <c r="FW68" s="7">
        <f>IFERROR(AVERAGEIF('Данные 1st'!$S$2:$S$317,$A68,'Данные 1st'!$KW$2:$KW$317),"")</f>
        <v/>
      </c>
      <c r="FX68" s="7">
        <f>IFERROR(AVERAGEIF('Данные 1st'!$S$2:$S$317,$A68,'Данные 1st'!$KX$2:$KX$317),"")</f>
        <v/>
      </c>
      <c r="FY68" s="7">
        <f>IFERROR(AVERAGEIF('Данные 1st'!$S$2:$S$317,$A68,'Данные 1st'!$KY$2:$KY$317),"")</f>
        <v/>
      </c>
      <c r="FZ68" s="7">
        <f>IFERROR(AVERAGEIF('Данные 1st'!$S$2:$S$317,$A68,'Данные 1st'!$KZ$2:$KZ$317),"")</f>
        <v/>
      </c>
      <c r="GA68" s="7">
        <f>IFERROR(AVERAGEIF('Данные 1st'!$S$2:$S$317,$A68,'Данные 1st'!$LA$2:$LA$317),"")</f>
        <v/>
      </c>
      <c r="GB68" s="7">
        <f>IFERROR(AVERAGEIF('Данные 1st'!$S$2:$S$317,$A68,'Данные 1st'!$LB$2:$LB$317),"")</f>
        <v/>
      </c>
      <c r="GC68" s="7">
        <f>IFERROR(AVERAGEIF('Данные 1st'!$S$2:$S$317,$A68,'Данные 1st'!$LC$2:$LC$317),"")</f>
        <v/>
      </c>
      <c r="GD68" s="7">
        <f>IFERROR(AVERAGEIF('Данные 1st'!$S$2:$S$317,$A68,'Данные 1st'!$LD$2:$LD$317),"")</f>
        <v/>
      </c>
      <c r="GE68" s="7">
        <f>IFERROR(AVERAGEIF('Данные 1st'!$S$2:$S$317,$A68,'Данные 1st'!$LE$2:$LE$317),"")</f>
        <v/>
      </c>
      <c r="GF68" s="7">
        <f>IFERROR(AVERAGEIF('Данные 1st'!$S$2:$S$317,$A68,'Данные 1st'!$LF$2:$LF$317),"")</f>
        <v/>
      </c>
      <c r="GG68" s="7">
        <f>IFERROR(AVERAGEIF('Данные 1st'!$S$2:$S$317,$A68,'Данные 1st'!$LG$2:$LG$317),"")</f>
        <v/>
      </c>
      <c r="GH68" s="7">
        <f>IFERROR(AVERAGEIF('Данные 1st'!$S$2:$S$317,$A68,'Данные 1st'!$LH$2:$LH$317),"")</f>
        <v/>
      </c>
      <c r="GI68" s="7">
        <f>IFERROR(AVERAGEIF('Данные 1st'!$S$2:$S$317,$A68,'Данные 1st'!$LI$2:$LI$317),"")</f>
        <v/>
      </c>
      <c r="GJ68" s="7">
        <f>IFERROR(AVERAGEIF('Данные 1st'!$S$2:$S$317,$A68,'Данные 1st'!$LJ$2:$LJ$317),"")</f>
        <v/>
      </c>
      <c r="GK68" s="7">
        <f>IFERROR(AVERAGEIF('Данные 1st'!$S$2:$S$317,$A68,'Данные 1st'!$LK$2:$LK$317),"")</f>
        <v>480</v>
      </c>
      <c r="GL68" s="7">
        <f>IFERROR(AVERAGEIF('Данные 1st'!$S$2:$S$317,$A68,'Данные 1st'!$LV$2:$LV$317),"")</f>
        <v/>
      </c>
      <c r="GM68" s="7">
        <f>IFERROR(AVERAGEIF('Данные 1st'!$S$2:$S$317,$A68,'Данные 1st'!$LW$2:$LW$317),"")</f>
        <v/>
      </c>
      <c r="GN68" s="7">
        <f>IFERROR(AVERAGEIF('Данные 1st'!$S$2:$S$317,$A68,'Данные 1st'!$LX$2:$LX$317),"")</f>
        <v/>
      </c>
      <c r="GO68" s="7">
        <f>IFERROR(AVERAGEIF('Данные 1st'!$S$2:$S$317,$A68,'Данные 1st'!$LY$2:$LY$317),"")</f>
        <v/>
      </c>
      <c r="GP68" s="7">
        <f>IFERROR(AVERAGEIF('Данные 1st'!$S$2:$S$317,$A68,'Данные 1st'!$LZ$2:$LZ$317),"")</f>
        <v/>
      </c>
      <c r="GQ68" s="7">
        <f>IFERROR(AVERAGEIF('Данные 1st'!$S$2:$S$317,$A68,'Данные 1st'!$PG$2:$PG$317),"")</f>
        <v>1</v>
      </c>
      <c r="GR68" s="7">
        <f>IFERROR(AVERAGEIF('Данные 1st'!$S$2:$S$317,$A68,'Данные 1st'!$PX$2:$PX$317),"")</f>
        <v>56</v>
      </c>
      <c r="GS68" s="7">
        <f>IFERROR(AVERAGEIF('Данные 1st'!$S$2:$S$317,$A68,'Данные 1st'!$PY$2:$PY$317),"")</f>
        <v>56.5</v>
      </c>
      <c r="GT68" s="7">
        <f>IFERROR(AVERAGEIF('Данные 1st'!$S$2:$S$317,$A68,'Данные 1st'!$QA$2:$QA$317),"")</f>
        <v>1.5</v>
      </c>
      <c r="GU68" s="7">
        <f>IFERROR(AVERAGEIF('Данные 1st'!$S$2:$S$317,$A68,'Данные 1st'!$QB$2:$QB$317),"")</f>
        <v>1532.8333333333333</v>
      </c>
      <c r="GV68" s="7">
        <f>IFERROR(AVERAGEIF('Данные 1st'!$S$2:$S$317,$A68,'Данные 1st'!$QC$2:$QC$317),"")</f>
        <v>69</v>
      </c>
      <c r="GW68" s="7">
        <f>IFERROR(AVERAGEIF('Данные 1st'!$S$2:$S$317,$A68,'Данные 1st'!$QD$2:$QD$317),"")</f>
        <v>69</v>
      </c>
      <c r="GX68" s="7">
        <f>IFERROR(AVERAGEIF('Данные 1st'!$S$2:$S$317,$A68,'Данные 1st'!$QF$2:$QF$317),"")</f>
        <v>1.1666666666666667</v>
      </c>
      <c r="GY68" s="7">
        <f>IFERROR(AVERAGEIF('Данные 1st'!$S$2:$S$317,$A68,'Данные 1st'!$QG$2:$QG$317),"")</f>
        <v>1554.1666666666667</v>
      </c>
      <c r="GZ68" s="7">
        <f>IFERROR(AVERAGEIF('Данные 1st'!$S$2:$S$317,$A68,'Данные 1st'!$QH$2:$QH$317),"")</f>
        <v>66</v>
      </c>
      <c r="HA68" s="7">
        <f>IFERROR(AVERAGEIF('Данные 1st'!$S$2:$S$317,$A68,'Данные 1st'!$QI$2:$QI$317),"")</f>
        <v>66</v>
      </c>
      <c r="HB68" s="7">
        <f>IFERROR(AVERAGEIF('Данные 1st'!$S$2:$S$317,$A68,'Данные 1st'!$QK$2:$QK$317),"")</f>
        <v>1</v>
      </c>
      <c r="HC68" s="7">
        <f>IFERROR(AVERAGEIF('Данные 1st'!$S$2:$S$317,$A68,'Данные 1st'!$QL$2:$QL$317),"")</f>
        <v>1554.1666666666667</v>
      </c>
      <c r="HD68" s="7">
        <f>IFERROR(AVERAGEIF('Данные 1st'!$S$2:$S$317,$A68,'Данные 1st'!$QM$2:$QM$317),"")</f>
        <v>62</v>
      </c>
      <c r="HE68" s="7">
        <f>IFERROR(AVERAGEIF('Данные 1st'!$S$2:$S$317,$A68,'Данные 1st'!$QN$2:$QN$317),"")</f>
        <v>62</v>
      </c>
      <c r="HF68" s="7">
        <f>IFERROR(AVERAGEIF('Данные 1st'!$S$2:$S$317,$A68,'Данные 1st'!$QP$2:$QP$317),"")</f>
        <v>1</v>
      </c>
      <c r="HG68" s="7">
        <f>IFERROR(AVERAGEIF('Данные 1st'!$S$2:$S$317,$A68,'Данные 1st'!$QQ$2:$QQ$317),"")</f>
        <v>1547</v>
      </c>
      <c r="HH68" s="7">
        <f>IFERROR(AVERAGEIF('Данные 1st'!$S$2:$S$317,$A68,'Данные 1st'!$QR$2:$QR$317),"")</f>
        <v>62</v>
      </c>
      <c r="HI68" s="7">
        <f>IFERROR(AVERAGEIF('Данные 1st'!$S$2:$S$317,$A68,'Данные 1st'!$QS$2:$QS$317),"")</f>
        <v>62</v>
      </c>
      <c r="HJ68" s="7">
        <f>IFERROR(AVERAGEIF('Данные 1st'!$S$2:$S$317,$A68,'Данные 1st'!$QU$2:$QU$317),"")</f>
        <v>1</v>
      </c>
      <c r="HK68" s="7">
        <f>IFERROR(AVERAGEIF('Данные 1st'!$S$2:$S$317,$A68,'Данные 1st'!$QV$2:$QV$317),"")</f>
        <v>1552.1666666666667</v>
      </c>
      <c r="HL68" s="7">
        <f>IFERROR(AVERAGEIF('Данные 1st'!$S$2:$S$317,$A68,'Данные 1st'!$QW$2:$QW$317),"")</f>
        <v>82</v>
      </c>
      <c r="HM68" s="7">
        <f>IFERROR(AVERAGEIF('Данные 1st'!$S$2:$S$317,$A68,'Данные 1st'!$QX$2:$QX$317),"")</f>
        <v/>
      </c>
      <c r="HN68" s="7">
        <f>IFERROR(AVERAGEIF('Данные 1st'!$S$2:$S$317,$A68,'Данные 1st'!$QZ$2:$QZ$317),"")</f>
        <v>2.3333333333333335</v>
      </c>
      <c r="HO68" s="7">
        <f>IFERROR(AVERAGEIF('Данные 1st'!$S$2:$S$317,$A68,'Данные 1st'!$RA$2:$RA$317),"")</f>
        <v>66</v>
      </c>
      <c r="HP68" s="7">
        <f>IFERROR(AVERAGEIF('Данные 1st'!$S$2:$S$317,$A68,'Данные 1st'!$RB$2:$RB$317),"")</f>
        <v>66</v>
      </c>
      <c r="HQ68" s="7">
        <f>IFERROR(AVERAGEIF('Данные 1st'!$S$2:$S$317,$A68,'Данные 1st'!$RD$2:$RD$317),"")</f>
        <v/>
      </c>
      <c r="HR68" s="7">
        <f>IFERROR(AVERAGEIF('Данные 1st'!$S$2:$S$317,$A68,'Данные 1st'!$RE$2:$RE$317),"")</f>
        <v>0</v>
      </c>
      <c r="HS68" s="7">
        <f>IFERROR(AVERAGEIF('Данные 1st'!$S$2:$S$317,$A68,'Данные 1st'!$RF$2:$RF$317),"")</f>
        <v>1</v>
      </c>
      <c r="HT68" s="7">
        <f>IFERROR(AVERAGEIF('Данные 1st'!$S$2:$S$317,$A68,'Данные 1st'!$RG$2:$RG$317),"")</f>
        <v/>
      </c>
      <c r="HU68" s="7">
        <f>IFERROR(AVERAGEIF('Данные 1st'!$S$2:$S$317,$A68,'Данные 1st'!$RH$2:$RH$317),"")</f>
        <v>1</v>
      </c>
      <c r="HV68" s="7">
        <f>IFERROR(AVERAGEIF('Данные 1st'!$S$2:$S$317,$A68,'Данные 1st'!$RI$2:$RI$317),"")</f>
        <v/>
      </c>
      <c r="HW68" s="7">
        <f>IFERROR(AVERAGEIF('Данные 1st'!$S$2:$S$317,$A68,'Данные 1st'!$RJ$2:$RJ$317),"")</f>
        <v>1</v>
      </c>
      <c r="HX68" s="7">
        <f>IFERROR(AVERAGEIF('Данные 1st'!$S$2:$S$317,$A68,'Данные 1st'!$RK$2:$RK$317),"")</f>
        <v>2.5</v>
      </c>
      <c r="HY68" s="7">
        <f>IFERROR(AVERAGEIF('Данные 1st'!$S$2:$S$317,$A68,'Данные 1st'!$RL$2:$RL$317),"")</f>
        <v>3.8333333333333335</v>
      </c>
      <c r="HZ68" s="7">
        <f>IFERROR(AVERAGEIF('Данные 1st'!$S$2:$S$317,$A68,'Данные 1st'!$RM$2:$RM$317),"")</f>
        <v>3.8333333333333335</v>
      </c>
      <c r="IA68" s="7">
        <f>IFERROR(AVERAGEIF('Данные 1st'!$S$2:$S$317,$A68,'Данные 1st'!$RN$2:$RN$317),"")</f>
        <v/>
      </c>
      <c r="IB68" s="7">
        <f>IFERROR(AVERAGEIF('Данные 1st'!$S$2:$S$317,$A68,'Данные 1st'!$RO$2:$RO$317),"")</f>
        <v>549.3333333333334</v>
      </c>
      <c r="IC68" s="7">
        <f>IFERROR(AVERAGEIF('Данные 1st'!$S$2:$S$317,$A68,'Данные 1st'!$RP$2:$RP$317),"")</f>
        <v>136.16666666666666</v>
      </c>
      <c r="ID68" s="7">
        <f>IFERROR(AVERAGEIF('Данные 1st'!$S$2:$S$317,$A68,'Данные 1st'!$RQ$2:$RQ$317),"")</f>
        <v>645.5</v>
      </c>
      <c r="IE68" s="7">
        <f>IFERROR(AVERAGEIF('Данные 1st'!$S$2:$S$317,$A68,'Данные 1st'!$RR$2:$RR$317),"")</f>
        <v>527.3333333333334</v>
      </c>
      <c r="IF68" s="7">
        <f>IFERROR(AVERAGEIF('Данные 1st'!$S$2:$S$317,$A68,'Данные 1st'!$RS$2:$RS$317),"")</f>
        <v/>
      </c>
      <c r="IG68" s="7">
        <f>IFERROR(AVERAGEIF('Данные 1st'!$S$2:$S$317,$A68,'Данные 1st'!$RT$2:$RT$317),"")</f>
        <v>366.1666666666667</v>
      </c>
      <c r="IH68" s="7">
        <f>IFERROR(AVERAGEIF('Данные 1st'!$S$2:$S$317,$A68,'Данные 1st'!$RU$2:$RU$317),"")</f>
        <v>225.16666666666666</v>
      </c>
      <c r="II68" s="7">
        <f>IFERROR(AVERAGEIF('Данные 1st'!$S$2:$S$317,$A68,'Данные 1st'!$RX$2:$RX$317),"")</f>
        <v>15</v>
      </c>
      <c r="IJ68" s="7">
        <f>IFERROR(AVERAGEIF('Данные 1st'!$S$2:$S$317,$A68,'Данные 1st'!$RY$2:$RY$317),"")</f>
        <v>4</v>
      </c>
      <c r="IK68" s="7">
        <f>IFERROR(AVERAGEIF('Данные 1st'!$S$2:$S$317,$A68,'Данные 1st'!$SA$2:$SA$317),"")</f>
        <v>15</v>
      </c>
      <c r="IL68" s="7">
        <f>IFERROR(AVERAGEIF('Данные 1st'!$S$2:$S$317,$A68,'Данные 1st'!$SD$2:$SD$317),"")</f>
        <v>1</v>
      </c>
      <c r="IM68" s="7">
        <f>IFERROR(AVERAGEIF('Данные 1st'!$S$2:$S$317,$A68,'Данные 1st'!$SG$2:$SG$317),"")</f>
        <v>1</v>
      </c>
      <c r="IN68" s="7">
        <f>IFERROR(AVERAGEIF('Данные 1st'!$S$2:$S$317,$A68,'Данные 1st'!$SH$2:$SH$317),"")</f>
        <v>0.995</v>
      </c>
      <c r="IO68" s="7">
        <f>IFERROR(AVERAGEIF('Данные 1st'!$S$2:$S$317,$A68,'Данные 1st'!$SI$2:$SI$317),"")</f>
        <v>0.995</v>
      </c>
      <c r="IP68" s="7">
        <f>IFERROR(AVERAGEIF('Данные 1st'!$S$2:$S$317,$A68,'Данные 1st'!$SJ$2:$SJ$317),"")</f>
        <v>0.995</v>
      </c>
      <c r="IQ68" s="7">
        <f>IFERROR(AVERAGEIF('Данные 1st'!$S$2:$S$317,$A68,'Данные 1st'!$SK$2:$SK$317),"")</f>
        <v>15</v>
      </c>
      <c r="IR68" s="7">
        <f>IFERROR(AVERAGEIF('Данные 1st'!$S$2:$S$317,$A68,'Данные 1st'!$SL$2:$SL$317),"")</f>
        <v>0</v>
      </c>
      <c r="IS68" s="7">
        <f>IFERROR(AVERAGEIF('Данные 1st'!$S$2:$S$317,$A68,'Данные 1st'!$SM$2:$SM$317),"")</f>
        <v>0</v>
      </c>
      <c r="IT68" s="7">
        <f>IFERROR(AVERAGEIF('Данные 1st'!$S$2:$S$317,$A68,'Данные 1st'!$SN$2:$SN$317),"")</f>
        <v>0</v>
      </c>
      <c r="IU68" s="7">
        <f>IFERROR(AVERAGEIF('Данные 1st'!$S$2:$S$317,$A68,'Данные 1st'!$SO$2:$SO$317),"")</f>
        <v>0</v>
      </c>
      <c r="IV68" s="7">
        <f>IFERROR(AVERAGEIF('Данные 1st'!$S$2:$S$317,$A68,'Данные 1st'!$SP$2:$SP$317),"")</f>
        <v>0</v>
      </c>
      <c r="IW68" s="7">
        <f>IFERROR(AVERAGEIF('Данные 1st'!$S$2:$S$317,$A68,'Данные 1st'!$SQ$2:$SQ$317),"")</f>
        <v>0</v>
      </c>
      <c r="IX68" s="7">
        <f>IFERROR(AVERAGEIF('Данные 1st'!$S$2:$S$317,$A68,'Данные 1st'!$SR$2:$SR$317),"")</f>
        <v>0</v>
      </c>
      <c r="IY68" s="7">
        <f>IFERROR(AVERAGEIF('Данные 1st'!$S$2:$S$317,$A68,'Данные 1st'!$SS$2:$SS$317),"")</f>
        <v>0</v>
      </c>
      <c r="IZ68" s="7">
        <f>IFERROR(AVERAGEIF('Данные 1st'!$S$2:$S$317,$A68,'Данные 1st'!$ST$2:$ST$317),"")</f>
        <v>0</v>
      </c>
      <c r="JA68" s="7">
        <f>IFERROR(AVERAGEIF('Данные 1st'!$S$2:$S$317,$A68,'Данные 1st'!$SU$2:$SU$317),"")</f>
        <v>0</v>
      </c>
      <c r="JB68" s="7">
        <f>IFERROR(AVERAGEIF('Данные 1st'!$S$2:$S$317,$A68,'Данные 1st'!$SV$2:$SV$317),"")</f>
        <v>0</v>
      </c>
      <c r="JC68" s="7">
        <f>IFERROR(AVERAGEIF('Данные 1st'!$S$2:$S$317,$A68,'Данные 1st'!$SW$2:$SW$317),"")</f>
        <v>0</v>
      </c>
      <c r="JD68" s="7">
        <f>IFERROR(AVERAGEIF('Данные 1st'!$S$2:$S$317,$A68,'Данные 1st'!$SX$2:$SX$317),"")</f>
        <v>0</v>
      </c>
      <c r="JE68" s="7">
        <f>IFERROR(AVERAGEIF('Данные 1st'!$S$2:$S$317,$A68,'Данные 1st'!$SY$2:$SY$317),"")</f>
        <v>1</v>
      </c>
      <c r="JF68" s="7">
        <f>IFERROR(AVERAGEIF('Данные 1st'!$S$2:$S$317,$A68,'Данные 1st'!$SZ$2:$SZ$317),"")</f>
        <v>1</v>
      </c>
      <c r="JG68" s="7">
        <f>IFERROR(AVERAGEIF('Данные 1st'!$S$2:$S$317,$A68,'Данные 1st'!$TA$2:$TA$317),"")</f>
        <v/>
      </c>
      <c r="JH68" s="7">
        <f>IFERROR(AVERAGEIF('Данные 1st'!$S$2:$S$317,$A68,'Данные 1st'!$TB$2:$TB$317),"")</f>
        <v>0</v>
      </c>
      <c r="JI68" s="7">
        <f>IFERROR(AVERAGEIF('Данные 1st'!$S$2:$S$317,$A68,'Данные 1st'!$TC$2:$TC$317),"")</f>
        <v>0</v>
      </c>
      <c r="JJ68" s="7">
        <f>IFERROR(AVERAGEIF('Данные 1st'!$S$2:$S$317,$A68,'Данные 1st'!$TD$2:$TD$317),"")</f>
        <v>7.816666666666666</v>
      </c>
      <c r="JK68" s="7">
        <f>IFERROR(AVERAGEIF('Данные 1st'!$S$2:$S$317,$A68,'Данные 1st'!$TN$2:$TN$317),"")</f>
        <v>0</v>
      </c>
      <c r="JL68">
        <f>COUNTIF('Данные 2st'!$Q$2:$Q$317,$A68)</f>
        <v>6</v>
      </c>
      <c r="JM68" s="6" t="s">
        <v>5116</v>
      </c>
      <c r="JN68" s="6" t="s">
        <v>513</v>
      </c>
      <c r="JO68" s="6" t="s">
        <v>5125</v>
      </c>
      <c r="JP68" s="6" t="s">
        <v>5515</v>
      </c>
      <c r="JQ68" s="7">
        <f>IFERROR(AVERAGEIF('Данные 2st'!$Q$2:$Q$317,$A68,'Данные 2st'!$AC$2:$AC$317),"")</f>
        <v>9</v>
      </c>
      <c r="JR68" s="7">
        <f>IFERROR(AVERAGEIF('Данные 2st'!$Q$2:$Q$317,$A68,'Данные 2st'!$AF$2:$AF$317),"")</f>
        <v>5674.333333333333</v>
      </c>
      <c r="JS68" s="7">
        <f>IFERROR(AVERAGEIF('Данные 2st'!$Q$2:$Q$317,$A68,'Данные 2st'!$AW$2:$AW$317),"")</f>
        <v>6.4</v>
      </c>
      <c r="JT68" s="7">
        <f>IFERROR(AVERAGEIF('Данные 2st'!$Q$2:$Q$317,$A68,'Данные 2st'!$AX$2:$AX$317),"")</f>
        <v>-6</v>
      </c>
      <c r="JU68" s="7">
        <f>IFERROR(AVERAGEIF('Данные 2st'!$Q$2:$Q$317,$A68,'Данные 2st'!$AY$2:$AY$317),"")</f>
        <v>113.33333333333333</v>
      </c>
      <c r="JV68" s="7">
        <f>IFERROR(AVERAGEIF('Данные 2st'!$Q$2:$Q$317,$A68,'Данные 2st'!$AZ$2:$AZ$317),"")</f>
        <v>86.25</v>
      </c>
      <c r="JW68" s="7">
        <f>IFERROR(AVERAGEIF('Данные 2st'!$Q$2:$Q$317,$A68,'Данные 2st'!$BA$2:$BA$317),"")</f>
        <v/>
      </c>
      <c r="JX68" s="7">
        <f>IFERROR(AVERAGEIF('Данные 2st'!$Q$2:$Q$317,$A68,'Данные 2st'!$BB$2:$BB$317),"")</f>
        <v/>
      </c>
      <c r="JY68" s="7">
        <f>IFERROR(AVERAGEIF('Данные 2st'!$Q$2:$Q$317,$A68,'Данные 2st'!$BC$2:$BC$317),"")</f>
        <v/>
      </c>
      <c r="JZ68" s="7">
        <f>IFERROR(AVERAGEIF('Данные 2st'!$Q$2:$Q$317,$A68,'Данные 2st'!$BH$2:$BH$317),"")</f>
        <v>113.33333333333333</v>
      </c>
      <c r="KA68" s="7">
        <f>IFERROR(AVERAGEIF('Данные 2st'!$Q$2:$Q$317,$A68,'Данные 2st'!$BI$2:$BI$317),"")</f>
        <v>27.083333333333332</v>
      </c>
      <c r="KB68" s="7">
        <f>IFERROR(AVERAGEIF('Данные 2st'!$Q$2:$Q$317,$A68,'Данные 2st'!$BJ$2:$BJ$317),"")</f>
        <v>86.25</v>
      </c>
      <c r="KC68" s="7">
        <f>IFERROR(AVERAGEIF('Данные 2st'!$Q$2:$Q$317,$A68,'Данные 2st'!$BK$2:$BK$317),"")</f>
        <v>2.5</v>
      </c>
      <c r="KD68" s="7">
        <f>IFERROR(AVERAGEIF('Данные 2st'!$Q$2:$Q$317,$A68,'Данные 2st'!$BL$2:$BL$317),"")</f>
        <v>226.66666666666666</v>
      </c>
      <c r="KE68" s="7">
        <f>IFERROR(AVERAGEIF('Данные 2st'!$Q$2:$Q$317,$A68,'Данные 2st'!$BM$2:$BM$317),"")</f>
        <v>-6</v>
      </c>
      <c r="KF68" s="7">
        <f>IFERROR(AVERAGEIF('Данные 2st'!$Q$2:$Q$317,$A68,'Данные 2st'!$BN$2:$BN$317),"")</f>
        <v>0</v>
      </c>
      <c r="KG68" s="7">
        <f>IFERROR(AVERAGEIF('Данные 2st'!$Q$2:$Q$317,$A68,'Данные 2st'!$BO$2:$BO$317),"")</f>
        <v>0</v>
      </c>
      <c r="KH68" s="7">
        <f>IFERROR(AVERAGEIF('Данные 2st'!$Q$2:$Q$317,$A68,'Данные 2st'!$BP$2:$BP$317),"")</f>
        <v>0</v>
      </c>
      <c r="KI68" s="7">
        <f>IFERROR(AVERAGEIF('Данные 2st'!$Q$2:$Q$317,$A68,'Данные 2st'!$BR$2:$BR$317),"")</f>
        <v>221.66666666666666</v>
      </c>
      <c r="KJ68" s="7">
        <f>IFERROR(AVERAGEIF('Данные 2st'!$Q$2:$Q$317,$A68,'Данные 2st'!$BS$2:$BS$317),"")</f>
        <v>211.66666666666666</v>
      </c>
      <c r="KK68" s="7">
        <f>IFERROR(AVERAGEIF('Данные 2st'!$Q$2:$Q$317,$A68,'Данные 2st'!$BT$2:$BT$317),"")</f>
        <v>2158.3333333333335</v>
      </c>
      <c r="KL68" s="7">
        <f>IFERROR(AVERAGEIF('Данные 2st'!$Q$2:$Q$317,$A68,'Данные 2st'!$CV$2:$CV$317),"")</f>
        <v>136.5</v>
      </c>
      <c r="KM68" s="7">
        <f>IFERROR(AVERAGEIF('Данные 2st'!$Q$2:$Q$317,$A68,'Данные 2st'!$CW$2:$CW$317),"")</f>
        <v>3</v>
      </c>
      <c r="KN68" s="7">
        <f>IFERROR(AVERAGEIF('Данные 2st'!$Q$2:$Q$317,$A68,'Данные 2st'!$CX$2:$CX$317),"")</f>
        <v>98.33333333333333</v>
      </c>
      <c r="KO68" s="7">
        <f>IFERROR(AVERAGEIF('Данные 2st'!$Q$2:$Q$317,$A68,'Данные 2st'!$CY$2:$CY$317),"")</f>
        <v>5</v>
      </c>
      <c r="KP68" s="7">
        <f>IFERROR(AVERAGEIF('Данные 2st'!$Q$2:$Q$317,$A68,'Данные 2st'!$CZ$2:$CZ$317),"")</f>
        <v>149.33333333333334</v>
      </c>
      <c r="KQ68" s="7">
        <f>IFERROR(AVERAGEIF('Данные 2st'!$Q$2:$Q$317,$A68,'Данные 2st'!$DA$2:$DA$317),"")</f>
        <v>5</v>
      </c>
      <c r="KR68" s="7">
        <f>IFERROR(AVERAGEIF('Данные 2st'!$Q$2:$Q$317,$A68,'Данные 2st'!$DB$2:$DB$317),"")</f>
        <v>13515</v>
      </c>
      <c r="KS68" s="7">
        <f>IFERROR(AVERAGEIF('Данные 2st'!$Q$2:$Q$317,$A68,'Данные 2st'!$DC$2:$DC$317),"")</f>
        <v>400</v>
      </c>
      <c r="KT68" s="7">
        <f>IFERROR(AVERAGEIF('Данные 2st'!$Q$2:$Q$317,$A68,'Данные 2st'!$DD$2:$DD$317),"")</f>
        <v>338.6666666666667</v>
      </c>
      <c r="KU68" s="7">
        <f>IFERROR(AVERAGEIF('Данные 2st'!$Q$2:$Q$317,$A68,'Данные 2st'!$DE$2:$DE$317),"")</f>
        <v>2281</v>
      </c>
      <c r="KV68" s="7">
        <f>IFERROR(AVERAGEIF('Данные 2st'!$Q$2:$Q$317,$A68,'Данные 2st'!$DF$2:$DF$317),"")</f>
        <v>2281</v>
      </c>
      <c r="KW68" s="7">
        <f>IFERROR(AVERAGEIF('Данные 2st'!$Q$2:$Q$317,$A68,'Данные 2st'!$DG$2:$DG$317),"")</f>
        <v>2293</v>
      </c>
      <c r="KX68" s="7">
        <f>IFERROR(AVERAGEIF('Данные 2st'!$Q$2:$Q$317,$A68,'Данные 2st'!$DH$2:$DH$317),"")</f>
        <v>1.5</v>
      </c>
      <c r="KY68" s="7">
        <f>IFERROR(AVERAGEIF('Данные 2st'!$Q$2:$Q$317,$A68,'Данные 2st'!$DI$2:$DI$317),"")</f>
        <v/>
      </c>
      <c r="KZ68" s="7">
        <f>IFERROR(AVERAGEIF('Данные 2st'!$Q$2:$Q$317,$A68,'Данные 2st'!$DK$2:$DK$317),"")</f>
        <v>221.66666666666666</v>
      </c>
      <c r="LA68" s="7">
        <f>IFERROR(AVERAGEIF('Данные 2st'!$Q$2:$Q$317,$A68,'Данные 2st'!$DM$2:$DM$317),"")</f>
        <v>64</v>
      </c>
      <c r="LB68" s="7">
        <f>IFERROR(AVERAGEIF('Данные 2st'!$Q$2:$Q$317,$A68,'Данные 2st'!$DN$2:$DN$317),"")</f>
        <v>1.1166666666666667</v>
      </c>
      <c r="LC68" s="7">
        <f>IFERROR(AVERAGEIF('Данные 2st'!$Q$2:$Q$317,$A68,'Данные 2st'!$DO$2:$DO$317),"")</f>
        <v>1</v>
      </c>
      <c r="LD68" s="7">
        <f>IFERROR(AVERAGEIF('Данные 2st'!$Q$2:$Q$317,$A68,'Данные 2st'!$DP$2:$DP$317),"")</f>
        <v>2161.5</v>
      </c>
      <c r="LE68" s="7">
        <f>IFERROR(AVERAGEIF('Данные 2st'!$Q$2:$Q$317,$A68,'Данные 2st'!$DQ$2:$DQ$317),"")</f>
        <v>1046.8333333333333</v>
      </c>
      <c r="LF68" s="7">
        <f>IFERROR(AVERAGEIF('Данные 2st'!$Q$2:$Q$317,$A68,'Данные 2st'!$DS$2:$DS$317),"")</f>
        <v>211.66666666666666</v>
      </c>
      <c r="LG68" s="7">
        <f>IFERROR(AVERAGEIF('Данные 2st'!$Q$2:$Q$317,$A68,'Данные 2st'!$DU$2:$DU$317),"")</f>
        <v>64</v>
      </c>
      <c r="LH68" s="7">
        <f>IFERROR(AVERAGEIF('Данные 2st'!$Q$2:$Q$317,$A68,'Данные 2st'!$DV$2:$DV$317),"")</f>
        <v>1.1166666666666667</v>
      </c>
      <c r="LI68" s="7">
        <f>IFERROR(AVERAGEIF('Данные 2st'!$Q$2:$Q$317,$A68,'Данные 2st'!$DW$2:$DW$317),"")</f>
        <v>1</v>
      </c>
      <c r="LJ68" s="7">
        <f>IFERROR(AVERAGEIF('Данные 2st'!$Q$2:$Q$317,$A68,'Данные 2st'!$DX$2:$DX$317),"")</f>
        <v>2173.5</v>
      </c>
      <c r="LK68" s="7">
        <f>IFERROR(AVERAGEIF('Данные 2st'!$Q$2:$Q$317,$A68,'Данные 2st'!$DY$2:$DY$317),"")</f>
        <v>1004.8333333333334</v>
      </c>
      <c r="LL68" s="7">
        <f>IFERROR(AVERAGEIF('Данные 2st'!$Q$2:$Q$317,$A68,'Данные 2st'!$EA$2:$EA$317),"")</f>
        <v>20</v>
      </c>
      <c r="LM68" s="7">
        <f>IFERROR(AVERAGEIF('Данные 2st'!$Q$2:$Q$317,$A68,'Данные 2st'!$EC$2:$EC$317),"")</f>
        <v>0.8</v>
      </c>
      <c r="LN68" s="7">
        <f>IFERROR(AVERAGEIF('Данные 2st'!$Q$2:$Q$317,$A68,'Данные 2st'!$ED$2:$ED$317),"")</f>
        <v>2161.5</v>
      </c>
      <c r="LO68" s="7">
        <f>IFERROR(AVERAGEIF('Данные 2st'!$Q$2:$Q$317,$A68,'Данные 2st'!$EE$2:$EE$317),"")</f>
        <v>75.83333333333333</v>
      </c>
      <c r="LP68" s="7">
        <f>IFERROR(AVERAGEIF('Данные 2st'!$Q$2:$Q$317,$A68,'Данные 2st'!$EG$2:$EG$317),"")</f>
        <v>0</v>
      </c>
      <c r="LQ68" s="7">
        <f>IFERROR(AVERAGEIF('Данные 2st'!$Q$2:$Q$317,$A68,'Данные 2st'!$EI$2:$EI$317),"")</f>
        <v>0</v>
      </c>
      <c r="LR68" s="7">
        <f>IFERROR(AVERAGEIF('Данные 2st'!$Q$2:$Q$317,$A68,'Данные 2st'!$EJ$2:$EJ$317),"")</f>
        <v/>
      </c>
      <c r="LS68" s="7">
        <f>IFERROR(AVERAGEIF('Данные 2st'!$Q$2:$Q$317,$A68,'Данные 2st'!$EK$2:$EK$317),"")</f>
        <v/>
      </c>
      <c r="LT68" s="7">
        <f>IFERROR(AVERAGEIF('Данные 2st'!$Q$2:$Q$317,$A68,'Данные 2st'!$EM$2:$EM$317),"")</f>
        <v>12</v>
      </c>
      <c r="LU68" s="7">
        <f>IFERROR(AVERAGEIF('Данные 2st'!$Q$2:$Q$317,$A68,'Данные 2st'!$EN$2:$EN$317),"")</f>
        <v>0.5</v>
      </c>
      <c r="LV68" s="7">
        <f>IFERROR(AVERAGEIF('Данные 2st'!$Q$2:$Q$317,$A68,'Данные 2st'!$EO$2:$EO$317),"")</f>
        <v>0.96</v>
      </c>
      <c r="LW68" s="7">
        <f>IFERROR(AVERAGEIF('Данные 2st'!$Q$2:$Q$317,$A68,'Данные 2st'!$EP$2:$EP$317),"")</f>
        <v>2172.3716666666664</v>
      </c>
      <c r="LX68" s="7">
        <f>IFERROR(AVERAGEIF('Данные 2st'!$Q$2:$Q$317,$A68,'Данные 2st'!$EQ$2:$EQ$317),"")</f>
        <v>40505.87</v>
      </c>
      <c r="LY68" s="7">
        <f>IFERROR(AVERAGEIF('Данные 2st'!$Q$2:$Q$317,$A68,'Данные 2st'!$ER$2:$ER$317),"")</f>
        <v>9218.57</v>
      </c>
      <c r="LZ68" s="7">
        <f>IFERROR(AVERAGEIF('Данные 2st'!$Q$2:$Q$317,$A68,'Данные 2st'!$ES$2:$ES$317),"")</f>
        <v>0</v>
      </c>
      <c r="MA68" s="7">
        <f>IFERROR(AVERAGEIF('Данные 2st'!$Q$2:$Q$317,$A68,'Данные 2st'!$ET$2:$ET$317),"")</f>
        <v>0</v>
      </c>
      <c r="MB68" s="7">
        <f>IFERROR(AVERAGEIF('Данные 2st'!$Q$2:$Q$317,$A68,'Данные 2st'!$EU$2:$EU$317),"")</f>
        <v>1</v>
      </c>
      <c r="MC68" s="7">
        <f>IFERROR(AVERAGEIF('Данные 2st'!$Q$2:$Q$317,$A68,'Данные 2st'!$EV$2:$EV$317),"")</f>
        <v>49724.833333333336</v>
      </c>
      <c r="MD68" s="7">
        <f>IFERROR(AVERAGEIF('Данные 2st'!$Q$2:$Q$317,$A68,'Данные 2st'!$EW$2:$EW$317),"")</f>
        <v>597.5</v>
      </c>
      <c r="ME68" s="7">
        <f>IFERROR(AVERAGEIF('Данные 2st'!$Q$2:$Q$317,$A68,'Данные 2st'!$EY$2:$EY$317),"")</f>
        <v>239</v>
      </c>
      <c r="MF68" s="7">
        <f>IFERROR(AVERAGEIF('Данные 2st'!$Q$2:$Q$317,$A68,'Данные 2st'!$FA$2:$FA$317),"")</f>
        <v>5.35</v>
      </c>
      <c r="MG68" s="7">
        <f>IFERROR(AVERAGEIF('Данные 2st'!$Q$2:$Q$317,$A68,'Данные 2st'!$FB$2:$FB$317),"")</f>
        <v>1</v>
      </c>
      <c r="MH68" s="7">
        <f>IFERROR(AVERAGEIF('Данные 2st'!$Q$2:$Q$317,$A68,'Данные 2st'!$FC$2:$FC$317),"")</f>
        <v>1</v>
      </c>
      <c r="MI68" s="7">
        <f>IFERROR(AVERAGEIF('Данные 2st'!$Q$2:$Q$317,$A68,'Данные 2st'!$FD$2:$FD$317),"")</f>
        <v>2206</v>
      </c>
      <c r="MJ68" s="7">
        <f>IFERROR(AVERAGEIF('Данные 2st'!$Q$2:$Q$317,$A68,'Данные 2st'!$FE$2:$FE$317),"")</f>
        <v>2971.1666666666665</v>
      </c>
      <c r="MK68" s="7">
        <f>IFERROR(AVERAGEIF('Данные 2st'!$Q$2:$Q$317,$A68,'Данные 2st'!$FG$2:$FG$317),"")</f>
        <v>239</v>
      </c>
      <c r="ML68" s="7">
        <f>IFERROR(AVERAGEIF('Данные 2st'!$Q$2:$Q$317,$A68,'Данные 2st'!$FI$2:$FI$317),"")</f>
        <v>2.8833333333333333</v>
      </c>
      <c r="MM68" s="7">
        <f>IFERROR(AVERAGEIF('Данные 2st'!$Q$2:$Q$317,$A68,'Данные 2st'!$FJ$2:$FJ$317),"")</f>
        <v>2206</v>
      </c>
      <c r="MN68" s="7">
        <f>IFERROR(AVERAGEIF('Данные 2st'!$Q$2:$Q$317,$A68,'Данные 2st'!$FK$2:$FK$317),"")</f>
        <v>1702</v>
      </c>
      <c r="MO68" s="7">
        <f>IFERROR(AVERAGEIF('Данные 2st'!$Q$2:$Q$317,$A68,'Данные 2st'!$FP$2:$FP$317),"")</f>
        <v>2206</v>
      </c>
      <c r="MP68" s="7">
        <f>IFERROR(AVERAGEIF('Данные 2st'!$Q$2:$Q$317,$A68,'Данные 2st'!$FQ$2:$FQ$317),"")</f>
        <v>177.83333333333334</v>
      </c>
      <c r="MQ68" s="7">
        <f>IFERROR(AVERAGEIF('Данные 2st'!$Q$2:$Q$317,$A68,'Данные 2st'!$FS$2:$FS$317),"")</f>
        <v>243</v>
      </c>
      <c r="MR68" s="7">
        <f>IFERROR(AVERAGEIF('Данные 2st'!$Q$2:$Q$317,$A68,'Данные 2st'!$FU$2:$FU$317),"")</f>
        <v>0.4</v>
      </c>
      <c r="MS68" s="7">
        <f>IFERROR(AVERAGEIF('Данные 2st'!$Q$2:$Q$317,$A68,'Данные 2st'!$FV$2:$FV$317),"")</f>
        <v>2206</v>
      </c>
      <c r="MT68" s="7">
        <f>IFERROR(AVERAGEIF('Данные 2st'!$Q$2:$Q$317,$A68,'Данные 2st'!$FW$2:$FW$317),"")</f>
        <v>238.5</v>
      </c>
      <c r="MU68" s="7">
        <f>IFERROR(AVERAGEIF('Данные 2st'!$Q$2:$Q$317,$A68,'Данные 2st'!$FY$2:$FY$317),"")</f>
        <v>5</v>
      </c>
      <c r="MV68" s="7">
        <f>IFERROR(AVERAGEIF('Данные 2st'!$Q$2:$Q$317,$A68,'Данные 2st'!$GB$2:$GB$317),"")</f>
        <v>2206</v>
      </c>
      <c r="MW68" s="7">
        <f>IFERROR(AVERAGEIF('Данные 2st'!$Q$2:$Q$317,$A68,'Данные 2st'!$GC$2:$GC$317),"")</f>
        <v>21.666666666666668</v>
      </c>
      <c r="MX68" s="7">
        <f>IFERROR(AVERAGEIF('Данные 2st'!$Q$2:$Q$317,$A68,'Данные 2st'!$GD$2:$GD$317),"")</f>
        <v>5111.166666666667</v>
      </c>
      <c r="MY68" s="7">
        <f>IFERROR(AVERAGEIF('Данные 2st'!$Q$2:$Q$317,$A68,'Данные 2st'!$GN$2:$GN$317),"")</f>
        <v/>
      </c>
      <c r="MZ68" s="7">
        <f>IFERROR(AVERAGEIF('Данные 2st'!$Q$2:$Q$317,$A68,'Данные 2st'!$GQ$2:$GQ$317),"")</f>
        <v>0</v>
      </c>
      <c r="NA68" s="7">
        <f>IFERROR(AVERAGEIF('Данные 2st'!$Q$2:$Q$317,$A68,'Данные 2st'!$GV$2:$GV$317),"")</f>
        <v>8.633333333333333</v>
      </c>
      <c r="NB68" s="7">
        <f>IFERROR(AVERAGEIF('Данные 2st'!$Q$2:$Q$317,$A68,'Данные 2st'!$GW$2:$GW$317),"")</f>
        <v>9.75</v>
      </c>
      <c r="NC68" s="7">
        <f>IFERROR(AVERAGEIF('Данные 2st'!$Q$2:$Q$317,$A68,'Данные 2st'!$GX$2:$GX$317),"")</f>
        <v>0.5</v>
      </c>
      <c r="ND68" s="7">
        <f>IFERROR(AVERAGEIF('Данные 2st'!$Q$2:$Q$317,$A68,'Данные 2st'!$GY$2:$GY$317),"")</f>
        <v>213.33333333333334</v>
      </c>
      <c r="NE68" s="7">
        <f>IFERROR(AVERAGEIF('Данные 2st'!$Q$2:$Q$317,$A68,'Данные 2st'!$GZ$2:$GZ$317),"")</f>
        <v>3</v>
      </c>
      <c r="NF68" s="7">
        <f>IFERROR(AVERAGEIF('Данные 2st'!$Q$2:$Q$317,$A68,'Данные 2st'!$HA$2:$HA$317),"")</f>
        <v>260</v>
      </c>
      <c r="NG68" s="7">
        <f>IFERROR(AVERAGEIF('Данные 2st'!$Q$2:$Q$317,$A68,'Данные 2st'!$HB$2:$HB$317),"")</f>
        <v>3</v>
      </c>
      <c r="NH68" s="7">
        <f>IFERROR(AVERAGEIF('Данные 2st'!$Q$2:$Q$317,$A68,'Данные 2st'!$HC$2:$HC$317),"")</f>
        <v>2206</v>
      </c>
      <c r="NI68" s="7">
        <f>IFERROR(AVERAGEIF('Данные 2st'!$Q$2:$Q$317,$A68,'Данные 2st'!$HD$2:$HD$317),"")</f>
        <v>4</v>
      </c>
      <c r="NJ68" s="7">
        <f>IFERROR(AVERAGEIF('Данные 2st'!$Q$2:$Q$317,$A68,'Данные 2st'!$HM$2:$HM$317),"")</f>
        <v>20</v>
      </c>
      <c r="NK68" s="7">
        <f>IFERROR(AVERAGEIF('Данные 2st'!$Q$2:$Q$317,$A68,'Данные 2st'!$HR$2:$HR$317),"")</f>
        <v>2.1666666666666665</v>
      </c>
      <c r="NL68" s="7">
        <f>IFERROR(AVERAGEIF('Данные 2st'!$Q$2:$Q$317,$A68,'Данные 2st'!$HS$2:$HS$317),"")</f>
        <v>2158.3333333333335</v>
      </c>
      <c r="NM68" s="7">
        <f>IFERROR(AVERAGEIF('Данные 2st'!$Q$2:$Q$317,$A68,'Данные 2st'!$HT$2:$HT$317),"")</f>
        <v>5</v>
      </c>
      <c r="NN68" s="7">
        <f>IFERROR(AVERAGEIF('Данные 2st'!$Q$2:$Q$317,$A68,'Данные 2st'!$HY$2:$HY$317),"")</f>
        <v>0</v>
      </c>
      <c r="NO68" s="7">
        <f>IFERROR(AVERAGEIF('Данные 2st'!$Q$2:$Q$317,$A68,'Данные 2st'!$HZ$2:$HZ$317),"")</f>
        <v>64</v>
      </c>
      <c r="NP68" s="7">
        <f>IFERROR(AVERAGEIF('Данные 2st'!$Q$2:$Q$317,$A68,'Данные 2st'!$IA$2:$IA$317),"")</f>
        <v>2161.5</v>
      </c>
      <c r="NQ68" s="7">
        <f>IFERROR(AVERAGEIF('Данные 2st'!$Q$2:$Q$317,$A68,'Данные 2st'!$IB$2:$IB$317),"")</f>
        <v>2173.5</v>
      </c>
      <c r="NR68" s="7">
        <f>IFERROR(AVERAGEIF('Данные 2st'!$Q$2:$Q$317,$A68,'Данные 2st'!$IC$2:$IC$317),"")</f>
        <v/>
      </c>
      <c r="NS68" s="7">
        <f>IFERROR(AVERAGEIF('Данные 2st'!$Q$2:$Q$317,$A68,'Данные 2st'!$ID$2:$ID$317),"")</f>
        <v>2206</v>
      </c>
      <c r="NT68" s="7">
        <f>IFERROR(AVERAGEIF('Данные 2st'!$Q$2:$Q$317,$A68,'Данные 2st'!$IE$2:$IE$317),"")</f>
        <v>2206</v>
      </c>
      <c r="NU68" s="7">
        <f>IFERROR(AVERAGEIF('Данные 2st'!$Q$2:$Q$317,$A68,'Данные 2st'!$IF$2:$IF$317),"")</f>
        <v>221.66666666666666</v>
      </c>
      <c r="NV68" s="7">
        <f>IFERROR(AVERAGEIF('Данные 2st'!$Q$2:$Q$317,$A68,'Данные 2st'!$IG$2:$IG$317),"")</f>
        <v>211.66666666666666</v>
      </c>
      <c r="NW68" s="7">
        <f>IFERROR(AVERAGEIF('Данные 2st'!$Q$2:$Q$317,$A68,'Данные 2st'!$IH$2:$IH$317),"")</f>
        <v>260</v>
      </c>
      <c r="NX68" s="7">
        <f>IFERROR(AVERAGEIF('Данные 2st'!$Q$2:$Q$317,$A68,'Данные 2st'!$IJ$2:$IJ$317),"")</f>
        <v>5</v>
      </c>
      <c r="NY68" s="7">
        <f>IFERROR(AVERAGEIF('Данные 2st'!$Q$2:$Q$317,$A68,'Данные 2st'!$IM$2:$IM$317),"")</f>
        <v>0</v>
      </c>
      <c r="NZ68" s="7">
        <f>IFERROR(AVERAGEIF('Данные 2st'!$Q$2:$Q$317,$A68,'Данные 2st'!$IN$2:$IN$317),"")</f>
        <v>270</v>
      </c>
      <c r="OA68" s="7">
        <f>IFERROR(AVERAGEIF('Данные 2st'!$Q$2:$Q$317,$A68,'Данные 2st'!$IO$2:$IO$317),"")</f>
        <v>0</v>
      </c>
      <c r="OB68" s="7">
        <f>IFERROR(AVERAGEIF('Данные 2st'!$Q$2:$Q$317,$A68,'Данные 2st'!$IP$2:$IP$317),"")</f>
        <v>180</v>
      </c>
      <c r="OC68" s="7">
        <f>IFERROR(AVERAGEIF('Данные 2st'!$Q$2:$Q$317,$A68,'Данные 2st'!$IQ$2:$IQ$317),"")</f>
        <v>0</v>
      </c>
      <c r="OD68" s="7">
        <f>IFERROR(AVERAGEIF('Данные 2st'!$Q$2:$Q$317,$A68,'Данные 2st'!$IR$2:$IR$317),"")</f>
        <v>330</v>
      </c>
      <c r="OE68" s="7">
        <f>IFERROR(AVERAGEIF('Данные 2st'!$Q$2:$Q$317,$A68,'Данные 2st'!$IT$2:$IT$317),"")</f>
        <v>90</v>
      </c>
      <c r="OF68" s="7">
        <f>IFERROR(AVERAGEIF('Данные 2st'!$Q$2:$Q$317,$A68,'Данные 2st'!$IU$2:$IU$317),"")</f>
        <v>0</v>
      </c>
      <c r="OG68" s="7">
        <f>IFERROR(AVERAGEIF('Данные 2st'!$Q$2:$Q$317,$A68,'Данные 2st'!$IV$2:$IV$317),"")</f>
        <v>6.4</v>
      </c>
      <c r="OH68" s="7">
        <f>IFERROR(AVERAGEIF('Данные 2st'!$Q$2:$Q$317,$A68,'Данные 2st'!$IW$2:$IW$317),"")</f>
        <v>-6</v>
      </c>
      <c r="OI68" s="7">
        <f>IFERROR(AVERAGEIF('Данные 2st'!$Q$2:$Q$317,$A68,'Данные 2st'!$IX$2:$IX$317),"")</f>
        <v>113.33333333333333</v>
      </c>
      <c r="OJ68" s="7">
        <f>IFERROR(AVERAGEIF('Данные 2st'!$Q$2:$Q$317,$A68,'Данные 2st'!$IY$2:$IY$317),"")</f>
        <v>86.25</v>
      </c>
      <c r="OK68" s="7">
        <f>IFERROR(AVERAGEIF('Данные 2st'!$Q$2:$Q$317,$A68,'Данные 2st'!$IZ$2:$IZ$317),"")</f>
        <v>0</v>
      </c>
      <c r="OL68" s="7">
        <f>IFERROR(AVERAGEIF('Данные 2st'!$Q$2:$Q$317,$A68,'Данные 2st'!$JA$2:$JA$317),"")</f>
        <v>0</v>
      </c>
      <c r="OM68" s="7">
        <f>IFERROR(AVERAGEIF('Данные 2st'!$Q$2:$Q$317,$A68,'Данные 2st'!$JB$2:$JB$317),"")</f>
        <v>0</v>
      </c>
      <c r="ON68" s="7">
        <f>IFERROR(AVERAGEIF('Данные 2st'!$Q$2:$Q$317,$A68,'Данные 2st'!$JC$2:$JC$317),"")</f>
        <v>0</v>
      </c>
      <c r="OO68" s="7">
        <f>IFERROR(AVERAGEIF('Данные 2st'!$Q$2:$Q$317,$A68,'Данные 2st'!$JD$2:$JD$317),"")</f>
        <v>0</v>
      </c>
      <c r="OP68" s="7">
        <f>IFERROR(AVERAGEIF('Данные 2st'!$Q$2:$Q$317,$A68,'Данные 2st'!$JE$2:$JE$317),"")</f>
        <v>0</v>
      </c>
      <c r="OQ68" s="7">
        <f>IFERROR(AVERAGEIF('Данные 2st'!$Q$2:$Q$317,$A68,'Данные 2st'!$JF$2:$JF$317),"")</f>
        <v>0</v>
      </c>
      <c r="OR68" s="7">
        <f>IFERROR(AVERAGEIF('Данные 2st'!$Q$2:$Q$317,$A68,'Данные 2st'!$JG$2:$JG$317),"")</f>
        <v>0</v>
      </c>
      <c r="OS68" s="7">
        <f>IFERROR(AVERAGEIF('Данные 2st'!$Q$2:$Q$317,$A68,'Данные 2st'!$JH$2:$JH$317),"")</f>
        <v>0</v>
      </c>
      <c r="OT68" s="7">
        <f>IFERROR(AVERAGEIF('Данные 2st'!$Q$2:$Q$317,$A68,'Данные 2st'!$JI$2:$JI$317),"")</f>
        <v>385</v>
      </c>
      <c r="OU68" s="7">
        <f>IFERROR(AVERAGEIF('Данные 2st'!$Q$2:$Q$317,$A68,'Данные 2st'!$JJ$2:$JJ$317),"")</f>
        <v>356.6666666666667</v>
      </c>
      <c r="OV68" s="7">
        <f>IFERROR(AVERAGEIF('Данные 2st'!$Q$2:$Q$317,$A68,'Данные 2st'!$JK$2:$JK$317),"")</f>
        <v>257.3333333333333</v>
      </c>
      <c r="OW68" s="7">
        <f>IFERROR(AVERAGEIF('Данные 2st'!$Q$2:$Q$317,$A68,'Данные 2st'!$JL$2:$JL$317),"")</f>
        <v>353.6666666666667</v>
      </c>
      <c r="OX68" s="7">
        <f>IFERROR(AVERAGEIF('Данные 2st'!$Q$2:$Q$317,$A68,'Данные 2st'!$JM$2:$JM$317),"")</f>
        <v>276.5</v>
      </c>
      <c r="OY68" s="7">
        <f>IFERROR(AVERAGEIF('Данные 2st'!$Q$2:$Q$317,$A68,'Данные 2st'!$JP$2:$JP$317),"")</f>
        <v>195.83333333333334</v>
      </c>
      <c r="OZ68" s="7">
        <f>IFERROR(AVERAGEIF('Данные 2st'!$Q$2:$Q$317,$A68,'Данные 2st'!$JQ$2:$JQ$317),"")</f>
        <v>245.66666666666666</v>
      </c>
      <c r="PA68" s="7">
        <f>IFERROR(AVERAGEIF('Данные 2st'!$Q$2:$Q$317,$A68,'Данные 2st'!$JR$2:$JR$317),"")</f>
        <v>289.6666666666667</v>
      </c>
      <c r="PB68" s="7">
        <f>IFERROR(AVERAGEIF('Данные 2st'!$Q$2:$Q$317,$A68,'Данные 2st'!$JS$2:$JS$317),"")</f>
        <v>244.33333333333334</v>
      </c>
      <c r="PC68" s="7">
        <f>IFERROR(AVERAGEIF('Данные 2st'!$Q$2:$Q$317,$A68,'Данные 2st'!$JT$2:$JT$317),"")</f>
        <v>0</v>
      </c>
      <c r="PD68" s="7">
        <f>IFERROR(AVERAGEIF('Данные 2st'!$Q$2:$Q$317,$A68,'Данные 2st'!$JU$2:$JU$317),"")</f>
        <v>0</v>
      </c>
      <c r="PE68" s="7">
        <f>IFERROR(AVERAGEIF('Данные 2st'!$Q$2:$Q$317,$A68,'Данные 2st'!$JV$2:$JV$317),"")</f>
        <v>280.8333333333333</v>
      </c>
      <c r="PF68" s="7">
        <f>IFERROR(AVERAGEIF('Данные 2st'!$Q$2:$Q$317,$A68,'Данные 2st'!$JW$2:$JW$317),"")</f>
        <v>271.1666666666667</v>
      </c>
      <c r="PG68" s="7">
        <f>IFERROR(AVERAGEIF('Данные 2st'!$Q$2:$Q$317,$A68,'Данные 2st'!$KF$2:$KF$317),"")</f>
        <v>0.185</v>
      </c>
      <c r="PH68" s="7">
        <f>IFERROR(AVERAGEIF('Данные 2st'!$Q$2:$Q$317,$A68,'Данные 2st'!$KG$2:$KG$317),"")</f>
        <v>0.11</v>
      </c>
      <c r="PI68" s="7">
        <f>IFERROR(AVERAGEIF('Данные 2st'!$Q$2:$Q$317,$A68,'Данные 2st'!$KM$2:$KM$317),"")</f>
        <v>0.25</v>
      </c>
      <c r="PJ68" s="7">
        <f>IFERROR(AVERAGEIF('Данные 2st'!$Q$2:$Q$317,$A68,'Данные 2st'!$KN$2:$KN$317),"")</f>
        <v>1.7833333333333334</v>
      </c>
      <c r="PK68" s="7">
        <f>IFERROR(AVERAGEIF('Данные 2st'!$Q$2:$Q$317,$A68,'Данные 2st'!$KO$2:$KO$317),"")</f>
        <v>0.5</v>
      </c>
      <c r="PL68" s="7">
        <f>IFERROR(AVERAGEIF('Данные 2st'!$Q$2:$Q$317,$A68,'Данные 2st'!$KP$2:$KP$317),"")</f>
        <v>0</v>
      </c>
      <c r="PM68" s="7">
        <f>IFERROR(AVERAGEIF('Данные 2st'!$Q$2:$Q$317,$A68,'Данные 2st'!$KQ$2:$KQ$317),"")</f>
        <v>0.6666666666666666</v>
      </c>
      <c r="PN68" s="7">
        <f>IFERROR(AVERAGEIF('Данные 2st'!$Q$2:$Q$317,$A68,'Данные 2st'!$KR$2:$KR$317),"")</f>
        <v>0.7</v>
      </c>
      <c r="PO68" s="7">
        <f>IFERROR(AVERAGEIF('Данные 2st'!$Q$2:$Q$317,$A68,'Данные 2st'!$KS$2:$KS$317),"")</f>
        <v>0</v>
      </c>
      <c r="PP68" s="7">
        <f>IFERROR(AVERAGEIF('Данные 2st'!$Q$2:$Q$317,$A68,'Данные 2st'!$KT$2:$KT$317),"")</f>
        <v>2.75</v>
      </c>
      <c r="PQ68" s="7">
        <f>IFERROR(AVERAGEIF('Данные 2st'!$Q$2:$Q$317,$A68,'Данные 2st'!$KU$2:$KU$317),"")</f>
        <v>0</v>
      </c>
      <c r="PR68" s="7">
        <f>IFERROR(AVERAGEIF('Данные 2st'!$Q$2:$Q$317,$A68,'Данные 2st'!$KV$2:$KV$317),"")</f>
        <v>0</v>
      </c>
      <c r="PS68" s="7">
        <f>IFERROR(AVERAGEIF('Данные 2st'!$Q$2:$Q$317,$A68,'Данные 2st'!$KW$2:$KW$317),"")</f>
        <v>1.0333333333333332</v>
      </c>
      <c r="PT68" s="7">
        <f>IFERROR(AVERAGEIF('Данные 2st'!$Q$2:$Q$317,$A68,'Данные 2st'!$KX$2:$KX$317),"")</f>
        <v>1.3333333333333333</v>
      </c>
      <c r="PU68" s="7">
        <f>IFERROR(AVERAGEIF('Данные 2st'!$Q$2:$Q$317,$A68,'Данные 2st'!$KY$2:$KY$317),"")</f>
        <v>0.5</v>
      </c>
      <c r="PV68" s="7">
        <f>IFERROR(AVERAGEIF('Данные 2st'!$Q$2:$Q$317,$A68,'Данные 2st'!$KZ$2:$KZ$317),"")</f>
        <v>0</v>
      </c>
      <c r="PW68" s="7">
        <f>IFERROR(AVERAGEIF('Данные 2st'!$Q$2:$Q$317,$A68,'Данные 2st'!$LA$2:$LA$317),"")</f>
        <v>0</v>
      </c>
      <c r="PX68" s="7">
        <f>IFERROR(AVERAGEIF('Данные 2st'!$Q$2:$Q$317,$A68,'Данные 2st'!$LB$2:$LB$317),"")</f>
        <v>0</v>
      </c>
      <c r="PY68" s="7">
        <f>IFERROR(AVERAGEIF('Данные 2st'!$Q$2:$Q$317,$A68,'Данные 2st'!$LC$2:$LC$317),"")</f>
        <v>0</v>
      </c>
      <c r="PZ68" s="7">
        <f>IFERROR(AVERAGEIF('Данные 2st'!$Q$2:$Q$317,$A68,'Данные 2st'!$LD$2:$LD$317),"")</f>
        <v>0</v>
      </c>
      <c r="QA68" s="7">
        <f>IFERROR(AVERAGEIF('Данные 2st'!$Q$2:$Q$317,$A68,'Данные 2st'!$LE$2:$LE$317),"")</f>
        <v>0</v>
      </c>
      <c r="QB68" s="7">
        <f>IFERROR(AVERAGEIF('Данные 2st'!$Q$2:$Q$317,$A68,'Данные 2st'!$LF$2:$LF$317),"")</f>
        <v>0</v>
      </c>
      <c r="QC68" s="7">
        <f>IFERROR(AVERAGEIF('Данные 2st'!$Q$2:$Q$317,$A68,'Данные 2st'!$LG$2:$LG$317),"")</f>
        <v>0</v>
      </c>
      <c r="QD68" s="7">
        <f>IFERROR(AVERAGEIF('Данные 2st'!$Q$2:$Q$317,$A68,'Данные 2st'!$LH$2:$LH$317),"")</f>
        <v>3</v>
      </c>
      <c r="QE68" s="7">
        <f>IFERROR(AVERAGEIF('Данные 2st'!$Q$2:$Q$317,$A68,'Данные 2st'!$LJ$2:$LJ$317),"")</f>
        <v>0</v>
      </c>
      <c r="QF68" s="7">
        <f>IFERROR(AVERAGEIF('Данные 2st'!$Q$2:$Q$317,$A68,'Данные 2st'!$LK$2:$LK$317),"")</f>
        <v>7.833333333333333</v>
      </c>
      <c r="QG68" s="7">
        <f>IFERROR(AVERAGEIF('Данные 2st'!$Q$2:$Q$317,$A68,'Данные 2st'!$LL$2:$LL$317),"")</f>
        <v>6.666666666666667</v>
      </c>
      <c r="QH68" s="7">
        <f>IFERROR(AVERAGEIF('Данные 2st'!$Q$2:$Q$317,$A68,'Данные 2st'!$LM$2:$LM$317),"")</f>
        <v>11.166666666666666</v>
      </c>
      <c r="QI68" s="7">
        <f>IFERROR(AVERAGEIF('Данные 2st'!$Q$2:$Q$317,$A68,'Данные 2st'!$LN$2:$LN$317),"")</f>
        <v>0.7333333333333334</v>
      </c>
      <c r="QJ68" s="7">
        <f>IFERROR(AVERAGEIF('Данные 2st'!$Q$2:$Q$317,$A68,'Данные 2st'!$LO$2:$LO$317),"")</f>
        <v>0.5833333333333334</v>
      </c>
      <c r="QK68" s="7">
        <f>IFERROR(AVERAGEIF('Данные 2st'!$Q$2:$Q$317,$A68,'Данные 2st'!$LP$2:$LP$317),"")</f>
        <v>0</v>
      </c>
      <c r="QL68" s="7">
        <f>IFERROR(AVERAGEIF('Данные 2st'!$Q$2:$Q$317,$A68,'Данные 2st'!$LQ$2:$LQ$317),"")</f>
        <v>0</v>
      </c>
      <c r="QM68" s="7">
        <f>IFERROR(AVERAGEIF('Данные 2st'!$Q$2:$Q$317,$A68,'Данные 2st'!$LW$2:$LW$317),"")</f>
        <v>1.9666666666666668</v>
      </c>
      <c r="QN68" s="7">
        <f>IFERROR(AVERAGEIF('Данные 2st'!$Q$2:$Q$317,$A68,'Данные 2st'!$LX$2:$LX$317),"")</f>
        <v>1.9666666666666668</v>
      </c>
      <c r="QO68" s="7">
        <f>IFERROR(AVERAGEIF('Данные 2st'!$Q$2:$Q$317,$A68,'Данные 2st'!$LY$2:$LY$317),"")</f>
        <v>2.15</v>
      </c>
      <c r="QP68" s="7">
        <f>IFERROR(AVERAGEIF('Данные 2st'!$Q$2:$Q$317,$A68,'Данные 2st'!$LZ$2:$LZ$317),"")</f>
        <v>2.15</v>
      </c>
      <c r="QQ68" s="7">
        <f>IFERROR(AVERAGEIF('Данные 2st'!$Q$2:$Q$317,$A68,'Данные 2st'!$MB$2:$MB$317),"")</f>
        <v>5.416666666666667</v>
      </c>
      <c r="QR68" s="7">
        <f>IFERROR(AVERAGEIF('Данные 2st'!$Q$2:$Q$317,$A68,'Данные 2st'!$MG$2:$MG$317),"")</f>
        <v>0</v>
      </c>
      <c r="QS68" s="7">
        <f>IFERROR(AVERAGEIF('Данные 2st'!$Q$2:$Q$317,$A68,'Данные 2st'!$MH$2:$MH$317),"")</f>
        <v>0</v>
      </c>
      <c r="QT68" s="7">
        <f>IFERROR(AVERAGEIF('Данные 2st'!$Q$2:$Q$317,$A68,'Данные 2st'!$MI$2:$MI$317),"")</f>
        <v>0</v>
      </c>
      <c r="QU68" s="7">
        <f>IFERROR(AVERAGEIF('Данные 2st'!$Q$2:$Q$317,$A68,'Данные 2st'!$MJ$2:$MJ$317),"")</f>
        <v>0</v>
      </c>
      <c r="QV68" s="7">
        <f>IFERROR(AVERAGEIF('Данные 2st'!$Q$2:$Q$317,$A68,'Данные 2st'!$MK$2:$MK$317),"")</f>
        <v>0</v>
      </c>
      <c r="QW68" s="7">
        <f>IFERROR(AVERAGEIF('Данные 2st'!$Q$2:$Q$317,$A68,'Данные 2st'!$MM$2:$MM$317),"")</f>
        <v>415.3333333333333</v>
      </c>
      <c r="QX68" s="7">
        <f>IFERROR(AVERAGEIF('Данные 2st'!$Q$2:$Q$317,$A68,'Данные 2st'!$MQ$2:$MQ$317),"")</f>
        <v/>
      </c>
      <c r="QY68" s="7">
        <f>IFERROR(AVERAGEIF('Данные 2st'!$Q$2:$Q$317,$A68,'Данные 2st'!$MR$2:$MR$317),"")</f>
        <v/>
      </c>
      <c r="QZ68" s="7">
        <f>IFERROR(AVERAGEIF('Данные 2st'!$Q$2:$Q$317,$A68,'Данные 2st'!$MS$2:$MS$317),"")</f>
        <v/>
      </c>
      <c r="RA68" s="7">
        <f>IFERROR(AVERAGEIF('Данные 2st'!$Q$2:$Q$317,$A68,'Данные 2st'!$MT$2:$MT$317),"")</f>
        <v/>
      </c>
      <c r="RB68" s="7">
        <f>IFERROR(AVERAGEIF('Данные 2st'!$Q$2:$Q$317,$A68,'Данные 2st'!$MU$2:$MU$317),"")</f>
        <v/>
      </c>
      <c r="RC68" s="7">
        <f>IFERROR(AVERAGEIF('Данные 2st'!$Q$2:$Q$317,$A68,'Данные 2st'!$MV$2:$MV$317),"")</f>
        <v/>
      </c>
      <c r="RD68" s="7">
        <f>IFERROR(AVERAGEIF('Данные 2st'!$Q$2:$Q$317,$A68,'Данные 2st'!$MW$2:$MW$317),"")</f>
        <v/>
      </c>
      <c r="RE68" s="7">
        <f>IFERROR(AVERAGEIF('Данные 2st'!$Q$2:$Q$317,$A68,'Данные 2st'!$MX$2:$MX$317),"")</f>
        <v/>
      </c>
      <c r="RF68" s="7">
        <f>IFERROR(AVERAGEIF('Данные 2st'!$Q$2:$Q$317,$A68,'Данные 2st'!$MY$2:$MY$317),"")</f>
        <v/>
      </c>
      <c r="RG68" s="7">
        <f>IFERROR(AVERAGEIF('Данные 2st'!$Q$2:$Q$317,$A68,'Данные 2st'!$MZ$2:$MZ$317),"")</f>
        <v/>
      </c>
      <c r="RH68" s="7">
        <f>IFERROR(AVERAGEIF('Данные 2st'!$Q$2:$Q$317,$A68,'Данные 2st'!$NA$2:$NA$317),"")</f>
        <v/>
      </c>
      <c r="RI68" s="7">
        <f>IFERROR(AVERAGEIF('Данные 2st'!$Q$2:$Q$317,$A68,'Данные 2st'!$NB$2:$NB$317),"")</f>
        <v/>
      </c>
      <c r="RJ68" s="7">
        <f>IFERROR(AVERAGEIF('Данные 2st'!$Q$2:$Q$317,$A68,'Данные 2st'!$NC$2:$NC$317),"")</f>
        <v/>
      </c>
      <c r="RK68" s="7">
        <f>IFERROR(AVERAGEIF('Данные 2st'!$Q$2:$Q$317,$A68,'Данные 2st'!$ND$2:$ND$317),"")</f>
        <v/>
      </c>
      <c r="RL68" s="7">
        <f>IFERROR(AVERAGEIF('Данные 2st'!$Q$2:$Q$317,$A68,'Данные 2st'!$NE$2:$NE$317),"")</f>
        <v/>
      </c>
      <c r="RM68" s="7">
        <f>IFERROR(AVERAGEIF('Данные 2st'!$Q$2:$Q$317,$A68,'Данные 2st'!$NF$2:$NF$317),"")</f>
        <v/>
      </c>
      <c r="RN68" s="7">
        <f>IFERROR(AVERAGEIF('Данные 2st'!$Q$2:$Q$317,$A68,'Данные 2st'!$NG$2:$NG$317),"")</f>
        <v/>
      </c>
      <c r="RO68" s="7">
        <f>IFERROR(AVERAGEIF('Данные 2st'!$Q$2:$Q$317,$A68,'Данные 2st'!$NH$2:$NH$317),"")</f>
        <v/>
      </c>
      <c r="RP68" s="7">
        <f>IFERROR(AVERAGEIF('Данные 2st'!$Q$2:$Q$317,$A68,'Данные 2st'!$NJ$2:$NJ$317),"")</f>
        <v/>
      </c>
      <c r="RQ68" s="7">
        <f>IFERROR(AVERAGEIF('Данные 2st'!$Q$2:$Q$317,$A68,'Данные 2st'!$NK$2:$NK$317),"")</f>
        <v/>
      </c>
      <c r="RR68" s="7">
        <f>IFERROR(AVERAGEIF('Данные 2st'!$Q$2:$Q$317,$A68,'Данные 2st'!$NM$2:$NM$317),"")</f>
        <v/>
      </c>
      <c r="RS68" s="7">
        <f>IFERROR(AVERAGEIF('Данные 2st'!$Q$2:$Q$317,$A68,'Данные 2st'!$NN$2:$NN$317),"")</f>
        <v/>
      </c>
      <c r="RT68" s="7">
        <f>IFERROR(AVERAGEIF('Данные 2st'!$Q$2:$Q$317,$A68,'Данные 2st'!$NO$2:$NO$317),"")</f>
        <v/>
      </c>
      <c r="RU68" s="7">
        <f>IFERROR(AVERAGEIF('Данные 2st'!$Q$2:$Q$317,$A68,'Данные 2st'!$NP$2:$NP$317),"")</f>
        <v/>
      </c>
      <c r="RV68" s="7">
        <f>IFERROR(AVERAGEIF('Данные 2st'!$Q$2:$Q$317,$A68,'Данные 2st'!$NQ$2:$NQ$317),"")</f>
        <v/>
      </c>
      <c r="RW68" s="7">
        <f>IFERROR(AVERAGEIF('Данные 2st'!$Q$2:$Q$317,$A68,'Данные 2st'!$NR$2:$NR$317),"")</f>
        <v/>
      </c>
      <c r="RX68" s="7">
        <f>IFERROR(AVERAGEIF('Данные 2st'!$Q$2:$Q$317,$A68,'Данные 2st'!$NS$2:$NS$317),"")</f>
        <v/>
      </c>
      <c r="RY68" s="7">
        <f>IFERROR(AVERAGEIF('Данные 2st'!$Q$2:$Q$317,$A68,'Данные 2st'!$NT$2:$NT$317),"")</f>
        <v/>
      </c>
      <c r="RZ68" s="7">
        <f>IFERROR(AVERAGEIF('Данные 2st'!$Q$2:$Q$317,$A68,'Данные 2st'!$OK$2:$OK$317),"")</f>
        <v>61</v>
      </c>
      <c r="SA68" s="7">
        <f>IFERROR(AVERAGEIF('Данные 2st'!$Q$2:$Q$317,$A68,'Данные 2st'!$OL$2:$OL$317),"")</f>
        <v>61</v>
      </c>
      <c r="SB68" s="7">
        <f>IFERROR(AVERAGEIF('Данные 2st'!$Q$2:$Q$317,$A68,'Данные 2st'!$ON$2:$ON$317),"")</f>
        <v>1</v>
      </c>
      <c r="SC68" s="7">
        <f>IFERROR(AVERAGEIF('Данные 2st'!$Q$2:$Q$317,$A68,'Данные 2st'!$OO$2:$OO$317),"")</f>
        <v>2161.5</v>
      </c>
      <c r="SD68" s="7">
        <f>IFERROR(AVERAGEIF('Данные 2st'!$Q$2:$Q$317,$A68,'Данные 2st'!$OP$2:$OP$317),"")</f>
        <v>61</v>
      </c>
      <c r="SE68" s="7">
        <f>IFERROR(AVERAGEIF('Данные 2st'!$Q$2:$Q$317,$A68,'Данные 2st'!$OQ$2:$OQ$317),"")</f>
        <v>61</v>
      </c>
      <c r="SF68" s="7">
        <f>IFERROR(AVERAGEIF('Данные 2st'!$Q$2:$Q$317,$A68,'Данные 2st'!$OS$2:$OS$317),"")</f>
        <v>1</v>
      </c>
      <c r="SG68" s="7">
        <f>IFERROR(AVERAGEIF('Данные 2st'!$Q$2:$Q$317,$A68,'Данные 2st'!$OT$2:$OT$317),"")</f>
        <v>2173.5</v>
      </c>
      <c r="SH68" s="7">
        <f>IFERROR(AVERAGEIF('Данные 2st'!$Q$2:$Q$317,$A68,'Данные 2st'!$OU$2:$OU$317),"")</f>
        <v>65</v>
      </c>
      <c r="SI68" s="7">
        <f>IFERROR(AVERAGEIF('Данные 2st'!$Q$2:$Q$317,$A68,'Данные 2st'!$OV$2:$OV$317),"")</f>
        <v>65</v>
      </c>
      <c r="SJ68" s="7">
        <f>IFERROR(AVERAGEIF('Данные 2st'!$Q$2:$Q$317,$A68,'Данные 2st'!$OX$2:$OX$317),"")</f>
        <v>1.8333333333333333</v>
      </c>
      <c r="SK68" s="7">
        <f>IFERROR(AVERAGEIF('Данные 2st'!$Q$2:$Q$317,$A68,'Данные 2st'!$OY$2:$OY$317),"")</f>
        <v>49724.833333333336</v>
      </c>
      <c r="SL68" s="7">
        <f>IFERROR(AVERAGEIF('Данные 2st'!$Q$2:$Q$317,$A68,'Данные 2st'!$OZ$2:$OZ$317),"")</f>
        <v>51</v>
      </c>
      <c r="SM68" s="7">
        <f>IFERROR(AVERAGEIF('Данные 2st'!$Q$2:$Q$317,$A68,'Данные 2st'!$PA$2:$PA$317),"")</f>
        <v>51.666666666666664</v>
      </c>
      <c r="SN68" s="7">
        <f>IFERROR(AVERAGEIF('Данные 2st'!$Q$2:$Q$317,$A68,'Данные 2st'!$PC$2:$PC$317),"")</f>
        <v>1.5</v>
      </c>
      <c r="SO68" s="7">
        <f>IFERROR(AVERAGEIF('Данные 2st'!$Q$2:$Q$317,$A68,'Данные 2st'!$PD$2:$PD$317),"")</f>
        <v>2206</v>
      </c>
      <c r="SP68" s="7">
        <f>IFERROR(AVERAGEIF('Данные 2st'!$Q$2:$Q$317,$A68,'Данные 2st'!$PF$2:$PF$317),"")</f>
        <v>484.3333333333333</v>
      </c>
      <c r="SQ68" s="7">
        <f>IFERROR(AVERAGEIF('Данные 2st'!$Q$2:$Q$317,$A68,'Данные 2st'!$PG$2:$PG$317),"")</f>
        <v>35</v>
      </c>
      <c r="SR68" s="7">
        <f>IFERROR(AVERAGEIF('Данные 2st'!$Q$2:$Q$317,$A68,'Данные 2st'!$PH$2:$PH$317),"")</f>
        <v>462.3333333333333</v>
      </c>
      <c r="SS68" s="7">
        <f>IFERROR(AVERAGEIF('Данные 2st'!$Q$2:$Q$317,$A68,'Данные 2st'!$PI$2:$PI$317),"")</f>
        <v>0</v>
      </c>
      <c r="ST68" s="7">
        <f>IFERROR(AVERAGEIF('Данные 2st'!$Q$2:$Q$317,$A68,'Данные 2st'!$PJ$2:$PJ$317),"")</f>
        <v>80.56666666666666</v>
      </c>
      <c r="SU68" s="7">
        <f>IFERROR(AVERAGEIF('Данные 2st'!$Q$2:$Q$317,$A68,'Данные 2st'!$PK$2:$PK$317),"")</f>
        <v>2390.5</v>
      </c>
      <c r="SV68" s="7">
        <f>IFERROR(AVERAGEIF('Данные 2st'!$Q$2:$Q$317,$A68,'Данные 2st'!$PL$2:$PL$317),"")</f>
        <v>1347.2166666666667</v>
      </c>
      <c r="SW68" s="7">
        <f>IFERROR(AVERAGEIF('Данные 2st'!$Q$2:$Q$317,$A68,'Данные 2st'!$PM$2:$PM$317),"")</f>
        <v>771.6999999999999</v>
      </c>
      <c r="SX68" s="7">
        <f>IFERROR(AVERAGEIF('Данные 2st'!$Q$2:$Q$317,$A68,'Данные 2st'!$PN$2:$PN$317),"")</f>
        <v>108.13333333333334</v>
      </c>
      <c r="SY68" s="7">
        <f>IFERROR(AVERAGEIF('Данные 2st'!$Q$2:$Q$317,$A68,'Данные 2st'!$PO$2:$PO$317),"")</f>
        <v>9.8</v>
      </c>
      <c r="SZ68" s="7">
        <f>IFERROR(AVERAGEIF('Данные 2st'!$Q$2:$Q$317,$A68,'Данные 2st'!$PP$2:$PP$317),"")</f>
        <v>12</v>
      </c>
      <c r="TA68" s="7">
        <f>IFERROR(AVERAGEIF('Данные 2st'!$Q$2:$Q$317,$A68,'Данные 2st'!$PQ$2:$PQ$317),"")</f>
        <v>5</v>
      </c>
      <c r="TB68" s="7">
        <f>IFERROR(AVERAGEIF('Данные 2st'!$Q$2:$Q$317,$A68,'Данные 2st'!$PR$2:$PR$317),"")</f>
        <v>5</v>
      </c>
      <c r="TC68" s="7">
        <f>IFERROR(AVERAGEIF('Данные 2st'!$Q$2:$Q$317,$A68,'Данные 2st'!$PS$2:$PS$317),"")</f>
        <v>0</v>
      </c>
      <c r="TD68" s="7">
        <f>IFERROR(AVERAGEIF('Данные 2st'!$Q$2:$Q$317,$A68,'Данные 2st'!$PT$2:$PT$317),"")</f>
        <v>260</v>
      </c>
      <c r="TE68" s="7">
        <f>IFERROR(AVERAGEIF('Данные 2st'!$Q$2:$Q$317,$A68,'Данные 2st'!$PU$2:$PU$317),"")</f>
        <v>10.5</v>
      </c>
      <c r="TF68" s="7">
        <f>IFERROR(AVERAGEIF('Данные 2st'!$Q$2:$Q$317,$A68,'Данные 2st'!$PX$2:$PX$317),"")</f>
        <v>0</v>
      </c>
      <c r="TG68" s="7">
        <f>IFERROR(AVERAGEIF('Данные 2st'!$Q$2:$Q$317,$A68,'Данные 2st'!$PY$2:$PY$317),"")</f>
        <v>0</v>
      </c>
      <c r="TH68" s="7">
        <f>IFERROR(AVERAGEIF('Данные 2st'!$Q$2:$Q$317,$A68,'Данные 2st'!$PZ$2:$PZ$317),"")</f>
        <v>0</v>
      </c>
      <c r="TI68" s="7">
        <f>IFERROR(AVERAGEIF('Данные 2st'!$Q$2:$Q$317,$A68,'Данные 2st'!$QA$2:$QA$317),"")</f>
        <v>0</v>
      </c>
      <c r="TJ68" s="7">
        <f>IFERROR(AVERAGEIF('Данные 2st'!$Q$2:$Q$317,$A68,'Данные 2st'!$QB$2:$QB$317),"")</f>
        <v>0</v>
      </c>
      <c r="TK68" s="7">
        <f>IFERROR(AVERAGEIF('Данные 2st'!$Q$2:$Q$317,$A68,'Данные 2st'!$QC$2:$QC$317),"")</f>
        <v>0</v>
      </c>
      <c r="TL68" s="7">
        <f>IFERROR(AVERAGEIF('Данные 2st'!$Q$2:$Q$317,$A68,'Данные 2st'!$QD$2:$QD$317),"")</f>
        <v>0</v>
      </c>
      <c r="TM68" s="7">
        <f>IFERROR(AVERAGEIF('Данные 2st'!$Q$2:$Q$317,$A68,'Данные 2st'!$QE$2:$QE$317),"")</f>
        <v>-1</v>
      </c>
      <c r="TN68" s="7">
        <f>IFERROR(AVERAGEIF('Данные 2st'!$Q$2:$Q$317,$A68,'Данные 2st'!$QF$2:$QF$317),"")</f>
        <v>1</v>
      </c>
      <c r="TO68" s="7">
        <f>IFERROR(AVERAGEIF('Данные 2st'!$Q$2:$Q$317,$A68,'Данные 2st'!$QG$2:$QG$317),"")</f>
        <v>0</v>
      </c>
      <c r="TP68" s="7">
        <f>IFERROR(AVERAGEIF('Данные 2st'!$Q$2:$Q$317,$A68,'Данные 2st'!$QH$2:$QH$317),"")</f>
        <v>5</v>
      </c>
      <c r="TQ68" s="7">
        <f>IFERROR(AVERAGEIF('Данные 2st'!$Q$2:$Q$317,$A68,'Данные 2st'!$QI$2:$QI$317),"")</f>
        <v>5</v>
      </c>
      <c r="TR68" s="7">
        <f>IFERROR(AVERAGEIF('Данные 2st'!$Q$2:$Q$317,$A68,'Данные 2st'!$QJ$2:$QJ$317),"")</f>
        <v>5</v>
      </c>
      <c r="TS68" s="7">
        <f>IFERROR(AVERAGEIF('Данные 2st'!$Q$2:$Q$317,$A68,'Данные 2st'!$QK$2:$QK$317),"")</f>
        <v>207.83333333333334</v>
      </c>
      <c r="TT68" s="7">
        <f>IFERROR(AVERAGEIF('Данные 2st'!$Q$2:$Q$317,$A68,'Данные 2st'!$QL$2:$QL$317),"")</f>
        <v>415</v>
      </c>
      <c r="TU68" s="7">
        <f>IFERROR(AVERAGEIF('Данные 2st'!$Q$2:$Q$317,$A68,'Данные 2st'!$QM$2:$QM$317),"")</f>
        <v>7.816666666666666</v>
      </c>
      <c r="TV68" s="7">
        <f>IFERROR(AVERAGEIF('Данные 2st'!$Q$2:$Q$317,$A68,'Данные 2st'!$QN$2:$QN$317),"")</f>
        <v>1624.0666666666666</v>
      </c>
      <c r="TW68" s="7">
        <f>IFERROR(AVERAGEIF('Данные 2st'!$Q$2:$Q$317,$A68,'Данные 2st'!$QQ$2:$QQ$317),"")</f>
        <v>0</v>
      </c>
      <c r="TX68" s="7">
        <f>IFERROR(AVERAGEIF('Данные 2st'!$Q$2:$Q$317,$A68,'Данные 2st'!$QS$2:$QS$317),"")</f>
        <v>40</v>
      </c>
      <c r="TY68" s="7">
        <f>IFERROR(AVERAGEIF('Данные 2st'!$Q$2:$Q$317,$A68,'Данные 2st'!$QT$2:$QT$317),"")</f>
        <v>50</v>
      </c>
    </row>
    <row r="69" spans="1:545" ht="32" customHeight="1">
      <c r="A69" s="11" t="s">
        <v>1754</v>
      </c>
      <c r="B69">
        <f>COUNTIF('Данные 1st'!$S$2:$S$317,$A69)</f>
        <v>1</v>
      </c>
      <c r="C69" s="6" t="s">
        <v>1460</v>
      </c>
      <c r="D69" s="6" t="s">
        <v>513</v>
      </c>
      <c r="E69" s="6" t="s">
        <v>567</v>
      </c>
      <c r="F69" s="6" t="s">
        <v>1752</v>
      </c>
      <c r="G69" s="7">
        <f>IFERROR(AVERAGEIF('Данные 1st'!$S$2:$S$317,$A69,'Данные 1st'!$AE$2:$AE$317),"")</f>
        <v>231</v>
      </c>
      <c r="H69" s="7">
        <f>IFERROR(AVERAGEIF('Данные 1st'!$S$2:$S$317,$A69,'Данные 1st'!$AF$2:$AF$317),"")</f>
        <v>1.5</v>
      </c>
      <c r="I69" s="7">
        <f>IFERROR(AVERAGEIF('Данные 1st'!$S$2:$S$317,$A69,'Данные 1st'!$AJ$2:$AJ$317),"")</f>
        <v>212.5</v>
      </c>
      <c r="J69" s="7">
        <f>IFERROR(AVERAGEIF('Данные 1st'!$S$2:$S$317,$A69,'Данные 1st'!$AL$2:$AL$317),"")</f>
        <v>1.5</v>
      </c>
      <c r="K69" s="7">
        <f>IFERROR(AVERAGEIF('Данные 1st'!$S$2:$S$317,$A69,'Данные 1st'!$AR$2:$AR$317),"")</f>
        <v>251</v>
      </c>
      <c r="L69" s="7">
        <f>IFERROR(AVERAGEIF('Данные 1st'!$S$2:$S$317,$A69,'Данные 1st'!$AS$2:$AS$317),"")</f>
        <v>1.5</v>
      </c>
      <c r="M69" s="7">
        <f>IFERROR(AVERAGEIF('Данные 1st'!$S$2:$S$317,$A69,'Данные 1st'!$AY$2:$AY$317),"")</f>
        <v>305</v>
      </c>
      <c r="N69" s="7">
        <f>IFERROR(AVERAGEIF('Данные 1st'!$S$2:$S$317,$A69,'Данные 1st'!$AZ$2:$AZ$317),"")</f>
        <v>1.5</v>
      </c>
      <c r="O69" s="7">
        <f>IFERROR(AVERAGEIF('Данные 1st'!$S$2:$S$317,$A69,'Данные 1st'!$BF$2:$BF$317),"")</f>
        <v>255</v>
      </c>
      <c r="P69" s="7">
        <f>IFERROR(AVERAGEIF('Данные 1st'!$S$2:$S$317,$A69,'Данные 1st'!$BG$2:$BG$317),"")</f>
        <v>1.5</v>
      </c>
      <c r="Q69" s="7">
        <f>IFERROR(AVERAGEIF('Данные 1st'!$S$2:$S$317,$A69,'Данные 1st'!$BM$2:$BM$317),"")</f>
        <v/>
      </c>
      <c r="R69" s="7">
        <f>IFERROR(AVERAGEIF('Данные 1st'!$S$2:$S$317,$A69,'Данные 1st'!$BN$2:$BN$317),"")</f>
        <v>1.5</v>
      </c>
      <c r="S69" s="7">
        <f>IFERROR(AVERAGEIF('Данные 1st'!$S$2:$S$317,$A69,'Данные 1st'!$BT$2:$BT$317),"")</f>
        <v>231</v>
      </c>
      <c r="T69" s="7">
        <f>IFERROR(AVERAGEIF('Данные 1st'!$S$2:$S$317,$A69,'Данные 1st'!$BU$2:$BU$317),"")</f>
        <v>0.5</v>
      </c>
      <c r="U69" s="7">
        <f>IFERROR(AVERAGEIF('Данные 1st'!$S$2:$S$317,$A69,'Данные 1st'!$BW$2:$BW$317),"")</f>
        <v>462</v>
      </c>
      <c r="V69" s="7">
        <f>IFERROR(AVERAGEIF('Данные 1st'!$S$2:$S$317,$A69,'Данные 1st'!$BX$2:$BX$317),"")</f>
        <v>1</v>
      </c>
      <c r="W69" s="7">
        <f>IFERROR(AVERAGEIF('Данные 1st'!$S$2:$S$317,$A69,'Данные 1st'!$BZ$2:$BZ$317),"")</f>
        <v>470</v>
      </c>
      <c r="X69" s="7">
        <f>IFERROR(AVERAGEIF('Данные 1st'!$S$2:$S$317,$A69,'Данные 1st'!$CA$2:$CA$317),"")</f>
        <v>530</v>
      </c>
      <c r="Y69" s="7">
        <f>IFERROR(AVERAGEIF('Данные 1st'!$S$2:$S$317,$A69,'Данные 1st'!$CD$2:$CD$317),"")</f>
        <v>480</v>
      </c>
      <c r="Z69" s="7">
        <f>IFERROR(AVERAGEIF('Данные 1st'!$S$2:$S$317,$A69,'Данные 1st'!$CF$2:$CF$317),"")</f>
        <v>15</v>
      </c>
      <c r="AA69" s="7">
        <f>IFERROR(AVERAGEIF('Данные 1st'!$S$2:$S$317,$A69,'Данные 1st'!$CI$2:$CI$317),"")</f>
        <v>30</v>
      </c>
      <c r="AB69" s="7">
        <f>IFERROR(AVERAGEIF('Данные 1st'!$S$2:$S$317,$A69,'Данные 1st'!$CJ$2:$CJ$317),"")</f>
        <v>1458</v>
      </c>
      <c r="AC69" s="7">
        <f>IFERROR(AVERAGEIF('Данные 1st'!$S$2:$S$317,$A69,'Данные 1st'!$CK$2:$CK$317),"")</f>
        <v>2</v>
      </c>
      <c r="AD69" s="7">
        <f>IFERROR(AVERAGEIF('Данные 1st'!$S$2:$S$317,$A69,'Данные 1st'!$CL$2:$CL$317),"")</f>
        <v>1552</v>
      </c>
      <c r="AE69" s="7">
        <f>IFERROR(AVERAGEIF('Данные 1st'!$S$2:$S$317,$A69,'Данные 1st'!$CM$2:$CM$317),"")</f>
        <v>2</v>
      </c>
      <c r="AF69" s="7">
        <f>IFERROR(AVERAGEIF('Данные 1st'!$S$2:$S$317,$A69,'Данные 1st'!$CT$2:$CT$317),"")</f>
        <v>425</v>
      </c>
      <c r="AG69" s="7">
        <f>IFERROR(AVERAGEIF('Данные 1st'!$S$2:$S$317,$A69,'Данные 1st'!$CU$2:$CU$317),"")</f>
        <v>5</v>
      </c>
      <c r="AH69" s="7">
        <f>IFERROR(AVERAGEIF('Данные 1st'!$S$2:$S$317,$A69,'Данные 1st'!$CV$2:$CV$317),"")</f>
        <v>1.2</v>
      </c>
      <c r="AI69" s="7">
        <f>IFERROR(AVERAGEIF('Данные 1st'!$S$2:$S$317,$A69,'Данные 1st'!$CW$2:$CW$317),"")</f>
        <v>1475</v>
      </c>
      <c r="AJ69" s="7">
        <f>IFERROR(AVERAGEIF('Данные 1st'!$S$2:$S$317,$A69,'Данные 1st'!$CX$2:$CX$317),"")</f>
        <v>888</v>
      </c>
      <c r="AK69" s="7">
        <f>IFERROR(AVERAGEIF('Данные 1st'!$S$2:$S$317,$A69,'Данные 1st'!$CZ$2:$CZ$317),"")</f>
        <v>50</v>
      </c>
      <c r="AL69" s="7">
        <f>IFERROR(AVERAGEIF('Данные 1st'!$S$2:$S$317,$A69,'Данные 1st'!$DA$2:$DA$317),"")</f>
        <v>3</v>
      </c>
      <c r="AM69" s="7">
        <f>IFERROR(AVERAGEIF('Данные 1st'!$S$2:$S$317,$A69,'Данные 1st'!$DB$2:$DB$317),"")</f>
        <v>1</v>
      </c>
      <c r="AN69" s="7">
        <f>IFERROR(AVERAGEIF('Данные 1st'!$S$2:$S$317,$A69,'Данные 1st'!$DC$2:$DC$317),"")</f>
        <v>1475</v>
      </c>
      <c r="AO69" s="7">
        <f>IFERROR(AVERAGEIF('Данные 1st'!$S$2:$S$317,$A69,'Данные 1st'!$DD$2:$DD$317),"")</f>
        <v>77</v>
      </c>
      <c r="AP69" s="7">
        <f>IFERROR(AVERAGEIF('Данные 1st'!$S$2:$S$317,$A69,'Данные 1st'!$DF$2:$DF$317),"")</f>
        <v>610</v>
      </c>
      <c r="AQ69" s="7">
        <f>IFERROR(AVERAGEIF('Данные 1st'!$S$2:$S$317,$A69,'Данные 1st'!$DG$2:$DG$317),"")</f>
        <v>3</v>
      </c>
      <c r="AR69" s="7">
        <f>IFERROR(AVERAGEIF('Данные 1st'!$S$2:$S$317,$A69,'Данные 1st'!$DH$2:$DH$317),"")</f>
        <v>0.88</v>
      </c>
      <c r="AS69" s="7">
        <f>IFERROR(AVERAGEIF('Данные 1st'!$S$2:$S$317,$A69,'Данные 1st'!$DI$2:$DI$317),"")</f>
        <v>1467</v>
      </c>
      <c r="AT69" s="7">
        <f>IFERROR(AVERAGEIF('Данные 1st'!$S$2:$S$317,$A69,'Данные 1st'!$DJ$2:$DJ$317),"")</f>
        <v>1043</v>
      </c>
      <c r="AU69" s="7">
        <f>IFERROR(AVERAGEIF('Данные 1st'!$S$2:$S$317,$A69,'Данные 1st'!$DL$2:$DL$317),"")</f>
        <v>510</v>
      </c>
      <c r="AV69" s="7">
        <f>IFERROR(AVERAGEIF('Данные 1st'!$S$2:$S$317,$A69,'Данные 1st'!$DM$2:$DM$317),"")</f>
        <v>3</v>
      </c>
      <c r="AW69" s="7">
        <f>IFERROR(AVERAGEIF('Данные 1st'!$S$2:$S$317,$A69,'Данные 1st'!$DN$2:$DN$317),"")</f>
        <v>0.88</v>
      </c>
      <c r="AX69" s="7">
        <f>IFERROR(AVERAGEIF('Данные 1st'!$S$2:$S$317,$A69,'Данные 1st'!$DO$2:$DO$317),"")</f>
        <v>1472</v>
      </c>
      <c r="AY69" s="7">
        <f>IFERROR(AVERAGEIF('Данные 1st'!$S$2:$S$317,$A69,'Данные 1st'!$DP$2:$DP$317),"")</f>
        <v>880</v>
      </c>
      <c r="AZ69" s="7">
        <f>IFERROR(AVERAGEIF('Данные 1st'!$S$2:$S$317,$A69,'Данные 1st'!$DR$2:$DR$317),"")</f>
        <v/>
      </c>
      <c r="BA69" s="7">
        <f>IFERROR(AVERAGEIF('Данные 1st'!$S$2:$S$317,$A69,'Данные 1st'!$DS$2:$DS$317),"")</f>
        <v/>
      </c>
      <c r="BB69" s="7">
        <f>IFERROR(AVERAGEIF('Данные 1st'!$S$2:$S$317,$A69,'Данные 1st'!$DT$2:$DT$317),"")</f>
        <v/>
      </c>
      <c r="BC69" s="7">
        <f>IFERROR(AVERAGEIF('Данные 1st'!$S$2:$S$317,$A69,'Данные 1st'!$DU$2:$DU$317),"")</f>
        <v/>
      </c>
      <c r="BD69" s="7">
        <f>IFERROR(AVERAGEIF('Данные 1st'!$S$2:$S$317,$A69,'Данные 1st'!$DV$2:$DV$317),"")</f>
        <v/>
      </c>
      <c r="BE69" s="7">
        <f>IFERROR(AVERAGEIF('Данные 1st'!$S$2:$S$317,$A69,'Данные 1st'!$DX$2:$DX$317),"")</f>
        <v>7.5</v>
      </c>
      <c r="BF69" s="7">
        <f>IFERROR(AVERAGEIF('Данные 1st'!$S$2:$S$317,$A69,'Данные 1st'!$EA$2:$EA$317),"")</f>
        <v>1544.1</v>
      </c>
      <c r="BG69" s="7">
        <f>IFERROR(AVERAGEIF('Данные 1st'!$S$2:$S$317,$A69,'Данные 1st'!$EB$2:$EB$317),"")</f>
        <v>364</v>
      </c>
      <c r="BH69" s="7">
        <f>IFERROR(AVERAGEIF('Данные 1st'!$S$2:$S$317,$A69,'Данные 1st'!$ED$2:$ED$317),"")</f>
        <v>40</v>
      </c>
      <c r="BI69" s="7">
        <f>IFERROR(AVERAGEIF('Данные 1st'!$S$2:$S$317,$A69,'Данные 1st'!$EE$2:$EE$317),"")</f>
        <v>3</v>
      </c>
      <c r="BJ69" s="7">
        <f>IFERROR(AVERAGEIF('Данные 1st'!$S$2:$S$317,$A69,'Данные 1st'!$EG$2:$EG$317),"")</f>
        <v>1595</v>
      </c>
      <c r="BK69" s="7">
        <f>IFERROR(AVERAGEIF('Данные 1st'!$S$2:$S$317,$A69,'Данные 1st'!$EH$2:$EH$317),"")</f>
        <v>254</v>
      </c>
      <c r="BL69" s="7">
        <f>IFERROR(AVERAGEIF('Данные 1st'!$S$2:$S$317,$A69,'Данные 1st'!$EJ$2:$EJ$317),"")</f>
        <v>0</v>
      </c>
      <c r="BM69" s="7">
        <f>IFERROR(AVERAGEIF('Данные 1st'!$S$2:$S$317,$A69,'Данные 1st'!$EK$2:$EK$317),"")</f>
        <v>1</v>
      </c>
      <c r="BN69" s="7">
        <f>IFERROR(AVERAGEIF('Данные 1st'!$S$2:$S$317,$A69,'Данные 1st'!$EN$2:$EN$317),"")</f>
        <v>0</v>
      </c>
      <c r="BO69" s="7">
        <f>IFERROR(AVERAGEIF('Данные 1st'!$S$2:$S$317,$A69,'Данные 1st'!$EQ$2:$EQ$317),"")</f>
        <v>95</v>
      </c>
      <c r="BP69" s="7">
        <f>IFERROR(AVERAGEIF('Данные 1st'!$S$2:$S$317,$A69,'Данные 1st'!$ER$2:$ER$317),"")</f>
        <v>3</v>
      </c>
      <c r="BQ69" s="7">
        <f>IFERROR(AVERAGEIF('Данные 1st'!$S$2:$S$317,$A69,'Данные 1st'!$ES$2:$ES$317),"")</f>
        <v>6</v>
      </c>
      <c r="BR69" s="7">
        <f>IFERROR(AVERAGEIF('Данные 1st'!$S$2:$S$317,$A69,'Данные 1st'!$ET$2:$ET$317),"")</f>
        <v>1457</v>
      </c>
      <c r="BS69" s="7">
        <f>IFERROR(AVERAGEIF('Данные 1st'!$S$2:$S$317,$A69,'Данные 1st'!$EU$2:$EU$317),"")</f>
        <v>449.4</v>
      </c>
      <c r="BT69" s="7">
        <f>IFERROR(AVERAGEIF('Данные 1st'!$S$2:$S$317,$A69,'Данные 1st'!$EV$2:$EV$317),"")</f>
        <v>655</v>
      </c>
      <c r="BU69" s="7">
        <f>IFERROR(AVERAGEIF('Данные 1st'!$S$2:$S$317,$A69,'Данные 1st'!$EX$2:$EX$317),"")</f>
        <v>45</v>
      </c>
      <c r="BV69" s="7">
        <f>IFERROR(AVERAGEIF('Данные 1st'!$S$2:$S$317,$A69,'Данные 1st'!$EY$2:$EY$317),"")</f>
        <v>2</v>
      </c>
      <c r="BW69" s="7">
        <f>IFERROR(AVERAGEIF('Данные 1st'!$S$2:$S$317,$A69,'Данные 1st'!$EZ$2:$EZ$317),"")</f>
        <v>4.5</v>
      </c>
      <c r="BX69" s="7">
        <f>IFERROR(AVERAGEIF('Данные 1st'!$S$2:$S$317,$A69,'Данные 1st'!$FA$2:$FA$317),"")</f>
        <v>1457</v>
      </c>
      <c r="BY69" s="7">
        <f>IFERROR(AVERAGEIF('Данные 1st'!$S$2:$S$317,$A69,'Данные 1st'!$FB$2:$FB$317),"")</f>
        <v>138.1</v>
      </c>
      <c r="BZ69" s="7">
        <f>IFERROR(AVERAGEIF('Данные 1st'!$S$2:$S$317,$A69,'Данные 1st'!$FC$2:$FC$317),"")</f>
        <v>201</v>
      </c>
      <c r="CA69" s="7">
        <f>IFERROR(AVERAGEIF('Данные 1st'!$S$2:$S$317,$A69,'Данные 1st'!$FE$2:$FE$317),"")</f>
        <v>0</v>
      </c>
      <c r="CB69" s="7">
        <f>IFERROR(AVERAGEIF('Данные 1st'!$S$2:$S$317,$A69,'Данные 1st'!$FF$2:$FF$317),"")</f>
        <v>2</v>
      </c>
      <c r="CC69" s="7">
        <f>IFERROR(AVERAGEIF('Данные 1st'!$S$2:$S$317,$A69,'Данные 1st'!$FI$2:$FI$317),"")</f>
        <v>0</v>
      </c>
      <c r="CD69" s="7">
        <f>IFERROR(AVERAGEIF('Данные 1st'!$S$2:$S$317,$A69,'Данные 1st'!$FL$2:$FL$317),"")</f>
        <v>0.4</v>
      </c>
      <c r="CE69" s="7">
        <f>IFERROR(AVERAGEIF('Данные 1st'!$S$2:$S$317,$A69,'Данные 1st'!$FM$2:$FM$317),"")</f>
        <v>45</v>
      </c>
      <c r="CF69" s="7">
        <f>IFERROR(AVERAGEIF('Данные 1st'!$S$2:$S$317,$A69,'Данные 1st'!$FN$2:$FN$317),"")</f>
        <v>400</v>
      </c>
      <c r="CG69" s="7">
        <f>IFERROR(AVERAGEIF('Данные 1st'!$S$2:$S$317,$A69,'Данные 1st'!$FO$2:$FO$317),"")</f>
        <v>80</v>
      </c>
      <c r="CH69" s="7">
        <f>IFERROR(AVERAGEIF('Данные 1st'!$S$2:$S$317,$A69,'Данные 1st'!$FP$2:$FP$317),"")</f>
        <v>180</v>
      </c>
      <c r="CI69" s="7">
        <f>IFERROR(AVERAGEIF('Данные 1st'!$S$2:$S$317,$A69,'Данные 1st'!$FS$2:$FS$317),"")</f>
        <v/>
      </c>
      <c r="CJ69" s="7">
        <f>IFERROR(AVERAGEIF('Данные 1st'!$S$2:$S$317,$A69,'Данные 1st'!$FT$2:$FT$317),"")</f>
        <v/>
      </c>
      <c r="CK69" s="7">
        <f>IFERROR(AVERAGEIF('Данные 1st'!$S$2:$S$317,$A69,'Данные 1st'!$FU$2:$FU$317),"")</f>
        <v/>
      </c>
      <c r="CL69" s="7">
        <f>IFERROR(AVERAGEIF('Данные 1st'!$S$2:$S$317,$A69,'Данные 1st'!$FV$2:$FV$317),"")</f>
        <v/>
      </c>
      <c r="CM69" s="7">
        <f>IFERROR(AVERAGEIF('Данные 1st'!$S$2:$S$317,$A69,'Данные 1st'!$FW$2:$FW$317),"")</f>
        <v/>
      </c>
      <c r="CN69" s="7">
        <f>IFERROR(AVERAGEIF('Данные 1st'!$S$2:$S$317,$A69,'Данные 1st'!$FZ$2:$FZ$317),"")</f>
        <v/>
      </c>
      <c r="CO69" s="7">
        <f>IFERROR(AVERAGEIF('Данные 1st'!$S$2:$S$317,$A69,'Данные 1st'!$GA$2:$GA$317),"")</f>
        <v/>
      </c>
      <c r="CP69" s="7">
        <f>IFERROR(AVERAGEIF('Данные 1st'!$S$2:$S$317,$A69,'Данные 1st'!$GB$2:$GB$317),"")</f>
        <v/>
      </c>
      <c r="CQ69" s="7">
        <f>IFERROR(AVERAGEIF('Данные 1st'!$S$2:$S$317,$A69,'Данные 1st'!$GH$2:$GH$317),"")</f>
        <v/>
      </c>
      <c r="CR69" s="7">
        <f>IFERROR(AVERAGEIF('Данные 1st'!$S$2:$S$317,$A69,'Данные 1st'!$GI$2:$GI$317),"")</f>
        <v/>
      </c>
      <c r="CS69" s="7">
        <f>IFERROR(AVERAGEIF('Данные 1st'!$S$2:$S$317,$A69,'Данные 1st'!$GJ$2:$GJ$317),"")</f>
        <v/>
      </c>
      <c r="CT69" s="7">
        <f>IFERROR(AVERAGEIF('Данные 1st'!$S$2:$S$317,$A69,'Данные 1st'!$GS$2:$GS$317),"")</f>
        <v>0.4</v>
      </c>
      <c r="CU69" s="7">
        <f>IFERROR(AVERAGEIF('Данные 1st'!$S$2:$S$317,$A69,'Данные 1st'!$GT$2:$GT$317),"")</f>
        <v>30</v>
      </c>
      <c r="CV69" s="7">
        <f>IFERROR(AVERAGEIF('Данные 1st'!$S$2:$S$317,$A69,'Данные 1st'!$GU$2:$GU$317),"")</f>
        <v>420</v>
      </c>
      <c r="CW69" s="7">
        <f>IFERROR(AVERAGEIF('Данные 1st'!$S$2:$S$317,$A69,'Данные 1st'!$GV$2:$GV$317),"")</f>
        <v/>
      </c>
      <c r="CX69" s="7">
        <f>IFERROR(AVERAGEIF('Данные 1st'!$S$2:$S$317,$A69,'Данные 1st'!$GW$2:$GW$317),"")</f>
        <v/>
      </c>
      <c r="CY69" s="7">
        <f>IFERROR(AVERAGEIF('Данные 1st'!$S$2:$S$317,$A69,'Данные 1st'!$GZ$2:$GZ$317),"")</f>
        <v>1.6</v>
      </c>
      <c r="CZ69" s="7">
        <f>IFERROR(AVERAGEIF('Данные 1st'!$S$2:$S$317,$A69,'Данные 1st'!$HA$2:$HA$317),"")</f>
        <v>20</v>
      </c>
      <c r="DA69" s="7">
        <f>IFERROR(AVERAGEIF('Данные 1st'!$S$2:$S$317,$A69,'Данные 1st'!$HB$2:$HB$317),"")</f>
        <v>206</v>
      </c>
      <c r="DB69" s="7">
        <f>IFERROR(AVERAGEIF('Данные 1st'!$S$2:$S$317,$A69,'Данные 1st'!$HC$2:$HC$317),"")</f>
        <v>0.1</v>
      </c>
      <c r="DC69" s="7">
        <f>IFERROR(AVERAGEIF('Данные 1st'!$S$2:$S$317,$A69,'Данные 1st'!$HD$2:$HD$317),"")</f>
        <v>3</v>
      </c>
      <c r="DD69" s="7">
        <f>IFERROR(AVERAGEIF('Данные 1st'!$S$2:$S$317,$A69,'Данные 1st'!$HE$2:$HE$317),"")</f>
        <v>3</v>
      </c>
      <c r="DE69" s="7">
        <f>IFERROR(AVERAGEIF('Данные 1st'!$S$2:$S$317,$A69,'Данные 1st'!$HF$2:$HF$317),"")</f>
        <v>3</v>
      </c>
      <c r="DF69" s="7">
        <f>IFERROR(AVERAGEIF('Данные 1st'!$S$2:$S$317,$A69,'Данные 1st'!$HG$2:$HG$317),"")</f>
        <v>3</v>
      </c>
      <c r="DG69" s="7">
        <f>IFERROR(AVERAGEIF('Данные 1st'!$S$2:$S$317,$A69,'Данные 1st'!$HH$2:$HH$317),"")</f>
        <v>3</v>
      </c>
      <c r="DH69" s="7">
        <f>IFERROR(AVERAGEIF('Данные 1st'!$S$2:$S$317,$A69,'Данные 1st'!$HI$2:$HI$317),"")</f>
        <v>125</v>
      </c>
      <c r="DI69" s="7">
        <f>IFERROR(AVERAGEIF('Данные 1st'!$S$2:$S$317,$A69,'Данные 1st'!$HJ$2:$HJ$317),"")</f>
        <v>3</v>
      </c>
      <c r="DJ69" s="7">
        <f>IFERROR(AVERAGEIF('Данные 1st'!$S$2:$S$317,$A69,'Данные 1st'!$HK$2:$HK$317),"")</f>
        <v>30</v>
      </c>
      <c r="DK69" s="7">
        <f>IFERROR(AVERAGEIF('Данные 1st'!$S$2:$S$317,$A69,'Данные 1st'!$HL$2:$HL$317),"")</f>
        <v>2</v>
      </c>
      <c r="DL69" s="7">
        <f>IFERROR(AVERAGEIF('Данные 1st'!$S$2:$S$317,$A69,'Данные 1st'!$HM$2:$HM$317),"")</f>
        <v>0</v>
      </c>
      <c r="DM69" s="7">
        <f>IFERROR(AVERAGEIF('Данные 1st'!$S$2:$S$317,$A69,'Данные 1st'!$HN$2:$HN$317),"")</f>
        <v>2</v>
      </c>
      <c r="DN69" s="7">
        <f>IFERROR(AVERAGEIF('Данные 1st'!$S$2:$S$317,$A69,'Данные 1st'!$HO$2:$HO$317),"")</f>
        <v>80</v>
      </c>
      <c r="DO69" s="7">
        <f>IFERROR(AVERAGEIF('Данные 1st'!$S$2:$S$317,$A69,'Данные 1st'!$HP$2:$HP$317),"")</f>
        <v>3</v>
      </c>
      <c r="DP69" s="7">
        <f>IFERROR(AVERAGEIF('Данные 1st'!$S$2:$S$317,$A69,'Данные 1st'!$HQ$2:$HQ$317),"")</f>
        <v>0</v>
      </c>
      <c r="DQ69" s="7">
        <f>IFERROR(AVERAGEIF('Данные 1st'!$S$2:$S$317,$A69,'Данные 1st'!$HR$2:$HR$317),"")</f>
        <v>2</v>
      </c>
      <c r="DR69" s="7">
        <f>IFERROR(AVERAGEIF('Данные 1st'!$S$2:$S$317,$A69,'Данные 1st'!$HS$2:$HS$317),"")</f>
        <v>5913</v>
      </c>
      <c r="DS69" s="7">
        <f>IFERROR(AVERAGEIF('Данные 1st'!$S$2:$S$317,$A69,'Данные 1st'!$HT$2:$HT$317),"")</f>
        <v>180</v>
      </c>
      <c r="DT69" s="7">
        <f>IFERROR(AVERAGEIF('Данные 1st'!$S$2:$S$317,$A69,'Данные 1st'!$HU$2:$HU$317),"")</f>
        <v>180</v>
      </c>
      <c r="DU69" s="7">
        <f>IFERROR(AVERAGEIF('Данные 1st'!$S$2:$S$317,$A69,'Данные 1st'!$HW$2:$HW$317),"")</f>
        <v>0</v>
      </c>
      <c r="DV69" s="7">
        <f>IFERROR(AVERAGEIF('Данные 1st'!$S$2:$S$317,$A69,'Данные 1st'!$HX$2:$HX$317),"")</f>
        <v>530</v>
      </c>
      <c r="DW69" s="7">
        <f>IFERROR(AVERAGEIF('Данные 1st'!$S$2:$S$317,$A69,'Данные 1st'!$HY$2:$HY$317),"")</f>
        <v>0.18</v>
      </c>
      <c r="DX69" s="7">
        <f>IFERROR(AVERAGEIF('Данные 1st'!$S$2:$S$317,$A69,'Данные 1st'!$IA$2:$IA$317),"")</f>
        <v>0.15</v>
      </c>
      <c r="DY69" s="7">
        <f>IFERROR(AVERAGEIF('Данные 1st'!$S$2:$S$317,$A69,'Данные 1st'!$IB$2:$IB$317),"")</f>
        <v>0</v>
      </c>
      <c r="DZ69" s="7">
        <f>IFERROR(AVERAGEIF('Данные 1st'!$S$2:$S$317,$A69,'Данные 1st'!$IC$2:$IC$317),"")</f>
        <v>180</v>
      </c>
      <c r="EA69" s="7">
        <f>IFERROR(AVERAGEIF('Данные 1st'!$S$2:$S$317,$A69,'Данные 1st'!$ID$2:$ID$317),"")</f>
        <v>110</v>
      </c>
      <c r="EB69" s="7">
        <f>IFERROR(AVERAGEIF('Данные 1st'!$S$2:$S$317,$A69,'Данные 1st'!$IE$2:$IE$317),"")</f>
        <v>225</v>
      </c>
      <c r="EC69" s="7">
        <f>IFERROR(AVERAGEIF('Данные 1st'!$S$2:$S$317,$A69,'Данные 1st'!$IF$2:$IF$317),"")</f>
        <v>0</v>
      </c>
      <c r="ED69" s="7">
        <f>IFERROR(AVERAGEIF('Данные 1st'!$S$2:$S$317,$A69,'Данные 1st'!$IP$2:$IP$317),"")</f>
        <v>19</v>
      </c>
      <c r="EE69" s="7">
        <f>IFERROR(AVERAGEIF('Данные 1st'!$S$2:$S$317,$A69,'Данные 1st'!$IV$2:$IV$317),"")</f>
        <v>1458</v>
      </c>
      <c r="EF69" s="7">
        <f>IFERROR(AVERAGEIF('Данные 1st'!$S$2:$S$317,$A69,'Данные 1st'!$IW$2:$IW$317),"")</f>
        <v>462</v>
      </c>
      <c r="EG69" s="7">
        <f>IFERROR(AVERAGEIF('Данные 1st'!$S$2:$S$317,$A69,'Данные 1st'!$IX$2:$IX$317),"")</f>
        <v/>
      </c>
      <c r="EH69" s="7">
        <f>IFERROR(AVERAGEIF('Данные 1st'!$S$2:$S$317,$A69,'Данные 1st'!$IY$2:$IY$317),"")</f>
        <v/>
      </c>
      <c r="EI69" s="7">
        <f>IFERROR(AVERAGEIF('Данные 1st'!$S$2:$S$317,$A69,'Данные 1st'!$JD$2:$JD$317),"")</f>
        <v>1475</v>
      </c>
      <c r="EJ69" s="7">
        <f>IFERROR(AVERAGEIF('Данные 1st'!$S$2:$S$317,$A69,'Данные 1st'!$JE$2:$JE$317),"")</f>
        <v>1467</v>
      </c>
      <c r="EK69" s="7">
        <f>IFERROR(AVERAGEIF('Данные 1st'!$S$2:$S$317,$A69,'Данные 1st'!$JF$2:$JF$317),"")</f>
        <v>1472</v>
      </c>
      <c r="EL69" s="7">
        <f>IFERROR(AVERAGEIF('Данные 1st'!$S$2:$S$317,$A69,'Данные 1st'!$JG$2:$JG$317),"")</f>
        <v>1457</v>
      </c>
      <c r="EM69" s="7">
        <f>IFERROR(AVERAGEIF('Данные 1st'!$S$2:$S$317,$A69,'Данные 1st'!$JH$2:$JH$317),"")</f>
        <v>0</v>
      </c>
      <c r="EN69" s="7">
        <f>IFERROR(AVERAGEIF('Данные 1st'!$S$2:$S$317,$A69,'Данные 1st'!$JJ$2:$JJ$317),"")</f>
        <v>180</v>
      </c>
      <c r="EO69" s="7">
        <f>IFERROR(AVERAGEIF('Данные 1st'!$S$2:$S$317,$A69,'Данные 1st'!$JK$2:$JK$317),"")</f>
        <v>530</v>
      </c>
      <c r="EP69" s="7">
        <f>IFERROR(AVERAGEIF('Данные 1st'!$S$2:$S$317,$A69,'Данные 1st'!$JL$2:$JL$317),"")</f>
        <v/>
      </c>
      <c r="EQ69" s="7">
        <f>IFERROR(AVERAGEIF('Данные 1st'!$S$2:$S$317,$A69,'Данные 1st'!$JM$2:$JM$317),"")</f>
        <v/>
      </c>
      <c r="ER69" s="7">
        <f>IFERROR(AVERAGEIF('Данные 1st'!$S$2:$S$317,$A69,'Данные 1st'!$JN$2:$JN$317),"")</f>
        <v>425</v>
      </c>
      <c r="ES69" s="7">
        <f>IFERROR(AVERAGEIF('Данные 1st'!$S$2:$S$317,$A69,'Данные 1st'!$JO$2:$JO$317),"")</f>
        <v>610</v>
      </c>
      <c r="ET69" s="7">
        <f>IFERROR(AVERAGEIF('Данные 1st'!$S$2:$S$317,$A69,'Данные 1st'!$JP$2:$JP$317),"")</f>
        <v>510</v>
      </c>
      <c r="EU69" s="7">
        <f>IFERROR(AVERAGEIF('Данные 1st'!$S$2:$S$317,$A69,'Данные 1st'!$JQ$2:$JQ$317),"")</f>
        <v>0</v>
      </c>
      <c r="EV69" s="7">
        <f>IFERROR(AVERAGEIF('Данные 1st'!$S$2:$S$317,$A69,'Данные 1st'!$JR$2:$JR$317),"")</f>
        <v>462</v>
      </c>
      <c r="EW69" s="7">
        <f>IFERROR(AVERAGEIF('Данные 1st'!$S$2:$S$317,$A69,'Данные 1st'!$JS$2:$JS$317),"")</f>
        <v>125</v>
      </c>
      <c r="EX69" s="7">
        <f>IFERROR(AVERAGEIF('Данные 1st'!$S$2:$S$317,$A69,'Данные 1st'!$JT$2:$JT$317),"")</f>
        <v/>
      </c>
      <c r="EY69" s="7">
        <f>IFERROR(AVERAGEIF('Данные 1st'!$S$2:$S$317,$A69,'Данные 1st'!$JU$2:$JU$317),"")</f>
        <v/>
      </c>
      <c r="EZ69" s="7">
        <f>IFERROR(AVERAGEIF('Данные 1st'!$S$2:$S$317,$A69,'Данные 1st'!$JV$2:$JV$317),"")</f>
        <v>8</v>
      </c>
      <c r="FA69" s="7">
        <f>IFERROR(AVERAGEIF('Данные 1st'!$S$2:$S$317,$A69,'Данные 1st'!$JW$2:$JW$317),"")</f>
        <v/>
      </c>
      <c r="FB69" s="7">
        <f>IFERROR(AVERAGEIF('Данные 1st'!$S$2:$S$317,$A69,'Данные 1st'!$JX$2:$JX$317),"")</f>
        <v>502</v>
      </c>
      <c r="FC69" s="7">
        <f>IFERROR(AVERAGEIF('Данные 1st'!$S$2:$S$317,$A69,'Данные 1st'!$JY$2:$JY$317),"")</f>
        <v/>
      </c>
      <c r="FD69" s="7">
        <f>IFERROR(AVERAGEIF('Данные 1st'!$S$2:$S$317,$A69,'Данные 1st'!$JZ$2:$JZ$317),"")</f>
        <v/>
      </c>
      <c r="FE69" s="7">
        <f>IFERROR(AVERAGEIF('Данные 1st'!$S$2:$S$317,$A69,'Данные 1st'!$KA$2:$KA$317),"")</f>
        <v>225</v>
      </c>
      <c r="FF69" s="7">
        <f>IFERROR(AVERAGEIF('Данные 1st'!$S$2:$S$317,$A69,'Данные 1st'!$KB$2:$KB$317),"")</f>
        <v>110</v>
      </c>
      <c r="FG69" s="7">
        <f>IFERROR(AVERAGEIF('Данные 1st'!$S$2:$S$317,$A69,'Данные 1st'!$KC$2:$KC$317),"")</f>
        <v>0</v>
      </c>
      <c r="FH69" s="7">
        <f>IFERROR(AVERAGEIF('Данные 1st'!$S$2:$S$317,$A69,'Данные 1st'!$KD$2:$KD$317),"")</f>
        <v>80</v>
      </c>
      <c r="FI69" s="7">
        <f>IFERROR(AVERAGEIF('Данные 1st'!$S$2:$S$317,$A69,'Данные 1st'!$KE$2:$KE$317),"")</f>
        <v/>
      </c>
      <c r="FJ69" s="7">
        <f>IFERROR(AVERAGEIF('Данные 1st'!$S$2:$S$317,$A69,'Данные 1st'!$KF$2:$KF$317),"")</f>
        <v>4</v>
      </c>
      <c r="FK69" s="7">
        <f>IFERROR(AVERAGEIF('Данные 1st'!$S$2:$S$317,$A69,'Данные 1st'!$KG$2:$KG$317),"")</f>
        <v>2</v>
      </c>
      <c r="FL69" s="7">
        <f>IFERROR(AVERAGEIF('Данные 1st'!$S$2:$S$317,$A69,'Данные 1st'!$KH$2:$KH$317),"")</f>
        <v>2</v>
      </c>
      <c r="FM69" s="7">
        <f>IFERROR(AVERAGEIF('Данные 1st'!$S$2:$S$317,$A69,'Данные 1st'!$KI$2:$KI$317),"")</f>
        <v>2</v>
      </c>
      <c r="FN69" s="7">
        <f>IFERROR(AVERAGEIF('Данные 1st'!$S$2:$S$317,$A69,'Данные 1st'!$KJ$2:$KJ$317),"")</f>
        <v>0</v>
      </c>
      <c r="FO69" s="7">
        <f>IFERROR(AVERAGEIF('Данные 1st'!$S$2:$S$317,$A69,'Данные 1st'!$KK$2:$KK$317),"")</f>
        <v>1.5</v>
      </c>
      <c r="FP69" s="7">
        <f>IFERROR(AVERAGEIF('Данные 1st'!$S$2:$S$317,$A69,'Данные 1st'!$KL$2:$KL$317),"")</f>
        <v>1.5</v>
      </c>
      <c r="FQ69" s="7">
        <f>IFERROR(AVERAGEIF('Данные 1st'!$S$2:$S$317,$A69,'Данные 1st'!$KM$2:$KM$317),"")</f>
        <v>0</v>
      </c>
      <c r="FR69" s="7">
        <f>IFERROR(AVERAGEIF('Данные 1st'!$S$2:$S$317,$A69,'Данные 1st'!$KN$2:$KN$317),"")</f>
        <v>0</v>
      </c>
      <c r="FS69" s="7">
        <f>IFERROR(AVERAGEIF('Данные 1st'!$S$2:$S$317,$A69,'Данные 1st'!$KR$2:$KR$317),"")</f>
        <v>30</v>
      </c>
      <c r="FT69" s="7">
        <f>IFERROR(AVERAGEIF('Данные 1st'!$S$2:$S$317,$A69,'Данные 1st'!$KS$2:$KS$317),"")</f>
        <v>60</v>
      </c>
      <c r="FU69" s="7">
        <f>IFERROR(AVERAGEIF('Данные 1st'!$S$2:$S$317,$A69,'Данные 1st'!$KT$2:$KT$317),"")</f>
        <v>0</v>
      </c>
      <c r="FV69" s="7">
        <f>IFERROR(AVERAGEIF('Данные 1st'!$S$2:$S$317,$A69,'Данные 1st'!$KV$2:$KV$317),"")</f>
        <v/>
      </c>
      <c r="FW69" s="7">
        <f>IFERROR(AVERAGEIF('Данные 1st'!$S$2:$S$317,$A69,'Данные 1st'!$KW$2:$KW$317),"")</f>
        <v/>
      </c>
      <c r="FX69" s="7">
        <f>IFERROR(AVERAGEIF('Данные 1st'!$S$2:$S$317,$A69,'Данные 1st'!$KX$2:$KX$317),"")</f>
        <v/>
      </c>
      <c r="FY69" s="7">
        <f>IFERROR(AVERAGEIF('Данные 1st'!$S$2:$S$317,$A69,'Данные 1st'!$KY$2:$KY$317),"")</f>
        <v/>
      </c>
      <c r="FZ69" s="7">
        <f>IFERROR(AVERAGEIF('Данные 1st'!$S$2:$S$317,$A69,'Данные 1st'!$KZ$2:$KZ$317),"")</f>
        <v/>
      </c>
      <c r="GA69" s="7">
        <f>IFERROR(AVERAGEIF('Данные 1st'!$S$2:$S$317,$A69,'Данные 1st'!$LA$2:$LA$317),"")</f>
        <v/>
      </c>
      <c r="GB69" s="7">
        <f>IFERROR(AVERAGEIF('Данные 1st'!$S$2:$S$317,$A69,'Данные 1st'!$LB$2:$LB$317),"")</f>
        <v/>
      </c>
      <c r="GC69" s="7">
        <f>IFERROR(AVERAGEIF('Данные 1st'!$S$2:$S$317,$A69,'Данные 1st'!$LC$2:$LC$317),"")</f>
        <v/>
      </c>
      <c r="GD69" s="7">
        <f>IFERROR(AVERAGEIF('Данные 1st'!$S$2:$S$317,$A69,'Данные 1st'!$LD$2:$LD$317),"")</f>
        <v/>
      </c>
      <c r="GE69" s="7">
        <f>IFERROR(AVERAGEIF('Данные 1st'!$S$2:$S$317,$A69,'Данные 1st'!$LE$2:$LE$317),"")</f>
        <v/>
      </c>
      <c r="GF69" s="7">
        <f>IFERROR(AVERAGEIF('Данные 1st'!$S$2:$S$317,$A69,'Данные 1st'!$LF$2:$LF$317),"")</f>
        <v/>
      </c>
      <c r="GG69" s="7">
        <f>IFERROR(AVERAGEIF('Данные 1st'!$S$2:$S$317,$A69,'Данные 1st'!$LG$2:$LG$317),"")</f>
        <v/>
      </c>
      <c r="GH69" s="7">
        <f>IFERROR(AVERAGEIF('Данные 1st'!$S$2:$S$317,$A69,'Данные 1st'!$LH$2:$LH$317),"")</f>
        <v/>
      </c>
      <c r="GI69" s="7">
        <f>IFERROR(AVERAGEIF('Данные 1st'!$S$2:$S$317,$A69,'Данные 1st'!$LI$2:$LI$317),"")</f>
        <v/>
      </c>
      <c r="GJ69" s="7">
        <f>IFERROR(AVERAGEIF('Данные 1st'!$S$2:$S$317,$A69,'Данные 1st'!$LJ$2:$LJ$317),"")</f>
        <v/>
      </c>
      <c r="GK69" s="7">
        <f>IFERROR(AVERAGEIF('Данные 1st'!$S$2:$S$317,$A69,'Данные 1st'!$LK$2:$LK$317),"")</f>
        <v>480</v>
      </c>
      <c r="GL69" s="7">
        <f>IFERROR(AVERAGEIF('Данные 1st'!$S$2:$S$317,$A69,'Данные 1st'!$LV$2:$LV$317),"")</f>
        <v/>
      </c>
      <c r="GM69" s="7">
        <f>IFERROR(AVERAGEIF('Данные 1st'!$S$2:$S$317,$A69,'Данные 1st'!$LW$2:$LW$317),"")</f>
        <v/>
      </c>
      <c r="GN69" s="7">
        <f>IFERROR(AVERAGEIF('Данные 1st'!$S$2:$S$317,$A69,'Данные 1st'!$LX$2:$LX$317),"")</f>
        <v/>
      </c>
      <c r="GO69" s="7">
        <f>IFERROR(AVERAGEIF('Данные 1st'!$S$2:$S$317,$A69,'Данные 1st'!$LY$2:$LY$317),"")</f>
        <v/>
      </c>
      <c r="GP69" s="7">
        <f>IFERROR(AVERAGEIF('Данные 1st'!$S$2:$S$317,$A69,'Данные 1st'!$LZ$2:$LZ$317),"")</f>
        <v/>
      </c>
      <c r="GQ69" s="7">
        <f>IFERROR(AVERAGEIF('Данные 1st'!$S$2:$S$317,$A69,'Данные 1st'!$PG$2:$PG$317),"")</f>
        <v>1</v>
      </c>
      <c r="GR69" s="7">
        <f>IFERROR(AVERAGEIF('Данные 1st'!$S$2:$S$317,$A69,'Данные 1st'!$PX$2:$PX$317),"")</f>
        <v>56</v>
      </c>
      <c r="GS69" s="7">
        <f>IFERROR(AVERAGEIF('Данные 1st'!$S$2:$S$317,$A69,'Данные 1st'!$PY$2:$PY$317),"")</f>
        <v>56</v>
      </c>
      <c r="GT69" s="7">
        <f>IFERROR(AVERAGEIF('Данные 1st'!$S$2:$S$317,$A69,'Данные 1st'!$QA$2:$QA$317),"")</f>
        <v>1</v>
      </c>
      <c r="GU69" s="7">
        <f>IFERROR(AVERAGEIF('Данные 1st'!$S$2:$S$317,$A69,'Данные 1st'!$QB$2:$QB$317),"")</f>
        <v>1457</v>
      </c>
      <c r="GV69" s="7">
        <f>IFERROR(AVERAGEIF('Данные 1st'!$S$2:$S$317,$A69,'Данные 1st'!$QC$2:$QC$317),"")</f>
        <v>69</v>
      </c>
      <c r="GW69" s="7">
        <f>IFERROR(AVERAGEIF('Данные 1st'!$S$2:$S$317,$A69,'Данные 1st'!$QD$2:$QD$317),"")</f>
        <v>69</v>
      </c>
      <c r="GX69" s="7">
        <f>IFERROR(AVERAGEIF('Данные 1st'!$S$2:$S$317,$A69,'Данные 1st'!$QF$2:$QF$317),"")</f>
        <v>1</v>
      </c>
      <c r="GY69" s="7">
        <f>IFERROR(AVERAGEIF('Данные 1st'!$S$2:$S$317,$A69,'Данные 1st'!$QG$2:$QG$317),"")</f>
        <v>1475</v>
      </c>
      <c r="GZ69" s="7">
        <f>IFERROR(AVERAGEIF('Данные 1st'!$S$2:$S$317,$A69,'Данные 1st'!$QH$2:$QH$317),"")</f>
        <v>66</v>
      </c>
      <c r="HA69" s="7">
        <f>IFERROR(AVERAGEIF('Данные 1st'!$S$2:$S$317,$A69,'Данные 1st'!$QI$2:$QI$317),"")</f>
        <v>66</v>
      </c>
      <c r="HB69" s="7">
        <f>IFERROR(AVERAGEIF('Данные 1st'!$S$2:$S$317,$A69,'Данные 1st'!$QK$2:$QK$317),"")</f>
        <v>1</v>
      </c>
      <c r="HC69" s="7">
        <f>IFERROR(AVERAGEIF('Данные 1st'!$S$2:$S$317,$A69,'Данные 1st'!$QL$2:$QL$317),"")</f>
        <v>1475</v>
      </c>
      <c r="HD69" s="7">
        <f>IFERROR(AVERAGEIF('Данные 1st'!$S$2:$S$317,$A69,'Данные 1st'!$QM$2:$QM$317),"")</f>
        <v>62</v>
      </c>
      <c r="HE69" s="7">
        <f>IFERROR(AVERAGEIF('Данные 1st'!$S$2:$S$317,$A69,'Данные 1st'!$QN$2:$QN$317),"")</f>
        <v>62</v>
      </c>
      <c r="HF69" s="7">
        <f>IFERROR(AVERAGEIF('Данные 1st'!$S$2:$S$317,$A69,'Данные 1st'!$QP$2:$QP$317),"")</f>
        <v>1</v>
      </c>
      <c r="HG69" s="7">
        <f>IFERROR(AVERAGEIF('Данные 1st'!$S$2:$S$317,$A69,'Данные 1st'!$QQ$2:$QQ$317),"")</f>
        <v>1467</v>
      </c>
      <c r="HH69" s="7">
        <f>IFERROR(AVERAGEIF('Данные 1st'!$S$2:$S$317,$A69,'Данные 1st'!$QR$2:$QR$317),"")</f>
        <v>63</v>
      </c>
      <c r="HI69" s="7">
        <f>IFERROR(AVERAGEIF('Данные 1st'!$S$2:$S$317,$A69,'Данные 1st'!$QS$2:$QS$317),"")</f>
        <v>63</v>
      </c>
      <c r="HJ69" s="7">
        <f>IFERROR(AVERAGEIF('Данные 1st'!$S$2:$S$317,$A69,'Данные 1st'!$QU$2:$QU$317),"")</f>
        <v>1</v>
      </c>
      <c r="HK69" s="7">
        <f>IFERROR(AVERAGEIF('Данные 1st'!$S$2:$S$317,$A69,'Данные 1st'!$QV$2:$QV$317),"")</f>
        <v>1472</v>
      </c>
      <c r="HL69" s="7">
        <f>IFERROR(AVERAGEIF('Данные 1st'!$S$2:$S$317,$A69,'Данные 1st'!$QW$2:$QW$317),"")</f>
        <v>82</v>
      </c>
      <c r="HM69" s="7">
        <f>IFERROR(AVERAGEIF('Данные 1st'!$S$2:$S$317,$A69,'Данные 1st'!$QX$2:$QX$317),"")</f>
        <v>88</v>
      </c>
      <c r="HN69" s="7">
        <f>IFERROR(AVERAGEIF('Данные 1st'!$S$2:$S$317,$A69,'Данные 1st'!$QZ$2:$QZ$317),"")</f>
        <v>1</v>
      </c>
      <c r="HO69" s="7">
        <f>IFERROR(AVERAGEIF('Данные 1st'!$S$2:$S$317,$A69,'Данные 1st'!$RA$2:$RA$317),"")</f>
        <v>66</v>
      </c>
      <c r="HP69" s="7">
        <f>IFERROR(AVERAGEIF('Данные 1st'!$S$2:$S$317,$A69,'Данные 1st'!$RB$2:$RB$317),"")</f>
        <v>66</v>
      </c>
      <c r="HQ69" s="7">
        <f>IFERROR(AVERAGEIF('Данные 1st'!$S$2:$S$317,$A69,'Данные 1st'!$RD$2:$RD$317),"")</f>
        <v/>
      </c>
      <c r="HR69" s="7">
        <f>IFERROR(AVERAGEIF('Данные 1st'!$S$2:$S$317,$A69,'Данные 1st'!$RE$2:$RE$317),"")</f>
        <v>0</v>
      </c>
      <c r="HS69" s="7">
        <f>IFERROR(AVERAGEIF('Данные 1st'!$S$2:$S$317,$A69,'Данные 1st'!$RF$2:$RF$317),"")</f>
        <v>1</v>
      </c>
      <c r="HT69" s="7">
        <f>IFERROR(AVERAGEIF('Данные 1st'!$S$2:$S$317,$A69,'Данные 1st'!$RG$2:$RG$317),"")</f>
        <v/>
      </c>
      <c r="HU69" s="7">
        <f>IFERROR(AVERAGEIF('Данные 1st'!$S$2:$S$317,$A69,'Данные 1st'!$RH$2:$RH$317),"")</f>
        <v/>
      </c>
      <c r="HV69" s="7">
        <f>IFERROR(AVERAGEIF('Данные 1st'!$S$2:$S$317,$A69,'Данные 1st'!$RI$2:$RI$317),"")</f>
        <v>1</v>
      </c>
      <c r="HW69" s="7">
        <f>IFERROR(AVERAGEIF('Данные 1st'!$S$2:$S$317,$A69,'Данные 1st'!$RJ$2:$RJ$317),"")</f>
        <v>1</v>
      </c>
      <c r="HX69" s="7">
        <f>IFERROR(AVERAGEIF('Данные 1st'!$S$2:$S$317,$A69,'Данные 1st'!$RK$2:$RK$317),"")</f>
        <v>2</v>
      </c>
      <c r="HY69" s="7">
        <f>IFERROR(AVERAGEIF('Данные 1st'!$S$2:$S$317,$A69,'Данные 1st'!$RL$2:$RL$317),"")</f>
        <v>3</v>
      </c>
      <c r="HZ69" s="7">
        <f>IFERROR(AVERAGEIF('Данные 1st'!$S$2:$S$317,$A69,'Данные 1st'!$RM$2:$RM$317),"")</f>
        <v>3</v>
      </c>
      <c r="IA69" s="7">
        <f>IFERROR(AVERAGEIF('Данные 1st'!$S$2:$S$317,$A69,'Данные 1st'!$RN$2:$RN$317),"")</f>
        <v/>
      </c>
      <c r="IB69" s="7">
        <f>IFERROR(AVERAGEIF('Данные 1st'!$S$2:$S$317,$A69,'Данные 1st'!$RO$2:$RO$317),"")</f>
        <v>602</v>
      </c>
      <c r="IC69" s="7">
        <f>IFERROR(AVERAGEIF('Данные 1st'!$S$2:$S$317,$A69,'Данные 1st'!$RP$2:$RP$317),"")</f>
        <v>105</v>
      </c>
      <c r="ID69" s="7">
        <f>IFERROR(AVERAGEIF('Данные 1st'!$S$2:$S$317,$A69,'Данные 1st'!$RQ$2:$RQ$317),"")</f>
        <v>711</v>
      </c>
      <c r="IE69" s="7">
        <f>IFERROR(AVERAGEIF('Данные 1st'!$S$2:$S$317,$A69,'Данные 1st'!$RR$2:$RR$317),"")</f>
        <v>598</v>
      </c>
      <c r="IF69" s="7">
        <f>IFERROR(AVERAGEIF('Данные 1st'!$S$2:$S$317,$A69,'Данные 1st'!$RS$2:$RS$317),"")</f>
        <v/>
      </c>
      <c r="IG69" s="7">
        <f>IFERROR(AVERAGEIF('Данные 1st'!$S$2:$S$317,$A69,'Данные 1st'!$RT$2:$RT$317),"")</f>
        <v>364</v>
      </c>
      <c r="IH69" s="7">
        <f>IFERROR(AVERAGEIF('Данные 1st'!$S$2:$S$317,$A69,'Данные 1st'!$RU$2:$RU$317),"")</f>
        <v>254</v>
      </c>
      <c r="II69" s="7">
        <f>IFERROR(AVERAGEIF('Данные 1st'!$S$2:$S$317,$A69,'Данные 1st'!$RX$2:$RX$317),"")</f>
        <v>15</v>
      </c>
      <c r="IJ69" s="7">
        <f>IFERROR(AVERAGEIF('Данные 1st'!$S$2:$S$317,$A69,'Данные 1st'!$RY$2:$RY$317),"")</f>
        <v>4</v>
      </c>
      <c r="IK69" s="7">
        <f>IFERROR(AVERAGEIF('Данные 1st'!$S$2:$S$317,$A69,'Данные 1st'!$SA$2:$SA$317),"")</f>
        <v>15</v>
      </c>
      <c r="IL69" s="7">
        <f>IFERROR(AVERAGEIF('Данные 1st'!$S$2:$S$317,$A69,'Данные 1st'!$SD$2:$SD$317),"")</f>
        <v>1</v>
      </c>
      <c r="IM69" s="7">
        <f>IFERROR(AVERAGEIF('Данные 1st'!$S$2:$S$317,$A69,'Данные 1st'!$SG$2:$SG$317),"")</f>
        <v>1</v>
      </c>
      <c r="IN69" s="7">
        <f>IFERROR(AVERAGEIF('Данные 1st'!$S$2:$S$317,$A69,'Данные 1st'!$SH$2:$SH$317),"")</f>
        <v>0.995</v>
      </c>
      <c r="IO69" s="7">
        <f>IFERROR(AVERAGEIF('Данные 1st'!$S$2:$S$317,$A69,'Данные 1st'!$SI$2:$SI$317),"")</f>
        <v>0.995</v>
      </c>
      <c r="IP69" s="7">
        <f>IFERROR(AVERAGEIF('Данные 1st'!$S$2:$S$317,$A69,'Данные 1st'!$SJ$2:$SJ$317),"")</f>
        <v>0.995</v>
      </c>
      <c r="IQ69" s="7">
        <f>IFERROR(AVERAGEIF('Данные 1st'!$S$2:$S$317,$A69,'Данные 1st'!$SK$2:$SK$317),"")</f>
        <v>15</v>
      </c>
      <c r="IR69" s="7">
        <f>IFERROR(AVERAGEIF('Данные 1st'!$S$2:$S$317,$A69,'Данные 1st'!$SL$2:$SL$317),"")</f>
        <v>0</v>
      </c>
      <c r="IS69" s="7">
        <f>IFERROR(AVERAGEIF('Данные 1st'!$S$2:$S$317,$A69,'Данные 1st'!$SM$2:$SM$317),"")</f>
        <v>0</v>
      </c>
      <c r="IT69" s="7">
        <f>IFERROR(AVERAGEIF('Данные 1st'!$S$2:$S$317,$A69,'Данные 1st'!$SN$2:$SN$317),"")</f>
        <v>0</v>
      </c>
      <c r="IU69" s="7">
        <f>IFERROR(AVERAGEIF('Данные 1st'!$S$2:$S$317,$A69,'Данные 1st'!$SO$2:$SO$317),"")</f>
        <v>0</v>
      </c>
      <c r="IV69" s="7">
        <f>IFERROR(AVERAGEIF('Данные 1st'!$S$2:$S$317,$A69,'Данные 1st'!$SP$2:$SP$317),"")</f>
        <v>0</v>
      </c>
      <c r="IW69" s="7">
        <f>IFERROR(AVERAGEIF('Данные 1st'!$S$2:$S$317,$A69,'Данные 1st'!$SQ$2:$SQ$317),"")</f>
        <v>0</v>
      </c>
      <c r="IX69" s="7">
        <f>IFERROR(AVERAGEIF('Данные 1st'!$S$2:$S$317,$A69,'Данные 1st'!$SR$2:$SR$317),"")</f>
        <v>0</v>
      </c>
      <c r="IY69" s="7">
        <f>IFERROR(AVERAGEIF('Данные 1st'!$S$2:$S$317,$A69,'Данные 1st'!$SS$2:$SS$317),"")</f>
        <v>0</v>
      </c>
      <c r="IZ69" s="7">
        <f>IFERROR(AVERAGEIF('Данные 1st'!$S$2:$S$317,$A69,'Данные 1st'!$ST$2:$ST$317),"")</f>
        <v>0</v>
      </c>
      <c r="JA69" s="7">
        <f>IFERROR(AVERAGEIF('Данные 1st'!$S$2:$S$317,$A69,'Данные 1st'!$SU$2:$SU$317),"")</f>
        <v>0</v>
      </c>
      <c r="JB69" s="7">
        <f>IFERROR(AVERAGEIF('Данные 1st'!$S$2:$S$317,$A69,'Данные 1st'!$SV$2:$SV$317),"")</f>
        <v>0</v>
      </c>
      <c r="JC69" s="7">
        <f>IFERROR(AVERAGEIF('Данные 1st'!$S$2:$S$317,$A69,'Данные 1st'!$SW$2:$SW$317),"")</f>
        <v>0</v>
      </c>
      <c r="JD69" s="7">
        <f>IFERROR(AVERAGEIF('Данные 1st'!$S$2:$S$317,$A69,'Данные 1st'!$SX$2:$SX$317),"")</f>
        <v>0</v>
      </c>
      <c r="JE69" s="7">
        <f>IFERROR(AVERAGEIF('Данные 1st'!$S$2:$S$317,$A69,'Данные 1st'!$SY$2:$SY$317),"")</f>
        <v>1</v>
      </c>
      <c r="JF69" s="7">
        <f>IFERROR(AVERAGEIF('Данные 1st'!$S$2:$S$317,$A69,'Данные 1st'!$SZ$2:$SZ$317),"")</f>
        <v>1</v>
      </c>
      <c r="JG69" s="7">
        <f>IFERROR(AVERAGEIF('Данные 1st'!$S$2:$S$317,$A69,'Данные 1st'!$TA$2:$TA$317),"")</f>
        <v/>
      </c>
      <c r="JH69" s="7">
        <f>IFERROR(AVERAGEIF('Данные 1st'!$S$2:$S$317,$A69,'Данные 1st'!$TB$2:$TB$317),"")</f>
        <v>0</v>
      </c>
      <c r="JI69" s="7">
        <f>IFERROR(AVERAGEIF('Данные 1st'!$S$2:$S$317,$A69,'Данные 1st'!$TC$2:$TC$317),"")</f>
        <v>0</v>
      </c>
      <c r="JJ69" s="7">
        <f>IFERROR(AVERAGEIF('Данные 1st'!$S$2:$S$317,$A69,'Данные 1st'!$TD$2:$TD$317),"")</f>
        <v>7.5</v>
      </c>
      <c r="JK69" s="7">
        <f>IFERROR(AVERAGEIF('Данные 1st'!$S$2:$S$317,$A69,'Данные 1st'!$TN$2:$TN$317),"")</f>
        <v>0</v>
      </c>
      <c r="JL69">
        <f>COUNTIF('Данные 2st'!$Q$2:$Q$317,$A69)</f>
        <v>1</v>
      </c>
      <c r="JM69" s="6" t="s">
        <v>1460</v>
      </c>
      <c r="JN69" s="6" t="s">
        <v>513</v>
      </c>
      <c r="JO69" s="6" t="s">
        <v>567</v>
      </c>
      <c r="JP69" s="6" t="s">
        <v>1753</v>
      </c>
      <c r="JQ69" s="7">
        <f>IFERROR(AVERAGEIF('Данные 2st'!$Q$2:$Q$317,$A69,'Данные 2st'!$AC$2:$AC$317),"")</f>
        <v>13</v>
      </c>
      <c r="JR69" s="7">
        <f>IFERROR(AVERAGEIF('Данные 2st'!$Q$2:$Q$317,$A69,'Данные 2st'!$AF$2:$AF$317),"")</f>
        <v>5913</v>
      </c>
      <c r="JS69" s="7">
        <f>IFERROR(AVERAGEIF('Данные 2st'!$Q$2:$Q$317,$A69,'Данные 2st'!$AW$2:$AW$317),"")</f>
        <v>6.4</v>
      </c>
      <c r="JT69" s="7">
        <f>IFERROR(AVERAGEIF('Данные 2st'!$Q$2:$Q$317,$A69,'Данные 2st'!$AX$2:$AX$317),"")</f>
        <v>-6</v>
      </c>
      <c r="JU69" s="7">
        <f>IFERROR(AVERAGEIF('Данные 2st'!$Q$2:$Q$317,$A69,'Данные 2st'!$AY$2:$AY$317),"")</f>
        <v>118.5</v>
      </c>
      <c r="JV69" s="7">
        <f>IFERROR(AVERAGEIF('Данные 2st'!$Q$2:$Q$317,$A69,'Данные 2st'!$AZ$2:$AZ$317),"")</f>
        <v>109</v>
      </c>
      <c r="JW69" s="7">
        <f>IFERROR(AVERAGEIF('Данные 2st'!$Q$2:$Q$317,$A69,'Данные 2st'!$BA$2:$BA$317),"")</f>
        <v/>
      </c>
      <c r="JX69" s="7">
        <f>IFERROR(AVERAGEIF('Данные 2st'!$Q$2:$Q$317,$A69,'Данные 2st'!$BB$2:$BB$317),"")</f>
        <v/>
      </c>
      <c r="JY69" s="7">
        <f>IFERROR(AVERAGEIF('Данные 2st'!$Q$2:$Q$317,$A69,'Данные 2st'!$BC$2:$BC$317),"")</f>
        <v/>
      </c>
      <c r="JZ69" s="7">
        <f>IFERROR(AVERAGEIF('Данные 2st'!$Q$2:$Q$317,$A69,'Данные 2st'!$BH$2:$BH$317),"")</f>
        <v>118.5</v>
      </c>
      <c r="KA69" s="7">
        <f>IFERROR(AVERAGEIF('Данные 2st'!$Q$2:$Q$317,$A69,'Данные 2st'!$BI$2:$BI$317),"")</f>
        <v>9.5</v>
      </c>
      <c r="KB69" s="7">
        <f>IFERROR(AVERAGEIF('Данные 2st'!$Q$2:$Q$317,$A69,'Данные 2st'!$BJ$2:$BJ$317),"")</f>
        <v>109</v>
      </c>
      <c r="KC69" s="7">
        <f>IFERROR(AVERAGEIF('Данные 2st'!$Q$2:$Q$317,$A69,'Данные 2st'!$BK$2:$BK$317),"")</f>
        <v>3.5</v>
      </c>
      <c r="KD69" s="7">
        <f>IFERROR(AVERAGEIF('Данные 2st'!$Q$2:$Q$317,$A69,'Данные 2st'!$BL$2:$BL$317),"")</f>
        <v>237</v>
      </c>
      <c r="KE69" s="7">
        <f>IFERROR(AVERAGEIF('Данные 2st'!$Q$2:$Q$317,$A69,'Данные 2st'!$BM$2:$BM$317),"")</f>
        <v>-6</v>
      </c>
      <c r="KF69" s="7">
        <f>IFERROR(AVERAGEIF('Данные 2st'!$Q$2:$Q$317,$A69,'Данные 2st'!$BN$2:$BN$317),"")</f>
        <v>0</v>
      </c>
      <c r="KG69" s="7">
        <f>IFERROR(AVERAGEIF('Данные 2st'!$Q$2:$Q$317,$A69,'Данные 2st'!$BO$2:$BO$317),"")</f>
        <v/>
      </c>
      <c r="KH69" s="7">
        <f>IFERROR(AVERAGEIF('Данные 2st'!$Q$2:$Q$317,$A69,'Данные 2st'!$BP$2:$BP$317),"")</f>
        <v>0</v>
      </c>
      <c r="KI69" s="7">
        <f>IFERROR(AVERAGEIF('Данные 2st'!$Q$2:$Q$317,$A69,'Данные 2st'!$BR$2:$BR$317),"")</f>
        <v>230</v>
      </c>
      <c r="KJ69" s="7">
        <f>IFERROR(AVERAGEIF('Данные 2st'!$Q$2:$Q$317,$A69,'Данные 2st'!$BS$2:$BS$317),"")</f>
        <v>220</v>
      </c>
      <c r="KK69" s="7">
        <f>IFERROR(AVERAGEIF('Данные 2st'!$Q$2:$Q$317,$A69,'Данные 2st'!$BT$2:$BT$317),"")</f>
        <v>2165</v>
      </c>
      <c r="KL69" s="7">
        <f>IFERROR(AVERAGEIF('Данные 2st'!$Q$2:$Q$317,$A69,'Данные 2st'!$CV$2:$CV$317),"")</f>
        <v>143</v>
      </c>
      <c r="KM69" s="7">
        <f>IFERROR(AVERAGEIF('Данные 2st'!$Q$2:$Q$317,$A69,'Данные 2st'!$CW$2:$CW$317),"")</f>
        <v>3</v>
      </c>
      <c r="KN69" s="7">
        <f>IFERROR(AVERAGEIF('Данные 2st'!$Q$2:$Q$317,$A69,'Данные 2st'!$CX$2:$CX$317),"")</f>
        <v>124</v>
      </c>
      <c r="KO69" s="7">
        <f>IFERROR(AVERAGEIF('Данные 2st'!$Q$2:$Q$317,$A69,'Данные 2st'!$CY$2:$CY$317),"")</f>
        <v>5</v>
      </c>
      <c r="KP69" s="7">
        <f>IFERROR(AVERAGEIF('Данные 2st'!$Q$2:$Q$317,$A69,'Данные 2st'!$CZ$2:$CZ$317),"")</f>
        <v>163</v>
      </c>
      <c r="KQ69" s="7">
        <f>IFERROR(AVERAGEIF('Данные 2st'!$Q$2:$Q$317,$A69,'Данные 2st'!$DA$2:$DA$317),"")</f>
        <v>5</v>
      </c>
      <c r="KR69" s="7">
        <f>IFERROR(AVERAGEIF('Данные 2st'!$Q$2:$Q$317,$A69,'Данные 2st'!$DB$2:$DB$317),"")</f>
        <v>13740</v>
      </c>
      <c r="KS69" s="7">
        <f>IFERROR(AVERAGEIF('Данные 2st'!$Q$2:$Q$317,$A69,'Данные 2st'!$DC$2:$DC$317),"")</f>
        <v>410</v>
      </c>
      <c r="KT69" s="7">
        <f>IFERROR(AVERAGEIF('Данные 2st'!$Q$2:$Q$317,$A69,'Данные 2st'!$DD$2:$DD$317),"")</f>
        <v>360</v>
      </c>
      <c r="KU69" s="7">
        <f>IFERROR(AVERAGEIF('Данные 2st'!$Q$2:$Q$317,$A69,'Данные 2st'!$DE$2:$DE$317),"")</f>
        <v>2285</v>
      </c>
      <c r="KV69" s="7">
        <f>IFERROR(AVERAGEIF('Данные 2st'!$Q$2:$Q$317,$A69,'Данные 2st'!$DF$2:$DF$317),"")</f>
        <v>2280</v>
      </c>
      <c r="KW69" s="7">
        <f>IFERROR(AVERAGEIF('Данные 2st'!$Q$2:$Q$317,$A69,'Данные 2st'!$DG$2:$DG$317),"")</f>
        <v>2295</v>
      </c>
      <c r="KX69" s="7">
        <f>IFERROR(AVERAGEIF('Данные 2st'!$Q$2:$Q$317,$A69,'Данные 2st'!$DH$2:$DH$317),"")</f>
        <v>1</v>
      </c>
      <c r="KY69" s="7">
        <f>IFERROR(AVERAGEIF('Данные 2st'!$Q$2:$Q$317,$A69,'Данные 2st'!$DI$2:$DI$317),"")</f>
        <v/>
      </c>
      <c r="KZ69" s="7">
        <f>IFERROR(AVERAGEIF('Данные 2st'!$Q$2:$Q$317,$A69,'Данные 2st'!$DK$2:$DK$317),"")</f>
        <v>230</v>
      </c>
      <c r="LA69" s="7">
        <f>IFERROR(AVERAGEIF('Данные 2st'!$Q$2:$Q$317,$A69,'Данные 2st'!$DM$2:$DM$317),"")</f>
        <v>65</v>
      </c>
      <c r="LB69" s="7">
        <f>IFERROR(AVERAGEIF('Данные 2st'!$Q$2:$Q$317,$A69,'Данные 2st'!$DN$2:$DN$317),"")</f>
        <v>1.36</v>
      </c>
      <c r="LC69" s="7">
        <f>IFERROR(AVERAGEIF('Данные 2st'!$Q$2:$Q$317,$A69,'Данные 2st'!$DO$2:$DO$317),"")</f>
        <v>1</v>
      </c>
      <c r="LD69" s="7">
        <f>IFERROR(AVERAGEIF('Данные 2st'!$Q$2:$Q$317,$A69,'Данные 2st'!$DP$2:$DP$317),"")</f>
        <v>2169</v>
      </c>
      <c r="LE69" s="7">
        <f>IFERROR(AVERAGEIF('Данные 2st'!$Q$2:$Q$317,$A69,'Данные 2st'!$DQ$2:$DQ$317),"")</f>
        <v>1256</v>
      </c>
      <c r="LF69" s="7">
        <f>IFERROR(AVERAGEIF('Данные 2st'!$Q$2:$Q$317,$A69,'Данные 2st'!$DS$2:$DS$317),"")</f>
        <v>220</v>
      </c>
      <c r="LG69" s="7">
        <f>IFERROR(AVERAGEIF('Данные 2st'!$Q$2:$Q$317,$A69,'Данные 2st'!$DU$2:$DU$317),"")</f>
        <v>65</v>
      </c>
      <c r="LH69" s="7">
        <f>IFERROR(AVERAGEIF('Данные 2st'!$Q$2:$Q$317,$A69,'Данные 2st'!$DV$2:$DV$317),"")</f>
        <v>1.36</v>
      </c>
      <c r="LI69" s="7">
        <f>IFERROR(AVERAGEIF('Данные 2st'!$Q$2:$Q$317,$A69,'Данные 2st'!$DW$2:$DW$317),"")</f>
        <v>1</v>
      </c>
      <c r="LJ69" s="7">
        <f>IFERROR(AVERAGEIF('Данные 2st'!$Q$2:$Q$317,$A69,'Данные 2st'!$DX$2:$DX$317),"")</f>
        <v>2183</v>
      </c>
      <c r="LK69" s="7">
        <f>IFERROR(AVERAGEIF('Данные 2st'!$Q$2:$Q$317,$A69,'Данные 2st'!$DY$2:$DY$317),"")</f>
        <v>1209</v>
      </c>
      <c r="LL69" s="7">
        <f>IFERROR(AVERAGEIF('Данные 2st'!$Q$2:$Q$317,$A69,'Данные 2st'!$EA$2:$EA$317),"")</f>
        <v>20</v>
      </c>
      <c r="LM69" s="7">
        <f>IFERROR(AVERAGEIF('Данные 2st'!$Q$2:$Q$317,$A69,'Данные 2st'!$EC$2:$EC$317),"")</f>
        <v>0.8</v>
      </c>
      <c r="LN69" s="7">
        <f>IFERROR(AVERAGEIF('Данные 2st'!$Q$2:$Q$317,$A69,'Данные 2st'!$ED$2:$ED$317),"")</f>
        <v>2169</v>
      </c>
      <c r="LO69" s="7">
        <f>IFERROR(AVERAGEIF('Данные 2st'!$Q$2:$Q$317,$A69,'Данные 2st'!$EE$2:$EE$317),"")</f>
        <v>76</v>
      </c>
      <c r="LP69" s="7">
        <f>IFERROR(AVERAGEIF('Данные 2st'!$Q$2:$Q$317,$A69,'Данные 2st'!$EG$2:$EG$317),"")</f>
        <v>0</v>
      </c>
      <c r="LQ69" s="7">
        <f>IFERROR(AVERAGEIF('Данные 2st'!$Q$2:$Q$317,$A69,'Данные 2st'!$EI$2:$EI$317),"")</f>
        <v>0</v>
      </c>
      <c r="LR69" s="7">
        <f>IFERROR(AVERAGEIF('Данные 2st'!$Q$2:$Q$317,$A69,'Данные 2st'!$EJ$2:$EJ$317),"")</f>
        <v/>
      </c>
      <c r="LS69" s="7">
        <f>IFERROR(AVERAGEIF('Данные 2st'!$Q$2:$Q$317,$A69,'Данные 2st'!$EK$2:$EK$317),"")</f>
        <v/>
      </c>
      <c r="LT69" s="7">
        <f>IFERROR(AVERAGEIF('Данные 2st'!$Q$2:$Q$317,$A69,'Данные 2st'!$EM$2:$EM$317),"")</f>
        <v>12</v>
      </c>
      <c r="LU69" s="7">
        <f>IFERROR(AVERAGEIF('Данные 2st'!$Q$2:$Q$317,$A69,'Данные 2st'!$EN$2:$EN$317),"")</f>
        <v>0.5</v>
      </c>
      <c r="LV69" s="7">
        <f>IFERROR(AVERAGEIF('Данные 2st'!$Q$2:$Q$317,$A69,'Данные 2st'!$EO$2:$EO$317),"")</f>
        <v>0.96</v>
      </c>
      <c r="LW69" s="7">
        <f>IFERROR(AVERAGEIF('Данные 2st'!$Q$2:$Q$317,$A69,'Данные 2st'!$EP$2:$EP$317),"")</f>
        <v>2182.1</v>
      </c>
      <c r="LX69" s="7">
        <f>IFERROR(AVERAGEIF('Данные 2st'!$Q$2:$Q$317,$A69,'Данные 2st'!$EQ$2:$EQ$317),"")</f>
        <v>42448.66</v>
      </c>
      <c r="LY69" s="7">
        <f>IFERROR(AVERAGEIF('Данные 2st'!$Q$2:$Q$317,$A69,'Данные 2st'!$ER$2:$ER$317),"")</f>
        <v>3248.01</v>
      </c>
      <c r="LZ69" s="7">
        <f>IFERROR(AVERAGEIF('Данные 2st'!$Q$2:$Q$317,$A69,'Данные 2st'!$ES$2:$ES$317),"")</f>
        <v>0</v>
      </c>
      <c r="MA69" s="7">
        <f>IFERROR(AVERAGEIF('Данные 2st'!$Q$2:$Q$317,$A69,'Данные 2st'!$ET$2:$ET$317),"")</f>
        <v>0</v>
      </c>
      <c r="MB69" s="7">
        <f>IFERROR(AVERAGEIF('Данные 2st'!$Q$2:$Q$317,$A69,'Данные 2st'!$EU$2:$EU$317),"")</f>
        <v>1</v>
      </c>
      <c r="MC69" s="7">
        <f>IFERROR(AVERAGEIF('Данные 2st'!$Q$2:$Q$317,$A69,'Данные 2st'!$EV$2:$EV$317),"")</f>
        <v>45697</v>
      </c>
      <c r="MD69" s="7">
        <f>IFERROR(AVERAGEIF('Данные 2st'!$Q$2:$Q$317,$A69,'Данные 2st'!$EW$2:$EW$317),"")</f>
        <v>549</v>
      </c>
      <c r="ME69" s="7">
        <f>IFERROR(AVERAGEIF('Данные 2st'!$Q$2:$Q$317,$A69,'Данные 2st'!$EY$2:$EY$317),"")</f>
        <v>244</v>
      </c>
      <c r="MF69" s="7">
        <f>IFERROR(AVERAGEIF('Данные 2st'!$Q$2:$Q$317,$A69,'Данные 2st'!$FA$2:$FA$317),"")</f>
        <v>5.5</v>
      </c>
      <c r="MG69" s="7">
        <f>IFERROR(AVERAGEIF('Данные 2st'!$Q$2:$Q$317,$A69,'Данные 2st'!$FB$2:$FB$317),"")</f>
        <v>1</v>
      </c>
      <c r="MH69" s="7">
        <f>IFERROR(AVERAGEIF('Данные 2st'!$Q$2:$Q$317,$A69,'Данные 2st'!$FC$2:$FC$317),"")</f>
        <v>1</v>
      </c>
      <c r="MI69" s="7">
        <f>IFERROR(AVERAGEIF('Данные 2st'!$Q$2:$Q$317,$A69,'Данные 2st'!$FD$2:$FD$317),"")</f>
        <v>2212</v>
      </c>
      <c r="MJ69" s="7">
        <f>IFERROR(AVERAGEIF('Данные 2st'!$Q$2:$Q$317,$A69,'Данные 2st'!$FE$2:$FE$317),"")</f>
        <v>3316</v>
      </c>
      <c r="MK69" s="7">
        <f>IFERROR(AVERAGEIF('Данные 2st'!$Q$2:$Q$317,$A69,'Данные 2st'!$FG$2:$FG$317),"")</f>
        <v>244</v>
      </c>
      <c r="ML69" s="7">
        <f>IFERROR(AVERAGEIF('Данные 2st'!$Q$2:$Q$317,$A69,'Данные 2st'!$FI$2:$FI$317),"")</f>
        <v>1.6</v>
      </c>
      <c r="MM69" s="7">
        <f>IFERROR(AVERAGEIF('Данные 2st'!$Q$2:$Q$317,$A69,'Данные 2st'!$FJ$2:$FJ$317),"")</f>
        <v>2212</v>
      </c>
      <c r="MN69" s="7">
        <f>IFERROR(AVERAGEIF('Данные 2st'!$Q$2:$Q$317,$A69,'Данные 2st'!$FK$2:$FK$317),"")</f>
        <v>893</v>
      </c>
      <c r="MO69" s="7">
        <f>IFERROR(AVERAGEIF('Данные 2st'!$Q$2:$Q$317,$A69,'Данные 2st'!$FP$2:$FP$317),"")</f>
        <v>2212</v>
      </c>
      <c r="MP69" s="7">
        <f>IFERROR(AVERAGEIF('Данные 2st'!$Q$2:$Q$317,$A69,'Данные 2st'!$FQ$2:$FQ$317),"")</f>
        <v>265</v>
      </c>
      <c r="MQ69" s="7">
        <f>IFERROR(AVERAGEIF('Данные 2st'!$Q$2:$Q$317,$A69,'Данные 2st'!$FS$2:$FS$317),"")</f>
        <v>248</v>
      </c>
      <c r="MR69" s="7">
        <f>IFERROR(AVERAGEIF('Данные 2st'!$Q$2:$Q$317,$A69,'Данные 2st'!$FU$2:$FU$317),"")</f>
        <v>0.4</v>
      </c>
      <c r="MS69" s="7">
        <f>IFERROR(AVERAGEIF('Данные 2st'!$Q$2:$Q$317,$A69,'Данные 2st'!$FV$2:$FV$317),"")</f>
        <v>2212</v>
      </c>
      <c r="MT69" s="7">
        <f>IFERROR(AVERAGEIF('Данные 2st'!$Q$2:$Q$317,$A69,'Данные 2st'!$FW$2:$FW$317),"")</f>
        <v>244</v>
      </c>
      <c r="MU69" s="7">
        <f>IFERROR(AVERAGEIF('Данные 2st'!$Q$2:$Q$317,$A69,'Данные 2st'!$FY$2:$FY$317),"")</f>
        <v>5</v>
      </c>
      <c r="MV69" s="7">
        <f>IFERROR(AVERAGEIF('Данные 2st'!$Q$2:$Q$317,$A69,'Данные 2st'!$GB$2:$GB$317),"")</f>
        <v>2212</v>
      </c>
      <c r="MW69" s="7">
        <f>IFERROR(AVERAGEIF('Данные 2st'!$Q$2:$Q$317,$A69,'Данные 2st'!$GC$2:$GC$317),"")</f>
        <v>19</v>
      </c>
      <c r="MX69" s="7">
        <f>IFERROR(AVERAGEIF('Данные 2st'!$Q$2:$Q$317,$A69,'Данные 2st'!$GD$2:$GD$317),"")</f>
        <v>4737</v>
      </c>
      <c r="MY69" s="7">
        <f>IFERROR(AVERAGEIF('Данные 2st'!$Q$2:$Q$317,$A69,'Данные 2st'!$GN$2:$GN$317),"")</f>
        <v/>
      </c>
      <c r="MZ69" s="7">
        <f>IFERROR(AVERAGEIF('Данные 2st'!$Q$2:$Q$317,$A69,'Данные 2st'!$GQ$2:$GQ$317),"")</f>
        <v>0</v>
      </c>
      <c r="NA69" s="7">
        <f>IFERROR(AVERAGEIF('Данные 2st'!$Q$2:$Q$317,$A69,'Данные 2st'!$GV$2:$GV$317),"")</f>
        <v>7.5</v>
      </c>
      <c r="NB69" s="7">
        <f>IFERROR(AVERAGEIF('Данные 2st'!$Q$2:$Q$317,$A69,'Данные 2st'!$GW$2:$GW$317),"")</f>
        <v>9</v>
      </c>
      <c r="NC69" s="7">
        <f>IFERROR(AVERAGEIF('Данные 2st'!$Q$2:$Q$317,$A69,'Данные 2st'!$GX$2:$GX$317),"")</f>
        <v>0.5</v>
      </c>
      <c r="ND69" s="7">
        <f>IFERROR(AVERAGEIF('Данные 2st'!$Q$2:$Q$317,$A69,'Данные 2st'!$GY$2:$GY$317),"")</f>
        <v>222</v>
      </c>
      <c r="NE69" s="7">
        <f>IFERROR(AVERAGEIF('Данные 2st'!$Q$2:$Q$317,$A69,'Данные 2st'!$GZ$2:$GZ$317),"")</f>
        <v>3</v>
      </c>
      <c r="NF69" s="7">
        <f>IFERROR(AVERAGEIF('Данные 2st'!$Q$2:$Q$317,$A69,'Данные 2st'!$HA$2:$HA$317),"")</f>
        <v>274</v>
      </c>
      <c r="NG69" s="7">
        <f>IFERROR(AVERAGEIF('Данные 2st'!$Q$2:$Q$317,$A69,'Данные 2st'!$HB$2:$HB$317),"")</f>
        <v>3</v>
      </c>
      <c r="NH69" s="7">
        <f>IFERROR(AVERAGEIF('Данные 2st'!$Q$2:$Q$317,$A69,'Данные 2st'!$HC$2:$HC$317),"")</f>
        <v>2212</v>
      </c>
      <c r="NI69" s="7">
        <f>IFERROR(AVERAGEIF('Данные 2st'!$Q$2:$Q$317,$A69,'Данные 2st'!$HD$2:$HD$317),"")</f>
        <v>4</v>
      </c>
      <c r="NJ69" s="7">
        <f>IFERROR(AVERAGEIF('Данные 2st'!$Q$2:$Q$317,$A69,'Данные 2st'!$HM$2:$HM$317),"")</f>
        <v>19</v>
      </c>
      <c r="NK69" s="7">
        <f>IFERROR(AVERAGEIF('Данные 2st'!$Q$2:$Q$317,$A69,'Данные 2st'!$HR$2:$HR$317),"")</f>
        <v>1</v>
      </c>
      <c r="NL69" s="7">
        <f>IFERROR(AVERAGEIF('Данные 2st'!$Q$2:$Q$317,$A69,'Данные 2st'!$HS$2:$HS$317),"")</f>
        <v>2165</v>
      </c>
      <c r="NM69" s="7">
        <f>IFERROR(AVERAGEIF('Данные 2st'!$Q$2:$Q$317,$A69,'Данные 2st'!$HT$2:$HT$317),"")</f>
        <v>5</v>
      </c>
      <c r="NN69" s="7">
        <f>IFERROR(AVERAGEIF('Данные 2st'!$Q$2:$Q$317,$A69,'Данные 2st'!$HY$2:$HY$317),"")</f>
        <v>0</v>
      </c>
      <c r="NO69" s="7">
        <f>IFERROR(AVERAGEIF('Данные 2st'!$Q$2:$Q$317,$A69,'Данные 2st'!$HZ$2:$HZ$317),"")</f>
        <v>65</v>
      </c>
      <c r="NP69" s="7">
        <f>IFERROR(AVERAGEIF('Данные 2st'!$Q$2:$Q$317,$A69,'Данные 2st'!$IA$2:$IA$317),"")</f>
        <v>2169</v>
      </c>
      <c r="NQ69" s="7">
        <f>IFERROR(AVERAGEIF('Данные 2st'!$Q$2:$Q$317,$A69,'Данные 2st'!$IB$2:$IB$317),"")</f>
        <v>2183</v>
      </c>
      <c r="NR69" s="7">
        <f>IFERROR(AVERAGEIF('Данные 2st'!$Q$2:$Q$317,$A69,'Данные 2st'!$IC$2:$IC$317),"")</f>
        <v/>
      </c>
      <c r="NS69" s="7">
        <f>IFERROR(AVERAGEIF('Данные 2st'!$Q$2:$Q$317,$A69,'Данные 2st'!$ID$2:$ID$317),"")</f>
        <v>2212</v>
      </c>
      <c r="NT69" s="7">
        <f>IFERROR(AVERAGEIF('Данные 2st'!$Q$2:$Q$317,$A69,'Данные 2st'!$IE$2:$IE$317),"")</f>
        <v>2212</v>
      </c>
      <c r="NU69" s="7">
        <f>IFERROR(AVERAGEIF('Данные 2st'!$Q$2:$Q$317,$A69,'Данные 2st'!$IF$2:$IF$317),"")</f>
        <v>230</v>
      </c>
      <c r="NV69" s="7">
        <f>IFERROR(AVERAGEIF('Данные 2st'!$Q$2:$Q$317,$A69,'Данные 2st'!$IG$2:$IG$317),"")</f>
        <v>220</v>
      </c>
      <c r="NW69" s="7">
        <f>IFERROR(AVERAGEIF('Данные 2st'!$Q$2:$Q$317,$A69,'Данные 2st'!$IH$2:$IH$317),"")</f>
        <v>274</v>
      </c>
      <c r="NX69" s="7">
        <f>IFERROR(AVERAGEIF('Данные 2st'!$Q$2:$Q$317,$A69,'Данные 2st'!$IJ$2:$IJ$317),"")</f>
        <v>5</v>
      </c>
      <c r="NY69" s="7">
        <f>IFERROR(AVERAGEIF('Данные 2st'!$Q$2:$Q$317,$A69,'Данные 2st'!$IM$2:$IM$317),"")</f>
        <v>0</v>
      </c>
      <c r="NZ69" s="7">
        <f>IFERROR(AVERAGEIF('Данные 2st'!$Q$2:$Q$317,$A69,'Данные 2st'!$IN$2:$IN$317),"")</f>
        <v>270</v>
      </c>
      <c r="OA69" s="7">
        <f>IFERROR(AVERAGEIF('Данные 2st'!$Q$2:$Q$317,$A69,'Данные 2st'!$IO$2:$IO$317),"")</f>
        <v>0</v>
      </c>
      <c r="OB69" s="7">
        <f>IFERROR(AVERAGEIF('Данные 2st'!$Q$2:$Q$317,$A69,'Данные 2st'!$IP$2:$IP$317),"")</f>
        <v>180</v>
      </c>
      <c r="OC69" s="7">
        <f>IFERROR(AVERAGEIF('Данные 2st'!$Q$2:$Q$317,$A69,'Данные 2st'!$IQ$2:$IQ$317),"")</f>
        <v>0</v>
      </c>
      <c r="OD69" s="7">
        <f>IFERROR(AVERAGEIF('Данные 2st'!$Q$2:$Q$317,$A69,'Данные 2st'!$IR$2:$IR$317),"")</f>
        <v>330</v>
      </c>
      <c r="OE69" s="7">
        <f>IFERROR(AVERAGEIF('Данные 2st'!$Q$2:$Q$317,$A69,'Данные 2st'!$IT$2:$IT$317),"")</f>
        <v>90</v>
      </c>
      <c r="OF69" s="7">
        <f>IFERROR(AVERAGEIF('Данные 2st'!$Q$2:$Q$317,$A69,'Данные 2st'!$IU$2:$IU$317),"")</f>
        <v>0</v>
      </c>
      <c r="OG69" s="7">
        <f>IFERROR(AVERAGEIF('Данные 2st'!$Q$2:$Q$317,$A69,'Данные 2st'!$IV$2:$IV$317),"")</f>
        <v>6.4</v>
      </c>
      <c r="OH69" s="7">
        <f>IFERROR(AVERAGEIF('Данные 2st'!$Q$2:$Q$317,$A69,'Данные 2st'!$IW$2:$IW$317),"")</f>
        <v>-6</v>
      </c>
      <c r="OI69" s="7">
        <f>IFERROR(AVERAGEIF('Данные 2st'!$Q$2:$Q$317,$A69,'Данные 2st'!$IX$2:$IX$317),"")</f>
        <v>118.5</v>
      </c>
      <c r="OJ69" s="7">
        <f>IFERROR(AVERAGEIF('Данные 2st'!$Q$2:$Q$317,$A69,'Данные 2st'!$IY$2:$IY$317),"")</f>
        <v>109</v>
      </c>
      <c r="OK69" s="7">
        <f>IFERROR(AVERAGEIF('Данные 2st'!$Q$2:$Q$317,$A69,'Данные 2st'!$IZ$2:$IZ$317),"")</f>
        <v>0</v>
      </c>
      <c r="OL69" s="7">
        <f>IFERROR(AVERAGEIF('Данные 2st'!$Q$2:$Q$317,$A69,'Данные 2st'!$JA$2:$JA$317),"")</f>
        <v>0</v>
      </c>
      <c r="OM69" s="7">
        <f>IFERROR(AVERAGEIF('Данные 2st'!$Q$2:$Q$317,$A69,'Данные 2st'!$JB$2:$JB$317),"")</f>
        <v>0</v>
      </c>
      <c r="ON69" s="7">
        <f>IFERROR(AVERAGEIF('Данные 2st'!$Q$2:$Q$317,$A69,'Данные 2st'!$JC$2:$JC$317),"")</f>
        <v>0</v>
      </c>
      <c r="OO69" s="7">
        <f>IFERROR(AVERAGEIF('Данные 2st'!$Q$2:$Q$317,$A69,'Данные 2st'!$JD$2:$JD$317),"")</f>
        <v>0</v>
      </c>
      <c r="OP69" s="7">
        <f>IFERROR(AVERAGEIF('Данные 2st'!$Q$2:$Q$317,$A69,'Данные 2st'!$JE$2:$JE$317),"")</f>
        <v>0</v>
      </c>
      <c r="OQ69" s="7">
        <f>IFERROR(AVERAGEIF('Данные 2st'!$Q$2:$Q$317,$A69,'Данные 2st'!$JF$2:$JF$317),"")</f>
        <v>0</v>
      </c>
      <c r="OR69" s="7">
        <f>IFERROR(AVERAGEIF('Данные 2st'!$Q$2:$Q$317,$A69,'Данные 2st'!$JG$2:$JG$317),"")</f>
        <v>0</v>
      </c>
      <c r="OS69" s="7">
        <f>IFERROR(AVERAGEIF('Данные 2st'!$Q$2:$Q$317,$A69,'Данные 2st'!$JH$2:$JH$317),"")</f>
        <v>0</v>
      </c>
      <c r="OT69" s="7">
        <f>IFERROR(AVERAGEIF('Данные 2st'!$Q$2:$Q$317,$A69,'Данные 2st'!$JI$2:$JI$317),"")</f>
        <v>432</v>
      </c>
      <c r="OU69" s="7">
        <f>IFERROR(AVERAGEIF('Данные 2st'!$Q$2:$Q$317,$A69,'Данные 2st'!$JJ$2:$JJ$317),"")</f>
        <v>402</v>
      </c>
      <c r="OV69" s="7">
        <f>IFERROR(AVERAGEIF('Данные 2st'!$Q$2:$Q$317,$A69,'Данные 2st'!$JK$2:$JK$317),"")</f>
        <v>290</v>
      </c>
      <c r="OW69" s="7">
        <f>IFERROR(AVERAGEIF('Данные 2st'!$Q$2:$Q$317,$A69,'Данные 2st'!$JL$2:$JL$317),"")</f>
        <v>402</v>
      </c>
      <c r="OX69" s="7">
        <f>IFERROR(AVERAGEIF('Данные 2st'!$Q$2:$Q$317,$A69,'Данные 2st'!$JM$2:$JM$317),"")</f>
        <v>300</v>
      </c>
      <c r="OY69" s="7">
        <f>IFERROR(AVERAGEIF('Данные 2st'!$Q$2:$Q$317,$A69,'Данные 2st'!$JP$2:$JP$317),"")</f>
        <v>195</v>
      </c>
      <c r="OZ69" s="7">
        <f>IFERROR(AVERAGEIF('Данные 2st'!$Q$2:$Q$317,$A69,'Данные 2st'!$JQ$2:$JQ$317),"")</f>
        <v>245</v>
      </c>
      <c r="PA69" s="7">
        <f>IFERROR(AVERAGEIF('Данные 2st'!$Q$2:$Q$317,$A69,'Данные 2st'!$JR$2:$JR$317),"")</f>
        <v>328</v>
      </c>
      <c r="PB69" s="7">
        <f>IFERROR(AVERAGEIF('Данные 2st'!$Q$2:$Q$317,$A69,'Данные 2st'!$JS$2:$JS$317),"")</f>
        <v>276</v>
      </c>
      <c r="PC69" s="7">
        <f>IFERROR(AVERAGEIF('Данные 2st'!$Q$2:$Q$317,$A69,'Данные 2st'!$JT$2:$JT$317),"")</f>
        <v>0</v>
      </c>
      <c r="PD69" s="7">
        <f>IFERROR(AVERAGEIF('Данные 2st'!$Q$2:$Q$317,$A69,'Данные 2st'!$JU$2:$JU$317),"")</f>
        <v>0</v>
      </c>
      <c r="PE69" s="7">
        <f>IFERROR(AVERAGEIF('Данные 2st'!$Q$2:$Q$317,$A69,'Данные 2st'!$JV$2:$JV$317),"")</f>
        <v>330</v>
      </c>
      <c r="PF69" s="7">
        <f>IFERROR(AVERAGEIF('Данные 2st'!$Q$2:$Q$317,$A69,'Данные 2st'!$JW$2:$JW$317),"")</f>
        <v>280</v>
      </c>
      <c r="PG69" s="7">
        <f>IFERROR(AVERAGEIF('Данные 2st'!$Q$2:$Q$317,$A69,'Данные 2st'!$KF$2:$KF$317),"")</f>
        <v>0.18</v>
      </c>
      <c r="PH69" s="7">
        <f>IFERROR(AVERAGEIF('Данные 2st'!$Q$2:$Q$317,$A69,'Данные 2st'!$KG$2:$KG$317),"")</f>
        <v>0.11</v>
      </c>
      <c r="PI69" s="7">
        <f>IFERROR(AVERAGEIF('Данные 2st'!$Q$2:$Q$317,$A69,'Данные 2st'!$KM$2:$KM$317),"")</f>
        <v>0.5</v>
      </c>
      <c r="PJ69" s="7">
        <f>IFERROR(AVERAGEIF('Данные 2st'!$Q$2:$Q$317,$A69,'Данные 2st'!$KN$2:$KN$317),"")</f>
        <v>1.9</v>
      </c>
      <c r="PK69" s="7">
        <f>IFERROR(AVERAGEIF('Данные 2st'!$Q$2:$Q$317,$A69,'Данные 2st'!$KO$2:$KO$317),"")</f>
        <v>1</v>
      </c>
      <c r="PL69" s="7">
        <f>IFERROR(AVERAGEIF('Данные 2st'!$Q$2:$Q$317,$A69,'Данные 2st'!$KP$2:$KP$317),"")</f>
        <v>0</v>
      </c>
      <c r="PM69" s="7">
        <f>IFERROR(AVERAGEIF('Данные 2st'!$Q$2:$Q$317,$A69,'Данные 2st'!$KQ$2:$KQ$317),"")</f>
        <v>0.7</v>
      </c>
      <c r="PN69" s="7">
        <f>IFERROR(AVERAGEIF('Данные 2st'!$Q$2:$Q$317,$A69,'Данные 2st'!$KR$2:$KR$317),"")</f>
        <v>0.7</v>
      </c>
      <c r="PO69" s="7">
        <f>IFERROR(AVERAGEIF('Данные 2st'!$Q$2:$Q$317,$A69,'Данные 2st'!$KS$2:$KS$317),"")</f>
        <v>0</v>
      </c>
      <c r="PP69" s="7">
        <f>IFERROR(AVERAGEIF('Данные 2st'!$Q$2:$Q$317,$A69,'Данные 2st'!$KT$2:$KT$317),"")</f>
        <v>2.6</v>
      </c>
      <c r="PQ69" s="7">
        <f>IFERROR(AVERAGEIF('Данные 2st'!$Q$2:$Q$317,$A69,'Данные 2st'!$KU$2:$KU$317),"")</f>
        <v>0</v>
      </c>
      <c r="PR69" s="7">
        <f>IFERROR(AVERAGEIF('Данные 2st'!$Q$2:$Q$317,$A69,'Данные 2st'!$KV$2:$KV$317),"")</f>
        <v>0</v>
      </c>
      <c r="PS69" s="7">
        <f>IFERROR(AVERAGEIF('Данные 2st'!$Q$2:$Q$317,$A69,'Данные 2st'!$KW$2:$KW$317),"")</f>
        <v>1.2</v>
      </c>
      <c r="PT69" s="7">
        <f>IFERROR(AVERAGEIF('Данные 2st'!$Q$2:$Q$317,$A69,'Данные 2st'!$KX$2:$KX$317),"")</f>
        <v>1</v>
      </c>
      <c r="PU69" s="7">
        <f>IFERROR(AVERAGEIF('Данные 2st'!$Q$2:$Q$317,$A69,'Данные 2st'!$KY$2:$KY$317),"")</f>
        <v>1</v>
      </c>
      <c r="PV69" s="7">
        <f>IFERROR(AVERAGEIF('Данные 2st'!$Q$2:$Q$317,$A69,'Данные 2st'!$KZ$2:$KZ$317),"")</f>
        <v>0</v>
      </c>
      <c r="PW69" s="7">
        <f>IFERROR(AVERAGEIF('Данные 2st'!$Q$2:$Q$317,$A69,'Данные 2st'!$LA$2:$LA$317),"")</f>
        <v>0</v>
      </c>
      <c r="PX69" s="7">
        <f>IFERROR(AVERAGEIF('Данные 2st'!$Q$2:$Q$317,$A69,'Данные 2st'!$LB$2:$LB$317),"")</f>
        <v>0</v>
      </c>
      <c r="PY69" s="7">
        <f>IFERROR(AVERAGEIF('Данные 2st'!$Q$2:$Q$317,$A69,'Данные 2st'!$LC$2:$LC$317),"")</f>
        <v>0</v>
      </c>
      <c r="PZ69" s="7">
        <f>IFERROR(AVERAGEIF('Данные 2st'!$Q$2:$Q$317,$A69,'Данные 2st'!$LD$2:$LD$317),"")</f>
        <v>0</v>
      </c>
      <c r="QA69" s="7">
        <f>IFERROR(AVERAGEIF('Данные 2st'!$Q$2:$Q$317,$A69,'Данные 2st'!$LE$2:$LE$317),"")</f>
        <v>0</v>
      </c>
      <c r="QB69" s="7">
        <f>IFERROR(AVERAGEIF('Данные 2st'!$Q$2:$Q$317,$A69,'Данные 2st'!$LF$2:$LF$317),"")</f>
        <v>0</v>
      </c>
      <c r="QC69" s="7">
        <f>IFERROR(AVERAGEIF('Данные 2st'!$Q$2:$Q$317,$A69,'Данные 2st'!$LG$2:$LG$317),"")</f>
        <v>0</v>
      </c>
      <c r="QD69" s="7">
        <f>IFERROR(AVERAGEIF('Данные 2st'!$Q$2:$Q$317,$A69,'Данные 2st'!$LH$2:$LH$317),"")</f>
        <v>3</v>
      </c>
      <c r="QE69" s="7">
        <f>IFERROR(AVERAGEIF('Данные 2st'!$Q$2:$Q$317,$A69,'Данные 2st'!$LJ$2:$LJ$317),"")</f>
        <v>0</v>
      </c>
      <c r="QF69" s="7">
        <f>IFERROR(AVERAGEIF('Данные 2st'!$Q$2:$Q$317,$A69,'Данные 2st'!$LK$2:$LK$317),"")</f>
        <v>11</v>
      </c>
      <c r="QG69" s="7">
        <f>IFERROR(AVERAGEIF('Данные 2st'!$Q$2:$Q$317,$A69,'Данные 2st'!$LL$2:$LL$317),"")</f>
        <v>9</v>
      </c>
      <c r="QH69" s="7">
        <f>IFERROR(AVERAGEIF('Данные 2st'!$Q$2:$Q$317,$A69,'Данные 2st'!$LM$2:$LM$317),"")</f>
        <v>13</v>
      </c>
      <c r="QI69" s="7">
        <f>IFERROR(AVERAGEIF('Данные 2st'!$Q$2:$Q$317,$A69,'Данные 2st'!$LN$2:$LN$317),"")</f>
        <v>3</v>
      </c>
      <c r="QJ69" s="7">
        <f>IFERROR(AVERAGEIF('Данные 2st'!$Q$2:$Q$317,$A69,'Данные 2st'!$LO$2:$LO$317),"")</f>
        <v>0.1</v>
      </c>
      <c r="QK69" s="7">
        <f>IFERROR(AVERAGEIF('Данные 2st'!$Q$2:$Q$317,$A69,'Данные 2st'!$LP$2:$LP$317),"")</f>
        <v>0</v>
      </c>
      <c r="QL69" s="7">
        <f>IFERROR(AVERAGEIF('Данные 2st'!$Q$2:$Q$317,$A69,'Данные 2st'!$LQ$2:$LQ$317),"")</f>
        <v>0</v>
      </c>
      <c r="QM69" s="7">
        <f>IFERROR(AVERAGEIF('Данные 2st'!$Q$2:$Q$317,$A69,'Данные 2st'!$LW$2:$LW$317),"")</f>
        <v>1.8</v>
      </c>
      <c r="QN69" s="7">
        <f>IFERROR(AVERAGEIF('Данные 2st'!$Q$2:$Q$317,$A69,'Данные 2st'!$LX$2:$LX$317),"")</f>
        <v>1.8</v>
      </c>
      <c r="QO69" s="7">
        <f>IFERROR(AVERAGEIF('Данные 2st'!$Q$2:$Q$317,$A69,'Данные 2st'!$LY$2:$LY$317),"")</f>
        <v>2</v>
      </c>
      <c r="QP69" s="7">
        <f>IFERROR(AVERAGEIF('Данные 2st'!$Q$2:$Q$317,$A69,'Данные 2st'!$LZ$2:$LZ$317),"")</f>
        <v>2</v>
      </c>
      <c r="QQ69" s="7">
        <f>IFERROR(AVERAGEIF('Данные 2st'!$Q$2:$Q$317,$A69,'Данные 2st'!$MB$2:$MB$317),"")</f>
        <v>5</v>
      </c>
      <c r="QR69" s="7">
        <f>IFERROR(AVERAGEIF('Данные 2st'!$Q$2:$Q$317,$A69,'Данные 2st'!$MG$2:$MG$317),"")</f>
        <v>0</v>
      </c>
      <c r="QS69" s="7">
        <f>IFERROR(AVERAGEIF('Данные 2st'!$Q$2:$Q$317,$A69,'Данные 2st'!$MH$2:$MH$317),"")</f>
        <v>0</v>
      </c>
      <c r="QT69" s="7">
        <f>IFERROR(AVERAGEIF('Данные 2st'!$Q$2:$Q$317,$A69,'Данные 2st'!$MI$2:$MI$317),"")</f>
        <v>0</v>
      </c>
      <c r="QU69" s="7">
        <f>IFERROR(AVERAGEIF('Данные 2st'!$Q$2:$Q$317,$A69,'Данные 2st'!$MJ$2:$MJ$317),"")</f>
        <v>0</v>
      </c>
      <c r="QV69" s="7">
        <f>IFERROR(AVERAGEIF('Данные 2st'!$Q$2:$Q$317,$A69,'Данные 2st'!$MK$2:$MK$317),"")</f>
        <v>0</v>
      </c>
      <c r="QW69" s="7">
        <f>IFERROR(AVERAGEIF('Данные 2st'!$Q$2:$Q$317,$A69,'Данные 2st'!$MM$2:$MM$317),"")</f>
        <v>452</v>
      </c>
      <c r="QX69" s="7">
        <f>IFERROR(AVERAGEIF('Данные 2st'!$Q$2:$Q$317,$A69,'Данные 2st'!$MQ$2:$MQ$317),"")</f>
        <v/>
      </c>
      <c r="QY69" s="7">
        <f>IFERROR(AVERAGEIF('Данные 2st'!$Q$2:$Q$317,$A69,'Данные 2st'!$MR$2:$MR$317),"")</f>
        <v/>
      </c>
      <c r="QZ69" s="7">
        <f>IFERROR(AVERAGEIF('Данные 2st'!$Q$2:$Q$317,$A69,'Данные 2st'!$MS$2:$MS$317),"")</f>
        <v/>
      </c>
      <c r="RA69" s="7">
        <f>IFERROR(AVERAGEIF('Данные 2st'!$Q$2:$Q$317,$A69,'Данные 2st'!$MT$2:$MT$317),"")</f>
        <v/>
      </c>
      <c r="RB69" s="7">
        <f>IFERROR(AVERAGEIF('Данные 2st'!$Q$2:$Q$317,$A69,'Данные 2st'!$MU$2:$MU$317),"")</f>
        <v/>
      </c>
      <c r="RC69" s="7">
        <f>IFERROR(AVERAGEIF('Данные 2st'!$Q$2:$Q$317,$A69,'Данные 2st'!$MV$2:$MV$317),"")</f>
        <v/>
      </c>
      <c r="RD69" s="7">
        <f>IFERROR(AVERAGEIF('Данные 2st'!$Q$2:$Q$317,$A69,'Данные 2st'!$MW$2:$MW$317),"")</f>
        <v/>
      </c>
      <c r="RE69" s="7">
        <f>IFERROR(AVERAGEIF('Данные 2st'!$Q$2:$Q$317,$A69,'Данные 2st'!$MX$2:$MX$317),"")</f>
        <v/>
      </c>
      <c r="RF69" s="7">
        <f>IFERROR(AVERAGEIF('Данные 2st'!$Q$2:$Q$317,$A69,'Данные 2st'!$MY$2:$MY$317),"")</f>
        <v/>
      </c>
      <c r="RG69" s="7">
        <f>IFERROR(AVERAGEIF('Данные 2st'!$Q$2:$Q$317,$A69,'Данные 2st'!$MZ$2:$MZ$317),"")</f>
        <v/>
      </c>
      <c r="RH69" s="7">
        <f>IFERROR(AVERAGEIF('Данные 2st'!$Q$2:$Q$317,$A69,'Данные 2st'!$NA$2:$NA$317),"")</f>
        <v/>
      </c>
      <c r="RI69" s="7">
        <f>IFERROR(AVERAGEIF('Данные 2st'!$Q$2:$Q$317,$A69,'Данные 2st'!$NB$2:$NB$317),"")</f>
        <v/>
      </c>
      <c r="RJ69" s="7">
        <f>IFERROR(AVERAGEIF('Данные 2st'!$Q$2:$Q$317,$A69,'Данные 2st'!$NC$2:$NC$317),"")</f>
        <v/>
      </c>
      <c r="RK69" s="7">
        <f>IFERROR(AVERAGEIF('Данные 2st'!$Q$2:$Q$317,$A69,'Данные 2st'!$ND$2:$ND$317),"")</f>
        <v/>
      </c>
      <c r="RL69" s="7">
        <f>IFERROR(AVERAGEIF('Данные 2st'!$Q$2:$Q$317,$A69,'Данные 2st'!$NE$2:$NE$317),"")</f>
        <v/>
      </c>
      <c r="RM69" s="7">
        <f>IFERROR(AVERAGEIF('Данные 2st'!$Q$2:$Q$317,$A69,'Данные 2st'!$NF$2:$NF$317),"")</f>
        <v/>
      </c>
      <c r="RN69" s="7">
        <f>IFERROR(AVERAGEIF('Данные 2st'!$Q$2:$Q$317,$A69,'Данные 2st'!$NG$2:$NG$317),"")</f>
        <v/>
      </c>
      <c r="RO69" s="7">
        <f>IFERROR(AVERAGEIF('Данные 2st'!$Q$2:$Q$317,$A69,'Данные 2st'!$NH$2:$NH$317),"")</f>
        <v/>
      </c>
      <c r="RP69" s="7">
        <f>IFERROR(AVERAGEIF('Данные 2st'!$Q$2:$Q$317,$A69,'Данные 2st'!$NJ$2:$NJ$317),"")</f>
        <v/>
      </c>
      <c r="RQ69" s="7">
        <f>IFERROR(AVERAGEIF('Данные 2st'!$Q$2:$Q$317,$A69,'Данные 2st'!$NK$2:$NK$317),"")</f>
        <v/>
      </c>
      <c r="RR69" s="7">
        <f>IFERROR(AVERAGEIF('Данные 2st'!$Q$2:$Q$317,$A69,'Данные 2st'!$NM$2:$NM$317),"")</f>
        <v/>
      </c>
      <c r="RS69" s="7">
        <f>IFERROR(AVERAGEIF('Данные 2st'!$Q$2:$Q$317,$A69,'Данные 2st'!$NN$2:$NN$317),"")</f>
        <v/>
      </c>
      <c r="RT69" s="7">
        <f>IFERROR(AVERAGEIF('Данные 2st'!$Q$2:$Q$317,$A69,'Данные 2st'!$NO$2:$NO$317),"")</f>
        <v/>
      </c>
      <c r="RU69" s="7">
        <f>IFERROR(AVERAGEIF('Данные 2st'!$Q$2:$Q$317,$A69,'Данные 2st'!$NP$2:$NP$317),"")</f>
        <v/>
      </c>
      <c r="RV69" s="7">
        <f>IFERROR(AVERAGEIF('Данные 2st'!$Q$2:$Q$317,$A69,'Данные 2st'!$NQ$2:$NQ$317),"")</f>
        <v/>
      </c>
      <c r="RW69" s="7">
        <f>IFERROR(AVERAGEIF('Данные 2st'!$Q$2:$Q$317,$A69,'Данные 2st'!$NR$2:$NR$317),"")</f>
        <v/>
      </c>
      <c r="RX69" s="7">
        <f>IFERROR(AVERAGEIF('Данные 2st'!$Q$2:$Q$317,$A69,'Данные 2st'!$NS$2:$NS$317),"")</f>
        <v/>
      </c>
      <c r="RY69" s="7">
        <f>IFERROR(AVERAGEIF('Данные 2st'!$Q$2:$Q$317,$A69,'Данные 2st'!$NT$2:$NT$317),"")</f>
        <v/>
      </c>
      <c r="RZ69" s="7">
        <f>IFERROR(AVERAGEIF('Данные 2st'!$Q$2:$Q$317,$A69,'Данные 2st'!$OK$2:$OK$317),"")</f>
        <v>61</v>
      </c>
      <c r="SA69" s="7">
        <f>IFERROR(AVERAGEIF('Данные 2st'!$Q$2:$Q$317,$A69,'Данные 2st'!$OL$2:$OL$317),"")</f>
        <v>61</v>
      </c>
      <c r="SB69" s="7">
        <f>IFERROR(AVERAGEIF('Данные 2st'!$Q$2:$Q$317,$A69,'Данные 2st'!$ON$2:$ON$317),"")</f>
        <v>2</v>
      </c>
      <c r="SC69" s="7">
        <f>IFERROR(AVERAGEIF('Данные 2st'!$Q$2:$Q$317,$A69,'Данные 2st'!$OO$2:$OO$317),"")</f>
        <v>2169</v>
      </c>
      <c r="SD69" s="7">
        <f>IFERROR(AVERAGEIF('Данные 2st'!$Q$2:$Q$317,$A69,'Данные 2st'!$OP$2:$OP$317),"")</f>
        <v>61</v>
      </c>
      <c r="SE69" s="7">
        <f>IFERROR(AVERAGEIF('Данные 2st'!$Q$2:$Q$317,$A69,'Данные 2st'!$OQ$2:$OQ$317),"")</f>
        <v>61</v>
      </c>
      <c r="SF69" s="7">
        <f>IFERROR(AVERAGEIF('Данные 2st'!$Q$2:$Q$317,$A69,'Данные 2st'!$OS$2:$OS$317),"")</f>
        <v>2</v>
      </c>
      <c r="SG69" s="7">
        <f>IFERROR(AVERAGEIF('Данные 2st'!$Q$2:$Q$317,$A69,'Данные 2st'!$OT$2:$OT$317),"")</f>
        <v>2183</v>
      </c>
      <c r="SH69" s="7">
        <f>IFERROR(AVERAGEIF('Данные 2st'!$Q$2:$Q$317,$A69,'Данные 2st'!$OU$2:$OU$317),"")</f>
        <v>65</v>
      </c>
      <c r="SI69" s="7">
        <f>IFERROR(AVERAGEIF('Данные 2st'!$Q$2:$Q$317,$A69,'Данные 2st'!$OV$2:$OV$317),"")</f>
        <v>65</v>
      </c>
      <c r="SJ69" s="7">
        <f>IFERROR(AVERAGEIF('Данные 2st'!$Q$2:$Q$317,$A69,'Данные 2st'!$OX$2:$OX$317),"")</f>
        <v>1</v>
      </c>
      <c r="SK69" s="7">
        <f>IFERROR(AVERAGEIF('Данные 2st'!$Q$2:$Q$317,$A69,'Данные 2st'!$OY$2:$OY$317),"")</f>
        <v>45697</v>
      </c>
      <c r="SL69" s="7">
        <f>IFERROR(AVERAGEIF('Данные 2st'!$Q$2:$Q$317,$A69,'Данные 2st'!$OZ$2:$OZ$317),"")</f>
        <v>51</v>
      </c>
      <c r="SM69" s="7">
        <f>IFERROR(AVERAGEIF('Данные 2st'!$Q$2:$Q$317,$A69,'Данные 2st'!$PA$2:$PA$317),"")</f>
        <v>51</v>
      </c>
      <c r="SN69" s="7">
        <f>IFERROR(AVERAGEIF('Данные 2st'!$Q$2:$Q$317,$A69,'Данные 2st'!$PC$2:$PC$317),"")</f>
        <v>1</v>
      </c>
      <c r="SO69" s="7">
        <f>IFERROR(AVERAGEIF('Данные 2st'!$Q$2:$Q$317,$A69,'Данные 2st'!$PD$2:$PD$317),"")</f>
        <v>2212</v>
      </c>
      <c r="SP69" s="7">
        <f>IFERROR(AVERAGEIF('Данные 2st'!$Q$2:$Q$317,$A69,'Данные 2st'!$PF$2:$PF$317),"")</f>
        <v>579</v>
      </c>
      <c r="SQ69" s="7">
        <f>IFERROR(AVERAGEIF('Данные 2st'!$Q$2:$Q$317,$A69,'Данные 2st'!$PG$2:$PG$317),"")</f>
        <v>35</v>
      </c>
      <c r="SR69" s="7">
        <f>IFERROR(AVERAGEIF('Данные 2st'!$Q$2:$Q$317,$A69,'Данные 2st'!$PH$2:$PH$317),"")</f>
        <v>554</v>
      </c>
      <c r="SS69" s="7">
        <f>IFERROR(AVERAGEIF('Данные 2st'!$Q$2:$Q$317,$A69,'Данные 2st'!$PI$2:$PI$317),"")</f>
        <v>0</v>
      </c>
      <c r="ST69" s="7">
        <f>IFERROR(AVERAGEIF('Данные 2st'!$Q$2:$Q$317,$A69,'Данные 2st'!$PJ$2:$PJ$317),"")</f>
        <v>120</v>
      </c>
      <c r="SU69" s="7">
        <f>IFERROR(AVERAGEIF('Данные 2st'!$Q$2:$Q$317,$A69,'Данные 2st'!$PK$2:$PK$317),"")</f>
        <v>2133</v>
      </c>
      <c r="SV69" s="7">
        <f>IFERROR(AVERAGEIF('Данные 2st'!$Q$2:$Q$317,$A69,'Данные 2st'!$PL$2:$PL$317),"")</f>
        <v>1499.1</v>
      </c>
      <c r="SW69" s="7">
        <f>IFERROR(AVERAGEIF('Данные 2st'!$Q$2:$Q$317,$A69,'Данные 2st'!$PM$2:$PM$317),"")</f>
        <v>403.5</v>
      </c>
      <c r="SX69" s="7">
        <f>IFERROR(AVERAGEIF('Данные 2st'!$Q$2:$Q$317,$A69,'Данные 2st'!$PN$2:$PN$317),"")</f>
        <v>110.4</v>
      </c>
      <c r="SY69" s="7">
        <f>IFERROR(AVERAGEIF('Данные 2st'!$Q$2:$Q$317,$A69,'Данные 2st'!$PO$2:$PO$317),"")</f>
        <v>8.7</v>
      </c>
      <c r="SZ69" s="7">
        <f>IFERROR(AVERAGEIF('Данные 2st'!$Q$2:$Q$317,$A69,'Данные 2st'!$PP$2:$PP$317),"")</f>
        <v>12</v>
      </c>
      <c r="TA69" s="7">
        <f>IFERROR(AVERAGEIF('Данные 2st'!$Q$2:$Q$317,$A69,'Данные 2st'!$PQ$2:$PQ$317),"")</f>
        <v>5</v>
      </c>
      <c r="TB69" s="7">
        <f>IFERROR(AVERAGEIF('Данные 2st'!$Q$2:$Q$317,$A69,'Данные 2st'!$PR$2:$PR$317),"")</f>
        <v>5</v>
      </c>
      <c r="TC69" s="7">
        <f>IFERROR(AVERAGEIF('Данные 2st'!$Q$2:$Q$317,$A69,'Данные 2st'!$PS$2:$PS$317),"")</f>
        <v>0</v>
      </c>
      <c r="TD69" s="7">
        <f>IFERROR(AVERAGEIF('Данные 2st'!$Q$2:$Q$317,$A69,'Данные 2st'!$PT$2:$PT$317),"")</f>
        <v>274</v>
      </c>
      <c r="TE69" s="7">
        <f>IFERROR(AVERAGEIF('Данные 2st'!$Q$2:$Q$317,$A69,'Данные 2st'!$PU$2:$PU$317),"")</f>
        <v>15</v>
      </c>
      <c r="TF69" s="7">
        <f>IFERROR(AVERAGEIF('Данные 2st'!$Q$2:$Q$317,$A69,'Данные 2st'!$PX$2:$PX$317),"")</f>
        <v>0</v>
      </c>
      <c r="TG69" s="7">
        <f>IFERROR(AVERAGEIF('Данные 2st'!$Q$2:$Q$317,$A69,'Данные 2st'!$PY$2:$PY$317),"")</f>
        <v>0</v>
      </c>
      <c r="TH69" s="7">
        <f>IFERROR(AVERAGEIF('Данные 2st'!$Q$2:$Q$317,$A69,'Данные 2st'!$PZ$2:$PZ$317),"")</f>
        <v>0</v>
      </c>
      <c r="TI69" s="7">
        <f>IFERROR(AVERAGEIF('Данные 2st'!$Q$2:$Q$317,$A69,'Данные 2st'!$QA$2:$QA$317),"")</f>
        <v>0</v>
      </c>
      <c r="TJ69" s="7">
        <f>IFERROR(AVERAGEIF('Данные 2st'!$Q$2:$Q$317,$A69,'Данные 2st'!$QB$2:$QB$317),"")</f>
        <v>0</v>
      </c>
      <c r="TK69" s="7">
        <f>IFERROR(AVERAGEIF('Данные 2st'!$Q$2:$Q$317,$A69,'Данные 2st'!$QC$2:$QC$317),"")</f>
        <v>0</v>
      </c>
      <c r="TL69" s="7">
        <f>IFERROR(AVERAGEIF('Данные 2st'!$Q$2:$Q$317,$A69,'Данные 2st'!$QD$2:$QD$317),"")</f>
        <v>0</v>
      </c>
      <c r="TM69" s="7">
        <f>IFERROR(AVERAGEIF('Данные 2st'!$Q$2:$Q$317,$A69,'Данные 2st'!$QE$2:$QE$317),"")</f>
        <v>-1</v>
      </c>
      <c r="TN69" s="7">
        <f>IFERROR(AVERAGEIF('Данные 2st'!$Q$2:$Q$317,$A69,'Данные 2st'!$QF$2:$QF$317),"")</f>
        <v>1</v>
      </c>
      <c r="TO69" s="7">
        <f>IFERROR(AVERAGEIF('Данные 2st'!$Q$2:$Q$317,$A69,'Данные 2st'!$QG$2:$QG$317),"")</f>
        <v>0</v>
      </c>
      <c r="TP69" s="7">
        <f>IFERROR(AVERAGEIF('Данные 2st'!$Q$2:$Q$317,$A69,'Данные 2st'!$QH$2:$QH$317),"")</f>
        <v>5</v>
      </c>
      <c r="TQ69" s="7">
        <f>IFERROR(AVERAGEIF('Данные 2st'!$Q$2:$Q$317,$A69,'Данные 2st'!$QI$2:$QI$317),"")</f>
        <v>5</v>
      </c>
      <c r="TR69" s="7">
        <f>IFERROR(AVERAGEIF('Данные 2st'!$Q$2:$Q$317,$A69,'Данные 2st'!$QJ$2:$QJ$317),"")</f>
        <v>5</v>
      </c>
      <c r="TS69" s="7">
        <f>IFERROR(AVERAGEIF('Данные 2st'!$Q$2:$Q$317,$A69,'Данные 2st'!$QK$2:$QK$317),"")</f>
        <v>231</v>
      </c>
      <c r="TT69" s="7">
        <f>IFERROR(AVERAGEIF('Данные 2st'!$Q$2:$Q$317,$A69,'Данные 2st'!$QL$2:$QL$317),"")</f>
        <v>462</v>
      </c>
      <c r="TU69" s="7">
        <f>IFERROR(AVERAGEIF('Данные 2st'!$Q$2:$Q$317,$A69,'Данные 2st'!$QM$2:$QM$317),"")</f>
        <v>7.5</v>
      </c>
      <c r="TV69" s="7">
        <f>IFERROR(AVERAGEIF('Данные 2st'!$Q$2:$Q$317,$A69,'Данные 2st'!$QN$2:$QN$317),"")</f>
        <v>1544.1</v>
      </c>
      <c r="TW69" s="7">
        <f>IFERROR(AVERAGEIF('Данные 2st'!$Q$2:$Q$317,$A69,'Данные 2st'!$QQ$2:$QQ$317),"")</f>
        <v>0</v>
      </c>
      <c r="TX69" s="7">
        <f>IFERROR(AVERAGEIF('Данные 2st'!$Q$2:$Q$317,$A69,'Данные 2st'!$QS$2:$QS$317),"")</f>
        <v>40</v>
      </c>
      <c r="TY69" s="7">
        <f>IFERROR(AVERAGEIF('Данные 2st'!$Q$2:$Q$317,$A69,'Данные 2st'!$QT$2:$QT$317),"")</f>
        <v>50</v>
      </c>
    </row>
    <row r="70" spans="1:545" ht="32" customHeight="1">
      <c r="A70" s="11" t="s">
        <v>926</v>
      </c>
      <c r="B70">
        <f>COUNTIF('Данные 1st'!$S$2:$S$317,$A70)</f>
        <v>6</v>
      </c>
      <c r="C70" s="6" t="s">
        <v>5116</v>
      </c>
      <c r="D70" s="6" t="s">
        <v>513</v>
      </c>
      <c r="E70" s="6" t="s">
        <v>5125</v>
      </c>
      <c r="F70" s="6" t="s">
        <v>5181</v>
      </c>
      <c r="G70" s="7">
        <f>IFERROR(AVERAGEIF('Данные 1st'!$S$2:$S$317,$A70,'Данные 1st'!$AE$2:$AE$317),"")</f>
        <v>228</v>
      </c>
      <c r="H70" s="7">
        <f>IFERROR(AVERAGEIF('Данные 1st'!$S$2:$S$317,$A70,'Данные 1st'!$AF$2:$AF$317),"")</f>
        <v>1.5</v>
      </c>
      <c r="I70" s="7">
        <f>IFERROR(AVERAGEIF('Данные 1st'!$S$2:$S$317,$A70,'Данные 1st'!$AJ$2:$AJ$317),"")</f>
        <v>210.41666666666666</v>
      </c>
      <c r="J70" s="7">
        <f>IFERROR(AVERAGEIF('Данные 1st'!$S$2:$S$317,$A70,'Данные 1st'!$AL$2:$AL$317),"")</f>
        <v>1.5</v>
      </c>
      <c r="K70" s="7">
        <f>IFERROR(AVERAGEIF('Данные 1st'!$S$2:$S$317,$A70,'Данные 1st'!$AR$2:$AR$317),"")</f>
        <v>253.5</v>
      </c>
      <c r="L70" s="7">
        <f>IFERROR(AVERAGEIF('Данные 1st'!$S$2:$S$317,$A70,'Данные 1st'!$AS$2:$AS$317),"")</f>
        <v>1.5</v>
      </c>
      <c r="M70" s="7">
        <f>IFERROR(AVERAGEIF('Данные 1st'!$S$2:$S$317,$A70,'Данные 1st'!$AY$2:$AY$317),"")</f>
        <v>298.75</v>
      </c>
      <c r="N70" s="7">
        <f>IFERROR(AVERAGEIF('Данные 1st'!$S$2:$S$317,$A70,'Данные 1st'!$AZ$2:$AZ$317),"")</f>
        <v>1.5</v>
      </c>
      <c r="O70" s="7">
        <f>IFERROR(AVERAGEIF('Данные 1st'!$S$2:$S$317,$A70,'Данные 1st'!$BF$2:$BF$317),"")</f>
        <v>257.5</v>
      </c>
      <c r="P70" s="7">
        <f>IFERROR(AVERAGEIF('Данные 1st'!$S$2:$S$317,$A70,'Данные 1st'!$BG$2:$BG$317),"")</f>
        <v>1.5</v>
      </c>
      <c r="Q70" s="7">
        <f>IFERROR(AVERAGEIF('Данные 1st'!$S$2:$S$317,$A70,'Данные 1st'!$BM$2:$BM$317),"")</f>
        <v/>
      </c>
      <c r="R70" s="7">
        <f>IFERROR(AVERAGEIF('Данные 1st'!$S$2:$S$317,$A70,'Данные 1st'!$BN$2:$BN$317),"")</f>
        <v>1.5</v>
      </c>
      <c r="S70" s="7">
        <f>IFERROR(AVERAGEIF('Данные 1st'!$S$2:$S$317,$A70,'Данные 1st'!$BT$2:$BT$317),"")</f>
        <v>227</v>
      </c>
      <c r="T70" s="7">
        <f>IFERROR(AVERAGEIF('Данные 1st'!$S$2:$S$317,$A70,'Данные 1st'!$BU$2:$BU$317),"")</f>
        <v>0.5</v>
      </c>
      <c r="U70" s="7">
        <f>IFERROR(AVERAGEIF('Данные 1st'!$S$2:$S$317,$A70,'Данные 1st'!$BW$2:$BW$317),"")</f>
        <v>454</v>
      </c>
      <c r="V70" s="7">
        <f>IFERROR(AVERAGEIF('Данные 1st'!$S$2:$S$317,$A70,'Данные 1st'!$BX$2:$BX$317),"")</f>
        <v>1</v>
      </c>
      <c r="W70" s="7">
        <f>IFERROR(AVERAGEIF('Данные 1st'!$S$2:$S$317,$A70,'Данные 1st'!$BZ$2:$BZ$317),"")</f>
        <v>441.6666666666667</v>
      </c>
      <c r="X70" s="7">
        <f>IFERROR(AVERAGEIF('Данные 1st'!$S$2:$S$317,$A70,'Данные 1st'!$CA$2:$CA$317),"")</f>
        <v>538.3333333333334</v>
      </c>
      <c r="Y70" s="7">
        <f>IFERROR(AVERAGEIF('Данные 1st'!$S$2:$S$317,$A70,'Данные 1st'!$CD$2:$CD$317),"")</f>
        <v>483.6666666666667</v>
      </c>
      <c r="Z70" s="7">
        <f>IFERROR(AVERAGEIF('Данные 1st'!$S$2:$S$317,$A70,'Данные 1st'!$CF$2:$CF$317),"")</f>
        <v>15</v>
      </c>
      <c r="AA70" s="7">
        <f>IFERROR(AVERAGEIF('Данные 1st'!$S$2:$S$317,$A70,'Данные 1st'!$CI$2:$CI$317),"")</f>
        <v>48.333333333333336</v>
      </c>
      <c r="AB70" s="7">
        <f>IFERROR(AVERAGEIF('Данные 1st'!$S$2:$S$317,$A70,'Данные 1st'!$CJ$2:$CJ$317),"")</f>
        <v>1538</v>
      </c>
      <c r="AC70" s="7">
        <f>IFERROR(AVERAGEIF('Данные 1st'!$S$2:$S$317,$A70,'Данные 1st'!$CK$2:$CK$317),"")</f>
        <v>2</v>
      </c>
      <c r="AD70" s="7">
        <f>IFERROR(AVERAGEIF('Данные 1st'!$S$2:$S$317,$A70,'Данные 1st'!$CL$2:$CL$317),"")</f>
        <v>1632</v>
      </c>
      <c r="AE70" s="7">
        <f>IFERROR(AVERAGEIF('Данные 1st'!$S$2:$S$317,$A70,'Данные 1st'!$CM$2:$CM$317),"")</f>
        <v>2</v>
      </c>
      <c r="AF70" s="7">
        <f>IFERROR(AVERAGEIF('Данные 1st'!$S$2:$S$317,$A70,'Данные 1st'!$CT$2:$CT$317),"")</f>
        <v>420.8333333333333</v>
      </c>
      <c r="AG70" s="7">
        <f>IFERROR(AVERAGEIF('Данные 1st'!$S$2:$S$317,$A70,'Данные 1st'!$CU$2:$CU$317),"")</f>
        <v>5</v>
      </c>
      <c r="AH70" s="7">
        <f>IFERROR(AVERAGEIF('Данные 1st'!$S$2:$S$317,$A70,'Данные 1st'!$CV$2:$CV$317),"")</f>
        <v>1.2166666666666666</v>
      </c>
      <c r="AI70" s="7">
        <f>IFERROR(AVERAGEIF('Данные 1st'!$S$2:$S$317,$A70,'Данные 1st'!$CW$2:$CW$317),"")</f>
        <v>1554.1666666666667</v>
      </c>
      <c r="AJ70" s="7">
        <f>IFERROR(AVERAGEIF('Данные 1st'!$S$2:$S$317,$A70,'Данные 1st'!$CX$2:$CX$317),"")</f>
        <v>940</v>
      </c>
      <c r="AK70" s="7">
        <f>IFERROR(AVERAGEIF('Данные 1st'!$S$2:$S$317,$A70,'Данные 1st'!$CZ$2:$CZ$317),"")</f>
        <v>55</v>
      </c>
      <c r="AL70" s="7">
        <f>IFERROR(AVERAGEIF('Данные 1st'!$S$2:$S$317,$A70,'Данные 1st'!$DA$2:$DA$317),"")</f>
        <v>3</v>
      </c>
      <c r="AM70" s="7">
        <f>IFERROR(AVERAGEIF('Данные 1st'!$S$2:$S$317,$A70,'Данные 1st'!$DB$2:$DB$317),"")</f>
        <v>1.0933333333333333</v>
      </c>
      <c r="AN70" s="7">
        <f>IFERROR(AVERAGEIF('Данные 1st'!$S$2:$S$317,$A70,'Данные 1st'!$DC$2:$DC$317),"")</f>
        <v>1554.1666666666667</v>
      </c>
      <c r="AO70" s="7">
        <f>IFERROR(AVERAGEIF('Данные 1st'!$S$2:$S$317,$A70,'Данные 1st'!$DD$2:$DD$317),"")</f>
        <v>100</v>
      </c>
      <c r="AP70" s="7">
        <f>IFERROR(AVERAGEIF('Данные 1st'!$S$2:$S$317,$A70,'Данные 1st'!$DF$2:$DF$317),"")</f>
        <v>597.5</v>
      </c>
      <c r="AQ70" s="7">
        <f>IFERROR(AVERAGEIF('Данные 1st'!$S$2:$S$317,$A70,'Данные 1st'!$DG$2:$DG$317),"")</f>
        <v>3</v>
      </c>
      <c r="AR70" s="7">
        <f>IFERROR(AVERAGEIF('Данные 1st'!$S$2:$S$317,$A70,'Данные 1st'!$DH$2:$DH$317),"")</f>
        <v>0.9299999999999999</v>
      </c>
      <c r="AS70" s="7">
        <f>IFERROR(AVERAGEIF('Данные 1st'!$S$2:$S$317,$A70,'Данные 1st'!$DI$2:$DI$317),"")</f>
        <v>1547.1666666666667</v>
      </c>
      <c r="AT70" s="7">
        <f>IFERROR(AVERAGEIF('Данные 1st'!$S$2:$S$317,$A70,'Данные 1st'!$DJ$2:$DJ$317),"")</f>
        <v>1159</v>
      </c>
      <c r="AU70" s="7">
        <f>IFERROR(AVERAGEIF('Данные 1st'!$S$2:$S$317,$A70,'Данные 1st'!$DL$2:$DL$317),"")</f>
        <v>515</v>
      </c>
      <c r="AV70" s="7">
        <f>IFERROR(AVERAGEIF('Данные 1st'!$S$2:$S$317,$A70,'Данные 1st'!$DM$2:$DM$317),"")</f>
        <v>3</v>
      </c>
      <c r="AW70" s="7">
        <f>IFERROR(AVERAGEIF('Данные 1st'!$S$2:$S$317,$A70,'Данные 1st'!$DN$2:$DN$317),"")</f>
        <v>0.9299999999999999</v>
      </c>
      <c r="AX70" s="7">
        <f>IFERROR(AVERAGEIF('Данные 1st'!$S$2:$S$317,$A70,'Данные 1st'!$DO$2:$DO$317),"")</f>
        <v>1553</v>
      </c>
      <c r="AY70" s="7">
        <f>IFERROR(AVERAGEIF('Данные 1st'!$S$2:$S$317,$A70,'Данные 1st'!$DP$2:$DP$317),"")</f>
        <v>927.6666666666666</v>
      </c>
      <c r="AZ70" s="7">
        <f>IFERROR(AVERAGEIF('Данные 1st'!$S$2:$S$317,$A70,'Данные 1st'!$DR$2:$DR$317),"")</f>
        <v/>
      </c>
      <c r="BA70" s="7">
        <f>IFERROR(AVERAGEIF('Данные 1st'!$S$2:$S$317,$A70,'Данные 1st'!$DS$2:$DS$317),"")</f>
        <v/>
      </c>
      <c r="BB70" s="7">
        <f>IFERROR(AVERAGEIF('Данные 1st'!$S$2:$S$317,$A70,'Данные 1st'!$DT$2:$DT$317),"")</f>
        <v/>
      </c>
      <c r="BC70" s="7">
        <f>IFERROR(AVERAGEIF('Данные 1st'!$S$2:$S$317,$A70,'Данные 1st'!$DU$2:$DU$317),"")</f>
        <v/>
      </c>
      <c r="BD70" s="7">
        <f>IFERROR(AVERAGEIF('Данные 1st'!$S$2:$S$317,$A70,'Данные 1st'!$DV$2:$DV$317),"")</f>
        <v/>
      </c>
      <c r="BE70" s="7">
        <f>IFERROR(AVERAGEIF('Данные 1st'!$S$2:$S$317,$A70,'Данные 1st'!$DX$2:$DX$317),"")</f>
        <v>7.816666666666666</v>
      </c>
      <c r="BF70" s="7">
        <f>IFERROR(AVERAGEIF('Данные 1st'!$S$2:$S$317,$A70,'Данные 1st'!$EA$2:$EA$317),"")</f>
        <v>1624.0666666666666</v>
      </c>
      <c r="BG70" s="7">
        <f>IFERROR(AVERAGEIF('Данные 1st'!$S$2:$S$317,$A70,'Данные 1st'!$EB$2:$EB$317),"")</f>
        <v>366.1666666666667</v>
      </c>
      <c r="BH70" s="7">
        <f>IFERROR(AVERAGEIF('Данные 1st'!$S$2:$S$317,$A70,'Данные 1st'!$ED$2:$ED$317),"")</f>
        <v>34.166666666666664</v>
      </c>
      <c r="BI70" s="7">
        <f>IFERROR(AVERAGEIF('Данные 1st'!$S$2:$S$317,$A70,'Данные 1st'!$EE$2:$EE$317),"")</f>
        <v>3</v>
      </c>
      <c r="BJ70" s="7">
        <f>IFERROR(AVERAGEIF('Данные 1st'!$S$2:$S$317,$A70,'Данные 1st'!$EG$2:$EG$317),"")</f>
        <v>1671.8333333333333</v>
      </c>
      <c r="BK70" s="7">
        <f>IFERROR(AVERAGEIF('Данные 1st'!$S$2:$S$317,$A70,'Данные 1st'!$EH$2:$EH$317),"")</f>
        <v>236.33333333333334</v>
      </c>
      <c r="BL70" s="7">
        <f>IFERROR(AVERAGEIF('Данные 1st'!$S$2:$S$317,$A70,'Данные 1st'!$EJ$2:$EJ$317),"")</f>
        <v>0</v>
      </c>
      <c r="BM70" s="7">
        <f>IFERROR(AVERAGEIF('Данные 1st'!$S$2:$S$317,$A70,'Данные 1st'!$EK$2:$EK$317),"")</f>
        <v>1</v>
      </c>
      <c r="BN70" s="7">
        <f>IFERROR(AVERAGEIF('Данные 1st'!$S$2:$S$317,$A70,'Данные 1st'!$EN$2:$EN$317),"")</f>
        <v>0</v>
      </c>
      <c r="BO70" s="7">
        <f>IFERROR(AVERAGEIF('Данные 1st'!$S$2:$S$317,$A70,'Данные 1st'!$EQ$2:$EQ$317),"")</f>
        <v>114.16666666666667</v>
      </c>
      <c r="BP70" s="7">
        <f>IFERROR(AVERAGEIF('Данные 1st'!$S$2:$S$317,$A70,'Данные 1st'!$ER$2:$ER$317),"")</f>
        <v>3</v>
      </c>
      <c r="BQ70" s="7">
        <f>IFERROR(AVERAGEIF('Данные 1st'!$S$2:$S$317,$A70,'Данные 1st'!$ES$2:$ES$317),"")</f>
        <v>5.333333333333333</v>
      </c>
      <c r="BR70" s="7">
        <f>IFERROR(AVERAGEIF('Данные 1st'!$S$2:$S$317,$A70,'Данные 1st'!$ET$2:$ET$317),"")</f>
        <v>1533</v>
      </c>
      <c r="BS70" s="7">
        <f>IFERROR(AVERAGEIF('Данные 1st'!$S$2:$S$317,$A70,'Данные 1st'!$EU$2:$EU$317),"")</f>
        <v>497.8666666666667</v>
      </c>
      <c r="BT70" s="7">
        <f>IFERROR(AVERAGEIF('Данные 1st'!$S$2:$S$317,$A70,'Данные 1st'!$EV$2:$EV$317),"")</f>
        <v>763.3333333333334</v>
      </c>
      <c r="BU70" s="7">
        <f>IFERROR(AVERAGEIF('Данные 1st'!$S$2:$S$317,$A70,'Данные 1st'!$EX$2:$EX$317),"")</f>
        <v>45</v>
      </c>
      <c r="BV70" s="7">
        <f>IFERROR(AVERAGEIF('Данные 1st'!$S$2:$S$317,$A70,'Данные 1st'!$EY$2:$EY$317),"")</f>
        <v>2</v>
      </c>
      <c r="BW70" s="7">
        <f>IFERROR(AVERAGEIF('Данные 1st'!$S$2:$S$317,$A70,'Данные 1st'!$EZ$2:$EZ$317),"")</f>
        <v>4.45</v>
      </c>
      <c r="BX70" s="7">
        <f>IFERROR(AVERAGEIF('Данные 1st'!$S$2:$S$317,$A70,'Данные 1st'!$FA$2:$FA$317),"")</f>
        <v>1533</v>
      </c>
      <c r="BY70" s="7">
        <f>IFERROR(AVERAGEIF('Данные 1st'!$S$2:$S$317,$A70,'Данные 1st'!$FB$2:$FB$317),"")</f>
        <v>135.93333333333334</v>
      </c>
      <c r="BZ70" s="7">
        <f>IFERROR(AVERAGEIF('Данные 1st'!$S$2:$S$317,$A70,'Данные 1st'!$FC$2:$FC$317),"")</f>
        <v>208.5</v>
      </c>
      <c r="CA70" s="7">
        <f>IFERROR(AVERAGEIF('Данные 1st'!$S$2:$S$317,$A70,'Данные 1st'!$FE$2:$FE$317),"")</f>
        <v>0</v>
      </c>
      <c r="CB70" s="7">
        <f>IFERROR(AVERAGEIF('Данные 1st'!$S$2:$S$317,$A70,'Данные 1st'!$FF$2:$FF$317),"")</f>
        <v>2</v>
      </c>
      <c r="CC70" s="7">
        <f>IFERROR(AVERAGEIF('Данные 1st'!$S$2:$S$317,$A70,'Данные 1st'!$FI$2:$FI$317),"")</f>
        <v>0</v>
      </c>
      <c r="CD70" s="7">
        <f>IFERROR(AVERAGEIF('Данные 1st'!$S$2:$S$317,$A70,'Данные 1st'!$FL$2:$FL$317),"")</f>
        <v>0.4</v>
      </c>
      <c r="CE70" s="7">
        <f>IFERROR(AVERAGEIF('Данные 1st'!$S$2:$S$317,$A70,'Данные 1st'!$FM$2:$FM$317),"")</f>
        <v>52.5</v>
      </c>
      <c r="CF70" s="7">
        <f>IFERROR(AVERAGEIF('Данные 1st'!$S$2:$S$317,$A70,'Данные 1st'!$FN$2:$FN$317),"")</f>
        <v>391.6666666666667</v>
      </c>
      <c r="CG70" s="7">
        <f>IFERROR(AVERAGEIF('Данные 1st'!$S$2:$S$317,$A70,'Данные 1st'!$FO$2:$FO$317),"")</f>
        <v>82.5</v>
      </c>
      <c r="CH70" s="7">
        <f>IFERROR(AVERAGEIF('Данные 1st'!$S$2:$S$317,$A70,'Данные 1st'!$FP$2:$FP$317),"")</f>
        <v>166.66666666666666</v>
      </c>
      <c r="CI70" s="7">
        <f>IFERROR(AVERAGEIF('Данные 1st'!$S$2:$S$317,$A70,'Данные 1st'!$FS$2:$FS$317),"")</f>
        <v>0.4</v>
      </c>
      <c r="CJ70" s="7">
        <f>IFERROR(AVERAGEIF('Данные 1st'!$S$2:$S$317,$A70,'Данные 1st'!$FT$2:$FT$317),"")</f>
        <v>30</v>
      </c>
      <c r="CK70" s="7">
        <f>IFERROR(AVERAGEIF('Данные 1st'!$S$2:$S$317,$A70,'Данные 1st'!$FU$2:$FU$317),"")</f>
        <v>550</v>
      </c>
      <c r="CL70" s="7">
        <f>IFERROR(AVERAGEIF('Данные 1st'!$S$2:$S$317,$A70,'Данные 1st'!$FV$2:$FV$317),"")</f>
        <v/>
      </c>
      <c r="CM70" s="7">
        <f>IFERROR(AVERAGEIF('Данные 1st'!$S$2:$S$317,$A70,'Данные 1st'!$FW$2:$FW$317),"")</f>
        <v/>
      </c>
      <c r="CN70" s="7">
        <f>IFERROR(AVERAGEIF('Данные 1st'!$S$2:$S$317,$A70,'Данные 1st'!$FZ$2:$FZ$317),"")</f>
        <v/>
      </c>
      <c r="CO70" s="7">
        <f>IFERROR(AVERAGEIF('Данные 1st'!$S$2:$S$317,$A70,'Данные 1st'!$GA$2:$GA$317),"")</f>
        <v/>
      </c>
      <c r="CP70" s="7">
        <f>IFERROR(AVERAGEIF('Данные 1st'!$S$2:$S$317,$A70,'Данные 1st'!$GB$2:$GB$317),"")</f>
        <v/>
      </c>
      <c r="CQ70" s="7">
        <f>IFERROR(AVERAGEIF('Данные 1st'!$S$2:$S$317,$A70,'Данные 1st'!$GH$2:$GH$317),"")</f>
        <v/>
      </c>
      <c r="CR70" s="7">
        <f>IFERROR(AVERAGEIF('Данные 1st'!$S$2:$S$317,$A70,'Данные 1st'!$GI$2:$GI$317),"")</f>
        <v/>
      </c>
      <c r="CS70" s="7">
        <f>IFERROR(AVERAGEIF('Данные 1st'!$S$2:$S$317,$A70,'Данные 1st'!$GJ$2:$GJ$317),"")</f>
        <v/>
      </c>
      <c r="CT70" s="7">
        <f>IFERROR(AVERAGEIF('Данные 1st'!$S$2:$S$317,$A70,'Данные 1st'!$GS$2:$GS$317),"")</f>
        <v>0.43333333333333335</v>
      </c>
      <c r="CU70" s="7">
        <f>IFERROR(AVERAGEIF('Данные 1st'!$S$2:$S$317,$A70,'Данные 1st'!$GT$2:$GT$317),"")</f>
        <v>40.833333333333336</v>
      </c>
      <c r="CV70" s="7">
        <f>IFERROR(AVERAGEIF('Данные 1st'!$S$2:$S$317,$A70,'Данные 1st'!$GU$2:$GU$317),"")</f>
        <v>376.6666666666667</v>
      </c>
      <c r="CW70" s="7">
        <f>IFERROR(AVERAGEIF('Данные 1st'!$S$2:$S$317,$A70,'Данные 1st'!$GV$2:$GV$317),"")</f>
        <v>30</v>
      </c>
      <c r="CX70" s="7">
        <f>IFERROR(AVERAGEIF('Данные 1st'!$S$2:$S$317,$A70,'Данные 1st'!$GW$2:$GW$317),"")</f>
        <v>292.5</v>
      </c>
      <c r="CY70" s="7">
        <f>IFERROR(AVERAGEIF('Данные 1st'!$S$2:$S$317,$A70,'Данные 1st'!$GZ$2:$GZ$317),"")</f>
        <v/>
      </c>
      <c r="CZ70" s="7">
        <f>IFERROR(AVERAGEIF('Данные 1st'!$S$2:$S$317,$A70,'Данные 1st'!$HA$2:$HA$317),"")</f>
        <v/>
      </c>
      <c r="DA70" s="7">
        <f>IFERROR(AVERAGEIF('Данные 1st'!$S$2:$S$317,$A70,'Данные 1st'!$HB$2:$HB$317),"")</f>
        <v/>
      </c>
      <c r="DB70" s="7">
        <f>IFERROR(AVERAGEIF('Данные 1st'!$S$2:$S$317,$A70,'Данные 1st'!$HC$2:$HC$317),"")</f>
        <v>0.1</v>
      </c>
      <c r="DC70" s="7">
        <f>IFERROR(AVERAGEIF('Данные 1st'!$S$2:$S$317,$A70,'Данные 1st'!$HD$2:$HD$317),"")</f>
        <v>3</v>
      </c>
      <c r="DD70" s="7">
        <f>IFERROR(AVERAGEIF('Данные 1st'!$S$2:$S$317,$A70,'Данные 1st'!$HE$2:$HE$317),"")</f>
        <v>3</v>
      </c>
      <c r="DE70" s="7">
        <f>IFERROR(AVERAGEIF('Данные 1st'!$S$2:$S$317,$A70,'Данные 1st'!$HF$2:$HF$317),"")</f>
        <v>3</v>
      </c>
      <c r="DF70" s="7">
        <f>IFERROR(AVERAGEIF('Данные 1st'!$S$2:$S$317,$A70,'Данные 1st'!$HG$2:$HG$317),"")</f>
        <v>3</v>
      </c>
      <c r="DG70" s="7">
        <f>IFERROR(AVERAGEIF('Данные 1st'!$S$2:$S$317,$A70,'Данные 1st'!$HH$2:$HH$317),"")</f>
        <v>3</v>
      </c>
      <c r="DH70" s="7">
        <f>IFERROR(AVERAGEIF('Данные 1st'!$S$2:$S$317,$A70,'Данные 1st'!$HI$2:$HI$317),"")</f>
        <v>144.16666666666666</v>
      </c>
      <c r="DI70" s="7">
        <f>IFERROR(AVERAGEIF('Данные 1st'!$S$2:$S$317,$A70,'Данные 1st'!$HJ$2:$HJ$317),"")</f>
        <v>3</v>
      </c>
      <c r="DJ70" s="7">
        <f>IFERROR(AVERAGEIF('Данные 1st'!$S$2:$S$317,$A70,'Данные 1st'!$HK$2:$HK$317),"")</f>
        <v>30</v>
      </c>
      <c r="DK70" s="7">
        <f>IFERROR(AVERAGEIF('Данные 1st'!$S$2:$S$317,$A70,'Данные 1st'!$HL$2:$HL$317),"")</f>
        <v>2</v>
      </c>
      <c r="DL70" s="7">
        <f>IFERROR(AVERAGEIF('Данные 1st'!$S$2:$S$317,$A70,'Данные 1st'!$HM$2:$HM$317),"")</f>
        <v>0</v>
      </c>
      <c r="DM70" s="7">
        <f>IFERROR(AVERAGEIF('Данные 1st'!$S$2:$S$317,$A70,'Данные 1st'!$HN$2:$HN$317),"")</f>
        <v>2</v>
      </c>
      <c r="DN70" s="7">
        <f>IFERROR(AVERAGEIF('Данные 1st'!$S$2:$S$317,$A70,'Данные 1st'!$HO$2:$HO$317),"")</f>
        <v>99.16666666666667</v>
      </c>
      <c r="DO70" s="7">
        <f>IFERROR(AVERAGEIF('Данные 1st'!$S$2:$S$317,$A70,'Данные 1st'!$HP$2:$HP$317),"")</f>
        <v>3</v>
      </c>
      <c r="DP70" s="7">
        <f>IFERROR(AVERAGEIF('Данные 1st'!$S$2:$S$317,$A70,'Данные 1st'!$HQ$2:$HQ$317),"")</f>
        <v>0</v>
      </c>
      <c r="DQ70" s="7">
        <f>IFERROR(AVERAGEIF('Данные 1st'!$S$2:$S$317,$A70,'Данные 1st'!$HR$2:$HR$317),"")</f>
        <v>2</v>
      </c>
      <c r="DR70" s="7">
        <f>IFERROR(AVERAGEIF('Данные 1st'!$S$2:$S$317,$A70,'Данные 1st'!$HS$2:$HS$317),"")</f>
        <v>6375.333333333333</v>
      </c>
      <c r="DS70" s="7">
        <f>IFERROR(AVERAGEIF('Данные 1st'!$S$2:$S$317,$A70,'Данные 1st'!$HT$2:$HT$317),"")</f>
        <v>191.66666666666666</v>
      </c>
      <c r="DT70" s="7">
        <f>IFERROR(AVERAGEIF('Данные 1st'!$S$2:$S$317,$A70,'Данные 1st'!$HU$2:$HU$317),"")</f>
        <v>180</v>
      </c>
      <c r="DU70" s="7">
        <f>IFERROR(AVERAGEIF('Данные 1st'!$S$2:$S$317,$A70,'Данные 1st'!$HW$2:$HW$317),"")</f>
        <v>0</v>
      </c>
      <c r="DV70" s="7">
        <f>IFERROR(AVERAGEIF('Данные 1st'!$S$2:$S$317,$A70,'Данные 1st'!$HX$2:$HX$317),"")</f>
        <v>522.6666666666666</v>
      </c>
      <c r="DW70" s="7">
        <f>IFERROR(AVERAGEIF('Данные 1st'!$S$2:$S$317,$A70,'Данные 1st'!$HY$2:$HY$317),"")</f>
        <v>0.18</v>
      </c>
      <c r="DX70" s="7">
        <f>IFERROR(AVERAGEIF('Данные 1st'!$S$2:$S$317,$A70,'Данные 1st'!$IA$2:$IA$317),"")</f>
        <v>0.15</v>
      </c>
      <c r="DY70" s="7">
        <f>IFERROR(AVERAGEIF('Данные 1st'!$S$2:$S$317,$A70,'Данные 1st'!$IB$2:$IB$317),"")</f>
        <v>0</v>
      </c>
      <c r="DZ70" s="7">
        <f>IFERROR(AVERAGEIF('Данные 1st'!$S$2:$S$317,$A70,'Данные 1st'!$IC$2:$IC$317),"")</f>
        <v>180</v>
      </c>
      <c r="EA70" s="7">
        <f>IFERROR(AVERAGEIF('Данные 1st'!$S$2:$S$317,$A70,'Данные 1st'!$ID$2:$ID$317),"")</f>
        <v>110</v>
      </c>
      <c r="EB70" s="7">
        <f>IFERROR(AVERAGEIF('Данные 1st'!$S$2:$S$317,$A70,'Данные 1st'!$IE$2:$IE$317),"")</f>
        <v>225</v>
      </c>
      <c r="EC70" s="7">
        <f>IFERROR(AVERAGEIF('Данные 1st'!$S$2:$S$317,$A70,'Данные 1st'!$IF$2:$IF$317),"")</f>
        <v>0</v>
      </c>
      <c r="ED70" s="7">
        <f>IFERROR(AVERAGEIF('Данные 1st'!$S$2:$S$317,$A70,'Данные 1st'!$IP$2:$IP$317),"")</f>
        <v>20</v>
      </c>
      <c r="EE70" s="7">
        <f>IFERROR(AVERAGEIF('Данные 1st'!$S$2:$S$317,$A70,'Данные 1st'!$IV$2:$IV$317),"")</f>
        <v>1538</v>
      </c>
      <c r="EF70" s="7">
        <f>IFERROR(AVERAGEIF('Данные 1st'!$S$2:$S$317,$A70,'Данные 1st'!$IW$2:$IW$317),"")</f>
        <v>454</v>
      </c>
      <c r="EG70" s="7">
        <f>IFERROR(AVERAGEIF('Данные 1st'!$S$2:$S$317,$A70,'Данные 1st'!$IX$2:$IX$317),"")</f>
        <v/>
      </c>
      <c r="EH70" s="7">
        <f>IFERROR(AVERAGEIF('Данные 1st'!$S$2:$S$317,$A70,'Данные 1st'!$IY$2:$IY$317),"")</f>
        <v/>
      </c>
      <c r="EI70" s="7">
        <f>IFERROR(AVERAGEIF('Данные 1st'!$S$2:$S$317,$A70,'Данные 1st'!$JD$2:$JD$317),"")</f>
        <v>1554.1666666666667</v>
      </c>
      <c r="EJ70" s="7">
        <f>IFERROR(AVERAGEIF('Данные 1st'!$S$2:$S$317,$A70,'Данные 1st'!$JE$2:$JE$317),"")</f>
        <v>1547.1666666666667</v>
      </c>
      <c r="EK70" s="7">
        <f>IFERROR(AVERAGEIF('Данные 1st'!$S$2:$S$317,$A70,'Данные 1st'!$JF$2:$JF$317),"")</f>
        <v>1553</v>
      </c>
      <c r="EL70" s="7">
        <f>IFERROR(AVERAGEIF('Данные 1st'!$S$2:$S$317,$A70,'Данные 1st'!$JG$2:$JG$317),"")</f>
        <v>1533</v>
      </c>
      <c r="EM70" s="7">
        <f>IFERROR(AVERAGEIF('Данные 1st'!$S$2:$S$317,$A70,'Данные 1st'!$JH$2:$JH$317),"")</f>
        <v>0</v>
      </c>
      <c r="EN70" s="7">
        <f>IFERROR(AVERAGEIF('Данные 1st'!$S$2:$S$317,$A70,'Данные 1st'!$JJ$2:$JJ$317),"")</f>
        <v>180</v>
      </c>
      <c r="EO70" s="7">
        <f>IFERROR(AVERAGEIF('Данные 1st'!$S$2:$S$317,$A70,'Данные 1st'!$JK$2:$JK$317),"")</f>
        <v>522.6666666666666</v>
      </c>
      <c r="EP70" s="7">
        <f>IFERROR(AVERAGEIF('Данные 1st'!$S$2:$S$317,$A70,'Данные 1st'!$JL$2:$JL$317),"")</f>
        <v/>
      </c>
      <c r="EQ70" s="7">
        <f>IFERROR(AVERAGEIF('Данные 1st'!$S$2:$S$317,$A70,'Данные 1st'!$JM$2:$JM$317),"")</f>
        <v/>
      </c>
      <c r="ER70" s="7">
        <f>IFERROR(AVERAGEIF('Данные 1st'!$S$2:$S$317,$A70,'Данные 1st'!$JN$2:$JN$317),"")</f>
        <v>420.8333333333333</v>
      </c>
      <c r="ES70" s="7">
        <f>IFERROR(AVERAGEIF('Данные 1st'!$S$2:$S$317,$A70,'Данные 1st'!$JO$2:$JO$317),"")</f>
        <v>597.5</v>
      </c>
      <c r="ET70" s="7">
        <f>IFERROR(AVERAGEIF('Данные 1st'!$S$2:$S$317,$A70,'Данные 1st'!$JP$2:$JP$317),"")</f>
        <v>515</v>
      </c>
      <c r="EU70" s="7">
        <f>IFERROR(AVERAGEIF('Данные 1st'!$S$2:$S$317,$A70,'Данные 1st'!$JQ$2:$JQ$317),"")</f>
        <v>0</v>
      </c>
      <c r="EV70" s="7">
        <f>IFERROR(AVERAGEIF('Данные 1st'!$S$2:$S$317,$A70,'Данные 1st'!$JR$2:$JR$317),"")</f>
        <v>456</v>
      </c>
      <c r="EW70" s="7">
        <f>IFERROR(AVERAGEIF('Данные 1st'!$S$2:$S$317,$A70,'Данные 1st'!$JS$2:$JS$317),"")</f>
        <v>144.16666666666666</v>
      </c>
      <c r="EX70" s="7">
        <f>IFERROR(AVERAGEIF('Данные 1st'!$S$2:$S$317,$A70,'Данные 1st'!$JT$2:$JT$317),"")</f>
        <v/>
      </c>
      <c r="EY70" s="7">
        <f>IFERROR(AVERAGEIF('Данные 1st'!$S$2:$S$317,$A70,'Данные 1st'!$JU$2:$JU$317),"")</f>
        <v/>
      </c>
      <c r="EZ70" s="7">
        <f>IFERROR(AVERAGEIF('Данные 1st'!$S$2:$S$317,$A70,'Данные 1st'!$JV$2:$JV$317),"")</f>
        <v>8.333333333333334</v>
      </c>
      <c r="FA70" s="7">
        <f>IFERROR(AVERAGEIF('Данные 1st'!$S$2:$S$317,$A70,'Данные 1st'!$JW$2:$JW$317),"")</f>
        <v/>
      </c>
      <c r="FB70" s="7">
        <f>IFERROR(AVERAGEIF('Данные 1st'!$S$2:$S$317,$A70,'Данные 1st'!$JX$2:$JX$317),"")</f>
        <v>507</v>
      </c>
      <c r="FC70" s="7">
        <f>IFERROR(AVERAGEIF('Данные 1st'!$S$2:$S$317,$A70,'Данные 1st'!$JY$2:$JY$317),"")</f>
        <v/>
      </c>
      <c r="FD70" s="7">
        <f>IFERROR(AVERAGEIF('Данные 1st'!$S$2:$S$317,$A70,'Данные 1st'!$JZ$2:$JZ$317),"")</f>
        <v/>
      </c>
      <c r="FE70" s="7">
        <f>IFERROR(AVERAGEIF('Данные 1st'!$S$2:$S$317,$A70,'Данные 1st'!$KA$2:$KA$317),"")</f>
        <v>225</v>
      </c>
      <c r="FF70" s="7">
        <f>IFERROR(AVERAGEIF('Данные 1st'!$S$2:$S$317,$A70,'Данные 1st'!$KB$2:$KB$317),"")</f>
        <v>110</v>
      </c>
      <c r="FG70" s="7">
        <f>IFERROR(AVERAGEIF('Данные 1st'!$S$2:$S$317,$A70,'Данные 1st'!$KC$2:$KC$317),"")</f>
        <v>0</v>
      </c>
      <c r="FH70" s="7">
        <f>IFERROR(AVERAGEIF('Данные 1st'!$S$2:$S$317,$A70,'Данные 1st'!$KD$2:$KD$317),"")</f>
        <v>80</v>
      </c>
      <c r="FI70" s="7">
        <f>IFERROR(AVERAGEIF('Данные 1st'!$S$2:$S$317,$A70,'Данные 1st'!$KE$2:$KE$317),"")</f>
        <v/>
      </c>
      <c r="FJ70" s="7">
        <f>IFERROR(AVERAGEIF('Данные 1st'!$S$2:$S$317,$A70,'Данные 1st'!$KF$2:$KF$317),"")</f>
        <v>4</v>
      </c>
      <c r="FK70" s="7">
        <f>IFERROR(AVERAGEIF('Данные 1st'!$S$2:$S$317,$A70,'Данные 1st'!$KG$2:$KG$317),"")</f>
        <v>2.6666666666666665</v>
      </c>
      <c r="FL70" s="7">
        <f>IFERROR(AVERAGEIF('Данные 1st'!$S$2:$S$317,$A70,'Данные 1st'!$KH$2:$KH$317),"")</f>
        <v>2</v>
      </c>
      <c r="FM70" s="7">
        <f>IFERROR(AVERAGEIF('Данные 1st'!$S$2:$S$317,$A70,'Данные 1st'!$KI$2:$KI$317),"")</f>
        <v>2</v>
      </c>
      <c r="FN70" s="7">
        <f>IFERROR(AVERAGEIF('Данные 1st'!$S$2:$S$317,$A70,'Данные 1st'!$KJ$2:$KJ$317),"")</f>
        <v>0</v>
      </c>
      <c r="FO70" s="7">
        <f>IFERROR(AVERAGEIF('Данные 1st'!$S$2:$S$317,$A70,'Данные 1st'!$KK$2:$KK$317),"")</f>
        <v>1.5</v>
      </c>
      <c r="FP70" s="7">
        <f>IFERROR(AVERAGEIF('Данные 1st'!$S$2:$S$317,$A70,'Данные 1st'!$KL$2:$KL$317),"")</f>
        <v>1.5</v>
      </c>
      <c r="FQ70" s="7">
        <f>IFERROR(AVERAGEIF('Данные 1st'!$S$2:$S$317,$A70,'Данные 1st'!$KM$2:$KM$317),"")</f>
        <v>0</v>
      </c>
      <c r="FR70" s="7">
        <f>IFERROR(AVERAGEIF('Данные 1st'!$S$2:$S$317,$A70,'Данные 1st'!$KN$2:$KN$317),"")</f>
        <v>0</v>
      </c>
      <c r="FS70" s="7">
        <f>IFERROR(AVERAGEIF('Данные 1st'!$S$2:$S$317,$A70,'Данные 1st'!$KR$2:$KR$317),"")</f>
        <v>33.333333333333336</v>
      </c>
      <c r="FT70" s="7">
        <f>IFERROR(AVERAGEIF('Данные 1st'!$S$2:$S$317,$A70,'Данные 1st'!$KS$2:$KS$317),"")</f>
        <v>60</v>
      </c>
      <c r="FU70" s="7">
        <f>IFERROR(AVERAGEIF('Данные 1st'!$S$2:$S$317,$A70,'Данные 1st'!$KT$2:$KT$317),"")</f>
        <v>0</v>
      </c>
      <c r="FV70" s="7">
        <f>IFERROR(AVERAGEIF('Данные 1st'!$S$2:$S$317,$A70,'Данные 1st'!$KV$2:$KV$317),"")</f>
        <v/>
      </c>
      <c r="FW70" s="7">
        <f>IFERROR(AVERAGEIF('Данные 1st'!$S$2:$S$317,$A70,'Данные 1st'!$KW$2:$KW$317),"")</f>
        <v/>
      </c>
      <c r="FX70" s="7">
        <f>IFERROR(AVERAGEIF('Данные 1st'!$S$2:$S$317,$A70,'Данные 1st'!$KX$2:$KX$317),"")</f>
        <v/>
      </c>
      <c r="FY70" s="7">
        <f>IFERROR(AVERAGEIF('Данные 1st'!$S$2:$S$317,$A70,'Данные 1st'!$KY$2:$KY$317),"")</f>
        <v/>
      </c>
      <c r="FZ70" s="7">
        <f>IFERROR(AVERAGEIF('Данные 1st'!$S$2:$S$317,$A70,'Данные 1st'!$KZ$2:$KZ$317),"")</f>
        <v/>
      </c>
      <c r="GA70" s="7">
        <f>IFERROR(AVERAGEIF('Данные 1st'!$S$2:$S$317,$A70,'Данные 1st'!$LA$2:$LA$317),"")</f>
        <v/>
      </c>
      <c r="GB70" s="7">
        <f>IFERROR(AVERAGEIF('Данные 1st'!$S$2:$S$317,$A70,'Данные 1st'!$LB$2:$LB$317),"")</f>
        <v/>
      </c>
      <c r="GC70" s="7">
        <f>IFERROR(AVERAGEIF('Данные 1st'!$S$2:$S$317,$A70,'Данные 1st'!$LC$2:$LC$317),"")</f>
        <v/>
      </c>
      <c r="GD70" s="7">
        <f>IFERROR(AVERAGEIF('Данные 1st'!$S$2:$S$317,$A70,'Данные 1st'!$LD$2:$LD$317),"")</f>
        <v/>
      </c>
      <c r="GE70" s="7">
        <f>IFERROR(AVERAGEIF('Данные 1st'!$S$2:$S$317,$A70,'Данные 1st'!$LE$2:$LE$317),"")</f>
        <v/>
      </c>
      <c r="GF70" s="7">
        <f>IFERROR(AVERAGEIF('Данные 1st'!$S$2:$S$317,$A70,'Данные 1st'!$LF$2:$LF$317),"")</f>
        <v/>
      </c>
      <c r="GG70" s="7">
        <f>IFERROR(AVERAGEIF('Данные 1st'!$S$2:$S$317,$A70,'Данные 1st'!$LG$2:$LG$317),"")</f>
        <v/>
      </c>
      <c r="GH70" s="7">
        <f>IFERROR(AVERAGEIF('Данные 1st'!$S$2:$S$317,$A70,'Данные 1st'!$LH$2:$LH$317),"")</f>
        <v/>
      </c>
      <c r="GI70" s="7">
        <f>IFERROR(AVERAGEIF('Данные 1st'!$S$2:$S$317,$A70,'Данные 1st'!$LI$2:$LI$317),"")</f>
        <v/>
      </c>
      <c r="GJ70" s="7">
        <f>IFERROR(AVERAGEIF('Данные 1st'!$S$2:$S$317,$A70,'Данные 1st'!$LJ$2:$LJ$317),"")</f>
        <v/>
      </c>
      <c r="GK70" s="7">
        <f>IFERROR(AVERAGEIF('Данные 1st'!$S$2:$S$317,$A70,'Данные 1st'!$LK$2:$LK$317),"")</f>
        <v>480</v>
      </c>
      <c r="GL70" s="7">
        <f>IFERROR(AVERAGEIF('Данные 1st'!$S$2:$S$317,$A70,'Данные 1st'!$LV$2:$LV$317),"")</f>
        <v/>
      </c>
      <c r="GM70" s="7">
        <f>IFERROR(AVERAGEIF('Данные 1st'!$S$2:$S$317,$A70,'Данные 1st'!$LW$2:$LW$317),"")</f>
        <v/>
      </c>
      <c r="GN70" s="7">
        <f>IFERROR(AVERAGEIF('Данные 1st'!$S$2:$S$317,$A70,'Данные 1st'!$LX$2:$LX$317),"")</f>
        <v/>
      </c>
      <c r="GO70" s="7">
        <f>IFERROR(AVERAGEIF('Данные 1st'!$S$2:$S$317,$A70,'Данные 1st'!$LY$2:$LY$317),"")</f>
        <v/>
      </c>
      <c r="GP70" s="7">
        <f>IFERROR(AVERAGEIF('Данные 1st'!$S$2:$S$317,$A70,'Данные 1st'!$LZ$2:$LZ$317),"")</f>
        <v/>
      </c>
      <c r="GQ70" s="7">
        <f>IFERROR(AVERAGEIF('Данные 1st'!$S$2:$S$317,$A70,'Данные 1st'!$PG$2:$PG$317),"")</f>
        <v>1</v>
      </c>
      <c r="GR70" s="7">
        <f>IFERROR(AVERAGEIF('Данные 1st'!$S$2:$S$317,$A70,'Данные 1st'!$PX$2:$PX$317),"")</f>
        <v>56</v>
      </c>
      <c r="GS70" s="7">
        <f>IFERROR(AVERAGEIF('Данные 1st'!$S$2:$S$317,$A70,'Данные 1st'!$PY$2:$PY$317),"")</f>
        <v>56.5</v>
      </c>
      <c r="GT70" s="7">
        <f>IFERROR(AVERAGEIF('Данные 1st'!$S$2:$S$317,$A70,'Данные 1st'!$QA$2:$QA$317),"")</f>
        <v>1.5</v>
      </c>
      <c r="GU70" s="7">
        <f>IFERROR(AVERAGEIF('Данные 1st'!$S$2:$S$317,$A70,'Данные 1st'!$QB$2:$QB$317),"")</f>
        <v>1533</v>
      </c>
      <c r="GV70" s="7">
        <f>IFERROR(AVERAGEIF('Данные 1st'!$S$2:$S$317,$A70,'Данные 1st'!$QC$2:$QC$317),"")</f>
        <v>69</v>
      </c>
      <c r="GW70" s="7">
        <f>IFERROR(AVERAGEIF('Данные 1st'!$S$2:$S$317,$A70,'Данные 1st'!$QD$2:$QD$317),"")</f>
        <v>69</v>
      </c>
      <c r="GX70" s="7">
        <f>IFERROR(AVERAGEIF('Данные 1st'!$S$2:$S$317,$A70,'Данные 1st'!$QF$2:$QF$317),"")</f>
        <v>1.1666666666666667</v>
      </c>
      <c r="GY70" s="7">
        <f>IFERROR(AVERAGEIF('Данные 1st'!$S$2:$S$317,$A70,'Данные 1st'!$QG$2:$QG$317),"")</f>
        <v>1554.1666666666667</v>
      </c>
      <c r="GZ70" s="7">
        <f>IFERROR(AVERAGEIF('Данные 1st'!$S$2:$S$317,$A70,'Данные 1st'!$QH$2:$QH$317),"")</f>
        <v>66</v>
      </c>
      <c r="HA70" s="7">
        <f>IFERROR(AVERAGEIF('Данные 1st'!$S$2:$S$317,$A70,'Данные 1st'!$QI$2:$QI$317),"")</f>
        <v>66</v>
      </c>
      <c r="HB70" s="7">
        <f>IFERROR(AVERAGEIF('Данные 1st'!$S$2:$S$317,$A70,'Данные 1st'!$QK$2:$QK$317),"")</f>
        <v>1</v>
      </c>
      <c r="HC70" s="7">
        <f>IFERROR(AVERAGEIF('Данные 1st'!$S$2:$S$317,$A70,'Данные 1st'!$QL$2:$QL$317),"")</f>
        <v>1554.1666666666667</v>
      </c>
      <c r="HD70" s="7">
        <f>IFERROR(AVERAGEIF('Данные 1st'!$S$2:$S$317,$A70,'Данные 1st'!$QM$2:$QM$317),"")</f>
        <v>62</v>
      </c>
      <c r="HE70" s="7">
        <f>IFERROR(AVERAGEIF('Данные 1st'!$S$2:$S$317,$A70,'Данные 1st'!$QN$2:$QN$317),"")</f>
        <v>62</v>
      </c>
      <c r="HF70" s="7">
        <f>IFERROR(AVERAGEIF('Данные 1st'!$S$2:$S$317,$A70,'Данные 1st'!$QP$2:$QP$317),"")</f>
        <v>1</v>
      </c>
      <c r="HG70" s="7">
        <f>IFERROR(AVERAGEIF('Данные 1st'!$S$2:$S$317,$A70,'Данные 1st'!$QQ$2:$QQ$317),"")</f>
        <v>1547.1666666666667</v>
      </c>
      <c r="HH70" s="7">
        <f>IFERROR(AVERAGEIF('Данные 1st'!$S$2:$S$317,$A70,'Данные 1st'!$QR$2:$QR$317),"")</f>
        <v>62</v>
      </c>
      <c r="HI70" s="7">
        <f>IFERROR(AVERAGEIF('Данные 1st'!$S$2:$S$317,$A70,'Данные 1st'!$QS$2:$QS$317),"")</f>
        <v>62</v>
      </c>
      <c r="HJ70" s="7">
        <f>IFERROR(AVERAGEIF('Данные 1st'!$S$2:$S$317,$A70,'Данные 1st'!$QU$2:$QU$317),"")</f>
        <v>1</v>
      </c>
      <c r="HK70" s="7">
        <f>IFERROR(AVERAGEIF('Данные 1st'!$S$2:$S$317,$A70,'Данные 1st'!$QV$2:$QV$317),"")</f>
        <v>1553</v>
      </c>
      <c r="HL70" s="7">
        <f>IFERROR(AVERAGEIF('Данные 1st'!$S$2:$S$317,$A70,'Данные 1st'!$QW$2:$QW$317),"")</f>
        <v>82</v>
      </c>
      <c r="HM70" s="7">
        <f>IFERROR(AVERAGEIF('Данные 1st'!$S$2:$S$317,$A70,'Данные 1st'!$QX$2:$QX$317),"")</f>
        <v/>
      </c>
      <c r="HN70" s="7">
        <f>IFERROR(AVERAGEIF('Данные 1st'!$S$2:$S$317,$A70,'Данные 1st'!$QZ$2:$QZ$317),"")</f>
        <v>2.5</v>
      </c>
      <c r="HO70" s="7">
        <f>IFERROR(AVERAGEIF('Данные 1st'!$S$2:$S$317,$A70,'Данные 1st'!$RA$2:$RA$317),"")</f>
        <v>66</v>
      </c>
      <c r="HP70" s="7">
        <f>IFERROR(AVERAGEIF('Данные 1st'!$S$2:$S$317,$A70,'Данные 1st'!$RB$2:$RB$317),"")</f>
        <v>66</v>
      </c>
      <c r="HQ70" s="7">
        <f>IFERROR(AVERAGEIF('Данные 1st'!$S$2:$S$317,$A70,'Данные 1st'!$RD$2:$RD$317),"")</f>
        <v/>
      </c>
      <c r="HR70" s="7">
        <f>IFERROR(AVERAGEIF('Данные 1st'!$S$2:$S$317,$A70,'Данные 1st'!$RE$2:$RE$317),"")</f>
        <v>0</v>
      </c>
      <c r="HS70" s="7">
        <f>IFERROR(AVERAGEIF('Данные 1st'!$S$2:$S$317,$A70,'Данные 1st'!$RF$2:$RF$317),"")</f>
        <v>1</v>
      </c>
      <c r="HT70" s="7">
        <f>IFERROR(AVERAGEIF('Данные 1st'!$S$2:$S$317,$A70,'Данные 1st'!$RG$2:$RG$317),"")</f>
        <v/>
      </c>
      <c r="HU70" s="7">
        <f>IFERROR(AVERAGEIF('Данные 1st'!$S$2:$S$317,$A70,'Данные 1st'!$RH$2:$RH$317),"")</f>
        <v>1</v>
      </c>
      <c r="HV70" s="7">
        <f>IFERROR(AVERAGEIF('Данные 1st'!$S$2:$S$317,$A70,'Данные 1st'!$RI$2:$RI$317),"")</f>
        <v/>
      </c>
      <c r="HW70" s="7">
        <f>IFERROR(AVERAGEIF('Данные 1st'!$S$2:$S$317,$A70,'Данные 1st'!$RJ$2:$RJ$317),"")</f>
        <v>1</v>
      </c>
      <c r="HX70" s="7">
        <f>IFERROR(AVERAGEIF('Данные 1st'!$S$2:$S$317,$A70,'Данные 1st'!$RK$2:$RK$317),"")</f>
        <v>2.3333333333333335</v>
      </c>
      <c r="HY70" s="7">
        <f>IFERROR(AVERAGEIF('Данные 1st'!$S$2:$S$317,$A70,'Данные 1st'!$RL$2:$RL$317),"")</f>
        <v>3.5</v>
      </c>
      <c r="HZ70" s="7">
        <f>IFERROR(AVERAGEIF('Данные 1st'!$S$2:$S$317,$A70,'Данные 1st'!$RM$2:$RM$317),"")</f>
        <v>3.5</v>
      </c>
      <c r="IA70" s="7">
        <f>IFERROR(AVERAGEIF('Данные 1st'!$S$2:$S$317,$A70,'Данные 1st'!$RN$2:$RN$317),"")</f>
        <v/>
      </c>
      <c r="IB70" s="7">
        <f>IFERROR(AVERAGEIF('Данные 1st'!$S$2:$S$317,$A70,'Данные 1st'!$RO$2:$RO$317),"")</f>
        <v>604.6666666666666</v>
      </c>
      <c r="IC70" s="7">
        <f>IFERROR(AVERAGEIF('Данные 1st'!$S$2:$S$317,$A70,'Данные 1st'!$RP$2:$RP$317),"")</f>
        <v>128.66666666666666</v>
      </c>
      <c r="ID70" s="7">
        <f>IFERROR(AVERAGEIF('Данные 1st'!$S$2:$S$317,$A70,'Данные 1st'!$RQ$2:$RQ$317),"")</f>
        <v>749.1666666666666</v>
      </c>
      <c r="IE70" s="7">
        <f>IFERROR(AVERAGEIF('Данные 1st'!$S$2:$S$317,$A70,'Данные 1st'!$RR$2:$RR$317),"")</f>
        <v>597.1666666666666</v>
      </c>
      <c r="IF70" s="7">
        <f>IFERROR(AVERAGEIF('Данные 1st'!$S$2:$S$317,$A70,'Данные 1st'!$RS$2:$RS$317),"")</f>
        <v/>
      </c>
      <c r="IG70" s="7">
        <f>IFERROR(AVERAGEIF('Данные 1st'!$S$2:$S$317,$A70,'Данные 1st'!$RT$2:$RT$317),"")</f>
        <v>366.1666666666667</v>
      </c>
      <c r="IH70" s="7">
        <f>IFERROR(AVERAGEIF('Данные 1st'!$S$2:$S$317,$A70,'Данные 1st'!$RU$2:$RU$317),"")</f>
        <v>236.33333333333334</v>
      </c>
      <c r="II70" s="7">
        <f>IFERROR(AVERAGEIF('Данные 1st'!$S$2:$S$317,$A70,'Данные 1st'!$RX$2:$RX$317),"")</f>
        <v>15</v>
      </c>
      <c r="IJ70" s="7">
        <f>IFERROR(AVERAGEIF('Данные 1st'!$S$2:$S$317,$A70,'Данные 1st'!$RY$2:$RY$317),"")</f>
        <v>4</v>
      </c>
      <c r="IK70" s="7">
        <f>IFERROR(AVERAGEIF('Данные 1st'!$S$2:$S$317,$A70,'Данные 1st'!$SA$2:$SA$317),"")</f>
        <v>15</v>
      </c>
      <c r="IL70" s="7">
        <f>IFERROR(AVERAGEIF('Данные 1st'!$S$2:$S$317,$A70,'Данные 1st'!$SD$2:$SD$317),"")</f>
        <v>1</v>
      </c>
      <c r="IM70" s="7">
        <f>IFERROR(AVERAGEIF('Данные 1st'!$S$2:$S$317,$A70,'Данные 1st'!$SG$2:$SG$317),"")</f>
        <v>1</v>
      </c>
      <c r="IN70" s="7">
        <f>IFERROR(AVERAGEIF('Данные 1st'!$S$2:$S$317,$A70,'Данные 1st'!$SH$2:$SH$317),"")</f>
        <v>0.995</v>
      </c>
      <c r="IO70" s="7">
        <f>IFERROR(AVERAGEIF('Данные 1st'!$S$2:$S$317,$A70,'Данные 1st'!$SI$2:$SI$317),"")</f>
        <v>0.995</v>
      </c>
      <c r="IP70" s="7">
        <f>IFERROR(AVERAGEIF('Данные 1st'!$S$2:$S$317,$A70,'Данные 1st'!$SJ$2:$SJ$317),"")</f>
        <v>0.995</v>
      </c>
      <c r="IQ70" s="7">
        <f>IFERROR(AVERAGEIF('Данные 1st'!$S$2:$S$317,$A70,'Данные 1st'!$SK$2:$SK$317),"")</f>
        <v>15</v>
      </c>
      <c r="IR70" s="7">
        <f>IFERROR(AVERAGEIF('Данные 1st'!$S$2:$S$317,$A70,'Данные 1st'!$SL$2:$SL$317),"")</f>
        <v>0</v>
      </c>
      <c r="IS70" s="7">
        <f>IFERROR(AVERAGEIF('Данные 1st'!$S$2:$S$317,$A70,'Данные 1st'!$SM$2:$SM$317),"")</f>
        <v>0</v>
      </c>
      <c r="IT70" s="7">
        <f>IFERROR(AVERAGEIF('Данные 1st'!$S$2:$S$317,$A70,'Данные 1st'!$SN$2:$SN$317),"")</f>
        <v>0</v>
      </c>
      <c r="IU70" s="7">
        <f>IFERROR(AVERAGEIF('Данные 1st'!$S$2:$S$317,$A70,'Данные 1st'!$SO$2:$SO$317),"")</f>
        <v>0</v>
      </c>
      <c r="IV70" s="7">
        <f>IFERROR(AVERAGEIF('Данные 1st'!$S$2:$S$317,$A70,'Данные 1st'!$SP$2:$SP$317),"")</f>
        <v>0</v>
      </c>
      <c r="IW70" s="7">
        <f>IFERROR(AVERAGEIF('Данные 1st'!$S$2:$S$317,$A70,'Данные 1st'!$SQ$2:$SQ$317),"")</f>
        <v>0</v>
      </c>
      <c r="IX70" s="7">
        <f>IFERROR(AVERAGEIF('Данные 1st'!$S$2:$S$317,$A70,'Данные 1st'!$SR$2:$SR$317),"")</f>
        <v>0</v>
      </c>
      <c r="IY70" s="7">
        <f>IFERROR(AVERAGEIF('Данные 1st'!$S$2:$S$317,$A70,'Данные 1st'!$SS$2:$SS$317),"")</f>
        <v>0</v>
      </c>
      <c r="IZ70" s="7">
        <f>IFERROR(AVERAGEIF('Данные 1st'!$S$2:$S$317,$A70,'Данные 1st'!$ST$2:$ST$317),"")</f>
        <v>0</v>
      </c>
      <c r="JA70" s="7">
        <f>IFERROR(AVERAGEIF('Данные 1st'!$S$2:$S$317,$A70,'Данные 1st'!$SU$2:$SU$317),"")</f>
        <v>0</v>
      </c>
      <c r="JB70" s="7">
        <f>IFERROR(AVERAGEIF('Данные 1st'!$S$2:$S$317,$A70,'Данные 1st'!$SV$2:$SV$317),"")</f>
        <v>0</v>
      </c>
      <c r="JC70" s="7">
        <f>IFERROR(AVERAGEIF('Данные 1st'!$S$2:$S$317,$A70,'Данные 1st'!$SW$2:$SW$317),"")</f>
        <v>0</v>
      </c>
      <c r="JD70" s="7">
        <f>IFERROR(AVERAGEIF('Данные 1st'!$S$2:$S$317,$A70,'Данные 1st'!$SX$2:$SX$317),"")</f>
        <v>0</v>
      </c>
      <c r="JE70" s="7">
        <f>IFERROR(AVERAGEIF('Данные 1st'!$S$2:$S$317,$A70,'Данные 1st'!$SY$2:$SY$317),"")</f>
        <v>1</v>
      </c>
      <c r="JF70" s="7">
        <f>IFERROR(AVERAGEIF('Данные 1st'!$S$2:$S$317,$A70,'Данные 1st'!$SZ$2:$SZ$317),"")</f>
        <v>1</v>
      </c>
      <c r="JG70" s="7">
        <f>IFERROR(AVERAGEIF('Данные 1st'!$S$2:$S$317,$A70,'Данные 1st'!$TA$2:$TA$317),"")</f>
        <v/>
      </c>
      <c r="JH70" s="7">
        <f>IFERROR(AVERAGEIF('Данные 1st'!$S$2:$S$317,$A70,'Данные 1st'!$TB$2:$TB$317),"")</f>
        <v>0</v>
      </c>
      <c r="JI70" s="7">
        <f>IFERROR(AVERAGEIF('Данные 1st'!$S$2:$S$317,$A70,'Данные 1st'!$TC$2:$TC$317),"")</f>
        <v>0</v>
      </c>
      <c r="JJ70" s="7">
        <f>IFERROR(AVERAGEIF('Данные 1st'!$S$2:$S$317,$A70,'Данные 1st'!$TD$2:$TD$317),"")</f>
        <v>7.816666666666666</v>
      </c>
      <c r="JK70" s="7">
        <f>IFERROR(AVERAGEIF('Данные 1st'!$S$2:$S$317,$A70,'Данные 1st'!$TN$2:$TN$317),"")</f>
        <v>0</v>
      </c>
      <c r="JL70">
        <f>COUNTIF('Данные 2st'!$Q$2:$Q$317,$A70)</f>
        <v>6</v>
      </c>
      <c r="JM70" s="6" t="s">
        <v>5116</v>
      </c>
      <c r="JN70" s="6" t="s">
        <v>513</v>
      </c>
      <c r="JO70" s="6" t="s">
        <v>5125</v>
      </c>
      <c r="JP70" s="6" t="s">
        <v>5516</v>
      </c>
      <c r="JQ70" s="7">
        <f>IFERROR(AVERAGEIF('Данные 2st'!$Q$2:$Q$317,$A70,'Данные 2st'!$AC$2:$AC$317),"")</f>
        <v>9</v>
      </c>
      <c r="JR70" s="7">
        <f>IFERROR(AVERAGEIF('Данные 2st'!$Q$2:$Q$317,$A70,'Данные 2st'!$AF$2:$AF$317),"")</f>
        <v>6375.333333333333</v>
      </c>
      <c r="JS70" s="7">
        <f>IFERROR(AVERAGEIF('Данные 2st'!$Q$2:$Q$317,$A70,'Данные 2st'!$AW$2:$AW$317),"")</f>
        <v>6.4</v>
      </c>
      <c r="JT70" s="7">
        <f>IFERROR(AVERAGEIF('Данные 2st'!$Q$2:$Q$317,$A70,'Данные 2st'!$AX$2:$AX$317),"")</f>
        <v>-6</v>
      </c>
      <c r="JU70" s="7">
        <f>IFERROR(AVERAGEIF('Данные 2st'!$Q$2:$Q$317,$A70,'Данные 2st'!$AY$2:$AY$317),"")</f>
        <v>113.5</v>
      </c>
      <c r="JV70" s="7">
        <f>IFERROR(AVERAGEIF('Данные 2st'!$Q$2:$Q$317,$A70,'Данные 2st'!$AZ$2:$AZ$317),"")</f>
        <v>83.41666666666667</v>
      </c>
      <c r="JW70" s="7">
        <f>IFERROR(AVERAGEIF('Данные 2st'!$Q$2:$Q$317,$A70,'Данные 2st'!$BA$2:$BA$317),"")</f>
        <v/>
      </c>
      <c r="JX70" s="7">
        <f>IFERROR(AVERAGEIF('Данные 2st'!$Q$2:$Q$317,$A70,'Данные 2st'!$BB$2:$BB$317),"")</f>
        <v/>
      </c>
      <c r="JY70" s="7">
        <f>IFERROR(AVERAGEIF('Данные 2st'!$Q$2:$Q$317,$A70,'Данные 2st'!$BC$2:$BC$317),"")</f>
        <v/>
      </c>
      <c r="JZ70" s="7">
        <f>IFERROR(AVERAGEIF('Данные 2st'!$Q$2:$Q$317,$A70,'Данные 2st'!$BH$2:$BH$317),"")</f>
        <v>113.5</v>
      </c>
      <c r="KA70" s="7">
        <f>IFERROR(AVERAGEIF('Данные 2st'!$Q$2:$Q$317,$A70,'Данные 2st'!$BI$2:$BI$317),"")</f>
        <v>30.083333333333332</v>
      </c>
      <c r="KB70" s="7">
        <f>IFERROR(AVERAGEIF('Данные 2st'!$Q$2:$Q$317,$A70,'Данные 2st'!$BJ$2:$BJ$317),"")</f>
        <v>83.41666666666667</v>
      </c>
      <c r="KC70" s="7">
        <f>IFERROR(AVERAGEIF('Данные 2st'!$Q$2:$Q$317,$A70,'Данные 2st'!$BK$2:$BK$317),"")</f>
        <v>2.6666666666666665</v>
      </c>
      <c r="KD70" s="7">
        <f>IFERROR(AVERAGEIF('Данные 2st'!$Q$2:$Q$317,$A70,'Данные 2st'!$BL$2:$BL$317),"")</f>
        <v>227</v>
      </c>
      <c r="KE70" s="7">
        <f>IFERROR(AVERAGEIF('Данные 2st'!$Q$2:$Q$317,$A70,'Данные 2st'!$BM$2:$BM$317),"")</f>
        <v>-6</v>
      </c>
      <c r="KF70" s="7">
        <f>IFERROR(AVERAGEIF('Данные 2st'!$Q$2:$Q$317,$A70,'Данные 2st'!$BN$2:$BN$317),"")</f>
        <v>0</v>
      </c>
      <c r="KG70" s="7">
        <f>IFERROR(AVERAGEIF('Данные 2st'!$Q$2:$Q$317,$A70,'Данные 2st'!$BO$2:$BO$317),"")</f>
        <v>0</v>
      </c>
      <c r="KH70" s="7">
        <f>IFERROR(AVERAGEIF('Данные 2st'!$Q$2:$Q$317,$A70,'Данные 2st'!$BP$2:$BP$317),"")</f>
        <v>0</v>
      </c>
      <c r="KI70" s="7">
        <f>IFERROR(AVERAGEIF('Данные 2st'!$Q$2:$Q$317,$A70,'Данные 2st'!$BR$2:$BR$317),"")</f>
        <v>221.66666666666666</v>
      </c>
      <c r="KJ70" s="7">
        <f>IFERROR(AVERAGEIF('Данные 2st'!$Q$2:$Q$317,$A70,'Данные 2st'!$BS$2:$BS$317),"")</f>
        <v>211.66666666666666</v>
      </c>
      <c r="KK70" s="7">
        <f>IFERROR(AVERAGEIF('Данные 2st'!$Q$2:$Q$317,$A70,'Данные 2st'!$BT$2:$BT$317),"")</f>
        <v>2235</v>
      </c>
      <c r="KL70" s="7">
        <f>IFERROR(AVERAGEIF('Данные 2st'!$Q$2:$Q$317,$A70,'Данные 2st'!$CV$2:$CV$317),"")</f>
        <v>138.83333333333334</v>
      </c>
      <c r="KM70" s="7">
        <f>IFERROR(AVERAGEIF('Данные 2st'!$Q$2:$Q$317,$A70,'Данные 2st'!$CW$2:$CW$317),"")</f>
        <v>3</v>
      </c>
      <c r="KN70" s="7">
        <f>IFERROR(AVERAGEIF('Данные 2st'!$Q$2:$Q$317,$A70,'Данные 2st'!$CX$2:$CX$317),"")</f>
        <v>95.33333333333333</v>
      </c>
      <c r="KO70" s="7">
        <f>IFERROR(AVERAGEIF('Данные 2st'!$Q$2:$Q$317,$A70,'Данные 2st'!$CY$2:$CY$317),"")</f>
        <v>5</v>
      </c>
      <c r="KP70" s="7">
        <f>IFERROR(AVERAGEIF('Данные 2st'!$Q$2:$Q$317,$A70,'Данные 2st'!$CZ$2:$CZ$317),"")</f>
        <v>161</v>
      </c>
      <c r="KQ70" s="7">
        <f>IFERROR(AVERAGEIF('Данные 2st'!$Q$2:$Q$317,$A70,'Данные 2st'!$DA$2:$DA$317),"")</f>
        <v>5</v>
      </c>
      <c r="KR70" s="7">
        <f>IFERROR(AVERAGEIF('Данные 2st'!$Q$2:$Q$317,$A70,'Данные 2st'!$DB$2:$DB$317),"")</f>
        <v>14921.666666666666</v>
      </c>
      <c r="KS70" s="7">
        <f>IFERROR(AVERAGEIF('Данные 2st'!$Q$2:$Q$317,$A70,'Данные 2st'!$DC$2:$DC$317),"")</f>
        <v>430</v>
      </c>
      <c r="KT70" s="7">
        <f>IFERROR(AVERAGEIF('Данные 2st'!$Q$2:$Q$317,$A70,'Данные 2st'!$DD$2:$DD$317),"")</f>
        <v>376.5</v>
      </c>
      <c r="KU70" s="7">
        <f>IFERROR(AVERAGEIF('Данные 2st'!$Q$2:$Q$317,$A70,'Данные 2st'!$DE$2:$DE$317),"")</f>
        <v>2359.3333333333335</v>
      </c>
      <c r="KV70" s="7">
        <f>IFERROR(AVERAGEIF('Данные 2st'!$Q$2:$Q$317,$A70,'Данные 2st'!$DF$2:$DF$317),"")</f>
        <v>2359.3333333333335</v>
      </c>
      <c r="KW70" s="7">
        <f>IFERROR(AVERAGEIF('Данные 2st'!$Q$2:$Q$317,$A70,'Данные 2st'!$DG$2:$DG$317),"")</f>
        <v>2374.1666666666665</v>
      </c>
      <c r="KX70" s="7">
        <f>IFERROR(AVERAGEIF('Данные 2st'!$Q$2:$Q$317,$A70,'Данные 2st'!$DH$2:$DH$317),"")</f>
        <v>1.3333333333333333</v>
      </c>
      <c r="KY70" s="7">
        <f>IFERROR(AVERAGEIF('Данные 2st'!$Q$2:$Q$317,$A70,'Данные 2st'!$DI$2:$DI$317),"")</f>
        <v/>
      </c>
      <c r="KZ70" s="7">
        <f>IFERROR(AVERAGEIF('Данные 2st'!$Q$2:$Q$317,$A70,'Данные 2st'!$DK$2:$DK$317),"")</f>
        <v>221.66666666666666</v>
      </c>
      <c r="LA70" s="7">
        <f>IFERROR(AVERAGEIF('Данные 2st'!$Q$2:$Q$317,$A70,'Данные 2st'!$DM$2:$DM$317),"")</f>
        <v>64</v>
      </c>
      <c r="LB70" s="7">
        <f>IFERROR(AVERAGEIF('Данные 2st'!$Q$2:$Q$317,$A70,'Данные 2st'!$DN$2:$DN$317),"")</f>
        <v>1.2933333333333334</v>
      </c>
      <c r="LC70" s="7">
        <f>IFERROR(AVERAGEIF('Данные 2st'!$Q$2:$Q$317,$A70,'Данные 2st'!$DO$2:$DO$317),"")</f>
        <v>1</v>
      </c>
      <c r="LD70" s="7">
        <f>IFERROR(AVERAGEIF('Данные 2st'!$Q$2:$Q$317,$A70,'Данные 2st'!$DP$2:$DP$317),"")</f>
        <v>2239</v>
      </c>
      <c r="LE70" s="7">
        <f>IFERROR(AVERAGEIF('Данные 2st'!$Q$2:$Q$317,$A70,'Данные 2st'!$DQ$2:$DQ$317),"")</f>
        <v>1215.3333333333333</v>
      </c>
      <c r="LF70" s="7">
        <f>IFERROR(AVERAGEIF('Данные 2st'!$Q$2:$Q$317,$A70,'Данные 2st'!$DS$2:$DS$317),"")</f>
        <v>211.66666666666666</v>
      </c>
      <c r="LG70" s="7">
        <f>IFERROR(AVERAGEIF('Данные 2st'!$Q$2:$Q$317,$A70,'Данные 2st'!$DU$2:$DU$317),"")</f>
        <v>64</v>
      </c>
      <c r="LH70" s="7">
        <f>IFERROR(AVERAGEIF('Данные 2st'!$Q$2:$Q$317,$A70,'Данные 2st'!$DV$2:$DV$317),"")</f>
        <v>1.2933333333333334</v>
      </c>
      <c r="LI70" s="7">
        <f>IFERROR(AVERAGEIF('Данные 2st'!$Q$2:$Q$317,$A70,'Данные 2st'!$DW$2:$DW$317),"")</f>
        <v>1</v>
      </c>
      <c r="LJ70" s="7">
        <f>IFERROR(AVERAGEIF('Данные 2st'!$Q$2:$Q$317,$A70,'Данные 2st'!$DX$2:$DX$317),"")</f>
        <v>2252.3333333333335</v>
      </c>
      <c r="LK70" s="7">
        <f>IFERROR(AVERAGEIF('Данные 2st'!$Q$2:$Q$317,$A70,'Данные 2st'!$DY$2:$DY$317),"")</f>
        <v>1167.8333333333333</v>
      </c>
      <c r="LL70" s="7">
        <f>IFERROR(AVERAGEIF('Данные 2st'!$Q$2:$Q$317,$A70,'Данные 2st'!$EA$2:$EA$317),"")</f>
        <v>20</v>
      </c>
      <c r="LM70" s="7">
        <f>IFERROR(AVERAGEIF('Данные 2st'!$Q$2:$Q$317,$A70,'Данные 2st'!$EC$2:$EC$317),"")</f>
        <v>0.8</v>
      </c>
      <c r="LN70" s="7">
        <f>IFERROR(AVERAGEIF('Данные 2st'!$Q$2:$Q$317,$A70,'Данные 2st'!$ED$2:$ED$317),"")</f>
        <v>2239</v>
      </c>
      <c r="LO70" s="7">
        <f>IFERROR(AVERAGEIF('Данные 2st'!$Q$2:$Q$317,$A70,'Данные 2st'!$EE$2:$EE$317),"")</f>
        <v>78.33333333333333</v>
      </c>
      <c r="LP70" s="7">
        <f>IFERROR(AVERAGEIF('Данные 2st'!$Q$2:$Q$317,$A70,'Данные 2st'!$EG$2:$EG$317),"")</f>
        <v>0</v>
      </c>
      <c r="LQ70" s="7">
        <f>IFERROR(AVERAGEIF('Данные 2st'!$Q$2:$Q$317,$A70,'Данные 2st'!$EI$2:$EI$317),"")</f>
        <v>0</v>
      </c>
      <c r="LR70" s="7">
        <f>IFERROR(AVERAGEIF('Данные 2st'!$Q$2:$Q$317,$A70,'Данные 2st'!$EJ$2:$EJ$317),"")</f>
        <v/>
      </c>
      <c r="LS70" s="7">
        <f>IFERROR(AVERAGEIF('Данные 2st'!$Q$2:$Q$317,$A70,'Данные 2st'!$EK$2:$EK$317),"")</f>
        <v/>
      </c>
      <c r="LT70" s="7">
        <f>IFERROR(AVERAGEIF('Данные 2st'!$Q$2:$Q$317,$A70,'Данные 2st'!$EM$2:$EM$317),"")</f>
        <v>12</v>
      </c>
      <c r="LU70" s="7">
        <f>IFERROR(AVERAGEIF('Данные 2st'!$Q$2:$Q$317,$A70,'Данные 2st'!$EN$2:$EN$317),"")</f>
        <v>0.5</v>
      </c>
      <c r="LV70" s="7">
        <f>IFERROR(AVERAGEIF('Данные 2st'!$Q$2:$Q$317,$A70,'Данные 2st'!$EO$2:$EO$317),"")</f>
        <v>0.96</v>
      </c>
      <c r="LW70" s="7">
        <f>IFERROR(AVERAGEIF('Данные 2st'!$Q$2:$Q$317,$A70,'Данные 2st'!$EP$2:$EP$317),"")</f>
        <v>2251.26</v>
      </c>
      <c r="LX70" s="7">
        <f>IFERROR(AVERAGEIF('Данные 2st'!$Q$2:$Q$317,$A70,'Данные 2st'!$EQ$2:$EQ$317),"")</f>
        <v>42037.13333333333</v>
      </c>
      <c r="LY70" s="7">
        <f>IFERROR(AVERAGEIF('Данные 2st'!$Q$2:$Q$317,$A70,'Данные 2st'!$ER$2:$ER$317),"")</f>
        <v>10613.7</v>
      </c>
      <c r="LZ70" s="7">
        <f>IFERROR(AVERAGEIF('Данные 2st'!$Q$2:$Q$317,$A70,'Данные 2st'!$ES$2:$ES$317),"")</f>
        <v>0</v>
      </c>
      <c r="MA70" s="7">
        <f>IFERROR(AVERAGEIF('Данные 2st'!$Q$2:$Q$317,$A70,'Данные 2st'!$ET$2:$ET$317),"")</f>
        <v>0</v>
      </c>
      <c r="MB70" s="7">
        <f>IFERROR(AVERAGEIF('Данные 2st'!$Q$2:$Q$317,$A70,'Данные 2st'!$EU$2:$EU$317),"")</f>
        <v>1</v>
      </c>
      <c r="MC70" s="7">
        <f>IFERROR(AVERAGEIF('Данные 2st'!$Q$2:$Q$317,$A70,'Данные 2st'!$EV$2:$EV$317),"")</f>
        <v>52651.333333333336</v>
      </c>
      <c r="MD70" s="7">
        <f>IFERROR(AVERAGEIF('Данные 2st'!$Q$2:$Q$317,$A70,'Данные 2st'!$EW$2:$EW$317),"")</f>
        <v>632.1666666666666</v>
      </c>
      <c r="ME70" s="7">
        <f>IFERROR(AVERAGEIF('Данные 2st'!$Q$2:$Q$317,$A70,'Данные 2st'!$EY$2:$EY$317),"")</f>
        <v>247</v>
      </c>
      <c r="MF70" s="7">
        <f>IFERROR(AVERAGEIF('Данные 2st'!$Q$2:$Q$317,$A70,'Данные 2st'!$FA$2:$FA$317),"")</f>
        <v>5.583333333333333</v>
      </c>
      <c r="MG70" s="7">
        <f>IFERROR(AVERAGEIF('Данные 2st'!$Q$2:$Q$317,$A70,'Данные 2st'!$FB$2:$FB$317),"")</f>
        <v>1</v>
      </c>
      <c r="MH70" s="7">
        <f>IFERROR(AVERAGEIF('Данные 2st'!$Q$2:$Q$317,$A70,'Данные 2st'!$FC$2:$FC$317),"")</f>
        <v>1</v>
      </c>
      <c r="MI70" s="7">
        <f>IFERROR(AVERAGEIF('Данные 2st'!$Q$2:$Q$317,$A70,'Данные 2st'!$FD$2:$FD$317),"")</f>
        <v>2285.5</v>
      </c>
      <c r="MJ70" s="7">
        <f>IFERROR(AVERAGEIF('Данные 2st'!$Q$2:$Q$317,$A70,'Данные 2st'!$FE$2:$FE$317),"")</f>
        <v>3205</v>
      </c>
      <c r="MK70" s="7">
        <f>IFERROR(AVERAGEIF('Данные 2st'!$Q$2:$Q$317,$A70,'Данные 2st'!$FG$2:$FG$317),"")</f>
        <v>247</v>
      </c>
      <c r="ML70" s="7">
        <f>IFERROR(AVERAGEIF('Данные 2st'!$Q$2:$Q$317,$A70,'Данные 2st'!$FI$2:$FI$317),"")</f>
        <v>2.8</v>
      </c>
      <c r="MM70" s="7">
        <f>IFERROR(AVERAGEIF('Данные 2st'!$Q$2:$Q$317,$A70,'Данные 2st'!$FJ$2:$FJ$317),"")</f>
        <v>2285.5</v>
      </c>
      <c r="MN70" s="7">
        <f>IFERROR(AVERAGEIF('Данные 2st'!$Q$2:$Q$317,$A70,'Данные 2st'!$FK$2:$FK$317),"")</f>
        <v>1780</v>
      </c>
      <c r="MO70" s="7">
        <f>IFERROR(AVERAGEIF('Данные 2st'!$Q$2:$Q$317,$A70,'Данные 2st'!$FP$2:$FP$317),"")</f>
        <v>2285.5</v>
      </c>
      <c r="MP70" s="7">
        <f>IFERROR(AVERAGEIF('Данные 2st'!$Q$2:$Q$317,$A70,'Данные 2st'!$FQ$2:$FQ$317),"")</f>
        <v>182.66666666666666</v>
      </c>
      <c r="MQ70" s="7">
        <f>IFERROR(AVERAGEIF('Данные 2st'!$Q$2:$Q$317,$A70,'Данные 2st'!$FS$2:$FS$317),"")</f>
        <v>251</v>
      </c>
      <c r="MR70" s="7">
        <f>IFERROR(AVERAGEIF('Данные 2st'!$Q$2:$Q$317,$A70,'Данные 2st'!$FU$2:$FU$317),"")</f>
        <v>0.4</v>
      </c>
      <c r="MS70" s="7">
        <f>IFERROR(AVERAGEIF('Данные 2st'!$Q$2:$Q$317,$A70,'Данные 2st'!$FV$2:$FV$317),"")</f>
        <v>2285.5</v>
      </c>
      <c r="MT70" s="7">
        <f>IFERROR(AVERAGEIF('Данные 2st'!$Q$2:$Q$317,$A70,'Данные 2st'!$FW$2:$FW$317),"")</f>
        <v>255.5</v>
      </c>
      <c r="MU70" s="7">
        <f>IFERROR(AVERAGEIF('Данные 2st'!$Q$2:$Q$317,$A70,'Данные 2st'!$FY$2:$FY$317),"")</f>
        <v>5</v>
      </c>
      <c r="MV70" s="7">
        <f>IFERROR(AVERAGEIF('Данные 2st'!$Q$2:$Q$317,$A70,'Данные 2st'!$GB$2:$GB$317),"")</f>
        <v>2285.5</v>
      </c>
      <c r="MW70" s="7">
        <f>IFERROR(AVERAGEIF('Данные 2st'!$Q$2:$Q$317,$A70,'Данные 2st'!$GC$2:$GC$317),"")</f>
        <v>22.833333333333332</v>
      </c>
      <c r="MX70" s="7">
        <f>IFERROR(AVERAGEIF('Данные 2st'!$Q$2:$Q$317,$A70,'Данные 2st'!$GD$2:$GD$317),"")</f>
        <v>5446</v>
      </c>
      <c r="MY70" s="7">
        <f>IFERROR(AVERAGEIF('Данные 2st'!$Q$2:$Q$317,$A70,'Данные 2st'!$GN$2:$GN$317),"")</f>
        <v/>
      </c>
      <c r="MZ70" s="7">
        <f>IFERROR(AVERAGEIF('Данные 2st'!$Q$2:$Q$317,$A70,'Данные 2st'!$GQ$2:$GQ$317),"")</f>
        <v>0</v>
      </c>
      <c r="NA70" s="7">
        <f>IFERROR(AVERAGEIF('Данные 2st'!$Q$2:$Q$317,$A70,'Данные 2st'!$GV$2:$GV$317),"")</f>
        <v>8.783333333333333</v>
      </c>
      <c r="NB70" s="7">
        <f>IFERROR(AVERAGEIF('Данные 2st'!$Q$2:$Q$317,$A70,'Данные 2st'!$GW$2:$GW$317),"")</f>
        <v>10.066666666666666</v>
      </c>
      <c r="NC70" s="7">
        <f>IFERROR(AVERAGEIF('Данные 2st'!$Q$2:$Q$317,$A70,'Данные 2st'!$GX$2:$GX$317),"")</f>
        <v>0.5</v>
      </c>
      <c r="ND70" s="7">
        <f>IFERROR(AVERAGEIF('Данные 2st'!$Q$2:$Q$317,$A70,'Данные 2st'!$GY$2:$GY$317),"")</f>
        <v>209.33333333333334</v>
      </c>
      <c r="NE70" s="7">
        <f>IFERROR(AVERAGEIF('Данные 2st'!$Q$2:$Q$317,$A70,'Данные 2st'!$GZ$2:$GZ$317),"")</f>
        <v>3</v>
      </c>
      <c r="NF70" s="7">
        <f>IFERROR(AVERAGEIF('Данные 2st'!$Q$2:$Q$317,$A70,'Данные 2st'!$HA$2:$HA$317),"")</f>
        <v>266.6666666666667</v>
      </c>
      <c r="NG70" s="7">
        <f>IFERROR(AVERAGEIF('Данные 2st'!$Q$2:$Q$317,$A70,'Данные 2st'!$HB$2:$HB$317),"")</f>
        <v>3</v>
      </c>
      <c r="NH70" s="7">
        <f>IFERROR(AVERAGEIF('Данные 2st'!$Q$2:$Q$317,$A70,'Данные 2st'!$HC$2:$HC$317),"")</f>
        <v>2285.5</v>
      </c>
      <c r="NI70" s="7">
        <f>IFERROR(AVERAGEIF('Данные 2st'!$Q$2:$Q$317,$A70,'Данные 2st'!$HD$2:$HD$317),"")</f>
        <v>4</v>
      </c>
      <c r="NJ70" s="7">
        <f>IFERROR(AVERAGEIF('Данные 2st'!$Q$2:$Q$317,$A70,'Данные 2st'!$HM$2:$HM$317),"")</f>
        <v>20</v>
      </c>
      <c r="NK70" s="7">
        <f>IFERROR(AVERAGEIF('Данные 2st'!$Q$2:$Q$317,$A70,'Данные 2st'!$HR$2:$HR$317),"")</f>
        <v>1.6666666666666667</v>
      </c>
      <c r="NL70" s="7">
        <f>IFERROR(AVERAGEIF('Данные 2st'!$Q$2:$Q$317,$A70,'Данные 2st'!$HS$2:$HS$317),"")</f>
        <v>2235</v>
      </c>
      <c r="NM70" s="7">
        <f>IFERROR(AVERAGEIF('Данные 2st'!$Q$2:$Q$317,$A70,'Данные 2st'!$HT$2:$HT$317),"")</f>
        <v>5</v>
      </c>
      <c r="NN70" s="7">
        <f>IFERROR(AVERAGEIF('Данные 2st'!$Q$2:$Q$317,$A70,'Данные 2st'!$HY$2:$HY$317),"")</f>
        <v>0</v>
      </c>
      <c r="NO70" s="7">
        <f>IFERROR(AVERAGEIF('Данные 2st'!$Q$2:$Q$317,$A70,'Данные 2st'!$HZ$2:$HZ$317),"")</f>
        <v>64</v>
      </c>
      <c r="NP70" s="7">
        <f>IFERROR(AVERAGEIF('Данные 2st'!$Q$2:$Q$317,$A70,'Данные 2st'!$IA$2:$IA$317),"")</f>
        <v>2239</v>
      </c>
      <c r="NQ70" s="7">
        <f>IFERROR(AVERAGEIF('Данные 2st'!$Q$2:$Q$317,$A70,'Данные 2st'!$IB$2:$IB$317),"")</f>
        <v>2252.3333333333335</v>
      </c>
      <c r="NR70" s="7">
        <f>IFERROR(AVERAGEIF('Данные 2st'!$Q$2:$Q$317,$A70,'Данные 2st'!$IC$2:$IC$317),"")</f>
        <v/>
      </c>
      <c r="NS70" s="7">
        <f>IFERROR(AVERAGEIF('Данные 2st'!$Q$2:$Q$317,$A70,'Данные 2st'!$ID$2:$ID$317),"")</f>
        <v>2285.5</v>
      </c>
      <c r="NT70" s="7">
        <f>IFERROR(AVERAGEIF('Данные 2st'!$Q$2:$Q$317,$A70,'Данные 2st'!$IE$2:$IE$317),"")</f>
        <v>2285.5</v>
      </c>
      <c r="NU70" s="7">
        <f>IFERROR(AVERAGEIF('Данные 2st'!$Q$2:$Q$317,$A70,'Данные 2st'!$IF$2:$IF$317),"")</f>
        <v>221.66666666666666</v>
      </c>
      <c r="NV70" s="7">
        <f>IFERROR(AVERAGEIF('Данные 2st'!$Q$2:$Q$317,$A70,'Данные 2st'!$IG$2:$IG$317),"")</f>
        <v>211.66666666666666</v>
      </c>
      <c r="NW70" s="7">
        <f>IFERROR(AVERAGEIF('Данные 2st'!$Q$2:$Q$317,$A70,'Данные 2st'!$IH$2:$IH$317),"")</f>
        <v>266.6666666666667</v>
      </c>
      <c r="NX70" s="7">
        <f>IFERROR(AVERAGEIF('Данные 2st'!$Q$2:$Q$317,$A70,'Данные 2st'!$IJ$2:$IJ$317),"")</f>
        <v>5.833333333333333</v>
      </c>
      <c r="NY70" s="7">
        <f>IFERROR(AVERAGEIF('Данные 2st'!$Q$2:$Q$317,$A70,'Данные 2st'!$IM$2:$IM$317),"")</f>
        <v>0</v>
      </c>
      <c r="NZ70" s="7">
        <f>IFERROR(AVERAGEIF('Данные 2st'!$Q$2:$Q$317,$A70,'Данные 2st'!$IN$2:$IN$317),"")</f>
        <v>270</v>
      </c>
      <c r="OA70" s="7">
        <f>IFERROR(AVERAGEIF('Данные 2st'!$Q$2:$Q$317,$A70,'Данные 2st'!$IO$2:$IO$317),"")</f>
        <v>0</v>
      </c>
      <c r="OB70" s="7">
        <f>IFERROR(AVERAGEIF('Данные 2st'!$Q$2:$Q$317,$A70,'Данные 2st'!$IP$2:$IP$317),"")</f>
        <v>180</v>
      </c>
      <c r="OC70" s="7">
        <f>IFERROR(AVERAGEIF('Данные 2st'!$Q$2:$Q$317,$A70,'Данные 2st'!$IQ$2:$IQ$317),"")</f>
        <v>0</v>
      </c>
      <c r="OD70" s="7">
        <f>IFERROR(AVERAGEIF('Данные 2st'!$Q$2:$Q$317,$A70,'Данные 2st'!$IR$2:$IR$317),"")</f>
        <v>330</v>
      </c>
      <c r="OE70" s="7">
        <f>IFERROR(AVERAGEIF('Данные 2st'!$Q$2:$Q$317,$A70,'Данные 2st'!$IT$2:$IT$317),"")</f>
        <v>90</v>
      </c>
      <c r="OF70" s="7">
        <f>IFERROR(AVERAGEIF('Данные 2st'!$Q$2:$Q$317,$A70,'Данные 2st'!$IU$2:$IU$317),"")</f>
        <v>0</v>
      </c>
      <c r="OG70" s="7">
        <f>IFERROR(AVERAGEIF('Данные 2st'!$Q$2:$Q$317,$A70,'Данные 2st'!$IV$2:$IV$317),"")</f>
        <v>6.4</v>
      </c>
      <c r="OH70" s="7">
        <f>IFERROR(AVERAGEIF('Данные 2st'!$Q$2:$Q$317,$A70,'Данные 2st'!$IW$2:$IW$317),"")</f>
        <v>-6</v>
      </c>
      <c r="OI70" s="7">
        <f>IFERROR(AVERAGEIF('Данные 2st'!$Q$2:$Q$317,$A70,'Данные 2st'!$IX$2:$IX$317),"")</f>
        <v>113.5</v>
      </c>
      <c r="OJ70" s="7">
        <f>IFERROR(AVERAGEIF('Данные 2st'!$Q$2:$Q$317,$A70,'Данные 2st'!$IY$2:$IY$317),"")</f>
        <v>83.41666666666667</v>
      </c>
      <c r="OK70" s="7">
        <f>IFERROR(AVERAGEIF('Данные 2st'!$Q$2:$Q$317,$A70,'Данные 2st'!$IZ$2:$IZ$317),"")</f>
        <v>0</v>
      </c>
      <c r="OL70" s="7">
        <f>IFERROR(AVERAGEIF('Данные 2st'!$Q$2:$Q$317,$A70,'Данные 2st'!$JA$2:$JA$317),"")</f>
        <v>0</v>
      </c>
      <c r="OM70" s="7">
        <f>IFERROR(AVERAGEIF('Данные 2st'!$Q$2:$Q$317,$A70,'Данные 2st'!$JB$2:$JB$317),"")</f>
        <v>0</v>
      </c>
      <c r="ON70" s="7">
        <f>IFERROR(AVERAGEIF('Данные 2st'!$Q$2:$Q$317,$A70,'Данные 2st'!$JC$2:$JC$317),"")</f>
        <v>0</v>
      </c>
      <c r="OO70" s="7">
        <f>IFERROR(AVERAGEIF('Данные 2st'!$Q$2:$Q$317,$A70,'Данные 2st'!$JD$2:$JD$317),"")</f>
        <v>0</v>
      </c>
      <c r="OP70" s="7">
        <f>IFERROR(AVERAGEIF('Данные 2st'!$Q$2:$Q$317,$A70,'Данные 2st'!$JE$2:$JE$317),"")</f>
        <v>0</v>
      </c>
      <c r="OQ70" s="7">
        <f>IFERROR(AVERAGEIF('Данные 2st'!$Q$2:$Q$317,$A70,'Данные 2st'!$JF$2:$JF$317),"")</f>
        <v>0</v>
      </c>
      <c r="OR70" s="7">
        <f>IFERROR(AVERAGEIF('Данные 2st'!$Q$2:$Q$317,$A70,'Данные 2st'!$JG$2:$JG$317),"")</f>
        <v>0</v>
      </c>
      <c r="OS70" s="7">
        <f>IFERROR(AVERAGEIF('Данные 2st'!$Q$2:$Q$317,$A70,'Данные 2st'!$JH$2:$JH$317),"")</f>
        <v>0</v>
      </c>
      <c r="OT70" s="7">
        <f>IFERROR(AVERAGEIF('Данные 2st'!$Q$2:$Q$317,$A70,'Данные 2st'!$JI$2:$JI$317),"")</f>
        <v>424.6666666666667</v>
      </c>
      <c r="OU70" s="7">
        <f>IFERROR(AVERAGEIF('Данные 2st'!$Q$2:$Q$317,$A70,'Данные 2st'!$JJ$2:$JJ$317),"")</f>
        <v>392.3333333333333</v>
      </c>
      <c r="OV70" s="7">
        <f>IFERROR(AVERAGEIF('Данные 2st'!$Q$2:$Q$317,$A70,'Данные 2st'!$JK$2:$JK$317),"")</f>
        <v>283.1666666666667</v>
      </c>
      <c r="OW70" s="7">
        <f>IFERROR(AVERAGEIF('Данные 2st'!$Q$2:$Q$317,$A70,'Данные 2st'!$JL$2:$JL$317),"")</f>
        <v>390.6666666666667</v>
      </c>
      <c r="OX70" s="7">
        <f>IFERROR(AVERAGEIF('Данные 2st'!$Q$2:$Q$317,$A70,'Данные 2st'!$JM$2:$JM$317),"")</f>
        <v>315</v>
      </c>
      <c r="OY70" s="7">
        <f>IFERROR(AVERAGEIF('Данные 2st'!$Q$2:$Q$317,$A70,'Данные 2st'!$JP$2:$JP$317),"")</f>
        <v>190.83333333333334</v>
      </c>
      <c r="OZ70" s="7">
        <f>IFERROR(AVERAGEIF('Данные 2st'!$Q$2:$Q$317,$A70,'Данные 2st'!$JQ$2:$JQ$317),"")</f>
        <v>229.16666666666666</v>
      </c>
      <c r="PA70" s="7">
        <f>IFERROR(AVERAGEIF('Данные 2st'!$Q$2:$Q$317,$A70,'Данные 2st'!$JR$2:$JR$317),"")</f>
        <v>293.1666666666667</v>
      </c>
      <c r="PB70" s="7">
        <f>IFERROR(AVERAGEIF('Данные 2st'!$Q$2:$Q$317,$A70,'Данные 2st'!$JS$2:$JS$317),"")</f>
        <v>236.5</v>
      </c>
      <c r="PC70" s="7">
        <f>IFERROR(AVERAGEIF('Данные 2st'!$Q$2:$Q$317,$A70,'Данные 2st'!$JT$2:$JT$317),"")</f>
        <v>0</v>
      </c>
      <c r="PD70" s="7">
        <f>IFERROR(AVERAGEIF('Данные 2st'!$Q$2:$Q$317,$A70,'Данные 2st'!$JU$2:$JU$317),"")</f>
        <v>0</v>
      </c>
      <c r="PE70" s="7">
        <f>IFERROR(AVERAGEIF('Данные 2st'!$Q$2:$Q$317,$A70,'Данные 2st'!$JV$2:$JV$317),"")</f>
        <v>290</v>
      </c>
      <c r="PF70" s="7">
        <f>IFERROR(AVERAGEIF('Данные 2st'!$Q$2:$Q$317,$A70,'Данные 2st'!$JW$2:$JW$317),"")</f>
        <v>280</v>
      </c>
      <c r="PG70" s="7">
        <f>IFERROR(AVERAGEIF('Данные 2st'!$Q$2:$Q$317,$A70,'Данные 2st'!$KF$2:$KF$317),"")</f>
        <v>0.18666666666666668</v>
      </c>
      <c r="PH70" s="7">
        <f>IFERROR(AVERAGEIF('Данные 2st'!$Q$2:$Q$317,$A70,'Данные 2st'!$KG$2:$KG$317),"")</f>
        <v>0.11833333333333333</v>
      </c>
      <c r="PI70" s="7">
        <f>IFERROR(AVERAGEIF('Данные 2st'!$Q$2:$Q$317,$A70,'Данные 2st'!$KM$2:$KM$317),"")</f>
        <v>0.25</v>
      </c>
      <c r="PJ70" s="7">
        <f>IFERROR(AVERAGEIF('Данные 2st'!$Q$2:$Q$317,$A70,'Данные 2st'!$KN$2:$KN$317),"")</f>
        <v>2.3</v>
      </c>
      <c r="PK70" s="7">
        <f>IFERROR(AVERAGEIF('Данные 2st'!$Q$2:$Q$317,$A70,'Данные 2st'!$KO$2:$KO$317),"")</f>
        <v>0.5</v>
      </c>
      <c r="PL70" s="7">
        <f>IFERROR(AVERAGEIF('Данные 2st'!$Q$2:$Q$317,$A70,'Данные 2st'!$KP$2:$KP$317),"")</f>
        <v>0</v>
      </c>
      <c r="PM70" s="7">
        <f>IFERROR(AVERAGEIF('Данные 2st'!$Q$2:$Q$317,$A70,'Данные 2st'!$KQ$2:$KQ$317),"")</f>
        <v>0.6666666666666666</v>
      </c>
      <c r="PN70" s="7">
        <f>IFERROR(AVERAGEIF('Данные 2st'!$Q$2:$Q$317,$A70,'Данные 2st'!$KR$2:$KR$317),"")</f>
        <v>0.75</v>
      </c>
      <c r="PO70" s="7">
        <f>IFERROR(AVERAGEIF('Данные 2st'!$Q$2:$Q$317,$A70,'Данные 2st'!$KS$2:$KS$317),"")</f>
        <v>0</v>
      </c>
      <c r="PP70" s="7">
        <f>IFERROR(AVERAGEIF('Данные 2st'!$Q$2:$Q$317,$A70,'Данные 2st'!$KT$2:$KT$317),"")</f>
        <v>2.9833333333333334</v>
      </c>
      <c r="PQ70" s="7">
        <f>IFERROR(AVERAGEIF('Данные 2st'!$Q$2:$Q$317,$A70,'Данные 2st'!$KU$2:$KU$317),"")</f>
        <v>0</v>
      </c>
      <c r="PR70" s="7">
        <f>IFERROR(AVERAGEIF('Данные 2st'!$Q$2:$Q$317,$A70,'Данные 2st'!$KV$2:$KV$317),"")</f>
        <v>0</v>
      </c>
      <c r="PS70" s="7">
        <f>IFERROR(AVERAGEIF('Данные 2st'!$Q$2:$Q$317,$A70,'Данные 2st'!$KW$2:$KW$317),"")</f>
        <v>1.1333333333333333</v>
      </c>
      <c r="PT70" s="7">
        <f>IFERROR(AVERAGEIF('Данные 2st'!$Q$2:$Q$317,$A70,'Данные 2st'!$KX$2:$KX$317),"")</f>
        <v>1.25</v>
      </c>
      <c r="PU70" s="7">
        <f>IFERROR(AVERAGEIF('Данные 2st'!$Q$2:$Q$317,$A70,'Данные 2st'!$KY$2:$KY$317),"")</f>
        <v>0.5</v>
      </c>
      <c r="PV70" s="7">
        <f>IFERROR(AVERAGEIF('Данные 2st'!$Q$2:$Q$317,$A70,'Данные 2st'!$KZ$2:$KZ$317),"")</f>
        <v>0</v>
      </c>
      <c r="PW70" s="7">
        <f>IFERROR(AVERAGEIF('Данные 2st'!$Q$2:$Q$317,$A70,'Данные 2st'!$LA$2:$LA$317),"")</f>
        <v>0</v>
      </c>
      <c r="PX70" s="7">
        <f>IFERROR(AVERAGEIF('Данные 2st'!$Q$2:$Q$317,$A70,'Данные 2st'!$LB$2:$LB$317),"")</f>
        <v>0</v>
      </c>
      <c r="PY70" s="7">
        <f>IFERROR(AVERAGEIF('Данные 2st'!$Q$2:$Q$317,$A70,'Данные 2st'!$LC$2:$LC$317),"")</f>
        <v>0</v>
      </c>
      <c r="PZ70" s="7">
        <f>IFERROR(AVERAGEIF('Данные 2st'!$Q$2:$Q$317,$A70,'Данные 2st'!$LD$2:$LD$317),"")</f>
        <v>0</v>
      </c>
      <c r="QA70" s="7">
        <f>IFERROR(AVERAGEIF('Данные 2st'!$Q$2:$Q$317,$A70,'Данные 2st'!$LE$2:$LE$317),"")</f>
        <v>0</v>
      </c>
      <c r="QB70" s="7">
        <f>IFERROR(AVERAGEIF('Данные 2st'!$Q$2:$Q$317,$A70,'Данные 2st'!$LF$2:$LF$317),"")</f>
        <v>0</v>
      </c>
      <c r="QC70" s="7">
        <f>IFERROR(AVERAGEIF('Данные 2st'!$Q$2:$Q$317,$A70,'Данные 2st'!$LG$2:$LG$317),"")</f>
        <v>0</v>
      </c>
      <c r="QD70" s="7">
        <f>IFERROR(AVERAGEIF('Данные 2st'!$Q$2:$Q$317,$A70,'Данные 2st'!$LH$2:$LH$317),"")</f>
        <v>3</v>
      </c>
      <c r="QE70" s="7">
        <f>IFERROR(AVERAGEIF('Данные 2st'!$Q$2:$Q$317,$A70,'Данные 2st'!$LJ$2:$LJ$317),"")</f>
        <v>0</v>
      </c>
      <c r="QF70" s="7">
        <f>IFERROR(AVERAGEIF('Данные 2st'!$Q$2:$Q$317,$A70,'Данные 2st'!$LK$2:$LK$317),"")</f>
        <v>9.25</v>
      </c>
      <c r="QG70" s="7">
        <f>IFERROR(AVERAGEIF('Данные 2st'!$Q$2:$Q$317,$A70,'Данные 2st'!$LL$2:$LL$317),"")</f>
        <v>8.5</v>
      </c>
      <c r="QH70" s="7">
        <f>IFERROR(AVERAGEIF('Данные 2st'!$Q$2:$Q$317,$A70,'Данные 2st'!$LM$2:$LM$317),"")</f>
        <v>11.833333333333334</v>
      </c>
      <c r="QI70" s="7">
        <f>IFERROR(AVERAGEIF('Данные 2st'!$Q$2:$Q$317,$A70,'Данные 2st'!$LN$2:$LN$317),"")</f>
        <v>1.7666666666666666</v>
      </c>
      <c r="QJ70" s="7">
        <f>IFERROR(AVERAGEIF('Данные 2st'!$Q$2:$Q$317,$A70,'Данные 2st'!$LO$2:$LO$317),"")</f>
        <v>1.85</v>
      </c>
      <c r="QK70" s="7">
        <f>IFERROR(AVERAGEIF('Данные 2st'!$Q$2:$Q$317,$A70,'Данные 2st'!$LP$2:$LP$317),"")</f>
        <v>0</v>
      </c>
      <c r="QL70" s="7">
        <f>IFERROR(AVERAGEIF('Данные 2st'!$Q$2:$Q$317,$A70,'Данные 2st'!$LQ$2:$LQ$317),"")</f>
        <v>0</v>
      </c>
      <c r="QM70" s="7">
        <f>IFERROR(AVERAGEIF('Данные 2st'!$Q$2:$Q$317,$A70,'Данные 2st'!$LW$2:$LW$317),"")</f>
        <v>1.95</v>
      </c>
      <c r="QN70" s="7">
        <f>IFERROR(AVERAGEIF('Данные 2st'!$Q$2:$Q$317,$A70,'Данные 2st'!$LX$2:$LX$317),"")</f>
        <v>1.95</v>
      </c>
      <c r="QO70" s="7">
        <f>IFERROR(AVERAGEIF('Данные 2st'!$Q$2:$Q$317,$A70,'Данные 2st'!$LY$2:$LY$317),"")</f>
        <v>2.3166666666666664</v>
      </c>
      <c r="QP70" s="7">
        <f>IFERROR(AVERAGEIF('Данные 2st'!$Q$2:$Q$317,$A70,'Данные 2st'!$LZ$2:$LZ$317),"")</f>
        <v>2.3166666666666664</v>
      </c>
      <c r="QQ70" s="7">
        <f>IFERROR(AVERAGEIF('Данные 2st'!$Q$2:$Q$317,$A70,'Данные 2st'!$MB$2:$MB$317),"")</f>
        <v>5.833333333333333</v>
      </c>
      <c r="QR70" s="7">
        <f>IFERROR(AVERAGEIF('Данные 2st'!$Q$2:$Q$317,$A70,'Данные 2st'!$MG$2:$MG$317),"")</f>
        <v>0</v>
      </c>
      <c r="QS70" s="7">
        <f>IFERROR(AVERAGEIF('Данные 2st'!$Q$2:$Q$317,$A70,'Данные 2st'!$MH$2:$MH$317),"")</f>
        <v>0</v>
      </c>
      <c r="QT70" s="7">
        <f>IFERROR(AVERAGEIF('Данные 2st'!$Q$2:$Q$317,$A70,'Данные 2st'!$MI$2:$MI$317),"")</f>
        <v>0</v>
      </c>
      <c r="QU70" s="7">
        <f>IFERROR(AVERAGEIF('Данные 2st'!$Q$2:$Q$317,$A70,'Данные 2st'!$MJ$2:$MJ$317),"")</f>
        <v>0</v>
      </c>
      <c r="QV70" s="7">
        <f>IFERROR(AVERAGEIF('Данные 2st'!$Q$2:$Q$317,$A70,'Данные 2st'!$MK$2:$MK$317),"")</f>
        <v>0</v>
      </c>
      <c r="QW70" s="7">
        <f>IFERROR(AVERAGEIF('Данные 2st'!$Q$2:$Q$317,$A70,'Данные 2st'!$MM$2:$MM$317),"")</f>
        <v>446.6666666666667</v>
      </c>
      <c r="QX70" s="7">
        <f>IFERROR(AVERAGEIF('Данные 2st'!$Q$2:$Q$317,$A70,'Данные 2st'!$MQ$2:$MQ$317),"")</f>
        <v/>
      </c>
      <c r="QY70" s="7">
        <f>IFERROR(AVERAGEIF('Данные 2st'!$Q$2:$Q$317,$A70,'Данные 2st'!$MR$2:$MR$317),"")</f>
        <v/>
      </c>
      <c r="QZ70" s="7">
        <f>IFERROR(AVERAGEIF('Данные 2st'!$Q$2:$Q$317,$A70,'Данные 2st'!$MS$2:$MS$317),"")</f>
        <v/>
      </c>
      <c r="RA70" s="7">
        <f>IFERROR(AVERAGEIF('Данные 2st'!$Q$2:$Q$317,$A70,'Данные 2st'!$MT$2:$MT$317),"")</f>
        <v/>
      </c>
      <c r="RB70" s="7">
        <f>IFERROR(AVERAGEIF('Данные 2st'!$Q$2:$Q$317,$A70,'Данные 2st'!$MU$2:$MU$317),"")</f>
        <v/>
      </c>
      <c r="RC70" s="7">
        <f>IFERROR(AVERAGEIF('Данные 2st'!$Q$2:$Q$317,$A70,'Данные 2st'!$MV$2:$MV$317),"")</f>
        <v/>
      </c>
      <c r="RD70" s="7">
        <f>IFERROR(AVERAGEIF('Данные 2st'!$Q$2:$Q$317,$A70,'Данные 2st'!$MW$2:$MW$317),"")</f>
        <v/>
      </c>
      <c r="RE70" s="7">
        <f>IFERROR(AVERAGEIF('Данные 2st'!$Q$2:$Q$317,$A70,'Данные 2st'!$MX$2:$MX$317),"")</f>
        <v/>
      </c>
      <c r="RF70" s="7">
        <f>IFERROR(AVERAGEIF('Данные 2st'!$Q$2:$Q$317,$A70,'Данные 2st'!$MY$2:$MY$317),"")</f>
        <v/>
      </c>
      <c r="RG70" s="7">
        <f>IFERROR(AVERAGEIF('Данные 2st'!$Q$2:$Q$317,$A70,'Данные 2st'!$MZ$2:$MZ$317),"")</f>
        <v/>
      </c>
      <c r="RH70" s="7">
        <f>IFERROR(AVERAGEIF('Данные 2st'!$Q$2:$Q$317,$A70,'Данные 2st'!$NA$2:$NA$317),"")</f>
        <v/>
      </c>
      <c r="RI70" s="7">
        <f>IFERROR(AVERAGEIF('Данные 2st'!$Q$2:$Q$317,$A70,'Данные 2st'!$NB$2:$NB$317),"")</f>
        <v/>
      </c>
      <c r="RJ70" s="7">
        <f>IFERROR(AVERAGEIF('Данные 2st'!$Q$2:$Q$317,$A70,'Данные 2st'!$NC$2:$NC$317),"")</f>
        <v/>
      </c>
      <c r="RK70" s="7">
        <f>IFERROR(AVERAGEIF('Данные 2st'!$Q$2:$Q$317,$A70,'Данные 2st'!$ND$2:$ND$317),"")</f>
        <v/>
      </c>
      <c r="RL70" s="7">
        <f>IFERROR(AVERAGEIF('Данные 2st'!$Q$2:$Q$317,$A70,'Данные 2st'!$NE$2:$NE$317),"")</f>
        <v/>
      </c>
      <c r="RM70" s="7">
        <f>IFERROR(AVERAGEIF('Данные 2st'!$Q$2:$Q$317,$A70,'Данные 2st'!$NF$2:$NF$317),"")</f>
        <v/>
      </c>
      <c r="RN70" s="7">
        <f>IFERROR(AVERAGEIF('Данные 2st'!$Q$2:$Q$317,$A70,'Данные 2st'!$NG$2:$NG$317),"")</f>
        <v/>
      </c>
      <c r="RO70" s="7">
        <f>IFERROR(AVERAGEIF('Данные 2st'!$Q$2:$Q$317,$A70,'Данные 2st'!$NH$2:$NH$317),"")</f>
        <v/>
      </c>
      <c r="RP70" s="7">
        <f>IFERROR(AVERAGEIF('Данные 2st'!$Q$2:$Q$317,$A70,'Данные 2st'!$NJ$2:$NJ$317),"")</f>
        <v/>
      </c>
      <c r="RQ70" s="7">
        <f>IFERROR(AVERAGEIF('Данные 2st'!$Q$2:$Q$317,$A70,'Данные 2st'!$NK$2:$NK$317),"")</f>
        <v/>
      </c>
      <c r="RR70" s="7">
        <f>IFERROR(AVERAGEIF('Данные 2st'!$Q$2:$Q$317,$A70,'Данные 2st'!$NM$2:$NM$317),"")</f>
        <v/>
      </c>
      <c r="RS70" s="7">
        <f>IFERROR(AVERAGEIF('Данные 2st'!$Q$2:$Q$317,$A70,'Данные 2st'!$NN$2:$NN$317),"")</f>
        <v/>
      </c>
      <c r="RT70" s="7">
        <f>IFERROR(AVERAGEIF('Данные 2st'!$Q$2:$Q$317,$A70,'Данные 2st'!$NO$2:$NO$317),"")</f>
        <v/>
      </c>
      <c r="RU70" s="7">
        <f>IFERROR(AVERAGEIF('Данные 2st'!$Q$2:$Q$317,$A70,'Данные 2st'!$NP$2:$NP$317),"")</f>
        <v/>
      </c>
      <c r="RV70" s="7">
        <f>IFERROR(AVERAGEIF('Данные 2st'!$Q$2:$Q$317,$A70,'Данные 2st'!$NQ$2:$NQ$317),"")</f>
        <v/>
      </c>
      <c r="RW70" s="7">
        <f>IFERROR(AVERAGEIF('Данные 2st'!$Q$2:$Q$317,$A70,'Данные 2st'!$NR$2:$NR$317),"")</f>
        <v/>
      </c>
      <c r="RX70" s="7">
        <f>IFERROR(AVERAGEIF('Данные 2st'!$Q$2:$Q$317,$A70,'Данные 2st'!$NS$2:$NS$317),"")</f>
        <v/>
      </c>
      <c r="RY70" s="7">
        <f>IFERROR(AVERAGEIF('Данные 2st'!$Q$2:$Q$317,$A70,'Данные 2st'!$NT$2:$NT$317),"")</f>
        <v/>
      </c>
      <c r="RZ70" s="7">
        <f>IFERROR(AVERAGEIF('Данные 2st'!$Q$2:$Q$317,$A70,'Данные 2st'!$OK$2:$OK$317),"")</f>
        <v>61</v>
      </c>
      <c r="SA70" s="7">
        <f>IFERROR(AVERAGEIF('Данные 2st'!$Q$2:$Q$317,$A70,'Данные 2st'!$OL$2:$OL$317),"")</f>
        <v>61</v>
      </c>
      <c r="SB70" s="7">
        <f>IFERROR(AVERAGEIF('Данные 2st'!$Q$2:$Q$317,$A70,'Данные 2st'!$ON$2:$ON$317),"")</f>
        <v>1.1666666666666667</v>
      </c>
      <c r="SC70" s="7">
        <f>IFERROR(AVERAGEIF('Данные 2st'!$Q$2:$Q$317,$A70,'Данные 2st'!$OO$2:$OO$317),"")</f>
        <v>2239</v>
      </c>
      <c r="SD70" s="7">
        <f>IFERROR(AVERAGEIF('Данные 2st'!$Q$2:$Q$317,$A70,'Данные 2st'!$OP$2:$OP$317),"")</f>
        <v>61</v>
      </c>
      <c r="SE70" s="7">
        <f>IFERROR(AVERAGEIF('Данные 2st'!$Q$2:$Q$317,$A70,'Данные 2st'!$OQ$2:$OQ$317),"")</f>
        <v>61</v>
      </c>
      <c r="SF70" s="7">
        <f>IFERROR(AVERAGEIF('Данные 2st'!$Q$2:$Q$317,$A70,'Данные 2st'!$OS$2:$OS$317),"")</f>
        <v>1.1666666666666667</v>
      </c>
      <c r="SG70" s="7">
        <f>IFERROR(AVERAGEIF('Данные 2st'!$Q$2:$Q$317,$A70,'Данные 2st'!$OT$2:$OT$317),"")</f>
        <v>2252.3333333333335</v>
      </c>
      <c r="SH70" s="7">
        <f>IFERROR(AVERAGEIF('Данные 2st'!$Q$2:$Q$317,$A70,'Данные 2st'!$OU$2:$OU$317),"")</f>
        <v>65</v>
      </c>
      <c r="SI70" s="7">
        <f>IFERROR(AVERAGEIF('Данные 2st'!$Q$2:$Q$317,$A70,'Данные 2st'!$OV$2:$OV$317),"")</f>
        <v>65</v>
      </c>
      <c r="SJ70" s="7">
        <f>IFERROR(AVERAGEIF('Данные 2st'!$Q$2:$Q$317,$A70,'Данные 2st'!$OX$2:$OX$317),"")</f>
        <v>1.8333333333333333</v>
      </c>
      <c r="SK70" s="7">
        <f>IFERROR(AVERAGEIF('Данные 2st'!$Q$2:$Q$317,$A70,'Данные 2st'!$OY$2:$OY$317),"")</f>
        <v>52651.333333333336</v>
      </c>
      <c r="SL70" s="7">
        <f>IFERROR(AVERAGEIF('Данные 2st'!$Q$2:$Q$317,$A70,'Данные 2st'!$OZ$2:$OZ$317),"")</f>
        <v>51</v>
      </c>
      <c r="SM70" s="7">
        <f>IFERROR(AVERAGEIF('Данные 2st'!$Q$2:$Q$317,$A70,'Данные 2st'!$PA$2:$PA$317),"")</f>
        <v>51.666666666666664</v>
      </c>
      <c r="SN70" s="7">
        <f>IFERROR(AVERAGEIF('Данные 2st'!$Q$2:$Q$317,$A70,'Данные 2st'!$PC$2:$PC$317),"")</f>
        <v>2</v>
      </c>
      <c r="SO70" s="7">
        <f>IFERROR(AVERAGEIF('Данные 2st'!$Q$2:$Q$317,$A70,'Данные 2st'!$PD$2:$PD$317),"")</f>
        <v>2285.5</v>
      </c>
      <c r="SP70" s="7">
        <f>IFERROR(AVERAGEIF('Данные 2st'!$Q$2:$Q$317,$A70,'Данные 2st'!$PF$2:$PF$317),"")</f>
        <v>542.8333333333334</v>
      </c>
      <c r="SQ70" s="7">
        <f>IFERROR(AVERAGEIF('Данные 2st'!$Q$2:$Q$317,$A70,'Данные 2st'!$PG$2:$PG$317),"")</f>
        <v>35</v>
      </c>
      <c r="SR70" s="7">
        <f>IFERROR(AVERAGEIF('Данные 2st'!$Q$2:$Q$317,$A70,'Данные 2st'!$PH$2:$PH$317),"")</f>
        <v>518.5</v>
      </c>
      <c r="SS70" s="7">
        <f>IFERROR(AVERAGEIF('Данные 2st'!$Q$2:$Q$317,$A70,'Данные 2st'!$PI$2:$PI$317),"")</f>
        <v>0</v>
      </c>
      <c r="ST70" s="7">
        <f>IFERROR(AVERAGEIF('Данные 2st'!$Q$2:$Q$317,$A70,'Данные 2st'!$PJ$2:$PJ$317),"")</f>
        <v>79.98333333333333</v>
      </c>
      <c r="SU70" s="7">
        <f>IFERROR(AVERAGEIF('Данные 2st'!$Q$2:$Q$317,$A70,'Данные 2st'!$PK$2:$PK$317),"")</f>
        <v>2372.6666666666665</v>
      </c>
      <c r="SV70" s="7">
        <f>IFERROR(AVERAGEIF('Данные 2st'!$Q$2:$Q$317,$A70,'Данные 2st'!$PL$2:$PL$317),"")</f>
        <v>1402.5833333333333</v>
      </c>
      <c r="SW70" s="7">
        <f>IFERROR(AVERAGEIF('Данные 2st'!$Q$2:$Q$317,$A70,'Данные 2st'!$PM$2:$PM$317),"")</f>
        <v>779.1833333333333</v>
      </c>
      <c r="SX70" s="7">
        <f>IFERROR(AVERAGEIF('Данные 2st'!$Q$2:$Q$317,$A70,'Данные 2st'!$PN$2:$PN$317),"")</f>
        <v>111.85</v>
      </c>
      <c r="SY70" s="7">
        <f>IFERROR(AVERAGEIF('Данные 2st'!$Q$2:$Q$317,$A70,'Данные 2st'!$PO$2:$PO$317),"")</f>
        <v>9.95</v>
      </c>
      <c r="SZ70" s="7">
        <f>IFERROR(AVERAGEIF('Данные 2st'!$Q$2:$Q$317,$A70,'Данные 2st'!$PP$2:$PP$317),"")</f>
        <v>12</v>
      </c>
      <c r="TA70" s="7">
        <f>IFERROR(AVERAGEIF('Данные 2st'!$Q$2:$Q$317,$A70,'Данные 2st'!$PQ$2:$PQ$317),"")</f>
        <v>4</v>
      </c>
      <c r="TB70" s="7">
        <f>IFERROR(AVERAGEIF('Данные 2st'!$Q$2:$Q$317,$A70,'Данные 2st'!$PR$2:$PR$317),"")</f>
        <v>4</v>
      </c>
      <c r="TC70" s="7">
        <f>IFERROR(AVERAGEIF('Данные 2st'!$Q$2:$Q$317,$A70,'Данные 2st'!$PS$2:$PS$317),"")</f>
        <v>0</v>
      </c>
      <c r="TD70" s="7">
        <f>IFERROR(AVERAGEIF('Данные 2st'!$Q$2:$Q$317,$A70,'Данные 2st'!$PT$2:$PT$317),"")</f>
        <v>266.6666666666667</v>
      </c>
      <c r="TE70" s="7">
        <f>IFERROR(AVERAGEIF('Данные 2st'!$Q$2:$Q$317,$A70,'Данные 2st'!$PU$2:$PU$317),"")</f>
        <v>9.833333333333334</v>
      </c>
      <c r="TF70" s="7">
        <f>IFERROR(AVERAGEIF('Данные 2st'!$Q$2:$Q$317,$A70,'Данные 2st'!$PX$2:$PX$317),"")</f>
        <v>0</v>
      </c>
      <c r="TG70" s="7">
        <f>IFERROR(AVERAGEIF('Данные 2st'!$Q$2:$Q$317,$A70,'Данные 2st'!$PY$2:$PY$317),"")</f>
        <v>0</v>
      </c>
      <c r="TH70" s="7">
        <f>IFERROR(AVERAGEIF('Данные 2st'!$Q$2:$Q$317,$A70,'Данные 2st'!$PZ$2:$PZ$317),"")</f>
        <v>0</v>
      </c>
      <c r="TI70" s="7">
        <f>IFERROR(AVERAGEIF('Данные 2st'!$Q$2:$Q$317,$A70,'Данные 2st'!$QA$2:$QA$317),"")</f>
        <v>0</v>
      </c>
      <c r="TJ70" s="7">
        <f>IFERROR(AVERAGEIF('Данные 2st'!$Q$2:$Q$317,$A70,'Данные 2st'!$QB$2:$QB$317),"")</f>
        <v>0</v>
      </c>
      <c r="TK70" s="7">
        <f>IFERROR(AVERAGEIF('Данные 2st'!$Q$2:$Q$317,$A70,'Данные 2st'!$QC$2:$QC$317),"")</f>
        <v>0</v>
      </c>
      <c r="TL70" s="7">
        <f>IFERROR(AVERAGEIF('Данные 2st'!$Q$2:$Q$317,$A70,'Данные 2st'!$QD$2:$QD$317),"")</f>
        <v>0</v>
      </c>
      <c r="TM70" s="7">
        <f>IFERROR(AVERAGEIF('Данные 2st'!$Q$2:$Q$317,$A70,'Данные 2st'!$QE$2:$QE$317),"")</f>
        <v>-1</v>
      </c>
      <c r="TN70" s="7">
        <f>IFERROR(AVERAGEIF('Данные 2st'!$Q$2:$Q$317,$A70,'Данные 2st'!$QF$2:$QF$317),"")</f>
        <v>1</v>
      </c>
      <c r="TO70" s="7">
        <f>IFERROR(AVERAGEIF('Данные 2st'!$Q$2:$Q$317,$A70,'Данные 2st'!$QG$2:$QG$317),"")</f>
        <v>0</v>
      </c>
      <c r="TP70" s="7">
        <f>IFERROR(AVERAGEIF('Данные 2st'!$Q$2:$Q$317,$A70,'Данные 2st'!$QH$2:$QH$317),"")</f>
        <v>5</v>
      </c>
      <c r="TQ70" s="7">
        <f>IFERROR(AVERAGEIF('Данные 2st'!$Q$2:$Q$317,$A70,'Данные 2st'!$QI$2:$QI$317),"")</f>
        <v>5</v>
      </c>
      <c r="TR70" s="7">
        <f>IFERROR(AVERAGEIF('Данные 2st'!$Q$2:$Q$317,$A70,'Данные 2st'!$QJ$2:$QJ$317),"")</f>
        <v>5</v>
      </c>
      <c r="TS70" s="7">
        <f>IFERROR(AVERAGEIF('Данные 2st'!$Q$2:$Q$317,$A70,'Данные 2st'!$QK$2:$QK$317),"")</f>
        <v>228</v>
      </c>
      <c r="TT70" s="7">
        <f>IFERROR(AVERAGEIF('Данные 2st'!$Q$2:$Q$317,$A70,'Данные 2st'!$QL$2:$QL$317),"")</f>
        <v>454</v>
      </c>
      <c r="TU70" s="7">
        <f>IFERROR(AVERAGEIF('Данные 2st'!$Q$2:$Q$317,$A70,'Данные 2st'!$QM$2:$QM$317),"")</f>
        <v>7.816666666666666</v>
      </c>
      <c r="TV70" s="7">
        <f>IFERROR(AVERAGEIF('Данные 2st'!$Q$2:$Q$317,$A70,'Данные 2st'!$QN$2:$QN$317),"")</f>
        <v>1624.0666666666666</v>
      </c>
      <c r="TW70" s="7">
        <f>IFERROR(AVERAGEIF('Данные 2st'!$Q$2:$Q$317,$A70,'Данные 2st'!$QQ$2:$QQ$317),"")</f>
        <v>0</v>
      </c>
      <c r="TX70" s="7">
        <f>IFERROR(AVERAGEIF('Данные 2st'!$Q$2:$Q$317,$A70,'Данные 2st'!$QS$2:$QS$317),"")</f>
        <v>40</v>
      </c>
      <c r="TY70" s="7">
        <f>IFERROR(AVERAGEIF('Данные 2st'!$Q$2:$Q$317,$A70,'Данные 2st'!$QT$2:$QT$317),"")</f>
        <v>50</v>
      </c>
    </row>
    <row r="71" spans="1:545" ht="32" customHeight="1">
      <c r="A71" s="11" t="s">
        <v>1644</v>
      </c>
      <c r="B71">
        <f>COUNTIF('Данные 1st'!$S$2:$S$317,$A71)</f>
        <v>4</v>
      </c>
      <c r="C71" s="6" t="s">
        <v>5117</v>
      </c>
      <c r="D71" s="6" t="s">
        <v>513</v>
      </c>
      <c r="E71" s="6" t="s">
        <v>5125</v>
      </c>
      <c r="F71" s="6" t="s">
        <v>5182</v>
      </c>
      <c r="G71" s="7">
        <f>IFERROR(AVERAGEIF('Данные 1st'!$S$2:$S$317,$A71,'Данные 1st'!$AE$2:$AE$317),"")</f>
        <v>215.25</v>
      </c>
      <c r="H71" s="7">
        <f>IFERROR(AVERAGEIF('Данные 1st'!$S$2:$S$317,$A71,'Данные 1st'!$AF$2:$AF$317),"")</f>
        <v>1.5</v>
      </c>
      <c r="I71" s="7">
        <f>IFERROR(AVERAGEIF('Данные 1st'!$S$2:$S$317,$A71,'Данные 1st'!$AJ$2:$AJ$317),"")</f>
        <v>227.5</v>
      </c>
      <c r="J71" s="7">
        <f>IFERROR(AVERAGEIF('Данные 1st'!$S$2:$S$317,$A71,'Данные 1st'!$AL$2:$AL$317),"")</f>
        <v>1.5</v>
      </c>
      <c r="K71" s="7">
        <f>IFERROR(AVERAGEIF('Данные 1st'!$S$2:$S$317,$A71,'Данные 1st'!$AR$2:$AR$317),"")</f>
        <v>0</v>
      </c>
      <c r="L71" s="7">
        <f>IFERROR(AVERAGEIF('Данные 1st'!$S$2:$S$317,$A71,'Данные 1st'!$AS$2:$AS$317),"")</f>
        <v>1.5</v>
      </c>
      <c r="M71" s="7">
        <f>IFERROR(AVERAGEIF('Данные 1st'!$S$2:$S$317,$A71,'Данные 1st'!$AY$2:$AY$317),"")</f>
        <v>318.125</v>
      </c>
      <c r="N71" s="7">
        <f>IFERROR(AVERAGEIF('Данные 1st'!$S$2:$S$317,$A71,'Данные 1st'!$AZ$2:$AZ$317),"")</f>
        <v>1.5</v>
      </c>
      <c r="O71" s="7">
        <f>IFERROR(AVERAGEIF('Данные 1st'!$S$2:$S$317,$A71,'Данные 1st'!$BF$2:$BF$317),"")</f>
        <v>263.75</v>
      </c>
      <c r="P71" s="7">
        <f>IFERROR(AVERAGEIF('Данные 1st'!$S$2:$S$317,$A71,'Данные 1st'!$BG$2:$BG$317),"")</f>
        <v>1.5</v>
      </c>
      <c r="Q71" s="7">
        <f>IFERROR(AVERAGEIF('Данные 1st'!$S$2:$S$317,$A71,'Данные 1st'!$BM$2:$BM$317),"")</f>
        <v/>
      </c>
      <c r="R71" s="7">
        <f>IFERROR(AVERAGEIF('Данные 1st'!$S$2:$S$317,$A71,'Данные 1st'!$BN$2:$BN$317),"")</f>
        <v>1.5</v>
      </c>
      <c r="S71" s="7">
        <f>IFERROR(AVERAGEIF('Данные 1st'!$S$2:$S$317,$A71,'Данные 1st'!$BT$2:$BT$317),"")</f>
        <v>237.75</v>
      </c>
      <c r="T71" s="7">
        <f>IFERROR(AVERAGEIF('Данные 1st'!$S$2:$S$317,$A71,'Данные 1st'!$BU$2:$BU$317),"")</f>
        <v>0.5</v>
      </c>
      <c r="U71" s="7">
        <f>IFERROR(AVERAGEIF('Данные 1st'!$S$2:$S$317,$A71,'Данные 1st'!$BW$2:$BW$317),"")</f>
        <v>475.5</v>
      </c>
      <c r="V71" s="7">
        <f>IFERROR(AVERAGEIF('Данные 1st'!$S$2:$S$317,$A71,'Данные 1st'!$BX$2:$BX$317),"")</f>
        <v>1</v>
      </c>
      <c r="W71" s="7">
        <f>IFERROR(AVERAGEIF('Данные 1st'!$S$2:$S$317,$A71,'Данные 1st'!$BZ$2:$BZ$317),"")</f>
        <v>470</v>
      </c>
      <c r="X71" s="7">
        <f>IFERROR(AVERAGEIF('Данные 1st'!$S$2:$S$317,$A71,'Данные 1st'!$CA$2:$CA$317),"")</f>
        <v>550</v>
      </c>
      <c r="Y71" s="7">
        <f>IFERROR(AVERAGEIF('Данные 1st'!$S$2:$S$317,$A71,'Данные 1st'!$CD$2:$CD$317),"")</f>
        <v>490.25</v>
      </c>
      <c r="Z71" s="7">
        <f>IFERROR(AVERAGEIF('Данные 1st'!$S$2:$S$317,$A71,'Данные 1st'!$CF$2:$CF$317),"")</f>
        <v>15</v>
      </c>
      <c r="AA71" s="7">
        <f>IFERROR(AVERAGEIF('Данные 1st'!$S$2:$S$317,$A71,'Данные 1st'!$CI$2:$CI$317),"")</f>
        <v>40</v>
      </c>
      <c r="AB71" s="7">
        <f>IFERROR(AVERAGEIF('Данные 1st'!$S$2:$S$317,$A71,'Данные 1st'!$CJ$2:$CJ$317),"")</f>
        <v>1381</v>
      </c>
      <c r="AC71" s="7">
        <f>IFERROR(AVERAGEIF('Данные 1st'!$S$2:$S$317,$A71,'Данные 1st'!$CK$2:$CK$317),"")</f>
        <v>2</v>
      </c>
      <c r="AD71" s="7">
        <f>IFERROR(AVERAGEIF('Данные 1st'!$S$2:$S$317,$A71,'Данные 1st'!$CL$2:$CL$317),"")</f>
        <v>1475</v>
      </c>
      <c r="AE71" s="7">
        <f>IFERROR(AVERAGEIF('Данные 1st'!$S$2:$S$317,$A71,'Данные 1st'!$CM$2:$CM$317),"")</f>
        <v>2</v>
      </c>
      <c r="AF71" s="7">
        <f>IFERROR(AVERAGEIF('Данные 1st'!$S$2:$S$317,$A71,'Данные 1st'!$CT$2:$CT$317),"")</f>
        <v>455</v>
      </c>
      <c r="AG71" s="7">
        <f>IFERROR(AVERAGEIF('Данные 1st'!$S$2:$S$317,$A71,'Данные 1st'!$CU$2:$CU$317),"")</f>
        <v>5</v>
      </c>
      <c r="AH71" s="7">
        <f>IFERROR(AVERAGEIF('Данные 1st'!$S$2:$S$317,$A71,'Данные 1st'!$CV$2:$CV$317),"")</f>
        <v>1.225</v>
      </c>
      <c r="AI71" s="7">
        <f>IFERROR(AVERAGEIF('Данные 1st'!$S$2:$S$317,$A71,'Данные 1st'!$CW$2:$CW$317),"")</f>
        <v>1394.5</v>
      </c>
      <c r="AJ71" s="7">
        <f>IFERROR(AVERAGEIF('Данные 1st'!$S$2:$S$317,$A71,'Данные 1st'!$CX$2:$CX$317),"")</f>
        <v>918</v>
      </c>
      <c r="AK71" s="7">
        <f>IFERROR(AVERAGEIF('Данные 1st'!$S$2:$S$317,$A71,'Данные 1st'!$CZ$2:$CZ$317),"")</f>
        <v/>
      </c>
      <c r="AL71" s="7">
        <f>IFERROR(AVERAGEIF('Данные 1st'!$S$2:$S$317,$A71,'Данные 1st'!$DA$2:$DA$317),"")</f>
        <v/>
      </c>
      <c r="AM71" s="7">
        <f>IFERROR(AVERAGEIF('Данные 1st'!$S$2:$S$317,$A71,'Данные 1st'!$DB$2:$DB$317),"")</f>
        <v/>
      </c>
      <c r="AN71" s="7">
        <f>IFERROR(AVERAGEIF('Данные 1st'!$S$2:$S$317,$A71,'Данные 1st'!$DC$2:$DC$317),"")</f>
        <v/>
      </c>
      <c r="AO71" s="7">
        <f>IFERROR(AVERAGEIF('Данные 1st'!$S$2:$S$317,$A71,'Данные 1st'!$DD$2:$DD$317),"")</f>
        <v>0</v>
      </c>
      <c r="AP71" s="7">
        <f>IFERROR(AVERAGEIF('Данные 1st'!$S$2:$S$317,$A71,'Данные 1st'!$DF$2:$DF$317),"")</f>
        <v>636.25</v>
      </c>
      <c r="AQ71" s="7">
        <f>IFERROR(AVERAGEIF('Данные 1st'!$S$2:$S$317,$A71,'Данные 1st'!$DG$2:$DG$317),"")</f>
        <v>3</v>
      </c>
      <c r="AR71" s="7">
        <f>IFERROR(AVERAGEIF('Данные 1st'!$S$2:$S$317,$A71,'Данные 1st'!$DH$2:$DH$317),"")</f>
        <v>1.03</v>
      </c>
      <c r="AS71" s="7">
        <f>IFERROR(AVERAGEIF('Данные 1st'!$S$2:$S$317,$A71,'Данные 1st'!$DI$2:$DI$317),"")</f>
        <v>1390.75</v>
      </c>
      <c r="AT71" s="7">
        <f>IFERROR(AVERAGEIF('Данные 1st'!$S$2:$S$317,$A71,'Данные 1st'!$DJ$2:$DJ$317),"")</f>
        <v>1174</v>
      </c>
      <c r="AU71" s="7">
        <f>IFERROR(AVERAGEIF('Данные 1st'!$S$2:$S$317,$A71,'Данные 1st'!$DL$2:$DL$317),"")</f>
        <v>527.5</v>
      </c>
      <c r="AV71" s="7">
        <f>IFERROR(AVERAGEIF('Данные 1st'!$S$2:$S$317,$A71,'Данные 1st'!$DM$2:$DM$317),"")</f>
        <v>3</v>
      </c>
      <c r="AW71" s="7">
        <f>IFERROR(AVERAGEIF('Данные 1st'!$S$2:$S$317,$A71,'Данные 1st'!$DN$2:$DN$317),"")</f>
        <v>1.03</v>
      </c>
      <c r="AX71" s="7">
        <f>IFERROR(AVERAGEIF('Данные 1st'!$S$2:$S$317,$A71,'Данные 1st'!$DO$2:$DO$317),"")</f>
        <v>1397.5</v>
      </c>
      <c r="AY71" s="7">
        <f>IFERROR(AVERAGEIF('Данные 1st'!$S$2:$S$317,$A71,'Данные 1st'!$DP$2:$DP$317),"")</f>
        <v>1001.75</v>
      </c>
      <c r="AZ71" s="7">
        <f>IFERROR(AVERAGEIF('Данные 1st'!$S$2:$S$317,$A71,'Данные 1st'!$DR$2:$DR$317),"")</f>
        <v/>
      </c>
      <c r="BA71" s="7">
        <f>IFERROR(AVERAGEIF('Данные 1st'!$S$2:$S$317,$A71,'Данные 1st'!$DS$2:$DS$317),"")</f>
        <v/>
      </c>
      <c r="BB71" s="7">
        <f>IFERROR(AVERAGEIF('Данные 1st'!$S$2:$S$317,$A71,'Данные 1st'!$DT$2:$DT$317),"")</f>
        <v/>
      </c>
      <c r="BC71" s="7">
        <f>IFERROR(AVERAGEIF('Данные 1st'!$S$2:$S$317,$A71,'Данные 1st'!$DU$2:$DU$317),"")</f>
        <v/>
      </c>
      <c r="BD71" s="7">
        <f>IFERROR(AVERAGEIF('Данные 1st'!$S$2:$S$317,$A71,'Данные 1st'!$DV$2:$DV$317),"")</f>
        <v/>
      </c>
      <c r="BE71" s="7">
        <f>IFERROR(AVERAGEIF('Данные 1st'!$S$2:$S$317,$A71,'Данные 1st'!$DX$2:$DX$317),"")</f>
        <v>7.5</v>
      </c>
      <c r="BF71" s="7">
        <f>IFERROR(AVERAGEIF('Данные 1st'!$S$2:$S$317,$A71,'Данные 1st'!$EA$2:$EA$317),"")</f>
        <v>1465.1</v>
      </c>
      <c r="BG71" s="7">
        <f>IFERROR(AVERAGEIF('Данные 1st'!$S$2:$S$317,$A71,'Данные 1st'!$EB$2:$EB$317),"")</f>
        <v>284.75</v>
      </c>
      <c r="BH71" s="7">
        <f>IFERROR(AVERAGEIF('Данные 1st'!$S$2:$S$317,$A71,'Данные 1st'!$ED$2:$ED$317),"")</f>
        <v>36.25</v>
      </c>
      <c r="BI71" s="7">
        <f>IFERROR(AVERAGEIF('Данные 1st'!$S$2:$S$317,$A71,'Данные 1st'!$EE$2:$EE$317),"")</f>
        <v>3</v>
      </c>
      <c r="BJ71" s="7">
        <f>IFERROR(AVERAGEIF('Данные 1st'!$S$2:$S$317,$A71,'Данные 1st'!$EG$2:$EG$317),"")</f>
        <v>1508.5</v>
      </c>
      <c r="BK71" s="7">
        <f>IFERROR(AVERAGEIF('Данные 1st'!$S$2:$S$317,$A71,'Данные 1st'!$EH$2:$EH$317),"")</f>
        <v>232</v>
      </c>
      <c r="BL71" s="7">
        <f>IFERROR(AVERAGEIF('Данные 1st'!$S$2:$S$317,$A71,'Данные 1st'!$EJ$2:$EJ$317),"")</f>
        <v>0</v>
      </c>
      <c r="BM71" s="7">
        <f>IFERROR(AVERAGEIF('Данные 1st'!$S$2:$S$317,$A71,'Данные 1st'!$EK$2:$EK$317),"")</f>
        <v>1</v>
      </c>
      <c r="BN71" s="7">
        <f>IFERROR(AVERAGEIF('Данные 1st'!$S$2:$S$317,$A71,'Данные 1st'!$EN$2:$EN$317),"")</f>
        <v>0</v>
      </c>
      <c r="BO71" s="7">
        <f>IFERROR(AVERAGEIF('Данные 1st'!$S$2:$S$317,$A71,'Данные 1st'!$EQ$2:$EQ$317),"")</f>
        <v>121.25</v>
      </c>
      <c r="BP71" s="7">
        <f>IFERROR(AVERAGEIF('Данные 1st'!$S$2:$S$317,$A71,'Данные 1st'!$ER$2:$ER$317),"")</f>
        <v>3</v>
      </c>
      <c r="BQ71" s="7">
        <f>IFERROR(AVERAGEIF('Данные 1st'!$S$2:$S$317,$A71,'Данные 1st'!$ES$2:$ES$317),"")</f>
        <v>5.75</v>
      </c>
      <c r="BR71" s="7">
        <f>IFERROR(AVERAGEIF('Данные 1st'!$S$2:$S$317,$A71,'Данные 1st'!$ET$2:$ET$317),"")</f>
        <v>1379.5</v>
      </c>
      <c r="BS71" s="7">
        <f>IFERROR(AVERAGEIF('Данные 1st'!$S$2:$S$317,$A71,'Данные 1st'!$EU$2:$EU$317),"")</f>
        <v>554.5</v>
      </c>
      <c r="BT71" s="7">
        <f>IFERROR(AVERAGEIF('Данные 1st'!$S$2:$S$317,$A71,'Данные 1st'!$EV$2:$EV$317),"")</f>
        <v>765</v>
      </c>
      <c r="BU71" s="7">
        <f>IFERROR(AVERAGEIF('Данные 1st'!$S$2:$S$317,$A71,'Данные 1st'!$EX$2:$EX$317),"")</f>
        <v>70</v>
      </c>
      <c r="BV71" s="7">
        <f>IFERROR(AVERAGEIF('Данные 1st'!$S$2:$S$317,$A71,'Данные 1st'!$EY$2:$EY$317),"")</f>
        <v>2</v>
      </c>
      <c r="BW71" s="7">
        <f>IFERROR(AVERAGEIF('Данные 1st'!$S$2:$S$317,$A71,'Данные 1st'!$EZ$2:$EZ$317),"")</f>
        <v>4.35</v>
      </c>
      <c r="BX71" s="7">
        <f>IFERROR(AVERAGEIF('Данные 1st'!$S$2:$S$317,$A71,'Данные 1st'!$FA$2:$FA$317),"")</f>
        <v>1379.5</v>
      </c>
      <c r="BY71" s="7">
        <f>IFERROR(AVERAGEIF('Данные 1st'!$S$2:$S$317,$A71,'Данные 1st'!$FB$2:$FB$317),"")</f>
        <v>211.25</v>
      </c>
      <c r="BZ71" s="7">
        <f>IFERROR(AVERAGEIF('Данные 1st'!$S$2:$S$317,$A71,'Данные 1st'!$FC$2:$FC$317),"")</f>
        <v>291.25</v>
      </c>
      <c r="CA71" s="7">
        <f>IFERROR(AVERAGEIF('Данные 1st'!$S$2:$S$317,$A71,'Данные 1st'!$FE$2:$FE$317),"")</f>
        <v>0</v>
      </c>
      <c r="CB71" s="7">
        <f>IFERROR(AVERAGEIF('Данные 1st'!$S$2:$S$317,$A71,'Данные 1st'!$FF$2:$FF$317),"")</f>
        <v>2</v>
      </c>
      <c r="CC71" s="7">
        <f>IFERROR(AVERAGEIF('Данные 1st'!$S$2:$S$317,$A71,'Данные 1st'!$FI$2:$FI$317),"")</f>
        <v>0</v>
      </c>
      <c r="CD71" s="7">
        <f>IFERROR(AVERAGEIF('Данные 1st'!$S$2:$S$317,$A71,'Данные 1st'!$FL$2:$FL$317),"")</f>
        <v>0.4</v>
      </c>
      <c r="CE71" s="7">
        <f>IFERROR(AVERAGEIF('Данные 1st'!$S$2:$S$317,$A71,'Данные 1st'!$FM$2:$FM$317),"")</f>
        <v>111.25</v>
      </c>
      <c r="CF71" s="7">
        <f>IFERROR(AVERAGEIF('Данные 1st'!$S$2:$S$317,$A71,'Данные 1st'!$FN$2:$FN$317),"")</f>
        <v>162.5</v>
      </c>
      <c r="CG71" s="7">
        <f>IFERROR(AVERAGEIF('Данные 1st'!$S$2:$S$317,$A71,'Данные 1st'!$FO$2:$FO$317),"")</f>
        <v/>
      </c>
      <c r="CH71" s="7">
        <f>IFERROR(AVERAGEIF('Данные 1st'!$S$2:$S$317,$A71,'Данные 1st'!$FP$2:$FP$317),"")</f>
        <v/>
      </c>
      <c r="CI71" s="7">
        <f>IFERROR(AVERAGEIF('Данные 1st'!$S$2:$S$317,$A71,'Данные 1st'!$FS$2:$FS$317),"")</f>
        <v/>
      </c>
      <c r="CJ71" s="7">
        <f>IFERROR(AVERAGEIF('Данные 1st'!$S$2:$S$317,$A71,'Данные 1st'!$FT$2:$FT$317),"")</f>
        <v/>
      </c>
      <c r="CK71" s="7">
        <f>IFERROR(AVERAGEIF('Данные 1st'!$S$2:$S$317,$A71,'Данные 1st'!$FU$2:$FU$317),"")</f>
        <v/>
      </c>
      <c r="CL71" s="7">
        <f>IFERROR(AVERAGEIF('Данные 1st'!$S$2:$S$317,$A71,'Данные 1st'!$FV$2:$FV$317),"")</f>
        <v/>
      </c>
      <c r="CM71" s="7">
        <f>IFERROR(AVERAGEIF('Данные 1st'!$S$2:$S$317,$A71,'Данные 1st'!$FW$2:$FW$317),"")</f>
        <v/>
      </c>
      <c r="CN71" s="7">
        <f>IFERROR(AVERAGEIF('Данные 1st'!$S$2:$S$317,$A71,'Данные 1st'!$FZ$2:$FZ$317),"")</f>
        <v/>
      </c>
      <c r="CO71" s="7">
        <f>IFERROR(AVERAGEIF('Данные 1st'!$S$2:$S$317,$A71,'Данные 1st'!$GA$2:$GA$317),"")</f>
        <v/>
      </c>
      <c r="CP71" s="7">
        <f>IFERROR(AVERAGEIF('Данные 1st'!$S$2:$S$317,$A71,'Данные 1st'!$GB$2:$GB$317),"")</f>
        <v/>
      </c>
      <c r="CQ71" s="7">
        <f>IFERROR(AVERAGEIF('Данные 1st'!$S$2:$S$317,$A71,'Данные 1st'!$GH$2:$GH$317),"")</f>
        <v/>
      </c>
      <c r="CR71" s="7">
        <f>IFERROR(AVERAGEIF('Данные 1st'!$S$2:$S$317,$A71,'Данные 1st'!$GI$2:$GI$317),"")</f>
        <v/>
      </c>
      <c r="CS71" s="7">
        <f>IFERROR(AVERAGEIF('Данные 1st'!$S$2:$S$317,$A71,'Данные 1st'!$GJ$2:$GJ$317),"")</f>
        <v/>
      </c>
      <c r="CT71" s="7">
        <f>IFERROR(AVERAGEIF('Данные 1st'!$S$2:$S$317,$A71,'Данные 1st'!$GS$2:$GS$317),"")</f>
        <v>0.4</v>
      </c>
      <c r="CU71" s="7">
        <f>IFERROR(AVERAGEIF('Данные 1st'!$S$2:$S$317,$A71,'Данные 1st'!$GT$2:$GT$317),"")</f>
        <v>30</v>
      </c>
      <c r="CV71" s="7">
        <f>IFERROR(AVERAGEIF('Данные 1st'!$S$2:$S$317,$A71,'Данные 1st'!$GU$2:$GU$317),"")</f>
        <v>440</v>
      </c>
      <c r="CW71" s="7">
        <f>IFERROR(AVERAGEIF('Данные 1st'!$S$2:$S$317,$A71,'Данные 1st'!$GV$2:$GV$317),"")</f>
        <v>42.5</v>
      </c>
      <c r="CX71" s="7">
        <f>IFERROR(AVERAGEIF('Данные 1st'!$S$2:$S$317,$A71,'Данные 1st'!$GW$2:$GW$317),"")</f>
        <v>270</v>
      </c>
      <c r="CY71" s="7">
        <f>IFERROR(AVERAGEIF('Данные 1st'!$S$2:$S$317,$A71,'Данные 1st'!$GZ$2:$GZ$317),"")</f>
        <v>1.6</v>
      </c>
      <c r="CZ71" s="7">
        <f>IFERROR(AVERAGEIF('Данные 1st'!$S$2:$S$317,$A71,'Данные 1st'!$HA$2:$HA$317),"")</f>
        <v>20</v>
      </c>
      <c r="DA71" s="7">
        <f>IFERROR(AVERAGEIF('Данные 1st'!$S$2:$S$317,$A71,'Данные 1st'!$HB$2:$HB$317),"")</f>
        <v>196</v>
      </c>
      <c r="DB71" s="7">
        <f>IFERROR(AVERAGEIF('Данные 1st'!$S$2:$S$317,$A71,'Данные 1st'!$HC$2:$HC$317),"")</f>
        <v>0.1</v>
      </c>
      <c r="DC71" s="7">
        <f>IFERROR(AVERAGEIF('Данные 1st'!$S$2:$S$317,$A71,'Данные 1st'!$HD$2:$HD$317),"")</f>
        <v>3</v>
      </c>
      <c r="DD71" s="7">
        <f>IFERROR(AVERAGEIF('Данные 1st'!$S$2:$S$317,$A71,'Данные 1st'!$HE$2:$HE$317),"")</f>
        <v>3</v>
      </c>
      <c r="DE71" s="7">
        <f>IFERROR(AVERAGEIF('Данные 1st'!$S$2:$S$317,$A71,'Данные 1st'!$HF$2:$HF$317),"")</f>
        <v>3</v>
      </c>
      <c r="DF71" s="7">
        <f>IFERROR(AVERAGEIF('Данные 1st'!$S$2:$S$317,$A71,'Данные 1st'!$HG$2:$HG$317),"")</f>
        <v>3</v>
      </c>
      <c r="DG71" s="7">
        <f>IFERROR(AVERAGEIF('Данные 1st'!$S$2:$S$317,$A71,'Данные 1st'!$HH$2:$HH$317),"")</f>
        <v>3</v>
      </c>
      <c r="DH71" s="7">
        <f>IFERROR(AVERAGEIF('Данные 1st'!$S$2:$S$317,$A71,'Данные 1st'!$HI$2:$HI$317),"")</f>
        <v>176.25</v>
      </c>
      <c r="DI71" s="7">
        <f>IFERROR(AVERAGEIF('Данные 1st'!$S$2:$S$317,$A71,'Данные 1st'!$HJ$2:$HJ$317),"")</f>
        <v>3</v>
      </c>
      <c r="DJ71" s="7">
        <f>IFERROR(AVERAGEIF('Данные 1st'!$S$2:$S$317,$A71,'Данные 1st'!$HK$2:$HK$317),"")</f>
        <v>55</v>
      </c>
      <c r="DK71" s="7">
        <f>IFERROR(AVERAGEIF('Данные 1st'!$S$2:$S$317,$A71,'Данные 1st'!$HL$2:$HL$317),"")</f>
        <v>2</v>
      </c>
      <c r="DL71" s="7">
        <f>IFERROR(AVERAGEIF('Данные 1st'!$S$2:$S$317,$A71,'Данные 1st'!$HM$2:$HM$317),"")</f>
        <v>0</v>
      </c>
      <c r="DM71" s="7">
        <f>IFERROR(AVERAGEIF('Данные 1st'!$S$2:$S$317,$A71,'Данные 1st'!$HN$2:$HN$317),"")</f>
        <v>2</v>
      </c>
      <c r="DN71" s="7">
        <f>IFERROR(AVERAGEIF('Данные 1st'!$S$2:$S$317,$A71,'Данные 1st'!$HO$2:$HO$317),"")</f>
        <v>106.25</v>
      </c>
      <c r="DO71" s="7">
        <f>IFERROR(AVERAGEIF('Данные 1st'!$S$2:$S$317,$A71,'Данные 1st'!$HP$2:$HP$317),"")</f>
        <v>3</v>
      </c>
      <c r="DP71" s="7">
        <f>IFERROR(AVERAGEIF('Данные 1st'!$S$2:$S$317,$A71,'Данные 1st'!$HQ$2:$HQ$317),"")</f>
        <v>0</v>
      </c>
      <c r="DQ71" s="7">
        <f>IFERROR(AVERAGEIF('Данные 1st'!$S$2:$S$317,$A71,'Данные 1st'!$HR$2:$HR$317),"")</f>
        <v>2</v>
      </c>
      <c r="DR71" s="7">
        <f>IFERROR(AVERAGEIF('Данные 1st'!$S$2:$S$317,$A71,'Данные 1st'!$HS$2:$HS$317),"")</f>
        <v>6239.75</v>
      </c>
      <c r="DS71" s="7">
        <f>IFERROR(AVERAGEIF('Данные 1st'!$S$2:$S$317,$A71,'Данные 1st'!$HT$2:$HT$317),"")</f>
        <v>187.5</v>
      </c>
      <c r="DT71" s="7">
        <f>IFERROR(AVERAGEIF('Данные 1st'!$S$2:$S$317,$A71,'Данные 1st'!$HU$2:$HU$317),"")</f>
        <v>180</v>
      </c>
      <c r="DU71" s="7">
        <f>IFERROR(AVERAGEIF('Данные 1st'!$S$2:$S$317,$A71,'Данные 1st'!$HW$2:$HW$317),"")</f>
        <v>0</v>
      </c>
      <c r="DV71" s="7">
        <f>IFERROR(AVERAGEIF('Данные 1st'!$S$2:$S$317,$A71,'Данные 1st'!$HX$2:$HX$317),"")</f>
        <v>496.25</v>
      </c>
      <c r="DW71" s="7">
        <f>IFERROR(AVERAGEIF('Данные 1st'!$S$2:$S$317,$A71,'Данные 1st'!$HY$2:$HY$317),"")</f>
        <v>0.18</v>
      </c>
      <c r="DX71" s="7">
        <f>IFERROR(AVERAGEIF('Данные 1st'!$S$2:$S$317,$A71,'Данные 1st'!$IA$2:$IA$317),"")</f>
        <v>0.15</v>
      </c>
      <c r="DY71" s="7">
        <f>IFERROR(AVERAGEIF('Данные 1st'!$S$2:$S$317,$A71,'Данные 1st'!$IB$2:$IB$317),"")</f>
        <v>0</v>
      </c>
      <c r="DZ71" s="7">
        <f>IFERROR(AVERAGEIF('Данные 1st'!$S$2:$S$317,$A71,'Данные 1st'!$IC$2:$IC$317),"")</f>
        <v>180</v>
      </c>
      <c r="EA71" s="7">
        <f>IFERROR(AVERAGEIF('Данные 1st'!$S$2:$S$317,$A71,'Данные 1st'!$ID$2:$ID$317),"")</f>
        <v>110</v>
      </c>
      <c r="EB71" s="7">
        <f>IFERROR(AVERAGEIF('Данные 1st'!$S$2:$S$317,$A71,'Данные 1st'!$IE$2:$IE$317),"")</f>
        <v>225</v>
      </c>
      <c r="EC71" s="7">
        <f>IFERROR(AVERAGEIF('Данные 1st'!$S$2:$S$317,$A71,'Данные 1st'!$IF$2:$IF$317),"")</f>
        <v>0</v>
      </c>
      <c r="ED71" s="7">
        <f>IFERROR(AVERAGEIF('Данные 1st'!$S$2:$S$317,$A71,'Данные 1st'!$IP$2:$IP$317),"")</f>
        <v>18</v>
      </c>
      <c r="EE71" s="7">
        <f>IFERROR(AVERAGEIF('Данные 1st'!$S$2:$S$317,$A71,'Данные 1st'!$IV$2:$IV$317),"")</f>
        <v>1381</v>
      </c>
      <c r="EF71" s="7">
        <f>IFERROR(AVERAGEIF('Данные 1st'!$S$2:$S$317,$A71,'Данные 1st'!$IW$2:$IW$317),"")</f>
        <v>475.5</v>
      </c>
      <c r="EG71" s="7">
        <f>IFERROR(AVERAGEIF('Данные 1st'!$S$2:$S$317,$A71,'Данные 1st'!$IX$2:$IX$317),"")</f>
        <v/>
      </c>
      <c r="EH71" s="7">
        <f>IFERROR(AVERAGEIF('Данные 1st'!$S$2:$S$317,$A71,'Данные 1st'!$IY$2:$IY$317),"")</f>
        <v/>
      </c>
      <c r="EI71" s="7">
        <f>IFERROR(AVERAGEIF('Данные 1st'!$S$2:$S$317,$A71,'Данные 1st'!$JD$2:$JD$317),"")</f>
        <v>1394.5</v>
      </c>
      <c r="EJ71" s="7">
        <f>IFERROR(AVERAGEIF('Данные 1st'!$S$2:$S$317,$A71,'Данные 1st'!$JE$2:$JE$317),"")</f>
        <v>1390.75</v>
      </c>
      <c r="EK71" s="7">
        <f>IFERROR(AVERAGEIF('Данные 1st'!$S$2:$S$317,$A71,'Данные 1st'!$JF$2:$JF$317),"")</f>
        <v>1397.5</v>
      </c>
      <c r="EL71" s="7">
        <f>IFERROR(AVERAGEIF('Данные 1st'!$S$2:$S$317,$A71,'Данные 1st'!$JG$2:$JG$317),"")</f>
        <v>1379.5</v>
      </c>
      <c r="EM71" s="7">
        <f>IFERROR(AVERAGEIF('Данные 1st'!$S$2:$S$317,$A71,'Данные 1st'!$JH$2:$JH$317),"")</f>
        <v>0</v>
      </c>
      <c r="EN71" s="7">
        <f>IFERROR(AVERAGEIF('Данные 1st'!$S$2:$S$317,$A71,'Данные 1st'!$JJ$2:$JJ$317),"")</f>
        <v>180</v>
      </c>
      <c r="EO71" s="7">
        <f>IFERROR(AVERAGEIF('Данные 1st'!$S$2:$S$317,$A71,'Данные 1st'!$JK$2:$JK$317),"")</f>
        <v>496.25</v>
      </c>
      <c r="EP71" s="7">
        <f>IFERROR(AVERAGEIF('Данные 1st'!$S$2:$S$317,$A71,'Данные 1st'!$JL$2:$JL$317),"")</f>
        <v/>
      </c>
      <c r="EQ71" s="7">
        <f>IFERROR(AVERAGEIF('Данные 1st'!$S$2:$S$317,$A71,'Данные 1st'!$JM$2:$JM$317),"")</f>
        <v/>
      </c>
      <c r="ER71" s="7">
        <f>IFERROR(AVERAGEIF('Данные 1st'!$S$2:$S$317,$A71,'Данные 1st'!$JN$2:$JN$317),"")</f>
        <v>455</v>
      </c>
      <c r="ES71" s="7">
        <f>IFERROR(AVERAGEIF('Данные 1st'!$S$2:$S$317,$A71,'Данные 1st'!$JO$2:$JO$317),"")</f>
        <v>636.25</v>
      </c>
      <c r="ET71" s="7">
        <f>IFERROR(AVERAGEIF('Данные 1st'!$S$2:$S$317,$A71,'Данные 1st'!$JP$2:$JP$317),"")</f>
        <v>527.5</v>
      </c>
      <c r="EU71" s="7">
        <f>IFERROR(AVERAGEIF('Данные 1st'!$S$2:$S$317,$A71,'Данные 1st'!$JQ$2:$JQ$317),"")</f>
        <v>0</v>
      </c>
      <c r="EV71" s="7">
        <f>IFERROR(AVERAGEIF('Данные 1st'!$S$2:$S$317,$A71,'Данные 1st'!$JR$2:$JR$317),"")</f>
        <v>430.5</v>
      </c>
      <c r="EW71" s="7">
        <f>IFERROR(AVERAGEIF('Данные 1st'!$S$2:$S$317,$A71,'Данные 1st'!$JS$2:$JS$317),"")</f>
        <v>176.25</v>
      </c>
      <c r="EX71" s="7">
        <f>IFERROR(AVERAGEIF('Данные 1st'!$S$2:$S$317,$A71,'Данные 1st'!$JT$2:$JT$317),"")</f>
        <v/>
      </c>
      <c r="EY71" s="7">
        <f>IFERROR(AVERAGEIF('Данные 1st'!$S$2:$S$317,$A71,'Данные 1st'!$JU$2:$JU$317),"")</f>
        <v/>
      </c>
      <c r="EZ71" s="7">
        <f>IFERROR(AVERAGEIF('Данные 1st'!$S$2:$S$317,$A71,'Данные 1st'!$JV$2:$JV$317),"")</f>
        <v>8</v>
      </c>
      <c r="FA71" s="7">
        <f>IFERROR(AVERAGEIF('Данные 1st'!$S$2:$S$317,$A71,'Данные 1st'!$JW$2:$JW$317),"")</f>
        <v/>
      </c>
      <c r="FB71" s="7">
        <f>IFERROR(AVERAGEIF('Данные 1st'!$S$2:$S$317,$A71,'Данные 1st'!$JX$2:$JX$317),"")</f>
        <v>0</v>
      </c>
      <c r="FC71" s="7">
        <f>IFERROR(AVERAGEIF('Данные 1st'!$S$2:$S$317,$A71,'Данные 1st'!$JY$2:$JY$317),"")</f>
        <v/>
      </c>
      <c r="FD71" s="7">
        <f>IFERROR(AVERAGEIF('Данные 1st'!$S$2:$S$317,$A71,'Данные 1st'!$JZ$2:$JZ$317),"")</f>
        <v/>
      </c>
      <c r="FE71" s="7">
        <f>IFERROR(AVERAGEIF('Данные 1st'!$S$2:$S$317,$A71,'Данные 1st'!$KA$2:$KA$317),"")</f>
        <v>225</v>
      </c>
      <c r="FF71" s="7">
        <f>IFERROR(AVERAGEIF('Данные 1st'!$S$2:$S$317,$A71,'Данные 1st'!$KB$2:$KB$317),"")</f>
        <v>110</v>
      </c>
      <c r="FG71" s="7">
        <f>IFERROR(AVERAGEIF('Данные 1st'!$S$2:$S$317,$A71,'Данные 1st'!$KC$2:$KC$317),"")</f>
        <v>0</v>
      </c>
      <c r="FH71" s="7">
        <f>IFERROR(AVERAGEIF('Данные 1st'!$S$2:$S$317,$A71,'Данные 1st'!$KD$2:$KD$317),"")</f>
        <v>80</v>
      </c>
      <c r="FI71" s="7">
        <f>IFERROR(AVERAGEIF('Данные 1st'!$S$2:$S$317,$A71,'Данные 1st'!$KE$2:$KE$317),"")</f>
        <v/>
      </c>
      <c r="FJ71" s="7">
        <f>IFERROR(AVERAGEIF('Данные 1st'!$S$2:$S$317,$A71,'Данные 1st'!$KF$2:$KF$317),"")</f>
        <v>4</v>
      </c>
      <c r="FK71" s="7">
        <f>IFERROR(AVERAGEIF('Данные 1st'!$S$2:$S$317,$A71,'Данные 1st'!$KG$2:$KG$317),"")</f>
        <v>2</v>
      </c>
      <c r="FL71" s="7">
        <f>IFERROR(AVERAGEIF('Данные 1st'!$S$2:$S$317,$A71,'Данные 1st'!$KH$2:$KH$317),"")</f>
        <v>2</v>
      </c>
      <c r="FM71" s="7">
        <f>IFERROR(AVERAGEIF('Данные 1st'!$S$2:$S$317,$A71,'Данные 1st'!$KI$2:$KI$317),"")</f>
        <v>2</v>
      </c>
      <c r="FN71" s="7">
        <f>IFERROR(AVERAGEIF('Данные 1st'!$S$2:$S$317,$A71,'Данные 1st'!$KJ$2:$KJ$317),"")</f>
        <v>0</v>
      </c>
      <c r="FO71" s="7">
        <f>IFERROR(AVERAGEIF('Данные 1st'!$S$2:$S$317,$A71,'Данные 1st'!$KK$2:$KK$317),"")</f>
        <v>1.5</v>
      </c>
      <c r="FP71" s="7">
        <f>IFERROR(AVERAGEIF('Данные 1st'!$S$2:$S$317,$A71,'Данные 1st'!$KL$2:$KL$317),"")</f>
        <v>1.5</v>
      </c>
      <c r="FQ71" s="7">
        <f>IFERROR(AVERAGEIF('Данные 1st'!$S$2:$S$317,$A71,'Данные 1st'!$KM$2:$KM$317),"")</f>
        <v>0</v>
      </c>
      <c r="FR71" s="7">
        <f>IFERROR(AVERAGEIF('Данные 1st'!$S$2:$S$317,$A71,'Данные 1st'!$KN$2:$KN$317),"")</f>
        <v>0</v>
      </c>
      <c r="FS71" s="7">
        <f>IFERROR(AVERAGEIF('Данные 1st'!$S$2:$S$317,$A71,'Данные 1st'!$KR$2:$KR$317),"")</f>
        <v>30</v>
      </c>
      <c r="FT71" s="7">
        <f>IFERROR(AVERAGEIF('Данные 1st'!$S$2:$S$317,$A71,'Данные 1st'!$KS$2:$KS$317),"")</f>
        <v>60</v>
      </c>
      <c r="FU71" s="7">
        <f>IFERROR(AVERAGEIF('Данные 1st'!$S$2:$S$317,$A71,'Данные 1st'!$KT$2:$KT$317),"")</f>
        <v>0</v>
      </c>
      <c r="FV71" s="7">
        <f>IFERROR(AVERAGEIF('Данные 1st'!$S$2:$S$317,$A71,'Данные 1st'!$KV$2:$KV$317),"")</f>
        <v/>
      </c>
      <c r="FW71" s="7">
        <f>IFERROR(AVERAGEIF('Данные 1st'!$S$2:$S$317,$A71,'Данные 1st'!$KW$2:$KW$317),"")</f>
        <v/>
      </c>
      <c r="FX71" s="7">
        <f>IFERROR(AVERAGEIF('Данные 1st'!$S$2:$S$317,$A71,'Данные 1st'!$KX$2:$KX$317),"")</f>
        <v/>
      </c>
      <c r="FY71" s="7">
        <f>IFERROR(AVERAGEIF('Данные 1st'!$S$2:$S$317,$A71,'Данные 1st'!$KY$2:$KY$317),"")</f>
        <v/>
      </c>
      <c r="FZ71" s="7">
        <f>IFERROR(AVERAGEIF('Данные 1st'!$S$2:$S$317,$A71,'Данные 1st'!$KZ$2:$KZ$317),"")</f>
        <v/>
      </c>
      <c r="GA71" s="7">
        <f>IFERROR(AVERAGEIF('Данные 1st'!$S$2:$S$317,$A71,'Данные 1st'!$LA$2:$LA$317),"")</f>
        <v/>
      </c>
      <c r="GB71" s="7">
        <f>IFERROR(AVERAGEIF('Данные 1st'!$S$2:$S$317,$A71,'Данные 1st'!$LB$2:$LB$317),"")</f>
        <v/>
      </c>
      <c r="GC71" s="7">
        <f>IFERROR(AVERAGEIF('Данные 1st'!$S$2:$S$317,$A71,'Данные 1st'!$LC$2:$LC$317),"")</f>
        <v/>
      </c>
      <c r="GD71" s="7">
        <f>IFERROR(AVERAGEIF('Данные 1st'!$S$2:$S$317,$A71,'Данные 1st'!$LD$2:$LD$317),"")</f>
        <v/>
      </c>
      <c r="GE71" s="7">
        <f>IFERROR(AVERAGEIF('Данные 1st'!$S$2:$S$317,$A71,'Данные 1st'!$LE$2:$LE$317),"")</f>
        <v/>
      </c>
      <c r="GF71" s="7">
        <f>IFERROR(AVERAGEIF('Данные 1st'!$S$2:$S$317,$A71,'Данные 1st'!$LF$2:$LF$317),"")</f>
        <v/>
      </c>
      <c r="GG71" s="7">
        <f>IFERROR(AVERAGEIF('Данные 1st'!$S$2:$S$317,$A71,'Данные 1st'!$LG$2:$LG$317),"")</f>
        <v/>
      </c>
      <c r="GH71" s="7">
        <f>IFERROR(AVERAGEIF('Данные 1st'!$S$2:$S$317,$A71,'Данные 1st'!$LH$2:$LH$317),"")</f>
        <v/>
      </c>
      <c r="GI71" s="7">
        <f>IFERROR(AVERAGEIF('Данные 1st'!$S$2:$S$317,$A71,'Данные 1st'!$LI$2:$LI$317),"")</f>
        <v/>
      </c>
      <c r="GJ71" s="7">
        <f>IFERROR(AVERAGEIF('Данные 1st'!$S$2:$S$317,$A71,'Данные 1st'!$LJ$2:$LJ$317),"")</f>
        <v/>
      </c>
      <c r="GK71" s="7">
        <f>IFERROR(AVERAGEIF('Данные 1st'!$S$2:$S$317,$A71,'Данные 1st'!$LK$2:$LK$317),"")</f>
        <v>480</v>
      </c>
      <c r="GL71" s="7">
        <f>IFERROR(AVERAGEIF('Данные 1st'!$S$2:$S$317,$A71,'Данные 1st'!$LV$2:$LV$317),"")</f>
        <v/>
      </c>
      <c r="GM71" s="7">
        <f>IFERROR(AVERAGEIF('Данные 1st'!$S$2:$S$317,$A71,'Данные 1st'!$LW$2:$LW$317),"")</f>
        <v/>
      </c>
      <c r="GN71" s="7">
        <f>IFERROR(AVERAGEIF('Данные 1st'!$S$2:$S$317,$A71,'Данные 1st'!$LX$2:$LX$317),"")</f>
        <v/>
      </c>
      <c r="GO71" s="7">
        <f>IFERROR(AVERAGEIF('Данные 1st'!$S$2:$S$317,$A71,'Данные 1st'!$LY$2:$LY$317),"")</f>
        <v/>
      </c>
      <c r="GP71" s="7">
        <f>IFERROR(AVERAGEIF('Данные 1st'!$S$2:$S$317,$A71,'Данные 1st'!$LZ$2:$LZ$317),"")</f>
        <v/>
      </c>
      <c r="GQ71" s="7">
        <f>IFERROR(AVERAGEIF('Данные 1st'!$S$2:$S$317,$A71,'Данные 1st'!$PG$2:$PG$317),"")</f>
        <v>1</v>
      </c>
      <c r="GR71" s="7">
        <f>IFERROR(AVERAGEIF('Данные 1st'!$S$2:$S$317,$A71,'Данные 1st'!$PX$2:$PX$317),"")</f>
        <v>56</v>
      </c>
      <c r="GS71" s="7">
        <f>IFERROR(AVERAGEIF('Данные 1st'!$S$2:$S$317,$A71,'Данные 1st'!$PY$2:$PY$317),"")</f>
        <v>56.25</v>
      </c>
      <c r="GT71" s="7">
        <f>IFERROR(AVERAGEIF('Данные 1st'!$S$2:$S$317,$A71,'Данные 1st'!$QA$2:$QA$317),"")</f>
        <v>1.5</v>
      </c>
      <c r="GU71" s="7">
        <f>IFERROR(AVERAGEIF('Данные 1st'!$S$2:$S$317,$A71,'Данные 1st'!$QB$2:$QB$317),"")</f>
        <v>1379.5</v>
      </c>
      <c r="GV71" s="7">
        <f>IFERROR(AVERAGEIF('Данные 1st'!$S$2:$S$317,$A71,'Данные 1st'!$QC$2:$QC$317),"")</f>
        <v>69</v>
      </c>
      <c r="GW71" s="7">
        <f>IFERROR(AVERAGEIF('Данные 1st'!$S$2:$S$317,$A71,'Данные 1st'!$QD$2:$QD$317),"")</f>
        <v>69</v>
      </c>
      <c r="GX71" s="7">
        <f>IFERROR(AVERAGEIF('Данные 1st'!$S$2:$S$317,$A71,'Данные 1st'!$QF$2:$QF$317),"")</f>
        <v>1</v>
      </c>
      <c r="GY71" s="7">
        <f>IFERROR(AVERAGEIF('Данные 1st'!$S$2:$S$317,$A71,'Данные 1st'!$QG$2:$QG$317),"")</f>
        <v>1394.5</v>
      </c>
      <c r="GZ71" s="7">
        <f>IFERROR(AVERAGEIF('Данные 1st'!$S$2:$S$317,$A71,'Данные 1st'!$QH$2:$QH$317),"")</f>
        <v>66</v>
      </c>
      <c r="HA71" s="7">
        <f>IFERROR(AVERAGEIF('Данные 1st'!$S$2:$S$317,$A71,'Данные 1st'!$QI$2:$QI$317),"")</f>
        <v>66</v>
      </c>
      <c r="HB71" s="7">
        <f>IFERROR(AVERAGEIF('Данные 1st'!$S$2:$S$317,$A71,'Данные 1st'!$QK$2:$QK$317),"")</f>
        <v/>
      </c>
      <c r="HC71" s="7">
        <f>IFERROR(AVERAGEIF('Данные 1st'!$S$2:$S$317,$A71,'Данные 1st'!$QL$2:$QL$317),"")</f>
        <v>0</v>
      </c>
      <c r="HD71" s="7">
        <f>IFERROR(AVERAGEIF('Данные 1st'!$S$2:$S$317,$A71,'Данные 1st'!$QM$2:$QM$317),"")</f>
        <v>62</v>
      </c>
      <c r="HE71" s="7">
        <f>IFERROR(AVERAGEIF('Данные 1st'!$S$2:$S$317,$A71,'Данные 1st'!$QN$2:$QN$317),"")</f>
        <v>62</v>
      </c>
      <c r="HF71" s="7">
        <f>IFERROR(AVERAGEIF('Данные 1st'!$S$2:$S$317,$A71,'Данные 1st'!$QP$2:$QP$317),"")</f>
        <v>1</v>
      </c>
      <c r="HG71" s="7">
        <f>IFERROR(AVERAGEIF('Данные 1st'!$S$2:$S$317,$A71,'Данные 1st'!$QQ$2:$QQ$317),"")</f>
        <v>1390.75</v>
      </c>
      <c r="HH71" s="7">
        <f>IFERROR(AVERAGEIF('Данные 1st'!$S$2:$S$317,$A71,'Данные 1st'!$QR$2:$QR$317),"")</f>
        <v>62.5</v>
      </c>
      <c r="HI71" s="7">
        <f>IFERROR(AVERAGEIF('Данные 1st'!$S$2:$S$317,$A71,'Данные 1st'!$QS$2:$QS$317),"")</f>
        <v>62.5</v>
      </c>
      <c r="HJ71" s="7">
        <f>IFERROR(AVERAGEIF('Данные 1st'!$S$2:$S$317,$A71,'Данные 1st'!$QU$2:$QU$317),"")</f>
        <v>1</v>
      </c>
      <c r="HK71" s="7">
        <f>IFERROR(AVERAGEIF('Данные 1st'!$S$2:$S$317,$A71,'Данные 1st'!$QV$2:$QV$317),"")</f>
        <v>1397.5</v>
      </c>
      <c r="HL71" s="7">
        <f>IFERROR(AVERAGEIF('Данные 1st'!$S$2:$S$317,$A71,'Данные 1st'!$QW$2:$QW$317),"")</f>
        <v>82</v>
      </c>
      <c r="HM71" s="7">
        <f>IFERROR(AVERAGEIF('Данные 1st'!$S$2:$S$317,$A71,'Данные 1st'!$QX$2:$QX$317),"")</f>
        <v>85</v>
      </c>
      <c r="HN71" s="7">
        <f>IFERROR(AVERAGEIF('Данные 1st'!$S$2:$S$317,$A71,'Данные 1st'!$QZ$2:$QZ$317),"")</f>
        <v>1</v>
      </c>
      <c r="HO71" s="7">
        <f>IFERROR(AVERAGEIF('Данные 1st'!$S$2:$S$317,$A71,'Данные 1st'!$RA$2:$RA$317),"")</f>
        <v>66</v>
      </c>
      <c r="HP71" s="7">
        <f>IFERROR(AVERAGEIF('Данные 1st'!$S$2:$S$317,$A71,'Данные 1st'!$RB$2:$RB$317),"")</f>
        <v>66</v>
      </c>
      <c r="HQ71" s="7">
        <f>IFERROR(AVERAGEIF('Данные 1st'!$S$2:$S$317,$A71,'Данные 1st'!$RD$2:$RD$317),"")</f>
        <v/>
      </c>
      <c r="HR71" s="7">
        <f>IFERROR(AVERAGEIF('Данные 1st'!$S$2:$S$317,$A71,'Данные 1st'!$RE$2:$RE$317),"")</f>
        <v>0</v>
      </c>
      <c r="HS71" s="7">
        <f>IFERROR(AVERAGEIF('Данные 1st'!$S$2:$S$317,$A71,'Данные 1st'!$RF$2:$RF$317),"")</f>
        <v>1</v>
      </c>
      <c r="HT71" s="7">
        <f>IFERROR(AVERAGEIF('Данные 1st'!$S$2:$S$317,$A71,'Данные 1st'!$RG$2:$RG$317),"")</f>
        <v/>
      </c>
      <c r="HU71" s="7">
        <f>IFERROR(AVERAGEIF('Данные 1st'!$S$2:$S$317,$A71,'Данные 1st'!$RH$2:$RH$317),"")</f>
        <v>1</v>
      </c>
      <c r="HV71" s="7">
        <f>IFERROR(AVERAGEIF('Данные 1st'!$S$2:$S$317,$A71,'Данные 1st'!$RI$2:$RI$317),"")</f>
        <v>1</v>
      </c>
      <c r="HW71" s="7">
        <f>IFERROR(AVERAGEIF('Данные 1st'!$S$2:$S$317,$A71,'Данные 1st'!$RJ$2:$RJ$317),"")</f>
        <v>1</v>
      </c>
      <c r="HX71" s="7">
        <f>IFERROR(AVERAGEIF('Данные 1st'!$S$2:$S$317,$A71,'Данные 1st'!$RK$2:$RK$317),"")</f>
        <v/>
      </c>
      <c r="HY71" s="7">
        <f>IFERROR(AVERAGEIF('Данные 1st'!$S$2:$S$317,$A71,'Данные 1st'!$RL$2:$RL$317),"")</f>
        <v>2.5</v>
      </c>
      <c r="HZ71" s="7">
        <f>IFERROR(AVERAGEIF('Данные 1st'!$S$2:$S$317,$A71,'Данные 1st'!$RM$2:$RM$317),"")</f>
        <v>2.5</v>
      </c>
      <c r="IA71" s="7">
        <f>IFERROR(AVERAGEIF('Данные 1st'!$S$2:$S$317,$A71,'Данные 1st'!$RN$2:$RN$317),"")</f>
        <v/>
      </c>
      <c r="IB71" s="7">
        <f>IFERROR(AVERAGEIF('Данные 1st'!$S$2:$S$317,$A71,'Данные 1st'!$RO$2:$RO$317),"")</f>
        <v>658.5</v>
      </c>
      <c r="IC71" s="7">
        <f>IFERROR(AVERAGEIF('Данные 1st'!$S$2:$S$317,$A71,'Данные 1st'!$RP$2:$RP$317),"")</f>
        <v/>
      </c>
      <c r="ID71" s="7">
        <f>IFERROR(AVERAGEIF('Данные 1st'!$S$2:$S$317,$A71,'Данные 1st'!$RQ$2:$RQ$317),"")</f>
        <v>844</v>
      </c>
      <c r="IE71" s="7">
        <f>IFERROR(AVERAGEIF('Данные 1st'!$S$2:$S$317,$A71,'Данные 1st'!$RR$2:$RR$317),"")</f>
        <v>716.5</v>
      </c>
      <c r="IF71" s="7">
        <f>IFERROR(AVERAGEIF('Данные 1st'!$S$2:$S$317,$A71,'Данные 1st'!$RS$2:$RS$317),"")</f>
        <v/>
      </c>
      <c r="IG71" s="7">
        <f>IFERROR(AVERAGEIF('Данные 1st'!$S$2:$S$317,$A71,'Данные 1st'!$RT$2:$RT$317),"")</f>
        <v>284.75</v>
      </c>
      <c r="IH71" s="7">
        <f>IFERROR(AVERAGEIF('Данные 1st'!$S$2:$S$317,$A71,'Данные 1st'!$RU$2:$RU$317),"")</f>
        <v>232</v>
      </c>
      <c r="II71" s="7">
        <f>IFERROR(AVERAGEIF('Данные 1st'!$S$2:$S$317,$A71,'Данные 1st'!$RX$2:$RX$317),"")</f>
        <v>15</v>
      </c>
      <c r="IJ71" s="7">
        <f>IFERROR(AVERAGEIF('Данные 1st'!$S$2:$S$317,$A71,'Данные 1st'!$RY$2:$RY$317),"")</f>
        <v>4</v>
      </c>
      <c r="IK71" s="7">
        <f>IFERROR(AVERAGEIF('Данные 1st'!$S$2:$S$317,$A71,'Данные 1st'!$SA$2:$SA$317),"")</f>
        <v>15</v>
      </c>
      <c r="IL71" s="7">
        <f>IFERROR(AVERAGEIF('Данные 1st'!$S$2:$S$317,$A71,'Данные 1st'!$SD$2:$SD$317),"")</f>
        <v>1</v>
      </c>
      <c r="IM71" s="7">
        <f>IFERROR(AVERAGEIF('Данные 1st'!$S$2:$S$317,$A71,'Данные 1st'!$SG$2:$SG$317),"")</f>
        <v>1</v>
      </c>
      <c r="IN71" s="7">
        <f>IFERROR(AVERAGEIF('Данные 1st'!$S$2:$S$317,$A71,'Данные 1st'!$SH$2:$SH$317),"")</f>
        <v>0.995</v>
      </c>
      <c r="IO71" s="7">
        <f>IFERROR(AVERAGEIF('Данные 1st'!$S$2:$S$317,$A71,'Данные 1st'!$SI$2:$SI$317),"")</f>
        <v>0.995</v>
      </c>
      <c r="IP71" s="7">
        <f>IFERROR(AVERAGEIF('Данные 1st'!$S$2:$S$317,$A71,'Данные 1st'!$SJ$2:$SJ$317),"")</f>
        <v>0.995</v>
      </c>
      <c r="IQ71" s="7">
        <f>IFERROR(AVERAGEIF('Данные 1st'!$S$2:$S$317,$A71,'Данные 1st'!$SK$2:$SK$317),"")</f>
        <v>15</v>
      </c>
      <c r="IR71" s="7">
        <f>IFERROR(AVERAGEIF('Данные 1st'!$S$2:$S$317,$A71,'Данные 1st'!$SL$2:$SL$317),"")</f>
        <v>0</v>
      </c>
      <c r="IS71" s="7">
        <f>IFERROR(AVERAGEIF('Данные 1st'!$S$2:$S$317,$A71,'Данные 1st'!$SM$2:$SM$317),"")</f>
        <v>0</v>
      </c>
      <c r="IT71" s="7">
        <f>IFERROR(AVERAGEIF('Данные 1st'!$S$2:$S$317,$A71,'Данные 1st'!$SN$2:$SN$317),"")</f>
        <v>0</v>
      </c>
      <c r="IU71" s="7">
        <f>IFERROR(AVERAGEIF('Данные 1st'!$S$2:$S$317,$A71,'Данные 1st'!$SO$2:$SO$317),"")</f>
        <v>0</v>
      </c>
      <c r="IV71" s="7">
        <f>IFERROR(AVERAGEIF('Данные 1st'!$S$2:$S$317,$A71,'Данные 1st'!$SP$2:$SP$317),"")</f>
        <v>0</v>
      </c>
      <c r="IW71" s="7">
        <f>IFERROR(AVERAGEIF('Данные 1st'!$S$2:$S$317,$A71,'Данные 1st'!$SQ$2:$SQ$317),"")</f>
        <v>0</v>
      </c>
      <c r="IX71" s="7">
        <f>IFERROR(AVERAGEIF('Данные 1st'!$S$2:$S$317,$A71,'Данные 1st'!$SR$2:$SR$317),"")</f>
        <v>0</v>
      </c>
      <c r="IY71" s="7">
        <f>IFERROR(AVERAGEIF('Данные 1st'!$S$2:$S$317,$A71,'Данные 1st'!$SS$2:$SS$317),"")</f>
        <v>0</v>
      </c>
      <c r="IZ71" s="7">
        <f>IFERROR(AVERAGEIF('Данные 1st'!$S$2:$S$317,$A71,'Данные 1st'!$ST$2:$ST$317),"")</f>
        <v>0</v>
      </c>
      <c r="JA71" s="7">
        <f>IFERROR(AVERAGEIF('Данные 1st'!$S$2:$S$317,$A71,'Данные 1st'!$SU$2:$SU$317),"")</f>
        <v>0</v>
      </c>
      <c r="JB71" s="7">
        <f>IFERROR(AVERAGEIF('Данные 1st'!$S$2:$S$317,$A71,'Данные 1st'!$SV$2:$SV$317),"")</f>
        <v>0</v>
      </c>
      <c r="JC71" s="7">
        <f>IFERROR(AVERAGEIF('Данные 1st'!$S$2:$S$317,$A71,'Данные 1st'!$SW$2:$SW$317),"")</f>
        <v>0</v>
      </c>
      <c r="JD71" s="7">
        <f>IFERROR(AVERAGEIF('Данные 1st'!$S$2:$S$317,$A71,'Данные 1st'!$SX$2:$SX$317),"")</f>
        <v>0</v>
      </c>
      <c r="JE71" s="7">
        <f>IFERROR(AVERAGEIF('Данные 1st'!$S$2:$S$317,$A71,'Данные 1st'!$SY$2:$SY$317),"")</f>
        <v/>
      </c>
      <c r="JF71" s="7">
        <f>IFERROR(AVERAGEIF('Данные 1st'!$S$2:$S$317,$A71,'Данные 1st'!$SZ$2:$SZ$317),"")</f>
        <v>1</v>
      </c>
      <c r="JG71" s="7">
        <f>IFERROR(AVERAGEIF('Данные 1st'!$S$2:$S$317,$A71,'Данные 1st'!$TA$2:$TA$317),"")</f>
        <v/>
      </c>
      <c r="JH71" s="7">
        <f>IFERROR(AVERAGEIF('Данные 1st'!$S$2:$S$317,$A71,'Данные 1st'!$TB$2:$TB$317),"")</f>
        <v>0</v>
      </c>
      <c r="JI71" s="7">
        <f>IFERROR(AVERAGEIF('Данные 1st'!$S$2:$S$317,$A71,'Данные 1st'!$TC$2:$TC$317),"")</f>
        <v>0</v>
      </c>
      <c r="JJ71" s="7">
        <f>IFERROR(AVERAGEIF('Данные 1st'!$S$2:$S$317,$A71,'Данные 1st'!$TD$2:$TD$317),"")</f>
        <v>7.5</v>
      </c>
      <c r="JK71" s="7">
        <f>IFERROR(AVERAGEIF('Данные 1st'!$S$2:$S$317,$A71,'Данные 1st'!$TN$2:$TN$317),"")</f>
        <v>0</v>
      </c>
      <c r="JL71">
        <f>COUNTIF('Данные 2st'!$Q$2:$Q$317,$A71)</f>
        <v>4</v>
      </c>
      <c r="JM71" s="6" t="s">
        <v>5117</v>
      </c>
      <c r="JN71" s="6" t="s">
        <v>513</v>
      </c>
      <c r="JO71" s="6" t="s">
        <v>5125</v>
      </c>
      <c r="JP71" s="6" t="s">
        <v>5517</v>
      </c>
      <c r="JQ71" s="7">
        <f>IFERROR(AVERAGEIF('Данные 2st'!$Q$2:$Q$317,$A71,'Данные 2st'!$AC$2:$AC$317),"")</f>
        <v>11</v>
      </c>
      <c r="JR71" s="7">
        <f>IFERROR(AVERAGEIF('Данные 2st'!$Q$2:$Q$317,$A71,'Данные 2st'!$AF$2:$AF$317),"")</f>
        <v>6239.75</v>
      </c>
      <c r="JS71" s="7">
        <f>IFERROR(AVERAGEIF('Данные 2st'!$Q$2:$Q$317,$A71,'Данные 2st'!$AW$2:$AW$317),"")</f>
        <v>6.4</v>
      </c>
      <c r="JT71" s="7">
        <f>IFERROR(AVERAGEIF('Данные 2st'!$Q$2:$Q$317,$A71,'Данные 2st'!$AX$2:$AX$317),"")</f>
        <v>-6</v>
      </c>
      <c r="JU71" s="7">
        <f>IFERROR(AVERAGEIF('Данные 2st'!$Q$2:$Q$317,$A71,'Данные 2st'!$AY$2:$AY$317),"")</f>
        <v>111.75</v>
      </c>
      <c r="JV71" s="7">
        <f>IFERROR(AVERAGEIF('Данные 2st'!$Q$2:$Q$317,$A71,'Данные 2st'!$AZ$2:$AZ$317),"")</f>
        <v>84.375</v>
      </c>
      <c r="JW71" s="7">
        <f>IFERROR(AVERAGEIF('Данные 2st'!$Q$2:$Q$317,$A71,'Данные 2st'!$BA$2:$BA$317),"")</f>
        <v/>
      </c>
      <c r="JX71" s="7">
        <f>IFERROR(AVERAGEIF('Данные 2st'!$Q$2:$Q$317,$A71,'Данные 2st'!$BB$2:$BB$317),"")</f>
        <v/>
      </c>
      <c r="JY71" s="7">
        <f>IFERROR(AVERAGEIF('Данные 2st'!$Q$2:$Q$317,$A71,'Данные 2st'!$BC$2:$BC$317),"")</f>
        <v/>
      </c>
      <c r="JZ71" s="7">
        <f>IFERROR(AVERAGEIF('Данные 2st'!$Q$2:$Q$317,$A71,'Данные 2st'!$BH$2:$BH$317),"")</f>
        <v>111.75</v>
      </c>
      <c r="KA71" s="7">
        <f>IFERROR(AVERAGEIF('Данные 2st'!$Q$2:$Q$317,$A71,'Данные 2st'!$BI$2:$BI$317),"")</f>
        <v>27.375</v>
      </c>
      <c r="KB71" s="7">
        <f>IFERROR(AVERAGEIF('Данные 2st'!$Q$2:$Q$317,$A71,'Данные 2st'!$BJ$2:$BJ$317),"")</f>
        <v>84.375</v>
      </c>
      <c r="KC71" s="7">
        <f>IFERROR(AVERAGEIF('Данные 2st'!$Q$2:$Q$317,$A71,'Данные 2st'!$BK$2:$BK$317),"")</f>
        <v>3.0</v>
      </c>
      <c r="KD71" s="7">
        <f>IFERROR(AVERAGEIF('Данные 2st'!$Q$2:$Q$317,$A71,'Данные 2st'!$BL$2:$BL$317),"")</f>
        <v>223.5</v>
      </c>
      <c r="KE71" s="7">
        <f>IFERROR(AVERAGEIF('Данные 2st'!$Q$2:$Q$317,$A71,'Данные 2st'!$BM$2:$BM$317),"")</f>
        <v>-6</v>
      </c>
      <c r="KF71" s="7">
        <f>IFERROR(AVERAGEIF('Данные 2st'!$Q$2:$Q$317,$A71,'Данные 2st'!$BN$2:$BN$317),"")</f>
        <v>0</v>
      </c>
      <c r="KG71" s="7">
        <f>IFERROR(AVERAGEIF('Данные 2st'!$Q$2:$Q$317,$A71,'Данные 2st'!$BO$2:$BO$317),"")</f>
        <v>0</v>
      </c>
      <c r="KH71" s="7">
        <f>IFERROR(AVERAGEIF('Данные 2st'!$Q$2:$Q$317,$A71,'Данные 2st'!$BP$2:$BP$317),"")</f>
        <v>0</v>
      </c>
      <c r="KI71" s="7">
        <f>IFERROR(AVERAGEIF('Данные 2st'!$Q$2:$Q$317,$A71,'Данные 2st'!$BR$2:$BR$317),"")</f>
        <v>217.5</v>
      </c>
      <c r="KJ71" s="7">
        <f>IFERROR(AVERAGEIF('Данные 2st'!$Q$2:$Q$317,$A71,'Данные 2st'!$BS$2:$BS$317),"")</f>
        <v>207.5</v>
      </c>
      <c r="KK71" s="7">
        <f>IFERROR(AVERAGEIF('Данные 2st'!$Q$2:$Q$317,$A71,'Данные 2st'!$BT$2:$BT$317),"")</f>
        <v>2156.25</v>
      </c>
      <c r="KL71" s="7">
        <f>IFERROR(AVERAGEIF('Данные 2st'!$Q$2:$Q$317,$A71,'Данные 2st'!$CV$2:$CV$317),"")</f>
        <v>139.75</v>
      </c>
      <c r="KM71" s="7">
        <f>IFERROR(AVERAGEIF('Данные 2st'!$Q$2:$Q$317,$A71,'Данные 2st'!$CW$2:$CW$317),"")</f>
        <v>3</v>
      </c>
      <c r="KN71" s="7">
        <f>IFERROR(AVERAGEIF('Данные 2st'!$Q$2:$Q$317,$A71,'Данные 2st'!$CX$2:$CX$317),"")</f>
        <v>105</v>
      </c>
      <c r="KO71" s="7">
        <f>IFERROR(AVERAGEIF('Данные 2st'!$Q$2:$Q$317,$A71,'Данные 2st'!$CY$2:$CY$317),"")</f>
        <v>5</v>
      </c>
      <c r="KP71" s="7">
        <f>IFERROR(AVERAGEIF('Данные 2st'!$Q$2:$Q$317,$A71,'Данные 2st'!$CZ$2:$CZ$317),"")</f>
        <v>162.5</v>
      </c>
      <c r="KQ71" s="7">
        <f>IFERROR(AVERAGEIF('Данные 2st'!$Q$2:$Q$317,$A71,'Данные 2st'!$DA$2:$DA$317),"")</f>
        <v>5</v>
      </c>
      <c r="KR71" s="7">
        <f>IFERROR(AVERAGEIF('Данные 2st'!$Q$2:$Q$317,$A71,'Данные 2st'!$DB$2:$DB$317),"")</f>
        <v>14407.5</v>
      </c>
      <c r="KS71" s="7">
        <f>IFERROR(AVERAGEIF('Данные 2st'!$Q$2:$Q$317,$A71,'Данные 2st'!$DC$2:$DC$317),"")</f>
        <v>425</v>
      </c>
      <c r="KT71" s="7">
        <f>IFERROR(AVERAGEIF('Данные 2st'!$Q$2:$Q$317,$A71,'Данные 2st'!$DD$2:$DD$317),"")</f>
        <v>372.5</v>
      </c>
      <c r="KU71" s="7">
        <f>IFERROR(AVERAGEIF('Данные 2st'!$Q$2:$Q$317,$A71,'Данные 2st'!$DE$2:$DE$317),"")</f>
        <v>2281.25</v>
      </c>
      <c r="KV71" s="7">
        <f>IFERROR(AVERAGEIF('Данные 2st'!$Q$2:$Q$317,$A71,'Данные 2st'!$DF$2:$DF$317),"")</f>
        <v>2281.25</v>
      </c>
      <c r="KW71" s="7">
        <f>IFERROR(AVERAGEIF('Данные 2st'!$Q$2:$Q$317,$A71,'Данные 2st'!$DG$2:$DG$317),"")</f>
        <v>2292.75</v>
      </c>
      <c r="KX71" s="7">
        <f>IFERROR(AVERAGEIF('Данные 2st'!$Q$2:$Q$317,$A71,'Данные 2st'!$DH$2:$DH$317),"")</f>
        <v/>
      </c>
      <c r="KY71" s="7">
        <f>IFERROR(AVERAGEIF('Данные 2st'!$Q$2:$Q$317,$A71,'Данные 2st'!$DI$2:$DI$317),"")</f>
        <v/>
      </c>
      <c r="KZ71" s="7">
        <f>IFERROR(AVERAGEIF('Данные 2st'!$Q$2:$Q$317,$A71,'Данные 2st'!$DK$2:$DK$317),"")</f>
        <v>217.5</v>
      </c>
      <c r="LA71" s="7">
        <f>IFERROR(AVERAGEIF('Данные 2st'!$Q$2:$Q$317,$A71,'Данные 2st'!$DM$2:$DM$317),"")</f>
        <v>64</v>
      </c>
      <c r="LB71" s="7">
        <f>IFERROR(AVERAGEIF('Данные 2st'!$Q$2:$Q$317,$A71,'Данные 2st'!$DN$2:$DN$317),"")</f>
        <v>1.31</v>
      </c>
      <c r="LC71" s="7">
        <f>IFERROR(AVERAGEIF('Данные 2st'!$Q$2:$Q$317,$A71,'Данные 2st'!$DO$2:$DO$317),"")</f>
        <v>1</v>
      </c>
      <c r="LD71" s="7">
        <f>IFERROR(AVERAGEIF('Данные 2st'!$Q$2:$Q$317,$A71,'Данные 2st'!$DP$2:$DP$317),"")</f>
        <v>2160.25</v>
      </c>
      <c r="LE71" s="7">
        <f>IFERROR(AVERAGEIF('Данные 2st'!$Q$2:$Q$317,$A71,'Данные 2st'!$DQ$2:$DQ$317),"")</f>
        <v>1158</v>
      </c>
      <c r="LF71" s="7">
        <f>IFERROR(AVERAGEIF('Данные 2st'!$Q$2:$Q$317,$A71,'Данные 2st'!$DS$2:$DS$317),"")</f>
        <v>207.5</v>
      </c>
      <c r="LG71" s="7">
        <f>IFERROR(AVERAGEIF('Данные 2st'!$Q$2:$Q$317,$A71,'Данные 2st'!$DU$2:$DU$317),"")</f>
        <v>63.5</v>
      </c>
      <c r="LH71" s="7">
        <f>IFERROR(AVERAGEIF('Данные 2st'!$Q$2:$Q$317,$A71,'Данные 2st'!$DV$2:$DV$317),"")</f>
        <v>1.31</v>
      </c>
      <c r="LI71" s="7">
        <f>IFERROR(AVERAGEIF('Данные 2st'!$Q$2:$Q$317,$A71,'Данные 2st'!$DW$2:$DW$317),"")</f>
        <v>1</v>
      </c>
      <c r="LJ71" s="7">
        <f>IFERROR(AVERAGEIF('Данные 2st'!$Q$2:$Q$317,$A71,'Данные 2st'!$DX$2:$DX$317),"")</f>
        <v>2173.75</v>
      </c>
      <c r="LK71" s="7">
        <f>IFERROR(AVERAGEIF('Данные 2st'!$Q$2:$Q$317,$A71,'Данные 2st'!$DY$2:$DY$317),"")</f>
        <v>1112.25</v>
      </c>
      <c r="LL71" s="7">
        <f>IFERROR(AVERAGEIF('Данные 2st'!$Q$2:$Q$317,$A71,'Данные 2st'!$EA$2:$EA$317),"")</f>
        <v>20</v>
      </c>
      <c r="LM71" s="7">
        <f>IFERROR(AVERAGEIF('Данные 2st'!$Q$2:$Q$317,$A71,'Данные 2st'!$EC$2:$EC$317),"")</f>
        <v>0.8</v>
      </c>
      <c r="LN71" s="7">
        <f>IFERROR(AVERAGEIF('Данные 2st'!$Q$2:$Q$317,$A71,'Данные 2st'!$ED$2:$ED$317),"")</f>
        <v>2160.25</v>
      </c>
      <c r="LO71" s="7">
        <f>IFERROR(AVERAGEIF('Данные 2st'!$Q$2:$Q$317,$A71,'Данные 2st'!$EE$2:$EE$317),"")</f>
        <v>75.5</v>
      </c>
      <c r="LP71" s="7">
        <f>IFERROR(AVERAGEIF('Данные 2st'!$Q$2:$Q$317,$A71,'Данные 2st'!$EG$2:$EG$317),"")</f>
        <v>0</v>
      </c>
      <c r="LQ71" s="7">
        <f>IFERROR(AVERAGEIF('Данные 2st'!$Q$2:$Q$317,$A71,'Данные 2st'!$EI$2:$EI$317),"")</f>
        <v>0</v>
      </c>
      <c r="LR71" s="7">
        <f>IFERROR(AVERAGEIF('Данные 2st'!$Q$2:$Q$317,$A71,'Данные 2st'!$EJ$2:$EJ$317),"")</f>
        <v/>
      </c>
      <c r="LS71" s="7">
        <f>IFERROR(AVERAGEIF('Данные 2st'!$Q$2:$Q$317,$A71,'Данные 2st'!$EK$2:$EK$317),"")</f>
        <v/>
      </c>
      <c r="LT71" s="7">
        <f>IFERROR(AVERAGEIF('Данные 2st'!$Q$2:$Q$317,$A71,'Данные 2st'!$EM$2:$EM$317),"")</f>
        <v>12</v>
      </c>
      <c r="LU71" s="7">
        <f>IFERROR(AVERAGEIF('Данные 2st'!$Q$2:$Q$317,$A71,'Данные 2st'!$EN$2:$EN$317),"")</f>
        <v>0.5</v>
      </c>
      <c r="LV71" s="7">
        <f>IFERROR(AVERAGEIF('Данные 2st'!$Q$2:$Q$317,$A71,'Данные 2st'!$EO$2:$EO$317),"")</f>
        <v>0.96</v>
      </c>
      <c r="LW71" s="7">
        <f>IFERROR(AVERAGEIF('Данные 2st'!$Q$2:$Q$317,$A71,'Данные 2st'!$EP$2:$EP$317),"")</f>
        <v>2172.7200000000003</v>
      </c>
      <c r="LX71" s="7">
        <f>IFERROR(AVERAGEIF('Данные 2st'!$Q$2:$Q$317,$A71,'Данные 2st'!$EQ$2:$EQ$317),"")</f>
        <v>39972.165</v>
      </c>
      <c r="LY71" s="7">
        <f>IFERROR(AVERAGEIF('Данные 2st'!$Q$2:$Q$317,$A71,'Данные 2st'!$ER$2:$ER$317),"")</f>
        <v>9319.887499999999</v>
      </c>
      <c r="LZ71" s="7">
        <f>IFERROR(AVERAGEIF('Данные 2st'!$Q$2:$Q$317,$A71,'Данные 2st'!$ES$2:$ES$317),"")</f>
        <v>0</v>
      </c>
      <c r="MA71" s="7">
        <f>IFERROR(AVERAGEIF('Данные 2st'!$Q$2:$Q$317,$A71,'Данные 2st'!$ET$2:$ET$317),"")</f>
        <v>0</v>
      </c>
      <c r="MB71" s="7">
        <f>IFERROR(AVERAGEIF('Данные 2st'!$Q$2:$Q$317,$A71,'Данные 2st'!$EU$2:$EU$317),"")</f>
        <v>1</v>
      </c>
      <c r="MC71" s="7">
        <f>IFERROR(AVERAGEIF('Данные 2st'!$Q$2:$Q$317,$A71,'Данные 2st'!$EV$2:$EV$317),"")</f>
        <v>49292.5</v>
      </c>
      <c r="MD71" s="7">
        <f>IFERROR(AVERAGEIF('Данные 2st'!$Q$2:$Q$317,$A71,'Данные 2st'!$EW$2:$EW$317),"")</f>
        <v>592.25</v>
      </c>
      <c r="ME71" s="7">
        <f>IFERROR(AVERAGEIF('Данные 2st'!$Q$2:$Q$317,$A71,'Данные 2st'!$EY$2:$EY$317),"")</f>
        <v>241.5</v>
      </c>
      <c r="MF71" s="7">
        <f>IFERROR(AVERAGEIF('Данные 2st'!$Q$2:$Q$317,$A71,'Данные 2st'!$FA$2:$FA$317),"")</f>
        <v>5.5</v>
      </c>
      <c r="MG71" s="7">
        <f>IFERROR(AVERAGEIF('Данные 2st'!$Q$2:$Q$317,$A71,'Данные 2st'!$FB$2:$FB$317),"")</f>
        <v>1</v>
      </c>
      <c r="MH71" s="7">
        <f>IFERROR(AVERAGEIF('Данные 2st'!$Q$2:$Q$317,$A71,'Данные 2st'!$FC$2:$FC$317),"")</f>
        <v>1</v>
      </c>
      <c r="MI71" s="7">
        <f>IFERROR(AVERAGEIF('Данные 2st'!$Q$2:$Q$317,$A71,'Данные 2st'!$FD$2:$FD$317),"")</f>
        <v>2205.5</v>
      </c>
      <c r="MJ71" s="7">
        <f>IFERROR(AVERAGEIF('Данные 2st'!$Q$2:$Q$317,$A71,'Данные 2st'!$FE$2:$FE$317),"")</f>
        <v>3080</v>
      </c>
      <c r="MK71" s="7">
        <f>IFERROR(AVERAGEIF('Данные 2st'!$Q$2:$Q$317,$A71,'Данные 2st'!$FG$2:$FG$317),"")</f>
        <v>241.5</v>
      </c>
      <c r="ML71" s="7">
        <f>IFERROR(AVERAGEIF('Данные 2st'!$Q$2:$Q$317,$A71,'Данные 2st'!$FI$2:$FI$317),"")</f>
        <v>2.55</v>
      </c>
      <c r="MM71" s="7">
        <f>IFERROR(AVERAGEIF('Данные 2st'!$Q$2:$Q$317,$A71,'Данные 2st'!$FJ$2:$FJ$317),"")</f>
        <v>2205.5</v>
      </c>
      <c r="MN71" s="7">
        <f>IFERROR(AVERAGEIF('Данные 2st'!$Q$2:$Q$317,$A71,'Данные 2st'!$FK$2:$FK$317),"")</f>
        <v>1639.75</v>
      </c>
      <c r="MO71" s="7">
        <f>IFERROR(AVERAGEIF('Данные 2st'!$Q$2:$Q$317,$A71,'Данные 2st'!$FP$2:$FP$317),"")</f>
        <v>2205.5</v>
      </c>
      <c r="MP71" s="7">
        <f>IFERROR(AVERAGEIF('Данные 2st'!$Q$2:$Q$317,$A71,'Данные 2st'!$FQ$2:$FQ$317),"")</f>
        <v>242.75</v>
      </c>
      <c r="MQ71" s="7">
        <f>IFERROR(AVERAGEIF('Данные 2st'!$Q$2:$Q$317,$A71,'Данные 2st'!$FS$2:$FS$317),"")</f>
        <v>245.5</v>
      </c>
      <c r="MR71" s="7">
        <f>IFERROR(AVERAGEIF('Данные 2st'!$Q$2:$Q$317,$A71,'Данные 2st'!$FU$2:$FU$317),"")</f>
        <v>0.4</v>
      </c>
      <c r="MS71" s="7">
        <f>IFERROR(AVERAGEIF('Данные 2st'!$Q$2:$Q$317,$A71,'Данные 2st'!$FV$2:$FV$317),"")</f>
        <v>2205.5</v>
      </c>
      <c r="MT71" s="7">
        <f>IFERROR(AVERAGEIF('Данные 2st'!$Q$2:$Q$317,$A71,'Данные 2st'!$FW$2:$FW$317),"")</f>
        <v>240.75</v>
      </c>
      <c r="MU71" s="7">
        <f>IFERROR(AVERAGEIF('Данные 2st'!$Q$2:$Q$317,$A71,'Данные 2st'!$FY$2:$FY$317),"")</f>
        <v>5</v>
      </c>
      <c r="MV71" s="7">
        <f>IFERROR(AVERAGEIF('Данные 2st'!$Q$2:$Q$317,$A71,'Данные 2st'!$GB$2:$GB$317),"")</f>
        <v>2205.5</v>
      </c>
      <c r="MW71" s="7">
        <f>IFERROR(AVERAGEIF('Данные 2st'!$Q$2:$Q$317,$A71,'Данные 2st'!$GC$2:$GC$317),"")</f>
        <v>21.75</v>
      </c>
      <c r="MX71" s="7">
        <f>IFERROR(AVERAGEIF('Данные 2st'!$Q$2:$Q$317,$A71,'Данные 2st'!$GD$2:$GD$317),"")</f>
        <v>5225</v>
      </c>
      <c r="MY71" s="7">
        <f>IFERROR(AVERAGEIF('Данные 2st'!$Q$2:$Q$317,$A71,'Данные 2st'!$GN$2:$GN$317),"")</f>
        <v/>
      </c>
      <c r="MZ71" s="7">
        <f>IFERROR(AVERAGEIF('Данные 2st'!$Q$2:$Q$317,$A71,'Данные 2st'!$GQ$2:$GQ$317),"")</f>
        <v>0</v>
      </c>
      <c r="NA71" s="7">
        <f>IFERROR(AVERAGEIF('Данные 2st'!$Q$2:$Q$317,$A71,'Данные 2st'!$GV$2:$GV$317),"")</f>
        <v>8.45</v>
      </c>
      <c r="NB71" s="7">
        <f>IFERROR(AVERAGEIF('Данные 2st'!$Q$2:$Q$317,$A71,'Данные 2st'!$GW$2:$GW$317),"")</f>
        <v>9.975</v>
      </c>
      <c r="NC71" s="7">
        <f>IFERROR(AVERAGEIF('Данные 2st'!$Q$2:$Q$317,$A71,'Данные 2st'!$GX$2:$GX$317),"")</f>
        <v>0.5</v>
      </c>
      <c r="ND71" s="7">
        <f>IFERROR(AVERAGEIF('Данные 2st'!$Q$2:$Q$317,$A71,'Данные 2st'!$GY$2:$GY$317),"")</f>
        <v>207.5</v>
      </c>
      <c r="NE71" s="7">
        <f>IFERROR(AVERAGEIF('Данные 2st'!$Q$2:$Q$317,$A71,'Данные 2st'!$GZ$2:$GZ$317),"")</f>
        <v>3</v>
      </c>
      <c r="NF71" s="7">
        <f>IFERROR(AVERAGEIF('Данные 2st'!$Q$2:$Q$317,$A71,'Данные 2st'!$HA$2:$HA$317),"")</f>
        <v>267.5</v>
      </c>
      <c r="NG71" s="7">
        <f>IFERROR(AVERAGEIF('Данные 2st'!$Q$2:$Q$317,$A71,'Данные 2st'!$HB$2:$HB$317),"")</f>
        <v>3</v>
      </c>
      <c r="NH71" s="7">
        <f>IFERROR(AVERAGEIF('Данные 2st'!$Q$2:$Q$317,$A71,'Данные 2st'!$HC$2:$HC$317),"")</f>
        <v>2205.5</v>
      </c>
      <c r="NI71" s="7">
        <f>IFERROR(AVERAGEIF('Данные 2st'!$Q$2:$Q$317,$A71,'Данные 2st'!$HD$2:$HD$317),"")</f>
        <v>4</v>
      </c>
      <c r="NJ71" s="7">
        <f>IFERROR(AVERAGEIF('Данные 2st'!$Q$2:$Q$317,$A71,'Данные 2st'!$HM$2:$HM$317),"")</f>
        <v>18</v>
      </c>
      <c r="NK71" s="7">
        <f>IFERROR(AVERAGEIF('Данные 2st'!$Q$2:$Q$317,$A71,'Данные 2st'!$HR$2:$HR$317),"")</f>
        <v>3</v>
      </c>
      <c r="NL71" s="7">
        <f>IFERROR(AVERAGEIF('Данные 2st'!$Q$2:$Q$317,$A71,'Данные 2st'!$HS$2:$HS$317),"")</f>
        <v>2156.25</v>
      </c>
      <c r="NM71" s="7">
        <f>IFERROR(AVERAGEIF('Данные 2st'!$Q$2:$Q$317,$A71,'Данные 2st'!$HT$2:$HT$317),"")</f>
        <v>5</v>
      </c>
      <c r="NN71" s="7">
        <f>IFERROR(AVERAGEIF('Данные 2st'!$Q$2:$Q$317,$A71,'Данные 2st'!$HY$2:$HY$317),"")</f>
        <v>0</v>
      </c>
      <c r="NO71" s="7">
        <f>IFERROR(AVERAGEIF('Данные 2st'!$Q$2:$Q$317,$A71,'Данные 2st'!$HZ$2:$HZ$317),"")</f>
        <v>64</v>
      </c>
      <c r="NP71" s="7">
        <f>IFERROR(AVERAGEIF('Данные 2st'!$Q$2:$Q$317,$A71,'Данные 2st'!$IA$2:$IA$317),"")</f>
        <v>2160.25</v>
      </c>
      <c r="NQ71" s="7">
        <f>IFERROR(AVERAGEIF('Данные 2st'!$Q$2:$Q$317,$A71,'Данные 2st'!$IB$2:$IB$317),"")</f>
        <v>2173.75</v>
      </c>
      <c r="NR71" s="7">
        <f>IFERROR(AVERAGEIF('Данные 2st'!$Q$2:$Q$317,$A71,'Данные 2st'!$IC$2:$IC$317),"")</f>
        <v/>
      </c>
      <c r="NS71" s="7">
        <f>IFERROR(AVERAGEIF('Данные 2st'!$Q$2:$Q$317,$A71,'Данные 2st'!$ID$2:$ID$317),"")</f>
        <v>2205.5</v>
      </c>
      <c r="NT71" s="7">
        <f>IFERROR(AVERAGEIF('Данные 2st'!$Q$2:$Q$317,$A71,'Данные 2st'!$IE$2:$IE$317),"")</f>
        <v>2205.5</v>
      </c>
      <c r="NU71" s="7">
        <f>IFERROR(AVERAGEIF('Данные 2st'!$Q$2:$Q$317,$A71,'Данные 2st'!$IF$2:$IF$317),"")</f>
        <v>217.5</v>
      </c>
      <c r="NV71" s="7">
        <f>IFERROR(AVERAGEIF('Данные 2st'!$Q$2:$Q$317,$A71,'Данные 2st'!$IG$2:$IG$317),"")</f>
        <v>207.5</v>
      </c>
      <c r="NW71" s="7">
        <f>IFERROR(AVERAGEIF('Данные 2st'!$Q$2:$Q$317,$A71,'Данные 2st'!$IH$2:$IH$317),"")</f>
        <v>267.5</v>
      </c>
      <c r="NX71" s="7">
        <f>IFERROR(AVERAGEIF('Данные 2st'!$Q$2:$Q$317,$A71,'Данные 2st'!$IJ$2:$IJ$317),"")</f>
        <v>5</v>
      </c>
      <c r="NY71" s="7">
        <f>IFERROR(AVERAGEIF('Данные 2st'!$Q$2:$Q$317,$A71,'Данные 2st'!$IM$2:$IM$317),"")</f>
        <v>0</v>
      </c>
      <c r="NZ71" s="7">
        <f>IFERROR(AVERAGEIF('Данные 2st'!$Q$2:$Q$317,$A71,'Данные 2st'!$IN$2:$IN$317),"")</f>
        <v>270</v>
      </c>
      <c r="OA71" s="7">
        <f>IFERROR(AVERAGEIF('Данные 2st'!$Q$2:$Q$317,$A71,'Данные 2st'!$IO$2:$IO$317),"")</f>
        <v>0</v>
      </c>
      <c r="OB71" s="7">
        <f>IFERROR(AVERAGEIF('Данные 2st'!$Q$2:$Q$317,$A71,'Данные 2st'!$IP$2:$IP$317),"")</f>
        <v>180</v>
      </c>
      <c r="OC71" s="7">
        <f>IFERROR(AVERAGEIF('Данные 2st'!$Q$2:$Q$317,$A71,'Данные 2st'!$IQ$2:$IQ$317),"")</f>
        <v>0</v>
      </c>
      <c r="OD71" s="7">
        <f>IFERROR(AVERAGEIF('Данные 2st'!$Q$2:$Q$317,$A71,'Данные 2st'!$IR$2:$IR$317),"")</f>
        <v>330</v>
      </c>
      <c r="OE71" s="7">
        <f>IFERROR(AVERAGEIF('Данные 2st'!$Q$2:$Q$317,$A71,'Данные 2st'!$IT$2:$IT$317),"")</f>
        <v>90</v>
      </c>
      <c r="OF71" s="7">
        <f>IFERROR(AVERAGEIF('Данные 2st'!$Q$2:$Q$317,$A71,'Данные 2st'!$IU$2:$IU$317),"")</f>
        <v>0</v>
      </c>
      <c r="OG71" s="7">
        <f>IFERROR(AVERAGEIF('Данные 2st'!$Q$2:$Q$317,$A71,'Данные 2st'!$IV$2:$IV$317),"")</f>
        <v>6.4</v>
      </c>
      <c r="OH71" s="7">
        <f>IFERROR(AVERAGEIF('Данные 2st'!$Q$2:$Q$317,$A71,'Данные 2st'!$IW$2:$IW$317),"")</f>
        <v>-6</v>
      </c>
      <c r="OI71" s="7">
        <f>IFERROR(AVERAGEIF('Данные 2st'!$Q$2:$Q$317,$A71,'Данные 2st'!$IX$2:$IX$317),"")</f>
        <v>111.75</v>
      </c>
      <c r="OJ71" s="7">
        <f>IFERROR(AVERAGEIF('Данные 2st'!$Q$2:$Q$317,$A71,'Данные 2st'!$IY$2:$IY$317),"")</f>
        <v>84.375</v>
      </c>
      <c r="OK71" s="7">
        <f>IFERROR(AVERAGEIF('Данные 2st'!$Q$2:$Q$317,$A71,'Данные 2st'!$IZ$2:$IZ$317),"")</f>
        <v>0</v>
      </c>
      <c r="OL71" s="7">
        <f>IFERROR(AVERAGEIF('Данные 2st'!$Q$2:$Q$317,$A71,'Данные 2st'!$JA$2:$JA$317),"")</f>
        <v>0</v>
      </c>
      <c r="OM71" s="7">
        <f>IFERROR(AVERAGEIF('Данные 2st'!$Q$2:$Q$317,$A71,'Данные 2st'!$JB$2:$JB$317),"")</f>
        <v>0</v>
      </c>
      <c r="ON71" s="7">
        <f>IFERROR(AVERAGEIF('Данные 2st'!$Q$2:$Q$317,$A71,'Данные 2st'!$JC$2:$JC$317),"")</f>
        <v>0</v>
      </c>
      <c r="OO71" s="7">
        <f>IFERROR(AVERAGEIF('Данные 2st'!$Q$2:$Q$317,$A71,'Данные 2st'!$JD$2:$JD$317),"")</f>
        <v>0</v>
      </c>
      <c r="OP71" s="7">
        <f>IFERROR(AVERAGEIF('Данные 2st'!$Q$2:$Q$317,$A71,'Данные 2st'!$JE$2:$JE$317),"")</f>
        <v>0</v>
      </c>
      <c r="OQ71" s="7">
        <f>IFERROR(AVERAGEIF('Данные 2st'!$Q$2:$Q$317,$A71,'Данные 2st'!$JF$2:$JF$317),"")</f>
        <v>0</v>
      </c>
      <c r="OR71" s="7">
        <f>IFERROR(AVERAGEIF('Данные 2st'!$Q$2:$Q$317,$A71,'Данные 2st'!$JG$2:$JG$317),"")</f>
        <v>0</v>
      </c>
      <c r="OS71" s="7">
        <f>IFERROR(AVERAGEIF('Данные 2st'!$Q$2:$Q$317,$A71,'Данные 2st'!$JH$2:$JH$317),"")</f>
        <v>0</v>
      </c>
      <c r="OT71" s="7">
        <f>IFERROR(AVERAGEIF('Данные 2st'!$Q$2:$Q$317,$A71,'Данные 2st'!$JI$2:$JI$317),"")</f>
        <v>441.5</v>
      </c>
      <c r="OU71" s="7">
        <f>IFERROR(AVERAGEIF('Данные 2st'!$Q$2:$Q$317,$A71,'Данные 2st'!$JJ$2:$JJ$317),"")</f>
        <v>411.5</v>
      </c>
      <c r="OV71" s="7">
        <f>IFERROR(AVERAGEIF('Данные 2st'!$Q$2:$Q$317,$A71,'Данные 2st'!$JK$2:$JK$317),"")</f>
        <v>295</v>
      </c>
      <c r="OW71" s="7">
        <f>IFERROR(AVERAGEIF('Данные 2st'!$Q$2:$Q$317,$A71,'Данные 2st'!$JL$2:$JL$317),"")</f>
        <v>409</v>
      </c>
      <c r="OX71" s="7">
        <f>IFERROR(AVERAGEIF('Данные 2st'!$Q$2:$Q$317,$A71,'Данные 2st'!$JM$2:$JM$317),"")</f>
        <v>315</v>
      </c>
      <c r="OY71" s="7">
        <f>IFERROR(AVERAGEIF('Данные 2st'!$Q$2:$Q$317,$A71,'Данные 2st'!$JP$2:$JP$317),"")</f>
        <v>192.5</v>
      </c>
      <c r="OZ71" s="7">
        <f>IFERROR(AVERAGEIF('Данные 2st'!$Q$2:$Q$317,$A71,'Данные 2st'!$JQ$2:$JQ$317),"")</f>
        <v>245</v>
      </c>
      <c r="PA71" s="7">
        <f>IFERROR(AVERAGEIF('Данные 2st'!$Q$2:$Q$317,$A71,'Данные 2st'!$JR$2:$JR$317),"")</f>
        <v>353.25</v>
      </c>
      <c r="PB71" s="7">
        <f>IFERROR(AVERAGEIF('Данные 2st'!$Q$2:$Q$317,$A71,'Данные 2st'!$JS$2:$JS$317),"")</f>
        <v>256.25</v>
      </c>
      <c r="PC71" s="7">
        <f>IFERROR(AVERAGEIF('Данные 2st'!$Q$2:$Q$317,$A71,'Данные 2st'!$JT$2:$JT$317),"")</f>
        <v>0</v>
      </c>
      <c r="PD71" s="7">
        <f>IFERROR(AVERAGEIF('Данные 2st'!$Q$2:$Q$317,$A71,'Данные 2st'!$JU$2:$JU$317),"")</f>
        <v>0</v>
      </c>
      <c r="PE71" s="7">
        <f>IFERROR(AVERAGEIF('Данные 2st'!$Q$2:$Q$317,$A71,'Данные 2st'!$JV$2:$JV$317),"")</f>
        <v>325</v>
      </c>
      <c r="PF71" s="7">
        <f>IFERROR(AVERAGEIF('Данные 2st'!$Q$2:$Q$317,$A71,'Данные 2st'!$JW$2:$JW$317),"")</f>
        <v>312.5</v>
      </c>
      <c r="PG71" s="7">
        <f>IFERROR(AVERAGEIF('Данные 2st'!$Q$2:$Q$317,$A71,'Данные 2st'!$KF$2:$KF$317),"")</f>
        <v>0.185</v>
      </c>
      <c r="PH71" s="7">
        <f>IFERROR(AVERAGEIF('Данные 2st'!$Q$2:$Q$317,$A71,'Данные 2st'!$KG$2:$KG$317),"")</f>
        <v>0.10500000000000001</v>
      </c>
      <c r="PI71" s="7">
        <f>IFERROR(AVERAGEIF('Данные 2st'!$Q$2:$Q$317,$A71,'Данные 2st'!$KM$2:$KM$317),"")</f>
        <v>0.5</v>
      </c>
      <c r="PJ71" s="7">
        <f>IFERROR(AVERAGEIF('Данные 2st'!$Q$2:$Q$317,$A71,'Данные 2st'!$KN$2:$KN$317),"")</f>
        <v>2.025</v>
      </c>
      <c r="PK71" s="7">
        <f>IFERROR(AVERAGEIF('Данные 2st'!$Q$2:$Q$317,$A71,'Данные 2st'!$KO$2:$KO$317),"")</f>
        <v>0</v>
      </c>
      <c r="PL71" s="7">
        <f>IFERROR(AVERAGEIF('Данные 2st'!$Q$2:$Q$317,$A71,'Данные 2st'!$KP$2:$KP$317),"")</f>
        <v>0</v>
      </c>
      <c r="PM71" s="7">
        <f>IFERROR(AVERAGEIF('Данные 2st'!$Q$2:$Q$317,$A71,'Данные 2st'!$KQ$2:$KQ$317),"")</f>
        <v>0.75</v>
      </c>
      <c r="PN71" s="7">
        <f>IFERROR(AVERAGEIF('Данные 2st'!$Q$2:$Q$317,$A71,'Данные 2st'!$KR$2:$KR$317),"")</f>
        <v>0.5</v>
      </c>
      <c r="PO71" s="7">
        <f>IFERROR(AVERAGEIF('Данные 2st'!$Q$2:$Q$317,$A71,'Данные 2st'!$KS$2:$KS$317),"")</f>
        <v>0</v>
      </c>
      <c r="PP71" s="7">
        <f>IFERROR(AVERAGEIF('Данные 2st'!$Q$2:$Q$317,$A71,'Данные 2st'!$KT$2:$KT$317),"")</f>
        <v>2.875</v>
      </c>
      <c r="PQ71" s="7">
        <f>IFERROR(AVERAGEIF('Данные 2st'!$Q$2:$Q$317,$A71,'Данные 2st'!$KU$2:$KU$317),"")</f>
        <v>0</v>
      </c>
      <c r="PR71" s="7">
        <f>IFERROR(AVERAGEIF('Данные 2st'!$Q$2:$Q$317,$A71,'Данные 2st'!$KV$2:$KV$317),"")</f>
        <v>0</v>
      </c>
      <c r="PS71" s="7">
        <f>IFERROR(AVERAGEIF('Данные 2st'!$Q$2:$Q$317,$A71,'Данные 2st'!$KW$2:$KW$317),"")</f>
        <v>1.6</v>
      </c>
      <c r="PT71" s="7">
        <f>IFERROR(AVERAGEIF('Данные 2st'!$Q$2:$Q$317,$A71,'Данные 2st'!$KX$2:$KX$317),"")</f>
        <v>2</v>
      </c>
      <c r="PU71" s="7">
        <f>IFERROR(AVERAGEIF('Данные 2st'!$Q$2:$Q$317,$A71,'Данные 2st'!$KY$2:$KY$317),"")</f>
        <v>0.75</v>
      </c>
      <c r="PV71" s="7">
        <f>IFERROR(AVERAGEIF('Данные 2st'!$Q$2:$Q$317,$A71,'Данные 2st'!$KZ$2:$KZ$317),"")</f>
        <v>0</v>
      </c>
      <c r="PW71" s="7">
        <f>IFERROR(AVERAGEIF('Данные 2st'!$Q$2:$Q$317,$A71,'Данные 2st'!$LA$2:$LA$317),"")</f>
        <v>0</v>
      </c>
      <c r="PX71" s="7">
        <f>IFERROR(AVERAGEIF('Данные 2st'!$Q$2:$Q$317,$A71,'Данные 2st'!$LB$2:$LB$317),"")</f>
        <v>0</v>
      </c>
      <c r="PY71" s="7">
        <f>IFERROR(AVERAGEIF('Данные 2st'!$Q$2:$Q$317,$A71,'Данные 2st'!$LC$2:$LC$317),"")</f>
        <v>0</v>
      </c>
      <c r="PZ71" s="7">
        <f>IFERROR(AVERAGEIF('Данные 2st'!$Q$2:$Q$317,$A71,'Данные 2st'!$LD$2:$LD$317),"")</f>
        <v>0</v>
      </c>
      <c r="QA71" s="7">
        <f>IFERROR(AVERAGEIF('Данные 2st'!$Q$2:$Q$317,$A71,'Данные 2st'!$LE$2:$LE$317),"")</f>
        <v>0</v>
      </c>
      <c r="QB71" s="7">
        <f>IFERROR(AVERAGEIF('Данные 2st'!$Q$2:$Q$317,$A71,'Данные 2st'!$LF$2:$LF$317),"")</f>
        <v>0</v>
      </c>
      <c r="QC71" s="7">
        <f>IFERROR(AVERAGEIF('Данные 2st'!$Q$2:$Q$317,$A71,'Данные 2st'!$LG$2:$LG$317),"")</f>
        <v>0</v>
      </c>
      <c r="QD71" s="7">
        <f>IFERROR(AVERAGEIF('Данные 2st'!$Q$2:$Q$317,$A71,'Данные 2st'!$LH$2:$LH$317),"")</f>
        <v>3</v>
      </c>
      <c r="QE71" s="7">
        <f>IFERROR(AVERAGEIF('Данные 2st'!$Q$2:$Q$317,$A71,'Данные 2st'!$LJ$2:$LJ$317),"")</f>
        <v>0</v>
      </c>
      <c r="QF71" s="7">
        <f>IFERROR(AVERAGEIF('Данные 2st'!$Q$2:$Q$317,$A71,'Данные 2st'!$LK$2:$LK$317),"")</f>
        <v>9.25</v>
      </c>
      <c r="QG71" s="7">
        <f>IFERROR(AVERAGEIF('Данные 2st'!$Q$2:$Q$317,$A71,'Данные 2st'!$LL$2:$LL$317),"")</f>
        <v>6.75</v>
      </c>
      <c r="QH71" s="7">
        <f>IFERROR(AVERAGEIF('Данные 2st'!$Q$2:$Q$317,$A71,'Данные 2st'!$LM$2:$LM$317),"")</f>
        <v>10.75</v>
      </c>
      <c r="QI71" s="7">
        <f>IFERROR(AVERAGEIF('Данные 2st'!$Q$2:$Q$317,$A71,'Данные 2st'!$LN$2:$LN$317),"")</f>
        <v>0.1</v>
      </c>
      <c r="QJ71" s="7">
        <f>IFERROR(AVERAGEIF('Данные 2st'!$Q$2:$Q$317,$A71,'Данные 2st'!$LO$2:$LO$317),"")</f>
        <v>2.5</v>
      </c>
      <c r="QK71" s="7">
        <f>IFERROR(AVERAGEIF('Данные 2st'!$Q$2:$Q$317,$A71,'Данные 2st'!$LP$2:$LP$317),"")</f>
        <v>0</v>
      </c>
      <c r="QL71" s="7">
        <f>IFERROR(AVERAGEIF('Данные 2st'!$Q$2:$Q$317,$A71,'Данные 2st'!$LQ$2:$LQ$317),"")</f>
        <v>0</v>
      </c>
      <c r="QM71" s="7">
        <f>IFERROR(AVERAGEIF('Данные 2st'!$Q$2:$Q$317,$A71,'Данные 2st'!$LW$2:$LW$317),"")</f>
        <v>1.8</v>
      </c>
      <c r="QN71" s="7">
        <f>IFERROR(AVERAGEIF('Данные 2st'!$Q$2:$Q$317,$A71,'Данные 2st'!$LX$2:$LX$317),"")</f>
        <v>1.8</v>
      </c>
      <c r="QO71" s="7">
        <f>IFERROR(AVERAGEIF('Данные 2st'!$Q$2:$Q$317,$A71,'Данные 2st'!$LY$2:$LY$317),"")</f>
        <v>2.1</v>
      </c>
      <c r="QP71" s="7">
        <f>IFERROR(AVERAGEIF('Данные 2st'!$Q$2:$Q$317,$A71,'Данные 2st'!$LZ$2:$LZ$317),"")</f>
        <v>2.1</v>
      </c>
      <c r="QQ71" s="7">
        <f>IFERROR(AVERAGEIF('Данные 2st'!$Q$2:$Q$317,$A71,'Данные 2st'!$MB$2:$MB$317),"")</f>
        <v>5.25</v>
      </c>
      <c r="QR71" s="7">
        <f>IFERROR(AVERAGEIF('Данные 2st'!$Q$2:$Q$317,$A71,'Данные 2st'!$MG$2:$MG$317),"")</f>
        <v>0</v>
      </c>
      <c r="QS71" s="7">
        <f>IFERROR(AVERAGEIF('Данные 2st'!$Q$2:$Q$317,$A71,'Данные 2st'!$MH$2:$MH$317),"")</f>
        <v>0</v>
      </c>
      <c r="QT71" s="7">
        <f>IFERROR(AVERAGEIF('Данные 2st'!$Q$2:$Q$317,$A71,'Данные 2st'!$MI$2:$MI$317),"")</f>
        <v>0</v>
      </c>
      <c r="QU71" s="7">
        <f>IFERROR(AVERAGEIF('Данные 2st'!$Q$2:$Q$317,$A71,'Данные 2st'!$MJ$2:$MJ$317),"")</f>
        <v>0</v>
      </c>
      <c r="QV71" s="7">
        <f>IFERROR(AVERAGEIF('Данные 2st'!$Q$2:$Q$317,$A71,'Данные 2st'!$MK$2:$MK$317),"")</f>
        <v>0</v>
      </c>
      <c r="QW71" s="7">
        <f>IFERROR(AVERAGEIF('Данные 2st'!$Q$2:$Q$317,$A71,'Данные 2st'!$MM$2:$MM$317),"")</f>
        <v>460</v>
      </c>
      <c r="QX71" s="7">
        <f>IFERROR(AVERAGEIF('Данные 2st'!$Q$2:$Q$317,$A71,'Данные 2st'!$MQ$2:$MQ$317),"")</f>
        <v/>
      </c>
      <c r="QY71" s="7">
        <f>IFERROR(AVERAGEIF('Данные 2st'!$Q$2:$Q$317,$A71,'Данные 2st'!$MR$2:$MR$317),"")</f>
        <v/>
      </c>
      <c r="QZ71" s="7">
        <f>IFERROR(AVERAGEIF('Данные 2st'!$Q$2:$Q$317,$A71,'Данные 2st'!$MS$2:$MS$317),"")</f>
        <v/>
      </c>
      <c r="RA71" s="7">
        <f>IFERROR(AVERAGEIF('Данные 2st'!$Q$2:$Q$317,$A71,'Данные 2st'!$MT$2:$MT$317),"")</f>
        <v/>
      </c>
      <c r="RB71" s="7">
        <f>IFERROR(AVERAGEIF('Данные 2st'!$Q$2:$Q$317,$A71,'Данные 2st'!$MU$2:$MU$317),"")</f>
        <v/>
      </c>
      <c r="RC71" s="7">
        <f>IFERROR(AVERAGEIF('Данные 2st'!$Q$2:$Q$317,$A71,'Данные 2st'!$MV$2:$MV$317),"")</f>
        <v/>
      </c>
      <c r="RD71" s="7">
        <f>IFERROR(AVERAGEIF('Данные 2st'!$Q$2:$Q$317,$A71,'Данные 2st'!$MW$2:$MW$317),"")</f>
        <v/>
      </c>
      <c r="RE71" s="7">
        <f>IFERROR(AVERAGEIF('Данные 2st'!$Q$2:$Q$317,$A71,'Данные 2st'!$MX$2:$MX$317),"")</f>
        <v/>
      </c>
      <c r="RF71" s="7">
        <f>IFERROR(AVERAGEIF('Данные 2st'!$Q$2:$Q$317,$A71,'Данные 2st'!$MY$2:$MY$317),"")</f>
        <v/>
      </c>
      <c r="RG71" s="7">
        <f>IFERROR(AVERAGEIF('Данные 2st'!$Q$2:$Q$317,$A71,'Данные 2st'!$MZ$2:$MZ$317),"")</f>
        <v/>
      </c>
      <c r="RH71" s="7">
        <f>IFERROR(AVERAGEIF('Данные 2st'!$Q$2:$Q$317,$A71,'Данные 2st'!$NA$2:$NA$317),"")</f>
        <v/>
      </c>
      <c r="RI71" s="7">
        <f>IFERROR(AVERAGEIF('Данные 2st'!$Q$2:$Q$317,$A71,'Данные 2st'!$NB$2:$NB$317),"")</f>
        <v/>
      </c>
      <c r="RJ71" s="7">
        <f>IFERROR(AVERAGEIF('Данные 2st'!$Q$2:$Q$317,$A71,'Данные 2st'!$NC$2:$NC$317),"")</f>
        <v/>
      </c>
      <c r="RK71" s="7">
        <f>IFERROR(AVERAGEIF('Данные 2st'!$Q$2:$Q$317,$A71,'Данные 2st'!$ND$2:$ND$317),"")</f>
        <v/>
      </c>
      <c r="RL71" s="7">
        <f>IFERROR(AVERAGEIF('Данные 2st'!$Q$2:$Q$317,$A71,'Данные 2st'!$NE$2:$NE$317),"")</f>
        <v/>
      </c>
      <c r="RM71" s="7">
        <f>IFERROR(AVERAGEIF('Данные 2st'!$Q$2:$Q$317,$A71,'Данные 2st'!$NF$2:$NF$317),"")</f>
        <v/>
      </c>
      <c r="RN71" s="7">
        <f>IFERROR(AVERAGEIF('Данные 2st'!$Q$2:$Q$317,$A71,'Данные 2st'!$NG$2:$NG$317),"")</f>
        <v/>
      </c>
      <c r="RO71" s="7">
        <f>IFERROR(AVERAGEIF('Данные 2st'!$Q$2:$Q$317,$A71,'Данные 2st'!$NH$2:$NH$317),"")</f>
        <v/>
      </c>
      <c r="RP71" s="7">
        <f>IFERROR(AVERAGEIF('Данные 2st'!$Q$2:$Q$317,$A71,'Данные 2st'!$NJ$2:$NJ$317),"")</f>
        <v/>
      </c>
      <c r="RQ71" s="7">
        <f>IFERROR(AVERAGEIF('Данные 2st'!$Q$2:$Q$317,$A71,'Данные 2st'!$NK$2:$NK$317),"")</f>
        <v/>
      </c>
      <c r="RR71" s="7">
        <f>IFERROR(AVERAGEIF('Данные 2st'!$Q$2:$Q$317,$A71,'Данные 2st'!$NM$2:$NM$317),"")</f>
        <v/>
      </c>
      <c r="RS71" s="7">
        <f>IFERROR(AVERAGEIF('Данные 2st'!$Q$2:$Q$317,$A71,'Данные 2st'!$NN$2:$NN$317),"")</f>
        <v/>
      </c>
      <c r="RT71" s="7">
        <f>IFERROR(AVERAGEIF('Данные 2st'!$Q$2:$Q$317,$A71,'Данные 2st'!$NO$2:$NO$317),"")</f>
        <v/>
      </c>
      <c r="RU71" s="7">
        <f>IFERROR(AVERAGEIF('Данные 2st'!$Q$2:$Q$317,$A71,'Данные 2st'!$NP$2:$NP$317),"")</f>
        <v/>
      </c>
      <c r="RV71" s="7">
        <f>IFERROR(AVERAGEIF('Данные 2st'!$Q$2:$Q$317,$A71,'Данные 2st'!$NQ$2:$NQ$317),"")</f>
        <v/>
      </c>
      <c r="RW71" s="7">
        <f>IFERROR(AVERAGEIF('Данные 2st'!$Q$2:$Q$317,$A71,'Данные 2st'!$NR$2:$NR$317),"")</f>
        <v/>
      </c>
      <c r="RX71" s="7">
        <f>IFERROR(AVERAGEIF('Данные 2st'!$Q$2:$Q$317,$A71,'Данные 2st'!$NS$2:$NS$317),"")</f>
        <v/>
      </c>
      <c r="RY71" s="7">
        <f>IFERROR(AVERAGEIF('Данные 2st'!$Q$2:$Q$317,$A71,'Данные 2st'!$NT$2:$NT$317),"")</f>
        <v/>
      </c>
      <c r="RZ71" s="7">
        <f>IFERROR(AVERAGEIF('Данные 2st'!$Q$2:$Q$317,$A71,'Данные 2st'!$OK$2:$OK$317),"")</f>
        <v>61</v>
      </c>
      <c r="SA71" s="7">
        <f>IFERROR(AVERAGEIF('Данные 2st'!$Q$2:$Q$317,$A71,'Данные 2st'!$OL$2:$OL$317),"")</f>
        <v>61</v>
      </c>
      <c r="SB71" s="7">
        <f>IFERROR(AVERAGEIF('Данные 2st'!$Q$2:$Q$317,$A71,'Данные 2st'!$ON$2:$ON$317),"")</f>
        <v>1.25</v>
      </c>
      <c r="SC71" s="7">
        <f>IFERROR(AVERAGEIF('Данные 2st'!$Q$2:$Q$317,$A71,'Данные 2st'!$OO$2:$OO$317),"")</f>
        <v>2160.25</v>
      </c>
      <c r="SD71" s="7">
        <f>IFERROR(AVERAGEIF('Данные 2st'!$Q$2:$Q$317,$A71,'Данные 2st'!$OP$2:$OP$317),"")</f>
        <v>61</v>
      </c>
      <c r="SE71" s="7">
        <f>IFERROR(AVERAGEIF('Данные 2st'!$Q$2:$Q$317,$A71,'Данные 2st'!$OQ$2:$OQ$317),"")</f>
        <v>61</v>
      </c>
      <c r="SF71" s="7">
        <f>IFERROR(AVERAGEIF('Данные 2st'!$Q$2:$Q$317,$A71,'Данные 2st'!$OS$2:$OS$317),"")</f>
        <v>1.25</v>
      </c>
      <c r="SG71" s="7">
        <f>IFERROR(AVERAGEIF('Данные 2st'!$Q$2:$Q$317,$A71,'Данные 2st'!$OT$2:$OT$317),"")</f>
        <v>2173.75</v>
      </c>
      <c r="SH71" s="7">
        <f>IFERROR(AVERAGEIF('Данные 2st'!$Q$2:$Q$317,$A71,'Данные 2st'!$OU$2:$OU$317),"")</f>
        <v>65</v>
      </c>
      <c r="SI71" s="7">
        <f>IFERROR(AVERAGEIF('Данные 2st'!$Q$2:$Q$317,$A71,'Данные 2st'!$OV$2:$OV$317),"")</f>
        <v>65</v>
      </c>
      <c r="SJ71" s="7">
        <f>IFERROR(AVERAGEIF('Данные 2st'!$Q$2:$Q$317,$A71,'Данные 2st'!$OX$2:$OX$317),"")</f>
        <v>1.5</v>
      </c>
      <c r="SK71" s="7">
        <f>IFERROR(AVERAGEIF('Данные 2st'!$Q$2:$Q$317,$A71,'Данные 2st'!$OY$2:$OY$317),"")</f>
        <v>49292.5</v>
      </c>
      <c r="SL71" s="7">
        <f>IFERROR(AVERAGEIF('Данные 2st'!$Q$2:$Q$317,$A71,'Данные 2st'!$OZ$2:$OZ$317),"")</f>
        <v>51</v>
      </c>
      <c r="SM71" s="7">
        <f>IFERROR(AVERAGEIF('Данные 2st'!$Q$2:$Q$317,$A71,'Данные 2st'!$PA$2:$PA$317),"")</f>
        <v>51.5</v>
      </c>
      <c r="SN71" s="7">
        <f>IFERROR(AVERAGEIF('Данные 2st'!$Q$2:$Q$317,$A71,'Данные 2st'!$PC$2:$PC$317),"")</f>
        <v>1.25</v>
      </c>
      <c r="SO71" s="7">
        <f>IFERROR(AVERAGEIF('Данные 2st'!$Q$2:$Q$317,$A71,'Данные 2st'!$PD$2:$PD$317),"")</f>
        <v>2205.5</v>
      </c>
      <c r="SP71" s="7">
        <f>IFERROR(AVERAGEIF('Данные 2st'!$Q$2:$Q$317,$A71,'Данные 2st'!$PF$2:$PF$317),"")</f>
        <v>536.25</v>
      </c>
      <c r="SQ71" s="7">
        <f>IFERROR(AVERAGEIF('Данные 2st'!$Q$2:$Q$317,$A71,'Данные 2st'!$PG$2:$PG$317),"")</f>
        <v>35</v>
      </c>
      <c r="SR71" s="7">
        <f>IFERROR(AVERAGEIF('Данные 2st'!$Q$2:$Q$317,$A71,'Данные 2st'!$PH$2:$PH$317),"")</f>
        <v>511.75</v>
      </c>
      <c r="SS71" s="7">
        <f>IFERROR(AVERAGEIF('Данные 2st'!$Q$2:$Q$317,$A71,'Данные 2st'!$PI$2:$PI$317),"")</f>
        <v>0</v>
      </c>
      <c r="ST71" s="7">
        <f>IFERROR(AVERAGEIF('Данные 2st'!$Q$2:$Q$317,$A71,'Данные 2st'!$PJ$2:$PJ$317),"")</f>
        <v>110.125</v>
      </c>
      <c r="SU71" s="7">
        <f>IFERROR(AVERAGEIF('Данные 2st'!$Q$2:$Q$317,$A71,'Данные 2st'!$PK$2:$PK$317),"")</f>
        <v>2403.6666666666665</v>
      </c>
      <c r="SV71" s="7">
        <f>IFERROR(AVERAGEIF('Данные 2st'!$Q$2:$Q$317,$A71,'Данные 2st'!$PL$2:$PL$317),"")</f>
        <v>1396.75</v>
      </c>
      <c r="SW71" s="7">
        <f>IFERROR(AVERAGEIF('Данные 2st'!$Q$2:$Q$317,$A71,'Данные 2st'!$PM$2:$PM$317),"")</f>
        <v>743.95</v>
      </c>
      <c r="SX71" s="7">
        <f>IFERROR(AVERAGEIF('Данные 2st'!$Q$2:$Q$317,$A71,'Данные 2st'!$PN$2:$PN$317),"")</f>
        <v>109.25</v>
      </c>
      <c r="SY71" s="7">
        <f>IFERROR(AVERAGEIF('Данные 2st'!$Q$2:$Q$317,$A71,'Данные 2st'!$PO$2:$PO$317),"")</f>
        <v>9.8</v>
      </c>
      <c r="SZ71" s="7">
        <f>IFERROR(AVERAGEIF('Данные 2st'!$Q$2:$Q$317,$A71,'Данные 2st'!$PP$2:$PP$317),"")</f>
        <v>12</v>
      </c>
      <c r="TA71" s="7">
        <f>IFERROR(AVERAGEIF('Данные 2st'!$Q$2:$Q$317,$A71,'Данные 2st'!$PQ$2:$PQ$317),"")</f>
        <v>5</v>
      </c>
      <c r="TB71" s="7">
        <f>IFERROR(AVERAGEIF('Данные 2st'!$Q$2:$Q$317,$A71,'Данные 2st'!$PR$2:$PR$317),"")</f>
        <v>5</v>
      </c>
      <c r="TC71" s="7">
        <f>IFERROR(AVERAGEIF('Данные 2st'!$Q$2:$Q$317,$A71,'Данные 2st'!$PS$2:$PS$317),"")</f>
        <v>0</v>
      </c>
      <c r="TD71" s="7">
        <f>IFERROR(AVERAGEIF('Данные 2st'!$Q$2:$Q$317,$A71,'Данные 2st'!$PT$2:$PT$317),"")</f>
        <v>267.5</v>
      </c>
      <c r="TE71" s="7">
        <f>IFERROR(AVERAGEIF('Данные 2st'!$Q$2:$Q$317,$A71,'Данные 2st'!$PU$2:$PU$317),"")</f>
        <v>13</v>
      </c>
      <c r="TF71" s="7">
        <f>IFERROR(AVERAGEIF('Данные 2st'!$Q$2:$Q$317,$A71,'Данные 2st'!$PX$2:$PX$317),"")</f>
        <v>0</v>
      </c>
      <c r="TG71" s="7">
        <f>IFERROR(AVERAGEIF('Данные 2st'!$Q$2:$Q$317,$A71,'Данные 2st'!$PY$2:$PY$317),"")</f>
        <v>0</v>
      </c>
      <c r="TH71" s="7">
        <f>IFERROR(AVERAGEIF('Данные 2st'!$Q$2:$Q$317,$A71,'Данные 2st'!$PZ$2:$PZ$317),"")</f>
        <v>0</v>
      </c>
      <c r="TI71" s="7">
        <f>IFERROR(AVERAGEIF('Данные 2st'!$Q$2:$Q$317,$A71,'Данные 2st'!$QA$2:$QA$317),"")</f>
        <v>0</v>
      </c>
      <c r="TJ71" s="7">
        <f>IFERROR(AVERAGEIF('Данные 2st'!$Q$2:$Q$317,$A71,'Данные 2st'!$QB$2:$QB$317),"")</f>
        <v>0</v>
      </c>
      <c r="TK71" s="7">
        <f>IFERROR(AVERAGEIF('Данные 2st'!$Q$2:$Q$317,$A71,'Данные 2st'!$QC$2:$QC$317),"")</f>
        <v>0</v>
      </c>
      <c r="TL71" s="7">
        <f>IFERROR(AVERAGEIF('Данные 2st'!$Q$2:$Q$317,$A71,'Данные 2st'!$QD$2:$QD$317),"")</f>
        <v>0</v>
      </c>
      <c r="TM71" s="7">
        <f>IFERROR(AVERAGEIF('Данные 2st'!$Q$2:$Q$317,$A71,'Данные 2st'!$QE$2:$QE$317),"")</f>
        <v>-1</v>
      </c>
      <c r="TN71" s="7">
        <f>IFERROR(AVERAGEIF('Данные 2st'!$Q$2:$Q$317,$A71,'Данные 2st'!$QF$2:$QF$317),"")</f>
        <v>1</v>
      </c>
      <c r="TO71" s="7">
        <f>IFERROR(AVERAGEIF('Данные 2st'!$Q$2:$Q$317,$A71,'Данные 2st'!$QG$2:$QG$317),"")</f>
        <v>0</v>
      </c>
      <c r="TP71" s="7">
        <f>IFERROR(AVERAGEIF('Данные 2st'!$Q$2:$Q$317,$A71,'Данные 2st'!$QH$2:$QH$317),"")</f>
        <v>5</v>
      </c>
      <c r="TQ71" s="7">
        <f>IFERROR(AVERAGEIF('Данные 2st'!$Q$2:$Q$317,$A71,'Данные 2st'!$QI$2:$QI$317),"")</f>
        <v>5</v>
      </c>
      <c r="TR71" s="7">
        <f>IFERROR(AVERAGEIF('Данные 2st'!$Q$2:$Q$317,$A71,'Данные 2st'!$QJ$2:$QJ$317),"")</f>
        <v>5</v>
      </c>
      <c r="TS71" s="7">
        <f>IFERROR(AVERAGEIF('Данные 2st'!$Q$2:$Q$317,$A71,'Данные 2st'!$QK$2:$QK$317),"")</f>
        <v>215.25</v>
      </c>
      <c r="TT71" s="7">
        <f>IFERROR(AVERAGEIF('Данные 2st'!$Q$2:$Q$317,$A71,'Данные 2st'!$QL$2:$QL$317),"")</f>
        <v>475.5</v>
      </c>
      <c r="TU71" s="7">
        <f>IFERROR(AVERAGEIF('Данные 2st'!$Q$2:$Q$317,$A71,'Данные 2st'!$QM$2:$QM$317),"")</f>
        <v>7.5</v>
      </c>
      <c r="TV71" s="7">
        <f>IFERROR(AVERAGEIF('Данные 2st'!$Q$2:$Q$317,$A71,'Данные 2st'!$QN$2:$QN$317),"")</f>
        <v>1465.1</v>
      </c>
      <c r="TW71" s="7">
        <f>IFERROR(AVERAGEIF('Данные 2st'!$Q$2:$Q$317,$A71,'Данные 2st'!$QQ$2:$QQ$317),"")</f>
        <v>0</v>
      </c>
      <c r="TX71" s="7">
        <f>IFERROR(AVERAGEIF('Данные 2st'!$Q$2:$Q$317,$A71,'Данные 2st'!$QS$2:$QS$317),"")</f>
        <v>30</v>
      </c>
      <c r="TY71" s="7">
        <f>IFERROR(AVERAGEIF('Данные 2st'!$Q$2:$Q$317,$A71,'Данные 2st'!$QT$2:$QT$317),"")</f>
        <v>40</v>
      </c>
    </row>
    <row r="72" spans="1:545" ht="32" customHeight="1">
      <c r="A72" s="11" t="s">
        <v>1042</v>
      </c>
      <c r="B72">
        <f>COUNTIF('Данные 1st'!$S$2:$S$317,$A72)</f>
        <v>5</v>
      </c>
      <c r="C72" s="6" t="s">
        <v>5118</v>
      </c>
      <c r="D72" s="6" t="s">
        <v>513</v>
      </c>
      <c r="E72" s="6" t="s">
        <v>5125</v>
      </c>
      <c r="F72" s="6" t="s">
        <v>5183</v>
      </c>
      <c r="G72" s="7">
        <f>IFERROR(AVERAGEIF('Данные 1st'!$S$2:$S$317,$A72,'Данные 1st'!$AE$2:$AE$317),"")</f>
        <v>239.6</v>
      </c>
      <c r="H72" s="7">
        <f>IFERROR(AVERAGEIF('Данные 1st'!$S$2:$S$317,$A72,'Данные 1st'!$AF$2:$AF$317),"")</f>
        <v>1.5</v>
      </c>
      <c r="I72" s="7">
        <f>IFERROR(AVERAGEIF('Данные 1st'!$S$2:$S$317,$A72,'Данные 1st'!$AJ$2:$AJ$317),"")</f>
        <v>221.5</v>
      </c>
      <c r="J72" s="7">
        <f>IFERROR(AVERAGEIF('Данные 1st'!$S$2:$S$317,$A72,'Данные 1st'!$AL$2:$AL$317),"")</f>
        <v>1.5</v>
      </c>
      <c r="K72" s="7">
        <f>IFERROR(AVERAGEIF('Данные 1st'!$S$2:$S$317,$A72,'Данные 1st'!$AR$2:$AR$317),"")</f>
        <v>259.4</v>
      </c>
      <c r="L72" s="7">
        <f>IFERROR(AVERAGEIF('Данные 1st'!$S$2:$S$317,$A72,'Данные 1st'!$AS$2:$AS$317),"")</f>
        <v>1.5</v>
      </c>
      <c r="M72" s="7">
        <f>IFERROR(AVERAGEIF('Данные 1st'!$S$2:$S$317,$A72,'Данные 1st'!$AY$2:$AY$317),"")</f>
        <v>318.0</v>
      </c>
      <c r="N72" s="7">
        <f>IFERROR(AVERAGEIF('Данные 1st'!$S$2:$S$317,$A72,'Данные 1st'!$AZ$2:$AZ$317),"")</f>
        <v>1.5</v>
      </c>
      <c r="O72" s="7">
        <f>IFERROR(AVERAGEIF('Данные 1st'!$S$2:$S$317,$A72,'Данные 1st'!$BF$2:$BF$317),"")</f>
        <v>269.5</v>
      </c>
      <c r="P72" s="7">
        <f>IFERROR(AVERAGEIF('Данные 1st'!$S$2:$S$317,$A72,'Данные 1st'!$BG$2:$BG$317),"")</f>
        <v>1.5</v>
      </c>
      <c r="Q72" s="7">
        <f>IFERROR(AVERAGEIF('Данные 1st'!$S$2:$S$317,$A72,'Данные 1st'!$BM$2:$BM$317),"")</f>
        <v/>
      </c>
      <c r="R72" s="7">
        <f>IFERROR(AVERAGEIF('Данные 1st'!$S$2:$S$317,$A72,'Данные 1st'!$BN$2:$BN$317),"")</f>
        <v>1.5</v>
      </c>
      <c r="S72" s="7">
        <f>IFERROR(AVERAGEIF('Данные 1st'!$S$2:$S$317,$A72,'Данные 1st'!$BT$2:$BT$317),"")</f>
        <v>238.4</v>
      </c>
      <c r="T72" s="7">
        <f>IFERROR(AVERAGEIF('Данные 1st'!$S$2:$S$317,$A72,'Данные 1st'!$BU$2:$BU$317),"")</f>
        <v>0.5</v>
      </c>
      <c r="U72" s="7">
        <f>IFERROR(AVERAGEIF('Данные 1st'!$S$2:$S$317,$A72,'Данные 1st'!$BW$2:$BW$317),"")</f>
        <v>476.8</v>
      </c>
      <c r="V72" s="7">
        <f>IFERROR(AVERAGEIF('Данные 1st'!$S$2:$S$317,$A72,'Данные 1st'!$BX$2:$BX$317),"")</f>
        <v>1</v>
      </c>
      <c r="W72" s="7">
        <f>IFERROR(AVERAGEIF('Данные 1st'!$S$2:$S$317,$A72,'Данные 1st'!$BZ$2:$BZ$317),"")</f>
        <v>436</v>
      </c>
      <c r="X72" s="7">
        <f>IFERROR(AVERAGEIF('Данные 1st'!$S$2:$S$317,$A72,'Данные 1st'!$CA$2:$CA$317),"")</f>
        <v>568</v>
      </c>
      <c r="Y72" s="7">
        <f>IFERROR(AVERAGEIF('Данные 1st'!$S$2:$S$317,$A72,'Данные 1st'!$CD$2:$CD$317),"")</f>
        <v>493.2</v>
      </c>
      <c r="Z72" s="7">
        <f>IFERROR(AVERAGEIF('Данные 1st'!$S$2:$S$317,$A72,'Данные 1st'!$CF$2:$CF$317),"")</f>
        <v>15</v>
      </c>
      <c r="AA72" s="7">
        <f>IFERROR(AVERAGEIF('Данные 1st'!$S$2:$S$317,$A72,'Данные 1st'!$CI$2:$CI$317),"")</f>
        <v>66</v>
      </c>
      <c r="AB72" s="7">
        <f>IFERROR(AVERAGEIF('Данные 1st'!$S$2:$S$317,$A72,'Данные 1st'!$CJ$2:$CJ$317),"")</f>
        <v>1458</v>
      </c>
      <c r="AC72" s="7">
        <f>IFERROR(AVERAGEIF('Данные 1st'!$S$2:$S$317,$A72,'Данные 1st'!$CK$2:$CK$317),"")</f>
        <v>2</v>
      </c>
      <c r="AD72" s="7">
        <f>IFERROR(AVERAGEIF('Данные 1st'!$S$2:$S$317,$A72,'Данные 1st'!$CL$2:$CL$317),"")</f>
        <v>1552</v>
      </c>
      <c r="AE72" s="7">
        <f>IFERROR(AVERAGEIF('Данные 1st'!$S$2:$S$317,$A72,'Данные 1st'!$CM$2:$CM$317),"")</f>
        <v>2</v>
      </c>
      <c r="AF72" s="7">
        <f>IFERROR(AVERAGEIF('Данные 1st'!$S$2:$S$317,$A72,'Данные 1st'!$CT$2:$CT$317),"")</f>
        <v>443</v>
      </c>
      <c r="AG72" s="7">
        <f>IFERROR(AVERAGEIF('Данные 1st'!$S$2:$S$317,$A72,'Данные 1st'!$CU$2:$CU$317),"")</f>
        <v>5</v>
      </c>
      <c r="AH72" s="7">
        <f>IFERROR(AVERAGEIF('Данные 1st'!$S$2:$S$317,$A72,'Данные 1st'!$CV$2:$CV$317),"")</f>
        <v>1.2</v>
      </c>
      <c r="AI72" s="7">
        <f>IFERROR(AVERAGEIF('Данные 1st'!$S$2:$S$317,$A72,'Данные 1st'!$CW$2:$CW$317),"")</f>
        <v>1475</v>
      </c>
      <c r="AJ72" s="7">
        <f>IFERROR(AVERAGEIF('Данные 1st'!$S$2:$S$317,$A72,'Данные 1st'!$CX$2:$CX$317),"")</f>
        <v>926</v>
      </c>
      <c r="AK72" s="7">
        <f>IFERROR(AVERAGEIF('Данные 1st'!$S$2:$S$317,$A72,'Данные 1st'!$CZ$2:$CZ$317),"")</f>
        <v>50</v>
      </c>
      <c r="AL72" s="7">
        <f>IFERROR(AVERAGEIF('Данные 1st'!$S$2:$S$317,$A72,'Данные 1st'!$DA$2:$DA$317),"")</f>
        <v>3</v>
      </c>
      <c r="AM72" s="7">
        <f>IFERROR(AVERAGEIF('Данные 1st'!$S$2:$S$317,$A72,'Данные 1st'!$DB$2:$DB$317),"")</f>
        <v>1.168</v>
      </c>
      <c r="AN72" s="7">
        <f>IFERROR(AVERAGEIF('Данные 1st'!$S$2:$S$317,$A72,'Данные 1st'!$DC$2:$DC$317),"")</f>
        <v>1475</v>
      </c>
      <c r="AO72" s="7">
        <f>IFERROR(AVERAGEIF('Данные 1st'!$S$2:$S$317,$A72,'Данные 1st'!$DD$2:$DD$317),"")</f>
        <v>93.8</v>
      </c>
      <c r="AP72" s="7">
        <f>IFERROR(AVERAGEIF('Данные 1st'!$S$2:$S$317,$A72,'Данные 1st'!$DF$2:$DF$317),"")</f>
        <v>636</v>
      </c>
      <c r="AQ72" s="7">
        <f>IFERROR(AVERAGEIF('Данные 1st'!$S$2:$S$317,$A72,'Данные 1st'!$DG$2:$DG$317),"")</f>
        <v>3</v>
      </c>
      <c r="AR72" s="7">
        <f>IFERROR(AVERAGEIF('Данные 1st'!$S$2:$S$317,$A72,'Данные 1st'!$DH$2:$DH$317),"")</f>
        <v>0.88</v>
      </c>
      <c r="AS72" s="7">
        <f>IFERROR(AVERAGEIF('Данные 1st'!$S$2:$S$317,$A72,'Данные 1st'!$DI$2:$DI$317),"")</f>
        <v>1467</v>
      </c>
      <c r="AT72" s="7">
        <f>IFERROR(AVERAGEIF('Данные 1st'!$S$2:$S$317,$A72,'Данные 1st'!$DJ$2:$DJ$317),"")</f>
        <v>1123.8</v>
      </c>
      <c r="AU72" s="7">
        <f>IFERROR(AVERAGEIF('Данные 1st'!$S$2:$S$317,$A72,'Данные 1st'!$DL$2:$DL$317),"")</f>
        <v>539</v>
      </c>
      <c r="AV72" s="7">
        <f>IFERROR(AVERAGEIF('Данные 1st'!$S$2:$S$317,$A72,'Данные 1st'!$DM$2:$DM$317),"")</f>
        <v>3</v>
      </c>
      <c r="AW72" s="7">
        <f>IFERROR(AVERAGEIF('Данные 1st'!$S$2:$S$317,$A72,'Данные 1st'!$DN$2:$DN$317),"")</f>
        <v>0.88</v>
      </c>
      <c r="AX72" s="7">
        <f>IFERROR(AVERAGEIF('Данные 1st'!$S$2:$S$317,$A72,'Данные 1st'!$DO$2:$DO$317),"")</f>
        <v>1472.6</v>
      </c>
      <c r="AY72" s="7">
        <f>IFERROR(AVERAGEIF('Данные 1st'!$S$2:$S$317,$A72,'Данные 1st'!$DP$2:$DP$317),"")</f>
        <v>870.2</v>
      </c>
      <c r="AZ72" s="7">
        <f>IFERROR(AVERAGEIF('Данные 1st'!$S$2:$S$317,$A72,'Данные 1st'!$DR$2:$DR$317),"")</f>
        <v/>
      </c>
      <c r="BA72" s="7">
        <f>IFERROR(AVERAGEIF('Данные 1st'!$S$2:$S$317,$A72,'Данные 1st'!$DS$2:$DS$317),"")</f>
        <v/>
      </c>
      <c r="BB72" s="7">
        <f>IFERROR(AVERAGEIF('Данные 1st'!$S$2:$S$317,$A72,'Данные 1st'!$DT$2:$DT$317),"")</f>
        <v/>
      </c>
      <c r="BC72" s="7">
        <f>IFERROR(AVERAGEIF('Данные 1st'!$S$2:$S$317,$A72,'Данные 1st'!$DU$2:$DU$317),"")</f>
        <v/>
      </c>
      <c r="BD72" s="7">
        <f>IFERROR(AVERAGEIF('Данные 1st'!$S$2:$S$317,$A72,'Данные 1st'!$DV$2:$DV$317),"")</f>
        <v/>
      </c>
      <c r="BE72" s="7">
        <f>IFERROR(AVERAGEIF('Данные 1st'!$S$2:$S$317,$A72,'Данные 1st'!$DX$2:$DX$317),"")</f>
        <v>7.5</v>
      </c>
      <c r="BF72" s="7">
        <f>IFERROR(AVERAGEIF('Данные 1st'!$S$2:$S$317,$A72,'Данные 1st'!$EA$2:$EA$317),"")</f>
        <v>1544.1</v>
      </c>
      <c r="BG72" s="7">
        <f>IFERROR(AVERAGEIF('Данные 1st'!$S$2:$S$317,$A72,'Данные 1st'!$EB$2:$EB$317),"")</f>
        <v>327.6</v>
      </c>
      <c r="BH72" s="7">
        <f>IFERROR(AVERAGEIF('Данные 1st'!$S$2:$S$317,$A72,'Данные 1st'!$ED$2:$ED$317),"")</f>
        <v>39</v>
      </c>
      <c r="BI72" s="7">
        <f>IFERROR(AVERAGEIF('Данные 1st'!$S$2:$S$317,$A72,'Данные 1st'!$EE$2:$EE$317),"")</f>
        <v>3</v>
      </c>
      <c r="BJ72" s="7">
        <f>IFERROR(AVERAGEIF('Данные 1st'!$S$2:$S$317,$A72,'Данные 1st'!$EG$2:$EG$317),"")</f>
        <v>1591</v>
      </c>
      <c r="BK72" s="7">
        <f>IFERROR(AVERAGEIF('Данные 1st'!$S$2:$S$317,$A72,'Данные 1st'!$EH$2:$EH$317),"")</f>
        <v>248.6</v>
      </c>
      <c r="BL72" s="7">
        <f>IFERROR(AVERAGEIF('Данные 1st'!$S$2:$S$317,$A72,'Данные 1st'!$EJ$2:$EJ$317),"")</f>
        <v>0</v>
      </c>
      <c r="BM72" s="7">
        <f>IFERROR(AVERAGEIF('Данные 1st'!$S$2:$S$317,$A72,'Данные 1st'!$EK$2:$EK$317),"")</f>
        <v>1</v>
      </c>
      <c r="BN72" s="7">
        <f>IFERROR(AVERAGEIF('Данные 1st'!$S$2:$S$317,$A72,'Данные 1st'!$EN$2:$EN$317),"")</f>
        <v>0</v>
      </c>
      <c r="BO72" s="7">
        <f>IFERROR(AVERAGEIF('Данные 1st'!$S$2:$S$317,$A72,'Данные 1st'!$EQ$2:$EQ$317),"")</f>
        <v>126</v>
      </c>
      <c r="BP72" s="7">
        <f>IFERROR(AVERAGEIF('Данные 1st'!$S$2:$S$317,$A72,'Данные 1st'!$ER$2:$ER$317),"")</f>
        <v>3</v>
      </c>
      <c r="BQ72" s="7">
        <f>IFERROR(AVERAGEIF('Данные 1st'!$S$2:$S$317,$A72,'Данные 1st'!$ES$2:$ES$317),"")</f>
        <v>5.46</v>
      </c>
      <c r="BR72" s="7">
        <f>IFERROR(AVERAGEIF('Данные 1st'!$S$2:$S$317,$A72,'Данные 1st'!$ET$2:$ET$317),"")</f>
        <v>1453.8</v>
      </c>
      <c r="BS72" s="7">
        <f>IFERROR(AVERAGEIF('Данные 1st'!$S$2:$S$317,$A72,'Данные 1st'!$EU$2:$EU$317),"")</f>
        <v>549.3199999999999</v>
      </c>
      <c r="BT72" s="7">
        <f>IFERROR(AVERAGEIF('Данные 1st'!$S$2:$S$317,$A72,'Данные 1st'!$EV$2:$EV$317),"")</f>
        <v>798.8</v>
      </c>
      <c r="BU72" s="7">
        <f>IFERROR(AVERAGEIF('Данные 1st'!$S$2:$S$317,$A72,'Данные 1st'!$EX$2:$EX$317),"")</f>
        <v>45</v>
      </c>
      <c r="BV72" s="7">
        <f>IFERROR(AVERAGEIF('Данные 1st'!$S$2:$S$317,$A72,'Данные 1st'!$EY$2:$EY$317),"")</f>
        <v>2</v>
      </c>
      <c r="BW72" s="7">
        <f>IFERROR(AVERAGEIF('Данные 1st'!$S$2:$S$317,$A72,'Данные 1st'!$EZ$2:$EZ$317),"")</f>
        <v>4.26</v>
      </c>
      <c r="BX72" s="7">
        <f>IFERROR(AVERAGEIF('Данные 1st'!$S$2:$S$317,$A72,'Данные 1st'!$FA$2:$FA$317),"")</f>
        <v>1453.8</v>
      </c>
      <c r="BY72" s="7">
        <f>IFERROR(AVERAGEIF('Данные 1st'!$S$2:$S$317,$A72,'Данные 1st'!$FB$2:$FB$317),"")</f>
        <v>138.12</v>
      </c>
      <c r="BZ72" s="7">
        <f>IFERROR(AVERAGEIF('Данные 1st'!$S$2:$S$317,$A72,'Данные 1st'!$FC$2:$FC$317),"")</f>
        <v>200.8</v>
      </c>
      <c r="CA72" s="7">
        <f>IFERROR(AVERAGEIF('Данные 1st'!$S$2:$S$317,$A72,'Данные 1st'!$FE$2:$FE$317),"")</f>
        <v>0</v>
      </c>
      <c r="CB72" s="7">
        <f>IFERROR(AVERAGEIF('Данные 1st'!$S$2:$S$317,$A72,'Данные 1st'!$FF$2:$FF$317),"")</f>
        <v>2</v>
      </c>
      <c r="CC72" s="7">
        <f>IFERROR(AVERAGEIF('Данные 1st'!$S$2:$S$317,$A72,'Данные 1st'!$FI$2:$FI$317),"")</f>
        <v>0</v>
      </c>
      <c r="CD72" s="7">
        <f>IFERROR(AVERAGEIF('Данные 1st'!$S$2:$S$317,$A72,'Данные 1st'!$FL$2:$FL$317),"")</f>
        <v>0.4</v>
      </c>
      <c r="CE72" s="7">
        <f>IFERROR(AVERAGEIF('Данные 1st'!$S$2:$S$317,$A72,'Данные 1st'!$FM$2:$FM$317),"")</f>
        <v>52</v>
      </c>
      <c r="CF72" s="7">
        <f>IFERROR(AVERAGEIF('Данные 1st'!$S$2:$S$317,$A72,'Данные 1st'!$FN$2:$FN$317),"")</f>
        <v>414</v>
      </c>
      <c r="CG72" s="7">
        <f>IFERROR(AVERAGEIF('Данные 1st'!$S$2:$S$317,$A72,'Данные 1st'!$FO$2:$FO$317),"")</f>
        <v>100</v>
      </c>
      <c r="CH72" s="7">
        <f>IFERROR(AVERAGEIF('Данные 1st'!$S$2:$S$317,$A72,'Данные 1st'!$FP$2:$FP$317),"")</f>
        <v>154</v>
      </c>
      <c r="CI72" s="7">
        <f>IFERROR(AVERAGEIF('Данные 1st'!$S$2:$S$317,$A72,'Данные 1st'!$FS$2:$FS$317),"")</f>
        <v>0.4</v>
      </c>
      <c r="CJ72" s="7">
        <f>IFERROR(AVERAGEIF('Данные 1st'!$S$2:$S$317,$A72,'Данные 1st'!$FT$2:$FT$317),"")</f>
        <v>30</v>
      </c>
      <c r="CK72" s="7">
        <f>IFERROR(AVERAGEIF('Данные 1st'!$S$2:$S$317,$A72,'Данные 1st'!$FU$2:$FU$317),"")</f>
        <v>570</v>
      </c>
      <c r="CL72" s="7">
        <f>IFERROR(AVERAGEIF('Данные 1st'!$S$2:$S$317,$A72,'Данные 1st'!$FV$2:$FV$317),"")</f>
        <v/>
      </c>
      <c r="CM72" s="7">
        <f>IFERROR(AVERAGEIF('Данные 1st'!$S$2:$S$317,$A72,'Данные 1st'!$FW$2:$FW$317),"")</f>
        <v/>
      </c>
      <c r="CN72" s="7">
        <f>IFERROR(AVERAGEIF('Данные 1st'!$S$2:$S$317,$A72,'Данные 1st'!$FZ$2:$FZ$317),"")</f>
        <v/>
      </c>
      <c r="CO72" s="7">
        <f>IFERROR(AVERAGEIF('Данные 1st'!$S$2:$S$317,$A72,'Данные 1st'!$GA$2:$GA$317),"")</f>
        <v/>
      </c>
      <c r="CP72" s="7">
        <f>IFERROR(AVERAGEIF('Данные 1st'!$S$2:$S$317,$A72,'Данные 1st'!$GB$2:$GB$317),"")</f>
        <v/>
      </c>
      <c r="CQ72" s="7">
        <f>IFERROR(AVERAGEIF('Данные 1st'!$S$2:$S$317,$A72,'Данные 1st'!$GH$2:$GH$317),"")</f>
        <v/>
      </c>
      <c r="CR72" s="7">
        <f>IFERROR(AVERAGEIF('Данные 1st'!$S$2:$S$317,$A72,'Данные 1st'!$GI$2:$GI$317),"")</f>
        <v/>
      </c>
      <c r="CS72" s="7">
        <f>IFERROR(AVERAGEIF('Данные 1st'!$S$2:$S$317,$A72,'Данные 1st'!$GJ$2:$GJ$317),"")</f>
        <v/>
      </c>
      <c r="CT72" s="7">
        <f>IFERROR(AVERAGEIF('Данные 1st'!$S$2:$S$317,$A72,'Данные 1st'!$GS$2:$GS$317),"")</f>
        <v>0.4</v>
      </c>
      <c r="CU72" s="7">
        <f>IFERROR(AVERAGEIF('Данные 1st'!$S$2:$S$317,$A72,'Данные 1st'!$GT$2:$GT$317),"")</f>
        <v>43</v>
      </c>
      <c r="CV72" s="7">
        <f>IFERROR(AVERAGEIF('Данные 1st'!$S$2:$S$317,$A72,'Данные 1st'!$GU$2:$GU$317),"")</f>
        <v>412</v>
      </c>
      <c r="CW72" s="7">
        <f>IFERROR(AVERAGEIF('Данные 1st'!$S$2:$S$317,$A72,'Данные 1st'!$GV$2:$GV$317),"")</f>
        <v>31.25</v>
      </c>
      <c r="CX72" s="7">
        <f>IFERROR(AVERAGEIF('Данные 1st'!$S$2:$S$317,$A72,'Данные 1st'!$GW$2:$GW$317),"")</f>
        <v>292.5</v>
      </c>
      <c r="CY72" s="7">
        <f>IFERROR(AVERAGEIF('Данные 1st'!$S$2:$S$317,$A72,'Данные 1st'!$GZ$2:$GZ$317),"")</f>
        <v/>
      </c>
      <c r="CZ72" s="7">
        <f>IFERROR(AVERAGEIF('Данные 1st'!$S$2:$S$317,$A72,'Данные 1st'!$HA$2:$HA$317),"")</f>
        <v/>
      </c>
      <c r="DA72" s="7">
        <f>IFERROR(AVERAGEIF('Данные 1st'!$S$2:$S$317,$A72,'Данные 1st'!$HB$2:$HB$317),"")</f>
        <v/>
      </c>
      <c r="DB72" s="7">
        <f>IFERROR(AVERAGEIF('Данные 1st'!$S$2:$S$317,$A72,'Данные 1st'!$HC$2:$HC$317),"")</f>
        <v>0.1</v>
      </c>
      <c r="DC72" s="7">
        <f>IFERROR(AVERAGEIF('Данные 1st'!$S$2:$S$317,$A72,'Данные 1st'!$HD$2:$HD$317),"")</f>
        <v>3</v>
      </c>
      <c r="DD72" s="7">
        <f>IFERROR(AVERAGEIF('Данные 1st'!$S$2:$S$317,$A72,'Данные 1st'!$HE$2:$HE$317),"")</f>
        <v>3</v>
      </c>
      <c r="DE72" s="7">
        <f>IFERROR(AVERAGEIF('Данные 1st'!$S$2:$S$317,$A72,'Данные 1st'!$HF$2:$HF$317),"")</f>
        <v>3</v>
      </c>
      <c r="DF72" s="7">
        <f>IFERROR(AVERAGEIF('Данные 1st'!$S$2:$S$317,$A72,'Данные 1st'!$HG$2:$HG$317),"")</f>
        <v>3</v>
      </c>
      <c r="DG72" s="7">
        <f>IFERROR(AVERAGEIF('Данные 1st'!$S$2:$S$317,$A72,'Данные 1st'!$HH$2:$HH$317),"")</f>
        <v>3</v>
      </c>
      <c r="DH72" s="7">
        <f>IFERROR(AVERAGEIF('Данные 1st'!$S$2:$S$317,$A72,'Данные 1st'!$HI$2:$HI$317),"")</f>
        <v>156</v>
      </c>
      <c r="DI72" s="7">
        <f>IFERROR(AVERAGEIF('Данные 1st'!$S$2:$S$317,$A72,'Данные 1st'!$HJ$2:$HJ$317),"")</f>
        <v>3</v>
      </c>
      <c r="DJ72" s="7">
        <f>IFERROR(AVERAGEIF('Данные 1st'!$S$2:$S$317,$A72,'Данные 1st'!$HK$2:$HK$317),"")</f>
        <v>30</v>
      </c>
      <c r="DK72" s="7">
        <f>IFERROR(AVERAGEIF('Данные 1st'!$S$2:$S$317,$A72,'Данные 1st'!$HL$2:$HL$317),"")</f>
        <v>2</v>
      </c>
      <c r="DL72" s="7">
        <f>IFERROR(AVERAGEIF('Данные 1st'!$S$2:$S$317,$A72,'Данные 1st'!$HM$2:$HM$317),"")</f>
        <v>0</v>
      </c>
      <c r="DM72" s="7">
        <f>IFERROR(AVERAGEIF('Данные 1st'!$S$2:$S$317,$A72,'Данные 1st'!$HN$2:$HN$317),"")</f>
        <v>2</v>
      </c>
      <c r="DN72" s="7">
        <f>IFERROR(AVERAGEIF('Данные 1st'!$S$2:$S$317,$A72,'Данные 1st'!$HO$2:$HO$317),"")</f>
        <v>111</v>
      </c>
      <c r="DO72" s="7">
        <f>IFERROR(AVERAGEIF('Данные 1st'!$S$2:$S$317,$A72,'Данные 1st'!$HP$2:$HP$317),"")</f>
        <v>3</v>
      </c>
      <c r="DP72" s="7">
        <f>IFERROR(AVERAGEIF('Данные 1st'!$S$2:$S$317,$A72,'Данные 1st'!$HQ$2:$HQ$317),"")</f>
        <v>0</v>
      </c>
      <c r="DQ72" s="7">
        <f>IFERROR(AVERAGEIF('Данные 1st'!$S$2:$S$317,$A72,'Данные 1st'!$HR$2:$HR$317),"")</f>
        <v>2</v>
      </c>
      <c r="DR72" s="7">
        <f>IFERROR(AVERAGEIF('Данные 1st'!$S$2:$S$317,$A72,'Данные 1st'!$HS$2:$HS$317),"")</f>
        <v>6259.2</v>
      </c>
      <c r="DS72" s="7">
        <f>IFERROR(AVERAGEIF('Данные 1st'!$S$2:$S$317,$A72,'Данные 1st'!$HT$2:$HT$317),"")</f>
        <v>188</v>
      </c>
      <c r="DT72" s="7">
        <f>IFERROR(AVERAGEIF('Данные 1st'!$S$2:$S$317,$A72,'Данные 1st'!$HU$2:$HU$317),"")</f>
        <v>180</v>
      </c>
      <c r="DU72" s="7">
        <f>IFERROR(AVERAGEIF('Данные 1st'!$S$2:$S$317,$A72,'Данные 1st'!$HW$2:$HW$317),"")</f>
        <v>0</v>
      </c>
      <c r="DV72" s="7">
        <f>IFERROR(AVERAGEIF('Данные 1st'!$S$2:$S$317,$A72,'Данные 1st'!$HX$2:$HX$317),"")</f>
        <v>487</v>
      </c>
      <c r="DW72" s="7">
        <f>IFERROR(AVERAGEIF('Данные 1st'!$S$2:$S$317,$A72,'Данные 1st'!$HY$2:$HY$317),"")</f>
        <v>0.18</v>
      </c>
      <c r="DX72" s="7">
        <f>IFERROR(AVERAGEIF('Данные 1st'!$S$2:$S$317,$A72,'Данные 1st'!$IA$2:$IA$317),"")</f>
        <v>0.15</v>
      </c>
      <c r="DY72" s="7">
        <f>IFERROR(AVERAGEIF('Данные 1st'!$S$2:$S$317,$A72,'Данные 1st'!$IB$2:$IB$317),"")</f>
        <v>0</v>
      </c>
      <c r="DZ72" s="7">
        <f>IFERROR(AVERAGEIF('Данные 1st'!$S$2:$S$317,$A72,'Данные 1st'!$IC$2:$IC$317),"")</f>
        <v>180</v>
      </c>
      <c r="EA72" s="7">
        <f>IFERROR(AVERAGEIF('Данные 1st'!$S$2:$S$317,$A72,'Данные 1st'!$ID$2:$ID$317),"")</f>
        <v>110</v>
      </c>
      <c r="EB72" s="7">
        <f>IFERROR(AVERAGEIF('Данные 1st'!$S$2:$S$317,$A72,'Данные 1st'!$IE$2:$IE$317),"")</f>
        <v>225</v>
      </c>
      <c r="EC72" s="7">
        <f>IFERROR(AVERAGEIF('Данные 1st'!$S$2:$S$317,$A72,'Данные 1st'!$IF$2:$IF$317),"")</f>
        <v>0</v>
      </c>
      <c r="ED72" s="7">
        <f>IFERROR(AVERAGEIF('Данные 1st'!$S$2:$S$317,$A72,'Данные 1st'!$IP$2:$IP$317),"")</f>
        <v>19</v>
      </c>
      <c r="EE72" s="7">
        <f>IFERROR(AVERAGEIF('Данные 1st'!$S$2:$S$317,$A72,'Данные 1st'!$IV$2:$IV$317),"")</f>
        <v>1458</v>
      </c>
      <c r="EF72" s="7">
        <f>IFERROR(AVERAGEIF('Данные 1st'!$S$2:$S$317,$A72,'Данные 1st'!$IW$2:$IW$317),"")</f>
        <v>476.8</v>
      </c>
      <c r="EG72" s="7">
        <f>IFERROR(AVERAGEIF('Данные 1st'!$S$2:$S$317,$A72,'Данные 1st'!$IX$2:$IX$317),"")</f>
        <v/>
      </c>
      <c r="EH72" s="7">
        <f>IFERROR(AVERAGEIF('Данные 1st'!$S$2:$S$317,$A72,'Данные 1st'!$IY$2:$IY$317),"")</f>
        <v/>
      </c>
      <c r="EI72" s="7">
        <f>IFERROR(AVERAGEIF('Данные 1st'!$S$2:$S$317,$A72,'Данные 1st'!$JD$2:$JD$317),"")</f>
        <v>1475</v>
      </c>
      <c r="EJ72" s="7">
        <f>IFERROR(AVERAGEIF('Данные 1st'!$S$2:$S$317,$A72,'Данные 1st'!$JE$2:$JE$317),"")</f>
        <v>1467</v>
      </c>
      <c r="EK72" s="7">
        <f>IFERROR(AVERAGEIF('Данные 1st'!$S$2:$S$317,$A72,'Данные 1st'!$JF$2:$JF$317),"")</f>
        <v>1472.6</v>
      </c>
      <c r="EL72" s="7">
        <f>IFERROR(AVERAGEIF('Данные 1st'!$S$2:$S$317,$A72,'Данные 1st'!$JG$2:$JG$317),"")</f>
        <v>1453.8</v>
      </c>
      <c r="EM72" s="7">
        <f>IFERROR(AVERAGEIF('Данные 1st'!$S$2:$S$317,$A72,'Данные 1st'!$JH$2:$JH$317),"")</f>
        <v>0</v>
      </c>
      <c r="EN72" s="7">
        <f>IFERROR(AVERAGEIF('Данные 1st'!$S$2:$S$317,$A72,'Данные 1st'!$JJ$2:$JJ$317),"")</f>
        <v>180</v>
      </c>
      <c r="EO72" s="7">
        <f>IFERROR(AVERAGEIF('Данные 1st'!$S$2:$S$317,$A72,'Данные 1st'!$JK$2:$JK$317),"")</f>
        <v>487</v>
      </c>
      <c r="EP72" s="7">
        <f>IFERROR(AVERAGEIF('Данные 1st'!$S$2:$S$317,$A72,'Данные 1st'!$JL$2:$JL$317),"")</f>
        <v/>
      </c>
      <c r="EQ72" s="7">
        <f>IFERROR(AVERAGEIF('Данные 1st'!$S$2:$S$317,$A72,'Данные 1st'!$JM$2:$JM$317),"")</f>
        <v/>
      </c>
      <c r="ER72" s="7">
        <f>IFERROR(AVERAGEIF('Данные 1st'!$S$2:$S$317,$A72,'Данные 1st'!$JN$2:$JN$317),"")</f>
        <v>443</v>
      </c>
      <c r="ES72" s="7">
        <f>IFERROR(AVERAGEIF('Данные 1st'!$S$2:$S$317,$A72,'Данные 1st'!$JO$2:$JO$317),"")</f>
        <v>636</v>
      </c>
      <c r="ET72" s="7">
        <f>IFERROR(AVERAGEIF('Данные 1st'!$S$2:$S$317,$A72,'Данные 1st'!$JP$2:$JP$317),"")</f>
        <v>539</v>
      </c>
      <c r="EU72" s="7">
        <f>IFERROR(AVERAGEIF('Данные 1st'!$S$2:$S$317,$A72,'Данные 1st'!$JQ$2:$JQ$317),"")</f>
        <v>0</v>
      </c>
      <c r="EV72" s="7">
        <f>IFERROR(AVERAGEIF('Данные 1st'!$S$2:$S$317,$A72,'Данные 1st'!$JR$2:$JR$317),"")</f>
        <v>479.2</v>
      </c>
      <c r="EW72" s="7">
        <f>IFERROR(AVERAGEIF('Данные 1st'!$S$2:$S$317,$A72,'Данные 1st'!$JS$2:$JS$317),"")</f>
        <v>156</v>
      </c>
      <c r="EX72" s="7">
        <f>IFERROR(AVERAGEIF('Данные 1st'!$S$2:$S$317,$A72,'Данные 1st'!$JT$2:$JT$317),"")</f>
        <v/>
      </c>
      <c r="EY72" s="7">
        <f>IFERROR(AVERAGEIF('Данные 1st'!$S$2:$S$317,$A72,'Данные 1st'!$JU$2:$JU$317),"")</f>
        <v/>
      </c>
      <c r="EZ72" s="7">
        <f>IFERROR(AVERAGEIF('Данные 1st'!$S$2:$S$317,$A72,'Данные 1st'!$JV$2:$JV$317),"")</f>
        <v>8</v>
      </c>
      <c r="FA72" s="7">
        <f>IFERROR(AVERAGEIF('Данные 1st'!$S$2:$S$317,$A72,'Данные 1st'!$JW$2:$JW$317),"")</f>
        <v/>
      </c>
      <c r="FB72" s="7">
        <f>IFERROR(AVERAGEIF('Данные 1st'!$S$2:$S$317,$A72,'Данные 1st'!$JX$2:$JX$317),"")</f>
        <v>518.8</v>
      </c>
      <c r="FC72" s="7">
        <f>IFERROR(AVERAGEIF('Данные 1st'!$S$2:$S$317,$A72,'Данные 1st'!$JY$2:$JY$317),"")</f>
        <v/>
      </c>
      <c r="FD72" s="7">
        <f>IFERROR(AVERAGEIF('Данные 1st'!$S$2:$S$317,$A72,'Данные 1st'!$JZ$2:$JZ$317),"")</f>
        <v/>
      </c>
      <c r="FE72" s="7">
        <f>IFERROR(AVERAGEIF('Данные 1st'!$S$2:$S$317,$A72,'Данные 1st'!$KA$2:$KA$317),"")</f>
        <v>225</v>
      </c>
      <c r="FF72" s="7">
        <f>IFERROR(AVERAGEIF('Данные 1st'!$S$2:$S$317,$A72,'Данные 1st'!$KB$2:$KB$317),"")</f>
        <v>110</v>
      </c>
      <c r="FG72" s="7">
        <f>IFERROR(AVERAGEIF('Данные 1st'!$S$2:$S$317,$A72,'Данные 1st'!$KC$2:$KC$317),"")</f>
        <v>0</v>
      </c>
      <c r="FH72" s="7">
        <f>IFERROR(AVERAGEIF('Данные 1st'!$S$2:$S$317,$A72,'Данные 1st'!$KD$2:$KD$317),"")</f>
        <v>80</v>
      </c>
      <c r="FI72" s="7">
        <f>IFERROR(AVERAGEIF('Данные 1st'!$S$2:$S$317,$A72,'Данные 1st'!$KE$2:$KE$317),"")</f>
        <v/>
      </c>
      <c r="FJ72" s="7">
        <f>IFERROR(AVERAGEIF('Данные 1st'!$S$2:$S$317,$A72,'Данные 1st'!$KF$2:$KF$317),"")</f>
        <v>4</v>
      </c>
      <c r="FK72" s="7">
        <f>IFERROR(AVERAGEIF('Данные 1st'!$S$2:$S$317,$A72,'Данные 1st'!$KG$2:$KG$317),"")</f>
        <v>2</v>
      </c>
      <c r="FL72" s="7">
        <f>IFERROR(AVERAGEIF('Данные 1st'!$S$2:$S$317,$A72,'Данные 1st'!$KH$2:$KH$317),"")</f>
        <v>2</v>
      </c>
      <c r="FM72" s="7">
        <f>IFERROR(AVERAGEIF('Данные 1st'!$S$2:$S$317,$A72,'Данные 1st'!$KI$2:$KI$317),"")</f>
        <v>2</v>
      </c>
      <c r="FN72" s="7">
        <f>IFERROR(AVERAGEIF('Данные 1st'!$S$2:$S$317,$A72,'Данные 1st'!$KJ$2:$KJ$317),"")</f>
        <v>0</v>
      </c>
      <c r="FO72" s="7">
        <f>IFERROR(AVERAGEIF('Данные 1st'!$S$2:$S$317,$A72,'Данные 1st'!$KK$2:$KK$317),"")</f>
        <v>1.5</v>
      </c>
      <c r="FP72" s="7">
        <f>IFERROR(AVERAGEIF('Данные 1st'!$S$2:$S$317,$A72,'Данные 1st'!$KL$2:$KL$317),"")</f>
        <v>1.5</v>
      </c>
      <c r="FQ72" s="7">
        <f>IFERROR(AVERAGEIF('Данные 1st'!$S$2:$S$317,$A72,'Данные 1st'!$KM$2:$KM$317),"")</f>
        <v>0</v>
      </c>
      <c r="FR72" s="7">
        <f>IFERROR(AVERAGEIF('Данные 1st'!$S$2:$S$317,$A72,'Данные 1st'!$KN$2:$KN$317),"")</f>
        <v>0</v>
      </c>
      <c r="FS72" s="7">
        <f>IFERROR(AVERAGEIF('Данные 1st'!$S$2:$S$317,$A72,'Данные 1st'!$KR$2:$KR$317),"")</f>
        <v>34</v>
      </c>
      <c r="FT72" s="7">
        <f>IFERROR(AVERAGEIF('Данные 1st'!$S$2:$S$317,$A72,'Данные 1st'!$KS$2:$KS$317),"")</f>
        <v>60</v>
      </c>
      <c r="FU72" s="7">
        <f>IFERROR(AVERAGEIF('Данные 1st'!$S$2:$S$317,$A72,'Данные 1st'!$KT$2:$KT$317),"")</f>
        <v>0</v>
      </c>
      <c r="FV72" s="7">
        <f>IFERROR(AVERAGEIF('Данные 1st'!$S$2:$S$317,$A72,'Данные 1st'!$KV$2:$KV$317),"")</f>
        <v/>
      </c>
      <c r="FW72" s="7">
        <f>IFERROR(AVERAGEIF('Данные 1st'!$S$2:$S$317,$A72,'Данные 1st'!$KW$2:$KW$317),"")</f>
        <v/>
      </c>
      <c r="FX72" s="7">
        <f>IFERROR(AVERAGEIF('Данные 1st'!$S$2:$S$317,$A72,'Данные 1st'!$KX$2:$KX$317),"")</f>
        <v/>
      </c>
      <c r="FY72" s="7">
        <f>IFERROR(AVERAGEIF('Данные 1st'!$S$2:$S$317,$A72,'Данные 1st'!$KY$2:$KY$317),"")</f>
        <v/>
      </c>
      <c r="FZ72" s="7">
        <f>IFERROR(AVERAGEIF('Данные 1st'!$S$2:$S$317,$A72,'Данные 1st'!$KZ$2:$KZ$317),"")</f>
        <v/>
      </c>
      <c r="GA72" s="7">
        <f>IFERROR(AVERAGEIF('Данные 1st'!$S$2:$S$317,$A72,'Данные 1st'!$LA$2:$LA$317),"")</f>
        <v/>
      </c>
      <c r="GB72" s="7">
        <f>IFERROR(AVERAGEIF('Данные 1st'!$S$2:$S$317,$A72,'Данные 1st'!$LB$2:$LB$317),"")</f>
        <v/>
      </c>
      <c r="GC72" s="7">
        <f>IFERROR(AVERAGEIF('Данные 1st'!$S$2:$S$317,$A72,'Данные 1st'!$LC$2:$LC$317),"")</f>
        <v/>
      </c>
      <c r="GD72" s="7">
        <f>IFERROR(AVERAGEIF('Данные 1st'!$S$2:$S$317,$A72,'Данные 1st'!$LD$2:$LD$317),"")</f>
        <v/>
      </c>
      <c r="GE72" s="7">
        <f>IFERROR(AVERAGEIF('Данные 1st'!$S$2:$S$317,$A72,'Данные 1st'!$LE$2:$LE$317),"")</f>
        <v/>
      </c>
      <c r="GF72" s="7">
        <f>IFERROR(AVERAGEIF('Данные 1st'!$S$2:$S$317,$A72,'Данные 1st'!$LF$2:$LF$317),"")</f>
        <v/>
      </c>
      <c r="GG72" s="7">
        <f>IFERROR(AVERAGEIF('Данные 1st'!$S$2:$S$317,$A72,'Данные 1st'!$LG$2:$LG$317),"")</f>
        <v/>
      </c>
      <c r="GH72" s="7">
        <f>IFERROR(AVERAGEIF('Данные 1st'!$S$2:$S$317,$A72,'Данные 1st'!$LH$2:$LH$317),"")</f>
        <v/>
      </c>
      <c r="GI72" s="7">
        <f>IFERROR(AVERAGEIF('Данные 1st'!$S$2:$S$317,$A72,'Данные 1st'!$LI$2:$LI$317),"")</f>
        <v/>
      </c>
      <c r="GJ72" s="7">
        <f>IFERROR(AVERAGEIF('Данные 1st'!$S$2:$S$317,$A72,'Данные 1st'!$LJ$2:$LJ$317),"")</f>
        <v/>
      </c>
      <c r="GK72" s="7">
        <f>IFERROR(AVERAGEIF('Данные 1st'!$S$2:$S$317,$A72,'Данные 1st'!$LK$2:$LK$317),"")</f>
        <v>480</v>
      </c>
      <c r="GL72" s="7">
        <f>IFERROR(AVERAGEIF('Данные 1st'!$S$2:$S$317,$A72,'Данные 1st'!$LV$2:$LV$317),"")</f>
        <v/>
      </c>
      <c r="GM72" s="7">
        <f>IFERROR(AVERAGEIF('Данные 1st'!$S$2:$S$317,$A72,'Данные 1st'!$LW$2:$LW$317),"")</f>
        <v/>
      </c>
      <c r="GN72" s="7">
        <f>IFERROR(AVERAGEIF('Данные 1st'!$S$2:$S$317,$A72,'Данные 1st'!$LX$2:$LX$317),"")</f>
        <v/>
      </c>
      <c r="GO72" s="7">
        <f>IFERROR(AVERAGEIF('Данные 1st'!$S$2:$S$317,$A72,'Данные 1st'!$LY$2:$LY$317),"")</f>
        <v/>
      </c>
      <c r="GP72" s="7">
        <f>IFERROR(AVERAGEIF('Данные 1st'!$S$2:$S$317,$A72,'Данные 1st'!$LZ$2:$LZ$317),"")</f>
        <v/>
      </c>
      <c r="GQ72" s="7">
        <f>IFERROR(AVERAGEIF('Данные 1st'!$S$2:$S$317,$A72,'Данные 1st'!$PG$2:$PG$317),"")</f>
        <v>1</v>
      </c>
      <c r="GR72" s="7">
        <f>IFERROR(AVERAGEIF('Данные 1st'!$S$2:$S$317,$A72,'Данные 1st'!$PX$2:$PX$317),"")</f>
        <v>56</v>
      </c>
      <c r="GS72" s="7">
        <f>IFERROR(AVERAGEIF('Данные 1st'!$S$2:$S$317,$A72,'Данные 1st'!$PY$2:$PY$317),"")</f>
        <v>56.4</v>
      </c>
      <c r="GT72" s="7">
        <f>IFERROR(AVERAGEIF('Данные 1st'!$S$2:$S$317,$A72,'Данные 1st'!$QA$2:$QA$317),"")</f>
        <v>1.8</v>
      </c>
      <c r="GU72" s="7">
        <f>IFERROR(AVERAGEIF('Данные 1st'!$S$2:$S$317,$A72,'Данные 1st'!$QB$2:$QB$317),"")</f>
        <v>1453.8</v>
      </c>
      <c r="GV72" s="7">
        <f>IFERROR(AVERAGEIF('Данные 1st'!$S$2:$S$317,$A72,'Данные 1st'!$QC$2:$QC$317),"")</f>
        <v>69</v>
      </c>
      <c r="GW72" s="7">
        <f>IFERROR(AVERAGEIF('Данные 1st'!$S$2:$S$317,$A72,'Данные 1st'!$QD$2:$QD$317),"")</f>
        <v>69</v>
      </c>
      <c r="GX72" s="7">
        <f>IFERROR(AVERAGEIF('Данные 1st'!$S$2:$S$317,$A72,'Данные 1st'!$QF$2:$QF$317),"")</f>
        <v>1</v>
      </c>
      <c r="GY72" s="7">
        <f>IFERROR(AVERAGEIF('Данные 1st'!$S$2:$S$317,$A72,'Данные 1st'!$QG$2:$QG$317),"")</f>
        <v>1475</v>
      </c>
      <c r="GZ72" s="7">
        <f>IFERROR(AVERAGEIF('Данные 1st'!$S$2:$S$317,$A72,'Данные 1st'!$QH$2:$QH$317),"")</f>
        <v>66</v>
      </c>
      <c r="HA72" s="7">
        <f>IFERROR(AVERAGEIF('Данные 1st'!$S$2:$S$317,$A72,'Данные 1st'!$QI$2:$QI$317),"")</f>
        <v>66</v>
      </c>
      <c r="HB72" s="7">
        <f>IFERROR(AVERAGEIF('Данные 1st'!$S$2:$S$317,$A72,'Данные 1st'!$QK$2:$QK$317),"")</f>
        <v>1</v>
      </c>
      <c r="HC72" s="7">
        <f>IFERROR(AVERAGEIF('Данные 1st'!$S$2:$S$317,$A72,'Данные 1st'!$QL$2:$QL$317),"")</f>
        <v>1475</v>
      </c>
      <c r="HD72" s="7">
        <f>IFERROR(AVERAGEIF('Данные 1st'!$S$2:$S$317,$A72,'Данные 1st'!$QM$2:$QM$317),"")</f>
        <v>62</v>
      </c>
      <c r="HE72" s="7">
        <f>IFERROR(AVERAGEIF('Данные 1st'!$S$2:$S$317,$A72,'Данные 1st'!$QN$2:$QN$317),"")</f>
        <v>62</v>
      </c>
      <c r="HF72" s="7">
        <f>IFERROR(AVERAGEIF('Данные 1st'!$S$2:$S$317,$A72,'Данные 1st'!$QP$2:$QP$317),"")</f>
        <v>1</v>
      </c>
      <c r="HG72" s="7">
        <f>IFERROR(AVERAGEIF('Данные 1st'!$S$2:$S$317,$A72,'Данные 1st'!$QQ$2:$QQ$317),"")</f>
        <v>1467</v>
      </c>
      <c r="HH72" s="7">
        <f>IFERROR(AVERAGEIF('Данные 1st'!$S$2:$S$317,$A72,'Данные 1st'!$QR$2:$QR$317),"")</f>
        <v>62</v>
      </c>
      <c r="HI72" s="7">
        <f>IFERROR(AVERAGEIF('Данные 1st'!$S$2:$S$317,$A72,'Данные 1st'!$QS$2:$QS$317),"")</f>
        <v>62</v>
      </c>
      <c r="HJ72" s="7">
        <f>IFERROR(AVERAGEIF('Данные 1st'!$S$2:$S$317,$A72,'Данные 1st'!$QU$2:$QU$317),"")</f>
        <v>1</v>
      </c>
      <c r="HK72" s="7">
        <f>IFERROR(AVERAGEIF('Данные 1st'!$S$2:$S$317,$A72,'Данные 1st'!$QV$2:$QV$317),"")</f>
        <v>1472.6</v>
      </c>
      <c r="HL72" s="7">
        <f>IFERROR(AVERAGEIF('Данные 1st'!$S$2:$S$317,$A72,'Данные 1st'!$QW$2:$QW$317),"")</f>
        <v>82</v>
      </c>
      <c r="HM72" s="7">
        <f>IFERROR(AVERAGEIF('Данные 1st'!$S$2:$S$317,$A72,'Данные 1st'!$QX$2:$QX$317),"")</f>
        <v>88.6</v>
      </c>
      <c r="HN72" s="7">
        <f>IFERROR(AVERAGEIF('Данные 1st'!$S$2:$S$317,$A72,'Данные 1st'!$QZ$2:$QZ$317),"")</f>
        <v>1</v>
      </c>
      <c r="HO72" s="7">
        <f>IFERROR(AVERAGEIF('Данные 1st'!$S$2:$S$317,$A72,'Данные 1st'!$RA$2:$RA$317),"")</f>
        <v>66</v>
      </c>
      <c r="HP72" s="7">
        <f>IFERROR(AVERAGEIF('Данные 1st'!$S$2:$S$317,$A72,'Данные 1st'!$RB$2:$RB$317),"")</f>
        <v>66</v>
      </c>
      <c r="HQ72" s="7">
        <f>IFERROR(AVERAGEIF('Данные 1st'!$S$2:$S$317,$A72,'Данные 1st'!$RD$2:$RD$317),"")</f>
        <v/>
      </c>
      <c r="HR72" s="7">
        <f>IFERROR(AVERAGEIF('Данные 1st'!$S$2:$S$317,$A72,'Данные 1st'!$RE$2:$RE$317),"")</f>
        <v>0</v>
      </c>
      <c r="HS72" s="7">
        <f>IFERROR(AVERAGEIF('Данные 1st'!$S$2:$S$317,$A72,'Данные 1st'!$RF$2:$RF$317),"")</f>
        <v>1</v>
      </c>
      <c r="HT72" s="7">
        <f>IFERROR(AVERAGEIF('Данные 1st'!$S$2:$S$317,$A72,'Данные 1st'!$RG$2:$RG$317),"")</f>
        <v/>
      </c>
      <c r="HU72" s="7">
        <f>IFERROR(AVERAGEIF('Данные 1st'!$S$2:$S$317,$A72,'Данные 1st'!$RH$2:$RH$317),"")</f>
        <v>1</v>
      </c>
      <c r="HV72" s="7">
        <f>IFERROR(AVERAGEIF('Данные 1st'!$S$2:$S$317,$A72,'Данные 1st'!$RI$2:$RI$317),"")</f>
        <v/>
      </c>
      <c r="HW72" s="7">
        <f>IFERROR(AVERAGEIF('Данные 1st'!$S$2:$S$317,$A72,'Данные 1st'!$RJ$2:$RJ$317),"")</f>
        <v>1</v>
      </c>
      <c r="HX72" s="7">
        <f>IFERROR(AVERAGEIF('Данные 1st'!$S$2:$S$317,$A72,'Данные 1st'!$RK$2:$RK$317),"")</f>
        <v>2.4</v>
      </c>
      <c r="HY72" s="7">
        <f>IFERROR(AVERAGEIF('Данные 1st'!$S$2:$S$317,$A72,'Данные 1st'!$RL$2:$RL$317),"")</f>
        <v>3.8</v>
      </c>
      <c r="HZ72" s="7">
        <f>IFERROR(AVERAGEIF('Данные 1st'!$S$2:$S$317,$A72,'Данные 1st'!$RM$2:$RM$317),"")</f>
        <v>3.8</v>
      </c>
      <c r="IA72" s="7">
        <f>IFERROR(AVERAGEIF('Данные 1st'!$S$2:$S$317,$A72,'Данные 1st'!$RN$2:$RN$317),"")</f>
        <v/>
      </c>
      <c r="IB72" s="7">
        <f>IFERROR(AVERAGEIF('Данные 1st'!$S$2:$S$317,$A72,'Данные 1st'!$RO$2:$RO$317),"")</f>
        <v>627.6</v>
      </c>
      <c r="IC72" s="7">
        <f>IFERROR(AVERAGEIF('Данные 1st'!$S$2:$S$317,$A72,'Данные 1st'!$RP$2:$RP$317),"")</f>
        <v>127.2</v>
      </c>
      <c r="ID72" s="7">
        <f>IFERROR(AVERAGEIF('Данные 1st'!$S$2:$S$317,$A72,'Данные 1st'!$RQ$2:$RQ$317),"")</f>
        <v>766.2</v>
      </c>
      <c r="IE72" s="7">
        <f>IFERROR(AVERAGEIF('Данные 1st'!$S$2:$S$317,$A72,'Данные 1st'!$RR$2:$RR$317),"")</f>
        <v>591</v>
      </c>
      <c r="IF72" s="7">
        <f>IFERROR(AVERAGEIF('Данные 1st'!$S$2:$S$317,$A72,'Данные 1st'!$RS$2:$RS$317),"")</f>
        <v/>
      </c>
      <c r="IG72" s="7">
        <f>IFERROR(AVERAGEIF('Данные 1st'!$S$2:$S$317,$A72,'Данные 1st'!$RT$2:$RT$317),"")</f>
        <v>327.6</v>
      </c>
      <c r="IH72" s="7">
        <f>IFERROR(AVERAGEIF('Данные 1st'!$S$2:$S$317,$A72,'Данные 1st'!$RU$2:$RU$317),"")</f>
        <v>248.6</v>
      </c>
      <c r="II72" s="7">
        <f>IFERROR(AVERAGEIF('Данные 1st'!$S$2:$S$317,$A72,'Данные 1st'!$RX$2:$RX$317),"")</f>
        <v>15</v>
      </c>
      <c r="IJ72" s="7">
        <f>IFERROR(AVERAGEIF('Данные 1st'!$S$2:$S$317,$A72,'Данные 1st'!$RY$2:$RY$317),"")</f>
        <v>4</v>
      </c>
      <c r="IK72" s="7">
        <f>IFERROR(AVERAGEIF('Данные 1st'!$S$2:$S$317,$A72,'Данные 1st'!$SA$2:$SA$317),"")</f>
        <v>15</v>
      </c>
      <c r="IL72" s="7">
        <f>IFERROR(AVERAGEIF('Данные 1st'!$S$2:$S$317,$A72,'Данные 1st'!$SD$2:$SD$317),"")</f>
        <v>1</v>
      </c>
      <c r="IM72" s="7">
        <f>IFERROR(AVERAGEIF('Данные 1st'!$S$2:$S$317,$A72,'Данные 1st'!$SG$2:$SG$317),"")</f>
        <v>1</v>
      </c>
      <c r="IN72" s="7">
        <f>IFERROR(AVERAGEIF('Данные 1st'!$S$2:$S$317,$A72,'Данные 1st'!$SH$2:$SH$317),"")</f>
        <v>0.995</v>
      </c>
      <c r="IO72" s="7">
        <f>IFERROR(AVERAGEIF('Данные 1st'!$S$2:$S$317,$A72,'Данные 1st'!$SI$2:$SI$317),"")</f>
        <v>0.995</v>
      </c>
      <c r="IP72" s="7">
        <f>IFERROR(AVERAGEIF('Данные 1st'!$S$2:$S$317,$A72,'Данные 1st'!$SJ$2:$SJ$317),"")</f>
        <v>0.995</v>
      </c>
      <c r="IQ72" s="7">
        <f>IFERROR(AVERAGEIF('Данные 1st'!$S$2:$S$317,$A72,'Данные 1st'!$SK$2:$SK$317),"")</f>
        <v>15</v>
      </c>
      <c r="IR72" s="7">
        <f>IFERROR(AVERAGEIF('Данные 1st'!$S$2:$S$317,$A72,'Данные 1st'!$SL$2:$SL$317),"")</f>
        <v>0</v>
      </c>
      <c r="IS72" s="7">
        <f>IFERROR(AVERAGEIF('Данные 1st'!$S$2:$S$317,$A72,'Данные 1st'!$SM$2:$SM$317),"")</f>
        <v>0</v>
      </c>
      <c r="IT72" s="7">
        <f>IFERROR(AVERAGEIF('Данные 1st'!$S$2:$S$317,$A72,'Данные 1st'!$SN$2:$SN$317),"")</f>
        <v>0</v>
      </c>
      <c r="IU72" s="7">
        <f>IFERROR(AVERAGEIF('Данные 1st'!$S$2:$S$317,$A72,'Данные 1st'!$SO$2:$SO$317),"")</f>
        <v>0</v>
      </c>
      <c r="IV72" s="7">
        <f>IFERROR(AVERAGEIF('Данные 1st'!$S$2:$S$317,$A72,'Данные 1st'!$SP$2:$SP$317),"")</f>
        <v>0</v>
      </c>
      <c r="IW72" s="7">
        <f>IFERROR(AVERAGEIF('Данные 1st'!$S$2:$S$317,$A72,'Данные 1st'!$SQ$2:$SQ$317),"")</f>
        <v>0</v>
      </c>
      <c r="IX72" s="7">
        <f>IFERROR(AVERAGEIF('Данные 1st'!$S$2:$S$317,$A72,'Данные 1st'!$SR$2:$SR$317),"")</f>
        <v>0</v>
      </c>
      <c r="IY72" s="7">
        <f>IFERROR(AVERAGEIF('Данные 1st'!$S$2:$S$317,$A72,'Данные 1st'!$SS$2:$SS$317),"")</f>
        <v>0</v>
      </c>
      <c r="IZ72" s="7">
        <f>IFERROR(AVERAGEIF('Данные 1st'!$S$2:$S$317,$A72,'Данные 1st'!$ST$2:$ST$317),"")</f>
        <v>0</v>
      </c>
      <c r="JA72" s="7">
        <f>IFERROR(AVERAGEIF('Данные 1st'!$S$2:$S$317,$A72,'Данные 1st'!$SU$2:$SU$317),"")</f>
        <v>0</v>
      </c>
      <c r="JB72" s="7">
        <f>IFERROR(AVERAGEIF('Данные 1st'!$S$2:$S$317,$A72,'Данные 1st'!$SV$2:$SV$317),"")</f>
        <v>0</v>
      </c>
      <c r="JC72" s="7">
        <f>IFERROR(AVERAGEIF('Данные 1st'!$S$2:$S$317,$A72,'Данные 1st'!$SW$2:$SW$317),"")</f>
        <v>0</v>
      </c>
      <c r="JD72" s="7">
        <f>IFERROR(AVERAGEIF('Данные 1st'!$S$2:$S$317,$A72,'Данные 1st'!$SX$2:$SX$317),"")</f>
        <v>0</v>
      </c>
      <c r="JE72" s="7">
        <f>IFERROR(AVERAGEIF('Данные 1st'!$S$2:$S$317,$A72,'Данные 1st'!$SY$2:$SY$317),"")</f>
        <v>1</v>
      </c>
      <c r="JF72" s="7">
        <f>IFERROR(AVERAGEIF('Данные 1st'!$S$2:$S$317,$A72,'Данные 1st'!$SZ$2:$SZ$317),"")</f>
        <v>1</v>
      </c>
      <c r="JG72" s="7">
        <f>IFERROR(AVERAGEIF('Данные 1st'!$S$2:$S$317,$A72,'Данные 1st'!$TA$2:$TA$317),"")</f>
        <v/>
      </c>
      <c r="JH72" s="7">
        <f>IFERROR(AVERAGEIF('Данные 1st'!$S$2:$S$317,$A72,'Данные 1st'!$TB$2:$TB$317),"")</f>
        <v>0</v>
      </c>
      <c r="JI72" s="7">
        <f>IFERROR(AVERAGEIF('Данные 1st'!$S$2:$S$317,$A72,'Данные 1st'!$TC$2:$TC$317),"")</f>
        <v>0</v>
      </c>
      <c r="JJ72" s="7">
        <f>IFERROR(AVERAGEIF('Данные 1st'!$S$2:$S$317,$A72,'Данные 1st'!$TD$2:$TD$317),"")</f>
        <v>7.5</v>
      </c>
      <c r="JK72" s="7">
        <f>IFERROR(AVERAGEIF('Данные 1st'!$S$2:$S$317,$A72,'Данные 1st'!$TN$2:$TN$317),"")</f>
        <v>0</v>
      </c>
      <c r="JL72">
        <f>COUNTIF('Данные 2st'!$Q$2:$Q$317,$A72)</f>
        <v>5</v>
      </c>
      <c r="JM72" s="6" t="s">
        <v>5118</v>
      </c>
      <c r="JN72" s="6" t="s">
        <v>513</v>
      </c>
      <c r="JO72" s="6" t="s">
        <v>5125</v>
      </c>
      <c r="JP72" s="6" t="s">
        <v>5518</v>
      </c>
      <c r="JQ72" s="7">
        <f>IFERROR(AVERAGEIF('Данные 2st'!$Q$2:$Q$317,$A72,'Данные 2st'!$AC$2:$AC$317),"")</f>
        <v>9</v>
      </c>
      <c r="JR72" s="7">
        <f>IFERROR(AVERAGEIF('Данные 2st'!$Q$2:$Q$317,$A72,'Данные 2st'!$AF$2:$AF$317),"")</f>
        <v>6259.2</v>
      </c>
      <c r="JS72" s="7">
        <f>IFERROR(AVERAGEIF('Данные 2st'!$Q$2:$Q$317,$A72,'Данные 2st'!$AW$2:$AW$317),"")</f>
        <v>6.4</v>
      </c>
      <c r="JT72" s="7">
        <f>IFERROR(AVERAGEIF('Данные 2st'!$Q$2:$Q$317,$A72,'Данные 2st'!$AX$2:$AX$317),"")</f>
        <v>-6</v>
      </c>
      <c r="JU72" s="7">
        <f>IFERROR(AVERAGEIF('Данные 2st'!$Q$2:$Q$317,$A72,'Данные 2st'!$AY$2:$AY$317),"")</f>
        <v>112.6</v>
      </c>
      <c r="JV72" s="7">
        <f>IFERROR(AVERAGEIF('Данные 2st'!$Q$2:$Q$317,$A72,'Данные 2st'!$AZ$2:$AZ$317),"")</f>
        <v>85.3</v>
      </c>
      <c r="JW72" s="7">
        <f>IFERROR(AVERAGEIF('Данные 2st'!$Q$2:$Q$317,$A72,'Данные 2st'!$BA$2:$BA$317),"")</f>
        <v/>
      </c>
      <c r="JX72" s="7">
        <f>IFERROR(AVERAGEIF('Данные 2st'!$Q$2:$Q$317,$A72,'Данные 2st'!$BB$2:$BB$317),"")</f>
        <v/>
      </c>
      <c r="JY72" s="7">
        <f>IFERROR(AVERAGEIF('Данные 2st'!$Q$2:$Q$317,$A72,'Данные 2st'!$BC$2:$BC$317),"")</f>
        <v/>
      </c>
      <c r="JZ72" s="7">
        <f>IFERROR(AVERAGEIF('Данные 2st'!$Q$2:$Q$317,$A72,'Данные 2st'!$BH$2:$BH$317),"")</f>
        <v>112.6</v>
      </c>
      <c r="KA72" s="7">
        <f>IFERROR(AVERAGEIF('Данные 2st'!$Q$2:$Q$317,$A72,'Данные 2st'!$BI$2:$BI$317),"")</f>
        <v>27.3</v>
      </c>
      <c r="KB72" s="7">
        <f>IFERROR(AVERAGEIF('Данные 2st'!$Q$2:$Q$317,$A72,'Данные 2st'!$BJ$2:$BJ$317),"")</f>
        <v>85.3</v>
      </c>
      <c r="KC72" s="7">
        <f>IFERROR(AVERAGEIF('Данные 2st'!$Q$2:$Q$317,$A72,'Данные 2st'!$BK$2:$BK$317),"")</f>
        <v>2.6</v>
      </c>
      <c r="KD72" s="7">
        <f>IFERROR(AVERAGEIF('Данные 2st'!$Q$2:$Q$317,$A72,'Данные 2st'!$BL$2:$BL$317),"")</f>
        <v>225.2</v>
      </c>
      <c r="KE72" s="7">
        <f>IFERROR(AVERAGEIF('Данные 2st'!$Q$2:$Q$317,$A72,'Данные 2st'!$BM$2:$BM$317),"")</f>
        <v>-6</v>
      </c>
      <c r="KF72" s="7">
        <f>IFERROR(AVERAGEIF('Данные 2st'!$Q$2:$Q$317,$A72,'Данные 2st'!$BN$2:$BN$317),"")</f>
        <v>0</v>
      </c>
      <c r="KG72" s="7">
        <f>IFERROR(AVERAGEIF('Данные 2st'!$Q$2:$Q$317,$A72,'Данные 2st'!$BO$2:$BO$317),"")</f>
        <v>0</v>
      </c>
      <c r="KH72" s="7">
        <f>IFERROR(AVERAGEIF('Данные 2st'!$Q$2:$Q$317,$A72,'Данные 2st'!$BP$2:$BP$317),"")</f>
        <v>0</v>
      </c>
      <c r="KI72" s="7">
        <f>IFERROR(AVERAGEIF('Данные 2st'!$Q$2:$Q$317,$A72,'Данные 2st'!$BR$2:$BR$317),"")</f>
        <v>220</v>
      </c>
      <c r="KJ72" s="7">
        <f>IFERROR(AVERAGEIF('Данные 2st'!$Q$2:$Q$317,$A72,'Данные 2st'!$BS$2:$BS$317),"")</f>
        <v>210</v>
      </c>
      <c r="KK72" s="7">
        <f>IFERROR(AVERAGEIF('Данные 2st'!$Q$2:$Q$317,$A72,'Данные 2st'!$BT$2:$BT$317),"")</f>
        <v>2227</v>
      </c>
      <c r="KL72" s="7">
        <f>IFERROR(AVERAGEIF('Данные 2st'!$Q$2:$Q$317,$A72,'Данные 2st'!$CV$2:$CV$317),"")</f>
        <v>139.8</v>
      </c>
      <c r="KM72" s="7">
        <f>IFERROR(AVERAGEIF('Данные 2st'!$Q$2:$Q$317,$A72,'Данные 2st'!$CW$2:$CW$317),"")</f>
        <v>3</v>
      </c>
      <c r="KN72" s="7">
        <f>IFERROR(AVERAGEIF('Данные 2st'!$Q$2:$Q$317,$A72,'Данные 2st'!$CX$2:$CX$317),"")</f>
        <v>95.4</v>
      </c>
      <c r="KO72" s="7">
        <f>IFERROR(AVERAGEIF('Данные 2st'!$Q$2:$Q$317,$A72,'Данные 2st'!$CY$2:$CY$317),"")</f>
        <v>5</v>
      </c>
      <c r="KP72" s="7">
        <f>IFERROR(AVERAGEIF('Данные 2st'!$Q$2:$Q$317,$A72,'Данные 2st'!$CZ$2:$CZ$317),"")</f>
        <v>163.8</v>
      </c>
      <c r="KQ72" s="7">
        <f>IFERROR(AVERAGEIF('Данные 2st'!$Q$2:$Q$317,$A72,'Данные 2st'!$DA$2:$DA$317),"")</f>
        <v>5</v>
      </c>
      <c r="KR72" s="7">
        <f>IFERROR(AVERAGEIF('Данные 2st'!$Q$2:$Q$317,$A72,'Данные 2st'!$DB$2:$DB$317),"")</f>
        <v>14870</v>
      </c>
      <c r="KS72" s="7">
        <f>IFERROR(AVERAGEIF('Данные 2st'!$Q$2:$Q$317,$A72,'Данные 2st'!$DC$2:$DC$317),"")</f>
        <v>402</v>
      </c>
      <c r="KT72" s="7">
        <f>IFERROR(AVERAGEIF('Данные 2st'!$Q$2:$Q$317,$A72,'Данные 2st'!$DD$2:$DD$317),"")</f>
        <v>391</v>
      </c>
      <c r="KU72" s="7">
        <f>IFERROR(AVERAGEIF('Данные 2st'!$Q$2:$Q$317,$A72,'Данные 2st'!$DE$2:$DE$317),"")</f>
        <v>2352.8</v>
      </c>
      <c r="KV72" s="7">
        <f>IFERROR(AVERAGEIF('Данные 2st'!$Q$2:$Q$317,$A72,'Данные 2st'!$DF$2:$DF$317),"")</f>
        <v>2352.8</v>
      </c>
      <c r="KW72" s="7">
        <f>IFERROR(AVERAGEIF('Данные 2st'!$Q$2:$Q$317,$A72,'Данные 2st'!$DG$2:$DG$317),"")</f>
        <v>2368.2</v>
      </c>
      <c r="KX72" s="7">
        <f>IFERROR(AVERAGEIF('Данные 2st'!$Q$2:$Q$317,$A72,'Данные 2st'!$DH$2:$DH$317),"")</f>
        <v>1.4</v>
      </c>
      <c r="KY72" s="7">
        <f>IFERROR(AVERAGEIF('Данные 2st'!$Q$2:$Q$317,$A72,'Данные 2st'!$DI$2:$DI$317),"")</f>
        <v/>
      </c>
      <c r="KZ72" s="7">
        <f>IFERROR(AVERAGEIF('Данные 2st'!$Q$2:$Q$317,$A72,'Данные 2st'!$DK$2:$DK$317),"")</f>
        <v>220</v>
      </c>
      <c r="LA72" s="7">
        <f>IFERROR(AVERAGEIF('Данные 2st'!$Q$2:$Q$317,$A72,'Данные 2st'!$DM$2:$DM$317),"")</f>
        <v>63.8</v>
      </c>
      <c r="LB72" s="7">
        <f>IFERROR(AVERAGEIF('Данные 2st'!$Q$2:$Q$317,$A72,'Данные 2st'!$DN$2:$DN$317),"")</f>
        <v>1.28</v>
      </c>
      <c r="LC72" s="7">
        <f>IFERROR(AVERAGEIF('Данные 2st'!$Q$2:$Q$317,$A72,'Данные 2st'!$DO$2:$DO$317),"")</f>
        <v>1</v>
      </c>
      <c r="LD72" s="7">
        <f>IFERROR(AVERAGEIF('Данные 2st'!$Q$2:$Q$317,$A72,'Данные 2st'!$DP$2:$DP$317),"")</f>
        <v>2231</v>
      </c>
      <c r="LE72" s="7">
        <f>IFERROR(AVERAGEIF('Данные 2st'!$Q$2:$Q$317,$A72,'Данные 2st'!$DQ$2:$DQ$317),"")</f>
        <v>1195.4</v>
      </c>
      <c r="LF72" s="7">
        <f>IFERROR(AVERAGEIF('Данные 2st'!$Q$2:$Q$317,$A72,'Данные 2st'!$DS$2:$DS$317),"")</f>
        <v>210</v>
      </c>
      <c r="LG72" s="7">
        <f>IFERROR(AVERAGEIF('Данные 2st'!$Q$2:$Q$317,$A72,'Данные 2st'!$DU$2:$DU$317),"")</f>
        <v>63.8</v>
      </c>
      <c r="LH72" s="7">
        <f>IFERROR(AVERAGEIF('Данные 2st'!$Q$2:$Q$317,$A72,'Данные 2st'!$DV$2:$DV$317),"")</f>
        <v>1.28</v>
      </c>
      <c r="LI72" s="7">
        <f>IFERROR(AVERAGEIF('Данные 2st'!$Q$2:$Q$317,$A72,'Данные 2st'!$DW$2:$DW$317),"")</f>
        <v>1</v>
      </c>
      <c r="LJ72" s="7">
        <f>IFERROR(AVERAGEIF('Данные 2st'!$Q$2:$Q$317,$A72,'Данные 2st'!$DX$2:$DX$317),"")</f>
        <v>2244.2</v>
      </c>
      <c r="LK72" s="7">
        <f>IFERROR(AVERAGEIF('Данные 2st'!$Q$2:$Q$317,$A72,'Данные 2st'!$DY$2:$DY$317),"")</f>
        <v>1148.2</v>
      </c>
      <c r="LL72" s="7">
        <f>IFERROR(AVERAGEIF('Данные 2st'!$Q$2:$Q$317,$A72,'Данные 2st'!$EA$2:$EA$317),"")</f>
        <v>20</v>
      </c>
      <c r="LM72" s="7">
        <f>IFERROR(AVERAGEIF('Данные 2st'!$Q$2:$Q$317,$A72,'Данные 2st'!$EC$2:$EC$317),"")</f>
        <v>0.8</v>
      </c>
      <c r="LN72" s="7">
        <f>IFERROR(AVERAGEIF('Данные 2st'!$Q$2:$Q$317,$A72,'Данные 2st'!$ED$2:$ED$317),"")</f>
        <v>2231</v>
      </c>
      <c r="LO72" s="7">
        <f>IFERROR(AVERAGEIF('Данные 2st'!$Q$2:$Q$317,$A72,'Данные 2st'!$EE$2:$EE$317),"")</f>
        <v>78</v>
      </c>
      <c r="LP72" s="7">
        <f>IFERROR(AVERAGEIF('Данные 2st'!$Q$2:$Q$317,$A72,'Данные 2st'!$EG$2:$EG$317),"")</f>
        <v>0</v>
      </c>
      <c r="LQ72" s="7">
        <f>IFERROR(AVERAGEIF('Данные 2st'!$Q$2:$Q$317,$A72,'Данные 2st'!$EI$2:$EI$317),"")</f>
        <v>0</v>
      </c>
      <c r="LR72" s="7">
        <f>IFERROR(AVERAGEIF('Данные 2st'!$Q$2:$Q$317,$A72,'Данные 2st'!$EJ$2:$EJ$317),"")</f>
        <v/>
      </c>
      <c r="LS72" s="7">
        <f>IFERROR(AVERAGEIF('Данные 2st'!$Q$2:$Q$317,$A72,'Данные 2st'!$EK$2:$EK$317),"")</f>
        <v/>
      </c>
      <c r="LT72" s="7">
        <f>IFERROR(AVERAGEIF('Данные 2st'!$Q$2:$Q$317,$A72,'Данные 2st'!$EM$2:$EM$317),"")</f>
        <v>12</v>
      </c>
      <c r="LU72" s="7">
        <f>IFERROR(AVERAGEIF('Данные 2st'!$Q$2:$Q$317,$A72,'Данные 2st'!$EN$2:$EN$317),"")</f>
        <v>0.5</v>
      </c>
      <c r="LV72" s="7">
        <f>IFERROR(AVERAGEIF('Данные 2st'!$Q$2:$Q$317,$A72,'Данные 2st'!$EO$2:$EO$317),"")</f>
        <v>0.96</v>
      </c>
      <c r="LW72" s="7">
        <f>IFERROR(AVERAGEIF('Данные 2st'!$Q$2:$Q$317,$A72,'Данные 2st'!$EP$2:$EP$317),"")</f>
        <v>2243.092</v>
      </c>
      <c r="LX72" s="7">
        <f>IFERROR(AVERAGEIF('Данные 2st'!$Q$2:$Q$317,$A72,'Данные 2st'!$EQ$2:$EQ$317),"")</f>
        <v>41568.634000000005</v>
      </c>
      <c r="LY72" s="7">
        <f>IFERROR(AVERAGEIF('Данные 2st'!$Q$2:$Q$317,$A72,'Данные 2st'!$ER$2:$ER$317),"")</f>
        <v>9593.402</v>
      </c>
      <c r="LZ72" s="7">
        <f>IFERROR(AVERAGEIF('Данные 2st'!$Q$2:$Q$317,$A72,'Данные 2st'!$ES$2:$ES$317),"")</f>
        <v>0</v>
      </c>
      <c r="MA72" s="7">
        <f>IFERROR(AVERAGEIF('Данные 2st'!$Q$2:$Q$317,$A72,'Данные 2st'!$ET$2:$ET$317),"")</f>
        <v>0</v>
      </c>
      <c r="MB72" s="7">
        <f>IFERROR(AVERAGEIF('Данные 2st'!$Q$2:$Q$317,$A72,'Данные 2st'!$EU$2:$EU$317),"")</f>
        <v>1</v>
      </c>
      <c r="MC72" s="7">
        <f>IFERROR(AVERAGEIF('Данные 2st'!$Q$2:$Q$317,$A72,'Данные 2st'!$EV$2:$EV$317),"")</f>
        <v>51162.6</v>
      </c>
      <c r="MD72" s="7">
        <f>IFERROR(AVERAGEIF('Данные 2st'!$Q$2:$Q$317,$A72,'Данные 2st'!$EW$2:$EW$317),"")</f>
        <v>614.4</v>
      </c>
      <c r="ME72" s="7">
        <f>IFERROR(AVERAGEIF('Данные 2st'!$Q$2:$Q$317,$A72,'Данные 2st'!$EY$2:$EY$317),"")</f>
        <v>246.4</v>
      </c>
      <c r="MF72" s="7">
        <f>IFERROR(AVERAGEIF('Данные 2st'!$Q$2:$Q$317,$A72,'Данные 2st'!$FA$2:$FA$317),"")</f>
        <v>5.34</v>
      </c>
      <c r="MG72" s="7">
        <f>IFERROR(AVERAGEIF('Данные 2st'!$Q$2:$Q$317,$A72,'Данные 2st'!$FB$2:$FB$317),"")</f>
        <v>1</v>
      </c>
      <c r="MH72" s="7">
        <f>IFERROR(AVERAGEIF('Данные 2st'!$Q$2:$Q$317,$A72,'Данные 2st'!$FC$2:$FC$317),"")</f>
        <v>1</v>
      </c>
      <c r="MI72" s="7">
        <f>IFERROR(AVERAGEIF('Данные 2st'!$Q$2:$Q$317,$A72,'Данные 2st'!$FD$2:$FD$317),"")</f>
        <v>2277.4</v>
      </c>
      <c r="MJ72" s="7">
        <f>IFERROR(AVERAGEIF('Данные 2st'!$Q$2:$Q$317,$A72,'Данные 2st'!$FE$2:$FE$317),"")</f>
        <v>3070.2</v>
      </c>
      <c r="MK72" s="7">
        <f>IFERROR(AVERAGEIF('Данные 2st'!$Q$2:$Q$317,$A72,'Данные 2st'!$FG$2:$FG$317),"")</f>
        <v>246.4</v>
      </c>
      <c r="ML72" s="7">
        <f>IFERROR(AVERAGEIF('Данные 2st'!$Q$2:$Q$317,$A72,'Данные 2st'!$FI$2:$FI$317),"")</f>
        <v>3.1399999999999997</v>
      </c>
      <c r="MM72" s="7">
        <f>IFERROR(AVERAGEIF('Данные 2st'!$Q$2:$Q$317,$A72,'Данные 2st'!$FJ$2:$FJ$317),"")</f>
        <v>2277.4</v>
      </c>
      <c r="MN72" s="7">
        <f>IFERROR(AVERAGEIF('Данные 2st'!$Q$2:$Q$317,$A72,'Данные 2st'!$FK$2:$FK$317),"")</f>
        <v>2023.8</v>
      </c>
      <c r="MO72" s="7">
        <f>IFERROR(AVERAGEIF('Данные 2st'!$Q$2:$Q$317,$A72,'Данные 2st'!$FP$2:$FP$317),"")</f>
        <v>2277.4</v>
      </c>
      <c r="MP72" s="7">
        <f>IFERROR(AVERAGEIF('Данные 2st'!$Q$2:$Q$317,$A72,'Данные 2st'!$FQ$2:$FQ$317),"")</f>
        <v>201.2</v>
      </c>
      <c r="MQ72" s="7">
        <f>IFERROR(AVERAGEIF('Данные 2st'!$Q$2:$Q$317,$A72,'Данные 2st'!$FS$2:$FS$317),"")</f>
        <v>250.4</v>
      </c>
      <c r="MR72" s="7">
        <f>IFERROR(AVERAGEIF('Данные 2st'!$Q$2:$Q$317,$A72,'Данные 2st'!$FU$2:$FU$317),"")</f>
        <v>0.4</v>
      </c>
      <c r="MS72" s="7">
        <f>IFERROR(AVERAGEIF('Данные 2st'!$Q$2:$Q$317,$A72,'Данные 2st'!$FV$2:$FV$317),"")</f>
        <v>2277.4</v>
      </c>
      <c r="MT72" s="7">
        <f>IFERROR(AVERAGEIF('Данные 2st'!$Q$2:$Q$317,$A72,'Данные 2st'!$FW$2:$FW$317),"")</f>
        <v>253.8</v>
      </c>
      <c r="MU72" s="7">
        <f>IFERROR(AVERAGEIF('Данные 2st'!$Q$2:$Q$317,$A72,'Данные 2st'!$FY$2:$FY$317),"")</f>
        <v>5</v>
      </c>
      <c r="MV72" s="7">
        <f>IFERROR(AVERAGEIF('Данные 2st'!$Q$2:$Q$317,$A72,'Данные 2st'!$GB$2:$GB$317),"")</f>
        <v>2277.4</v>
      </c>
      <c r="MW72" s="7">
        <f>IFERROR(AVERAGEIF('Данные 2st'!$Q$2:$Q$317,$A72,'Данные 2st'!$GC$2:$GC$317),"")</f>
        <v>23.2</v>
      </c>
      <c r="MX72" s="7">
        <f>IFERROR(AVERAGEIF('Данные 2st'!$Q$2:$Q$317,$A72,'Данные 2st'!$GD$2:$GD$317),"")</f>
        <v>5572.2</v>
      </c>
      <c r="MY72" s="7">
        <f>IFERROR(AVERAGEIF('Данные 2st'!$Q$2:$Q$317,$A72,'Данные 2st'!$GN$2:$GN$317),"")</f>
        <v/>
      </c>
      <c r="MZ72" s="7">
        <f>IFERROR(AVERAGEIF('Данные 2st'!$Q$2:$Q$317,$A72,'Данные 2st'!$GQ$2:$GQ$317),"")</f>
        <v>0</v>
      </c>
      <c r="NA72" s="7">
        <f>IFERROR(AVERAGEIF('Данные 2st'!$Q$2:$Q$317,$A72,'Данные 2st'!$GV$2:$GV$317),"")</f>
        <v>8.879999999999999</v>
      </c>
      <c r="NB72" s="7">
        <f>IFERROR(AVERAGEIF('Данные 2st'!$Q$2:$Q$317,$A72,'Данные 2st'!$GW$2:$GW$317),"")</f>
        <v>10.12</v>
      </c>
      <c r="NC72" s="7">
        <f>IFERROR(AVERAGEIF('Данные 2st'!$Q$2:$Q$317,$A72,'Данные 2st'!$GX$2:$GX$317),"")</f>
        <v>0.5</v>
      </c>
      <c r="ND72" s="7">
        <f>IFERROR(AVERAGEIF('Данные 2st'!$Q$2:$Q$317,$A72,'Данные 2st'!$GY$2:$GY$317),"")</f>
        <v>210.4</v>
      </c>
      <c r="NE72" s="7">
        <f>IFERROR(AVERAGEIF('Данные 2st'!$Q$2:$Q$317,$A72,'Данные 2st'!$GZ$2:$GZ$317),"")</f>
        <v>3</v>
      </c>
      <c r="NF72" s="7">
        <f>IFERROR(AVERAGEIF('Данные 2st'!$Q$2:$Q$317,$A72,'Данные 2st'!$HA$2:$HA$317),"")</f>
        <v>268.4</v>
      </c>
      <c r="NG72" s="7">
        <f>IFERROR(AVERAGEIF('Данные 2st'!$Q$2:$Q$317,$A72,'Данные 2st'!$HB$2:$HB$317),"")</f>
        <v>3</v>
      </c>
      <c r="NH72" s="7">
        <f>IFERROR(AVERAGEIF('Данные 2st'!$Q$2:$Q$317,$A72,'Данные 2st'!$HC$2:$HC$317),"")</f>
        <v>2277.4</v>
      </c>
      <c r="NI72" s="7">
        <f>IFERROR(AVERAGEIF('Данные 2st'!$Q$2:$Q$317,$A72,'Данные 2st'!$HD$2:$HD$317),"")</f>
        <v>4</v>
      </c>
      <c r="NJ72" s="7">
        <f>IFERROR(AVERAGEIF('Данные 2st'!$Q$2:$Q$317,$A72,'Данные 2st'!$HM$2:$HM$317),"")</f>
        <v>19</v>
      </c>
      <c r="NK72" s="7">
        <f>IFERROR(AVERAGEIF('Данные 2st'!$Q$2:$Q$317,$A72,'Данные 2st'!$HR$2:$HR$317),"")</f>
        <v>2.8</v>
      </c>
      <c r="NL72" s="7">
        <f>IFERROR(AVERAGEIF('Данные 2st'!$Q$2:$Q$317,$A72,'Данные 2st'!$HS$2:$HS$317),"")</f>
        <v>2227</v>
      </c>
      <c r="NM72" s="7">
        <f>IFERROR(AVERAGEIF('Данные 2st'!$Q$2:$Q$317,$A72,'Данные 2st'!$HT$2:$HT$317),"")</f>
        <v>5</v>
      </c>
      <c r="NN72" s="7">
        <f>IFERROR(AVERAGEIF('Данные 2st'!$Q$2:$Q$317,$A72,'Данные 2st'!$HY$2:$HY$317),"")</f>
        <v>0</v>
      </c>
      <c r="NO72" s="7">
        <f>IFERROR(AVERAGEIF('Данные 2st'!$Q$2:$Q$317,$A72,'Данные 2st'!$HZ$2:$HZ$317),"")</f>
        <v>63.8</v>
      </c>
      <c r="NP72" s="7">
        <f>IFERROR(AVERAGEIF('Данные 2st'!$Q$2:$Q$317,$A72,'Данные 2st'!$IA$2:$IA$317),"")</f>
        <v>2231</v>
      </c>
      <c r="NQ72" s="7">
        <f>IFERROR(AVERAGEIF('Данные 2st'!$Q$2:$Q$317,$A72,'Данные 2st'!$IB$2:$IB$317),"")</f>
        <v>2244.2</v>
      </c>
      <c r="NR72" s="7">
        <f>IFERROR(AVERAGEIF('Данные 2st'!$Q$2:$Q$317,$A72,'Данные 2st'!$IC$2:$IC$317),"")</f>
        <v/>
      </c>
      <c r="NS72" s="7">
        <f>IFERROR(AVERAGEIF('Данные 2st'!$Q$2:$Q$317,$A72,'Данные 2st'!$ID$2:$ID$317),"")</f>
        <v>2277.4</v>
      </c>
      <c r="NT72" s="7">
        <f>IFERROR(AVERAGEIF('Данные 2st'!$Q$2:$Q$317,$A72,'Данные 2st'!$IE$2:$IE$317),"")</f>
        <v>2277.4</v>
      </c>
      <c r="NU72" s="7">
        <f>IFERROR(AVERAGEIF('Данные 2st'!$Q$2:$Q$317,$A72,'Данные 2st'!$IF$2:$IF$317),"")</f>
        <v>220</v>
      </c>
      <c r="NV72" s="7">
        <f>IFERROR(AVERAGEIF('Данные 2st'!$Q$2:$Q$317,$A72,'Данные 2st'!$IG$2:$IG$317),"")</f>
        <v>210</v>
      </c>
      <c r="NW72" s="7">
        <f>IFERROR(AVERAGEIF('Данные 2st'!$Q$2:$Q$317,$A72,'Данные 2st'!$IH$2:$IH$317),"")</f>
        <v>268.4</v>
      </c>
      <c r="NX72" s="7">
        <f>IFERROR(AVERAGEIF('Данные 2st'!$Q$2:$Q$317,$A72,'Данные 2st'!$IJ$2:$IJ$317),"")</f>
        <v>5</v>
      </c>
      <c r="NY72" s="7">
        <f>IFERROR(AVERAGEIF('Данные 2st'!$Q$2:$Q$317,$A72,'Данные 2st'!$IM$2:$IM$317),"")</f>
        <v>0</v>
      </c>
      <c r="NZ72" s="7">
        <f>IFERROR(AVERAGEIF('Данные 2st'!$Q$2:$Q$317,$A72,'Данные 2st'!$IN$2:$IN$317),"")</f>
        <v>270</v>
      </c>
      <c r="OA72" s="7">
        <f>IFERROR(AVERAGEIF('Данные 2st'!$Q$2:$Q$317,$A72,'Данные 2st'!$IO$2:$IO$317),"")</f>
        <v>0</v>
      </c>
      <c r="OB72" s="7">
        <f>IFERROR(AVERAGEIF('Данные 2st'!$Q$2:$Q$317,$A72,'Данные 2st'!$IP$2:$IP$317),"")</f>
        <v>180</v>
      </c>
      <c r="OC72" s="7">
        <f>IFERROR(AVERAGEIF('Данные 2st'!$Q$2:$Q$317,$A72,'Данные 2st'!$IQ$2:$IQ$317),"")</f>
        <v>0</v>
      </c>
      <c r="OD72" s="7">
        <f>IFERROR(AVERAGEIF('Данные 2st'!$Q$2:$Q$317,$A72,'Данные 2st'!$IR$2:$IR$317),"")</f>
        <v>330</v>
      </c>
      <c r="OE72" s="7">
        <f>IFERROR(AVERAGEIF('Данные 2st'!$Q$2:$Q$317,$A72,'Данные 2st'!$IT$2:$IT$317),"")</f>
        <v>90</v>
      </c>
      <c r="OF72" s="7">
        <f>IFERROR(AVERAGEIF('Данные 2st'!$Q$2:$Q$317,$A72,'Данные 2st'!$IU$2:$IU$317),"")</f>
        <v>0</v>
      </c>
      <c r="OG72" s="7">
        <f>IFERROR(AVERAGEIF('Данные 2st'!$Q$2:$Q$317,$A72,'Данные 2st'!$IV$2:$IV$317),"")</f>
        <v>6.4</v>
      </c>
      <c r="OH72" s="7">
        <f>IFERROR(AVERAGEIF('Данные 2st'!$Q$2:$Q$317,$A72,'Данные 2st'!$IW$2:$IW$317),"")</f>
        <v>-6</v>
      </c>
      <c r="OI72" s="7">
        <f>IFERROR(AVERAGEIF('Данные 2st'!$Q$2:$Q$317,$A72,'Данные 2st'!$IX$2:$IX$317),"")</f>
        <v>112.6</v>
      </c>
      <c r="OJ72" s="7">
        <f>IFERROR(AVERAGEIF('Данные 2st'!$Q$2:$Q$317,$A72,'Данные 2st'!$IY$2:$IY$317),"")</f>
        <v>85.3</v>
      </c>
      <c r="OK72" s="7">
        <f>IFERROR(AVERAGEIF('Данные 2st'!$Q$2:$Q$317,$A72,'Данные 2st'!$IZ$2:$IZ$317),"")</f>
        <v>0</v>
      </c>
      <c r="OL72" s="7">
        <f>IFERROR(AVERAGEIF('Данные 2st'!$Q$2:$Q$317,$A72,'Данные 2st'!$JA$2:$JA$317),"")</f>
        <v>0</v>
      </c>
      <c r="OM72" s="7">
        <f>IFERROR(AVERAGEIF('Данные 2st'!$Q$2:$Q$317,$A72,'Данные 2st'!$JB$2:$JB$317),"")</f>
        <v>0</v>
      </c>
      <c r="ON72" s="7">
        <f>IFERROR(AVERAGEIF('Данные 2st'!$Q$2:$Q$317,$A72,'Данные 2st'!$JC$2:$JC$317),"")</f>
        <v>0</v>
      </c>
      <c r="OO72" s="7">
        <f>IFERROR(AVERAGEIF('Данные 2st'!$Q$2:$Q$317,$A72,'Данные 2st'!$JD$2:$JD$317),"")</f>
        <v>0</v>
      </c>
      <c r="OP72" s="7">
        <f>IFERROR(AVERAGEIF('Данные 2st'!$Q$2:$Q$317,$A72,'Данные 2st'!$JE$2:$JE$317),"")</f>
        <v>0</v>
      </c>
      <c r="OQ72" s="7">
        <f>IFERROR(AVERAGEIF('Данные 2st'!$Q$2:$Q$317,$A72,'Данные 2st'!$JF$2:$JF$317),"")</f>
        <v>0</v>
      </c>
      <c r="OR72" s="7">
        <f>IFERROR(AVERAGEIF('Данные 2st'!$Q$2:$Q$317,$A72,'Данные 2st'!$JG$2:$JG$317),"")</f>
        <v>0</v>
      </c>
      <c r="OS72" s="7">
        <f>IFERROR(AVERAGEIF('Данные 2st'!$Q$2:$Q$317,$A72,'Данные 2st'!$JH$2:$JH$317),"")</f>
        <v>0</v>
      </c>
      <c r="OT72" s="7">
        <f>IFERROR(AVERAGEIF('Данные 2st'!$Q$2:$Q$317,$A72,'Данные 2st'!$JI$2:$JI$317),"")</f>
        <v>446.8</v>
      </c>
      <c r="OU72" s="7">
        <f>IFERROR(AVERAGEIF('Данные 2st'!$Q$2:$Q$317,$A72,'Данные 2st'!$JJ$2:$JJ$317),"")</f>
        <v>416.8</v>
      </c>
      <c r="OV72" s="7">
        <f>IFERROR(AVERAGEIF('Данные 2st'!$Q$2:$Q$317,$A72,'Данные 2st'!$JK$2:$JK$317),"")</f>
        <v>300.4</v>
      </c>
      <c r="OW72" s="7">
        <f>IFERROR(AVERAGEIF('Данные 2st'!$Q$2:$Q$317,$A72,'Данные 2st'!$JL$2:$JL$317),"")</f>
        <v>414.4</v>
      </c>
      <c r="OX72" s="7">
        <f>IFERROR(AVERAGEIF('Данные 2st'!$Q$2:$Q$317,$A72,'Данные 2st'!$JM$2:$JM$317),"")</f>
        <v>316.4</v>
      </c>
      <c r="OY72" s="7">
        <f>IFERROR(AVERAGEIF('Данные 2st'!$Q$2:$Q$317,$A72,'Данные 2st'!$JP$2:$JP$317),"")</f>
        <v>180.2</v>
      </c>
      <c r="OZ72" s="7">
        <f>IFERROR(AVERAGEIF('Данные 2st'!$Q$2:$Q$317,$A72,'Данные 2st'!$JQ$2:$JQ$317),"")</f>
        <v>229.2</v>
      </c>
      <c r="PA72" s="7">
        <f>IFERROR(AVERAGEIF('Данные 2st'!$Q$2:$Q$317,$A72,'Данные 2st'!$JR$2:$JR$317),"")</f>
        <v>323</v>
      </c>
      <c r="PB72" s="7">
        <f>IFERROR(AVERAGEIF('Данные 2st'!$Q$2:$Q$317,$A72,'Данные 2st'!$JS$2:$JS$317),"")</f>
        <v>234</v>
      </c>
      <c r="PC72" s="7">
        <f>IFERROR(AVERAGEIF('Данные 2st'!$Q$2:$Q$317,$A72,'Данные 2st'!$JT$2:$JT$317),"")</f>
        <v>0</v>
      </c>
      <c r="PD72" s="7">
        <f>IFERROR(AVERAGEIF('Данные 2st'!$Q$2:$Q$317,$A72,'Данные 2st'!$JU$2:$JU$317),"")</f>
        <v>0</v>
      </c>
      <c r="PE72" s="7">
        <f>IFERROR(AVERAGEIF('Данные 2st'!$Q$2:$Q$317,$A72,'Данные 2st'!$JV$2:$JV$317),"")</f>
        <v>303</v>
      </c>
      <c r="PF72" s="7">
        <f>IFERROR(AVERAGEIF('Данные 2st'!$Q$2:$Q$317,$A72,'Данные 2st'!$JW$2:$JW$317),"")</f>
        <v>290</v>
      </c>
      <c r="PG72" s="7">
        <f>IFERROR(AVERAGEIF('Данные 2st'!$Q$2:$Q$317,$A72,'Данные 2st'!$KF$2:$KF$317),"")</f>
        <v>0.19</v>
      </c>
      <c r="PH72" s="7">
        <f>IFERROR(AVERAGEIF('Данные 2st'!$Q$2:$Q$317,$A72,'Данные 2st'!$KG$2:$KG$317),"")</f>
        <v>0.124</v>
      </c>
      <c r="PI72" s="7">
        <f>IFERROR(AVERAGEIF('Данные 2st'!$Q$2:$Q$317,$A72,'Данные 2st'!$KM$2:$KM$317),"")</f>
        <v>0.4</v>
      </c>
      <c r="PJ72" s="7">
        <f>IFERROR(AVERAGEIF('Данные 2st'!$Q$2:$Q$317,$A72,'Данные 2st'!$KN$2:$KN$317),"")</f>
        <v>2.04</v>
      </c>
      <c r="PK72" s="7">
        <f>IFERROR(AVERAGEIF('Данные 2st'!$Q$2:$Q$317,$A72,'Данные 2st'!$KO$2:$KO$317),"")</f>
        <v>0</v>
      </c>
      <c r="PL72" s="7">
        <f>IFERROR(AVERAGEIF('Данные 2st'!$Q$2:$Q$317,$A72,'Данные 2st'!$KP$2:$KP$317),"")</f>
        <v>0</v>
      </c>
      <c r="PM72" s="7">
        <f>IFERROR(AVERAGEIF('Данные 2st'!$Q$2:$Q$317,$A72,'Данные 2st'!$KQ$2:$KQ$317),"")</f>
        <v>0.6</v>
      </c>
      <c r="PN72" s="7">
        <f>IFERROR(AVERAGEIF('Данные 2st'!$Q$2:$Q$317,$A72,'Данные 2st'!$KR$2:$KR$317),"")</f>
        <v>0.56</v>
      </c>
      <c r="PO72" s="7">
        <f>IFERROR(AVERAGEIF('Данные 2st'!$Q$2:$Q$317,$A72,'Данные 2st'!$KS$2:$KS$317),"")</f>
        <v>0</v>
      </c>
      <c r="PP72" s="7">
        <f>IFERROR(AVERAGEIF('Данные 2st'!$Q$2:$Q$317,$A72,'Данные 2st'!$KT$2:$KT$317),"")</f>
        <v>3.02</v>
      </c>
      <c r="PQ72" s="7">
        <f>IFERROR(AVERAGEIF('Данные 2st'!$Q$2:$Q$317,$A72,'Данные 2st'!$KU$2:$KU$317),"")</f>
        <v>0</v>
      </c>
      <c r="PR72" s="7">
        <f>IFERROR(AVERAGEIF('Данные 2st'!$Q$2:$Q$317,$A72,'Данные 2st'!$KV$2:$KV$317),"")</f>
        <v>0</v>
      </c>
      <c r="PS72" s="7">
        <f>IFERROR(AVERAGEIF('Данные 2st'!$Q$2:$Q$317,$A72,'Данные 2st'!$KW$2:$KW$317),"")</f>
        <v>1.52</v>
      </c>
      <c r="PT72" s="7">
        <f>IFERROR(AVERAGEIF('Данные 2st'!$Q$2:$Q$317,$A72,'Данные 2st'!$KX$2:$KX$317),"")</f>
        <v>2</v>
      </c>
      <c r="PU72" s="7">
        <f>IFERROR(AVERAGEIF('Данные 2st'!$Q$2:$Q$317,$A72,'Данные 2st'!$KY$2:$KY$317),"")</f>
        <v>0.8</v>
      </c>
      <c r="PV72" s="7">
        <f>IFERROR(AVERAGEIF('Данные 2st'!$Q$2:$Q$317,$A72,'Данные 2st'!$KZ$2:$KZ$317),"")</f>
        <v>0</v>
      </c>
      <c r="PW72" s="7">
        <f>IFERROR(AVERAGEIF('Данные 2st'!$Q$2:$Q$317,$A72,'Данные 2st'!$LA$2:$LA$317),"")</f>
        <v>0</v>
      </c>
      <c r="PX72" s="7">
        <f>IFERROR(AVERAGEIF('Данные 2st'!$Q$2:$Q$317,$A72,'Данные 2st'!$LB$2:$LB$317),"")</f>
        <v>0</v>
      </c>
      <c r="PY72" s="7">
        <f>IFERROR(AVERAGEIF('Данные 2st'!$Q$2:$Q$317,$A72,'Данные 2st'!$LC$2:$LC$317),"")</f>
        <v>0</v>
      </c>
      <c r="PZ72" s="7">
        <f>IFERROR(AVERAGEIF('Данные 2st'!$Q$2:$Q$317,$A72,'Данные 2st'!$LD$2:$LD$317),"")</f>
        <v>0</v>
      </c>
      <c r="QA72" s="7">
        <f>IFERROR(AVERAGEIF('Данные 2st'!$Q$2:$Q$317,$A72,'Данные 2st'!$LE$2:$LE$317),"")</f>
        <v>0</v>
      </c>
      <c r="QB72" s="7">
        <f>IFERROR(AVERAGEIF('Данные 2st'!$Q$2:$Q$317,$A72,'Данные 2st'!$LF$2:$LF$317),"")</f>
        <v>0</v>
      </c>
      <c r="QC72" s="7">
        <f>IFERROR(AVERAGEIF('Данные 2st'!$Q$2:$Q$317,$A72,'Данные 2st'!$LG$2:$LG$317),"")</f>
        <v>0</v>
      </c>
      <c r="QD72" s="7">
        <f>IFERROR(AVERAGEIF('Данные 2st'!$Q$2:$Q$317,$A72,'Данные 2st'!$LH$2:$LH$317),"")</f>
        <v>3</v>
      </c>
      <c r="QE72" s="7">
        <f>IFERROR(AVERAGEIF('Данные 2st'!$Q$2:$Q$317,$A72,'Данные 2st'!$LJ$2:$LJ$317),"")</f>
        <v>0</v>
      </c>
      <c r="QF72" s="7">
        <f>IFERROR(AVERAGEIF('Данные 2st'!$Q$2:$Q$317,$A72,'Данные 2st'!$LK$2:$LK$317),"")</f>
        <v>9</v>
      </c>
      <c r="QG72" s="7">
        <f>IFERROR(AVERAGEIF('Данные 2st'!$Q$2:$Q$317,$A72,'Данные 2st'!$LL$2:$LL$317),"")</f>
        <v>5.6</v>
      </c>
      <c r="QH72" s="7">
        <f>IFERROR(AVERAGEIF('Данные 2st'!$Q$2:$Q$317,$A72,'Данные 2st'!$LM$2:$LM$317),"")</f>
        <v>11</v>
      </c>
      <c r="QI72" s="7">
        <f>IFERROR(AVERAGEIF('Данные 2st'!$Q$2:$Q$317,$A72,'Данные 2st'!$LN$2:$LN$317),"")</f>
        <v>0.28</v>
      </c>
      <c r="QJ72" s="7">
        <f>IFERROR(AVERAGEIF('Данные 2st'!$Q$2:$Q$317,$A72,'Данные 2st'!$LO$2:$LO$317),"")</f>
        <v>3</v>
      </c>
      <c r="QK72" s="7">
        <f>IFERROR(AVERAGEIF('Данные 2st'!$Q$2:$Q$317,$A72,'Данные 2st'!$LP$2:$LP$317),"")</f>
        <v>0</v>
      </c>
      <c r="QL72" s="7">
        <f>IFERROR(AVERAGEIF('Данные 2st'!$Q$2:$Q$317,$A72,'Данные 2st'!$LQ$2:$LQ$317),"")</f>
        <v>0</v>
      </c>
      <c r="QM72" s="7">
        <f>IFERROR(AVERAGEIF('Данные 2st'!$Q$2:$Q$317,$A72,'Данные 2st'!$LW$2:$LW$317),"")</f>
        <v>2.02</v>
      </c>
      <c r="QN72" s="7">
        <f>IFERROR(AVERAGEIF('Данные 2st'!$Q$2:$Q$317,$A72,'Данные 2st'!$LX$2:$LX$317),"")</f>
        <v>2.02</v>
      </c>
      <c r="QO72" s="7">
        <f>IFERROR(AVERAGEIF('Данные 2st'!$Q$2:$Q$317,$A72,'Данные 2st'!$LY$2:$LY$317),"")</f>
        <v>2.1</v>
      </c>
      <c r="QP72" s="7">
        <f>IFERROR(AVERAGEIF('Данные 2st'!$Q$2:$Q$317,$A72,'Данные 2st'!$LZ$2:$LZ$317),"")</f>
        <v>2.1</v>
      </c>
      <c r="QQ72" s="7">
        <f>IFERROR(AVERAGEIF('Данные 2st'!$Q$2:$Q$317,$A72,'Данные 2st'!$MB$2:$MB$317),"")</f>
        <v>4.5</v>
      </c>
      <c r="QR72" s="7">
        <f>IFERROR(AVERAGEIF('Данные 2st'!$Q$2:$Q$317,$A72,'Данные 2st'!$MG$2:$MG$317),"")</f>
        <v>0</v>
      </c>
      <c r="QS72" s="7">
        <f>IFERROR(AVERAGEIF('Данные 2st'!$Q$2:$Q$317,$A72,'Данные 2st'!$MH$2:$MH$317),"")</f>
        <v>0</v>
      </c>
      <c r="QT72" s="7">
        <f>IFERROR(AVERAGEIF('Данные 2st'!$Q$2:$Q$317,$A72,'Данные 2st'!$MI$2:$MI$317),"")</f>
        <v>0</v>
      </c>
      <c r="QU72" s="7">
        <f>IFERROR(AVERAGEIF('Данные 2st'!$Q$2:$Q$317,$A72,'Данные 2st'!$MJ$2:$MJ$317),"")</f>
        <v>0</v>
      </c>
      <c r="QV72" s="7">
        <f>IFERROR(AVERAGEIF('Данные 2st'!$Q$2:$Q$317,$A72,'Данные 2st'!$MK$2:$MK$317),"")</f>
        <v>0</v>
      </c>
      <c r="QW72" s="7">
        <f>IFERROR(AVERAGEIF('Данные 2st'!$Q$2:$Q$317,$A72,'Данные 2st'!$MM$2:$MM$317),"")</f>
        <v>452.4</v>
      </c>
      <c r="QX72" s="7">
        <f>IFERROR(AVERAGEIF('Данные 2st'!$Q$2:$Q$317,$A72,'Данные 2st'!$MQ$2:$MQ$317),"")</f>
        <v/>
      </c>
      <c r="QY72" s="7">
        <f>IFERROR(AVERAGEIF('Данные 2st'!$Q$2:$Q$317,$A72,'Данные 2st'!$MR$2:$MR$317),"")</f>
        <v/>
      </c>
      <c r="QZ72" s="7">
        <f>IFERROR(AVERAGEIF('Данные 2st'!$Q$2:$Q$317,$A72,'Данные 2st'!$MS$2:$MS$317),"")</f>
        <v/>
      </c>
      <c r="RA72" s="7">
        <f>IFERROR(AVERAGEIF('Данные 2st'!$Q$2:$Q$317,$A72,'Данные 2st'!$MT$2:$MT$317),"")</f>
        <v/>
      </c>
      <c r="RB72" s="7">
        <f>IFERROR(AVERAGEIF('Данные 2st'!$Q$2:$Q$317,$A72,'Данные 2st'!$MU$2:$MU$317),"")</f>
        <v/>
      </c>
      <c r="RC72" s="7">
        <f>IFERROR(AVERAGEIF('Данные 2st'!$Q$2:$Q$317,$A72,'Данные 2st'!$MV$2:$MV$317),"")</f>
        <v/>
      </c>
      <c r="RD72" s="7">
        <f>IFERROR(AVERAGEIF('Данные 2st'!$Q$2:$Q$317,$A72,'Данные 2st'!$MW$2:$MW$317),"")</f>
        <v/>
      </c>
      <c r="RE72" s="7">
        <f>IFERROR(AVERAGEIF('Данные 2st'!$Q$2:$Q$317,$A72,'Данные 2st'!$MX$2:$MX$317),"")</f>
        <v/>
      </c>
      <c r="RF72" s="7">
        <f>IFERROR(AVERAGEIF('Данные 2st'!$Q$2:$Q$317,$A72,'Данные 2st'!$MY$2:$MY$317),"")</f>
        <v/>
      </c>
      <c r="RG72" s="7">
        <f>IFERROR(AVERAGEIF('Данные 2st'!$Q$2:$Q$317,$A72,'Данные 2st'!$MZ$2:$MZ$317),"")</f>
        <v/>
      </c>
      <c r="RH72" s="7">
        <f>IFERROR(AVERAGEIF('Данные 2st'!$Q$2:$Q$317,$A72,'Данные 2st'!$NA$2:$NA$317),"")</f>
        <v/>
      </c>
      <c r="RI72" s="7">
        <f>IFERROR(AVERAGEIF('Данные 2st'!$Q$2:$Q$317,$A72,'Данные 2st'!$NB$2:$NB$317),"")</f>
        <v/>
      </c>
      <c r="RJ72" s="7">
        <f>IFERROR(AVERAGEIF('Данные 2st'!$Q$2:$Q$317,$A72,'Данные 2st'!$NC$2:$NC$317),"")</f>
        <v/>
      </c>
      <c r="RK72" s="7">
        <f>IFERROR(AVERAGEIF('Данные 2st'!$Q$2:$Q$317,$A72,'Данные 2st'!$ND$2:$ND$317),"")</f>
        <v/>
      </c>
      <c r="RL72" s="7">
        <f>IFERROR(AVERAGEIF('Данные 2st'!$Q$2:$Q$317,$A72,'Данные 2st'!$NE$2:$NE$317),"")</f>
        <v/>
      </c>
      <c r="RM72" s="7">
        <f>IFERROR(AVERAGEIF('Данные 2st'!$Q$2:$Q$317,$A72,'Данные 2st'!$NF$2:$NF$317),"")</f>
        <v/>
      </c>
      <c r="RN72" s="7">
        <f>IFERROR(AVERAGEIF('Данные 2st'!$Q$2:$Q$317,$A72,'Данные 2st'!$NG$2:$NG$317),"")</f>
        <v/>
      </c>
      <c r="RO72" s="7">
        <f>IFERROR(AVERAGEIF('Данные 2st'!$Q$2:$Q$317,$A72,'Данные 2st'!$NH$2:$NH$317),"")</f>
        <v/>
      </c>
      <c r="RP72" s="7">
        <f>IFERROR(AVERAGEIF('Данные 2st'!$Q$2:$Q$317,$A72,'Данные 2st'!$NJ$2:$NJ$317),"")</f>
        <v/>
      </c>
      <c r="RQ72" s="7">
        <f>IFERROR(AVERAGEIF('Данные 2st'!$Q$2:$Q$317,$A72,'Данные 2st'!$NK$2:$NK$317),"")</f>
        <v/>
      </c>
      <c r="RR72" s="7">
        <f>IFERROR(AVERAGEIF('Данные 2st'!$Q$2:$Q$317,$A72,'Данные 2st'!$NM$2:$NM$317),"")</f>
        <v/>
      </c>
      <c r="RS72" s="7">
        <f>IFERROR(AVERAGEIF('Данные 2st'!$Q$2:$Q$317,$A72,'Данные 2st'!$NN$2:$NN$317),"")</f>
        <v/>
      </c>
      <c r="RT72" s="7">
        <f>IFERROR(AVERAGEIF('Данные 2st'!$Q$2:$Q$317,$A72,'Данные 2st'!$NO$2:$NO$317),"")</f>
        <v/>
      </c>
      <c r="RU72" s="7">
        <f>IFERROR(AVERAGEIF('Данные 2st'!$Q$2:$Q$317,$A72,'Данные 2st'!$NP$2:$NP$317),"")</f>
        <v/>
      </c>
      <c r="RV72" s="7">
        <f>IFERROR(AVERAGEIF('Данные 2st'!$Q$2:$Q$317,$A72,'Данные 2st'!$NQ$2:$NQ$317),"")</f>
        <v/>
      </c>
      <c r="RW72" s="7">
        <f>IFERROR(AVERAGEIF('Данные 2st'!$Q$2:$Q$317,$A72,'Данные 2st'!$NR$2:$NR$317),"")</f>
        <v/>
      </c>
      <c r="RX72" s="7">
        <f>IFERROR(AVERAGEIF('Данные 2st'!$Q$2:$Q$317,$A72,'Данные 2st'!$NS$2:$NS$317),"")</f>
        <v/>
      </c>
      <c r="RY72" s="7">
        <f>IFERROR(AVERAGEIF('Данные 2st'!$Q$2:$Q$317,$A72,'Данные 2st'!$NT$2:$NT$317),"")</f>
        <v/>
      </c>
      <c r="RZ72" s="7">
        <f>IFERROR(AVERAGEIF('Данные 2st'!$Q$2:$Q$317,$A72,'Данные 2st'!$OK$2:$OK$317),"")</f>
        <v>61</v>
      </c>
      <c r="SA72" s="7">
        <f>IFERROR(AVERAGEIF('Данные 2st'!$Q$2:$Q$317,$A72,'Данные 2st'!$OL$2:$OL$317),"")</f>
        <v>61</v>
      </c>
      <c r="SB72" s="7">
        <f>IFERROR(AVERAGEIF('Данные 2st'!$Q$2:$Q$317,$A72,'Данные 2st'!$ON$2:$ON$317),"")</f>
        <v>1.2</v>
      </c>
      <c r="SC72" s="7">
        <f>IFERROR(AVERAGEIF('Данные 2st'!$Q$2:$Q$317,$A72,'Данные 2st'!$OO$2:$OO$317),"")</f>
        <v>2231</v>
      </c>
      <c r="SD72" s="7">
        <f>IFERROR(AVERAGEIF('Данные 2st'!$Q$2:$Q$317,$A72,'Данные 2st'!$OP$2:$OP$317),"")</f>
        <v>61</v>
      </c>
      <c r="SE72" s="7">
        <f>IFERROR(AVERAGEIF('Данные 2st'!$Q$2:$Q$317,$A72,'Данные 2st'!$OQ$2:$OQ$317),"")</f>
        <v>61</v>
      </c>
      <c r="SF72" s="7">
        <f>IFERROR(AVERAGEIF('Данные 2st'!$Q$2:$Q$317,$A72,'Данные 2st'!$OS$2:$OS$317),"")</f>
        <v>1.2</v>
      </c>
      <c r="SG72" s="7">
        <f>IFERROR(AVERAGEIF('Данные 2st'!$Q$2:$Q$317,$A72,'Данные 2st'!$OT$2:$OT$317),"")</f>
        <v>2244.2</v>
      </c>
      <c r="SH72" s="7">
        <f>IFERROR(AVERAGEIF('Данные 2st'!$Q$2:$Q$317,$A72,'Данные 2st'!$OU$2:$OU$317),"")</f>
        <v>65</v>
      </c>
      <c r="SI72" s="7">
        <f>IFERROR(AVERAGEIF('Данные 2st'!$Q$2:$Q$317,$A72,'Данные 2st'!$OV$2:$OV$317),"")</f>
        <v>65</v>
      </c>
      <c r="SJ72" s="7">
        <f>IFERROR(AVERAGEIF('Данные 2st'!$Q$2:$Q$317,$A72,'Данные 2st'!$OX$2:$OX$317),"")</f>
        <v>1.8</v>
      </c>
      <c r="SK72" s="7">
        <f>IFERROR(AVERAGEIF('Данные 2st'!$Q$2:$Q$317,$A72,'Данные 2st'!$OY$2:$OY$317),"")</f>
        <v>51162.6</v>
      </c>
      <c r="SL72" s="7">
        <f>IFERROR(AVERAGEIF('Данные 2st'!$Q$2:$Q$317,$A72,'Данные 2st'!$OZ$2:$OZ$317),"")</f>
        <v>51</v>
      </c>
      <c r="SM72" s="7">
        <f>IFERROR(AVERAGEIF('Данные 2st'!$Q$2:$Q$317,$A72,'Данные 2st'!$PA$2:$PA$317),"")</f>
        <v>51.6</v>
      </c>
      <c r="SN72" s="7">
        <f>IFERROR(AVERAGEIF('Данные 2st'!$Q$2:$Q$317,$A72,'Данные 2st'!$PC$2:$PC$317),"")</f>
        <v>1.6</v>
      </c>
      <c r="SO72" s="7">
        <f>IFERROR(AVERAGEIF('Данные 2st'!$Q$2:$Q$317,$A72,'Данные 2st'!$PD$2:$PD$317),"")</f>
        <v>2277.4</v>
      </c>
      <c r="SP72" s="7">
        <f>IFERROR(AVERAGEIF('Данные 2st'!$Q$2:$Q$317,$A72,'Данные 2st'!$PF$2:$PF$317),"")</f>
        <v>535.8</v>
      </c>
      <c r="SQ72" s="7">
        <f>IFERROR(AVERAGEIF('Данные 2st'!$Q$2:$Q$317,$A72,'Данные 2st'!$PG$2:$PG$317),"")</f>
        <v>35</v>
      </c>
      <c r="SR72" s="7">
        <f>IFERROR(AVERAGEIF('Данные 2st'!$Q$2:$Q$317,$A72,'Данные 2st'!$PH$2:$PH$317),"")</f>
        <v>511.6</v>
      </c>
      <c r="SS72" s="7">
        <f>IFERROR(AVERAGEIF('Данные 2st'!$Q$2:$Q$317,$A72,'Данные 2st'!$PI$2:$PI$317),"")</f>
        <v>0</v>
      </c>
      <c r="ST72" s="7">
        <f>IFERROR(AVERAGEIF('Данные 2st'!$Q$2:$Q$317,$A72,'Данные 2st'!$PJ$2:$PJ$317),"")</f>
        <v>88.4</v>
      </c>
      <c r="SU72" s="7">
        <f>IFERROR(AVERAGEIF('Данные 2st'!$Q$2:$Q$317,$A72,'Данные 2st'!$PK$2:$PK$317),"")</f>
        <v>2431</v>
      </c>
      <c r="SV72" s="7">
        <f>IFERROR(AVERAGEIF('Данные 2st'!$Q$2:$Q$317,$A72,'Данные 2st'!$PL$2:$PL$317),"")</f>
        <v>1348.24</v>
      </c>
      <c r="SW72" s="7">
        <f>IFERROR(AVERAGEIF('Данные 2st'!$Q$2:$Q$317,$A72,'Данные 2st'!$PM$2:$PM$317),"")</f>
        <v>888.52</v>
      </c>
      <c r="SX72" s="7">
        <f>IFERROR(AVERAGEIF('Данные 2st'!$Q$2:$Q$317,$A72,'Данные 2st'!$PN$2:$PN$317),"")</f>
        <v>111.44</v>
      </c>
      <c r="SY72" s="7">
        <f>IFERROR(AVERAGEIF('Данные 2st'!$Q$2:$Q$317,$A72,'Данные 2st'!$PO$2:$PO$317),"")</f>
        <v>10.08</v>
      </c>
      <c r="SZ72" s="7">
        <f>IFERROR(AVERAGEIF('Данные 2st'!$Q$2:$Q$317,$A72,'Данные 2st'!$PP$2:$PP$317),"")</f>
        <v>12</v>
      </c>
      <c r="TA72" s="7">
        <f>IFERROR(AVERAGEIF('Данные 2st'!$Q$2:$Q$317,$A72,'Данные 2st'!$PQ$2:$PQ$317),"")</f>
        <v>4</v>
      </c>
      <c r="TB72" s="7">
        <f>IFERROR(AVERAGEIF('Данные 2st'!$Q$2:$Q$317,$A72,'Данные 2st'!$PR$2:$PR$317),"")</f>
        <v>4</v>
      </c>
      <c r="TC72" s="7">
        <f>IFERROR(AVERAGEIF('Данные 2st'!$Q$2:$Q$317,$A72,'Данные 2st'!$PS$2:$PS$317),"")</f>
        <v>0</v>
      </c>
      <c r="TD72" s="7">
        <f>IFERROR(AVERAGEIF('Данные 2st'!$Q$2:$Q$317,$A72,'Данные 2st'!$PT$2:$PT$317),"")</f>
        <v>268.4</v>
      </c>
      <c r="TE72" s="7">
        <f>IFERROR(AVERAGEIF('Данные 2st'!$Q$2:$Q$317,$A72,'Данные 2st'!$PU$2:$PU$317),"")</f>
        <v>11</v>
      </c>
      <c r="TF72" s="7">
        <f>IFERROR(AVERAGEIF('Данные 2st'!$Q$2:$Q$317,$A72,'Данные 2st'!$PX$2:$PX$317),"")</f>
        <v>0</v>
      </c>
      <c r="TG72" s="7">
        <f>IFERROR(AVERAGEIF('Данные 2st'!$Q$2:$Q$317,$A72,'Данные 2st'!$PY$2:$PY$317),"")</f>
        <v>0</v>
      </c>
      <c r="TH72" s="7">
        <f>IFERROR(AVERAGEIF('Данные 2st'!$Q$2:$Q$317,$A72,'Данные 2st'!$PZ$2:$PZ$317),"")</f>
        <v>0</v>
      </c>
      <c r="TI72" s="7">
        <f>IFERROR(AVERAGEIF('Данные 2st'!$Q$2:$Q$317,$A72,'Данные 2st'!$QA$2:$QA$317),"")</f>
        <v>0</v>
      </c>
      <c r="TJ72" s="7">
        <f>IFERROR(AVERAGEIF('Данные 2st'!$Q$2:$Q$317,$A72,'Данные 2st'!$QB$2:$QB$317),"")</f>
        <v>0</v>
      </c>
      <c r="TK72" s="7">
        <f>IFERROR(AVERAGEIF('Данные 2st'!$Q$2:$Q$317,$A72,'Данные 2st'!$QC$2:$QC$317),"")</f>
        <v>0</v>
      </c>
      <c r="TL72" s="7">
        <f>IFERROR(AVERAGEIF('Данные 2st'!$Q$2:$Q$317,$A72,'Данные 2st'!$QD$2:$QD$317),"")</f>
        <v>0</v>
      </c>
      <c r="TM72" s="7">
        <f>IFERROR(AVERAGEIF('Данные 2st'!$Q$2:$Q$317,$A72,'Данные 2st'!$QE$2:$QE$317),"")</f>
        <v>-1</v>
      </c>
      <c r="TN72" s="7">
        <f>IFERROR(AVERAGEIF('Данные 2st'!$Q$2:$Q$317,$A72,'Данные 2st'!$QF$2:$QF$317),"")</f>
        <v>1</v>
      </c>
      <c r="TO72" s="7">
        <f>IFERROR(AVERAGEIF('Данные 2st'!$Q$2:$Q$317,$A72,'Данные 2st'!$QG$2:$QG$317),"")</f>
        <v>0</v>
      </c>
      <c r="TP72" s="7">
        <f>IFERROR(AVERAGEIF('Данные 2st'!$Q$2:$Q$317,$A72,'Данные 2st'!$QH$2:$QH$317),"")</f>
        <v>5</v>
      </c>
      <c r="TQ72" s="7">
        <f>IFERROR(AVERAGEIF('Данные 2st'!$Q$2:$Q$317,$A72,'Данные 2st'!$QI$2:$QI$317),"")</f>
        <v>5</v>
      </c>
      <c r="TR72" s="7">
        <f>IFERROR(AVERAGEIF('Данные 2st'!$Q$2:$Q$317,$A72,'Данные 2st'!$QJ$2:$QJ$317),"")</f>
        <v>5</v>
      </c>
      <c r="TS72" s="7">
        <f>IFERROR(AVERAGEIF('Данные 2st'!$Q$2:$Q$317,$A72,'Данные 2st'!$QK$2:$QK$317),"")</f>
        <v>239.6</v>
      </c>
      <c r="TT72" s="7">
        <f>IFERROR(AVERAGEIF('Данные 2st'!$Q$2:$Q$317,$A72,'Данные 2st'!$QL$2:$QL$317),"")</f>
        <v>476.8</v>
      </c>
      <c r="TU72" s="7">
        <f>IFERROR(AVERAGEIF('Данные 2st'!$Q$2:$Q$317,$A72,'Данные 2st'!$QM$2:$QM$317),"")</f>
        <v>7.5</v>
      </c>
      <c r="TV72" s="7">
        <f>IFERROR(AVERAGEIF('Данные 2st'!$Q$2:$Q$317,$A72,'Данные 2st'!$QN$2:$QN$317),"")</f>
        <v>1544.1</v>
      </c>
      <c r="TW72" s="7">
        <f>IFERROR(AVERAGEIF('Данные 2st'!$Q$2:$Q$317,$A72,'Данные 2st'!$QQ$2:$QQ$317),"")</f>
        <v>0</v>
      </c>
      <c r="TX72" s="7">
        <f>IFERROR(AVERAGEIF('Данные 2st'!$Q$2:$Q$317,$A72,'Данные 2st'!$QS$2:$QS$317),"")</f>
        <v>40</v>
      </c>
      <c r="TY72" s="7">
        <f>IFERROR(AVERAGEIF('Данные 2st'!$Q$2:$Q$317,$A72,'Данные 2st'!$QT$2:$QT$317),"")</f>
        <v>50</v>
      </c>
    </row>
    <row r="73" spans="1:545" ht="32" customHeight="1">
      <c r="A73" s="11" t="s">
        <v>2066</v>
      </c>
      <c r="B73">
        <f>COUNTIF('Данные 1st'!$S$2:$S$317,$A73)</f>
        <v>3</v>
      </c>
      <c r="C73" s="6" t="s">
        <v>5119</v>
      </c>
      <c r="D73" s="6" t="s">
        <v>513</v>
      </c>
      <c r="E73" s="6" t="s">
        <v>5125</v>
      </c>
      <c r="F73" s="6" t="s">
        <v>5184</v>
      </c>
      <c r="G73" s="7">
        <f>IFERROR(AVERAGEIF('Данные 1st'!$S$2:$S$317,$A73,'Данные 1st'!$AE$2:$AE$317),"")</f>
        <v>239.66666666666666</v>
      </c>
      <c r="H73" s="7">
        <f>IFERROR(AVERAGEIF('Данные 1st'!$S$2:$S$317,$A73,'Данные 1st'!$AF$2:$AF$317),"")</f>
        <v>1.5</v>
      </c>
      <c r="I73" s="7">
        <f>IFERROR(AVERAGEIF('Данные 1st'!$S$2:$S$317,$A73,'Данные 1st'!$AJ$2:$AJ$317),"")</f>
        <v>219.16666666666666</v>
      </c>
      <c r="J73" s="7">
        <f>IFERROR(AVERAGEIF('Данные 1st'!$S$2:$S$317,$A73,'Данные 1st'!$AL$2:$AL$317),"")</f>
        <v>1.5</v>
      </c>
      <c r="K73" s="7">
        <f>IFERROR(AVERAGEIF('Данные 1st'!$S$2:$S$317,$A73,'Данные 1st'!$AR$2:$AR$317),"")</f>
        <v>257</v>
      </c>
      <c r="L73" s="7">
        <f>IFERROR(AVERAGEIF('Данные 1st'!$S$2:$S$317,$A73,'Данные 1st'!$AS$2:$AS$317),"")</f>
        <v>1.5</v>
      </c>
      <c r="M73" s="7">
        <f>IFERROR(AVERAGEIF('Данные 1st'!$S$2:$S$317,$A73,'Данные 1st'!$AY$2:$AY$317),"")</f>
        <v>317.5</v>
      </c>
      <c r="N73" s="7">
        <f>IFERROR(AVERAGEIF('Данные 1st'!$S$2:$S$317,$A73,'Данные 1st'!$AZ$2:$AZ$317),"")</f>
        <v>1.5</v>
      </c>
      <c r="O73" s="7">
        <f>IFERROR(AVERAGEIF('Данные 1st'!$S$2:$S$317,$A73,'Данные 1st'!$BF$2:$BF$317),"")</f>
        <v>275.8333333333333</v>
      </c>
      <c r="P73" s="7">
        <f>IFERROR(AVERAGEIF('Данные 1st'!$S$2:$S$317,$A73,'Данные 1st'!$BG$2:$BG$317),"")</f>
        <v>1.5</v>
      </c>
      <c r="Q73" s="7">
        <f>IFERROR(AVERAGEIF('Данные 1st'!$S$2:$S$317,$A73,'Данные 1st'!$BM$2:$BM$317),"")</f>
        <v/>
      </c>
      <c r="R73" s="7">
        <f>IFERROR(AVERAGEIF('Данные 1st'!$S$2:$S$317,$A73,'Данные 1st'!$BN$2:$BN$317),"")</f>
        <v>1.5</v>
      </c>
      <c r="S73" s="7">
        <f>IFERROR(AVERAGEIF('Данные 1st'!$S$2:$S$317,$A73,'Данные 1st'!$BT$2:$BT$317),"")</f>
        <v>237.33333333333334</v>
      </c>
      <c r="T73" s="7">
        <f>IFERROR(AVERAGEIF('Данные 1st'!$S$2:$S$317,$A73,'Данные 1st'!$BU$2:$BU$317),"")</f>
        <v>0.5</v>
      </c>
      <c r="U73" s="7">
        <f>IFERROR(AVERAGEIF('Данные 1st'!$S$2:$S$317,$A73,'Данные 1st'!$BW$2:$BW$317),"")</f>
        <v>474.6666666666667</v>
      </c>
      <c r="V73" s="7">
        <f>IFERROR(AVERAGEIF('Данные 1st'!$S$2:$S$317,$A73,'Данные 1st'!$BX$2:$BX$317),"")</f>
        <v>1</v>
      </c>
      <c r="W73" s="7">
        <f>IFERROR(AVERAGEIF('Данные 1st'!$S$2:$S$317,$A73,'Данные 1st'!$BZ$2:$BZ$317),"")</f>
        <v>470</v>
      </c>
      <c r="X73" s="7">
        <f>IFERROR(AVERAGEIF('Данные 1st'!$S$2:$S$317,$A73,'Данные 1st'!$CA$2:$CA$317),"")</f>
        <v>556.6666666666666</v>
      </c>
      <c r="Y73" s="7">
        <f>IFERROR(AVERAGEIF('Данные 1st'!$S$2:$S$317,$A73,'Данные 1st'!$CD$2:$CD$317),"")</f>
        <v>490</v>
      </c>
      <c r="Z73" s="7">
        <f>IFERROR(AVERAGEIF('Данные 1st'!$S$2:$S$317,$A73,'Данные 1st'!$CF$2:$CF$317),"")</f>
        <v>15</v>
      </c>
      <c r="AA73" s="7">
        <f>IFERROR(AVERAGEIF('Данные 1st'!$S$2:$S$317,$A73,'Данные 1st'!$CI$2:$CI$317),"")</f>
        <v>43.333333333333336</v>
      </c>
      <c r="AB73" s="7">
        <f>IFERROR(AVERAGEIF('Данные 1st'!$S$2:$S$317,$A73,'Данные 1st'!$CJ$2:$CJ$317),"")</f>
        <v>1538</v>
      </c>
      <c r="AC73" s="7">
        <f>IFERROR(AVERAGEIF('Данные 1st'!$S$2:$S$317,$A73,'Данные 1st'!$CK$2:$CK$317),"")</f>
        <v>2</v>
      </c>
      <c r="AD73" s="7">
        <f>IFERROR(AVERAGEIF('Данные 1st'!$S$2:$S$317,$A73,'Данные 1st'!$CL$2:$CL$317),"")</f>
        <v>1632</v>
      </c>
      <c r="AE73" s="7">
        <f>IFERROR(AVERAGEIF('Данные 1st'!$S$2:$S$317,$A73,'Данные 1st'!$CM$2:$CM$317),"")</f>
        <v>2</v>
      </c>
      <c r="AF73" s="7">
        <f>IFERROR(AVERAGEIF('Данные 1st'!$S$2:$S$317,$A73,'Данные 1st'!$CT$2:$CT$317),"")</f>
        <v>438.3333333333333</v>
      </c>
      <c r="AG73" s="7">
        <f>IFERROR(AVERAGEIF('Данные 1st'!$S$2:$S$317,$A73,'Данные 1st'!$CU$2:$CU$317),"")</f>
        <v>5</v>
      </c>
      <c r="AH73" s="7">
        <f>IFERROR(AVERAGEIF('Данные 1st'!$S$2:$S$317,$A73,'Данные 1st'!$CV$2:$CV$317),"")</f>
        <v>1.2</v>
      </c>
      <c r="AI73" s="7">
        <f>IFERROR(AVERAGEIF('Данные 1st'!$S$2:$S$317,$A73,'Данные 1st'!$CW$2:$CW$317),"")</f>
        <v>1554</v>
      </c>
      <c r="AJ73" s="7">
        <f>IFERROR(AVERAGEIF('Данные 1st'!$S$2:$S$317,$A73,'Данные 1st'!$CX$2:$CX$317),"")</f>
        <v>964.3333333333334</v>
      </c>
      <c r="AK73" s="7">
        <f>IFERROR(AVERAGEIF('Данные 1st'!$S$2:$S$317,$A73,'Данные 1st'!$CZ$2:$CZ$317),"")</f>
        <v>50</v>
      </c>
      <c r="AL73" s="7">
        <f>IFERROR(AVERAGEIF('Данные 1st'!$S$2:$S$317,$A73,'Данные 1st'!$DA$2:$DA$317),"")</f>
        <v>3</v>
      </c>
      <c r="AM73" s="7">
        <f>IFERROR(AVERAGEIF('Данные 1st'!$S$2:$S$317,$A73,'Данные 1st'!$DB$2:$DB$317),"")</f>
        <v>1.0933333333333333</v>
      </c>
      <c r="AN73" s="7">
        <f>IFERROR(AVERAGEIF('Данные 1st'!$S$2:$S$317,$A73,'Данные 1st'!$DC$2:$DC$317),"")</f>
        <v>1554</v>
      </c>
      <c r="AO73" s="7">
        <f>IFERROR(AVERAGEIF('Данные 1st'!$S$2:$S$317,$A73,'Данные 1st'!$DD$2:$DD$317),"")</f>
        <v>91.33333333333333</v>
      </c>
      <c r="AP73" s="7">
        <f>IFERROR(AVERAGEIF('Данные 1st'!$S$2:$S$317,$A73,'Данные 1st'!$DF$2:$DF$317),"")</f>
        <v>635</v>
      </c>
      <c r="AQ73" s="7">
        <f>IFERROR(AVERAGEIF('Данные 1st'!$S$2:$S$317,$A73,'Данные 1st'!$DG$2:$DG$317),"")</f>
        <v>3</v>
      </c>
      <c r="AR73" s="7">
        <f>IFERROR(AVERAGEIF('Данные 1st'!$S$2:$S$317,$A73,'Данные 1st'!$DH$2:$DH$317),"")</f>
        <v>0.88</v>
      </c>
      <c r="AS73" s="7">
        <f>IFERROR(AVERAGEIF('Данные 1st'!$S$2:$S$317,$A73,'Данные 1st'!$DI$2:$DI$317),"")</f>
        <v>1547</v>
      </c>
      <c r="AT73" s="7">
        <f>IFERROR(AVERAGEIF('Данные 1st'!$S$2:$S$317,$A73,'Данные 1st'!$DJ$2:$DJ$317),"")</f>
        <v>1177.3333333333333</v>
      </c>
      <c r="AU73" s="7">
        <f>IFERROR(AVERAGEIF('Данные 1st'!$S$2:$S$317,$A73,'Данные 1st'!$DL$2:$DL$317),"")</f>
        <v>551.6666666666666</v>
      </c>
      <c r="AV73" s="7">
        <f>IFERROR(AVERAGEIF('Данные 1st'!$S$2:$S$317,$A73,'Данные 1st'!$DM$2:$DM$317),"")</f>
        <v>3</v>
      </c>
      <c r="AW73" s="7">
        <f>IFERROR(AVERAGEIF('Данные 1st'!$S$2:$S$317,$A73,'Данные 1st'!$DN$2:$DN$317),"")</f>
        <v>0.88</v>
      </c>
      <c r="AX73" s="7">
        <f>IFERROR(AVERAGEIF('Данные 1st'!$S$2:$S$317,$A73,'Данные 1st'!$DO$2:$DO$317),"")</f>
        <v>1553</v>
      </c>
      <c r="AY73" s="7">
        <f>IFERROR(AVERAGEIF('Данные 1st'!$S$2:$S$317,$A73,'Данные 1st'!$DP$2:$DP$317),"")</f>
        <v>926</v>
      </c>
      <c r="AZ73" s="7">
        <f>IFERROR(AVERAGEIF('Данные 1st'!$S$2:$S$317,$A73,'Данные 1st'!$DR$2:$DR$317),"")</f>
        <v/>
      </c>
      <c r="BA73" s="7">
        <f>IFERROR(AVERAGEIF('Данные 1st'!$S$2:$S$317,$A73,'Данные 1st'!$DS$2:$DS$317),"")</f>
        <v/>
      </c>
      <c r="BB73" s="7">
        <f>IFERROR(AVERAGEIF('Данные 1st'!$S$2:$S$317,$A73,'Данные 1st'!$DT$2:$DT$317),"")</f>
        <v/>
      </c>
      <c r="BC73" s="7">
        <f>IFERROR(AVERAGEIF('Данные 1st'!$S$2:$S$317,$A73,'Данные 1st'!$DU$2:$DU$317),"")</f>
        <v/>
      </c>
      <c r="BD73" s="7">
        <f>IFERROR(AVERAGEIF('Данные 1st'!$S$2:$S$317,$A73,'Данные 1st'!$DV$2:$DV$317),"")</f>
        <v/>
      </c>
      <c r="BE73" s="7">
        <f>IFERROR(AVERAGEIF('Данные 1st'!$S$2:$S$317,$A73,'Данные 1st'!$DX$2:$DX$317),"")</f>
        <v>7.5</v>
      </c>
      <c r="BF73" s="7">
        <f>IFERROR(AVERAGEIF('Данные 1st'!$S$2:$S$317,$A73,'Данные 1st'!$EA$2:$EA$317),"")</f>
        <v>1623.8</v>
      </c>
      <c r="BG73" s="7">
        <f>IFERROR(AVERAGEIF('Данные 1st'!$S$2:$S$317,$A73,'Данные 1st'!$EB$2:$EB$317),"")</f>
        <v>350.3333333333333</v>
      </c>
      <c r="BH73" s="7">
        <f>IFERROR(AVERAGEIF('Данные 1st'!$S$2:$S$317,$A73,'Данные 1st'!$ED$2:$ED$317),"")</f>
        <v>38.333333333333336</v>
      </c>
      <c r="BI73" s="7">
        <f>IFERROR(AVERAGEIF('Данные 1st'!$S$2:$S$317,$A73,'Данные 1st'!$EE$2:$EE$317),"")</f>
        <v>3</v>
      </c>
      <c r="BJ73" s="7">
        <f>IFERROR(AVERAGEIF('Данные 1st'!$S$2:$S$317,$A73,'Данные 1st'!$EG$2:$EG$317),"")</f>
        <v>1671.6666666666667</v>
      </c>
      <c r="BK73" s="7">
        <f>IFERROR(AVERAGEIF('Данные 1st'!$S$2:$S$317,$A73,'Данные 1st'!$EH$2:$EH$317),"")</f>
        <v>258.3333333333333</v>
      </c>
      <c r="BL73" s="7">
        <f>IFERROR(AVERAGEIF('Данные 1st'!$S$2:$S$317,$A73,'Данные 1st'!$EJ$2:$EJ$317),"")</f>
        <v>0</v>
      </c>
      <c r="BM73" s="7">
        <f>IFERROR(AVERAGEIF('Данные 1st'!$S$2:$S$317,$A73,'Данные 1st'!$EK$2:$EK$317),"")</f>
        <v>1</v>
      </c>
      <c r="BN73" s="7">
        <f>IFERROR(AVERAGEIF('Данные 1st'!$S$2:$S$317,$A73,'Данные 1st'!$EN$2:$EN$317),"")</f>
        <v>0</v>
      </c>
      <c r="BO73" s="7">
        <f>IFERROR(AVERAGEIF('Данные 1st'!$S$2:$S$317,$A73,'Данные 1st'!$EQ$2:$EQ$317),"")</f>
        <v>128.33333333333334</v>
      </c>
      <c r="BP73" s="7">
        <f>IFERROR(AVERAGEIF('Данные 1st'!$S$2:$S$317,$A73,'Данные 1st'!$ER$2:$ER$317),"")</f>
        <v>3</v>
      </c>
      <c r="BQ73" s="7">
        <f>IFERROR(AVERAGEIF('Данные 1st'!$S$2:$S$317,$A73,'Данные 1st'!$ES$2:$ES$317),"")</f>
        <v>5.666666666666667</v>
      </c>
      <c r="BR73" s="7">
        <f>IFERROR(AVERAGEIF('Данные 1st'!$S$2:$S$317,$A73,'Данные 1st'!$ET$2:$ET$317),"")</f>
        <v>1535</v>
      </c>
      <c r="BS73" s="7">
        <f>IFERROR(AVERAGEIF('Данные 1st'!$S$2:$S$317,$A73,'Данные 1st'!$EU$2:$EU$317),"")</f>
        <v>589.5333333333333</v>
      </c>
      <c r="BT73" s="7">
        <f>IFERROR(AVERAGEIF('Данные 1st'!$S$2:$S$317,$A73,'Данные 1st'!$EV$2:$EV$317),"")</f>
        <v>904.6666666666666</v>
      </c>
      <c r="BU73" s="7">
        <f>IFERROR(AVERAGEIF('Данные 1st'!$S$2:$S$317,$A73,'Данные 1st'!$EX$2:$EX$317),"")</f>
        <v>45</v>
      </c>
      <c r="BV73" s="7">
        <f>IFERROR(AVERAGEIF('Данные 1st'!$S$2:$S$317,$A73,'Данные 1st'!$EY$2:$EY$317),"")</f>
        <v>2</v>
      </c>
      <c r="BW73" s="7">
        <f>IFERROR(AVERAGEIF('Данные 1st'!$S$2:$S$317,$A73,'Данные 1st'!$EZ$2:$EZ$317),"")</f>
        <v>4.333333333333333</v>
      </c>
      <c r="BX73" s="7">
        <f>IFERROR(AVERAGEIF('Данные 1st'!$S$2:$S$317,$A73,'Данные 1st'!$FA$2:$FA$317),"")</f>
        <v>1535</v>
      </c>
      <c r="BY73" s="7">
        <f>IFERROR(AVERAGEIF('Данные 1st'!$S$2:$S$317,$A73,'Данные 1st'!$FB$2:$FB$317),"")</f>
        <v>136.23333333333332</v>
      </c>
      <c r="BZ73" s="7">
        <f>IFERROR(AVERAGEIF('Данные 1st'!$S$2:$S$317,$A73,'Данные 1st'!$FC$2:$FC$317),"")</f>
        <v>209</v>
      </c>
      <c r="CA73" s="7">
        <f>IFERROR(AVERAGEIF('Данные 1st'!$S$2:$S$317,$A73,'Данные 1st'!$FE$2:$FE$317),"")</f>
        <v>0</v>
      </c>
      <c r="CB73" s="7">
        <f>IFERROR(AVERAGEIF('Данные 1st'!$S$2:$S$317,$A73,'Данные 1st'!$FF$2:$FF$317),"")</f>
        <v>2</v>
      </c>
      <c r="CC73" s="7">
        <f>IFERROR(AVERAGEIF('Данные 1st'!$S$2:$S$317,$A73,'Данные 1st'!$FI$2:$FI$317),"")</f>
        <v>0</v>
      </c>
      <c r="CD73" s="7">
        <f>IFERROR(AVERAGEIF('Данные 1st'!$S$2:$S$317,$A73,'Данные 1st'!$FL$2:$FL$317),"")</f>
        <v>0.4</v>
      </c>
      <c r="CE73" s="7">
        <f>IFERROR(AVERAGEIF('Данные 1st'!$S$2:$S$317,$A73,'Данные 1st'!$FM$2:$FM$317),"")</f>
        <v>58.333333333333336</v>
      </c>
      <c r="CF73" s="7">
        <f>IFERROR(AVERAGEIF('Данные 1st'!$S$2:$S$317,$A73,'Данные 1st'!$FN$2:$FN$317),"")</f>
        <v>410</v>
      </c>
      <c r="CG73" s="7">
        <f>IFERROR(AVERAGEIF('Данные 1st'!$S$2:$S$317,$A73,'Данные 1st'!$FO$2:$FO$317),"")</f>
        <v>85</v>
      </c>
      <c r="CH73" s="7">
        <f>IFERROR(AVERAGEIF('Данные 1st'!$S$2:$S$317,$A73,'Данные 1st'!$FP$2:$FP$317),"")</f>
        <v>153.33333333333334</v>
      </c>
      <c r="CI73" s="7">
        <f>IFERROR(AVERAGEIF('Данные 1st'!$S$2:$S$317,$A73,'Данные 1st'!$FS$2:$FS$317),"")</f>
        <v>0.4</v>
      </c>
      <c r="CJ73" s="7">
        <f>IFERROR(AVERAGEIF('Данные 1st'!$S$2:$S$317,$A73,'Данные 1st'!$FT$2:$FT$317),"")</f>
        <v>30</v>
      </c>
      <c r="CK73" s="7">
        <f>IFERROR(AVERAGEIF('Данные 1st'!$S$2:$S$317,$A73,'Данные 1st'!$FU$2:$FU$317),"")</f>
        <v>570</v>
      </c>
      <c r="CL73" s="7">
        <f>IFERROR(AVERAGEIF('Данные 1st'!$S$2:$S$317,$A73,'Данные 1st'!$FV$2:$FV$317),"")</f>
        <v/>
      </c>
      <c r="CM73" s="7">
        <f>IFERROR(AVERAGEIF('Данные 1st'!$S$2:$S$317,$A73,'Данные 1st'!$FW$2:$FW$317),"")</f>
        <v/>
      </c>
      <c r="CN73" s="7">
        <f>IFERROR(AVERAGEIF('Данные 1st'!$S$2:$S$317,$A73,'Данные 1st'!$FZ$2:$FZ$317),"")</f>
        <v/>
      </c>
      <c r="CO73" s="7">
        <f>IFERROR(AVERAGEIF('Данные 1st'!$S$2:$S$317,$A73,'Данные 1st'!$GA$2:$GA$317),"")</f>
        <v/>
      </c>
      <c r="CP73" s="7">
        <f>IFERROR(AVERAGEIF('Данные 1st'!$S$2:$S$317,$A73,'Данные 1st'!$GB$2:$GB$317),"")</f>
        <v/>
      </c>
      <c r="CQ73" s="7">
        <f>IFERROR(AVERAGEIF('Данные 1st'!$S$2:$S$317,$A73,'Данные 1st'!$GH$2:$GH$317),"")</f>
        <v/>
      </c>
      <c r="CR73" s="7">
        <f>IFERROR(AVERAGEIF('Данные 1st'!$S$2:$S$317,$A73,'Данные 1st'!$GI$2:$GI$317),"")</f>
        <v/>
      </c>
      <c r="CS73" s="7">
        <f>IFERROR(AVERAGEIF('Данные 1st'!$S$2:$S$317,$A73,'Данные 1st'!$GJ$2:$GJ$317),"")</f>
        <v/>
      </c>
      <c r="CT73" s="7">
        <f>IFERROR(AVERAGEIF('Данные 1st'!$S$2:$S$317,$A73,'Данные 1st'!$GS$2:$GS$317),"")</f>
        <v>0.4</v>
      </c>
      <c r="CU73" s="7">
        <f>IFERROR(AVERAGEIF('Данные 1st'!$S$2:$S$317,$A73,'Данные 1st'!$GT$2:$GT$317),"")</f>
        <v>30</v>
      </c>
      <c r="CV73" s="7">
        <f>IFERROR(AVERAGEIF('Данные 1st'!$S$2:$S$317,$A73,'Данные 1st'!$GU$2:$GU$317),"")</f>
        <v>433.3333333333333</v>
      </c>
      <c r="CW73" s="7">
        <f>IFERROR(AVERAGEIF('Данные 1st'!$S$2:$S$317,$A73,'Данные 1st'!$GV$2:$GV$317),"")</f>
        <v>30</v>
      </c>
      <c r="CX73" s="7">
        <f>IFERROR(AVERAGEIF('Данные 1st'!$S$2:$S$317,$A73,'Данные 1st'!$GW$2:$GW$317),"")</f>
        <v>290</v>
      </c>
      <c r="CY73" s="7">
        <f>IFERROR(AVERAGEIF('Данные 1st'!$S$2:$S$317,$A73,'Данные 1st'!$GZ$2:$GZ$317),"")</f>
        <v/>
      </c>
      <c r="CZ73" s="7">
        <f>IFERROR(AVERAGEIF('Данные 1st'!$S$2:$S$317,$A73,'Данные 1st'!$HA$2:$HA$317),"")</f>
        <v/>
      </c>
      <c r="DA73" s="7">
        <f>IFERROR(AVERAGEIF('Данные 1st'!$S$2:$S$317,$A73,'Данные 1st'!$HB$2:$HB$317),"")</f>
        <v/>
      </c>
      <c r="DB73" s="7">
        <f>IFERROR(AVERAGEIF('Данные 1st'!$S$2:$S$317,$A73,'Данные 1st'!$HC$2:$HC$317),"")</f>
        <v>0.1</v>
      </c>
      <c r="DC73" s="7">
        <f>IFERROR(AVERAGEIF('Данные 1st'!$S$2:$S$317,$A73,'Данные 1st'!$HD$2:$HD$317),"")</f>
        <v>3</v>
      </c>
      <c r="DD73" s="7">
        <f>IFERROR(AVERAGEIF('Данные 1st'!$S$2:$S$317,$A73,'Данные 1st'!$HE$2:$HE$317),"")</f>
        <v>3</v>
      </c>
      <c r="DE73" s="7">
        <f>IFERROR(AVERAGEIF('Данные 1st'!$S$2:$S$317,$A73,'Данные 1st'!$HF$2:$HF$317),"")</f>
        <v>3</v>
      </c>
      <c r="DF73" s="7">
        <f>IFERROR(AVERAGEIF('Данные 1st'!$S$2:$S$317,$A73,'Данные 1st'!$HG$2:$HG$317),"")</f>
        <v>3</v>
      </c>
      <c r="DG73" s="7">
        <f>IFERROR(AVERAGEIF('Данные 1st'!$S$2:$S$317,$A73,'Данные 1st'!$HH$2:$HH$317),"")</f>
        <v>3</v>
      </c>
      <c r="DH73" s="7">
        <f>IFERROR(AVERAGEIF('Данные 1st'!$S$2:$S$317,$A73,'Данные 1st'!$HI$2:$HI$317),"")</f>
        <v>158.33333333333334</v>
      </c>
      <c r="DI73" s="7">
        <f>IFERROR(AVERAGEIF('Данные 1st'!$S$2:$S$317,$A73,'Данные 1st'!$HJ$2:$HJ$317),"")</f>
        <v>3</v>
      </c>
      <c r="DJ73" s="7">
        <f>IFERROR(AVERAGEIF('Данные 1st'!$S$2:$S$317,$A73,'Данные 1st'!$HK$2:$HK$317),"")</f>
        <v>30</v>
      </c>
      <c r="DK73" s="7">
        <f>IFERROR(AVERAGEIF('Данные 1st'!$S$2:$S$317,$A73,'Данные 1st'!$HL$2:$HL$317),"")</f>
        <v>2</v>
      </c>
      <c r="DL73" s="7">
        <f>IFERROR(AVERAGEIF('Данные 1st'!$S$2:$S$317,$A73,'Данные 1st'!$HM$2:$HM$317),"")</f>
        <v>0</v>
      </c>
      <c r="DM73" s="7">
        <f>IFERROR(AVERAGEIF('Данные 1st'!$S$2:$S$317,$A73,'Данные 1st'!$HN$2:$HN$317),"")</f>
        <v>2</v>
      </c>
      <c r="DN73" s="7">
        <f>IFERROR(AVERAGEIF('Данные 1st'!$S$2:$S$317,$A73,'Данные 1st'!$HO$2:$HO$317),"")</f>
        <v>113.33333333333333</v>
      </c>
      <c r="DO73" s="7">
        <f>IFERROR(AVERAGEIF('Данные 1st'!$S$2:$S$317,$A73,'Данные 1st'!$HP$2:$HP$317),"")</f>
        <v>3</v>
      </c>
      <c r="DP73" s="7">
        <f>IFERROR(AVERAGEIF('Данные 1st'!$S$2:$S$317,$A73,'Данные 1st'!$HQ$2:$HQ$317),"")</f>
        <v>0</v>
      </c>
      <c r="DQ73" s="7">
        <f>IFERROR(AVERAGEIF('Данные 1st'!$S$2:$S$317,$A73,'Данные 1st'!$HR$2:$HR$317),"")</f>
        <v>2</v>
      </c>
      <c r="DR73" s="7">
        <f>IFERROR(AVERAGEIF('Данные 1st'!$S$2:$S$317,$A73,'Данные 1st'!$HS$2:$HS$317),"")</f>
        <v>6695</v>
      </c>
      <c r="DS73" s="7">
        <f>IFERROR(AVERAGEIF('Данные 1st'!$S$2:$S$317,$A73,'Данные 1st'!$HT$2:$HT$317),"")</f>
        <v>200</v>
      </c>
      <c r="DT73" s="7">
        <f>IFERROR(AVERAGEIF('Данные 1st'!$S$2:$S$317,$A73,'Данные 1st'!$HU$2:$HU$317),"")</f>
        <v>180</v>
      </c>
      <c r="DU73" s="7">
        <f>IFERROR(AVERAGEIF('Данные 1st'!$S$2:$S$317,$A73,'Данные 1st'!$HW$2:$HW$317),"")</f>
        <v>0</v>
      </c>
      <c r="DV73" s="7">
        <f>IFERROR(AVERAGEIF('Данные 1st'!$S$2:$S$317,$A73,'Данные 1st'!$HX$2:$HX$317),"")</f>
        <v>505</v>
      </c>
      <c r="DW73" s="7">
        <f>IFERROR(AVERAGEIF('Данные 1st'!$S$2:$S$317,$A73,'Данные 1st'!$HY$2:$HY$317),"")</f>
        <v>0.18</v>
      </c>
      <c r="DX73" s="7">
        <f>IFERROR(AVERAGEIF('Данные 1st'!$S$2:$S$317,$A73,'Данные 1st'!$IA$2:$IA$317),"")</f>
        <v>0.15</v>
      </c>
      <c r="DY73" s="7">
        <f>IFERROR(AVERAGEIF('Данные 1st'!$S$2:$S$317,$A73,'Данные 1st'!$IB$2:$IB$317),"")</f>
        <v>0</v>
      </c>
      <c r="DZ73" s="7">
        <f>IFERROR(AVERAGEIF('Данные 1st'!$S$2:$S$317,$A73,'Данные 1st'!$IC$2:$IC$317),"")</f>
        <v>180</v>
      </c>
      <c r="EA73" s="7">
        <f>IFERROR(AVERAGEIF('Данные 1st'!$S$2:$S$317,$A73,'Данные 1st'!$ID$2:$ID$317),"")</f>
        <v>110</v>
      </c>
      <c r="EB73" s="7">
        <f>IFERROR(AVERAGEIF('Данные 1st'!$S$2:$S$317,$A73,'Данные 1st'!$IE$2:$IE$317),"")</f>
        <v>225</v>
      </c>
      <c r="EC73" s="7">
        <f>IFERROR(AVERAGEIF('Данные 1st'!$S$2:$S$317,$A73,'Данные 1st'!$IF$2:$IF$317),"")</f>
        <v>0</v>
      </c>
      <c r="ED73" s="7">
        <f>IFERROR(AVERAGEIF('Данные 1st'!$S$2:$S$317,$A73,'Данные 1st'!$IP$2:$IP$317),"")</f>
        <v>20</v>
      </c>
      <c r="EE73" s="7">
        <f>IFERROR(AVERAGEIF('Данные 1st'!$S$2:$S$317,$A73,'Данные 1st'!$IV$2:$IV$317),"")</f>
        <v>1538</v>
      </c>
      <c r="EF73" s="7">
        <f>IFERROR(AVERAGEIF('Данные 1st'!$S$2:$S$317,$A73,'Данные 1st'!$IW$2:$IW$317),"")</f>
        <v>474.6666666666667</v>
      </c>
      <c r="EG73" s="7">
        <f>IFERROR(AVERAGEIF('Данные 1st'!$S$2:$S$317,$A73,'Данные 1st'!$IX$2:$IX$317),"")</f>
        <v/>
      </c>
      <c r="EH73" s="7">
        <f>IFERROR(AVERAGEIF('Данные 1st'!$S$2:$S$317,$A73,'Данные 1st'!$IY$2:$IY$317),"")</f>
        <v/>
      </c>
      <c r="EI73" s="7">
        <f>IFERROR(AVERAGEIF('Данные 1st'!$S$2:$S$317,$A73,'Данные 1st'!$JD$2:$JD$317),"")</f>
        <v>1554</v>
      </c>
      <c r="EJ73" s="7">
        <f>IFERROR(AVERAGEIF('Данные 1st'!$S$2:$S$317,$A73,'Данные 1st'!$JE$2:$JE$317),"")</f>
        <v>1547</v>
      </c>
      <c r="EK73" s="7">
        <f>IFERROR(AVERAGEIF('Данные 1st'!$S$2:$S$317,$A73,'Данные 1st'!$JF$2:$JF$317),"")</f>
        <v>1553</v>
      </c>
      <c r="EL73" s="7">
        <f>IFERROR(AVERAGEIF('Данные 1st'!$S$2:$S$317,$A73,'Данные 1st'!$JG$2:$JG$317),"")</f>
        <v>1535</v>
      </c>
      <c r="EM73" s="7">
        <f>IFERROR(AVERAGEIF('Данные 1st'!$S$2:$S$317,$A73,'Данные 1st'!$JH$2:$JH$317),"")</f>
        <v>0</v>
      </c>
      <c r="EN73" s="7">
        <f>IFERROR(AVERAGEIF('Данные 1st'!$S$2:$S$317,$A73,'Данные 1st'!$JJ$2:$JJ$317),"")</f>
        <v>180</v>
      </c>
      <c r="EO73" s="7">
        <f>IFERROR(AVERAGEIF('Данные 1st'!$S$2:$S$317,$A73,'Данные 1st'!$JK$2:$JK$317),"")</f>
        <v>505</v>
      </c>
      <c r="EP73" s="7">
        <f>IFERROR(AVERAGEIF('Данные 1st'!$S$2:$S$317,$A73,'Данные 1st'!$JL$2:$JL$317),"")</f>
        <v/>
      </c>
      <c r="EQ73" s="7">
        <f>IFERROR(AVERAGEIF('Данные 1st'!$S$2:$S$317,$A73,'Данные 1st'!$JM$2:$JM$317),"")</f>
        <v/>
      </c>
      <c r="ER73" s="7">
        <f>IFERROR(AVERAGEIF('Данные 1st'!$S$2:$S$317,$A73,'Данные 1st'!$JN$2:$JN$317),"")</f>
        <v>438.3333333333333</v>
      </c>
      <c r="ES73" s="7">
        <f>IFERROR(AVERAGEIF('Данные 1st'!$S$2:$S$317,$A73,'Данные 1st'!$JO$2:$JO$317),"")</f>
        <v>635</v>
      </c>
      <c r="ET73" s="7">
        <f>IFERROR(AVERAGEIF('Данные 1st'!$S$2:$S$317,$A73,'Данные 1st'!$JP$2:$JP$317),"")</f>
        <v>551.6666666666666</v>
      </c>
      <c r="EU73" s="7">
        <f>IFERROR(AVERAGEIF('Данные 1st'!$S$2:$S$317,$A73,'Данные 1st'!$JQ$2:$JQ$317),"")</f>
        <v>0</v>
      </c>
      <c r="EV73" s="7">
        <f>IFERROR(AVERAGEIF('Данные 1st'!$S$2:$S$317,$A73,'Данные 1st'!$JR$2:$JR$317),"")</f>
        <v>479.3333333333333</v>
      </c>
      <c r="EW73" s="7">
        <f>IFERROR(AVERAGEIF('Данные 1st'!$S$2:$S$317,$A73,'Данные 1st'!$JS$2:$JS$317),"")</f>
        <v>158.33333333333334</v>
      </c>
      <c r="EX73" s="7">
        <f>IFERROR(AVERAGEIF('Данные 1st'!$S$2:$S$317,$A73,'Данные 1st'!$JT$2:$JT$317),"")</f>
        <v/>
      </c>
      <c r="EY73" s="7">
        <f>IFERROR(AVERAGEIF('Данные 1st'!$S$2:$S$317,$A73,'Данные 1st'!$JU$2:$JU$317),"")</f>
        <v/>
      </c>
      <c r="EZ73" s="7">
        <f>IFERROR(AVERAGEIF('Данные 1st'!$S$2:$S$317,$A73,'Данные 1st'!$JV$2:$JV$317),"")</f>
        <v>8</v>
      </c>
      <c r="FA73" s="7">
        <f>IFERROR(AVERAGEIF('Данные 1st'!$S$2:$S$317,$A73,'Данные 1st'!$JW$2:$JW$317),"")</f>
        <v/>
      </c>
      <c r="FB73" s="7">
        <f>IFERROR(AVERAGEIF('Данные 1st'!$S$2:$S$317,$A73,'Данные 1st'!$JX$2:$JX$317),"")</f>
        <v>514</v>
      </c>
      <c r="FC73" s="7">
        <f>IFERROR(AVERAGEIF('Данные 1st'!$S$2:$S$317,$A73,'Данные 1st'!$JY$2:$JY$317),"")</f>
        <v/>
      </c>
      <c r="FD73" s="7">
        <f>IFERROR(AVERAGEIF('Данные 1st'!$S$2:$S$317,$A73,'Данные 1st'!$JZ$2:$JZ$317),"")</f>
        <v/>
      </c>
      <c r="FE73" s="7">
        <f>IFERROR(AVERAGEIF('Данные 1st'!$S$2:$S$317,$A73,'Данные 1st'!$KA$2:$KA$317),"")</f>
        <v>225</v>
      </c>
      <c r="FF73" s="7">
        <f>IFERROR(AVERAGEIF('Данные 1st'!$S$2:$S$317,$A73,'Данные 1st'!$KB$2:$KB$317),"")</f>
        <v>110</v>
      </c>
      <c r="FG73" s="7">
        <f>IFERROR(AVERAGEIF('Данные 1st'!$S$2:$S$317,$A73,'Данные 1st'!$KC$2:$KC$317),"")</f>
        <v>0</v>
      </c>
      <c r="FH73" s="7">
        <f>IFERROR(AVERAGEIF('Данные 1st'!$S$2:$S$317,$A73,'Данные 1st'!$KD$2:$KD$317),"")</f>
        <v>80</v>
      </c>
      <c r="FI73" s="7">
        <f>IFERROR(AVERAGEIF('Данные 1st'!$S$2:$S$317,$A73,'Данные 1st'!$KE$2:$KE$317),"")</f>
        <v/>
      </c>
      <c r="FJ73" s="7">
        <f>IFERROR(AVERAGEIF('Данные 1st'!$S$2:$S$317,$A73,'Данные 1st'!$KF$2:$KF$317),"")</f>
        <v>4</v>
      </c>
      <c r="FK73" s="7">
        <f>IFERROR(AVERAGEIF('Данные 1st'!$S$2:$S$317,$A73,'Данные 1st'!$KG$2:$KG$317),"")</f>
        <v>2</v>
      </c>
      <c r="FL73" s="7">
        <f>IFERROR(AVERAGEIF('Данные 1st'!$S$2:$S$317,$A73,'Данные 1st'!$KH$2:$KH$317),"")</f>
        <v>2</v>
      </c>
      <c r="FM73" s="7">
        <f>IFERROR(AVERAGEIF('Данные 1st'!$S$2:$S$317,$A73,'Данные 1st'!$KI$2:$KI$317),"")</f>
        <v>2</v>
      </c>
      <c r="FN73" s="7">
        <f>IFERROR(AVERAGEIF('Данные 1st'!$S$2:$S$317,$A73,'Данные 1st'!$KJ$2:$KJ$317),"")</f>
        <v>0</v>
      </c>
      <c r="FO73" s="7">
        <f>IFERROR(AVERAGEIF('Данные 1st'!$S$2:$S$317,$A73,'Данные 1st'!$KK$2:$KK$317),"")</f>
        <v>1.5</v>
      </c>
      <c r="FP73" s="7">
        <f>IFERROR(AVERAGEIF('Данные 1st'!$S$2:$S$317,$A73,'Данные 1st'!$KL$2:$KL$317),"")</f>
        <v>1.5</v>
      </c>
      <c r="FQ73" s="7">
        <f>IFERROR(AVERAGEIF('Данные 1st'!$S$2:$S$317,$A73,'Данные 1st'!$KM$2:$KM$317),"")</f>
        <v>0</v>
      </c>
      <c r="FR73" s="7">
        <f>IFERROR(AVERAGEIF('Данные 1st'!$S$2:$S$317,$A73,'Данные 1st'!$KN$2:$KN$317),"")</f>
        <v>0</v>
      </c>
      <c r="FS73" s="7">
        <f>IFERROR(AVERAGEIF('Данные 1st'!$S$2:$S$317,$A73,'Данные 1st'!$KR$2:$KR$317),"")</f>
        <v>30</v>
      </c>
      <c r="FT73" s="7">
        <f>IFERROR(AVERAGEIF('Данные 1st'!$S$2:$S$317,$A73,'Данные 1st'!$KS$2:$KS$317),"")</f>
        <v>60</v>
      </c>
      <c r="FU73" s="7">
        <f>IFERROR(AVERAGEIF('Данные 1st'!$S$2:$S$317,$A73,'Данные 1st'!$KT$2:$KT$317),"")</f>
        <v>0</v>
      </c>
      <c r="FV73" s="7">
        <f>IFERROR(AVERAGEIF('Данные 1st'!$S$2:$S$317,$A73,'Данные 1st'!$KV$2:$KV$317),"")</f>
        <v/>
      </c>
      <c r="FW73" s="7">
        <f>IFERROR(AVERAGEIF('Данные 1st'!$S$2:$S$317,$A73,'Данные 1st'!$KW$2:$KW$317),"")</f>
        <v/>
      </c>
      <c r="FX73" s="7">
        <f>IFERROR(AVERAGEIF('Данные 1st'!$S$2:$S$317,$A73,'Данные 1st'!$KX$2:$KX$317),"")</f>
        <v/>
      </c>
      <c r="FY73" s="7">
        <f>IFERROR(AVERAGEIF('Данные 1st'!$S$2:$S$317,$A73,'Данные 1st'!$KY$2:$KY$317),"")</f>
        <v/>
      </c>
      <c r="FZ73" s="7">
        <f>IFERROR(AVERAGEIF('Данные 1st'!$S$2:$S$317,$A73,'Данные 1st'!$KZ$2:$KZ$317),"")</f>
        <v/>
      </c>
      <c r="GA73" s="7">
        <f>IFERROR(AVERAGEIF('Данные 1st'!$S$2:$S$317,$A73,'Данные 1st'!$LA$2:$LA$317),"")</f>
        <v/>
      </c>
      <c r="GB73" s="7">
        <f>IFERROR(AVERAGEIF('Данные 1st'!$S$2:$S$317,$A73,'Данные 1st'!$LB$2:$LB$317),"")</f>
        <v/>
      </c>
      <c r="GC73" s="7">
        <f>IFERROR(AVERAGEIF('Данные 1st'!$S$2:$S$317,$A73,'Данные 1st'!$LC$2:$LC$317),"")</f>
        <v/>
      </c>
      <c r="GD73" s="7">
        <f>IFERROR(AVERAGEIF('Данные 1st'!$S$2:$S$317,$A73,'Данные 1st'!$LD$2:$LD$317),"")</f>
        <v/>
      </c>
      <c r="GE73" s="7">
        <f>IFERROR(AVERAGEIF('Данные 1st'!$S$2:$S$317,$A73,'Данные 1st'!$LE$2:$LE$317),"")</f>
        <v/>
      </c>
      <c r="GF73" s="7">
        <f>IFERROR(AVERAGEIF('Данные 1st'!$S$2:$S$317,$A73,'Данные 1st'!$LF$2:$LF$317),"")</f>
        <v/>
      </c>
      <c r="GG73" s="7">
        <f>IFERROR(AVERAGEIF('Данные 1st'!$S$2:$S$317,$A73,'Данные 1st'!$LG$2:$LG$317),"")</f>
        <v/>
      </c>
      <c r="GH73" s="7">
        <f>IFERROR(AVERAGEIF('Данные 1st'!$S$2:$S$317,$A73,'Данные 1st'!$LH$2:$LH$317),"")</f>
        <v/>
      </c>
      <c r="GI73" s="7">
        <f>IFERROR(AVERAGEIF('Данные 1st'!$S$2:$S$317,$A73,'Данные 1st'!$LI$2:$LI$317),"")</f>
        <v/>
      </c>
      <c r="GJ73" s="7">
        <f>IFERROR(AVERAGEIF('Данные 1st'!$S$2:$S$317,$A73,'Данные 1st'!$LJ$2:$LJ$317),"")</f>
        <v/>
      </c>
      <c r="GK73" s="7">
        <f>IFERROR(AVERAGEIF('Данные 1st'!$S$2:$S$317,$A73,'Данные 1st'!$LK$2:$LK$317),"")</f>
        <v>480</v>
      </c>
      <c r="GL73" s="7">
        <f>IFERROR(AVERAGEIF('Данные 1st'!$S$2:$S$317,$A73,'Данные 1st'!$LV$2:$LV$317),"")</f>
        <v/>
      </c>
      <c r="GM73" s="7">
        <f>IFERROR(AVERAGEIF('Данные 1st'!$S$2:$S$317,$A73,'Данные 1st'!$LW$2:$LW$317),"")</f>
        <v/>
      </c>
      <c r="GN73" s="7">
        <f>IFERROR(AVERAGEIF('Данные 1st'!$S$2:$S$317,$A73,'Данные 1st'!$LX$2:$LX$317),"")</f>
        <v/>
      </c>
      <c r="GO73" s="7">
        <f>IFERROR(AVERAGEIF('Данные 1st'!$S$2:$S$317,$A73,'Данные 1st'!$LY$2:$LY$317),"")</f>
        <v/>
      </c>
      <c r="GP73" s="7">
        <f>IFERROR(AVERAGEIF('Данные 1st'!$S$2:$S$317,$A73,'Данные 1st'!$LZ$2:$LZ$317),"")</f>
        <v/>
      </c>
      <c r="GQ73" s="7">
        <f>IFERROR(AVERAGEIF('Данные 1st'!$S$2:$S$317,$A73,'Данные 1st'!$PG$2:$PG$317),"")</f>
        <v>1</v>
      </c>
      <c r="GR73" s="7">
        <f>IFERROR(AVERAGEIF('Данные 1st'!$S$2:$S$317,$A73,'Данные 1st'!$PX$2:$PX$317),"")</f>
        <v>56</v>
      </c>
      <c r="GS73" s="7">
        <f>IFERROR(AVERAGEIF('Данные 1st'!$S$2:$S$317,$A73,'Данные 1st'!$PY$2:$PY$317),"")</f>
        <v>56.666666666666664</v>
      </c>
      <c r="GT73" s="7">
        <f>IFERROR(AVERAGEIF('Данные 1st'!$S$2:$S$317,$A73,'Данные 1st'!$QA$2:$QA$317),"")</f>
        <v>1.3333333333333333</v>
      </c>
      <c r="GU73" s="7">
        <f>IFERROR(AVERAGEIF('Данные 1st'!$S$2:$S$317,$A73,'Данные 1st'!$QB$2:$QB$317),"")</f>
        <v>1535</v>
      </c>
      <c r="GV73" s="7">
        <f>IFERROR(AVERAGEIF('Данные 1st'!$S$2:$S$317,$A73,'Данные 1st'!$QC$2:$QC$317),"")</f>
        <v>69</v>
      </c>
      <c r="GW73" s="7">
        <f>IFERROR(AVERAGEIF('Данные 1st'!$S$2:$S$317,$A73,'Данные 1st'!$QD$2:$QD$317),"")</f>
        <v>69</v>
      </c>
      <c r="GX73" s="7">
        <f>IFERROR(AVERAGEIF('Данные 1st'!$S$2:$S$317,$A73,'Данные 1st'!$QF$2:$QF$317),"")</f>
        <v>1</v>
      </c>
      <c r="GY73" s="7">
        <f>IFERROR(AVERAGEIF('Данные 1st'!$S$2:$S$317,$A73,'Данные 1st'!$QG$2:$QG$317),"")</f>
        <v>1554</v>
      </c>
      <c r="GZ73" s="7">
        <f>IFERROR(AVERAGEIF('Данные 1st'!$S$2:$S$317,$A73,'Данные 1st'!$QH$2:$QH$317),"")</f>
        <v>66</v>
      </c>
      <c r="HA73" s="7">
        <f>IFERROR(AVERAGEIF('Данные 1st'!$S$2:$S$317,$A73,'Данные 1st'!$QI$2:$QI$317),"")</f>
        <v>66</v>
      </c>
      <c r="HB73" s="7">
        <f>IFERROR(AVERAGEIF('Данные 1st'!$S$2:$S$317,$A73,'Данные 1st'!$QK$2:$QK$317),"")</f>
        <v>1</v>
      </c>
      <c r="HC73" s="7">
        <f>IFERROR(AVERAGEIF('Данные 1st'!$S$2:$S$317,$A73,'Данные 1st'!$QL$2:$QL$317),"")</f>
        <v>1554</v>
      </c>
      <c r="HD73" s="7">
        <f>IFERROR(AVERAGEIF('Данные 1st'!$S$2:$S$317,$A73,'Данные 1st'!$QM$2:$QM$317),"")</f>
        <v>62</v>
      </c>
      <c r="HE73" s="7">
        <f>IFERROR(AVERAGEIF('Данные 1st'!$S$2:$S$317,$A73,'Данные 1st'!$QN$2:$QN$317),"")</f>
        <v>62</v>
      </c>
      <c r="HF73" s="7">
        <f>IFERROR(AVERAGEIF('Данные 1st'!$S$2:$S$317,$A73,'Данные 1st'!$QP$2:$QP$317),"")</f>
        <v>1</v>
      </c>
      <c r="HG73" s="7">
        <f>IFERROR(AVERAGEIF('Данные 1st'!$S$2:$S$317,$A73,'Данные 1st'!$QQ$2:$QQ$317),"")</f>
        <v>1547</v>
      </c>
      <c r="HH73" s="7">
        <f>IFERROR(AVERAGEIF('Данные 1st'!$S$2:$S$317,$A73,'Данные 1st'!$QR$2:$QR$317),"")</f>
        <v>62</v>
      </c>
      <c r="HI73" s="7">
        <f>IFERROR(AVERAGEIF('Данные 1st'!$S$2:$S$317,$A73,'Данные 1st'!$QS$2:$QS$317),"")</f>
        <v>62</v>
      </c>
      <c r="HJ73" s="7">
        <f>IFERROR(AVERAGEIF('Данные 1st'!$S$2:$S$317,$A73,'Данные 1st'!$QU$2:$QU$317),"")</f>
        <v>1</v>
      </c>
      <c r="HK73" s="7">
        <f>IFERROR(AVERAGEIF('Данные 1st'!$S$2:$S$317,$A73,'Данные 1st'!$QV$2:$QV$317),"")</f>
        <v>1553</v>
      </c>
      <c r="HL73" s="7">
        <f>IFERROR(AVERAGEIF('Данные 1st'!$S$2:$S$317,$A73,'Данные 1st'!$QW$2:$QW$317),"")</f>
        <v>82</v>
      </c>
      <c r="HM73" s="7">
        <f>IFERROR(AVERAGEIF('Данные 1st'!$S$2:$S$317,$A73,'Данные 1st'!$QX$2:$QX$317),"")</f>
        <v/>
      </c>
      <c r="HN73" s="7">
        <f>IFERROR(AVERAGEIF('Данные 1st'!$S$2:$S$317,$A73,'Данные 1st'!$QZ$2:$QZ$317),"")</f>
        <v>2.3333333333333335</v>
      </c>
      <c r="HO73" s="7">
        <f>IFERROR(AVERAGEIF('Данные 1st'!$S$2:$S$317,$A73,'Данные 1st'!$RA$2:$RA$317),"")</f>
        <v>66</v>
      </c>
      <c r="HP73" s="7">
        <f>IFERROR(AVERAGEIF('Данные 1st'!$S$2:$S$317,$A73,'Данные 1st'!$RB$2:$RB$317),"")</f>
        <v>66</v>
      </c>
      <c r="HQ73" s="7">
        <f>IFERROR(AVERAGEIF('Данные 1st'!$S$2:$S$317,$A73,'Данные 1st'!$RD$2:$RD$317),"")</f>
        <v/>
      </c>
      <c r="HR73" s="7">
        <f>IFERROR(AVERAGEIF('Данные 1st'!$S$2:$S$317,$A73,'Данные 1st'!$RE$2:$RE$317),"")</f>
        <v>0</v>
      </c>
      <c r="HS73" s="7">
        <f>IFERROR(AVERAGEIF('Данные 1st'!$S$2:$S$317,$A73,'Данные 1st'!$RF$2:$RF$317),"")</f>
        <v>1</v>
      </c>
      <c r="HT73" s="7">
        <f>IFERROR(AVERAGEIF('Данные 1st'!$S$2:$S$317,$A73,'Данные 1st'!$RG$2:$RG$317),"")</f>
        <v/>
      </c>
      <c r="HU73" s="7">
        <f>IFERROR(AVERAGEIF('Данные 1st'!$S$2:$S$317,$A73,'Данные 1st'!$RH$2:$RH$317),"")</f>
        <v>1</v>
      </c>
      <c r="HV73" s="7">
        <f>IFERROR(AVERAGEIF('Данные 1st'!$S$2:$S$317,$A73,'Данные 1st'!$RI$2:$RI$317),"")</f>
        <v/>
      </c>
      <c r="HW73" s="7">
        <f>IFERROR(AVERAGEIF('Данные 1st'!$S$2:$S$317,$A73,'Данные 1st'!$RJ$2:$RJ$317),"")</f>
        <v>1</v>
      </c>
      <c r="HX73" s="7">
        <f>IFERROR(AVERAGEIF('Данные 1st'!$S$2:$S$317,$A73,'Данные 1st'!$RK$2:$RK$317),"")</f>
        <v>2.3333333333333335</v>
      </c>
      <c r="HY73" s="7">
        <f>IFERROR(AVERAGEIF('Данные 1st'!$S$2:$S$317,$A73,'Данные 1st'!$RL$2:$RL$317),"")</f>
        <v>4</v>
      </c>
      <c r="HZ73" s="7">
        <f>IFERROR(AVERAGEIF('Данные 1st'!$S$2:$S$317,$A73,'Данные 1st'!$RM$2:$RM$317),"")</f>
        <v>4</v>
      </c>
      <c r="IA73" s="7">
        <f>IFERROR(AVERAGEIF('Данные 1st'!$S$2:$S$317,$A73,'Данные 1st'!$RN$2:$RN$317),"")</f>
        <v/>
      </c>
      <c r="IB73" s="7">
        <f>IFERROR(AVERAGEIF('Данные 1st'!$S$2:$S$317,$A73,'Данные 1st'!$RO$2:$RO$317),"")</f>
        <v>620.6666666666666</v>
      </c>
      <c r="IC73" s="7">
        <f>IFERROR(AVERAGEIF('Данные 1st'!$S$2:$S$317,$A73,'Данные 1st'!$RP$2:$RP$317),"")</f>
        <v>117.33333333333333</v>
      </c>
      <c r="ID73" s="7">
        <f>IFERROR(AVERAGEIF('Данные 1st'!$S$2:$S$317,$A73,'Данные 1st'!$RQ$2:$RQ$317),"")</f>
        <v>761</v>
      </c>
      <c r="IE73" s="7">
        <f>IFERROR(AVERAGEIF('Данные 1st'!$S$2:$S$317,$A73,'Данные 1st'!$RR$2:$RR$317),"")</f>
        <v>596.3333333333334</v>
      </c>
      <c r="IF73" s="7">
        <f>IFERROR(AVERAGEIF('Данные 1st'!$S$2:$S$317,$A73,'Данные 1st'!$RS$2:$RS$317),"")</f>
        <v/>
      </c>
      <c r="IG73" s="7">
        <f>IFERROR(AVERAGEIF('Данные 1st'!$S$2:$S$317,$A73,'Данные 1st'!$RT$2:$RT$317),"")</f>
        <v>350.3333333333333</v>
      </c>
      <c r="IH73" s="7">
        <f>IFERROR(AVERAGEIF('Данные 1st'!$S$2:$S$317,$A73,'Данные 1st'!$RU$2:$RU$317),"")</f>
        <v>258.3333333333333</v>
      </c>
      <c r="II73" s="7">
        <f>IFERROR(AVERAGEIF('Данные 1st'!$S$2:$S$317,$A73,'Данные 1st'!$RX$2:$RX$317),"")</f>
        <v>15</v>
      </c>
      <c r="IJ73" s="7">
        <f>IFERROR(AVERAGEIF('Данные 1st'!$S$2:$S$317,$A73,'Данные 1st'!$RY$2:$RY$317),"")</f>
        <v>4</v>
      </c>
      <c r="IK73" s="7">
        <f>IFERROR(AVERAGEIF('Данные 1st'!$S$2:$S$317,$A73,'Данные 1st'!$SA$2:$SA$317),"")</f>
        <v>15</v>
      </c>
      <c r="IL73" s="7">
        <f>IFERROR(AVERAGEIF('Данные 1st'!$S$2:$S$317,$A73,'Данные 1st'!$SD$2:$SD$317),"")</f>
        <v>1</v>
      </c>
      <c r="IM73" s="7">
        <f>IFERROR(AVERAGEIF('Данные 1st'!$S$2:$S$317,$A73,'Данные 1st'!$SG$2:$SG$317),"")</f>
        <v>1</v>
      </c>
      <c r="IN73" s="7">
        <f>IFERROR(AVERAGEIF('Данные 1st'!$S$2:$S$317,$A73,'Данные 1st'!$SH$2:$SH$317),"")</f>
        <v>0.995</v>
      </c>
      <c r="IO73" s="7">
        <f>IFERROR(AVERAGEIF('Данные 1st'!$S$2:$S$317,$A73,'Данные 1st'!$SI$2:$SI$317),"")</f>
        <v>0.995</v>
      </c>
      <c r="IP73" s="7">
        <f>IFERROR(AVERAGEIF('Данные 1st'!$S$2:$S$317,$A73,'Данные 1st'!$SJ$2:$SJ$317),"")</f>
        <v>0.995</v>
      </c>
      <c r="IQ73" s="7">
        <f>IFERROR(AVERAGEIF('Данные 1st'!$S$2:$S$317,$A73,'Данные 1st'!$SK$2:$SK$317),"")</f>
        <v>15</v>
      </c>
      <c r="IR73" s="7">
        <f>IFERROR(AVERAGEIF('Данные 1st'!$S$2:$S$317,$A73,'Данные 1st'!$SL$2:$SL$317),"")</f>
        <v>0</v>
      </c>
      <c r="IS73" s="7">
        <f>IFERROR(AVERAGEIF('Данные 1st'!$S$2:$S$317,$A73,'Данные 1st'!$SM$2:$SM$317),"")</f>
        <v>0</v>
      </c>
      <c r="IT73" s="7">
        <f>IFERROR(AVERAGEIF('Данные 1st'!$S$2:$S$317,$A73,'Данные 1st'!$SN$2:$SN$317),"")</f>
        <v>0</v>
      </c>
      <c r="IU73" s="7">
        <f>IFERROR(AVERAGEIF('Данные 1st'!$S$2:$S$317,$A73,'Данные 1st'!$SO$2:$SO$317),"")</f>
        <v>0</v>
      </c>
      <c r="IV73" s="7">
        <f>IFERROR(AVERAGEIF('Данные 1st'!$S$2:$S$317,$A73,'Данные 1st'!$SP$2:$SP$317),"")</f>
        <v>0</v>
      </c>
      <c r="IW73" s="7">
        <f>IFERROR(AVERAGEIF('Данные 1st'!$S$2:$S$317,$A73,'Данные 1st'!$SQ$2:$SQ$317),"")</f>
        <v>0</v>
      </c>
      <c r="IX73" s="7">
        <f>IFERROR(AVERAGEIF('Данные 1st'!$S$2:$S$317,$A73,'Данные 1st'!$SR$2:$SR$317),"")</f>
        <v>0</v>
      </c>
      <c r="IY73" s="7">
        <f>IFERROR(AVERAGEIF('Данные 1st'!$S$2:$S$317,$A73,'Данные 1st'!$SS$2:$SS$317),"")</f>
        <v>0</v>
      </c>
      <c r="IZ73" s="7">
        <f>IFERROR(AVERAGEIF('Данные 1st'!$S$2:$S$317,$A73,'Данные 1st'!$ST$2:$ST$317),"")</f>
        <v>0</v>
      </c>
      <c r="JA73" s="7">
        <f>IFERROR(AVERAGEIF('Данные 1st'!$S$2:$S$317,$A73,'Данные 1st'!$SU$2:$SU$317),"")</f>
        <v>0</v>
      </c>
      <c r="JB73" s="7">
        <f>IFERROR(AVERAGEIF('Данные 1st'!$S$2:$S$317,$A73,'Данные 1st'!$SV$2:$SV$317),"")</f>
        <v>0</v>
      </c>
      <c r="JC73" s="7">
        <f>IFERROR(AVERAGEIF('Данные 1st'!$S$2:$S$317,$A73,'Данные 1st'!$SW$2:$SW$317),"")</f>
        <v>0</v>
      </c>
      <c r="JD73" s="7">
        <f>IFERROR(AVERAGEIF('Данные 1st'!$S$2:$S$317,$A73,'Данные 1st'!$SX$2:$SX$317),"")</f>
        <v>0</v>
      </c>
      <c r="JE73" s="7">
        <f>IFERROR(AVERAGEIF('Данные 1st'!$S$2:$S$317,$A73,'Данные 1st'!$SY$2:$SY$317),"")</f>
        <v>1</v>
      </c>
      <c r="JF73" s="7">
        <f>IFERROR(AVERAGEIF('Данные 1st'!$S$2:$S$317,$A73,'Данные 1st'!$SZ$2:$SZ$317),"")</f>
        <v>1</v>
      </c>
      <c r="JG73" s="7">
        <f>IFERROR(AVERAGEIF('Данные 1st'!$S$2:$S$317,$A73,'Данные 1st'!$TA$2:$TA$317),"")</f>
        <v/>
      </c>
      <c r="JH73" s="7">
        <f>IFERROR(AVERAGEIF('Данные 1st'!$S$2:$S$317,$A73,'Данные 1st'!$TB$2:$TB$317),"")</f>
        <v>0</v>
      </c>
      <c r="JI73" s="7">
        <f>IFERROR(AVERAGEIF('Данные 1st'!$S$2:$S$317,$A73,'Данные 1st'!$TC$2:$TC$317),"")</f>
        <v>0</v>
      </c>
      <c r="JJ73" s="7">
        <f>IFERROR(AVERAGEIF('Данные 1st'!$S$2:$S$317,$A73,'Данные 1st'!$TD$2:$TD$317),"")</f>
        <v>7.5</v>
      </c>
      <c r="JK73" s="7">
        <f>IFERROR(AVERAGEIF('Данные 1st'!$S$2:$S$317,$A73,'Данные 1st'!$TN$2:$TN$317),"")</f>
        <v>0</v>
      </c>
      <c r="JL73">
        <f>COUNTIF('Данные 2st'!$Q$2:$Q$317,$A73)</f>
        <v>3</v>
      </c>
      <c r="JM73" s="6" t="s">
        <v>5119</v>
      </c>
      <c r="JN73" s="6" t="s">
        <v>513</v>
      </c>
      <c r="JO73" s="6" t="s">
        <v>5125</v>
      </c>
      <c r="JP73" s="6" t="s">
        <v>5519</v>
      </c>
      <c r="JQ73" s="7">
        <f>IFERROR(AVERAGEIF('Данные 2st'!$Q$2:$Q$317,$A73,'Данные 2st'!$AC$2:$AC$317),"")</f>
        <v>9</v>
      </c>
      <c r="JR73" s="7">
        <f>IFERROR(AVERAGEIF('Данные 2st'!$Q$2:$Q$317,$A73,'Данные 2st'!$AF$2:$AF$317),"")</f>
        <v>6695</v>
      </c>
      <c r="JS73" s="7">
        <f>IFERROR(AVERAGEIF('Данные 2st'!$Q$2:$Q$317,$A73,'Данные 2st'!$AW$2:$AW$317),"")</f>
        <v>6.4</v>
      </c>
      <c r="JT73" s="7">
        <f>IFERROR(AVERAGEIF('Данные 2st'!$Q$2:$Q$317,$A73,'Данные 2st'!$AX$2:$AX$317),"")</f>
        <v>-6</v>
      </c>
      <c r="JU73" s="7">
        <f>IFERROR(AVERAGEIF('Данные 2st'!$Q$2:$Q$317,$A73,'Данные 2st'!$AY$2:$AY$317),"")</f>
        <v>110.83333333333333</v>
      </c>
      <c r="JV73" s="7">
        <f>IFERROR(AVERAGEIF('Данные 2st'!$Q$2:$Q$317,$A73,'Данные 2st'!$AZ$2:$AZ$317),"")</f>
        <v>84.83333333333333</v>
      </c>
      <c r="JW73" s="7">
        <f>IFERROR(AVERAGEIF('Данные 2st'!$Q$2:$Q$317,$A73,'Данные 2st'!$BA$2:$BA$317),"")</f>
        <v/>
      </c>
      <c r="JX73" s="7">
        <f>IFERROR(AVERAGEIF('Данные 2st'!$Q$2:$Q$317,$A73,'Данные 2st'!$BB$2:$BB$317),"")</f>
        <v/>
      </c>
      <c r="JY73" s="7">
        <f>IFERROR(AVERAGEIF('Данные 2st'!$Q$2:$Q$317,$A73,'Данные 2st'!$BC$2:$BC$317),"")</f>
        <v/>
      </c>
      <c r="JZ73" s="7">
        <f>IFERROR(AVERAGEIF('Данные 2st'!$Q$2:$Q$317,$A73,'Данные 2st'!$BH$2:$BH$317),"")</f>
        <v>110.83333333333333</v>
      </c>
      <c r="KA73" s="7">
        <f>IFERROR(AVERAGEIF('Данные 2st'!$Q$2:$Q$317,$A73,'Данные 2st'!$BI$2:$BI$317),"")</f>
        <v>26</v>
      </c>
      <c r="KB73" s="7">
        <f>IFERROR(AVERAGEIF('Данные 2st'!$Q$2:$Q$317,$A73,'Данные 2st'!$BJ$2:$BJ$317),"")</f>
        <v>84.83333333333333</v>
      </c>
      <c r="KC73" s="7">
        <f>IFERROR(AVERAGEIF('Данные 2st'!$Q$2:$Q$317,$A73,'Данные 2st'!$BK$2:$BK$317),"")</f>
        <v>2.5</v>
      </c>
      <c r="KD73" s="7">
        <f>IFERROR(AVERAGEIF('Данные 2st'!$Q$2:$Q$317,$A73,'Данные 2st'!$BL$2:$BL$317),"")</f>
        <v>221.66666666666666</v>
      </c>
      <c r="KE73" s="7">
        <f>IFERROR(AVERAGEIF('Данные 2st'!$Q$2:$Q$317,$A73,'Данные 2st'!$BM$2:$BM$317),"")</f>
        <v>-6</v>
      </c>
      <c r="KF73" s="7">
        <f>IFERROR(AVERAGEIF('Данные 2st'!$Q$2:$Q$317,$A73,'Данные 2st'!$BN$2:$BN$317),"")</f>
        <v>0</v>
      </c>
      <c r="KG73" s="7">
        <f>IFERROR(AVERAGEIF('Данные 2st'!$Q$2:$Q$317,$A73,'Данные 2st'!$BO$2:$BO$317),"")</f>
        <v>0</v>
      </c>
      <c r="KH73" s="7">
        <f>IFERROR(AVERAGEIF('Данные 2st'!$Q$2:$Q$317,$A73,'Данные 2st'!$BP$2:$BP$317),"")</f>
        <v>0</v>
      </c>
      <c r="KI73" s="7">
        <f>IFERROR(AVERAGEIF('Данные 2st'!$Q$2:$Q$317,$A73,'Данные 2st'!$BR$2:$BR$317),"")</f>
        <v>216.66666666666666</v>
      </c>
      <c r="KJ73" s="7">
        <f>IFERROR(AVERAGEIF('Данные 2st'!$Q$2:$Q$317,$A73,'Данные 2st'!$BS$2:$BS$317),"")</f>
        <v>206.66666666666666</v>
      </c>
      <c r="KK73" s="7">
        <f>IFERROR(AVERAGEIF('Данные 2st'!$Q$2:$Q$317,$A73,'Данные 2st'!$BT$2:$BT$317),"")</f>
        <v>2311.6666666666665</v>
      </c>
      <c r="KL73" s="7">
        <f>IFERROR(AVERAGEIF('Данные 2st'!$Q$2:$Q$317,$A73,'Данные 2st'!$CV$2:$CV$317),"")</f>
        <v>137.33333333333334</v>
      </c>
      <c r="KM73" s="7">
        <f>IFERROR(AVERAGEIF('Данные 2st'!$Q$2:$Q$317,$A73,'Данные 2st'!$CW$2:$CW$317),"")</f>
        <v>3</v>
      </c>
      <c r="KN73" s="7">
        <f>IFERROR(AVERAGEIF('Данные 2st'!$Q$2:$Q$317,$A73,'Данные 2st'!$CX$2:$CX$317),"")</f>
        <v>93.66666666666667</v>
      </c>
      <c r="KO73" s="7">
        <f>IFERROR(AVERAGEIF('Данные 2st'!$Q$2:$Q$317,$A73,'Данные 2st'!$CY$2:$CY$317),"")</f>
        <v>5</v>
      </c>
      <c r="KP73" s="7">
        <f>IFERROR(AVERAGEIF('Данные 2st'!$Q$2:$Q$317,$A73,'Данные 2st'!$CZ$2:$CZ$317),"")</f>
        <v>162.66666666666666</v>
      </c>
      <c r="KQ73" s="7">
        <f>IFERROR(AVERAGEIF('Данные 2st'!$Q$2:$Q$317,$A73,'Данные 2st'!$DA$2:$DA$317),"")</f>
        <v>5</v>
      </c>
      <c r="KR73" s="7">
        <f>IFERROR(AVERAGEIF('Данные 2st'!$Q$2:$Q$317,$A73,'Данные 2st'!$DB$2:$DB$317),"")</f>
        <v>15080</v>
      </c>
      <c r="KS73" s="7">
        <f>IFERROR(AVERAGEIF('Данные 2st'!$Q$2:$Q$317,$A73,'Данные 2st'!$DC$2:$DC$317),"")</f>
        <v>446.6666666666667</v>
      </c>
      <c r="KT73" s="7">
        <f>IFERROR(AVERAGEIF('Данные 2st'!$Q$2:$Q$317,$A73,'Данные 2st'!$DD$2:$DD$317),"")</f>
        <v>376.6666666666667</v>
      </c>
      <c r="KU73" s="7">
        <f>IFERROR(AVERAGEIF('Данные 2st'!$Q$2:$Q$317,$A73,'Данные 2st'!$DE$2:$DE$317),"")</f>
        <v>2438.6666666666665</v>
      </c>
      <c r="KV73" s="7">
        <f>IFERROR(AVERAGEIF('Данные 2st'!$Q$2:$Q$317,$A73,'Данные 2st'!$DF$2:$DF$317),"")</f>
        <v>2438.6666666666665</v>
      </c>
      <c r="KW73" s="7">
        <f>IFERROR(AVERAGEIF('Данные 2st'!$Q$2:$Q$317,$A73,'Данные 2st'!$DG$2:$DG$317),"")</f>
        <v>2452</v>
      </c>
      <c r="KX73" s="7">
        <f>IFERROR(AVERAGEIF('Данные 2st'!$Q$2:$Q$317,$A73,'Данные 2st'!$DH$2:$DH$317),"")</f>
        <v>1.6666666666666667</v>
      </c>
      <c r="KY73" s="7">
        <f>IFERROR(AVERAGEIF('Данные 2st'!$Q$2:$Q$317,$A73,'Данные 2st'!$DI$2:$DI$317),"")</f>
        <v/>
      </c>
      <c r="KZ73" s="7">
        <f>IFERROR(AVERAGEIF('Данные 2st'!$Q$2:$Q$317,$A73,'Данные 2st'!$DK$2:$DK$317),"")</f>
        <v>216.66666666666666</v>
      </c>
      <c r="LA73" s="7">
        <f>IFERROR(AVERAGEIF('Данные 2st'!$Q$2:$Q$317,$A73,'Данные 2st'!$DM$2:$DM$317),"")</f>
        <v>64.33333333333333</v>
      </c>
      <c r="LB73" s="7">
        <f>IFERROR(AVERAGEIF('Данные 2st'!$Q$2:$Q$317,$A73,'Данные 2st'!$DN$2:$DN$317),"")</f>
        <v>1.26</v>
      </c>
      <c r="LC73" s="7">
        <f>IFERROR(AVERAGEIF('Данные 2st'!$Q$2:$Q$317,$A73,'Данные 2st'!$DO$2:$DO$317),"")</f>
        <v>1</v>
      </c>
      <c r="LD73" s="7">
        <f>IFERROR(AVERAGEIF('Данные 2st'!$Q$2:$Q$317,$A73,'Данные 2st'!$DP$2:$DP$317),"")</f>
        <v>2315.6666666666665</v>
      </c>
      <c r="LE73" s="7">
        <f>IFERROR(AVERAGEIF('Данные 2st'!$Q$2:$Q$317,$A73,'Данные 2st'!$DQ$2:$DQ$317),"")</f>
        <v>1210.6666666666667</v>
      </c>
      <c r="LF73" s="7">
        <f>IFERROR(AVERAGEIF('Данные 2st'!$Q$2:$Q$317,$A73,'Данные 2st'!$DS$2:$DS$317),"")</f>
        <v>206.66666666666666</v>
      </c>
      <c r="LG73" s="7">
        <f>IFERROR(AVERAGEIF('Данные 2st'!$Q$2:$Q$317,$A73,'Данные 2st'!$DU$2:$DU$317),"")</f>
        <v>64.33333333333333</v>
      </c>
      <c r="LH73" s="7">
        <f>IFERROR(AVERAGEIF('Данные 2st'!$Q$2:$Q$317,$A73,'Данные 2st'!$DV$2:$DV$317),"")</f>
        <v>1.26</v>
      </c>
      <c r="LI73" s="7">
        <f>IFERROR(AVERAGEIF('Данные 2st'!$Q$2:$Q$317,$A73,'Данные 2st'!$DW$2:$DW$317),"")</f>
        <v>1</v>
      </c>
      <c r="LJ73" s="7">
        <f>IFERROR(AVERAGEIF('Данные 2st'!$Q$2:$Q$317,$A73,'Данные 2st'!$DX$2:$DX$317),"")</f>
        <v>2328.6666666666665</v>
      </c>
      <c r="LK73" s="7">
        <f>IFERROR(AVERAGEIF('Данные 2st'!$Q$2:$Q$317,$A73,'Данные 2st'!$DY$2:$DY$317),"")</f>
        <v>1162</v>
      </c>
      <c r="LL73" s="7">
        <f>IFERROR(AVERAGEIF('Данные 2st'!$Q$2:$Q$317,$A73,'Данные 2st'!$EA$2:$EA$317),"")</f>
        <v>20</v>
      </c>
      <c r="LM73" s="7">
        <f>IFERROR(AVERAGEIF('Данные 2st'!$Q$2:$Q$317,$A73,'Данные 2st'!$EC$2:$EC$317),"")</f>
        <v>0.8</v>
      </c>
      <c r="LN73" s="7">
        <f>IFERROR(AVERAGEIF('Данные 2st'!$Q$2:$Q$317,$A73,'Данные 2st'!$ED$2:$ED$317),"")</f>
        <v>2315.6666666666665</v>
      </c>
      <c r="LO73" s="7">
        <f>IFERROR(AVERAGEIF('Данные 2st'!$Q$2:$Q$317,$A73,'Данные 2st'!$EE$2:$EE$317),"")</f>
        <v>81.33333333333333</v>
      </c>
      <c r="LP73" s="7">
        <f>IFERROR(AVERAGEIF('Данные 2st'!$Q$2:$Q$317,$A73,'Данные 2st'!$EG$2:$EG$317),"")</f>
        <v>0</v>
      </c>
      <c r="LQ73" s="7">
        <f>IFERROR(AVERAGEIF('Данные 2st'!$Q$2:$Q$317,$A73,'Данные 2st'!$EI$2:$EI$317),"")</f>
        <v>0</v>
      </c>
      <c r="LR73" s="7">
        <f>IFERROR(AVERAGEIF('Данные 2st'!$Q$2:$Q$317,$A73,'Данные 2st'!$EJ$2:$EJ$317),"")</f>
        <v/>
      </c>
      <c r="LS73" s="7">
        <f>IFERROR(AVERAGEIF('Данные 2st'!$Q$2:$Q$317,$A73,'Данные 2st'!$EK$2:$EK$317),"")</f>
        <v/>
      </c>
      <c r="LT73" s="7">
        <f>IFERROR(AVERAGEIF('Данные 2st'!$Q$2:$Q$317,$A73,'Данные 2st'!$EM$2:$EM$317),"")</f>
        <v>12</v>
      </c>
      <c r="LU73" s="7">
        <f>IFERROR(AVERAGEIF('Данные 2st'!$Q$2:$Q$317,$A73,'Данные 2st'!$EN$2:$EN$317),"")</f>
        <v>0.5</v>
      </c>
      <c r="LV73" s="7">
        <f>IFERROR(AVERAGEIF('Данные 2st'!$Q$2:$Q$317,$A73,'Данные 2st'!$EO$2:$EO$317),"")</f>
        <v>0.96</v>
      </c>
      <c r="LW73" s="7">
        <f>IFERROR(AVERAGEIF('Данные 2st'!$Q$2:$Q$317,$A73,'Данные 2st'!$EP$2:$EP$317),"")</f>
        <v>2327.5066666666667</v>
      </c>
      <c r="LX73" s="7">
        <f>IFERROR(AVERAGEIF('Данные 2st'!$Q$2:$Q$317,$A73,'Данные 2st'!$EQ$2:$EQ$317),"")</f>
        <v>42484.34666666667</v>
      </c>
      <c r="LY73" s="7">
        <f>IFERROR(AVERAGEIF('Данные 2st'!$Q$2:$Q$317,$A73,'Данные 2st'!$ER$2:$ER$317),"")</f>
        <v>9487.289999999999</v>
      </c>
      <c r="LZ73" s="7">
        <f>IFERROR(AVERAGEIF('Данные 2st'!$Q$2:$Q$317,$A73,'Данные 2st'!$ES$2:$ES$317),"")</f>
        <v>0</v>
      </c>
      <c r="MA73" s="7">
        <f>IFERROR(AVERAGEIF('Данные 2st'!$Q$2:$Q$317,$A73,'Данные 2st'!$ET$2:$ET$317),"")</f>
        <v>0</v>
      </c>
      <c r="MB73" s="7">
        <f>IFERROR(AVERAGEIF('Данные 2st'!$Q$2:$Q$317,$A73,'Данные 2st'!$EU$2:$EU$317),"")</f>
        <v>1</v>
      </c>
      <c r="MC73" s="7">
        <f>IFERROR(AVERAGEIF('Данные 2st'!$Q$2:$Q$317,$A73,'Данные 2st'!$EV$2:$EV$317),"")</f>
        <v>51972.333333333336</v>
      </c>
      <c r="MD73" s="7">
        <f>IFERROR(AVERAGEIF('Данные 2st'!$Q$2:$Q$317,$A73,'Данные 2st'!$EW$2:$EW$317),"")</f>
        <v>624</v>
      </c>
      <c r="ME73" s="7">
        <f>IFERROR(AVERAGEIF('Данные 2st'!$Q$2:$Q$317,$A73,'Данные 2st'!$EY$2:$EY$317),"")</f>
        <v>244</v>
      </c>
      <c r="MF73" s="7">
        <f>IFERROR(AVERAGEIF('Данные 2st'!$Q$2:$Q$317,$A73,'Данные 2st'!$FA$2:$FA$317),"")</f>
        <v>5.266666666666667</v>
      </c>
      <c r="MG73" s="7">
        <f>IFERROR(AVERAGEIF('Данные 2st'!$Q$2:$Q$317,$A73,'Данные 2st'!$FB$2:$FB$317),"")</f>
        <v>1</v>
      </c>
      <c r="MH73" s="7">
        <f>IFERROR(AVERAGEIF('Данные 2st'!$Q$2:$Q$317,$A73,'Данные 2st'!$FC$2:$FC$317),"")</f>
        <v>1</v>
      </c>
      <c r="MI73" s="7">
        <f>IFERROR(AVERAGEIF('Данные 2st'!$Q$2:$Q$317,$A73,'Данные 2st'!$FD$2:$FD$317),"")</f>
        <v>2358.6666666666665</v>
      </c>
      <c r="MJ73" s="7">
        <f>IFERROR(AVERAGEIF('Данные 2st'!$Q$2:$Q$317,$A73,'Данные 2st'!$FE$2:$FE$317),"")</f>
        <v>3295.6666666666665</v>
      </c>
      <c r="MK73" s="7">
        <f>IFERROR(AVERAGEIF('Данные 2st'!$Q$2:$Q$317,$A73,'Данные 2st'!$FG$2:$FG$317),"")</f>
        <v>244</v>
      </c>
      <c r="ML73" s="7">
        <f>IFERROR(AVERAGEIF('Данные 2st'!$Q$2:$Q$317,$A73,'Данные 2st'!$FI$2:$FI$317),"")</f>
        <v>2.2666666666666666</v>
      </c>
      <c r="MM73" s="7">
        <f>IFERROR(AVERAGEIF('Данные 2st'!$Q$2:$Q$317,$A73,'Данные 2st'!$FJ$2:$FJ$317),"")</f>
        <v>2358.6666666666665</v>
      </c>
      <c r="MN73" s="7">
        <f>IFERROR(AVERAGEIF('Данные 2st'!$Q$2:$Q$317,$A73,'Данные 2st'!$FK$2:$FK$317),"")</f>
        <v>1506</v>
      </c>
      <c r="MO73" s="7">
        <f>IFERROR(AVERAGEIF('Данные 2st'!$Q$2:$Q$317,$A73,'Данные 2st'!$FP$2:$FP$317),"")</f>
        <v>2358.6666666666665</v>
      </c>
      <c r="MP73" s="7">
        <f>IFERROR(AVERAGEIF('Данные 2st'!$Q$2:$Q$317,$A73,'Данные 2st'!$FQ$2:$FQ$317),"")</f>
        <v>219</v>
      </c>
      <c r="MQ73" s="7">
        <f>IFERROR(AVERAGEIF('Данные 2st'!$Q$2:$Q$317,$A73,'Данные 2st'!$FS$2:$FS$317),"")</f>
        <v>248</v>
      </c>
      <c r="MR73" s="7">
        <f>IFERROR(AVERAGEIF('Данные 2st'!$Q$2:$Q$317,$A73,'Данные 2st'!$FU$2:$FU$317),"")</f>
        <v>0.4</v>
      </c>
      <c r="MS73" s="7">
        <f>IFERROR(AVERAGEIF('Данные 2st'!$Q$2:$Q$317,$A73,'Данные 2st'!$FV$2:$FV$317),"")</f>
        <v>2358.6666666666665</v>
      </c>
      <c r="MT73" s="7">
        <f>IFERROR(AVERAGEIF('Данные 2st'!$Q$2:$Q$317,$A73,'Данные 2st'!$FW$2:$FW$317),"")</f>
        <v>260.3333333333333</v>
      </c>
      <c r="MU73" s="7">
        <f>IFERROR(AVERAGEIF('Данные 2st'!$Q$2:$Q$317,$A73,'Данные 2st'!$FY$2:$FY$317),"")</f>
        <v>5</v>
      </c>
      <c r="MV73" s="7">
        <f>IFERROR(AVERAGEIF('Данные 2st'!$Q$2:$Q$317,$A73,'Данные 2st'!$GB$2:$GB$317),"")</f>
        <v>2358.6666666666665</v>
      </c>
      <c r="MW73" s="7">
        <f>IFERROR(AVERAGEIF('Данные 2st'!$Q$2:$Q$317,$A73,'Данные 2st'!$GC$2:$GC$317),"")</f>
        <v>21.666666666666668</v>
      </c>
      <c r="MX73" s="7">
        <f>IFERROR(AVERAGEIF('Данные 2st'!$Q$2:$Q$317,$A73,'Данные 2st'!$GD$2:$GD$317),"")</f>
        <v>5302.666666666667</v>
      </c>
      <c r="MY73" s="7">
        <f>IFERROR(AVERAGEIF('Данные 2st'!$Q$2:$Q$317,$A73,'Данные 2st'!$GN$2:$GN$317),"")</f>
        <v/>
      </c>
      <c r="MZ73" s="7">
        <f>IFERROR(AVERAGEIF('Данные 2st'!$Q$2:$Q$317,$A73,'Данные 2st'!$GQ$2:$GQ$317),"")</f>
        <v>0</v>
      </c>
      <c r="NA73" s="7">
        <f>IFERROR(AVERAGEIF('Данные 2st'!$Q$2:$Q$317,$A73,'Данные 2st'!$GV$2:$GV$317),"")</f>
        <v>7.933333333333334</v>
      </c>
      <c r="NB73" s="7">
        <f>IFERROR(AVERAGEIF('Данные 2st'!$Q$2:$Q$317,$A73,'Данные 2st'!$GW$2:$GW$317),"")</f>
        <v>9.733333333333333</v>
      </c>
      <c r="NC73" s="7">
        <f>IFERROR(AVERAGEIF('Данные 2st'!$Q$2:$Q$317,$A73,'Данные 2st'!$GX$2:$GX$317),"")</f>
        <v>0.5</v>
      </c>
      <c r="ND73" s="7">
        <f>IFERROR(AVERAGEIF('Данные 2st'!$Q$2:$Q$317,$A73,'Данные 2st'!$GY$2:$GY$317),"")</f>
        <v>210.66666666666666</v>
      </c>
      <c r="NE73" s="7">
        <f>IFERROR(AVERAGEIF('Данные 2st'!$Q$2:$Q$317,$A73,'Данные 2st'!$GZ$2:$GZ$317),"")</f>
        <v>3</v>
      </c>
      <c r="NF73" s="7">
        <f>IFERROR(AVERAGEIF('Данные 2st'!$Q$2:$Q$317,$A73,'Данные 2st'!$HA$2:$HA$317),"")</f>
        <v>266</v>
      </c>
      <c r="NG73" s="7">
        <f>IFERROR(AVERAGEIF('Данные 2st'!$Q$2:$Q$317,$A73,'Данные 2st'!$HB$2:$HB$317),"")</f>
        <v>3</v>
      </c>
      <c r="NH73" s="7">
        <f>IFERROR(AVERAGEIF('Данные 2st'!$Q$2:$Q$317,$A73,'Данные 2st'!$HC$2:$HC$317),"")</f>
        <v>2358.6666666666665</v>
      </c>
      <c r="NI73" s="7">
        <f>IFERROR(AVERAGEIF('Данные 2st'!$Q$2:$Q$317,$A73,'Данные 2st'!$HD$2:$HD$317),"")</f>
        <v>4</v>
      </c>
      <c r="NJ73" s="7">
        <f>IFERROR(AVERAGEIF('Данные 2st'!$Q$2:$Q$317,$A73,'Данные 2st'!$HM$2:$HM$317),"")</f>
        <v>20</v>
      </c>
      <c r="NK73" s="7">
        <f>IFERROR(AVERAGEIF('Данные 2st'!$Q$2:$Q$317,$A73,'Данные 2st'!$HR$2:$HR$317),"")</f>
        <v>1.6666666666666667</v>
      </c>
      <c r="NL73" s="7">
        <f>IFERROR(AVERAGEIF('Данные 2st'!$Q$2:$Q$317,$A73,'Данные 2st'!$HS$2:$HS$317),"")</f>
        <v>2311.6666666666665</v>
      </c>
      <c r="NM73" s="7">
        <f>IFERROR(AVERAGEIF('Данные 2st'!$Q$2:$Q$317,$A73,'Данные 2st'!$HT$2:$HT$317),"")</f>
        <v>5</v>
      </c>
      <c r="NN73" s="7">
        <f>IFERROR(AVERAGEIF('Данные 2st'!$Q$2:$Q$317,$A73,'Данные 2st'!$HY$2:$HY$317),"")</f>
        <v>0</v>
      </c>
      <c r="NO73" s="7">
        <f>IFERROR(AVERAGEIF('Данные 2st'!$Q$2:$Q$317,$A73,'Данные 2st'!$HZ$2:$HZ$317),"")</f>
        <v>64.33333333333333</v>
      </c>
      <c r="NP73" s="7">
        <f>IFERROR(AVERAGEIF('Данные 2st'!$Q$2:$Q$317,$A73,'Данные 2st'!$IA$2:$IA$317),"")</f>
        <v>2315.6666666666665</v>
      </c>
      <c r="NQ73" s="7">
        <f>IFERROR(AVERAGEIF('Данные 2st'!$Q$2:$Q$317,$A73,'Данные 2st'!$IB$2:$IB$317),"")</f>
        <v>2328.6666666666665</v>
      </c>
      <c r="NR73" s="7">
        <f>IFERROR(AVERAGEIF('Данные 2st'!$Q$2:$Q$317,$A73,'Данные 2st'!$IC$2:$IC$317),"")</f>
        <v/>
      </c>
      <c r="NS73" s="7">
        <f>IFERROR(AVERAGEIF('Данные 2st'!$Q$2:$Q$317,$A73,'Данные 2st'!$ID$2:$ID$317),"")</f>
        <v>2358.6666666666665</v>
      </c>
      <c r="NT73" s="7">
        <f>IFERROR(AVERAGEIF('Данные 2st'!$Q$2:$Q$317,$A73,'Данные 2st'!$IE$2:$IE$317),"")</f>
        <v>2358.6666666666665</v>
      </c>
      <c r="NU73" s="7">
        <f>IFERROR(AVERAGEIF('Данные 2st'!$Q$2:$Q$317,$A73,'Данные 2st'!$IF$2:$IF$317),"")</f>
        <v>216.66666666666666</v>
      </c>
      <c r="NV73" s="7">
        <f>IFERROR(AVERAGEIF('Данные 2st'!$Q$2:$Q$317,$A73,'Данные 2st'!$IG$2:$IG$317),"")</f>
        <v>206.66666666666666</v>
      </c>
      <c r="NW73" s="7">
        <f>IFERROR(AVERAGEIF('Данные 2st'!$Q$2:$Q$317,$A73,'Данные 2st'!$IH$2:$IH$317),"")</f>
        <v>266</v>
      </c>
      <c r="NX73" s="7">
        <f>IFERROR(AVERAGEIF('Данные 2st'!$Q$2:$Q$317,$A73,'Данные 2st'!$IJ$2:$IJ$317),"")</f>
        <v>5</v>
      </c>
      <c r="NY73" s="7">
        <f>IFERROR(AVERAGEIF('Данные 2st'!$Q$2:$Q$317,$A73,'Данные 2st'!$IM$2:$IM$317),"")</f>
        <v>0</v>
      </c>
      <c r="NZ73" s="7">
        <f>IFERROR(AVERAGEIF('Данные 2st'!$Q$2:$Q$317,$A73,'Данные 2st'!$IN$2:$IN$317),"")</f>
        <v>270</v>
      </c>
      <c r="OA73" s="7">
        <f>IFERROR(AVERAGEIF('Данные 2st'!$Q$2:$Q$317,$A73,'Данные 2st'!$IO$2:$IO$317),"")</f>
        <v>0</v>
      </c>
      <c r="OB73" s="7">
        <f>IFERROR(AVERAGEIF('Данные 2st'!$Q$2:$Q$317,$A73,'Данные 2st'!$IP$2:$IP$317),"")</f>
        <v>180</v>
      </c>
      <c r="OC73" s="7">
        <f>IFERROR(AVERAGEIF('Данные 2st'!$Q$2:$Q$317,$A73,'Данные 2st'!$IQ$2:$IQ$317),"")</f>
        <v>0</v>
      </c>
      <c r="OD73" s="7">
        <f>IFERROR(AVERAGEIF('Данные 2st'!$Q$2:$Q$317,$A73,'Данные 2st'!$IR$2:$IR$317),"")</f>
        <v>330</v>
      </c>
      <c r="OE73" s="7">
        <f>IFERROR(AVERAGEIF('Данные 2st'!$Q$2:$Q$317,$A73,'Данные 2st'!$IT$2:$IT$317),"")</f>
        <v>90</v>
      </c>
      <c r="OF73" s="7">
        <f>IFERROR(AVERAGEIF('Данные 2st'!$Q$2:$Q$317,$A73,'Данные 2st'!$IU$2:$IU$317),"")</f>
        <v>0</v>
      </c>
      <c r="OG73" s="7">
        <f>IFERROR(AVERAGEIF('Данные 2st'!$Q$2:$Q$317,$A73,'Данные 2st'!$IV$2:$IV$317),"")</f>
        <v>6.4</v>
      </c>
      <c r="OH73" s="7">
        <f>IFERROR(AVERAGEIF('Данные 2st'!$Q$2:$Q$317,$A73,'Данные 2st'!$IW$2:$IW$317),"")</f>
        <v>-6</v>
      </c>
      <c r="OI73" s="7">
        <f>IFERROR(AVERAGEIF('Данные 2st'!$Q$2:$Q$317,$A73,'Данные 2st'!$IX$2:$IX$317),"")</f>
        <v>110.83333333333333</v>
      </c>
      <c r="OJ73" s="7">
        <f>IFERROR(AVERAGEIF('Данные 2st'!$Q$2:$Q$317,$A73,'Данные 2st'!$IY$2:$IY$317),"")</f>
        <v>84.83333333333333</v>
      </c>
      <c r="OK73" s="7">
        <f>IFERROR(AVERAGEIF('Данные 2st'!$Q$2:$Q$317,$A73,'Данные 2st'!$IZ$2:$IZ$317),"")</f>
        <v>0</v>
      </c>
      <c r="OL73" s="7">
        <f>IFERROR(AVERAGEIF('Данные 2st'!$Q$2:$Q$317,$A73,'Данные 2st'!$JA$2:$JA$317),"")</f>
        <v>0</v>
      </c>
      <c r="OM73" s="7">
        <f>IFERROR(AVERAGEIF('Данные 2st'!$Q$2:$Q$317,$A73,'Данные 2st'!$JB$2:$JB$317),"")</f>
        <v>0</v>
      </c>
      <c r="ON73" s="7">
        <f>IFERROR(AVERAGEIF('Данные 2st'!$Q$2:$Q$317,$A73,'Данные 2st'!$JC$2:$JC$317),"")</f>
        <v>0</v>
      </c>
      <c r="OO73" s="7">
        <f>IFERROR(AVERAGEIF('Данные 2st'!$Q$2:$Q$317,$A73,'Данные 2st'!$JD$2:$JD$317),"")</f>
        <v>0</v>
      </c>
      <c r="OP73" s="7">
        <f>IFERROR(AVERAGEIF('Данные 2st'!$Q$2:$Q$317,$A73,'Данные 2st'!$JE$2:$JE$317),"")</f>
        <v>0</v>
      </c>
      <c r="OQ73" s="7">
        <f>IFERROR(AVERAGEIF('Данные 2st'!$Q$2:$Q$317,$A73,'Данные 2st'!$JF$2:$JF$317),"")</f>
        <v>0</v>
      </c>
      <c r="OR73" s="7">
        <f>IFERROR(AVERAGEIF('Данные 2st'!$Q$2:$Q$317,$A73,'Данные 2st'!$JG$2:$JG$317),"")</f>
        <v>0</v>
      </c>
      <c r="OS73" s="7">
        <f>IFERROR(AVERAGEIF('Данные 2st'!$Q$2:$Q$317,$A73,'Данные 2st'!$JH$2:$JH$317),"")</f>
        <v>0</v>
      </c>
      <c r="OT73" s="7">
        <f>IFERROR(AVERAGEIF('Данные 2st'!$Q$2:$Q$317,$A73,'Данные 2st'!$JI$2:$JI$317),"")</f>
        <v>444.6666666666667</v>
      </c>
      <c r="OU73" s="7">
        <f>IFERROR(AVERAGEIF('Данные 2st'!$Q$2:$Q$317,$A73,'Данные 2st'!$JJ$2:$JJ$317),"")</f>
        <v>414.6666666666667</v>
      </c>
      <c r="OV73" s="7">
        <f>IFERROR(AVERAGEIF('Данные 2st'!$Q$2:$Q$317,$A73,'Данные 2st'!$JK$2:$JK$317),"")</f>
        <v>298</v>
      </c>
      <c r="OW73" s="7">
        <f>IFERROR(AVERAGEIF('Данные 2st'!$Q$2:$Q$317,$A73,'Данные 2st'!$JL$2:$JL$317),"")</f>
        <v>412.6666666666667</v>
      </c>
      <c r="OX73" s="7">
        <f>IFERROR(AVERAGEIF('Данные 2st'!$Q$2:$Q$317,$A73,'Данные 2st'!$JM$2:$JM$317),"")</f>
        <v>317.3333333333333</v>
      </c>
      <c r="OY73" s="7">
        <f>IFERROR(AVERAGEIF('Данные 2st'!$Q$2:$Q$317,$A73,'Данные 2st'!$JP$2:$JP$317),"")</f>
        <v>191.66666666666666</v>
      </c>
      <c r="OZ73" s="7">
        <f>IFERROR(AVERAGEIF('Данные 2st'!$Q$2:$Q$317,$A73,'Данные 2st'!$JQ$2:$JQ$317),"")</f>
        <v>228.33333333333334</v>
      </c>
      <c r="PA73" s="7">
        <f>IFERROR(AVERAGEIF('Данные 2st'!$Q$2:$Q$317,$A73,'Данные 2st'!$JR$2:$JR$317),"")</f>
        <v>293.3333333333333</v>
      </c>
      <c r="PB73" s="7">
        <f>IFERROR(AVERAGEIF('Данные 2st'!$Q$2:$Q$317,$A73,'Данные 2st'!$JS$2:$JS$317),"")</f>
        <v>233.33333333333334</v>
      </c>
      <c r="PC73" s="7">
        <f>IFERROR(AVERAGEIF('Данные 2st'!$Q$2:$Q$317,$A73,'Данные 2st'!$JT$2:$JT$317),"")</f>
        <v>0</v>
      </c>
      <c r="PD73" s="7">
        <f>IFERROR(AVERAGEIF('Данные 2st'!$Q$2:$Q$317,$A73,'Данные 2st'!$JU$2:$JU$317),"")</f>
        <v>0</v>
      </c>
      <c r="PE73" s="7">
        <f>IFERROR(AVERAGEIF('Данные 2st'!$Q$2:$Q$317,$A73,'Данные 2st'!$JV$2:$JV$317),"")</f>
        <v>280</v>
      </c>
      <c r="PF73" s="7">
        <f>IFERROR(AVERAGEIF('Данные 2st'!$Q$2:$Q$317,$A73,'Данные 2st'!$JW$2:$JW$317),"")</f>
        <v>271.6666666666667</v>
      </c>
      <c r="PG73" s="7">
        <f>IFERROR(AVERAGEIF('Данные 2st'!$Q$2:$Q$317,$A73,'Данные 2st'!$KF$2:$KF$317),"")</f>
        <v>0.19666666666666668</v>
      </c>
      <c r="PH73" s="7">
        <f>IFERROR(AVERAGEIF('Данные 2st'!$Q$2:$Q$317,$A73,'Данные 2st'!$KG$2:$KG$317),"")</f>
        <v>0.12666666666666668</v>
      </c>
      <c r="PI73" s="7">
        <f>IFERROR(AVERAGEIF('Данные 2st'!$Q$2:$Q$317,$A73,'Данные 2st'!$KM$2:$KM$317),"")</f>
        <v>0.5</v>
      </c>
      <c r="PJ73" s="7">
        <f>IFERROR(AVERAGEIF('Данные 2st'!$Q$2:$Q$317,$A73,'Данные 2st'!$KN$2:$KN$317),"")</f>
        <v>2.3000000000000003</v>
      </c>
      <c r="PK73" s="7">
        <f>IFERROR(AVERAGEIF('Данные 2st'!$Q$2:$Q$317,$A73,'Данные 2st'!$KO$2:$KO$317),"")</f>
        <v>0.6666666666666666</v>
      </c>
      <c r="PL73" s="7">
        <f>IFERROR(AVERAGEIF('Данные 2st'!$Q$2:$Q$317,$A73,'Данные 2st'!$KP$2:$KP$317),"")</f>
        <v>0</v>
      </c>
      <c r="PM73" s="7">
        <f>IFERROR(AVERAGEIF('Данные 2st'!$Q$2:$Q$317,$A73,'Данные 2st'!$KQ$2:$KQ$317),"")</f>
        <v>0.5</v>
      </c>
      <c r="PN73" s="7">
        <f>IFERROR(AVERAGEIF('Данные 2st'!$Q$2:$Q$317,$A73,'Данные 2st'!$KR$2:$KR$317),"")</f>
        <v>0.5</v>
      </c>
      <c r="PO73" s="7">
        <f>IFERROR(AVERAGEIF('Данные 2st'!$Q$2:$Q$317,$A73,'Данные 2st'!$KS$2:$KS$317),"")</f>
        <v>0</v>
      </c>
      <c r="PP73" s="7">
        <f>IFERROR(AVERAGEIF('Данные 2st'!$Q$2:$Q$317,$A73,'Данные 2st'!$KT$2:$KT$317),"")</f>
        <v>2.9</v>
      </c>
      <c r="PQ73" s="7">
        <f>IFERROR(AVERAGEIF('Данные 2st'!$Q$2:$Q$317,$A73,'Данные 2st'!$KU$2:$KU$317),"")</f>
        <v>0</v>
      </c>
      <c r="PR73" s="7">
        <f>IFERROR(AVERAGEIF('Данные 2st'!$Q$2:$Q$317,$A73,'Данные 2st'!$KV$2:$KV$317),"")</f>
        <v>0</v>
      </c>
      <c r="PS73" s="7">
        <f>IFERROR(AVERAGEIF('Данные 2st'!$Q$2:$Q$317,$A73,'Данные 2st'!$KW$2:$KW$317),"")</f>
        <v>1.3333333333333333</v>
      </c>
      <c r="PT73" s="7">
        <f>IFERROR(AVERAGEIF('Данные 2st'!$Q$2:$Q$317,$A73,'Данные 2st'!$KX$2:$KX$317),"")</f>
        <v>1.3333333333333333</v>
      </c>
      <c r="PU73" s="7">
        <f>IFERROR(AVERAGEIF('Данные 2st'!$Q$2:$Q$317,$A73,'Данные 2st'!$KY$2:$KY$317),"")</f>
        <v>1</v>
      </c>
      <c r="PV73" s="7">
        <f>IFERROR(AVERAGEIF('Данные 2st'!$Q$2:$Q$317,$A73,'Данные 2st'!$KZ$2:$KZ$317),"")</f>
        <v>0</v>
      </c>
      <c r="PW73" s="7">
        <f>IFERROR(AVERAGEIF('Данные 2st'!$Q$2:$Q$317,$A73,'Данные 2st'!$LA$2:$LA$317),"")</f>
        <v>0</v>
      </c>
      <c r="PX73" s="7">
        <f>IFERROR(AVERAGEIF('Данные 2st'!$Q$2:$Q$317,$A73,'Данные 2st'!$LB$2:$LB$317),"")</f>
        <v>0</v>
      </c>
      <c r="PY73" s="7">
        <f>IFERROR(AVERAGEIF('Данные 2st'!$Q$2:$Q$317,$A73,'Данные 2st'!$LC$2:$LC$317),"")</f>
        <v>0</v>
      </c>
      <c r="PZ73" s="7">
        <f>IFERROR(AVERAGEIF('Данные 2st'!$Q$2:$Q$317,$A73,'Данные 2st'!$LD$2:$LD$317),"")</f>
        <v>0</v>
      </c>
      <c r="QA73" s="7">
        <f>IFERROR(AVERAGEIF('Данные 2st'!$Q$2:$Q$317,$A73,'Данные 2st'!$LE$2:$LE$317),"")</f>
        <v>0</v>
      </c>
      <c r="QB73" s="7">
        <f>IFERROR(AVERAGEIF('Данные 2st'!$Q$2:$Q$317,$A73,'Данные 2st'!$LF$2:$LF$317),"")</f>
        <v>0</v>
      </c>
      <c r="QC73" s="7">
        <f>IFERROR(AVERAGEIF('Данные 2st'!$Q$2:$Q$317,$A73,'Данные 2st'!$LG$2:$LG$317),"")</f>
        <v>0</v>
      </c>
      <c r="QD73" s="7">
        <f>IFERROR(AVERAGEIF('Данные 2st'!$Q$2:$Q$317,$A73,'Данные 2st'!$LH$2:$LH$317),"")</f>
        <v>3</v>
      </c>
      <c r="QE73" s="7">
        <f>IFERROR(AVERAGEIF('Данные 2st'!$Q$2:$Q$317,$A73,'Данные 2st'!$LJ$2:$LJ$317),"")</f>
        <v>0</v>
      </c>
      <c r="QF73" s="7">
        <f>IFERROR(AVERAGEIF('Данные 2st'!$Q$2:$Q$317,$A73,'Данные 2st'!$LK$2:$LK$317),"")</f>
        <v>10.666666666666666</v>
      </c>
      <c r="QG73" s="7">
        <f>IFERROR(AVERAGEIF('Данные 2st'!$Q$2:$Q$317,$A73,'Данные 2st'!$LL$2:$LL$317),"")</f>
        <v>8.333333333333334</v>
      </c>
      <c r="QH73" s="7">
        <f>IFERROR(AVERAGEIF('Данные 2st'!$Q$2:$Q$317,$A73,'Данные 2st'!$LM$2:$LM$317),"")</f>
        <v>12.333333333333334</v>
      </c>
      <c r="QI73" s="7">
        <f>IFERROR(AVERAGEIF('Данные 2st'!$Q$2:$Q$317,$A73,'Данные 2st'!$LN$2:$LN$317),"")</f>
        <v>2.033333333333333</v>
      </c>
      <c r="QJ73" s="7">
        <f>IFERROR(AVERAGEIF('Данные 2st'!$Q$2:$Q$317,$A73,'Данные 2st'!$LO$2:$LO$317),"")</f>
        <v>3</v>
      </c>
      <c r="QK73" s="7">
        <f>IFERROR(AVERAGEIF('Данные 2st'!$Q$2:$Q$317,$A73,'Данные 2st'!$LP$2:$LP$317),"")</f>
        <v>0</v>
      </c>
      <c r="QL73" s="7">
        <f>IFERROR(AVERAGEIF('Данные 2st'!$Q$2:$Q$317,$A73,'Данные 2st'!$LQ$2:$LQ$317),"")</f>
        <v>0</v>
      </c>
      <c r="QM73" s="7">
        <f>IFERROR(AVERAGEIF('Данные 2st'!$Q$2:$Q$317,$A73,'Данные 2st'!$LW$2:$LW$317),"")</f>
        <v>1.9333333333333333</v>
      </c>
      <c r="QN73" s="7">
        <f>IFERROR(AVERAGEIF('Данные 2st'!$Q$2:$Q$317,$A73,'Данные 2st'!$LX$2:$LX$317),"")</f>
        <v>1.9333333333333333</v>
      </c>
      <c r="QO73" s="7">
        <f>IFERROR(AVERAGEIF('Данные 2st'!$Q$2:$Q$317,$A73,'Данные 2st'!$LY$2:$LY$317),"")</f>
        <v>2.1</v>
      </c>
      <c r="QP73" s="7">
        <f>IFERROR(AVERAGEIF('Данные 2st'!$Q$2:$Q$317,$A73,'Данные 2st'!$LZ$2:$LZ$317),"")</f>
        <v>2.1</v>
      </c>
      <c r="QQ73" s="7">
        <f>IFERROR(AVERAGEIF('Данные 2st'!$Q$2:$Q$317,$A73,'Данные 2st'!$MB$2:$MB$317),"")</f>
        <v>5</v>
      </c>
      <c r="QR73" s="7">
        <f>IFERROR(AVERAGEIF('Данные 2st'!$Q$2:$Q$317,$A73,'Данные 2st'!$MG$2:$MG$317),"")</f>
        <v>0</v>
      </c>
      <c r="QS73" s="7">
        <f>IFERROR(AVERAGEIF('Данные 2st'!$Q$2:$Q$317,$A73,'Данные 2st'!$MH$2:$MH$317),"")</f>
        <v>0</v>
      </c>
      <c r="QT73" s="7">
        <f>IFERROR(AVERAGEIF('Данные 2st'!$Q$2:$Q$317,$A73,'Данные 2st'!$MI$2:$MI$317),"")</f>
        <v>0</v>
      </c>
      <c r="QU73" s="7">
        <f>IFERROR(AVERAGEIF('Данные 2st'!$Q$2:$Q$317,$A73,'Данные 2st'!$MJ$2:$MJ$317),"")</f>
        <v>0</v>
      </c>
      <c r="QV73" s="7">
        <f>IFERROR(AVERAGEIF('Данные 2st'!$Q$2:$Q$317,$A73,'Данные 2st'!$MK$2:$MK$317),"")</f>
        <v>0</v>
      </c>
      <c r="QW73" s="7">
        <f>IFERROR(AVERAGEIF('Данные 2st'!$Q$2:$Q$317,$A73,'Данные 2st'!$MM$2:$MM$317),"")</f>
        <v>462.6666666666667</v>
      </c>
      <c r="QX73" s="7">
        <f>IFERROR(AVERAGEIF('Данные 2st'!$Q$2:$Q$317,$A73,'Данные 2st'!$MQ$2:$MQ$317),"")</f>
        <v/>
      </c>
      <c r="QY73" s="7">
        <f>IFERROR(AVERAGEIF('Данные 2st'!$Q$2:$Q$317,$A73,'Данные 2st'!$MR$2:$MR$317),"")</f>
        <v/>
      </c>
      <c r="QZ73" s="7">
        <f>IFERROR(AVERAGEIF('Данные 2st'!$Q$2:$Q$317,$A73,'Данные 2st'!$MS$2:$MS$317),"")</f>
        <v/>
      </c>
      <c r="RA73" s="7">
        <f>IFERROR(AVERAGEIF('Данные 2st'!$Q$2:$Q$317,$A73,'Данные 2st'!$MT$2:$MT$317),"")</f>
        <v/>
      </c>
      <c r="RB73" s="7">
        <f>IFERROR(AVERAGEIF('Данные 2st'!$Q$2:$Q$317,$A73,'Данные 2st'!$MU$2:$MU$317),"")</f>
        <v/>
      </c>
      <c r="RC73" s="7">
        <f>IFERROR(AVERAGEIF('Данные 2st'!$Q$2:$Q$317,$A73,'Данные 2st'!$MV$2:$MV$317),"")</f>
        <v/>
      </c>
      <c r="RD73" s="7">
        <f>IFERROR(AVERAGEIF('Данные 2st'!$Q$2:$Q$317,$A73,'Данные 2st'!$MW$2:$MW$317),"")</f>
        <v/>
      </c>
      <c r="RE73" s="7">
        <f>IFERROR(AVERAGEIF('Данные 2st'!$Q$2:$Q$317,$A73,'Данные 2st'!$MX$2:$MX$317),"")</f>
        <v/>
      </c>
      <c r="RF73" s="7">
        <f>IFERROR(AVERAGEIF('Данные 2st'!$Q$2:$Q$317,$A73,'Данные 2st'!$MY$2:$MY$317),"")</f>
        <v/>
      </c>
      <c r="RG73" s="7">
        <f>IFERROR(AVERAGEIF('Данные 2st'!$Q$2:$Q$317,$A73,'Данные 2st'!$MZ$2:$MZ$317),"")</f>
        <v/>
      </c>
      <c r="RH73" s="7">
        <f>IFERROR(AVERAGEIF('Данные 2st'!$Q$2:$Q$317,$A73,'Данные 2st'!$NA$2:$NA$317),"")</f>
        <v/>
      </c>
      <c r="RI73" s="7">
        <f>IFERROR(AVERAGEIF('Данные 2st'!$Q$2:$Q$317,$A73,'Данные 2st'!$NB$2:$NB$317),"")</f>
        <v/>
      </c>
      <c r="RJ73" s="7">
        <f>IFERROR(AVERAGEIF('Данные 2st'!$Q$2:$Q$317,$A73,'Данные 2st'!$NC$2:$NC$317),"")</f>
        <v/>
      </c>
      <c r="RK73" s="7">
        <f>IFERROR(AVERAGEIF('Данные 2st'!$Q$2:$Q$317,$A73,'Данные 2st'!$ND$2:$ND$317),"")</f>
        <v/>
      </c>
      <c r="RL73" s="7">
        <f>IFERROR(AVERAGEIF('Данные 2st'!$Q$2:$Q$317,$A73,'Данные 2st'!$NE$2:$NE$317),"")</f>
        <v/>
      </c>
      <c r="RM73" s="7">
        <f>IFERROR(AVERAGEIF('Данные 2st'!$Q$2:$Q$317,$A73,'Данные 2st'!$NF$2:$NF$317),"")</f>
        <v/>
      </c>
      <c r="RN73" s="7">
        <f>IFERROR(AVERAGEIF('Данные 2st'!$Q$2:$Q$317,$A73,'Данные 2st'!$NG$2:$NG$317),"")</f>
        <v/>
      </c>
      <c r="RO73" s="7">
        <f>IFERROR(AVERAGEIF('Данные 2st'!$Q$2:$Q$317,$A73,'Данные 2st'!$NH$2:$NH$317),"")</f>
        <v/>
      </c>
      <c r="RP73" s="7">
        <f>IFERROR(AVERAGEIF('Данные 2st'!$Q$2:$Q$317,$A73,'Данные 2st'!$NJ$2:$NJ$317),"")</f>
        <v/>
      </c>
      <c r="RQ73" s="7">
        <f>IFERROR(AVERAGEIF('Данные 2st'!$Q$2:$Q$317,$A73,'Данные 2st'!$NK$2:$NK$317),"")</f>
        <v/>
      </c>
      <c r="RR73" s="7">
        <f>IFERROR(AVERAGEIF('Данные 2st'!$Q$2:$Q$317,$A73,'Данные 2st'!$NM$2:$NM$317),"")</f>
        <v/>
      </c>
      <c r="RS73" s="7">
        <f>IFERROR(AVERAGEIF('Данные 2st'!$Q$2:$Q$317,$A73,'Данные 2st'!$NN$2:$NN$317),"")</f>
        <v/>
      </c>
      <c r="RT73" s="7">
        <f>IFERROR(AVERAGEIF('Данные 2st'!$Q$2:$Q$317,$A73,'Данные 2st'!$NO$2:$NO$317),"")</f>
        <v/>
      </c>
      <c r="RU73" s="7">
        <f>IFERROR(AVERAGEIF('Данные 2st'!$Q$2:$Q$317,$A73,'Данные 2st'!$NP$2:$NP$317),"")</f>
        <v/>
      </c>
      <c r="RV73" s="7">
        <f>IFERROR(AVERAGEIF('Данные 2st'!$Q$2:$Q$317,$A73,'Данные 2st'!$NQ$2:$NQ$317),"")</f>
        <v/>
      </c>
      <c r="RW73" s="7">
        <f>IFERROR(AVERAGEIF('Данные 2st'!$Q$2:$Q$317,$A73,'Данные 2st'!$NR$2:$NR$317),"")</f>
        <v/>
      </c>
      <c r="RX73" s="7">
        <f>IFERROR(AVERAGEIF('Данные 2st'!$Q$2:$Q$317,$A73,'Данные 2st'!$NS$2:$NS$317),"")</f>
        <v/>
      </c>
      <c r="RY73" s="7">
        <f>IFERROR(AVERAGEIF('Данные 2st'!$Q$2:$Q$317,$A73,'Данные 2st'!$NT$2:$NT$317),"")</f>
        <v/>
      </c>
      <c r="RZ73" s="7">
        <f>IFERROR(AVERAGEIF('Данные 2st'!$Q$2:$Q$317,$A73,'Данные 2st'!$OK$2:$OK$317),"")</f>
        <v>61</v>
      </c>
      <c r="SA73" s="7">
        <f>IFERROR(AVERAGEIF('Данные 2st'!$Q$2:$Q$317,$A73,'Данные 2st'!$OL$2:$OL$317),"")</f>
        <v>61</v>
      </c>
      <c r="SB73" s="7">
        <f>IFERROR(AVERAGEIF('Данные 2st'!$Q$2:$Q$317,$A73,'Данные 2st'!$ON$2:$ON$317),"")</f>
        <v>1</v>
      </c>
      <c r="SC73" s="7">
        <f>IFERROR(AVERAGEIF('Данные 2st'!$Q$2:$Q$317,$A73,'Данные 2st'!$OO$2:$OO$317),"")</f>
        <v>2315.6666666666665</v>
      </c>
      <c r="SD73" s="7">
        <f>IFERROR(AVERAGEIF('Данные 2st'!$Q$2:$Q$317,$A73,'Данные 2st'!$OP$2:$OP$317),"")</f>
        <v>61</v>
      </c>
      <c r="SE73" s="7">
        <f>IFERROR(AVERAGEIF('Данные 2st'!$Q$2:$Q$317,$A73,'Данные 2st'!$OQ$2:$OQ$317),"")</f>
        <v>61</v>
      </c>
      <c r="SF73" s="7">
        <f>IFERROR(AVERAGEIF('Данные 2st'!$Q$2:$Q$317,$A73,'Данные 2st'!$OS$2:$OS$317),"")</f>
        <v>1</v>
      </c>
      <c r="SG73" s="7">
        <f>IFERROR(AVERAGEIF('Данные 2st'!$Q$2:$Q$317,$A73,'Данные 2st'!$OT$2:$OT$317),"")</f>
        <v>2328.6666666666665</v>
      </c>
      <c r="SH73" s="7">
        <f>IFERROR(AVERAGEIF('Данные 2st'!$Q$2:$Q$317,$A73,'Данные 2st'!$OU$2:$OU$317),"")</f>
        <v>65</v>
      </c>
      <c r="SI73" s="7">
        <f>IFERROR(AVERAGEIF('Данные 2st'!$Q$2:$Q$317,$A73,'Данные 2st'!$OV$2:$OV$317),"")</f>
        <v>65</v>
      </c>
      <c r="SJ73" s="7">
        <f>IFERROR(AVERAGEIF('Данные 2st'!$Q$2:$Q$317,$A73,'Данные 2st'!$OX$2:$OX$317),"")</f>
        <v>2</v>
      </c>
      <c r="SK73" s="7">
        <f>IFERROR(AVERAGEIF('Данные 2st'!$Q$2:$Q$317,$A73,'Данные 2st'!$OY$2:$OY$317),"")</f>
        <v>51972.333333333336</v>
      </c>
      <c r="SL73" s="7">
        <f>IFERROR(AVERAGEIF('Данные 2st'!$Q$2:$Q$317,$A73,'Данные 2st'!$OZ$2:$OZ$317),"")</f>
        <v>51</v>
      </c>
      <c r="SM73" s="7">
        <f>IFERROR(AVERAGEIF('Данные 2st'!$Q$2:$Q$317,$A73,'Данные 2st'!$PA$2:$PA$317),"")</f>
        <v>51.333333333333336</v>
      </c>
      <c r="SN73" s="7">
        <f>IFERROR(AVERAGEIF('Данные 2st'!$Q$2:$Q$317,$A73,'Данные 2st'!$PC$2:$PC$317),"")</f>
        <v>1.3333333333333333</v>
      </c>
      <c r="SO73" s="7">
        <f>IFERROR(AVERAGEIF('Данные 2st'!$Q$2:$Q$317,$A73,'Данные 2st'!$PD$2:$PD$317),"")</f>
        <v>2358.6666666666665</v>
      </c>
      <c r="SP73" s="7">
        <f>IFERROR(AVERAGEIF('Данные 2st'!$Q$2:$Q$317,$A73,'Данные 2st'!$PF$2:$PF$317),"")</f>
        <v>523</v>
      </c>
      <c r="SQ73" s="7">
        <f>IFERROR(AVERAGEIF('Данные 2st'!$Q$2:$Q$317,$A73,'Данные 2st'!$PG$2:$PG$317),"")</f>
        <v>35</v>
      </c>
      <c r="SR73" s="7">
        <f>IFERROR(AVERAGEIF('Данные 2st'!$Q$2:$Q$317,$A73,'Данные 2st'!$PH$2:$PH$317),"")</f>
        <v>499</v>
      </c>
      <c r="SS73" s="7">
        <f>IFERROR(AVERAGEIF('Данные 2st'!$Q$2:$Q$317,$A73,'Данные 2st'!$PI$2:$PI$317),"")</f>
        <v>0</v>
      </c>
      <c r="ST73" s="7">
        <f>IFERROR(AVERAGEIF('Данные 2st'!$Q$2:$Q$317,$A73,'Данные 2st'!$PJ$2:$PJ$317),"")</f>
        <v>92.83333333333333</v>
      </c>
      <c r="SU73" s="7">
        <f>IFERROR(AVERAGEIF('Данные 2st'!$Q$2:$Q$317,$A73,'Данные 2st'!$PK$2:$PK$317),"")</f>
        <v>2075</v>
      </c>
      <c r="SV73" s="7">
        <f>IFERROR(AVERAGEIF('Данные 2st'!$Q$2:$Q$317,$A73,'Данные 2st'!$PL$2:$PL$317),"")</f>
        <v>1398.0333333333333</v>
      </c>
      <c r="SW73" s="7">
        <f>IFERROR(AVERAGEIF('Данные 2st'!$Q$2:$Q$317,$A73,'Данные 2st'!$PM$2:$PM$317),"")</f>
        <v>639.0</v>
      </c>
      <c r="SX73" s="7">
        <f>IFERROR(AVERAGEIF('Данные 2st'!$Q$2:$Q$317,$A73,'Данные 2st'!$PN$2:$PN$317),"")</f>
        <v>110.33333333333333</v>
      </c>
      <c r="SY73" s="7">
        <f>IFERROR(AVERAGEIF('Данные 2st'!$Q$2:$Q$317,$A73,'Данные 2st'!$PO$2:$PO$317),"")</f>
        <v>9.2</v>
      </c>
      <c r="SZ73" s="7">
        <f>IFERROR(AVERAGEIF('Данные 2st'!$Q$2:$Q$317,$A73,'Данные 2st'!$PP$2:$PP$317),"")</f>
        <v>12</v>
      </c>
      <c r="TA73" s="7">
        <f>IFERROR(AVERAGEIF('Данные 2st'!$Q$2:$Q$317,$A73,'Данные 2st'!$PQ$2:$PQ$317),"")</f>
        <v>4</v>
      </c>
      <c r="TB73" s="7">
        <f>IFERROR(AVERAGEIF('Данные 2st'!$Q$2:$Q$317,$A73,'Данные 2st'!$PR$2:$PR$317),"")</f>
        <v>6</v>
      </c>
      <c r="TC73" s="7">
        <f>IFERROR(AVERAGEIF('Данные 2st'!$Q$2:$Q$317,$A73,'Данные 2st'!$PS$2:$PS$317),"")</f>
        <v>0</v>
      </c>
      <c r="TD73" s="7">
        <f>IFERROR(AVERAGEIF('Данные 2st'!$Q$2:$Q$317,$A73,'Данные 2st'!$PT$2:$PT$317),"")</f>
        <v>266</v>
      </c>
      <c r="TE73" s="7">
        <f>IFERROR(AVERAGEIF('Данные 2st'!$Q$2:$Q$317,$A73,'Данные 2st'!$PU$2:$PU$317),"")</f>
        <v>11</v>
      </c>
      <c r="TF73" s="7">
        <f>IFERROR(AVERAGEIF('Данные 2st'!$Q$2:$Q$317,$A73,'Данные 2st'!$PX$2:$PX$317),"")</f>
        <v>0</v>
      </c>
      <c r="TG73" s="7">
        <f>IFERROR(AVERAGEIF('Данные 2st'!$Q$2:$Q$317,$A73,'Данные 2st'!$PY$2:$PY$317),"")</f>
        <v>0</v>
      </c>
      <c r="TH73" s="7">
        <f>IFERROR(AVERAGEIF('Данные 2st'!$Q$2:$Q$317,$A73,'Данные 2st'!$PZ$2:$PZ$317),"")</f>
        <v>0</v>
      </c>
      <c r="TI73" s="7">
        <f>IFERROR(AVERAGEIF('Данные 2st'!$Q$2:$Q$317,$A73,'Данные 2st'!$QA$2:$QA$317),"")</f>
        <v>0</v>
      </c>
      <c r="TJ73" s="7">
        <f>IFERROR(AVERAGEIF('Данные 2st'!$Q$2:$Q$317,$A73,'Данные 2st'!$QB$2:$QB$317),"")</f>
        <v>0</v>
      </c>
      <c r="TK73" s="7">
        <f>IFERROR(AVERAGEIF('Данные 2st'!$Q$2:$Q$317,$A73,'Данные 2st'!$QC$2:$QC$317),"")</f>
        <v>0</v>
      </c>
      <c r="TL73" s="7">
        <f>IFERROR(AVERAGEIF('Данные 2st'!$Q$2:$Q$317,$A73,'Данные 2st'!$QD$2:$QD$317),"")</f>
        <v>0</v>
      </c>
      <c r="TM73" s="7">
        <f>IFERROR(AVERAGEIF('Данные 2st'!$Q$2:$Q$317,$A73,'Данные 2st'!$QE$2:$QE$317),"")</f>
        <v>-1</v>
      </c>
      <c r="TN73" s="7">
        <f>IFERROR(AVERAGEIF('Данные 2st'!$Q$2:$Q$317,$A73,'Данные 2st'!$QF$2:$QF$317),"")</f>
        <v>1</v>
      </c>
      <c r="TO73" s="7">
        <f>IFERROR(AVERAGEIF('Данные 2st'!$Q$2:$Q$317,$A73,'Данные 2st'!$QG$2:$QG$317),"")</f>
        <v>0</v>
      </c>
      <c r="TP73" s="7">
        <f>IFERROR(AVERAGEIF('Данные 2st'!$Q$2:$Q$317,$A73,'Данные 2st'!$QH$2:$QH$317),"")</f>
        <v>5</v>
      </c>
      <c r="TQ73" s="7">
        <f>IFERROR(AVERAGEIF('Данные 2st'!$Q$2:$Q$317,$A73,'Данные 2st'!$QI$2:$QI$317),"")</f>
        <v>5</v>
      </c>
      <c r="TR73" s="7">
        <f>IFERROR(AVERAGEIF('Данные 2st'!$Q$2:$Q$317,$A73,'Данные 2st'!$QJ$2:$QJ$317),"")</f>
        <v>5</v>
      </c>
      <c r="TS73" s="7">
        <f>IFERROR(AVERAGEIF('Данные 2st'!$Q$2:$Q$317,$A73,'Данные 2st'!$QK$2:$QK$317),"")</f>
        <v>239.66666666666666</v>
      </c>
      <c r="TT73" s="7">
        <f>IFERROR(AVERAGEIF('Данные 2st'!$Q$2:$Q$317,$A73,'Данные 2st'!$QL$2:$QL$317),"")</f>
        <v>474.6666666666667</v>
      </c>
      <c r="TU73" s="7">
        <f>IFERROR(AVERAGEIF('Данные 2st'!$Q$2:$Q$317,$A73,'Данные 2st'!$QM$2:$QM$317),"")</f>
        <v>7.5</v>
      </c>
      <c r="TV73" s="7">
        <f>IFERROR(AVERAGEIF('Данные 2st'!$Q$2:$Q$317,$A73,'Данные 2st'!$QN$2:$QN$317),"")</f>
        <v>1623.8</v>
      </c>
      <c r="TW73" s="7">
        <f>IFERROR(AVERAGEIF('Данные 2st'!$Q$2:$Q$317,$A73,'Данные 2st'!$QQ$2:$QQ$317),"")</f>
        <v>0</v>
      </c>
      <c r="TX73" s="7">
        <f>IFERROR(AVERAGEIF('Данные 2st'!$Q$2:$Q$317,$A73,'Данные 2st'!$QS$2:$QS$317),"")</f>
        <v>40</v>
      </c>
      <c r="TY73" s="7">
        <f>IFERROR(AVERAGEIF('Данные 2st'!$Q$2:$Q$317,$A73,'Данные 2st'!$QT$2:$QT$317),"")</f>
        <v>50</v>
      </c>
    </row>
    <row r="74" spans="1:545" ht="32" customHeight="1">
      <c r="A74" s="11" t="s">
        <v>2807</v>
      </c>
      <c r="B74">
        <f>COUNTIF('Данные 1st'!$S$2:$S$317,$A74)</f>
        <v>1</v>
      </c>
      <c r="C74" s="6" t="s">
        <v>2657</v>
      </c>
      <c r="D74" s="6" t="s">
        <v>513</v>
      </c>
      <c r="E74" s="6" t="s">
        <v>517</v>
      </c>
      <c r="F74" s="6" t="s">
        <v>2804</v>
      </c>
      <c r="G74" s="7">
        <f>IFERROR(AVERAGEIF('Данные 1st'!$S$2:$S$317,$A74,'Данные 1st'!$AE$2:$AE$317),"")</f>
        <v>232</v>
      </c>
      <c r="H74" s="7">
        <f>IFERROR(AVERAGEIF('Данные 1st'!$S$2:$S$317,$A74,'Данные 1st'!$AF$2:$AF$317),"")</f>
        <v>1.5</v>
      </c>
      <c r="I74" s="7">
        <f>IFERROR(AVERAGEIF('Данные 1st'!$S$2:$S$317,$A74,'Данные 1st'!$AJ$2:$AJ$317),"")</f>
        <v>212.5</v>
      </c>
      <c r="J74" s="7">
        <f>IFERROR(AVERAGEIF('Данные 1st'!$S$2:$S$317,$A74,'Данные 1st'!$AL$2:$AL$317),"")</f>
        <v>1.5</v>
      </c>
      <c r="K74" s="7">
        <f>IFERROR(AVERAGEIF('Данные 1st'!$S$2:$S$317,$A74,'Данные 1st'!$AR$2:$AR$317),"")</f>
        <v>249</v>
      </c>
      <c r="L74" s="7">
        <f>IFERROR(AVERAGEIF('Данные 1st'!$S$2:$S$317,$A74,'Данные 1st'!$AS$2:$AS$317),"")</f>
        <v>1.5</v>
      </c>
      <c r="M74" s="7">
        <f>IFERROR(AVERAGEIF('Данные 1st'!$S$2:$S$317,$A74,'Данные 1st'!$AY$2:$AY$317),"")</f>
        <v>302.5</v>
      </c>
      <c r="N74" s="7">
        <f>IFERROR(AVERAGEIF('Данные 1st'!$S$2:$S$317,$A74,'Данные 1st'!$AZ$2:$AZ$317),"")</f>
        <v>1.5</v>
      </c>
      <c r="O74" s="7">
        <f>IFERROR(AVERAGEIF('Данные 1st'!$S$2:$S$317,$A74,'Данные 1st'!$BF$2:$BF$317),"")</f>
        <v>250</v>
      </c>
      <c r="P74" s="7">
        <f>IFERROR(AVERAGEIF('Данные 1st'!$S$2:$S$317,$A74,'Данные 1st'!$BG$2:$BG$317),"")</f>
        <v>1.5</v>
      </c>
      <c r="Q74" s="7">
        <f>IFERROR(AVERAGEIF('Данные 1st'!$S$2:$S$317,$A74,'Данные 1st'!$BM$2:$BM$317),"")</f>
        <v/>
      </c>
      <c r="R74" s="7">
        <f>IFERROR(AVERAGEIF('Данные 1st'!$S$2:$S$317,$A74,'Данные 1st'!$BN$2:$BN$317),"")</f>
        <v>1.5</v>
      </c>
      <c r="S74" s="7">
        <f>IFERROR(AVERAGEIF('Данные 1st'!$S$2:$S$317,$A74,'Данные 1st'!$BT$2:$BT$317),"")</f>
        <v>230</v>
      </c>
      <c r="T74" s="7">
        <f>IFERROR(AVERAGEIF('Данные 1st'!$S$2:$S$317,$A74,'Данные 1st'!$BU$2:$BU$317),"")</f>
        <v>0.5</v>
      </c>
      <c r="U74" s="7">
        <f>IFERROR(AVERAGEIF('Данные 1st'!$S$2:$S$317,$A74,'Данные 1st'!$BW$2:$BW$317),"")</f>
        <v>460</v>
      </c>
      <c r="V74" s="7">
        <f>IFERROR(AVERAGEIF('Данные 1st'!$S$2:$S$317,$A74,'Данные 1st'!$BX$2:$BX$317),"")</f>
        <v>1</v>
      </c>
      <c r="W74" s="7">
        <f>IFERROR(AVERAGEIF('Данные 1st'!$S$2:$S$317,$A74,'Данные 1st'!$BZ$2:$BZ$317),"")</f>
        <v>470</v>
      </c>
      <c r="X74" s="7">
        <f>IFERROR(AVERAGEIF('Данные 1st'!$S$2:$S$317,$A74,'Данные 1st'!$CA$2:$CA$317),"")</f>
        <v>530</v>
      </c>
      <c r="Y74" s="7">
        <f>IFERROR(AVERAGEIF('Данные 1st'!$S$2:$S$317,$A74,'Данные 1st'!$CD$2:$CD$317),"")</f>
        <v>480</v>
      </c>
      <c r="Z74" s="7">
        <f>IFERROR(AVERAGEIF('Данные 1st'!$S$2:$S$317,$A74,'Данные 1st'!$CF$2:$CF$317),"")</f>
        <v>15</v>
      </c>
      <c r="AA74" s="7">
        <f>IFERROR(AVERAGEIF('Данные 1st'!$S$2:$S$317,$A74,'Данные 1st'!$CI$2:$CI$317),"")</f>
        <v>30</v>
      </c>
      <c r="AB74" s="7">
        <f>IFERROR(AVERAGEIF('Данные 1st'!$S$2:$S$317,$A74,'Данные 1st'!$CJ$2:$CJ$317),"")</f>
        <v>1458</v>
      </c>
      <c r="AC74" s="7">
        <f>IFERROR(AVERAGEIF('Данные 1st'!$S$2:$S$317,$A74,'Данные 1st'!$CK$2:$CK$317),"")</f>
        <v>2</v>
      </c>
      <c r="AD74" s="7">
        <f>IFERROR(AVERAGEIF('Данные 1st'!$S$2:$S$317,$A74,'Данные 1st'!$CL$2:$CL$317),"")</f>
        <v>1552</v>
      </c>
      <c r="AE74" s="7">
        <f>IFERROR(AVERAGEIF('Данные 1st'!$S$2:$S$317,$A74,'Данные 1st'!$CM$2:$CM$317),"")</f>
        <v>2</v>
      </c>
      <c r="AF74" s="7">
        <f>IFERROR(AVERAGEIF('Данные 1st'!$S$2:$S$317,$A74,'Данные 1st'!$CT$2:$CT$317),"")</f>
        <v>425</v>
      </c>
      <c r="AG74" s="7">
        <f>IFERROR(AVERAGEIF('Данные 1st'!$S$2:$S$317,$A74,'Данные 1st'!$CU$2:$CU$317),"")</f>
        <v>5</v>
      </c>
      <c r="AH74" s="7">
        <f>IFERROR(AVERAGEIF('Данные 1st'!$S$2:$S$317,$A74,'Данные 1st'!$CV$2:$CV$317),"")</f>
        <v>1.2</v>
      </c>
      <c r="AI74" s="7">
        <f>IFERROR(AVERAGEIF('Данные 1st'!$S$2:$S$317,$A74,'Данные 1st'!$CW$2:$CW$317),"")</f>
        <v>1475</v>
      </c>
      <c r="AJ74" s="7">
        <f>IFERROR(AVERAGEIF('Данные 1st'!$S$2:$S$317,$A74,'Данные 1st'!$CX$2:$CX$317),"")</f>
        <v>888</v>
      </c>
      <c r="AK74" s="7">
        <f>IFERROR(AVERAGEIF('Данные 1st'!$S$2:$S$317,$A74,'Данные 1st'!$CZ$2:$CZ$317),"")</f>
        <v>50</v>
      </c>
      <c r="AL74" s="7">
        <f>IFERROR(AVERAGEIF('Данные 1st'!$S$2:$S$317,$A74,'Данные 1st'!$DA$2:$DA$317),"")</f>
        <v>3</v>
      </c>
      <c r="AM74" s="7">
        <f>IFERROR(AVERAGEIF('Данные 1st'!$S$2:$S$317,$A74,'Данные 1st'!$DB$2:$DB$317),"")</f>
        <v>1</v>
      </c>
      <c r="AN74" s="7">
        <f>IFERROR(AVERAGEIF('Данные 1st'!$S$2:$S$317,$A74,'Данные 1st'!$DC$2:$DC$317),"")</f>
        <v>1475</v>
      </c>
      <c r="AO74" s="7">
        <f>IFERROR(AVERAGEIF('Данные 1st'!$S$2:$S$317,$A74,'Данные 1st'!$DD$2:$DD$317),"")</f>
        <v>77</v>
      </c>
      <c r="AP74" s="7">
        <f>IFERROR(AVERAGEIF('Данные 1st'!$S$2:$S$317,$A74,'Данные 1st'!$DF$2:$DF$317),"")</f>
        <v>605</v>
      </c>
      <c r="AQ74" s="7">
        <f>IFERROR(AVERAGEIF('Данные 1st'!$S$2:$S$317,$A74,'Данные 1st'!$DG$2:$DG$317),"")</f>
        <v>3</v>
      </c>
      <c r="AR74" s="7">
        <f>IFERROR(AVERAGEIF('Данные 1st'!$S$2:$S$317,$A74,'Данные 1st'!$DH$2:$DH$317),"")</f>
        <v>0.88</v>
      </c>
      <c r="AS74" s="7">
        <f>IFERROR(AVERAGEIF('Данные 1st'!$S$2:$S$317,$A74,'Данные 1st'!$DI$2:$DI$317),"")</f>
        <v>1467</v>
      </c>
      <c r="AT74" s="7">
        <f>IFERROR(AVERAGEIF('Данные 1st'!$S$2:$S$317,$A74,'Данные 1st'!$DJ$2:$DJ$317),"")</f>
        <v>1043</v>
      </c>
      <c r="AU74" s="7">
        <f>IFERROR(AVERAGEIF('Данные 1st'!$S$2:$S$317,$A74,'Данные 1st'!$DL$2:$DL$317),"")</f>
        <v>500</v>
      </c>
      <c r="AV74" s="7">
        <f>IFERROR(AVERAGEIF('Данные 1st'!$S$2:$S$317,$A74,'Данные 1st'!$DM$2:$DM$317),"")</f>
        <v>3</v>
      </c>
      <c r="AW74" s="7">
        <f>IFERROR(AVERAGEIF('Данные 1st'!$S$2:$S$317,$A74,'Данные 1st'!$DN$2:$DN$317),"")</f>
        <v>0.88</v>
      </c>
      <c r="AX74" s="7">
        <f>IFERROR(AVERAGEIF('Данные 1st'!$S$2:$S$317,$A74,'Данные 1st'!$DO$2:$DO$317),"")</f>
        <v>1472</v>
      </c>
      <c r="AY74" s="7">
        <f>IFERROR(AVERAGEIF('Данные 1st'!$S$2:$S$317,$A74,'Данные 1st'!$DP$2:$DP$317),"")</f>
        <v>804</v>
      </c>
      <c r="AZ74" s="7">
        <f>IFERROR(AVERAGEIF('Данные 1st'!$S$2:$S$317,$A74,'Данные 1st'!$DR$2:$DR$317),"")</f>
        <v/>
      </c>
      <c r="BA74" s="7">
        <f>IFERROR(AVERAGEIF('Данные 1st'!$S$2:$S$317,$A74,'Данные 1st'!$DS$2:$DS$317),"")</f>
        <v/>
      </c>
      <c r="BB74" s="7">
        <f>IFERROR(AVERAGEIF('Данные 1st'!$S$2:$S$317,$A74,'Данные 1st'!$DT$2:$DT$317),"")</f>
        <v/>
      </c>
      <c r="BC74" s="7">
        <f>IFERROR(AVERAGEIF('Данные 1st'!$S$2:$S$317,$A74,'Данные 1st'!$DU$2:$DU$317),"")</f>
        <v/>
      </c>
      <c r="BD74" s="7">
        <f>IFERROR(AVERAGEIF('Данные 1st'!$S$2:$S$317,$A74,'Данные 1st'!$DV$2:$DV$317),"")</f>
        <v/>
      </c>
      <c r="BE74" s="7">
        <f>IFERROR(AVERAGEIF('Данные 1st'!$S$2:$S$317,$A74,'Данные 1st'!$DX$2:$DX$317),"")</f>
        <v>7.5</v>
      </c>
      <c r="BF74" s="7">
        <f>IFERROR(AVERAGEIF('Данные 1st'!$S$2:$S$317,$A74,'Данные 1st'!$EA$2:$EA$317),"")</f>
        <v>1544.1</v>
      </c>
      <c r="BG74" s="7">
        <f>IFERROR(AVERAGEIF('Данные 1st'!$S$2:$S$317,$A74,'Данные 1st'!$EB$2:$EB$317),"")</f>
        <v>364</v>
      </c>
      <c r="BH74" s="7">
        <f>IFERROR(AVERAGEIF('Данные 1st'!$S$2:$S$317,$A74,'Данные 1st'!$ED$2:$ED$317),"")</f>
        <v>30</v>
      </c>
      <c r="BI74" s="7">
        <f>IFERROR(AVERAGEIF('Данные 1st'!$S$2:$S$317,$A74,'Данные 1st'!$EE$2:$EE$317),"")</f>
        <v>3</v>
      </c>
      <c r="BJ74" s="7">
        <f>IFERROR(AVERAGEIF('Данные 1st'!$S$2:$S$317,$A74,'Данные 1st'!$EG$2:$EG$317),"")</f>
        <v>1595</v>
      </c>
      <c r="BK74" s="7">
        <f>IFERROR(AVERAGEIF('Данные 1st'!$S$2:$S$317,$A74,'Данные 1st'!$EH$2:$EH$317),"")</f>
        <v>188</v>
      </c>
      <c r="BL74" s="7">
        <f>IFERROR(AVERAGEIF('Данные 1st'!$S$2:$S$317,$A74,'Данные 1st'!$EJ$2:$EJ$317),"")</f>
        <v>0</v>
      </c>
      <c r="BM74" s="7">
        <f>IFERROR(AVERAGEIF('Данные 1st'!$S$2:$S$317,$A74,'Данные 1st'!$EK$2:$EK$317),"")</f>
        <v>1</v>
      </c>
      <c r="BN74" s="7">
        <f>IFERROR(AVERAGEIF('Данные 1st'!$S$2:$S$317,$A74,'Данные 1st'!$EN$2:$EN$317),"")</f>
        <v>0</v>
      </c>
      <c r="BO74" s="7">
        <f>IFERROR(AVERAGEIF('Данные 1st'!$S$2:$S$317,$A74,'Данные 1st'!$EQ$2:$EQ$317),"")</f>
        <v>115</v>
      </c>
      <c r="BP74" s="7">
        <f>IFERROR(AVERAGEIF('Данные 1st'!$S$2:$S$317,$A74,'Данные 1st'!$ER$2:$ER$317),"")</f>
        <v>3</v>
      </c>
      <c r="BQ74" s="7">
        <f>IFERROR(AVERAGEIF('Данные 1st'!$S$2:$S$317,$A74,'Данные 1st'!$ES$2:$ES$317),"")</f>
        <v>5.5</v>
      </c>
      <c r="BR74" s="7">
        <f>IFERROR(AVERAGEIF('Данные 1st'!$S$2:$S$317,$A74,'Данные 1st'!$ET$2:$ET$317),"")</f>
        <v>1454</v>
      </c>
      <c r="BS74" s="7">
        <f>IFERROR(AVERAGEIF('Данные 1st'!$S$2:$S$317,$A74,'Данные 1st'!$EU$2:$EU$317),"")</f>
        <v>531</v>
      </c>
      <c r="BT74" s="7">
        <f>IFERROR(AVERAGEIF('Данные 1st'!$S$2:$S$317,$A74,'Данные 1st'!$EV$2:$EV$317),"")</f>
        <v>772</v>
      </c>
      <c r="BU74" s="7">
        <f>IFERROR(AVERAGEIF('Данные 1st'!$S$2:$S$317,$A74,'Данные 1st'!$EX$2:$EX$317),"")</f>
        <v>45</v>
      </c>
      <c r="BV74" s="7">
        <f>IFERROR(AVERAGEIF('Данные 1st'!$S$2:$S$317,$A74,'Данные 1st'!$EY$2:$EY$317),"")</f>
        <v>2</v>
      </c>
      <c r="BW74" s="7">
        <f>IFERROR(AVERAGEIF('Данные 1st'!$S$2:$S$317,$A74,'Данные 1st'!$EZ$2:$EZ$317),"")</f>
        <v>4.7</v>
      </c>
      <c r="BX74" s="7">
        <f>IFERROR(AVERAGEIF('Данные 1st'!$S$2:$S$317,$A74,'Данные 1st'!$FA$2:$FA$317),"")</f>
        <v>1454</v>
      </c>
      <c r="BY74" s="7">
        <f>IFERROR(AVERAGEIF('Данные 1st'!$S$2:$S$317,$A74,'Данные 1st'!$FB$2:$FB$317),"")</f>
        <v>141.4</v>
      </c>
      <c r="BZ74" s="7">
        <f>IFERROR(AVERAGEIF('Данные 1st'!$S$2:$S$317,$A74,'Данные 1st'!$FC$2:$FC$317),"")</f>
        <v>206</v>
      </c>
      <c r="CA74" s="7">
        <f>IFERROR(AVERAGEIF('Данные 1st'!$S$2:$S$317,$A74,'Данные 1st'!$FE$2:$FE$317),"")</f>
        <v>0</v>
      </c>
      <c r="CB74" s="7">
        <f>IFERROR(AVERAGEIF('Данные 1st'!$S$2:$S$317,$A74,'Данные 1st'!$FF$2:$FF$317),"")</f>
        <v>2</v>
      </c>
      <c r="CC74" s="7">
        <f>IFERROR(AVERAGEIF('Данные 1st'!$S$2:$S$317,$A74,'Данные 1st'!$FI$2:$FI$317),"")</f>
        <v>0</v>
      </c>
      <c r="CD74" s="7">
        <f>IFERROR(AVERAGEIF('Данные 1st'!$S$2:$S$317,$A74,'Данные 1st'!$FL$2:$FL$317),"")</f>
        <v>0.4</v>
      </c>
      <c r="CE74" s="7">
        <f>IFERROR(AVERAGEIF('Данные 1st'!$S$2:$S$317,$A74,'Данные 1st'!$FM$2:$FM$317),"")</f>
        <v>45</v>
      </c>
      <c r="CF74" s="7">
        <f>IFERROR(AVERAGEIF('Данные 1st'!$S$2:$S$317,$A74,'Данные 1st'!$FN$2:$FN$317),"")</f>
        <v>400</v>
      </c>
      <c r="CG74" s="7">
        <f>IFERROR(AVERAGEIF('Данные 1st'!$S$2:$S$317,$A74,'Данные 1st'!$FO$2:$FO$317),"")</f>
        <v>85</v>
      </c>
      <c r="CH74" s="7">
        <f>IFERROR(AVERAGEIF('Данные 1st'!$S$2:$S$317,$A74,'Данные 1st'!$FP$2:$FP$317),"")</f>
        <v>170</v>
      </c>
      <c r="CI74" s="7">
        <f>IFERROR(AVERAGEIF('Данные 1st'!$S$2:$S$317,$A74,'Данные 1st'!$FS$2:$FS$317),"")</f>
        <v/>
      </c>
      <c r="CJ74" s="7">
        <f>IFERROR(AVERAGEIF('Данные 1st'!$S$2:$S$317,$A74,'Данные 1st'!$FT$2:$FT$317),"")</f>
        <v/>
      </c>
      <c r="CK74" s="7">
        <f>IFERROR(AVERAGEIF('Данные 1st'!$S$2:$S$317,$A74,'Данные 1st'!$FU$2:$FU$317),"")</f>
        <v/>
      </c>
      <c r="CL74" s="7">
        <f>IFERROR(AVERAGEIF('Данные 1st'!$S$2:$S$317,$A74,'Данные 1st'!$FV$2:$FV$317),"")</f>
        <v/>
      </c>
      <c r="CM74" s="7">
        <f>IFERROR(AVERAGEIF('Данные 1st'!$S$2:$S$317,$A74,'Данные 1st'!$FW$2:$FW$317),"")</f>
        <v/>
      </c>
      <c r="CN74" s="7">
        <f>IFERROR(AVERAGEIF('Данные 1st'!$S$2:$S$317,$A74,'Данные 1st'!$FZ$2:$FZ$317),"")</f>
        <v/>
      </c>
      <c r="CO74" s="7">
        <f>IFERROR(AVERAGEIF('Данные 1st'!$S$2:$S$317,$A74,'Данные 1st'!$GA$2:$GA$317),"")</f>
        <v/>
      </c>
      <c r="CP74" s="7">
        <f>IFERROR(AVERAGEIF('Данные 1st'!$S$2:$S$317,$A74,'Данные 1st'!$GB$2:$GB$317),"")</f>
        <v/>
      </c>
      <c r="CQ74" s="7">
        <f>IFERROR(AVERAGEIF('Данные 1st'!$S$2:$S$317,$A74,'Данные 1st'!$GH$2:$GH$317),"")</f>
        <v/>
      </c>
      <c r="CR74" s="7">
        <f>IFERROR(AVERAGEIF('Данные 1st'!$S$2:$S$317,$A74,'Данные 1st'!$GI$2:$GI$317),"")</f>
        <v/>
      </c>
      <c r="CS74" s="7">
        <f>IFERROR(AVERAGEIF('Данные 1st'!$S$2:$S$317,$A74,'Данные 1st'!$GJ$2:$GJ$317),"")</f>
        <v/>
      </c>
      <c r="CT74" s="7">
        <f>IFERROR(AVERAGEIF('Данные 1st'!$S$2:$S$317,$A74,'Данные 1st'!$GS$2:$GS$317),"")</f>
        <v>0.4</v>
      </c>
      <c r="CU74" s="7">
        <f>IFERROR(AVERAGEIF('Данные 1st'!$S$2:$S$317,$A74,'Данные 1st'!$GT$2:$GT$317),"")</f>
        <v>30</v>
      </c>
      <c r="CV74" s="7">
        <f>IFERROR(AVERAGEIF('Данные 1st'!$S$2:$S$317,$A74,'Данные 1st'!$GU$2:$GU$317),"")</f>
        <v>420</v>
      </c>
      <c r="CW74" s="7">
        <f>IFERROR(AVERAGEIF('Данные 1st'!$S$2:$S$317,$A74,'Данные 1st'!$GV$2:$GV$317),"")</f>
        <v>30</v>
      </c>
      <c r="CX74" s="7">
        <f>IFERROR(AVERAGEIF('Данные 1st'!$S$2:$S$317,$A74,'Данные 1st'!$GW$2:$GW$317),"")</f>
        <v>300</v>
      </c>
      <c r="CY74" s="7">
        <f>IFERROR(AVERAGEIF('Данные 1st'!$S$2:$S$317,$A74,'Данные 1st'!$GZ$2:$GZ$317),"")</f>
        <v/>
      </c>
      <c r="CZ74" s="7">
        <f>IFERROR(AVERAGEIF('Данные 1st'!$S$2:$S$317,$A74,'Данные 1st'!$HA$2:$HA$317),"")</f>
        <v/>
      </c>
      <c r="DA74" s="7">
        <f>IFERROR(AVERAGEIF('Данные 1st'!$S$2:$S$317,$A74,'Данные 1st'!$HB$2:$HB$317),"")</f>
        <v/>
      </c>
      <c r="DB74" s="7">
        <f>IFERROR(AVERAGEIF('Данные 1st'!$S$2:$S$317,$A74,'Данные 1st'!$HC$2:$HC$317),"")</f>
        <v>0.1</v>
      </c>
      <c r="DC74" s="7">
        <f>IFERROR(AVERAGEIF('Данные 1st'!$S$2:$S$317,$A74,'Данные 1st'!$HD$2:$HD$317),"")</f>
        <v>3</v>
      </c>
      <c r="DD74" s="7">
        <f>IFERROR(AVERAGEIF('Данные 1st'!$S$2:$S$317,$A74,'Данные 1st'!$HE$2:$HE$317),"")</f>
        <v>3</v>
      </c>
      <c r="DE74" s="7">
        <f>IFERROR(AVERAGEIF('Данные 1st'!$S$2:$S$317,$A74,'Данные 1st'!$HF$2:$HF$317),"")</f>
        <v>3</v>
      </c>
      <c r="DF74" s="7">
        <f>IFERROR(AVERAGEIF('Данные 1st'!$S$2:$S$317,$A74,'Данные 1st'!$HG$2:$HG$317),"")</f>
        <v>3</v>
      </c>
      <c r="DG74" s="7">
        <f>IFERROR(AVERAGEIF('Данные 1st'!$S$2:$S$317,$A74,'Данные 1st'!$HH$2:$HH$317),"")</f>
        <v>3</v>
      </c>
      <c r="DH74" s="7">
        <f>IFERROR(AVERAGEIF('Данные 1st'!$S$2:$S$317,$A74,'Данные 1st'!$HI$2:$HI$317),"")</f>
        <v>145</v>
      </c>
      <c r="DI74" s="7">
        <f>IFERROR(AVERAGEIF('Данные 1st'!$S$2:$S$317,$A74,'Данные 1st'!$HJ$2:$HJ$317),"")</f>
        <v>3</v>
      </c>
      <c r="DJ74" s="7">
        <f>IFERROR(AVERAGEIF('Данные 1st'!$S$2:$S$317,$A74,'Данные 1st'!$HK$2:$HK$317),"")</f>
        <v>30</v>
      </c>
      <c r="DK74" s="7">
        <f>IFERROR(AVERAGEIF('Данные 1st'!$S$2:$S$317,$A74,'Данные 1st'!$HL$2:$HL$317),"")</f>
        <v>2</v>
      </c>
      <c r="DL74" s="7">
        <f>IFERROR(AVERAGEIF('Данные 1st'!$S$2:$S$317,$A74,'Данные 1st'!$HM$2:$HM$317),"")</f>
        <v>0</v>
      </c>
      <c r="DM74" s="7">
        <f>IFERROR(AVERAGEIF('Данные 1st'!$S$2:$S$317,$A74,'Данные 1st'!$HN$2:$HN$317),"")</f>
        <v>2</v>
      </c>
      <c r="DN74" s="7">
        <f>IFERROR(AVERAGEIF('Данные 1st'!$S$2:$S$317,$A74,'Данные 1st'!$HO$2:$HO$317),"")</f>
        <v>100</v>
      </c>
      <c r="DO74" s="7">
        <f>IFERROR(AVERAGEIF('Данные 1st'!$S$2:$S$317,$A74,'Данные 1st'!$HP$2:$HP$317),"")</f>
        <v>3</v>
      </c>
      <c r="DP74" s="7">
        <f>IFERROR(AVERAGEIF('Данные 1st'!$S$2:$S$317,$A74,'Данные 1st'!$HQ$2:$HQ$317),"")</f>
        <v>0</v>
      </c>
      <c r="DQ74" s="7">
        <f>IFERROR(AVERAGEIF('Данные 1st'!$S$2:$S$317,$A74,'Данные 1st'!$HR$2:$HR$317),"")</f>
        <v>2</v>
      </c>
      <c r="DR74" s="7">
        <f>IFERROR(AVERAGEIF('Данные 1st'!$S$2:$S$317,$A74,'Данные 1st'!$HS$2:$HS$317),"")</f>
        <v>5949</v>
      </c>
      <c r="DS74" s="7">
        <f>IFERROR(AVERAGEIF('Данные 1st'!$S$2:$S$317,$A74,'Данные 1st'!$HT$2:$HT$317),"")</f>
        <v>180</v>
      </c>
      <c r="DT74" s="7">
        <f>IFERROR(AVERAGEIF('Данные 1st'!$S$2:$S$317,$A74,'Данные 1st'!$HU$2:$HU$317),"")</f>
        <v>180</v>
      </c>
      <c r="DU74" s="7">
        <f>IFERROR(AVERAGEIF('Данные 1st'!$S$2:$S$317,$A74,'Данные 1st'!$HW$2:$HW$317),"")</f>
        <v>0</v>
      </c>
      <c r="DV74" s="7">
        <f>IFERROR(AVERAGEIF('Данные 1st'!$S$2:$S$317,$A74,'Данные 1st'!$HX$2:$HX$317),"")</f>
        <v>465</v>
      </c>
      <c r="DW74" s="7">
        <f>IFERROR(AVERAGEIF('Данные 1st'!$S$2:$S$317,$A74,'Данные 1st'!$HY$2:$HY$317),"")</f>
        <v>0.18</v>
      </c>
      <c r="DX74" s="7">
        <f>IFERROR(AVERAGEIF('Данные 1st'!$S$2:$S$317,$A74,'Данные 1st'!$IA$2:$IA$317),"")</f>
        <v>0.15</v>
      </c>
      <c r="DY74" s="7">
        <f>IFERROR(AVERAGEIF('Данные 1st'!$S$2:$S$317,$A74,'Данные 1st'!$IB$2:$IB$317),"")</f>
        <v>0</v>
      </c>
      <c r="DZ74" s="7">
        <f>IFERROR(AVERAGEIF('Данные 1st'!$S$2:$S$317,$A74,'Данные 1st'!$IC$2:$IC$317),"")</f>
        <v>180</v>
      </c>
      <c r="EA74" s="7">
        <f>IFERROR(AVERAGEIF('Данные 1st'!$S$2:$S$317,$A74,'Данные 1st'!$ID$2:$ID$317),"")</f>
        <v>110</v>
      </c>
      <c r="EB74" s="7">
        <f>IFERROR(AVERAGEIF('Данные 1st'!$S$2:$S$317,$A74,'Данные 1st'!$IE$2:$IE$317),"")</f>
        <v>225</v>
      </c>
      <c r="EC74" s="7">
        <f>IFERROR(AVERAGEIF('Данные 1st'!$S$2:$S$317,$A74,'Данные 1st'!$IF$2:$IF$317),"")</f>
        <v>0</v>
      </c>
      <c r="ED74" s="7">
        <f>IFERROR(AVERAGEIF('Данные 1st'!$S$2:$S$317,$A74,'Данные 1st'!$IP$2:$IP$317),"")</f>
        <v>19</v>
      </c>
      <c r="EE74" s="7">
        <f>IFERROR(AVERAGEIF('Данные 1st'!$S$2:$S$317,$A74,'Данные 1st'!$IV$2:$IV$317),"")</f>
        <v>1458</v>
      </c>
      <c r="EF74" s="7">
        <f>IFERROR(AVERAGEIF('Данные 1st'!$S$2:$S$317,$A74,'Данные 1st'!$IW$2:$IW$317),"")</f>
        <v>460</v>
      </c>
      <c r="EG74" s="7">
        <f>IFERROR(AVERAGEIF('Данные 1st'!$S$2:$S$317,$A74,'Данные 1st'!$IX$2:$IX$317),"")</f>
        <v/>
      </c>
      <c r="EH74" s="7">
        <f>IFERROR(AVERAGEIF('Данные 1st'!$S$2:$S$317,$A74,'Данные 1st'!$IY$2:$IY$317),"")</f>
        <v/>
      </c>
      <c r="EI74" s="7">
        <f>IFERROR(AVERAGEIF('Данные 1st'!$S$2:$S$317,$A74,'Данные 1st'!$JD$2:$JD$317),"")</f>
        <v>1475</v>
      </c>
      <c r="EJ74" s="7">
        <f>IFERROR(AVERAGEIF('Данные 1st'!$S$2:$S$317,$A74,'Данные 1st'!$JE$2:$JE$317),"")</f>
        <v>1467</v>
      </c>
      <c r="EK74" s="7">
        <f>IFERROR(AVERAGEIF('Данные 1st'!$S$2:$S$317,$A74,'Данные 1st'!$JF$2:$JF$317),"")</f>
        <v>1472</v>
      </c>
      <c r="EL74" s="7">
        <f>IFERROR(AVERAGEIF('Данные 1st'!$S$2:$S$317,$A74,'Данные 1st'!$JG$2:$JG$317),"")</f>
        <v>1454</v>
      </c>
      <c r="EM74" s="7">
        <f>IFERROR(AVERAGEIF('Данные 1st'!$S$2:$S$317,$A74,'Данные 1st'!$JH$2:$JH$317),"")</f>
        <v>0</v>
      </c>
      <c r="EN74" s="7">
        <f>IFERROR(AVERAGEIF('Данные 1st'!$S$2:$S$317,$A74,'Данные 1st'!$JJ$2:$JJ$317),"")</f>
        <v>180</v>
      </c>
      <c r="EO74" s="7">
        <f>IFERROR(AVERAGEIF('Данные 1st'!$S$2:$S$317,$A74,'Данные 1st'!$JK$2:$JK$317),"")</f>
        <v>465</v>
      </c>
      <c r="EP74" s="7">
        <f>IFERROR(AVERAGEIF('Данные 1st'!$S$2:$S$317,$A74,'Данные 1st'!$JL$2:$JL$317),"")</f>
        <v/>
      </c>
      <c r="EQ74" s="7">
        <f>IFERROR(AVERAGEIF('Данные 1st'!$S$2:$S$317,$A74,'Данные 1st'!$JM$2:$JM$317),"")</f>
        <v/>
      </c>
      <c r="ER74" s="7">
        <f>IFERROR(AVERAGEIF('Данные 1st'!$S$2:$S$317,$A74,'Данные 1st'!$JN$2:$JN$317),"")</f>
        <v>425</v>
      </c>
      <c r="ES74" s="7">
        <f>IFERROR(AVERAGEIF('Данные 1st'!$S$2:$S$317,$A74,'Данные 1st'!$JO$2:$JO$317),"")</f>
        <v>605</v>
      </c>
      <c r="ET74" s="7">
        <f>IFERROR(AVERAGEIF('Данные 1st'!$S$2:$S$317,$A74,'Данные 1st'!$JP$2:$JP$317),"")</f>
        <v>500</v>
      </c>
      <c r="EU74" s="7">
        <f>IFERROR(AVERAGEIF('Данные 1st'!$S$2:$S$317,$A74,'Данные 1st'!$JQ$2:$JQ$317),"")</f>
        <v>0</v>
      </c>
      <c r="EV74" s="7">
        <f>IFERROR(AVERAGEIF('Данные 1st'!$S$2:$S$317,$A74,'Данные 1st'!$JR$2:$JR$317),"")</f>
        <v>464</v>
      </c>
      <c r="EW74" s="7">
        <f>IFERROR(AVERAGEIF('Данные 1st'!$S$2:$S$317,$A74,'Данные 1st'!$JS$2:$JS$317),"")</f>
        <v>145</v>
      </c>
      <c r="EX74" s="7">
        <f>IFERROR(AVERAGEIF('Данные 1st'!$S$2:$S$317,$A74,'Данные 1st'!$JT$2:$JT$317),"")</f>
        <v/>
      </c>
      <c r="EY74" s="7">
        <f>IFERROR(AVERAGEIF('Данные 1st'!$S$2:$S$317,$A74,'Данные 1st'!$JU$2:$JU$317),"")</f>
        <v/>
      </c>
      <c r="EZ74" s="7">
        <f>IFERROR(AVERAGEIF('Данные 1st'!$S$2:$S$317,$A74,'Данные 1st'!$JV$2:$JV$317),"")</f>
        <v>8</v>
      </c>
      <c r="FA74" s="7">
        <f>IFERROR(AVERAGEIF('Данные 1st'!$S$2:$S$317,$A74,'Данные 1st'!$JW$2:$JW$317),"")</f>
        <v/>
      </c>
      <c r="FB74" s="7">
        <f>IFERROR(AVERAGEIF('Данные 1st'!$S$2:$S$317,$A74,'Данные 1st'!$JX$2:$JX$317),"")</f>
        <v>498</v>
      </c>
      <c r="FC74" s="7">
        <f>IFERROR(AVERAGEIF('Данные 1st'!$S$2:$S$317,$A74,'Данные 1st'!$JY$2:$JY$317),"")</f>
        <v/>
      </c>
      <c r="FD74" s="7">
        <f>IFERROR(AVERAGEIF('Данные 1st'!$S$2:$S$317,$A74,'Данные 1st'!$JZ$2:$JZ$317),"")</f>
        <v/>
      </c>
      <c r="FE74" s="7">
        <f>IFERROR(AVERAGEIF('Данные 1st'!$S$2:$S$317,$A74,'Данные 1st'!$KA$2:$KA$317),"")</f>
        <v>225</v>
      </c>
      <c r="FF74" s="7">
        <f>IFERROR(AVERAGEIF('Данные 1st'!$S$2:$S$317,$A74,'Данные 1st'!$KB$2:$KB$317),"")</f>
        <v>110</v>
      </c>
      <c r="FG74" s="7">
        <f>IFERROR(AVERAGEIF('Данные 1st'!$S$2:$S$317,$A74,'Данные 1st'!$KC$2:$KC$317),"")</f>
        <v>0</v>
      </c>
      <c r="FH74" s="7">
        <f>IFERROR(AVERAGEIF('Данные 1st'!$S$2:$S$317,$A74,'Данные 1st'!$KD$2:$KD$317),"")</f>
        <v>80</v>
      </c>
      <c r="FI74" s="7">
        <f>IFERROR(AVERAGEIF('Данные 1st'!$S$2:$S$317,$A74,'Данные 1st'!$KE$2:$KE$317),"")</f>
        <v/>
      </c>
      <c r="FJ74" s="7">
        <f>IFERROR(AVERAGEIF('Данные 1st'!$S$2:$S$317,$A74,'Данные 1st'!$KF$2:$KF$317),"")</f>
        <v>4</v>
      </c>
      <c r="FK74" s="7">
        <f>IFERROR(AVERAGEIF('Данные 1st'!$S$2:$S$317,$A74,'Данные 1st'!$KG$2:$KG$317),"")</f>
        <v>2</v>
      </c>
      <c r="FL74" s="7">
        <f>IFERROR(AVERAGEIF('Данные 1st'!$S$2:$S$317,$A74,'Данные 1st'!$KH$2:$KH$317),"")</f>
        <v>2</v>
      </c>
      <c r="FM74" s="7">
        <f>IFERROR(AVERAGEIF('Данные 1st'!$S$2:$S$317,$A74,'Данные 1st'!$KI$2:$KI$317),"")</f>
        <v>2</v>
      </c>
      <c r="FN74" s="7">
        <f>IFERROR(AVERAGEIF('Данные 1st'!$S$2:$S$317,$A74,'Данные 1st'!$KJ$2:$KJ$317),"")</f>
        <v>0</v>
      </c>
      <c r="FO74" s="7">
        <f>IFERROR(AVERAGEIF('Данные 1st'!$S$2:$S$317,$A74,'Данные 1st'!$KK$2:$KK$317),"")</f>
        <v>1.5</v>
      </c>
      <c r="FP74" s="7">
        <f>IFERROR(AVERAGEIF('Данные 1st'!$S$2:$S$317,$A74,'Данные 1st'!$KL$2:$KL$317),"")</f>
        <v>1.5</v>
      </c>
      <c r="FQ74" s="7">
        <f>IFERROR(AVERAGEIF('Данные 1st'!$S$2:$S$317,$A74,'Данные 1st'!$KM$2:$KM$317),"")</f>
        <v>0</v>
      </c>
      <c r="FR74" s="7">
        <f>IFERROR(AVERAGEIF('Данные 1st'!$S$2:$S$317,$A74,'Данные 1st'!$KN$2:$KN$317),"")</f>
        <v>0</v>
      </c>
      <c r="FS74" s="7">
        <f>IFERROR(AVERAGEIF('Данные 1st'!$S$2:$S$317,$A74,'Данные 1st'!$KR$2:$KR$317),"")</f>
        <v>30</v>
      </c>
      <c r="FT74" s="7">
        <f>IFERROR(AVERAGEIF('Данные 1st'!$S$2:$S$317,$A74,'Данные 1st'!$KS$2:$KS$317),"")</f>
        <v>60</v>
      </c>
      <c r="FU74" s="7">
        <f>IFERROR(AVERAGEIF('Данные 1st'!$S$2:$S$317,$A74,'Данные 1st'!$KT$2:$KT$317),"")</f>
        <v>0</v>
      </c>
      <c r="FV74" s="7">
        <f>IFERROR(AVERAGEIF('Данные 1st'!$S$2:$S$317,$A74,'Данные 1st'!$KV$2:$KV$317),"")</f>
        <v/>
      </c>
      <c r="FW74" s="7">
        <f>IFERROR(AVERAGEIF('Данные 1st'!$S$2:$S$317,$A74,'Данные 1st'!$KW$2:$KW$317),"")</f>
        <v/>
      </c>
      <c r="FX74" s="7">
        <f>IFERROR(AVERAGEIF('Данные 1st'!$S$2:$S$317,$A74,'Данные 1st'!$KX$2:$KX$317),"")</f>
        <v/>
      </c>
      <c r="FY74" s="7">
        <f>IFERROR(AVERAGEIF('Данные 1st'!$S$2:$S$317,$A74,'Данные 1st'!$KY$2:$KY$317),"")</f>
        <v/>
      </c>
      <c r="FZ74" s="7">
        <f>IFERROR(AVERAGEIF('Данные 1st'!$S$2:$S$317,$A74,'Данные 1st'!$KZ$2:$KZ$317),"")</f>
        <v/>
      </c>
      <c r="GA74" s="7">
        <f>IFERROR(AVERAGEIF('Данные 1st'!$S$2:$S$317,$A74,'Данные 1st'!$LA$2:$LA$317),"")</f>
        <v/>
      </c>
      <c r="GB74" s="7">
        <f>IFERROR(AVERAGEIF('Данные 1st'!$S$2:$S$317,$A74,'Данные 1st'!$LB$2:$LB$317),"")</f>
        <v/>
      </c>
      <c r="GC74" s="7">
        <f>IFERROR(AVERAGEIF('Данные 1st'!$S$2:$S$317,$A74,'Данные 1st'!$LC$2:$LC$317),"")</f>
        <v/>
      </c>
      <c r="GD74" s="7">
        <f>IFERROR(AVERAGEIF('Данные 1st'!$S$2:$S$317,$A74,'Данные 1st'!$LD$2:$LD$317),"")</f>
        <v/>
      </c>
      <c r="GE74" s="7">
        <f>IFERROR(AVERAGEIF('Данные 1st'!$S$2:$S$317,$A74,'Данные 1st'!$LE$2:$LE$317),"")</f>
        <v/>
      </c>
      <c r="GF74" s="7">
        <f>IFERROR(AVERAGEIF('Данные 1st'!$S$2:$S$317,$A74,'Данные 1st'!$LF$2:$LF$317),"")</f>
        <v/>
      </c>
      <c r="GG74" s="7">
        <f>IFERROR(AVERAGEIF('Данные 1st'!$S$2:$S$317,$A74,'Данные 1st'!$LG$2:$LG$317),"")</f>
        <v/>
      </c>
      <c r="GH74" s="7">
        <f>IFERROR(AVERAGEIF('Данные 1st'!$S$2:$S$317,$A74,'Данные 1st'!$LH$2:$LH$317),"")</f>
        <v/>
      </c>
      <c r="GI74" s="7">
        <f>IFERROR(AVERAGEIF('Данные 1st'!$S$2:$S$317,$A74,'Данные 1st'!$LI$2:$LI$317),"")</f>
        <v/>
      </c>
      <c r="GJ74" s="7">
        <f>IFERROR(AVERAGEIF('Данные 1st'!$S$2:$S$317,$A74,'Данные 1st'!$LJ$2:$LJ$317),"")</f>
        <v/>
      </c>
      <c r="GK74" s="7">
        <f>IFERROR(AVERAGEIF('Данные 1st'!$S$2:$S$317,$A74,'Данные 1st'!$LK$2:$LK$317),"")</f>
        <v>480</v>
      </c>
      <c r="GL74" s="7">
        <f>IFERROR(AVERAGEIF('Данные 1st'!$S$2:$S$317,$A74,'Данные 1st'!$LV$2:$LV$317),"")</f>
        <v/>
      </c>
      <c r="GM74" s="7">
        <f>IFERROR(AVERAGEIF('Данные 1st'!$S$2:$S$317,$A74,'Данные 1st'!$LW$2:$LW$317),"")</f>
        <v/>
      </c>
      <c r="GN74" s="7">
        <f>IFERROR(AVERAGEIF('Данные 1st'!$S$2:$S$317,$A74,'Данные 1st'!$LX$2:$LX$317),"")</f>
        <v/>
      </c>
      <c r="GO74" s="7">
        <f>IFERROR(AVERAGEIF('Данные 1st'!$S$2:$S$317,$A74,'Данные 1st'!$LY$2:$LY$317),"")</f>
        <v/>
      </c>
      <c r="GP74" s="7">
        <f>IFERROR(AVERAGEIF('Данные 1st'!$S$2:$S$317,$A74,'Данные 1st'!$LZ$2:$LZ$317),"")</f>
        <v/>
      </c>
      <c r="GQ74" s="7">
        <f>IFERROR(AVERAGEIF('Данные 1st'!$S$2:$S$317,$A74,'Данные 1st'!$PG$2:$PG$317),"")</f>
        <v>1</v>
      </c>
      <c r="GR74" s="7">
        <f>IFERROR(AVERAGEIF('Данные 1st'!$S$2:$S$317,$A74,'Данные 1st'!$PX$2:$PX$317),"")</f>
        <v>56</v>
      </c>
      <c r="GS74" s="7">
        <f>IFERROR(AVERAGEIF('Данные 1st'!$S$2:$S$317,$A74,'Данные 1st'!$PY$2:$PY$317),"")</f>
        <v>56</v>
      </c>
      <c r="GT74" s="7">
        <f>IFERROR(AVERAGEIF('Данные 1st'!$S$2:$S$317,$A74,'Данные 1st'!$QA$2:$QA$317),"")</f>
        <v>2</v>
      </c>
      <c r="GU74" s="7">
        <f>IFERROR(AVERAGEIF('Данные 1st'!$S$2:$S$317,$A74,'Данные 1st'!$QB$2:$QB$317),"")</f>
        <v>1454</v>
      </c>
      <c r="GV74" s="7">
        <f>IFERROR(AVERAGEIF('Данные 1st'!$S$2:$S$317,$A74,'Данные 1st'!$QC$2:$QC$317),"")</f>
        <v>69</v>
      </c>
      <c r="GW74" s="7">
        <f>IFERROR(AVERAGEIF('Данные 1st'!$S$2:$S$317,$A74,'Данные 1st'!$QD$2:$QD$317),"")</f>
        <v>69</v>
      </c>
      <c r="GX74" s="7">
        <f>IFERROR(AVERAGEIF('Данные 1st'!$S$2:$S$317,$A74,'Данные 1st'!$QF$2:$QF$317),"")</f>
        <v>1</v>
      </c>
      <c r="GY74" s="7">
        <f>IFERROR(AVERAGEIF('Данные 1st'!$S$2:$S$317,$A74,'Данные 1st'!$QG$2:$QG$317),"")</f>
        <v>1475</v>
      </c>
      <c r="GZ74" s="7">
        <f>IFERROR(AVERAGEIF('Данные 1st'!$S$2:$S$317,$A74,'Данные 1st'!$QH$2:$QH$317),"")</f>
        <v>66</v>
      </c>
      <c r="HA74" s="7">
        <f>IFERROR(AVERAGEIF('Данные 1st'!$S$2:$S$317,$A74,'Данные 1st'!$QI$2:$QI$317),"")</f>
        <v>66</v>
      </c>
      <c r="HB74" s="7">
        <f>IFERROR(AVERAGEIF('Данные 1st'!$S$2:$S$317,$A74,'Данные 1st'!$QK$2:$QK$317),"")</f>
        <v>1</v>
      </c>
      <c r="HC74" s="7">
        <f>IFERROR(AVERAGEIF('Данные 1st'!$S$2:$S$317,$A74,'Данные 1st'!$QL$2:$QL$317),"")</f>
        <v>1475</v>
      </c>
      <c r="HD74" s="7">
        <f>IFERROR(AVERAGEIF('Данные 1st'!$S$2:$S$317,$A74,'Данные 1st'!$QM$2:$QM$317),"")</f>
        <v>62</v>
      </c>
      <c r="HE74" s="7">
        <f>IFERROR(AVERAGEIF('Данные 1st'!$S$2:$S$317,$A74,'Данные 1st'!$QN$2:$QN$317),"")</f>
        <v>62</v>
      </c>
      <c r="HF74" s="7">
        <f>IFERROR(AVERAGEIF('Данные 1st'!$S$2:$S$317,$A74,'Данные 1st'!$QP$2:$QP$317),"")</f>
        <v>1</v>
      </c>
      <c r="HG74" s="7">
        <f>IFERROR(AVERAGEIF('Данные 1st'!$S$2:$S$317,$A74,'Данные 1st'!$QQ$2:$QQ$317),"")</f>
        <v>1467</v>
      </c>
      <c r="HH74" s="7">
        <f>IFERROR(AVERAGEIF('Данные 1st'!$S$2:$S$317,$A74,'Данные 1st'!$QR$2:$QR$317),"")</f>
        <v>62</v>
      </c>
      <c r="HI74" s="7">
        <f>IFERROR(AVERAGEIF('Данные 1st'!$S$2:$S$317,$A74,'Данные 1st'!$QS$2:$QS$317),"")</f>
        <v>62</v>
      </c>
      <c r="HJ74" s="7">
        <f>IFERROR(AVERAGEIF('Данные 1st'!$S$2:$S$317,$A74,'Данные 1st'!$QU$2:$QU$317),"")</f>
        <v>1</v>
      </c>
      <c r="HK74" s="7">
        <f>IFERROR(AVERAGEIF('Данные 1st'!$S$2:$S$317,$A74,'Данные 1st'!$QV$2:$QV$317),"")</f>
        <v>1472</v>
      </c>
      <c r="HL74" s="7">
        <f>IFERROR(AVERAGEIF('Данные 1st'!$S$2:$S$317,$A74,'Данные 1st'!$QW$2:$QW$317),"")</f>
        <v>82</v>
      </c>
      <c r="HM74" s="7">
        <f>IFERROR(AVERAGEIF('Данные 1st'!$S$2:$S$317,$A74,'Данные 1st'!$QX$2:$QX$317),"")</f>
        <v>89</v>
      </c>
      <c r="HN74" s="7">
        <f>IFERROR(AVERAGEIF('Данные 1st'!$S$2:$S$317,$A74,'Данные 1st'!$QZ$2:$QZ$317),"")</f>
        <v>1</v>
      </c>
      <c r="HO74" s="7">
        <f>IFERROR(AVERAGEIF('Данные 1st'!$S$2:$S$317,$A74,'Данные 1st'!$RA$2:$RA$317),"")</f>
        <v>66</v>
      </c>
      <c r="HP74" s="7">
        <f>IFERROR(AVERAGEIF('Данные 1st'!$S$2:$S$317,$A74,'Данные 1st'!$RB$2:$RB$317),"")</f>
        <v>66</v>
      </c>
      <c r="HQ74" s="7">
        <f>IFERROR(AVERAGEIF('Данные 1st'!$S$2:$S$317,$A74,'Данные 1st'!$RD$2:$RD$317),"")</f>
        <v/>
      </c>
      <c r="HR74" s="7">
        <f>IFERROR(AVERAGEIF('Данные 1st'!$S$2:$S$317,$A74,'Данные 1st'!$RE$2:$RE$317),"")</f>
        <v>0</v>
      </c>
      <c r="HS74" s="7">
        <f>IFERROR(AVERAGEIF('Данные 1st'!$S$2:$S$317,$A74,'Данные 1st'!$RF$2:$RF$317),"")</f>
        <v>1</v>
      </c>
      <c r="HT74" s="7">
        <f>IFERROR(AVERAGEIF('Данные 1st'!$S$2:$S$317,$A74,'Данные 1st'!$RG$2:$RG$317),"")</f>
        <v/>
      </c>
      <c r="HU74" s="7">
        <f>IFERROR(AVERAGEIF('Данные 1st'!$S$2:$S$317,$A74,'Данные 1st'!$RH$2:$RH$317),"")</f>
        <v>1</v>
      </c>
      <c r="HV74" s="7">
        <f>IFERROR(AVERAGEIF('Данные 1st'!$S$2:$S$317,$A74,'Данные 1st'!$RI$2:$RI$317),"")</f>
        <v/>
      </c>
      <c r="HW74" s="7">
        <f>IFERROR(AVERAGEIF('Данные 1st'!$S$2:$S$317,$A74,'Данные 1st'!$RJ$2:$RJ$317),"")</f>
        <v>1</v>
      </c>
      <c r="HX74" s="7">
        <f>IFERROR(AVERAGEIF('Данные 1st'!$S$2:$S$317,$A74,'Данные 1st'!$RK$2:$RK$317),"")</f>
        <v>2</v>
      </c>
      <c r="HY74" s="7">
        <f>IFERROR(AVERAGEIF('Данные 1st'!$S$2:$S$317,$A74,'Данные 1st'!$RL$2:$RL$317),"")</f>
        <v>4</v>
      </c>
      <c r="HZ74" s="7">
        <f>IFERROR(AVERAGEIF('Данные 1st'!$S$2:$S$317,$A74,'Данные 1st'!$RM$2:$RM$317),"")</f>
        <v>4</v>
      </c>
      <c r="IA74" s="7">
        <f>IFERROR(AVERAGEIF('Данные 1st'!$S$2:$S$317,$A74,'Данные 1st'!$RN$2:$RN$317),"")</f>
        <v/>
      </c>
      <c r="IB74" s="7">
        <f>IFERROR(AVERAGEIF('Данные 1st'!$S$2:$S$317,$A74,'Данные 1st'!$RO$2:$RO$317),"")</f>
        <v>602</v>
      </c>
      <c r="IC74" s="7">
        <f>IFERROR(AVERAGEIF('Данные 1st'!$S$2:$S$317,$A74,'Данные 1st'!$RP$2:$RP$317),"")</f>
        <v>105</v>
      </c>
      <c r="ID74" s="7">
        <f>IFERROR(AVERAGEIF('Данные 1st'!$S$2:$S$317,$A74,'Данные 1st'!$RQ$2:$RQ$317),"")</f>
        <v>711</v>
      </c>
      <c r="IE74" s="7">
        <f>IFERROR(AVERAGEIF('Данные 1st'!$S$2:$S$317,$A74,'Данные 1st'!$RR$2:$RR$317),"")</f>
        <v>546</v>
      </c>
      <c r="IF74" s="7">
        <f>IFERROR(AVERAGEIF('Данные 1st'!$S$2:$S$317,$A74,'Данные 1st'!$RS$2:$RS$317),"")</f>
        <v/>
      </c>
      <c r="IG74" s="7">
        <f>IFERROR(AVERAGEIF('Данные 1st'!$S$2:$S$317,$A74,'Данные 1st'!$RT$2:$RT$317),"")</f>
        <v>364</v>
      </c>
      <c r="IH74" s="7">
        <f>IFERROR(AVERAGEIF('Данные 1st'!$S$2:$S$317,$A74,'Данные 1st'!$RU$2:$RU$317),"")</f>
        <v>188</v>
      </c>
      <c r="II74" s="7">
        <f>IFERROR(AVERAGEIF('Данные 1st'!$S$2:$S$317,$A74,'Данные 1st'!$RX$2:$RX$317),"")</f>
        <v>15</v>
      </c>
      <c r="IJ74" s="7">
        <f>IFERROR(AVERAGEIF('Данные 1st'!$S$2:$S$317,$A74,'Данные 1st'!$RY$2:$RY$317),"")</f>
        <v>4</v>
      </c>
      <c r="IK74" s="7">
        <f>IFERROR(AVERAGEIF('Данные 1st'!$S$2:$S$317,$A74,'Данные 1st'!$SA$2:$SA$317),"")</f>
        <v>15</v>
      </c>
      <c r="IL74" s="7">
        <f>IFERROR(AVERAGEIF('Данные 1st'!$S$2:$S$317,$A74,'Данные 1st'!$SD$2:$SD$317),"")</f>
        <v>1</v>
      </c>
      <c r="IM74" s="7">
        <f>IFERROR(AVERAGEIF('Данные 1st'!$S$2:$S$317,$A74,'Данные 1st'!$SG$2:$SG$317),"")</f>
        <v>1</v>
      </c>
      <c r="IN74" s="7">
        <f>IFERROR(AVERAGEIF('Данные 1st'!$S$2:$S$317,$A74,'Данные 1st'!$SH$2:$SH$317),"")</f>
        <v>0.995</v>
      </c>
      <c r="IO74" s="7">
        <f>IFERROR(AVERAGEIF('Данные 1st'!$S$2:$S$317,$A74,'Данные 1st'!$SI$2:$SI$317),"")</f>
        <v>0.995</v>
      </c>
      <c r="IP74" s="7">
        <f>IFERROR(AVERAGEIF('Данные 1st'!$S$2:$S$317,$A74,'Данные 1st'!$SJ$2:$SJ$317),"")</f>
        <v>0.995</v>
      </c>
      <c r="IQ74" s="7">
        <f>IFERROR(AVERAGEIF('Данные 1st'!$S$2:$S$317,$A74,'Данные 1st'!$SK$2:$SK$317),"")</f>
        <v>15</v>
      </c>
      <c r="IR74" s="7">
        <f>IFERROR(AVERAGEIF('Данные 1st'!$S$2:$S$317,$A74,'Данные 1st'!$SL$2:$SL$317),"")</f>
        <v>0</v>
      </c>
      <c r="IS74" s="7">
        <f>IFERROR(AVERAGEIF('Данные 1st'!$S$2:$S$317,$A74,'Данные 1st'!$SM$2:$SM$317),"")</f>
        <v>0</v>
      </c>
      <c r="IT74" s="7">
        <f>IFERROR(AVERAGEIF('Данные 1st'!$S$2:$S$317,$A74,'Данные 1st'!$SN$2:$SN$317),"")</f>
        <v>0</v>
      </c>
      <c r="IU74" s="7">
        <f>IFERROR(AVERAGEIF('Данные 1st'!$S$2:$S$317,$A74,'Данные 1st'!$SO$2:$SO$317),"")</f>
        <v>0</v>
      </c>
      <c r="IV74" s="7">
        <f>IFERROR(AVERAGEIF('Данные 1st'!$S$2:$S$317,$A74,'Данные 1st'!$SP$2:$SP$317),"")</f>
        <v>0</v>
      </c>
      <c r="IW74" s="7">
        <f>IFERROR(AVERAGEIF('Данные 1st'!$S$2:$S$317,$A74,'Данные 1st'!$SQ$2:$SQ$317),"")</f>
        <v>0</v>
      </c>
      <c r="IX74" s="7">
        <f>IFERROR(AVERAGEIF('Данные 1st'!$S$2:$S$317,$A74,'Данные 1st'!$SR$2:$SR$317),"")</f>
        <v>0</v>
      </c>
      <c r="IY74" s="7">
        <f>IFERROR(AVERAGEIF('Данные 1st'!$S$2:$S$317,$A74,'Данные 1st'!$SS$2:$SS$317),"")</f>
        <v>0</v>
      </c>
      <c r="IZ74" s="7">
        <f>IFERROR(AVERAGEIF('Данные 1st'!$S$2:$S$317,$A74,'Данные 1st'!$ST$2:$ST$317),"")</f>
        <v>0</v>
      </c>
      <c r="JA74" s="7">
        <f>IFERROR(AVERAGEIF('Данные 1st'!$S$2:$S$317,$A74,'Данные 1st'!$SU$2:$SU$317),"")</f>
        <v>0</v>
      </c>
      <c r="JB74" s="7">
        <f>IFERROR(AVERAGEIF('Данные 1st'!$S$2:$S$317,$A74,'Данные 1st'!$SV$2:$SV$317),"")</f>
        <v>0</v>
      </c>
      <c r="JC74" s="7">
        <f>IFERROR(AVERAGEIF('Данные 1st'!$S$2:$S$317,$A74,'Данные 1st'!$SW$2:$SW$317),"")</f>
        <v>0</v>
      </c>
      <c r="JD74" s="7">
        <f>IFERROR(AVERAGEIF('Данные 1st'!$S$2:$S$317,$A74,'Данные 1st'!$SX$2:$SX$317),"")</f>
        <v>0</v>
      </c>
      <c r="JE74" s="7">
        <f>IFERROR(AVERAGEIF('Данные 1st'!$S$2:$S$317,$A74,'Данные 1st'!$SY$2:$SY$317),"")</f>
        <v>1</v>
      </c>
      <c r="JF74" s="7">
        <f>IFERROR(AVERAGEIF('Данные 1st'!$S$2:$S$317,$A74,'Данные 1st'!$SZ$2:$SZ$317),"")</f>
        <v>1</v>
      </c>
      <c r="JG74" s="7">
        <f>IFERROR(AVERAGEIF('Данные 1st'!$S$2:$S$317,$A74,'Данные 1st'!$TA$2:$TA$317),"")</f>
        <v/>
      </c>
      <c r="JH74" s="7">
        <f>IFERROR(AVERAGEIF('Данные 1st'!$S$2:$S$317,$A74,'Данные 1st'!$TB$2:$TB$317),"")</f>
        <v>0</v>
      </c>
      <c r="JI74" s="7">
        <f>IFERROR(AVERAGEIF('Данные 1st'!$S$2:$S$317,$A74,'Данные 1st'!$TC$2:$TC$317),"")</f>
        <v>0</v>
      </c>
      <c r="JJ74" s="7">
        <f>IFERROR(AVERAGEIF('Данные 1st'!$S$2:$S$317,$A74,'Данные 1st'!$TD$2:$TD$317),"")</f>
        <v>7.5</v>
      </c>
      <c r="JK74" s="7">
        <f>IFERROR(AVERAGEIF('Данные 1st'!$S$2:$S$317,$A74,'Данные 1st'!$TN$2:$TN$317),"")</f>
        <v>0</v>
      </c>
      <c r="JL74">
        <f>COUNTIF('Данные 2st'!$Q$2:$Q$317,$A74)</f>
        <v>1</v>
      </c>
      <c r="JM74" s="6" t="s">
        <v>2657</v>
      </c>
      <c r="JN74" s="6" t="s">
        <v>513</v>
      </c>
      <c r="JO74" s="6" t="s">
        <v>517</v>
      </c>
      <c r="JP74" s="6" t="s">
        <v>2806</v>
      </c>
      <c r="JQ74" s="7">
        <f>IFERROR(AVERAGEIF('Данные 2st'!$Q$2:$Q$317,$A74,'Данные 2st'!$AC$2:$AC$317),"")</f>
        <v>9</v>
      </c>
      <c r="JR74" s="7">
        <f>IFERROR(AVERAGEIF('Данные 2st'!$Q$2:$Q$317,$A74,'Данные 2st'!$AF$2:$AF$317),"")</f>
        <v>5949</v>
      </c>
      <c r="JS74" s="7">
        <f>IFERROR(AVERAGEIF('Данные 2st'!$Q$2:$Q$317,$A74,'Данные 2st'!$AW$2:$AW$317),"")</f>
        <v>6.4</v>
      </c>
      <c r="JT74" s="7">
        <f>IFERROR(AVERAGEIF('Данные 2st'!$Q$2:$Q$317,$A74,'Данные 2st'!$AX$2:$AX$317),"")</f>
        <v>-6</v>
      </c>
      <c r="JU74" s="7">
        <f>IFERROR(AVERAGEIF('Данные 2st'!$Q$2:$Q$317,$A74,'Данные 2st'!$AY$2:$AY$317),"")</f>
        <v>117.5</v>
      </c>
      <c r="JV74" s="7">
        <f>IFERROR(AVERAGEIF('Данные 2st'!$Q$2:$Q$317,$A74,'Данные 2st'!$AZ$2:$AZ$317),"")</f>
        <v>87</v>
      </c>
      <c r="JW74" s="7">
        <f>IFERROR(AVERAGEIF('Данные 2st'!$Q$2:$Q$317,$A74,'Данные 2st'!$BA$2:$BA$317),"")</f>
        <v/>
      </c>
      <c r="JX74" s="7">
        <f>IFERROR(AVERAGEIF('Данные 2st'!$Q$2:$Q$317,$A74,'Данные 2st'!$BB$2:$BB$317),"")</f>
        <v/>
      </c>
      <c r="JY74" s="7">
        <f>IFERROR(AVERAGEIF('Данные 2st'!$Q$2:$Q$317,$A74,'Данные 2st'!$BC$2:$BC$317),"")</f>
        <v/>
      </c>
      <c r="JZ74" s="7">
        <f>IFERROR(AVERAGEIF('Данные 2st'!$Q$2:$Q$317,$A74,'Данные 2st'!$BH$2:$BH$317),"")</f>
        <v>117.5</v>
      </c>
      <c r="KA74" s="7">
        <f>IFERROR(AVERAGEIF('Данные 2st'!$Q$2:$Q$317,$A74,'Данные 2st'!$BI$2:$BI$317),"")</f>
        <v>30.5</v>
      </c>
      <c r="KB74" s="7">
        <f>IFERROR(AVERAGEIF('Данные 2st'!$Q$2:$Q$317,$A74,'Данные 2st'!$BJ$2:$BJ$317),"")</f>
        <v>87</v>
      </c>
      <c r="KC74" s="7">
        <f>IFERROR(AVERAGEIF('Данные 2st'!$Q$2:$Q$317,$A74,'Данные 2st'!$BK$2:$BK$317),"")</f>
        <v>2.5</v>
      </c>
      <c r="KD74" s="7">
        <f>IFERROR(AVERAGEIF('Данные 2st'!$Q$2:$Q$317,$A74,'Данные 2st'!$BL$2:$BL$317),"")</f>
        <v>235</v>
      </c>
      <c r="KE74" s="7">
        <f>IFERROR(AVERAGEIF('Данные 2st'!$Q$2:$Q$317,$A74,'Данные 2st'!$BM$2:$BM$317),"")</f>
        <v>-6</v>
      </c>
      <c r="KF74" s="7">
        <f>IFERROR(AVERAGEIF('Данные 2st'!$Q$2:$Q$317,$A74,'Данные 2st'!$BN$2:$BN$317),"")</f>
        <v>0</v>
      </c>
      <c r="KG74" s="7">
        <f>IFERROR(AVERAGEIF('Данные 2st'!$Q$2:$Q$317,$A74,'Данные 2st'!$BO$2:$BO$317),"")</f>
        <v/>
      </c>
      <c r="KH74" s="7">
        <f>IFERROR(AVERAGEIF('Данные 2st'!$Q$2:$Q$317,$A74,'Данные 2st'!$BP$2:$BP$317),"")</f>
        <v>0</v>
      </c>
      <c r="KI74" s="7">
        <f>IFERROR(AVERAGEIF('Данные 2st'!$Q$2:$Q$317,$A74,'Данные 2st'!$BR$2:$BR$317),"")</f>
        <v>230</v>
      </c>
      <c r="KJ74" s="7">
        <f>IFERROR(AVERAGEIF('Данные 2st'!$Q$2:$Q$317,$A74,'Данные 2st'!$BS$2:$BS$317),"")</f>
        <v>220</v>
      </c>
      <c r="KK74" s="7">
        <f>IFERROR(AVERAGEIF('Данные 2st'!$Q$2:$Q$317,$A74,'Данные 2st'!$BT$2:$BT$317),"")</f>
        <v>2180</v>
      </c>
      <c r="KL74" s="7">
        <f>IFERROR(AVERAGEIF('Данные 2st'!$Q$2:$Q$317,$A74,'Данные 2st'!$CV$2:$CV$317),"")</f>
        <v>143</v>
      </c>
      <c r="KM74" s="7">
        <f>IFERROR(AVERAGEIF('Данные 2st'!$Q$2:$Q$317,$A74,'Данные 2st'!$CW$2:$CW$317),"")</f>
        <v>3</v>
      </c>
      <c r="KN74" s="7">
        <f>IFERROR(AVERAGEIF('Данные 2st'!$Q$2:$Q$317,$A74,'Данные 2st'!$CX$2:$CX$317),"")</f>
        <v>98</v>
      </c>
      <c r="KO74" s="7">
        <f>IFERROR(AVERAGEIF('Данные 2st'!$Q$2:$Q$317,$A74,'Данные 2st'!$CY$2:$CY$317),"")</f>
        <v>5</v>
      </c>
      <c r="KP74" s="7">
        <f>IFERROR(AVERAGEIF('Данные 2st'!$Q$2:$Q$317,$A74,'Данные 2st'!$CZ$2:$CZ$317),"")</f>
        <v>163</v>
      </c>
      <c r="KQ74" s="7">
        <f>IFERROR(AVERAGEIF('Данные 2st'!$Q$2:$Q$317,$A74,'Данные 2st'!$DA$2:$DA$317),"")</f>
        <v>5</v>
      </c>
      <c r="KR74" s="7">
        <f>IFERROR(AVERAGEIF('Данные 2st'!$Q$2:$Q$317,$A74,'Данные 2st'!$DB$2:$DB$317),"")</f>
        <v>15060</v>
      </c>
      <c r="KS74" s="7">
        <f>IFERROR(AVERAGEIF('Данные 2st'!$Q$2:$Q$317,$A74,'Данные 2st'!$DC$2:$DC$317),"")</f>
        <v>450</v>
      </c>
      <c r="KT74" s="7">
        <f>IFERROR(AVERAGEIF('Данные 2st'!$Q$2:$Q$317,$A74,'Данные 2st'!$DD$2:$DD$317),"")</f>
        <v>372</v>
      </c>
      <c r="KU74" s="7">
        <f>IFERROR(AVERAGEIF('Данные 2st'!$Q$2:$Q$317,$A74,'Данные 2st'!$DE$2:$DE$317),"")</f>
        <v>2311</v>
      </c>
      <c r="KV74" s="7">
        <f>IFERROR(AVERAGEIF('Данные 2st'!$Q$2:$Q$317,$A74,'Данные 2st'!$DF$2:$DF$317),"")</f>
        <v>2311</v>
      </c>
      <c r="KW74" s="7">
        <f>IFERROR(AVERAGEIF('Данные 2st'!$Q$2:$Q$317,$A74,'Данные 2st'!$DG$2:$DG$317),"")</f>
        <v>2322</v>
      </c>
      <c r="KX74" s="7">
        <f>IFERROR(AVERAGEIF('Данные 2st'!$Q$2:$Q$317,$A74,'Данные 2st'!$DH$2:$DH$317),"")</f>
        <v>2</v>
      </c>
      <c r="KY74" s="7">
        <f>IFERROR(AVERAGEIF('Данные 2st'!$Q$2:$Q$317,$A74,'Данные 2st'!$DI$2:$DI$317),"")</f>
        <v/>
      </c>
      <c r="KZ74" s="7">
        <f>IFERROR(AVERAGEIF('Данные 2st'!$Q$2:$Q$317,$A74,'Данные 2st'!$DK$2:$DK$317),"")</f>
        <v>230</v>
      </c>
      <c r="LA74" s="7">
        <f>IFERROR(AVERAGEIF('Данные 2st'!$Q$2:$Q$317,$A74,'Данные 2st'!$DM$2:$DM$317),"")</f>
        <v>63</v>
      </c>
      <c r="LB74" s="7">
        <f>IFERROR(AVERAGEIF('Данные 2st'!$Q$2:$Q$317,$A74,'Данные 2st'!$DN$2:$DN$317),"")</f>
        <v>1.26</v>
      </c>
      <c r="LC74" s="7">
        <f>IFERROR(AVERAGEIF('Данные 2st'!$Q$2:$Q$317,$A74,'Данные 2st'!$DO$2:$DO$317),"")</f>
        <v>1</v>
      </c>
      <c r="LD74" s="7">
        <f>IFERROR(AVERAGEIF('Данные 2st'!$Q$2:$Q$317,$A74,'Данные 2st'!$DP$2:$DP$317),"")</f>
        <v>2184</v>
      </c>
      <c r="LE74" s="7">
        <f>IFERROR(AVERAGEIF('Данные 2st'!$Q$2:$Q$317,$A74,'Данные 2st'!$DQ$2:$DQ$317),"")</f>
        <v>1212</v>
      </c>
      <c r="LF74" s="7">
        <f>IFERROR(AVERAGEIF('Данные 2st'!$Q$2:$Q$317,$A74,'Данные 2st'!$DS$2:$DS$317),"")</f>
        <v>220</v>
      </c>
      <c r="LG74" s="7">
        <f>IFERROR(AVERAGEIF('Данные 2st'!$Q$2:$Q$317,$A74,'Данные 2st'!$DU$2:$DU$317),"")</f>
        <v>63</v>
      </c>
      <c r="LH74" s="7">
        <f>IFERROR(AVERAGEIF('Данные 2st'!$Q$2:$Q$317,$A74,'Данные 2st'!$DV$2:$DV$317),"")</f>
        <v>1.26</v>
      </c>
      <c r="LI74" s="7">
        <f>IFERROR(AVERAGEIF('Данные 2st'!$Q$2:$Q$317,$A74,'Данные 2st'!$DW$2:$DW$317),"")</f>
        <v>1</v>
      </c>
      <c r="LJ74" s="7">
        <f>IFERROR(AVERAGEIF('Данные 2st'!$Q$2:$Q$317,$A74,'Данные 2st'!$DX$2:$DX$317),"")</f>
        <v>2197</v>
      </c>
      <c r="LK74" s="7">
        <f>IFERROR(AVERAGEIF('Данные 2st'!$Q$2:$Q$317,$A74,'Данные 2st'!$DY$2:$DY$317),"")</f>
        <v>1167</v>
      </c>
      <c r="LL74" s="7">
        <f>IFERROR(AVERAGEIF('Данные 2st'!$Q$2:$Q$317,$A74,'Данные 2st'!$EA$2:$EA$317),"")</f>
        <v>20</v>
      </c>
      <c r="LM74" s="7">
        <f>IFERROR(AVERAGEIF('Данные 2st'!$Q$2:$Q$317,$A74,'Данные 2st'!$EC$2:$EC$317),"")</f>
        <v>0.8</v>
      </c>
      <c r="LN74" s="7">
        <f>IFERROR(AVERAGEIF('Данные 2st'!$Q$2:$Q$317,$A74,'Данные 2st'!$ED$2:$ED$317),"")</f>
        <v>2184</v>
      </c>
      <c r="LO74" s="7">
        <f>IFERROR(AVERAGEIF('Данные 2st'!$Q$2:$Q$317,$A74,'Данные 2st'!$EE$2:$EE$317),"")</f>
        <v>76</v>
      </c>
      <c r="LP74" s="7">
        <f>IFERROR(AVERAGEIF('Данные 2st'!$Q$2:$Q$317,$A74,'Данные 2st'!$EG$2:$EG$317),"")</f>
        <v>0</v>
      </c>
      <c r="LQ74" s="7">
        <f>IFERROR(AVERAGEIF('Данные 2st'!$Q$2:$Q$317,$A74,'Данные 2st'!$EI$2:$EI$317),"")</f>
        <v>0</v>
      </c>
      <c r="LR74" s="7">
        <f>IFERROR(AVERAGEIF('Данные 2st'!$Q$2:$Q$317,$A74,'Данные 2st'!$EJ$2:$EJ$317),"")</f>
        <v/>
      </c>
      <c r="LS74" s="7">
        <f>IFERROR(AVERAGEIF('Данные 2st'!$Q$2:$Q$317,$A74,'Данные 2st'!$EK$2:$EK$317),"")</f>
        <v/>
      </c>
      <c r="LT74" s="7">
        <f>IFERROR(AVERAGEIF('Данные 2st'!$Q$2:$Q$317,$A74,'Данные 2st'!$EM$2:$EM$317),"")</f>
        <v>12</v>
      </c>
      <c r="LU74" s="7">
        <f>IFERROR(AVERAGEIF('Данные 2st'!$Q$2:$Q$317,$A74,'Данные 2st'!$EN$2:$EN$317),"")</f>
        <v>0.5</v>
      </c>
      <c r="LV74" s="7">
        <f>IFERROR(AVERAGEIF('Данные 2st'!$Q$2:$Q$317,$A74,'Данные 2st'!$EO$2:$EO$317),"")</f>
        <v>0.96</v>
      </c>
      <c r="LW74" s="7">
        <f>IFERROR(AVERAGEIF('Данные 2st'!$Q$2:$Q$317,$A74,'Данные 2st'!$EP$2:$EP$317),"")</f>
        <v>2195.84</v>
      </c>
      <c r="LX74" s="7">
        <f>IFERROR(AVERAGEIF('Данные 2st'!$Q$2:$Q$317,$A74,'Данные 2st'!$EQ$2:$EQ$317),"")</f>
        <v>42372.85</v>
      </c>
      <c r="LY74" s="7">
        <f>IFERROR(AVERAGEIF('Данные 2st'!$Q$2:$Q$317,$A74,'Данные 2st'!$ER$2:$ER$317),"")</f>
        <v>10493.3</v>
      </c>
      <c r="LZ74" s="7">
        <f>IFERROR(AVERAGEIF('Данные 2st'!$Q$2:$Q$317,$A74,'Данные 2st'!$ES$2:$ES$317),"")</f>
        <v>0</v>
      </c>
      <c r="MA74" s="7">
        <f>IFERROR(AVERAGEIF('Данные 2st'!$Q$2:$Q$317,$A74,'Данные 2st'!$ET$2:$ET$317),"")</f>
        <v>0</v>
      </c>
      <c r="MB74" s="7">
        <f>IFERROR(AVERAGEIF('Данные 2st'!$Q$2:$Q$317,$A74,'Данные 2st'!$EU$2:$EU$317),"")</f>
        <v>1</v>
      </c>
      <c r="MC74" s="7">
        <f>IFERROR(AVERAGEIF('Данные 2st'!$Q$2:$Q$317,$A74,'Данные 2st'!$EV$2:$EV$317),"")</f>
        <v>52867</v>
      </c>
      <c r="MD74" s="7">
        <f>IFERROR(AVERAGEIF('Данные 2st'!$Q$2:$Q$317,$A74,'Данные 2st'!$EW$2:$EW$317),"")</f>
        <v>635</v>
      </c>
      <c r="ME74" s="7">
        <f>IFERROR(AVERAGEIF('Данные 2st'!$Q$2:$Q$317,$A74,'Данные 2st'!$EY$2:$EY$317),"")</f>
        <v>250</v>
      </c>
      <c r="MF74" s="7">
        <f>IFERROR(AVERAGEIF('Данные 2st'!$Q$2:$Q$317,$A74,'Данные 2st'!$FA$2:$FA$317),"")</f>
        <v>4.1</v>
      </c>
      <c r="MG74" s="7">
        <f>IFERROR(AVERAGEIF('Данные 2st'!$Q$2:$Q$317,$A74,'Данные 2st'!$FB$2:$FB$317),"")</f>
        <v>1</v>
      </c>
      <c r="MH74" s="7">
        <f>IFERROR(AVERAGEIF('Данные 2st'!$Q$2:$Q$317,$A74,'Данные 2st'!$FC$2:$FC$317),"")</f>
        <v>1</v>
      </c>
      <c r="MI74" s="7">
        <f>IFERROR(AVERAGEIF('Данные 2st'!$Q$2:$Q$317,$A74,'Данные 2st'!$FD$2:$FD$317),"")</f>
        <v>2229</v>
      </c>
      <c r="MJ74" s="7">
        <f>IFERROR(AVERAGEIF('Данные 2st'!$Q$2:$Q$317,$A74,'Данные 2st'!$FE$2:$FE$317),"")</f>
        <v>2814</v>
      </c>
      <c r="MK74" s="7">
        <f>IFERROR(AVERAGEIF('Данные 2st'!$Q$2:$Q$317,$A74,'Данные 2st'!$FG$2:$FG$317),"")</f>
        <v>250</v>
      </c>
      <c r="ML74" s="7">
        <f>IFERROR(AVERAGEIF('Данные 2st'!$Q$2:$Q$317,$A74,'Данные 2st'!$FI$2:$FI$317),"")</f>
        <v>4.1</v>
      </c>
      <c r="MM74" s="7">
        <f>IFERROR(AVERAGEIF('Данные 2st'!$Q$2:$Q$317,$A74,'Данные 2st'!$FJ$2:$FJ$317),"")</f>
        <v>2229</v>
      </c>
      <c r="MN74" s="7">
        <f>IFERROR(AVERAGEIF('Данные 2st'!$Q$2:$Q$317,$A74,'Данные 2st'!$FK$2:$FK$317),"")</f>
        <v>2683</v>
      </c>
      <c r="MO74" s="7">
        <f>IFERROR(AVERAGEIF('Данные 2st'!$Q$2:$Q$317,$A74,'Данные 2st'!$FP$2:$FP$317),"")</f>
        <v>2229</v>
      </c>
      <c r="MP74" s="7">
        <f>IFERROR(AVERAGEIF('Данные 2st'!$Q$2:$Q$317,$A74,'Данные 2st'!$FQ$2:$FQ$317),"")</f>
        <v>247</v>
      </c>
      <c r="MQ74" s="7">
        <f>IFERROR(AVERAGEIF('Данные 2st'!$Q$2:$Q$317,$A74,'Данные 2st'!$FS$2:$FS$317),"")</f>
        <v>254</v>
      </c>
      <c r="MR74" s="7">
        <f>IFERROR(AVERAGEIF('Данные 2st'!$Q$2:$Q$317,$A74,'Данные 2st'!$FU$2:$FU$317),"")</f>
        <v>0.4</v>
      </c>
      <c r="MS74" s="7">
        <f>IFERROR(AVERAGEIF('Данные 2st'!$Q$2:$Q$317,$A74,'Данные 2st'!$FV$2:$FV$317),"")</f>
        <v>2229</v>
      </c>
      <c r="MT74" s="7">
        <f>IFERROR(AVERAGEIF('Данные 2st'!$Q$2:$Q$317,$A74,'Данные 2st'!$FW$2:$FW$317),"")</f>
        <v>248</v>
      </c>
      <c r="MU74" s="7">
        <f>IFERROR(AVERAGEIF('Данные 2st'!$Q$2:$Q$317,$A74,'Данные 2st'!$FY$2:$FY$317),"")</f>
        <v>5</v>
      </c>
      <c r="MV74" s="7">
        <f>IFERROR(AVERAGEIF('Данные 2st'!$Q$2:$Q$317,$A74,'Данные 2st'!$GB$2:$GB$317),"")</f>
        <v>2229</v>
      </c>
      <c r="MW74" s="7">
        <f>IFERROR(AVERAGEIF('Данные 2st'!$Q$2:$Q$317,$A74,'Данные 2st'!$GC$2:$GC$317),"")</f>
        <v>22</v>
      </c>
      <c r="MX74" s="7">
        <f>IFERROR(AVERAGEIF('Данные 2st'!$Q$2:$Q$317,$A74,'Данные 2st'!$GD$2:$GD$317),"")</f>
        <v>6014</v>
      </c>
      <c r="MY74" s="7">
        <f>IFERROR(AVERAGEIF('Данные 2st'!$Q$2:$Q$317,$A74,'Данные 2st'!$GN$2:$GN$317),"")</f>
        <v/>
      </c>
      <c r="MZ74" s="7">
        <f>IFERROR(AVERAGEIF('Данные 2st'!$Q$2:$Q$317,$A74,'Данные 2st'!$GQ$2:$GQ$317),"")</f>
        <v>0</v>
      </c>
      <c r="NA74" s="7">
        <f>IFERROR(AVERAGEIF('Данные 2st'!$Q$2:$Q$317,$A74,'Данные 2st'!$GV$2:$GV$317),"")</f>
        <v>8.6</v>
      </c>
      <c r="NB74" s="7">
        <f>IFERROR(AVERAGEIF('Данные 2st'!$Q$2:$Q$317,$A74,'Данные 2st'!$GW$2:$GW$317),"")</f>
        <v>11.5</v>
      </c>
      <c r="NC74" s="7">
        <f>IFERROR(AVERAGEIF('Данные 2st'!$Q$2:$Q$317,$A74,'Данные 2st'!$GX$2:$GX$317),"")</f>
        <v>0.5</v>
      </c>
      <c r="ND74" s="7">
        <f>IFERROR(AVERAGEIF('Данные 2st'!$Q$2:$Q$317,$A74,'Данные 2st'!$GY$2:$GY$317),"")</f>
        <v>218</v>
      </c>
      <c r="NE74" s="7">
        <f>IFERROR(AVERAGEIF('Данные 2st'!$Q$2:$Q$317,$A74,'Данные 2st'!$GZ$2:$GZ$317),"")</f>
        <v>3</v>
      </c>
      <c r="NF74" s="7">
        <f>IFERROR(AVERAGEIF('Данные 2st'!$Q$2:$Q$317,$A74,'Данные 2st'!$HA$2:$HA$317),"")</f>
        <v>274</v>
      </c>
      <c r="NG74" s="7">
        <f>IFERROR(AVERAGEIF('Данные 2st'!$Q$2:$Q$317,$A74,'Данные 2st'!$HB$2:$HB$317),"")</f>
        <v>3</v>
      </c>
      <c r="NH74" s="7">
        <f>IFERROR(AVERAGEIF('Данные 2st'!$Q$2:$Q$317,$A74,'Данные 2st'!$HC$2:$HC$317),"")</f>
        <v>2229</v>
      </c>
      <c r="NI74" s="7">
        <f>IFERROR(AVERAGEIF('Данные 2st'!$Q$2:$Q$317,$A74,'Данные 2st'!$HD$2:$HD$317),"")</f>
        <v>4</v>
      </c>
      <c r="NJ74" s="7">
        <f>IFERROR(AVERAGEIF('Данные 2st'!$Q$2:$Q$317,$A74,'Данные 2st'!$HM$2:$HM$317),"")</f>
        <v>19</v>
      </c>
      <c r="NK74" s="7">
        <f>IFERROR(AVERAGEIF('Данные 2st'!$Q$2:$Q$317,$A74,'Данные 2st'!$HR$2:$HR$317),"")</f>
        <v>1</v>
      </c>
      <c r="NL74" s="7">
        <f>IFERROR(AVERAGEIF('Данные 2st'!$Q$2:$Q$317,$A74,'Данные 2st'!$HS$2:$HS$317),"")</f>
        <v>2180</v>
      </c>
      <c r="NM74" s="7">
        <f>IFERROR(AVERAGEIF('Данные 2st'!$Q$2:$Q$317,$A74,'Данные 2st'!$HT$2:$HT$317),"")</f>
        <v>5</v>
      </c>
      <c r="NN74" s="7">
        <f>IFERROR(AVERAGEIF('Данные 2st'!$Q$2:$Q$317,$A74,'Данные 2st'!$HY$2:$HY$317),"")</f>
        <v>0</v>
      </c>
      <c r="NO74" s="7">
        <f>IFERROR(AVERAGEIF('Данные 2st'!$Q$2:$Q$317,$A74,'Данные 2st'!$HZ$2:$HZ$317),"")</f>
        <v>63</v>
      </c>
      <c r="NP74" s="7">
        <f>IFERROR(AVERAGEIF('Данные 2st'!$Q$2:$Q$317,$A74,'Данные 2st'!$IA$2:$IA$317),"")</f>
        <v>2184</v>
      </c>
      <c r="NQ74" s="7">
        <f>IFERROR(AVERAGEIF('Данные 2st'!$Q$2:$Q$317,$A74,'Данные 2st'!$IB$2:$IB$317),"")</f>
        <v>2197</v>
      </c>
      <c r="NR74" s="7">
        <f>IFERROR(AVERAGEIF('Данные 2st'!$Q$2:$Q$317,$A74,'Данные 2st'!$IC$2:$IC$317),"")</f>
        <v/>
      </c>
      <c r="NS74" s="7">
        <f>IFERROR(AVERAGEIF('Данные 2st'!$Q$2:$Q$317,$A74,'Данные 2st'!$ID$2:$ID$317),"")</f>
        <v>2229</v>
      </c>
      <c r="NT74" s="7">
        <f>IFERROR(AVERAGEIF('Данные 2st'!$Q$2:$Q$317,$A74,'Данные 2st'!$IE$2:$IE$317),"")</f>
        <v>2229</v>
      </c>
      <c r="NU74" s="7">
        <f>IFERROR(AVERAGEIF('Данные 2st'!$Q$2:$Q$317,$A74,'Данные 2st'!$IF$2:$IF$317),"")</f>
        <v>230</v>
      </c>
      <c r="NV74" s="7">
        <f>IFERROR(AVERAGEIF('Данные 2st'!$Q$2:$Q$317,$A74,'Данные 2st'!$IG$2:$IG$317),"")</f>
        <v>220</v>
      </c>
      <c r="NW74" s="7">
        <f>IFERROR(AVERAGEIF('Данные 2st'!$Q$2:$Q$317,$A74,'Данные 2st'!$IH$2:$IH$317),"")</f>
        <v>274</v>
      </c>
      <c r="NX74" s="7">
        <f>IFERROR(AVERAGEIF('Данные 2st'!$Q$2:$Q$317,$A74,'Данные 2st'!$IJ$2:$IJ$317),"")</f>
        <v>5</v>
      </c>
      <c r="NY74" s="7">
        <f>IFERROR(AVERAGEIF('Данные 2st'!$Q$2:$Q$317,$A74,'Данные 2st'!$IM$2:$IM$317),"")</f>
        <v>0</v>
      </c>
      <c r="NZ74" s="7">
        <f>IFERROR(AVERAGEIF('Данные 2st'!$Q$2:$Q$317,$A74,'Данные 2st'!$IN$2:$IN$317),"")</f>
        <v>270</v>
      </c>
      <c r="OA74" s="7">
        <f>IFERROR(AVERAGEIF('Данные 2st'!$Q$2:$Q$317,$A74,'Данные 2st'!$IO$2:$IO$317),"")</f>
        <v>0</v>
      </c>
      <c r="OB74" s="7">
        <f>IFERROR(AVERAGEIF('Данные 2st'!$Q$2:$Q$317,$A74,'Данные 2st'!$IP$2:$IP$317),"")</f>
        <v>180</v>
      </c>
      <c r="OC74" s="7">
        <f>IFERROR(AVERAGEIF('Данные 2st'!$Q$2:$Q$317,$A74,'Данные 2st'!$IQ$2:$IQ$317),"")</f>
        <v>0</v>
      </c>
      <c r="OD74" s="7">
        <f>IFERROR(AVERAGEIF('Данные 2st'!$Q$2:$Q$317,$A74,'Данные 2st'!$IR$2:$IR$317),"")</f>
        <v>330</v>
      </c>
      <c r="OE74" s="7">
        <f>IFERROR(AVERAGEIF('Данные 2st'!$Q$2:$Q$317,$A74,'Данные 2st'!$IT$2:$IT$317),"")</f>
        <v>90</v>
      </c>
      <c r="OF74" s="7">
        <f>IFERROR(AVERAGEIF('Данные 2st'!$Q$2:$Q$317,$A74,'Данные 2st'!$IU$2:$IU$317),"")</f>
        <v>0</v>
      </c>
      <c r="OG74" s="7">
        <f>IFERROR(AVERAGEIF('Данные 2st'!$Q$2:$Q$317,$A74,'Данные 2st'!$IV$2:$IV$317),"")</f>
        <v>6.4</v>
      </c>
      <c r="OH74" s="7">
        <f>IFERROR(AVERAGEIF('Данные 2st'!$Q$2:$Q$317,$A74,'Данные 2st'!$IW$2:$IW$317),"")</f>
        <v>-6</v>
      </c>
      <c r="OI74" s="7">
        <f>IFERROR(AVERAGEIF('Данные 2st'!$Q$2:$Q$317,$A74,'Данные 2st'!$IX$2:$IX$317),"")</f>
        <v>117.5</v>
      </c>
      <c r="OJ74" s="7">
        <f>IFERROR(AVERAGEIF('Данные 2st'!$Q$2:$Q$317,$A74,'Данные 2st'!$IY$2:$IY$317),"")</f>
        <v>87</v>
      </c>
      <c r="OK74" s="7">
        <f>IFERROR(AVERAGEIF('Данные 2st'!$Q$2:$Q$317,$A74,'Данные 2st'!$IZ$2:$IZ$317),"")</f>
        <v>0</v>
      </c>
      <c r="OL74" s="7">
        <f>IFERROR(AVERAGEIF('Данные 2st'!$Q$2:$Q$317,$A74,'Данные 2st'!$JA$2:$JA$317),"")</f>
        <v>0</v>
      </c>
      <c r="OM74" s="7">
        <f>IFERROR(AVERAGEIF('Данные 2st'!$Q$2:$Q$317,$A74,'Данные 2st'!$JB$2:$JB$317),"")</f>
        <v>0</v>
      </c>
      <c r="ON74" s="7">
        <f>IFERROR(AVERAGEIF('Данные 2st'!$Q$2:$Q$317,$A74,'Данные 2st'!$JC$2:$JC$317),"")</f>
        <v>0</v>
      </c>
      <c r="OO74" s="7">
        <f>IFERROR(AVERAGEIF('Данные 2st'!$Q$2:$Q$317,$A74,'Данные 2st'!$JD$2:$JD$317),"")</f>
        <v>0</v>
      </c>
      <c r="OP74" s="7">
        <f>IFERROR(AVERAGEIF('Данные 2st'!$Q$2:$Q$317,$A74,'Данные 2st'!$JE$2:$JE$317),"")</f>
        <v>0</v>
      </c>
      <c r="OQ74" s="7">
        <f>IFERROR(AVERAGEIF('Данные 2st'!$Q$2:$Q$317,$A74,'Данные 2st'!$JF$2:$JF$317),"")</f>
        <v>0</v>
      </c>
      <c r="OR74" s="7">
        <f>IFERROR(AVERAGEIF('Данные 2st'!$Q$2:$Q$317,$A74,'Данные 2st'!$JG$2:$JG$317),"")</f>
        <v>0</v>
      </c>
      <c r="OS74" s="7">
        <f>IFERROR(AVERAGEIF('Данные 2st'!$Q$2:$Q$317,$A74,'Данные 2st'!$JH$2:$JH$317),"")</f>
        <v>0</v>
      </c>
      <c r="OT74" s="7">
        <f>IFERROR(AVERAGEIF('Данные 2st'!$Q$2:$Q$317,$A74,'Данные 2st'!$JI$2:$JI$317),"")</f>
        <v>430</v>
      </c>
      <c r="OU74" s="7">
        <f>IFERROR(AVERAGEIF('Данные 2st'!$Q$2:$Q$317,$A74,'Данные 2st'!$JJ$2:$JJ$317),"")</f>
        <v>400</v>
      </c>
      <c r="OV74" s="7">
        <f>IFERROR(AVERAGEIF('Данные 2st'!$Q$2:$Q$317,$A74,'Данные 2st'!$JK$2:$JK$317),"")</f>
        <v>295</v>
      </c>
      <c r="OW74" s="7">
        <f>IFERROR(AVERAGEIF('Данные 2st'!$Q$2:$Q$317,$A74,'Данные 2st'!$JL$2:$JL$317),"")</f>
        <v>398</v>
      </c>
      <c r="OX74" s="7">
        <f>IFERROR(AVERAGEIF('Данные 2st'!$Q$2:$Q$317,$A74,'Данные 2st'!$JM$2:$JM$317),"")</f>
        <v>295</v>
      </c>
      <c r="OY74" s="7">
        <f>IFERROR(AVERAGEIF('Данные 2st'!$Q$2:$Q$317,$A74,'Данные 2st'!$JP$2:$JP$317),"")</f>
        <v>180</v>
      </c>
      <c r="OZ74" s="7">
        <f>IFERROR(AVERAGEIF('Данные 2st'!$Q$2:$Q$317,$A74,'Данные 2st'!$JQ$2:$JQ$317),"")</f>
        <v>230</v>
      </c>
      <c r="PA74" s="7">
        <f>IFERROR(AVERAGEIF('Данные 2st'!$Q$2:$Q$317,$A74,'Данные 2st'!$JR$2:$JR$317),"")</f>
        <v>318</v>
      </c>
      <c r="PB74" s="7">
        <f>IFERROR(AVERAGEIF('Данные 2st'!$Q$2:$Q$317,$A74,'Данные 2st'!$JS$2:$JS$317),"")</f>
        <v>224</v>
      </c>
      <c r="PC74" s="7">
        <f>IFERROR(AVERAGEIF('Данные 2st'!$Q$2:$Q$317,$A74,'Данные 2st'!$JT$2:$JT$317),"")</f>
        <v>0</v>
      </c>
      <c r="PD74" s="7">
        <f>IFERROR(AVERAGEIF('Данные 2st'!$Q$2:$Q$317,$A74,'Данные 2st'!$JU$2:$JU$317),"")</f>
        <v>0</v>
      </c>
      <c r="PE74" s="7">
        <f>IFERROR(AVERAGEIF('Данные 2st'!$Q$2:$Q$317,$A74,'Данные 2st'!$JV$2:$JV$317),"")</f>
        <v>318</v>
      </c>
      <c r="PF74" s="7">
        <f>IFERROR(AVERAGEIF('Данные 2st'!$Q$2:$Q$317,$A74,'Данные 2st'!$JW$2:$JW$317),"")</f>
        <v>310</v>
      </c>
      <c r="PG74" s="7">
        <f>IFERROR(AVERAGEIF('Данные 2st'!$Q$2:$Q$317,$A74,'Данные 2st'!$KF$2:$KF$317),"")</f>
        <v>0.19</v>
      </c>
      <c r="PH74" s="7">
        <f>IFERROR(AVERAGEIF('Данные 2st'!$Q$2:$Q$317,$A74,'Данные 2st'!$KG$2:$KG$317),"")</f>
        <v>0.11</v>
      </c>
      <c r="PI74" s="7">
        <f>IFERROR(AVERAGEIF('Данные 2st'!$Q$2:$Q$317,$A74,'Данные 2st'!$KM$2:$KM$317),"")</f>
        <v>0.5</v>
      </c>
      <c r="PJ74" s="7">
        <f>IFERROR(AVERAGEIF('Данные 2st'!$Q$2:$Q$317,$A74,'Данные 2st'!$KN$2:$KN$317),"")</f>
        <v>1.8</v>
      </c>
      <c r="PK74" s="7">
        <f>IFERROR(AVERAGEIF('Данные 2st'!$Q$2:$Q$317,$A74,'Данные 2st'!$KO$2:$KO$317),"")</f>
        <v>0</v>
      </c>
      <c r="PL74" s="7">
        <f>IFERROR(AVERAGEIF('Данные 2st'!$Q$2:$Q$317,$A74,'Данные 2st'!$KP$2:$KP$317),"")</f>
        <v>0</v>
      </c>
      <c r="PM74" s="7">
        <f>IFERROR(AVERAGEIF('Данные 2st'!$Q$2:$Q$317,$A74,'Данные 2st'!$KQ$2:$KQ$317),"")</f>
        <v>0.8</v>
      </c>
      <c r="PN74" s="7">
        <f>IFERROR(AVERAGEIF('Данные 2st'!$Q$2:$Q$317,$A74,'Данные 2st'!$KR$2:$KR$317),"")</f>
        <v>1</v>
      </c>
      <c r="PO74" s="7">
        <f>IFERROR(AVERAGEIF('Данные 2st'!$Q$2:$Q$317,$A74,'Данные 2st'!$KS$2:$KS$317),"")</f>
        <v>0</v>
      </c>
      <c r="PP74" s="7">
        <f>IFERROR(AVERAGEIF('Данные 2st'!$Q$2:$Q$317,$A74,'Данные 2st'!$KT$2:$KT$317),"")</f>
        <v>3.9</v>
      </c>
      <c r="PQ74" s="7">
        <f>IFERROR(AVERAGEIF('Данные 2st'!$Q$2:$Q$317,$A74,'Данные 2st'!$KU$2:$KU$317),"")</f>
        <v>0</v>
      </c>
      <c r="PR74" s="7">
        <f>IFERROR(AVERAGEIF('Данные 2st'!$Q$2:$Q$317,$A74,'Данные 2st'!$KV$2:$KV$317),"")</f>
        <v>0</v>
      </c>
      <c r="PS74" s="7">
        <f>IFERROR(AVERAGEIF('Данные 2st'!$Q$2:$Q$317,$A74,'Данные 2st'!$KW$2:$KW$317),"")</f>
        <v>1.6</v>
      </c>
      <c r="PT74" s="7">
        <f>IFERROR(AVERAGEIF('Данные 2st'!$Q$2:$Q$317,$A74,'Данные 2st'!$KX$2:$KX$317),"")</f>
        <v>2</v>
      </c>
      <c r="PU74" s="7">
        <f>IFERROR(AVERAGEIF('Данные 2st'!$Q$2:$Q$317,$A74,'Данные 2st'!$KY$2:$KY$317),"")</f>
        <v>1</v>
      </c>
      <c r="PV74" s="7">
        <f>IFERROR(AVERAGEIF('Данные 2st'!$Q$2:$Q$317,$A74,'Данные 2st'!$KZ$2:$KZ$317),"")</f>
        <v>0</v>
      </c>
      <c r="PW74" s="7">
        <f>IFERROR(AVERAGEIF('Данные 2st'!$Q$2:$Q$317,$A74,'Данные 2st'!$LA$2:$LA$317),"")</f>
        <v>0</v>
      </c>
      <c r="PX74" s="7">
        <f>IFERROR(AVERAGEIF('Данные 2st'!$Q$2:$Q$317,$A74,'Данные 2st'!$LB$2:$LB$317),"")</f>
        <v>0</v>
      </c>
      <c r="PY74" s="7">
        <f>IFERROR(AVERAGEIF('Данные 2st'!$Q$2:$Q$317,$A74,'Данные 2st'!$LC$2:$LC$317),"")</f>
        <v>0</v>
      </c>
      <c r="PZ74" s="7">
        <f>IFERROR(AVERAGEIF('Данные 2st'!$Q$2:$Q$317,$A74,'Данные 2st'!$LD$2:$LD$317),"")</f>
        <v>0</v>
      </c>
      <c r="QA74" s="7">
        <f>IFERROR(AVERAGEIF('Данные 2st'!$Q$2:$Q$317,$A74,'Данные 2st'!$LE$2:$LE$317),"")</f>
        <v>0</v>
      </c>
      <c r="QB74" s="7">
        <f>IFERROR(AVERAGEIF('Данные 2st'!$Q$2:$Q$317,$A74,'Данные 2st'!$LF$2:$LF$317),"")</f>
        <v>0</v>
      </c>
      <c r="QC74" s="7">
        <f>IFERROR(AVERAGEIF('Данные 2st'!$Q$2:$Q$317,$A74,'Данные 2st'!$LG$2:$LG$317),"")</f>
        <v>0</v>
      </c>
      <c r="QD74" s="7">
        <f>IFERROR(AVERAGEIF('Данные 2st'!$Q$2:$Q$317,$A74,'Данные 2st'!$LH$2:$LH$317),"")</f>
        <v>3</v>
      </c>
      <c r="QE74" s="7">
        <f>IFERROR(AVERAGEIF('Данные 2st'!$Q$2:$Q$317,$A74,'Данные 2st'!$LJ$2:$LJ$317),"")</f>
        <v>0</v>
      </c>
      <c r="QF74" s="7">
        <f>IFERROR(AVERAGEIF('Данные 2st'!$Q$2:$Q$317,$A74,'Данные 2st'!$LK$2:$LK$317),"")</f>
        <v>10</v>
      </c>
      <c r="QG74" s="7">
        <f>IFERROR(AVERAGEIF('Данные 2st'!$Q$2:$Q$317,$A74,'Данные 2st'!$LL$2:$LL$317),"")</f>
        <v>5</v>
      </c>
      <c r="QH74" s="7">
        <f>IFERROR(AVERAGEIF('Данные 2st'!$Q$2:$Q$317,$A74,'Данные 2st'!$LM$2:$LM$317),"")</f>
        <v>8</v>
      </c>
      <c r="QI74" s="7">
        <f>IFERROR(AVERAGEIF('Данные 2st'!$Q$2:$Q$317,$A74,'Данные 2st'!$LN$2:$LN$317),"")</f>
        <v>3</v>
      </c>
      <c r="QJ74" s="7">
        <f>IFERROR(AVERAGEIF('Данные 2st'!$Q$2:$Q$317,$A74,'Данные 2st'!$LO$2:$LO$317),"")</f>
        <v>3</v>
      </c>
      <c r="QK74" s="7">
        <f>IFERROR(AVERAGEIF('Данные 2st'!$Q$2:$Q$317,$A74,'Данные 2st'!$LP$2:$LP$317),"")</f>
        <v>0</v>
      </c>
      <c r="QL74" s="7">
        <f>IFERROR(AVERAGEIF('Данные 2st'!$Q$2:$Q$317,$A74,'Данные 2st'!$LQ$2:$LQ$317),"")</f>
        <v>0</v>
      </c>
      <c r="QM74" s="7">
        <f>IFERROR(AVERAGEIF('Данные 2st'!$Q$2:$Q$317,$A74,'Данные 2st'!$LW$2:$LW$317),"")</f>
        <v>1.8</v>
      </c>
      <c r="QN74" s="7">
        <f>IFERROR(AVERAGEIF('Данные 2st'!$Q$2:$Q$317,$A74,'Данные 2st'!$LX$2:$LX$317),"")</f>
        <v>1.8</v>
      </c>
      <c r="QO74" s="7">
        <f>IFERROR(AVERAGEIF('Данные 2st'!$Q$2:$Q$317,$A74,'Данные 2st'!$LY$2:$LY$317),"")</f>
        <v>2.1</v>
      </c>
      <c r="QP74" s="7">
        <f>IFERROR(AVERAGEIF('Данные 2st'!$Q$2:$Q$317,$A74,'Данные 2st'!$LZ$2:$LZ$317),"")</f>
        <v>2.1</v>
      </c>
      <c r="QQ74" s="7">
        <f>IFERROR(AVERAGEIF('Данные 2st'!$Q$2:$Q$317,$A74,'Данные 2st'!$MB$2:$MB$317),"")</f>
        <v>10</v>
      </c>
      <c r="QR74" s="7">
        <f>IFERROR(AVERAGEIF('Данные 2st'!$Q$2:$Q$317,$A74,'Данные 2st'!$MG$2:$MG$317),"")</f>
        <v>0</v>
      </c>
      <c r="QS74" s="7">
        <f>IFERROR(AVERAGEIF('Данные 2st'!$Q$2:$Q$317,$A74,'Данные 2st'!$MH$2:$MH$317),"")</f>
        <v>0</v>
      </c>
      <c r="QT74" s="7">
        <f>IFERROR(AVERAGEIF('Данные 2st'!$Q$2:$Q$317,$A74,'Данные 2st'!$MI$2:$MI$317),"")</f>
        <v>0</v>
      </c>
      <c r="QU74" s="7">
        <f>IFERROR(AVERAGEIF('Данные 2st'!$Q$2:$Q$317,$A74,'Данные 2st'!$MJ$2:$MJ$317),"")</f>
        <v>0</v>
      </c>
      <c r="QV74" s="7">
        <f>IFERROR(AVERAGEIF('Данные 2st'!$Q$2:$Q$317,$A74,'Данные 2st'!$MK$2:$MK$317),"")</f>
        <v>0</v>
      </c>
      <c r="QW74" s="7">
        <f>IFERROR(AVERAGEIF('Данные 2st'!$Q$2:$Q$317,$A74,'Данные 2st'!$MM$2:$MM$317),"")</f>
        <v>420</v>
      </c>
      <c r="QX74" s="7">
        <f>IFERROR(AVERAGEIF('Данные 2st'!$Q$2:$Q$317,$A74,'Данные 2st'!$MQ$2:$MQ$317),"")</f>
        <v/>
      </c>
      <c r="QY74" s="7">
        <f>IFERROR(AVERAGEIF('Данные 2st'!$Q$2:$Q$317,$A74,'Данные 2st'!$MR$2:$MR$317),"")</f>
        <v/>
      </c>
      <c r="QZ74" s="7">
        <f>IFERROR(AVERAGEIF('Данные 2st'!$Q$2:$Q$317,$A74,'Данные 2st'!$MS$2:$MS$317),"")</f>
        <v/>
      </c>
      <c r="RA74" s="7">
        <f>IFERROR(AVERAGEIF('Данные 2st'!$Q$2:$Q$317,$A74,'Данные 2st'!$MT$2:$MT$317),"")</f>
        <v/>
      </c>
      <c r="RB74" s="7">
        <f>IFERROR(AVERAGEIF('Данные 2st'!$Q$2:$Q$317,$A74,'Данные 2st'!$MU$2:$MU$317),"")</f>
        <v/>
      </c>
      <c r="RC74" s="7">
        <f>IFERROR(AVERAGEIF('Данные 2st'!$Q$2:$Q$317,$A74,'Данные 2st'!$MV$2:$MV$317),"")</f>
        <v/>
      </c>
      <c r="RD74" s="7">
        <f>IFERROR(AVERAGEIF('Данные 2st'!$Q$2:$Q$317,$A74,'Данные 2st'!$MW$2:$MW$317),"")</f>
        <v/>
      </c>
      <c r="RE74" s="7">
        <f>IFERROR(AVERAGEIF('Данные 2st'!$Q$2:$Q$317,$A74,'Данные 2st'!$MX$2:$MX$317),"")</f>
        <v/>
      </c>
      <c r="RF74" s="7">
        <f>IFERROR(AVERAGEIF('Данные 2st'!$Q$2:$Q$317,$A74,'Данные 2st'!$MY$2:$MY$317),"")</f>
        <v/>
      </c>
      <c r="RG74" s="7">
        <f>IFERROR(AVERAGEIF('Данные 2st'!$Q$2:$Q$317,$A74,'Данные 2st'!$MZ$2:$MZ$317),"")</f>
        <v/>
      </c>
      <c r="RH74" s="7">
        <f>IFERROR(AVERAGEIF('Данные 2st'!$Q$2:$Q$317,$A74,'Данные 2st'!$NA$2:$NA$317),"")</f>
        <v/>
      </c>
      <c r="RI74" s="7">
        <f>IFERROR(AVERAGEIF('Данные 2st'!$Q$2:$Q$317,$A74,'Данные 2st'!$NB$2:$NB$317),"")</f>
        <v/>
      </c>
      <c r="RJ74" s="7">
        <f>IFERROR(AVERAGEIF('Данные 2st'!$Q$2:$Q$317,$A74,'Данные 2st'!$NC$2:$NC$317),"")</f>
        <v/>
      </c>
      <c r="RK74" s="7">
        <f>IFERROR(AVERAGEIF('Данные 2st'!$Q$2:$Q$317,$A74,'Данные 2st'!$ND$2:$ND$317),"")</f>
        <v/>
      </c>
      <c r="RL74" s="7">
        <f>IFERROR(AVERAGEIF('Данные 2st'!$Q$2:$Q$317,$A74,'Данные 2st'!$NE$2:$NE$317),"")</f>
        <v/>
      </c>
      <c r="RM74" s="7">
        <f>IFERROR(AVERAGEIF('Данные 2st'!$Q$2:$Q$317,$A74,'Данные 2st'!$NF$2:$NF$317),"")</f>
        <v/>
      </c>
      <c r="RN74" s="7">
        <f>IFERROR(AVERAGEIF('Данные 2st'!$Q$2:$Q$317,$A74,'Данные 2st'!$NG$2:$NG$317),"")</f>
        <v/>
      </c>
      <c r="RO74" s="7">
        <f>IFERROR(AVERAGEIF('Данные 2st'!$Q$2:$Q$317,$A74,'Данные 2st'!$NH$2:$NH$317),"")</f>
        <v/>
      </c>
      <c r="RP74" s="7">
        <f>IFERROR(AVERAGEIF('Данные 2st'!$Q$2:$Q$317,$A74,'Данные 2st'!$NJ$2:$NJ$317),"")</f>
        <v/>
      </c>
      <c r="RQ74" s="7">
        <f>IFERROR(AVERAGEIF('Данные 2st'!$Q$2:$Q$317,$A74,'Данные 2st'!$NK$2:$NK$317),"")</f>
        <v/>
      </c>
      <c r="RR74" s="7">
        <f>IFERROR(AVERAGEIF('Данные 2st'!$Q$2:$Q$317,$A74,'Данные 2st'!$NM$2:$NM$317),"")</f>
        <v/>
      </c>
      <c r="RS74" s="7">
        <f>IFERROR(AVERAGEIF('Данные 2st'!$Q$2:$Q$317,$A74,'Данные 2st'!$NN$2:$NN$317),"")</f>
        <v/>
      </c>
      <c r="RT74" s="7">
        <f>IFERROR(AVERAGEIF('Данные 2st'!$Q$2:$Q$317,$A74,'Данные 2st'!$NO$2:$NO$317),"")</f>
        <v/>
      </c>
      <c r="RU74" s="7">
        <f>IFERROR(AVERAGEIF('Данные 2st'!$Q$2:$Q$317,$A74,'Данные 2st'!$NP$2:$NP$317),"")</f>
        <v/>
      </c>
      <c r="RV74" s="7">
        <f>IFERROR(AVERAGEIF('Данные 2st'!$Q$2:$Q$317,$A74,'Данные 2st'!$NQ$2:$NQ$317),"")</f>
        <v/>
      </c>
      <c r="RW74" s="7">
        <f>IFERROR(AVERAGEIF('Данные 2st'!$Q$2:$Q$317,$A74,'Данные 2st'!$NR$2:$NR$317),"")</f>
        <v/>
      </c>
      <c r="RX74" s="7">
        <f>IFERROR(AVERAGEIF('Данные 2st'!$Q$2:$Q$317,$A74,'Данные 2st'!$NS$2:$NS$317),"")</f>
        <v/>
      </c>
      <c r="RY74" s="7">
        <f>IFERROR(AVERAGEIF('Данные 2st'!$Q$2:$Q$317,$A74,'Данные 2st'!$NT$2:$NT$317),"")</f>
        <v/>
      </c>
      <c r="RZ74" s="7">
        <f>IFERROR(AVERAGEIF('Данные 2st'!$Q$2:$Q$317,$A74,'Данные 2st'!$OK$2:$OK$317),"")</f>
        <v>61</v>
      </c>
      <c r="SA74" s="7">
        <f>IFERROR(AVERAGEIF('Данные 2st'!$Q$2:$Q$317,$A74,'Данные 2st'!$OL$2:$OL$317),"")</f>
        <v>61</v>
      </c>
      <c r="SB74" s="7">
        <f>IFERROR(AVERAGEIF('Данные 2st'!$Q$2:$Q$317,$A74,'Данные 2st'!$ON$2:$ON$317),"")</f>
        <v>1</v>
      </c>
      <c r="SC74" s="7">
        <f>IFERROR(AVERAGEIF('Данные 2st'!$Q$2:$Q$317,$A74,'Данные 2st'!$OO$2:$OO$317),"")</f>
        <v>2184</v>
      </c>
      <c r="SD74" s="7">
        <f>IFERROR(AVERAGEIF('Данные 2st'!$Q$2:$Q$317,$A74,'Данные 2st'!$OP$2:$OP$317),"")</f>
        <v>61</v>
      </c>
      <c r="SE74" s="7">
        <f>IFERROR(AVERAGEIF('Данные 2st'!$Q$2:$Q$317,$A74,'Данные 2st'!$OQ$2:$OQ$317),"")</f>
        <v>61</v>
      </c>
      <c r="SF74" s="7">
        <f>IFERROR(AVERAGEIF('Данные 2st'!$Q$2:$Q$317,$A74,'Данные 2st'!$OS$2:$OS$317),"")</f>
        <v>1</v>
      </c>
      <c r="SG74" s="7">
        <f>IFERROR(AVERAGEIF('Данные 2st'!$Q$2:$Q$317,$A74,'Данные 2st'!$OT$2:$OT$317),"")</f>
        <v>2197</v>
      </c>
      <c r="SH74" s="7">
        <f>IFERROR(AVERAGEIF('Данные 2st'!$Q$2:$Q$317,$A74,'Данные 2st'!$OU$2:$OU$317),"")</f>
        <v>65</v>
      </c>
      <c r="SI74" s="7">
        <f>IFERROR(AVERAGEIF('Данные 2st'!$Q$2:$Q$317,$A74,'Данные 2st'!$OV$2:$OV$317),"")</f>
        <v>65</v>
      </c>
      <c r="SJ74" s="7">
        <f>IFERROR(AVERAGEIF('Данные 2st'!$Q$2:$Q$317,$A74,'Данные 2st'!$OX$2:$OX$317),"")</f>
        <v>2</v>
      </c>
      <c r="SK74" s="7">
        <f>IFERROR(AVERAGEIF('Данные 2st'!$Q$2:$Q$317,$A74,'Данные 2st'!$OY$2:$OY$317),"")</f>
        <v>52867</v>
      </c>
      <c r="SL74" s="7">
        <f>IFERROR(AVERAGEIF('Данные 2st'!$Q$2:$Q$317,$A74,'Данные 2st'!$OZ$2:$OZ$317),"")</f>
        <v>51</v>
      </c>
      <c r="SM74" s="7">
        <f>IFERROR(AVERAGEIF('Данные 2st'!$Q$2:$Q$317,$A74,'Данные 2st'!$PA$2:$PA$317),"")</f>
        <v>52</v>
      </c>
      <c r="SN74" s="7">
        <f>IFERROR(AVERAGEIF('Данные 2st'!$Q$2:$Q$317,$A74,'Данные 2st'!$PC$2:$PC$317),"")</f>
        <v>1</v>
      </c>
      <c r="SO74" s="7">
        <f>IFERROR(AVERAGEIF('Данные 2st'!$Q$2:$Q$317,$A74,'Данные 2st'!$PD$2:$PD$317),"")</f>
        <v>2229</v>
      </c>
      <c r="SP74" s="7">
        <f>IFERROR(AVERAGEIF('Данные 2st'!$Q$2:$Q$317,$A74,'Данные 2st'!$PF$2:$PF$317),"")</f>
        <v>555</v>
      </c>
      <c r="SQ74" s="7">
        <f>IFERROR(AVERAGEIF('Данные 2st'!$Q$2:$Q$317,$A74,'Данные 2st'!$PG$2:$PG$317),"")</f>
        <v>35</v>
      </c>
      <c r="SR74" s="7">
        <f>IFERROR(AVERAGEIF('Данные 2st'!$Q$2:$Q$317,$A74,'Данные 2st'!$PH$2:$PH$317),"")</f>
        <v>531</v>
      </c>
      <c r="SS74" s="7">
        <f>IFERROR(AVERAGEIF('Данные 2st'!$Q$2:$Q$317,$A74,'Данные 2st'!$PI$2:$PI$317),"")</f>
        <v>0</v>
      </c>
      <c r="ST74" s="7">
        <f>IFERROR(AVERAGEIF('Данные 2st'!$Q$2:$Q$317,$A74,'Данные 2st'!$PJ$2:$PJ$317),"")</f>
        <v>111</v>
      </c>
      <c r="SU74" s="7">
        <f>IFERROR(AVERAGEIF('Данные 2st'!$Q$2:$Q$317,$A74,'Данные 2st'!$PK$2:$PK$317),"")</f>
        <v>2712</v>
      </c>
      <c r="SV74" s="7">
        <f>IFERROR(AVERAGEIF('Данные 2st'!$Q$2:$Q$317,$A74,'Данные 2st'!$PL$2:$PL$317),"")</f>
        <v>1262.3</v>
      </c>
      <c r="SW74" s="7">
        <f>IFERROR(AVERAGEIF('Данные 2st'!$Q$2:$Q$317,$A74,'Данные 2st'!$PM$2:$PM$317),"")</f>
        <v>1203.9</v>
      </c>
      <c r="SX74" s="7">
        <f>IFERROR(AVERAGEIF('Данные 2st'!$Q$2:$Q$317,$A74,'Данные 2st'!$PN$2:$PN$317),"")</f>
        <v>111.3</v>
      </c>
      <c r="SY74" s="7">
        <f>IFERROR(AVERAGEIF('Данные 2st'!$Q$2:$Q$317,$A74,'Данные 2st'!$PO$2:$PO$317),"")</f>
        <v>10</v>
      </c>
      <c r="SZ74" s="7">
        <f>IFERROR(AVERAGEIF('Данные 2st'!$Q$2:$Q$317,$A74,'Данные 2st'!$PP$2:$PP$317),"")</f>
        <v>12</v>
      </c>
      <c r="TA74" s="7">
        <f>IFERROR(AVERAGEIF('Данные 2st'!$Q$2:$Q$317,$A74,'Данные 2st'!$PQ$2:$PQ$317),"")</f>
        <v>5</v>
      </c>
      <c r="TB74" s="7">
        <f>IFERROR(AVERAGEIF('Данные 2st'!$Q$2:$Q$317,$A74,'Данные 2st'!$PR$2:$PR$317),"")</f>
        <v>5</v>
      </c>
      <c r="TC74" s="7">
        <f>IFERROR(AVERAGEIF('Данные 2st'!$Q$2:$Q$317,$A74,'Данные 2st'!$PS$2:$PS$317),"")</f>
        <v>0</v>
      </c>
      <c r="TD74" s="7">
        <f>IFERROR(AVERAGEIF('Данные 2st'!$Q$2:$Q$317,$A74,'Данные 2st'!$PT$2:$PT$317),"")</f>
        <v>274</v>
      </c>
      <c r="TE74" s="7">
        <f>IFERROR(AVERAGEIF('Данные 2st'!$Q$2:$Q$317,$A74,'Данные 2st'!$PU$2:$PU$317),"")</f>
        <v>12</v>
      </c>
      <c r="TF74" s="7">
        <f>IFERROR(AVERAGEIF('Данные 2st'!$Q$2:$Q$317,$A74,'Данные 2st'!$PX$2:$PX$317),"")</f>
        <v>0</v>
      </c>
      <c r="TG74" s="7">
        <f>IFERROR(AVERAGEIF('Данные 2st'!$Q$2:$Q$317,$A74,'Данные 2st'!$PY$2:$PY$317),"")</f>
        <v>0</v>
      </c>
      <c r="TH74" s="7">
        <f>IFERROR(AVERAGEIF('Данные 2st'!$Q$2:$Q$317,$A74,'Данные 2st'!$PZ$2:$PZ$317),"")</f>
        <v>0</v>
      </c>
      <c r="TI74" s="7">
        <f>IFERROR(AVERAGEIF('Данные 2st'!$Q$2:$Q$317,$A74,'Данные 2st'!$QA$2:$QA$317),"")</f>
        <v>0</v>
      </c>
      <c r="TJ74" s="7">
        <f>IFERROR(AVERAGEIF('Данные 2st'!$Q$2:$Q$317,$A74,'Данные 2st'!$QB$2:$QB$317),"")</f>
        <v>0</v>
      </c>
      <c r="TK74" s="7">
        <f>IFERROR(AVERAGEIF('Данные 2st'!$Q$2:$Q$317,$A74,'Данные 2st'!$QC$2:$QC$317),"")</f>
        <v>0</v>
      </c>
      <c r="TL74" s="7">
        <f>IFERROR(AVERAGEIF('Данные 2st'!$Q$2:$Q$317,$A74,'Данные 2st'!$QD$2:$QD$317),"")</f>
        <v>0</v>
      </c>
      <c r="TM74" s="7">
        <f>IFERROR(AVERAGEIF('Данные 2st'!$Q$2:$Q$317,$A74,'Данные 2st'!$QE$2:$QE$317),"")</f>
        <v>-1</v>
      </c>
      <c r="TN74" s="7">
        <f>IFERROR(AVERAGEIF('Данные 2st'!$Q$2:$Q$317,$A74,'Данные 2st'!$QF$2:$QF$317),"")</f>
        <v>1</v>
      </c>
      <c r="TO74" s="7">
        <f>IFERROR(AVERAGEIF('Данные 2st'!$Q$2:$Q$317,$A74,'Данные 2st'!$QG$2:$QG$317),"")</f>
        <v>0</v>
      </c>
      <c r="TP74" s="7">
        <f>IFERROR(AVERAGEIF('Данные 2st'!$Q$2:$Q$317,$A74,'Данные 2st'!$QH$2:$QH$317),"")</f>
        <v>5</v>
      </c>
      <c r="TQ74" s="7">
        <f>IFERROR(AVERAGEIF('Данные 2st'!$Q$2:$Q$317,$A74,'Данные 2st'!$QI$2:$QI$317),"")</f>
        <v>5</v>
      </c>
      <c r="TR74" s="7">
        <f>IFERROR(AVERAGEIF('Данные 2st'!$Q$2:$Q$317,$A74,'Данные 2st'!$QJ$2:$QJ$317),"")</f>
        <v>5</v>
      </c>
      <c r="TS74" s="7">
        <f>IFERROR(AVERAGEIF('Данные 2st'!$Q$2:$Q$317,$A74,'Данные 2st'!$QK$2:$QK$317),"")</f>
        <v>232</v>
      </c>
      <c r="TT74" s="7">
        <f>IFERROR(AVERAGEIF('Данные 2st'!$Q$2:$Q$317,$A74,'Данные 2st'!$QL$2:$QL$317),"")</f>
        <v>460</v>
      </c>
      <c r="TU74" s="7">
        <f>IFERROR(AVERAGEIF('Данные 2st'!$Q$2:$Q$317,$A74,'Данные 2st'!$QM$2:$QM$317),"")</f>
        <v>7.5</v>
      </c>
      <c r="TV74" s="7">
        <f>IFERROR(AVERAGEIF('Данные 2st'!$Q$2:$Q$317,$A74,'Данные 2st'!$QN$2:$QN$317),"")</f>
        <v>1544.1</v>
      </c>
      <c r="TW74" s="7">
        <f>IFERROR(AVERAGEIF('Данные 2st'!$Q$2:$Q$317,$A74,'Данные 2st'!$QQ$2:$QQ$317),"")</f>
        <v>0</v>
      </c>
      <c r="TX74" s="7">
        <f>IFERROR(AVERAGEIF('Данные 2st'!$Q$2:$Q$317,$A74,'Данные 2st'!$QS$2:$QS$317),"")</f>
        <v>40</v>
      </c>
      <c r="TY74" s="7">
        <f>IFERROR(AVERAGEIF('Данные 2st'!$Q$2:$Q$317,$A74,'Данные 2st'!$QT$2:$QT$317),"")</f>
        <v>50</v>
      </c>
    </row>
    <row r="75" spans="1:545" ht="32" customHeight="1">
      <c r="A75" s="11" t="s">
        <v>2918</v>
      </c>
      <c r="B75">
        <f>COUNTIF('Данные 1st'!$S$2:$S$317,$A75)</f>
        <v>2</v>
      </c>
      <c r="C75" s="6" t="s">
        <v>5120</v>
      </c>
      <c r="D75" s="6" t="s">
        <v>513</v>
      </c>
      <c r="E75" s="6" t="s">
        <v>517</v>
      </c>
      <c r="F75" s="6" t="s">
        <v>5185</v>
      </c>
      <c r="G75" s="7">
        <f>IFERROR(AVERAGEIF('Данные 1st'!$S$2:$S$317,$A75,'Данные 1st'!$AE$2:$AE$317),"")</f>
        <v>233</v>
      </c>
      <c r="H75" s="7">
        <f>IFERROR(AVERAGEIF('Данные 1st'!$S$2:$S$317,$A75,'Данные 1st'!$AF$2:$AF$317),"")</f>
        <v>1.5</v>
      </c>
      <c r="I75" s="7">
        <f>IFERROR(AVERAGEIF('Данные 1st'!$S$2:$S$317,$A75,'Данные 1st'!$AJ$2:$AJ$317),"")</f>
        <v>215</v>
      </c>
      <c r="J75" s="7">
        <f>IFERROR(AVERAGEIF('Данные 1st'!$S$2:$S$317,$A75,'Данные 1st'!$AL$2:$AL$317),"")</f>
        <v>1.5</v>
      </c>
      <c r="K75" s="7">
        <f>IFERROR(AVERAGEIF('Данные 1st'!$S$2:$S$317,$A75,'Данные 1st'!$AR$2:$AR$317),"")</f>
        <v>254</v>
      </c>
      <c r="L75" s="7">
        <f>IFERROR(AVERAGEIF('Данные 1st'!$S$2:$S$317,$A75,'Данные 1st'!$AS$2:$AS$317),"")</f>
        <v>1.5</v>
      </c>
      <c r="M75" s="7">
        <f>IFERROR(AVERAGEIF('Данные 1st'!$S$2:$S$317,$A75,'Данные 1st'!$AY$2:$AY$317),"")</f>
        <v>306.25</v>
      </c>
      <c r="N75" s="7">
        <f>IFERROR(AVERAGEIF('Данные 1st'!$S$2:$S$317,$A75,'Данные 1st'!$AZ$2:$AZ$317),"")</f>
        <v>1.5</v>
      </c>
      <c r="O75" s="7">
        <f>IFERROR(AVERAGEIF('Данные 1st'!$S$2:$S$317,$A75,'Данные 1st'!$BF$2:$BF$317),"")</f>
        <v>255</v>
      </c>
      <c r="P75" s="7">
        <f>IFERROR(AVERAGEIF('Данные 1st'!$S$2:$S$317,$A75,'Данные 1st'!$BG$2:$BG$317),"")</f>
        <v>1.5</v>
      </c>
      <c r="Q75" s="7">
        <f>IFERROR(AVERAGEIF('Данные 1st'!$S$2:$S$317,$A75,'Данные 1st'!$BM$2:$BM$317),"")</f>
        <v/>
      </c>
      <c r="R75" s="7">
        <f>IFERROR(AVERAGEIF('Данные 1st'!$S$2:$S$317,$A75,'Данные 1st'!$BN$2:$BN$317),"")</f>
        <v>1.5</v>
      </c>
      <c r="S75" s="7">
        <f>IFERROR(AVERAGEIF('Данные 1st'!$S$2:$S$317,$A75,'Данные 1st'!$BT$2:$BT$317),"")</f>
        <v>232.5</v>
      </c>
      <c r="T75" s="7">
        <f>IFERROR(AVERAGEIF('Данные 1st'!$S$2:$S$317,$A75,'Данные 1st'!$BU$2:$BU$317),"")</f>
        <v>0.5</v>
      </c>
      <c r="U75" s="7">
        <f>IFERROR(AVERAGEIF('Данные 1st'!$S$2:$S$317,$A75,'Данные 1st'!$BW$2:$BW$317),"")</f>
        <v>465</v>
      </c>
      <c r="V75" s="7">
        <f>IFERROR(AVERAGEIF('Данные 1st'!$S$2:$S$317,$A75,'Данные 1st'!$BX$2:$BX$317),"")</f>
        <v>1</v>
      </c>
      <c r="W75" s="7">
        <f>IFERROR(AVERAGEIF('Данные 1st'!$S$2:$S$317,$A75,'Данные 1st'!$BZ$2:$BZ$317),"")</f>
        <v>470</v>
      </c>
      <c r="X75" s="7">
        <f>IFERROR(AVERAGEIF('Данные 1st'!$S$2:$S$317,$A75,'Данные 1st'!$CA$2:$CA$317),"")</f>
        <v>530</v>
      </c>
      <c r="Y75" s="7">
        <f>IFERROR(AVERAGEIF('Данные 1st'!$S$2:$S$317,$A75,'Данные 1st'!$CD$2:$CD$317),"")</f>
        <v>481</v>
      </c>
      <c r="Z75" s="7">
        <f>IFERROR(AVERAGEIF('Данные 1st'!$S$2:$S$317,$A75,'Данные 1st'!$CF$2:$CF$317),"")</f>
        <v>15</v>
      </c>
      <c r="AA75" s="7">
        <f>IFERROR(AVERAGEIF('Данные 1st'!$S$2:$S$317,$A75,'Данные 1st'!$CI$2:$CI$317),"")</f>
        <v>30</v>
      </c>
      <c r="AB75" s="7">
        <f>IFERROR(AVERAGEIF('Данные 1st'!$S$2:$S$317,$A75,'Данные 1st'!$CJ$2:$CJ$317),"")</f>
        <v>1538</v>
      </c>
      <c r="AC75" s="7">
        <f>IFERROR(AVERAGEIF('Данные 1st'!$S$2:$S$317,$A75,'Данные 1st'!$CK$2:$CK$317),"")</f>
        <v>2</v>
      </c>
      <c r="AD75" s="7">
        <f>IFERROR(AVERAGEIF('Данные 1st'!$S$2:$S$317,$A75,'Данные 1st'!$CL$2:$CL$317),"")</f>
        <v>1632</v>
      </c>
      <c r="AE75" s="7">
        <f>IFERROR(AVERAGEIF('Данные 1st'!$S$2:$S$317,$A75,'Данные 1st'!$CM$2:$CM$317),"")</f>
        <v>2</v>
      </c>
      <c r="AF75" s="7">
        <f>IFERROR(AVERAGEIF('Данные 1st'!$S$2:$S$317,$A75,'Данные 1st'!$CT$2:$CT$317),"")</f>
        <v>430</v>
      </c>
      <c r="AG75" s="7">
        <f>IFERROR(AVERAGEIF('Данные 1st'!$S$2:$S$317,$A75,'Данные 1st'!$CU$2:$CU$317),"")</f>
        <v>5</v>
      </c>
      <c r="AH75" s="7">
        <f>IFERROR(AVERAGEIF('Данные 1st'!$S$2:$S$317,$A75,'Данные 1st'!$CV$2:$CV$317),"")</f>
        <v>1.2</v>
      </c>
      <c r="AI75" s="7">
        <f>IFERROR(AVERAGEIF('Данные 1st'!$S$2:$S$317,$A75,'Данные 1st'!$CW$2:$CW$317),"")</f>
        <v>1554</v>
      </c>
      <c r="AJ75" s="7">
        <f>IFERROR(AVERAGEIF('Данные 1st'!$S$2:$S$317,$A75,'Данные 1st'!$CX$2:$CX$317),"")</f>
        <v>946</v>
      </c>
      <c r="AK75" s="7">
        <f>IFERROR(AVERAGEIF('Данные 1st'!$S$2:$S$317,$A75,'Данные 1st'!$CZ$2:$CZ$317),"")</f>
        <v>50</v>
      </c>
      <c r="AL75" s="7">
        <f>IFERROR(AVERAGEIF('Данные 1st'!$S$2:$S$317,$A75,'Данные 1st'!$DA$2:$DA$317),"")</f>
        <v>3</v>
      </c>
      <c r="AM75" s="7">
        <f>IFERROR(AVERAGEIF('Данные 1st'!$S$2:$S$317,$A75,'Данные 1st'!$DB$2:$DB$317),"")</f>
        <v>1</v>
      </c>
      <c r="AN75" s="7">
        <f>IFERROR(AVERAGEIF('Данные 1st'!$S$2:$S$317,$A75,'Данные 1st'!$DC$2:$DC$317),"")</f>
        <v>1554</v>
      </c>
      <c r="AO75" s="7">
        <f>IFERROR(AVERAGEIF('Данные 1st'!$S$2:$S$317,$A75,'Данные 1st'!$DD$2:$DD$317),"")</f>
        <v>82</v>
      </c>
      <c r="AP75" s="7">
        <f>IFERROR(AVERAGEIF('Данные 1st'!$S$2:$S$317,$A75,'Данные 1st'!$DF$2:$DF$317),"")</f>
        <v>612.5</v>
      </c>
      <c r="AQ75" s="7">
        <f>IFERROR(AVERAGEIF('Данные 1st'!$S$2:$S$317,$A75,'Данные 1st'!$DG$2:$DG$317),"")</f>
        <v>3</v>
      </c>
      <c r="AR75" s="7">
        <f>IFERROR(AVERAGEIF('Данные 1st'!$S$2:$S$317,$A75,'Данные 1st'!$DH$2:$DH$317),"")</f>
        <v>0.88</v>
      </c>
      <c r="AS75" s="7">
        <f>IFERROR(AVERAGEIF('Данные 1st'!$S$2:$S$317,$A75,'Данные 1st'!$DI$2:$DI$317),"")</f>
        <v>1547</v>
      </c>
      <c r="AT75" s="7">
        <f>IFERROR(AVERAGEIF('Данные 1st'!$S$2:$S$317,$A75,'Данные 1st'!$DJ$2:$DJ$317),"")</f>
        <v>1142</v>
      </c>
      <c r="AU75" s="7">
        <f>IFERROR(AVERAGEIF('Данные 1st'!$S$2:$S$317,$A75,'Данные 1st'!$DL$2:$DL$317),"")</f>
        <v>510</v>
      </c>
      <c r="AV75" s="7">
        <f>IFERROR(AVERAGEIF('Данные 1st'!$S$2:$S$317,$A75,'Данные 1st'!$DM$2:$DM$317),"")</f>
        <v>3</v>
      </c>
      <c r="AW75" s="7">
        <f>IFERROR(AVERAGEIF('Данные 1st'!$S$2:$S$317,$A75,'Данные 1st'!$DN$2:$DN$317),"")</f>
        <v>0.88</v>
      </c>
      <c r="AX75" s="7">
        <f>IFERROR(AVERAGEIF('Данные 1st'!$S$2:$S$317,$A75,'Данные 1st'!$DO$2:$DO$317),"")</f>
        <v>1552</v>
      </c>
      <c r="AY75" s="7">
        <f>IFERROR(AVERAGEIF('Данные 1st'!$S$2:$S$317,$A75,'Данные 1st'!$DP$2:$DP$317),"")</f>
        <v>932</v>
      </c>
      <c r="AZ75" s="7">
        <f>IFERROR(AVERAGEIF('Данные 1st'!$S$2:$S$317,$A75,'Данные 1st'!$DR$2:$DR$317),"")</f>
        <v/>
      </c>
      <c r="BA75" s="7">
        <f>IFERROR(AVERAGEIF('Данные 1st'!$S$2:$S$317,$A75,'Данные 1st'!$DS$2:$DS$317),"")</f>
        <v/>
      </c>
      <c r="BB75" s="7">
        <f>IFERROR(AVERAGEIF('Данные 1st'!$S$2:$S$317,$A75,'Данные 1st'!$DT$2:$DT$317),"")</f>
        <v/>
      </c>
      <c r="BC75" s="7">
        <f>IFERROR(AVERAGEIF('Данные 1st'!$S$2:$S$317,$A75,'Данные 1st'!$DU$2:$DU$317),"")</f>
        <v/>
      </c>
      <c r="BD75" s="7">
        <f>IFERROR(AVERAGEIF('Данные 1st'!$S$2:$S$317,$A75,'Данные 1st'!$DV$2:$DV$317),"")</f>
        <v/>
      </c>
      <c r="BE75" s="7">
        <f>IFERROR(AVERAGEIF('Данные 1st'!$S$2:$S$317,$A75,'Данные 1st'!$DX$2:$DX$317),"")</f>
        <v>7.5</v>
      </c>
      <c r="BF75" s="7">
        <f>IFERROR(AVERAGEIF('Данные 1st'!$S$2:$S$317,$A75,'Данные 1st'!$EA$2:$EA$317),"")</f>
        <v>1624.6</v>
      </c>
      <c r="BG75" s="7">
        <f>IFERROR(AVERAGEIF('Данные 1st'!$S$2:$S$317,$A75,'Данные 1st'!$EB$2:$EB$317),"")</f>
        <v>382.5</v>
      </c>
      <c r="BH75" s="7">
        <f>IFERROR(AVERAGEIF('Данные 1st'!$S$2:$S$317,$A75,'Данные 1st'!$ED$2:$ED$317),"")</f>
        <v>32.5</v>
      </c>
      <c r="BI75" s="7">
        <f>IFERROR(AVERAGEIF('Данные 1st'!$S$2:$S$317,$A75,'Данные 1st'!$EE$2:$EE$317),"")</f>
        <v>3</v>
      </c>
      <c r="BJ75" s="7">
        <f>IFERROR(AVERAGEIF('Данные 1st'!$S$2:$S$317,$A75,'Данные 1st'!$EG$2:$EG$317),"")</f>
        <v>1675.5</v>
      </c>
      <c r="BK75" s="7">
        <f>IFERROR(AVERAGEIF('Данные 1st'!$S$2:$S$317,$A75,'Данные 1st'!$EH$2:$EH$317),"")</f>
        <v>216.5</v>
      </c>
      <c r="BL75" s="7">
        <f>IFERROR(AVERAGEIF('Данные 1st'!$S$2:$S$317,$A75,'Данные 1st'!$EJ$2:$EJ$317),"")</f>
        <v>0</v>
      </c>
      <c r="BM75" s="7">
        <f>IFERROR(AVERAGEIF('Данные 1st'!$S$2:$S$317,$A75,'Данные 1st'!$EK$2:$EK$317),"")</f>
        <v>1</v>
      </c>
      <c r="BN75" s="7">
        <f>IFERROR(AVERAGEIF('Данные 1st'!$S$2:$S$317,$A75,'Данные 1st'!$EN$2:$EN$317),"")</f>
        <v>0</v>
      </c>
      <c r="BO75" s="7">
        <f>IFERROR(AVERAGEIF('Данные 1st'!$S$2:$S$317,$A75,'Данные 1st'!$EQ$2:$EQ$317),"")</f>
        <v>107.5</v>
      </c>
      <c r="BP75" s="7">
        <f>IFERROR(AVERAGEIF('Данные 1st'!$S$2:$S$317,$A75,'Данные 1st'!$ER$2:$ER$317),"")</f>
        <v>3</v>
      </c>
      <c r="BQ75" s="7">
        <f>IFERROR(AVERAGEIF('Данные 1st'!$S$2:$S$317,$A75,'Данные 1st'!$ES$2:$ES$317),"")</f>
        <v>6.0</v>
      </c>
      <c r="BR75" s="7">
        <f>IFERROR(AVERAGEIF('Данные 1st'!$S$2:$S$317,$A75,'Данные 1st'!$ET$2:$ET$317),"")</f>
        <v>1537</v>
      </c>
      <c r="BS75" s="7">
        <f>IFERROR(AVERAGEIF('Данные 1st'!$S$2:$S$317,$A75,'Данные 1st'!$EU$2:$EU$317),"")</f>
        <v>553.0</v>
      </c>
      <c r="BT75" s="7">
        <f>IFERROR(AVERAGEIF('Данные 1st'!$S$2:$S$317,$A75,'Данные 1st'!$EV$2:$EV$317),"")</f>
        <v>850</v>
      </c>
      <c r="BU75" s="7">
        <f>IFERROR(AVERAGEIF('Данные 1st'!$S$2:$S$317,$A75,'Данные 1st'!$EX$2:$EX$317),"")</f>
        <v>45</v>
      </c>
      <c r="BV75" s="7">
        <f>IFERROR(AVERAGEIF('Данные 1st'!$S$2:$S$317,$A75,'Данные 1st'!$EY$2:$EY$317),"")</f>
        <v>2</v>
      </c>
      <c r="BW75" s="7">
        <f>IFERROR(AVERAGEIF('Данные 1st'!$S$2:$S$317,$A75,'Данные 1st'!$EZ$2:$EZ$317),"")</f>
        <v>5.2</v>
      </c>
      <c r="BX75" s="7">
        <f>IFERROR(AVERAGEIF('Данные 1st'!$S$2:$S$317,$A75,'Данные 1st'!$FA$2:$FA$317),"")</f>
        <v>1537</v>
      </c>
      <c r="BY75" s="7">
        <f>IFERROR(AVERAGEIF('Данные 1st'!$S$2:$S$317,$A75,'Данные 1st'!$FB$2:$FB$317),"")</f>
        <v>164.5</v>
      </c>
      <c r="BZ75" s="7">
        <f>IFERROR(AVERAGEIF('Данные 1st'!$S$2:$S$317,$A75,'Данные 1st'!$FC$2:$FC$317),"")</f>
        <v>253</v>
      </c>
      <c r="CA75" s="7">
        <f>IFERROR(AVERAGEIF('Данные 1st'!$S$2:$S$317,$A75,'Данные 1st'!$FE$2:$FE$317),"")</f>
        <v>0</v>
      </c>
      <c r="CB75" s="7">
        <f>IFERROR(AVERAGEIF('Данные 1st'!$S$2:$S$317,$A75,'Данные 1st'!$FF$2:$FF$317),"")</f>
        <v>2</v>
      </c>
      <c r="CC75" s="7">
        <f>IFERROR(AVERAGEIF('Данные 1st'!$S$2:$S$317,$A75,'Данные 1st'!$FI$2:$FI$317),"")</f>
        <v>0</v>
      </c>
      <c r="CD75" s="7">
        <f>IFERROR(AVERAGEIF('Данные 1st'!$S$2:$S$317,$A75,'Данные 1st'!$FL$2:$FL$317),"")</f>
        <v>0.4</v>
      </c>
      <c r="CE75" s="7">
        <f>IFERROR(AVERAGEIF('Данные 1st'!$S$2:$S$317,$A75,'Данные 1st'!$FM$2:$FM$317),"")</f>
        <v>62.5</v>
      </c>
      <c r="CF75" s="7">
        <f>IFERROR(AVERAGEIF('Данные 1st'!$S$2:$S$317,$A75,'Данные 1st'!$FN$2:$FN$317),"")</f>
        <v>405</v>
      </c>
      <c r="CG75" s="7">
        <f>IFERROR(AVERAGEIF('Данные 1st'!$S$2:$S$317,$A75,'Данные 1st'!$FO$2:$FO$317),"")</f>
        <v>90</v>
      </c>
      <c r="CH75" s="7">
        <f>IFERROR(AVERAGEIF('Данные 1st'!$S$2:$S$317,$A75,'Данные 1st'!$FP$2:$FP$317),"")</f>
        <v>160</v>
      </c>
      <c r="CI75" s="7">
        <f>IFERROR(AVERAGEIF('Данные 1st'!$S$2:$S$317,$A75,'Данные 1st'!$FS$2:$FS$317),"")</f>
        <v/>
      </c>
      <c r="CJ75" s="7">
        <f>IFERROR(AVERAGEIF('Данные 1st'!$S$2:$S$317,$A75,'Данные 1st'!$FT$2:$FT$317),"")</f>
        <v/>
      </c>
      <c r="CK75" s="7">
        <f>IFERROR(AVERAGEIF('Данные 1st'!$S$2:$S$317,$A75,'Данные 1st'!$FU$2:$FU$317),"")</f>
        <v/>
      </c>
      <c r="CL75" s="7">
        <f>IFERROR(AVERAGEIF('Данные 1st'!$S$2:$S$317,$A75,'Данные 1st'!$FV$2:$FV$317),"")</f>
        <v/>
      </c>
      <c r="CM75" s="7">
        <f>IFERROR(AVERAGEIF('Данные 1st'!$S$2:$S$317,$A75,'Данные 1st'!$FW$2:$FW$317),"")</f>
        <v/>
      </c>
      <c r="CN75" s="7">
        <f>IFERROR(AVERAGEIF('Данные 1st'!$S$2:$S$317,$A75,'Данные 1st'!$FZ$2:$FZ$317),"")</f>
        <v/>
      </c>
      <c r="CO75" s="7">
        <f>IFERROR(AVERAGEIF('Данные 1st'!$S$2:$S$317,$A75,'Данные 1st'!$GA$2:$GA$317),"")</f>
        <v/>
      </c>
      <c r="CP75" s="7">
        <f>IFERROR(AVERAGEIF('Данные 1st'!$S$2:$S$317,$A75,'Данные 1st'!$GB$2:$GB$317),"")</f>
        <v/>
      </c>
      <c r="CQ75" s="7">
        <f>IFERROR(AVERAGEIF('Данные 1st'!$S$2:$S$317,$A75,'Данные 1st'!$GH$2:$GH$317),"")</f>
        <v/>
      </c>
      <c r="CR75" s="7">
        <f>IFERROR(AVERAGEIF('Данные 1st'!$S$2:$S$317,$A75,'Данные 1st'!$GI$2:$GI$317),"")</f>
        <v/>
      </c>
      <c r="CS75" s="7">
        <f>IFERROR(AVERAGEIF('Данные 1st'!$S$2:$S$317,$A75,'Данные 1st'!$GJ$2:$GJ$317),"")</f>
        <v/>
      </c>
      <c r="CT75" s="7">
        <f>IFERROR(AVERAGEIF('Данные 1st'!$S$2:$S$317,$A75,'Данные 1st'!$GS$2:$GS$317),"")</f>
        <v>0.4</v>
      </c>
      <c r="CU75" s="7">
        <f>IFERROR(AVERAGEIF('Данные 1st'!$S$2:$S$317,$A75,'Данные 1st'!$GT$2:$GT$317),"")</f>
        <v>30</v>
      </c>
      <c r="CV75" s="7">
        <f>IFERROR(AVERAGEIF('Данные 1st'!$S$2:$S$317,$A75,'Данные 1st'!$GU$2:$GU$317),"")</f>
        <v>430</v>
      </c>
      <c r="CW75" s="7">
        <f>IFERROR(AVERAGEIF('Данные 1st'!$S$2:$S$317,$A75,'Данные 1st'!$GV$2:$GV$317),"")</f>
        <v>42.5</v>
      </c>
      <c r="CX75" s="7">
        <f>IFERROR(AVERAGEIF('Данные 1st'!$S$2:$S$317,$A75,'Данные 1st'!$GW$2:$GW$317),"")</f>
        <v>280</v>
      </c>
      <c r="CY75" s="7">
        <f>IFERROR(AVERAGEIF('Данные 1st'!$S$2:$S$317,$A75,'Данные 1st'!$GZ$2:$GZ$317),"")</f>
        <v>1.6</v>
      </c>
      <c r="CZ75" s="7">
        <f>IFERROR(AVERAGEIF('Данные 1st'!$S$2:$S$317,$A75,'Данные 1st'!$HA$2:$HA$317),"")</f>
        <v>20</v>
      </c>
      <c r="DA75" s="7">
        <f>IFERROR(AVERAGEIF('Данные 1st'!$S$2:$S$317,$A75,'Данные 1st'!$HB$2:$HB$317),"")</f>
        <v>208</v>
      </c>
      <c r="DB75" s="7">
        <f>IFERROR(AVERAGEIF('Данные 1st'!$S$2:$S$317,$A75,'Данные 1st'!$HC$2:$HC$317),"")</f>
        <v>0.1</v>
      </c>
      <c r="DC75" s="7">
        <f>IFERROR(AVERAGEIF('Данные 1st'!$S$2:$S$317,$A75,'Данные 1st'!$HD$2:$HD$317),"")</f>
        <v>3</v>
      </c>
      <c r="DD75" s="7">
        <f>IFERROR(AVERAGEIF('Данные 1st'!$S$2:$S$317,$A75,'Данные 1st'!$HE$2:$HE$317),"")</f>
        <v>3</v>
      </c>
      <c r="DE75" s="7">
        <f>IFERROR(AVERAGEIF('Данные 1st'!$S$2:$S$317,$A75,'Данные 1st'!$HF$2:$HF$317),"")</f>
        <v>3</v>
      </c>
      <c r="DF75" s="7">
        <f>IFERROR(AVERAGEIF('Данные 1st'!$S$2:$S$317,$A75,'Данные 1st'!$HG$2:$HG$317),"")</f>
        <v>3</v>
      </c>
      <c r="DG75" s="7">
        <f>IFERROR(AVERAGEIF('Данные 1st'!$S$2:$S$317,$A75,'Данные 1st'!$HH$2:$HH$317),"")</f>
        <v>3</v>
      </c>
      <c r="DH75" s="7">
        <f>IFERROR(AVERAGEIF('Данные 1st'!$S$2:$S$317,$A75,'Данные 1st'!$HI$2:$HI$317),"")</f>
        <v>137.5</v>
      </c>
      <c r="DI75" s="7">
        <f>IFERROR(AVERAGEIF('Данные 1st'!$S$2:$S$317,$A75,'Данные 1st'!$HJ$2:$HJ$317),"")</f>
        <v>3</v>
      </c>
      <c r="DJ75" s="7">
        <f>IFERROR(AVERAGEIF('Данные 1st'!$S$2:$S$317,$A75,'Данные 1st'!$HK$2:$HK$317),"")</f>
        <v>30</v>
      </c>
      <c r="DK75" s="7">
        <f>IFERROR(AVERAGEIF('Данные 1st'!$S$2:$S$317,$A75,'Данные 1st'!$HL$2:$HL$317),"")</f>
        <v>2</v>
      </c>
      <c r="DL75" s="7">
        <f>IFERROR(AVERAGEIF('Данные 1st'!$S$2:$S$317,$A75,'Данные 1st'!$HM$2:$HM$317),"")</f>
        <v>0</v>
      </c>
      <c r="DM75" s="7">
        <f>IFERROR(AVERAGEIF('Данные 1st'!$S$2:$S$317,$A75,'Данные 1st'!$HN$2:$HN$317),"")</f>
        <v>2</v>
      </c>
      <c r="DN75" s="7">
        <f>IFERROR(AVERAGEIF('Данные 1st'!$S$2:$S$317,$A75,'Данные 1st'!$HO$2:$HO$317),"")</f>
        <v>92.5</v>
      </c>
      <c r="DO75" s="7">
        <f>IFERROR(AVERAGEIF('Данные 1st'!$S$2:$S$317,$A75,'Данные 1st'!$HP$2:$HP$317),"")</f>
        <v>3</v>
      </c>
      <c r="DP75" s="7">
        <f>IFERROR(AVERAGEIF('Данные 1st'!$S$2:$S$317,$A75,'Данные 1st'!$HQ$2:$HQ$317),"")</f>
        <v>0</v>
      </c>
      <c r="DQ75" s="7">
        <f>IFERROR(AVERAGEIF('Данные 1st'!$S$2:$S$317,$A75,'Данные 1st'!$HR$2:$HR$317),"")</f>
        <v>2</v>
      </c>
      <c r="DR75" s="7">
        <f>IFERROR(AVERAGEIF('Данные 1st'!$S$2:$S$317,$A75,'Данные 1st'!$HS$2:$HS$317),"")</f>
        <v>6588</v>
      </c>
      <c r="DS75" s="7">
        <f>IFERROR(AVERAGEIF('Данные 1st'!$S$2:$S$317,$A75,'Данные 1st'!$HT$2:$HT$317),"")</f>
        <v>200</v>
      </c>
      <c r="DT75" s="7">
        <f>IFERROR(AVERAGEIF('Данные 1st'!$S$2:$S$317,$A75,'Данные 1st'!$HU$2:$HU$317),"")</f>
        <v>180</v>
      </c>
      <c r="DU75" s="7">
        <f>IFERROR(AVERAGEIF('Данные 1st'!$S$2:$S$317,$A75,'Данные 1st'!$HW$2:$HW$317),"")</f>
        <v>0</v>
      </c>
      <c r="DV75" s="7">
        <f>IFERROR(AVERAGEIF('Данные 1st'!$S$2:$S$317,$A75,'Данные 1st'!$HX$2:$HX$317),"")</f>
        <v>512</v>
      </c>
      <c r="DW75" s="7">
        <f>IFERROR(AVERAGEIF('Данные 1st'!$S$2:$S$317,$A75,'Данные 1st'!$HY$2:$HY$317),"")</f>
        <v>0.18</v>
      </c>
      <c r="DX75" s="7">
        <f>IFERROR(AVERAGEIF('Данные 1st'!$S$2:$S$317,$A75,'Данные 1st'!$IA$2:$IA$317),"")</f>
        <v>0.15</v>
      </c>
      <c r="DY75" s="7">
        <f>IFERROR(AVERAGEIF('Данные 1st'!$S$2:$S$317,$A75,'Данные 1st'!$IB$2:$IB$317),"")</f>
        <v>0</v>
      </c>
      <c r="DZ75" s="7">
        <f>IFERROR(AVERAGEIF('Данные 1st'!$S$2:$S$317,$A75,'Данные 1st'!$IC$2:$IC$317),"")</f>
        <v>180</v>
      </c>
      <c r="EA75" s="7">
        <f>IFERROR(AVERAGEIF('Данные 1st'!$S$2:$S$317,$A75,'Данные 1st'!$ID$2:$ID$317),"")</f>
        <v>110</v>
      </c>
      <c r="EB75" s="7">
        <f>IFERROR(AVERAGEIF('Данные 1st'!$S$2:$S$317,$A75,'Данные 1st'!$IE$2:$IE$317),"")</f>
        <v>225</v>
      </c>
      <c r="EC75" s="7">
        <f>IFERROR(AVERAGEIF('Данные 1st'!$S$2:$S$317,$A75,'Данные 1st'!$IF$2:$IF$317),"")</f>
        <v>0</v>
      </c>
      <c r="ED75" s="7">
        <f>IFERROR(AVERAGEIF('Данные 1st'!$S$2:$S$317,$A75,'Данные 1st'!$IP$2:$IP$317),"")</f>
        <v>20</v>
      </c>
      <c r="EE75" s="7">
        <f>IFERROR(AVERAGEIF('Данные 1st'!$S$2:$S$317,$A75,'Данные 1st'!$IV$2:$IV$317),"")</f>
        <v>1538</v>
      </c>
      <c r="EF75" s="7">
        <f>IFERROR(AVERAGEIF('Данные 1st'!$S$2:$S$317,$A75,'Данные 1st'!$IW$2:$IW$317),"")</f>
        <v>465</v>
      </c>
      <c r="EG75" s="7">
        <f>IFERROR(AVERAGEIF('Данные 1st'!$S$2:$S$317,$A75,'Данные 1st'!$IX$2:$IX$317),"")</f>
        <v/>
      </c>
      <c r="EH75" s="7">
        <f>IFERROR(AVERAGEIF('Данные 1st'!$S$2:$S$317,$A75,'Данные 1st'!$IY$2:$IY$317),"")</f>
        <v/>
      </c>
      <c r="EI75" s="7">
        <f>IFERROR(AVERAGEIF('Данные 1st'!$S$2:$S$317,$A75,'Данные 1st'!$JD$2:$JD$317),"")</f>
        <v>1554</v>
      </c>
      <c r="EJ75" s="7">
        <f>IFERROR(AVERAGEIF('Данные 1st'!$S$2:$S$317,$A75,'Данные 1st'!$JE$2:$JE$317),"")</f>
        <v>1547</v>
      </c>
      <c r="EK75" s="7">
        <f>IFERROR(AVERAGEIF('Данные 1st'!$S$2:$S$317,$A75,'Данные 1st'!$JF$2:$JF$317),"")</f>
        <v>1552</v>
      </c>
      <c r="EL75" s="7">
        <f>IFERROR(AVERAGEIF('Данные 1st'!$S$2:$S$317,$A75,'Данные 1st'!$JG$2:$JG$317),"")</f>
        <v>1537</v>
      </c>
      <c r="EM75" s="7">
        <f>IFERROR(AVERAGEIF('Данные 1st'!$S$2:$S$317,$A75,'Данные 1st'!$JH$2:$JH$317),"")</f>
        <v>0</v>
      </c>
      <c r="EN75" s="7">
        <f>IFERROR(AVERAGEIF('Данные 1st'!$S$2:$S$317,$A75,'Данные 1st'!$JJ$2:$JJ$317),"")</f>
        <v>180</v>
      </c>
      <c r="EO75" s="7">
        <f>IFERROR(AVERAGEIF('Данные 1st'!$S$2:$S$317,$A75,'Данные 1st'!$JK$2:$JK$317),"")</f>
        <v>512</v>
      </c>
      <c r="EP75" s="7">
        <f>IFERROR(AVERAGEIF('Данные 1st'!$S$2:$S$317,$A75,'Данные 1st'!$JL$2:$JL$317),"")</f>
        <v/>
      </c>
      <c r="EQ75" s="7">
        <f>IFERROR(AVERAGEIF('Данные 1st'!$S$2:$S$317,$A75,'Данные 1st'!$JM$2:$JM$317),"")</f>
        <v/>
      </c>
      <c r="ER75" s="7">
        <f>IFERROR(AVERAGEIF('Данные 1st'!$S$2:$S$317,$A75,'Данные 1st'!$JN$2:$JN$317),"")</f>
        <v>430</v>
      </c>
      <c r="ES75" s="7">
        <f>IFERROR(AVERAGEIF('Данные 1st'!$S$2:$S$317,$A75,'Данные 1st'!$JO$2:$JO$317),"")</f>
        <v>612.5</v>
      </c>
      <c r="ET75" s="7">
        <f>IFERROR(AVERAGEIF('Данные 1st'!$S$2:$S$317,$A75,'Данные 1st'!$JP$2:$JP$317),"")</f>
        <v>510</v>
      </c>
      <c r="EU75" s="7">
        <f>IFERROR(AVERAGEIF('Данные 1st'!$S$2:$S$317,$A75,'Данные 1st'!$JQ$2:$JQ$317),"")</f>
        <v>0</v>
      </c>
      <c r="EV75" s="7">
        <f>IFERROR(AVERAGEIF('Данные 1st'!$S$2:$S$317,$A75,'Данные 1st'!$JR$2:$JR$317),"")</f>
        <v>466</v>
      </c>
      <c r="EW75" s="7">
        <f>IFERROR(AVERAGEIF('Данные 1st'!$S$2:$S$317,$A75,'Данные 1st'!$JS$2:$JS$317),"")</f>
        <v>137.5</v>
      </c>
      <c r="EX75" s="7">
        <f>IFERROR(AVERAGEIF('Данные 1st'!$S$2:$S$317,$A75,'Данные 1st'!$JT$2:$JT$317),"")</f>
        <v/>
      </c>
      <c r="EY75" s="7">
        <f>IFERROR(AVERAGEIF('Данные 1st'!$S$2:$S$317,$A75,'Данные 1st'!$JU$2:$JU$317),"")</f>
        <v/>
      </c>
      <c r="EZ75" s="7">
        <f>IFERROR(AVERAGEIF('Данные 1st'!$S$2:$S$317,$A75,'Данные 1st'!$JV$2:$JV$317),"")</f>
        <v>8</v>
      </c>
      <c r="FA75" s="7">
        <f>IFERROR(AVERAGEIF('Данные 1st'!$S$2:$S$317,$A75,'Данные 1st'!$JW$2:$JW$317),"")</f>
        <v/>
      </c>
      <c r="FB75" s="7">
        <f>IFERROR(AVERAGEIF('Данные 1st'!$S$2:$S$317,$A75,'Данные 1st'!$JX$2:$JX$317),"")</f>
        <v>508</v>
      </c>
      <c r="FC75" s="7">
        <f>IFERROR(AVERAGEIF('Данные 1st'!$S$2:$S$317,$A75,'Данные 1st'!$JY$2:$JY$317),"")</f>
        <v/>
      </c>
      <c r="FD75" s="7">
        <f>IFERROR(AVERAGEIF('Данные 1st'!$S$2:$S$317,$A75,'Данные 1st'!$JZ$2:$JZ$317),"")</f>
        <v/>
      </c>
      <c r="FE75" s="7">
        <f>IFERROR(AVERAGEIF('Данные 1st'!$S$2:$S$317,$A75,'Данные 1st'!$KA$2:$KA$317),"")</f>
        <v>225</v>
      </c>
      <c r="FF75" s="7">
        <f>IFERROR(AVERAGEIF('Данные 1st'!$S$2:$S$317,$A75,'Данные 1st'!$KB$2:$KB$317),"")</f>
        <v>110</v>
      </c>
      <c r="FG75" s="7">
        <f>IFERROR(AVERAGEIF('Данные 1st'!$S$2:$S$317,$A75,'Данные 1st'!$KC$2:$KC$317),"")</f>
        <v>0</v>
      </c>
      <c r="FH75" s="7">
        <f>IFERROR(AVERAGEIF('Данные 1st'!$S$2:$S$317,$A75,'Данные 1st'!$KD$2:$KD$317),"")</f>
        <v>80</v>
      </c>
      <c r="FI75" s="7">
        <f>IFERROR(AVERAGEIF('Данные 1st'!$S$2:$S$317,$A75,'Данные 1st'!$KE$2:$KE$317),"")</f>
        <v/>
      </c>
      <c r="FJ75" s="7">
        <f>IFERROR(AVERAGEIF('Данные 1st'!$S$2:$S$317,$A75,'Данные 1st'!$KF$2:$KF$317),"")</f>
        <v>4</v>
      </c>
      <c r="FK75" s="7">
        <f>IFERROR(AVERAGEIF('Данные 1st'!$S$2:$S$317,$A75,'Данные 1st'!$KG$2:$KG$317),"")</f>
        <v>3</v>
      </c>
      <c r="FL75" s="7">
        <f>IFERROR(AVERAGEIF('Данные 1st'!$S$2:$S$317,$A75,'Данные 1st'!$KH$2:$KH$317),"")</f>
        <v>2</v>
      </c>
      <c r="FM75" s="7">
        <f>IFERROR(AVERAGEIF('Данные 1st'!$S$2:$S$317,$A75,'Данные 1st'!$KI$2:$KI$317),"")</f>
        <v>2</v>
      </c>
      <c r="FN75" s="7">
        <f>IFERROR(AVERAGEIF('Данные 1st'!$S$2:$S$317,$A75,'Данные 1st'!$KJ$2:$KJ$317),"")</f>
        <v>0</v>
      </c>
      <c r="FO75" s="7">
        <f>IFERROR(AVERAGEIF('Данные 1st'!$S$2:$S$317,$A75,'Данные 1st'!$KK$2:$KK$317),"")</f>
        <v>1.5</v>
      </c>
      <c r="FP75" s="7">
        <f>IFERROR(AVERAGEIF('Данные 1st'!$S$2:$S$317,$A75,'Данные 1st'!$KL$2:$KL$317),"")</f>
        <v>1.5</v>
      </c>
      <c r="FQ75" s="7">
        <f>IFERROR(AVERAGEIF('Данные 1st'!$S$2:$S$317,$A75,'Данные 1st'!$KM$2:$KM$317),"")</f>
        <v>0</v>
      </c>
      <c r="FR75" s="7">
        <f>IFERROR(AVERAGEIF('Данные 1st'!$S$2:$S$317,$A75,'Данные 1st'!$KN$2:$KN$317),"")</f>
        <v>0</v>
      </c>
      <c r="FS75" s="7">
        <f>IFERROR(AVERAGEIF('Данные 1st'!$S$2:$S$317,$A75,'Данные 1st'!$KR$2:$KR$317),"")</f>
        <v>30</v>
      </c>
      <c r="FT75" s="7">
        <f>IFERROR(AVERAGEIF('Данные 1st'!$S$2:$S$317,$A75,'Данные 1st'!$KS$2:$KS$317),"")</f>
        <v>60</v>
      </c>
      <c r="FU75" s="7">
        <f>IFERROR(AVERAGEIF('Данные 1st'!$S$2:$S$317,$A75,'Данные 1st'!$KT$2:$KT$317),"")</f>
        <v>0</v>
      </c>
      <c r="FV75" s="7">
        <f>IFERROR(AVERAGEIF('Данные 1st'!$S$2:$S$317,$A75,'Данные 1st'!$KV$2:$KV$317),"")</f>
        <v/>
      </c>
      <c r="FW75" s="7">
        <f>IFERROR(AVERAGEIF('Данные 1st'!$S$2:$S$317,$A75,'Данные 1st'!$KW$2:$KW$317),"")</f>
        <v/>
      </c>
      <c r="FX75" s="7">
        <f>IFERROR(AVERAGEIF('Данные 1st'!$S$2:$S$317,$A75,'Данные 1st'!$KX$2:$KX$317),"")</f>
        <v/>
      </c>
      <c r="FY75" s="7">
        <f>IFERROR(AVERAGEIF('Данные 1st'!$S$2:$S$317,$A75,'Данные 1st'!$KY$2:$KY$317),"")</f>
        <v/>
      </c>
      <c r="FZ75" s="7">
        <f>IFERROR(AVERAGEIF('Данные 1st'!$S$2:$S$317,$A75,'Данные 1st'!$KZ$2:$KZ$317),"")</f>
        <v/>
      </c>
      <c r="GA75" s="7">
        <f>IFERROR(AVERAGEIF('Данные 1st'!$S$2:$S$317,$A75,'Данные 1st'!$LA$2:$LA$317),"")</f>
        <v/>
      </c>
      <c r="GB75" s="7">
        <f>IFERROR(AVERAGEIF('Данные 1st'!$S$2:$S$317,$A75,'Данные 1st'!$LB$2:$LB$317),"")</f>
        <v/>
      </c>
      <c r="GC75" s="7">
        <f>IFERROR(AVERAGEIF('Данные 1st'!$S$2:$S$317,$A75,'Данные 1st'!$LC$2:$LC$317),"")</f>
        <v/>
      </c>
      <c r="GD75" s="7">
        <f>IFERROR(AVERAGEIF('Данные 1st'!$S$2:$S$317,$A75,'Данные 1st'!$LD$2:$LD$317),"")</f>
        <v/>
      </c>
      <c r="GE75" s="7">
        <f>IFERROR(AVERAGEIF('Данные 1st'!$S$2:$S$317,$A75,'Данные 1st'!$LE$2:$LE$317),"")</f>
        <v/>
      </c>
      <c r="GF75" s="7">
        <f>IFERROR(AVERAGEIF('Данные 1st'!$S$2:$S$317,$A75,'Данные 1st'!$LF$2:$LF$317),"")</f>
        <v/>
      </c>
      <c r="GG75" s="7">
        <f>IFERROR(AVERAGEIF('Данные 1st'!$S$2:$S$317,$A75,'Данные 1st'!$LG$2:$LG$317),"")</f>
        <v/>
      </c>
      <c r="GH75" s="7">
        <f>IFERROR(AVERAGEIF('Данные 1st'!$S$2:$S$317,$A75,'Данные 1st'!$LH$2:$LH$317),"")</f>
        <v/>
      </c>
      <c r="GI75" s="7">
        <f>IFERROR(AVERAGEIF('Данные 1st'!$S$2:$S$317,$A75,'Данные 1st'!$LI$2:$LI$317),"")</f>
        <v/>
      </c>
      <c r="GJ75" s="7">
        <f>IFERROR(AVERAGEIF('Данные 1st'!$S$2:$S$317,$A75,'Данные 1st'!$LJ$2:$LJ$317),"")</f>
        <v/>
      </c>
      <c r="GK75" s="7">
        <f>IFERROR(AVERAGEIF('Данные 1st'!$S$2:$S$317,$A75,'Данные 1st'!$LK$2:$LK$317),"")</f>
        <v>480</v>
      </c>
      <c r="GL75" s="7">
        <f>IFERROR(AVERAGEIF('Данные 1st'!$S$2:$S$317,$A75,'Данные 1st'!$LV$2:$LV$317),"")</f>
        <v/>
      </c>
      <c r="GM75" s="7">
        <f>IFERROR(AVERAGEIF('Данные 1st'!$S$2:$S$317,$A75,'Данные 1st'!$LW$2:$LW$317),"")</f>
        <v/>
      </c>
      <c r="GN75" s="7">
        <f>IFERROR(AVERAGEIF('Данные 1st'!$S$2:$S$317,$A75,'Данные 1st'!$LX$2:$LX$317),"")</f>
        <v/>
      </c>
      <c r="GO75" s="7">
        <f>IFERROR(AVERAGEIF('Данные 1st'!$S$2:$S$317,$A75,'Данные 1st'!$LY$2:$LY$317),"")</f>
        <v/>
      </c>
      <c r="GP75" s="7">
        <f>IFERROR(AVERAGEIF('Данные 1st'!$S$2:$S$317,$A75,'Данные 1st'!$LZ$2:$LZ$317),"")</f>
        <v/>
      </c>
      <c r="GQ75" s="7">
        <f>IFERROR(AVERAGEIF('Данные 1st'!$S$2:$S$317,$A75,'Данные 1st'!$PG$2:$PG$317),"")</f>
        <v>1</v>
      </c>
      <c r="GR75" s="7">
        <f>IFERROR(AVERAGEIF('Данные 1st'!$S$2:$S$317,$A75,'Данные 1st'!$PX$2:$PX$317),"")</f>
        <v>56</v>
      </c>
      <c r="GS75" s="7">
        <f>IFERROR(AVERAGEIF('Данные 1st'!$S$2:$S$317,$A75,'Данные 1st'!$PY$2:$PY$317),"")</f>
        <v>56.5</v>
      </c>
      <c r="GT75" s="7">
        <f>IFERROR(AVERAGEIF('Данные 1st'!$S$2:$S$317,$A75,'Данные 1st'!$QA$2:$QA$317),"")</f>
        <v>1.5</v>
      </c>
      <c r="GU75" s="7">
        <f>IFERROR(AVERAGEIF('Данные 1st'!$S$2:$S$317,$A75,'Данные 1st'!$QB$2:$QB$317),"")</f>
        <v>1537</v>
      </c>
      <c r="GV75" s="7">
        <f>IFERROR(AVERAGEIF('Данные 1st'!$S$2:$S$317,$A75,'Данные 1st'!$QC$2:$QC$317),"")</f>
        <v>69</v>
      </c>
      <c r="GW75" s="7">
        <f>IFERROR(AVERAGEIF('Данные 1st'!$S$2:$S$317,$A75,'Данные 1st'!$QD$2:$QD$317),"")</f>
        <v>69</v>
      </c>
      <c r="GX75" s="7">
        <f>IFERROR(AVERAGEIF('Данные 1st'!$S$2:$S$317,$A75,'Данные 1st'!$QF$2:$QF$317),"")</f>
        <v>1</v>
      </c>
      <c r="GY75" s="7">
        <f>IFERROR(AVERAGEIF('Данные 1st'!$S$2:$S$317,$A75,'Данные 1st'!$QG$2:$QG$317),"")</f>
        <v>1554</v>
      </c>
      <c r="GZ75" s="7">
        <f>IFERROR(AVERAGEIF('Данные 1st'!$S$2:$S$317,$A75,'Данные 1st'!$QH$2:$QH$317),"")</f>
        <v>66</v>
      </c>
      <c r="HA75" s="7">
        <f>IFERROR(AVERAGEIF('Данные 1st'!$S$2:$S$317,$A75,'Данные 1st'!$QI$2:$QI$317),"")</f>
        <v>66</v>
      </c>
      <c r="HB75" s="7">
        <f>IFERROR(AVERAGEIF('Данные 1st'!$S$2:$S$317,$A75,'Данные 1st'!$QK$2:$QK$317),"")</f>
        <v>1</v>
      </c>
      <c r="HC75" s="7">
        <f>IFERROR(AVERAGEIF('Данные 1st'!$S$2:$S$317,$A75,'Данные 1st'!$QL$2:$QL$317),"")</f>
        <v>1554</v>
      </c>
      <c r="HD75" s="7">
        <f>IFERROR(AVERAGEIF('Данные 1st'!$S$2:$S$317,$A75,'Данные 1st'!$QM$2:$QM$317),"")</f>
        <v>62</v>
      </c>
      <c r="HE75" s="7">
        <f>IFERROR(AVERAGEIF('Данные 1st'!$S$2:$S$317,$A75,'Данные 1st'!$QN$2:$QN$317),"")</f>
        <v>62</v>
      </c>
      <c r="HF75" s="7">
        <f>IFERROR(AVERAGEIF('Данные 1st'!$S$2:$S$317,$A75,'Данные 1st'!$QP$2:$QP$317),"")</f>
        <v>1</v>
      </c>
      <c r="HG75" s="7">
        <f>IFERROR(AVERAGEIF('Данные 1st'!$S$2:$S$317,$A75,'Данные 1st'!$QQ$2:$QQ$317),"")</f>
        <v>1547</v>
      </c>
      <c r="HH75" s="7">
        <f>IFERROR(AVERAGEIF('Данные 1st'!$S$2:$S$317,$A75,'Данные 1st'!$QR$2:$QR$317),"")</f>
        <v>62.5</v>
      </c>
      <c r="HI75" s="7">
        <f>IFERROR(AVERAGEIF('Данные 1st'!$S$2:$S$317,$A75,'Данные 1st'!$QS$2:$QS$317),"")</f>
        <v>62.5</v>
      </c>
      <c r="HJ75" s="7">
        <f>IFERROR(AVERAGEIF('Данные 1st'!$S$2:$S$317,$A75,'Данные 1st'!$QU$2:$QU$317),"")</f>
        <v>1</v>
      </c>
      <c r="HK75" s="7">
        <f>IFERROR(AVERAGEIF('Данные 1st'!$S$2:$S$317,$A75,'Данные 1st'!$QV$2:$QV$317),"")</f>
        <v>1552</v>
      </c>
      <c r="HL75" s="7">
        <f>IFERROR(AVERAGEIF('Данные 1st'!$S$2:$S$317,$A75,'Данные 1st'!$QW$2:$QW$317),"")</f>
        <v>82</v>
      </c>
      <c r="HM75" s="7">
        <f>IFERROR(AVERAGEIF('Данные 1st'!$S$2:$S$317,$A75,'Данные 1st'!$QX$2:$QX$317),"")</f>
        <v/>
      </c>
      <c r="HN75" s="7">
        <f>IFERROR(AVERAGEIF('Данные 1st'!$S$2:$S$317,$A75,'Данные 1st'!$QZ$2:$QZ$317),"")</f>
        <v>3</v>
      </c>
      <c r="HO75" s="7">
        <f>IFERROR(AVERAGEIF('Данные 1st'!$S$2:$S$317,$A75,'Данные 1st'!$RA$2:$RA$317),"")</f>
        <v>66</v>
      </c>
      <c r="HP75" s="7">
        <f>IFERROR(AVERAGEIF('Данные 1st'!$S$2:$S$317,$A75,'Данные 1st'!$RB$2:$RB$317),"")</f>
        <v>66</v>
      </c>
      <c r="HQ75" s="7">
        <f>IFERROR(AVERAGEIF('Данные 1st'!$S$2:$S$317,$A75,'Данные 1st'!$RD$2:$RD$317),"")</f>
        <v/>
      </c>
      <c r="HR75" s="7">
        <f>IFERROR(AVERAGEIF('Данные 1st'!$S$2:$S$317,$A75,'Данные 1st'!$RE$2:$RE$317),"")</f>
        <v>0</v>
      </c>
      <c r="HS75" s="7">
        <f>IFERROR(AVERAGEIF('Данные 1st'!$S$2:$S$317,$A75,'Данные 1st'!$RF$2:$RF$317),"")</f>
        <v>1</v>
      </c>
      <c r="HT75" s="7">
        <f>IFERROR(AVERAGEIF('Данные 1st'!$S$2:$S$317,$A75,'Данные 1st'!$RG$2:$RG$317),"")</f>
        <v/>
      </c>
      <c r="HU75" s="7">
        <f>IFERROR(AVERAGEIF('Данные 1st'!$S$2:$S$317,$A75,'Данные 1st'!$RH$2:$RH$317),"")</f>
        <v>1</v>
      </c>
      <c r="HV75" s="7">
        <f>IFERROR(AVERAGEIF('Данные 1st'!$S$2:$S$317,$A75,'Данные 1st'!$RI$2:$RI$317),"")</f>
        <v>1</v>
      </c>
      <c r="HW75" s="7">
        <f>IFERROR(AVERAGEIF('Данные 1st'!$S$2:$S$317,$A75,'Данные 1st'!$RJ$2:$RJ$317),"")</f>
        <v>1</v>
      </c>
      <c r="HX75" s="7">
        <f>IFERROR(AVERAGEIF('Данные 1st'!$S$2:$S$317,$A75,'Данные 1st'!$RK$2:$RK$317),"")</f>
        <v>2</v>
      </c>
      <c r="HY75" s="7">
        <f>IFERROR(AVERAGEIF('Данные 1st'!$S$2:$S$317,$A75,'Данные 1st'!$RL$2:$RL$317),"")</f>
        <v>4</v>
      </c>
      <c r="HZ75" s="7">
        <f>IFERROR(AVERAGEIF('Данные 1st'!$S$2:$S$317,$A75,'Данные 1st'!$RM$2:$RM$317),"")</f>
        <v>4</v>
      </c>
      <c r="IA75" s="7">
        <f>IFERROR(AVERAGEIF('Данные 1st'!$S$2:$S$317,$A75,'Данные 1st'!$RN$2:$RN$317),"")</f>
        <v/>
      </c>
      <c r="IB75" s="7">
        <f>IFERROR(AVERAGEIF('Данные 1st'!$S$2:$S$317,$A75,'Данные 1st'!$RO$2:$RO$317),"")</f>
        <v>609</v>
      </c>
      <c r="IC75" s="7">
        <f>IFERROR(AVERAGEIF('Данные 1st'!$S$2:$S$317,$A75,'Данные 1st'!$RP$2:$RP$317),"")</f>
        <v>105</v>
      </c>
      <c r="ID75" s="7">
        <f>IFERROR(AVERAGEIF('Данные 1st'!$S$2:$S$317,$A75,'Данные 1st'!$RQ$2:$RQ$317),"")</f>
        <v>738</v>
      </c>
      <c r="IE75" s="7">
        <f>IFERROR(AVERAGEIF('Данные 1st'!$S$2:$S$317,$A75,'Данные 1st'!$RR$2:$RR$317),"")</f>
        <v>600.5</v>
      </c>
      <c r="IF75" s="7">
        <f>IFERROR(AVERAGEIF('Данные 1st'!$S$2:$S$317,$A75,'Данные 1st'!$RS$2:$RS$317),"")</f>
        <v/>
      </c>
      <c r="IG75" s="7">
        <f>IFERROR(AVERAGEIF('Данные 1st'!$S$2:$S$317,$A75,'Данные 1st'!$RT$2:$RT$317),"")</f>
        <v>382.5</v>
      </c>
      <c r="IH75" s="7">
        <f>IFERROR(AVERAGEIF('Данные 1st'!$S$2:$S$317,$A75,'Данные 1st'!$RU$2:$RU$317),"")</f>
        <v>216.5</v>
      </c>
      <c r="II75" s="7">
        <f>IFERROR(AVERAGEIF('Данные 1st'!$S$2:$S$317,$A75,'Данные 1st'!$RX$2:$RX$317),"")</f>
        <v>15</v>
      </c>
      <c r="IJ75" s="7">
        <f>IFERROR(AVERAGEIF('Данные 1st'!$S$2:$S$317,$A75,'Данные 1st'!$RY$2:$RY$317),"")</f>
        <v>4</v>
      </c>
      <c r="IK75" s="7">
        <f>IFERROR(AVERAGEIF('Данные 1st'!$S$2:$S$317,$A75,'Данные 1st'!$SA$2:$SA$317),"")</f>
        <v>15</v>
      </c>
      <c r="IL75" s="7">
        <f>IFERROR(AVERAGEIF('Данные 1st'!$S$2:$S$317,$A75,'Данные 1st'!$SD$2:$SD$317),"")</f>
        <v>1</v>
      </c>
      <c r="IM75" s="7">
        <f>IFERROR(AVERAGEIF('Данные 1st'!$S$2:$S$317,$A75,'Данные 1st'!$SG$2:$SG$317),"")</f>
        <v>1</v>
      </c>
      <c r="IN75" s="7">
        <f>IFERROR(AVERAGEIF('Данные 1st'!$S$2:$S$317,$A75,'Данные 1st'!$SH$2:$SH$317),"")</f>
        <v>0.995</v>
      </c>
      <c r="IO75" s="7">
        <f>IFERROR(AVERAGEIF('Данные 1st'!$S$2:$S$317,$A75,'Данные 1st'!$SI$2:$SI$317),"")</f>
        <v>0.995</v>
      </c>
      <c r="IP75" s="7">
        <f>IFERROR(AVERAGEIF('Данные 1st'!$S$2:$S$317,$A75,'Данные 1st'!$SJ$2:$SJ$317),"")</f>
        <v>0.995</v>
      </c>
      <c r="IQ75" s="7">
        <f>IFERROR(AVERAGEIF('Данные 1st'!$S$2:$S$317,$A75,'Данные 1st'!$SK$2:$SK$317),"")</f>
        <v>15</v>
      </c>
      <c r="IR75" s="7">
        <f>IFERROR(AVERAGEIF('Данные 1st'!$S$2:$S$317,$A75,'Данные 1st'!$SL$2:$SL$317),"")</f>
        <v>0</v>
      </c>
      <c r="IS75" s="7">
        <f>IFERROR(AVERAGEIF('Данные 1st'!$S$2:$S$317,$A75,'Данные 1st'!$SM$2:$SM$317),"")</f>
        <v>0</v>
      </c>
      <c r="IT75" s="7">
        <f>IFERROR(AVERAGEIF('Данные 1st'!$S$2:$S$317,$A75,'Данные 1st'!$SN$2:$SN$317),"")</f>
        <v>0</v>
      </c>
      <c r="IU75" s="7">
        <f>IFERROR(AVERAGEIF('Данные 1st'!$S$2:$S$317,$A75,'Данные 1st'!$SO$2:$SO$317),"")</f>
        <v>0</v>
      </c>
      <c r="IV75" s="7">
        <f>IFERROR(AVERAGEIF('Данные 1st'!$S$2:$S$317,$A75,'Данные 1st'!$SP$2:$SP$317),"")</f>
        <v>0</v>
      </c>
      <c r="IW75" s="7">
        <f>IFERROR(AVERAGEIF('Данные 1st'!$S$2:$S$317,$A75,'Данные 1st'!$SQ$2:$SQ$317),"")</f>
        <v>0</v>
      </c>
      <c r="IX75" s="7">
        <f>IFERROR(AVERAGEIF('Данные 1st'!$S$2:$S$317,$A75,'Данные 1st'!$SR$2:$SR$317),"")</f>
        <v>0</v>
      </c>
      <c r="IY75" s="7">
        <f>IFERROR(AVERAGEIF('Данные 1st'!$S$2:$S$317,$A75,'Данные 1st'!$SS$2:$SS$317),"")</f>
        <v>0</v>
      </c>
      <c r="IZ75" s="7">
        <f>IFERROR(AVERAGEIF('Данные 1st'!$S$2:$S$317,$A75,'Данные 1st'!$ST$2:$ST$317),"")</f>
        <v>0</v>
      </c>
      <c r="JA75" s="7">
        <f>IFERROR(AVERAGEIF('Данные 1st'!$S$2:$S$317,$A75,'Данные 1st'!$SU$2:$SU$317),"")</f>
        <v>0</v>
      </c>
      <c r="JB75" s="7">
        <f>IFERROR(AVERAGEIF('Данные 1st'!$S$2:$S$317,$A75,'Данные 1st'!$SV$2:$SV$317),"")</f>
        <v>0</v>
      </c>
      <c r="JC75" s="7">
        <f>IFERROR(AVERAGEIF('Данные 1st'!$S$2:$S$317,$A75,'Данные 1st'!$SW$2:$SW$317),"")</f>
        <v>0</v>
      </c>
      <c r="JD75" s="7">
        <f>IFERROR(AVERAGEIF('Данные 1st'!$S$2:$S$317,$A75,'Данные 1st'!$SX$2:$SX$317),"")</f>
        <v>0</v>
      </c>
      <c r="JE75" s="7">
        <f>IFERROR(AVERAGEIF('Данные 1st'!$S$2:$S$317,$A75,'Данные 1st'!$SY$2:$SY$317),"")</f>
        <v>1</v>
      </c>
      <c r="JF75" s="7">
        <f>IFERROR(AVERAGEIF('Данные 1st'!$S$2:$S$317,$A75,'Данные 1st'!$SZ$2:$SZ$317),"")</f>
        <v>1</v>
      </c>
      <c r="JG75" s="7">
        <f>IFERROR(AVERAGEIF('Данные 1st'!$S$2:$S$317,$A75,'Данные 1st'!$TA$2:$TA$317),"")</f>
        <v/>
      </c>
      <c r="JH75" s="7">
        <f>IFERROR(AVERAGEIF('Данные 1st'!$S$2:$S$317,$A75,'Данные 1st'!$TB$2:$TB$317),"")</f>
        <v>0</v>
      </c>
      <c r="JI75" s="7">
        <f>IFERROR(AVERAGEIF('Данные 1st'!$S$2:$S$317,$A75,'Данные 1st'!$TC$2:$TC$317),"")</f>
        <v>0</v>
      </c>
      <c r="JJ75" s="7">
        <f>IFERROR(AVERAGEIF('Данные 1st'!$S$2:$S$317,$A75,'Данные 1st'!$TD$2:$TD$317),"")</f>
        <v>7.5</v>
      </c>
      <c r="JK75" s="7">
        <f>IFERROR(AVERAGEIF('Данные 1st'!$S$2:$S$317,$A75,'Данные 1st'!$TN$2:$TN$317),"")</f>
        <v>0</v>
      </c>
      <c r="JL75">
        <f>COUNTIF('Данные 2st'!$Q$2:$Q$317,$A75)</f>
        <v>2</v>
      </c>
      <c r="JM75" s="6" t="s">
        <v>5120</v>
      </c>
      <c r="JN75" s="6" t="s">
        <v>513</v>
      </c>
      <c r="JO75" s="6" t="s">
        <v>517</v>
      </c>
      <c r="JP75" s="6" t="s">
        <v>5520</v>
      </c>
      <c r="JQ75" s="7">
        <f>IFERROR(AVERAGEIF('Данные 2st'!$Q$2:$Q$317,$A75,'Данные 2st'!$AC$2:$AC$317),"")</f>
        <v>11</v>
      </c>
      <c r="JR75" s="7">
        <f>IFERROR(AVERAGEIF('Данные 2st'!$Q$2:$Q$317,$A75,'Данные 2st'!$AF$2:$AF$317),"")</f>
        <v>6588</v>
      </c>
      <c r="JS75" s="7">
        <f>IFERROR(AVERAGEIF('Данные 2st'!$Q$2:$Q$317,$A75,'Данные 2st'!$AW$2:$AW$317),"")</f>
        <v>6.4</v>
      </c>
      <c r="JT75" s="7">
        <f>IFERROR(AVERAGEIF('Данные 2st'!$Q$2:$Q$317,$A75,'Данные 2st'!$AX$2:$AX$317),"")</f>
        <v>-6</v>
      </c>
      <c r="JU75" s="7">
        <f>IFERROR(AVERAGEIF('Данные 2st'!$Q$2:$Q$317,$A75,'Данные 2st'!$AY$2:$AY$317),"")</f>
        <v>119.25</v>
      </c>
      <c r="JV75" s="7">
        <f>IFERROR(AVERAGEIF('Данные 2st'!$Q$2:$Q$317,$A75,'Данные 2st'!$AZ$2:$AZ$317),"")</f>
        <v>99.5</v>
      </c>
      <c r="JW75" s="7">
        <f>IFERROR(AVERAGEIF('Данные 2st'!$Q$2:$Q$317,$A75,'Данные 2st'!$BA$2:$BA$317),"")</f>
        <v/>
      </c>
      <c r="JX75" s="7">
        <f>IFERROR(AVERAGEIF('Данные 2st'!$Q$2:$Q$317,$A75,'Данные 2st'!$BB$2:$BB$317),"")</f>
        <v/>
      </c>
      <c r="JY75" s="7">
        <f>IFERROR(AVERAGEIF('Данные 2st'!$Q$2:$Q$317,$A75,'Данные 2st'!$BC$2:$BC$317),"")</f>
        <v/>
      </c>
      <c r="JZ75" s="7">
        <f>IFERROR(AVERAGEIF('Данные 2st'!$Q$2:$Q$317,$A75,'Данные 2st'!$BH$2:$BH$317),"")</f>
        <v>119.25</v>
      </c>
      <c r="KA75" s="7">
        <f>IFERROR(AVERAGEIF('Данные 2st'!$Q$2:$Q$317,$A75,'Данные 2st'!$BI$2:$BI$317),"")</f>
        <v>19.75</v>
      </c>
      <c r="KB75" s="7">
        <f>IFERROR(AVERAGEIF('Данные 2st'!$Q$2:$Q$317,$A75,'Данные 2st'!$BJ$2:$BJ$317),"")</f>
        <v>99.5</v>
      </c>
      <c r="KC75" s="7">
        <f>IFERROR(AVERAGEIF('Данные 2st'!$Q$2:$Q$317,$A75,'Данные 2st'!$BK$2:$BK$317),"")</f>
        <v>3.0</v>
      </c>
      <c r="KD75" s="7">
        <f>IFERROR(AVERAGEIF('Данные 2st'!$Q$2:$Q$317,$A75,'Данные 2st'!$BL$2:$BL$317),"")</f>
        <v>238.5</v>
      </c>
      <c r="KE75" s="7">
        <f>IFERROR(AVERAGEIF('Данные 2st'!$Q$2:$Q$317,$A75,'Данные 2st'!$BM$2:$BM$317),"")</f>
        <v>-6</v>
      </c>
      <c r="KF75" s="7">
        <f>IFERROR(AVERAGEIF('Данные 2st'!$Q$2:$Q$317,$A75,'Данные 2st'!$BN$2:$BN$317),"")</f>
        <v>0</v>
      </c>
      <c r="KG75" s="7">
        <f>IFERROR(AVERAGEIF('Данные 2st'!$Q$2:$Q$317,$A75,'Данные 2st'!$BO$2:$BO$317),"")</f>
        <v>0</v>
      </c>
      <c r="KH75" s="7">
        <f>IFERROR(AVERAGEIF('Данные 2st'!$Q$2:$Q$317,$A75,'Данные 2st'!$BP$2:$BP$317),"")</f>
        <v>0</v>
      </c>
      <c r="KI75" s="7">
        <f>IFERROR(AVERAGEIF('Данные 2st'!$Q$2:$Q$317,$A75,'Данные 2st'!$BR$2:$BR$317),"")</f>
        <v>232.5</v>
      </c>
      <c r="KJ75" s="7">
        <f>IFERROR(AVERAGEIF('Данные 2st'!$Q$2:$Q$317,$A75,'Данные 2st'!$BS$2:$BS$317),"")</f>
        <v>222.5</v>
      </c>
      <c r="KK75" s="7">
        <f>IFERROR(AVERAGEIF('Данные 2st'!$Q$2:$Q$317,$A75,'Данные 2st'!$BT$2:$BT$317),"")</f>
        <v>2257.5</v>
      </c>
      <c r="KL75" s="7">
        <f>IFERROR(AVERAGEIF('Данные 2st'!$Q$2:$Q$317,$A75,'Данные 2st'!$CV$2:$CV$317),"")</f>
        <v>145</v>
      </c>
      <c r="KM75" s="7">
        <f>IFERROR(AVERAGEIF('Данные 2st'!$Q$2:$Q$317,$A75,'Данные 2st'!$CW$2:$CW$317),"")</f>
        <v>3</v>
      </c>
      <c r="KN75" s="7">
        <f>IFERROR(AVERAGEIF('Данные 2st'!$Q$2:$Q$317,$A75,'Данные 2st'!$CX$2:$CX$317),"")</f>
        <v>112.5</v>
      </c>
      <c r="KO75" s="7">
        <f>IFERROR(AVERAGEIF('Данные 2st'!$Q$2:$Q$317,$A75,'Данные 2st'!$CY$2:$CY$317),"")</f>
        <v>5</v>
      </c>
      <c r="KP75" s="7">
        <f>IFERROR(AVERAGEIF('Данные 2st'!$Q$2:$Q$317,$A75,'Данные 2st'!$CZ$2:$CZ$317),"")</f>
        <v>163.5</v>
      </c>
      <c r="KQ75" s="7">
        <f>IFERROR(AVERAGEIF('Данные 2st'!$Q$2:$Q$317,$A75,'Данные 2st'!$DA$2:$DA$317),"")</f>
        <v>5</v>
      </c>
      <c r="KR75" s="7">
        <f>IFERROR(AVERAGEIF('Данные 2st'!$Q$2:$Q$317,$A75,'Данные 2st'!$DB$2:$DB$317),"")</f>
        <v>16260</v>
      </c>
      <c r="KS75" s="7">
        <f>IFERROR(AVERAGEIF('Данные 2st'!$Q$2:$Q$317,$A75,'Данные 2st'!$DC$2:$DC$317),"")</f>
        <v>485</v>
      </c>
      <c r="KT75" s="7">
        <f>IFERROR(AVERAGEIF('Данные 2st'!$Q$2:$Q$317,$A75,'Данные 2st'!$DD$2:$DD$317),"")</f>
        <v>376</v>
      </c>
      <c r="KU75" s="7">
        <f>IFERROR(AVERAGEIF('Данные 2st'!$Q$2:$Q$317,$A75,'Данные 2st'!$DE$2:$DE$317),"")</f>
        <v>2388.5</v>
      </c>
      <c r="KV75" s="7">
        <f>IFERROR(AVERAGEIF('Данные 2st'!$Q$2:$Q$317,$A75,'Данные 2st'!$DF$2:$DF$317),"")</f>
        <v>2388.5</v>
      </c>
      <c r="KW75" s="7">
        <f>IFERROR(AVERAGEIF('Данные 2st'!$Q$2:$Q$317,$A75,'Данные 2st'!$DG$2:$DG$317),"")</f>
        <v>2406</v>
      </c>
      <c r="KX75" s="7">
        <f>IFERROR(AVERAGEIF('Данные 2st'!$Q$2:$Q$317,$A75,'Данные 2st'!$DH$2:$DH$317),"")</f>
        <v>1</v>
      </c>
      <c r="KY75" s="7">
        <f>IFERROR(AVERAGEIF('Данные 2st'!$Q$2:$Q$317,$A75,'Данные 2st'!$DI$2:$DI$317),"")</f>
        <v/>
      </c>
      <c r="KZ75" s="7">
        <f>IFERROR(AVERAGEIF('Данные 2st'!$Q$2:$Q$317,$A75,'Данные 2st'!$DK$2:$DK$317),"")</f>
        <v>232.5</v>
      </c>
      <c r="LA75" s="7">
        <f>IFERROR(AVERAGEIF('Данные 2st'!$Q$2:$Q$317,$A75,'Данные 2st'!$DM$2:$DM$317),"")</f>
        <v>64</v>
      </c>
      <c r="LB75" s="7">
        <f>IFERROR(AVERAGEIF('Данные 2st'!$Q$2:$Q$317,$A75,'Данные 2st'!$DN$2:$DN$317),"")</f>
        <v>1.31</v>
      </c>
      <c r="LC75" s="7">
        <f>IFERROR(AVERAGEIF('Данные 2st'!$Q$2:$Q$317,$A75,'Данные 2st'!$DO$2:$DO$317),"")</f>
        <v>1</v>
      </c>
      <c r="LD75" s="7">
        <f>IFERROR(AVERAGEIF('Данные 2st'!$Q$2:$Q$317,$A75,'Данные 2st'!$DP$2:$DP$317),"")</f>
        <v>2261.5</v>
      </c>
      <c r="LE75" s="7">
        <f>IFERROR(AVERAGEIF('Данные 2st'!$Q$2:$Q$317,$A75,'Данные 2st'!$DQ$2:$DQ$317),"")</f>
        <v>1297</v>
      </c>
      <c r="LF75" s="7">
        <f>IFERROR(AVERAGEIF('Данные 2st'!$Q$2:$Q$317,$A75,'Данные 2st'!$DS$2:$DS$317),"")</f>
        <v>222.5</v>
      </c>
      <c r="LG75" s="7">
        <f>IFERROR(AVERAGEIF('Данные 2st'!$Q$2:$Q$317,$A75,'Данные 2st'!$DU$2:$DU$317),"")</f>
        <v>64</v>
      </c>
      <c r="LH75" s="7">
        <f>IFERROR(AVERAGEIF('Данные 2st'!$Q$2:$Q$317,$A75,'Данные 2st'!$DV$2:$DV$317),"")</f>
        <v>1.31</v>
      </c>
      <c r="LI75" s="7">
        <f>IFERROR(AVERAGEIF('Данные 2st'!$Q$2:$Q$317,$A75,'Данные 2st'!$DW$2:$DW$317),"")</f>
        <v>1</v>
      </c>
      <c r="LJ75" s="7">
        <f>IFERROR(AVERAGEIF('Данные 2st'!$Q$2:$Q$317,$A75,'Данные 2st'!$DX$2:$DX$317),"")</f>
        <v>2275</v>
      </c>
      <c r="LK75" s="7">
        <f>IFERROR(AVERAGEIF('Данные 2st'!$Q$2:$Q$317,$A75,'Данные 2st'!$DY$2:$DY$317),"")</f>
        <v>1249</v>
      </c>
      <c r="LL75" s="7">
        <f>IFERROR(AVERAGEIF('Данные 2st'!$Q$2:$Q$317,$A75,'Данные 2st'!$EA$2:$EA$317),"")</f>
        <v>20</v>
      </c>
      <c r="LM75" s="7">
        <f>IFERROR(AVERAGEIF('Данные 2st'!$Q$2:$Q$317,$A75,'Данные 2st'!$EC$2:$EC$317),"")</f>
        <v>0.8</v>
      </c>
      <c r="LN75" s="7">
        <f>IFERROR(AVERAGEIF('Данные 2st'!$Q$2:$Q$317,$A75,'Данные 2st'!$ED$2:$ED$317),"")</f>
        <v>2261.5</v>
      </c>
      <c r="LO75" s="7">
        <f>IFERROR(AVERAGEIF('Данные 2st'!$Q$2:$Q$317,$A75,'Данные 2st'!$EE$2:$EE$317),"")</f>
        <v>79</v>
      </c>
      <c r="LP75" s="7">
        <f>IFERROR(AVERAGEIF('Данные 2st'!$Q$2:$Q$317,$A75,'Данные 2st'!$EG$2:$EG$317),"")</f>
        <v>0</v>
      </c>
      <c r="LQ75" s="7">
        <f>IFERROR(AVERAGEIF('Данные 2st'!$Q$2:$Q$317,$A75,'Данные 2st'!$EI$2:$EI$317),"")</f>
        <v>0</v>
      </c>
      <c r="LR75" s="7">
        <f>IFERROR(AVERAGEIF('Данные 2st'!$Q$2:$Q$317,$A75,'Данные 2st'!$EJ$2:$EJ$317),"")</f>
        <v/>
      </c>
      <c r="LS75" s="7">
        <f>IFERROR(AVERAGEIF('Данные 2st'!$Q$2:$Q$317,$A75,'Данные 2st'!$EK$2:$EK$317),"")</f>
        <v/>
      </c>
      <c r="LT75" s="7">
        <f>IFERROR(AVERAGEIF('Данные 2st'!$Q$2:$Q$317,$A75,'Данные 2st'!$EM$2:$EM$317),"")</f>
        <v>12</v>
      </c>
      <c r="LU75" s="7">
        <f>IFERROR(AVERAGEIF('Данные 2st'!$Q$2:$Q$317,$A75,'Данные 2st'!$EN$2:$EN$317),"")</f>
        <v>0.5</v>
      </c>
      <c r="LV75" s="7">
        <f>IFERROR(AVERAGEIF('Данные 2st'!$Q$2:$Q$317,$A75,'Данные 2st'!$EO$2:$EO$317),"")</f>
        <v>0.96</v>
      </c>
      <c r="LW75" s="7">
        <f>IFERROR(AVERAGEIF('Данные 2st'!$Q$2:$Q$317,$A75,'Данные 2st'!$EP$2:$EP$317),"")</f>
        <v>2273.9700000000003</v>
      </c>
      <c r="LX75" s="7">
        <f>IFERROR(AVERAGEIF('Данные 2st'!$Q$2:$Q$317,$A75,'Данные 2st'!$EQ$2:$EQ$317),"")</f>
        <v>44501.79</v>
      </c>
      <c r="LY75" s="7">
        <f>IFERROR(AVERAGEIF('Данные 2st'!$Q$2:$Q$317,$A75,'Данные 2st'!$ER$2:$ER$317),"")</f>
        <v>7039.084999999999</v>
      </c>
      <c r="LZ75" s="7">
        <f>IFERROR(AVERAGEIF('Данные 2st'!$Q$2:$Q$317,$A75,'Данные 2st'!$ES$2:$ES$317),"")</f>
        <v>0</v>
      </c>
      <c r="MA75" s="7">
        <f>IFERROR(AVERAGEIF('Данные 2st'!$Q$2:$Q$317,$A75,'Данные 2st'!$ET$2:$ET$317),"")</f>
        <v>0</v>
      </c>
      <c r="MB75" s="7">
        <f>IFERROR(AVERAGEIF('Данные 2st'!$Q$2:$Q$317,$A75,'Данные 2st'!$EU$2:$EU$317),"")</f>
        <v>1</v>
      </c>
      <c r="MC75" s="7">
        <f>IFERROR(AVERAGEIF('Данные 2st'!$Q$2:$Q$317,$A75,'Данные 2st'!$EV$2:$EV$317),"")</f>
        <v>51541.5</v>
      </c>
      <c r="MD75" s="7">
        <f>IFERROR(AVERAGEIF('Данные 2st'!$Q$2:$Q$317,$A75,'Данные 2st'!$EW$2:$EW$317),"")</f>
        <v>619</v>
      </c>
      <c r="ME75" s="7">
        <f>IFERROR(AVERAGEIF('Данные 2st'!$Q$2:$Q$317,$A75,'Данные 2st'!$EY$2:$EY$317),"")</f>
        <v>250</v>
      </c>
      <c r="MF75" s="7">
        <f>IFERROR(AVERAGEIF('Данные 2st'!$Q$2:$Q$317,$A75,'Данные 2st'!$FA$2:$FA$317),"")</f>
        <v>4.45</v>
      </c>
      <c r="MG75" s="7">
        <f>IFERROR(AVERAGEIF('Данные 2st'!$Q$2:$Q$317,$A75,'Данные 2st'!$FB$2:$FB$317),"")</f>
        <v>1</v>
      </c>
      <c r="MH75" s="7">
        <f>IFERROR(AVERAGEIF('Данные 2st'!$Q$2:$Q$317,$A75,'Данные 2st'!$FC$2:$FC$317),"")</f>
        <v>1</v>
      </c>
      <c r="MI75" s="7">
        <f>IFERROR(AVERAGEIF('Данные 2st'!$Q$2:$Q$317,$A75,'Данные 2st'!$FD$2:$FD$317),"")</f>
        <v>2308.5</v>
      </c>
      <c r="MJ75" s="7">
        <f>IFERROR(AVERAGEIF('Данные 2st'!$Q$2:$Q$317,$A75,'Данные 2st'!$FE$2:$FE$317),"")</f>
        <v>3151</v>
      </c>
      <c r="MK75" s="7">
        <f>IFERROR(AVERAGEIF('Данные 2st'!$Q$2:$Q$317,$A75,'Данные 2st'!$FG$2:$FG$317),"")</f>
        <v>250</v>
      </c>
      <c r="ML75" s="7">
        <f>IFERROR(AVERAGEIF('Данные 2st'!$Q$2:$Q$317,$A75,'Данные 2st'!$FI$2:$FI$317),"")</f>
        <v>4.05</v>
      </c>
      <c r="MM75" s="7">
        <f>IFERROR(AVERAGEIF('Данные 2st'!$Q$2:$Q$317,$A75,'Данные 2st'!$FJ$2:$FJ$317),"")</f>
        <v>2308.5</v>
      </c>
      <c r="MN75" s="7">
        <f>IFERROR(AVERAGEIF('Данные 2st'!$Q$2:$Q$317,$A75,'Данные 2st'!$FK$2:$FK$317),"")</f>
        <v>2735</v>
      </c>
      <c r="MO75" s="7">
        <f>IFERROR(AVERAGEIF('Данные 2st'!$Q$2:$Q$317,$A75,'Данные 2st'!$FP$2:$FP$317),"")</f>
        <v>2308.5</v>
      </c>
      <c r="MP75" s="7">
        <f>IFERROR(AVERAGEIF('Данные 2st'!$Q$2:$Q$317,$A75,'Данные 2st'!$FQ$2:$FQ$317),"")</f>
        <v>255</v>
      </c>
      <c r="MQ75" s="7">
        <f>IFERROR(AVERAGEIF('Данные 2st'!$Q$2:$Q$317,$A75,'Данные 2st'!$FS$2:$FS$317),"")</f>
        <v>254</v>
      </c>
      <c r="MR75" s="7">
        <f>IFERROR(AVERAGEIF('Данные 2st'!$Q$2:$Q$317,$A75,'Данные 2st'!$FU$2:$FU$317),"")</f>
        <v>0.4</v>
      </c>
      <c r="MS75" s="7">
        <f>IFERROR(AVERAGEIF('Данные 2st'!$Q$2:$Q$317,$A75,'Данные 2st'!$FV$2:$FV$317),"")</f>
        <v>2308.5</v>
      </c>
      <c r="MT75" s="7">
        <f>IFERROR(AVERAGEIF('Данные 2st'!$Q$2:$Q$317,$A75,'Данные 2st'!$FW$2:$FW$317),"")</f>
        <v>261</v>
      </c>
      <c r="MU75" s="7">
        <f>IFERROR(AVERAGEIF('Данные 2st'!$Q$2:$Q$317,$A75,'Данные 2st'!$FY$2:$FY$317),"")</f>
        <v>5</v>
      </c>
      <c r="MV75" s="7">
        <f>IFERROR(AVERAGEIF('Данные 2st'!$Q$2:$Q$317,$A75,'Данные 2st'!$GB$2:$GB$317),"")</f>
        <v>2308.5</v>
      </c>
      <c r="MW75" s="7">
        <f>IFERROR(AVERAGEIF('Данные 2st'!$Q$2:$Q$317,$A75,'Данные 2st'!$GC$2:$GC$317),"")</f>
        <v>24</v>
      </c>
      <c r="MX75" s="7">
        <f>IFERROR(AVERAGEIF('Данные 2st'!$Q$2:$Q$317,$A75,'Данные 2st'!$GD$2:$GD$317),"")</f>
        <v>6426</v>
      </c>
      <c r="MY75" s="7">
        <f>IFERROR(AVERAGEIF('Данные 2st'!$Q$2:$Q$317,$A75,'Данные 2st'!$GN$2:$GN$317),"")</f>
        <v/>
      </c>
      <c r="MZ75" s="7">
        <f>IFERROR(AVERAGEIF('Данные 2st'!$Q$2:$Q$317,$A75,'Данные 2st'!$GQ$2:$GQ$317),"")</f>
        <v>0</v>
      </c>
      <c r="NA75" s="7">
        <f>IFERROR(AVERAGEIF('Данные 2st'!$Q$2:$Q$317,$A75,'Данные 2st'!$GV$2:$GV$317),"")</f>
        <v>8.899999999999999</v>
      </c>
      <c r="NB75" s="7">
        <f>IFERROR(AVERAGEIF('Данные 2st'!$Q$2:$Q$317,$A75,'Данные 2st'!$GW$2:$GW$317),"")</f>
        <v>11.65</v>
      </c>
      <c r="NC75" s="7">
        <f>IFERROR(AVERAGEIF('Данные 2st'!$Q$2:$Q$317,$A75,'Данные 2st'!$GX$2:$GX$317),"")</f>
        <v>0.5</v>
      </c>
      <c r="ND75" s="7">
        <f>IFERROR(AVERAGEIF('Данные 2st'!$Q$2:$Q$317,$A75,'Данные 2st'!$GY$2:$GY$317),"")</f>
        <v>217</v>
      </c>
      <c r="NE75" s="7">
        <f>IFERROR(AVERAGEIF('Данные 2st'!$Q$2:$Q$317,$A75,'Данные 2st'!$GZ$2:$GZ$317),"")</f>
        <v>3</v>
      </c>
      <c r="NF75" s="7">
        <f>IFERROR(AVERAGEIF('Данные 2st'!$Q$2:$Q$317,$A75,'Данные 2st'!$HA$2:$HA$317),"")</f>
        <v>275</v>
      </c>
      <c r="NG75" s="7">
        <f>IFERROR(AVERAGEIF('Данные 2st'!$Q$2:$Q$317,$A75,'Данные 2st'!$HB$2:$HB$317),"")</f>
        <v>3</v>
      </c>
      <c r="NH75" s="7">
        <f>IFERROR(AVERAGEIF('Данные 2st'!$Q$2:$Q$317,$A75,'Данные 2st'!$HC$2:$HC$317),"")</f>
        <v>2308.5</v>
      </c>
      <c r="NI75" s="7">
        <f>IFERROR(AVERAGEIF('Данные 2st'!$Q$2:$Q$317,$A75,'Данные 2st'!$HD$2:$HD$317),"")</f>
        <v>4</v>
      </c>
      <c r="NJ75" s="7">
        <f>IFERROR(AVERAGEIF('Данные 2st'!$Q$2:$Q$317,$A75,'Данные 2st'!$HM$2:$HM$317),"")</f>
        <v>20</v>
      </c>
      <c r="NK75" s="7">
        <f>IFERROR(AVERAGEIF('Данные 2st'!$Q$2:$Q$317,$A75,'Данные 2st'!$HR$2:$HR$317),"")</f>
        <v>2</v>
      </c>
      <c r="NL75" s="7">
        <f>IFERROR(AVERAGEIF('Данные 2st'!$Q$2:$Q$317,$A75,'Данные 2st'!$HS$2:$HS$317),"")</f>
        <v>2257.5</v>
      </c>
      <c r="NM75" s="7">
        <f>IFERROR(AVERAGEIF('Данные 2st'!$Q$2:$Q$317,$A75,'Данные 2st'!$HT$2:$HT$317),"")</f>
        <v>5</v>
      </c>
      <c r="NN75" s="7">
        <f>IFERROR(AVERAGEIF('Данные 2st'!$Q$2:$Q$317,$A75,'Данные 2st'!$HY$2:$HY$317),"")</f>
        <v>0</v>
      </c>
      <c r="NO75" s="7">
        <f>IFERROR(AVERAGEIF('Данные 2st'!$Q$2:$Q$317,$A75,'Данные 2st'!$HZ$2:$HZ$317),"")</f>
        <v>64</v>
      </c>
      <c r="NP75" s="7">
        <f>IFERROR(AVERAGEIF('Данные 2st'!$Q$2:$Q$317,$A75,'Данные 2st'!$IA$2:$IA$317),"")</f>
        <v>2261.5</v>
      </c>
      <c r="NQ75" s="7">
        <f>IFERROR(AVERAGEIF('Данные 2st'!$Q$2:$Q$317,$A75,'Данные 2st'!$IB$2:$IB$317),"")</f>
        <v>2275</v>
      </c>
      <c r="NR75" s="7">
        <f>IFERROR(AVERAGEIF('Данные 2st'!$Q$2:$Q$317,$A75,'Данные 2st'!$IC$2:$IC$317),"")</f>
        <v/>
      </c>
      <c r="NS75" s="7">
        <f>IFERROR(AVERAGEIF('Данные 2st'!$Q$2:$Q$317,$A75,'Данные 2st'!$ID$2:$ID$317),"")</f>
        <v>2308.5</v>
      </c>
      <c r="NT75" s="7">
        <f>IFERROR(AVERAGEIF('Данные 2st'!$Q$2:$Q$317,$A75,'Данные 2st'!$IE$2:$IE$317),"")</f>
        <v>2308.5</v>
      </c>
      <c r="NU75" s="7">
        <f>IFERROR(AVERAGEIF('Данные 2st'!$Q$2:$Q$317,$A75,'Данные 2st'!$IF$2:$IF$317),"")</f>
        <v>232.5</v>
      </c>
      <c r="NV75" s="7">
        <f>IFERROR(AVERAGEIF('Данные 2st'!$Q$2:$Q$317,$A75,'Данные 2st'!$IG$2:$IG$317),"")</f>
        <v>222.5</v>
      </c>
      <c r="NW75" s="7">
        <f>IFERROR(AVERAGEIF('Данные 2st'!$Q$2:$Q$317,$A75,'Данные 2st'!$IH$2:$IH$317),"")</f>
        <v>275</v>
      </c>
      <c r="NX75" s="7">
        <f>IFERROR(AVERAGEIF('Данные 2st'!$Q$2:$Q$317,$A75,'Данные 2st'!$IJ$2:$IJ$317),"")</f>
        <v>5</v>
      </c>
      <c r="NY75" s="7">
        <f>IFERROR(AVERAGEIF('Данные 2st'!$Q$2:$Q$317,$A75,'Данные 2st'!$IM$2:$IM$317),"")</f>
        <v>0</v>
      </c>
      <c r="NZ75" s="7">
        <f>IFERROR(AVERAGEIF('Данные 2st'!$Q$2:$Q$317,$A75,'Данные 2st'!$IN$2:$IN$317),"")</f>
        <v>270</v>
      </c>
      <c r="OA75" s="7">
        <f>IFERROR(AVERAGEIF('Данные 2st'!$Q$2:$Q$317,$A75,'Данные 2st'!$IO$2:$IO$317),"")</f>
        <v>0</v>
      </c>
      <c r="OB75" s="7">
        <f>IFERROR(AVERAGEIF('Данные 2st'!$Q$2:$Q$317,$A75,'Данные 2st'!$IP$2:$IP$317),"")</f>
        <v>180</v>
      </c>
      <c r="OC75" s="7">
        <f>IFERROR(AVERAGEIF('Данные 2st'!$Q$2:$Q$317,$A75,'Данные 2st'!$IQ$2:$IQ$317),"")</f>
        <v>0</v>
      </c>
      <c r="OD75" s="7">
        <f>IFERROR(AVERAGEIF('Данные 2st'!$Q$2:$Q$317,$A75,'Данные 2st'!$IR$2:$IR$317),"")</f>
        <v>330</v>
      </c>
      <c r="OE75" s="7">
        <f>IFERROR(AVERAGEIF('Данные 2st'!$Q$2:$Q$317,$A75,'Данные 2st'!$IT$2:$IT$317),"")</f>
        <v>90</v>
      </c>
      <c r="OF75" s="7">
        <f>IFERROR(AVERAGEIF('Данные 2st'!$Q$2:$Q$317,$A75,'Данные 2st'!$IU$2:$IU$317),"")</f>
        <v>0</v>
      </c>
      <c r="OG75" s="7">
        <f>IFERROR(AVERAGEIF('Данные 2st'!$Q$2:$Q$317,$A75,'Данные 2st'!$IV$2:$IV$317),"")</f>
        <v>6.4</v>
      </c>
      <c r="OH75" s="7">
        <f>IFERROR(AVERAGEIF('Данные 2st'!$Q$2:$Q$317,$A75,'Данные 2st'!$IW$2:$IW$317),"")</f>
        <v>-6</v>
      </c>
      <c r="OI75" s="7">
        <f>IFERROR(AVERAGEIF('Данные 2st'!$Q$2:$Q$317,$A75,'Данные 2st'!$IX$2:$IX$317),"")</f>
        <v>119.25</v>
      </c>
      <c r="OJ75" s="7">
        <f>IFERROR(AVERAGEIF('Данные 2st'!$Q$2:$Q$317,$A75,'Данные 2st'!$IY$2:$IY$317),"")</f>
        <v>99.5</v>
      </c>
      <c r="OK75" s="7">
        <f>IFERROR(AVERAGEIF('Данные 2st'!$Q$2:$Q$317,$A75,'Данные 2st'!$IZ$2:$IZ$317),"")</f>
        <v>0</v>
      </c>
      <c r="OL75" s="7">
        <f>IFERROR(AVERAGEIF('Данные 2st'!$Q$2:$Q$317,$A75,'Данные 2st'!$JA$2:$JA$317),"")</f>
        <v>0</v>
      </c>
      <c r="OM75" s="7">
        <f>IFERROR(AVERAGEIF('Данные 2st'!$Q$2:$Q$317,$A75,'Данные 2st'!$JB$2:$JB$317),"")</f>
        <v>0</v>
      </c>
      <c r="ON75" s="7">
        <f>IFERROR(AVERAGEIF('Данные 2st'!$Q$2:$Q$317,$A75,'Данные 2st'!$JC$2:$JC$317),"")</f>
        <v>0</v>
      </c>
      <c r="OO75" s="7">
        <f>IFERROR(AVERAGEIF('Данные 2st'!$Q$2:$Q$317,$A75,'Данные 2st'!$JD$2:$JD$317),"")</f>
        <v>0</v>
      </c>
      <c r="OP75" s="7">
        <f>IFERROR(AVERAGEIF('Данные 2st'!$Q$2:$Q$317,$A75,'Данные 2st'!$JE$2:$JE$317),"")</f>
        <v>0</v>
      </c>
      <c r="OQ75" s="7">
        <f>IFERROR(AVERAGEIF('Данные 2st'!$Q$2:$Q$317,$A75,'Данные 2st'!$JF$2:$JF$317),"")</f>
        <v>0</v>
      </c>
      <c r="OR75" s="7">
        <f>IFERROR(AVERAGEIF('Данные 2st'!$Q$2:$Q$317,$A75,'Данные 2st'!$JG$2:$JG$317),"")</f>
        <v>0</v>
      </c>
      <c r="OS75" s="7">
        <f>IFERROR(AVERAGEIF('Данные 2st'!$Q$2:$Q$317,$A75,'Данные 2st'!$JH$2:$JH$317),"")</f>
        <v>0</v>
      </c>
      <c r="OT75" s="7">
        <f>IFERROR(AVERAGEIF('Данные 2st'!$Q$2:$Q$317,$A75,'Данные 2st'!$JI$2:$JI$317),"")</f>
        <v>435</v>
      </c>
      <c r="OU75" s="7">
        <f>IFERROR(AVERAGEIF('Данные 2st'!$Q$2:$Q$317,$A75,'Данные 2st'!$JJ$2:$JJ$317),"")</f>
        <v>405</v>
      </c>
      <c r="OV75" s="7">
        <f>IFERROR(AVERAGEIF('Данные 2st'!$Q$2:$Q$317,$A75,'Данные 2st'!$JK$2:$JK$317),"")</f>
        <v>297.5</v>
      </c>
      <c r="OW75" s="7">
        <f>IFERROR(AVERAGEIF('Данные 2st'!$Q$2:$Q$317,$A75,'Данные 2st'!$JL$2:$JL$317),"")</f>
        <v>403</v>
      </c>
      <c r="OX75" s="7">
        <f>IFERROR(AVERAGEIF('Данные 2st'!$Q$2:$Q$317,$A75,'Данные 2st'!$JM$2:$JM$317),"")</f>
        <v>312.5</v>
      </c>
      <c r="OY75" s="7">
        <f>IFERROR(AVERAGEIF('Данные 2st'!$Q$2:$Q$317,$A75,'Данные 2st'!$JP$2:$JP$317),"")</f>
        <v>197.5</v>
      </c>
      <c r="OZ75" s="7">
        <f>IFERROR(AVERAGEIF('Данные 2st'!$Q$2:$Q$317,$A75,'Данные 2st'!$JQ$2:$JQ$317),"")</f>
        <v>240</v>
      </c>
      <c r="PA75" s="7">
        <f>IFERROR(AVERAGEIF('Данные 2st'!$Q$2:$Q$317,$A75,'Данные 2st'!$JR$2:$JR$317),"")</f>
        <v>312</v>
      </c>
      <c r="PB75" s="7">
        <f>IFERROR(AVERAGEIF('Данные 2st'!$Q$2:$Q$317,$A75,'Данные 2st'!$JS$2:$JS$317),"")</f>
        <v>227</v>
      </c>
      <c r="PC75" s="7">
        <f>IFERROR(AVERAGEIF('Данные 2st'!$Q$2:$Q$317,$A75,'Данные 2st'!$JT$2:$JT$317),"")</f>
        <v>0</v>
      </c>
      <c r="PD75" s="7">
        <f>IFERROR(AVERAGEIF('Данные 2st'!$Q$2:$Q$317,$A75,'Данные 2st'!$JU$2:$JU$317),"")</f>
        <v>0</v>
      </c>
      <c r="PE75" s="7">
        <f>IFERROR(AVERAGEIF('Данные 2st'!$Q$2:$Q$317,$A75,'Данные 2st'!$JV$2:$JV$317),"")</f>
        <v>310</v>
      </c>
      <c r="PF75" s="7">
        <f>IFERROR(AVERAGEIF('Данные 2st'!$Q$2:$Q$317,$A75,'Данные 2st'!$JW$2:$JW$317),"")</f>
        <v>310</v>
      </c>
      <c r="PG75" s="7">
        <f>IFERROR(AVERAGEIF('Данные 2st'!$Q$2:$Q$317,$A75,'Данные 2st'!$KF$2:$KF$317),"")</f>
        <v>0.19</v>
      </c>
      <c r="PH75" s="7">
        <f>IFERROR(AVERAGEIF('Данные 2st'!$Q$2:$Q$317,$A75,'Данные 2st'!$KG$2:$KG$317),"")</f>
        <v>0.11</v>
      </c>
      <c r="PI75" s="7">
        <f>IFERROR(AVERAGEIF('Данные 2st'!$Q$2:$Q$317,$A75,'Данные 2st'!$KM$2:$KM$317),"")</f>
        <v>0.25</v>
      </c>
      <c r="PJ75" s="7">
        <f>IFERROR(AVERAGEIF('Данные 2st'!$Q$2:$Q$317,$A75,'Данные 2st'!$KN$2:$KN$317),"")</f>
        <v>2.3</v>
      </c>
      <c r="PK75" s="7">
        <f>IFERROR(AVERAGEIF('Данные 2st'!$Q$2:$Q$317,$A75,'Данные 2st'!$KO$2:$KO$317),"")</f>
        <v>0</v>
      </c>
      <c r="PL75" s="7">
        <f>IFERROR(AVERAGEIF('Данные 2st'!$Q$2:$Q$317,$A75,'Данные 2st'!$KP$2:$KP$317),"")</f>
        <v>0</v>
      </c>
      <c r="PM75" s="7">
        <f>IFERROR(AVERAGEIF('Данные 2st'!$Q$2:$Q$317,$A75,'Данные 2st'!$KQ$2:$KQ$317),"")</f>
        <v>0.65</v>
      </c>
      <c r="PN75" s="7">
        <f>IFERROR(AVERAGEIF('Данные 2st'!$Q$2:$Q$317,$A75,'Данные 2st'!$KR$2:$KR$317),"")</f>
        <v>1</v>
      </c>
      <c r="PO75" s="7">
        <f>IFERROR(AVERAGEIF('Данные 2st'!$Q$2:$Q$317,$A75,'Данные 2st'!$KS$2:$KS$317),"")</f>
        <v>0</v>
      </c>
      <c r="PP75" s="7">
        <f>IFERROR(AVERAGEIF('Данные 2st'!$Q$2:$Q$317,$A75,'Данные 2st'!$KT$2:$KT$317),"")</f>
        <v>2.75</v>
      </c>
      <c r="PQ75" s="7">
        <f>IFERROR(AVERAGEIF('Данные 2st'!$Q$2:$Q$317,$A75,'Данные 2st'!$KU$2:$KU$317),"")</f>
        <v>0</v>
      </c>
      <c r="PR75" s="7">
        <f>IFERROR(AVERAGEIF('Данные 2st'!$Q$2:$Q$317,$A75,'Данные 2st'!$KV$2:$KV$317),"")</f>
        <v>0</v>
      </c>
      <c r="PS75" s="7">
        <f>IFERROR(AVERAGEIF('Данные 2st'!$Q$2:$Q$317,$A75,'Данные 2st'!$KW$2:$KW$317),"")</f>
        <v>1.4</v>
      </c>
      <c r="PT75" s="7">
        <f>IFERROR(AVERAGEIF('Данные 2st'!$Q$2:$Q$317,$A75,'Данные 2st'!$KX$2:$KX$317),"")</f>
        <v>1.5</v>
      </c>
      <c r="PU75" s="7">
        <f>IFERROR(AVERAGEIF('Данные 2st'!$Q$2:$Q$317,$A75,'Данные 2st'!$KY$2:$KY$317),"")</f>
        <v>0.5</v>
      </c>
      <c r="PV75" s="7">
        <f>IFERROR(AVERAGEIF('Данные 2st'!$Q$2:$Q$317,$A75,'Данные 2st'!$KZ$2:$KZ$317),"")</f>
        <v>0</v>
      </c>
      <c r="PW75" s="7">
        <f>IFERROR(AVERAGEIF('Данные 2st'!$Q$2:$Q$317,$A75,'Данные 2st'!$LA$2:$LA$317),"")</f>
        <v>0</v>
      </c>
      <c r="PX75" s="7">
        <f>IFERROR(AVERAGEIF('Данные 2st'!$Q$2:$Q$317,$A75,'Данные 2st'!$LB$2:$LB$317),"")</f>
        <v>0</v>
      </c>
      <c r="PY75" s="7">
        <f>IFERROR(AVERAGEIF('Данные 2st'!$Q$2:$Q$317,$A75,'Данные 2st'!$LC$2:$LC$317),"")</f>
        <v>0</v>
      </c>
      <c r="PZ75" s="7">
        <f>IFERROR(AVERAGEIF('Данные 2st'!$Q$2:$Q$317,$A75,'Данные 2st'!$LD$2:$LD$317),"")</f>
        <v>0</v>
      </c>
      <c r="QA75" s="7">
        <f>IFERROR(AVERAGEIF('Данные 2st'!$Q$2:$Q$317,$A75,'Данные 2st'!$LE$2:$LE$317),"")</f>
        <v>0</v>
      </c>
      <c r="QB75" s="7">
        <f>IFERROR(AVERAGEIF('Данные 2st'!$Q$2:$Q$317,$A75,'Данные 2st'!$LF$2:$LF$317),"")</f>
        <v>0</v>
      </c>
      <c r="QC75" s="7">
        <f>IFERROR(AVERAGEIF('Данные 2st'!$Q$2:$Q$317,$A75,'Данные 2st'!$LG$2:$LG$317),"")</f>
        <v>0</v>
      </c>
      <c r="QD75" s="7">
        <f>IFERROR(AVERAGEIF('Данные 2st'!$Q$2:$Q$317,$A75,'Данные 2st'!$LH$2:$LH$317),"")</f>
        <v>3</v>
      </c>
      <c r="QE75" s="7">
        <f>IFERROR(AVERAGEIF('Данные 2st'!$Q$2:$Q$317,$A75,'Данные 2st'!$LJ$2:$LJ$317),"")</f>
        <v>0</v>
      </c>
      <c r="QF75" s="7">
        <f>IFERROR(AVERAGEIF('Данные 2st'!$Q$2:$Q$317,$A75,'Данные 2st'!$LK$2:$LK$317),"")</f>
        <v>8.25</v>
      </c>
      <c r="QG75" s="7">
        <f>IFERROR(AVERAGEIF('Данные 2st'!$Q$2:$Q$317,$A75,'Данные 2st'!$LL$2:$LL$317),"")</f>
        <v>6</v>
      </c>
      <c r="QH75" s="7">
        <f>IFERROR(AVERAGEIF('Данные 2st'!$Q$2:$Q$317,$A75,'Данные 2st'!$LM$2:$LM$317),"")</f>
        <v>10</v>
      </c>
      <c r="QI75" s="7">
        <f>IFERROR(AVERAGEIF('Данные 2st'!$Q$2:$Q$317,$A75,'Данные 2st'!$LN$2:$LN$317),"")</f>
        <v>1.55</v>
      </c>
      <c r="QJ75" s="7">
        <f>IFERROR(AVERAGEIF('Данные 2st'!$Q$2:$Q$317,$A75,'Данные 2st'!$LO$2:$LO$317),"")</f>
        <v>2</v>
      </c>
      <c r="QK75" s="7">
        <f>IFERROR(AVERAGEIF('Данные 2st'!$Q$2:$Q$317,$A75,'Данные 2st'!$LP$2:$LP$317),"")</f>
        <v>0</v>
      </c>
      <c r="QL75" s="7">
        <f>IFERROR(AVERAGEIF('Данные 2st'!$Q$2:$Q$317,$A75,'Данные 2st'!$LQ$2:$LQ$317),"")</f>
        <v>0</v>
      </c>
      <c r="QM75" s="7">
        <f>IFERROR(AVERAGEIF('Данные 2st'!$Q$2:$Q$317,$A75,'Данные 2st'!$LW$2:$LW$317),"")</f>
        <v>2.1</v>
      </c>
      <c r="QN75" s="7">
        <f>IFERROR(AVERAGEIF('Данные 2st'!$Q$2:$Q$317,$A75,'Данные 2st'!$LX$2:$LX$317),"")</f>
        <v>2.1</v>
      </c>
      <c r="QO75" s="7">
        <f>IFERROR(AVERAGEIF('Данные 2st'!$Q$2:$Q$317,$A75,'Данные 2st'!$LY$2:$LY$317),"")</f>
        <v>2.45</v>
      </c>
      <c r="QP75" s="7">
        <f>IFERROR(AVERAGEIF('Данные 2st'!$Q$2:$Q$317,$A75,'Данные 2st'!$LZ$2:$LZ$317),"")</f>
        <v>2.45</v>
      </c>
      <c r="QQ75" s="7">
        <f>IFERROR(AVERAGEIF('Данные 2st'!$Q$2:$Q$317,$A75,'Данные 2st'!$MB$2:$MB$317),"")</f>
        <v>8</v>
      </c>
      <c r="QR75" s="7">
        <f>IFERROR(AVERAGEIF('Данные 2st'!$Q$2:$Q$317,$A75,'Данные 2st'!$MG$2:$MG$317),"")</f>
        <v>0</v>
      </c>
      <c r="QS75" s="7">
        <f>IFERROR(AVERAGEIF('Данные 2st'!$Q$2:$Q$317,$A75,'Данные 2st'!$MH$2:$MH$317),"")</f>
        <v>0</v>
      </c>
      <c r="QT75" s="7">
        <f>IFERROR(AVERAGEIF('Данные 2st'!$Q$2:$Q$317,$A75,'Данные 2st'!$MI$2:$MI$317),"")</f>
        <v>0</v>
      </c>
      <c r="QU75" s="7">
        <f>IFERROR(AVERAGEIF('Данные 2st'!$Q$2:$Q$317,$A75,'Данные 2st'!$MJ$2:$MJ$317),"")</f>
        <v>0</v>
      </c>
      <c r="QV75" s="7">
        <f>IFERROR(AVERAGEIF('Данные 2st'!$Q$2:$Q$317,$A75,'Данные 2st'!$MK$2:$MK$317),"")</f>
        <v>0</v>
      </c>
      <c r="QW75" s="7">
        <f>IFERROR(AVERAGEIF('Данные 2st'!$Q$2:$Q$317,$A75,'Данные 2st'!$MM$2:$MM$317),"")</f>
        <v>436</v>
      </c>
      <c r="QX75" s="7">
        <f>IFERROR(AVERAGEIF('Данные 2st'!$Q$2:$Q$317,$A75,'Данные 2st'!$MQ$2:$MQ$317),"")</f>
        <v/>
      </c>
      <c r="QY75" s="7">
        <f>IFERROR(AVERAGEIF('Данные 2st'!$Q$2:$Q$317,$A75,'Данные 2st'!$MR$2:$MR$317),"")</f>
        <v/>
      </c>
      <c r="QZ75" s="7">
        <f>IFERROR(AVERAGEIF('Данные 2st'!$Q$2:$Q$317,$A75,'Данные 2st'!$MS$2:$MS$317),"")</f>
        <v/>
      </c>
      <c r="RA75" s="7">
        <f>IFERROR(AVERAGEIF('Данные 2st'!$Q$2:$Q$317,$A75,'Данные 2st'!$MT$2:$MT$317),"")</f>
        <v/>
      </c>
      <c r="RB75" s="7">
        <f>IFERROR(AVERAGEIF('Данные 2st'!$Q$2:$Q$317,$A75,'Данные 2st'!$MU$2:$MU$317),"")</f>
        <v/>
      </c>
      <c r="RC75" s="7">
        <f>IFERROR(AVERAGEIF('Данные 2st'!$Q$2:$Q$317,$A75,'Данные 2st'!$MV$2:$MV$317),"")</f>
        <v/>
      </c>
      <c r="RD75" s="7">
        <f>IFERROR(AVERAGEIF('Данные 2st'!$Q$2:$Q$317,$A75,'Данные 2st'!$MW$2:$MW$317),"")</f>
        <v/>
      </c>
      <c r="RE75" s="7">
        <f>IFERROR(AVERAGEIF('Данные 2st'!$Q$2:$Q$317,$A75,'Данные 2st'!$MX$2:$MX$317),"")</f>
        <v/>
      </c>
      <c r="RF75" s="7">
        <f>IFERROR(AVERAGEIF('Данные 2st'!$Q$2:$Q$317,$A75,'Данные 2st'!$MY$2:$MY$317),"")</f>
        <v/>
      </c>
      <c r="RG75" s="7">
        <f>IFERROR(AVERAGEIF('Данные 2st'!$Q$2:$Q$317,$A75,'Данные 2st'!$MZ$2:$MZ$317),"")</f>
        <v/>
      </c>
      <c r="RH75" s="7">
        <f>IFERROR(AVERAGEIF('Данные 2st'!$Q$2:$Q$317,$A75,'Данные 2st'!$NA$2:$NA$317),"")</f>
        <v/>
      </c>
      <c r="RI75" s="7">
        <f>IFERROR(AVERAGEIF('Данные 2st'!$Q$2:$Q$317,$A75,'Данные 2st'!$NB$2:$NB$317),"")</f>
        <v/>
      </c>
      <c r="RJ75" s="7">
        <f>IFERROR(AVERAGEIF('Данные 2st'!$Q$2:$Q$317,$A75,'Данные 2st'!$NC$2:$NC$317),"")</f>
        <v/>
      </c>
      <c r="RK75" s="7">
        <f>IFERROR(AVERAGEIF('Данные 2st'!$Q$2:$Q$317,$A75,'Данные 2st'!$ND$2:$ND$317),"")</f>
        <v/>
      </c>
      <c r="RL75" s="7">
        <f>IFERROR(AVERAGEIF('Данные 2st'!$Q$2:$Q$317,$A75,'Данные 2st'!$NE$2:$NE$317),"")</f>
        <v/>
      </c>
      <c r="RM75" s="7">
        <f>IFERROR(AVERAGEIF('Данные 2st'!$Q$2:$Q$317,$A75,'Данные 2st'!$NF$2:$NF$317),"")</f>
        <v/>
      </c>
      <c r="RN75" s="7">
        <f>IFERROR(AVERAGEIF('Данные 2st'!$Q$2:$Q$317,$A75,'Данные 2st'!$NG$2:$NG$317),"")</f>
        <v/>
      </c>
      <c r="RO75" s="7">
        <f>IFERROR(AVERAGEIF('Данные 2st'!$Q$2:$Q$317,$A75,'Данные 2st'!$NH$2:$NH$317),"")</f>
        <v/>
      </c>
      <c r="RP75" s="7">
        <f>IFERROR(AVERAGEIF('Данные 2st'!$Q$2:$Q$317,$A75,'Данные 2st'!$NJ$2:$NJ$317),"")</f>
        <v/>
      </c>
      <c r="RQ75" s="7">
        <f>IFERROR(AVERAGEIF('Данные 2st'!$Q$2:$Q$317,$A75,'Данные 2st'!$NK$2:$NK$317),"")</f>
        <v/>
      </c>
      <c r="RR75" s="7">
        <f>IFERROR(AVERAGEIF('Данные 2st'!$Q$2:$Q$317,$A75,'Данные 2st'!$NM$2:$NM$317),"")</f>
        <v/>
      </c>
      <c r="RS75" s="7">
        <f>IFERROR(AVERAGEIF('Данные 2st'!$Q$2:$Q$317,$A75,'Данные 2st'!$NN$2:$NN$317),"")</f>
        <v/>
      </c>
      <c r="RT75" s="7">
        <f>IFERROR(AVERAGEIF('Данные 2st'!$Q$2:$Q$317,$A75,'Данные 2st'!$NO$2:$NO$317),"")</f>
        <v/>
      </c>
      <c r="RU75" s="7">
        <f>IFERROR(AVERAGEIF('Данные 2st'!$Q$2:$Q$317,$A75,'Данные 2st'!$NP$2:$NP$317),"")</f>
        <v/>
      </c>
      <c r="RV75" s="7">
        <f>IFERROR(AVERAGEIF('Данные 2st'!$Q$2:$Q$317,$A75,'Данные 2st'!$NQ$2:$NQ$317),"")</f>
        <v/>
      </c>
      <c r="RW75" s="7">
        <f>IFERROR(AVERAGEIF('Данные 2st'!$Q$2:$Q$317,$A75,'Данные 2st'!$NR$2:$NR$317),"")</f>
        <v/>
      </c>
      <c r="RX75" s="7">
        <f>IFERROR(AVERAGEIF('Данные 2st'!$Q$2:$Q$317,$A75,'Данные 2st'!$NS$2:$NS$317),"")</f>
        <v/>
      </c>
      <c r="RY75" s="7">
        <f>IFERROR(AVERAGEIF('Данные 2st'!$Q$2:$Q$317,$A75,'Данные 2st'!$NT$2:$NT$317),"")</f>
        <v/>
      </c>
      <c r="RZ75" s="7">
        <f>IFERROR(AVERAGEIF('Данные 2st'!$Q$2:$Q$317,$A75,'Данные 2st'!$OK$2:$OK$317),"")</f>
        <v>61</v>
      </c>
      <c r="SA75" s="7">
        <f>IFERROR(AVERAGEIF('Данные 2st'!$Q$2:$Q$317,$A75,'Данные 2st'!$OL$2:$OL$317),"")</f>
        <v>61</v>
      </c>
      <c r="SB75" s="7">
        <f>IFERROR(AVERAGEIF('Данные 2st'!$Q$2:$Q$317,$A75,'Данные 2st'!$ON$2:$ON$317),"")</f>
        <v>1.5</v>
      </c>
      <c r="SC75" s="7">
        <f>IFERROR(AVERAGEIF('Данные 2st'!$Q$2:$Q$317,$A75,'Данные 2st'!$OO$2:$OO$317),"")</f>
        <v>2261.5</v>
      </c>
      <c r="SD75" s="7">
        <f>IFERROR(AVERAGEIF('Данные 2st'!$Q$2:$Q$317,$A75,'Данные 2st'!$OP$2:$OP$317),"")</f>
        <v>61</v>
      </c>
      <c r="SE75" s="7">
        <f>IFERROR(AVERAGEIF('Данные 2st'!$Q$2:$Q$317,$A75,'Данные 2st'!$OQ$2:$OQ$317),"")</f>
        <v>61</v>
      </c>
      <c r="SF75" s="7">
        <f>IFERROR(AVERAGEIF('Данные 2st'!$Q$2:$Q$317,$A75,'Данные 2st'!$OS$2:$OS$317),"")</f>
        <v>1.5</v>
      </c>
      <c r="SG75" s="7">
        <f>IFERROR(AVERAGEIF('Данные 2st'!$Q$2:$Q$317,$A75,'Данные 2st'!$OT$2:$OT$317),"")</f>
        <v>2275</v>
      </c>
      <c r="SH75" s="7">
        <f>IFERROR(AVERAGEIF('Данные 2st'!$Q$2:$Q$317,$A75,'Данные 2st'!$OU$2:$OU$317),"")</f>
        <v>65</v>
      </c>
      <c r="SI75" s="7">
        <f>IFERROR(AVERAGEIF('Данные 2st'!$Q$2:$Q$317,$A75,'Данные 2st'!$OV$2:$OV$317),"")</f>
        <v>65</v>
      </c>
      <c r="SJ75" s="7">
        <f>IFERROR(AVERAGEIF('Данные 2st'!$Q$2:$Q$317,$A75,'Данные 2st'!$OX$2:$OX$317),"")</f>
        <v>2</v>
      </c>
      <c r="SK75" s="7">
        <f>IFERROR(AVERAGEIF('Данные 2st'!$Q$2:$Q$317,$A75,'Данные 2st'!$OY$2:$OY$317),"")</f>
        <v>51541.5</v>
      </c>
      <c r="SL75" s="7">
        <f>IFERROR(AVERAGEIF('Данные 2st'!$Q$2:$Q$317,$A75,'Данные 2st'!$OZ$2:$OZ$317),"")</f>
        <v>51</v>
      </c>
      <c r="SM75" s="7">
        <f>IFERROR(AVERAGEIF('Данные 2st'!$Q$2:$Q$317,$A75,'Данные 2st'!$PA$2:$PA$317),"")</f>
        <v>51.5</v>
      </c>
      <c r="SN75" s="7">
        <f>IFERROR(AVERAGEIF('Данные 2st'!$Q$2:$Q$317,$A75,'Данные 2st'!$PC$2:$PC$317),"")</f>
        <v>2</v>
      </c>
      <c r="SO75" s="7">
        <f>IFERROR(AVERAGEIF('Данные 2st'!$Q$2:$Q$317,$A75,'Данные 2st'!$PD$2:$PD$317),"")</f>
        <v>2308.5</v>
      </c>
      <c r="SP75" s="7">
        <f>IFERROR(AVERAGEIF('Данные 2st'!$Q$2:$Q$317,$A75,'Данные 2st'!$PF$2:$PF$317),"")</f>
        <v>573.5</v>
      </c>
      <c r="SQ75" s="7">
        <f>IFERROR(AVERAGEIF('Данные 2st'!$Q$2:$Q$317,$A75,'Данные 2st'!$PG$2:$PG$317),"")</f>
        <v>35</v>
      </c>
      <c r="SR75" s="7">
        <f>IFERROR(AVERAGEIF('Данные 2st'!$Q$2:$Q$317,$A75,'Данные 2st'!$PH$2:$PH$317),"")</f>
        <v>549</v>
      </c>
      <c r="SS75" s="7">
        <f>IFERROR(AVERAGEIF('Данные 2st'!$Q$2:$Q$317,$A75,'Данные 2st'!$PI$2:$PI$317),"")</f>
        <v>0</v>
      </c>
      <c r="ST75" s="7">
        <f>IFERROR(AVERAGEIF('Данные 2st'!$Q$2:$Q$317,$A75,'Данные 2st'!$PJ$2:$PJ$317),"")</f>
        <v>110.4</v>
      </c>
      <c r="SU75" s="7">
        <f>IFERROR(AVERAGEIF('Данные 2st'!$Q$2:$Q$317,$A75,'Данные 2st'!$PK$2:$PK$317),"")</f>
        <v>2763</v>
      </c>
      <c r="SV75" s="7">
        <f>IFERROR(AVERAGEIF('Данные 2st'!$Q$2:$Q$317,$A75,'Данные 2st'!$PL$2:$PL$317),"")</f>
        <v>1365.05</v>
      </c>
      <c r="SW75" s="7">
        <f>IFERROR(AVERAGEIF('Данные 2st'!$Q$2:$Q$317,$A75,'Данные 2st'!$PM$2:$PM$317),"")</f>
        <v>1184.6999999999998</v>
      </c>
      <c r="SX75" s="7">
        <f>IFERROR(AVERAGEIF('Данные 2st'!$Q$2:$Q$317,$A75,'Данные 2st'!$PN$2:$PN$317),"")</f>
        <v>113</v>
      </c>
      <c r="SY75" s="7">
        <f>IFERROR(AVERAGEIF('Данные 2st'!$Q$2:$Q$317,$A75,'Данные 2st'!$PO$2:$PO$317),"")</f>
        <v>10.35</v>
      </c>
      <c r="SZ75" s="7">
        <f>IFERROR(AVERAGEIF('Данные 2st'!$Q$2:$Q$317,$A75,'Данные 2st'!$PP$2:$PP$317),"")</f>
        <v>12</v>
      </c>
      <c r="TA75" s="7">
        <f>IFERROR(AVERAGEIF('Данные 2st'!$Q$2:$Q$317,$A75,'Данные 2st'!$PQ$2:$PQ$317),"")</f>
        <v>4</v>
      </c>
      <c r="TB75" s="7">
        <f>IFERROR(AVERAGEIF('Данные 2st'!$Q$2:$Q$317,$A75,'Данные 2st'!$PR$2:$PR$317),"")</f>
        <v>4</v>
      </c>
      <c r="TC75" s="7">
        <f>IFERROR(AVERAGEIF('Данные 2st'!$Q$2:$Q$317,$A75,'Данные 2st'!$PS$2:$PS$317),"")</f>
        <v>0</v>
      </c>
      <c r="TD75" s="7">
        <f>IFERROR(AVERAGEIF('Данные 2st'!$Q$2:$Q$317,$A75,'Данные 2st'!$PT$2:$PT$317),"")</f>
        <v>275</v>
      </c>
      <c r="TE75" s="7">
        <f>IFERROR(AVERAGEIF('Данные 2st'!$Q$2:$Q$317,$A75,'Данные 2st'!$PU$2:$PU$317),"")</f>
        <v>12.5</v>
      </c>
      <c r="TF75" s="7">
        <f>IFERROR(AVERAGEIF('Данные 2st'!$Q$2:$Q$317,$A75,'Данные 2st'!$PX$2:$PX$317),"")</f>
        <v>0</v>
      </c>
      <c r="TG75" s="7">
        <f>IFERROR(AVERAGEIF('Данные 2st'!$Q$2:$Q$317,$A75,'Данные 2st'!$PY$2:$PY$317),"")</f>
        <v>0</v>
      </c>
      <c r="TH75" s="7">
        <f>IFERROR(AVERAGEIF('Данные 2st'!$Q$2:$Q$317,$A75,'Данные 2st'!$PZ$2:$PZ$317),"")</f>
        <v>0</v>
      </c>
      <c r="TI75" s="7">
        <f>IFERROR(AVERAGEIF('Данные 2st'!$Q$2:$Q$317,$A75,'Данные 2st'!$QA$2:$QA$317),"")</f>
        <v>0</v>
      </c>
      <c r="TJ75" s="7">
        <f>IFERROR(AVERAGEIF('Данные 2st'!$Q$2:$Q$317,$A75,'Данные 2st'!$QB$2:$QB$317),"")</f>
        <v>0</v>
      </c>
      <c r="TK75" s="7">
        <f>IFERROR(AVERAGEIF('Данные 2st'!$Q$2:$Q$317,$A75,'Данные 2st'!$QC$2:$QC$317),"")</f>
        <v>0</v>
      </c>
      <c r="TL75" s="7">
        <f>IFERROR(AVERAGEIF('Данные 2st'!$Q$2:$Q$317,$A75,'Данные 2st'!$QD$2:$QD$317),"")</f>
        <v>0</v>
      </c>
      <c r="TM75" s="7">
        <f>IFERROR(AVERAGEIF('Данные 2st'!$Q$2:$Q$317,$A75,'Данные 2st'!$QE$2:$QE$317),"")</f>
        <v>-1</v>
      </c>
      <c r="TN75" s="7">
        <f>IFERROR(AVERAGEIF('Данные 2st'!$Q$2:$Q$317,$A75,'Данные 2st'!$QF$2:$QF$317),"")</f>
        <v>1</v>
      </c>
      <c r="TO75" s="7">
        <f>IFERROR(AVERAGEIF('Данные 2st'!$Q$2:$Q$317,$A75,'Данные 2st'!$QG$2:$QG$317),"")</f>
        <v>0</v>
      </c>
      <c r="TP75" s="7">
        <f>IFERROR(AVERAGEIF('Данные 2st'!$Q$2:$Q$317,$A75,'Данные 2st'!$QH$2:$QH$317),"")</f>
        <v>5</v>
      </c>
      <c r="TQ75" s="7">
        <f>IFERROR(AVERAGEIF('Данные 2st'!$Q$2:$Q$317,$A75,'Данные 2st'!$QI$2:$QI$317),"")</f>
        <v>5</v>
      </c>
      <c r="TR75" s="7">
        <f>IFERROR(AVERAGEIF('Данные 2st'!$Q$2:$Q$317,$A75,'Данные 2st'!$QJ$2:$QJ$317),"")</f>
        <v>5</v>
      </c>
      <c r="TS75" s="7">
        <f>IFERROR(AVERAGEIF('Данные 2st'!$Q$2:$Q$317,$A75,'Данные 2st'!$QK$2:$QK$317),"")</f>
        <v>233</v>
      </c>
      <c r="TT75" s="7">
        <f>IFERROR(AVERAGEIF('Данные 2st'!$Q$2:$Q$317,$A75,'Данные 2st'!$QL$2:$QL$317),"")</f>
        <v>465</v>
      </c>
      <c r="TU75" s="7">
        <f>IFERROR(AVERAGEIF('Данные 2st'!$Q$2:$Q$317,$A75,'Данные 2st'!$QM$2:$QM$317),"")</f>
        <v>7.5</v>
      </c>
      <c r="TV75" s="7">
        <f>IFERROR(AVERAGEIF('Данные 2st'!$Q$2:$Q$317,$A75,'Данные 2st'!$QN$2:$QN$317),"")</f>
        <v>1624.6</v>
      </c>
      <c r="TW75" s="7">
        <f>IFERROR(AVERAGEIF('Данные 2st'!$Q$2:$Q$317,$A75,'Данные 2st'!$QQ$2:$QQ$317),"")</f>
        <v>0</v>
      </c>
      <c r="TX75" s="7">
        <f>IFERROR(AVERAGEIF('Данные 2st'!$Q$2:$Q$317,$A75,'Данные 2st'!$QS$2:$QS$317),"")</f>
        <v>40</v>
      </c>
      <c r="TY75" s="7">
        <f>IFERROR(AVERAGEIF('Данные 2st'!$Q$2:$Q$317,$A75,'Данные 2st'!$QT$2:$QT$317),"")</f>
        <v>50</v>
      </c>
    </row>
    <row r="76" spans="1:545" ht="32" customHeight="1">
      <c r="A76" s="11" t="s">
        <v>1090</v>
      </c>
      <c r="B76">
        <f>COUNTIF('Данные 1st'!$S$2:$S$317,$A76)</f>
        <v>5</v>
      </c>
      <c r="C76" s="6" t="s">
        <v>5118</v>
      </c>
      <c r="D76" s="6" t="s">
        <v>513</v>
      </c>
      <c r="E76" s="6" t="s">
        <v>5125</v>
      </c>
      <c r="F76" s="6" t="s">
        <v>5186</v>
      </c>
      <c r="G76" s="7">
        <f>IFERROR(AVERAGEIF('Данные 1st'!$S$2:$S$317,$A76,'Данные 1st'!$AE$2:$AE$317),"")</f>
        <v>249.2</v>
      </c>
      <c r="H76" s="7">
        <f>IFERROR(AVERAGEIF('Данные 1st'!$S$2:$S$317,$A76,'Данные 1st'!$AF$2:$AF$317),"")</f>
        <v>1.5</v>
      </c>
      <c r="I76" s="7">
        <f>IFERROR(AVERAGEIF('Данные 1st'!$S$2:$S$317,$A76,'Данные 1st'!$AJ$2:$AJ$317),"")</f>
        <v>232.0</v>
      </c>
      <c r="J76" s="7">
        <f>IFERROR(AVERAGEIF('Данные 1st'!$S$2:$S$317,$A76,'Данные 1st'!$AL$2:$AL$317),"")</f>
        <v>1.5</v>
      </c>
      <c r="K76" s="7">
        <f>IFERROR(AVERAGEIF('Данные 1st'!$S$2:$S$317,$A76,'Данные 1st'!$AR$2:$AR$317),"")</f>
        <v>275.8</v>
      </c>
      <c r="L76" s="7">
        <f>IFERROR(AVERAGEIF('Данные 1st'!$S$2:$S$317,$A76,'Данные 1st'!$AS$2:$AS$317),"")</f>
        <v>1.5</v>
      </c>
      <c r="M76" s="7">
        <f>IFERROR(AVERAGEIF('Данные 1st'!$S$2:$S$317,$A76,'Данные 1st'!$AY$2:$AY$317),"")</f>
        <v>328.5</v>
      </c>
      <c r="N76" s="7">
        <f>IFERROR(AVERAGEIF('Данные 1st'!$S$2:$S$317,$A76,'Данные 1st'!$AZ$2:$AZ$317),"")</f>
        <v>1.5</v>
      </c>
      <c r="O76" s="7">
        <f>IFERROR(AVERAGEIF('Данные 1st'!$S$2:$S$317,$A76,'Данные 1st'!$BF$2:$BF$317),"")</f>
        <v>273.0</v>
      </c>
      <c r="P76" s="7">
        <f>IFERROR(AVERAGEIF('Данные 1st'!$S$2:$S$317,$A76,'Данные 1st'!$BG$2:$BG$317),"")</f>
        <v>1.5</v>
      </c>
      <c r="Q76" s="7">
        <f>IFERROR(AVERAGEIF('Данные 1st'!$S$2:$S$317,$A76,'Данные 1st'!$BM$2:$BM$317),"")</f>
        <v/>
      </c>
      <c r="R76" s="7">
        <f>IFERROR(AVERAGEIF('Данные 1st'!$S$2:$S$317,$A76,'Данные 1st'!$BN$2:$BN$317),"")</f>
        <v>1.5</v>
      </c>
      <c r="S76" s="7">
        <f>IFERROR(AVERAGEIF('Данные 1st'!$S$2:$S$317,$A76,'Данные 1st'!$BT$2:$BT$317),"")</f>
        <v>248.8</v>
      </c>
      <c r="T76" s="7">
        <f>IFERROR(AVERAGEIF('Данные 1st'!$S$2:$S$317,$A76,'Данные 1st'!$BU$2:$BU$317),"")</f>
        <v>0.5</v>
      </c>
      <c r="U76" s="7">
        <f>IFERROR(AVERAGEIF('Данные 1st'!$S$2:$S$317,$A76,'Данные 1st'!$BW$2:$BW$317),"")</f>
        <v>497.6</v>
      </c>
      <c r="V76" s="7">
        <f>IFERROR(AVERAGEIF('Данные 1st'!$S$2:$S$317,$A76,'Данные 1st'!$BX$2:$BX$317),"")</f>
        <v>1</v>
      </c>
      <c r="W76" s="7">
        <f>IFERROR(AVERAGEIF('Данные 1st'!$S$2:$S$317,$A76,'Данные 1st'!$BZ$2:$BZ$317),"")</f>
        <v>470</v>
      </c>
      <c r="X76" s="7">
        <f>IFERROR(AVERAGEIF('Данные 1st'!$S$2:$S$317,$A76,'Данные 1st'!$CA$2:$CA$317),"")</f>
        <v>570</v>
      </c>
      <c r="Y76" s="7">
        <f>IFERROR(AVERAGEIF('Данные 1st'!$S$2:$S$317,$A76,'Данные 1st'!$CD$2:$CD$317),"")</f>
        <v>514.4</v>
      </c>
      <c r="Z76" s="7">
        <f>IFERROR(AVERAGEIF('Данные 1st'!$S$2:$S$317,$A76,'Данные 1st'!$CF$2:$CF$317),"")</f>
        <v>15</v>
      </c>
      <c r="AA76" s="7">
        <f>IFERROR(AVERAGEIF('Данные 1st'!$S$2:$S$317,$A76,'Данные 1st'!$CI$2:$CI$317),"")</f>
        <v>50</v>
      </c>
      <c r="AB76" s="7">
        <f>IFERROR(AVERAGEIF('Данные 1st'!$S$2:$S$317,$A76,'Данные 1st'!$CJ$2:$CJ$317),"")</f>
        <v>1458</v>
      </c>
      <c r="AC76" s="7">
        <f>IFERROR(AVERAGEIF('Данные 1st'!$S$2:$S$317,$A76,'Данные 1st'!$CK$2:$CK$317),"")</f>
        <v>2</v>
      </c>
      <c r="AD76" s="7">
        <f>IFERROR(AVERAGEIF('Данные 1st'!$S$2:$S$317,$A76,'Данные 1st'!$CL$2:$CL$317),"")</f>
        <v>1552</v>
      </c>
      <c r="AE76" s="7">
        <f>IFERROR(AVERAGEIF('Данные 1st'!$S$2:$S$317,$A76,'Данные 1st'!$CM$2:$CM$317),"")</f>
        <v>2</v>
      </c>
      <c r="AF76" s="7">
        <f>IFERROR(AVERAGEIF('Данные 1st'!$S$2:$S$317,$A76,'Данные 1st'!$CT$2:$CT$317),"")</f>
        <v>464</v>
      </c>
      <c r="AG76" s="7">
        <f>IFERROR(AVERAGEIF('Данные 1st'!$S$2:$S$317,$A76,'Данные 1st'!$CU$2:$CU$317),"")</f>
        <v>5</v>
      </c>
      <c r="AH76" s="7">
        <f>IFERROR(AVERAGEIF('Данные 1st'!$S$2:$S$317,$A76,'Данные 1st'!$CV$2:$CV$317),"")</f>
        <v>1.2</v>
      </c>
      <c r="AI76" s="7">
        <f>IFERROR(AVERAGEIF('Данные 1st'!$S$2:$S$317,$A76,'Данные 1st'!$CW$2:$CW$317),"")</f>
        <v>1475</v>
      </c>
      <c r="AJ76" s="7">
        <f>IFERROR(AVERAGEIF('Данные 1st'!$S$2:$S$317,$A76,'Данные 1st'!$CX$2:$CX$317),"")</f>
        <v>969.8</v>
      </c>
      <c r="AK76" s="7">
        <f>IFERROR(AVERAGEIF('Данные 1st'!$S$2:$S$317,$A76,'Данные 1st'!$CZ$2:$CZ$317),"")</f>
        <v>56</v>
      </c>
      <c r="AL76" s="7">
        <f>IFERROR(AVERAGEIF('Данные 1st'!$S$2:$S$317,$A76,'Данные 1st'!$DA$2:$DA$317),"")</f>
        <v>3</v>
      </c>
      <c r="AM76" s="7">
        <f>IFERROR(AVERAGEIF('Данные 1st'!$S$2:$S$317,$A76,'Данные 1st'!$DB$2:$DB$317),"")</f>
        <v>1.168</v>
      </c>
      <c r="AN76" s="7">
        <f>IFERROR(AVERAGEIF('Данные 1st'!$S$2:$S$317,$A76,'Данные 1st'!$DC$2:$DC$317),"")</f>
        <v>1475</v>
      </c>
      <c r="AO76" s="7">
        <f>IFERROR(AVERAGEIF('Данные 1st'!$S$2:$S$317,$A76,'Данные 1st'!$DD$2:$DD$317),"")</f>
        <v>103.8</v>
      </c>
      <c r="AP76" s="7">
        <f>IFERROR(AVERAGEIF('Данные 1st'!$S$2:$S$317,$A76,'Данные 1st'!$DF$2:$DF$317),"")</f>
        <v>657</v>
      </c>
      <c r="AQ76" s="7">
        <f>IFERROR(AVERAGEIF('Данные 1st'!$S$2:$S$317,$A76,'Данные 1st'!$DG$2:$DG$317),"")</f>
        <v>3</v>
      </c>
      <c r="AR76" s="7">
        <f>IFERROR(AVERAGEIF('Данные 1st'!$S$2:$S$317,$A76,'Данные 1st'!$DH$2:$DH$317),"")</f>
        <v>0.94</v>
      </c>
      <c r="AS76" s="7">
        <f>IFERROR(AVERAGEIF('Данные 1st'!$S$2:$S$317,$A76,'Данные 1st'!$DI$2:$DI$317),"")</f>
        <v>1467.2</v>
      </c>
      <c r="AT76" s="7">
        <f>IFERROR(AVERAGEIF('Данные 1st'!$S$2:$S$317,$A76,'Данные 1st'!$DJ$2:$DJ$317),"")</f>
        <v>1211.4</v>
      </c>
      <c r="AU76" s="7">
        <f>IFERROR(AVERAGEIF('Данные 1st'!$S$2:$S$317,$A76,'Данные 1st'!$DL$2:$DL$317),"")</f>
        <v>546</v>
      </c>
      <c r="AV76" s="7">
        <f>IFERROR(AVERAGEIF('Данные 1st'!$S$2:$S$317,$A76,'Данные 1st'!$DM$2:$DM$317),"")</f>
        <v>3</v>
      </c>
      <c r="AW76" s="7">
        <f>IFERROR(AVERAGEIF('Данные 1st'!$S$2:$S$317,$A76,'Данные 1st'!$DN$2:$DN$317),"")</f>
        <v>0.94</v>
      </c>
      <c r="AX76" s="7">
        <f>IFERROR(AVERAGEIF('Данные 1st'!$S$2:$S$317,$A76,'Данные 1st'!$DO$2:$DO$317),"")</f>
        <v>1472.6</v>
      </c>
      <c r="AY76" s="7">
        <f>IFERROR(AVERAGEIF('Данные 1st'!$S$2:$S$317,$A76,'Данные 1st'!$DP$2:$DP$317),"")</f>
        <v>948.8</v>
      </c>
      <c r="AZ76" s="7">
        <f>IFERROR(AVERAGEIF('Данные 1st'!$S$2:$S$317,$A76,'Данные 1st'!$DR$2:$DR$317),"")</f>
        <v/>
      </c>
      <c r="BA76" s="7">
        <f>IFERROR(AVERAGEIF('Данные 1st'!$S$2:$S$317,$A76,'Данные 1st'!$DS$2:$DS$317),"")</f>
        <v/>
      </c>
      <c r="BB76" s="7">
        <f>IFERROR(AVERAGEIF('Данные 1st'!$S$2:$S$317,$A76,'Данные 1st'!$DT$2:$DT$317),"")</f>
        <v/>
      </c>
      <c r="BC76" s="7">
        <f>IFERROR(AVERAGEIF('Данные 1st'!$S$2:$S$317,$A76,'Данные 1st'!$DU$2:$DU$317),"")</f>
        <v/>
      </c>
      <c r="BD76" s="7">
        <f>IFERROR(AVERAGEIF('Данные 1st'!$S$2:$S$317,$A76,'Данные 1st'!$DV$2:$DV$317),"")</f>
        <v/>
      </c>
      <c r="BE76" s="7">
        <f>IFERROR(AVERAGEIF('Данные 1st'!$S$2:$S$317,$A76,'Данные 1st'!$DX$2:$DX$317),"")</f>
        <v>8.64</v>
      </c>
      <c r="BF76" s="7">
        <f>IFERROR(AVERAGEIF('Данные 1st'!$S$2:$S$317,$A76,'Данные 1st'!$EA$2:$EA$317),"")</f>
        <v>1545.06</v>
      </c>
      <c r="BG76" s="7">
        <f>IFERROR(AVERAGEIF('Данные 1st'!$S$2:$S$317,$A76,'Данные 1st'!$EB$2:$EB$317),"")</f>
        <v>363.6</v>
      </c>
      <c r="BH76" s="7">
        <f>IFERROR(AVERAGEIF('Данные 1st'!$S$2:$S$317,$A76,'Данные 1st'!$ED$2:$ED$317),"")</f>
        <v>38</v>
      </c>
      <c r="BI76" s="7">
        <f>IFERROR(AVERAGEIF('Данные 1st'!$S$2:$S$317,$A76,'Данные 1st'!$EE$2:$EE$317),"")</f>
        <v>3</v>
      </c>
      <c r="BJ76" s="7">
        <f>IFERROR(AVERAGEIF('Данные 1st'!$S$2:$S$317,$A76,'Данные 1st'!$EG$2:$EG$317),"")</f>
        <v>1590</v>
      </c>
      <c r="BK76" s="7">
        <f>IFERROR(AVERAGEIF('Данные 1st'!$S$2:$S$317,$A76,'Данные 1st'!$EH$2:$EH$317),"")</f>
        <v>270.4</v>
      </c>
      <c r="BL76" s="7">
        <f>IFERROR(AVERAGEIF('Данные 1st'!$S$2:$S$317,$A76,'Данные 1st'!$EJ$2:$EJ$317),"")</f>
        <v>0</v>
      </c>
      <c r="BM76" s="7">
        <f>IFERROR(AVERAGEIF('Данные 1st'!$S$2:$S$317,$A76,'Данные 1st'!$EK$2:$EK$317),"")</f>
        <v>1</v>
      </c>
      <c r="BN76" s="7">
        <f>IFERROR(AVERAGEIF('Данные 1st'!$S$2:$S$317,$A76,'Данные 1st'!$EN$2:$EN$317),"")</f>
        <v>0</v>
      </c>
      <c r="BO76" s="7">
        <f>IFERROR(AVERAGEIF('Данные 1st'!$S$2:$S$317,$A76,'Данные 1st'!$EQ$2:$EQ$317),"")</f>
        <v>133</v>
      </c>
      <c r="BP76" s="7">
        <f>IFERROR(AVERAGEIF('Данные 1st'!$S$2:$S$317,$A76,'Данные 1st'!$ER$2:$ER$317),"")</f>
        <v>3</v>
      </c>
      <c r="BQ76" s="7">
        <f>IFERROR(AVERAGEIF('Данные 1st'!$S$2:$S$317,$A76,'Данные 1st'!$ES$2:$ES$317),"")</f>
        <v>6</v>
      </c>
      <c r="BR76" s="7">
        <f>IFERROR(AVERAGEIF('Данные 1st'!$S$2:$S$317,$A76,'Данные 1st'!$ET$2:$ET$317),"")</f>
        <v>1457</v>
      </c>
      <c r="BS76" s="7">
        <f>IFERROR(AVERAGEIF('Данные 1st'!$S$2:$S$317,$A76,'Данные 1st'!$EU$2:$EU$317),"")</f>
        <v>625.78</v>
      </c>
      <c r="BT76" s="7">
        <f>IFERROR(AVERAGEIF('Данные 1st'!$S$2:$S$317,$A76,'Данные 1st'!$EV$2:$EV$317),"")</f>
        <v>911.8</v>
      </c>
      <c r="BU76" s="7">
        <f>IFERROR(AVERAGEIF('Данные 1st'!$S$2:$S$317,$A76,'Данные 1st'!$EX$2:$EX$317),"")</f>
        <v>44</v>
      </c>
      <c r="BV76" s="7">
        <f>IFERROR(AVERAGEIF('Данные 1st'!$S$2:$S$317,$A76,'Данные 1st'!$EY$2:$EY$317),"")</f>
        <v>2</v>
      </c>
      <c r="BW76" s="7">
        <f>IFERROR(AVERAGEIF('Данные 1st'!$S$2:$S$317,$A76,'Данные 1st'!$EZ$2:$EZ$317),"")</f>
        <v>4.3</v>
      </c>
      <c r="BX76" s="7">
        <f>IFERROR(AVERAGEIF('Данные 1st'!$S$2:$S$317,$A76,'Данные 1st'!$FA$2:$FA$317),"")</f>
        <v>1457</v>
      </c>
      <c r="BY76" s="7">
        <f>IFERROR(AVERAGEIF('Данные 1st'!$S$2:$S$317,$A76,'Данные 1st'!$FB$2:$FB$317),"")</f>
        <v>143.54</v>
      </c>
      <c r="BZ76" s="7">
        <f>IFERROR(AVERAGEIF('Данные 1st'!$S$2:$S$317,$A76,'Данные 1st'!$FC$2:$FC$317),"")</f>
        <v>209.2</v>
      </c>
      <c r="CA76" s="7">
        <f>IFERROR(AVERAGEIF('Данные 1st'!$S$2:$S$317,$A76,'Данные 1st'!$FE$2:$FE$317),"")</f>
        <v>0</v>
      </c>
      <c r="CB76" s="7">
        <f>IFERROR(AVERAGEIF('Данные 1st'!$S$2:$S$317,$A76,'Данные 1st'!$FF$2:$FF$317),"")</f>
        <v>2</v>
      </c>
      <c r="CC76" s="7">
        <f>IFERROR(AVERAGEIF('Данные 1st'!$S$2:$S$317,$A76,'Данные 1st'!$FI$2:$FI$317),"")</f>
        <v>0</v>
      </c>
      <c r="CD76" s="7">
        <f>IFERROR(AVERAGEIF('Данные 1st'!$S$2:$S$317,$A76,'Данные 1st'!$FL$2:$FL$317),"")</f>
        <v>0.4</v>
      </c>
      <c r="CE76" s="7">
        <f>IFERROR(AVERAGEIF('Данные 1st'!$S$2:$S$317,$A76,'Данные 1st'!$FM$2:$FM$317),"")</f>
        <v>55</v>
      </c>
      <c r="CF76" s="7">
        <f>IFERROR(AVERAGEIF('Данные 1st'!$S$2:$S$317,$A76,'Данные 1st'!$FN$2:$FN$317),"")</f>
        <v>440</v>
      </c>
      <c r="CG76" s="7">
        <f>IFERROR(AVERAGEIF('Данные 1st'!$S$2:$S$317,$A76,'Данные 1st'!$FO$2:$FO$317),"")</f>
        <v>94</v>
      </c>
      <c r="CH76" s="7">
        <f>IFERROR(AVERAGEIF('Данные 1st'!$S$2:$S$317,$A76,'Данные 1st'!$FP$2:$FP$317),"")</f>
        <v>182</v>
      </c>
      <c r="CI76" s="7">
        <f>IFERROR(AVERAGEIF('Данные 1st'!$S$2:$S$317,$A76,'Данные 1st'!$FS$2:$FS$317),"")</f>
        <v/>
      </c>
      <c r="CJ76" s="7">
        <f>IFERROR(AVERAGEIF('Данные 1st'!$S$2:$S$317,$A76,'Данные 1st'!$FT$2:$FT$317),"")</f>
        <v/>
      </c>
      <c r="CK76" s="7">
        <f>IFERROR(AVERAGEIF('Данные 1st'!$S$2:$S$317,$A76,'Данные 1st'!$FU$2:$FU$317),"")</f>
        <v/>
      </c>
      <c r="CL76" s="7">
        <f>IFERROR(AVERAGEIF('Данные 1st'!$S$2:$S$317,$A76,'Данные 1st'!$FV$2:$FV$317),"")</f>
        <v/>
      </c>
      <c r="CM76" s="7">
        <f>IFERROR(AVERAGEIF('Данные 1st'!$S$2:$S$317,$A76,'Данные 1st'!$FW$2:$FW$317),"")</f>
        <v/>
      </c>
      <c r="CN76" s="7">
        <f>IFERROR(AVERAGEIF('Данные 1st'!$S$2:$S$317,$A76,'Данные 1st'!$FZ$2:$FZ$317),"")</f>
        <v/>
      </c>
      <c r="CO76" s="7">
        <f>IFERROR(AVERAGEIF('Данные 1st'!$S$2:$S$317,$A76,'Данные 1st'!$GA$2:$GA$317),"")</f>
        <v/>
      </c>
      <c r="CP76" s="7">
        <f>IFERROR(AVERAGEIF('Данные 1st'!$S$2:$S$317,$A76,'Данные 1st'!$GB$2:$GB$317),"")</f>
        <v/>
      </c>
      <c r="CQ76" s="7">
        <f>IFERROR(AVERAGEIF('Данные 1st'!$S$2:$S$317,$A76,'Данные 1st'!$GH$2:$GH$317),"")</f>
        <v/>
      </c>
      <c r="CR76" s="7">
        <f>IFERROR(AVERAGEIF('Данные 1st'!$S$2:$S$317,$A76,'Данные 1st'!$GI$2:$GI$317),"")</f>
        <v/>
      </c>
      <c r="CS76" s="7">
        <f>IFERROR(AVERAGEIF('Данные 1st'!$S$2:$S$317,$A76,'Данные 1st'!$GJ$2:$GJ$317),"")</f>
        <v/>
      </c>
      <c r="CT76" s="7">
        <f>IFERROR(AVERAGEIF('Данные 1st'!$S$2:$S$317,$A76,'Данные 1st'!$GS$2:$GS$317),"")</f>
        <v>0.48</v>
      </c>
      <c r="CU76" s="7">
        <f>IFERROR(AVERAGEIF('Данные 1st'!$S$2:$S$317,$A76,'Данные 1st'!$GT$2:$GT$317),"")</f>
        <v>44</v>
      </c>
      <c r="CV76" s="7">
        <f>IFERROR(AVERAGEIF('Данные 1st'!$S$2:$S$317,$A76,'Данные 1st'!$GU$2:$GU$317),"")</f>
        <v>432</v>
      </c>
      <c r="CW76" s="7">
        <f>IFERROR(AVERAGEIF('Данные 1st'!$S$2:$S$317,$A76,'Данные 1st'!$GV$2:$GV$317),"")</f>
        <v>30</v>
      </c>
      <c r="CX76" s="7">
        <f>IFERROR(AVERAGEIF('Данные 1st'!$S$2:$S$317,$A76,'Данные 1st'!$GW$2:$GW$317),"")</f>
        <v>316.6666666666667</v>
      </c>
      <c r="CY76" s="7">
        <f>IFERROR(AVERAGEIF('Данные 1st'!$S$2:$S$317,$A76,'Данные 1st'!$GZ$2:$GZ$317),"")</f>
        <v/>
      </c>
      <c r="CZ76" s="7">
        <f>IFERROR(AVERAGEIF('Данные 1st'!$S$2:$S$317,$A76,'Данные 1st'!$HA$2:$HA$317),"")</f>
        <v/>
      </c>
      <c r="DA76" s="7">
        <f>IFERROR(AVERAGEIF('Данные 1st'!$S$2:$S$317,$A76,'Данные 1st'!$HB$2:$HB$317),"")</f>
        <v/>
      </c>
      <c r="DB76" s="7">
        <f>IFERROR(AVERAGEIF('Данные 1st'!$S$2:$S$317,$A76,'Данные 1st'!$HC$2:$HC$317),"")</f>
        <v>0.1</v>
      </c>
      <c r="DC76" s="7">
        <f>IFERROR(AVERAGEIF('Данные 1st'!$S$2:$S$317,$A76,'Данные 1st'!$HD$2:$HD$317),"")</f>
        <v>3</v>
      </c>
      <c r="DD76" s="7">
        <f>IFERROR(AVERAGEIF('Данные 1st'!$S$2:$S$317,$A76,'Данные 1st'!$HE$2:$HE$317),"")</f>
        <v>3</v>
      </c>
      <c r="DE76" s="7">
        <f>IFERROR(AVERAGEIF('Данные 1st'!$S$2:$S$317,$A76,'Данные 1st'!$HF$2:$HF$317),"")</f>
        <v>3</v>
      </c>
      <c r="DF76" s="7">
        <f>IFERROR(AVERAGEIF('Данные 1st'!$S$2:$S$317,$A76,'Данные 1st'!$HG$2:$HG$317),"")</f>
        <v>3</v>
      </c>
      <c r="DG76" s="7">
        <f>IFERROR(AVERAGEIF('Данные 1st'!$S$2:$S$317,$A76,'Данные 1st'!$HH$2:$HH$317),"")</f>
        <v>3</v>
      </c>
      <c r="DH76" s="7">
        <f>IFERROR(AVERAGEIF('Данные 1st'!$S$2:$S$317,$A76,'Данные 1st'!$HI$2:$HI$317),"")</f>
        <v>162</v>
      </c>
      <c r="DI76" s="7">
        <f>IFERROR(AVERAGEIF('Данные 1st'!$S$2:$S$317,$A76,'Данные 1st'!$HJ$2:$HJ$317),"")</f>
        <v>3</v>
      </c>
      <c r="DJ76" s="7">
        <f>IFERROR(AVERAGEIF('Данные 1st'!$S$2:$S$317,$A76,'Данные 1st'!$HK$2:$HK$317),"")</f>
        <v>29</v>
      </c>
      <c r="DK76" s="7">
        <f>IFERROR(AVERAGEIF('Данные 1st'!$S$2:$S$317,$A76,'Данные 1st'!$HL$2:$HL$317),"")</f>
        <v>2</v>
      </c>
      <c r="DL76" s="7">
        <f>IFERROR(AVERAGEIF('Данные 1st'!$S$2:$S$317,$A76,'Данные 1st'!$HM$2:$HM$317),"")</f>
        <v>0</v>
      </c>
      <c r="DM76" s="7">
        <f>IFERROR(AVERAGEIF('Данные 1st'!$S$2:$S$317,$A76,'Данные 1st'!$HN$2:$HN$317),"")</f>
        <v>2</v>
      </c>
      <c r="DN76" s="7">
        <f>IFERROR(AVERAGEIF('Данные 1st'!$S$2:$S$317,$A76,'Данные 1st'!$HO$2:$HO$317),"")</f>
        <v>118</v>
      </c>
      <c r="DO76" s="7">
        <f>IFERROR(AVERAGEIF('Данные 1st'!$S$2:$S$317,$A76,'Данные 1st'!$HP$2:$HP$317),"")</f>
        <v>3</v>
      </c>
      <c r="DP76" s="7">
        <f>IFERROR(AVERAGEIF('Данные 1st'!$S$2:$S$317,$A76,'Данные 1st'!$HQ$2:$HQ$317),"")</f>
        <v>0</v>
      </c>
      <c r="DQ76" s="7">
        <f>IFERROR(AVERAGEIF('Данные 1st'!$S$2:$S$317,$A76,'Данные 1st'!$HR$2:$HR$317),"")</f>
        <v>2</v>
      </c>
      <c r="DR76" s="7">
        <f>IFERROR(AVERAGEIF('Данные 1st'!$S$2:$S$317,$A76,'Данные 1st'!$HS$2:$HS$317),"")</f>
        <v>6847.6</v>
      </c>
      <c r="DS76" s="7">
        <f>IFERROR(AVERAGEIF('Данные 1st'!$S$2:$S$317,$A76,'Данные 1st'!$HT$2:$HT$317),"")</f>
        <v>204</v>
      </c>
      <c r="DT76" s="7">
        <f>IFERROR(AVERAGEIF('Данные 1st'!$S$2:$S$317,$A76,'Данные 1st'!$HU$2:$HU$317),"")</f>
        <v>180</v>
      </c>
      <c r="DU76" s="7">
        <f>IFERROR(AVERAGEIF('Данные 1st'!$S$2:$S$317,$A76,'Данные 1st'!$HW$2:$HW$317),"")</f>
        <v>0</v>
      </c>
      <c r="DV76" s="7">
        <f>IFERROR(AVERAGEIF('Данные 1st'!$S$2:$S$317,$A76,'Данные 1st'!$HX$2:$HX$317),"")</f>
        <v>538</v>
      </c>
      <c r="DW76" s="7">
        <f>IFERROR(AVERAGEIF('Данные 1st'!$S$2:$S$317,$A76,'Данные 1st'!$HY$2:$HY$317),"")</f>
        <v>0.18</v>
      </c>
      <c r="DX76" s="7">
        <f>IFERROR(AVERAGEIF('Данные 1st'!$S$2:$S$317,$A76,'Данные 1st'!$IA$2:$IA$317),"")</f>
        <v>0.15</v>
      </c>
      <c r="DY76" s="7">
        <f>IFERROR(AVERAGEIF('Данные 1st'!$S$2:$S$317,$A76,'Данные 1st'!$IB$2:$IB$317),"")</f>
        <v>0</v>
      </c>
      <c r="DZ76" s="7">
        <f>IFERROR(AVERAGEIF('Данные 1st'!$S$2:$S$317,$A76,'Данные 1st'!$IC$2:$IC$317),"")</f>
        <v>180</v>
      </c>
      <c r="EA76" s="7">
        <f>IFERROR(AVERAGEIF('Данные 1st'!$S$2:$S$317,$A76,'Данные 1st'!$ID$2:$ID$317),"")</f>
        <v>110</v>
      </c>
      <c r="EB76" s="7">
        <f>IFERROR(AVERAGEIF('Данные 1st'!$S$2:$S$317,$A76,'Данные 1st'!$IE$2:$IE$317),"")</f>
        <v>225</v>
      </c>
      <c r="EC76" s="7">
        <f>IFERROR(AVERAGEIF('Данные 1st'!$S$2:$S$317,$A76,'Данные 1st'!$IF$2:$IF$317),"")</f>
        <v>0</v>
      </c>
      <c r="ED76" s="7">
        <f>IFERROR(AVERAGEIF('Данные 1st'!$S$2:$S$317,$A76,'Данные 1st'!$IP$2:$IP$317),"")</f>
        <v>19</v>
      </c>
      <c r="EE76" s="7">
        <f>IFERROR(AVERAGEIF('Данные 1st'!$S$2:$S$317,$A76,'Данные 1st'!$IV$2:$IV$317),"")</f>
        <v>1458</v>
      </c>
      <c r="EF76" s="7">
        <f>IFERROR(AVERAGEIF('Данные 1st'!$S$2:$S$317,$A76,'Данные 1st'!$IW$2:$IW$317),"")</f>
        <v>497.6</v>
      </c>
      <c r="EG76" s="7">
        <f>IFERROR(AVERAGEIF('Данные 1st'!$S$2:$S$317,$A76,'Данные 1st'!$IX$2:$IX$317),"")</f>
        <v/>
      </c>
      <c r="EH76" s="7">
        <f>IFERROR(AVERAGEIF('Данные 1st'!$S$2:$S$317,$A76,'Данные 1st'!$IY$2:$IY$317),"")</f>
        <v/>
      </c>
      <c r="EI76" s="7">
        <f>IFERROR(AVERAGEIF('Данные 1st'!$S$2:$S$317,$A76,'Данные 1st'!$JD$2:$JD$317),"")</f>
        <v>1475</v>
      </c>
      <c r="EJ76" s="7">
        <f>IFERROR(AVERAGEIF('Данные 1st'!$S$2:$S$317,$A76,'Данные 1st'!$JE$2:$JE$317),"")</f>
        <v>1467.2</v>
      </c>
      <c r="EK76" s="7">
        <f>IFERROR(AVERAGEIF('Данные 1st'!$S$2:$S$317,$A76,'Данные 1st'!$JF$2:$JF$317),"")</f>
        <v>1472.6</v>
      </c>
      <c r="EL76" s="7">
        <f>IFERROR(AVERAGEIF('Данные 1st'!$S$2:$S$317,$A76,'Данные 1st'!$JG$2:$JG$317),"")</f>
        <v>1457</v>
      </c>
      <c r="EM76" s="7">
        <f>IFERROR(AVERAGEIF('Данные 1st'!$S$2:$S$317,$A76,'Данные 1st'!$JH$2:$JH$317),"")</f>
        <v>0</v>
      </c>
      <c r="EN76" s="7">
        <f>IFERROR(AVERAGEIF('Данные 1st'!$S$2:$S$317,$A76,'Данные 1st'!$JJ$2:$JJ$317),"")</f>
        <v>180</v>
      </c>
      <c r="EO76" s="7">
        <f>IFERROR(AVERAGEIF('Данные 1st'!$S$2:$S$317,$A76,'Данные 1st'!$JK$2:$JK$317),"")</f>
        <v>538</v>
      </c>
      <c r="EP76" s="7">
        <f>IFERROR(AVERAGEIF('Данные 1st'!$S$2:$S$317,$A76,'Данные 1st'!$JL$2:$JL$317),"")</f>
        <v/>
      </c>
      <c r="EQ76" s="7">
        <f>IFERROR(AVERAGEIF('Данные 1st'!$S$2:$S$317,$A76,'Данные 1st'!$JM$2:$JM$317),"")</f>
        <v/>
      </c>
      <c r="ER76" s="7">
        <f>IFERROR(AVERAGEIF('Данные 1st'!$S$2:$S$317,$A76,'Данные 1st'!$JN$2:$JN$317),"")</f>
        <v>464</v>
      </c>
      <c r="ES76" s="7">
        <f>IFERROR(AVERAGEIF('Данные 1st'!$S$2:$S$317,$A76,'Данные 1st'!$JO$2:$JO$317),"")</f>
        <v>657</v>
      </c>
      <c r="ET76" s="7">
        <f>IFERROR(AVERAGEIF('Данные 1st'!$S$2:$S$317,$A76,'Данные 1st'!$JP$2:$JP$317),"")</f>
        <v>546</v>
      </c>
      <c r="EU76" s="7">
        <f>IFERROR(AVERAGEIF('Данные 1st'!$S$2:$S$317,$A76,'Данные 1st'!$JQ$2:$JQ$317),"")</f>
        <v>0</v>
      </c>
      <c r="EV76" s="7">
        <f>IFERROR(AVERAGEIF('Данные 1st'!$S$2:$S$317,$A76,'Данные 1st'!$JR$2:$JR$317),"")</f>
        <v>498.4</v>
      </c>
      <c r="EW76" s="7">
        <f>IFERROR(AVERAGEIF('Данные 1st'!$S$2:$S$317,$A76,'Данные 1st'!$JS$2:$JS$317),"")</f>
        <v>162</v>
      </c>
      <c r="EX76" s="7">
        <f>IFERROR(AVERAGEIF('Данные 1st'!$S$2:$S$317,$A76,'Данные 1st'!$JT$2:$JT$317),"")</f>
        <v/>
      </c>
      <c r="EY76" s="7">
        <f>IFERROR(AVERAGEIF('Данные 1st'!$S$2:$S$317,$A76,'Данные 1st'!$JU$2:$JU$317),"")</f>
        <v/>
      </c>
      <c r="EZ76" s="7">
        <f>IFERROR(AVERAGEIF('Данные 1st'!$S$2:$S$317,$A76,'Данные 1st'!$JV$2:$JV$317),"")</f>
        <v>9.2</v>
      </c>
      <c r="FA76" s="7">
        <f>IFERROR(AVERAGEIF('Данные 1st'!$S$2:$S$317,$A76,'Данные 1st'!$JW$2:$JW$317),"")</f>
        <v/>
      </c>
      <c r="FB76" s="7">
        <f>IFERROR(AVERAGEIF('Данные 1st'!$S$2:$S$317,$A76,'Данные 1st'!$JX$2:$JX$317),"")</f>
        <v>551.6</v>
      </c>
      <c r="FC76" s="7">
        <f>IFERROR(AVERAGEIF('Данные 1st'!$S$2:$S$317,$A76,'Данные 1st'!$JY$2:$JY$317),"")</f>
        <v/>
      </c>
      <c r="FD76" s="7">
        <f>IFERROR(AVERAGEIF('Данные 1st'!$S$2:$S$317,$A76,'Данные 1st'!$JZ$2:$JZ$317),"")</f>
        <v/>
      </c>
      <c r="FE76" s="7">
        <f>IFERROR(AVERAGEIF('Данные 1st'!$S$2:$S$317,$A76,'Данные 1st'!$KA$2:$KA$317),"")</f>
        <v>225</v>
      </c>
      <c r="FF76" s="7">
        <f>IFERROR(AVERAGEIF('Данные 1st'!$S$2:$S$317,$A76,'Данные 1st'!$KB$2:$KB$317),"")</f>
        <v>110</v>
      </c>
      <c r="FG76" s="7">
        <f>IFERROR(AVERAGEIF('Данные 1st'!$S$2:$S$317,$A76,'Данные 1st'!$KC$2:$KC$317),"")</f>
        <v>0</v>
      </c>
      <c r="FH76" s="7">
        <f>IFERROR(AVERAGEIF('Данные 1st'!$S$2:$S$317,$A76,'Данные 1st'!$KD$2:$KD$317),"")</f>
        <v>80</v>
      </c>
      <c r="FI76" s="7">
        <f>IFERROR(AVERAGEIF('Данные 1st'!$S$2:$S$317,$A76,'Данные 1st'!$KE$2:$KE$317),"")</f>
        <v/>
      </c>
      <c r="FJ76" s="7">
        <f>IFERROR(AVERAGEIF('Данные 1st'!$S$2:$S$317,$A76,'Данные 1st'!$KF$2:$KF$317),"")</f>
        <v>4</v>
      </c>
      <c r="FK76" s="7">
        <f>IFERROR(AVERAGEIF('Данные 1st'!$S$2:$S$317,$A76,'Данные 1st'!$KG$2:$KG$317),"")</f>
        <v>2.8</v>
      </c>
      <c r="FL76" s="7">
        <f>IFERROR(AVERAGEIF('Данные 1st'!$S$2:$S$317,$A76,'Данные 1st'!$KH$2:$KH$317),"")</f>
        <v>2</v>
      </c>
      <c r="FM76" s="7">
        <f>IFERROR(AVERAGEIF('Данные 1st'!$S$2:$S$317,$A76,'Данные 1st'!$KI$2:$KI$317),"")</f>
        <v>2</v>
      </c>
      <c r="FN76" s="7">
        <f>IFERROR(AVERAGEIF('Данные 1st'!$S$2:$S$317,$A76,'Данные 1st'!$KJ$2:$KJ$317),"")</f>
        <v>0</v>
      </c>
      <c r="FO76" s="7">
        <f>IFERROR(AVERAGEIF('Данные 1st'!$S$2:$S$317,$A76,'Данные 1st'!$KK$2:$KK$317),"")</f>
        <v>1.5</v>
      </c>
      <c r="FP76" s="7">
        <f>IFERROR(AVERAGEIF('Данные 1st'!$S$2:$S$317,$A76,'Данные 1st'!$KL$2:$KL$317),"")</f>
        <v>1.5</v>
      </c>
      <c r="FQ76" s="7">
        <f>IFERROR(AVERAGEIF('Данные 1st'!$S$2:$S$317,$A76,'Данные 1st'!$KM$2:$KM$317),"")</f>
        <v>0</v>
      </c>
      <c r="FR76" s="7">
        <f>IFERROR(AVERAGEIF('Данные 1st'!$S$2:$S$317,$A76,'Данные 1st'!$KN$2:$KN$317),"")</f>
        <v>0</v>
      </c>
      <c r="FS76" s="7">
        <f>IFERROR(AVERAGEIF('Данные 1st'!$S$2:$S$317,$A76,'Данные 1st'!$KR$2:$KR$317),"")</f>
        <v>34</v>
      </c>
      <c r="FT76" s="7">
        <f>IFERROR(AVERAGEIF('Данные 1st'!$S$2:$S$317,$A76,'Данные 1st'!$KS$2:$KS$317),"")</f>
        <v>60</v>
      </c>
      <c r="FU76" s="7">
        <f>IFERROR(AVERAGEIF('Данные 1st'!$S$2:$S$317,$A76,'Данные 1st'!$KT$2:$KT$317),"")</f>
        <v>0</v>
      </c>
      <c r="FV76" s="7">
        <f>IFERROR(AVERAGEIF('Данные 1st'!$S$2:$S$317,$A76,'Данные 1st'!$KV$2:$KV$317),"")</f>
        <v/>
      </c>
      <c r="FW76" s="7">
        <f>IFERROR(AVERAGEIF('Данные 1st'!$S$2:$S$317,$A76,'Данные 1st'!$KW$2:$KW$317),"")</f>
        <v/>
      </c>
      <c r="FX76" s="7">
        <f>IFERROR(AVERAGEIF('Данные 1st'!$S$2:$S$317,$A76,'Данные 1st'!$KX$2:$KX$317),"")</f>
        <v/>
      </c>
      <c r="FY76" s="7">
        <f>IFERROR(AVERAGEIF('Данные 1st'!$S$2:$S$317,$A76,'Данные 1st'!$KY$2:$KY$317),"")</f>
        <v/>
      </c>
      <c r="FZ76" s="7">
        <f>IFERROR(AVERAGEIF('Данные 1st'!$S$2:$S$317,$A76,'Данные 1st'!$KZ$2:$KZ$317),"")</f>
        <v/>
      </c>
      <c r="GA76" s="7">
        <f>IFERROR(AVERAGEIF('Данные 1st'!$S$2:$S$317,$A76,'Данные 1st'!$LA$2:$LA$317),"")</f>
        <v/>
      </c>
      <c r="GB76" s="7">
        <f>IFERROR(AVERAGEIF('Данные 1st'!$S$2:$S$317,$A76,'Данные 1st'!$LB$2:$LB$317),"")</f>
        <v/>
      </c>
      <c r="GC76" s="7">
        <f>IFERROR(AVERAGEIF('Данные 1st'!$S$2:$S$317,$A76,'Данные 1st'!$LC$2:$LC$317),"")</f>
        <v/>
      </c>
      <c r="GD76" s="7">
        <f>IFERROR(AVERAGEIF('Данные 1st'!$S$2:$S$317,$A76,'Данные 1st'!$LD$2:$LD$317),"")</f>
        <v/>
      </c>
      <c r="GE76" s="7">
        <f>IFERROR(AVERAGEIF('Данные 1st'!$S$2:$S$317,$A76,'Данные 1st'!$LE$2:$LE$317),"")</f>
        <v/>
      </c>
      <c r="GF76" s="7">
        <f>IFERROR(AVERAGEIF('Данные 1st'!$S$2:$S$317,$A76,'Данные 1st'!$LF$2:$LF$317),"")</f>
        <v/>
      </c>
      <c r="GG76" s="7">
        <f>IFERROR(AVERAGEIF('Данные 1st'!$S$2:$S$317,$A76,'Данные 1st'!$LG$2:$LG$317),"")</f>
        <v/>
      </c>
      <c r="GH76" s="7">
        <f>IFERROR(AVERAGEIF('Данные 1st'!$S$2:$S$317,$A76,'Данные 1st'!$LH$2:$LH$317),"")</f>
        <v/>
      </c>
      <c r="GI76" s="7">
        <f>IFERROR(AVERAGEIF('Данные 1st'!$S$2:$S$317,$A76,'Данные 1st'!$LI$2:$LI$317),"")</f>
        <v/>
      </c>
      <c r="GJ76" s="7">
        <f>IFERROR(AVERAGEIF('Данные 1st'!$S$2:$S$317,$A76,'Данные 1st'!$LJ$2:$LJ$317),"")</f>
        <v/>
      </c>
      <c r="GK76" s="7">
        <f>IFERROR(AVERAGEIF('Данные 1st'!$S$2:$S$317,$A76,'Данные 1st'!$LK$2:$LK$317),"")</f>
        <v>480</v>
      </c>
      <c r="GL76" s="7">
        <f>IFERROR(AVERAGEIF('Данные 1st'!$S$2:$S$317,$A76,'Данные 1st'!$LV$2:$LV$317),"")</f>
        <v/>
      </c>
      <c r="GM76" s="7">
        <f>IFERROR(AVERAGEIF('Данные 1st'!$S$2:$S$317,$A76,'Данные 1st'!$LW$2:$LW$317),"")</f>
        <v/>
      </c>
      <c r="GN76" s="7">
        <f>IFERROR(AVERAGEIF('Данные 1st'!$S$2:$S$317,$A76,'Данные 1st'!$LX$2:$LX$317),"")</f>
        <v/>
      </c>
      <c r="GO76" s="7">
        <f>IFERROR(AVERAGEIF('Данные 1st'!$S$2:$S$317,$A76,'Данные 1st'!$LY$2:$LY$317),"")</f>
        <v/>
      </c>
      <c r="GP76" s="7">
        <f>IFERROR(AVERAGEIF('Данные 1st'!$S$2:$S$317,$A76,'Данные 1st'!$LZ$2:$LZ$317),"")</f>
        <v/>
      </c>
      <c r="GQ76" s="7">
        <f>IFERROR(AVERAGEIF('Данные 1st'!$S$2:$S$317,$A76,'Данные 1st'!$PG$2:$PG$317),"")</f>
        <v>1</v>
      </c>
      <c r="GR76" s="7">
        <f>IFERROR(AVERAGEIF('Данные 1st'!$S$2:$S$317,$A76,'Данные 1st'!$PX$2:$PX$317),"")</f>
        <v>56</v>
      </c>
      <c r="GS76" s="7">
        <f>IFERROR(AVERAGEIF('Данные 1st'!$S$2:$S$317,$A76,'Данные 1st'!$PY$2:$PY$317),"")</f>
        <v>56.4</v>
      </c>
      <c r="GT76" s="7">
        <f>IFERROR(AVERAGEIF('Данные 1st'!$S$2:$S$317,$A76,'Данные 1st'!$QA$2:$QA$317),"")</f>
        <v>1.4</v>
      </c>
      <c r="GU76" s="7">
        <f>IFERROR(AVERAGEIF('Данные 1st'!$S$2:$S$317,$A76,'Данные 1st'!$QB$2:$QB$317),"")</f>
        <v>1457</v>
      </c>
      <c r="GV76" s="7">
        <f>IFERROR(AVERAGEIF('Данные 1st'!$S$2:$S$317,$A76,'Данные 1st'!$QC$2:$QC$317),"")</f>
        <v>69</v>
      </c>
      <c r="GW76" s="7">
        <f>IFERROR(AVERAGEIF('Данные 1st'!$S$2:$S$317,$A76,'Данные 1st'!$QD$2:$QD$317),"")</f>
        <v>69</v>
      </c>
      <c r="GX76" s="7">
        <f>IFERROR(AVERAGEIF('Данные 1st'!$S$2:$S$317,$A76,'Данные 1st'!$QF$2:$QF$317),"")</f>
        <v>1</v>
      </c>
      <c r="GY76" s="7">
        <f>IFERROR(AVERAGEIF('Данные 1st'!$S$2:$S$317,$A76,'Данные 1st'!$QG$2:$QG$317),"")</f>
        <v>1475</v>
      </c>
      <c r="GZ76" s="7">
        <f>IFERROR(AVERAGEIF('Данные 1st'!$S$2:$S$317,$A76,'Данные 1st'!$QH$2:$QH$317),"")</f>
        <v>66</v>
      </c>
      <c r="HA76" s="7">
        <f>IFERROR(AVERAGEIF('Данные 1st'!$S$2:$S$317,$A76,'Данные 1st'!$QI$2:$QI$317),"")</f>
        <v>66</v>
      </c>
      <c r="HB76" s="7">
        <f>IFERROR(AVERAGEIF('Данные 1st'!$S$2:$S$317,$A76,'Данные 1st'!$QK$2:$QK$317),"")</f>
        <v>1</v>
      </c>
      <c r="HC76" s="7">
        <f>IFERROR(AVERAGEIF('Данные 1st'!$S$2:$S$317,$A76,'Данные 1st'!$QL$2:$QL$317),"")</f>
        <v>1475</v>
      </c>
      <c r="HD76" s="7">
        <f>IFERROR(AVERAGEIF('Данные 1st'!$S$2:$S$317,$A76,'Данные 1st'!$QM$2:$QM$317),"")</f>
        <v>62</v>
      </c>
      <c r="HE76" s="7">
        <f>IFERROR(AVERAGEIF('Данные 1st'!$S$2:$S$317,$A76,'Данные 1st'!$QN$2:$QN$317),"")</f>
        <v>62</v>
      </c>
      <c r="HF76" s="7">
        <f>IFERROR(AVERAGEIF('Данные 1st'!$S$2:$S$317,$A76,'Данные 1st'!$QP$2:$QP$317),"")</f>
        <v>1</v>
      </c>
      <c r="HG76" s="7">
        <f>IFERROR(AVERAGEIF('Данные 1st'!$S$2:$S$317,$A76,'Данные 1st'!$QQ$2:$QQ$317),"")</f>
        <v>1467.2</v>
      </c>
      <c r="HH76" s="7">
        <f>IFERROR(AVERAGEIF('Данные 1st'!$S$2:$S$317,$A76,'Данные 1st'!$QR$2:$QR$317),"")</f>
        <v>62</v>
      </c>
      <c r="HI76" s="7">
        <f>IFERROR(AVERAGEIF('Данные 1st'!$S$2:$S$317,$A76,'Данные 1st'!$QS$2:$QS$317),"")</f>
        <v>62</v>
      </c>
      <c r="HJ76" s="7">
        <f>IFERROR(AVERAGEIF('Данные 1st'!$S$2:$S$317,$A76,'Данные 1st'!$QU$2:$QU$317),"")</f>
        <v>1</v>
      </c>
      <c r="HK76" s="7">
        <f>IFERROR(AVERAGEIF('Данные 1st'!$S$2:$S$317,$A76,'Данные 1st'!$QV$2:$QV$317),"")</f>
        <v>1472.6</v>
      </c>
      <c r="HL76" s="7">
        <f>IFERROR(AVERAGEIF('Данные 1st'!$S$2:$S$317,$A76,'Данные 1st'!$QW$2:$QW$317),"")</f>
        <v>82</v>
      </c>
      <c r="HM76" s="7">
        <f>IFERROR(AVERAGEIF('Данные 1st'!$S$2:$S$317,$A76,'Данные 1st'!$QX$2:$QX$317),"")</f>
        <v>88.8</v>
      </c>
      <c r="HN76" s="7">
        <f>IFERROR(AVERAGEIF('Данные 1st'!$S$2:$S$317,$A76,'Данные 1st'!$QZ$2:$QZ$317),"")</f>
        <v>1</v>
      </c>
      <c r="HO76" s="7">
        <f>IFERROR(AVERAGEIF('Данные 1st'!$S$2:$S$317,$A76,'Данные 1st'!$RA$2:$RA$317),"")</f>
        <v>66</v>
      </c>
      <c r="HP76" s="7">
        <f>IFERROR(AVERAGEIF('Данные 1st'!$S$2:$S$317,$A76,'Данные 1st'!$RB$2:$RB$317),"")</f>
        <v>66</v>
      </c>
      <c r="HQ76" s="7">
        <f>IFERROR(AVERAGEIF('Данные 1st'!$S$2:$S$317,$A76,'Данные 1st'!$RD$2:$RD$317),"")</f>
        <v/>
      </c>
      <c r="HR76" s="7">
        <f>IFERROR(AVERAGEIF('Данные 1st'!$S$2:$S$317,$A76,'Данные 1st'!$RE$2:$RE$317),"")</f>
        <v>0</v>
      </c>
      <c r="HS76" s="7">
        <f>IFERROR(AVERAGEIF('Данные 1st'!$S$2:$S$317,$A76,'Данные 1st'!$RF$2:$RF$317),"")</f>
        <v>1</v>
      </c>
      <c r="HT76" s="7">
        <f>IFERROR(AVERAGEIF('Данные 1st'!$S$2:$S$317,$A76,'Данные 1st'!$RG$2:$RG$317),"")</f>
        <v/>
      </c>
      <c r="HU76" s="7">
        <f>IFERROR(AVERAGEIF('Данные 1st'!$S$2:$S$317,$A76,'Данные 1st'!$RH$2:$RH$317),"")</f>
        <v>1</v>
      </c>
      <c r="HV76" s="7">
        <f>IFERROR(AVERAGEIF('Данные 1st'!$S$2:$S$317,$A76,'Данные 1st'!$RI$2:$RI$317),"")</f>
        <v/>
      </c>
      <c r="HW76" s="7">
        <f>IFERROR(AVERAGEIF('Данные 1st'!$S$2:$S$317,$A76,'Данные 1st'!$RJ$2:$RJ$317),"")</f>
        <v>1</v>
      </c>
      <c r="HX76" s="7">
        <f>IFERROR(AVERAGEIF('Данные 1st'!$S$2:$S$317,$A76,'Данные 1st'!$RK$2:$RK$317),"")</f>
        <v>2.4</v>
      </c>
      <c r="HY76" s="7">
        <f>IFERROR(AVERAGEIF('Данные 1st'!$S$2:$S$317,$A76,'Данные 1st'!$RL$2:$RL$317),"")</f>
        <v>3.4</v>
      </c>
      <c r="HZ76" s="7">
        <f>IFERROR(AVERAGEIF('Данные 1st'!$S$2:$S$317,$A76,'Данные 1st'!$RM$2:$RM$317),"")</f>
        <v>3.4</v>
      </c>
      <c r="IA76" s="7">
        <f>IFERROR(AVERAGEIF('Данные 1st'!$S$2:$S$317,$A76,'Данные 1st'!$RN$2:$RN$317),"")</f>
        <v/>
      </c>
      <c r="IB76" s="7">
        <f>IFERROR(AVERAGEIF('Данные 1st'!$S$2:$S$317,$A76,'Данные 1st'!$RO$2:$RO$317),"")</f>
        <v>657.6</v>
      </c>
      <c r="IC76" s="7">
        <f>IFERROR(AVERAGEIF('Данные 1st'!$S$2:$S$317,$A76,'Данные 1st'!$RP$2:$RP$317),"")</f>
        <v>140.8</v>
      </c>
      <c r="ID76" s="7">
        <f>IFERROR(AVERAGEIF('Данные 1st'!$S$2:$S$317,$A76,'Данные 1st'!$RQ$2:$RQ$317),"")</f>
        <v>825.8</v>
      </c>
      <c r="IE76" s="7">
        <f>IFERROR(AVERAGEIF('Данные 1st'!$S$2:$S$317,$A76,'Данные 1st'!$RR$2:$RR$317),"")</f>
        <v>644.2</v>
      </c>
      <c r="IF76" s="7">
        <f>IFERROR(AVERAGEIF('Данные 1st'!$S$2:$S$317,$A76,'Данные 1st'!$RS$2:$RS$317),"")</f>
        <v/>
      </c>
      <c r="IG76" s="7">
        <f>IFERROR(AVERAGEIF('Данные 1st'!$S$2:$S$317,$A76,'Данные 1st'!$RT$2:$RT$317),"")</f>
        <v>363.6</v>
      </c>
      <c r="IH76" s="7">
        <f>IFERROR(AVERAGEIF('Данные 1st'!$S$2:$S$317,$A76,'Данные 1st'!$RU$2:$RU$317),"")</f>
        <v>270.4</v>
      </c>
      <c r="II76" s="7">
        <f>IFERROR(AVERAGEIF('Данные 1st'!$S$2:$S$317,$A76,'Данные 1st'!$RX$2:$RX$317),"")</f>
        <v>15</v>
      </c>
      <c r="IJ76" s="7">
        <f>IFERROR(AVERAGEIF('Данные 1st'!$S$2:$S$317,$A76,'Данные 1st'!$RY$2:$RY$317),"")</f>
        <v>4</v>
      </c>
      <c r="IK76" s="7">
        <f>IFERROR(AVERAGEIF('Данные 1st'!$S$2:$S$317,$A76,'Данные 1st'!$SA$2:$SA$317),"")</f>
        <v>15</v>
      </c>
      <c r="IL76" s="7">
        <f>IFERROR(AVERAGEIF('Данные 1st'!$S$2:$S$317,$A76,'Данные 1st'!$SD$2:$SD$317),"")</f>
        <v>1</v>
      </c>
      <c r="IM76" s="7">
        <f>IFERROR(AVERAGEIF('Данные 1st'!$S$2:$S$317,$A76,'Данные 1st'!$SG$2:$SG$317),"")</f>
        <v>1</v>
      </c>
      <c r="IN76" s="7">
        <f>IFERROR(AVERAGEIF('Данные 1st'!$S$2:$S$317,$A76,'Данные 1st'!$SH$2:$SH$317),"")</f>
        <v>0.995</v>
      </c>
      <c r="IO76" s="7">
        <f>IFERROR(AVERAGEIF('Данные 1st'!$S$2:$S$317,$A76,'Данные 1st'!$SI$2:$SI$317),"")</f>
        <v>0.995</v>
      </c>
      <c r="IP76" s="7">
        <f>IFERROR(AVERAGEIF('Данные 1st'!$S$2:$S$317,$A76,'Данные 1st'!$SJ$2:$SJ$317),"")</f>
        <v>0.995</v>
      </c>
      <c r="IQ76" s="7">
        <f>IFERROR(AVERAGEIF('Данные 1st'!$S$2:$S$317,$A76,'Данные 1st'!$SK$2:$SK$317),"")</f>
        <v>15</v>
      </c>
      <c r="IR76" s="7">
        <f>IFERROR(AVERAGEIF('Данные 1st'!$S$2:$S$317,$A76,'Данные 1st'!$SL$2:$SL$317),"")</f>
        <v>0</v>
      </c>
      <c r="IS76" s="7">
        <f>IFERROR(AVERAGEIF('Данные 1st'!$S$2:$S$317,$A76,'Данные 1st'!$SM$2:$SM$317),"")</f>
        <v>0</v>
      </c>
      <c r="IT76" s="7">
        <f>IFERROR(AVERAGEIF('Данные 1st'!$S$2:$S$317,$A76,'Данные 1st'!$SN$2:$SN$317),"")</f>
        <v>0</v>
      </c>
      <c r="IU76" s="7">
        <f>IFERROR(AVERAGEIF('Данные 1st'!$S$2:$S$317,$A76,'Данные 1st'!$SO$2:$SO$317),"")</f>
        <v>0</v>
      </c>
      <c r="IV76" s="7">
        <f>IFERROR(AVERAGEIF('Данные 1st'!$S$2:$S$317,$A76,'Данные 1st'!$SP$2:$SP$317),"")</f>
        <v>0</v>
      </c>
      <c r="IW76" s="7">
        <f>IFERROR(AVERAGEIF('Данные 1st'!$S$2:$S$317,$A76,'Данные 1st'!$SQ$2:$SQ$317),"")</f>
        <v>0</v>
      </c>
      <c r="IX76" s="7">
        <f>IFERROR(AVERAGEIF('Данные 1st'!$S$2:$S$317,$A76,'Данные 1st'!$SR$2:$SR$317),"")</f>
        <v>0</v>
      </c>
      <c r="IY76" s="7">
        <f>IFERROR(AVERAGEIF('Данные 1st'!$S$2:$S$317,$A76,'Данные 1st'!$SS$2:$SS$317),"")</f>
        <v>0</v>
      </c>
      <c r="IZ76" s="7">
        <f>IFERROR(AVERAGEIF('Данные 1st'!$S$2:$S$317,$A76,'Данные 1st'!$ST$2:$ST$317),"")</f>
        <v>0</v>
      </c>
      <c r="JA76" s="7">
        <f>IFERROR(AVERAGEIF('Данные 1st'!$S$2:$S$317,$A76,'Данные 1st'!$SU$2:$SU$317),"")</f>
        <v>0</v>
      </c>
      <c r="JB76" s="7">
        <f>IFERROR(AVERAGEIF('Данные 1st'!$S$2:$S$317,$A76,'Данные 1st'!$SV$2:$SV$317),"")</f>
        <v>0</v>
      </c>
      <c r="JC76" s="7">
        <f>IFERROR(AVERAGEIF('Данные 1st'!$S$2:$S$317,$A76,'Данные 1st'!$SW$2:$SW$317),"")</f>
        <v>0</v>
      </c>
      <c r="JD76" s="7">
        <f>IFERROR(AVERAGEIF('Данные 1st'!$S$2:$S$317,$A76,'Данные 1st'!$SX$2:$SX$317),"")</f>
        <v>0</v>
      </c>
      <c r="JE76" s="7">
        <f>IFERROR(AVERAGEIF('Данные 1st'!$S$2:$S$317,$A76,'Данные 1st'!$SY$2:$SY$317),"")</f>
        <v>1</v>
      </c>
      <c r="JF76" s="7">
        <f>IFERROR(AVERAGEIF('Данные 1st'!$S$2:$S$317,$A76,'Данные 1st'!$SZ$2:$SZ$317),"")</f>
        <v>1</v>
      </c>
      <c r="JG76" s="7">
        <f>IFERROR(AVERAGEIF('Данные 1st'!$S$2:$S$317,$A76,'Данные 1st'!$TA$2:$TA$317),"")</f>
        <v/>
      </c>
      <c r="JH76" s="7">
        <f>IFERROR(AVERAGEIF('Данные 1st'!$S$2:$S$317,$A76,'Данные 1st'!$TB$2:$TB$317),"")</f>
        <v>0</v>
      </c>
      <c r="JI76" s="7">
        <f>IFERROR(AVERAGEIF('Данные 1st'!$S$2:$S$317,$A76,'Данные 1st'!$TC$2:$TC$317),"")</f>
        <v>0</v>
      </c>
      <c r="JJ76" s="7">
        <f>IFERROR(AVERAGEIF('Данные 1st'!$S$2:$S$317,$A76,'Данные 1st'!$TD$2:$TD$317),"")</f>
        <v>8.64</v>
      </c>
      <c r="JK76" s="7">
        <f>IFERROR(AVERAGEIF('Данные 1st'!$S$2:$S$317,$A76,'Данные 1st'!$TN$2:$TN$317),"")</f>
        <v>0</v>
      </c>
      <c r="JL76">
        <f>COUNTIF('Данные 2st'!$Q$2:$Q$317,$A76)</f>
        <v>5</v>
      </c>
      <c r="JM76" s="6" t="s">
        <v>5118</v>
      </c>
      <c r="JN76" s="6" t="s">
        <v>513</v>
      </c>
      <c r="JO76" s="6" t="s">
        <v>5125</v>
      </c>
      <c r="JP76" s="6" t="s">
        <v>5521</v>
      </c>
      <c r="JQ76" s="7">
        <f>IFERROR(AVERAGEIF('Данные 2st'!$Q$2:$Q$317,$A76,'Данные 2st'!$AC$2:$AC$317),"")</f>
        <v>9</v>
      </c>
      <c r="JR76" s="7">
        <f>IFERROR(AVERAGEIF('Данные 2st'!$Q$2:$Q$317,$A76,'Данные 2st'!$AF$2:$AF$317),"")</f>
        <v>6847.6</v>
      </c>
      <c r="JS76" s="7">
        <f>IFERROR(AVERAGEIF('Данные 2st'!$Q$2:$Q$317,$A76,'Данные 2st'!$AW$2:$AW$317),"")</f>
        <v>6.4</v>
      </c>
      <c r="JT76" s="7">
        <f>IFERROR(AVERAGEIF('Данные 2st'!$Q$2:$Q$317,$A76,'Данные 2st'!$AX$2:$AX$317),"")</f>
        <v>-6</v>
      </c>
      <c r="JU76" s="7">
        <f>IFERROR(AVERAGEIF('Данные 2st'!$Q$2:$Q$317,$A76,'Данные 2st'!$AY$2:$AY$317),"")</f>
        <v>118.0</v>
      </c>
      <c r="JV76" s="7">
        <f>IFERROR(AVERAGEIF('Данные 2st'!$Q$2:$Q$317,$A76,'Данные 2st'!$AZ$2:$AZ$317),"")</f>
        <v>89.7</v>
      </c>
      <c r="JW76" s="7">
        <f>IFERROR(AVERAGEIF('Данные 2st'!$Q$2:$Q$317,$A76,'Данные 2st'!$BA$2:$BA$317),"")</f>
        <v/>
      </c>
      <c r="JX76" s="7">
        <f>IFERROR(AVERAGEIF('Данные 2st'!$Q$2:$Q$317,$A76,'Данные 2st'!$BB$2:$BB$317),"")</f>
        <v/>
      </c>
      <c r="JY76" s="7">
        <f>IFERROR(AVERAGEIF('Данные 2st'!$Q$2:$Q$317,$A76,'Данные 2st'!$BC$2:$BC$317),"")</f>
        <v/>
      </c>
      <c r="JZ76" s="7">
        <f>IFERROR(AVERAGEIF('Данные 2st'!$Q$2:$Q$317,$A76,'Данные 2st'!$BH$2:$BH$317),"")</f>
        <v>118.0</v>
      </c>
      <c r="KA76" s="7">
        <f>IFERROR(AVERAGEIF('Данные 2st'!$Q$2:$Q$317,$A76,'Данные 2st'!$BI$2:$BI$317),"")</f>
        <v>28.3</v>
      </c>
      <c r="KB76" s="7">
        <f>IFERROR(AVERAGEIF('Данные 2st'!$Q$2:$Q$317,$A76,'Данные 2st'!$BJ$2:$BJ$317),"")</f>
        <v>89.7</v>
      </c>
      <c r="KC76" s="7">
        <f>IFERROR(AVERAGEIF('Данные 2st'!$Q$2:$Q$317,$A76,'Данные 2st'!$BK$2:$BK$317),"")</f>
        <v>2.5</v>
      </c>
      <c r="KD76" s="7">
        <f>IFERROR(AVERAGEIF('Данные 2st'!$Q$2:$Q$317,$A76,'Данные 2st'!$BL$2:$BL$317),"")</f>
        <v>236</v>
      </c>
      <c r="KE76" s="7">
        <f>IFERROR(AVERAGEIF('Данные 2st'!$Q$2:$Q$317,$A76,'Данные 2st'!$BM$2:$BM$317),"")</f>
        <v>-6</v>
      </c>
      <c r="KF76" s="7">
        <f>IFERROR(AVERAGEIF('Данные 2st'!$Q$2:$Q$317,$A76,'Данные 2st'!$BN$2:$BN$317),"")</f>
        <v>0</v>
      </c>
      <c r="KG76" s="7">
        <f>IFERROR(AVERAGEIF('Данные 2st'!$Q$2:$Q$317,$A76,'Данные 2st'!$BO$2:$BO$317),"")</f>
        <v>0</v>
      </c>
      <c r="KH76" s="7">
        <f>IFERROR(AVERAGEIF('Данные 2st'!$Q$2:$Q$317,$A76,'Данные 2st'!$BP$2:$BP$317),"")</f>
        <v>0</v>
      </c>
      <c r="KI76" s="7">
        <f>IFERROR(AVERAGEIF('Данные 2st'!$Q$2:$Q$317,$A76,'Данные 2st'!$BR$2:$BR$317),"")</f>
        <v>231</v>
      </c>
      <c r="KJ76" s="7">
        <f>IFERROR(AVERAGEIF('Данные 2st'!$Q$2:$Q$317,$A76,'Данные 2st'!$BS$2:$BS$317),"")</f>
        <v>221</v>
      </c>
      <c r="KK76" s="7">
        <f>IFERROR(AVERAGEIF('Данные 2st'!$Q$2:$Q$317,$A76,'Данные 2st'!$BT$2:$BT$317),"")</f>
        <v>2267</v>
      </c>
      <c r="KL76" s="7">
        <f>IFERROR(AVERAGEIF('Данные 2st'!$Q$2:$Q$317,$A76,'Данные 2st'!$CV$2:$CV$317),"")</f>
        <v>144</v>
      </c>
      <c r="KM76" s="7">
        <f>IFERROR(AVERAGEIF('Данные 2st'!$Q$2:$Q$317,$A76,'Данные 2st'!$CW$2:$CW$317),"")</f>
        <v>3</v>
      </c>
      <c r="KN76" s="7">
        <f>IFERROR(AVERAGEIF('Данные 2st'!$Q$2:$Q$317,$A76,'Данные 2st'!$CX$2:$CX$317),"")</f>
        <v>100.6</v>
      </c>
      <c r="KO76" s="7">
        <f>IFERROR(AVERAGEIF('Данные 2st'!$Q$2:$Q$317,$A76,'Данные 2st'!$CY$2:$CY$317),"")</f>
        <v>5</v>
      </c>
      <c r="KP76" s="7">
        <f>IFERROR(AVERAGEIF('Данные 2st'!$Q$2:$Q$317,$A76,'Данные 2st'!$CZ$2:$CZ$317),"")</f>
        <v>175</v>
      </c>
      <c r="KQ76" s="7">
        <f>IFERROR(AVERAGEIF('Данные 2st'!$Q$2:$Q$317,$A76,'Данные 2st'!$DA$2:$DA$317),"")</f>
        <v>5</v>
      </c>
      <c r="KR76" s="7">
        <f>IFERROR(AVERAGEIF('Данные 2st'!$Q$2:$Q$317,$A76,'Данные 2st'!$DB$2:$DB$317),"")</f>
        <v>15976</v>
      </c>
      <c r="KS76" s="7">
        <f>IFERROR(AVERAGEIF('Данные 2st'!$Q$2:$Q$317,$A76,'Данные 2st'!$DC$2:$DC$317),"")</f>
        <v>460</v>
      </c>
      <c r="KT76" s="7">
        <f>IFERROR(AVERAGEIF('Данные 2st'!$Q$2:$Q$317,$A76,'Данные 2st'!$DD$2:$DD$317),"")</f>
        <v>397.4</v>
      </c>
      <c r="KU76" s="7">
        <f>IFERROR(AVERAGEIF('Данные 2st'!$Q$2:$Q$317,$A76,'Данные 2st'!$DE$2:$DE$317),"")</f>
        <v>2390</v>
      </c>
      <c r="KV76" s="7">
        <f>IFERROR(AVERAGEIF('Данные 2st'!$Q$2:$Q$317,$A76,'Данные 2st'!$DF$2:$DF$317),"")</f>
        <v>2390</v>
      </c>
      <c r="KW76" s="7">
        <f>IFERROR(AVERAGEIF('Данные 2st'!$Q$2:$Q$317,$A76,'Данные 2st'!$DG$2:$DG$317),"")</f>
        <v>2405.8</v>
      </c>
      <c r="KX76" s="7">
        <f>IFERROR(AVERAGEIF('Данные 2st'!$Q$2:$Q$317,$A76,'Данные 2st'!$DH$2:$DH$317),"")</f>
        <v>0.8</v>
      </c>
      <c r="KY76" s="7">
        <f>IFERROR(AVERAGEIF('Данные 2st'!$Q$2:$Q$317,$A76,'Данные 2st'!$DI$2:$DI$317),"")</f>
        <v/>
      </c>
      <c r="KZ76" s="7">
        <f>IFERROR(AVERAGEIF('Данные 2st'!$Q$2:$Q$317,$A76,'Данные 2st'!$DK$2:$DK$317),"")</f>
        <v>231</v>
      </c>
      <c r="LA76" s="7">
        <f>IFERROR(AVERAGEIF('Данные 2st'!$Q$2:$Q$317,$A76,'Данные 2st'!$DM$2:$DM$317),"")</f>
        <v>63.8</v>
      </c>
      <c r="LB76" s="7">
        <f>IFERROR(AVERAGEIF('Данные 2st'!$Q$2:$Q$317,$A76,'Данные 2st'!$DN$2:$DN$317),"")</f>
        <v>1.28</v>
      </c>
      <c r="LC76" s="7">
        <f>IFERROR(AVERAGEIF('Данные 2st'!$Q$2:$Q$317,$A76,'Данные 2st'!$DO$2:$DO$317),"")</f>
        <v>1</v>
      </c>
      <c r="LD76" s="7">
        <f>IFERROR(AVERAGEIF('Данные 2st'!$Q$2:$Q$317,$A76,'Данные 2st'!$DP$2:$DP$317),"")</f>
        <v>2271</v>
      </c>
      <c r="LE76" s="7">
        <f>IFERROR(AVERAGEIF('Данные 2st'!$Q$2:$Q$317,$A76,'Данные 2st'!$DQ$2:$DQ$317),"")</f>
        <v>1277.2</v>
      </c>
      <c r="LF76" s="7">
        <f>IFERROR(AVERAGEIF('Данные 2st'!$Q$2:$Q$317,$A76,'Данные 2st'!$DS$2:$DS$317),"")</f>
        <v>221</v>
      </c>
      <c r="LG76" s="7">
        <f>IFERROR(AVERAGEIF('Данные 2st'!$Q$2:$Q$317,$A76,'Данные 2st'!$DU$2:$DU$317),"")</f>
        <v>63.8</v>
      </c>
      <c r="LH76" s="7">
        <f>IFERROR(AVERAGEIF('Данные 2st'!$Q$2:$Q$317,$A76,'Данные 2st'!$DV$2:$DV$317),"")</f>
        <v>1.28</v>
      </c>
      <c r="LI76" s="7">
        <f>IFERROR(AVERAGEIF('Данные 2st'!$Q$2:$Q$317,$A76,'Данные 2st'!$DW$2:$DW$317),"")</f>
        <v>1</v>
      </c>
      <c r="LJ76" s="7">
        <f>IFERROR(AVERAGEIF('Данные 2st'!$Q$2:$Q$317,$A76,'Данные 2st'!$DX$2:$DX$317),"")</f>
        <v>2284.2</v>
      </c>
      <c r="LK76" s="7">
        <f>IFERROR(AVERAGEIF('Данные 2st'!$Q$2:$Q$317,$A76,'Данные 2st'!$DY$2:$DY$317),"")</f>
        <v>1229.2</v>
      </c>
      <c r="LL76" s="7">
        <f>IFERROR(AVERAGEIF('Данные 2st'!$Q$2:$Q$317,$A76,'Данные 2st'!$EA$2:$EA$317),"")</f>
        <v>20</v>
      </c>
      <c r="LM76" s="7">
        <f>IFERROR(AVERAGEIF('Данные 2st'!$Q$2:$Q$317,$A76,'Данные 2st'!$EC$2:$EC$317),"")</f>
        <v>0.8</v>
      </c>
      <c r="LN76" s="7">
        <f>IFERROR(AVERAGEIF('Данные 2st'!$Q$2:$Q$317,$A76,'Данные 2st'!$ED$2:$ED$317),"")</f>
        <v>2271</v>
      </c>
      <c r="LO76" s="7">
        <f>IFERROR(AVERAGEIF('Данные 2st'!$Q$2:$Q$317,$A76,'Данные 2st'!$EE$2:$EE$317),"")</f>
        <v>79.6</v>
      </c>
      <c r="LP76" s="7">
        <f>IFERROR(AVERAGEIF('Данные 2st'!$Q$2:$Q$317,$A76,'Данные 2st'!$EG$2:$EG$317),"")</f>
        <v>0</v>
      </c>
      <c r="LQ76" s="7">
        <f>IFERROR(AVERAGEIF('Данные 2st'!$Q$2:$Q$317,$A76,'Данные 2st'!$EI$2:$EI$317),"")</f>
        <v>0</v>
      </c>
      <c r="LR76" s="7">
        <f>IFERROR(AVERAGEIF('Данные 2st'!$Q$2:$Q$317,$A76,'Данные 2st'!$EJ$2:$EJ$317),"")</f>
        <v/>
      </c>
      <c r="LS76" s="7">
        <f>IFERROR(AVERAGEIF('Данные 2st'!$Q$2:$Q$317,$A76,'Данные 2st'!$EK$2:$EK$317),"")</f>
        <v/>
      </c>
      <c r="LT76" s="7">
        <f>IFERROR(AVERAGEIF('Данные 2st'!$Q$2:$Q$317,$A76,'Данные 2st'!$EM$2:$EM$317),"")</f>
        <v>12</v>
      </c>
      <c r="LU76" s="7">
        <f>IFERROR(AVERAGEIF('Данные 2st'!$Q$2:$Q$317,$A76,'Данные 2st'!$EN$2:$EN$317),"")</f>
        <v>0.5</v>
      </c>
      <c r="LV76" s="7">
        <f>IFERROR(AVERAGEIF('Данные 2st'!$Q$2:$Q$317,$A76,'Данные 2st'!$EO$2:$EO$317),"")</f>
        <v>0.96</v>
      </c>
      <c r="LW76" s="7">
        <f>IFERROR(AVERAGEIF('Данные 2st'!$Q$2:$Q$317,$A76,'Данные 2st'!$EP$2:$EP$317),"")</f>
        <v>2283.092</v>
      </c>
      <c r="LX76" s="7">
        <f>IFERROR(AVERAGEIF('Данные 2st'!$Q$2:$Q$317,$A76,'Данные 2st'!$EQ$2:$EQ$317),"")</f>
        <v>44234.928</v>
      </c>
      <c r="LY76" s="7">
        <f>IFERROR(AVERAGEIF('Данные 2st'!$Q$2:$Q$317,$A76,'Данные 2st'!$ER$2:$ER$317),"")</f>
        <v>10125.14</v>
      </c>
      <c r="LZ76" s="7">
        <f>IFERROR(AVERAGEIF('Данные 2st'!$Q$2:$Q$317,$A76,'Данные 2st'!$ES$2:$ES$317),"")</f>
        <v>0</v>
      </c>
      <c r="MA76" s="7">
        <f>IFERROR(AVERAGEIF('Данные 2st'!$Q$2:$Q$317,$A76,'Данные 2st'!$ET$2:$ET$317),"")</f>
        <v>0</v>
      </c>
      <c r="MB76" s="7">
        <f>IFERROR(AVERAGEIF('Данные 2st'!$Q$2:$Q$317,$A76,'Данные 2st'!$EU$2:$EU$317),"")</f>
        <v>1</v>
      </c>
      <c r="MC76" s="7">
        <f>IFERROR(AVERAGEIF('Данные 2st'!$Q$2:$Q$317,$A76,'Данные 2st'!$EV$2:$EV$317),"")</f>
        <v>54360.4</v>
      </c>
      <c r="MD76" s="7">
        <f>IFERROR(AVERAGEIF('Данные 2st'!$Q$2:$Q$317,$A76,'Данные 2st'!$EW$2:$EW$317),"")</f>
        <v>653</v>
      </c>
      <c r="ME76" s="7">
        <f>IFERROR(AVERAGEIF('Данные 2st'!$Q$2:$Q$317,$A76,'Данные 2st'!$EY$2:$EY$317),"")</f>
        <v>254</v>
      </c>
      <c r="MF76" s="7">
        <f>IFERROR(AVERAGEIF('Данные 2st'!$Q$2:$Q$317,$A76,'Данные 2st'!$FA$2:$FA$317),"")</f>
        <v>5.2</v>
      </c>
      <c r="MG76" s="7">
        <f>IFERROR(AVERAGEIF('Данные 2st'!$Q$2:$Q$317,$A76,'Данные 2st'!$FB$2:$FB$317),"")</f>
        <v>1</v>
      </c>
      <c r="MH76" s="7">
        <f>IFERROR(AVERAGEIF('Данные 2st'!$Q$2:$Q$317,$A76,'Данные 2st'!$FC$2:$FC$317),"")</f>
        <v>1</v>
      </c>
      <c r="MI76" s="7">
        <f>IFERROR(AVERAGEIF('Данные 2st'!$Q$2:$Q$317,$A76,'Данные 2st'!$FD$2:$FD$317),"")</f>
        <v>2317.6</v>
      </c>
      <c r="MJ76" s="7">
        <f>IFERROR(AVERAGEIF('Данные 2st'!$Q$2:$Q$317,$A76,'Данные 2st'!$FE$2:$FE$317),"")</f>
        <v>3239.4</v>
      </c>
      <c r="MK76" s="7">
        <f>IFERROR(AVERAGEIF('Данные 2st'!$Q$2:$Q$317,$A76,'Данные 2st'!$FG$2:$FG$317),"")</f>
        <v>254</v>
      </c>
      <c r="ML76" s="7">
        <f>IFERROR(AVERAGEIF('Данные 2st'!$Q$2:$Q$317,$A76,'Данные 2st'!$FI$2:$FI$317),"")</f>
        <v>3.28</v>
      </c>
      <c r="MM76" s="7">
        <f>IFERROR(AVERAGEIF('Данные 2st'!$Q$2:$Q$317,$A76,'Данные 2st'!$FJ$2:$FJ$317),"")</f>
        <v>2317.6</v>
      </c>
      <c r="MN76" s="7">
        <f>IFERROR(AVERAGEIF('Данные 2st'!$Q$2:$Q$317,$A76,'Данные 2st'!$FK$2:$FK$317),"")</f>
        <v>2117.4</v>
      </c>
      <c r="MO76" s="7">
        <f>IFERROR(AVERAGEIF('Данные 2st'!$Q$2:$Q$317,$A76,'Данные 2st'!$FP$2:$FP$317),"")</f>
        <v>2317.6</v>
      </c>
      <c r="MP76" s="7">
        <f>IFERROR(AVERAGEIF('Данные 2st'!$Q$2:$Q$317,$A76,'Данные 2st'!$FQ$2:$FQ$317),"")</f>
        <v>239.6</v>
      </c>
      <c r="MQ76" s="7">
        <f>IFERROR(AVERAGEIF('Данные 2st'!$Q$2:$Q$317,$A76,'Данные 2st'!$FS$2:$FS$317),"")</f>
        <v>258</v>
      </c>
      <c r="MR76" s="7">
        <f>IFERROR(AVERAGEIF('Данные 2st'!$Q$2:$Q$317,$A76,'Данные 2st'!$FU$2:$FU$317),"")</f>
        <v>0.4</v>
      </c>
      <c r="MS76" s="7">
        <f>IFERROR(AVERAGEIF('Данные 2st'!$Q$2:$Q$317,$A76,'Данные 2st'!$FV$2:$FV$317),"")</f>
        <v>2317.6</v>
      </c>
      <c r="MT76" s="7">
        <f>IFERROR(AVERAGEIF('Данные 2st'!$Q$2:$Q$317,$A76,'Данные 2st'!$FW$2:$FW$317),"")</f>
        <v>265.4</v>
      </c>
      <c r="MU76" s="7">
        <f>IFERROR(AVERAGEIF('Данные 2st'!$Q$2:$Q$317,$A76,'Данные 2st'!$FY$2:$FY$317),"")</f>
        <v>5</v>
      </c>
      <c r="MV76" s="7">
        <f>IFERROR(AVERAGEIF('Данные 2st'!$Q$2:$Q$317,$A76,'Данные 2st'!$GB$2:$GB$317),"")</f>
        <v>2317.6</v>
      </c>
      <c r="MW76" s="7">
        <f>IFERROR(AVERAGEIF('Данные 2st'!$Q$2:$Q$317,$A76,'Данные 2st'!$GC$2:$GC$317),"")</f>
        <v>23.4</v>
      </c>
      <c r="MX76" s="7">
        <f>IFERROR(AVERAGEIF('Данные 2st'!$Q$2:$Q$317,$A76,'Данные 2st'!$GD$2:$GD$317),"")</f>
        <v>5885.2</v>
      </c>
      <c r="MY76" s="7">
        <f>IFERROR(AVERAGEIF('Данные 2st'!$Q$2:$Q$317,$A76,'Данные 2st'!$GN$2:$GN$317),"")</f>
        <v/>
      </c>
      <c r="MZ76" s="7">
        <f>IFERROR(AVERAGEIF('Данные 2st'!$Q$2:$Q$317,$A76,'Данные 2st'!$GQ$2:$GQ$317),"")</f>
        <v>0</v>
      </c>
      <c r="NA76" s="7">
        <f>IFERROR(AVERAGEIF('Данные 2st'!$Q$2:$Q$317,$A76,'Данные 2st'!$GV$2:$GV$317),"")</f>
        <v>8.88</v>
      </c>
      <c r="NB76" s="7">
        <f>IFERROR(AVERAGEIF('Данные 2st'!$Q$2:$Q$317,$A76,'Данные 2st'!$GW$2:$GW$317),"")</f>
        <v>10.32</v>
      </c>
      <c r="NC76" s="7">
        <f>IFERROR(AVERAGEIF('Данные 2st'!$Q$2:$Q$317,$A76,'Данные 2st'!$GX$2:$GX$317),"")</f>
        <v>0.5</v>
      </c>
      <c r="ND76" s="7">
        <f>IFERROR(AVERAGEIF('Данные 2st'!$Q$2:$Q$317,$A76,'Данные 2st'!$GY$2:$GY$317),"")</f>
        <v>215.2</v>
      </c>
      <c r="NE76" s="7">
        <f>IFERROR(AVERAGEIF('Данные 2st'!$Q$2:$Q$317,$A76,'Данные 2st'!$GZ$2:$GZ$317),"")</f>
        <v>3</v>
      </c>
      <c r="NF76" s="7">
        <f>IFERROR(AVERAGEIF('Данные 2st'!$Q$2:$Q$317,$A76,'Данные 2st'!$HA$2:$HA$317),"")</f>
        <v>277.6</v>
      </c>
      <c r="NG76" s="7">
        <f>IFERROR(AVERAGEIF('Данные 2st'!$Q$2:$Q$317,$A76,'Данные 2st'!$HB$2:$HB$317),"")</f>
        <v>3</v>
      </c>
      <c r="NH76" s="7">
        <f>IFERROR(AVERAGEIF('Данные 2st'!$Q$2:$Q$317,$A76,'Данные 2st'!$HC$2:$HC$317),"")</f>
        <v>2317.6</v>
      </c>
      <c r="NI76" s="7">
        <f>IFERROR(AVERAGEIF('Данные 2st'!$Q$2:$Q$317,$A76,'Данные 2st'!$HD$2:$HD$317),"")</f>
        <v>4</v>
      </c>
      <c r="NJ76" s="7">
        <f>IFERROR(AVERAGEIF('Данные 2st'!$Q$2:$Q$317,$A76,'Данные 2st'!$HM$2:$HM$317),"")</f>
        <v>19</v>
      </c>
      <c r="NK76" s="7">
        <f>IFERROR(AVERAGEIF('Данные 2st'!$Q$2:$Q$317,$A76,'Данные 2st'!$HR$2:$HR$317),"")</f>
        <v>2.4</v>
      </c>
      <c r="NL76" s="7">
        <f>IFERROR(AVERAGEIF('Данные 2st'!$Q$2:$Q$317,$A76,'Данные 2st'!$HS$2:$HS$317),"")</f>
        <v>2267</v>
      </c>
      <c r="NM76" s="7">
        <f>IFERROR(AVERAGEIF('Данные 2st'!$Q$2:$Q$317,$A76,'Данные 2st'!$HT$2:$HT$317),"")</f>
        <v>5</v>
      </c>
      <c r="NN76" s="7">
        <f>IFERROR(AVERAGEIF('Данные 2st'!$Q$2:$Q$317,$A76,'Данные 2st'!$HY$2:$HY$317),"")</f>
        <v>0</v>
      </c>
      <c r="NO76" s="7">
        <f>IFERROR(AVERAGEIF('Данные 2st'!$Q$2:$Q$317,$A76,'Данные 2st'!$HZ$2:$HZ$317),"")</f>
        <v>63.8</v>
      </c>
      <c r="NP76" s="7">
        <f>IFERROR(AVERAGEIF('Данные 2st'!$Q$2:$Q$317,$A76,'Данные 2st'!$IA$2:$IA$317),"")</f>
        <v>2271</v>
      </c>
      <c r="NQ76" s="7">
        <f>IFERROR(AVERAGEIF('Данные 2st'!$Q$2:$Q$317,$A76,'Данные 2st'!$IB$2:$IB$317),"")</f>
        <v>2284.2</v>
      </c>
      <c r="NR76" s="7">
        <f>IFERROR(AVERAGEIF('Данные 2st'!$Q$2:$Q$317,$A76,'Данные 2st'!$IC$2:$IC$317),"")</f>
        <v/>
      </c>
      <c r="NS76" s="7">
        <f>IFERROR(AVERAGEIF('Данные 2st'!$Q$2:$Q$317,$A76,'Данные 2st'!$ID$2:$ID$317),"")</f>
        <v>2317.6</v>
      </c>
      <c r="NT76" s="7">
        <f>IFERROR(AVERAGEIF('Данные 2st'!$Q$2:$Q$317,$A76,'Данные 2st'!$IE$2:$IE$317),"")</f>
        <v>2317.6</v>
      </c>
      <c r="NU76" s="7">
        <f>IFERROR(AVERAGEIF('Данные 2st'!$Q$2:$Q$317,$A76,'Данные 2st'!$IF$2:$IF$317),"")</f>
        <v>231</v>
      </c>
      <c r="NV76" s="7">
        <f>IFERROR(AVERAGEIF('Данные 2st'!$Q$2:$Q$317,$A76,'Данные 2st'!$IG$2:$IG$317),"")</f>
        <v>221</v>
      </c>
      <c r="NW76" s="7">
        <f>IFERROR(AVERAGEIF('Данные 2st'!$Q$2:$Q$317,$A76,'Данные 2st'!$IH$2:$IH$317),"")</f>
        <v>277.6</v>
      </c>
      <c r="NX76" s="7">
        <f>IFERROR(AVERAGEIF('Данные 2st'!$Q$2:$Q$317,$A76,'Данные 2st'!$IJ$2:$IJ$317),"")</f>
        <v>7</v>
      </c>
      <c r="NY76" s="7">
        <f>IFERROR(AVERAGEIF('Данные 2st'!$Q$2:$Q$317,$A76,'Данные 2st'!$IM$2:$IM$317),"")</f>
        <v>0</v>
      </c>
      <c r="NZ76" s="7">
        <f>IFERROR(AVERAGEIF('Данные 2st'!$Q$2:$Q$317,$A76,'Данные 2st'!$IN$2:$IN$317),"")</f>
        <v>270</v>
      </c>
      <c r="OA76" s="7">
        <f>IFERROR(AVERAGEIF('Данные 2st'!$Q$2:$Q$317,$A76,'Данные 2st'!$IO$2:$IO$317),"")</f>
        <v>0</v>
      </c>
      <c r="OB76" s="7">
        <f>IFERROR(AVERAGEIF('Данные 2st'!$Q$2:$Q$317,$A76,'Данные 2st'!$IP$2:$IP$317),"")</f>
        <v>180</v>
      </c>
      <c r="OC76" s="7">
        <f>IFERROR(AVERAGEIF('Данные 2st'!$Q$2:$Q$317,$A76,'Данные 2st'!$IQ$2:$IQ$317),"")</f>
        <v>0</v>
      </c>
      <c r="OD76" s="7">
        <f>IFERROR(AVERAGEIF('Данные 2st'!$Q$2:$Q$317,$A76,'Данные 2st'!$IR$2:$IR$317),"")</f>
        <v>330</v>
      </c>
      <c r="OE76" s="7">
        <f>IFERROR(AVERAGEIF('Данные 2st'!$Q$2:$Q$317,$A76,'Данные 2st'!$IT$2:$IT$317),"")</f>
        <v>90</v>
      </c>
      <c r="OF76" s="7">
        <f>IFERROR(AVERAGEIF('Данные 2st'!$Q$2:$Q$317,$A76,'Данные 2st'!$IU$2:$IU$317),"")</f>
        <v>0</v>
      </c>
      <c r="OG76" s="7">
        <f>IFERROR(AVERAGEIF('Данные 2st'!$Q$2:$Q$317,$A76,'Данные 2st'!$IV$2:$IV$317),"")</f>
        <v>6.4</v>
      </c>
      <c r="OH76" s="7">
        <f>IFERROR(AVERAGEIF('Данные 2st'!$Q$2:$Q$317,$A76,'Данные 2st'!$IW$2:$IW$317),"")</f>
        <v>-6</v>
      </c>
      <c r="OI76" s="7">
        <f>IFERROR(AVERAGEIF('Данные 2st'!$Q$2:$Q$317,$A76,'Данные 2st'!$IX$2:$IX$317),"")</f>
        <v>118.0</v>
      </c>
      <c r="OJ76" s="7">
        <f>IFERROR(AVERAGEIF('Данные 2st'!$Q$2:$Q$317,$A76,'Данные 2st'!$IY$2:$IY$317),"")</f>
        <v>89.7</v>
      </c>
      <c r="OK76" s="7">
        <f>IFERROR(AVERAGEIF('Данные 2st'!$Q$2:$Q$317,$A76,'Данные 2st'!$IZ$2:$IZ$317),"")</f>
        <v>0</v>
      </c>
      <c r="OL76" s="7">
        <f>IFERROR(AVERAGEIF('Данные 2st'!$Q$2:$Q$317,$A76,'Данные 2st'!$JA$2:$JA$317),"")</f>
        <v>0</v>
      </c>
      <c r="OM76" s="7">
        <f>IFERROR(AVERAGEIF('Данные 2st'!$Q$2:$Q$317,$A76,'Данные 2st'!$JB$2:$JB$317),"")</f>
        <v>0</v>
      </c>
      <c r="ON76" s="7">
        <f>IFERROR(AVERAGEIF('Данные 2st'!$Q$2:$Q$317,$A76,'Данные 2st'!$JC$2:$JC$317),"")</f>
        <v>0</v>
      </c>
      <c r="OO76" s="7">
        <f>IFERROR(AVERAGEIF('Данные 2st'!$Q$2:$Q$317,$A76,'Данные 2st'!$JD$2:$JD$317),"")</f>
        <v>0</v>
      </c>
      <c r="OP76" s="7">
        <f>IFERROR(AVERAGEIF('Данные 2st'!$Q$2:$Q$317,$A76,'Данные 2st'!$JE$2:$JE$317),"")</f>
        <v>0</v>
      </c>
      <c r="OQ76" s="7">
        <f>IFERROR(AVERAGEIF('Данные 2st'!$Q$2:$Q$317,$A76,'Данные 2st'!$JF$2:$JF$317),"")</f>
        <v>0</v>
      </c>
      <c r="OR76" s="7">
        <f>IFERROR(AVERAGEIF('Данные 2st'!$Q$2:$Q$317,$A76,'Данные 2st'!$JG$2:$JG$317),"")</f>
        <v>0</v>
      </c>
      <c r="OS76" s="7">
        <f>IFERROR(AVERAGEIF('Данные 2st'!$Q$2:$Q$317,$A76,'Данные 2st'!$JH$2:$JH$317),"")</f>
        <v>0</v>
      </c>
      <c r="OT76" s="7">
        <f>IFERROR(AVERAGEIF('Данные 2st'!$Q$2:$Q$317,$A76,'Данные 2st'!$JI$2:$JI$317),"")</f>
        <v>467.6</v>
      </c>
      <c r="OU76" s="7">
        <f>IFERROR(AVERAGEIF('Данные 2st'!$Q$2:$Q$317,$A76,'Данные 2st'!$JJ$2:$JJ$317),"")</f>
        <v>437.6</v>
      </c>
      <c r="OV76" s="7">
        <f>IFERROR(AVERAGEIF('Данные 2st'!$Q$2:$Q$317,$A76,'Данные 2st'!$JK$2:$JK$317),"")</f>
        <v>319</v>
      </c>
      <c r="OW76" s="7">
        <f>IFERROR(AVERAGEIF('Данные 2st'!$Q$2:$Q$317,$A76,'Данные 2st'!$JL$2:$JL$317),"")</f>
        <v>436</v>
      </c>
      <c r="OX76" s="7">
        <f>IFERROR(AVERAGEIF('Данные 2st'!$Q$2:$Q$317,$A76,'Данные 2st'!$JM$2:$JM$317),"")</f>
        <v>326</v>
      </c>
      <c r="OY76" s="7">
        <f>IFERROR(AVERAGEIF('Данные 2st'!$Q$2:$Q$317,$A76,'Данные 2st'!$JP$2:$JP$317),"")</f>
        <v>187</v>
      </c>
      <c r="OZ76" s="7">
        <f>IFERROR(AVERAGEIF('Данные 2st'!$Q$2:$Q$317,$A76,'Данные 2st'!$JQ$2:$JQ$317),"")</f>
        <v>225.2</v>
      </c>
      <c r="PA76" s="7">
        <f>IFERROR(AVERAGEIF('Данные 2st'!$Q$2:$Q$317,$A76,'Данные 2st'!$JR$2:$JR$317),"")</f>
        <v>317.4</v>
      </c>
      <c r="PB76" s="7">
        <f>IFERROR(AVERAGEIF('Данные 2st'!$Q$2:$Q$317,$A76,'Данные 2st'!$JS$2:$JS$317),"")</f>
        <v>227.4</v>
      </c>
      <c r="PC76" s="7">
        <f>IFERROR(AVERAGEIF('Данные 2st'!$Q$2:$Q$317,$A76,'Данные 2st'!$JT$2:$JT$317),"")</f>
        <v>0</v>
      </c>
      <c r="PD76" s="7">
        <f>IFERROR(AVERAGEIF('Данные 2st'!$Q$2:$Q$317,$A76,'Данные 2st'!$JU$2:$JU$317),"")</f>
        <v>0</v>
      </c>
      <c r="PE76" s="7">
        <f>IFERROR(AVERAGEIF('Данные 2st'!$Q$2:$Q$317,$A76,'Данные 2st'!$JV$2:$JV$317),"")</f>
        <v>302</v>
      </c>
      <c r="PF76" s="7">
        <f>IFERROR(AVERAGEIF('Данные 2st'!$Q$2:$Q$317,$A76,'Данные 2st'!$JW$2:$JW$317),"")</f>
        <v>293</v>
      </c>
      <c r="PG76" s="7">
        <f>IFERROR(AVERAGEIF('Данные 2st'!$Q$2:$Q$317,$A76,'Данные 2st'!$KF$2:$KF$317),"")</f>
        <v>0.194</v>
      </c>
      <c r="PH76" s="7">
        <f>IFERROR(AVERAGEIF('Данные 2st'!$Q$2:$Q$317,$A76,'Данные 2st'!$KG$2:$KG$317),"")</f>
        <v>0.124</v>
      </c>
      <c r="PI76" s="7">
        <f>IFERROR(AVERAGEIF('Данные 2st'!$Q$2:$Q$317,$A76,'Данные 2st'!$KM$2:$KM$317),"")</f>
        <v>0.2</v>
      </c>
      <c r="PJ76" s="7">
        <f>IFERROR(AVERAGEIF('Данные 2st'!$Q$2:$Q$317,$A76,'Данные 2st'!$KN$2:$KN$317),"")</f>
        <v>2.3</v>
      </c>
      <c r="PK76" s="7">
        <f>IFERROR(AVERAGEIF('Данные 2st'!$Q$2:$Q$317,$A76,'Данные 2st'!$KO$2:$KO$317),"")</f>
        <v>0.2</v>
      </c>
      <c r="PL76" s="7">
        <f>IFERROR(AVERAGEIF('Данные 2st'!$Q$2:$Q$317,$A76,'Данные 2st'!$KP$2:$KP$317),"")</f>
        <v>0</v>
      </c>
      <c r="PM76" s="7">
        <f>IFERROR(AVERAGEIF('Данные 2st'!$Q$2:$Q$317,$A76,'Данные 2st'!$KQ$2:$KQ$317),"")</f>
        <v>0.58</v>
      </c>
      <c r="PN76" s="7">
        <f>IFERROR(AVERAGEIF('Данные 2st'!$Q$2:$Q$317,$A76,'Данные 2st'!$KR$2:$KR$317),"")</f>
        <v>0.7200000000000001</v>
      </c>
      <c r="PO76" s="7">
        <f>IFERROR(AVERAGEIF('Данные 2st'!$Q$2:$Q$317,$A76,'Данные 2st'!$KS$2:$KS$317),"")</f>
        <v>0</v>
      </c>
      <c r="PP76" s="7">
        <f>IFERROR(AVERAGEIF('Данные 2st'!$Q$2:$Q$317,$A76,'Данные 2st'!$KT$2:$KT$317),"")</f>
        <v>3.2</v>
      </c>
      <c r="PQ76" s="7">
        <f>IFERROR(AVERAGEIF('Данные 2st'!$Q$2:$Q$317,$A76,'Данные 2st'!$KU$2:$KU$317),"")</f>
        <v>0</v>
      </c>
      <c r="PR76" s="7">
        <f>IFERROR(AVERAGEIF('Данные 2st'!$Q$2:$Q$317,$A76,'Данные 2st'!$KV$2:$KV$317),"")</f>
        <v>0</v>
      </c>
      <c r="PS76" s="7">
        <f>IFERROR(AVERAGEIF('Данные 2st'!$Q$2:$Q$317,$A76,'Данные 2st'!$KW$2:$KW$317),"")</f>
        <v>1.44</v>
      </c>
      <c r="PT76" s="7">
        <f>IFERROR(AVERAGEIF('Данные 2st'!$Q$2:$Q$317,$A76,'Данные 2st'!$KX$2:$KX$317),"")</f>
        <v>1.6</v>
      </c>
      <c r="PU76" s="7">
        <f>IFERROR(AVERAGEIF('Данные 2st'!$Q$2:$Q$317,$A76,'Данные 2st'!$KY$2:$KY$317),"")</f>
        <v>0.8</v>
      </c>
      <c r="PV76" s="7">
        <f>IFERROR(AVERAGEIF('Данные 2st'!$Q$2:$Q$317,$A76,'Данные 2st'!$KZ$2:$KZ$317),"")</f>
        <v>0</v>
      </c>
      <c r="PW76" s="7">
        <f>IFERROR(AVERAGEIF('Данные 2st'!$Q$2:$Q$317,$A76,'Данные 2st'!$LA$2:$LA$317),"")</f>
        <v>0</v>
      </c>
      <c r="PX76" s="7">
        <f>IFERROR(AVERAGEIF('Данные 2st'!$Q$2:$Q$317,$A76,'Данные 2st'!$LB$2:$LB$317),"")</f>
        <v>0</v>
      </c>
      <c r="PY76" s="7">
        <f>IFERROR(AVERAGEIF('Данные 2st'!$Q$2:$Q$317,$A76,'Данные 2st'!$LC$2:$LC$317),"")</f>
        <v>0</v>
      </c>
      <c r="PZ76" s="7">
        <f>IFERROR(AVERAGEIF('Данные 2st'!$Q$2:$Q$317,$A76,'Данные 2st'!$LD$2:$LD$317),"")</f>
        <v>0</v>
      </c>
      <c r="QA76" s="7">
        <f>IFERROR(AVERAGEIF('Данные 2st'!$Q$2:$Q$317,$A76,'Данные 2st'!$LE$2:$LE$317),"")</f>
        <v>0</v>
      </c>
      <c r="QB76" s="7">
        <f>IFERROR(AVERAGEIF('Данные 2st'!$Q$2:$Q$317,$A76,'Данные 2st'!$LF$2:$LF$317),"")</f>
        <v>0</v>
      </c>
      <c r="QC76" s="7">
        <f>IFERROR(AVERAGEIF('Данные 2st'!$Q$2:$Q$317,$A76,'Данные 2st'!$LG$2:$LG$317),"")</f>
        <v>0</v>
      </c>
      <c r="QD76" s="7">
        <f>IFERROR(AVERAGEIF('Данные 2st'!$Q$2:$Q$317,$A76,'Данные 2st'!$LH$2:$LH$317),"")</f>
        <v>3</v>
      </c>
      <c r="QE76" s="7">
        <f>IFERROR(AVERAGEIF('Данные 2st'!$Q$2:$Q$317,$A76,'Данные 2st'!$LJ$2:$LJ$317),"")</f>
        <v>0</v>
      </c>
      <c r="QF76" s="7">
        <f>IFERROR(AVERAGEIF('Данные 2st'!$Q$2:$Q$317,$A76,'Данные 2st'!$LK$2:$LK$317),"")</f>
        <v>9.8</v>
      </c>
      <c r="QG76" s="7">
        <f>IFERROR(AVERAGEIF('Данные 2st'!$Q$2:$Q$317,$A76,'Данные 2st'!$LL$2:$LL$317),"")</f>
        <v>11</v>
      </c>
      <c r="QH76" s="7">
        <f>IFERROR(AVERAGEIF('Данные 2st'!$Q$2:$Q$317,$A76,'Данные 2st'!$LM$2:$LM$317),"")</f>
        <v>9.8</v>
      </c>
      <c r="QI76" s="7">
        <f>IFERROR(AVERAGEIF('Данные 2st'!$Q$2:$Q$317,$A76,'Данные 2st'!$LN$2:$LN$317),"")</f>
        <v>1.26</v>
      </c>
      <c r="QJ76" s="7">
        <f>IFERROR(AVERAGEIF('Данные 2st'!$Q$2:$Q$317,$A76,'Данные 2st'!$LO$2:$LO$317),"")</f>
        <v>2.2</v>
      </c>
      <c r="QK76" s="7">
        <f>IFERROR(AVERAGEIF('Данные 2st'!$Q$2:$Q$317,$A76,'Данные 2st'!$LP$2:$LP$317),"")</f>
        <v>0</v>
      </c>
      <c r="QL76" s="7">
        <f>IFERROR(AVERAGEIF('Данные 2st'!$Q$2:$Q$317,$A76,'Данные 2st'!$LQ$2:$LQ$317),"")</f>
        <v>0</v>
      </c>
      <c r="QM76" s="7">
        <f>IFERROR(AVERAGEIF('Данные 2st'!$Q$2:$Q$317,$A76,'Данные 2st'!$LW$2:$LW$317),"")</f>
        <v>2.1</v>
      </c>
      <c r="QN76" s="7">
        <f>IFERROR(AVERAGEIF('Данные 2st'!$Q$2:$Q$317,$A76,'Данные 2st'!$LX$2:$LX$317),"")</f>
        <v>2.1</v>
      </c>
      <c r="QO76" s="7">
        <f>IFERROR(AVERAGEIF('Данные 2st'!$Q$2:$Q$317,$A76,'Данные 2st'!$LY$2:$LY$317),"")</f>
        <v>2.14</v>
      </c>
      <c r="QP76" s="7">
        <f>IFERROR(AVERAGEIF('Данные 2st'!$Q$2:$Q$317,$A76,'Данные 2st'!$LZ$2:$LZ$317),"")</f>
        <v>2.14</v>
      </c>
      <c r="QQ76" s="7">
        <f>IFERROR(AVERAGEIF('Данные 2st'!$Q$2:$Q$317,$A76,'Данные 2st'!$MB$2:$MB$317),"")</f>
        <v>8.4</v>
      </c>
      <c r="QR76" s="7">
        <f>IFERROR(AVERAGEIF('Данные 2st'!$Q$2:$Q$317,$A76,'Данные 2st'!$MG$2:$MG$317),"")</f>
        <v>4</v>
      </c>
      <c r="QS76" s="7">
        <f>IFERROR(AVERAGEIF('Данные 2st'!$Q$2:$Q$317,$A76,'Данные 2st'!$MH$2:$MH$317),"")</f>
        <v>0</v>
      </c>
      <c r="QT76" s="7">
        <f>IFERROR(AVERAGEIF('Данные 2st'!$Q$2:$Q$317,$A76,'Данные 2st'!$MI$2:$MI$317),"")</f>
        <v>0</v>
      </c>
      <c r="QU76" s="7">
        <f>IFERROR(AVERAGEIF('Данные 2st'!$Q$2:$Q$317,$A76,'Данные 2st'!$MJ$2:$MJ$317),"")</f>
        <v>0</v>
      </c>
      <c r="QV76" s="7">
        <f>IFERROR(AVERAGEIF('Данные 2st'!$Q$2:$Q$317,$A76,'Данные 2st'!$MK$2:$MK$317),"")</f>
        <v>0</v>
      </c>
      <c r="QW76" s="7">
        <f>IFERROR(AVERAGEIF('Данные 2st'!$Q$2:$Q$317,$A76,'Данные 2st'!$MM$2:$MM$317),"")</f>
        <v>477.6</v>
      </c>
      <c r="QX76" s="7">
        <f>IFERROR(AVERAGEIF('Данные 2st'!$Q$2:$Q$317,$A76,'Данные 2st'!$MQ$2:$MQ$317),"")</f>
        <v/>
      </c>
      <c r="QY76" s="7">
        <f>IFERROR(AVERAGEIF('Данные 2st'!$Q$2:$Q$317,$A76,'Данные 2st'!$MR$2:$MR$317),"")</f>
        <v/>
      </c>
      <c r="QZ76" s="7">
        <f>IFERROR(AVERAGEIF('Данные 2st'!$Q$2:$Q$317,$A76,'Данные 2st'!$MS$2:$MS$317),"")</f>
        <v/>
      </c>
      <c r="RA76" s="7">
        <f>IFERROR(AVERAGEIF('Данные 2st'!$Q$2:$Q$317,$A76,'Данные 2st'!$MT$2:$MT$317),"")</f>
        <v/>
      </c>
      <c r="RB76" s="7">
        <f>IFERROR(AVERAGEIF('Данные 2st'!$Q$2:$Q$317,$A76,'Данные 2st'!$MU$2:$MU$317),"")</f>
        <v/>
      </c>
      <c r="RC76" s="7">
        <f>IFERROR(AVERAGEIF('Данные 2st'!$Q$2:$Q$317,$A76,'Данные 2st'!$MV$2:$MV$317),"")</f>
        <v/>
      </c>
      <c r="RD76" s="7">
        <f>IFERROR(AVERAGEIF('Данные 2st'!$Q$2:$Q$317,$A76,'Данные 2st'!$MW$2:$MW$317),"")</f>
        <v/>
      </c>
      <c r="RE76" s="7">
        <f>IFERROR(AVERAGEIF('Данные 2st'!$Q$2:$Q$317,$A76,'Данные 2st'!$MX$2:$MX$317),"")</f>
        <v/>
      </c>
      <c r="RF76" s="7">
        <f>IFERROR(AVERAGEIF('Данные 2st'!$Q$2:$Q$317,$A76,'Данные 2st'!$MY$2:$MY$317),"")</f>
        <v/>
      </c>
      <c r="RG76" s="7">
        <f>IFERROR(AVERAGEIF('Данные 2st'!$Q$2:$Q$317,$A76,'Данные 2st'!$MZ$2:$MZ$317),"")</f>
        <v/>
      </c>
      <c r="RH76" s="7">
        <f>IFERROR(AVERAGEIF('Данные 2st'!$Q$2:$Q$317,$A76,'Данные 2st'!$NA$2:$NA$317),"")</f>
        <v/>
      </c>
      <c r="RI76" s="7">
        <f>IFERROR(AVERAGEIF('Данные 2st'!$Q$2:$Q$317,$A76,'Данные 2st'!$NB$2:$NB$317),"")</f>
        <v/>
      </c>
      <c r="RJ76" s="7">
        <f>IFERROR(AVERAGEIF('Данные 2st'!$Q$2:$Q$317,$A76,'Данные 2st'!$NC$2:$NC$317),"")</f>
        <v/>
      </c>
      <c r="RK76" s="7">
        <f>IFERROR(AVERAGEIF('Данные 2st'!$Q$2:$Q$317,$A76,'Данные 2st'!$ND$2:$ND$317),"")</f>
        <v/>
      </c>
      <c r="RL76" s="7">
        <f>IFERROR(AVERAGEIF('Данные 2st'!$Q$2:$Q$317,$A76,'Данные 2st'!$NE$2:$NE$317),"")</f>
        <v/>
      </c>
      <c r="RM76" s="7">
        <f>IFERROR(AVERAGEIF('Данные 2st'!$Q$2:$Q$317,$A76,'Данные 2st'!$NF$2:$NF$317),"")</f>
        <v/>
      </c>
      <c r="RN76" s="7">
        <f>IFERROR(AVERAGEIF('Данные 2st'!$Q$2:$Q$317,$A76,'Данные 2st'!$NG$2:$NG$317),"")</f>
        <v/>
      </c>
      <c r="RO76" s="7">
        <f>IFERROR(AVERAGEIF('Данные 2st'!$Q$2:$Q$317,$A76,'Данные 2st'!$NH$2:$NH$317),"")</f>
        <v/>
      </c>
      <c r="RP76" s="7">
        <f>IFERROR(AVERAGEIF('Данные 2st'!$Q$2:$Q$317,$A76,'Данные 2st'!$NJ$2:$NJ$317),"")</f>
        <v/>
      </c>
      <c r="RQ76" s="7">
        <f>IFERROR(AVERAGEIF('Данные 2st'!$Q$2:$Q$317,$A76,'Данные 2st'!$NK$2:$NK$317),"")</f>
        <v/>
      </c>
      <c r="RR76" s="7">
        <f>IFERROR(AVERAGEIF('Данные 2st'!$Q$2:$Q$317,$A76,'Данные 2st'!$NM$2:$NM$317),"")</f>
        <v/>
      </c>
      <c r="RS76" s="7">
        <f>IFERROR(AVERAGEIF('Данные 2st'!$Q$2:$Q$317,$A76,'Данные 2st'!$NN$2:$NN$317),"")</f>
        <v/>
      </c>
      <c r="RT76" s="7">
        <f>IFERROR(AVERAGEIF('Данные 2st'!$Q$2:$Q$317,$A76,'Данные 2st'!$NO$2:$NO$317),"")</f>
        <v/>
      </c>
      <c r="RU76" s="7">
        <f>IFERROR(AVERAGEIF('Данные 2st'!$Q$2:$Q$317,$A76,'Данные 2st'!$NP$2:$NP$317),"")</f>
        <v/>
      </c>
      <c r="RV76" s="7">
        <f>IFERROR(AVERAGEIF('Данные 2st'!$Q$2:$Q$317,$A76,'Данные 2st'!$NQ$2:$NQ$317),"")</f>
        <v/>
      </c>
      <c r="RW76" s="7">
        <f>IFERROR(AVERAGEIF('Данные 2st'!$Q$2:$Q$317,$A76,'Данные 2st'!$NR$2:$NR$317),"")</f>
        <v/>
      </c>
      <c r="RX76" s="7">
        <f>IFERROR(AVERAGEIF('Данные 2st'!$Q$2:$Q$317,$A76,'Данные 2st'!$NS$2:$NS$317),"")</f>
        <v/>
      </c>
      <c r="RY76" s="7">
        <f>IFERROR(AVERAGEIF('Данные 2st'!$Q$2:$Q$317,$A76,'Данные 2st'!$NT$2:$NT$317),"")</f>
        <v/>
      </c>
      <c r="RZ76" s="7">
        <f>IFERROR(AVERAGEIF('Данные 2st'!$Q$2:$Q$317,$A76,'Данные 2st'!$OK$2:$OK$317),"")</f>
        <v>61</v>
      </c>
      <c r="SA76" s="7">
        <f>IFERROR(AVERAGEIF('Данные 2st'!$Q$2:$Q$317,$A76,'Данные 2st'!$OL$2:$OL$317),"")</f>
        <v>61</v>
      </c>
      <c r="SB76" s="7">
        <f>IFERROR(AVERAGEIF('Данные 2st'!$Q$2:$Q$317,$A76,'Данные 2st'!$ON$2:$ON$317),"")</f>
        <v>1</v>
      </c>
      <c r="SC76" s="7">
        <f>IFERROR(AVERAGEIF('Данные 2st'!$Q$2:$Q$317,$A76,'Данные 2st'!$OO$2:$OO$317),"")</f>
        <v>2271</v>
      </c>
      <c r="SD76" s="7">
        <f>IFERROR(AVERAGEIF('Данные 2st'!$Q$2:$Q$317,$A76,'Данные 2st'!$OP$2:$OP$317),"")</f>
        <v>61</v>
      </c>
      <c r="SE76" s="7">
        <f>IFERROR(AVERAGEIF('Данные 2st'!$Q$2:$Q$317,$A76,'Данные 2st'!$OQ$2:$OQ$317),"")</f>
        <v>61</v>
      </c>
      <c r="SF76" s="7">
        <f>IFERROR(AVERAGEIF('Данные 2st'!$Q$2:$Q$317,$A76,'Данные 2st'!$OS$2:$OS$317),"")</f>
        <v>1</v>
      </c>
      <c r="SG76" s="7">
        <f>IFERROR(AVERAGEIF('Данные 2st'!$Q$2:$Q$317,$A76,'Данные 2st'!$OT$2:$OT$317),"")</f>
        <v>2284.2</v>
      </c>
      <c r="SH76" s="7">
        <f>IFERROR(AVERAGEIF('Данные 2st'!$Q$2:$Q$317,$A76,'Данные 2st'!$OU$2:$OU$317),"")</f>
        <v>65</v>
      </c>
      <c r="SI76" s="7">
        <f>IFERROR(AVERAGEIF('Данные 2st'!$Q$2:$Q$317,$A76,'Данные 2st'!$OV$2:$OV$317),"")</f>
        <v>65</v>
      </c>
      <c r="SJ76" s="7">
        <f>IFERROR(AVERAGEIF('Данные 2st'!$Q$2:$Q$317,$A76,'Данные 2st'!$OX$2:$OX$317),"")</f>
        <v>1.8</v>
      </c>
      <c r="SK76" s="7">
        <f>IFERROR(AVERAGEIF('Данные 2st'!$Q$2:$Q$317,$A76,'Данные 2st'!$OY$2:$OY$317),"")</f>
        <v>54360.4</v>
      </c>
      <c r="SL76" s="7">
        <f>IFERROR(AVERAGEIF('Данные 2st'!$Q$2:$Q$317,$A76,'Данные 2st'!$OZ$2:$OZ$317),"")</f>
        <v>51</v>
      </c>
      <c r="SM76" s="7">
        <f>IFERROR(AVERAGEIF('Данные 2st'!$Q$2:$Q$317,$A76,'Данные 2st'!$PA$2:$PA$317),"")</f>
        <v>51.8</v>
      </c>
      <c r="SN76" s="7">
        <f>IFERROR(AVERAGEIF('Данные 2st'!$Q$2:$Q$317,$A76,'Данные 2st'!$PC$2:$PC$317),"")</f>
        <v>1.6</v>
      </c>
      <c r="SO76" s="7">
        <f>IFERROR(AVERAGEIF('Данные 2st'!$Q$2:$Q$317,$A76,'Данные 2st'!$PD$2:$PD$317),"")</f>
        <v>2317.6</v>
      </c>
      <c r="SP76" s="7">
        <f>IFERROR(AVERAGEIF('Данные 2st'!$Q$2:$Q$317,$A76,'Данные 2st'!$PF$2:$PF$317),"")</f>
        <v>562.4</v>
      </c>
      <c r="SQ76" s="7">
        <f>IFERROR(AVERAGEIF('Данные 2st'!$Q$2:$Q$317,$A76,'Данные 2st'!$PG$2:$PG$317),"")</f>
        <v>35</v>
      </c>
      <c r="SR76" s="7">
        <f>IFERROR(AVERAGEIF('Данные 2st'!$Q$2:$Q$317,$A76,'Данные 2st'!$PH$2:$PH$317),"")</f>
        <v>538.2</v>
      </c>
      <c r="SS76" s="7">
        <f>IFERROR(AVERAGEIF('Данные 2st'!$Q$2:$Q$317,$A76,'Данные 2st'!$PI$2:$PI$317),"")</f>
        <v>0</v>
      </c>
      <c r="ST76" s="7">
        <f>IFERROR(AVERAGEIF('Данные 2st'!$Q$2:$Q$317,$A76,'Данные 2st'!$PJ$2:$PJ$317),"")</f>
        <v>103.4</v>
      </c>
      <c r="SU76" s="7">
        <f>IFERROR(AVERAGEIF('Данные 2st'!$Q$2:$Q$317,$A76,'Данные 2st'!$PK$2:$PK$317),"")</f>
        <v>2593.75</v>
      </c>
      <c r="SV76" s="7">
        <f>IFERROR(AVERAGEIF('Данные 2st'!$Q$2:$Q$317,$A76,'Данные 2st'!$PL$2:$PL$317),"")</f>
        <v>1397.8799999999999</v>
      </c>
      <c r="SW76" s="7">
        <f>IFERROR(AVERAGEIF('Данные 2st'!$Q$2:$Q$317,$A76,'Данные 2st'!$PM$2:$PM$317),"")</f>
        <v>913.14</v>
      </c>
      <c r="SX76" s="7">
        <f>IFERROR(AVERAGEIF('Данные 2st'!$Q$2:$Q$317,$A76,'Данные 2st'!$PN$2:$PN$317),"")</f>
        <v>114.46</v>
      </c>
      <c r="SY76" s="7">
        <f>IFERROR(AVERAGEIF('Данные 2st'!$Q$2:$Q$317,$A76,'Данные 2st'!$PO$2:$PO$317),"")</f>
        <v>10.08</v>
      </c>
      <c r="SZ76" s="7">
        <f>IFERROR(AVERAGEIF('Данные 2st'!$Q$2:$Q$317,$A76,'Данные 2st'!$PP$2:$PP$317),"")</f>
        <v>12</v>
      </c>
      <c r="TA76" s="7">
        <f>IFERROR(AVERAGEIF('Данные 2st'!$Q$2:$Q$317,$A76,'Данные 2st'!$PQ$2:$PQ$317),"")</f>
        <v>4</v>
      </c>
      <c r="TB76" s="7">
        <f>IFERROR(AVERAGEIF('Данные 2st'!$Q$2:$Q$317,$A76,'Данные 2st'!$PR$2:$PR$317),"")</f>
        <v>4</v>
      </c>
      <c r="TC76" s="7">
        <f>IFERROR(AVERAGEIF('Данные 2st'!$Q$2:$Q$317,$A76,'Данные 2st'!$PS$2:$PS$317),"")</f>
        <v>0</v>
      </c>
      <c r="TD76" s="7">
        <f>IFERROR(AVERAGEIF('Данные 2st'!$Q$2:$Q$317,$A76,'Данные 2st'!$PT$2:$PT$317),"")</f>
        <v>277.6</v>
      </c>
      <c r="TE76" s="7">
        <f>IFERROR(AVERAGEIF('Данные 2st'!$Q$2:$Q$317,$A76,'Данные 2st'!$PU$2:$PU$317),"")</f>
        <v>11.8</v>
      </c>
      <c r="TF76" s="7">
        <f>IFERROR(AVERAGEIF('Данные 2st'!$Q$2:$Q$317,$A76,'Данные 2st'!$PX$2:$PX$317),"")</f>
        <v>0</v>
      </c>
      <c r="TG76" s="7">
        <f>IFERROR(AVERAGEIF('Данные 2st'!$Q$2:$Q$317,$A76,'Данные 2st'!$PY$2:$PY$317),"")</f>
        <v>0</v>
      </c>
      <c r="TH76" s="7">
        <f>IFERROR(AVERAGEIF('Данные 2st'!$Q$2:$Q$317,$A76,'Данные 2st'!$PZ$2:$PZ$317),"")</f>
        <v>0</v>
      </c>
      <c r="TI76" s="7">
        <f>IFERROR(AVERAGEIF('Данные 2st'!$Q$2:$Q$317,$A76,'Данные 2st'!$QA$2:$QA$317),"")</f>
        <v>0</v>
      </c>
      <c r="TJ76" s="7">
        <f>IFERROR(AVERAGEIF('Данные 2st'!$Q$2:$Q$317,$A76,'Данные 2st'!$QB$2:$QB$317),"")</f>
        <v>0</v>
      </c>
      <c r="TK76" s="7">
        <f>IFERROR(AVERAGEIF('Данные 2st'!$Q$2:$Q$317,$A76,'Данные 2st'!$QC$2:$QC$317),"")</f>
        <v>0</v>
      </c>
      <c r="TL76" s="7">
        <f>IFERROR(AVERAGEIF('Данные 2st'!$Q$2:$Q$317,$A76,'Данные 2st'!$QD$2:$QD$317),"")</f>
        <v>0</v>
      </c>
      <c r="TM76" s="7">
        <f>IFERROR(AVERAGEIF('Данные 2st'!$Q$2:$Q$317,$A76,'Данные 2st'!$QE$2:$QE$317),"")</f>
        <v>-1</v>
      </c>
      <c r="TN76" s="7">
        <f>IFERROR(AVERAGEIF('Данные 2st'!$Q$2:$Q$317,$A76,'Данные 2st'!$QF$2:$QF$317),"")</f>
        <v>1</v>
      </c>
      <c r="TO76" s="7">
        <f>IFERROR(AVERAGEIF('Данные 2st'!$Q$2:$Q$317,$A76,'Данные 2st'!$QG$2:$QG$317),"")</f>
        <v>0</v>
      </c>
      <c r="TP76" s="7">
        <f>IFERROR(AVERAGEIF('Данные 2st'!$Q$2:$Q$317,$A76,'Данные 2st'!$QH$2:$QH$317),"")</f>
        <v>5</v>
      </c>
      <c r="TQ76" s="7">
        <f>IFERROR(AVERAGEIF('Данные 2st'!$Q$2:$Q$317,$A76,'Данные 2st'!$QI$2:$QI$317),"")</f>
        <v>5</v>
      </c>
      <c r="TR76" s="7">
        <f>IFERROR(AVERAGEIF('Данные 2st'!$Q$2:$Q$317,$A76,'Данные 2st'!$QJ$2:$QJ$317),"")</f>
        <v>5</v>
      </c>
      <c r="TS76" s="7">
        <f>IFERROR(AVERAGEIF('Данные 2st'!$Q$2:$Q$317,$A76,'Данные 2st'!$QK$2:$QK$317),"")</f>
        <v>249.2</v>
      </c>
      <c r="TT76" s="7">
        <f>IFERROR(AVERAGEIF('Данные 2st'!$Q$2:$Q$317,$A76,'Данные 2st'!$QL$2:$QL$317),"")</f>
        <v>497.6</v>
      </c>
      <c r="TU76" s="7">
        <f>IFERROR(AVERAGEIF('Данные 2st'!$Q$2:$Q$317,$A76,'Данные 2st'!$QM$2:$QM$317),"")</f>
        <v>8.64</v>
      </c>
      <c r="TV76" s="7">
        <f>IFERROR(AVERAGEIF('Данные 2st'!$Q$2:$Q$317,$A76,'Данные 2st'!$QN$2:$QN$317),"")</f>
        <v>1545.06</v>
      </c>
      <c r="TW76" s="7">
        <f>IFERROR(AVERAGEIF('Данные 2st'!$Q$2:$Q$317,$A76,'Данные 2st'!$QQ$2:$QQ$317),"")</f>
        <v>0</v>
      </c>
      <c r="TX76" s="7">
        <f>IFERROR(AVERAGEIF('Данные 2st'!$Q$2:$Q$317,$A76,'Данные 2st'!$QS$2:$QS$317),"")</f>
        <v>40</v>
      </c>
      <c r="TY76" s="7">
        <f>IFERROR(AVERAGEIF('Данные 2st'!$Q$2:$Q$317,$A76,'Данные 2st'!$QT$2:$QT$317),"")</f>
        <v>50</v>
      </c>
    </row>
    <row r="77" spans="1:545" ht="32" customHeight="1">
      <c r="A77" s="11" t="s">
        <v>3305</v>
      </c>
      <c r="B77">
        <f>COUNTIF('Данные 1st'!$S$2:$S$317,$A77)</f>
        <v>1</v>
      </c>
      <c r="C77" s="6" t="s">
        <v>3058</v>
      </c>
      <c r="D77" s="6" t="s">
        <v>513</v>
      </c>
      <c r="E77" s="6" t="s">
        <v>517</v>
      </c>
      <c r="F77" s="6" t="s">
        <v>3303</v>
      </c>
      <c r="G77" s="7">
        <f>IFERROR(AVERAGEIF('Данные 1st'!$S$2:$S$317,$A77,'Данные 1st'!$AE$2:$AE$317),"")</f>
        <v>243</v>
      </c>
      <c r="H77" s="7">
        <f>IFERROR(AVERAGEIF('Данные 1st'!$S$2:$S$317,$A77,'Данные 1st'!$AF$2:$AF$317),"")</f>
        <v>1.5</v>
      </c>
      <c r="I77" s="7">
        <f>IFERROR(AVERAGEIF('Данные 1st'!$S$2:$S$317,$A77,'Данные 1st'!$AJ$2:$AJ$317),"")</f>
        <v>222.5</v>
      </c>
      <c r="J77" s="7">
        <f>IFERROR(AVERAGEIF('Данные 1st'!$S$2:$S$317,$A77,'Данные 1st'!$AL$2:$AL$317),"")</f>
        <v>1.5</v>
      </c>
      <c r="K77" s="7">
        <f>IFERROR(AVERAGEIF('Данные 1st'!$S$2:$S$317,$A77,'Данные 1st'!$AR$2:$AR$317),"")</f>
        <v>261</v>
      </c>
      <c r="L77" s="7">
        <f>IFERROR(AVERAGEIF('Данные 1st'!$S$2:$S$317,$A77,'Данные 1st'!$AS$2:$AS$317),"")</f>
        <v>1.5</v>
      </c>
      <c r="M77" s="7">
        <f>IFERROR(AVERAGEIF('Данные 1st'!$S$2:$S$317,$A77,'Данные 1st'!$AY$2:$AY$317),"")</f>
        <v>327.5</v>
      </c>
      <c r="N77" s="7">
        <f>IFERROR(AVERAGEIF('Данные 1st'!$S$2:$S$317,$A77,'Данные 1st'!$AZ$2:$AZ$317),"")</f>
        <v>1.5</v>
      </c>
      <c r="O77" s="7">
        <f>IFERROR(AVERAGEIF('Данные 1st'!$S$2:$S$317,$A77,'Данные 1st'!$BF$2:$BF$317),"")</f>
        <v>267.5</v>
      </c>
      <c r="P77" s="7">
        <f>IFERROR(AVERAGEIF('Данные 1st'!$S$2:$S$317,$A77,'Данные 1st'!$BG$2:$BG$317),"")</f>
        <v>1.5</v>
      </c>
      <c r="Q77" s="7">
        <f>IFERROR(AVERAGEIF('Данные 1st'!$S$2:$S$317,$A77,'Данные 1st'!$BM$2:$BM$317),"")</f>
        <v/>
      </c>
      <c r="R77" s="7">
        <f>IFERROR(AVERAGEIF('Данные 1st'!$S$2:$S$317,$A77,'Данные 1st'!$BN$2:$BN$317),"")</f>
        <v>1.5</v>
      </c>
      <c r="S77" s="7">
        <f>IFERROR(AVERAGEIF('Данные 1st'!$S$2:$S$317,$A77,'Данные 1st'!$BT$2:$BT$317),"")</f>
        <v>241</v>
      </c>
      <c r="T77" s="7">
        <f>IFERROR(AVERAGEIF('Данные 1st'!$S$2:$S$317,$A77,'Данные 1st'!$BU$2:$BU$317),"")</f>
        <v>0.5</v>
      </c>
      <c r="U77" s="7">
        <f>IFERROR(AVERAGEIF('Данные 1st'!$S$2:$S$317,$A77,'Данные 1st'!$BW$2:$BW$317),"")</f>
        <v>482</v>
      </c>
      <c r="V77" s="7">
        <f>IFERROR(AVERAGEIF('Данные 1st'!$S$2:$S$317,$A77,'Данные 1st'!$BX$2:$BX$317),"")</f>
        <v>1</v>
      </c>
      <c r="W77" s="7">
        <f>IFERROR(AVERAGEIF('Данные 1st'!$S$2:$S$317,$A77,'Данные 1st'!$BZ$2:$BZ$317),"")</f>
        <v>470</v>
      </c>
      <c r="X77" s="7">
        <f>IFERROR(AVERAGEIF('Данные 1st'!$S$2:$S$317,$A77,'Данные 1st'!$CA$2:$CA$317),"")</f>
        <v>550</v>
      </c>
      <c r="Y77" s="7">
        <f>IFERROR(AVERAGEIF('Данные 1st'!$S$2:$S$317,$A77,'Данные 1st'!$CD$2:$CD$317),"")</f>
        <v>500</v>
      </c>
      <c r="Z77" s="7">
        <f>IFERROR(AVERAGEIF('Данные 1st'!$S$2:$S$317,$A77,'Данные 1st'!$CF$2:$CF$317),"")</f>
        <v>15</v>
      </c>
      <c r="AA77" s="7">
        <f>IFERROR(AVERAGEIF('Данные 1st'!$S$2:$S$317,$A77,'Данные 1st'!$CI$2:$CI$317),"")</f>
        <v>40</v>
      </c>
      <c r="AB77" s="7">
        <f>IFERROR(AVERAGEIF('Данные 1st'!$S$2:$S$317,$A77,'Данные 1st'!$CJ$2:$CJ$317),"")</f>
        <v>1538</v>
      </c>
      <c r="AC77" s="7">
        <f>IFERROR(AVERAGEIF('Данные 1st'!$S$2:$S$317,$A77,'Данные 1st'!$CK$2:$CK$317),"")</f>
        <v>2</v>
      </c>
      <c r="AD77" s="7">
        <f>IFERROR(AVERAGEIF('Данные 1st'!$S$2:$S$317,$A77,'Данные 1st'!$CL$2:$CL$317),"")</f>
        <v>1632</v>
      </c>
      <c r="AE77" s="7">
        <f>IFERROR(AVERAGEIF('Данные 1st'!$S$2:$S$317,$A77,'Данные 1st'!$CM$2:$CM$317),"")</f>
        <v>2</v>
      </c>
      <c r="AF77" s="7">
        <f>IFERROR(AVERAGEIF('Данные 1st'!$S$2:$S$317,$A77,'Данные 1st'!$CT$2:$CT$317),"")</f>
        <v>445</v>
      </c>
      <c r="AG77" s="7">
        <f>IFERROR(AVERAGEIF('Данные 1st'!$S$2:$S$317,$A77,'Данные 1st'!$CU$2:$CU$317),"")</f>
        <v>5</v>
      </c>
      <c r="AH77" s="7">
        <f>IFERROR(AVERAGEIF('Данные 1st'!$S$2:$S$317,$A77,'Данные 1st'!$CV$2:$CV$317),"")</f>
        <v>1.2</v>
      </c>
      <c r="AI77" s="7">
        <f>IFERROR(AVERAGEIF('Данные 1st'!$S$2:$S$317,$A77,'Данные 1st'!$CW$2:$CW$317),"")</f>
        <v>1554</v>
      </c>
      <c r="AJ77" s="7">
        <f>IFERROR(AVERAGEIF('Данные 1st'!$S$2:$S$317,$A77,'Данные 1st'!$CX$2:$CX$317),"")</f>
        <v>981</v>
      </c>
      <c r="AK77" s="7">
        <f>IFERROR(AVERAGEIF('Данные 1st'!$S$2:$S$317,$A77,'Данные 1st'!$CZ$2:$CZ$317),"")</f>
        <v>50</v>
      </c>
      <c r="AL77" s="7">
        <f>IFERROR(AVERAGEIF('Данные 1st'!$S$2:$S$317,$A77,'Данные 1st'!$DA$2:$DA$317),"")</f>
        <v>3</v>
      </c>
      <c r="AM77" s="7">
        <f>IFERROR(AVERAGEIF('Данные 1st'!$S$2:$S$317,$A77,'Данные 1st'!$DB$2:$DB$317),"")</f>
        <v>1</v>
      </c>
      <c r="AN77" s="7">
        <f>IFERROR(AVERAGEIF('Данные 1st'!$S$2:$S$317,$A77,'Данные 1st'!$DC$2:$DC$317),"")</f>
        <v>1554</v>
      </c>
      <c r="AO77" s="7">
        <f>IFERROR(AVERAGEIF('Данные 1st'!$S$2:$S$317,$A77,'Данные 1st'!$DD$2:$DD$317),"")</f>
        <v>82</v>
      </c>
      <c r="AP77" s="7">
        <f>IFERROR(AVERAGEIF('Данные 1st'!$S$2:$S$317,$A77,'Данные 1st'!$DF$2:$DF$317),"")</f>
        <v>655</v>
      </c>
      <c r="AQ77" s="7">
        <f>IFERROR(AVERAGEIF('Данные 1st'!$S$2:$S$317,$A77,'Данные 1st'!$DG$2:$DG$317),"")</f>
        <v>3</v>
      </c>
      <c r="AR77" s="7">
        <f>IFERROR(AVERAGEIF('Данные 1st'!$S$2:$S$317,$A77,'Данные 1st'!$DH$2:$DH$317),"")</f>
        <v>0.88</v>
      </c>
      <c r="AS77" s="7">
        <f>IFERROR(AVERAGEIF('Данные 1st'!$S$2:$S$317,$A77,'Данные 1st'!$DI$2:$DI$317),"")</f>
        <v>1547</v>
      </c>
      <c r="AT77" s="7">
        <f>IFERROR(AVERAGEIF('Данные 1st'!$S$2:$S$317,$A77,'Данные 1st'!$DJ$2:$DJ$317),"")</f>
        <v>1202</v>
      </c>
      <c r="AU77" s="7">
        <f>IFERROR(AVERAGEIF('Данные 1st'!$S$2:$S$317,$A77,'Данные 1st'!$DL$2:$DL$317),"")</f>
        <v>535</v>
      </c>
      <c r="AV77" s="7">
        <f>IFERROR(AVERAGEIF('Данные 1st'!$S$2:$S$317,$A77,'Данные 1st'!$DM$2:$DM$317),"")</f>
        <v>3</v>
      </c>
      <c r="AW77" s="7">
        <f>IFERROR(AVERAGEIF('Данные 1st'!$S$2:$S$317,$A77,'Данные 1st'!$DN$2:$DN$317),"")</f>
        <v>0.88</v>
      </c>
      <c r="AX77" s="7">
        <f>IFERROR(AVERAGEIF('Данные 1st'!$S$2:$S$317,$A77,'Данные 1st'!$DO$2:$DO$317),"")</f>
        <v>1552</v>
      </c>
      <c r="AY77" s="7">
        <f>IFERROR(AVERAGEIF('Данные 1st'!$S$2:$S$317,$A77,'Данные 1st'!$DP$2:$DP$317),"")</f>
        <v>1021</v>
      </c>
      <c r="AZ77" s="7">
        <f>IFERROR(AVERAGEIF('Данные 1st'!$S$2:$S$317,$A77,'Данные 1st'!$DR$2:$DR$317),"")</f>
        <v/>
      </c>
      <c r="BA77" s="7">
        <f>IFERROR(AVERAGEIF('Данные 1st'!$S$2:$S$317,$A77,'Данные 1st'!$DS$2:$DS$317),"")</f>
        <v/>
      </c>
      <c r="BB77" s="7">
        <f>IFERROR(AVERAGEIF('Данные 1st'!$S$2:$S$317,$A77,'Данные 1st'!$DT$2:$DT$317),"")</f>
        <v/>
      </c>
      <c r="BC77" s="7">
        <f>IFERROR(AVERAGEIF('Данные 1st'!$S$2:$S$317,$A77,'Данные 1st'!$DU$2:$DU$317),"")</f>
        <v/>
      </c>
      <c r="BD77" s="7">
        <f>IFERROR(AVERAGEIF('Данные 1st'!$S$2:$S$317,$A77,'Данные 1st'!$DV$2:$DV$317),"")</f>
        <v/>
      </c>
      <c r="BE77" s="7">
        <f>IFERROR(AVERAGEIF('Данные 1st'!$S$2:$S$317,$A77,'Данные 1st'!$DX$2:$DX$317),"")</f>
        <v>7.5</v>
      </c>
      <c r="BF77" s="7">
        <f>IFERROR(AVERAGEIF('Данные 1st'!$S$2:$S$317,$A77,'Данные 1st'!$EA$2:$EA$317),"")</f>
        <v>1623.8</v>
      </c>
      <c r="BG77" s="7">
        <f>IFERROR(AVERAGEIF('Данные 1st'!$S$2:$S$317,$A77,'Данные 1st'!$EB$2:$EB$317),"")</f>
        <v>382</v>
      </c>
      <c r="BH77" s="7">
        <f>IFERROR(AVERAGEIF('Данные 1st'!$S$2:$S$317,$A77,'Данные 1st'!$ED$2:$ED$317),"")</f>
        <v>40</v>
      </c>
      <c r="BI77" s="7">
        <f>IFERROR(AVERAGEIF('Данные 1st'!$S$2:$S$317,$A77,'Данные 1st'!$EE$2:$EE$317),"")</f>
        <v>3</v>
      </c>
      <c r="BJ77" s="7">
        <f>IFERROR(AVERAGEIF('Данные 1st'!$S$2:$S$317,$A77,'Данные 1st'!$EG$2:$EG$317),"")</f>
        <v>1675</v>
      </c>
      <c r="BK77" s="7">
        <f>IFERROR(AVERAGEIF('Данные 1st'!$S$2:$S$317,$A77,'Данные 1st'!$EH$2:$EH$317),"")</f>
        <v>268</v>
      </c>
      <c r="BL77" s="7">
        <f>IFERROR(AVERAGEIF('Данные 1st'!$S$2:$S$317,$A77,'Данные 1st'!$EJ$2:$EJ$317),"")</f>
        <v>0</v>
      </c>
      <c r="BM77" s="7">
        <f>IFERROR(AVERAGEIF('Данные 1st'!$S$2:$S$317,$A77,'Данные 1st'!$EK$2:$EK$317),"")</f>
        <v>1</v>
      </c>
      <c r="BN77" s="7">
        <f>IFERROR(AVERAGEIF('Данные 1st'!$S$2:$S$317,$A77,'Данные 1st'!$EN$2:$EN$317),"")</f>
        <v>0</v>
      </c>
      <c r="BO77" s="7">
        <f>IFERROR(AVERAGEIF('Данные 1st'!$S$2:$S$317,$A77,'Данные 1st'!$EQ$2:$EQ$317),"")</f>
        <v>115</v>
      </c>
      <c r="BP77" s="7">
        <f>IFERROR(AVERAGEIF('Данные 1st'!$S$2:$S$317,$A77,'Данные 1st'!$ER$2:$ER$317),"")</f>
        <v>3</v>
      </c>
      <c r="BQ77" s="7">
        <f>IFERROR(AVERAGEIF('Данные 1st'!$S$2:$S$317,$A77,'Данные 1st'!$ES$2:$ES$317),"")</f>
        <v>6</v>
      </c>
      <c r="BR77" s="7">
        <f>IFERROR(AVERAGEIF('Данные 1st'!$S$2:$S$317,$A77,'Данные 1st'!$ET$2:$ET$317),"")</f>
        <v>1537</v>
      </c>
      <c r="BS77" s="7">
        <f>IFERROR(AVERAGEIF('Данные 1st'!$S$2:$S$317,$A77,'Данные 1st'!$EU$2:$EU$317),"")</f>
        <v>524.5</v>
      </c>
      <c r="BT77" s="7">
        <f>IFERROR(AVERAGEIF('Данные 1st'!$S$2:$S$317,$A77,'Данные 1st'!$EV$2:$EV$317),"")</f>
        <v>806</v>
      </c>
      <c r="BU77" s="7">
        <f>IFERROR(AVERAGEIF('Данные 1st'!$S$2:$S$317,$A77,'Данные 1st'!$EX$2:$EX$317),"")</f>
        <v>45</v>
      </c>
      <c r="BV77" s="7">
        <f>IFERROR(AVERAGEIF('Данные 1st'!$S$2:$S$317,$A77,'Данные 1st'!$EY$2:$EY$317),"")</f>
        <v>2</v>
      </c>
      <c r="BW77" s="7">
        <f>IFERROR(AVERAGEIF('Данные 1st'!$S$2:$S$317,$A77,'Данные 1st'!$EZ$2:$EZ$317),"")</f>
        <v>4.3</v>
      </c>
      <c r="BX77" s="7">
        <f>IFERROR(AVERAGEIF('Данные 1st'!$S$2:$S$317,$A77,'Данные 1st'!$FA$2:$FA$317),"")</f>
        <v>1537</v>
      </c>
      <c r="BY77" s="7">
        <f>IFERROR(AVERAGEIF('Данные 1st'!$S$2:$S$317,$A77,'Данные 1st'!$FB$2:$FB$317),"")</f>
        <v>140.3</v>
      </c>
      <c r="BZ77" s="7">
        <f>IFERROR(AVERAGEIF('Данные 1st'!$S$2:$S$317,$A77,'Данные 1st'!$FC$2:$FC$317),"")</f>
        <v>216</v>
      </c>
      <c r="CA77" s="7">
        <f>IFERROR(AVERAGEIF('Данные 1st'!$S$2:$S$317,$A77,'Данные 1st'!$FE$2:$FE$317),"")</f>
        <v>0</v>
      </c>
      <c r="CB77" s="7">
        <f>IFERROR(AVERAGEIF('Данные 1st'!$S$2:$S$317,$A77,'Данные 1st'!$FF$2:$FF$317),"")</f>
        <v>2</v>
      </c>
      <c r="CC77" s="7">
        <f>IFERROR(AVERAGEIF('Данные 1st'!$S$2:$S$317,$A77,'Данные 1st'!$FI$2:$FI$317),"")</f>
        <v>0</v>
      </c>
      <c r="CD77" s="7">
        <f>IFERROR(AVERAGEIF('Данные 1st'!$S$2:$S$317,$A77,'Данные 1st'!$FL$2:$FL$317),"")</f>
        <v>0.4</v>
      </c>
      <c r="CE77" s="7">
        <f>IFERROR(AVERAGEIF('Данные 1st'!$S$2:$S$317,$A77,'Данные 1st'!$FM$2:$FM$317),"")</f>
        <v>40</v>
      </c>
      <c r="CF77" s="7">
        <f>IFERROR(AVERAGEIF('Данные 1st'!$S$2:$S$317,$A77,'Данные 1st'!$FN$2:$FN$317),"")</f>
        <v>420</v>
      </c>
      <c r="CG77" s="7">
        <f>IFERROR(AVERAGEIF('Данные 1st'!$S$2:$S$317,$A77,'Данные 1st'!$FO$2:$FO$317),"")</f>
        <v>110</v>
      </c>
      <c r="CH77" s="7">
        <f>IFERROR(AVERAGEIF('Данные 1st'!$S$2:$S$317,$A77,'Данные 1st'!$FP$2:$FP$317),"")</f>
        <v>140</v>
      </c>
      <c r="CI77" s="7">
        <f>IFERROR(AVERAGEIF('Данные 1st'!$S$2:$S$317,$A77,'Данные 1st'!$FS$2:$FS$317),"")</f>
        <v/>
      </c>
      <c r="CJ77" s="7">
        <f>IFERROR(AVERAGEIF('Данные 1st'!$S$2:$S$317,$A77,'Данные 1st'!$FT$2:$FT$317),"")</f>
        <v/>
      </c>
      <c r="CK77" s="7">
        <f>IFERROR(AVERAGEIF('Данные 1st'!$S$2:$S$317,$A77,'Данные 1st'!$FU$2:$FU$317),"")</f>
        <v/>
      </c>
      <c r="CL77" s="7">
        <f>IFERROR(AVERAGEIF('Данные 1st'!$S$2:$S$317,$A77,'Данные 1st'!$FV$2:$FV$317),"")</f>
        <v/>
      </c>
      <c r="CM77" s="7">
        <f>IFERROR(AVERAGEIF('Данные 1st'!$S$2:$S$317,$A77,'Данные 1st'!$FW$2:$FW$317),"")</f>
        <v/>
      </c>
      <c r="CN77" s="7">
        <f>IFERROR(AVERAGEIF('Данные 1st'!$S$2:$S$317,$A77,'Данные 1st'!$FZ$2:$FZ$317),"")</f>
        <v/>
      </c>
      <c r="CO77" s="7">
        <f>IFERROR(AVERAGEIF('Данные 1st'!$S$2:$S$317,$A77,'Данные 1st'!$GA$2:$GA$317),"")</f>
        <v/>
      </c>
      <c r="CP77" s="7">
        <f>IFERROR(AVERAGEIF('Данные 1st'!$S$2:$S$317,$A77,'Данные 1st'!$GB$2:$GB$317),"")</f>
        <v/>
      </c>
      <c r="CQ77" s="7">
        <f>IFERROR(AVERAGEIF('Данные 1st'!$S$2:$S$317,$A77,'Данные 1st'!$GH$2:$GH$317),"")</f>
        <v/>
      </c>
      <c r="CR77" s="7">
        <f>IFERROR(AVERAGEIF('Данные 1st'!$S$2:$S$317,$A77,'Данные 1st'!$GI$2:$GI$317),"")</f>
        <v/>
      </c>
      <c r="CS77" s="7">
        <f>IFERROR(AVERAGEIF('Данные 1st'!$S$2:$S$317,$A77,'Данные 1st'!$GJ$2:$GJ$317),"")</f>
        <v/>
      </c>
      <c r="CT77" s="7">
        <f>IFERROR(AVERAGEIF('Данные 1st'!$S$2:$S$317,$A77,'Данные 1st'!$GS$2:$GS$317),"")</f>
        <v>0.4</v>
      </c>
      <c r="CU77" s="7">
        <f>IFERROR(AVERAGEIF('Данные 1st'!$S$2:$S$317,$A77,'Данные 1st'!$GT$2:$GT$317),"")</f>
        <v>30</v>
      </c>
      <c r="CV77" s="7">
        <f>IFERROR(AVERAGEIF('Данные 1st'!$S$2:$S$317,$A77,'Данные 1st'!$GU$2:$GU$317),"")</f>
        <v>450</v>
      </c>
      <c r="CW77" s="7">
        <f>IFERROR(AVERAGEIF('Данные 1st'!$S$2:$S$317,$A77,'Данные 1st'!$GV$2:$GV$317),"")</f>
        <v>40</v>
      </c>
      <c r="CX77" s="7">
        <f>IFERROR(AVERAGEIF('Данные 1st'!$S$2:$S$317,$A77,'Данные 1st'!$GW$2:$GW$317),"")</f>
        <v>300</v>
      </c>
      <c r="CY77" s="7">
        <f>IFERROR(AVERAGEIF('Данные 1st'!$S$2:$S$317,$A77,'Данные 1st'!$GZ$2:$GZ$317),"")</f>
        <v>1.6</v>
      </c>
      <c r="CZ77" s="7">
        <f>IFERROR(AVERAGEIF('Данные 1st'!$S$2:$S$317,$A77,'Данные 1st'!$HA$2:$HA$317),"")</f>
        <v>20</v>
      </c>
      <c r="DA77" s="7">
        <f>IFERROR(AVERAGEIF('Данные 1st'!$S$2:$S$317,$A77,'Данные 1st'!$HB$2:$HB$317),"")</f>
        <v>201</v>
      </c>
      <c r="DB77" s="7">
        <f>IFERROR(AVERAGEIF('Данные 1st'!$S$2:$S$317,$A77,'Данные 1st'!$HC$2:$HC$317),"")</f>
        <v>0.1</v>
      </c>
      <c r="DC77" s="7">
        <f>IFERROR(AVERAGEIF('Данные 1st'!$S$2:$S$317,$A77,'Данные 1st'!$HD$2:$HD$317),"")</f>
        <v>3</v>
      </c>
      <c r="DD77" s="7">
        <f>IFERROR(AVERAGEIF('Данные 1st'!$S$2:$S$317,$A77,'Данные 1st'!$HE$2:$HE$317),"")</f>
        <v>3</v>
      </c>
      <c r="DE77" s="7">
        <f>IFERROR(AVERAGEIF('Данные 1st'!$S$2:$S$317,$A77,'Данные 1st'!$HF$2:$HF$317),"")</f>
        <v>3</v>
      </c>
      <c r="DF77" s="7">
        <f>IFERROR(AVERAGEIF('Данные 1st'!$S$2:$S$317,$A77,'Данные 1st'!$HG$2:$HG$317),"")</f>
        <v>3</v>
      </c>
      <c r="DG77" s="7">
        <f>IFERROR(AVERAGEIF('Данные 1st'!$S$2:$S$317,$A77,'Данные 1st'!$HH$2:$HH$317),"")</f>
        <v>3</v>
      </c>
      <c r="DH77" s="7">
        <f>IFERROR(AVERAGEIF('Данные 1st'!$S$2:$S$317,$A77,'Данные 1st'!$HI$2:$HI$317),"")</f>
        <v>145</v>
      </c>
      <c r="DI77" s="7">
        <f>IFERROR(AVERAGEIF('Данные 1st'!$S$2:$S$317,$A77,'Данные 1st'!$HJ$2:$HJ$317),"")</f>
        <v>3</v>
      </c>
      <c r="DJ77" s="7">
        <f>IFERROR(AVERAGEIF('Данные 1st'!$S$2:$S$317,$A77,'Данные 1st'!$HK$2:$HK$317),"")</f>
        <v>30</v>
      </c>
      <c r="DK77" s="7">
        <f>IFERROR(AVERAGEIF('Данные 1st'!$S$2:$S$317,$A77,'Данные 1st'!$HL$2:$HL$317),"")</f>
        <v>2</v>
      </c>
      <c r="DL77" s="7">
        <f>IFERROR(AVERAGEIF('Данные 1st'!$S$2:$S$317,$A77,'Данные 1st'!$HM$2:$HM$317),"")</f>
        <v>0</v>
      </c>
      <c r="DM77" s="7">
        <f>IFERROR(AVERAGEIF('Данные 1st'!$S$2:$S$317,$A77,'Данные 1st'!$HN$2:$HN$317),"")</f>
        <v>2</v>
      </c>
      <c r="DN77" s="7">
        <f>IFERROR(AVERAGEIF('Данные 1st'!$S$2:$S$317,$A77,'Данные 1st'!$HO$2:$HO$317),"")</f>
        <v>100</v>
      </c>
      <c r="DO77" s="7">
        <f>IFERROR(AVERAGEIF('Данные 1st'!$S$2:$S$317,$A77,'Данные 1st'!$HP$2:$HP$317),"")</f>
        <v>3</v>
      </c>
      <c r="DP77" s="7">
        <f>IFERROR(AVERAGEIF('Данные 1st'!$S$2:$S$317,$A77,'Данные 1st'!$HQ$2:$HQ$317),"")</f>
        <v>0</v>
      </c>
      <c r="DQ77" s="7">
        <f>IFERROR(AVERAGEIF('Данные 1st'!$S$2:$S$317,$A77,'Данные 1st'!$HR$2:$HR$317),"")</f>
        <v>2</v>
      </c>
      <c r="DR77" s="7">
        <f>IFERROR(AVERAGEIF('Данные 1st'!$S$2:$S$317,$A77,'Данные 1st'!$HS$2:$HS$317),"")</f>
        <v>6712</v>
      </c>
      <c r="DS77" s="7">
        <f>IFERROR(AVERAGEIF('Данные 1st'!$S$2:$S$317,$A77,'Данные 1st'!$HT$2:$HT$317),"")</f>
        <v>200</v>
      </c>
      <c r="DT77" s="7">
        <f>IFERROR(AVERAGEIF('Данные 1st'!$S$2:$S$317,$A77,'Данные 1st'!$HU$2:$HU$317),"")</f>
        <v>180</v>
      </c>
      <c r="DU77" s="7">
        <f>IFERROR(AVERAGEIF('Данные 1st'!$S$2:$S$317,$A77,'Данные 1st'!$HW$2:$HW$317),"")</f>
        <v>0</v>
      </c>
      <c r="DV77" s="7">
        <f>IFERROR(AVERAGEIF('Данные 1st'!$S$2:$S$317,$A77,'Данные 1st'!$HX$2:$HX$317),"")</f>
        <v>570</v>
      </c>
      <c r="DW77" s="7">
        <f>IFERROR(AVERAGEIF('Данные 1st'!$S$2:$S$317,$A77,'Данные 1st'!$HY$2:$HY$317),"")</f>
        <v>0.18</v>
      </c>
      <c r="DX77" s="7">
        <f>IFERROR(AVERAGEIF('Данные 1st'!$S$2:$S$317,$A77,'Данные 1st'!$IA$2:$IA$317),"")</f>
        <v>0.15</v>
      </c>
      <c r="DY77" s="7">
        <f>IFERROR(AVERAGEIF('Данные 1st'!$S$2:$S$317,$A77,'Данные 1st'!$IB$2:$IB$317),"")</f>
        <v>0</v>
      </c>
      <c r="DZ77" s="7">
        <f>IFERROR(AVERAGEIF('Данные 1st'!$S$2:$S$317,$A77,'Данные 1st'!$IC$2:$IC$317),"")</f>
        <v>180</v>
      </c>
      <c r="EA77" s="7">
        <f>IFERROR(AVERAGEIF('Данные 1st'!$S$2:$S$317,$A77,'Данные 1st'!$ID$2:$ID$317),"")</f>
        <v>110</v>
      </c>
      <c r="EB77" s="7">
        <f>IFERROR(AVERAGEIF('Данные 1st'!$S$2:$S$317,$A77,'Данные 1st'!$IE$2:$IE$317),"")</f>
        <v>225</v>
      </c>
      <c r="EC77" s="7">
        <f>IFERROR(AVERAGEIF('Данные 1st'!$S$2:$S$317,$A77,'Данные 1st'!$IF$2:$IF$317),"")</f>
        <v>0</v>
      </c>
      <c r="ED77" s="7">
        <f>IFERROR(AVERAGEIF('Данные 1st'!$S$2:$S$317,$A77,'Данные 1st'!$IP$2:$IP$317),"")</f>
        <v>20</v>
      </c>
      <c r="EE77" s="7">
        <f>IFERROR(AVERAGEIF('Данные 1st'!$S$2:$S$317,$A77,'Данные 1st'!$IV$2:$IV$317),"")</f>
        <v>1538</v>
      </c>
      <c r="EF77" s="7">
        <f>IFERROR(AVERAGEIF('Данные 1st'!$S$2:$S$317,$A77,'Данные 1st'!$IW$2:$IW$317),"")</f>
        <v>482</v>
      </c>
      <c r="EG77" s="7">
        <f>IFERROR(AVERAGEIF('Данные 1st'!$S$2:$S$317,$A77,'Данные 1st'!$IX$2:$IX$317),"")</f>
        <v/>
      </c>
      <c r="EH77" s="7">
        <f>IFERROR(AVERAGEIF('Данные 1st'!$S$2:$S$317,$A77,'Данные 1st'!$IY$2:$IY$317),"")</f>
        <v/>
      </c>
      <c r="EI77" s="7">
        <f>IFERROR(AVERAGEIF('Данные 1st'!$S$2:$S$317,$A77,'Данные 1st'!$JD$2:$JD$317),"")</f>
        <v>1554</v>
      </c>
      <c r="EJ77" s="7">
        <f>IFERROR(AVERAGEIF('Данные 1st'!$S$2:$S$317,$A77,'Данные 1st'!$JE$2:$JE$317),"")</f>
        <v>1547</v>
      </c>
      <c r="EK77" s="7">
        <f>IFERROR(AVERAGEIF('Данные 1st'!$S$2:$S$317,$A77,'Данные 1st'!$JF$2:$JF$317),"")</f>
        <v>1552</v>
      </c>
      <c r="EL77" s="7">
        <f>IFERROR(AVERAGEIF('Данные 1st'!$S$2:$S$317,$A77,'Данные 1st'!$JG$2:$JG$317),"")</f>
        <v>1537</v>
      </c>
      <c r="EM77" s="7">
        <f>IFERROR(AVERAGEIF('Данные 1st'!$S$2:$S$317,$A77,'Данные 1st'!$JH$2:$JH$317),"")</f>
        <v>0</v>
      </c>
      <c r="EN77" s="7">
        <f>IFERROR(AVERAGEIF('Данные 1st'!$S$2:$S$317,$A77,'Данные 1st'!$JJ$2:$JJ$317),"")</f>
        <v>180</v>
      </c>
      <c r="EO77" s="7">
        <f>IFERROR(AVERAGEIF('Данные 1st'!$S$2:$S$317,$A77,'Данные 1st'!$JK$2:$JK$317),"")</f>
        <v>570</v>
      </c>
      <c r="EP77" s="7">
        <f>IFERROR(AVERAGEIF('Данные 1st'!$S$2:$S$317,$A77,'Данные 1st'!$JL$2:$JL$317),"")</f>
        <v/>
      </c>
      <c r="EQ77" s="7">
        <f>IFERROR(AVERAGEIF('Данные 1st'!$S$2:$S$317,$A77,'Данные 1st'!$JM$2:$JM$317),"")</f>
        <v/>
      </c>
      <c r="ER77" s="7">
        <f>IFERROR(AVERAGEIF('Данные 1st'!$S$2:$S$317,$A77,'Данные 1st'!$JN$2:$JN$317),"")</f>
        <v>445</v>
      </c>
      <c r="ES77" s="7">
        <f>IFERROR(AVERAGEIF('Данные 1st'!$S$2:$S$317,$A77,'Данные 1st'!$JO$2:$JO$317),"")</f>
        <v>655</v>
      </c>
      <c r="ET77" s="7">
        <f>IFERROR(AVERAGEIF('Данные 1st'!$S$2:$S$317,$A77,'Данные 1st'!$JP$2:$JP$317),"")</f>
        <v>535</v>
      </c>
      <c r="EU77" s="7">
        <f>IFERROR(AVERAGEIF('Данные 1st'!$S$2:$S$317,$A77,'Данные 1st'!$JQ$2:$JQ$317),"")</f>
        <v>0</v>
      </c>
      <c r="EV77" s="7">
        <f>IFERROR(AVERAGEIF('Данные 1st'!$S$2:$S$317,$A77,'Данные 1st'!$JR$2:$JR$317),"")</f>
        <v>486</v>
      </c>
      <c r="EW77" s="7">
        <f>IFERROR(AVERAGEIF('Данные 1st'!$S$2:$S$317,$A77,'Данные 1st'!$JS$2:$JS$317),"")</f>
        <v>145</v>
      </c>
      <c r="EX77" s="7">
        <f>IFERROR(AVERAGEIF('Данные 1st'!$S$2:$S$317,$A77,'Данные 1st'!$JT$2:$JT$317),"")</f>
        <v/>
      </c>
      <c r="EY77" s="7">
        <f>IFERROR(AVERAGEIF('Данные 1st'!$S$2:$S$317,$A77,'Данные 1st'!$JU$2:$JU$317),"")</f>
        <v/>
      </c>
      <c r="EZ77" s="7">
        <f>IFERROR(AVERAGEIF('Данные 1st'!$S$2:$S$317,$A77,'Данные 1st'!$JV$2:$JV$317),"")</f>
        <v>8</v>
      </c>
      <c r="FA77" s="7">
        <f>IFERROR(AVERAGEIF('Данные 1st'!$S$2:$S$317,$A77,'Данные 1st'!$JW$2:$JW$317),"")</f>
        <v/>
      </c>
      <c r="FB77" s="7">
        <f>IFERROR(AVERAGEIF('Данные 1st'!$S$2:$S$317,$A77,'Данные 1st'!$JX$2:$JX$317),"")</f>
        <v>522</v>
      </c>
      <c r="FC77" s="7">
        <f>IFERROR(AVERAGEIF('Данные 1st'!$S$2:$S$317,$A77,'Данные 1st'!$JY$2:$JY$317),"")</f>
        <v/>
      </c>
      <c r="FD77" s="7">
        <f>IFERROR(AVERAGEIF('Данные 1st'!$S$2:$S$317,$A77,'Данные 1st'!$JZ$2:$JZ$317),"")</f>
        <v/>
      </c>
      <c r="FE77" s="7">
        <f>IFERROR(AVERAGEIF('Данные 1st'!$S$2:$S$317,$A77,'Данные 1st'!$KA$2:$KA$317),"")</f>
        <v>225</v>
      </c>
      <c r="FF77" s="7">
        <f>IFERROR(AVERAGEIF('Данные 1st'!$S$2:$S$317,$A77,'Данные 1st'!$KB$2:$KB$317),"")</f>
        <v>110</v>
      </c>
      <c r="FG77" s="7">
        <f>IFERROR(AVERAGEIF('Данные 1st'!$S$2:$S$317,$A77,'Данные 1st'!$KC$2:$KC$317),"")</f>
        <v>0</v>
      </c>
      <c r="FH77" s="7">
        <f>IFERROR(AVERAGEIF('Данные 1st'!$S$2:$S$317,$A77,'Данные 1st'!$KD$2:$KD$317),"")</f>
        <v>80</v>
      </c>
      <c r="FI77" s="7">
        <f>IFERROR(AVERAGEIF('Данные 1st'!$S$2:$S$317,$A77,'Данные 1st'!$KE$2:$KE$317),"")</f>
        <v/>
      </c>
      <c r="FJ77" s="7">
        <f>IFERROR(AVERAGEIF('Данные 1st'!$S$2:$S$317,$A77,'Данные 1st'!$KF$2:$KF$317),"")</f>
        <v>4</v>
      </c>
      <c r="FK77" s="7">
        <f>IFERROR(AVERAGEIF('Данные 1st'!$S$2:$S$317,$A77,'Данные 1st'!$KG$2:$KG$317),"")</f>
        <v>2</v>
      </c>
      <c r="FL77" s="7">
        <f>IFERROR(AVERAGEIF('Данные 1st'!$S$2:$S$317,$A77,'Данные 1st'!$KH$2:$KH$317),"")</f>
        <v>2</v>
      </c>
      <c r="FM77" s="7">
        <f>IFERROR(AVERAGEIF('Данные 1st'!$S$2:$S$317,$A77,'Данные 1st'!$KI$2:$KI$317),"")</f>
        <v>2</v>
      </c>
      <c r="FN77" s="7">
        <f>IFERROR(AVERAGEIF('Данные 1st'!$S$2:$S$317,$A77,'Данные 1st'!$KJ$2:$KJ$317),"")</f>
        <v>0</v>
      </c>
      <c r="FO77" s="7">
        <f>IFERROR(AVERAGEIF('Данные 1st'!$S$2:$S$317,$A77,'Данные 1st'!$KK$2:$KK$317),"")</f>
        <v>1.5</v>
      </c>
      <c r="FP77" s="7">
        <f>IFERROR(AVERAGEIF('Данные 1st'!$S$2:$S$317,$A77,'Данные 1st'!$KL$2:$KL$317),"")</f>
        <v>1.5</v>
      </c>
      <c r="FQ77" s="7">
        <f>IFERROR(AVERAGEIF('Данные 1st'!$S$2:$S$317,$A77,'Данные 1st'!$KM$2:$KM$317),"")</f>
        <v>0</v>
      </c>
      <c r="FR77" s="7">
        <f>IFERROR(AVERAGEIF('Данные 1st'!$S$2:$S$317,$A77,'Данные 1st'!$KN$2:$KN$317),"")</f>
        <v>0</v>
      </c>
      <c r="FS77" s="7">
        <f>IFERROR(AVERAGEIF('Данные 1st'!$S$2:$S$317,$A77,'Данные 1st'!$KR$2:$KR$317),"")</f>
        <v>50</v>
      </c>
      <c r="FT77" s="7">
        <f>IFERROR(AVERAGEIF('Данные 1st'!$S$2:$S$317,$A77,'Данные 1st'!$KS$2:$KS$317),"")</f>
        <v>60</v>
      </c>
      <c r="FU77" s="7">
        <f>IFERROR(AVERAGEIF('Данные 1st'!$S$2:$S$317,$A77,'Данные 1st'!$KT$2:$KT$317),"")</f>
        <v>0</v>
      </c>
      <c r="FV77" s="7">
        <f>IFERROR(AVERAGEIF('Данные 1st'!$S$2:$S$317,$A77,'Данные 1st'!$KV$2:$KV$317),"")</f>
        <v/>
      </c>
      <c r="FW77" s="7">
        <f>IFERROR(AVERAGEIF('Данные 1st'!$S$2:$S$317,$A77,'Данные 1st'!$KW$2:$KW$317),"")</f>
        <v/>
      </c>
      <c r="FX77" s="7">
        <f>IFERROR(AVERAGEIF('Данные 1st'!$S$2:$S$317,$A77,'Данные 1st'!$KX$2:$KX$317),"")</f>
        <v/>
      </c>
      <c r="FY77" s="7">
        <f>IFERROR(AVERAGEIF('Данные 1st'!$S$2:$S$317,$A77,'Данные 1st'!$KY$2:$KY$317),"")</f>
        <v/>
      </c>
      <c r="FZ77" s="7">
        <f>IFERROR(AVERAGEIF('Данные 1st'!$S$2:$S$317,$A77,'Данные 1st'!$KZ$2:$KZ$317),"")</f>
        <v/>
      </c>
      <c r="GA77" s="7">
        <f>IFERROR(AVERAGEIF('Данные 1st'!$S$2:$S$317,$A77,'Данные 1st'!$LA$2:$LA$317),"")</f>
        <v/>
      </c>
      <c r="GB77" s="7">
        <f>IFERROR(AVERAGEIF('Данные 1st'!$S$2:$S$317,$A77,'Данные 1st'!$LB$2:$LB$317),"")</f>
        <v/>
      </c>
      <c r="GC77" s="7">
        <f>IFERROR(AVERAGEIF('Данные 1st'!$S$2:$S$317,$A77,'Данные 1st'!$LC$2:$LC$317),"")</f>
        <v/>
      </c>
      <c r="GD77" s="7">
        <f>IFERROR(AVERAGEIF('Данные 1st'!$S$2:$S$317,$A77,'Данные 1st'!$LD$2:$LD$317),"")</f>
        <v/>
      </c>
      <c r="GE77" s="7">
        <f>IFERROR(AVERAGEIF('Данные 1st'!$S$2:$S$317,$A77,'Данные 1st'!$LE$2:$LE$317),"")</f>
        <v/>
      </c>
      <c r="GF77" s="7">
        <f>IFERROR(AVERAGEIF('Данные 1st'!$S$2:$S$317,$A77,'Данные 1st'!$LF$2:$LF$317),"")</f>
        <v/>
      </c>
      <c r="GG77" s="7">
        <f>IFERROR(AVERAGEIF('Данные 1st'!$S$2:$S$317,$A77,'Данные 1st'!$LG$2:$LG$317),"")</f>
        <v/>
      </c>
      <c r="GH77" s="7">
        <f>IFERROR(AVERAGEIF('Данные 1st'!$S$2:$S$317,$A77,'Данные 1st'!$LH$2:$LH$317),"")</f>
        <v/>
      </c>
      <c r="GI77" s="7">
        <f>IFERROR(AVERAGEIF('Данные 1st'!$S$2:$S$317,$A77,'Данные 1st'!$LI$2:$LI$317),"")</f>
        <v/>
      </c>
      <c r="GJ77" s="7">
        <f>IFERROR(AVERAGEIF('Данные 1st'!$S$2:$S$317,$A77,'Данные 1st'!$LJ$2:$LJ$317),"")</f>
        <v/>
      </c>
      <c r="GK77" s="7">
        <f>IFERROR(AVERAGEIF('Данные 1st'!$S$2:$S$317,$A77,'Данные 1st'!$LK$2:$LK$317),"")</f>
        <v>480</v>
      </c>
      <c r="GL77" s="7">
        <f>IFERROR(AVERAGEIF('Данные 1st'!$S$2:$S$317,$A77,'Данные 1st'!$LV$2:$LV$317),"")</f>
        <v/>
      </c>
      <c r="GM77" s="7">
        <f>IFERROR(AVERAGEIF('Данные 1st'!$S$2:$S$317,$A77,'Данные 1st'!$LW$2:$LW$317),"")</f>
        <v/>
      </c>
      <c r="GN77" s="7">
        <f>IFERROR(AVERAGEIF('Данные 1st'!$S$2:$S$317,$A77,'Данные 1st'!$LX$2:$LX$317),"")</f>
        <v/>
      </c>
      <c r="GO77" s="7">
        <f>IFERROR(AVERAGEIF('Данные 1st'!$S$2:$S$317,$A77,'Данные 1st'!$LY$2:$LY$317),"")</f>
        <v/>
      </c>
      <c r="GP77" s="7">
        <f>IFERROR(AVERAGEIF('Данные 1st'!$S$2:$S$317,$A77,'Данные 1st'!$LZ$2:$LZ$317),"")</f>
        <v/>
      </c>
      <c r="GQ77" s="7">
        <f>IFERROR(AVERAGEIF('Данные 1st'!$S$2:$S$317,$A77,'Данные 1st'!$PG$2:$PG$317),"")</f>
        <v>1</v>
      </c>
      <c r="GR77" s="7">
        <f>IFERROR(AVERAGEIF('Данные 1st'!$S$2:$S$317,$A77,'Данные 1st'!$PX$2:$PX$317),"")</f>
        <v>56</v>
      </c>
      <c r="GS77" s="7">
        <f>IFERROR(AVERAGEIF('Данные 1st'!$S$2:$S$317,$A77,'Данные 1st'!$PY$2:$PY$317),"")</f>
        <v>57</v>
      </c>
      <c r="GT77" s="7">
        <f>IFERROR(AVERAGEIF('Данные 1st'!$S$2:$S$317,$A77,'Данные 1st'!$QA$2:$QA$317),"")</f>
        <v>3</v>
      </c>
      <c r="GU77" s="7">
        <f>IFERROR(AVERAGEIF('Данные 1st'!$S$2:$S$317,$A77,'Данные 1st'!$QB$2:$QB$317),"")</f>
        <v>1537</v>
      </c>
      <c r="GV77" s="7">
        <f>IFERROR(AVERAGEIF('Данные 1st'!$S$2:$S$317,$A77,'Данные 1st'!$QC$2:$QC$317),"")</f>
        <v>69</v>
      </c>
      <c r="GW77" s="7">
        <f>IFERROR(AVERAGEIF('Данные 1st'!$S$2:$S$317,$A77,'Данные 1st'!$QD$2:$QD$317),"")</f>
        <v>69</v>
      </c>
      <c r="GX77" s="7">
        <f>IFERROR(AVERAGEIF('Данные 1st'!$S$2:$S$317,$A77,'Данные 1st'!$QF$2:$QF$317),"")</f>
        <v>1</v>
      </c>
      <c r="GY77" s="7">
        <f>IFERROR(AVERAGEIF('Данные 1st'!$S$2:$S$317,$A77,'Данные 1st'!$QG$2:$QG$317),"")</f>
        <v>1554</v>
      </c>
      <c r="GZ77" s="7">
        <f>IFERROR(AVERAGEIF('Данные 1st'!$S$2:$S$317,$A77,'Данные 1st'!$QH$2:$QH$317),"")</f>
        <v>66</v>
      </c>
      <c r="HA77" s="7">
        <f>IFERROR(AVERAGEIF('Данные 1st'!$S$2:$S$317,$A77,'Данные 1st'!$QI$2:$QI$317),"")</f>
        <v>66</v>
      </c>
      <c r="HB77" s="7">
        <f>IFERROR(AVERAGEIF('Данные 1st'!$S$2:$S$317,$A77,'Данные 1st'!$QK$2:$QK$317),"")</f>
        <v>1</v>
      </c>
      <c r="HC77" s="7">
        <f>IFERROR(AVERAGEIF('Данные 1st'!$S$2:$S$317,$A77,'Данные 1st'!$QL$2:$QL$317),"")</f>
        <v>1554</v>
      </c>
      <c r="HD77" s="7">
        <f>IFERROR(AVERAGEIF('Данные 1st'!$S$2:$S$317,$A77,'Данные 1st'!$QM$2:$QM$317),"")</f>
        <v>62</v>
      </c>
      <c r="HE77" s="7">
        <f>IFERROR(AVERAGEIF('Данные 1st'!$S$2:$S$317,$A77,'Данные 1st'!$QN$2:$QN$317),"")</f>
        <v>62</v>
      </c>
      <c r="HF77" s="7">
        <f>IFERROR(AVERAGEIF('Данные 1st'!$S$2:$S$317,$A77,'Данные 1st'!$QP$2:$QP$317),"")</f>
        <v>1</v>
      </c>
      <c r="HG77" s="7">
        <f>IFERROR(AVERAGEIF('Данные 1st'!$S$2:$S$317,$A77,'Данные 1st'!$QQ$2:$QQ$317),"")</f>
        <v>1547</v>
      </c>
      <c r="HH77" s="7">
        <f>IFERROR(AVERAGEIF('Данные 1st'!$S$2:$S$317,$A77,'Данные 1st'!$QR$2:$QR$317),"")</f>
        <v>63</v>
      </c>
      <c r="HI77" s="7">
        <f>IFERROR(AVERAGEIF('Данные 1st'!$S$2:$S$317,$A77,'Данные 1st'!$QS$2:$QS$317),"")</f>
        <v>63</v>
      </c>
      <c r="HJ77" s="7">
        <f>IFERROR(AVERAGEIF('Данные 1st'!$S$2:$S$317,$A77,'Данные 1st'!$QU$2:$QU$317),"")</f>
        <v>1</v>
      </c>
      <c r="HK77" s="7">
        <f>IFERROR(AVERAGEIF('Данные 1st'!$S$2:$S$317,$A77,'Данные 1st'!$QV$2:$QV$317),"")</f>
        <v>1552</v>
      </c>
      <c r="HL77" s="7">
        <f>IFERROR(AVERAGEIF('Данные 1st'!$S$2:$S$317,$A77,'Данные 1st'!$QW$2:$QW$317),"")</f>
        <v>82</v>
      </c>
      <c r="HM77" s="7">
        <f>IFERROR(AVERAGEIF('Данные 1st'!$S$2:$S$317,$A77,'Данные 1st'!$QX$2:$QX$317),"")</f>
        <v/>
      </c>
      <c r="HN77" s="7">
        <f>IFERROR(AVERAGEIF('Данные 1st'!$S$2:$S$317,$A77,'Данные 1st'!$QZ$2:$QZ$317),"")</f>
        <v>3</v>
      </c>
      <c r="HO77" s="7">
        <f>IFERROR(AVERAGEIF('Данные 1st'!$S$2:$S$317,$A77,'Данные 1st'!$RA$2:$RA$317),"")</f>
        <v>66</v>
      </c>
      <c r="HP77" s="7">
        <f>IFERROR(AVERAGEIF('Данные 1st'!$S$2:$S$317,$A77,'Данные 1st'!$RB$2:$RB$317),"")</f>
        <v>66</v>
      </c>
      <c r="HQ77" s="7">
        <f>IFERROR(AVERAGEIF('Данные 1st'!$S$2:$S$317,$A77,'Данные 1st'!$RD$2:$RD$317),"")</f>
        <v/>
      </c>
      <c r="HR77" s="7">
        <f>IFERROR(AVERAGEIF('Данные 1st'!$S$2:$S$317,$A77,'Данные 1st'!$RE$2:$RE$317),"")</f>
        <v>0</v>
      </c>
      <c r="HS77" s="7">
        <f>IFERROR(AVERAGEIF('Данные 1st'!$S$2:$S$317,$A77,'Данные 1st'!$RF$2:$RF$317),"")</f>
        <v>1</v>
      </c>
      <c r="HT77" s="7">
        <f>IFERROR(AVERAGEIF('Данные 1st'!$S$2:$S$317,$A77,'Данные 1st'!$RG$2:$RG$317),"")</f>
        <v/>
      </c>
      <c r="HU77" s="7">
        <f>IFERROR(AVERAGEIF('Данные 1st'!$S$2:$S$317,$A77,'Данные 1st'!$RH$2:$RH$317),"")</f>
        <v/>
      </c>
      <c r="HV77" s="7">
        <f>IFERROR(AVERAGEIF('Данные 1st'!$S$2:$S$317,$A77,'Данные 1st'!$RI$2:$RI$317),"")</f>
        <v>1</v>
      </c>
      <c r="HW77" s="7">
        <f>IFERROR(AVERAGEIF('Данные 1st'!$S$2:$S$317,$A77,'Данные 1st'!$RJ$2:$RJ$317),"")</f>
        <v>1</v>
      </c>
      <c r="HX77" s="7">
        <f>IFERROR(AVERAGEIF('Данные 1st'!$S$2:$S$317,$A77,'Данные 1st'!$RK$2:$RK$317),"")</f>
        <v>2</v>
      </c>
      <c r="HY77" s="7">
        <f>IFERROR(AVERAGEIF('Данные 1st'!$S$2:$S$317,$A77,'Данные 1st'!$RL$2:$RL$317),"")</f>
        <v>4</v>
      </c>
      <c r="HZ77" s="7">
        <f>IFERROR(AVERAGEIF('Данные 1st'!$S$2:$S$317,$A77,'Данные 1st'!$RM$2:$RM$317),"")</f>
        <v>4</v>
      </c>
      <c r="IA77" s="7">
        <f>IFERROR(AVERAGEIF('Данные 1st'!$S$2:$S$317,$A77,'Данные 1st'!$RN$2:$RN$317),"")</f>
        <v/>
      </c>
      <c r="IB77" s="7">
        <f>IFERROR(AVERAGEIF('Данные 1st'!$S$2:$S$317,$A77,'Данные 1st'!$RO$2:$RO$317),"")</f>
        <v>631</v>
      </c>
      <c r="IC77" s="7">
        <f>IFERROR(AVERAGEIF('Данные 1st'!$S$2:$S$317,$A77,'Данные 1st'!$RP$2:$RP$317),"")</f>
        <v>105</v>
      </c>
      <c r="ID77" s="7">
        <f>IFERROR(AVERAGEIF('Данные 1st'!$S$2:$S$317,$A77,'Данные 1st'!$RQ$2:$RQ$317),"")</f>
        <v>777</v>
      </c>
      <c r="IE77" s="7">
        <f>IFERROR(AVERAGEIF('Данные 1st'!$S$2:$S$317,$A77,'Данные 1st'!$RR$2:$RR$317),"")</f>
        <v>658</v>
      </c>
      <c r="IF77" s="7">
        <f>IFERROR(AVERAGEIF('Данные 1st'!$S$2:$S$317,$A77,'Данные 1st'!$RS$2:$RS$317),"")</f>
        <v/>
      </c>
      <c r="IG77" s="7">
        <f>IFERROR(AVERAGEIF('Данные 1st'!$S$2:$S$317,$A77,'Данные 1st'!$RT$2:$RT$317),"")</f>
        <v>382</v>
      </c>
      <c r="IH77" s="7">
        <f>IFERROR(AVERAGEIF('Данные 1st'!$S$2:$S$317,$A77,'Данные 1st'!$RU$2:$RU$317),"")</f>
        <v>268</v>
      </c>
      <c r="II77" s="7">
        <f>IFERROR(AVERAGEIF('Данные 1st'!$S$2:$S$317,$A77,'Данные 1st'!$RX$2:$RX$317),"")</f>
        <v>15</v>
      </c>
      <c r="IJ77" s="7">
        <f>IFERROR(AVERAGEIF('Данные 1st'!$S$2:$S$317,$A77,'Данные 1st'!$RY$2:$RY$317),"")</f>
        <v>4</v>
      </c>
      <c r="IK77" s="7">
        <f>IFERROR(AVERAGEIF('Данные 1st'!$S$2:$S$317,$A77,'Данные 1st'!$SA$2:$SA$317),"")</f>
        <v>15</v>
      </c>
      <c r="IL77" s="7">
        <f>IFERROR(AVERAGEIF('Данные 1st'!$S$2:$S$317,$A77,'Данные 1st'!$SD$2:$SD$317),"")</f>
        <v>1</v>
      </c>
      <c r="IM77" s="7">
        <f>IFERROR(AVERAGEIF('Данные 1st'!$S$2:$S$317,$A77,'Данные 1st'!$SG$2:$SG$317),"")</f>
        <v>1</v>
      </c>
      <c r="IN77" s="7">
        <f>IFERROR(AVERAGEIF('Данные 1st'!$S$2:$S$317,$A77,'Данные 1st'!$SH$2:$SH$317),"")</f>
        <v>0.995</v>
      </c>
      <c r="IO77" s="7">
        <f>IFERROR(AVERAGEIF('Данные 1st'!$S$2:$S$317,$A77,'Данные 1st'!$SI$2:$SI$317),"")</f>
        <v>0.995</v>
      </c>
      <c r="IP77" s="7">
        <f>IFERROR(AVERAGEIF('Данные 1st'!$S$2:$S$317,$A77,'Данные 1st'!$SJ$2:$SJ$317),"")</f>
        <v>0.995</v>
      </c>
      <c r="IQ77" s="7">
        <f>IFERROR(AVERAGEIF('Данные 1st'!$S$2:$S$317,$A77,'Данные 1st'!$SK$2:$SK$317),"")</f>
        <v>15</v>
      </c>
      <c r="IR77" s="7">
        <f>IFERROR(AVERAGEIF('Данные 1st'!$S$2:$S$317,$A77,'Данные 1st'!$SL$2:$SL$317),"")</f>
        <v>0</v>
      </c>
      <c r="IS77" s="7">
        <f>IFERROR(AVERAGEIF('Данные 1st'!$S$2:$S$317,$A77,'Данные 1st'!$SM$2:$SM$317),"")</f>
        <v>0</v>
      </c>
      <c r="IT77" s="7">
        <f>IFERROR(AVERAGEIF('Данные 1st'!$S$2:$S$317,$A77,'Данные 1st'!$SN$2:$SN$317),"")</f>
        <v>0</v>
      </c>
      <c r="IU77" s="7">
        <f>IFERROR(AVERAGEIF('Данные 1st'!$S$2:$S$317,$A77,'Данные 1st'!$SO$2:$SO$317),"")</f>
        <v>0</v>
      </c>
      <c r="IV77" s="7">
        <f>IFERROR(AVERAGEIF('Данные 1st'!$S$2:$S$317,$A77,'Данные 1st'!$SP$2:$SP$317),"")</f>
        <v>0</v>
      </c>
      <c r="IW77" s="7">
        <f>IFERROR(AVERAGEIF('Данные 1st'!$S$2:$S$317,$A77,'Данные 1st'!$SQ$2:$SQ$317),"")</f>
        <v>0</v>
      </c>
      <c r="IX77" s="7">
        <f>IFERROR(AVERAGEIF('Данные 1st'!$S$2:$S$317,$A77,'Данные 1st'!$SR$2:$SR$317),"")</f>
        <v>0</v>
      </c>
      <c r="IY77" s="7">
        <f>IFERROR(AVERAGEIF('Данные 1st'!$S$2:$S$317,$A77,'Данные 1st'!$SS$2:$SS$317),"")</f>
        <v>0</v>
      </c>
      <c r="IZ77" s="7">
        <f>IFERROR(AVERAGEIF('Данные 1st'!$S$2:$S$317,$A77,'Данные 1st'!$ST$2:$ST$317),"")</f>
        <v>0</v>
      </c>
      <c r="JA77" s="7">
        <f>IFERROR(AVERAGEIF('Данные 1st'!$S$2:$S$317,$A77,'Данные 1st'!$SU$2:$SU$317),"")</f>
        <v>0</v>
      </c>
      <c r="JB77" s="7">
        <f>IFERROR(AVERAGEIF('Данные 1st'!$S$2:$S$317,$A77,'Данные 1st'!$SV$2:$SV$317),"")</f>
        <v>0</v>
      </c>
      <c r="JC77" s="7">
        <f>IFERROR(AVERAGEIF('Данные 1st'!$S$2:$S$317,$A77,'Данные 1st'!$SW$2:$SW$317),"")</f>
        <v>0</v>
      </c>
      <c r="JD77" s="7">
        <f>IFERROR(AVERAGEIF('Данные 1st'!$S$2:$S$317,$A77,'Данные 1st'!$SX$2:$SX$317),"")</f>
        <v>0</v>
      </c>
      <c r="JE77" s="7">
        <f>IFERROR(AVERAGEIF('Данные 1st'!$S$2:$S$317,$A77,'Данные 1st'!$SY$2:$SY$317),"")</f>
        <v>1</v>
      </c>
      <c r="JF77" s="7">
        <f>IFERROR(AVERAGEIF('Данные 1st'!$S$2:$S$317,$A77,'Данные 1st'!$SZ$2:$SZ$317),"")</f>
        <v>1</v>
      </c>
      <c r="JG77" s="7">
        <f>IFERROR(AVERAGEIF('Данные 1st'!$S$2:$S$317,$A77,'Данные 1st'!$TA$2:$TA$317),"")</f>
        <v/>
      </c>
      <c r="JH77" s="7">
        <f>IFERROR(AVERAGEIF('Данные 1st'!$S$2:$S$317,$A77,'Данные 1st'!$TB$2:$TB$317),"")</f>
        <v>0</v>
      </c>
      <c r="JI77" s="7">
        <f>IFERROR(AVERAGEIF('Данные 1st'!$S$2:$S$317,$A77,'Данные 1st'!$TC$2:$TC$317),"")</f>
        <v>0</v>
      </c>
      <c r="JJ77" s="7">
        <f>IFERROR(AVERAGEIF('Данные 1st'!$S$2:$S$317,$A77,'Данные 1st'!$TD$2:$TD$317),"")</f>
        <v>7.5</v>
      </c>
      <c r="JK77" s="7">
        <f>IFERROR(AVERAGEIF('Данные 1st'!$S$2:$S$317,$A77,'Данные 1st'!$TN$2:$TN$317),"")</f>
        <v>0</v>
      </c>
      <c r="JL77">
        <f>COUNTIF('Данные 2st'!$Q$2:$Q$317,$A77)</f>
        <v>1</v>
      </c>
      <c r="JM77" s="6" t="s">
        <v>3058</v>
      </c>
      <c r="JN77" s="6" t="s">
        <v>513</v>
      </c>
      <c r="JO77" s="6" t="s">
        <v>517</v>
      </c>
      <c r="JP77" s="6" t="s">
        <v>3304</v>
      </c>
      <c r="JQ77" s="7">
        <f>IFERROR(AVERAGEIF('Данные 2st'!$Q$2:$Q$317,$A77,'Данные 2st'!$AC$2:$AC$317),"")</f>
        <v>13</v>
      </c>
      <c r="JR77" s="7">
        <f>IFERROR(AVERAGEIF('Данные 2st'!$Q$2:$Q$317,$A77,'Данные 2st'!$AF$2:$AF$317),"")</f>
        <v>6712</v>
      </c>
      <c r="JS77" s="7">
        <f>IFERROR(AVERAGEIF('Данные 2st'!$Q$2:$Q$317,$A77,'Данные 2st'!$AW$2:$AW$317),"")</f>
        <v>6.4</v>
      </c>
      <c r="JT77" s="7">
        <f>IFERROR(AVERAGEIF('Данные 2st'!$Q$2:$Q$317,$A77,'Данные 2st'!$AX$2:$AX$317),"")</f>
        <v>-6</v>
      </c>
      <c r="JU77" s="7">
        <f>IFERROR(AVERAGEIF('Данные 2st'!$Q$2:$Q$317,$A77,'Данные 2st'!$AY$2:$AY$317),"")</f>
        <v>115</v>
      </c>
      <c r="JV77" s="7">
        <f>IFERROR(AVERAGEIF('Данные 2st'!$Q$2:$Q$317,$A77,'Данные 2st'!$AZ$2:$AZ$317),"")</f>
        <v>97</v>
      </c>
      <c r="JW77" s="7">
        <f>IFERROR(AVERAGEIF('Данные 2st'!$Q$2:$Q$317,$A77,'Данные 2st'!$BA$2:$BA$317),"")</f>
        <v/>
      </c>
      <c r="JX77" s="7">
        <f>IFERROR(AVERAGEIF('Данные 2st'!$Q$2:$Q$317,$A77,'Данные 2st'!$BB$2:$BB$317),"")</f>
        <v/>
      </c>
      <c r="JY77" s="7">
        <f>IFERROR(AVERAGEIF('Данные 2st'!$Q$2:$Q$317,$A77,'Данные 2st'!$BC$2:$BC$317),"")</f>
        <v/>
      </c>
      <c r="JZ77" s="7">
        <f>IFERROR(AVERAGEIF('Данные 2st'!$Q$2:$Q$317,$A77,'Данные 2st'!$BH$2:$BH$317),"")</f>
        <v>115</v>
      </c>
      <c r="KA77" s="7">
        <f>IFERROR(AVERAGEIF('Данные 2st'!$Q$2:$Q$317,$A77,'Данные 2st'!$BI$2:$BI$317),"")</f>
        <v>18</v>
      </c>
      <c r="KB77" s="7">
        <f>IFERROR(AVERAGEIF('Данные 2st'!$Q$2:$Q$317,$A77,'Данные 2st'!$BJ$2:$BJ$317),"")</f>
        <v>97</v>
      </c>
      <c r="KC77" s="7">
        <f>IFERROR(AVERAGEIF('Данные 2st'!$Q$2:$Q$317,$A77,'Данные 2st'!$BK$2:$BK$317),"")</f>
        <v>2.5</v>
      </c>
      <c r="KD77" s="7">
        <f>IFERROR(AVERAGEIF('Данные 2st'!$Q$2:$Q$317,$A77,'Данные 2st'!$BL$2:$BL$317),"")</f>
        <v>230</v>
      </c>
      <c r="KE77" s="7">
        <f>IFERROR(AVERAGEIF('Данные 2st'!$Q$2:$Q$317,$A77,'Данные 2st'!$BM$2:$BM$317),"")</f>
        <v>-6</v>
      </c>
      <c r="KF77" s="7">
        <f>IFERROR(AVERAGEIF('Данные 2st'!$Q$2:$Q$317,$A77,'Данные 2st'!$BN$2:$BN$317),"")</f>
        <v>0</v>
      </c>
      <c r="KG77" s="7">
        <f>IFERROR(AVERAGEIF('Данные 2st'!$Q$2:$Q$317,$A77,'Данные 2st'!$BO$2:$BO$317),"")</f>
        <v/>
      </c>
      <c r="KH77" s="7">
        <f>IFERROR(AVERAGEIF('Данные 2st'!$Q$2:$Q$317,$A77,'Данные 2st'!$BP$2:$BP$317),"")</f>
        <v>0</v>
      </c>
      <c r="KI77" s="7">
        <f>IFERROR(AVERAGEIF('Данные 2st'!$Q$2:$Q$317,$A77,'Данные 2st'!$BR$2:$BR$317),"")</f>
        <v>225</v>
      </c>
      <c r="KJ77" s="7">
        <f>IFERROR(AVERAGEIF('Данные 2st'!$Q$2:$Q$317,$A77,'Данные 2st'!$BS$2:$BS$317),"")</f>
        <v>215</v>
      </c>
      <c r="KK77" s="7">
        <f>IFERROR(AVERAGEIF('Данные 2st'!$Q$2:$Q$317,$A77,'Данные 2st'!$BT$2:$BT$317),"")</f>
        <v>2335</v>
      </c>
      <c r="KL77" s="7">
        <f>IFERROR(AVERAGEIF('Данные 2st'!$Q$2:$Q$317,$A77,'Данные 2st'!$CV$2:$CV$317),"")</f>
        <v>147</v>
      </c>
      <c r="KM77" s="7">
        <f>IFERROR(AVERAGEIF('Данные 2st'!$Q$2:$Q$317,$A77,'Данные 2st'!$CW$2:$CW$317),"")</f>
        <v>3</v>
      </c>
      <c r="KN77" s="7">
        <f>IFERROR(AVERAGEIF('Данные 2st'!$Q$2:$Q$317,$A77,'Данные 2st'!$CX$2:$CX$317),"")</f>
        <v>120</v>
      </c>
      <c r="KO77" s="7">
        <f>IFERROR(AVERAGEIF('Данные 2st'!$Q$2:$Q$317,$A77,'Данные 2st'!$CY$2:$CY$317),"")</f>
        <v>5</v>
      </c>
      <c r="KP77" s="7">
        <f>IFERROR(AVERAGEIF('Данные 2st'!$Q$2:$Q$317,$A77,'Данные 2st'!$CZ$2:$CZ$317),"")</f>
        <v>161</v>
      </c>
      <c r="KQ77" s="7">
        <f>IFERROR(AVERAGEIF('Данные 2st'!$Q$2:$Q$317,$A77,'Данные 2st'!$DA$2:$DA$317),"")</f>
        <v>5</v>
      </c>
      <c r="KR77" s="7">
        <f>IFERROR(AVERAGEIF('Данные 2st'!$Q$2:$Q$317,$A77,'Данные 2st'!$DB$2:$DB$317),"")</f>
        <v>16980</v>
      </c>
      <c r="KS77" s="7">
        <f>IFERROR(AVERAGEIF('Данные 2st'!$Q$2:$Q$317,$A77,'Данные 2st'!$DC$2:$DC$317),"")</f>
        <v>500</v>
      </c>
      <c r="KT77" s="7">
        <f>IFERROR(AVERAGEIF('Данные 2st'!$Q$2:$Q$317,$A77,'Данные 2st'!$DD$2:$DD$317),"")</f>
        <v>390</v>
      </c>
      <c r="KU77" s="7">
        <f>IFERROR(AVERAGEIF('Данные 2st'!$Q$2:$Q$317,$A77,'Данные 2st'!$DE$2:$DE$317),"")</f>
        <v>2468</v>
      </c>
      <c r="KV77" s="7">
        <f>IFERROR(AVERAGEIF('Данные 2st'!$Q$2:$Q$317,$A77,'Данные 2st'!$DF$2:$DF$317),"")</f>
        <v>2468</v>
      </c>
      <c r="KW77" s="7">
        <f>IFERROR(AVERAGEIF('Данные 2st'!$Q$2:$Q$317,$A77,'Данные 2st'!$DG$2:$DG$317),"")</f>
        <v>2481</v>
      </c>
      <c r="KX77" s="7">
        <f>IFERROR(AVERAGEIF('Данные 2st'!$Q$2:$Q$317,$A77,'Данные 2st'!$DH$2:$DH$317),"")</f>
        <v>3</v>
      </c>
      <c r="KY77" s="7">
        <f>IFERROR(AVERAGEIF('Данные 2st'!$Q$2:$Q$317,$A77,'Данные 2st'!$DI$2:$DI$317),"")</f>
        <v/>
      </c>
      <c r="KZ77" s="7">
        <f>IFERROR(AVERAGEIF('Данные 2st'!$Q$2:$Q$317,$A77,'Данные 2st'!$DK$2:$DK$317),"")</f>
        <v>225</v>
      </c>
      <c r="LA77" s="7">
        <f>IFERROR(AVERAGEIF('Данные 2st'!$Q$2:$Q$317,$A77,'Данные 2st'!$DM$2:$DM$317),"")</f>
        <v>63</v>
      </c>
      <c r="LB77" s="7">
        <f>IFERROR(AVERAGEIF('Данные 2st'!$Q$2:$Q$317,$A77,'Данные 2st'!$DN$2:$DN$317),"")</f>
        <v>1.36</v>
      </c>
      <c r="LC77" s="7">
        <f>IFERROR(AVERAGEIF('Данные 2st'!$Q$2:$Q$317,$A77,'Данные 2st'!$DO$2:$DO$317),"")</f>
        <v>1</v>
      </c>
      <c r="LD77" s="7">
        <f>IFERROR(AVERAGEIF('Данные 2st'!$Q$2:$Q$317,$A77,'Данные 2st'!$DP$2:$DP$317),"")</f>
        <v>2339</v>
      </c>
      <c r="LE77" s="7">
        <f>IFERROR(AVERAGEIF('Данные 2st'!$Q$2:$Q$317,$A77,'Данные 2st'!$DQ$2:$DQ$317),"")</f>
        <v>1326</v>
      </c>
      <c r="LF77" s="7">
        <f>IFERROR(AVERAGEIF('Данные 2st'!$Q$2:$Q$317,$A77,'Данные 2st'!$DS$2:$DS$317),"")</f>
        <v>215</v>
      </c>
      <c r="LG77" s="7">
        <f>IFERROR(AVERAGEIF('Данные 2st'!$Q$2:$Q$317,$A77,'Данные 2st'!$DU$2:$DU$317),"")</f>
        <v>63</v>
      </c>
      <c r="LH77" s="7">
        <f>IFERROR(AVERAGEIF('Данные 2st'!$Q$2:$Q$317,$A77,'Данные 2st'!$DV$2:$DV$317),"")</f>
        <v>1.36</v>
      </c>
      <c r="LI77" s="7">
        <f>IFERROR(AVERAGEIF('Данные 2st'!$Q$2:$Q$317,$A77,'Данные 2st'!$DW$2:$DW$317),"")</f>
        <v>1</v>
      </c>
      <c r="LJ77" s="7">
        <f>IFERROR(AVERAGEIF('Данные 2st'!$Q$2:$Q$317,$A77,'Данные 2st'!$DX$2:$DX$317),"")</f>
        <v>2353</v>
      </c>
      <c r="LK77" s="7">
        <f>IFERROR(AVERAGEIF('Данные 2st'!$Q$2:$Q$317,$A77,'Данные 2st'!$DY$2:$DY$317),"")</f>
        <v>1273</v>
      </c>
      <c r="LL77" s="7">
        <f>IFERROR(AVERAGEIF('Данные 2st'!$Q$2:$Q$317,$A77,'Данные 2st'!$EA$2:$EA$317),"")</f>
        <v>20</v>
      </c>
      <c r="LM77" s="7">
        <f>IFERROR(AVERAGEIF('Данные 2st'!$Q$2:$Q$317,$A77,'Данные 2st'!$EC$2:$EC$317),"")</f>
        <v>0.8</v>
      </c>
      <c r="LN77" s="7">
        <f>IFERROR(AVERAGEIF('Данные 2st'!$Q$2:$Q$317,$A77,'Данные 2st'!$ED$2:$ED$317),"")</f>
        <v>2339</v>
      </c>
      <c r="LO77" s="7">
        <f>IFERROR(AVERAGEIF('Данные 2st'!$Q$2:$Q$317,$A77,'Данные 2st'!$EE$2:$EE$317),"")</f>
        <v>82</v>
      </c>
      <c r="LP77" s="7">
        <f>IFERROR(AVERAGEIF('Данные 2st'!$Q$2:$Q$317,$A77,'Данные 2st'!$EG$2:$EG$317),"")</f>
        <v>0</v>
      </c>
      <c r="LQ77" s="7">
        <f>IFERROR(AVERAGEIF('Данные 2st'!$Q$2:$Q$317,$A77,'Данные 2st'!$EI$2:$EI$317),"")</f>
        <v>0</v>
      </c>
      <c r="LR77" s="7">
        <f>IFERROR(AVERAGEIF('Данные 2st'!$Q$2:$Q$317,$A77,'Данные 2st'!$EJ$2:$EJ$317),"")</f>
        <v/>
      </c>
      <c r="LS77" s="7">
        <f>IFERROR(AVERAGEIF('Данные 2st'!$Q$2:$Q$317,$A77,'Данные 2st'!$EK$2:$EK$317),"")</f>
        <v/>
      </c>
      <c r="LT77" s="7">
        <f>IFERROR(AVERAGEIF('Данные 2st'!$Q$2:$Q$317,$A77,'Данные 2st'!$EM$2:$EM$317),"")</f>
        <v>12</v>
      </c>
      <c r="LU77" s="7">
        <f>IFERROR(AVERAGEIF('Данные 2st'!$Q$2:$Q$317,$A77,'Данные 2st'!$EN$2:$EN$317),"")</f>
        <v>0.5</v>
      </c>
      <c r="LV77" s="7">
        <f>IFERROR(AVERAGEIF('Данные 2st'!$Q$2:$Q$317,$A77,'Данные 2st'!$EO$2:$EO$317),"")</f>
        <v>0.96</v>
      </c>
      <c r="LW77" s="7">
        <f>IFERROR(AVERAGEIF('Данные 2st'!$Q$2:$Q$317,$A77,'Данные 2st'!$EP$2:$EP$317),"")</f>
        <v>2352.1</v>
      </c>
      <c r="LX77" s="7">
        <f>IFERROR(AVERAGEIF('Данные 2st'!$Q$2:$Q$317,$A77,'Данные 2st'!$EQ$2:$EQ$317),"")</f>
        <v>44469.39</v>
      </c>
      <c r="LY77" s="7">
        <f>IFERROR(AVERAGEIF('Данные 2st'!$Q$2:$Q$317,$A77,'Данные 2st'!$ER$2:$ER$317),"")</f>
        <v>6632.25</v>
      </c>
      <c r="LZ77" s="7">
        <f>IFERROR(AVERAGEIF('Данные 2st'!$Q$2:$Q$317,$A77,'Данные 2st'!$ES$2:$ES$317),"")</f>
        <v>0</v>
      </c>
      <c r="MA77" s="7">
        <f>IFERROR(AVERAGEIF('Данные 2st'!$Q$2:$Q$317,$A77,'Данные 2st'!$ET$2:$ET$317),"")</f>
        <v>0</v>
      </c>
      <c r="MB77" s="7">
        <f>IFERROR(AVERAGEIF('Данные 2st'!$Q$2:$Q$317,$A77,'Данные 2st'!$EU$2:$EU$317),"")</f>
        <v>1</v>
      </c>
      <c r="MC77" s="7">
        <f>IFERROR(AVERAGEIF('Данные 2st'!$Q$2:$Q$317,$A77,'Данные 2st'!$EV$2:$EV$317),"")</f>
        <v>51102</v>
      </c>
      <c r="MD77" s="7">
        <f>IFERROR(AVERAGEIF('Данные 2st'!$Q$2:$Q$317,$A77,'Данные 2st'!$EW$2:$EW$317),"")</f>
        <v>614</v>
      </c>
      <c r="ME77" s="7">
        <f>IFERROR(AVERAGEIF('Данные 2st'!$Q$2:$Q$317,$A77,'Данные 2st'!$EY$2:$EY$317),"")</f>
        <v>250</v>
      </c>
      <c r="MF77" s="7">
        <f>IFERROR(AVERAGEIF('Данные 2st'!$Q$2:$Q$317,$A77,'Данные 2st'!$FA$2:$FA$317),"")</f>
        <v>4.2</v>
      </c>
      <c r="MG77" s="7">
        <f>IFERROR(AVERAGEIF('Данные 2st'!$Q$2:$Q$317,$A77,'Данные 2st'!$FB$2:$FB$317),"")</f>
        <v>1</v>
      </c>
      <c r="MH77" s="7">
        <f>IFERROR(AVERAGEIF('Данные 2st'!$Q$2:$Q$317,$A77,'Данные 2st'!$FC$2:$FC$317),"")</f>
        <v>1</v>
      </c>
      <c r="MI77" s="7">
        <f>IFERROR(AVERAGEIF('Данные 2st'!$Q$2:$Q$317,$A77,'Данные 2st'!$FD$2:$FD$317),"")</f>
        <v>2388</v>
      </c>
      <c r="MJ77" s="7">
        <f>IFERROR(AVERAGEIF('Данные 2st'!$Q$2:$Q$317,$A77,'Данные 2st'!$FE$2:$FE$317),"")</f>
        <v>3225</v>
      </c>
      <c r="MK77" s="7">
        <f>IFERROR(AVERAGEIF('Данные 2st'!$Q$2:$Q$317,$A77,'Данные 2st'!$FG$2:$FG$317),"")</f>
        <v>250</v>
      </c>
      <c r="ML77" s="7">
        <f>IFERROR(AVERAGEIF('Данные 2st'!$Q$2:$Q$317,$A77,'Данные 2st'!$FI$2:$FI$317),"")</f>
        <v>4.6</v>
      </c>
      <c r="MM77" s="7">
        <f>IFERROR(AVERAGEIF('Данные 2st'!$Q$2:$Q$317,$A77,'Данные 2st'!$FJ$2:$FJ$317),"")</f>
        <v>2388</v>
      </c>
      <c r="MN77" s="7">
        <f>IFERROR(AVERAGEIF('Данные 2st'!$Q$2:$Q$317,$A77,'Данные 2st'!$FK$2:$FK$317),"")</f>
        <v>3121</v>
      </c>
      <c r="MO77" s="7">
        <f>IFERROR(AVERAGEIF('Данные 2st'!$Q$2:$Q$317,$A77,'Данные 2st'!$FP$2:$FP$317),"")</f>
        <v>2388</v>
      </c>
      <c r="MP77" s="7">
        <f>IFERROR(AVERAGEIF('Данные 2st'!$Q$2:$Q$317,$A77,'Данные 2st'!$FQ$2:$FQ$317),"")</f>
        <v>330</v>
      </c>
      <c r="MQ77" s="7">
        <f>IFERROR(AVERAGEIF('Данные 2st'!$Q$2:$Q$317,$A77,'Данные 2st'!$FS$2:$FS$317),"")</f>
        <v>254</v>
      </c>
      <c r="MR77" s="7">
        <f>IFERROR(AVERAGEIF('Данные 2st'!$Q$2:$Q$317,$A77,'Данные 2st'!$FU$2:$FU$317),"")</f>
        <v>0.4</v>
      </c>
      <c r="MS77" s="7">
        <f>IFERROR(AVERAGEIF('Данные 2st'!$Q$2:$Q$317,$A77,'Данные 2st'!$FV$2:$FV$317),"")</f>
        <v>2388</v>
      </c>
      <c r="MT77" s="7">
        <f>IFERROR(AVERAGEIF('Данные 2st'!$Q$2:$Q$317,$A77,'Данные 2st'!$FW$2:$FW$317),"")</f>
        <v>270</v>
      </c>
      <c r="MU77" s="7">
        <f>IFERROR(AVERAGEIF('Данные 2st'!$Q$2:$Q$317,$A77,'Данные 2st'!$FY$2:$FY$317),"")</f>
        <v>5</v>
      </c>
      <c r="MV77" s="7">
        <f>IFERROR(AVERAGEIF('Данные 2st'!$Q$2:$Q$317,$A77,'Данные 2st'!$GB$2:$GB$317),"")</f>
        <v>2388</v>
      </c>
      <c r="MW77" s="7">
        <f>IFERROR(AVERAGEIF('Данные 2st'!$Q$2:$Q$317,$A77,'Данные 2st'!$GC$2:$GC$317),"")</f>
        <v>26</v>
      </c>
      <c r="MX77" s="7">
        <f>IFERROR(AVERAGEIF('Данные 2st'!$Q$2:$Q$317,$A77,'Данные 2st'!$GD$2:$GD$317),"")</f>
        <v>6972</v>
      </c>
      <c r="MY77" s="7">
        <f>IFERROR(AVERAGEIF('Данные 2st'!$Q$2:$Q$317,$A77,'Данные 2st'!$GN$2:$GN$317),"")</f>
        <v/>
      </c>
      <c r="MZ77" s="7">
        <f>IFERROR(AVERAGEIF('Данные 2st'!$Q$2:$Q$317,$A77,'Данные 2st'!$GQ$2:$GQ$317),"")</f>
        <v>0</v>
      </c>
      <c r="NA77" s="7">
        <f>IFERROR(AVERAGEIF('Данные 2st'!$Q$2:$Q$317,$A77,'Данные 2st'!$GV$2:$GV$317),"")</f>
        <v>9.2</v>
      </c>
      <c r="NB77" s="7">
        <f>IFERROR(AVERAGEIF('Данные 2st'!$Q$2:$Q$317,$A77,'Данные 2st'!$GW$2:$GW$317),"")</f>
        <v>11.8</v>
      </c>
      <c r="NC77" s="7">
        <f>IFERROR(AVERAGEIF('Данные 2st'!$Q$2:$Q$317,$A77,'Данные 2st'!$GX$2:$GX$317),"")</f>
        <v>0.5</v>
      </c>
      <c r="ND77" s="7">
        <f>IFERROR(AVERAGEIF('Данные 2st'!$Q$2:$Q$317,$A77,'Данные 2st'!$GY$2:$GY$317),"")</f>
        <v>216</v>
      </c>
      <c r="NE77" s="7">
        <f>IFERROR(AVERAGEIF('Данные 2st'!$Q$2:$Q$317,$A77,'Данные 2st'!$GZ$2:$GZ$317),"")</f>
        <v>3</v>
      </c>
      <c r="NF77" s="7">
        <f>IFERROR(AVERAGEIF('Данные 2st'!$Q$2:$Q$317,$A77,'Данные 2st'!$HA$2:$HA$317),"")</f>
        <v>280</v>
      </c>
      <c r="NG77" s="7">
        <f>IFERROR(AVERAGEIF('Данные 2st'!$Q$2:$Q$317,$A77,'Данные 2st'!$HB$2:$HB$317),"")</f>
        <v>3</v>
      </c>
      <c r="NH77" s="7">
        <f>IFERROR(AVERAGEIF('Данные 2st'!$Q$2:$Q$317,$A77,'Данные 2st'!$HC$2:$HC$317),"")</f>
        <v>2388</v>
      </c>
      <c r="NI77" s="7">
        <f>IFERROR(AVERAGEIF('Данные 2st'!$Q$2:$Q$317,$A77,'Данные 2st'!$HD$2:$HD$317),"")</f>
        <v>4</v>
      </c>
      <c r="NJ77" s="7">
        <f>IFERROR(AVERAGEIF('Данные 2st'!$Q$2:$Q$317,$A77,'Данные 2st'!$HM$2:$HM$317),"")</f>
        <v>20</v>
      </c>
      <c r="NK77" s="7">
        <f>IFERROR(AVERAGEIF('Данные 2st'!$Q$2:$Q$317,$A77,'Данные 2st'!$HR$2:$HR$317),"")</f>
        <v>2</v>
      </c>
      <c r="NL77" s="7">
        <f>IFERROR(AVERAGEIF('Данные 2st'!$Q$2:$Q$317,$A77,'Данные 2st'!$HS$2:$HS$317),"")</f>
        <v>2335</v>
      </c>
      <c r="NM77" s="7">
        <f>IFERROR(AVERAGEIF('Данные 2st'!$Q$2:$Q$317,$A77,'Данные 2st'!$HT$2:$HT$317),"")</f>
        <v>5</v>
      </c>
      <c r="NN77" s="7">
        <f>IFERROR(AVERAGEIF('Данные 2st'!$Q$2:$Q$317,$A77,'Данные 2st'!$HY$2:$HY$317),"")</f>
        <v>0</v>
      </c>
      <c r="NO77" s="7">
        <f>IFERROR(AVERAGEIF('Данные 2st'!$Q$2:$Q$317,$A77,'Данные 2st'!$HZ$2:$HZ$317),"")</f>
        <v>63</v>
      </c>
      <c r="NP77" s="7">
        <f>IFERROR(AVERAGEIF('Данные 2st'!$Q$2:$Q$317,$A77,'Данные 2st'!$IA$2:$IA$317),"")</f>
        <v>2339</v>
      </c>
      <c r="NQ77" s="7">
        <f>IFERROR(AVERAGEIF('Данные 2st'!$Q$2:$Q$317,$A77,'Данные 2st'!$IB$2:$IB$317),"")</f>
        <v>2353</v>
      </c>
      <c r="NR77" s="7">
        <f>IFERROR(AVERAGEIF('Данные 2st'!$Q$2:$Q$317,$A77,'Данные 2st'!$IC$2:$IC$317),"")</f>
        <v/>
      </c>
      <c r="NS77" s="7">
        <f>IFERROR(AVERAGEIF('Данные 2st'!$Q$2:$Q$317,$A77,'Данные 2st'!$ID$2:$ID$317),"")</f>
        <v>2388</v>
      </c>
      <c r="NT77" s="7">
        <f>IFERROR(AVERAGEIF('Данные 2st'!$Q$2:$Q$317,$A77,'Данные 2st'!$IE$2:$IE$317),"")</f>
        <v>2388</v>
      </c>
      <c r="NU77" s="7">
        <f>IFERROR(AVERAGEIF('Данные 2st'!$Q$2:$Q$317,$A77,'Данные 2st'!$IF$2:$IF$317),"")</f>
        <v>225</v>
      </c>
      <c r="NV77" s="7">
        <f>IFERROR(AVERAGEIF('Данные 2st'!$Q$2:$Q$317,$A77,'Данные 2st'!$IG$2:$IG$317),"")</f>
        <v>215</v>
      </c>
      <c r="NW77" s="7">
        <f>IFERROR(AVERAGEIF('Данные 2st'!$Q$2:$Q$317,$A77,'Данные 2st'!$IH$2:$IH$317),"")</f>
        <v>280</v>
      </c>
      <c r="NX77" s="7">
        <f>IFERROR(AVERAGEIF('Данные 2st'!$Q$2:$Q$317,$A77,'Данные 2st'!$IJ$2:$IJ$317),"")</f>
        <v>5</v>
      </c>
      <c r="NY77" s="7">
        <f>IFERROR(AVERAGEIF('Данные 2st'!$Q$2:$Q$317,$A77,'Данные 2st'!$IM$2:$IM$317),"")</f>
        <v>0</v>
      </c>
      <c r="NZ77" s="7">
        <f>IFERROR(AVERAGEIF('Данные 2st'!$Q$2:$Q$317,$A77,'Данные 2st'!$IN$2:$IN$317),"")</f>
        <v>270</v>
      </c>
      <c r="OA77" s="7">
        <f>IFERROR(AVERAGEIF('Данные 2st'!$Q$2:$Q$317,$A77,'Данные 2st'!$IO$2:$IO$317),"")</f>
        <v>0</v>
      </c>
      <c r="OB77" s="7">
        <f>IFERROR(AVERAGEIF('Данные 2st'!$Q$2:$Q$317,$A77,'Данные 2st'!$IP$2:$IP$317),"")</f>
        <v>180</v>
      </c>
      <c r="OC77" s="7">
        <f>IFERROR(AVERAGEIF('Данные 2st'!$Q$2:$Q$317,$A77,'Данные 2st'!$IQ$2:$IQ$317),"")</f>
        <v>0</v>
      </c>
      <c r="OD77" s="7">
        <f>IFERROR(AVERAGEIF('Данные 2st'!$Q$2:$Q$317,$A77,'Данные 2st'!$IR$2:$IR$317),"")</f>
        <v>330</v>
      </c>
      <c r="OE77" s="7">
        <f>IFERROR(AVERAGEIF('Данные 2st'!$Q$2:$Q$317,$A77,'Данные 2st'!$IT$2:$IT$317),"")</f>
        <v>90</v>
      </c>
      <c r="OF77" s="7">
        <f>IFERROR(AVERAGEIF('Данные 2st'!$Q$2:$Q$317,$A77,'Данные 2st'!$IU$2:$IU$317),"")</f>
        <v>0</v>
      </c>
      <c r="OG77" s="7">
        <f>IFERROR(AVERAGEIF('Данные 2st'!$Q$2:$Q$317,$A77,'Данные 2st'!$IV$2:$IV$317),"")</f>
        <v>6.4</v>
      </c>
      <c r="OH77" s="7">
        <f>IFERROR(AVERAGEIF('Данные 2st'!$Q$2:$Q$317,$A77,'Данные 2st'!$IW$2:$IW$317),"")</f>
        <v>-6</v>
      </c>
      <c r="OI77" s="7">
        <f>IFERROR(AVERAGEIF('Данные 2st'!$Q$2:$Q$317,$A77,'Данные 2st'!$IX$2:$IX$317),"")</f>
        <v>115</v>
      </c>
      <c r="OJ77" s="7">
        <f>IFERROR(AVERAGEIF('Данные 2st'!$Q$2:$Q$317,$A77,'Данные 2st'!$IY$2:$IY$317),"")</f>
        <v>97</v>
      </c>
      <c r="OK77" s="7">
        <f>IFERROR(AVERAGEIF('Данные 2st'!$Q$2:$Q$317,$A77,'Данные 2st'!$IZ$2:$IZ$317),"")</f>
        <v>0</v>
      </c>
      <c r="OL77" s="7">
        <f>IFERROR(AVERAGEIF('Данные 2st'!$Q$2:$Q$317,$A77,'Данные 2st'!$JA$2:$JA$317),"")</f>
        <v>0</v>
      </c>
      <c r="OM77" s="7">
        <f>IFERROR(AVERAGEIF('Данные 2st'!$Q$2:$Q$317,$A77,'Данные 2st'!$JB$2:$JB$317),"")</f>
        <v>0</v>
      </c>
      <c r="ON77" s="7">
        <f>IFERROR(AVERAGEIF('Данные 2st'!$Q$2:$Q$317,$A77,'Данные 2st'!$JC$2:$JC$317),"")</f>
        <v>0</v>
      </c>
      <c r="OO77" s="7">
        <f>IFERROR(AVERAGEIF('Данные 2st'!$Q$2:$Q$317,$A77,'Данные 2st'!$JD$2:$JD$317),"")</f>
        <v>0</v>
      </c>
      <c r="OP77" s="7">
        <f>IFERROR(AVERAGEIF('Данные 2st'!$Q$2:$Q$317,$A77,'Данные 2st'!$JE$2:$JE$317),"")</f>
        <v>0</v>
      </c>
      <c r="OQ77" s="7">
        <f>IFERROR(AVERAGEIF('Данные 2st'!$Q$2:$Q$317,$A77,'Данные 2st'!$JF$2:$JF$317),"")</f>
        <v>0</v>
      </c>
      <c r="OR77" s="7">
        <f>IFERROR(AVERAGEIF('Данные 2st'!$Q$2:$Q$317,$A77,'Данные 2st'!$JG$2:$JG$317),"")</f>
        <v>0</v>
      </c>
      <c r="OS77" s="7">
        <f>IFERROR(AVERAGEIF('Данные 2st'!$Q$2:$Q$317,$A77,'Данные 2st'!$JH$2:$JH$317),"")</f>
        <v>0</v>
      </c>
      <c r="OT77" s="7">
        <f>IFERROR(AVERAGEIF('Данные 2st'!$Q$2:$Q$317,$A77,'Данные 2st'!$JI$2:$JI$317),"")</f>
        <v>452</v>
      </c>
      <c r="OU77" s="7">
        <f>IFERROR(AVERAGEIF('Данные 2st'!$Q$2:$Q$317,$A77,'Данные 2st'!$JJ$2:$JJ$317),"")</f>
        <v>422</v>
      </c>
      <c r="OV77" s="7">
        <f>IFERROR(AVERAGEIF('Данные 2st'!$Q$2:$Q$317,$A77,'Данные 2st'!$JK$2:$JK$317),"")</f>
        <v>320</v>
      </c>
      <c r="OW77" s="7">
        <f>IFERROR(AVERAGEIF('Данные 2st'!$Q$2:$Q$317,$A77,'Данные 2st'!$JL$2:$JL$317),"")</f>
        <v>418</v>
      </c>
      <c r="OX77" s="7">
        <f>IFERROR(AVERAGEIF('Данные 2st'!$Q$2:$Q$317,$A77,'Данные 2st'!$JM$2:$JM$317),"")</f>
        <v>320</v>
      </c>
      <c r="OY77" s="7">
        <f>IFERROR(AVERAGEIF('Данные 2st'!$Q$2:$Q$317,$A77,'Данные 2st'!$JP$2:$JP$317),"")</f>
        <v>170</v>
      </c>
      <c r="OZ77" s="7">
        <f>IFERROR(AVERAGEIF('Данные 2st'!$Q$2:$Q$317,$A77,'Данные 2st'!$JQ$2:$JQ$317),"")</f>
        <v>220</v>
      </c>
      <c r="PA77" s="7">
        <f>IFERROR(AVERAGEIF('Данные 2st'!$Q$2:$Q$317,$A77,'Данные 2st'!$JR$2:$JR$317),"")</f>
        <v>340</v>
      </c>
      <c r="PB77" s="7">
        <f>IFERROR(AVERAGEIF('Данные 2st'!$Q$2:$Q$317,$A77,'Данные 2st'!$JS$2:$JS$317),"")</f>
        <v>245</v>
      </c>
      <c r="PC77" s="7">
        <f>IFERROR(AVERAGEIF('Данные 2st'!$Q$2:$Q$317,$A77,'Данные 2st'!$JT$2:$JT$317),"")</f>
        <v>0</v>
      </c>
      <c r="PD77" s="7">
        <f>IFERROR(AVERAGEIF('Данные 2st'!$Q$2:$Q$317,$A77,'Данные 2st'!$JU$2:$JU$317),"")</f>
        <v>0</v>
      </c>
      <c r="PE77" s="7">
        <f>IFERROR(AVERAGEIF('Данные 2st'!$Q$2:$Q$317,$A77,'Данные 2st'!$JV$2:$JV$317),"")</f>
        <v>300</v>
      </c>
      <c r="PF77" s="7">
        <f>IFERROR(AVERAGEIF('Данные 2st'!$Q$2:$Q$317,$A77,'Данные 2st'!$JW$2:$JW$317),"")</f>
        <v>290</v>
      </c>
      <c r="PG77" s="7">
        <f>IFERROR(AVERAGEIF('Данные 2st'!$Q$2:$Q$317,$A77,'Данные 2st'!$KF$2:$KF$317),"")</f>
        <v>0.18</v>
      </c>
      <c r="PH77" s="7">
        <f>IFERROR(AVERAGEIF('Данные 2st'!$Q$2:$Q$317,$A77,'Данные 2st'!$KG$2:$KG$317),"")</f>
        <v>0.11</v>
      </c>
      <c r="PI77" s="7">
        <f>IFERROR(AVERAGEIF('Данные 2st'!$Q$2:$Q$317,$A77,'Данные 2st'!$KM$2:$KM$317),"")</f>
        <v>0</v>
      </c>
      <c r="PJ77" s="7">
        <f>IFERROR(AVERAGEIF('Данные 2st'!$Q$2:$Q$317,$A77,'Данные 2st'!$KN$2:$KN$317),"")</f>
        <v>3</v>
      </c>
      <c r="PK77" s="7">
        <f>IFERROR(AVERAGEIF('Данные 2st'!$Q$2:$Q$317,$A77,'Данные 2st'!$KO$2:$KO$317),"")</f>
        <v>0</v>
      </c>
      <c r="PL77" s="7">
        <f>IFERROR(AVERAGEIF('Данные 2st'!$Q$2:$Q$317,$A77,'Данные 2st'!$KP$2:$KP$317),"")</f>
        <v>0</v>
      </c>
      <c r="PM77" s="7">
        <f>IFERROR(AVERAGEIF('Данные 2st'!$Q$2:$Q$317,$A77,'Данные 2st'!$KQ$2:$KQ$317),"")</f>
        <v>0.5</v>
      </c>
      <c r="PN77" s="7">
        <f>IFERROR(AVERAGEIF('Данные 2st'!$Q$2:$Q$317,$A77,'Данные 2st'!$KR$2:$KR$317),"")</f>
        <v>0.5</v>
      </c>
      <c r="PO77" s="7">
        <f>IFERROR(AVERAGEIF('Данные 2st'!$Q$2:$Q$317,$A77,'Данные 2st'!$KS$2:$KS$317),"")</f>
        <v>0</v>
      </c>
      <c r="PP77" s="7">
        <f>IFERROR(AVERAGEIF('Данные 2st'!$Q$2:$Q$317,$A77,'Данные 2st'!$KT$2:$KT$317),"")</f>
        <v>2.5</v>
      </c>
      <c r="PQ77" s="7">
        <f>IFERROR(AVERAGEIF('Данные 2st'!$Q$2:$Q$317,$A77,'Данные 2st'!$KU$2:$KU$317),"")</f>
        <v>0</v>
      </c>
      <c r="PR77" s="7">
        <f>IFERROR(AVERAGEIF('Данные 2st'!$Q$2:$Q$317,$A77,'Данные 2st'!$KV$2:$KV$317),"")</f>
        <v>0</v>
      </c>
      <c r="PS77" s="7">
        <f>IFERROR(AVERAGEIF('Данные 2st'!$Q$2:$Q$317,$A77,'Данные 2st'!$KW$2:$KW$317),"")</f>
        <v>1.2</v>
      </c>
      <c r="PT77" s="7">
        <f>IFERROR(AVERAGEIF('Данные 2st'!$Q$2:$Q$317,$A77,'Данные 2st'!$KX$2:$KX$317),"")</f>
        <v>1</v>
      </c>
      <c r="PU77" s="7">
        <f>IFERROR(AVERAGEIF('Данные 2st'!$Q$2:$Q$317,$A77,'Данные 2st'!$KY$2:$KY$317),"")</f>
        <v>0</v>
      </c>
      <c r="PV77" s="7">
        <f>IFERROR(AVERAGEIF('Данные 2st'!$Q$2:$Q$317,$A77,'Данные 2st'!$KZ$2:$KZ$317),"")</f>
        <v>0</v>
      </c>
      <c r="PW77" s="7">
        <f>IFERROR(AVERAGEIF('Данные 2st'!$Q$2:$Q$317,$A77,'Данные 2st'!$LA$2:$LA$317),"")</f>
        <v>0</v>
      </c>
      <c r="PX77" s="7">
        <f>IFERROR(AVERAGEIF('Данные 2st'!$Q$2:$Q$317,$A77,'Данные 2st'!$LB$2:$LB$317),"")</f>
        <v>0</v>
      </c>
      <c r="PY77" s="7">
        <f>IFERROR(AVERAGEIF('Данные 2st'!$Q$2:$Q$317,$A77,'Данные 2st'!$LC$2:$LC$317),"")</f>
        <v>0</v>
      </c>
      <c r="PZ77" s="7">
        <f>IFERROR(AVERAGEIF('Данные 2st'!$Q$2:$Q$317,$A77,'Данные 2st'!$LD$2:$LD$317),"")</f>
        <v>0</v>
      </c>
      <c r="QA77" s="7">
        <f>IFERROR(AVERAGEIF('Данные 2st'!$Q$2:$Q$317,$A77,'Данные 2st'!$LE$2:$LE$317),"")</f>
        <v>0</v>
      </c>
      <c r="QB77" s="7">
        <f>IFERROR(AVERAGEIF('Данные 2st'!$Q$2:$Q$317,$A77,'Данные 2st'!$LF$2:$LF$317),"")</f>
        <v>0</v>
      </c>
      <c r="QC77" s="7">
        <f>IFERROR(AVERAGEIF('Данные 2st'!$Q$2:$Q$317,$A77,'Данные 2st'!$LG$2:$LG$317),"")</f>
        <v>0</v>
      </c>
      <c r="QD77" s="7">
        <f>IFERROR(AVERAGEIF('Данные 2st'!$Q$2:$Q$317,$A77,'Данные 2st'!$LH$2:$LH$317),"")</f>
        <v>3</v>
      </c>
      <c r="QE77" s="7">
        <f>IFERROR(AVERAGEIF('Данные 2st'!$Q$2:$Q$317,$A77,'Данные 2st'!$LJ$2:$LJ$317),"")</f>
        <v>0</v>
      </c>
      <c r="QF77" s="7">
        <f>IFERROR(AVERAGEIF('Данные 2st'!$Q$2:$Q$317,$A77,'Данные 2st'!$LK$2:$LK$317),"")</f>
        <v>8</v>
      </c>
      <c r="QG77" s="7">
        <f>IFERROR(AVERAGEIF('Данные 2st'!$Q$2:$Q$317,$A77,'Данные 2st'!$LL$2:$LL$317),"")</f>
        <v>10</v>
      </c>
      <c r="QH77" s="7">
        <f>IFERROR(AVERAGEIF('Данные 2st'!$Q$2:$Q$317,$A77,'Данные 2st'!$LM$2:$LM$317),"")</f>
        <v>11</v>
      </c>
      <c r="QI77" s="7">
        <f>IFERROR(AVERAGEIF('Данные 2st'!$Q$2:$Q$317,$A77,'Данные 2st'!$LN$2:$LN$317),"")</f>
        <v>3</v>
      </c>
      <c r="QJ77" s="7">
        <f>IFERROR(AVERAGEIF('Данные 2st'!$Q$2:$Q$317,$A77,'Данные 2st'!$LO$2:$LO$317),"")</f>
        <v>3</v>
      </c>
      <c r="QK77" s="7">
        <f>IFERROR(AVERAGEIF('Данные 2st'!$Q$2:$Q$317,$A77,'Данные 2st'!$LP$2:$LP$317),"")</f>
        <v>0</v>
      </c>
      <c r="QL77" s="7">
        <f>IFERROR(AVERAGEIF('Данные 2st'!$Q$2:$Q$317,$A77,'Данные 2st'!$LQ$2:$LQ$317),"")</f>
        <v>0</v>
      </c>
      <c r="QM77" s="7">
        <f>IFERROR(AVERAGEIF('Данные 2st'!$Q$2:$Q$317,$A77,'Данные 2st'!$LW$2:$LW$317),"")</f>
        <v>1.8</v>
      </c>
      <c r="QN77" s="7">
        <f>IFERROR(AVERAGEIF('Данные 2st'!$Q$2:$Q$317,$A77,'Данные 2st'!$LX$2:$LX$317),"")</f>
        <v>1.8</v>
      </c>
      <c r="QO77" s="7">
        <f>IFERROR(AVERAGEIF('Данные 2st'!$Q$2:$Q$317,$A77,'Данные 2st'!$LY$2:$LY$317),"")</f>
        <v>2.1</v>
      </c>
      <c r="QP77" s="7">
        <f>IFERROR(AVERAGEIF('Данные 2st'!$Q$2:$Q$317,$A77,'Данные 2st'!$LZ$2:$LZ$317),"")</f>
        <v>2.1</v>
      </c>
      <c r="QQ77" s="7">
        <f>IFERROR(AVERAGEIF('Данные 2st'!$Q$2:$Q$317,$A77,'Данные 2st'!$MB$2:$MB$317),"")</f>
        <v>8</v>
      </c>
      <c r="QR77" s="7">
        <f>IFERROR(AVERAGEIF('Данные 2st'!$Q$2:$Q$317,$A77,'Данные 2st'!$MG$2:$MG$317),"")</f>
        <v>20</v>
      </c>
      <c r="QS77" s="7">
        <f>IFERROR(AVERAGEIF('Данные 2st'!$Q$2:$Q$317,$A77,'Данные 2st'!$MH$2:$MH$317),"")</f>
        <v>0</v>
      </c>
      <c r="QT77" s="7">
        <f>IFERROR(AVERAGEIF('Данные 2st'!$Q$2:$Q$317,$A77,'Данные 2st'!$MI$2:$MI$317),"")</f>
        <v>0</v>
      </c>
      <c r="QU77" s="7">
        <f>IFERROR(AVERAGEIF('Данные 2st'!$Q$2:$Q$317,$A77,'Данные 2st'!$MJ$2:$MJ$317),"")</f>
        <v>0</v>
      </c>
      <c r="QV77" s="7">
        <f>IFERROR(AVERAGEIF('Данные 2st'!$Q$2:$Q$317,$A77,'Данные 2st'!$MK$2:$MK$317),"")</f>
        <v>0</v>
      </c>
      <c r="QW77" s="7">
        <f>IFERROR(AVERAGEIF('Данные 2st'!$Q$2:$Q$317,$A77,'Данные 2st'!$MM$2:$MM$317),"")</f>
        <v>484</v>
      </c>
      <c r="QX77" s="7">
        <f>IFERROR(AVERAGEIF('Данные 2st'!$Q$2:$Q$317,$A77,'Данные 2st'!$MQ$2:$MQ$317),"")</f>
        <v/>
      </c>
      <c r="QY77" s="7">
        <f>IFERROR(AVERAGEIF('Данные 2st'!$Q$2:$Q$317,$A77,'Данные 2st'!$MR$2:$MR$317),"")</f>
        <v/>
      </c>
      <c r="QZ77" s="7">
        <f>IFERROR(AVERAGEIF('Данные 2st'!$Q$2:$Q$317,$A77,'Данные 2st'!$MS$2:$MS$317),"")</f>
        <v/>
      </c>
      <c r="RA77" s="7">
        <f>IFERROR(AVERAGEIF('Данные 2st'!$Q$2:$Q$317,$A77,'Данные 2st'!$MT$2:$MT$317),"")</f>
        <v/>
      </c>
      <c r="RB77" s="7">
        <f>IFERROR(AVERAGEIF('Данные 2st'!$Q$2:$Q$317,$A77,'Данные 2st'!$MU$2:$MU$317),"")</f>
        <v/>
      </c>
      <c r="RC77" s="7">
        <f>IFERROR(AVERAGEIF('Данные 2st'!$Q$2:$Q$317,$A77,'Данные 2st'!$MV$2:$MV$317),"")</f>
        <v/>
      </c>
      <c r="RD77" s="7">
        <f>IFERROR(AVERAGEIF('Данные 2st'!$Q$2:$Q$317,$A77,'Данные 2st'!$MW$2:$MW$317),"")</f>
        <v/>
      </c>
      <c r="RE77" s="7">
        <f>IFERROR(AVERAGEIF('Данные 2st'!$Q$2:$Q$317,$A77,'Данные 2st'!$MX$2:$MX$317),"")</f>
        <v/>
      </c>
      <c r="RF77" s="7">
        <f>IFERROR(AVERAGEIF('Данные 2st'!$Q$2:$Q$317,$A77,'Данные 2st'!$MY$2:$MY$317),"")</f>
        <v/>
      </c>
      <c r="RG77" s="7">
        <f>IFERROR(AVERAGEIF('Данные 2st'!$Q$2:$Q$317,$A77,'Данные 2st'!$MZ$2:$MZ$317),"")</f>
        <v/>
      </c>
      <c r="RH77" s="7">
        <f>IFERROR(AVERAGEIF('Данные 2st'!$Q$2:$Q$317,$A77,'Данные 2st'!$NA$2:$NA$317),"")</f>
        <v/>
      </c>
      <c r="RI77" s="7">
        <f>IFERROR(AVERAGEIF('Данные 2st'!$Q$2:$Q$317,$A77,'Данные 2st'!$NB$2:$NB$317),"")</f>
        <v/>
      </c>
      <c r="RJ77" s="7">
        <f>IFERROR(AVERAGEIF('Данные 2st'!$Q$2:$Q$317,$A77,'Данные 2st'!$NC$2:$NC$317),"")</f>
        <v/>
      </c>
      <c r="RK77" s="7">
        <f>IFERROR(AVERAGEIF('Данные 2st'!$Q$2:$Q$317,$A77,'Данные 2st'!$ND$2:$ND$317),"")</f>
        <v/>
      </c>
      <c r="RL77" s="7">
        <f>IFERROR(AVERAGEIF('Данные 2st'!$Q$2:$Q$317,$A77,'Данные 2st'!$NE$2:$NE$317),"")</f>
        <v/>
      </c>
      <c r="RM77" s="7">
        <f>IFERROR(AVERAGEIF('Данные 2st'!$Q$2:$Q$317,$A77,'Данные 2st'!$NF$2:$NF$317),"")</f>
        <v/>
      </c>
      <c r="RN77" s="7">
        <f>IFERROR(AVERAGEIF('Данные 2st'!$Q$2:$Q$317,$A77,'Данные 2st'!$NG$2:$NG$317),"")</f>
        <v/>
      </c>
      <c r="RO77" s="7">
        <f>IFERROR(AVERAGEIF('Данные 2st'!$Q$2:$Q$317,$A77,'Данные 2st'!$NH$2:$NH$317),"")</f>
        <v/>
      </c>
      <c r="RP77" s="7">
        <f>IFERROR(AVERAGEIF('Данные 2st'!$Q$2:$Q$317,$A77,'Данные 2st'!$NJ$2:$NJ$317),"")</f>
        <v/>
      </c>
      <c r="RQ77" s="7">
        <f>IFERROR(AVERAGEIF('Данные 2st'!$Q$2:$Q$317,$A77,'Данные 2st'!$NK$2:$NK$317),"")</f>
        <v/>
      </c>
      <c r="RR77" s="7">
        <f>IFERROR(AVERAGEIF('Данные 2st'!$Q$2:$Q$317,$A77,'Данные 2st'!$NM$2:$NM$317),"")</f>
        <v/>
      </c>
      <c r="RS77" s="7">
        <f>IFERROR(AVERAGEIF('Данные 2st'!$Q$2:$Q$317,$A77,'Данные 2st'!$NN$2:$NN$317),"")</f>
        <v/>
      </c>
      <c r="RT77" s="7">
        <f>IFERROR(AVERAGEIF('Данные 2st'!$Q$2:$Q$317,$A77,'Данные 2st'!$NO$2:$NO$317),"")</f>
        <v/>
      </c>
      <c r="RU77" s="7">
        <f>IFERROR(AVERAGEIF('Данные 2st'!$Q$2:$Q$317,$A77,'Данные 2st'!$NP$2:$NP$317),"")</f>
        <v/>
      </c>
      <c r="RV77" s="7">
        <f>IFERROR(AVERAGEIF('Данные 2st'!$Q$2:$Q$317,$A77,'Данные 2st'!$NQ$2:$NQ$317),"")</f>
        <v/>
      </c>
      <c r="RW77" s="7">
        <f>IFERROR(AVERAGEIF('Данные 2st'!$Q$2:$Q$317,$A77,'Данные 2st'!$NR$2:$NR$317),"")</f>
        <v/>
      </c>
      <c r="RX77" s="7">
        <f>IFERROR(AVERAGEIF('Данные 2st'!$Q$2:$Q$317,$A77,'Данные 2st'!$NS$2:$NS$317),"")</f>
        <v/>
      </c>
      <c r="RY77" s="7">
        <f>IFERROR(AVERAGEIF('Данные 2st'!$Q$2:$Q$317,$A77,'Данные 2st'!$NT$2:$NT$317),"")</f>
        <v/>
      </c>
      <c r="RZ77" s="7">
        <f>IFERROR(AVERAGEIF('Данные 2st'!$Q$2:$Q$317,$A77,'Данные 2st'!$OK$2:$OK$317),"")</f>
        <v>61</v>
      </c>
      <c r="SA77" s="7">
        <f>IFERROR(AVERAGEIF('Данные 2st'!$Q$2:$Q$317,$A77,'Данные 2st'!$OL$2:$OL$317),"")</f>
        <v>61</v>
      </c>
      <c r="SB77" s="7">
        <f>IFERROR(AVERAGEIF('Данные 2st'!$Q$2:$Q$317,$A77,'Данные 2st'!$ON$2:$ON$317),"")</f>
        <v>1</v>
      </c>
      <c r="SC77" s="7">
        <f>IFERROR(AVERAGEIF('Данные 2st'!$Q$2:$Q$317,$A77,'Данные 2st'!$OO$2:$OO$317),"")</f>
        <v>2339</v>
      </c>
      <c r="SD77" s="7">
        <f>IFERROR(AVERAGEIF('Данные 2st'!$Q$2:$Q$317,$A77,'Данные 2st'!$OP$2:$OP$317),"")</f>
        <v>61</v>
      </c>
      <c r="SE77" s="7">
        <f>IFERROR(AVERAGEIF('Данные 2st'!$Q$2:$Q$317,$A77,'Данные 2st'!$OQ$2:$OQ$317),"")</f>
        <v>61</v>
      </c>
      <c r="SF77" s="7">
        <f>IFERROR(AVERAGEIF('Данные 2st'!$Q$2:$Q$317,$A77,'Данные 2st'!$OS$2:$OS$317),"")</f>
        <v>1</v>
      </c>
      <c r="SG77" s="7">
        <f>IFERROR(AVERAGEIF('Данные 2st'!$Q$2:$Q$317,$A77,'Данные 2st'!$OT$2:$OT$317),"")</f>
        <v>2353</v>
      </c>
      <c r="SH77" s="7">
        <f>IFERROR(AVERAGEIF('Данные 2st'!$Q$2:$Q$317,$A77,'Данные 2st'!$OU$2:$OU$317),"")</f>
        <v>65</v>
      </c>
      <c r="SI77" s="7">
        <f>IFERROR(AVERAGEIF('Данные 2st'!$Q$2:$Q$317,$A77,'Данные 2st'!$OV$2:$OV$317),"")</f>
        <v>65</v>
      </c>
      <c r="SJ77" s="7">
        <f>IFERROR(AVERAGEIF('Данные 2st'!$Q$2:$Q$317,$A77,'Данные 2st'!$OX$2:$OX$317),"")</f>
        <v>2</v>
      </c>
      <c r="SK77" s="7">
        <f>IFERROR(AVERAGEIF('Данные 2st'!$Q$2:$Q$317,$A77,'Данные 2st'!$OY$2:$OY$317),"")</f>
        <v>51102</v>
      </c>
      <c r="SL77" s="7">
        <f>IFERROR(AVERAGEIF('Данные 2st'!$Q$2:$Q$317,$A77,'Данные 2st'!$OZ$2:$OZ$317),"")</f>
        <v>51</v>
      </c>
      <c r="SM77" s="7">
        <f>IFERROR(AVERAGEIF('Данные 2st'!$Q$2:$Q$317,$A77,'Данные 2st'!$PA$2:$PA$317),"")</f>
        <v>52</v>
      </c>
      <c r="SN77" s="7">
        <f>IFERROR(AVERAGEIF('Данные 2st'!$Q$2:$Q$317,$A77,'Данные 2st'!$PC$2:$PC$317),"")</f>
        <v>2</v>
      </c>
      <c r="SO77" s="7">
        <f>IFERROR(AVERAGEIF('Данные 2st'!$Q$2:$Q$317,$A77,'Данные 2st'!$PD$2:$PD$317),"")</f>
        <v>2388</v>
      </c>
      <c r="SP77" s="7">
        <f>IFERROR(AVERAGEIF('Данные 2st'!$Q$2:$Q$317,$A77,'Данные 2st'!$PF$2:$PF$317),"")</f>
        <v>567</v>
      </c>
      <c r="SQ77" s="7">
        <f>IFERROR(AVERAGEIF('Данные 2st'!$Q$2:$Q$317,$A77,'Данные 2st'!$PG$2:$PG$317),"")</f>
        <v>35</v>
      </c>
      <c r="SR77" s="7">
        <f>IFERROR(AVERAGEIF('Данные 2st'!$Q$2:$Q$317,$A77,'Данные 2st'!$PH$2:$PH$317),"")</f>
        <v>541</v>
      </c>
      <c r="SS77" s="7">
        <f>IFERROR(AVERAGEIF('Данные 2st'!$Q$2:$Q$317,$A77,'Данные 2st'!$PI$2:$PI$317),"")</f>
        <v>0</v>
      </c>
      <c r="ST77" s="7">
        <f>IFERROR(AVERAGEIF('Данные 2st'!$Q$2:$Q$317,$A77,'Данные 2st'!$PJ$2:$PJ$317),"")</f>
        <v>138.3</v>
      </c>
      <c r="SU77" s="7">
        <f>IFERROR(AVERAGEIF('Данные 2st'!$Q$2:$Q$317,$A77,'Данные 2st'!$PK$2:$PK$317),"")</f>
        <v>2928</v>
      </c>
      <c r="SV77" s="7">
        <f>IFERROR(AVERAGEIF('Данные 2st'!$Q$2:$Q$317,$A77,'Данные 2st'!$PL$2:$PL$317),"")</f>
        <v>1350.4</v>
      </c>
      <c r="SW77" s="7">
        <f>IFERROR(AVERAGEIF('Данные 2st'!$Q$2:$Q$317,$A77,'Данные 2st'!$PM$2:$PM$317),"")</f>
        <v>1307</v>
      </c>
      <c r="SX77" s="7">
        <f>IFERROR(AVERAGEIF('Данные 2st'!$Q$2:$Q$317,$A77,'Данные 2st'!$PN$2:$PN$317),"")</f>
        <v>113</v>
      </c>
      <c r="SY77" s="7">
        <f>IFERROR(AVERAGEIF('Данные 2st'!$Q$2:$Q$317,$A77,'Данные 2st'!$PO$2:$PO$317),"")</f>
        <v>10.7</v>
      </c>
      <c r="SZ77" s="7">
        <f>IFERROR(AVERAGEIF('Данные 2st'!$Q$2:$Q$317,$A77,'Данные 2st'!$PP$2:$PP$317),"")</f>
        <v>12</v>
      </c>
      <c r="TA77" s="7">
        <f>IFERROR(AVERAGEIF('Данные 2st'!$Q$2:$Q$317,$A77,'Данные 2st'!$PQ$2:$PQ$317),"")</f>
        <v>4</v>
      </c>
      <c r="TB77" s="7">
        <f>IFERROR(AVERAGEIF('Данные 2st'!$Q$2:$Q$317,$A77,'Данные 2st'!$PR$2:$PR$317),"")</f>
        <v>6</v>
      </c>
      <c r="TC77" s="7">
        <f>IFERROR(AVERAGEIF('Данные 2st'!$Q$2:$Q$317,$A77,'Данные 2st'!$PS$2:$PS$317),"")</f>
        <v>0</v>
      </c>
      <c r="TD77" s="7">
        <f>IFERROR(AVERAGEIF('Данные 2st'!$Q$2:$Q$317,$A77,'Данные 2st'!$PT$2:$PT$317),"")</f>
        <v>280</v>
      </c>
      <c r="TE77" s="7">
        <f>IFERROR(AVERAGEIF('Данные 2st'!$Q$2:$Q$317,$A77,'Данные 2st'!$PU$2:$PU$317),"")</f>
        <v>15</v>
      </c>
      <c r="TF77" s="7">
        <f>IFERROR(AVERAGEIF('Данные 2st'!$Q$2:$Q$317,$A77,'Данные 2st'!$PX$2:$PX$317),"")</f>
        <v>0</v>
      </c>
      <c r="TG77" s="7">
        <f>IFERROR(AVERAGEIF('Данные 2st'!$Q$2:$Q$317,$A77,'Данные 2st'!$PY$2:$PY$317),"")</f>
        <v>0</v>
      </c>
      <c r="TH77" s="7">
        <f>IFERROR(AVERAGEIF('Данные 2st'!$Q$2:$Q$317,$A77,'Данные 2st'!$PZ$2:$PZ$317),"")</f>
        <v>0</v>
      </c>
      <c r="TI77" s="7">
        <f>IFERROR(AVERAGEIF('Данные 2st'!$Q$2:$Q$317,$A77,'Данные 2st'!$QA$2:$QA$317),"")</f>
        <v>0</v>
      </c>
      <c r="TJ77" s="7">
        <f>IFERROR(AVERAGEIF('Данные 2st'!$Q$2:$Q$317,$A77,'Данные 2st'!$QB$2:$QB$317),"")</f>
        <v>0</v>
      </c>
      <c r="TK77" s="7">
        <f>IFERROR(AVERAGEIF('Данные 2st'!$Q$2:$Q$317,$A77,'Данные 2st'!$QC$2:$QC$317),"")</f>
        <v>0</v>
      </c>
      <c r="TL77" s="7">
        <f>IFERROR(AVERAGEIF('Данные 2st'!$Q$2:$Q$317,$A77,'Данные 2st'!$QD$2:$QD$317),"")</f>
        <v>0</v>
      </c>
      <c r="TM77" s="7">
        <f>IFERROR(AVERAGEIF('Данные 2st'!$Q$2:$Q$317,$A77,'Данные 2st'!$QE$2:$QE$317),"")</f>
        <v>-1</v>
      </c>
      <c r="TN77" s="7">
        <f>IFERROR(AVERAGEIF('Данные 2st'!$Q$2:$Q$317,$A77,'Данные 2st'!$QF$2:$QF$317),"")</f>
        <v>1</v>
      </c>
      <c r="TO77" s="7">
        <f>IFERROR(AVERAGEIF('Данные 2st'!$Q$2:$Q$317,$A77,'Данные 2st'!$QG$2:$QG$317),"")</f>
        <v>0</v>
      </c>
      <c r="TP77" s="7">
        <f>IFERROR(AVERAGEIF('Данные 2st'!$Q$2:$Q$317,$A77,'Данные 2st'!$QH$2:$QH$317),"")</f>
        <v>5</v>
      </c>
      <c r="TQ77" s="7">
        <f>IFERROR(AVERAGEIF('Данные 2st'!$Q$2:$Q$317,$A77,'Данные 2st'!$QI$2:$QI$317),"")</f>
        <v>5</v>
      </c>
      <c r="TR77" s="7">
        <f>IFERROR(AVERAGEIF('Данные 2st'!$Q$2:$Q$317,$A77,'Данные 2st'!$QJ$2:$QJ$317),"")</f>
        <v>5</v>
      </c>
      <c r="TS77" s="7">
        <f>IFERROR(AVERAGEIF('Данные 2st'!$Q$2:$Q$317,$A77,'Данные 2st'!$QK$2:$QK$317),"")</f>
        <v>243</v>
      </c>
      <c r="TT77" s="7">
        <f>IFERROR(AVERAGEIF('Данные 2st'!$Q$2:$Q$317,$A77,'Данные 2st'!$QL$2:$QL$317),"")</f>
        <v>482</v>
      </c>
      <c r="TU77" s="7">
        <f>IFERROR(AVERAGEIF('Данные 2st'!$Q$2:$Q$317,$A77,'Данные 2st'!$QM$2:$QM$317),"")</f>
        <v>7.5</v>
      </c>
      <c r="TV77" s="7">
        <f>IFERROR(AVERAGEIF('Данные 2st'!$Q$2:$Q$317,$A77,'Данные 2st'!$QN$2:$QN$317),"")</f>
        <v>1623.8</v>
      </c>
      <c r="TW77" s="7">
        <f>IFERROR(AVERAGEIF('Данные 2st'!$Q$2:$Q$317,$A77,'Данные 2st'!$QQ$2:$QQ$317),"")</f>
        <v>0</v>
      </c>
      <c r="TX77" s="7">
        <f>IFERROR(AVERAGEIF('Данные 2st'!$Q$2:$Q$317,$A77,'Данные 2st'!$QS$2:$QS$317),"")</f>
        <v>40</v>
      </c>
      <c r="TY77" s="7">
        <f>IFERROR(AVERAGEIF('Данные 2st'!$Q$2:$Q$317,$A77,'Данные 2st'!$QT$2:$QT$317),"")</f>
        <v>50</v>
      </c>
    </row>
    <row r="78" spans="1:545" ht="32" customHeight="1">
      <c r="A78" s="11" t="s">
        <v>987</v>
      </c>
      <c r="B78">
        <f>COUNTIF('Данные 1st'!$S$2:$S$317,$A78)</f>
        <v>4</v>
      </c>
      <c r="C78" s="6" t="s">
        <v>5092</v>
      </c>
      <c r="D78" s="6" t="s">
        <v>513</v>
      </c>
      <c r="E78" s="6" t="s">
        <v>5125</v>
      </c>
      <c r="F78" s="6" t="s">
        <v>5187</v>
      </c>
      <c r="G78" s="7">
        <f>IFERROR(AVERAGEIF('Данные 1st'!$S$2:$S$317,$A78,'Данные 1st'!$AE$2:$AE$317),"")</f>
        <v>246.5</v>
      </c>
      <c r="H78" s="7">
        <f>IFERROR(AVERAGEIF('Данные 1st'!$S$2:$S$317,$A78,'Данные 1st'!$AF$2:$AF$317),"")</f>
        <v>1.5</v>
      </c>
      <c r="I78" s="7">
        <f>IFERROR(AVERAGEIF('Данные 1st'!$S$2:$S$317,$A78,'Данные 1st'!$AJ$2:$AJ$317),"")</f>
        <v>241.25</v>
      </c>
      <c r="J78" s="7">
        <f>IFERROR(AVERAGEIF('Данные 1st'!$S$2:$S$317,$A78,'Данные 1st'!$AL$2:$AL$317),"")</f>
        <v>1.5</v>
      </c>
      <c r="K78" s="7">
        <f>IFERROR(AVERAGEIF('Данные 1st'!$S$2:$S$317,$A78,'Данные 1st'!$AR$2:$AR$317),"")</f>
        <v>138.25</v>
      </c>
      <c r="L78" s="7">
        <f>IFERROR(AVERAGEIF('Данные 1st'!$S$2:$S$317,$A78,'Данные 1st'!$AS$2:$AS$317),"")</f>
        <v>1.5</v>
      </c>
      <c r="M78" s="7">
        <f>IFERROR(AVERAGEIF('Данные 1st'!$S$2:$S$317,$A78,'Данные 1st'!$AY$2:$AY$317),"")</f>
        <v>348.125</v>
      </c>
      <c r="N78" s="7">
        <f>IFERROR(AVERAGEIF('Данные 1st'!$S$2:$S$317,$A78,'Данные 1st'!$AZ$2:$AZ$317),"")</f>
        <v>1.5</v>
      </c>
      <c r="O78" s="7">
        <f>IFERROR(AVERAGEIF('Данные 1st'!$S$2:$S$317,$A78,'Данные 1st'!$BF$2:$BF$317),"")</f>
        <v>294.375</v>
      </c>
      <c r="P78" s="7">
        <f>IFERROR(AVERAGEIF('Данные 1st'!$S$2:$S$317,$A78,'Данные 1st'!$BG$2:$BG$317),"")</f>
        <v>1.5</v>
      </c>
      <c r="Q78" s="7">
        <f>IFERROR(AVERAGEIF('Данные 1st'!$S$2:$S$317,$A78,'Данные 1st'!$BM$2:$BM$317),"")</f>
        <v/>
      </c>
      <c r="R78" s="7">
        <f>IFERROR(AVERAGEIF('Данные 1st'!$S$2:$S$317,$A78,'Данные 1st'!$BN$2:$BN$317),"")</f>
        <v>1.5</v>
      </c>
      <c r="S78" s="7">
        <f>IFERROR(AVERAGEIF('Данные 1st'!$S$2:$S$317,$A78,'Данные 1st'!$BT$2:$BT$317),"")</f>
        <v>256.75</v>
      </c>
      <c r="T78" s="7">
        <f>IFERROR(AVERAGEIF('Данные 1st'!$S$2:$S$317,$A78,'Данные 1st'!$BU$2:$BU$317),"")</f>
        <v>0.5</v>
      </c>
      <c r="U78" s="7">
        <f>IFERROR(AVERAGEIF('Данные 1st'!$S$2:$S$317,$A78,'Данные 1st'!$BW$2:$BW$317),"")</f>
        <v>513.5</v>
      </c>
      <c r="V78" s="7">
        <f>IFERROR(AVERAGEIF('Данные 1st'!$S$2:$S$317,$A78,'Данные 1st'!$BX$2:$BX$317),"")</f>
        <v>1</v>
      </c>
      <c r="W78" s="7">
        <f>IFERROR(AVERAGEIF('Данные 1st'!$S$2:$S$317,$A78,'Данные 1st'!$BZ$2:$BZ$317),"")</f>
        <v>470</v>
      </c>
      <c r="X78" s="7">
        <f>IFERROR(AVERAGEIF('Данные 1st'!$S$2:$S$317,$A78,'Данные 1st'!$CA$2:$CA$317),"")</f>
        <v>585</v>
      </c>
      <c r="Y78" s="7">
        <f>IFERROR(AVERAGEIF('Данные 1st'!$S$2:$S$317,$A78,'Данные 1st'!$CD$2:$CD$317),"")</f>
        <v>531</v>
      </c>
      <c r="Z78" s="7">
        <f>IFERROR(AVERAGEIF('Данные 1st'!$S$2:$S$317,$A78,'Данные 1st'!$CF$2:$CF$317),"")</f>
        <v>15</v>
      </c>
      <c r="AA78" s="7">
        <f>IFERROR(AVERAGEIF('Данные 1st'!$S$2:$S$317,$A78,'Данные 1st'!$CI$2:$CI$317),"")</f>
        <v>57.5</v>
      </c>
      <c r="AB78" s="7">
        <f>IFERROR(AVERAGEIF('Данные 1st'!$S$2:$S$317,$A78,'Данные 1st'!$CJ$2:$CJ$317),"")</f>
        <v>1381</v>
      </c>
      <c r="AC78" s="7">
        <f>IFERROR(AVERAGEIF('Данные 1st'!$S$2:$S$317,$A78,'Данные 1st'!$CK$2:$CK$317),"")</f>
        <v>2</v>
      </c>
      <c r="AD78" s="7">
        <f>IFERROR(AVERAGEIF('Данные 1st'!$S$2:$S$317,$A78,'Данные 1st'!$CL$2:$CL$317),"")</f>
        <v>1475</v>
      </c>
      <c r="AE78" s="7">
        <f>IFERROR(AVERAGEIF('Данные 1st'!$S$2:$S$317,$A78,'Данные 1st'!$CM$2:$CM$317),"")</f>
        <v>2</v>
      </c>
      <c r="AF78" s="7">
        <f>IFERROR(AVERAGEIF('Данные 1st'!$S$2:$S$317,$A78,'Данные 1st'!$CT$2:$CT$317),"")</f>
        <v>482.5</v>
      </c>
      <c r="AG78" s="7">
        <f>IFERROR(AVERAGEIF('Данные 1st'!$S$2:$S$317,$A78,'Данные 1st'!$CU$2:$CU$317),"")</f>
        <v>5</v>
      </c>
      <c r="AH78" s="7">
        <f>IFERROR(AVERAGEIF('Данные 1st'!$S$2:$S$317,$A78,'Данные 1st'!$CV$2:$CV$317),"")</f>
        <v>1.2</v>
      </c>
      <c r="AI78" s="7">
        <f>IFERROR(AVERAGEIF('Данные 1st'!$S$2:$S$317,$A78,'Данные 1st'!$CW$2:$CW$317),"")</f>
        <v>1395.5</v>
      </c>
      <c r="AJ78" s="7">
        <f>IFERROR(AVERAGEIF('Данные 1st'!$S$2:$S$317,$A78,'Данные 1st'!$CX$2:$CX$317),"")</f>
        <v>954.25</v>
      </c>
      <c r="AK78" s="7">
        <f>IFERROR(AVERAGEIF('Данные 1st'!$S$2:$S$317,$A78,'Данные 1st'!$CZ$2:$CZ$317),"")</f>
        <v>50</v>
      </c>
      <c r="AL78" s="7">
        <f>IFERROR(AVERAGEIF('Данные 1st'!$S$2:$S$317,$A78,'Данные 1st'!$DA$2:$DA$317),"")</f>
        <v>3</v>
      </c>
      <c r="AM78" s="7">
        <f>IFERROR(AVERAGEIF('Данные 1st'!$S$2:$S$317,$A78,'Данные 1st'!$DB$2:$DB$317),"")</f>
        <v>1</v>
      </c>
      <c r="AN78" s="7">
        <f>IFERROR(AVERAGEIF('Данные 1st'!$S$2:$S$317,$A78,'Данные 1st'!$DC$2:$DC$317),"")</f>
        <v>1398</v>
      </c>
      <c r="AO78" s="7">
        <f>IFERROR(AVERAGEIF('Данные 1st'!$S$2:$S$317,$A78,'Данные 1st'!$DD$2:$DD$317),"")</f>
        <v>36.5</v>
      </c>
      <c r="AP78" s="7">
        <f>IFERROR(AVERAGEIF('Данные 1st'!$S$2:$S$317,$A78,'Данные 1st'!$DF$2:$DF$317),"")</f>
        <v>696.25</v>
      </c>
      <c r="AQ78" s="7">
        <f>IFERROR(AVERAGEIF('Данные 1st'!$S$2:$S$317,$A78,'Данные 1st'!$DG$2:$DG$317),"")</f>
        <v>3</v>
      </c>
      <c r="AR78" s="7">
        <f>IFERROR(AVERAGEIF('Данные 1st'!$S$2:$S$317,$A78,'Данные 1st'!$DH$2:$DH$317),"")</f>
        <v>1.18</v>
      </c>
      <c r="AS78" s="7">
        <f>IFERROR(AVERAGEIF('Данные 1st'!$S$2:$S$317,$A78,'Данные 1st'!$DI$2:$DI$317),"")</f>
        <v>1391</v>
      </c>
      <c r="AT78" s="7">
        <f>IFERROR(AVERAGEIF('Данные 1st'!$S$2:$S$317,$A78,'Данные 1st'!$DJ$2:$DJ$317),"")</f>
        <v>1469.5</v>
      </c>
      <c r="AU78" s="7">
        <f>IFERROR(AVERAGEIF('Данные 1st'!$S$2:$S$317,$A78,'Данные 1st'!$DL$2:$DL$317),"")</f>
        <v>588.75</v>
      </c>
      <c r="AV78" s="7">
        <f>IFERROR(AVERAGEIF('Данные 1st'!$S$2:$S$317,$A78,'Данные 1st'!$DM$2:$DM$317),"")</f>
        <v>3</v>
      </c>
      <c r="AW78" s="7">
        <f>IFERROR(AVERAGEIF('Данные 1st'!$S$2:$S$317,$A78,'Данные 1st'!$DN$2:$DN$317),"")</f>
        <v>1.18</v>
      </c>
      <c r="AX78" s="7">
        <f>IFERROR(AVERAGEIF('Данные 1st'!$S$2:$S$317,$A78,'Данные 1st'!$DO$2:$DO$317),"")</f>
        <v>1399.5</v>
      </c>
      <c r="AY78" s="7">
        <f>IFERROR(AVERAGEIF('Данные 1st'!$S$2:$S$317,$A78,'Данные 1st'!$DP$2:$DP$317),"")</f>
        <v>1206.75</v>
      </c>
      <c r="AZ78" s="7">
        <f>IFERROR(AVERAGEIF('Данные 1st'!$S$2:$S$317,$A78,'Данные 1st'!$DR$2:$DR$317),"")</f>
        <v/>
      </c>
      <c r="BA78" s="7">
        <f>IFERROR(AVERAGEIF('Данные 1st'!$S$2:$S$317,$A78,'Данные 1st'!$DS$2:$DS$317),"")</f>
        <v/>
      </c>
      <c r="BB78" s="7">
        <f>IFERROR(AVERAGEIF('Данные 1st'!$S$2:$S$317,$A78,'Данные 1st'!$DT$2:$DT$317),"")</f>
        <v/>
      </c>
      <c r="BC78" s="7">
        <f>IFERROR(AVERAGEIF('Данные 1st'!$S$2:$S$317,$A78,'Данные 1st'!$DU$2:$DU$317),"")</f>
        <v/>
      </c>
      <c r="BD78" s="7">
        <f>IFERROR(AVERAGEIF('Данные 1st'!$S$2:$S$317,$A78,'Данные 1st'!$DV$2:$DV$317),"")</f>
        <v/>
      </c>
      <c r="BE78" s="7">
        <f>IFERROR(AVERAGEIF('Данные 1st'!$S$2:$S$317,$A78,'Данные 1st'!$DX$2:$DX$317),"")</f>
        <v>8.45</v>
      </c>
      <c r="BF78" s="7">
        <f>IFERROR(AVERAGEIF('Данные 1st'!$S$2:$S$317,$A78,'Данные 1st'!$EA$2:$EA$317),"")</f>
        <v>1465.1</v>
      </c>
      <c r="BG78" s="7">
        <f>IFERROR(AVERAGEIF('Данные 1st'!$S$2:$S$317,$A78,'Данные 1st'!$EB$2:$EB$317),"")</f>
        <v>345</v>
      </c>
      <c r="BH78" s="7">
        <f>IFERROR(AVERAGEIF('Данные 1st'!$S$2:$S$317,$A78,'Данные 1st'!$ED$2:$ED$317),"")</f>
        <v>38.75</v>
      </c>
      <c r="BI78" s="7">
        <f>IFERROR(AVERAGEIF('Данные 1st'!$S$2:$S$317,$A78,'Данные 1st'!$EE$2:$EE$317),"")</f>
        <v>3</v>
      </c>
      <c r="BJ78" s="7">
        <f>IFERROR(AVERAGEIF('Данные 1st'!$S$2:$S$317,$A78,'Данные 1st'!$EG$2:$EG$317),"")</f>
        <v>1511</v>
      </c>
      <c r="BK78" s="7">
        <f>IFERROR(AVERAGEIF('Данные 1st'!$S$2:$S$317,$A78,'Данные 1st'!$EH$2:$EH$317),"")</f>
        <v>255</v>
      </c>
      <c r="BL78" s="7">
        <f>IFERROR(AVERAGEIF('Данные 1st'!$S$2:$S$317,$A78,'Данные 1st'!$EJ$2:$EJ$317),"")</f>
        <v>0</v>
      </c>
      <c r="BM78" s="7">
        <f>IFERROR(AVERAGEIF('Данные 1st'!$S$2:$S$317,$A78,'Данные 1st'!$EK$2:$EK$317),"")</f>
        <v>1</v>
      </c>
      <c r="BN78" s="7">
        <f>IFERROR(AVERAGEIF('Данные 1st'!$S$2:$S$317,$A78,'Данные 1st'!$EN$2:$EN$317),"")</f>
        <v>0</v>
      </c>
      <c r="BO78" s="7">
        <f>IFERROR(AVERAGEIF('Данные 1st'!$S$2:$S$317,$A78,'Данные 1st'!$EQ$2:$EQ$317),"")</f>
        <v>142.5</v>
      </c>
      <c r="BP78" s="7">
        <f>IFERROR(AVERAGEIF('Данные 1st'!$S$2:$S$317,$A78,'Данные 1st'!$ER$2:$ER$317),"")</f>
        <v>3</v>
      </c>
      <c r="BQ78" s="7">
        <f>IFERROR(AVERAGEIF('Данные 1st'!$S$2:$S$317,$A78,'Данные 1st'!$ES$2:$ES$317),"")</f>
        <v>6.25</v>
      </c>
      <c r="BR78" s="7">
        <f>IFERROR(AVERAGEIF('Данные 1st'!$S$2:$S$317,$A78,'Данные 1st'!$ET$2:$ET$317),"")</f>
        <v>1382.5</v>
      </c>
      <c r="BS78" s="7">
        <f>IFERROR(AVERAGEIF('Данные 1st'!$S$2:$S$317,$A78,'Данные 1st'!$EU$2:$EU$317),"")</f>
        <v>700.7</v>
      </c>
      <c r="BT78" s="7">
        <f>IFERROR(AVERAGEIF('Данные 1st'!$S$2:$S$317,$A78,'Данные 1st'!$EV$2:$EV$317),"")</f>
        <v>968.5</v>
      </c>
      <c r="BU78" s="7">
        <f>IFERROR(AVERAGEIF('Данные 1st'!$S$2:$S$317,$A78,'Данные 1st'!$EX$2:$EX$317),"")</f>
        <v>57.5</v>
      </c>
      <c r="BV78" s="7">
        <f>IFERROR(AVERAGEIF('Данные 1st'!$S$2:$S$317,$A78,'Данные 1st'!$EY$2:$EY$317),"")</f>
        <v>2</v>
      </c>
      <c r="BW78" s="7">
        <f>IFERROR(AVERAGEIF('Данные 1st'!$S$2:$S$317,$A78,'Данные 1st'!$EZ$2:$EZ$317),"")</f>
        <v>4.375</v>
      </c>
      <c r="BX78" s="7">
        <f>IFERROR(AVERAGEIF('Данные 1st'!$S$2:$S$317,$A78,'Данные 1st'!$FA$2:$FA$317),"")</f>
        <v>1382.5</v>
      </c>
      <c r="BY78" s="7">
        <f>IFERROR(AVERAGEIF('Данные 1st'!$S$2:$S$317,$A78,'Данные 1st'!$FB$2:$FB$317),"")</f>
        <v>183.975</v>
      </c>
      <c r="BZ78" s="7">
        <f>IFERROR(AVERAGEIF('Данные 1st'!$S$2:$S$317,$A78,'Данные 1st'!$FC$2:$FC$317),"")</f>
        <v>254.25</v>
      </c>
      <c r="CA78" s="7">
        <f>IFERROR(AVERAGEIF('Данные 1st'!$S$2:$S$317,$A78,'Данные 1st'!$FE$2:$FE$317),"")</f>
        <v>0</v>
      </c>
      <c r="CB78" s="7">
        <f>IFERROR(AVERAGEIF('Данные 1st'!$S$2:$S$317,$A78,'Данные 1st'!$FF$2:$FF$317),"")</f>
        <v>2</v>
      </c>
      <c r="CC78" s="7">
        <f>IFERROR(AVERAGEIF('Данные 1st'!$S$2:$S$317,$A78,'Данные 1st'!$FI$2:$FI$317),"")</f>
        <v>0</v>
      </c>
      <c r="CD78" s="7">
        <f>IFERROR(AVERAGEIF('Данные 1st'!$S$2:$S$317,$A78,'Данные 1st'!$FL$2:$FL$317),"")</f>
        <v>0.4</v>
      </c>
      <c r="CE78" s="7">
        <f>IFERROR(AVERAGEIF('Данные 1st'!$S$2:$S$317,$A78,'Данные 1st'!$FM$2:$FM$317),"")</f>
        <v>78.75</v>
      </c>
      <c r="CF78" s="7">
        <f>IFERROR(AVERAGEIF('Данные 1st'!$S$2:$S$317,$A78,'Данные 1st'!$FN$2:$FN$317),"")</f>
        <v>295</v>
      </c>
      <c r="CG78" s="7">
        <f>IFERROR(AVERAGEIF('Данные 1st'!$S$2:$S$317,$A78,'Данные 1st'!$FO$2:$FO$317),"")</f>
        <v>82.5</v>
      </c>
      <c r="CH78" s="7">
        <f>IFERROR(AVERAGEIF('Данные 1st'!$S$2:$S$317,$A78,'Данные 1st'!$FP$2:$FP$317),"")</f>
        <v>170</v>
      </c>
      <c r="CI78" s="7">
        <f>IFERROR(AVERAGEIF('Данные 1st'!$S$2:$S$317,$A78,'Данные 1st'!$FS$2:$FS$317),"")</f>
        <v>0.4</v>
      </c>
      <c r="CJ78" s="7">
        <f>IFERROR(AVERAGEIF('Данные 1st'!$S$2:$S$317,$A78,'Данные 1st'!$FT$2:$FT$317),"")</f>
        <v>30</v>
      </c>
      <c r="CK78" s="7">
        <f>IFERROR(AVERAGEIF('Данные 1st'!$S$2:$S$317,$A78,'Данные 1st'!$FU$2:$FU$317),"")</f>
        <v>630</v>
      </c>
      <c r="CL78" s="7">
        <f>IFERROR(AVERAGEIF('Данные 1st'!$S$2:$S$317,$A78,'Данные 1st'!$FV$2:$FV$317),"")</f>
        <v/>
      </c>
      <c r="CM78" s="7">
        <f>IFERROR(AVERAGEIF('Данные 1st'!$S$2:$S$317,$A78,'Данные 1st'!$FW$2:$FW$317),"")</f>
        <v/>
      </c>
      <c r="CN78" s="7">
        <f>IFERROR(AVERAGEIF('Данные 1st'!$S$2:$S$317,$A78,'Данные 1st'!$FZ$2:$FZ$317),"")</f>
        <v/>
      </c>
      <c r="CO78" s="7">
        <f>IFERROR(AVERAGEIF('Данные 1st'!$S$2:$S$317,$A78,'Данные 1st'!$GA$2:$GA$317),"")</f>
        <v/>
      </c>
      <c r="CP78" s="7">
        <f>IFERROR(AVERAGEIF('Данные 1st'!$S$2:$S$317,$A78,'Данные 1st'!$GB$2:$GB$317),"")</f>
        <v/>
      </c>
      <c r="CQ78" s="7">
        <f>IFERROR(AVERAGEIF('Данные 1st'!$S$2:$S$317,$A78,'Данные 1st'!$GH$2:$GH$317),"")</f>
        <v/>
      </c>
      <c r="CR78" s="7">
        <f>IFERROR(AVERAGEIF('Данные 1st'!$S$2:$S$317,$A78,'Данные 1st'!$GI$2:$GI$317),"")</f>
        <v/>
      </c>
      <c r="CS78" s="7">
        <f>IFERROR(AVERAGEIF('Данные 1st'!$S$2:$S$317,$A78,'Данные 1st'!$GJ$2:$GJ$317),"")</f>
        <v/>
      </c>
      <c r="CT78" s="7">
        <f>IFERROR(AVERAGEIF('Данные 1st'!$S$2:$S$317,$A78,'Данные 1st'!$GS$2:$GS$317),"")</f>
        <v>0.4</v>
      </c>
      <c r="CU78" s="7">
        <f>IFERROR(AVERAGEIF('Данные 1st'!$S$2:$S$317,$A78,'Данные 1st'!$GT$2:$GT$317),"")</f>
        <v>56.25</v>
      </c>
      <c r="CV78" s="7">
        <f>IFERROR(AVERAGEIF('Данные 1st'!$S$2:$S$317,$A78,'Данные 1st'!$GU$2:$GU$317),"")</f>
        <v>400</v>
      </c>
      <c r="CW78" s="7">
        <f>IFERROR(AVERAGEIF('Данные 1st'!$S$2:$S$317,$A78,'Данные 1st'!$GV$2:$GV$317),"")</f>
        <v>65</v>
      </c>
      <c r="CX78" s="7">
        <f>IFERROR(AVERAGEIF('Данные 1st'!$S$2:$S$317,$A78,'Данные 1st'!$GW$2:$GW$317),"")</f>
        <v>310</v>
      </c>
      <c r="CY78" s="7">
        <f>IFERROR(AVERAGEIF('Данные 1st'!$S$2:$S$317,$A78,'Данные 1st'!$GZ$2:$GZ$317),"")</f>
        <v/>
      </c>
      <c r="CZ78" s="7">
        <f>IFERROR(AVERAGEIF('Данные 1st'!$S$2:$S$317,$A78,'Данные 1st'!$HA$2:$HA$317),"")</f>
        <v/>
      </c>
      <c r="DA78" s="7">
        <f>IFERROR(AVERAGEIF('Данные 1st'!$S$2:$S$317,$A78,'Данные 1st'!$HB$2:$HB$317),"")</f>
        <v/>
      </c>
      <c r="DB78" s="7">
        <f>IFERROR(AVERAGEIF('Данные 1st'!$S$2:$S$317,$A78,'Данные 1st'!$HC$2:$HC$317),"")</f>
        <v>0.1</v>
      </c>
      <c r="DC78" s="7">
        <f>IFERROR(AVERAGEIF('Данные 1st'!$S$2:$S$317,$A78,'Данные 1st'!$HD$2:$HD$317),"")</f>
        <v>3</v>
      </c>
      <c r="DD78" s="7">
        <f>IFERROR(AVERAGEIF('Данные 1st'!$S$2:$S$317,$A78,'Данные 1st'!$HE$2:$HE$317),"")</f>
        <v>3</v>
      </c>
      <c r="DE78" s="7">
        <f>IFERROR(AVERAGEIF('Данные 1st'!$S$2:$S$317,$A78,'Данные 1st'!$HF$2:$HF$317),"")</f>
        <v>3</v>
      </c>
      <c r="DF78" s="7">
        <f>IFERROR(AVERAGEIF('Данные 1st'!$S$2:$S$317,$A78,'Данные 1st'!$HG$2:$HG$317),"")</f>
        <v>3</v>
      </c>
      <c r="DG78" s="7">
        <f>IFERROR(AVERAGEIF('Данные 1st'!$S$2:$S$317,$A78,'Данные 1st'!$HH$2:$HH$317),"")</f>
        <v>3</v>
      </c>
      <c r="DH78" s="7">
        <f>IFERROR(AVERAGEIF('Данные 1st'!$S$2:$S$317,$A78,'Данные 1st'!$HI$2:$HI$317),"")</f>
        <v>185</v>
      </c>
      <c r="DI78" s="7">
        <f>IFERROR(AVERAGEIF('Данные 1st'!$S$2:$S$317,$A78,'Данные 1st'!$HJ$2:$HJ$317),"")</f>
        <v>3</v>
      </c>
      <c r="DJ78" s="7">
        <f>IFERROR(AVERAGEIF('Данные 1st'!$S$2:$S$317,$A78,'Данные 1st'!$HK$2:$HK$317),"")</f>
        <v>42.5</v>
      </c>
      <c r="DK78" s="7">
        <f>IFERROR(AVERAGEIF('Данные 1st'!$S$2:$S$317,$A78,'Данные 1st'!$HL$2:$HL$317),"")</f>
        <v>2</v>
      </c>
      <c r="DL78" s="7">
        <f>IFERROR(AVERAGEIF('Данные 1st'!$S$2:$S$317,$A78,'Данные 1st'!$HM$2:$HM$317),"")</f>
        <v>0</v>
      </c>
      <c r="DM78" s="7">
        <f>IFERROR(AVERAGEIF('Данные 1st'!$S$2:$S$317,$A78,'Данные 1st'!$HN$2:$HN$317),"")</f>
        <v>2</v>
      </c>
      <c r="DN78" s="7">
        <f>IFERROR(AVERAGEIF('Данные 1st'!$S$2:$S$317,$A78,'Данные 1st'!$HO$2:$HO$317),"")</f>
        <v>127.5</v>
      </c>
      <c r="DO78" s="7">
        <f>IFERROR(AVERAGEIF('Данные 1st'!$S$2:$S$317,$A78,'Данные 1st'!$HP$2:$HP$317),"")</f>
        <v>3</v>
      </c>
      <c r="DP78" s="7">
        <f>IFERROR(AVERAGEIF('Данные 1st'!$S$2:$S$317,$A78,'Данные 1st'!$HQ$2:$HQ$317),"")</f>
        <v>0</v>
      </c>
      <c r="DQ78" s="7">
        <f>IFERROR(AVERAGEIF('Данные 1st'!$S$2:$S$317,$A78,'Данные 1st'!$HR$2:$HR$317),"")</f>
        <v>2</v>
      </c>
      <c r="DR78" s="7">
        <f>IFERROR(AVERAGEIF('Данные 1st'!$S$2:$S$317,$A78,'Данные 1st'!$HS$2:$HS$317),"")</f>
        <v>7349</v>
      </c>
      <c r="DS78" s="7">
        <f>IFERROR(AVERAGEIF('Данные 1st'!$S$2:$S$317,$A78,'Данные 1st'!$HT$2:$HT$317),"")</f>
        <v>220</v>
      </c>
      <c r="DT78" s="7">
        <f>IFERROR(AVERAGEIF('Данные 1st'!$S$2:$S$317,$A78,'Данные 1st'!$HU$2:$HU$317),"")</f>
        <v>180</v>
      </c>
      <c r="DU78" s="7">
        <f>IFERROR(AVERAGEIF('Данные 1st'!$S$2:$S$317,$A78,'Данные 1st'!$HW$2:$HW$317),"")</f>
        <v>0</v>
      </c>
      <c r="DV78" s="7">
        <f>IFERROR(AVERAGEIF('Данные 1st'!$S$2:$S$317,$A78,'Данные 1st'!$HX$2:$HX$317),"")</f>
        <v>582.5</v>
      </c>
      <c r="DW78" s="7">
        <f>IFERROR(AVERAGEIF('Данные 1st'!$S$2:$S$317,$A78,'Данные 1st'!$HY$2:$HY$317),"")</f>
        <v>0.18</v>
      </c>
      <c r="DX78" s="7">
        <f>IFERROR(AVERAGEIF('Данные 1st'!$S$2:$S$317,$A78,'Данные 1st'!$IA$2:$IA$317),"")</f>
        <v>0.15</v>
      </c>
      <c r="DY78" s="7">
        <f>IFERROR(AVERAGEIF('Данные 1st'!$S$2:$S$317,$A78,'Данные 1st'!$IB$2:$IB$317),"")</f>
        <v>0</v>
      </c>
      <c r="DZ78" s="7">
        <f>IFERROR(AVERAGEIF('Данные 1st'!$S$2:$S$317,$A78,'Данные 1st'!$IC$2:$IC$317),"")</f>
        <v>180</v>
      </c>
      <c r="EA78" s="7">
        <f>IFERROR(AVERAGEIF('Данные 1st'!$S$2:$S$317,$A78,'Данные 1st'!$ID$2:$ID$317),"")</f>
        <v>110</v>
      </c>
      <c r="EB78" s="7">
        <f>IFERROR(AVERAGEIF('Данные 1st'!$S$2:$S$317,$A78,'Данные 1st'!$IE$2:$IE$317),"")</f>
        <v>225</v>
      </c>
      <c r="EC78" s="7">
        <f>IFERROR(AVERAGEIF('Данные 1st'!$S$2:$S$317,$A78,'Данные 1st'!$IF$2:$IF$317),"")</f>
        <v>0</v>
      </c>
      <c r="ED78" s="7">
        <f>IFERROR(AVERAGEIF('Данные 1st'!$S$2:$S$317,$A78,'Данные 1st'!$IP$2:$IP$317),"")</f>
        <v>18</v>
      </c>
      <c r="EE78" s="7">
        <f>IFERROR(AVERAGEIF('Данные 1st'!$S$2:$S$317,$A78,'Данные 1st'!$IV$2:$IV$317),"")</f>
        <v>1381</v>
      </c>
      <c r="EF78" s="7">
        <f>IFERROR(AVERAGEIF('Данные 1st'!$S$2:$S$317,$A78,'Данные 1st'!$IW$2:$IW$317),"")</f>
        <v>513.5</v>
      </c>
      <c r="EG78" s="7">
        <f>IFERROR(AVERAGEIF('Данные 1st'!$S$2:$S$317,$A78,'Данные 1st'!$IX$2:$IX$317),"")</f>
        <v/>
      </c>
      <c r="EH78" s="7">
        <f>IFERROR(AVERAGEIF('Данные 1st'!$S$2:$S$317,$A78,'Данные 1st'!$IY$2:$IY$317),"")</f>
        <v/>
      </c>
      <c r="EI78" s="7">
        <f>IFERROR(AVERAGEIF('Данные 1st'!$S$2:$S$317,$A78,'Данные 1st'!$JD$2:$JD$317),"")</f>
        <v>1395.5</v>
      </c>
      <c r="EJ78" s="7">
        <f>IFERROR(AVERAGEIF('Данные 1st'!$S$2:$S$317,$A78,'Данные 1st'!$JE$2:$JE$317),"")</f>
        <v>1391</v>
      </c>
      <c r="EK78" s="7">
        <f>IFERROR(AVERAGEIF('Данные 1st'!$S$2:$S$317,$A78,'Данные 1st'!$JF$2:$JF$317),"")</f>
        <v>1399.5</v>
      </c>
      <c r="EL78" s="7">
        <f>IFERROR(AVERAGEIF('Данные 1st'!$S$2:$S$317,$A78,'Данные 1st'!$JG$2:$JG$317),"")</f>
        <v>1382.5</v>
      </c>
      <c r="EM78" s="7">
        <f>IFERROR(AVERAGEIF('Данные 1st'!$S$2:$S$317,$A78,'Данные 1st'!$JH$2:$JH$317),"")</f>
        <v>0</v>
      </c>
      <c r="EN78" s="7">
        <f>IFERROR(AVERAGEIF('Данные 1st'!$S$2:$S$317,$A78,'Данные 1st'!$JJ$2:$JJ$317),"")</f>
        <v>180</v>
      </c>
      <c r="EO78" s="7">
        <f>IFERROR(AVERAGEIF('Данные 1st'!$S$2:$S$317,$A78,'Данные 1st'!$JK$2:$JK$317),"")</f>
        <v>582.5</v>
      </c>
      <c r="EP78" s="7">
        <f>IFERROR(AVERAGEIF('Данные 1st'!$S$2:$S$317,$A78,'Данные 1st'!$JL$2:$JL$317),"")</f>
        <v/>
      </c>
      <c r="EQ78" s="7">
        <f>IFERROR(AVERAGEIF('Данные 1st'!$S$2:$S$317,$A78,'Данные 1st'!$JM$2:$JM$317),"")</f>
        <v/>
      </c>
      <c r="ER78" s="7">
        <f>IFERROR(AVERAGEIF('Данные 1st'!$S$2:$S$317,$A78,'Данные 1st'!$JN$2:$JN$317),"")</f>
        <v>482.5</v>
      </c>
      <c r="ES78" s="7">
        <f>IFERROR(AVERAGEIF('Данные 1st'!$S$2:$S$317,$A78,'Данные 1st'!$JO$2:$JO$317),"")</f>
        <v>696.25</v>
      </c>
      <c r="ET78" s="7">
        <f>IFERROR(AVERAGEIF('Данные 1st'!$S$2:$S$317,$A78,'Данные 1st'!$JP$2:$JP$317),"")</f>
        <v>588.75</v>
      </c>
      <c r="EU78" s="7">
        <f>IFERROR(AVERAGEIF('Данные 1st'!$S$2:$S$317,$A78,'Данные 1st'!$JQ$2:$JQ$317),"")</f>
        <v>0</v>
      </c>
      <c r="EV78" s="7">
        <f>IFERROR(AVERAGEIF('Данные 1st'!$S$2:$S$317,$A78,'Данные 1st'!$JR$2:$JR$317),"")</f>
        <v>493</v>
      </c>
      <c r="EW78" s="7">
        <f>IFERROR(AVERAGEIF('Данные 1st'!$S$2:$S$317,$A78,'Данные 1st'!$JS$2:$JS$317),"")</f>
        <v>185</v>
      </c>
      <c r="EX78" s="7">
        <f>IFERROR(AVERAGEIF('Данные 1st'!$S$2:$S$317,$A78,'Данные 1st'!$JT$2:$JT$317),"")</f>
        <v/>
      </c>
      <c r="EY78" s="7">
        <f>IFERROR(AVERAGEIF('Данные 1st'!$S$2:$S$317,$A78,'Данные 1st'!$JU$2:$JU$317),"")</f>
        <v/>
      </c>
      <c r="EZ78" s="7">
        <f>IFERROR(AVERAGEIF('Данные 1st'!$S$2:$S$317,$A78,'Данные 1st'!$JV$2:$JV$317),"")</f>
        <v>9</v>
      </c>
      <c r="FA78" s="7">
        <f>IFERROR(AVERAGEIF('Данные 1st'!$S$2:$S$317,$A78,'Данные 1st'!$JW$2:$JW$317),"")</f>
        <v/>
      </c>
      <c r="FB78" s="7">
        <f>IFERROR(AVERAGEIF('Данные 1st'!$S$2:$S$317,$A78,'Данные 1st'!$JX$2:$JX$317),"")</f>
        <v>276.5</v>
      </c>
      <c r="FC78" s="7">
        <f>IFERROR(AVERAGEIF('Данные 1st'!$S$2:$S$317,$A78,'Данные 1st'!$JY$2:$JY$317),"")</f>
        <v/>
      </c>
      <c r="FD78" s="7">
        <f>IFERROR(AVERAGEIF('Данные 1st'!$S$2:$S$317,$A78,'Данные 1st'!$JZ$2:$JZ$317),"")</f>
        <v/>
      </c>
      <c r="FE78" s="7">
        <f>IFERROR(AVERAGEIF('Данные 1st'!$S$2:$S$317,$A78,'Данные 1st'!$KA$2:$KA$317),"")</f>
        <v>225</v>
      </c>
      <c r="FF78" s="7">
        <f>IFERROR(AVERAGEIF('Данные 1st'!$S$2:$S$317,$A78,'Данные 1st'!$KB$2:$KB$317),"")</f>
        <v>110</v>
      </c>
      <c r="FG78" s="7">
        <f>IFERROR(AVERAGEIF('Данные 1st'!$S$2:$S$317,$A78,'Данные 1st'!$KC$2:$KC$317),"")</f>
        <v>0</v>
      </c>
      <c r="FH78" s="7">
        <f>IFERROR(AVERAGEIF('Данные 1st'!$S$2:$S$317,$A78,'Данные 1st'!$KD$2:$KD$317),"")</f>
        <v>80</v>
      </c>
      <c r="FI78" s="7">
        <f>IFERROR(AVERAGEIF('Данные 1st'!$S$2:$S$317,$A78,'Данные 1st'!$KE$2:$KE$317),"")</f>
        <v/>
      </c>
      <c r="FJ78" s="7">
        <f>IFERROR(AVERAGEIF('Данные 1st'!$S$2:$S$317,$A78,'Данные 1st'!$KF$2:$KF$317),"")</f>
        <v>4</v>
      </c>
      <c r="FK78" s="7">
        <f>IFERROR(AVERAGEIF('Данные 1st'!$S$2:$S$317,$A78,'Данные 1st'!$KG$2:$KG$317),"")</f>
        <v>2</v>
      </c>
      <c r="FL78" s="7">
        <f>IFERROR(AVERAGEIF('Данные 1st'!$S$2:$S$317,$A78,'Данные 1st'!$KH$2:$KH$317),"")</f>
        <v>2</v>
      </c>
      <c r="FM78" s="7">
        <f>IFERROR(AVERAGEIF('Данные 1st'!$S$2:$S$317,$A78,'Данные 1st'!$KI$2:$KI$317),"")</f>
        <v>2</v>
      </c>
      <c r="FN78" s="7">
        <f>IFERROR(AVERAGEIF('Данные 1st'!$S$2:$S$317,$A78,'Данные 1st'!$KJ$2:$KJ$317),"")</f>
        <v>0</v>
      </c>
      <c r="FO78" s="7">
        <f>IFERROR(AVERAGEIF('Данные 1st'!$S$2:$S$317,$A78,'Данные 1st'!$KK$2:$KK$317),"")</f>
        <v>1.5</v>
      </c>
      <c r="FP78" s="7">
        <f>IFERROR(AVERAGEIF('Данные 1st'!$S$2:$S$317,$A78,'Данные 1st'!$KL$2:$KL$317),"")</f>
        <v>1.5</v>
      </c>
      <c r="FQ78" s="7">
        <f>IFERROR(AVERAGEIF('Данные 1st'!$S$2:$S$317,$A78,'Данные 1st'!$KM$2:$KM$317),"")</f>
        <v>0</v>
      </c>
      <c r="FR78" s="7">
        <f>IFERROR(AVERAGEIF('Данные 1st'!$S$2:$S$317,$A78,'Данные 1st'!$KN$2:$KN$317),"")</f>
        <v>0</v>
      </c>
      <c r="FS78" s="7">
        <f>IFERROR(AVERAGEIF('Данные 1st'!$S$2:$S$317,$A78,'Данные 1st'!$KR$2:$KR$317),"")</f>
        <v>30</v>
      </c>
      <c r="FT78" s="7">
        <f>IFERROR(AVERAGEIF('Данные 1st'!$S$2:$S$317,$A78,'Данные 1st'!$KS$2:$KS$317),"")</f>
        <v>60</v>
      </c>
      <c r="FU78" s="7">
        <f>IFERROR(AVERAGEIF('Данные 1st'!$S$2:$S$317,$A78,'Данные 1st'!$KT$2:$KT$317),"")</f>
        <v>0</v>
      </c>
      <c r="FV78" s="7">
        <f>IFERROR(AVERAGEIF('Данные 1st'!$S$2:$S$317,$A78,'Данные 1st'!$KV$2:$KV$317),"")</f>
        <v/>
      </c>
      <c r="FW78" s="7">
        <f>IFERROR(AVERAGEIF('Данные 1st'!$S$2:$S$317,$A78,'Данные 1st'!$KW$2:$KW$317),"")</f>
        <v/>
      </c>
      <c r="FX78" s="7">
        <f>IFERROR(AVERAGEIF('Данные 1st'!$S$2:$S$317,$A78,'Данные 1st'!$KX$2:$KX$317),"")</f>
        <v/>
      </c>
      <c r="FY78" s="7">
        <f>IFERROR(AVERAGEIF('Данные 1st'!$S$2:$S$317,$A78,'Данные 1st'!$KY$2:$KY$317),"")</f>
        <v/>
      </c>
      <c r="FZ78" s="7">
        <f>IFERROR(AVERAGEIF('Данные 1st'!$S$2:$S$317,$A78,'Данные 1st'!$KZ$2:$KZ$317),"")</f>
        <v/>
      </c>
      <c r="GA78" s="7">
        <f>IFERROR(AVERAGEIF('Данные 1st'!$S$2:$S$317,$A78,'Данные 1st'!$LA$2:$LA$317),"")</f>
        <v/>
      </c>
      <c r="GB78" s="7">
        <f>IFERROR(AVERAGEIF('Данные 1st'!$S$2:$S$317,$A78,'Данные 1st'!$LB$2:$LB$317),"")</f>
        <v/>
      </c>
      <c r="GC78" s="7">
        <f>IFERROR(AVERAGEIF('Данные 1st'!$S$2:$S$317,$A78,'Данные 1st'!$LC$2:$LC$317),"")</f>
        <v/>
      </c>
      <c r="GD78" s="7">
        <f>IFERROR(AVERAGEIF('Данные 1st'!$S$2:$S$317,$A78,'Данные 1st'!$LD$2:$LD$317),"")</f>
        <v/>
      </c>
      <c r="GE78" s="7">
        <f>IFERROR(AVERAGEIF('Данные 1st'!$S$2:$S$317,$A78,'Данные 1st'!$LE$2:$LE$317),"")</f>
        <v/>
      </c>
      <c r="GF78" s="7">
        <f>IFERROR(AVERAGEIF('Данные 1st'!$S$2:$S$317,$A78,'Данные 1st'!$LF$2:$LF$317),"")</f>
        <v/>
      </c>
      <c r="GG78" s="7">
        <f>IFERROR(AVERAGEIF('Данные 1st'!$S$2:$S$317,$A78,'Данные 1st'!$LG$2:$LG$317),"")</f>
        <v/>
      </c>
      <c r="GH78" s="7">
        <f>IFERROR(AVERAGEIF('Данные 1st'!$S$2:$S$317,$A78,'Данные 1st'!$LH$2:$LH$317),"")</f>
        <v/>
      </c>
      <c r="GI78" s="7">
        <f>IFERROR(AVERAGEIF('Данные 1st'!$S$2:$S$317,$A78,'Данные 1st'!$LI$2:$LI$317),"")</f>
        <v/>
      </c>
      <c r="GJ78" s="7">
        <f>IFERROR(AVERAGEIF('Данные 1st'!$S$2:$S$317,$A78,'Данные 1st'!$LJ$2:$LJ$317),"")</f>
        <v/>
      </c>
      <c r="GK78" s="7">
        <f>IFERROR(AVERAGEIF('Данные 1st'!$S$2:$S$317,$A78,'Данные 1st'!$LK$2:$LK$317),"")</f>
        <v>480</v>
      </c>
      <c r="GL78" s="7">
        <f>IFERROR(AVERAGEIF('Данные 1st'!$S$2:$S$317,$A78,'Данные 1st'!$LV$2:$LV$317),"")</f>
        <v/>
      </c>
      <c r="GM78" s="7">
        <f>IFERROR(AVERAGEIF('Данные 1st'!$S$2:$S$317,$A78,'Данные 1st'!$LW$2:$LW$317),"")</f>
        <v/>
      </c>
      <c r="GN78" s="7">
        <f>IFERROR(AVERAGEIF('Данные 1st'!$S$2:$S$317,$A78,'Данные 1st'!$LX$2:$LX$317),"")</f>
        <v/>
      </c>
      <c r="GO78" s="7">
        <f>IFERROR(AVERAGEIF('Данные 1st'!$S$2:$S$317,$A78,'Данные 1st'!$LY$2:$LY$317),"")</f>
        <v/>
      </c>
      <c r="GP78" s="7">
        <f>IFERROR(AVERAGEIF('Данные 1st'!$S$2:$S$317,$A78,'Данные 1st'!$LZ$2:$LZ$317),"")</f>
        <v/>
      </c>
      <c r="GQ78" s="7">
        <f>IFERROR(AVERAGEIF('Данные 1st'!$S$2:$S$317,$A78,'Данные 1st'!$PG$2:$PG$317),"")</f>
        <v>1</v>
      </c>
      <c r="GR78" s="7">
        <f>IFERROR(AVERAGEIF('Данные 1st'!$S$2:$S$317,$A78,'Данные 1st'!$PX$2:$PX$317),"")</f>
        <v>56</v>
      </c>
      <c r="GS78" s="7">
        <f>IFERROR(AVERAGEIF('Данные 1st'!$S$2:$S$317,$A78,'Данные 1st'!$PY$2:$PY$317),"")</f>
        <v>56.25</v>
      </c>
      <c r="GT78" s="7">
        <f>IFERROR(AVERAGEIF('Данные 1st'!$S$2:$S$317,$A78,'Данные 1st'!$QA$2:$QA$317),"")</f>
        <v>1</v>
      </c>
      <c r="GU78" s="7">
        <f>IFERROR(AVERAGEIF('Данные 1st'!$S$2:$S$317,$A78,'Данные 1st'!$QB$2:$QB$317),"")</f>
        <v>1382.5</v>
      </c>
      <c r="GV78" s="7">
        <f>IFERROR(AVERAGEIF('Данные 1st'!$S$2:$S$317,$A78,'Данные 1st'!$QC$2:$QC$317),"")</f>
        <v>69</v>
      </c>
      <c r="GW78" s="7">
        <f>IFERROR(AVERAGEIF('Данные 1st'!$S$2:$S$317,$A78,'Данные 1st'!$QD$2:$QD$317),"")</f>
        <v>69</v>
      </c>
      <c r="GX78" s="7">
        <f>IFERROR(AVERAGEIF('Данные 1st'!$S$2:$S$317,$A78,'Данные 1st'!$QF$2:$QF$317),"")</f>
        <v>1</v>
      </c>
      <c r="GY78" s="7">
        <f>IFERROR(AVERAGEIF('Данные 1st'!$S$2:$S$317,$A78,'Данные 1st'!$QG$2:$QG$317),"")</f>
        <v>1395.5</v>
      </c>
      <c r="GZ78" s="7">
        <f>IFERROR(AVERAGEIF('Данные 1st'!$S$2:$S$317,$A78,'Данные 1st'!$QH$2:$QH$317),"")</f>
        <v>66</v>
      </c>
      <c r="HA78" s="7">
        <f>IFERROR(AVERAGEIF('Данные 1st'!$S$2:$S$317,$A78,'Данные 1st'!$QI$2:$QI$317),"")</f>
        <v>66</v>
      </c>
      <c r="HB78" s="7">
        <f>IFERROR(AVERAGEIF('Данные 1st'!$S$2:$S$317,$A78,'Данные 1st'!$QK$2:$QK$317),"")</f>
        <v>1</v>
      </c>
      <c r="HC78" s="7">
        <f>IFERROR(AVERAGEIF('Данные 1st'!$S$2:$S$317,$A78,'Данные 1st'!$QL$2:$QL$317),"")</f>
        <v>699</v>
      </c>
      <c r="HD78" s="7">
        <f>IFERROR(AVERAGEIF('Данные 1st'!$S$2:$S$317,$A78,'Данные 1st'!$QM$2:$QM$317),"")</f>
        <v>62</v>
      </c>
      <c r="HE78" s="7">
        <f>IFERROR(AVERAGEIF('Данные 1st'!$S$2:$S$317,$A78,'Данные 1st'!$QN$2:$QN$317),"")</f>
        <v>62</v>
      </c>
      <c r="HF78" s="7">
        <f>IFERROR(AVERAGEIF('Данные 1st'!$S$2:$S$317,$A78,'Данные 1st'!$QP$2:$QP$317),"")</f>
        <v>1</v>
      </c>
      <c r="HG78" s="7">
        <f>IFERROR(AVERAGEIF('Данные 1st'!$S$2:$S$317,$A78,'Данные 1st'!$QQ$2:$QQ$317),"")</f>
        <v>1391</v>
      </c>
      <c r="HH78" s="7">
        <f>IFERROR(AVERAGEIF('Данные 1st'!$S$2:$S$317,$A78,'Данные 1st'!$QR$2:$QR$317),"")</f>
        <v>62</v>
      </c>
      <c r="HI78" s="7">
        <f>IFERROR(AVERAGEIF('Данные 1st'!$S$2:$S$317,$A78,'Данные 1st'!$QS$2:$QS$317),"")</f>
        <v>62</v>
      </c>
      <c r="HJ78" s="7">
        <f>IFERROR(AVERAGEIF('Данные 1st'!$S$2:$S$317,$A78,'Данные 1st'!$QU$2:$QU$317),"")</f>
        <v>1</v>
      </c>
      <c r="HK78" s="7">
        <f>IFERROR(AVERAGEIF('Данные 1st'!$S$2:$S$317,$A78,'Данные 1st'!$QV$2:$QV$317),"")</f>
        <v>1399.5</v>
      </c>
      <c r="HL78" s="7">
        <f>IFERROR(AVERAGEIF('Данные 1st'!$S$2:$S$317,$A78,'Данные 1st'!$QW$2:$QW$317),"")</f>
        <v>82</v>
      </c>
      <c r="HM78" s="7">
        <f>IFERROR(AVERAGEIF('Данные 1st'!$S$2:$S$317,$A78,'Данные 1st'!$QX$2:$QX$317),"")</f>
        <v>88</v>
      </c>
      <c r="HN78" s="7">
        <f>IFERROR(AVERAGEIF('Данные 1st'!$S$2:$S$317,$A78,'Данные 1st'!$QZ$2:$QZ$317),"")</f>
        <v>1.25</v>
      </c>
      <c r="HO78" s="7">
        <f>IFERROR(AVERAGEIF('Данные 1st'!$S$2:$S$317,$A78,'Данные 1st'!$RA$2:$RA$317),"")</f>
        <v>66</v>
      </c>
      <c r="HP78" s="7">
        <f>IFERROR(AVERAGEIF('Данные 1st'!$S$2:$S$317,$A78,'Данные 1st'!$RB$2:$RB$317),"")</f>
        <v>66</v>
      </c>
      <c r="HQ78" s="7">
        <f>IFERROR(AVERAGEIF('Данные 1st'!$S$2:$S$317,$A78,'Данные 1st'!$RD$2:$RD$317),"")</f>
        <v/>
      </c>
      <c r="HR78" s="7">
        <f>IFERROR(AVERAGEIF('Данные 1st'!$S$2:$S$317,$A78,'Данные 1st'!$RE$2:$RE$317),"")</f>
        <v>0</v>
      </c>
      <c r="HS78" s="7">
        <f>IFERROR(AVERAGEIF('Данные 1st'!$S$2:$S$317,$A78,'Данные 1st'!$RF$2:$RF$317),"")</f>
        <v>1</v>
      </c>
      <c r="HT78" s="7">
        <f>IFERROR(AVERAGEIF('Данные 1st'!$S$2:$S$317,$A78,'Данные 1st'!$RG$2:$RG$317),"")</f>
        <v/>
      </c>
      <c r="HU78" s="7">
        <f>IFERROR(AVERAGEIF('Данные 1st'!$S$2:$S$317,$A78,'Данные 1st'!$RH$2:$RH$317),"")</f>
        <v>1</v>
      </c>
      <c r="HV78" s="7">
        <f>IFERROR(AVERAGEIF('Данные 1st'!$S$2:$S$317,$A78,'Данные 1st'!$RI$2:$RI$317),"")</f>
        <v/>
      </c>
      <c r="HW78" s="7">
        <f>IFERROR(AVERAGEIF('Данные 1st'!$S$2:$S$317,$A78,'Данные 1st'!$RJ$2:$RJ$317),"")</f>
        <v>1</v>
      </c>
      <c r="HX78" s="7">
        <f>IFERROR(AVERAGEIF('Данные 1st'!$S$2:$S$317,$A78,'Данные 1st'!$RK$2:$RK$317),"")</f>
        <v>2</v>
      </c>
      <c r="HY78" s="7">
        <f>IFERROR(AVERAGEIF('Данные 1st'!$S$2:$S$317,$A78,'Данные 1st'!$RL$2:$RL$317),"")</f>
        <v>2</v>
      </c>
      <c r="HZ78" s="7">
        <f>IFERROR(AVERAGEIF('Данные 1st'!$S$2:$S$317,$A78,'Данные 1st'!$RM$2:$RM$317),"")</f>
        <v>2</v>
      </c>
      <c r="IA78" s="7">
        <f>IFERROR(AVERAGEIF('Данные 1st'!$S$2:$S$317,$A78,'Данные 1st'!$RN$2:$RN$317),"")</f>
        <v/>
      </c>
      <c r="IB78" s="7">
        <f>IFERROR(AVERAGEIF('Данные 1st'!$S$2:$S$317,$A78,'Данные 1st'!$RO$2:$RO$317),"")</f>
        <v>683.75</v>
      </c>
      <c r="IC78" s="7">
        <f>IFERROR(AVERAGEIF('Данные 1st'!$S$2:$S$317,$A78,'Данные 1st'!$RP$2:$RP$317),"")</f>
        <v>105</v>
      </c>
      <c r="ID78" s="7">
        <f>IFERROR(AVERAGEIF('Данные 1st'!$S$2:$S$317,$A78,'Данные 1st'!$RQ$2:$RQ$317),"")</f>
        <v>1056.5</v>
      </c>
      <c r="IE78" s="7">
        <f>IFERROR(AVERAGEIF('Данные 1st'!$S$2:$S$317,$A78,'Данные 1st'!$RR$2:$RR$317),"")</f>
        <v>862.25</v>
      </c>
      <c r="IF78" s="7">
        <f>IFERROR(AVERAGEIF('Данные 1st'!$S$2:$S$317,$A78,'Данные 1st'!$RS$2:$RS$317),"")</f>
        <v/>
      </c>
      <c r="IG78" s="7">
        <f>IFERROR(AVERAGEIF('Данные 1st'!$S$2:$S$317,$A78,'Данные 1st'!$RT$2:$RT$317),"")</f>
        <v>345</v>
      </c>
      <c r="IH78" s="7">
        <f>IFERROR(AVERAGEIF('Данные 1st'!$S$2:$S$317,$A78,'Данные 1st'!$RU$2:$RU$317),"")</f>
        <v>255</v>
      </c>
      <c r="II78" s="7">
        <f>IFERROR(AVERAGEIF('Данные 1st'!$S$2:$S$317,$A78,'Данные 1st'!$RX$2:$RX$317),"")</f>
        <v>15</v>
      </c>
      <c r="IJ78" s="7">
        <f>IFERROR(AVERAGEIF('Данные 1st'!$S$2:$S$317,$A78,'Данные 1st'!$RY$2:$RY$317),"")</f>
        <v>4</v>
      </c>
      <c r="IK78" s="7">
        <f>IFERROR(AVERAGEIF('Данные 1st'!$S$2:$S$317,$A78,'Данные 1st'!$SA$2:$SA$317),"")</f>
        <v>15</v>
      </c>
      <c r="IL78" s="7">
        <f>IFERROR(AVERAGEIF('Данные 1st'!$S$2:$S$317,$A78,'Данные 1st'!$SD$2:$SD$317),"")</f>
        <v>1</v>
      </c>
      <c r="IM78" s="7">
        <f>IFERROR(AVERAGEIF('Данные 1st'!$S$2:$S$317,$A78,'Данные 1st'!$SG$2:$SG$317),"")</f>
        <v>1</v>
      </c>
      <c r="IN78" s="7">
        <f>IFERROR(AVERAGEIF('Данные 1st'!$S$2:$S$317,$A78,'Данные 1st'!$SH$2:$SH$317),"")</f>
        <v>0.995</v>
      </c>
      <c r="IO78" s="7">
        <f>IFERROR(AVERAGEIF('Данные 1st'!$S$2:$S$317,$A78,'Данные 1st'!$SI$2:$SI$317),"")</f>
        <v>0.995</v>
      </c>
      <c r="IP78" s="7">
        <f>IFERROR(AVERAGEIF('Данные 1st'!$S$2:$S$317,$A78,'Данные 1st'!$SJ$2:$SJ$317),"")</f>
        <v>0.995</v>
      </c>
      <c r="IQ78" s="7">
        <f>IFERROR(AVERAGEIF('Данные 1st'!$S$2:$S$317,$A78,'Данные 1st'!$SK$2:$SK$317),"")</f>
        <v>15</v>
      </c>
      <c r="IR78" s="7">
        <f>IFERROR(AVERAGEIF('Данные 1st'!$S$2:$S$317,$A78,'Данные 1st'!$SL$2:$SL$317),"")</f>
        <v>0</v>
      </c>
      <c r="IS78" s="7">
        <f>IFERROR(AVERAGEIF('Данные 1st'!$S$2:$S$317,$A78,'Данные 1st'!$SM$2:$SM$317),"")</f>
        <v>0</v>
      </c>
      <c r="IT78" s="7">
        <f>IFERROR(AVERAGEIF('Данные 1st'!$S$2:$S$317,$A78,'Данные 1st'!$SN$2:$SN$317),"")</f>
        <v>0</v>
      </c>
      <c r="IU78" s="7">
        <f>IFERROR(AVERAGEIF('Данные 1st'!$S$2:$S$317,$A78,'Данные 1st'!$SO$2:$SO$317),"")</f>
        <v>0</v>
      </c>
      <c r="IV78" s="7">
        <f>IFERROR(AVERAGEIF('Данные 1st'!$S$2:$S$317,$A78,'Данные 1st'!$SP$2:$SP$317),"")</f>
        <v>0</v>
      </c>
      <c r="IW78" s="7">
        <f>IFERROR(AVERAGEIF('Данные 1st'!$S$2:$S$317,$A78,'Данные 1st'!$SQ$2:$SQ$317),"")</f>
        <v>0</v>
      </c>
      <c r="IX78" s="7">
        <f>IFERROR(AVERAGEIF('Данные 1st'!$S$2:$S$317,$A78,'Данные 1st'!$SR$2:$SR$317),"")</f>
        <v>0</v>
      </c>
      <c r="IY78" s="7">
        <f>IFERROR(AVERAGEIF('Данные 1st'!$S$2:$S$317,$A78,'Данные 1st'!$SS$2:$SS$317),"")</f>
        <v>0</v>
      </c>
      <c r="IZ78" s="7">
        <f>IFERROR(AVERAGEIF('Данные 1st'!$S$2:$S$317,$A78,'Данные 1st'!$ST$2:$ST$317),"")</f>
        <v>0</v>
      </c>
      <c r="JA78" s="7">
        <f>IFERROR(AVERAGEIF('Данные 1st'!$S$2:$S$317,$A78,'Данные 1st'!$SU$2:$SU$317),"")</f>
        <v>0</v>
      </c>
      <c r="JB78" s="7">
        <f>IFERROR(AVERAGEIF('Данные 1st'!$S$2:$S$317,$A78,'Данные 1st'!$SV$2:$SV$317),"")</f>
        <v>0</v>
      </c>
      <c r="JC78" s="7">
        <f>IFERROR(AVERAGEIF('Данные 1st'!$S$2:$S$317,$A78,'Данные 1st'!$SW$2:$SW$317),"")</f>
        <v>0</v>
      </c>
      <c r="JD78" s="7">
        <f>IFERROR(AVERAGEIF('Данные 1st'!$S$2:$S$317,$A78,'Данные 1st'!$SX$2:$SX$317),"")</f>
        <v>0</v>
      </c>
      <c r="JE78" s="7">
        <f>IFERROR(AVERAGEIF('Данные 1st'!$S$2:$S$317,$A78,'Данные 1st'!$SY$2:$SY$317),"")</f>
        <v>1</v>
      </c>
      <c r="JF78" s="7">
        <f>IFERROR(AVERAGEIF('Данные 1st'!$S$2:$S$317,$A78,'Данные 1st'!$SZ$2:$SZ$317),"")</f>
        <v>1</v>
      </c>
      <c r="JG78" s="7">
        <f>IFERROR(AVERAGEIF('Данные 1st'!$S$2:$S$317,$A78,'Данные 1st'!$TA$2:$TA$317),"")</f>
        <v/>
      </c>
      <c r="JH78" s="7">
        <f>IFERROR(AVERAGEIF('Данные 1st'!$S$2:$S$317,$A78,'Данные 1st'!$TB$2:$TB$317),"")</f>
        <v>0</v>
      </c>
      <c r="JI78" s="7">
        <f>IFERROR(AVERAGEIF('Данные 1st'!$S$2:$S$317,$A78,'Данные 1st'!$TC$2:$TC$317),"")</f>
        <v>0</v>
      </c>
      <c r="JJ78" s="7">
        <f>IFERROR(AVERAGEIF('Данные 1st'!$S$2:$S$317,$A78,'Данные 1st'!$TD$2:$TD$317),"")</f>
        <v>8.45</v>
      </c>
      <c r="JK78" s="7">
        <f>IFERROR(AVERAGEIF('Данные 1st'!$S$2:$S$317,$A78,'Данные 1st'!$TN$2:$TN$317),"")</f>
        <v>0</v>
      </c>
      <c r="JL78">
        <f>COUNTIF('Данные 2st'!$Q$2:$Q$317,$A78)</f>
        <v>4</v>
      </c>
      <c r="JM78" s="6" t="s">
        <v>5092</v>
      </c>
      <c r="JN78" s="6" t="s">
        <v>513</v>
      </c>
      <c r="JO78" s="6" t="s">
        <v>5125</v>
      </c>
      <c r="JP78" s="6" t="s">
        <v>5522</v>
      </c>
      <c r="JQ78" s="7">
        <f>IFERROR(AVERAGEIF('Данные 2st'!$Q$2:$Q$317,$A78,'Данные 2st'!$AC$2:$AC$317),"")</f>
        <v>12.5</v>
      </c>
      <c r="JR78" s="7">
        <f>IFERROR(AVERAGEIF('Данные 2st'!$Q$2:$Q$317,$A78,'Данные 2st'!$AF$2:$AF$317),"")</f>
        <v>7349</v>
      </c>
      <c r="JS78" s="7">
        <f>IFERROR(AVERAGEIF('Данные 2st'!$Q$2:$Q$317,$A78,'Данные 2st'!$AW$2:$AW$317),"")</f>
        <v>6.4</v>
      </c>
      <c r="JT78" s="7">
        <f>IFERROR(AVERAGEIF('Данные 2st'!$Q$2:$Q$317,$A78,'Данные 2st'!$AX$2:$AX$317),"")</f>
        <v>-6</v>
      </c>
      <c r="JU78" s="7">
        <f>IFERROR(AVERAGEIF('Данные 2st'!$Q$2:$Q$317,$A78,'Данные 2st'!$AY$2:$AY$317),"")</f>
        <v>113.875</v>
      </c>
      <c r="JV78" s="7">
        <f>IFERROR(AVERAGEIF('Данные 2st'!$Q$2:$Q$317,$A78,'Данные 2st'!$AZ$2:$AZ$317),"")</f>
        <v>81.75</v>
      </c>
      <c r="JW78" s="7">
        <f>IFERROR(AVERAGEIF('Данные 2st'!$Q$2:$Q$317,$A78,'Данные 2st'!$BA$2:$BA$317),"")</f>
        <v>0</v>
      </c>
      <c r="JX78" s="7">
        <f>IFERROR(AVERAGEIF('Данные 2st'!$Q$2:$Q$317,$A78,'Данные 2st'!$BB$2:$BB$317),"")</f>
        <v>0</v>
      </c>
      <c r="JY78" s="7">
        <f>IFERROR(AVERAGEIF('Данные 2st'!$Q$2:$Q$317,$A78,'Данные 2st'!$BC$2:$BC$317),"")</f>
        <v>0</v>
      </c>
      <c r="JZ78" s="7">
        <f>IFERROR(AVERAGEIF('Данные 2st'!$Q$2:$Q$317,$A78,'Данные 2st'!$BH$2:$BH$317),"")</f>
        <v>113.875</v>
      </c>
      <c r="KA78" s="7">
        <f>IFERROR(AVERAGEIF('Данные 2st'!$Q$2:$Q$317,$A78,'Данные 2st'!$BI$2:$BI$317),"")</f>
        <v>32.125</v>
      </c>
      <c r="KB78" s="7">
        <f>IFERROR(AVERAGEIF('Данные 2st'!$Q$2:$Q$317,$A78,'Данные 2st'!$BJ$2:$BJ$317),"")</f>
        <v>81.75</v>
      </c>
      <c r="KC78" s="7">
        <f>IFERROR(AVERAGEIF('Данные 2st'!$Q$2:$Q$317,$A78,'Данные 2st'!$BK$2:$BK$317),"")</f>
        <v>3.25</v>
      </c>
      <c r="KD78" s="7">
        <f>IFERROR(AVERAGEIF('Данные 2st'!$Q$2:$Q$317,$A78,'Данные 2st'!$BL$2:$BL$317),"")</f>
        <v>227.75</v>
      </c>
      <c r="KE78" s="7">
        <f>IFERROR(AVERAGEIF('Данные 2st'!$Q$2:$Q$317,$A78,'Данные 2st'!$BM$2:$BM$317),"")</f>
        <v>-6</v>
      </c>
      <c r="KF78" s="7">
        <f>IFERROR(AVERAGEIF('Данные 2st'!$Q$2:$Q$317,$A78,'Данные 2st'!$BN$2:$BN$317),"")</f>
        <v>0</v>
      </c>
      <c r="KG78" s="7">
        <f>IFERROR(AVERAGEIF('Данные 2st'!$Q$2:$Q$317,$A78,'Данные 2st'!$BO$2:$BO$317),"")</f>
        <v>0</v>
      </c>
      <c r="KH78" s="7">
        <f>IFERROR(AVERAGEIF('Данные 2st'!$Q$2:$Q$317,$A78,'Данные 2st'!$BP$2:$BP$317),"")</f>
        <v>0</v>
      </c>
      <c r="KI78" s="7">
        <f>IFERROR(AVERAGEIF('Данные 2st'!$Q$2:$Q$317,$A78,'Данные 2st'!$BR$2:$BR$317),"")</f>
        <v>221.25</v>
      </c>
      <c r="KJ78" s="7">
        <f>IFERROR(AVERAGEIF('Данные 2st'!$Q$2:$Q$317,$A78,'Данные 2st'!$BS$2:$BS$317),"")</f>
        <v>208.75</v>
      </c>
      <c r="KK78" s="7">
        <f>IFERROR(AVERAGEIF('Данные 2st'!$Q$2:$Q$317,$A78,'Данные 2st'!$BT$2:$BT$317),"")</f>
        <v>2268.75</v>
      </c>
      <c r="KL78" s="7">
        <f>IFERROR(AVERAGEIF('Данные 2st'!$Q$2:$Q$317,$A78,'Данные 2st'!$CV$2:$CV$317),"")</f>
        <v>143</v>
      </c>
      <c r="KM78" s="7">
        <f>IFERROR(AVERAGEIF('Данные 2st'!$Q$2:$Q$317,$A78,'Данные 2st'!$CW$2:$CW$317),"")</f>
        <v>3</v>
      </c>
      <c r="KN78" s="7">
        <f>IFERROR(AVERAGEIF('Данные 2st'!$Q$2:$Q$317,$A78,'Данные 2st'!$CX$2:$CX$317),"")</f>
        <v>96.75</v>
      </c>
      <c r="KO78" s="7">
        <f>IFERROR(AVERAGEIF('Данные 2st'!$Q$2:$Q$317,$A78,'Данные 2st'!$CY$2:$CY$317),"")</f>
        <v>5</v>
      </c>
      <c r="KP78" s="7">
        <f>IFERROR(AVERAGEIF('Данные 2st'!$Q$2:$Q$317,$A78,'Данные 2st'!$CZ$2:$CZ$317),"")</f>
        <v>170.5</v>
      </c>
      <c r="KQ78" s="7">
        <f>IFERROR(AVERAGEIF('Данные 2st'!$Q$2:$Q$317,$A78,'Данные 2st'!$DA$2:$DA$317),"")</f>
        <v>5</v>
      </c>
      <c r="KR78" s="7">
        <f>IFERROR(AVERAGEIF('Данные 2st'!$Q$2:$Q$317,$A78,'Данные 2st'!$DB$2:$DB$317),"")</f>
        <v>16132.5</v>
      </c>
      <c r="KS78" s="7">
        <f>IFERROR(AVERAGEIF('Данные 2st'!$Q$2:$Q$317,$A78,'Данные 2st'!$DC$2:$DC$317),"")</f>
        <v>477.5</v>
      </c>
      <c r="KT78" s="7">
        <f>IFERROR(AVERAGEIF('Данные 2st'!$Q$2:$Q$317,$A78,'Данные 2st'!$DD$2:$DD$317),"")</f>
        <v>379.25</v>
      </c>
      <c r="KU78" s="7">
        <f>IFERROR(AVERAGEIF('Данные 2st'!$Q$2:$Q$317,$A78,'Данные 2st'!$DE$2:$DE$317),"")</f>
        <v>2394.25</v>
      </c>
      <c r="KV78" s="7">
        <f>IFERROR(AVERAGEIF('Данные 2st'!$Q$2:$Q$317,$A78,'Данные 2st'!$DF$2:$DF$317),"")</f>
        <v>2394.25</v>
      </c>
      <c r="KW78" s="7">
        <f>IFERROR(AVERAGEIF('Данные 2st'!$Q$2:$Q$317,$A78,'Данные 2st'!$DG$2:$DG$317),"")</f>
        <v>2406</v>
      </c>
      <c r="KX78" s="7">
        <f>IFERROR(AVERAGEIF('Данные 2st'!$Q$2:$Q$317,$A78,'Данные 2st'!$DH$2:$DH$317),"")</f>
        <v>3</v>
      </c>
      <c r="KY78" s="7">
        <f>IFERROR(AVERAGEIF('Данные 2st'!$Q$2:$Q$317,$A78,'Данные 2st'!$DI$2:$DI$317),"")</f>
        <v/>
      </c>
      <c r="KZ78" s="7">
        <f>IFERROR(AVERAGEIF('Данные 2st'!$Q$2:$Q$317,$A78,'Данные 2st'!$DK$2:$DK$317),"")</f>
        <v>221.25</v>
      </c>
      <c r="LA78" s="7">
        <f>IFERROR(AVERAGEIF('Данные 2st'!$Q$2:$Q$317,$A78,'Данные 2st'!$DM$2:$DM$317),"")</f>
        <v>64</v>
      </c>
      <c r="LB78" s="7">
        <f>IFERROR(AVERAGEIF('Данные 2st'!$Q$2:$Q$317,$A78,'Данные 2st'!$DN$2:$DN$317),"")</f>
        <v>1.26</v>
      </c>
      <c r="LC78" s="7">
        <f>IFERROR(AVERAGEIF('Данные 2st'!$Q$2:$Q$317,$A78,'Данные 2st'!$DO$2:$DO$317),"")</f>
        <v>1</v>
      </c>
      <c r="LD78" s="7">
        <f>IFERROR(AVERAGEIF('Данные 2st'!$Q$2:$Q$317,$A78,'Данные 2st'!$DP$2:$DP$317),"")</f>
        <v>2272.75</v>
      </c>
      <c r="LE78" s="7">
        <f>IFERROR(AVERAGEIF('Данные 2st'!$Q$2:$Q$317,$A78,'Данные 2st'!$DQ$2:$DQ$317),"")</f>
        <v>1213.5</v>
      </c>
      <c r="LF78" s="7">
        <f>IFERROR(AVERAGEIF('Данные 2st'!$Q$2:$Q$317,$A78,'Данные 2st'!$DS$2:$DS$317),"")</f>
        <v>208.75</v>
      </c>
      <c r="LG78" s="7">
        <f>IFERROR(AVERAGEIF('Данные 2st'!$Q$2:$Q$317,$A78,'Данные 2st'!$DU$2:$DU$317),"")</f>
        <v>64</v>
      </c>
      <c r="LH78" s="7">
        <f>IFERROR(AVERAGEIF('Данные 2st'!$Q$2:$Q$317,$A78,'Данные 2st'!$DV$2:$DV$317),"")</f>
        <v>1.26</v>
      </c>
      <c r="LI78" s="7">
        <f>IFERROR(AVERAGEIF('Данные 2st'!$Q$2:$Q$317,$A78,'Данные 2st'!$DW$2:$DW$317),"")</f>
        <v>1</v>
      </c>
      <c r="LJ78" s="7">
        <f>IFERROR(AVERAGEIF('Данные 2st'!$Q$2:$Q$317,$A78,'Данные 2st'!$DX$2:$DX$317),"")</f>
        <v>2285.75</v>
      </c>
      <c r="LK78" s="7">
        <f>IFERROR(AVERAGEIF('Данные 2st'!$Q$2:$Q$317,$A78,'Данные 2st'!$DY$2:$DY$317),"")</f>
        <v>1152</v>
      </c>
      <c r="LL78" s="7">
        <f>IFERROR(AVERAGEIF('Данные 2st'!$Q$2:$Q$317,$A78,'Данные 2st'!$EA$2:$EA$317),"")</f>
        <v>20</v>
      </c>
      <c r="LM78" s="7">
        <f>IFERROR(AVERAGEIF('Данные 2st'!$Q$2:$Q$317,$A78,'Данные 2st'!$EC$2:$EC$317),"")</f>
        <v>0.8</v>
      </c>
      <c r="LN78" s="7">
        <f>IFERROR(AVERAGEIF('Данные 2st'!$Q$2:$Q$317,$A78,'Данные 2st'!$ED$2:$ED$317),"")</f>
        <v>2272.75</v>
      </c>
      <c r="LO78" s="7">
        <f>IFERROR(AVERAGEIF('Данные 2st'!$Q$2:$Q$317,$A78,'Данные 2st'!$EE$2:$EE$317),"")</f>
        <v>79.75</v>
      </c>
      <c r="LP78" s="7">
        <f>IFERROR(AVERAGEIF('Данные 2st'!$Q$2:$Q$317,$A78,'Данные 2st'!$EG$2:$EG$317),"")</f>
        <v>0</v>
      </c>
      <c r="LQ78" s="7">
        <f>IFERROR(AVERAGEIF('Данные 2st'!$Q$2:$Q$317,$A78,'Данные 2st'!$EI$2:$EI$317),"")</f>
        <v>0</v>
      </c>
      <c r="LR78" s="7">
        <f>IFERROR(AVERAGEIF('Данные 2st'!$Q$2:$Q$317,$A78,'Данные 2st'!$EJ$2:$EJ$317),"")</f>
        <v/>
      </c>
      <c r="LS78" s="7">
        <f>IFERROR(AVERAGEIF('Данные 2st'!$Q$2:$Q$317,$A78,'Данные 2st'!$EK$2:$EK$317),"")</f>
        <v/>
      </c>
      <c r="LT78" s="7">
        <f>IFERROR(AVERAGEIF('Данные 2st'!$Q$2:$Q$317,$A78,'Данные 2st'!$EM$2:$EM$317),"")</f>
        <v>12</v>
      </c>
      <c r="LU78" s="7">
        <f>IFERROR(AVERAGEIF('Данные 2st'!$Q$2:$Q$317,$A78,'Данные 2st'!$EN$2:$EN$317),"")</f>
        <v>0.5</v>
      </c>
      <c r="LV78" s="7">
        <f>IFERROR(AVERAGEIF('Данные 2st'!$Q$2:$Q$317,$A78,'Данные 2st'!$EO$2:$EO$317),"")</f>
        <v>0.96</v>
      </c>
      <c r="LW78" s="7">
        <f>IFERROR(AVERAGEIF('Данные 2st'!$Q$2:$Q$317,$A78,'Данные 2st'!$EP$2:$EP$317),"")</f>
        <v>2284.59</v>
      </c>
      <c r="LX78" s="7">
        <f>IFERROR(AVERAGEIF('Данные 2st'!$Q$2:$Q$317,$A78,'Данные 2st'!$EQ$2:$EQ$317),"")</f>
        <v>42791.71</v>
      </c>
      <c r="LY78" s="7">
        <f>IFERROR(AVERAGEIF('Данные 2st'!$Q$2:$Q$317,$A78,'Данные 2st'!$ER$2:$ER$317),"")</f>
        <v>11498.1625</v>
      </c>
      <c r="LZ78" s="7">
        <f>IFERROR(AVERAGEIF('Данные 2st'!$Q$2:$Q$317,$A78,'Данные 2st'!$ES$2:$ES$317),"")</f>
        <v>0</v>
      </c>
      <c r="MA78" s="7">
        <f>IFERROR(AVERAGEIF('Данные 2st'!$Q$2:$Q$317,$A78,'Данные 2st'!$ET$2:$ET$317),"")</f>
        <v>0</v>
      </c>
      <c r="MB78" s="7">
        <f>IFERROR(AVERAGEIF('Данные 2st'!$Q$2:$Q$317,$A78,'Данные 2st'!$EU$2:$EU$317),"")</f>
        <v>1</v>
      </c>
      <c r="MC78" s="7">
        <f>IFERROR(AVERAGEIF('Данные 2st'!$Q$2:$Q$317,$A78,'Данные 2st'!$EV$2:$EV$317),"")</f>
        <v>54290.5</v>
      </c>
      <c r="MD78" s="7">
        <f>IFERROR(AVERAGEIF('Данные 2st'!$Q$2:$Q$317,$A78,'Данные 2st'!$EW$2:$EW$317),"")</f>
        <v>652</v>
      </c>
      <c r="ME78" s="7">
        <f>IFERROR(AVERAGEIF('Данные 2st'!$Q$2:$Q$317,$A78,'Данные 2st'!$EY$2:$EY$317),"")</f>
        <v>250.5</v>
      </c>
      <c r="MF78" s="7">
        <f>IFERROR(AVERAGEIF('Данные 2st'!$Q$2:$Q$317,$A78,'Данные 2st'!$FA$2:$FA$317),"")</f>
        <v>5.825</v>
      </c>
      <c r="MG78" s="7">
        <f>IFERROR(AVERAGEIF('Данные 2st'!$Q$2:$Q$317,$A78,'Данные 2st'!$FB$2:$FB$317),"")</f>
        <v>1</v>
      </c>
      <c r="MH78" s="7">
        <f>IFERROR(AVERAGEIF('Данные 2st'!$Q$2:$Q$317,$A78,'Данные 2st'!$FC$2:$FC$317),"")</f>
        <v>1</v>
      </c>
      <c r="MI78" s="7">
        <f>IFERROR(AVERAGEIF('Данные 2st'!$Q$2:$Q$317,$A78,'Данные 2st'!$FD$2:$FD$317),"")</f>
        <v>2319.75</v>
      </c>
      <c r="MJ78" s="7">
        <f>IFERROR(AVERAGEIF('Данные 2st'!$Q$2:$Q$317,$A78,'Данные 2st'!$FE$2:$FE$317),"")</f>
        <v>3361.25</v>
      </c>
      <c r="MK78" s="7">
        <f>IFERROR(AVERAGEIF('Данные 2st'!$Q$2:$Q$317,$A78,'Данные 2st'!$FG$2:$FG$317),"")</f>
        <v>250.5</v>
      </c>
      <c r="ML78" s="7">
        <f>IFERROR(AVERAGEIF('Данные 2st'!$Q$2:$Q$317,$A78,'Данные 2st'!$FI$2:$FI$317),"")</f>
        <v>2.825</v>
      </c>
      <c r="MM78" s="7">
        <f>IFERROR(AVERAGEIF('Данные 2st'!$Q$2:$Q$317,$A78,'Данные 2st'!$FJ$2:$FJ$317),"")</f>
        <v>2319.75</v>
      </c>
      <c r="MN78" s="7">
        <f>IFERROR(AVERAGEIF('Данные 2st'!$Q$2:$Q$317,$A78,'Данные 2st'!$FK$2:$FK$317),"")</f>
        <v>1845.25</v>
      </c>
      <c r="MO78" s="7">
        <f>IFERROR(AVERAGEIF('Данные 2st'!$Q$2:$Q$317,$A78,'Данные 2st'!$FP$2:$FP$317),"")</f>
        <v>2319.75</v>
      </c>
      <c r="MP78" s="7">
        <f>IFERROR(AVERAGEIF('Данные 2st'!$Q$2:$Q$317,$A78,'Данные 2st'!$FQ$2:$FQ$317),"")</f>
        <v>188.5</v>
      </c>
      <c r="MQ78" s="7">
        <f>IFERROR(AVERAGEIF('Данные 2st'!$Q$2:$Q$317,$A78,'Данные 2st'!$FS$2:$FS$317),"")</f>
        <v>254.5</v>
      </c>
      <c r="MR78" s="7">
        <f>IFERROR(AVERAGEIF('Данные 2st'!$Q$2:$Q$317,$A78,'Данные 2st'!$FU$2:$FU$317),"")</f>
        <v>0.4</v>
      </c>
      <c r="MS78" s="7">
        <f>IFERROR(AVERAGEIF('Данные 2st'!$Q$2:$Q$317,$A78,'Данные 2st'!$FV$2:$FV$317),"")</f>
        <v>2319.75</v>
      </c>
      <c r="MT78" s="7">
        <f>IFERROR(AVERAGEIF('Данные 2st'!$Q$2:$Q$317,$A78,'Данные 2st'!$FW$2:$FW$317),"")</f>
        <v>262.75</v>
      </c>
      <c r="MU78" s="7">
        <f>IFERROR(AVERAGEIF('Данные 2st'!$Q$2:$Q$317,$A78,'Данные 2st'!$FY$2:$FY$317),"")</f>
        <v>5</v>
      </c>
      <c r="MV78" s="7">
        <f>IFERROR(AVERAGEIF('Данные 2st'!$Q$2:$Q$317,$A78,'Данные 2st'!$GB$2:$GB$317),"")</f>
        <v>2319.75</v>
      </c>
      <c r="MW78" s="7">
        <f>IFERROR(AVERAGEIF('Данные 2st'!$Q$2:$Q$317,$A78,'Данные 2st'!$GC$2:$GC$317),"")</f>
        <v>23.75</v>
      </c>
      <c r="MX78" s="7">
        <f>IFERROR(AVERAGEIF('Данные 2st'!$Q$2:$Q$317,$A78,'Данные 2st'!$GD$2:$GD$317),"")</f>
        <v>5681.5</v>
      </c>
      <c r="MY78" s="7">
        <f>IFERROR(AVERAGEIF('Данные 2st'!$Q$2:$Q$317,$A78,'Данные 2st'!$GN$2:$GN$317),"")</f>
        <v/>
      </c>
      <c r="MZ78" s="7">
        <f>IFERROR(AVERAGEIF('Данные 2st'!$Q$2:$Q$317,$A78,'Данные 2st'!$GQ$2:$GQ$317),"")</f>
        <v>0</v>
      </c>
      <c r="NA78" s="7">
        <f>IFERROR(AVERAGEIF('Данные 2st'!$Q$2:$Q$317,$A78,'Данные 2st'!$GV$2:$GV$317),"")</f>
        <v>9.05</v>
      </c>
      <c r="NB78" s="7">
        <f>IFERROR(AVERAGEIF('Данные 2st'!$Q$2:$Q$317,$A78,'Данные 2st'!$GW$2:$GW$317),"")</f>
        <v>9.575</v>
      </c>
      <c r="NC78" s="7">
        <f>IFERROR(AVERAGEIF('Данные 2st'!$Q$2:$Q$317,$A78,'Данные 2st'!$GX$2:$GX$317),"")</f>
        <v>0.5</v>
      </c>
      <c r="ND78" s="7">
        <f>IFERROR(AVERAGEIF('Данные 2st'!$Q$2:$Q$317,$A78,'Данные 2st'!$GY$2:$GY$317),"")</f>
        <v>209.5</v>
      </c>
      <c r="NE78" s="7">
        <f>IFERROR(AVERAGEIF('Данные 2st'!$Q$2:$Q$317,$A78,'Данные 2st'!$GZ$2:$GZ$317),"")</f>
        <v>3</v>
      </c>
      <c r="NF78" s="7">
        <f>IFERROR(AVERAGEIF('Данные 2st'!$Q$2:$Q$317,$A78,'Данные 2st'!$HA$2:$HA$317),"")</f>
        <v>272.5</v>
      </c>
      <c r="NG78" s="7">
        <f>IFERROR(AVERAGEIF('Данные 2st'!$Q$2:$Q$317,$A78,'Данные 2st'!$HB$2:$HB$317),"")</f>
        <v>3</v>
      </c>
      <c r="NH78" s="7">
        <f>IFERROR(AVERAGEIF('Данные 2st'!$Q$2:$Q$317,$A78,'Данные 2st'!$HC$2:$HC$317),"")</f>
        <v>2319.75</v>
      </c>
      <c r="NI78" s="7">
        <f>IFERROR(AVERAGEIF('Данные 2st'!$Q$2:$Q$317,$A78,'Данные 2st'!$HD$2:$HD$317),"")</f>
        <v>4</v>
      </c>
      <c r="NJ78" s="7">
        <f>IFERROR(AVERAGEIF('Данные 2st'!$Q$2:$Q$317,$A78,'Данные 2st'!$HM$2:$HM$317),"")</f>
        <v>18</v>
      </c>
      <c r="NK78" s="7">
        <f>IFERROR(AVERAGEIF('Данные 2st'!$Q$2:$Q$317,$A78,'Данные 2st'!$HR$2:$HR$317),"")</f>
        <v>2</v>
      </c>
      <c r="NL78" s="7">
        <f>IFERROR(AVERAGEIF('Данные 2st'!$Q$2:$Q$317,$A78,'Данные 2st'!$HS$2:$HS$317),"")</f>
        <v>2268.75</v>
      </c>
      <c r="NM78" s="7">
        <f>IFERROR(AVERAGEIF('Данные 2st'!$Q$2:$Q$317,$A78,'Данные 2st'!$HT$2:$HT$317),"")</f>
        <v>5</v>
      </c>
      <c r="NN78" s="7">
        <f>IFERROR(AVERAGEIF('Данные 2st'!$Q$2:$Q$317,$A78,'Данные 2st'!$HY$2:$HY$317),"")</f>
        <v>0</v>
      </c>
      <c r="NO78" s="7">
        <f>IFERROR(AVERAGEIF('Данные 2st'!$Q$2:$Q$317,$A78,'Данные 2st'!$HZ$2:$HZ$317),"")</f>
        <v>64</v>
      </c>
      <c r="NP78" s="7">
        <f>IFERROR(AVERAGEIF('Данные 2st'!$Q$2:$Q$317,$A78,'Данные 2st'!$IA$2:$IA$317),"")</f>
        <v>2272.75</v>
      </c>
      <c r="NQ78" s="7">
        <f>IFERROR(AVERAGEIF('Данные 2st'!$Q$2:$Q$317,$A78,'Данные 2st'!$IB$2:$IB$317),"")</f>
        <v>2285.75</v>
      </c>
      <c r="NR78" s="7">
        <f>IFERROR(AVERAGEIF('Данные 2st'!$Q$2:$Q$317,$A78,'Данные 2st'!$IC$2:$IC$317),"")</f>
        <v/>
      </c>
      <c r="NS78" s="7">
        <f>IFERROR(AVERAGEIF('Данные 2st'!$Q$2:$Q$317,$A78,'Данные 2st'!$ID$2:$ID$317),"")</f>
        <v>2319.75</v>
      </c>
      <c r="NT78" s="7">
        <f>IFERROR(AVERAGEIF('Данные 2st'!$Q$2:$Q$317,$A78,'Данные 2st'!$IE$2:$IE$317),"")</f>
        <v>2319.75</v>
      </c>
      <c r="NU78" s="7">
        <f>IFERROR(AVERAGEIF('Данные 2st'!$Q$2:$Q$317,$A78,'Данные 2st'!$IF$2:$IF$317),"")</f>
        <v>221.25</v>
      </c>
      <c r="NV78" s="7">
        <f>IFERROR(AVERAGEIF('Данные 2st'!$Q$2:$Q$317,$A78,'Данные 2st'!$IG$2:$IG$317),"")</f>
        <v>208.75</v>
      </c>
      <c r="NW78" s="7">
        <f>IFERROR(AVERAGEIF('Данные 2st'!$Q$2:$Q$317,$A78,'Данные 2st'!$IH$2:$IH$317),"")</f>
        <v>272.5</v>
      </c>
      <c r="NX78" s="7">
        <f>IFERROR(AVERAGEIF('Данные 2st'!$Q$2:$Q$317,$A78,'Данные 2st'!$IJ$2:$IJ$317),"")</f>
        <v>5</v>
      </c>
      <c r="NY78" s="7">
        <f>IFERROR(AVERAGEIF('Данные 2st'!$Q$2:$Q$317,$A78,'Данные 2st'!$IM$2:$IM$317),"")</f>
        <v>0</v>
      </c>
      <c r="NZ78" s="7">
        <f>IFERROR(AVERAGEIF('Данные 2st'!$Q$2:$Q$317,$A78,'Данные 2st'!$IN$2:$IN$317),"")</f>
        <v>270</v>
      </c>
      <c r="OA78" s="7">
        <f>IFERROR(AVERAGEIF('Данные 2st'!$Q$2:$Q$317,$A78,'Данные 2st'!$IO$2:$IO$317),"")</f>
        <v>0</v>
      </c>
      <c r="OB78" s="7">
        <f>IFERROR(AVERAGEIF('Данные 2st'!$Q$2:$Q$317,$A78,'Данные 2st'!$IP$2:$IP$317),"")</f>
        <v>180</v>
      </c>
      <c r="OC78" s="7">
        <f>IFERROR(AVERAGEIF('Данные 2st'!$Q$2:$Q$317,$A78,'Данные 2st'!$IQ$2:$IQ$317),"")</f>
        <v>0</v>
      </c>
      <c r="OD78" s="7">
        <f>IFERROR(AVERAGEIF('Данные 2st'!$Q$2:$Q$317,$A78,'Данные 2st'!$IR$2:$IR$317),"")</f>
        <v>330</v>
      </c>
      <c r="OE78" s="7">
        <f>IFERROR(AVERAGEIF('Данные 2st'!$Q$2:$Q$317,$A78,'Данные 2st'!$IT$2:$IT$317),"")</f>
        <v>100</v>
      </c>
      <c r="OF78" s="7">
        <f>IFERROR(AVERAGEIF('Данные 2st'!$Q$2:$Q$317,$A78,'Данные 2st'!$IU$2:$IU$317),"")</f>
        <v>0</v>
      </c>
      <c r="OG78" s="7">
        <f>IFERROR(AVERAGEIF('Данные 2st'!$Q$2:$Q$317,$A78,'Данные 2st'!$IV$2:$IV$317),"")</f>
        <v>6.4</v>
      </c>
      <c r="OH78" s="7">
        <f>IFERROR(AVERAGEIF('Данные 2st'!$Q$2:$Q$317,$A78,'Данные 2st'!$IW$2:$IW$317),"")</f>
        <v>-6</v>
      </c>
      <c r="OI78" s="7">
        <f>IFERROR(AVERAGEIF('Данные 2st'!$Q$2:$Q$317,$A78,'Данные 2st'!$IX$2:$IX$317),"")</f>
        <v>113.875</v>
      </c>
      <c r="OJ78" s="7">
        <f>IFERROR(AVERAGEIF('Данные 2st'!$Q$2:$Q$317,$A78,'Данные 2st'!$IY$2:$IY$317),"")</f>
        <v>81.75</v>
      </c>
      <c r="OK78" s="7">
        <f>IFERROR(AVERAGEIF('Данные 2st'!$Q$2:$Q$317,$A78,'Данные 2st'!$IZ$2:$IZ$317),"")</f>
        <v>0</v>
      </c>
      <c r="OL78" s="7">
        <f>IFERROR(AVERAGEIF('Данные 2st'!$Q$2:$Q$317,$A78,'Данные 2st'!$JA$2:$JA$317),"")</f>
        <v>0</v>
      </c>
      <c r="OM78" s="7">
        <f>IFERROR(AVERAGEIF('Данные 2st'!$Q$2:$Q$317,$A78,'Данные 2st'!$JB$2:$JB$317),"")</f>
        <v>0</v>
      </c>
      <c r="ON78" s="7">
        <f>IFERROR(AVERAGEIF('Данные 2st'!$Q$2:$Q$317,$A78,'Данные 2st'!$JC$2:$JC$317),"")</f>
        <v>0</v>
      </c>
      <c r="OO78" s="7">
        <f>IFERROR(AVERAGEIF('Данные 2st'!$Q$2:$Q$317,$A78,'Данные 2st'!$JD$2:$JD$317),"")</f>
        <v>0</v>
      </c>
      <c r="OP78" s="7">
        <f>IFERROR(AVERAGEIF('Данные 2st'!$Q$2:$Q$317,$A78,'Данные 2st'!$JE$2:$JE$317),"")</f>
        <v>0</v>
      </c>
      <c r="OQ78" s="7">
        <f>IFERROR(AVERAGEIF('Данные 2st'!$Q$2:$Q$317,$A78,'Данные 2st'!$JF$2:$JF$317),"")</f>
        <v>0</v>
      </c>
      <c r="OR78" s="7">
        <f>IFERROR(AVERAGEIF('Данные 2st'!$Q$2:$Q$317,$A78,'Данные 2st'!$JG$2:$JG$317),"")</f>
        <v>0</v>
      </c>
      <c r="OS78" s="7">
        <f>IFERROR(AVERAGEIF('Данные 2st'!$Q$2:$Q$317,$A78,'Данные 2st'!$JH$2:$JH$317),"")</f>
        <v>0</v>
      </c>
      <c r="OT78" s="7">
        <f>IFERROR(AVERAGEIF('Данные 2st'!$Q$2:$Q$317,$A78,'Данные 2st'!$JI$2:$JI$317),"")</f>
        <v>482.5</v>
      </c>
      <c r="OU78" s="7">
        <f>IFERROR(AVERAGEIF('Данные 2st'!$Q$2:$Q$317,$A78,'Данные 2st'!$JJ$2:$JJ$317),"")</f>
        <v>453</v>
      </c>
      <c r="OV78" s="7">
        <f>IFERROR(AVERAGEIF('Данные 2st'!$Q$2:$Q$317,$A78,'Данные 2st'!$JK$2:$JK$317),"")</f>
        <v>314</v>
      </c>
      <c r="OW78" s="7">
        <f>IFERROR(AVERAGEIF('Данные 2st'!$Q$2:$Q$317,$A78,'Данные 2st'!$JL$2:$JL$317),"")</f>
        <v>452</v>
      </c>
      <c r="OX78" s="7">
        <f>IFERROR(AVERAGEIF('Данные 2st'!$Q$2:$Q$317,$A78,'Данные 2st'!$JM$2:$JM$317),"")</f>
        <v>340</v>
      </c>
      <c r="OY78" s="7">
        <f>IFERROR(AVERAGEIF('Данные 2st'!$Q$2:$Q$317,$A78,'Данные 2st'!$JP$2:$JP$317),"")</f>
        <v>177.5</v>
      </c>
      <c r="OZ78" s="7">
        <f>IFERROR(AVERAGEIF('Данные 2st'!$Q$2:$Q$317,$A78,'Данные 2st'!$JQ$2:$JQ$317),"")</f>
        <v>223.75</v>
      </c>
      <c r="PA78" s="7">
        <f>IFERROR(AVERAGEIF('Данные 2st'!$Q$2:$Q$317,$A78,'Данные 2st'!$JR$2:$JR$317),"")</f>
        <v>346</v>
      </c>
      <c r="PB78" s="7">
        <f>IFERROR(AVERAGEIF('Данные 2st'!$Q$2:$Q$317,$A78,'Данные 2st'!$JS$2:$JS$317),"")</f>
        <v>217.5</v>
      </c>
      <c r="PC78" s="7">
        <f>IFERROR(AVERAGEIF('Данные 2st'!$Q$2:$Q$317,$A78,'Данные 2st'!$JT$2:$JT$317),"")</f>
        <v>0</v>
      </c>
      <c r="PD78" s="7">
        <f>IFERROR(AVERAGEIF('Данные 2st'!$Q$2:$Q$317,$A78,'Данные 2st'!$JU$2:$JU$317),"")</f>
        <v>0</v>
      </c>
      <c r="PE78" s="7">
        <f>IFERROR(AVERAGEIF('Данные 2st'!$Q$2:$Q$317,$A78,'Данные 2st'!$JV$2:$JV$317),"")</f>
        <v>335</v>
      </c>
      <c r="PF78" s="7">
        <f>IFERROR(AVERAGEIF('Данные 2st'!$Q$2:$Q$317,$A78,'Данные 2st'!$JW$2:$JW$317),"")</f>
        <v>307</v>
      </c>
      <c r="PG78" s="7">
        <f>IFERROR(AVERAGEIF('Данные 2st'!$Q$2:$Q$317,$A78,'Данные 2st'!$KF$2:$KF$317),"")</f>
        <v>0.1825</v>
      </c>
      <c r="PH78" s="7">
        <f>IFERROR(AVERAGEIF('Данные 2st'!$Q$2:$Q$317,$A78,'Данные 2st'!$KG$2:$KG$317),"")</f>
        <v>0.11</v>
      </c>
      <c r="PI78" s="7">
        <f>IFERROR(AVERAGEIF('Данные 2st'!$Q$2:$Q$317,$A78,'Данные 2st'!$KM$2:$KM$317),"")</f>
        <v>0</v>
      </c>
      <c r="PJ78" s="7">
        <f>IFERROR(AVERAGEIF('Данные 2st'!$Q$2:$Q$317,$A78,'Данные 2st'!$KN$2:$KN$317),"")</f>
        <v>1.8250000000000002</v>
      </c>
      <c r="PK78" s="7">
        <f>IFERROR(AVERAGEIF('Данные 2st'!$Q$2:$Q$317,$A78,'Данные 2st'!$KO$2:$KO$317),"")</f>
        <v>0</v>
      </c>
      <c r="PL78" s="7">
        <f>IFERROR(AVERAGEIF('Данные 2st'!$Q$2:$Q$317,$A78,'Данные 2st'!$KP$2:$KP$317),"")</f>
        <v>0</v>
      </c>
      <c r="PM78" s="7">
        <f>IFERROR(AVERAGEIF('Данные 2st'!$Q$2:$Q$317,$A78,'Данные 2st'!$KQ$2:$KQ$317),"")</f>
        <v>1.225</v>
      </c>
      <c r="PN78" s="7">
        <f>IFERROR(AVERAGEIF('Данные 2st'!$Q$2:$Q$317,$A78,'Данные 2st'!$KR$2:$KR$317),"")</f>
        <v>0.7</v>
      </c>
      <c r="PO78" s="7">
        <f>IFERROR(AVERAGEIF('Данные 2st'!$Q$2:$Q$317,$A78,'Данные 2st'!$KS$2:$KS$317),"")</f>
        <v>0</v>
      </c>
      <c r="PP78" s="7">
        <f>IFERROR(AVERAGEIF('Данные 2st'!$Q$2:$Q$317,$A78,'Данные 2st'!$KT$2:$KT$317),"")</f>
        <v>2.8</v>
      </c>
      <c r="PQ78" s="7">
        <f>IFERROR(AVERAGEIF('Данные 2st'!$Q$2:$Q$317,$A78,'Данные 2st'!$KU$2:$KU$317),"")</f>
        <v>0</v>
      </c>
      <c r="PR78" s="7">
        <f>IFERROR(AVERAGEIF('Данные 2st'!$Q$2:$Q$317,$A78,'Данные 2st'!$KV$2:$KV$317),"")</f>
        <v>0</v>
      </c>
      <c r="PS78" s="7">
        <f>IFERROR(AVERAGEIF('Данные 2st'!$Q$2:$Q$317,$A78,'Данные 2st'!$KW$2:$KW$317),"")</f>
        <v>1</v>
      </c>
      <c r="PT78" s="7">
        <f>IFERROR(AVERAGEIF('Данные 2st'!$Q$2:$Q$317,$A78,'Данные 2st'!$KX$2:$KX$317),"")</f>
        <v>2</v>
      </c>
      <c r="PU78" s="7">
        <f>IFERROR(AVERAGEIF('Данные 2st'!$Q$2:$Q$317,$A78,'Данные 2st'!$KY$2:$KY$317),"")</f>
        <v>0</v>
      </c>
      <c r="PV78" s="7">
        <f>IFERROR(AVERAGEIF('Данные 2st'!$Q$2:$Q$317,$A78,'Данные 2st'!$KZ$2:$KZ$317),"")</f>
        <v>0</v>
      </c>
      <c r="PW78" s="7">
        <f>IFERROR(AVERAGEIF('Данные 2st'!$Q$2:$Q$317,$A78,'Данные 2st'!$LA$2:$LA$317),"")</f>
        <v>0</v>
      </c>
      <c r="PX78" s="7">
        <f>IFERROR(AVERAGEIF('Данные 2st'!$Q$2:$Q$317,$A78,'Данные 2st'!$LB$2:$LB$317),"")</f>
        <v>0</v>
      </c>
      <c r="PY78" s="7">
        <f>IFERROR(AVERAGEIF('Данные 2st'!$Q$2:$Q$317,$A78,'Данные 2st'!$LC$2:$LC$317),"")</f>
        <v>0</v>
      </c>
      <c r="PZ78" s="7">
        <f>IFERROR(AVERAGEIF('Данные 2st'!$Q$2:$Q$317,$A78,'Данные 2st'!$LD$2:$LD$317),"")</f>
        <v>0</v>
      </c>
      <c r="QA78" s="7">
        <f>IFERROR(AVERAGEIF('Данные 2st'!$Q$2:$Q$317,$A78,'Данные 2st'!$LE$2:$LE$317),"")</f>
        <v>0</v>
      </c>
      <c r="QB78" s="7">
        <f>IFERROR(AVERAGEIF('Данные 2st'!$Q$2:$Q$317,$A78,'Данные 2st'!$LF$2:$LF$317),"")</f>
        <v>0</v>
      </c>
      <c r="QC78" s="7">
        <f>IFERROR(AVERAGEIF('Данные 2st'!$Q$2:$Q$317,$A78,'Данные 2st'!$LG$2:$LG$317),"")</f>
        <v>0</v>
      </c>
      <c r="QD78" s="7">
        <f>IFERROR(AVERAGEIF('Данные 2st'!$Q$2:$Q$317,$A78,'Данные 2st'!$LH$2:$LH$317),"")</f>
        <v>3</v>
      </c>
      <c r="QE78" s="7">
        <f>IFERROR(AVERAGEIF('Данные 2st'!$Q$2:$Q$317,$A78,'Данные 2st'!$LJ$2:$LJ$317),"")</f>
        <v>0</v>
      </c>
      <c r="QF78" s="7">
        <f>IFERROR(AVERAGEIF('Данные 2st'!$Q$2:$Q$317,$A78,'Данные 2st'!$LK$2:$LK$317),"")</f>
        <v>10</v>
      </c>
      <c r="QG78" s="7">
        <f>IFERROR(AVERAGEIF('Данные 2st'!$Q$2:$Q$317,$A78,'Данные 2st'!$LL$2:$LL$317),"")</f>
        <v>4</v>
      </c>
      <c r="QH78" s="7">
        <f>IFERROR(AVERAGEIF('Данные 2st'!$Q$2:$Q$317,$A78,'Данные 2st'!$LM$2:$LM$317),"")</f>
        <v>15</v>
      </c>
      <c r="QI78" s="7">
        <f>IFERROR(AVERAGEIF('Данные 2st'!$Q$2:$Q$317,$A78,'Данные 2st'!$LN$2:$LN$317),"")</f>
        <v>0.1</v>
      </c>
      <c r="QJ78" s="7">
        <f>IFERROR(AVERAGEIF('Данные 2st'!$Q$2:$Q$317,$A78,'Данные 2st'!$LO$2:$LO$317),"")</f>
        <v>2.05</v>
      </c>
      <c r="QK78" s="7">
        <f>IFERROR(AVERAGEIF('Данные 2st'!$Q$2:$Q$317,$A78,'Данные 2st'!$LP$2:$LP$317),"")</f>
        <v>0</v>
      </c>
      <c r="QL78" s="7">
        <f>IFERROR(AVERAGEIF('Данные 2st'!$Q$2:$Q$317,$A78,'Данные 2st'!$LQ$2:$LQ$317),"")</f>
        <v>0</v>
      </c>
      <c r="QM78" s="7">
        <f>IFERROR(AVERAGEIF('Данные 2st'!$Q$2:$Q$317,$A78,'Данные 2st'!$LW$2:$LW$317),"")</f>
        <v>2.8</v>
      </c>
      <c r="QN78" s="7">
        <f>IFERROR(AVERAGEIF('Данные 2st'!$Q$2:$Q$317,$A78,'Данные 2st'!$LX$2:$LX$317),"")</f>
        <v>2.8</v>
      </c>
      <c r="QO78" s="7">
        <f>IFERROR(AVERAGEIF('Данные 2st'!$Q$2:$Q$317,$A78,'Данные 2st'!$LY$2:$LY$317),"")</f>
        <v>2.8</v>
      </c>
      <c r="QP78" s="7">
        <f>IFERROR(AVERAGEIF('Данные 2st'!$Q$2:$Q$317,$A78,'Данные 2st'!$LZ$2:$LZ$317),"")</f>
        <v>2.8</v>
      </c>
      <c r="QQ78" s="7">
        <f>IFERROR(AVERAGEIF('Данные 2st'!$Q$2:$Q$317,$A78,'Данные 2st'!$MB$2:$MB$317),"")</f>
        <v>12</v>
      </c>
      <c r="QR78" s="7">
        <f>IFERROR(AVERAGEIF('Данные 2st'!$Q$2:$Q$317,$A78,'Данные 2st'!$MG$2:$MG$317),"")</f>
        <v>40</v>
      </c>
      <c r="QS78" s="7">
        <f>IFERROR(AVERAGEIF('Данные 2st'!$Q$2:$Q$317,$A78,'Данные 2st'!$MH$2:$MH$317),"")</f>
        <v>40</v>
      </c>
      <c r="QT78" s="7">
        <f>IFERROR(AVERAGEIF('Данные 2st'!$Q$2:$Q$317,$A78,'Данные 2st'!$MI$2:$MI$317),"")</f>
        <v>0</v>
      </c>
      <c r="QU78" s="7">
        <f>IFERROR(AVERAGEIF('Данные 2st'!$Q$2:$Q$317,$A78,'Данные 2st'!$MJ$2:$MJ$317),"")</f>
        <v>0</v>
      </c>
      <c r="QV78" s="7">
        <f>IFERROR(AVERAGEIF('Данные 2st'!$Q$2:$Q$317,$A78,'Данные 2st'!$MK$2:$MK$317),"")</f>
        <v/>
      </c>
      <c r="QW78" s="7">
        <f>IFERROR(AVERAGEIF('Данные 2st'!$Q$2:$Q$317,$A78,'Данные 2st'!$MM$2:$MM$317),"")</f>
        <v>493</v>
      </c>
      <c r="QX78" s="7">
        <f>IFERROR(AVERAGEIF('Данные 2st'!$Q$2:$Q$317,$A78,'Данные 2st'!$MQ$2:$MQ$317),"")</f>
        <v/>
      </c>
      <c r="QY78" s="7">
        <f>IFERROR(AVERAGEIF('Данные 2st'!$Q$2:$Q$317,$A78,'Данные 2st'!$MR$2:$MR$317),"")</f>
        <v/>
      </c>
      <c r="QZ78" s="7">
        <f>IFERROR(AVERAGEIF('Данные 2st'!$Q$2:$Q$317,$A78,'Данные 2st'!$MS$2:$MS$317),"")</f>
        <v/>
      </c>
      <c r="RA78" s="7">
        <f>IFERROR(AVERAGEIF('Данные 2st'!$Q$2:$Q$317,$A78,'Данные 2st'!$MT$2:$MT$317),"")</f>
        <v/>
      </c>
      <c r="RB78" s="7">
        <f>IFERROR(AVERAGEIF('Данные 2st'!$Q$2:$Q$317,$A78,'Данные 2st'!$MU$2:$MU$317),"")</f>
        <v/>
      </c>
      <c r="RC78" s="7">
        <f>IFERROR(AVERAGEIF('Данные 2st'!$Q$2:$Q$317,$A78,'Данные 2st'!$MV$2:$MV$317),"")</f>
        <v/>
      </c>
      <c r="RD78" s="7">
        <f>IFERROR(AVERAGEIF('Данные 2st'!$Q$2:$Q$317,$A78,'Данные 2st'!$MW$2:$MW$317),"")</f>
        <v/>
      </c>
      <c r="RE78" s="7">
        <f>IFERROR(AVERAGEIF('Данные 2st'!$Q$2:$Q$317,$A78,'Данные 2st'!$MX$2:$MX$317),"")</f>
        <v/>
      </c>
      <c r="RF78" s="7">
        <f>IFERROR(AVERAGEIF('Данные 2st'!$Q$2:$Q$317,$A78,'Данные 2st'!$MY$2:$MY$317),"")</f>
        <v/>
      </c>
      <c r="RG78" s="7">
        <f>IFERROR(AVERAGEIF('Данные 2st'!$Q$2:$Q$317,$A78,'Данные 2st'!$MZ$2:$MZ$317),"")</f>
        <v/>
      </c>
      <c r="RH78" s="7">
        <f>IFERROR(AVERAGEIF('Данные 2st'!$Q$2:$Q$317,$A78,'Данные 2st'!$NA$2:$NA$317),"")</f>
        <v/>
      </c>
      <c r="RI78" s="7">
        <f>IFERROR(AVERAGEIF('Данные 2st'!$Q$2:$Q$317,$A78,'Данные 2st'!$NB$2:$NB$317),"")</f>
        <v/>
      </c>
      <c r="RJ78" s="7">
        <f>IFERROR(AVERAGEIF('Данные 2st'!$Q$2:$Q$317,$A78,'Данные 2st'!$NC$2:$NC$317),"")</f>
        <v/>
      </c>
      <c r="RK78" s="7">
        <f>IFERROR(AVERAGEIF('Данные 2st'!$Q$2:$Q$317,$A78,'Данные 2st'!$ND$2:$ND$317),"")</f>
        <v/>
      </c>
      <c r="RL78" s="7">
        <f>IFERROR(AVERAGEIF('Данные 2st'!$Q$2:$Q$317,$A78,'Данные 2st'!$NE$2:$NE$317),"")</f>
        <v/>
      </c>
      <c r="RM78" s="7">
        <f>IFERROR(AVERAGEIF('Данные 2st'!$Q$2:$Q$317,$A78,'Данные 2st'!$NF$2:$NF$317),"")</f>
        <v/>
      </c>
      <c r="RN78" s="7">
        <f>IFERROR(AVERAGEIF('Данные 2st'!$Q$2:$Q$317,$A78,'Данные 2st'!$NG$2:$NG$317),"")</f>
        <v/>
      </c>
      <c r="RO78" s="7">
        <f>IFERROR(AVERAGEIF('Данные 2st'!$Q$2:$Q$317,$A78,'Данные 2st'!$NH$2:$NH$317),"")</f>
        <v/>
      </c>
      <c r="RP78" s="7">
        <f>IFERROR(AVERAGEIF('Данные 2st'!$Q$2:$Q$317,$A78,'Данные 2st'!$NJ$2:$NJ$317),"")</f>
        <v/>
      </c>
      <c r="RQ78" s="7">
        <f>IFERROR(AVERAGEIF('Данные 2st'!$Q$2:$Q$317,$A78,'Данные 2st'!$NK$2:$NK$317),"")</f>
        <v/>
      </c>
      <c r="RR78" s="7">
        <f>IFERROR(AVERAGEIF('Данные 2st'!$Q$2:$Q$317,$A78,'Данные 2st'!$NM$2:$NM$317),"")</f>
        <v/>
      </c>
      <c r="RS78" s="7">
        <f>IFERROR(AVERAGEIF('Данные 2st'!$Q$2:$Q$317,$A78,'Данные 2st'!$NN$2:$NN$317),"")</f>
        <v/>
      </c>
      <c r="RT78" s="7">
        <f>IFERROR(AVERAGEIF('Данные 2st'!$Q$2:$Q$317,$A78,'Данные 2st'!$NO$2:$NO$317),"")</f>
        <v/>
      </c>
      <c r="RU78" s="7">
        <f>IFERROR(AVERAGEIF('Данные 2st'!$Q$2:$Q$317,$A78,'Данные 2st'!$NP$2:$NP$317),"")</f>
        <v/>
      </c>
      <c r="RV78" s="7">
        <f>IFERROR(AVERAGEIF('Данные 2st'!$Q$2:$Q$317,$A78,'Данные 2st'!$NQ$2:$NQ$317),"")</f>
        <v/>
      </c>
      <c r="RW78" s="7">
        <f>IFERROR(AVERAGEIF('Данные 2st'!$Q$2:$Q$317,$A78,'Данные 2st'!$NR$2:$NR$317),"")</f>
        <v/>
      </c>
      <c r="RX78" s="7">
        <f>IFERROR(AVERAGEIF('Данные 2st'!$Q$2:$Q$317,$A78,'Данные 2st'!$NS$2:$NS$317),"")</f>
        <v/>
      </c>
      <c r="RY78" s="7">
        <f>IFERROR(AVERAGEIF('Данные 2st'!$Q$2:$Q$317,$A78,'Данные 2st'!$NT$2:$NT$317),"")</f>
        <v/>
      </c>
      <c r="RZ78" s="7">
        <f>IFERROR(AVERAGEIF('Данные 2st'!$Q$2:$Q$317,$A78,'Данные 2st'!$OK$2:$OK$317),"")</f>
        <v>61</v>
      </c>
      <c r="SA78" s="7">
        <f>IFERROR(AVERAGEIF('Данные 2st'!$Q$2:$Q$317,$A78,'Данные 2st'!$OL$2:$OL$317),"")</f>
        <v>61</v>
      </c>
      <c r="SB78" s="7">
        <f>IFERROR(AVERAGEIF('Данные 2st'!$Q$2:$Q$317,$A78,'Данные 2st'!$ON$2:$ON$317),"")</f>
        <v>1</v>
      </c>
      <c r="SC78" s="7">
        <f>IFERROR(AVERAGEIF('Данные 2st'!$Q$2:$Q$317,$A78,'Данные 2st'!$OO$2:$OO$317),"")</f>
        <v>2272.75</v>
      </c>
      <c r="SD78" s="7">
        <f>IFERROR(AVERAGEIF('Данные 2st'!$Q$2:$Q$317,$A78,'Данные 2st'!$OP$2:$OP$317),"")</f>
        <v>61</v>
      </c>
      <c r="SE78" s="7">
        <f>IFERROR(AVERAGEIF('Данные 2st'!$Q$2:$Q$317,$A78,'Данные 2st'!$OQ$2:$OQ$317),"")</f>
        <v>61</v>
      </c>
      <c r="SF78" s="7">
        <f>IFERROR(AVERAGEIF('Данные 2st'!$Q$2:$Q$317,$A78,'Данные 2st'!$OS$2:$OS$317),"")</f>
        <v>1</v>
      </c>
      <c r="SG78" s="7">
        <f>IFERROR(AVERAGEIF('Данные 2st'!$Q$2:$Q$317,$A78,'Данные 2st'!$OT$2:$OT$317),"")</f>
        <v>2285.75</v>
      </c>
      <c r="SH78" s="7">
        <f>IFERROR(AVERAGEIF('Данные 2st'!$Q$2:$Q$317,$A78,'Данные 2st'!$OU$2:$OU$317),"")</f>
        <v>65</v>
      </c>
      <c r="SI78" s="7">
        <f>IFERROR(AVERAGEIF('Данные 2st'!$Q$2:$Q$317,$A78,'Данные 2st'!$OV$2:$OV$317),"")</f>
        <v>65</v>
      </c>
      <c r="SJ78" s="7">
        <f>IFERROR(AVERAGEIF('Данные 2st'!$Q$2:$Q$317,$A78,'Данные 2st'!$OX$2:$OX$317),"")</f>
        <v>2</v>
      </c>
      <c r="SK78" s="7">
        <f>IFERROR(AVERAGEIF('Данные 2st'!$Q$2:$Q$317,$A78,'Данные 2st'!$OY$2:$OY$317),"")</f>
        <v>54290.5</v>
      </c>
      <c r="SL78" s="7">
        <f>IFERROR(AVERAGEIF('Данные 2st'!$Q$2:$Q$317,$A78,'Данные 2st'!$OZ$2:$OZ$317),"")</f>
        <v>51</v>
      </c>
      <c r="SM78" s="7">
        <f>IFERROR(AVERAGEIF('Данные 2st'!$Q$2:$Q$317,$A78,'Данные 2st'!$PA$2:$PA$317),"")</f>
        <v>51.5</v>
      </c>
      <c r="SN78" s="7">
        <f>IFERROR(AVERAGEIF('Данные 2st'!$Q$2:$Q$317,$A78,'Данные 2st'!$PC$2:$PC$317),"")</f>
        <v>1.5</v>
      </c>
      <c r="SO78" s="7">
        <f>IFERROR(AVERAGEIF('Данные 2st'!$Q$2:$Q$317,$A78,'Данные 2st'!$PD$2:$PD$317),"")</f>
        <v>2319.75</v>
      </c>
      <c r="SP78" s="7">
        <f>IFERROR(AVERAGEIF('Данные 2st'!$Q$2:$Q$317,$A78,'Данные 2st'!$PF$2:$PF$317),"")</f>
        <v>534</v>
      </c>
      <c r="SQ78" s="7">
        <f>IFERROR(AVERAGEIF('Данные 2st'!$Q$2:$Q$317,$A78,'Данные 2st'!$PG$2:$PG$317),"")</f>
        <v>35</v>
      </c>
      <c r="SR78" s="7">
        <f>IFERROR(AVERAGEIF('Данные 2st'!$Q$2:$Q$317,$A78,'Данные 2st'!$PH$2:$PH$317),"")</f>
        <v>504</v>
      </c>
      <c r="SS78" s="7">
        <f>IFERROR(AVERAGEIF('Данные 2st'!$Q$2:$Q$317,$A78,'Данные 2st'!$PI$2:$PI$317),"")</f>
        <v>0</v>
      </c>
      <c r="ST78" s="7">
        <f>IFERROR(AVERAGEIF('Данные 2st'!$Q$2:$Q$317,$A78,'Данные 2st'!$PJ$2:$PJ$317),"")</f>
        <v>81.275</v>
      </c>
      <c r="SU78" s="7">
        <f>IFERROR(AVERAGEIF('Данные 2st'!$Q$2:$Q$317,$A78,'Данные 2st'!$PK$2:$PK$317),"")</f>
        <v>2433.75</v>
      </c>
      <c r="SV78" s="7">
        <f>IFERROR(AVERAGEIF('Данные 2st'!$Q$2:$Q$317,$A78,'Данные 2st'!$PL$2:$PL$317),"")</f>
        <v>1448.675</v>
      </c>
      <c r="SW78" s="7">
        <f>IFERROR(AVERAGEIF('Данные 2st'!$Q$2:$Q$317,$A78,'Данные 2st'!$PM$2:$PM$317),"")</f>
        <v>795.7</v>
      </c>
      <c r="SX78" s="7">
        <f>IFERROR(AVERAGEIF('Данные 2st'!$Q$2:$Q$317,$A78,'Данные 2st'!$PN$2:$PN$317),"")</f>
        <v>113.275</v>
      </c>
      <c r="SY78" s="7">
        <f>IFERROR(AVERAGEIF('Данные 2st'!$Q$2:$Q$317,$A78,'Данные 2st'!$PO$2:$PO$317),"")</f>
        <v>10.225</v>
      </c>
      <c r="SZ78" s="7">
        <f>IFERROR(AVERAGEIF('Данные 2st'!$Q$2:$Q$317,$A78,'Данные 2st'!$PP$2:$PP$317),"")</f>
        <v>12</v>
      </c>
      <c r="TA78" s="7">
        <f>IFERROR(AVERAGEIF('Данные 2st'!$Q$2:$Q$317,$A78,'Данные 2st'!$PQ$2:$PQ$317),"")</f>
        <v>4</v>
      </c>
      <c r="TB78" s="7">
        <f>IFERROR(AVERAGEIF('Данные 2st'!$Q$2:$Q$317,$A78,'Данные 2st'!$PR$2:$PR$317),"")</f>
        <v>4</v>
      </c>
      <c r="TC78" s="7">
        <f>IFERROR(AVERAGEIF('Данные 2st'!$Q$2:$Q$317,$A78,'Данные 2st'!$PS$2:$PS$317),"")</f>
        <v>0</v>
      </c>
      <c r="TD78" s="7">
        <f>IFERROR(AVERAGEIF('Данные 2st'!$Q$2:$Q$317,$A78,'Данные 2st'!$PT$2:$PT$317),"")</f>
        <v>272.5</v>
      </c>
      <c r="TE78" s="7">
        <f>IFERROR(AVERAGEIF('Данные 2st'!$Q$2:$Q$317,$A78,'Данные 2st'!$PU$2:$PU$317),"")</f>
        <v>11</v>
      </c>
      <c r="TF78" s="7">
        <f>IFERROR(AVERAGEIF('Данные 2st'!$Q$2:$Q$317,$A78,'Данные 2st'!$PX$2:$PX$317),"")</f>
        <v>0</v>
      </c>
      <c r="TG78" s="7">
        <f>IFERROR(AVERAGEIF('Данные 2st'!$Q$2:$Q$317,$A78,'Данные 2st'!$PY$2:$PY$317),"")</f>
        <v>0</v>
      </c>
      <c r="TH78" s="7">
        <f>IFERROR(AVERAGEIF('Данные 2st'!$Q$2:$Q$317,$A78,'Данные 2st'!$PZ$2:$PZ$317),"")</f>
        <v>0</v>
      </c>
      <c r="TI78" s="7">
        <f>IFERROR(AVERAGEIF('Данные 2st'!$Q$2:$Q$317,$A78,'Данные 2st'!$QA$2:$QA$317),"")</f>
        <v>0</v>
      </c>
      <c r="TJ78" s="7">
        <f>IFERROR(AVERAGEIF('Данные 2st'!$Q$2:$Q$317,$A78,'Данные 2st'!$QB$2:$QB$317),"")</f>
        <v>0</v>
      </c>
      <c r="TK78" s="7">
        <f>IFERROR(AVERAGEIF('Данные 2st'!$Q$2:$Q$317,$A78,'Данные 2st'!$QC$2:$QC$317),"")</f>
        <v>0</v>
      </c>
      <c r="TL78" s="7">
        <f>IFERROR(AVERAGEIF('Данные 2st'!$Q$2:$Q$317,$A78,'Данные 2st'!$QD$2:$QD$317),"")</f>
        <v>0</v>
      </c>
      <c r="TM78" s="7">
        <f>IFERROR(AVERAGEIF('Данные 2st'!$Q$2:$Q$317,$A78,'Данные 2st'!$QE$2:$QE$317),"")</f>
        <v>-1</v>
      </c>
      <c r="TN78" s="7">
        <f>IFERROR(AVERAGEIF('Данные 2st'!$Q$2:$Q$317,$A78,'Данные 2st'!$QF$2:$QF$317),"")</f>
        <v>1</v>
      </c>
      <c r="TO78" s="7">
        <f>IFERROR(AVERAGEIF('Данные 2st'!$Q$2:$Q$317,$A78,'Данные 2st'!$QG$2:$QG$317),"")</f>
        <v>0</v>
      </c>
      <c r="TP78" s="7">
        <f>IFERROR(AVERAGEIF('Данные 2st'!$Q$2:$Q$317,$A78,'Данные 2st'!$QH$2:$QH$317),"")</f>
        <v>5</v>
      </c>
      <c r="TQ78" s="7">
        <f>IFERROR(AVERAGEIF('Данные 2st'!$Q$2:$Q$317,$A78,'Данные 2st'!$QI$2:$QI$317),"")</f>
        <v>5</v>
      </c>
      <c r="TR78" s="7">
        <f>IFERROR(AVERAGEIF('Данные 2st'!$Q$2:$Q$317,$A78,'Данные 2st'!$QJ$2:$QJ$317),"")</f>
        <v>5</v>
      </c>
      <c r="TS78" s="7">
        <f>IFERROR(AVERAGEIF('Данные 2st'!$Q$2:$Q$317,$A78,'Данные 2st'!$QK$2:$QK$317),"")</f>
        <v>246.5</v>
      </c>
      <c r="TT78" s="7">
        <f>IFERROR(AVERAGEIF('Данные 2st'!$Q$2:$Q$317,$A78,'Данные 2st'!$QL$2:$QL$317),"")</f>
        <v>513.5</v>
      </c>
      <c r="TU78" s="7">
        <f>IFERROR(AVERAGEIF('Данные 2st'!$Q$2:$Q$317,$A78,'Данные 2st'!$QM$2:$QM$317),"")</f>
        <v>8.45</v>
      </c>
      <c r="TV78" s="7">
        <f>IFERROR(AVERAGEIF('Данные 2st'!$Q$2:$Q$317,$A78,'Данные 2st'!$QN$2:$QN$317),"")</f>
        <v>1465.1</v>
      </c>
      <c r="TW78" s="7">
        <f>IFERROR(AVERAGEIF('Данные 2st'!$Q$2:$Q$317,$A78,'Данные 2st'!$QQ$2:$QQ$317),"")</f>
        <v>0</v>
      </c>
      <c r="TX78" s="7">
        <f>IFERROR(AVERAGEIF('Данные 2st'!$Q$2:$Q$317,$A78,'Данные 2st'!$QS$2:$QS$317),"")</f>
        <v>35</v>
      </c>
      <c r="TY78" s="7">
        <f>IFERROR(AVERAGEIF('Данные 2st'!$Q$2:$Q$317,$A78,'Данные 2st'!$QT$2:$QT$317),"")</f>
        <v>45</v>
      </c>
    </row>
    <row r="79" spans="1:545" ht="32" customHeight="1">
      <c r="A79" s="11" t="s">
        <v>1059</v>
      </c>
      <c r="B79">
        <f>COUNTIF('Данные 1st'!$S$2:$S$317,$A79)</f>
        <v>5</v>
      </c>
      <c r="C79" s="6" t="s">
        <v>5121</v>
      </c>
      <c r="D79" s="6" t="s">
        <v>513</v>
      </c>
      <c r="E79" s="6" t="s">
        <v>5125</v>
      </c>
      <c r="F79" s="6" t="s">
        <v>5188</v>
      </c>
      <c r="G79" s="7">
        <f>IFERROR(AVERAGEIF('Данные 1st'!$S$2:$S$317,$A79,'Данные 1st'!$AE$2:$AE$317),"")</f>
        <v>262.6</v>
      </c>
      <c r="H79" s="7">
        <f>IFERROR(AVERAGEIF('Данные 1st'!$S$2:$S$317,$A79,'Данные 1st'!$AF$2:$AF$317),"")</f>
        <v>1.5</v>
      </c>
      <c r="I79" s="7">
        <f>IFERROR(AVERAGEIF('Данные 1st'!$S$2:$S$317,$A79,'Данные 1st'!$AJ$2:$AJ$317),"")</f>
        <v>249.0</v>
      </c>
      <c r="J79" s="7">
        <f>IFERROR(AVERAGEIF('Данные 1st'!$S$2:$S$317,$A79,'Данные 1st'!$AL$2:$AL$317),"")</f>
        <v>1.5</v>
      </c>
      <c r="K79" s="7">
        <f>IFERROR(AVERAGEIF('Данные 1st'!$S$2:$S$317,$A79,'Данные 1st'!$AR$2:$AR$317),"")</f>
        <v>232.6</v>
      </c>
      <c r="L79" s="7">
        <f>IFERROR(AVERAGEIF('Данные 1st'!$S$2:$S$317,$A79,'Данные 1st'!$AS$2:$AS$317),"")</f>
        <v>1.5</v>
      </c>
      <c r="M79" s="7">
        <f>IFERROR(AVERAGEIF('Данные 1st'!$S$2:$S$317,$A79,'Данные 1st'!$AY$2:$AY$317),"")</f>
        <v>361.0</v>
      </c>
      <c r="N79" s="7">
        <f>IFERROR(AVERAGEIF('Данные 1st'!$S$2:$S$317,$A79,'Данные 1st'!$AZ$2:$AZ$317),"")</f>
        <v>1.5</v>
      </c>
      <c r="O79" s="7">
        <f>IFERROR(AVERAGEIF('Данные 1st'!$S$2:$S$317,$A79,'Данные 1st'!$BF$2:$BF$317),"")</f>
        <v>300.5</v>
      </c>
      <c r="P79" s="7">
        <f>IFERROR(AVERAGEIF('Данные 1st'!$S$2:$S$317,$A79,'Данные 1st'!$BG$2:$BG$317),"")</f>
        <v>1.5</v>
      </c>
      <c r="Q79" s="7">
        <f>IFERROR(AVERAGEIF('Данные 1st'!$S$2:$S$317,$A79,'Данные 1st'!$BM$2:$BM$317),"")</f>
        <v/>
      </c>
      <c r="R79" s="7">
        <f>IFERROR(AVERAGEIF('Данные 1st'!$S$2:$S$317,$A79,'Данные 1st'!$BN$2:$BN$317),"")</f>
        <v>1.5</v>
      </c>
      <c r="S79" s="7">
        <f>IFERROR(AVERAGEIF('Данные 1st'!$S$2:$S$317,$A79,'Данные 1st'!$BT$2:$BT$317),"")</f>
        <v>266</v>
      </c>
      <c r="T79" s="7">
        <f>IFERROR(AVERAGEIF('Данные 1st'!$S$2:$S$317,$A79,'Данные 1st'!$BU$2:$BU$317),"")</f>
        <v>0.5</v>
      </c>
      <c r="U79" s="7">
        <f>IFERROR(AVERAGEIF('Данные 1st'!$S$2:$S$317,$A79,'Данные 1st'!$BW$2:$BW$317),"")</f>
        <v>532</v>
      </c>
      <c r="V79" s="7">
        <f>IFERROR(AVERAGEIF('Данные 1st'!$S$2:$S$317,$A79,'Данные 1st'!$BX$2:$BX$317),"")</f>
        <v>1</v>
      </c>
      <c r="W79" s="7">
        <f>IFERROR(AVERAGEIF('Данные 1st'!$S$2:$S$317,$A79,'Данные 1st'!$BZ$2:$BZ$317),"")</f>
        <v>470</v>
      </c>
      <c r="X79" s="7">
        <f>IFERROR(AVERAGEIF('Данные 1st'!$S$2:$S$317,$A79,'Данные 1st'!$CA$2:$CA$317),"")</f>
        <v>606</v>
      </c>
      <c r="Y79" s="7">
        <f>IFERROR(AVERAGEIF('Данные 1st'!$S$2:$S$317,$A79,'Данные 1st'!$CD$2:$CD$317),"")</f>
        <v>554.4</v>
      </c>
      <c r="Z79" s="7">
        <f>IFERROR(AVERAGEIF('Данные 1st'!$S$2:$S$317,$A79,'Данные 1st'!$CF$2:$CF$317),"")</f>
        <v>15</v>
      </c>
      <c r="AA79" s="7">
        <f>IFERROR(AVERAGEIF('Данные 1st'!$S$2:$S$317,$A79,'Данные 1st'!$CI$2:$CI$317),"")</f>
        <v>68</v>
      </c>
      <c r="AB79" s="7">
        <f>IFERROR(AVERAGEIF('Данные 1st'!$S$2:$S$317,$A79,'Данные 1st'!$CJ$2:$CJ$317),"")</f>
        <v>1301</v>
      </c>
      <c r="AC79" s="7">
        <f>IFERROR(AVERAGEIF('Данные 1st'!$S$2:$S$317,$A79,'Данные 1st'!$CK$2:$CK$317),"")</f>
        <v>2</v>
      </c>
      <c r="AD79" s="7">
        <f>IFERROR(AVERAGEIF('Данные 1st'!$S$2:$S$317,$A79,'Данные 1st'!$CL$2:$CL$317),"")</f>
        <v>1395</v>
      </c>
      <c r="AE79" s="7">
        <f>IFERROR(AVERAGEIF('Данные 1st'!$S$2:$S$317,$A79,'Данные 1st'!$CM$2:$CM$317),"")</f>
        <v>2</v>
      </c>
      <c r="AF79" s="7">
        <f>IFERROR(AVERAGEIF('Данные 1st'!$S$2:$S$317,$A79,'Данные 1st'!$CT$2:$CT$317),"")</f>
        <v>498</v>
      </c>
      <c r="AG79" s="7">
        <f>IFERROR(AVERAGEIF('Данные 1st'!$S$2:$S$317,$A79,'Данные 1st'!$CU$2:$CU$317),"")</f>
        <v>5</v>
      </c>
      <c r="AH79" s="7">
        <f>IFERROR(AVERAGEIF('Данные 1st'!$S$2:$S$317,$A79,'Данные 1st'!$CV$2:$CV$317),"")</f>
        <v>1.2</v>
      </c>
      <c r="AI79" s="7">
        <f>IFERROR(AVERAGEIF('Данные 1st'!$S$2:$S$317,$A79,'Данные 1st'!$CW$2:$CW$317),"")</f>
        <v>1318</v>
      </c>
      <c r="AJ79" s="7">
        <f>IFERROR(AVERAGEIF('Данные 1st'!$S$2:$S$317,$A79,'Данные 1st'!$CX$2:$CX$317),"")</f>
        <v>930.4</v>
      </c>
      <c r="AK79" s="7">
        <f>IFERROR(AVERAGEIF('Данные 1st'!$S$2:$S$317,$A79,'Данные 1st'!$CZ$2:$CZ$317),"")</f>
        <v>55</v>
      </c>
      <c r="AL79" s="7">
        <f>IFERROR(AVERAGEIF('Данные 1st'!$S$2:$S$317,$A79,'Данные 1st'!$DA$2:$DA$317),"")</f>
        <v>3</v>
      </c>
      <c r="AM79" s="7">
        <f>IFERROR(AVERAGEIF('Данные 1st'!$S$2:$S$317,$A79,'Данные 1st'!$DB$2:$DB$317),"")</f>
        <v>1.1400000000000001</v>
      </c>
      <c r="AN79" s="7">
        <f>IFERROR(AVERAGEIF('Данные 1st'!$S$2:$S$317,$A79,'Данные 1st'!$DC$2:$DC$317),"")</f>
        <v>1319</v>
      </c>
      <c r="AO79" s="7">
        <f>IFERROR(AVERAGEIF('Данные 1st'!$S$2:$S$317,$A79,'Данные 1st'!$DD$2:$DD$317),"")</f>
        <v>71.4</v>
      </c>
      <c r="AP79" s="7">
        <f>IFERROR(AVERAGEIF('Данные 1st'!$S$2:$S$317,$A79,'Данные 1st'!$DF$2:$DF$317),"")</f>
        <v>722</v>
      </c>
      <c r="AQ79" s="7">
        <f>IFERROR(AVERAGEIF('Данные 1st'!$S$2:$S$317,$A79,'Данные 1st'!$DG$2:$DG$317),"")</f>
        <v>3</v>
      </c>
      <c r="AR79" s="7">
        <f>IFERROR(AVERAGEIF('Данные 1st'!$S$2:$S$317,$A79,'Данные 1st'!$DH$2:$DH$317),"")</f>
        <v>1.18</v>
      </c>
      <c r="AS79" s="7">
        <f>IFERROR(AVERAGEIF('Данные 1st'!$S$2:$S$317,$A79,'Данные 1st'!$DI$2:$DI$317),"")</f>
        <v>1312</v>
      </c>
      <c r="AT79" s="7">
        <f>IFERROR(AVERAGEIF('Данные 1st'!$S$2:$S$317,$A79,'Данные 1st'!$DJ$2:$DJ$317),"")</f>
        <v>1474.6</v>
      </c>
      <c r="AU79" s="7">
        <f>IFERROR(AVERAGEIF('Данные 1st'!$S$2:$S$317,$A79,'Данные 1st'!$DL$2:$DL$317),"")</f>
        <v>601</v>
      </c>
      <c r="AV79" s="7">
        <f>IFERROR(AVERAGEIF('Данные 1st'!$S$2:$S$317,$A79,'Данные 1st'!$DM$2:$DM$317),"")</f>
        <v>3</v>
      </c>
      <c r="AW79" s="7">
        <f>IFERROR(AVERAGEIF('Данные 1st'!$S$2:$S$317,$A79,'Данные 1st'!$DN$2:$DN$317),"")</f>
        <v>1.18</v>
      </c>
      <c r="AX79" s="7">
        <f>IFERROR(AVERAGEIF('Данные 1st'!$S$2:$S$317,$A79,'Данные 1st'!$DO$2:$DO$317),"")</f>
        <v>1319.6</v>
      </c>
      <c r="AY79" s="7">
        <f>IFERROR(AVERAGEIF('Данные 1st'!$S$2:$S$317,$A79,'Данные 1st'!$DP$2:$DP$317),"")</f>
        <v>1158.2</v>
      </c>
      <c r="AZ79" s="7">
        <f>IFERROR(AVERAGEIF('Данные 1st'!$S$2:$S$317,$A79,'Данные 1st'!$DR$2:$DR$317),"")</f>
        <v/>
      </c>
      <c r="BA79" s="7">
        <f>IFERROR(AVERAGEIF('Данные 1st'!$S$2:$S$317,$A79,'Данные 1st'!$DS$2:$DS$317),"")</f>
        <v/>
      </c>
      <c r="BB79" s="7">
        <f>IFERROR(AVERAGEIF('Данные 1st'!$S$2:$S$317,$A79,'Данные 1st'!$DT$2:$DT$317),"")</f>
        <v/>
      </c>
      <c r="BC79" s="7">
        <f>IFERROR(AVERAGEIF('Данные 1st'!$S$2:$S$317,$A79,'Данные 1st'!$DU$2:$DU$317),"")</f>
        <v/>
      </c>
      <c r="BD79" s="7">
        <f>IFERROR(AVERAGEIF('Данные 1st'!$S$2:$S$317,$A79,'Данные 1st'!$DV$2:$DV$317),"")</f>
        <v/>
      </c>
      <c r="BE79" s="7">
        <f>IFERROR(AVERAGEIF('Данные 1st'!$S$2:$S$317,$A79,'Данные 1st'!$DX$2:$DX$317),"")</f>
        <v>7.88</v>
      </c>
      <c r="BF79" s="7">
        <f>IFERROR(AVERAGEIF('Данные 1st'!$S$2:$S$317,$A79,'Данные 1st'!$EA$2:$EA$317),"")</f>
        <v>1385.88</v>
      </c>
      <c r="BG79" s="7">
        <f>IFERROR(AVERAGEIF('Данные 1st'!$S$2:$S$317,$A79,'Данные 1st'!$EB$2:$EB$317),"")</f>
        <v>310.4</v>
      </c>
      <c r="BH79" s="7">
        <f>IFERROR(AVERAGEIF('Данные 1st'!$S$2:$S$317,$A79,'Данные 1st'!$ED$2:$ED$317),"")</f>
        <v>48</v>
      </c>
      <c r="BI79" s="7">
        <f>IFERROR(AVERAGEIF('Данные 1st'!$S$2:$S$317,$A79,'Данные 1st'!$EE$2:$EE$317),"")</f>
        <v>3</v>
      </c>
      <c r="BJ79" s="7">
        <f>IFERROR(AVERAGEIF('Данные 1st'!$S$2:$S$317,$A79,'Данные 1st'!$EG$2:$EG$317),"")</f>
        <v>1432.6</v>
      </c>
      <c r="BK79" s="7">
        <f>IFERROR(AVERAGEIF('Данные 1st'!$S$2:$S$317,$A79,'Данные 1st'!$EH$2:$EH$317),"")</f>
        <v>292.8</v>
      </c>
      <c r="BL79" s="7">
        <f>IFERROR(AVERAGEIF('Данные 1st'!$S$2:$S$317,$A79,'Данные 1st'!$EJ$2:$EJ$317),"")</f>
        <v>0</v>
      </c>
      <c r="BM79" s="7">
        <f>IFERROR(AVERAGEIF('Данные 1st'!$S$2:$S$317,$A79,'Данные 1st'!$EK$2:$EK$317),"")</f>
        <v>1</v>
      </c>
      <c r="BN79" s="7">
        <f>IFERROR(AVERAGEIF('Данные 1st'!$S$2:$S$317,$A79,'Данные 1st'!$EN$2:$EN$317),"")</f>
        <v>0</v>
      </c>
      <c r="BO79" s="7">
        <f>IFERROR(AVERAGEIF('Данные 1st'!$S$2:$S$317,$A79,'Данные 1st'!$EQ$2:$EQ$317),"")</f>
        <v>156</v>
      </c>
      <c r="BP79" s="7">
        <f>IFERROR(AVERAGEIF('Данные 1st'!$S$2:$S$317,$A79,'Данные 1st'!$ER$2:$ER$317),"")</f>
        <v>3</v>
      </c>
      <c r="BQ79" s="7">
        <f>IFERROR(AVERAGEIF('Данные 1st'!$S$2:$S$317,$A79,'Данные 1st'!$ES$2:$ES$317),"")</f>
        <v>5.9</v>
      </c>
      <c r="BR79" s="7">
        <f>IFERROR(AVERAGEIF('Данные 1st'!$S$2:$S$317,$A79,'Данные 1st'!$ET$2:$ET$317),"")</f>
        <v>1300.4</v>
      </c>
      <c r="BS79" s="7">
        <f>IFERROR(AVERAGEIF('Данные 1st'!$S$2:$S$317,$A79,'Данные 1st'!$EU$2:$EU$317),"")</f>
        <v>754.56</v>
      </c>
      <c r="BT79" s="7">
        <f>IFERROR(AVERAGEIF('Данные 1st'!$S$2:$S$317,$A79,'Данные 1st'!$EV$2:$EV$317),"")</f>
        <v>981.4</v>
      </c>
      <c r="BU79" s="7">
        <f>IFERROR(AVERAGEIF('Данные 1st'!$S$2:$S$317,$A79,'Данные 1st'!$EX$2:$EX$317),"")</f>
        <v>50</v>
      </c>
      <c r="BV79" s="7">
        <f>IFERROR(AVERAGEIF('Данные 1st'!$S$2:$S$317,$A79,'Данные 1st'!$EY$2:$EY$317),"")</f>
        <v>2</v>
      </c>
      <c r="BW79" s="7">
        <f>IFERROR(AVERAGEIF('Данные 1st'!$S$2:$S$317,$A79,'Данные 1st'!$EZ$2:$EZ$317),"")</f>
        <v>4.26</v>
      </c>
      <c r="BX79" s="7">
        <f>IFERROR(AVERAGEIF('Данные 1st'!$S$2:$S$317,$A79,'Данные 1st'!$FA$2:$FA$317),"")</f>
        <v>1300.4</v>
      </c>
      <c r="BY79" s="7">
        <f>IFERROR(AVERAGEIF('Данные 1st'!$S$2:$S$317,$A79,'Данные 1st'!$FB$2:$FB$317),"")</f>
        <v>150.44</v>
      </c>
      <c r="BZ79" s="7">
        <f>IFERROR(AVERAGEIF('Данные 1st'!$S$2:$S$317,$A79,'Данные 1st'!$FC$2:$FC$317),"")</f>
        <v>195.6</v>
      </c>
      <c r="CA79" s="7">
        <f>IFERROR(AVERAGEIF('Данные 1st'!$S$2:$S$317,$A79,'Данные 1st'!$FE$2:$FE$317),"")</f>
        <v>0</v>
      </c>
      <c r="CB79" s="7">
        <f>IFERROR(AVERAGEIF('Данные 1st'!$S$2:$S$317,$A79,'Данные 1st'!$FF$2:$FF$317),"")</f>
        <v>2</v>
      </c>
      <c r="CC79" s="7">
        <f>IFERROR(AVERAGEIF('Данные 1st'!$S$2:$S$317,$A79,'Данные 1st'!$FI$2:$FI$317),"")</f>
        <v>0</v>
      </c>
      <c r="CD79" s="7">
        <f>IFERROR(AVERAGEIF('Данные 1st'!$S$2:$S$317,$A79,'Данные 1st'!$FL$2:$FL$317),"")</f>
        <v>0.4</v>
      </c>
      <c r="CE79" s="7">
        <f>IFERROR(AVERAGEIF('Данные 1st'!$S$2:$S$317,$A79,'Данные 1st'!$FM$2:$FM$317),"")</f>
        <v>73</v>
      </c>
      <c r="CF79" s="7">
        <f>IFERROR(AVERAGEIF('Данные 1st'!$S$2:$S$317,$A79,'Данные 1st'!$FN$2:$FN$317),"")</f>
        <v>398</v>
      </c>
      <c r="CG79" s="7">
        <f>IFERROR(AVERAGEIF('Данные 1st'!$S$2:$S$317,$A79,'Данные 1st'!$FO$2:$FO$317),"")</f>
        <v>107.5</v>
      </c>
      <c r="CH79" s="7">
        <f>IFERROR(AVERAGEIF('Данные 1st'!$S$2:$S$317,$A79,'Данные 1st'!$FP$2:$FP$317),"")</f>
        <v>162.5</v>
      </c>
      <c r="CI79" s="7">
        <f>IFERROR(AVERAGEIF('Данные 1st'!$S$2:$S$317,$A79,'Данные 1st'!$FS$2:$FS$317),"")</f>
        <v>0.4</v>
      </c>
      <c r="CJ79" s="7">
        <f>IFERROR(AVERAGEIF('Данные 1st'!$S$2:$S$317,$A79,'Данные 1st'!$FT$2:$FT$317),"")</f>
        <v>30</v>
      </c>
      <c r="CK79" s="7">
        <f>IFERROR(AVERAGEIF('Данные 1st'!$S$2:$S$317,$A79,'Данные 1st'!$FU$2:$FU$317),"")</f>
        <v>660</v>
      </c>
      <c r="CL79" s="7">
        <f>IFERROR(AVERAGEIF('Данные 1st'!$S$2:$S$317,$A79,'Данные 1st'!$FV$2:$FV$317),"")</f>
        <v/>
      </c>
      <c r="CM79" s="7">
        <f>IFERROR(AVERAGEIF('Данные 1st'!$S$2:$S$317,$A79,'Данные 1st'!$FW$2:$FW$317),"")</f>
        <v/>
      </c>
      <c r="CN79" s="7">
        <f>IFERROR(AVERAGEIF('Данные 1st'!$S$2:$S$317,$A79,'Данные 1st'!$FZ$2:$FZ$317),"")</f>
        <v/>
      </c>
      <c r="CO79" s="7">
        <f>IFERROR(AVERAGEIF('Данные 1st'!$S$2:$S$317,$A79,'Данные 1st'!$GA$2:$GA$317),"")</f>
        <v/>
      </c>
      <c r="CP79" s="7">
        <f>IFERROR(AVERAGEIF('Данные 1st'!$S$2:$S$317,$A79,'Данные 1st'!$GB$2:$GB$317),"")</f>
        <v/>
      </c>
      <c r="CQ79" s="7">
        <f>IFERROR(AVERAGEIF('Данные 1st'!$S$2:$S$317,$A79,'Данные 1st'!$GH$2:$GH$317),"")</f>
        <v/>
      </c>
      <c r="CR79" s="7">
        <f>IFERROR(AVERAGEIF('Данные 1st'!$S$2:$S$317,$A79,'Данные 1st'!$GI$2:$GI$317),"")</f>
        <v/>
      </c>
      <c r="CS79" s="7">
        <f>IFERROR(AVERAGEIF('Данные 1st'!$S$2:$S$317,$A79,'Данные 1st'!$GJ$2:$GJ$317),"")</f>
        <v/>
      </c>
      <c r="CT79" s="7">
        <f>IFERROR(AVERAGEIF('Данные 1st'!$S$2:$S$317,$A79,'Данные 1st'!$GS$2:$GS$317),"")</f>
        <v>0.4</v>
      </c>
      <c r="CU79" s="7">
        <f>IFERROR(AVERAGEIF('Данные 1st'!$S$2:$S$317,$A79,'Данные 1st'!$GT$2:$GT$317),"")</f>
        <v>71</v>
      </c>
      <c r="CV79" s="7">
        <f>IFERROR(AVERAGEIF('Данные 1st'!$S$2:$S$317,$A79,'Данные 1st'!$GU$2:$GU$317),"")</f>
        <v>394</v>
      </c>
      <c r="CW79" s="7">
        <f>IFERROR(AVERAGEIF('Данные 1st'!$S$2:$S$317,$A79,'Данные 1st'!$GV$2:$GV$317),"")</f>
        <v/>
      </c>
      <c r="CX79" s="7">
        <f>IFERROR(AVERAGEIF('Данные 1st'!$S$2:$S$317,$A79,'Данные 1st'!$GW$2:$GW$317),"")</f>
        <v/>
      </c>
      <c r="CY79" s="7">
        <f>IFERROR(AVERAGEIF('Данные 1st'!$S$2:$S$317,$A79,'Данные 1st'!$GZ$2:$GZ$317),"")</f>
        <v/>
      </c>
      <c r="CZ79" s="7">
        <f>IFERROR(AVERAGEIF('Данные 1st'!$S$2:$S$317,$A79,'Данные 1st'!$HA$2:$HA$317),"")</f>
        <v/>
      </c>
      <c r="DA79" s="7">
        <f>IFERROR(AVERAGEIF('Данные 1st'!$S$2:$S$317,$A79,'Данные 1st'!$HB$2:$HB$317),"")</f>
        <v/>
      </c>
      <c r="DB79" s="7">
        <f>IFERROR(AVERAGEIF('Данные 1st'!$S$2:$S$317,$A79,'Данные 1st'!$HC$2:$HC$317),"")</f>
        <v>0.1</v>
      </c>
      <c r="DC79" s="7">
        <f>IFERROR(AVERAGEIF('Данные 1st'!$S$2:$S$317,$A79,'Данные 1st'!$HD$2:$HD$317),"")</f>
        <v>3</v>
      </c>
      <c r="DD79" s="7">
        <f>IFERROR(AVERAGEIF('Данные 1st'!$S$2:$S$317,$A79,'Данные 1st'!$HE$2:$HE$317),"")</f>
        <v>3</v>
      </c>
      <c r="DE79" s="7">
        <f>IFERROR(AVERAGEIF('Данные 1st'!$S$2:$S$317,$A79,'Данные 1st'!$HF$2:$HF$317),"")</f>
        <v>3</v>
      </c>
      <c r="DF79" s="7">
        <f>IFERROR(AVERAGEIF('Данные 1st'!$S$2:$S$317,$A79,'Данные 1st'!$HG$2:$HG$317),"")</f>
        <v>3</v>
      </c>
      <c r="DG79" s="7">
        <f>IFERROR(AVERAGEIF('Данные 1st'!$S$2:$S$317,$A79,'Данные 1st'!$HH$2:$HH$317),"")</f>
        <v>3</v>
      </c>
      <c r="DH79" s="7">
        <f>IFERROR(AVERAGEIF('Данные 1st'!$S$2:$S$317,$A79,'Данные 1st'!$HI$2:$HI$317),"")</f>
        <v>191</v>
      </c>
      <c r="DI79" s="7">
        <f>IFERROR(AVERAGEIF('Данные 1st'!$S$2:$S$317,$A79,'Данные 1st'!$HJ$2:$HJ$317),"")</f>
        <v>3</v>
      </c>
      <c r="DJ79" s="7">
        <f>IFERROR(AVERAGEIF('Данные 1st'!$S$2:$S$317,$A79,'Данные 1st'!$HK$2:$HK$317),"")</f>
        <v>35</v>
      </c>
      <c r="DK79" s="7">
        <f>IFERROR(AVERAGEIF('Данные 1st'!$S$2:$S$317,$A79,'Данные 1st'!$HL$2:$HL$317),"")</f>
        <v>2</v>
      </c>
      <c r="DL79" s="7">
        <f>IFERROR(AVERAGEIF('Данные 1st'!$S$2:$S$317,$A79,'Данные 1st'!$HM$2:$HM$317),"")</f>
        <v>0</v>
      </c>
      <c r="DM79" s="7">
        <f>IFERROR(AVERAGEIF('Данные 1st'!$S$2:$S$317,$A79,'Данные 1st'!$HN$2:$HN$317),"")</f>
        <v>2</v>
      </c>
      <c r="DN79" s="7">
        <f>IFERROR(AVERAGEIF('Данные 1st'!$S$2:$S$317,$A79,'Данные 1st'!$HO$2:$HO$317),"")</f>
        <v>141</v>
      </c>
      <c r="DO79" s="7">
        <f>IFERROR(AVERAGEIF('Данные 1st'!$S$2:$S$317,$A79,'Данные 1st'!$HP$2:$HP$317),"")</f>
        <v>3</v>
      </c>
      <c r="DP79" s="7">
        <f>IFERROR(AVERAGEIF('Данные 1st'!$S$2:$S$317,$A79,'Данные 1st'!$HQ$2:$HQ$317),"")</f>
        <v>0</v>
      </c>
      <c r="DQ79" s="7">
        <f>IFERROR(AVERAGEIF('Данные 1st'!$S$2:$S$317,$A79,'Данные 1st'!$HR$2:$HR$317),"")</f>
        <v>2</v>
      </c>
      <c r="DR79" s="7">
        <f>IFERROR(AVERAGEIF('Данные 1st'!$S$2:$S$317,$A79,'Данные 1st'!$HS$2:$HS$317),"")</f>
        <v>7266.4</v>
      </c>
      <c r="DS79" s="7">
        <f>IFERROR(AVERAGEIF('Данные 1st'!$S$2:$S$317,$A79,'Данные 1st'!$HT$2:$HT$317),"")</f>
        <v>218</v>
      </c>
      <c r="DT79" s="7">
        <f>IFERROR(AVERAGEIF('Данные 1st'!$S$2:$S$317,$A79,'Данные 1st'!$HU$2:$HU$317),"")</f>
        <v>180</v>
      </c>
      <c r="DU79" s="7">
        <f>IFERROR(AVERAGEIF('Данные 1st'!$S$2:$S$317,$A79,'Данные 1st'!$HW$2:$HW$317),"")</f>
        <v>0</v>
      </c>
      <c r="DV79" s="7">
        <f>IFERROR(AVERAGEIF('Данные 1st'!$S$2:$S$317,$A79,'Данные 1st'!$HX$2:$HX$317),"")</f>
        <v>561.2</v>
      </c>
      <c r="DW79" s="7">
        <f>IFERROR(AVERAGEIF('Данные 1st'!$S$2:$S$317,$A79,'Данные 1st'!$HY$2:$HY$317),"")</f>
        <v>0.18</v>
      </c>
      <c r="DX79" s="7">
        <f>IFERROR(AVERAGEIF('Данные 1st'!$S$2:$S$317,$A79,'Данные 1st'!$IA$2:$IA$317),"")</f>
        <v>0.15</v>
      </c>
      <c r="DY79" s="7">
        <f>IFERROR(AVERAGEIF('Данные 1st'!$S$2:$S$317,$A79,'Данные 1st'!$IB$2:$IB$317),"")</f>
        <v>0</v>
      </c>
      <c r="DZ79" s="7">
        <f>IFERROR(AVERAGEIF('Данные 1st'!$S$2:$S$317,$A79,'Данные 1st'!$IC$2:$IC$317),"")</f>
        <v>180</v>
      </c>
      <c r="EA79" s="7">
        <f>IFERROR(AVERAGEIF('Данные 1st'!$S$2:$S$317,$A79,'Данные 1st'!$ID$2:$ID$317),"")</f>
        <v>110</v>
      </c>
      <c r="EB79" s="7">
        <f>IFERROR(AVERAGEIF('Данные 1st'!$S$2:$S$317,$A79,'Данные 1st'!$IE$2:$IE$317),"")</f>
        <v>225</v>
      </c>
      <c r="EC79" s="7">
        <f>IFERROR(AVERAGEIF('Данные 1st'!$S$2:$S$317,$A79,'Данные 1st'!$IF$2:$IF$317),"")</f>
        <v>0</v>
      </c>
      <c r="ED79" s="7">
        <f>IFERROR(AVERAGEIF('Данные 1st'!$S$2:$S$317,$A79,'Данные 1st'!$IP$2:$IP$317),"")</f>
        <v>17</v>
      </c>
      <c r="EE79" s="7">
        <f>IFERROR(AVERAGEIF('Данные 1st'!$S$2:$S$317,$A79,'Данные 1st'!$IV$2:$IV$317),"")</f>
        <v>1301</v>
      </c>
      <c r="EF79" s="7">
        <f>IFERROR(AVERAGEIF('Данные 1st'!$S$2:$S$317,$A79,'Данные 1st'!$IW$2:$IW$317),"")</f>
        <v>532</v>
      </c>
      <c r="EG79" s="7">
        <f>IFERROR(AVERAGEIF('Данные 1st'!$S$2:$S$317,$A79,'Данные 1st'!$IX$2:$IX$317),"")</f>
        <v/>
      </c>
      <c r="EH79" s="7">
        <f>IFERROR(AVERAGEIF('Данные 1st'!$S$2:$S$317,$A79,'Данные 1st'!$IY$2:$IY$317),"")</f>
        <v/>
      </c>
      <c r="EI79" s="7">
        <f>IFERROR(AVERAGEIF('Данные 1st'!$S$2:$S$317,$A79,'Данные 1st'!$JD$2:$JD$317),"")</f>
        <v>1318</v>
      </c>
      <c r="EJ79" s="7">
        <f>IFERROR(AVERAGEIF('Данные 1st'!$S$2:$S$317,$A79,'Данные 1st'!$JE$2:$JE$317),"")</f>
        <v>1312</v>
      </c>
      <c r="EK79" s="7">
        <f>IFERROR(AVERAGEIF('Данные 1st'!$S$2:$S$317,$A79,'Данные 1st'!$JF$2:$JF$317),"")</f>
        <v>1319.6</v>
      </c>
      <c r="EL79" s="7">
        <f>IFERROR(AVERAGEIF('Данные 1st'!$S$2:$S$317,$A79,'Данные 1st'!$JG$2:$JG$317),"")</f>
        <v>1300.4</v>
      </c>
      <c r="EM79" s="7">
        <f>IFERROR(AVERAGEIF('Данные 1st'!$S$2:$S$317,$A79,'Данные 1st'!$JH$2:$JH$317),"")</f>
        <v>0</v>
      </c>
      <c r="EN79" s="7">
        <f>IFERROR(AVERAGEIF('Данные 1st'!$S$2:$S$317,$A79,'Данные 1st'!$JJ$2:$JJ$317),"")</f>
        <v>180</v>
      </c>
      <c r="EO79" s="7">
        <f>IFERROR(AVERAGEIF('Данные 1st'!$S$2:$S$317,$A79,'Данные 1st'!$JK$2:$JK$317),"")</f>
        <v>561.2</v>
      </c>
      <c r="EP79" s="7">
        <f>IFERROR(AVERAGEIF('Данные 1st'!$S$2:$S$317,$A79,'Данные 1st'!$JL$2:$JL$317),"")</f>
        <v/>
      </c>
      <c r="EQ79" s="7">
        <f>IFERROR(AVERAGEIF('Данные 1st'!$S$2:$S$317,$A79,'Данные 1st'!$JM$2:$JM$317),"")</f>
        <v/>
      </c>
      <c r="ER79" s="7">
        <f>IFERROR(AVERAGEIF('Данные 1st'!$S$2:$S$317,$A79,'Данные 1st'!$JN$2:$JN$317),"")</f>
        <v>498</v>
      </c>
      <c r="ES79" s="7">
        <f>IFERROR(AVERAGEIF('Данные 1st'!$S$2:$S$317,$A79,'Данные 1st'!$JO$2:$JO$317),"")</f>
        <v>722</v>
      </c>
      <c r="ET79" s="7">
        <f>IFERROR(AVERAGEIF('Данные 1st'!$S$2:$S$317,$A79,'Данные 1st'!$JP$2:$JP$317),"")</f>
        <v>601</v>
      </c>
      <c r="EU79" s="7">
        <f>IFERROR(AVERAGEIF('Данные 1st'!$S$2:$S$317,$A79,'Данные 1st'!$JQ$2:$JQ$317),"")</f>
        <v>0</v>
      </c>
      <c r="EV79" s="7">
        <f>IFERROR(AVERAGEIF('Данные 1st'!$S$2:$S$317,$A79,'Данные 1st'!$JR$2:$JR$317),"")</f>
        <v>525.2</v>
      </c>
      <c r="EW79" s="7">
        <f>IFERROR(AVERAGEIF('Данные 1st'!$S$2:$S$317,$A79,'Данные 1st'!$JS$2:$JS$317),"")</f>
        <v>191</v>
      </c>
      <c r="EX79" s="7">
        <f>IFERROR(AVERAGEIF('Данные 1st'!$S$2:$S$317,$A79,'Данные 1st'!$JT$2:$JT$317),"")</f>
        <v/>
      </c>
      <c r="EY79" s="7">
        <f>IFERROR(AVERAGEIF('Данные 1st'!$S$2:$S$317,$A79,'Данные 1st'!$JU$2:$JU$317),"")</f>
        <v/>
      </c>
      <c r="EZ79" s="7">
        <f>IFERROR(AVERAGEIF('Данные 1st'!$S$2:$S$317,$A79,'Данные 1st'!$JV$2:$JV$317),"")</f>
        <v>8.4</v>
      </c>
      <c r="FA79" s="7">
        <f>IFERROR(AVERAGEIF('Данные 1st'!$S$2:$S$317,$A79,'Данные 1st'!$JW$2:$JW$317),"")</f>
        <v/>
      </c>
      <c r="FB79" s="7">
        <f>IFERROR(AVERAGEIF('Данные 1st'!$S$2:$S$317,$A79,'Данные 1st'!$JX$2:$JX$317),"")</f>
        <v>465.2</v>
      </c>
      <c r="FC79" s="7">
        <f>IFERROR(AVERAGEIF('Данные 1st'!$S$2:$S$317,$A79,'Данные 1st'!$JY$2:$JY$317),"")</f>
        <v/>
      </c>
      <c r="FD79" s="7">
        <f>IFERROR(AVERAGEIF('Данные 1st'!$S$2:$S$317,$A79,'Данные 1st'!$JZ$2:$JZ$317),"")</f>
        <v/>
      </c>
      <c r="FE79" s="7">
        <f>IFERROR(AVERAGEIF('Данные 1st'!$S$2:$S$317,$A79,'Данные 1st'!$KA$2:$KA$317),"")</f>
        <v>225</v>
      </c>
      <c r="FF79" s="7">
        <f>IFERROR(AVERAGEIF('Данные 1st'!$S$2:$S$317,$A79,'Данные 1st'!$KB$2:$KB$317),"")</f>
        <v>110</v>
      </c>
      <c r="FG79" s="7">
        <f>IFERROR(AVERAGEIF('Данные 1st'!$S$2:$S$317,$A79,'Данные 1st'!$KC$2:$KC$317),"")</f>
        <v>0</v>
      </c>
      <c r="FH79" s="7">
        <f>IFERROR(AVERAGEIF('Данные 1st'!$S$2:$S$317,$A79,'Данные 1st'!$KD$2:$KD$317),"")</f>
        <v>80</v>
      </c>
      <c r="FI79" s="7">
        <f>IFERROR(AVERAGEIF('Данные 1st'!$S$2:$S$317,$A79,'Данные 1st'!$KE$2:$KE$317),"")</f>
        <v/>
      </c>
      <c r="FJ79" s="7">
        <f>IFERROR(AVERAGEIF('Данные 1st'!$S$2:$S$317,$A79,'Данные 1st'!$KF$2:$KF$317),"")</f>
        <v>4</v>
      </c>
      <c r="FK79" s="7">
        <f>IFERROR(AVERAGEIF('Данные 1st'!$S$2:$S$317,$A79,'Данные 1st'!$KG$2:$KG$317),"")</f>
        <v>2.3</v>
      </c>
      <c r="FL79" s="7">
        <f>IFERROR(AVERAGEIF('Данные 1st'!$S$2:$S$317,$A79,'Данные 1st'!$KH$2:$KH$317),"")</f>
        <v>2</v>
      </c>
      <c r="FM79" s="7">
        <f>IFERROR(AVERAGEIF('Данные 1st'!$S$2:$S$317,$A79,'Данные 1st'!$KI$2:$KI$317),"")</f>
        <v>2</v>
      </c>
      <c r="FN79" s="7">
        <f>IFERROR(AVERAGEIF('Данные 1st'!$S$2:$S$317,$A79,'Данные 1st'!$KJ$2:$KJ$317),"")</f>
        <v>0</v>
      </c>
      <c r="FO79" s="7">
        <f>IFERROR(AVERAGEIF('Данные 1st'!$S$2:$S$317,$A79,'Данные 1st'!$KK$2:$KK$317),"")</f>
        <v>1.5</v>
      </c>
      <c r="FP79" s="7">
        <f>IFERROR(AVERAGEIF('Данные 1st'!$S$2:$S$317,$A79,'Данные 1st'!$KL$2:$KL$317),"")</f>
        <v>1.5</v>
      </c>
      <c r="FQ79" s="7">
        <f>IFERROR(AVERAGEIF('Данные 1st'!$S$2:$S$317,$A79,'Данные 1st'!$KM$2:$KM$317),"")</f>
        <v>0</v>
      </c>
      <c r="FR79" s="7">
        <f>IFERROR(AVERAGEIF('Данные 1st'!$S$2:$S$317,$A79,'Данные 1st'!$KN$2:$KN$317),"")</f>
        <v>0</v>
      </c>
      <c r="FS79" s="7">
        <f>IFERROR(AVERAGEIF('Данные 1st'!$S$2:$S$317,$A79,'Данные 1st'!$KR$2:$KR$317),"")</f>
        <v>30</v>
      </c>
      <c r="FT79" s="7">
        <f>IFERROR(AVERAGEIF('Данные 1st'!$S$2:$S$317,$A79,'Данные 1st'!$KS$2:$KS$317),"")</f>
        <v>60</v>
      </c>
      <c r="FU79" s="7">
        <f>IFERROR(AVERAGEIF('Данные 1st'!$S$2:$S$317,$A79,'Данные 1st'!$KT$2:$KT$317),"")</f>
        <v>0</v>
      </c>
      <c r="FV79" s="7">
        <f>IFERROR(AVERAGEIF('Данные 1st'!$S$2:$S$317,$A79,'Данные 1st'!$KV$2:$KV$317),"")</f>
        <v/>
      </c>
      <c r="FW79" s="7">
        <f>IFERROR(AVERAGEIF('Данные 1st'!$S$2:$S$317,$A79,'Данные 1st'!$KW$2:$KW$317),"")</f>
        <v/>
      </c>
      <c r="FX79" s="7">
        <f>IFERROR(AVERAGEIF('Данные 1st'!$S$2:$S$317,$A79,'Данные 1st'!$KX$2:$KX$317),"")</f>
        <v/>
      </c>
      <c r="FY79" s="7">
        <f>IFERROR(AVERAGEIF('Данные 1st'!$S$2:$S$317,$A79,'Данные 1st'!$KY$2:$KY$317),"")</f>
        <v/>
      </c>
      <c r="FZ79" s="7">
        <f>IFERROR(AVERAGEIF('Данные 1st'!$S$2:$S$317,$A79,'Данные 1st'!$KZ$2:$KZ$317),"")</f>
        <v/>
      </c>
      <c r="GA79" s="7">
        <f>IFERROR(AVERAGEIF('Данные 1st'!$S$2:$S$317,$A79,'Данные 1st'!$LA$2:$LA$317),"")</f>
        <v/>
      </c>
      <c r="GB79" s="7">
        <f>IFERROR(AVERAGEIF('Данные 1st'!$S$2:$S$317,$A79,'Данные 1st'!$LB$2:$LB$317),"")</f>
        <v/>
      </c>
      <c r="GC79" s="7">
        <f>IFERROR(AVERAGEIF('Данные 1st'!$S$2:$S$317,$A79,'Данные 1st'!$LC$2:$LC$317),"")</f>
        <v/>
      </c>
      <c r="GD79" s="7">
        <f>IFERROR(AVERAGEIF('Данные 1st'!$S$2:$S$317,$A79,'Данные 1st'!$LD$2:$LD$317),"")</f>
        <v/>
      </c>
      <c r="GE79" s="7">
        <f>IFERROR(AVERAGEIF('Данные 1st'!$S$2:$S$317,$A79,'Данные 1st'!$LE$2:$LE$317),"")</f>
        <v/>
      </c>
      <c r="GF79" s="7">
        <f>IFERROR(AVERAGEIF('Данные 1st'!$S$2:$S$317,$A79,'Данные 1st'!$LF$2:$LF$317),"")</f>
        <v/>
      </c>
      <c r="GG79" s="7">
        <f>IFERROR(AVERAGEIF('Данные 1st'!$S$2:$S$317,$A79,'Данные 1st'!$LG$2:$LG$317),"")</f>
        <v/>
      </c>
      <c r="GH79" s="7">
        <f>IFERROR(AVERAGEIF('Данные 1st'!$S$2:$S$317,$A79,'Данные 1st'!$LH$2:$LH$317),"")</f>
        <v/>
      </c>
      <c r="GI79" s="7">
        <f>IFERROR(AVERAGEIF('Данные 1st'!$S$2:$S$317,$A79,'Данные 1st'!$LI$2:$LI$317),"")</f>
        <v/>
      </c>
      <c r="GJ79" s="7">
        <f>IFERROR(AVERAGEIF('Данные 1st'!$S$2:$S$317,$A79,'Данные 1st'!$LJ$2:$LJ$317),"")</f>
        <v/>
      </c>
      <c r="GK79" s="7">
        <f>IFERROR(AVERAGEIF('Данные 1st'!$S$2:$S$317,$A79,'Данные 1st'!$LK$2:$LK$317),"")</f>
        <v>480</v>
      </c>
      <c r="GL79" s="7">
        <f>IFERROR(AVERAGEIF('Данные 1st'!$S$2:$S$317,$A79,'Данные 1st'!$LV$2:$LV$317),"")</f>
        <v/>
      </c>
      <c r="GM79" s="7">
        <f>IFERROR(AVERAGEIF('Данные 1st'!$S$2:$S$317,$A79,'Данные 1st'!$LW$2:$LW$317),"")</f>
        <v/>
      </c>
      <c r="GN79" s="7">
        <f>IFERROR(AVERAGEIF('Данные 1st'!$S$2:$S$317,$A79,'Данные 1st'!$LX$2:$LX$317),"")</f>
        <v/>
      </c>
      <c r="GO79" s="7">
        <f>IFERROR(AVERAGEIF('Данные 1st'!$S$2:$S$317,$A79,'Данные 1st'!$LY$2:$LY$317),"")</f>
        <v/>
      </c>
      <c r="GP79" s="7">
        <f>IFERROR(AVERAGEIF('Данные 1st'!$S$2:$S$317,$A79,'Данные 1st'!$LZ$2:$LZ$317),"")</f>
        <v/>
      </c>
      <c r="GQ79" s="7">
        <f>IFERROR(AVERAGEIF('Данные 1st'!$S$2:$S$317,$A79,'Данные 1st'!$PG$2:$PG$317),"")</f>
        <v>1</v>
      </c>
      <c r="GR79" s="7">
        <f>IFERROR(AVERAGEIF('Данные 1st'!$S$2:$S$317,$A79,'Данные 1st'!$PX$2:$PX$317),"")</f>
        <v>56</v>
      </c>
      <c r="GS79" s="7">
        <f>IFERROR(AVERAGEIF('Данные 1st'!$S$2:$S$317,$A79,'Данные 1st'!$PY$2:$PY$317),"")</f>
        <v>56.4</v>
      </c>
      <c r="GT79" s="7">
        <f>IFERROR(AVERAGEIF('Данные 1st'!$S$2:$S$317,$A79,'Данные 1st'!$QA$2:$QA$317),"")</f>
        <v>1.4</v>
      </c>
      <c r="GU79" s="7">
        <f>IFERROR(AVERAGEIF('Данные 1st'!$S$2:$S$317,$A79,'Данные 1st'!$QB$2:$QB$317),"")</f>
        <v>1300.4</v>
      </c>
      <c r="GV79" s="7">
        <f>IFERROR(AVERAGEIF('Данные 1st'!$S$2:$S$317,$A79,'Данные 1st'!$QC$2:$QC$317),"")</f>
        <v>69</v>
      </c>
      <c r="GW79" s="7">
        <f>IFERROR(AVERAGEIF('Данные 1st'!$S$2:$S$317,$A79,'Данные 1st'!$QD$2:$QD$317),"")</f>
        <v>69</v>
      </c>
      <c r="GX79" s="7">
        <f>IFERROR(AVERAGEIF('Данные 1st'!$S$2:$S$317,$A79,'Данные 1st'!$QF$2:$QF$317),"")</f>
        <v>1</v>
      </c>
      <c r="GY79" s="7">
        <f>IFERROR(AVERAGEIF('Данные 1st'!$S$2:$S$317,$A79,'Данные 1st'!$QG$2:$QG$317),"")</f>
        <v>1318</v>
      </c>
      <c r="GZ79" s="7">
        <f>IFERROR(AVERAGEIF('Данные 1st'!$S$2:$S$317,$A79,'Данные 1st'!$QH$2:$QH$317),"")</f>
        <v>66</v>
      </c>
      <c r="HA79" s="7">
        <f>IFERROR(AVERAGEIF('Данные 1st'!$S$2:$S$317,$A79,'Данные 1st'!$QI$2:$QI$317),"")</f>
        <v>66</v>
      </c>
      <c r="HB79" s="7">
        <f>IFERROR(AVERAGEIF('Данные 1st'!$S$2:$S$317,$A79,'Данные 1st'!$QK$2:$QK$317),"")</f>
        <v>1</v>
      </c>
      <c r="HC79" s="7">
        <f>IFERROR(AVERAGEIF('Данные 1st'!$S$2:$S$317,$A79,'Данные 1st'!$QL$2:$QL$317),"")</f>
        <v>1055.2</v>
      </c>
      <c r="HD79" s="7">
        <f>IFERROR(AVERAGEIF('Данные 1st'!$S$2:$S$317,$A79,'Данные 1st'!$QM$2:$QM$317),"")</f>
        <v>62</v>
      </c>
      <c r="HE79" s="7">
        <f>IFERROR(AVERAGEIF('Данные 1st'!$S$2:$S$317,$A79,'Данные 1st'!$QN$2:$QN$317),"")</f>
        <v>62</v>
      </c>
      <c r="HF79" s="7">
        <f>IFERROR(AVERAGEIF('Данные 1st'!$S$2:$S$317,$A79,'Данные 1st'!$QP$2:$QP$317),"")</f>
        <v>1</v>
      </c>
      <c r="HG79" s="7">
        <f>IFERROR(AVERAGEIF('Данные 1st'!$S$2:$S$317,$A79,'Данные 1st'!$QQ$2:$QQ$317),"")</f>
        <v>1312</v>
      </c>
      <c r="HH79" s="7">
        <f>IFERROR(AVERAGEIF('Данные 1st'!$S$2:$S$317,$A79,'Данные 1st'!$QR$2:$QR$317),"")</f>
        <v>62</v>
      </c>
      <c r="HI79" s="7">
        <f>IFERROR(AVERAGEIF('Данные 1st'!$S$2:$S$317,$A79,'Данные 1st'!$QS$2:$QS$317),"")</f>
        <v>62</v>
      </c>
      <c r="HJ79" s="7">
        <f>IFERROR(AVERAGEIF('Данные 1st'!$S$2:$S$317,$A79,'Данные 1st'!$QU$2:$QU$317),"")</f>
        <v>1</v>
      </c>
      <c r="HK79" s="7">
        <f>IFERROR(AVERAGEIF('Данные 1st'!$S$2:$S$317,$A79,'Данные 1st'!$QV$2:$QV$317),"")</f>
        <v>1319.6</v>
      </c>
      <c r="HL79" s="7">
        <f>IFERROR(AVERAGEIF('Данные 1st'!$S$2:$S$317,$A79,'Данные 1st'!$QW$2:$QW$317),"")</f>
        <v>82</v>
      </c>
      <c r="HM79" s="7">
        <f>IFERROR(AVERAGEIF('Данные 1st'!$S$2:$S$317,$A79,'Данные 1st'!$QX$2:$QX$317),"")</f>
        <v>88.6</v>
      </c>
      <c r="HN79" s="7">
        <f>IFERROR(AVERAGEIF('Данные 1st'!$S$2:$S$317,$A79,'Данные 1st'!$QZ$2:$QZ$317),"")</f>
        <v>1.2</v>
      </c>
      <c r="HO79" s="7">
        <f>IFERROR(AVERAGEIF('Данные 1st'!$S$2:$S$317,$A79,'Данные 1st'!$RA$2:$RA$317),"")</f>
        <v>66</v>
      </c>
      <c r="HP79" s="7">
        <f>IFERROR(AVERAGEIF('Данные 1st'!$S$2:$S$317,$A79,'Данные 1st'!$RB$2:$RB$317),"")</f>
        <v>66</v>
      </c>
      <c r="HQ79" s="7">
        <f>IFERROR(AVERAGEIF('Данные 1st'!$S$2:$S$317,$A79,'Данные 1st'!$RD$2:$RD$317),"")</f>
        <v/>
      </c>
      <c r="HR79" s="7">
        <f>IFERROR(AVERAGEIF('Данные 1st'!$S$2:$S$317,$A79,'Данные 1st'!$RE$2:$RE$317),"")</f>
        <v>0</v>
      </c>
      <c r="HS79" s="7">
        <f>IFERROR(AVERAGEIF('Данные 1st'!$S$2:$S$317,$A79,'Данные 1st'!$RF$2:$RF$317),"")</f>
        <v>1</v>
      </c>
      <c r="HT79" s="7">
        <f>IFERROR(AVERAGEIF('Данные 1st'!$S$2:$S$317,$A79,'Данные 1st'!$RG$2:$RG$317),"")</f>
        <v/>
      </c>
      <c r="HU79" s="7">
        <f>IFERROR(AVERAGEIF('Данные 1st'!$S$2:$S$317,$A79,'Данные 1st'!$RH$2:$RH$317),"")</f>
        <v>1</v>
      </c>
      <c r="HV79" s="7">
        <f>IFERROR(AVERAGEIF('Данные 1st'!$S$2:$S$317,$A79,'Данные 1st'!$RI$2:$RI$317),"")</f>
        <v/>
      </c>
      <c r="HW79" s="7">
        <f>IFERROR(AVERAGEIF('Данные 1st'!$S$2:$S$317,$A79,'Данные 1st'!$RJ$2:$RJ$317),"")</f>
        <v>1.2</v>
      </c>
      <c r="HX79" s="7">
        <f>IFERROR(AVERAGEIF('Данные 1st'!$S$2:$S$317,$A79,'Данные 1st'!$RK$2:$RK$317),"")</f>
        <v>2.5</v>
      </c>
      <c r="HY79" s="7">
        <f>IFERROR(AVERAGEIF('Данные 1st'!$S$2:$S$317,$A79,'Данные 1st'!$RL$2:$RL$317),"")</f>
        <v>1.8</v>
      </c>
      <c r="HZ79" s="7">
        <f>IFERROR(AVERAGEIF('Данные 1st'!$S$2:$S$317,$A79,'Данные 1st'!$RM$2:$RM$317),"")</f>
        <v>1.8</v>
      </c>
      <c r="IA79" s="7">
        <f>IFERROR(AVERAGEIF('Данные 1st'!$S$2:$S$317,$A79,'Данные 1st'!$RN$2:$RN$317),"")</f>
        <v/>
      </c>
      <c r="IB79" s="7">
        <f>IFERROR(AVERAGEIF('Данные 1st'!$S$2:$S$317,$A79,'Данные 1st'!$RO$2:$RO$317),"")</f>
        <v>705.8</v>
      </c>
      <c r="IC79" s="7">
        <f>IFERROR(AVERAGEIF('Данные 1st'!$S$2:$S$317,$A79,'Данные 1st'!$RP$2:$RP$317),"")</f>
        <v>135.5</v>
      </c>
      <c r="ID79" s="7">
        <f>IFERROR(AVERAGEIF('Данные 1st'!$S$2:$S$317,$A79,'Данные 1st'!$RQ$2:$RQ$317),"")</f>
        <v>1124</v>
      </c>
      <c r="IE79" s="7">
        <f>IFERROR(AVERAGEIF('Данные 1st'!$S$2:$S$317,$A79,'Данные 1st'!$RR$2:$RR$317),"")</f>
        <v>877.6</v>
      </c>
      <c r="IF79" s="7">
        <f>IFERROR(AVERAGEIF('Данные 1st'!$S$2:$S$317,$A79,'Данные 1st'!$RS$2:$RS$317),"")</f>
        <v/>
      </c>
      <c r="IG79" s="7">
        <f>IFERROR(AVERAGEIF('Данные 1st'!$S$2:$S$317,$A79,'Данные 1st'!$RT$2:$RT$317),"")</f>
        <v>310.4</v>
      </c>
      <c r="IH79" s="7">
        <f>IFERROR(AVERAGEIF('Данные 1st'!$S$2:$S$317,$A79,'Данные 1st'!$RU$2:$RU$317),"")</f>
        <v>292.8</v>
      </c>
      <c r="II79" s="7">
        <f>IFERROR(AVERAGEIF('Данные 1st'!$S$2:$S$317,$A79,'Данные 1st'!$RX$2:$RX$317),"")</f>
        <v>15</v>
      </c>
      <c r="IJ79" s="7">
        <f>IFERROR(AVERAGEIF('Данные 1st'!$S$2:$S$317,$A79,'Данные 1st'!$RY$2:$RY$317),"")</f>
        <v>4</v>
      </c>
      <c r="IK79" s="7">
        <f>IFERROR(AVERAGEIF('Данные 1st'!$S$2:$S$317,$A79,'Данные 1st'!$SA$2:$SA$317),"")</f>
        <v>15</v>
      </c>
      <c r="IL79" s="7">
        <f>IFERROR(AVERAGEIF('Данные 1st'!$S$2:$S$317,$A79,'Данные 1st'!$SD$2:$SD$317),"")</f>
        <v>1</v>
      </c>
      <c r="IM79" s="7">
        <f>IFERROR(AVERAGEIF('Данные 1st'!$S$2:$S$317,$A79,'Данные 1st'!$SG$2:$SG$317),"")</f>
        <v>1</v>
      </c>
      <c r="IN79" s="7">
        <f>IFERROR(AVERAGEIF('Данные 1st'!$S$2:$S$317,$A79,'Данные 1st'!$SH$2:$SH$317),"")</f>
        <v>0.995</v>
      </c>
      <c r="IO79" s="7">
        <f>IFERROR(AVERAGEIF('Данные 1st'!$S$2:$S$317,$A79,'Данные 1st'!$SI$2:$SI$317),"")</f>
        <v>0.995</v>
      </c>
      <c r="IP79" s="7">
        <f>IFERROR(AVERAGEIF('Данные 1st'!$S$2:$S$317,$A79,'Данные 1st'!$SJ$2:$SJ$317),"")</f>
        <v>0.995</v>
      </c>
      <c r="IQ79" s="7">
        <f>IFERROR(AVERAGEIF('Данные 1st'!$S$2:$S$317,$A79,'Данные 1st'!$SK$2:$SK$317),"")</f>
        <v>15</v>
      </c>
      <c r="IR79" s="7">
        <f>IFERROR(AVERAGEIF('Данные 1st'!$S$2:$S$317,$A79,'Данные 1st'!$SL$2:$SL$317),"")</f>
        <v>0</v>
      </c>
      <c r="IS79" s="7">
        <f>IFERROR(AVERAGEIF('Данные 1st'!$S$2:$S$317,$A79,'Данные 1st'!$SM$2:$SM$317),"")</f>
        <v>0</v>
      </c>
      <c r="IT79" s="7">
        <f>IFERROR(AVERAGEIF('Данные 1st'!$S$2:$S$317,$A79,'Данные 1st'!$SN$2:$SN$317),"")</f>
        <v>0</v>
      </c>
      <c r="IU79" s="7">
        <f>IFERROR(AVERAGEIF('Данные 1st'!$S$2:$S$317,$A79,'Данные 1st'!$SO$2:$SO$317),"")</f>
        <v>0</v>
      </c>
      <c r="IV79" s="7">
        <f>IFERROR(AVERAGEIF('Данные 1st'!$S$2:$S$317,$A79,'Данные 1st'!$SP$2:$SP$317),"")</f>
        <v>0</v>
      </c>
      <c r="IW79" s="7">
        <f>IFERROR(AVERAGEIF('Данные 1st'!$S$2:$S$317,$A79,'Данные 1st'!$SQ$2:$SQ$317),"")</f>
        <v>0</v>
      </c>
      <c r="IX79" s="7">
        <f>IFERROR(AVERAGEIF('Данные 1st'!$S$2:$S$317,$A79,'Данные 1st'!$SR$2:$SR$317),"")</f>
        <v>0</v>
      </c>
      <c r="IY79" s="7">
        <f>IFERROR(AVERAGEIF('Данные 1st'!$S$2:$S$317,$A79,'Данные 1st'!$SS$2:$SS$317),"")</f>
        <v>0</v>
      </c>
      <c r="IZ79" s="7">
        <f>IFERROR(AVERAGEIF('Данные 1st'!$S$2:$S$317,$A79,'Данные 1st'!$ST$2:$ST$317),"")</f>
        <v>0</v>
      </c>
      <c r="JA79" s="7">
        <f>IFERROR(AVERAGEIF('Данные 1st'!$S$2:$S$317,$A79,'Данные 1st'!$SU$2:$SU$317),"")</f>
        <v>0</v>
      </c>
      <c r="JB79" s="7">
        <f>IFERROR(AVERAGEIF('Данные 1st'!$S$2:$S$317,$A79,'Данные 1st'!$SV$2:$SV$317),"")</f>
        <v>0</v>
      </c>
      <c r="JC79" s="7">
        <f>IFERROR(AVERAGEIF('Данные 1st'!$S$2:$S$317,$A79,'Данные 1st'!$SW$2:$SW$317),"")</f>
        <v>0</v>
      </c>
      <c r="JD79" s="7">
        <f>IFERROR(AVERAGEIF('Данные 1st'!$S$2:$S$317,$A79,'Данные 1st'!$SX$2:$SX$317),"")</f>
        <v>0</v>
      </c>
      <c r="JE79" s="7">
        <f>IFERROR(AVERAGEIF('Данные 1st'!$S$2:$S$317,$A79,'Данные 1st'!$SY$2:$SY$317),"")</f>
        <v>1</v>
      </c>
      <c r="JF79" s="7">
        <f>IFERROR(AVERAGEIF('Данные 1st'!$S$2:$S$317,$A79,'Данные 1st'!$SZ$2:$SZ$317),"")</f>
        <v>1</v>
      </c>
      <c r="JG79" s="7">
        <f>IFERROR(AVERAGEIF('Данные 1st'!$S$2:$S$317,$A79,'Данные 1st'!$TA$2:$TA$317),"")</f>
        <v/>
      </c>
      <c r="JH79" s="7">
        <f>IFERROR(AVERAGEIF('Данные 1st'!$S$2:$S$317,$A79,'Данные 1st'!$TB$2:$TB$317),"")</f>
        <v>0</v>
      </c>
      <c r="JI79" s="7">
        <f>IFERROR(AVERAGEIF('Данные 1st'!$S$2:$S$317,$A79,'Данные 1st'!$TC$2:$TC$317),"")</f>
        <v>0</v>
      </c>
      <c r="JJ79" s="7">
        <f>IFERROR(AVERAGEIF('Данные 1st'!$S$2:$S$317,$A79,'Данные 1st'!$TD$2:$TD$317),"")</f>
        <v>7.88</v>
      </c>
      <c r="JK79" s="7">
        <f>IFERROR(AVERAGEIF('Данные 1st'!$S$2:$S$317,$A79,'Данные 1st'!$TN$2:$TN$317),"")</f>
        <v>0</v>
      </c>
      <c r="JL79">
        <f>COUNTIF('Данные 2st'!$Q$2:$Q$317,$A79)</f>
        <v>5</v>
      </c>
      <c r="JM79" s="6" t="s">
        <v>5121</v>
      </c>
      <c r="JN79" s="6" t="s">
        <v>513</v>
      </c>
      <c r="JO79" s="6" t="s">
        <v>5125</v>
      </c>
      <c r="JP79" s="6" t="s">
        <v>5523</v>
      </c>
      <c r="JQ79" s="7">
        <f>IFERROR(AVERAGEIF('Данные 2st'!$Q$2:$Q$317,$A79,'Данные 2st'!$AC$2:$AC$317),"")</f>
        <v>10.2</v>
      </c>
      <c r="JR79" s="7">
        <f>IFERROR(AVERAGEIF('Данные 2st'!$Q$2:$Q$317,$A79,'Данные 2st'!$AF$2:$AF$317),"")</f>
        <v>7266.4</v>
      </c>
      <c r="JS79" s="7">
        <f>IFERROR(AVERAGEIF('Данные 2st'!$Q$2:$Q$317,$A79,'Данные 2st'!$AW$2:$AW$317),"")</f>
        <v>6.4</v>
      </c>
      <c r="JT79" s="7">
        <f>IFERROR(AVERAGEIF('Данные 2st'!$Q$2:$Q$317,$A79,'Данные 2st'!$AX$2:$AX$317),"")</f>
        <v>-6</v>
      </c>
      <c r="JU79" s="7">
        <f>IFERROR(AVERAGEIF('Данные 2st'!$Q$2:$Q$317,$A79,'Данные 2st'!$AY$2:$AY$317),"")</f>
        <v>111.8</v>
      </c>
      <c r="JV79" s="7">
        <f>IFERROR(AVERAGEIF('Данные 2st'!$Q$2:$Q$317,$A79,'Данные 2st'!$AZ$2:$AZ$317),"")</f>
        <v>85.5</v>
      </c>
      <c r="JW79" s="7">
        <f>IFERROR(AVERAGEIF('Данные 2st'!$Q$2:$Q$317,$A79,'Данные 2st'!$BA$2:$BA$317),"")</f>
        <v>70</v>
      </c>
      <c r="JX79" s="7">
        <f>IFERROR(AVERAGEIF('Данные 2st'!$Q$2:$Q$317,$A79,'Данные 2st'!$BB$2:$BB$317),"")</f>
        <v>100</v>
      </c>
      <c r="JY79" s="7">
        <f>IFERROR(AVERAGEIF('Данные 2st'!$Q$2:$Q$317,$A79,'Данные 2st'!$BC$2:$BC$317),"")</f>
        <v/>
      </c>
      <c r="JZ79" s="7">
        <f>IFERROR(AVERAGEIF('Данные 2st'!$Q$2:$Q$317,$A79,'Данные 2st'!$BH$2:$BH$317),"")</f>
        <v>111.8</v>
      </c>
      <c r="KA79" s="7">
        <f>IFERROR(AVERAGEIF('Данные 2st'!$Q$2:$Q$317,$A79,'Данные 2st'!$BI$2:$BI$317),"")</f>
        <v>26.3</v>
      </c>
      <c r="KB79" s="7">
        <f>IFERROR(AVERAGEIF('Данные 2st'!$Q$2:$Q$317,$A79,'Данные 2st'!$BJ$2:$BJ$317),"")</f>
        <v>85.5</v>
      </c>
      <c r="KC79" s="7">
        <f>IFERROR(AVERAGEIF('Данные 2st'!$Q$2:$Q$317,$A79,'Данные 2st'!$BK$2:$BK$317),"")</f>
        <v>2.8</v>
      </c>
      <c r="KD79" s="7">
        <f>IFERROR(AVERAGEIF('Данные 2st'!$Q$2:$Q$317,$A79,'Данные 2st'!$BL$2:$BL$317),"")</f>
        <v>223.6</v>
      </c>
      <c r="KE79" s="7">
        <f>IFERROR(AVERAGEIF('Данные 2st'!$Q$2:$Q$317,$A79,'Данные 2st'!$BM$2:$BM$317),"")</f>
        <v>-6</v>
      </c>
      <c r="KF79" s="7">
        <f>IFERROR(AVERAGEIF('Данные 2st'!$Q$2:$Q$317,$A79,'Данные 2st'!$BN$2:$BN$317),"")</f>
        <v>20</v>
      </c>
      <c r="KG79" s="7">
        <f>IFERROR(AVERAGEIF('Данные 2st'!$Q$2:$Q$317,$A79,'Данные 2st'!$BO$2:$BO$317),"")</f>
        <v>23.333333333333332</v>
      </c>
      <c r="KH79" s="7">
        <f>IFERROR(AVERAGEIF('Данные 2st'!$Q$2:$Q$317,$A79,'Данные 2st'!$BP$2:$BP$317),"")</f>
        <v>40</v>
      </c>
      <c r="KI79" s="7">
        <f>IFERROR(AVERAGEIF('Данные 2st'!$Q$2:$Q$317,$A79,'Данные 2st'!$BR$2:$BR$317),"")</f>
        <v>218</v>
      </c>
      <c r="KJ79" s="7">
        <f>IFERROR(AVERAGEIF('Данные 2st'!$Q$2:$Q$317,$A79,'Данные 2st'!$BS$2:$BS$317),"")</f>
        <v>207</v>
      </c>
      <c r="KK79" s="7">
        <f>IFERROR(AVERAGEIF('Данные 2st'!$Q$2:$Q$317,$A79,'Данные 2st'!$BT$2:$BT$317),"")</f>
        <v>2274</v>
      </c>
      <c r="KL79" s="7">
        <f>IFERROR(AVERAGEIF('Данные 2st'!$Q$2:$Q$317,$A79,'Данные 2st'!$CV$2:$CV$317),"")</f>
        <v>143.4</v>
      </c>
      <c r="KM79" s="7">
        <f>IFERROR(AVERAGEIF('Данные 2st'!$Q$2:$Q$317,$A79,'Данные 2st'!$CW$2:$CW$317),"")</f>
        <v>3</v>
      </c>
      <c r="KN79" s="7">
        <f>IFERROR(AVERAGEIF('Данные 2st'!$Q$2:$Q$317,$A79,'Данные 2st'!$CX$2:$CX$317),"")</f>
        <v>91.4</v>
      </c>
      <c r="KO79" s="7">
        <f>IFERROR(AVERAGEIF('Данные 2st'!$Q$2:$Q$317,$A79,'Данные 2st'!$CY$2:$CY$317),"")</f>
        <v>5</v>
      </c>
      <c r="KP79" s="7">
        <f>IFERROR(AVERAGEIF('Данные 2st'!$Q$2:$Q$317,$A79,'Данные 2st'!$CZ$2:$CZ$317),"")</f>
        <v>176.6</v>
      </c>
      <c r="KQ79" s="7">
        <f>IFERROR(AVERAGEIF('Данные 2st'!$Q$2:$Q$317,$A79,'Данные 2st'!$DA$2:$DA$317),"")</f>
        <v>5</v>
      </c>
      <c r="KR79" s="7">
        <f>IFERROR(AVERAGEIF('Данные 2st'!$Q$2:$Q$317,$A79,'Данные 2st'!$DB$2:$DB$317),"")</f>
        <v>15672</v>
      </c>
      <c r="KS79" s="7">
        <f>IFERROR(AVERAGEIF('Данные 2st'!$Q$2:$Q$317,$A79,'Данные 2st'!$DC$2:$DC$317),"")</f>
        <v>466</v>
      </c>
      <c r="KT79" s="7">
        <f>IFERROR(AVERAGEIF('Данные 2st'!$Q$2:$Q$317,$A79,'Данные 2st'!$DD$2:$DD$317),"")</f>
        <v>402.2</v>
      </c>
      <c r="KU79" s="7">
        <f>IFERROR(AVERAGEIF('Данные 2st'!$Q$2:$Q$317,$A79,'Данные 2st'!$DE$2:$DE$317),"")</f>
        <v>2399.2</v>
      </c>
      <c r="KV79" s="7">
        <f>IFERROR(AVERAGEIF('Данные 2st'!$Q$2:$Q$317,$A79,'Данные 2st'!$DF$2:$DF$317),"")</f>
        <v>2399.2</v>
      </c>
      <c r="KW79" s="7">
        <f>IFERROR(AVERAGEIF('Данные 2st'!$Q$2:$Q$317,$A79,'Данные 2st'!$DG$2:$DG$317),"")</f>
        <v>2414</v>
      </c>
      <c r="KX79" s="7">
        <f>IFERROR(AVERAGEIF('Данные 2st'!$Q$2:$Q$317,$A79,'Данные 2st'!$DH$2:$DH$317),"")</f>
        <v>1.75</v>
      </c>
      <c r="KY79" s="7">
        <f>IFERROR(AVERAGEIF('Данные 2st'!$Q$2:$Q$317,$A79,'Данные 2st'!$DI$2:$DI$317),"")</f>
        <v/>
      </c>
      <c r="KZ79" s="7">
        <f>IFERROR(AVERAGEIF('Данные 2st'!$Q$2:$Q$317,$A79,'Данные 2st'!$DK$2:$DK$317),"")</f>
        <v>218</v>
      </c>
      <c r="LA79" s="7">
        <f>IFERROR(AVERAGEIF('Данные 2st'!$Q$2:$Q$317,$A79,'Данные 2st'!$DM$2:$DM$317),"")</f>
        <v>63</v>
      </c>
      <c r="LB79" s="7">
        <f>IFERROR(AVERAGEIF('Данные 2st'!$Q$2:$Q$317,$A79,'Данные 2st'!$DN$2:$DN$317),"")</f>
        <v>1.28</v>
      </c>
      <c r="LC79" s="7">
        <f>IFERROR(AVERAGEIF('Данные 2st'!$Q$2:$Q$317,$A79,'Данные 2st'!$DO$2:$DO$317),"")</f>
        <v>1</v>
      </c>
      <c r="LD79" s="7">
        <f>IFERROR(AVERAGEIF('Данные 2st'!$Q$2:$Q$317,$A79,'Данные 2st'!$DP$2:$DP$317),"")</f>
        <v>2278</v>
      </c>
      <c r="LE79" s="7">
        <f>IFERROR(AVERAGEIF('Данные 2st'!$Q$2:$Q$317,$A79,'Данные 2st'!$DQ$2:$DQ$317),"")</f>
        <v>1209.2</v>
      </c>
      <c r="LF79" s="7">
        <f>IFERROR(AVERAGEIF('Данные 2st'!$Q$2:$Q$317,$A79,'Данные 2st'!$DS$2:$DS$317),"")</f>
        <v>207</v>
      </c>
      <c r="LG79" s="7">
        <f>IFERROR(AVERAGEIF('Данные 2st'!$Q$2:$Q$317,$A79,'Данные 2st'!$DU$2:$DU$317),"")</f>
        <v>63</v>
      </c>
      <c r="LH79" s="7">
        <f>IFERROR(AVERAGEIF('Данные 2st'!$Q$2:$Q$317,$A79,'Данные 2st'!$DV$2:$DV$317),"")</f>
        <v>1.28</v>
      </c>
      <c r="LI79" s="7">
        <f>IFERROR(AVERAGEIF('Данные 2st'!$Q$2:$Q$317,$A79,'Данные 2st'!$DW$2:$DW$317),"")</f>
        <v>1</v>
      </c>
      <c r="LJ79" s="7">
        <f>IFERROR(AVERAGEIF('Данные 2st'!$Q$2:$Q$317,$A79,'Данные 2st'!$DX$2:$DX$317),"")</f>
        <v>2291.2</v>
      </c>
      <c r="LK79" s="7">
        <f>IFERROR(AVERAGEIF('Данные 2st'!$Q$2:$Q$317,$A79,'Данные 2st'!$DY$2:$DY$317),"")</f>
        <v>1154.8</v>
      </c>
      <c r="LL79" s="7">
        <f>IFERROR(AVERAGEIF('Данные 2st'!$Q$2:$Q$317,$A79,'Данные 2st'!$EA$2:$EA$317),"")</f>
        <v>20</v>
      </c>
      <c r="LM79" s="7">
        <f>IFERROR(AVERAGEIF('Данные 2st'!$Q$2:$Q$317,$A79,'Данные 2st'!$EC$2:$EC$317),"")</f>
        <v>0.8</v>
      </c>
      <c r="LN79" s="7">
        <f>IFERROR(AVERAGEIF('Данные 2st'!$Q$2:$Q$317,$A79,'Данные 2st'!$ED$2:$ED$317),"")</f>
        <v>2278</v>
      </c>
      <c r="LO79" s="7">
        <f>IFERROR(AVERAGEIF('Данные 2st'!$Q$2:$Q$317,$A79,'Данные 2st'!$EE$2:$EE$317),"")</f>
        <v>79.8</v>
      </c>
      <c r="LP79" s="7">
        <f>IFERROR(AVERAGEIF('Данные 2st'!$Q$2:$Q$317,$A79,'Данные 2st'!$EG$2:$EG$317),"")</f>
        <v>0</v>
      </c>
      <c r="LQ79" s="7">
        <f>IFERROR(AVERAGEIF('Данные 2st'!$Q$2:$Q$317,$A79,'Данные 2st'!$EI$2:$EI$317),"")</f>
        <v>0</v>
      </c>
      <c r="LR79" s="7">
        <f>IFERROR(AVERAGEIF('Данные 2st'!$Q$2:$Q$317,$A79,'Данные 2st'!$EJ$2:$EJ$317),"")</f>
        <v/>
      </c>
      <c r="LS79" s="7">
        <f>IFERROR(AVERAGEIF('Данные 2st'!$Q$2:$Q$317,$A79,'Данные 2st'!$EK$2:$EK$317),"")</f>
        <v/>
      </c>
      <c r="LT79" s="7">
        <f>IFERROR(AVERAGEIF('Данные 2st'!$Q$2:$Q$317,$A79,'Данные 2st'!$EM$2:$EM$317),"")</f>
        <v>12</v>
      </c>
      <c r="LU79" s="7">
        <f>IFERROR(AVERAGEIF('Данные 2st'!$Q$2:$Q$317,$A79,'Данные 2st'!$EN$2:$EN$317),"")</f>
        <v>0.5</v>
      </c>
      <c r="LV79" s="7">
        <f>IFERROR(AVERAGEIF('Данные 2st'!$Q$2:$Q$317,$A79,'Данные 2st'!$EO$2:$EO$317),"")</f>
        <v>0.96</v>
      </c>
      <c r="LW79" s="7">
        <f>IFERROR(AVERAGEIF('Данные 2st'!$Q$2:$Q$317,$A79,'Данные 2st'!$EP$2:$EP$317),"")</f>
        <v>2290.092</v>
      </c>
      <c r="LX79" s="7">
        <f>IFERROR(AVERAGEIF('Данные 2st'!$Q$2:$Q$317,$A79,'Данные 2st'!$EQ$2:$EQ$317),"")</f>
        <v>42147.724</v>
      </c>
      <c r="LY79" s="7">
        <f>IFERROR(AVERAGEIF('Данные 2st'!$Q$2:$Q$317,$A79,'Данные 2st'!$ER$2:$ER$317),"")</f>
        <v>9443.402</v>
      </c>
      <c r="LZ79" s="7">
        <f>IFERROR(AVERAGEIF('Данные 2st'!$Q$2:$Q$317,$A79,'Данные 2st'!$ES$2:$ES$317),"")</f>
        <v>2173.034</v>
      </c>
      <c r="MA79" s="7">
        <f>IFERROR(AVERAGEIF('Данные 2st'!$Q$2:$Q$317,$A79,'Данные 2st'!$ET$2:$ET$317),"")</f>
        <v>0</v>
      </c>
      <c r="MB79" s="7">
        <f>IFERROR(AVERAGEIF('Данные 2st'!$Q$2:$Q$317,$A79,'Данные 2st'!$EU$2:$EU$317),"")</f>
        <v>1</v>
      </c>
      <c r="MC79" s="7">
        <f>IFERROR(AVERAGEIF('Данные 2st'!$Q$2:$Q$317,$A79,'Данные 2st'!$EV$2:$EV$317),"")</f>
        <v>53764.6</v>
      </c>
      <c r="MD79" s="7">
        <f>IFERROR(AVERAGEIF('Данные 2st'!$Q$2:$Q$317,$A79,'Данные 2st'!$EW$2:$EW$317),"")</f>
        <v>645.4</v>
      </c>
      <c r="ME79" s="7">
        <f>IFERROR(AVERAGEIF('Данные 2st'!$Q$2:$Q$317,$A79,'Данные 2st'!$EY$2:$EY$317),"")</f>
        <v>242</v>
      </c>
      <c r="MF79" s="7">
        <f>IFERROR(AVERAGEIF('Данные 2st'!$Q$2:$Q$317,$A79,'Данные 2st'!$FA$2:$FA$317),"")</f>
        <v>5.48</v>
      </c>
      <c r="MG79" s="7">
        <f>IFERROR(AVERAGEIF('Данные 2st'!$Q$2:$Q$317,$A79,'Данные 2st'!$FB$2:$FB$317),"")</f>
        <v>1</v>
      </c>
      <c r="MH79" s="7">
        <f>IFERROR(AVERAGEIF('Данные 2st'!$Q$2:$Q$317,$A79,'Данные 2st'!$FC$2:$FC$317),"")</f>
        <v>1</v>
      </c>
      <c r="MI79" s="7">
        <f>IFERROR(AVERAGEIF('Данные 2st'!$Q$2:$Q$317,$A79,'Данные 2st'!$FD$2:$FD$317),"")</f>
        <v>2323.2</v>
      </c>
      <c r="MJ79" s="7">
        <f>IFERROR(AVERAGEIF('Данные 2st'!$Q$2:$Q$317,$A79,'Данные 2st'!$FE$2:$FE$317),"")</f>
        <v>3040.2</v>
      </c>
      <c r="MK79" s="7">
        <f>IFERROR(AVERAGEIF('Данные 2st'!$Q$2:$Q$317,$A79,'Данные 2st'!$FG$2:$FG$317),"")</f>
        <v>244.8</v>
      </c>
      <c r="ML79" s="7">
        <f>IFERROR(AVERAGEIF('Данные 2st'!$Q$2:$Q$317,$A79,'Данные 2st'!$FI$2:$FI$317),"")</f>
        <v>2.58</v>
      </c>
      <c r="MM79" s="7">
        <f>IFERROR(AVERAGEIF('Данные 2st'!$Q$2:$Q$317,$A79,'Данные 2st'!$FJ$2:$FJ$317),"")</f>
        <v>2323.2</v>
      </c>
      <c r="MN79" s="7">
        <f>IFERROR(AVERAGEIF('Данные 2st'!$Q$2:$Q$317,$A79,'Данные 2st'!$FK$2:$FK$317),"")</f>
        <v>1696.8</v>
      </c>
      <c r="MO79" s="7">
        <f>IFERROR(AVERAGEIF('Данные 2st'!$Q$2:$Q$317,$A79,'Данные 2st'!$FP$2:$FP$317),"")</f>
        <v>2323.2</v>
      </c>
      <c r="MP79" s="7">
        <f>IFERROR(AVERAGEIF('Данные 2st'!$Q$2:$Q$317,$A79,'Данные 2st'!$FQ$2:$FQ$317),"")</f>
        <v>299.4</v>
      </c>
      <c r="MQ79" s="7">
        <f>IFERROR(AVERAGEIF('Данные 2st'!$Q$2:$Q$317,$A79,'Данные 2st'!$FS$2:$FS$317),"")</f>
        <v>248.8</v>
      </c>
      <c r="MR79" s="7">
        <f>IFERROR(AVERAGEIF('Данные 2st'!$Q$2:$Q$317,$A79,'Данные 2st'!$FU$2:$FU$317),"")</f>
        <v>0.4</v>
      </c>
      <c r="MS79" s="7">
        <f>IFERROR(AVERAGEIF('Данные 2st'!$Q$2:$Q$317,$A79,'Данные 2st'!$FV$2:$FV$317),"")</f>
        <v>2323.2</v>
      </c>
      <c r="MT79" s="7">
        <f>IFERROR(AVERAGEIF('Данные 2st'!$Q$2:$Q$317,$A79,'Данные 2st'!$FW$2:$FW$317),"")</f>
        <v>257.2</v>
      </c>
      <c r="MU79" s="7">
        <f>IFERROR(AVERAGEIF('Данные 2st'!$Q$2:$Q$317,$A79,'Данные 2st'!$FY$2:$FY$317),"")</f>
        <v>5</v>
      </c>
      <c r="MV79" s="7">
        <f>IFERROR(AVERAGEIF('Данные 2st'!$Q$2:$Q$317,$A79,'Данные 2st'!$GB$2:$GB$317),"")</f>
        <v>2324.25</v>
      </c>
      <c r="MW79" s="7">
        <f>IFERROR(AVERAGEIF('Данные 2st'!$Q$2:$Q$317,$A79,'Данные 2st'!$GC$2:$GC$317),"")</f>
        <v>22</v>
      </c>
      <c r="MX79" s="7">
        <f>IFERROR(AVERAGEIF('Данные 2st'!$Q$2:$Q$317,$A79,'Данные 2st'!$GD$2:$GD$317),"")</f>
        <v>5311.2</v>
      </c>
      <c r="MY79" s="7">
        <f>IFERROR(AVERAGEIF('Данные 2st'!$Q$2:$Q$317,$A79,'Данные 2st'!$GN$2:$GN$317),"")</f>
        <v/>
      </c>
      <c r="MZ79" s="7">
        <f>IFERROR(AVERAGEIF('Данные 2st'!$Q$2:$Q$317,$A79,'Данные 2st'!$GQ$2:$GQ$317),"")</f>
        <v>0</v>
      </c>
      <c r="NA79" s="7">
        <f>IFERROR(AVERAGEIF('Данные 2st'!$Q$2:$Q$317,$A79,'Данные 2st'!$GV$2:$GV$317),"")</f>
        <v>8.459999999999999</v>
      </c>
      <c r="NB79" s="7">
        <f>IFERROR(AVERAGEIF('Данные 2st'!$Q$2:$Q$317,$A79,'Данные 2st'!$GW$2:$GW$317),"")</f>
        <v>9.3</v>
      </c>
      <c r="NC79" s="7">
        <f>IFERROR(AVERAGEIF('Данные 2st'!$Q$2:$Q$317,$A79,'Данные 2st'!$GX$2:$GX$317),"")</f>
        <v>0.5</v>
      </c>
      <c r="ND79" s="7">
        <f>IFERROR(AVERAGEIF('Данные 2st'!$Q$2:$Q$317,$A79,'Данные 2st'!$GY$2:$GY$317),"")</f>
        <v>204.8</v>
      </c>
      <c r="NE79" s="7">
        <f>IFERROR(AVERAGEIF('Данные 2st'!$Q$2:$Q$317,$A79,'Данные 2st'!$GZ$2:$GZ$317),"")</f>
        <v>3</v>
      </c>
      <c r="NF79" s="7">
        <f>IFERROR(AVERAGEIF('Данные 2st'!$Q$2:$Q$317,$A79,'Данные 2st'!$HA$2:$HA$317),"")</f>
        <v>274</v>
      </c>
      <c r="NG79" s="7">
        <f>IFERROR(AVERAGEIF('Данные 2st'!$Q$2:$Q$317,$A79,'Данные 2st'!$HB$2:$HB$317),"")</f>
        <v>3</v>
      </c>
      <c r="NH79" s="7">
        <f>IFERROR(AVERAGEIF('Данные 2st'!$Q$2:$Q$317,$A79,'Данные 2st'!$HC$2:$HC$317),"")</f>
        <v>2323.2</v>
      </c>
      <c r="NI79" s="7">
        <f>IFERROR(AVERAGEIF('Данные 2st'!$Q$2:$Q$317,$A79,'Данные 2st'!$HD$2:$HD$317),"")</f>
        <v>4</v>
      </c>
      <c r="NJ79" s="7">
        <f>IFERROR(AVERAGEIF('Данные 2st'!$Q$2:$Q$317,$A79,'Данные 2st'!$HM$2:$HM$317),"")</f>
        <v>17</v>
      </c>
      <c r="NK79" s="7">
        <f>IFERROR(AVERAGEIF('Данные 2st'!$Q$2:$Q$317,$A79,'Данные 2st'!$HR$2:$HR$317),"")</f>
        <v>1.8</v>
      </c>
      <c r="NL79" s="7">
        <f>IFERROR(AVERAGEIF('Данные 2st'!$Q$2:$Q$317,$A79,'Данные 2st'!$HS$2:$HS$317),"")</f>
        <v>2274</v>
      </c>
      <c r="NM79" s="7">
        <f>IFERROR(AVERAGEIF('Данные 2st'!$Q$2:$Q$317,$A79,'Данные 2st'!$HT$2:$HT$317),"")</f>
        <v>5</v>
      </c>
      <c r="NN79" s="7">
        <f>IFERROR(AVERAGEIF('Данные 2st'!$Q$2:$Q$317,$A79,'Данные 2st'!$HY$2:$HY$317),"")</f>
        <v>0</v>
      </c>
      <c r="NO79" s="7">
        <f>IFERROR(AVERAGEIF('Данные 2st'!$Q$2:$Q$317,$A79,'Данные 2st'!$HZ$2:$HZ$317),"")</f>
        <v>63</v>
      </c>
      <c r="NP79" s="7">
        <f>IFERROR(AVERAGEIF('Данные 2st'!$Q$2:$Q$317,$A79,'Данные 2st'!$IA$2:$IA$317),"")</f>
        <v>2278</v>
      </c>
      <c r="NQ79" s="7">
        <f>IFERROR(AVERAGEIF('Данные 2st'!$Q$2:$Q$317,$A79,'Данные 2st'!$IB$2:$IB$317),"")</f>
        <v>2291.2</v>
      </c>
      <c r="NR79" s="7">
        <f>IFERROR(AVERAGEIF('Данные 2st'!$Q$2:$Q$317,$A79,'Данные 2st'!$IC$2:$IC$317),"")</f>
        <v/>
      </c>
      <c r="NS79" s="7">
        <f>IFERROR(AVERAGEIF('Данные 2st'!$Q$2:$Q$317,$A79,'Данные 2st'!$ID$2:$ID$317),"")</f>
        <v>2323.2</v>
      </c>
      <c r="NT79" s="7">
        <f>IFERROR(AVERAGEIF('Данные 2st'!$Q$2:$Q$317,$A79,'Данные 2st'!$IE$2:$IE$317),"")</f>
        <v>2323.2</v>
      </c>
      <c r="NU79" s="7">
        <f>IFERROR(AVERAGEIF('Данные 2st'!$Q$2:$Q$317,$A79,'Данные 2st'!$IF$2:$IF$317),"")</f>
        <v>218</v>
      </c>
      <c r="NV79" s="7">
        <f>IFERROR(AVERAGEIF('Данные 2st'!$Q$2:$Q$317,$A79,'Данные 2st'!$IG$2:$IG$317),"")</f>
        <v>207</v>
      </c>
      <c r="NW79" s="7">
        <f>IFERROR(AVERAGEIF('Данные 2st'!$Q$2:$Q$317,$A79,'Данные 2st'!$IH$2:$IH$317),"")</f>
        <v>274</v>
      </c>
      <c r="NX79" s="7">
        <f>IFERROR(AVERAGEIF('Данные 2st'!$Q$2:$Q$317,$A79,'Данные 2st'!$IJ$2:$IJ$317),"")</f>
        <v>5</v>
      </c>
      <c r="NY79" s="7">
        <f>IFERROR(AVERAGEIF('Данные 2st'!$Q$2:$Q$317,$A79,'Данные 2st'!$IM$2:$IM$317),"")</f>
        <v>0</v>
      </c>
      <c r="NZ79" s="7">
        <f>IFERROR(AVERAGEIF('Данные 2st'!$Q$2:$Q$317,$A79,'Данные 2st'!$IN$2:$IN$317),"")</f>
        <v>270</v>
      </c>
      <c r="OA79" s="7">
        <f>IFERROR(AVERAGEIF('Данные 2st'!$Q$2:$Q$317,$A79,'Данные 2st'!$IO$2:$IO$317),"")</f>
        <v>0</v>
      </c>
      <c r="OB79" s="7">
        <f>IFERROR(AVERAGEIF('Данные 2st'!$Q$2:$Q$317,$A79,'Данные 2st'!$IP$2:$IP$317),"")</f>
        <v>180</v>
      </c>
      <c r="OC79" s="7">
        <f>IFERROR(AVERAGEIF('Данные 2st'!$Q$2:$Q$317,$A79,'Данные 2st'!$IQ$2:$IQ$317),"")</f>
        <v>0</v>
      </c>
      <c r="OD79" s="7">
        <f>IFERROR(AVERAGEIF('Данные 2st'!$Q$2:$Q$317,$A79,'Данные 2st'!$IR$2:$IR$317),"")</f>
        <v>330</v>
      </c>
      <c r="OE79" s="7">
        <f>IFERROR(AVERAGEIF('Данные 2st'!$Q$2:$Q$317,$A79,'Данные 2st'!$IT$2:$IT$317),"")</f>
        <v>90</v>
      </c>
      <c r="OF79" s="7">
        <f>IFERROR(AVERAGEIF('Данные 2st'!$Q$2:$Q$317,$A79,'Данные 2st'!$IU$2:$IU$317),"")</f>
        <v>0</v>
      </c>
      <c r="OG79" s="7">
        <f>IFERROR(AVERAGEIF('Данные 2st'!$Q$2:$Q$317,$A79,'Данные 2st'!$IV$2:$IV$317),"")</f>
        <v>6.4</v>
      </c>
      <c r="OH79" s="7">
        <f>IFERROR(AVERAGEIF('Данные 2st'!$Q$2:$Q$317,$A79,'Данные 2st'!$IW$2:$IW$317),"")</f>
        <v>-6</v>
      </c>
      <c r="OI79" s="7">
        <f>IFERROR(AVERAGEIF('Данные 2st'!$Q$2:$Q$317,$A79,'Данные 2st'!$IX$2:$IX$317),"")</f>
        <v>111.8</v>
      </c>
      <c r="OJ79" s="7">
        <f>IFERROR(AVERAGEIF('Данные 2st'!$Q$2:$Q$317,$A79,'Данные 2st'!$IY$2:$IY$317),"")</f>
        <v>85.5</v>
      </c>
      <c r="OK79" s="7">
        <f>IFERROR(AVERAGEIF('Данные 2st'!$Q$2:$Q$317,$A79,'Данные 2st'!$IZ$2:$IZ$317),"")</f>
        <v>14</v>
      </c>
      <c r="OL79" s="7">
        <f>IFERROR(AVERAGEIF('Данные 2st'!$Q$2:$Q$317,$A79,'Данные 2st'!$JA$2:$JA$317),"")</f>
        <v>20</v>
      </c>
      <c r="OM79" s="7">
        <f>IFERROR(AVERAGEIF('Данные 2st'!$Q$2:$Q$317,$A79,'Данные 2st'!$JB$2:$JB$317),"")</f>
        <v>0</v>
      </c>
      <c r="ON79" s="7">
        <f>IFERROR(AVERAGEIF('Данные 2st'!$Q$2:$Q$317,$A79,'Данные 2st'!$JC$2:$JC$317),"")</f>
        <v>0</v>
      </c>
      <c r="OO79" s="7">
        <f>IFERROR(AVERAGEIF('Данные 2st'!$Q$2:$Q$317,$A79,'Данные 2st'!$JD$2:$JD$317),"")</f>
        <v>0</v>
      </c>
      <c r="OP79" s="7">
        <f>IFERROR(AVERAGEIF('Данные 2st'!$Q$2:$Q$317,$A79,'Данные 2st'!$JE$2:$JE$317),"")</f>
        <v>0</v>
      </c>
      <c r="OQ79" s="7">
        <f>IFERROR(AVERAGEIF('Данные 2st'!$Q$2:$Q$317,$A79,'Данные 2st'!$JF$2:$JF$317),"")</f>
        <v>0</v>
      </c>
      <c r="OR79" s="7">
        <f>IFERROR(AVERAGEIF('Данные 2st'!$Q$2:$Q$317,$A79,'Данные 2st'!$JG$2:$JG$317),"")</f>
        <v>0</v>
      </c>
      <c r="OS79" s="7">
        <f>IFERROR(AVERAGEIF('Данные 2st'!$Q$2:$Q$317,$A79,'Данные 2st'!$JH$2:$JH$317),"")</f>
        <v>0</v>
      </c>
      <c r="OT79" s="7">
        <f>IFERROR(AVERAGEIF('Данные 2st'!$Q$2:$Q$317,$A79,'Данные 2st'!$JI$2:$JI$317),"")</f>
        <v>500.4</v>
      </c>
      <c r="OU79" s="7">
        <f>IFERROR(AVERAGEIF('Данные 2st'!$Q$2:$Q$317,$A79,'Данные 2st'!$JJ$2:$JJ$317),"")</f>
        <v>471.6</v>
      </c>
      <c r="OV79" s="7">
        <f>IFERROR(AVERAGEIF('Данные 2st'!$Q$2:$Q$317,$A79,'Данные 2st'!$JK$2:$JK$317),"")</f>
        <v>344</v>
      </c>
      <c r="OW79" s="7">
        <f>IFERROR(AVERAGEIF('Данные 2st'!$Q$2:$Q$317,$A79,'Данные 2st'!$JL$2:$JL$317),"")</f>
        <v>468</v>
      </c>
      <c r="OX79" s="7">
        <f>IFERROR(AVERAGEIF('Данные 2st'!$Q$2:$Q$317,$A79,'Данные 2st'!$JM$2:$JM$317),"")</f>
        <v>341</v>
      </c>
      <c r="OY79" s="7">
        <f>IFERROR(AVERAGEIF('Данные 2st'!$Q$2:$Q$317,$A79,'Данные 2st'!$JP$2:$JP$317),"")</f>
        <v>185</v>
      </c>
      <c r="OZ79" s="7">
        <f>IFERROR(AVERAGEIF('Данные 2st'!$Q$2:$Q$317,$A79,'Данные 2st'!$JQ$2:$JQ$317),"")</f>
        <v>238</v>
      </c>
      <c r="PA79" s="7">
        <f>IFERROR(AVERAGEIF('Данные 2st'!$Q$2:$Q$317,$A79,'Данные 2st'!$JR$2:$JR$317),"")</f>
        <v>360.8</v>
      </c>
      <c r="PB79" s="7">
        <f>IFERROR(AVERAGEIF('Данные 2st'!$Q$2:$Q$317,$A79,'Данные 2st'!$JS$2:$JS$317),"")</f>
        <v>231.2</v>
      </c>
      <c r="PC79" s="7">
        <f>IFERROR(AVERAGEIF('Данные 2st'!$Q$2:$Q$317,$A79,'Данные 2st'!$JT$2:$JT$317),"")</f>
        <v>0</v>
      </c>
      <c r="PD79" s="7">
        <f>IFERROR(AVERAGEIF('Данные 2st'!$Q$2:$Q$317,$A79,'Данные 2st'!$JU$2:$JU$317),"")</f>
        <v>0</v>
      </c>
      <c r="PE79" s="7">
        <f>IFERROR(AVERAGEIF('Данные 2st'!$Q$2:$Q$317,$A79,'Данные 2st'!$JV$2:$JV$317),"")</f>
        <v>327.6</v>
      </c>
      <c r="PF79" s="7">
        <f>IFERROR(AVERAGEIF('Данные 2st'!$Q$2:$Q$317,$A79,'Данные 2st'!$JW$2:$JW$317),"")</f>
        <v>327.2</v>
      </c>
      <c r="PG79" s="7">
        <f>IFERROR(AVERAGEIF('Данные 2st'!$Q$2:$Q$317,$A79,'Данные 2st'!$KF$2:$KF$317),"")</f>
        <v>0.2</v>
      </c>
      <c r="PH79" s="7">
        <f>IFERROR(AVERAGEIF('Данные 2st'!$Q$2:$Q$317,$A79,'Данные 2st'!$KG$2:$KG$317),"")</f>
        <v>0.114</v>
      </c>
      <c r="PI79" s="7">
        <f>IFERROR(AVERAGEIF('Данные 2st'!$Q$2:$Q$317,$A79,'Данные 2st'!$KM$2:$KM$317),"")</f>
        <v>0.3</v>
      </c>
      <c r="PJ79" s="7">
        <f>IFERROR(AVERAGEIF('Данные 2st'!$Q$2:$Q$317,$A79,'Данные 2st'!$KN$2:$KN$317),"")</f>
        <v>2.32</v>
      </c>
      <c r="PK79" s="7">
        <f>IFERROR(AVERAGEIF('Данные 2st'!$Q$2:$Q$317,$A79,'Данные 2st'!$KO$2:$KO$317),"")</f>
        <v>0</v>
      </c>
      <c r="PL79" s="7">
        <f>IFERROR(AVERAGEIF('Данные 2st'!$Q$2:$Q$317,$A79,'Данные 2st'!$KP$2:$KP$317),"")</f>
        <v>0</v>
      </c>
      <c r="PM79" s="7">
        <f>IFERROR(AVERAGEIF('Данные 2st'!$Q$2:$Q$317,$A79,'Данные 2st'!$KQ$2:$KQ$317),"")</f>
        <v>0.88</v>
      </c>
      <c r="PN79" s="7">
        <f>IFERROR(AVERAGEIF('Данные 2st'!$Q$2:$Q$317,$A79,'Данные 2st'!$KR$2:$KR$317),"")</f>
        <v>0.72</v>
      </c>
      <c r="PO79" s="7">
        <f>IFERROR(AVERAGEIF('Данные 2st'!$Q$2:$Q$317,$A79,'Данные 2st'!$KS$2:$KS$317),"")</f>
        <v>0.12000000000000001</v>
      </c>
      <c r="PP79" s="7">
        <f>IFERROR(AVERAGEIF('Данные 2st'!$Q$2:$Q$317,$A79,'Данные 2st'!$KT$2:$KT$317),"")</f>
        <v>2.66</v>
      </c>
      <c r="PQ79" s="7">
        <f>IFERROR(AVERAGEIF('Данные 2st'!$Q$2:$Q$317,$A79,'Данные 2st'!$KU$2:$KU$317),"")</f>
        <v>0</v>
      </c>
      <c r="PR79" s="7">
        <f>IFERROR(AVERAGEIF('Данные 2st'!$Q$2:$Q$317,$A79,'Данные 2st'!$KV$2:$KV$317),"")</f>
        <v>0</v>
      </c>
      <c r="PS79" s="7">
        <f>IFERROR(AVERAGEIF('Данные 2st'!$Q$2:$Q$317,$A79,'Данные 2st'!$KW$2:$KW$317),"")</f>
        <v>1</v>
      </c>
      <c r="PT79" s="7">
        <f>IFERROR(AVERAGEIF('Данные 2st'!$Q$2:$Q$317,$A79,'Данные 2st'!$KX$2:$KX$317),"")</f>
        <v>2</v>
      </c>
      <c r="PU79" s="7">
        <f>IFERROR(AVERAGEIF('Данные 2st'!$Q$2:$Q$317,$A79,'Данные 2st'!$KY$2:$KY$317),"")</f>
        <v>0.4</v>
      </c>
      <c r="PV79" s="7">
        <f>IFERROR(AVERAGEIF('Данные 2st'!$Q$2:$Q$317,$A79,'Данные 2st'!$KZ$2:$KZ$317),"")</f>
        <v>0</v>
      </c>
      <c r="PW79" s="7">
        <f>IFERROR(AVERAGEIF('Данные 2st'!$Q$2:$Q$317,$A79,'Данные 2st'!$LA$2:$LA$317),"")</f>
        <v>0</v>
      </c>
      <c r="PX79" s="7">
        <f>IFERROR(AVERAGEIF('Данные 2st'!$Q$2:$Q$317,$A79,'Данные 2st'!$LB$2:$LB$317),"")</f>
        <v>0</v>
      </c>
      <c r="PY79" s="7">
        <f>IFERROR(AVERAGEIF('Данные 2st'!$Q$2:$Q$317,$A79,'Данные 2st'!$LC$2:$LC$317),"")</f>
        <v>0</v>
      </c>
      <c r="PZ79" s="7">
        <f>IFERROR(AVERAGEIF('Данные 2st'!$Q$2:$Q$317,$A79,'Данные 2st'!$LD$2:$LD$317),"")</f>
        <v>0</v>
      </c>
      <c r="QA79" s="7">
        <f>IFERROR(AVERAGEIF('Данные 2st'!$Q$2:$Q$317,$A79,'Данные 2st'!$LE$2:$LE$317),"")</f>
        <v>0</v>
      </c>
      <c r="QB79" s="7">
        <f>IFERROR(AVERAGEIF('Данные 2st'!$Q$2:$Q$317,$A79,'Данные 2st'!$LF$2:$LF$317),"")</f>
        <v>0</v>
      </c>
      <c r="QC79" s="7">
        <f>IFERROR(AVERAGEIF('Данные 2st'!$Q$2:$Q$317,$A79,'Данные 2st'!$LG$2:$LG$317),"")</f>
        <v>0</v>
      </c>
      <c r="QD79" s="7">
        <f>IFERROR(AVERAGEIF('Данные 2st'!$Q$2:$Q$317,$A79,'Данные 2st'!$LH$2:$LH$317),"")</f>
        <v>1.8</v>
      </c>
      <c r="QE79" s="7">
        <f>IFERROR(AVERAGEIF('Данные 2st'!$Q$2:$Q$317,$A79,'Данные 2st'!$LJ$2:$LJ$317),"")</f>
        <v>0</v>
      </c>
      <c r="QF79" s="7">
        <f>IFERROR(AVERAGEIF('Данные 2st'!$Q$2:$Q$317,$A79,'Данные 2st'!$LK$2:$LK$317),"")</f>
        <v>7.6</v>
      </c>
      <c r="QG79" s="7">
        <f>IFERROR(AVERAGEIF('Данные 2st'!$Q$2:$Q$317,$A79,'Данные 2st'!$LL$2:$LL$317),"")</f>
        <v>13.4</v>
      </c>
      <c r="QH79" s="7">
        <f>IFERROR(AVERAGEIF('Данные 2st'!$Q$2:$Q$317,$A79,'Данные 2st'!$LM$2:$LM$317),"")</f>
        <v>14</v>
      </c>
      <c r="QI79" s="7">
        <f>IFERROR(AVERAGEIF('Данные 2st'!$Q$2:$Q$317,$A79,'Данные 2st'!$LN$2:$LN$317),"")</f>
        <v>0.1</v>
      </c>
      <c r="QJ79" s="7">
        <f>IFERROR(AVERAGEIF('Данные 2st'!$Q$2:$Q$317,$A79,'Данные 2st'!$LO$2:$LO$317),"")</f>
        <v>3.22</v>
      </c>
      <c r="QK79" s="7">
        <f>IFERROR(AVERAGEIF('Данные 2st'!$Q$2:$Q$317,$A79,'Данные 2st'!$LP$2:$LP$317),"")</f>
        <v>0</v>
      </c>
      <c r="QL79" s="7">
        <f>IFERROR(AVERAGEIF('Данные 2st'!$Q$2:$Q$317,$A79,'Данные 2st'!$LQ$2:$LQ$317),"")</f>
        <v>0</v>
      </c>
      <c r="QM79" s="7">
        <f>IFERROR(AVERAGEIF('Данные 2st'!$Q$2:$Q$317,$A79,'Данные 2st'!$LW$2:$LW$317),"")</f>
        <v>2.12</v>
      </c>
      <c r="QN79" s="7">
        <f>IFERROR(AVERAGEIF('Данные 2st'!$Q$2:$Q$317,$A79,'Данные 2st'!$LX$2:$LX$317),"")</f>
        <v>2.12</v>
      </c>
      <c r="QO79" s="7">
        <f>IFERROR(AVERAGEIF('Данные 2st'!$Q$2:$Q$317,$A79,'Данные 2st'!$LY$2:$LY$317),"")</f>
        <v>2.06</v>
      </c>
      <c r="QP79" s="7">
        <f>IFERROR(AVERAGEIF('Данные 2st'!$Q$2:$Q$317,$A79,'Данные 2st'!$LZ$2:$LZ$317),"")</f>
        <v>2.06</v>
      </c>
      <c r="QQ79" s="7">
        <f>IFERROR(AVERAGEIF('Данные 2st'!$Q$2:$Q$317,$A79,'Данные 2st'!$MB$2:$MB$317),"")</f>
        <v>10.2</v>
      </c>
      <c r="QR79" s="7">
        <f>IFERROR(AVERAGEIF('Данные 2st'!$Q$2:$Q$317,$A79,'Данные 2st'!$MG$2:$MG$317),"")</f>
        <v>0</v>
      </c>
      <c r="QS79" s="7">
        <f>IFERROR(AVERAGEIF('Данные 2st'!$Q$2:$Q$317,$A79,'Данные 2st'!$MH$2:$MH$317),"")</f>
        <v>0</v>
      </c>
      <c r="QT79" s="7">
        <f>IFERROR(AVERAGEIF('Данные 2st'!$Q$2:$Q$317,$A79,'Данные 2st'!$MI$2:$MI$317),"")</f>
        <v>0</v>
      </c>
      <c r="QU79" s="7">
        <f>IFERROR(AVERAGEIF('Данные 2st'!$Q$2:$Q$317,$A79,'Данные 2st'!$MJ$2:$MJ$317),"")</f>
        <v>0</v>
      </c>
      <c r="QV79" s="7">
        <f>IFERROR(AVERAGEIF('Данные 2st'!$Q$2:$Q$317,$A79,'Данные 2st'!$MK$2:$MK$317),"")</f>
        <v>0</v>
      </c>
      <c r="QW79" s="7">
        <f>IFERROR(AVERAGEIF('Данные 2st'!$Q$2:$Q$317,$A79,'Данные 2st'!$MM$2:$MM$317),"")</f>
        <v>494.8</v>
      </c>
      <c r="QX79" s="7">
        <f>IFERROR(AVERAGEIF('Данные 2st'!$Q$2:$Q$317,$A79,'Данные 2st'!$MQ$2:$MQ$317),"")</f>
        <v/>
      </c>
      <c r="QY79" s="7">
        <f>IFERROR(AVERAGEIF('Данные 2st'!$Q$2:$Q$317,$A79,'Данные 2st'!$MR$2:$MR$317),"")</f>
        <v/>
      </c>
      <c r="QZ79" s="7">
        <f>IFERROR(AVERAGEIF('Данные 2st'!$Q$2:$Q$317,$A79,'Данные 2st'!$MS$2:$MS$317),"")</f>
        <v/>
      </c>
      <c r="RA79" s="7">
        <f>IFERROR(AVERAGEIF('Данные 2st'!$Q$2:$Q$317,$A79,'Данные 2st'!$MT$2:$MT$317),"")</f>
        <v/>
      </c>
      <c r="RB79" s="7">
        <f>IFERROR(AVERAGEIF('Данные 2st'!$Q$2:$Q$317,$A79,'Данные 2st'!$MU$2:$MU$317),"")</f>
        <v/>
      </c>
      <c r="RC79" s="7">
        <f>IFERROR(AVERAGEIF('Данные 2st'!$Q$2:$Q$317,$A79,'Данные 2st'!$MV$2:$MV$317),"")</f>
        <v/>
      </c>
      <c r="RD79" s="7">
        <f>IFERROR(AVERAGEIF('Данные 2st'!$Q$2:$Q$317,$A79,'Данные 2st'!$MW$2:$MW$317),"")</f>
        <v/>
      </c>
      <c r="RE79" s="7">
        <f>IFERROR(AVERAGEIF('Данные 2st'!$Q$2:$Q$317,$A79,'Данные 2st'!$MX$2:$MX$317),"")</f>
        <v/>
      </c>
      <c r="RF79" s="7">
        <f>IFERROR(AVERAGEIF('Данные 2st'!$Q$2:$Q$317,$A79,'Данные 2st'!$MY$2:$MY$317),"")</f>
        <v/>
      </c>
      <c r="RG79" s="7">
        <f>IFERROR(AVERAGEIF('Данные 2st'!$Q$2:$Q$317,$A79,'Данные 2st'!$MZ$2:$MZ$317),"")</f>
        <v/>
      </c>
      <c r="RH79" s="7">
        <f>IFERROR(AVERAGEIF('Данные 2st'!$Q$2:$Q$317,$A79,'Данные 2st'!$NA$2:$NA$317),"")</f>
        <v/>
      </c>
      <c r="RI79" s="7">
        <f>IFERROR(AVERAGEIF('Данные 2st'!$Q$2:$Q$317,$A79,'Данные 2st'!$NB$2:$NB$317),"")</f>
        <v/>
      </c>
      <c r="RJ79" s="7">
        <f>IFERROR(AVERAGEIF('Данные 2st'!$Q$2:$Q$317,$A79,'Данные 2st'!$NC$2:$NC$317),"")</f>
        <v/>
      </c>
      <c r="RK79" s="7">
        <f>IFERROR(AVERAGEIF('Данные 2st'!$Q$2:$Q$317,$A79,'Данные 2st'!$ND$2:$ND$317),"")</f>
        <v/>
      </c>
      <c r="RL79" s="7">
        <f>IFERROR(AVERAGEIF('Данные 2st'!$Q$2:$Q$317,$A79,'Данные 2st'!$NE$2:$NE$317),"")</f>
        <v/>
      </c>
      <c r="RM79" s="7">
        <f>IFERROR(AVERAGEIF('Данные 2st'!$Q$2:$Q$317,$A79,'Данные 2st'!$NF$2:$NF$317),"")</f>
        <v/>
      </c>
      <c r="RN79" s="7">
        <f>IFERROR(AVERAGEIF('Данные 2st'!$Q$2:$Q$317,$A79,'Данные 2st'!$NG$2:$NG$317),"")</f>
        <v/>
      </c>
      <c r="RO79" s="7">
        <f>IFERROR(AVERAGEIF('Данные 2st'!$Q$2:$Q$317,$A79,'Данные 2st'!$NH$2:$NH$317),"")</f>
        <v/>
      </c>
      <c r="RP79" s="7">
        <f>IFERROR(AVERAGEIF('Данные 2st'!$Q$2:$Q$317,$A79,'Данные 2st'!$NJ$2:$NJ$317),"")</f>
        <v/>
      </c>
      <c r="RQ79" s="7">
        <f>IFERROR(AVERAGEIF('Данные 2st'!$Q$2:$Q$317,$A79,'Данные 2st'!$NK$2:$NK$317),"")</f>
        <v/>
      </c>
      <c r="RR79" s="7">
        <f>IFERROR(AVERAGEIF('Данные 2st'!$Q$2:$Q$317,$A79,'Данные 2st'!$NM$2:$NM$317),"")</f>
        <v/>
      </c>
      <c r="RS79" s="7">
        <f>IFERROR(AVERAGEIF('Данные 2st'!$Q$2:$Q$317,$A79,'Данные 2st'!$NN$2:$NN$317),"")</f>
        <v/>
      </c>
      <c r="RT79" s="7">
        <f>IFERROR(AVERAGEIF('Данные 2st'!$Q$2:$Q$317,$A79,'Данные 2st'!$NO$2:$NO$317),"")</f>
        <v/>
      </c>
      <c r="RU79" s="7">
        <f>IFERROR(AVERAGEIF('Данные 2st'!$Q$2:$Q$317,$A79,'Данные 2st'!$NP$2:$NP$317),"")</f>
        <v/>
      </c>
      <c r="RV79" s="7">
        <f>IFERROR(AVERAGEIF('Данные 2st'!$Q$2:$Q$317,$A79,'Данные 2st'!$NQ$2:$NQ$317),"")</f>
        <v/>
      </c>
      <c r="RW79" s="7">
        <f>IFERROR(AVERAGEIF('Данные 2st'!$Q$2:$Q$317,$A79,'Данные 2st'!$NR$2:$NR$317),"")</f>
        <v/>
      </c>
      <c r="RX79" s="7">
        <f>IFERROR(AVERAGEIF('Данные 2st'!$Q$2:$Q$317,$A79,'Данные 2st'!$NS$2:$NS$317),"")</f>
        <v/>
      </c>
      <c r="RY79" s="7">
        <f>IFERROR(AVERAGEIF('Данные 2st'!$Q$2:$Q$317,$A79,'Данные 2st'!$NT$2:$NT$317),"")</f>
        <v/>
      </c>
      <c r="RZ79" s="7">
        <f>IFERROR(AVERAGEIF('Данные 2st'!$Q$2:$Q$317,$A79,'Данные 2st'!$OK$2:$OK$317),"")</f>
        <v>61</v>
      </c>
      <c r="SA79" s="7">
        <f>IFERROR(AVERAGEIF('Данные 2st'!$Q$2:$Q$317,$A79,'Данные 2st'!$OL$2:$OL$317),"")</f>
        <v>61</v>
      </c>
      <c r="SB79" s="7">
        <f>IFERROR(AVERAGEIF('Данные 2st'!$Q$2:$Q$317,$A79,'Данные 2st'!$ON$2:$ON$317),"")</f>
        <v>1</v>
      </c>
      <c r="SC79" s="7">
        <f>IFERROR(AVERAGEIF('Данные 2st'!$Q$2:$Q$317,$A79,'Данные 2st'!$OO$2:$OO$317),"")</f>
        <v>2278</v>
      </c>
      <c r="SD79" s="7">
        <f>IFERROR(AVERAGEIF('Данные 2st'!$Q$2:$Q$317,$A79,'Данные 2st'!$OP$2:$OP$317),"")</f>
        <v>61</v>
      </c>
      <c r="SE79" s="7">
        <f>IFERROR(AVERAGEIF('Данные 2st'!$Q$2:$Q$317,$A79,'Данные 2st'!$OQ$2:$OQ$317),"")</f>
        <v>61</v>
      </c>
      <c r="SF79" s="7">
        <f>IFERROR(AVERAGEIF('Данные 2st'!$Q$2:$Q$317,$A79,'Данные 2st'!$OS$2:$OS$317),"")</f>
        <v>1</v>
      </c>
      <c r="SG79" s="7">
        <f>IFERROR(AVERAGEIF('Данные 2st'!$Q$2:$Q$317,$A79,'Данные 2st'!$OT$2:$OT$317),"")</f>
        <v>2291.2</v>
      </c>
      <c r="SH79" s="7">
        <f>IFERROR(AVERAGEIF('Данные 2st'!$Q$2:$Q$317,$A79,'Данные 2st'!$OU$2:$OU$317),"")</f>
        <v>65</v>
      </c>
      <c r="SI79" s="7">
        <f>IFERROR(AVERAGEIF('Данные 2st'!$Q$2:$Q$317,$A79,'Данные 2st'!$OV$2:$OV$317),"")</f>
        <v>65</v>
      </c>
      <c r="SJ79" s="7">
        <f>IFERROR(AVERAGEIF('Данные 2st'!$Q$2:$Q$317,$A79,'Данные 2st'!$OX$2:$OX$317),"")</f>
        <v>1.8</v>
      </c>
      <c r="SK79" s="7">
        <f>IFERROR(AVERAGEIF('Данные 2st'!$Q$2:$Q$317,$A79,'Данные 2st'!$OY$2:$OY$317),"")</f>
        <v>53764.6</v>
      </c>
      <c r="SL79" s="7">
        <f>IFERROR(AVERAGEIF('Данные 2st'!$Q$2:$Q$317,$A79,'Данные 2st'!$OZ$2:$OZ$317),"")</f>
        <v>51</v>
      </c>
      <c r="SM79" s="7">
        <f>IFERROR(AVERAGEIF('Данные 2st'!$Q$2:$Q$317,$A79,'Данные 2st'!$PA$2:$PA$317),"")</f>
        <v>51.8</v>
      </c>
      <c r="SN79" s="7">
        <f>IFERROR(AVERAGEIF('Данные 2st'!$Q$2:$Q$317,$A79,'Данные 2st'!$PC$2:$PC$317),"")</f>
        <v>1.4</v>
      </c>
      <c r="SO79" s="7">
        <f>IFERROR(AVERAGEIF('Данные 2st'!$Q$2:$Q$317,$A79,'Данные 2st'!$PD$2:$PD$317),"")</f>
        <v>2323.2</v>
      </c>
      <c r="SP79" s="7">
        <f>IFERROR(AVERAGEIF('Данные 2st'!$Q$2:$Q$317,$A79,'Данные 2st'!$PF$2:$PF$317),"")</f>
        <v>530.8</v>
      </c>
      <c r="SQ79" s="7">
        <f>IFERROR(AVERAGEIF('Данные 2st'!$Q$2:$Q$317,$A79,'Данные 2st'!$PG$2:$PG$317),"")</f>
        <v>35</v>
      </c>
      <c r="SR79" s="7">
        <f>IFERROR(AVERAGEIF('Данные 2st'!$Q$2:$Q$317,$A79,'Данные 2st'!$PH$2:$PH$317),"")</f>
        <v>504</v>
      </c>
      <c r="SS79" s="7">
        <f>IFERROR(AVERAGEIF('Данные 2st'!$Q$2:$Q$317,$A79,'Данные 2st'!$PI$2:$PI$317),"")</f>
        <v>0</v>
      </c>
      <c r="ST79" s="7">
        <f>IFERROR(AVERAGEIF('Данные 2st'!$Q$2:$Q$317,$A79,'Данные 2st'!$PJ$2:$PJ$317),"")</f>
        <v>128.94</v>
      </c>
      <c r="SU79" s="7">
        <f>IFERROR(AVERAGEIF('Данные 2st'!$Q$2:$Q$317,$A79,'Данные 2st'!$PK$2:$PK$317),"")</f>
        <v>2201.5</v>
      </c>
      <c r="SV79" s="7">
        <f>IFERROR(AVERAGEIF('Данные 2st'!$Q$2:$Q$317,$A79,'Данные 2st'!$PL$2:$PL$317),"")</f>
        <v>1308.58</v>
      </c>
      <c r="SW79" s="7">
        <f>IFERROR(AVERAGEIF('Данные 2st'!$Q$2:$Q$317,$A79,'Данные 2st'!$PM$2:$PM$317),"")</f>
        <v>730.98</v>
      </c>
      <c r="SX79" s="7">
        <f>IFERROR(AVERAGEIF('Данные 2st'!$Q$2:$Q$317,$A79,'Данные 2st'!$PN$2:$PN$317),"")</f>
        <v>110.8</v>
      </c>
      <c r="SY79" s="7">
        <f>IFERROR(AVERAGEIF('Данные 2st'!$Q$2:$Q$317,$A79,'Данные 2st'!$PO$2:$PO$317),"")</f>
        <v>9.525</v>
      </c>
      <c r="SZ79" s="7">
        <f>IFERROR(AVERAGEIF('Данные 2st'!$Q$2:$Q$317,$A79,'Данные 2st'!$PP$2:$PP$317),"")</f>
        <v>12</v>
      </c>
      <c r="TA79" s="7">
        <f>IFERROR(AVERAGEIF('Данные 2st'!$Q$2:$Q$317,$A79,'Данные 2st'!$PQ$2:$PQ$317),"")</f>
        <v>4</v>
      </c>
      <c r="TB79" s="7">
        <f>IFERROR(AVERAGEIF('Данные 2st'!$Q$2:$Q$317,$A79,'Данные 2st'!$PR$2:$PR$317),"")</f>
        <v>4.4</v>
      </c>
      <c r="TC79" s="7">
        <f>IFERROR(AVERAGEIF('Данные 2st'!$Q$2:$Q$317,$A79,'Данные 2st'!$PS$2:$PS$317),"")</f>
        <v>0</v>
      </c>
      <c r="TD79" s="7">
        <f>IFERROR(AVERAGEIF('Данные 2st'!$Q$2:$Q$317,$A79,'Данные 2st'!$PT$2:$PT$317),"")</f>
        <v>274</v>
      </c>
      <c r="TE79" s="7">
        <f>IFERROR(AVERAGEIF('Данные 2st'!$Q$2:$Q$317,$A79,'Данные 2st'!$PU$2:$PU$317),"")</f>
        <v>14.6</v>
      </c>
      <c r="TF79" s="7">
        <f>IFERROR(AVERAGEIF('Данные 2st'!$Q$2:$Q$317,$A79,'Данные 2st'!$PX$2:$PX$317),"")</f>
        <v>0</v>
      </c>
      <c r="TG79" s="7">
        <f>IFERROR(AVERAGEIF('Данные 2st'!$Q$2:$Q$317,$A79,'Данные 2st'!$PY$2:$PY$317),"")</f>
        <v>0</v>
      </c>
      <c r="TH79" s="7">
        <f>IFERROR(AVERAGEIF('Данные 2st'!$Q$2:$Q$317,$A79,'Данные 2st'!$PZ$2:$PZ$317),"")</f>
        <v>0</v>
      </c>
      <c r="TI79" s="7">
        <f>IFERROR(AVERAGEIF('Данные 2st'!$Q$2:$Q$317,$A79,'Данные 2st'!$QA$2:$QA$317),"")</f>
        <v>0</v>
      </c>
      <c r="TJ79" s="7">
        <f>IFERROR(AVERAGEIF('Данные 2st'!$Q$2:$Q$317,$A79,'Данные 2st'!$QB$2:$QB$317),"")</f>
        <v>0</v>
      </c>
      <c r="TK79" s="7">
        <f>IFERROR(AVERAGEIF('Данные 2st'!$Q$2:$Q$317,$A79,'Данные 2st'!$QC$2:$QC$317),"")</f>
        <v>0</v>
      </c>
      <c r="TL79" s="7">
        <f>IFERROR(AVERAGEIF('Данные 2st'!$Q$2:$Q$317,$A79,'Данные 2st'!$QD$2:$QD$317),"")</f>
        <v>0</v>
      </c>
      <c r="TM79" s="7">
        <f>IFERROR(AVERAGEIF('Данные 2st'!$Q$2:$Q$317,$A79,'Данные 2st'!$QE$2:$QE$317),"")</f>
        <v>-1</v>
      </c>
      <c r="TN79" s="7">
        <f>IFERROR(AVERAGEIF('Данные 2st'!$Q$2:$Q$317,$A79,'Данные 2st'!$QF$2:$QF$317),"")</f>
        <v>1</v>
      </c>
      <c r="TO79" s="7">
        <f>IFERROR(AVERAGEIF('Данные 2st'!$Q$2:$Q$317,$A79,'Данные 2st'!$QG$2:$QG$317),"")</f>
        <v>0</v>
      </c>
      <c r="TP79" s="7">
        <f>IFERROR(AVERAGEIF('Данные 2st'!$Q$2:$Q$317,$A79,'Данные 2st'!$QH$2:$QH$317),"")</f>
        <v>5</v>
      </c>
      <c r="TQ79" s="7">
        <f>IFERROR(AVERAGEIF('Данные 2st'!$Q$2:$Q$317,$A79,'Данные 2st'!$QI$2:$QI$317),"")</f>
        <v>5</v>
      </c>
      <c r="TR79" s="7">
        <f>IFERROR(AVERAGEIF('Данные 2st'!$Q$2:$Q$317,$A79,'Данные 2st'!$QJ$2:$QJ$317),"")</f>
        <v>5</v>
      </c>
      <c r="TS79" s="7">
        <f>IFERROR(AVERAGEIF('Данные 2st'!$Q$2:$Q$317,$A79,'Данные 2st'!$QK$2:$QK$317),"")</f>
        <v>262.6</v>
      </c>
      <c r="TT79" s="7">
        <f>IFERROR(AVERAGEIF('Данные 2st'!$Q$2:$Q$317,$A79,'Данные 2st'!$QL$2:$QL$317),"")</f>
        <v>532</v>
      </c>
      <c r="TU79" s="7">
        <f>IFERROR(AVERAGEIF('Данные 2st'!$Q$2:$Q$317,$A79,'Данные 2st'!$QM$2:$QM$317),"")</f>
        <v>7.88</v>
      </c>
      <c r="TV79" s="7">
        <f>IFERROR(AVERAGEIF('Данные 2st'!$Q$2:$Q$317,$A79,'Данные 2st'!$QN$2:$QN$317),"")</f>
        <v>1385.88</v>
      </c>
      <c r="TW79" s="7">
        <f>IFERROR(AVERAGEIF('Данные 2st'!$Q$2:$Q$317,$A79,'Данные 2st'!$QQ$2:$QQ$317),"")</f>
        <v>0</v>
      </c>
      <c r="TX79" s="7">
        <f>IFERROR(AVERAGEIF('Данные 2st'!$Q$2:$Q$317,$A79,'Данные 2st'!$QS$2:$QS$317),"")</f>
        <v>38</v>
      </c>
      <c r="TY79" s="7">
        <f>IFERROR(AVERAGEIF('Данные 2st'!$Q$2:$Q$317,$A79,'Данные 2st'!$QT$2:$QT$317),"")</f>
        <v>48</v>
      </c>
    </row>
    <row r="80" spans="1:545" ht="32" customHeight="1">
      <c r="A80" s="11" t="s">
        <v>2680</v>
      </c>
      <c r="B80">
        <f>COUNTIF('Данные 1st'!$S$2:$S$317,$A80)</f>
        <v>1</v>
      </c>
      <c r="C80" s="6" t="s">
        <v>2657</v>
      </c>
      <c r="D80" s="6" t="s">
        <v>513</v>
      </c>
      <c r="E80" s="6" t="s">
        <v>517</v>
      </c>
      <c r="F80" s="6" t="s">
        <v>2678</v>
      </c>
      <c r="G80" s="7">
        <f>IFERROR(AVERAGEIF('Данные 1st'!$S$2:$S$317,$A80,'Данные 1st'!$AE$2:$AE$317),"")</f>
        <v>202</v>
      </c>
      <c r="H80" s="7">
        <f>IFERROR(AVERAGEIF('Данные 1st'!$S$2:$S$317,$A80,'Данные 1st'!$AF$2:$AF$317),"")</f>
        <v>1.5</v>
      </c>
      <c r="I80" s="7">
        <f>IFERROR(AVERAGEIF('Данные 1st'!$S$2:$S$317,$A80,'Данные 1st'!$AJ$2:$AJ$317),"")</f>
        <v>182.5</v>
      </c>
      <c r="J80" s="7">
        <f>IFERROR(AVERAGEIF('Данные 1st'!$S$2:$S$317,$A80,'Данные 1st'!$AL$2:$AL$317),"")</f>
        <v>1.5</v>
      </c>
      <c r="K80" s="7">
        <f>IFERROR(AVERAGEIF('Данные 1st'!$S$2:$S$317,$A80,'Данные 1st'!$AR$2:$AR$317),"")</f>
        <v>220</v>
      </c>
      <c r="L80" s="7">
        <f>IFERROR(AVERAGEIF('Данные 1st'!$S$2:$S$317,$A80,'Данные 1st'!$AS$2:$AS$317),"")</f>
        <v>1.5</v>
      </c>
      <c r="M80" s="7">
        <f>IFERROR(AVERAGEIF('Данные 1st'!$S$2:$S$317,$A80,'Данные 1st'!$AY$2:$AY$317),"")</f>
        <v>305</v>
      </c>
      <c r="N80" s="7">
        <f>IFERROR(AVERAGEIF('Данные 1st'!$S$2:$S$317,$A80,'Данные 1st'!$AZ$2:$AZ$317),"")</f>
        <v>1.5</v>
      </c>
      <c r="O80" s="7">
        <f>IFERROR(AVERAGEIF('Данные 1st'!$S$2:$S$317,$A80,'Данные 1st'!$BF$2:$BF$317),"")</f>
        <v/>
      </c>
      <c r="P80" s="7">
        <f>IFERROR(AVERAGEIF('Данные 1st'!$S$2:$S$317,$A80,'Данные 1st'!$BG$2:$BG$317),"")</f>
        <v>1.5</v>
      </c>
      <c r="Q80" s="7">
        <f>IFERROR(AVERAGEIF('Данные 1st'!$S$2:$S$317,$A80,'Данные 1st'!$BM$2:$BM$317),"")</f>
        <v/>
      </c>
      <c r="R80" s="7">
        <f>IFERROR(AVERAGEIF('Данные 1st'!$S$2:$S$317,$A80,'Данные 1st'!$BN$2:$BN$317),"")</f>
        <v>1.5</v>
      </c>
      <c r="S80" s="7">
        <f>IFERROR(AVERAGEIF('Данные 1st'!$S$2:$S$317,$A80,'Данные 1st'!$BT$2:$BT$317),"")</f>
        <v>201</v>
      </c>
      <c r="T80" s="7">
        <f>IFERROR(AVERAGEIF('Данные 1st'!$S$2:$S$317,$A80,'Данные 1st'!$BU$2:$BU$317),"")</f>
        <v>0.5</v>
      </c>
      <c r="U80" s="7">
        <f>IFERROR(AVERAGEIF('Данные 1st'!$S$2:$S$317,$A80,'Данные 1st'!$BW$2:$BW$317),"")</f>
        <v>402</v>
      </c>
      <c r="V80" s="7">
        <f>IFERROR(AVERAGEIF('Данные 1st'!$S$2:$S$317,$A80,'Данные 1st'!$BX$2:$BX$317),"")</f>
        <v>1</v>
      </c>
      <c r="W80" s="7">
        <f>IFERROR(AVERAGEIF('Данные 1st'!$S$2:$S$317,$A80,'Данные 1st'!$BZ$2:$BZ$317),"")</f>
        <v>300</v>
      </c>
      <c r="X80" s="7">
        <f>IFERROR(AVERAGEIF('Данные 1st'!$S$2:$S$317,$A80,'Данные 1st'!$CA$2:$CA$317),"")</f>
        <v>460</v>
      </c>
      <c r="Y80" s="7">
        <f>IFERROR(AVERAGEIF('Данные 1st'!$S$2:$S$317,$A80,'Данные 1st'!$CD$2:$CD$317),"")</f>
        <v>416</v>
      </c>
      <c r="Z80" s="7">
        <f>IFERROR(AVERAGEIF('Данные 1st'!$S$2:$S$317,$A80,'Данные 1st'!$CF$2:$CF$317),"")</f>
        <v>15</v>
      </c>
      <c r="AA80" s="7">
        <f>IFERROR(AVERAGEIF('Данные 1st'!$S$2:$S$317,$A80,'Данные 1st'!$CI$2:$CI$317),"")</f>
        <v>80</v>
      </c>
      <c r="AB80" s="7">
        <f>IFERROR(AVERAGEIF('Данные 1st'!$S$2:$S$317,$A80,'Данные 1st'!$CJ$2:$CJ$317),"")</f>
        <v>1458</v>
      </c>
      <c r="AC80" s="7">
        <f>IFERROR(AVERAGEIF('Данные 1st'!$S$2:$S$317,$A80,'Данные 1st'!$CK$2:$CK$317),"")</f>
        <v>2</v>
      </c>
      <c r="AD80" s="7">
        <f>IFERROR(AVERAGEIF('Данные 1st'!$S$2:$S$317,$A80,'Данные 1st'!$CL$2:$CL$317),"")</f>
        <v>1552</v>
      </c>
      <c r="AE80" s="7">
        <f>IFERROR(AVERAGEIF('Данные 1st'!$S$2:$S$317,$A80,'Данные 1st'!$CM$2:$CM$317),"")</f>
        <v>2</v>
      </c>
      <c r="AF80" s="7">
        <f>IFERROR(AVERAGEIF('Данные 1st'!$S$2:$S$317,$A80,'Данные 1st'!$CT$2:$CT$317),"")</f>
        <v>365</v>
      </c>
      <c r="AG80" s="7">
        <f>IFERROR(AVERAGEIF('Данные 1st'!$S$2:$S$317,$A80,'Данные 1st'!$CU$2:$CU$317),"")</f>
        <v>5</v>
      </c>
      <c r="AH80" s="7">
        <f>IFERROR(AVERAGEIF('Данные 1st'!$S$2:$S$317,$A80,'Данные 1st'!$CV$2:$CV$317),"")</f>
        <v>1.2</v>
      </c>
      <c r="AI80" s="7">
        <f>IFERROR(AVERAGEIF('Данные 1st'!$S$2:$S$317,$A80,'Данные 1st'!$CW$2:$CW$317),"")</f>
        <v>1475</v>
      </c>
      <c r="AJ80" s="7">
        <f>IFERROR(AVERAGEIF('Данные 1st'!$S$2:$S$317,$A80,'Данные 1st'!$CX$2:$CX$317),"")</f>
        <v>763</v>
      </c>
      <c r="AK80" s="7">
        <f>IFERROR(AVERAGEIF('Данные 1st'!$S$2:$S$317,$A80,'Данные 1st'!$CZ$2:$CZ$317),"")</f>
        <v>50</v>
      </c>
      <c r="AL80" s="7">
        <f>IFERROR(AVERAGEIF('Данные 1st'!$S$2:$S$317,$A80,'Данные 1st'!$DA$2:$DA$317),"")</f>
        <v>3</v>
      </c>
      <c r="AM80" s="7">
        <f>IFERROR(AVERAGEIF('Данные 1st'!$S$2:$S$317,$A80,'Данные 1st'!$DB$2:$DB$317),"")</f>
        <v>1</v>
      </c>
      <c r="AN80" s="7">
        <f>IFERROR(AVERAGEIF('Данные 1st'!$S$2:$S$317,$A80,'Данные 1st'!$DC$2:$DC$317),"")</f>
        <v>1475</v>
      </c>
      <c r="AO80" s="7">
        <f>IFERROR(AVERAGEIF('Данные 1st'!$S$2:$S$317,$A80,'Данные 1st'!$DD$2:$DD$317),"")</f>
        <v>77</v>
      </c>
      <c r="AP80" s="7">
        <f>IFERROR(AVERAGEIF('Данные 1st'!$S$2:$S$317,$A80,'Данные 1st'!$DF$2:$DF$317),"")</f>
        <v>610</v>
      </c>
      <c r="AQ80" s="7">
        <f>IFERROR(AVERAGEIF('Данные 1st'!$S$2:$S$317,$A80,'Данные 1st'!$DG$2:$DG$317),"")</f>
        <v>3</v>
      </c>
      <c r="AR80" s="7">
        <f>IFERROR(AVERAGEIF('Данные 1st'!$S$2:$S$317,$A80,'Данные 1st'!$DH$2:$DH$317),"")</f>
        <v>0.88</v>
      </c>
      <c r="AS80" s="7">
        <f>IFERROR(AVERAGEIF('Данные 1st'!$S$2:$S$317,$A80,'Данные 1st'!$DI$2:$DI$317),"")</f>
        <v>1468</v>
      </c>
      <c r="AT80" s="7">
        <f>IFERROR(AVERAGEIF('Данные 1st'!$S$2:$S$317,$A80,'Данные 1st'!$DJ$2:$DJ$317),"")</f>
        <v>1163</v>
      </c>
      <c r="AU80" s="7">
        <f>IFERROR(AVERAGEIF('Данные 1st'!$S$2:$S$317,$A80,'Данные 1st'!$DL$2:$DL$317),"")</f>
        <v/>
      </c>
      <c r="AV80" s="7">
        <f>IFERROR(AVERAGEIF('Данные 1st'!$S$2:$S$317,$A80,'Данные 1st'!$DM$2:$DM$317),"")</f>
        <v/>
      </c>
      <c r="AW80" s="7">
        <f>IFERROR(AVERAGEIF('Данные 1st'!$S$2:$S$317,$A80,'Данные 1st'!$DN$2:$DN$317),"")</f>
        <v/>
      </c>
      <c r="AX80" s="7">
        <f>IFERROR(AVERAGEIF('Данные 1st'!$S$2:$S$317,$A80,'Данные 1st'!$DO$2:$DO$317),"")</f>
        <v/>
      </c>
      <c r="AY80" s="7">
        <f>IFERROR(AVERAGEIF('Данные 1st'!$S$2:$S$317,$A80,'Данные 1st'!$DP$2:$DP$317),"")</f>
        <v/>
      </c>
      <c r="AZ80" s="7">
        <f>IFERROR(AVERAGEIF('Данные 1st'!$S$2:$S$317,$A80,'Данные 1st'!$DR$2:$DR$317),"")</f>
        <v/>
      </c>
      <c r="BA80" s="7">
        <f>IFERROR(AVERAGEIF('Данные 1st'!$S$2:$S$317,$A80,'Данные 1st'!$DS$2:$DS$317),"")</f>
        <v/>
      </c>
      <c r="BB80" s="7">
        <f>IFERROR(AVERAGEIF('Данные 1st'!$S$2:$S$317,$A80,'Данные 1st'!$DT$2:$DT$317),"")</f>
        <v/>
      </c>
      <c r="BC80" s="7">
        <f>IFERROR(AVERAGEIF('Данные 1st'!$S$2:$S$317,$A80,'Данные 1st'!$DU$2:$DU$317),"")</f>
        <v/>
      </c>
      <c r="BD80" s="7">
        <f>IFERROR(AVERAGEIF('Данные 1st'!$S$2:$S$317,$A80,'Данные 1st'!$DV$2:$DV$317),"")</f>
        <v/>
      </c>
      <c r="BE80" s="7">
        <f>IFERROR(AVERAGEIF('Данные 1st'!$S$2:$S$317,$A80,'Данные 1st'!$DX$2:$DX$317),"")</f>
        <v>7.5</v>
      </c>
      <c r="BF80" s="7">
        <f>IFERROR(AVERAGEIF('Данные 1st'!$S$2:$S$317,$A80,'Данные 1st'!$EA$2:$EA$317),"")</f>
        <v>1539.3</v>
      </c>
      <c r="BG80" s="7">
        <f>IFERROR(AVERAGEIF('Данные 1st'!$S$2:$S$317,$A80,'Данные 1st'!$EB$2:$EB$317),"")</f>
        <v>363</v>
      </c>
      <c r="BH80" s="7">
        <f>IFERROR(AVERAGEIF('Данные 1st'!$S$2:$S$317,$A80,'Данные 1st'!$ED$2:$ED$317),"")</f>
        <v>25</v>
      </c>
      <c r="BI80" s="7">
        <f>IFERROR(AVERAGEIF('Данные 1st'!$S$2:$S$317,$A80,'Данные 1st'!$EE$2:$EE$317),"")</f>
        <v>3</v>
      </c>
      <c r="BJ80" s="7">
        <f>IFERROR(AVERAGEIF('Данные 1st'!$S$2:$S$317,$A80,'Данные 1st'!$EG$2:$EG$317),"")</f>
        <v>1590</v>
      </c>
      <c r="BK80" s="7">
        <f>IFERROR(AVERAGEIF('Данные 1st'!$S$2:$S$317,$A80,'Данные 1st'!$EH$2:$EH$317),"")</f>
        <v>151</v>
      </c>
      <c r="BL80" s="7">
        <f>IFERROR(AVERAGEIF('Данные 1st'!$S$2:$S$317,$A80,'Данные 1st'!$EJ$2:$EJ$317),"")</f>
        <v>0</v>
      </c>
      <c r="BM80" s="7">
        <f>IFERROR(AVERAGEIF('Данные 1st'!$S$2:$S$317,$A80,'Данные 1st'!$EK$2:$EK$317),"")</f>
        <v>1</v>
      </c>
      <c r="BN80" s="7">
        <f>IFERROR(AVERAGEIF('Данные 1st'!$S$2:$S$317,$A80,'Данные 1st'!$EN$2:$EN$317),"")</f>
        <v>0</v>
      </c>
      <c r="BO80" s="7">
        <f>IFERROR(AVERAGEIF('Данные 1st'!$S$2:$S$317,$A80,'Данные 1st'!$EQ$2:$EQ$317),"")</f>
        <v>80</v>
      </c>
      <c r="BP80" s="7">
        <f>IFERROR(AVERAGEIF('Данные 1st'!$S$2:$S$317,$A80,'Данные 1st'!$ER$2:$ER$317),"")</f>
        <v>3</v>
      </c>
      <c r="BQ80" s="7">
        <f>IFERROR(AVERAGEIF('Данные 1st'!$S$2:$S$317,$A80,'Данные 1st'!$ES$2:$ES$317),"")</f>
        <v>5.5</v>
      </c>
      <c r="BR80" s="7">
        <f>IFERROR(AVERAGEIF('Данные 1st'!$S$2:$S$317,$A80,'Данные 1st'!$ET$2:$ET$317),"")</f>
        <v>1454</v>
      </c>
      <c r="BS80" s="7">
        <f>IFERROR(AVERAGEIF('Данные 1st'!$S$2:$S$317,$A80,'Данные 1st'!$EU$2:$EU$317),"")</f>
        <v>346.8</v>
      </c>
      <c r="BT80" s="7">
        <f>IFERROR(AVERAGEIF('Данные 1st'!$S$2:$S$317,$A80,'Данные 1st'!$EV$2:$EV$317),"")</f>
        <v>504</v>
      </c>
      <c r="BU80" s="7">
        <f>IFERROR(AVERAGEIF('Данные 1st'!$S$2:$S$317,$A80,'Данные 1st'!$EX$2:$EX$317),"")</f>
        <v>40</v>
      </c>
      <c r="BV80" s="7">
        <f>IFERROR(AVERAGEIF('Данные 1st'!$S$2:$S$317,$A80,'Данные 1st'!$EY$2:$EY$317),"")</f>
        <v>2</v>
      </c>
      <c r="BW80" s="7">
        <f>IFERROR(AVERAGEIF('Данные 1st'!$S$2:$S$317,$A80,'Данные 1st'!$EZ$2:$EZ$317),"")</f>
        <v>4.5</v>
      </c>
      <c r="BX80" s="7">
        <f>IFERROR(AVERAGEIF('Данные 1st'!$S$2:$S$317,$A80,'Данные 1st'!$FA$2:$FA$317),"")</f>
        <v>1454</v>
      </c>
      <c r="BY80" s="7">
        <f>IFERROR(AVERAGEIF('Данные 1st'!$S$2:$S$317,$A80,'Данные 1st'!$FB$2:$FB$317),"")</f>
        <v>108.8</v>
      </c>
      <c r="BZ80" s="7">
        <f>IFERROR(AVERAGEIF('Данные 1st'!$S$2:$S$317,$A80,'Данные 1st'!$FC$2:$FC$317),"")</f>
        <v>158</v>
      </c>
      <c r="CA80" s="7">
        <f>IFERROR(AVERAGEIF('Данные 1st'!$S$2:$S$317,$A80,'Данные 1st'!$FE$2:$FE$317),"")</f>
        <v>0</v>
      </c>
      <c r="CB80" s="7">
        <f>IFERROR(AVERAGEIF('Данные 1st'!$S$2:$S$317,$A80,'Данные 1st'!$FF$2:$FF$317),"")</f>
        <v>2</v>
      </c>
      <c r="CC80" s="7">
        <f>IFERROR(AVERAGEIF('Данные 1st'!$S$2:$S$317,$A80,'Данные 1st'!$FI$2:$FI$317),"")</f>
        <v>0</v>
      </c>
      <c r="CD80" s="7">
        <f>IFERROR(AVERAGEIF('Данные 1st'!$S$2:$S$317,$A80,'Данные 1st'!$FL$2:$FL$317),"")</f>
        <v>0.6</v>
      </c>
      <c r="CE80" s="7">
        <f>IFERROR(AVERAGEIF('Данные 1st'!$S$2:$S$317,$A80,'Данные 1st'!$FM$2:$FM$317),"")</f>
        <v>75</v>
      </c>
      <c r="CF80" s="7">
        <f>IFERROR(AVERAGEIF('Данные 1st'!$S$2:$S$317,$A80,'Данные 1st'!$FN$2:$FN$317),"")</f>
        <v>330</v>
      </c>
      <c r="CG80" s="7">
        <f>IFERROR(AVERAGEIF('Данные 1st'!$S$2:$S$317,$A80,'Данные 1st'!$FO$2:$FO$317),"")</f>
        <v>50</v>
      </c>
      <c r="CH80" s="7">
        <f>IFERROR(AVERAGEIF('Данные 1st'!$S$2:$S$317,$A80,'Данные 1st'!$FP$2:$FP$317),"")</f>
        <v>190</v>
      </c>
      <c r="CI80" s="7">
        <f>IFERROR(AVERAGEIF('Данные 1st'!$S$2:$S$317,$A80,'Данные 1st'!$FS$2:$FS$317),"")</f>
        <v>0.4</v>
      </c>
      <c r="CJ80" s="7">
        <f>IFERROR(AVERAGEIF('Данные 1st'!$S$2:$S$317,$A80,'Данные 1st'!$FT$2:$FT$317),"")</f>
        <v>30</v>
      </c>
      <c r="CK80" s="7">
        <f>IFERROR(AVERAGEIF('Данные 1st'!$S$2:$S$317,$A80,'Данные 1st'!$FU$2:$FU$317),"")</f>
        <v>370</v>
      </c>
      <c r="CL80" s="7">
        <f>IFERROR(AVERAGEIF('Данные 1st'!$S$2:$S$317,$A80,'Данные 1st'!$FV$2:$FV$317),"")</f>
        <v/>
      </c>
      <c r="CM80" s="7">
        <f>IFERROR(AVERAGEIF('Данные 1st'!$S$2:$S$317,$A80,'Данные 1st'!$FW$2:$FW$317),"")</f>
        <v/>
      </c>
      <c r="CN80" s="7">
        <f>IFERROR(AVERAGEIF('Данные 1st'!$S$2:$S$317,$A80,'Данные 1st'!$FZ$2:$FZ$317),"")</f>
        <v/>
      </c>
      <c r="CO80" s="7">
        <f>IFERROR(AVERAGEIF('Данные 1st'!$S$2:$S$317,$A80,'Данные 1st'!$GA$2:$GA$317),"")</f>
        <v/>
      </c>
      <c r="CP80" s="7">
        <f>IFERROR(AVERAGEIF('Данные 1st'!$S$2:$S$317,$A80,'Данные 1st'!$GB$2:$GB$317),"")</f>
        <v/>
      </c>
      <c r="CQ80" s="7">
        <f>IFERROR(AVERAGEIF('Данные 1st'!$S$2:$S$317,$A80,'Данные 1st'!$GH$2:$GH$317),"")</f>
        <v/>
      </c>
      <c r="CR80" s="7">
        <f>IFERROR(AVERAGEIF('Данные 1st'!$S$2:$S$317,$A80,'Данные 1st'!$GI$2:$GI$317),"")</f>
        <v/>
      </c>
      <c r="CS80" s="7">
        <f>IFERROR(AVERAGEIF('Данные 1st'!$S$2:$S$317,$A80,'Данные 1st'!$GJ$2:$GJ$317),"")</f>
        <v/>
      </c>
      <c r="CT80" s="7">
        <f>IFERROR(AVERAGEIF('Данные 1st'!$S$2:$S$317,$A80,'Данные 1st'!$GS$2:$GS$317),"")</f>
        <v/>
      </c>
      <c r="CU80" s="7">
        <f>IFERROR(AVERAGEIF('Данные 1st'!$S$2:$S$317,$A80,'Данные 1st'!$GT$2:$GT$317),"")</f>
        <v/>
      </c>
      <c r="CV80" s="7">
        <f>IFERROR(AVERAGEIF('Данные 1st'!$S$2:$S$317,$A80,'Данные 1st'!$GU$2:$GU$317),"")</f>
        <v/>
      </c>
      <c r="CW80" s="7">
        <f>IFERROR(AVERAGEIF('Данные 1st'!$S$2:$S$317,$A80,'Данные 1st'!$GV$2:$GV$317),"")</f>
        <v/>
      </c>
      <c r="CX80" s="7">
        <f>IFERROR(AVERAGEIF('Данные 1st'!$S$2:$S$317,$A80,'Данные 1st'!$GW$2:$GW$317),"")</f>
        <v/>
      </c>
      <c r="CY80" s="7">
        <f>IFERROR(AVERAGEIF('Данные 1st'!$S$2:$S$317,$A80,'Данные 1st'!$GZ$2:$GZ$317),"")</f>
        <v/>
      </c>
      <c r="CZ80" s="7">
        <f>IFERROR(AVERAGEIF('Данные 1st'!$S$2:$S$317,$A80,'Данные 1st'!$HA$2:$HA$317),"")</f>
        <v/>
      </c>
      <c r="DA80" s="7">
        <f>IFERROR(AVERAGEIF('Данные 1st'!$S$2:$S$317,$A80,'Данные 1st'!$HB$2:$HB$317),"")</f>
        <v/>
      </c>
      <c r="DB80" s="7">
        <f>IFERROR(AVERAGEIF('Данные 1st'!$S$2:$S$317,$A80,'Данные 1st'!$HC$2:$HC$317),"")</f>
        <v>0.1</v>
      </c>
      <c r="DC80" s="7">
        <f>IFERROR(AVERAGEIF('Данные 1st'!$S$2:$S$317,$A80,'Данные 1st'!$HD$2:$HD$317),"")</f>
        <v>3</v>
      </c>
      <c r="DD80" s="7">
        <f>IFERROR(AVERAGEIF('Данные 1st'!$S$2:$S$317,$A80,'Данные 1st'!$HE$2:$HE$317),"")</f>
        <v>3</v>
      </c>
      <c r="DE80" s="7">
        <f>IFERROR(AVERAGEIF('Данные 1st'!$S$2:$S$317,$A80,'Данные 1st'!$HF$2:$HF$317),"")</f>
        <v>3</v>
      </c>
      <c r="DF80" s="7">
        <f>IFERROR(AVERAGEIF('Данные 1st'!$S$2:$S$317,$A80,'Данные 1st'!$HG$2:$HG$317),"")</f>
        <v>3</v>
      </c>
      <c r="DG80" s="7">
        <f>IFERROR(AVERAGEIF('Данные 1st'!$S$2:$S$317,$A80,'Данные 1st'!$HH$2:$HH$317),"")</f>
        <v>3</v>
      </c>
      <c r="DH80" s="7">
        <f>IFERROR(AVERAGEIF('Данные 1st'!$S$2:$S$317,$A80,'Данные 1st'!$HI$2:$HI$317),"")</f>
        <v>105</v>
      </c>
      <c r="DI80" s="7">
        <f>IFERROR(AVERAGEIF('Данные 1st'!$S$2:$S$317,$A80,'Данные 1st'!$HJ$2:$HJ$317),"")</f>
        <v>3</v>
      </c>
      <c r="DJ80" s="7">
        <f>IFERROR(AVERAGEIF('Данные 1st'!$S$2:$S$317,$A80,'Данные 1st'!$HK$2:$HK$317),"")</f>
        <v>25</v>
      </c>
      <c r="DK80" s="7">
        <f>IFERROR(AVERAGEIF('Данные 1st'!$S$2:$S$317,$A80,'Данные 1st'!$HL$2:$HL$317),"")</f>
        <v>2</v>
      </c>
      <c r="DL80" s="7">
        <f>IFERROR(AVERAGEIF('Данные 1st'!$S$2:$S$317,$A80,'Данные 1st'!$HM$2:$HM$317),"")</f>
        <v>0</v>
      </c>
      <c r="DM80" s="7">
        <f>IFERROR(AVERAGEIF('Данные 1st'!$S$2:$S$317,$A80,'Данные 1st'!$HN$2:$HN$317),"")</f>
        <v>2</v>
      </c>
      <c r="DN80" s="7">
        <f>IFERROR(AVERAGEIF('Данные 1st'!$S$2:$S$317,$A80,'Данные 1st'!$HO$2:$HO$317),"")</f>
        <v>65</v>
      </c>
      <c r="DO80" s="7">
        <f>IFERROR(AVERAGEIF('Данные 1st'!$S$2:$S$317,$A80,'Данные 1st'!$HP$2:$HP$317),"")</f>
        <v>3</v>
      </c>
      <c r="DP80" s="7">
        <f>IFERROR(AVERAGEIF('Данные 1st'!$S$2:$S$317,$A80,'Данные 1st'!$HQ$2:$HQ$317),"")</f>
        <v>0</v>
      </c>
      <c r="DQ80" s="7">
        <f>IFERROR(AVERAGEIF('Данные 1st'!$S$2:$S$317,$A80,'Данные 1st'!$HR$2:$HR$317),"")</f>
        <v>2</v>
      </c>
      <c r="DR80" s="7">
        <f>IFERROR(AVERAGEIF('Данные 1st'!$S$2:$S$317,$A80,'Данные 1st'!$HS$2:$HS$317),"")</f>
        <v>4432</v>
      </c>
      <c r="DS80" s="7">
        <f>IFERROR(AVERAGEIF('Данные 1st'!$S$2:$S$317,$A80,'Данные 1st'!$HT$2:$HT$317),"")</f>
        <v>130</v>
      </c>
      <c r="DT80" s="7">
        <f>IFERROR(AVERAGEIF('Данные 1st'!$S$2:$S$317,$A80,'Данные 1st'!$HU$2:$HU$317),"")</f>
        <v>180</v>
      </c>
      <c r="DU80" s="7">
        <f>IFERROR(AVERAGEIF('Данные 1st'!$S$2:$S$317,$A80,'Данные 1st'!$HW$2:$HW$317),"")</f>
        <v>20</v>
      </c>
      <c r="DV80" s="7">
        <f>IFERROR(AVERAGEIF('Данные 1st'!$S$2:$S$317,$A80,'Данные 1st'!$HX$2:$HX$317),"")</f>
        <v>430</v>
      </c>
      <c r="DW80" s="7">
        <f>IFERROR(AVERAGEIF('Данные 1st'!$S$2:$S$317,$A80,'Данные 1st'!$HY$2:$HY$317),"")</f>
        <v>0.18</v>
      </c>
      <c r="DX80" s="7">
        <f>IFERROR(AVERAGEIF('Данные 1st'!$S$2:$S$317,$A80,'Данные 1st'!$IA$2:$IA$317),"")</f>
        <v>0.15</v>
      </c>
      <c r="DY80" s="7">
        <f>IFERROR(AVERAGEIF('Данные 1st'!$S$2:$S$317,$A80,'Данные 1st'!$IB$2:$IB$317),"")</f>
        <v>0</v>
      </c>
      <c r="DZ80" s="7">
        <f>IFERROR(AVERAGEIF('Данные 1st'!$S$2:$S$317,$A80,'Данные 1st'!$IC$2:$IC$317),"")</f>
        <v>180</v>
      </c>
      <c r="EA80" s="7">
        <f>IFERROR(AVERAGEIF('Данные 1st'!$S$2:$S$317,$A80,'Данные 1st'!$ID$2:$ID$317),"")</f>
        <v>110</v>
      </c>
      <c r="EB80" s="7">
        <f>IFERROR(AVERAGEIF('Данные 1st'!$S$2:$S$317,$A80,'Данные 1st'!$IE$2:$IE$317),"")</f>
        <v>0</v>
      </c>
      <c r="EC80" s="7">
        <f>IFERROR(AVERAGEIF('Данные 1st'!$S$2:$S$317,$A80,'Данные 1st'!$IF$2:$IF$317),"")</f>
        <v>0</v>
      </c>
      <c r="ED80" s="7">
        <f>IFERROR(AVERAGEIF('Данные 1st'!$S$2:$S$317,$A80,'Данные 1st'!$IP$2:$IP$317),"")</f>
        <v>19</v>
      </c>
      <c r="EE80" s="7">
        <f>IFERROR(AVERAGEIF('Данные 1st'!$S$2:$S$317,$A80,'Данные 1st'!$IV$2:$IV$317),"")</f>
        <v>1458</v>
      </c>
      <c r="EF80" s="7">
        <f>IFERROR(AVERAGEIF('Данные 1st'!$S$2:$S$317,$A80,'Данные 1st'!$IW$2:$IW$317),"")</f>
        <v>402</v>
      </c>
      <c r="EG80" s="7">
        <f>IFERROR(AVERAGEIF('Данные 1st'!$S$2:$S$317,$A80,'Данные 1st'!$IX$2:$IX$317),"")</f>
        <v/>
      </c>
      <c r="EH80" s="7">
        <f>IFERROR(AVERAGEIF('Данные 1st'!$S$2:$S$317,$A80,'Данные 1st'!$IY$2:$IY$317),"")</f>
        <v/>
      </c>
      <c r="EI80" s="7">
        <f>IFERROR(AVERAGEIF('Данные 1st'!$S$2:$S$317,$A80,'Данные 1st'!$JD$2:$JD$317),"")</f>
        <v>1475</v>
      </c>
      <c r="EJ80" s="7">
        <f>IFERROR(AVERAGEIF('Данные 1st'!$S$2:$S$317,$A80,'Данные 1st'!$JE$2:$JE$317),"")</f>
        <v>1468</v>
      </c>
      <c r="EK80" s="7">
        <f>IFERROR(AVERAGEIF('Данные 1st'!$S$2:$S$317,$A80,'Данные 1st'!$JF$2:$JF$317),"")</f>
        <v>0</v>
      </c>
      <c r="EL80" s="7">
        <f>IFERROR(AVERAGEIF('Данные 1st'!$S$2:$S$317,$A80,'Данные 1st'!$JG$2:$JG$317),"")</f>
        <v>1454</v>
      </c>
      <c r="EM80" s="7">
        <f>IFERROR(AVERAGEIF('Данные 1st'!$S$2:$S$317,$A80,'Данные 1st'!$JH$2:$JH$317),"")</f>
        <v>0</v>
      </c>
      <c r="EN80" s="7">
        <f>IFERROR(AVERAGEIF('Данные 1st'!$S$2:$S$317,$A80,'Данные 1st'!$JJ$2:$JJ$317),"")</f>
        <v>180</v>
      </c>
      <c r="EO80" s="7">
        <f>IFERROR(AVERAGEIF('Данные 1st'!$S$2:$S$317,$A80,'Данные 1st'!$JK$2:$JK$317),"")</f>
        <v>430</v>
      </c>
      <c r="EP80" s="7">
        <f>IFERROR(AVERAGEIF('Данные 1st'!$S$2:$S$317,$A80,'Данные 1st'!$JL$2:$JL$317),"")</f>
        <v/>
      </c>
      <c r="EQ80" s="7">
        <f>IFERROR(AVERAGEIF('Данные 1st'!$S$2:$S$317,$A80,'Данные 1st'!$JM$2:$JM$317),"")</f>
        <v/>
      </c>
      <c r="ER80" s="7">
        <f>IFERROR(AVERAGEIF('Данные 1st'!$S$2:$S$317,$A80,'Данные 1st'!$JN$2:$JN$317),"")</f>
        <v>365</v>
      </c>
      <c r="ES80" s="7">
        <f>IFERROR(AVERAGEIF('Данные 1st'!$S$2:$S$317,$A80,'Данные 1st'!$JO$2:$JO$317),"")</f>
        <v>610</v>
      </c>
      <c r="ET80" s="7">
        <f>IFERROR(AVERAGEIF('Данные 1st'!$S$2:$S$317,$A80,'Данные 1st'!$JP$2:$JP$317),"")</f>
        <v>0</v>
      </c>
      <c r="EU80" s="7">
        <f>IFERROR(AVERAGEIF('Данные 1st'!$S$2:$S$317,$A80,'Данные 1st'!$JQ$2:$JQ$317),"")</f>
        <v>0</v>
      </c>
      <c r="EV80" s="7">
        <f>IFERROR(AVERAGEIF('Данные 1st'!$S$2:$S$317,$A80,'Данные 1st'!$JR$2:$JR$317),"")</f>
        <v>404</v>
      </c>
      <c r="EW80" s="7">
        <f>IFERROR(AVERAGEIF('Данные 1st'!$S$2:$S$317,$A80,'Данные 1st'!$JS$2:$JS$317),"")</f>
        <v>105</v>
      </c>
      <c r="EX80" s="7">
        <f>IFERROR(AVERAGEIF('Данные 1st'!$S$2:$S$317,$A80,'Данные 1st'!$JT$2:$JT$317),"")</f>
        <v/>
      </c>
      <c r="EY80" s="7">
        <f>IFERROR(AVERAGEIF('Данные 1st'!$S$2:$S$317,$A80,'Данные 1st'!$JU$2:$JU$317),"")</f>
        <v/>
      </c>
      <c r="EZ80" s="7">
        <f>IFERROR(AVERAGEIF('Данные 1st'!$S$2:$S$317,$A80,'Данные 1st'!$JV$2:$JV$317),"")</f>
        <v>8</v>
      </c>
      <c r="FA80" s="7">
        <f>IFERROR(AVERAGEIF('Данные 1st'!$S$2:$S$317,$A80,'Данные 1st'!$JW$2:$JW$317),"")</f>
        <v/>
      </c>
      <c r="FB80" s="7">
        <f>IFERROR(AVERAGEIF('Данные 1st'!$S$2:$S$317,$A80,'Данные 1st'!$JX$2:$JX$317),"")</f>
        <v>440</v>
      </c>
      <c r="FC80" s="7">
        <f>IFERROR(AVERAGEIF('Данные 1st'!$S$2:$S$317,$A80,'Данные 1st'!$JY$2:$JY$317),"")</f>
        <v/>
      </c>
      <c r="FD80" s="7">
        <f>IFERROR(AVERAGEIF('Данные 1st'!$S$2:$S$317,$A80,'Данные 1st'!$JZ$2:$JZ$317),"")</f>
        <v/>
      </c>
      <c r="FE80" s="7">
        <f>IFERROR(AVERAGEIF('Данные 1st'!$S$2:$S$317,$A80,'Данные 1st'!$KA$2:$KA$317),"")</f>
        <v>0</v>
      </c>
      <c r="FF80" s="7">
        <f>IFERROR(AVERAGEIF('Данные 1st'!$S$2:$S$317,$A80,'Данные 1st'!$KB$2:$KB$317),"")</f>
        <v>110</v>
      </c>
      <c r="FG80" s="7">
        <f>IFERROR(AVERAGEIF('Данные 1st'!$S$2:$S$317,$A80,'Данные 1st'!$KC$2:$KC$317),"")</f>
        <v>0</v>
      </c>
      <c r="FH80" s="7">
        <f>IFERROR(AVERAGEIF('Данные 1st'!$S$2:$S$317,$A80,'Данные 1st'!$KD$2:$KD$317),"")</f>
        <v>80</v>
      </c>
      <c r="FI80" s="7">
        <f>IFERROR(AVERAGEIF('Данные 1st'!$S$2:$S$317,$A80,'Данные 1st'!$KE$2:$KE$317),"")</f>
        <v/>
      </c>
      <c r="FJ80" s="7">
        <f>IFERROR(AVERAGEIF('Данные 1st'!$S$2:$S$317,$A80,'Данные 1st'!$KF$2:$KF$317),"")</f>
        <v>4</v>
      </c>
      <c r="FK80" s="7">
        <f>IFERROR(AVERAGEIF('Данные 1st'!$S$2:$S$317,$A80,'Данные 1st'!$KG$2:$KG$317),"")</f>
        <v>4</v>
      </c>
      <c r="FL80" s="7">
        <f>IFERROR(AVERAGEIF('Данные 1st'!$S$2:$S$317,$A80,'Данные 1st'!$KH$2:$KH$317),"")</f>
        <v>2</v>
      </c>
      <c r="FM80" s="7">
        <f>IFERROR(AVERAGEIF('Данные 1st'!$S$2:$S$317,$A80,'Данные 1st'!$KI$2:$KI$317),"")</f>
        <v>2</v>
      </c>
      <c r="FN80" s="7">
        <f>IFERROR(AVERAGEIF('Данные 1st'!$S$2:$S$317,$A80,'Данные 1st'!$KJ$2:$KJ$317),"")</f>
        <v>0</v>
      </c>
      <c r="FO80" s="7">
        <f>IFERROR(AVERAGEIF('Данные 1st'!$S$2:$S$317,$A80,'Данные 1st'!$KK$2:$KK$317),"")</f>
        <v>1.5</v>
      </c>
      <c r="FP80" s="7">
        <f>IFERROR(AVERAGEIF('Данные 1st'!$S$2:$S$317,$A80,'Данные 1st'!$KL$2:$KL$317),"")</f>
        <v>1.5</v>
      </c>
      <c r="FQ80" s="7">
        <f>IFERROR(AVERAGEIF('Данные 1st'!$S$2:$S$317,$A80,'Данные 1st'!$KM$2:$KM$317),"")</f>
        <v>0</v>
      </c>
      <c r="FR80" s="7">
        <f>IFERROR(AVERAGEIF('Данные 1st'!$S$2:$S$317,$A80,'Данные 1st'!$KN$2:$KN$317),"")</f>
        <v>0</v>
      </c>
      <c r="FS80" s="7">
        <f>IFERROR(AVERAGEIF('Данные 1st'!$S$2:$S$317,$A80,'Данные 1st'!$KR$2:$KR$317),"")</f>
        <v>30</v>
      </c>
      <c r="FT80" s="7">
        <f>IFERROR(AVERAGEIF('Данные 1st'!$S$2:$S$317,$A80,'Данные 1st'!$KS$2:$KS$317),"")</f>
        <v>60</v>
      </c>
      <c r="FU80" s="7">
        <f>IFERROR(AVERAGEIF('Данные 1st'!$S$2:$S$317,$A80,'Данные 1st'!$KT$2:$KT$317),"")</f>
        <v>0</v>
      </c>
      <c r="FV80" s="7">
        <f>IFERROR(AVERAGEIF('Данные 1st'!$S$2:$S$317,$A80,'Данные 1st'!$KV$2:$KV$317),"")</f>
        <v/>
      </c>
      <c r="FW80" s="7">
        <f>IFERROR(AVERAGEIF('Данные 1st'!$S$2:$S$317,$A80,'Данные 1st'!$KW$2:$KW$317),"")</f>
        <v/>
      </c>
      <c r="FX80" s="7">
        <f>IFERROR(AVERAGEIF('Данные 1st'!$S$2:$S$317,$A80,'Данные 1st'!$KX$2:$KX$317),"")</f>
        <v/>
      </c>
      <c r="FY80" s="7">
        <f>IFERROR(AVERAGEIF('Данные 1st'!$S$2:$S$317,$A80,'Данные 1st'!$KY$2:$KY$317),"")</f>
        <v/>
      </c>
      <c r="FZ80" s="7">
        <f>IFERROR(AVERAGEIF('Данные 1st'!$S$2:$S$317,$A80,'Данные 1st'!$KZ$2:$KZ$317),"")</f>
        <v/>
      </c>
      <c r="GA80" s="7">
        <f>IFERROR(AVERAGEIF('Данные 1st'!$S$2:$S$317,$A80,'Данные 1st'!$LA$2:$LA$317),"")</f>
        <v/>
      </c>
      <c r="GB80" s="7">
        <f>IFERROR(AVERAGEIF('Данные 1st'!$S$2:$S$317,$A80,'Данные 1st'!$LB$2:$LB$317),"")</f>
        <v/>
      </c>
      <c r="GC80" s="7">
        <f>IFERROR(AVERAGEIF('Данные 1st'!$S$2:$S$317,$A80,'Данные 1st'!$LC$2:$LC$317),"")</f>
        <v/>
      </c>
      <c r="GD80" s="7">
        <f>IFERROR(AVERAGEIF('Данные 1st'!$S$2:$S$317,$A80,'Данные 1st'!$LD$2:$LD$317),"")</f>
        <v/>
      </c>
      <c r="GE80" s="7">
        <f>IFERROR(AVERAGEIF('Данные 1st'!$S$2:$S$317,$A80,'Данные 1st'!$LE$2:$LE$317),"")</f>
        <v/>
      </c>
      <c r="GF80" s="7">
        <f>IFERROR(AVERAGEIF('Данные 1st'!$S$2:$S$317,$A80,'Данные 1st'!$LF$2:$LF$317),"")</f>
        <v/>
      </c>
      <c r="GG80" s="7">
        <f>IFERROR(AVERAGEIF('Данные 1st'!$S$2:$S$317,$A80,'Данные 1st'!$LG$2:$LG$317),"")</f>
        <v/>
      </c>
      <c r="GH80" s="7">
        <f>IFERROR(AVERAGEIF('Данные 1st'!$S$2:$S$317,$A80,'Данные 1st'!$LH$2:$LH$317),"")</f>
        <v/>
      </c>
      <c r="GI80" s="7">
        <f>IFERROR(AVERAGEIF('Данные 1st'!$S$2:$S$317,$A80,'Данные 1st'!$LI$2:$LI$317),"")</f>
        <v/>
      </c>
      <c r="GJ80" s="7">
        <f>IFERROR(AVERAGEIF('Данные 1st'!$S$2:$S$317,$A80,'Данные 1st'!$LJ$2:$LJ$317),"")</f>
        <v/>
      </c>
      <c r="GK80" s="7">
        <f>IFERROR(AVERAGEIF('Данные 1st'!$S$2:$S$317,$A80,'Данные 1st'!$LK$2:$LK$317),"")</f>
        <v>480</v>
      </c>
      <c r="GL80" s="7">
        <f>IFERROR(AVERAGEIF('Данные 1st'!$S$2:$S$317,$A80,'Данные 1st'!$LV$2:$LV$317),"")</f>
        <v/>
      </c>
      <c r="GM80" s="7">
        <f>IFERROR(AVERAGEIF('Данные 1st'!$S$2:$S$317,$A80,'Данные 1st'!$LW$2:$LW$317),"")</f>
        <v/>
      </c>
      <c r="GN80" s="7">
        <f>IFERROR(AVERAGEIF('Данные 1st'!$S$2:$S$317,$A80,'Данные 1st'!$LX$2:$LX$317),"")</f>
        <v/>
      </c>
      <c r="GO80" s="7">
        <f>IFERROR(AVERAGEIF('Данные 1st'!$S$2:$S$317,$A80,'Данные 1st'!$LY$2:$LY$317),"")</f>
        <v/>
      </c>
      <c r="GP80" s="7">
        <f>IFERROR(AVERAGEIF('Данные 1st'!$S$2:$S$317,$A80,'Данные 1st'!$LZ$2:$LZ$317),"")</f>
        <v/>
      </c>
      <c r="GQ80" s="7">
        <f>IFERROR(AVERAGEIF('Данные 1st'!$S$2:$S$317,$A80,'Данные 1st'!$PG$2:$PG$317),"")</f>
        <v>1</v>
      </c>
      <c r="GR80" s="7">
        <f>IFERROR(AVERAGEIF('Данные 1st'!$S$2:$S$317,$A80,'Данные 1st'!$PX$2:$PX$317),"")</f>
        <v>56</v>
      </c>
      <c r="GS80" s="7">
        <f>IFERROR(AVERAGEIF('Данные 1st'!$S$2:$S$317,$A80,'Данные 1st'!$PY$2:$PY$317),"")</f>
        <v>56</v>
      </c>
      <c r="GT80" s="7">
        <f>IFERROR(AVERAGEIF('Данные 1st'!$S$2:$S$317,$A80,'Данные 1st'!$QA$2:$QA$317),"")</f>
        <v>1</v>
      </c>
      <c r="GU80" s="7">
        <f>IFERROR(AVERAGEIF('Данные 1st'!$S$2:$S$317,$A80,'Данные 1st'!$QB$2:$QB$317),"")</f>
        <v>1454</v>
      </c>
      <c r="GV80" s="7">
        <f>IFERROR(AVERAGEIF('Данные 1st'!$S$2:$S$317,$A80,'Данные 1st'!$QC$2:$QC$317),"")</f>
        <v>69</v>
      </c>
      <c r="GW80" s="7">
        <f>IFERROR(AVERAGEIF('Данные 1st'!$S$2:$S$317,$A80,'Данные 1st'!$QD$2:$QD$317),"")</f>
        <v>69</v>
      </c>
      <c r="GX80" s="7">
        <f>IFERROR(AVERAGEIF('Данные 1st'!$S$2:$S$317,$A80,'Данные 1st'!$QF$2:$QF$317),"")</f>
        <v>1</v>
      </c>
      <c r="GY80" s="7">
        <f>IFERROR(AVERAGEIF('Данные 1st'!$S$2:$S$317,$A80,'Данные 1st'!$QG$2:$QG$317),"")</f>
        <v>1475</v>
      </c>
      <c r="GZ80" s="7">
        <f>IFERROR(AVERAGEIF('Данные 1st'!$S$2:$S$317,$A80,'Данные 1st'!$QH$2:$QH$317),"")</f>
        <v>66</v>
      </c>
      <c r="HA80" s="7">
        <f>IFERROR(AVERAGEIF('Данные 1st'!$S$2:$S$317,$A80,'Данные 1st'!$QI$2:$QI$317),"")</f>
        <v>66</v>
      </c>
      <c r="HB80" s="7">
        <f>IFERROR(AVERAGEIF('Данные 1st'!$S$2:$S$317,$A80,'Данные 1st'!$QK$2:$QK$317),"")</f>
        <v>1</v>
      </c>
      <c r="HC80" s="7">
        <f>IFERROR(AVERAGEIF('Данные 1st'!$S$2:$S$317,$A80,'Данные 1st'!$QL$2:$QL$317),"")</f>
        <v>1475</v>
      </c>
      <c r="HD80" s="7">
        <f>IFERROR(AVERAGEIF('Данные 1st'!$S$2:$S$317,$A80,'Данные 1st'!$QM$2:$QM$317),"")</f>
        <v>62</v>
      </c>
      <c r="HE80" s="7">
        <f>IFERROR(AVERAGEIF('Данные 1st'!$S$2:$S$317,$A80,'Данные 1st'!$QN$2:$QN$317),"")</f>
        <v>62</v>
      </c>
      <c r="HF80" s="7">
        <f>IFERROR(AVERAGEIF('Данные 1st'!$S$2:$S$317,$A80,'Данные 1st'!$QP$2:$QP$317),"")</f>
        <v>1</v>
      </c>
      <c r="HG80" s="7">
        <f>IFERROR(AVERAGEIF('Данные 1st'!$S$2:$S$317,$A80,'Данные 1st'!$QQ$2:$QQ$317),"")</f>
        <v>1468</v>
      </c>
      <c r="HH80" s="7">
        <f>IFERROR(AVERAGEIF('Данные 1st'!$S$2:$S$317,$A80,'Данные 1st'!$QR$2:$QR$317),"")</f>
        <v/>
      </c>
      <c r="HI80" s="7">
        <f>IFERROR(AVERAGEIF('Данные 1st'!$S$2:$S$317,$A80,'Данные 1st'!$QS$2:$QS$317),"")</f>
        <v/>
      </c>
      <c r="HJ80" s="7">
        <f>IFERROR(AVERAGEIF('Данные 1st'!$S$2:$S$317,$A80,'Данные 1st'!$QU$2:$QU$317),"")</f>
        <v/>
      </c>
      <c r="HK80" s="7">
        <f>IFERROR(AVERAGEIF('Данные 1st'!$S$2:$S$317,$A80,'Данные 1st'!$QV$2:$QV$317),"")</f>
        <v/>
      </c>
      <c r="HL80" s="7">
        <f>IFERROR(AVERAGEIF('Данные 1st'!$S$2:$S$317,$A80,'Данные 1st'!$QW$2:$QW$317),"")</f>
        <v>82</v>
      </c>
      <c r="HM80" s="7">
        <f>IFERROR(AVERAGEIF('Данные 1st'!$S$2:$S$317,$A80,'Данные 1st'!$QX$2:$QX$317),"")</f>
        <v>88</v>
      </c>
      <c r="HN80" s="7">
        <f>IFERROR(AVERAGEIF('Данные 1st'!$S$2:$S$317,$A80,'Данные 1st'!$QZ$2:$QZ$317),"")</f>
        <v>1</v>
      </c>
      <c r="HO80" s="7">
        <f>IFERROR(AVERAGEIF('Данные 1st'!$S$2:$S$317,$A80,'Данные 1st'!$RA$2:$RA$317),"")</f>
        <v>66</v>
      </c>
      <c r="HP80" s="7">
        <f>IFERROR(AVERAGEIF('Данные 1st'!$S$2:$S$317,$A80,'Данные 1st'!$RB$2:$RB$317),"")</f>
        <v>66</v>
      </c>
      <c r="HQ80" s="7">
        <f>IFERROR(AVERAGEIF('Данные 1st'!$S$2:$S$317,$A80,'Данные 1st'!$RD$2:$RD$317),"")</f>
        <v/>
      </c>
      <c r="HR80" s="7">
        <f>IFERROR(AVERAGEIF('Данные 1st'!$S$2:$S$317,$A80,'Данные 1st'!$RE$2:$RE$317),"")</f>
        <v>0</v>
      </c>
      <c r="HS80" s="7">
        <f>IFERROR(AVERAGEIF('Данные 1st'!$S$2:$S$317,$A80,'Данные 1st'!$RF$2:$RF$317),"")</f>
        <v>1</v>
      </c>
      <c r="HT80" s="7">
        <f>IFERROR(AVERAGEIF('Данные 1st'!$S$2:$S$317,$A80,'Данные 1st'!$RG$2:$RG$317),"")</f>
        <v/>
      </c>
      <c r="HU80" s="7">
        <f>IFERROR(AVERAGEIF('Данные 1st'!$S$2:$S$317,$A80,'Данные 1st'!$RH$2:$RH$317),"")</f>
        <v/>
      </c>
      <c r="HV80" s="7">
        <f>IFERROR(AVERAGEIF('Данные 1st'!$S$2:$S$317,$A80,'Данные 1st'!$RI$2:$RI$317),"")</f>
        <v/>
      </c>
      <c r="HW80" s="7">
        <f>IFERROR(AVERAGEIF('Данные 1st'!$S$2:$S$317,$A80,'Данные 1st'!$RJ$2:$RJ$317),"")</f>
        <v>1</v>
      </c>
      <c r="HX80" s="7">
        <f>IFERROR(AVERAGEIF('Данные 1st'!$S$2:$S$317,$A80,'Данные 1st'!$RK$2:$RK$317),"")</f>
        <v>2</v>
      </c>
      <c r="HY80" s="7">
        <f>IFERROR(AVERAGEIF('Данные 1st'!$S$2:$S$317,$A80,'Данные 1st'!$RL$2:$RL$317),"")</f>
        <v>4</v>
      </c>
      <c r="HZ80" s="7">
        <f>IFERROR(AVERAGEIF('Данные 1st'!$S$2:$S$317,$A80,'Данные 1st'!$RM$2:$RM$317),"")</f>
        <v/>
      </c>
      <c r="IA80" s="7">
        <f>IFERROR(AVERAGEIF('Данные 1st'!$S$2:$S$317,$A80,'Данные 1st'!$RN$2:$RN$317),"")</f>
        <v/>
      </c>
      <c r="IB80" s="7">
        <f>IFERROR(AVERAGEIF('Данные 1st'!$S$2:$S$317,$A80,'Данные 1st'!$RO$2:$RO$317),"")</f>
        <v>517</v>
      </c>
      <c r="IC80" s="7">
        <f>IFERROR(AVERAGEIF('Данные 1st'!$S$2:$S$317,$A80,'Данные 1st'!$RP$2:$RP$317),"")</f>
        <v>105</v>
      </c>
      <c r="ID80" s="7">
        <f>IFERROR(AVERAGEIF('Данные 1st'!$S$2:$S$317,$A80,'Данные 1st'!$RQ$2:$RQ$317),"")</f>
        <v>792</v>
      </c>
      <c r="IE80" s="7">
        <f>IFERROR(AVERAGEIF('Данные 1st'!$S$2:$S$317,$A80,'Данные 1st'!$RR$2:$RR$317),"")</f>
        <v/>
      </c>
      <c r="IF80" s="7">
        <f>IFERROR(AVERAGEIF('Данные 1st'!$S$2:$S$317,$A80,'Данные 1st'!$RS$2:$RS$317),"")</f>
        <v/>
      </c>
      <c r="IG80" s="7">
        <f>IFERROR(AVERAGEIF('Данные 1st'!$S$2:$S$317,$A80,'Данные 1st'!$RT$2:$RT$317),"")</f>
        <v>363</v>
      </c>
      <c r="IH80" s="7">
        <f>IFERROR(AVERAGEIF('Данные 1st'!$S$2:$S$317,$A80,'Данные 1st'!$RU$2:$RU$317),"")</f>
        <v>151</v>
      </c>
      <c r="II80" s="7">
        <f>IFERROR(AVERAGEIF('Данные 1st'!$S$2:$S$317,$A80,'Данные 1st'!$RX$2:$RX$317),"")</f>
        <v>15</v>
      </c>
      <c r="IJ80" s="7">
        <f>IFERROR(AVERAGEIF('Данные 1st'!$S$2:$S$317,$A80,'Данные 1st'!$RY$2:$RY$317),"")</f>
        <v>4</v>
      </c>
      <c r="IK80" s="7">
        <f>IFERROR(AVERAGEIF('Данные 1st'!$S$2:$S$317,$A80,'Данные 1st'!$SA$2:$SA$317),"")</f>
        <v>15</v>
      </c>
      <c r="IL80" s="7">
        <f>IFERROR(AVERAGEIF('Данные 1st'!$S$2:$S$317,$A80,'Данные 1st'!$SD$2:$SD$317),"")</f>
        <v>1</v>
      </c>
      <c r="IM80" s="7">
        <f>IFERROR(AVERAGEIF('Данные 1st'!$S$2:$S$317,$A80,'Данные 1st'!$SG$2:$SG$317),"")</f>
        <v/>
      </c>
      <c r="IN80" s="7">
        <f>IFERROR(AVERAGEIF('Данные 1st'!$S$2:$S$317,$A80,'Данные 1st'!$SH$2:$SH$317),"")</f>
        <v>0.995</v>
      </c>
      <c r="IO80" s="7">
        <f>IFERROR(AVERAGEIF('Данные 1st'!$S$2:$S$317,$A80,'Данные 1st'!$SI$2:$SI$317),"")</f>
        <v>0.995</v>
      </c>
      <c r="IP80" s="7">
        <f>IFERROR(AVERAGEIF('Данные 1st'!$S$2:$S$317,$A80,'Данные 1st'!$SJ$2:$SJ$317),"")</f>
        <v>0.995</v>
      </c>
      <c r="IQ80" s="7">
        <f>IFERROR(AVERAGEIF('Данные 1st'!$S$2:$S$317,$A80,'Данные 1st'!$SK$2:$SK$317),"")</f>
        <v>15</v>
      </c>
      <c r="IR80" s="7">
        <f>IFERROR(AVERAGEIF('Данные 1st'!$S$2:$S$317,$A80,'Данные 1st'!$SL$2:$SL$317),"")</f>
        <v>0</v>
      </c>
      <c r="IS80" s="7">
        <f>IFERROR(AVERAGEIF('Данные 1st'!$S$2:$S$317,$A80,'Данные 1st'!$SM$2:$SM$317),"")</f>
        <v>0</v>
      </c>
      <c r="IT80" s="7">
        <f>IFERROR(AVERAGEIF('Данные 1st'!$S$2:$S$317,$A80,'Данные 1st'!$SN$2:$SN$317),"")</f>
        <v>0</v>
      </c>
      <c r="IU80" s="7">
        <f>IFERROR(AVERAGEIF('Данные 1st'!$S$2:$S$317,$A80,'Данные 1st'!$SO$2:$SO$317),"")</f>
        <v>0</v>
      </c>
      <c r="IV80" s="7">
        <f>IFERROR(AVERAGEIF('Данные 1st'!$S$2:$S$317,$A80,'Данные 1st'!$SP$2:$SP$317),"")</f>
        <v>0</v>
      </c>
      <c r="IW80" s="7">
        <f>IFERROR(AVERAGEIF('Данные 1st'!$S$2:$S$317,$A80,'Данные 1st'!$SQ$2:$SQ$317),"")</f>
        <v>0</v>
      </c>
      <c r="IX80" s="7">
        <f>IFERROR(AVERAGEIF('Данные 1st'!$S$2:$S$317,$A80,'Данные 1st'!$SR$2:$SR$317),"")</f>
        <v>0</v>
      </c>
      <c r="IY80" s="7">
        <f>IFERROR(AVERAGEIF('Данные 1st'!$S$2:$S$317,$A80,'Данные 1st'!$SS$2:$SS$317),"")</f>
        <v>0</v>
      </c>
      <c r="IZ80" s="7">
        <f>IFERROR(AVERAGEIF('Данные 1st'!$S$2:$S$317,$A80,'Данные 1st'!$ST$2:$ST$317),"")</f>
        <v>0</v>
      </c>
      <c r="JA80" s="7">
        <f>IFERROR(AVERAGEIF('Данные 1st'!$S$2:$S$317,$A80,'Данные 1st'!$SU$2:$SU$317),"")</f>
        <v>0</v>
      </c>
      <c r="JB80" s="7">
        <f>IFERROR(AVERAGEIF('Данные 1st'!$S$2:$S$317,$A80,'Данные 1st'!$SV$2:$SV$317),"")</f>
        <v>0</v>
      </c>
      <c r="JC80" s="7">
        <f>IFERROR(AVERAGEIF('Данные 1st'!$S$2:$S$317,$A80,'Данные 1st'!$SW$2:$SW$317),"")</f>
        <v>0</v>
      </c>
      <c r="JD80" s="7">
        <f>IFERROR(AVERAGEIF('Данные 1st'!$S$2:$S$317,$A80,'Данные 1st'!$SX$2:$SX$317),"")</f>
        <v>0</v>
      </c>
      <c r="JE80" s="7">
        <f>IFERROR(AVERAGEIF('Данные 1st'!$S$2:$S$317,$A80,'Данные 1st'!$SY$2:$SY$317),"")</f>
        <v>1</v>
      </c>
      <c r="JF80" s="7">
        <f>IFERROR(AVERAGEIF('Данные 1st'!$S$2:$S$317,$A80,'Данные 1st'!$SZ$2:$SZ$317),"")</f>
        <v/>
      </c>
      <c r="JG80" s="7">
        <f>IFERROR(AVERAGEIF('Данные 1st'!$S$2:$S$317,$A80,'Данные 1st'!$TA$2:$TA$317),"")</f>
        <v/>
      </c>
      <c r="JH80" s="7">
        <f>IFERROR(AVERAGEIF('Данные 1st'!$S$2:$S$317,$A80,'Данные 1st'!$TB$2:$TB$317),"")</f>
        <v>0</v>
      </c>
      <c r="JI80" s="7">
        <f>IFERROR(AVERAGEIF('Данные 1st'!$S$2:$S$317,$A80,'Данные 1st'!$TC$2:$TC$317),"")</f>
        <v>0</v>
      </c>
      <c r="JJ80" s="7">
        <f>IFERROR(AVERAGEIF('Данные 1st'!$S$2:$S$317,$A80,'Данные 1st'!$TD$2:$TD$317),"")</f>
        <v>7.5</v>
      </c>
      <c r="JK80" s="7">
        <f>IFERROR(AVERAGEIF('Данные 1st'!$S$2:$S$317,$A80,'Данные 1st'!$TN$2:$TN$317),"")</f>
        <v>0</v>
      </c>
      <c r="JL80">
        <f>COUNTIF('Данные 2st'!$Q$2:$Q$317,$A80)</f>
        <v>1</v>
      </c>
      <c r="JM80" s="6" t="s">
        <v>2657</v>
      </c>
      <c r="JN80" s="6" t="s">
        <v>513</v>
      </c>
      <c r="JO80" s="6" t="s">
        <v>517</v>
      </c>
      <c r="JP80" s="6" t="s">
        <v>2679</v>
      </c>
      <c r="JQ80" s="7">
        <f>IFERROR(AVERAGEIF('Данные 2st'!$Q$2:$Q$317,$A80,'Данные 2st'!$AC$2:$AC$317),"")</f>
        <v>9</v>
      </c>
      <c r="JR80" s="7">
        <f>IFERROR(AVERAGEIF('Данные 2st'!$Q$2:$Q$317,$A80,'Данные 2st'!$AF$2:$AF$317),"")</f>
        <v>4432</v>
      </c>
      <c r="JS80" s="7">
        <f>IFERROR(AVERAGEIF('Данные 2st'!$Q$2:$Q$317,$A80,'Данные 2st'!$AW$2:$AW$317),"")</f>
        <v>6.4</v>
      </c>
      <c r="JT80" s="7">
        <f>IFERROR(AVERAGEIF('Данные 2st'!$Q$2:$Q$317,$A80,'Данные 2st'!$AX$2:$AX$317),"")</f>
        <v>-6</v>
      </c>
      <c r="JU80" s="7">
        <f>IFERROR(AVERAGEIF('Данные 2st'!$Q$2:$Q$317,$A80,'Данные 2st'!$AY$2:$AY$317),"")</f>
        <v>125</v>
      </c>
      <c r="JV80" s="7">
        <f>IFERROR(AVERAGEIF('Данные 2st'!$Q$2:$Q$317,$A80,'Данные 2st'!$AZ$2:$AZ$317),"")</f>
        <v>95</v>
      </c>
      <c r="JW80" s="7">
        <f>IFERROR(AVERAGEIF('Данные 2st'!$Q$2:$Q$317,$A80,'Данные 2st'!$BA$2:$BA$317),"")</f>
        <v/>
      </c>
      <c r="JX80" s="7">
        <f>IFERROR(AVERAGEIF('Данные 2st'!$Q$2:$Q$317,$A80,'Данные 2st'!$BB$2:$BB$317),"")</f>
        <v/>
      </c>
      <c r="JY80" s="7">
        <f>IFERROR(AVERAGEIF('Данные 2st'!$Q$2:$Q$317,$A80,'Данные 2st'!$BC$2:$BC$317),"")</f>
        <v/>
      </c>
      <c r="JZ80" s="7">
        <f>IFERROR(AVERAGEIF('Данные 2st'!$Q$2:$Q$317,$A80,'Данные 2st'!$BH$2:$BH$317),"")</f>
        <v>125</v>
      </c>
      <c r="KA80" s="7">
        <f>IFERROR(AVERAGEIF('Данные 2st'!$Q$2:$Q$317,$A80,'Данные 2st'!$BI$2:$BI$317),"")</f>
        <v>30</v>
      </c>
      <c r="KB80" s="7">
        <f>IFERROR(AVERAGEIF('Данные 2st'!$Q$2:$Q$317,$A80,'Данные 2st'!$BJ$2:$BJ$317),"")</f>
        <v>95</v>
      </c>
      <c r="KC80" s="7">
        <f>IFERROR(AVERAGEIF('Данные 2st'!$Q$2:$Q$317,$A80,'Данные 2st'!$BK$2:$BK$317),"")</f>
        <v>2.5</v>
      </c>
      <c r="KD80" s="7">
        <f>IFERROR(AVERAGEIF('Данные 2st'!$Q$2:$Q$317,$A80,'Данные 2st'!$BL$2:$BL$317),"")</f>
        <v>250</v>
      </c>
      <c r="KE80" s="7">
        <f>IFERROR(AVERAGEIF('Данные 2st'!$Q$2:$Q$317,$A80,'Данные 2st'!$BM$2:$BM$317),"")</f>
        <v>-6</v>
      </c>
      <c r="KF80" s="7">
        <f>IFERROR(AVERAGEIF('Данные 2st'!$Q$2:$Q$317,$A80,'Данные 2st'!$BN$2:$BN$317),"")</f>
        <v>0</v>
      </c>
      <c r="KG80" s="7">
        <f>IFERROR(AVERAGEIF('Данные 2st'!$Q$2:$Q$317,$A80,'Данные 2st'!$BO$2:$BO$317),"")</f>
        <v>0</v>
      </c>
      <c r="KH80" s="7">
        <f>IFERROR(AVERAGEIF('Данные 2st'!$Q$2:$Q$317,$A80,'Данные 2st'!$BP$2:$BP$317),"")</f>
        <v>0</v>
      </c>
      <c r="KI80" s="7">
        <f>IFERROR(AVERAGEIF('Данные 2st'!$Q$2:$Q$317,$A80,'Данные 2st'!$BR$2:$BR$317),"")</f>
        <v>245</v>
      </c>
      <c r="KJ80" s="7">
        <f>IFERROR(AVERAGEIF('Данные 2st'!$Q$2:$Q$317,$A80,'Данные 2st'!$BS$2:$BS$317),"")</f>
        <v>235</v>
      </c>
      <c r="KK80" s="7">
        <f>IFERROR(AVERAGEIF('Данные 2st'!$Q$2:$Q$317,$A80,'Данные 2st'!$BT$2:$BT$317),"")</f>
        <v>1960</v>
      </c>
      <c r="KL80" s="7">
        <f>IFERROR(AVERAGEIF('Данные 2st'!$Q$2:$Q$317,$A80,'Данные 2st'!$CV$2:$CV$317),"")</f>
        <v>146</v>
      </c>
      <c r="KM80" s="7">
        <f>IFERROR(AVERAGEIF('Данные 2st'!$Q$2:$Q$317,$A80,'Данные 2st'!$CW$2:$CW$317),"")</f>
        <v>3</v>
      </c>
      <c r="KN80" s="7">
        <f>IFERROR(AVERAGEIF('Данные 2st'!$Q$2:$Q$317,$A80,'Данные 2st'!$CX$2:$CX$317),"")</f>
        <v>102</v>
      </c>
      <c r="KO80" s="7">
        <f>IFERROR(AVERAGEIF('Данные 2st'!$Q$2:$Q$317,$A80,'Данные 2st'!$CY$2:$CY$317),"")</f>
        <v>5</v>
      </c>
      <c r="KP80" s="7">
        <f>IFERROR(AVERAGEIF('Данные 2st'!$Q$2:$Q$317,$A80,'Данные 2st'!$CZ$2:$CZ$317),"")</f>
        <v>103</v>
      </c>
      <c r="KQ80" s="7">
        <f>IFERROR(AVERAGEIF('Данные 2st'!$Q$2:$Q$317,$A80,'Данные 2st'!$DA$2:$DA$317),"")</f>
        <v>5</v>
      </c>
      <c r="KR80" s="7">
        <f>IFERROR(AVERAGEIF('Данные 2st'!$Q$2:$Q$317,$A80,'Данные 2st'!$DB$2:$DB$317),"")</f>
        <v>12920</v>
      </c>
      <c r="KS80" s="7">
        <f>IFERROR(AVERAGEIF('Данные 2st'!$Q$2:$Q$317,$A80,'Данные 2st'!$DC$2:$DC$317),"")</f>
        <v>380</v>
      </c>
      <c r="KT80" s="7">
        <f>IFERROR(AVERAGEIF('Данные 2st'!$Q$2:$Q$317,$A80,'Данные 2st'!$DD$2:$DD$317),"")</f>
        <v>412</v>
      </c>
      <c r="KU80" s="7">
        <f>IFERROR(AVERAGEIF('Данные 2st'!$Q$2:$Q$317,$A80,'Данные 2st'!$DE$2:$DE$317),"")</f>
        <v>2085</v>
      </c>
      <c r="KV80" s="7">
        <f>IFERROR(AVERAGEIF('Данные 2st'!$Q$2:$Q$317,$A80,'Данные 2st'!$DF$2:$DF$317),"")</f>
        <v>2085</v>
      </c>
      <c r="KW80" s="7">
        <f>IFERROR(AVERAGEIF('Данные 2st'!$Q$2:$Q$317,$A80,'Данные 2st'!$DG$2:$DG$317),"")</f>
        <v>2096</v>
      </c>
      <c r="KX80" s="7">
        <f>IFERROR(AVERAGEIF('Данные 2st'!$Q$2:$Q$317,$A80,'Данные 2st'!$DH$2:$DH$317),"")</f>
        <v>1</v>
      </c>
      <c r="KY80" s="7">
        <f>IFERROR(AVERAGEIF('Данные 2st'!$Q$2:$Q$317,$A80,'Данные 2st'!$DI$2:$DI$317),"")</f>
        <v/>
      </c>
      <c r="KZ80" s="7">
        <f>IFERROR(AVERAGEIF('Данные 2st'!$Q$2:$Q$317,$A80,'Данные 2st'!$DK$2:$DK$317),"")</f>
        <v>245</v>
      </c>
      <c r="LA80" s="7">
        <f>IFERROR(AVERAGEIF('Данные 2st'!$Q$2:$Q$317,$A80,'Данные 2st'!$DM$2:$DM$317),"")</f>
        <v>63</v>
      </c>
      <c r="LB80" s="7">
        <f>IFERROR(AVERAGEIF('Данные 2st'!$Q$2:$Q$317,$A80,'Данные 2st'!$DN$2:$DN$317),"")</f>
        <v>1.1</v>
      </c>
      <c r="LC80" s="7">
        <f>IFERROR(AVERAGEIF('Данные 2st'!$Q$2:$Q$317,$A80,'Данные 2st'!$DO$2:$DO$317),"")</f>
        <v>1</v>
      </c>
      <c r="LD80" s="7">
        <f>IFERROR(AVERAGEIF('Данные 2st'!$Q$2:$Q$317,$A80,'Данные 2st'!$DP$2:$DP$317),"")</f>
        <v>1963</v>
      </c>
      <c r="LE80" s="7">
        <f>IFERROR(AVERAGEIF('Данные 2st'!$Q$2:$Q$317,$A80,'Данные 2st'!$DQ$2:$DQ$317),"")</f>
        <v>1040</v>
      </c>
      <c r="LF80" s="7">
        <f>IFERROR(AVERAGEIF('Данные 2st'!$Q$2:$Q$317,$A80,'Данные 2st'!$DS$2:$DS$317),"")</f>
        <v>235</v>
      </c>
      <c r="LG80" s="7">
        <f>IFERROR(AVERAGEIF('Данные 2st'!$Q$2:$Q$317,$A80,'Данные 2st'!$DU$2:$DU$317),"")</f>
        <v>63</v>
      </c>
      <c r="LH80" s="7">
        <f>IFERROR(AVERAGEIF('Данные 2st'!$Q$2:$Q$317,$A80,'Данные 2st'!$DV$2:$DV$317),"")</f>
        <v>1.1</v>
      </c>
      <c r="LI80" s="7">
        <f>IFERROR(AVERAGEIF('Данные 2st'!$Q$2:$Q$317,$A80,'Данные 2st'!$DW$2:$DW$317),"")</f>
        <v>1</v>
      </c>
      <c r="LJ80" s="7">
        <f>IFERROR(AVERAGEIF('Данные 2st'!$Q$2:$Q$317,$A80,'Данные 2st'!$DX$2:$DX$317),"")</f>
        <v>1975</v>
      </c>
      <c r="LK80" s="7">
        <f>IFERROR(AVERAGEIF('Данные 2st'!$Q$2:$Q$317,$A80,'Данные 2st'!$DY$2:$DY$317),"")</f>
        <v>1003</v>
      </c>
      <c r="LL80" s="7">
        <f>IFERROR(AVERAGEIF('Данные 2st'!$Q$2:$Q$317,$A80,'Данные 2st'!$EA$2:$EA$317),"")</f>
        <v>20</v>
      </c>
      <c r="LM80" s="7">
        <f>IFERROR(AVERAGEIF('Данные 2st'!$Q$2:$Q$317,$A80,'Данные 2st'!$EC$2:$EC$317),"")</f>
        <v>0.8</v>
      </c>
      <c r="LN80" s="7">
        <f>IFERROR(AVERAGEIF('Данные 2st'!$Q$2:$Q$317,$A80,'Данные 2st'!$ED$2:$ED$317),"")</f>
        <v>1963</v>
      </c>
      <c r="LO80" s="7">
        <f>IFERROR(AVERAGEIF('Данные 2st'!$Q$2:$Q$317,$A80,'Данные 2st'!$EE$2:$EE$317),"")</f>
        <v>69</v>
      </c>
      <c r="LP80" s="7">
        <f>IFERROR(AVERAGEIF('Данные 2st'!$Q$2:$Q$317,$A80,'Данные 2st'!$EG$2:$EG$317),"")</f>
        <v>0</v>
      </c>
      <c r="LQ80" s="7">
        <f>IFERROR(AVERAGEIF('Данные 2st'!$Q$2:$Q$317,$A80,'Данные 2st'!$EI$2:$EI$317),"")</f>
        <v>0</v>
      </c>
      <c r="LR80" s="7">
        <f>IFERROR(AVERAGEIF('Данные 2st'!$Q$2:$Q$317,$A80,'Данные 2st'!$EJ$2:$EJ$317),"")</f>
        <v/>
      </c>
      <c r="LS80" s="7">
        <f>IFERROR(AVERAGEIF('Данные 2st'!$Q$2:$Q$317,$A80,'Данные 2st'!$EK$2:$EK$317),"")</f>
        <v/>
      </c>
      <c r="LT80" s="7">
        <f>IFERROR(AVERAGEIF('Данные 2st'!$Q$2:$Q$317,$A80,'Данные 2st'!$EM$2:$EM$317),"")</f>
        <v>12</v>
      </c>
      <c r="LU80" s="7">
        <f>IFERROR(AVERAGEIF('Данные 2st'!$Q$2:$Q$317,$A80,'Данные 2st'!$EN$2:$EN$317),"")</f>
        <v>0.5</v>
      </c>
      <c r="LV80" s="7">
        <f>IFERROR(AVERAGEIF('Данные 2st'!$Q$2:$Q$317,$A80,'Данные 2st'!$EO$2:$EO$317),"")</f>
        <v>0.96</v>
      </c>
      <c r="LW80" s="7">
        <f>IFERROR(AVERAGEIF('Данные 2st'!$Q$2:$Q$317,$A80,'Данные 2st'!$EP$2:$EP$317),"")</f>
        <v>1973.83</v>
      </c>
      <c r="LX80" s="7">
        <f>IFERROR(AVERAGEIF('Данные 2st'!$Q$2:$Q$317,$A80,'Данные 2st'!$EQ$2:$EQ$317),"")</f>
        <v>40401.83</v>
      </c>
      <c r="LY80" s="7">
        <f>IFERROR(AVERAGEIF('Данные 2st'!$Q$2:$Q$317,$A80,'Данные 2st'!$ER$2:$ER$317),"")</f>
        <v>9280.6</v>
      </c>
      <c r="LZ80" s="7">
        <f>IFERROR(AVERAGEIF('Данные 2st'!$Q$2:$Q$317,$A80,'Данные 2st'!$ES$2:$ES$317),"")</f>
        <v>0</v>
      </c>
      <c r="MA80" s="7">
        <f>IFERROR(AVERAGEIF('Данные 2st'!$Q$2:$Q$317,$A80,'Данные 2st'!$ET$2:$ET$317),"")</f>
        <v>0</v>
      </c>
      <c r="MB80" s="7">
        <f>IFERROR(AVERAGEIF('Данные 2st'!$Q$2:$Q$317,$A80,'Данные 2st'!$EU$2:$EU$317),"")</f>
        <v>1</v>
      </c>
      <c r="MC80" s="7">
        <f>IFERROR(AVERAGEIF('Данные 2st'!$Q$2:$Q$317,$A80,'Данные 2st'!$EV$2:$EV$317),"")</f>
        <v>49683</v>
      </c>
      <c r="MD80" s="7">
        <f>IFERROR(AVERAGEIF('Данные 2st'!$Q$2:$Q$317,$A80,'Данные 2st'!$EW$2:$EW$317),"")</f>
        <v>597</v>
      </c>
      <c r="ME80" s="7">
        <f>IFERROR(AVERAGEIF('Данные 2st'!$Q$2:$Q$317,$A80,'Данные 2st'!$EY$2:$EY$317),"")</f>
        <v>266</v>
      </c>
      <c r="MF80" s="7">
        <f>IFERROR(AVERAGEIF('Данные 2st'!$Q$2:$Q$317,$A80,'Данные 2st'!$FA$2:$FA$317),"")</f>
        <v>4.2</v>
      </c>
      <c r="MG80" s="7">
        <f>IFERROR(AVERAGEIF('Данные 2st'!$Q$2:$Q$317,$A80,'Данные 2st'!$FB$2:$FB$317),"")</f>
        <v>1</v>
      </c>
      <c r="MH80" s="7">
        <f>IFERROR(AVERAGEIF('Данные 2st'!$Q$2:$Q$317,$A80,'Данные 2st'!$FC$2:$FC$317),"")</f>
        <v>1</v>
      </c>
      <c r="MI80" s="7">
        <f>IFERROR(AVERAGEIF('Данные 2st'!$Q$2:$Q$317,$A80,'Данные 2st'!$FD$2:$FD$317),"")</f>
        <v>2008</v>
      </c>
      <c r="MJ80" s="7">
        <f>IFERROR(AVERAGEIF('Данные 2st'!$Q$2:$Q$317,$A80,'Данные 2st'!$FE$2:$FE$317),"")</f>
        <v>2717</v>
      </c>
      <c r="MK80" s="7">
        <f>IFERROR(AVERAGEIF('Данные 2st'!$Q$2:$Q$317,$A80,'Данные 2st'!$FG$2:$FG$317),"")</f>
        <v>266</v>
      </c>
      <c r="ML80" s="7">
        <f>IFERROR(AVERAGEIF('Данные 2st'!$Q$2:$Q$317,$A80,'Данные 2st'!$FI$2:$FI$317),"")</f>
        <v>4.1</v>
      </c>
      <c r="MM80" s="7">
        <f>IFERROR(AVERAGEIF('Данные 2st'!$Q$2:$Q$317,$A80,'Данные 2st'!$FJ$2:$FJ$317),"")</f>
        <v>2008</v>
      </c>
      <c r="MN80" s="7">
        <f>IFERROR(AVERAGEIF('Данные 2st'!$Q$2:$Q$317,$A80,'Данные 2st'!$FK$2:$FK$317),"")</f>
        <v>2642</v>
      </c>
      <c r="MO80" s="7">
        <f>IFERROR(AVERAGEIF('Данные 2st'!$Q$2:$Q$317,$A80,'Данные 2st'!$FP$2:$FP$317),"")</f>
        <v>2008</v>
      </c>
      <c r="MP80" s="7">
        <f>IFERROR(AVERAGEIF('Данные 2st'!$Q$2:$Q$317,$A80,'Данные 2st'!$FQ$2:$FQ$317),"")</f>
        <v>150</v>
      </c>
      <c r="MQ80" s="7">
        <f>IFERROR(AVERAGEIF('Данные 2st'!$Q$2:$Q$317,$A80,'Данные 2st'!$FS$2:$FS$317),"")</f>
        <v>270</v>
      </c>
      <c r="MR80" s="7">
        <f>IFERROR(AVERAGEIF('Данные 2st'!$Q$2:$Q$317,$A80,'Данные 2st'!$FU$2:$FU$317),"")</f>
        <v>0.4</v>
      </c>
      <c r="MS80" s="7">
        <f>IFERROR(AVERAGEIF('Данные 2st'!$Q$2:$Q$317,$A80,'Данные 2st'!$FV$2:$FV$317),"")</f>
        <v>2008</v>
      </c>
      <c r="MT80" s="7">
        <f>IFERROR(AVERAGEIF('Данные 2st'!$Q$2:$Q$317,$A80,'Данные 2st'!$FW$2:$FW$317),"")</f>
        <v>241</v>
      </c>
      <c r="MU80" s="7">
        <f>IFERROR(AVERAGEIF('Данные 2st'!$Q$2:$Q$317,$A80,'Данные 2st'!$FY$2:$FY$317),"")</f>
        <v>5</v>
      </c>
      <c r="MV80" s="7">
        <f>IFERROR(AVERAGEIF('Данные 2st'!$Q$2:$Q$317,$A80,'Данные 2st'!$GB$2:$GB$317),"")</f>
        <v>2008</v>
      </c>
      <c r="MW80" s="7">
        <f>IFERROR(AVERAGEIF('Данные 2st'!$Q$2:$Q$317,$A80,'Данные 2st'!$GC$2:$GC$317),"")</f>
        <v>20</v>
      </c>
      <c r="MX80" s="7">
        <f>IFERROR(AVERAGEIF('Данные 2st'!$Q$2:$Q$317,$A80,'Данные 2st'!$GD$2:$GD$317),"")</f>
        <v>5770</v>
      </c>
      <c r="MY80" s="7">
        <f>IFERROR(AVERAGEIF('Данные 2st'!$Q$2:$Q$317,$A80,'Данные 2st'!$GN$2:$GN$317),"")</f>
        <v/>
      </c>
      <c r="MZ80" s="7">
        <f>IFERROR(AVERAGEIF('Данные 2st'!$Q$2:$Q$317,$A80,'Данные 2st'!$GQ$2:$GQ$317),"")</f>
        <v>0</v>
      </c>
      <c r="NA80" s="7">
        <f>IFERROR(AVERAGEIF('Данные 2st'!$Q$2:$Q$317,$A80,'Данные 2st'!$GV$2:$GV$317),"")</f>
        <v>8.7</v>
      </c>
      <c r="NB80" s="7">
        <f>IFERROR(AVERAGEIF('Данные 2st'!$Q$2:$Q$317,$A80,'Данные 2st'!$GW$2:$GW$317),"")</f>
        <v>11.5</v>
      </c>
      <c r="NC80" s="7">
        <f>IFERROR(AVERAGEIF('Данные 2st'!$Q$2:$Q$317,$A80,'Данные 2st'!$GX$2:$GX$317),"")</f>
        <v>0.5</v>
      </c>
      <c r="ND80" s="7">
        <f>IFERROR(AVERAGEIF('Данные 2st'!$Q$2:$Q$317,$A80,'Данные 2st'!$GY$2:$GY$317),"")</f>
        <v>236</v>
      </c>
      <c r="NE80" s="7">
        <f>IFERROR(AVERAGEIF('Данные 2st'!$Q$2:$Q$317,$A80,'Данные 2st'!$GZ$2:$GZ$317),"")</f>
        <v>3</v>
      </c>
      <c r="NF80" s="7">
        <f>IFERROR(AVERAGEIF('Данные 2st'!$Q$2:$Q$317,$A80,'Данные 2st'!$HA$2:$HA$317),"")</f>
        <v>286</v>
      </c>
      <c r="NG80" s="7">
        <f>IFERROR(AVERAGEIF('Данные 2st'!$Q$2:$Q$317,$A80,'Данные 2st'!$HB$2:$HB$317),"")</f>
        <v>3</v>
      </c>
      <c r="NH80" s="7">
        <f>IFERROR(AVERAGEIF('Данные 2st'!$Q$2:$Q$317,$A80,'Данные 2st'!$HC$2:$HC$317),"")</f>
        <v>2008</v>
      </c>
      <c r="NI80" s="7">
        <f>IFERROR(AVERAGEIF('Данные 2st'!$Q$2:$Q$317,$A80,'Данные 2st'!$HD$2:$HD$317),"")</f>
        <v>4</v>
      </c>
      <c r="NJ80" s="7">
        <f>IFERROR(AVERAGEIF('Данные 2st'!$Q$2:$Q$317,$A80,'Данные 2st'!$HM$2:$HM$317),"")</f>
        <v>19</v>
      </c>
      <c r="NK80" s="7">
        <f>IFERROR(AVERAGEIF('Данные 2st'!$Q$2:$Q$317,$A80,'Данные 2st'!$HR$2:$HR$317),"")</f>
        <v>3</v>
      </c>
      <c r="NL80" s="7">
        <f>IFERROR(AVERAGEIF('Данные 2st'!$Q$2:$Q$317,$A80,'Данные 2st'!$HS$2:$HS$317),"")</f>
        <v>1960</v>
      </c>
      <c r="NM80" s="7">
        <f>IFERROR(AVERAGEIF('Данные 2st'!$Q$2:$Q$317,$A80,'Данные 2st'!$HT$2:$HT$317),"")</f>
        <v>5</v>
      </c>
      <c r="NN80" s="7">
        <f>IFERROR(AVERAGEIF('Данные 2st'!$Q$2:$Q$317,$A80,'Данные 2st'!$HY$2:$HY$317),"")</f>
        <v>0</v>
      </c>
      <c r="NO80" s="7">
        <f>IFERROR(AVERAGEIF('Данные 2st'!$Q$2:$Q$317,$A80,'Данные 2st'!$HZ$2:$HZ$317),"")</f>
        <v>63</v>
      </c>
      <c r="NP80" s="7">
        <f>IFERROR(AVERAGEIF('Данные 2st'!$Q$2:$Q$317,$A80,'Данные 2st'!$IA$2:$IA$317),"")</f>
        <v>1963</v>
      </c>
      <c r="NQ80" s="7">
        <f>IFERROR(AVERAGEIF('Данные 2st'!$Q$2:$Q$317,$A80,'Данные 2st'!$IB$2:$IB$317),"")</f>
        <v>1975</v>
      </c>
      <c r="NR80" s="7">
        <f>IFERROR(AVERAGEIF('Данные 2st'!$Q$2:$Q$317,$A80,'Данные 2st'!$IC$2:$IC$317),"")</f>
        <v/>
      </c>
      <c r="NS80" s="7">
        <f>IFERROR(AVERAGEIF('Данные 2st'!$Q$2:$Q$317,$A80,'Данные 2st'!$ID$2:$ID$317),"")</f>
        <v>2008</v>
      </c>
      <c r="NT80" s="7">
        <f>IFERROR(AVERAGEIF('Данные 2st'!$Q$2:$Q$317,$A80,'Данные 2st'!$IE$2:$IE$317),"")</f>
        <v>2008</v>
      </c>
      <c r="NU80" s="7">
        <f>IFERROR(AVERAGEIF('Данные 2st'!$Q$2:$Q$317,$A80,'Данные 2st'!$IF$2:$IF$317),"")</f>
        <v>245</v>
      </c>
      <c r="NV80" s="7">
        <f>IFERROR(AVERAGEIF('Данные 2st'!$Q$2:$Q$317,$A80,'Данные 2st'!$IG$2:$IG$317),"")</f>
        <v>235</v>
      </c>
      <c r="NW80" s="7">
        <f>IFERROR(AVERAGEIF('Данные 2st'!$Q$2:$Q$317,$A80,'Данные 2st'!$IH$2:$IH$317),"")</f>
        <v>286</v>
      </c>
      <c r="NX80" s="7">
        <f>IFERROR(AVERAGEIF('Данные 2st'!$Q$2:$Q$317,$A80,'Данные 2st'!$IJ$2:$IJ$317),"")</f>
        <v>5</v>
      </c>
      <c r="NY80" s="7">
        <f>IFERROR(AVERAGEIF('Данные 2st'!$Q$2:$Q$317,$A80,'Данные 2st'!$IM$2:$IM$317),"")</f>
        <v>0</v>
      </c>
      <c r="NZ80" s="7">
        <f>IFERROR(AVERAGEIF('Данные 2st'!$Q$2:$Q$317,$A80,'Данные 2st'!$IN$2:$IN$317),"")</f>
        <v>270</v>
      </c>
      <c r="OA80" s="7">
        <f>IFERROR(AVERAGEIF('Данные 2st'!$Q$2:$Q$317,$A80,'Данные 2st'!$IO$2:$IO$317),"")</f>
        <v>0</v>
      </c>
      <c r="OB80" s="7">
        <f>IFERROR(AVERAGEIF('Данные 2st'!$Q$2:$Q$317,$A80,'Данные 2st'!$IP$2:$IP$317),"")</f>
        <v>180</v>
      </c>
      <c r="OC80" s="7">
        <f>IFERROR(AVERAGEIF('Данные 2st'!$Q$2:$Q$317,$A80,'Данные 2st'!$IQ$2:$IQ$317),"")</f>
        <v>0</v>
      </c>
      <c r="OD80" s="7">
        <f>IFERROR(AVERAGEIF('Данные 2st'!$Q$2:$Q$317,$A80,'Данные 2st'!$IR$2:$IR$317),"")</f>
        <v>330</v>
      </c>
      <c r="OE80" s="7">
        <f>IFERROR(AVERAGEIF('Данные 2st'!$Q$2:$Q$317,$A80,'Данные 2st'!$IT$2:$IT$317),"")</f>
        <v>90</v>
      </c>
      <c r="OF80" s="7">
        <f>IFERROR(AVERAGEIF('Данные 2st'!$Q$2:$Q$317,$A80,'Данные 2st'!$IU$2:$IU$317),"")</f>
        <v>0</v>
      </c>
      <c r="OG80" s="7">
        <f>IFERROR(AVERAGEIF('Данные 2st'!$Q$2:$Q$317,$A80,'Данные 2st'!$IV$2:$IV$317),"")</f>
        <v>6.4</v>
      </c>
      <c r="OH80" s="7">
        <f>IFERROR(AVERAGEIF('Данные 2st'!$Q$2:$Q$317,$A80,'Данные 2st'!$IW$2:$IW$317),"")</f>
        <v>-6</v>
      </c>
      <c r="OI80" s="7">
        <f>IFERROR(AVERAGEIF('Данные 2st'!$Q$2:$Q$317,$A80,'Данные 2st'!$IX$2:$IX$317),"")</f>
        <v>125</v>
      </c>
      <c r="OJ80" s="7">
        <f>IFERROR(AVERAGEIF('Данные 2st'!$Q$2:$Q$317,$A80,'Данные 2st'!$IY$2:$IY$317),"")</f>
        <v>95</v>
      </c>
      <c r="OK80" s="7">
        <f>IFERROR(AVERAGEIF('Данные 2st'!$Q$2:$Q$317,$A80,'Данные 2st'!$IZ$2:$IZ$317),"")</f>
        <v>0</v>
      </c>
      <c r="OL80" s="7">
        <f>IFERROR(AVERAGEIF('Данные 2st'!$Q$2:$Q$317,$A80,'Данные 2st'!$JA$2:$JA$317),"")</f>
        <v>0</v>
      </c>
      <c r="OM80" s="7">
        <f>IFERROR(AVERAGEIF('Данные 2st'!$Q$2:$Q$317,$A80,'Данные 2st'!$JB$2:$JB$317),"")</f>
        <v>0</v>
      </c>
      <c r="ON80" s="7">
        <f>IFERROR(AVERAGEIF('Данные 2st'!$Q$2:$Q$317,$A80,'Данные 2st'!$JC$2:$JC$317),"")</f>
        <v>0</v>
      </c>
      <c r="OO80" s="7">
        <f>IFERROR(AVERAGEIF('Данные 2st'!$Q$2:$Q$317,$A80,'Данные 2st'!$JD$2:$JD$317),"")</f>
        <v>0</v>
      </c>
      <c r="OP80" s="7">
        <f>IFERROR(AVERAGEIF('Данные 2st'!$Q$2:$Q$317,$A80,'Данные 2st'!$JE$2:$JE$317),"")</f>
        <v>0</v>
      </c>
      <c r="OQ80" s="7">
        <f>IFERROR(AVERAGEIF('Данные 2st'!$Q$2:$Q$317,$A80,'Данные 2st'!$JF$2:$JF$317),"")</f>
        <v>0</v>
      </c>
      <c r="OR80" s="7">
        <f>IFERROR(AVERAGEIF('Данные 2st'!$Q$2:$Q$317,$A80,'Данные 2st'!$JG$2:$JG$317),"")</f>
        <v>0</v>
      </c>
      <c r="OS80" s="7">
        <f>IFERROR(AVERAGEIF('Данные 2st'!$Q$2:$Q$317,$A80,'Данные 2st'!$JH$2:$JH$317),"")</f>
        <v>0</v>
      </c>
      <c r="OT80" s="7">
        <f>IFERROR(AVERAGEIF('Данные 2st'!$Q$2:$Q$317,$A80,'Данные 2st'!$JI$2:$JI$317),"")</f>
        <v>372</v>
      </c>
      <c r="OU80" s="7">
        <f>IFERROR(AVERAGEIF('Данные 2st'!$Q$2:$Q$317,$A80,'Данные 2st'!$JJ$2:$JJ$317),"")</f>
        <v>360</v>
      </c>
      <c r="OV80" s="7">
        <f>IFERROR(AVERAGEIF('Данные 2st'!$Q$2:$Q$317,$A80,'Данные 2st'!$JK$2:$JK$317),"")</f>
        <v>270</v>
      </c>
      <c r="OW80" s="7">
        <f>IFERROR(AVERAGEIF('Данные 2st'!$Q$2:$Q$317,$A80,'Данные 2st'!$JL$2:$JL$317),"")</f>
        <v>360</v>
      </c>
      <c r="OX80" s="7">
        <f>IFERROR(AVERAGEIF('Данные 2st'!$Q$2:$Q$317,$A80,'Данные 2st'!$JM$2:$JM$317),"")</f>
        <v>270</v>
      </c>
      <c r="OY80" s="7">
        <f>IFERROR(AVERAGEIF('Данные 2st'!$Q$2:$Q$317,$A80,'Данные 2st'!$JP$2:$JP$317),"")</f>
        <v>212</v>
      </c>
      <c r="OZ80" s="7">
        <f>IFERROR(AVERAGEIF('Данные 2st'!$Q$2:$Q$317,$A80,'Данные 2st'!$JQ$2:$JQ$317),"")</f>
        <v>266</v>
      </c>
      <c r="PA80" s="7">
        <f>IFERROR(AVERAGEIF('Данные 2st'!$Q$2:$Q$317,$A80,'Данные 2st'!$JR$2:$JR$317),"")</f>
        <v>300</v>
      </c>
      <c r="PB80" s="7">
        <f>IFERROR(AVERAGEIF('Данные 2st'!$Q$2:$Q$317,$A80,'Данные 2st'!$JS$2:$JS$317),"")</f>
        <v>256</v>
      </c>
      <c r="PC80" s="7">
        <f>IFERROR(AVERAGEIF('Данные 2st'!$Q$2:$Q$317,$A80,'Данные 2st'!$JT$2:$JT$317),"")</f>
        <v>0</v>
      </c>
      <c r="PD80" s="7">
        <f>IFERROR(AVERAGEIF('Данные 2st'!$Q$2:$Q$317,$A80,'Данные 2st'!$JU$2:$JU$317),"")</f>
        <v>0</v>
      </c>
      <c r="PE80" s="7">
        <f>IFERROR(AVERAGEIF('Данные 2st'!$Q$2:$Q$317,$A80,'Данные 2st'!$JV$2:$JV$317),"")</f>
        <v>300</v>
      </c>
      <c r="PF80" s="7">
        <f>IFERROR(AVERAGEIF('Данные 2st'!$Q$2:$Q$317,$A80,'Данные 2st'!$JW$2:$JW$317),"")</f>
        <v>300</v>
      </c>
      <c r="PG80" s="7">
        <f>IFERROR(AVERAGEIF('Данные 2st'!$Q$2:$Q$317,$A80,'Данные 2st'!$KF$2:$KF$317),"")</f>
        <v>0.2</v>
      </c>
      <c r="PH80" s="7">
        <f>IFERROR(AVERAGEIF('Данные 2st'!$Q$2:$Q$317,$A80,'Данные 2st'!$KG$2:$KG$317),"")</f>
        <v>0.11</v>
      </c>
      <c r="PI80" s="7">
        <f>IFERROR(AVERAGEIF('Данные 2st'!$Q$2:$Q$317,$A80,'Данные 2st'!$KM$2:$KM$317),"")</f>
        <v>0</v>
      </c>
      <c r="PJ80" s="7">
        <f>IFERROR(AVERAGEIF('Данные 2st'!$Q$2:$Q$317,$A80,'Данные 2st'!$KN$2:$KN$317),"")</f>
        <v>1.7</v>
      </c>
      <c r="PK80" s="7">
        <f>IFERROR(AVERAGEIF('Данные 2st'!$Q$2:$Q$317,$A80,'Данные 2st'!$KO$2:$KO$317),"")</f>
        <v>0</v>
      </c>
      <c r="PL80" s="7">
        <f>IFERROR(AVERAGEIF('Данные 2st'!$Q$2:$Q$317,$A80,'Данные 2st'!$KP$2:$KP$317),"")</f>
        <v>0</v>
      </c>
      <c r="PM80" s="7">
        <f>IFERROR(AVERAGEIF('Данные 2st'!$Q$2:$Q$317,$A80,'Данные 2st'!$KQ$2:$KQ$317),"")</f>
        <v>0.6</v>
      </c>
      <c r="PN80" s="7">
        <f>IFERROR(AVERAGEIF('Данные 2st'!$Q$2:$Q$317,$A80,'Данные 2st'!$KR$2:$KR$317),"")</f>
        <v>0.8</v>
      </c>
      <c r="PO80" s="7">
        <f>IFERROR(AVERAGEIF('Данные 2st'!$Q$2:$Q$317,$A80,'Данные 2st'!$KS$2:$KS$317),"")</f>
        <v>0</v>
      </c>
      <c r="PP80" s="7">
        <f>IFERROR(AVERAGEIF('Данные 2st'!$Q$2:$Q$317,$A80,'Данные 2st'!$KT$2:$KT$317),"")</f>
        <v>1.9</v>
      </c>
      <c r="PQ80" s="7">
        <f>IFERROR(AVERAGEIF('Данные 2st'!$Q$2:$Q$317,$A80,'Данные 2st'!$KU$2:$KU$317),"")</f>
        <v>0</v>
      </c>
      <c r="PR80" s="7">
        <f>IFERROR(AVERAGEIF('Данные 2st'!$Q$2:$Q$317,$A80,'Данные 2st'!$KV$2:$KV$317),"")</f>
        <v>0</v>
      </c>
      <c r="PS80" s="7">
        <f>IFERROR(AVERAGEIF('Данные 2st'!$Q$2:$Q$317,$A80,'Данные 2st'!$KW$2:$KW$317),"")</f>
        <v>1.2</v>
      </c>
      <c r="PT80" s="7">
        <f>IFERROR(AVERAGEIF('Данные 2st'!$Q$2:$Q$317,$A80,'Данные 2st'!$KX$2:$KX$317),"")</f>
        <v>1</v>
      </c>
      <c r="PU80" s="7">
        <f>IFERROR(AVERAGEIF('Данные 2st'!$Q$2:$Q$317,$A80,'Данные 2st'!$KY$2:$KY$317),"")</f>
        <v>0</v>
      </c>
      <c r="PV80" s="7">
        <f>IFERROR(AVERAGEIF('Данные 2st'!$Q$2:$Q$317,$A80,'Данные 2st'!$KZ$2:$KZ$317),"")</f>
        <v>0</v>
      </c>
      <c r="PW80" s="7">
        <f>IFERROR(AVERAGEIF('Данные 2st'!$Q$2:$Q$317,$A80,'Данные 2st'!$LA$2:$LA$317),"")</f>
        <v>0</v>
      </c>
      <c r="PX80" s="7">
        <f>IFERROR(AVERAGEIF('Данные 2st'!$Q$2:$Q$317,$A80,'Данные 2st'!$LB$2:$LB$317),"")</f>
        <v>0</v>
      </c>
      <c r="PY80" s="7">
        <f>IFERROR(AVERAGEIF('Данные 2st'!$Q$2:$Q$317,$A80,'Данные 2st'!$LC$2:$LC$317),"")</f>
        <v>0</v>
      </c>
      <c r="PZ80" s="7">
        <f>IFERROR(AVERAGEIF('Данные 2st'!$Q$2:$Q$317,$A80,'Данные 2st'!$LD$2:$LD$317),"")</f>
        <v>0</v>
      </c>
      <c r="QA80" s="7">
        <f>IFERROR(AVERAGEIF('Данные 2st'!$Q$2:$Q$317,$A80,'Данные 2st'!$LE$2:$LE$317),"")</f>
        <v>0</v>
      </c>
      <c r="QB80" s="7">
        <f>IFERROR(AVERAGEIF('Данные 2st'!$Q$2:$Q$317,$A80,'Данные 2st'!$LF$2:$LF$317),"")</f>
        <v>0</v>
      </c>
      <c r="QC80" s="7">
        <f>IFERROR(AVERAGEIF('Данные 2st'!$Q$2:$Q$317,$A80,'Данные 2st'!$LG$2:$LG$317),"")</f>
        <v>0</v>
      </c>
      <c r="QD80" s="7">
        <f>IFERROR(AVERAGEIF('Данные 2st'!$Q$2:$Q$317,$A80,'Данные 2st'!$LH$2:$LH$317),"")</f>
        <v>3</v>
      </c>
      <c r="QE80" s="7">
        <f>IFERROR(AVERAGEIF('Данные 2st'!$Q$2:$Q$317,$A80,'Данные 2st'!$LJ$2:$LJ$317),"")</f>
        <v>0</v>
      </c>
      <c r="QF80" s="7">
        <f>IFERROR(AVERAGEIF('Данные 2st'!$Q$2:$Q$317,$A80,'Данные 2st'!$LK$2:$LK$317),"")</f>
        <v>5.5</v>
      </c>
      <c r="QG80" s="7">
        <f>IFERROR(AVERAGEIF('Данные 2st'!$Q$2:$Q$317,$A80,'Данные 2st'!$LL$2:$LL$317),"")</f>
        <v>7</v>
      </c>
      <c r="QH80" s="7">
        <f>IFERROR(AVERAGEIF('Данные 2st'!$Q$2:$Q$317,$A80,'Данные 2st'!$LM$2:$LM$317),"")</f>
        <v>9</v>
      </c>
      <c r="QI80" s="7">
        <f>IFERROR(AVERAGEIF('Данные 2st'!$Q$2:$Q$317,$A80,'Данные 2st'!$LN$2:$LN$317),"")</f>
        <v>0.1</v>
      </c>
      <c r="QJ80" s="7">
        <f>IFERROR(AVERAGEIF('Данные 2st'!$Q$2:$Q$317,$A80,'Данные 2st'!$LO$2:$LO$317),"")</f>
        <v>1</v>
      </c>
      <c r="QK80" s="7">
        <f>IFERROR(AVERAGEIF('Данные 2st'!$Q$2:$Q$317,$A80,'Данные 2st'!$LP$2:$LP$317),"")</f>
        <v>0</v>
      </c>
      <c r="QL80" s="7">
        <f>IFERROR(AVERAGEIF('Данные 2st'!$Q$2:$Q$317,$A80,'Данные 2st'!$LQ$2:$LQ$317),"")</f>
        <v>0</v>
      </c>
      <c r="QM80" s="7">
        <f>IFERROR(AVERAGEIF('Данные 2st'!$Q$2:$Q$317,$A80,'Данные 2st'!$LW$2:$LW$317),"")</f>
        <v>2.4</v>
      </c>
      <c r="QN80" s="7">
        <f>IFERROR(AVERAGEIF('Данные 2st'!$Q$2:$Q$317,$A80,'Данные 2st'!$LX$2:$LX$317),"")</f>
        <v>2.4</v>
      </c>
      <c r="QO80" s="7">
        <f>IFERROR(AVERAGEIF('Данные 2st'!$Q$2:$Q$317,$A80,'Данные 2st'!$LY$2:$LY$317),"")</f>
        <v>2.8</v>
      </c>
      <c r="QP80" s="7">
        <f>IFERROR(AVERAGEIF('Данные 2st'!$Q$2:$Q$317,$A80,'Данные 2st'!$LZ$2:$LZ$317),"")</f>
        <v>2.8</v>
      </c>
      <c r="QQ80" s="7">
        <f>IFERROR(AVERAGEIF('Данные 2st'!$Q$2:$Q$317,$A80,'Данные 2st'!$MB$2:$MB$317),"")</f>
        <v>4</v>
      </c>
      <c r="QR80" s="7">
        <f>IFERROR(AVERAGEIF('Данные 2st'!$Q$2:$Q$317,$A80,'Данные 2st'!$MG$2:$MG$317),"")</f>
        <v>0</v>
      </c>
      <c r="QS80" s="7">
        <f>IFERROR(AVERAGEIF('Данные 2st'!$Q$2:$Q$317,$A80,'Данные 2st'!$MH$2:$MH$317),"")</f>
        <v>0</v>
      </c>
      <c r="QT80" s="7">
        <f>IFERROR(AVERAGEIF('Данные 2st'!$Q$2:$Q$317,$A80,'Данные 2st'!$MI$2:$MI$317),"")</f>
        <v>0</v>
      </c>
      <c r="QU80" s="7">
        <f>IFERROR(AVERAGEIF('Данные 2st'!$Q$2:$Q$317,$A80,'Данные 2st'!$MJ$2:$MJ$317),"")</f>
        <v>0</v>
      </c>
      <c r="QV80" s="7">
        <f>IFERROR(AVERAGEIF('Данные 2st'!$Q$2:$Q$317,$A80,'Данные 2st'!$MK$2:$MK$317),"")</f>
        <v>0</v>
      </c>
      <c r="QW80" s="7">
        <f>IFERROR(AVERAGEIF('Данные 2st'!$Q$2:$Q$317,$A80,'Данные 2st'!$MM$2:$MM$317),"")</f>
        <v>390</v>
      </c>
      <c r="QX80" s="7">
        <f>IFERROR(AVERAGEIF('Данные 2st'!$Q$2:$Q$317,$A80,'Данные 2st'!$MQ$2:$MQ$317),"")</f>
        <v/>
      </c>
      <c r="QY80" s="7">
        <f>IFERROR(AVERAGEIF('Данные 2st'!$Q$2:$Q$317,$A80,'Данные 2st'!$MR$2:$MR$317),"")</f>
        <v/>
      </c>
      <c r="QZ80" s="7">
        <f>IFERROR(AVERAGEIF('Данные 2st'!$Q$2:$Q$317,$A80,'Данные 2st'!$MS$2:$MS$317),"")</f>
        <v/>
      </c>
      <c r="RA80" s="7">
        <f>IFERROR(AVERAGEIF('Данные 2st'!$Q$2:$Q$317,$A80,'Данные 2st'!$MT$2:$MT$317),"")</f>
        <v/>
      </c>
      <c r="RB80" s="7">
        <f>IFERROR(AVERAGEIF('Данные 2st'!$Q$2:$Q$317,$A80,'Данные 2st'!$MU$2:$MU$317),"")</f>
        <v/>
      </c>
      <c r="RC80" s="7">
        <f>IFERROR(AVERAGEIF('Данные 2st'!$Q$2:$Q$317,$A80,'Данные 2st'!$MV$2:$MV$317),"")</f>
        <v/>
      </c>
      <c r="RD80" s="7">
        <f>IFERROR(AVERAGEIF('Данные 2st'!$Q$2:$Q$317,$A80,'Данные 2st'!$MW$2:$MW$317),"")</f>
        <v/>
      </c>
      <c r="RE80" s="7">
        <f>IFERROR(AVERAGEIF('Данные 2st'!$Q$2:$Q$317,$A80,'Данные 2st'!$MX$2:$MX$317),"")</f>
        <v/>
      </c>
      <c r="RF80" s="7">
        <f>IFERROR(AVERAGEIF('Данные 2st'!$Q$2:$Q$317,$A80,'Данные 2st'!$MY$2:$MY$317),"")</f>
        <v/>
      </c>
      <c r="RG80" s="7">
        <f>IFERROR(AVERAGEIF('Данные 2st'!$Q$2:$Q$317,$A80,'Данные 2st'!$MZ$2:$MZ$317),"")</f>
        <v/>
      </c>
      <c r="RH80" s="7">
        <f>IFERROR(AVERAGEIF('Данные 2st'!$Q$2:$Q$317,$A80,'Данные 2st'!$NA$2:$NA$317),"")</f>
        <v/>
      </c>
      <c r="RI80" s="7">
        <f>IFERROR(AVERAGEIF('Данные 2st'!$Q$2:$Q$317,$A80,'Данные 2st'!$NB$2:$NB$317),"")</f>
        <v/>
      </c>
      <c r="RJ80" s="7">
        <f>IFERROR(AVERAGEIF('Данные 2st'!$Q$2:$Q$317,$A80,'Данные 2st'!$NC$2:$NC$317),"")</f>
        <v/>
      </c>
      <c r="RK80" s="7">
        <f>IFERROR(AVERAGEIF('Данные 2st'!$Q$2:$Q$317,$A80,'Данные 2st'!$ND$2:$ND$317),"")</f>
        <v/>
      </c>
      <c r="RL80" s="7">
        <f>IFERROR(AVERAGEIF('Данные 2st'!$Q$2:$Q$317,$A80,'Данные 2st'!$NE$2:$NE$317),"")</f>
        <v/>
      </c>
      <c r="RM80" s="7">
        <f>IFERROR(AVERAGEIF('Данные 2st'!$Q$2:$Q$317,$A80,'Данные 2st'!$NF$2:$NF$317),"")</f>
        <v/>
      </c>
      <c r="RN80" s="7">
        <f>IFERROR(AVERAGEIF('Данные 2st'!$Q$2:$Q$317,$A80,'Данные 2st'!$NG$2:$NG$317),"")</f>
        <v/>
      </c>
      <c r="RO80" s="7">
        <f>IFERROR(AVERAGEIF('Данные 2st'!$Q$2:$Q$317,$A80,'Данные 2st'!$NH$2:$NH$317),"")</f>
        <v/>
      </c>
      <c r="RP80" s="7">
        <f>IFERROR(AVERAGEIF('Данные 2st'!$Q$2:$Q$317,$A80,'Данные 2st'!$NJ$2:$NJ$317),"")</f>
        <v/>
      </c>
      <c r="RQ80" s="7">
        <f>IFERROR(AVERAGEIF('Данные 2st'!$Q$2:$Q$317,$A80,'Данные 2st'!$NK$2:$NK$317),"")</f>
        <v/>
      </c>
      <c r="RR80" s="7">
        <f>IFERROR(AVERAGEIF('Данные 2st'!$Q$2:$Q$317,$A80,'Данные 2st'!$NM$2:$NM$317),"")</f>
        <v/>
      </c>
      <c r="RS80" s="7">
        <f>IFERROR(AVERAGEIF('Данные 2st'!$Q$2:$Q$317,$A80,'Данные 2st'!$NN$2:$NN$317),"")</f>
        <v/>
      </c>
      <c r="RT80" s="7">
        <f>IFERROR(AVERAGEIF('Данные 2st'!$Q$2:$Q$317,$A80,'Данные 2st'!$NO$2:$NO$317),"")</f>
        <v/>
      </c>
      <c r="RU80" s="7">
        <f>IFERROR(AVERAGEIF('Данные 2st'!$Q$2:$Q$317,$A80,'Данные 2st'!$NP$2:$NP$317),"")</f>
        <v/>
      </c>
      <c r="RV80" s="7">
        <f>IFERROR(AVERAGEIF('Данные 2st'!$Q$2:$Q$317,$A80,'Данные 2st'!$NQ$2:$NQ$317),"")</f>
        <v/>
      </c>
      <c r="RW80" s="7">
        <f>IFERROR(AVERAGEIF('Данные 2st'!$Q$2:$Q$317,$A80,'Данные 2st'!$NR$2:$NR$317),"")</f>
        <v/>
      </c>
      <c r="RX80" s="7">
        <f>IFERROR(AVERAGEIF('Данные 2st'!$Q$2:$Q$317,$A80,'Данные 2st'!$NS$2:$NS$317),"")</f>
        <v/>
      </c>
      <c r="RY80" s="7">
        <f>IFERROR(AVERAGEIF('Данные 2st'!$Q$2:$Q$317,$A80,'Данные 2st'!$NT$2:$NT$317),"")</f>
        <v/>
      </c>
      <c r="RZ80" s="7">
        <f>IFERROR(AVERAGEIF('Данные 2st'!$Q$2:$Q$317,$A80,'Данные 2st'!$OK$2:$OK$317),"")</f>
        <v>61</v>
      </c>
      <c r="SA80" s="7">
        <f>IFERROR(AVERAGEIF('Данные 2st'!$Q$2:$Q$317,$A80,'Данные 2st'!$OL$2:$OL$317),"")</f>
        <v>61</v>
      </c>
      <c r="SB80" s="7">
        <f>IFERROR(AVERAGEIF('Данные 2st'!$Q$2:$Q$317,$A80,'Данные 2st'!$ON$2:$ON$317),"")</f>
        <v>1</v>
      </c>
      <c r="SC80" s="7">
        <f>IFERROR(AVERAGEIF('Данные 2st'!$Q$2:$Q$317,$A80,'Данные 2st'!$OO$2:$OO$317),"")</f>
        <v>1963</v>
      </c>
      <c r="SD80" s="7">
        <f>IFERROR(AVERAGEIF('Данные 2st'!$Q$2:$Q$317,$A80,'Данные 2st'!$OP$2:$OP$317),"")</f>
        <v>61</v>
      </c>
      <c r="SE80" s="7">
        <f>IFERROR(AVERAGEIF('Данные 2st'!$Q$2:$Q$317,$A80,'Данные 2st'!$OQ$2:$OQ$317),"")</f>
        <v>61</v>
      </c>
      <c r="SF80" s="7">
        <f>IFERROR(AVERAGEIF('Данные 2st'!$Q$2:$Q$317,$A80,'Данные 2st'!$OS$2:$OS$317),"")</f>
        <v>1</v>
      </c>
      <c r="SG80" s="7">
        <f>IFERROR(AVERAGEIF('Данные 2st'!$Q$2:$Q$317,$A80,'Данные 2st'!$OT$2:$OT$317),"")</f>
        <v>1975</v>
      </c>
      <c r="SH80" s="7">
        <f>IFERROR(AVERAGEIF('Данные 2st'!$Q$2:$Q$317,$A80,'Данные 2st'!$OU$2:$OU$317),"")</f>
        <v>65</v>
      </c>
      <c r="SI80" s="7">
        <f>IFERROR(AVERAGEIF('Данные 2st'!$Q$2:$Q$317,$A80,'Данные 2st'!$OV$2:$OV$317),"")</f>
        <v>65</v>
      </c>
      <c r="SJ80" s="7">
        <f>IFERROR(AVERAGEIF('Данные 2st'!$Q$2:$Q$317,$A80,'Данные 2st'!$OX$2:$OX$317),"")</f>
        <v>2</v>
      </c>
      <c r="SK80" s="7">
        <f>IFERROR(AVERAGEIF('Данные 2st'!$Q$2:$Q$317,$A80,'Данные 2st'!$OY$2:$OY$317),"")</f>
        <v>49683</v>
      </c>
      <c r="SL80" s="7">
        <f>IFERROR(AVERAGEIF('Данные 2st'!$Q$2:$Q$317,$A80,'Данные 2st'!$OZ$2:$OZ$317),"")</f>
        <v>51</v>
      </c>
      <c r="SM80" s="7">
        <f>IFERROR(AVERAGEIF('Данные 2st'!$Q$2:$Q$317,$A80,'Данные 2st'!$PA$2:$PA$317),"")</f>
        <v>52</v>
      </c>
      <c r="SN80" s="7">
        <f>IFERROR(AVERAGEIF('Данные 2st'!$Q$2:$Q$317,$A80,'Данные 2st'!$PC$2:$PC$317),"")</f>
        <v>1</v>
      </c>
      <c r="SO80" s="7">
        <f>IFERROR(AVERAGEIF('Данные 2st'!$Q$2:$Q$317,$A80,'Данные 2st'!$PD$2:$PD$317),"")</f>
        <v>2008</v>
      </c>
      <c r="SP80" s="7">
        <f>IFERROR(AVERAGEIF('Данные 2st'!$Q$2:$Q$317,$A80,'Данные 2st'!$PF$2:$PF$317),"")</f>
        <v>530</v>
      </c>
      <c r="SQ80" s="7">
        <f>IFERROR(AVERAGEIF('Данные 2st'!$Q$2:$Q$317,$A80,'Данные 2st'!$PG$2:$PG$317),"")</f>
        <v>35</v>
      </c>
      <c r="SR80" s="7">
        <f>IFERROR(AVERAGEIF('Данные 2st'!$Q$2:$Q$317,$A80,'Данные 2st'!$PH$2:$PH$317),"")</f>
        <v>508</v>
      </c>
      <c r="SS80" s="7">
        <f>IFERROR(AVERAGEIF('Данные 2st'!$Q$2:$Q$317,$A80,'Данные 2st'!$PI$2:$PI$317),"")</f>
        <v>0</v>
      </c>
      <c r="ST80" s="7">
        <f>IFERROR(AVERAGEIF('Данные 2st'!$Q$2:$Q$317,$A80,'Данные 2st'!$PJ$2:$PJ$317),"")</f>
        <v>74.6</v>
      </c>
      <c r="SU80" s="7">
        <f>IFERROR(AVERAGEIF('Данные 2st'!$Q$2:$Q$317,$A80,'Данные 2st'!$PK$2:$PK$317),"")</f>
        <v>2222</v>
      </c>
      <c r="SV80" s="7">
        <f>IFERROR(AVERAGEIF('Данные 2st'!$Q$2:$Q$317,$A80,'Данные 2st'!$PL$2:$PL$317),"")</f>
        <v>1353.2</v>
      </c>
      <c r="SW80" s="7">
        <f>IFERROR(AVERAGEIF('Данные 2st'!$Q$2:$Q$317,$A80,'Данные 2st'!$PM$2:$PM$317),"")</f>
        <v>1315.6</v>
      </c>
      <c r="SX80" s="7">
        <f>IFERROR(AVERAGEIF('Данные 2st'!$Q$2:$Q$317,$A80,'Данные 2st'!$PN$2:$PN$317),"")</f>
        <v>120.2</v>
      </c>
      <c r="SY80" s="7">
        <f>IFERROR(AVERAGEIF('Данные 2st'!$Q$2:$Q$317,$A80,'Данные 2st'!$PO$2:$PO$317),"")</f>
        <v>10.1</v>
      </c>
      <c r="SZ80" s="7">
        <f>IFERROR(AVERAGEIF('Данные 2st'!$Q$2:$Q$317,$A80,'Данные 2st'!$PP$2:$PP$317),"")</f>
        <v>12</v>
      </c>
      <c r="TA80" s="7">
        <f>IFERROR(AVERAGEIF('Данные 2st'!$Q$2:$Q$317,$A80,'Данные 2st'!$PQ$2:$PQ$317),"")</f>
        <v>1</v>
      </c>
      <c r="TB80" s="7">
        <f>IFERROR(AVERAGEIF('Данные 2st'!$Q$2:$Q$317,$A80,'Данные 2st'!$PR$2:$PR$317),"")</f>
        <v>3</v>
      </c>
      <c r="TC80" s="7">
        <f>IFERROR(AVERAGEIF('Данные 2st'!$Q$2:$Q$317,$A80,'Данные 2st'!$PS$2:$PS$317),"")</f>
        <v>8</v>
      </c>
      <c r="TD80" s="7">
        <f>IFERROR(AVERAGEIF('Данные 2st'!$Q$2:$Q$317,$A80,'Данные 2st'!$PT$2:$PT$317),"")</f>
        <v>286</v>
      </c>
      <c r="TE80" s="7">
        <f>IFERROR(AVERAGEIF('Данные 2st'!$Q$2:$Q$317,$A80,'Данные 2st'!$PU$2:$PU$317),"")</f>
        <v>10</v>
      </c>
      <c r="TF80" s="7">
        <f>IFERROR(AVERAGEIF('Данные 2st'!$Q$2:$Q$317,$A80,'Данные 2st'!$PX$2:$PX$317),"")</f>
        <v>0</v>
      </c>
      <c r="TG80" s="7">
        <f>IFERROR(AVERAGEIF('Данные 2st'!$Q$2:$Q$317,$A80,'Данные 2st'!$PY$2:$PY$317),"")</f>
        <v>0</v>
      </c>
      <c r="TH80" s="7">
        <f>IFERROR(AVERAGEIF('Данные 2st'!$Q$2:$Q$317,$A80,'Данные 2st'!$PZ$2:$PZ$317),"")</f>
        <v>0</v>
      </c>
      <c r="TI80" s="7">
        <f>IFERROR(AVERAGEIF('Данные 2st'!$Q$2:$Q$317,$A80,'Данные 2st'!$QA$2:$QA$317),"")</f>
        <v>0</v>
      </c>
      <c r="TJ80" s="7">
        <f>IFERROR(AVERAGEIF('Данные 2st'!$Q$2:$Q$317,$A80,'Данные 2st'!$QB$2:$QB$317),"")</f>
        <v>0</v>
      </c>
      <c r="TK80" s="7">
        <f>IFERROR(AVERAGEIF('Данные 2st'!$Q$2:$Q$317,$A80,'Данные 2st'!$QC$2:$QC$317),"")</f>
        <v>0</v>
      </c>
      <c r="TL80" s="7">
        <f>IFERROR(AVERAGEIF('Данные 2st'!$Q$2:$Q$317,$A80,'Данные 2st'!$QD$2:$QD$317),"")</f>
        <v>0</v>
      </c>
      <c r="TM80" s="7">
        <f>IFERROR(AVERAGEIF('Данные 2st'!$Q$2:$Q$317,$A80,'Данные 2st'!$QE$2:$QE$317),"")</f>
        <v>-1</v>
      </c>
      <c r="TN80" s="7">
        <f>IFERROR(AVERAGEIF('Данные 2st'!$Q$2:$Q$317,$A80,'Данные 2st'!$QF$2:$QF$317),"")</f>
        <v>1</v>
      </c>
      <c r="TO80" s="7">
        <f>IFERROR(AVERAGEIF('Данные 2st'!$Q$2:$Q$317,$A80,'Данные 2st'!$QG$2:$QG$317),"")</f>
        <v>0</v>
      </c>
      <c r="TP80" s="7">
        <f>IFERROR(AVERAGEIF('Данные 2st'!$Q$2:$Q$317,$A80,'Данные 2st'!$QH$2:$QH$317),"")</f>
        <v>5</v>
      </c>
      <c r="TQ80" s="7">
        <f>IFERROR(AVERAGEIF('Данные 2st'!$Q$2:$Q$317,$A80,'Данные 2st'!$QI$2:$QI$317),"")</f>
        <v>5</v>
      </c>
      <c r="TR80" s="7">
        <f>IFERROR(AVERAGEIF('Данные 2st'!$Q$2:$Q$317,$A80,'Данные 2st'!$QJ$2:$QJ$317),"")</f>
        <v>5</v>
      </c>
      <c r="TS80" s="7">
        <f>IFERROR(AVERAGEIF('Данные 2st'!$Q$2:$Q$317,$A80,'Данные 2st'!$QK$2:$QK$317),"")</f>
        <v>202</v>
      </c>
      <c r="TT80" s="7">
        <f>IFERROR(AVERAGEIF('Данные 2st'!$Q$2:$Q$317,$A80,'Данные 2st'!$QL$2:$QL$317),"")</f>
        <v>402</v>
      </c>
      <c r="TU80" s="7">
        <f>IFERROR(AVERAGEIF('Данные 2st'!$Q$2:$Q$317,$A80,'Данные 2st'!$QM$2:$QM$317),"")</f>
        <v>7.5</v>
      </c>
      <c r="TV80" s="7">
        <f>IFERROR(AVERAGEIF('Данные 2st'!$Q$2:$Q$317,$A80,'Данные 2st'!$QN$2:$QN$317),"")</f>
        <v>1539.3</v>
      </c>
      <c r="TW80" s="7">
        <f>IFERROR(AVERAGEIF('Данные 2st'!$Q$2:$Q$317,$A80,'Данные 2st'!$QQ$2:$QQ$317),"")</f>
        <v>0</v>
      </c>
      <c r="TX80" s="7">
        <f>IFERROR(AVERAGEIF('Данные 2st'!$Q$2:$Q$317,$A80,'Данные 2st'!$QS$2:$QS$317),"")</f>
        <v>40</v>
      </c>
      <c r="TY80" s="7">
        <f>IFERROR(AVERAGEIF('Данные 2st'!$Q$2:$Q$317,$A80,'Данные 2st'!$QT$2:$QT$317),"")</f>
        <v>50</v>
      </c>
    </row>
    <row r="81" spans="1:545" ht="32" customHeight="1">
      <c r="A81" s="11" t="s">
        <v>2875</v>
      </c>
      <c r="B81">
        <f>COUNTIF('Данные 1st'!$S$2:$S$317,$A81)</f>
        <v>1</v>
      </c>
      <c r="C81" s="6" t="s">
        <v>2657</v>
      </c>
      <c r="D81" s="6" t="s">
        <v>513</v>
      </c>
      <c r="E81" s="6" t="s">
        <v>517</v>
      </c>
      <c r="F81" s="6" t="s">
        <v>2872</v>
      </c>
      <c r="G81" s="7">
        <f>IFERROR(AVERAGEIF('Данные 1st'!$S$2:$S$317,$A81,'Данные 1st'!$AE$2:$AE$317),"")</f>
        <v>214</v>
      </c>
      <c r="H81" s="7">
        <f>IFERROR(AVERAGEIF('Данные 1st'!$S$2:$S$317,$A81,'Данные 1st'!$AF$2:$AF$317),"")</f>
        <v>1.5</v>
      </c>
      <c r="I81" s="7">
        <f>IFERROR(AVERAGEIF('Данные 1st'!$S$2:$S$317,$A81,'Данные 1st'!$AJ$2:$AJ$317),"")</f>
        <v>195</v>
      </c>
      <c r="J81" s="7">
        <f>IFERROR(AVERAGEIF('Данные 1st'!$S$2:$S$317,$A81,'Данные 1st'!$AL$2:$AL$317),"")</f>
        <v>1.5</v>
      </c>
      <c r="K81" s="7">
        <f>IFERROR(AVERAGEIF('Данные 1st'!$S$2:$S$317,$A81,'Данные 1st'!$AR$2:$AR$317),"")</f>
        <v>233</v>
      </c>
      <c r="L81" s="7">
        <f>IFERROR(AVERAGEIF('Данные 1st'!$S$2:$S$317,$A81,'Данные 1st'!$AS$2:$AS$317),"")</f>
        <v>1.5</v>
      </c>
      <c r="M81" s="7">
        <f>IFERROR(AVERAGEIF('Данные 1st'!$S$2:$S$317,$A81,'Данные 1st'!$AY$2:$AY$317),"")</f>
        <v>335</v>
      </c>
      <c r="N81" s="7">
        <f>IFERROR(AVERAGEIF('Данные 1st'!$S$2:$S$317,$A81,'Данные 1st'!$AZ$2:$AZ$317),"")</f>
        <v>1.5</v>
      </c>
      <c r="O81" s="7">
        <f>IFERROR(AVERAGEIF('Данные 1st'!$S$2:$S$317,$A81,'Данные 1st'!$BF$2:$BF$317),"")</f>
        <v/>
      </c>
      <c r="P81" s="7">
        <f>IFERROR(AVERAGEIF('Данные 1st'!$S$2:$S$317,$A81,'Данные 1st'!$BG$2:$BG$317),"")</f>
        <v>1.5</v>
      </c>
      <c r="Q81" s="7">
        <f>IFERROR(AVERAGEIF('Данные 1st'!$S$2:$S$317,$A81,'Данные 1st'!$BM$2:$BM$317),"")</f>
        <v/>
      </c>
      <c r="R81" s="7">
        <f>IFERROR(AVERAGEIF('Данные 1st'!$S$2:$S$317,$A81,'Данные 1st'!$BN$2:$BN$317),"")</f>
        <v>1.5</v>
      </c>
      <c r="S81" s="7">
        <f>IFERROR(AVERAGEIF('Данные 1st'!$S$2:$S$317,$A81,'Данные 1st'!$BT$2:$BT$317),"")</f>
        <v>213</v>
      </c>
      <c r="T81" s="7">
        <f>IFERROR(AVERAGEIF('Данные 1st'!$S$2:$S$317,$A81,'Данные 1st'!$BU$2:$BU$317),"")</f>
        <v>0.5</v>
      </c>
      <c r="U81" s="7">
        <f>IFERROR(AVERAGEIF('Данные 1st'!$S$2:$S$317,$A81,'Данные 1st'!$BW$2:$BW$317),"")</f>
        <v>426</v>
      </c>
      <c r="V81" s="7">
        <f>IFERROR(AVERAGEIF('Данные 1st'!$S$2:$S$317,$A81,'Данные 1st'!$BX$2:$BX$317),"")</f>
        <v>1</v>
      </c>
      <c r="W81" s="7">
        <f>IFERROR(AVERAGEIF('Данные 1st'!$S$2:$S$317,$A81,'Данные 1st'!$BZ$2:$BZ$317),"")</f>
        <v>300</v>
      </c>
      <c r="X81" s="7">
        <f>IFERROR(AVERAGEIF('Данные 1st'!$S$2:$S$317,$A81,'Данные 1st'!$CA$2:$CA$317),"")</f>
        <v>500</v>
      </c>
      <c r="Y81" s="7">
        <f>IFERROR(AVERAGEIF('Данные 1st'!$S$2:$S$317,$A81,'Данные 1st'!$CD$2:$CD$317),"")</f>
        <v>442</v>
      </c>
      <c r="Z81" s="7">
        <f>IFERROR(AVERAGEIF('Данные 1st'!$S$2:$S$317,$A81,'Данные 1st'!$CF$2:$CF$317),"")</f>
        <v>15</v>
      </c>
      <c r="AA81" s="7">
        <f>IFERROR(AVERAGEIF('Данные 1st'!$S$2:$S$317,$A81,'Данные 1st'!$CI$2:$CI$317),"")</f>
        <v>100</v>
      </c>
      <c r="AB81" s="7">
        <f>IFERROR(AVERAGEIF('Данные 1st'!$S$2:$S$317,$A81,'Данные 1st'!$CJ$2:$CJ$317),"")</f>
        <v>1458</v>
      </c>
      <c r="AC81" s="7">
        <f>IFERROR(AVERAGEIF('Данные 1st'!$S$2:$S$317,$A81,'Данные 1st'!$CK$2:$CK$317),"")</f>
        <v>2</v>
      </c>
      <c r="AD81" s="7">
        <f>IFERROR(AVERAGEIF('Данные 1st'!$S$2:$S$317,$A81,'Данные 1st'!$CL$2:$CL$317),"")</f>
        <v>1552</v>
      </c>
      <c r="AE81" s="7">
        <f>IFERROR(AVERAGEIF('Данные 1st'!$S$2:$S$317,$A81,'Данные 1st'!$CM$2:$CM$317),"")</f>
        <v>2</v>
      </c>
      <c r="AF81" s="7">
        <f>IFERROR(AVERAGEIF('Данные 1st'!$S$2:$S$317,$A81,'Данные 1st'!$CT$2:$CT$317),"")</f>
        <v>390</v>
      </c>
      <c r="AG81" s="7">
        <f>IFERROR(AVERAGEIF('Данные 1st'!$S$2:$S$317,$A81,'Данные 1st'!$CU$2:$CU$317),"")</f>
        <v>5</v>
      </c>
      <c r="AH81" s="7">
        <f>IFERROR(AVERAGEIF('Данные 1st'!$S$2:$S$317,$A81,'Данные 1st'!$CV$2:$CV$317),"")</f>
        <v>1.2</v>
      </c>
      <c r="AI81" s="7">
        <f>IFERROR(AVERAGEIF('Данные 1st'!$S$2:$S$317,$A81,'Данные 1st'!$CW$2:$CW$317),"")</f>
        <v>1475</v>
      </c>
      <c r="AJ81" s="7">
        <f>IFERROR(AVERAGEIF('Данные 1st'!$S$2:$S$317,$A81,'Данные 1st'!$CX$2:$CX$317),"")</f>
        <v>814</v>
      </c>
      <c r="AK81" s="7">
        <f>IFERROR(AVERAGEIF('Данные 1st'!$S$2:$S$317,$A81,'Данные 1st'!$CZ$2:$CZ$317),"")</f>
        <v>50</v>
      </c>
      <c r="AL81" s="7">
        <f>IFERROR(AVERAGEIF('Данные 1st'!$S$2:$S$317,$A81,'Данные 1st'!$DA$2:$DA$317),"")</f>
        <v>3</v>
      </c>
      <c r="AM81" s="7">
        <f>IFERROR(AVERAGEIF('Данные 1st'!$S$2:$S$317,$A81,'Данные 1st'!$DB$2:$DB$317),"")</f>
        <v>1</v>
      </c>
      <c r="AN81" s="7">
        <f>IFERROR(AVERAGEIF('Данные 1st'!$S$2:$S$317,$A81,'Данные 1st'!$DC$2:$DC$317),"")</f>
        <v>1475</v>
      </c>
      <c r="AO81" s="7">
        <f>IFERROR(AVERAGEIF('Данные 1st'!$S$2:$S$317,$A81,'Данные 1st'!$DD$2:$DD$317),"")</f>
        <v>77</v>
      </c>
      <c r="AP81" s="7">
        <f>IFERROR(AVERAGEIF('Данные 1st'!$S$2:$S$317,$A81,'Данные 1st'!$DF$2:$DF$317),"")</f>
        <v>670</v>
      </c>
      <c r="AQ81" s="7">
        <f>IFERROR(AVERAGEIF('Данные 1st'!$S$2:$S$317,$A81,'Данные 1st'!$DG$2:$DG$317),"")</f>
        <v>3</v>
      </c>
      <c r="AR81" s="7">
        <f>IFERROR(AVERAGEIF('Данные 1st'!$S$2:$S$317,$A81,'Данные 1st'!$DH$2:$DH$317),"")</f>
        <v>1.18</v>
      </c>
      <c r="AS81" s="7">
        <f>IFERROR(AVERAGEIF('Данные 1st'!$S$2:$S$317,$A81,'Данные 1st'!$DI$2:$DI$317),"")</f>
        <v>1468</v>
      </c>
      <c r="AT81" s="7">
        <f>IFERROR(AVERAGEIF('Данные 1st'!$S$2:$S$317,$A81,'Данные 1st'!$DJ$2:$DJ$317),"")</f>
        <v>1533</v>
      </c>
      <c r="AU81" s="7">
        <f>IFERROR(AVERAGEIF('Данные 1st'!$S$2:$S$317,$A81,'Данные 1st'!$DL$2:$DL$317),"")</f>
        <v/>
      </c>
      <c r="AV81" s="7">
        <f>IFERROR(AVERAGEIF('Данные 1st'!$S$2:$S$317,$A81,'Данные 1st'!$DM$2:$DM$317),"")</f>
        <v/>
      </c>
      <c r="AW81" s="7">
        <f>IFERROR(AVERAGEIF('Данные 1st'!$S$2:$S$317,$A81,'Данные 1st'!$DN$2:$DN$317),"")</f>
        <v/>
      </c>
      <c r="AX81" s="7">
        <f>IFERROR(AVERAGEIF('Данные 1st'!$S$2:$S$317,$A81,'Данные 1st'!$DO$2:$DO$317),"")</f>
        <v/>
      </c>
      <c r="AY81" s="7">
        <f>IFERROR(AVERAGEIF('Данные 1st'!$S$2:$S$317,$A81,'Данные 1st'!$DP$2:$DP$317),"")</f>
        <v/>
      </c>
      <c r="AZ81" s="7">
        <f>IFERROR(AVERAGEIF('Данные 1st'!$S$2:$S$317,$A81,'Данные 1st'!$DR$2:$DR$317),"")</f>
        <v/>
      </c>
      <c r="BA81" s="7">
        <f>IFERROR(AVERAGEIF('Данные 1st'!$S$2:$S$317,$A81,'Данные 1st'!$DS$2:$DS$317),"")</f>
        <v/>
      </c>
      <c r="BB81" s="7">
        <f>IFERROR(AVERAGEIF('Данные 1st'!$S$2:$S$317,$A81,'Данные 1st'!$DT$2:$DT$317),"")</f>
        <v/>
      </c>
      <c r="BC81" s="7">
        <f>IFERROR(AVERAGEIF('Данные 1st'!$S$2:$S$317,$A81,'Данные 1st'!$DU$2:$DU$317),"")</f>
        <v/>
      </c>
      <c r="BD81" s="7">
        <f>IFERROR(AVERAGEIF('Данные 1st'!$S$2:$S$317,$A81,'Данные 1st'!$DV$2:$DV$317),"")</f>
        <v/>
      </c>
      <c r="BE81" s="7">
        <f>IFERROR(AVERAGEIF('Данные 1st'!$S$2:$S$317,$A81,'Данные 1st'!$DX$2:$DX$317),"")</f>
        <v>7.5</v>
      </c>
      <c r="BF81" s="7">
        <f>IFERROR(AVERAGEIF('Данные 1st'!$S$2:$S$317,$A81,'Данные 1st'!$EA$2:$EA$317),"")</f>
        <v>1540.9</v>
      </c>
      <c r="BG81" s="7">
        <f>IFERROR(AVERAGEIF('Данные 1st'!$S$2:$S$317,$A81,'Данные 1st'!$EB$2:$EB$317),"")</f>
        <v>363</v>
      </c>
      <c r="BH81" s="7">
        <f>IFERROR(AVERAGEIF('Данные 1st'!$S$2:$S$317,$A81,'Данные 1st'!$ED$2:$ED$317),"")</f>
        <v>30</v>
      </c>
      <c r="BI81" s="7">
        <f>IFERROR(AVERAGEIF('Данные 1st'!$S$2:$S$317,$A81,'Данные 1st'!$EE$2:$EE$317),"")</f>
        <v>3</v>
      </c>
      <c r="BJ81" s="7">
        <f>IFERROR(AVERAGEIF('Данные 1st'!$S$2:$S$317,$A81,'Данные 1st'!$EG$2:$EG$317),"")</f>
        <v>1592</v>
      </c>
      <c r="BK81" s="7">
        <f>IFERROR(AVERAGEIF('Данные 1st'!$S$2:$S$317,$A81,'Данные 1st'!$EH$2:$EH$317),"")</f>
        <v>186</v>
      </c>
      <c r="BL81" s="7">
        <f>IFERROR(AVERAGEIF('Данные 1st'!$S$2:$S$317,$A81,'Данные 1st'!$EJ$2:$EJ$317),"")</f>
        <v>0</v>
      </c>
      <c r="BM81" s="7">
        <f>IFERROR(AVERAGEIF('Данные 1st'!$S$2:$S$317,$A81,'Данные 1st'!$EK$2:$EK$317),"")</f>
        <v>1</v>
      </c>
      <c r="BN81" s="7">
        <f>IFERROR(AVERAGEIF('Данные 1st'!$S$2:$S$317,$A81,'Данные 1st'!$EN$2:$EN$317),"")</f>
        <v>0</v>
      </c>
      <c r="BO81" s="7">
        <f>IFERROR(AVERAGEIF('Данные 1st'!$S$2:$S$317,$A81,'Данные 1st'!$EQ$2:$EQ$317),"")</f>
        <v>85</v>
      </c>
      <c r="BP81" s="7">
        <f>IFERROR(AVERAGEIF('Данные 1st'!$S$2:$S$317,$A81,'Данные 1st'!$ER$2:$ER$317),"")</f>
        <v>3</v>
      </c>
      <c r="BQ81" s="7">
        <f>IFERROR(AVERAGEIF('Данные 1st'!$S$2:$S$317,$A81,'Данные 1st'!$ES$2:$ES$317),"")</f>
        <v>5</v>
      </c>
      <c r="BR81" s="7">
        <f>IFERROR(AVERAGEIF('Данные 1st'!$S$2:$S$317,$A81,'Данные 1st'!$ET$2:$ET$317),"")</f>
        <v>1451</v>
      </c>
      <c r="BS81" s="7">
        <f>IFERROR(AVERAGEIF('Данные 1st'!$S$2:$S$317,$A81,'Данные 1st'!$EU$2:$EU$317),"")</f>
        <v>347.7</v>
      </c>
      <c r="BT81" s="7">
        <f>IFERROR(AVERAGEIF('Данные 1st'!$S$2:$S$317,$A81,'Данные 1st'!$EV$2:$EV$317),"")</f>
        <v>505</v>
      </c>
      <c r="BU81" s="7">
        <f>IFERROR(AVERAGEIF('Данные 1st'!$S$2:$S$317,$A81,'Данные 1st'!$EX$2:$EX$317),"")</f>
        <v>45</v>
      </c>
      <c r="BV81" s="7">
        <f>IFERROR(AVERAGEIF('Данные 1st'!$S$2:$S$317,$A81,'Данные 1st'!$EY$2:$EY$317),"")</f>
        <v>2</v>
      </c>
      <c r="BW81" s="7">
        <f>IFERROR(AVERAGEIF('Данные 1st'!$S$2:$S$317,$A81,'Данные 1st'!$EZ$2:$EZ$317),"")</f>
        <v>4.5</v>
      </c>
      <c r="BX81" s="7">
        <f>IFERROR(AVERAGEIF('Данные 1st'!$S$2:$S$317,$A81,'Данные 1st'!$FA$2:$FA$317),"")</f>
        <v>1451</v>
      </c>
      <c r="BY81" s="7">
        <f>IFERROR(AVERAGEIF('Данные 1st'!$S$2:$S$317,$A81,'Данные 1st'!$FB$2:$FB$317),"")</f>
        <v>148.4</v>
      </c>
      <c r="BZ81" s="7">
        <f>IFERROR(AVERAGEIF('Данные 1st'!$S$2:$S$317,$A81,'Данные 1st'!$FC$2:$FC$317),"")</f>
        <v>215</v>
      </c>
      <c r="CA81" s="7">
        <f>IFERROR(AVERAGEIF('Данные 1st'!$S$2:$S$317,$A81,'Данные 1st'!$FE$2:$FE$317),"")</f>
        <v>0</v>
      </c>
      <c r="CB81" s="7">
        <f>IFERROR(AVERAGEIF('Данные 1st'!$S$2:$S$317,$A81,'Данные 1st'!$FF$2:$FF$317),"")</f>
        <v>2</v>
      </c>
      <c r="CC81" s="7">
        <f>IFERROR(AVERAGEIF('Данные 1st'!$S$2:$S$317,$A81,'Данные 1st'!$FI$2:$FI$317),"")</f>
        <v>0</v>
      </c>
      <c r="CD81" s="7">
        <f>IFERROR(AVERAGEIF('Данные 1st'!$S$2:$S$317,$A81,'Данные 1st'!$FL$2:$FL$317),"")</f>
        <v>0.4</v>
      </c>
      <c r="CE81" s="7">
        <f>IFERROR(AVERAGEIF('Данные 1st'!$S$2:$S$317,$A81,'Данные 1st'!$FM$2:$FM$317),"")</f>
        <v>65</v>
      </c>
      <c r="CF81" s="7">
        <f>IFERROR(AVERAGEIF('Данные 1st'!$S$2:$S$317,$A81,'Данные 1st'!$FN$2:$FN$317),"")</f>
        <v>350</v>
      </c>
      <c r="CG81" s="7">
        <f>IFERROR(AVERAGEIF('Данные 1st'!$S$2:$S$317,$A81,'Данные 1st'!$FO$2:$FO$317),"")</f>
        <v>60</v>
      </c>
      <c r="CH81" s="7">
        <f>IFERROR(AVERAGEIF('Данные 1st'!$S$2:$S$317,$A81,'Данные 1st'!$FP$2:$FP$317),"")</f>
        <v>180</v>
      </c>
      <c r="CI81" s="7">
        <f>IFERROR(AVERAGEIF('Данные 1st'!$S$2:$S$317,$A81,'Данные 1st'!$FS$2:$FS$317),"")</f>
        <v>0.4</v>
      </c>
      <c r="CJ81" s="7">
        <f>IFERROR(AVERAGEIF('Данные 1st'!$S$2:$S$317,$A81,'Данные 1st'!$FT$2:$FT$317),"")</f>
        <v>30</v>
      </c>
      <c r="CK81" s="7">
        <f>IFERROR(AVERAGEIF('Данные 1st'!$S$2:$S$317,$A81,'Данные 1st'!$FU$2:$FU$317),"")</f>
        <v>390</v>
      </c>
      <c r="CL81" s="7">
        <f>IFERROR(AVERAGEIF('Данные 1st'!$S$2:$S$317,$A81,'Данные 1st'!$FV$2:$FV$317),"")</f>
        <v/>
      </c>
      <c r="CM81" s="7">
        <f>IFERROR(AVERAGEIF('Данные 1st'!$S$2:$S$317,$A81,'Данные 1st'!$FW$2:$FW$317),"")</f>
        <v/>
      </c>
      <c r="CN81" s="7">
        <f>IFERROR(AVERAGEIF('Данные 1st'!$S$2:$S$317,$A81,'Данные 1st'!$FZ$2:$FZ$317),"")</f>
        <v/>
      </c>
      <c r="CO81" s="7">
        <f>IFERROR(AVERAGEIF('Данные 1st'!$S$2:$S$317,$A81,'Данные 1st'!$GA$2:$GA$317),"")</f>
        <v/>
      </c>
      <c r="CP81" s="7">
        <f>IFERROR(AVERAGEIF('Данные 1st'!$S$2:$S$317,$A81,'Данные 1st'!$GB$2:$GB$317),"")</f>
        <v/>
      </c>
      <c r="CQ81" s="7">
        <f>IFERROR(AVERAGEIF('Данные 1st'!$S$2:$S$317,$A81,'Данные 1st'!$GH$2:$GH$317),"")</f>
        <v/>
      </c>
      <c r="CR81" s="7">
        <f>IFERROR(AVERAGEIF('Данные 1st'!$S$2:$S$317,$A81,'Данные 1st'!$GI$2:$GI$317),"")</f>
        <v/>
      </c>
      <c r="CS81" s="7">
        <f>IFERROR(AVERAGEIF('Данные 1st'!$S$2:$S$317,$A81,'Данные 1st'!$GJ$2:$GJ$317),"")</f>
        <v/>
      </c>
      <c r="CT81" s="7">
        <f>IFERROR(AVERAGEIF('Данные 1st'!$S$2:$S$317,$A81,'Данные 1st'!$GS$2:$GS$317),"")</f>
        <v/>
      </c>
      <c r="CU81" s="7">
        <f>IFERROR(AVERAGEIF('Данные 1st'!$S$2:$S$317,$A81,'Данные 1st'!$GT$2:$GT$317),"")</f>
        <v/>
      </c>
      <c r="CV81" s="7">
        <f>IFERROR(AVERAGEIF('Данные 1st'!$S$2:$S$317,$A81,'Данные 1st'!$GU$2:$GU$317),"")</f>
        <v/>
      </c>
      <c r="CW81" s="7">
        <f>IFERROR(AVERAGEIF('Данные 1st'!$S$2:$S$317,$A81,'Данные 1st'!$GV$2:$GV$317),"")</f>
        <v/>
      </c>
      <c r="CX81" s="7">
        <f>IFERROR(AVERAGEIF('Данные 1st'!$S$2:$S$317,$A81,'Данные 1st'!$GW$2:$GW$317),"")</f>
        <v/>
      </c>
      <c r="CY81" s="7">
        <f>IFERROR(AVERAGEIF('Данные 1st'!$S$2:$S$317,$A81,'Данные 1st'!$GZ$2:$GZ$317),"")</f>
        <v/>
      </c>
      <c r="CZ81" s="7">
        <f>IFERROR(AVERAGEIF('Данные 1st'!$S$2:$S$317,$A81,'Данные 1st'!$HA$2:$HA$317),"")</f>
        <v/>
      </c>
      <c r="DA81" s="7">
        <f>IFERROR(AVERAGEIF('Данные 1st'!$S$2:$S$317,$A81,'Данные 1st'!$HB$2:$HB$317),"")</f>
        <v/>
      </c>
      <c r="DB81" s="7">
        <f>IFERROR(AVERAGEIF('Данные 1st'!$S$2:$S$317,$A81,'Данные 1st'!$HC$2:$HC$317),"")</f>
        <v>0.1</v>
      </c>
      <c r="DC81" s="7">
        <f>IFERROR(AVERAGEIF('Данные 1st'!$S$2:$S$317,$A81,'Данные 1st'!$HD$2:$HD$317),"")</f>
        <v>3</v>
      </c>
      <c r="DD81" s="7">
        <f>IFERROR(AVERAGEIF('Данные 1st'!$S$2:$S$317,$A81,'Данные 1st'!$HE$2:$HE$317),"")</f>
        <v>3</v>
      </c>
      <c r="DE81" s="7">
        <f>IFERROR(AVERAGEIF('Данные 1st'!$S$2:$S$317,$A81,'Данные 1st'!$HF$2:$HF$317),"")</f>
        <v>3</v>
      </c>
      <c r="DF81" s="7">
        <f>IFERROR(AVERAGEIF('Данные 1st'!$S$2:$S$317,$A81,'Данные 1st'!$HG$2:$HG$317),"")</f>
        <v>3</v>
      </c>
      <c r="DG81" s="7">
        <f>IFERROR(AVERAGEIF('Данные 1st'!$S$2:$S$317,$A81,'Данные 1st'!$HH$2:$HH$317),"")</f>
        <v>3</v>
      </c>
      <c r="DH81" s="7">
        <f>IFERROR(AVERAGEIF('Данные 1st'!$S$2:$S$317,$A81,'Данные 1st'!$HI$2:$HI$317),"")</f>
        <v>115</v>
      </c>
      <c r="DI81" s="7">
        <f>IFERROR(AVERAGEIF('Данные 1st'!$S$2:$S$317,$A81,'Данные 1st'!$HJ$2:$HJ$317),"")</f>
        <v>3</v>
      </c>
      <c r="DJ81" s="7">
        <f>IFERROR(AVERAGEIF('Данные 1st'!$S$2:$S$317,$A81,'Данные 1st'!$HK$2:$HK$317),"")</f>
        <v>30</v>
      </c>
      <c r="DK81" s="7">
        <f>IFERROR(AVERAGEIF('Данные 1st'!$S$2:$S$317,$A81,'Данные 1st'!$HL$2:$HL$317),"")</f>
        <v>2</v>
      </c>
      <c r="DL81" s="7">
        <f>IFERROR(AVERAGEIF('Данные 1st'!$S$2:$S$317,$A81,'Данные 1st'!$HM$2:$HM$317),"")</f>
        <v>0</v>
      </c>
      <c r="DM81" s="7">
        <f>IFERROR(AVERAGEIF('Данные 1st'!$S$2:$S$317,$A81,'Данные 1st'!$HN$2:$HN$317),"")</f>
        <v>2</v>
      </c>
      <c r="DN81" s="7">
        <f>IFERROR(AVERAGEIF('Данные 1st'!$S$2:$S$317,$A81,'Данные 1st'!$HO$2:$HO$317),"")</f>
        <v>70</v>
      </c>
      <c r="DO81" s="7">
        <f>IFERROR(AVERAGEIF('Данные 1st'!$S$2:$S$317,$A81,'Данные 1st'!$HP$2:$HP$317),"")</f>
        <v>3</v>
      </c>
      <c r="DP81" s="7">
        <f>IFERROR(AVERAGEIF('Данные 1st'!$S$2:$S$317,$A81,'Данные 1st'!$HQ$2:$HQ$317),"")</f>
        <v>0</v>
      </c>
      <c r="DQ81" s="7">
        <f>IFERROR(AVERAGEIF('Данные 1st'!$S$2:$S$317,$A81,'Данные 1st'!$HR$2:$HR$317),"")</f>
        <v>2</v>
      </c>
      <c r="DR81" s="7">
        <f>IFERROR(AVERAGEIF('Данные 1st'!$S$2:$S$317,$A81,'Данные 1st'!$HS$2:$HS$317),"")</f>
        <v>5039</v>
      </c>
      <c r="DS81" s="7">
        <f>IFERROR(AVERAGEIF('Данные 1st'!$S$2:$S$317,$A81,'Данные 1st'!$HT$2:$HT$317),"")</f>
        <v>150</v>
      </c>
      <c r="DT81" s="7">
        <f>IFERROR(AVERAGEIF('Данные 1st'!$S$2:$S$317,$A81,'Данные 1st'!$HU$2:$HU$317),"")</f>
        <v>180</v>
      </c>
      <c r="DU81" s="7">
        <f>IFERROR(AVERAGEIF('Данные 1st'!$S$2:$S$317,$A81,'Данные 1st'!$HW$2:$HW$317),"")</f>
        <v>20</v>
      </c>
      <c r="DV81" s="7">
        <f>IFERROR(AVERAGEIF('Данные 1st'!$S$2:$S$317,$A81,'Данные 1st'!$HX$2:$HX$317),"")</f>
        <v>430</v>
      </c>
      <c r="DW81" s="7">
        <f>IFERROR(AVERAGEIF('Данные 1st'!$S$2:$S$317,$A81,'Данные 1st'!$HY$2:$HY$317),"")</f>
        <v>0.18</v>
      </c>
      <c r="DX81" s="7">
        <f>IFERROR(AVERAGEIF('Данные 1st'!$S$2:$S$317,$A81,'Данные 1st'!$IA$2:$IA$317),"")</f>
        <v>0.15</v>
      </c>
      <c r="DY81" s="7">
        <f>IFERROR(AVERAGEIF('Данные 1st'!$S$2:$S$317,$A81,'Данные 1st'!$IB$2:$IB$317),"")</f>
        <v>0</v>
      </c>
      <c r="DZ81" s="7">
        <f>IFERROR(AVERAGEIF('Данные 1st'!$S$2:$S$317,$A81,'Данные 1st'!$IC$2:$IC$317),"")</f>
        <v>180</v>
      </c>
      <c r="EA81" s="7">
        <f>IFERROR(AVERAGEIF('Данные 1st'!$S$2:$S$317,$A81,'Данные 1st'!$ID$2:$ID$317),"")</f>
        <v>110</v>
      </c>
      <c r="EB81" s="7">
        <f>IFERROR(AVERAGEIF('Данные 1st'!$S$2:$S$317,$A81,'Данные 1st'!$IE$2:$IE$317),"")</f>
        <v>0</v>
      </c>
      <c r="EC81" s="7">
        <f>IFERROR(AVERAGEIF('Данные 1st'!$S$2:$S$317,$A81,'Данные 1st'!$IF$2:$IF$317),"")</f>
        <v>0</v>
      </c>
      <c r="ED81" s="7">
        <f>IFERROR(AVERAGEIF('Данные 1st'!$S$2:$S$317,$A81,'Данные 1st'!$IP$2:$IP$317),"")</f>
        <v>19</v>
      </c>
      <c r="EE81" s="7">
        <f>IFERROR(AVERAGEIF('Данные 1st'!$S$2:$S$317,$A81,'Данные 1st'!$IV$2:$IV$317),"")</f>
        <v>1458</v>
      </c>
      <c r="EF81" s="7">
        <f>IFERROR(AVERAGEIF('Данные 1st'!$S$2:$S$317,$A81,'Данные 1st'!$IW$2:$IW$317),"")</f>
        <v>426</v>
      </c>
      <c r="EG81" s="7">
        <f>IFERROR(AVERAGEIF('Данные 1st'!$S$2:$S$317,$A81,'Данные 1st'!$IX$2:$IX$317),"")</f>
        <v/>
      </c>
      <c r="EH81" s="7">
        <f>IFERROR(AVERAGEIF('Данные 1st'!$S$2:$S$317,$A81,'Данные 1st'!$IY$2:$IY$317),"")</f>
        <v/>
      </c>
      <c r="EI81" s="7">
        <f>IFERROR(AVERAGEIF('Данные 1st'!$S$2:$S$317,$A81,'Данные 1st'!$JD$2:$JD$317),"")</f>
        <v>1475</v>
      </c>
      <c r="EJ81" s="7">
        <f>IFERROR(AVERAGEIF('Данные 1st'!$S$2:$S$317,$A81,'Данные 1st'!$JE$2:$JE$317),"")</f>
        <v>1468</v>
      </c>
      <c r="EK81" s="7">
        <f>IFERROR(AVERAGEIF('Данные 1st'!$S$2:$S$317,$A81,'Данные 1st'!$JF$2:$JF$317),"")</f>
        <v>0</v>
      </c>
      <c r="EL81" s="7">
        <f>IFERROR(AVERAGEIF('Данные 1st'!$S$2:$S$317,$A81,'Данные 1st'!$JG$2:$JG$317),"")</f>
        <v>1451</v>
      </c>
      <c r="EM81" s="7">
        <f>IFERROR(AVERAGEIF('Данные 1st'!$S$2:$S$317,$A81,'Данные 1st'!$JH$2:$JH$317),"")</f>
        <v>0</v>
      </c>
      <c r="EN81" s="7">
        <f>IFERROR(AVERAGEIF('Данные 1st'!$S$2:$S$317,$A81,'Данные 1st'!$JJ$2:$JJ$317),"")</f>
        <v>180</v>
      </c>
      <c r="EO81" s="7">
        <f>IFERROR(AVERAGEIF('Данные 1st'!$S$2:$S$317,$A81,'Данные 1st'!$JK$2:$JK$317),"")</f>
        <v>430</v>
      </c>
      <c r="EP81" s="7">
        <f>IFERROR(AVERAGEIF('Данные 1st'!$S$2:$S$317,$A81,'Данные 1st'!$JL$2:$JL$317),"")</f>
        <v/>
      </c>
      <c r="EQ81" s="7">
        <f>IFERROR(AVERAGEIF('Данные 1st'!$S$2:$S$317,$A81,'Данные 1st'!$JM$2:$JM$317),"")</f>
        <v/>
      </c>
      <c r="ER81" s="7">
        <f>IFERROR(AVERAGEIF('Данные 1st'!$S$2:$S$317,$A81,'Данные 1st'!$JN$2:$JN$317),"")</f>
        <v>390</v>
      </c>
      <c r="ES81" s="7">
        <f>IFERROR(AVERAGEIF('Данные 1st'!$S$2:$S$317,$A81,'Данные 1st'!$JO$2:$JO$317),"")</f>
        <v>670</v>
      </c>
      <c r="ET81" s="7">
        <f>IFERROR(AVERAGEIF('Данные 1st'!$S$2:$S$317,$A81,'Данные 1st'!$JP$2:$JP$317),"")</f>
        <v>0</v>
      </c>
      <c r="EU81" s="7">
        <f>IFERROR(AVERAGEIF('Данные 1st'!$S$2:$S$317,$A81,'Данные 1st'!$JQ$2:$JQ$317),"")</f>
        <v>0</v>
      </c>
      <c r="EV81" s="7">
        <f>IFERROR(AVERAGEIF('Данные 1st'!$S$2:$S$317,$A81,'Данные 1st'!$JR$2:$JR$317),"")</f>
        <v>428</v>
      </c>
      <c r="EW81" s="7">
        <f>IFERROR(AVERAGEIF('Данные 1st'!$S$2:$S$317,$A81,'Данные 1st'!$JS$2:$JS$317),"")</f>
        <v>115</v>
      </c>
      <c r="EX81" s="7">
        <f>IFERROR(AVERAGEIF('Данные 1st'!$S$2:$S$317,$A81,'Данные 1st'!$JT$2:$JT$317),"")</f>
        <v/>
      </c>
      <c r="EY81" s="7">
        <f>IFERROR(AVERAGEIF('Данные 1st'!$S$2:$S$317,$A81,'Данные 1st'!$JU$2:$JU$317),"")</f>
        <v/>
      </c>
      <c r="EZ81" s="7">
        <f>IFERROR(AVERAGEIF('Данные 1st'!$S$2:$S$317,$A81,'Данные 1st'!$JV$2:$JV$317),"")</f>
        <v>8</v>
      </c>
      <c r="FA81" s="7">
        <f>IFERROR(AVERAGEIF('Данные 1st'!$S$2:$S$317,$A81,'Данные 1st'!$JW$2:$JW$317),"")</f>
        <v/>
      </c>
      <c r="FB81" s="7">
        <f>IFERROR(AVERAGEIF('Данные 1st'!$S$2:$S$317,$A81,'Данные 1st'!$JX$2:$JX$317),"")</f>
        <v>466</v>
      </c>
      <c r="FC81" s="7">
        <f>IFERROR(AVERAGEIF('Данные 1st'!$S$2:$S$317,$A81,'Данные 1st'!$JY$2:$JY$317),"")</f>
        <v/>
      </c>
      <c r="FD81" s="7">
        <f>IFERROR(AVERAGEIF('Данные 1st'!$S$2:$S$317,$A81,'Данные 1st'!$JZ$2:$JZ$317),"")</f>
        <v/>
      </c>
      <c r="FE81" s="7">
        <f>IFERROR(AVERAGEIF('Данные 1st'!$S$2:$S$317,$A81,'Данные 1st'!$KA$2:$KA$317),"")</f>
        <v>0</v>
      </c>
      <c r="FF81" s="7">
        <f>IFERROR(AVERAGEIF('Данные 1st'!$S$2:$S$317,$A81,'Данные 1st'!$KB$2:$KB$317),"")</f>
        <v>110</v>
      </c>
      <c r="FG81" s="7">
        <f>IFERROR(AVERAGEIF('Данные 1st'!$S$2:$S$317,$A81,'Данные 1st'!$KC$2:$KC$317),"")</f>
        <v>0</v>
      </c>
      <c r="FH81" s="7">
        <f>IFERROR(AVERAGEIF('Данные 1st'!$S$2:$S$317,$A81,'Данные 1st'!$KD$2:$KD$317),"")</f>
        <v>80</v>
      </c>
      <c r="FI81" s="7">
        <f>IFERROR(AVERAGEIF('Данные 1st'!$S$2:$S$317,$A81,'Данные 1st'!$KE$2:$KE$317),"")</f>
        <v/>
      </c>
      <c r="FJ81" s="7">
        <f>IFERROR(AVERAGEIF('Данные 1st'!$S$2:$S$317,$A81,'Данные 1st'!$KF$2:$KF$317),"")</f>
        <v>4</v>
      </c>
      <c r="FK81" s="7">
        <f>IFERROR(AVERAGEIF('Данные 1st'!$S$2:$S$317,$A81,'Данные 1st'!$KG$2:$KG$317),"")</f>
        <v>4</v>
      </c>
      <c r="FL81" s="7">
        <f>IFERROR(AVERAGEIF('Данные 1st'!$S$2:$S$317,$A81,'Данные 1st'!$KH$2:$KH$317),"")</f>
        <v>2</v>
      </c>
      <c r="FM81" s="7">
        <f>IFERROR(AVERAGEIF('Данные 1st'!$S$2:$S$317,$A81,'Данные 1st'!$KI$2:$KI$317),"")</f>
        <v>2</v>
      </c>
      <c r="FN81" s="7">
        <f>IFERROR(AVERAGEIF('Данные 1st'!$S$2:$S$317,$A81,'Данные 1st'!$KJ$2:$KJ$317),"")</f>
        <v>0</v>
      </c>
      <c r="FO81" s="7">
        <f>IFERROR(AVERAGEIF('Данные 1st'!$S$2:$S$317,$A81,'Данные 1st'!$KK$2:$KK$317),"")</f>
        <v>1.5</v>
      </c>
      <c r="FP81" s="7">
        <f>IFERROR(AVERAGEIF('Данные 1st'!$S$2:$S$317,$A81,'Данные 1st'!$KL$2:$KL$317),"")</f>
        <v>1.5</v>
      </c>
      <c r="FQ81" s="7">
        <f>IFERROR(AVERAGEIF('Данные 1st'!$S$2:$S$317,$A81,'Данные 1st'!$KM$2:$KM$317),"")</f>
        <v>0</v>
      </c>
      <c r="FR81" s="7">
        <f>IFERROR(AVERAGEIF('Данные 1st'!$S$2:$S$317,$A81,'Данные 1st'!$KN$2:$KN$317),"")</f>
        <v>0</v>
      </c>
      <c r="FS81" s="7">
        <f>IFERROR(AVERAGEIF('Данные 1st'!$S$2:$S$317,$A81,'Данные 1st'!$KR$2:$KR$317),"")</f>
        <v>30</v>
      </c>
      <c r="FT81" s="7">
        <f>IFERROR(AVERAGEIF('Данные 1st'!$S$2:$S$317,$A81,'Данные 1st'!$KS$2:$KS$317),"")</f>
        <v>60</v>
      </c>
      <c r="FU81" s="7">
        <f>IFERROR(AVERAGEIF('Данные 1st'!$S$2:$S$317,$A81,'Данные 1st'!$KT$2:$KT$317),"")</f>
        <v>0</v>
      </c>
      <c r="FV81" s="7">
        <f>IFERROR(AVERAGEIF('Данные 1st'!$S$2:$S$317,$A81,'Данные 1st'!$KV$2:$KV$317),"")</f>
        <v/>
      </c>
      <c r="FW81" s="7">
        <f>IFERROR(AVERAGEIF('Данные 1st'!$S$2:$S$317,$A81,'Данные 1st'!$KW$2:$KW$317),"")</f>
        <v/>
      </c>
      <c r="FX81" s="7">
        <f>IFERROR(AVERAGEIF('Данные 1st'!$S$2:$S$317,$A81,'Данные 1st'!$KX$2:$KX$317),"")</f>
        <v/>
      </c>
      <c r="FY81" s="7">
        <f>IFERROR(AVERAGEIF('Данные 1st'!$S$2:$S$317,$A81,'Данные 1st'!$KY$2:$KY$317),"")</f>
        <v/>
      </c>
      <c r="FZ81" s="7">
        <f>IFERROR(AVERAGEIF('Данные 1st'!$S$2:$S$317,$A81,'Данные 1st'!$KZ$2:$KZ$317),"")</f>
        <v/>
      </c>
      <c r="GA81" s="7">
        <f>IFERROR(AVERAGEIF('Данные 1st'!$S$2:$S$317,$A81,'Данные 1st'!$LA$2:$LA$317),"")</f>
        <v/>
      </c>
      <c r="GB81" s="7">
        <f>IFERROR(AVERAGEIF('Данные 1st'!$S$2:$S$317,$A81,'Данные 1st'!$LB$2:$LB$317),"")</f>
        <v/>
      </c>
      <c r="GC81" s="7">
        <f>IFERROR(AVERAGEIF('Данные 1st'!$S$2:$S$317,$A81,'Данные 1st'!$LC$2:$LC$317),"")</f>
        <v/>
      </c>
      <c r="GD81" s="7">
        <f>IFERROR(AVERAGEIF('Данные 1st'!$S$2:$S$317,$A81,'Данные 1st'!$LD$2:$LD$317),"")</f>
        <v/>
      </c>
      <c r="GE81" s="7">
        <f>IFERROR(AVERAGEIF('Данные 1st'!$S$2:$S$317,$A81,'Данные 1st'!$LE$2:$LE$317),"")</f>
        <v/>
      </c>
      <c r="GF81" s="7">
        <f>IFERROR(AVERAGEIF('Данные 1st'!$S$2:$S$317,$A81,'Данные 1st'!$LF$2:$LF$317),"")</f>
        <v/>
      </c>
      <c r="GG81" s="7">
        <f>IFERROR(AVERAGEIF('Данные 1st'!$S$2:$S$317,$A81,'Данные 1st'!$LG$2:$LG$317),"")</f>
        <v/>
      </c>
      <c r="GH81" s="7">
        <f>IFERROR(AVERAGEIF('Данные 1st'!$S$2:$S$317,$A81,'Данные 1st'!$LH$2:$LH$317),"")</f>
        <v/>
      </c>
      <c r="GI81" s="7">
        <f>IFERROR(AVERAGEIF('Данные 1st'!$S$2:$S$317,$A81,'Данные 1st'!$LI$2:$LI$317),"")</f>
        <v/>
      </c>
      <c r="GJ81" s="7">
        <f>IFERROR(AVERAGEIF('Данные 1st'!$S$2:$S$317,$A81,'Данные 1st'!$LJ$2:$LJ$317),"")</f>
        <v/>
      </c>
      <c r="GK81" s="7">
        <f>IFERROR(AVERAGEIF('Данные 1st'!$S$2:$S$317,$A81,'Данные 1st'!$LK$2:$LK$317),"")</f>
        <v>480</v>
      </c>
      <c r="GL81" s="7">
        <f>IFERROR(AVERAGEIF('Данные 1st'!$S$2:$S$317,$A81,'Данные 1st'!$LV$2:$LV$317),"")</f>
        <v/>
      </c>
      <c r="GM81" s="7">
        <f>IFERROR(AVERAGEIF('Данные 1st'!$S$2:$S$317,$A81,'Данные 1st'!$LW$2:$LW$317),"")</f>
        <v/>
      </c>
      <c r="GN81" s="7">
        <f>IFERROR(AVERAGEIF('Данные 1st'!$S$2:$S$317,$A81,'Данные 1st'!$LX$2:$LX$317),"")</f>
        <v/>
      </c>
      <c r="GO81" s="7">
        <f>IFERROR(AVERAGEIF('Данные 1st'!$S$2:$S$317,$A81,'Данные 1st'!$LY$2:$LY$317),"")</f>
        <v/>
      </c>
      <c r="GP81" s="7">
        <f>IFERROR(AVERAGEIF('Данные 1st'!$S$2:$S$317,$A81,'Данные 1st'!$LZ$2:$LZ$317),"")</f>
        <v/>
      </c>
      <c r="GQ81" s="7">
        <f>IFERROR(AVERAGEIF('Данные 1st'!$S$2:$S$317,$A81,'Данные 1st'!$PG$2:$PG$317),"")</f>
        <v>1</v>
      </c>
      <c r="GR81" s="7">
        <f>IFERROR(AVERAGEIF('Данные 1st'!$S$2:$S$317,$A81,'Данные 1st'!$PX$2:$PX$317),"")</f>
        <v>56</v>
      </c>
      <c r="GS81" s="7">
        <f>IFERROR(AVERAGEIF('Данные 1st'!$S$2:$S$317,$A81,'Данные 1st'!$PY$2:$PY$317),"")</f>
        <v>56</v>
      </c>
      <c r="GT81" s="7">
        <f>IFERROR(AVERAGEIF('Данные 1st'!$S$2:$S$317,$A81,'Данные 1st'!$QA$2:$QA$317),"")</f>
        <v>1</v>
      </c>
      <c r="GU81" s="7">
        <f>IFERROR(AVERAGEIF('Данные 1st'!$S$2:$S$317,$A81,'Данные 1st'!$QB$2:$QB$317),"")</f>
        <v>1451</v>
      </c>
      <c r="GV81" s="7">
        <f>IFERROR(AVERAGEIF('Данные 1st'!$S$2:$S$317,$A81,'Данные 1st'!$QC$2:$QC$317),"")</f>
        <v>69</v>
      </c>
      <c r="GW81" s="7">
        <f>IFERROR(AVERAGEIF('Данные 1st'!$S$2:$S$317,$A81,'Данные 1st'!$QD$2:$QD$317),"")</f>
        <v>69</v>
      </c>
      <c r="GX81" s="7">
        <f>IFERROR(AVERAGEIF('Данные 1st'!$S$2:$S$317,$A81,'Данные 1st'!$QF$2:$QF$317),"")</f>
        <v>1</v>
      </c>
      <c r="GY81" s="7">
        <f>IFERROR(AVERAGEIF('Данные 1st'!$S$2:$S$317,$A81,'Данные 1st'!$QG$2:$QG$317),"")</f>
        <v>1475</v>
      </c>
      <c r="GZ81" s="7">
        <f>IFERROR(AVERAGEIF('Данные 1st'!$S$2:$S$317,$A81,'Данные 1st'!$QH$2:$QH$317),"")</f>
        <v>66</v>
      </c>
      <c r="HA81" s="7">
        <f>IFERROR(AVERAGEIF('Данные 1st'!$S$2:$S$317,$A81,'Данные 1st'!$QI$2:$QI$317),"")</f>
        <v>66</v>
      </c>
      <c r="HB81" s="7">
        <f>IFERROR(AVERAGEIF('Данные 1st'!$S$2:$S$317,$A81,'Данные 1st'!$QK$2:$QK$317),"")</f>
        <v>1</v>
      </c>
      <c r="HC81" s="7">
        <f>IFERROR(AVERAGEIF('Данные 1st'!$S$2:$S$317,$A81,'Данные 1st'!$QL$2:$QL$317),"")</f>
        <v>1475</v>
      </c>
      <c r="HD81" s="7">
        <f>IFERROR(AVERAGEIF('Данные 1st'!$S$2:$S$317,$A81,'Данные 1st'!$QM$2:$QM$317),"")</f>
        <v>62</v>
      </c>
      <c r="HE81" s="7">
        <f>IFERROR(AVERAGEIF('Данные 1st'!$S$2:$S$317,$A81,'Данные 1st'!$QN$2:$QN$317),"")</f>
        <v>62</v>
      </c>
      <c r="HF81" s="7">
        <f>IFERROR(AVERAGEIF('Данные 1st'!$S$2:$S$317,$A81,'Данные 1st'!$QP$2:$QP$317),"")</f>
        <v>1</v>
      </c>
      <c r="HG81" s="7">
        <f>IFERROR(AVERAGEIF('Данные 1st'!$S$2:$S$317,$A81,'Данные 1st'!$QQ$2:$QQ$317),"")</f>
        <v>1468</v>
      </c>
      <c r="HH81" s="7">
        <f>IFERROR(AVERAGEIF('Данные 1st'!$S$2:$S$317,$A81,'Данные 1st'!$QR$2:$QR$317),"")</f>
        <v/>
      </c>
      <c r="HI81" s="7">
        <f>IFERROR(AVERAGEIF('Данные 1st'!$S$2:$S$317,$A81,'Данные 1st'!$QS$2:$QS$317),"")</f>
        <v/>
      </c>
      <c r="HJ81" s="7">
        <f>IFERROR(AVERAGEIF('Данные 1st'!$S$2:$S$317,$A81,'Данные 1st'!$QU$2:$QU$317),"")</f>
        <v/>
      </c>
      <c r="HK81" s="7">
        <f>IFERROR(AVERAGEIF('Данные 1st'!$S$2:$S$317,$A81,'Данные 1st'!$QV$2:$QV$317),"")</f>
        <v/>
      </c>
      <c r="HL81" s="7">
        <f>IFERROR(AVERAGEIF('Данные 1st'!$S$2:$S$317,$A81,'Данные 1st'!$QW$2:$QW$317),"")</f>
        <v>82</v>
      </c>
      <c r="HM81" s="7">
        <f>IFERROR(AVERAGEIF('Данные 1st'!$S$2:$S$317,$A81,'Данные 1st'!$QX$2:$QX$317),"")</f>
        <v>88</v>
      </c>
      <c r="HN81" s="7">
        <f>IFERROR(AVERAGEIF('Данные 1st'!$S$2:$S$317,$A81,'Данные 1st'!$QZ$2:$QZ$317),"")</f>
        <v>1</v>
      </c>
      <c r="HO81" s="7">
        <f>IFERROR(AVERAGEIF('Данные 1st'!$S$2:$S$317,$A81,'Данные 1st'!$RA$2:$RA$317),"")</f>
        <v>66</v>
      </c>
      <c r="HP81" s="7">
        <f>IFERROR(AVERAGEIF('Данные 1st'!$S$2:$S$317,$A81,'Данные 1st'!$RB$2:$RB$317),"")</f>
        <v>66</v>
      </c>
      <c r="HQ81" s="7">
        <f>IFERROR(AVERAGEIF('Данные 1st'!$S$2:$S$317,$A81,'Данные 1st'!$RD$2:$RD$317),"")</f>
        <v/>
      </c>
      <c r="HR81" s="7">
        <f>IFERROR(AVERAGEIF('Данные 1st'!$S$2:$S$317,$A81,'Данные 1st'!$RE$2:$RE$317),"")</f>
        <v>0</v>
      </c>
      <c r="HS81" s="7">
        <f>IFERROR(AVERAGEIF('Данные 1st'!$S$2:$S$317,$A81,'Данные 1st'!$RF$2:$RF$317),"")</f>
        <v>1</v>
      </c>
      <c r="HT81" s="7">
        <f>IFERROR(AVERAGEIF('Данные 1st'!$S$2:$S$317,$A81,'Данные 1st'!$RG$2:$RG$317),"")</f>
        <v/>
      </c>
      <c r="HU81" s="7">
        <f>IFERROR(AVERAGEIF('Данные 1st'!$S$2:$S$317,$A81,'Данные 1st'!$RH$2:$RH$317),"")</f>
        <v/>
      </c>
      <c r="HV81" s="7">
        <f>IFERROR(AVERAGEIF('Данные 1st'!$S$2:$S$317,$A81,'Данные 1st'!$RI$2:$RI$317),"")</f>
        <v/>
      </c>
      <c r="HW81" s="7">
        <f>IFERROR(AVERAGEIF('Данные 1st'!$S$2:$S$317,$A81,'Данные 1st'!$RJ$2:$RJ$317),"")</f>
        <v>1</v>
      </c>
      <c r="HX81" s="7">
        <f>IFERROR(AVERAGEIF('Данные 1st'!$S$2:$S$317,$A81,'Данные 1st'!$RK$2:$RK$317),"")</f>
        <v>2</v>
      </c>
      <c r="HY81" s="7">
        <f>IFERROR(AVERAGEIF('Данные 1st'!$S$2:$S$317,$A81,'Данные 1st'!$RL$2:$RL$317),"")</f>
        <v>2</v>
      </c>
      <c r="HZ81" s="7">
        <f>IFERROR(AVERAGEIF('Данные 1st'!$S$2:$S$317,$A81,'Данные 1st'!$RM$2:$RM$317),"")</f>
        <v/>
      </c>
      <c r="IA81" s="7">
        <f>IFERROR(AVERAGEIF('Данные 1st'!$S$2:$S$317,$A81,'Данные 1st'!$RN$2:$RN$317),"")</f>
        <v/>
      </c>
      <c r="IB81" s="7">
        <f>IFERROR(AVERAGEIF('Данные 1st'!$S$2:$S$317,$A81,'Данные 1st'!$RO$2:$RO$317),"")</f>
        <v>552</v>
      </c>
      <c r="IC81" s="7">
        <f>IFERROR(AVERAGEIF('Данные 1st'!$S$2:$S$317,$A81,'Данные 1st'!$RP$2:$RP$317),"")</f>
        <v>105</v>
      </c>
      <c r="ID81" s="7">
        <f>IFERROR(AVERAGEIF('Данные 1st'!$S$2:$S$317,$A81,'Данные 1st'!$RQ$2:$RQ$317),"")</f>
        <v>1044</v>
      </c>
      <c r="IE81" s="7">
        <f>IFERROR(AVERAGEIF('Данные 1st'!$S$2:$S$317,$A81,'Данные 1st'!$RR$2:$RR$317),"")</f>
        <v/>
      </c>
      <c r="IF81" s="7">
        <f>IFERROR(AVERAGEIF('Данные 1st'!$S$2:$S$317,$A81,'Данные 1st'!$RS$2:$RS$317),"")</f>
        <v/>
      </c>
      <c r="IG81" s="7">
        <f>IFERROR(AVERAGEIF('Данные 1st'!$S$2:$S$317,$A81,'Данные 1st'!$RT$2:$RT$317),"")</f>
        <v>363</v>
      </c>
      <c r="IH81" s="7">
        <f>IFERROR(AVERAGEIF('Данные 1st'!$S$2:$S$317,$A81,'Данные 1st'!$RU$2:$RU$317),"")</f>
        <v>186</v>
      </c>
      <c r="II81" s="7">
        <f>IFERROR(AVERAGEIF('Данные 1st'!$S$2:$S$317,$A81,'Данные 1st'!$RX$2:$RX$317),"")</f>
        <v>15</v>
      </c>
      <c r="IJ81" s="7">
        <f>IFERROR(AVERAGEIF('Данные 1st'!$S$2:$S$317,$A81,'Данные 1st'!$RY$2:$RY$317),"")</f>
        <v>4</v>
      </c>
      <c r="IK81" s="7">
        <f>IFERROR(AVERAGEIF('Данные 1st'!$S$2:$S$317,$A81,'Данные 1st'!$SA$2:$SA$317),"")</f>
        <v>15</v>
      </c>
      <c r="IL81" s="7">
        <f>IFERROR(AVERAGEIF('Данные 1st'!$S$2:$S$317,$A81,'Данные 1st'!$SD$2:$SD$317),"")</f>
        <v>1</v>
      </c>
      <c r="IM81" s="7">
        <f>IFERROR(AVERAGEIF('Данные 1st'!$S$2:$S$317,$A81,'Данные 1st'!$SG$2:$SG$317),"")</f>
        <v/>
      </c>
      <c r="IN81" s="7">
        <f>IFERROR(AVERAGEIF('Данные 1st'!$S$2:$S$317,$A81,'Данные 1st'!$SH$2:$SH$317),"")</f>
        <v>0.995</v>
      </c>
      <c r="IO81" s="7">
        <f>IFERROR(AVERAGEIF('Данные 1st'!$S$2:$S$317,$A81,'Данные 1st'!$SI$2:$SI$317),"")</f>
        <v>0.995</v>
      </c>
      <c r="IP81" s="7">
        <f>IFERROR(AVERAGEIF('Данные 1st'!$S$2:$S$317,$A81,'Данные 1st'!$SJ$2:$SJ$317),"")</f>
        <v>0.995</v>
      </c>
      <c r="IQ81" s="7">
        <f>IFERROR(AVERAGEIF('Данные 1st'!$S$2:$S$317,$A81,'Данные 1st'!$SK$2:$SK$317),"")</f>
        <v>15</v>
      </c>
      <c r="IR81" s="7">
        <f>IFERROR(AVERAGEIF('Данные 1st'!$S$2:$S$317,$A81,'Данные 1st'!$SL$2:$SL$317),"")</f>
        <v>0</v>
      </c>
      <c r="IS81" s="7">
        <f>IFERROR(AVERAGEIF('Данные 1st'!$S$2:$S$317,$A81,'Данные 1st'!$SM$2:$SM$317),"")</f>
        <v>0</v>
      </c>
      <c r="IT81" s="7">
        <f>IFERROR(AVERAGEIF('Данные 1st'!$S$2:$S$317,$A81,'Данные 1st'!$SN$2:$SN$317),"")</f>
        <v>0</v>
      </c>
      <c r="IU81" s="7">
        <f>IFERROR(AVERAGEIF('Данные 1st'!$S$2:$S$317,$A81,'Данные 1st'!$SO$2:$SO$317),"")</f>
        <v>0</v>
      </c>
      <c r="IV81" s="7">
        <f>IFERROR(AVERAGEIF('Данные 1st'!$S$2:$S$317,$A81,'Данные 1st'!$SP$2:$SP$317),"")</f>
        <v>0</v>
      </c>
      <c r="IW81" s="7">
        <f>IFERROR(AVERAGEIF('Данные 1st'!$S$2:$S$317,$A81,'Данные 1st'!$SQ$2:$SQ$317),"")</f>
        <v>0</v>
      </c>
      <c r="IX81" s="7">
        <f>IFERROR(AVERAGEIF('Данные 1st'!$S$2:$S$317,$A81,'Данные 1st'!$SR$2:$SR$317),"")</f>
        <v>0</v>
      </c>
      <c r="IY81" s="7">
        <f>IFERROR(AVERAGEIF('Данные 1st'!$S$2:$S$317,$A81,'Данные 1st'!$SS$2:$SS$317),"")</f>
        <v>0</v>
      </c>
      <c r="IZ81" s="7">
        <f>IFERROR(AVERAGEIF('Данные 1st'!$S$2:$S$317,$A81,'Данные 1st'!$ST$2:$ST$317),"")</f>
        <v>0</v>
      </c>
      <c r="JA81" s="7">
        <f>IFERROR(AVERAGEIF('Данные 1st'!$S$2:$S$317,$A81,'Данные 1st'!$SU$2:$SU$317),"")</f>
        <v>0</v>
      </c>
      <c r="JB81" s="7">
        <f>IFERROR(AVERAGEIF('Данные 1st'!$S$2:$S$317,$A81,'Данные 1st'!$SV$2:$SV$317),"")</f>
        <v>0</v>
      </c>
      <c r="JC81" s="7">
        <f>IFERROR(AVERAGEIF('Данные 1st'!$S$2:$S$317,$A81,'Данные 1st'!$SW$2:$SW$317),"")</f>
        <v>0</v>
      </c>
      <c r="JD81" s="7">
        <f>IFERROR(AVERAGEIF('Данные 1st'!$S$2:$S$317,$A81,'Данные 1st'!$SX$2:$SX$317),"")</f>
        <v>0</v>
      </c>
      <c r="JE81" s="7">
        <f>IFERROR(AVERAGEIF('Данные 1st'!$S$2:$S$317,$A81,'Данные 1st'!$SY$2:$SY$317),"")</f>
        <v>1</v>
      </c>
      <c r="JF81" s="7">
        <f>IFERROR(AVERAGEIF('Данные 1st'!$S$2:$S$317,$A81,'Данные 1st'!$SZ$2:$SZ$317),"")</f>
        <v/>
      </c>
      <c r="JG81" s="7">
        <f>IFERROR(AVERAGEIF('Данные 1st'!$S$2:$S$317,$A81,'Данные 1st'!$TA$2:$TA$317),"")</f>
        <v/>
      </c>
      <c r="JH81" s="7">
        <f>IFERROR(AVERAGEIF('Данные 1st'!$S$2:$S$317,$A81,'Данные 1st'!$TB$2:$TB$317),"")</f>
        <v>0</v>
      </c>
      <c r="JI81" s="7">
        <f>IFERROR(AVERAGEIF('Данные 1st'!$S$2:$S$317,$A81,'Данные 1st'!$TC$2:$TC$317),"")</f>
        <v>0</v>
      </c>
      <c r="JJ81" s="7">
        <f>IFERROR(AVERAGEIF('Данные 1st'!$S$2:$S$317,$A81,'Данные 1st'!$TD$2:$TD$317),"")</f>
        <v>7.5</v>
      </c>
      <c r="JK81" s="7">
        <f>IFERROR(AVERAGEIF('Данные 1st'!$S$2:$S$317,$A81,'Данные 1st'!$TN$2:$TN$317),"")</f>
        <v>0</v>
      </c>
      <c r="JL81">
        <f>COUNTIF('Данные 2st'!$Q$2:$Q$317,$A81)</f>
        <v>1</v>
      </c>
      <c r="JM81" s="6" t="s">
        <v>2657</v>
      </c>
      <c r="JN81" s="6" t="s">
        <v>513</v>
      </c>
      <c r="JO81" s="6" t="s">
        <v>517</v>
      </c>
      <c r="JP81" s="6" t="s">
        <v>2874</v>
      </c>
      <c r="JQ81" s="7">
        <f>IFERROR(AVERAGEIF('Данные 2st'!$Q$2:$Q$317,$A81,'Данные 2st'!$AC$2:$AC$317),"")</f>
        <v>9</v>
      </c>
      <c r="JR81" s="7">
        <f>IFERROR(AVERAGEIF('Данные 2st'!$Q$2:$Q$317,$A81,'Данные 2st'!$AF$2:$AF$317),"")</f>
        <v>5039</v>
      </c>
      <c r="JS81" s="7">
        <f>IFERROR(AVERAGEIF('Данные 2st'!$Q$2:$Q$317,$A81,'Данные 2st'!$AW$2:$AW$317),"")</f>
        <v>6.4</v>
      </c>
      <c r="JT81" s="7">
        <f>IFERROR(AVERAGEIF('Данные 2st'!$Q$2:$Q$317,$A81,'Данные 2st'!$AX$2:$AX$317),"")</f>
        <v>-6</v>
      </c>
      <c r="JU81" s="7">
        <f>IFERROR(AVERAGEIF('Данные 2st'!$Q$2:$Q$317,$A81,'Данные 2st'!$AY$2:$AY$317),"")</f>
        <v>122.5</v>
      </c>
      <c r="JV81" s="7">
        <f>IFERROR(AVERAGEIF('Данные 2st'!$Q$2:$Q$317,$A81,'Данные 2st'!$AZ$2:$AZ$317),"")</f>
        <v>93</v>
      </c>
      <c r="JW81" s="7">
        <f>IFERROR(AVERAGEIF('Данные 2st'!$Q$2:$Q$317,$A81,'Данные 2st'!$BA$2:$BA$317),"")</f>
        <v/>
      </c>
      <c r="JX81" s="7">
        <f>IFERROR(AVERAGEIF('Данные 2st'!$Q$2:$Q$317,$A81,'Данные 2st'!$BB$2:$BB$317),"")</f>
        <v/>
      </c>
      <c r="JY81" s="7">
        <f>IFERROR(AVERAGEIF('Данные 2st'!$Q$2:$Q$317,$A81,'Данные 2st'!$BC$2:$BC$317),"")</f>
        <v/>
      </c>
      <c r="JZ81" s="7">
        <f>IFERROR(AVERAGEIF('Данные 2st'!$Q$2:$Q$317,$A81,'Данные 2st'!$BH$2:$BH$317),"")</f>
        <v>122.5</v>
      </c>
      <c r="KA81" s="7">
        <f>IFERROR(AVERAGEIF('Данные 2st'!$Q$2:$Q$317,$A81,'Данные 2st'!$BI$2:$BI$317),"")</f>
        <v>29.5</v>
      </c>
      <c r="KB81" s="7">
        <f>IFERROR(AVERAGEIF('Данные 2st'!$Q$2:$Q$317,$A81,'Данные 2st'!$BJ$2:$BJ$317),"")</f>
        <v>93</v>
      </c>
      <c r="KC81" s="7">
        <f>IFERROR(AVERAGEIF('Данные 2st'!$Q$2:$Q$317,$A81,'Данные 2st'!$BK$2:$BK$317),"")</f>
        <v>2.5</v>
      </c>
      <c r="KD81" s="7">
        <f>IFERROR(AVERAGEIF('Данные 2st'!$Q$2:$Q$317,$A81,'Данные 2st'!$BL$2:$BL$317),"")</f>
        <v>245</v>
      </c>
      <c r="KE81" s="7">
        <f>IFERROR(AVERAGEIF('Данные 2st'!$Q$2:$Q$317,$A81,'Данные 2st'!$BM$2:$BM$317),"")</f>
        <v>-6</v>
      </c>
      <c r="KF81" s="7">
        <f>IFERROR(AVERAGEIF('Данные 2st'!$Q$2:$Q$317,$A81,'Данные 2st'!$BN$2:$BN$317),"")</f>
        <v>0</v>
      </c>
      <c r="KG81" s="7">
        <f>IFERROR(AVERAGEIF('Данные 2st'!$Q$2:$Q$317,$A81,'Данные 2st'!$BO$2:$BO$317),"")</f>
        <v>0</v>
      </c>
      <c r="KH81" s="7">
        <f>IFERROR(AVERAGEIF('Данные 2st'!$Q$2:$Q$317,$A81,'Данные 2st'!$BP$2:$BP$317),"")</f>
        <v>0</v>
      </c>
      <c r="KI81" s="7">
        <f>IFERROR(AVERAGEIF('Данные 2st'!$Q$2:$Q$317,$A81,'Данные 2st'!$BR$2:$BR$317),"")</f>
        <v>240</v>
      </c>
      <c r="KJ81" s="7">
        <f>IFERROR(AVERAGEIF('Данные 2st'!$Q$2:$Q$317,$A81,'Данные 2st'!$BS$2:$BS$317),"")</f>
        <v>230</v>
      </c>
      <c r="KK81" s="7">
        <f>IFERROR(AVERAGEIF('Данные 2st'!$Q$2:$Q$317,$A81,'Данные 2st'!$BT$2:$BT$317),"")</f>
        <v>2040</v>
      </c>
      <c r="KL81" s="7">
        <f>IFERROR(AVERAGEIF('Данные 2st'!$Q$2:$Q$317,$A81,'Данные 2st'!$CV$2:$CV$317),"")</f>
        <v>145</v>
      </c>
      <c r="KM81" s="7">
        <f>IFERROR(AVERAGEIF('Данные 2st'!$Q$2:$Q$317,$A81,'Данные 2st'!$CW$2:$CW$317),"")</f>
        <v>3</v>
      </c>
      <c r="KN81" s="7">
        <f>IFERROR(AVERAGEIF('Данные 2st'!$Q$2:$Q$317,$A81,'Данные 2st'!$CX$2:$CX$317),"")</f>
        <v>107</v>
      </c>
      <c r="KO81" s="7">
        <f>IFERROR(AVERAGEIF('Данные 2st'!$Q$2:$Q$317,$A81,'Данные 2st'!$CY$2:$CY$317),"")</f>
        <v>5</v>
      </c>
      <c r="KP81" s="7">
        <f>IFERROR(AVERAGEIF('Данные 2st'!$Q$2:$Q$317,$A81,'Данные 2st'!$CZ$2:$CZ$317),"")</f>
        <v>97</v>
      </c>
      <c r="KQ81" s="7">
        <f>IFERROR(AVERAGEIF('Данные 2st'!$Q$2:$Q$317,$A81,'Данные 2st'!$DA$2:$DA$317),"")</f>
        <v>5</v>
      </c>
      <c r="KR81" s="7">
        <f>IFERROR(AVERAGEIF('Данные 2st'!$Q$2:$Q$317,$A81,'Данные 2st'!$DB$2:$DB$317),"")</f>
        <v>13680</v>
      </c>
      <c r="KS81" s="7">
        <f>IFERROR(AVERAGEIF('Данные 2st'!$Q$2:$Q$317,$A81,'Данные 2st'!$DC$2:$DC$317),"")</f>
        <v>410</v>
      </c>
      <c r="KT81" s="7">
        <f>IFERROR(AVERAGEIF('Данные 2st'!$Q$2:$Q$317,$A81,'Данные 2st'!$DD$2:$DD$317),"")</f>
        <v>360</v>
      </c>
      <c r="KU81" s="7">
        <f>IFERROR(AVERAGEIF('Данные 2st'!$Q$2:$Q$317,$A81,'Данные 2st'!$DE$2:$DE$317),"")</f>
        <v>2167</v>
      </c>
      <c r="KV81" s="7">
        <f>IFERROR(AVERAGEIF('Данные 2st'!$Q$2:$Q$317,$A81,'Данные 2st'!$DF$2:$DF$317),"")</f>
        <v>2167</v>
      </c>
      <c r="KW81" s="7">
        <f>IFERROR(AVERAGEIF('Данные 2st'!$Q$2:$Q$317,$A81,'Данные 2st'!$DG$2:$DG$317),"")</f>
        <v>2178</v>
      </c>
      <c r="KX81" s="7">
        <f>IFERROR(AVERAGEIF('Данные 2st'!$Q$2:$Q$317,$A81,'Данные 2st'!$DH$2:$DH$317),"")</f>
        <v>1</v>
      </c>
      <c r="KY81" s="7">
        <f>IFERROR(AVERAGEIF('Данные 2st'!$Q$2:$Q$317,$A81,'Данные 2st'!$DI$2:$DI$317),"")</f>
        <v/>
      </c>
      <c r="KZ81" s="7">
        <f>IFERROR(AVERAGEIF('Данные 2st'!$Q$2:$Q$317,$A81,'Данные 2st'!$DK$2:$DK$317),"")</f>
        <v>240</v>
      </c>
      <c r="LA81" s="7">
        <f>IFERROR(AVERAGEIF('Данные 2st'!$Q$2:$Q$317,$A81,'Данные 2st'!$DM$2:$DM$317),"")</f>
        <v>63</v>
      </c>
      <c r="LB81" s="7">
        <f>IFERROR(AVERAGEIF('Данные 2st'!$Q$2:$Q$317,$A81,'Данные 2st'!$DN$2:$DN$317),"")</f>
        <v>1.1</v>
      </c>
      <c r="LC81" s="7">
        <f>IFERROR(AVERAGEIF('Данные 2st'!$Q$2:$Q$317,$A81,'Данные 2st'!$DO$2:$DO$317),"")</f>
        <v>1</v>
      </c>
      <c r="LD81" s="7">
        <f>IFERROR(AVERAGEIF('Данные 2st'!$Q$2:$Q$317,$A81,'Данные 2st'!$DP$2:$DP$317),"")</f>
        <v>2043</v>
      </c>
      <c r="LE81" s="7">
        <f>IFERROR(AVERAGEIF('Данные 2st'!$Q$2:$Q$317,$A81,'Данные 2st'!$DQ$2:$DQ$317),"")</f>
        <v>1060</v>
      </c>
      <c r="LF81" s="7">
        <f>IFERROR(AVERAGEIF('Данные 2st'!$Q$2:$Q$317,$A81,'Данные 2st'!$DS$2:$DS$317),"")</f>
        <v>230</v>
      </c>
      <c r="LG81" s="7">
        <f>IFERROR(AVERAGEIF('Данные 2st'!$Q$2:$Q$317,$A81,'Данные 2st'!$DU$2:$DU$317),"")</f>
        <v>63</v>
      </c>
      <c r="LH81" s="7">
        <f>IFERROR(AVERAGEIF('Данные 2st'!$Q$2:$Q$317,$A81,'Данные 2st'!$DV$2:$DV$317),"")</f>
        <v>1.1</v>
      </c>
      <c r="LI81" s="7">
        <f>IFERROR(AVERAGEIF('Данные 2st'!$Q$2:$Q$317,$A81,'Данные 2st'!$DW$2:$DW$317),"")</f>
        <v>1</v>
      </c>
      <c r="LJ81" s="7">
        <f>IFERROR(AVERAGEIF('Данные 2st'!$Q$2:$Q$317,$A81,'Данные 2st'!$DX$2:$DX$317),"")</f>
        <v>2055</v>
      </c>
      <c r="LK81" s="7">
        <f>IFERROR(AVERAGEIF('Данные 2st'!$Q$2:$Q$317,$A81,'Данные 2st'!$DY$2:$DY$317),"")</f>
        <v>1021</v>
      </c>
      <c r="LL81" s="7">
        <f>IFERROR(AVERAGEIF('Данные 2st'!$Q$2:$Q$317,$A81,'Данные 2st'!$EA$2:$EA$317),"")</f>
        <v>20</v>
      </c>
      <c r="LM81" s="7">
        <f>IFERROR(AVERAGEIF('Данные 2st'!$Q$2:$Q$317,$A81,'Данные 2st'!$EC$2:$EC$317),"")</f>
        <v>0.8</v>
      </c>
      <c r="LN81" s="7">
        <f>IFERROR(AVERAGEIF('Данные 2st'!$Q$2:$Q$317,$A81,'Данные 2st'!$ED$2:$ED$317),"")</f>
        <v>2043</v>
      </c>
      <c r="LO81" s="7">
        <f>IFERROR(AVERAGEIF('Данные 2st'!$Q$2:$Q$317,$A81,'Данные 2st'!$EE$2:$EE$317),"")</f>
        <v>72</v>
      </c>
      <c r="LP81" s="7">
        <f>IFERROR(AVERAGEIF('Данные 2st'!$Q$2:$Q$317,$A81,'Данные 2st'!$EG$2:$EG$317),"")</f>
        <v>0</v>
      </c>
      <c r="LQ81" s="7">
        <f>IFERROR(AVERAGEIF('Данные 2st'!$Q$2:$Q$317,$A81,'Данные 2st'!$EI$2:$EI$317),"")</f>
        <v>0</v>
      </c>
      <c r="LR81" s="7">
        <f>IFERROR(AVERAGEIF('Данные 2st'!$Q$2:$Q$317,$A81,'Данные 2st'!$EJ$2:$EJ$317),"")</f>
        <v/>
      </c>
      <c r="LS81" s="7">
        <f>IFERROR(AVERAGEIF('Данные 2st'!$Q$2:$Q$317,$A81,'Данные 2st'!$EK$2:$EK$317),"")</f>
        <v/>
      </c>
      <c r="LT81" s="7">
        <f>IFERROR(AVERAGEIF('Данные 2st'!$Q$2:$Q$317,$A81,'Данные 2st'!$EM$2:$EM$317),"")</f>
        <v>12</v>
      </c>
      <c r="LU81" s="7">
        <f>IFERROR(AVERAGEIF('Данные 2st'!$Q$2:$Q$317,$A81,'Данные 2st'!$EN$2:$EN$317),"")</f>
        <v>0.5</v>
      </c>
      <c r="LV81" s="7">
        <f>IFERROR(AVERAGEIF('Данные 2st'!$Q$2:$Q$317,$A81,'Данные 2st'!$EO$2:$EO$317),"")</f>
        <v>0.96</v>
      </c>
      <c r="LW81" s="7">
        <f>IFERROR(AVERAGEIF('Данные 2st'!$Q$2:$Q$317,$A81,'Данные 2st'!$EP$2:$EP$317),"")</f>
        <v>2053.83</v>
      </c>
      <c r="LX81" s="7">
        <f>IFERROR(AVERAGEIF('Данные 2st'!$Q$2:$Q$317,$A81,'Данные 2st'!$EQ$2:$EQ$317),"")</f>
        <v>41237.06</v>
      </c>
      <c r="LY81" s="7">
        <f>IFERROR(AVERAGEIF('Данные 2st'!$Q$2:$Q$317,$A81,'Данные 2st'!$ER$2:$ER$317),"")</f>
        <v>9494.68</v>
      </c>
      <c r="LZ81" s="7">
        <f>IFERROR(AVERAGEIF('Данные 2st'!$Q$2:$Q$317,$A81,'Данные 2st'!$ES$2:$ES$317),"")</f>
        <v>0</v>
      </c>
      <c r="MA81" s="7">
        <f>IFERROR(AVERAGEIF('Данные 2st'!$Q$2:$Q$317,$A81,'Данные 2st'!$ET$2:$ET$317),"")</f>
        <v>0</v>
      </c>
      <c r="MB81" s="7">
        <f>IFERROR(AVERAGEIF('Данные 2st'!$Q$2:$Q$317,$A81,'Данные 2st'!$EU$2:$EU$317),"")</f>
        <v>1</v>
      </c>
      <c r="MC81" s="7">
        <f>IFERROR(AVERAGEIF('Данные 2st'!$Q$2:$Q$317,$A81,'Данные 2st'!$EV$2:$EV$317),"")</f>
        <v>50732</v>
      </c>
      <c r="MD81" s="7">
        <f>IFERROR(AVERAGEIF('Данные 2st'!$Q$2:$Q$317,$A81,'Данные 2st'!$EW$2:$EW$317),"")</f>
        <v>609</v>
      </c>
      <c r="ME81" s="7">
        <f>IFERROR(AVERAGEIF('Данные 2st'!$Q$2:$Q$317,$A81,'Данные 2st'!$EY$2:$EY$317),"")</f>
        <v>258</v>
      </c>
      <c r="MF81" s="7">
        <f>IFERROR(AVERAGEIF('Данные 2st'!$Q$2:$Q$317,$A81,'Данные 2st'!$FA$2:$FA$317),"")</f>
        <v>4.6</v>
      </c>
      <c r="MG81" s="7">
        <f>IFERROR(AVERAGEIF('Данные 2st'!$Q$2:$Q$317,$A81,'Данные 2st'!$FB$2:$FB$317),"")</f>
        <v>1</v>
      </c>
      <c r="MH81" s="7">
        <f>IFERROR(AVERAGEIF('Данные 2st'!$Q$2:$Q$317,$A81,'Данные 2st'!$FC$2:$FC$317),"")</f>
        <v>1</v>
      </c>
      <c r="MI81" s="7">
        <f>IFERROR(AVERAGEIF('Данные 2st'!$Q$2:$Q$317,$A81,'Данные 2st'!$FD$2:$FD$317),"")</f>
        <v>2088</v>
      </c>
      <c r="MJ81" s="7">
        <f>IFERROR(AVERAGEIF('Данные 2st'!$Q$2:$Q$317,$A81,'Данные 2st'!$FE$2:$FE$317),"")</f>
        <v>2857</v>
      </c>
      <c r="MK81" s="7">
        <f>IFERROR(AVERAGEIF('Данные 2st'!$Q$2:$Q$317,$A81,'Данные 2st'!$FG$2:$FG$317),"")</f>
        <v>258</v>
      </c>
      <c r="ML81" s="7">
        <f>IFERROR(AVERAGEIF('Данные 2st'!$Q$2:$Q$317,$A81,'Данные 2st'!$FI$2:$FI$317),"")</f>
        <v>3.7</v>
      </c>
      <c r="MM81" s="7">
        <f>IFERROR(AVERAGEIF('Данные 2st'!$Q$2:$Q$317,$A81,'Данные 2st'!$FJ$2:$FJ$317),"")</f>
        <v>2088</v>
      </c>
      <c r="MN81" s="7">
        <f>IFERROR(AVERAGEIF('Данные 2st'!$Q$2:$Q$317,$A81,'Данные 2st'!$FK$2:$FK$317),"")</f>
        <v>2571</v>
      </c>
      <c r="MO81" s="7">
        <f>IFERROR(AVERAGEIF('Данные 2st'!$Q$2:$Q$317,$A81,'Данные 2st'!$FP$2:$FP$317),"")</f>
        <v>2088</v>
      </c>
      <c r="MP81" s="7">
        <f>IFERROR(AVERAGEIF('Данные 2st'!$Q$2:$Q$317,$A81,'Данные 2st'!$FQ$2:$FQ$317),"")</f>
        <v>180</v>
      </c>
      <c r="MQ81" s="7">
        <f>IFERROR(AVERAGEIF('Данные 2st'!$Q$2:$Q$317,$A81,'Данные 2st'!$FS$2:$FS$317),"")</f>
        <v>262</v>
      </c>
      <c r="MR81" s="7">
        <f>IFERROR(AVERAGEIF('Данные 2st'!$Q$2:$Q$317,$A81,'Данные 2st'!$FU$2:$FU$317),"")</f>
        <v>0.4</v>
      </c>
      <c r="MS81" s="7">
        <f>IFERROR(AVERAGEIF('Данные 2st'!$Q$2:$Q$317,$A81,'Данные 2st'!$FV$2:$FV$317),"")</f>
        <v>2088</v>
      </c>
      <c r="MT81" s="7">
        <f>IFERROR(AVERAGEIF('Данные 2st'!$Q$2:$Q$317,$A81,'Данные 2st'!$FW$2:$FW$317),"")</f>
        <v>243</v>
      </c>
      <c r="MU81" s="7">
        <f>IFERROR(AVERAGEIF('Данные 2st'!$Q$2:$Q$317,$A81,'Данные 2st'!$FY$2:$FY$317),"")</f>
        <v>5</v>
      </c>
      <c r="MV81" s="7">
        <f>IFERROR(AVERAGEIF('Данные 2st'!$Q$2:$Q$317,$A81,'Данные 2st'!$GB$2:$GB$317),"")</f>
        <v>2088</v>
      </c>
      <c r="MW81" s="7">
        <f>IFERROR(AVERAGEIF('Данные 2st'!$Q$2:$Q$317,$A81,'Данные 2st'!$GC$2:$GC$317),"")</f>
        <v>21</v>
      </c>
      <c r="MX81" s="7">
        <f>IFERROR(AVERAGEIF('Данные 2st'!$Q$2:$Q$317,$A81,'Данные 2st'!$GD$2:$GD$317),"")</f>
        <v>5872</v>
      </c>
      <c r="MY81" s="7">
        <f>IFERROR(AVERAGEIF('Данные 2st'!$Q$2:$Q$317,$A81,'Данные 2st'!$GN$2:$GN$317),"")</f>
        <v/>
      </c>
      <c r="MZ81" s="7">
        <f>IFERROR(AVERAGEIF('Данные 2st'!$Q$2:$Q$317,$A81,'Данные 2st'!$GQ$2:$GQ$317),"")</f>
        <v>0</v>
      </c>
      <c r="NA81" s="7">
        <f>IFERROR(AVERAGEIF('Данные 2st'!$Q$2:$Q$317,$A81,'Данные 2st'!$GV$2:$GV$317),"")</f>
        <v>8.7</v>
      </c>
      <c r="NB81" s="7">
        <f>IFERROR(AVERAGEIF('Данные 2st'!$Q$2:$Q$317,$A81,'Данные 2st'!$GW$2:$GW$317),"")</f>
        <v>11.5</v>
      </c>
      <c r="NC81" s="7">
        <f>IFERROR(AVERAGEIF('Данные 2st'!$Q$2:$Q$317,$A81,'Данные 2st'!$GX$2:$GX$317),"")</f>
        <v>0.5</v>
      </c>
      <c r="ND81" s="7">
        <f>IFERROR(AVERAGEIF('Данные 2st'!$Q$2:$Q$317,$A81,'Данные 2st'!$GY$2:$GY$317),"")</f>
        <v>232</v>
      </c>
      <c r="NE81" s="7">
        <f>IFERROR(AVERAGEIF('Данные 2st'!$Q$2:$Q$317,$A81,'Данные 2st'!$GZ$2:$GZ$317),"")</f>
        <v>3</v>
      </c>
      <c r="NF81" s="7">
        <f>IFERROR(AVERAGEIF('Данные 2st'!$Q$2:$Q$317,$A81,'Данные 2st'!$HA$2:$HA$317),"")</f>
        <v>278</v>
      </c>
      <c r="NG81" s="7">
        <f>IFERROR(AVERAGEIF('Данные 2st'!$Q$2:$Q$317,$A81,'Данные 2st'!$HB$2:$HB$317),"")</f>
        <v>3</v>
      </c>
      <c r="NH81" s="7">
        <f>IFERROR(AVERAGEIF('Данные 2st'!$Q$2:$Q$317,$A81,'Данные 2st'!$HC$2:$HC$317),"")</f>
        <v>2088</v>
      </c>
      <c r="NI81" s="7">
        <f>IFERROR(AVERAGEIF('Данные 2st'!$Q$2:$Q$317,$A81,'Данные 2st'!$HD$2:$HD$317),"")</f>
        <v>4</v>
      </c>
      <c r="NJ81" s="7">
        <f>IFERROR(AVERAGEIF('Данные 2st'!$Q$2:$Q$317,$A81,'Данные 2st'!$HM$2:$HM$317),"")</f>
        <v>19</v>
      </c>
      <c r="NK81" s="7">
        <f>IFERROR(AVERAGEIF('Данные 2st'!$Q$2:$Q$317,$A81,'Данные 2st'!$HR$2:$HR$317),"")</f>
        <v>3</v>
      </c>
      <c r="NL81" s="7">
        <f>IFERROR(AVERAGEIF('Данные 2st'!$Q$2:$Q$317,$A81,'Данные 2st'!$HS$2:$HS$317),"")</f>
        <v>2040</v>
      </c>
      <c r="NM81" s="7">
        <f>IFERROR(AVERAGEIF('Данные 2st'!$Q$2:$Q$317,$A81,'Данные 2st'!$HT$2:$HT$317),"")</f>
        <v>5</v>
      </c>
      <c r="NN81" s="7">
        <f>IFERROR(AVERAGEIF('Данные 2st'!$Q$2:$Q$317,$A81,'Данные 2st'!$HY$2:$HY$317),"")</f>
        <v>0</v>
      </c>
      <c r="NO81" s="7">
        <f>IFERROR(AVERAGEIF('Данные 2st'!$Q$2:$Q$317,$A81,'Данные 2st'!$HZ$2:$HZ$317),"")</f>
        <v>63</v>
      </c>
      <c r="NP81" s="7">
        <f>IFERROR(AVERAGEIF('Данные 2st'!$Q$2:$Q$317,$A81,'Данные 2st'!$IA$2:$IA$317),"")</f>
        <v>2043</v>
      </c>
      <c r="NQ81" s="7">
        <f>IFERROR(AVERAGEIF('Данные 2st'!$Q$2:$Q$317,$A81,'Данные 2st'!$IB$2:$IB$317),"")</f>
        <v>2055</v>
      </c>
      <c r="NR81" s="7">
        <f>IFERROR(AVERAGEIF('Данные 2st'!$Q$2:$Q$317,$A81,'Данные 2st'!$IC$2:$IC$317),"")</f>
        <v/>
      </c>
      <c r="NS81" s="7">
        <f>IFERROR(AVERAGEIF('Данные 2st'!$Q$2:$Q$317,$A81,'Данные 2st'!$ID$2:$ID$317),"")</f>
        <v>2088</v>
      </c>
      <c r="NT81" s="7">
        <f>IFERROR(AVERAGEIF('Данные 2st'!$Q$2:$Q$317,$A81,'Данные 2st'!$IE$2:$IE$317),"")</f>
        <v>2088</v>
      </c>
      <c r="NU81" s="7">
        <f>IFERROR(AVERAGEIF('Данные 2st'!$Q$2:$Q$317,$A81,'Данные 2st'!$IF$2:$IF$317),"")</f>
        <v>240</v>
      </c>
      <c r="NV81" s="7">
        <f>IFERROR(AVERAGEIF('Данные 2st'!$Q$2:$Q$317,$A81,'Данные 2st'!$IG$2:$IG$317),"")</f>
        <v>230</v>
      </c>
      <c r="NW81" s="7">
        <f>IFERROR(AVERAGEIF('Данные 2st'!$Q$2:$Q$317,$A81,'Данные 2st'!$IH$2:$IH$317),"")</f>
        <v>278</v>
      </c>
      <c r="NX81" s="7">
        <f>IFERROR(AVERAGEIF('Данные 2st'!$Q$2:$Q$317,$A81,'Данные 2st'!$IJ$2:$IJ$317),"")</f>
        <v>5</v>
      </c>
      <c r="NY81" s="7">
        <f>IFERROR(AVERAGEIF('Данные 2st'!$Q$2:$Q$317,$A81,'Данные 2st'!$IM$2:$IM$317),"")</f>
        <v>0</v>
      </c>
      <c r="NZ81" s="7">
        <f>IFERROR(AVERAGEIF('Данные 2st'!$Q$2:$Q$317,$A81,'Данные 2st'!$IN$2:$IN$317),"")</f>
        <v>270</v>
      </c>
      <c r="OA81" s="7">
        <f>IFERROR(AVERAGEIF('Данные 2st'!$Q$2:$Q$317,$A81,'Данные 2st'!$IO$2:$IO$317),"")</f>
        <v>0</v>
      </c>
      <c r="OB81" s="7">
        <f>IFERROR(AVERAGEIF('Данные 2st'!$Q$2:$Q$317,$A81,'Данные 2st'!$IP$2:$IP$317),"")</f>
        <v>180</v>
      </c>
      <c r="OC81" s="7">
        <f>IFERROR(AVERAGEIF('Данные 2st'!$Q$2:$Q$317,$A81,'Данные 2st'!$IQ$2:$IQ$317),"")</f>
        <v>0</v>
      </c>
      <c r="OD81" s="7">
        <f>IFERROR(AVERAGEIF('Данные 2st'!$Q$2:$Q$317,$A81,'Данные 2st'!$IR$2:$IR$317),"")</f>
        <v>330</v>
      </c>
      <c r="OE81" s="7">
        <f>IFERROR(AVERAGEIF('Данные 2st'!$Q$2:$Q$317,$A81,'Данные 2st'!$IT$2:$IT$317),"")</f>
        <v>90</v>
      </c>
      <c r="OF81" s="7">
        <f>IFERROR(AVERAGEIF('Данные 2st'!$Q$2:$Q$317,$A81,'Данные 2st'!$IU$2:$IU$317),"")</f>
        <v>0</v>
      </c>
      <c r="OG81" s="7">
        <f>IFERROR(AVERAGEIF('Данные 2st'!$Q$2:$Q$317,$A81,'Данные 2st'!$IV$2:$IV$317),"")</f>
        <v>6.4</v>
      </c>
      <c r="OH81" s="7">
        <f>IFERROR(AVERAGEIF('Данные 2st'!$Q$2:$Q$317,$A81,'Данные 2st'!$IW$2:$IW$317),"")</f>
        <v>-6</v>
      </c>
      <c r="OI81" s="7">
        <f>IFERROR(AVERAGEIF('Данные 2st'!$Q$2:$Q$317,$A81,'Данные 2st'!$IX$2:$IX$317),"")</f>
        <v>122.5</v>
      </c>
      <c r="OJ81" s="7">
        <f>IFERROR(AVERAGEIF('Данные 2st'!$Q$2:$Q$317,$A81,'Данные 2st'!$IY$2:$IY$317),"")</f>
        <v>93</v>
      </c>
      <c r="OK81" s="7">
        <f>IFERROR(AVERAGEIF('Данные 2st'!$Q$2:$Q$317,$A81,'Данные 2st'!$IZ$2:$IZ$317),"")</f>
        <v>0</v>
      </c>
      <c r="OL81" s="7">
        <f>IFERROR(AVERAGEIF('Данные 2st'!$Q$2:$Q$317,$A81,'Данные 2st'!$JA$2:$JA$317),"")</f>
        <v>0</v>
      </c>
      <c r="OM81" s="7">
        <f>IFERROR(AVERAGEIF('Данные 2st'!$Q$2:$Q$317,$A81,'Данные 2st'!$JB$2:$JB$317),"")</f>
        <v>0</v>
      </c>
      <c r="ON81" s="7">
        <f>IFERROR(AVERAGEIF('Данные 2st'!$Q$2:$Q$317,$A81,'Данные 2st'!$JC$2:$JC$317),"")</f>
        <v>0</v>
      </c>
      <c r="OO81" s="7">
        <f>IFERROR(AVERAGEIF('Данные 2st'!$Q$2:$Q$317,$A81,'Данные 2st'!$JD$2:$JD$317),"")</f>
        <v>0</v>
      </c>
      <c r="OP81" s="7">
        <f>IFERROR(AVERAGEIF('Данные 2st'!$Q$2:$Q$317,$A81,'Данные 2st'!$JE$2:$JE$317),"")</f>
        <v>0</v>
      </c>
      <c r="OQ81" s="7">
        <f>IFERROR(AVERAGEIF('Данные 2st'!$Q$2:$Q$317,$A81,'Данные 2st'!$JF$2:$JF$317),"")</f>
        <v>0</v>
      </c>
      <c r="OR81" s="7">
        <f>IFERROR(AVERAGEIF('Данные 2st'!$Q$2:$Q$317,$A81,'Данные 2st'!$JG$2:$JG$317),"")</f>
        <v>0</v>
      </c>
      <c r="OS81" s="7">
        <f>IFERROR(AVERAGEIF('Данные 2st'!$Q$2:$Q$317,$A81,'Данные 2st'!$JH$2:$JH$317),"")</f>
        <v>0</v>
      </c>
      <c r="OT81" s="7">
        <f>IFERROR(AVERAGEIF('Данные 2st'!$Q$2:$Q$317,$A81,'Данные 2st'!$JI$2:$JI$317),"")</f>
        <v>396</v>
      </c>
      <c r="OU81" s="7">
        <f>IFERROR(AVERAGEIF('Данные 2st'!$Q$2:$Q$317,$A81,'Данные 2st'!$JJ$2:$JJ$317),"")</f>
        <v>366</v>
      </c>
      <c r="OV81" s="7">
        <f>IFERROR(AVERAGEIF('Данные 2st'!$Q$2:$Q$317,$A81,'Данные 2st'!$JK$2:$JK$317),"")</f>
        <v>270</v>
      </c>
      <c r="OW81" s="7">
        <f>IFERROR(AVERAGEIF('Данные 2st'!$Q$2:$Q$317,$A81,'Данные 2st'!$JL$2:$JL$317),"")</f>
        <v>364</v>
      </c>
      <c r="OX81" s="7">
        <f>IFERROR(AVERAGEIF('Данные 2st'!$Q$2:$Q$317,$A81,'Данные 2st'!$JM$2:$JM$317),"")</f>
        <v>285</v>
      </c>
      <c r="OY81" s="7">
        <f>IFERROR(AVERAGEIF('Данные 2st'!$Q$2:$Q$317,$A81,'Данные 2st'!$JP$2:$JP$317),"")</f>
        <v>190</v>
      </c>
      <c r="OZ81" s="7">
        <f>IFERROR(AVERAGEIF('Данные 2st'!$Q$2:$Q$317,$A81,'Данные 2st'!$JQ$2:$JQ$317),"")</f>
        <v>245</v>
      </c>
      <c r="PA81" s="7">
        <f>IFERROR(AVERAGEIF('Данные 2st'!$Q$2:$Q$317,$A81,'Данные 2st'!$JR$2:$JR$317),"")</f>
        <v>310</v>
      </c>
      <c r="PB81" s="7">
        <f>IFERROR(AVERAGEIF('Данные 2st'!$Q$2:$Q$317,$A81,'Данные 2st'!$JS$2:$JS$317),"")</f>
        <v>260</v>
      </c>
      <c r="PC81" s="7">
        <f>IFERROR(AVERAGEIF('Данные 2st'!$Q$2:$Q$317,$A81,'Данные 2st'!$JT$2:$JT$317),"")</f>
        <v>0</v>
      </c>
      <c r="PD81" s="7">
        <f>IFERROR(AVERAGEIF('Данные 2st'!$Q$2:$Q$317,$A81,'Данные 2st'!$JU$2:$JU$317),"")</f>
        <v>0</v>
      </c>
      <c r="PE81" s="7">
        <f>IFERROR(AVERAGEIF('Данные 2st'!$Q$2:$Q$317,$A81,'Данные 2st'!$JV$2:$JV$317),"")</f>
        <v>300</v>
      </c>
      <c r="PF81" s="7">
        <f>IFERROR(AVERAGEIF('Данные 2st'!$Q$2:$Q$317,$A81,'Данные 2st'!$JW$2:$JW$317),"")</f>
        <v>310</v>
      </c>
      <c r="PG81" s="7">
        <f>IFERROR(AVERAGEIF('Данные 2st'!$Q$2:$Q$317,$A81,'Данные 2st'!$KF$2:$KF$317),"")</f>
        <v>0.2</v>
      </c>
      <c r="PH81" s="7">
        <f>IFERROR(AVERAGEIF('Данные 2st'!$Q$2:$Q$317,$A81,'Данные 2st'!$KG$2:$KG$317),"")</f>
        <v>0.11</v>
      </c>
      <c r="PI81" s="7">
        <f>IFERROR(AVERAGEIF('Данные 2st'!$Q$2:$Q$317,$A81,'Данные 2st'!$KM$2:$KM$317),"")</f>
        <v>0</v>
      </c>
      <c r="PJ81" s="7">
        <f>IFERROR(AVERAGEIF('Данные 2st'!$Q$2:$Q$317,$A81,'Данные 2st'!$KN$2:$KN$317),"")</f>
        <v>1.7</v>
      </c>
      <c r="PK81" s="7">
        <f>IFERROR(AVERAGEIF('Данные 2st'!$Q$2:$Q$317,$A81,'Данные 2st'!$KO$2:$KO$317),"")</f>
        <v>0</v>
      </c>
      <c r="PL81" s="7">
        <f>IFERROR(AVERAGEIF('Данные 2st'!$Q$2:$Q$317,$A81,'Данные 2st'!$KP$2:$KP$317),"")</f>
        <v>0</v>
      </c>
      <c r="PM81" s="7">
        <f>IFERROR(AVERAGEIF('Данные 2st'!$Q$2:$Q$317,$A81,'Данные 2st'!$KQ$2:$KQ$317),"")</f>
        <v>0.5</v>
      </c>
      <c r="PN81" s="7">
        <f>IFERROR(AVERAGEIF('Данные 2st'!$Q$2:$Q$317,$A81,'Данные 2st'!$KR$2:$KR$317),"")</f>
        <v>1</v>
      </c>
      <c r="PO81" s="7">
        <f>IFERROR(AVERAGEIF('Данные 2st'!$Q$2:$Q$317,$A81,'Данные 2st'!$KS$2:$KS$317),"")</f>
        <v>0</v>
      </c>
      <c r="PP81" s="7">
        <f>IFERROR(AVERAGEIF('Данные 2st'!$Q$2:$Q$317,$A81,'Данные 2st'!$KT$2:$KT$317),"")</f>
        <v>2</v>
      </c>
      <c r="PQ81" s="7">
        <f>IFERROR(AVERAGEIF('Данные 2st'!$Q$2:$Q$317,$A81,'Данные 2st'!$KU$2:$KU$317),"")</f>
        <v>0</v>
      </c>
      <c r="PR81" s="7">
        <f>IFERROR(AVERAGEIF('Данные 2st'!$Q$2:$Q$317,$A81,'Данные 2st'!$KV$2:$KV$317),"")</f>
        <v>0</v>
      </c>
      <c r="PS81" s="7">
        <f>IFERROR(AVERAGEIF('Данные 2st'!$Q$2:$Q$317,$A81,'Данные 2st'!$KW$2:$KW$317),"")</f>
        <v>1.2</v>
      </c>
      <c r="PT81" s="7">
        <f>IFERROR(AVERAGEIF('Данные 2st'!$Q$2:$Q$317,$A81,'Данные 2st'!$KX$2:$KX$317),"")</f>
        <v>1</v>
      </c>
      <c r="PU81" s="7">
        <f>IFERROR(AVERAGEIF('Данные 2st'!$Q$2:$Q$317,$A81,'Данные 2st'!$KY$2:$KY$317),"")</f>
        <v>0</v>
      </c>
      <c r="PV81" s="7">
        <f>IFERROR(AVERAGEIF('Данные 2st'!$Q$2:$Q$317,$A81,'Данные 2st'!$KZ$2:$KZ$317),"")</f>
        <v>0</v>
      </c>
      <c r="PW81" s="7">
        <f>IFERROR(AVERAGEIF('Данные 2st'!$Q$2:$Q$317,$A81,'Данные 2st'!$LA$2:$LA$317),"")</f>
        <v>0</v>
      </c>
      <c r="PX81" s="7">
        <f>IFERROR(AVERAGEIF('Данные 2st'!$Q$2:$Q$317,$A81,'Данные 2st'!$LB$2:$LB$317),"")</f>
        <v>0</v>
      </c>
      <c r="PY81" s="7">
        <f>IFERROR(AVERAGEIF('Данные 2st'!$Q$2:$Q$317,$A81,'Данные 2st'!$LC$2:$LC$317),"")</f>
        <v>0</v>
      </c>
      <c r="PZ81" s="7">
        <f>IFERROR(AVERAGEIF('Данные 2st'!$Q$2:$Q$317,$A81,'Данные 2st'!$LD$2:$LD$317),"")</f>
        <v>0</v>
      </c>
      <c r="QA81" s="7">
        <f>IFERROR(AVERAGEIF('Данные 2st'!$Q$2:$Q$317,$A81,'Данные 2st'!$LE$2:$LE$317),"")</f>
        <v>0</v>
      </c>
      <c r="QB81" s="7">
        <f>IFERROR(AVERAGEIF('Данные 2st'!$Q$2:$Q$317,$A81,'Данные 2st'!$LF$2:$LF$317),"")</f>
        <v>0</v>
      </c>
      <c r="QC81" s="7">
        <f>IFERROR(AVERAGEIF('Данные 2st'!$Q$2:$Q$317,$A81,'Данные 2st'!$LG$2:$LG$317),"")</f>
        <v>0</v>
      </c>
      <c r="QD81" s="7">
        <f>IFERROR(AVERAGEIF('Данные 2st'!$Q$2:$Q$317,$A81,'Данные 2st'!$LH$2:$LH$317),"")</f>
        <v>3</v>
      </c>
      <c r="QE81" s="7">
        <f>IFERROR(AVERAGEIF('Данные 2st'!$Q$2:$Q$317,$A81,'Данные 2st'!$LJ$2:$LJ$317),"")</f>
        <v>0</v>
      </c>
      <c r="QF81" s="7">
        <f>IFERROR(AVERAGEIF('Данные 2st'!$Q$2:$Q$317,$A81,'Данные 2st'!$LK$2:$LK$317),"")</f>
        <v>5.5</v>
      </c>
      <c r="QG81" s="7">
        <f>IFERROR(AVERAGEIF('Данные 2st'!$Q$2:$Q$317,$A81,'Данные 2st'!$LL$2:$LL$317),"")</f>
        <v>7</v>
      </c>
      <c r="QH81" s="7">
        <f>IFERROR(AVERAGEIF('Данные 2st'!$Q$2:$Q$317,$A81,'Данные 2st'!$LM$2:$LM$317),"")</f>
        <v>9</v>
      </c>
      <c r="QI81" s="7">
        <f>IFERROR(AVERAGEIF('Данные 2st'!$Q$2:$Q$317,$A81,'Данные 2st'!$LN$2:$LN$317),"")</f>
        <v>0.1</v>
      </c>
      <c r="QJ81" s="7">
        <f>IFERROR(AVERAGEIF('Данные 2st'!$Q$2:$Q$317,$A81,'Данные 2st'!$LO$2:$LO$317),"")</f>
        <v>1</v>
      </c>
      <c r="QK81" s="7">
        <f>IFERROR(AVERAGEIF('Данные 2st'!$Q$2:$Q$317,$A81,'Данные 2st'!$LP$2:$LP$317),"")</f>
        <v>0</v>
      </c>
      <c r="QL81" s="7">
        <f>IFERROR(AVERAGEIF('Данные 2st'!$Q$2:$Q$317,$A81,'Данные 2st'!$LQ$2:$LQ$317),"")</f>
        <v>0</v>
      </c>
      <c r="QM81" s="7">
        <f>IFERROR(AVERAGEIF('Данные 2st'!$Q$2:$Q$317,$A81,'Данные 2st'!$LW$2:$LW$317),"")</f>
        <v>2.4</v>
      </c>
      <c r="QN81" s="7">
        <f>IFERROR(AVERAGEIF('Данные 2st'!$Q$2:$Q$317,$A81,'Данные 2st'!$LX$2:$LX$317),"")</f>
        <v>2.4</v>
      </c>
      <c r="QO81" s="7">
        <f>IFERROR(AVERAGEIF('Данные 2st'!$Q$2:$Q$317,$A81,'Данные 2st'!$LY$2:$LY$317),"")</f>
        <v>2.8</v>
      </c>
      <c r="QP81" s="7">
        <f>IFERROR(AVERAGEIF('Данные 2st'!$Q$2:$Q$317,$A81,'Данные 2st'!$LZ$2:$LZ$317),"")</f>
        <v>2.8</v>
      </c>
      <c r="QQ81" s="7">
        <f>IFERROR(AVERAGEIF('Данные 2st'!$Q$2:$Q$317,$A81,'Данные 2st'!$MB$2:$MB$317),"")</f>
        <v>4</v>
      </c>
      <c r="QR81" s="7">
        <f>IFERROR(AVERAGEIF('Данные 2st'!$Q$2:$Q$317,$A81,'Данные 2st'!$MG$2:$MG$317),"")</f>
        <v>0</v>
      </c>
      <c r="QS81" s="7">
        <f>IFERROR(AVERAGEIF('Данные 2st'!$Q$2:$Q$317,$A81,'Данные 2st'!$MH$2:$MH$317),"")</f>
        <v>0</v>
      </c>
      <c r="QT81" s="7">
        <f>IFERROR(AVERAGEIF('Данные 2st'!$Q$2:$Q$317,$A81,'Данные 2st'!$MI$2:$MI$317),"")</f>
        <v>0</v>
      </c>
      <c r="QU81" s="7">
        <f>IFERROR(AVERAGEIF('Данные 2st'!$Q$2:$Q$317,$A81,'Данные 2st'!$MJ$2:$MJ$317),"")</f>
        <v>0</v>
      </c>
      <c r="QV81" s="7">
        <f>IFERROR(AVERAGEIF('Данные 2st'!$Q$2:$Q$317,$A81,'Данные 2st'!$MK$2:$MK$317),"")</f>
        <v>0</v>
      </c>
      <c r="QW81" s="7">
        <f>IFERROR(AVERAGEIF('Данные 2st'!$Q$2:$Q$317,$A81,'Данные 2st'!$MM$2:$MM$317),"")</f>
        <v>420</v>
      </c>
      <c r="QX81" s="7">
        <f>IFERROR(AVERAGEIF('Данные 2st'!$Q$2:$Q$317,$A81,'Данные 2st'!$MQ$2:$MQ$317),"")</f>
        <v/>
      </c>
      <c r="QY81" s="7">
        <f>IFERROR(AVERAGEIF('Данные 2st'!$Q$2:$Q$317,$A81,'Данные 2st'!$MR$2:$MR$317),"")</f>
        <v/>
      </c>
      <c r="QZ81" s="7">
        <f>IFERROR(AVERAGEIF('Данные 2st'!$Q$2:$Q$317,$A81,'Данные 2st'!$MS$2:$MS$317),"")</f>
        <v/>
      </c>
      <c r="RA81" s="7">
        <f>IFERROR(AVERAGEIF('Данные 2st'!$Q$2:$Q$317,$A81,'Данные 2st'!$MT$2:$MT$317),"")</f>
        <v/>
      </c>
      <c r="RB81" s="7">
        <f>IFERROR(AVERAGEIF('Данные 2st'!$Q$2:$Q$317,$A81,'Данные 2st'!$MU$2:$MU$317),"")</f>
        <v/>
      </c>
      <c r="RC81" s="7">
        <f>IFERROR(AVERAGEIF('Данные 2st'!$Q$2:$Q$317,$A81,'Данные 2st'!$MV$2:$MV$317),"")</f>
        <v/>
      </c>
      <c r="RD81" s="7">
        <f>IFERROR(AVERAGEIF('Данные 2st'!$Q$2:$Q$317,$A81,'Данные 2st'!$MW$2:$MW$317),"")</f>
        <v/>
      </c>
      <c r="RE81" s="7">
        <f>IFERROR(AVERAGEIF('Данные 2st'!$Q$2:$Q$317,$A81,'Данные 2st'!$MX$2:$MX$317),"")</f>
        <v/>
      </c>
      <c r="RF81" s="7">
        <f>IFERROR(AVERAGEIF('Данные 2st'!$Q$2:$Q$317,$A81,'Данные 2st'!$MY$2:$MY$317),"")</f>
        <v/>
      </c>
      <c r="RG81" s="7">
        <f>IFERROR(AVERAGEIF('Данные 2st'!$Q$2:$Q$317,$A81,'Данные 2st'!$MZ$2:$MZ$317),"")</f>
        <v/>
      </c>
      <c r="RH81" s="7">
        <f>IFERROR(AVERAGEIF('Данные 2st'!$Q$2:$Q$317,$A81,'Данные 2st'!$NA$2:$NA$317),"")</f>
        <v/>
      </c>
      <c r="RI81" s="7">
        <f>IFERROR(AVERAGEIF('Данные 2st'!$Q$2:$Q$317,$A81,'Данные 2st'!$NB$2:$NB$317),"")</f>
        <v/>
      </c>
      <c r="RJ81" s="7">
        <f>IFERROR(AVERAGEIF('Данные 2st'!$Q$2:$Q$317,$A81,'Данные 2st'!$NC$2:$NC$317),"")</f>
        <v/>
      </c>
      <c r="RK81" s="7">
        <f>IFERROR(AVERAGEIF('Данные 2st'!$Q$2:$Q$317,$A81,'Данные 2st'!$ND$2:$ND$317),"")</f>
        <v/>
      </c>
      <c r="RL81" s="7">
        <f>IFERROR(AVERAGEIF('Данные 2st'!$Q$2:$Q$317,$A81,'Данные 2st'!$NE$2:$NE$317),"")</f>
        <v/>
      </c>
      <c r="RM81" s="7">
        <f>IFERROR(AVERAGEIF('Данные 2st'!$Q$2:$Q$317,$A81,'Данные 2st'!$NF$2:$NF$317),"")</f>
        <v/>
      </c>
      <c r="RN81" s="7">
        <f>IFERROR(AVERAGEIF('Данные 2st'!$Q$2:$Q$317,$A81,'Данные 2st'!$NG$2:$NG$317),"")</f>
        <v/>
      </c>
      <c r="RO81" s="7">
        <f>IFERROR(AVERAGEIF('Данные 2st'!$Q$2:$Q$317,$A81,'Данные 2st'!$NH$2:$NH$317),"")</f>
        <v/>
      </c>
      <c r="RP81" s="7">
        <f>IFERROR(AVERAGEIF('Данные 2st'!$Q$2:$Q$317,$A81,'Данные 2st'!$NJ$2:$NJ$317),"")</f>
        <v/>
      </c>
      <c r="RQ81" s="7">
        <f>IFERROR(AVERAGEIF('Данные 2st'!$Q$2:$Q$317,$A81,'Данные 2st'!$NK$2:$NK$317),"")</f>
        <v/>
      </c>
      <c r="RR81" s="7">
        <f>IFERROR(AVERAGEIF('Данные 2st'!$Q$2:$Q$317,$A81,'Данные 2st'!$NM$2:$NM$317),"")</f>
        <v/>
      </c>
      <c r="RS81" s="7">
        <f>IFERROR(AVERAGEIF('Данные 2st'!$Q$2:$Q$317,$A81,'Данные 2st'!$NN$2:$NN$317),"")</f>
        <v/>
      </c>
      <c r="RT81" s="7">
        <f>IFERROR(AVERAGEIF('Данные 2st'!$Q$2:$Q$317,$A81,'Данные 2st'!$NO$2:$NO$317),"")</f>
        <v/>
      </c>
      <c r="RU81" s="7">
        <f>IFERROR(AVERAGEIF('Данные 2st'!$Q$2:$Q$317,$A81,'Данные 2st'!$NP$2:$NP$317),"")</f>
        <v/>
      </c>
      <c r="RV81" s="7">
        <f>IFERROR(AVERAGEIF('Данные 2st'!$Q$2:$Q$317,$A81,'Данные 2st'!$NQ$2:$NQ$317),"")</f>
        <v/>
      </c>
      <c r="RW81" s="7">
        <f>IFERROR(AVERAGEIF('Данные 2st'!$Q$2:$Q$317,$A81,'Данные 2st'!$NR$2:$NR$317),"")</f>
        <v/>
      </c>
      <c r="RX81" s="7">
        <f>IFERROR(AVERAGEIF('Данные 2st'!$Q$2:$Q$317,$A81,'Данные 2st'!$NS$2:$NS$317),"")</f>
        <v/>
      </c>
      <c r="RY81" s="7">
        <f>IFERROR(AVERAGEIF('Данные 2st'!$Q$2:$Q$317,$A81,'Данные 2st'!$NT$2:$NT$317),"")</f>
        <v/>
      </c>
      <c r="RZ81" s="7">
        <f>IFERROR(AVERAGEIF('Данные 2st'!$Q$2:$Q$317,$A81,'Данные 2st'!$OK$2:$OK$317),"")</f>
        <v>61</v>
      </c>
      <c r="SA81" s="7">
        <f>IFERROR(AVERAGEIF('Данные 2st'!$Q$2:$Q$317,$A81,'Данные 2st'!$OL$2:$OL$317),"")</f>
        <v>61</v>
      </c>
      <c r="SB81" s="7">
        <f>IFERROR(AVERAGEIF('Данные 2st'!$Q$2:$Q$317,$A81,'Данные 2st'!$ON$2:$ON$317),"")</f>
        <v>1</v>
      </c>
      <c r="SC81" s="7">
        <f>IFERROR(AVERAGEIF('Данные 2st'!$Q$2:$Q$317,$A81,'Данные 2st'!$OO$2:$OO$317),"")</f>
        <v>2043</v>
      </c>
      <c r="SD81" s="7">
        <f>IFERROR(AVERAGEIF('Данные 2st'!$Q$2:$Q$317,$A81,'Данные 2st'!$OP$2:$OP$317),"")</f>
        <v>61</v>
      </c>
      <c r="SE81" s="7">
        <f>IFERROR(AVERAGEIF('Данные 2st'!$Q$2:$Q$317,$A81,'Данные 2st'!$OQ$2:$OQ$317),"")</f>
        <v>61</v>
      </c>
      <c r="SF81" s="7">
        <f>IFERROR(AVERAGEIF('Данные 2st'!$Q$2:$Q$317,$A81,'Данные 2st'!$OS$2:$OS$317),"")</f>
        <v>1</v>
      </c>
      <c r="SG81" s="7">
        <f>IFERROR(AVERAGEIF('Данные 2st'!$Q$2:$Q$317,$A81,'Данные 2st'!$OT$2:$OT$317),"")</f>
        <v>2055</v>
      </c>
      <c r="SH81" s="7">
        <f>IFERROR(AVERAGEIF('Данные 2st'!$Q$2:$Q$317,$A81,'Данные 2st'!$OU$2:$OU$317),"")</f>
        <v>65</v>
      </c>
      <c r="SI81" s="7">
        <f>IFERROR(AVERAGEIF('Данные 2st'!$Q$2:$Q$317,$A81,'Данные 2st'!$OV$2:$OV$317),"")</f>
        <v>65</v>
      </c>
      <c r="SJ81" s="7">
        <f>IFERROR(AVERAGEIF('Данные 2st'!$Q$2:$Q$317,$A81,'Данные 2st'!$OX$2:$OX$317),"")</f>
        <v>2</v>
      </c>
      <c r="SK81" s="7">
        <f>IFERROR(AVERAGEIF('Данные 2st'!$Q$2:$Q$317,$A81,'Данные 2st'!$OY$2:$OY$317),"")</f>
        <v>50732</v>
      </c>
      <c r="SL81" s="7">
        <f>IFERROR(AVERAGEIF('Данные 2st'!$Q$2:$Q$317,$A81,'Данные 2st'!$OZ$2:$OZ$317),"")</f>
        <v>51</v>
      </c>
      <c r="SM81" s="7">
        <f>IFERROR(AVERAGEIF('Данные 2st'!$Q$2:$Q$317,$A81,'Данные 2st'!$PA$2:$PA$317),"")</f>
        <v>52</v>
      </c>
      <c r="SN81" s="7">
        <f>IFERROR(AVERAGEIF('Данные 2st'!$Q$2:$Q$317,$A81,'Данные 2st'!$PC$2:$PC$317),"")</f>
        <v>1</v>
      </c>
      <c r="SO81" s="7">
        <f>IFERROR(AVERAGEIF('Данные 2st'!$Q$2:$Q$317,$A81,'Данные 2st'!$PD$2:$PD$317),"")</f>
        <v>2088</v>
      </c>
      <c r="SP81" s="7">
        <f>IFERROR(AVERAGEIF('Данные 2st'!$Q$2:$Q$317,$A81,'Данные 2st'!$PF$2:$PF$317),"")</f>
        <v>519</v>
      </c>
      <c r="SQ81" s="7">
        <f>IFERROR(AVERAGEIF('Данные 2st'!$Q$2:$Q$317,$A81,'Данные 2st'!$PG$2:$PG$317),"")</f>
        <v>35</v>
      </c>
      <c r="SR81" s="7">
        <f>IFERROR(AVERAGEIF('Данные 2st'!$Q$2:$Q$317,$A81,'Данные 2st'!$PH$2:$PH$317),"")</f>
        <v>497</v>
      </c>
      <c r="SS81" s="7">
        <f>IFERROR(AVERAGEIF('Данные 2st'!$Q$2:$Q$317,$A81,'Данные 2st'!$PI$2:$PI$317),"")</f>
        <v>0</v>
      </c>
      <c r="ST81" s="7">
        <f>IFERROR(AVERAGEIF('Данные 2st'!$Q$2:$Q$317,$A81,'Данные 2st'!$PJ$2:$PJ$317),"")</f>
        <v>86.3</v>
      </c>
      <c r="SU81" s="7">
        <f>IFERROR(AVERAGEIF('Данные 2st'!$Q$2:$Q$317,$A81,'Данные 2st'!$PK$2:$PK$317),"")</f>
        <v>2781</v>
      </c>
      <c r="SV81" s="7">
        <f>IFERROR(AVERAGEIF('Данные 2st'!$Q$2:$Q$317,$A81,'Данные 2st'!$PL$2:$PL$317),"")</f>
        <v>1368.1</v>
      </c>
      <c r="SW81" s="7">
        <f>IFERROR(AVERAGEIF('Данные 2st'!$Q$2:$Q$317,$A81,'Данные 2st'!$PM$2:$PM$317),"")</f>
        <v>1231.5</v>
      </c>
      <c r="SX81" s="7">
        <f>IFERROR(AVERAGEIF('Данные 2st'!$Q$2:$Q$317,$A81,'Данные 2st'!$PN$2:$PN$317),"")</f>
        <v>116.6</v>
      </c>
      <c r="SY81" s="7">
        <f>IFERROR(AVERAGEIF('Данные 2st'!$Q$2:$Q$317,$A81,'Данные 2st'!$PO$2:$PO$317),"")</f>
        <v>10.1</v>
      </c>
      <c r="SZ81" s="7">
        <f>IFERROR(AVERAGEIF('Данные 2st'!$Q$2:$Q$317,$A81,'Данные 2st'!$PP$2:$PP$317),"")</f>
        <v>12</v>
      </c>
      <c r="TA81" s="7">
        <f>IFERROR(AVERAGEIF('Данные 2st'!$Q$2:$Q$317,$A81,'Данные 2st'!$PQ$2:$PQ$317),"")</f>
        <v>3</v>
      </c>
      <c r="TB81" s="7">
        <f>IFERROR(AVERAGEIF('Данные 2st'!$Q$2:$Q$317,$A81,'Данные 2st'!$PR$2:$PR$317),"")</f>
        <v>3</v>
      </c>
      <c r="TC81" s="7">
        <f>IFERROR(AVERAGEIF('Данные 2st'!$Q$2:$Q$317,$A81,'Данные 2st'!$PS$2:$PS$317),"")</f>
        <v>0</v>
      </c>
      <c r="TD81" s="7">
        <f>IFERROR(AVERAGEIF('Данные 2st'!$Q$2:$Q$317,$A81,'Данные 2st'!$PT$2:$PT$317),"")</f>
        <v>278</v>
      </c>
      <c r="TE81" s="7">
        <f>IFERROR(AVERAGEIF('Данные 2st'!$Q$2:$Q$317,$A81,'Данные 2st'!$PU$2:$PU$317),"")</f>
        <v>10</v>
      </c>
      <c r="TF81" s="7">
        <f>IFERROR(AVERAGEIF('Данные 2st'!$Q$2:$Q$317,$A81,'Данные 2st'!$PX$2:$PX$317),"")</f>
        <v>0</v>
      </c>
      <c r="TG81" s="7">
        <f>IFERROR(AVERAGEIF('Данные 2st'!$Q$2:$Q$317,$A81,'Данные 2st'!$PY$2:$PY$317),"")</f>
        <v>0</v>
      </c>
      <c r="TH81" s="7">
        <f>IFERROR(AVERAGEIF('Данные 2st'!$Q$2:$Q$317,$A81,'Данные 2st'!$PZ$2:$PZ$317),"")</f>
        <v>0</v>
      </c>
      <c r="TI81" s="7">
        <f>IFERROR(AVERAGEIF('Данные 2st'!$Q$2:$Q$317,$A81,'Данные 2st'!$QA$2:$QA$317),"")</f>
        <v>0</v>
      </c>
      <c r="TJ81" s="7">
        <f>IFERROR(AVERAGEIF('Данные 2st'!$Q$2:$Q$317,$A81,'Данные 2st'!$QB$2:$QB$317),"")</f>
        <v>0</v>
      </c>
      <c r="TK81" s="7">
        <f>IFERROR(AVERAGEIF('Данные 2st'!$Q$2:$Q$317,$A81,'Данные 2st'!$QC$2:$QC$317),"")</f>
        <v>0</v>
      </c>
      <c r="TL81" s="7">
        <f>IFERROR(AVERAGEIF('Данные 2st'!$Q$2:$Q$317,$A81,'Данные 2st'!$QD$2:$QD$317),"")</f>
        <v>0</v>
      </c>
      <c r="TM81" s="7">
        <f>IFERROR(AVERAGEIF('Данные 2st'!$Q$2:$Q$317,$A81,'Данные 2st'!$QE$2:$QE$317),"")</f>
        <v>-1</v>
      </c>
      <c r="TN81" s="7">
        <f>IFERROR(AVERAGEIF('Данные 2st'!$Q$2:$Q$317,$A81,'Данные 2st'!$QF$2:$QF$317),"")</f>
        <v>1</v>
      </c>
      <c r="TO81" s="7">
        <f>IFERROR(AVERAGEIF('Данные 2st'!$Q$2:$Q$317,$A81,'Данные 2st'!$QG$2:$QG$317),"")</f>
        <v>0</v>
      </c>
      <c r="TP81" s="7">
        <f>IFERROR(AVERAGEIF('Данные 2st'!$Q$2:$Q$317,$A81,'Данные 2st'!$QH$2:$QH$317),"")</f>
        <v>5</v>
      </c>
      <c r="TQ81" s="7">
        <f>IFERROR(AVERAGEIF('Данные 2st'!$Q$2:$Q$317,$A81,'Данные 2st'!$QI$2:$QI$317),"")</f>
        <v>5</v>
      </c>
      <c r="TR81" s="7">
        <f>IFERROR(AVERAGEIF('Данные 2st'!$Q$2:$Q$317,$A81,'Данные 2st'!$QJ$2:$QJ$317),"")</f>
        <v>5</v>
      </c>
      <c r="TS81" s="7">
        <f>IFERROR(AVERAGEIF('Данные 2st'!$Q$2:$Q$317,$A81,'Данные 2st'!$QK$2:$QK$317),"")</f>
        <v>214</v>
      </c>
      <c r="TT81" s="7">
        <f>IFERROR(AVERAGEIF('Данные 2st'!$Q$2:$Q$317,$A81,'Данные 2st'!$QL$2:$QL$317),"")</f>
        <v>426</v>
      </c>
      <c r="TU81" s="7">
        <f>IFERROR(AVERAGEIF('Данные 2st'!$Q$2:$Q$317,$A81,'Данные 2st'!$QM$2:$QM$317),"")</f>
        <v>7.5</v>
      </c>
      <c r="TV81" s="7">
        <f>IFERROR(AVERAGEIF('Данные 2st'!$Q$2:$Q$317,$A81,'Данные 2st'!$QN$2:$QN$317),"")</f>
        <v>1540.9</v>
      </c>
      <c r="TW81" s="7">
        <f>IFERROR(AVERAGEIF('Данные 2st'!$Q$2:$Q$317,$A81,'Данные 2st'!$QQ$2:$QQ$317),"")</f>
        <v>0</v>
      </c>
      <c r="TX81" s="7">
        <f>IFERROR(AVERAGEIF('Данные 2st'!$Q$2:$Q$317,$A81,'Данные 2st'!$QS$2:$QS$317),"")</f>
        <v>40</v>
      </c>
      <c r="TY81" s="7">
        <f>IFERROR(AVERAGEIF('Данные 2st'!$Q$2:$Q$317,$A81,'Данные 2st'!$QT$2:$QT$317),"")</f>
        <v>50</v>
      </c>
    </row>
    <row r="82" spans="1:545" ht="32" customHeight="1">
      <c r="A82" s="11" t="s">
        <v>2943</v>
      </c>
      <c r="B82">
        <f>COUNTIF('Данные 1st'!$S$2:$S$317,$A82)</f>
        <v>1</v>
      </c>
      <c r="C82" s="6" t="s">
        <v>2657</v>
      </c>
      <c r="D82" s="6" t="s">
        <v>513</v>
      </c>
      <c r="E82" s="6" t="s">
        <v>517</v>
      </c>
      <c r="F82" s="6" t="s">
        <v>2941</v>
      </c>
      <c r="G82" s="7">
        <f>IFERROR(AVERAGEIF('Данные 1st'!$S$2:$S$317,$A82,'Данные 1st'!$AE$2:$AE$317),"")</f>
        <v>245</v>
      </c>
      <c r="H82" s="7">
        <f>IFERROR(AVERAGEIF('Данные 1st'!$S$2:$S$317,$A82,'Данные 1st'!$AF$2:$AF$317),"")</f>
        <v>1.5</v>
      </c>
      <c r="I82" s="7">
        <f>IFERROR(AVERAGEIF('Данные 1st'!$S$2:$S$317,$A82,'Данные 1st'!$AJ$2:$AJ$317),"")</f>
        <v>225</v>
      </c>
      <c r="J82" s="7">
        <f>IFERROR(AVERAGEIF('Данные 1st'!$S$2:$S$317,$A82,'Данные 1st'!$AL$2:$AL$317),"")</f>
        <v>1.5</v>
      </c>
      <c r="K82" s="7">
        <f>IFERROR(AVERAGEIF('Данные 1st'!$S$2:$S$317,$A82,'Данные 1st'!$AR$2:$AR$317),"")</f>
        <v>273</v>
      </c>
      <c r="L82" s="7">
        <f>IFERROR(AVERAGEIF('Данные 1st'!$S$2:$S$317,$A82,'Данные 1st'!$AS$2:$AS$317),"")</f>
        <v>1.5</v>
      </c>
      <c r="M82" s="7">
        <f>IFERROR(AVERAGEIF('Данные 1st'!$S$2:$S$317,$A82,'Данные 1st'!$AY$2:$AY$317),"")</f>
        <v>317.5</v>
      </c>
      <c r="N82" s="7">
        <f>IFERROR(AVERAGEIF('Данные 1st'!$S$2:$S$317,$A82,'Данные 1st'!$AZ$2:$AZ$317),"")</f>
        <v>1.5</v>
      </c>
      <c r="O82" s="7">
        <f>IFERROR(AVERAGEIF('Данные 1st'!$S$2:$S$317,$A82,'Данные 1st'!$BF$2:$BF$317),"")</f>
        <v>265</v>
      </c>
      <c r="P82" s="7">
        <f>IFERROR(AVERAGEIF('Данные 1st'!$S$2:$S$317,$A82,'Данные 1st'!$BG$2:$BG$317),"")</f>
        <v>1.5</v>
      </c>
      <c r="Q82" s="7">
        <f>IFERROR(AVERAGEIF('Данные 1st'!$S$2:$S$317,$A82,'Данные 1st'!$BM$2:$BM$317),"")</f>
        <v/>
      </c>
      <c r="R82" s="7">
        <f>IFERROR(AVERAGEIF('Данные 1st'!$S$2:$S$317,$A82,'Данные 1st'!$BN$2:$BN$317),"")</f>
        <v>1.5</v>
      </c>
      <c r="S82" s="7">
        <f>IFERROR(AVERAGEIF('Данные 1st'!$S$2:$S$317,$A82,'Данные 1st'!$BT$2:$BT$317),"")</f>
        <v>244</v>
      </c>
      <c r="T82" s="7">
        <f>IFERROR(AVERAGEIF('Данные 1st'!$S$2:$S$317,$A82,'Данные 1st'!$BU$2:$BU$317),"")</f>
        <v>0.5</v>
      </c>
      <c r="U82" s="7">
        <f>IFERROR(AVERAGEIF('Данные 1st'!$S$2:$S$317,$A82,'Данные 1st'!$BW$2:$BW$317),"")</f>
        <v>488</v>
      </c>
      <c r="V82" s="7">
        <f>IFERROR(AVERAGEIF('Данные 1st'!$S$2:$S$317,$A82,'Данные 1st'!$BX$2:$BX$317),"")</f>
        <v>1</v>
      </c>
      <c r="W82" s="7">
        <f>IFERROR(AVERAGEIF('Данные 1st'!$S$2:$S$317,$A82,'Данные 1st'!$BZ$2:$BZ$317),"")</f>
        <v>470</v>
      </c>
      <c r="X82" s="7">
        <f>IFERROR(AVERAGEIF('Данные 1st'!$S$2:$S$317,$A82,'Данные 1st'!$CA$2:$CA$317),"")</f>
        <v>550</v>
      </c>
      <c r="Y82" s="7">
        <f>IFERROR(AVERAGEIF('Данные 1st'!$S$2:$S$317,$A82,'Данные 1st'!$CD$2:$CD$317),"")</f>
        <v>498</v>
      </c>
      <c r="Z82" s="7">
        <f>IFERROR(AVERAGEIF('Данные 1st'!$S$2:$S$317,$A82,'Данные 1st'!$CF$2:$CF$317),"")</f>
        <v>15</v>
      </c>
      <c r="AA82" s="7">
        <f>IFERROR(AVERAGEIF('Данные 1st'!$S$2:$S$317,$A82,'Данные 1st'!$CI$2:$CI$317),"")</f>
        <v>40</v>
      </c>
      <c r="AB82" s="7">
        <f>IFERROR(AVERAGEIF('Данные 1st'!$S$2:$S$317,$A82,'Данные 1st'!$CJ$2:$CJ$317),"")</f>
        <v>1538</v>
      </c>
      <c r="AC82" s="7">
        <f>IFERROR(AVERAGEIF('Данные 1st'!$S$2:$S$317,$A82,'Данные 1st'!$CK$2:$CK$317),"")</f>
        <v>2</v>
      </c>
      <c r="AD82" s="7">
        <f>IFERROR(AVERAGEIF('Данные 1st'!$S$2:$S$317,$A82,'Данные 1st'!$CL$2:$CL$317),"")</f>
        <v>1632</v>
      </c>
      <c r="AE82" s="7">
        <f>IFERROR(AVERAGEIF('Данные 1st'!$S$2:$S$317,$A82,'Данные 1st'!$CM$2:$CM$317),"")</f>
        <v>2</v>
      </c>
      <c r="AF82" s="7">
        <f>IFERROR(AVERAGEIF('Данные 1st'!$S$2:$S$317,$A82,'Данные 1st'!$CT$2:$CT$317),"")</f>
        <v>450</v>
      </c>
      <c r="AG82" s="7">
        <f>IFERROR(AVERAGEIF('Данные 1st'!$S$2:$S$317,$A82,'Данные 1st'!$CU$2:$CU$317),"")</f>
        <v>5</v>
      </c>
      <c r="AH82" s="7">
        <f>IFERROR(AVERAGEIF('Данные 1st'!$S$2:$S$317,$A82,'Данные 1st'!$CV$2:$CV$317),"")</f>
        <v>1.2</v>
      </c>
      <c r="AI82" s="7">
        <f>IFERROR(AVERAGEIF('Данные 1st'!$S$2:$S$317,$A82,'Данные 1st'!$CW$2:$CW$317),"")</f>
        <v>1554</v>
      </c>
      <c r="AJ82" s="7">
        <f>IFERROR(AVERAGEIF('Данные 1st'!$S$2:$S$317,$A82,'Данные 1st'!$CX$2:$CX$317),"")</f>
        <v>990</v>
      </c>
      <c r="AK82" s="7">
        <f>IFERROR(AVERAGEIF('Данные 1st'!$S$2:$S$317,$A82,'Данные 1st'!$CZ$2:$CZ$317),"")</f>
        <v>60</v>
      </c>
      <c r="AL82" s="7">
        <f>IFERROR(AVERAGEIF('Данные 1st'!$S$2:$S$317,$A82,'Данные 1st'!$DA$2:$DA$317),"")</f>
        <v>3</v>
      </c>
      <c r="AM82" s="7">
        <f>IFERROR(AVERAGEIF('Данные 1st'!$S$2:$S$317,$A82,'Данные 1st'!$DB$2:$DB$317),"")</f>
        <v>1</v>
      </c>
      <c r="AN82" s="7">
        <f>IFERROR(AVERAGEIF('Данные 1st'!$S$2:$S$317,$A82,'Данные 1st'!$DC$2:$DC$317),"")</f>
        <v>1554</v>
      </c>
      <c r="AO82" s="7">
        <f>IFERROR(AVERAGEIF('Данные 1st'!$S$2:$S$317,$A82,'Данные 1st'!$DD$2:$DD$317),"")</f>
        <v>97</v>
      </c>
      <c r="AP82" s="7">
        <f>IFERROR(AVERAGEIF('Данные 1st'!$S$2:$S$317,$A82,'Данные 1st'!$DF$2:$DF$317),"")</f>
        <v>635</v>
      </c>
      <c r="AQ82" s="7">
        <f>IFERROR(AVERAGEIF('Данные 1st'!$S$2:$S$317,$A82,'Данные 1st'!$DG$2:$DG$317),"")</f>
        <v>3</v>
      </c>
      <c r="AR82" s="7">
        <f>IFERROR(AVERAGEIF('Данные 1st'!$S$2:$S$317,$A82,'Данные 1st'!$DH$2:$DH$317),"")</f>
        <v>0.88</v>
      </c>
      <c r="AS82" s="7">
        <f>IFERROR(AVERAGEIF('Данные 1st'!$S$2:$S$317,$A82,'Данные 1st'!$DI$2:$DI$317),"")</f>
        <v>1547</v>
      </c>
      <c r="AT82" s="7">
        <f>IFERROR(AVERAGEIF('Данные 1st'!$S$2:$S$317,$A82,'Данные 1st'!$DJ$2:$DJ$317),"")</f>
        <v>1187</v>
      </c>
      <c r="AU82" s="7">
        <f>IFERROR(AVERAGEIF('Данные 1st'!$S$2:$S$317,$A82,'Данные 1st'!$DL$2:$DL$317),"")</f>
        <v>530</v>
      </c>
      <c r="AV82" s="7">
        <f>IFERROR(AVERAGEIF('Данные 1st'!$S$2:$S$317,$A82,'Данные 1st'!$DM$2:$DM$317),"")</f>
        <v>3</v>
      </c>
      <c r="AW82" s="7">
        <f>IFERROR(AVERAGEIF('Данные 1st'!$S$2:$S$317,$A82,'Данные 1st'!$DN$2:$DN$317),"")</f>
        <v>0.88</v>
      </c>
      <c r="AX82" s="7">
        <f>IFERROR(AVERAGEIF('Данные 1st'!$S$2:$S$317,$A82,'Данные 1st'!$DO$2:$DO$317),"")</f>
        <v>1552</v>
      </c>
      <c r="AY82" s="7">
        <f>IFERROR(AVERAGEIF('Данные 1st'!$S$2:$S$317,$A82,'Данные 1st'!$DP$2:$DP$317),"")</f>
        <v>892</v>
      </c>
      <c r="AZ82" s="7">
        <f>IFERROR(AVERAGEIF('Данные 1st'!$S$2:$S$317,$A82,'Данные 1st'!$DR$2:$DR$317),"")</f>
        <v/>
      </c>
      <c r="BA82" s="7">
        <f>IFERROR(AVERAGEIF('Данные 1st'!$S$2:$S$317,$A82,'Данные 1st'!$DS$2:$DS$317),"")</f>
        <v/>
      </c>
      <c r="BB82" s="7">
        <f>IFERROR(AVERAGEIF('Данные 1st'!$S$2:$S$317,$A82,'Данные 1st'!$DT$2:$DT$317),"")</f>
        <v/>
      </c>
      <c r="BC82" s="7">
        <f>IFERROR(AVERAGEIF('Данные 1st'!$S$2:$S$317,$A82,'Данные 1st'!$DU$2:$DU$317),"")</f>
        <v/>
      </c>
      <c r="BD82" s="7">
        <f>IFERROR(AVERAGEIF('Данные 1st'!$S$2:$S$317,$A82,'Данные 1st'!$DV$2:$DV$317),"")</f>
        <v/>
      </c>
      <c r="BE82" s="7">
        <f>IFERROR(AVERAGEIF('Данные 1st'!$S$2:$S$317,$A82,'Данные 1st'!$DX$2:$DX$317),"")</f>
        <v>9.4</v>
      </c>
      <c r="BF82" s="7">
        <f>IFERROR(AVERAGEIF('Данные 1st'!$S$2:$S$317,$A82,'Данные 1st'!$EA$2:$EA$317),"")</f>
        <v>1623.8</v>
      </c>
      <c r="BG82" s="7">
        <f>IFERROR(AVERAGEIF('Данные 1st'!$S$2:$S$317,$A82,'Данные 1st'!$EB$2:$EB$317),"")</f>
        <v>381</v>
      </c>
      <c r="BH82" s="7">
        <f>IFERROR(AVERAGEIF('Данные 1st'!$S$2:$S$317,$A82,'Данные 1st'!$ED$2:$ED$317),"")</f>
        <v>35</v>
      </c>
      <c r="BI82" s="7">
        <f>IFERROR(AVERAGEIF('Данные 1st'!$S$2:$S$317,$A82,'Данные 1st'!$EE$2:$EE$317),"")</f>
        <v>3</v>
      </c>
      <c r="BJ82" s="7">
        <f>IFERROR(AVERAGEIF('Данные 1st'!$S$2:$S$317,$A82,'Данные 1st'!$EG$2:$EG$317),"")</f>
        <v>1665</v>
      </c>
      <c r="BK82" s="7">
        <f>IFERROR(AVERAGEIF('Данные 1st'!$S$2:$S$317,$A82,'Данные 1st'!$EH$2:$EH$317),"")</f>
        <v>298</v>
      </c>
      <c r="BL82" s="7">
        <f>IFERROR(AVERAGEIF('Данные 1st'!$S$2:$S$317,$A82,'Данные 1st'!$EJ$2:$EJ$317),"")</f>
        <v>0</v>
      </c>
      <c r="BM82" s="7">
        <f>IFERROR(AVERAGEIF('Данные 1st'!$S$2:$S$317,$A82,'Данные 1st'!$EK$2:$EK$317),"")</f>
        <v>1</v>
      </c>
      <c r="BN82" s="7">
        <f>IFERROR(AVERAGEIF('Данные 1st'!$S$2:$S$317,$A82,'Данные 1st'!$EN$2:$EN$317),"")</f>
        <v>0</v>
      </c>
      <c r="BO82" s="7">
        <f>IFERROR(AVERAGEIF('Данные 1st'!$S$2:$S$317,$A82,'Данные 1st'!$EQ$2:$EQ$317),"")</f>
        <v>125</v>
      </c>
      <c r="BP82" s="7">
        <f>IFERROR(AVERAGEIF('Данные 1st'!$S$2:$S$317,$A82,'Данные 1st'!$ER$2:$ER$317),"")</f>
        <v>3</v>
      </c>
      <c r="BQ82" s="7">
        <f>IFERROR(AVERAGEIF('Данные 1st'!$S$2:$S$317,$A82,'Данные 1st'!$ES$2:$ES$317),"")</f>
        <v>5.5</v>
      </c>
      <c r="BR82" s="7">
        <f>IFERROR(AVERAGEIF('Данные 1st'!$S$2:$S$317,$A82,'Данные 1st'!$ET$2:$ET$317),"")</f>
        <v>1534</v>
      </c>
      <c r="BS82" s="7">
        <f>IFERROR(AVERAGEIF('Данные 1st'!$S$2:$S$317,$A82,'Данные 1st'!$EU$2:$EU$317),"")</f>
        <v>598.6</v>
      </c>
      <c r="BT82" s="7">
        <f>IFERROR(AVERAGEIF('Данные 1st'!$S$2:$S$317,$A82,'Данные 1st'!$EV$2:$EV$317),"")</f>
        <v>918</v>
      </c>
      <c r="BU82" s="7">
        <f>IFERROR(AVERAGEIF('Данные 1st'!$S$2:$S$317,$A82,'Данные 1st'!$EX$2:$EX$317),"")</f>
        <v>45</v>
      </c>
      <c r="BV82" s="7">
        <f>IFERROR(AVERAGEIF('Данные 1st'!$S$2:$S$317,$A82,'Данные 1st'!$EY$2:$EY$317),"")</f>
        <v>2</v>
      </c>
      <c r="BW82" s="7">
        <f>IFERROR(AVERAGEIF('Данные 1st'!$S$2:$S$317,$A82,'Данные 1st'!$EZ$2:$EZ$317),"")</f>
        <v>4.5</v>
      </c>
      <c r="BX82" s="7">
        <f>IFERROR(AVERAGEIF('Данные 1st'!$S$2:$S$317,$A82,'Данные 1st'!$FA$2:$FA$317),"")</f>
        <v>1534</v>
      </c>
      <c r="BY82" s="7">
        <f>IFERROR(AVERAGEIF('Данные 1st'!$S$2:$S$317,$A82,'Данные 1st'!$FB$2:$FB$317),"")</f>
        <v>149.4</v>
      </c>
      <c r="BZ82" s="7">
        <f>IFERROR(AVERAGEIF('Данные 1st'!$S$2:$S$317,$A82,'Данные 1st'!$FC$2:$FC$317),"")</f>
        <v>229</v>
      </c>
      <c r="CA82" s="7">
        <f>IFERROR(AVERAGEIF('Данные 1st'!$S$2:$S$317,$A82,'Данные 1st'!$FE$2:$FE$317),"")</f>
        <v>0</v>
      </c>
      <c r="CB82" s="7">
        <f>IFERROR(AVERAGEIF('Данные 1st'!$S$2:$S$317,$A82,'Данные 1st'!$FF$2:$FF$317),"")</f>
        <v>2</v>
      </c>
      <c r="CC82" s="7">
        <f>IFERROR(AVERAGEIF('Данные 1st'!$S$2:$S$317,$A82,'Данные 1st'!$FI$2:$FI$317),"")</f>
        <v>0</v>
      </c>
      <c r="CD82" s="7">
        <f>IFERROR(AVERAGEIF('Данные 1st'!$S$2:$S$317,$A82,'Данные 1st'!$FL$2:$FL$317),"")</f>
        <v>0.4</v>
      </c>
      <c r="CE82" s="7">
        <f>IFERROR(AVERAGEIF('Данные 1st'!$S$2:$S$317,$A82,'Данные 1st'!$FM$2:$FM$317),"")</f>
        <v>70</v>
      </c>
      <c r="CF82" s="7">
        <f>IFERROR(AVERAGEIF('Данные 1st'!$S$2:$S$317,$A82,'Данные 1st'!$FN$2:$FN$317),"")</f>
        <v>420</v>
      </c>
      <c r="CG82" s="7">
        <f>IFERROR(AVERAGEIF('Данные 1st'!$S$2:$S$317,$A82,'Данные 1st'!$FO$2:$FO$317),"")</f>
        <v>90</v>
      </c>
      <c r="CH82" s="7">
        <f>IFERROR(AVERAGEIF('Данные 1st'!$S$2:$S$317,$A82,'Данные 1st'!$FP$2:$FP$317),"")</f>
        <v>180</v>
      </c>
      <c r="CI82" s="7">
        <f>IFERROR(AVERAGEIF('Данные 1st'!$S$2:$S$317,$A82,'Данные 1st'!$FS$2:$FS$317),"")</f>
        <v/>
      </c>
      <c r="CJ82" s="7">
        <f>IFERROR(AVERAGEIF('Данные 1st'!$S$2:$S$317,$A82,'Данные 1st'!$FT$2:$FT$317),"")</f>
        <v/>
      </c>
      <c r="CK82" s="7">
        <f>IFERROR(AVERAGEIF('Данные 1st'!$S$2:$S$317,$A82,'Данные 1st'!$FU$2:$FU$317),"")</f>
        <v/>
      </c>
      <c r="CL82" s="7">
        <f>IFERROR(AVERAGEIF('Данные 1st'!$S$2:$S$317,$A82,'Данные 1st'!$FV$2:$FV$317),"")</f>
        <v/>
      </c>
      <c r="CM82" s="7">
        <f>IFERROR(AVERAGEIF('Данные 1st'!$S$2:$S$317,$A82,'Данные 1st'!$FW$2:$FW$317),"")</f>
        <v/>
      </c>
      <c r="CN82" s="7">
        <f>IFERROR(AVERAGEIF('Данные 1st'!$S$2:$S$317,$A82,'Данные 1st'!$FZ$2:$FZ$317),"")</f>
        <v/>
      </c>
      <c r="CO82" s="7">
        <f>IFERROR(AVERAGEIF('Данные 1st'!$S$2:$S$317,$A82,'Данные 1st'!$GA$2:$GA$317),"")</f>
        <v/>
      </c>
      <c r="CP82" s="7">
        <f>IFERROR(AVERAGEIF('Данные 1st'!$S$2:$S$317,$A82,'Данные 1st'!$GB$2:$GB$317),"")</f>
        <v/>
      </c>
      <c r="CQ82" s="7">
        <f>IFERROR(AVERAGEIF('Данные 1st'!$S$2:$S$317,$A82,'Данные 1st'!$GH$2:$GH$317),"")</f>
        <v/>
      </c>
      <c r="CR82" s="7">
        <f>IFERROR(AVERAGEIF('Данные 1st'!$S$2:$S$317,$A82,'Данные 1st'!$GI$2:$GI$317),"")</f>
        <v/>
      </c>
      <c r="CS82" s="7">
        <f>IFERROR(AVERAGEIF('Данные 1st'!$S$2:$S$317,$A82,'Данные 1st'!$GJ$2:$GJ$317),"")</f>
        <v/>
      </c>
      <c r="CT82" s="7">
        <f>IFERROR(AVERAGEIF('Данные 1st'!$S$2:$S$317,$A82,'Данные 1st'!$GS$2:$GS$317),"")</f>
        <v>0.4</v>
      </c>
      <c r="CU82" s="7">
        <f>IFERROR(AVERAGEIF('Данные 1st'!$S$2:$S$317,$A82,'Данные 1st'!$GT$2:$GT$317),"")</f>
        <v>30</v>
      </c>
      <c r="CV82" s="7">
        <f>IFERROR(AVERAGEIF('Данные 1st'!$S$2:$S$317,$A82,'Данные 1st'!$GU$2:$GU$317),"")</f>
        <v>450</v>
      </c>
      <c r="CW82" s="7">
        <f>IFERROR(AVERAGEIF('Данные 1st'!$S$2:$S$317,$A82,'Данные 1st'!$GV$2:$GV$317),"")</f>
        <v>30</v>
      </c>
      <c r="CX82" s="7">
        <f>IFERROR(AVERAGEIF('Данные 1st'!$S$2:$S$317,$A82,'Данные 1st'!$GW$2:$GW$317),"")</f>
        <v>320</v>
      </c>
      <c r="CY82" s="7">
        <f>IFERROR(AVERAGEIF('Данные 1st'!$S$2:$S$317,$A82,'Данные 1st'!$GZ$2:$GZ$317),"")</f>
        <v/>
      </c>
      <c r="CZ82" s="7">
        <f>IFERROR(AVERAGEIF('Данные 1st'!$S$2:$S$317,$A82,'Данные 1st'!$HA$2:$HA$317),"")</f>
        <v/>
      </c>
      <c r="DA82" s="7">
        <f>IFERROR(AVERAGEIF('Данные 1st'!$S$2:$S$317,$A82,'Данные 1st'!$HB$2:$HB$317),"")</f>
        <v/>
      </c>
      <c r="DB82" s="7">
        <f>IFERROR(AVERAGEIF('Данные 1st'!$S$2:$S$317,$A82,'Данные 1st'!$HC$2:$HC$317),"")</f>
        <v>0.1</v>
      </c>
      <c r="DC82" s="7">
        <f>IFERROR(AVERAGEIF('Данные 1st'!$S$2:$S$317,$A82,'Данные 1st'!$HD$2:$HD$317),"")</f>
        <v>3</v>
      </c>
      <c r="DD82" s="7">
        <f>IFERROR(AVERAGEIF('Данные 1st'!$S$2:$S$317,$A82,'Данные 1st'!$HE$2:$HE$317),"")</f>
        <v>3</v>
      </c>
      <c r="DE82" s="7">
        <f>IFERROR(AVERAGEIF('Данные 1st'!$S$2:$S$317,$A82,'Данные 1st'!$HF$2:$HF$317),"")</f>
        <v>3</v>
      </c>
      <c r="DF82" s="7">
        <f>IFERROR(AVERAGEIF('Данные 1st'!$S$2:$S$317,$A82,'Данные 1st'!$HG$2:$HG$317),"")</f>
        <v>3</v>
      </c>
      <c r="DG82" s="7">
        <f>IFERROR(AVERAGEIF('Данные 1st'!$S$2:$S$317,$A82,'Данные 1st'!$HH$2:$HH$317),"")</f>
        <v>3</v>
      </c>
      <c r="DH82" s="7">
        <f>IFERROR(AVERAGEIF('Данные 1st'!$S$2:$S$317,$A82,'Данные 1st'!$HI$2:$HI$317),"")</f>
        <v>155</v>
      </c>
      <c r="DI82" s="7">
        <f>IFERROR(AVERAGEIF('Данные 1st'!$S$2:$S$317,$A82,'Данные 1st'!$HJ$2:$HJ$317),"")</f>
        <v>3</v>
      </c>
      <c r="DJ82" s="7">
        <f>IFERROR(AVERAGEIF('Данные 1st'!$S$2:$S$317,$A82,'Данные 1st'!$HK$2:$HK$317),"")</f>
        <v>30</v>
      </c>
      <c r="DK82" s="7">
        <f>IFERROR(AVERAGEIF('Данные 1st'!$S$2:$S$317,$A82,'Данные 1st'!$HL$2:$HL$317),"")</f>
        <v>2</v>
      </c>
      <c r="DL82" s="7">
        <f>IFERROR(AVERAGEIF('Данные 1st'!$S$2:$S$317,$A82,'Данные 1st'!$HM$2:$HM$317),"")</f>
        <v>0</v>
      </c>
      <c r="DM82" s="7">
        <f>IFERROR(AVERAGEIF('Данные 1st'!$S$2:$S$317,$A82,'Данные 1st'!$HN$2:$HN$317),"")</f>
        <v>2</v>
      </c>
      <c r="DN82" s="7">
        <f>IFERROR(AVERAGEIF('Данные 1st'!$S$2:$S$317,$A82,'Данные 1st'!$HO$2:$HO$317),"")</f>
        <v>110</v>
      </c>
      <c r="DO82" s="7">
        <f>IFERROR(AVERAGEIF('Данные 1st'!$S$2:$S$317,$A82,'Данные 1st'!$HP$2:$HP$317),"")</f>
        <v>3</v>
      </c>
      <c r="DP82" s="7">
        <f>IFERROR(AVERAGEIF('Данные 1st'!$S$2:$S$317,$A82,'Данные 1st'!$HQ$2:$HQ$317),"")</f>
        <v>0</v>
      </c>
      <c r="DQ82" s="7">
        <f>IFERROR(AVERAGEIF('Данные 1st'!$S$2:$S$317,$A82,'Данные 1st'!$HR$2:$HR$317),"")</f>
        <v>2</v>
      </c>
      <c r="DR82" s="7">
        <f>IFERROR(AVERAGEIF('Данные 1st'!$S$2:$S$317,$A82,'Данные 1st'!$HS$2:$HS$317),"")</f>
        <v>6915</v>
      </c>
      <c r="DS82" s="7">
        <f>IFERROR(AVERAGEIF('Данные 1st'!$S$2:$S$317,$A82,'Данные 1st'!$HT$2:$HT$317),"")</f>
        <v>210</v>
      </c>
      <c r="DT82" s="7">
        <f>IFERROR(AVERAGEIF('Данные 1st'!$S$2:$S$317,$A82,'Данные 1st'!$HU$2:$HU$317),"")</f>
        <v>180</v>
      </c>
      <c r="DU82" s="7">
        <f>IFERROR(AVERAGEIF('Данные 1st'!$S$2:$S$317,$A82,'Данные 1st'!$HW$2:$HW$317),"")</f>
        <v>0</v>
      </c>
      <c r="DV82" s="7">
        <f>IFERROR(AVERAGEIF('Данные 1st'!$S$2:$S$317,$A82,'Данные 1st'!$HX$2:$HX$317),"")</f>
        <v>490</v>
      </c>
      <c r="DW82" s="7">
        <f>IFERROR(AVERAGEIF('Данные 1st'!$S$2:$S$317,$A82,'Данные 1st'!$HY$2:$HY$317),"")</f>
        <v>0.18</v>
      </c>
      <c r="DX82" s="7">
        <f>IFERROR(AVERAGEIF('Данные 1st'!$S$2:$S$317,$A82,'Данные 1st'!$IA$2:$IA$317),"")</f>
        <v>0.15</v>
      </c>
      <c r="DY82" s="7">
        <f>IFERROR(AVERAGEIF('Данные 1st'!$S$2:$S$317,$A82,'Данные 1st'!$IB$2:$IB$317),"")</f>
        <v>0</v>
      </c>
      <c r="DZ82" s="7">
        <f>IFERROR(AVERAGEIF('Данные 1st'!$S$2:$S$317,$A82,'Данные 1st'!$IC$2:$IC$317),"")</f>
        <v>180</v>
      </c>
      <c r="EA82" s="7">
        <f>IFERROR(AVERAGEIF('Данные 1st'!$S$2:$S$317,$A82,'Данные 1st'!$ID$2:$ID$317),"")</f>
        <v>110</v>
      </c>
      <c r="EB82" s="7">
        <f>IFERROR(AVERAGEIF('Данные 1st'!$S$2:$S$317,$A82,'Данные 1st'!$IE$2:$IE$317),"")</f>
        <v>225</v>
      </c>
      <c r="EC82" s="7">
        <f>IFERROR(AVERAGEIF('Данные 1st'!$S$2:$S$317,$A82,'Данные 1st'!$IF$2:$IF$317),"")</f>
        <v>0</v>
      </c>
      <c r="ED82" s="7">
        <f>IFERROR(AVERAGEIF('Данные 1st'!$S$2:$S$317,$A82,'Данные 1st'!$IP$2:$IP$317),"")</f>
        <v>20</v>
      </c>
      <c r="EE82" s="7">
        <f>IFERROR(AVERAGEIF('Данные 1st'!$S$2:$S$317,$A82,'Данные 1st'!$IV$2:$IV$317),"")</f>
        <v>1538</v>
      </c>
      <c r="EF82" s="7">
        <f>IFERROR(AVERAGEIF('Данные 1st'!$S$2:$S$317,$A82,'Данные 1st'!$IW$2:$IW$317),"")</f>
        <v>488</v>
      </c>
      <c r="EG82" s="7">
        <f>IFERROR(AVERAGEIF('Данные 1st'!$S$2:$S$317,$A82,'Данные 1st'!$IX$2:$IX$317),"")</f>
        <v/>
      </c>
      <c r="EH82" s="7">
        <f>IFERROR(AVERAGEIF('Данные 1st'!$S$2:$S$317,$A82,'Данные 1st'!$IY$2:$IY$317),"")</f>
        <v/>
      </c>
      <c r="EI82" s="7">
        <f>IFERROR(AVERAGEIF('Данные 1st'!$S$2:$S$317,$A82,'Данные 1st'!$JD$2:$JD$317),"")</f>
        <v>1554</v>
      </c>
      <c r="EJ82" s="7">
        <f>IFERROR(AVERAGEIF('Данные 1st'!$S$2:$S$317,$A82,'Данные 1st'!$JE$2:$JE$317),"")</f>
        <v>1547</v>
      </c>
      <c r="EK82" s="7">
        <f>IFERROR(AVERAGEIF('Данные 1st'!$S$2:$S$317,$A82,'Данные 1st'!$JF$2:$JF$317),"")</f>
        <v>1552</v>
      </c>
      <c r="EL82" s="7">
        <f>IFERROR(AVERAGEIF('Данные 1st'!$S$2:$S$317,$A82,'Данные 1st'!$JG$2:$JG$317),"")</f>
        <v>1534</v>
      </c>
      <c r="EM82" s="7">
        <f>IFERROR(AVERAGEIF('Данные 1st'!$S$2:$S$317,$A82,'Данные 1st'!$JH$2:$JH$317),"")</f>
        <v>0</v>
      </c>
      <c r="EN82" s="7">
        <f>IFERROR(AVERAGEIF('Данные 1st'!$S$2:$S$317,$A82,'Данные 1st'!$JJ$2:$JJ$317),"")</f>
        <v>180</v>
      </c>
      <c r="EO82" s="7">
        <f>IFERROR(AVERAGEIF('Данные 1st'!$S$2:$S$317,$A82,'Данные 1st'!$JK$2:$JK$317),"")</f>
        <v>490</v>
      </c>
      <c r="EP82" s="7">
        <f>IFERROR(AVERAGEIF('Данные 1st'!$S$2:$S$317,$A82,'Данные 1st'!$JL$2:$JL$317),"")</f>
        <v/>
      </c>
      <c r="EQ82" s="7">
        <f>IFERROR(AVERAGEIF('Данные 1st'!$S$2:$S$317,$A82,'Данные 1st'!$JM$2:$JM$317),"")</f>
        <v/>
      </c>
      <c r="ER82" s="7">
        <f>IFERROR(AVERAGEIF('Данные 1st'!$S$2:$S$317,$A82,'Данные 1st'!$JN$2:$JN$317),"")</f>
        <v>450</v>
      </c>
      <c r="ES82" s="7">
        <f>IFERROR(AVERAGEIF('Данные 1st'!$S$2:$S$317,$A82,'Данные 1st'!$JO$2:$JO$317),"")</f>
        <v>635</v>
      </c>
      <c r="ET82" s="7">
        <f>IFERROR(AVERAGEIF('Данные 1st'!$S$2:$S$317,$A82,'Данные 1st'!$JP$2:$JP$317),"")</f>
        <v>530</v>
      </c>
      <c r="EU82" s="7">
        <f>IFERROR(AVERAGEIF('Данные 1st'!$S$2:$S$317,$A82,'Данные 1st'!$JQ$2:$JQ$317),"")</f>
        <v>0</v>
      </c>
      <c r="EV82" s="7">
        <f>IFERROR(AVERAGEIF('Данные 1st'!$S$2:$S$317,$A82,'Данные 1st'!$JR$2:$JR$317),"")</f>
        <v>490</v>
      </c>
      <c r="EW82" s="7">
        <f>IFERROR(AVERAGEIF('Данные 1st'!$S$2:$S$317,$A82,'Данные 1st'!$JS$2:$JS$317),"")</f>
        <v>155</v>
      </c>
      <c r="EX82" s="7">
        <f>IFERROR(AVERAGEIF('Данные 1st'!$S$2:$S$317,$A82,'Данные 1st'!$JT$2:$JT$317),"")</f>
        <v/>
      </c>
      <c r="EY82" s="7">
        <f>IFERROR(AVERAGEIF('Данные 1st'!$S$2:$S$317,$A82,'Данные 1st'!$JU$2:$JU$317),"")</f>
        <v/>
      </c>
      <c r="EZ82" s="7">
        <f>IFERROR(AVERAGEIF('Данные 1st'!$S$2:$S$317,$A82,'Данные 1st'!$JV$2:$JV$317),"")</f>
        <v>10</v>
      </c>
      <c r="FA82" s="7">
        <f>IFERROR(AVERAGEIF('Данные 1st'!$S$2:$S$317,$A82,'Данные 1st'!$JW$2:$JW$317),"")</f>
        <v/>
      </c>
      <c r="FB82" s="7">
        <f>IFERROR(AVERAGEIF('Данные 1st'!$S$2:$S$317,$A82,'Данные 1st'!$JX$2:$JX$317),"")</f>
        <v>546</v>
      </c>
      <c r="FC82" s="7">
        <f>IFERROR(AVERAGEIF('Данные 1st'!$S$2:$S$317,$A82,'Данные 1st'!$JY$2:$JY$317),"")</f>
        <v/>
      </c>
      <c r="FD82" s="7">
        <f>IFERROR(AVERAGEIF('Данные 1st'!$S$2:$S$317,$A82,'Данные 1st'!$JZ$2:$JZ$317),"")</f>
        <v/>
      </c>
      <c r="FE82" s="7">
        <f>IFERROR(AVERAGEIF('Данные 1st'!$S$2:$S$317,$A82,'Данные 1st'!$KA$2:$KA$317),"")</f>
        <v>225</v>
      </c>
      <c r="FF82" s="7">
        <f>IFERROR(AVERAGEIF('Данные 1st'!$S$2:$S$317,$A82,'Данные 1st'!$KB$2:$KB$317),"")</f>
        <v>110</v>
      </c>
      <c r="FG82" s="7">
        <f>IFERROR(AVERAGEIF('Данные 1st'!$S$2:$S$317,$A82,'Данные 1st'!$KC$2:$KC$317),"")</f>
        <v>0</v>
      </c>
      <c r="FH82" s="7">
        <f>IFERROR(AVERAGEIF('Данные 1st'!$S$2:$S$317,$A82,'Данные 1st'!$KD$2:$KD$317),"")</f>
        <v>80</v>
      </c>
      <c r="FI82" s="7">
        <f>IFERROR(AVERAGEIF('Данные 1st'!$S$2:$S$317,$A82,'Данные 1st'!$KE$2:$KE$317),"")</f>
        <v/>
      </c>
      <c r="FJ82" s="7">
        <f>IFERROR(AVERAGEIF('Данные 1st'!$S$2:$S$317,$A82,'Данные 1st'!$KF$2:$KF$317),"")</f>
        <v>4</v>
      </c>
      <c r="FK82" s="7">
        <f>IFERROR(AVERAGEIF('Данные 1st'!$S$2:$S$317,$A82,'Данные 1st'!$KG$2:$KG$317),"")</f>
        <v>4</v>
      </c>
      <c r="FL82" s="7">
        <f>IFERROR(AVERAGEIF('Данные 1st'!$S$2:$S$317,$A82,'Данные 1st'!$KH$2:$KH$317),"")</f>
        <v>2</v>
      </c>
      <c r="FM82" s="7">
        <f>IFERROR(AVERAGEIF('Данные 1st'!$S$2:$S$317,$A82,'Данные 1st'!$KI$2:$KI$317),"")</f>
        <v>2</v>
      </c>
      <c r="FN82" s="7">
        <f>IFERROR(AVERAGEIF('Данные 1st'!$S$2:$S$317,$A82,'Данные 1st'!$KJ$2:$KJ$317),"")</f>
        <v>0</v>
      </c>
      <c r="FO82" s="7">
        <f>IFERROR(AVERAGEIF('Данные 1st'!$S$2:$S$317,$A82,'Данные 1st'!$KK$2:$KK$317),"")</f>
        <v>1.5</v>
      </c>
      <c r="FP82" s="7">
        <f>IFERROR(AVERAGEIF('Данные 1st'!$S$2:$S$317,$A82,'Данные 1st'!$KL$2:$KL$317),"")</f>
        <v>1.5</v>
      </c>
      <c r="FQ82" s="7">
        <f>IFERROR(AVERAGEIF('Данные 1st'!$S$2:$S$317,$A82,'Данные 1st'!$KM$2:$KM$317),"")</f>
        <v>0</v>
      </c>
      <c r="FR82" s="7">
        <f>IFERROR(AVERAGEIF('Данные 1st'!$S$2:$S$317,$A82,'Данные 1st'!$KN$2:$KN$317),"")</f>
        <v>0</v>
      </c>
      <c r="FS82" s="7">
        <f>IFERROR(AVERAGEIF('Данные 1st'!$S$2:$S$317,$A82,'Данные 1st'!$KR$2:$KR$317),"")</f>
        <v>30</v>
      </c>
      <c r="FT82" s="7">
        <f>IFERROR(AVERAGEIF('Данные 1st'!$S$2:$S$317,$A82,'Данные 1st'!$KS$2:$KS$317),"")</f>
        <v>60</v>
      </c>
      <c r="FU82" s="7">
        <f>IFERROR(AVERAGEIF('Данные 1st'!$S$2:$S$317,$A82,'Данные 1st'!$KT$2:$KT$317),"")</f>
        <v>0</v>
      </c>
      <c r="FV82" s="7">
        <f>IFERROR(AVERAGEIF('Данные 1st'!$S$2:$S$317,$A82,'Данные 1st'!$KV$2:$KV$317),"")</f>
        <v/>
      </c>
      <c r="FW82" s="7">
        <f>IFERROR(AVERAGEIF('Данные 1st'!$S$2:$S$317,$A82,'Данные 1st'!$KW$2:$KW$317),"")</f>
        <v/>
      </c>
      <c r="FX82" s="7">
        <f>IFERROR(AVERAGEIF('Данные 1st'!$S$2:$S$317,$A82,'Данные 1st'!$KX$2:$KX$317),"")</f>
        <v/>
      </c>
      <c r="FY82" s="7">
        <f>IFERROR(AVERAGEIF('Данные 1st'!$S$2:$S$317,$A82,'Данные 1st'!$KY$2:$KY$317),"")</f>
        <v/>
      </c>
      <c r="FZ82" s="7">
        <f>IFERROR(AVERAGEIF('Данные 1st'!$S$2:$S$317,$A82,'Данные 1st'!$KZ$2:$KZ$317),"")</f>
        <v/>
      </c>
      <c r="GA82" s="7">
        <f>IFERROR(AVERAGEIF('Данные 1st'!$S$2:$S$317,$A82,'Данные 1st'!$LA$2:$LA$317),"")</f>
        <v/>
      </c>
      <c r="GB82" s="7">
        <f>IFERROR(AVERAGEIF('Данные 1st'!$S$2:$S$317,$A82,'Данные 1st'!$LB$2:$LB$317),"")</f>
        <v/>
      </c>
      <c r="GC82" s="7">
        <f>IFERROR(AVERAGEIF('Данные 1st'!$S$2:$S$317,$A82,'Данные 1st'!$LC$2:$LC$317),"")</f>
        <v/>
      </c>
      <c r="GD82" s="7">
        <f>IFERROR(AVERAGEIF('Данные 1st'!$S$2:$S$317,$A82,'Данные 1st'!$LD$2:$LD$317),"")</f>
        <v/>
      </c>
      <c r="GE82" s="7">
        <f>IFERROR(AVERAGEIF('Данные 1st'!$S$2:$S$317,$A82,'Данные 1st'!$LE$2:$LE$317),"")</f>
        <v/>
      </c>
      <c r="GF82" s="7">
        <f>IFERROR(AVERAGEIF('Данные 1st'!$S$2:$S$317,$A82,'Данные 1st'!$LF$2:$LF$317),"")</f>
        <v/>
      </c>
      <c r="GG82" s="7">
        <f>IFERROR(AVERAGEIF('Данные 1st'!$S$2:$S$317,$A82,'Данные 1st'!$LG$2:$LG$317),"")</f>
        <v/>
      </c>
      <c r="GH82" s="7">
        <f>IFERROR(AVERAGEIF('Данные 1st'!$S$2:$S$317,$A82,'Данные 1st'!$LH$2:$LH$317),"")</f>
        <v/>
      </c>
      <c r="GI82" s="7">
        <f>IFERROR(AVERAGEIF('Данные 1st'!$S$2:$S$317,$A82,'Данные 1st'!$LI$2:$LI$317),"")</f>
        <v/>
      </c>
      <c r="GJ82" s="7">
        <f>IFERROR(AVERAGEIF('Данные 1st'!$S$2:$S$317,$A82,'Данные 1st'!$LJ$2:$LJ$317),"")</f>
        <v/>
      </c>
      <c r="GK82" s="7">
        <f>IFERROR(AVERAGEIF('Данные 1st'!$S$2:$S$317,$A82,'Данные 1st'!$LK$2:$LK$317),"")</f>
        <v>480</v>
      </c>
      <c r="GL82" s="7">
        <f>IFERROR(AVERAGEIF('Данные 1st'!$S$2:$S$317,$A82,'Данные 1st'!$LV$2:$LV$317),"")</f>
        <v/>
      </c>
      <c r="GM82" s="7">
        <f>IFERROR(AVERAGEIF('Данные 1st'!$S$2:$S$317,$A82,'Данные 1st'!$LW$2:$LW$317),"")</f>
        <v/>
      </c>
      <c r="GN82" s="7">
        <f>IFERROR(AVERAGEIF('Данные 1st'!$S$2:$S$317,$A82,'Данные 1st'!$LX$2:$LX$317),"")</f>
        <v/>
      </c>
      <c r="GO82" s="7">
        <f>IFERROR(AVERAGEIF('Данные 1st'!$S$2:$S$317,$A82,'Данные 1st'!$LY$2:$LY$317),"")</f>
        <v/>
      </c>
      <c r="GP82" s="7">
        <f>IFERROR(AVERAGEIF('Данные 1st'!$S$2:$S$317,$A82,'Данные 1st'!$LZ$2:$LZ$317),"")</f>
        <v/>
      </c>
      <c r="GQ82" s="7">
        <f>IFERROR(AVERAGEIF('Данные 1st'!$S$2:$S$317,$A82,'Данные 1st'!$PG$2:$PG$317),"")</f>
        <v>1</v>
      </c>
      <c r="GR82" s="7">
        <f>IFERROR(AVERAGEIF('Данные 1st'!$S$2:$S$317,$A82,'Данные 1st'!$PX$2:$PX$317),"")</f>
        <v>56</v>
      </c>
      <c r="GS82" s="7">
        <f>IFERROR(AVERAGEIF('Данные 1st'!$S$2:$S$317,$A82,'Данные 1st'!$PY$2:$PY$317),"")</f>
        <v>56</v>
      </c>
      <c r="GT82" s="7">
        <f>IFERROR(AVERAGEIF('Данные 1st'!$S$2:$S$317,$A82,'Данные 1st'!$QA$2:$QA$317),"")</f>
        <v>1</v>
      </c>
      <c r="GU82" s="7">
        <f>IFERROR(AVERAGEIF('Данные 1st'!$S$2:$S$317,$A82,'Данные 1st'!$QB$2:$QB$317),"")</f>
        <v>1534</v>
      </c>
      <c r="GV82" s="7">
        <f>IFERROR(AVERAGEIF('Данные 1st'!$S$2:$S$317,$A82,'Данные 1st'!$QC$2:$QC$317),"")</f>
        <v>69</v>
      </c>
      <c r="GW82" s="7">
        <f>IFERROR(AVERAGEIF('Данные 1st'!$S$2:$S$317,$A82,'Данные 1st'!$QD$2:$QD$317),"")</f>
        <v>69</v>
      </c>
      <c r="GX82" s="7">
        <f>IFERROR(AVERAGEIF('Данные 1st'!$S$2:$S$317,$A82,'Данные 1st'!$QF$2:$QF$317),"")</f>
        <v>1</v>
      </c>
      <c r="GY82" s="7">
        <f>IFERROR(AVERAGEIF('Данные 1st'!$S$2:$S$317,$A82,'Данные 1st'!$QG$2:$QG$317),"")</f>
        <v>1554</v>
      </c>
      <c r="GZ82" s="7">
        <f>IFERROR(AVERAGEIF('Данные 1st'!$S$2:$S$317,$A82,'Данные 1st'!$QH$2:$QH$317),"")</f>
        <v>66</v>
      </c>
      <c r="HA82" s="7">
        <f>IFERROR(AVERAGEIF('Данные 1st'!$S$2:$S$317,$A82,'Данные 1st'!$QI$2:$QI$317),"")</f>
        <v>66</v>
      </c>
      <c r="HB82" s="7">
        <f>IFERROR(AVERAGEIF('Данные 1st'!$S$2:$S$317,$A82,'Данные 1st'!$QK$2:$QK$317),"")</f>
        <v>1</v>
      </c>
      <c r="HC82" s="7">
        <f>IFERROR(AVERAGEIF('Данные 1st'!$S$2:$S$317,$A82,'Данные 1st'!$QL$2:$QL$317),"")</f>
        <v>1554</v>
      </c>
      <c r="HD82" s="7">
        <f>IFERROR(AVERAGEIF('Данные 1st'!$S$2:$S$317,$A82,'Данные 1st'!$QM$2:$QM$317),"")</f>
        <v>62</v>
      </c>
      <c r="HE82" s="7">
        <f>IFERROR(AVERAGEIF('Данные 1st'!$S$2:$S$317,$A82,'Данные 1st'!$QN$2:$QN$317),"")</f>
        <v>62</v>
      </c>
      <c r="HF82" s="7">
        <f>IFERROR(AVERAGEIF('Данные 1st'!$S$2:$S$317,$A82,'Данные 1st'!$QP$2:$QP$317),"")</f>
        <v>1</v>
      </c>
      <c r="HG82" s="7">
        <f>IFERROR(AVERAGEIF('Данные 1st'!$S$2:$S$317,$A82,'Данные 1st'!$QQ$2:$QQ$317),"")</f>
        <v>1547</v>
      </c>
      <c r="HH82" s="7">
        <f>IFERROR(AVERAGEIF('Данные 1st'!$S$2:$S$317,$A82,'Данные 1st'!$QR$2:$QR$317),"")</f>
        <v>62</v>
      </c>
      <c r="HI82" s="7">
        <f>IFERROR(AVERAGEIF('Данные 1st'!$S$2:$S$317,$A82,'Данные 1st'!$QS$2:$QS$317),"")</f>
        <v>62</v>
      </c>
      <c r="HJ82" s="7">
        <f>IFERROR(AVERAGEIF('Данные 1st'!$S$2:$S$317,$A82,'Данные 1st'!$QU$2:$QU$317),"")</f>
        <v>1</v>
      </c>
      <c r="HK82" s="7">
        <f>IFERROR(AVERAGEIF('Данные 1st'!$S$2:$S$317,$A82,'Данные 1st'!$QV$2:$QV$317),"")</f>
        <v>1552</v>
      </c>
      <c r="HL82" s="7">
        <f>IFERROR(AVERAGEIF('Данные 1st'!$S$2:$S$317,$A82,'Данные 1st'!$QW$2:$QW$317),"")</f>
        <v>82</v>
      </c>
      <c r="HM82" s="7">
        <f>IFERROR(AVERAGEIF('Данные 1st'!$S$2:$S$317,$A82,'Данные 1st'!$QX$2:$QX$317),"")</f>
        <v/>
      </c>
      <c r="HN82" s="7">
        <f>IFERROR(AVERAGEIF('Данные 1st'!$S$2:$S$317,$A82,'Данные 1st'!$QZ$2:$QZ$317),"")</f>
        <v>3</v>
      </c>
      <c r="HO82" s="7">
        <f>IFERROR(AVERAGEIF('Данные 1st'!$S$2:$S$317,$A82,'Данные 1st'!$RA$2:$RA$317),"")</f>
        <v>66</v>
      </c>
      <c r="HP82" s="7">
        <f>IFERROR(AVERAGEIF('Данные 1st'!$S$2:$S$317,$A82,'Данные 1st'!$RB$2:$RB$317),"")</f>
        <v>66</v>
      </c>
      <c r="HQ82" s="7">
        <f>IFERROR(AVERAGEIF('Данные 1st'!$S$2:$S$317,$A82,'Данные 1st'!$RD$2:$RD$317),"")</f>
        <v/>
      </c>
      <c r="HR82" s="7">
        <f>IFERROR(AVERAGEIF('Данные 1st'!$S$2:$S$317,$A82,'Данные 1st'!$RE$2:$RE$317),"")</f>
        <v>0</v>
      </c>
      <c r="HS82" s="7">
        <f>IFERROR(AVERAGEIF('Данные 1st'!$S$2:$S$317,$A82,'Данные 1st'!$RF$2:$RF$317),"")</f>
        <v>1</v>
      </c>
      <c r="HT82" s="7">
        <f>IFERROR(AVERAGEIF('Данные 1st'!$S$2:$S$317,$A82,'Данные 1st'!$RG$2:$RG$317),"")</f>
        <v/>
      </c>
      <c r="HU82" s="7">
        <f>IFERROR(AVERAGEIF('Данные 1st'!$S$2:$S$317,$A82,'Данные 1st'!$RH$2:$RH$317),"")</f>
        <v>1</v>
      </c>
      <c r="HV82" s="7">
        <f>IFERROR(AVERAGEIF('Данные 1st'!$S$2:$S$317,$A82,'Данные 1st'!$RI$2:$RI$317),"")</f>
        <v/>
      </c>
      <c r="HW82" s="7">
        <f>IFERROR(AVERAGEIF('Данные 1st'!$S$2:$S$317,$A82,'Данные 1st'!$RJ$2:$RJ$317),"")</f>
        <v>1</v>
      </c>
      <c r="HX82" s="7">
        <f>IFERROR(AVERAGEIF('Данные 1st'!$S$2:$S$317,$A82,'Данные 1st'!$RK$2:$RK$317),"")</f>
        <v>2</v>
      </c>
      <c r="HY82" s="7">
        <f>IFERROR(AVERAGEIF('Данные 1st'!$S$2:$S$317,$A82,'Данные 1st'!$RL$2:$RL$317),"")</f>
        <v>4</v>
      </c>
      <c r="HZ82" s="7">
        <f>IFERROR(AVERAGEIF('Данные 1st'!$S$2:$S$317,$A82,'Данные 1st'!$RM$2:$RM$317),"")</f>
        <v>4</v>
      </c>
      <c r="IA82" s="7">
        <f>IFERROR(AVERAGEIF('Данные 1st'!$S$2:$S$317,$A82,'Данные 1st'!$RN$2:$RN$317),"")</f>
        <v/>
      </c>
      <c r="IB82" s="7">
        <f>IFERROR(AVERAGEIF('Данные 1st'!$S$2:$S$317,$A82,'Данные 1st'!$RO$2:$RO$317),"")</f>
        <v>637</v>
      </c>
      <c r="IC82" s="7">
        <f>IFERROR(AVERAGEIF('Данные 1st'!$S$2:$S$317,$A82,'Данные 1st'!$RP$2:$RP$317),"")</f>
        <v>125</v>
      </c>
      <c r="ID82" s="7">
        <f>IFERROR(AVERAGEIF('Данные 1st'!$S$2:$S$317,$A82,'Данные 1st'!$RQ$2:$RQ$317),"")</f>
        <v>767</v>
      </c>
      <c r="IE82" s="7">
        <f>IFERROR(AVERAGEIF('Данные 1st'!$S$2:$S$317,$A82,'Данные 1st'!$RR$2:$RR$317),"")</f>
        <v>575</v>
      </c>
      <c r="IF82" s="7">
        <f>IFERROR(AVERAGEIF('Данные 1st'!$S$2:$S$317,$A82,'Данные 1st'!$RS$2:$RS$317),"")</f>
        <v/>
      </c>
      <c r="IG82" s="7">
        <f>IFERROR(AVERAGEIF('Данные 1st'!$S$2:$S$317,$A82,'Данные 1st'!$RT$2:$RT$317),"")</f>
        <v>381</v>
      </c>
      <c r="IH82" s="7">
        <f>IFERROR(AVERAGEIF('Данные 1st'!$S$2:$S$317,$A82,'Данные 1st'!$RU$2:$RU$317),"")</f>
        <v>298</v>
      </c>
      <c r="II82" s="7">
        <f>IFERROR(AVERAGEIF('Данные 1st'!$S$2:$S$317,$A82,'Данные 1st'!$RX$2:$RX$317),"")</f>
        <v>15</v>
      </c>
      <c r="IJ82" s="7">
        <f>IFERROR(AVERAGEIF('Данные 1st'!$S$2:$S$317,$A82,'Данные 1st'!$RY$2:$RY$317),"")</f>
        <v>4</v>
      </c>
      <c r="IK82" s="7">
        <f>IFERROR(AVERAGEIF('Данные 1st'!$S$2:$S$317,$A82,'Данные 1st'!$SA$2:$SA$317),"")</f>
        <v>15</v>
      </c>
      <c r="IL82" s="7">
        <f>IFERROR(AVERAGEIF('Данные 1st'!$S$2:$S$317,$A82,'Данные 1st'!$SD$2:$SD$317),"")</f>
        <v>1</v>
      </c>
      <c r="IM82" s="7">
        <f>IFERROR(AVERAGEIF('Данные 1st'!$S$2:$S$317,$A82,'Данные 1st'!$SG$2:$SG$317),"")</f>
        <v>1</v>
      </c>
      <c r="IN82" s="7">
        <f>IFERROR(AVERAGEIF('Данные 1st'!$S$2:$S$317,$A82,'Данные 1st'!$SH$2:$SH$317),"")</f>
        <v>0.995</v>
      </c>
      <c r="IO82" s="7">
        <f>IFERROR(AVERAGEIF('Данные 1st'!$S$2:$S$317,$A82,'Данные 1st'!$SI$2:$SI$317),"")</f>
        <v>0.995</v>
      </c>
      <c r="IP82" s="7">
        <f>IFERROR(AVERAGEIF('Данные 1st'!$S$2:$S$317,$A82,'Данные 1st'!$SJ$2:$SJ$317),"")</f>
        <v>0.995</v>
      </c>
      <c r="IQ82" s="7">
        <f>IFERROR(AVERAGEIF('Данные 1st'!$S$2:$S$317,$A82,'Данные 1st'!$SK$2:$SK$317),"")</f>
        <v>15</v>
      </c>
      <c r="IR82" s="7">
        <f>IFERROR(AVERAGEIF('Данные 1st'!$S$2:$S$317,$A82,'Данные 1st'!$SL$2:$SL$317),"")</f>
        <v>0</v>
      </c>
      <c r="IS82" s="7">
        <f>IFERROR(AVERAGEIF('Данные 1st'!$S$2:$S$317,$A82,'Данные 1st'!$SM$2:$SM$317),"")</f>
        <v>0</v>
      </c>
      <c r="IT82" s="7">
        <f>IFERROR(AVERAGEIF('Данные 1st'!$S$2:$S$317,$A82,'Данные 1st'!$SN$2:$SN$317),"")</f>
        <v>0</v>
      </c>
      <c r="IU82" s="7">
        <f>IFERROR(AVERAGEIF('Данные 1st'!$S$2:$S$317,$A82,'Данные 1st'!$SO$2:$SO$317),"")</f>
        <v>0</v>
      </c>
      <c r="IV82" s="7">
        <f>IFERROR(AVERAGEIF('Данные 1st'!$S$2:$S$317,$A82,'Данные 1st'!$SP$2:$SP$317),"")</f>
        <v>0</v>
      </c>
      <c r="IW82" s="7">
        <f>IFERROR(AVERAGEIF('Данные 1st'!$S$2:$S$317,$A82,'Данные 1st'!$SQ$2:$SQ$317),"")</f>
        <v>0</v>
      </c>
      <c r="IX82" s="7">
        <f>IFERROR(AVERAGEIF('Данные 1st'!$S$2:$S$317,$A82,'Данные 1st'!$SR$2:$SR$317),"")</f>
        <v>0</v>
      </c>
      <c r="IY82" s="7">
        <f>IFERROR(AVERAGEIF('Данные 1st'!$S$2:$S$317,$A82,'Данные 1st'!$SS$2:$SS$317),"")</f>
        <v>0</v>
      </c>
      <c r="IZ82" s="7">
        <f>IFERROR(AVERAGEIF('Данные 1st'!$S$2:$S$317,$A82,'Данные 1st'!$ST$2:$ST$317),"")</f>
        <v>0</v>
      </c>
      <c r="JA82" s="7">
        <f>IFERROR(AVERAGEIF('Данные 1st'!$S$2:$S$317,$A82,'Данные 1st'!$SU$2:$SU$317),"")</f>
        <v>0</v>
      </c>
      <c r="JB82" s="7">
        <f>IFERROR(AVERAGEIF('Данные 1st'!$S$2:$S$317,$A82,'Данные 1st'!$SV$2:$SV$317),"")</f>
        <v>0</v>
      </c>
      <c r="JC82" s="7">
        <f>IFERROR(AVERAGEIF('Данные 1st'!$S$2:$S$317,$A82,'Данные 1st'!$SW$2:$SW$317),"")</f>
        <v>0</v>
      </c>
      <c r="JD82" s="7">
        <f>IFERROR(AVERAGEIF('Данные 1st'!$S$2:$S$317,$A82,'Данные 1st'!$SX$2:$SX$317),"")</f>
        <v>0</v>
      </c>
      <c r="JE82" s="7">
        <f>IFERROR(AVERAGEIF('Данные 1st'!$S$2:$S$317,$A82,'Данные 1st'!$SY$2:$SY$317),"")</f>
        <v>1</v>
      </c>
      <c r="JF82" s="7">
        <f>IFERROR(AVERAGEIF('Данные 1st'!$S$2:$S$317,$A82,'Данные 1st'!$SZ$2:$SZ$317),"")</f>
        <v>1</v>
      </c>
      <c r="JG82" s="7">
        <f>IFERROR(AVERAGEIF('Данные 1st'!$S$2:$S$317,$A82,'Данные 1st'!$TA$2:$TA$317),"")</f>
        <v/>
      </c>
      <c r="JH82" s="7">
        <f>IFERROR(AVERAGEIF('Данные 1st'!$S$2:$S$317,$A82,'Данные 1st'!$TB$2:$TB$317),"")</f>
        <v>0</v>
      </c>
      <c r="JI82" s="7">
        <f>IFERROR(AVERAGEIF('Данные 1st'!$S$2:$S$317,$A82,'Данные 1st'!$TC$2:$TC$317),"")</f>
        <v>0</v>
      </c>
      <c r="JJ82" s="7">
        <f>IFERROR(AVERAGEIF('Данные 1st'!$S$2:$S$317,$A82,'Данные 1st'!$TD$2:$TD$317),"")</f>
        <v>9.4</v>
      </c>
      <c r="JK82" s="7">
        <f>IFERROR(AVERAGEIF('Данные 1st'!$S$2:$S$317,$A82,'Данные 1st'!$TN$2:$TN$317),"")</f>
        <v>0</v>
      </c>
      <c r="JL82">
        <f>COUNTIF('Данные 2st'!$Q$2:$Q$317,$A82)</f>
        <v>1</v>
      </c>
      <c r="JM82" s="6" t="s">
        <v>2657</v>
      </c>
      <c r="JN82" s="6" t="s">
        <v>513</v>
      </c>
      <c r="JO82" s="6" t="s">
        <v>517</v>
      </c>
      <c r="JP82" s="6" t="s">
        <v>2942</v>
      </c>
      <c r="JQ82" s="7">
        <f>IFERROR(AVERAGEIF('Данные 2st'!$Q$2:$Q$317,$A82,'Данные 2st'!$AC$2:$AC$317),"")</f>
        <v>9</v>
      </c>
      <c r="JR82" s="7">
        <f>IFERROR(AVERAGEIF('Данные 2st'!$Q$2:$Q$317,$A82,'Данные 2st'!$AF$2:$AF$317),"")</f>
        <v>6915</v>
      </c>
      <c r="JS82" s="7">
        <f>IFERROR(AVERAGEIF('Данные 2st'!$Q$2:$Q$317,$A82,'Данные 2st'!$AW$2:$AW$317),"")</f>
        <v>6.4</v>
      </c>
      <c r="JT82" s="7">
        <f>IFERROR(AVERAGEIF('Данные 2st'!$Q$2:$Q$317,$A82,'Данные 2st'!$AX$2:$AX$317),"")</f>
        <v>-6</v>
      </c>
      <c r="JU82" s="7">
        <f>IFERROR(AVERAGEIF('Данные 2st'!$Q$2:$Q$317,$A82,'Данные 2st'!$AY$2:$AY$317),"")</f>
        <v>122.5</v>
      </c>
      <c r="JV82" s="7">
        <f>IFERROR(AVERAGEIF('Данные 2st'!$Q$2:$Q$317,$A82,'Данные 2st'!$AZ$2:$AZ$317),"")</f>
        <v>92.5</v>
      </c>
      <c r="JW82" s="7">
        <f>IFERROR(AVERAGEIF('Данные 2st'!$Q$2:$Q$317,$A82,'Данные 2st'!$BA$2:$BA$317),"")</f>
        <v/>
      </c>
      <c r="JX82" s="7">
        <f>IFERROR(AVERAGEIF('Данные 2st'!$Q$2:$Q$317,$A82,'Данные 2st'!$BB$2:$BB$317),"")</f>
        <v/>
      </c>
      <c r="JY82" s="7">
        <f>IFERROR(AVERAGEIF('Данные 2st'!$Q$2:$Q$317,$A82,'Данные 2st'!$BC$2:$BC$317),"")</f>
        <v/>
      </c>
      <c r="JZ82" s="7">
        <f>IFERROR(AVERAGEIF('Данные 2st'!$Q$2:$Q$317,$A82,'Данные 2st'!$BH$2:$BH$317),"")</f>
        <v>122.5</v>
      </c>
      <c r="KA82" s="7">
        <f>IFERROR(AVERAGEIF('Данные 2st'!$Q$2:$Q$317,$A82,'Данные 2st'!$BI$2:$BI$317),"")</f>
        <v>30</v>
      </c>
      <c r="KB82" s="7">
        <f>IFERROR(AVERAGEIF('Данные 2st'!$Q$2:$Q$317,$A82,'Данные 2st'!$BJ$2:$BJ$317),"")</f>
        <v>92.5</v>
      </c>
      <c r="KC82" s="7">
        <f>IFERROR(AVERAGEIF('Данные 2st'!$Q$2:$Q$317,$A82,'Данные 2st'!$BK$2:$BK$317),"")</f>
        <v>2.5</v>
      </c>
      <c r="KD82" s="7">
        <f>IFERROR(AVERAGEIF('Данные 2st'!$Q$2:$Q$317,$A82,'Данные 2st'!$BL$2:$BL$317),"")</f>
        <v>245</v>
      </c>
      <c r="KE82" s="7">
        <f>IFERROR(AVERAGEIF('Данные 2st'!$Q$2:$Q$317,$A82,'Данные 2st'!$BM$2:$BM$317),"")</f>
        <v>-6</v>
      </c>
      <c r="KF82" s="7">
        <f>IFERROR(AVERAGEIF('Данные 2st'!$Q$2:$Q$317,$A82,'Данные 2st'!$BN$2:$BN$317),"")</f>
        <v>0</v>
      </c>
      <c r="KG82" s="7">
        <f>IFERROR(AVERAGEIF('Данные 2st'!$Q$2:$Q$317,$A82,'Данные 2st'!$BO$2:$BO$317),"")</f>
        <v>0</v>
      </c>
      <c r="KH82" s="7">
        <f>IFERROR(AVERAGEIF('Данные 2st'!$Q$2:$Q$317,$A82,'Данные 2st'!$BP$2:$BP$317),"")</f>
        <v>0</v>
      </c>
      <c r="KI82" s="7">
        <f>IFERROR(AVERAGEIF('Данные 2st'!$Q$2:$Q$317,$A82,'Данные 2st'!$BR$2:$BR$317),"")</f>
        <v>240</v>
      </c>
      <c r="KJ82" s="7">
        <f>IFERROR(AVERAGEIF('Данные 2st'!$Q$2:$Q$317,$A82,'Данные 2st'!$BS$2:$BS$317),"")</f>
        <v>230</v>
      </c>
      <c r="KK82" s="7">
        <f>IFERROR(AVERAGEIF('Данные 2st'!$Q$2:$Q$317,$A82,'Данные 2st'!$BT$2:$BT$317),"")</f>
        <v>2295</v>
      </c>
      <c r="KL82" s="7">
        <f>IFERROR(AVERAGEIF('Данные 2st'!$Q$2:$Q$317,$A82,'Данные 2st'!$CV$2:$CV$317),"")</f>
        <v>148</v>
      </c>
      <c r="KM82" s="7">
        <f>IFERROR(AVERAGEIF('Данные 2st'!$Q$2:$Q$317,$A82,'Данные 2st'!$CW$2:$CW$317),"")</f>
        <v>3</v>
      </c>
      <c r="KN82" s="7">
        <f>IFERROR(AVERAGEIF('Данные 2st'!$Q$2:$Q$317,$A82,'Данные 2st'!$CX$2:$CX$317),"")</f>
        <v>102</v>
      </c>
      <c r="KO82" s="7">
        <f>IFERROR(AVERAGEIF('Данные 2st'!$Q$2:$Q$317,$A82,'Данные 2st'!$CY$2:$CY$317),"")</f>
        <v>5</v>
      </c>
      <c r="KP82" s="7">
        <f>IFERROR(AVERAGEIF('Данные 2st'!$Q$2:$Q$317,$A82,'Данные 2st'!$CZ$2:$CZ$317),"")</f>
        <v>175</v>
      </c>
      <c r="KQ82" s="7">
        <f>IFERROR(AVERAGEIF('Данные 2st'!$Q$2:$Q$317,$A82,'Данные 2st'!$DA$2:$DA$317),"")</f>
        <v>5</v>
      </c>
      <c r="KR82" s="7">
        <f>IFERROR(AVERAGEIF('Данные 2st'!$Q$2:$Q$317,$A82,'Данные 2st'!$DB$2:$DB$317),"")</f>
        <v>16910</v>
      </c>
      <c r="KS82" s="7">
        <f>IFERROR(AVERAGEIF('Данные 2st'!$Q$2:$Q$317,$A82,'Данные 2st'!$DC$2:$DC$317),"")</f>
        <v>500</v>
      </c>
      <c r="KT82" s="7">
        <f>IFERROR(AVERAGEIF('Данные 2st'!$Q$2:$Q$317,$A82,'Данные 2st'!$DD$2:$DD$317),"")</f>
        <v>398</v>
      </c>
      <c r="KU82" s="7">
        <f>IFERROR(AVERAGEIF('Данные 2st'!$Q$2:$Q$317,$A82,'Данные 2st'!$DE$2:$DE$317),"")</f>
        <v>2432</v>
      </c>
      <c r="KV82" s="7">
        <f>IFERROR(AVERAGEIF('Данные 2st'!$Q$2:$Q$317,$A82,'Данные 2st'!$DF$2:$DF$317),"")</f>
        <v>2432</v>
      </c>
      <c r="KW82" s="7">
        <f>IFERROR(AVERAGEIF('Данные 2st'!$Q$2:$Q$317,$A82,'Данные 2st'!$DG$2:$DG$317),"")</f>
        <v>2443</v>
      </c>
      <c r="KX82" s="7">
        <f>IFERROR(AVERAGEIF('Данные 2st'!$Q$2:$Q$317,$A82,'Данные 2st'!$DH$2:$DH$317),"")</f>
        <v>1</v>
      </c>
      <c r="KY82" s="7">
        <f>IFERROR(AVERAGEIF('Данные 2st'!$Q$2:$Q$317,$A82,'Данные 2st'!$DI$2:$DI$317),"")</f>
        <v/>
      </c>
      <c r="KZ82" s="7">
        <f>IFERROR(AVERAGEIF('Данные 2st'!$Q$2:$Q$317,$A82,'Данные 2st'!$DK$2:$DK$317),"")</f>
        <v>240</v>
      </c>
      <c r="LA82" s="7">
        <f>IFERROR(AVERAGEIF('Данные 2st'!$Q$2:$Q$317,$A82,'Данные 2st'!$DM$2:$DM$317),"")</f>
        <v>63</v>
      </c>
      <c r="LB82" s="7">
        <f>IFERROR(AVERAGEIF('Данные 2st'!$Q$2:$Q$317,$A82,'Данные 2st'!$DN$2:$DN$317),"")</f>
        <v>1.26</v>
      </c>
      <c r="LC82" s="7">
        <f>IFERROR(AVERAGEIF('Данные 2st'!$Q$2:$Q$317,$A82,'Данные 2st'!$DO$2:$DO$317),"")</f>
        <v>1</v>
      </c>
      <c r="LD82" s="7">
        <f>IFERROR(AVERAGEIF('Данные 2st'!$Q$2:$Q$317,$A82,'Данные 2st'!$DP$2:$DP$317),"")</f>
        <v>2299</v>
      </c>
      <c r="LE82" s="7">
        <f>IFERROR(AVERAGEIF('Данные 2st'!$Q$2:$Q$317,$A82,'Данные 2st'!$DQ$2:$DQ$317),"")</f>
        <v>1331</v>
      </c>
      <c r="LF82" s="7">
        <f>IFERROR(AVERAGEIF('Данные 2st'!$Q$2:$Q$317,$A82,'Данные 2st'!$DS$2:$DS$317),"")</f>
        <v>230</v>
      </c>
      <c r="LG82" s="7">
        <f>IFERROR(AVERAGEIF('Данные 2st'!$Q$2:$Q$317,$A82,'Данные 2st'!$DU$2:$DU$317),"")</f>
        <v>63</v>
      </c>
      <c r="LH82" s="7">
        <f>IFERROR(AVERAGEIF('Данные 2st'!$Q$2:$Q$317,$A82,'Данные 2st'!$DV$2:$DV$317),"")</f>
        <v>1.26</v>
      </c>
      <c r="LI82" s="7">
        <f>IFERROR(AVERAGEIF('Данные 2st'!$Q$2:$Q$317,$A82,'Данные 2st'!$DW$2:$DW$317),"")</f>
        <v>1</v>
      </c>
      <c r="LJ82" s="7">
        <f>IFERROR(AVERAGEIF('Данные 2st'!$Q$2:$Q$317,$A82,'Данные 2st'!$DX$2:$DX$317),"")</f>
        <v>2312</v>
      </c>
      <c r="LK82" s="7">
        <f>IFERROR(AVERAGEIF('Данные 2st'!$Q$2:$Q$317,$A82,'Данные 2st'!$DY$2:$DY$317),"")</f>
        <v>1283</v>
      </c>
      <c r="LL82" s="7">
        <f>IFERROR(AVERAGEIF('Данные 2st'!$Q$2:$Q$317,$A82,'Данные 2st'!$EA$2:$EA$317),"")</f>
        <v>20</v>
      </c>
      <c r="LM82" s="7">
        <f>IFERROR(AVERAGEIF('Данные 2st'!$Q$2:$Q$317,$A82,'Данные 2st'!$EC$2:$EC$317),"")</f>
        <v>0.8</v>
      </c>
      <c r="LN82" s="7">
        <f>IFERROR(AVERAGEIF('Данные 2st'!$Q$2:$Q$317,$A82,'Данные 2st'!$ED$2:$ED$317),"")</f>
        <v>2299</v>
      </c>
      <c r="LO82" s="7">
        <f>IFERROR(AVERAGEIF('Данные 2st'!$Q$2:$Q$317,$A82,'Данные 2st'!$EE$2:$EE$317),"")</f>
        <v>80</v>
      </c>
      <c r="LP82" s="7">
        <f>IFERROR(AVERAGEIF('Данные 2st'!$Q$2:$Q$317,$A82,'Данные 2st'!$EG$2:$EG$317),"")</f>
        <v>0</v>
      </c>
      <c r="LQ82" s="7">
        <f>IFERROR(AVERAGEIF('Данные 2st'!$Q$2:$Q$317,$A82,'Данные 2st'!$EI$2:$EI$317),"")</f>
        <v>0</v>
      </c>
      <c r="LR82" s="7">
        <f>IFERROR(AVERAGEIF('Данные 2st'!$Q$2:$Q$317,$A82,'Данные 2st'!$EJ$2:$EJ$317),"")</f>
        <v/>
      </c>
      <c r="LS82" s="7">
        <f>IFERROR(AVERAGEIF('Данные 2st'!$Q$2:$Q$317,$A82,'Данные 2st'!$EK$2:$EK$317),"")</f>
        <v/>
      </c>
      <c r="LT82" s="7">
        <f>IFERROR(AVERAGEIF('Данные 2st'!$Q$2:$Q$317,$A82,'Данные 2st'!$EM$2:$EM$317),"")</f>
        <v>12</v>
      </c>
      <c r="LU82" s="7">
        <f>IFERROR(AVERAGEIF('Данные 2st'!$Q$2:$Q$317,$A82,'Данные 2st'!$EN$2:$EN$317),"")</f>
        <v>0.5</v>
      </c>
      <c r="LV82" s="7">
        <f>IFERROR(AVERAGEIF('Данные 2st'!$Q$2:$Q$317,$A82,'Данные 2st'!$EO$2:$EO$317),"")</f>
        <v>0.96</v>
      </c>
      <c r="LW82" s="7">
        <f>IFERROR(AVERAGEIF('Данные 2st'!$Q$2:$Q$317,$A82,'Данные 2st'!$EP$2:$EP$317),"")</f>
        <v>2310.84</v>
      </c>
      <c r="LX82" s="7">
        <f>IFERROR(AVERAGEIF('Данные 2st'!$Q$2:$Q$317,$A82,'Данные 2st'!$EQ$2:$EQ$317),"")</f>
        <v>46397.33</v>
      </c>
      <c r="LY82" s="7">
        <f>IFERROR(AVERAGEIF('Данные 2st'!$Q$2:$Q$317,$A82,'Данные 2st'!$ER$2:$ER$317),"")</f>
        <v>10860.34</v>
      </c>
      <c r="LZ82" s="7">
        <f>IFERROR(AVERAGEIF('Данные 2st'!$Q$2:$Q$317,$A82,'Данные 2st'!$ES$2:$ES$317),"")</f>
        <v>0</v>
      </c>
      <c r="MA82" s="7">
        <f>IFERROR(AVERAGEIF('Данные 2st'!$Q$2:$Q$317,$A82,'Данные 2st'!$ET$2:$ET$317),"")</f>
        <v>0</v>
      </c>
      <c r="MB82" s="7">
        <f>IFERROR(AVERAGEIF('Данные 2st'!$Q$2:$Q$317,$A82,'Данные 2st'!$EU$2:$EU$317),"")</f>
        <v>1</v>
      </c>
      <c r="MC82" s="7">
        <f>IFERROR(AVERAGEIF('Данные 2st'!$Q$2:$Q$317,$A82,'Данные 2st'!$EV$2:$EV$317),"")</f>
        <v>57258</v>
      </c>
      <c r="MD82" s="7">
        <f>IFERROR(AVERAGEIF('Данные 2st'!$Q$2:$Q$317,$A82,'Данные 2st'!$EW$2:$EW$317),"")</f>
        <v>688</v>
      </c>
      <c r="ME82" s="7">
        <f>IFERROR(AVERAGEIF('Данные 2st'!$Q$2:$Q$317,$A82,'Данные 2st'!$EY$2:$EY$317),"")</f>
        <v>266</v>
      </c>
      <c r="MF82" s="7">
        <f>IFERROR(AVERAGEIF('Данные 2st'!$Q$2:$Q$317,$A82,'Данные 2st'!$FA$2:$FA$317),"")</f>
        <v>4.2</v>
      </c>
      <c r="MG82" s="7">
        <f>IFERROR(AVERAGEIF('Данные 2st'!$Q$2:$Q$317,$A82,'Данные 2st'!$FB$2:$FB$317),"")</f>
        <v>1</v>
      </c>
      <c r="MH82" s="7">
        <f>IFERROR(AVERAGEIF('Данные 2st'!$Q$2:$Q$317,$A82,'Данные 2st'!$FC$2:$FC$317),"")</f>
        <v>1</v>
      </c>
      <c r="MI82" s="7">
        <f>IFERROR(AVERAGEIF('Данные 2st'!$Q$2:$Q$317,$A82,'Данные 2st'!$FD$2:$FD$317),"")</f>
        <v>2345</v>
      </c>
      <c r="MJ82" s="7">
        <f>IFERROR(AVERAGEIF('Данные 2st'!$Q$2:$Q$317,$A82,'Данные 2st'!$FE$2:$FE$317),"")</f>
        <v>3127</v>
      </c>
      <c r="MK82" s="7">
        <f>IFERROR(AVERAGEIF('Данные 2st'!$Q$2:$Q$317,$A82,'Данные 2st'!$FG$2:$FG$317),"")</f>
        <v>266</v>
      </c>
      <c r="ML82" s="7">
        <f>IFERROR(AVERAGEIF('Данные 2st'!$Q$2:$Q$317,$A82,'Данные 2st'!$FI$2:$FI$317),"")</f>
        <v>4.1</v>
      </c>
      <c r="MM82" s="7">
        <f>IFERROR(AVERAGEIF('Данные 2st'!$Q$2:$Q$317,$A82,'Данные 2st'!$FJ$2:$FJ$317),"")</f>
        <v>2345</v>
      </c>
      <c r="MN82" s="7">
        <f>IFERROR(AVERAGEIF('Данные 2st'!$Q$2:$Q$317,$A82,'Данные 2st'!$FK$2:$FK$317),"")</f>
        <v>3012</v>
      </c>
      <c r="MO82" s="7">
        <f>IFERROR(AVERAGEIF('Данные 2st'!$Q$2:$Q$317,$A82,'Данные 2st'!$FP$2:$FP$317),"")</f>
        <v>2345</v>
      </c>
      <c r="MP82" s="7">
        <f>IFERROR(AVERAGEIF('Данные 2st'!$Q$2:$Q$317,$A82,'Данные 2st'!$FQ$2:$FQ$317),"")</f>
        <v>162</v>
      </c>
      <c r="MQ82" s="7">
        <f>IFERROR(AVERAGEIF('Данные 2st'!$Q$2:$Q$317,$A82,'Данные 2st'!$FS$2:$FS$317),"")</f>
        <v>270</v>
      </c>
      <c r="MR82" s="7">
        <f>IFERROR(AVERAGEIF('Данные 2st'!$Q$2:$Q$317,$A82,'Данные 2st'!$FU$2:$FU$317),"")</f>
        <v>0.4</v>
      </c>
      <c r="MS82" s="7">
        <f>IFERROR(AVERAGEIF('Данные 2st'!$Q$2:$Q$317,$A82,'Данные 2st'!$FV$2:$FV$317),"")</f>
        <v>2345</v>
      </c>
      <c r="MT82" s="7">
        <f>IFERROR(AVERAGEIF('Данные 2st'!$Q$2:$Q$317,$A82,'Данные 2st'!$FW$2:$FW$317),"")</f>
        <v>282</v>
      </c>
      <c r="MU82" s="7">
        <f>IFERROR(AVERAGEIF('Данные 2st'!$Q$2:$Q$317,$A82,'Данные 2st'!$FY$2:$FY$317),"")</f>
        <v>5</v>
      </c>
      <c r="MV82" s="7">
        <f>IFERROR(AVERAGEIF('Данные 2st'!$Q$2:$Q$317,$A82,'Данные 2st'!$GB$2:$GB$317),"")</f>
        <v>2345</v>
      </c>
      <c r="MW82" s="7">
        <f>IFERROR(AVERAGEIF('Данные 2st'!$Q$2:$Q$317,$A82,'Данные 2st'!$GC$2:$GC$317),"")</f>
        <v>24</v>
      </c>
      <c r="MX82" s="7">
        <f>IFERROR(AVERAGEIF('Данные 2st'!$Q$2:$Q$317,$A82,'Данные 2st'!$GD$2:$GD$317),"")</f>
        <v>6607</v>
      </c>
      <c r="MY82" s="7">
        <f>IFERROR(AVERAGEIF('Данные 2st'!$Q$2:$Q$317,$A82,'Данные 2st'!$GN$2:$GN$317),"")</f>
        <v/>
      </c>
      <c r="MZ82" s="7">
        <f>IFERROR(AVERAGEIF('Данные 2st'!$Q$2:$Q$317,$A82,'Данные 2st'!$GQ$2:$GQ$317),"")</f>
        <v>0</v>
      </c>
      <c r="NA82" s="7">
        <f>IFERROR(AVERAGEIF('Данные 2st'!$Q$2:$Q$317,$A82,'Данные 2st'!$GV$2:$GV$317),"")</f>
        <v>8.7</v>
      </c>
      <c r="NB82" s="7">
        <f>IFERROR(AVERAGEIF('Данные 2st'!$Q$2:$Q$317,$A82,'Данные 2st'!$GW$2:$GW$317),"")</f>
        <v>11.5</v>
      </c>
      <c r="NC82" s="7">
        <f>IFERROR(AVERAGEIF('Данные 2st'!$Q$2:$Q$317,$A82,'Данные 2st'!$GX$2:$GX$317),"")</f>
        <v>0.5</v>
      </c>
      <c r="ND82" s="7">
        <f>IFERROR(AVERAGEIF('Данные 2st'!$Q$2:$Q$317,$A82,'Данные 2st'!$GY$2:$GY$317),"")</f>
        <v>230</v>
      </c>
      <c r="NE82" s="7">
        <f>IFERROR(AVERAGEIF('Данные 2st'!$Q$2:$Q$317,$A82,'Данные 2st'!$GZ$2:$GZ$317),"")</f>
        <v>3</v>
      </c>
      <c r="NF82" s="7">
        <f>IFERROR(AVERAGEIF('Данные 2st'!$Q$2:$Q$317,$A82,'Данные 2st'!$HA$2:$HA$317),"")</f>
        <v>286</v>
      </c>
      <c r="NG82" s="7">
        <f>IFERROR(AVERAGEIF('Данные 2st'!$Q$2:$Q$317,$A82,'Данные 2st'!$HB$2:$HB$317),"")</f>
        <v>3</v>
      </c>
      <c r="NH82" s="7">
        <f>IFERROR(AVERAGEIF('Данные 2st'!$Q$2:$Q$317,$A82,'Данные 2st'!$HC$2:$HC$317),"")</f>
        <v>2345</v>
      </c>
      <c r="NI82" s="7">
        <f>IFERROR(AVERAGEIF('Данные 2st'!$Q$2:$Q$317,$A82,'Данные 2st'!$HD$2:$HD$317),"")</f>
        <v>4</v>
      </c>
      <c r="NJ82" s="7">
        <f>IFERROR(AVERAGEIF('Данные 2st'!$Q$2:$Q$317,$A82,'Данные 2st'!$HM$2:$HM$317),"")</f>
        <v>20</v>
      </c>
      <c r="NK82" s="7">
        <f>IFERROR(AVERAGEIF('Данные 2st'!$Q$2:$Q$317,$A82,'Данные 2st'!$HR$2:$HR$317),"")</f>
        <v>2</v>
      </c>
      <c r="NL82" s="7">
        <f>IFERROR(AVERAGEIF('Данные 2st'!$Q$2:$Q$317,$A82,'Данные 2st'!$HS$2:$HS$317),"")</f>
        <v>2295</v>
      </c>
      <c r="NM82" s="7">
        <f>IFERROR(AVERAGEIF('Данные 2st'!$Q$2:$Q$317,$A82,'Данные 2st'!$HT$2:$HT$317),"")</f>
        <v>5</v>
      </c>
      <c r="NN82" s="7">
        <f>IFERROR(AVERAGEIF('Данные 2st'!$Q$2:$Q$317,$A82,'Данные 2st'!$HY$2:$HY$317),"")</f>
        <v>0</v>
      </c>
      <c r="NO82" s="7">
        <f>IFERROR(AVERAGEIF('Данные 2st'!$Q$2:$Q$317,$A82,'Данные 2st'!$HZ$2:$HZ$317),"")</f>
        <v>63</v>
      </c>
      <c r="NP82" s="7">
        <f>IFERROR(AVERAGEIF('Данные 2st'!$Q$2:$Q$317,$A82,'Данные 2st'!$IA$2:$IA$317),"")</f>
        <v>2299</v>
      </c>
      <c r="NQ82" s="7">
        <f>IFERROR(AVERAGEIF('Данные 2st'!$Q$2:$Q$317,$A82,'Данные 2st'!$IB$2:$IB$317),"")</f>
        <v>2312</v>
      </c>
      <c r="NR82" s="7">
        <f>IFERROR(AVERAGEIF('Данные 2st'!$Q$2:$Q$317,$A82,'Данные 2st'!$IC$2:$IC$317),"")</f>
        <v/>
      </c>
      <c r="NS82" s="7">
        <f>IFERROR(AVERAGEIF('Данные 2st'!$Q$2:$Q$317,$A82,'Данные 2st'!$ID$2:$ID$317),"")</f>
        <v>2345</v>
      </c>
      <c r="NT82" s="7">
        <f>IFERROR(AVERAGEIF('Данные 2st'!$Q$2:$Q$317,$A82,'Данные 2st'!$IE$2:$IE$317),"")</f>
        <v>2345</v>
      </c>
      <c r="NU82" s="7">
        <f>IFERROR(AVERAGEIF('Данные 2st'!$Q$2:$Q$317,$A82,'Данные 2st'!$IF$2:$IF$317),"")</f>
        <v>240</v>
      </c>
      <c r="NV82" s="7">
        <f>IFERROR(AVERAGEIF('Данные 2st'!$Q$2:$Q$317,$A82,'Данные 2st'!$IG$2:$IG$317),"")</f>
        <v>230</v>
      </c>
      <c r="NW82" s="7">
        <f>IFERROR(AVERAGEIF('Данные 2st'!$Q$2:$Q$317,$A82,'Данные 2st'!$IH$2:$IH$317),"")</f>
        <v>286</v>
      </c>
      <c r="NX82" s="7">
        <f>IFERROR(AVERAGEIF('Данные 2st'!$Q$2:$Q$317,$A82,'Данные 2st'!$IJ$2:$IJ$317),"")</f>
        <v>10</v>
      </c>
      <c r="NY82" s="7">
        <f>IFERROR(AVERAGEIF('Данные 2st'!$Q$2:$Q$317,$A82,'Данные 2st'!$IM$2:$IM$317),"")</f>
        <v>0</v>
      </c>
      <c r="NZ82" s="7">
        <f>IFERROR(AVERAGEIF('Данные 2st'!$Q$2:$Q$317,$A82,'Данные 2st'!$IN$2:$IN$317),"")</f>
        <v>270</v>
      </c>
      <c r="OA82" s="7">
        <f>IFERROR(AVERAGEIF('Данные 2st'!$Q$2:$Q$317,$A82,'Данные 2st'!$IO$2:$IO$317),"")</f>
        <v>0</v>
      </c>
      <c r="OB82" s="7">
        <f>IFERROR(AVERAGEIF('Данные 2st'!$Q$2:$Q$317,$A82,'Данные 2st'!$IP$2:$IP$317),"")</f>
        <v>180</v>
      </c>
      <c r="OC82" s="7">
        <f>IFERROR(AVERAGEIF('Данные 2st'!$Q$2:$Q$317,$A82,'Данные 2st'!$IQ$2:$IQ$317),"")</f>
        <v>0</v>
      </c>
      <c r="OD82" s="7">
        <f>IFERROR(AVERAGEIF('Данные 2st'!$Q$2:$Q$317,$A82,'Данные 2st'!$IR$2:$IR$317),"")</f>
        <v>330</v>
      </c>
      <c r="OE82" s="7">
        <f>IFERROR(AVERAGEIF('Данные 2st'!$Q$2:$Q$317,$A82,'Данные 2st'!$IT$2:$IT$317),"")</f>
        <v>90</v>
      </c>
      <c r="OF82" s="7">
        <f>IFERROR(AVERAGEIF('Данные 2st'!$Q$2:$Q$317,$A82,'Данные 2st'!$IU$2:$IU$317),"")</f>
        <v>0</v>
      </c>
      <c r="OG82" s="7">
        <f>IFERROR(AVERAGEIF('Данные 2st'!$Q$2:$Q$317,$A82,'Данные 2st'!$IV$2:$IV$317),"")</f>
        <v>6.4</v>
      </c>
      <c r="OH82" s="7">
        <f>IFERROR(AVERAGEIF('Данные 2st'!$Q$2:$Q$317,$A82,'Данные 2st'!$IW$2:$IW$317),"")</f>
        <v>-6</v>
      </c>
      <c r="OI82" s="7">
        <f>IFERROR(AVERAGEIF('Данные 2st'!$Q$2:$Q$317,$A82,'Данные 2st'!$IX$2:$IX$317),"")</f>
        <v>122.5</v>
      </c>
      <c r="OJ82" s="7">
        <f>IFERROR(AVERAGEIF('Данные 2st'!$Q$2:$Q$317,$A82,'Данные 2st'!$IY$2:$IY$317),"")</f>
        <v>92.5</v>
      </c>
      <c r="OK82" s="7">
        <f>IFERROR(AVERAGEIF('Данные 2st'!$Q$2:$Q$317,$A82,'Данные 2st'!$IZ$2:$IZ$317),"")</f>
        <v>0</v>
      </c>
      <c r="OL82" s="7">
        <f>IFERROR(AVERAGEIF('Данные 2st'!$Q$2:$Q$317,$A82,'Данные 2st'!$JA$2:$JA$317),"")</f>
        <v>0</v>
      </c>
      <c r="OM82" s="7">
        <f>IFERROR(AVERAGEIF('Данные 2st'!$Q$2:$Q$317,$A82,'Данные 2st'!$JB$2:$JB$317),"")</f>
        <v>0</v>
      </c>
      <c r="ON82" s="7">
        <f>IFERROR(AVERAGEIF('Данные 2st'!$Q$2:$Q$317,$A82,'Данные 2st'!$JC$2:$JC$317),"")</f>
        <v>0</v>
      </c>
      <c r="OO82" s="7">
        <f>IFERROR(AVERAGEIF('Данные 2st'!$Q$2:$Q$317,$A82,'Данные 2st'!$JD$2:$JD$317),"")</f>
        <v>0</v>
      </c>
      <c r="OP82" s="7">
        <f>IFERROR(AVERAGEIF('Данные 2st'!$Q$2:$Q$317,$A82,'Данные 2st'!$JE$2:$JE$317),"")</f>
        <v>0</v>
      </c>
      <c r="OQ82" s="7">
        <f>IFERROR(AVERAGEIF('Данные 2st'!$Q$2:$Q$317,$A82,'Данные 2st'!$JF$2:$JF$317),"")</f>
        <v>0</v>
      </c>
      <c r="OR82" s="7">
        <f>IFERROR(AVERAGEIF('Данные 2st'!$Q$2:$Q$317,$A82,'Данные 2st'!$JG$2:$JG$317),"")</f>
        <v>0</v>
      </c>
      <c r="OS82" s="7">
        <f>IFERROR(AVERAGEIF('Данные 2st'!$Q$2:$Q$317,$A82,'Данные 2st'!$JH$2:$JH$317),"")</f>
        <v>0</v>
      </c>
      <c r="OT82" s="7">
        <f>IFERROR(AVERAGEIF('Данные 2st'!$Q$2:$Q$317,$A82,'Данные 2st'!$JI$2:$JI$317),"")</f>
        <v>458</v>
      </c>
      <c r="OU82" s="7">
        <f>IFERROR(AVERAGEIF('Данные 2st'!$Q$2:$Q$317,$A82,'Данные 2st'!$JJ$2:$JJ$317),"")</f>
        <v>428</v>
      </c>
      <c r="OV82" s="7">
        <f>IFERROR(AVERAGEIF('Данные 2st'!$Q$2:$Q$317,$A82,'Данные 2st'!$JK$2:$JK$317),"")</f>
        <v>307</v>
      </c>
      <c r="OW82" s="7">
        <f>IFERROR(AVERAGEIF('Данные 2st'!$Q$2:$Q$317,$A82,'Данные 2st'!$JL$2:$JL$317),"")</f>
        <v>426</v>
      </c>
      <c r="OX82" s="7">
        <f>IFERROR(AVERAGEIF('Данные 2st'!$Q$2:$Q$317,$A82,'Данные 2st'!$JM$2:$JM$317),"")</f>
        <v>327</v>
      </c>
      <c r="OY82" s="7">
        <f>IFERROR(AVERAGEIF('Данные 2st'!$Q$2:$Q$317,$A82,'Данные 2st'!$JP$2:$JP$317),"")</f>
        <v>230</v>
      </c>
      <c r="OZ82" s="7">
        <f>IFERROR(AVERAGEIF('Данные 2st'!$Q$2:$Q$317,$A82,'Данные 2st'!$JQ$2:$JQ$317),"")</f>
        <v>265</v>
      </c>
      <c r="PA82" s="7">
        <f>IFERROR(AVERAGEIF('Данные 2st'!$Q$2:$Q$317,$A82,'Данные 2st'!$JR$2:$JR$317),"")</f>
        <v>330</v>
      </c>
      <c r="PB82" s="7">
        <f>IFERROR(AVERAGEIF('Данные 2st'!$Q$2:$Q$317,$A82,'Данные 2st'!$JS$2:$JS$317),"")</f>
        <v>245</v>
      </c>
      <c r="PC82" s="7">
        <f>IFERROR(AVERAGEIF('Данные 2st'!$Q$2:$Q$317,$A82,'Данные 2st'!$JT$2:$JT$317),"")</f>
        <v>0</v>
      </c>
      <c r="PD82" s="7">
        <f>IFERROR(AVERAGEIF('Данные 2st'!$Q$2:$Q$317,$A82,'Данные 2st'!$JU$2:$JU$317),"")</f>
        <v>0</v>
      </c>
      <c r="PE82" s="7">
        <f>IFERROR(AVERAGEIF('Данные 2st'!$Q$2:$Q$317,$A82,'Данные 2st'!$JV$2:$JV$317),"")</f>
        <v>300</v>
      </c>
      <c r="PF82" s="7">
        <f>IFERROR(AVERAGEIF('Данные 2st'!$Q$2:$Q$317,$A82,'Данные 2st'!$JW$2:$JW$317),"")</f>
        <v>290</v>
      </c>
      <c r="PG82" s="7">
        <f>IFERROR(AVERAGEIF('Данные 2st'!$Q$2:$Q$317,$A82,'Данные 2st'!$KF$2:$KF$317),"")</f>
        <v>0.21</v>
      </c>
      <c r="PH82" s="7">
        <f>IFERROR(AVERAGEIF('Данные 2st'!$Q$2:$Q$317,$A82,'Данные 2st'!$KG$2:$KG$317),"")</f>
        <v>0.12</v>
      </c>
      <c r="PI82" s="7">
        <f>IFERROR(AVERAGEIF('Данные 2st'!$Q$2:$Q$317,$A82,'Данные 2st'!$KM$2:$KM$317),"")</f>
        <v>0</v>
      </c>
      <c r="PJ82" s="7">
        <f>IFERROR(AVERAGEIF('Данные 2st'!$Q$2:$Q$317,$A82,'Данные 2st'!$KN$2:$KN$317),"")</f>
        <v>2</v>
      </c>
      <c r="PK82" s="7">
        <f>IFERROR(AVERAGEIF('Данные 2st'!$Q$2:$Q$317,$A82,'Данные 2st'!$KO$2:$KO$317),"")</f>
        <v>0</v>
      </c>
      <c r="PL82" s="7">
        <f>IFERROR(AVERAGEIF('Данные 2st'!$Q$2:$Q$317,$A82,'Данные 2st'!$KP$2:$KP$317),"")</f>
        <v>0</v>
      </c>
      <c r="PM82" s="7">
        <f>IFERROR(AVERAGEIF('Данные 2st'!$Q$2:$Q$317,$A82,'Данные 2st'!$KQ$2:$KQ$317),"")</f>
        <v>0.7</v>
      </c>
      <c r="PN82" s="7">
        <f>IFERROR(AVERAGEIF('Данные 2st'!$Q$2:$Q$317,$A82,'Данные 2st'!$KR$2:$KR$317),"")</f>
        <v>0.9</v>
      </c>
      <c r="PO82" s="7">
        <f>IFERROR(AVERAGEIF('Данные 2st'!$Q$2:$Q$317,$A82,'Данные 2st'!$KS$2:$KS$317),"")</f>
        <v>0</v>
      </c>
      <c r="PP82" s="7">
        <f>IFERROR(AVERAGEIF('Данные 2st'!$Q$2:$Q$317,$A82,'Данные 2st'!$KT$2:$KT$317),"")</f>
        <v>3.5</v>
      </c>
      <c r="PQ82" s="7">
        <f>IFERROR(AVERAGEIF('Данные 2st'!$Q$2:$Q$317,$A82,'Данные 2st'!$KU$2:$KU$317),"")</f>
        <v>0</v>
      </c>
      <c r="PR82" s="7">
        <f>IFERROR(AVERAGEIF('Данные 2st'!$Q$2:$Q$317,$A82,'Данные 2st'!$KV$2:$KV$317),"")</f>
        <v>0</v>
      </c>
      <c r="PS82" s="7">
        <f>IFERROR(AVERAGEIF('Данные 2st'!$Q$2:$Q$317,$A82,'Данные 2st'!$KW$2:$KW$317),"")</f>
        <v>0.7</v>
      </c>
      <c r="PT82" s="7">
        <f>IFERROR(AVERAGEIF('Данные 2st'!$Q$2:$Q$317,$A82,'Данные 2st'!$KX$2:$KX$317),"")</f>
        <v>1.5</v>
      </c>
      <c r="PU82" s="7">
        <f>IFERROR(AVERAGEIF('Данные 2st'!$Q$2:$Q$317,$A82,'Данные 2st'!$KY$2:$KY$317),"")</f>
        <v>0</v>
      </c>
      <c r="PV82" s="7">
        <f>IFERROR(AVERAGEIF('Данные 2st'!$Q$2:$Q$317,$A82,'Данные 2st'!$KZ$2:$KZ$317),"")</f>
        <v>0</v>
      </c>
      <c r="PW82" s="7">
        <f>IFERROR(AVERAGEIF('Данные 2st'!$Q$2:$Q$317,$A82,'Данные 2st'!$LA$2:$LA$317),"")</f>
        <v>0</v>
      </c>
      <c r="PX82" s="7">
        <f>IFERROR(AVERAGEIF('Данные 2st'!$Q$2:$Q$317,$A82,'Данные 2st'!$LB$2:$LB$317),"")</f>
        <v>0</v>
      </c>
      <c r="PY82" s="7">
        <f>IFERROR(AVERAGEIF('Данные 2st'!$Q$2:$Q$317,$A82,'Данные 2st'!$LC$2:$LC$317),"")</f>
        <v>0</v>
      </c>
      <c r="PZ82" s="7">
        <f>IFERROR(AVERAGEIF('Данные 2st'!$Q$2:$Q$317,$A82,'Данные 2st'!$LD$2:$LD$317),"")</f>
        <v>0</v>
      </c>
      <c r="QA82" s="7">
        <f>IFERROR(AVERAGEIF('Данные 2st'!$Q$2:$Q$317,$A82,'Данные 2st'!$LE$2:$LE$317),"")</f>
        <v>0</v>
      </c>
      <c r="QB82" s="7">
        <f>IFERROR(AVERAGEIF('Данные 2st'!$Q$2:$Q$317,$A82,'Данные 2st'!$LF$2:$LF$317),"")</f>
        <v>0</v>
      </c>
      <c r="QC82" s="7">
        <f>IFERROR(AVERAGEIF('Данные 2st'!$Q$2:$Q$317,$A82,'Данные 2st'!$LG$2:$LG$317),"")</f>
        <v>0</v>
      </c>
      <c r="QD82" s="7">
        <f>IFERROR(AVERAGEIF('Данные 2st'!$Q$2:$Q$317,$A82,'Данные 2st'!$LH$2:$LH$317),"")</f>
        <v>3</v>
      </c>
      <c r="QE82" s="7">
        <f>IFERROR(AVERAGEIF('Данные 2st'!$Q$2:$Q$317,$A82,'Данные 2st'!$LJ$2:$LJ$317),"")</f>
        <v>0</v>
      </c>
      <c r="QF82" s="7">
        <f>IFERROR(AVERAGEIF('Данные 2st'!$Q$2:$Q$317,$A82,'Данные 2st'!$LK$2:$LK$317),"")</f>
        <v>7</v>
      </c>
      <c r="QG82" s="7">
        <f>IFERROR(AVERAGEIF('Данные 2st'!$Q$2:$Q$317,$A82,'Данные 2st'!$LL$2:$LL$317),"")</f>
        <v>10</v>
      </c>
      <c r="QH82" s="7">
        <f>IFERROR(AVERAGEIF('Данные 2st'!$Q$2:$Q$317,$A82,'Данные 2st'!$LM$2:$LM$317),"")</f>
        <v>11</v>
      </c>
      <c r="QI82" s="7">
        <f>IFERROR(AVERAGEIF('Данные 2st'!$Q$2:$Q$317,$A82,'Данные 2st'!$LN$2:$LN$317),"")</f>
        <v>0.3</v>
      </c>
      <c r="QJ82" s="7">
        <f>IFERROR(AVERAGEIF('Данные 2st'!$Q$2:$Q$317,$A82,'Данные 2st'!$LO$2:$LO$317),"")</f>
        <v>1</v>
      </c>
      <c r="QK82" s="7">
        <f>IFERROR(AVERAGEIF('Данные 2st'!$Q$2:$Q$317,$A82,'Данные 2st'!$LP$2:$LP$317),"")</f>
        <v>0</v>
      </c>
      <c r="QL82" s="7">
        <f>IFERROR(AVERAGEIF('Данные 2st'!$Q$2:$Q$317,$A82,'Данные 2st'!$LQ$2:$LQ$317),"")</f>
        <v>0</v>
      </c>
      <c r="QM82" s="7">
        <f>IFERROR(AVERAGEIF('Данные 2st'!$Q$2:$Q$317,$A82,'Данные 2st'!$LW$2:$LW$317),"")</f>
        <v>2.1</v>
      </c>
      <c r="QN82" s="7">
        <f>IFERROR(AVERAGEIF('Данные 2st'!$Q$2:$Q$317,$A82,'Данные 2st'!$LX$2:$LX$317),"")</f>
        <v>2.1</v>
      </c>
      <c r="QO82" s="7">
        <f>IFERROR(AVERAGEIF('Данные 2st'!$Q$2:$Q$317,$A82,'Данные 2st'!$LY$2:$LY$317),"")</f>
        <v>2.8</v>
      </c>
      <c r="QP82" s="7">
        <f>IFERROR(AVERAGEIF('Данные 2st'!$Q$2:$Q$317,$A82,'Данные 2st'!$LZ$2:$LZ$317),"")</f>
        <v>2.8</v>
      </c>
      <c r="QQ82" s="7">
        <f>IFERROR(AVERAGEIF('Данные 2st'!$Q$2:$Q$317,$A82,'Данные 2st'!$MB$2:$MB$317),"")</f>
        <v>6</v>
      </c>
      <c r="QR82" s="7">
        <f>IFERROR(AVERAGEIF('Данные 2st'!$Q$2:$Q$317,$A82,'Данные 2st'!$MG$2:$MG$317),"")</f>
        <v>0</v>
      </c>
      <c r="QS82" s="7">
        <f>IFERROR(AVERAGEIF('Данные 2st'!$Q$2:$Q$317,$A82,'Данные 2st'!$MH$2:$MH$317),"")</f>
        <v>0</v>
      </c>
      <c r="QT82" s="7">
        <f>IFERROR(AVERAGEIF('Данные 2st'!$Q$2:$Q$317,$A82,'Данные 2st'!$MI$2:$MI$317),"")</f>
        <v>0</v>
      </c>
      <c r="QU82" s="7">
        <f>IFERROR(AVERAGEIF('Данные 2st'!$Q$2:$Q$317,$A82,'Данные 2st'!$MJ$2:$MJ$317),"")</f>
        <v>0</v>
      </c>
      <c r="QV82" s="7">
        <f>IFERROR(AVERAGEIF('Данные 2st'!$Q$2:$Q$317,$A82,'Данные 2st'!$MK$2:$MK$317),"")</f>
        <v>0</v>
      </c>
      <c r="QW82" s="7">
        <f>IFERROR(AVERAGEIF('Данные 2st'!$Q$2:$Q$317,$A82,'Данные 2st'!$MM$2:$MM$317),"")</f>
        <v>484</v>
      </c>
      <c r="QX82" s="7">
        <f>IFERROR(AVERAGEIF('Данные 2st'!$Q$2:$Q$317,$A82,'Данные 2st'!$MQ$2:$MQ$317),"")</f>
        <v/>
      </c>
      <c r="QY82" s="7">
        <f>IFERROR(AVERAGEIF('Данные 2st'!$Q$2:$Q$317,$A82,'Данные 2st'!$MR$2:$MR$317),"")</f>
        <v/>
      </c>
      <c r="QZ82" s="7">
        <f>IFERROR(AVERAGEIF('Данные 2st'!$Q$2:$Q$317,$A82,'Данные 2st'!$MS$2:$MS$317),"")</f>
        <v/>
      </c>
      <c r="RA82" s="7">
        <f>IFERROR(AVERAGEIF('Данные 2st'!$Q$2:$Q$317,$A82,'Данные 2st'!$MT$2:$MT$317),"")</f>
        <v/>
      </c>
      <c r="RB82" s="7">
        <f>IFERROR(AVERAGEIF('Данные 2st'!$Q$2:$Q$317,$A82,'Данные 2st'!$MU$2:$MU$317),"")</f>
        <v/>
      </c>
      <c r="RC82" s="7">
        <f>IFERROR(AVERAGEIF('Данные 2st'!$Q$2:$Q$317,$A82,'Данные 2st'!$MV$2:$MV$317),"")</f>
        <v/>
      </c>
      <c r="RD82" s="7">
        <f>IFERROR(AVERAGEIF('Данные 2st'!$Q$2:$Q$317,$A82,'Данные 2st'!$MW$2:$MW$317),"")</f>
        <v/>
      </c>
      <c r="RE82" s="7">
        <f>IFERROR(AVERAGEIF('Данные 2st'!$Q$2:$Q$317,$A82,'Данные 2st'!$MX$2:$MX$317),"")</f>
        <v/>
      </c>
      <c r="RF82" s="7">
        <f>IFERROR(AVERAGEIF('Данные 2st'!$Q$2:$Q$317,$A82,'Данные 2st'!$MY$2:$MY$317),"")</f>
        <v/>
      </c>
      <c r="RG82" s="7">
        <f>IFERROR(AVERAGEIF('Данные 2st'!$Q$2:$Q$317,$A82,'Данные 2st'!$MZ$2:$MZ$317),"")</f>
        <v/>
      </c>
      <c r="RH82" s="7">
        <f>IFERROR(AVERAGEIF('Данные 2st'!$Q$2:$Q$317,$A82,'Данные 2st'!$NA$2:$NA$317),"")</f>
        <v/>
      </c>
      <c r="RI82" s="7">
        <f>IFERROR(AVERAGEIF('Данные 2st'!$Q$2:$Q$317,$A82,'Данные 2st'!$NB$2:$NB$317),"")</f>
        <v/>
      </c>
      <c r="RJ82" s="7">
        <f>IFERROR(AVERAGEIF('Данные 2st'!$Q$2:$Q$317,$A82,'Данные 2st'!$NC$2:$NC$317),"")</f>
        <v/>
      </c>
      <c r="RK82" s="7">
        <f>IFERROR(AVERAGEIF('Данные 2st'!$Q$2:$Q$317,$A82,'Данные 2st'!$ND$2:$ND$317),"")</f>
        <v/>
      </c>
      <c r="RL82" s="7">
        <f>IFERROR(AVERAGEIF('Данные 2st'!$Q$2:$Q$317,$A82,'Данные 2st'!$NE$2:$NE$317),"")</f>
        <v/>
      </c>
      <c r="RM82" s="7">
        <f>IFERROR(AVERAGEIF('Данные 2st'!$Q$2:$Q$317,$A82,'Данные 2st'!$NF$2:$NF$317),"")</f>
        <v/>
      </c>
      <c r="RN82" s="7">
        <f>IFERROR(AVERAGEIF('Данные 2st'!$Q$2:$Q$317,$A82,'Данные 2st'!$NG$2:$NG$317),"")</f>
        <v/>
      </c>
      <c r="RO82" s="7">
        <f>IFERROR(AVERAGEIF('Данные 2st'!$Q$2:$Q$317,$A82,'Данные 2st'!$NH$2:$NH$317),"")</f>
        <v/>
      </c>
      <c r="RP82" s="7">
        <f>IFERROR(AVERAGEIF('Данные 2st'!$Q$2:$Q$317,$A82,'Данные 2st'!$NJ$2:$NJ$317),"")</f>
        <v/>
      </c>
      <c r="RQ82" s="7">
        <f>IFERROR(AVERAGEIF('Данные 2st'!$Q$2:$Q$317,$A82,'Данные 2st'!$NK$2:$NK$317),"")</f>
        <v/>
      </c>
      <c r="RR82" s="7">
        <f>IFERROR(AVERAGEIF('Данные 2st'!$Q$2:$Q$317,$A82,'Данные 2st'!$NM$2:$NM$317),"")</f>
        <v/>
      </c>
      <c r="RS82" s="7">
        <f>IFERROR(AVERAGEIF('Данные 2st'!$Q$2:$Q$317,$A82,'Данные 2st'!$NN$2:$NN$317),"")</f>
        <v/>
      </c>
      <c r="RT82" s="7">
        <f>IFERROR(AVERAGEIF('Данные 2st'!$Q$2:$Q$317,$A82,'Данные 2st'!$NO$2:$NO$317),"")</f>
        <v/>
      </c>
      <c r="RU82" s="7">
        <f>IFERROR(AVERAGEIF('Данные 2st'!$Q$2:$Q$317,$A82,'Данные 2st'!$NP$2:$NP$317),"")</f>
        <v/>
      </c>
      <c r="RV82" s="7">
        <f>IFERROR(AVERAGEIF('Данные 2st'!$Q$2:$Q$317,$A82,'Данные 2st'!$NQ$2:$NQ$317),"")</f>
        <v/>
      </c>
      <c r="RW82" s="7">
        <f>IFERROR(AVERAGEIF('Данные 2st'!$Q$2:$Q$317,$A82,'Данные 2st'!$NR$2:$NR$317),"")</f>
        <v/>
      </c>
      <c r="RX82" s="7">
        <f>IFERROR(AVERAGEIF('Данные 2st'!$Q$2:$Q$317,$A82,'Данные 2st'!$NS$2:$NS$317),"")</f>
        <v/>
      </c>
      <c r="RY82" s="7">
        <f>IFERROR(AVERAGEIF('Данные 2st'!$Q$2:$Q$317,$A82,'Данные 2st'!$NT$2:$NT$317),"")</f>
        <v/>
      </c>
      <c r="RZ82" s="7">
        <f>IFERROR(AVERAGEIF('Данные 2st'!$Q$2:$Q$317,$A82,'Данные 2st'!$OK$2:$OK$317),"")</f>
        <v>61</v>
      </c>
      <c r="SA82" s="7">
        <f>IFERROR(AVERAGEIF('Данные 2st'!$Q$2:$Q$317,$A82,'Данные 2st'!$OL$2:$OL$317),"")</f>
        <v>61</v>
      </c>
      <c r="SB82" s="7">
        <f>IFERROR(AVERAGEIF('Данные 2st'!$Q$2:$Q$317,$A82,'Данные 2st'!$ON$2:$ON$317),"")</f>
        <v>1</v>
      </c>
      <c r="SC82" s="7">
        <f>IFERROR(AVERAGEIF('Данные 2st'!$Q$2:$Q$317,$A82,'Данные 2st'!$OO$2:$OO$317),"")</f>
        <v>2299</v>
      </c>
      <c r="SD82" s="7">
        <f>IFERROR(AVERAGEIF('Данные 2st'!$Q$2:$Q$317,$A82,'Данные 2st'!$OP$2:$OP$317),"")</f>
        <v>61</v>
      </c>
      <c r="SE82" s="7">
        <f>IFERROR(AVERAGEIF('Данные 2st'!$Q$2:$Q$317,$A82,'Данные 2st'!$OQ$2:$OQ$317),"")</f>
        <v>61</v>
      </c>
      <c r="SF82" s="7">
        <f>IFERROR(AVERAGEIF('Данные 2st'!$Q$2:$Q$317,$A82,'Данные 2st'!$OS$2:$OS$317),"")</f>
        <v>1</v>
      </c>
      <c r="SG82" s="7">
        <f>IFERROR(AVERAGEIF('Данные 2st'!$Q$2:$Q$317,$A82,'Данные 2st'!$OT$2:$OT$317),"")</f>
        <v>2312</v>
      </c>
      <c r="SH82" s="7">
        <f>IFERROR(AVERAGEIF('Данные 2st'!$Q$2:$Q$317,$A82,'Данные 2st'!$OU$2:$OU$317),"")</f>
        <v>65</v>
      </c>
      <c r="SI82" s="7">
        <f>IFERROR(AVERAGEIF('Данные 2st'!$Q$2:$Q$317,$A82,'Данные 2st'!$OV$2:$OV$317),"")</f>
        <v>65</v>
      </c>
      <c r="SJ82" s="7">
        <f>IFERROR(AVERAGEIF('Данные 2st'!$Q$2:$Q$317,$A82,'Данные 2st'!$OX$2:$OX$317),"")</f>
        <v>2</v>
      </c>
      <c r="SK82" s="7">
        <f>IFERROR(AVERAGEIF('Данные 2st'!$Q$2:$Q$317,$A82,'Данные 2st'!$OY$2:$OY$317),"")</f>
        <v>57258</v>
      </c>
      <c r="SL82" s="7">
        <f>IFERROR(AVERAGEIF('Данные 2st'!$Q$2:$Q$317,$A82,'Данные 2st'!$OZ$2:$OZ$317),"")</f>
        <v>51</v>
      </c>
      <c r="SM82" s="7">
        <f>IFERROR(AVERAGEIF('Данные 2st'!$Q$2:$Q$317,$A82,'Данные 2st'!$PA$2:$PA$317),"")</f>
        <v>52</v>
      </c>
      <c r="SN82" s="7">
        <f>IFERROR(AVERAGEIF('Данные 2st'!$Q$2:$Q$317,$A82,'Данные 2st'!$PC$2:$PC$317),"")</f>
        <v>1</v>
      </c>
      <c r="SO82" s="7">
        <f>IFERROR(AVERAGEIF('Данные 2st'!$Q$2:$Q$317,$A82,'Данные 2st'!$PD$2:$PD$317),"")</f>
        <v>2345</v>
      </c>
      <c r="SP82" s="7">
        <f>IFERROR(AVERAGEIF('Данные 2st'!$Q$2:$Q$317,$A82,'Данные 2st'!$PF$2:$PF$317),"")</f>
        <v>579</v>
      </c>
      <c r="SQ82" s="7">
        <f>IFERROR(AVERAGEIF('Данные 2st'!$Q$2:$Q$317,$A82,'Данные 2st'!$PG$2:$PG$317),"")</f>
        <v>35</v>
      </c>
      <c r="SR82" s="7">
        <f>IFERROR(AVERAGEIF('Данные 2st'!$Q$2:$Q$317,$A82,'Данные 2st'!$PH$2:$PH$317),"")</f>
        <v>555</v>
      </c>
      <c r="SS82" s="7">
        <f>IFERROR(AVERAGEIF('Данные 2st'!$Q$2:$Q$317,$A82,'Данные 2st'!$PI$2:$PI$317),"")</f>
        <v>0</v>
      </c>
      <c r="ST82" s="7">
        <f>IFERROR(AVERAGEIF('Данные 2st'!$Q$2:$Q$317,$A82,'Данные 2st'!$PJ$2:$PJ$317),"")</f>
        <v>68.9</v>
      </c>
      <c r="SU82" s="7">
        <f>IFERROR(AVERAGEIF('Данные 2st'!$Q$2:$Q$317,$A82,'Данные 2st'!$PK$2:$PK$317),"")</f>
        <v>2222</v>
      </c>
      <c r="SV82" s="7">
        <f>IFERROR(AVERAGEIF('Данные 2st'!$Q$2:$Q$317,$A82,'Данные 2st'!$PL$2:$PL$317),"")</f>
        <v>1333.5</v>
      </c>
      <c r="SW82" s="7">
        <f>IFERROR(AVERAGEIF('Данные 2st'!$Q$2:$Q$317,$A82,'Данные 2st'!$PM$2:$PM$317),"")</f>
        <v>1284.3</v>
      </c>
      <c r="SX82" s="7">
        <f>IFERROR(AVERAGEIF('Данные 2st'!$Q$2:$Q$317,$A82,'Данные 2st'!$PN$2:$PN$317),"")</f>
        <v>120.2</v>
      </c>
      <c r="SY82" s="7">
        <f>IFERROR(AVERAGEIF('Данные 2st'!$Q$2:$Q$317,$A82,'Данные 2st'!$PO$2:$PO$317),"")</f>
        <v>10.1</v>
      </c>
      <c r="SZ82" s="7">
        <f>IFERROR(AVERAGEIF('Данные 2st'!$Q$2:$Q$317,$A82,'Данные 2st'!$PP$2:$PP$317),"")</f>
        <v>12</v>
      </c>
      <c r="TA82" s="7">
        <f>IFERROR(AVERAGEIF('Данные 2st'!$Q$2:$Q$317,$A82,'Данные 2st'!$PQ$2:$PQ$317),"")</f>
        <v>4</v>
      </c>
      <c r="TB82" s="7">
        <f>IFERROR(AVERAGEIF('Данные 2st'!$Q$2:$Q$317,$A82,'Данные 2st'!$PR$2:$PR$317),"")</f>
        <v>6</v>
      </c>
      <c r="TC82" s="7">
        <f>IFERROR(AVERAGEIF('Данные 2st'!$Q$2:$Q$317,$A82,'Данные 2st'!$PS$2:$PS$317),"")</f>
        <v>0</v>
      </c>
      <c r="TD82" s="7">
        <f>IFERROR(AVERAGEIF('Данные 2st'!$Q$2:$Q$317,$A82,'Данные 2st'!$PT$2:$PT$317),"")</f>
        <v>286</v>
      </c>
      <c r="TE82" s="7">
        <f>IFERROR(AVERAGEIF('Данные 2st'!$Q$2:$Q$317,$A82,'Данные 2st'!$PU$2:$PU$317),"")</f>
        <v>10</v>
      </c>
      <c r="TF82" s="7">
        <f>IFERROR(AVERAGEIF('Данные 2st'!$Q$2:$Q$317,$A82,'Данные 2st'!$PX$2:$PX$317),"")</f>
        <v>0</v>
      </c>
      <c r="TG82" s="7">
        <f>IFERROR(AVERAGEIF('Данные 2st'!$Q$2:$Q$317,$A82,'Данные 2st'!$PY$2:$PY$317),"")</f>
        <v>0</v>
      </c>
      <c r="TH82" s="7">
        <f>IFERROR(AVERAGEIF('Данные 2st'!$Q$2:$Q$317,$A82,'Данные 2st'!$PZ$2:$PZ$317),"")</f>
        <v>0</v>
      </c>
      <c r="TI82" s="7">
        <f>IFERROR(AVERAGEIF('Данные 2st'!$Q$2:$Q$317,$A82,'Данные 2st'!$QA$2:$QA$317),"")</f>
        <v>0</v>
      </c>
      <c r="TJ82" s="7">
        <f>IFERROR(AVERAGEIF('Данные 2st'!$Q$2:$Q$317,$A82,'Данные 2st'!$QB$2:$QB$317),"")</f>
        <v>0</v>
      </c>
      <c r="TK82" s="7">
        <f>IFERROR(AVERAGEIF('Данные 2st'!$Q$2:$Q$317,$A82,'Данные 2st'!$QC$2:$QC$317),"")</f>
        <v>0</v>
      </c>
      <c r="TL82" s="7">
        <f>IFERROR(AVERAGEIF('Данные 2st'!$Q$2:$Q$317,$A82,'Данные 2st'!$QD$2:$QD$317),"")</f>
        <v>0</v>
      </c>
      <c r="TM82" s="7">
        <f>IFERROR(AVERAGEIF('Данные 2st'!$Q$2:$Q$317,$A82,'Данные 2st'!$QE$2:$QE$317),"")</f>
        <v>-1</v>
      </c>
      <c r="TN82" s="7">
        <f>IFERROR(AVERAGEIF('Данные 2st'!$Q$2:$Q$317,$A82,'Данные 2st'!$QF$2:$QF$317),"")</f>
        <v>1</v>
      </c>
      <c r="TO82" s="7">
        <f>IFERROR(AVERAGEIF('Данные 2st'!$Q$2:$Q$317,$A82,'Данные 2st'!$QG$2:$QG$317),"")</f>
        <v>0</v>
      </c>
      <c r="TP82" s="7">
        <f>IFERROR(AVERAGEIF('Данные 2st'!$Q$2:$Q$317,$A82,'Данные 2st'!$QH$2:$QH$317),"")</f>
        <v>5</v>
      </c>
      <c r="TQ82" s="7">
        <f>IFERROR(AVERAGEIF('Данные 2st'!$Q$2:$Q$317,$A82,'Данные 2st'!$QI$2:$QI$317),"")</f>
        <v>5</v>
      </c>
      <c r="TR82" s="7">
        <f>IFERROR(AVERAGEIF('Данные 2st'!$Q$2:$Q$317,$A82,'Данные 2st'!$QJ$2:$QJ$317),"")</f>
        <v>5</v>
      </c>
      <c r="TS82" s="7">
        <f>IFERROR(AVERAGEIF('Данные 2st'!$Q$2:$Q$317,$A82,'Данные 2st'!$QK$2:$QK$317),"")</f>
        <v>245</v>
      </c>
      <c r="TT82" s="7">
        <f>IFERROR(AVERAGEIF('Данные 2st'!$Q$2:$Q$317,$A82,'Данные 2st'!$QL$2:$QL$317),"")</f>
        <v>488</v>
      </c>
      <c r="TU82" s="7">
        <f>IFERROR(AVERAGEIF('Данные 2st'!$Q$2:$Q$317,$A82,'Данные 2st'!$QM$2:$QM$317),"")</f>
        <v>9.4</v>
      </c>
      <c r="TV82" s="7">
        <f>IFERROR(AVERAGEIF('Данные 2st'!$Q$2:$Q$317,$A82,'Данные 2st'!$QN$2:$QN$317),"")</f>
        <v>1623.8</v>
      </c>
      <c r="TW82" s="7">
        <f>IFERROR(AVERAGEIF('Данные 2st'!$Q$2:$Q$317,$A82,'Данные 2st'!$QQ$2:$QQ$317),"")</f>
        <v>0</v>
      </c>
      <c r="TX82" s="7">
        <f>IFERROR(AVERAGEIF('Данные 2st'!$Q$2:$Q$317,$A82,'Данные 2st'!$QS$2:$QS$317),"")</f>
        <v>40</v>
      </c>
      <c r="TY82" s="7">
        <f>IFERROR(AVERAGEIF('Данные 2st'!$Q$2:$Q$317,$A82,'Данные 2st'!$QT$2:$QT$317),"")</f>
        <v>50</v>
      </c>
    </row>
    <row r="83" spans="1:545" ht="32" customHeight="1">
      <c r="A83" s="11" t="s">
        <v>3010</v>
      </c>
      <c r="B83">
        <f>COUNTIF('Данные 1st'!$S$2:$S$317,$A83)</f>
        <v>2</v>
      </c>
      <c r="C83" s="6" t="s">
        <v>5120</v>
      </c>
      <c r="D83" s="6" t="s">
        <v>513</v>
      </c>
      <c r="E83" s="6" t="s">
        <v>517</v>
      </c>
      <c r="F83" s="6" t="s">
        <v>5189</v>
      </c>
      <c r="G83" s="7">
        <f>IFERROR(AVERAGEIF('Данные 1st'!$S$2:$S$317,$A83,'Данные 1st'!$AE$2:$AE$317),"")</f>
        <v>256</v>
      </c>
      <c r="H83" s="7">
        <f>IFERROR(AVERAGEIF('Данные 1st'!$S$2:$S$317,$A83,'Данные 1st'!$AF$2:$AF$317),"")</f>
        <v>1.5</v>
      </c>
      <c r="I83" s="7">
        <f>IFERROR(AVERAGEIF('Данные 1st'!$S$2:$S$317,$A83,'Данные 1st'!$AJ$2:$AJ$317),"")</f>
        <v>236.25</v>
      </c>
      <c r="J83" s="7">
        <f>IFERROR(AVERAGEIF('Данные 1st'!$S$2:$S$317,$A83,'Данные 1st'!$AL$2:$AL$317),"")</f>
        <v>1.5</v>
      </c>
      <c r="K83" s="7">
        <f>IFERROR(AVERAGEIF('Данные 1st'!$S$2:$S$317,$A83,'Данные 1st'!$AR$2:$AR$317),"")</f>
        <v>279.5</v>
      </c>
      <c r="L83" s="7">
        <f>IFERROR(AVERAGEIF('Данные 1st'!$S$2:$S$317,$A83,'Данные 1st'!$AS$2:$AS$317),"")</f>
        <v>1.5</v>
      </c>
      <c r="M83" s="7">
        <f>IFERROR(AVERAGEIF('Данные 1st'!$S$2:$S$317,$A83,'Данные 1st'!$AY$2:$AY$317),"")</f>
        <v>337.5</v>
      </c>
      <c r="N83" s="7">
        <f>IFERROR(AVERAGEIF('Данные 1st'!$S$2:$S$317,$A83,'Данные 1st'!$AZ$2:$AZ$317),"")</f>
        <v>1.5</v>
      </c>
      <c r="O83" s="7">
        <f>IFERROR(AVERAGEIF('Данные 1st'!$S$2:$S$317,$A83,'Данные 1st'!$BF$2:$BF$317),"")</f>
        <v>276.25</v>
      </c>
      <c r="P83" s="7">
        <f>IFERROR(AVERAGEIF('Данные 1st'!$S$2:$S$317,$A83,'Данные 1st'!$BG$2:$BG$317),"")</f>
        <v>1.5</v>
      </c>
      <c r="Q83" s="7">
        <f>IFERROR(AVERAGEIF('Данные 1st'!$S$2:$S$317,$A83,'Данные 1st'!$BM$2:$BM$317),"")</f>
        <v/>
      </c>
      <c r="R83" s="7">
        <f>IFERROR(AVERAGEIF('Данные 1st'!$S$2:$S$317,$A83,'Данные 1st'!$BN$2:$BN$317),"")</f>
        <v>1.5</v>
      </c>
      <c r="S83" s="7">
        <f>IFERROR(AVERAGEIF('Данные 1st'!$S$2:$S$317,$A83,'Данные 1st'!$BT$2:$BT$317),"")</f>
        <v>255</v>
      </c>
      <c r="T83" s="7">
        <f>IFERROR(AVERAGEIF('Данные 1st'!$S$2:$S$317,$A83,'Данные 1st'!$BU$2:$BU$317),"")</f>
        <v>0.5</v>
      </c>
      <c r="U83" s="7">
        <f>IFERROR(AVERAGEIF('Данные 1st'!$S$2:$S$317,$A83,'Данные 1st'!$BW$2:$BW$317),"")</f>
        <v>510</v>
      </c>
      <c r="V83" s="7">
        <f>IFERROR(AVERAGEIF('Данные 1st'!$S$2:$S$317,$A83,'Данные 1st'!$BX$2:$BX$317),"")</f>
        <v>1</v>
      </c>
      <c r="W83" s="7">
        <f>IFERROR(AVERAGEIF('Данные 1st'!$S$2:$S$317,$A83,'Данные 1st'!$BZ$2:$BZ$317),"")</f>
        <v>470</v>
      </c>
      <c r="X83" s="7">
        <f>IFERROR(AVERAGEIF('Данные 1st'!$S$2:$S$317,$A83,'Данные 1st'!$CA$2:$CA$317),"")</f>
        <v>580</v>
      </c>
      <c r="Y83" s="7">
        <f>IFERROR(AVERAGEIF('Данные 1st'!$S$2:$S$317,$A83,'Данные 1st'!$CD$2:$CD$317),"")</f>
        <v>526</v>
      </c>
      <c r="Z83" s="7">
        <f>IFERROR(AVERAGEIF('Данные 1st'!$S$2:$S$317,$A83,'Данные 1st'!$CF$2:$CF$317),"")</f>
        <v>15</v>
      </c>
      <c r="AA83" s="7">
        <f>IFERROR(AVERAGEIF('Данные 1st'!$S$2:$S$317,$A83,'Данные 1st'!$CI$2:$CI$317),"")</f>
        <v>55</v>
      </c>
      <c r="AB83" s="7">
        <f>IFERROR(AVERAGEIF('Данные 1st'!$S$2:$S$317,$A83,'Данные 1st'!$CJ$2:$CJ$317),"")</f>
        <v>1538</v>
      </c>
      <c r="AC83" s="7">
        <f>IFERROR(AVERAGEIF('Данные 1st'!$S$2:$S$317,$A83,'Данные 1st'!$CK$2:$CK$317),"")</f>
        <v>2</v>
      </c>
      <c r="AD83" s="7">
        <f>IFERROR(AVERAGEIF('Данные 1st'!$S$2:$S$317,$A83,'Данные 1st'!$CL$2:$CL$317),"")</f>
        <v>1632</v>
      </c>
      <c r="AE83" s="7">
        <f>IFERROR(AVERAGEIF('Данные 1st'!$S$2:$S$317,$A83,'Данные 1st'!$CM$2:$CM$317),"")</f>
        <v>2</v>
      </c>
      <c r="AF83" s="7">
        <f>IFERROR(AVERAGEIF('Данные 1st'!$S$2:$S$317,$A83,'Данные 1st'!$CT$2:$CT$317),"")</f>
        <v>472.5</v>
      </c>
      <c r="AG83" s="7">
        <f>IFERROR(AVERAGEIF('Данные 1st'!$S$2:$S$317,$A83,'Данные 1st'!$CU$2:$CU$317),"")</f>
        <v>5</v>
      </c>
      <c r="AH83" s="7">
        <f>IFERROR(AVERAGEIF('Данные 1st'!$S$2:$S$317,$A83,'Данные 1st'!$CV$2:$CV$317),"")</f>
        <v>1.25</v>
      </c>
      <c r="AI83" s="7">
        <f>IFERROR(AVERAGEIF('Данные 1st'!$S$2:$S$317,$A83,'Данные 1st'!$CW$2:$CW$317),"")</f>
        <v>1554.5</v>
      </c>
      <c r="AJ83" s="7">
        <f>IFERROR(AVERAGEIF('Данные 1st'!$S$2:$S$317,$A83,'Данные 1st'!$CX$2:$CX$317),"")</f>
        <v>1085</v>
      </c>
      <c r="AK83" s="7">
        <f>IFERROR(AVERAGEIF('Данные 1st'!$S$2:$S$317,$A83,'Данные 1st'!$CZ$2:$CZ$317),"")</f>
        <v>55</v>
      </c>
      <c r="AL83" s="7">
        <f>IFERROR(AVERAGEIF('Данные 1st'!$S$2:$S$317,$A83,'Данные 1st'!$DA$2:$DA$317),"")</f>
        <v>3</v>
      </c>
      <c r="AM83" s="7">
        <f>IFERROR(AVERAGEIF('Данные 1st'!$S$2:$S$317,$A83,'Данные 1st'!$DB$2:$DB$317),"")</f>
        <v>1.1400000000000001</v>
      </c>
      <c r="AN83" s="7">
        <f>IFERROR(AVERAGEIF('Данные 1st'!$S$2:$S$317,$A83,'Данные 1st'!$DC$2:$DC$317),"")</f>
        <v>1554.5</v>
      </c>
      <c r="AO83" s="7">
        <f>IFERROR(AVERAGEIF('Данные 1st'!$S$2:$S$317,$A83,'Данные 1st'!$DD$2:$DD$317),"")</f>
        <v>103.5</v>
      </c>
      <c r="AP83" s="7">
        <f>IFERROR(AVERAGEIF('Данные 1st'!$S$2:$S$317,$A83,'Данные 1st'!$DF$2:$DF$317),"")</f>
        <v>675</v>
      </c>
      <c r="AQ83" s="7">
        <f>IFERROR(AVERAGEIF('Данные 1st'!$S$2:$S$317,$A83,'Данные 1st'!$DG$2:$DG$317),"")</f>
        <v>3</v>
      </c>
      <c r="AR83" s="7">
        <f>IFERROR(AVERAGEIF('Данные 1st'!$S$2:$S$317,$A83,'Данные 1st'!$DH$2:$DH$317),"")</f>
        <v>1.03</v>
      </c>
      <c r="AS83" s="7">
        <f>IFERROR(AVERAGEIF('Данные 1st'!$S$2:$S$317,$A83,'Данные 1st'!$DI$2:$DI$317),"")</f>
        <v>1547.5</v>
      </c>
      <c r="AT83" s="7">
        <f>IFERROR(AVERAGEIF('Данные 1st'!$S$2:$S$317,$A83,'Данные 1st'!$DJ$2:$DJ$317),"")</f>
        <v>1417</v>
      </c>
      <c r="AU83" s="7">
        <f>IFERROR(AVERAGEIF('Данные 1st'!$S$2:$S$317,$A83,'Данные 1st'!$DL$2:$DL$317),"")</f>
        <v>552.5</v>
      </c>
      <c r="AV83" s="7">
        <f>IFERROR(AVERAGEIF('Данные 1st'!$S$2:$S$317,$A83,'Данные 1st'!$DM$2:$DM$317),"")</f>
        <v>3</v>
      </c>
      <c r="AW83" s="7">
        <f>IFERROR(AVERAGEIF('Данные 1st'!$S$2:$S$317,$A83,'Данные 1st'!$DN$2:$DN$317),"")</f>
        <v>1.03</v>
      </c>
      <c r="AX83" s="7">
        <f>IFERROR(AVERAGEIF('Данные 1st'!$S$2:$S$317,$A83,'Данные 1st'!$DO$2:$DO$317),"")</f>
        <v>1553.5</v>
      </c>
      <c r="AY83" s="7">
        <f>IFERROR(AVERAGEIF('Данные 1st'!$S$2:$S$317,$A83,'Данные 1st'!$DP$2:$DP$317),"")</f>
        <v>1179</v>
      </c>
      <c r="AZ83" s="7">
        <f>IFERROR(AVERAGEIF('Данные 1st'!$S$2:$S$317,$A83,'Данные 1st'!$DR$2:$DR$317),"")</f>
        <v/>
      </c>
      <c r="BA83" s="7">
        <f>IFERROR(AVERAGEIF('Данные 1st'!$S$2:$S$317,$A83,'Данные 1st'!$DS$2:$DS$317),"")</f>
        <v/>
      </c>
      <c r="BB83" s="7">
        <f>IFERROR(AVERAGEIF('Данные 1st'!$S$2:$S$317,$A83,'Данные 1st'!$DT$2:$DT$317),"")</f>
        <v/>
      </c>
      <c r="BC83" s="7">
        <f>IFERROR(AVERAGEIF('Данные 1st'!$S$2:$S$317,$A83,'Данные 1st'!$DU$2:$DU$317),"")</f>
        <v/>
      </c>
      <c r="BD83" s="7">
        <f>IFERROR(AVERAGEIF('Данные 1st'!$S$2:$S$317,$A83,'Данные 1st'!$DV$2:$DV$317),"")</f>
        <v/>
      </c>
      <c r="BE83" s="7">
        <f>IFERROR(AVERAGEIF('Данные 1st'!$S$2:$S$317,$A83,'Данные 1st'!$DX$2:$DX$317),"")</f>
        <v>8.45</v>
      </c>
      <c r="BF83" s="7">
        <f>IFERROR(AVERAGEIF('Данные 1st'!$S$2:$S$317,$A83,'Данные 1st'!$EA$2:$EA$317),"")</f>
        <v>1624.6</v>
      </c>
      <c r="BG83" s="7">
        <f>IFERROR(AVERAGEIF('Данные 1st'!$S$2:$S$317,$A83,'Данные 1st'!$EB$2:$EB$317),"")</f>
        <v>382</v>
      </c>
      <c r="BH83" s="7">
        <f>IFERROR(AVERAGEIF('Данные 1st'!$S$2:$S$317,$A83,'Данные 1st'!$ED$2:$ED$317),"")</f>
        <v>42.5</v>
      </c>
      <c r="BI83" s="7">
        <f>IFERROR(AVERAGEIF('Данные 1st'!$S$2:$S$317,$A83,'Данные 1st'!$EE$2:$EE$317),"")</f>
        <v>3</v>
      </c>
      <c r="BJ83" s="7">
        <f>IFERROR(AVERAGEIF('Данные 1st'!$S$2:$S$317,$A83,'Данные 1st'!$EG$2:$EG$317),"")</f>
        <v>1670.5</v>
      </c>
      <c r="BK83" s="7">
        <f>IFERROR(AVERAGEIF('Данные 1st'!$S$2:$S$317,$A83,'Данные 1st'!$EH$2:$EH$317),"")</f>
        <v>321</v>
      </c>
      <c r="BL83" s="7">
        <f>IFERROR(AVERAGEIF('Данные 1st'!$S$2:$S$317,$A83,'Данные 1st'!$EJ$2:$EJ$317),"")</f>
        <v>0</v>
      </c>
      <c r="BM83" s="7">
        <f>IFERROR(AVERAGEIF('Данные 1st'!$S$2:$S$317,$A83,'Данные 1st'!$EK$2:$EK$317),"")</f>
        <v>1</v>
      </c>
      <c r="BN83" s="7">
        <f>IFERROR(AVERAGEIF('Данные 1st'!$S$2:$S$317,$A83,'Данные 1st'!$EN$2:$EN$317),"")</f>
        <v>0</v>
      </c>
      <c r="BO83" s="7">
        <f>IFERROR(AVERAGEIF('Данные 1st'!$S$2:$S$317,$A83,'Данные 1st'!$EQ$2:$EQ$317),"")</f>
        <v>130</v>
      </c>
      <c r="BP83" s="7">
        <f>IFERROR(AVERAGEIF('Данные 1st'!$S$2:$S$317,$A83,'Данные 1st'!$ER$2:$ER$317),"")</f>
        <v>3</v>
      </c>
      <c r="BQ83" s="7">
        <f>IFERROR(AVERAGEIF('Данные 1st'!$S$2:$S$317,$A83,'Данные 1st'!$ES$2:$ES$317),"")</f>
        <v>5.75</v>
      </c>
      <c r="BR83" s="7">
        <f>IFERROR(AVERAGEIF('Данные 1st'!$S$2:$S$317,$A83,'Данные 1st'!$ET$2:$ET$317),"")</f>
        <v>1535.5</v>
      </c>
      <c r="BS83" s="7">
        <f>IFERROR(AVERAGEIF('Данные 1st'!$S$2:$S$317,$A83,'Данные 1st'!$EU$2:$EU$317),"")</f>
        <v>613.55</v>
      </c>
      <c r="BT83" s="7">
        <f>IFERROR(AVERAGEIF('Данные 1st'!$S$2:$S$317,$A83,'Данные 1st'!$EV$2:$EV$317),"")</f>
        <v>942</v>
      </c>
      <c r="BU83" s="7">
        <f>IFERROR(AVERAGEIF('Данные 1st'!$S$2:$S$317,$A83,'Данные 1st'!$EX$2:$EX$317),"")</f>
        <v>42.5</v>
      </c>
      <c r="BV83" s="7">
        <f>IFERROR(AVERAGEIF('Данные 1st'!$S$2:$S$317,$A83,'Данные 1st'!$EY$2:$EY$317),"")</f>
        <v>2</v>
      </c>
      <c r="BW83" s="7">
        <f>IFERROR(AVERAGEIF('Данные 1st'!$S$2:$S$317,$A83,'Данные 1st'!$EZ$2:$EZ$317),"")</f>
        <v>4.1</v>
      </c>
      <c r="BX83" s="7">
        <f>IFERROR(AVERAGEIF('Данные 1st'!$S$2:$S$317,$A83,'Данные 1st'!$FA$2:$FA$317),"")</f>
        <v>1535.5</v>
      </c>
      <c r="BY83" s="7">
        <f>IFERROR(AVERAGEIF('Данные 1st'!$S$2:$S$317,$A83,'Данные 1st'!$FB$2:$FB$317),"")</f>
        <v>127.10000000000001</v>
      </c>
      <c r="BZ83" s="7">
        <f>IFERROR(AVERAGEIF('Данные 1st'!$S$2:$S$317,$A83,'Данные 1st'!$FC$2:$FC$317),"")</f>
        <v>195.5</v>
      </c>
      <c r="CA83" s="7">
        <f>IFERROR(AVERAGEIF('Данные 1st'!$S$2:$S$317,$A83,'Данные 1st'!$FE$2:$FE$317),"")</f>
        <v>0</v>
      </c>
      <c r="CB83" s="7">
        <f>IFERROR(AVERAGEIF('Данные 1st'!$S$2:$S$317,$A83,'Данные 1st'!$FF$2:$FF$317),"")</f>
        <v>2</v>
      </c>
      <c r="CC83" s="7">
        <f>IFERROR(AVERAGEIF('Данные 1st'!$S$2:$S$317,$A83,'Данные 1st'!$FI$2:$FI$317),"")</f>
        <v>0</v>
      </c>
      <c r="CD83" s="7">
        <f>IFERROR(AVERAGEIF('Данные 1st'!$S$2:$S$317,$A83,'Данные 1st'!$FL$2:$FL$317),"")</f>
        <v>0.4</v>
      </c>
      <c r="CE83" s="7">
        <f>IFERROR(AVERAGEIF('Данные 1st'!$S$2:$S$317,$A83,'Данные 1st'!$FM$2:$FM$317),"")</f>
        <v>62.5</v>
      </c>
      <c r="CF83" s="7">
        <f>IFERROR(AVERAGEIF('Данные 1st'!$S$2:$S$317,$A83,'Данные 1st'!$FN$2:$FN$317),"")</f>
        <v>430</v>
      </c>
      <c r="CG83" s="7">
        <f>IFERROR(AVERAGEIF('Данные 1st'!$S$2:$S$317,$A83,'Данные 1st'!$FO$2:$FO$317),"")</f>
        <v>80</v>
      </c>
      <c r="CH83" s="7">
        <f>IFERROR(AVERAGEIF('Данные 1st'!$S$2:$S$317,$A83,'Данные 1st'!$FP$2:$FP$317),"")</f>
        <v>173</v>
      </c>
      <c r="CI83" s="7">
        <f>IFERROR(AVERAGEIF('Данные 1st'!$S$2:$S$317,$A83,'Данные 1st'!$FS$2:$FS$317),"")</f>
        <v/>
      </c>
      <c r="CJ83" s="7">
        <f>IFERROR(AVERAGEIF('Данные 1st'!$S$2:$S$317,$A83,'Данные 1st'!$FT$2:$FT$317),"")</f>
        <v/>
      </c>
      <c r="CK83" s="7">
        <f>IFERROR(AVERAGEIF('Данные 1st'!$S$2:$S$317,$A83,'Данные 1st'!$FU$2:$FU$317),"")</f>
        <v/>
      </c>
      <c r="CL83" s="7">
        <f>IFERROR(AVERAGEIF('Данные 1st'!$S$2:$S$317,$A83,'Данные 1st'!$FV$2:$FV$317),"")</f>
        <v/>
      </c>
      <c r="CM83" s="7">
        <f>IFERROR(AVERAGEIF('Данные 1st'!$S$2:$S$317,$A83,'Данные 1st'!$FW$2:$FW$317),"")</f>
        <v/>
      </c>
      <c r="CN83" s="7">
        <f>IFERROR(AVERAGEIF('Данные 1st'!$S$2:$S$317,$A83,'Данные 1st'!$FZ$2:$FZ$317),"")</f>
        <v/>
      </c>
      <c r="CO83" s="7">
        <f>IFERROR(AVERAGEIF('Данные 1st'!$S$2:$S$317,$A83,'Данные 1st'!$GA$2:$GA$317),"")</f>
        <v/>
      </c>
      <c r="CP83" s="7">
        <f>IFERROR(AVERAGEIF('Данные 1st'!$S$2:$S$317,$A83,'Данные 1st'!$GB$2:$GB$317),"")</f>
        <v/>
      </c>
      <c r="CQ83" s="7">
        <f>IFERROR(AVERAGEIF('Данные 1st'!$S$2:$S$317,$A83,'Данные 1st'!$GH$2:$GH$317),"")</f>
        <v/>
      </c>
      <c r="CR83" s="7">
        <f>IFERROR(AVERAGEIF('Данные 1st'!$S$2:$S$317,$A83,'Данные 1st'!$GI$2:$GI$317),"")</f>
        <v/>
      </c>
      <c r="CS83" s="7">
        <f>IFERROR(AVERAGEIF('Данные 1st'!$S$2:$S$317,$A83,'Данные 1st'!$GJ$2:$GJ$317),"")</f>
        <v/>
      </c>
      <c r="CT83" s="7">
        <f>IFERROR(AVERAGEIF('Данные 1st'!$S$2:$S$317,$A83,'Данные 1st'!$GS$2:$GS$317),"")</f>
        <v>0.4</v>
      </c>
      <c r="CU83" s="7">
        <f>IFERROR(AVERAGEIF('Данные 1st'!$S$2:$S$317,$A83,'Данные 1st'!$GT$2:$GT$317),"")</f>
        <v>72.5</v>
      </c>
      <c r="CV83" s="7">
        <f>IFERROR(AVERAGEIF('Данные 1st'!$S$2:$S$317,$A83,'Данные 1st'!$GU$2:$GU$317),"")</f>
        <v>328</v>
      </c>
      <c r="CW83" s="7">
        <f>IFERROR(AVERAGEIF('Данные 1st'!$S$2:$S$317,$A83,'Данные 1st'!$GV$2:$GV$317),"")</f>
        <v>30</v>
      </c>
      <c r="CX83" s="7">
        <f>IFERROR(AVERAGEIF('Данные 1st'!$S$2:$S$317,$A83,'Данные 1st'!$GW$2:$GW$317),"")</f>
        <v>320</v>
      </c>
      <c r="CY83" s="7">
        <f>IFERROR(AVERAGEIF('Данные 1st'!$S$2:$S$317,$A83,'Данные 1st'!$GZ$2:$GZ$317),"")</f>
        <v>1.6</v>
      </c>
      <c r="CZ83" s="7">
        <f>IFERROR(AVERAGEIF('Данные 1st'!$S$2:$S$317,$A83,'Данные 1st'!$HA$2:$HA$317),"")</f>
        <v>20</v>
      </c>
      <c r="DA83" s="7">
        <f>IFERROR(AVERAGEIF('Данные 1st'!$S$2:$S$317,$A83,'Данные 1st'!$HB$2:$HB$317),"")</f>
        <v>206</v>
      </c>
      <c r="DB83" s="7">
        <f>IFERROR(AVERAGEIF('Данные 1st'!$S$2:$S$317,$A83,'Данные 1st'!$HC$2:$HC$317),"")</f>
        <v>0.1</v>
      </c>
      <c r="DC83" s="7">
        <f>IFERROR(AVERAGEIF('Данные 1st'!$S$2:$S$317,$A83,'Данные 1st'!$HD$2:$HD$317),"")</f>
        <v>3</v>
      </c>
      <c r="DD83" s="7">
        <f>IFERROR(AVERAGEIF('Данные 1st'!$S$2:$S$317,$A83,'Данные 1st'!$HE$2:$HE$317),"")</f>
        <v>3</v>
      </c>
      <c r="DE83" s="7">
        <f>IFERROR(AVERAGEIF('Данные 1st'!$S$2:$S$317,$A83,'Данные 1st'!$HF$2:$HF$317),"")</f>
        <v>3</v>
      </c>
      <c r="DF83" s="7">
        <f>IFERROR(AVERAGEIF('Данные 1st'!$S$2:$S$317,$A83,'Данные 1st'!$HG$2:$HG$317),"")</f>
        <v>3</v>
      </c>
      <c r="DG83" s="7">
        <f>IFERROR(AVERAGEIF('Данные 1st'!$S$2:$S$317,$A83,'Данные 1st'!$HH$2:$HH$317),"")</f>
        <v>3</v>
      </c>
      <c r="DH83" s="7">
        <f>IFERROR(AVERAGEIF('Данные 1st'!$S$2:$S$317,$A83,'Данные 1st'!$HI$2:$HI$317),"")</f>
        <v>157.5</v>
      </c>
      <c r="DI83" s="7">
        <f>IFERROR(AVERAGEIF('Данные 1st'!$S$2:$S$317,$A83,'Данные 1st'!$HJ$2:$HJ$317),"")</f>
        <v>3</v>
      </c>
      <c r="DJ83" s="7">
        <f>IFERROR(AVERAGEIF('Данные 1st'!$S$2:$S$317,$A83,'Данные 1st'!$HK$2:$HK$317),"")</f>
        <v>27.5</v>
      </c>
      <c r="DK83" s="7">
        <f>IFERROR(AVERAGEIF('Данные 1st'!$S$2:$S$317,$A83,'Данные 1st'!$HL$2:$HL$317),"")</f>
        <v>2</v>
      </c>
      <c r="DL83" s="7">
        <f>IFERROR(AVERAGEIF('Данные 1st'!$S$2:$S$317,$A83,'Данные 1st'!$HM$2:$HM$317),"")</f>
        <v>0</v>
      </c>
      <c r="DM83" s="7">
        <f>IFERROR(AVERAGEIF('Данные 1st'!$S$2:$S$317,$A83,'Данные 1st'!$HN$2:$HN$317),"")</f>
        <v>2</v>
      </c>
      <c r="DN83" s="7">
        <f>IFERROR(AVERAGEIF('Данные 1st'!$S$2:$S$317,$A83,'Данные 1st'!$HO$2:$HO$317),"")</f>
        <v>115</v>
      </c>
      <c r="DO83" s="7">
        <f>IFERROR(AVERAGEIF('Данные 1st'!$S$2:$S$317,$A83,'Данные 1st'!$HP$2:$HP$317),"")</f>
        <v>3</v>
      </c>
      <c r="DP83" s="7">
        <f>IFERROR(AVERAGEIF('Данные 1st'!$S$2:$S$317,$A83,'Данные 1st'!$HQ$2:$HQ$317),"")</f>
        <v>0</v>
      </c>
      <c r="DQ83" s="7">
        <f>IFERROR(AVERAGEIF('Данные 1st'!$S$2:$S$317,$A83,'Данные 1st'!$HR$2:$HR$317),"")</f>
        <v>2</v>
      </c>
      <c r="DR83" s="7">
        <f>IFERROR(AVERAGEIF('Данные 1st'!$S$2:$S$317,$A83,'Данные 1st'!$HS$2:$HS$317),"")</f>
        <v>7569</v>
      </c>
      <c r="DS83" s="7">
        <f>IFERROR(AVERAGEIF('Данные 1st'!$S$2:$S$317,$A83,'Данные 1st'!$HT$2:$HT$317),"")</f>
        <v>230</v>
      </c>
      <c r="DT83" s="7">
        <f>IFERROR(AVERAGEIF('Данные 1st'!$S$2:$S$317,$A83,'Данные 1st'!$HU$2:$HU$317),"")</f>
        <v>180</v>
      </c>
      <c r="DU83" s="7">
        <f>IFERROR(AVERAGEIF('Данные 1st'!$S$2:$S$317,$A83,'Данные 1st'!$HW$2:$HW$317),"")</f>
        <v>0</v>
      </c>
      <c r="DV83" s="7">
        <f>IFERROR(AVERAGEIF('Данные 1st'!$S$2:$S$317,$A83,'Данные 1st'!$HX$2:$HX$317),"")</f>
        <v>545</v>
      </c>
      <c r="DW83" s="7">
        <f>IFERROR(AVERAGEIF('Данные 1st'!$S$2:$S$317,$A83,'Данные 1st'!$HY$2:$HY$317),"")</f>
        <v>0.18</v>
      </c>
      <c r="DX83" s="7">
        <f>IFERROR(AVERAGEIF('Данные 1st'!$S$2:$S$317,$A83,'Данные 1st'!$IA$2:$IA$317),"")</f>
        <v>0.15</v>
      </c>
      <c r="DY83" s="7">
        <f>IFERROR(AVERAGEIF('Данные 1st'!$S$2:$S$317,$A83,'Данные 1st'!$IB$2:$IB$317),"")</f>
        <v>0</v>
      </c>
      <c r="DZ83" s="7">
        <f>IFERROR(AVERAGEIF('Данные 1st'!$S$2:$S$317,$A83,'Данные 1st'!$IC$2:$IC$317),"")</f>
        <v>180</v>
      </c>
      <c r="EA83" s="7">
        <f>IFERROR(AVERAGEIF('Данные 1st'!$S$2:$S$317,$A83,'Данные 1st'!$ID$2:$ID$317),"")</f>
        <v>110</v>
      </c>
      <c r="EB83" s="7">
        <f>IFERROR(AVERAGEIF('Данные 1st'!$S$2:$S$317,$A83,'Данные 1st'!$IE$2:$IE$317),"")</f>
        <v>225</v>
      </c>
      <c r="EC83" s="7">
        <f>IFERROR(AVERAGEIF('Данные 1st'!$S$2:$S$317,$A83,'Данные 1st'!$IF$2:$IF$317),"")</f>
        <v>0</v>
      </c>
      <c r="ED83" s="7">
        <f>IFERROR(AVERAGEIF('Данные 1st'!$S$2:$S$317,$A83,'Данные 1st'!$IP$2:$IP$317),"")</f>
        <v>20</v>
      </c>
      <c r="EE83" s="7">
        <f>IFERROR(AVERAGEIF('Данные 1st'!$S$2:$S$317,$A83,'Данные 1st'!$IV$2:$IV$317),"")</f>
        <v>1538</v>
      </c>
      <c r="EF83" s="7">
        <f>IFERROR(AVERAGEIF('Данные 1st'!$S$2:$S$317,$A83,'Данные 1st'!$IW$2:$IW$317),"")</f>
        <v>510</v>
      </c>
      <c r="EG83" s="7">
        <f>IFERROR(AVERAGEIF('Данные 1st'!$S$2:$S$317,$A83,'Данные 1st'!$IX$2:$IX$317),"")</f>
        <v/>
      </c>
      <c r="EH83" s="7">
        <f>IFERROR(AVERAGEIF('Данные 1st'!$S$2:$S$317,$A83,'Данные 1st'!$IY$2:$IY$317),"")</f>
        <v/>
      </c>
      <c r="EI83" s="7">
        <f>IFERROR(AVERAGEIF('Данные 1st'!$S$2:$S$317,$A83,'Данные 1st'!$JD$2:$JD$317),"")</f>
        <v>1554.5</v>
      </c>
      <c r="EJ83" s="7">
        <f>IFERROR(AVERAGEIF('Данные 1st'!$S$2:$S$317,$A83,'Данные 1st'!$JE$2:$JE$317),"")</f>
        <v>1547.5</v>
      </c>
      <c r="EK83" s="7">
        <f>IFERROR(AVERAGEIF('Данные 1st'!$S$2:$S$317,$A83,'Данные 1st'!$JF$2:$JF$317),"")</f>
        <v>1553.5</v>
      </c>
      <c r="EL83" s="7">
        <f>IFERROR(AVERAGEIF('Данные 1st'!$S$2:$S$317,$A83,'Данные 1st'!$JG$2:$JG$317),"")</f>
        <v>1535.5</v>
      </c>
      <c r="EM83" s="7">
        <f>IFERROR(AVERAGEIF('Данные 1st'!$S$2:$S$317,$A83,'Данные 1st'!$JH$2:$JH$317),"")</f>
        <v>0</v>
      </c>
      <c r="EN83" s="7">
        <f>IFERROR(AVERAGEIF('Данные 1st'!$S$2:$S$317,$A83,'Данные 1st'!$JJ$2:$JJ$317),"")</f>
        <v>180</v>
      </c>
      <c r="EO83" s="7">
        <f>IFERROR(AVERAGEIF('Данные 1st'!$S$2:$S$317,$A83,'Данные 1st'!$JK$2:$JK$317),"")</f>
        <v>545</v>
      </c>
      <c r="EP83" s="7">
        <f>IFERROR(AVERAGEIF('Данные 1st'!$S$2:$S$317,$A83,'Данные 1st'!$JL$2:$JL$317),"")</f>
        <v/>
      </c>
      <c r="EQ83" s="7">
        <f>IFERROR(AVERAGEIF('Данные 1st'!$S$2:$S$317,$A83,'Данные 1st'!$JM$2:$JM$317),"")</f>
        <v/>
      </c>
      <c r="ER83" s="7">
        <f>IFERROR(AVERAGEIF('Данные 1st'!$S$2:$S$317,$A83,'Данные 1st'!$JN$2:$JN$317),"")</f>
        <v>472.5</v>
      </c>
      <c r="ES83" s="7">
        <f>IFERROR(AVERAGEIF('Данные 1st'!$S$2:$S$317,$A83,'Данные 1st'!$JO$2:$JO$317),"")</f>
        <v>675</v>
      </c>
      <c r="ET83" s="7">
        <f>IFERROR(AVERAGEIF('Данные 1st'!$S$2:$S$317,$A83,'Данные 1st'!$JP$2:$JP$317),"")</f>
        <v>552.5</v>
      </c>
      <c r="EU83" s="7">
        <f>IFERROR(AVERAGEIF('Данные 1st'!$S$2:$S$317,$A83,'Данные 1st'!$JQ$2:$JQ$317),"")</f>
        <v>0</v>
      </c>
      <c r="EV83" s="7">
        <f>IFERROR(AVERAGEIF('Данные 1st'!$S$2:$S$317,$A83,'Данные 1st'!$JR$2:$JR$317),"")</f>
        <v>512</v>
      </c>
      <c r="EW83" s="7">
        <f>IFERROR(AVERAGEIF('Данные 1st'!$S$2:$S$317,$A83,'Данные 1st'!$JS$2:$JS$317),"")</f>
        <v>157.5</v>
      </c>
      <c r="EX83" s="7">
        <f>IFERROR(AVERAGEIF('Данные 1st'!$S$2:$S$317,$A83,'Данные 1st'!$JT$2:$JT$317),"")</f>
        <v/>
      </c>
      <c r="EY83" s="7">
        <f>IFERROR(AVERAGEIF('Данные 1st'!$S$2:$S$317,$A83,'Данные 1st'!$JU$2:$JU$317),"")</f>
        <v/>
      </c>
      <c r="EZ83" s="7">
        <f>IFERROR(AVERAGEIF('Данные 1st'!$S$2:$S$317,$A83,'Данные 1st'!$JV$2:$JV$317),"")</f>
        <v>9</v>
      </c>
      <c r="FA83" s="7">
        <f>IFERROR(AVERAGEIF('Данные 1st'!$S$2:$S$317,$A83,'Данные 1st'!$JW$2:$JW$317),"")</f>
        <v/>
      </c>
      <c r="FB83" s="7">
        <f>IFERROR(AVERAGEIF('Данные 1st'!$S$2:$S$317,$A83,'Данные 1st'!$JX$2:$JX$317),"")</f>
        <v>559</v>
      </c>
      <c r="FC83" s="7">
        <f>IFERROR(AVERAGEIF('Данные 1st'!$S$2:$S$317,$A83,'Данные 1st'!$JY$2:$JY$317),"")</f>
        <v/>
      </c>
      <c r="FD83" s="7">
        <f>IFERROR(AVERAGEIF('Данные 1st'!$S$2:$S$317,$A83,'Данные 1st'!$JZ$2:$JZ$317),"")</f>
        <v/>
      </c>
      <c r="FE83" s="7">
        <f>IFERROR(AVERAGEIF('Данные 1st'!$S$2:$S$317,$A83,'Данные 1st'!$KA$2:$KA$317),"")</f>
        <v>225</v>
      </c>
      <c r="FF83" s="7">
        <f>IFERROR(AVERAGEIF('Данные 1st'!$S$2:$S$317,$A83,'Данные 1st'!$KB$2:$KB$317),"")</f>
        <v>110</v>
      </c>
      <c r="FG83" s="7">
        <f>IFERROR(AVERAGEIF('Данные 1st'!$S$2:$S$317,$A83,'Данные 1st'!$KC$2:$KC$317),"")</f>
        <v>0</v>
      </c>
      <c r="FH83" s="7">
        <f>IFERROR(AVERAGEIF('Данные 1st'!$S$2:$S$317,$A83,'Данные 1st'!$KD$2:$KD$317),"")</f>
        <v>80</v>
      </c>
      <c r="FI83" s="7">
        <f>IFERROR(AVERAGEIF('Данные 1st'!$S$2:$S$317,$A83,'Данные 1st'!$KE$2:$KE$317),"")</f>
        <v/>
      </c>
      <c r="FJ83" s="7">
        <f>IFERROR(AVERAGEIF('Данные 1st'!$S$2:$S$317,$A83,'Данные 1st'!$KF$2:$KF$317),"")</f>
        <v>4</v>
      </c>
      <c r="FK83" s="7">
        <f>IFERROR(AVERAGEIF('Данные 1st'!$S$2:$S$317,$A83,'Данные 1st'!$KG$2:$KG$317),"")</f>
        <v>2</v>
      </c>
      <c r="FL83" s="7">
        <f>IFERROR(AVERAGEIF('Данные 1st'!$S$2:$S$317,$A83,'Данные 1st'!$KH$2:$KH$317),"")</f>
        <v>2</v>
      </c>
      <c r="FM83" s="7">
        <f>IFERROR(AVERAGEIF('Данные 1st'!$S$2:$S$317,$A83,'Данные 1st'!$KI$2:$KI$317),"")</f>
        <v>2</v>
      </c>
      <c r="FN83" s="7">
        <f>IFERROR(AVERAGEIF('Данные 1st'!$S$2:$S$317,$A83,'Данные 1st'!$KJ$2:$KJ$317),"")</f>
        <v>0</v>
      </c>
      <c r="FO83" s="7">
        <f>IFERROR(AVERAGEIF('Данные 1st'!$S$2:$S$317,$A83,'Данные 1st'!$KK$2:$KK$317),"")</f>
        <v>1.5</v>
      </c>
      <c r="FP83" s="7">
        <f>IFERROR(AVERAGEIF('Данные 1st'!$S$2:$S$317,$A83,'Данные 1st'!$KL$2:$KL$317),"")</f>
        <v>1.5</v>
      </c>
      <c r="FQ83" s="7">
        <f>IFERROR(AVERAGEIF('Данные 1st'!$S$2:$S$317,$A83,'Данные 1st'!$KM$2:$KM$317),"")</f>
        <v>0</v>
      </c>
      <c r="FR83" s="7">
        <f>IFERROR(AVERAGEIF('Данные 1st'!$S$2:$S$317,$A83,'Данные 1st'!$KN$2:$KN$317),"")</f>
        <v>0</v>
      </c>
      <c r="FS83" s="7">
        <f>IFERROR(AVERAGEIF('Данные 1st'!$S$2:$S$317,$A83,'Данные 1st'!$KR$2:$KR$317),"")</f>
        <v>50</v>
      </c>
      <c r="FT83" s="7">
        <f>IFERROR(AVERAGEIF('Данные 1st'!$S$2:$S$317,$A83,'Данные 1st'!$KS$2:$KS$317),"")</f>
        <v>60</v>
      </c>
      <c r="FU83" s="7">
        <f>IFERROR(AVERAGEIF('Данные 1st'!$S$2:$S$317,$A83,'Данные 1st'!$KT$2:$KT$317),"")</f>
        <v>0</v>
      </c>
      <c r="FV83" s="7">
        <f>IFERROR(AVERAGEIF('Данные 1st'!$S$2:$S$317,$A83,'Данные 1st'!$KV$2:$KV$317),"")</f>
        <v/>
      </c>
      <c r="FW83" s="7">
        <f>IFERROR(AVERAGEIF('Данные 1st'!$S$2:$S$317,$A83,'Данные 1st'!$KW$2:$KW$317),"")</f>
        <v/>
      </c>
      <c r="FX83" s="7">
        <f>IFERROR(AVERAGEIF('Данные 1st'!$S$2:$S$317,$A83,'Данные 1st'!$KX$2:$KX$317),"")</f>
        <v/>
      </c>
      <c r="FY83" s="7">
        <f>IFERROR(AVERAGEIF('Данные 1st'!$S$2:$S$317,$A83,'Данные 1st'!$KY$2:$KY$317),"")</f>
        <v/>
      </c>
      <c r="FZ83" s="7">
        <f>IFERROR(AVERAGEIF('Данные 1st'!$S$2:$S$317,$A83,'Данные 1st'!$KZ$2:$KZ$317),"")</f>
        <v/>
      </c>
      <c r="GA83" s="7">
        <f>IFERROR(AVERAGEIF('Данные 1st'!$S$2:$S$317,$A83,'Данные 1st'!$LA$2:$LA$317),"")</f>
        <v/>
      </c>
      <c r="GB83" s="7">
        <f>IFERROR(AVERAGEIF('Данные 1st'!$S$2:$S$317,$A83,'Данные 1st'!$LB$2:$LB$317),"")</f>
        <v/>
      </c>
      <c r="GC83" s="7">
        <f>IFERROR(AVERAGEIF('Данные 1st'!$S$2:$S$317,$A83,'Данные 1st'!$LC$2:$LC$317),"")</f>
        <v/>
      </c>
      <c r="GD83" s="7">
        <f>IFERROR(AVERAGEIF('Данные 1st'!$S$2:$S$317,$A83,'Данные 1st'!$LD$2:$LD$317),"")</f>
        <v/>
      </c>
      <c r="GE83" s="7">
        <f>IFERROR(AVERAGEIF('Данные 1st'!$S$2:$S$317,$A83,'Данные 1st'!$LE$2:$LE$317),"")</f>
        <v/>
      </c>
      <c r="GF83" s="7">
        <f>IFERROR(AVERAGEIF('Данные 1st'!$S$2:$S$317,$A83,'Данные 1st'!$LF$2:$LF$317),"")</f>
        <v/>
      </c>
      <c r="GG83" s="7">
        <f>IFERROR(AVERAGEIF('Данные 1st'!$S$2:$S$317,$A83,'Данные 1st'!$LG$2:$LG$317),"")</f>
        <v/>
      </c>
      <c r="GH83" s="7">
        <f>IFERROR(AVERAGEIF('Данные 1st'!$S$2:$S$317,$A83,'Данные 1st'!$LH$2:$LH$317),"")</f>
        <v/>
      </c>
      <c r="GI83" s="7">
        <f>IFERROR(AVERAGEIF('Данные 1st'!$S$2:$S$317,$A83,'Данные 1st'!$LI$2:$LI$317),"")</f>
        <v/>
      </c>
      <c r="GJ83" s="7">
        <f>IFERROR(AVERAGEIF('Данные 1st'!$S$2:$S$317,$A83,'Данные 1st'!$LJ$2:$LJ$317),"")</f>
        <v/>
      </c>
      <c r="GK83" s="7">
        <f>IFERROR(AVERAGEIF('Данные 1st'!$S$2:$S$317,$A83,'Данные 1st'!$LK$2:$LK$317),"")</f>
        <v>480</v>
      </c>
      <c r="GL83" s="7">
        <f>IFERROR(AVERAGEIF('Данные 1st'!$S$2:$S$317,$A83,'Данные 1st'!$LV$2:$LV$317),"")</f>
        <v/>
      </c>
      <c r="GM83" s="7">
        <f>IFERROR(AVERAGEIF('Данные 1st'!$S$2:$S$317,$A83,'Данные 1st'!$LW$2:$LW$317),"")</f>
        <v/>
      </c>
      <c r="GN83" s="7">
        <f>IFERROR(AVERAGEIF('Данные 1st'!$S$2:$S$317,$A83,'Данные 1st'!$LX$2:$LX$317),"")</f>
        <v/>
      </c>
      <c r="GO83" s="7">
        <f>IFERROR(AVERAGEIF('Данные 1st'!$S$2:$S$317,$A83,'Данные 1st'!$LY$2:$LY$317),"")</f>
        <v/>
      </c>
      <c r="GP83" s="7">
        <f>IFERROR(AVERAGEIF('Данные 1st'!$S$2:$S$317,$A83,'Данные 1st'!$LZ$2:$LZ$317),"")</f>
        <v/>
      </c>
      <c r="GQ83" s="7">
        <f>IFERROR(AVERAGEIF('Данные 1st'!$S$2:$S$317,$A83,'Данные 1st'!$PG$2:$PG$317),"")</f>
        <v>1</v>
      </c>
      <c r="GR83" s="7">
        <f>IFERROR(AVERAGEIF('Данные 1st'!$S$2:$S$317,$A83,'Данные 1st'!$PX$2:$PX$317),"")</f>
        <v>56</v>
      </c>
      <c r="GS83" s="7">
        <f>IFERROR(AVERAGEIF('Данные 1st'!$S$2:$S$317,$A83,'Данные 1st'!$PY$2:$PY$317),"")</f>
        <v>56.5</v>
      </c>
      <c r="GT83" s="7">
        <f>IFERROR(AVERAGEIF('Данные 1st'!$S$2:$S$317,$A83,'Данные 1st'!$QA$2:$QA$317),"")</f>
        <v>1</v>
      </c>
      <c r="GU83" s="7">
        <f>IFERROR(AVERAGEIF('Данные 1st'!$S$2:$S$317,$A83,'Данные 1st'!$QB$2:$QB$317),"")</f>
        <v>1535.5</v>
      </c>
      <c r="GV83" s="7">
        <f>IFERROR(AVERAGEIF('Данные 1st'!$S$2:$S$317,$A83,'Данные 1st'!$QC$2:$QC$317),"")</f>
        <v>69</v>
      </c>
      <c r="GW83" s="7">
        <f>IFERROR(AVERAGEIF('Данные 1st'!$S$2:$S$317,$A83,'Данные 1st'!$QD$2:$QD$317),"")</f>
        <v>69</v>
      </c>
      <c r="GX83" s="7">
        <f>IFERROR(AVERAGEIF('Данные 1st'!$S$2:$S$317,$A83,'Данные 1st'!$QF$2:$QF$317),"")</f>
        <v>1.5</v>
      </c>
      <c r="GY83" s="7">
        <f>IFERROR(AVERAGEIF('Данные 1st'!$S$2:$S$317,$A83,'Данные 1st'!$QG$2:$QG$317),"")</f>
        <v>1554.5</v>
      </c>
      <c r="GZ83" s="7">
        <f>IFERROR(AVERAGEIF('Данные 1st'!$S$2:$S$317,$A83,'Данные 1st'!$QH$2:$QH$317),"")</f>
        <v>66</v>
      </c>
      <c r="HA83" s="7">
        <f>IFERROR(AVERAGEIF('Данные 1st'!$S$2:$S$317,$A83,'Данные 1st'!$QI$2:$QI$317),"")</f>
        <v>66</v>
      </c>
      <c r="HB83" s="7">
        <f>IFERROR(AVERAGEIF('Данные 1st'!$S$2:$S$317,$A83,'Данные 1st'!$QK$2:$QK$317),"")</f>
        <v>1</v>
      </c>
      <c r="HC83" s="7">
        <f>IFERROR(AVERAGEIF('Данные 1st'!$S$2:$S$317,$A83,'Данные 1st'!$QL$2:$QL$317),"")</f>
        <v>1554.5</v>
      </c>
      <c r="HD83" s="7">
        <f>IFERROR(AVERAGEIF('Данные 1st'!$S$2:$S$317,$A83,'Данные 1st'!$QM$2:$QM$317),"")</f>
        <v>62</v>
      </c>
      <c r="HE83" s="7">
        <f>IFERROR(AVERAGEIF('Данные 1st'!$S$2:$S$317,$A83,'Данные 1st'!$QN$2:$QN$317),"")</f>
        <v>62</v>
      </c>
      <c r="HF83" s="7">
        <f>IFERROR(AVERAGEIF('Данные 1st'!$S$2:$S$317,$A83,'Данные 1st'!$QP$2:$QP$317),"")</f>
        <v>1</v>
      </c>
      <c r="HG83" s="7">
        <f>IFERROR(AVERAGEIF('Данные 1st'!$S$2:$S$317,$A83,'Данные 1st'!$QQ$2:$QQ$317),"")</f>
        <v>1547.5</v>
      </c>
      <c r="HH83" s="7">
        <f>IFERROR(AVERAGEIF('Данные 1st'!$S$2:$S$317,$A83,'Данные 1st'!$QR$2:$QR$317),"")</f>
        <v>62.5</v>
      </c>
      <c r="HI83" s="7">
        <f>IFERROR(AVERAGEIF('Данные 1st'!$S$2:$S$317,$A83,'Данные 1st'!$QS$2:$QS$317),"")</f>
        <v>62.5</v>
      </c>
      <c r="HJ83" s="7">
        <f>IFERROR(AVERAGEIF('Данные 1st'!$S$2:$S$317,$A83,'Данные 1st'!$QU$2:$QU$317),"")</f>
        <v>1</v>
      </c>
      <c r="HK83" s="7">
        <f>IFERROR(AVERAGEIF('Данные 1st'!$S$2:$S$317,$A83,'Данные 1st'!$QV$2:$QV$317),"")</f>
        <v>1553.5</v>
      </c>
      <c r="HL83" s="7">
        <f>IFERROR(AVERAGEIF('Данные 1st'!$S$2:$S$317,$A83,'Данные 1st'!$QW$2:$QW$317),"")</f>
        <v>82</v>
      </c>
      <c r="HM83" s="7">
        <f>IFERROR(AVERAGEIF('Данные 1st'!$S$2:$S$317,$A83,'Данные 1st'!$QX$2:$QX$317),"")</f>
        <v/>
      </c>
      <c r="HN83" s="7">
        <f>IFERROR(AVERAGEIF('Данные 1st'!$S$2:$S$317,$A83,'Данные 1st'!$QZ$2:$QZ$317),"")</f>
        <v>2</v>
      </c>
      <c r="HO83" s="7">
        <f>IFERROR(AVERAGEIF('Данные 1st'!$S$2:$S$317,$A83,'Данные 1st'!$RA$2:$RA$317),"")</f>
        <v>66</v>
      </c>
      <c r="HP83" s="7">
        <f>IFERROR(AVERAGEIF('Данные 1st'!$S$2:$S$317,$A83,'Данные 1st'!$RB$2:$RB$317),"")</f>
        <v>66</v>
      </c>
      <c r="HQ83" s="7">
        <f>IFERROR(AVERAGEIF('Данные 1st'!$S$2:$S$317,$A83,'Данные 1st'!$RD$2:$RD$317),"")</f>
        <v/>
      </c>
      <c r="HR83" s="7">
        <f>IFERROR(AVERAGEIF('Данные 1st'!$S$2:$S$317,$A83,'Данные 1st'!$RE$2:$RE$317),"")</f>
        <v>0</v>
      </c>
      <c r="HS83" s="7">
        <f>IFERROR(AVERAGEIF('Данные 1st'!$S$2:$S$317,$A83,'Данные 1st'!$RF$2:$RF$317),"")</f>
        <v>1</v>
      </c>
      <c r="HT83" s="7">
        <f>IFERROR(AVERAGEIF('Данные 1st'!$S$2:$S$317,$A83,'Данные 1st'!$RG$2:$RG$317),"")</f>
        <v/>
      </c>
      <c r="HU83" s="7">
        <f>IFERROR(AVERAGEIF('Данные 1st'!$S$2:$S$317,$A83,'Данные 1st'!$RH$2:$RH$317),"")</f>
        <v>1</v>
      </c>
      <c r="HV83" s="7">
        <f>IFERROR(AVERAGEIF('Данные 1st'!$S$2:$S$317,$A83,'Данные 1st'!$RI$2:$RI$317),"")</f>
        <v>1</v>
      </c>
      <c r="HW83" s="7">
        <f>IFERROR(AVERAGEIF('Данные 1st'!$S$2:$S$317,$A83,'Данные 1st'!$RJ$2:$RJ$317),"")</f>
        <v>1</v>
      </c>
      <c r="HX83" s="7">
        <f>IFERROR(AVERAGEIF('Данные 1st'!$S$2:$S$317,$A83,'Данные 1st'!$RK$2:$RK$317),"")</f>
        <v>2</v>
      </c>
      <c r="HY83" s="7">
        <f>IFERROR(AVERAGEIF('Данные 1st'!$S$2:$S$317,$A83,'Данные 1st'!$RL$2:$RL$317),"")</f>
        <v>2.5</v>
      </c>
      <c r="HZ83" s="7">
        <f>IFERROR(AVERAGEIF('Данные 1st'!$S$2:$S$317,$A83,'Данные 1st'!$RM$2:$RM$317),"")</f>
        <v>2.5</v>
      </c>
      <c r="IA83" s="7">
        <f>IFERROR(AVERAGEIF('Данные 1st'!$S$2:$S$317,$A83,'Данные 1st'!$RN$2:$RN$317),"")</f>
        <v/>
      </c>
      <c r="IB83" s="7">
        <f>IFERROR(AVERAGEIF('Данные 1st'!$S$2:$S$317,$A83,'Данные 1st'!$RO$2:$RO$317),"")</f>
        <v>698</v>
      </c>
      <c r="IC83" s="7">
        <f>IFERROR(AVERAGEIF('Данные 1st'!$S$2:$S$317,$A83,'Данные 1st'!$RP$2:$RP$317),"")</f>
        <v>133.5</v>
      </c>
      <c r="ID83" s="7">
        <f>IFERROR(AVERAGEIF('Данные 1st'!$S$2:$S$317,$A83,'Данные 1st'!$RQ$2:$RQ$317),"")</f>
        <v>915.5</v>
      </c>
      <c r="IE83" s="7">
        <f>IFERROR(AVERAGEIF('Данные 1st'!$S$2:$S$317,$A83,'Данные 1st'!$RR$2:$RR$317),"")</f>
        <v>759</v>
      </c>
      <c r="IF83" s="7">
        <f>IFERROR(AVERAGEIF('Данные 1st'!$S$2:$S$317,$A83,'Данные 1st'!$RS$2:$RS$317),"")</f>
        <v/>
      </c>
      <c r="IG83" s="7">
        <f>IFERROR(AVERAGEIF('Данные 1st'!$S$2:$S$317,$A83,'Данные 1st'!$RT$2:$RT$317),"")</f>
        <v>382</v>
      </c>
      <c r="IH83" s="7">
        <f>IFERROR(AVERAGEIF('Данные 1st'!$S$2:$S$317,$A83,'Данные 1st'!$RU$2:$RU$317),"")</f>
        <v>321</v>
      </c>
      <c r="II83" s="7">
        <f>IFERROR(AVERAGEIF('Данные 1st'!$S$2:$S$317,$A83,'Данные 1st'!$RX$2:$RX$317),"")</f>
        <v>15</v>
      </c>
      <c r="IJ83" s="7">
        <f>IFERROR(AVERAGEIF('Данные 1st'!$S$2:$S$317,$A83,'Данные 1st'!$RY$2:$RY$317),"")</f>
        <v>4</v>
      </c>
      <c r="IK83" s="7">
        <f>IFERROR(AVERAGEIF('Данные 1st'!$S$2:$S$317,$A83,'Данные 1st'!$SA$2:$SA$317),"")</f>
        <v>15</v>
      </c>
      <c r="IL83" s="7">
        <f>IFERROR(AVERAGEIF('Данные 1st'!$S$2:$S$317,$A83,'Данные 1st'!$SD$2:$SD$317),"")</f>
        <v>1</v>
      </c>
      <c r="IM83" s="7">
        <f>IFERROR(AVERAGEIF('Данные 1st'!$S$2:$S$317,$A83,'Данные 1st'!$SG$2:$SG$317),"")</f>
        <v>1</v>
      </c>
      <c r="IN83" s="7">
        <f>IFERROR(AVERAGEIF('Данные 1st'!$S$2:$S$317,$A83,'Данные 1st'!$SH$2:$SH$317),"")</f>
        <v>0.995</v>
      </c>
      <c r="IO83" s="7">
        <f>IFERROR(AVERAGEIF('Данные 1st'!$S$2:$S$317,$A83,'Данные 1st'!$SI$2:$SI$317),"")</f>
        <v>0.995</v>
      </c>
      <c r="IP83" s="7">
        <f>IFERROR(AVERAGEIF('Данные 1st'!$S$2:$S$317,$A83,'Данные 1st'!$SJ$2:$SJ$317),"")</f>
        <v>0.995</v>
      </c>
      <c r="IQ83" s="7">
        <f>IFERROR(AVERAGEIF('Данные 1st'!$S$2:$S$317,$A83,'Данные 1st'!$SK$2:$SK$317),"")</f>
        <v>15</v>
      </c>
      <c r="IR83" s="7">
        <f>IFERROR(AVERAGEIF('Данные 1st'!$S$2:$S$317,$A83,'Данные 1st'!$SL$2:$SL$317),"")</f>
        <v>0</v>
      </c>
      <c r="IS83" s="7">
        <f>IFERROR(AVERAGEIF('Данные 1st'!$S$2:$S$317,$A83,'Данные 1st'!$SM$2:$SM$317),"")</f>
        <v>0</v>
      </c>
      <c r="IT83" s="7">
        <f>IFERROR(AVERAGEIF('Данные 1st'!$S$2:$S$317,$A83,'Данные 1st'!$SN$2:$SN$317),"")</f>
        <v>0</v>
      </c>
      <c r="IU83" s="7">
        <f>IFERROR(AVERAGEIF('Данные 1st'!$S$2:$S$317,$A83,'Данные 1st'!$SO$2:$SO$317),"")</f>
        <v>0</v>
      </c>
      <c r="IV83" s="7">
        <f>IFERROR(AVERAGEIF('Данные 1st'!$S$2:$S$317,$A83,'Данные 1st'!$SP$2:$SP$317),"")</f>
        <v>0</v>
      </c>
      <c r="IW83" s="7">
        <f>IFERROR(AVERAGEIF('Данные 1st'!$S$2:$S$317,$A83,'Данные 1st'!$SQ$2:$SQ$317),"")</f>
        <v>0</v>
      </c>
      <c r="IX83" s="7">
        <f>IFERROR(AVERAGEIF('Данные 1st'!$S$2:$S$317,$A83,'Данные 1st'!$SR$2:$SR$317),"")</f>
        <v>0</v>
      </c>
      <c r="IY83" s="7">
        <f>IFERROR(AVERAGEIF('Данные 1st'!$S$2:$S$317,$A83,'Данные 1st'!$SS$2:$SS$317),"")</f>
        <v>0</v>
      </c>
      <c r="IZ83" s="7">
        <f>IFERROR(AVERAGEIF('Данные 1st'!$S$2:$S$317,$A83,'Данные 1st'!$ST$2:$ST$317),"")</f>
        <v>0</v>
      </c>
      <c r="JA83" s="7">
        <f>IFERROR(AVERAGEIF('Данные 1st'!$S$2:$S$317,$A83,'Данные 1st'!$SU$2:$SU$317),"")</f>
        <v>0</v>
      </c>
      <c r="JB83" s="7">
        <f>IFERROR(AVERAGEIF('Данные 1st'!$S$2:$S$317,$A83,'Данные 1st'!$SV$2:$SV$317),"")</f>
        <v>0</v>
      </c>
      <c r="JC83" s="7">
        <f>IFERROR(AVERAGEIF('Данные 1st'!$S$2:$S$317,$A83,'Данные 1st'!$SW$2:$SW$317),"")</f>
        <v>0</v>
      </c>
      <c r="JD83" s="7">
        <f>IFERROR(AVERAGEIF('Данные 1st'!$S$2:$S$317,$A83,'Данные 1st'!$SX$2:$SX$317),"")</f>
        <v>0</v>
      </c>
      <c r="JE83" s="7">
        <f>IFERROR(AVERAGEIF('Данные 1st'!$S$2:$S$317,$A83,'Данные 1st'!$SY$2:$SY$317),"")</f>
        <v>1</v>
      </c>
      <c r="JF83" s="7">
        <f>IFERROR(AVERAGEIF('Данные 1st'!$S$2:$S$317,$A83,'Данные 1st'!$SZ$2:$SZ$317),"")</f>
        <v>1</v>
      </c>
      <c r="JG83" s="7">
        <f>IFERROR(AVERAGEIF('Данные 1st'!$S$2:$S$317,$A83,'Данные 1st'!$TA$2:$TA$317),"")</f>
        <v/>
      </c>
      <c r="JH83" s="7">
        <f>IFERROR(AVERAGEIF('Данные 1st'!$S$2:$S$317,$A83,'Данные 1st'!$TB$2:$TB$317),"")</f>
        <v>0</v>
      </c>
      <c r="JI83" s="7">
        <f>IFERROR(AVERAGEIF('Данные 1st'!$S$2:$S$317,$A83,'Данные 1st'!$TC$2:$TC$317),"")</f>
        <v>0</v>
      </c>
      <c r="JJ83" s="7">
        <f>IFERROR(AVERAGEIF('Данные 1st'!$S$2:$S$317,$A83,'Данные 1st'!$TD$2:$TD$317),"")</f>
        <v>8.45</v>
      </c>
      <c r="JK83" s="7">
        <f>IFERROR(AVERAGEIF('Данные 1st'!$S$2:$S$317,$A83,'Данные 1st'!$TN$2:$TN$317),"")</f>
        <v>0</v>
      </c>
      <c r="JL83">
        <f>COUNTIF('Данные 2st'!$Q$2:$Q$317,$A83)</f>
        <v>2</v>
      </c>
      <c r="JM83" s="6" t="s">
        <v>5120</v>
      </c>
      <c r="JN83" s="6" t="s">
        <v>513</v>
      </c>
      <c r="JO83" s="6" t="s">
        <v>517</v>
      </c>
      <c r="JP83" s="6" t="s">
        <v>5524</v>
      </c>
      <c r="JQ83" s="7">
        <f>IFERROR(AVERAGEIF('Данные 2st'!$Q$2:$Q$317,$A83,'Данные 2st'!$AC$2:$AC$317),"")</f>
        <v>12</v>
      </c>
      <c r="JR83" s="7">
        <f>IFERROR(AVERAGEIF('Данные 2st'!$Q$2:$Q$317,$A83,'Данные 2st'!$AF$2:$AF$317),"")</f>
        <v>7569</v>
      </c>
      <c r="JS83" s="7">
        <f>IFERROR(AVERAGEIF('Данные 2st'!$Q$2:$Q$317,$A83,'Данные 2st'!$AW$2:$AW$317),"")</f>
        <v>6.4</v>
      </c>
      <c r="JT83" s="7">
        <f>IFERROR(AVERAGEIF('Данные 2st'!$Q$2:$Q$317,$A83,'Данные 2st'!$AX$2:$AX$317),"")</f>
        <v>-9</v>
      </c>
      <c r="JU83" s="7">
        <f>IFERROR(AVERAGEIF('Данные 2st'!$Q$2:$Q$317,$A83,'Данные 2st'!$AY$2:$AY$317),"")</f>
        <v>119</v>
      </c>
      <c r="JV83" s="7">
        <f>IFERROR(AVERAGEIF('Данные 2st'!$Q$2:$Q$317,$A83,'Данные 2st'!$AZ$2:$AZ$317),"")</f>
        <v>93.5</v>
      </c>
      <c r="JW83" s="7">
        <f>IFERROR(AVERAGEIF('Данные 2st'!$Q$2:$Q$317,$A83,'Данные 2st'!$BA$2:$BA$317),"")</f>
        <v/>
      </c>
      <c r="JX83" s="7">
        <f>IFERROR(AVERAGEIF('Данные 2st'!$Q$2:$Q$317,$A83,'Данные 2st'!$BB$2:$BB$317),"")</f>
        <v/>
      </c>
      <c r="JY83" s="7">
        <f>IFERROR(AVERAGEIF('Данные 2st'!$Q$2:$Q$317,$A83,'Данные 2st'!$BC$2:$BC$317),"")</f>
        <v/>
      </c>
      <c r="JZ83" s="7">
        <f>IFERROR(AVERAGEIF('Данные 2st'!$Q$2:$Q$317,$A83,'Данные 2st'!$BH$2:$BH$317),"")</f>
        <v>119</v>
      </c>
      <c r="KA83" s="7">
        <f>IFERROR(AVERAGEIF('Данные 2st'!$Q$2:$Q$317,$A83,'Данные 2st'!$BI$2:$BI$317),"")</f>
        <v>25.5</v>
      </c>
      <c r="KB83" s="7">
        <f>IFERROR(AVERAGEIF('Данные 2st'!$Q$2:$Q$317,$A83,'Данные 2st'!$BJ$2:$BJ$317),"")</f>
        <v>93.5</v>
      </c>
      <c r="KC83" s="7">
        <f>IFERROR(AVERAGEIF('Данные 2st'!$Q$2:$Q$317,$A83,'Данные 2st'!$BK$2:$BK$317),"")</f>
        <v>2.75</v>
      </c>
      <c r="KD83" s="7">
        <f>IFERROR(AVERAGEIF('Данные 2st'!$Q$2:$Q$317,$A83,'Данные 2st'!$BL$2:$BL$317),"")</f>
        <v>238</v>
      </c>
      <c r="KE83" s="7">
        <f>IFERROR(AVERAGEIF('Данные 2st'!$Q$2:$Q$317,$A83,'Данные 2st'!$BM$2:$BM$317),"")</f>
        <v>-9</v>
      </c>
      <c r="KF83" s="7">
        <f>IFERROR(AVERAGEIF('Данные 2st'!$Q$2:$Q$317,$A83,'Данные 2st'!$BN$2:$BN$317),"")</f>
        <v>0</v>
      </c>
      <c r="KG83" s="7">
        <f>IFERROR(AVERAGEIF('Данные 2st'!$Q$2:$Q$317,$A83,'Данные 2st'!$BO$2:$BO$317),"")</f>
        <v>0</v>
      </c>
      <c r="KH83" s="7">
        <f>IFERROR(AVERAGEIF('Данные 2st'!$Q$2:$Q$317,$A83,'Данные 2st'!$BP$2:$BP$317),"")</f>
        <v>0</v>
      </c>
      <c r="KI83" s="7">
        <f>IFERROR(AVERAGEIF('Данные 2st'!$Q$2:$Q$317,$A83,'Данные 2st'!$BR$2:$BR$317),"")</f>
        <v>232.5</v>
      </c>
      <c r="KJ83" s="7">
        <f>IFERROR(AVERAGEIF('Данные 2st'!$Q$2:$Q$317,$A83,'Данные 2st'!$BS$2:$BS$317),"")</f>
        <v>222.5</v>
      </c>
      <c r="KK83" s="7">
        <f>IFERROR(AVERAGEIF('Данные 2st'!$Q$2:$Q$317,$A83,'Данные 2st'!$BT$2:$BT$317),"")</f>
        <v>2370</v>
      </c>
      <c r="KL83" s="7">
        <f>IFERROR(AVERAGEIF('Данные 2st'!$Q$2:$Q$317,$A83,'Данные 2st'!$CV$2:$CV$317),"")</f>
        <v>151.5</v>
      </c>
      <c r="KM83" s="7">
        <f>IFERROR(AVERAGEIF('Данные 2st'!$Q$2:$Q$317,$A83,'Данные 2st'!$CW$2:$CW$317),"")</f>
        <v>3</v>
      </c>
      <c r="KN83" s="7">
        <f>IFERROR(AVERAGEIF('Данные 2st'!$Q$2:$Q$317,$A83,'Данные 2st'!$CX$2:$CX$317),"")</f>
        <v>114</v>
      </c>
      <c r="KO83" s="7">
        <f>IFERROR(AVERAGEIF('Данные 2st'!$Q$2:$Q$317,$A83,'Данные 2st'!$CY$2:$CY$317),"")</f>
        <v>5</v>
      </c>
      <c r="KP83" s="7">
        <f>IFERROR(AVERAGEIF('Данные 2st'!$Q$2:$Q$317,$A83,'Данные 2st'!$CZ$2:$CZ$317),"")</f>
        <v>177</v>
      </c>
      <c r="KQ83" s="7">
        <f>IFERROR(AVERAGEIF('Данные 2st'!$Q$2:$Q$317,$A83,'Данные 2st'!$DA$2:$DA$317),"")</f>
        <v>5</v>
      </c>
      <c r="KR83" s="7">
        <f>IFERROR(AVERAGEIF('Данные 2st'!$Q$2:$Q$317,$A83,'Данные 2st'!$DB$2:$DB$317),"")</f>
        <v>17995</v>
      </c>
      <c r="KS83" s="7">
        <f>IFERROR(AVERAGEIF('Данные 2st'!$Q$2:$Q$317,$A83,'Данные 2st'!$DC$2:$DC$317),"")</f>
        <v>535</v>
      </c>
      <c r="KT83" s="7">
        <f>IFERROR(AVERAGEIF('Данные 2st'!$Q$2:$Q$317,$A83,'Данные 2st'!$DD$2:$DD$317),"")</f>
        <v>401</v>
      </c>
      <c r="KU83" s="7">
        <f>IFERROR(AVERAGEIF('Данные 2st'!$Q$2:$Q$317,$A83,'Данные 2st'!$DE$2:$DE$317),"")</f>
        <v>2505</v>
      </c>
      <c r="KV83" s="7">
        <f>IFERROR(AVERAGEIF('Данные 2st'!$Q$2:$Q$317,$A83,'Данные 2st'!$DF$2:$DF$317),"")</f>
        <v>2505</v>
      </c>
      <c r="KW83" s="7">
        <f>IFERROR(AVERAGEIF('Данные 2st'!$Q$2:$Q$317,$A83,'Данные 2st'!$DG$2:$DG$317),"")</f>
        <v>2520.5</v>
      </c>
      <c r="KX83" s="7">
        <f>IFERROR(AVERAGEIF('Данные 2st'!$Q$2:$Q$317,$A83,'Данные 2st'!$DH$2:$DH$317),"")</f>
        <v>2.5</v>
      </c>
      <c r="KY83" s="7">
        <f>IFERROR(AVERAGEIF('Данные 2st'!$Q$2:$Q$317,$A83,'Данные 2st'!$DI$2:$DI$317),"")</f>
        <v/>
      </c>
      <c r="KZ83" s="7">
        <f>IFERROR(AVERAGEIF('Данные 2st'!$Q$2:$Q$317,$A83,'Данные 2st'!$DK$2:$DK$317),"")</f>
        <v>232.5</v>
      </c>
      <c r="LA83" s="7">
        <f>IFERROR(AVERAGEIF('Данные 2st'!$Q$2:$Q$317,$A83,'Данные 2st'!$DM$2:$DM$317),"")</f>
        <v>64</v>
      </c>
      <c r="LB83" s="7">
        <f>IFERROR(AVERAGEIF('Данные 2st'!$Q$2:$Q$317,$A83,'Данные 2st'!$DN$2:$DN$317),"")</f>
        <v>1.31</v>
      </c>
      <c r="LC83" s="7">
        <f>IFERROR(AVERAGEIF('Данные 2st'!$Q$2:$Q$317,$A83,'Данные 2st'!$DO$2:$DO$317),"")</f>
        <v>1</v>
      </c>
      <c r="LD83" s="7">
        <f>IFERROR(AVERAGEIF('Данные 2st'!$Q$2:$Q$317,$A83,'Данные 2st'!$DP$2:$DP$317),"")</f>
        <v>2374</v>
      </c>
      <c r="LE83" s="7">
        <f>IFERROR(AVERAGEIF('Данные 2st'!$Q$2:$Q$317,$A83,'Данные 2st'!$DQ$2:$DQ$317),"")</f>
        <v>1360.5</v>
      </c>
      <c r="LF83" s="7">
        <f>IFERROR(AVERAGEIF('Данные 2st'!$Q$2:$Q$317,$A83,'Данные 2st'!$DS$2:$DS$317),"")</f>
        <v>222.5</v>
      </c>
      <c r="LG83" s="7">
        <f>IFERROR(AVERAGEIF('Данные 2st'!$Q$2:$Q$317,$A83,'Данные 2st'!$DU$2:$DU$317),"")</f>
        <v>64</v>
      </c>
      <c r="LH83" s="7">
        <f>IFERROR(AVERAGEIF('Данные 2st'!$Q$2:$Q$317,$A83,'Данные 2st'!$DV$2:$DV$317),"")</f>
        <v>1.31</v>
      </c>
      <c r="LI83" s="7">
        <f>IFERROR(AVERAGEIF('Данные 2st'!$Q$2:$Q$317,$A83,'Данные 2st'!$DW$2:$DW$317),"")</f>
        <v>1</v>
      </c>
      <c r="LJ83" s="7">
        <f>IFERROR(AVERAGEIF('Данные 2st'!$Q$2:$Q$317,$A83,'Данные 2st'!$DX$2:$DX$317),"")</f>
        <v>2387.5</v>
      </c>
      <c r="LK83" s="7">
        <f>IFERROR(AVERAGEIF('Данные 2st'!$Q$2:$Q$317,$A83,'Данные 2st'!$DY$2:$DY$317),"")</f>
        <v>1309.5</v>
      </c>
      <c r="LL83" s="7">
        <f>IFERROR(AVERAGEIF('Данные 2st'!$Q$2:$Q$317,$A83,'Данные 2st'!$EA$2:$EA$317),"")</f>
        <v>20</v>
      </c>
      <c r="LM83" s="7">
        <f>IFERROR(AVERAGEIF('Данные 2st'!$Q$2:$Q$317,$A83,'Данные 2st'!$EC$2:$EC$317),"")</f>
        <v>0.8</v>
      </c>
      <c r="LN83" s="7">
        <f>IFERROR(AVERAGEIF('Данные 2st'!$Q$2:$Q$317,$A83,'Данные 2st'!$ED$2:$ED$317),"")</f>
        <v>2374</v>
      </c>
      <c r="LO83" s="7">
        <f>IFERROR(AVERAGEIF('Данные 2st'!$Q$2:$Q$317,$A83,'Данные 2st'!$EE$2:$EE$317),"")</f>
        <v>83</v>
      </c>
      <c r="LP83" s="7">
        <f>IFERROR(AVERAGEIF('Данные 2st'!$Q$2:$Q$317,$A83,'Данные 2st'!$EG$2:$EG$317),"")</f>
        <v>0</v>
      </c>
      <c r="LQ83" s="7">
        <f>IFERROR(AVERAGEIF('Данные 2st'!$Q$2:$Q$317,$A83,'Данные 2st'!$EI$2:$EI$317),"")</f>
        <v>0</v>
      </c>
      <c r="LR83" s="7">
        <f>IFERROR(AVERAGEIF('Данные 2st'!$Q$2:$Q$317,$A83,'Данные 2st'!$EJ$2:$EJ$317),"")</f>
        <v/>
      </c>
      <c r="LS83" s="7">
        <f>IFERROR(AVERAGEIF('Данные 2st'!$Q$2:$Q$317,$A83,'Данные 2st'!$EK$2:$EK$317),"")</f>
        <v/>
      </c>
      <c r="LT83" s="7">
        <f>IFERROR(AVERAGEIF('Данные 2st'!$Q$2:$Q$317,$A83,'Данные 2st'!$EM$2:$EM$317),"")</f>
        <v>12</v>
      </c>
      <c r="LU83" s="7">
        <f>IFERROR(AVERAGEIF('Данные 2st'!$Q$2:$Q$317,$A83,'Данные 2st'!$EN$2:$EN$317),"")</f>
        <v>0.5</v>
      </c>
      <c r="LV83" s="7">
        <f>IFERROR(AVERAGEIF('Данные 2st'!$Q$2:$Q$317,$A83,'Данные 2st'!$EO$2:$EO$317),"")</f>
        <v>0.96</v>
      </c>
      <c r="LW83" s="7">
        <f>IFERROR(AVERAGEIF('Данные 2st'!$Q$2:$Q$317,$A83,'Данные 2st'!$EP$2:$EP$317),"")</f>
        <v>2386.4700000000003</v>
      </c>
      <c r="LX83" s="7">
        <f>IFERROR(AVERAGEIF('Данные 2st'!$Q$2:$Q$317,$A83,'Данные 2st'!$EQ$2:$EQ$317),"")</f>
        <v>47729.600000000006</v>
      </c>
      <c r="LY83" s="7">
        <f>IFERROR(AVERAGEIF('Данные 2st'!$Q$2:$Q$317,$A83,'Данные 2st'!$ER$2:$ER$317),"")</f>
        <v>9532.18</v>
      </c>
      <c r="LZ83" s="7">
        <f>IFERROR(AVERAGEIF('Данные 2st'!$Q$2:$Q$317,$A83,'Данные 2st'!$ES$2:$ES$317),"")</f>
        <v>0</v>
      </c>
      <c r="MA83" s="7">
        <f>IFERROR(AVERAGEIF('Данные 2st'!$Q$2:$Q$317,$A83,'Данные 2st'!$ET$2:$ET$317),"")</f>
        <v>0</v>
      </c>
      <c r="MB83" s="7">
        <f>IFERROR(AVERAGEIF('Данные 2st'!$Q$2:$Q$317,$A83,'Данные 2st'!$EU$2:$EU$317),"")</f>
        <v>1</v>
      </c>
      <c r="MC83" s="7">
        <f>IFERROR(AVERAGEIF('Данные 2st'!$Q$2:$Q$317,$A83,'Данные 2st'!$EV$2:$EV$317),"")</f>
        <v>57262.5</v>
      </c>
      <c r="MD83" s="7">
        <f>IFERROR(AVERAGEIF('Данные 2st'!$Q$2:$Q$317,$A83,'Данные 2st'!$EW$2:$EW$317),"")</f>
        <v>688</v>
      </c>
      <c r="ME83" s="7">
        <f>IFERROR(AVERAGEIF('Данные 2st'!$Q$2:$Q$317,$A83,'Данные 2st'!$EY$2:$EY$317),"")</f>
        <v>265</v>
      </c>
      <c r="MF83" s="7">
        <f>IFERROR(AVERAGEIF('Данные 2st'!$Q$2:$Q$317,$A83,'Данные 2st'!$FA$2:$FA$317),"")</f>
        <v>4.6</v>
      </c>
      <c r="MG83" s="7">
        <f>IFERROR(AVERAGEIF('Данные 2st'!$Q$2:$Q$317,$A83,'Данные 2st'!$FB$2:$FB$317),"")</f>
        <v>1</v>
      </c>
      <c r="MH83" s="7">
        <f>IFERROR(AVERAGEIF('Данные 2st'!$Q$2:$Q$317,$A83,'Данные 2st'!$FC$2:$FC$317),"")</f>
        <v>1</v>
      </c>
      <c r="MI83" s="7">
        <f>IFERROR(AVERAGEIF('Данные 2st'!$Q$2:$Q$317,$A83,'Данные 2st'!$FD$2:$FD$317),"")</f>
        <v>2421</v>
      </c>
      <c r="MJ83" s="7">
        <f>IFERROR(AVERAGEIF('Данные 2st'!$Q$2:$Q$317,$A83,'Данные 2st'!$FE$2:$FE$317),"")</f>
        <v>3593.5</v>
      </c>
      <c r="MK83" s="7">
        <f>IFERROR(AVERAGEIF('Данные 2st'!$Q$2:$Q$317,$A83,'Данные 2st'!$FG$2:$FG$317),"")</f>
        <v>265</v>
      </c>
      <c r="ML83" s="7">
        <f>IFERROR(AVERAGEIF('Данные 2st'!$Q$2:$Q$317,$A83,'Данные 2st'!$FI$2:$FI$317),"")</f>
        <v>3.8499999999999996</v>
      </c>
      <c r="MM83" s="7">
        <f>IFERROR(AVERAGEIF('Данные 2st'!$Q$2:$Q$317,$A83,'Данные 2st'!$FJ$2:$FJ$317),"")</f>
        <v>2421</v>
      </c>
      <c r="MN83" s="7">
        <f>IFERROR(AVERAGEIF('Данные 2st'!$Q$2:$Q$317,$A83,'Данные 2st'!$FK$2:$FK$317),"")</f>
        <v>2803.5</v>
      </c>
      <c r="MO83" s="7">
        <f>IFERROR(AVERAGEIF('Данные 2st'!$Q$2:$Q$317,$A83,'Данные 2st'!$FP$2:$FP$317),"")</f>
        <v>2421</v>
      </c>
      <c r="MP83" s="7">
        <f>IFERROR(AVERAGEIF('Данные 2st'!$Q$2:$Q$317,$A83,'Данные 2st'!$FQ$2:$FQ$317),"")</f>
        <v>266.5</v>
      </c>
      <c r="MQ83" s="7">
        <f>IFERROR(AVERAGEIF('Данные 2st'!$Q$2:$Q$317,$A83,'Данные 2st'!$FS$2:$FS$317),"")</f>
        <v>269</v>
      </c>
      <c r="MR83" s="7">
        <f>IFERROR(AVERAGEIF('Данные 2st'!$Q$2:$Q$317,$A83,'Данные 2st'!$FU$2:$FU$317),"")</f>
        <v>0.4</v>
      </c>
      <c r="MS83" s="7">
        <f>IFERROR(AVERAGEIF('Данные 2st'!$Q$2:$Q$317,$A83,'Данные 2st'!$FV$2:$FV$317),"")</f>
        <v>2421</v>
      </c>
      <c r="MT83" s="7">
        <f>IFERROR(AVERAGEIF('Данные 2st'!$Q$2:$Q$317,$A83,'Данные 2st'!$FW$2:$FW$317),"")</f>
        <v>289.5</v>
      </c>
      <c r="MU83" s="7">
        <f>IFERROR(AVERAGEIF('Данные 2st'!$Q$2:$Q$317,$A83,'Данные 2st'!$FY$2:$FY$317),"")</f>
        <v>5</v>
      </c>
      <c r="MV83" s="7">
        <f>IFERROR(AVERAGEIF('Данные 2st'!$Q$2:$Q$317,$A83,'Данные 2st'!$GB$2:$GB$317),"")</f>
        <v>2421</v>
      </c>
      <c r="MW83" s="7">
        <f>IFERROR(AVERAGEIF('Данные 2st'!$Q$2:$Q$317,$A83,'Данные 2st'!$GC$2:$GC$317),"")</f>
        <v>24.5</v>
      </c>
      <c r="MX83" s="7">
        <f>IFERROR(AVERAGEIF('Данные 2st'!$Q$2:$Q$317,$A83,'Данные 2st'!$GD$2:$GD$317),"")</f>
        <v>6977.5</v>
      </c>
      <c r="MY83" s="7">
        <f>IFERROR(AVERAGEIF('Данные 2st'!$Q$2:$Q$317,$A83,'Данные 2st'!$GN$2:$GN$317),"")</f>
        <v/>
      </c>
      <c r="MZ83" s="7">
        <f>IFERROR(AVERAGEIF('Данные 2st'!$Q$2:$Q$317,$A83,'Данные 2st'!$GQ$2:$GQ$317),"")</f>
        <v>0</v>
      </c>
      <c r="NA83" s="7">
        <f>IFERROR(AVERAGEIF('Данные 2st'!$Q$2:$Q$317,$A83,'Данные 2st'!$GV$2:$GV$317),"")</f>
        <v>8.85</v>
      </c>
      <c r="NB83" s="7">
        <f>IFERROR(AVERAGEIF('Данные 2st'!$Q$2:$Q$317,$A83,'Данные 2st'!$GW$2:$GW$317),"")</f>
        <v>11.75</v>
      </c>
      <c r="NC83" s="7">
        <f>IFERROR(AVERAGEIF('Данные 2st'!$Q$2:$Q$317,$A83,'Данные 2st'!$GX$2:$GX$317),"")</f>
        <v>0.5</v>
      </c>
      <c r="ND83" s="7">
        <f>IFERROR(AVERAGEIF('Данные 2st'!$Q$2:$Q$317,$A83,'Данные 2st'!$GY$2:$GY$317),"")</f>
        <v>228</v>
      </c>
      <c r="NE83" s="7">
        <f>IFERROR(AVERAGEIF('Данные 2st'!$Q$2:$Q$317,$A83,'Данные 2st'!$GZ$2:$GZ$317),"")</f>
        <v>3</v>
      </c>
      <c r="NF83" s="7">
        <f>IFERROR(AVERAGEIF('Данные 2st'!$Q$2:$Q$317,$A83,'Данные 2st'!$HA$2:$HA$317),"")</f>
        <v>289</v>
      </c>
      <c r="NG83" s="7">
        <f>IFERROR(AVERAGEIF('Данные 2st'!$Q$2:$Q$317,$A83,'Данные 2st'!$HB$2:$HB$317),"")</f>
        <v>3</v>
      </c>
      <c r="NH83" s="7">
        <f>IFERROR(AVERAGEIF('Данные 2st'!$Q$2:$Q$317,$A83,'Данные 2st'!$HC$2:$HC$317),"")</f>
        <v>2421</v>
      </c>
      <c r="NI83" s="7">
        <f>IFERROR(AVERAGEIF('Данные 2st'!$Q$2:$Q$317,$A83,'Данные 2st'!$HD$2:$HD$317),"")</f>
        <v>4</v>
      </c>
      <c r="NJ83" s="7">
        <f>IFERROR(AVERAGEIF('Данные 2st'!$Q$2:$Q$317,$A83,'Данные 2st'!$HM$2:$HM$317),"")</f>
        <v>20</v>
      </c>
      <c r="NK83" s="7">
        <f>IFERROR(AVERAGEIF('Данные 2st'!$Q$2:$Q$317,$A83,'Данные 2st'!$HR$2:$HR$317),"")</f>
        <v>2</v>
      </c>
      <c r="NL83" s="7">
        <f>IFERROR(AVERAGEIF('Данные 2st'!$Q$2:$Q$317,$A83,'Данные 2st'!$HS$2:$HS$317),"")</f>
        <v>2370</v>
      </c>
      <c r="NM83" s="7">
        <f>IFERROR(AVERAGEIF('Данные 2st'!$Q$2:$Q$317,$A83,'Данные 2st'!$HT$2:$HT$317),"")</f>
        <v>5</v>
      </c>
      <c r="NN83" s="7">
        <f>IFERROR(AVERAGEIF('Данные 2st'!$Q$2:$Q$317,$A83,'Данные 2st'!$HY$2:$HY$317),"")</f>
        <v>0</v>
      </c>
      <c r="NO83" s="7">
        <f>IFERROR(AVERAGEIF('Данные 2st'!$Q$2:$Q$317,$A83,'Данные 2st'!$HZ$2:$HZ$317),"")</f>
        <v>64</v>
      </c>
      <c r="NP83" s="7">
        <f>IFERROR(AVERAGEIF('Данные 2st'!$Q$2:$Q$317,$A83,'Данные 2st'!$IA$2:$IA$317),"")</f>
        <v>2374</v>
      </c>
      <c r="NQ83" s="7">
        <f>IFERROR(AVERAGEIF('Данные 2st'!$Q$2:$Q$317,$A83,'Данные 2st'!$IB$2:$IB$317),"")</f>
        <v>2387.5</v>
      </c>
      <c r="NR83" s="7">
        <f>IFERROR(AVERAGEIF('Данные 2st'!$Q$2:$Q$317,$A83,'Данные 2st'!$IC$2:$IC$317),"")</f>
        <v/>
      </c>
      <c r="NS83" s="7">
        <f>IFERROR(AVERAGEIF('Данные 2st'!$Q$2:$Q$317,$A83,'Данные 2st'!$ID$2:$ID$317),"")</f>
        <v>2421</v>
      </c>
      <c r="NT83" s="7">
        <f>IFERROR(AVERAGEIF('Данные 2st'!$Q$2:$Q$317,$A83,'Данные 2st'!$IE$2:$IE$317),"")</f>
        <v>2421</v>
      </c>
      <c r="NU83" s="7">
        <f>IFERROR(AVERAGEIF('Данные 2st'!$Q$2:$Q$317,$A83,'Данные 2st'!$IF$2:$IF$317),"")</f>
        <v>232.5</v>
      </c>
      <c r="NV83" s="7">
        <f>IFERROR(AVERAGEIF('Данные 2st'!$Q$2:$Q$317,$A83,'Данные 2st'!$IG$2:$IG$317),"")</f>
        <v>222.5</v>
      </c>
      <c r="NW83" s="7">
        <f>IFERROR(AVERAGEIF('Данные 2st'!$Q$2:$Q$317,$A83,'Данные 2st'!$IH$2:$IH$317),"")</f>
        <v>289</v>
      </c>
      <c r="NX83" s="7">
        <f>IFERROR(AVERAGEIF('Данные 2st'!$Q$2:$Q$317,$A83,'Данные 2st'!$IJ$2:$IJ$317),"")</f>
        <v>5</v>
      </c>
      <c r="NY83" s="7">
        <f>IFERROR(AVERAGEIF('Данные 2st'!$Q$2:$Q$317,$A83,'Данные 2st'!$IM$2:$IM$317),"")</f>
        <v>0</v>
      </c>
      <c r="NZ83" s="7">
        <f>IFERROR(AVERAGEIF('Данные 2st'!$Q$2:$Q$317,$A83,'Данные 2st'!$IN$2:$IN$317),"")</f>
        <v>270</v>
      </c>
      <c r="OA83" s="7">
        <f>IFERROR(AVERAGEIF('Данные 2st'!$Q$2:$Q$317,$A83,'Данные 2st'!$IO$2:$IO$317),"")</f>
        <v>0</v>
      </c>
      <c r="OB83" s="7">
        <f>IFERROR(AVERAGEIF('Данные 2st'!$Q$2:$Q$317,$A83,'Данные 2st'!$IP$2:$IP$317),"")</f>
        <v>180</v>
      </c>
      <c r="OC83" s="7">
        <f>IFERROR(AVERAGEIF('Данные 2st'!$Q$2:$Q$317,$A83,'Данные 2st'!$IQ$2:$IQ$317),"")</f>
        <v>0</v>
      </c>
      <c r="OD83" s="7">
        <f>IFERROR(AVERAGEIF('Данные 2st'!$Q$2:$Q$317,$A83,'Данные 2st'!$IR$2:$IR$317),"")</f>
        <v>330</v>
      </c>
      <c r="OE83" s="7">
        <f>IFERROR(AVERAGEIF('Данные 2st'!$Q$2:$Q$317,$A83,'Данные 2st'!$IT$2:$IT$317),"")</f>
        <v>90</v>
      </c>
      <c r="OF83" s="7">
        <f>IFERROR(AVERAGEIF('Данные 2st'!$Q$2:$Q$317,$A83,'Данные 2st'!$IU$2:$IU$317),"")</f>
        <v>0</v>
      </c>
      <c r="OG83" s="7">
        <f>IFERROR(AVERAGEIF('Данные 2st'!$Q$2:$Q$317,$A83,'Данные 2st'!$IV$2:$IV$317),"")</f>
        <v>6.4</v>
      </c>
      <c r="OH83" s="7">
        <f>IFERROR(AVERAGEIF('Данные 2st'!$Q$2:$Q$317,$A83,'Данные 2st'!$IW$2:$IW$317),"")</f>
        <v>-9</v>
      </c>
      <c r="OI83" s="7">
        <f>IFERROR(AVERAGEIF('Данные 2st'!$Q$2:$Q$317,$A83,'Данные 2st'!$IX$2:$IX$317),"")</f>
        <v>119</v>
      </c>
      <c r="OJ83" s="7">
        <f>IFERROR(AVERAGEIF('Данные 2st'!$Q$2:$Q$317,$A83,'Данные 2st'!$IY$2:$IY$317),"")</f>
        <v>93.5</v>
      </c>
      <c r="OK83" s="7">
        <f>IFERROR(AVERAGEIF('Данные 2st'!$Q$2:$Q$317,$A83,'Данные 2st'!$IZ$2:$IZ$317),"")</f>
        <v>0</v>
      </c>
      <c r="OL83" s="7">
        <f>IFERROR(AVERAGEIF('Данные 2st'!$Q$2:$Q$317,$A83,'Данные 2st'!$JA$2:$JA$317),"")</f>
        <v>0</v>
      </c>
      <c r="OM83" s="7">
        <f>IFERROR(AVERAGEIF('Данные 2st'!$Q$2:$Q$317,$A83,'Данные 2st'!$JB$2:$JB$317),"")</f>
        <v>0</v>
      </c>
      <c r="ON83" s="7">
        <f>IFERROR(AVERAGEIF('Данные 2st'!$Q$2:$Q$317,$A83,'Данные 2st'!$JC$2:$JC$317),"")</f>
        <v>0</v>
      </c>
      <c r="OO83" s="7">
        <f>IFERROR(AVERAGEIF('Данные 2st'!$Q$2:$Q$317,$A83,'Данные 2st'!$JD$2:$JD$317),"")</f>
        <v>0</v>
      </c>
      <c r="OP83" s="7">
        <f>IFERROR(AVERAGEIF('Данные 2st'!$Q$2:$Q$317,$A83,'Данные 2st'!$JE$2:$JE$317),"")</f>
        <v>0</v>
      </c>
      <c r="OQ83" s="7">
        <f>IFERROR(AVERAGEIF('Данные 2st'!$Q$2:$Q$317,$A83,'Данные 2st'!$JF$2:$JF$317),"")</f>
        <v>0</v>
      </c>
      <c r="OR83" s="7">
        <f>IFERROR(AVERAGEIF('Данные 2st'!$Q$2:$Q$317,$A83,'Данные 2st'!$JG$2:$JG$317),"")</f>
        <v>0</v>
      </c>
      <c r="OS83" s="7">
        <f>IFERROR(AVERAGEIF('Данные 2st'!$Q$2:$Q$317,$A83,'Данные 2st'!$JH$2:$JH$317),"")</f>
        <v>0</v>
      </c>
      <c r="OT83" s="7">
        <f>IFERROR(AVERAGEIF('Данные 2st'!$Q$2:$Q$317,$A83,'Данные 2st'!$JI$2:$JI$317),"")</f>
        <v>475</v>
      </c>
      <c r="OU83" s="7">
        <f>IFERROR(AVERAGEIF('Данные 2st'!$Q$2:$Q$317,$A83,'Данные 2st'!$JJ$2:$JJ$317),"")</f>
        <v>445</v>
      </c>
      <c r="OV83" s="7">
        <f>IFERROR(AVERAGEIF('Данные 2st'!$Q$2:$Q$317,$A83,'Данные 2st'!$JK$2:$JK$317),"")</f>
        <v>330</v>
      </c>
      <c r="OW83" s="7">
        <f>IFERROR(AVERAGEIF('Данные 2st'!$Q$2:$Q$317,$A83,'Данные 2st'!$JL$2:$JL$317),"")</f>
        <v>441</v>
      </c>
      <c r="OX83" s="7">
        <f>IFERROR(AVERAGEIF('Данные 2st'!$Q$2:$Q$317,$A83,'Данные 2st'!$JM$2:$JM$317),"")</f>
        <v>327.5</v>
      </c>
      <c r="OY83" s="7">
        <f>IFERROR(AVERAGEIF('Данные 2st'!$Q$2:$Q$317,$A83,'Данные 2st'!$JP$2:$JP$317),"")</f>
        <v>160</v>
      </c>
      <c r="OZ83" s="7">
        <f>IFERROR(AVERAGEIF('Данные 2st'!$Q$2:$Q$317,$A83,'Данные 2st'!$JQ$2:$JQ$317),"")</f>
        <v>205</v>
      </c>
      <c r="PA83" s="7">
        <f>IFERROR(AVERAGEIF('Данные 2st'!$Q$2:$Q$317,$A83,'Данные 2st'!$JR$2:$JR$317),"")</f>
        <v>315.5</v>
      </c>
      <c r="PB83" s="7">
        <f>IFERROR(AVERAGEIF('Данные 2st'!$Q$2:$Q$317,$A83,'Данные 2st'!$JS$2:$JS$317),"")</f>
        <v>235</v>
      </c>
      <c r="PC83" s="7">
        <f>IFERROR(AVERAGEIF('Данные 2st'!$Q$2:$Q$317,$A83,'Данные 2st'!$JT$2:$JT$317),"")</f>
        <v>0</v>
      </c>
      <c r="PD83" s="7">
        <f>IFERROR(AVERAGEIF('Данные 2st'!$Q$2:$Q$317,$A83,'Данные 2st'!$JU$2:$JU$317),"")</f>
        <v>0</v>
      </c>
      <c r="PE83" s="7">
        <f>IFERROR(AVERAGEIF('Данные 2st'!$Q$2:$Q$317,$A83,'Данные 2st'!$JV$2:$JV$317),"")</f>
        <v>300</v>
      </c>
      <c r="PF83" s="7">
        <f>IFERROR(AVERAGEIF('Данные 2st'!$Q$2:$Q$317,$A83,'Данные 2st'!$JW$2:$JW$317),"")</f>
        <v>290</v>
      </c>
      <c r="PG83" s="7">
        <f>IFERROR(AVERAGEIF('Данные 2st'!$Q$2:$Q$317,$A83,'Данные 2st'!$KF$2:$KF$317),"")</f>
        <v>0.185</v>
      </c>
      <c r="PH83" s="7">
        <f>IFERROR(AVERAGEIF('Данные 2st'!$Q$2:$Q$317,$A83,'Данные 2st'!$KG$2:$KG$317),"")</f>
        <v>0.11499999999999999</v>
      </c>
      <c r="PI83" s="7">
        <f>IFERROR(AVERAGEIF('Данные 2st'!$Q$2:$Q$317,$A83,'Данные 2st'!$KM$2:$KM$317),"")</f>
        <v>0</v>
      </c>
      <c r="PJ83" s="7">
        <f>IFERROR(AVERAGEIF('Данные 2st'!$Q$2:$Q$317,$A83,'Данные 2st'!$KN$2:$KN$317),"")</f>
        <v>2.55</v>
      </c>
      <c r="PK83" s="7">
        <f>IFERROR(AVERAGEIF('Данные 2st'!$Q$2:$Q$317,$A83,'Данные 2st'!$KO$2:$KO$317),"")</f>
        <v>0</v>
      </c>
      <c r="PL83" s="7">
        <f>IFERROR(AVERAGEIF('Данные 2st'!$Q$2:$Q$317,$A83,'Данные 2st'!$KP$2:$KP$317),"")</f>
        <v>0</v>
      </c>
      <c r="PM83" s="7">
        <f>IFERROR(AVERAGEIF('Данные 2st'!$Q$2:$Q$317,$A83,'Данные 2st'!$KQ$2:$KQ$317),"")</f>
        <v>1.0</v>
      </c>
      <c r="PN83" s="7">
        <f>IFERROR(AVERAGEIF('Данные 2st'!$Q$2:$Q$317,$A83,'Данные 2st'!$KR$2:$KR$317),"")</f>
        <v>0.65</v>
      </c>
      <c r="PO83" s="7">
        <f>IFERROR(AVERAGEIF('Данные 2st'!$Q$2:$Q$317,$A83,'Данные 2st'!$KS$2:$KS$317),"")</f>
        <v>0</v>
      </c>
      <c r="PP83" s="7">
        <f>IFERROR(AVERAGEIF('Данные 2st'!$Q$2:$Q$317,$A83,'Данные 2st'!$KT$2:$KT$317),"")</f>
        <v>2.75</v>
      </c>
      <c r="PQ83" s="7">
        <f>IFERROR(AVERAGEIF('Данные 2st'!$Q$2:$Q$317,$A83,'Данные 2st'!$KU$2:$KU$317),"")</f>
        <v>0</v>
      </c>
      <c r="PR83" s="7">
        <f>IFERROR(AVERAGEIF('Данные 2st'!$Q$2:$Q$317,$A83,'Данные 2st'!$KV$2:$KV$317),"")</f>
        <v>0</v>
      </c>
      <c r="PS83" s="7">
        <f>IFERROR(AVERAGEIF('Данные 2st'!$Q$2:$Q$317,$A83,'Данные 2st'!$KW$2:$KW$317),"")</f>
        <v>1.2</v>
      </c>
      <c r="PT83" s="7">
        <f>IFERROR(AVERAGEIF('Данные 2st'!$Q$2:$Q$317,$A83,'Данные 2st'!$KX$2:$KX$317),"")</f>
        <v>1</v>
      </c>
      <c r="PU83" s="7">
        <f>IFERROR(AVERAGEIF('Данные 2st'!$Q$2:$Q$317,$A83,'Данные 2st'!$KY$2:$KY$317),"")</f>
        <v>0</v>
      </c>
      <c r="PV83" s="7">
        <f>IFERROR(AVERAGEIF('Данные 2st'!$Q$2:$Q$317,$A83,'Данные 2st'!$KZ$2:$KZ$317),"")</f>
        <v>0</v>
      </c>
      <c r="PW83" s="7">
        <f>IFERROR(AVERAGEIF('Данные 2st'!$Q$2:$Q$317,$A83,'Данные 2st'!$LA$2:$LA$317),"")</f>
        <v>0</v>
      </c>
      <c r="PX83" s="7">
        <f>IFERROR(AVERAGEIF('Данные 2st'!$Q$2:$Q$317,$A83,'Данные 2st'!$LB$2:$LB$317),"")</f>
        <v>0</v>
      </c>
      <c r="PY83" s="7">
        <f>IFERROR(AVERAGEIF('Данные 2st'!$Q$2:$Q$317,$A83,'Данные 2st'!$LC$2:$LC$317),"")</f>
        <v>0</v>
      </c>
      <c r="PZ83" s="7">
        <f>IFERROR(AVERAGEIF('Данные 2st'!$Q$2:$Q$317,$A83,'Данные 2st'!$LD$2:$LD$317),"")</f>
        <v>0</v>
      </c>
      <c r="QA83" s="7">
        <f>IFERROR(AVERAGEIF('Данные 2st'!$Q$2:$Q$317,$A83,'Данные 2st'!$LE$2:$LE$317),"")</f>
        <v>0</v>
      </c>
      <c r="QB83" s="7">
        <f>IFERROR(AVERAGEIF('Данные 2st'!$Q$2:$Q$317,$A83,'Данные 2st'!$LF$2:$LF$317),"")</f>
        <v>0</v>
      </c>
      <c r="QC83" s="7">
        <f>IFERROR(AVERAGEIF('Данные 2st'!$Q$2:$Q$317,$A83,'Данные 2st'!$LG$2:$LG$317),"")</f>
        <v>0</v>
      </c>
      <c r="QD83" s="7">
        <f>IFERROR(AVERAGEIF('Данные 2st'!$Q$2:$Q$317,$A83,'Данные 2st'!$LH$2:$LH$317),"")</f>
        <v>3</v>
      </c>
      <c r="QE83" s="7">
        <f>IFERROR(AVERAGEIF('Данные 2st'!$Q$2:$Q$317,$A83,'Данные 2st'!$LJ$2:$LJ$317),"")</f>
        <v>0</v>
      </c>
      <c r="QF83" s="7">
        <f>IFERROR(AVERAGEIF('Данные 2st'!$Q$2:$Q$317,$A83,'Данные 2st'!$LK$2:$LK$317),"")</f>
        <v>11.5</v>
      </c>
      <c r="QG83" s="7">
        <f>IFERROR(AVERAGEIF('Данные 2st'!$Q$2:$Q$317,$A83,'Данные 2st'!$LL$2:$LL$317),"")</f>
        <v>9</v>
      </c>
      <c r="QH83" s="7">
        <f>IFERROR(AVERAGEIF('Данные 2st'!$Q$2:$Q$317,$A83,'Данные 2st'!$LM$2:$LM$317),"")</f>
        <v>9</v>
      </c>
      <c r="QI83" s="7">
        <f>IFERROR(AVERAGEIF('Данные 2st'!$Q$2:$Q$317,$A83,'Данные 2st'!$LN$2:$LN$317),"")</f>
        <v>3</v>
      </c>
      <c r="QJ83" s="7">
        <f>IFERROR(AVERAGEIF('Данные 2st'!$Q$2:$Q$317,$A83,'Данные 2st'!$LO$2:$LO$317),"")</f>
        <v>3</v>
      </c>
      <c r="QK83" s="7">
        <f>IFERROR(AVERAGEIF('Данные 2st'!$Q$2:$Q$317,$A83,'Данные 2st'!$LP$2:$LP$317),"")</f>
        <v>0</v>
      </c>
      <c r="QL83" s="7">
        <f>IFERROR(AVERAGEIF('Данные 2st'!$Q$2:$Q$317,$A83,'Данные 2st'!$LQ$2:$LQ$317),"")</f>
        <v>0</v>
      </c>
      <c r="QM83" s="7">
        <f>IFERROR(AVERAGEIF('Данные 2st'!$Q$2:$Q$317,$A83,'Данные 2st'!$LW$2:$LW$317),"")</f>
        <v>1.8</v>
      </c>
      <c r="QN83" s="7">
        <f>IFERROR(AVERAGEIF('Данные 2st'!$Q$2:$Q$317,$A83,'Данные 2st'!$LX$2:$LX$317),"")</f>
        <v>1.8</v>
      </c>
      <c r="QO83" s="7">
        <f>IFERROR(AVERAGEIF('Данные 2st'!$Q$2:$Q$317,$A83,'Данные 2st'!$LY$2:$LY$317),"")</f>
        <v>2.1</v>
      </c>
      <c r="QP83" s="7">
        <f>IFERROR(AVERAGEIF('Данные 2st'!$Q$2:$Q$317,$A83,'Данные 2st'!$LZ$2:$LZ$317),"")</f>
        <v>2.1</v>
      </c>
      <c r="QQ83" s="7">
        <f>IFERROR(AVERAGEIF('Данные 2st'!$Q$2:$Q$317,$A83,'Данные 2st'!$MB$2:$MB$317),"")</f>
        <v>4.75</v>
      </c>
      <c r="QR83" s="7">
        <f>IFERROR(AVERAGEIF('Данные 2st'!$Q$2:$Q$317,$A83,'Данные 2st'!$MG$2:$MG$317),"")</f>
        <v>20</v>
      </c>
      <c r="QS83" s="7">
        <f>IFERROR(AVERAGEIF('Данные 2st'!$Q$2:$Q$317,$A83,'Данные 2st'!$MH$2:$MH$317),"")</f>
        <v>0</v>
      </c>
      <c r="QT83" s="7">
        <f>IFERROR(AVERAGEIF('Данные 2st'!$Q$2:$Q$317,$A83,'Данные 2st'!$MI$2:$MI$317),"")</f>
        <v>0</v>
      </c>
      <c r="QU83" s="7">
        <f>IFERROR(AVERAGEIF('Данные 2st'!$Q$2:$Q$317,$A83,'Данные 2st'!$MJ$2:$MJ$317),"")</f>
        <v>0</v>
      </c>
      <c r="QV83" s="7">
        <f>IFERROR(AVERAGEIF('Данные 2st'!$Q$2:$Q$317,$A83,'Данные 2st'!$MK$2:$MK$317),"")</f>
        <v>0</v>
      </c>
      <c r="QW83" s="7">
        <f>IFERROR(AVERAGEIF('Данные 2st'!$Q$2:$Q$317,$A83,'Данные 2st'!$MM$2:$MM$317),"")</f>
        <v>484</v>
      </c>
      <c r="QX83" s="7">
        <f>IFERROR(AVERAGEIF('Данные 2st'!$Q$2:$Q$317,$A83,'Данные 2st'!$MQ$2:$MQ$317),"")</f>
        <v/>
      </c>
      <c r="QY83" s="7">
        <f>IFERROR(AVERAGEIF('Данные 2st'!$Q$2:$Q$317,$A83,'Данные 2st'!$MR$2:$MR$317),"")</f>
        <v/>
      </c>
      <c r="QZ83" s="7">
        <f>IFERROR(AVERAGEIF('Данные 2st'!$Q$2:$Q$317,$A83,'Данные 2st'!$MS$2:$MS$317),"")</f>
        <v/>
      </c>
      <c r="RA83" s="7">
        <f>IFERROR(AVERAGEIF('Данные 2st'!$Q$2:$Q$317,$A83,'Данные 2st'!$MT$2:$MT$317),"")</f>
        <v/>
      </c>
      <c r="RB83" s="7">
        <f>IFERROR(AVERAGEIF('Данные 2st'!$Q$2:$Q$317,$A83,'Данные 2st'!$MU$2:$MU$317),"")</f>
        <v/>
      </c>
      <c r="RC83" s="7">
        <f>IFERROR(AVERAGEIF('Данные 2st'!$Q$2:$Q$317,$A83,'Данные 2st'!$MV$2:$MV$317),"")</f>
        <v/>
      </c>
      <c r="RD83" s="7">
        <f>IFERROR(AVERAGEIF('Данные 2st'!$Q$2:$Q$317,$A83,'Данные 2st'!$MW$2:$MW$317),"")</f>
        <v/>
      </c>
      <c r="RE83" s="7">
        <f>IFERROR(AVERAGEIF('Данные 2st'!$Q$2:$Q$317,$A83,'Данные 2st'!$MX$2:$MX$317),"")</f>
        <v/>
      </c>
      <c r="RF83" s="7">
        <f>IFERROR(AVERAGEIF('Данные 2st'!$Q$2:$Q$317,$A83,'Данные 2st'!$MY$2:$MY$317),"")</f>
        <v/>
      </c>
      <c r="RG83" s="7">
        <f>IFERROR(AVERAGEIF('Данные 2st'!$Q$2:$Q$317,$A83,'Данные 2st'!$MZ$2:$MZ$317),"")</f>
        <v/>
      </c>
      <c r="RH83" s="7">
        <f>IFERROR(AVERAGEIF('Данные 2st'!$Q$2:$Q$317,$A83,'Данные 2st'!$NA$2:$NA$317),"")</f>
        <v/>
      </c>
      <c r="RI83" s="7">
        <f>IFERROR(AVERAGEIF('Данные 2st'!$Q$2:$Q$317,$A83,'Данные 2st'!$NB$2:$NB$317),"")</f>
        <v/>
      </c>
      <c r="RJ83" s="7">
        <f>IFERROR(AVERAGEIF('Данные 2st'!$Q$2:$Q$317,$A83,'Данные 2st'!$NC$2:$NC$317),"")</f>
        <v/>
      </c>
      <c r="RK83" s="7">
        <f>IFERROR(AVERAGEIF('Данные 2st'!$Q$2:$Q$317,$A83,'Данные 2st'!$ND$2:$ND$317),"")</f>
        <v/>
      </c>
      <c r="RL83" s="7">
        <f>IFERROR(AVERAGEIF('Данные 2st'!$Q$2:$Q$317,$A83,'Данные 2st'!$NE$2:$NE$317),"")</f>
        <v/>
      </c>
      <c r="RM83" s="7">
        <f>IFERROR(AVERAGEIF('Данные 2st'!$Q$2:$Q$317,$A83,'Данные 2st'!$NF$2:$NF$317),"")</f>
        <v/>
      </c>
      <c r="RN83" s="7">
        <f>IFERROR(AVERAGEIF('Данные 2st'!$Q$2:$Q$317,$A83,'Данные 2st'!$NG$2:$NG$317),"")</f>
        <v/>
      </c>
      <c r="RO83" s="7">
        <f>IFERROR(AVERAGEIF('Данные 2st'!$Q$2:$Q$317,$A83,'Данные 2st'!$NH$2:$NH$317),"")</f>
        <v/>
      </c>
      <c r="RP83" s="7">
        <f>IFERROR(AVERAGEIF('Данные 2st'!$Q$2:$Q$317,$A83,'Данные 2st'!$NJ$2:$NJ$317),"")</f>
        <v/>
      </c>
      <c r="RQ83" s="7">
        <f>IFERROR(AVERAGEIF('Данные 2st'!$Q$2:$Q$317,$A83,'Данные 2st'!$NK$2:$NK$317),"")</f>
        <v/>
      </c>
      <c r="RR83" s="7">
        <f>IFERROR(AVERAGEIF('Данные 2st'!$Q$2:$Q$317,$A83,'Данные 2st'!$NM$2:$NM$317),"")</f>
        <v/>
      </c>
      <c r="RS83" s="7">
        <f>IFERROR(AVERAGEIF('Данные 2st'!$Q$2:$Q$317,$A83,'Данные 2st'!$NN$2:$NN$317),"")</f>
        <v/>
      </c>
      <c r="RT83" s="7">
        <f>IFERROR(AVERAGEIF('Данные 2st'!$Q$2:$Q$317,$A83,'Данные 2st'!$NO$2:$NO$317),"")</f>
        <v/>
      </c>
      <c r="RU83" s="7">
        <f>IFERROR(AVERAGEIF('Данные 2st'!$Q$2:$Q$317,$A83,'Данные 2st'!$NP$2:$NP$317),"")</f>
        <v/>
      </c>
      <c r="RV83" s="7">
        <f>IFERROR(AVERAGEIF('Данные 2st'!$Q$2:$Q$317,$A83,'Данные 2st'!$NQ$2:$NQ$317),"")</f>
        <v/>
      </c>
      <c r="RW83" s="7">
        <f>IFERROR(AVERAGEIF('Данные 2st'!$Q$2:$Q$317,$A83,'Данные 2st'!$NR$2:$NR$317),"")</f>
        <v/>
      </c>
      <c r="RX83" s="7">
        <f>IFERROR(AVERAGEIF('Данные 2st'!$Q$2:$Q$317,$A83,'Данные 2st'!$NS$2:$NS$317),"")</f>
        <v/>
      </c>
      <c r="RY83" s="7">
        <f>IFERROR(AVERAGEIF('Данные 2st'!$Q$2:$Q$317,$A83,'Данные 2st'!$NT$2:$NT$317),"")</f>
        <v/>
      </c>
      <c r="RZ83" s="7">
        <f>IFERROR(AVERAGEIF('Данные 2st'!$Q$2:$Q$317,$A83,'Данные 2st'!$OK$2:$OK$317),"")</f>
        <v>61</v>
      </c>
      <c r="SA83" s="7">
        <f>IFERROR(AVERAGEIF('Данные 2st'!$Q$2:$Q$317,$A83,'Данные 2st'!$OL$2:$OL$317),"")</f>
        <v>61</v>
      </c>
      <c r="SB83" s="7">
        <f>IFERROR(AVERAGEIF('Данные 2st'!$Q$2:$Q$317,$A83,'Данные 2st'!$ON$2:$ON$317),"")</f>
        <v>1.5</v>
      </c>
      <c r="SC83" s="7">
        <f>IFERROR(AVERAGEIF('Данные 2st'!$Q$2:$Q$317,$A83,'Данные 2st'!$OO$2:$OO$317),"")</f>
        <v>2374</v>
      </c>
      <c r="SD83" s="7">
        <f>IFERROR(AVERAGEIF('Данные 2st'!$Q$2:$Q$317,$A83,'Данные 2st'!$OP$2:$OP$317),"")</f>
        <v>61</v>
      </c>
      <c r="SE83" s="7">
        <f>IFERROR(AVERAGEIF('Данные 2st'!$Q$2:$Q$317,$A83,'Данные 2st'!$OQ$2:$OQ$317),"")</f>
        <v>61</v>
      </c>
      <c r="SF83" s="7">
        <f>IFERROR(AVERAGEIF('Данные 2st'!$Q$2:$Q$317,$A83,'Данные 2st'!$OS$2:$OS$317),"")</f>
        <v>1.5</v>
      </c>
      <c r="SG83" s="7">
        <f>IFERROR(AVERAGEIF('Данные 2st'!$Q$2:$Q$317,$A83,'Данные 2st'!$OT$2:$OT$317),"")</f>
        <v>2387.5</v>
      </c>
      <c r="SH83" s="7">
        <f>IFERROR(AVERAGEIF('Данные 2st'!$Q$2:$Q$317,$A83,'Данные 2st'!$OU$2:$OU$317),"")</f>
        <v>65</v>
      </c>
      <c r="SI83" s="7">
        <f>IFERROR(AVERAGEIF('Данные 2st'!$Q$2:$Q$317,$A83,'Данные 2st'!$OV$2:$OV$317),"")</f>
        <v>65</v>
      </c>
      <c r="SJ83" s="7">
        <f>IFERROR(AVERAGEIF('Данные 2st'!$Q$2:$Q$317,$A83,'Данные 2st'!$OX$2:$OX$317),"")</f>
        <v>1.5</v>
      </c>
      <c r="SK83" s="7">
        <f>IFERROR(AVERAGEIF('Данные 2st'!$Q$2:$Q$317,$A83,'Данные 2st'!$OY$2:$OY$317),"")</f>
        <v>57262.5</v>
      </c>
      <c r="SL83" s="7">
        <f>IFERROR(AVERAGEIF('Данные 2st'!$Q$2:$Q$317,$A83,'Данные 2st'!$OZ$2:$OZ$317),"")</f>
        <v>51</v>
      </c>
      <c r="SM83" s="7">
        <f>IFERROR(AVERAGEIF('Данные 2st'!$Q$2:$Q$317,$A83,'Данные 2st'!$PA$2:$PA$317),"")</f>
        <v>51.5</v>
      </c>
      <c r="SN83" s="7">
        <f>IFERROR(AVERAGEIF('Данные 2st'!$Q$2:$Q$317,$A83,'Данные 2st'!$PC$2:$PC$317),"")</f>
        <v>1.5</v>
      </c>
      <c r="SO83" s="7">
        <f>IFERROR(AVERAGEIF('Данные 2st'!$Q$2:$Q$317,$A83,'Данные 2st'!$PD$2:$PD$317),"")</f>
        <v>2421</v>
      </c>
      <c r="SP83" s="7">
        <f>IFERROR(AVERAGEIF('Данные 2st'!$Q$2:$Q$317,$A83,'Данные 2st'!$PF$2:$PF$317),"")</f>
        <v>573</v>
      </c>
      <c r="SQ83" s="7">
        <f>IFERROR(AVERAGEIF('Данные 2st'!$Q$2:$Q$317,$A83,'Данные 2st'!$PG$2:$PG$317),"")</f>
        <v>35</v>
      </c>
      <c r="SR83" s="7">
        <f>IFERROR(AVERAGEIF('Данные 2st'!$Q$2:$Q$317,$A83,'Данные 2st'!$PH$2:$PH$317),"")</f>
        <v>548.5</v>
      </c>
      <c r="SS83" s="7">
        <f>IFERROR(AVERAGEIF('Данные 2st'!$Q$2:$Q$317,$A83,'Данные 2st'!$PI$2:$PI$317),"")</f>
        <v>0</v>
      </c>
      <c r="ST83" s="7">
        <f>IFERROR(AVERAGEIF('Данные 2st'!$Q$2:$Q$317,$A83,'Данные 2st'!$PJ$2:$PJ$317),"")</f>
        <v>109.95</v>
      </c>
      <c r="SU83" s="7">
        <f>IFERROR(AVERAGEIF('Данные 2st'!$Q$2:$Q$317,$A83,'Данные 2st'!$PK$2:$PK$317),"")</f>
        <v>2894</v>
      </c>
      <c r="SV83" s="7">
        <f>IFERROR(AVERAGEIF('Данные 2st'!$Q$2:$Q$317,$A83,'Данные 2st'!$PL$2:$PL$317),"")</f>
        <v>1484.35</v>
      </c>
      <c r="SW83" s="7">
        <f>IFERROR(AVERAGEIF('Данные 2st'!$Q$2:$Q$317,$A83,'Данные 2st'!$PM$2:$PM$317),"")</f>
        <v>1158.1</v>
      </c>
      <c r="SX83" s="7">
        <f>IFERROR(AVERAGEIF('Данные 2st'!$Q$2:$Q$317,$A83,'Данные 2st'!$PN$2:$PN$317),"")</f>
        <v>119.75</v>
      </c>
      <c r="SY83" s="7">
        <f>IFERROR(AVERAGEIF('Данные 2st'!$Q$2:$Q$317,$A83,'Данные 2st'!$PO$2:$PO$317),"")</f>
        <v>10.3</v>
      </c>
      <c r="SZ83" s="7">
        <f>IFERROR(AVERAGEIF('Данные 2st'!$Q$2:$Q$317,$A83,'Данные 2st'!$PP$2:$PP$317),"")</f>
        <v>12</v>
      </c>
      <c r="TA83" s="7">
        <f>IFERROR(AVERAGEIF('Данные 2st'!$Q$2:$Q$317,$A83,'Данные 2st'!$PQ$2:$PQ$317),"")</f>
        <v>6</v>
      </c>
      <c r="TB83" s="7">
        <f>IFERROR(AVERAGEIF('Данные 2st'!$Q$2:$Q$317,$A83,'Данные 2st'!$PR$2:$PR$317),"")</f>
        <v>7</v>
      </c>
      <c r="TC83" s="7">
        <f>IFERROR(AVERAGEIF('Данные 2st'!$Q$2:$Q$317,$A83,'Данные 2st'!$PS$2:$PS$317),"")</f>
        <v>0</v>
      </c>
      <c r="TD83" s="7">
        <f>IFERROR(AVERAGEIF('Данные 2st'!$Q$2:$Q$317,$A83,'Данные 2st'!$PT$2:$PT$317),"")</f>
        <v>289</v>
      </c>
      <c r="TE83" s="7">
        <f>IFERROR(AVERAGEIF('Данные 2st'!$Q$2:$Q$317,$A83,'Данные 2st'!$PU$2:$PU$317),"")</f>
        <v>12</v>
      </c>
      <c r="TF83" s="7">
        <f>IFERROR(AVERAGEIF('Данные 2st'!$Q$2:$Q$317,$A83,'Данные 2st'!$PX$2:$PX$317),"")</f>
        <v>0</v>
      </c>
      <c r="TG83" s="7">
        <f>IFERROR(AVERAGEIF('Данные 2st'!$Q$2:$Q$317,$A83,'Данные 2st'!$PY$2:$PY$317),"")</f>
        <v>0</v>
      </c>
      <c r="TH83" s="7">
        <f>IFERROR(AVERAGEIF('Данные 2st'!$Q$2:$Q$317,$A83,'Данные 2st'!$PZ$2:$PZ$317),"")</f>
        <v>0</v>
      </c>
      <c r="TI83" s="7">
        <f>IFERROR(AVERAGEIF('Данные 2st'!$Q$2:$Q$317,$A83,'Данные 2st'!$QA$2:$QA$317),"")</f>
        <v>0</v>
      </c>
      <c r="TJ83" s="7">
        <f>IFERROR(AVERAGEIF('Данные 2st'!$Q$2:$Q$317,$A83,'Данные 2st'!$QB$2:$QB$317),"")</f>
        <v>0</v>
      </c>
      <c r="TK83" s="7">
        <f>IFERROR(AVERAGEIF('Данные 2st'!$Q$2:$Q$317,$A83,'Данные 2st'!$QC$2:$QC$317),"")</f>
        <v>0</v>
      </c>
      <c r="TL83" s="7">
        <f>IFERROR(AVERAGEIF('Данные 2st'!$Q$2:$Q$317,$A83,'Данные 2st'!$QD$2:$QD$317),"")</f>
        <v>0</v>
      </c>
      <c r="TM83" s="7">
        <f>IFERROR(AVERAGEIF('Данные 2st'!$Q$2:$Q$317,$A83,'Данные 2st'!$QE$2:$QE$317),"")</f>
        <v>-1</v>
      </c>
      <c r="TN83" s="7">
        <f>IFERROR(AVERAGEIF('Данные 2st'!$Q$2:$Q$317,$A83,'Данные 2st'!$QF$2:$QF$317),"")</f>
        <v>1</v>
      </c>
      <c r="TO83" s="7">
        <f>IFERROR(AVERAGEIF('Данные 2st'!$Q$2:$Q$317,$A83,'Данные 2st'!$QG$2:$QG$317),"")</f>
        <v>0</v>
      </c>
      <c r="TP83" s="7">
        <f>IFERROR(AVERAGEIF('Данные 2st'!$Q$2:$Q$317,$A83,'Данные 2st'!$QH$2:$QH$317),"")</f>
        <v>5</v>
      </c>
      <c r="TQ83" s="7">
        <f>IFERROR(AVERAGEIF('Данные 2st'!$Q$2:$Q$317,$A83,'Данные 2st'!$QI$2:$QI$317),"")</f>
        <v>5</v>
      </c>
      <c r="TR83" s="7">
        <f>IFERROR(AVERAGEIF('Данные 2st'!$Q$2:$Q$317,$A83,'Данные 2st'!$QJ$2:$QJ$317),"")</f>
        <v>5</v>
      </c>
      <c r="TS83" s="7">
        <f>IFERROR(AVERAGEIF('Данные 2st'!$Q$2:$Q$317,$A83,'Данные 2st'!$QK$2:$QK$317),"")</f>
        <v>256</v>
      </c>
      <c r="TT83" s="7">
        <f>IFERROR(AVERAGEIF('Данные 2st'!$Q$2:$Q$317,$A83,'Данные 2st'!$QL$2:$QL$317),"")</f>
        <v>510</v>
      </c>
      <c r="TU83" s="7">
        <f>IFERROR(AVERAGEIF('Данные 2st'!$Q$2:$Q$317,$A83,'Данные 2st'!$QM$2:$QM$317),"")</f>
        <v>8.45</v>
      </c>
      <c r="TV83" s="7">
        <f>IFERROR(AVERAGEIF('Данные 2st'!$Q$2:$Q$317,$A83,'Данные 2st'!$QN$2:$QN$317),"")</f>
        <v>1624.6</v>
      </c>
      <c r="TW83" s="7">
        <f>IFERROR(AVERAGEIF('Данные 2st'!$Q$2:$Q$317,$A83,'Данные 2st'!$QQ$2:$QQ$317),"")</f>
        <v>0</v>
      </c>
      <c r="TX83" s="7">
        <f>IFERROR(AVERAGEIF('Данные 2st'!$Q$2:$Q$317,$A83,'Данные 2st'!$QS$2:$QS$317),"")</f>
        <v>40</v>
      </c>
      <c r="TY83" s="7">
        <f>IFERROR(AVERAGEIF('Данные 2st'!$Q$2:$Q$317,$A83,'Данные 2st'!$QT$2:$QT$317),"")</f>
        <v>50</v>
      </c>
    </row>
    <row r="84" spans="1:545" ht="32" customHeight="1">
      <c r="A84" s="11" t="s">
        <v>2851</v>
      </c>
      <c r="B84">
        <f>COUNTIF('Данные 1st'!$S$2:$S$317,$A84)</f>
        <v>1</v>
      </c>
      <c r="C84" s="6" t="s">
        <v>2657</v>
      </c>
      <c r="D84" s="6" t="s">
        <v>513</v>
      </c>
      <c r="E84" s="6" t="s">
        <v>517</v>
      </c>
      <c r="F84" s="6" t="s">
        <v>2848</v>
      </c>
      <c r="G84" s="7">
        <f>IFERROR(AVERAGEIF('Данные 1st'!$S$2:$S$317,$A84,'Данные 1st'!$AE$2:$AE$317),"")</f>
        <v>234</v>
      </c>
      <c r="H84" s="7">
        <f>IFERROR(AVERAGEIF('Данные 1st'!$S$2:$S$317,$A84,'Данные 1st'!$AF$2:$AF$317),"")</f>
        <v>1.5</v>
      </c>
      <c r="I84" s="7">
        <f>IFERROR(AVERAGEIF('Данные 1st'!$S$2:$S$317,$A84,'Данные 1st'!$AJ$2:$AJ$317),"")</f>
        <v>215</v>
      </c>
      <c r="J84" s="7">
        <f>IFERROR(AVERAGEIF('Данные 1st'!$S$2:$S$317,$A84,'Данные 1st'!$AL$2:$AL$317),"")</f>
        <v>1.5</v>
      </c>
      <c r="K84" s="7">
        <f>IFERROR(AVERAGEIF('Данные 1st'!$S$2:$S$317,$A84,'Данные 1st'!$AR$2:$AR$317),"")</f>
        <v>264</v>
      </c>
      <c r="L84" s="7">
        <f>IFERROR(AVERAGEIF('Данные 1st'!$S$2:$S$317,$A84,'Данные 1st'!$AS$2:$AS$317),"")</f>
        <v>1.5</v>
      </c>
      <c r="M84" s="7">
        <f>IFERROR(AVERAGEIF('Данные 1st'!$S$2:$S$317,$A84,'Данные 1st'!$AY$2:$AY$317),"")</f>
        <v>302.5</v>
      </c>
      <c r="N84" s="7">
        <f>IFERROR(AVERAGEIF('Данные 1st'!$S$2:$S$317,$A84,'Данные 1st'!$AZ$2:$AZ$317),"")</f>
        <v>1.5</v>
      </c>
      <c r="O84" s="7">
        <f>IFERROR(AVERAGEIF('Данные 1st'!$S$2:$S$317,$A84,'Данные 1st'!$BF$2:$BF$317),"")</f>
        <v>255</v>
      </c>
      <c r="P84" s="7">
        <f>IFERROR(AVERAGEIF('Данные 1st'!$S$2:$S$317,$A84,'Данные 1st'!$BG$2:$BG$317),"")</f>
        <v>1.5</v>
      </c>
      <c r="Q84" s="7">
        <f>IFERROR(AVERAGEIF('Данные 1st'!$S$2:$S$317,$A84,'Данные 1st'!$BM$2:$BM$317),"")</f>
        <v/>
      </c>
      <c r="R84" s="7">
        <f>IFERROR(AVERAGEIF('Данные 1st'!$S$2:$S$317,$A84,'Данные 1st'!$BN$2:$BN$317),"")</f>
        <v>1.5</v>
      </c>
      <c r="S84" s="7">
        <f>IFERROR(AVERAGEIF('Данные 1st'!$S$2:$S$317,$A84,'Данные 1st'!$BT$2:$BT$317),"")</f>
        <v>234</v>
      </c>
      <c r="T84" s="7">
        <f>IFERROR(AVERAGEIF('Данные 1st'!$S$2:$S$317,$A84,'Данные 1st'!$BU$2:$BU$317),"")</f>
        <v>0.5</v>
      </c>
      <c r="U84" s="7">
        <f>IFERROR(AVERAGEIF('Данные 1st'!$S$2:$S$317,$A84,'Данные 1st'!$BW$2:$BW$317),"")</f>
        <v>468</v>
      </c>
      <c r="V84" s="7">
        <f>IFERROR(AVERAGEIF('Данные 1st'!$S$2:$S$317,$A84,'Данные 1st'!$BX$2:$BX$317),"")</f>
        <v>1</v>
      </c>
      <c r="W84" s="7">
        <f>IFERROR(AVERAGEIF('Данные 1st'!$S$2:$S$317,$A84,'Данные 1st'!$BZ$2:$BZ$317),"")</f>
        <v>470</v>
      </c>
      <c r="X84" s="7">
        <f>IFERROR(AVERAGEIF('Данные 1st'!$S$2:$S$317,$A84,'Данные 1st'!$CA$2:$CA$317),"")</f>
        <v>530</v>
      </c>
      <c r="Y84" s="7">
        <f>IFERROR(AVERAGEIF('Данные 1st'!$S$2:$S$317,$A84,'Данные 1st'!$CD$2:$CD$317),"")</f>
        <v>488</v>
      </c>
      <c r="Z84" s="7">
        <f>IFERROR(AVERAGEIF('Данные 1st'!$S$2:$S$317,$A84,'Данные 1st'!$CF$2:$CF$317),"")</f>
        <v>15</v>
      </c>
      <c r="AA84" s="7">
        <f>IFERROR(AVERAGEIF('Данные 1st'!$S$2:$S$317,$A84,'Данные 1st'!$CI$2:$CI$317),"")</f>
        <v>30</v>
      </c>
      <c r="AB84" s="7">
        <f>IFERROR(AVERAGEIF('Данные 1st'!$S$2:$S$317,$A84,'Данные 1st'!$CJ$2:$CJ$317),"")</f>
        <v>1538</v>
      </c>
      <c r="AC84" s="7">
        <f>IFERROR(AVERAGEIF('Данные 1st'!$S$2:$S$317,$A84,'Данные 1st'!$CK$2:$CK$317),"")</f>
        <v>2</v>
      </c>
      <c r="AD84" s="7">
        <f>IFERROR(AVERAGEIF('Данные 1st'!$S$2:$S$317,$A84,'Данные 1st'!$CL$2:$CL$317),"")</f>
        <v>1632</v>
      </c>
      <c r="AE84" s="7">
        <f>IFERROR(AVERAGEIF('Данные 1st'!$S$2:$S$317,$A84,'Данные 1st'!$CM$2:$CM$317),"")</f>
        <v>2</v>
      </c>
      <c r="AF84" s="7">
        <f>IFERROR(AVERAGEIF('Данные 1st'!$S$2:$S$317,$A84,'Данные 1st'!$CT$2:$CT$317),"")</f>
        <v>430</v>
      </c>
      <c r="AG84" s="7">
        <f>IFERROR(AVERAGEIF('Данные 1st'!$S$2:$S$317,$A84,'Данные 1st'!$CU$2:$CU$317),"")</f>
        <v>5</v>
      </c>
      <c r="AH84" s="7">
        <f>IFERROR(AVERAGEIF('Данные 1st'!$S$2:$S$317,$A84,'Данные 1st'!$CV$2:$CV$317),"")</f>
        <v>1.2</v>
      </c>
      <c r="AI84" s="7">
        <f>IFERROR(AVERAGEIF('Данные 1st'!$S$2:$S$317,$A84,'Данные 1st'!$CW$2:$CW$317),"")</f>
        <v>1554</v>
      </c>
      <c r="AJ84" s="7">
        <f>IFERROR(AVERAGEIF('Данные 1st'!$S$2:$S$317,$A84,'Данные 1st'!$CX$2:$CX$317),"")</f>
        <v>946</v>
      </c>
      <c r="AK84" s="7">
        <f>IFERROR(AVERAGEIF('Данные 1st'!$S$2:$S$317,$A84,'Данные 1st'!$CZ$2:$CZ$317),"")</f>
        <v>60</v>
      </c>
      <c r="AL84" s="7">
        <f>IFERROR(AVERAGEIF('Данные 1st'!$S$2:$S$317,$A84,'Данные 1st'!$DA$2:$DA$317),"")</f>
        <v>3</v>
      </c>
      <c r="AM84" s="7">
        <f>IFERROR(AVERAGEIF('Данные 1st'!$S$2:$S$317,$A84,'Данные 1st'!$DB$2:$DB$317),"")</f>
        <v>1</v>
      </c>
      <c r="AN84" s="7">
        <f>IFERROR(AVERAGEIF('Данные 1st'!$S$2:$S$317,$A84,'Данные 1st'!$DC$2:$DC$317),"")</f>
        <v>1554</v>
      </c>
      <c r="AO84" s="7">
        <f>IFERROR(AVERAGEIF('Данные 1st'!$S$2:$S$317,$A84,'Данные 1st'!$DD$2:$DD$317),"")</f>
        <v>97</v>
      </c>
      <c r="AP84" s="7">
        <f>IFERROR(AVERAGEIF('Данные 1st'!$S$2:$S$317,$A84,'Данные 1st'!$DF$2:$DF$317),"")</f>
        <v>605</v>
      </c>
      <c r="AQ84" s="7">
        <f>IFERROR(AVERAGEIF('Данные 1st'!$S$2:$S$317,$A84,'Данные 1st'!$DG$2:$DG$317),"")</f>
        <v>3</v>
      </c>
      <c r="AR84" s="7">
        <f>IFERROR(AVERAGEIF('Данные 1st'!$S$2:$S$317,$A84,'Данные 1st'!$DH$2:$DH$317),"")</f>
        <v>0.88</v>
      </c>
      <c r="AS84" s="7">
        <f>IFERROR(AVERAGEIF('Данные 1st'!$S$2:$S$317,$A84,'Данные 1st'!$DI$2:$DI$317),"")</f>
        <v>1547</v>
      </c>
      <c r="AT84" s="7">
        <f>IFERROR(AVERAGEIF('Данные 1st'!$S$2:$S$317,$A84,'Данные 1st'!$DJ$2:$DJ$317),"")</f>
        <v>1080</v>
      </c>
      <c r="AU84" s="7">
        <f>IFERROR(AVERAGEIF('Данные 1st'!$S$2:$S$317,$A84,'Данные 1st'!$DL$2:$DL$317),"")</f>
        <v>510</v>
      </c>
      <c r="AV84" s="7">
        <f>IFERROR(AVERAGEIF('Данные 1st'!$S$2:$S$317,$A84,'Данные 1st'!$DM$2:$DM$317),"")</f>
        <v>3</v>
      </c>
      <c r="AW84" s="7">
        <f>IFERROR(AVERAGEIF('Данные 1st'!$S$2:$S$317,$A84,'Данные 1st'!$DN$2:$DN$317),"")</f>
        <v>0.88</v>
      </c>
      <c r="AX84" s="7">
        <f>IFERROR(AVERAGEIF('Данные 1st'!$S$2:$S$317,$A84,'Данные 1st'!$DO$2:$DO$317),"")</f>
        <v>1552</v>
      </c>
      <c r="AY84" s="7">
        <f>IFERROR(AVERAGEIF('Данные 1st'!$S$2:$S$317,$A84,'Данные 1st'!$DP$2:$DP$317),"")</f>
        <v>861</v>
      </c>
      <c r="AZ84" s="7">
        <f>IFERROR(AVERAGEIF('Данные 1st'!$S$2:$S$317,$A84,'Данные 1st'!$DR$2:$DR$317),"")</f>
        <v/>
      </c>
      <c r="BA84" s="7">
        <f>IFERROR(AVERAGEIF('Данные 1st'!$S$2:$S$317,$A84,'Данные 1st'!$DS$2:$DS$317),"")</f>
        <v/>
      </c>
      <c r="BB84" s="7">
        <f>IFERROR(AVERAGEIF('Данные 1st'!$S$2:$S$317,$A84,'Данные 1st'!$DT$2:$DT$317),"")</f>
        <v/>
      </c>
      <c r="BC84" s="7">
        <f>IFERROR(AVERAGEIF('Данные 1st'!$S$2:$S$317,$A84,'Данные 1st'!$DU$2:$DU$317),"")</f>
        <v/>
      </c>
      <c r="BD84" s="7">
        <f>IFERROR(AVERAGEIF('Данные 1st'!$S$2:$S$317,$A84,'Данные 1st'!$DV$2:$DV$317),"")</f>
        <v/>
      </c>
      <c r="BE84" s="7">
        <f>IFERROR(AVERAGEIF('Данные 1st'!$S$2:$S$317,$A84,'Данные 1st'!$DX$2:$DX$317),"")</f>
        <v>9.4</v>
      </c>
      <c r="BF84" s="7">
        <f>IFERROR(AVERAGEIF('Данные 1st'!$S$2:$S$317,$A84,'Данные 1st'!$EA$2:$EA$317),"")</f>
        <v>1623.8</v>
      </c>
      <c r="BG84" s="7">
        <f>IFERROR(AVERAGEIF('Данные 1st'!$S$2:$S$317,$A84,'Данные 1st'!$EB$2:$EB$317),"")</f>
        <v>381</v>
      </c>
      <c r="BH84" s="7">
        <f>IFERROR(AVERAGEIF('Данные 1st'!$S$2:$S$317,$A84,'Данные 1st'!$ED$2:$ED$317),"")</f>
        <v>30</v>
      </c>
      <c r="BI84" s="7">
        <f>IFERROR(AVERAGEIF('Данные 1st'!$S$2:$S$317,$A84,'Данные 1st'!$EE$2:$EE$317),"")</f>
        <v>3</v>
      </c>
      <c r="BJ84" s="7">
        <f>IFERROR(AVERAGEIF('Данные 1st'!$S$2:$S$317,$A84,'Данные 1st'!$EG$2:$EG$317),"")</f>
        <v>1665</v>
      </c>
      <c r="BK84" s="7">
        <f>IFERROR(AVERAGEIF('Данные 1st'!$S$2:$S$317,$A84,'Данные 1st'!$EH$2:$EH$317),"")</f>
        <v>231</v>
      </c>
      <c r="BL84" s="7">
        <f>IFERROR(AVERAGEIF('Данные 1st'!$S$2:$S$317,$A84,'Данные 1st'!$EJ$2:$EJ$317),"")</f>
        <v>0</v>
      </c>
      <c r="BM84" s="7">
        <f>IFERROR(AVERAGEIF('Данные 1st'!$S$2:$S$317,$A84,'Данные 1st'!$EK$2:$EK$317),"")</f>
        <v>1</v>
      </c>
      <c r="BN84" s="7">
        <f>IFERROR(AVERAGEIF('Данные 1st'!$S$2:$S$317,$A84,'Данные 1st'!$EN$2:$EN$317),"")</f>
        <v>0</v>
      </c>
      <c r="BO84" s="7">
        <f>IFERROR(AVERAGEIF('Данные 1st'!$S$2:$S$317,$A84,'Данные 1st'!$EQ$2:$EQ$317),"")</f>
        <v>105</v>
      </c>
      <c r="BP84" s="7">
        <f>IFERROR(AVERAGEIF('Данные 1st'!$S$2:$S$317,$A84,'Данные 1st'!$ER$2:$ER$317),"")</f>
        <v>3</v>
      </c>
      <c r="BQ84" s="7">
        <f>IFERROR(AVERAGEIF('Данные 1st'!$S$2:$S$317,$A84,'Данные 1st'!$ES$2:$ES$317),"")</f>
        <v>5.5</v>
      </c>
      <c r="BR84" s="7">
        <f>IFERROR(AVERAGEIF('Данные 1st'!$S$2:$S$317,$A84,'Данные 1st'!$ET$2:$ET$317),"")</f>
        <v>1534</v>
      </c>
      <c r="BS84" s="7">
        <f>IFERROR(AVERAGEIF('Данные 1st'!$S$2:$S$317,$A84,'Данные 1st'!$EU$2:$EU$317),"")</f>
        <v>485.3</v>
      </c>
      <c r="BT84" s="7">
        <f>IFERROR(AVERAGEIF('Данные 1st'!$S$2:$S$317,$A84,'Данные 1st'!$EV$2:$EV$317),"")</f>
        <v>744</v>
      </c>
      <c r="BU84" s="7">
        <f>IFERROR(AVERAGEIF('Данные 1st'!$S$2:$S$317,$A84,'Данные 1st'!$EX$2:$EX$317),"")</f>
        <v>45</v>
      </c>
      <c r="BV84" s="7">
        <f>IFERROR(AVERAGEIF('Данные 1st'!$S$2:$S$317,$A84,'Данные 1st'!$EY$2:$EY$317),"")</f>
        <v>2</v>
      </c>
      <c r="BW84" s="7">
        <f>IFERROR(AVERAGEIF('Данные 1st'!$S$2:$S$317,$A84,'Данные 1st'!$EZ$2:$EZ$317),"")</f>
        <v>4.5</v>
      </c>
      <c r="BX84" s="7">
        <f>IFERROR(AVERAGEIF('Данные 1st'!$S$2:$S$317,$A84,'Данные 1st'!$FA$2:$FA$317),"")</f>
        <v>1534</v>
      </c>
      <c r="BY84" s="7">
        <f>IFERROR(AVERAGEIF('Данные 1st'!$S$2:$S$317,$A84,'Данные 1st'!$FB$2:$FB$317),"")</f>
        <v>143.2</v>
      </c>
      <c r="BZ84" s="7">
        <f>IFERROR(AVERAGEIF('Данные 1st'!$S$2:$S$317,$A84,'Данные 1st'!$FC$2:$FC$317),"")</f>
        <v>220</v>
      </c>
      <c r="CA84" s="7">
        <f>IFERROR(AVERAGEIF('Данные 1st'!$S$2:$S$317,$A84,'Данные 1st'!$FE$2:$FE$317),"")</f>
        <v>0</v>
      </c>
      <c r="CB84" s="7">
        <f>IFERROR(AVERAGEIF('Данные 1st'!$S$2:$S$317,$A84,'Данные 1st'!$FF$2:$FF$317),"")</f>
        <v>2</v>
      </c>
      <c r="CC84" s="7">
        <f>IFERROR(AVERAGEIF('Данные 1st'!$S$2:$S$317,$A84,'Данные 1st'!$FI$2:$FI$317),"")</f>
        <v>0</v>
      </c>
      <c r="CD84" s="7">
        <f>IFERROR(AVERAGEIF('Данные 1st'!$S$2:$S$317,$A84,'Данные 1st'!$FL$2:$FL$317),"")</f>
        <v>0.4</v>
      </c>
      <c r="CE84" s="7">
        <f>IFERROR(AVERAGEIF('Данные 1st'!$S$2:$S$317,$A84,'Данные 1st'!$FM$2:$FM$317),"")</f>
        <v>45</v>
      </c>
      <c r="CF84" s="7">
        <f>IFERROR(AVERAGEIF('Данные 1st'!$S$2:$S$317,$A84,'Данные 1st'!$FN$2:$FN$317),"")</f>
        <v>410</v>
      </c>
      <c r="CG84" s="7">
        <f>IFERROR(AVERAGEIF('Данные 1st'!$S$2:$S$317,$A84,'Данные 1st'!$FO$2:$FO$317),"")</f>
        <v>70</v>
      </c>
      <c r="CH84" s="7">
        <f>IFERROR(AVERAGEIF('Данные 1st'!$S$2:$S$317,$A84,'Данные 1st'!$FP$2:$FP$317),"")</f>
        <v>190</v>
      </c>
      <c r="CI84" s="7">
        <f>IFERROR(AVERAGEIF('Данные 1st'!$S$2:$S$317,$A84,'Данные 1st'!$FS$2:$FS$317),"")</f>
        <v/>
      </c>
      <c r="CJ84" s="7">
        <f>IFERROR(AVERAGEIF('Данные 1st'!$S$2:$S$317,$A84,'Данные 1st'!$FT$2:$FT$317),"")</f>
        <v/>
      </c>
      <c r="CK84" s="7">
        <f>IFERROR(AVERAGEIF('Данные 1st'!$S$2:$S$317,$A84,'Данные 1st'!$FU$2:$FU$317),"")</f>
        <v/>
      </c>
      <c r="CL84" s="7">
        <f>IFERROR(AVERAGEIF('Данные 1st'!$S$2:$S$317,$A84,'Данные 1st'!$FV$2:$FV$317),"")</f>
        <v/>
      </c>
      <c r="CM84" s="7">
        <f>IFERROR(AVERAGEIF('Данные 1st'!$S$2:$S$317,$A84,'Данные 1st'!$FW$2:$FW$317),"")</f>
        <v/>
      </c>
      <c r="CN84" s="7">
        <f>IFERROR(AVERAGEIF('Данные 1st'!$S$2:$S$317,$A84,'Данные 1st'!$FZ$2:$FZ$317),"")</f>
        <v/>
      </c>
      <c r="CO84" s="7">
        <f>IFERROR(AVERAGEIF('Данные 1st'!$S$2:$S$317,$A84,'Данные 1st'!$GA$2:$GA$317),"")</f>
        <v/>
      </c>
      <c r="CP84" s="7">
        <f>IFERROR(AVERAGEIF('Данные 1st'!$S$2:$S$317,$A84,'Данные 1st'!$GB$2:$GB$317),"")</f>
        <v/>
      </c>
      <c r="CQ84" s="7">
        <f>IFERROR(AVERAGEIF('Данные 1st'!$S$2:$S$317,$A84,'Данные 1st'!$GH$2:$GH$317),"")</f>
        <v/>
      </c>
      <c r="CR84" s="7">
        <f>IFERROR(AVERAGEIF('Данные 1st'!$S$2:$S$317,$A84,'Данные 1st'!$GI$2:$GI$317),"")</f>
        <v/>
      </c>
      <c r="CS84" s="7">
        <f>IFERROR(AVERAGEIF('Данные 1st'!$S$2:$S$317,$A84,'Данные 1st'!$GJ$2:$GJ$317),"")</f>
        <v/>
      </c>
      <c r="CT84" s="7">
        <f>IFERROR(AVERAGEIF('Данные 1st'!$S$2:$S$317,$A84,'Данные 1st'!$GS$2:$GS$317),"")</f>
        <v>0.4</v>
      </c>
      <c r="CU84" s="7">
        <f>IFERROR(AVERAGEIF('Данные 1st'!$S$2:$S$317,$A84,'Данные 1st'!$GT$2:$GT$317),"")</f>
        <v>30</v>
      </c>
      <c r="CV84" s="7">
        <f>IFERROR(AVERAGEIF('Данные 1st'!$S$2:$S$317,$A84,'Данные 1st'!$GU$2:$GU$317),"")</f>
        <v>430</v>
      </c>
      <c r="CW84" s="7">
        <f>IFERROR(AVERAGEIF('Данные 1st'!$S$2:$S$317,$A84,'Данные 1st'!$GV$2:$GV$317),"")</f>
        <v>30</v>
      </c>
      <c r="CX84" s="7">
        <f>IFERROR(AVERAGEIF('Данные 1st'!$S$2:$S$317,$A84,'Данные 1st'!$GW$2:$GW$317),"")</f>
        <v>320</v>
      </c>
      <c r="CY84" s="7">
        <f>IFERROR(AVERAGEIF('Данные 1st'!$S$2:$S$317,$A84,'Данные 1st'!$GZ$2:$GZ$317),"")</f>
        <v/>
      </c>
      <c r="CZ84" s="7">
        <f>IFERROR(AVERAGEIF('Данные 1st'!$S$2:$S$317,$A84,'Данные 1st'!$HA$2:$HA$317),"")</f>
        <v/>
      </c>
      <c r="DA84" s="7">
        <f>IFERROR(AVERAGEIF('Данные 1st'!$S$2:$S$317,$A84,'Данные 1st'!$HB$2:$HB$317),"")</f>
        <v/>
      </c>
      <c r="DB84" s="7">
        <f>IFERROR(AVERAGEIF('Данные 1st'!$S$2:$S$317,$A84,'Данные 1st'!$HC$2:$HC$317),"")</f>
        <v>0.1</v>
      </c>
      <c r="DC84" s="7">
        <f>IFERROR(AVERAGEIF('Данные 1st'!$S$2:$S$317,$A84,'Данные 1st'!$HD$2:$HD$317),"")</f>
        <v>3</v>
      </c>
      <c r="DD84" s="7">
        <f>IFERROR(AVERAGEIF('Данные 1st'!$S$2:$S$317,$A84,'Данные 1st'!$HE$2:$HE$317),"")</f>
        <v>3</v>
      </c>
      <c r="DE84" s="7">
        <f>IFERROR(AVERAGEIF('Данные 1st'!$S$2:$S$317,$A84,'Данные 1st'!$HF$2:$HF$317),"")</f>
        <v>3</v>
      </c>
      <c r="DF84" s="7">
        <f>IFERROR(AVERAGEIF('Данные 1st'!$S$2:$S$317,$A84,'Данные 1st'!$HG$2:$HG$317),"")</f>
        <v>3</v>
      </c>
      <c r="DG84" s="7">
        <f>IFERROR(AVERAGEIF('Данные 1st'!$S$2:$S$317,$A84,'Данные 1st'!$HH$2:$HH$317),"")</f>
        <v>3</v>
      </c>
      <c r="DH84" s="7">
        <f>IFERROR(AVERAGEIF('Данные 1st'!$S$2:$S$317,$A84,'Данные 1st'!$HI$2:$HI$317),"")</f>
        <v>135</v>
      </c>
      <c r="DI84" s="7">
        <f>IFERROR(AVERAGEIF('Данные 1st'!$S$2:$S$317,$A84,'Данные 1st'!$HJ$2:$HJ$317),"")</f>
        <v>3</v>
      </c>
      <c r="DJ84" s="7">
        <f>IFERROR(AVERAGEIF('Данные 1st'!$S$2:$S$317,$A84,'Данные 1st'!$HK$2:$HK$317),"")</f>
        <v>30</v>
      </c>
      <c r="DK84" s="7">
        <f>IFERROR(AVERAGEIF('Данные 1st'!$S$2:$S$317,$A84,'Данные 1st'!$HL$2:$HL$317),"")</f>
        <v>2</v>
      </c>
      <c r="DL84" s="7">
        <f>IFERROR(AVERAGEIF('Данные 1st'!$S$2:$S$317,$A84,'Данные 1st'!$HM$2:$HM$317),"")</f>
        <v>0</v>
      </c>
      <c r="DM84" s="7">
        <f>IFERROR(AVERAGEIF('Данные 1st'!$S$2:$S$317,$A84,'Данные 1st'!$HN$2:$HN$317),"")</f>
        <v>2</v>
      </c>
      <c r="DN84" s="7">
        <f>IFERROR(AVERAGEIF('Данные 1st'!$S$2:$S$317,$A84,'Данные 1st'!$HO$2:$HO$317),"")</f>
        <v>90</v>
      </c>
      <c r="DO84" s="7">
        <f>IFERROR(AVERAGEIF('Данные 1st'!$S$2:$S$317,$A84,'Данные 1st'!$HP$2:$HP$317),"")</f>
        <v>3</v>
      </c>
      <c r="DP84" s="7">
        <f>IFERROR(AVERAGEIF('Данные 1st'!$S$2:$S$317,$A84,'Данные 1st'!$HQ$2:$HQ$317),"")</f>
        <v>0</v>
      </c>
      <c r="DQ84" s="7">
        <f>IFERROR(AVERAGEIF('Данные 1st'!$S$2:$S$317,$A84,'Данные 1st'!$HR$2:$HR$317),"")</f>
        <v>2</v>
      </c>
      <c r="DR84" s="7">
        <f>IFERROR(AVERAGEIF('Данные 1st'!$S$2:$S$317,$A84,'Данные 1st'!$HS$2:$HS$317),"")</f>
        <v>6233</v>
      </c>
      <c r="DS84" s="7">
        <f>IFERROR(AVERAGEIF('Данные 1st'!$S$2:$S$317,$A84,'Данные 1st'!$HT$2:$HT$317),"")</f>
        <v>190</v>
      </c>
      <c r="DT84" s="7">
        <f>IFERROR(AVERAGEIF('Данные 1st'!$S$2:$S$317,$A84,'Данные 1st'!$HU$2:$HU$317),"")</f>
        <v>180</v>
      </c>
      <c r="DU84" s="7">
        <f>IFERROR(AVERAGEIF('Данные 1st'!$S$2:$S$317,$A84,'Данные 1st'!$HW$2:$HW$317),"")</f>
        <v>0</v>
      </c>
      <c r="DV84" s="7">
        <f>IFERROR(AVERAGEIF('Данные 1st'!$S$2:$S$317,$A84,'Данные 1st'!$HX$2:$HX$317),"")</f>
        <v>475</v>
      </c>
      <c r="DW84" s="7">
        <f>IFERROR(AVERAGEIF('Данные 1st'!$S$2:$S$317,$A84,'Данные 1st'!$HY$2:$HY$317),"")</f>
        <v>0.18</v>
      </c>
      <c r="DX84" s="7">
        <f>IFERROR(AVERAGEIF('Данные 1st'!$S$2:$S$317,$A84,'Данные 1st'!$IA$2:$IA$317),"")</f>
        <v>0.15</v>
      </c>
      <c r="DY84" s="7">
        <f>IFERROR(AVERAGEIF('Данные 1st'!$S$2:$S$317,$A84,'Данные 1st'!$IB$2:$IB$317),"")</f>
        <v>0</v>
      </c>
      <c r="DZ84" s="7">
        <f>IFERROR(AVERAGEIF('Данные 1st'!$S$2:$S$317,$A84,'Данные 1st'!$IC$2:$IC$317),"")</f>
        <v>180</v>
      </c>
      <c r="EA84" s="7">
        <f>IFERROR(AVERAGEIF('Данные 1st'!$S$2:$S$317,$A84,'Данные 1st'!$ID$2:$ID$317),"")</f>
        <v>110</v>
      </c>
      <c r="EB84" s="7">
        <f>IFERROR(AVERAGEIF('Данные 1st'!$S$2:$S$317,$A84,'Данные 1st'!$IE$2:$IE$317),"")</f>
        <v>225</v>
      </c>
      <c r="EC84" s="7">
        <f>IFERROR(AVERAGEIF('Данные 1st'!$S$2:$S$317,$A84,'Данные 1st'!$IF$2:$IF$317),"")</f>
        <v>0</v>
      </c>
      <c r="ED84" s="7">
        <f>IFERROR(AVERAGEIF('Данные 1st'!$S$2:$S$317,$A84,'Данные 1st'!$IP$2:$IP$317),"")</f>
        <v>20</v>
      </c>
      <c r="EE84" s="7">
        <f>IFERROR(AVERAGEIF('Данные 1st'!$S$2:$S$317,$A84,'Данные 1st'!$IV$2:$IV$317),"")</f>
        <v>1538</v>
      </c>
      <c r="EF84" s="7">
        <f>IFERROR(AVERAGEIF('Данные 1st'!$S$2:$S$317,$A84,'Данные 1st'!$IW$2:$IW$317),"")</f>
        <v>468</v>
      </c>
      <c r="EG84" s="7">
        <f>IFERROR(AVERAGEIF('Данные 1st'!$S$2:$S$317,$A84,'Данные 1st'!$IX$2:$IX$317),"")</f>
        <v/>
      </c>
      <c r="EH84" s="7">
        <f>IFERROR(AVERAGEIF('Данные 1st'!$S$2:$S$317,$A84,'Данные 1st'!$IY$2:$IY$317),"")</f>
        <v/>
      </c>
      <c r="EI84" s="7">
        <f>IFERROR(AVERAGEIF('Данные 1st'!$S$2:$S$317,$A84,'Данные 1st'!$JD$2:$JD$317),"")</f>
        <v>1554</v>
      </c>
      <c r="EJ84" s="7">
        <f>IFERROR(AVERAGEIF('Данные 1st'!$S$2:$S$317,$A84,'Данные 1st'!$JE$2:$JE$317),"")</f>
        <v>1547</v>
      </c>
      <c r="EK84" s="7">
        <f>IFERROR(AVERAGEIF('Данные 1st'!$S$2:$S$317,$A84,'Данные 1st'!$JF$2:$JF$317),"")</f>
        <v>1552</v>
      </c>
      <c r="EL84" s="7">
        <f>IFERROR(AVERAGEIF('Данные 1st'!$S$2:$S$317,$A84,'Данные 1st'!$JG$2:$JG$317),"")</f>
        <v>1534</v>
      </c>
      <c r="EM84" s="7">
        <f>IFERROR(AVERAGEIF('Данные 1st'!$S$2:$S$317,$A84,'Данные 1st'!$JH$2:$JH$317),"")</f>
        <v>0</v>
      </c>
      <c r="EN84" s="7">
        <f>IFERROR(AVERAGEIF('Данные 1st'!$S$2:$S$317,$A84,'Данные 1st'!$JJ$2:$JJ$317),"")</f>
        <v>180</v>
      </c>
      <c r="EO84" s="7">
        <f>IFERROR(AVERAGEIF('Данные 1st'!$S$2:$S$317,$A84,'Данные 1st'!$JK$2:$JK$317),"")</f>
        <v>475</v>
      </c>
      <c r="EP84" s="7">
        <f>IFERROR(AVERAGEIF('Данные 1st'!$S$2:$S$317,$A84,'Данные 1st'!$JL$2:$JL$317),"")</f>
        <v/>
      </c>
      <c r="EQ84" s="7">
        <f>IFERROR(AVERAGEIF('Данные 1st'!$S$2:$S$317,$A84,'Данные 1st'!$JM$2:$JM$317),"")</f>
        <v/>
      </c>
      <c r="ER84" s="7">
        <f>IFERROR(AVERAGEIF('Данные 1st'!$S$2:$S$317,$A84,'Данные 1st'!$JN$2:$JN$317),"")</f>
        <v>430</v>
      </c>
      <c r="ES84" s="7">
        <f>IFERROR(AVERAGEIF('Данные 1st'!$S$2:$S$317,$A84,'Данные 1st'!$JO$2:$JO$317),"")</f>
        <v>605</v>
      </c>
      <c r="ET84" s="7">
        <f>IFERROR(AVERAGEIF('Данные 1st'!$S$2:$S$317,$A84,'Данные 1st'!$JP$2:$JP$317),"")</f>
        <v>510</v>
      </c>
      <c r="EU84" s="7">
        <f>IFERROR(AVERAGEIF('Данные 1st'!$S$2:$S$317,$A84,'Данные 1st'!$JQ$2:$JQ$317),"")</f>
        <v>0</v>
      </c>
      <c r="EV84" s="7">
        <f>IFERROR(AVERAGEIF('Данные 1st'!$S$2:$S$317,$A84,'Данные 1st'!$JR$2:$JR$317),"")</f>
        <v>468</v>
      </c>
      <c r="EW84" s="7">
        <f>IFERROR(AVERAGEIF('Данные 1st'!$S$2:$S$317,$A84,'Данные 1st'!$JS$2:$JS$317),"")</f>
        <v>135</v>
      </c>
      <c r="EX84" s="7">
        <f>IFERROR(AVERAGEIF('Данные 1st'!$S$2:$S$317,$A84,'Данные 1st'!$JT$2:$JT$317),"")</f>
        <v/>
      </c>
      <c r="EY84" s="7">
        <f>IFERROR(AVERAGEIF('Данные 1st'!$S$2:$S$317,$A84,'Данные 1st'!$JU$2:$JU$317),"")</f>
        <v/>
      </c>
      <c r="EZ84" s="7">
        <f>IFERROR(AVERAGEIF('Данные 1st'!$S$2:$S$317,$A84,'Данные 1st'!$JV$2:$JV$317),"")</f>
        <v>10</v>
      </c>
      <c r="FA84" s="7">
        <f>IFERROR(AVERAGEIF('Данные 1st'!$S$2:$S$317,$A84,'Данные 1st'!$JW$2:$JW$317),"")</f>
        <v/>
      </c>
      <c r="FB84" s="7">
        <f>IFERROR(AVERAGEIF('Данные 1st'!$S$2:$S$317,$A84,'Данные 1st'!$JX$2:$JX$317),"")</f>
        <v>528</v>
      </c>
      <c r="FC84" s="7">
        <f>IFERROR(AVERAGEIF('Данные 1st'!$S$2:$S$317,$A84,'Данные 1st'!$JY$2:$JY$317),"")</f>
        <v/>
      </c>
      <c r="FD84" s="7">
        <f>IFERROR(AVERAGEIF('Данные 1st'!$S$2:$S$317,$A84,'Данные 1st'!$JZ$2:$JZ$317),"")</f>
        <v/>
      </c>
      <c r="FE84" s="7">
        <f>IFERROR(AVERAGEIF('Данные 1st'!$S$2:$S$317,$A84,'Данные 1st'!$KA$2:$KA$317),"")</f>
        <v>225</v>
      </c>
      <c r="FF84" s="7">
        <f>IFERROR(AVERAGEIF('Данные 1st'!$S$2:$S$317,$A84,'Данные 1st'!$KB$2:$KB$317),"")</f>
        <v>110</v>
      </c>
      <c r="FG84" s="7">
        <f>IFERROR(AVERAGEIF('Данные 1st'!$S$2:$S$317,$A84,'Данные 1st'!$KC$2:$KC$317),"")</f>
        <v>0</v>
      </c>
      <c r="FH84" s="7">
        <f>IFERROR(AVERAGEIF('Данные 1st'!$S$2:$S$317,$A84,'Данные 1st'!$KD$2:$KD$317),"")</f>
        <v>80</v>
      </c>
      <c r="FI84" s="7">
        <f>IFERROR(AVERAGEIF('Данные 1st'!$S$2:$S$317,$A84,'Данные 1st'!$KE$2:$KE$317),"")</f>
        <v/>
      </c>
      <c r="FJ84" s="7">
        <f>IFERROR(AVERAGEIF('Данные 1st'!$S$2:$S$317,$A84,'Данные 1st'!$KF$2:$KF$317),"")</f>
        <v>4</v>
      </c>
      <c r="FK84" s="7">
        <f>IFERROR(AVERAGEIF('Данные 1st'!$S$2:$S$317,$A84,'Данные 1st'!$KG$2:$KG$317),"")</f>
        <v>2</v>
      </c>
      <c r="FL84" s="7">
        <f>IFERROR(AVERAGEIF('Данные 1st'!$S$2:$S$317,$A84,'Данные 1st'!$KH$2:$KH$317),"")</f>
        <v>2</v>
      </c>
      <c r="FM84" s="7">
        <f>IFERROR(AVERAGEIF('Данные 1st'!$S$2:$S$317,$A84,'Данные 1st'!$KI$2:$KI$317),"")</f>
        <v>2</v>
      </c>
      <c r="FN84" s="7">
        <f>IFERROR(AVERAGEIF('Данные 1st'!$S$2:$S$317,$A84,'Данные 1st'!$KJ$2:$KJ$317),"")</f>
        <v>0</v>
      </c>
      <c r="FO84" s="7">
        <f>IFERROR(AVERAGEIF('Данные 1st'!$S$2:$S$317,$A84,'Данные 1st'!$KK$2:$KK$317),"")</f>
        <v>1.5</v>
      </c>
      <c r="FP84" s="7">
        <f>IFERROR(AVERAGEIF('Данные 1st'!$S$2:$S$317,$A84,'Данные 1st'!$KL$2:$KL$317),"")</f>
        <v>1.5</v>
      </c>
      <c r="FQ84" s="7">
        <f>IFERROR(AVERAGEIF('Данные 1st'!$S$2:$S$317,$A84,'Данные 1st'!$KM$2:$KM$317),"")</f>
        <v>0</v>
      </c>
      <c r="FR84" s="7">
        <f>IFERROR(AVERAGEIF('Данные 1st'!$S$2:$S$317,$A84,'Данные 1st'!$KN$2:$KN$317),"")</f>
        <v>0</v>
      </c>
      <c r="FS84" s="7">
        <f>IFERROR(AVERAGEIF('Данные 1st'!$S$2:$S$317,$A84,'Данные 1st'!$KR$2:$KR$317),"")</f>
        <v>30</v>
      </c>
      <c r="FT84" s="7">
        <f>IFERROR(AVERAGEIF('Данные 1st'!$S$2:$S$317,$A84,'Данные 1st'!$KS$2:$KS$317),"")</f>
        <v>60</v>
      </c>
      <c r="FU84" s="7">
        <f>IFERROR(AVERAGEIF('Данные 1st'!$S$2:$S$317,$A84,'Данные 1st'!$KT$2:$KT$317),"")</f>
        <v>0</v>
      </c>
      <c r="FV84" s="7">
        <f>IFERROR(AVERAGEIF('Данные 1st'!$S$2:$S$317,$A84,'Данные 1st'!$KV$2:$KV$317),"")</f>
        <v/>
      </c>
      <c r="FW84" s="7">
        <f>IFERROR(AVERAGEIF('Данные 1st'!$S$2:$S$317,$A84,'Данные 1st'!$KW$2:$KW$317),"")</f>
        <v/>
      </c>
      <c r="FX84" s="7">
        <f>IFERROR(AVERAGEIF('Данные 1st'!$S$2:$S$317,$A84,'Данные 1st'!$KX$2:$KX$317),"")</f>
        <v/>
      </c>
      <c r="FY84" s="7">
        <f>IFERROR(AVERAGEIF('Данные 1st'!$S$2:$S$317,$A84,'Данные 1st'!$KY$2:$KY$317),"")</f>
        <v/>
      </c>
      <c r="FZ84" s="7">
        <f>IFERROR(AVERAGEIF('Данные 1st'!$S$2:$S$317,$A84,'Данные 1st'!$KZ$2:$KZ$317),"")</f>
        <v/>
      </c>
      <c r="GA84" s="7">
        <f>IFERROR(AVERAGEIF('Данные 1st'!$S$2:$S$317,$A84,'Данные 1st'!$LA$2:$LA$317),"")</f>
        <v/>
      </c>
      <c r="GB84" s="7">
        <f>IFERROR(AVERAGEIF('Данные 1st'!$S$2:$S$317,$A84,'Данные 1st'!$LB$2:$LB$317),"")</f>
        <v/>
      </c>
      <c r="GC84" s="7">
        <f>IFERROR(AVERAGEIF('Данные 1st'!$S$2:$S$317,$A84,'Данные 1st'!$LC$2:$LC$317),"")</f>
        <v/>
      </c>
      <c r="GD84" s="7">
        <f>IFERROR(AVERAGEIF('Данные 1st'!$S$2:$S$317,$A84,'Данные 1st'!$LD$2:$LD$317),"")</f>
        <v/>
      </c>
      <c r="GE84" s="7">
        <f>IFERROR(AVERAGEIF('Данные 1st'!$S$2:$S$317,$A84,'Данные 1st'!$LE$2:$LE$317),"")</f>
        <v/>
      </c>
      <c r="GF84" s="7">
        <f>IFERROR(AVERAGEIF('Данные 1st'!$S$2:$S$317,$A84,'Данные 1st'!$LF$2:$LF$317),"")</f>
        <v/>
      </c>
      <c r="GG84" s="7">
        <f>IFERROR(AVERAGEIF('Данные 1st'!$S$2:$S$317,$A84,'Данные 1st'!$LG$2:$LG$317),"")</f>
        <v/>
      </c>
      <c r="GH84" s="7">
        <f>IFERROR(AVERAGEIF('Данные 1st'!$S$2:$S$317,$A84,'Данные 1st'!$LH$2:$LH$317),"")</f>
        <v/>
      </c>
      <c r="GI84" s="7">
        <f>IFERROR(AVERAGEIF('Данные 1st'!$S$2:$S$317,$A84,'Данные 1st'!$LI$2:$LI$317),"")</f>
        <v/>
      </c>
      <c r="GJ84" s="7">
        <f>IFERROR(AVERAGEIF('Данные 1st'!$S$2:$S$317,$A84,'Данные 1st'!$LJ$2:$LJ$317),"")</f>
        <v/>
      </c>
      <c r="GK84" s="7">
        <f>IFERROR(AVERAGEIF('Данные 1st'!$S$2:$S$317,$A84,'Данные 1st'!$LK$2:$LK$317),"")</f>
        <v>480</v>
      </c>
      <c r="GL84" s="7">
        <f>IFERROR(AVERAGEIF('Данные 1st'!$S$2:$S$317,$A84,'Данные 1st'!$LV$2:$LV$317),"")</f>
        <v/>
      </c>
      <c r="GM84" s="7">
        <f>IFERROR(AVERAGEIF('Данные 1st'!$S$2:$S$317,$A84,'Данные 1st'!$LW$2:$LW$317),"")</f>
        <v/>
      </c>
      <c r="GN84" s="7">
        <f>IFERROR(AVERAGEIF('Данные 1st'!$S$2:$S$317,$A84,'Данные 1st'!$LX$2:$LX$317),"")</f>
        <v/>
      </c>
      <c r="GO84" s="7">
        <f>IFERROR(AVERAGEIF('Данные 1st'!$S$2:$S$317,$A84,'Данные 1st'!$LY$2:$LY$317),"")</f>
        <v/>
      </c>
      <c r="GP84" s="7">
        <f>IFERROR(AVERAGEIF('Данные 1st'!$S$2:$S$317,$A84,'Данные 1st'!$LZ$2:$LZ$317),"")</f>
        <v/>
      </c>
      <c r="GQ84" s="7">
        <f>IFERROR(AVERAGEIF('Данные 1st'!$S$2:$S$317,$A84,'Данные 1st'!$PG$2:$PG$317),"")</f>
        <v>1</v>
      </c>
      <c r="GR84" s="7">
        <f>IFERROR(AVERAGEIF('Данные 1st'!$S$2:$S$317,$A84,'Данные 1st'!$PX$2:$PX$317),"")</f>
        <v>56</v>
      </c>
      <c r="GS84" s="7">
        <f>IFERROR(AVERAGEIF('Данные 1st'!$S$2:$S$317,$A84,'Данные 1st'!$PY$2:$PY$317),"")</f>
        <v>56</v>
      </c>
      <c r="GT84" s="7">
        <f>IFERROR(AVERAGEIF('Данные 1st'!$S$2:$S$317,$A84,'Данные 1st'!$QA$2:$QA$317),"")</f>
        <v>1</v>
      </c>
      <c r="GU84" s="7">
        <f>IFERROR(AVERAGEIF('Данные 1st'!$S$2:$S$317,$A84,'Данные 1st'!$QB$2:$QB$317),"")</f>
        <v>1534</v>
      </c>
      <c r="GV84" s="7">
        <f>IFERROR(AVERAGEIF('Данные 1st'!$S$2:$S$317,$A84,'Данные 1st'!$QC$2:$QC$317),"")</f>
        <v>69</v>
      </c>
      <c r="GW84" s="7">
        <f>IFERROR(AVERAGEIF('Данные 1st'!$S$2:$S$317,$A84,'Данные 1st'!$QD$2:$QD$317),"")</f>
        <v>69</v>
      </c>
      <c r="GX84" s="7">
        <f>IFERROR(AVERAGEIF('Данные 1st'!$S$2:$S$317,$A84,'Данные 1st'!$QF$2:$QF$317),"")</f>
        <v>1</v>
      </c>
      <c r="GY84" s="7">
        <f>IFERROR(AVERAGEIF('Данные 1st'!$S$2:$S$317,$A84,'Данные 1st'!$QG$2:$QG$317),"")</f>
        <v>1554</v>
      </c>
      <c r="GZ84" s="7">
        <f>IFERROR(AVERAGEIF('Данные 1st'!$S$2:$S$317,$A84,'Данные 1st'!$QH$2:$QH$317),"")</f>
        <v>66</v>
      </c>
      <c r="HA84" s="7">
        <f>IFERROR(AVERAGEIF('Данные 1st'!$S$2:$S$317,$A84,'Данные 1st'!$QI$2:$QI$317),"")</f>
        <v>66</v>
      </c>
      <c r="HB84" s="7">
        <f>IFERROR(AVERAGEIF('Данные 1st'!$S$2:$S$317,$A84,'Данные 1st'!$QK$2:$QK$317),"")</f>
        <v>1</v>
      </c>
      <c r="HC84" s="7">
        <f>IFERROR(AVERAGEIF('Данные 1st'!$S$2:$S$317,$A84,'Данные 1st'!$QL$2:$QL$317),"")</f>
        <v>1554</v>
      </c>
      <c r="HD84" s="7">
        <f>IFERROR(AVERAGEIF('Данные 1st'!$S$2:$S$317,$A84,'Данные 1st'!$QM$2:$QM$317),"")</f>
        <v>62</v>
      </c>
      <c r="HE84" s="7">
        <f>IFERROR(AVERAGEIF('Данные 1st'!$S$2:$S$317,$A84,'Данные 1st'!$QN$2:$QN$317),"")</f>
        <v>62</v>
      </c>
      <c r="HF84" s="7">
        <f>IFERROR(AVERAGEIF('Данные 1st'!$S$2:$S$317,$A84,'Данные 1st'!$QP$2:$QP$317),"")</f>
        <v>1</v>
      </c>
      <c r="HG84" s="7">
        <f>IFERROR(AVERAGEIF('Данные 1st'!$S$2:$S$317,$A84,'Данные 1st'!$QQ$2:$QQ$317),"")</f>
        <v>1547</v>
      </c>
      <c r="HH84" s="7">
        <f>IFERROR(AVERAGEIF('Данные 1st'!$S$2:$S$317,$A84,'Данные 1st'!$QR$2:$QR$317),"")</f>
        <v>62</v>
      </c>
      <c r="HI84" s="7">
        <f>IFERROR(AVERAGEIF('Данные 1st'!$S$2:$S$317,$A84,'Данные 1st'!$QS$2:$QS$317),"")</f>
        <v>62</v>
      </c>
      <c r="HJ84" s="7">
        <f>IFERROR(AVERAGEIF('Данные 1st'!$S$2:$S$317,$A84,'Данные 1st'!$QU$2:$QU$317),"")</f>
        <v>1</v>
      </c>
      <c r="HK84" s="7">
        <f>IFERROR(AVERAGEIF('Данные 1st'!$S$2:$S$317,$A84,'Данные 1st'!$QV$2:$QV$317),"")</f>
        <v>1552</v>
      </c>
      <c r="HL84" s="7">
        <f>IFERROR(AVERAGEIF('Данные 1st'!$S$2:$S$317,$A84,'Данные 1st'!$QW$2:$QW$317),"")</f>
        <v>82</v>
      </c>
      <c r="HM84" s="7">
        <f>IFERROR(AVERAGEIF('Данные 1st'!$S$2:$S$317,$A84,'Данные 1st'!$QX$2:$QX$317),"")</f>
        <v/>
      </c>
      <c r="HN84" s="7">
        <f>IFERROR(AVERAGEIF('Данные 1st'!$S$2:$S$317,$A84,'Данные 1st'!$QZ$2:$QZ$317),"")</f>
        <v>2</v>
      </c>
      <c r="HO84" s="7">
        <f>IFERROR(AVERAGEIF('Данные 1st'!$S$2:$S$317,$A84,'Данные 1st'!$RA$2:$RA$317),"")</f>
        <v>66</v>
      </c>
      <c r="HP84" s="7">
        <f>IFERROR(AVERAGEIF('Данные 1st'!$S$2:$S$317,$A84,'Данные 1st'!$RB$2:$RB$317),"")</f>
        <v>66</v>
      </c>
      <c r="HQ84" s="7">
        <f>IFERROR(AVERAGEIF('Данные 1st'!$S$2:$S$317,$A84,'Данные 1st'!$RD$2:$RD$317),"")</f>
        <v/>
      </c>
      <c r="HR84" s="7">
        <f>IFERROR(AVERAGEIF('Данные 1st'!$S$2:$S$317,$A84,'Данные 1st'!$RE$2:$RE$317),"")</f>
        <v>0</v>
      </c>
      <c r="HS84" s="7">
        <f>IFERROR(AVERAGEIF('Данные 1st'!$S$2:$S$317,$A84,'Данные 1st'!$RF$2:$RF$317),"")</f>
        <v>1</v>
      </c>
      <c r="HT84" s="7">
        <f>IFERROR(AVERAGEIF('Данные 1st'!$S$2:$S$317,$A84,'Данные 1st'!$RG$2:$RG$317),"")</f>
        <v/>
      </c>
      <c r="HU84" s="7">
        <f>IFERROR(AVERAGEIF('Данные 1st'!$S$2:$S$317,$A84,'Данные 1st'!$RH$2:$RH$317),"")</f>
        <v>1</v>
      </c>
      <c r="HV84" s="7">
        <f>IFERROR(AVERAGEIF('Данные 1st'!$S$2:$S$317,$A84,'Данные 1st'!$RI$2:$RI$317),"")</f>
        <v/>
      </c>
      <c r="HW84" s="7">
        <f>IFERROR(AVERAGEIF('Данные 1st'!$S$2:$S$317,$A84,'Данные 1st'!$RJ$2:$RJ$317),"")</f>
        <v>1</v>
      </c>
      <c r="HX84" s="7">
        <f>IFERROR(AVERAGEIF('Данные 1st'!$S$2:$S$317,$A84,'Данные 1st'!$RK$2:$RK$317),"")</f>
        <v>2</v>
      </c>
      <c r="HY84" s="7">
        <f>IFERROR(AVERAGEIF('Данные 1st'!$S$2:$S$317,$A84,'Данные 1st'!$RL$2:$RL$317),"")</f>
        <v>4</v>
      </c>
      <c r="HZ84" s="7">
        <f>IFERROR(AVERAGEIF('Данные 1st'!$S$2:$S$317,$A84,'Данные 1st'!$RM$2:$RM$317),"")</f>
        <v>4</v>
      </c>
      <c r="IA84" s="7">
        <f>IFERROR(AVERAGEIF('Данные 1st'!$S$2:$S$317,$A84,'Данные 1st'!$RN$2:$RN$317),"")</f>
        <v/>
      </c>
      <c r="IB84" s="7">
        <f>IFERROR(AVERAGEIF('Данные 1st'!$S$2:$S$317,$A84,'Данные 1st'!$RO$2:$RO$317),"")</f>
        <v>609</v>
      </c>
      <c r="IC84" s="7">
        <f>IFERROR(AVERAGEIF('Данные 1st'!$S$2:$S$317,$A84,'Данные 1st'!$RP$2:$RP$317),"")</f>
        <v>125</v>
      </c>
      <c r="ID84" s="7">
        <f>IFERROR(AVERAGEIF('Данные 1st'!$S$2:$S$317,$A84,'Данные 1st'!$RQ$2:$RQ$317),"")</f>
        <v>698</v>
      </c>
      <c r="IE84" s="7">
        <f>IFERROR(AVERAGEIF('Данные 1st'!$S$2:$S$317,$A84,'Данные 1st'!$RR$2:$RR$317),"")</f>
        <v>555</v>
      </c>
      <c r="IF84" s="7">
        <f>IFERROR(AVERAGEIF('Данные 1st'!$S$2:$S$317,$A84,'Данные 1st'!$RS$2:$RS$317),"")</f>
        <v/>
      </c>
      <c r="IG84" s="7">
        <f>IFERROR(AVERAGEIF('Данные 1st'!$S$2:$S$317,$A84,'Данные 1st'!$RT$2:$RT$317),"")</f>
        <v>381</v>
      </c>
      <c r="IH84" s="7">
        <f>IFERROR(AVERAGEIF('Данные 1st'!$S$2:$S$317,$A84,'Данные 1st'!$RU$2:$RU$317),"")</f>
        <v>231</v>
      </c>
      <c r="II84" s="7">
        <f>IFERROR(AVERAGEIF('Данные 1st'!$S$2:$S$317,$A84,'Данные 1st'!$RX$2:$RX$317),"")</f>
        <v>15</v>
      </c>
      <c r="IJ84" s="7">
        <f>IFERROR(AVERAGEIF('Данные 1st'!$S$2:$S$317,$A84,'Данные 1st'!$RY$2:$RY$317),"")</f>
        <v>4</v>
      </c>
      <c r="IK84" s="7">
        <f>IFERROR(AVERAGEIF('Данные 1st'!$S$2:$S$317,$A84,'Данные 1st'!$SA$2:$SA$317),"")</f>
        <v>15</v>
      </c>
      <c r="IL84" s="7">
        <f>IFERROR(AVERAGEIF('Данные 1st'!$S$2:$S$317,$A84,'Данные 1st'!$SD$2:$SD$317),"")</f>
        <v>1</v>
      </c>
      <c r="IM84" s="7">
        <f>IFERROR(AVERAGEIF('Данные 1st'!$S$2:$S$317,$A84,'Данные 1st'!$SG$2:$SG$317),"")</f>
        <v>1</v>
      </c>
      <c r="IN84" s="7">
        <f>IFERROR(AVERAGEIF('Данные 1st'!$S$2:$S$317,$A84,'Данные 1st'!$SH$2:$SH$317),"")</f>
        <v>0.995</v>
      </c>
      <c r="IO84" s="7">
        <f>IFERROR(AVERAGEIF('Данные 1st'!$S$2:$S$317,$A84,'Данные 1st'!$SI$2:$SI$317),"")</f>
        <v>0.995</v>
      </c>
      <c r="IP84" s="7">
        <f>IFERROR(AVERAGEIF('Данные 1st'!$S$2:$S$317,$A84,'Данные 1st'!$SJ$2:$SJ$317),"")</f>
        <v>0.995</v>
      </c>
      <c r="IQ84" s="7">
        <f>IFERROR(AVERAGEIF('Данные 1st'!$S$2:$S$317,$A84,'Данные 1st'!$SK$2:$SK$317),"")</f>
        <v>15</v>
      </c>
      <c r="IR84" s="7">
        <f>IFERROR(AVERAGEIF('Данные 1st'!$S$2:$S$317,$A84,'Данные 1st'!$SL$2:$SL$317),"")</f>
        <v>0</v>
      </c>
      <c r="IS84" s="7">
        <f>IFERROR(AVERAGEIF('Данные 1st'!$S$2:$S$317,$A84,'Данные 1st'!$SM$2:$SM$317),"")</f>
        <v>0</v>
      </c>
      <c r="IT84" s="7">
        <f>IFERROR(AVERAGEIF('Данные 1st'!$S$2:$S$317,$A84,'Данные 1st'!$SN$2:$SN$317),"")</f>
        <v>0</v>
      </c>
      <c r="IU84" s="7">
        <f>IFERROR(AVERAGEIF('Данные 1st'!$S$2:$S$317,$A84,'Данные 1st'!$SO$2:$SO$317),"")</f>
        <v>0</v>
      </c>
      <c r="IV84" s="7">
        <f>IFERROR(AVERAGEIF('Данные 1st'!$S$2:$S$317,$A84,'Данные 1st'!$SP$2:$SP$317),"")</f>
        <v>0</v>
      </c>
      <c r="IW84" s="7">
        <f>IFERROR(AVERAGEIF('Данные 1st'!$S$2:$S$317,$A84,'Данные 1st'!$SQ$2:$SQ$317),"")</f>
        <v>0</v>
      </c>
      <c r="IX84" s="7">
        <f>IFERROR(AVERAGEIF('Данные 1st'!$S$2:$S$317,$A84,'Данные 1st'!$SR$2:$SR$317),"")</f>
        <v>0</v>
      </c>
      <c r="IY84" s="7">
        <f>IFERROR(AVERAGEIF('Данные 1st'!$S$2:$S$317,$A84,'Данные 1st'!$SS$2:$SS$317),"")</f>
        <v>0</v>
      </c>
      <c r="IZ84" s="7">
        <f>IFERROR(AVERAGEIF('Данные 1st'!$S$2:$S$317,$A84,'Данные 1st'!$ST$2:$ST$317),"")</f>
        <v>0</v>
      </c>
      <c r="JA84" s="7">
        <f>IFERROR(AVERAGEIF('Данные 1st'!$S$2:$S$317,$A84,'Данные 1st'!$SU$2:$SU$317),"")</f>
        <v>0</v>
      </c>
      <c r="JB84" s="7">
        <f>IFERROR(AVERAGEIF('Данные 1st'!$S$2:$S$317,$A84,'Данные 1st'!$SV$2:$SV$317),"")</f>
        <v>0</v>
      </c>
      <c r="JC84" s="7">
        <f>IFERROR(AVERAGEIF('Данные 1st'!$S$2:$S$317,$A84,'Данные 1st'!$SW$2:$SW$317),"")</f>
        <v>0</v>
      </c>
      <c r="JD84" s="7">
        <f>IFERROR(AVERAGEIF('Данные 1st'!$S$2:$S$317,$A84,'Данные 1st'!$SX$2:$SX$317),"")</f>
        <v>0</v>
      </c>
      <c r="JE84" s="7">
        <f>IFERROR(AVERAGEIF('Данные 1st'!$S$2:$S$317,$A84,'Данные 1st'!$SY$2:$SY$317),"")</f>
        <v>1</v>
      </c>
      <c r="JF84" s="7">
        <f>IFERROR(AVERAGEIF('Данные 1st'!$S$2:$S$317,$A84,'Данные 1st'!$SZ$2:$SZ$317),"")</f>
        <v>1</v>
      </c>
      <c r="JG84" s="7">
        <f>IFERROR(AVERAGEIF('Данные 1st'!$S$2:$S$317,$A84,'Данные 1st'!$TA$2:$TA$317),"")</f>
        <v/>
      </c>
      <c r="JH84" s="7">
        <f>IFERROR(AVERAGEIF('Данные 1st'!$S$2:$S$317,$A84,'Данные 1st'!$TB$2:$TB$317),"")</f>
        <v>0</v>
      </c>
      <c r="JI84" s="7">
        <f>IFERROR(AVERAGEIF('Данные 1st'!$S$2:$S$317,$A84,'Данные 1st'!$TC$2:$TC$317),"")</f>
        <v>0</v>
      </c>
      <c r="JJ84" s="7">
        <f>IFERROR(AVERAGEIF('Данные 1st'!$S$2:$S$317,$A84,'Данные 1st'!$TD$2:$TD$317),"")</f>
        <v>9.4</v>
      </c>
      <c r="JK84" s="7">
        <f>IFERROR(AVERAGEIF('Данные 1st'!$S$2:$S$317,$A84,'Данные 1st'!$TN$2:$TN$317),"")</f>
        <v>0</v>
      </c>
      <c r="JL84">
        <f>COUNTIF('Данные 2st'!$Q$2:$Q$317,$A84)</f>
        <v>1</v>
      </c>
      <c r="JM84" s="6" t="s">
        <v>2657</v>
      </c>
      <c r="JN84" s="6" t="s">
        <v>513</v>
      </c>
      <c r="JO84" s="6" t="s">
        <v>517</v>
      </c>
      <c r="JP84" s="6" t="s">
        <v>2850</v>
      </c>
      <c r="JQ84" s="7">
        <f>IFERROR(AVERAGEIF('Данные 2st'!$Q$2:$Q$317,$A84,'Данные 2st'!$AC$2:$AC$317),"")</f>
        <v>9</v>
      </c>
      <c r="JR84" s="7">
        <f>IFERROR(AVERAGEIF('Данные 2st'!$Q$2:$Q$317,$A84,'Данные 2st'!$AF$2:$AF$317),"")</f>
        <v>6233</v>
      </c>
      <c r="JS84" s="7">
        <f>IFERROR(AVERAGEIF('Данные 2st'!$Q$2:$Q$317,$A84,'Данные 2st'!$AW$2:$AW$317),"")</f>
        <v>6.4</v>
      </c>
      <c r="JT84" s="7">
        <f>IFERROR(AVERAGEIF('Данные 2st'!$Q$2:$Q$317,$A84,'Данные 2st'!$AX$2:$AX$317),"")</f>
        <v>-6</v>
      </c>
      <c r="JU84" s="7">
        <f>IFERROR(AVERAGEIF('Данные 2st'!$Q$2:$Q$317,$A84,'Данные 2st'!$AY$2:$AY$317),"")</f>
        <v>127.5</v>
      </c>
      <c r="JV84" s="7">
        <f>IFERROR(AVERAGEIF('Данные 2st'!$Q$2:$Q$317,$A84,'Данные 2st'!$AZ$2:$AZ$317),"")</f>
        <v>97</v>
      </c>
      <c r="JW84" s="7">
        <f>IFERROR(AVERAGEIF('Данные 2st'!$Q$2:$Q$317,$A84,'Данные 2st'!$BA$2:$BA$317),"")</f>
        <v/>
      </c>
      <c r="JX84" s="7">
        <f>IFERROR(AVERAGEIF('Данные 2st'!$Q$2:$Q$317,$A84,'Данные 2st'!$BB$2:$BB$317),"")</f>
        <v/>
      </c>
      <c r="JY84" s="7">
        <f>IFERROR(AVERAGEIF('Данные 2st'!$Q$2:$Q$317,$A84,'Данные 2st'!$BC$2:$BC$317),"")</f>
        <v/>
      </c>
      <c r="JZ84" s="7">
        <f>IFERROR(AVERAGEIF('Данные 2st'!$Q$2:$Q$317,$A84,'Данные 2st'!$BH$2:$BH$317),"")</f>
        <v>127.5</v>
      </c>
      <c r="KA84" s="7">
        <f>IFERROR(AVERAGEIF('Данные 2st'!$Q$2:$Q$317,$A84,'Данные 2st'!$BI$2:$BI$317),"")</f>
        <v>30.5</v>
      </c>
      <c r="KB84" s="7">
        <f>IFERROR(AVERAGEIF('Данные 2st'!$Q$2:$Q$317,$A84,'Данные 2st'!$BJ$2:$BJ$317),"")</f>
        <v>97</v>
      </c>
      <c r="KC84" s="7">
        <f>IFERROR(AVERAGEIF('Данные 2st'!$Q$2:$Q$317,$A84,'Данные 2st'!$BK$2:$BK$317),"")</f>
        <v>2.5</v>
      </c>
      <c r="KD84" s="7">
        <f>IFERROR(AVERAGEIF('Данные 2st'!$Q$2:$Q$317,$A84,'Данные 2st'!$BL$2:$BL$317),"")</f>
        <v>255</v>
      </c>
      <c r="KE84" s="7">
        <f>IFERROR(AVERAGEIF('Данные 2st'!$Q$2:$Q$317,$A84,'Данные 2st'!$BM$2:$BM$317),"")</f>
        <v>-6</v>
      </c>
      <c r="KF84" s="7">
        <f>IFERROR(AVERAGEIF('Данные 2st'!$Q$2:$Q$317,$A84,'Данные 2st'!$BN$2:$BN$317),"")</f>
        <v>0</v>
      </c>
      <c r="KG84" s="7">
        <f>IFERROR(AVERAGEIF('Данные 2st'!$Q$2:$Q$317,$A84,'Данные 2st'!$BO$2:$BO$317),"")</f>
        <v>0</v>
      </c>
      <c r="KH84" s="7">
        <f>IFERROR(AVERAGEIF('Данные 2st'!$Q$2:$Q$317,$A84,'Данные 2st'!$BP$2:$BP$317),"")</f>
        <v>0</v>
      </c>
      <c r="KI84" s="7">
        <f>IFERROR(AVERAGEIF('Данные 2st'!$Q$2:$Q$317,$A84,'Данные 2st'!$BR$2:$BR$317),"")</f>
        <v>250</v>
      </c>
      <c r="KJ84" s="7">
        <f>IFERROR(AVERAGEIF('Данные 2st'!$Q$2:$Q$317,$A84,'Данные 2st'!$BS$2:$BS$317),"")</f>
        <v>240</v>
      </c>
      <c r="KK84" s="7">
        <f>IFERROR(AVERAGEIF('Данные 2st'!$Q$2:$Q$317,$A84,'Данные 2st'!$BT$2:$BT$317),"")</f>
        <v>2235</v>
      </c>
      <c r="KL84" s="7">
        <f>IFERROR(AVERAGEIF('Данные 2st'!$Q$2:$Q$317,$A84,'Данные 2st'!$CV$2:$CV$317),"")</f>
        <v>151</v>
      </c>
      <c r="KM84" s="7">
        <f>IFERROR(AVERAGEIF('Данные 2st'!$Q$2:$Q$317,$A84,'Данные 2st'!$CW$2:$CW$317),"")</f>
        <v>3</v>
      </c>
      <c r="KN84" s="7">
        <f>IFERROR(AVERAGEIF('Данные 2st'!$Q$2:$Q$317,$A84,'Данные 2st'!$CX$2:$CX$317),"")</f>
        <v>109</v>
      </c>
      <c r="KO84" s="7">
        <f>IFERROR(AVERAGEIF('Данные 2st'!$Q$2:$Q$317,$A84,'Данные 2st'!$CY$2:$CY$317),"")</f>
        <v>5</v>
      </c>
      <c r="KP84" s="7">
        <f>IFERROR(AVERAGEIF('Данные 2st'!$Q$2:$Q$317,$A84,'Данные 2st'!$CZ$2:$CZ$317),"")</f>
        <v>171</v>
      </c>
      <c r="KQ84" s="7">
        <f>IFERROR(AVERAGEIF('Данные 2st'!$Q$2:$Q$317,$A84,'Данные 2st'!$DA$2:$DA$317),"")</f>
        <v>5</v>
      </c>
      <c r="KR84" s="7">
        <f>IFERROR(AVERAGEIF('Данные 2st'!$Q$2:$Q$317,$A84,'Данные 2st'!$DB$2:$DB$317),"")</f>
        <v>16010</v>
      </c>
      <c r="KS84" s="7">
        <f>IFERROR(AVERAGEIF('Данные 2st'!$Q$2:$Q$317,$A84,'Данные 2st'!$DC$2:$DC$317),"")</f>
        <v>480</v>
      </c>
      <c r="KT84" s="7">
        <f>IFERROR(AVERAGEIF('Данные 2st'!$Q$2:$Q$317,$A84,'Данные 2st'!$DD$2:$DD$317),"")</f>
        <v>377</v>
      </c>
      <c r="KU84" s="7">
        <f>IFERROR(AVERAGEIF('Данные 2st'!$Q$2:$Q$317,$A84,'Данные 2st'!$DE$2:$DE$317),"")</f>
        <v>2360</v>
      </c>
      <c r="KV84" s="7">
        <f>IFERROR(AVERAGEIF('Данные 2st'!$Q$2:$Q$317,$A84,'Данные 2st'!$DF$2:$DF$317),"")</f>
        <v>2360</v>
      </c>
      <c r="KW84" s="7">
        <f>IFERROR(AVERAGEIF('Данные 2st'!$Q$2:$Q$317,$A84,'Данные 2st'!$DG$2:$DG$317),"")</f>
        <v>2381</v>
      </c>
      <c r="KX84" s="7">
        <f>IFERROR(AVERAGEIF('Данные 2st'!$Q$2:$Q$317,$A84,'Данные 2st'!$DH$2:$DH$317),"")</f>
        <v>2</v>
      </c>
      <c r="KY84" s="7">
        <f>IFERROR(AVERAGEIF('Данные 2st'!$Q$2:$Q$317,$A84,'Данные 2st'!$DI$2:$DI$317),"")</f>
        <v/>
      </c>
      <c r="KZ84" s="7">
        <f>IFERROR(AVERAGEIF('Данные 2st'!$Q$2:$Q$317,$A84,'Данные 2st'!$DK$2:$DK$317),"")</f>
        <v>250</v>
      </c>
      <c r="LA84" s="7">
        <f>IFERROR(AVERAGEIF('Данные 2st'!$Q$2:$Q$317,$A84,'Данные 2st'!$DM$2:$DM$317),"")</f>
        <v>63</v>
      </c>
      <c r="LB84" s="7">
        <f>IFERROR(AVERAGEIF('Данные 2st'!$Q$2:$Q$317,$A84,'Данные 2st'!$DN$2:$DN$317),"")</f>
        <v>1.26</v>
      </c>
      <c r="LC84" s="7">
        <f>IFERROR(AVERAGEIF('Данные 2st'!$Q$2:$Q$317,$A84,'Данные 2st'!$DO$2:$DO$317),"")</f>
        <v>1</v>
      </c>
      <c r="LD84" s="7">
        <f>IFERROR(AVERAGEIF('Данные 2st'!$Q$2:$Q$317,$A84,'Данные 2st'!$DP$2:$DP$317),"")</f>
        <v>2239</v>
      </c>
      <c r="LE84" s="7">
        <f>IFERROR(AVERAGEIF('Данные 2st'!$Q$2:$Q$317,$A84,'Данные 2st'!$DQ$2:$DQ$317),"")</f>
        <v>1352</v>
      </c>
      <c r="LF84" s="7">
        <f>IFERROR(AVERAGEIF('Данные 2st'!$Q$2:$Q$317,$A84,'Данные 2st'!$DS$2:$DS$317),"")</f>
        <v>240</v>
      </c>
      <c r="LG84" s="7">
        <f>IFERROR(AVERAGEIF('Данные 2st'!$Q$2:$Q$317,$A84,'Данные 2st'!$DU$2:$DU$317),"")</f>
        <v>63</v>
      </c>
      <c r="LH84" s="7">
        <f>IFERROR(AVERAGEIF('Данные 2st'!$Q$2:$Q$317,$A84,'Данные 2st'!$DV$2:$DV$317),"")</f>
        <v>1.26</v>
      </c>
      <c r="LI84" s="7">
        <f>IFERROR(AVERAGEIF('Данные 2st'!$Q$2:$Q$317,$A84,'Данные 2st'!$DW$2:$DW$317),"")</f>
        <v>1</v>
      </c>
      <c r="LJ84" s="7">
        <f>IFERROR(AVERAGEIF('Данные 2st'!$Q$2:$Q$317,$A84,'Данные 2st'!$DX$2:$DX$317),"")</f>
        <v>2252</v>
      </c>
      <c r="LK84" s="7">
        <f>IFERROR(AVERAGEIF('Данные 2st'!$Q$2:$Q$317,$A84,'Данные 2st'!$DY$2:$DY$317),"")</f>
        <v>1304</v>
      </c>
      <c r="LL84" s="7">
        <f>IFERROR(AVERAGEIF('Данные 2st'!$Q$2:$Q$317,$A84,'Данные 2st'!$EA$2:$EA$317),"")</f>
        <v>20</v>
      </c>
      <c r="LM84" s="7">
        <f>IFERROR(AVERAGEIF('Данные 2st'!$Q$2:$Q$317,$A84,'Данные 2st'!$EC$2:$EC$317),"")</f>
        <v>0.8</v>
      </c>
      <c r="LN84" s="7">
        <f>IFERROR(AVERAGEIF('Данные 2st'!$Q$2:$Q$317,$A84,'Данные 2st'!$ED$2:$ED$317),"")</f>
        <v>2239</v>
      </c>
      <c r="LO84" s="7">
        <f>IFERROR(AVERAGEIF('Данные 2st'!$Q$2:$Q$317,$A84,'Данные 2st'!$EE$2:$EE$317),"")</f>
        <v>78</v>
      </c>
      <c r="LP84" s="7">
        <f>IFERROR(AVERAGEIF('Данные 2st'!$Q$2:$Q$317,$A84,'Данные 2st'!$EG$2:$EG$317),"")</f>
        <v>0</v>
      </c>
      <c r="LQ84" s="7">
        <f>IFERROR(AVERAGEIF('Данные 2st'!$Q$2:$Q$317,$A84,'Данные 2st'!$EI$2:$EI$317),"")</f>
        <v>0</v>
      </c>
      <c r="LR84" s="7">
        <f>IFERROR(AVERAGEIF('Данные 2st'!$Q$2:$Q$317,$A84,'Данные 2st'!$EJ$2:$EJ$317),"")</f>
        <v/>
      </c>
      <c r="LS84" s="7">
        <f>IFERROR(AVERAGEIF('Данные 2st'!$Q$2:$Q$317,$A84,'Данные 2st'!$EK$2:$EK$317),"")</f>
        <v/>
      </c>
      <c r="LT84" s="7">
        <f>IFERROR(AVERAGEIF('Данные 2st'!$Q$2:$Q$317,$A84,'Данные 2st'!$EM$2:$EM$317),"")</f>
        <v>12</v>
      </c>
      <c r="LU84" s="7">
        <f>IFERROR(AVERAGEIF('Данные 2st'!$Q$2:$Q$317,$A84,'Данные 2st'!$EN$2:$EN$317),"")</f>
        <v>0.5</v>
      </c>
      <c r="LV84" s="7">
        <f>IFERROR(AVERAGEIF('Данные 2st'!$Q$2:$Q$317,$A84,'Данные 2st'!$EO$2:$EO$317),"")</f>
        <v>0.96</v>
      </c>
      <c r="LW84" s="7">
        <f>IFERROR(AVERAGEIF('Данные 2st'!$Q$2:$Q$317,$A84,'Данные 2st'!$EP$2:$EP$317),"")</f>
        <v>2250.84</v>
      </c>
      <c r="LX84" s="7">
        <f>IFERROR(AVERAGEIF('Данные 2st'!$Q$2:$Q$317,$A84,'Данные 2st'!$EQ$2:$EQ$317),"")</f>
        <v>46951.12</v>
      </c>
      <c r="LY84" s="7">
        <f>IFERROR(AVERAGEIF('Данные 2st'!$Q$2:$Q$317,$A84,'Данные 2st'!$ER$2:$ER$317),"")</f>
        <v>10755.4</v>
      </c>
      <c r="LZ84" s="7">
        <f>IFERROR(AVERAGEIF('Данные 2st'!$Q$2:$Q$317,$A84,'Данные 2st'!$ES$2:$ES$317),"")</f>
        <v>0</v>
      </c>
      <c r="MA84" s="7">
        <f>IFERROR(AVERAGEIF('Данные 2st'!$Q$2:$Q$317,$A84,'Данные 2st'!$ET$2:$ET$317),"")</f>
        <v>0</v>
      </c>
      <c r="MB84" s="7">
        <f>IFERROR(AVERAGEIF('Данные 2st'!$Q$2:$Q$317,$A84,'Данные 2st'!$EU$2:$EU$317),"")</f>
        <v>1</v>
      </c>
      <c r="MC84" s="7">
        <f>IFERROR(AVERAGEIF('Данные 2st'!$Q$2:$Q$317,$A84,'Данные 2st'!$EV$2:$EV$317),"")</f>
        <v>57707</v>
      </c>
      <c r="MD84" s="7">
        <f>IFERROR(AVERAGEIF('Данные 2st'!$Q$2:$Q$317,$A84,'Данные 2st'!$EW$2:$EW$317),"")</f>
        <v>693</v>
      </c>
      <c r="ME84" s="7">
        <f>IFERROR(AVERAGEIF('Данные 2st'!$Q$2:$Q$317,$A84,'Данные 2st'!$EY$2:$EY$317),"")</f>
        <v>272</v>
      </c>
      <c r="MF84" s="7">
        <f>IFERROR(AVERAGEIF('Данные 2st'!$Q$2:$Q$317,$A84,'Данные 2st'!$FA$2:$FA$317),"")</f>
        <v>3.8</v>
      </c>
      <c r="MG84" s="7">
        <f>IFERROR(AVERAGEIF('Данные 2st'!$Q$2:$Q$317,$A84,'Данные 2st'!$FB$2:$FB$317),"")</f>
        <v>1</v>
      </c>
      <c r="MH84" s="7">
        <f>IFERROR(AVERAGEIF('Данные 2st'!$Q$2:$Q$317,$A84,'Данные 2st'!$FC$2:$FC$317),"")</f>
        <v>1</v>
      </c>
      <c r="MI84" s="7">
        <f>IFERROR(AVERAGEIF('Данные 2st'!$Q$2:$Q$317,$A84,'Данные 2st'!$FD$2:$FD$317),"")</f>
        <v>2283</v>
      </c>
      <c r="MJ84" s="7">
        <f>IFERROR(AVERAGEIF('Данные 2st'!$Q$2:$Q$317,$A84,'Данные 2st'!$FE$2:$FE$317),"")</f>
        <v>2817</v>
      </c>
      <c r="MK84" s="7">
        <f>IFERROR(AVERAGEIF('Данные 2st'!$Q$2:$Q$317,$A84,'Данные 2st'!$FG$2:$FG$317),"")</f>
        <v>272</v>
      </c>
      <c r="ML84" s="7">
        <f>IFERROR(AVERAGEIF('Данные 2st'!$Q$2:$Q$317,$A84,'Данные 2st'!$FI$2:$FI$317),"")</f>
        <v>4.1</v>
      </c>
      <c r="MM84" s="7">
        <f>IFERROR(AVERAGEIF('Данные 2st'!$Q$2:$Q$317,$A84,'Данные 2st'!$FJ$2:$FJ$317),"")</f>
        <v>2283</v>
      </c>
      <c r="MN84" s="7">
        <f>IFERROR(AVERAGEIF('Данные 2st'!$Q$2:$Q$317,$A84,'Данные 2st'!$FK$2:$FK$317),"")</f>
        <v>3041</v>
      </c>
      <c r="MO84" s="7">
        <f>IFERROR(AVERAGEIF('Данные 2st'!$Q$2:$Q$317,$A84,'Данные 2st'!$FP$2:$FP$317),"")</f>
        <v>2283</v>
      </c>
      <c r="MP84" s="7">
        <f>IFERROR(AVERAGEIF('Данные 2st'!$Q$2:$Q$317,$A84,'Данные 2st'!$FQ$2:$FQ$317),"")</f>
        <v>185</v>
      </c>
      <c r="MQ84" s="7">
        <f>IFERROR(AVERAGEIF('Данные 2st'!$Q$2:$Q$317,$A84,'Данные 2st'!$FS$2:$FS$317),"")</f>
        <v>276</v>
      </c>
      <c r="MR84" s="7">
        <f>IFERROR(AVERAGEIF('Данные 2st'!$Q$2:$Q$317,$A84,'Данные 2st'!$FU$2:$FU$317),"")</f>
        <v>0.4</v>
      </c>
      <c r="MS84" s="7">
        <f>IFERROR(AVERAGEIF('Данные 2st'!$Q$2:$Q$317,$A84,'Данные 2st'!$FV$2:$FV$317),"")</f>
        <v>2283</v>
      </c>
      <c r="MT84" s="7">
        <f>IFERROR(AVERAGEIF('Данные 2st'!$Q$2:$Q$317,$A84,'Данные 2st'!$FW$2:$FW$317),"")</f>
        <v>281</v>
      </c>
      <c r="MU84" s="7">
        <f>IFERROR(AVERAGEIF('Данные 2st'!$Q$2:$Q$317,$A84,'Данные 2st'!$FY$2:$FY$317),"")</f>
        <v>5</v>
      </c>
      <c r="MV84" s="7">
        <f>IFERROR(AVERAGEIF('Данные 2st'!$Q$2:$Q$317,$A84,'Данные 2st'!$GB$2:$GB$317),"")</f>
        <v>2283</v>
      </c>
      <c r="MW84" s="7">
        <f>IFERROR(AVERAGEIF('Данные 2st'!$Q$2:$Q$317,$A84,'Данные 2st'!$GC$2:$GC$317),"")</f>
        <v>22</v>
      </c>
      <c r="MX84" s="7">
        <f>IFERROR(AVERAGEIF('Данные 2st'!$Q$2:$Q$317,$A84,'Данные 2st'!$GD$2:$GD$317),"")</f>
        <v>6346</v>
      </c>
      <c r="MY84" s="7">
        <f>IFERROR(AVERAGEIF('Данные 2st'!$Q$2:$Q$317,$A84,'Данные 2st'!$GN$2:$GN$317),"")</f>
        <v/>
      </c>
      <c r="MZ84" s="7">
        <f>IFERROR(AVERAGEIF('Данные 2st'!$Q$2:$Q$317,$A84,'Данные 2st'!$GQ$2:$GQ$317),"")</f>
        <v>0</v>
      </c>
      <c r="NA84" s="7">
        <f>IFERROR(AVERAGEIF('Данные 2st'!$Q$2:$Q$317,$A84,'Данные 2st'!$GV$2:$GV$317),"")</f>
        <v>8.3</v>
      </c>
      <c r="NB84" s="7">
        <f>IFERROR(AVERAGEIF('Данные 2st'!$Q$2:$Q$317,$A84,'Данные 2st'!$GW$2:$GW$317),"")</f>
        <v>11.5</v>
      </c>
      <c r="NC84" s="7">
        <f>IFERROR(AVERAGEIF('Данные 2st'!$Q$2:$Q$317,$A84,'Данные 2st'!$GX$2:$GX$317),"")</f>
        <v>0.5</v>
      </c>
      <c r="ND84" s="7">
        <f>IFERROR(AVERAGEIF('Данные 2st'!$Q$2:$Q$317,$A84,'Данные 2st'!$GY$2:$GY$317),"")</f>
        <v>236</v>
      </c>
      <c r="NE84" s="7">
        <f>IFERROR(AVERAGEIF('Данные 2st'!$Q$2:$Q$317,$A84,'Данные 2st'!$GZ$2:$GZ$317),"")</f>
        <v>3</v>
      </c>
      <c r="NF84" s="7">
        <f>IFERROR(AVERAGEIF('Данные 2st'!$Q$2:$Q$317,$A84,'Данные 2st'!$HA$2:$HA$317),"")</f>
        <v>292</v>
      </c>
      <c r="NG84" s="7">
        <f>IFERROR(AVERAGEIF('Данные 2st'!$Q$2:$Q$317,$A84,'Данные 2st'!$HB$2:$HB$317),"")</f>
        <v>3</v>
      </c>
      <c r="NH84" s="7">
        <f>IFERROR(AVERAGEIF('Данные 2st'!$Q$2:$Q$317,$A84,'Данные 2st'!$HC$2:$HC$317),"")</f>
        <v>2283</v>
      </c>
      <c r="NI84" s="7">
        <f>IFERROR(AVERAGEIF('Данные 2st'!$Q$2:$Q$317,$A84,'Данные 2st'!$HD$2:$HD$317),"")</f>
        <v>4</v>
      </c>
      <c r="NJ84" s="7">
        <f>IFERROR(AVERAGEIF('Данные 2st'!$Q$2:$Q$317,$A84,'Данные 2st'!$HM$2:$HM$317),"")</f>
        <v>20</v>
      </c>
      <c r="NK84" s="7">
        <f>IFERROR(AVERAGEIF('Данные 2st'!$Q$2:$Q$317,$A84,'Данные 2st'!$HR$2:$HR$317),"")</f>
        <v>1</v>
      </c>
      <c r="NL84" s="7">
        <f>IFERROR(AVERAGEIF('Данные 2st'!$Q$2:$Q$317,$A84,'Данные 2st'!$HS$2:$HS$317),"")</f>
        <v>2235</v>
      </c>
      <c r="NM84" s="7">
        <f>IFERROR(AVERAGEIF('Данные 2st'!$Q$2:$Q$317,$A84,'Данные 2st'!$HT$2:$HT$317),"")</f>
        <v>5</v>
      </c>
      <c r="NN84" s="7">
        <f>IFERROR(AVERAGEIF('Данные 2st'!$Q$2:$Q$317,$A84,'Данные 2st'!$HY$2:$HY$317),"")</f>
        <v>0</v>
      </c>
      <c r="NO84" s="7">
        <f>IFERROR(AVERAGEIF('Данные 2st'!$Q$2:$Q$317,$A84,'Данные 2st'!$HZ$2:$HZ$317),"")</f>
        <v>63</v>
      </c>
      <c r="NP84" s="7">
        <f>IFERROR(AVERAGEIF('Данные 2st'!$Q$2:$Q$317,$A84,'Данные 2st'!$IA$2:$IA$317),"")</f>
        <v>2239</v>
      </c>
      <c r="NQ84" s="7">
        <f>IFERROR(AVERAGEIF('Данные 2st'!$Q$2:$Q$317,$A84,'Данные 2st'!$IB$2:$IB$317),"")</f>
        <v>2252</v>
      </c>
      <c r="NR84" s="7">
        <f>IFERROR(AVERAGEIF('Данные 2st'!$Q$2:$Q$317,$A84,'Данные 2st'!$IC$2:$IC$317),"")</f>
        <v/>
      </c>
      <c r="NS84" s="7">
        <f>IFERROR(AVERAGEIF('Данные 2st'!$Q$2:$Q$317,$A84,'Данные 2st'!$ID$2:$ID$317),"")</f>
        <v>2283</v>
      </c>
      <c r="NT84" s="7">
        <f>IFERROR(AVERAGEIF('Данные 2st'!$Q$2:$Q$317,$A84,'Данные 2st'!$IE$2:$IE$317),"")</f>
        <v>2283</v>
      </c>
      <c r="NU84" s="7">
        <f>IFERROR(AVERAGEIF('Данные 2st'!$Q$2:$Q$317,$A84,'Данные 2st'!$IF$2:$IF$317),"")</f>
        <v>250</v>
      </c>
      <c r="NV84" s="7">
        <f>IFERROR(AVERAGEIF('Данные 2st'!$Q$2:$Q$317,$A84,'Данные 2st'!$IG$2:$IG$317),"")</f>
        <v>240</v>
      </c>
      <c r="NW84" s="7">
        <f>IFERROR(AVERAGEIF('Данные 2st'!$Q$2:$Q$317,$A84,'Данные 2st'!$IH$2:$IH$317),"")</f>
        <v>292</v>
      </c>
      <c r="NX84" s="7">
        <f>IFERROR(AVERAGEIF('Данные 2st'!$Q$2:$Q$317,$A84,'Данные 2st'!$IJ$2:$IJ$317),"")</f>
        <v>5</v>
      </c>
      <c r="NY84" s="7">
        <f>IFERROR(AVERAGEIF('Данные 2st'!$Q$2:$Q$317,$A84,'Данные 2st'!$IM$2:$IM$317),"")</f>
        <v>0</v>
      </c>
      <c r="NZ84" s="7">
        <f>IFERROR(AVERAGEIF('Данные 2st'!$Q$2:$Q$317,$A84,'Данные 2st'!$IN$2:$IN$317),"")</f>
        <v>270</v>
      </c>
      <c r="OA84" s="7">
        <f>IFERROR(AVERAGEIF('Данные 2st'!$Q$2:$Q$317,$A84,'Данные 2st'!$IO$2:$IO$317),"")</f>
        <v>0</v>
      </c>
      <c r="OB84" s="7">
        <f>IFERROR(AVERAGEIF('Данные 2st'!$Q$2:$Q$317,$A84,'Данные 2st'!$IP$2:$IP$317),"")</f>
        <v>180</v>
      </c>
      <c r="OC84" s="7">
        <f>IFERROR(AVERAGEIF('Данные 2st'!$Q$2:$Q$317,$A84,'Данные 2st'!$IQ$2:$IQ$317),"")</f>
        <v>0</v>
      </c>
      <c r="OD84" s="7">
        <f>IFERROR(AVERAGEIF('Данные 2st'!$Q$2:$Q$317,$A84,'Данные 2st'!$IR$2:$IR$317),"")</f>
        <v>330</v>
      </c>
      <c r="OE84" s="7">
        <f>IFERROR(AVERAGEIF('Данные 2st'!$Q$2:$Q$317,$A84,'Данные 2st'!$IT$2:$IT$317),"")</f>
        <v>90</v>
      </c>
      <c r="OF84" s="7">
        <f>IFERROR(AVERAGEIF('Данные 2st'!$Q$2:$Q$317,$A84,'Данные 2st'!$IU$2:$IU$317),"")</f>
        <v>0</v>
      </c>
      <c r="OG84" s="7">
        <f>IFERROR(AVERAGEIF('Данные 2st'!$Q$2:$Q$317,$A84,'Данные 2st'!$IV$2:$IV$317),"")</f>
        <v>6.4</v>
      </c>
      <c r="OH84" s="7">
        <f>IFERROR(AVERAGEIF('Данные 2st'!$Q$2:$Q$317,$A84,'Данные 2st'!$IW$2:$IW$317),"")</f>
        <v>-6</v>
      </c>
      <c r="OI84" s="7">
        <f>IFERROR(AVERAGEIF('Данные 2st'!$Q$2:$Q$317,$A84,'Данные 2st'!$IX$2:$IX$317),"")</f>
        <v>127.5</v>
      </c>
      <c r="OJ84" s="7">
        <f>IFERROR(AVERAGEIF('Данные 2st'!$Q$2:$Q$317,$A84,'Данные 2st'!$IY$2:$IY$317),"")</f>
        <v>97</v>
      </c>
      <c r="OK84" s="7">
        <f>IFERROR(AVERAGEIF('Данные 2st'!$Q$2:$Q$317,$A84,'Данные 2st'!$IZ$2:$IZ$317),"")</f>
        <v>0</v>
      </c>
      <c r="OL84" s="7">
        <f>IFERROR(AVERAGEIF('Данные 2st'!$Q$2:$Q$317,$A84,'Данные 2st'!$JA$2:$JA$317),"")</f>
        <v>0</v>
      </c>
      <c r="OM84" s="7">
        <f>IFERROR(AVERAGEIF('Данные 2st'!$Q$2:$Q$317,$A84,'Данные 2st'!$JB$2:$JB$317),"")</f>
        <v>0</v>
      </c>
      <c r="ON84" s="7">
        <f>IFERROR(AVERAGEIF('Данные 2st'!$Q$2:$Q$317,$A84,'Данные 2st'!$JC$2:$JC$317),"")</f>
        <v>0</v>
      </c>
      <c r="OO84" s="7">
        <f>IFERROR(AVERAGEIF('Данные 2st'!$Q$2:$Q$317,$A84,'Данные 2st'!$JD$2:$JD$317),"")</f>
        <v>0</v>
      </c>
      <c r="OP84" s="7">
        <f>IFERROR(AVERAGEIF('Данные 2st'!$Q$2:$Q$317,$A84,'Данные 2st'!$JE$2:$JE$317),"")</f>
        <v>0</v>
      </c>
      <c r="OQ84" s="7">
        <f>IFERROR(AVERAGEIF('Данные 2st'!$Q$2:$Q$317,$A84,'Данные 2st'!$JF$2:$JF$317),"")</f>
        <v>0</v>
      </c>
      <c r="OR84" s="7">
        <f>IFERROR(AVERAGEIF('Данные 2st'!$Q$2:$Q$317,$A84,'Данные 2st'!$JG$2:$JG$317),"")</f>
        <v>0</v>
      </c>
      <c r="OS84" s="7">
        <f>IFERROR(AVERAGEIF('Данные 2st'!$Q$2:$Q$317,$A84,'Данные 2st'!$JH$2:$JH$317),"")</f>
        <v>0</v>
      </c>
      <c r="OT84" s="7">
        <f>IFERROR(AVERAGEIF('Данные 2st'!$Q$2:$Q$317,$A84,'Данные 2st'!$JI$2:$JI$317),"")</f>
        <v>438</v>
      </c>
      <c r="OU84" s="7">
        <f>IFERROR(AVERAGEIF('Данные 2st'!$Q$2:$Q$317,$A84,'Данные 2st'!$JJ$2:$JJ$317),"")</f>
        <v>408</v>
      </c>
      <c r="OV84" s="7">
        <f>IFERROR(AVERAGEIF('Данные 2st'!$Q$2:$Q$317,$A84,'Данные 2st'!$JK$2:$JK$317),"")</f>
        <v>290</v>
      </c>
      <c r="OW84" s="7">
        <f>IFERROR(AVERAGEIF('Данные 2st'!$Q$2:$Q$317,$A84,'Данные 2st'!$JL$2:$JL$317),"")</f>
        <v>408</v>
      </c>
      <c r="OX84" s="7">
        <f>IFERROR(AVERAGEIF('Данные 2st'!$Q$2:$Q$317,$A84,'Данные 2st'!$JM$2:$JM$317),"")</f>
        <v>300</v>
      </c>
      <c r="OY84" s="7">
        <f>IFERROR(AVERAGEIF('Данные 2st'!$Q$2:$Q$317,$A84,'Данные 2st'!$JP$2:$JP$317),"")</f>
        <v>190</v>
      </c>
      <c r="OZ84" s="7">
        <f>IFERROR(AVERAGEIF('Данные 2st'!$Q$2:$Q$317,$A84,'Данные 2st'!$JQ$2:$JQ$317),"")</f>
        <v>230</v>
      </c>
      <c r="PA84" s="7">
        <f>IFERROR(AVERAGEIF('Данные 2st'!$Q$2:$Q$317,$A84,'Данные 2st'!$JR$2:$JR$317),"")</f>
        <v>315</v>
      </c>
      <c r="PB84" s="7">
        <f>IFERROR(AVERAGEIF('Данные 2st'!$Q$2:$Q$317,$A84,'Данные 2st'!$JS$2:$JS$317),"")</f>
        <v>305</v>
      </c>
      <c r="PC84" s="7">
        <f>IFERROR(AVERAGEIF('Данные 2st'!$Q$2:$Q$317,$A84,'Данные 2st'!$JT$2:$JT$317),"")</f>
        <v>0</v>
      </c>
      <c r="PD84" s="7">
        <f>IFERROR(AVERAGEIF('Данные 2st'!$Q$2:$Q$317,$A84,'Данные 2st'!$JU$2:$JU$317),"")</f>
        <v>0</v>
      </c>
      <c r="PE84" s="7">
        <f>IFERROR(AVERAGEIF('Данные 2st'!$Q$2:$Q$317,$A84,'Данные 2st'!$JV$2:$JV$317),"")</f>
        <v>320</v>
      </c>
      <c r="PF84" s="7">
        <f>IFERROR(AVERAGEIF('Данные 2st'!$Q$2:$Q$317,$A84,'Данные 2st'!$JW$2:$JW$317),"")</f>
        <v>310</v>
      </c>
      <c r="PG84" s="7">
        <f>IFERROR(AVERAGEIF('Данные 2st'!$Q$2:$Q$317,$A84,'Данные 2st'!$KF$2:$KF$317),"")</f>
        <v>0.22</v>
      </c>
      <c r="PH84" s="7">
        <f>IFERROR(AVERAGEIF('Данные 2st'!$Q$2:$Q$317,$A84,'Данные 2st'!$KG$2:$KG$317),"")</f>
        <v>0.12</v>
      </c>
      <c r="PI84" s="7">
        <f>IFERROR(AVERAGEIF('Данные 2st'!$Q$2:$Q$317,$A84,'Данные 2st'!$KM$2:$KM$317),"")</f>
        <v>0.5</v>
      </c>
      <c r="PJ84" s="7">
        <f>IFERROR(AVERAGEIF('Данные 2st'!$Q$2:$Q$317,$A84,'Данные 2st'!$KN$2:$KN$317),"")</f>
        <v>2.1</v>
      </c>
      <c r="PK84" s="7">
        <f>IFERROR(AVERAGEIF('Данные 2st'!$Q$2:$Q$317,$A84,'Данные 2st'!$KO$2:$KO$317),"")</f>
        <v>1</v>
      </c>
      <c r="PL84" s="7">
        <f>IFERROR(AVERAGEIF('Данные 2st'!$Q$2:$Q$317,$A84,'Данные 2st'!$KP$2:$KP$317),"")</f>
        <v>0</v>
      </c>
      <c r="PM84" s="7">
        <f>IFERROR(AVERAGEIF('Данные 2st'!$Q$2:$Q$317,$A84,'Данные 2st'!$KQ$2:$KQ$317),"")</f>
        <v>0.8</v>
      </c>
      <c r="PN84" s="7">
        <f>IFERROR(AVERAGEIF('Данные 2st'!$Q$2:$Q$317,$A84,'Данные 2st'!$KR$2:$KR$317),"")</f>
        <v>0.8</v>
      </c>
      <c r="PO84" s="7">
        <f>IFERROR(AVERAGEIF('Данные 2st'!$Q$2:$Q$317,$A84,'Данные 2st'!$KS$2:$KS$317),"")</f>
        <v>0</v>
      </c>
      <c r="PP84" s="7">
        <f>IFERROR(AVERAGEIF('Данные 2st'!$Q$2:$Q$317,$A84,'Данные 2st'!$KT$2:$KT$317),"")</f>
        <v>2.8</v>
      </c>
      <c r="PQ84" s="7">
        <f>IFERROR(AVERAGEIF('Данные 2st'!$Q$2:$Q$317,$A84,'Данные 2st'!$KU$2:$KU$317),"")</f>
        <v>0</v>
      </c>
      <c r="PR84" s="7">
        <f>IFERROR(AVERAGEIF('Данные 2st'!$Q$2:$Q$317,$A84,'Данные 2st'!$KV$2:$KV$317),"")</f>
        <v>0</v>
      </c>
      <c r="PS84" s="7">
        <f>IFERROR(AVERAGEIF('Данные 2st'!$Q$2:$Q$317,$A84,'Данные 2st'!$KW$2:$KW$317),"")</f>
        <v>1.6</v>
      </c>
      <c r="PT84" s="7">
        <f>IFERROR(AVERAGEIF('Данные 2st'!$Q$2:$Q$317,$A84,'Данные 2st'!$KX$2:$KX$317),"")</f>
        <v>2</v>
      </c>
      <c r="PU84" s="7">
        <f>IFERROR(AVERAGEIF('Данные 2st'!$Q$2:$Q$317,$A84,'Данные 2st'!$KY$2:$KY$317),"")</f>
        <v>1</v>
      </c>
      <c r="PV84" s="7">
        <f>IFERROR(AVERAGEIF('Данные 2st'!$Q$2:$Q$317,$A84,'Данные 2st'!$KZ$2:$KZ$317),"")</f>
        <v>0</v>
      </c>
      <c r="PW84" s="7">
        <f>IFERROR(AVERAGEIF('Данные 2st'!$Q$2:$Q$317,$A84,'Данные 2st'!$LA$2:$LA$317),"")</f>
        <v>0</v>
      </c>
      <c r="PX84" s="7">
        <f>IFERROR(AVERAGEIF('Данные 2st'!$Q$2:$Q$317,$A84,'Данные 2st'!$LB$2:$LB$317),"")</f>
        <v>0</v>
      </c>
      <c r="PY84" s="7">
        <f>IFERROR(AVERAGEIF('Данные 2st'!$Q$2:$Q$317,$A84,'Данные 2st'!$LC$2:$LC$317),"")</f>
        <v>0</v>
      </c>
      <c r="PZ84" s="7">
        <f>IFERROR(AVERAGEIF('Данные 2st'!$Q$2:$Q$317,$A84,'Данные 2st'!$LD$2:$LD$317),"")</f>
        <v>0</v>
      </c>
      <c r="QA84" s="7">
        <f>IFERROR(AVERAGEIF('Данные 2st'!$Q$2:$Q$317,$A84,'Данные 2st'!$LE$2:$LE$317),"")</f>
        <v>0</v>
      </c>
      <c r="QB84" s="7">
        <f>IFERROR(AVERAGEIF('Данные 2st'!$Q$2:$Q$317,$A84,'Данные 2st'!$LF$2:$LF$317),"")</f>
        <v>0</v>
      </c>
      <c r="QC84" s="7">
        <f>IFERROR(AVERAGEIF('Данные 2st'!$Q$2:$Q$317,$A84,'Данные 2st'!$LG$2:$LG$317),"")</f>
        <v>0</v>
      </c>
      <c r="QD84" s="7">
        <f>IFERROR(AVERAGEIF('Данные 2st'!$Q$2:$Q$317,$A84,'Данные 2st'!$LH$2:$LH$317),"")</f>
        <v>3</v>
      </c>
      <c r="QE84" s="7">
        <f>IFERROR(AVERAGEIF('Данные 2st'!$Q$2:$Q$317,$A84,'Данные 2st'!$LJ$2:$LJ$317),"")</f>
        <v>0</v>
      </c>
      <c r="QF84" s="7">
        <f>IFERROR(AVERAGEIF('Данные 2st'!$Q$2:$Q$317,$A84,'Данные 2st'!$LK$2:$LK$317),"")</f>
        <v>11</v>
      </c>
      <c r="QG84" s="7">
        <f>IFERROR(AVERAGEIF('Данные 2st'!$Q$2:$Q$317,$A84,'Данные 2st'!$LL$2:$LL$317),"")</f>
        <v>9</v>
      </c>
      <c r="QH84" s="7">
        <f>IFERROR(AVERAGEIF('Данные 2st'!$Q$2:$Q$317,$A84,'Данные 2st'!$LM$2:$LM$317),"")</f>
        <v>13</v>
      </c>
      <c r="QI84" s="7">
        <f>IFERROR(AVERAGEIF('Данные 2st'!$Q$2:$Q$317,$A84,'Данные 2st'!$LN$2:$LN$317),"")</f>
        <v>3</v>
      </c>
      <c r="QJ84" s="7">
        <f>IFERROR(AVERAGEIF('Данные 2st'!$Q$2:$Q$317,$A84,'Данные 2st'!$LO$2:$LO$317),"")</f>
        <v>3</v>
      </c>
      <c r="QK84" s="7">
        <f>IFERROR(AVERAGEIF('Данные 2st'!$Q$2:$Q$317,$A84,'Данные 2st'!$LP$2:$LP$317),"")</f>
        <v>0</v>
      </c>
      <c r="QL84" s="7">
        <f>IFERROR(AVERAGEIF('Данные 2st'!$Q$2:$Q$317,$A84,'Данные 2st'!$LQ$2:$LQ$317),"")</f>
        <v>0</v>
      </c>
      <c r="QM84" s="7">
        <f>IFERROR(AVERAGEIF('Данные 2st'!$Q$2:$Q$317,$A84,'Данные 2st'!$LW$2:$LW$317),"")</f>
        <v>1.8</v>
      </c>
      <c r="QN84" s="7">
        <f>IFERROR(AVERAGEIF('Данные 2st'!$Q$2:$Q$317,$A84,'Данные 2st'!$LX$2:$LX$317),"")</f>
        <v>1.8</v>
      </c>
      <c r="QO84" s="7">
        <f>IFERROR(AVERAGEIF('Данные 2st'!$Q$2:$Q$317,$A84,'Данные 2st'!$LY$2:$LY$317),"")</f>
        <v>2.1</v>
      </c>
      <c r="QP84" s="7">
        <f>IFERROR(AVERAGEIF('Данные 2st'!$Q$2:$Q$317,$A84,'Данные 2st'!$LZ$2:$LZ$317),"")</f>
        <v>2.1</v>
      </c>
      <c r="QQ84" s="7">
        <f>IFERROR(AVERAGEIF('Данные 2st'!$Q$2:$Q$317,$A84,'Данные 2st'!$MB$2:$MB$317),"")</f>
        <v>7</v>
      </c>
      <c r="QR84" s="7">
        <f>IFERROR(AVERAGEIF('Данные 2st'!$Q$2:$Q$317,$A84,'Данные 2st'!$MG$2:$MG$317),"")</f>
        <v>0</v>
      </c>
      <c r="QS84" s="7">
        <f>IFERROR(AVERAGEIF('Данные 2st'!$Q$2:$Q$317,$A84,'Данные 2st'!$MH$2:$MH$317),"")</f>
        <v>0</v>
      </c>
      <c r="QT84" s="7">
        <f>IFERROR(AVERAGEIF('Данные 2st'!$Q$2:$Q$317,$A84,'Данные 2st'!$MI$2:$MI$317),"")</f>
        <v>0</v>
      </c>
      <c r="QU84" s="7">
        <f>IFERROR(AVERAGEIF('Данные 2st'!$Q$2:$Q$317,$A84,'Данные 2st'!$MJ$2:$MJ$317),"")</f>
        <v>0</v>
      </c>
      <c r="QV84" s="7">
        <f>IFERROR(AVERAGEIF('Данные 2st'!$Q$2:$Q$317,$A84,'Данные 2st'!$MK$2:$MK$317),"")</f>
        <v>0</v>
      </c>
      <c r="QW84" s="7">
        <f>IFERROR(AVERAGEIF('Данные 2st'!$Q$2:$Q$317,$A84,'Данные 2st'!$MM$2:$MM$317),"")</f>
        <v>452</v>
      </c>
      <c r="QX84" s="7">
        <f>IFERROR(AVERAGEIF('Данные 2st'!$Q$2:$Q$317,$A84,'Данные 2st'!$MQ$2:$MQ$317),"")</f>
        <v/>
      </c>
      <c r="QY84" s="7">
        <f>IFERROR(AVERAGEIF('Данные 2st'!$Q$2:$Q$317,$A84,'Данные 2st'!$MR$2:$MR$317),"")</f>
        <v/>
      </c>
      <c r="QZ84" s="7">
        <f>IFERROR(AVERAGEIF('Данные 2st'!$Q$2:$Q$317,$A84,'Данные 2st'!$MS$2:$MS$317),"")</f>
        <v/>
      </c>
      <c r="RA84" s="7">
        <f>IFERROR(AVERAGEIF('Данные 2st'!$Q$2:$Q$317,$A84,'Данные 2st'!$MT$2:$MT$317),"")</f>
        <v/>
      </c>
      <c r="RB84" s="7">
        <f>IFERROR(AVERAGEIF('Данные 2st'!$Q$2:$Q$317,$A84,'Данные 2st'!$MU$2:$MU$317),"")</f>
        <v/>
      </c>
      <c r="RC84" s="7">
        <f>IFERROR(AVERAGEIF('Данные 2st'!$Q$2:$Q$317,$A84,'Данные 2st'!$MV$2:$MV$317),"")</f>
        <v/>
      </c>
      <c r="RD84" s="7">
        <f>IFERROR(AVERAGEIF('Данные 2st'!$Q$2:$Q$317,$A84,'Данные 2st'!$MW$2:$MW$317),"")</f>
        <v/>
      </c>
      <c r="RE84" s="7">
        <f>IFERROR(AVERAGEIF('Данные 2st'!$Q$2:$Q$317,$A84,'Данные 2st'!$MX$2:$MX$317),"")</f>
        <v/>
      </c>
      <c r="RF84" s="7">
        <f>IFERROR(AVERAGEIF('Данные 2st'!$Q$2:$Q$317,$A84,'Данные 2st'!$MY$2:$MY$317),"")</f>
        <v/>
      </c>
      <c r="RG84" s="7">
        <f>IFERROR(AVERAGEIF('Данные 2st'!$Q$2:$Q$317,$A84,'Данные 2st'!$MZ$2:$MZ$317),"")</f>
        <v/>
      </c>
      <c r="RH84" s="7">
        <f>IFERROR(AVERAGEIF('Данные 2st'!$Q$2:$Q$317,$A84,'Данные 2st'!$NA$2:$NA$317),"")</f>
        <v/>
      </c>
      <c r="RI84" s="7">
        <f>IFERROR(AVERAGEIF('Данные 2st'!$Q$2:$Q$317,$A84,'Данные 2st'!$NB$2:$NB$317),"")</f>
        <v/>
      </c>
      <c r="RJ84" s="7">
        <f>IFERROR(AVERAGEIF('Данные 2st'!$Q$2:$Q$317,$A84,'Данные 2st'!$NC$2:$NC$317),"")</f>
        <v/>
      </c>
      <c r="RK84" s="7">
        <f>IFERROR(AVERAGEIF('Данные 2st'!$Q$2:$Q$317,$A84,'Данные 2st'!$ND$2:$ND$317),"")</f>
        <v/>
      </c>
      <c r="RL84" s="7">
        <f>IFERROR(AVERAGEIF('Данные 2st'!$Q$2:$Q$317,$A84,'Данные 2st'!$NE$2:$NE$317),"")</f>
        <v/>
      </c>
      <c r="RM84" s="7">
        <f>IFERROR(AVERAGEIF('Данные 2st'!$Q$2:$Q$317,$A84,'Данные 2st'!$NF$2:$NF$317),"")</f>
        <v/>
      </c>
      <c r="RN84" s="7">
        <f>IFERROR(AVERAGEIF('Данные 2st'!$Q$2:$Q$317,$A84,'Данные 2st'!$NG$2:$NG$317),"")</f>
        <v/>
      </c>
      <c r="RO84" s="7">
        <f>IFERROR(AVERAGEIF('Данные 2st'!$Q$2:$Q$317,$A84,'Данные 2st'!$NH$2:$NH$317),"")</f>
        <v/>
      </c>
      <c r="RP84" s="7">
        <f>IFERROR(AVERAGEIF('Данные 2st'!$Q$2:$Q$317,$A84,'Данные 2st'!$NJ$2:$NJ$317),"")</f>
        <v/>
      </c>
      <c r="RQ84" s="7">
        <f>IFERROR(AVERAGEIF('Данные 2st'!$Q$2:$Q$317,$A84,'Данные 2st'!$NK$2:$NK$317),"")</f>
        <v/>
      </c>
      <c r="RR84" s="7">
        <f>IFERROR(AVERAGEIF('Данные 2st'!$Q$2:$Q$317,$A84,'Данные 2st'!$NM$2:$NM$317),"")</f>
        <v/>
      </c>
      <c r="RS84" s="7">
        <f>IFERROR(AVERAGEIF('Данные 2st'!$Q$2:$Q$317,$A84,'Данные 2st'!$NN$2:$NN$317),"")</f>
        <v/>
      </c>
      <c r="RT84" s="7">
        <f>IFERROR(AVERAGEIF('Данные 2st'!$Q$2:$Q$317,$A84,'Данные 2st'!$NO$2:$NO$317),"")</f>
        <v/>
      </c>
      <c r="RU84" s="7">
        <f>IFERROR(AVERAGEIF('Данные 2st'!$Q$2:$Q$317,$A84,'Данные 2st'!$NP$2:$NP$317),"")</f>
        <v/>
      </c>
      <c r="RV84" s="7">
        <f>IFERROR(AVERAGEIF('Данные 2st'!$Q$2:$Q$317,$A84,'Данные 2st'!$NQ$2:$NQ$317),"")</f>
        <v/>
      </c>
      <c r="RW84" s="7">
        <f>IFERROR(AVERAGEIF('Данные 2st'!$Q$2:$Q$317,$A84,'Данные 2st'!$NR$2:$NR$317),"")</f>
        <v/>
      </c>
      <c r="RX84" s="7">
        <f>IFERROR(AVERAGEIF('Данные 2st'!$Q$2:$Q$317,$A84,'Данные 2st'!$NS$2:$NS$317),"")</f>
        <v/>
      </c>
      <c r="RY84" s="7">
        <f>IFERROR(AVERAGEIF('Данные 2st'!$Q$2:$Q$317,$A84,'Данные 2st'!$NT$2:$NT$317),"")</f>
        <v/>
      </c>
      <c r="RZ84" s="7">
        <f>IFERROR(AVERAGEIF('Данные 2st'!$Q$2:$Q$317,$A84,'Данные 2st'!$OK$2:$OK$317),"")</f>
        <v>61</v>
      </c>
      <c r="SA84" s="7">
        <f>IFERROR(AVERAGEIF('Данные 2st'!$Q$2:$Q$317,$A84,'Данные 2st'!$OL$2:$OL$317),"")</f>
        <v>61</v>
      </c>
      <c r="SB84" s="7">
        <f>IFERROR(AVERAGEIF('Данные 2st'!$Q$2:$Q$317,$A84,'Данные 2st'!$ON$2:$ON$317),"")</f>
        <v>1</v>
      </c>
      <c r="SC84" s="7">
        <f>IFERROR(AVERAGEIF('Данные 2st'!$Q$2:$Q$317,$A84,'Данные 2st'!$OO$2:$OO$317),"")</f>
        <v>2239</v>
      </c>
      <c r="SD84" s="7">
        <f>IFERROR(AVERAGEIF('Данные 2st'!$Q$2:$Q$317,$A84,'Данные 2st'!$OP$2:$OP$317),"")</f>
        <v>61</v>
      </c>
      <c r="SE84" s="7">
        <f>IFERROR(AVERAGEIF('Данные 2st'!$Q$2:$Q$317,$A84,'Данные 2st'!$OQ$2:$OQ$317),"")</f>
        <v>61</v>
      </c>
      <c r="SF84" s="7">
        <f>IFERROR(AVERAGEIF('Данные 2st'!$Q$2:$Q$317,$A84,'Данные 2st'!$OS$2:$OS$317),"")</f>
        <v>1</v>
      </c>
      <c r="SG84" s="7">
        <f>IFERROR(AVERAGEIF('Данные 2st'!$Q$2:$Q$317,$A84,'Данные 2st'!$OT$2:$OT$317),"")</f>
        <v>2252</v>
      </c>
      <c r="SH84" s="7">
        <f>IFERROR(AVERAGEIF('Данные 2st'!$Q$2:$Q$317,$A84,'Данные 2st'!$OU$2:$OU$317),"")</f>
        <v>65</v>
      </c>
      <c r="SI84" s="7">
        <f>IFERROR(AVERAGEIF('Данные 2st'!$Q$2:$Q$317,$A84,'Данные 2st'!$OV$2:$OV$317),"")</f>
        <v>65</v>
      </c>
      <c r="SJ84" s="7">
        <f>IFERROR(AVERAGEIF('Данные 2st'!$Q$2:$Q$317,$A84,'Данные 2st'!$OX$2:$OX$317),"")</f>
        <v>2</v>
      </c>
      <c r="SK84" s="7">
        <f>IFERROR(AVERAGEIF('Данные 2st'!$Q$2:$Q$317,$A84,'Данные 2st'!$OY$2:$OY$317),"")</f>
        <v>57707</v>
      </c>
      <c r="SL84" s="7">
        <f>IFERROR(AVERAGEIF('Данные 2st'!$Q$2:$Q$317,$A84,'Данные 2st'!$OZ$2:$OZ$317),"")</f>
        <v>51</v>
      </c>
      <c r="SM84" s="7">
        <f>IFERROR(AVERAGEIF('Данные 2st'!$Q$2:$Q$317,$A84,'Данные 2st'!$PA$2:$PA$317),"")</f>
        <v>52</v>
      </c>
      <c r="SN84" s="7">
        <f>IFERROR(AVERAGEIF('Данные 2st'!$Q$2:$Q$317,$A84,'Данные 2st'!$PC$2:$PC$317),"")</f>
        <v>1</v>
      </c>
      <c r="SO84" s="7">
        <f>IFERROR(AVERAGEIF('Данные 2st'!$Q$2:$Q$317,$A84,'Данные 2st'!$PD$2:$PD$317),"")</f>
        <v>2283</v>
      </c>
      <c r="SP84" s="7">
        <f>IFERROR(AVERAGEIF('Данные 2st'!$Q$2:$Q$317,$A84,'Данные 2st'!$PF$2:$PF$317),"")</f>
        <v>604</v>
      </c>
      <c r="SQ84" s="7">
        <f>IFERROR(AVERAGEIF('Данные 2st'!$Q$2:$Q$317,$A84,'Данные 2st'!$PG$2:$PG$317),"")</f>
        <v>35</v>
      </c>
      <c r="SR84" s="7">
        <f>IFERROR(AVERAGEIF('Данные 2st'!$Q$2:$Q$317,$A84,'Данные 2st'!$PH$2:$PH$317),"")</f>
        <v>579</v>
      </c>
      <c r="SS84" s="7">
        <f>IFERROR(AVERAGEIF('Данные 2st'!$Q$2:$Q$317,$A84,'Данные 2st'!$PI$2:$PI$317),"")</f>
        <v>0</v>
      </c>
      <c r="ST84" s="7">
        <f>IFERROR(AVERAGEIF('Данные 2st'!$Q$2:$Q$317,$A84,'Данные 2st'!$PJ$2:$PJ$317),"")</f>
        <v>80.9</v>
      </c>
      <c r="SU84" s="7">
        <f>IFERROR(AVERAGEIF('Данные 2st'!$Q$2:$Q$317,$A84,'Данные 2st'!$PK$2:$PK$317),"")</f>
        <v>2759</v>
      </c>
      <c r="SV84" s="7">
        <f>IFERROR(AVERAGEIF('Данные 2st'!$Q$2:$Q$317,$A84,'Данные 2st'!$PL$2:$PL$317),"")</f>
        <v>1233.8</v>
      </c>
      <c r="SW84" s="7">
        <f>IFERROR(AVERAGEIF('Данные 2st'!$Q$2:$Q$317,$A84,'Данные 2st'!$PM$2:$PM$317),"")</f>
        <v>1331.9</v>
      </c>
      <c r="SX84" s="7">
        <f>IFERROR(AVERAGEIF('Данные 2st'!$Q$2:$Q$317,$A84,'Данные 2st'!$PN$2:$PN$317),"")</f>
        <v>122.9</v>
      </c>
      <c r="SY84" s="7">
        <f>IFERROR(AVERAGEIF('Данные 2st'!$Q$2:$Q$317,$A84,'Данные 2st'!$PO$2:$PO$317),"")</f>
        <v>9.6</v>
      </c>
      <c r="SZ84" s="7">
        <f>IFERROR(AVERAGEIF('Данные 2st'!$Q$2:$Q$317,$A84,'Данные 2st'!$PP$2:$PP$317),"")</f>
        <v>12</v>
      </c>
      <c r="TA84" s="7">
        <f>IFERROR(AVERAGEIF('Данные 2st'!$Q$2:$Q$317,$A84,'Данные 2st'!$PQ$2:$PQ$317),"")</f>
        <v>4</v>
      </c>
      <c r="TB84" s="7">
        <f>IFERROR(AVERAGEIF('Данные 2st'!$Q$2:$Q$317,$A84,'Данные 2st'!$PR$2:$PR$317),"")</f>
        <v>4</v>
      </c>
      <c r="TC84" s="7">
        <f>IFERROR(AVERAGEIF('Данные 2st'!$Q$2:$Q$317,$A84,'Данные 2st'!$PS$2:$PS$317),"")</f>
        <v>0</v>
      </c>
      <c r="TD84" s="7">
        <f>IFERROR(AVERAGEIF('Данные 2st'!$Q$2:$Q$317,$A84,'Данные 2st'!$PT$2:$PT$317),"")</f>
        <v>292</v>
      </c>
      <c r="TE84" s="7">
        <f>IFERROR(AVERAGEIF('Данные 2st'!$Q$2:$Q$317,$A84,'Данные 2st'!$PU$2:$PU$317),"")</f>
        <v>10</v>
      </c>
      <c r="TF84" s="7">
        <f>IFERROR(AVERAGEIF('Данные 2st'!$Q$2:$Q$317,$A84,'Данные 2st'!$PX$2:$PX$317),"")</f>
        <v>0</v>
      </c>
      <c r="TG84" s="7">
        <f>IFERROR(AVERAGEIF('Данные 2st'!$Q$2:$Q$317,$A84,'Данные 2st'!$PY$2:$PY$317),"")</f>
        <v>0</v>
      </c>
      <c r="TH84" s="7">
        <f>IFERROR(AVERAGEIF('Данные 2st'!$Q$2:$Q$317,$A84,'Данные 2st'!$PZ$2:$PZ$317),"")</f>
        <v>0</v>
      </c>
      <c r="TI84" s="7">
        <f>IFERROR(AVERAGEIF('Данные 2st'!$Q$2:$Q$317,$A84,'Данные 2st'!$QA$2:$QA$317),"")</f>
        <v>0</v>
      </c>
      <c r="TJ84" s="7">
        <f>IFERROR(AVERAGEIF('Данные 2st'!$Q$2:$Q$317,$A84,'Данные 2st'!$QB$2:$QB$317),"")</f>
        <v>0</v>
      </c>
      <c r="TK84" s="7">
        <f>IFERROR(AVERAGEIF('Данные 2st'!$Q$2:$Q$317,$A84,'Данные 2st'!$QC$2:$QC$317),"")</f>
        <v>0</v>
      </c>
      <c r="TL84" s="7">
        <f>IFERROR(AVERAGEIF('Данные 2st'!$Q$2:$Q$317,$A84,'Данные 2st'!$QD$2:$QD$317),"")</f>
        <v>0</v>
      </c>
      <c r="TM84" s="7">
        <f>IFERROR(AVERAGEIF('Данные 2st'!$Q$2:$Q$317,$A84,'Данные 2st'!$QE$2:$QE$317),"")</f>
        <v>-1</v>
      </c>
      <c r="TN84" s="7">
        <f>IFERROR(AVERAGEIF('Данные 2st'!$Q$2:$Q$317,$A84,'Данные 2st'!$QF$2:$QF$317),"")</f>
        <v>1</v>
      </c>
      <c r="TO84" s="7">
        <f>IFERROR(AVERAGEIF('Данные 2st'!$Q$2:$Q$317,$A84,'Данные 2st'!$QG$2:$QG$317),"")</f>
        <v>0</v>
      </c>
      <c r="TP84" s="7">
        <f>IFERROR(AVERAGEIF('Данные 2st'!$Q$2:$Q$317,$A84,'Данные 2st'!$QH$2:$QH$317),"")</f>
        <v>5</v>
      </c>
      <c r="TQ84" s="7">
        <f>IFERROR(AVERAGEIF('Данные 2st'!$Q$2:$Q$317,$A84,'Данные 2st'!$QI$2:$QI$317),"")</f>
        <v>5</v>
      </c>
      <c r="TR84" s="7">
        <f>IFERROR(AVERAGEIF('Данные 2st'!$Q$2:$Q$317,$A84,'Данные 2st'!$QJ$2:$QJ$317),"")</f>
        <v>5</v>
      </c>
      <c r="TS84" s="7">
        <f>IFERROR(AVERAGEIF('Данные 2st'!$Q$2:$Q$317,$A84,'Данные 2st'!$QK$2:$QK$317),"")</f>
        <v>234</v>
      </c>
      <c r="TT84" s="7">
        <f>IFERROR(AVERAGEIF('Данные 2st'!$Q$2:$Q$317,$A84,'Данные 2st'!$QL$2:$QL$317),"")</f>
        <v>468</v>
      </c>
      <c r="TU84" s="7">
        <f>IFERROR(AVERAGEIF('Данные 2st'!$Q$2:$Q$317,$A84,'Данные 2st'!$QM$2:$QM$317),"")</f>
        <v>9.4</v>
      </c>
      <c r="TV84" s="7">
        <f>IFERROR(AVERAGEIF('Данные 2st'!$Q$2:$Q$317,$A84,'Данные 2st'!$QN$2:$QN$317),"")</f>
        <v>1623.8</v>
      </c>
      <c r="TW84" s="7">
        <f>IFERROR(AVERAGEIF('Данные 2st'!$Q$2:$Q$317,$A84,'Данные 2st'!$QQ$2:$QQ$317),"")</f>
        <v>0</v>
      </c>
      <c r="TX84" s="7">
        <f>IFERROR(AVERAGEIF('Данные 2st'!$Q$2:$Q$317,$A84,'Данные 2st'!$QS$2:$QS$317),"")</f>
        <v>40</v>
      </c>
      <c r="TY84" s="7">
        <f>IFERROR(AVERAGEIF('Данные 2st'!$Q$2:$Q$317,$A84,'Данные 2st'!$QT$2:$QT$317),"")</f>
        <v>50</v>
      </c>
    </row>
    <row r="85" spans="1:545" ht="32" customHeight="1">
      <c r="A85" s="11" t="s">
        <v>568</v>
      </c>
      <c r="B85">
        <f>COUNTIF('Данные 1st'!$S$2:$S$317,$A85)</f>
        <v>2</v>
      </c>
      <c r="C85" s="6" t="s">
        <v>5111</v>
      </c>
      <c r="D85" s="6" t="s">
        <v>513</v>
      </c>
      <c r="E85" s="6" t="s">
        <v>5125</v>
      </c>
      <c r="F85" s="6" t="s">
        <v>5190</v>
      </c>
      <c r="G85" s="7">
        <f>IFERROR(AVERAGEIF('Данные 1st'!$S$2:$S$317,$A85,'Данные 1st'!$AE$2:$AE$317),"")</f>
        <v>257.5</v>
      </c>
      <c r="H85" s="7">
        <f>IFERROR(AVERAGEIF('Данные 1st'!$S$2:$S$317,$A85,'Данные 1st'!$AF$2:$AF$317),"")</f>
        <v>1.5</v>
      </c>
      <c r="I85" s="7">
        <f>IFERROR(AVERAGEIF('Данные 1st'!$S$2:$S$317,$A85,'Данные 1st'!$AJ$2:$AJ$317),"")</f>
        <v>238.75</v>
      </c>
      <c r="J85" s="7">
        <f>IFERROR(AVERAGEIF('Данные 1st'!$S$2:$S$317,$A85,'Данные 1st'!$AL$2:$AL$317),"")</f>
        <v>1.5</v>
      </c>
      <c r="K85" s="7">
        <f>IFERROR(AVERAGEIF('Данные 1st'!$S$2:$S$317,$A85,'Данные 1st'!$AR$2:$AR$317),"")</f>
        <v>287</v>
      </c>
      <c r="L85" s="7">
        <f>IFERROR(AVERAGEIF('Данные 1st'!$S$2:$S$317,$A85,'Данные 1st'!$AS$2:$AS$317),"")</f>
        <v>1.5</v>
      </c>
      <c r="M85" s="7">
        <f>IFERROR(AVERAGEIF('Данные 1st'!$S$2:$S$317,$A85,'Данные 1st'!$AY$2:$AY$317),"")</f>
        <v>335.0</v>
      </c>
      <c r="N85" s="7">
        <f>IFERROR(AVERAGEIF('Данные 1st'!$S$2:$S$317,$A85,'Данные 1st'!$AZ$2:$AZ$317),"")</f>
        <v>1.5</v>
      </c>
      <c r="O85" s="7">
        <f>IFERROR(AVERAGEIF('Данные 1st'!$S$2:$S$317,$A85,'Данные 1st'!$BF$2:$BF$317),"")</f>
        <v>280</v>
      </c>
      <c r="P85" s="7">
        <f>IFERROR(AVERAGEIF('Данные 1st'!$S$2:$S$317,$A85,'Данные 1st'!$BG$2:$BG$317),"")</f>
        <v>1.5</v>
      </c>
      <c r="Q85" s="7">
        <f>IFERROR(AVERAGEIF('Данные 1st'!$S$2:$S$317,$A85,'Данные 1st'!$BM$2:$BM$317),"")</f>
        <v/>
      </c>
      <c r="R85" s="7">
        <f>IFERROR(AVERAGEIF('Данные 1st'!$S$2:$S$317,$A85,'Данные 1st'!$BN$2:$BN$317),"")</f>
        <v>1.5</v>
      </c>
      <c r="S85" s="7">
        <f>IFERROR(AVERAGEIF('Данные 1st'!$S$2:$S$317,$A85,'Данные 1st'!$BT$2:$BT$317),"")</f>
        <v>257</v>
      </c>
      <c r="T85" s="7">
        <f>IFERROR(AVERAGEIF('Данные 1st'!$S$2:$S$317,$A85,'Данные 1st'!$BU$2:$BU$317),"")</f>
        <v>0.5</v>
      </c>
      <c r="U85" s="7">
        <f>IFERROR(AVERAGEIF('Данные 1st'!$S$2:$S$317,$A85,'Данные 1st'!$BW$2:$BW$317),"")</f>
        <v>514</v>
      </c>
      <c r="V85" s="7">
        <f>IFERROR(AVERAGEIF('Данные 1st'!$S$2:$S$317,$A85,'Данные 1st'!$BX$2:$BX$317),"")</f>
        <v>1</v>
      </c>
      <c r="W85" s="7">
        <f>IFERROR(AVERAGEIF('Данные 1st'!$S$2:$S$317,$A85,'Данные 1st'!$BZ$2:$BZ$317),"")</f>
        <v>470</v>
      </c>
      <c r="X85" s="7">
        <f>IFERROR(AVERAGEIF('Данные 1st'!$S$2:$S$317,$A85,'Данные 1st'!$CA$2:$CA$317),"")</f>
        <v>580</v>
      </c>
      <c r="Y85" s="7">
        <f>IFERROR(AVERAGEIF('Данные 1st'!$S$2:$S$317,$A85,'Данные 1st'!$CD$2:$CD$317),"")</f>
        <v>540</v>
      </c>
      <c r="Z85" s="7">
        <f>IFERROR(AVERAGEIF('Данные 1st'!$S$2:$S$317,$A85,'Данные 1st'!$CF$2:$CF$317),"")</f>
        <v>15</v>
      </c>
      <c r="AA85" s="7">
        <f>IFERROR(AVERAGEIF('Данные 1st'!$S$2:$S$317,$A85,'Данные 1st'!$CI$2:$CI$317),"")</f>
        <v>55</v>
      </c>
      <c r="AB85" s="7">
        <f>IFERROR(AVERAGEIF('Данные 1st'!$S$2:$S$317,$A85,'Данные 1st'!$CJ$2:$CJ$317),"")</f>
        <v>1538</v>
      </c>
      <c r="AC85" s="7">
        <f>IFERROR(AVERAGEIF('Данные 1st'!$S$2:$S$317,$A85,'Данные 1st'!$CK$2:$CK$317),"")</f>
        <v>2</v>
      </c>
      <c r="AD85" s="7">
        <f>IFERROR(AVERAGEIF('Данные 1st'!$S$2:$S$317,$A85,'Данные 1st'!$CL$2:$CL$317),"")</f>
        <v>1632</v>
      </c>
      <c r="AE85" s="7">
        <f>IFERROR(AVERAGEIF('Данные 1st'!$S$2:$S$317,$A85,'Данные 1st'!$CM$2:$CM$317),"")</f>
        <v>2</v>
      </c>
      <c r="AF85" s="7">
        <f>IFERROR(AVERAGEIF('Данные 1st'!$S$2:$S$317,$A85,'Данные 1st'!$CT$2:$CT$317),"")</f>
        <v>477.5</v>
      </c>
      <c r="AG85" s="7">
        <f>IFERROR(AVERAGEIF('Данные 1st'!$S$2:$S$317,$A85,'Данные 1st'!$CU$2:$CU$317),"")</f>
        <v>5</v>
      </c>
      <c r="AH85" s="7">
        <f>IFERROR(AVERAGEIF('Данные 1st'!$S$2:$S$317,$A85,'Данные 1st'!$CV$2:$CV$317),"")</f>
        <v>1.25</v>
      </c>
      <c r="AI85" s="7">
        <f>IFERROR(AVERAGEIF('Данные 1st'!$S$2:$S$317,$A85,'Данные 1st'!$CW$2:$CW$317),"")</f>
        <v>1554.5</v>
      </c>
      <c r="AJ85" s="7">
        <f>IFERROR(AVERAGEIF('Данные 1st'!$S$2:$S$317,$A85,'Данные 1st'!$CX$2:$CX$317),"")</f>
        <v>1097.5</v>
      </c>
      <c r="AK85" s="7">
        <f>IFERROR(AVERAGEIF('Данные 1st'!$S$2:$S$317,$A85,'Данные 1st'!$CZ$2:$CZ$317),"")</f>
        <v>60</v>
      </c>
      <c r="AL85" s="7">
        <f>IFERROR(AVERAGEIF('Данные 1st'!$S$2:$S$317,$A85,'Данные 1st'!$DA$2:$DA$317),"")</f>
        <v>3</v>
      </c>
      <c r="AM85" s="7">
        <f>IFERROR(AVERAGEIF('Данные 1st'!$S$2:$S$317,$A85,'Данные 1st'!$DB$2:$DB$317),"")</f>
        <v>1.1400000000000001</v>
      </c>
      <c r="AN85" s="7">
        <f>IFERROR(AVERAGEIF('Данные 1st'!$S$2:$S$317,$A85,'Данные 1st'!$DC$2:$DC$317),"")</f>
        <v>1554.5</v>
      </c>
      <c r="AO85" s="7">
        <f>IFERROR(AVERAGEIF('Данные 1st'!$S$2:$S$317,$A85,'Данные 1st'!$DD$2:$DD$317),"")</f>
        <v>114.5</v>
      </c>
      <c r="AP85" s="7">
        <f>IFERROR(AVERAGEIF('Данные 1st'!$S$2:$S$317,$A85,'Данные 1st'!$DF$2:$DF$317),"")</f>
        <v>670</v>
      </c>
      <c r="AQ85" s="7">
        <f>IFERROR(AVERAGEIF('Данные 1st'!$S$2:$S$317,$A85,'Данные 1st'!$DG$2:$DG$317),"")</f>
        <v>3</v>
      </c>
      <c r="AR85" s="7">
        <f>IFERROR(AVERAGEIF('Данные 1st'!$S$2:$S$317,$A85,'Данные 1st'!$DH$2:$DH$317),"")</f>
        <v>1.03</v>
      </c>
      <c r="AS85" s="7">
        <f>IFERROR(AVERAGEIF('Данные 1st'!$S$2:$S$317,$A85,'Данные 1st'!$DI$2:$DI$317),"")</f>
        <v>1547.5</v>
      </c>
      <c r="AT85" s="7">
        <f>IFERROR(AVERAGEIF('Данные 1st'!$S$2:$S$317,$A85,'Данные 1st'!$DJ$2:$DJ$317),"")</f>
        <v>1406</v>
      </c>
      <c r="AU85" s="7">
        <f>IFERROR(AVERAGEIF('Данные 1st'!$S$2:$S$317,$A85,'Данные 1st'!$DL$2:$DL$317),"")</f>
        <v>560</v>
      </c>
      <c r="AV85" s="7">
        <f>IFERROR(AVERAGEIF('Данные 1st'!$S$2:$S$317,$A85,'Данные 1st'!$DM$2:$DM$317),"")</f>
        <v>3</v>
      </c>
      <c r="AW85" s="7">
        <f>IFERROR(AVERAGEIF('Данные 1st'!$S$2:$S$317,$A85,'Данные 1st'!$DN$2:$DN$317),"")</f>
        <v>1.03</v>
      </c>
      <c r="AX85" s="7">
        <f>IFERROR(AVERAGEIF('Данные 1st'!$S$2:$S$317,$A85,'Данные 1st'!$DO$2:$DO$317),"")</f>
        <v>1553.5</v>
      </c>
      <c r="AY85" s="7">
        <f>IFERROR(AVERAGEIF('Данные 1st'!$S$2:$S$317,$A85,'Данные 1st'!$DP$2:$DP$317),"")</f>
        <v>1117.5</v>
      </c>
      <c r="AZ85" s="7">
        <f>IFERROR(AVERAGEIF('Данные 1st'!$S$2:$S$317,$A85,'Данные 1st'!$DR$2:$DR$317),"")</f>
        <v/>
      </c>
      <c r="BA85" s="7">
        <f>IFERROR(AVERAGEIF('Данные 1st'!$S$2:$S$317,$A85,'Данные 1st'!$DS$2:$DS$317),"")</f>
        <v/>
      </c>
      <c r="BB85" s="7">
        <f>IFERROR(AVERAGEIF('Данные 1st'!$S$2:$S$317,$A85,'Данные 1st'!$DT$2:$DT$317),"")</f>
        <v/>
      </c>
      <c r="BC85" s="7">
        <f>IFERROR(AVERAGEIF('Данные 1st'!$S$2:$S$317,$A85,'Данные 1st'!$DU$2:$DU$317),"")</f>
        <v/>
      </c>
      <c r="BD85" s="7">
        <f>IFERROR(AVERAGEIF('Данные 1st'!$S$2:$S$317,$A85,'Данные 1st'!$DV$2:$DV$317),"")</f>
        <v/>
      </c>
      <c r="BE85" s="7">
        <f>IFERROR(AVERAGEIF('Данные 1st'!$S$2:$S$317,$A85,'Данные 1st'!$DX$2:$DX$317),"")</f>
        <v>9.4</v>
      </c>
      <c r="BF85" s="7">
        <f>IFERROR(AVERAGEIF('Данные 1st'!$S$2:$S$317,$A85,'Данные 1st'!$EA$2:$EA$317),"")</f>
        <v>1626.2</v>
      </c>
      <c r="BG85" s="7">
        <f>IFERROR(AVERAGEIF('Данные 1st'!$S$2:$S$317,$A85,'Данные 1st'!$EB$2:$EB$317),"")</f>
        <v>382</v>
      </c>
      <c r="BH85" s="7">
        <f>IFERROR(AVERAGEIF('Данные 1st'!$S$2:$S$317,$A85,'Данные 1st'!$ED$2:$ED$317),"")</f>
        <v>37.5</v>
      </c>
      <c r="BI85" s="7">
        <f>IFERROR(AVERAGEIF('Данные 1st'!$S$2:$S$317,$A85,'Данные 1st'!$EE$2:$EE$317),"")</f>
        <v>3</v>
      </c>
      <c r="BJ85" s="7">
        <f>IFERROR(AVERAGEIF('Данные 1st'!$S$2:$S$317,$A85,'Данные 1st'!$EG$2:$EG$317),"")</f>
        <v>1667</v>
      </c>
      <c r="BK85" s="7">
        <f>IFERROR(AVERAGEIF('Данные 1st'!$S$2:$S$317,$A85,'Данные 1st'!$EH$2:$EH$317),"")</f>
        <v>302</v>
      </c>
      <c r="BL85" s="7">
        <f>IFERROR(AVERAGEIF('Данные 1st'!$S$2:$S$317,$A85,'Данные 1st'!$EJ$2:$EJ$317),"")</f>
        <v>0</v>
      </c>
      <c r="BM85" s="7">
        <f>IFERROR(AVERAGEIF('Данные 1st'!$S$2:$S$317,$A85,'Данные 1st'!$EK$2:$EK$317),"")</f>
        <v>1</v>
      </c>
      <c r="BN85" s="7">
        <f>IFERROR(AVERAGEIF('Данные 1st'!$S$2:$S$317,$A85,'Данные 1st'!$EN$2:$EN$317),"")</f>
        <v>0</v>
      </c>
      <c r="BO85" s="7">
        <f>IFERROR(AVERAGEIF('Данные 1st'!$S$2:$S$317,$A85,'Данные 1st'!$EQ$2:$EQ$317),"")</f>
        <v>127.5</v>
      </c>
      <c r="BP85" s="7">
        <f>IFERROR(AVERAGEIF('Данные 1st'!$S$2:$S$317,$A85,'Данные 1st'!$ER$2:$ER$317),"")</f>
        <v>3</v>
      </c>
      <c r="BQ85" s="7">
        <f>IFERROR(AVERAGEIF('Данные 1st'!$S$2:$S$317,$A85,'Данные 1st'!$ES$2:$ES$317),"")</f>
        <v>6.0</v>
      </c>
      <c r="BR85" s="7">
        <f>IFERROR(AVERAGEIF('Данные 1st'!$S$2:$S$317,$A85,'Данные 1st'!$ET$2:$ET$317),"")</f>
        <v>1537</v>
      </c>
      <c r="BS85" s="7">
        <f>IFERROR(AVERAGEIF('Данные 1st'!$S$2:$S$317,$A85,'Данные 1st'!$EU$2:$EU$317),"")</f>
        <v>622.45</v>
      </c>
      <c r="BT85" s="7">
        <f>IFERROR(AVERAGEIF('Данные 1st'!$S$2:$S$317,$A85,'Данные 1st'!$EV$2:$EV$317),"")</f>
        <v>956.5</v>
      </c>
      <c r="BU85" s="7">
        <f>IFERROR(AVERAGEIF('Данные 1st'!$S$2:$S$317,$A85,'Данные 1st'!$EX$2:$EX$317),"")</f>
        <v>45</v>
      </c>
      <c r="BV85" s="7">
        <f>IFERROR(AVERAGEIF('Данные 1st'!$S$2:$S$317,$A85,'Данные 1st'!$EY$2:$EY$317),"")</f>
        <v>2</v>
      </c>
      <c r="BW85" s="7">
        <f>IFERROR(AVERAGEIF('Данные 1st'!$S$2:$S$317,$A85,'Данные 1st'!$EZ$2:$EZ$317),"")</f>
        <v>4.5</v>
      </c>
      <c r="BX85" s="7">
        <f>IFERROR(AVERAGEIF('Данные 1st'!$S$2:$S$317,$A85,'Данные 1st'!$FA$2:$FA$317),"")</f>
        <v>1537</v>
      </c>
      <c r="BY85" s="7">
        <f>IFERROR(AVERAGEIF('Данные 1st'!$S$2:$S$317,$A85,'Данные 1st'!$FB$2:$FB$317),"")</f>
        <v>150.5</v>
      </c>
      <c r="BZ85" s="7">
        <f>IFERROR(AVERAGEIF('Данные 1st'!$S$2:$S$317,$A85,'Данные 1st'!$FC$2:$FC$317),"")</f>
        <v>231</v>
      </c>
      <c r="CA85" s="7">
        <f>IFERROR(AVERAGEIF('Данные 1st'!$S$2:$S$317,$A85,'Данные 1st'!$FE$2:$FE$317),"")</f>
        <v>0</v>
      </c>
      <c r="CB85" s="7">
        <f>IFERROR(AVERAGEIF('Данные 1st'!$S$2:$S$317,$A85,'Данные 1st'!$FF$2:$FF$317),"")</f>
        <v>2</v>
      </c>
      <c r="CC85" s="7">
        <f>IFERROR(AVERAGEIF('Данные 1st'!$S$2:$S$317,$A85,'Данные 1st'!$FI$2:$FI$317),"")</f>
        <v>0</v>
      </c>
      <c r="CD85" s="7">
        <f>IFERROR(AVERAGEIF('Данные 1st'!$S$2:$S$317,$A85,'Данные 1st'!$FL$2:$FL$317),"")</f>
        <v>0.4</v>
      </c>
      <c r="CE85" s="7">
        <f>IFERROR(AVERAGEIF('Данные 1st'!$S$2:$S$317,$A85,'Данные 1st'!$FM$2:$FM$317),"")</f>
        <v>42.5</v>
      </c>
      <c r="CF85" s="7">
        <f>IFERROR(AVERAGEIF('Данные 1st'!$S$2:$S$317,$A85,'Данные 1st'!$FN$2:$FN$317),"")</f>
        <v>465</v>
      </c>
      <c r="CG85" s="7">
        <f>IFERROR(AVERAGEIF('Данные 1st'!$S$2:$S$317,$A85,'Данные 1st'!$FO$2:$FO$317),"")</f>
        <v>95</v>
      </c>
      <c r="CH85" s="7">
        <f>IFERROR(AVERAGEIF('Данные 1st'!$S$2:$S$317,$A85,'Данные 1st'!$FP$2:$FP$317),"")</f>
        <v>200</v>
      </c>
      <c r="CI85" s="7">
        <f>IFERROR(AVERAGEIF('Данные 1st'!$S$2:$S$317,$A85,'Данные 1st'!$FS$2:$FS$317),"")</f>
        <v/>
      </c>
      <c r="CJ85" s="7">
        <f>IFERROR(AVERAGEIF('Данные 1st'!$S$2:$S$317,$A85,'Данные 1st'!$FT$2:$FT$317),"")</f>
        <v/>
      </c>
      <c r="CK85" s="7">
        <f>IFERROR(AVERAGEIF('Данные 1st'!$S$2:$S$317,$A85,'Данные 1st'!$FU$2:$FU$317),"")</f>
        <v/>
      </c>
      <c r="CL85" s="7">
        <f>IFERROR(AVERAGEIF('Данные 1st'!$S$2:$S$317,$A85,'Данные 1st'!$FV$2:$FV$317),"")</f>
        <v/>
      </c>
      <c r="CM85" s="7">
        <f>IFERROR(AVERAGEIF('Данные 1st'!$S$2:$S$317,$A85,'Данные 1st'!$FW$2:$FW$317),"")</f>
        <v/>
      </c>
      <c r="CN85" s="7">
        <f>IFERROR(AVERAGEIF('Данные 1st'!$S$2:$S$317,$A85,'Данные 1st'!$FZ$2:$FZ$317),"")</f>
        <v/>
      </c>
      <c r="CO85" s="7">
        <f>IFERROR(AVERAGEIF('Данные 1st'!$S$2:$S$317,$A85,'Данные 1st'!$GA$2:$GA$317),"")</f>
        <v/>
      </c>
      <c r="CP85" s="7">
        <f>IFERROR(AVERAGEIF('Данные 1st'!$S$2:$S$317,$A85,'Данные 1st'!$GB$2:$GB$317),"")</f>
        <v/>
      </c>
      <c r="CQ85" s="7">
        <f>IFERROR(AVERAGEIF('Данные 1st'!$S$2:$S$317,$A85,'Данные 1st'!$GH$2:$GH$317),"")</f>
        <v/>
      </c>
      <c r="CR85" s="7">
        <f>IFERROR(AVERAGEIF('Данные 1st'!$S$2:$S$317,$A85,'Данные 1st'!$GI$2:$GI$317),"")</f>
        <v/>
      </c>
      <c r="CS85" s="7">
        <f>IFERROR(AVERAGEIF('Данные 1st'!$S$2:$S$317,$A85,'Данные 1st'!$GJ$2:$GJ$317),"")</f>
        <v/>
      </c>
      <c r="CT85" s="7">
        <f>IFERROR(AVERAGEIF('Данные 1st'!$S$2:$S$317,$A85,'Данные 1st'!$GS$2:$GS$317),"")</f>
        <v>0.5</v>
      </c>
      <c r="CU85" s="7">
        <f>IFERROR(AVERAGEIF('Данные 1st'!$S$2:$S$317,$A85,'Данные 1st'!$GT$2:$GT$317),"")</f>
        <v>40</v>
      </c>
      <c r="CV85" s="7">
        <f>IFERROR(AVERAGEIF('Данные 1st'!$S$2:$S$317,$A85,'Данные 1st'!$GU$2:$GU$317),"")</f>
        <v>405</v>
      </c>
      <c r="CW85" s="7">
        <f>IFERROR(AVERAGEIF('Данные 1st'!$S$2:$S$317,$A85,'Данные 1st'!$GV$2:$GV$317),"")</f>
        <v>30</v>
      </c>
      <c r="CX85" s="7">
        <f>IFERROR(AVERAGEIF('Данные 1st'!$S$2:$S$317,$A85,'Данные 1st'!$GW$2:$GW$317),"")</f>
        <v>340</v>
      </c>
      <c r="CY85" s="7">
        <f>IFERROR(AVERAGEIF('Данные 1st'!$S$2:$S$317,$A85,'Данные 1st'!$GZ$2:$GZ$317),"")</f>
        <v/>
      </c>
      <c r="CZ85" s="7">
        <f>IFERROR(AVERAGEIF('Данные 1st'!$S$2:$S$317,$A85,'Данные 1st'!$HA$2:$HA$317),"")</f>
        <v/>
      </c>
      <c r="DA85" s="7">
        <f>IFERROR(AVERAGEIF('Данные 1st'!$S$2:$S$317,$A85,'Данные 1st'!$HB$2:$HB$317),"")</f>
        <v/>
      </c>
      <c r="DB85" s="7">
        <f>IFERROR(AVERAGEIF('Данные 1st'!$S$2:$S$317,$A85,'Данные 1st'!$HC$2:$HC$317),"")</f>
        <v>0.1</v>
      </c>
      <c r="DC85" s="7">
        <f>IFERROR(AVERAGEIF('Данные 1st'!$S$2:$S$317,$A85,'Данные 1st'!$HD$2:$HD$317),"")</f>
        <v>3</v>
      </c>
      <c r="DD85" s="7">
        <f>IFERROR(AVERAGEIF('Данные 1st'!$S$2:$S$317,$A85,'Данные 1st'!$HE$2:$HE$317),"")</f>
        <v>3</v>
      </c>
      <c r="DE85" s="7">
        <f>IFERROR(AVERAGEIF('Данные 1st'!$S$2:$S$317,$A85,'Данные 1st'!$HF$2:$HF$317),"")</f>
        <v>3</v>
      </c>
      <c r="DF85" s="7">
        <f>IFERROR(AVERAGEIF('Данные 1st'!$S$2:$S$317,$A85,'Данные 1st'!$HG$2:$HG$317),"")</f>
        <v>3</v>
      </c>
      <c r="DG85" s="7">
        <f>IFERROR(AVERAGEIF('Данные 1st'!$S$2:$S$317,$A85,'Данные 1st'!$HH$2:$HH$317),"")</f>
        <v>3</v>
      </c>
      <c r="DH85" s="7">
        <f>IFERROR(AVERAGEIF('Данные 1st'!$S$2:$S$317,$A85,'Данные 1st'!$HI$2:$HI$317),"")</f>
        <v>157.5</v>
      </c>
      <c r="DI85" s="7">
        <f>IFERROR(AVERAGEIF('Данные 1st'!$S$2:$S$317,$A85,'Данные 1st'!$HJ$2:$HJ$317),"")</f>
        <v>3</v>
      </c>
      <c r="DJ85" s="7">
        <f>IFERROR(AVERAGEIF('Данные 1st'!$S$2:$S$317,$A85,'Данные 1st'!$HK$2:$HK$317),"")</f>
        <v>30</v>
      </c>
      <c r="DK85" s="7">
        <f>IFERROR(AVERAGEIF('Данные 1st'!$S$2:$S$317,$A85,'Данные 1st'!$HL$2:$HL$317),"")</f>
        <v>2</v>
      </c>
      <c r="DL85" s="7">
        <f>IFERROR(AVERAGEIF('Данные 1st'!$S$2:$S$317,$A85,'Данные 1st'!$HM$2:$HM$317),"")</f>
        <v>0</v>
      </c>
      <c r="DM85" s="7">
        <f>IFERROR(AVERAGEIF('Данные 1st'!$S$2:$S$317,$A85,'Данные 1st'!$HN$2:$HN$317),"")</f>
        <v>2</v>
      </c>
      <c r="DN85" s="7">
        <f>IFERROR(AVERAGEIF('Данные 1st'!$S$2:$S$317,$A85,'Данные 1st'!$HO$2:$HO$317),"")</f>
        <v>112.5</v>
      </c>
      <c r="DO85" s="7">
        <f>IFERROR(AVERAGEIF('Данные 1st'!$S$2:$S$317,$A85,'Данные 1st'!$HP$2:$HP$317),"")</f>
        <v>3</v>
      </c>
      <c r="DP85" s="7">
        <f>IFERROR(AVERAGEIF('Данные 1st'!$S$2:$S$317,$A85,'Данные 1st'!$HQ$2:$HQ$317),"")</f>
        <v>0</v>
      </c>
      <c r="DQ85" s="7">
        <f>IFERROR(AVERAGEIF('Данные 1st'!$S$2:$S$317,$A85,'Данные 1st'!$HR$2:$HR$317),"")</f>
        <v>2</v>
      </c>
      <c r="DR85" s="7">
        <f>IFERROR(AVERAGEIF('Данные 1st'!$S$2:$S$317,$A85,'Данные 1st'!$HS$2:$HS$317),"")</f>
        <v>7593</v>
      </c>
      <c r="DS85" s="7">
        <f>IFERROR(AVERAGEIF('Данные 1st'!$S$2:$S$317,$A85,'Данные 1st'!$HT$2:$HT$317),"")</f>
        <v>230</v>
      </c>
      <c r="DT85" s="7">
        <f>IFERROR(AVERAGEIF('Данные 1st'!$S$2:$S$317,$A85,'Данные 1st'!$HU$2:$HU$317),"")</f>
        <v>180</v>
      </c>
      <c r="DU85" s="7">
        <f>IFERROR(AVERAGEIF('Данные 1st'!$S$2:$S$317,$A85,'Данные 1st'!$HW$2:$HW$317),"")</f>
        <v>0</v>
      </c>
      <c r="DV85" s="7">
        <f>IFERROR(AVERAGEIF('Данные 1st'!$S$2:$S$317,$A85,'Данные 1st'!$HX$2:$HX$317),"")</f>
        <v>525</v>
      </c>
      <c r="DW85" s="7">
        <f>IFERROR(AVERAGEIF('Данные 1st'!$S$2:$S$317,$A85,'Данные 1st'!$HY$2:$HY$317),"")</f>
        <v>0.18</v>
      </c>
      <c r="DX85" s="7">
        <f>IFERROR(AVERAGEIF('Данные 1st'!$S$2:$S$317,$A85,'Данные 1st'!$IA$2:$IA$317),"")</f>
        <v>0.15</v>
      </c>
      <c r="DY85" s="7">
        <f>IFERROR(AVERAGEIF('Данные 1st'!$S$2:$S$317,$A85,'Данные 1st'!$IB$2:$IB$317),"")</f>
        <v>0</v>
      </c>
      <c r="DZ85" s="7">
        <f>IFERROR(AVERAGEIF('Данные 1st'!$S$2:$S$317,$A85,'Данные 1st'!$IC$2:$IC$317),"")</f>
        <v>180</v>
      </c>
      <c r="EA85" s="7">
        <f>IFERROR(AVERAGEIF('Данные 1st'!$S$2:$S$317,$A85,'Данные 1st'!$ID$2:$ID$317),"")</f>
        <v>110</v>
      </c>
      <c r="EB85" s="7">
        <f>IFERROR(AVERAGEIF('Данные 1st'!$S$2:$S$317,$A85,'Данные 1st'!$IE$2:$IE$317),"")</f>
        <v>225</v>
      </c>
      <c r="EC85" s="7">
        <f>IFERROR(AVERAGEIF('Данные 1st'!$S$2:$S$317,$A85,'Данные 1st'!$IF$2:$IF$317),"")</f>
        <v>0</v>
      </c>
      <c r="ED85" s="7">
        <f>IFERROR(AVERAGEIF('Данные 1st'!$S$2:$S$317,$A85,'Данные 1st'!$IP$2:$IP$317),"")</f>
        <v>20</v>
      </c>
      <c r="EE85" s="7">
        <f>IFERROR(AVERAGEIF('Данные 1st'!$S$2:$S$317,$A85,'Данные 1st'!$IV$2:$IV$317),"")</f>
        <v>1538</v>
      </c>
      <c r="EF85" s="7">
        <f>IFERROR(AVERAGEIF('Данные 1st'!$S$2:$S$317,$A85,'Данные 1st'!$IW$2:$IW$317),"")</f>
        <v>514</v>
      </c>
      <c r="EG85" s="7">
        <f>IFERROR(AVERAGEIF('Данные 1st'!$S$2:$S$317,$A85,'Данные 1st'!$IX$2:$IX$317),"")</f>
        <v/>
      </c>
      <c r="EH85" s="7">
        <f>IFERROR(AVERAGEIF('Данные 1st'!$S$2:$S$317,$A85,'Данные 1st'!$IY$2:$IY$317),"")</f>
        <v/>
      </c>
      <c r="EI85" s="7">
        <f>IFERROR(AVERAGEIF('Данные 1st'!$S$2:$S$317,$A85,'Данные 1st'!$JD$2:$JD$317),"")</f>
        <v>1554.5</v>
      </c>
      <c r="EJ85" s="7">
        <f>IFERROR(AVERAGEIF('Данные 1st'!$S$2:$S$317,$A85,'Данные 1st'!$JE$2:$JE$317),"")</f>
        <v>1547.5</v>
      </c>
      <c r="EK85" s="7">
        <f>IFERROR(AVERAGEIF('Данные 1st'!$S$2:$S$317,$A85,'Данные 1st'!$JF$2:$JF$317),"")</f>
        <v>1553.5</v>
      </c>
      <c r="EL85" s="7">
        <f>IFERROR(AVERAGEIF('Данные 1st'!$S$2:$S$317,$A85,'Данные 1st'!$JG$2:$JG$317),"")</f>
        <v>1537</v>
      </c>
      <c r="EM85" s="7">
        <f>IFERROR(AVERAGEIF('Данные 1st'!$S$2:$S$317,$A85,'Данные 1st'!$JH$2:$JH$317),"")</f>
        <v>0</v>
      </c>
      <c r="EN85" s="7">
        <f>IFERROR(AVERAGEIF('Данные 1st'!$S$2:$S$317,$A85,'Данные 1st'!$JJ$2:$JJ$317),"")</f>
        <v>180</v>
      </c>
      <c r="EO85" s="7">
        <f>IFERROR(AVERAGEIF('Данные 1st'!$S$2:$S$317,$A85,'Данные 1st'!$JK$2:$JK$317),"")</f>
        <v>525</v>
      </c>
      <c r="EP85" s="7">
        <f>IFERROR(AVERAGEIF('Данные 1st'!$S$2:$S$317,$A85,'Данные 1st'!$JL$2:$JL$317),"")</f>
        <v/>
      </c>
      <c r="EQ85" s="7">
        <f>IFERROR(AVERAGEIF('Данные 1st'!$S$2:$S$317,$A85,'Данные 1st'!$JM$2:$JM$317),"")</f>
        <v/>
      </c>
      <c r="ER85" s="7">
        <f>IFERROR(AVERAGEIF('Данные 1st'!$S$2:$S$317,$A85,'Данные 1st'!$JN$2:$JN$317),"")</f>
        <v>477.5</v>
      </c>
      <c r="ES85" s="7">
        <f>IFERROR(AVERAGEIF('Данные 1st'!$S$2:$S$317,$A85,'Данные 1st'!$JO$2:$JO$317),"")</f>
        <v>670</v>
      </c>
      <c r="ET85" s="7">
        <f>IFERROR(AVERAGEIF('Данные 1st'!$S$2:$S$317,$A85,'Данные 1st'!$JP$2:$JP$317),"")</f>
        <v>560</v>
      </c>
      <c r="EU85" s="7">
        <f>IFERROR(AVERAGEIF('Данные 1st'!$S$2:$S$317,$A85,'Данные 1st'!$JQ$2:$JQ$317),"")</f>
        <v>0</v>
      </c>
      <c r="EV85" s="7">
        <f>IFERROR(AVERAGEIF('Данные 1st'!$S$2:$S$317,$A85,'Данные 1st'!$JR$2:$JR$317),"")</f>
        <v>515</v>
      </c>
      <c r="EW85" s="7">
        <f>IFERROR(AVERAGEIF('Данные 1st'!$S$2:$S$317,$A85,'Данные 1st'!$JS$2:$JS$317),"")</f>
        <v>157.5</v>
      </c>
      <c r="EX85" s="7">
        <f>IFERROR(AVERAGEIF('Данные 1st'!$S$2:$S$317,$A85,'Данные 1st'!$JT$2:$JT$317),"")</f>
        <v/>
      </c>
      <c r="EY85" s="7">
        <f>IFERROR(AVERAGEIF('Данные 1st'!$S$2:$S$317,$A85,'Данные 1st'!$JU$2:$JU$317),"")</f>
        <v/>
      </c>
      <c r="EZ85" s="7">
        <f>IFERROR(AVERAGEIF('Данные 1st'!$S$2:$S$317,$A85,'Данные 1st'!$JV$2:$JV$317),"")</f>
        <v>10</v>
      </c>
      <c r="FA85" s="7">
        <f>IFERROR(AVERAGEIF('Данные 1st'!$S$2:$S$317,$A85,'Данные 1st'!$JW$2:$JW$317),"")</f>
        <v/>
      </c>
      <c r="FB85" s="7">
        <f>IFERROR(AVERAGEIF('Данные 1st'!$S$2:$S$317,$A85,'Данные 1st'!$JX$2:$JX$317),"")</f>
        <v>574</v>
      </c>
      <c r="FC85" s="7">
        <f>IFERROR(AVERAGEIF('Данные 1st'!$S$2:$S$317,$A85,'Данные 1st'!$JY$2:$JY$317),"")</f>
        <v/>
      </c>
      <c r="FD85" s="7">
        <f>IFERROR(AVERAGEIF('Данные 1st'!$S$2:$S$317,$A85,'Данные 1st'!$JZ$2:$JZ$317),"")</f>
        <v/>
      </c>
      <c r="FE85" s="7">
        <f>IFERROR(AVERAGEIF('Данные 1st'!$S$2:$S$317,$A85,'Данные 1st'!$KA$2:$KA$317),"")</f>
        <v>225</v>
      </c>
      <c r="FF85" s="7">
        <f>IFERROR(AVERAGEIF('Данные 1st'!$S$2:$S$317,$A85,'Данные 1st'!$KB$2:$KB$317),"")</f>
        <v>110</v>
      </c>
      <c r="FG85" s="7">
        <f>IFERROR(AVERAGEIF('Данные 1st'!$S$2:$S$317,$A85,'Данные 1st'!$KC$2:$KC$317),"")</f>
        <v>0</v>
      </c>
      <c r="FH85" s="7">
        <f>IFERROR(AVERAGEIF('Данные 1st'!$S$2:$S$317,$A85,'Данные 1st'!$KD$2:$KD$317),"")</f>
        <v>80</v>
      </c>
      <c r="FI85" s="7">
        <f>IFERROR(AVERAGEIF('Данные 1st'!$S$2:$S$317,$A85,'Данные 1st'!$KE$2:$KE$317),"")</f>
        <v/>
      </c>
      <c r="FJ85" s="7">
        <f>IFERROR(AVERAGEIF('Данные 1st'!$S$2:$S$317,$A85,'Данные 1st'!$KF$2:$KF$317),"")</f>
        <v>4</v>
      </c>
      <c r="FK85" s="7">
        <f>IFERROR(AVERAGEIF('Данные 1st'!$S$2:$S$317,$A85,'Данные 1st'!$KG$2:$KG$317),"")</f>
        <v>2</v>
      </c>
      <c r="FL85" s="7">
        <f>IFERROR(AVERAGEIF('Данные 1st'!$S$2:$S$317,$A85,'Данные 1st'!$KH$2:$KH$317),"")</f>
        <v>2</v>
      </c>
      <c r="FM85" s="7">
        <f>IFERROR(AVERAGEIF('Данные 1st'!$S$2:$S$317,$A85,'Данные 1st'!$KI$2:$KI$317),"")</f>
        <v>2</v>
      </c>
      <c r="FN85" s="7">
        <f>IFERROR(AVERAGEIF('Данные 1st'!$S$2:$S$317,$A85,'Данные 1st'!$KJ$2:$KJ$317),"")</f>
        <v>0</v>
      </c>
      <c r="FO85" s="7">
        <f>IFERROR(AVERAGEIF('Данные 1st'!$S$2:$S$317,$A85,'Данные 1st'!$KK$2:$KK$317),"")</f>
        <v>1.5</v>
      </c>
      <c r="FP85" s="7">
        <f>IFERROR(AVERAGEIF('Данные 1st'!$S$2:$S$317,$A85,'Данные 1st'!$KL$2:$KL$317),"")</f>
        <v>1.5</v>
      </c>
      <c r="FQ85" s="7">
        <f>IFERROR(AVERAGEIF('Данные 1st'!$S$2:$S$317,$A85,'Данные 1st'!$KM$2:$KM$317),"")</f>
        <v>0</v>
      </c>
      <c r="FR85" s="7">
        <f>IFERROR(AVERAGEIF('Данные 1st'!$S$2:$S$317,$A85,'Данные 1st'!$KN$2:$KN$317),"")</f>
        <v>0</v>
      </c>
      <c r="FS85" s="7">
        <f>IFERROR(AVERAGEIF('Данные 1st'!$S$2:$S$317,$A85,'Данные 1st'!$KR$2:$KR$317),"")</f>
        <v>30</v>
      </c>
      <c r="FT85" s="7">
        <f>IFERROR(AVERAGEIF('Данные 1st'!$S$2:$S$317,$A85,'Данные 1st'!$KS$2:$KS$317),"")</f>
        <v>60</v>
      </c>
      <c r="FU85" s="7">
        <f>IFERROR(AVERAGEIF('Данные 1st'!$S$2:$S$317,$A85,'Данные 1st'!$KT$2:$KT$317),"")</f>
        <v>0</v>
      </c>
      <c r="FV85" s="7">
        <f>IFERROR(AVERAGEIF('Данные 1st'!$S$2:$S$317,$A85,'Данные 1st'!$KV$2:$KV$317),"")</f>
        <v/>
      </c>
      <c r="FW85" s="7">
        <f>IFERROR(AVERAGEIF('Данные 1st'!$S$2:$S$317,$A85,'Данные 1st'!$KW$2:$KW$317),"")</f>
        <v/>
      </c>
      <c r="FX85" s="7">
        <f>IFERROR(AVERAGEIF('Данные 1st'!$S$2:$S$317,$A85,'Данные 1st'!$KX$2:$KX$317),"")</f>
        <v/>
      </c>
      <c r="FY85" s="7">
        <f>IFERROR(AVERAGEIF('Данные 1st'!$S$2:$S$317,$A85,'Данные 1st'!$KY$2:$KY$317),"")</f>
        <v/>
      </c>
      <c r="FZ85" s="7">
        <f>IFERROR(AVERAGEIF('Данные 1st'!$S$2:$S$317,$A85,'Данные 1st'!$KZ$2:$KZ$317),"")</f>
        <v/>
      </c>
      <c r="GA85" s="7">
        <f>IFERROR(AVERAGEIF('Данные 1st'!$S$2:$S$317,$A85,'Данные 1st'!$LA$2:$LA$317),"")</f>
        <v/>
      </c>
      <c r="GB85" s="7">
        <f>IFERROR(AVERAGEIF('Данные 1st'!$S$2:$S$317,$A85,'Данные 1st'!$LB$2:$LB$317),"")</f>
        <v/>
      </c>
      <c r="GC85" s="7">
        <f>IFERROR(AVERAGEIF('Данные 1st'!$S$2:$S$317,$A85,'Данные 1st'!$LC$2:$LC$317),"")</f>
        <v/>
      </c>
      <c r="GD85" s="7">
        <f>IFERROR(AVERAGEIF('Данные 1st'!$S$2:$S$317,$A85,'Данные 1st'!$LD$2:$LD$317),"")</f>
        <v/>
      </c>
      <c r="GE85" s="7">
        <f>IFERROR(AVERAGEIF('Данные 1st'!$S$2:$S$317,$A85,'Данные 1st'!$LE$2:$LE$317),"")</f>
        <v/>
      </c>
      <c r="GF85" s="7">
        <f>IFERROR(AVERAGEIF('Данные 1st'!$S$2:$S$317,$A85,'Данные 1st'!$LF$2:$LF$317),"")</f>
        <v/>
      </c>
      <c r="GG85" s="7">
        <f>IFERROR(AVERAGEIF('Данные 1st'!$S$2:$S$317,$A85,'Данные 1st'!$LG$2:$LG$317),"")</f>
        <v/>
      </c>
      <c r="GH85" s="7">
        <f>IFERROR(AVERAGEIF('Данные 1st'!$S$2:$S$317,$A85,'Данные 1st'!$LH$2:$LH$317),"")</f>
        <v/>
      </c>
      <c r="GI85" s="7">
        <f>IFERROR(AVERAGEIF('Данные 1st'!$S$2:$S$317,$A85,'Данные 1st'!$LI$2:$LI$317),"")</f>
        <v/>
      </c>
      <c r="GJ85" s="7">
        <f>IFERROR(AVERAGEIF('Данные 1st'!$S$2:$S$317,$A85,'Данные 1st'!$LJ$2:$LJ$317),"")</f>
        <v/>
      </c>
      <c r="GK85" s="7">
        <f>IFERROR(AVERAGEIF('Данные 1st'!$S$2:$S$317,$A85,'Данные 1st'!$LK$2:$LK$317),"")</f>
        <v>480</v>
      </c>
      <c r="GL85" s="7">
        <f>IFERROR(AVERAGEIF('Данные 1st'!$S$2:$S$317,$A85,'Данные 1st'!$LV$2:$LV$317),"")</f>
        <v/>
      </c>
      <c r="GM85" s="7">
        <f>IFERROR(AVERAGEIF('Данные 1st'!$S$2:$S$317,$A85,'Данные 1st'!$LW$2:$LW$317),"")</f>
        <v/>
      </c>
      <c r="GN85" s="7">
        <f>IFERROR(AVERAGEIF('Данные 1st'!$S$2:$S$317,$A85,'Данные 1st'!$LX$2:$LX$317),"")</f>
        <v/>
      </c>
      <c r="GO85" s="7">
        <f>IFERROR(AVERAGEIF('Данные 1st'!$S$2:$S$317,$A85,'Данные 1st'!$LY$2:$LY$317),"")</f>
        <v/>
      </c>
      <c r="GP85" s="7">
        <f>IFERROR(AVERAGEIF('Данные 1st'!$S$2:$S$317,$A85,'Данные 1st'!$LZ$2:$LZ$317),"")</f>
        <v/>
      </c>
      <c r="GQ85" s="7">
        <f>IFERROR(AVERAGEIF('Данные 1st'!$S$2:$S$317,$A85,'Данные 1st'!$PG$2:$PG$317),"")</f>
        <v>1</v>
      </c>
      <c r="GR85" s="7">
        <f>IFERROR(AVERAGEIF('Данные 1st'!$S$2:$S$317,$A85,'Данные 1st'!$PX$2:$PX$317),"")</f>
        <v>56</v>
      </c>
      <c r="GS85" s="7">
        <f>IFERROR(AVERAGEIF('Данные 1st'!$S$2:$S$317,$A85,'Данные 1st'!$PY$2:$PY$317),"")</f>
        <v>56</v>
      </c>
      <c r="GT85" s="7">
        <f>IFERROR(AVERAGEIF('Данные 1st'!$S$2:$S$317,$A85,'Данные 1st'!$QA$2:$QA$317),"")</f>
        <v>1.5</v>
      </c>
      <c r="GU85" s="7">
        <f>IFERROR(AVERAGEIF('Данные 1st'!$S$2:$S$317,$A85,'Данные 1st'!$QB$2:$QB$317),"")</f>
        <v>1537</v>
      </c>
      <c r="GV85" s="7">
        <f>IFERROR(AVERAGEIF('Данные 1st'!$S$2:$S$317,$A85,'Данные 1st'!$QC$2:$QC$317),"")</f>
        <v>69</v>
      </c>
      <c r="GW85" s="7">
        <f>IFERROR(AVERAGEIF('Данные 1st'!$S$2:$S$317,$A85,'Данные 1st'!$QD$2:$QD$317),"")</f>
        <v>69</v>
      </c>
      <c r="GX85" s="7">
        <f>IFERROR(AVERAGEIF('Данные 1st'!$S$2:$S$317,$A85,'Данные 1st'!$QF$2:$QF$317),"")</f>
        <v>1</v>
      </c>
      <c r="GY85" s="7">
        <f>IFERROR(AVERAGEIF('Данные 1st'!$S$2:$S$317,$A85,'Данные 1st'!$QG$2:$QG$317),"")</f>
        <v>1554.5</v>
      </c>
      <c r="GZ85" s="7">
        <f>IFERROR(AVERAGEIF('Данные 1st'!$S$2:$S$317,$A85,'Данные 1st'!$QH$2:$QH$317),"")</f>
        <v>66</v>
      </c>
      <c r="HA85" s="7">
        <f>IFERROR(AVERAGEIF('Данные 1st'!$S$2:$S$317,$A85,'Данные 1st'!$QI$2:$QI$317),"")</f>
        <v>66</v>
      </c>
      <c r="HB85" s="7">
        <f>IFERROR(AVERAGEIF('Данные 1st'!$S$2:$S$317,$A85,'Данные 1st'!$QK$2:$QK$317),"")</f>
        <v>1</v>
      </c>
      <c r="HC85" s="7">
        <f>IFERROR(AVERAGEIF('Данные 1st'!$S$2:$S$317,$A85,'Данные 1st'!$QL$2:$QL$317),"")</f>
        <v>1554.5</v>
      </c>
      <c r="HD85" s="7">
        <f>IFERROR(AVERAGEIF('Данные 1st'!$S$2:$S$317,$A85,'Данные 1st'!$QM$2:$QM$317),"")</f>
        <v>62</v>
      </c>
      <c r="HE85" s="7">
        <f>IFERROR(AVERAGEIF('Данные 1st'!$S$2:$S$317,$A85,'Данные 1st'!$QN$2:$QN$317),"")</f>
        <v>62</v>
      </c>
      <c r="HF85" s="7">
        <f>IFERROR(AVERAGEIF('Данные 1st'!$S$2:$S$317,$A85,'Данные 1st'!$QP$2:$QP$317),"")</f>
        <v>1</v>
      </c>
      <c r="HG85" s="7">
        <f>IFERROR(AVERAGEIF('Данные 1st'!$S$2:$S$317,$A85,'Данные 1st'!$QQ$2:$QQ$317),"")</f>
        <v>1547.5</v>
      </c>
      <c r="HH85" s="7">
        <f>IFERROR(AVERAGEIF('Данные 1st'!$S$2:$S$317,$A85,'Данные 1st'!$QR$2:$QR$317),"")</f>
        <v>62</v>
      </c>
      <c r="HI85" s="7">
        <f>IFERROR(AVERAGEIF('Данные 1st'!$S$2:$S$317,$A85,'Данные 1st'!$QS$2:$QS$317),"")</f>
        <v>62</v>
      </c>
      <c r="HJ85" s="7">
        <f>IFERROR(AVERAGEIF('Данные 1st'!$S$2:$S$317,$A85,'Данные 1st'!$QU$2:$QU$317),"")</f>
        <v>1</v>
      </c>
      <c r="HK85" s="7">
        <f>IFERROR(AVERAGEIF('Данные 1st'!$S$2:$S$317,$A85,'Данные 1st'!$QV$2:$QV$317),"")</f>
        <v>1553.5</v>
      </c>
      <c r="HL85" s="7">
        <f>IFERROR(AVERAGEIF('Данные 1st'!$S$2:$S$317,$A85,'Данные 1st'!$QW$2:$QW$317),"")</f>
        <v>82</v>
      </c>
      <c r="HM85" s="7">
        <f>IFERROR(AVERAGEIF('Данные 1st'!$S$2:$S$317,$A85,'Данные 1st'!$QX$2:$QX$317),"")</f>
        <v/>
      </c>
      <c r="HN85" s="7">
        <f>IFERROR(AVERAGEIF('Данные 1st'!$S$2:$S$317,$A85,'Данные 1st'!$QZ$2:$QZ$317),"")</f>
        <v>1</v>
      </c>
      <c r="HO85" s="7">
        <f>IFERROR(AVERAGEIF('Данные 1st'!$S$2:$S$317,$A85,'Данные 1st'!$RA$2:$RA$317),"")</f>
        <v>66</v>
      </c>
      <c r="HP85" s="7">
        <f>IFERROR(AVERAGEIF('Данные 1st'!$S$2:$S$317,$A85,'Данные 1st'!$RB$2:$RB$317),"")</f>
        <v>66</v>
      </c>
      <c r="HQ85" s="7">
        <f>IFERROR(AVERAGEIF('Данные 1st'!$S$2:$S$317,$A85,'Данные 1st'!$RD$2:$RD$317),"")</f>
        <v/>
      </c>
      <c r="HR85" s="7">
        <f>IFERROR(AVERAGEIF('Данные 1st'!$S$2:$S$317,$A85,'Данные 1st'!$RE$2:$RE$317),"")</f>
        <v>0</v>
      </c>
      <c r="HS85" s="7">
        <f>IFERROR(AVERAGEIF('Данные 1st'!$S$2:$S$317,$A85,'Данные 1st'!$RF$2:$RF$317),"")</f>
        <v>1</v>
      </c>
      <c r="HT85" s="7">
        <f>IFERROR(AVERAGEIF('Данные 1st'!$S$2:$S$317,$A85,'Данные 1st'!$RG$2:$RG$317),"")</f>
        <v/>
      </c>
      <c r="HU85" s="7">
        <f>IFERROR(AVERAGEIF('Данные 1st'!$S$2:$S$317,$A85,'Данные 1st'!$RH$2:$RH$317),"")</f>
        <v>1</v>
      </c>
      <c r="HV85" s="7">
        <f>IFERROR(AVERAGEIF('Данные 1st'!$S$2:$S$317,$A85,'Данные 1st'!$RI$2:$RI$317),"")</f>
        <v/>
      </c>
      <c r="HW85" s="7">
        <f>IFERROR(AVERAGEIF('Данные 1st'!$S$2:$S$317,$A85,'Данные 1st'!$RJ$2:$RJ$317),"")</f>
        <v>1</v>
      </c>
      <c r="HX85" s="7">
        <f>IFERROR(AVERAGEIF('Данные 1st'!$S$2:$S$317,$A85,'Данные 1st'!$RK$2:$RK$317),"")</f>
        <v>2</v>
      </c>
      <c r="HY85" s="7">
        <f>IFERROR(AVERAGEIF('Данные 1st'!$S$2:$S$317,$A85,'Данные 1st'!$RL$2:$RL$317),"")</f>
        <v>2.5</v>
      </c>
      <c r="HZ85" s="7">
        <f>IFERROR(AVERAGEIF('Данные 1st'!$S$2:$S$317,$A85,'Данные 1st'!$RM$2:$RM$317),"")</f>
        <v>2.5</v>
      </c>
      <c r="IA85" s="7">
        <f>IFERROR(AVERAGEIF('Данные 1st'!$S$2:$S$317,$A85,'Данные 1st'!$RN$2:$RN$317),"")</f>
        <v/>
      </c>
      <c r="IB85" s="7">
        <f>IFERROR(AVERAGEIF('Данные 1st'!$S$2:$S$317,$A85,'Данные 1st'!$RO$2:$RO$317),"")</f>
        <v>706</v>
      </c>
      <c r="IC85" s="7">
        <f>IFERROR(AVERAGEIF('Данные 1st'!$S$2:$S$317,$A85,'Данные 1st'!$RP$2:$RP$317),"")</f>
        <v>147.5</v>
      </c>
      <c r="ID85" s="7">
        <f>IFERROR(AVERAGEIF('Данные 1st'!$S$2:$S$317,$A85,'Данные 1st'!$RQ$2:$RQ$317),"")</f>
        <v>908.5</v>
      </c>
      <c r="IE85" s="7">
        <f>IFERROR(AVERAGEIF('Данные 1st'!$S$2:$S$317,$A85,'Данные 1st'!$RR$2:$RR$317),"")</f>
        <v>719.5</v>
      </c>
      <c r="IF85" s="7">
        <f>IFERROR(AVERAGEIF('Данные 1st'!$S$2:$S$317,$A85,'Данные 1st'!$RS$2:$RS$317),"")</f>
        <v/>
      </c>
      <c r="IG85" s="7">
        <f>IFERROR(AVERAGEIF('Данные 1st'!$S$2:$S$317,$A85,'Данные 1st'!$RT$2:$RT$317),"")</f>
        <v>382</v>
      </c>
      <c r="IH85" s="7">
        <f>IFERROR(AVERAGEIF('Данные 1st'!$S$2:$S$317,$A85,'Данные 1st'!$RU$2:$RU$317),"")</f>
        <v>302</v>
      </c>
      <c r="II85" s="7">
        <f>IFERROR(AVERAGEIF('Данные 1st'!$S$2:$S$317,$A85,'Данные 1st'!$RX$2:$RX$317),"")</f>
        <v>15</v>
      </c>
      <c r="IJ85" s="7">
        <f>IFERROR(AVERAGEIF('Данные 1st'!$S$2:$S$317,$A85,'Данные 1st'!$RY$2:$RY$317),"")</f>
        <v>4</v>
      </c>
      <c r="IK85" s="7">
        <f>IFERROR(AVERAGEIF('Данные 1st'!$S$2:$S$317,$A85,'Данные 1st'!$SA$2:$SA$317),"")</f>
        <v>15</v>
      </c>
      <c r="IL85" s="7">
        <f>IFERROR(AVERAGEIF('Данные 1st'!$S$2:$S$317,$A85,'Данные 1st'!$SD$2:$SD$317),"")</f>
        <v>1</v>
      </c>
      <c r="IM85" s="7">
        <f>IFERROR(AVERAGEIF('Данные 1st'!$S$2:$S$317,$A85,'Данные 1st'!$SG$2:$SG$317),"")</f>
        <v>1</v>
      </c>
      <c r="IN85" s="7">
        <f>IFERROR(AVERAGEIF('Данные 1st'!$S$2:$S$317,$A85,'Данные 1st'!$SH$2:$SH$317),"")</f>
        <v>0.995</v>
      </c>
      <c r="IO85" s="7">
        <f>IFERROR(AVERAGEIF('Данные 1st'!$S$2:$S$317,$A85,'Данные 1st'!$SI$2:$SI$317),"")</f>
        <v>0.995</v>
      </c>
      <c r="IP85" s="7">
        <f>IFERROR(AVERAGEIF('Данные 1st'!$S$2:$S$317,$A85,'Данные 1st'!$SJ$2:$SJ$317),"")</f>
        <v>0.995</v>
      </c>
      <c r="IQ85" s="7">
        <f>IFERROR(AVERAGEIF('Данные 1st'!$S$2:$S$317,$A85,'Данные 1st'!$SK$2:$SK$317),"")</f>
        <v>15</v>
      </c>
      <c r="IR85" s="7">
        <f>IFERROR(AVERAGEIF('Данные 1st'!$S$2:$S$317,$A85,'Данные 1st'!$SL$2:$SL$317),"")</f>
        <v>0</v>
      </c>
      <c r="IS85" s="7">
        <f>IFERROR(AVERAGEIF('Данные 1st'!$S$2:$S$317,$A85,'Данные 1st'!$SM$2:$SM$317),"")</f>
        <v>0</v>
      </c>
      <c r="IT85" s="7">
        <f>IFERROR(AVERAGEIF('Данные 1st'!$S$2:$S$317,$A85,'Данные 1st'!$SN$2:$SN$317),"")</f>
        <v>0</v>
      </c>
      <c r="IU85" s="7">
        <f>IFERROR(AVERAGEIF('Данные 1st'!$S$2:$S$317,$A85,'Данные 1st'!$SO$2:$SO$317),"")</f>
        <v>0</v>
      </c>
      <c r="IV85" s="7">
        <f>IFERROR(AVERAGEIF('Данные 1st'!$S$2:$S$317,$A85,'Данные 1st'!$SP$2:$SP$317),"")</f>
        <v>0</v>
      </c>
      <c r="IW85" s="7">
        <f>IFERROR(AVERAGEIF('Данные 1st'!$S$2:$S$317,$A85,'Данные 1st'!$SQ$2:$SQ$317),"")</f>
        <v>0</v>
      </c>
      <c r="IX85" s="7">
        <f>IFERROR(AVERAGEIF('Данные 1st'!$S$2:$S$317,$A85,'Данные 1st'!$SR$2:$SR$317),"")</f>
        <v>0</v>
      </c>
      <c r="IY85" s="7">
        <f>IFERROR(AVERAGEIF('Данные 1st'!$S$2:$S$317,$A85,'Данные 1st'!$SS$2:$SS$317),"")</f>
        <v>0</v>
      </c>
      <c r="IZ85" s="7">
        <f>IFERROR(AVERAGEIF('Данные 1st'!$S$2:$S$317,$A85,'Данные 1st'!$ST$2:$ST$317),"")</f>
        <v>0</v>
      </c>
      <c r="JA85" s="7">
        <f>IFERROR(AVERAGEIF('Данные 1st'!$S$2:$S$317,$A85,'Данные 1st'!$SU$2:$SU$317),"")</f>
        <v>0</v>
      </c>
      <c r="JB85" s="7">
        <f>IFERROR(AVERAGEIF('Данные 1st'!$S$2:$S$317,$A85,'Данные 1st'!$SV$2:$SV$317),"")</f>
        <v>0</v>
      </c>
      <c r="JC85" s="7">
        <f>IFERROR(AVERAGEIF('Данные 1st'!$S$2:$S$317,$A85,'Данные 1st'!$SW$2:$SW$317),"")</f>
        <v>0</v>
      </c>
      <c r="JD85" s="7">
        <f>IFERROR(AVERAGEIF('Данные 1st'!$S$2:$S$317,$A85,'Данные 1st'!$SX$2:$SX$317),"")</f>
        <v>0</v>
      </c>
      <c r="JE85" s="7">
        <f>IFERROR(AVERAGEIF('Данные 1st'!$S$2:$S$317,$A85,'Данные 1st'!$SY$2:$SY$317),"")</f>
        <v>1</v>
      </c>
      <c r="JF85" s="7">
        <f>IFERROR(AVERAGEIF('Данные 1st'!$S$2:$S$317,$A85,'Данные 1st'!$SZ$2:$SZ$317),"")</f>
        <v>1</v>
      </c>
      <c r="JG85" s="7">
        <f>IFERROR(AVERAGEIF('Данные 1st'!$S$2:$S$317,$A85,'Данные 1st'!$TA$2:$TA$317),"")</f>
        <v/>
      </c>
      <c r="JH85" s="7">
        <f>IFERROR(AVERAGEIF('Данные 1st'!$S$2:$S$317,$A85,'Данные 1st'!$TB$2:$TB$317),"")</f>
        <v>0</v>
      </c>
      <c r="JI85" s="7">
        <f>IFERROR(AVERAGEIF('Данные 1st'!$S$2:$S$317,$A85,'Данные 1st'!$TC$2:$TC$317),"")</f>
        <v>0</v>
      </c>
      <c r="JJ85" s="7">
        <f>IFERROR(AVERAGEIF('Данные 1st'!$S$2:$S$317,$A85,'Данные 1st'!$TD$2:$TD$317),"")</f>
        <v>9.4</v>
      </c>
      <c r="JK85" s="7">
        <f>IFERROR(AVERAGEIF('Данные 1st'!$S$2:$S$317,$A85,'Данные 1st'!$TN$2:$TN$317),"")</f>
        <v>0</v>
      </c>
      <c r="JL85">
        <f>COUNTIF('Данные 2st'!$Q$2:$Q$317,$A85)</f>
        <v>2</v>
      </c>
      <c r="JM85" s="6" t="s">
        <v>5111</v>
      </c>
      <c r="JN85" s="6" t="s">
        <v>513</v>
      </c>
      <c r="JO85" s="6" t="s">
        <v>5125</v>
      </c>
      <c r="JP85" s="6" t="s">
        <v>5525</v>
      </c>
      <c r="JQ85" s="7">
        <f>IFERROR(AVERAGEIF('Данные 2st'!$Q$2:$Q$317,$A85,'Данные 2st'!$AC$2:$AC$317),"")</f>
        <v>9</v>
      </c>
      <c r="JR85" s="7">
        <f>IFERROR(AVERAGEIF('Данные 2st'!$Q$2:$Q$317,$A85,'Данные 2st'!$AF$2:$AF$317),"")</f>
        <v>7593</v>
      </c>
      <c r="JS85" s="7">
        <f>IFERROR(AVERAGEIF('Данные 2st'!$Q$2:$Q$317,$A85,'Данные 2st'!$AW$2:$AW$317),"")</f>
        <v>6.4</v>
      </c>
      <c r="JT85" s="7">
        <f>IFERROR(AVERAGEIF('Данные 2st'!$Q$2:$Q$317,$A85,'Данные 2st'!$AX$2:$AX$317),"")</f>
        <v>-6</v>
      </c>
      <c r="JU85" s="7">
        <f>IFERROR(AVERAGEIF('Данные 2st'!$Q$2:$Q$317,$A85,'Данные 2st'!$AY$2:$AY$317),"")</f>
        <v>128.0</v>
      </c>
      <c r="JV85" s="7">
        <f>IFERROR(AVERAGEIF('Данные 2st'!$Q$2:$Q$317,$A85,'Данные 2st'!$AZ$2:$AZ$317),"")</f>
        <v>95.25</v>
      </c>
      <c r="JW85" s="7">
        <f>IFERROR(AVERAGEIF('Данные 2st'!$Q$2:$Q$317,$A85,'Данные 2st'!$BA$2:$BA$317),"")</f>
        <v/>
      </c>
      <c r="JX85" s="7">
        <f>IFERROR(AVERAGEIF('Данные 2st'!$Q$2:$Q$317,$A85,'Данные 2st'!$BB$2:$BB$317),"")</f>
        <v/>
      </c>
      <c r="JY85" s="7">
        <f>IFERROR(AVERAGEIF('Данные 2st'!$Q$2:$Q$317,$A85,'Данные 2st'!$BC$2:$BC$317),"")</f>
        <v/>
      </c>
      <c r="JZ85" s="7">
        <f>IFERROR(AVERAGEIF('Данные 2st'!$Q$2:$Q$317,$A85,'Данные 2st'!$BH$2:$BH$317),"")</f>
        <v>128.0</v>
      </c>
      <c r="KA85" s="7">
        <f>IFERROR(AVERAGEIF('Данные 2st'!$Q$2:$Q$317,$A85,'Данные 2st'!$BI$2:$BI$317),"")</f>
        <v>32.75</v>
      </c>
      <c r="KB85" s="7">
        <f>IFERROR(AVERAGEIF('Данные 2st'!$Q$2:$Q$317,$A85,'Данные 2st'!$BJ$2:$BJ$317),"")</f>
        <v>95.25</v>
      </c>
      <c r="KC85" s="7">
        <f>IFERROR(AVERAGEIF('Данные 2st'!$Q$2:$Q$317,$A85,'Данные 2st'!$BK$2:$BK$317),"")</f>
        <v>3.0</v>
      </c>
      <c r="KD85" s="7">
        <f>IFERROR(AVERAGEIF('Данные 2st'!$Q$2:$Q$317,$A85,'Данные 2st'!$BL$2:$BL$317),"")</f>
        <v>256</v>
      </c>
      <c r="KE85" s="7">
        <f>IFERROR(AVERAGEIF('Данные 2st'!$Q$2:$Q$317,$A85,'Данные 2st'!$BM$2:$BM$317),"")</f>
        <v>-6</v>
      </c>
      <c r="KF85" s="7">
        <f>IFERROR(AVERAGEIF('Данные 2st'!$Q$2:$Q$317,$A85,'Данные 2st'!$BN$2:$BN$317),"")</f>
        <v>0</v>
      </c>
      <c r="KG85" s="7">
        <f>IFERROR(AVERAGEIF('Данные 2st'!$Q$2:$Q$317,$A85,'Данные 2st'!$BO$2:$BO$317),"")</f>
        <v>0</v>
      </c>
      <c r="KH85" s="7">
        <f>IFERROR(AVERAGEIF('Данные 2st'!$Q$2:$Q$317,$A85,'Данные 2st'!$BP$2:$BP$317),"")</f>
        <v>0</v>
      </c>
      <c r="KI85" s="7">
        <f>IFERROR(AVERAGEIF('Данные 2st'!$Q$2:$Q$317,$A85,'Данные 2st'!$BR$2:$BR$317),"")</f>
        <v>250</v>
      </c>
      <c r="KJ85" s="7">
        <f>IFERROR(AVERAGEIF('Данные 2st'!$Q$2:$Q$317,$A85,'Данные 2st'!$BS$2:$BS$317),"")</f>
        <v>240</v>
      </c>
      <c r="KK85" s="7">
        <f>IFERROR(AVERAGEIF('Данные 2st'!$Q$2:$Q$317,$A85,'Данные 2st'!$BT$2:$BT$317),"")</f>
        <v>2325</v>
      </c>
      <c r="KL85" s="7">
        <f>IFERROR(AVERAGEIF('Данные 2st'!$Q$2:$Q$317,$A85,'Данные 2st'!$CV$2:$CV$317),"")</f>
        <v>156</v>
      </c>
      <c r="KM85" s="7">
        <f>IFERROR(AVERAGEIF('Данные 2st'!$Q$2:$Q$317,$A85,'Данные 2st'!$CW$2:$CW$317),"")</f>
        <v>3</v>
      </c>
      <c r="KN85" s="7">
        <f>IFERROR(AVERAGEIF('Данные 2st'!$Q$2:$Q$317,$A85,'Данные 2st'!$CX$2:$CX$317),"")</f>
        <v>112.5</v>
      </c>
      <c r="KO85" s="7">
        <f>IFERROR(AVERAGEIF('Данные 2st'!$Q$2:$Q$317,$A85,'Данные 2st'!$CY$2:$CY$317),"")</f>
        <v>5</v>
      </c>
      <c r="KP85" s="7">
        <f>IFERROR(AVERAGEIF('Данные 2st'!$Q$2:$Q$317,$A85,'Данные 2st'!$CZ$2:$CZ$317),"")</f>
        <v>184</v>
      </c>
      <c r="KQ85" s="7">
        <f>IFERROR(AVERAGEIF('Данные 2st'!$Q$2:$Q$317,$A85,'Данные 2st'!$DA$2:$DA$317),"")</f>
        <v>5</v>
      </c>
      <c r="KR85" s="7">
        <f>IFERROR(AVERAGEIF('Данные 2st'!$Q$2:$Q$317,$A85,'Данные 2st'!$DB$2:$DB$317),"")</f>
        <v>17560</v>
      </c>
      <c r="KS85" s="7">
        <f>IFERROR(AVERAGEIF('Данные 2st'!$Q$2:$Q$317,$A85,'Данные 2st'!$DC$2:$DC$317),"")</f>
        <v>525</v>
      </c>
      <c r="KT85" s="7">
        <f>IFERROR(AVERAGEIF('Данные 2st'!$Q$2:$Q$317,$A85,'Данные 2st'!$DD$2:$DD$317),"")</f>
        <v>416.5</v>
      </c>
      <c r="KU85" s="7">
        <f>IFERROR(AVERAGEIF('Данные 2st'!$Q$2:$Q$317,$A85,'Данные 2st'!$DE$2:$DE$317),"")</f>
        <v>2449</v>
      </c>
      <c r="KV85" s="7">
        <f>IFERROR(AVERAGEIF('Данные 2st'!$Q$2:$Q$317,$A85,'Данные 2st'!$DF$2:$DF$317),"")</f>
        <v>2449</v>
      </c>
      <c r="KW85" s="7">
        <f>IFERROR(AVERAGEIF('Данные 2st'!$Q$2:$Q$317,$A85,'Данные 2st'!$DG$2:$DG$317),"")</f>
        <v>2466.5</v>
      </c>
      <c r="KX85" s="7">
        <f>IFERROR(AVERAGEIF('Данные 2st'!$Q$2:$Q$317,$A85,'Данные 2st'!$DH$2:$DH$317),"")</f>
        <v>1.5</v>
      </c>
      <c r="KY85" s="7">
        <f>IFERROR(AVERAGEIF('Данные 2st'!$Q$2:$Q$317,$A85,'Данные 2st'!$DI$2:$DI$317),"")</f>
        <v/>
      </c>
      <c r="KZ85" s="7">
        <f>IFERROR(AVERAGEIF('Данные 2st'!$Q$2:$Q$317,$A85,'Данные 2st'!$DK$2:$DK$317),"")</f>
        <v>250</v>
      </c>
      <c r="LA85" s="7">
        <f>IFERROR(AVERAGEIF('Данные 2st'!$Q$2:$Q$317,$A85,'Данные 2st'!$DM$2:$DM$317),"")</f>
        <v>64</v>
      </c>
      <c r="LB85" s="7">
        <f>IFERROR(AVERAGEIF('Данные 2st'!$Q$2:$Q$317,$A85,'Данные 2st'!$DN$2:$DN$317),"")</f>
        <v>1.31</v>
      </c>
      <c r="LC85" s="7">
        <f>IFERROR(AVERAGEIF('Данные 2st'!$Q$2:$Q$317,$A85,'Данные 2st'!$DO$2:$DO$317),"")</f>
        <v>1</v>
      </c>
      <c r="LD85" s="7">
        <f>IFERROR(AVERAGEIF('Данные 2st'!$Q$2:$Q$317,$A85,'Данные 2st'!$DP$2:$DP$317),"")</f>
        <v>2329</v>
      </c>
      <c r="LE85" s="7">
        <f>IFERROR(AVERAGEIF('Данные 2st'!$Q$2:$Q$317,$A85,'Данные 2st'!$DQ$2:$DQ$317),"")</f>
        <v>1437</v>
      </c>
      <c r="LF85" s="7">
        <f>IFERROR(AVERAGEIF('Данные 2st'!$Q$2:$Q$317,$A85,'Данные 2st'!$DS$2:$DS$317),"")</f>
        <v>240</v>
      </c>
      <c r="LG85" s="7">
        <f>IFERROR(AVERAGEIF('Данные 2st'!$Q$2:$Q$317,$A85,'Данные 2st'!$DU$2:$DU$317),"")</f>
        <v>64</v>
      </c>
      <c r="LH85" s="7">
        <f>IFERROR(AVERAGEIF('Данные 2st'!$Q$2:$Q$317,$A85,'Данные 2st'!$DV$2:$DV$317),"")</f>
        <v>1.31</v>
      </c>
      <c r="LI85" s="7">
        <f>IFERROR(AVERAGEIF('Данные 2st'!$Q$2:$Q$317,$A85,'Данные 2st'!$DW$2:$DW$317),"")</f>
        <v>1</v>
      </c>
      <c r="LJ85" s="7">
        <f>IFERROR(AVERAGEIF('Данные 2st'!$Q$2:$Q$317,$A85,'Данные 2st'!$DX$2:$DX$317),"")</f>
        <v>2342.5</v>
      </c>
      <c r="LK85" s="7">
        <f>IFERROR(AVERAGEIF('Данные 2st'!$Q$2:$Q$317,$A85,'Данные 2st'!$DY$2:$DY$317),"")</f>
        <v>1385.5</v>
      </c>
      <c r="LL85" s="7">
        <f>IFERROR(AVERAGEIF('Данные 2st'!$Q$2:$Q$317,$A85,'Данные 2st'!$EA$2:$EA$317),"")</f>
        <v>20</v>
      </c>
      <c r="LM85" s="7">
        <f>IFERROR(AVERAGEIF('Данные 2st'!$Q$2:$Q$317,$A85,'Данные 2st'!$EC$2:$EC$317),"")</f>
        <v>0.8</v>
      </c>
      <c r="LN85" s="7">
        <f>IFERROR(AVERAGEIF('Данные 2st'!$Q$2:$Q$317,$A85,'Данные 2st'!$ED$2:$ED$317),"")</f>
        <v>2329</v>
      </c>
      <c r="LO85" s="7">
        <f>IFERROR(AVERAGEIF('Данные 2st'!$Q$2:$Q$317,$A85,'Данные 2st'!$EE$2:$EE$317),"")</f>
        <v>82</v>
      </c>
      <c r="LP85" s="7">
        <f>IFERROR(AVERAGEIF('Данные 2st'!$Q$2:$Q$317,$A85,'Данные 2st'!$EG$2:$EG$317),"")</f>
        <v>0</v>
      </c>
      <c r="LQ85" s="7">
        <f>IFERROR(AVERAGEIF('Данные 2st'!$Q$2:$Q$317,$A85,'Данные 2st'!$EI$2:$EI$317),"")</f>
        <v>0</v>
      </c>
      <c r="LR85" s="7">
        <f>IFERROR(AVERAGEIF('Данные 2st'!$Q$2:$Q$317,$A85,'Данные 2st'!$EJ$2:$EJ$317),"")</f>
        <v/>
      </c>
      <c r="LS85" s="7">
        <f>IFERROR(AVERAGEIF('Данные 2st'!$Q$2:$Q$317,$A85,'Данные 2st'!$EK$2:$EK$317),"")</f>
        <v/>
      </c>
      <c r="LT85" s="7">
        <f>IFERROR(AVERAGEIF('Данные 2st'!$Q$2:$Q$317,$A85,'Данные 2st'!$EM$2:$EM$317),"")</f>
        <v>12</v>
      </c>
      <c r="LU85" s="7">
        <f>IFERROR(AVERAGEIF('Данные 2st'!$Q$2:$Q$317,$A85,'Данные 2st'!$EN$2:$EN$317),"")</f>
        <v>0.5</v>
      </c>
      <c r="LV85" s="7">
        <f>IFERROR(AVERAGEIF('Данные 2st'!$Q$2:$Q$317,$A85,'Данные 2st'!$EO$2:$EO$317),"")</f>
        <v>0.96</v>
      </c>
      <c r="LW85" s="7">
        <f>IFERROR(AVERAGEIF('Данные 2st'!$Q$2:$Q$317,$A85,'Данные 2st'!$EP$2:$EP$317),"")</f>
        <v>2341.4700000000003</v>
      </c>
      <c r="LX85" s="7">
        <f>IFERROR(AVERAGEIF('Данные 2st'!$Q$2:$Q$317,$A85,'Данные 2st'!$EQ$2:$EQ$317),"")</f>
        <v>49024.58</v>
      </c>
      <c r="LY85" s="7">
        <f>IFERROR(AVERAGEIF('Данные 2st'!$Q$2:$Q$317,$A85,'Данные 2st'!$ER$2:$ER$317),"")</f>
        <v>12012.875</v>
      </c>
      <c r="LZ85" s="7">
        <f>IFERROR(AVERAGEIF('Данные 2st'!$Q$2:$Q$317,$A85,'Данные 2st'!$ES$2:$ES$317),"")</f>
        <v>0</v>
      </c>
      <c r="MA85" s="7">
        <f>IFERROR(AVERAGEIF('Данные 2st'!$Q$2:$Q$317,$A85,'Данные 2st'!$ET$2:$ET$317),"")</f>
        <v>0</v>
      </c>
      <c r="MB85" s="7">
        <f>IFERROR(AVERAGEIF('Данные 2st'!$Q$2:$Q$317,$A85,'Данные 2st'!$EU$2:$EU$317),"")</f>
        <v>1</v>
      </c>
      <c r="MC85" s="7">
        <f>IFERROR(AVERAGEIF('Данные 2st'!$Q$2:$Q$317,$A85,'Данные 2st'!$EV$2:$EV$317),"")</f>
        <v>61038</v>
      </c>
      <c r="MD85" s="7">
        <f>IFERROR(AVERAGEIF('Данные 2st'!$Q$2:$Q$317,$A85,'Данные 2st'!$EW$2:$EW$317),"")</f>
        <v>732.5</v>
      </c>
      <c r="ME85" s="7">
        <f>IFERROR(AVERAGEIF('Данные 2st'!$Q$2:$Q$317,$A85,'Данные 2st'!$EY$2:$EY$317),"")</f>
        <v>231</v>
      </c>
      <c r="MF85" s="7">
        <f>IFERROR(AVERAGEIF('Данные 2st'!$Q$2:$Q$317,$A85,'Данные 2st'!$FA$2:$FA$317),"")</f>
        <v>5.8</v>
      </c>
      <c r="MG85" s="7">
        <f>IFERROR(AVERAGEIF('Данные 2st'!$Q$2:$Q$317,$A85,'Данные 2st'!$FB$2:$FB$317),"")</f>
        <v>1</v>
      </c>
      <c r="MH85" s="7">
        <f>IFERROR(AVERAGEIF('Данные 2st'!$Q$2:$Q$317,$A85,'Данные 2st'!$FC$2:$FC$317),"")</f>
        <v>1</v>
      </c>
      <c r="MI85" s="7">
        <f>IFERROR(AVERAGEIF('Данные 2st'!$Q$2:$Q$317,$A85,'Данные 2st'!$FD$2:$FD$317),"")</f>
        <v>2376.5</v>
      </c>
      <c r="MJ85" s="7">
        <f>IFERROR(AVERAGEIF('Данные 2st'!$Q$2:$Q$317,$A85,'Данные 2st'!$FE$2:$FE$317),"")</f>
        <v>3498</v>
      </c>
      <c r="MK85" s="7">
        <f>IFERROR(AVERAGEIF('Данные 2st'!$Q$2:$Q$317,$A85,'Данные 2st'!$FG$2:$FG$317),"")</f>
        <v>281</v>
      </c>
      <c r="ML85" s="7">
        <f>IFERROR(AVERAGEIF('Данные 2st'!$Q$2:$Q$317,$A85,'Данные 2st'!$FI$2:$FI$317),"")</f>
        <v>2.9000000000000004</v>
      </c>
      <c r="MM85" s="7">
        <f>IFERROR(AVERAGEIF('Данные 2st'!$Q$2:$Q$317,$A85,'Данные 2st'!$FJ$2:$FJ$317),"")</f>
        <v>2376.5</v>
      </c>
      <c r="MN85" s="7">
        <f>IFERROR(AVERAGEIF('Данные 2st'!$Q$2:$Q$317,$A85,'Данные 2st'!$FK$2:$FK$317),"")</f>
        <v>2316</v>
      </c>
      <c r="MO85" s="7">
        <f>IFERROR(AVERAGEIF('Данные 2st'!$Q$2:$Q$317,$A85,'Данные 2st'!$FP$2:$FP$317),"")</f>
        <v>2376.5</v>
      </c>
      <c r="MP85" s="7">
        <f>IFERROR(AVERAGEIF('Данные 2st'!$Q$2:$Q$317,$A85,'Данные 2st'!$FQ$2:$FQ$317),"")</f>
        <v>186</v>
      </c>
      <c r="MQ85" s="7">
        <f>IFERROR(AVERAGEIF('Данные 2st'!$Q$2:$Q$317,$A85,'Данные 2st'!$FS$2:$FS$317),"")</f>
        <v>235</v>
      </c>
      <c r="MR85" s="7">
        <f>IFERROR(AVERAGEIF('Данные 2st'!$Q$2:$Q$317,$A85,'Данные 2st'!$FU$2:$FU$317),"")</f>
        <v>0.4</v>
      </c>
      <c r="MS85" s="7">
        <f>IFERROR(AVERAGEIF('Данные 2st'!$Q$2:$Q$317,$A85,'Данные 2st'!$FV$2:$FV$317),"")</f>
        <v>2376.5</v>
      </c>
      <c r="MT85" s="7">
        <f>IFERROR(AVERAGEIF('Данные 2st'!$Q$2:$Q$317,$A85,'Данные 2st'!$FW$2:$FW$317),"")</f>
        <v>301.5</v>
      </c>
      <c r="MU85" s="7">
        <f>IFERROR(AVERAGEIF('Данные 2st'!$Q$2:$Q$317,$A85,'Данные 2st'!$FY$2:$FY$317),"")</f>
        <v>5</v>
      </c>
      <c r="MV85" s="7">
        <f>IFERROR(AVERAGEIF('Данные 2st'!$Q$2:$Q$317,$A85,'Данные 2st'!$GB$2:$GB$317),"")</f>
        <v>2376.5</v>
      </c>
      <c r="MW85" s="7">
        <f>IFERROR(AVERAGEIF('Данные 2st'!$Q$2:$Q$317,$A85,'Данные 2st'!$GC$2:$GC$317),"")</f>
        <v>24</v>
      </c>
      <c r="MX85" s="7">
        <f>IFERROR(AVERAGEIF('Данные 2st'!$Q$2:$Q$317,$A85,'Данные 2st'!$GD$2:$GD$317),"")</f>
        <v>6325.5</v>
      </c>
      <c r="MY85" s="7">
        <f>IFERROR(AVERAGEIF('Данные 2st'!$Q$2:$Q$317,$A85,'Данные 2st'!$GN$2:$GN$317),"")</f>
        <v/>
      </c>
      <c r="MZ85" s="7">
        <f>IFERROR(AVERAGEIF('Данные 2st'!$Q$2:$Q$317,$A85,'Данные 2st'!$GQ$2:$GQ$317),"")</f>
        <v>0</v>
      </c>
      <c r="NA85" s="7">
        <f>IFERROR(AVERAGEIF('Данные 2st'!$Q$2:$Q$317,$A85,'Данные 2st'!$GV$2:$GV$317),"")</f>
        <v>9.1</v>
      </c>
      <c r="NB85" s="7">
        <f>IFERROR(AVERAGEIF('Данные 2st'!$Q$2:$Q$317,$A85,'Данные 2st'!$GW$2:$GW$317),"")</f>
        <v>9.55</v>
      </c>
      <c r="NC85" s="7">
        <f>IFERROR(AVERAGEIF('Данные 2st'!$Q$2:$Q$317,$A85,'Данные 2st'!$GX$2:$GX$317),"")</f>
        <v>0.5</v>
      </c>
      <c r="ND85" s="7">
        <f>IFERROR(AVERAGEIF('Данные 2st'!$Q$2:$Q$317,$A85,'Данные 2st'!$GY$2:$GY$317),"")</f>
        <v>243</v>
      </c>
      <c r="NE85" s="7">
        <f>IFERROR(AVERAGEIF('Данные 2st'!$Q$2:$Q$317,$A85,'Данные 2st'!$GZ$2:$GZ$317),"")</f>
        <v>3</v>
      </c>
      <c r="NF85" s="7">
        <f>IFERROR(AVERAGEIF('Данные 2st'!$Q$2:$Q$317,$A85,'Данные 2st'!$HA$2:$HA$317),"")</f>
        <v>301</v>
      </c>
      <c r="NG85" s="7">
        <f>IFERROR(AVERAGEIF('Данные 2st'!$Q$2:$Q$317,$A85,'Данные 2st'!$HB$2:$HB$317),"")</f>
        <v>3</v>
      </c>
      <c r="NH85" s="7">
        <f>IFERROR(AVERAGEIF('Данные 2st'!$Q$2:$Q$317,$A85,'Данные 2st'!$HC$2:$HC$317),"")</f>
        <v>2376.5</v>
      </c>
      <c r="NI85" s="7">
        <f>IFERROR(AVERAGEIF('Данные 2st'!$Q$2:$Q$317,$A85,'Данные 2st'!$HD$2:$HD$317),"")</f>
        <v>4</v>
      </c>
      <c r="NJ85" s="7">
        <f>IFERROR(AVERAGEIF('Данные 2st'!$Q$2:$Q$317,$A85,'Данные 2st'!$HM$2:$HM$317),"")</f>
        <v>20</v>
      </c>
      <c r="NK85" s="7">
        <f>IFERROR(AVERAGEIF('Данные 2st'!$Q$2:$Q$317,$A85,'Данные 2st'!$HR$2:$HR$317),"")</f>
        <v>1</v>
      </c>
      <c r="NL85" s="7">
        <f>IFERROR(AVERAGEIF('Данные 2st'!$Q$2:$Q$317,$A85,'Данные 2st'!$HS$2:$HS$317),"")</f>
        <v>2325</v>
      </c>
      <c r="NM85" s="7">
        <f>IFERROR(AVERAGEIF('Данные 2st'!$Q$2:$Q$317,$A85,'Данные 2st'!$HT$2:$HT$317),"")</f>
        <v>5</v>
      </c>
      <c r="NN85" s="7">
        <f>IFERROR(AVERAGEIF('Данные 2st'!$Q$2:$Q$317,$A85,'Данные 2st'!$HY$2:$HY$317),"")</f>
        <v>0</v>
      </c>
      <c r="NO85" s="7">
        <f>IFERROR(AVERAGEIF('Данные 2st'!$Q$2:$Q$317,$A85,'Данные 2st'!$HZ$2:$HZ$317),"")</f>
        <v>64</v>
      </c>
      <c r="NP85" s="7">
        <f>IFERROR(AVERAGEIF('Данные 2st'!$Q$2:$Q$317,$A85,'Данные 2st'!$IA$2:$IA$317),"")</f>
        <v>2329</v>
      </c>
      <c r="NQ85" s="7">
        <f>IFERROR(AVERAGEIF('Данные 2st'!$Q$2:$Q$317,$A85,'Данные 2st'!$IB$2:$IB$317),"")</f>
        <v>2342.5</v>
      </c>
      <c r="NR85" s="7">
        <f>IFERROR(AVERAGEIF('Данные 2st'!$Q$2:$Q$317,$A85,'Данные 2st'!$IC$2:$IC$317),"")</f>
        <v/>
      </c>
      <c r="NS85" s="7">
        <f>IFERROR(AVERAGEIF('Данные 2st'!$Q$2:$Q$317,$A85,'Данные 2st'!$ID$2:$ID$317),"")</f>
        <v>2376.5</v>
      </c>
      <c r="NT85" s="7">
        <f>IFERROR(AVERAGEIF('Данные 2st'!$Q$2:$Q$317,$A85,'Данные 2st'!$IE$2:$IE$317),"")</f>
        <v>2376.5</v>
      </c>
      <c r="NU85" s="7">
        <f>IFERROR(AVERAGEIF('Данные 2st'!$Q$2:$Q$317,$A85,'Данные 2st'!$IF$2:$IF$317),"")</f>
        <v>250</v>
      </c>
      <c r="NV85" s="7">
        <f>IFERROR(AVERAGEIF('Данные 2st'!$Q$2:$Q$317,$A85,'Данные 2st'!$IG$2:$IG$317),"")</f>
        <v>240</v>
      </c>
      <c r="NW85" s="7">
        <f>IFERROR(AVERAGEIF('Данные 2st'!$Q$2:$Q$317,$A85,'Данные 2st'!$IH$2:$IH$317),"")</f>
        <v>301</v>
      </c>
      <c r="NX85" s="7">
        <f>IFERROR(AVERAGEIF('Данные 2st'!$Q$2:$Q$317,$A85,'Данные 2st'!$IJ$2:$IJ$317),"")</f>
        <v>5</v>
      </c>
      <c r="NY85" s="7">
        <f>IFERROR(AVERAGEIF('Данные 2st'!$Q$2:$Q$317,$A85,'Данные 2st'!$IM$2:$IM$317),"")</f>
        <v>0</v>
      </c>
      <c r="NZ85" s="7">
        <f>IFERROR(AVERAGEIF('Данные 2st'!$Q$2:$Q$317,$A85,'Данные 2st'!$IN$2:$IN$317),"")</f>
        <v>270</v>
      </c>
      <c r="OA85" s="7">
        <f>IFERROR(AVERAGEIF('Данные 2st'!$Q$2:$Q$317,$A85,'Данные 2st'!$IO$2:$IO$317),"")</f>
        <v>0</v>
      </c>
      <c r="OB85" s="7">
        <f>IFERROR(AVERAGEIF('Данные 2st'!$Q$2:$Q$317,$A85,'Данные 2st'!$IP$2:$IP$317),"")</f>
        <v>180</v>
      </c>
      <c r="OC85" s="7">
        <f>IFERROR(AVERAGEIF('Данные 2st'!$Q$2:$Q$317,$A85,'Данные 2st'!$IQ$2:$IQ$317),"")</f>
        <v>0</v>
      </c>
      <c r="OD85" s="7">
        <f>IFERROR(AVERAGEIF('Данные 2st'!$Q$2:$Q$317,$A85,'Данные 2st'!$IR$2:$IR$317),"")</f>
        <v>330</v>
      </c>
      <c r="OE85" s="7">
        <f>IFERROR(AVERAGEIF('Данные 2st'!$Q$2:$Q$317,$A85,'Данные 2st'!$IT$2:$IT$317),"")</f>
        <v>90</v>
      </c>
      <c r="OF85" s="7">
        <f>IFERROR(AVERAGEIF('Данные 2st'!$Q$2:$Q$317,$A85,'Данные 2st'!$IU$2:$IU$317),"")</f>
        <v>0</v>
      </c>
      <c r="OG85" s="7">
        <f>IFERROR(AVERAGEIF('Данные 2st'!$Q$2:$Q$317,$A85,'Данные 2st'!$IV$2:$IV$317),"")</f>
        <v>6.4</v>
      </c>
      <c r="OH85" s="7">
        <f>IFERROR(AVERAGEIF('Данные 2st'!$Q$2:$Q$317,$A85,'Данные 2st'!$IW$2:$IW$317),"")</f>
        <v>-6</v>
      </c>
      <c r="OI85" s="7">
        <f>IFERROR(AVERAGEIF('Данные 2st'!$Q$2:$Q$317,$A85,'Данные 2st'!$IX$2:$IX$317),"")</f>
        <v>128.0</v>
      </c>
      <c r="OJ85" s="7">
        <f>IFERROR(AVERAGEIF('Данные 2st'!$Q$2:$Q$317,$A85,'Данные 2st'!$IY$2:$IY$317),"")</f>
        <v>95.25</v>
      </c>
      <c r="OK85" s="7">
        <f>IFERROR(AVERAGEIF('Данные 2st'!$Q$2:$Q$317,$A85,'Данные 2st'!$IZ$2:$IZ$317),"")</f>
        <v>0</v>
      </c>
      <c r="OL85" s="7">
        <f>IFERROR(AVERAGEIF('Данные 2st'!$Q$2:$Q$317,$A85,'Данные 2st'!$JA$2:$JA$317),"")</f>
        <v>0</v>
      </c>
      <c r="OM85" s="7">
        <f>IFERROR(AVERAGEIF('Данные 2st'!$Q$2:$Q$317,$A85,'Данные 2st'!$JB$2:$JB$317),"")</f>
        <v>0</v>
      </c>
      <c r="ON85" s="7">
        <f>IFERROR(AVERAGEIF('Данные 2st'!$Q$2:$Q$317,$A85,'Данные 2st'!$JC$2:$JC$317),"")</f>
        <v>0</v>
      </c>
      <c r="OO85" s="7">
        <f>IFERROR(AVERAGEIF('Данные 2st'!$Q$2:$Q$317,$A85,'Данные 2st'!$JD$2:$JD$317),"")</f>
        <v>0</v>
      </c>
      <c r="OP85" s="7">
        <f>IFERROR(AVERAGEIF('Данные 2st'!$Q$2:$Q$317,$A85,'Данные 2st'!$JE$2:$JE$317),"")</f>
        <v>0</v>
      </c>
      <c r="OQ85" s="7">
        <f>IFERROR(AVERAGEIF('Данные 2st'!$Q$2:$Q$317,$A85,'Данные 2st'!$JF$2:$JF$317),"")</f>
        <v>0</v>
      </c>
      <c r="OR85" s="7">
        <f>IFERROR(AVERAGEIF('Данные 2st'!$Q$2:$Q$317,$A85,'Данные 2st'!$JG$2:$JG$317),"")</f>
        <v>0</v>
      </c>
      <c r="OS85" s="7">
        <f>IFERROR(AVERAGEIF('Данные 2st'!$Q$2:$Q$317,$A85,'Данные 2st'!$JH$2:$JH$317),"")</f>
        <v>0</v>
      </c>
      <c r="OT85" s="7">
        <f>IFERROR(AVERAGEIF('Данные 2st'!$Q$2:$Q$317,$A85,'Данные 2st'!$JI$2:$JI$317),"")</f>
        <v>485</v>
      </c>
      <c r="OU85" s="7">
        <f>IFERROR(AVERAGEIF('Данные 2st'!$Q$2:$Q$317,$A85,'Данные 2st'!$JJ$2:$JJ$317),"")</f>
        <v>449</v>
      </c>
      <c r="OV85" s="7">
        <f>IFERROR(AVERAGEIF('Данные 2st'!$Q$2:$Q$317,$A85,'Данные 2st'!$JK$2:$JK$317),"")</f>
        <v>326</v>
      </c>
      <c r="OW85" s="7">
        <f>IFERROR(AVERAGEIF('Данные 2st'!$Q$2:$Q$317,$A85,'Данные 2st'!$JL$2:$JL$317),"")</f>
        <v>447</v>
      </c>
      <c r="OX85" s="7">
        <f>IFERROR(AVERAGEIF('Данные 2st'!$Q$2:$Q$317,$A85,'Данные 2st'!$JM$2:$JM$317),"")</f>
        <v>367.5</v>
      </c>
      <c r="OY85" s="7">
        <f>IFERROR(AVERAGEIF('Данные 2st'!$Q$2:$Q$317,$A85,'Данные 2st'!$JP$2:$JP$317),"")</f>
        <v>205</v>
      </c>
      <c r="OZ85" s="7">
        <f>IFERROR(AVERAGEIF('Данные 2st'!$Q$2:$Q$317,$A85,'Данные 2st'!$JQ$2:$JQ$317),"")</f>
        <v>235</v>
      </c>
      <c r="PA85" s="7">
        <f>IFERROR(AVERAGEIF('Данные 2st'!$Q$2:$Q$317,$A85,'Данные 2st'!$JR$2:$JR$317),"")</f>
        <v>324</v>
      </c>
      <c r="PB85" s="7">
        <f>IFERROR(AVERAGEIF('Данные 2st'!$Q$2:$Q$317,$A85,'Данные 2st'!$JS$2:$JS$317),"")</f>
        <v>224</v>
      </c>
      <c r="PC85" s="7">
        <f>IFERROR(AVERAGEIF('Данные 2st'!$Q$2:$Q$317,$A85,'Данные 2st'!$JT$2:$JT$317),"")</f>
        <v>0</v>
      </c>
      <c r="PD85" s="7">
        <f>IFERROR(AVERAGEIF('Данные 2st'!$Q$2:$Q$317,$A85,'Данные 2st'!$JU$2:$JU$317),"")</f>
        <v>0</v>
      </c>
      <c r="PE85" s="7">
        <f>IFERROR(AVERAGEIF('Данные 2st'!$Q$2:$Q$317,$A85,'Данные 2st'!$JV$2:$JV$317),"")</f>
        <v>320</v>
      </c>
      <c r="PF85" s="7">
        <f>IFERROR(AVERAGEIF('Данные 2st'!$Q$2:$Q$317,$A85,'Данные 2st'!$JW$2:$JW$317),"")</f>
        <v>310</v>
      </c>
      <c r="PG85" s="7">
        <f>IFERROR(AVERAGEIF('Данные 2st'!$Q$2:$Q$317,$A85,'Данные 2st'!$KF$2:$KF$317),"")</f>
        <v>0.18</v>
      </c>
      <c r="PH85" s="7">
        <f>IFERROR(AVERAGEIF('Данные 2st'!$Q$2:$Q$317,$A85,'Данные 2st'!$KG$2:$KG$317),"")</f>
        <v>0.125</v>
      </c>
      <c r="PI85" s="7">
        <f>IFERROR(AVERAGEIF('Данные 2st'!$Q$2:$Q$317,$A85,'Данные 2st'!$KM$2:$KM$317),"")</f>
        <v>0.5</v>
      </c>
      <c r="PJ85" s="7">
        <f>IFERROR(AVERAGEIF('Данные 2st'!$Q$2:$Q$317,$A85,'Данные 2st'!$KN$2:$KN$317),"")</f>
        <v>2.5</v>
      </c>
      <c r="PK85" s="7">
        <f>IFERROR(AVERAGEIF('Данные 2st'!$Q$2:$Q$317,$A85,'Данные 2st'!$KO$2:$KO$317),"")</f>
        <v>1</v>
      </c>
      <c r="PL85" s="7">
        <f>IFERROR(AVERAGEIF('Данные 2st'!$Q$2:$Q$317,$A85,'Данные 2st'!$KP$2:$KP$317),"")</f>
        <v>0</v>
      </c>
      <c r="PM85" s="7">
        <f>IFERROR(AVERAGEIF('Данные 2st'!$Q$2:$Q$317,$A85,'Данные 2st'!$KQ$2:$KQ$317),"")</f>
        <v>0.4</v>
      </c>
      <c r="PN85" s="7">
        <f>IFERROR(AVERAGEIF('Данные 2st'!$Q$2:$Q$317,$A85,'Данные 2st'!$KR$2:$KR$317),"")</f>
        <v>0.5</v>
      </c>
      <c r="PO85" s="7">
        <f>IFERROR(AVERAGEIF('Данные 2st'!$Q$2:$Q$317,$A85,'Данные 2st'!$KS$2:$KS$317),"")</f>
        <v>0</v>
      </c>
      <c r="PP85" s="7">
        <f>IFERROR(AVERAGEIF('Данные 2st'!$Q$2:$Q$317,$A85,'Данные 2st'!$KT$2:$KT$317),"")</f>
        <v>3.8</v>
      </c>
      <c r="PQ85" s="7">
        <f>IFERROR(AVERAGEIF('Данные 2st'!$Q$2:$Q$317,$A85,'Данные 2st'!$KU$2:$KU$317),"")</f>
        <v>0</v>
      </c>
      <c r="PR85" s="7">
        <f>IFERROR(AVERAGEIF('Данные 2st'!$Q$2:$Q$317,$A85,'Данные 2st'!$KV$2:$KV$317),"")</f>
        <v>0</v>
      </c>
      <c r="PS85" s="7">
        <f>IFERROR(AVERAGEIF('Данные 2st'!$Q$2:$Q$317,$A85,'Данные 2st'!$KW$2:$KW$317),"")</f>
        <v>1.6</v>
      </c>
      <c r="PT85" s="7">
        <f>IFERROR(AVERAGEIF('Данные 2st'!$Q$2:$Q$317,$A85,'Данные 2st'!$KX$2:$KX$317),"")</f>
        <v>2</v>
      </c>
      <c r="PU85" s="7">
        <f>IFERROR(AVERAGEIF('Данные 2st'!$Q$2:$Q$317,$A85,'Данные 2st'!$KY$2:$KY$317),"")</f>
        <v>1</v>
      </c>
      <c r="PV85" s="7">
        <f>IFERROR(AVERAGEIF('Данные 2st'!$Q$2:$Q$317,$A85,'Данные 2st'!$KZ$2:$KZ$317),"")</f>
        <v>0</v>
      </c>
      <c r="PW85" s="7">
        <f>IFERROR(AVERAGEIF('Данные 2st'!$Q$2:$Q$317,$A85,'Данные 2st'!$LA$2:$LA$317),"")</f>
        <v>0</v>
      </c>
      <c r="PX85" s="7">
        <f>IFERROR(AVERAGEIF('Данные 2st'!$Q$2:$Q$317,$A85,'Данные 2st'!$LB$2:$LB$317),"")</f>
        <v>0</v>
      </c>
      <c r="PY85" s="7">
        <f>IFERROR(AVERAGEIF('Данные 2st'!$Q$2:$Q$317,$A85,'Данные 2st'!$LC$2:$LC$317),"")</f>
        <v>0</v>
      </c>
      <c r="PZ85" s="7">
        <f>IFERROR(AVERAGEIF('Данные 2st'!$Q$2:$Q$317,$A85,'Данные 2st'!$LD$2:$LD$317),"")</f>
        <v>0</v>
      </c>
      <c r="QA85" s="7">
        <f>IFERROR(AVERAGEIF('Данные 2st'!$Q$2:$Q$317,$A85,'Данные 2st'!$LE$2:$LE$317),"")</f>
        <v>0</v>
      </c>
      <c r="QB85" s="7">
        <f>IFERROR(AVERAGEIF('Данные 2st'!$Q$2:$Q$317,$A85,'Данные 2st'!$LF$2:$LF$317),"")</f>
        <v>0</v>
      </c>
      <c r="QC85" s="7">
        <f>IFERROR(AVERAGEIF('Данные 2st'!$Q$2:$Q$317,$A85,'Данные 2st'!$LG$2:$LG$317),"")</f>
        <v>0</v>
      </c>
      <c r="QD85" s="7">
        <f>IFERROR(AVERAGEIF('Данные 2st'!$Q$2:$Q$317,$A85,'Данные 2st'!$LH$2:$LH$317),"")</f>
        <v>3</v>
      </c>
      <c r="QE85" s="7">
        <f>IFERROR(AVERAGEIF('Данные 2st'!$Q$2:$Q$317,$A85,'Данные 2st'!$LJ$2:$LJ$317),"")</f>
        <v>0</v>
      </c>
      <c r="QF85" s="7">
        <f>IFERROR(AVERAGEIF('Данные 2st'!$Q$2:$Q$317,$A85,'Данные 2st'!$LK$2:$LK$317),"")</f>
        <v>9.5</v>
      </c>
      <c r="QG85" s="7">
        <f>IFERROR(AVERAGEIF('Данные 2st'!$Q$2:$Q$317,$A85,'Данные 2st'!$LL$2:$LL$317),"")</f>
        <v>12</v>
      </c>
      <c r="QH85" s="7">
        <f>IFERROR(AVERAGEIF('Данные 2st'!$Q$2:$Q$317,$A85,'Данные 2st'!$LM$2:$LM$317),"")</f>
        <v>14</v>
      </c>
      <c r="QI85" s="7">
        <f>IFERROR(AVERAGEIF('Данные 2st'!$Q$2:$Q$317,$A85,'Данные 2st'!$LN$2:$LN$317),"")</f>
        <v>2</v>
      </c>
      <c r="QJ85" s="7">
        <f>IFERROR(AVERAGEIF('Данные 2st'!$Q$2:$Q$317,$A85,'Данные 2st'!$LO$2:$LO$317),"")</f>
        <v>3</v>
      </c>
      <c r="QK85" s="7">
        <f>IFERROR(AVERAGEIF('Данные 2st'!$Q$2:$Q$317,$A85,'Данные 2st'!$LP$2:$LP$317),"")</f>
        <v>0</v>
      </c>
      <c r="QL85" s="7">
        <f>IFERROR(AVERAGEIF('Данные 2st'!$Q$2:$Q$317,$A85,'Данные 2st'!$LQ$2:$LQ$317),"")</f>
        <v>0</v>
      </c>
      <c r="QM85" s="7">
        <f>IFERROR(AVERAGEIF('Данные 2st'!$Q$2:$Q$317,$A85,'Данные 2st'!$LW$2:$LW$317),"")</f>
        <v>2.05</v>
      </c>
      <c r="QN85" s="7">
        <f>IFERROR(AVERAGEIF('Данные 2st'!$Q$2:$Q$317,$A85,'Данные 2st'!$LX$2:$LX$317),"")</f>
        <v>2.05</v>
      </c>
      <c r="QO85" s="7">
        <f>IFERROR(AVERAGEIF('Данные 2st'!$Q$2:$Q$317,$A85,'Данные 2st'!$LY$2:$LY$317),"")</f>
        <v>2.2</v>
      </c>
      <c r="QP85" s="7">
        <f>IFERROR(AVERAGEIF('Данные 2st'!$Q$2:$Q$317,$A85,'Данные 2st'!$LZ$2:$LZ$317),"")</f>
        <v>2.2</v>
      </c>
      <c r="QQ85" s="7">
        <f>IFERROR(AVERAGEIF('Данные 2st'!$Q$2:$Q$317,$A85,'Данные 2st'!$MB$2:$MB$317),"")</f>
        <v>5</v>
      </c>
      <c r="QR85" s="7">
        <f>IFERROR(AVERAGEIF('Данные 2st'!$Q$2:$Q$317,$A85,'Данные 2st'!$MG$2:$MG$317),"")</f>
        <v>0</v>
      </c>
      <c r="QS85" s="7">
        <f>IFERROR(AVERAGEIF('Данные 2st'!$Q$2:$Q$317,$A85,'Данные 2st'!$MH$2:$MH$317),"")</f>
        <v>0</v>
      </c>
      <c r="QT85" s="7">
        <f>IFERROR(AVERAGEIF('Данные 2st'!$Q$2:$Q$317,$A85,'Данные 2st'!$MI$2:$MI$317),"")</f>
        <v>0</v>
      </c>
      <c r="QU85" s="7">
        <f>IFERROR(AVERAGEIF('Данные 2st'!$Q$2:$Q$317,$A85,'Данные 2st'!$MJ$2:$MJ$317),"")</f>
        <v>0</v>
      </c>
      <c r="QV85" s="7">
        <f>IFERROR(AVERAGEIF('Данные 2st'!$Q$2:$Q$317,$A85,'Данные 2st'!$MK$2:$MK$317),"")</f>
        <v>0</v>
      </c>
      <c r="QW85" s="7">
        <f>IFERROR(AVERAGEIF('Данные 2st'!$Q$2:$Q$317,$A85,'Данные 2st'!$MM$2:$MM$317),"")</f>
        <v>484</v>
      </c>
      <c r="QX85" s="7">
        <f>IFERROR(AVERAGEIF('Данные 2st'!$Q$2:$Q$317,$A85,'Данные 2st'!$MQ$2:$MQ$317),"")</f>
        <v/>
      </c>
      <c r="QY85" s="7">
        <f>IFERROR(AVERAGEIF('Данные 2st'!$Q$2:$Q$317,$A85,'Данные 2st'!$MR$2:$MR$317),"")</f>
        <v/>
      </c>
      <c r="QZ85" s="7">
        <f>IFERROR(AVERAGEIF('Данные 2st'!$Q$2:$Q$317,$A85,'Данные 2st'!$MS$2:$MS$317),"")</f>
        <v/>
      </c>
      <c r="RA85" s="7">
        <f>IFERROR(AVERAGEIF('Данные 2st'!$Q$2:$Q$317,$A85,'Данные 2st'!$MT$2:$MT$317),"")</f>
        <v/>
      </c>
      <c r="RB85" s="7">
        <f>IFERROR(AVERAGEIF('Данные 2st'!$Q$2:$Q$317,$A85,'Данные 2st'!$MU$2:$MU$317),"")</f>
        <v/>
      </c>
      <c r="RC85" s="7">
        <f>IFERROR(AVERAGEIF('Данные 2st'!$Q$2:$Q$317,$A85,'Данные 2st'!$MV$2:$MV$317),"")</f>
        <v/>
      </c>
      <c r="RD85" s="7">
        <f>IFERROR(AVERAGEIF('Данные 2st'!$Q$2:$Q$317,$A85,'Данные 2st'!$MW$2:$MW$317),"")</f>
        <v/>
      </c>
      <c r="RE85" s="7">
        <f>IFERROR(AVERAGEIF('Данные 2st'!$Q$2:$Q$317,$A85,'Данные 2st'!$MX$2:$MX$317),"")</f>
        <v/>
      </c>
      <c r="RF85" s="7">
        <f>IFERROR(AVERAGEIF('Данные 2st'!$Q$2:$Q$317,$A85,'Данные 2st'!$MY$2:$MY$317),"")</f>
        <v/>
      </c>
      <c r="RG85" s="7">
        <f>IFERROR(AVERAGEIF('Данные 2st'!$Q$2:$Q$317,$A85,'Данные 2st'!$MZ$2:$MZ$317),"")</f>
        <v/>
      </c>
      <c r="RH85" s="7">
        <f>IFERROR(AVERAGEIF('Данные 2st'!$Q$2:$Q$317,$A85,'Данные 2st'!$NA$2:$NA$317),"")</f>
        <v/>
      </c>
      <c r="RI85" s="7">
        <f>IFERROR(AVERAGEIF('Данные 2st'!$Q$2:$Q$317,$A85,'Данные 2st'!$NB$2:$NB$317),"")</f>
        <v/>
      </c>
      <c r="RJ85" s="7">
        <f>IFERROR(AVERAGEIF('Данные 2st'!$Q$2:$Q$317,$A85,'Данные 2st'!$NC$2:$NC$317),"")</f>
        <v/>
      </c>
      <c r="RK85" s="7">
        <f>IFERROR(AVERAGEIF('Данные 2st'!$Q$2:$Q$317,$A85,'Данные 2st'!$ND$2:$ND$317),"")</f>
        <v/>
      </c>
      <c r="RL85" s="7">
        <f>IFERROR(AVERAGEIF('Данные 2st'!$Q$2:$Q$317,$A85,'Данные 2st'!$NE$2:$NE$317),"")</f>
        <v/>
      </c>
      <c r="RM85" s="7">
        <f>IFERROR(AVERAGEIF('Данные 2st'!$Q$2:$Q$317,$A85,'Данные 2st'!$NF$2:$NF$317),"")</f>
        <v/>
      </c>
      <c r="RN85" s="7">
        <f>IFERROR(AVERAGEIF('Данные 2st'!$Q$2:$Q$317,$A85,'Данные 2st'!$NG$2:$NG$317),"")</f>
        <v/>
      </c>
      <c r="RO85" s="7">
        <f>IFERROR(AVERAGEIF('Данные 2st'!$Q$2:$Q$317,$A85,'Данные 2st'!$NH$2:$NH$317),"")</f>
        <v/>
      </c>
      <c r="RP85" s="7">
        <f>IFERROR(AVERAGEIF('Данные 2st'!$Q$2:$Q$317,$A85,'Данные 2st'!$NJ$2:$NJ$317),"")</f>
        <v/>
      </c>
      <c r="RQ85" s="7">
        <f>IFERROR(AVERAGEIF('Данные 2st'!$Q$2:$Q$317,$A85,'Данные 2st'!$NK$2:$NK$317),"")</f>
        <v/>
      </c>
      <c r="RR85" s="7">
        <f>IFERROR(AVERAGEIF('Данные 2st'!$Q$2:$Q$317,$A85,'Данные 2st'!$NM$2:$NM$317),"")</f>
        <v/>
      </c>
      <c r="RS85" s="7">
        <f>IFERROR(AVERAGEIF('Данные 2st'!$Q$2:$Q$317,$A85,'Данные 2st'!$NN$2:$NN$317),"")</f>
        <v/>
      </c>
      <c r="RT85" s="7">
        <f>IFERROR(AVERAGEIF('Данные 2st'!$Q$2:$Q$317,$A85,'Данные 2st'!$NO$2:$NO$317),"")</f>
        <v/>
      </c>
      <c r="RU85" s="7">
        <f>IFERROR(AVERAGEIF('Данные 2st'!$Q$2:$Q$317,$A85,'Данные 2st'!$NP$2:$NP$317),"")</f>
        <v/>
      </c>
      <c r="RV85" s="7">
        <f>IFERROR(AVERAGEIF('Данные 2st'!$Q$2:$Q$317,$A85,'Данные 2st'!$NQ$2:$NQ$317),"")</f>
        <v/>
      </c>
      <c r="RW85" s="7">
        <f>IFERROR(AVERAGEIF('Данные 2st'!$Q$2:$Q$317,$A85,'Данные 2st'!$NR$2:$NR$317),"")</f>
        <v/>
      </c>
      <c r="RX85" s="7">
        <f>IFERROR(AVERAGEIF('Данные 2st'!$Q$2:$Q$317,$A85,'Данные 2st'!$NS$2:$NS$317),"")</f>
        <v/>
      </c>
      <c r="RY85" s="7">
        <f>IFERROR(AVERAGEIF('Данные 2st'!$Q$2:$Q$317,$A85,'Данные 2st'!$NT$2:$NT$317),"")</f>
        <v/>
      </c>
      <c r="RZ85" s="7">
        <f>IFERROR(AVERAGEIF('Данные 2st'!$Q$2:$Q$317,$A85,'Данные 2st'!$OK$2:$OK$317),"")</f>
        <v>61</v>
      </c>
      <c r="SA85" s="7">
        <f>IFERROR(AVERAGEIF('Данные 2st'!$Q$2:$Q$317,$A85,'Данные 2st'!$OL$2:$OL$317),"")</f>
        <v>61</v>
      </c>
      <c r="SB85" s="7">
        <f>IFERROR(AVERAGEIF('Данные 2st'!$Q$2:$Q$317,$A85,'Данные 2st'!$ON$2:$ON$317),"")</f>
        <v>1</v>
      </c>
      <c r="SC85" s="7">
        <f>IFERROR(AVERAGEIF('Данные 2st'!$Q$2:$Q$317,$A85,'Данные 2st'!$OO$2:$OO$317),"")</f>
        <v>2329</v>
      </c>
      <c r="SD85" s="7">
        <f>IFERROR(AVERAGEIF('Данные 2st'!$Q$2:$Q$317,$A85,'Данные 2st'!$OP$2:$OP$317),"")</f>
        <v>61</v>
      </c>
      <c r="SE85" s="7">
        <f>IFERROR(AVERAGEIF('Данные 2st'!$Q$2:$Q$317,$A85,'Данные 2st'!$OQ$2:$OQ$317),"")</f>
        <v>61</v>
      </c>
      <c r="SF85" s="7">
        <f>IFERROR(AVERAGEIF('Данные 2st'!$Q$2:$Q$317,$A85,'Данные 2st'!$OS$2:$OS$317),"")</f>
        <v>1</v>
      </c>
      <c r="SG85" s="7">
        <f>IFERROR(AVERAGEIF('Данные 2st'!$Q$2:$Q$317,$A85,'Данные 2st'!$OT$2:$OT$317),"")</f>
        <v>2342.5</v>
      </c>
      <c r="SH85" s="7">
        <f>IFERROR(AVERAGEIF('Данные 2st'!$Q$2:$Q$317,$A85,'Данные 2st'!$OU$2:$OU$317),"")</f>
        <v>65</v>
      </c>
      <c r="SI85" s="7">
        <f>IFERROR(AVERAGEIF('Данные 2st'!$Q$2:$Q$317,$A85,'Данные 2st'!$OV$2:$OV$317),"")</f>
        <v>65</v>
      </c>
      <c r="SJ85" s="7">
        <f>IFERROR(AVERAGEIF('Данные 2st'!$Q$2:$Q$317,$A85,'Данные 2st'!$OX$2:$OX$317),"")</f>
        <v>1.5</v>
      </c>
      <c r="SK85" s="7">
        <f>IFERROR(AVERAGEIF('Данные 2st'!$Q$2:$Q$317,$A85,'Данные 2st'!$OY$2:$OY$317),"")</f>
        <v>61038</v>
      </c>
      <c r="SL85" s="7">
        <f>IFERROR(AVERAGEIF('Данные 2st'!$Q$2:$Q$317,$A85,'Данные 2st'!$OZ$2:$OZ$317),"")</f>
        <v>51</v>
      </c>
      <c r="SM85" s="7">
        <f>IFERROR(AVERAGEIF('Данные 2st'!$Q$2:$Q$317,$A85,'Данные 2st'!$PA$2:$PA$317),"")</f>
        <v>52</v>
      </c>
      <c r="SN85" s="7">
        <f>IFERROR(AVERAGEIF('Данные 2st'!$Q$2:$Q$317,$A85,'Данные 2st'!$PC$2:$PC$317),"")</f>
        <v>1</v>
      </c>
      <c r="SO85" s="7">
        <f>IFERROR(AVERAGEIF('Данные 2st'!$Q$2:$Q$317,$A85,'Данные 2st'!$PD$2:$PD$317),"")</f>
        <v>2376.5</v>
      </c>
      <c r="SP85" s="7">
        <f>IFERROR(AVERAGEIF('Данные 2st'!$Q$2:$Q$317,$A85,'Данные 2st'!$PF$2:$PF$317),"")</f>
        <v>617</v>
      </c>
      <c r="SQ85" s="7">
        <f>IFERROR(AVERAGEIF('Данные 2st'!$Q$2:$Q$317,$A85,'Данные 2st'!$PG$2:$PG$317),"")</f>
        <v>35</v>
      </c>
      <c r="SR85" s="7">
        <f>IFERROR(AVERAGEIF('Данные 2st'!$Q$2:$Q$317,$A85,'Данные 2st'!$PH$2:$PH$317),"")</f>
        <v>591.5</v>
      </c>
      <c r="SS85" s="7">
        <f>IFERROR(AVERAGEIF('Данные 2st'!$Q$2:$Q$317,$A85,'Данные 2st'!$PI$2:$PI$317),"")</f>
        <v>0</v>
      </c>
      <c r="ST85" s="7">
        <f>IFERROR(AVERAGEIF('Данные 2st'!$Q$2:$Q$317,$A85,'Данные 2st'!$PJ$2:$PJ$317),"")</f>
        <v>78.30000000000001</v>
      </c>
      <c r="SU85" s="7">
        <f>IFERROR(AVERAGEIF('Данные 2st'!$Q$2:$Q$317,$A85,'Данные 2st'!$PK$2:$PK$317),"")</f>
        <v>2434</v>
      </c>
      <c r="SV85" s="7">
        <f>IFERROR(AVERAGEIF('Данные 2st'!$Q$2:$Q$317,$A85,'Данные 2st'!$PL$2:$PL$317),"")</f>
        <v>1471.5500000000002</v>
      </c>
      <c r="SW85" s="7">
        <f>IFERROR(AVERAGEIF('Данные 2st'!$Q$2:$Q$317,$A85,'Данные 2st'!$PM$2:$PM$317),"")</f>
        <v>975.25</v>
      </c>
      <c r="SX85" s="7">
        <f>IFERROR(AVERAGEIF('Данные 2st'!$Q$2:$Q$317,$A85,'Данные 2st'!$PN$2:$PN$317),"")</f>
        <v>126.89999999999999</v>
      </c>
      <c r="SY85" s="7">
        <f>IFERROR(AVERAGEIF('Данные 2st'!$Q$2:$Q$317,$A85,'Данные 2st'!$PO$2:$PO$317),"")</f>
        <v>10.0</v>
      </c>
      <c r="SZ85" s="7">
        <f>IFERROR(AVERAGEIF('Данные 2st'!$Q$2:$Q$317,$A85,'Данные 2st'!$PP$2:$PP$317),"")</f>
        <v>12</v>
      </c>
      <c r="TA85" s="7">
        <f>IFERROR(AVERAGEIF('Данные 2st'!$Q$2:$Q$317,$A85,'Данные 2st'!$PQ$2:$PQ$317),"")</f>
        <v>4</v>
      </c>
      <c r="TB85" s="7">
        <f>IFERROR(AVERAGEIF('Данные 2st'!$Q$2:$Q$317,$A85,'Данные 2st'!$PR$2:$PR$317),"")</f>
        <v>6</v>
      </c>
      <c r="TC85" s="7">
        <f>IFERROR(AVERAGEIF('Данные 2st'!$Q$2:$Q$317,$A85,'Данные 2st'!$PS$2:$PS$317),"")</f>
        <v>0</v>
      </c>
      <c r="TD85" s="7">
        <f>IFERROR(AVERAGEIF('Данные 2st'!$Q$2:$Q$317,$A85,'Данные 2st'!$PT$2:$PT$317),"")</f>
        <v>301</v>
      </c>
      <c r="TE85" s="7">
        <f>IFERROR(AVERAGEIF('Данные 2st'!$Q$2:$Q$317,$A85,'Данные 2st'!$PU$2:$PU$317),"")</f>
        <v>10</v>
      </c>
      <c r="TF85" s="7">
        <f>IFERROR(AVERAGEIF('Данные 2st'!$Q$2:$Q$317,$A85,'Данные 2st'!$PX$2:$PX$317),"")</f>
        <v>0</v>
      </c>
      <c r="TG85" s="7">
        <f>IFERROR(AVERAGEIF('Данные 2st'!$Q$2:$Q$317,$A85,'Данные 2st'!$PY$2:$PY$317),"")</f>
        <v>0</v>
      </c>
      <c r="TH85" s="7">
        <f>IFERROR(AVERAGEIF('Данные 2st'!$Q$2:$Q$317,$A85,'Данные 2st'!$PZ$2:$PZ$317),"")</f>
        <v>0</v>
      </c>
      <c r="TI85" s="7">
        <f>IFERROR(AVERAGEIF('Данные 2st'!$Q$2:$Q$317,$A85,'Данные 2st'!$QA$2:$QA$317),"")</f>
        <v>0</v>
      </c>
      <c r="TJ85" s="7">
        <f>IFERROR(AVERAGEIF('Данные 2st'!$Q$2:$Q$317,$A85,'Данные 2st'!$QB$2:$QB$317),"")</f>
        <v>0</v>
      </c>
      <c r="TK85" s="7">
        <f>IFERROR(AVERAGEIF('Данные 2st'!$Q$2:$Q$317,$A85,'Данные 2st'!$QC$2:$QC$317),"")</f>
        <v>0</v>
      </c>
      <c r="TL85" s="7">
        <f>IFERROR(AVERAGEIF('Данные 2st'!$Q$2:$Q$317,$A85,'Данные 2st'!$QD$2:$QD$317),"")</f>
        <v>0</v>
      </c>
      <c r="TM85" s="7">
        <f>IFERROR(AVERAGEIF('Данные 2st'!$Q$2:$Q$317,$A85,'Данные 2st'!$QE$2:$QE$317),"")</f>
        <v>-1</v>
      </c>
      <c r="TN85" s="7">
        <f>IFERROR(AVERAGEIF('Данные 2st'!$Q$2:$Q$317,$A85,'Данные 2st'!$QF$2:$QF$317),"")</f>
        <v>1</v>
      </c>
      <c r="TO85" s="7">
        <f>IFERROR(AVERAGEIF('Данные 2st'!$Q$2:$Q$317,$A85,'Данные 2st'!$QG$2:$QG$317),"")</f>
        <v>0</v>
      </c>
      <c r="TP85" s="7">
        <f>IFERROR(AVERAGEIF('Данные 2st'!$Q$2:$Q$317,$A85,'Данные 2st'!$QH$2:$QH$317),"")</f>
        <v>5</v>
      </c>
      <c r="TQ85" s="7">
        <f>IFERROR(AVERAGEIF('Данные 2st'!$Q$2:$Q$317,$A85,'Данные 2st'!$QI$2:$QI$317),"")</f>
        <v>5</v>
      </c>
      <c r="TR85" s="7">
        <f>IFERROR(AVERAGEIF('Данные 2st'!$Q$2:$Q$317,$A85,'Данные 2st'!$QJ$2:$QJ$317),"")</f>
        <v>5</v>
      </c>
      <c r="TS85" s="7">
        <f>IFERROR(AVERAGEIF('Данные 2st'!$Q$2:$Q$317,$A85,'Данные 2st'!$QK$2:$QK$317),"")</f>
        <v>257.5</v>
      </c>
      <c r="TT85" s="7">
        <f>IFERROR(AVERAGEIF('Данные 2st'!$Q$2:$Q$317,$A85,'Данные 2st'!$QL$2:$QL$317),"")</f>
        <v>514</v>
      </c>
      <c r="TU85" s="7">
        <f>IFERROR(AVERAGEIF('Данные 2st'!$Q$2:$Q$317,$A85,'Данные 2st'!$QM$2:$QM$317),"")</f>
        <v>9.4</v>
      </c>
      <c r="TV85" s="7">
        <f>IFERROR(AVERAGEIF('Данные 2st'!$Q$2:$Q$317,$A85,'Данные 2st'!$QN$2:$QN$317),"")</f>
        <v>1626.2</v>
      </c>
      <c r="TW85" s="7">
        <f>IFERROR(AVERAGEIF('Данные 2st'!$Q$2:$Q$317,$A85,'Данные 2st'!$QQ$2:$QQ$317),"")</f>
        <v>0</v>
      </c>
      <c r="TX85" s="7">
        <f>IFERROR(AVERAGEIF('Данные 2st'!$Q$2:$Q$317,$A85,'Данные 2st'!$QS$2:$QS$317),"")</f>
        <v>35</v>
      </c>
      <c r="TY85" s="7">
        <f>IFERROR(AVERAGEIF('Данные 2st'!$Q$2:$Q$317,$A85,'Данные 2st'!$QT$2:$QT$317),"")</f>
        <v>45</v>
      </c>
    </row>
    <row r="86" spans="1:545" ht="32" customHeight="1">
      <c r="A86" s="11" t="s">
        <v>1159</v>
      </c>
      <c r="B86">
        <f>COUNTIF('Данные 1st'!$S$2:$S$317,$A86)</f>
        <v>5</v>
      </c>
      <c r="C86" s="6" t="s">
        <v>5122</v>
      </c>
      <c r="D86" s="6" t="s">
        <v>513</v>
      </c>
      <c r="E86" s="6" t="s">
        <v>5125</v>
      </c>
      <c r="F86" s="6" t="s">
        <v>5191</v>
      </c>
      <c r="G86" s="7">
        <f>IFERROR(AVERAGEIF('Данные 1st'!$S$2:$S$317,$A86,'Данные 1st'!$AE$2:$AE$317),"")</f>
        <v>279.4</v>
      </c>
      <c r="H86" s="7">
        <f>IFERROR(AVERAGEIF('Данные 1st'!$S$2:$S$317,$A86,'Данные 1st'!$AF$2:$AF$317),"")</f>
        <v>1.5</v>
      </c>
      <c r="I86" s="7">
        <f>IFERROR(AVERAGEIF('Данные 1st'!$S$2:$S$317,$A86,'Данные 1st'!$AJ$2:$AJ$317),"")</f>
        <v>257.0</v>
      </c>
      <c r="J86" s="7">
        <f>IFERROR(AVERAGEIF('Данные 1st'!$S$2:$S$317,$A86,'Данные 1st'!$AL$2:$AL$317),"")</f>
        <v>1.5</v>
      </c>
      <c r="K86" s="7">
        <f>IFERROR(AVERAGEIF('Данные 1st'!$S$2:$S$317,$A86,'Данные 1st'!$AR$2:$AR$317),"")</f>
        <v>304.8</v>
      </c>
      <c r="L86" s="7">
        <f>IFERROR(AVERAGEIF('Данные 1st'!$S$2:$S$317,$A86,'Данные 1st'!$AS$2:$AS$317),"")</f>
        <v>1.5</v>
      </c>
      <c r="M86" s="7">
        <f>IFERROR(AVERAGEIF('Данные 1st'!$S$2:$S$317,$A86,'Данные 1st'!$AY$2:$AY$317),"")</f>
        <v>375.5</v>
      </c>
      <c r="N86" s="7">
        <f>IFERROR(AVERAGEIF('Данные 1st'!$S$2:$S$317,$A86,'Данные 1st'!$AZ$2:$AZ$317),"")</f>
        <v>1.5</v>
      </c>
      <c r="O86" s="7">
        <f>IFERROR(AVERAGEIF('Данные 1st'!$S$2:$S$317,$A86,'Данные 1st'!$BF$2:$BF$317),"")</f>
        <v>324.5</v>
      </c>
      <c r="P86" s="7">
        <f>IFERROR(AVERAGEIF('Данные 1st'!$S$2:$S$317,$A86,'Данные 1st'!$BG$2:$BG$317),"")</f>
        <v>1.5</v>
      </c>
      <c r="Q86" s="7">
        <f>IFERROR(AVERAGEIF('Данные 1st'!$S$2:$S$317,$A86,'Данные 1st'!$BM$2:$BM$317),"")</f>
        <v>300</v>
      </c>
      <c r="R86" s="7">
        <f>IFERROR(AVERAGEIF('Данные 1st'!$S$2:$S$317,$A86,'Данные 1st'!$BN$2:$BN$317),"")</f>
        <v>1.5</v>
      </c>
      <c r="S86" s="7">
        <f>IFERROR(AVERAGEIF('Данные 1st'!$S$2:$S$317,$A86,'Данные 1st'!$BT$2:$BT$317),"")</f>
        <v>276.8</v>
      </c>
      <c r="T86" s="7">
        <f>IFERROR(AVERAGEIF('Данные 1st'!$S$2:$S$317,$A86,'Данные 1st'!$BU$2:$BU$317),"")</f>
        <v>0.5</v>
      </c>
      <c r="U86" s="7">
        <f>IFERROR(AVERAGEIF('Данные 1st'!$S$2:$S$317,$A86,'Данные 1st'!$BW$2:$BW$317),"")</f>
        <v>553.6</v>
      </c>
      <c r="V86" s="7">
        <f>IFERROR(AVERAGEIF('Данные 1st'!$S$2:$S$317,$A86,'Данные 1st'!$BX$2:$BX$317),"")</f>
        <v>1</v>
      </c>
      <c r="W86" s="7">
        <f>IFERROR(AVERAGEIF('Данные 1st'!$S$2:$S$317,$A86,'Данные 1st'!$BZ$2:$BZ$317),"")</f>
        <v>470</v>
      </c>
      <c r="X86" s="7">
        <f>IFERROR(AVERAGEIF('Данные 1st'!$S$2:$S$317,$A86,'Данные 1st'!$CA$2:$CA$317),"")</f>
        <v>602</v>
      </c>
      <c r="Y86" s="7">
        <f>IFERROR(AVERAGEIF('Данные 1st'!$S$2:$S$317,$A86,'Данные 1st'!$CD$2:$CD$317),"")</f>
        <v>583.2</v>
      </c>
      <c r="Z86" s="7">
        <f>IFERROR(AVERAGEIF('Данные 1st'!$S$2:$S$317,$A86,'Данные 1st'!$CF$2:$CF$317),"")</f>
        <v>15</v>
      </c>
      <c r="AA86" s="7">
        <f>IFERROR(AVERAGEIF('Данные 1st'!$S$2:$S$317,$A86,'Данные 1st'!$CI$2:$CI$317),"")</f>
        <v>66</v>
      </c>
      <c r="AB86" s="7">
        <f>IFERROR(AVERAGEIF('Данные 1st'!$S$2:$S$317,$A86,'Данные 1st'!$CJ$2:$CJ$317),"")</f>
        <v>1381</v>
      </c>
      <c r="AC86" s="7">
        <f>IFERROR(AVERAGEIF('Данные 1st'!$S$2:$S$317,$A86,'Данные 1st'!$CK$2:$CK$317),"")</f>
        <v>2</v>
      </c>
      <c r="AD86" s="7">
        <f>IFERROR(AVERAGEIF('Данные 1st'!$S$2:$S$317,$A86,'Данные 1st'!$CL$2:$CL$317),"")</f>
        <v>1475</v>
      </c>
      <c r="AE86" s="7">
        <f>IFERROR(AVERAGEIF('Данные 1st'!$S$2:$S$317,$A86,'Данные 1st'!$CM$2:$CM$317),"")</f>
        <v>2</v>
      </c>
      <c r="AF86" s="7">
        <f>IFERROR(AVERAGEIF('Данные 1st'!$S$2:$S$317,$A86,'Данные 1st'!$CT$2:$CT$317),"")</f>
        <v>514</v>
      </c>
      <c r="AG86" s="7">
        <f>IFERROR(AVERAGEIF('Данные 1st'!$S$2:$S$317,$A86,'Данные 1st'!$CU$2:$CU$317),"")</f>
        <v>5</v>
      </c>
      <c r="AH86" s="7">
        <f>IFERROR(AVERAGEIF('Данные 1st'!$S$2:$S$317,$A86,'Данные 1st'!$CV$2:$CV$317),"")</f>
        <v>1.22</v>
      </c>
      <c r="AI86" s="7">
        <f>IFERROR(AVERAGEIF('Данные 1st'!$S$2:$S$317,$A86,'Данные 1st'!$CW$2:$CW$317),"")</f>
        <v>1398.2</v>
      </c>
      <c r="AJ86" s="7">
        <f>IFERROR(AVERAGEIF('Данные 1st'!$S$2:$S$317,$A86,'Данные 1st'!$CX$2:$CX$317),"")</f>
        <v>1034.8</v>
      </c>
      <c r="AK86" s="7">
        <f>IFERROR(AVERAGEIF('Данные 1st'!$S$2:$S$317,$A86,'Данные 1st'!$CZ$2:$CZ$317),"")</f>
        <v>60</v>
      </c>
      <c r="AL86" s="7">
        <f>IFERROR(AVERAGEIF('Данные 1st'!$S$2:$S$317,$A86,'Данные 1st'!$DA$2:$DA$317),"")</f>
        <v>3</v>
      </c>
      <c r="AM86" s="7">
        <f>IFERROR(AVERAGEIF('Данные 1st'!$S$2:$S$317,$A86,'Данные 1st'!$DB$2:$DB$317),"")</f>
        <v>1.168</v>
      </c>
      <c r="AN86" s="7">
        <f>IFERROR(AVERAGEIF('Данные 1st'!$S$2:$S$317,$A86,'Данные 1st'!$DC$2:$DC$317),"")</f>
        <v>1398.2</v>
      </c>
      <c r="AO86" s="7">
        <f>IFERROR(AVERAGEIF('Данные 1st'!$S$2:$S$317,$A86,'Данные 1st'!$DD$2:$DD$317),"")</f>
        <v>106.2</v>
      </c>
      <c r="AP86" s="7">
        <f>IFERROR(AVERAGEIF('Данные 1st'!$S$2:$S$317,$A86,'Данные 1st'!$DF$2:$DF$317),"")</f>
        <v>751</v>
      </c>
      <c r="AQ86" s="7">
        <f>IFERROR(AVERAGEIF('Данные 1st'!$S$2:$S$317,$A86,'Данные 1st'!$DG$2:$DG$317),"")</f>
        <v>3</v>
      </c>
      <c r="AR86" s="7">
        <f>IFERROR(AVERAGEIF('Данные 1st'!$S$2:$S$317,$A86,'Данные 1st'!$DH$2:$DH$317),"")</f>
        <v>1.18</v>
      </c>
      <c r="AS86" s="7">
        <f>IFERROR(AVERAGEIF('Данные 1st'!$S$2:$S$317,$A86,'Данные 1st'!$DI$2:$DI$317),"")</f>
        <v>1391.2</v>
      </c>
      <c r="AT86" s="7">
        <f>IFERROR(AVERAGEIF('Данные 1st'!$S$2:$S$317,$A86,'Данные 1st'!$DJ$2:$DJ$317),"")</f>
        <v>1650</v>
      </c>
      <c r="AU86" s="7">
        <f>IFERROR(AVERAGEIF('Данные 1st'!$S$2:$S$317,$A86,'Данные 1st'!$DL$2:$DL$317),"")</f>
        <v>649</v>
      </c>
      <c r="AV86" s="7">
        <f>IFERROR(AVERAGEIF('Данные 1st'!$S$2:$S$317,$A86,'Данные 1st'!$DM$2:$DM$317),"")</f>
        <v>3</v>
      </c>
      <c r="AW86" s="7">
        <f>IFERROR(AVERAGEIF('Данные 1st'!$S$2:$S$317,$A86,'Данные 1st'!$DN$2:$DN$317),"")</f>
        <v>1.18</v>
      </c>
      <c r="AX86" s="7">
        <f>IFERROR(AVERAGEIF('Данные 1st'!$S$2:$S$317,$A86,'Данные 1st'!$DO$2:$DO$317),"")</f>
        <v>1400</v>
      </c>
      <c r="AY86" s="7">
        <f>IFERROR(AVERAGEIF('Данные 1st'!$S$2:$S$317,$A86,'Данные 1st'!$DP$2:$DP$317),"")</f>
        <v>1318.4</v>
      </c>
      <c r="AZ86" s="7">
        <f>IFERROR(AVERAGEIF('Данные 1st'!$S$2:$S$317,$A86,'Данные 1st'!$DR$2:$DR$317),"")</f>
        <v>50</v>
      </c>
      <c r="BA86" s="7">
        <f>IFERROR(AVERAGEIF('Данные 1st'!$S$2:$S$317,$A86,'Данные 1st'!$DS$2:$DS$317),"")</f>
        <v>3</v>
      </c>
      <c r="BB86" s="7">
        <f>IFERROR(AVERAGEIF('Данные 1st'!$S$2:$S$317,$A86,'Данные 1st'!$DT$2:$DT$317),"")</f>
        <v>0.96</v>
      </c>
      <c r="BC86" s="7">
        <f>IFERROR(AVERAGEIF('Данные 1st'!$S$2:$S$317,$A86,'Данные 1st'!$DU$2:$DU$317),"")</f>
        <v>1411</v>
      </c>
      <c r="BD86" s="7">
        <f>IFERROR(AVERAGEIF('Данные 1st'!$S$2:$S$317,$A86,'Данные 1st'!$DV$2:$DV$317),"")</f>
        <v>73</v>
      </c>
      <c r="BE86" s="7">
        <f>IFERROR(AVERAGEIF('Данные 1st'!$S$2:$S$317,$A86,'Данные 1st'!$DX$2:$DX$317),"")</f>
        <v>9.4</v>
      </c>
      <c r="BF86" s="7">
        <f>IFERROR(AVERAGEIF('Данные 1st'!$S$2:$S$317,$A86,'Данные 1st'!$EA$2:$EA$317),"")</f>
        <v>1465.9</v>
      </c>
      <c r="BG86" s="7">
        <f>IFERROR(AVERAGEIF('Данные 1st'!$S$2:$S$317,$A86,'Данные 1st'!$EB$2:$EB$317),"")</f>
        <v>379.4</v>
      </c>
      <c r="BH86" s="7">
        <f>IFERROR(AVERAGEIF('Данные 1st'!$S$2:$S$317,$A86,'Данные 1st'!$ED$2:$ED$317),"")</f>
        <v>43</v>
      </c>
      <c r="BI86" s="7">
        <f>IFERROR(AVERAGEIF('Данные 1st'!$S$2:$S$317,$A86,'Данные 1st'!$EE$2:$EE$317),"")</f>
        <v>3</v>
      </c>
      <c r="BJ86" s="7">
        <f>IFERROR(AVERAGEIF('Данные 1st'!$S$2:$S$317,$A86,'Данные 1st'!$EG$2:$EG$317),"")</f>
        <v>1511</v>
      </c>
      <c r="BK86" s="7">
        <f>IFERROR(AVERAGEIF('Данные 1st'!$S$2:$S$317,$A86,'Данные 1st'!$EH$2:$EH$317),"")</f>
        <v>319.6</v>
      </c>
      <c r="BL86" s="7">
        <f>IFERROR(AVERAGEIF('Данные 1st'!$S$2:$S$317,$A86,'Данные 1st'!$EJ$2:$EJ$317),"")</f>
        <v>0</v>
      </c>
      <c r="BM86" s="7">
        <f>IFERROR(AVERAGEIF('Данные 1st'!$S$2:$S$317,$A86,'Данные 1st'!$EK$2:$EK$317),"")</f>
        <v>1</v>
      </c>
      <c r="BN86" s="7">
        <f>IFERROR(AVERAGEIF('Данные 1st'!$S$2:$S$317,$A86,'Данные 1st'!$EN$2:$EN$317),"")</f>
        <v>0</v>
      </c>
      <c r="BO86" s="7">
        <f>IFERROR(AVERAGEIF('Данные 1st'!$S$2:$S$317,$A86,'Данные 1st'!$EQ$2:$EQ$317),"")</f>
        <v>158</v>
      </c>
      <c r="BP86" s="7">
        <f>IFERROR(AVERAGEIF('Данные 1st'!$S$2:$S$317,$A86,'Данные 1st'!$ER$2:$ER$317),"")</f>
        <v>3</v>
      </c>
      <c r="BQ86" s="7">
        <f>IFERROR(AVERAGEIF('Данные 1st'!$S$2:$S$317,$A86,'Данные 1st'!$ES$2:$ES$317),"")</f>
        <v>6.7</v>
      </c>
      <c r="BR86" s="7">
        <f>IFERROR(AVERAGEIF('Данные 1st'!$S$2:$S$317,$A86,'Данные 1st'!$ET$2:$ET$317),"")</f>
        <v>1385.2</v>
      </c>
      <c r="BS86" s="7">
        <f>IFERROR(AVERAGEIF('Данные 1st'!$S$2:$S$317,$A86,'Данные 1st'!$EU$2:$EU$317),"")</f>
        <v>835.46</v>
      </c>
      <c r="BT86" s="7">
        <f>IFERROR(AVERAGEIF('Данные 1st'!$S$2:$S$317,$A86,'Данные 1st'!$EV$2:$EV$317),"")</f>
        <v>1157.8</v>
      </c>
      <c r="BU86" s="7">
        <f>IFERROR(AVERAGEIF('Данные 1st'!$S$2:$S$317,$A86,'Данные 1st'!$EX$2:$EX$317),"")</f>
        <v>44</v>
      </c>
      <c r="BV86" s="7">
        <f>IFERROR(AVERAGEIF('Данные 1st'!$S$2:$S$317,$A86,'Данные 1st'!$EY$2:$EY$317),"")</f>
        <v>2</v>
      </c>
      <c r="BW86" s="7">
        <f>IFERROR(AVERAGEIF('Данные 1st'!$S$2:$S$317,$A86,'Данные 1st'!$EZ$2:$EZ$317),"")</f>
        <v>4.46</v>
      </c>
      <c r="BX86" s="7">
        <f>IFERROR(AVERAGEIF('Данные 1st'!$S$2:$S$317,$A86,'Данные 1st'!$FA$2:$FA$317),"")</f>
        <v>1385.2</v>
      </c>
      <c r="BY86" s="7">
        <f>IFERROR(AVERAGEIF('Данные 1st'!$S$2:$S$317,$A86,'Данные 1st'!$FB$2:$FB$317),"")</f>
        <v>146.54</v>
      </c>
      <c r="BZ86" s="7">
        <f>IFERROR(AVERAGEIF('Данные 1st'!$S$2:$S$317,$A86,'Данные 1st'!$FC$2:$FC$317),"")</f>
        <v>202.8</v>
      </c>
      <c r="CA86" s="7">
        <f>IFERROR(AVERAGEIF('Данные 1st'!$S$2:$S$317,$A86,'Данные 1st'!$FE$2:$FE$317),"")</f>
        <v>0</v>
      </c>
      <c r="CB86" s="7">
        <f>IFERROR(AVERAGEIF('Данные 1st'!$S$2:$S$317,$A86,'Данные 1st'!$FF$2:$FF$317),"")</f>
        <v>2</v>
      </c>
      <c r="CC86" s="7">
        <f>IFERROR(AVERAGEIF('Данные 1st'!$S$2:$S$317,$A86,'Данные 1st'!$FI$2:$FI$317),"")</f>
        <v>0</v>
      </c>
      <c r="CD86" s="7">
        <f>IFERROR(AVERAGEIF('Данные 1st'!$S$2:$S$317,$A86,'Данные 1st'!$FL$2:$FL$317),"")</f>
        <v>0.4</v>
      </c>
      <c r="CE86" s="7">
        <f>IFERROR(AVERAGEIF('Данные 1st'!$S$2:$S$317,$A86,'Данные 1st'!$FM$2:$FM$317),"")</f>
        <v>63</v>
      </c>
      <c r="CF86" s="7">
        <f>IFERROR(AVERAGEIF('Данные 1st'!$S$2:$S$317,$A86,'Данные 1st'!$FN$2:$FN$317),"")</f>
        <v>476</v>
      </c>
      <c r="CG86" s="7">
        <f>IFERROR(AVERAGEIF('Данные 1st'!$S$2:$S$317,$A86,'Данные 1st'!$FO$2:$FO$317),"")</f>
        <v>116</v>
      </c>
      <c r="CH86" s="7">
        <f>IFERROR(AVERAGEIF('Данные 1st'!$S$2:$S$317,$A86,'Данные 1st'!$FP$2:$FP$317),"")</f>
        <v>176</v>
      </c>
      <c r="CI86" s="7">
        <f>IFERROR(AVERAGEIF('Данные 1st'!$S$2:$S$317,$A86,'Данные 1st'!$FS$2:$FS$317),"")</f>
        <v>0.4</v>
      </c>
      <c r="CJ86" s="7">
        <f>IFERROR(AVERAGEIF('Данные 1st'!$S$2:$S$317,$A86,'Данные 1st'!$FT$2:$FT$317),"")</f>
        <v>30</v>
      </c>
      <c r="CK86" s="7">
        <f>IFERROR(AVERAGEIF('Данные 1st'!$S$2:$S$317,$A86,'Данные 1st'!$FU$2:$FU$317),"")</f>
        <v>680</v>
      </c>
      <c r="CL86" s="7">
        <f>IFERROR(AVERAGEIF('Данные 1st'!$S$2:$S$317,$A86,'Данные 1st'!$FV$2:$FV$317),"")</f>
        <v/>
      </c>
      <c r="CM86" s="7">
        <f>IFERROR(AVERAGEIF('Данные 1st'!$S$2:$S$317,$A86,'Данные 1st'!$FW$2:$FW$317),"")</f>
        <v/>
      </c>
      <c r="CN86" s="7">
        <f>IFERROR(AVERAGEIF('Данные 1st'!$S$2:$S$317,$A86,'Данные 1st'!$FZ$2:$FZ$317),"")</f>
        <v/>
      </c>
      <c r="CO86" s="7">
        <f>IFERROR(AVERAGEIF('Данные 1st'!$S$2:$S$317,$A86,'Данные 1st'!$GA$2:$GA$317),"")</f>
        <v/>
      </c>
      <c r="CP86" s="7">
        <f>IFERROR(AVERAGEIF('Данные 1st'!$S$2:$S$317,$A86,'Данные 1st'!$GB$2:$GB$317),"")</f>
        <v/>
      </c>
      <c r="CQ86" s="7">
        <f>IFERROR(AVERAGEIF('Данные 1st'!$S$2:$S$317,$A86,'Данные 1st'!$GH$2:$GH$317),"")</f>
        <v/>
      </c>
      <c r="CR86" s="7">
        <f>IFERROR(AVERAGEIF('Данные 1st'!$S$2:$S$317,$A86,'Данные 1st'!$GI$2:$GI$317),"")</f>
        <v/>
      </c>
      <c r="CS86" s="7">
        <f>IFERROR(AVERAGEIF('Данные 1st'!$S$2:$S$317,$A86,'Данные 1st'!$GJ$2:$GJ$317),"")</f>
        <v/>
      </c>
      <c r="CT86" s="7">
        <f>IFERROR(AVERAGEIF('Данные 1st'!$S$2:$S$317,$A86,'Данные 1st'!$GS$2:$GS$317),"")</f>
        <v>0.4</v>
      </c>
      <c r="CU86" s="7">
        <f>IFERROR(AVERAGEIF('Данные 1st'!$S$2:$S$317,$A86,'Данные 1st'!$GT$2:$GT$317),"")</f>
        <v>50</v>
      </c>
      <c r="CV86" s="7">
        <f>IFERROR(AVERAGEIF('Данные 1st'!$S$2:$S$317,$A86,'Данные 1st'!$GU$2:$GU$317),"")</f>
        <v>444</v>
      </c>
      <c r="CW86" s="7">
        <f>IFERROR(AVERAGEIF('Данные 1st'!$S$2:$S$317,$A86,'Данные 1st'!$GV$2:$GV$317),"")</f>
        <v>100</v>
      </c>
      <c r="CX86" s="7">
        <f>IFERROR(AVERAGEIF('Данные 1st'!$S$2:$S$317,$A86,'Данные 1st'!$GW$2:$GW$317),"")</f>
        <v>190</v>
      </c>
      <c r="CY86" s="7">
        <f>IFERROR(AVERAGEIF('Данные 1st'!$S$2:$S$317,$A86,'Данные 1st'!$GZ$2:$GZ$317),"")</f>
        <v/>
      </c>
      <c r="CZ86" s="7">
        <f>IFERROR(AVERAGEIF('Данные 1st'!$S$2:$S$317,$A86,'Данные 1st'!$HA$2:$HA$317),"")</f>
        <v/>
      </c>
      <c r="DA86" s="7">
        <f>IFERROR(AVERAGEIF('Данные 1st'!$S$2:$S$317,$A86,'Данные 1st'!$HB$2:$HB$317),"")</f>
        <v/>
      </c>
      <c r="DB86" s="7">
        <f>IFERROR(AVERAGEIF('Данные 1st'!$S$2:$S$317,$A86,'Данные 1st'!$HC$2:$HC$317),"")</f>
        <v>0.1</v>
      </c>
      <c r="DC86" s="7">
        <f>IFERROR(AVERAGEIF('Данные 1st'!$S$2:$S$317,$A86,'Данные 1st'!$HD$2:$HD$317),"")</f>
        <v>3</v>
      </c>
      <c r="DD86" s="7">
        <f>IFERROR(AVERAGEIF('Данные 1st'!$S$2:$S$317,$A86,'Данные 1st'!$HE$2:$HE$317),"")</f>
        <v>3</v>
      </c>
      <c r="DE86" s="7">
        <f>IFERROR(AVERAGEIF('Данные 1st'!$S$2:$S$317,$A86,'Данные 1st'!$HF$2:$HF$317),"")</f>
        <v>3</v>
      </c>
      <c r="DF86" s="7">
        <f>IFERROR(AVERAGEIF('Данные 1st'!$S$2:$S$317,$A86,'Данные 1st'!$HG$2:$HG$317),"")</f>
        <v>3</v>
      </c>
      <c r="DG86" s="7">
        <f>IFERROR(AVERAGEIF('Данные 1st'!$S$2:$S$317,$A86,'Данные 1st'!$HH$2:$HH$317),"")</f>
        <v>3</v>
      </c>
      <c r="DH86" s="7">
        <f>IFERROR(AVERAGEIF('Данные 1st'!$S$2:$S$317,$A86,'Данные 1st'!$HI$2:$HI$317),"")</f>
        <v>187</v>
      </c>
      <c r="DI86" s="7">
        <f>IFERROR(AVERAGEIF('Данные 1st'!$S$2:$S$317,$A86,'Данные 1st'!$HJ$2:$HJ$317),"")</f>
        <v>3</v>
      </c>
      <c r="DJ86" s="7">
        <f>IFERROR(AVERAGEIF('Данные 1st'!$S$2:$S$317,$A86,'Данные 1st'!$HK$2:$HK$317),"")</f>
        <v>29</v>
      </c>
      <c r="DK86" s="7">
        <f>IFERROR(AVERAGEIF('Данные 1st'!$S$2:$S$317,$A86,'Данные 1st'!$HL$2:$HL$317),"")</f>
        <v>2</v>
      </c>
      <c r="DL86" s="7">
        <f>IFERROR(AVERAGEIF('Данные 1st'!$S$2:$S$317,$A86,'Данные 1st'!$HM$2:$HM$317),"")</f>
        <v>0</v>
      </c>
      <c r="DM86" s="7">
        <f>IFERROR(AVERAGEIF('Данные 1st'!$S$2:$S$317,$A86,'Данные 1st'!$HN$2:$HN$317),"")</f>
        <v>2</v>
      </c>
      <c r="DN86" s="7">
        <f>IFERROR(AVERAGEIF('Данные 1st'!$S$2:$S$317,$A86,'Данные 1st'!$HO$2:$HO$317),"")</f>
        <v>143</v>
      </c>
      <c r="DO86" s="7">
        <f>IFERROR(AVERAGEIF('Данные 1st'!$S$2:$S$317,$A86,'Данные 1st'!$HP$2:$HP$317),"")</f>
        <v>3</v>
      </c>
      <c r="DP86" s="7">
        <f>IFERROR(AVERAGEIF('Данные 1st'!$S$2:$S$317,$A86,'Данные 1st'!$HQ$2:$HQ$317),"")</f>
        <v>0</v>
      </c>
      <c r="DQ86" s="7">
        <f>IFERROR(AVERAGEIF('Данные 1st'!$S$2:$S$317,$A86,'Данные 1st'!$HR$2:$HR$317),"")</f>
        <v>2</v>
      </c>
      <c r="DR86" s="7">
        <f>IFERROR(AVERAGEIF('Данные 1st'!$S$2:$S$317,$A86,'Данные 1st'!$HS$2:$HS$317),"")</f>
        <v>8364</v>
      </c>
      <c r="DS86" s="7">
        <f>IFERROR(AVERAGEIF('Данные 1st'!$S$2:$S$317,$A86,'Данные 1st'!$HT$2:$HT$317),"")</f>
        <v>254</v>
      </c>
      <c r="DT86" s="7">
        <f>IFERROR(AVERAGEIF('Данные 1st'!$S$2:$S$317,$A86,'Данные 1st'!$HU$2:$HU$317),"")</f>
        <v>180</v>
      </c>
      <c r="DU86" s="7">
        <f>IFERROR(AVERAGEIF('Данные 1st'!$S$2:$S$317,$A86,'Данные 1st'!$HW$2:$HW$317),"")</f>
        <v>0</v>
      </c>
      <c r="DV86" s="7">
        <f>IFERROR(AVERAGEIF('Данные 1st'!$S$2:$S$317,$A86,'Данные 1st'!$HX$2:$HX$317),"")</f>
        <v>626</v>
      </c>
      <c r="DW86" s="7">
        <f>IFERROR(AVERAGEIF('Данные 1st'!$S$2:$S$317,$A86,'Данные 1st'!$HY$2:$HY$317),"")</f>
        <v>0.18</v>
      </c>
      <c r="DX86" s="7">
        <f>IFERROR(AVERAGEIF('Данные 1st'!$S$2:$S$317,$A86,'Данные 1st'!$IA$2:$IA$317),"")</f>
        <v>0.15</v>
      </c>
      <c r="DY86" s="7">
        <f>IFERROR(AVERAGEIF('Данные 1st'!$S$2:$S$317,$A86,'Данные 1st'!$IB$2:$IB$317),"")</f>
        <v>0</v>
      </c>
      <c r="DZ86" s="7">
        <f>IFERROR(AVERAGEIF('Данные 1st'!$S$2:$S$317,$A86,'Данные 1st'!$IC$2:$IC$317),"")</f>
        <v>180</v>
      </c>
      <c r="EA86" s="7">
        <f>IFERROR(AVERAGEIF('Данные 1st'!$S$2:$S$317,$A86,'Данные 1st'!$ID$2:$ID$317),"")</f>
        <v>110</v>
      </c>
      <c r="EB86" s="7">
        <f>IFERROR(AVERAGEIF('Данные 1st'!$S$2:$S$317,$A86,'Данные 1st'!$IE$2:$IE$317),"")</f>
        <v>225</v>
      </c>
      <c r="EC86" s="7">
        <f>IFERROR(AVERAGEIF('Данные 1st'!$S$2:$S$317,$A86,'Данные 1st'!$IF$2:$IF$317),"")</f>
        <v>0</v>
      </c>
      <c r="ED86" s="7">
        <f>IFERROR(AVERAGEIF('Данные 1st'!$S$2:$S$317,$A86,'Данные 1st'!$IP$2:$IP$317),"")</f>
        <v>18</v>
      </c>
      <c r="EE86" s="7">
        <f>IFERROR(AVERAGEIF('Данные 1st'!$S$2:$S$317,$A86,'Данные 1st'!$IV$2:$IV$317),"")</f>
        <v>1381</v>
      </c>
      <c r="EF86" s="7">
        <f>IFERROR(AVERAGEIF('Данные 1st'!$S$2:$S$317,$A86,'Данные 1st'!$IW$2:$IW$317),"")</f>
        <v>553.6</v>
      </c>
      <c r="EG86" s="7">
        <f>IFERROR(AVERAGEIF('Данные 1st'!$S$2:$S$317,$A86,'Данные 1st'!$IX$2:$IX$317),"")</f>
        <v/>
      </c>
      <c r="EH86" s="7">
        <f>IFERROR(AVERAGEIF('Данные 1st'!$S$2:$S$317,$A86,'Данные 1st'!$IY$2:$IY$317),"")</f>
        <v/>
      </c>
      <c r="EI86" s="7">
        <f>IFERROR(AVERAGEIF('Данные 1st'!$S$2:$S$317,$A86,'Данные 1st'!$JD$2:$JD$317),"")</f>
        <v>1398.2</v>
      </c>
      <c r="EJ86" s="7">
        <f>IFERROR(AVERAGEIF('Данные 1st'!$S$2:$S$317,$A86,'Данные 1st'!$JE$2:$JE$317),"")</f>
        <v>1391.2</v>
      </c>
      <c r="EK86" s="7">
        <f>IFERROR(AVERAGEIF('Данные 1st'!$S$2:$S$317,$A86,'Данные 1st'!$JF$2:$JF$317),"")</f>
        <v>1400</v>
      </c>
      <c r="EL86" s="7">
        <f>IFERROR(AVERAGEIF('Данные 1st'!$S$2:$S$317,$A86,'Данные 1st'!$JG$2:$JG$317),"")</f>
        <v>1385.2</v>
      </c>
      <c r="EM86" s="7">
        <f>IFERROR(AVERAGEIF('Данные 1st'!$S$2:$S$317,$A86,'Данные 1st'!$JH$2:$JH$317),"")</f>
        <v>0</v>
      </c>
      <c r="EN86" s="7">
        <f>IFERROR(AVERAGEIF('Данные 1st'!$S$2:$S$317,$A86,'Данные 1st'!$JJ$2:$JJ$317),"")</f>
        <v>180</v>
      </c>
      <c r="EO86" s="7">
        <f>IFERROR(AVERAGEIF('Данные 1st'!$S$2:$S$317,$A86,'Данные 1st'!$JK$2:$JK$317),"")</f>
        <v>626</v>
      </c>
      <c r="EP86" s="7">
        <f>IFERROR(AVERAGEIF('Данные 1st'!$S$2:$S$317,$A86,'Данные 1st'!$JL$2:$JL$317),"")</f>
        <v/>
      </c>
      <c r="EQ86" s="7">
        <f>IFERROR(AVERAGEIF('Данные 1st'!$S$2:$S$317,$A86,'Данные 1st'!$JM$2:$JM$317),"")</f>
        <v/>
      </c>
      <c r="ER86" s="7">
        <f>IFERROR(AVERAGEIF('Данные 1st'!$S$2:$S$317,$A86,'Данные 1st'!$JN$2:$JN$317),"")</f>
        <v>514</v>
      </c>
      <c r="ES86" s="7">
        <f>IFERROR(AVERAGEIF('Данные 1st'!$S$2:$S$317,$A86,'Данные 1st'!$JO$2:$JO$317),"")</f>
        <v>751</v>
      </c>
      <c r="ET86" s="7">
        <f>IFERROR(AVERAGEIF('Данные 1st'!$S$2:$S$317,$A86,'Данные 1st'!$JP$2:$JP$317),"")</f>
        <v>649</v>
      </c>
      <c r="EU86" s="7">
        <f>IFERROR(AVERAGEIF('Данные 1st'!$S$2:$S$317,$A86,'Данные 1st'!$JQ$2:$JQ$317),"")</f>
        <v>120</v>
      </c>
      <c r="EV86" s="7">
        <f>IFERROR(AVERAGEIF('Данные 1st'!$S$2:$S$317,$A86,'Данные 1st'!$JR$2:$JR$317),"")</f>
        <v>558.8</v>
      </c>
      <c r="EW86" s="7">
        <f>IFERROR(AVERAGEIF('Данные 1st'!$S$2:$S$317,$A86,'Данные 1st'!$JS$2:$JS$317),"")</f>
        <v>187</v>
      </c>
      <c r="EX86" s="7">
        <f>IFERROR(AVERAGEIF('Данные 1st'!$S$2:$S$317,$A86,'Данные 1st'!$JT$2:$JT$317),"")</f>
        <v/>
      </c>
      <c r="EY86" s="7">
        <f>IFERROR(AVERAGEIF('Данные 1st'!$S$2:$S$317,$A86,'Данные 1st'!$JU$2:$JU$317),"")</f>
        <v/>
      </c>
      <c r="EZ86" s="7">
        <f>IFERROR(AVERAGEIF('Данные 1st'!$S$2:$S$317,$A86,'Данные 1st'!$JV$2:$JV$317),"")</f>
        <v>10</v>
      </c>
      <c r="FA86" s="7">
        <f>IFERROR(AVERAGEIF('Данные 1st'!$S$2:$S$317,$A86,'Данные 1st'!$JW$2:$JW$317),"")</f>
        <v/>
      </c>
      <c r="FB86" s="7">
        <f>IFERROR(AVERAGEIF('Данные 1st'!$S$2:$S$317,$A86,'Данные 1st'!$JX$2:$JX$317),"")</f>
        <v>609.6</v>
      </c>
      <c r="FC86" s="7">
        <f>IFERROR(AVERAGEIF('Данные 1st'!$S$2:$S$317,$A86,'Данные 1st'!$JY$2:$JY$317),"")</f>
        <v/>
      </c>
      <c r="FD86" s="7">
        <f>IFERROR(AVERAGEIF('Данные 1st'!$S$2:$S$317,$A86,'Данные 1st'!$JZ$2:$JZ$317),"")</f>
        <v/>
      </c>
      <c r="FE86" s="7">
        <f>IFERROR(AVERAGEIF('Данные 1st'!$S$2:$S$317,$A86,'Данные 1st'!$KA$2:$KA$317),"")</f>
        <v>225</v>
      </c>
      <c r="FF86" s="7">
        <f>IFERROR(AVERAGEIF('Данные 1st'!$S$2:$S$317,$A86,'Данные 1st'!$KB$2:$KB$317),"")</f>
        <v>110</v>
      </c>
      <c r="FG86" s="7">
        <f>IFERROR(AVERAGEIF('Данные 1st'!$S$2:$S$317,$A86,'Данные 1st'!$KC$2:$KC$317),"")</f>
        <v>0</v>
      </c>
      <c r="FH86" s="7">
        <f>IFERROR(AVERAGEIF('Данные 1st'!$S$2:$S$317,$A86,'Данные 1st'!$KD$2:$KD$317),"")</f>
        <v>80</v>
      </c>
      <c r="FI86" s="7">
        <f>IFERROR(AVERAGEIF('Данные 1st'!$S$2:$S$317,$A86,'Данные 1st'!$KE$2:$KE$317),"")</f>
        <v/>
      </c>
      <c r="FJ86" s="7">
        <f>IFERROR(AVERAGEIF('Данные 1st'!$S$2:$S$317,$A86,'Данные 1st'!$KF$2:$KF$317),"")</f>
        <v>4</v>
      </c>
      <c r="FK86" s="7">
        <f>IFERROR(AVERAGEIF('Данные 1st'!$S$2:$S$317,$A86,'Данные 1st'!$KG$2:$KG$317),"")</f>
        <v>2</v>
      </c>
      <c r="FL86" s="7">
        <f>IFERROR(AVERAGEIF('Данные 1st'!$S$2:$S$317,$A86,'Данные 1st'!$KH$2:$KH$317),"")</f>
        <v>2</v>
      </c>
      <c r="FM86" s="7">
        <f>IFERROR(AVERAGEIF('Данные 1st'!$S$2:$S$317,$A86,'Данные 1st'!$KI$2:$KI$317),"")</f>
        <v>2</v>
      </c>
      <c r="FN86" s="7">
        <f>IFERROR(AVERAGEIF('Данные 1st'!$S$2:$S$317,$A86,'Данные 1st'!$KJ$2:$KJ$317),"")</f>
        <v>0</v>
      </c>
      <c r="FO86" s="7">
        <f>IFERROR(AVERAGEIF('Данные 1st'!$S$2:$S$317,$A86,'Данные 1st'!$KK$2:$KK$317),"")</f>
        <v>1.5</v>
      </c>
      <c r="FP86" s="7">
        <f>IFERROR(AVERAGEIF('Данные 1st'!$S$2:$S$317,$A86,'Данные 1st'!$KL$2:$KL$317),"")</f>
        <v>1.5</v>
      </c>
      <c r="FQ86" s="7">
        <f>IFERROR(AVERAGEIF('Данные 1st'!$S$2:$S$317,$A86,'Данные 1st'!$KM$2:$KM$317),"")</f>
        <v>0</v>
      </c>
      <c r="FR86" s="7">
        <f>IFERROR(AVERAGEIF('Данные 1st'!$S$2:$S$317,$A86,'Данные 1st'!$KN$2:$KN$317),"")</f>
        <v>0</v>
      </c>
      <c r="FS86" s="7">
        <f>IFERROR(AVERAGEIF('Данные 1st'!$S$2:$S$317,$A86,'Данные 1st'!$KR$2:$KR$317),"")</f>
        <v>28</v>
      </c>
      <c r="FT86" s="7">
        <f>IFERROR(AVERAGEIF('Данные 1st'!$S$2:$S$317,$A86,'Данные 1st'!$KS$2:$KS$317),"")</f>
        <v>60</v>
      </c>
      <c r="FU86" s="7">
        <f>IFERROR(AVERAGEIF('Данные 1st'!$S$2:$S$317,$A86,'Данные 1st'!$KT$2:$KT$317),"")</f>
        <v>0</v>
      </c>
      <c r="FV86" s="7">
        <f>IFERROR(AVERAGEIF('Данные 1st'!$S$2:$S$317,$A86,'Данные 1st'!$KV$2:$KV$317),"")</f>
        <v/>
      </c>
      <c r="FW86" s="7">
        <f>IFERROR(AVERAGEIF('Данные 1st'!$S$2:$S$317,$A86,'Данные 1st'!$KW$2:$KW$317),"")</f>
        <v/>
      </c>
      <c r="FX86" s="7">
        <f>IFERROR(AVERAGEIF('Данные 1st'!$S$2:$S$317,$A86,'Данные 1st'!$KX$2:$KX$317),"")</f>
        <v/>
      </c>
      <c r="FY86" s="7">
        <f>IFERROR(AVERAGEIF('Данные 1st'!$S$2:$S$317,$A86,'Данные 1st'!$KY$2:$KY$317),"")</f>
        <v/>
      </c>
      <c r="FZ86" s="7">
        <f>IFERROR(AVERAGEIF('Данные 1st'!$S$2:$S$317,$A86,'Данные 1st'!$KZ$2:$KZ$317),"")</f>
        <v/>
      </c>
      <c r="GA86" s="7">
        <f>IFERROR(AVERAGEIF('Данные 1st'!$S$2:$S$317,$A86,'Данные 1st'!$LA$2:$LA$317),"")</f>
        <v/>
      </c>
      <c r="GB86" s="7">
        <f>IFERROR(AVERAGEIF('Данные 1st'!$S$2:$S$317,$A86,'Данные 1st'!$LB$2:$LB$317),"")</f>
        <v/>
      </c>
      <c r="GC86" s="7">
        <f>IFERROR(AVERAGEIF('Данные 1st'!$S$2:$S$317,$A86,'Данные 1st'!$LC$2:$LC$317),"")</f>
        <v/>
      </c>
      <c r="GD86" s="7">
        <f>IFERROR(AVERAGEIF('Данные 1st'!$S$2:$S$317,$A86,'Данные 1st'!$LD$2:$LD$317),"")</f>
        <v/>
      </c>
      <c r="GE86" s="7">
        <f>IFERROR(AVERAGEIF('Данные 1st'!$S$2:$S$317,$A86,'Данные 1st'!$LE$2:$LE$317),"")</f>
        <v/>
      </c>
      <c r="GF86" s="7">
        <f>IFERROR(AVERAGEIF('Данные 1st'!$S$2:$S$317,$A86,'Данные 1st'!$LF$2:$LF$317),"")</f>
        <v/>
      </c>
      <c r="GG86" s="7">
        <f>IFERROR(AVERAGEIF('Данные 1st'!$S$2:$S$317,$A86,'Данные 1st'!$LG$2:$LG$317),"")</f>
        <v/>
      </c>
      <c r="GH86" s="7">
        <f>IFERROR(AVERAGEIF('Данные 1st'!$S$2:$S$317,$A86,'Данные 1st'!$LH$2:$LH$317),"")</f>
        <v/>
      </c>
      <c r="GI86" s="7">
        <f>IFERROR(AVERAGEIF('Данные 1st'!$S$2:$S$317,$A86,'Данные 1st'!$LI$2:$LI$317),"")</f>
        <v/>
      </c>
      <c r="GJ86" s="7">
        <f>IFERROR(AVERAGEIF('Данные 1st'!$S$2:$S$317,$A86,'Данные 1st'!$LJ$2:$LJ$317),"")</f>
        <v/>
      </c>
      <c r="GK86" s="7">
        <f>IFERROR(AVERAGEIF('Данные 1st'!$S$2:$S$317,$A86,'Данные 1st'!$LK$2:$LK$317),"")</f>
        <v>480</v>
      </c>
      <c r="GL86" s="7">
        <f>IFERROR(AVERAGEIF('Данные 1st'!$S$2:$S$317,$A86,'Данные 1st'!$LV$2:$LV$317),"")</f>
        <v/>
      </c>
      <c r="GM86" s="7">
        <f>IFERROR(AVERAGEIF('Данные 1st'!$S$2:$S$317,$A86,'Данные 1st'!$LW$2:$LW$317),"")</f>
        <v/>
      </c>
      <c r="GN86" s="7">
        <f>IFERROR(AVERAGEIF('Данные 1st'!$S$2:$S$317,$A86,'Данные 1st'!$LX$2:$LX$317),"")</f>
        <v/>
      </c>
      <c r="GO86" s="7">
        <f>IFERROR(AVERAGEIF('Данные 1st'!$S$2:$S$317,$A86,'Данные 1st'!$LY$2:$LY$317),"")</f>
        <v/>
      </c>
      <c r="GP86" s="7">
        <f>IFERROR(AVERAGEIF('Данные 1st'!$S$2:$S$317,$A86,'Данные 1st'!$LZ$2:$LZ$317),"")</f>
        <v/>
      </c>
      <c r="GQ86" s="7">
        <f>IFERROR(AVERAGEIF('Данные 1st'!$S$2:$S$317,$A86,'Данные 1st'!$PG$2:$PG$317),"")</f>
        <v>1</v>
      </c>
      <c r="GR86" s="7">
        <f>IFERROR(AVERAGEIF('Данные 1st'!$S$2:$S$317,$A86,'Данные 1st'!$PX$2:$PX$317),"")</f>
        <v>56</v>
      </c>
      <c r="GS86" s="7">
        <f>IFERROR(AVERAGEIF('Данные 1st'!$S$2:$S$317,$A86,'Данные 1st'!$PY$2:$PY$317),"")</f>
        <v>56.2</v>
      </c>
      <c r="GT86" s="7">
        <f>IFERROR(AVERAGEIF('Данные 1st'!$S$2:$S$317,$A86,'Данные 1st'!$QA$2:$QA$317),"")</f>
        <v>1.4</v>
      </c>
      <c r="GU86" s="7">
        <f>IFERROR(AVERAGEIF('Данные 1st'!$S$2:$S$317,$A86,'Данные 1st'!$QB$2:$QB$317),"")</f>
        <v>1385.2</v>
      </c>
      <c r="GV86" s="7">
        <f>IFERROR(AVERAGEIF('Данные 1st'!$S$2:$S$317,$A86,'Данные 1st'!$QC$2:$QC$317),"")</f>
        <v>69</v>
      </c>
      <c r="GW86" s="7">
        <f>IFERROR(AVERAGEIF('Данные 1st'!$S$2:$S$317,$A86,'Данные 1st'!$QD$2:$QD$317),"")</f>
        <v>69</v>
      </c>
      <c r="GX86" s="7">
        <f>IFERROR(AVERAGEIF('Данные 1st'!$S$2:$S$317,$A86,'Данные 1st'!$QF$2:$QF$317),"")</f>
        <v>1.2</v>
      </c>
      <c r="GY86" s="7">
        <f>IFERROR(AVERAGEIF('Данные 1st'!$S$2:$S$317,$A86,'Данные 1st'!$QG$2:$QG$317),"")</f>
        <v>1398.2</v>
      </c>
      <c r="GZ86" s="7">
        <f>IFERROR(AVERAGEIF('Данные 1st'!$S$2:$S$317,$A86,'Данные 1st'!$QH$2:$QH$317),"")</f>
        <v>66</v>
      </c>
      <c r="HA86" s="7">
        <f>IFERROR(AVERAGEIF('Данные 1st'!$S$2:$S$317,$A86,'Данные 1st'!$QI$2:$QI$317),"")</f>
        <v>66</v>
      </c>
      <c r="HB86" s="7">
        <f>IFERROR(AVERAGEIF('Данные 1st'!$S$2:$S$317,$A86,'Данные 1st'!$QK$2:$QK$317),"")</f>
        <v>1.2</v>
      </c>
      <c r="HC86" s="7">
        <f>IFERROR(AVERAGEIF('Данные 1st'!$S$2:$S$317,$A86,'Данные 1st'!$QL$2:$QL$317),"")</f>
        <v>1398.2</v>
      </c>
      <c r="HD86" s="7">
        <f>IFERROR(AVERAGEIF('Данные 1st'!$S$2:$S$317,$A86,'Данные 1st'!$QM$2:$QM$317),"")</f>
        <v>62</v>
      </c>
      <c r="HE86" s="7">
        <f>IFERROR(AVERAGEIF('Данные 1st'!$S$2:$S$317,$A86,'Данные 1st'!$QN$2:$QN$317),"")</f>
        <v>62</v>
      </c>
      <c r="HF86" s="7">
        <f>IFERROR(AVERAGEIF('Данные 1st'!$S$2:$S$317,$A86,'Данные 1st'!$QP$2:$QP$317),"")</f>
        <v>1</v>
      </c>
      <c r="HG86" s="7">
        <f>IFERROR(AVERAGEIF('Данные 1st'!$S$2:$S$317,$A86,'Данные 1st'!$QQ$2:$QQ$317),"")</f>
        <v>1391.2</v>
      </c>
      <c r="HH86" s="7">
        <f>IFERROR(AVERAGEIF('Данные 1st'!$S$2:$S$317,$A86,'Данные 1st'!$QR$2:$QR$317),"")</f>
        <v>62</v>
      </c>
      <c r="HI86" s="7">
        <f>IFERROR(AVERAGEIF('Данные 1st'!$S$2:$S$317,$A86,'Данные 1st'!$QS$2:$QS$317),"")</f>
        <v>62</v>
      </c>
      <c r="HJ86" s="7">
        <f>IFERROR(AVERAGEIF('Данные 1st'!$S$2:$S$317,$A86,'Данные 1st'!$QU$2:$QU$317),"")</f>
        <v>1</v>
      </c>
      <c r="HK86" s="7">
        <f>IFERROR(AVERAGEIF('Данные 1st'!$S$2:$S$317,$A86,'Данные 1st'!$QV$2:$QV$317),"")</f>
        <v>1400</v>
      </c>
      <c r="HL86" s="7">
        <f>IFERROR(AVERAGEIF('Данные 1st'!$S$2:$S$317,$A86,'Данные 1st'!$QW$2:$QW$317),"")</f>
        <v>82</v>
      </c>
      <c r="HM86" s="7">
        <f>IFERROR(AVERAGEIF('Данные 1st'!$S$2:$S$317,$A86,'Данные 1st'!$QX$2:$QX$317),"")</f>
        <v>88.4</v>
      </c>
      <c r="HN86" s="7">
        <f>IFERROR(AVERAGEIF('Данные 1st'!$S$2:$S$317,$A86,'Данные 1st'!$QZ$2:$QZ$317),"")</f>
        <v>1</v>
      </c>
      <c r="HO86" s="7">
        <f>IFERROR(AVERAGEIF('Данные 1st'!$S$2:$S$317,$A86,'Данные 1st'!$RA$2:$RA$317),"")</f>
        <v>66</v>
      </c>
      <c r="HP86" s="7">
        <f>IFERROR(AVERAGEIF('Данные 1st'!$S$2:$S$317,$A86,'Данные 1st'!$RB$2:$RB$317),"")</f>
        <v>66</v>
      </c>
      <c r="HQ86" s="7">
        <f>IFERROR(AVERAGEIF('Данные 1st'!$S$2:$S$317,$A86,'Данные 1st'!$RD$2:$RD$317),"")</f>
        <v>1</v>
      </c>
      <c r="HR86" s="7">
        <f>IFERROR(AVERAGEIF('Данные 1st'!$S$2:$S$317,$A86,'Данные 1st'!$RE$2:$RE$317),"")</f>
        <v>282.2</v>
      </c>
      <c r="HS86" s="7">
        <f>IFERROR(AVERAGEIF('Данные 1st'!$S$2:$S$317,$A86,'Данные 1st'!$RF$2:$RF$317),"")</f>
        <v>1</v>
      </c>
      <c r="HT86" s="7">
        <f>IFERROR(AVERAGEIF('Данные 1st'!$S$2:$S$317,$A86,'Данные 1st'!$RG$2:$RG$317),"")</f>
        <v/>
      </c>
      <c r="HU86" s="7">
        <f>IFERROR(AVERAGEIF('Данные 1st'!$S$2:$S$317,$A86,'Данные 1st'!$RH$2:$RH$317),"")</f>
        <v>1</v>
      </c>
      <c r="HV86" s="7">
        <f>IFERROR(AVERAGEIF('Данные 1st'!$S$2:$S$317,$A86,'Данные 1st'!$RI$2:$RI$317),"")</f>
        <v/>
      </c>
      <c r="HW86" s="7">
        <f>IFERROR(AVERAGEIF('Данные 1st'!$S$2:$S$317,$A86,'Данные 1st'!$RJ$2:$RJ$317),"")</f>
        <v>1</v>
      </c>
      <c r="HX86" s="7">
        <f>IFERROR(AVERAGEIF('Данные 1st'!$S$2:$S$317,$A86,'Данные 1st'!$RK$2:$RK$317),"")</f>
        <v>2.4</v>
      </c>
      <c r="HY86" s="7">
        <f>IFERROR(AVERAGEIF('Данные 1st'!$S$2:$S$317,$A86,'Данные 1st'!$RL$2:$RL$317),"")</f>
        <v>1.6</v>
      </c>
      <c r="HZ86" s="7">
        <f>IFERROR(AVERAGEIF('Данные 1st'!$S$2:$S$317,$A86,'Данные 1st'!$RM$2:$RM$317),"")</f>
        <v>1.6</v>
      </c>
      <c r="IA86" s="7">
        <f>IFERROR(AVERAGEIF('Данные 1st'!$S$2:$S$317,$A86,'Данные 1st'!$RN$2:$RN$317),"")</f>
        <v>3</v>
      </c>
      <c r="IB86" s="7">
        <f>IFERROR(AVERAGEIF('Данные 1st'!$S$2:$S$317,$A86,'Данные 1st'!$RO$2:$RO$317),"")</f>
        <v>740.2</v>
      </c>
      <c r="IC86" s="7">
        <f>IFERROR(AVERAGEIF('Данные 1st'!$S$2:$S$317,$A86,'Данные 1st'!$RP$2:$RP$317),"")</f>
        <v>152</v>
      </c>
      <c r="ID86" s="7">
        <f>IFERROR(AVERAGEIF('Данные 1st'!$S$2:$S$317,$A86,'Данные 1st'!$RQ$2:$RQ$317),"")</f>
        <v>1186</v>
      </c>
      <c r="IE86" s="7">
        <f>IFERROR(AVERAGEIF('Данные 1st'!$S$2:$S$317,$A86,'Данные 1st'!$RR$2:$RR$317),"")</f>
        <v>941.8</v>
      </c>
      <c r="IF86" s="7">
        <f>IFERROR(AVERAGEIF('Данные 1st'!$S$2:$S$317,$A86,'Данные 1st'!$RS$2:$RS$317),"")</f>
        <v>103</v>
      </c>
      <c r="IG86" s="7">
        <f>IFERROR(AVERAGEIF('Данные 1st'!$S$2:$S$317,$A86,'Данные 1st'!$RT$2:$RT$317),"")</f>
        <v>379.4</v>
      </c>
      <c r="IH86" s="7">
        <f>IFERROR(AVERAGEIF('Данные 1st'!$S$2:$S$317,$A86,'Данные 1st'!$RU$2:$RU$317),"")</f>
        <v>319.6</v>
      </c>
      <c r="II86" s="7">
        <f>IFERROR(AVERAGEIF('Данные 1st'!$S$2:$S$317,$A86,'Данные 1st'!$RX$2:$RX$317),"")</f>
        <v>15</v>
      </c>
      <c r="IJ86" s="7">
        <f>IFERROR(AVERAGEIF('Данные 1st'!$S$2:$S$317,$A86,'Данные 1st'!$RY$2:$RY$317),"")</f>
        <v>4</v>
      </c>
      <c r="IK86" s="7">
        <f>IFERROR(AVERAGEIF('Данные 1st'!$S$2:$S$317,$A86,'Данные 1st'!$SA$2:$SA$317),"")</f>
        <v>15</v>
      </c>
      <c r="IL86" s="7">
        <f>IFERROR(AVERAGEIF('Данные 1st'!$S$2:$S$317,$A86,'Данные 1st'!$SD$2:$SD$317),"")</f>
        <v>1</v>
      </c>
      <c r="IM86" s="7">
        <f>IFERROR(AVERAGEIF('Данные 1st'!$S$2:$S$317,$A86,'Данные 1st'!$SG$2:$SG$317),"")</f>
        <v>1</v>
      </c>
      <c r="IN86" s="7">
        <f>IFERROR(AVERAGEIF('Данные 1st'!$S$2:$S$317,$A86,'Данные 1st'!$SH$2:$SH$317),"")</f>
        <v>0.995</v>
      </c>
      <c r="IO86" s="7">
        <f>IFERROR(AVERAGEIF('Данные 1st'!$S$2:$S$317,$A86,'Данные 1st'!$SI$2:$SI$317),"")</f>
        <v>0.995</v>
      </c>
      <c r="IP86" s="7">
        <f>IFERROR(AVERAGEIF('Данные 1st'!$S$2:$S$317,$A86,'Данные 1st'!$SJ$2:$SJ$317),"")</f>
        <v>0.995</v>
      </c>
      <c r="IQ86" s="7">
        <f>IFERROR(AVERAGEIF('Данные 1st'!$S$2:$S$317,$A86,'Данные 1st'!$SK$2:$SK$317),"")</f>
        <v>15</v>
      </c>
      <c r="IR86" s="7">
        <f>IFERROR(AVERAGEIF('Данные 1st'!$S$2:$S$317,$A86,'Данные 1st'!$SL$2:$SL$317),"")</f>
        <v>0</v>
      </c>
      <c r="IS86" s="7">
        <f>IFERROR(AVERAGEIF('Данные 1st'!$S$2:$S$317,$A86,'Данные 1st'!$SM$2:$SM$317),"")</f>
        <v>0</v>
      </c>
      <c r="IT86" s="7">
        <f>IFERROR(AVERAGEIF('Данные 1st'!$S$2:$S$317,$A86,'Данные 1st'!$SN$2:$SN$317),"")</f>
        <v>0</v>
      </c>
      <c r="IU86" s="7">
        <f>IFERROR(AVERAGEIF('Данные 1st'!$S$2:$S$317,$A86,'Данные 1st'!$SO$2:$SO$317),"")</f>
        <v>0</v>
      </c>
      <c r="IV86" s="7">
        <f>IFERROR(AVERAGEIF('Данные 1st'!$S$2:$S$317,$A86,'Данные 1st'!$SP$2:$SP$317),"")</f>
        <v>0</v>
      </c>
      <c r="IW86" s="7">
        <f>IFERROR(AVERAGEIF('Данные 1st'!$S$2:$S$317,$A86,'Данные 1st'!$SQ$2:$SQ$317),"")</f>
        <v>0</v>
      </c>
      <c r="IX86" s="7">
        <f>IFERROR(AVERAGEIF('Данные 1st'!$S$2:$S$317,$A86,'Данные 1st'!$SR$2:$SR$317),"")</f>
        <v>0</v>
      </c>
      <c r="IY86" s="7">
        <f>IFERROR(AVERAGEIF('Данные 1st'!$S$2:$S$317,$A86,'Данные 1st'!$SS$2:$SS$317),"")</f>
        <v>0</v>
      </c>
      <c r="IZ86" s="7">
        <f>IFERROR(AVERAGEIF('Данные 1st'!$S$2:$S$317,$A86,'Данные 1st'!$ST$2:$ST$317),"")</f>
        <v>0</v>
      </c>
      <c r="JA86" s="7">
        <f>IFERROR(AVERAGEIF('Данные 1st'!$S$2:$S$317,$A86,'Данные 1st'!$SU$2:$SU$317),"")</f>
        <v>0</v>
      </c>
      <c r="JB86" s="7">
        <f>IFERROR(AVERAGEIF('Данные 1st'!$S$2:$S$317,$A86,'Данные 1st'!$SV$2:$SV$317),"")</f>
        <v>0</v>
      </c>
      <c r="JC86" s="7">
        <f>IFERROR(AVERAGEIF('Данные 1st'!$S$2:$S$317,$A86,'Данные 1st'!$SW$2:$SW$317),"")</f>
        <v>0</v>
      </c>
      <c r="JD86" s="7">
        <f>IFERROR(AVERAGEIF('Данные 1st'!$S$2:$S$317,$A86,'Данные 1st'!$SX$2:$SX$317),"")</f>
        <v>0</v>
      </c>
      <c r="JE86" s="7">
        <f>IFERROR(AVERAGEIF('Данные 1st'!$S$2:$S$317,$A86,'Данные 1st'!$SY$2:$SY$317),"")</f>
        <v>1</v>
      </c>
      <c r="JF86" s="7">
        <f>IFERROR(AVERAGEIF('Данные 1st'!$S$2:$S$317,$A86,'Данные 1st'!$SZ$2:$SZ$317),"")</f>
        <v>1</v>
      </c>
      <c r="JG86" s="7">
        <f>IFERROR(AVERAGEIF('Данные 1st'!$S$2:$S$317,$A86,'Данные 1st'!$TA$2:$TA$317),"")</f>
        <v>1</v>
      </c>
      <c r="JH86" s="7">
        <f>IFERROR(AVERAGEIF('Данные 1st'!$S$2:$S$317,$A86,'Данные 1st'!$TB$2:$TB$317),"")</f>
        <v>0</v>
      </c>
      <c r="JI86" s="7">
        <f>IFERROR(AVERAGEIF('Данные 1st'!$S$2:$S$317,$A86,'Данные 1st'!$TC$2:$TC$317),"")</f>
        <v>0</v>
      </c>
      <c r="JJ86" s="7">
        <f>IFERROR(AVERAGEIF('Данные 1st'!$S$2:$S$317,$A86,'Данные 1st'!$TD$2:$TD$317),"")</f>
        <v>9.4</v>
      </c>
      <c r="JK86" s="7">
        <f>IFERROR(AVERAGEIF('Данные 1st'!$S$2:$S$317,$A86,'Данные 1st'!$TN$2:$TN$317),"")</f>
        <v>0</v>
      </c>
      <c r="JL86">
        <f>COUNTIF('Данные 2st'!$Q$2:$Q$317,$A86)</f>
        <v>5</v>
      </c>
      <c r="JM86" s="6" t="s">
        <v>5122</v>
      </c>
      <c r="JN86" s="6" t="s">
        <v>513</v>
      </c>
      <c r="JO86" s="6" t="s">
        <v>5125</v>
      </c>
      <c r="JP86" s="6" t="s">
        <v>5526</v>
      </c>
      <c r="JQ86" s="7">
        <f>IFERROR(AVERAGEIF('Данные 2st'!$Q$2:$Q$317,$A86,'Данные 2st'!$AC$2:$AC$317),"")</f>
        <v>11</v>
      </c>
      <c r="JR86" s="7">
        <f>IFERROR(AVERAGEIF('Данные 2st'!$Q$2:$Q$317,$A86,'Данные 2st'!$AF$2:$AF$317),"")</f>
        <v>8364</v>
      </c>
      <c r="JS86" s="7">
        <f>IFERROR(AVERAGEIF('Данные 2st'!$Q$2:$Q$317,$A86,'Данные 2st'!$AW$2:$AW$317),"")</f>
        <v>6.4</v>
      </c>
      <c r="JT86" s="7">
        <f>IFERROR(AVERAGEIF('Данные 2st'!$Q$2:$Q$317,$A86,'Данные 2st'!$AX$2:$AX$317),"")</f>
        <v>-6</v>
      </c>
      <c r="JU86" s="7">
        <f>IFERROR(AVERAGEIF('Данные 2st'!$Q$2:$Q$317,$A86,'Данные 2st'!$AY$2:$AY$317),"")</f>
        <v>123.5</v>
      </c>
      <c r="JV86" s="7">
        <f>IFERROR(AVERAGEIF('Данные 2st'!$Q$2:$Q$317,$A86,'Данные 2st'!$AZ$2:$AZ$317),"")</f>
        <v>93.9</v>
      </c>
      <c r="JW86" s="7">
        <f>IFERROR(AVERAGEIF('Данные 2st'!$Q$2:$Q$317,$A86,'Данные 2st'!$BA$2:$BA$317),"")</f>
        <v/>
      </c>
      <c r="JX86" s="7">
        <f>IFERROR(AVERAGEIF('Данные 2st'!$Q$2:$Q$317,$A86,'Данные 2st'!$BB$2:$BB$317),"")</f>
        <v/>
      </c>
      <c r="JY86" s="7">
        <f>IFERROR(AVERAGEIF('Данные 2st'!$Q$2:$Q$317,$A86,'Данные 2st'!$BC$2:$BC$317),"")</f>
        <v/>
      </c>
      <c r="JZ86" s="7">
        <f>IFERROR(AVERAGEIF('Данные 2st'!$Q$2:$Q$317,$A86,'Данные 2st'!$BH$2:$BH$317),"")</f>
        <v>123.5</v>
      </c>
      <c r="KA86" s="7">
        <f>IFERROR(AVERAGEIF('Данные 2st'!$Q$2:$Q$317,$A86,'Данные 2st'!$BI$2:$BI$317),"")</f>
        <v>29.6</v>
      </c>
      <c r="KB86" s="7">
        <f>IFERROR(AVERAGEIF('Данные 2st'!$Q$2:$Q$317,$A86,'Данные 2st'!$BJ$2:$BJ$317),"")</f>
        <v>93.9</v>
      </c>
      <c r="KC86" s="7">
        <f>IFERROR(AVERAGEIF('Данные 2st'!$Q$2:$Q$317,$A86,'Данные 2st'!$BK$2:$BK$317),"")</f>
        <v>3.0</v>
      </c>
      <c r="KD86" s="7">
        <f>IFERROR(AVERAGEIF('Данные 2st'!$Q$2:$Q$317,$A86,'Данные 2st'!$BL$2:$BL$317),"")</f>
        <v>247</v>
      </c>
      <c r="KE86" s="7">
        <f>IFERROR(AVERAGEIF('Данные 2st'!$Q$2:$Q$317,$A86,'Данные 2st'!$BM$2:$BM$317),"")</f>
        <v>-6</v>
      </c>
      <c r="KF86" s="7">
        <f>IFERROR(AVERAGEIF('Данные 2st'!$Q$2:$Q$317,$A86,'Данные 2st'!$BN$2:$BN$317),"")</f>
        <v>0</v>
      </c>
      <c r="KG86" s="7">
        <f>IFERROR(AVERAGEIF('Данные 2st'!$Q$2:$Q$317,$A86,'Данные 2st'!$BO$2:$BO$317),"")</f>
        <v>0</v>
      </c>
      <c r="KH86" s="7">
        <f>IFERROR(AVERAGEIF('Данные 2st'!$Q$2:$Q$317,$A86,'Данные 2st'!$BP$2:$BP$317),"")</f>
        <v>0</v>
      </c>
      <c r="KI86" s="7">
        <f>IFERROR(AVERAGEIF('Данные 2st'!$Q$2:$Q$317,$A86,'Данные 2st'!$BR$2:$BR$317),"")</f>
        <v>241</v>
      </c>
      <c r="KJ86" s="7">
        <f>IFERROR(AVERAGEIF('Данные 2st'!$Q$2:$Q$317,$A86,'Данные 2st'!$BS$2:$BS$317),"")</f>
        <v>230</v>
      </c>
      <c r="KK86" s="7">
        <f>IFERROR(AVERAGEIF('Данные 2st'!$Q$2:$Q$317,$A86,'Данные 2st'!$BT$2:$BT$317),"")</f>
        <v>2342</v>
      </c>
      <c r="KL86" s="7">
        <f>IFERROR(AVERAGEIF('Данные 2st'!$Q$2:$Q$317,$A86,'Данные 2st'!$CV$2:$CV$317),"")</f>
        <v>153.8</v>
      </c>
      <c r="KM86" s="7">
        <f>IFERROR(AVERAGEIF('Данные 2st'!$Q$2:$Q$317,$A86,'Данные 2st'!$CW$2:$CW$317),"")</f>
        <v>3</v>
      </c>
      <c r="KN86" s="7">
        <f>IFERROR(AVERAGEIF('Данные 2st'!$Q$2:$Q$317,$A86,'Данные 2st'!$CX$2:$CX$317),"")</f>
        <v>103.8</v>
      </c>
      <c r="KO86" s="7">
        <f>IFERROR(AVERAGEIF('Данные 2st'!$Q$2:$Q$317,$A86,'Данные 2st'!$CY$2:$CY$317),"")</f>
        <v>5</v>
      </c>
      <c r="KP86" s="7">
        <f>IFERROR(AVERAGEIF('Данные 2st'!$Q$2:$Q$317,$A86,'Данные 2st'!$CZ$2:$CZ$317),"")</f>
        <v>183.4</v>
      </c>
      <c r="KQ86" s="7">
        <f>IFERROR(AVERAGEIF('Данные 2st'!$Q$2:$Q$317,$A86,'Данные 2st'!$DA$2:$DA$317),"")</f>
        <v>5</v>
      </c>
      <c r="KR86" s="7">
        <f>IFERROR(AVERAGEIF('Данные 2st'!$Q$2:$Q$317,$A86,'Данные 2st'!$DB$2:$DB$317),"")</f>
        <v>18244</v>
      </c>
      <c r="KS86" s="7">
        <f>IFERROR(AVERAGEIF('Данные 2st'!$Q$2:$Q$317,$A86,'Данные 2st'!$DC$2:$DC$317),"")</f>
        <v>542</v>
      </c>
      <c r="KT86" s="7">
        <f>IFERROR(AVERAGEIF('Данные 2st'!$Q$2:$Q$317,$A86,'Данные 2st'!$DD$2:$DD$317),"")</f>
        <v>425.6</v>
      </c>
      <c r="KU86" s="7">
        <f>IFERROR(AVERAGEIF('Данные 2st'!$Q$2:$Q$317,$A86,'Данные 2st'!$DE$2:$DE$317),"")</f>
        <v>2466.8</v>
      </c>
      <c r="KV86" s="7">
        <f>IFERROR(AVERAGEIF('Данные 2st'!$Q$2:$Q$317,$A86,'Данные 2st'!$DF$2:$DF$317),"")</f>
        <v>2466.8</v>
      </c>
      <c r="KW86" s="7">
        <f>IFERROR(AVERAGEIF('Данные 2st'!$Q$2:$Q$317,$A86,'Данные 2st'!$DG$2:$DG$317),"")</f>
        <v>2483</v>
      </c>
      <c r="KX86" s="7">
        <f>IFERROR(AVERAGEIF('Данные 2st'!$Q$2:$Q$317,$A86,'Данные 2st'!$DH$2:$DH$317),"")</f>
        <v>2.4</v>
      </c>
      <c r="KY86" s="7">
        <f>IFERROR(AVERAGEIF('Данные 2st'!$Q$2:$Q$317,$A86,'Данные 2st'!$DI$2:$DI$317),"")</f>
        <v>2570</v>
      </c>
      <c r="KZ86" s="7">
        <f>IFERROR(AVERAGEIF('Данные 2st'!$Q$2:$Q$317,$A86,'Данные 2st'!$DK$2:$DK$317),"")</f>
        <v>241</v>
      </c>
      <c r="LA86" s="7">
        <f>IFERROR(AVERAGEIF('Данные 2st'!$Q$2:$Q$317,$A86,'Данные 2st'!$DM$2:$DM$317),"")</f>
        <v>63.4</v>
      </c>
      <c r="LB86" s="7">
        <f>IFERROR(AVERAGEIF('Данные 2st'!$Q$2:$Q$317,$A86,'Данные 2st'!$DN$2:$DN$317),"")</f>
        <v>1.3</v>
      </c>
      <c r="LC86" s="7">
        <f>IFERROR(AVERAGEIF('Данные 2st'!$Q$2:$Q$317,$A86,'Данные 2st'!$DO$2:$DO$317),"")</f>
        <v>1</v>
      </c>
      <c r="LD86" s="7">
        <f>IFERROR(AVERAGEIF('Данные 2st'!$Q$2:$Q$317,$A86,'Данные 2st'!$DP$2:$DP$317),"")</f>
        <v>2346</v>
      </c>
      <c r="LE86" s="7">
        <f>IFERROR(AVERAGEIF('Данные 2st'!$Q$2:$Q$317,$A86,'Данные 2st'!$DQ$2:$DQ$317),"")</f>
        <v>1388.4</v>
      </c>
      <c r="LF86" s="7">
        <f>IFERROR(AVERAGEIF('Данные 2st'!$Q$2:$Q$317,$A86,'Данные 2st'!$DS$2:$DS$317),"")</f>
        <v>230</v>
      </c>
      <c r="LG86" s="7">
        <f>IFERROR(AVERAGEIF('Данные 2st'!$Q$2:$Q$317,$A86,'Данные 2st'!$DU$2:$DU$317),"")</f>
        <v>63.4</v>
      </c>
      <c r="LH86" s="7">
        <f>IFERROR(AVERAGEIF('Данные 2st'!$Q$2:$Q$317,$A86,'Данные 2st'!$DV$2:$DV$317),"")</f>
        <v>1.3</v>
      </c>
      <c r="LI86" s="7">
        <f>IFERROR(AVERAGEIF('Данные 2st'!$Q$2:$Q$317,$A86,'Данные 2st'!$DW$2:$DW$317),"")</f>
        <v>1</v>
      </c>
      <c r="LJ86" s="7">
        <f>IFERROR(AVERAGEIF('Данные 2st'!$Q$2:$Q$317,$A86,'Данные 2st'!$DX$2:$DX$317),"")</f>
        <v>2359.4</v>
      </c>
      <c r="LK86" s="7">
        <f>IFERROR(AVERAGEIF('Данные 2st'!$Q$2:$Q$317,$A86,'Данные 2st'!$DY$2:$DY$317),"")</f>
        <v>1332.2</v>
      </c>
      <c r="LL86" s="7">
        <f>IFERROR(AVERAGEIF('Данные 2st'!$Q$2:$Q$317,$A86,'Данные 2st'!$EA$2:$EA$317),"")</f>
        <v>20</v>
      </c>
      <c r="LM86" s="7">
        <f>IFERROR(AVERAGEIF('Данные 2st'!$Q$2:$Q$317,$A86,'Данные 2st'!$EC$2:$EC$317),"")</f>
        <v>0.8</v>
      </c>
      <c r="LN86" s="7">
        <f>IFERROR(AVERAGEIF('Данные 2st'!$Q$2:$Q$317,$A86,'Данные 2st'!$ED$2:$ED$317),"")</f>
        <v>2346</v>
      </c>
      <c r="LO86" s="7">
        <f>IFERROR(AVERAGEIF('Данные 2st'!$Q$2:$Q$317,$A86,'Данные 2st'!$EE$2:$EE$317),"")</f>
        <v>82</v>
      </c>
      <c r="LP86" s="7">
        <f>IFERROR(AVERAGEIF('Данные 2st'!$Q$2:$Q$317,$A86,'Данные 2st'!$EG$2:$EG$317),"")</f>
        <v>0</v>
      </c>
      <c r="LQ86" s="7">
        <f>IFERROR(AVERAGEIF('Данные 2st'!$Q$2:$Q$317,$A86,'Данные 2st'!$EI$2:$EI$317),"")</f>
        <v>0</v>
      </c>
      <c r="LR86" s="7">
        <f>IFERROR(AVERAGEIF('Данные 2st'!$Q$2:$Q$317,$A86,'Данные 2st'!$EJ$2:$EJ$317),"")</f>
        <v/>
      </c>
      <c r="LS86" s="7">
        <f>IFERROR(AVERAGEIF('Данные 2st'!$Q$2:$Q$317,$A86,'Данные 2st'!$EK$2:$EK$317),"")</f>
        <v/>
      </c>
      <c r="LT86" s="7">
        <f>IFERROR(AVERAGEIF('Данные 2st'!$Q$2:$Q$317,$A86,'Данные 2st'!$EM$2:$EM$317),"")</f>
        <v>12</v>
      </c>
      <c r="LU86" s="7">
        <f>IFERROR(AVERAGEIF('Данные 2st'!$Q$2:$Q$317,$A86,'Данные 2st'!$EN$2:$EN$317),"")</f>
        <v>0.5</v>
      </c>
      <c r="LV86" s="7">
        <f>IFERROR(AVERAGEIF('Данные 2st'!$Q$2:$Q$317,$A86,'Данные 2st'!$EO$2:$EO$317),"")</f>
        <v>0.96</v>
      </c>
      <c r="LW86" s="7">
        <f>IFERROR(AVERAGEIF('Данные 2st'!$Q$2:$Q$317,$A86,'Данные 2st'!$EP$2:$EP$317),"")</f>
        <v>2358.344</v>
      </c>
      <c r="LX86" s="7">
        <f>IFERROR(AVERAGEIF('Данные 2st'!$Q$2:$Q$317,$A86,'Данные 2st'!$EQ$2:$EQ$317),"")</f>
        <v>47719.54</v>
      </c>
      <c r="LY86" s="7">
        <f>IFERROR(AVERAGEIF('Данные 2st'!$Q$2:$Q$317,$A86,'Данные 2st'!$ER$2:$ER$317),"")</f>
        <v>10932.484</v>
      </c>
      <c r="LZ86" s="7">
        <f>IFERROR(AVERAGEIF('Данные 2st'!$Q$2:$Q$317,$A86,'Данные 2st'!$ES$2:$ES$317),"")</f>
        <v>0</v>
      </c>
      <c r="MA86" s="7">
        <f>IFERROR(AVERAGEIF('Данные 2st'!$Q$2:$Q$317,$A86,'Данные 2st'!$ET$2:$ET$317),"")</f>
        <v>0</v>
      </c>
      <c r="MB86" s="7">
        <f>IFERROR(AVERAGEIF('Данные 2st'!$Q$2:$Q$317,$A86,'Данные 2st'!$EU$2:$EU$317),"")</f>
        <v>1</v>
      </c>
      <c r="MC86" s="7">
        <f>IFERROR(AVERAGEIF('Данные 2st'!$Q$2:$Q$317,$A86,'Данные 2st'!$EV$2:$EV$317),"")</f>
        <v>58652.6</v>
      </c>
      <c r="MD86" s="7">
        <f>IFERROR(AVERAGEIF('Данные 2st'!$Q$2:$Q$317,$A86,'Данные 2st'!$EW$2:$EW$317),"")</f>
        <v>704.4</v>
      </c>
      <c r="ME86" s="7">
        <f>IFERROR(AVERAGEIF('Данные 2st'!$Q$2:$Q$317,$A86,'Данные 2st'!$EY$2:$EY$317),"")</f>
        <v>266.4</v>
      </c>
      <c r="MF86" s="7">
        <f>IFERROR(AVERAGEIF('Данные 2st'!$Q$2:$Q$317,$A86,'Данные 2st'!$FA$2:$FA$317),"")</f>
        <v>5.38</v>
      </c>
      <c r="MG86" s="7">
        <f>IFERROR(AVERAGEIF('Данные 2st'!$Q$2:$Q$317,$A86,'Данные 2st'!$FB$2:$FB$317),"")</f>
        <v>1</v>
      </c>
      <c r="MH86" s="7">
        <f>IFERROR(AVERAGEIF('Данные 2st'!$Q$2:$Q$317,$A86,'Данные 2st'!$FC$2:$FC$317),"")</f>
        <v>1</v>
      </c>
      <c r="MI86" s="7">
        <f>IFERROR(AVERAGEIF('Данные 2st'!$Q$2:$Q$317,$A86,'Данные 2st'!$FD$2:$FD$317),"")</f>
        <v>2392.4</v>
      </c>
      <c r="MJ86" s="7">
        <f>IFERROR(AVERAGEIF('Данные 2st'!$Q$2:$Q$317,$A86,'Данные 2st'!$FE$2:$FE$317),"")</f>
        <v>3620.2</v>
      </c>
      <c r="MK86" s="7">
        <f>IFERROR(AVERAGEIF('Данные 2st'!$Q$2:$Q$317,$A86,'Данные 2st'!$FG$2:$FG$317),"")</f>
        <v>266.4</v>
      </c>
      <c r="ML86" s="7">
        <f>IFERROR(AVERAGEIF('Данные 2st'!$Q$2:$Q$317,$A86,'Данные 2st'!$FI$2:$FI$317),"")</f>
        <v>3.04</v>
      </c>
      <c r="MM86" s="7">
        <f>IFERROR(AVERAGEIF('Данные 2st'!$Q$2:$Q$317,$A86,'Данные 2st'!$FJ$2:$FJ$317),"")</f>
        <v>2392.4</v>
      </c>
      <c r="MN86" s="7">
        <f>IFERROR(AVERAGEIF('Данные 2st'!$Q$2:$Q$317,$A86,'Данные 2st'!$FK$2:$FK$317),"")</f>
        <v>2216.8</v>
      </c>
      <c r="MO86" s="7">
        <f>IFERROR(AVERAGEIF('Данные 2st'!$Q$2:$Q$317,$A86,'Данные 2st'!$FP$2:$FP$317),"")</f>
        <v>2392.4</v>
      </c>
      <c r="MP86" s="7">
        <f>IFERROR(AVERAGEIF('Данные 2st'!$Q$2:$Q$317,$A86,'Данные 2st'!$FQ$2:$FQ$317),"")</f>
        <v>247.2</v>
      </c>
      <c r="MQ86" s="7">
        <f>IFERROR(AVERAGEIF('Данные 2st'!$Q$2:$Q$317,$A86,'Данные 2st'!$FS$2:$FS$317),"")</f>
        <v>270.4</v>
      </c>
      <c r="MR86" s="7">
        <f>IFERROR(AVERAGEIF('Данные 2st'!$Q$2:$Q$317,$A86,'Данные 2st'!$FU$2:$FU$317),"")</f>
        <v>0.4</v>
      </c>
      <c r="MS86" s="7">
        <f>IFERROR(AVERAGEIF('Данные 2st'!$Q$2:$Q$317,$A86,'Данные 2st'!$FV$2:$FV$317),"")</f>
        <v>2392.4</v>
      </c>
      <c r="MT86" s="7">
        <f>IFERROR(AVERAGEIF('Данные 2st'!$Q$2:$Q$317,$A86,'Данные 2st'!$FW$2:$FW$317),"")</f>
        <v>258.2</v>
      </c>
      <c r="MU86" s="7">
        <f>IFERROR(AVERAGEIF('Данные 2st'!$Q$2:$Q$317,$A86,'Данные 2st'!$FY$2:$FY$317),"")</f>
        <v>5</v>
      </c>
      <c r="MV86" s="7">
        <f>IFERROR(AVERAGEIF('Данные 2st'!$Q$2:$Q$317,$A86,'Данные 2st'!$GB$2:$GB$317),"")</f>
        <v>2392.4</v>
      </c>
      <c r="MW86" s="7">
        <f>IFERROR(AVERAGEIF('Данные 2st'!$Q$2:$Q$317,$A86,'Данные 2st'!$GC$2:$GC$317),"")</f>
        <v>24</v>
      </c>
      <c r="MX86" s="7">
        <f>IFERROR(AVERAGEIF('Данные 2st'!$Q$2:$Q$317,$A86,'Данные 2st'!$GD$2:$GD$317),"")</f>
        <v>6366.4</v>
      </c>
      <c r="MY86" s="7">
        <f>IFERROR(AVERAGEIF('Данные 2st'!$Q$2:$Q$317,$A86,'Данные 2st'!$GN$2:$GN$317),"")</f>
        <v/>
      </c>
      <c r="MZ86" s="7">
        <f>IFERROR(AVERAGEIF('Данные 2st'!$Q$2:$Q$317,$A86,'Данные 2st'!$GQ$2:$GQ$317),"")</f>
        <v>0</v>
      </c>
      <c r="NA86" s="7">
        <f>IFERROR(AVERAGEIF('Данные 2st'!$Q$2:$Q$317,$A86,'Данные 2st'!$GV$2:$GV$317),"")</f>
        <v>8.82</v>
      </c>
      <c r="NB86" s="7">
        <f>IFERROR(AVERAGEIF('Данные 2st'!$Q$2:$Q$317,$A86,'Данные 2st'!$GW$2:$GW$317),"")</f>
        <v>10.32</v>
      </c>
      <c r="NC86" s="7">
        <f>IFERROR(AVERAGEIF('Данные 2st'!$Q$2:$Q$317,$A86,'Данные 2st'!$GX$2:$GX$317),"")</f>
        <v>0.5</v>
      </c>
      <c r="ND86" s="7">
        <f>IFERROR(AVERAGEIF('Данные 2st'!$Q$2:$Q$317,$A86,'Данные 2st'!$GY$2:$GY$317),"")</f>
        <v>226.4</v>
      </c>
      <c r="NE86" s="7">
        <f>IFERROR(AVERAGEIF('Данные 2st'!$Q$2:$Q$317,$A86,'Данные 2st'!$GZ$2:$GZ$317),"")</f>
        <v>3</v>
      </c>
      <c r="NF86" s="7">
        <f>IFERROR(AVERAGEIF('Данные 2st'!$Q$2:$Q$317,$A86,'Данные 2st'!$HA$2:$HA$317),"")</f>
        <v>291.2</v>
      </c>
      <c r="NG86" s="7">
        <f>IFERROR(AVERAGEIF('Данные 2st'!$Q$2:$Q$317,$A86,'Данные 2st'!$HB$2:$HB$317),"")</f>
        <v>3</v>
      </c>
      <c r="NH86" s="7">
        <f>IFERROR(AVERAGEIF('Данные 2st'!$Q$2:$Q$317,$A86,'Данные 2st'!$HC$2:$HC$317),"")</f>
        <v>2392.4</v>
      </c>
      <c r="NI86" s="7">
        <f>IFERROR(AVERAGEIF('Данные 2st'!$Q$2:$Q$317,$A86,'Данные 2st'!$HD$2:$HD$317),"")</f>
        <v>4</v>
      </c>
      <c r="NJ86" s="7">
        <f>IFERROR(AVERAGEIF('Данные 2st'!$Q$2:$Q$317,$A86,'Данные 2st'!$HM$2:$HM$317),"")</f>
        <v>18</v>
      </c>
      <c r="NK86" s="7">
        <f>IFERROR(AVERAGEIF('Данные 2st'!$Q$2:$Q$317,$A86,'Данные 2st'!$HR$2:$HR$317),"")</f>
        <v>3</v>
      </c>
      <c r="NL86" s="7">
        <f>IFERROR(AVERAGEIF('Данные 2st'!$Q$2:$Q$317,$A86,'Данные 2st'!$HS$2:$HS$317),"")</f>
        <v>2342</v>
      </c>
      <c r="NM86" s="7">
        <f>IFERROR(AVERAGEIF('Данные 2st'!$Q$2:$Q$317,$A86,'Данные 2st'!$HT$2:$HT$317),"")</f>
        <v>5</v>
      </c>
      <c r="NN86" s="7">
        <f>IFERROR(AVERAGEIF('Данные 2st'!$Q$2:$Q$317,$A86,'Данные 2st'!$HY$2:$HY$317),"")</f>
        <v>0</v>
      </c>
      <c r="NO86" s="7">
        <f>IFERROR(AVERAGEIF('Данные 2st'!$Q$2:$Q$317,$A86,'Данные 2st'!$HZ$2:$HZ$317),"")</f>
        <v>63.4</v>
      </c>
      <c r="NP86" s="7">
        <f>IFERROR(AVERAGEIF('Данные 2st'!$Q$2:$Q$317,$A86,'Данные 2st'!$IA$2:$IA$317),"")</f>
        <v>2346</v>
      </c>
      <c r="NQ86" s="7">
        <f>IFERROR(AVERAGEIF('Данные 2st'!$Q$2:$Q$317,$A86,'Данные 2st'!$IB$2:$IB$317),"")</f>
        <v>2359.4</v>
      </c>
      <c r="NR86" s="7">
        <f>IFERROR(AVERAGEIF('Данные 2st'!$Q$2:$Q$317,$A86,'Данные 2st'!$IC$2:$IC$317),"")</f>
        <v/>
      </c>
      <c r="NS86" s="7">
        <f>IFERROR(AVERAGEIF('Данные 2st'!$Q$2:$Q$317,$A86,'Данные 2st'!$ID$2:$ID$317),"")</f>
        <v>2392.4</v>
      </c>
      <c r="NT86" s="7">
        <f>IFERROR(AVERAGEIF('Данные 2st'!$Q$2:$Q$317,$A86,'Данные 2st'!$IE$2:$IE$317),"")</f>
        <v>2392.4</v>
      </c>
      <c r="NU86" s="7">
        <f>IFERROR(AVERAGEIF('Данные 2st'!$Q$2:$Q$317,$A86,'Данные 2st'!$IF$2:$IF$317),"")</f>
        <v>241</v>
      </c>
      <c r="NV86" s="7">
        <f>IFERROR(AVERAGEIF('Данные 2st'!$Q$2:$Q$317,$A86,'Данные 2st'!$IG$2:$IG$317),"")</f>
        <v>230</v>
      </c>
      <c r="NW86" s="7">
        <f>IFERROR(AVERAGEIF('Данные 2st'!$Q$2:$Q$317,$A86,'Данные 2st'!$IH$2:$IH$317),"")</f>
        <v>291.2</v>
      </c>
      <c r="NX86" s="7">
        <f>IFERROR(AVERAGEIF('Данные 2st'!$Q$2:$Q$317,$A86,'Данные 2st'!$IJ$2:$IJ$317),"")</f>
        <v>5</v>
      </c>
      <c r="NY86" s="7">
        <f>IFERROR(AVERAGEIF('Данные 2st'!$Q$2:$Q$317,$A86,'Данные 2st'!$IM$2:$IM$317),"")</f>
        <v>0</v>
      </c>
      <c r="NZ86" s="7">
        <f>IFERROR(AVERAGEIF('Данные 2st'!$Q$2:$Q$317,$A86,'Данные 2st'!$IN$2:$IN$317),"")</f>
        <v>194</v>
      </c>
      <c r="OA86" s="7">
        <f>IFERROR(AVERAGEIF('Данные 2st'!$Q$2:$Q$317,$A86,'Данные 2st'!$IO$2:$IO$317),"")</f>
        <v>0</v>
      </c>
      <c r="OB86" s="7">
        <f>IFERROR(AVERAGEIF('Данные 2st'!$Q$2:$Q$317,$A86,'Данные 2st'!$IP$2:$IP$317),"")</f>
        <v>180</v>
      </c>
      <c r="OC86" s="7">
        <f>IFERROR(AVERAGEIF('Данные 2st'!$Q$2:$Q$317,$A86,'Данные 2st'!$IQ$2:$IQ$317),"")</f>
        <v>0</v>
      </c>
      <c r="OD86" s="7">
        <f>IFERROR(AVERAGEIF('Данные 2st'!$Q$2:$Q$317,$A86,'Данные 2st'!$IR$2:$IR$317),"")</f>
        <v>330</v>
      </c>
      <c r="OE86" s="7">
        <f>IFERROR(AVERAGEIF('Данные 2st'!$Q$2:$Q$317,$A86,'Данные 2st'!$IT$2:$IT$317),"")</f>
        <v>94</v>
      </c>
      <c r="OF86" s="7">
        <f>IFERROR(AVERAGEIF('Данные 2st'!$Q$2:$Q$317,$A86,'Данные 2st'!$IU$2:$IU$317),"")</f>
        <v>0</v>
      </c>
      <c r="OG86" s="7">
        <f>IFERROR(AVERAGEIF('Данные 2st'!$Q$2:$Q$317,$A86,'Данные 2st'!$IV$2:$IV$317),"")</f>
        <v>6.4</v>
      </c>
      <c r="OH86" s="7">
        <f>IFERROR(AVERAGEIF('Данные 2st'!$Q$2:$Q$317,$A86,'Данные 2st'!$IW$2:$IW$317),"")</f>
        <v>-6</v>
      </c>
      <c r="OI86" s="7">
        <f>IFERROR(AVERAGEIF('Данные 2st'!$Q$2:$Q$317,$A86,'Данные 2st'!$IX$2:$IX$317),"")</f>
        <v>123.5</v>
      </c>
      <c r="OJ86" s="7">
        <f>IFERROR(AVERAGEIF('Данные 2st'!$Q$2:$Q$317,$A86,'Данные 2st'!$IY$2:$IY$317),"")</f>
        <v>93.9</v>
      </c>
      <c r="OK86" s="7">
        <f>IFERROR(AVERAGEIF('Данные 2st'!$Q$2:$Q$317,$A86,'Данные 2st'!$IZ$2:$IZ$317),"")</f>
        <v>0</v>
      </c>
      <c r="OL86" s="7">
        <f>IFERROR(AVERAGEIF('Данные 2st'!$Q$2:$Q$317,$A86,'Данные 2st'!$JA$2:$JA$317),"")</f>
        <v>0</v>
      </c>
      <c r="OM86" s="7">
        <f>IFERROR(AVERAGEIF('Данные 2st'!$Q$2:$Q$317,$A86,'Данные 2st'!$JB$2:$JB$317),"")</f>
        <v>0</v>
      </c>
      <c r="ON86" s="7">
        <f>IFERROR(AVERAGEIF('Данные 2st'!$Q$2:$Q$317,$A86,'Данные 2st'!$JC$2:$JC$317),"")</f>
        <v>0</v>
      </c>
      <c r="OO86" s="7">
        <f>IFERROR(AVERAGEIF('Данные 2st'!$Q$2:$Q$317,$A86,'Данные 2st'!$JD$2:$JD$317),"")</f>
        <v>0</v>
      </c>
      <c r="OP86" s="7">
        <f>IFERROR(AVERAGEIF('Данные 2st'!$Q$2:$Q$317,$A86,'Данные 2st'!$JE$2:$JE$317),"")</f>
        <v>0</v>
      </c>
      <c r="OQ86" s="7">
        <f>IFERROR(AVERAGEIF('Данные 2st'!$Q$2:$Q$317,$A86,'Данные 2st'!$JF$2:$JF$317),"")</f>
        <v>0</v>
      </c>
      <c r="OR86" s="7">
        <f>IFERROR(AVERAGEIF('Данные 2st'!$Q$2:$Q$317,$A86,'Данные 2st'!$JG$2:$JG$317),"")</f>
        <v>0</v>
      </c>
      <c r="OS86" s="7">
        <f>IFERROR(AVERAGEIF('Данные 2st'!$Q$2:$Q$317,$A86,'Данные 2st'!$JH$2:$JH$317),"")</f>
        <v>0</v>
      </c>
      <c r="OT86" s="7">
        <f>IFERROR(AVERAGEIF('Данные 2st'!$Q$2:$Q$317,$A86,'Данные 2st'!$JI$2:$JI$317),"")</f>
        <v>523.6</v>
      </c>
      <c r="OU86" s="7">
        <f>IFERROR(AVERAGEIF('Данные 2st'!$Q$2:$Q$317,$A86,'Данные 2st'!$JJ$2:$JJ$317),"")</f>
        <v>497.6</v>
      </c>
      <c r="OV86" s="7">
        <f>IFERROR(AVERAGEIF('Данные 2st'!$Q$2:$Q$317,$A86,'Данные 2st'!$JK$2:$JK$317),"")</f>
        <v>357</v>
      </c>
      <c r="OW86" s="7">
        <f>IFERROR(AVERAGEIF('Данные 2st'!$Q$2:$Q$317,$A86,'Данные 2st'!$JL$2:$JL$317),"")</f>
        <v>496</v>
      </c>
      <c r="OX86" s="7">
        <f>IFERROR(AVERAGEIF('Данные 2st'!$Q$2:$Q$317,$A86,'Данные 2st'!$JM$2:$JM$317),"")</f>
        <v>366.8</v>
      </c>
      <c r="OY86" s="7">
        <f>IFERROR(AVERAGEIF('Данные 2st'!$Q$2:$Q$317,$A86,'Данные 2st'!$JP$2:$JP$317),"")</f>
        <v>182</v>
      </c>
      <c r="OZ86" s="7">
        <f>IFERROR(AVERAGEIF('Данные 2st'!$Q$2:$Q$317,$A86,'Данные 2st'!$JQ$2:$JQ$317),"")</f>
        <v>237</v>
      </c>
      <c r="PA86" s="7">
        <f>IFERROR(AVERAGEIF('Данные 2st'!$Q$2:$Q$317,$A86,'Данные 2st'!$JR$2:$JR$317),"")</f>
        <v>347</v>
      </c>
      <c r="PB86" s="7">
        <f>IFERROR(AVERAGEIF('Данные 2st'!$Q$2:$Q$317,$A86,'Данные 2st'!$JS$2:$JS$317),"")</f>
        <v>200</v>
      </c>
      <c r="PC86" s="7">
        <f>IFERROR(AVERAGEIF('Данные 2st'!$Q$2:$Q$317,$A86,'Данные 2st'!$JT$2:$JT$317),"")</f>
        <v>0</v>
      </c>
      <c r="PD86" s="7">
        <f>IFERROR(AVERAGEIF('Данные 2st'!$Q$2:$Q$317,$A86,'Данные 2st'!$JU$2:$JU$317),"")</f>
        <v>0</v>
      </c>
      <c r="PE86" s="7">
        <f>IFERROR(AVERAGEIF('Данные 2st'!$Q$2:$Q$317,$A86,'Данные 2st'!$JV$2:$JV$317),"")</f>
        <v>305</v>
      </c>
      <c r="PF86" s="7">
        <f>IFERROR(AVERAGEIF('Данные 2st'!$Q$2:$Q$317,$A86,'Данные 2st'!$JW$2:$JW$317),"")</f>
        <v>307</v>
      </c>
      <c r="PG86" s="7">
        <f>IFERROR(AVERAGEIF('Данные 2st'!$Q$2:$Q$317,$A86,'Данные 2st'!$KF$2:$KF$317),"")</f>
        <v>0.184</v>
      </c>
      <c r="PH86" s="7">
        <f>IFERROR(AVERAGEIF('Данные 2st'!$Q$2:$Q$317,$A86,'Данные 2st'!$KG$2:$KG$317),"")</f>
        <v>0.114</v>
      </c>
      <c r="PI86" s="7">
        <f>IFERROR(AVERAGEIF('Данные 2st'!$Q$2:$Q$317,$A86,'Данные 2st'!$KM$2:$KM$317),"")</f>
        <v>0</v>
      </c>
      <c r="PJ86" s="7">
        <f>IFERROR(AVERAGEIF('Данные 2st'!$Q$2:$Q$317,$A86,'Данные 2st'!$KN$2:$KN$317),"")</f>
        <v>2.2399999999999998</v>
      </c>
      <c r="PK86" s="7">
        <f>IFERROR(AVERAGEIF('Данные 2st'!$Q$2:$Q$317,$A86,'Данные 2st'!$KO$2:$KO$317),"")</f>
        <v>0</v>
      </c>
      <c r="PL86" s="7">
        <f>IFERROR(AVERAGEIF('Данные 2st'!$Q$2:$Q$317,$A86,'Данные 2st'!$KP$2:$KP$317),"")</f>
        <v>0</v>
      </c>
      <c r="PM86" s="7">
        <f>IFERROR(AVERAGEIF('Данные 2st'!$Q$2:$Q$317,$A86,'Данные 2st'!$KQ$2:$KQ$317),"")</f>
        <v>0.98</v>
      </c>
      <c r="PN86" s="7">
        <f>IFERROR(AVERAGEIF('Данные 2st'!$Q$2:$Q$317,$A86,'Данные 2st'!$KR$2:$KR$317),"")</f>
        <v>1.02</v>
      </c>
      <c r="PO86" s="7">
        <f>IFERROR(AVERAGEIF('Данные 2st'!$Q$2:$Q$317,$A86,'Данные 2st'!$KS$2:$KS$317),"")</f>
        <v>0</v>
      </c>
      <c r="PP86" s="7">
        <f>IFERROR(AVERAGEIF('Данные 2st'!$Q$2:$Q$317,$A86,'Данные 2st'!$KT$2:$KT$317),"")</f>
        <v>3.42</v>
      </c>
      <c r="PQ86" s="7">
        <f>IFERROR(AVERAGEIF('Данные 2st'!$Q$2:$Q$317,$A86,'Данные 2st'!$KU$2:$KU$317),"")</f>
        <v>0</v>
      </c>
      <c r="PR86" s="7">
        <f>IFERROR(AVERAGEIF('Данные 2st'!$Q$2:$Q$317,$A86,'Данные 2st'!$KV$2:$KV$317),"")</f>
        <v>0</v>
      </c>
      <c r="PS86" s="7">
        <f>IFERROR(AVERAGEIF('Данные 2st'!$Q$2:$Q$317,$A86,'Данные 2st'!$KW$2:$KW$317),"")</f>
        <v>1</v>
      </c>
      <c r="PT86" s="7">
        <f>IFERROR(AVERAGEIF('Данные 2st'!$Q$2:$Q$317,$A86,'Данные 2st'!$KX$2:$KX$317),"")</f>
        <v>2</v>
      </c>
      <c r="PU86" s="7">
        <f>IFERROR(AVERAGEIF('Данные 2st'!$Q$2:$Q$317,$A86,'Данные 2st'!$KY$2:$KY$317),"")</f>
        <v>0</v>
      </c>
      <c r="PV86" s="7">
        <f>IFERROR(AVERAGEIF('Данные 2st'!$Q$2:$Q$317,$A86,'Данные 2st'!$KZ$2:$KZ$317),"")</f>
        <v>0</v>
      </c>
      <c r="PW86" s="7">
        <f>IFERROR(AVERAGEIF('Данные 2st'!$Q$2:$Q$317,$A86,'Данные 2st'!$LA$2:$LA$317),"")</f>
        <v>0</v>
      </c>
      <c r="PX86" s="7">
        <f>IFERROR(AVERAGEIF('Данные 2st'!$Q$2:$Q$317,$A86,'Данные 2st'!$LB$2:$LB$317),"")</f>
        <v>0</v>
      </c>
      <c r="PY86" s="7">
        <f>IFERROR(AVERAGEIF('Данные 2st'!$Q$2:$Q$317,$A86,'Данные 2st'!$LC$2:$LC$317),"")</f>
        <v>0</v>
      </c>
      <c r="PZ86" s="7">
        <f>IFERROR(AVERAGEIF('Данные 2st'!$Q$2:$Q$317,$A86,'Данные 2st'!$LD$2:$LD$317),"")</f>
        <v>0</v>
      </c>
      <c r="QA86" s="7">
        <f>IFERROR(AVERAGEIF('Данные 2st'!$Q$2:$Q$317,$A86,'Данные 2st'!$LE$2:$LE$317),"")</f>
        <v>0</v>
      </c>
      <c r="QB86" s="7">
        <f>IFERROR(AVERAGEIF('Данные 2st'!$Q$2:$Q$317,$A86,'Данные 2st'!$LF$2:$LF$317),"")</f>
        <v>0</v>
      </c>
      <c r="QC86" s="7">
        <f>IFERROR(AVERAGEIF('Данные 2st'!$Q$2:$Q$317,$A86,'Данные 2st'!$LG$2:$LG$317),"")</f>
        <v>0</v>
      </c>
      <c r="QD86" s="7">
        <f>IFERROR(AVERAGEIF('Данные 2st'!$Q$2:$Q$317,$A86,'Данные 2st'!$LH$2:$LH$317),"")</f>
        <v>3</v>
      </c>
      <c r="QE86" s="7">
        <f>IFERROR(AVERAGEIF('Данные 2st'!$Q$2:$Q$317,$A86,'Данные 2st'!$LJ$2:$LJ$317),"")</f>
        <v>0</v>
      </c>
      <c r="QF86" s="7">
        <f>IFERROR(AVERAGEIF('Данные 2st'!$Q$2:$Q$317,$A86,'Данные 2st'!$LK$2:$LK$317),"")</f>
        <v>15.2</v>
      </c>
      <c r="QG86" s="7">
        <f>IFERROR(AVERAGEIF('Данные 2st'!$Q$2:$Q$317,$A86,'Данные 2st'!$LL$2:$LL$317),"")</f>
        <v>12.6</v>
      </c>
      <c r="QH86" s="7">
        <f>IFERROR(AVERAGEIF('Данные 2st'!$Q$2:$Q$317,$A86,'Данные 2st'!$LM$2:$LM$317),"")</f>
        <v>15.8</v>
      </c>
      <c r="QI86" s="7">
        <f>IFERROR(AVERAGEIF('Данные 2st'!$Q$2:$Q$317,$A86,'Данные 2st'!$LN$2:$LN$317),"")</f>
        <v>0.2</v>
      </c>
      <c r="QJ86" s="7">
        <f>IFERROR(AVERAGEIF('Данные 2st'!$Q$2:$Q$317,$A86,'Данные 2st'!$LO$2:$LO$317),"")</f>
        <v>3.3</v>
      </c>
      <c r="QK86" s="7">
        <f>IFERROR(AVERAGEIF('Данные 2st'!$Q$2:$Q$317,$A86,'Данные 2st'!$LP$2:$LP$317),"")</f>
        <v>0</v>
      </c>
      <c r="QL86" s="7">
        <f>IFERROR(AVERAGEIF('Данные 2st'!$Q$2:$Q$317,$A86,'Данные 2st'!$LQ$2:$LQ$317),"")</f>
        <v>0</v>
      </c>
      <c r="QM86" s="7">
        <f>IFERROR(AVERAGEIF('Данные 2st'!$Q$2:$Q$317,$A86,'Данные 2st'!$LW$2:$LW$317),"")</f>
        <v>2.8</v>
      </c>
      <c r="QN86" s="7">
        <f>IFERROR(AVERAGEIF('Данные 2st'!$Q$2:$Q$317,$A86,'Данные 2st'!$LX$2:$LX$317),"")</f>
        <v>2.8</v>
      </c>
      <c r="QO86" s="7">
        <f>IFERROR(AVERAGEIF('Данные 2st'!$Q$2:$Q$317,$A86,'Данные 2st'!$LY$2:$LY$317),"")</f>
        <v>2.56</v>
      </c>
      <c r="QP86" s="7">
        <f>IFERROR(AVERAGEIF('Данные 2st'!$Q$2:$Q$317,$A86,'Данные 2st'!$LZ$2:$LZ$317),"")</f>
        <v>2.56</v>
      </c>
      <c r="QQ86" s="7">
        <f>IFERROR(AVERAGEIF('Данные 2st'!$Q$2:$Q$317,$A86,'Данные 2st'!$MB$2:$MB$317),"")</f>
        <v>7.8</v>
      </c>
      <c r="QR86" s="7">
        <f>IFERROR(AVERAGEIF('Данные 2st'!$Q$2:$Q$317,$A86,'Данные 2st'!$MG$2:$MG$317),"")</f>
        <v>0</v>
      </c>
      <c r="QS86" s="7">
        <f>IFERROR(AVERAGEIF('Данные 2st'!$Q$2:$Q$317,$A86,'Данные 2st'!$MH$2:$MH$317),"")</f>
        <v>0</v>
      </c>
      <c r="QT86" s="7">
        <f>IFERROR(AVERAGEIF('Данные 2st'!$Q$2:$Q$317,$A86,'Данные 2st'!$MI$2:$MI$317),"")</f>
        <v>0</v>
      </c>
      <c r="QU86" s="7">
        <f>IFERROR(AVERAGEIF('Данные 2st'!$Q$2:$Q$317,$A86,'Данные 2st'!$MJ$2:$MJ$317),"")</f>
        <v>0</v>
      </c>
      <c r="QV86" s="7">
        <f>IFERROR(AVERAGEIF('Данные 2st'!$Q$2:$Q$317,$A86,'Данные 2st'!$MK$2:$MK$317),"")</f>
        <v>0</v>
      </c>
      <c r="QW86" s="7">
        <f>IFERROR(AVERAGEIF('Данные 2st'!$Q$2:$Q$317,$A86,'Данные 2st'!$MM$2:$MM$317),"")</f>
        <v>521</v>
      </c>
      <c r="QX86" s="7">
        <f>IFERROR(AVERAGEIF('Данные 2st'!$Q$2:$Q$317,$A86,'Данные 2st'!$MQ$2:$MQ$317),"")</f>
        <v/>
      </c>
      <c r="QY86" s="7">
        <f>IFERROR(AVERAGEIF('Данные 2st'!$Q$2:$Q$317,$A86,'Данные 2st'!$MR$2:$MR$317),"")</f>
        <v/>
      </c>
      <c r="QZ86" s="7">
        <f>IFERROR(AVERAGEIF('Данные 2st'!$Q$2:$Q$317,$A86,'Данные 2st'!$MS$2:$MS$317),"")</f>
        <v/>
      </c>
      <c r="RA86" s="7">
        <f>IFERROR(AVERAGEIF('Данные 2st'!$Q$2:$Q$317,$A86,'Данные 2st'!$MT$2:$MT$317),"")</f>
        <v/>
      </c>
      <c r="RB86" s="7">
        <f>IFERROR(AVERAGEIF('Данные 2st'!$Q$2:$Q$317,$A86,'Данные 2st'!$MU$2:$MU$317),"")</f>
        <v/>
      </c>
      <c r="RC86" s="7">
        <f>IFERROR(AVERAGEIF('Данные 2st'!$Q$2:$Q$317,$A86,'Данные 2st'!$MV$2:$MV$317),"")</f>
        <v/>
      </c>
      <c r="RD86" s="7">
        <f>IFERROR(AVERAGEIF('Данные 2st'!$Q$2:$Q$317,$A86,'Данные 2st'!$MW$2:$MW$317),"")</f>
        <v/>
      </c>
      <c r="RE86" s="7">
        <f>IFERROR(AVERAGEIF('Данные 2st'!$Q$2:$Q$317,$A86,'Данные 2st'!$MX$2:$MX$317),"")</f>
        <v/>
      </c>
      <c r="RF86" s="7">
        <f>IFERROR(AVERAGEIF('Данные 2st'!$Q$2:$Q$317,$A86,'Данные 2st'!$MY$2:$MY$317),"")</f>
        <v/>
      </c>
      <c r="RG86" s="7">
        <f>IFERROR(AVERAGEIF('Данные 2st'!$Q$2:$Q$317,$A86,'Данные 2st'!$MZ$2:$MZ$317),"")</f>
        <v/>
      </c>
      <c r="RH86" s="7">
        <f>IFERROR(AVERAGEIF('Данные 2st'!$Q$2:$Q$317,$A86,'Данные 2st'!$NA$2:$NA$317),"")</f>
        <v/>
      </c>
      <c r="RI86" s="7">
        <f>IFERROR(AVERAGEIF('Данные 2st'!$Q$2:$Q$317,$A86,'Данные 2st'!$NB$2:$NB$317),"")</f>
        <v/>
      </c>
      <c r="RJ86" s="7">
        <f>IFERROR(AVERAGEIF('Данные 2st'!$Q$2:$Q$317,$A86,'Данные 2st'!$NC$2:$NC$317),"")</f>
        <v/>
      </c>
      <c r="RK86" s="7">
        <f>IFERROR(AVERAGEIF('Данные 2st'!$Q$2:$Q$317,$A86,'Данные 2st'!$ND$2:$ND$317),"")</f>
        <v/>
      </c>
      <c r="RL86" s="7">
        <f>IFERROR(AVERAGEIF('Данные 2st'!$Q$2:$Q$317,$A86,'Данные 2st'!$NE$2:$NE$317),"")</f>
        <v/>
      </c>
      <c r="RM86" s="7">
        <f>IFERROR(AVERAGEIF('Данные 2st'!$Q$2:$Q$317,$A86,'Данные 2st'!$NF$2:$NF$317),"")</f>
        <v/>
      </c>
      <c r="RN86" s="7">
        <f>IFERROR(AVERAGEIF('Данные 2st'!$Q$2:$Q$317,$A86,'Данные 2st'!$NG$2:$NG$317),"")</f>
        <v/>
      </c>
      <c r="RO86" s="7">
        <f>IFERROR(AVERAGEIF('Данные 2st'!$Q$2:$Q$317,$A86,'Данные 2st'!$NH$2:$NH$317),"")</f>
        <v/>
      </c>
      <c r="RP86" s="7">
        <f>IFERROR(AVERAGEIF('Данные 2st'!$Q$2:$Q$317,$A86,'Данные 2st'!$NJ$2:$NJ$317),"")</f>
        <v/>
      </c>
      <c r="RQ86" s="7">
        <f>IFERROR(AVERAGEIF('Данные 2st'!$Q$2:$Q$317,$A86,'Данные 2st'!$NK$2:$NK$317),"")</f>
        <v/>
      </c>
      <c r="RR86" s="7">
        <f>IFERROR(AVERAGEIF('Данные 2st'!$Q$2:$Q$317,$A86,'Данные 2st'!$NM$2:$NM$317),"")</f>
        <v/>
      </c>
      <c r="RS86" s="7">
        <f>IFERROR(AVERAGEIF('Данные 2st'!$Q$2:$Q$317,$A86,'Данные 2st'!$NN$2:$NN$317),"")</f>
        <v/>
      </c>
      <c r="RT86" s="7">
        <f>IFERROR(AVERAGEIF('Данные 2st'!$Q$2:$Q$317,$A86,'Данные 2st'!$NO$2:$NO$317),"")</f>
        <v/>
      </c>
      <c r="RU86" s="7">
        <f>IFERROR(AVERAGEIF('Данные 2st'!$Q$2:$Q$317,$A86,'Данные 2st'!$NP$2:$NP$317),"")</f>
        <v/>
      </c>
      <c r="RV86" s="7">
        <f>IFERROR(AVERAGEIF('Данные 2st'!$Q$2:$Q$317,$A86,'Данные 2st'!$NQ$2:$NQ$317),"")</f>
        <v/>
      </c>
      <c r="RW86" s="7">
        <f>IFERROR(AVERAGEIF('Данные 2st'!$Q$2:$Q$317,$A86,'Данные 2st'!$NR$2:$NR$317),"")</f>
        <v/>
      </c>
      <c r="RX86" s="7">
        <f>IFERROR(AVERAGEIF('Данные 2st'!$Q$2:$Q$317,$A86,'Данные 2st'!$NS$2:$NS$317),"")</f>
        <v/>
      </c>
      <c r="RY86" s="7">
        <f>IFERROR(AVERAGEIF('Данные 2st'!$Q$2:$Q$317,$A86,'Данные 2st'!$NT$2:$NT$317),"")</f>
        <v/>
      </c>
      <c r="RZ86" s="7">
        <f>IFERROR(AVERAGEIF('Данные 2st'!$Q$2:$Q$317,$A86,'Данные 2st'!$OK$2:$OK$317),"")</f>
        <v>61</v>
      </c>
      <c r="SA86" s="7">
        <f>IFERROR(AVERAGEIF('Данные 2st'!$Q$2:$Q$317,$A86,'Данные 2st'!$OL$2:$OL$317),"")</f>
        <v>61</v>
      </c>
      <c r="SB86" s="7">
        <f>IFERROR(AVERAGEIF('Данные 2st'!$Q$2:$Q$317,$A86,'Данные 2st'!$ON$2:$ON$317),"")</f>
        <v>1</v>
      </c>
      <c r="SC86" s="7">
        <f>IFERROR(AVERAGEIF('Данные 2st'!$Q$2:$Q$317,$A86,'Данные 2st'!$OO$2:$OO$317),"")</f>
        <v>2346</v>
      </c>
      <c r="SD86" s="7">
        <f>IFERROR(AVERAGEIF('Данные 2st'!$Q$2:$Q$317,$A86,'Данные 2st'!$OP$2:$OP$317),"")</f>
        <v>61</v>
      </c>
      <c r="SE86" s="7">
        <f>IFERROR(AVERAGEIF('Данные 2st'!$Q$2:$Q$317,$A86,'Данные 2st'!$OQ$2:$OQ$317),"")</f>
        <v>61</v>
      </c>
      <c r="SF86" s="7">
        <f>IFERROR(AVERAGEIF('Данные 2st'!$Q$2:$Q$317,$A86,'Данные 2st'!$OS$2:$OS$317),"")</f>
        <v>1</v>
      </c>
      <c r="SG86" s="7">
        <f>IFERROR(AVERAGEIF('Данные 2st'!$Q$2:$Q$317,$A86,'Данные 2st'!$OT$2:$OT$317),"")</f>
        <v>2359.4</v>
      </c>
      <c r="SH86" s="7">
        <f>IFERROR(AVERAGEIF('Данные 2st'!$Q$2:$Q$317,$A86,'Данные 2st'!$OU$2:$OU$317),"")</f>
        <v>65</v>
      </c>
      <c r="SI86" s="7">
        <f>IFERROR(AVERAGEIF('Данные 2st'!$Q$2:$Q$317,$A86,'Данные 2st'!$OV$2:$OV$317),"")</f>
        <v>65</v>
      </c>
      <c r="SJ86" s="7">
        <f>IFERROR(AVERAGEIF('Данные 2st'!$Q$2:$Q$317,$A86,'Данные 2st'!$OX$2:$OX$317),"")</f>
        <v>1.6</v>
      </c>
      <c r="SK86" s="7">
        <f>IFERROR(AVERAGEIF('Данные 2st'!$Q$2:$Q$317,$A86,'Данные 2st'!$OY$2:$OY$317),"")</f>
        <v>58652.6</v>
      </c>
      <c r="SL86" s="7">
        <f>IFERROR(AVERAGEIF('Данные 2st'!$Q$2:$Q$317,$A86,'Данные 2st'!$OZ$2:$OZ$317),"")</f>
        <v>51</v>
      </c>
      <c r="SM86" s="7">
        <f>IFERROR(AVERAGEIF('Данные 2st'!$Q$2:$Q$317,$A86,'Данные 2st'!$PA$2:$PA$317),"")</f>
        <v>51.6</v>
      </c>
      <c r="SN86" s="7">
        <f>IFERROR(AVERAGEIF('Данные 2st'!$Q$2:$Q$317,$A86,'Данные 2st'!$PC$2:$PC$317),"")</f>
        <v>1.4</v>
      </c>
      <c r="SO86" s="7">
        <f>IFERROR(AVERAGEIF('Данные 2st'!$Q$2:$Q$317,$A86,'Данные 2st'!$PD$2:$PD$317),"")</f>
        <v>2392.4</v>
      </c>
      <c r="SP86" s="7">
        <f>IFERROR(AVERAGEIF('Данные 2st'!$Q$2:$Q$317,$A86,'Данные 2st'!$PF$2:$PF$317),"")</f>
        <v>591.8</v>
      </c>
      <c r="SQ86" s="7">
        <f>IFERROR(AVERAGEIF('Данные 2st'!$Q$2:$Q$317,$A86,'Данные 2st'!$PG$2:$PG$317),"")</f>
        <v>35</v>
      </c>
      <c r="SR86" s="7">
        <f>IFERROR(AVERAGEIF('Данные 2st'!$Q$2:$Q$317,$A86,'Данные 2st'!$PH$2:$PH$317),"")</f>
        <v>564.6</v>
      </c>
      <c r="SS86" s="7">
        <f>IFERROR(AVERAGEIF('Данные 2st'!$Q$2:$Q$317,$A86,'Данные 2st'!$PI$2:$PI$317),"")</f>
        <v>0</v>
      </c>
      <c r="ST86" s="7">
        <f>IFERROR(AVERAGEIF('Данные 2st'!$Q$2:$Q$317,$A86,'Данные 2st'!$PJ$2:$PJ$317),"")</f>
        <v>103.46</v>
      </c>
      <c r="SU86" s="7">
        <f>IFERROR(AVERAGEIF('Данные 2st'!$Q$2:$Q$317,$A86,'Данные 2st'!$PK$2:$PK$317),"")</f>
        <v>2421.75</v>
      </c>
      <c r="SV86" s="7">
        <f>IFERROR(AVERAGEIF('Данные 2st'!$Q$2:$Q$317,$A86,'Данные 2st'!$PL$2:$PL$317),"")</f>
        <v>1513.1399999999999</v>
      </c>
      <c r="SW86" s="7">
        <f>IFERROR(AVERAGEIF('Данные 2st'!$Q$2:$Q$317,$A86,'Данные 2st'!$PM$2:$PM$317),"")</f>
        <v>926.26</v>
      </c>
      <c r="SX86" s="7">
        <f>IFERROR(AVERAGEIF('Данные 2st'!$Q$2:$Q$317,$A86,'Данные 2st'!$PN$2:$PN$317),"")</f>
        <v>107.86</v>
      </c>
      <c r="SY86" s="7">
        <f>IFERROR(AVERAGEIF('Данные 2st'!$Q$2:$Q$317,$A86,'Данные 2st'!$PO$2:$PO$317),"")</f>
        <v>10.08</v>
      </c>
      <c r="SZ86" s="7">
        <f>IFERROR(AVERAGEIF('Данные 2st'!$Q$2:$Q$317,$A86,'Данные 2st'!$PP$2:$PP$317),"")</f>
        <v>12</v>
      </c>
      <c r="TA86" s="7">
        <f>IFERROR(AVERAGEIF('Данные 2st'!$Q$2:$Q$317,$A86,'Данные 2st'!$PQ$2:$PQ$317),"")</f>
        <v>4.8</v>
      </c>
      <c r="TB86" s="7">
        <f>IFERROR(AVERAGEIF('Данные 2st'!$Q$2:$Q$317,$A86,'Данные 2st'!$PR$2:$PR$317),"")</f>
        <v>6</v>
      </c>
      <c r="TC86" s="7">
        <f>IFERROR(AVERAGEIF('Данные 2st'!$Q$2:$Q$317,$A86,'Данные 2st'!$PS$2:$PS$317),"")</f>
        <v>0</v>
      </c>
      <c r="TD86" s="7">
        <f>IFERROR(AVERAGEIF('Данные 2st'!$Q$2:$Q$317,$A86,'Данные 2st'!$PT$2:$PT$317),"")</f>
        <v>291.2</v>
      </c>
      <c r="TE86" s="7">
        <f>IFERROR(AVERAGEIF('Данные 2st'!$Q$2:$Q$317,$A86,'Данные 2st'!$PU$2:$PU$317),"")</f>
        <v>12.4</v>
      </c>
      <c r="TF86" s="7">
        <f>IFERROR(AVERAGEIF('Данные 2st'!$Q$2:$Q$317,$A86,'Данные 2st'!$PX$2:$PX$317),"")</f>
        <v>0</v>
      </c>
      <c r="TG86" s="7">
        <f>IFERROR(AVERAGEIF('Данные 2st'!$Q$2:$Q$317,$A86,'Данные 2st'!$PY$2:$PY$317),"")</f>
        <v>0</v>
      </c>
      <c r="TH86" s="7">
        <f>IFERROR(AVERAGEIF('Данные 2st'!$Q$2:$Q$317,$A86,'Данные 2st'!$PZ$2:$PZ$317),"")</f>
        <v>0</v>
      </c>
      <c r="TI86" s="7">
        <f>IFERROR(AVERAGEIF('Данные 2st'!$Q$2:$Q$317,$A86,'Данные 2st'!$QA$2:$QA$317),"")</f>
        <v>0</v>
      </c>
      <c r="TJ86" s="7">
        <f>IFERROR(AVERAGEIF('Данные 2st'!$Q$2:$Q$317,$A86,'Данные 2st'!$QB$2:$QB$317),"")</f>
        <v>0</v>
      </c>
      <c r="TK86" s="7">
        <f>IFERROR(AVERAGEIF('Данные 2st'!$Q$2:$Q$317,$A86,'Данные 2st'!$QC$2:$QC$317),"")</f>
        <v>0</v>
      </c>
      <c r="TL86" s="7">
        <f>IFERROR(AVERAGEIF('Данные 2st'!$Q$2:$Q$317,$A86,'Данные 2st'!$QD$2:$QD$317),"")</f>
        <v>0</v>
      </c>
      <c r="TM86" s="7">
        <f>IFERROR(AVERAGEIF('Данные 2st'!$Q$2:$Q$317,$A86,'Данные 2st'!$QE$2:$QE$317),"")</f>
        <v>-1</v>
      </c>
      <c r="TN86" s="7">
        <f>IFERROR(AVERAGEIF('Данные 2st'!$Q$2:$Q$317,$A86,'Данные 2st'!$QF$2:$QF$317),"")</f>
        <v>1</v>
      </c>
      <c r="TO86" s="7">
        <f>IFERROR(AVERAGEIF('Данные 2st'!$Q$2:$Q$317,$A86,'Данные 2st'!$QG$2:$QG$317),"")</f>
        <v>0</v>
      </c>
      <c r="TP86" s="7">
        <f>IFERROR(AVERAGEIF('Данные 2st'!$Q$2:$Q$317,$A86,'Данные 2st'!$QH$2:$QH$317),"")</f>
        <v>5</v>
      </c>
      <c r="TQ86" s="7">
        <f>IFERROR(AVERAGEIF('Данные 2st'!$Q$2:$Q$317,$A86,'Данные 2st'!$QI$2:$QI$317),"")</f>
        <v>5</v>
      </c>
      <c r="TR86" s="7">
        <f>IFERROR(AVERAGEIF('Данные 2st'!$Q$2:$Q$317,$A86,'Данные 2st'!$QJ$2:$QJ$317),"")</f>
        <v>5</v>
      </c>
      <c r="TS86" s="7">
        <f>IFERROR(AVERAGEIF('Данные 2st'!$Q$2:$Q$317,$A86,'Данные 2st'!$QK$2:$QK$317),"")</f>
        <v>279.4</v>
      </c>
      <c r="TT86" s="7">
        <f>IFERROR(AVERAGEIF('Данные 2st'!$Q$2:$Q$317,$A86,'Данные 2st'!$QL$2:$QL$317),"")</f>
        <v>553.6</v>
      </c>
      <c r="TU86" s="7">
        <f>IFERROR(AVERAGEIF('Данные 2st'!$Q$2:$Q$317,$A86,'Данные 2st'!$QM$2:$QM$317),"")</f>
        <v>9.4</v>
      </c>
      <c r="TV86" s="7">
        <f>IFERROR(AVERAGEIF('Данные 2st'!$Q$2:$Q$317,$A86,'Данные 2st'!$QN$2:$QN$317),"")</f>
        <v>1465.9</v>
      </c>
      <c r="TW86" s="7">
        <f>IFERROR(AVERAGEIF('Данные 2st'!$Q$2:$Q$317,$A86,'Данные 2st'!$QQ$2:$QQ$317),"")</f>
        <v>0</v>
      </c>
      <c r="TX86" s="7">
        <f>IFERROR(AVERAGEIF('Данные 2st'!$Q$2:$Q$317,$A86,'Данные 2st'!$QS$2:$QS$317),"")</f>
        <v>40</v>
      </c>
      <c r="TY86" s="7">
        <f>IFERROR(AVERAGEIF('Данные 2st'!$Q$2:$Q$317,$A86,'Данные 2st'!$QT$2:$QT$317),"")</f>
        <v>50</v>
      </c>
    </row>
  </sheetData>
  <autoFilter ref="A1:TY86"/>
  <conditionalFormatting sqref="B2:TY86">
    <cfRule type="expression" dxfId="0" priority="1">
      <formula>MOD(ROW(),2)=0</formula>
    </cfRule>
  </conditionalFormatting>
  <pageMargins left="0.3" right="0.3" top="0.4" bottom="0.4" header="0.3" footer="0.3"/>
  <pageSetup paperSize="9" fitToHeight="0" orientation="landscape"/>
  <headerFooter>
    <oddHeader>&amp;LПараметры по Size&amp;RПо размерам</oddHeader>
    <oddFooter>&amp;LСредние значения по исходным данным&amp;RСтраница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C9DBF"/>
    <pageSetUpPr fitToPage="1"/>
  </sheetPr>
  <dimension ref="A1:TY86"/>
  <sheetViews>
    <sheetView showGridLines="0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style="11" customWidth="1"/>
    <col min="2" max="545" width="23.7109375" customWidth="1"/>
  </cols>
  <sheetData>
    <row r="1" spans="1:545" ht="112" customHeight="1">
      <c r="A1" s="5" t="s">
        <v>26</v>
      </c>
      <c r="G1" s="5" t="s">
        <v>5192</v>
      </c>
      <c r="H1" s="5" t="s">
        <v>5193</v>
      </c>
      <c r="I1" s="5" t="s">
        <v>5194</v>
      </c>
      <c r="J1" s="5" t="s">
        <v>5195</v>
      </c>
      <c r="K1" s="5" t="s">
        <v>5196</v>
      </c>
      <c r="L1" s="5" t="s">
        <v>5197</v>
      </c>
      <c r="M1" s="5" t="s">
        <v>5198</v>
      </c>
      <c r="N1" s="5" t="s">
        <v>5199</v>
      </c>
      <c r="O1" s="5" t="s">
        <v>5200</v>
      </c>
      <c r="P1" s="5" t="s">
        <v>5201</v>
      </c>
      <c r="Q1" s="5" t="s">
        <v>5202</v>
      </c>
      <c r="R1" s="5" t="s">
        <v>5203</v>
      </c>
      <c r="S1" s="5" t="s">
        <v>5204</v>
      </c>
      <c r="T1" s="5" t="s">
        <v>5205</v>
      </c>
      <c r="U1" s="5" t="s">
        <v>5206</v>
      </c>
      <c r="V1" s="5" t="s">
        <v>5207</v>
      </c>
      <c r="W1" s="5" t="s">
        <v>5208</v>
      </c>
      <c r="X1" s="5" t="s">
        <v>5209</v>
      </c>
      <c r="Y1" s="5" t="s">
        <v>5210</v>
      </c>
      <c r="Z1" s="5" t="s">
        <v>5211</v>
      </c>
      <c r="AA1" s="5" t="s">
        <v>5212</v>
      </c>
      <c r="AB1" s="5" t="s">
        <v>5213</v>
      </c>
      <c r="AC1" s="5" t="s">
        <v>5214</v>
      </c>
      <c r="AD1" s="5" t="s">
        <v>5215</v>
      </c>
      <c r="AE1" s="5" t="s">
        <v>5216</v>
      </c>
      <c r="AF1" s="5" t="s">
        <v>5217</v>
      </c>
      <c r="AG1" s="5" t="s">
        <v>5218</v>
      </c>
      <c r="AH1" s="5" t="s">
        <v>5219</v>
      </c>
      <c r="AI1" s="5" t="s">
        <v>5220</v>
      </c>
      <c r="AJ1" s="5" t="s">
        <v>5221</v>
      </c>
      <c r="AK1" s="5" t="s">
        <v>5222</v>
      </c>
      <c r="AL1" s="5" t="s">
        <v>5223</v>
      </c>
      <c r="AM1" s="5" t="s">
        <v>5224</v>
      </c>
      <c r="AN1" s="5" t="s">
        <v>5225</v>
      </c>
      <c r="AO1" s="5" t="s">
        <v>5226</v>
      </c>
      <c r="AP1" s="5" t="s">
        <v>5227</v>
      </c>
      <c r="AQ1" s="5" t="s">
        <v>5228</v>
      </c>
      <c r="AR1" s="5" t="s">
        <v>5229</v>
      </c>
      <c r="AS1" s="5" t="s">
        <v>5230</v>
      </c>
      <c r="AT1" s="5" t="s">
        <v>5231</v>
      </c>
      <c r="AU1" s="5" t="s">
        <v>5232</v>
      </c>
      <c r="AV1" s="5" t="s">
        <v>5233</v>
      </c>
      <c r="AW1" s="5" t="s">
        <v>5234</v>
      </c>
      <c r="AX1" s="5" t="s">
        <v>5235</v>
      </c>
      <c r="AY1" s="5" t="s">
        <v>5236</v>
      </c>
      <c r="AZ1" s="5" t="s">
        <v>5237</v>
      </c>
      <c r="BA1" s="5" t="s">
        <v>5238</v>
      </c>
      <c r="BB1" s="5" t="s">
        <v>5239</v>
      </c>
      <c r="BC1" s="5" t="s">
        <v>5240</v>
      </c>
      <c r="BD1" s="5" t="s">
        <v>5241</v>
      </c>
      <c r="BE1" s="5" t="s">
        <v>5242</v>
      </c>
      <c r="BF1" s="5" t="s">
        <v>5243</v>
      </c>
      <c r="BG1" s="5" t="s">
        <v>5244</v>
      </c>
      <c r="BH1" s="5" t="s">
        <v>5245</v>
      </c>
      <c r="BI1" s="5" t="s">
        <v>5246</v>
      </c>
      <c r="BJ1" s="5" t="s">
        <v>5247</v>
      </c>
      <c r="BK1" s="5" t="s">
        <v>5248</v>
      </c>
      <c r="BL1" s="5" t="s">
        <v>5249</v>
      </c>
      <c r="BM1" s="5" t="s">
        <v>5250</v>
      </c>
      <c r="BN1" s="5" t="s">
        <v>5251</v>
      </c>
      <c r="BO1" s="5" t="s">
        <v>5252</v>
      </c>
      <c r="BP1" s="5" t="s">
        <v>5253</v>
      </c>
      <c r="BQ1" s="5" t="s">
        <v>5254</v>
      </c>
      <c r="BR1" s="5" t="s">
        <v>5255</v>
      </c>
      <c r="BS1" s="5" t="s">
        <v>5256</v>
      </c>
      <c r="BT1" s="5" t="s">
        <v>5257</v>
      </c>
      <c r="BU1" s="5" t="s">
        <v>5258</v>
      </c>
      <c r="BV1" s="5" t="s">
        <v>5259</v>
      </c>
      <c r="BW1" s="5" t="s">
        <v>5260</v>
      </c>
      <c r="BX1" s="5" t="s">
        <v>5261</v>
      </c>
      <c r="BY1" s="5" t="s">
        <v>5262</v>
      </c>
      <c r="BZ1" s="5" t="s">
        <v>5263</v>
      </c>
      <c r="CA1" s="5" t="s">
        <v>5264</v>
      </c>
      <c r="CB1" s="5" t="s">
        <v>5265</v>
      </c>
      <c r="CC1" s="5" t="s">
        <v>5266</v>
      </c>
      <c r="CD1" s="5" t="s">
        <v>5267</v>
      </c>
      <c r="CE1" s="5" t="s">
        <v>5268</v>
      </c>
      <c r="CF1" s="5" t="s">
        <v>5269</v>
      </c>
      <c r="CG1" s="5" t="s">
        <v>5270</v>
      </c>
      <c r="CH1" s="5" t="s">
        <v>5271</v>
      </c>
      <c r="CI1" s="5" t="s">
        <v>5272</v>
      </c>
      <c r="CJ1" s="5" t="s">
        <v>5273</v>
      </c>
      <c r="CK1" s="5" t="s">
        <v>5274</v>
      </c>
      <c r="CL1" s="5" t="s">
        <v>5275</v>
      </c>
      <c r="CM1" s="5" t="s">
        <v>5276</v>
      </c>
      <c r="CN1" s="5" t="s">
        <v>5277</v>
      </c>
      <c r="CO1" s="5" t="s">
        <v>5278</v>
      </c>
      <c r="CP1" s="5" t="s">
        <v>5279</v>
      </c>
      <c r="CQ1" s="5" t="s">
        <v>5280</v>
      </c>
      <c r="CR1" s="5" t="s">
        <v>5281</v>
      </c>
      <c r="CS1" s="5" t="s">
        <v>5282</v>
      </c>
      <c r="CT1" s="5" t="s">
        <v>5283</v>
      </c>
      <c r="CU1" s="5" t="s">
        <v>5284</v>
      </c>
      <c r="CV1" s="5" t="s">
        <v>5285</v>
      </c>
      <c r="CW1" s="5" t="s">
        <v>5286</v>
      </c>
      <c r="CX1" s="5" t="s">
        <v>5287</v>
      </c>
      <c r="CY1" s="5" t="s">
        <v>5288</v>
      </c>
      <c r="CZ1" s="5" t="s">
        <v>5289</v>
      </c>
      <c r="DA1" s="5" t="s">
        <v>5290</v>
      </c>
      <c r="DB1" s="5" t="s">
        <v>5291</v>
      </c>
      <c r="DC1" s="5" t="s">
        <v>5292</v>
      </c>
      <c r="DD1" s="5" t="s">
        <v>5293</v>
      </c>
      <c r="DE1" s="5" t="s">
        <v>5294</v>
      </c>
      <c r="DF1" s="5" t="s">
        <v>5295</v>
      </c>
      <c r="DG1" s="5" t="s">
        <v>5296</v>
      </c>
      <c r="DH1" s="5" t="s">
        <v>5297</v>
      </c>
      <c r="DI1" s="5" t="s">
        <v>5298</v>
      </c>
      <c r="DJ1" s="5" t="s">
        <v>5299</v>
      </c>
      <c r="DK1" s="5" t="s">
        <v>5300</v>
      </c>
      <c r="DL1" s="5" t="s">
        <v>5301</v>
      </c>
      <c r="DM1" s="5" t="s">
        <v>5302</v>
      </c>
      <c r="DN1" s="5" t="s">
        <v>5303</v>
      </c>
      <c r="DO1" s="5" t="s">
        <v>5304</v>
      </c>
      <c r="DP1" s="5" t="s">
        <v>5305</v>
      </c>
      <c r="DQ1" s="5" t="s">
        <v>5306</v>
      </c>
      <c r="DR1" s="5" t="s">
        <v>5307</v>
      </c>
      <c r="DS1" s="5" t="s">
        <v>5308</v>
      </c>
      <c r="DT1" s="5" t="s">
        <v>5309</v>
      </c>
      <c r="DU1" s="5" t="s">
        <v>5310</v>
      </c>
      <c r="DV1" s="5" t="s">
        <v>5311</v>
      </c>
      <c r="DW1" s="5" t="s">
        <v>5312</v>
      </c>
      <c r="DX1" s="5" t="s">
        <v>5313</v>
      </c>
      <c r="DY1" s="5" t="s">
        <v>5314</v>
      </c>
      <c r="DZ1" s="5" t="s">
        <v>5315</v>
      </c>
      <c r="EA1" s="5" t="s">
        <v>5316</v>
      </c>
      <c r="EB1" s="5" t="s">
        <v>5317</v>
      </c>
      <c r="EC1" s="5" t="s">
        <v>5318</v>
      </c>
      <c r="ED1" s="5" t="s">
        <v>5319</v>
      </c>
      <c r="EE1" s="5" t="s">
        <v>5320</v>
      </c>
      <c r="EF1" s="5" t="s">
        <v>5321</v>
      </c>
      <c r="EG1" s="5" t="s">
        <v>5322</v>
      </c>
      <c r="EH1" s="5" t="s">
        <v>5323</v>
      </c>
      <c r="EI1" s="5" t="s">
        <v>5324</v>
      </c>
      <c r="EJ1" s="5" t="s">
        <v>5325</v>
      </c>
      <c r="EK1" s="5" t="s">
        <v>5326</v>
      </c>
      <c r="EL1" s="5" t="s">
        <v>5327</v>
      </c>
      <c r="EM1" s="5" t="s">
        <v>5328</v>
      </c>
      <c r="EN1" s="5" t="s">
        <v>5329</v>
      </c>
      <c r="EO1" s="5" t="s">
        <v>5330</v>
      </c>
      <c r="EP1" s="5" t="s">
        <v>5331</v>
      </c>
      <c r="EQ1" s="5" t="s">
        <v>5332</v>
      </c>
      <c r="ER1" s="5" t="s">
        <v>5333</v>
      </c>
      <c r="ES1" s="5" t="s">
        <v>5334</v>
      </c>
      <c r="ET1" s="5" t="s">
        <v>5335</v>
      </c>
      <c r="EU1" s="5" t="s">
        <v>5336</v>
      </c>
      <c r="EV1" s="5" t="s">
        <v>5337</v>
      </c>
      <c r="EW1" s="5" t="s">
        <v>5338</v>
      </c>
      <c r="EX1" s="5" t="s">
        <v>5339</v>
      </c>
      <c r="EY1" s="5" t="s">
        <v>5340</v>
      </c>
      <c r="EZ1" s="5" t="s">
        <v>5341</v>
      </c>
      <c r="FA1" s="5" t="s">
        <v>5342</v>
      </c>
      <c r="FB1" s="5" t="s">
        <v>5343</v>
      </c>
      <c r="FC1" s="5" t="s">
        <v>5344</v>
      </c>
      <c r="FD1" s="5" t="s">
        <v>5345</v>
      </c>
      <c r="FE1" s="5" t="s">
        <v>5346</v>
      </c>
      <c r="FF1" s="5" t="s">
        <v>5347</v>
      </c>
      <c r="FG1" s="5" t="s">
        <v>5348</v>
      </c>
      <c r="FH1" s="5" t="s">
        <v>5349</v>
      </c>
      <c r="FI1" s="5" t="s">
        <v>5350</v>
      </c>
      <c r="FJ1" s="5" t="s">
        <v>5351</v>
      </c>
      <c r="FK1" s="5" t="s">
        <v>5352</v>
      </c>
      <c r="FL1" s="5" t="s">
        <v>5353</v>
      </c>
      <c r="FM1" s="5" t="s">
        <v>5354</v>
      </c>
      <c r="FN1" s="5" t="s">
        <v>5355</v>
      </c>
      <c r="FO1" s="5" t="s">
        <v>5356</v>
      </c>
      <c r="FP1" s="5" t="s">
        <v>5357</v>
      </c>
      <c r="FQ1" s="5" t="s">
        <v>5358</v>
      </c>
      <c r="FR1" s="5" t="s">
        <v>5359</v>
      </c>
      <c r="FS1" s="5" t="s">
        <v>5360</v>
      </c>
      <c r="FT1" s="5" t="s">
        <v>5361</v>
      </c>
      <c r="FU1" s="5" t="s">
        <v>5362</v>
      </c>
      <c r="FV1" s="5" t="s">
        <v>5363</v>
      </c>
      <c r="FW1" s="5" t="s">
        <v>5364</v>
      </c>
      <c r="FX1" s="5" t="s">
        <v>5365</v>
      </c>
      <c r="FY1" s="5" t="s">
        <v>5366</v>
      </c>
      <c r="FZ1" s="5" t="s">
        <v>5367</v>
      </c>
      <c r="GA1" s="5" t="s">
        <v>5368</v>
      </c>
      <c r="GB1" s="5" t="s">
        <v>5369</v>
      </c>
      <c r="GC1" s="5" t="s">
        <v>5370</v>
      </c>
      <c r="GD1" s="5" t="s">
        <v>5371</v>
      </c>
      <c r="GE1" s="5" t="s">
        <v>5372</v>
      </c>
      <c r="GF1" s="5" t="s">
        <v>5373</v>
      </c>
      <c r="GG1" s="5" t="s">
        <v>5374</v>
      </c>
      <c r="GH1" s="5" t="s">
        <v>5375</v>
      </c>
      <c r="GI1" s="5" t="s">
        <v>5376</v>
      </c>
      <c r="GJ1" s="5" t="s">
        <v>5377</v>
      </c>
      <c r="GK1" s="5" t="s">
        <v>5378</v>
      </c>
      <c r="GL1" s="5" t="s">
        <v>5379</v>
      </c>
      <c r="GM1" s="5" t="s">
        <v>5380</v>
      </c>
      <c r="GN1" s="5" t="s">
        <v>5381</v>
      </c>
      <c r="GO1" s="5" t="s">
        <v>5382</v>
      </c>
      <c r="GP1" s="5" t="s">
        <v>5383</v>
      </c>
      <c r="GQ1" s="5" t="s">
        <v>5384</v>
      </c>
      <c r="GR1" s="5" t="s">
        <v>5385</v>
      </c>
      <c r="GS1" s="5" t="s">
        <v>5386</v>
      </c>
      <c r="GT1" s="5" t="s">
        <v>5387</v>
      </c>
      <c r="GU1" s="5" t="s">
        <v>5388</v>
      </c>
      <c r="GV1" s="5" t="s">
        <v>5389</v>
      </c>
      <c r="GW1" s="5" t="s">
        <v>5390</v>
      </c>
      <c r="GX1" s="5" t="s">
        <v>5391</v>
      </c>
      <c r="GY1" s="5" t="s">
        <v>5392</v>
      </c>
      <c r="GZ1" s="5" t="s">
        <v>5393</v>
      </c>
      <c r="HA1" s="5" t="s">
        <v>5394</v>
      </c>
      <c r="HB1" s="5" t="s">
        <v>5395</v>
      </c>
      <c r="HC1" s="5" t="s">
        <v>5396</v>
      </c>
      <c r="HD1" s="5" t="s">
        <v>5397</v>
      </c>
      <c r="HE1" s="5" t="s">
        <v>5398</v>
      </c>
      <c r="HF1" s="5" t="s">
        <v>5399</v>
      </c>
      <c r="HG1" s="5" t="s">
        <v>5400</v>
      </c>
      <c r="HH1" s="5" t="s">
        <v>5401</v>
      </c>
      <c r="HI1" s="5" t="s">
        <v>5402</v>
      </c>
      <c r="HJ1" s="5" t="s">
        <v>5403</v>
      </c>
      <c r="HK1" s="5" t="s">
        <v>5404</v>
      </c>
      <c r="HL1" s="5" t="s">
        <v>5405</v>
      </c>
      <c r="HM1" s="5" t="s">
        <v>5406</v>
      </c>
      <c r="HN1" s="5" t="s">
        <v>5407</v>
      </c>
      <c r="HO1" s="5" t="s">
        <v>5408</v>
      </c>
      <c r="HP1" s="5" t="s">
        <v>5409</v>
      </c>
      <c r="HQ1" s="5" t="s">
        <v>5410</v>
      </c>
      <c r="HR1" s="5" t="s">
        <v>5411</v>
      </c>
      <c r="HS1" s="5" t="s">
        <v>5412</v>
      </c>
      <c r="HT1" s="5" t="s">
        <v>5413</v>
      </c>
      <c r="HU1" s="5" t="s">
        <v>5414</v>
      </c>
      <c r="HV1" s="5" t="s">
        <v>5415</v>
      </c>
      <c r="HW1" s="5" t="s">
        <v>5416</v>
      </c>
      <c r="HX1" s="5" t="s">
        <v>5417</v>
      </c>
      <c r="HY1" s="5" t="s">
        <v>5418</v>
      </c>
      <c r="HZ1" s="5" t="s">
        <v>5419</v>
      </c>
      <c r="IA1" s="5" t="s">
        <v>5420</v>
      </c>
      <c r="IB1" s="5" t="s">
        <v>5421</v>
      </c>
      <c r="IC1" s="5" t="s">
        <v>5422</v>
      </c>
      <c r="ID1" s="5" t="s">
        <v>5423</v>
      </c>
      <c r="IE1" s="5" t="s">
        <v>5424</v>
      </c>
      <c r="IF1" s="5" t="s">
        <v>5425</v>
      </c>
      <c r="IG1" s="5" t="s">
        <v>5426</v>
      </c>
      <c r="IH1" s="5" t="s">
        <v>5427</v>
      </c>
      <c r="II1" s="5" t="s">
        <v>5428</v>
      </c>
      <c r="IJ1" s="5" t="s">
        <v>5429</v>
      </c>
      <c r="IK1" s="5" t="s">
        <v>5430</v>
      </c>
      <c r="IL1" s="5" t="s">
        <v>5431</v>
      </c>
      <c r="IM1" s="5" t="s">
        <v>5432</v>
      </c>
      <c r="IN1" s="5" t="s">
        <v>5433</v>
      </c>
      <c r="IO1" s="5" t="s">
        <v>5434</v>
      </c>
      <c r="IP1" s="5" t="s">
        <v>5435</v>
      </c>
      <c r="IQ1" s="5" t="s">
        <v>5436</v>
      </c>
      <c r="IR1" s="5" t="s">
        <v>5437</v>
      </c>
      <c r="IS1" s="5" t="s">
        <v>5438</v>
      </c>
      <c r="IT1" s="5" t="s">
        <v>5439</v>
      </c>
      <c r="IU1" s="5" t="s">
        <v>5440</v>
      </c>
      <c r="IV1" s="5" t="s">
        <v>5441</v>
      </c>
      <c r="IW1" s="5" t="s">
        <v>5442</v>
      </c>
      <c r="IX1" s="5" t="s">
        <v>5443</v>
      </c>
      <c r="IY1" s="5" t="s">
        <v>5444</v>
      </c>
      <c r="IZ1" s="5" t="s">
        <v>5445</v>
      </c>
      <c r="JA1" s="5" t="s">
        <v>5446</v>
      </c>
      <c r="JB1" s="5" t="s">
        <v>5447</v>
      </c>
      <c r="JC1" s="5" t="s">
        <v>5448</v>
      </c>
      <c r="JD1" s="5" t="s">
        <v>5449</v>
      </c>
      <c r="JE1" s="5" t="s">
        <v>5450</v>
      </c>
      <c r="JF1" s="5" t="s">
        <v>5451</v>
      </c>
      <c r="JG1" s="5" t="s">
        <v>5452</v>
      </c>
      <c r="JH1" s="5" t="s">
        <v>5453</v>
      </c>
      <c r="JI1" s="5" t="s">
        <v>5454</v>
      </c>
      <c r="JJ1" s="5" t="s">
        <v>5455</v>
      </c>
      <c r="JK1" s="5" t="s">
        <v>5456</v>
      </c>
      <c r="JQ1" s="12" t="s">
        <v>5527</v>
      </c>
      <c r="JR1" s="12" t="s">
        <v>5528</v>
      </c>
      <c r="JS1" s="12" t="s">
        <v>5529</v>
      </c>
      <c r="JT1" s="12" t="s">
        <v>5530</v>
      </c>
      <c r="JU1" s="12" t="s">
        <v>5531</v>
      </c>
      <c r="JV1" s="12" t="s">
        <v>5532</v>
      </c>
      <c r="JW1" s="12" t="s">
        <v>5533</v>
      </c>
      <c r="JX1" s="12" t="s">
        <v>5534</v>
      </c>
      <c r="JY1" s="12" t="s">
        <v>5535</v>
      </c>
      <c r="JZ1" s="12" t="s">
        <v>5536</v>
      </c>
      <c r="KA1" s="12" t="s">
        <v>5537</v>
      </c>
      <c r="KB1" s="12" t="s">
        <v>5538</v>
      </c>
      <c r="KC1" s="12" t="s">
        <v>5539</v>
      </c>
      <c r="KD1" s="12" t="s">
        <v>5540</v>
      </c>
      <c r="KE1" s="12" t="s">
        <v>5541</v>
      </c>
      <c r="KF1" s="12" t="s">
        <v>5542</v>
      </c>
      <c r="KG1" s="12" t="s">
        <v>5543</v>
      </c>
      <c r="KH1" s="12" t="s">
        <v>5544</v>
      </c>
      <c r="KI1" s="12" t="s">
        <v>5545</v>
      </c>
      <c r="KJ1" s="12" t="s">
        <v>5546</v>
      </c>
      <c r="KK1" s="12" t="s">
        <v>5547</v>
      </c>
      <c r="KL1" s="12" t="s">
        <v>5548</v>
      </c>
      <c r="KM1" s="12" t="s">
        <v>5549</v>
      </c>
      <c r="KN1" s="12" t="s">
        <v>5550</v>
      </c>
      <c r="KO1" s="12" t="s">
        <v>5551</v>
      </c>
      <c r="KP1" s="12" t="s">
        <v>5552</v>
      </c>
      <c r="KQ1" s="12" t="s">
        <v>5553</v>
      </c>
      <c r="KR1" s="12" t="s">
        <v>5554</v>
      </c>
      <c r="KS1" s="12" t="s">
        <v>5555</v>
      </c>
      <c r="KT1" s="12" t="s">
        <v>5556</v>
      </c>
      <c r="KU1" s="12" t="s">
        <v>5557</v>
      </c>
      <c r="KV1" s="12" t="s">
        <v>5558</v>
      </c>
      <c r="KW1" s="12" t="s">
        <v>5559</v>
      </c>
      <c r="KX1" s="12" t="s">
        <v>5560</v>
      </c>
      <c r="KY1" s="12" t="s">
        <v>5561</v>
      </c>
      <c r="KZ1" s="12" t="s">
        <v>5562</v>
      </c>
      <c r="LA1" s="12" t="s">
        <v>5563</v>
      </c>
      <c r="LB1" s="12" t="s">
        <v>5564</v>
      </c>
      <c r="LC1" s="12" t="s">
        <v>5565</v>
      </c>
      <c r="LD1" s="12" t="s">
        <v>5566</v>
      </c>
      <c r="LE1" s="12" t="s">
        <v>5567</v>
      </c>
      <c r="LF1" s="12" t="s">
        <v>5568</v>
      </c>
      <c r="LG1" s="12" t="s">
        <v>5569</v>
      </c>
      <c r="LH1" s="12" t="s">
        <v>5570</v>
      </c>
      <c r="LI1" s="12" t="s">
        <v>5571</v>
      </c>
      <c r="LJ1" s="12" t="s">
        <v>5572</v>
      </c>
      <c r="LK1" s="12" t="s">
        <v>5573</v>
      </c>
      <c r="LL1" s="12" t="s">
        <v>5574</v>
      </c>
      <c r="LM1" s="12" t="s">
        <v>5575</v>
      </c>
      <c r="LN1" s="12" t="s">
        <v>5576</v>
      </c>
      <c r="LO1" s="12" t="s">
        <v>5577</v>
      </c>
      <c r="LP1" s="12" t="s">
        <v>5578</v>
      </c>
      <c r="LQ1" s="12" t="s">
        <v>5579</v>
      </c>
      <c r="LR1" s="12" t="s">
        <v>5580</v>
      </c>
      <c r="LS1" s="12" t="s">
        <v>5581</v>
      </c>
      <c r="LT1" s="12" t="s">
        <v>5582</v>
      </c>
      <c r="LU1" s="12" t="s">
        <v>5583</v>
      </c>
      <c r="LV1" s="12" t="s">
        <v>5584</v>
      </c>
      <c r="LW1" s="12" t="s">
        <v>5585</v>
      </c>
      <c r="LX1" s="12" t="s">
        <v>5586</v>
      </c>
      <c r="LY1" s="12" t="s">
        <v>5587</v>
      </c>
      <c r="LZ1" s="12" t="s">
        <v>5588</v>
      </c>
      <c r="MA1" s="12" t="s">
        <v>5589</v>
      </c>
      <c r="MB1" s="12" t="s">
        <v>5590</v>
      </c>
      <c r="MC1" s="12" t="s">
        <v>5591</v>
      </c>
      <c r="MD1" s="12" t="s">
        <v>5592</v>
      </c>
      <c r="ME1" s="12" t="s">
        <v>5593</v>
      </c>
      <c r="MF1" s="12" t="s">
        <v>5594</v>
      </c>
      <c r="MG1" s="12" t="s">
        <v>5595</v>
      </c>
      <c r="MH1" s="12" t="s">
        <v>5596</v>
      </c>
      <c r="MI1" s="12" t="s">
        <v>5597</v>
      </c>
      <c r="MJ1" s="12" t="s">
        <v>5598</v>
      </c>
      <c r="MK1" s="12" t="s">
        <v>5599</v>
      </c>
      <c r="ML1" s="12" t="s">
        <v>5600</v>
      </c>
      <c r="MM1" s="12" t="s">
        <v>5601</v>
      </c>
      <c r="MN1" s="12" t="s">
        <v>5602</v>
      </c>
      <c r="MO1" s="12" t="s">
        <v>5603</v>
      </c>
      <c r="MP1" s="12" t="s">
        <v>5604</v>
      </c>
      <c r="MQ1" s="12" t="s">
        <v>5605</v>
      </c>
      <c r="MR1" s="12" t="s">
        <v>5606</v>
      </c>
      <c r="MS1" s="12" t="s">
        <v>5607</v>
      </c>
      <c r="MT1" s="12" t="s">
        <v>5608</v>
      </c>
      <c r="MU1" s="12" t="s">
        <v>5609</v>
      </c>
      <c r="MV1" s="12" t="s">
        <v>5610</v>
      </c>
      <c r="MW1" s="12" t="s">
        <v>5611</v>
      </c>
      <c r="MX1" s="12" t="s">
        <v>5612</v>
      </c>
      <c r="MY1" s="12" t="s">
        <v>5613</v>
      </c>
      <c r="MZ1" s="12" t="s">
        <v>5614</v>
      </c>
      <c r="NA1" s="12" t="s">
        <v>5615</v>
      </c>
      <c r="NB1" s="12" t="s">
        <v>5616</v>
      </c>
      <c r="NC1" s="12" t="s">
        <v>5617</v>
      </c>
      <c r="ND1" s="12" t="s">
        <v>5618</v>
      </c>
      <c r="NE1" s="12" t="s">
        <v>5619</v>
      </c>
      <c r="NF1" s="12" t="s">
        <v>5620</v>
      </c>
      <c r="NG1" s="12" t="s">
        <v>5621</v>
      </c>
      <c r="NH1" s="12" t="s">
        <v>5622</v>
      </c>
      <c r="NI1" s="12" t="s">
        <v>5623</v>
      </c>
      <c r="NJ1" s="12" t="s">
        <v>5624</v>
      </c>
      <c r="NK1" s="12" t="s">
        <v>5625</v>
      </c>
      <c r="NL1" s="12" t="s">
        <v>5626</v>
      </c>
      <c r="NM1" s="12" t="s">
        <v>5627</v>
      </c>
      <c r="NN1" s="12" t="s">
        <v>5628</v>
      </c>
      <c r="NO1" s="12" t="s">
        <v>5629</v>
      </c>
      <c r="NP1" s="12" t="s">
        <v>5630</v>
      </c>
      <c r="NQ1" s="12" t="s">
        <v>5631</v>
      </c>
      <c r="NR1" s="12" t="s">
        <v>5632</v>
      </c>
      <c r="NS1" s="12" t="s">
        <v>5633</v>
      </c>
      <c r="NT1" s="12" t="s">
        <v>5634</v>
      </c>
      <c r="NU1" s="12" t="s">
        <v>5635</v>
      </c>
      <c r="NV1" s="12" t="s">
        <v>5636</v>
      </c>
      <c r="NW1" s="12" t="s">
        <v>5637</v>
      </c>
      <c r="NX1" s="12" t="s">
        <v>5638</v>
      </c>
      <c r="NY1" s="12" t="s">
        <v>5639</v>
      </c>
      <c r="NZ1" s="12" t="s">
        <v>5640</v>
      </c>
      <c r="OA1" s="12" t="s">
        <v>5641</v>
      </c>
      <c r="OB1" s="12" t="s">
        <v>5642</v>
      </c>
      <c r="OC1" s="12" t="s">
        <v>5643</v>
      </c>
      <c r="OD1" s="12" t="s">
        <v>5644</v>
      </c>
      <c r="OE1" s="12" t="s">
        <v>5645</v>
      </c>
      <c r="OF1" s="12" t="s">
        <v>5646</v>
      </c>
      <c r="OG1" s="12" t="s">
        <v>5647</v>
      </c>
      <c r="OH1" s="12" t="s">
        <v>5648</v>
      </c>
      <c r="OI1" s="12" t="s">
        <v>5649</v>
      </c>
      <c r="OJ1" s="12" t="s">
        <v>5650</v>
      </c>
      <c r="OK1" s="12" t="s">
        <v>5651</v>
      </c>
      <c r="OL1" s="12" t="s">
        <v>5652</v>
      </c>
      <c r="OM1" s="12" t="s">
        <v>5653</v>
      </c>
      <c r="ON1" s="12" t="s">
        <v>5654</v>
      </c>
      <c r="OO1" s="12" t="s">
        <v>5655</v>
      </c>
      <c r="OP1" s="12" t="s">
        <v>5656</v>
      </c>
      <c r="OQ1" s="12" t="s">
        <v>5657</v>
      </c>
      <c r="OR1" s="12" t="s">
        <v>5658</v>
      </c>
      <c r="OS1" s="12" t="s">
        <v>5659</v>
      </c>
      <c r="OT1" s="12" t="s">
        <v>5660</v>
      </c>
      <c r="OU1" s="12" t="s">
        <v>5661</v>
      </c>
      <c r="OV1" s="12" t="s">
        <v>5662</v>
      </c>
      <c r="OW1" s="12" t="s">
        <v>5663</v>
      </c>
      <c r="OX1" s="12" t="s">
        <v>5664</v>
      </c>
      <c r="OY1" s="12" t="s">
        <v>5665</v>
      </c>
      <c r="OZ1" s="12" t="s">
        <v>5666</v>
      </c>
      <c r="PA1" s="12" t="s">
        <v>5667</v>
      </c>
      <c r="PB1" s="12" t="s">
        <v>5668</v>
      </c>
      <c r="PC1" s="12" t="s">
        <v>5669</v>
      </c>
      <c r="PD1" s="12" t="s">
        <v>5670</v>
      </c>
      <c r="PE1" s="12" t="s">
        <v>5671</v>
      </c>
      <c r="PF1" s="12" t="s">
        <v>5672</v>
      </c>
      <c r="PG1" s="12" t="s">
        <v>5673</v>
      </c>
      <c r="PH1" s="12" t="s">
        <v>5674</v>
      </c>
      <c r="PI1" s="12" t="s">
        <v>5675</v>
      </c>
      <c r="PJ1" s="12" t="s">
        <v>5676</v>
      </c>
      <c r="PK1" s="12" t="s">
        <v>5677</v>
      </c>
      <c r="PL1" s="12" t="s">
        <v>5678</v>
      </c>
      <c r="PM1" s="12" t="s">
        <v>5679</v>
      </c>
      <c r="PN1" s="12" t="s">
        <v>5680</v>
      </c>
      <c r="PO1" s="12" t="s">
        <v>5681</v>
      </c>
      <c r="PP1" s="12" t="s">
        <v>5682</v>
      </c>
      <c r="PQ1" s="12" t="s">
        <v>5683</v>
      </c>
      <c r="PR1" s="12" t="s">
        <v>5684</v>
      </c>
      <c r="PS1" s="12" t="s">
        <v>5685</v>
      </c>
      <c r="PT1" s="12" t="s">
        <v>5686</v>
      </c>
      <c r="PU1" s="12" t="s">
        <v>5687</v>
      </c>
      <c r="PV1" s="12" t="s">
        <v>5688</v>
      </c>
      <c r="PW1" s="12" t="s">
        <v>5689</v>
      </c>
      <c r="PX1" s="12" t="s">
        <v>5690</v>
      </c>
      <c r="PY1" s="12" t="s">
        <v>5691</v>
      </c>
      <c r="PZ1" s="12" t="s">
        <v>5692</v>
      </c>
      <c r="QA1" s="12" t="s">
        <v>5693</v>
      </c>
      <c r="QB1" s="12" t="s">
        <v>5694</v>
      </c>
      <c r="QC1" s="12" t="s">
        <v>5695</v>
      </c>
      <c r="QD1" s="12" t="s">
        <v>5696</v>
      </c>
      <c r="QE1" s="12" t="s">
        <v>5697</v>
      </c>
      <c r="QF1" s="12" t="s">
        <v>5698</v>
      </c>
      <c r="QG1" s="12" t="s">
        <v>5699</v>
      </c>
      <c r="QH1" s="12" t="s">
        <v>5700</v>
      </c>
      <c r="QI1" s="12" t="s">
        <v>5701</v>
      </c>
      <c r="QJ1" s="12" t="s">
        <v>5702</v>
      </c>
      <c r="QK1" s="12" t="s">
        <v>5703</v>
      </c>
      <c r="QL1" s="12" t="s">
        <v>5704</v>
      </c>
      <c r="QM1" s="12" t="s">
        <v>5705</v>
      </c>
      <c r="QN1" s="12" t="s">
        <v>5706</v>
      </c>
      <c r="QO1" s="12" t="s">
        <v>5707</v>
      </c>
      <c r="QP1" s="12" t="s">
        <v>5708</v>
      </c>
      <c r="QQ1" s="12" t="s">
        <v>5709</v>
      </c>
      <c r="QR1" s="12" t="s">
        <v>5710</v>
      </c>
      <c r="QS1" s="12" t="s">
        <v>5711</v>
      </c>
      <c r="QT1" s="12" t="s">
        <v>5712</v>
      </c>
      <c r="QU1" s="12" t="s">
        <v>5713</v>
      </c>
      <c r="QV1" s="12" t="s">
        <v>5714</v>
      </c>
      <c r="QW1" s="12" t="s">
        <v>5715</v>
      </c>
      <c r="QX1" s="12" t="s">
        <v>5716</v>
      </c>
      <c r="QY1" s="12" t="s">
        <v>5717</v>
      </c>
      <c r="QZ1" s="12" t="s">
        <v>5718</v>
      </c>
      <c r="RA1" s="12" t="s">
        <v>5719</v>
      </c>
      <c r="RB1" s="12" t="s">
        <v>5720</v>
      </c>
      <c r="RC1" s="12" t="s">
        <v>5721</v>
      </c>
      <c r="RD1" s="12" t="s">
        <v>5722</v>
      </c>
      <c r="RE1" s="12" t="s">
        <v>5723</v>
      </c>
      <c r="RF1" s="12" t="s">
        <v>5724</v>
      </c>
      <c r="RG1" s="12" t="s">
        <v>5725</v>
      </c>
      <c r="RH1" s="12" t="s">
        <v>5726</v>
      </c>
      <c r="RI1" s="12" t="s">
        <v>5727</v>
      </c>
      <c r="RJ1" s="12" t="s">
        <v>5728</v>
      </c>
      <c r="RK1" s="12" t="s">
        <v>5729</v>
      </c>
      <c r="RL1" s="12" t="s">
        <v>5730</v>
      </c>
      <c r="RM1" s="12" t="s">
        <v>5731</v>
      </c>
      <c r="RN1" s="12" t="s">
        <v>5732</v>
      </c>
      <c r="RO1" s="12" t="s">
        <v>5733</v>
      </c>
      <c r="RP1" s="12" t="s">
        <v>5734</v>
      </c>
      <c r="RQ1" s="12" t="s">
        <v>5735</v>
      </c>
      <c r="RR1" s="12" t="s">
        <v>5736</v>
      </c>
      <c r="RS1" s="12" t="s">
        <v>5737</v>
      </c>
      <c r="RT1" s="12" t="s">
        <v>5738</v>
      </c>
      <c r="RU1" s="12" t="s">
        <v>5739</v>
      </c>
      <c r="RV1" s="12" t="s">
        <v>5740</v>
      </c>
      <c r="RW1" s="12" t="s">
        <v>5741</v>
      </c>
      <c r="RX1" s="12" t="s">
        <v>5742</v>
      </c>
      <c r="RY1" s="12" t="s">
        <v>5743</v>
      </c>
      <c r="RZ1" s="12" t="s">
        <v>5744</v>
      </c>
      <c r="SA1" s="12" t="s">
        <v>5745</v>
      </c>
      <c r="SB1" s="12" t="s">
        <v>5746</v>
      </c>
      <c r="SC1" s="12" t="s">
        <v>5747</v>
      </c>
      <c r="SD1" s="12" t="s">
        <v>5748</v>
      </c>
      <c r="SE1" s="12" t="s">
        <v>5749</v>
      </c>
      <c r="SF1" s="12" t="s">
        <v>5750</v>
      </c>
      <c r="SG1" s="12" t="s">
        <v>5751</v>
      </c>
      <c r="SH1" s="12" t="s">
        <v>5752</v>
      </c>
      <c r="SI1" s="12" t="s">
        <v>5753</v>
      </c>
      <c r="SJ1" s="12" t="s">
        <v>5754</v>
      </c>
      <c r="SK1" s="12" t="s">
        <v>5755</v>
      </c>
      <c r="SL1" s="12" t="s">
        <v>5756</v>
      </c>
      <c r="SM1" s="12" t="s">
        <v>5757</v>
      </c>
      <c r="SN1" s="12" t="s">
        <v>5758</v>
      </c>
      <c r="SO1" s="12" t="s">
        <v>5759</v>
      </c>
      <c r="SP1" s="12" t="s">
        <v>5760</v>
      </c>
      <c r="SQ1" s="12" t="s">
        <v>5761</v>
      </c>
      <c r="SR1" s="12" t="s">
        <v>5762</v>
      </c>
      <c r="SS1" s="12" t="s">
        <v>5763</v>
      </c>
      <c r="ST1" s="12" t="s">
        <v>5764</v>
      </c>
      <c r="SU1" s="12" t="s">
        <v>5765</v>
      </c>
      <c r="SV1" s="12" t="s">
        <v>5766</v>
      </c>
      <c r="SW1" s="12" t="s">
        <v>5767</v>
      </c>
      <c r="SX1" s="12" t="s">
        <v>5768</v>
      </c>
      <c r="SY1" s="12" t="s">
        <v>5769</v>
      </c>
      <c r="SZ1" s="12" t="s">
        <v>5770</v>
      </c>
      <c r="TA1" s="12" t="s">
        <v>5771</v>
      </c>
      <c r="TB1" s="12" t="s">
        <v>5772</v>
      </c>
      <c r="TC1" s="12" t="s">
        <v>5773</v>
      </c>
      <c r="TD1" s="12" t="s">
        <v>5774</v>
      </c>
      <c r="TE1" s="12" t="s">
        <v>5775</v>
      </c>
      <c r="TF1" s="12" t="s">
        <v>5776</v>
      </c>
      <c r="TG1" s="12" t="s">
        <v>5777</v>
      </c>
      <c r="TH1" s="12" t="s">
        <v>5778</v>
      </c>
      <c r="TI1" s="12" t="s">
        <v>5779</v>
      </c>
      <c r="TJ1" s="12" t="s">
        <v>5780</v>
      </c>
      <c r="TK1" s="12" t="s">
        <v>5781</v>
      </c>
      <c r="TL1" s="12" t="s">
        <v>5782</v>
      </c>
      <c r="TM1" s="12" t="s">
        <v>5783</v>
      </c>
      <c r="TN1" s="12" t="s">
        <v>5784</v>
      </c>
      <c r="TO1" s="12" t="s">
        <v>5785</v>
      </c>
      <c r="TP1" s="12" t="s">
        <v>5786</v>
      </c>
      <c r="TQ1" s="12" t="s">
        <v>5787</v>
      </c>
      <c r="TR1" s="12" t="s">
        <v>5788</v>
      </c>
      <c r="TS1" s="12" t="s">
        <v>5789</v>
      </c>
      <c r="TT1" s="12" t="s">
        <v>5790</v>
      </c>
      <c r="TU1" s="12" t="s">
        <v>5791</v>
      </c>
      <c r="TV1" s="12" t="s">
        <v>5792</v>
      </c>
      <c r="TW1" s="12" t="s">
        <v>5793</v>
      </c>
      <c r="TX1" s="12" t="s">
        <v>5794</v>
      </c>
      <c r="TY1" s="12" t="s">
        <v>5795</v>
      </c>
    </row>
    <row r="2" spans="1:545" ht="32" customHeight="1">
      <c r="A2" s="11" t="str">
        <f>'По размерам'!A2</f>
        <v>175/65R14</v>
      </c>
      <c r="G2">
        <f>SUMPRODUCT(--('Данные 1st'!$S$2:$S$317=$A2),--ISNUMBER('Данные 1st'!$AE$2:$AE$317))</f>
        <v>4</v>
      </c>
      <c r="H2">
        <f>SUMPRODUCT(--('Данные 1st'!$S$2:$S$317=$A2),--ISNUMBER('Данные 1st'!$AF$2:$AF$317))</f>
        <v>4</v>
      </c>
      <c r="I2">
        <f>SUMPRODUCT(--('Данные 1st'!$S$2:$S$317=$A2),--ISNUMBER('Данные 1st'!$AJ$2:$AJ$317))</f>
        <v>4</v>
      </c>
      <c r="J2">
        <f>SUMPRODUCT(--('Данные 1st'!$S$2:$S$317=$A2),--ISNUMBER('Данные 1st'!$AL$2:$AL$317))</f>
        <v>4</v>
      </c>
      <c r="K2">
        <f>SUMPRODUCT(--('Данные 1st'!$S$2:$S$317=$A2),--ISNUMBER('Данные 1st'!$AR$2:$AR$317))</f>
        <v>4</v>
      </c>
      <c r="L2">
        <f>SUMPRODUCT(--('Данные 1st'!$S$2:$S$317=$A2),--ISNUMBER('Данные 1st'!$AS$2:$AS$317))</f>
        <v>4</v>
      </c>
      <c r="M2">
        <f>SUMPRODUCT(--('Данные 1st'!$S$2:$S$317=$A2),--ISNUMBER('Данные 1st'!$AY$2:$AY$317))</f>
        <v>4</v>
      </c>
      <c r="N2">
        <f>SUMPRODUCT(--('Данные 1st'!$S$2:$S$317=$A2),--ISNUMBER('Данные 1st'!$AZ$2:$AZ$317))</f>
        <v>4</v>
      </c>
      <c r="O2">
        <f>SUMPRODUCT(--('Данные 1st'!$S$2:$S$317=$A2),--ISNUMBER('Данные 1st'!$BF$2:$BF$317))</f>
        <v>0</v>
      </c>
      <c r="P2">
        <f>SUMPRODUCT(--('Данные 1st'!$S$2:$S$317=$A2),--ISNUMBER('Данные 1st'!$BG$2:$BG$317))</f>
        <v>4</v>
      </c>
      <c r="Q2">
        <f>SUMPRODUCT(--('Данные 1st'!$S$2:$S$317=$A2),--ISNUMBER('Данные 1st'!$BM$2:$BM$317))</f>
        <v>0</v>
      </c>
      <c r="R2">
        <f>SUMPRODUCT(--('Данные 1st'!$S$2:$S$317=$A2),--ISNUMBER('Данные 1st'!$BN$2:$BN$317))</f>
        <v>4</v>
      </c>
      <c r="S2">
        <f>SUMPRODUCT(--('Данные 1st'!$S$2:$S$317=$A2),--ISNUMBER('Данные 1st'!$BT$2:$BT$317))</f>
        <v>4</v>
      </c>
      <c r="T2">
        <f>SUMPRODUCT(--('Данные 1st'!$S$2:$S$317=$A2),--ISNUMBER('Данные 1st'!$BU$2:$BU$317))</f>
        <v>4</v>
      </c>
      <c r="U2">
        <f>SUMPRODUCT(--('Данные 1st'!$S$2:$S$317=$A2),--ISNUMBER('Данные 1st'!$BW$2:$BW$317))</f>
        <v>4</v>
      </c>
      <c r="V2">
        <f>SUMPRODUCT(--('Данные 1st'!$S$2:$S$317=$A2),--ISNUMBER('Данные 1st'!$BX$2:$BX$317))</f>
        <v>4</v>
      </c>
      <c r="W2">
        <f>SUMPRODUCT(--('Данные 1st'!$S$2:$S$317=$A2),--ISNUMBER('Данные 1st'!$BZ$2:$BZ$317))</f>
        <v>4</v>
      </c>
      <c r="X2">
        <f>SUMPRODUCT(--('Данные 1st'!$S$2:$S$317=$A2),--ISNUMBER('Данные 1st'!$CA$2:$CA$317))</f>
        <v>4</v>
      </c>
      <c r="Y2">
        <f>SUMPRODUCT(--('Данные 1st'!$S$2:$S$317=$A2),--ISNUMBER('Данные 1st'!$CD$2:$CD$317))</f>
        <v>4</v>
      </c>
      <c r="Z2">
        <f>SUMPRODUCT(--('Данные 1st'!$S$2:$S$317=$A2),--ISNUMBER('Данные 1st'!$CF$2:$CF$317))</f>
        <v>4</v>
      </c>
      <c r="AA2">
        <f>SUMPRODUCT(--('Данные 1st'!$S$2:$S$317=$A2),--ISNUMBER('Данные 1st'!$CI$2:$CI$317))</f>
        <v>4</v>
      </c>
      <c r="AB2">
        <f>SUMPRODUCT(--('Данные 1st'!$S$2:$S$317=$A2),--ISNUMBER('Данные 1st'!$CJ$2:$CJ$317))</f>
        <v>4</v>
      </c>
      <c r="AC2">
        <f>SUMPRODUCT(--('Данные 1st'!$S$2:$S$317=$A2),--ISNUMBER('Данные 1st'!$CK$2:$CK$317))</f>
        <v>4</v>
      </c>
      <c r="AD2">
        <f>SUMPRODUCT(--('Данные 1st'!$S$2:$S$317=$A2),--ISNUMBER('Данные 1st'!$CL$2:$CL$317))</f>
        <v>4</v>
      </c>
      <c r="AE2">
        <f>SUMPRODUCT(--('Данные 1st'!$S$2:$S$317=$A2),--ISNUMBER('Данные 1st'!$CM$2:$CM$317))</f>
        <v>4</v>
      </c>
      <c r="AF2">
        <f>SUMPRODUCT(--('Данные 1st'!$S$2:$S$317=$A2),--ISNUMBER('Данные 1st'!$CT$2:$CT$317))</f>
        <v>4</v>
      </c>
      <c r="AG2">
        <f>SUMPRODUCT(--('Данные 1st'!$S$2:$S$317=$A2),--ISNUMBER('Данные 1st'!$CU$2:$CU$317))</f>
        <v>4</v>
      </c>
      <c r="AH2">
        <f>SUMPRODUCT(--('Данные 1st'!$S$2:$S$317=$A2),--ISNUMBER('Данные 1st'!$CV$2:$CV$317))</f>
        <v>4</v>
      </c>
      <c r="AI2">
        <f>SUMPRODUCT(--('Данные 1st'!$S$2:$S$317=$A2),--ISNUMBER('Данные 1st'!$CW$2:$CW$317))</f>
        <v>4</v>
      </c>
      <c r="AJ2">
        <f>SUMPRODUCT(--('Данные 1st'!$S$2:$S$317=$A2),--ISNUMBER('Данные 1st'!$CX$2:$CX$317))</f>
        <v>4</v>
      </c>
      <c r="AK2">
        <f>SUMPRODUCT(--('Данные 1st'!$S$2:$S$317=$A2),--ISNUMBER('Данные 1st'!$CZ$2:$CZ$317))</f>
        <v>0</v>
      </c>
      <c r="AL2">
        <f>SUMPRODUCT(--('Данные 1st'!$S$2:$S$317=$A2),--ISNUMBER('Данные 1st'!$DA$2:$DA$317))</f>
        <v>0</v>
      </c>
      <c r="AM2">
        <f>SUMPRODUCT(--('Данные 1st'!$S$2:$S$317=$A2),--ISNUMBER('Данные 1st'!$DB$2:$DB$317))</f>
        <v>0</v>
      </c>
      <c r="AN2">
        <f>SUMPRODUCT(--('Данные 1st'!$S$2:$S$317=$A2),--ISNUMBER('Данные 1st'!$DC$2:$DC$317))</f>
        <v>0</v>
      </c>
      <c r="AO2">
        <f>SUMPRODUCT(--('Данные 1st'!$S$2:$S$317=$A2),--ISNUMBER('Данные 1st'!$DD$2:$DD$317))</f>
        <v>4</v>
      </c>
      <c r="AP2">
        <f>SUMPRODUCT(--('Данные 1st'!$S$2:$S$317=$A2),--ISNUMBER('Данные 1st'!$DF$2:$DF$317))</f>
        <v>4</v>
      </c>
      <c r="AQ2">
        <f>SUMPRODUCT(--('Данные 1st'!$S$2:$S$317=$A2),--ISNUMBER('Данные 1st'!$DG$2:$DG$317))</f>
        <v>4</v>
      </c>
      <c r="AR2">
        <f>SUMPRODUCT(--('Данные 1st'!$S$2:$S$317=$A2),--ISNUMBER('Данные 1st'!$DH$2:$DH$317))</f>
        <v>4</v>
      </c>
      <c r="AS2">
        <f>SUMPRODUCT(--('Данные 1st'!$S$2:$S$317=$A2),--ISNUMBER('Данные 1st'!$DI$2:$DI$317))</f>
        <v>4</v>
      </c>
      <c r="AT2">
        <f>SUMPRODUCT(--('Данные 1st'!$S$2:$S$317=$A2),--ISNUMBER('Данные 1st'!$DJ$2:$DJ$317))</f>
        <v>4</v>
      </c>
      <c r="AU2">
        <f>SUMPRODUCT(--('Данные 1st'!$S$2:$S$317=$A2),--ISNUMBER('Данные 1st'!$DL$2:$DL$317))</f>
        <v>0</v>
      </c>
      <c r="AV2">
        <f>SUMPRODUCT(--('Данные 1st'!$S$2:$S$317=$A2),--ISNUMBER('Данные 1st'!$DM$2:$DM$317))</f>
        <v>0</v>
      </c>
      <c r="AW2">
        <f>SUMPRODUCT(--('Данные 1st'!$S$2:$S$317=$A2),--ISNUMBER('Данные 1st'!$DN$2:$DN$317))</f>
        <v>0</v>
      </c>
      <c r="AX2">
        <f>SUMPRODUCT(--('Данные 1st'!$S$2:$S$317=$A2),--ISNUMBER('Данные 1st'!$DO$2:$DO$317))</f>
        <v>0</v>
      </c>
      <c r="AY2">
        <f>SUMPRODUCT(--('Данные 1st'!$S$2:$S$317=$A2),--ISNUMBER('Данные 1st'!$DP$2:$DP$317))</f>
        <v>0</v>
      </c>
      <c r="AZ2">
        <f>SUMPRODUCT(--('Данные 1st'!$S$2:$S$317=$A2),--ISNUMBER('Данные 1st'!$DR$2:$DR$317))</f>
        <v>0</v>
      </c>
      <c r="BA2">
        <f>SUMPRODUCT(--('Данные 1st'!$S$2:$S$317=$A2),--ISNUMBER('Данные 1st'!$DS$2:$DS$317))</f>
        <v>0</v>
      </c>
      <c r="BB2">
        <f>SUMPRODUCT(--('Данные 1st'!$S$2:$S$317=$A2),--ISNUMBER('Данные 1st'!$DT$2:$DT$317))</f>
        <v>0</v>
      </c>
      <c r="BC2">
        <f>SUMPRODUCT(--('Данные 1st'!$S$2:$S$317=$A2),--ISNUMBER('Данные 1st'!$DU$2:$DU$317))</f>
        <v>0</v>
      </c>
      <c r="BD2">
        <f>SUMPRODUCT(--('Данные 1st'!$S$2:$S$317=$A2),--ISNUMBER('Данные 1st'!$DV$2:$DV$317))</f>
        <v>0</v>
      </c>
      <c r="BE2">
        <f>SUMPRODUCT(--('Данные 1st'!$S$2:$S$317=$A2),--ISNUMBER('Данные 1st'!$DX$2:$DX$317))</f>
        <v>4</v>
      </c>
      <c r="BF2">
        <f>SUMPRODUCT(--('Данные 1st'!$S$2:$S$317=$A2),--ISNUMBER('Данные 1st'!$EA$2:$EA$317))</f>
        <v>4</v>
      </c>
      <c r="BG2">
        <f>SUMPRODUCT(--('Данные 1st'!$S$2:$S$317=$A2),--ISNUMBER('Данные 1st'!$EB$2:$EB$317))</f>
        <v>4</v>
      </c>
      <c r="BH2">
        <f>SUMPRODUCT(--('Данные 1st'!$S$2:$S$317=$A2),--ISNUMBER('Данные 1st'!$ED$2:$ED$317))</f>
        <v>4</v>
      </c>
      <c r="BI2">
        <f>SUMPRODUCT(--('Данные 1st'!$S$2:$S$317=$A2),--ISNUMBER('Данные 1st'!$EE$2:$EE$317))</f>
        <v>4</v>
      </c>
      <c r="BJ2">
        <f>SUMPRODUCT(--('Данные 1st'!$S$2:$S$317=$A2),--ISNUMBER('Данные 1st'!$EG$2:$EG$317))</f>
        <v>4</v>
      </c>
      <c r="BK2">
        <f>SUMPRODUCT(--('Данные 1st'!$S$2:$S$317=$A2),--ISNUMBER('Данные 1st'!$EH$2:$EH$317))</f>
        <v>4</v>
      </c>
      <c r="BL2">
        <f>SUMPRODUCT(--('Данные 1st'!$S$2:$S$317=$A2),--ISNUMBER('Данные 1st'!$EJ$2:$EJ$317))</f>
        <v>4</v>
      </c>
      <c r="BM2">
        <f>SUMPRODUCT(--('Данные 1st'!$S$2:$S$317=$A2),--ISNUMBER('Данные 1st'!$EK$2:$EK$317))</f>
        <v>4</v>
      </c>
      <c r="BN2">
        <f>SUMPRODUCT(--('Данные 1st'!$S$2:$S$317=$A2),--ISNUMBER('Данные 1st'!$EN$2:$EN$317))</f>
        <v>4</v>
      </c>
      <c r="BO2">
        <f>SUMPRODUCT(--('Данные 1st'!$S$2:$S$317=$A2),--ISNUMBER('Данные 1st'!$EQ$2:$EQ$317))</f>
        <v>4</v>
      </c>
      <c r="BP2">
        <f>SUMPRODUCT(--('Данные 1st'!$S$2:$S$317=$A2),--ISNUMBER('Данные 1st'!$ER$2:$ER$317))</f>
        <v>4</v>
      </c>
      <c r="BQ2">
        <f>SUMPRODUCT(--('Данные 1st'!$S$2:$S$317=$A2),--ISNUMBER('Данные 1st'!$ES$2:$ES$317))</f>
        <v>4</v>
      </c>
      <c r="BR2">
        <f>SUMPRODUCT(--('Данные 1st'!$S$2:$S$317=$A2),--ISNUMBER('Данные 1st'!$ET$2:$ET$317))</f>
        <v>4</v>
      </c>
      <c r="BS2">
        <f>SUMPRODUCT(--('Данные 1st'!$S$2:$S$317=$A2),--ISNUMBER('Данные 1st'!$EU$2:$EU$317))</f>
        <v>4</v>
      </c>
      <c r="BT2">
        <f>SUMPRODUCT(--('Данные 1st'!$S$2:$S$317=$A2),--ISNUMBER('Данные 1st'!$EV$2:$EV$317))</f>
        <v>4</v>
      </c>
      <c r="BU2">
        <f>SUMPRODUCT(--('Данные 1st'!$S$2:$S$317=$A2),--ISNUMBER('Данные 1st'!$EX$2:$EX$317))</f>
        <v>4</v>
      </c>
      <c r="BV2">
        <f>SUMPRODUCT(--('Данные 1st'!$S$2:$S$317=$A2),--ISNUMBER('Данные 1st'!$EY$2:$EY$317))</f>
        <v>4</v>
      </c>
      <c r="BW2">
        <f>SUMPRODUCT(--('Данные 1st'!$S$2:$S$317=$A2),--ISNUMBER('Данные 1st'!$EZ$2:$EZ$317))</f>
        <v>4</v>
      </c>
      <c r="BX2">
        <f>SUMPRODUCT(--('Данные 1st'!$S$2:$S$317=$A2),--ISNUMBER('Данные 1st'!$FA$2:$FA$317))</f>
        <v>4</v>
      </c>
      <c r="BY2">
        <f>SUMPRODUCT(--('Данные 1st'!$S$2:$S$317=$A2),--ISNUMBER('Данные 1st'!$FB$2:$FB$317))</f>
        <v>4</v>
      </c>
      <c r="BZ2">
        <f>SUMPRODUCT(--('Данные 1st'!$S$2:$S$317=$A2),--ISNUMBER('Данные 1st'!$FC$2:$FC$317))</f>
        <v>4</v>
      </c>
      <c r="CA2">
        <f>SUMPRODUCT(--('Данные 1st'!$S$2:$S$317=$A2),--ISNUMBER('Данные 1st'!$FE$2:$FE$317))</f>
        <v>4</v>
      </c>
      <c r="CB2">
        <f>SUMPRODUCT(--('Данные 1st'!$S$2:$S$317=$A2),--ISNUMBER('Данные 1st'!$FF$2:$FF$317))</f>
        <v>4</v>
      </c>
      <c r="CC2">
        <f>SUMPRODUCT(--('Данные 1st'!$S$2:$S$317=$A2),--ISNUMBER('Данные 1st'!$FI$2:$FI$317))</f>
        <v>4</v>
      </c>
      <c r="CD2">
        <f>SUMPRODUCT(--('Данные 1st'!$S$2:$S$317=$A2),--ISNUMBER('Данные 1st'!$FL$2:$FL$317))</f>
        <v>4</v>
      </c>
      <c r="CE2">
        <f>SUMPRODUCT(--('Данные 1st'!$S$2:$S$317=$A2),--ISNUMBER('Данные 1st'!$FM$2:$FM$317))</f>
        <v>4</v>
      </c>
      <c r="CF2">
        <f>SUMPRODUCT(--('Данные 1st'!$S$2:$S$317=$A2),--ISNUMBER('Данные 1st'!$FN$2:$FN$317))</f>
        <v>4</v>
      </c>
      <c r="CG2">
        <f>SUMPRODUCT(--('Данные 1st'!$S$2:$S$317=$A2),--ISNUMBER('Данные 1st'!$FO$2:$FO$317))</f>
        <v>1</v>
      </c>
      <c r="CH2">
        <f>SUMPRODUCT(--('Данные 1st'!$S$2:$S$317=$A2),--ISNUMBER('Данные 1st'!$FP$2:$FP$317))</f>
        <v>1</v>
      </c>
      <c r="CI2">
        <f>SUMPRODUCT(--('Данные 1st'!$S$2:$S$317=$A2),--ISNUMBER('Данные 1st'!$FS$2:$FS$317))</f>
        <v>4</v>
      </c>
      <c r="CJ2">
        <f>SUMPRODUCT(--('Данные 1st'!$S$2:$S$317=$A2),--ISNUMBER('Данные 1st'!$FT$2:$FT$317))</f>
        <v>4</v>
      </c>
      <c r="CK2">
        <f>SUMPRODUCT(--('Данные 1st'!$S$2:$S$317=$A2),--ISNUMBER('Данные 1st'!$FU$2:$FU$317))</f>
        <v>4</v>
      </c>
      <c r="CL2">
        <f>SUMPRODUCT(--('Данные 1st'!$S$2:$S$317=$A2),--ISNUMBER('Данные 1st'!$FV$2:$FV$317))</f>
        <v>3</v>
      </c>
      <c r="CM2">
        <f>SUMPRODUCT(--('Данные 1st'!$S$2:$S$317=$A2),--ISNUMBER('Данные 1st'!$FW$2:$FW$317))</f>
        <v>3</v>
      </c>
      <c r="CN2">
        <f>SUMPRODUCT(--('Данные 1st'!$S$2:$S$317=$A2),--ISNUMBER('Данные 1st'!$FZ$2:$FZ$317))</f>
        <v>1</v>
      </c>
      <c r="CO2">
        <f>SUMPRODUCT(--('Данные 1st'!$S$2:$S$317=$A2),--ISNUMBER('Данные 1st'!$GA$2:$GA$317))</f>
        <v>1</v>
      </c>
      <c r="CP2">
        <f>SUMPRODUCT(--('Данные 1st'!$S$2:$S$317=$A2),--ISNUMBER('Данные 1st'!$GB$2:$GB$317))</f>
        <v>1</v>
      </c>
      <c r="CQ2">
        <f>SUMPRODUCT(--('Данные 1st'!$S$2:$S$317=$A2),--ISNUMBER('Данные 1st'!$GH$2:$GH$317))</f>
        <v>1</v>
      </c>
      <c r="CR2">
        <f>SUMPRODUCT(--('Данные 1st'!$S$2:$S$317=$A2),--ISNUMBER('Данные 1st'!$GI$2:$GI$317))</f>
        <v>1</v>
      </c>
      <c r="CS2">
        <f>SUMPRODUCT(--('Данные 1st'!$S$2:$S$317=$A2),--ISNUMBER('Данные 1st'!$GJ$2:$GJ$317))</f>
        <v>1</v>
      </c>
      <c r="CT2">
        <f>SUMPRODUCT(--('Данные 1st'!$S$2:$S$317=$A2),--ISNUMBER('Данные 1st'!$GS$2:$GS$317))</f>
        <v>0</v>
      </c>
      <c r="CU2">
        <f>SUMPRODUCT(--('Данные 1st'!$S$2:$S$317=$A2),--ISNUMBER('Данные 1st'!$GT$2:$GT$317))</f>
        <v>0</v>
      </c>
      <c r="CV2">
        <f>SUMPRODUCT(--('Данные 1st'!$S$2:$S$317=$A2),--ISNUMBER('Данные 1st'!$GU$2:$GU$317))</f>
        <v>0</v>
      </c>
      <c r="CW2">
        <f>SUMPRODUCT(--('Данные 1st'!$S$2:$S$317=$A2),--ISNUMBER('Данные 1st'!$GV$2:$GV$317))</f>
        <v>0</v>
      </c>
      <c r="CX2">
        <f>SUMPRODUCT(--('Данные 1st'!$S$2:$S$317=$A2),--ISNUMBER('Данные 1st'!$GW$2:$GW$317))</f>
        <v>0</v>
      </c>
      <c r="CY2">
        <f>SUMPRODUCT(--('Данные 1st'!$S$2:$S$317=$A2),--ISNUMBER('Данные 1st'!$GZ$2:$GZ$317))</f>
        <v>0</v>
      </c>
      <c r="CZ2">
        <f>SUMPRODUCT(--('Данные 1st'!$S$2:$S$317=$A2),--ISNUMBER('Данные 1st'!$HA$2:$HA$317))</f>
        <v>0</v>
      </c>
      <c r="DA2">
        <f>SUMPRODUCT(--('Данные 1st'!$S$2:$S$317=$A2),--ISNUMBER('Данные 1st'!$HB$2:$HB$317))</f>
        <v>0</v>
      </c>
      <c r="DB2">
        <f>SUMPRODUCT(--('Данные 1st'!$S$2:$S$317=$A2),--ISNUMBER('Данные 1st'!$HC$2:$HC$317))</f>
        <v>4</v>
      </c>
      <c r="DC2">
        <f>SUMPRODUCT(--('Данные 1st'!$S$2:$S$317=$A2),--ISNUMBER('Данные 1st'!$HD$2:$HD$317))</f>
        <v>4</v>
      </c>
      <c r="DD2">
        <f>SUMPRODUCT(--('Данные 1st'!$S$2:$S$317=$A2),--ISNUMBER('Данные 1st'!$HE$2:$HE$317))</f>
        <v>4</v>
      </c>
      <c r="DE2">
        <f>SUMPRODUCT(--('Данные 1st'!$S$2:$S$317=$A2),--ISNUMBER('Данные 1st'!$HF$2:$HF$317))</f>
        <v>4</v>
      </c>
      <c r="DF2">
        <f>SUMPRODUCT(--('Данные 1st'!$S$2:$S$317=$A2),--ISNUMBER('Данные 1st'!$HG$2:$HG$317))</f>
        <v>4</v>
      </c>
      <c r="DG2">
        <f>SUMPRODUCT(--('Данные 1st'!$S$2:$S$317=$A2),--ISNUMBER('Данные 1st'!$HH$2:$HH$317))</f>
        <v>4</v>
      </c>
      <c r="DH2">
        <f>SUMPRODUCT(--('Данные 1st'!$S$2:$S$317=$A2),--ISNUMBER('Данные 1st'!$HI$2:$HI$317))</f>
        <v>4</v>
      </c>
      <c r="DI2">
        <f>SUMPRODUCT(--('Данные 1st'!$S$2:$S$317=$A2),--ISNUMBER('Данные 1st'!$HJ$2:$HJ$317))</f>
        <v>4</v>
      </c>
      <c r="DJ2">
        <f>SUMPRODUCT(--('Данные 1st'!$S$2:$S$317=$A2),--ISNUMBER('Данные 1st'!$HK$2:$HK$317))</f>
        <v>4</v>
      </c>
      <c r="DK2">
        <f>SUMPRODUCT(--('Данные 1st'!$S$2:$S$317=$A2),--ISNUMBER('Данные 1st'!$HL$2:$HL$317))</f>
        <v>4</v>
      </c>
      <c r="DL2">
        <f>SUMPRODUCT(--('Данные 1st'!$S$2:$S$317=$A2),--ISNUMBER('Данные 1st'!$HM$2:$HM$317))</f>
        <v>4</v>
      </c>
      <c r="DM2">
        <f>SUMPRODUCT(--('Данные 1st'!$S$2:$S$317=$A2),--ISNUMBER('Данные 1st'!$HN$2:$HN$317))</f>
        <v>4</v>
      </c>
      <c r="DN2">
        <f>SUMPRODUCT(--('Данные 1st'!$S$2:$S$317=$A2),--ISNUMBER('Данные 1st'!$HO$2:$HO$317))</f>
        <v>4</v>
      </c>
      <c r="DO2">
        <f>SUMPRODUCT(--('Данные 1st'!$S$2:$S$317=$A2),--ISNUMBER('Данные 1st'!$HP$2:$HP$317))</f>
        <v>4</v>
      </c>
      <c r="DP2">
        <f>SUMPRODUCT(--('Данные 1st'!$S$2:$S$317=$A2),--ISNUMBER('Данные 1st'!$HQ$2:$HQ$317))</f>
        <v>4</v>
      </c>
      <c r="DQ2">
        <f>SUMPRODUCT(--('Данные 1st'!$S$2:$S$317=$A2),--ISNUMBER('Данные 1st'!$HR$2:$HR$317))</f>
        <v>4</v>
      </c>
      <c r="DR2">
        <f>SUMPRODUCT(--('Данные 1st'!$S$2:$S$317=$A2),--ISNUMBER('Данные 1st'!$HS$2:$HS$317))</f>
        <v>4</v>
      </c>
      <c r="DS2">
        <f>SUMPRODUCT(--('Данные 1st'!$S$2:$S$317=$A2),--ISNUMBER('Данные 1st'!$HT$2:$HT$317))</f>
        <v>4</v>
      </c>
      <c r="DT2">
        <f>SUMPRODUCT(--('Данные 1st'!$S$2:$S$317=$A2),--ISNUMBER('Данные 1st'!$HU$2:$HU$317))</f>
        <v>4</v>
      </c>
      <c r="DU2">
        <f>SUMPRODUCT(--('Данные 1st'!$S$2:$S$317=$A2),--ISNUMBER('Данные 1st'!$HW$2:$HW$317))</f>
        <v>4</v>
      </c>
      <c r="DV2">
        <f>SUMPRODUCT(--('Данные 1st'!$S$2:$S$317=$A2),--ISNUMBER('Данные 1st'!$HX$2:$HX$317))</f>
        <v>4</v>
      </c>
      <c r="DW2">
        <f>SUMPRODUCT(--('Данные 1st'!$S$2:$S$317=$A2),--ISNUMBER('Данные 1st'!$HY$2:$HY$317))</f>
        <v>4</v>
      </c>
      <c r="DX2">
        <f>SUMPRODUCT(--('Данные 1st'!$S$2:$S$317=$A2),--ISNUMBER('Данные 1st'!$IA$2:$IA$317))</f>
        <v>4</v>
      </c>
      <c r="DY2">
        <f>SUMPRODUCT(--('Данные 1st'!$S$2:$S$317=$A2),--ISNUMBER('Данные 1st'!$IB$2:$IB$317))</f>
        <v>4</v>
      </c>
      <c r="DZ2">
        <f>SUMPRODUCT(--('Данные 1st'!$S$2:$S$317=$A2),--ISNUMBER('Данные 1st'!$IC$2:$IC$317))</f>
        <v>4</v>
      </c>
      <c r="EA2">
        <f>SUMPRODUCT(--('Данные 1st'!$S$2:$S$317=$A2),--ISNUMBER('Данные 1st'!$ID$2:$ID$317))</f>
        <v>4</v>
      </c>
      <c r="EB2">
        <f>SUMPRODUCT(--('Данные 1st'!$S$2:$S$317=$A2),--ISNUMBER('Данные 1st'!$IE$2:$IE$317))</f>
        <v>4</v>
      </c>
      <c r="EC2">
        <f>SUMPRODUCT(--('Данные 1st'!$S$2:$S$317=$A2),--ISNUMBER('Данные 1st'!$IF$2:$IF$317))</f>
        <v>4</v>
      </c>
      <c r="ED2">
        <f>SUMPRODUCT(--('Данные 1st'!$S$2:$S$317=$A2),--ISNUMBER('Данные 1st'!$IP$2:$IP$317))</f>
        <v>4</v>
      </c>
      <c r="EE2">
        <f>SUMPRODUCT(--('Данные 1st'!$S$2:$S$317=$A2),--ISNUMBER('Данные 1st'!$IV$2:$IV$317))</f>
        <v>4</v>
      </c>
      <c r="EF2">
        <f>SUMPRODUCT(--('Данные 1st'!$S$2:$S$317=$A2),--ISNUMBER('Данные 1st'!$IW$2:$IW$317))</f>
        <v>4</v>
      </c>
      <c r="EG2">
        <f>SUMPRODUCT(--('Данные 1st'!$S$2:$S$317=$A2),--ISNUMBER('Данные 1st'!$IX$2:$IX$317))</f>
        <v>0</v>
      </c>
      <c r="EH2">
        <f>SUMPRODUCT(--('Данные 1st'!$S$2:$S$317=$A2),--ISNUMBER('Данные 1st'!$IY$2:$IY$317))</f>
        <v>0</v>
      </c>
      <c r="EI2">
        <f>SUMPRODUCT(--('Данные 1st'!$S$2:$S$317=$A2),--ISNUMBER('Данные 1st'!$JD$2:$JD$317))</f>
        <v>4</v>
      </c>
      <c r="EJ2">
        <f>SUMPRODUCT(--('Данные 1st'!$S$2:$S$317=$A2),--ISNUMBER('Данные 1st'!$JE$2:$JE$317))</f>
        <v>4</v>
      </c>
      <c r="EK2">
        <f>SUMPRODUCT(--('Данные 1st'!$S$2:$S$317=$A2),--ISNUMBER('Данные 1st'!$JF$2:$JF$317))</f>
        <v>4</v>
      </c>
      <c r="EL2">
        <f>SUMPRODUCT(--('Данные 1st'!$S$2:$S$317=$A2),--ISNUMBER('Данные 1st'!$JG$2:$JG$317))</f>
        <v>4</v>
      </c>
      <c r="EM2">
        <f>SUMPRODUCT(--('Данные 1st'!$S$2:$S$317=$A2),--ISNUMBER('Данные 1st'!$JH$2:$JH$317))</f>
        <v>4</v>
      </c>
      <c r="EN2">
        <f>SUMPRODUCT(--('Данные 1st'!$S$2:$S$317=$A2),--ISNUMBER('Данные 1st'!$JJ$2:$JJ$317))</f>
        <v>4</v>
      </c>
      <c r="EO2">
        <f>SUMPRODUCT(--('Данные 1st'!$S$2:$S$317=$A2),--ISNUMBER('Данные 1st'!$JK$2:$JK$317))</f>
        <v>4</v>
      </c>
      <c r="EP2">
        <f>SUMPRODUCT(--('Данные 1st'!$S$2:$S$317=$A2),--ISNUMBER('Данные 1st'!$JL$2:$JL$317))</f>
        <v>0</v>
      </c>
      <c r="EQ2">
        <f>SUMPRODUCT(--('Данные 1st'!$S$2:$S$317=$A2),--ISNUMBER('Данные 1st'!$JM$2:$JM$317))</f>
        <v>0</v>
      </c>
      <c r="ER2">
        <f>SUMPRODUCT(--('Данные 1st'!$S$2:$S$317=$A2),--ISNUMBER('Данные 1st'!$JN$2:$JN$317))</f>
        <v>4</v>
      </c>
      <c r="ES2">
        <f>SUMPRODUCT(--('Данные 1st'!$S$2:$S$317=$A2),--ISNUMBER('Данные 1st'!$JO$2:$JO$317))</f>
        <v>4</v>
      </c>
      <c r="ET2">
        <f>SUMPRODUCT(--('Данные 1st'!$S$2:$S$317=$A2),--ISNUMBER('Данные 1st'!$JP$2:$JP$317))</f>
        <v>4</v>
      </c>
      <c r="EU2">
        <f>SUMPRODUCT(--('Данные 1st'!$S$2:$S$317=$A2),--ISNUMBER('Данные 1st'!$JQ$2:$JQ$317))</f>
        <v>4</v>
      </c>
      <c r="EV2">
        <f>SUMPRODUCT(--('Данные 1st'!$S$2:$S$317=$A2),--ISNUMBER('Данные 1st'!$JR$2:$JR$317))</f>
        <v>4</v>
      </c>
      <c r="EW2">
        <f>SUMPRODUCT(--('Данные 1st'!$S$2:$S$317=$A2),--ISNUMBER('Данные 1st'!$JS$2:$JS$317))</f>
        <v>4</v>
      </c>
      <c r="EX2">
        <f>SUMPRODUCT(--('Данные 1st'!$S$2:$S$317=$A2),--ISNUMBER('Данные 1st'!$JT$2:$JT$317))</f>
        <v>0</v>
      </c>
      <c r="EY2">
        <f>SUMPRODUCT(--('Данные 1st'!$S$2:$S$317=$A2),--ISNUMBER('Данные 1st'!$JU$2:$JU$317))</f>
        <v>0</v>
      </c>
      <c r="EZ2">
        <f>SUMPRODUCT(--('Данные 1st'!$S$2:$S$317=$A2),--ISNUMBER('Данные 1st'!$JV$2:$JV$317))</f>
        <v>4</v>
      </c>
      <c r="FA2">
        <f>SUMPRODUCT(--('Данные 1st'!$S$2:$S$317=$A2),--ISNUMBER('Данные 1st'!$JW$2:$JW$317))</f>
        <v>0</v>
      </c>
      <c r="FB2">
        <f>SUMPRODUCT(--('Данные 1st'!$S$2:$S$317=$A2),--ISNUMBER('Данные 1st'!$JX$2:$JX$317))</f>
        <v>4</v>
      </c>
      <c r="FC2">
        <f>SUMPRODUCT(--('Данные 1st'!$S$2:$S$317=$A2),--ISNUMBER('Данные 1st'!$JY$2:$JY$317))</f>
        <v>0</v>
      </c>
      <c r="FD2">
        <f>SUMPRODUCT(--('Данные 1st'!$S$2:$S$317=$A2),--ISNUMBER('Данные 1st'!$JZ$2:$JZ$317))</f>
        <v>0</v>
      </c>
      <c r="FE2">
        <f>SUMPRODUCT(--('Данные 1st'!$S$2:$S$317=$A2),--ISNUMBER('Данные 1st'!$KA$2:$KA$317))</f>
        <v>4</v>
      </c>
      <c r="FF2">
        <f>SUMPRODUCT(--('Данные 1st'!$S$2:$S$317=$A2),--ISNUMBER('Данные 1st'!$KB$2:$KB$317))</f>
        <v>4</v>
      </c>
      <c r="FG2">
        <f>SUMPRODUCT(--('Данные 1st'!$S$2:$S$317=$A2),--ISNUMBER('Данные 1st'!$KC$2:$KC$317))</f>
        <v>4</v>
      </c>
      <c r="FH2">
        <f>SUMPRODUCT(--('Данные 1st'!$S$2:$S$317=$A2),--ISNUMBER('Данные 1st'!$KD$2:$KD$317))</f>
        <v>4</v>
      </c>
      <c r="FI2">
        <f>SUMPRODUCT(--('Данные 1st'!$S$2:$S$317=$A2),--ISNUMBER('Данные 1st'!$KE$2:$KE$317))</f>
        <v>0</v>
      </c>
      <c r="FJ2">
        <f>SUMPRODUCT(--('Данные 1st'!$S$2:$S$317=$A2),--ISNUMBER('Данные 1st'!$KF$2:$KF$317))</f>
        <v>4</v>
      </c>
      <c r="FK2">
        <f>SUMPRODUCT(--('Данные 1st'!$S$2:$S$317=$A2),--ISNUMBER('Данные 1st'!$KG$2:$KG$317))</f>
        <v>4</v>
      </c>
      <c r="FL2">
        <f>SUMPRODUCT(--('Данные 1st'!$S$2:$S$317=$A2),--ISNUMBER('Данные 1st'!$KH$2:$KH$317))</f>
        <v>4</v>
      </c>
      <c r="FM2">
        <f>SUMPRODUCT(--('Данные 1st'!$S$2:$S$317=$A2),--ISNUMBER('Данные 1st'!$KI$2:$KI$317))</f>
        <v>4</v>
      </c>
      <c r="FN2">
        <f>SUMPRODUCT(--('Данные 1st'!$S$2:$S$317=$A2),--ISNUMBER('Данные 1st'!$KJ$2:$KJ$317))</f>
        <v>4</v>
      </c>
      <c r="FO2">
        <f>SUMPRODUCT(--('Данные 1st'!$S$2:$S$317=$A2),--ISNUMBER('Данные 1st'!$KK$2:$KK$317))</f>
        <v>4</v>
      </c>
      <c r="FP2">
        <f>SUMPRODUCT(--('Данные 1st'!$S$2:$S$317=$A2),--ISNUMBER('Данные 1st'!$KL$2:$KL$317))</f>
        <v>4</v>
      </c>
      <c r="FQ2">
        <f>SUMPRODUCT(--('Данные 1st'!$S$2:$S$317=$A2),--ISNUMBER('Данные 1st'!$KM$2:$KM$317))</f>
        <v>4</v>
      </c>
      <c r="FR2">
        <f>SUMPRODUCT(--('Данные 1st'!$S$2:$S$317=$A2),--ISNUMBER('Данные 1st'!$KN$2:$KN$317))</f>
        <v>4</v>
      </c>
      <c r="FS2">
        <f>SUMPRODUCT(--('Данные 1st'!$S$2:$S$317=$A2),--ISNUMBER('Данные 1st'!$KR$2:$KR$317))</f>
        <v>4</v>
      </c>
      <c r="FT2">
        <f>SUMPRODUCT(--('Данные 1st'!$S$2:$S$317=$A2),--ISNUMBER('Данные 1st'!$KS$2:$KS$317))</f>
        <v>4</v>
      </c>
      <c r="FU2">
        <f>SUMPRODUCT(--('Данные 1st'!$S$2:$S$317=$A2),--ISNUMBER('Данные 1st'!$KT$2:$KT$317))</f>
        <v>4</v>
      </c>
      <c r="FV2">
        <f>SUMPRODUCT(--('Данные 1st'!$S$2:$S$317=$A2),--ISNUMBER('Данные 1st'!$KV$2:$KV$317))</f>
        <v>0</v>
      </c>
      <c r="FW2">
        <f>SUMPRODUCT(--('Данные 1st'!$S$2:$S$317=$A2),--ISNUMBER('Данные 1st'!$KW$2:$KW$317))</f>
        <v>0</v>
      </c>
      <c r="FX2">
        <f>SUMPRODUCT(--('Данные 1st'!$S$2:$S$317=$A2),--ISNUMBER('Данные 1st'!$KX$2:$KX$317))</f>
        <v>0</v>
      </c>
      <c r="FY2">
        <f>SUMPRODUCT(--('Данные 1st'!$S$2:$S$317=$A2),--ISNUMBER('Данные 1st'!$KY$2:$KY$317))</f>
        <v>0</v>
      </c>
      <c r="FZ2">
        <f>SUMPRODUCT(--('Данные 1st'!$S$2:$S$317=$A2),--ISNUMBER('Данные 1st'!$KZ$2:$KZ$317))</f>
        <v>0</v>
      </c>
      <c r="GA2">
        <f>SUMPRODUCT(--('Данные 1st'!$S$2:$S$317=$A2),--ISNUMBER('Данные 1st'!$LA$2:$LA$317))</f>
        <v>0</v>
      </c>
      <c r="GB2">
        <f>SUMPRODUCT(--('Данные 1st'!$S$2:$S$317=$A2),--ISNUMBER('Данные 1st'!$LB$2:$LB$317))</f>
        <v>0</v>
      </c>
      <c r="GC2">
        <f>SUMPRODUCT(--('Данные 1st'!$S$2:$S$317=$A2),--ISNUMBER('Данные 1st'!$LC$2:$LC$317))</f>
        <v>0</v>
      </c>
      <c r="GD2">
        <f>SUMPRODUCT(--('Данные 1st'!$S$2:$S$317=$A2),--ISNUMBER('Данные 1st'!$LD$2:$LD$317))</f>
        <v>0</v>
      </c>
      <c r="GE2">
        <f>SUMPRODUCT(--('Данные 1st'!$S$2:$S$317=$A2),--ISNUMBER('Данные 1st'!$LE$2:$LE$317))</f>
        <v>0</v>
      </c>
      <c r="GF2">
        <f>SUMPRODUCT(--('Данные 1st'!$S$2:$S$317=$A2),--ISNUMBER('Данные 1st'!$LF$2:$LF$317))</f>
        <v>0</v>
      </c>
      <c r="GG2">
        <f>SUMPRODUCT(--('Данные 1st'!$S$2:$S$317=$A2),--ISNUMBER('Данные 1st'!$LG$2:$LG$317))</f>
        <v>0</v>
      </c>
      <c r="GH2">
        <f>SUMPRODUCT(--('Данные 1st'!$S$2:$S$317=$A2),--ISNUMBER('Данные 1st'!$LH$2:$LH$317))</f>
        <v>0</v>
      </c>
      <c r="GI2">
        <f>SUMPRODUCT(--('Данные 1st'!$S$2:$S$317=$A2),--ISNUMBER('Данные 1st'!$LI$2:$LI$317))</f>
        <v>0</v>
      </c>
      <c r="GJ2">
        <f>SUMPRODUCT(--('Данные 1st'!$S$2:$S$317=$A2),--ISNUMBER('Данные 1st'!$LJ$2:$LJ$317))</f>
        <v>0</v>
      </c>
      <c r="GK2">
        <f>SUMPRODUCT(--('Данные 1st'!$S$2:$S$317=$A2),--ISNUMBER('Данные 1st'!$LK$2:$LK$317))</f>
        <v>4</v>
      </c>
      <c r="GL2">
        <f>SUMPRODUCT(--('Данные 1st'!$S$2:$S$317=$A2),--ISNUMBER('Данные 1st'!$LV$2:$LV$317))</f>
        <v>0</v>
      </c>
      <c r="GM2">
        <f>SUMPRODUCT(--('Данные 1st'!$S$2:$S$317=$A2),--ISNUMBER('Данные 1st'!$LW$2:$LW$317))</f>
        <v>0</v>
      </c>
      <c r="GN2">
        <f>SUMPRODUCT(--('Данные 1st'!$S$2:$S$317=$A2),--ISNUMBER('Данные 1st'!$LX$2:$LX$317))</f>
        <v>3</v>
      </c>
      <c r="GO2">
        <f>SUMPRODUCT(--('Данные 1st'!$S$2:$S$317=$A2),--ISNUMBER('Данные 1st'!$LY$2:$LY$317))</f>
        <v>2</v>
      </c>
      <c r="GP2">
        <f>SUMPRODUCT(--('Данные 1st'!$S$2:$S$317=$A2),--ISNUMBER('Данные 1st'!$LZ$2:$LZ$317))</f>
        <v>1</v>
      </c>
      <c r="GQ2">
        <f>SUMPRODUCT(--('Данные 1st'!$S$2:$S$317=$A2),--ISNUMBER('Данные 1st'!$PG$2:$PG$317))</f>
        <v>4</v>
      </c>
      <c r="GR2">
        <f>SUMPRODUCT(--('Данные 1st'!$S$2:$S$317=$A2),--ISNUMBER('Данные 1st'!$PX$2:$PX$317))</f>
        <v>4</v>
      </c>
      <c r="GS2">
        <f>SUMPRODUCT(--('Данные 1st'!$S$2:$S$317=$A2),--ISNUMBER('Данные 1st'!$PY$2:$PY$317))</f>
        <v>4</v>
      </c>
      <c r="GT2">
        <f>SUMPRODUCT(--('Данные 1st'!$S$2:$S$317=$A2),--ISNUMBER('Данные 1st'!$QA$2:$QA$317))</f>
        <v>4</v>
      </c>
      <c r="GU2">
        <f>SUMPRODUCT(--('Данные 1st'!$S$2:$S$317=$A2),--ISNUMBER('Данные 1st'!$QB$2:$QB$317))</f>
        <v>4</v>
      </c>
      <c r="GV2">
        <f>SUMPRODUCT(--('Данные 1st'!$S$2:$S$317=$A2),--ISNUMBER('Данные 1st'!$QC$2:$QC$317))</f>
        <v>4</v>
      </c>
      <c r="GW2">
        <f>SUMPRODUCT(--('Данные 1st'!$S$2:$S$317=$A2),--ISNUMBER('Данные 1st'!$QD$2:$QD$317))</f>
        <v>4</v>
      </c>
      <c r="GX2">
        <f>SUMPRODUCT(--('Данные 1st'!$S$2:$S$317=$A2),--ISNUMBER('Данные 1st'!$QF$2:$QF$317))</f>
        <v>4</v>
      </c>
      <c r="GY2">
        <f>SUMPRODUCT(--('Данные 1st'!$S$2:$S$317=$A2),--ISNUMBER('Данные 1st'!$QG$2:$QG$317))</f>
        <v>4</v>
      </c>
      <c r="GZ2">
        <f>SUMPRODUCT(--('Данные 1st'!$S$2:$S$317=$A2),--ISNUMBER('Данные 1st'!$QH$2:$QH$317))</f>
        <v>4</v>
      </c>
      <c r="HA2">
        <f>SUMPRODUCT(--('Данные 1st'!$S$2:$S$317=$A2),--ISNUMBER('Данные 1st'!$QI$2:$QI$317))</f>
        <v>4</v>
      </c>
      <c r="HB2">
        <f>SUMPRODUCT(--('Данные 1st'!$S$2:$S$317=$A2),--ISNUMBER('Данные 1st'!$QK$2:$QK$317))</f>
        <v>0</v>
      </c>
      <c r="HC2">
        <f>SUMPRODUCT(--('Данные 1st'!$S$2:$S$317=$A2),--ISNUMBER('Данные 1st'!$QL$2:$QL$317))</f>
        <v>4</v>
      </c>
      <c r="HD2">
        <f>SUMPRODUCT(--('Данные 1st'!$S$2:$S$317=$A2),--ISNUMBER('Данные 1st'!$QM$2:$QM$317))</f>
        <v>4</v>
      </c>
      <c r="HE2">
        <f>SUMPRODUCT(--('Данные 1st'!$S$2:$S$317=$A2),--ISNUMBER('Данные 1st'!$QN$2:$QN$317))</f>
        <v>4</v>
      </c>
      <c r="HF2">
        <f>SUMPRODUCT(--('Данные 1st'!$S$2:$S$317=$A2),--ISNUMBER('Данные 1st'!$QP$2:$QP$317))</f>
        <v>4</v>
      </c>
      <c r="HG2">
        <f>SUMPRODUCT(--('Данные 1st'!$S$2:$S$317=$A2),--ISNUMBER('Данные 1st'!$QQ$2:$QQ$317))</f>
        <v>4</v>
      </c>
      <c r="HH2">
        <f>SUMPRODUCT(--('Данные 1st'!$S$2:$S$317=$A2),--ISNUMBER('Данные 1st'!$QR$2:$QR$317))</f>
        <v>0</v>
      </c>
      <c r="HI2">
        <f>SUMPRODUCT(--('Данные 1st'!$S$2:$S$317=$A2),--ISNUMBER('Данные 1st'!$QS$2:$QS$317))</f>
        <v>0</v>
      </c>
      <c r="HJ2">
        <f>SUMPRODUCT(--('Данные 1st'!$S$2:$S$317=$A2),--ISNUMBER('Данные 1st'!$QU$2:$QU$317))</f>
        <v>0</v>
      </c>
      <c r="HK2">
        <f>SUMPRODUCT(--('Данные 1st'!$S$2:$S$317=$A2),--ISNUMBER('Данные 1st'!$QV$2:$QV$317))</f>
        <v>0</v>
      </c>
      <c r="HL2">
        <f>SUMPRODUCT(--('Данные 1st'!$S$2:$S$317=$A2),--ISNUMBER('Данные 1st'!$QW$2:$QW$317))</f>
        <v>4</v>
      </c>
      <c r="HM2">
        <f>SUMPRODUCT(--('Данные 1st'!$S$2:$S$317=$A2),--ISNUMBER('Данные 1st'!$QX$2:$QX$317))</f>
        <v>4</v>
      </c>
      <c r="HN2">
        <f>SUMPRODUCT(--('Данные 1st'!$S$2:$S$317=$A2),--ISNUMBER('Данные 1st'!$QZ$2:$QZ$317))</f>
        <v>4</v>
      </c>
      <c r="HO2">
        <f>SUMPRODUCT(--('Данные 1st'!$S$2:$S$317=$A2),--ISNUMBER('Данные 1st'!$RA$2:$RA$317))</f>
        <v>4</v>
      </c>
      <c r="HP2">
        <f>SUMPRODUCT(--('Данные 1st'!$S$2:$S$317=$A2),--ISNUMBER('Данные 1st'!$RB$2:$RB$317))</f>
        <v>4</v>
      </c>
      <c r="HQ2">
        <f>SUMPRODUCT(--('Данные 1st'!$S$2:$S$317=$A2),--ISNUMBER('Данные 1st'!$RD$2:$RD$317))</f>
        <v>0</v>
      </c>
      <c r="HR2">
        <f>SUMPRODUCT(--('Данные 1st'!$S$2:$S$317=$A2),--ISNUMBER('Данные 1st'!$RE$2:$RE$317))</f>
        <v>4</v>
      </c>
      <c r="HS2">
        <f>SUMPRODUCT(--('Данные 1st'!$S$2:$S$317=$A2),--ISNUMBER('Данные 1st'!$RF$2:$RF$317))</f>
        <v>3</v>
      </c>
      <c r="HT2">
        <f>SUMPRODUCT(--('Данные 1st'!$S$2:$S$317=$A2),--ISNUMBER('Данные 1st'!$RG$2:$RG$317))</f>
        <v>1</v>
      </c>
      <c r="HU2">
        <f>SUMPRODUCT(--('Данные 1st'!$S$2:$S$317=$A2),--ISNUMBER('Данные 1st'!$RH$2:$RH$317))</f>
        <v>0</v>
      </c>
      <c r="HV2">
        <f>SUMPRODUCT(--('Данные 1st'!$S$2:$S$317=$A2),--ISNUMBER('Данные 1st'!$RI$2:$RI$317))</f>
        <v>0</v>
      </c>
      <c r="HW2">
        <f>SUMPRODUCT(--('Данные 1st'!$S$2:$S$317=$A2),--ISNUMBER('Данные 1st'!$RJ$2:$RJ$317))</f>
        <v>4</v>
      </c>
      <c r="HX2">
        <f>SUMPRODUCT(--('Данные 1st'!$S$2:$S$317=$A2),--ISNUMBER('Данные 1st'!$RK$2:$RK$317))</f>
        <v>0</v>
      </c>
      <c r="HY2">
        <f>SUMPRODUCT(--('Данные 1st'!$S$2:$S$317=$A2),--ISNUMBER('Данные 1st'!$RL$2:$RL$317))</f>
        <v>4</v>
      </c>
      <c r="HZ2">
        <f>SUMPRODUCT(--('Данные 1st'!$S$2:$S$317=$A2),--ISNUMBER('Данные 1st'!$RM$2:$RM$317))</f>
        <v>0</v>
      </c>
      <c r="IA2">
        <f>SUMPRODUCT(--('Данные 1st'!$S$2:$S$317=$A2),--ISNUMBER('Данные 1st'!$RN$2:$RN$317))</f>
        <v>0</v>
      </c>
      <c r="IB2">
        <f>SUMPRODUCT(--('Данные 1st'!$S$2:$S$317=$A2),--ISNUMBER('Данные 1st'!$RO$2:$RO$317))</f>
        <v>4</v>
      </c>
      <c r="IC2">
        <f>SUMPRODUCT(--('Данные 1st'!$S$2:$S$317=$A2),--ISNUMBER('Данные 1st'!$RP$2:$RP$317))</f>
        <v>0</v>
      </c>
      <c r="ID2">
        <f>SUMPRODUCT(--('Данные 1st'!$S$2:$S$317=$A2),--ISNUMBER('Данные 1st'!$RQ$2:$RQ$317))</f>
        <v>4</v>
      </c>
      <c r="IE2">
        <f>SUMPRODUCT(--('Данные 1st'!$S$2:$S$317=$A2),--ISNUMBER('Данные 1st'!$RR$2:$RR$317))</f>
        <v>0</v>
      </c>
      <c r="IF2">
        <f>SUMPRODUCT(--('Данные 1st'!$S$2:$S$317=$A2),--ISNUMBER('Данные 1st'!$RS$2:$RS$317))</f>
        <v>0</v>
      </c>
      <c r="IG2">
        <f>SUMPRODUCT(--('Данные 1st'!$S$2:$S$317=$A2),--ISNUMBER('Данные 1st'!$RT$2:$RT$317))</f>
        <v>4</v>
      </c>
      <c r="IH2">
        <f>SUMPRODUCT(--('Данные 1st'!$S$2:$S$317=$A2),--ISNUMBER('Данные 1st'!$RU$2:$RU$317))</f>
        <v>4</v>
      </c>
      <c r="II2">
        <f>SUMPRODUCT(--('Данные 1st'!$S$2:$S$317=$A2),--ISNUMBER('Данные 1st'!$RX$2:$RX$317))</f>
        <v>4</v>
      </c>
      <c r="IJ2">
        <f>SUMPRODUCT(--('Данные 1st'!$S$2:$S$317=$A2),--ISNUMBER('Данные 1st'!$RY$2:$RY$317))</f>
        <v>4</v>
      </c>
      <c r="IK2">
        <f>SUMPRODUCT(--('Данные 1st'!$S$2:$S$317=$A2),--ISNUMBER('Данные 1st'!$SA$2:$SA$317))</f>
        <v>4</v>
      </c>
      <c r="IL2">
        <f>SUMPRODUCT(--('Данные 1st'!$S$2:$S$317=$A2),--ISNUMBER('Данные 1st'!$SD$2:$SD$317))</f>
        <v>4</v>
      </c>
      <c r="IM2">
        <f>SUMPRODUCT(--('Данные 1st'!$S$2:$S$317=$A2),--ISNUMBER('Данные 1st'!$SG$2:$SG$317))</f>
        <v>0</v>
      </c>
      <c r="IN2">
        <f>SUMPRODUCT(--('Данные 1st'!$S$2:$S$317=$A2),--ISNUMBER('Данные 1st'!$SH$2:$SH$317))</f>
        <v>4</v>
      </c>
      <c r="IO2">
        <f>SUMPRODUCT(--('Данные 1st'!$S$2:$S$317=$A2),--ISNUMBER('Данные 1st'!$SI$2:$SI$317))</f>
        <v>4</v>
      </c>
      <c r="IP2">
        <f>SUMPRODUCT(--('Данные 1st'!$S$2:$S$317=$A2),--ISNUMBER('Данные 1st'!$SJ$2:$SJ$317))</f>
        <v>4</v>
      </c>
      <c r="IQ2">
        <f>SUMPRODUCT(--('Данные 1st'!$S$2:$S$317=$A2),--ISNUMBER('Данные 1st'!$SK$2:$SK$317))</f>
        <v>4</v>
      </c>
      <c r="IR2">
        <f>SUMPRODUCT(--('Данные 1st'!$S$2:$S$317=$A2),--ISNUMBER('Данные 1st'!$SL$2:$SL$317))</f>
        <v>4</v>
      </c>
      <c r="IS2">
        <f>SUMPRODUCT(--('Данные 1st'!$S$2:$S$317=$A2),--ISNUMBER('Данные 1st'!$SM$2:$SM$317))</f>
        <v>4</v>
      </c>
      <c r="IT2">
        <f>SUMPRODUCT(--('Данные 1st'!$S$2:$S$317=$A2),--ISNUMBER('Данные 1st'!$SN$2:$SN$317))</f>
        <v>4</v>
      </c>
      <c r="IU2">
        <f>SUMPRODUCT(--('Данные 1st'!$S$2:$S$317=$A2),--ISNUMBER('Данные 1st'!$SO$2:$SO$317))</f>
        <v>4</v>
      </c>
      <c r="IV2">
        <f>SUMPRODUCT(--('Данные 1st'!$S$2:$S$317=$A2),--ISNUMBER('Данные 1st'!$SP$2:$SP$317))</f>
        <v>4</v>
      </c>
      <c r="IW2">
        <f>SUMPRODUCT(--('Данные 1st'!$S$2:$S$317=$A2),--ISNUMBER('Данные 1st'!$SQ$2:$SQ$317))</f>
        <v>4</v>
      </c>
      <c r="IX2">
        <f>SUMPRODUCT(--('Данные 1st'!$S$2:$S$317=$A2),--ISNUMBER('Данные 1st'!$SR$2:$SR$317))</f>
        <v>4</v>
      </c>
      <c r="IY2">
        <f>SUMPRODUCT(--('Данные 1st'!$S$2:$S$317=$A2),--ISNUMBER('Данные 1st'!$SS$2:$SS$317))</f>
        <v>4</v>
      </c>
      <c r="IZ2">
        <f>SUMPRODUCT(--('Данные 1st'!$S$2:$S$317=$A2),--ISNUMBER('Данные 1st'!$ST$2:$ST$317))</f>
        <v>4</v>
      </c>
      <c r="JA2">
        <f>SUMPRODUCT(--('Данные 1st'!$S$2:$S$317=$A2),--ISNUMBER('Данные 1st'!$SU$2:$SU$317))</f>
        <v>4</v>
      </c>
      <c r="JB2">
        <f>SUMPRODUCT(--('Данные 1st'!$S$2:$S$317=$A2),--ISNUMBER('Данные 1st'!$SV$2:$SV$317))</f>
        <v>4</v>
      </c>
      <c r="JC2">
        <f>SUMPRODUCT(--('Данные 1st'!$S$2:$S$317=$A2),--ISNUMBER('Данные 1st'!$SW$2:$SW$317))</f>
        <v>4</v>
      </c>
      <c r="JD2">
        <f>SUMPRODUCT(--('Данные 1st'!$S$2:$S$317=$A2),--ISNUMBER('Данные 1st'!$SX$2:$SX$317))</f>
        <v>4</v>
      </c>
      <c r="JE2">
        <f>SUMPRODUCT(--('Данные 1st'!$S$2:$S$317=$A2),--ISNUMBER('Данные 1st'!$SY$2:$SY$317))</f>
        <v>0</v>
      </c>
      <c r="JF2">
        <f>SUMPRODUCT(--('Данные 1st'!$S$2:$S$317=$A2),--ISNUMBER('Данные 1st'!$SZ$2:$SZ$317))</f>
        <v>0</v>
      </c>
      <c r="JG2">
        <f>SUMPRODUCT(--('Данные 1st'!$S$2:$S$317=$A2),--ISNUMBER('Данные 1st'!$TA$2:$TA$317))</f>
        <v>0</v>
      </c>
      <c r="JH2">
        <f>SUMPRODUCT(--('Данные 1st'!$S$2:$S$317=$A2),--ISNUMBER('Данные 1st'!$TB$2:$TB$317))</f>
        <v>4</v>
      </c>
      <c r="JI2">
        <f>SUMPRODUCT(--('Данные 1st'!$S$2:$S$317=$A2),--ISNUMBER('Данные 1st'!$TC$2:$TC$317))</f>
        <v>4</v>
      </c>
      <c r="JJ2">
        <f>SUMPRODUCT(--('Данные 1st'!$S$2:$S$317=$A2),--ISNUMBER('Данные 1st'!$TD$2:$TD$317))</f>
        <v>4</v>
      </c>
      <c r="JK2">
        <f>SUMPRODUCT(--('Данные 1st'!$S$2:$S$317=$A2),--ISNUMBER('Данные 1st'!$TN$2:$TN$317))</f>
        <v>4</v>
      </c>
      <c r="JQ2">
        <f>SUMPRODUCT(--('Данные 2st'!$Q$2:$Q$317=$A2),--ISNUMBER('Данные 2st'!$AC$2:$AC$317))</f>
        <v>4</v>
      </c>
      <c r="JR2">
        <f>SUMPRODUCT(--('Данные 2st'!$Q$2:$Q$317=$A2),--ISNUMBER('Данные 2st'!$AF$2:$AF$317))</f>
        <v>4</v>
      </c>
      <c r="JS2">
        <f>SUMPRODUCT(--('Данные 2st'!$Q$2:$Q$317=$A2),--ISNUMBER('Данные 2st'!$AW$2:$AW$317))</f>
        <v>4</v>
      </c>
      <c r="JT2">
        <f>SUMPRODUCT(--('Данные 2st'!$Q$2:$Q$317=$A2),--ISNUMBER('Данные 2st'!$AX$2:$AX$317))</f>
        <v>4</v>
      </c>
      <c r="JU2">
        <f>SUMPRODUCT(--('Данные 2st'!$Q$2:$Q$317=$A2),--ISNUMBER('Данные 2st'!$AY$2:$AY$317))</f>
        <v>4</v>
      </c>
      <c r="JV2">
        <f>SUMPRODUCT(--('Данные 2st'!$Q$2:$Q$317=$A2),--ISNUMBER('Данные 2st'!$AZ$2:$AZ$317))</f>
        <v>4</v>
      </c>
      <c r="JW2">
        <f>SUMPRODUCT(--('Данные 2st'!$Q$2:$Q$317=$A2),--ISNUMBER('Данные 2st'!$BA$2:$BA$317))</f>
        <v>0</v>
      </c>
      <c r="JX2">
        <f>SUMPRODUCT(--('Данные 2st'!$Q$2:$Q$317=$A2),--ISNUMBER('Данные 2st'!$BB$2:$BB$317))</f>
        <v>0</v>
      </c>
      <c r="JY2">
        <f>SUMPRODUCT(--('Данные 2st'!$Q$2:$Q$317=$A2),--ISNUMBER('Данные 2st'!$BC$2:$BC$317))</f>
        <v>0</v>
      </c>
      <c r="JZ2">
        <f>SUMPRODUCT(--('Данные 2st'!$Q$2:$Q$317=$A2),--ISNUMBER('Данные 2st'!$BH$2:$BH$317))</f>
        <v>4</v>
      </c>
      <c r="KA2">
        <f>SUMPRODUCT(--('Данные 2st'!$Q$2:$Q$317=$A2),--ISNUMBER('Данные 2st'!$BI$2:$BI$317))</f>
        <v>4</v>
      </c>
      <c r="KB2">
        <f>SUMPRODUCT(--('Данные 2st'!$Q$2:$Q$317=$A2),--ISNUMBER('Данные 2st'!$BJ$2:$BJ$317))</f>
        <v>4</v>
      </c>
      <c r="KC2">
        <f>SUMPRODUCT(--('Данные 2st'!$Q$2:$Q$317=$A2),--ISNUMBER('Данные 2st'!$BK$2:$BK$317))</f>
        <v>4</v>
      </c>
      <c r="KD2">
        <f>SUMPRODUCT(--('Данные 2st'!$Q$2:$Q$317=$A2),--ISNUMBER('Данные 2st'!$BL$2:$BL$317))</f>
        <v>4</v>
      </c>
      <c r="KE2">
        <f>SUMPRODUCT(--('Данные 2st'!$Q$2:$Q$317=$A2),--ISNUMBER('Данные 2st'!$BM$2:$BM$317))</f>
        <v>4</v>
      </c>
      <c r="KF2">
        <f>SUMPRODUCT(--('Данные 2st'!$Q$2:$Q$317=$A2),--ISNUMBER('Данные 2st'!$BN$2:$BN$317))</f>
        <v>4</v>
      </c>
      <c r="KG2">
        <f>SUMPRODUCT(--('Данные 2st'!$Q$2:$Q$317=$A2),--ISNUMBER('Данные 2st'!$BO$2:$BO$317))</f>
        <v>2</v>
      </c>
      <c r="KH2">
        <f>SUMPRODUCT(--('Данные 2st'!$Q$2:$Q$317=$A2),--ISNUMBER('Данные 2st'!$BP$2:$BP$317))</f>
        <v>4</v>
      </c>
      <c r="KI2">
        <f>SUMPRODUCT(--('Данные 2st'!$Q$2:$Q$317=$A2),--ISNUMBER('Данные 2st'!$BR$2:$BR$317))</f>
        <v>4</v>
      </c>
      <c r="KJ2">
        <f>SUMPRODUCT(--('Данные 2st'!$Q$2:$Q$317=$A2),--ISNUMBER('Данные 2st'!$BS$2:$BS$317))</f>
        <v>4</v>
      </c>
      <c r="KK2">
        <f>SUMPRODUCT(--('Данные 2st'!$Q$2:$Q$317=$A2),--ISNUMBER('Данные 2st'!$BT$2:$BT$317))</f>
        <v>4</v>
      </c>
      <c r="KL2">
        <f>SUMPRODUCT(--('Данные 2st'!$Q$2:$Q$317=$A2),--ISNUMBER('Данные 2st'!$CV$2:$CV$317))</f>
        <v>4</v>
      </c>
      <c r="KM2">
        <f>SUMPRODUCT(--('Данные 2st'!$Q$2:$Q$317=$A2),--ISNUMBER('Данные 2st'!$CW$2:$CW$317))</f>
        <v>4</v>
      </c>
      <c r="KN2">
        <f>SUMPRODUCT(--('Данные 2st'!$Q$2:$Q$317=$A2),--ISNUMBER('Данные 2st'!$CX$2:$CX$317))</f>
        <v>4</v>
      </c>
      <c r="KO2">
        <f>SUMPRODUCT(--('Данные 2st'!$Q$2:$Q$317=$A2),--ISNUMBER('Данные 2st'!$CY$2:$CY$317))</f>
        <v>4</v>
      </c>
      <c r="KP2">
        <f>SUMPRODUCT(--('Данные 2st'!$Q$2:$Q$317=$A2),--ISNUMBER('Данные 2st'!$CZ$2:$CZ$317))</f>
        <v>4</v>
      </c>
      <c r="KQ2">
        <f>SUMPRODUCT(--('Данные 2st'!$Q$2:$Q$317=$A2),--ISNUMBER('Данные 2st'!$DA$2:$DA$317))</f>
        <v>4</v>
      </c>
      <c r="KR2">
        <f>SUMPRODUCT(--('Данные 2st'!$Q$2:$Q$317=$A2),--ISNUMBER('Данные 2st'!$DB$2:$DB$317))</f>
        <v>4</v>
      </c>
      <c r="KS2">
        <f>SUMPRODUCT(--('Данные 2st'!$Q$2:$Q$317=$A2),--ISNUMBER('Данные 2st'!$DC$2:$DC$317))</f>
        <v>4</v>
      </c>
      <c r="KT2">
        <f>SUMPRODUCT(--('Данные 2st'!$Q$2:$Q$317=$A2),--ISNUMBER('Данные 2st'!$DD$2:$DD$317))</f>
        <v>4</v>
      </c>
      <c r="KU2">
        <f>SUMPRODUCT(--('Данные 2st'!$Q$2:$Q$317=$A2),--ISNUMBER('Данные 2st'!$DE$2:$DE$317))</f>
        <v>4</v>
      </c>
      <c r="KV2">
        <f>SUMPRODUCT(--('Данные 2st'!$Q$2:$Q$317=$A2),--ISNUMBER('Данные 2st'!$DF$2:$DF$317))</f>
        <v>4</v>
      </c>
      <c r="KW2">
        <f>SUMPRODUCT(--('Данные 2st'!$Q$2:$Q$317=$A2),--ISNUMBER('Данные 2st'!$DG$2:$DG$317))</f>
        <v>4</v>
      </c>
      <c r="KX2">
        <f>SUMPRODUCT(--('Данные 2st'!$Q$2:$Q$317=$A2),--ISNUMBER('Данные 2st'!$DH$2:$DH$317))</f>
        <v>0</v>
      </c>
      <c r="KY2">
        <f>SUMPRODUCT(--('Данные 2st'!$Q$2:$Q$317=$A2),--ISNUMBER('Данные 2st'!$DI$2:$DI$317))</f>
        <v>1</v>
      </c>
      <c r="KZ2">
        <f>SUMPRODUCT(--('Данные 2st'!$Q$2:$Q$317=$A2),--ISNUMBER('Данные 2st'!$DK$2:$DK$317))</f>
        <v>4</v>
      </c>
      <c r="LA2">
        <f>SUMPRODUCT(--('Данные 2st'!$Q$2:$Q$317=$A2),--ISNUMBER('Данные 2st'!$DM$2:$DM$317))</f>
        <v>4</v>
      </c>
      <c r="LB2">
        <f>SUMPRODUCT(--('Данные 2st'!$Q$2:$Q$317=$A2),--ISNUMBER('Данные 2st'!$DN$2:$DN$317))</f>
        <v>4</v>
      </c>
      <c r="LC2">
        <f>SUMPRODUCT(--('Данные 2st'!$Q$2:$Q$317=$A2),--ISNUMBER('Данные 2st'!$DO$2:$DO$317))</f>
        <v>4</v>
      </c>
      <c r="LD2">
        <f>SUMPRODUCT(--('Данные 2st'!$Q$2:$Q$317=$A2),--ISNUMBER('Данные 2st'!$DP$2:$DP$317))</f>
        <v>4</v>
      </c>
      <c r="LE2">
        <f>SUMPRODUCT(--('Данные 2st'!$Q$2:$Q$317=$A2),--ISNUMBER('Данные 2st'!$DQ$2:$DQ$317))</f>
        <v>4</v>
      </c>
      <c r="LF2">
        <f>SUMPRODUCT(--('Данные 2st'!$Q$2:$Q$317=$A2),--ISNUMBER('Данные 2st'!$DS$2:$DS$317))</f>
        <v>4</v>
      </c>
      <c r="LG2">
        <f>SUMPRODUCT(--('Данные 2st'!$Q$2:$Q$317=$A2),--ISNUMBER('Данные 2st'!$DU$2:$DU$317))</f>
        <v>4</v>
      </c>
      <c r="LH2">
        <f>SUMPRODUCT(--('Данные 2st'!$Q$2:$Q$317=$A2),--ISNUMBER('Данные 2st'!$DV$2:$DV$317))</f>
        <v>4</v>
      </c>
      <c r="LI2">
        <f>SUMPRODUCT(--('Данные 2st'!$Q$2:$Q$317=$A2),--ISNUMBER('Данные 2st'!$DW$2:$DW$317))</f>
        <v>4</v>
      </c>
      <c r="LJ2">
        <f>SUMPRODUCT(--('Данные 2st'!$Q$2:$Q$317=$A2),--ISNUMBER('Данные 2st'!$DX$2:$DX$317))</f>
        <v>4</v>
      </c>
      <c r="LK2">
        <f>SUMPRODUCT(--('Данные 2st'!$Q$2:$Q$317=$A2),--ISNUMBER('Данные 2st'!$DY$2:$DY$317))</f>
        <v>4</v>
      </c>
      <c r="LL2">
        <f>SUMPRODUCT(--('Данные 2st'!$Q$2:$Q$317=$A2),--ISNUMBER('Данные 2st'!$EA$2:$EA$317))</f>
        <v>4</v>
      </c>
      <c r="LM2">
        <f>SUMPRODUCT(--('Данные 2st'!$Q$2:$Q$317=$A2),--ISNUMBER('Данные 2st'!$EC$2:$EC$317))</f>
        <v>4</v>
      </c>
      <c r="LN2">
        <f>SUMPRODUCT(--('Данные 2st'!$Q$2:$Q$317=$A2),--ISNUMBER('Данные 2st'!$ED$2:$ED$317))</f>
        <v>4</v>
      </c>
      <c r="LO2">
        <f>SUMPRODUCT(--('Данные 2st'!$Q$2:$Q$317=$A2),--ISNUMBER('Данные 2st'!$EE$2:$EE$317))</f>
        <v>4</v>
      </c>
      <c r="LP2">
        <f>SUMPRODUCT(--('Данные 2st'!$Q$2:$Q$317=$A2),--ISNUMBER('Данные 2st'!$EG$2:$EG$317))</f>
        <v>4</v>
      </c>
      <c r="LQ2">
        <f>SUMPRODUCT(--('Данные 2st'!$Q$2:$Q$317=$A2),--ISNUMBER('Данные 2st'!$EI$2:$EI$317))</f>
        <v>4</v>
      </c>
      <c r="LR2">
        <f>SUMPRODUCT(--('Данные 2st'!$Q$2:$Q$317=$A2),--ISNUMBER('Данные 2st'!$EJ$2:$EJ$317))</f>
        <v>4</v>
      </c>
      <c r="LS2">
        <f>SUMPRODUCT(--('Данные 2st'!$Q$2:$Q$317=$A2),--ISNUMBER('Данные 2st'!$EK$2:$EK$317))</f>
        <v>4</v>
      </c>
      <c r="LT2">
        <f>SUMPRODUCT(--('Данные 2st'!$Q$2:$Q$317=$A2),--ISNUMBER('Данные 2st'!$EM$2:$EM$317))</f>
        <v>4</v>
      </c>
      <c r="LU2">
        <f>SUMPRODUCT(--('Данные 2st'!$Q$2:$Q$317=$A2),--ISNUMBER('Данные 2st'!$EN$2:$EN$317))</f>
        <v>4</v>
      </c>
      <c r="LV2">
        <f>SUMPRODUCT(--('Данные 2st'!$Q$2:$Q$317=$A2),--ISNUMBER('Данные 2st'!$EO$2:$EO$317))</f>
        <v>4</v>
      </c>
      <c r="LW2">
        <f>SUMPRODUCT(--('Данные 2st'!$Q$2:$Q$317=$A2),--ISNUMBER('Данные 2st'!$EP$2:$EP$317))</f>
        <v>4</v>
      </c>
      <c r="LX2">
        <f>SUMPRODUCT(--('Данные 2st'!$Q$2:$Q$317=$A2),--ISNUMBER('Данные 2st'!$EQ$2:$EQ$317))</f>
        <v>4</v>
      </c>
      <c r="LY2">
        <f>SUMPRODUCT(--('Данные 2st'!$Q$2:$Q$317=$A2),--ISNUMBER('Данные 2st'!$ER$2:$ER$317))</f>
        <v>4</v>
      </c>
      <c r="LZ2">
        <f>SUMPRODUCT(--('Данные 2st'!$Q$2:$Q$317=$A2),--ISNUMBER('Данные 2st'!$ES$2:$ES$317))</f>
        <v>4</v>
      </c>
      <c r="MA2">
        <f>SUMPRODUCT(--('Данные 2st'!$Q$2:$Q$317=$A2),--ISNUMBER('Данные 2st'!$ET$2:$ET$317))</f>
        <v>4</v>
      </c>
      <c r="MB2">
        <f>SUMPRODUCT(--('Данные 2st'!$Q$2:$Q$317=$A2),--ISNUMBER('Данные 2st'!$EU$2:$EU$317))</f>
        <v>4</v>
      </c>
      <c r="MC2">
        <f>SUMPRODUCT(--('Данные 2st'!$Q$2:$Q$317=$A2),--ISNUMBER('Данные 2st'!$EV$2:$EV$317))</f>
        <v>4</v>
      </c>
      <c r="MD2">
        <f>SUMPRODUCT(--('Данные 2st'!$Q$2:$Q$317=$A2),--ISNUMBER('Данные 2st'!$EW$2:$EW$317))</f>
        <v>4</v>
      </c>
      <c r="ME2">
        <f>SUMPRODUCT(--('Данные 2st'!$Q$2:$Q$317=$A2),--ISNUMBER('Данные 2st'!$EY$2:$EY$317))</f>
        <v>4</v>
      </c>
      <c r="MF2">
        <f>SUMPRODUCT(--('Данные 2st'!$Q$2:$Q$317=$A2),--ISNUMBER('Данные 2st'!$FA$2:$FA$317))</f>
        <v>4</v>
      </c>
      <c r="MG2">
        <f>SUMPRODUCT(--('Данные 2st'!$Q$2:$Q$317=$A2),--ISNUMBER('Данные 2st'!$FB$2:$FB$317))</f>
        <v>4</v>
      </c>
      <c r="MH2">
        <f>SUMPRODUCT(--('Данные 2st'!$Q$2:$Q$317=$A2),--ISNUMBER('Данные 2st'!$FC$2:$FC$317))</f>
        <v>4</v>
      </c>
      <c r="MI2">
        <f>SUMPRODUCT(--('Данные 2st'!$Q$2:$Q$317=$A2),--ISNUMBER('Данные 2st'!$FD$2:$FD$317))</f>
        <v>4</v>
      </c>
      <c r="MJ2">
        <f>SUMPRODUCT(--('Данные 2st'!$Q$2:$Q$317=$A2),--ISNUMBER('Данные 2st'!$FE$2:$FE$317))</f>
        <v>4</v>
      </c>
      <c r="MK2">
        <f>SUMPRODUCT(--('Данные 2st'!$Q$2:$Q$317=$A2),--ISNUMBER('Данные 2st'!$FG$2:$FG$317))</f>
        <v>4</v>
      </c>
      <c r="ML2">
        <f>SUMPRODUCT(--('Данные 2st'!$Q$2:$Q$317=$A2),--ISNUMBER('Данные 2st'!$FI$2:$FI$317))</f>
        <v>4</v>
      </c>
      <c r="MM2">
        <f>SUMPRODUCT(--('Данные 2st'!$Q$2:$Q$317=$A2),--ISNUMBER('Данные 2st'!$FJ$2:$FJ$317))</f>
        <v>4</v>
      </c>
      <c r="MN2">
        <f>SUMPRODUCT(--('Данные 2st'!$Q$2:$Q$317=$A2),--ISNUMBER('Данные 2st'!$FK$2:$FK$317))</f>
        <v>4</v>
      </c>
      <c r="MO2">
        <f>SUMPRODUCT(--('Данные 2st'!$Q$2:$Q$317=$A2),--ISNUMBER('Данные 2st'!$FP$2:$FP$317))</f>
        <v>4</v>
      </c>
      <c r="MP2">
        <f>SUMPRODUCT(--('Данные 2st'!$Q$2:$Q$317=$A2),--ISNUMBER('Данные 2st'!$FQ$2:$FQ$317))</f>
        <v>4</v>
      </c>
      <c r="MQ2">
        <f>SUMPRODUCT(--('Данные 2st'!$Q$2:$Q$317=$A2),--ISNUMBER('Данные 2st'!$FS$2:$FS$317))</f>
        <v>4</v>
      </c>
      <c r="MR2">
        <f>SUMPRODUCT(--('Данные 2st'!$Q$2:$Q$317=$A2),--ISNUMBER('Данные 2st'!$FU$2:$FU$317))</f>
        <v>4</v>
      </c>
      <c r="MS2">
        <f>SUMPRODUCT(--('Данные 2st'!$Q$2:$Q$317=$A2),--ISNUMBER('Данные 2st'!$FV$2:$FV$317))</f>
        <v>4</v>
      </c>
      <c r="MT2">
        <f>SUMPRODUCT(--('Данные 2st'!$Q$2:$Q$317=$A2),--ISNUMBER('Данные 2st'!$FW$2:$FW$317))</f>
        <v>4</v>
      </c>
      <c r="MU2">
        <f>SUMPRODUCT(--('Данные 2st'!$Q$2:$Q$317=$A2),--ISNUMBER('Данные 2st'!$FY$2:$FY$317))</f>
        <v>3</v>
      </c>
      <c r="MV2">
        <f>SUMPRODUCT(--('Данные 2st'!$Q$2:$Q$317=$A2),--ISNUMBER('Данные 2st'!$GB$2:$GB$317))</f>
        <v>3</v>
      </c>
      <c r="MW2">
        <f>SUMPRODUCT(--('Данные 2st'!$Q$2:$Q$317=$A2),--ISNUMBER('Данные 2st'!$GC$2:$GC$317))</f>
        <v>3</v>
      </c>
      <c r="MX2">
        <f>SUMPRODUCT(--('Данные 2st'!$Q$2:$Q$317=$A2),--ISNUMBER('Данные 2st'!$GD$2:$GD$317))</f>
        <v>4</v>
      </c>
      <c r="MY2">
        <f>SUMPRODUCT(--('Данные 2st'!$Q$2:$Q$317=$A2),--ISNUMBER('Данные 2st'!$GN$2:$GN$317))</f>
        <v>0</v>
      </c>
      <c r="MZ2">
        <f>SUMPRODUCT(--('Данные 2st'!$Q$2:$Q$317=$A2),--ISNUMBER('Данные 2st'!$GQ$2:$GQ$317))</f>
        <v>4</v>
      </c>
      <c r="NA2">
        <f>SUMPRODUCT(--('Данные 2st'!$Q$2:$Q$317=$A2),--ISNUMBER('Данные 2st'!$GV$2:$GV$317))</f>
        <v>4</v>
      </c>
      <c r="NB2">
        <f>SUMPRODUCT(--('Данные 2st'!$Q$2:$Q$317=$A2),--ISNUMBER('Данные 2st'!$GW$2:$GW$317))</f>
        <v>4</v>
      </c>
      <c r="NC2">
        <f>SUMPRODUCT(--('Данные 2st'!$Q$2:$Q$317=$A2),--ISNUMBER('Данные 2st'!$GX$2:$GX$317))</f>
        <v>4</v>
      </c>
      <c r="ND2">
        <f>SUMPRODUCT(--('Данные 2st'!$Q$2:$Q$317=$A2),--ISNUMBER('Данные 2st'!$GY$2:$GY$317))</f>
        <v>4</v>
      </c>
      <c r="NE2">
        <f>SUMPRODUCT(--('Данные 2st'!$Q$2:$Q$317=$A2),--ISNUMBER('Данные 2st'!$GZ$2:$GZ$317))</f>
        <v>4</v>
      </c>
      <c r="NF2">
        <f>SUMPRODUCT(--('Данные 2st'!$Q$2:$Q$317=$A2),--ISNUMBER('Данные 2st'!$HA$2:$HA$317))</f>
        <v>4</v>
      </c>
      <c r="NG2">
        <f>SUMPRODUCT(--('Данные 2st'!$Q$2:$Q$317=$A2),--ISNUMBER('Данные 2st'!$HB$2:$HB$317))</f>
        <v>4</v>
      </c>
      <c r="NH2">
        <f>SUMPRODUCT(--('Данные 2st'!$Q$2:$Q$317=$A2),--ISNUMBER('Данные 2st'!$HC$2:$HC$317))</f>
        <v>4</v>
      </c>
      <c r="NI2">
        <f>SUMPRODUCT(--('Данные 2st'!$Q$2:$Q$317=$A2),--ISNUMBER('Данные 2st'!$HD$2:$HD$317))</f>
        <v>4</v>
      </c>
      <c r="NJ2">
        <f>SUMPRODUCT(--('Данные 2st'!$Q$2:$Q$317=$A2),--ISNUMBER('Данные 2st'!$HM$2:$HM$317))</f>
        <v>4</v>
      </c>
      <c r="NK2">
        <f>SUMPRODUCT(--('Данные 2st'!$Q$2:$Q$317=$A2),--ISNUMBER('Данные 2st'!$HR$2:$HR$317))</f>
        <v>4</v>
      </c>
      <c r="NL2">
        <f>SUMPRODUCT(--('Данные 2st'!$Q$2:$Q$317=$A2),--ISNUMBER('Данные 2st'!$HS$2:$HS$317))</f>
        <v>4</v>
      </c>
      <c r="NM2">
        <f>SUMPRODUCT(--('Данные 2st'!$Q$2:$Q$317=$A2),--ISNUMBER('Данные 2st'!$HT$2:$HT$317))</f>
        <v>4</v>
      </c>
      <c r="NN2">
        <f>SUMPRODUCT(--('Данные 2st'!$Q$2:$Q$317=$A2),--ISNUMBER('Данные 2st'!$HY$2:$HY$317))</f>
        <v>4</v>
      </c>
      <c r="NO2">
        <f>SUMPRODUCT(--('Данные 2st'!$Q$2:$Q$317=$A2),--ISNUMBER('Данные 2st'!$HZ$2:$HZ$317))</f>
        <v>4</v>
      </c>
      <c r="NP2">
        <f>SUMPRODUCT(--('Данные 2st'!$Q$2:$Q$317=$A2),--ISNUMBER('Данные 2st'!$IA$2:$IA$317))</f>
        <v>4</v>
      </c>
      <c r="NQ2">
        <f>SUMPRODUCT(--('Данные 2st'!$Q$2:$Q$317=$A2),--ISNUMBER('Данные 2st'!$IB$2:$IB$317))</f>
        <v>4</v>
      </c>
      <c r="NR2">
        <f>SUMPRODUCT(--('Данные 2st'!$Q$2:$Q$317=$A2),--ISNUMBER('Данные 2st'!$IC$2:$IC$317))</f>
        <v>0</v>
      </c>
      <c r="NS2">
        <f>SUMPRODUCT(--('Данные 2st'!$Q$2:$Q$317=$A2),--ISNUMBER('Данные 2st'!$ID$2:$ID$317))</f>
        <v>4</v>
      </c>
      <c r="NT2">
        <f>SUMPRODUCT(--('Данные 2st'!$Q$2:$Q$317=$A2),--ISNUMBER('Данные 2st'!$IE$2:$IE$317))</f>
        <v>4</v>
      </c>
      <c r="NU2">
        <f>SUMPRODUCT(--('Данные 2st'!$Q$2:$Q$317=$A2),--ISNUMBER('Данные 2st'!$IF$2:$IF$317))</f>
        <v>4</v>
      </c>
      <c r="NV2">
        <f>SUMPRODUCT(--('Данные 2st'!$Q$2:$Q$317=$A2),--ISNUMBER('Данные 2st'!$IG$2:$IG$317))</f>
        <v>4</v>
      </c>
      <c r="NW2">
        <f>SUMPRODUCT(--('Данные 2st'!$Q$2:$Q$317=$A2),--ISNUMBER('Данные 2st'!$IH$2:$IH$317))</f>
        <v>4</v>
      </c>
      <c r="NX2">
        <f>SUMPRODUCT(--('Данные 2st'!$Q$2:$Q$317=$A2),--ISNUMBER('Данные 2st'!$IJ$2:$IJ$317))</f>
        <v>4</v>
      </c>
      <c r="NY2">
        <f>SUMPRODUCT(--('Данные 2st'!$Q$2:$Q$317=$A2),--ISNUMBER('Данные 2st'!$IM$2:$IM$317))</f>
        <v>4</v>
      </c>
      <c r="NZ2">
        <f>SUMPRODUCT(--('Данные 2st'!$Q$2:$Q$317=$A2),--ISNUMBER('Данные 2st'!$IN$2:$IN$317))</f>
        <v>4</v>
      </c>
      <c r="OA2">
        <f>SUMPRODUCT(--('Данные 2st'!$Q$2:$Q$317=$A2),--ISNUMBER('Данные 2st'!$IO$2:$IO$317))</f>
        <v>4</v>
      </c>
      <c r="OB2">
        <f>SUMPRODUCT(--('Данные 2st'!$Q$2:$Q$317=$A2),--ISNUMBER('Данные 2st'!$IP$2:$IP$317))</f>
        <v>4</v>
      </c>
      <c r="OC2">
        <f>SUMPRODUCT(--('Данные 2st'!$Q$2:$Q$317=$A2),--ISNUMBER('Данные 2st'!$IQ$2:$IQ$317))</f>
        <v>4</v>
      </c>
      <c r="OD2">
        <f>SUMPRODUCT(--('Данные 2st'!$Q$2:$Q$317=$A2),--ISNUMBER('Данные 2st'!$IR$2:$IR$317))</f>
        <v>4</v>
      </c>
      <c r="OE2">
        <f>SUMPRODUCT(--('Данные 2st'!$Q$2:$Q$317=$A2),--ISNUMBER('Данные 2st'!$IT$2:$IT$317))</f>
        <v>4</v>
      </c>
      <c r="OF2">
        <f>SUMPRODUCT(--('Данные 2st'!$Q$2:$Q$317=$A2),--ISNUMBER('Данные 2st'!$IU$2:$IU$317))</f>
        <v>4</v>
      </c>
      <c r="OG2">
        <f>SUMPRODUCT(--('Данные 2st'!$Q$2:$Q$317=$A2),--ISNUMBER('Данные 2st'!$IV$2:$IV$317))</f>
        <v>4</v>
      </c>
      <c r="OH2">
        <f>SUMPRODUCT(--('Данные 2st'!$Q$2:$Q$317=$A2),--ISNUMBER('Данные 2st'!$IW$2:$IW$317))</f>
        <v>4</v>
      </c>
      <c r="OI2">
        <f>SUMPRODUCT(--('Данные 2st'!$Q$2:$Q$317=$A2),--ISNUMBER('Данные 2st'!$IX$2:$IX$317))</f>
        <v>4</v>
      </c>
      <c r="OJ2">
        <f>SUMPRODUCT(--('Данные 2st'!$Q$2:$Q$317=$A2),--ISNUMBER('Данные 2st'!$IY$2:$IY$317))</f>
        <v>4</v>
      </c>
      <c r="OK2">
        <f>SUMPRODUCT(--('Данные 2st'!$Q$2:$Q$317=$A2),--ISNUMBER('Данные 2st'!$IZ$2:$IZ$317))</f>
        <v>4</v>
      </c>
      <c r="OL2">
        <f>SUMPRODUCT(--('Данные 2st'!$Q$2:$Q$317=$A2),--ISNUMBER('Данные 2st'!$JA$2:$JA$317))</f>
        <v>4</v>
      </c>
      <c r="OM2">
        <f>SUMPRODUCT(--('Данные 2st'!$Q$2:$Q$317=$A2),--ISNUMBER('Данные 2st'!$JB$2:$JB$317))</f>
        <v>4</v>
      </c>
      <c r="ON2">
        <f>SUMPRODUCT(--('Данные 2st'!$Q$2:$Q$317=$A2),--ISNUMBER('Данные 2st'!$JC$2:$JC$317))</f>
        <v>4</v>
      </c>
      <c r="OO2">
        <f>SUMPRODUCT(--('Данные 2st'!$Q$2:$Q$317=$A2),--ISNUMBER('Данные 2st'!$JD$2:$JD$317))</f>
        <v>4</v>
      </c>
      <c r="OP2">
        <f>SUMPRODUCT(--('Данные 2st'!$Q$2:$Q$317=$A2),--ISNUMBER('Данные 2st'!$JE$2:$JE$317))</f>
        <v>4</v>
      </c>
      <c r="OQ2">
        <f>SUMPRODUCT(--('Данные 2st'!$Q$2:$Q$317=$A2),--ISNUMBER('Данные 2st'!$JF$2:$JF$317))</f>
        <v>4</v>
      </c>
      <c r="OR2">
        <f>SUMPRODUCT(--('Данные 2st'!$Q$2:$Q$317=$A2),--ISNUMBER('Данные 2st'!$JG$2:$JG$317))</f>
        <v>4</v>
      </c>
      <c r="OS2">
        <f>SUMPRODUCT(--('Данные 2st'!$Q$2:$Q$317=$A2),--ISNUMBER('Данные 2st'!$JH$2:$JH$317))</f>
        <v>4</v>
      </c>
      <c r="OT2">
        <f>SUMPRODUCT(--('Данные 2st'!$Q$2:$Q$317=$A2),--ISNUMBER('Данные 2st'!$JI$2:$JI$317))</f>
        <v>4</v>
      </c>
      <c r="OU2">
        <f>SUMPRODUCT(--('Данные 2st'!$Q$2:$Q$317=$A2),--ISNUMBER('Данные 2st'!$JJ$2:$JJ$317))</f>
        <v>4</v>
      </c>
      <c r="OV2">
        <f>SUMPRODUCT(--('Данные 2st'!$Q$2:$Q$317=$A2),--ISNUMBER('Данные 2st'!$JK$2:$JK$317))</f>
        <v>4</v>
      </c>
      <c r="OW2">
        <f>SUMPRODUCT(--('Данные 2st'!$Q$2:$Q$317=$A2),--ISNUMBER('Данные 2st'!$JL$2:$JL$317))</f>
        <v>4</v>
      </c>
      <c r="OX2">
        <f>SUMPRODUCT(--('Данные 2st'!$Q$2:$Q$317=$A2),--ISNUMBER('Данные 2st'!$JM$2:$JM$317))</f>
        <v>4</v>
      </c>
      <c r="OY2">
        <f>SUMPRODUCT(--('Данные 2st'!$Q$2:$Q$317=$A2),--ISNUMBER('Данные 2st'!$JP$2:$JP$317))</f>
        <v>4</v>
      </c>
      <c r="OZ2">
        <f>SUMPRODUCT(--('Данные 2st'!$Q$2:$Q$317=$A2),--ISNUMBER('Данные 2st'!$JQ$2:$JQ$317))</f>
        <v>4</v>
      </c>
      <c r="PA2">
        <f>SUMPRODUCT(--('Данные 2st'!$Q$2:$Q$317=$A2),--ISNUMBER('Данные 2st'!$JR$2:$JR$317))</f>
        <v>4</v>
      </c>
      <c r="PB2">
        <f>SUMPRODUCT(--('Данные 2st'!$Q$2:$Q$317=$A2),--ISNUMBER('Данные 2st'!$JS$2:$JS$317))</f>
        <v>4</v>
      </c>
      <c r="PC2">
        <f>SUMPRODUCT(--('Данные 2st'!$Q$2:$Q$317=$A2),--ISNUMBER('Данные 2st'!$JT$2:$JT$317))</f>
        <v>4</v>
      </c>
      <c r="PD2">
        <f>SUMPRODUCT(--('Данные 2st'!$Q$2:$Q$317=$A2),--ISNUMBER('Данные 2st'!$JU$2:$JU$317))</f>
        <v>4</v>
      </c>
      <c r="PE2">
        <f>SUMPRODUCT(--('Данные 2st'!$Q$2:$Q$317=$A2),--ISNUMBER('Данные 2st'!$JV$2:$JV$317))</f>
        <v>4</v>
      </c>
      <c r="PF2">
        <f>SUMPRODUCT(--('Данные 2st'!$Q$2:$Q$317=$A2),--ISNUMBER('Данные 2st'!$JW$2:$JW$317))</f>
        <v>4</v>
      </c>
      <c r="PG2">
        <f>SUMPRODUCT(--('Данные 2st'!$Q$2:$Q$317=$A2),--ISNUMBER('Данные 2st'!$KF$2:$KF$317))</f>
        <v>4</v>
      </c>
      <c r="PH2">
        <f>SUMPRODUCT(--('Данные 2st'!$Q$2:$Q$317=$A2),--ISNUMBER('Данные 2st'!$KG$2:$KG$317))</f>
        <v>4</v>
      </c>
      <c r="PI2">
        <f>SUMPRODUCT(--('Данные 2st'!$Q$2:$Q$317=$A2),--ISNUMBER('Данные 2st'!$KM$2:$KM$317))</f>
        <v>4</v>
      </c>
      <c r="PJ2">
        <f>SUMPRODUCT(--('Данные 2st'!$Q$2:$Q$317=$A2),--ISNUMBER('Данные 2st'!$KN$2:$KN$317))</f>
        <v>4</v>
      </c>
      <c r="PK2">
        <f>SUMPRODUCT(--('Данные 2st'!$Q$2:$Q$317=$A2),--ISNUMBER('Данные 2st'!$KO$2:$KO$317))</f>
        <v>4</v>
      </c>
      <c r="PL2">
        <f>SUMPRODUCT(--('Данные 2st'!$Q$2:$Q$317=$A2),--ISNUMBER('Данные 2st'!$KP$2:$KP$317))</f>
        <v>4</v>
      </c>
      <c r="PM2">
        <f>SUMPRODUCT(--('Данные 2st'!$Q$2:$Q$317=$A2),--ISNUMBER('Данные 2st'!$KQ$2:$KQ$317))</f>
        <v>4</v>
      </c>
      <c r="PN2">
        <f>SUMPRODUCT(--('Данные 2st'!$Q$2:$Q$317=$A2),--ISNUMBER('Данные 2st'!$KR$2:$KR$317))</f>
        <v>4</v>
      </c>
      <c r="PO2">
        <f>SUMPRODUCT(--('Данные 2st'!$Q$2:$Q$317=$A2),--ISNUMBER('Данные 2st'!$KS$2:$KS$317))</f>
        <v>4</v>
      </c>
      <c r="PP2">
        <f>SUMPRODUCT(--('Данные 2st'!$Q$2:$Q$317=$A2),--ISNUMBER('Данные 2st'!$KT$2:$KT$317))</f>
        <v>4</v>
      </c>
      <c r="PQ2">
        <f>SUMPRODUCT(--('Данные 2st'!$Q$2:$Q$317=$A2),--ISNUMBER('Данные 2st'!$KU$2:$KU$317))</f>
        <v>4</v>
      </c>
      <c r="PR2">
        <f>SUMPRODUCT(--('Данные 2st'!$Q$2:$Q$317=$A2),--ISNUMBER('Данные 2st'!$KV$2:$KV$317))</f>
        <v>4</v>
      </c>
      <c r="PS2">
        <f>SUMPRODUCT(--('Данные 2st'!$Q$2:$Q$317=$A2),--ISNUMBER('Данные 2st'!$KW$2:$KW$317))</f>
        <v>4</v>
      </c>
      <c r="PT2">
        <f>SUMPRODUCT(--('Данные 2st'!$Q$2:$Q$317=$A2),--ISNUMBER('Данные 2st'!$KX$2:$KX$317))</f>
        <v>4</v>
      </c>
      <c r="PU2">
        <f>SUMPRODUCT(--('Данные 2st'!$Q$2:$Q$317=$A2),--ISNUMBER('Данные 2st'!$KY$2:$KY$317))</f>
        <v>4</v>
      </c>
      <c r="PV2">
        <f>SUMPRODUCT(--('Данные 2st'!$Q$2:$Q$317=$A2),--ISNUMBER('Данные 2st'!$KZ$2:$KZ$317))</f>
        <v>4</v>
      </c>
      <c r="PW2">
        <f>SUMPRODUCT(--('Данные 2st'!$Q$2:$Q$317=$A2),--ISNUMBER('Данные 2st'!$LA$2:$LA$317))</f>
        <v>4</v>
      </c>
      <c r="PX2">
        <f>SUMPRODUCT(--('Данные 2st'!$Q$2:$Q$317=$A2),--ISNUMBER('Данные 2st'!$LB$2:$LB$317))</f>
        <v>4</v>
      </c>
      <c r="PY2">
        <f>SUMPRODUCT(--('Данные 2st'!$Q$2:$Q$317=$A2),--ISNUMBER('Данные 2st'!$LC$2:$LC$317))</f>
        <v>4</v>
      </c>
      <c r="PZ2">
        <f>SUMPRODUCT(--('Данные 2st'!$Q$2:$Q$317=$A2),--ISNUMBER('Данные 2st'!$LD$2:$LD$317))</f>
        <v>4</v>
      </c>
      <c r="QA2">
        <f>SUMPRODUCT(--('Данные 2st'!$Q$2:$Q$317=$A2),--ISNUMBER('Данные 2st'!$LE$2:$LE$317))</f>
        <v>4</v>
      </c>
      <c r="QB2">
        <f>SUMPRODUCT(--('Данные 2st'!$Q$2:$Q$317=$A2),--ISNUMBER('Данные 2st'!$LF$2:$LF$317))</f>
        <v>4</v>
      </c>
      <c r="QC2">
        <f>SUMPRODUCT(--('Данные 2st'!$Q$2:$Q$317=$A2),--ISNUMBER('Данные 2st'!$LG$2:$LG$317))</f>
        <v>4</v>
      </c>
      <c r="QD2">
        <f>SUMPRODUCT(--('Данные 2st'!$Q$2:$Q$317=$A2),--ISNUMBER('Данные 2st'!$LH$2:$LH$317))</f>
        <v>4</v>
      </c>
      <c r="QE2">
        <f>SUMPRODUCT(--('Данные 2st'!$Q$2:$Q$317=$A2),--ISNUMBER('Данные 2st'!$LJ$2:$LJ$317))</f>
        <v>4</v>
      </c>
      <c r="QF2">
        <f>SUMPRODUCT(--('Данные 2st'!$Q$2:$Q$317=$A2),--ISNUMBER('Данные 2st'!$LK$2:$LK$317))</f>
        <v>4</v>
      </c>
      <c r="QG2">
        <f>SUMPRODUCT(--('Данные 2st'!$Q$2:$Q$317=$A2),--ISNUMBER('Данные 2st'!$LL$2:$LL$317))</f>
        <v>4</v>
      </c>
      <c r="QH2">
        <f>SUMPRODUCT(--('Данные 2st'!$Q$2:$Q$317=$A2),--ISNUMBER('Данные 2st'!$LM$2:$LM$317))</f>
        <v>4</v>
      </c>
      <c r="QI2">
        <f>SUMPRODUCT(--('Данные 2st'!$Q$2:$Q$317=$A2),--ISNUMBER('Данные 2st'!$LN$2:$LN$317))</f>
        <v>4</v>
      </c>
      <c r="QJ2">
        <f>SUMPRODUCT(--('Данные 2st'!$Q$2:$Q$317=$A2),--ISNUMBER('Данные 2st'!$LO$2:$LO$317))</f>
        <v>4</v>
      </c>
      <c r="QK2">
        <f>SUMPRODUCT(--('Данные 2st'!$Q$2:$Q$317=$A2),--ISNUMBER('Данные 2st'!$LP$2:$LP$317))</f>
        <v>4</v>
      </c>
      <c r="QL2">
        <f>SUMPRODUCT(--('Данные 2st'!$Q$2:$Q$317=$A2),--ISNUMBER('Данные 2st'!$LQ$2:$LQ$317))</f>
        <v>4</v>
      </c>
      <c r="QM2">
        <f>SUMPRODUCT(--('Данные 2st'!$Q$2:$Q$317=$A2),--ISNUMBER('Данные 2st'!$LW$2:$LW$317))</f>
        <v>4</v>
      </c>
      <c r="QN2">
        <f>SUMPRODUCT(--('Данные 2st'!$Q$2:$Q$317=$A2),--ISNUMBER('Данные 2st'!$LX$2:$LX$317))</f>
        <v>4</v>
      </c>
      <c r="QO2">
        <f>SUMPRODUCT(--('Данные 2st'!$Q$2:$Q$317=$A2),--ISNUMBER('Данные 2st'!$LY$2:$LY$317))</f>
        <v>4</v>
      </c>
      <c r="QP2">
        <f>SUMPRODUCT(--('Данные 2st'!$Q$2:$Q$317=$A2),--ISNUMBER('Данные 2st'!$LZ$2:$LZ$317))</f>
        <v>4</v>
      </c>
      <c r="QQ2">
        <f>SUMPRODUCT(--('Данные 2st'!$Q$2:$Q$317=$A2),--ISNUMBER('Данные 2st'!$MB$2:$MB$317))</f>
        <v>4</v>
      </c>
      <c r="QR2">
        <f>SUMPRODUCT(--('Данные 2st'!$Q$2:$Q$317=$A2),--ISNUMBER('Данные 2st'!$MG$2:$MG$317))</f>
        <v>0</v>
      </c>
      <c r="QS2">
        <f>SUMPRODUCT(--('Данные 2st'!$Q$2:$Q$317=$A2),--ISNUMBER('Данные 2st'!$MH$2:$MH$317))</f>
        <v>0</v>
      </c>
      <c r="QT2">
        <f>SUMPRODUCT(--('Данные 2st'!$Q$2:$Q$317=$A2),--ISNUMBER('Данные 2st'!$MI$2:$MI$317))</f>
        <v>4</v>
      </c>
      <c r="QU2">
        <f>SUMPRODUCT(--('Данные 2st'!$Q$2:$Q$317=$A2),--ISNUMBER('Данные 2st'!$MJ$2:$MJ$317))</f>
        <v>4</v>
      </c>
      <c r="QV2">
        <f>SUMPRODUCT(--('Данные 2st'!$Q$2:$Q$317=$A2),--ISNUMBER('Данные 2st'!$MK$2:$MK$317))</f>
        <v>0</v>
      </c>
      <c r="QW2">
        <f>SUMPRODUCT(--('Данные 2st'!$Q$2:$Q$317=$A2),--ISNUMBER('Данные 2st'!$MM$2:$MM$317))</f>
        <v>4</v>
      </c>
      <c r="QX2">
        <f>SUMPRODUCT(--('Данные 2st'!$Q$2:$Q$317=$A2),--ISNUMBER('Данные 2st'!$MQ$2:$MQ$317))</f>
        <v>0</v>
      </c>
      <c r="QY2">
        <f>SUMPRODUCT(--('Данные 2st'!$Q$2:$Q$317=$A2),--ISNUMBER('Данные 2st'!$MR$2:$MR$317))</f>
        <v>0</v>
      </c>
      <c r="QZ2">
        <f>SUMPRODUCT(--('Данные 2st'!$Q$2:$Q$317=$A2),--ISNUMBER('Данные 2st'!$MS$2:$MS$317))</f>
        <v>0</v>
      </c>
      <c r="RA2">
        <f>SUMPRODUCT(--('Данные 2st'!$Q$2:$Q$317=$A2),--ISNUMBER('Данные 2st'!$MT$2:$MT$317))</f>
        <v>0</v>
      </c>
      <c r="RB2">
        <f>SUMPRODUCT(--('Данные 2st'!$Q$2:$Q$317=$A2),--ISNUMBER('Данные 2st'!$MU$2:$MU$317))</f>
        <v>0</v>
      </c>
      <c r="RC2">
        <f>SUMPRODUCT(--('Данные 2st'!$Q$2:$Q$317=$A2),--ISNUMBER('Данные 2st'!$MV$2:$MV$317))</f>
        <v>0</v>
      </c>
      <c r="RD2">
        <f>SUMPRODUCT(--('Данные 2st'!$Q$2:$Q$317=$A2),--ISNUMBER('Данные 2st'!$MW$2:$MW$317))</f>
        <v>0</v>
      </c>
      <c r="RE2">
        <f>SUMPRODUCT(--('Данные 2st'!$Q$2:$Q$317=$A2),--ISNUMBER('Данные 2st'!$MX$2:$MX$317))</f>
        <v>0</v>
      </c>
      <c r="RF2">
        <f>SUMPRODUCT(--('Данные 2st'!$Q$2:$Q$317=$A2),--ISNUMBER('Данные 2st'!$MY$2:$MY$317))</f>
        <v>0</v>
      </c>
      <c r="RG2">
        <f>SUMPRODUCT(--('Данные 2st'!$Q$2:$Q$317=$A2),--ISNUMBER('Данные 2st'!$MZ$2:$MZ$317))</f>
        <v>0</v>
      </c>
      <c r="RH2">
        <f>SUMPRODUCT(--('Данные 2st'!$Q$2:$Q$317=$A2),--ISNUMBER('Данные 2st'!$NA$2:$NA$317))</f>
        <v>0</v>
      </c>
      <c r="RI2">
        <f>SUMPRODUCT(--('Данные 2st'!$Q$2:$Q$317=$A2),--ISNUMBER('Данные 2st'!$NB$2:$NB$317))</f>
        <v>0</v>
      </c>
      <c r="RJ2">
        <f>SUMPRODUCT(--('Данные 2st'!$Q$2:$Q$317=$A2),--ISNUMBER('Данные 2st'!$NC$2:$NC$317))</f>
        <v>0</v>
      </c>
      <c r="RK2">
        <f>SUMPRODUCT(--('Данные 2st'!$Q$2:$Q$317=$A2),--ISNUMBER('Данные 2st'!$ND$2:$ND$317))</f>
        <v>0</v>
      </c>
      <c r="RL2">
        <f>SUMPRODUCT(--('Данные 2st'!$Q$2:$Q$317=$A2),--ISNUMBER('Данные 2st'!$NE$2:$NE$317))</f>
        <v>0</v>
      </c>
      <c r="RM2">
        <f>SUMPRODUCT(--('Данные 2st'!$Q$2:$Q$317=$A2),--ISNUMBER('Данные 2st'!$NF$2:$NF$317))</f>
        <v>0</v>
      </c>
      <c r="RN2">
        <f>SUMPRODUCT(--('Данные 2st'!$Q$2:$Q$317=$A2),--ISNUMBER('Данные 2st'!$NG$2:$NG$317))</f>
        <v>0</v>
      </c>
      <c r="RO2">
        <f>SUMPRODUCT(--('Данные 2st'!$Q$2:$Q$317=$A2),--ISNUMBER('Данные 2st'!$NH$2:$NH$317))</f>
        <v>0</v>
      </c>
      <c r="RP2">
        <f>SUMPRODUCT(--('Данные 2st'!$Q$2:$Q$317=$A2),--ISNUMBER('Данные 2st'!$NJ$2:$NJ$317))</f>
        <v>0</v>
      </c>
      <c r="RQ2">
        <f>SUMPRODUCT(--('Данные 2st'!$Q$2:$Q$317=$A2),--ISNUMBER('Данные 2st'!$NK$2:$NK$317))</f>
        <v>0</v>
      </c>
      <c r="RR2">
        <f>SUMPRODUCT(--('Данные 2st'!$Q$2:$Q$317=$A2),--ISNUMBER('Данные 2st'!$NM$2:$NM$317))</f>
        <v>0</v>
      </c>
      <c r="RS2">
        <f>SUMPRODUCT(--('Данные 2st'!$Q$2:$Q$317=$A2),--ISNUMBER('Данные 2st'!$NN$2:$NN$317))</f>
        <v>0</v>
      </c>
      <c r="RT2">
        <f>SUMPRODUCT(--('Данные 2st'!$Q$2:$Q$317=$A2),--ISNUMBER('Данные 2st'!$NO$2:$NO$317))</f>
        <v>0</v>
      </c>
      <c r="RU2">
        <f>SUMPRODUCT(--('Данные 2st'!$Q$2:$Q$317=$A2),--ISNUMBER('Данные 2st'!$NP$2:$NP$317))</f>
        <v>0</v>
      </c>
      <c r="RV2">
        <f>SUMPRODUCT(--('Данные 2st'!$Q$2:$Q$317=$A2),--ISNUMBER('Данные 2st'!$NQ$2:$NQ$317))</f>
        <v>0</v>
      </c>
      <c r="RW2">
        <f>SUMPRODUCT(--('Данные 2st'!$Q$2:$Q$317=$A2),--ISNUMBER('Данные 2st'!$NR$2:$NR$317))</f>
        <v>0</v>
      </c>
      <c r="RX2">
        <f>SUMPRODUCT(--('Данные 2st'!$Q$2:$Q$317=$A2),--ISNUMBER('Данные 2st'!$NS$2:$NS$317))</f>
        <v>0</v>
      </c>
      <c r="RY2">
        <f>SUMPRODUCT(--('Данные 2st'!$Q$2:$Q$317=$A2),--ISNUMBER('Данные 2st'!$NT$2:$NT$317))</f>
        <v>0</v>
      </c>
      <c r="RZ2">
        <f>SUMPRODUCT(--('Данные 2st'!$Q$2:$Q$317=$A2),--ISNUMBER('Данные 2st'!$OK$2:$OK$317))</f>
        <v>4</v>
      </c>
      <c r="SA2">
        <f>SUMPRODUCT(--('Данные 2st'!$Q$2:$Q$317=$A2),--ISNUMBER('Данные 2st'!$OL$2:$OL$317))</f>
        <v>4</v>
      </c>
      <c r="SB2">
        <f>SUMPRODUCT(--('Данные 2st'!$Q$2:$Q$317=$A2),--ISNUMBER('Данные 2st'!$ON$2:$ON$317))</f>
        <v>4</v>
      </c>
      <c r="SC2">
        <f>SUMPRODUCT(--('Данные 2st'!$Q$2:$Q$317=$A2),--ISNUMBER('Данные 2st'!$OO$2:$OO$317))</f>
        <v>4</v>
      </c>
      <c r="SD2">
        <f>SUMPRODUCT(--('Данные 2st'!$Q$2:$Q$317=$A2),--ISNUMBER('Данные 2st'!$OP$2:$OP$317))</f>
        <v>4</v>
      </c>
      <c r="SE2">
        <f>SUMPRODUCT(--('Данные 2st'!$Q$2:$Q$317=$A2),--ISNUMBER('Данные 2st'!$OQ$2:$OQ$317))</f>
        <v>4</v>
      </c>
      <c r="SF2">
        <f>SUMPRODUCT(--('Данные 2st'!$Q$2:$Q$317=$A2),--ISNUMBER('Данные 2st'!$OS$2:$OS$317))</f>
        <v>4</v>
      </c>
      <c r="SG2">
        <f>SUMPRODUCT(--('Данные 2st'!$Q$2:$Q$317=$A2),--ISNUMBER('Данные 2st'!$OT$2:$OT$317))</f>
        <v>4</v>
      </c>
      <c r="SH2">
        <f>SUMPRODUCT(--('Данные 2st'!$Q$2:$Q$317=$A2),--ISNUMBER('Данные 2st'!$OU$2:$OU$317))</f>
        <v>4</v>
      </c>
      <c r="SI2">
        <f>SUMPRODUCT(--('Данные 2st'!$Q$2:$Q$317=$A2),--ISNUMBER('Данные 2st'!$OV$2:$OV$317))</f>
        <v>4</v>
      </c>
      <c r="SJ2">
        <f>SUMPRODUCT(--('Данные 2st'!$Q$2:$Q$317=$A2),--ISNUMBER('Данные 2st'!$OX$2:$OX$317))</f>
        <v>4</v>
      </c>
      <c r="SK2">
        <f>SUMPRODUCT(--('Данные 2st'!$Q$2:$Q$317=$A2),--ISNUMBER('Данные 2st'!$OY$2:$OY$317))</f>
        <v>4</v>
      </c>
      <c r="SL2">
        <f>SUMPRODUCT(--('Данные 2st'!$Q$2:$Q$317=$A2),--ISNUMBER('Данные 2st'!$OZ$2:$OZ$317))</f>
        <v>4</v>
      </c>
      <c r="SM2">
        <f>SUMPRODUCT(--('Данные 2st'!$Q$2:$Q$317=$A2),--ISNUMBER('Данные 2st'!$PA$2:$PA$317))</f>
        <v>4</v>
      </c>
      <c r="SN2">
        <f>SUMPRODUCT(--('Данные 2st'!$Q$2:$Q$317=$A2),--ISNUMBER('Данные 2st'!$PC$2:$PC$317))</f>
        <v>4</v>
      </c>
      <c r="SO2">
        <f>SUMPRODUCT(--('Данные 2st'!$Q$2:$Q$317=$A2),--ISNUMBER('Данные 2st'!$PD$2:$PD$317))</f>
        <v>4</v>
      </c>
      <c r="SP2">
        <f>SUMPRODUCT(--('Данные 2st'!$Q$2:$Q$317=$A2),--ISNUMBER('Данные 2st'!$PF$2:$PF$317))</f>
        <v>4</v>
      </c>
      <c r="SQ2">
        <f>SUMPRODUCT(--('Данные 2st'!$Q$2:$Q$317=$A2),--ISNUMBER('Данные 2st'!$PG$2:$PG$317))</f>
        <v>4</v>
      </c>
      <c r="SR2">
        <f>SUMPRODUCT(--('Данные 2st'!$Q$2:$Q$317=$A2),--ISNUMBER('Данные 2st'!$PH$2:$PH$317))</f>
        <v>4</v>
      </c>
      <c r="SS2">
        <f>SUMPRODUCT(--('Данные 2st'!$Q$2:$Q$317=$A2),--ISNUMBER('Данные 2st'!$PI$2:$PI$317))</f>
        <v>4</v>
      </c>
      <c r="ST2">
        <f>SUMPRODUCT(--('Данные 2st'!$Q$2:$Q$317=$A2),--ISNUMBER('Данные 2st'!$PJ$2:$PJ$317))</f>
        <v>4</v>
      </c>
      <c r="SU2">
        <f>SUMPRODUCT(--('Данные 2st'!$Q$2:$Q$317=$A2),--ISNUMBER('Данные 2st'!$PK$2:$PK$317))</f>
        <v>3</v>
      </c>
      <c r="SV2">
        <f>SUMPRODUCT(--('Данные 2st'!$Q$2:$Q$317=$A2),--ISNUMBER('Данные 2st'!$PL$2:$PL$317))</f>
        <v>4</v>
      </c>
      <c r="SW2">
        <f>SUMPRODUCT(--('Данные 2st'!$Q$2:$Q$317=$A2),--ISNUMBER('Данные 2st'!$PM$2:$PM$317))</f>
        <v>4</v>
      </c>
      <c r="SX2">
        <f>SUMPRODUCT(--('Данные 2st'!$Q$2:$Q$317=$A2),--ISNUMBER('Данные 2st'!$PN$2:$PN$317))</f>
        <v>4</v>
      </c>
      <c r="SY2">
        <f>SUMPRODUCT(--('Данные 2st'!$Q$2:$Q$317=$A2),--ISNUMBER('Данные 2st'!$PO$2:$PO$317))</f>
        <v>3</v>
      </c>
      <c r="SZ2">
        <f>SUMPRODUCT(--('Данные 2st'!$Q$2:$Q$317=$A2),--ISNUMBER('Данные 2st'!$PP$2:$PP$317))</f>
        <v>4</v>
      </c>
      <c r="TA2">
        <f>SUMPRODUCT(--('Данные 2st'!$Q$2:$Q$317=$A2),--ISNUMBER('Данные 2st'!$PQ$2:$PQ$317))</f>
        <v>4</v>
      </c>
      <c r="TB2">
        <f>SUMPRODUCT(--('Данные 2st'!$Q$2:$Q$317=$A2),--ISNUMBER('Данные 2st'!$PR$2:$PR$317))</f>
        <v>4</v>
      </c>
      <c r="TC2">
        <f>SUMPRODUCT(--('Данные 2st'!$Q$2:$Q$317=$A2),--ISNUMBER('Данные 2st'!$PS$2:$PS$317))</f>
        <v>4</v>
      </c>
      <c r="TD2">
        <f>SUMPRODUCT(--('Данные 2st'!$Q$2:$Q$317=$A2),--ISNUMBER('Данные 2st'!$PT$2:$PT$317))</f>
        <v>4</v>
      </c>
      <c r="TE2">
        <f>SUMPRODUCT(--('Данные 2st'!$Q$2:$Q$317=$A2),--ISNUMBER('Данные 2st'!$PU$2:$PU$317))</f>
        <v>4</v>
      </c>
      <c r="TF2">
        <f>SUMPRODUCT(--('Данные 2st'!$Q$2:$Q$317=$A2),--ISNUMBER('Данные 2st'!$PX$2:$PX$317))</f>
        <v>4</v>
      </c>
      <c r="TG2">
        <f>SUMPRODUCT(--('Данные 2st'!$Q$2:$Q$317=$A2),--ISNUMBER('Данные 2st'!$PY$2:$PY$317))</f>
        <v>4</v>
      </c>
      <c r="TH2">
        <f>SUMPRODUCT(--('Данные 2st'!$Q$2:$Q$317=$A2),--ISNUMBER('Данные 2st'!$PZ$2:$PZ$317))</f>
        <v>4</v>
      </c>
      <c r="TI2">
        <f>SUMPRODUCT(--('Данные 2st'!$Q$2:$Q$317=$A2),--ISNUMBER('Данные 2st'!$QA$2:$QA$317))</f>
        <v>4</v>
      </c>
      <c r="TJ2">
        <f>SUMPRODUCT(--('Данные 2st'!$Q$2:$Q$317=$A2),--ISNUMBER('Данные 2st'!$QB$2:$QB$317))</f>
        <v>4</v>
      </c>
      <c r="TK2">
        <f>SUMPRODUCT(--('Данные 2st'!$Q$2:$Q$317=$A2),--ISNUMBER('Данные 2st'!$QC$2:$QC$317))</f>
        <v>4</v>
      </c>
      <c r="TL2">
        <f>SUMPRODUCT(--('Данные 2st'!$Q$2:$Q$317=$A2),--ISNUMBER('Данные 2st'!$QD$2:$QD$317))</f>
        <v>4</v>
      </c>
      <c r="TM2">
        <f>SUMPRODUCT(--('Данные 2st'!$Q$2:$Q$317=$A2),--ISNUMBER('Данные 2st'!$QE$2:$QE$317))</f>
        <v>4</v>
      </c>
      <c r="TN2">
        <f>SUMPRODUCT(--('Данные 2st'!$Q$2:$Q$317=$A2),--ISNUMBER('Данные 2st'!$QF$2:$QF$317))</f>
        <v>4</v>
      </c>
      <c r="TO2">
        <f>SUMPRODUCT(--('Данные 2st'!$Q$2:$Q$317=$A2),--ISNUMBER('Данные 2st'!$QG$2:$QG$317))</f>
        <v>4</v>
      </c>
      <c r="TP2">
        <f>SUMPRODUCT(--('Данные 2st'!$Q$2:$Q$317=$A2),--ISNUMBER('Данные 2st'!$QH$2:$QH$317))</f>
        <v>4</v>
      </c>
      <c r="TQ2">
        <f>SUMPRODUCT(--('Данные 2st'!$Q$2:$Q$317=$A2),--ISNUMBER('Данные 2st'!$QI$2:$QI$317))</f>
        <v>4</v>
      </c>
      <c r="TR2">
        <f>SUMPRODUCT(--('Данные 2st'!$Q$2:$Q$317=$A2),--ISNUMBER('Данные 2st'!$QJ$2:$QJ$317))</f>
        <v>4</v>
      </c>
      <c r="TS2">
        <f>SUMPRODUCT(--('Данные 2st'!$Q$2:$Q$317=$A2),--ISNUMBER('Данные 2st'!$QK$2:$QK$317))</f>
        <v>4</v>
      </c>
      <c r="TT2">
        <f>SUMPRODUCT(--('Данные 2st'!$Q$2:$Q$317=$A2),--ISNUMBER('Данные 2st'!$QL$2:$QL$317))</f>
        <v>4</v>
      </c>
      <c r="TU2">
        <f>SUMPRODUCT(--('Данные 2st'!$Q$2:$Q$317=$A2),--ISNUMBER('Данные 2st'!$QM$2:$QM$317))</f>
        <v>4</v>
      </c>
      <c r="TV2">
        <f>SUMPRODUCT(--('Данные 2st'!$Q$2:$Q$317=$A2),--ISNUMBER('Данные 2st'!$QN$2:$QN$317))</f>
        <v>4</v>
      </c>
      <c r="TW2">
        <f>SUMPRODUCT(--('Данные 2st'!$Q$2:$Q$317=$A2),--ISNUMBER('Данные 2st'!$QQ$2:$QQ$317))</f>
        <v>4</v>
      </c>
      <c r="TX2">
        <f>SUMPRODUCT(--('Данные 2st'!$Q$2:$Q$317=$A2),--ISNUMBER('Данные 2st'!$QS$2:$QS$317))</f>
        <v>4</v>
      </c>
      <c r="TY2">
        <f>SUMPRODUCT(--('Данные 2st'!$Q$2:$Q$317=$A2),--ISNUMBER('Данные 2st'!$QT$2:$QT$317))</f>
        <v>4</v>
      </c>
    </row>
    <row r="3" spans="1:545" ht="32" customHeight="1">
      <c r="A3" s="11" t="str">
        <f>'По размерам'!A3</f>
        <v>175/70R14</v>
      </c>
      <c r="G3">
        <f>SUMPRODUCT(--('Данные 1st'!$S$2:$S$317=$A3),--ISNUMBER('Данные 1st'!$AE$2:$AE$317))</f>
        <v>1</v>
      </c>
      <c r="H3">
        <f>SUMPRODUCT(--('Данные 1st'!$S$2:$S$317=$A3),--ISNUMBER('Данные 1st'!$AF$2:$AF$317))</f>
        <v>1</v>
      </c>
      <c r="I3">
        <f>SUMPRODUCT(--('Данные 1st'!$S$2:$S$317=$A3),--ISNUMBER('Данные 1st'!$AJ$2:$AJ$317))</f>
        <v>1</v>
      </c>
      <c r="J3">
        <f>SUMPRODUCT(--('Данные 1st'!$S$2:$S$317=$A3),--ISNUMBER('Данные 1st'!$AL$2:$AL$317))</f>
        <v>1</v>
      </c>
      <c r="K3">
        <f>SUMPRODUCT(--('Данные 1st'!$S$2:$S$317=$A3),--ISNUMBER('Данные 1st'!$AR$2:$AR$317))</f>
        <v>1</v>
      </c>
      <c r="L3">
        <f>SUMPRODUCT(--('Данные 1st'!$S$2:$S$317=$A3),--ISNUMBER('Данные 1st'!$AS$2:$AS$317))</f>
        <v>1</v>
      </c>
      <c r="M3">
        <f>SUMPRODUCT(--('Данные 1st'!$S$2:$S$317=$A3),--ISNUMBER('Данные 1st'!$AY$2:$AY$317))</f>
        <v>1</v>
      </c>
      <c r="N3">
        <f>SUMPRODUCT(--('Данные 1st'!$S$2:$S$317=$A3),--ISNUMBER('Данные 1st'!$AZ$2:$AZ$317))</f>
        <v>1</v>
      </c>
      <c r="O3">
        <f>SUMPRODUCT(--('Данные 1st'!$S$2:$S$317=$A3),--ISNUMBER('Данные 1st'!$BF$2:$BF$317))</f>
        <v>0</v>
      </c>
      <c r="P3">
        <f>SUMPRODUCT(--('Данные 1st'!$S$2:$S$317=$A3),--ISNUMBER('Данные 1st'!$BG$2:$BG$317))</f>
        <v>1</v>
      </c>
      <c r="Q3">
        <f>SUMPRODUCT(--('Данные 1st'!$S$2:$S$317=$A3),--ISNUMBER('Данные 1st'!$BM$2:$BM$317))</f>
        <v>0</v>
      </c>
      <c r="R3">
        <f>SUMPRODUCT(--('Данные 1st'!$S$2:$S$317=$A3),--ISNUMBER('Данные 1st'!$BN$2:$BN$317))</f>
        <v>1</v>
      </c>
      <c r="S3">
        <f>SUMPRODUCT(--('Данные 1st'!$S$2:$S$317=$A3),--ISNUMBER('Данные 1st'!$BT$2:$BT$317))</f>
        <v>1</v>
      </c>
      <c r="T3">
        <f>SUMPRODUCT(--('Данные 1st'!$S$2:$S$317=$A3),--ISNUMBER('Данные 1st'!$BU$2:$BU$317))</f>
        <v>1</v>
      </c>
      <c r="U3">
        <f>SUMPRODUCT(--('Данные 1st'!$S$2:$S$317=$A3),--ISNUMBER('Данные 1st'!$BW$2:$BW$317))</f>
        <v>1</v>
      </c>
      <c r="V3">
        <f>SUMPRODUCT(--('Данные 1st'!$S$2:$S$317=$A3),--ISNUMBER('Данные 1st'!$BX$2:$BX$317))</f>
        <v>1</v>
      </c>
      <c r="W3">
        <f>SUMPRODUCT(--('Данные 1st'!$S$2:$S$317=$A3),--ISNUMBER('Данные 1st'!$BZ$2:$BZ$317))</f>
        <v>1</v>
      </c>
      <c r="X3">
        <f>SUMPRODUCT(--('Данные 1st'!$S$2:$S$317=$A3),--ISNUMBER('Данные 1st'!$CA$2:$CA$317))</f>
        <v>1</v>
      </c>
      <c r="Y3">
        <f>SUMPRODUCT(--('Данные 1st'!$S$2:$S$317=$A3),--ISNUMBER('Данные 1st'!$CD$2:$CD$317))</f>
        <v>1</v>
      </c>
      <c r="Z3">
        <f>SUMPRODUCT(--('Данные 1st'!$S$2:$S$317=$A3),--ISNUMBER('Данные 1st'!$CF$2:$CF$317))</f>
        <v>1</v>
      </c>
      <c r="AA3">
        <f>SUMPRODUCT(--('Данные 1st'!$S$2:$S$317=$A3),--ISNUMBER('Данные 1st'!$CI$2:$CI$317))</f>
        <v>1</v>
      </c>
      <c r="AB3">
        <f>SUMPRODUCT(--('Данные 1st'!$S$2:$S$317=$A3),--ISNUMBER('Данные 1st'!$CJ$2:$CJ$317))</f>
        <v>1</v>
      </c>
      <c r="AC3">
        <f>SUMPRODUCT(--('Данные 1st'!$S$2:$S$317=$A3),--ISNUMBER('Данные 1st'!$CK$2:$CK$317))</f>
        <v>1</v>
      </c>
      <c r="AD3">
        <f>SUMPRODUCT(--('Данные 1st'!$S$2:$S$317=$A3),--ISNUMBER('Данные 1st'!$CL$2:$CL$317))</f>
        <v>1</v>
      </c>
      <c r="AE3">
        <f>SUMPRODUCT(--('Данные 1st'!$S$2:$S$317=$A3),--ISNUMBER('Данные 1st'!$CM$2:$CM$317))</f>
        <v>1</v>
      </c>
      <c r="AF3">
        <f>SUMPRODUCT(--('Данные 1st'!$S$2:$S$317=$A3),--ISNUMBER('Данные 1st'!$CT$2:$CT$317))</f>
        <v>1</v>
      </c>
      <c r="AG3">
        <f>SUMPRODUCT(--('Данные 1st'!$S$2:$S$317=$A3),--ISNUMBER('Данные 1st'!$CU$2:$CU$317))</f>
        <v>1</v>
      </c>
      <c r="AH3">
        <f>SUMPRODUCT(--('Данные 1st'!$S$2:$S$317=$A3),--ISNUMBER('Данные 1st'!$CV$2:$CV$317))</f>
        <v>1</v>
      </c>
      <c r="AI3">
        <f>SUMPRODUCT(--('Данные 1st'!$S$2:$S$317=$A3),--ISNUMBER('Данные 1st'!$CW$2:$CW$317))</f>
        <v>1</v>
      </c>
      <c r="AJ3">
        <f>SUMPRODUCT(--('Данные 1st'!$S$2:$S$317=$A3),--ISNUMBER('Данные 1st'!$CX$2:$CX$317))</f>
        <v>1</v>
      </c>
      <c r="AK3">
        <f>SUMPRODUCT(--('Данные 1st'!$S$2:$S$317=$A3),--ISNUMBER('Данные 1st'!$CZ$2:$CZ$317))</f>
        <v>1</v>
      </c>
      <c r="AL3">
        <f>SUMPRODUCT(--('Данные 1st'!$S$2:$S$317=$A3),--ISNUMBER('Данные 1st'!$DA$2:$DA$317))</f>
        <v>1</v>
      </c>
      <c r="AM3">
        <f>SUMPRODUCT(--('Данные 1st'!$S$2:$S$317=$A3),--ISNUMBER('Данные 1st'!$DB$2:$DB$317))</f>
        <v>1</v>
      </c>
      <c r="AN3">
        <f>SUMPRODUCT(--('Данные 1st'!$S$2:$S$317=$A3),--ISNUMBER('Данные 1st'!$DC$2:$DC$317))</f>
        <v>1</v>
      </c>
      <c r="AO3">
        <f>SUMPRODUCT(--('Данные 1st'!$S$2:$S$317=$A3),--ISNUMBER('Данные 1st'!$DD$2:$DD$317))</f>
        <v>1</v>
      </c>
      <c r="AP3">
        <f>SUMPRODUCT(--('Данные 1st'!$S$2:$S$317=$A3),--ISNUMBER('Данные 1st'!$DF$2:$DF$317))</f>
        <v>1</v>
      </c>
      <c r="AQ3">
        <f>SUMPRODUCT(--('Данные 1st'!$S$2:$S$317=$A3),--ISNUMBER('Данные 1st'!$DG$2:$DG$317))</f>
        <v>1</v>
      </c>
      <c r="AR3">
        <f>SUMPRODUCT(--('Данные 1st'!$S$2:$S$317=$A3),--ISNUMBER('Данные 1st'!$DH$2:$DH$317))</f>
        <v>1</v>
      </c>
      <c r="AS3">
        <f>SUMPRODUCT(--('Данные 1st'!$S$2:$S$317=$A3),--ISNUMBER('Данные 1st'!$DI$2:$DI$317))</f>
        <v>1</v>
      </c>
      <c r="AT3">
        <f>SUMPRODUCT(--('Данные 1st'!$S$2:$S$317=$A3),--ISNUMBER('Данные 1st'!$DJ$2:$DJ$317))</f>
        <v>1</v>
      </c>
      <c r="AU3">
        <f>SUMPRODUCT(--('Данные 1st'!$S$2:$S$317=$A3),--ISNUMBER('Данные 1st'!$DL$2:$DL$317))</f>
        <v>0</v>
      </c>
      <c r="AV3">
        <f>SUMPRODUCT(--('Данные 1st'!$S$2:$S$317=$A3),--ISNUMBER('Данные 1st'!$DM$2:$DM$317))</f>
        <v>0</v>
      </c>
      <c r="AW3">
        <f>SUMPRODUCT(--('Данные 1st'!$S$2:$S$317=$A3),--ISNUMBER('Данные 1st'!$DN$2:$DN$317))</f>
        <v>0</v>
      </c>
      <c r="AX3">
        <f>SUMPRODUCT(--('Данные 1st'!$S$2:$S$317=$A3),--ISNUMBER('Данные 1st'!$DO$2:$DO$317))</f>
        <v>0</v>
      </c>
      <c r="AY3">
        <f>SUMPRODUCT(--('Данные 1st'!$S$2:$S$317=$A3),--ISNUMBER('Данные 1st'!$DP$2:$DP$317))</f>
        <v>0</v>
      </c>
      <c r="AZ3">
        <f>SUMPRODUCT(--('Данные 1st'!$S$2:$S$317=$A3),--ISNUMBER('Данные 1st'!$DR$2:$DR$317))</f>
        <v>0</v>
      </c>
      <c r="BA3">
        <f>SUMPRODUCT(--('Данные 1st'!$S$2:$S$317=$A3),--ISNUMBER('Данные 1st'!$DS$2:$DS$317))</f>
        <v>0</v>
      </c>
      <c r="BB3">
        <f>SUMPRODUCT(--('Данные 1st'!$S$2:$S$317=$A3),--ISNUMBER('Данные 1st'!$DT$2:$DT$317))</f>
        <v>0</v>
      </c>
      <c r="BC3">
        <f>SUMPRODUCT(--('Данные 1st'!$S$2:$S$317=$A3),--ISNUMBER('Данные 1st'!$DU$2:$DU$317))</f>
        <v>0</v>
      </c>
      <c r="BD3">
        <f>SUMPRODUCT(--('Данные 1st'!$S$2:$S$317=$A3),--ISNUMBER('Данные 1st'!$DV$2:$DV$317))</f>
        <v>0</v>
      </c>
      <c r="BE3">
        <f>SUMPRODUCT(--('Данные 1st'!$S$2:$S$317=$A3),--ISNUMBER('Данные 1st'!$DX$2:$DX$317))</f>
        <v>1</v>
      </c>
      <c r="BF3">
        <f>SUMPRODUCT(--('Данные 1st'!$S$2:$S$317=$A3),--ISNUMBER('Данные 1st'!$EA$2:$EA$317))</f>
        <v>1</v>
      </c>
      <c r="BG3">
        <f>SUMPRODUCT(--('Данные 1st'!$S$2:$S$317=$A3),--ISNUMBER('Данные 1st'!$EB$2:$EB$317))</f>
        <v>1</v>
      </c>
      <c r="BH3">
        <f>SUMPRODUCT(--('Данные 1st'!$S$2:$S$317=$A3),--ISNUMBER('Данные 1st'!$ED$2:$ED$317))</f>
        <v>1</v>
      </c>
      <c r="BI3">
        <f>SUMPRODUCT(--('Данные 1st'!$S$2:$S$317=$A3),--ISNUMBER('Данные 1st'!$EE$2:$EE$317))</f>
        <v>0</v>
      </c>
      <c r="BJ3">
        <f>SUMPRODUCT(--('Данные 1st'!$S$2:$S$317=$A3),--ISNUMBER('Данные 1st'!$EG$2:$EG$317))</f>
        <v>1</v>
      </c>
      <c r="BK3">
        <f>SUMPRODUCT(--('Данные 1st'!$S$2:$S$317=$A3),--ISNUMBER('Данные 1st'!$EH$2:$EH$317))</f>
        <v>1</v>
      </c>
      <c r="BL3">
        <f>SUMPRODUCT(--('Данные 1st'!$S$2:$S$317=$A3),--ISNUMBER('Данные 1st'!$EJ$2:$EJ$317))</f>
        <v>1</v>
      </c>
      <c r="BM3">
        <f>SUMPRODUCT(--('Данные 1st'!$S$2:$S$317=$A3),--ISNUMBER('Данные 1st'!$EK$2:$EK$317))</f>
        <v>1</v>
      </c>
      <c r="BN3">
        <f>SUMPRODUCT(--('Данные 1st'!$S$2:$S$317=$A3),--ISNUMBER('Данные 1st'!$EN$2:$EN$317))</f>
        <v>1</v>
      </c>
      <c r="BO3">
        <f>SUMPRODUCT(--('Данные 1st'!$S$2:$S$317=$A3),--ISNUMBER('Данные 1st'!$EQ$2:$EQ$317))</f>
        <v>1</v>
      </c>
      <c r="BP3">
        <f>SUMPRODUCT(--('Данные 1st'!$S$2:$S$317=$A3),--ISNUMBER('Данные 1st'!$ER$2:$ER$317))</f>
        <v>1</v>
      </c>
      <c r="BQ3">
        <f>SUMPRODUCT(--('Данные 1st'!$S$2:$S$317=$A3),--ISNUMBER('Данные 1st'!$ES$2:$ES$317))</f>
        <v>1</v>
      </c>
      <c r="BR3">
        <f>SUMPRODUCT(--('Данные 1st'!$S$2:$S$317=$A3),--ISNUMBER('Данные 1st'!$ET$2:$ET$317))</f>
        <v>1</v>
      </c>
      <c r="BS3">
        <f>SUMPRODUCT(--('Данные 1st'!$S$2:$S$317=$A3),--ISNUMBER('Данные 1st'!$EU$2:$EU$317))</f>
        <v>1</v>
      </c>
      <c r="BT3">
        <f>SUMPRODUCT(--('Данные 1st'!$S$2:$S$317=$A3),--ISNUMBER('Данные 1st'!$EV$2:$EV$317))</f>
        <v>1</v>
      </c>
      <c r="BU3">
        <f>SUMPRODUCT(--('Данные 1st'!$S$2:$S$317=$A3),--ISNUMBER('Данные 1st'!$EX$2:$EX$317))</f>
        <v>1</v>
      </c>
      <c r="BV3">
        <f>SUMPRODUCT(--('Данные 1st'!$S$2:$S$317=$A3),--ISNUMBER('Данные 1st'!$EY$2:$EY$317))</f>
        <v>1</v>
      </c>
      <c r="BW3">
        <f>SUMPRODUCT(--('Данные 1st'!$S$2:$S$317=$A3),--ISNUMBER('Данные 1st'!$EZ$2:$EZ$317))</f>
        <v>1</v>
      </c>
      <c r="BX3">
        <f>SUMPRODUCT(--('Данные 1st'!$S$2:$S$317=$A3),--ISNUMBER('Данные 1st'!$FA$2:$FA$317))</f>
        <v>1</v>
      </c>
      <c r="BY3">
        <f>SUMPRODUCT(--('Данные 1st'!$S$2:$S$317=$A3),--ISNUMBER('Данные 1st'!$FB$2:$FB$317))</f>
        <v>1</v>
      </c>
      <c r="BZ3">
        <f>SUMPRODUCT(--('Данные 1st'!$S$2:$S$317=$A3),--ISNUMBER('Данные 1st'!$FC$2:$FC$317))</f>
        <v>1</v>
      </c>
      <c r="CA3">
        <f>SUMPRODUCT(--('Данные 1st'!$S$2:$S$317=$A3),--ISNUMBER('Данные 1st'!$FE$2:$FE$317))</f>
        <v>1</v>
      </c>
      <c r="CB3">
        <f>SUMPRODUCT(--('Данные 1st'!$S$2:$S$317=$A3),--ISNUMBER('Данные 1st'!$FF$2:$FF$317))</f>
        <v>1</v>
      </c>
      <c r="CC3">
        <f>SUMPRODUCT(--('Данные 1st'!$S$2:$S$317=$A3),--ISNUMBER('Данные 1st'!$FI$2:$FI$317))</f>
        <v>1</v>
      </c>
      <c r="CD3">
        <f>SUMPRODUCT(--('Данные 1st'!$S$2:$S$317=$A3),--ISNUMBER('Данные 1st'!$FL$2:$FL$317))</f>
        <v>1</v>
      </c>
      <c r="CE3">
        <f>SUMPRODUCT(--('Данные 1st'!$S$2:$S$317=$A3),--ISNUMBER('Данные 1st'!$FM$2:$FM$317))</f>
        <v>1</v>
      </c>
      <c r="CF3">
        <f>SUMPRODUCT(--('Данные 1st'!$S$2:$S$317=$A3),--ISNUMBER('Данные 1st'!$FN$2:$FN$317))</f>
        <v>1</v>
      </c>
      <c r="CG3">
        <f>SUMPRODUCT(--('Данные 1st'!$S$2:$S$317=$A3),--ISNUMBER('Данные 1st'!$FO$2:$FO$317))</f>
        <v>1</v>
      </c>
      <c r="CH3">
        <f>SUMPRODUCT(--('Данные 1st'!$S$2:$S$317=$A3),--ISNUMBER('Данные 1st'!$FP$2:$FP$317))</f>
        <v>1</v>
      </c>
      <c r="CI3">
        <f>SUMPRODUCT(--('Данные 1st'!$S$2:$S$317=$A3),--ISNUMBER('Данные 1st'!$FS$2:$FS$317))</f>
        <v>1</v>
      </c>
      <c r="CJ3">
        <f>SUMPRODUCT(--('Данные 1st'!$S$2:$S$317=$A3),--ISNUMBER('Данные 1st'!$FT$2:$FT$317))</f>
        <v>1</v>
      </c>
      <c r="CK3">
        <f>SUMPRODUCT(--('Данные 1st'!$S$2:$S$317=$A3),--ISNUMBER('Данные 1st'!$FU$2:$FU$317))</f>
        <v>1</v>
      </c>
      <c r="CL3">
        <f>SUMPRODUCT(--('Данные 1st'!$S$2:$S$317=$A3),--ISNUMBER('Данные 1st'!$FV$2:$FV$317))</f>
        <v>0</v>
      </c>
      <c r="CM3">
        <f>SUMPRODUCT(--('Данные 1st'!$S$2:$S$317=$A3),--ISNUMBER('Данные 1st'!$FW$2:$FW$317))</f>
        <v>0</v>
      </c>
      <c r="CN3">
        <f>SUMPRODUCT(--('Данные 1st'!$S$2:$S$317=$A3),--ISNUMBER('Данные 1st'!$FZ$2:$FZ$317))</f>
        <v>0</v>
      </c>
      <c r="CO3">
        <f>SUMPRODUCT(--('Данные 1st'!$S$2:$S$317=$A3),--ISNUMBER('Данные 1st'!$GA$2:$GA$317))</f>
        <v>0</v>
      </c>
      <c r="CP3">
        <f>SUMPRODUCT(--('Данные 1st'!$S$2:$S$317=$A3),--ISNUMBER('Данные 1st'!$GB$2:$GB$317))</f>
        <v>0</v>
      </c>
      <c r="CQ3">
        <f>SUMPRODUCT(--('Данные 1st'!$S$2:$S$317=$A3),--ISNUMBER('Данные 1st'!$GH$2:$GH$317))</f>
        <v>0</v>
      </c>
      <c r="CR3">
        <f>SUMPRODUCT(--('Данные 1st'!$S$2:$S$317=$A3),--ISNUMBER('Данные 1st'!$GI$2:$GI$317))</f>
        <v>0</v>
      </c>
      <c r="CS3">
        <f>SUMPRODUCT(--('Данные 1st'!$S$2:$S$317=$A3),--ISNUMBER('Данные 1st'!$GJ$2:$GJ$317))</f>
        <v>0</v>
      </c>
      <c r="CT3">
        <f>SUMPRODUCT(--('Данные 1st'!$S$2:$S$317=$A3),--ISNUMBER('Данные 1st'!$GS$2:$GS$317))</f>
        <v>0</v>
      </c>
      <c r="CU3">
        <f>SUMPRODUCT(--('Данные 1st'!$S$2:$S$317=$A3),--ISNUMBER('Данные 1st'!$GT$2:$GT$317))</f>
        <v>0</v>
      </c>
      <c r="CV3">
        <f>SUMPRODUCT(--('Данные 1st'!$S$2:$S$317=$A3),--ISNUMBER('Данные 1st'!$GU$2:$GU$317))</f>
        <v>0</v>
      </c>
      <c r="CW3">
        <f>SUMPRODUCT(--('Данные 1st'!$S$2:$S$317=$A3),--ISNUMBER('Данные 1st'!$GV$2:$GV$317))</f>
        <v>0</v>
      </c>
      <c r="CX3">
        <f>SUMPRODUCT(--('Данные 1st'!$S$2:$S$317=$A3),--ISNUMBER('Данные 1st'!$GW$2:$GW$317))</f>
        <v>0</v>
      </c>
      <c r="CY3">
        <f>SUMPRODUCT(--('Данные 1st'!$S$2:$S$317=$A3),--ISNUMBER('Данные 1st'!$GZ$2:$GZ$317))</f>
        <v>0</v>
      </c>
      <c r="CZ3">
        <f>SUMPRODUCT(--('Данные 1st'!$S$2:$S$317=$A3),--ISNUMBER('Данные 1st'!$HA$2:$HA$317))</f>
        <v>0</v>
      </c>
      <c r="DA3">
        <f>SUMPRODUCT(--('Данные 1st'!$S$2:$S$317=$A3),--ISNUMBER('Данные 1st'!$HB$2:$HB$317))</f>
        <v>0</v>
      </c>
      <c r="DB3">
        <f>SUMPRODUCT(--('Данные 1st'!$S$2:$S$317=$A3),--ISNUMBER('Данные 1st'!$HC$2:$HC$317))</f>
        <v>1</v>
      </c>
      <c r="DC3">
        <f>SUMPRODUCT(--('Данные 1st'!$S$2:$S$317=$A3),--ISNUMBER('Данные 1st'!$HD$2:$HD$317))</f>
        <v>1</v>
      </c>
      <c r="DD3">
        <f>SUMPRODUCT(--('Данные 1st'!$S$2:$S$317=$A3),--ISNUMBER('Данные 1st'!$HE$2:$HE$317))</f>
        <v>1</v>
      </c>
      <c r="DE3">
        <f>SUMPRODUCT(--('Данные 1st'!$S$2:$S$317=$A3),--ISNUMBER('Данные 1st'!$HF$2:$HF$317))</f>
        <v>1</v>
      </c>
      <c r="DF3">
        <f>SUMPRODUCT(--('Данные 1st'!$S$2:$S$317=$A3),--ISNUMBER('Данные 1st'!$HG$2:$HG$317))</f>
        <v>1</v>
      </c>
      <c r="DG3">
        <f>SUMPRODUCT(--('Данные 1st'!$S$2:$S$317=$A3),--ISNUMBER('Данные 1st'!$HH$2:$HH$317))</f>
        <v>1</v>
      </c>
      <c r="DH3">
        <f>SUMPRODUCT(--('Данные 1st'!$S$2:$S$317=$A3),--ISNUMBER('Данные 1st'!$HI$2:$HI$317))</f>
        <v>1</v>
      </c>
      <c r="DI3">
        <f>SUMPRODUCT(--('Данные 1st'!$S$2:$S$317=$A3),--ISNUMBER('Данные 1st'!$HJ$2:$HJ$317))</f>
        <v>1</v>
      </c>
      <c r="DJ3">
        <f>SUMPRODUCT(--('Данные 1st'!$S$2:$S$317=$A3),--ISNUMBER('Данные 1st'!$HK$2:$HK$317))</f>
        <v>1</v>
      </c>
      <c r="DK3">
        <f>SUMPRODUCT(--('Данные 1st'!$S$2:$S$317=$A3),--ISNUMBER('Данные 1st'!$HL$2:$HL$317))</f>
        <v>1</v>
      </c>
      <c r="DL3">
        <f>SUMPRODUCT(--('Данные 1st'!$S$2:$S$317=$A3),--ISNUMBER('Данные 1st'!$HM$2:$HM$317))</f>
        <v>1</v>
      </c>
      <c r="DM3">
        <f>SUMPRODUCT(--('Данные 1st'!$S$2:$S$317=$A3),--ISNUMBER('Данные 1st'!$HN$2:$HN$317))</f>
        <v>1</v>
      </c>
      <c r="DN3">
        <f>SUMPRODUCT(--('Данные 1st'!$S$2:$S$317=$A3),--ISNUMBER('Данные 1st'!$HO$2:$HO$317))</f>
        <v>1</v>
      </c>
      <c r="DO3">
        <f>SUMPRODUCT(--('Данные 1st'!$S$2:$S$317=$A3),--ISNUMBER('Данные 1st'!$HP$2:$HP$317))</f>
        <v>1</v>
      </c>
      <c r="DP3">
        <f>SUMPRODUCT(--('Данные 1st'!$S$2:$S$317=$A3),--ISNUMBER('Данные 1st'!$HQ$2:$HQ$317))</f>
        <v>1</v>
      </c>
      <c r="DQ3">
        <f>SUMPRODUCT(--('Данные 1st'!$S$2:$S$317=$A3),--ISNUMBER('Данные 1st'!$HR$2:$HR$317))</f>
        <v>1</v>
      </c>
      <c r="DR3">
        <f>SUMPRODUCT(--('Данные 1st'!$S$2:$S$317=$A3),--ISNUMBER('Данные 1st'!$HS$2:$HS$317))</f>
        <v>1</v>
      </c>
      <c r="DS3">
        <f>SUMPRODUCT(--('Данные 1st'!$S$2:$S$317=$A3),--ISNUMBER('Данные 1st'!$HT$2:$HT$317))</f>
        <v>1</v>
      </c>
      <c r="DT3">
        <f>SUMPRODUCT(--('Данные 1st'!$S$2:$S$317=$A3),--ISNUMBER('Данные 1st'!$HU$2:$HU$317))</f>
        <v>1</v>
      </c>
      <c r="DU3">
        <f>SUMPRODUCT(--('Данные 1st'!$S$2:$S$317=$A3),--ISNUMBER('Данные 1st'!$HW$2:$HW$317))</f>
        <v>1</v>
      </c>
      <c r="DV3">
        <f>SUMPRODUCT(--('Данные 1st'!$S$2:$S$317=$A3),--ISNUMBER('Данные 1st'!$HX$2:$HX$317))</f>
        <v>1</v>
      </c>
      <c r="DW3">
        <f>SUMPRODUCT(--('Данные 1st'!$S$2:$S$317=$A3),--ISNUMBER('Данные 1st'!$HY$2:$HY$317))</f>
        <v>1</v>
      </c>
      <c r="DX3">
        <f>SUMPRODUCT(--('Данные 1st'!$S$2:$S$317=$A3),--ISNUMBER('Данные 1st'!$IA$2:$IA$317))</f>
        <v>1</v>
      </c>
      <c r="DY3">
        <f>SUMPRODUCT(--('Данные 1st'!$S$2:$S$317=$A3),--ISNUMBER('Данные 1st'!$IB$2:$IB$317))</f>
        <v>1</v>
      </c>
      <c r="DZ3">
        <f>SUMPRODUCT(--('Данные 1st'!$S$2:$S$317=$A3),--ISNUMBER('Данные 1st'!$IC$2:$IC$317))</f>
        <v>1</v>
      </c>
      <c r="EA3">
        <f>SUMPRODUCT(--('Данные 1st'!$S$2:$S$317=$A3),--ISNUMBER('Данные 1st'!$ID$2:$ID$317))</f>
        <v>1</v>
      </c>
      <c r="EB3">
        <f>SUMPRODUCT(--('Данные 1st'!$S$2:$S$317=$A3),--ISNUMBER('Данные 1st'!$IE$2:$IE$317))</f>
        <v>1</v>
      </c>
      <c r="EC3">
        <f>SUMPRODUCT(--('Данные 1st'!$S$2:$S$317=$A3),--ISNUMBER('Данные 1st'!$IF$2:$IF$317))</f>
        <v>1</v>
      </c>
      <c r="ED3">
        <f>SUMPRODUCT(--('Данные 1st'!$S$2:$S$317=$A3),--ISNUMBER('Данные 1st'!$IP$2:$IP$317))</f>
        <v>1</v>
      </c>
      <c r="EE3">
        <f>SUMPRODUCT(--('Данные 1st'!$S$2:$S$317=$A3),--ISNUMBER('Данные 1st'!$IV$2:$IV$317))</f>
        <v>1</v>
      </c>
      <c r="EF3">
        <f>SUMPRODUCT(--('Данные 1st'!$S$2:$S$317=$A3),--ISNUMBER('Данные 1st'!$IW$2:$IW$317))</f>
        <v>1</v>
      </c>
      <c r="EG3">
        <f>SUMPRODUCT(--('Данные 1st'!$S$2:$S$317=$A3),--ISNUMBER('Данные 1st'!$IX$2:$IX$317))</f>
        <v>0</v>
      </c>
      <c r="EH3">
        <f>SUMPRODUCT(--('Данные 1st'!$S$2:$S$317=$A3),--ISNUMBER('Данные 1st'!$IY$2:$IY$317))</f>
        <v>0</v>
      </c>
      <c r="EI3">
        <f>SUMPRODUCT(--('Данные 1st'!$S$2:$S$317=$A3),--ISNUMBER('Данные 1st'!$JD$2:$JD$317))</f>
        <v>1</v>
      </c>
      <c r="EJ3">
        <f>SUMPRODUCT(--('Данные 1st'!$S$2:$S$317=$A3),--ISNUMBER('Данные 1st'!$JE$2:$JE$317))</f>
        <v>1</v>
      </c>
      <c r="EK3">
        <f>SUMPRODUCT(--('Данные 1st'!$S$2:$S$317=$A3),--ISNUMBER('Данные 1st'!$JF$2:$JF$317))</f>
        <v>1</v>
      </c>
      <c r="EL3">
        <f>SUMPRODUCT(--('Данные 1st'!$S$2:$S$317=$A3),--ISNUMBER('Данные 1st'!$JG$2:$JG$317))</f>
        <v>1</v>
      </c>
      <c r="EM3">
        <f>SUMPRODUCT(--('Данные 1st'!$S$2:$S$317=$A3),--ISNUMBER('Данные 1st'!$JH$2:$JH$317))</f>
        <v>1</v>
      </c>
      <c r="EN3">
        <f>SUMPRODUCT(--('Данные 1st'!$S$2:$S$317=$A3),--ISNUMBER('Данные 1st'!$JJ$2:$JJ$317))</f>
        <v>1</v>
      </c>
      <c r="EO3">
        <f>SUMPRODUCT(--('Данные 1st'!$S$2:$S$317=$A3),--ISNUMBER('Данные 1st'!$JK$2:$JK$317))</f>
        <v>1</v>
      </c>
      <c r="EP3">
        <f>SUMPRODUCT(--('Данные 1st'!$S$2:$S$317=$A3),--ISNUMBER('Данные 1st'!$JL$2:$JL$317))</f>
        <v>0</v>
      </c>
      <c r="EQ3">
        <f>SUMPRODUCT(--('Данные 1st'!$S$2:$S$317=$A3),--ISNUMBER('Данные 1st'!$JM$2:$JM$317))</f>
        <v>0</v>
      </c>
      <c r="ER3">
        <f>SUMPRODUCT(--('Данные 1st'!$S$2:$S$317=$A3),--ISNUMBER('Данные 1st'!$JN$2:$JN$317))</f>
        <v>1</v>
      </c>
      <c r="ES3">
        <f>SUMPRODUCT(--('Данные 1st'!$S$2:$S$317=$A3),--ISNUMBER('Данные 1st'!$JO$2:$JO$317))</f>
        <v>1</v>
      </c>
      <c r="ET3">
        <f>SUMPRODUCT(--('Данные 1st'!$S$2:$S$317=$A3),--ISNUMBER('Данные 1st'!$JP$2:$JP$317))</f>
        <v>1</v>
      </c>
      <c r="EU3">
        <f>SUMPRODUCT(--('Данные 1st'!$S$2:$S$317=$A3),--ISNUMBER('Данные 1st'!$JQ$2:$JQ$317))</f>
        <v>1</v>
      </c>
      <c r="EV3">
        <f>SUMPRODUCT(--('Данные 1st'!$S$2:$S$317=$A3),--ISNUMBER('Данные 1st'!$JR$2:$JR$317))</f>
        <v>1</v>
      </c>
      <c r="EW3">
        <f>SUMPRODUCT(--('Данные 1st'!$S$2:$S$317=$A3),--ISNUMBER('Данные 1st'!$JS$2:$JS$317))</f>
        <v>1</v>
      </c>
      <c r="EX3">
        <f>SUMPRODUCT(--('Данные 1st'!$S$2:$S$317=$A3),--ISNUMBER('Данные 1st'!$JT$2:$JT$317))</f>
        <v>0</v>
      </c>
      <c r="EY3">
        <f>SUMPRODUCT(--('Данные 1st'!$S$2:$S$317=$A3),--ISNUMBER('Данные 1st'!$JU$2:$JU$317))</f>
        <v>0</v>
      </c>
      <c r="EZ3">
        <f>SUMPRODUCT(--('Данные 1st'!$S$2:$S$317=$A3),--ISNUMBER('Данные 1st'!$JV$2:$JV$317))</f>
        <v>1</v>
      </c>
      <c r="FA3">
        <f>SUMPRODUCT(--('Данные 1st'!$S$2:$S$317=$A3),--ISNUMBER('Данные 1st'!$JW$2:$JW$317))</f>
        <v>0</v>
      </c>
      <c r="FB3">
        <f>SUMPRODUCT(--('Данные 1st'!$S$2:$S$317=$A3),--ISNUMBER('Данные 1st'!$JX$2:$JX$317))</f>
        <v>1</v>
      </c>
      <c r="FC3">
        <f>SUMPRODUCT(--('Данные 1st'!$S$2:$S$317=$A3),--ISNUMBER('Данные 1st'!$JY$2:$JY$317))</f>
        <v>0</v>
      </c>
      <c r="FD3">
        <f>SUMPRODUCT(--('Данные 1st'!$S$2:$S$317=$A3),--ISNUMBER('Данные 1st'!$JZ$2:$JZ$317))</f>
        <v>0</v>
      </c>
      <c r="FE3">
        <f>SUMPRODUCT(--('Данные 1st'!$S$2:$S$317=$A3),--ISNUMBER('Данные 1st'!$KA$2:$KA$317))</f>
        <v>1</v>
      </c>
      <c r="FF3">
        <f>SUMPRODUCT(--('Данные 1st'!$S$2:$S$317=$A3),--ISNUMBER('Данные 1st'!$KB$2:$KB$317))</f>
        <v>1</v>
      </c>
      <c r="FG3">
        <f>SUMPRODUCT(--('Данные 1st'!$S$2:$S$317=$A3),--ISNUMBER('Данные 1st'!$KC$2:$KC$317))</f>
        <v>1</v>
      </c>
      <c r="FH3">
        <f>SUMPRODUCT(--('Данные 1st'!$S$2:$S$317=$A3),--ISNUMBER('Данные 1st'!$KD$2:$KD$317))</f>
        <v>1</v>
      </c>
      <c r="FI3">
        <f>SUMPRODUCT(--('Данные 1st'!$S$2:$S$317=$A3),--ISNUMBER('Данные 1st'!$KE$2:$KE$317))</f>
        <v>0</v>
      </c>
      <c r="FJ3">
        <f>SUMPRODUCT(--('Данные 1st'!$S$2:$S$317=$A3),--ISNUMBER('Данные 1st'!$KF$2:$KF$317))</f>
        <v>1</v>
      </c>
      <c r="FK3">
        <f>SUMPRODUCT(--('Данные 1st'!$S$2:$S$317=$A3),--ISNUMBER('Данные 1st'!$KG$2:$KG$317))</f>
        <v>1</v>
      </c>
      <c r="FL3">
        <f>SUMPRODUCT(--('Данные 1st'!$S$2:$S$317=$A3),--ISNUMBER('Данные 1st'!$KH$2:$KH$317))</f>
        <v>1</v>
      </c>
      <c r="FM3">
        <f>SUMPRODUCT(--('Данные 1st'!$S$2:$S$317=$A3),--ISNUMBER('Данные 1st'!$KI$2:$KI$317))</f>
        <v>1</v>
      </c>
      <c r="FN3">
        <f>SUMPRODUCT(--('Данные 1st'!$S$2:$S$317=$A3),--ISNUMBER('Данные 1st'!$KJ$2:$KJ$317))</f>
        <v>1</v>
      </c>
      <c r="FO3">
        <f>SUMPRODUCT(--('Данные 1st'!$S$2:$S$317=$A3),--ISNUMBER('Данные 1st'!$KK$2:$KK$317))</f>
        <v>1</v>
      </c>
      <c r="FP3">
        <f>SUMPRODUCT(--('Данные 1st'!$S$2:$S$317=$A3),--ISNUMBER('Данные 1st'!$KL$2:$KL$317))</f>
        <v>1</v>
      </c>
      <c r="FQ3">
        <f>SUMPRODUCT(--('Данные 1st'!$S$2:$S$317=$A3),--ISNUMBER('Данные 1st'!$KM$2:$KM$317))</f>
        <v>1</v>
      </c>
      <c r="FR3">
        <f>SUMPRODUCT(--('Данные 1st'!$S$2:$S$317=$A3),--ISNUMBER('Данные 1st'!$KN$2:$KN$317))</f>
        <v>1</v>
      </c>
      <c r="FS3">
        <f>SUMPRODUCT(--('Данные 1st'!$S$2:$S$317=$A3),--ISNUMBER('Данные 1st'!$KR$2:$KR$317))</f>
        <v>1</v>
      </c>
      <c r="FT3">
        <f>SUMPRODUCT(--('Данные 1st'!$S$2:$S$317=$A3),--ISNUMBER('Данные 1st'!$KS$2:$KS$317))</f>
        <v>1</v>
      </c>
      <c r="FU3">
        <f>SUMPRODUCT(--('Данные 1st'!$S$2:$S$317=$A3),--ISNUMBER('Данные 1st'!$KT$2:$KT$317))</f>
        <v>1</v>
      </c>
      <c r="FV3">
        <f>SUMPRODUCT(--('Данные 1st'!$S$2:$S$317=$A3),--ISNUMBER('Данные 1st'!$KV$2:$KV$317))</f>
        <v>0</v>
      </c>
      <c r="FW3">
        <f>SUMPRODUCT(--('Данные 1st'!$S$2:$S$317=$A3),--ISNUMBER('Данные 1st'!$KW$2:$KW$317))</f>
        <v>0</v>
      </c>
      <c r="FX3">
        <f>SUMPRODUCT(--('Данные 1st'!$S$2:$S$317=$A3),--ISNUMBER('Данные 1st'!$KX$2:$KX$317))</f>
        <v>0</v>
      </c>
      <c r="FY3">
        <f>SUMPRODUCT(--('Данные 1st'!$S$2:$S$317=$A3),--ISNUMBER('Данные 1st'!$KY$2:$KY$317))</f>
        <v>0</v>
      </c>
      <c r="FZ3">
        <f>SUMPRODUCT(--('Данные 1st'!$S$2:$S$317=$A3),--ISNUMBER('Данные 1st'!$KZ$2:$KZ$317))</f>
        <v>0</v>
      </c>
      <c r="GA3">
        <f>SUMPRODUCT(--('Данные 1st'!$S$2:$S$317=$A3),--ISNUMBER('Данные 1st'!$LA$2:$LA$317))</f>
        <v>0</v>
      </c>
      <c r="GB3">
        <f>SUMPRODUCT(--('Данные 1st'!$S$2:$S$317=$A3),--ISNUMBER('Данные 1st'!$LB$2:$LB$317))</f>
        <v>0</v>
      </c>
      <c r="GC3">
        <f>SUMPRODUCT(--('Данные 1st'!$S$2:$S$317=$A3),--ISNUMBER('Данные 1st'!$LC$2:$LC$317))</f>
        <v>0</v>
      </c>
      <c r="GD3">
        <f>SUMPRODUCT(--('Данные 1st'!$S$2:$S$317=$A3),--ISNUMBER('Данные 1st'!$LD$2:$LD$317))</f>
        <v>0</v>
      </c>
      <c r="GE3">
        <f>SUMPRODUCT(--('Данные 1st'!$S$2:$S$317=$A3),--ISNUMBER('Данные 1st'!$LE$2:$LE$317))</f>
        <v>0</v>
      </c>
      <c r="GF3">
        <f>SUMPRODUCT(--('Данные 1st'!$S$2:$S$317=$A3),--ISNUMBER('Данные 1st'!$LF$2:$LF$317))</f>
        <v>0</v>
      </c>
      <c r="GG3">
        <f>SUMPRODUCT(--('Данные 1st'!$S$2:$S$317=$A3),--ISNUMBER('Данные 1st'!$LG$2:$LG$317))</f>
        <v>0</v>
      </c>
      <c r="GH3">
        <f>SUMPRODUCT(--('Данные 1st'!$S$2:$S$317=$A3),--ISNUMBER('Данные 1st'!$LH$2:$LH$317))</f>
        <v>0</v>
      </c>
      <c r="GI3">
        <f>SUMPRODUCT(--('Данные 1st'!$S$2:$S$317=$A3),--ISNUMBER('Данные 1st'!$LI$2:$LI$317))</f>
        <v>0</v>
      </c>
      <c r="GJ3">
        <f>SUMPRODUCT(--('Данные 1st'!$S$2:$S$317=$A3),--ISNUMBER('Данные 1st'!$LJ$2:$LJ$317))</f>
        <v>0</v>
      </c>
      <c r="GK3">
        <f>SUMPRODUCT(--('Данные 1st'!$S$2:$S$317=$A3),--ISNUMBER('Данные 1st'!$LK$2:$LK$317))</f>
        <v>1</v>
      </c>
      <c r="GL3">
        <f>SUMPRODUCT(--('Данные 1st'!$S$2:$S$317=$A3),--ISNUMBER('Данные 1st'!$LV$2:$LV$317))</f>
        <v>0</v>
      </c>
      <c r="GM3">
        <f>SUMPRODUCT(--('Данные 1st'!$S$2:$S$317=$A3),--ISNUMBER('Данные 1st'!$LW$2:$LW$317))</f>
        <v>0</v>
      </c>
      <c r="GN3">
        <f>SUMPRODUCT(--('Данные 1st'!$S$2:$S$317=$A3),--ISNUMBER('Данные 1st'!$LX$2:$LX$317))</f>
        <v>1</v>
      </c>
      <c r="GO3">
        <f>SUMPRODUCT(--('Данные 1st'!$S$2:$S$317=$A3),--ISNUMBER('Данные 1st'!$LY$2:$LY$317))</f>
        <v>1</v>
      </c>
      <c r="GP3">
        <f>SUMPRODUCT(--('Данные 1st'!$S$2:$S$317=$A3),--ISNUMBER('Данные 1st'!$LZ$2:$LZ$317))</f>
        <v>0</v>
      </c>
      <c r="GQ3">
        <f>SUMPRODUCT(--('Данные 1st'!$S$2:$S$317=$A3),--ISNUMBER('Данные 1st'!$PG$2:$PG$317))</f>
        <v>1</v>
      </c>
      <c r="GR3">
        <f>SUMPRODUCT(--('Данные 1st'!$S$2:$S$317=$A3),--ISNUMBER('Данные 1st'!$PX$2:$PX$317))</f>
        <v>1</v>
      </c>
      <c r="GS3">
        <f>SUMPRODUCT(--('Данные 1st'!$S$2:$S$317=$A3),--ISNUMBER('Данные 1st'!$PY$2:$PY$317))</f>
        <v>1</v>
      </c>
      <c r="GT3">
        <f>SUMPRODUCT(--('Данные 1st'!$S$2:$S$317=$A3),--ISNUMBER('Данные 1st'!$QA$2:$QA$317))</f>
        <v>1</v>
      </c>
      <c r="GU3">
        <f>SUMPRODUCT(--('Данные 1st'!$S$2:$S$317=$A3),--ISNUMBER('Данные 1st'!$QB$2:$QB$317))</f>
        <v>1</v>
      </c>
      <c r="GV3">
        <f>SUMPRODUCT(--('Данные 1st'!$S$2:$S$317=$A3),--ISNUMBER('Данные 1st'!$QC$2:$QC$317))</f>
        <v>1</v>
      </c>
      <c r="GW3">
        <f>SUMPRODUCT(--('Данные 1st'!$S$2:$S$317=$A3),--ISNUMBER('Данные 1st'!$QD$2:$QD$317))</f>
        <v>1</v>
      </c>
      <c r="GX3">
        <f>SUMPRODUCT(--('Данные 1st'!$S$2:$S$317=$A3),--ISNUMBER('Данные 1st'!$QF$2:$QF$317))</f>
        <v>1</v>
      </c>
      <c r="GY3">
        <f>SUMPRODUCT(--('Данные 1st'!$S$2:$S$317=$A3),--ISNUMBER('Данные 1st'!$QG$2:$QG$317))</f>
        <v>1</v>
      </c>
      <c r="GZ3">
        <f>SUMPRODUCT(--('Данные 1st'!$S$2:$S$317=$A3),--ISNUMBER('Данные 1st'!$QH$2:$QH$317))</f>
        <v>1</v>
      </c>
      <c r="HA3">
        <f>SUMPRODUCT(--('Данные 1st'!$S$2:$S$317=$A3),--ISNUMBER('Данные 1st'!$QI$2:$QI$317))</f>
        <v>1</v>
      </c>
      <c r="HB3">
        <f>SUMPRODUCT(--('Данные 1st'!$S$2:$S$317=$A3),--ISNUMBER('Данные 1st'!$QK$2:$QK$317))</f>
        <v>1</v>
      </c>
      <c r="HC3">
        <f>SUMPRODUCT(--('Данные 1st'!$S$2:$S$317=$A3),--ISNUMBER('Данные 1st'!$QL$2:$QL$317))</f>
        <v>1</v>
      </c>
      <c r="HD3">
        <f>SUMPRODUCT(--('Данные 1st'!$S$2:$S$317=$A3),--ISNUMBER('Данные 1st'!$QM$2:$QM$317))</f>
        <v>1</v>
      </c>
      <c r="HE3">
        <f>SUMPRODUCT(--('Данные 1st'!$S$2:$S$317=$A3),--ISNUMBER('Данные 1st'!$QN$2:$QN$317))</f>
        <v>1</v>
      </c>
      <c r="HF3">
        <f>SUMPRODUCT(--('Данные 1st'!$S$2:$S$317=$A3),--ISNUMBER('Данные 1st'!$QP$2:$QP$317))</f>
        <v>1</v>
      </c>
      <c r="HG3">
        <f>SUMPRODUCT(--('Данные 1st'!$S$2:$S$317=$A3),--ISNUMBER('Данные 1st'!$QQ$2:$QQ$317))</f>
        <v>1</v>
      </c>
      <c r="HH3">
        <f>SUMPRODUCT(--('Данные 1st'!$S$2:$S$317=$A3),--ISNUMBER('Данные 1st'!$QR$2:$QR$317))</f>
        <v>0</v>
      </c>
      <c r="HI3">
        <f>SUMPRODUCT(--('Данные 1st'!$S$2:$S$317=$A3),--ISNUMBER('Данные 1st'!$QS$2:$QS$317))</f>
        <v>0</v>
      </c>
      <c r="HJ3">
        <f>SUMPRODUCT(--('Данные 1st'!$S$2:$S$317=$A3),--ISNUMBER('Данные 1st'!$QU$2:$QU$317))</f>
        <v>0</v>
      </c>
      <c r="HK3">
        <f>SUMPRODUCT(--('Данные 1st'!$S$2:$S$317=$A3),--ISNUMBER('Данные 1st'!$QV$2:$QV$317))</f>
        <v>0</v>
      </c>
      <c r="HL3">
        <f>SUMPRODUCT(--('Данные 1st'!$S$2:$S$317=$A3),--ISNUMBER('Данные 1st'!$QW$2:$QW$317))</f>
        <v>1</v>
      </c>
      <c r="HM3">
        <f>SUMPRODUCT(--('Данные 1st'!$S$2:$S$317=$A3),--ISNUMBER('Данные 1st'!$QX$2:$QX$317))</f>
        <v>1</v>
      </c>
      <c r="HN3">
        <f>SUMPRODUCT(--('Данные 1st'!$S$2:$S$317=$A3),--ISNUMBER('Данные 1st'!$QZ$2:$QZ$317))</f>
        <v>1</v>
      </c>
      <c r="HO3">
        <f>SUMPRODUCT(--('Данные 1st'!$S$2:$S$317=$A3),--ISNUMBER('Данные 1st'!$RA$2:$RA$317))</f>
        <v>1</v>
      </c>
      <c r="HP3">
        <f>SUMPRODUCT(--('Данные 1st'!$S$2:$S$317=$A3),--ISNUMBER('Данные 1st'!$RB$2:$RB$317))</f>
        <v>1</v>
      </c>
      <c r="HQ3">
        <f>SUMPRODUCT(--('Данные 1st'!$S$2:$S$317=$A3),--ISNUMBER('Данные 1st'!$RD$2:$RD$317))</f>
        <v>0</v>
      </c>
      <c r="HR3">
        <f>SUMPRODUCT(--('Данные 1st'!$S$2:$S$317=$A3),--ISNUMBER('Данные 1st'!$RE$2:$RE$317))</f>
        <v>1</v>
      </c>
      <c r="HS3">
        <f>SUMPRODUCT(--('Данные 1st'!$S$2:$S$317=$A3),--ISNUMBER('Данные 1st'!$RF$2:$RF$317))</f>
        <v>1</v>
      </c>
      <c r="HT3">
        <f>SUMPRODUCT(--('Данные 1st'!$S$2:$S$317=$A3),--ISNUMBER('Данные 1st'!$RG$2:$RG$317))</f>
        <v>0</v>
      </c>
      <c r="HU3">
        <f>SUMPRODUCT(--('Данные 1st'!$S$2:$S$317=$A3),--ISNUMBER('Данные 1st'!$RH$2:$RH$317))</f>
        <v>0</v>
      </c>
      <c r="HV3">
        <f>SUMPRODUCT(--('Данные 1st'!$S$2:$S$317=$A3),--ISNUMBER('Данные 1st'!$RI$2:$RI$317))</f>
        <v>0</v>
      </c>
      <c r="HW3">
        <f>SUMPRODUCT(--('Данные 1st'!$S$2:$S$317=$A3),--ISNUMBER('Данные 1st'!$RJ$2:$RJ$317))</f>
        <v>1</v>
      </c>
      <c r="HX3">
        <f>SUMPRODUCT(--('Данные 1st'!$S$2:$S$317=$A3),--ISNUMBER('Данные 1st'!$RK$2:$RK$317))</f>
        <v>1</v>
      </c>
      <c r="HY3">
        <f>SUMPRODUCT(--('Данные 1st'!$S$2:$S$317=$A3),--ISNUMBER('Данные 1st'!$RL$2:$RL$317))</f>
        <v>1</v>
      </c>
      <c r="HZ3">
        <f>SUMPRODUCT(--('Данные 1st'!$S$2:$S$317=$A3),--ISNUMBER('Данные 1st'!$RM$2:$RM$317))</f>
        <v>0</v>
      </c>
      <c r="IA3">
        <f>SUMPRODUCT(--('Данные 1st'!$S$2:$S$317=$A3),--ISNUMBER('Данные 1st'!$RN$2:$RN$317))</f>
        <v>0</v>
      </c>
      <c r="IB3">
        <f>SUMPRODUCT(--('Данные 1st'!$S$2:$S$317=$A3),--ISNUMBER('Данные 1st'!$RO$2:$RO$317))</f>
        <v>1</v>
      </c>
      <c r="IC3">
        <f>SUMPRODUCT(--('Данные 1st'!$S$2:$S$317=$A3),--ISNUMBER('Данные 1st'!$RP$2:$RP$317))</f>
        <v>1</v>
      </c>
      <c r="ID3">
        <f>SUMPRODUCT(--('Данные 1st'!$S$2:$S$317=$A3),--ISNUMBER('Данные 1st'!$RQ$2:$RQ$317))</f>
        <v>1</v>
      </c>
      <c r="IE3">
        <f>SUMPRODUCT(--('Данные 1st'!$S$2:$S$317=$A3),--ISNUMBER('Данные 1st'!$RR$2:$RR$317))</f>
        <v>0</v>
      </c>
      <c r="IF3">
        <f>SUMPRODUCT(--('Данные 1st'!$S$2:$S$317=$A3),--ISNUMBER('Данные 1st'!$RS$2:$RS$317))</f>
        <v>0</v>
      </c>
      <c r="IG3">
        <f>SUMPRODUCT(--('Данные 1st'!$S$2:$S$317=$A3),--ISNUMBER('Данные 1st'!$RT$2:$RT$317))</f>
        <v>1</v>
      </c>
      <c r="IH3">
        <f>SUMPRODUCT(--('Данные 1st'!$S$2:$S$317=$A3),--ISNUMBER('Данные 1st'!$RU$2:$RU$317))</f>
        <v>1</v>
      </c>
      <c r="II3">
        <f>SUMPRODUCT(--('Данные 1st'!$S$2:$S$317=$A3),--ISNUMBER('Данные 1st'!$RX$2:$RX$317))</f>
        <v>1</v>
      </c>
      <c r="IJ3">
        <f>SUMPRODUCT(--('Данные 1st'!$S$2:$S$317=$A3),--ISNUMBER('Данные 1st'!$RY$2:$RY$317))</f>
        <v>1</v>
      </c>
      <c r="IK3">
        <f>SUMPRODUCT(--('Данные 1st'!$S$2:$S$317=$A3),--ISNUMBER('Данные 1st'!$SA$2:$SA$317))</f>
        <v>1</v>
      </c>
      <c r="IL3">
        <f>SUMPRODUCT(--('Данные 1st'!$S$2:$S$317=$A3),--ISNUMBER('Данные 1st'!$SD$2:$SD$317))</f>
        <v>1</v>
      </c>
      <c r="IM3">
        <f>SUMPRODUCT(--('Данные 1st'!$S$2:$S$317=$A3),--ISNUMBER('Данные 1st'!$SG$2:$SG$317))</f>
        <v>0</v>
      </c>
      <c r="IN3">
        <f>SUMPRODUCT(--('Данные 1st'!$S$2:$S$317=$A3),--ISNUMBER('Данные 1st'!$SH$2:$SH$317))</f>
        <v>1</v>
      </c>
      <c r="IO3">
        <f>SUMPRODUCT(--('Данные 1st'!$S$2:$S$317=$A3),--ISNUMBER('Данные 1st'!$SI$2:$SI$317))</f>
        <v>1</v>
      </c>
      <c r="IP3">
        <f>SUMPRODUCT(--('Данные 1st'!$S$2:$S$317=$A3),--ISNUMBER('Данные 1st'!$SJ$2:$SJ$317))</f>
        <v>1</v>
      </c>
      <c r="IQ3">
        <f>SUMPRODUCT(--('Данные 1st'!$S$2:$S$317=$A3),--ISNUMBER('Данные 1st'!$SK$2:$SK$317))</f>
        <v>1</v>
      </c>
      <c r="IR3">
        <f>SUMPRODUCT(--('Данные 1st'!$S$2:$S$317=$A3),--ISNUMBER('Данные 1st'!$SL$2:$SL$317))</f>
        <v>1</v>
      </c>
      <c r="IS3">
        <f>SUMPRODUCT(--('Данные 1st'!$S$2:$S$317=$A3),--ISNUMBER('Данные 1st'!$SM$2:$SM$317))</f>
        <v>1</v>
      </c>
      <c r="IT3">
        <f>SUMPRODUCT(--('Данные 1st'!$S$2:$S$317=$A3),--ISNUMBER('Данные 1st'!$SN$2:$SN$317))</f>
        <v>1</v>
      </c>
      <c r="IU3">
        <f>SUMPRODUCT(--('Данные 1st'!$S$2:$S$317=$A3),--ISNUMBER('Данные 1st'!$SO$2:$SO$317))</f>
        <v>1</v>
      </c>
      <c r="IV3">
        <f>SUMPRODUCT(--('Данные 1st'!$S$2:$S$317=$A3),--ISNUMBER('Данные 1st'!$SP$2:$SP$317))</f>
        <v>1</v>
      </c>
      <c r="IW3">
        <f>SUMPRODUCT(--('Данные 1st'!$S$2:$S$317=$A3),--ISNUMBER('Данные 1st'!$SQ$2:$SQ$317))</f>
        <v>1</v>
      </c>
      <c r="IX3">
        <f>SUMPRODUCT(--('Данные 1st'!$S$2:$S$317=$A3),--ISNUMBER('Данные 1st'!$SR$2:$SR$317))</f>
        <v>1</v>
      </c>
      <c r="IY3">
        <f>SUMPRODUCT(--('Данные 1st'!$S$2:$S$317=$A3),--ISNUMBER('Данные 1st'!$SS$2:$SS$317))</f>
        <v>1</v>
      </c>
      <c r="IZ3">
        <f>SUMPRODUCT(--('Данные 1st'!$S$2:$S$317=$A3),--ISNUMBER('Данные 1st'!$ST$2:$ST$317))</f>
        <v>1</v>
      </c>
      <c r="JA3">
        <f>SUMPRODUCT(--('Данные 1st'!$S$2:$S$317=$A3),--ISNUMBER('Данные 1st'!$SU$2:$SU$317))</f>
        <v>1</v>
      </c>
      <c r="JB3">
        <f>SUMPRODUCT(--('Данные 1st'!$S$2:$S$317=$A3),--ISNUMBER('Данные 1st'!$SV$2:$SV$317))</f>
        <v>1</v>
      </c>
      <c r="JC3">
        <f>SUMPRODUCT(--('Данные 1st'!$S$2:$S$317=$A3),--ISNUMBER('Данные 1st'!$SW$2:$SW$317))</f>
        <v>1</v>
      </c>
      <c r="JD3">
        <f>SUMPRODUCT(--('Данные 1st'!$S$2:$S$317=$A3),--ISNUMBER('Данные 1st'!$SX$2:$SX$317))</f>
        <v>1</v>
      </c>
      <c r="JE3">
        <f>SUMPRODUCT(--('Данные 1st'!$S$2:$S$317=$A3),--ISNUMBER('Данные 1st'!$SY$2:$SY$317))</f>
        <v>1</v>
      </c>
      <c r="JF3">
        <f>SUMPRODUCT(--('Данные 1st'!$S$2:$S$317=$A3),--ISNUMBER('Данные 1st'!$SZ$2:$SZ$317))</f>
        <v>0</v>
      </c>
      <c r="JG3">
        <f>SUMPRODUCT(--('Данные 1st'!$S$2:$S$317=$A3),--ISNUMBER('Данные 1st'!$TA$2:$TA$317))</f>
        <v>0</v>
      </c>
      <c r="JH3">
        <f>SUMPRODUCT(--('Данные 1st'!$S$2:$S$317=$A3),--ISNUMBER('Данные 1st'!$TB$2:$TB$317))</f>
        <v>1</v>
      </c>
      <c r="JI3">
        <f>SUMPRODUCT(--('Данные 1st'!$S$2:$S$317=$A3),--ISNUMBER('Данные 1st'!$TC$2:$TC$317))</f>
        <v>1</v>
      </c>
      <c r="JJ3">
        <f>SUMPRODUCT(--('Данные 1st'!$S$2:$S$317=$A3),--ISNUMBER('Данные 1st'!$TD$2:$TD$317))</f>
        <v>1</v>
      </c>
      <c r="JK3">
        <f>SUMPRODUCT(--('Данные 1st'!$S$2:$S$317=$A3),--ISNUMBER('Данные 1st'!$TN$2:$TN$317))</f>
        <v>1</v>
      </c>
      <c r="JQ3">
        <f>SUMPRODUCT(--('Данные 2st'!$Q$2:$Q$317=$A3),--ISNUMBER('Данные 2st'!$AC$2:$AC$317))</f>
        <v>1</v>
      </c>
      <c r="JR3">
        <f>SUMPRODUCT(--('Данные 2st'!$Q$2:$Q$317=$A3),--ISNUMBER('Данные 2st'!$AF$2:$AF$317))</f>
        <v>1</v>
      </c>
      <c r="JS3">
        <f>SUMPRODUCT(--('Данные 2st'!$Q$2:$Q$317=$A3),--ISNUMBER('Данные 2st'!$AW$2:$AW$317))</f>
        <v>1</v>
      </c>
      <c r="JT3">
        <f>SUMPRODUCT(--('Данные 2st'!$Q$2:$Q$317=$A3),--ISNUMBER('Данные 2st'!$AX$2:$AX$317))</f>
        <v>1</v>
      </c>
      <c r="JU3">
        <f>SUMPRODUCT(--('Данные 2st'!$Q$2:$Q$317=$A3),--ISNUMBER('Данные 2st'!$AY$2:$AY$317))</f>
        <v>1</v>
      </c>
      <c r="JV3">
        <f>SUMPRODUCT(--('Данные 2st'!$Q$2:$Q$317=$A3),--ISNUMBER('Данные 2st'!$AZ$2:$AZ$317))</f>
        <v>1</v>
      </c>
      <c r="JW3">
        <f>SUMPRODUCT(--('Данные 2st'!$Q$2:$Q$317=$A3),--ISNUMBER('Данные 2st'!$BA$2:$BA$317))</f>
        <v>0</v>
      </c>
      <c r="JX3">
        <f>SUMPRODUCT(--('Данные 2st'!$Q$2:$Q$317=$A3),--ISNUMBER('Данные 2st'!$BB$2:$BB$317))</f>
        <v>0</v>
      </c>
      <c r="JY3">
        <f>SUMPRODUCT(--('Данные 2st'!$Q$2:$Q$317=$A3),--ISNUMBER('Данные 2st'!$BC$2:$BC$317))</f>
        <v>0</v>
      </c>
      <c r="JZ3">
        <f>SUMPRODUCT(--('Данные 2st'!$Q$2:$Q$317=$A3),--ISNUMBER('Данные 2st'!$BH$2:$BH$317))</f>
        <v>1</v>
      </c>
      <c r="KA3">
        <f>SUMPRODUCT(--('Данные 2st'!$Q$2:$Q$317=$A3),--ISNUMBER('Данные 2st'!$BI$2:$BI$317))</f>
        <v>1</v>
      </c>
      <c r="KB3">
        <f>SUMPRODUCT(--('Данные 2st'!$Q$2:$Q$317=$A3),--ISNUMBER('Данные 2st'!$BJ$2:$BJ$317))</f>
        <v>1</v>
      </c>
      <c r="KC3">
        <f>SUMPRODUCT(--('Данные 2st'!$Q$2:$Q$317=$A3),--ISNUMBER('Данные 2st'!$BK$2:$BK$317))</f>
        <v>1</v>
      </c>
      <c r="KD3">
        <f>SUMPRODUCT(--('Данные 2st'!$Q$2:$Q$317=$A3),--ISNUMBER('Данные 2st'!$BL$2:$BL$317))</f>
        <v>1</v>
      </c>
      <c r="KE3">
        <f>SUMPRODUCT(--('Данные 2st'!$Q$2:$Q$317=$A3),--ISNUMBER('Данные 2st'!$BM$2:$BM$317))</f>
        <v>1</v>
      </c>
      <c r="KF3">
        <f>SUMPRODUCT(--('Данные 2st'!$Q$2:$Q$317=$A3),--ISNUMBER('Данные 2st'!$BN$2:$BN$317))</f>
        <v>1</v>
      </c>
      <c r="KG3">
        <f>SUMPRODUCT(--('Данные 2st'!$Q$2:$Q$317=$A3),--ISNUMBER('Данные 2st'!$BO$2:$BO$317))</f>
        <v>0</v>
      </c>
      <c r="KH3">
        <f>SUMPRODUCT(--('Данные 2st'!$Q$2:$Q$317=$A3),--ISNUMBER('Данные 2st'!$BP$2:$BP$317))</f>
        <v>1</v>
      </c>
      <c r="KI3">
        <f>SUMPRODUCT(--('Данные 2st'!$Q$2:$Q$317=$A3),--ISNUMBER('Данные 2st'!$BR$2:$BR$317))</f>
        <v>1</v>
      </c>
      <c r="KJ3">
        <f>SUMPRODUCT(--('Данные 2st'!$Q$2:$Q$317=$A3),--ISNUMBER('Данные 2st'!$BS$2:$BS$317))</f>
        <v>1</v>
      </c>
      <c r="KK3">
        <f>SUMPRODUCT(--('Данные 2st'!$Q$2:$Q$317=$A3),--ISNUMBER('Данные 2st'!$BT$2:$BT$317))</f>
        <v>1</v>
      </c>
      <c r="KL3">
        <f>SUMPRODUCT(--('Данные 2st'!$Q$2:$Q$317=$A3),--ISNUMBER('Данные 2st'!$CV$2:$CV$317))</f>
        <v>1</v>
      </c>
      <c r="KM3">
        <f>SUMPRODUCT(--('Данные 2st'!$Q$2:$Q$317=$A3),--ISNUMBER('Данные 2st'!$CW$2:$CW$317))</f>
        <v>1</v>
      </c>
      <c r="KN3">
        <f>SUMPRODUCT(--('Данные 2st'!$Q$2:$Q$317=$A3),--ISNUMBER('Данные 2st'!$CX$2:$CX$317))</f>
        <v>1</v>
      </c>
      <c r="KO3">
        <f>SUMPRODUCT(--('Данные 2st'!$Q$2:$Q$317=$A3),--ISNUMBER('Данные 2st'!$CY$2:$CY$317))</f>
        <v>1</v>
      </c>
      <c r="KP3">
        <f>SUMPRODUCT(--('Данные 2st'!$Q$2:$Q$317=$A3),--ISNUMBER('Данные 2st'!$CZ$2:$CZ$317))</f>
        <v>1</v>
      </c>
      <c r="KQ3">
        <f>SUMPRODUCT(--('Данные 2st'!$Q$2:$Q$317=$A3),--ISNUMBER('Данные 2st'!$DA$2:$DA$317))</f>
        <v>1</v>
      </c>
      <c r="KR3">
        <f>SUMPRODUCT(--('Данные 2st'!$Q$2:$Q$317=$A3),--ISNUMBER('Данные 2st'!$DB$2:$DB$317))</f>
        <v>1</v>
      </c>
      <c r="KS3">
        <f>SUMPRODUCT(--('Данные 2st'!$Q$2:$Q$317=$A3),--ISNUMBER('Данные 2st'!$DC$2:$DC$317))</f>
        <v>1</v>
      </c>
      <c r="KT3">
        <f>SUMPRODUCT(--('Данные 2st'!$Q$2:$Q$317=$A3),--ISNUMBER('Данные 2st'!$DD$2:$DD$317))</f>
        <v>1</v>
      </c>
      <c r="KU3">
        <f>SUMPRODUCT(--('Данные 2st'!$Q$2:$Q$317=$A3),--ISNUMBER('Данные 2st'!$DE$2:$DE$317))</f>
        <v>1</v>
      </c>
      <c r="KV3">
        <f>SUMPRODUCT(--('Данные 2st'!$Q$2:$Q$317=$A3),--ISNUMBER('Данные 2st'!$DF$2:$DF$317))</f>
        <v>1</v>
      </c>
      <c r="KW3">
        <f>SUMPRODUCT(--('Данные 2st'!$Q$2:$Q$317=$A3),--ISNUMBER('Данные 2st'!$DG$2:$DG$317))</f>
        <v>1</v>
      </c>
      <c r="KX3">
        <f>SUMPRODUCT(--('Данные 2st'!$Q$2:$Q$317=$A3),--ISNUMBER('Данные 2st'!$DH$2:$DH$317))</f>
        <v>1</v>
      </c>
      <c r="KY3">
        <f>SUMPRODUCT(--('Данные 2st'!$Q$2:$Q$317=$A3),--ISNUMBER('Данные 2st'!$DI$2:$DI$317))</f>
        <v>0</v>
      </c>
      <c r="KZ3">
        <f>SUMPRODUCT(--('Данные 2st'!$Q$2:$Q$317=$A3),--ISNUMBER('Данные 2st'!$DK$2:$DK$317))</f>
        <v>1</v>
      </c>
      <c r="LA3">
        <f>SUMPRODUCT(--('Данные 2st'!$Q$2:$Q$317=$A3),--ISNUMBER('Данные 2st'!$DM$2:$DM$317))</f>
        <v>1</v>
      </c>
      <c r="LB3">
        <f>SUMPRODUCT(--('Данные 2st'!$Q$2:$Q$317=$A3),--ISNUMBER('Данные 2st'!$DN$2:$DN$317))</f>
        <v>1</v>
      </c>
      <c r="LC3">
        <f>SUMPRODUCT(--('Данные 2st'!$Q$2:$Q$317=$A3),--ISNUMBER('Данные 2st'!$DO$2:$DO$317))</f>
        <v>1</v>
      </c>
      <c r="LD3">
        <f>SUMPRODUCT(--('Данные 2st'!$Q$2:$Q$317=$A3),--ISNUMBER('Данные 2st'!$DP$2:$DP$317))</f>
        <v>1</v>
      </c>
      <c r="LE3">
        <f>SUMPRODUCT(--('Данные 2st'!$Q$2:$Q$317=$A3),--ISNUMBER('Данные 2st'!$DQ$2:$DQ$317))</f>
        <v>1</v>
      </c>
      <c r="LF3">
        <f>SUMPRODUCT(--('Данные 2st'!$Q$2:$Q$317=$A3),--ISNUMBER('Данные 2st'!$DS$2:$DS$317))</f>
        <v>1</v>
      </c>
      <c r="LG3">
        <f>SUMPRODUCT(--('Данные 2st'!$Q$2:$Q$317=$A3),--ISNUMBER('Данные 2st'!$DU$2:$DU$317))</f>
        <v>1</v>
      </c>
      <c r="LH3">
        <f>SUMPRODUCT(--('Данные 2st'!$Q$2:$Q$317=$A3),--ISNUMBER('Данные 2st'!$DV$2:$DV$317))</f>
        <v>1</v>
      </c>
      <c r="LI3">
        <f>SUMPRODUCT(--('Данные 2st'!$Q$2:$Q$317=$A3),--ISNUMBER('Данные 2st'!$DW$2:$DW$317))</f>
        <v>1</v>
      </c>
      <c r="LJ3">
        <f>SUMPRODUCT(--('Данные 2st'!$Q$2:$Q$317=$A3),--ISNUMBER('Данные 2st'!$DX$2:$DX$317))</f>
        <v>1</v>
      </c>
      <c r="LK3">
        <f>SUMPRODUCT(--('Данные 2st'!$Q$2:$Q$317=$A3),--ISNUMBER('Данные 2st'!$DY$2:$DY$317))</f>
        <v>1</v>
      </c>
      <c r="LL3">
        <f>SUMPRODUCT(--('Данные 2st'!$Q$2:$Q$317=$A3),--ISNUMBER('Данные 2st'!$EA$2:$EA$317))</f>
        <v>1</v>
      </c>
      <c r="LM3">
        <f>SUMPRODUCT(--('Данные 2st'!$Q$2:$Q$317=$A3),--ISNUMBER('Данные 2st'!$EC$2:$EC$317))</f>
        <v>1</v>
      </c>
      <c r="LN3">
        <f>SUMPRODUCT(--('Данные 2st'!$Q$2:$Q$317=$A3),--ISNUMBER('Данные 2st'!$ED$2:$ED$317))</f>
        <v>1</v>
      </c>
      <c r="LO3">
        <f>SUMPRODUCT(--('Данные 2st'!$Q$2:$Q$317=$A3),--ISNUMBER('Данные 2st'!$EE$2:$EE$317))</f>
        <v>1</v>
      </c>
      <c r="LP3">
        <f>SUMPRODUCT(--('Данные 2st'!$Q$2:$Q$317=$A3),--ISNUMBER('Данные 2st'!$EG$2:$EG$317))</f>
        <v>1</v>
      </c>
      <c r="LQ3">
        <f>SUMPRODUCT(--('Данные 2st'!$Q$2:$Q$317=$A3),--ISNUMBER('Данные 2st'!$EI$2:$EI$317))</f>
        <v>1</v>
      </c>
      <c r="LR3">
        <f>SUMPRODUCT(--('Данные 2st'!$Q$2:$Q$317=$A3),--ISNUMBER('Данные 2st'!$EJ$2:$EJ$317))</f>
        <v>1</v>
      </c>
      <c r="LS3">
        <f>SUMPRODUCT(--('Данные 2st'!$Q$2:$Q$317=$A3),--ISNUMBER('Данные 2st'!$EK$2:$EK$317))</f>
        <v>1</v>
      </c>
      <c r="LT3">
        <f>SUMPRODUCT(--('Данные 2st'!$Q$2:$Q$317=$A3),--ISNUMBER('Данные 2st'!$EM$2:$EM$317))</f>
        <v>1</v>
      </c>
      <c r="LU3">
        <f>SUMPRODUCT(--('Данные 2st'!$Q$2:$Q$317=$A3),--ISNUMBER('Данные 2st'!$EN$2:$EN$317))</f>
        <v>1</v>
      </c>
      <c r="LV3">
        <f>SUMPRODUCT(--('Данные 2st'!$Q$2:$Q$317=$A3),--ISNUMBER('Данные 2st'!$EO$2:$EO$317))</f>
        <v>1</v>
      </c>
      <c r="LW3">
        <f>SUMPRODUCT(--('Данные 2st'!$Q$2:$Q$317=$A3),--ISNUMBER('Данные 2st'!$EP$2:$EP$317))</f>
        <v>1</v>
      </c>
      <c r="LX3">
        <f>SUMPRODUCT(--('Данные 2st'!$Q$2:$Q$317=$A3),--ISNUMBER('Данные 2st'!$EQ$2:$EQ$317))</f>
        <v>1</v>
      </c>
      <c r="LY3">
        <f>SUMPRODUCT(--('Данные 2st'!$Q$2:$Q$317=$A3),--ISNUMBER('Данные 2st'!$ER$2:$ER$317))</f>
        <v>1</v>
      </c>
      <c r="LZ3">
        <f>SUMPRODUCT(--('Данные 2st'!$Q$2:$Q$317=$A3),--ISNUMBER('Данные 2st'!$ES$2:$ES$317))</f>
        <v>1</v>
      </c>
      <c r="MA3">
        <f>SUMPRODUCT(--('Данные 2st'!$Q$2:$Q$317=$A3),--ISNUMBER('Данные 2st'!$ET$2:$ET$317))</f>
        <v>1</v>
      </c>
      <c r="MB3">
        <f>SUMPRODUCT(--('Данные 2st'!$Q$2:$Q$317=$A3),--ISNUMBER('Данные 2st'!$EU$2:$EU$317))</f>
        <v>1</v>
      </c>
      <c r="MC3">
        <f>SUMPRODUCT(--('Данные 2st'!$Q$2:$Q$317=$A3),--ISNUMBER('Данные 2st'!$EV$2:$EV$317))</f>
        <v>1</v>
      </c>
      <c r="MD3">
        <f>SUMPRODUCT(--('Данные 2st'!$Q$2:$Q$317=$A3),--ISNUMBER('Данные 2st'!$EW$2:$EW$317))</f>
        <v>1</v>
      </c>
      <c r="ME3">
        <f>SUMPRODUCT(--('Данные 2st'!$Q$2:$Q$317=$A3),--ISNUMBER('Данные 2st'!$EY$2:$EY$317))</f>
        <v>1</v>
      </c>
      <c r="MF3">
        <f>SUMPRODUCT(--('Данные 2st'!$Q$2:$Q$317=$A3),--ISNUMBER('Данные 2st'!$FA$2:$FA$317))</f>
        <v>1</v>
      </c>
      <c r="MG3">
        <f>SUMPRODUCT(--('Данные 2st'!$Q$2:$Q$317=$A3),--ISNUMBER('Данные 2st'!$FB$2:$FB$317))</f>
        <v>1</v>
      </c>
      <c r="MH3">
        <f>SUMPRODUCT(--('Данные 2st'!$Q$2:$Q$317=$A3),--ISNUMBER('Данные 2st'!$FC$2:$FC$317))</f>
        <v>1</v>
      </c>
      <c r="MI3">
        <f>SUMPRODUCT(--('Данные 2st'!$Q$2:$Q$317=$A3),--ISNUMBER('Данные 2st'!$FD$2:$FD$317))</f>
        <v>1</v>
      </c>
      <c r="MJ3">
        <f>SUMPRODUCT(--('Данные 2st'!$Q$2:$Q$317=$A3),--ISNUMBER('Данные 2st'!$FE$2:$FE$317))</f>
        <v>1</v>
      </c>
      <c r="MK3">
        <f>SUMPRODUCT(--('Данные 2st'!$Q$2:$Q$317=$A3),--ISNUMBER('Данные 2st'!$FG$2:$FG$317))</f>
        <v>1</v>
      </c>
      <c r="ML3">
        <f>SUMPRODUCT(--('Данные 2st'!$Q$2:$Q$317=$A3),--ISNUMBER('Данные 2st'!$FI$2:$FI$317))</f>
        <v>1</v>
      </c>
      <c r="MM3">
        <f>SUMPRODUCT(--('Данные 2st'!$Q$2:$Q$317=$A3),--ISNUMBER('Данные 2st'!$FJ$2:$FJ$317))</f>
        <v>1</v>
      </c>
      <c r="MN3">
        <f>SUMPRODUCT(--('Данные 2st'!$Q$2:$Q$317=$A3),--ISNUMBER('Данные 2st'!$FK$2:$FK$317))</f>
        <v>1</v>
      </c>
      <c r="MO3">
        <f>SUMPRODUCT(--('Данные 2st'!$Q$2:$Q$317=$A3),--ISNUMBER('Данные 2st'!$FP$2:$FP$317))</f>
        <v>1</v>
      </c>
      <c r="MP3">
        <f>SUMPRODUCT(--('Данные 2st'!$Q$2:$Q$317=$A3),--ISNUMBER('Данные 2st'!$FQ$2:$FQ$317))</f>
        <v>1</v>
      </c>
      <c r="MQ3">
        <f>SUMPRODUCT(--('Данные 2st'!$Q$2:$Q$317=$A3),--ISNUMBER('Данные 2st'!$FS$2:$FS$317))</f>
        <v>1</v>
      </c>
      <c r="MR3">
        <f>SUMPRODUCT(--('Данные 2st'!$Q$2:$Q$317=$A3),--ISNUMBER('Данные 2st'!$FU$2:$FU$317))</f>
        <v>1</v>
      </c>
      <c r="MS3">
        <f>SUMPRODUCT(--('Данные 2st'!$Q$2:$Q$317=$A3),--ISNUMBER('Данные 2st'!$FV$2:$FV$317))</f>
        <v>1</v>
      </c>
      <c r="MT3">
        <f>SUMPRODUCT(--('Данные 2st'!$Q$2:$Q$317=$A3),--ISNUMBER('Данные 2st'!$FW$2:$FW$317))</f>
        <v>1</v>
      </c>
      <c r="MU3">
        <f>SUMPRODUCT(--('Данные 2st'!$Q$2:$Q$317=$A3),--ISNUMBER('Данные 2st'!$FY$2:$FY$317))</f>
        <v>0</v>
      </c>
      <c r="MV3">
        <f>SUMPRODUCT(--('Данные 2st'!$Q$2:$Q$317=$A3),--ISNUMBER('Данные 2st'!$GB$2:$GB$317))</f>
        <v>0</v>
      </c>
      <c r="MW3">
        <f>SUMPRODUCT(--('Данные 2st'!$Q$2:$Q$317=$A3),--ISNUMBER('Данные 2st'!$GC$2:$GC$317))</f>
        <v>0</v>
      </c>
      <c r="MX3">
        <f>SUMPRODUCT(--('Данные 2st'!$Q$2:$Q$317=$A3),--ISNUMBER('Данные 2st'!$GD$2:$GD$317))</f>
        <v>1</v>
      </c>
      <c r="MY3">
        <f>SUMPRODUCT(--('Данные 2st'!$Q$2:$Q$317=$A3),--ISNUMBER('Данные 2st'!$GN$2:$GN$317))</f>
        <v>0</v>
      </c>
      <c r="MZ3">
        <f>SUMPRODUCT(--('Данные 2st'!$Q$2:$Q$317=$A3),--ISNUMBER('Данные 2st'!$GQ$2:$GQ$317))</f>
        <v>1</v>
      </c>
      <c r="NA3">
        <f>SUMPRODUCT(--('Данные 2st'!$Q$2:$Q$317=$A3),--ISNUMBER('Данные 2st'!$GV$2:$GV$317))</f>
        <v>1</v>
      </c>
      <c r="NB3">
        <f>SUMPRODUCT(--('Данные 2st'!$Q$2:$Q$317=$A3),--ISNUMBER('Данные 2st'!$GW$2:$GW$317))</f>
        <v>1</v>
      </c>
      <c r="NC3">
        <f>SUMPRODUCT(--('Данные 2st'!$Q$2:$Q$317=$A3),--ISNUMBER('Данные 2st'!$GX$2:$GX$317))</f>
        <v>1</v>
      </c>
      <c r="ND3">
        <f>SUMPRODUCT(--('Данные 2st'!$Q$2:$Q$317=$A3),--ISNUMBER('Данные 2st'!$GY$2:$GY$317))</f>
        <v>1</v>
      </c>
      <c r="NE3">
        <f>SUMPRODUCT(--('Данные 2st'!$Q$2:$Q$317=$A3),--ISNUMBER('Данные 2st'!$GZ$2:$GZ$317))</f>
        <v>1</v>
      </c>
      <c r="NF3">
        <f>SUMPRODUCT(--('Данные 2st'!$Q$2:$Q$317=$A3),--ISNUMBER('Данные 2st'!$HA$2:$HA$317))</f>
        <v>1</v>
      </c>
      <c r="NG3">
        <f>SUMPRODUCT(--('Данные 2st'!$Q$2:$Q$317=$A3),--ISNUMBER('Данные 2st'!$HB$2:$HB$317))</f>
        <v>1</v>
      </c>
      <c r="NH3">
        <f>SUMPRODUCT(--('Данные 2st'!$Q$2:$Q$317=$A3),--ISNUMBER('Данные 2st'!$HC$2:$HC$317))</f>
        <v>1</v>
      </c>
      <c r="NI3">
        <f>SUMPRODUCT(--('Данные 2st'!$Q$2:$Q$317=$A3),--ISNUMBER('Данные 2st'!$HD$2:$HD$317))</f>
        <v>1</v>
      </c>
      <c r="NJ3">
        <f>SUMPRODUCT(--('Данные 2st'!$Q$2:$Q$317=$A3),--ISNUMBER('Данные 2st'!$HM$2:$HM$317))</f>
        <v>1</v>
      </c>
      <c r="NK3">
        <f>SUMPRODUCT(--('Данные 2st'!$Q$2:$Q$317=$A3),--ISNUMBER('Данные 2st'!$HR$2:$HR$317))</f>
        <v>1</v>
      </c>
      <c r="NL3">
        <f>SUMPRODUCT(--('Данные 2st'!$Q$2:$Q$317=$A3),--ISNUMBER('Данные 2st'!$HS$2:$HS$317))</f>
        <v>1</v>
      </c>
      <c r="NM3">
        <f>SUMPRODUCT(--('Данные 2st'!$Q$2:$Q$317=$A3),--ISNUMBER('Данные 2st'!$HT$2:$HT$317))</f>
        <v>1</v>
      </c>
      <c r="NN3">
        <f>SUMPRODUCT(--('Данные 2st'!$Q$2:$Q$317=$A3),--ISNUMBER('Данные 2st'!$HY$2:$HY$317))</f>
        <v>1</v>
      </c>
      <c r="NO3">
        <f>SUMPRODUCT(--('Данные 2st'!$Q$2:$Q$317=$A3),--ISNUMBER('Данные 2st'!$HZ$2:$HZ$317))</f>
        <v>1</v>
      </c>
      <c r="NP3">
        <f>SUMPRODUCT(--('Данные 2st'!$Q$2:$Q$317=$A3),--ISNUMBER('Данные 2st'!$IA$2:$IA$317))</f>
        <v>1</v>
      </c>
      <c r="NQ3">
        <f>SUMPRODUCT(--('Данные 2st'!$Q$2:$Q$317=$A3),--ISNUMBER('Данные 2st'!$IB$2:$IB$317))</f>
        <v>1</v>
      </c>
      <c r="NR3">
        <f>SUMPRODUCT(--('Данные 2st'!$Q$2:$Q$317=$A3),--ISNUMBER('Данные 2st'!$IC$2:$IC$317))</f>
        <v>0</v>
      </c>
      <c r="NS3">
        <f>SUMPRODUCT(--('Данные 2st'!$Q$2:$Q$317=$A3),--ISNUMBER('Данные 2st'!$ID$2:$ID$317))</f>
        <v>1</v>
      </c>
      <c r="NT3">
        <f>SUMPRODUCT(--('Данные 2st'!$Q$2:$Q$317=$A3),--ISNUMBER('Данные 2st'!$IE$2:$IE$317))</f>
        <v>1</v>
      </c>
      <c r="NU3">
        <f>SUMPRODUCT(--('Данные 2st'!$Q$2:$Q$317=$A3),--ISNUMBER('Данные 2st'!$IF$2:$IF$317))</f>
        <v>1</v>
      </c>
      <c r="NV3">
        <f>SUMPRODUCT(--('Данные 2st'!$Q$2:$Q$317=$A3),--ISNUMBER('Данные 2st'!$IG$2:$IG$317))</f>
        <v>1</v>
      </c>
      <c r="NW3">
        <f>SUMPRODUCT(--('Данные 2st'!$Q$2:$Q$317=$A3),--ISNUMBER('Данные 2st'!$IH$2:$IH$317))</f>
        <v>1</v>
      </c>
      <c r="NX3">
        <f>SUMPRODUCT(--('Данные 2st'!$Q$2:$Q$317=$A3),--ISNUMBER('Данные 2st'!$IJ$2:$IJ$317))</f>
        <v>1</v>
      </c>
      <c r="NY3">
        <f>SUMPRODUCT(--('Данные 2st'!$Q$2:$Q$317=$A3),--ISNUMBER('Данные 2st'!$IM$2:$IM$317))</f>
        <v>1</v>
      </c>
      <c r="NZ3">
        <f>SUMPRODUCT(--('Данные 2st'!$Q$2:$Q$317=$A3),--ISNUMBER('Данные 2st'!$IN$2:$IN$317))</f>
        <v>1</v>
      </c>
      <c r="OA3">
        <f>SUMPRODUCT(--('Данные 2st'!$Q$2:$Q$317=$A3),--ISNUMBER('Данные 2st'!$IO$2:$IO$317))</f>
        <v>1</v>
      </c>
      <c r="OB3">
        <f>SUMPRODUCT(--('Данные 2st'!$Q$2:$Q$317=$A3),--ISNUMBER('Данные 2st'!$IP$2:$IP$317))</f>
        <v>1</v>
      </c>
      <c r="OC3">
        <f>SUMPRODUCT(--('Данные 2st'!$Q$2:$Q$317=$A3),--ISNUMBER('Данные 2st'!$IQ$2:$IQ$317))</f>
        <v>1</v>
      </c>
      <c r="OD3">
        <f>SUMPRODUCT(--('Данные 2st'!$Q$2:$Q$317=$A3),--ISNUMBER('Данные 2st'!$IR$2:$IR$317))</f>
        <v>1</v>
      </c>
      <c r="OE3">
        <f>SUMPRODUCT(--('Данные 2st'!$Q$2:$Q$317=$A3),--ISNUMBER('Данные 2st'!$IT$2:$IT$317))</f>
        <v>1</v>
      </c>
      <c r="OF3">
        <f>SUMPRODUCT(--('Данные 2st'!$Q$2:$Q$317=$A3),--ISNUMBER('Данные 2st'!$IU$2:$IU$317))</f>
        <v>1</v>
      </c>
      <c r="OG3">
        <f>SUMPRODUCT(--('Данные 2st'!$Q$2:$Q$317=$A3),--ISNUMBER('Данные 2st'!$IV$2:$IV$317))</f>
        <v>1</v>
      </c>
      <c r="OH3">
        <f>SUMPRODUCT(--('Данные 2st'!$Q$2:$Q$317=$A3),--ISNUMBER('Данные 2st'!$IW$2:$IW$317))</f>
        <v>1</v>
      </c>
      <c r="OI3">
        <f>SUMPRODUCT(--('Данные 2st'!$Q$2:$Q$317=$A3),--ISNUMBER('Данные 2st'!$IX$2:$IX$317))</f>
        <v>1</v>
      </c>
      <c r="OJ3">
        <f>SUMPRODUCT(--('Данные 2st'!$Q$2:$Q$317=$A3),--ISNUMBER('Данные 2st'!$IY$2:$IY$317))</f>
        <v>1</v>
      </c>
      <c r="OK3">
        <f>SUMPRODUCT(--('Данные 2st'!$Q$2:$Q$317=$A3),--ISNUMBER('Данные 2st'!$IZ$2:$IZ$317))</f>
        <v>1</v>
      </c>
      <c r="OL3">
        <f>SUMPRODUCT(--('Данные 2st'!$Q$2:$Q$317=$A3),--ISNUMBER('Данные 2st'!$JA$2:$JA$317))</f>
        <v>1</v>
      </c>
      <c r="OM3">
        <f>SUMPRODUCT(--('Данные 2st'!$Q$2:$Q$317=$A3),--ISNUMBER('Данные 2st'!$JB$2:$JB$317))</f>
        <v>1</v>
      </c>
      <c r="ON3">
        <f>SUMPRODUCT(--('Данные 2st'!$Q$2:$Q$317=$A3),--ISNUMBER('Данные 2st'!$JC$2:$JC$317))</f>
        <v>1</v>
      </c>
      <c r="OO3">
        <f>SUMPRODUCT(--('Данные 2st'!$Q$2:$Q$317=$A3),--ISNUMBER('Данные 2st'!$JD$2:$JD$317))</f>
        <v>1</v>
      </c>
      <c r="OP3">
        <f>SUMPRODUCT(--('Данные 2st'!$Q$2:$Q$317=$A3),--ISNUMBER('Данные 2st'!$JE$2:$JE$317))</f>
        <v>1</v>
      </c>
      <c r="OQ3">
        <f>SUMPRODUCT(--('Данные 2st'!$Q$2:$Q$317=$A3),--ISNUMBER('Данные 2st'!$JF$2:$JF$317))</f>
        <v>1</v>
      </c>
      <c r="OR3">
        <f>SUMPRODUCT(--('Данные 2st'!$Q$2:$Q$317=$A3),--ISNUMBER('Данные 2st'!$JG$2:$JG$317))</f>
        <v>1</v>
      </c>
      <c r="OS3">
        <f>SUMPRODUCT(--('Данные 2st'!$Q$2:$Q$317=$A3),--ISNUMBER('Данные 2st'!$JH$2:$JH$317))</f>
        <v>1</v>
      </c>
      <c r="OT3">
        <f>SUMPRODUCT(--('Данные 2st'!$Q$2:$Q$317=$A3),--ISNUMBER('Данные 2st'!$JI$2:$JI$317))</f>
        <v>1</v>
      </c>
      <c r="OU3">
        <f>SUMPRODUCT(--('Данные 2st'!$Q$2:$Q$317=$A3),--ISNUMBER('Данные 2st'!$JJ$2:$JJ$317))</f>
        <v>1</v>
      </c>
      <c r="OV3">
        <f>SUMPRODUCT(--('Данные 2st'!$Q$2:$Q$317=$A3),--ISNUMBER('Данные 2st'!$JK$2:$JK$317))</f>
        <v>1</v>
      </c>
      <c r="OW3">
        <f>SUMPRODUCT(--('Данные 2st'!$Q$2:$Q$317=$A3),--ISNUMBER('Данные 2st'!$JL$2:$JL$317))</f>
        <v>1</v>
      </c>
      <c r="OX3">
        <f>SUMPRODUCT(--('Данные 2st'!$Q$2:$Q$317=$A3),--ISNUMBER('Данные 2st'!$JM$2:$JM$317))</f>
        <v>1</v>
      </c>
      <c r="OY3">
        <f>SUMPRODUCT(--('Данные 2st'!$Q$2:$Q$317=$A3),--ISNUMBER('Данные 2st'!$JP$2:$JP$317))</f>
        <v>1</v>
      </c>
      <c r="OZ3">
        <f>SUMPRODUCT(--('Данные 2st'!$Q$2:$Q$317=$A3),--ISNUMBER('Данные 2st'!$JQ$2:$JQ$317))</f>
        <v>1</v>
      </c>
      <c r="PA3">
        <f>SUMPRODUCT(--('Данные 2st'!$Q$2:$Q$317=$A3),--ISNUMBER('Данные 2st'!$JR$2:$JR$317))</f>
        <v>1</v>
      </c>
      <c r="PB3">
        <f>SUMPRODUCT(--('Данные 2st'!$Q$2:$Q$317=$A3),--ISNUMBER('Данные 2st'!$JS$2:$JS$317))</f>
        <v>1</v>
      </c>
      <c r="PC3">
        <f>SUMPRODUCT(--('Данные 2st'!$Q$2:$Q$317=$A3),--ISNUMBER('Данные 2st'!$JT$2:$JT$317))</f>
        <v>1</v>
      </c>
      <c r="PD3">
        <f>SUMPRODUCT(--('Данные 2st'!$Q$2:$Q$317=$A3),--ISNUMBER('Данные 2st'!$JU$2:$JU$317))</f>
        <v>1</v>
      </c>
      <c r="PE3">
        <f>SUMPRODUCT(--('Данные 2st'!$Q$2:$Q$317=$A3),--ISNUMBER('Данные 2st'!$JV$2:$JV$317))</f>
        <v>1</v>
      </c>
      <c r="PF3">
        <f>SUMPRODUCT(--('Данные 2st'!$Q$2:$Q$317=$A3),--ISNUMBER('Данные 2st'!$JW$2:$JW$317))</f>
        <v>1</v>
      </c>
      <c r="PG3">
        <f>SUMPRODUCT(--('Данные 2st'!$Q$2:$Q$317=$A3),--ISNUMBER('Данные 2st'!$KF$2:$KF$317))</f>
        <v>1</v>
      </c>
      <c r="PH3">
        <f>SUMPRODUCT(--('Данные 2st'!$Q$2:$Q$317=$A3),--ISNUMBER('Данные 2st'!$KG$2:$KG$317))</f>
        <v>1</v>
      </c>
      <c r="PI3">
        <f>SUMPRODUCT(--('Данные 2st'!$Q$2:$Q$317=$A3),--ISNUMBER('Данные 2st'!$KM$2:$KM$317))</f>
        <v>1</v>
      </c>
      <c r="PJ3">
        <f>SUMPRODUCT(--('Данные 2st'!$Q$2:$Q$317=$A3),--ISNUMBER('Данные 2st'!$KN$2:$KN$317))</f>
        <v>1</v>
      </c>
      <c r="PK3">
        <f>SUMPRODUCT(--('Данные 2st'!$Q$2:$Q$317=$A3),--ISNUMBER('Данные 2st'!$KO$2:$KO$317))</f>
        <v>1</v>
      </c>
      <c r="PL3">
        <f>SUMPRODUCT(--('Данные 2st'!$Q$2:$Q$317=$A3),--ISNUMBER('Данные 2st'!$KP$2:$KP$317))</f>
        <v>1</v>
      </c>
      <c r="PM3">
        <f>SUMPRODUCT(--('Данные 2st'!$Q$2:$Q$317=$A3),--ISNUMBER('Данные 2st'!$KQ$2:$KQ$317))</f>
        <v>1</v>
      </c>
      <c r="PN3">
        <f>SUMPRODUCT(--('Данные 2st'!$Q$2:$Q$317=$A3),--ISNUMBER('Данные 2st'!$KR$2:$KR$317))</f>
        <v>1</v>
      </c>
      <c r="PO3">
        <f>SUMPRODUCT(--('Данные 2st'!$Q$2:$Q$317=$A3),--ISNUMBER('Данные 2st'!$KS$2:$KS$317))</f>
        <v>1</v>
      </c>
      <c r="PP3">
        <f>SUMPRODUCT(--('Данные 2st'!$Q$2:$Q$317=$A3),--ISNUMBER('Данные 2st'!$KT$2:$KT$317))</f>
        <v>1</v>
      </c>
      <c r="PQ3">
        <f>SUMPRODUCT(--('Данные 2st'!$Q$2:$Q$317=$A3),--ISNUMBER('Данные 2st'!$KU$2:$KU$317))</f>
        <v>1</v>
      </c>
      <c r="PR3">
        <f>SUMPRODUCT(--('Данные 2st'!$Q$2:$Q$317=$A3),--ISNUMBER('Данные 2st'!$KV$2:$KV$317))</f>
        <v>1</v>
      </c>
      <c r="PS3">
        <f>SUMPRODUCT(--('Данные 2st'!$Q$2:$Q$317=$A3),--ISNUMBER('Данные 2st'!$KW$2:$KW$317))</f>
        <v>1</v>
      </c>
      <c r="PT3">
        <f>SUMPRODUCT(--('Данные 2st'!$Q$2:$Q$317=$A3),--ISNUMBER('Данные 2st'!$KX$2:$KX$317))</f>
        <v>1</v>
      </c>
      <c r="PU3">
        <f>SUMPRODUCT(--('Данные 2st'!$Q$2:$Q$317=$A3),--ISNUMBER('Данные 2st'!$KY$2:$KY$317))</f>
        <v>1</v>
      </c>
      <c r="PV3">
        <f>SUMPRODUCT(--('Данные 2st'!$Q$2:$Q$317=$A3),--ISNUMBER('Данные 2st'!$KZ$2:$KZ$317))</f>
        <v>1</v>
      </c>
      <c r="PW3">
        <f>SUMPRODUCT(--('Данные 2st'!$Q$2:$Q$317=$A3),--ISNUMBER('Данные 2st'!$LA$2:$LA$317))</f>
        <v>1</v>
      </c>
      <c r="PX3">
        <f>SUMPRODUCT(--('Данные 2st'!$Q$2:$Q$317=$A3),--ISNUMBER('Данные 2st'!$LB$2:$LB$317))</f>
        <v>1</v>
      </c>
      <c r="PY3">
        <f>SUMPRODUCT(--('Данные 2st'!$Q$2:$Q$317=$A3),--ISNUMBER('Данные 2st'!$LC$2:$LC$317))</f>
        <v>1</v>
      </c>
      <c r="PZ3">
        <f>SUMPRODUCT(--('Данные 2st'!$Q$2:$Q$317=$A3),--ISNUMBER('Данные 2st'!$LD$2:$LD$317))</f>
        <v>1</v>
      </c>
      <c r="QA3">
        <f>SUMPRODUCT(--('Данные 2st'!$Q$2:$Q$317=$A3),--ISNUMBER('Данные 2st'!$LE$2:$LE$317))</f>
        <v>1</v>
      </c>
      <c r="QB3">
        <f>SUMPRODUCT(--('Данные 2st'!$Q$2:$Q$317=$A3),--ISNUMBER('Данные 2st'!$LF$2:$LF$317))</f>
        <v>1</v>
      </c>
      <c r="QC3">
        <f>SUMPRODUCT(--('Данные 2st'!$Q$2:$Q$317=$A3),--ISNUMBER('Данные 2st'!$LG$2:$LG$317))</f>
        <v>1</v>
      </c>
      <c r="QD3">
        <f>SUMPRODUCT(--('Данные 2st'!$Q$2:$Q$317=$A3),--ISNUMBER('Данные 2st'!$LH$2:$LH$317))</f>
        <v>1</v>
      </c>
      <c r="QE3">
        <f>SUMPRODUCT(--('Данные 2st'!$Q$2:$Q$317=$A3),--ISNUMBER('Данные 2st'!$LJ$2:$LJ$317))</f>
        <v>1</v>
      </c>
      <c r="QF3">
        <f>SUMPRODUCT(--('Данные 2st'!$Q$2:$Q$317=$A3),--ISNUMBER('Данные 2st'!$LK$2:$LK$317))</f>
        <v>1</v>
      </c>
      <c r="QG3">
        <f>SUMPRODUCT(--('Данные 2st'!$Q$2:$Q$317=$A3),--ISNUMBER('Данные 2st'!$LL$2:$LL$317))</f>
        <v>1</v>
      </c>
      <c r="QH3">
        <f>SUMPRODUCT(--('Данные 2st'!$Q$2:$Q$317=$A3),--ISNUMBER('Данные 2st'!$LM$2:$LM$317))</f>
        <v>1</v>
      </c>
      <c r="QI3">
        <f>SUMPRODUCT(--('Данные 2st'!$Q$2:$Q$317=$A3),--ISNUMBER('Данные 2st'!$LN$2:$LN$317))</f>
        <v>1</v>
      </c>
      <c r="QJ3">
        <f>SUMPRODUCT(--('Данные 2st'!$Q$2:$Q$317=$A3),--ISNUMBER('Данные 2st'!$LO$2:$LO$317))</f>
        <v>1</v>
      </c>
      <c r="QK3">
        <f>SUMPRODUCT(--('Данные 2st'!$Q$2:$Q$317=$A3),--ISNUMBER('Данные 2st'!$LP$2:$LP$317))</f>
        <v>1</v>
      </c>
      <c r="QL3">
        <f>SUMPRODUCT(--('Данные 2st'!$Q$2:$Q$317=$A3),--ISNUMBER('Данные 2st'!$LQ$2:$LQ$317))</f>
        <v>1</v>
      </c>
      <c r="QM3">
        <f>SUMPRODUCT(--('Данные 2st'!$Q$2:$Q$317=$A3),--ISNUMBER('Данные 2st'!$LW$2:$LW$317))</f>
        <v>1</v>
      </c>
      <c r="QN3">
        <f>SUMPRODUCT(--('Данные 2st'!$Q$2:$Q$317=$A3),--ISNUMBER('Данные 2st'!$LX$2:$LX$317))</f>
        <v>1</v>
      </c>
      <c r="QO3">
        <f>SUMPRODUCT(--('Данные 2st'!$Q$2:$Q$317=$A3),--ISNUMBER('Данные 2st'!$LY$2:$LY$317))</f>
        <v>1</v>
      </c>
      <c r="QP3">
        <f>SUMPRODUCT(--('Данные 2st'!$Q$2:$Q$317=$A3),--ISNUMBER('Данные 2st'!$LZ$2:$LZ$317))</f>
        <v>1</v>
      </c>
      <c r="QQ3">
        <f>SUMPRODUCT(--('Данные 2st'!$Q$2:$Q$317=$A3),--ISNUMBER('Данные 2st'!$MB$2:$MB$317))</f>
        <v>1</v>
      </c>
      <c r="QR3">
        <f>SUMPRODUCT(--('Данные 2st'!$Q$2:$Q$317=$A3),--ISNUMBER('Данные 2st'!$MG$2:$MG$317))</f>
        <v>1</v>
      </c>
      <c r="QS3">
        <f>SUMPRODUCT(--('Данные 2st'!$Q$2:$Q$317=$A3),--ISNUMBER('Данные 2st'!$MH$2:$MH$317))</f>
        <v>1</v>
      </c>
      <c r="QT3">
        <f>SUMPRODUCT(--('Данные 2st'!$Q$2:$Q$317=$A3),--ISNUMBER('Данные 2st'!$MI$2:$MI$317))</f>
        <v>1</v>
      </c>
      <c r="QU3">
        <f>SUMPRODUCT(--('Данные 2st'!$Q$2:$Q$317=$A3),--ISNUMBER('Данные 2st'!$MJ$2:$MJ$317))</f>
        <v>1</v>
      </c>
      <c r="QV3">
        <f>SUMPRODUCT(--('Данные 2st'!$Q$2:$Q$317=$A3),--ISNUMBER('Данные 2st'!$MK$2:$MK$317))</f>
        <v>1</v>
      </c>
      <c r="QW3">
        <f>SUMPRODUCT(--('Данные 2st'!$Q$2:$Q$317=$A3),--ISNUMBER('Данные 2st'!$MM$2:$MM$317))</f>
        <v>1</v>
      </c>
      <c r="QX3">
        <f>SUMPRODUCT(--('Данные 2st'!$Q$2:$Q$317=$A3),--ISNUMBER('Данные 2st'!$MQ$2:$MQ$317))</f>
        <v>0</v>
      </c>
      <c r="QY3">
        <f>SUMPRODUCT(--('Данные 2st'!$Q$2:$Q$317=$A3),--ISNUMBER('Данные 2st'!$MR$2:$MR$317))</f>
        <v>0</v>
      </c>
      <c r="QZ3">
        <f>SUMPRODUCT(--('Данные 2st'!$Q$2:$Q$317=$A3),--ISNUMBER('Данные 2st'!$MS$2:$MS$317))</f>
        <v>0</v>
      </c>
      <c r="RA3">
        <f>SUMPRODUCT(--('Данные 2st'!$Q$2:$Q$317=$A3),--ISNUMBER('Данные 2st'!$MT$2:$MT$317))</f>
        <v>0</v>
      </c>
      <c r="RB3">
        <f>SUMPRODUCT(--('Данные 2st'!$Q$2:$Q$317=$A3),--ISNUMBER('Данные 2st'!$MU$2:$MU$317))</f>
        <v>0</v>
      </c>
      <c r="RC3">
        <f>SUMPRODUCT(--('Данные 2st'!$Q$2:$Q$317=$A3),--ISNUMBER('Данные 2st'!$MV$2:$MV$317))</f>
        <v>0</v>
      </c>
      <c r="RD3">
        <f>SUMPRODUCT(--('Данные 2st'!$Q$2:$Q$317=$A3),--ISNUMBER('Данные 2st'!$MW$2:$MW$317))</f>
        <v>0</v>
      </c>
      <c r="RE3">
        <f>SUMPRODUCT(--('Данные 2st'!$Q$2:$Q$317=$A3),--ISNUMBER('Данные 2st'!$MX$2:$MX$317))</f>
        <v>0</v>
      </c>
      <c r="RF3">
        <f>SUMPRODUCT(--('Данные 2st'!$Q$2:$Q$317=$A3),--ISNUMBER('Данные 2st'!$MY$2:$MY$317))</f>
        <v>0</v>
      </c>
      <c r="RG3">
        <f>SUMPRODUCT(--('Данные 2st'!$Q$2:$Q$317=$A3),--ISNUMBER('Данные 2st'!$MZ$2:$MZ$317))</f>
        <v>0</v>
      </c>
      <c r="RH3">
        <f>SUMPRODUCT(--('Данные 2st'!$Q$2:$Q$317=$A3),--ISNUMBER('Данные 2st'!$NA$2:$NA$317))</f>
        <v>0</v>
      </c>
      <c r="RI3">
        <f>SUMPRODUCT(--('Данные 2st'!$Q$2:$Q$317=$A3),--ISNUMBER('Данные 2st'!$NB$2:$NB$317))</f>
        <v>0</v>
      </c>
      <c r="RJ3">
        <f>SUMPRODUCT(--('Данные 2st'!$Q$2:$Q$317=$A3),--ISNUMBER('Данные 2st'!$NC$2:$NC$317))</f>
        <v>0</v>
      </c>
      <c r="RK3">
        <f>SUMPRODUCT(--('Данные 2st'!$Q$2:$Q$317=$A3),--ISNUMBER('Данные 2st'!$ND$2:$ND$317))</f>
        <v>0</v>
      </c>
      <c r="RL3">
        <f>SUMPRODUCT(--('Данные 2st'!$Q$2:$Q$317=$A3),--ISNUMBER('Данные 2st'!$NE$2:$NE$317))</f>
        <v>0</v>
      </c>
      <c r="RM3">
        <f>SUMPRODUCT(--('Данные 2st'!$Q$2:$Q$317=$A3),--ISNUMBER('Данные 2st'!$NF$2:$NF$317))</f>
        <v>0</v>
      </c>
      <c r="RN3">
        <f>SUMPRODUCT(--('Данные 2st'!$Q$2:$Q$317=$A3),--ISNUMBER('Данные 2st'!$NG$2:$NG$317))</f>
        <v>0</v>
      </c>
      <c r="RO3">
        <f>SUMPRODUCT(--('Данные 2st'!$Q$2:$Q$317=$A3),--ISNUMBER('Данные 2st'!$NH$2:$NH$317))</f>
        <v>0</v>
      </c>
      <c r="RP3">
        <f>SUMPRODUCT(--('Данные 2st'!$Q$2:$Q$317=$A3),--ISNUMBER('Данные 2st'!$NJ$2:$NJ$317))</f>
        <v>0</v>
      </c>
      <c r="RQ3">
        <f>SUMPRODUCT(--('Данные 2st'!$Q$2:$Q$317=$A3),--ISNUMBER('Данные 2st'!$NK$2:$NK$317))</f>
        <v>0</v>
      </c>
      <c r="RR3">
        <f>SUMPRODUCT(--('Данные 2st'!$Q$2:$Q$317=$A3),--ISNUMBER('Данные 2st'!$NM$2:$NM$317))</f>
        <v>0</v>
      </c>
      <c r="RS3">
        <f>SUMPRODUCT(--('Данные 2st'!$Q$2:$Q$317=$A3),--ISNUMBER('Данные 2st'!$NN$2:$NN$317))</f>
        <v>0</v>
      </c>
      <c r="RT3">
        <f>SUMPRODUCT(--('Данные 2st'!$Q$2:$Q$317=$A3),--ISNUMBER('Данные 2st'!$NO$2:$NO$317))</f>
        <v>0</v>
      </c>
      <c r="RU3">
        <f>SUMPRODUCT(--('Данные 2st'!$Q$2:$Q$317=$A3),--ISNUMBER('Данные 2st'!$NP$2:$NP$317))</f>
        <v>0</v>
      </c>
      <c r="RV3">
        <f>SUMPRODUCT(--('Данные 2st'!$Q$2:$Q$317=$A3),--ISNUMBER('Данные 2st'!$NQ$2:$NQ$317))</f>
        <v>0</v>
      </c>
      <c r="RW3">
        <f>SUMPRODUCT(--('Данные 2st'!$Q$2:$Q$317=$A3),--ISNUMBER('Данные 2st'!$NR$2:$NR$317))</f>
        <v>0</v>
      </c>
      <c r="RX3">
        <f>SUMPRODUCT(--('Данные 2st'!$Q$2:$Q$317=$A3),--ISNUMBER('Данные 2st'!$NS$2:$NS$317))</f>
        <v>0</v>
      </c>
      <c r="RY3">
        <f>SUMPRODUCT(--('Данные 2st'!$Q$2:$Q$317=$A3),--ISNUMBER('Данные 2st'!$NT$2:$NT$317))</f>
        <v>0</v>
      </c>
      <c r="RZ3">
        <f>SUMPRODUCT(--('Данные 2st'!$Q$2:$Q$317=$A3),--ISNUMBER('Данные 2st'!$OK$2:$OK$317))</f>
        <v>1</v>
      </c>
      <c r="SA3">
        <f>SUMPRODUCT(--('Данные 2st'!$Q$2:$Q$317=$A3),--ISNUMBER('Данные 2st'!$OL$2:$OL$317))</f>
        <v>1</v>
      </c>
      <c r="SB3">
        <f>SUMPRODUCT(--('Данные 2st'!$Q$2:$Q$317=$A3),--ISNUMBER('Данные 2st'!$ON$2:$ON$317))</f>
        <v>1</v>
      </c>
      <c r="SC3">
        <f>SUMPRODUCT(--('Данные 2st'!$Q$2:$Q$317=$A3),--ISNUMBER('Данные 2st'!$OO$2:$OO$317))</f>
        <v>1</v>
      </c>
      <c r="SD3">
        <f>SUMPRODUCT(--('Данные 2st'!$Q$2:$Q$317=$A3),--ISNUMBER('Данные 2st'!$OP$2:$OP$317))</f>
        <v>1</v>
      </c>
      <c r="SE3">
        <f>SUMPRODUCT(--('Данные 2st'!$Q$2:$Q$317=$A3),--ISNUMBER('Данные 2st'!$OQ$2:$OQ$317))</f>
        <v>1</v>
      </c>
      <c r="SF3">
        <f>SUMPRODUCT(--('Данные 2st'!$Q$2:$Q$317=$A3),--ISNUMBER('Данные 2st'!$OS$2:$OS$317))</f>
        <v>1</v>
      </c>
      <c r="SG3">
        <f>SUMPRODUCT(--('Данные 2st'!$Q$2:$Q$317=$A3),--ISNUMBER('Данные 2st'!$OT$2:$OT$317))</f>
        <v>1</v>
      </c>
      <c r="SH3">
        <f>SUMPRODUCT(--('Данные 2st'!$Q$2:$Q$317=$A3),--ISNUMBER('Данные 2st'!$OU$2:$OU$317))</f>
        <v>1</v>
      </c>
      <c r="SI3">
        <f>SUMPRODUCT(--('Данные 2st'!$Q$2:$Q$317=$A3),--ISNUMBER('Данные 2st'!$OV$2:$OV$317))</f>
        <v>1</v>
      </c>
      <c r="SJ3">
        <f>SUMPRODUCT(--('Данные 2st'!$Q$2:$Q$317=$A3),--ISNUMBER('Данные 2st'!$OX$2:$OX$317))</f>
        <v>1</v>
      </c>
      <c r="SK3">
        <f>SUMPRODUCT(--('Данные 2st'!$Q$2:$Q$317=$A3),--ISNUMBER('Данные 2st'!$OY$2:$OY$317))</f>
        <v>1</v>
      </c>
      <c r="SL3">
        <f>SUMPRODUCT(--('Данные 2st'!$Q$2:$Q$317=$A3),--ISNUMBER('Данные 2st'!$OZ$2:$OZ$317))</f>
        <v>1</v>
      </c>
      <c r="SM3">
        <f>SUMPRODUCT(--('Данные 2st'!$Q$2:$Q$317=$A3),--ISNUMBER('Данные 2st'!$PA$2:$PA$317))</f>
        <v>1</v>
      </c>
      <c r="SN3">
        <f>SUMPRODUCT(--('Данные 2st'!$Q$2:$Q$317=$A3),--ISNUMBER('Данные 2st'!$PC$2:$PC$317))</f>
        <v>1</v>
      </c>
      <c r="SO3">
        <f>SUMPRODUCT(--('Данные 2st'!$Q$2:$Q$317=$A3),--ISNUMBER('Данные 2st'!$PD$2:$PD$317))</f>
        <v>1</v>
      </c>
      <c r="SP3">
        <f>SUMPRODUCT(--('Данные 2st'!$Q$2:$Q$317=$A3),--ISNUMBER('Данные 2st'!$PF$2:$PF$317))</f>
        <v>1</v>
      </c>
      <c r="SQ3">
        <f>SUMPRODUCT(--('Данные 2st'!$Q$2:$Q$317=$A3),--ISNUMBER('Данные 2st'!$PG$2:$PG$317))</f>
        <v>1</v>
      </c>
      <c r="SR3">
        <f>SUMPRODUCT(--('Данные 2st'!$Q$2:$Q$317=$A3),--ISNUMBER('Данные 2st'!$PH$2:$PH$317))</f>
        <v>1</v>
      </c>
      <c r="SS3">
        <f>SUMPRODUCT(--('Данные 2st'!$Q$2:$Q$317=$A3),--ISNUMBER('Данные 2st'!$PI$2:$PI$317))</f>
        <v>1</v>
      </c>
      <c r="ST3">
        <f>SUMPRODUCT(--('Данные 2st'!$Q$2:$Q$317=$A3),--ISNUMBER('Данные 2st'!$PJ$2:$PJ$317))</f>
        <v>1</v>
      </c>
      <c r="SU3">
        <f>SUMPRODUCT(--('Данные 2st'!$Q$2:$Q$317=$A3),--ISNUMBER('Данные 2st'!$PK$2:$PK$317))</f>
        <v>1</v>
      </c>
      <c r="SV3">
        <f>SUMPRODUCT(--('Данные 2st'!$Q$2:$Q$317=$A3),--ISNUMBER('Данные 2st'!$PL$2:$PL$317))</f>
        <v>1</v>
      </c>
      <c r="SW3">
        <f>SUMPRODUCT(--('Данные 2st'!$Q$2:$Q$317=$A3),--ISNUMBER('Данные 2st'!$PM$2:$PM$317))</f>
        <v>1</v>
      </c>
      <c r="SX3">
        <f>SUMPRODUCT(--('Данные 2st'!$Q$2:$Q$317=$A3),--ISNUMBER('Данные 2st'!$PN$2:$PN$317))</f>
        <v>1</v>
      </c>
      <c r="SY3">
        <f>SUMPRODUCT(--('Данные 2st'!$Q$2:$Q$317=$A3),--ISNUMBER('Данные 2st'!$PO$2:$PO$317))</f>
        <v>0</v>
      </c>
      <c r="SZ3">
        <f>SUMPRODUCT(--('Данные 2st'!$Q$2:$Q$317=$A3),--ISNUMBER('Данные 2st'!$PP$2:$PP$317))</f>
        <v>1</v>
      </c>
      <c r="TA3">
        <f>SUMPRODUCT(--('Данные 2st'!$Q$2:$Q$317=$A3),--ISNUMBER('Данные 2st'!$PQ$2:$PQ$317))</f>
        <v>1</v>
      </c>
      <c r="TB3">
        <f>SUMPRODUCT(--('Данные 2st'!$Q$2:$Q$317=$A3),--ISNUMBER('Данные 2st'!$PR$2:$PR$317))</f>
        <v>1</v>
      </c>
      <c r="TC3">
        <f>SUMPRODUCT(--('Данные 2st'!$Q$2:$Q$317=$A3),--ISNUMBER('Данные 2st'!$PS$2:$PS$317))</f>
        <v>1</v>
      </c>
      <c r="TD3">
        <f>SUMPRODUCT(--('Данные 2st'!$Q$2:$Q$317=$A3),--ISNUMBER('Данные 2st'!$PT$2:$PT$317))</f>
        <v>1</v>
      </c>
      <c r="TE3">
        <f>SUMPRODUCT(--('Данные 2st'!$Q$2:$Q$317=$A3),--ISNUMBER('Данные 2st'!$PU$2:$PU$317))</f>
        <v>1</v>
      </c>
      <c r="TF3">
        <f>SUMPRODUCT(--('Данные 2st'!$Q$2:$Q$317=$A3),--ISNUMBER('Данные 2st'!$PX$2:$PX$317))</f>
        <v>1</v>
      </c>
      <c r="TG3">
        <f>SUMPRODUCT(--('Данные 2st'!$Q$2:$Q$317=$A3),--ISNUMBER('Данные 2st'!$PY$2:$PY$317))</f>
        <v>1</v>
      </c>
      <c r="TH3">
        <f>SUMPRODUCT(--('Данные 2st'!$Q$2:$Q$317=$A3),--ISNUMBER('Данные 2st'!$PZ$2:$PZ$317))</f>
        <v>1</v>
      </c>
      <c r="TI3">
        <f>SUMPRODUCT(--('Данные 2st'!$Q$2:$Q$317=$A3),--ISNUMBER('Данные 2st'!$QA$2:$QA$317))</f>
        <v>1</v>
      </c>
      <c r="TJ3">
        <f>SUMPRODUCT(--('Данные 2st'!$Q$2:$Q$317=$A3),--ISNUMBER('Данные 2st'!$QB$2:$QB$317))</f>
        <v>1</v>
      </c>
      <c r="TK3">
        <f>SUMPRODUCT(--('Данные 2st'!$Q$2:$Q$317=$A3),--ISNUMBER('Данные 2st'!$QC$2:$QC$317))</f>
        <v>1</v>
      </c>
      <c r="TL3">
        <f>SUMPRODUCT(--('Данные 2st'!$Q$2:$Q$317=$A3),--ISNUMBER('Данные 2st'!$QD$2:$QD$317))</f>
        <v>1</v>
      </c>
      <c r="TM3">
        <f>SUMPRODUCT(--('Данные 2st'!$Q$2:$Q$317=$A3),--ISNUMBER('Данные 2st'!$QE$2:$QE$317))</f>
        <v>1</v>
      </c>
      <c r="TN3">
        <f>SUMPRODUCT(--('Данные 2st'!$Q$2:$Q$317=$A3),--ISNUMBER('Данные 2st'!$QF$2:$QF$317))</f>
        <v>1</v>
      </c>
      <c r="TO3">
        <f>SUMPRODUCT(--('Данные 2st'!$Q$2:$Q$317=$A3),--ISNUMBER('Данные 2st'!$QG$2:$QG$317))</f>
        <v>1</v>
      </c>
      <c r="TP3">
        <f>SUMPRODUCT(--('Данные 2st'!$Q$2:$Q$317=$A3),--ISNUMBER('Данные 2st'!$QH$2:$QH$317))</f>
        <v>1</v>
      </c>
      <c r="TQ3">
        <f>SUMPRODUCT(--('Данные 2st'!$Q$2:$Q$317=$A3),--ISNUMBER('Данные 2st'!$QI$2:$QI$317))</f>
        <v>1</v>
      </c>
      <c r="TR3">
        <f>SUMPRODUCT(--('Данные 2st'!$Q$2:$Q$317=$A3),--ISNUMBER('Данные 2st'!$QJ$2:$QJ$317))</f>
        <v>1</v>
      </c>
      <c r="TS3">
        <f>SUMPRODUCT(--('Данные 2st'!$Q$2:$Q$317=$A3),--ISNUMBER('Данные 2st'!$QK$2:$QK$317))</f>
        <v>1</v>
      </c>
      <c r="TT3">
        <f>SUMPRODUCT(--('Данные 2st'!$Q$2:$Q$317=$A3),--ISNUMBER('Данные 2st'!$QL$2:$QL$317))</f>
        <v>1</v>
      </c>
      <c r="TU3">
        <f>SUMPRODUCT(--('Данные 2st'!$Q$2:$Q$317=$A3),--ISNUMBER('Данные 2st'!$QM$2:$QM$317))</f>
        <v>1</v>
      </c>
      <c r="TV3">
        <f>SUMPRODUCT(--('Данные 2st'!$Q$2:$Q$317=$A3),--ISNUMBER('Данные 2st'!$QN$2:$QN$317))</f>
        <v>1</v>
      </c>
      <c r="TW3">
        <f>SUMPRODUCT(--('Данные 2st'!$Q$2:$Q$317=$A3),--ISNUMBER('Данные 2st'!$QQ$2:$QQ$317))</f>
        <v>1</v>
      </c>
      <c r="TX3">
        <f>SUMPRODUCT(--('Данные 2st'!$Q$2:$Q$317=$A3),--ISNUMBER('Данные 2st'!$QS$2:$QS$317))</f>
        <v>1</v>
      </c>
      <c r="TY3">
        <f>SUMPRODUCT(--('Данные 2st'!$Q$2:$Q$317=$A3),--ISNUMBER('Данные 2st'!$QT$2:$QT$317))</f>
        <v>1</v>
      </c>
    </row>
    <row r="4" spans="1:545" ht="32" customHeight="1">
      <c r="A4" s="11" t="str">
        <f>'По размерам'!A4</f>
        <v>185/55R15</v>
      </c>
      <c r="G4">
        <f>SUMPRODUCT(--('Данные 1st'!$S$2:$S$317=$A4),--ISNUMBER('Данные 1st'!$AE$2:$AE$317))</f>
        <v>3</v>
      </c>
      <c r="H4">
        <f>SUMPRODUCT(--('Данные 1st'!$S$2:$S$317=$A4),--ISNUMBER('Данные 1st'!$AF$2:$AF$317))</f>
        <v>3</v>
      </c>
      <c r="I4">
        <f>SUMPRODUCT(--('Данные 1st'!$S$2:$S$317=$A4),--ISNUMBER('Данные 1st'!$AJ$2:$AJ$317))</f>
        <v>3</v>
      </c>
      <c r="J4">
        <f>SUMPRODUCT(--('Данные 1st'!$S$2:$S$317=$A4),--ISNUMBER('Данные 1st'!$AL$2:$AL$317))</f>
        <v>3</v>
      </c>
      <c r="K4">
        <f>SUMPRODUCT(--('Данные 1st'!$S$2:$S$317=$A4),--ISNUMBER('Данные 1st'!$AR$2:$AR$317))</f>
        <v>3</v>
      </c>
      <c r="L4">
        <f>SUMPRODUCT(--('Данные 1st'!$S$2:$S$317=$A4),--ISNUMBER('Данные 1st'!$AS$2:$AS$317))</f>
        <v>3</v>
      </c>
      <c r="M4">
        <f>SUMPRODUCT(--('Данные 1st'!$S$2:$S$317=$A4),--ISNUMBER('Данные 1st'!$AY$2:$AY$317))</f>
        <v>3</v>
      </c>
      <c r="N4">
        <f>SUMPRODUCT(--('Данные 1st'!$S$2:$S$317=$A4),--ISNUMBER('Данные 1st'!$AZ$2:$AZ$317))</f>
        <v>3</v>
      </c>
      <c r="O4">
        <f>SUMPRODUCT(--('Данные 1st'!$S$2:$S$317=$A4),--ISNUMBER('Данные 1st'!$BF$2:$BF$317))</f>
        <v>0</v>
      </c>
      <c r="P4">
        <f>SUMPRODUCT(--('Данные 1st'!$S$2:$S$317=$A4),--ISNUMBER('Данные 1st'!$BG$2:$BG$317))</f>
        <v>3</v>
      </c>
      <c r="Q4">
        <f>SUMPRODUCT(--('Данные 1st'!$S$2:$S$317=$A4),--ISNUMBER('Данные 1st'!$BM$2:$BM$317))</f>
        <v>0</v>
      </c>
      <c r="R4">
        <f>SUMPRODUCT(--('Данные 1st'!$S$2:$S$317=$A4),--ISNUMBER('Данные 1st'!$BN$2:$BN$317))</f>
        <v>3</v>
      </c>
      <c r="S4">
        <f>SUMPRODUCT(--('Данные 1st'!$S$2:$S$317=$A4),--ISNUMBER('Данные 1st'!$BT$2:$BT$317))</f>
        <v>3</v>
      </c>
      <c r="T4">
        <f>SUMPRODUCT(--('Данные 1st'!$S$2:$S$317=$A4),--ISNUMBER('Данные 1st'!$BU$2:$BU$317))</f>
        <v>3</v>
      </c>
      <c r="U4">
        <f>SUMPRODUCT(--('Данные 1st'!$S$2:$S$317=$A4),--ISNUMBER('Данные 1st'!$BW$2:$BW$317))</f>
        <v>3</v>
      </c>
      <c r="V4">
        <f>SUMPRODUCT(--('Данные 1st'!$S$2:$S$317=$A4),--ISNUMBER('Данные 1st'!$BX$2:$BX$317))</f>
        <v>3</v>
      </c>
      <c r="W4">
        <f>SUMPRODUCT(--('Данные 1st'!$S$2:$S$317=$A4),--ISNUMBER('Данные 1st'!$BZ$2:$BZ$317))</f>
        <v>3</v>
      </c>
      <c r="X4">
        <f>SUMPRODUCT(--('Данные 1st'!$S$2:$S$317=$A4),--ISNUMBER('Данные 1st'!$CA$2:$CA$317))</f>
        <v>3</v>
      </c>
      <c r="Y4">
        <f>SUMPRODUCT(--('Данные 1st'!$S$2:$S$317=$A4),--ISNUMBER('Данные 1st'!$CD$2:$CD$317))</f>
        <v>3</v>
      </c>
      <c r="Z4">
        <f>SUMPRODUCT(--('Данные 1st'!$S$2:$S$317=$A4),--ISNUMBER('Данные 1st'!$CF$2:$CF$317))</f>
        <v>3</v>
      </c>
      <c r="AA4">
        <f>SUMPRODUCT(--('Данные 1st'!$S$2:$S$317=$A4),--ISNUMBER('Данные 1st'!$CI$2:$CI$317))</f>
        <v>3</v>
      </c>
      <c r="AB4">
        <f>SUMPRODUCT(--('Данные 1st'!$S$2:$S$317=$A4),--ISNUMBER('Данные 1st'!$CJ$2:$CJ$317))</f>
        <v>3</v>
      </c>
      <c r="AC4">
        <f>SUMPRODUCT(--('Данные 1st'!$S$2:$S$317=$A4),--ISNUMBER('Данные 1st'!$CK$2:$CK$317))</f>
        <v>3</v>
      </c>
      <c r="AD4">
        <f>SUMPRODUCT(--('Данные 1st'!$S$2:$S$317=$A4),--ISNUMBER('Данные 1st'!$CL$2:$CL$317))</f>
        <v>3</v>
      </c>
      <c r="AE4">
        <f>SUMPRODUCT(--('Данные 1st'!$S$2:$S$317=$A4),--ISNUMBER('Данные 1st'!$CM$2:$CM$317))</f>
        <v>3</v>
      </c>
      <c r="AF4">
        <f>SUMPRODUCT(--('Данные 1st'!$S$2:$S$317=$A4),--ISNUMBER('Данные 1st'!$CT$2:$CT$317))</f>
        <v>3</v>
      </c>
      <c r="AG4">
        <f>SUMPRODUCT(--('Данные 1st'!$S$2:$S$317=$A4),--ISNUMBER('Данные 1st'!$CU$2:$CU$317))</f>
        <v>3</v>
      </c>
      <c r="AH4">
        <f>SUMPRODUCT(--('Данные 1st'!$S$2:$S$317=$A4),--ISNUMBER('Данные 1st'!$CV$2:$CV$317))</f>
        <v>3</v>
      </c>
      <c r="AI4">
        <f>SUMPRODUCT(--('Данные 1st'!$S$2:$S$317=$A4),--ISNUMBER('Данные 1st'!$CW$2:$CW$317))</f>
        <v>3</v>
      </c>
      <c r="AJ4">
        <f>SUMPRODUCT(--('Данные 1st'!$S$2:$S$317=$A4),--ISNUMBER('Данные 1st'!$CX$2:$CX$317))</f>
        <v>3</v>
      </c>
      <c r="AK4">
        <f>SUMPRODUCT(--('Данные 1st'!$S$2:$S$317=$A4),--ISNUMBER('Данные 1st'!$CZ$2:$CZ$317))</f>
        <v>0</v>
      </c>
      <c r="AL4">
        <f>SUMPRODUCT(--('Данные 1st'!$S$2:$S$317=$A4),--ISNUMBER('Данные 1st'!$DA$2:$DA$317))</f>
        <v>0</v>
      </c>
      <c r="AM4">
        <f>SUMPRODUCT(--('Данные 1st'!$S$2:$S$317=$A4),--ISNUMBER('Данные 1st'!$DB$2:$DB$317))</f>
        <v>0</v>
      </c>
      <c r="AN4">
        <f>SUMPRODUCT(--('Данные 1st'!$S$2:$S$317=$A4),--ISNUMBER('Данные 1st'!$DC$2:$DC$317))</f>
        <v>0</v>
      </c>
      <c r="AO4">
        <f>SUMPRODUCT(--('Данные 1st'!$S$2:$S$317=$A4),--ISNUMBER('Данные 1st'!$DD$2:$DD$317))</f>
        <v>3</v>
      </c>
      <c r="AP4">
        <f>SUMPRODUCT(--('Данные 1st'!$S$2:$S$317=$A4),--ISNUMBER('Данные 1st'!$DF$2:$DF$317))</f>
        <v>3</v>
      </c>
      <c r="AQ4">
        <f>SUMPRODUCT(--('Данные 1st'!$S$2:$S$317=$A4),--ISNUMBER('Данные 1st'!$DG$2:$DG$317))</f>
        <v>3</v>
      </c>
      <c r="AR4">
        <f>SUMPRODUCT(--('Данные 1st'!$S$2:$S$317=$A4),--ISNUMBER('Данные 1st'!$DH$2:$DH$317))</f>
        <v>3</v>
      </c>
      <c r="AS4">
        <f>SUMPRODUCT(--('Данные 1st'!$S$2:$S$317=$A4),--ISNUMBER('Данные 1st'!$DI$2:$DI$317))</f>
        <v>3</v>
      </c>
      <c r="AT4">
        <f>SUMPRODUCT(--('Данные 1st'!$S$2:$S$317=$A4),--ISNUMBER('Данные 1st'!$DJ$2:$DJ$317))</f>
        <v>3</v>
      </c>
      <c r="AU4">
        <f>SUMPRODUCT(--('Данные 1st'!$S$2:$S$317=$A4),--ISNUMBER('Данные 1st'!$DL$2:$DL$317))</f>
        <v>0</v>
      </c>
      <c r="AV4">
        <f>SUMPRODUCT(--('Данные 1st'!$S$2:$S$317=$A4),--ISNUMBER('Данные 1st'!$DM$2:$DM$317))</f>
        <v>0</v>
      </c>
      <c r="AW4">
        <f>SUMPRODUCT(--('Данные 1st'!$S$2:$S$317=$A4),--ISNUMBER('Данные 1st'!$DN$2:$DN$317))</f>
        <v>0</v>
      </c>
      <c r="AX4">
        <f>SUMPRODUCT(--('Данные 1st'!$S$2:$S$317=$A4),--ISNUMBER('Данные 1st'!$DO$2:$DO$317))</f>
        <v>0</v>
      </c>
      <c r="AY4">
        <f>SUMPRODUCT(--('Данные 1st'!$S$2:$S$317=$A4),--ISNUMBER('Данные 1st'!$DP$2:$DP$317))</f>
        <v>0</v>
      </c>
      <c r="AZ4">
        <f>SUMPRODUCT(--('Данные 1st'!$S$2:$S$317=$A4),--ISNUMBER('Данные 1st'!$DR$2:$DR$317))</f>
        <v>0</v>
      </c>
      <c r="BA4">
        <f>SUMPRODUCT(--('Данные 1st'!$S$2:$S$317=$A4),--ISNUMBER('Данные 1st'!$DS$2:$DS$317))</f>
        <v>0</v>
      </c>
      <c r="BB4">
        <f>SUMPRODUCT(--('Данные 1st'!$S$2:$S$317=$A4),--ISNUMBER('Данные 1st'!$DT$2:$DT$317))</f>
        <v>0</v>
      </c>
      <c r="BC4">
        <f>SUMPRODUCT(--('Данные 1st'!$S$2:$S$317=$A4),--ISNUMBER('Данные 1st'!$DU$2:$DU$317))</f>
        <v>0</v>
      </c>
      <c r="BD4">
        <f>SUMPRODUCT(--('Данные 1st'!$S$2:$S$317=$A4),--ISNUMBER('Данные 1st'!$DV$2:$DV$317))</f>
        <v>0</v>
      </c>
      <c r="BE4">
        <f>SUMPRODUCT(--('Данные 1st'!$S$2:$S$317=$A4),--ISNUMBER('Данные 1st'!$DX$2:$DX$317))</f>
        <v>3</v>
      </c>
      <c r="BF4">
        <f>SUMPRODUCT(--('Данные 1st'!$S$2:$S$317=$A4),--ISNUMBER('Данные 1st'!$EA$2:$EA$317))</f>
        <v>3</v>
      </c>
      <c r="BG4">
        <f>SUMPRODUCT(--('Данные 1st'!$S$2:$S$317=$A4),--ISNUMBER('Данные 1st'!$EB$2:$EB$317))</f>
        <v>3</v>
      </c>
      <c r="BH4">
        <f>SUMPRODUCT(--('Данные 1st'!$S$2:$S$317=$A4),--ISNUMBER('Данные 1st'!$ED$2:$ED$317))</f>
        <v>3</v>
      </c>
      <c r="BI4">
        <f>SUMPRODUCT(--('Данные 1st'!$S$2:$S$317=$A4),--ISNUMBER('Данные 1st'!$EE$2:$EE$317))</f>
        <v>3</v>
      </c>
      <c r="BJ4">
        <f>SUMPRODUCT(--('Данные 1st'!$S$2:$S$317=$A4),--ISNUMBER('Данные 1st'!$EG$2:$EG$317))</f>
        <v>3</v>
      </c>
      <c r="BK4">
        <f>SUMPRODUCT(--('Данные 1st'!$S$2:$S$317=$A4),--ISNUMBER('Данные 1st'!$EH$2:$EH$317))</f>
        <v>3</v>
      </c>
      <c r="BL4">
        <f>SUMPRODUCT(--('Данные 1st'!$S$2:$S$317=$A4),--ISNUMBER('Данные 1st'!$EJ$2:$EJ$317))</f>
        <v>3</v>
      </c>
      <c r="BM4">
        <f>SUMPRODUCT(--('Данные 1st'!$S$2:$S$317=$A4),--ISNUMBER('Данные 1st'!$EK$2:$EK$317))</f>
        <v>3</v>
      </c>
      <c r="BN4">
        <f>SUMPRODUCT(--('Данные 1st'!$S$2:$S$317=$A4),--ISNUMBER('Данные 1st'!$EN$2:$EN$317))</f>
        <v>3</v>
      </c>
      <c r="BO4">
        <f>SUMPRODUCT(--('Данные 1st'!$S$2:$S$317=$A4),--ISNUMBER('Данные 1st'!$EQ$2:$EQ$317))</f>
        <v>3</v>
      </c>
      <c r="BP4">
        <f>SUMPRODUCT(--('Данные 1st'!$S$2:$S$317=$A4),--ISNUMBER('Данные 1st'!$ER$2:$ER$317))</f>
        <v>3</v>
      </c>
      <c r="BQ4">
        <f>SUMPRODUCT(--('Данные 1st'!$S$2:$S$317=$A4),--ISNUMBER('Данные 1st'!$ES$2:$ES$317))</f>
        <v>3</v>
      </c>
      <c r="BR4">
        <f>SUMPRODUCT(--('Данные 1st'!$S$2:$S$317=$A4),--ISNUMBER('Данные 1st'!$ET$2:$ET$317))</f>
        <v>3</v>
      </c>
      <c r="BS4">
        <f>SUMPRODUCT(--('Данные 1st'!$S$2:$S$317=$A4),--ISNUMBER('Данные 1st'!$EU$2:$EU$317))</f>
        <v>3</v>
      </c>
      <c r="BT4">
        <f>SUMPRODUCT(--('Данные 1st'!$S$2:$S$317=$A4),--ISNUMBER('Данные 1st'!$EV$2:$EV$317))</f>
        <v>3</v>
      </c>
      <c r="BU4">
        <f>SUMPRODUCT(--('Данные 1st'!$S$2:$S$317=$A4),--ISNUMBER('Данные 1st'!$EX$2:$EX$317))</f>
        <v>3</v>
      </c>
      <c r="BV4">
        <f>SUMPRODUCT(--('Данные 1st'!$S$2:$S$317=$A4),--ISNUMBER('Данные 1st'!$EY$2:$EY$317))</f>
        <v>3</v>
      </c>
      <c r="BW4">
        <f>SUMPRODUCT(--('Данные 1st'!$S$2:$S$317=$A4),--ISNUMBER('Данные 1st'!$EZ$2:$EZ$317))</f>
        <v>3</v>
      </c>
      <c r="BX4">
        <f>SUMPRODUCT(--('Данные 1st'!$S$2:$S$317=$A4),--ISNUMBER('Данные 1st'!$FA$2:$FA$317))</f>
        <v>3</v>
      </c>
      <c r="BY4">
        <f>SUMPRODUCT(--('Данные 1st'!$S$2:$S$317=$A4),--ISNUMBER('Данные 1st'!$FB$2:$FB$317))</f>
        <v>3</v>
      </c>
      <c r="BZ4">
        <f>SUMPRODUCT(--('Данные 1st'!$S$2:$S$317=$A4),--ISNUMBER('Данные 1st'!$FC$2:$FC$317))</f>
        <v>3</v>
      </c>
      <c r="CA4">
        <f>SUMPRODUCT(--('Данные 1st'!$S$2:$S$317=$A4),--ISNUMBER('Данные 1st'!$FE$2:$FE$317))</f>
        <v>3</v>
      </c>
      <c r="CB4">
        <f>SUMPRODUCT(--('Данные 1st'!$S$2:$S$317=$A4),--ISNUMBER('Данные 1st'!$FF$2:$FF$317))</f>
        <v>3</v>
      </c>
      <c r="CC4">
        <f>SUMPRODUCT(--('Данные 1st'!$S$2:$S$317=$A4),--ISNUMBER('Данные 1st'!$FI$2:$FI$317))</f>
        <v>3</v>
      </c>
      <c r="CD4">
        <f>SUMPRODUCT(--('Данные 1st'!$S$2:$S$317=$A4),--ISNUMBER('Данные 1st'!$FL$2:$FL$317))</f>
        <v>3</v>
      </c>
      <c r="CE4">
        <f>SUMPRODUCT(--('Данные 1st'!$S$2:$S$317=$A4),--ISNUMBER('Данные 1st'!$FM$2:$FM$317))</f>
        <v>3</v>
      </c>
      <c r="CF4">
        <f>SUMPRODUCT(--('Данные 1st'!$S$2:$S$317=$A4),--ISNUMBER('Данные 1st'!$FN$2:$FN$317))</f>
        <v>3</v>
      </c>
      <c r="CG4">
        <f>SUMPRODUCT(--('Данные 1st'!$S$2:$S$317=$A4),--ISNUMBER('Данные 1st'!$FO$2:$FO$317))</f>
        <v>0</v>
      </c>
      <c r="CH4">
        <f>SUMPRODUCT(--('Данные 1st'!$S$2:$S$317=$A4),--ISNUMBER('Данные 1st'!$FP$2:$FP$317))</f>
        <v>0</v>
      </c>
      <c r="CI4">
        <f>SUMPRODUCT(--('Данные 1st'!$S$2:$S$317=$A4),--ISNUMBER('Данные 1st'!$FS$2:$FS$317))</f>
        <v>3</v>
      </c>
      <c r="CJ4">
        <f>SUMPRODUCT(--('Данные 1st'!$S$2:$S$317=$A4),--ISNUMBER('Данные 1st'!$FT$2:$FT$317))</f>
        <v>3</v>
      </c>
      <c r="CK4">
        <f>SUMPRODUCT(--('Данные 1st'!$S$2:$S$317=$A4),--ISNUMBER('Данные 1st'!$FU$2:$FU$317))</f>
        <v>3</v>
      </c>
      <c r="CL4">
        <f>SUMPRODUCT(--('Данные 1st'!$S$2:$S$317=$A4),--ISNUMBER('Данные 1st'!$FV$2:$FV$317))</f>
        <v>1</v>
      </c>
      <c r="CM4">
        <f>SUMPRODUCT(--('Данные 1st'!$S$2:$S$317=$A4),--ISNUMBER('Данные 1st'!$FW$2:$FW$317))</f>
        <v>1</v>
      </c>
      <c r="CN4">
        <f>SUMPRODUCT(--('Данные 1st'!$S$2:$S$317=$A4),--ISNUMBER('Данные 1st'!$FZ$2:$FZ$317))</f>
        <v>2</v>
      </c>
      <c r="CO4">
        <f>SUMPRODUCT(--('Данные 1st'!$S$2:$S$317=$A4),--ISNUMBER('Данные 1st'!$GA$2:$GA$317))</f>
        <v>2</v>
      </c>
      <c r="CP4">
        <f>SUMPRODUCT(--('Данные 1st'!$S$2:$S$317=$A4),--ISNUMBER('Данные 1st'!$GB$2:$GB$317))</f>
        <v>2</v>
      </c>
      <c r="CQ4">
        <f>SUMPRODUCT(--('Данные 1st'!$S$2:$S$317=$A4),--ISNUMBER('Данные 1st'!$GH$2:$GH$317))</f>
        <v>2</v>
      </c>
      <c r="CR4">
        <f>SUMPRODUCT(--('Данные 1st'!$S$2:$S$317=$A4),--ISNUMBER('Данные 1st'!$GI$2:$GI$317))</f>
        <v>2</v>
      </c>
      <c r="CS4">
        <f>SUMPRODUCT(--('Данные 1st'!$S$2:$S$317=$A4),--ISNUMBER('Данные 1st'!$GJ$2:$GJ$317))</f>
        <v>2</v>
      </c>
      <c r="CT4">
        <f>SUMPRODUCT(--('Данные 1st'!$S$2:$S$317=$A4),--ISNUMBER('Данные 1st'!$GS$2:$GS$317))</f>
        <v>0</v>
      </c>
      <c r="CU4">
        <f>SUMPRODUCT(--('Данные 1st'!$S$2:$S$317=$A4),--ISNUMBER('Данные 1st'!$GT$2:$GT$317))</f>
        <v>0</v>
      </c>
      <c r="CV4">
        <f>SUMPRODUCT(--('Данные 1st'!$S$2:$S$317=$A4),--ISNUMBER('Данные 1st'!$GU$2:$GU$317))</f>
        <v>0</v>
      </c>
      <c r="CW4">
        <f>SUMPRODUCT(--('Данные 1st'!$S$2:$S$317=$A4),--ISNUMBER('Данные 1st'!$GV$2:$GV$317))</f>
        <v>0</v>
      </c>
      <c r="CX4">
        <f>SUMPRODUCT(--('Данные 1st'!$S$2:$S$317=$A4),--ISNUMBER('Данные 1st'!$GW$2:$GW$317))</f>
        <v>0</v>
      </c>
      <c r="CY4">
        <f>SUMPRODUCT(--('Данные 1st'!$S$2:$S$317=$A4),--ISNUMBER('Данные 1st'!$GZ$2:$GZ$317))</f>
        <v>0</v>
      </c>
      <c r="CZ4">
        <f>SUMPRODUCT(--('Данные 1st'!$S$2:$S$317=$A4),--ISNUMBER('Данные 1st'!$HA$2:$HA$317))</f>
        <v>0</v>
      </c>
      <c r="DA4">
        <f>SUMPRODUCT(--('Данные 1st'!$S$2:$S$317=$A4),--ISNUMBER('Данные 1st'!$HB$2:$HB$317))</f>
        <v>0</v>
      </c>
      <c r="DB4">
        <f>SUMPRODUCT(--('Данные 1st'!$S$2:$S$317=$A4),--ISNUMBER('Данные 1st'!$HC$2:$HC$317))</f>
        <v>3</v>
      </c>
      <c r="DC4">
        <f>SUMPRODUCT(--('Данные 1st'!$S$2:$S$317=$A4),--ISNUMBER('Данные 1st'!$HD$2:$HD$317))</f>
        <v>3</v>
      </c>
      <c r="DD4">
        <f>SUMPRODUCT(--('Данные 1st'!$S$2:$S$317=$A4),--ISNUMBER('Данные 1st'!$HE$2:$HE$317))</f>
        <v>3</v>
      </c>
      <c r="DE4">
        <f>SUMPRODUCT(--('Данные 1st'!$S$2:$S$317=$A4),--ISNUMBER('Данные 1st'!$HF$2:$HF$317))</f>
        <v>3</v>
      </c>
      <c r="DF4">
        <f>SUMPRODUCT(--('Данные 1st'!$S$2:$S$317=$A4),--ISNUMBER('Данные 1st'!$HG$2:$HG$317))</f>
        <v>3</v>
      </c>
      <c r="DG4">
        <f>SUMPRODUCT(--('Данные 1st'!$S$2:$S$317=$A4),--ISNUMBER('Данные 1st'!$HH$2:$HH$317))</f>
        <v>3</v>
      </c>
      <c r="DH4">
        <f>SUMPRODUCT(--('Данные 1st'!$S$2:$S$317=$A4),--ISNUMBER('Данные 1st'!$HI$2:$HI$317))</f>
        <v>3</v>
      </c>
      <c r="DI4">
        <f>SUMPRODUCT(--('Данные 1st'!$S$2:$S$317=$A4),--ISNUMBER('Данные 1st'!$HJ$2:$HJ$317))</f>
        <v>3</v>
      </c>
      <c r="DJ4">
        <f>SUMPRODUCT(--('Данные 1st'!$S$2:$S$317=$A4),--ISNUMBER('Данные 1st'!$HK$2:$HK$317))</f>
        <v>3</v>
      </c>
      <c r="DK4">
        <f>SUMPRODUCT(--('Данные 1st'!$S$2:$S$317=$A4),--ISNUMBER('Данные 1st'!$HL$2:$HL$317))</f>
        <v>3</v>
      </c>
      <c r="DL4">
        <f>SUMPRODUCT(--('Данные 1st'!$S$2:$S$317=$A4),--ISNUMBER('Данные 1st'!$HM$2:$HM$317))</f>
        <v>3</v>
      </c>
      <c r="DM4">
        <f>SUMPRODUCT(--('Данные 1st'!$S$2:$S$317=$A4),--ISNUMBER('Данные 1st'!$HN$2:$HN$317))</f>
        <v>3</v>
      </c>
      <c r="DN4">
        <f>SUMPRODUCT(--('Данные 1st'!$S$2:$S$317=$A4),--ISNUMBER('Данные 1st'!$HO$2:$HO$317))</f>
        <v>3</v>
      </c>
      <c r="DO4">
        <f>SUMPRODUCT(--('Данные 1st'!$S$2:$S$317=$A4),--ISNUMBER('Данные 1st'!$HP$2:$HP$317))</f>
        <v>3</v>
      </c>
      <c r="DP4">
        <f>SUMPRODUCT(--('Данные 1st'!$S$2:$S$317=$A4),--ISNUMBER('Данные 1st'!$HQ$2:$HQ$317))</f>
        <v>3</v>
      </c>
      <c r="DQ4">
        <f>SUMPRODUCT(--('Данные 1st'!$S$2:$S$317=$A4),--ISNUMBER('Данные 1st'!$HR$2:$HR$317))</f>
        <v>3</v>
      </c>
      <c r="DR4">
        <f>SUMPRODUCT(--('Данные 1st'!$S$2:$S$317=$A4),--ISNUMBER('Данные 1st'!$HS$2:$HS$317))</f>
        <v>3</v>
      </c>
      <c r="DS4">
        <f>SUMPRODUCT(--('Данные 1st'!$S$2:$S$317=$A4),--ISNUMBER('Данные 1st'!$HT$2:$HT$317))</f>
        <v>3</v>
      </c>
      <c r="DT4">
        <f>SUMPRODUCT(--('Данные 1st'!$S$2:$S$317=$A4),--ISNUMBER('Данные 1st'!$HU$2:$HU$317))</f>
        <v>3</v>
      </c>
      <c r="DU4">
        <f>SUMPRODUCT(--('Данные 1st'!$S$2:$S$317=$A4),--ISNUMBER('Данные 1st'!$HW$2:$HW$317))</f>
        <v>3</v>
      </c>
      <c r="DV4">
        <f>SUMPRODUCT(--('Данные 1st'!$S$2:$S$317=$A4),--ISNUMBER('Данные 1st'!$HX$2:$HX$317))</f>
        <v>3</v>
      </c>
      <c r="DW4">
        <f>SUMPRODUCT(--('Данные 1st'!$S$2:$S$317=$A4),--ISNUMBER('Данные 1st'!$HY$2:$HY$317))</f>
        <v>3</v>
      </c>
      <c r="DX4">
        <f>SUMPRODUCT(--('Данные 1st'!$S$2:$S$317=$A4),--ISNUMBER('Данные 1st'!$IA$2:$IA$317))</f>
        <v>3</v>
      </c>
      <c r="DY4">
        <f>SUMPRODUCT(--('Данные 1st'!$S$2:$S$317=$A4),--ISNUMBER('Данные 1st'!$IB$2:$IB$317))</f>
        <v>3</v>
      </c>
      <c r="DZ4">
        <f>SUMPRODUCT(--('Данные 1st'!$S$2:$S$317=$A4),--ISNUMBER('Данные 1st'!$IC$2:$IC$317))</f>
        <v>3</v>
      </c>
      <c r="EA4">
        <f>SUMPRODUCT(--('Данные 1st'!$S$2:$S$317=$A4),--ISNUMBER('Данные 1st'!$ID$2:$ID$317))</f>
        <v>3</v>
      </c>
      <c r="EB4">
        <f>SUMPRODUCT(--('Данные 1st'!$S$2:$S$317=$A4),--ISNUMBER('Данные 1st'!$IE$2:$IE$317))</f>
        <v>3</v>
      </c>
      <c r="EC4">
        <f>SUMPRODUCT(--('Данные 1st'!$S$2:$S$317=$A4),--ISNUMBER('Данные 1st'!$IF$2:$IF$317))</f>
        <v>3</v>
      </c>
      <c r="ED4">
        <f>SUMPRODUCT(--('Данные 1st'!$S$2:$S$317=$A4),--ISNUMBER('Данные 1st'!$IP$2:$IP$317))</f>
        <v>3</v>
      </c>
      <c r="EE4">
        <f>SUMPRODUCT(--('Данные 1st'!$S$2:$S$317=$A4),--ISNUMBER('Данные 1st'!$IV$2:$IV$317))</f>
        <v>3</v>
      </c>
      <c r="EF4">
        <f>SUMPRODUCT(--('Данные 1st'!$S$2:$S$317=$A4),--ISNUMBER('Данные 1st'!$IW$2:$IW$317))</f>
        <v>3</v>
      </c>
      <c r="EG4">
        <f>SUMPRODUCT(--('Данные 1st'!$S$2:$S$317=$A4),--ISNUMBER('Данные 1st'!$IX$2:$IX$317))</f>
        <v>0</v>
      </c>
      <c r="EH4">
        <f>SUMPRODUCT(--('Данные 1st'!$S$2:$S$317=$A4),--ISNUMBER('Данные 1st'!$IY$2:$IY$317))</f>
        <v>0</v>
      </c>
      <c r="EI4">
        <f>SUMPRODUCT(--('Данные 1st'!$S$2:$S$317=$A4),--ISNUMBER('Данные 1st'!$JD$2:$JD$317))</f>
        <v>3</v>
      </c>
      <c r="EJ4">
        <f>SUMPRODUCT(--('Данные 1st'!$S$2:$S$317=$A4),--ISNUMBER('Данные 1st'!$JE$2:$JE$317))</f>
        <v>3</v>
      </c>
      <c r="EK4">
        <f>SUMPRODUCT(--('Данные 1st'!$S$2:$S$317=$A4),--ISNUMBER('Данные 1st'!$JF$2:$JF$317))</f>
        <v>3</v>
      </c>
      <c r="EL4">
        <f>SUMPRODUCT(--('Данные 1st'!$S$2:$S$317=$A4),--ISNUMBER('Данные 1st'!$JG$2:$JG$317))</f>
        <v>3</v>
      </c>
      <c r="EM4">
        <f>SUMPRODUCT(--('Данные 1st'!$S$2:$S$317=$A4),--ISNUMBER('Данные 1st'!$JH$2:$JH$317))</f>
        <v>3</v>
      </c>
      <c r="EN4">
        <f>SUMPRODUCT(--('Данные 1st'!$S$2:$S$317=$A4),--ISNUMBER('Данные 1st'!$JJ$2:$JJ$317))</f>
        <v>3</v>
      </c>
      <c r="EO4">
        <f>SUMPRODUCT(--('Данные 1st'!$S$2:$S$317=$A4),--ISNUMBER('Данные 1st'!$JK$2:$JK$317))</f>
        <v>3</v>
      </c>
      <c r="EP4">
        <f>SUMPRODUCT(--('Данные 1st'!$S$2:$S$317=$A4),--ISNUMBER('Данные 1st'!$JL$2:$JL$317))</f>
        <v>0</v>
      </c>
      <c r="EQ4">
        <f>SUMPRODUCT(--('Данные 1st'!$S$2:$S$317=$A4),--ISNUMBER('Данные 1st'!$JM$2:$JM$317))</f>
        <v>0</v>
      </c>
      <c r="ER4">
        <f>SUMPRODUCT(--('Данные 1st'!$S$2:$S$317=$A4),--ISNUMBER('Данные 1st'!$JN$2:$JN$317))</f>
        <v>3</v>
      </c>
      <c r="ES4">
        <f>SUMPRODUCT(--('Данные 1st'!$S$2:$S$317=$A4),--ISNUMBER('Данные 1st'!$JO$2:$JO$317))</f>
        <v>3</v>
      </c>
      <c r="ET4">
        <f>SUMPRODUCT(--('Данные 1st'!$S$2:$S$317=$A4),--ISNUMBER('Данные 1st'!$JP$2:$JP$317))</f>
        <v>3</v>
      </c>
      <c r="EU4">
        <f>SUMPRODUCT(--('Данные 1st'!$S$2:$S$317=$A4),--ISNUMBER('Данные 1st'!$JQ$2:$JQ$317))</f>
        <v>3</v>
      </c>
      <c r="EV4">
        <f>SUMPRODUCT(--('Данные 1st'!$S$2:$S$317=$A4),--ISNUMBER('Данные 1st'!$JR$2:$JR$317))</f>
        <v>3</v>
      </c>
      <c r="EW4">
        <f>SUMPRODUCT(--('Данные 1st'!$S$2:$S$317=$A4),--ISNUMBER('Данные 1st'!$JS$2:$JS$317))</f>
        <v>3</v>
      </c>
      <c r="EX4">
        <f>SUMPRODUCT(--('Данные 1st'!$S$2:$S$317=$A4),--ISNUMBER('Данные 1st'!$JT$2:$JT$317))</f>
        <v>0</v>
      </c>
      <c r="EY4">
        <f>SUMPRODUCT(--('Данные 1st'!$S$2:$S$317=$A4),--ISNUMBER('Данные 1st'!$JU$2:$JU$317))</f>
        <v>0</v>
      </c>
      <c r="EZ4">
        <f>SUMPRODUCT(--('Данные 1st'!$S$2:$S$317=$A4),--ISNUMBER('Данные 1st'!$JV$2:$JV$317))</f>
        <v>3</v>
      </c>
      <c r="FA4">
        <f>SUMPRODUCT(--('Данные 1st'!$S$2:$S$317=$A4),--ISNUMBER('Данные 1st'!$JW$2:$JW$317))</f>
        <v>0</v>
      </c>
      <c r="FB4">
        <f>SUMPRODUCT(--('Данные 1st'!$S$2:$S$317=$A4),--ISNUMBER('Данные 1st'!$JX$2:$JX$317))</f>
        <v>3</v>
      </c>
      <c r="FC4">
        <f>SUMPRODUCT(--('Данные 1st'!$S$2:$S$317=$A4),--ISNUMBER('Данные 1st'!$JY$2:$JY$317))</f>
        <v>0</v>
      </c>
      <c r="FD4">
        <f>SUMPRODUCT(--('Данные 1st'!$S$2:$S$317=$A4),--ISNUMBER('Данные 1st'!$JZ$2:$JZ$317))</f>
        <v>0</v>
      </c>
      <c r="FE4">
        <f>SUMPRODUCT(--('Данные 1st'!$S$2:$S$317=$A4),--ISNUMBER('Данные 1st'!$KA$2:$KA$317))</f>
        <v>3</v>
      </c>
      <c r="FF4">
        <f>SUMPRODUCT(--('Данные 1st'!$S$2:$S$317=$A4),--ISNUMBER('Данные 1st'!$KB$2:$KB$317))</f>
        <v>3</v>
      </c>
      <c r="FG4">
        <f>SUMPRODUCT(--('Данные 1st'!$S$2:$S$317=$A4),--ISNUMBER('Данные 1st'!$KC$2:$KC$317))</f>
        <v>3</v>
      </c>
      <c r="FH4">
        <f>SUMPRODUCT(--('Данные 1st'!$S$2:$S$317=$A4),--ISNUMBER('Данные 1st'!$KD$2:$KD$317))</f>
        <v>3</v>
      </c>
      <c r="FI4">
        <f>SUMPRODUCT(--('Данные 1st'!$S$2:$S$317=$A4),--ISNUMBER('Данные 1st'!$KE$2:$KE$317))</f>
        <v>0</v>
      </c>
      <c r="FJ4">
        <f>SUMPRODUCT(--('Данные 1st'!$S$2:$S$317=$A4),--ISNUMBER('Данные 1st'!$KF$2:$KF$317))</f>
        <v>3</v>
      </c>
      <c r="FK4">
        <f>SUMPRODUCT(--('Данные 1st'!$S$2:$S$317=$A4),--ISNUMBER('Данные 1st'!$KG$2:$KG$317))</f>
        <v>3</v>
      </c>
      <c r="FL4">
        <f>SUMPRODUCT(--('Данные 1st'!$S$2:$S$317=$A4),--ISNUMBER('Данные 1st'!$KH$2:$KH$317))</f>
        <v>3</v>
      </c>
      <c r="FM4">
        <f>SUMPRODUCT(--('Данные 1st'!$S$2:$S$317=$A4),--ISNUMBER('Данные 1st'!$KI$2:$KI$317))</f>
        <v>3</v>
      </c>
      <c r="FN4">
        <f>SUMPRODUCT(--('Данные 1st'!$S$2:$S$317=$A4),--ISNUMBER('Данные 1st'!$KJ$2:$KJ$317))</f>
        <v>3</v>
      </c>
      <c r="FO4">
        <f>SUMPRODUCT(--('Данные 1st'!$S$2:$S$317=$A4),--ISNUMBER('Данные 1st'!$KK$2:$KK$317))</f>
        <v>3</v>
      </c>
      <c r="FP4">
        <f>SUMPRODUCT(--('Данные 1st'!$S$2:$S$317=$A4),--ISNUMBER('Данные 1st'!$KL$2:$KL$317))</f>
        <v>3</v>
      </c>
      <c r="FQ4">
        <f>SUMPRODUCT(--('Данные 1st'!$S$2:$S$317=$A4),--ISNUMBER('Данные 1st'!$KM$2:$KM$317))</f>
        <v>3</v>
      </c>
      <c r="FR4">
        <f>SUMPRODUCT(--('Данные 1st'!$S$2:$S$317=$A4),--ISNUMBER('Данные 1st'!$KN$2:$KN$317))</f>
        <v>3</v>
      </c>
      <c r="FS4">
        <f>SUMPRODUCT(--('Данные 1st'!$S$2:$S$317=$A4),--ISNUMBER('Данные 1st'!$KR$2:$KR$317))</f>
        <v>3</v>
      </c>
      <c r="FT4">
        <f>SUMPRODUCT(--('Данные 1st'!$S$2:$S$317=$A4),--ISNUMBER('Данные 1st'!$KS$2:$KS$317))</f>
        <v>3</v>
      </c>
      <c r="FU4">
        <f>SUMPRODUCT(--('Данные 1st'!$S$2:$S$317=$A4),--ISNUMBER('Данные 1st'!$KT$2:$KT$317))</f>
        <v>3</v>
      </c>
      <c r="FV4">
        <f>SUMPRODUCT(--('Данные 1st'!$S$2:$S$317=$A4),--ISNUMBER('Данные 1st'!$KV$2:$KV$317))</f>
        <v>0</v>
      </c>
      <c r="FW4">
        <f>SUMPRODUCT(--('Данные 1st'!$S$2:$S$317=$A4),--ISNUMBER('Данные 1st'!$KW$2:$KW$317))</f>
        <v>0</v>
      </c>
      <c r="FX4">
        <f>SUMPRODUCT(--('Данные 1st'!$S$2:$S$317=$A4),--ISNUMBER('Данные 1st'!$KX$2:$KX$317))</f>
        <v>0</v>
      </c>
      <c r="FY4">
        <f>SUMPRODUCT(--('Данные 1st'!$S$2:$S$317=$A4),--ISNUMBER('Данные 1st'!$KY$2:$KY$317))</f>
        <v>0</v>
      </c>
      <c r="FZ4">
        <f>SUMPRODUCT(--('Данные 1st'!$S$2:$S$317=$A4),--ISNUMBER('Данные 1st'!$KZ$2:$KZ$317))</f>
        <v>0</v>
      </c>
      <c r="GA4">
        <f>SUMPRODUCT(--('Данные 1st'!$S$2:$S$317=$A4),--ISNUMBER('Данные 1st'!$LA$2:$LA$317))</f>
        <v>0</v>
      </c>
      <c r="GB4">
        <f>SUMPRODUCT(--('Данные 1st'!$S$2:$S$317=$A4),--ISNUMBER('Данные 1st'!$LB$2:$LB$317))</f>
        <v>0</v>
      </c>
      <c r="GC4">
        <f>SUMPRODUCT(--('Данные 1st'!$S$2:$S$317=$A4),--ISNUMBER('Данные 1st'!$LC$2:$LC$317))</f>
        <v>0</v>
      </c>
      <c r="GD4">
        <f>SUMPRODUCT(--('Данные 1st'!$S$2:$S$317=$A4),--ISNUMBER('Данные 1st'!$LD$2:$LD$317))</f>
        <v>0</v>
      </c>
      <c r="GE4">
        <f>SUMPRODUCT(--('Данные 1st'!$S$2:$S$317=$A4),--ISNUMBER('Данные 1st'!$LE$2:$LE$317))</f>
        <v>0</v>
      </c>
      <c r="GF4">
        <f>SUMPRODUCT(--('Данные 1st'!$S$2:$S$317=$A4),--ISNUMBER('Данные 1st'!$LF$2:$LF$317))</f>
        <v>0</v>
      </c>
      <c r="GG4">
        <f>SUMPRODUCT(--('Данные 1st'!$S$2:$S$317=$A4),--ISNUMBER('Данные 1st'!$LG$2:$LG$317))</f>
        <v>0</v>
      </c>
      <c r="GH4">
        <f>SUMPRODUCT(--('Данные 1st'!$S$2:$S$317=$A4),--ISNUMBER('Данные 1st'!$LH$2:$LH$317))</f>
        <v>0</v>
      </c>
      <c r="GI4">
        <f>SUMPRODUCT(--('Данные 1st'!$S$2:$S$317=$A4),--ISNUMBER('Данные 1st'!$LI$2:$LI$317))</f>
        <v>0</v>
      </c>
      <c r="GJ4">
        <f>SUMPRODUCT(--('Данные 1st'!$S$2:$S$317=$A4),--ISNUMBER('Данные 1st'!$LJ$2:$LJ$317))</f>
        <v>0</v>
      </c>
      <c r="GK4">
        <f>SUMPRODUCT(--('Данные 1st'!$S$2:$S$317=$A4),--ISNUMBER('Данные 1st'!$LK$2:$LK$317))</f>
        <v>3</v>
      </c>
      <c r="GL4">
        <f>SUMPRODUCT(--('Данные 1st'!$S$2:$S$317=$A4),--ISNUMBER('Данные 1st'!$LV$2:$LV$317))</f>
        <v>0</v>
      </c>
      <c r="GM4">
        <f>SUMPRODUCT(--('Данные 1st'!$S$2:$S$317=$A4),--ISNUMBER('Данные 1st'!$LW$2:$LW$317))</f>
        <v>0</v>
      </c>
      <c r="GN4">
        <f>SUMPRODUCT(--('Данные 1st'!$S$2:$S$317=$A4),--ISNUMBER('Данные 1st'!$LX$2:$LX$317))</f>
        <v>0</v>
      </c>
      <c r="GO4">
        <f>SUMPRODUCT(--('Данные 1st'!$S$2:$S$317=$A4),--ISNUMBER('Данные 1st'!$LY$2:$LY$317))</f>
        <v>0</v>
      </c>
      <c r="GP4">
        <f>SUMPRODUCT(--('Данные 1st'!$S$2:$S$317=$A4),--ISNUMBER('Данные 1st'!$LZ$2:$LZ$317))</f>
        <v>0</v>
      </c>
      <c r="GQ4">
        <f>SUMPRODUCT(--('Данные 1st'!$S$2:$S$317=$A4),--ISNUMBER('Данные 1st'!$PG$2:$PG$317))</f>
        <v>3</v>
      </c>
      <c r="GR4">
        <f>SUMPRODUCT(--('Данные 1st'!$S$2:$S$317=$A4),--ISNUMBER('Данные 1st'!$PX$2:$PX$317))</f>
        <v>3</v>
      </c>
      <c r="GS4">
        <f>SUMPRODUCT(--('Данные 1st'!$S$2:$S$317=$A4),--ISNUMBER('Данные 1st'!$PY$2:$PY$317))</f>
        <v>3</v>
      </c>
      <c r="GT4">
        <f>SUMPRODUCT(--('Данные 1st'!$S$2:$S$317=$A4),--ISNUMBER('Данные 1st'!$QA$2:$QA$317))</f>
        <v>3</v>
      </c>
      <c r="GU4">
        <f>SUMPRODUCT(--('Данные 1st'!$S$2:$S$317=$A4),--ISNUMBER('Данные 1st'!$QB$2:$QB$317))</f>
        <v>3</v>
      </c>
      <c r="GV4">
        <f>SUMPRODUCT(--('Данные 1st'!$S$2:$S$317=$A4),--ISNUMBER('Данные 1st'!$QC$2:$QC$317))</f>
        <v>3</v>
      </c>
      <c r="GW4">
        <f>SUMPRODUCT(--('Данные 1st'!$S$2:$S$317=$A4),--ISNUMBER('Данные 1st'!$QD$2:$QD$317))</f>
        <v>3</v>
      </c>
      <c r="GX4">
        <f>SUMPRODUCT(--('Данные 1st'!$S$2:$S$317=$A4),--ISNUMBER('Данные 1st'!$QF$2:$QF$317))</f>
        <v>3</v>
      </c>
      <c r="GY4">
        <f>SUMPRODUCT(--('Данные 1st'!$S$2:$S$317=$A4),--ISNUMBER('Данные 1st'!$QG$2:$QG$317))</f>
        <v>3</v>
      </c>
      <c r="GZ4">
        <f>SUMPRODUCT(--('Данные 1st'!$S$2:$S$317=$A4),--ISNUMBER('Данные 1st'!$QH$2:$QH$317))</f>
        <v>3</v>
      </c>
      <c r="HA4">
        <f>SUMPRODUCT(--('Данные 1st'!$S$2:$S$317=$A4),--ISNUMBER('Данные 1st'!$QI$2:$QI$317))</f>
        <v>3</v>
      </c>
      <c r="HB4">
        <f>SUMPRODUCT(--('Данные 1st'!$S$2:$S$317=$A4),--ISNUMBER('Данные 1st'!$QK$2:$QK$317))</f>
        <v>0</v>
      </c>
      <c r="HC4">
        <f>SUMPRODUCT(--('Данные 1st'!$S$2:$S$317=$A4),--ISNUMBER('Данные 1st'!$QL$2:$QL$317))</f>
        <v>3</v>
      </c>
      <c r="HD4">
        <f>SUMPRODUCT(--('Данные 1st'!$S$2:$S$317=$A4),--ISNUMBER('Данные 1st'!$QM$2:$QM$317))</f>
        <v>3</v>
      </c>
      <c r="HE4">
        <f>SUMPRODUCT(--('Данные 1st'!$S$2:$S$317=$A4),--ISNUMBER('Данные 1st'!$QN$2:$QN$317))</f>
        <v>3</v>
      </c>
      <c r="HF4">
        <f>SUMPRODUCT(--('Данные 1st'!$S$2:$S$317=$A4),--ISNUMBER('Данные 1st'!$QP$2:$QP$317))</f>
        <v>3</v>
      </c>
      <c r="HG4">
        <f>SUMPRODUCT(--('Данные 1st'!$S$2:$S$317=$A4),--ISNUMBER('Данные 1st'!$QQ$2:$QQ$317))</f>
        <v>3</v>
      </c>
      <c r="HH4">
        <f>SUMPRODUCT(--('Данные 1st'!$S$2:$S$317=$A4),--ISNUMBER('Данные 1st'!$QR$2:$QR$317))</f>
        <v>0</v>
      </c>
      <c r="HI4">
        <f>SUMPRODUCT(--('Данные 1st'!$S$2:$S$317=$A4),--ISNUMBER('Данные 1st'!$QS$2:$QS$317))</f>
        <v>0</v>
      </c>
      <c r="HJ4">
        <f>SUMPRODUCT(--('Данные 1st'!$S$2:$S$317=$A4),--ISNUMBER('Данные 1st'!$QU$2:$QU$317))</f>
        <v>0</v>
      </c>
      <c r="HK4">
        <f>SUMPRODUCT(--('Данные 1st'!$S$2:$S$317=$A4),--ISNUMBER('Данные 1st'!$QV$2:$QV$317))</f>
        <v>0</v>
      </c>
      <c r="HL4">
        <f>SUMPRODUCT(--('Данные 1st'!$S$2:$S$317=$A4),--ISNUMBER('Данные 1st'!$QW$2:$QW$317))</f>
        <v>3</v>
      </c>
      <c r="HM4">
        <f>SUMPRODUCT(--('Данные 1st'!$S$2:$S$317=$A4),--ISNUMBER('Данные 1st'!$QX$2:$QX$317))</f>
        <v>3</v>
      </c>
      <c r="HN4">
        <f>SUMPRODUCT(--('Данные 1st'!$S$2:$S$317=$A4),--ISNUMBER('Данные 1st'!$QZ$2:$QZ$317))</f>
        <v>3</v>
      </c>
      <c r="HO4">
        <f>SUMPRODUCT(--('Данные 1st'!$S$2:$S$317=$A4),--ISNUMBER('Данные 1st'!$RA$2:$RA$317))</f>
        <v>3</v>
      </c>
      <c r="HP4">
        <f>SUMPRODUCT(--('Данные 1st'!$S$2:$S$317=$A4),--ISNUMBER('Данные 1st'!$RB$2:$RB$317))</f>
        <v>3</v>
      </c>
      <c r="HQ4">
        <f>SUMPRODUCT(--('Данные 1st'!$S$2:$S$317=$A4),--ISNUMBER('Данные 1st'!$RD$2:$RD$317))</f>
        <v>0</v>
      </c>
      <c r="HR4">
        <f>SUMPRODUCT(--('Данные 1st'!$S$2:$S$317=$A4),--ISNUMBER('Данные 1st'!$RE$2:$RE$317))</f>
        <v>3</v>
      </c>
      <c r="HS4">
        <f>SUMPRODUCT(--('Данные 1st'!$S$2:$S$317=$A4),--ISNUMBER('Данные 1st'!$RF$2:$RF$317))</f>
        <v>1</v>
      </c>
      <c r="HT4">
        <f>SUMPRODUCT(--('Данные 1st'!$S$2:$S$317=$A4),--ISNUMBER('Данные 1st'!$RG$2:$RG$317))</f>
        <v>2</v>
      </c>
      <c r="HU4">
        <f>SUMPRODUCT(--('Данные 1st'!$S$2:$S$317=$A4),--ISNUMBER('Данные 1st'!$RH$2:$RH$317))</f>
        <v>0</v>
      </c>
      <c r="HV4">
        <f>SUMPRODUCT(--('Данные 1st'!$S$2:$S$317=$A4),--ISNUMBER('Данные 1st'!$RI$2:$RI$317))</f>
        <v>0</v>
      </c>
      <c r="HW4">
        <f>SUMPRODUCT(--('Данные 1st'!$S$2:$S$317=$A4),--ISNUMBER('Данные 1st'!$RJ$2:$RJ$317))</f>
        <v>3</v>
      </c>
      <c r="HX4">
        <f>SUMPRODUCT(--('Данные 1st'!$S$2:$S$317=$A4),--ISNUMBER('Данные 1st'!$RK$2:$RK$317))</f>
        <v>0</v>
      </c>
      <c r="HY4">
        <f>SUMPRODUCT(--('Данные 1st'!$S$2:$S$317=$A4),--ISNUMBER('Данные 1st'!$RL$2:$RL$317))</f>
        <v>3</v>
      </c>
      <c r="HZ4">
        <f>SUMPRODUCT(--('Данные 1st'!$S$2:$S$317=$A4),--ISNUMBER('Данные 1st'!$RM$2:$RM$317))</f>
        <v>0</v>
      </c>
      <c r="IA4">
        <f>SUMPRODUCT(--('Данные 1st'!$S$2:$S$317=$A4),--ISNUMBER('Данные 1st'!$RN$2:$RN$317))</f>
        <v>0</v>
      </c>
      <c r="IB4">
        <f>SUMPRODUCT(--('Данные 1st'!$S$2:$S$317=$A4),--ISNUMBER('Данные 1st'!$RO$2:$RO$317))</f>
        <v>3</v>
      </c>
      <c r="IC4">
        <f>SUMPRODUCT(--('Данные 1st'!$S$2:$S$317=$A4),--ISNUMBER('Данные 1st'!$RP$2:$RP$317))</f>
        <v>0</v>
      </c>
      <c r="ID4">
        <f>SUMPRODUCT(--('Данные 1st'!$S$2:$S$317=$A4),--ISNUMBER('Данные 1st'!$RQ$2:$RQ$317))</f>
        <v>3</v>
      </c>
      <c r="IE4">
        <f>SUMPRODUCT(--('Данные 1st'!$S$2:$S$317=$A4),--ISNUMBER('Данные 1st'!$RR$2:$RR$317))</f>
        <v>0</v>
      </c>
      <c r="IF4">
        <f>SUMPRODUCT(--('Данные 1st'!$S$2:$S$317=$A4),--ISNUMBER('Данные 1st'!$RS$2:$RS$317))</f>
        <v>0</v>
      </c>
      <c r="IG4">
        <f>SUMPRODUCT(--('Данные 1st'!$S$2:$S$317=$A4),--ISNUMBER('Данные 1st'!$RT$2:$RT$317))</f>
        <v>3</v>
      </c>
      <c r="IH4">
        <f>SUMPRODUCT(--('Данные 1st'!$S$2:$S$317=$A4),--ISNUMBER('Данные 1st'!$RU$2:$RU$317))</f>
        <v>3</v>
      </c>
      <c r="II4">
        <f>SUMPRODUCT(--('Данные 1st'!$S$2:$S$317=$A4),--ISNUMBER('Данные 1st'!$RX$2:$RX$317))</f>
        <v>3</v>
      </c>
      <c r="IJ4">
        <f>SUMPRODUCT(--('Данные 1st'!$S$2:$S$317=$A4),--ISNUMBER('Данные 1st'!$RY$2:$RY$317))</f>
        <v>3</v>
      </c>
      <c r="IK4">
        <f>SUMPRODUCT(--('Данные 1st'!$S$2:$S$317=$A4),--ISNUMBER('Данные 1st'!$SA$2:$SA$317))</f>
        <v>3</v>
      </c>
      <c r="IL4">
        <f>SUMPRODUCT(--('Данные 1st'!$S$2:$S$317=$A4),--ISNUMBER('Данные 1st'!$SD$2:$SD$317))</f>
        <v>3</v>
      </c>
      <c r="IM4">
        <f>SUMPRODUCT(--('Данные 1st'!$S$2:$S$317=$A4),--ISNUMBER('Данные 1st'!$SG$2:$SG$317))</f>
        <v>0</v>
      </c>
      <c r="IN4">
        <f>SUMPRODUCT(--('Данные 1st'!$S$2:$S$317=$A4),--ISNUMBER('Данные 1st'!$SH$2:$SH$317))</f>
        <v>3</v>
      </c>
      <c r="IO4">
        <f>SUMPRODUCT(--('Данные 1st'!$S$2:$S$317=$A4),--ISNUMBER('Данные 1st'!$SI$2:$SI$317))</f>
        <v>3</v>
      </c>
      <c r="IP4">
        <f>SUMPRODUCT(--('Данные 1st'!$S$2:$S$317=$A4),--ISNUMBER('Данные 1st'!$SJ$2:$SJ$317))</f>
        <v>3</v>
      </c>
      <c r="IQ4">
        <f>SUMPRODUCT(--('Данные 1st'!$S$2:$S$317=$A4),--ISNUMBER('Данные 1st'!$SK$2:$SK$317))</f>
        <v>3</v>
      </c>
      <c r="IR4">
        <f>SUMPRODUCT(--('Данные 1st'!$S$2:$S$317=$A4),--ISNUMBER('Данные 1st'!$SL$2:$SL$317))</f>
        <v>3</v>
      </c>
      <c r="IS4">
        <f>SUMPRODUCT(--('Данные 1st'!$S$2:$S$317=$A4),--ISNUMBER('Данные 1st'!$SM$2:$SM$317))</f>
        <v>3</v>
      </c>
      <c r="IT4">
        <f>SUMPRODUCT(--('Данные 1st'!$S$2:$S$317=$A4),--ISNUMBER('Данные 1st'!$SN$2:$SN$317))</f>
        <v>3</v>
      </c>
      <c r="IU4">
        <f>SUMPRODUCT(--('Данные 1st'!$S$2:$S$317=$A4),--ISNUMBER('Данные 1st'!$SO$2:$SO$317))</f>
        <v>3</v>
      </c>
      <c r="IV4">
        <f>SUMPRODUCT(--('Данные 1st'!$S$2:$S$317=$A4),--ISNUMBER('Данные 1st'!$SP$2:$SP$317))</f>
        <v>3</v>
      </c>
      <c r="IW4">
        <f>SUMPRODUCT(--('Данные 1st'!$S$2:$S$317=$A4),--ISNUMBER('Данные 1st'!$SQ$2:$SQ$317))</f>
        <v>3</v>
      </c>
      <c r="IX4">
        <f>SUMPRODUCT(--('Данные 1st'!$S$2:$S$317=$A4),--ISNUMBER('Данные 1st'!$SR$2:$SR$317))</f>
        <v>3</v>
      </c>
      <c r="IY4">
        <f>SUMPRODUCT(--('Данные 1st'!$S$2:$S$317=$A4),--ISNUMBER('Данные 1st'!$SS$2:$SS$317))</f>
        <v>3</v>
      </c>
      <c r="IZ4">
        <f>SUMPRODUCT(--('Данные 1st'!$S$2:$S$317=$A4),--ISNUMBER('Данные 1st'!$ST$2:$ST$317))</f>
        <v>3</v>
      </c>
      <c r="JA4">
        <f>SUMPRODUCT(--('Данные 1st'!$S$2:$S$317=$A4),--ISNUMBER('Данные 1st'!$SU$2:$SU$317))</f>
        <v>3</v>
      </c>
      <c r="JB4">
        <f>SUMPRODUCT(--('Данные 1st'!$S$2:$S$317=$A4),--ISNUMBER('Данные 1st'!$SV$2:$SV$317))</f>
        <v>3</v>
      </c>
      <c r="JC4">
        <f>SUMPRODUCT(--('Данные 1st'!$S$2:$S$317=$A4),--ISNUMBER('Данные 1st'!$SW$2:$SW$317))</f>
        <v>3</v>
      </c>
      <c r="JD4">
        <f>SUMPRODUCT(--('Данные 1st'!$S$2:$S$317=$A4),--ISNUMBER('Данные 1st'!$SX$2:$SX$317))</f>
        <v>3</v>
      </c>
      <c r="JE4">
        <f>SUMPRODUCT(--('Данные 1st'!$S$2:$S$317=$A4),--ISNUMBER('Данные 1st'!$SY$2:$SY$317))</f>
        <v>0</v>
      </c>
      <c r="JF4">
        <f>SUMPRODUCT(--('Данные 1st'!$S$2:$S$317=$A4),--ISNUMBER('Данные 1st'!$SZ$2:$SZ$317))</f>
        <v>0</v>
      </c>
      <c r="JG4">
        <f>SUMPRODUCT(--('Данные 1st'!$S$2:$S$317=$A4),--ISNUMBER('Данные 1st'!$TA$2:$TA$317))</f>
        <v>0</v>
      </c>
      <c r="JH4">
        <f>SUMPRODUCT(--('Данные 1st'!$S$2:$S$317=$A4),--ISNUMBER('Данные 1st'!$TB$2:$TB$317))</f>
        <v>3</v>
      </c>
      <c r="JI4">
        <f>SUMPRODUCT(--('Данные 1st'!$S$2:$S$317=$A4),--ISNUMBER('Данные 1st'!$TC$2:$TC$317))</f>
        <v>3</v>
      </c>
      <c r="JJ4">
        <f>SUMPRODUCT(--('Данные 1st'!$S$2:$S$317=$A4),--ISNUMBER('Данные 1st'!$TD$2:$TD$317))</f>
        <v>3</v>
      </c>
      <c r="JK4">
        <f>SUMPRODUCT(--('Данные 1st'!$S$2:$S$317=$A4),--ISNUMBER('Данные 1st'!$TN$2:$TN$317))</f>
        <v>3</v>
      </c>
      <c r="JQ4">
        <f>SUMPRODUCT(--('Данные 2st'!$Q$2:$Q$317=$A4),--ISNUMBER('Данные 2st'!$AC$2:$AC$317))</f>
        <v>3</v>
      </c>
      <c r="JR4">
        <f>SUMPRODUCT(--('Данные 2st'!$Q$2:$Q$317=$A4),--ISNUMBER('Данные 2st'!$AF$2:$AF$317))</f>
        <v>3</v>
      </c>
      <c r="JS4">
        <f>SUMPRODUCT(--('Данные 2st'!$Q$2:$Q$317=$A4),--ISNUMBER('Данные 2st'!$AW$2:$AW$317))</f>
        <v>3</v>
      </c>
      <c r="JT4">
        <f>SUMPRODUCT(--('Данные 2st'!$Q$2:$Q$317=$A4),--ISNUMBER('Данные 2st'!$AX$2:$AX$317))</f>
        <v>3</v>
      </c>
      <c r="JU4">
        <f>SUMPRODUCT(--('Данные 2st'!$Q$2:$Q$317=$A4),--ISNUMBER('Данные 2st'!$AY$2:$AY$317))</f>
        <v>3</v>
      </c>
      <c r="JV4">
        <f>SUMPRODUCT(--('Данные 2st'!$Q$2:$Q$317=$A4),--ISNUMBER('Данные 2st'!$AZ$2:$AZ$317))</f>
        <v>3</v>
      </c>
      <c r="JW4">
        <f>SUMPRODUCT(--('Данные 2st'!$Q$2:$Q$317=$A4),--ISNUMBER('Данные 2st'!$BA$2:$BA$317))</f>
        <v>0</v>
      </c>
      <c r="JX4">
        <f>SUMPRODUCT(--('Данные 2st'!$Q$2:$Q$317=$A4),--ISNUMBER('Данные 2st'!$BB$2:$BB$317))</f>
        <v>0</v>
      </c>
      <c r="JY4">
        <f>SUMPRODUCT(--('Данные 2st'!$Q$2:$Q$317=$A4),--ISNUMBER('Данные 2st'!$BC$2:$BC$317))</f>
        <v>0</v>
      </c>
      <c r="JZ4">
        <f>SUMPRODUCT(--('Данные 2st'!$Q$2:$Q$317=$A4),--ISNUMBER('Данные 2st'!$BH$2:$BH$317))</f>
        <v>3</v>
      </c>
      <c r="KA4">
        <f>SUMPRODUCT(--('Данные 2st'!$Q$2:$Q$317=$A4),--ISNUMBER('Данные 2st'!$BI$2:$BI$317))</f>
        <v>3</v>
      </c>
      <c r="KB4">
        <f>SUMPRODUCT(--('Данные 2st'!$Q$2:$Q$317=$A4),--ISNUMBER('Данные 2st'!$BJ$2:$BJ$317))</f>
        <v>3</v>
      </c>
      <c r="KC4">
        <f>SUMPRODUCT(--('Данные 2st'!$Q$2:$Q$317=$A4),--ISNUMBER('Данные 2st'!$BK$2:$BK$317))</f>
        <v>3</v>
      </c>
      <c r="KD4">
        <f>SUMPRODUCT(--('Данные 2st'!$Q$2:$Q$317=$A4),--ISNUMBER('Данные 2st'!$BL$2:$BL$317))</f>
        <v>3</v>
      </c>
      <c r="KE4">
        <f>SUMPRODUCT(--('Данные 2st'!$Q$2:$Q$317=$A4),--ISNUMBER('Данные 2st'!$BM$2:$BM$317))</f>
        <v>3</v>
      </c>
      <c r="KF4">
        <f>SUMPRODUCT(--('Данные 2st'!$Q$2:$Q$317=$A4),--ISNUMBER('Данные 2st'!$BN$2:$BN$317))</f>
        <v>3</v>
      </c>
      <c r="KG4">
        <f>SUMPRODUCT(--('Данные 2st'!$Q$2:$Q$317=$A4),--ISNUMBER('Данные 2st'!$BO$2:$BO$317))</f>
        <v>1</v>
      </c>
      <c r="KH4">
        <f>SUMPRODUCT(--('Данные 2st'!$Q$2:$Q$317=$A4),--ISNUMBER('Данные 2st'!$BP$2:$BP$317))</f>
        <v>3</v>
      </c>
      <c r="KI4">
        <f>SUMPRODUCT(--('Данные 2st'!$Q$2:$Q$317=$A4),--ISNUMBER('Данные 2st'!$BR$2:$BR$317))</f>
        <v>3</v>
      </c>
      <c r="KJ4">
        <f>SUMPRODUCT(--('Данные 2st'!$Q$2:$Q$317=$A4),--ISNUMBER('Данные 2st'!$BS$2:$BS$317))</f>
        <v>3</v>
      </c>
      <c r="KK4">
        <f>SUMPRODUCT(--('Данные 2st'!$Q$2:$Q$317=$A4),--ISNUMBER('Данные 2st'!$BT$2:$BT$317))</f>
        <v>3</v>
      </c>
      <c r="KL4">
        <f>SUMPRODUCT(--('Данные 2st'!$Q$2:$Q$317=$A4),--ISNUMBER('Данные 2st'!$CV$2:$CV$317))</f>
        <v>3</v>
      </c>
      <c r="KM4">
        <f>SUMPRODUCT(--('Данные 2st'!$Q$2:$Q$317=$A4),--ISNUMBER('Данные 2st'!$CW$2:$CW$317))</f>
        <v>3</v>
      </c>
      <c r="KN4">
        <f>SUMPRODUCT(--('Данные 2st'!$Q$2:$Q$317=$A4),--ISNUMBER('Данные 2st'!$CX$2:$CX$317))</f>
        <v>3</v>
      </c>
      <c r="KO4">
        <f>SUMPRODUCT(--('Данные 2st'!$Q$2:$Q$317=$A4),--ISNUMBER('Данные 2st'!$CY$2:$CY$317))</f>
        <v>3</v>
      </c>
      <c r="KP4">
        <f>SUMPRODUCT(--('Данные 2st'!$Q$2:$Q$317=$A4),--ISNUMBER('Данные 2st'!$CZ$2:$CZ$317))</f>
        <v>3</v>
      </c>
      <c r="KQ4">
        <f>SUMPRODUCT(--('Данные 2st'!$Q$2:$Q$317=$A4),--ISNUMBER('Данные 2st'!$DA$2:$DA$317))</f>
        <v>3</v>
      </c>
      <c r="KR4">
        <f>SUMPRODUCT(--('Данные 2st'!$Q$2:$Q$317=$A4),--ISNUMBER('Данные 2st'!$DB$2:$DB$317))</f>
        <v>3</v>
      </c>
      <c r="KS4">
        <f>SUMPRODUCT(--('Данные 2st'!$Q$2:$Q$317=$A4),--ISNUMBER('Данные 2st'!$DC$2:$DC$317))</f>
        <v>3</v>
      </c>
      <c r="KT4">
        <f>SUMPRODUCT(--('Данные 2st'!$Q$2:$Q$317=$A4),--ISNUMBER('Данные 2st'!$DD$2:$DD$317))</f>
        <v>3</v>
      </c>
      <c r="KU4">
        <f>SUMPRODUCT(--('Данные 2st'!$Q$2:$Q$317=$A4),--ISNUMBER('Данные 2st'!$DE$2:$DE$317))</f>
        <v>3</v>
      </c>
      <c r="KV4">
        <f>SUMPRODUCT(--('Данные 2st'!$Q$2:$Q$317=$A4),--ISNUMBER('Данные 2st'!$DF$2:$DF$317))</f>
        <v>3</v>
      </c>
      <c r="KW4">
        <f>SUMPRODUCT(--('Данные 2st'!$Q$2:$Q$317=$A4),--ISNUMBER('Данные 2st'!$DG$2:$DG$317))</f>
        <v>3</v>
      </c>
      <c r="KX4">
        <f>SUMPRODUCT(--('Данные 2st'!$Q$2:$Q$317=$A4),--ISNUMBER('Данные 2st'!$DH$2:$DH$317))</f>
        <v>0</v>
      </c>
      <c r="KY4">
        <f>SUMPRODUCT(--('Данные 2st'!$Q$2:$Q$317=$A4),--ISNUMBER('Данные 2st'!$DI$2:$DI$317))</f>
        <v>0</v>
      </c>
      <c r="KZ4">
        <f>SUMPRODUCT(--('Данные 2st'!$Q$2:$Q$317=$A4),--ISNUMBER('Данные 2st'!$DK$2:$DK$317))</f>
        <v>3</v>
      </c>
      <c r="LA4">
        <f>SUMPRODUCT(--('Данные 2st'!$Q$2:$Q$317=$A4),--ISNUMBER('Данные 2st'!$DM$2:$DM$317))</f>
        <v>3</v>
      </c>
      <c r="LB4">
        <f>SUMPRODUCT(--('Данные 2st'!$Q$2:$Q$317=$A4),--ISNUMBER('Данные 2st'!$DN$2:$DN$317))</f>
        <v>3</v>
      </c>
      <c r="LC4">
        <f>SUMPRODUCT(--('Данные 2st'!$Q$2:$Q$317=$A4),--ISNUMBER('Данные 2st'!$DO$2:$DO$317))</f>
        <v>3</v>
      </c>
      <c r="LD4">
        <f>SUMPRODUCT(--('Данные 2st'!$Q$2:$Q$317=$A4),--ISNUMBER('Данные 2st'!$DP$2:$DP$317))</f>
        <v>3</v>
      </c>
      <c r="LE4">
        <f>SUMPRODUCT(--('Данные 2st'!$Q$2:$Q$317=$A4),--ISNUMBER('Данные 2st'!$DQ$2:$DQ$317))</f>
        <v>3</v>
      </c>
      <c r="LF4">
        <f>SUMPRODUCT(--('Данные 2st'!$Q$2:$Q$317=$A4),--ISNUMBER('Данные 2st'!$DS$2:$DS$317))</f>
        <v>3</v>
      </c>
      <c r="LG4">
        <f>SUMPRODUCT(--('Данные 2st'!$Q$2:$Q$317=$A4),--ISNUMBER('Данные 2st'!$DU$2:$DU$317))</f>
        <v>3</v>
      </c>
      <c r="LH4">
        <f>SUMPRODUCT(--('Данные 2st'!$Q$2:$Q$317=$A4),--ISNUMBER('Данные 2st'!$DV$2:$DV$317))</f>
        <v>3</v>
      </c>
      <c r="LI4">
        <f>SUMPRODUCT(--('Данные 2st'!$Q$2:$Q$317=$A4),--ISNUMBER('Данные 2st'!$DW$2:$DW$317))</f>
        <v>3</v>
      </c>
      <c r="LJ4">
        <f>SUMPRODUCT(--('Данные 2st'!$Q$2:$Q$317=$A4),--ISNUMBER('Данные 2st'!$DX$2:$DX$317))</f>
        <v>3</v>
      </c>
      <c r="LK4">
        <f>SUMPRODUCT(--('Данные 2st'!$Q$2:$Q$317=$A4),--ISNUMBER('Данные 2st'!$DY$2:$DY$317))</f>
        <v>3</v>
      </c>
      <c r="LL4">
        <f>SUMPRODUCT(--('Данные 2st'!$Q$2:$Q$317=$A4),--ISNUMBER('Данные 2st'!$EA$2:$EA$317))</f>
        <v>3</v>
      </c>
      <c r="LM4">
        <f>SUMPRODUCT(--('Данные 2st'!$Q$2:$Q$317=$A4),--ISNUMBER('Данные 2st'!$EC$2:$EC$317))</f>
        <v>3</v>
      </c>
      <c r="LN4">
        <f>SUMPRODUCT(--('Данные 2st'!$Q$2:$Q$317=$A4),--ISNUMBER('Данные 2st'!$ED$2:$ED$317))</f>
        <v>3</v>
      </c>
      <c r="LO4">
        <f>SUMPRODUCT(--('Данные 2st'!$Q$2:$Q$317=$A4),--ISNUMBER('Данные 2st'!$EE$2:$EE$317))</f>
        <v>3</v>
      </c>
      <c r="LP4">
        <f>SUMPRODUCT(--('Данные 2st'!$Q$2:$Q$317=$A4),--ISNUMBER('Данные 2st'!$EG$2:$EG$317))</f>
        <v>3</v>
      </c>
      <c r="LQ4">
        <f>SUMPRODUCT(--('Данные 2st'!$Q$2:$Q$317=$A4),--ISNUMBER('Данные 2st'!$EI$2:$EI$317))</f>
        <v>3</v>
      </c>
      <c r="LR4">
        <f>SUMPRODUCT(--('Данные 2st'!$Q$2:$Q$317=$A4),--ISNUMBER('Данные 2st'!$EJ$2:$EJ$317))</f>
        <v>3</v>
      </c>
      <c r="LS4">
        <f>SUMPRODUCT(--('Данные 2st'!$Q$2:$Q$317=$A4),--ISNUMBER('Данные 2st'!$EK$2:$EK$317))</f>
        <v>3</v>
      </c>
      <c r="LT4">
        <f>SUMPRODUCT(--('Данные 2st'!$Q$2:$Q$317=$A4),--ISNUMBER('Данные 2st'!$EM$2:$EM$317))</f>
        <v>3</v>
      </c>
      <c r="LU4">
        <f>SUMPRODUCT(--('Данные 2st'!$Q$2:$Q$317=$A4),--ISNUMBER('Данные 2st'!$EN$2:$EN$317))</f>
        <v>3</v>
      </c>
      <c r="LV4">
        <f>SUMPRODUCT(--('Данные 2st'!$Q$2:$Q$317=$A4),--ISNUMBER('Данные 2st'!$EO$2:$EO$317))</f>
        <v>3</v>
      </c>
      <c r="LW4">
        <f>SUMPRODUCT(--('Данные 2st'!$Q$2:$Q$317=$A4),--ISNUMBER('Данные 2st'!$EP$2:$EP$317))</f>
        <v>3</v>
      </c>
      <c r="LX4">
        <f>SUMPRODUCT(--('Данные 2st'!$Q$2:$Q$317=$A4),--ISNUMBER('Данные 2st'!$EQ$2:$EQ$317))</f>
        <v>3</v>
      </c>
      <c r="LY4">
        <f>SUMPRODUCT(--('Данные 2st'!$Q$2:$Q$317=$A4),--ISNUMBER('Данные 2st'!$ER$2:$ER$317))</f>
        <v>3</v>
      </c>
      <c r="LZ4">
        <f>SUMPRODUCT(--('Данные 2st'!$Q$2:$Q$317=$A4),--ISNUMBER('Данные 2st'!$ES$2:$ES$317))</f>
        <v>3</v>
      </c>
      <c r="MA4">
        <f>SUMPRODUCT(--('Данные 2st'!$Q$2:$Q$317=$A4),--ISNUMBER('Данные 2st'!$ET$2:$ET$317))</f>
        <v>3</v>
      </c>
      <c r="MB4">
        <f>SUMPRODUCT(--('Данные 2st'!$Q$2:$Q$317=$A4),--ISNUMBER('Данные 2st'!$EU$2:$EU$317))</f>
        <v>3</v>
      </c>
      <c r="MC4">
        <f>SUMPRODUCT(--('Данные 2st'!$Q$2:$Q$317=$A4),--ISNUMBER('Данные 2st'!$EV$2:$EV$317))</f>
        <v>3</v>
      </c>
      <c r="MD4">
        <f>SUMPRODUCT(--('Данные 2st'!$Q$2:$Q$317=$A4),--ISNUMBER('Данные 2st'!$EW$2:$EW$317))</f>
        <v>3</v>
      </c>
      <c r="ME4">
        <f>SUMPRODUCT(--('Данные 2st'!$Q$2:$Q$317=$A4),--ISNUMBER('Данные 2st'!$EY$2:$EY$317))</f>
        <v>3</v>
      </c>
      <c r="MF4">
        <f>SUMPRODUCT(--('Данные 2st'!$Q$2:$Q$317=$A4),--ISNUMBER('Данные 2st'!$FA$2:$FA$317))</f>
        <v>3</v>
      </c>
      <c r="MG4">
        <f>SUMPRODUCT(--('Данные 2st'!$Q$2:$Q$317=$A4),--ISNUMBER('Данные 2st'!$FB$2:$FB$317))</f>
        <v>3</v>
      </c>
      <c r="MH4">
        <f>SUMPRODUCT(--('Данные 2st'!$Q$2:$Q$317=$A4),--ISNUMBER('Данные 2st'!$FC$2:$FC$317))</f>
        <v>3</v>
      </c>
      <c r="MI4">
        <f>SUMPRODUCT(--('Данные 2st'!$Q$2:$Q$317=$A4),--ISNUMBER('Данные 2st'!$FD$2:$FD$317))</f>
        <v>3</v>
      </c>
      <c r="MJ4">
        <f>SUMPRODUCT(--('Данные 2st'!$Q$2:$Q$317=$A4),--ISNUMBER('Данные 2st'!$FE$2:$FE$317))</f>
        <v>3</v>
      </c>
      <c r="MK4">
        <f>SUMPRODUCT(--('Данные 2st'!$Q$2:$Q$317=$A4),--ISNUMBER('Данные 2st'!$FG$2:$FG$317))</f>
        <v>3</v>
      </c>
      <c r="ML4">
        <f>SUMPRODUCT(--('Данные 2st'!$Q$2:$Q$317=$A4),--ISNUMBER('Данные 2st'!$FI$2:$FI$317))</f>
        <v>3</v>
      </c>
      <c r="MM4">
        <f>SUMPRODUCT(--('Данные 2st'!$Q$2:$Q$317=$A4),--ISNUMBER('Данные 2st'!$FJ$2:$FJ$317))</f>
        <v>3</v>
      </c>
      <c r="MN4">
        <f>SUMPRODUCT(--('Данные 2st'!$Q$2:$Q$317=$A4),--ISNUMBER('Данные 2st'!$FK$2:$FK$317))</f>
        <v>3</v>
      </c>
      <c r="MO4">
        <f>SUMPRODUCT(--('Данные 2st'!$Q$2:$Q$317=$A4),--ISNUMBER('Данные 2st'!$FP$2:$FP$317))</f>
        <v>3</v>
      </c>
      <c r="MP4">
        <f>SUMPRODUCT(--('Данные 2st'!$Q$2:$Q$317=$A4),--ISNUMBER('Данные 2st'!$FQ$2:$FQ$317))</f>
        <v>3</v>
      </c>
      <c r="MQ4">
        <f>SUMPRODUCT(--('Данные 2st'!$Q$2:$Q$317=$A4),--ISNUMBER('Данные 2st'!$FS$2:$FS$317))</f>
        <v>3</v>
      </c>
      <c r="MR4">
        <f>SUMPRODUCT(--('Данные 2st'!$Q$2:$Q$317=$A4),--ISNUMBER('Данные 2st'!$FU$2:$FU$317))</f>
        <v>3</v>
      </c>
      <c r="MS4">
        <f>SUMPRODUCT(--('Данные 2st'!$Q$2:$Q$317=$A4),--ISNUMBER('Данные 2st'!$FV$2:$FV$317))</f>
        <v>3</v>
      </c>
      <c r="MT4">
        <f>SUMPRODUCT(--('Данные 2st'!$Q$2:$Q$317=$A4),--ISNUMBER('Данные 2st'!$FW$2:$FW$317))</f>
        <v>3</v>
      </c>
      <c r="MU4">
        <f>SUMPRODUCT(--('Данные 2st'!$Q$2:$Q$317=$A4),--ISNUMBER('Данные 2st'!$FY$2:$FY$317))</f>
        <v>3</v>
      </c>
      <c r="MV4">
        <f>SUMPRODUCT(--('Данные 2st'!$Q$2:$Q$317=$A4),--ISNUMBER('Данные 2st'!$GB$2:$GB$317))</f>
        <v>3</v>
      </c>
      <c r="MW4">
        <f>SUMPRODUCT(--('Данные 2st'!$Q$2:$Q$317=$A4),--ISNUMBER('Данные 2st'!$GC$2:$GC$317))</f>
        <v>3</v>
      </c>
      <c r="MX4">
        <f>SUMPRODUCT(--('Данные 2st'!$Q$2:$Q$317=$A4),--ISNUMBER('Данные 2st'!$GD$2:$GD$317))</f>
        <v>3</v>
      </c>
      <c r="MY4">
        <f>SUMPRODUCT(--('Данные 2st'!$Q$2:$Q$317=$A4),--ISNUMBER('Данные 2st'!$GN$2:$GN$317))</f>
        <v>0</v>
      </c>
      <c r="MZ4">
        <f>SUMPRODUCT(--('Данные 2st'!$Q$2:$Q$317=$A4),--ISNUMBER('Данные 2st'!$GQ$2:$GQ$317))</f>
        <v>3</v>
      </c>
      <c r="NA4">
        <f>SUMPRODUCT(--('Данные 2st'!$Q$2:$Q$317=$A4),--ISNUMBER('Данные 2st'!$GV$2:$GV$317))</f>
        <v>3</v>
      </c>
      <c r="NB4">
        <f>SUMPRODUCT(--('Данные 2st'!$Q$2:$Q$317=$A4),--ISNUMBER('Данные 2st'!$GW$2:$GW$317))</f>
        <v>3</v>
      </c>
      <c r="NC4">
        <f>SUMPRODUCT(--('Данные 2st'!$Q$2:$Q$317=$A4),--ISNUMBER('Данные 2st'!$GX$2:$GX$317))</f>
        <v>3</v>
      </c>
      <c r="ND4">
        <f>SUMPRODUCT(--('Данные 2st'!$Q$2:$Q$317=$A4),--ISNUMBER('Данные 2st'!$GY$2:$GY$317))</f>
        <v>3</v>
      </c>
      <c r="NE4">
        <f>SUMPRODUCT(--('Данные 2st'!$Q$2:$Q$317=$A4),--ISNUMBER('Данные 2st'!$GZ$2:$GZ$317))</f>
        <v>3</v>
      </c>
      <c r="NF4">
        <f>SUMPRODUCT(--('Данные 2st'!$Q$2:$Q$317=$A4),--ISNUMBER('Данные 2st'!$HA$2:$HA$317))</f>
        <v>3</v>
      </c>
      <c r="NG4">
        <f>SUMPRODUCT(--('Данные 2st'!$Q$2:$Q$317=$A4),--ISNUMBER('Данные 2st'!$HB$2:$HB$317))</f>
        <v>3</v>
      </c>
      <c r="NH4">
        <f>SUMPRODUCT(--('Данные 2st'!$Q$2:$Q$317=$A4),--ISNUMBER('Данные 2st'!$HC$2:$HC$317))</f>
        <v>3</v>
      </c>
      <c r="NI4">
        <f>SUMPRODUCT(--('Данные 2st'!$Q$2:$Q$317=$A4),--ISNUMBER('Данные 2st'!$HD$2:$HD$317))</f>
        <v>3</v>
      </c>
      <c r="NJ4">
        <f>SUMPRODUCT(--('Данные 2st'!$Q$2:$Q$317=$A4),--ISNUMBER('Данные 2st'!$HM$2:$HM$317))</f>
        <v>3</v>
      </c>
      <c r="NK4">
        <f>SUMPRODUCT(--('Данные 2st'!$Q$2:$Q$317=$A4),--ISNUMBER('Данные 2st'!$HR$2:$HR$317))</f>
        <v>3</v>
      </c>
      <c r="NL4">
        <f>SUMPRODUCT(--('Данные 2st'!$Q$2:$Q$317=$A4),--ISNUMBER('Данные 2st'!$HS$2:$HS$317))</f>
        <v>3</v>
      </c>
      <c r="NM4">
        <f>SUMPRODUCT(--('Данные 2st'!$Q$2:$Q$317=$A4),--ISNUMBER('Данные 2st'!$HT$2:$HT$317))</f>
        <v>3</v>
      </c>
      <c r="NN4">
        <f>SUMPRODUCT(--('Данные 2st'!$Q$2:$Q$317=$A4),--ISNUMBER('Данные 2st'!$HY$2:$HY$317))</f>
        <v>3</v>
      </c>
      <c r="NO4">
        <f>SUMPRODUCT(--('Данные 2st'!$Q$2:$Q$317=$A4),--ISNUMBER('Данные 2st'!$HZ$2:$HZ$317))</f>
        <v>3</v>
      </c>
      <c r="NP4">
        <f>SUMPRODUCT(--('Данные 2st'!$Q$2:$Q$317=$A4),--ISNUMBER('Данные 2st'!$IA$2:$IA$317))</f>
        <v>3</v>
      </c>
      <c r="NQ4">
        <f>SUMPRODUCT(--('Данные 2st'!$Q$2:$Q$317=$A4),--ISNUMBER('Данные 2st'!$IB$2:$IB$317))</f>
        <v>3</v>
      </c>
      <c r="NR4">
        <f>SUMPRODUCT(--('Данные 2st'!$Q$2:$Q$317=$A4),--ISNUMBER('Данные 2st'!$IC$2:$IC$317))</f>
        <v>0</v>
      </c>
      <c r="NS4">
        <f>SUMPRODUCT(--('Данные 2st'!$Q$2:$Q$317=$A4),--ISNUMBER('Данные 2st'!$ID$2:$ID$317))</f>
        <v>3</v>
      </c>
      <c r="NT4">
        <f>SUMPRODUCT(--('Данные 2st'!$Q$2:$Q$317=$A4),--ISNUMBER('Данные 2st'!$IE$2:$IE$317))</f>
        <v>3</v>
      </c>
      <c r="NU4">
        <f>SUMPRODUCT(--('Данные 2st'!$Q$2:$Q$317=$A4),--ISNUMBER('Данные 2st'!$IF$2:$IF$317))</f>
        <v>3</v>
      </c>
      <c r="NV4">
        <f>SUMPRODUCT(--('Данные 2st'!$Q$2:$Q$317=$A4),--ISNUMBER('Данные 2st'!$IG$2:$IG$317))</f>
        <v>3</v>
      </c>
      <c r="NW4">
        <f>SUMPRODUCT(--('Данные 2st'!$Q$2:$Q$317=$A4),--ISNUMBER('Данные 2st'!$IH$2:$IH$317))</f>
        <v>3</v>
      </c>
      <c r="NX4">
        <f>SUMPRODUCT(--('Данные 2st'!$Q$2:$Q$317=$A4),--ISNUMBER('Данные 2st'!$IJ$2:$IJ$317))</f>
        <v>3</v>
      </c>
      <c r="NY4">
        <f>SUMPRODUCT(--('Данные 2st'!$Q$2:$Q$317=$A4),--ISNUMBER('Данные 2st'!$IM$2:$IM$317))</f>
        <v>3</v>
      </c>
      <c r="NZ4">
        <f>SUMPRODUCT(--('Данные 2st'!$Q$2:$Q$317=$A4),--ISNUMBER('Данные 2st'!$IN$2:$IN$317))</f>
        <v>3</v>
      </c>
      <c r="OA4">
        <f>SUMPRODUCT(--('Данные 2st'!$Q$2:$Q$317=$A4),--ISNUMBER('Данные 2st'!$IO$2:$IO$317))</f>
        <v>3</v>
      </c>
      <c r="OB4">
        <f>SUMPRODUCT(--('Данные 2st'!$Q$2:$Q$317=$A4),--ISNUMBER('Данные 2st'!$IP$2:$IP$317))</f>
        <v>3</v>
      </c>
      <c r="OC4">
        <f>SUMPRODUCT(--('Данные 2st'!$Q$2:$Q$317=$A4),--ISNUMBER('Данные 2st'!$IQ$2:$IQ$317))</f>
        <v>3</v>
      </c>
      <c r="OD4">
        <f>SUMPRODUCT(--('Данные 2st'!$Q$2:$Q$317=$A4),--ISNUMBER('Данные 2st'!$IR$2:$IR$317))</f>
        <v>3</v>
      </c>
      <c r="OE4">
        <f>SUMPRODUCT(--('Данные 2st'!$Q$2:$Q$317=$A4),--ISNUMBER('Данные 2st'!$IT$2:$IT$317))</f>
        <v>3</v>
      </c>
      <c r="OF4">
        <f>SUMPRODUCT(--('Данные 2st'!$Q$2:$Q$317=$A4),--ISNUMBER('Данные 2st'!$IU$2:$IU$317))</f>
        <v>3</v>
      </c>
      <c r="OG4">
        <f>SUMPRODUCT(--('Данные 2st'!$Q$2:$Q$317=$A4),--ISNUMBER('Данные 2st'!$IV$2:$IV$317))</f>
        <v>3</v>
      </c>
      <c r="OH4">
        <f>SUMPRODUCT(--('Данные 2st'!$Q$2:$Q$317=$A4),--ISNUMBER('Данные 2st'!$IW$2:$IW$317))</f>
        <v>3</v>
      </c>
      <c r="OI4">
        <f>SUMPRODUCT(--('Данные 2st'!$Q$2:$Q$317=$A4),--ISNUMBER('Данные 2st'!$IX$2:$IX$317))</f>
        <v>3</v>
      </c>
      <c r="OJ4">
        <f>SUMPRODUCT(--('Данные 2st'!$Q$2:$Q$317=$A4),--ISNUMBER('Данные 2st'!$IY$2:$IY$317))</f>
        <v>3</v>
      </c>
      <c r="OK4">
        <f>SUMPRODUCT(--('Данные 2st'!$Q$2:$Q$317=$A4),--ISNUMBER('Данные 2st'!$IZ$2:$IZ$317))</f>
        <v>3</v>
      </c>
      <c r="OL4">
        <f>SUMPRODUCT(--('Данные 2st'!$Q$2:$Q$317=$A4),--ISNUMBER('Данные 2st'!$JA$2:$JA$317))</f>
        <v>3</v>
      </c>
      <c r="OM4">
        <f>SUMPRODUCT(--('Данные 2st'!$Q$2:$Q$317=$A4),--ISNUMBER('Данные 2st'!$JB$2:$JB$317))</f>
        <v>3</v>
      </c>
      <c r="ON4">
        <f>SUMPRODUCT(--('Данные 2st'!$Q$2:$Q$317=$A4),--ISNUMBER('Данные 2st'!$JC$2:$JC$317))</f>
        <v>3</v>
      </c>
      <c r="OO4">
        <f>SUMPRODUCT(--('Данные 2st'!$Q$2:$Q$317=$A4),--ISNUMBER('Данные 2st'!$JD$2:$JD$317))</f>
        <v>3</v>
      </c>
      <c r="OP4">
        <f>SUMPRODUCT(--('Данные 2st'!$Q$2:$Q$317=$A4),--ISNUMBER('Данные 2st'!$JE$2:$JE$317))</f>
        <v>3</v>
      </c>
      <c r="OQ4">
        <f>SUMPRODUCT(--('Данные 2st'!$Q$2:$Q$317=$A4),--ISNUMBER('Данные 2st'!$JF$2:$JF$317))</f>
        <v>3</v>
      </c>
      <c r="OR4">
        <f>SUMPRODUCT(--('Данные 2st'!$Q$2:$Q$317=$A4),--ISNUMBER('Данные 2st'!$JG$2:$JG$317))</f>
        <v>3</v>
      </c>
      <c r="OS4">
        <f>SUMPRODUCT(--('Данные 2st'!$Q$2:$Q$317=$A4),--ISNUMBER('Данные 2st'!$JH$2:$JH$317))</f>
        <v>3</v>
      </c>
      <c r="OT4">
        <f>SUMPRODUCT(--('Данные 2st'!$Q$2:$Q$317=$A4),--ISNUMBER('Данные 2st'!$JI$2:$JI$317))</f>
        <v>3</v>
      </c>
      <c r="OU4">
        <f>SUMPRODUCT(--('Данные 2st'!$Q$2:$Q$317=$A4),--ISNUMBER('Данные 2st'!$JJ$2:$JJ$317))</f>
        <v>3</v>
      </c>
      <c r="OV4">
        <f>SUMPRODUCT(--('Данные 2st'!$Q$2:$Q$317=$A4),--ISNUMBER('Данные 2st'!$JK$2:$JK$317))</f>
        <v>3</v>
      </c>
      <c r="OW4">
        <f>SUMPRODUCT(--('Данные 2st'!$Q$2:$Q$317=$A4),--ISNUMBER('Данные 2st'!$JL$2:$JL$317))</f>
        <v>3</v>
      </c>
      <c r="OX4">
        <f>SUMPRODUCT(--('Данные 2st'!$Q$2:$Q$317=$A4),--ISNUMBER('Данные 2st'!$JM$2:$JM$317))</f>
        <v>3</v>
      </c>
      <c r="OY4">
        <f>SUMPRODUCT(--('Данные 2st'!$Q$2:$Q$317=$A4),--ISNUMBER('Данные 2st'!$JP$2:$JP$317))</f>
        <v>3</v>
      </c>
      <c r="OZ4">
        <f>SUMPRODUCT(--('Данные 2st'!$Q$2:$Q$317=$A4),--ISNUMBER('Данные 2st'!$JQ$2:$JQ$317))</f>
        <v>3</v>
      </c>
      <c r="PA4">
        <f>SUMPRODUCT(--('Данные 2st'!$Q$2:$Q$317=$A4),--ISNUMBER('Данные 2st'!$JR$2:$JR$317))</f>
        <v>3</v>
      </c>
      <c r="PB4">
        <f>SUMPRODUCT(--('Данные 2st'!$Q$2:$Q$317=$A4),--ISNUMBER('Данные 2st'!$JS$2:$JS$317))</f>
        <v>3</v>
      </c>
      <c r="PC4">
        <f>SUMPRODUCT(--('Данные 2st'!$Q$2:$Q$317=$A4),--ISNUMBER('Данные 2st'!$JT$2:$JT$317))</f>
        <v>3</v>
      </c>
      <c r="PD4">
        <f>SUMPRODUCT(--('Данные 2st'!$Q$2:$Q$317=$A4),--ISNUMBER('Данные 2st'!$JU$2:$JU$317))</f>
        <v>3</v>
      </c>
      <c r="PE4">
        <f>SUMPRODUCT(--('Данные 2st'!$Q$2:$Q$317=$A4),--ISNUMBER('Данные 2st'!$JV$2:$JV$317))</f>
        <v>3</v>
      </c>
      <c r="PF4">
        <f>SUMPRODUCT(--('Данные 2st'!$Q$2:$Q$317=$A4),--ISNUMBER('Данные 2st'!$JW$2:$JW$317))</f>
        <v>3</v>
      </c>
      <c r="PG4">
        <f>SUMPRODUCT(--('Данные 2st'!$Q$2:$Q$317=$A4),--ISNUMBER('Данные 2st'!$KF$2:$KF$317))</f>
        <v>3</v>
      </c>
      <c r="PH4">
        <f>SUMPRODUCT(--('Данные 2st'!$Q$2:$Q$317=$A4),--ISNUMBER('Данные 2st'!$KG$2:$KG$317))</f>
        <v>3</v>
      </c>
      <c r="PI4">
        <f>SUMPRODUCT(--('Данные 2st'!$Q$2:$Q$317=$A4),--ISNUMBER('Данные 2st'!$KM$2:$KM$317))</f>
        <v>3</v>
      </c>
      <c r="PJ4">
        <f>SUMPRODUCT(--('Данные 2st'!$Q$2:$Q$317=$A4),--ISNUMBER('Данные 2st'!$KN$2:$KN$317))</f>
        <v>3</v>
      </c>
      <c r="PK4">
        <f>SUMPRODUCT(--('Данные 2st'!$Q$2:$Q$317=$A4),--ISNUMBER('Данные 2st'!$KO$2:$KO$317))</f>
        <v>3</v>
      </c>
      <c r="PL4">
        <f>SUMPRODUCT(--('Данные 2st'!$Q$2:$Q$317=$A4),--ISNUMBER('Данные 2st'!$KP$2:$KP$317))</f>
        <v>3</v>
      </c>
      <c r="PM4">
        <f>SUMPRODUCT(--('Данные 2st'!$Q$2:$Q$317=$A4),--ISNUMBER('Данные 2st'!$KQ$2:$KQ$317))</f>
        <v>3</v>
      </c>
      <c r="PN4">
        <f>SUMPRODUCT(--('Данные 2st'!$Q$2:$Q$317=$A4),--ISNUMBER('Данные 2st'!$KR$2:$KR$317))</f>
        <v>3</v>
      </c>
      <c r="PO4">
        <f>SUMPRODUCT(--('Данные 2st'!$Q$2:$Q$317=$A4),--ISNUMBER('Данные 2st'!$KS$2:$KS$317))</f>
        <v>3</v>
      </c>
      <c r="PP4">
        <f>SUMPRODUCT(--('Данные 2st'!$Q$2:$Q$317=$A4),--ISNUMBER('Данные 2st'!$KT$2:$KT$317))</f>
        <v>3</v>
      </c>
      <c r="PQ4">
        <f>SUMPRODUCT(--('Данные 2st'!$Q$2:$Q$317=$A4),--ISNUMBER('Данные 2st'!$KU$2:$KU$317))</f>
        <v>3</v>
      </c>
      <c r="PR4">
        <f>SUMPRODUCT(--('Данные 2st'!$Q$2:$Q$317=$A4),--ISNUMBER('Данные 2st'!$KV$2:$KV$317))</f>
        <v>3</v>
      </c>
      <c r="PS4">
        <f>SUMPRODUCT(--('Данные 2st'!$Q$2:$Q$317=$A4),--ISNUMBER('Данные 2st'!$KW$2:$KW$317))</f>
        <v>3</v>
      </c>
      <c r="PT4">
        <f>SUMPRODUCT(--('Данные 2st'!$Q$2:$Q$317=$A4),--ISNUMBER('Данные 2st'!$KX$2:$KX$317))</f>
        <v>3</v>
      </c>
      <c r="PU4">
        <f>SUMPRODUCT(--('Данные 2st'!$Q$2:$Q$317=$A4),--ISNUMBER('Данные 2st'!$KY$2:$KY$317))</f>
        <v>3</v>
      </c>
      <c r="PV4">
        <f>SUMPRODUCT(--('Данные 2st'!$Q$2:$Q$317=$A4),--ISNUMBER('Данные 2st'!$KZ$2:$KZ$317))</f>
        <v>3</v>
      </c>
      <c r="PW4">
        <f>SUMPRODUCT(--('Данные 2st'!$Q$2:$Q$317=$A4),--ISNUMBER('Данные 2st'!$LA$2:$LA$317))</f>
        <v>3</v>
      </c>
      <c r="PX4">
        <f>SUMPRODUCT(--('Данные 2st'!$Q$2:$Q$317=$A4),--ISNUMBER('Данные 2st'!$LB$2:$LB$317))</f>
        <v>3</v>
      </c>
      <c r="PY4">
        <f>SUMPRODUCT(--('Данные 2st'!$Q$2:$Q$317=$A4),--ISNUMBER('Данные 2st'!$LC$2:$LC$317))</f>
        <v>3</v>
      </c>
      <c r="PZ4">
        <f>SUMPRODUCT(--('Данные 2st'!$Q$2:$Q$317=$A4),--ISNUMBER('Данные 2st'!$LD$2:$LD$317))</f>
        <v>3</v>
      </c>
      <c r="QA4">
        <f>SUMPRODUCT(--('Данные 2st'!$Q$2:$Q$317=$A4),--ISNUMBER('Данные 2st'!$LE$2:$LE$317))</f>
        <v>3</v>
      </c>
      <c r="QB4">
        <f>SUMPRODUCT(--('Данные 2st'!$Q$2:$Q$317=$A4),--ISNUMBER('Данные 2st'!$LF$2:$LF$317))</f>
        <v>3</v>
      </c>
      <c r="QC4">
        <f>SUMPRODUCT(--('Данные 2st'!$Q$2:$Q$317=$A4),--ISNUMBER('Данные 2st'!$LG$2:$LG$317))</f>
        <v>3</v>
      </c>
      <c r="QD4">
        <f>SUMPRODUCT(--('Данные 2st'!$Q$2:$Q$317=$A4),--ISNUMBER('Данные 2st'!$LH$2:$LH$317))</f>
        <v>3</v>
      </c>
      <c r="QE4">
        <f>SUMPRODUCT(--('Данные 2st'!$Q$2:$Q$317=$A4),--ISNUMBER('Данные 2st'!$LJ$2:$LJ$317))</f>
        <v>3</v>
      </c>
      <c r="QF4">
        <f>SUMPRODUCT(--('Данные 2st'!$Q$2:$Q$317=$A4),--ISNUMBER('Данные 2st'!$LK$2:$LK$317))</f>
        <v>3</v>
      </c>
      <c r="QG4">
        <f>SUMPRODUCT(--('Данные 2st'!$Q$2:$Q$317=$A4),--ISNUMBER('Данные 2st'!$LL$2:$LL$317))</f>
        <v>3</v>
      </c>
      <c r="QH4">
        <f>SUMPRODUCT(--('Данные 2st'!$Q$2:$Q$317=$A4),--ISNUMBER('Данные 2st'!$LM$2:$LM$317))</f>
        <v>3</v>
      </c>
      <c r="QI4">
        <f>SUMPRODUCT(--('Данные 2st'!$Q$2:$Q$317=$A4),--ISNUMBER('Данные 2st'!$LN$2:$LN$317))</f>
        <v>3</v>
      </c>
      <c r="QJ4">
        <f>SUMPRODUCT(--('Данные 2st'!$Q$2:$Q$317=$A4),--ISNUMBER('Данные 2st'!$LO$2:$LO$317))</f>
        <v>3</v>
      </c>
      <c r="QK4">
        <f>SUMPRODUCT(--('Данные 2st'!$Q$2:$Q$317=$A4),--ISNUMBER('Данные 2st'!$LP$2:$LP$317))</f>
        <v>3</v>
      </c>
      <c r="QL4">
        <f>SUMPRODUCT(--('Данные 2st'!$Q$2:$Q$317=$A4),--ISNUMBER('Данные 2st'!$LQ$2:$LQ$317))</f>
        <v>3</v>
      </c>
      <c r="QM4">
        <f>SUMPRODUCT(--('Данные 2st'!$Q$2:$Q$317=$A4),--ISNUMBER('Данные 2st'!$LW$2:$LW$317))</f>
        <v>3</v>
      </c>
      <c r="QN4">
        <f>SUMPRODUCT(--('Данные 2st'!$Q$2:$Q$317=$A4),--ISNUMBER('Данные 2st'!$LX$2:$LX$317))</f>
        <v>3</v>
      </c>
      <c r="QO4">
        <f>SUMPRODUCT(--('Данные 2st'!$Q$2:$Q$317=$A4),--ISNUMBER('Данные 2st'!$LY$2:$LY$317))</f>
        <v>3</v>
      </c>
      <c r="QP4">
        <f>SUMPRODUCT(--('Данные 2st'!$Q$2:$Q$317=$A4),--ISNUMBER('Данные 2st'!$LZ$2:$LZ$317))</f>
        <v>3</v>
      </c>
      <c r="QQ4">
        <f>SUMPRODUCT(--('Данные 2st'!$Q$2:$Q$317=$A4),--ISNUMBER('Данные 2st'!$MB$2:$MB$317))</f>
        <v>3</v>
      </c>
      <c r="QR4">
        <f>SUMPRODUCT(--('Данные 2st'!$Q$2:$Q$317=$A4),--ISNUMBER('Данные 2st'!$MG$2:$MG$317))</f>
        <v>1</v>
      </c>
      <c r="QS4">
        <f>SUMPRODUCT(--('Данные 2st'!$Q$2:$Q$317=$A4),--ISNUMBER('Данные 2st'!$MH$2:$MH$317))</f>
        <v>1</v>
      </c>
      <c r="QT4">
        <f>SUMPRODUCT(--('Данные 2st'!$Q$2:$Q$317=$A4),--ISNUMBER('Данные 2st'!$MI$2:$MI$317))</f>
        <v>3</v>
      </c>
      <c r="QU4">
        <f>SUMPRODUCT(--('Данные 2st'!$Q$2:$Q$317=$A4),--ISNUMBER('Данные 2st'!$MJ$2:$MJ$317))</f>
        <v>3</v>
      </c>
      <c r="QV4">
        <f>SUMPRODUCT(--('Данные 2st'!$Q$2:$Q$317=$A4),--ISNUMBER('Данные 2st'!$MK$2:$MK$317))</f>
        <v>0</v>
      </c>
      <c r="QW4">
        <f>SUMPRODUCT(--('Данные 2st'!$Q$2:$Q$317=$A4),--ISNUMBER('Данные 2st'!$MM$2:$MM$317))</f>
        <v>3</v>
      </c>
      <c r="QX4">
        <f>SUMPRODUCT(--('Данные 2st'!$Q$2:$Q$317=$A4),--ISNUMBER('Данные 2st'!$MQ$2:$MQ$317))</f>
        <v>0</v>
      </c>
      <c r="QY4">
        <f>SUMPRODUCT(--('Данные 2st'!$Q$2:$Q$317=$A4),--ISNUMBER('Данные 2st'!$MR$2:$MR$317))</f>
        <v>0</v>
      </c>
      <c r="QZ4">
        <f>SUMPRODUCT(--('Данные 2st'!$Q$2:$Q$317=$A4),--ISNUMBER('Данные 2st'!$MS$2:$MS$317))</f>
        <v>0</v>
      </c>
      <c r="RA4">
        <f>SUMPRODUCT(--('Данные 2st'!$Q$2:$Q$317=$A4),--ISNUMBER('Данные 2st'!$MT$2:$MT$317))</f>
        <v>0</v>
      </c>
      <c r="RB4">
        <f>SUMPRODUCT(--('Данные 2st'!$Q$2:$Q$317=$A4),--ISNUMBER('Данные 2st'!$MU$2:$MU$317))</f>
        <v>0</v>
      </c>
      <c r="RC4">
        <f>SUMPRODUCT(--('Данные 2st'!$Q$2:$Q$317=$A4),--ISNUMBER('Данные 2st'!$MV$2:$MV$317))</f>
        <v>0</v>
      </c>
      <c r="RD4">
        <f>SUMPRODUCT(--('Данные 2st'!$Q$2:$Q$317=$A4),--ISNUMBER('Данные 2st'!$MW$2:$MW$317))</f>
        <v>0</v>
      </c>
      <c r="RE4">
        <f>SUMPRODUCT(--('Данные 2st'!$Q$2:$Q$317=$A4),--ISNUMBER('Данные 2st'!$MX$2:$MX$317))</f>
        <v>0</v>
      </c>
      <c r="RF4">
        <f>SUMPRODUCT(--('Данные 2st'!$Q$2:$Q$317=$A4),--ISNUMBER('Данные 2st'!$MY$2:$MY$317))</f>
        <v>0</v>
      </c>
      <c r="RG4">
        <f>SUMPRODUCT(--('Данные 2st'!$Q$2:$Q$317=$A4),--ISNUMBER('Данные 2st'!$MZ$2:$MZ$317))</f>
        <v>0</v>
      </c>
      <c r="RH4">
        <f>SUMPRODUCT(--('Данные 2st'!$Q$2:$Q$317=$A4),--ISNUMBER('Данные 2st'!$NA$2:$NA$317))</f>
        <v>0</v>
      </c>
      <c r="RI4">
        <f>SUMPRODUCT(--('Данные 2st'!$Q$2:$Q$317=$A4),--ISNUMBER('Данные 2st'!$NB$2:$NB$317))</f>
        <v>0</v>
      </c>
      <c r="RJ4">
        <f>SUMPRODUCT(--('Данные 2st'!$Q$2:$Q$317=$A4),--ISNUMBER('Данные 2st'!$NC$2:$NC$317))</f>
        <v>0</v>
      </c>
      <c r="RK4">
        <f>SUMPRODUCT(--('Данные 2st'!$Q$2:$Q$317=$A4),--ISNUMBER('Данные 2st'!$ND$2:$ND$317))</f>
        <v>0</v>
      </c>
      <c r="RL4">
        <f>SUMPRODUCT(--('Данные 2st'!$Q$2:$Q$317=$A4),--ISNUMBER('Данные 2st'!$NE$2:$NE$317))</f>
        <v>0</v>
      </c>
      <c r="RM4">
        <f>SUMPRODUCT(--('Данные 2st'!$Q$2:$Q$317=$A4),--ISNUMBER('Данные 2st'!$NF$2:$NF$317))</f>
        <v>0</v>
      </c>
      <c r="RN4">
        <f>SUMPRODUCT(--('Данные 2st'!$Q$2:$Q$317=$A4),--ISNUMBER('Данные 2st'!$NG$2:$NG$317))</f>
        <v>0</v>
      </c>
      <c r="RO4">
        <f>SUMPRODUCT(--('Данные 2st'!$Q$2:$Q$317=$A4),--ISNUMBER('Данные 2st'!$NH$2:$NH$317))</f>
        <v>2</v>
      </c>
      <c r="RP4">
        <f>SUMPRODUCT(--('Данные 2st'!$Q$2:$Q$317=$A4),--ISNUMBER('Данные 2st'!$NJ$2:$NJ$317))</f>
        <v>2</v>
      </c>
      <c r="RQ4">
        <f>SUMPRODUCT(--('Данные 2st'!$Q$2:$Q$317=$A4),--ISNUMBER('Данные 2st'!$NK$2:$NK$317))</f>
        <v>2</v>
      </c>
      <c r="RR4">
        <f>SUMPRODUCT(--('Данные 2st'!$Q$2:$Q$317=$A4),--ISNUMBER('Данные 2st'!$NM$2:$NM$317))</f>
        <v>2</v>
      </c>
      <c r="RS4">
        <f>SUMPRODUCT(--('Данные 2st'!$Q$2:$Q$317=$A4),--ISNUMBER('Данные 2st'!$NN$2:$NN$317))</f>
        <v>0</v>
      </c>
      <c r="RT4">
        <f>SUMPRODUCT(--('Данные 2st'!$Q$2:$Q$317=$A4),--ISNUMBER('Данные 2st'!$NO$2:$NO$317))</f>
        <v>0</v>
      </c>
      <c r="RU4">
        <f>SUMPRODUCT(--('Данные 2st'!$Q$2:$Q$317=$A4),--ISNUMBER('Данные 2st'!$NP$2:$NP$317))</f>
        <v>0</v>
      </c>
      <c r="RV4">
        <f>SUMPRODUCT(--('Данные 2st'!$Q$2:$Q$317=$A4),--ISNUMBER('Данные 2st'!$NQ$2:$NQ$317))</f>
        <v>0</v>
      </c>
      <c r="RW4">
        <f>SUMPRODUCT(--('Данные 2st'!$Q$2:$Q$317=$A4),--ISNUMBER('Данные 2st'!$NR$2:$NR$317))</f>
        <v>0</v>
      </c>
      <c r="RX4">
        <f>SUMPRODUCT(--('Данные 2st'!$Q$2:$Q$317=$A4),--ISNUMBER('Данные 2st'!$NS$2:$NS$317))</f>
        <v>0</v>
      </c>
      <c r="RY4">
        <f>SUMPRODUCT(--('Данные 2st'!$Q$2:$Q$317=$A4),--ISNUMBER('Данные 2st'!$NT$2:$NT$317))</f>
        <v>0</v>
      </c>
      <c r="RZ4">
        <f>SUMPRODUCT(--('Данные 2st'!$Q$2:$Q$317=$A4),--ISNUMBER('Данные 2st'!$OK$2:$OK$317))</f>
        <v>3</v>
      </c>
      <c r="SA4">
        <f>SUMPRODUCT(--('Данные 2st'!$Q$2:$Q$317=$A4),--ISNUMBER('Данные 2st'!$OL$2:$OL$317))</f>
        <v>3</v>
      </c>
      <c r="SB4">
        <f>SUMPRODUCT(--('Данные 2st'!$Q$2:$Q$317=$A4),--ISNUMBER('Данные 2st'!$ON$2:$ON$317))</f>
        <v>3</v>
      </c>
      <c r="SC4">
        <f>SUMPRODUCT(--('Данные 2st'!$Q$2:$Q$317=$A4),--ISNUMBER('Данные 2st'!$OO$2:$OO$317))</f>
        <v>3</v>
      </c>
      <c r="SD4">
        <f>SUMPRODUCT(--('Данные 2st'!$Q$2:$Q$317=$A4),--ISNUMBER('Данные 2st'!$OP$2:$OP$317))</f>
        <v>3</v>
      </c>
      <c r="SE4">
        <f>SUMPRODUCT(--('Данные 2st'!$Q$2:$Q$317=$A4),--ISNUMBER('Данные 2st'!$OQ$2:$OQ$317))</f>
        <v>3</v>
      </c>
      <c r="SF4">
        <f>SUMPRODUCT(--('Данные 2st'!$Q$2:$Q$317=$A4),--ISNUMBER('Данные 2st'!$OS$2:$OS$317))</f>
        <v>3</v>
      </c>
      <c r="SG4">
        <f>SUMPRODUCT(--('Данные 2st'!$Q$2:$Q$317=$A4),--ISNUMBER('Данные 2st'!$OT$2:$OT$317))</f>
        <v>3</v>
      </c>
      <c r="SH4">
        <f>SUMPRODUCT(--('Данные 2st'!$Q$2:$Q$317=$A4),--ISNUMBER('Данные 2st'!$OU$2:$OU$317))</f>
        <v>3</v>
      </c>
      <c r="SI4">
        <f>SUMPRODUCT(--('Данные 2st'!$Q$2:$Q$317=$A4),--ISNUMBER('Данные 2st'!$OV$2:$OV$317))</f>
        <v>3</v>
      </c>
      <c r="SJ4">
        <f>SUMPRODUCT(--('Данные 2st'!$Q$2:$Q$317=$A4),--ISNUMBER('Данные 2st'!$OX$2:$OX$317))</f>
        <v>3</v>
      </c>
      <c r="SK4">
        <f>SUMPRODUCT(--('Данные 2st'!$Q$2:$Q$317=$A4),--ISNUMBER('Данные 2st'!$OY$2:$OY$317))</f>
        <v>3</v>
      </c>
      <c r="SL4">
        <f>SUMPRODUCT(--('Данные 2st'!$Q$2:$Q$317=$A4),--ISNUMBER('Данные 2st'!$OZ$2:$OZ$317))</f>
        <v>3</v>
      </c>
      <c r="SM4">
        <f>SUMPRODUCT(--('Данные 2st'!$Q$2:$Q$317=$A4),--ISNUMBER('Данные 2st'!$PA$2:$PA$317))</f>
        <v>3</v>
      </c>
      <c r="SN4">
        <f>SUMPRODUCT(--('Данные 2st'!$Q$2:$Q$317=$A4),--ISNUMBER('Данные 2st'!$PC$2:$PC$317))</f>
        <v>3</v>
      </c>
      <c r="SO4">
        <f>SUMPRODUCT(--('Данные 2st'!$Q$2:$Q$317=$A4),--ISNUMBER('Данные 2st'!$PD$2:$PD$317))</f>
        <v>3</v>
      </c>
      <c r="SP4">
        <f>SUMPRODUCT(--('Данные 2st'!$Q$2:$Q$317=$A4),--ISNUMBER('Данные 2st'!$PF$2:$PF$317))</f>
        <v>3</v>
      </c>
      <c r="SQ4">
        <f>SUMPRODUCT(--('Данные 2st'!$Q$2:$Q$317=$A4),--ISNUMBER('Данные 2st'!$PG$2:$PG$317))</f>
        <v>3</v>
      </c>
      <c r="SR4">
        <f>SUMPRODUCT(--('Данные 2st'!$Q$2:$Q$317=$A4),--ISNUMBER('Данные 2st'!$PH$2:$PH$317))</f>
        <v>3</v>
      </c>
      <c r="SS4">
        <f>SUMPRODUCT(--('Данные 2st'!$Q$2:$Q$317=$A4),--ISNUMBER('Данные 2st'!$PI$2:$PI$317))</f>
        <v>3</v>
      </c>
      <c r="ST4">
        <f>SUMPRODUCT(--('Данные 2st'!$Q$2:$Q$317=$A4),--ISNUMBER('Данные 2st'!$PJ$2:$PJ$317))</f>
        <v>3</v>
      </c>
      <c r="SU4">
        <f>SUMPRODUCT(--('Данные 2st'!$Q$2:$Q$317=$A4),--ISNUMBER('Данные 2st'!$PK$2:$PK$317))</f>
        <v>2</v>
      </c>
      <c r="SV4">
        <f>SUMPRODUCT(--('Данные 2st'!$Q$2:$Q$317=$A4),--ISNUMBER('Данные 2st'!$PL$2:$PL$317))</f>
        <v>3</v>
      </c>
      <c r="SW4">
        <f>SUMPRODUCT(--('Данные 2st'!$Q$2:$Q$317=$A4),--ISNUMBER('Данные 2st'!$PM$2:$PM$317))</f>
        <v>3</v>
      </c>
      <c r="SX4">
        <f>SUMPRODUCT(--('Данные 2st'!$Q$2:$Q$317=$A4),--ISNUMBER('Данные 2st'!$PN$2:$PN$317))</f>
        <v>3</v>
      </c>
      <c r="SY4">
        <f>SUMPRODUCT(--('Данные 2st'!$Q$2:$Q$317=$A4),--ISNUMBER('Данные 2st'!$PO$2:$PO$317))</f>
        <v>3</v>
      </c>
      <c r="SZ4">
        <f>SUMPRODUCT(--('Данные 2st'!$Q$2:$Q$317=$A4),--ISNUMBER('Данные 2st'!$PP$2:$PP$317))</f>
        <v>3</v>
      </c>
      <c r="TA4">
        <f>SUMPRODUCT(--('Данные 2st'!$Q$2:$Q$317=$A4),--ISNUMBER('Данные 2st'!$PQ$2:$PQ$317))</f>
        <v>3</v>
      </c>
      <c r="TB4">
        <f>SUMPRODUCT(--('Данные 2st'!$Q$2:$Q$317=$A4),--ISNUMBER('Данные 2st'!$PR$2:$PR$317))</f>
        <v>1</v>
      </c>
      <c r="TC4">
        <f>SUMPRODUCT(--('Данные 2st'!$Q$2:$Q$317=$A4),--ISNUMBER('Данные 2st'!$PS$2:$PS$317))</f>
        <v>3</v>
      </c>
      <c r="TD4">
        <f>SUMPRODUCT(--('Данные 2st'!$Q$2:$Q$317=$A4),--ISNUMBER('Данные 2st'!$PT$2:$PT$317))</f>
        <v>3</v>
      </c>
      <c r="TE4">
        <f>SUMPRODUCT(--('Данные 2st'!$Q$2:$Q$317=$A4),--ISNUMBER('Данные 2st'!$PU$2:$PU$317))</f>
        <v>3</v>
      </c>
      <c r="TF4">
        <f>SUMPRODUCT(--('Данные 2st'!$Q$2:$Q$317=$A4),--ISNUMBER('Данные 2st'!$PX$2:$PX$317))</f>
        <v>3</v>
      </c>
      <c r="TG4">
        <f>SUMPRODUCT(--('Данные 2st'!$Q$2:$Q$317=$A4),--ISNUMBER('Данные 2st'!$PY$2:$PY$317))</f>
        <v>3</v>
      </c>
      <c r="TH4">
        <f>SUMPRODUCT(--('Данные 2st'!$Q$2:$Q$317=$A4),--ISNUMBER('Данные 2st'!$PZ$2:$PZ$317))</f>
        <v>3</v>
      </c>
      <c r="TI4">
        <f>SUMPRODUCT(--('Данные 2st'!$Q$2:$Q$317=$A4),--ISNUMBER('Данные 2st'!$QA$2:$QA$317))</f>
        <v>3</v>
      </c>
      <c r="TJ4">
        <f>SUMPRODUCT(--('Данные 2st'!$Q$2:$Q$317=$A4),--ISNUMBER('Данные 2st'!$QB$2:$QB$317))</f>
        <v>3</v>
      </c>
      <c r="TK4">
        <f>SUMPRODUCT(--('Данные 2st'!$Q$2:$Q$317=$A4),--ISNUMBER('Данные 2st'!$QC$2:$QC$317))</f>
        <v>3</v>
      </c>
      <c r="TL4">
        <f>SUMPRODUCT(--('Данные 2st'!$Q$2:$Q$317=$A4),--ISNUMBER('Данные 2st'!$QD$2:$QD$317))</f>
        <v>3</v>
      </c>
      <c r="TM4">
        <f>SUMPRODUCT(--('Данные 2st'!$Q$2:$Q$317=$A4),--ISNUMBER('Данные 2st'!$QE$2:$QE$317))</f>
        <v>3</v>
      </c>
      <c r="TN4">
        <f>SUMPRODUCT(--('Данные 2st'!$Q$2:$Q$317=$A4),--ISNUMBER('Данные 2st'!$QF$2:$QF$317))</f>
        <v>3</v>
      </c>
      <c r="TO4">
        <f>SUMPRODUCT(--('Данные 2st'!$Q$2:$Q$317=$A4),--ISNUMBER('Данные 2st'!$QG$2:$QG$317))</f>
        <v>3</v>
      </c>
      <c r="TP4">
        <f>SUMPRODUCT(--('Данные 2st'!$Q$2:$Q$317=$A4),--ISNUMBER('Данные 2st'!$QH$2:$QH$317))</f>
        <v>3</v>
      </c>
      <c r="TQ4">
        <f>SUMPRODUCT(--('Данные 2st'!$Q$2:$Q$317=$A4),--ISNUMBER('Данные 2st'!$QI$2:$QI$317))</f>
        <v>3</v>
      </c>
      <c r="TR4">
        <f>SUMPRODUCT(--('Данные 2st'!$Q$2:$Q$317=$A4),--ISNUMBER('Данные 2st'!$QJ$2:$QJ$317))</f>
        <v>3</v>
      </c>
      <c r="TS4">
        <f>SUMPRODUCT(--('Данные 2st'!$Q$2:$Q$317=$A4),--ISNUMBER('Данные 2st'!$QK$2:$QK$317))</f>
        <v>3</v>
      </c>
      <c r="TT4">
        <f>SUMPRODUCT(--('Данные 2st'!$Q$2:$Q$317=$A4),--ISNUMBER('Данные 2st'!$QL$2:$QL$317))</f>
        <v>3</v>
      </c>
      <c r="TU4">
        <f>SUMPRODUCT(--('Данные 2st'!$Q$2:$Q$317=$A4),--ISNUMBER('Данные 2st'!$QM$2:$QM$317))</f>
        <v>3</v>
      </c>
      <c r="TV4">
        <f>SUMPRODUCT(--('Данные 2st'!$Q$2:$Q$317=$A4),--ISNUMBER('Данные 2st'!$QN$2:$QN$317))</f>
        <v>3</v>
      </c>
      <c r="TW4">
        <f>SUMPRODUCT(--('Данные 2st'!$Q$2:$Q$317=$A4),--ISNUMBER('Данные 2st'!$QQ$2:$QQ$317))</f>
        <v>3</v>
      </c>
      <c r="TX4">
        <f>SUMPRODUCT(--('Данные 2st'!$Q$2:$Q$317=$A4),--ISNUMBER('Данные 2st'!$QS$2:$QS$317))</f>
        <v>3</v>
      </c>
      <c r="TY4">
        <f>SUMPRODUCT(--('Данные 2st'!$Q$2:$Q$317=$A4),--ISNUMBER('Данные 2st'!$QT$2:$QT$317))</f>
        <v>3</v>
      </c>
    </row>
    <row r="5" spans="1:545" ht="32" customHeight="1">
      <c r="A5" s="11" t="str">
        <f>'По размерам'!A5</f>
        <v>185/60R14</v>
      </c>
      <c r="G5">
        <f>SUMPRODUCT(--('Данные 1st'!$S$2:$S$317=$A5),--ISNUMBER('Данные 1st'!$AE$2:$AE$317))</f>
        <v>4</v>
      </c>
      <c r="H5">
        <f>SUMPRODUCT(--('Данные 1st'!$S$2:$S$317=$A5),--ISNUMBER('Данные 1st'!$AF$2:$AF$317))</f>
        <v>4</v>
      </c>
      <c r="I5">
        <f>SUMPRODUCT(--('Данные 1st'!$S$2:$S$317=$A5),--ISNUMBER('Данные 1st'!$AJ$2:$AJ$317))</f>
        <v>4</v>
      </c>
      <c r="J5">
        <f>SUMPRODUCT(--('Данные 1st'!$S$2:$S$317=$A5),--ISNUMBER('Данные 1st'!$AL$2:$AL$317))</f>
        <v>4</v>
      </c>
      <c r="K5">
        <f>SUMPRODUCT(--('Данные 1st'!$S$2:$S$317=$A5),--ISNUMBER('Данные 1st'!$AR$2:$AR$317))</f>
        <v>4</v>
      </c>
      <c r="L5">
        <f>SUMPRODUCT(--('Данные 1st'!$S$2:$S$317=$A5),--ISNUMBER('Данные 1st'!$AS$2:$AS$317))</f>
        <v>4</v>
      </c>
      <c r="M5">
        <f>SUMPRODUCT(--('Данные 1st'!$S$2:$S$317=$A5),--ISNUMBER('Данные 1st'!$AY$2:$AY$317))</f>
        <v>4</v>
      </c>
      <c r="N5">
        <f>SUMPRODUCT(--('Данные 1st'!$S$2:$S$317=$A5),--ISNUMBER('Данные 1st'!$AZ$2:$AZ$317))</f>
        <v>4</v>
      </c>
      <c r="O5">
        <f>SUMPRODUCT(--('Данные 1st'!$S$2:$S$317=$A5),--ISNUMBER('Данные 1st'!$BF$2:$BF$317))</f>
        <v>0</v>
      </c>
      <c r="P5">
        <f>SUMPRODUCT(--('Данные 1st'!$S$2:$S$317=$A5),--ISNUMBER('Данные 1st'!$BG$2:$BG$317))</f>
        <v>4</v>
      </c>
      <c r="Q5">
        <f>SUMPRODUCT(--('Данные 1st'!$S$2:$S$317=$A5),--ISNUMBER('Данные 1st'!$BM$2:$BM$317))</f>
        <v>0</v>
      </c>
      <c r="R5">
        <f>SUMPRODUCT(--('Данные 1st'!$S$2:$S$317=$A5),--ISNUMBER('Данные 1st'!$BN$2:$BN$317))</f>
        <v>4</v>
      </c>
      <c r="S5">
        <f>SUMPRODUCT(--('Данные 1st'!$S$2:$S$317=$A5),--ISNUMBER('Данные 1st'!$BT$2:$BT$317))</f>
        <v>4</v>
      </c>
      <c r="T5">
        <f>SUMPRODUCT(--('Данные 1st'!$S$2:$S$317=$A5),--ISNUMBER('Данные 1st'!$BU$2:$BU$317))</f>
        <v>4</v>
      </c>
      <c r="U5">
        <f>SUMPRODUCT(--('Данные 1st'!$S$2:$S$317=$A5),--ISNUMBER('Данные 1st'!$BW$2:$BW$317))</f>
        <v>4</v>
      </c>
      <c r="V5">
        <f>SUMPRODUCT(--('Данные 1st'!$S$2:$S$317=$A5),--ISNUMBER('Данные 1st'!$BX$2:$BX$317))</f>
        <v>4</v>
      </c>
      <c r="W5">
        <f>SUMPRODUCT(--('Данные 1st'!$S$2:$S$317=$A5),--ISNUMBER('Данные 1st'!$BZ$2:$BZ$317))</f>
        <v>4</v>
      </c>
      <c r="X5">
        <f>SUMPRODUCT(--('Данные 1st'!$S$2:$S$317=$A5),--ISNUMBER('Данные 1st'!$CA$2:$CA$317))</f>
        <v>4</v>
      </c>
      <c r="Y5">
        <f>SUMPRODUCT(--('Данные 1st'!$S$2:$S$317=$A5),--ISNUMBER('Данные 1st'!$CD$2:$CD$317))</f>
        <v>4</v>
      </c>
      <c r="Z5">
        <f>SUMPRODUCT(--('Данные 1st'!$S$2:$S$317=$A5),--ISNUMBER('Данные 1st'!$CF$2:$CF$317))</f>
        <v>4</v>
      </c>
      <c r="AA5">
        <f>SUMPRODUCT(--('Данные 1st'!$S$2:$S$317=$A5),--ISNUMBER('Данные 1st'!$CI$2:$CI$317))</f>
        <v>4</v>
      </c>
      <c r="AB5">
        <f>SUMPRODUCT(--('Данные 1st'!$S$2:$S$317=$A5),--ISNUMBER('Данные 1st'!$CJ$2:$CJ$317))</f>
        <v>4</v>
      </c>
      <c r="AC5">
        <f>SUMPRODUCT(--('Данные 1st'!$S$2:$S$317=$A5),--ISNUMBER('Данные 1st'!$CK$2:$CK$317))</f>
        <v>4</v>
      </c>
      <c r="AD5">
        <f>SUMPRODUCT(--('Данные 1st'!$S$2:$S$317=$A5),--ISNUMBER('Данные 1st'!$CL$2:$CL$317))</f>
        <v>4</v>
      </c>
      <c r="AE5">
        <f>SUMPRODUCT(--('Данные 1st'!$S$2:$S$317=$A5),--ISNUMBER('Данные 1st'!$CM$2:$CM$317))</f>
        <v>4</v>
      </c>
      <c r="AF5">
        <f>SUMPRODUCT(--('Данные 1st'!$S$2:$S$317=$A5),--ISNUMBER('Данные 1st'!$CT$2:$CT$317))</f>
        <v>4</v>
      </c>
      <c r="AG5">
        <f>SUMPRODUCT(--('Данные 1st'!$S$2:$S$317=$A5),--ISNUMBER('Данные 1st'!$CU$2:$CU$317))</f>
        <v>4</v>
      </c>
      <c r="AH5">
        <f>SUMPRODUCT(--('Данные 1st'!$S$2:$S$317=$A5),--ISNUMBER('Данные 1st'!$CV$2:$CV$317))</f>
        <v>4</v>
      </c>
      <c r="AI5">
        <f>SUMPRODUCT(--('Данные 1st'!$S$2:$S$317=$A5),--ISNUMBER('Данные 1st'!$CW$2:$CW$317))</f>
        <v>4</v>
      </c>
      <c r="AJ5">
        <f>SUMPRODUCT(--('Данные 1st'!$S$2:$S$317=$A5),--ISNUMBER('Данные 1st'!$CX$2:$CX$317))</f>
        <v>4</v>
      </c>
      <c r="AK5">
        <f>SUMPRODUCT(--('Данные 1st'!$S$2:$S$317=$A5),--ISNUMBER('Данные 1st'!$CZ$2:$CZ$317))</f>
        <v>0</v>
      </c>
      <c r="AL5">
        <f>SUMPRODUCT(--('Данные 1st'!$S$2:$S$317=$A5),--ISNUMBER('Данные 1st'!$DA$2:$DA$317))</f>
        <v>0</v>
      </c>
      <c r="AM5">
        <f>SUMPRODUCT(--('Данные 1st'!$S$2:$S$317=$A5),--ISNUMBER('Данные 1st'!$DB$2:$DB$317))</f>
        <v>0</v>
      </c>
      <c r="AN5">
        <f>SUMPRODUCT(--('Данные 1st'!$S$2:$S$317=$A5),--ISNUMBER('Данные 1st'!$DC$2:$DC$317))</f>
        <v>0</v>
      </c>
      <c r="AO5">
        <f>SUMPRODUCT(--('Данные 1st'!$S$2:$S$317=$A5),--ISNUMBER('Данные 1st'!$DD$2:$DD$317))</f>
        <v>4</v>
      </c>
      <c r="AP5">
        <f>SUMPRODUCT(--('Данные 1st'!$S$2:$S$317=$A5),--ISNUMBER('Данные 1st'!$DF$2:$DF$317))</f>
        <v>4</v>
      </c>
      <c r="AQ5">
        <f>SUMPRODUCT(--('Данные 1st'!$S$2:$S$317=$A5),--ISNUMBER('Данные 1st'!$DG$2:$DG$317))</f>
        <v>4</v>
      </c>
      <c r="AR5">
        <f>SUMPRODUCT(--('Данные 1st'!$S$2:$S$317=$A5),--ISNUMBER('Данные 1st'!$DH$2:$DH$317))</f>
        <v>4</v>
      </c>
      <c r="AS5">
        <f>SUMPRODUCT(--('Данные 1st'!$S$2:$S$317=$A5),--ISNUMBER('Данные 1st'!$DI$2:$DI$317))</f>
        <v>4</v>
      </c>
      <c r="AT5">
        <f>SUMPRODUCT(--('Данные 1st'!$S$2:$S$317=$A5),--ISNUMBER('Данные 1st'!$DJ$2:$DJ$317))</f>
        <v>4</v>
      </c>
      <c r="AU5">
        <f>SUMPRODUCT(--('Данные 1st'!$S$2:$S$317=$A5),--ISNUMBER('Данные 1st'!$DL$2:$DL$317))</f>
        <v>0</v>
      </c>
      <c r="AV5">
        <f>SUMPRODUCT(--('Данные 1st'!$S$2:$S$317=$A5),--ISNUMBER('Данные 1st'!$DM$2:$DM$317))</f>
        <v>0</v>
      </c>
      <c r="AW5">
        <f>SUMPRODUCT(--('Данные 1st'!$S$2:$S$317=$A5),--ISNUMBER('Данные 1st'!$DN$2:$DN$317))</f>
        <v>0</v>
      </c>
      <c r="AX5">
        <f>SUMPRODUCT(--('Данные 1st'!$S$2:$S$317=$A5),--ISNUMBER('Данные 1st'!$DO$2:$DO$317))</f>
        <v>0</v>
      </c>
      <c r="AY5">
        <f>SUMPRODUCT(--('Данные 1st'!$S$2:$S$317=$A5),--ISNUMBER('Данные 1st'!$DP$2:$DP$317))</f>
        <v>0</v>
      </c>
      <c r="AZ5">
        <f>SUMPRODUCT(--('Данные 1st'!$S$2:$S$317=$A5),--ISNUMBER('Данные 1st'!$DR$2:$DR$317))</f>
        <v>0</v>
      </c>
      <c r="BA5">
        <f>SUMPRODUCT(--('Данные 1st'!$S$2:$S$317=$A5),--ISNUMBER('Данные 1st'!$DS$2:$DS$317))</f>
        <v>0</v>
      </c>
      <c r="BB5">
        <f>SUMPRODUCT(--('Данные 1st'!$S$2:$S$317=$A5),--ISNUMBER('Данные 1st'!$DT$2:$DT$317))</f>
        <v>0</v>
      </c>
      <c r="BC5">
        <f>SUMPRODUCT(--('Данные 1st'!$S$2:$S$317=$A5),--ISNUMBER('Данные 1st'!$DU$2:$DU$317))</f>
        <v>0</v>
      </c>
      <c r="BD5">
        <f>SUMPRODUCT(--('Данные 1st'!$S$2:$S$317=$A5),--ISNUMBER('Данные 1st'!$DV$2:$DV$317))</f>
        <v>0</v>
      </c>
      <c r="BE5">
        <f>SUMPRODUCT(--('Данные 1st'!$S$2:$S$317=$A5),--ISNUMBER('Данные 1st'!$DX$2:$DX$317))</f>
        <v>4</v>
      </c>
      <c r="BF5">
        <f>SUMPRODUCT(--('Данные 1st'!$S$2:$S$317=$A5),--ISNUMBER('Данные 1st'!$EA$2:$EA$317))</f>
        <v>4</v>
      </c>
      <c r="BG5">
        <f>SUMPRODUCT(--('Данные 1st'!$S$2:$S$317=$A5),--ISNUMBER('Данные 1st'!$EB$2:$EB$317))</f>
        <v>4</v>
      </c>
      <c r="BH5">
        <f>SUMPRODUCT(--('Данные 1st'!$S$2:$S$317=$A5),--ISNUMBER('Данные 1st'!$ED$2:$ED$317))</f>
        <v>4</v>
      </c>
      <c r="BI5">
        <f>SUMPRODUCT(--('Данные 1st'!$S$2:$S$317=$A5),--ISNUMBER('Данные 1st'!$EE$2:$EE$317))</f>
        <v>3</v>
      </c>
      <c r="BJ5">
        <f>SUMPRODUCT(--('Данные 1st'!$S$2:$S$317=$A5),--ISNUMBER('Данные 1st'!$EG$2:$EG$317))</f>
        <v>4</v>
      </c>
      <c r="BK5">
        <f>SUMPRODUCT(--('Данные 1st'!$S$2:$S$317=$A5),--ISNUMBER('Данные 1st'!$EH$2:$EH$317))</f>
        <v>4</v>
      </c>
      <c r="BL5">
        <f>SUMPRODUCT(--('Данные 1st'!$S$2:$S$317=$A5),--ISNUMBER('Данные 1st'!$EJ$2:$EJ$317))</f>
        <v>4</v>
      </c>
      <c r="BM5">
        <f>SUMPRODUCT(--('Данные 1st'!$S$2:$S$317=$A5),--ISNUMBER('Данные 1st'!$EK$2:$EK$317))</f>
        <v>4</v>
      </c>
      <c r="BN5">
        <f>SUMPRODUCT(--('Данные 1st'!$S$2:$S$317=$A5),--ISNUMBER('Данные 1st'!$EN$2:$EN$317))</f>
        <v>4</v>
      </c>
      <c r="BO5">
        <f>SUMPRODUCT(--('Данные 1st'!$S$2:$S$317=$A5),--ISNUMBER('Данные 1st'!$EQ$2:$EQ$317))</f>
        <v>4</v>
      </c>
      <c r="BP5">
        <f>SUMPRODUCT(--('Данные 1st'!$S$2:$S$317=$A5),--ISNUMBER('Данные 1st'!$ER$2:$ER$317))</f>
        <v>4</v>
      </c>
      <c r="BQ5">
        <f>SUMPRODUCT(--('Данные 1st'!$S$2:$S$317=$A5),--ISNUMBER('Данные 1st'!$ES$2:$ES$317))</f>
        <v>4</v>
      </c>
      <c r="BR5">
        <f>SUMPRODUCT(--('Данные 1st'!$S$2:$S$317=$A5),--ISNUMBER('Данные 1st'!$ET$2:$ET$317))</f>
        <v>4</v>
      </c>
      <c r="BS5">
        <f>SUMPRODUCT(--('Данные 1st'!$S$2:$S$317=$A5),--ISNUMBER('Данные 1st'!$EU$2:$EU$317))</f>
        <v>4</v>
      </c>
      <c r="BT5">
        <f>SUMPRODUCT(--('Данные 1st'!$S$2:$S$317=$A5),--ISNUMBER('Данные 1st'!$EV$2:$EV$317))</f>
        <v>4</v>
      </c>
      <c r="BU5">
        <f>SUMPRODUCT(--('Данные 1st'!$S$2:$S$317=$A5),--ISNUMBER('Данные 1st'!$EX$2:$EX$317))</f>
        <v>4</v>
      </c>
      <c r="BV5">
        <f>SUMPRODUCT(--('Данные 1st'!$S$2:$S$317=$A5),--ISNUMBER('Данные 1st'!$EY$2:$EY$317))</f>
        <v>4</v>
      </c>
      <c r="BW5">
        <f>SUMPRODUCT(--('Данные 1st'!$S$2:$S$317=$A5),--ISNUMBER('Данные 1st'!$EZ$2:$EZ$317))</f>
        <v>4</v>
      </c>
      <c r="BX5">
        <f>SUMPRODUCT(--('Данные 1st'!$S$2:$S$317=$A5),--ISNUMBER('Данные 1st'!$FA$2:$FA$317))</f>
        <v>4</v>
      </c>
      <c r="BY5">
        <f>SUMPRODUCT(--('Данные 1st'!$S$2:$S$317=$A5),--ISNUMBER('Данные 1st'!$FB$2:$FB$317))</f>
        <v>4</v>
      </c>
      <c r="BZ5">
        <f>SUMPRODUCT(--('Данные 1st'!$S$2:$S$317=$A5),--ISNUMBER('Данные 1st'!$FC$2:$FC$317))</f>
        <v>4</v>
      </c>
      <c r="CA5">
        <f>SUMPRODUCT(--('Данные 1st'!$S$2:$S$317=$A5),--ISNUMBER('Данные 1st'!$FE$2:$FE$317))</f>
        <v>4</v>
      </c>
      <c r="CB5">
        <f>SUMPRODUCT(--('Данные 1st'!$S$2:$S$317=$A5),--ISNUMBER('Данные 1st'!$FF$2:$FF$317))</f>
        <v>4</v>
      </c>
      <c r="CC5">
        <f>SUMPRODUCT(--('Данные 1st'!$S$2:$S$317=$A5),--ISNUMBER('Данные 1st'!$FI$2:$FI$317))</f>
        <v>4</v>
      </c>
      <c r="CD5">
        <f>SUMPRODUCT(--('Данные 1st'!$S$2:$S$317=$A5),--ISNUMBER('Данные 1st'!$FL$2:$FL$317))</f>
        <v>4</v>
      </c>
      <c r="CE5">
        <f>SUMPRODUCT(--('Данные 1st'!$S$2:$S$317=$A5),--ISNUMBER('Данные 1st'!$FM$2:$FM$317))</f>
        <v>4</v>
      </c>
      <c r="CF5">
        <f>SUMPRODUCT(--('Данные 1st'!$S$2:$S$317=$A5),--ISNUMBER('Данные 1st'!$FN$2:$FN$317))</f>
        <v>4</v>
      </c>
      <c r="CG5">
        <f>SUMPRODUCT(--('Данные 1st'!$S$2:$S$317=$A5),--ISNUMBER('Данные 1st'!$FO$2:$FO$317))</f>
        <v>1</v>
      </c>
      <c r="CH5">
        <f>SUMPRODUCT(--('Данные 1st'!$S$2:$S$317=$A5),--ISNUMBER('Данные 1st'!$FP$2:$FP$317))</f>
        <v>1</v>
      </c>
      <c r="CI5">
        <f>SUMPRODUCT(--('Данные 1st'!$S$2:$S$317=$A5),--ISNUMBER('Данные 1st'!$FS$2:$FS$317))</f>
        <v>4</v>
      </c>
      <c r="CJ5">
        <f>SUMPRODUCT(--('Данные 1st'!$S$2:$S$317=$A5),--ISNUMBER('Данные 1st'!$FT$2:$FT$317))</f>
        <v>4</v>
      </c>
      <c r="CK5">
        <f>SUMPRODUCT(--('Данные 1st'!$S$2:$S$317=$A5),--ISNUMBER('Данные 1st'!$FU$2:$FU$317))</f>
        <v>4</v>
      </c>
      <c r="CL5">
        <f>SUMPRODUCT(--('Данные 1st'!$S$2:$S$317=$A5),--ISNUMBER('Данные 1st'!$FV$2:$FV$317))</f>
        <v>3</v>
      </c>
      <c r="CM5">
        <f>SUMPRODUCT(--('Данные 1st'!$S$2:$S$317=$A5),--ISNUMBER('Данные 1st'!$FW$2:$FW$317))</f>
        <v>3</v>
      </c>
      <c r="CN5">
        <f>SUMPRODUCT(--('Данные 1st'!$S$2:$S$317=$A5),--ISNUMBER('Данные 1st'!$FZ$2:$FZ$317))</f>
        <v>1</v>
      </c>
      <c r="CO5">
        <f>SUMPRODUCT(--('Данные 1st'!$S$2:$S$317=$A5),--ISNUMBER('Данные 1st'!$GA$2:$GA$317))</f>
        <v>1</v>
      </c>
      <c r="CP5">
        <f>SUMPRODUCT(--('Данные 1st'!$S$2:$S$317=$A5),--ISNUMBER('Данные 1st'!$GB$2:$GB$317))</f>
        <v>1</v>
      </c>
      <c r="CQ5">
        <f>SUMPRODUCT(--('Данные 1st'!$S$2:$S$317=$A5),--ISNUMBER('Данные 1st'!$GH$2:$GH$317))</f>
        <v>1</v>
      </c>
      <c r="CR5">
        <f>SUMPRODUCT(--('Данные 1st'!$S$2:$S$317=$A5),--ISNUMBER('Данные 1st'!$GI$2:$GI$317))</f>
        <v>1</v>
      </c>
      <c r="CS5">
        <f>SUMPRODUCT(--('Данные 1st'!$S$2:$S$317=$A5),--ISNUMBER('Данные 1st'!$GJ$2:$GJ$317))</f>
        <v>1</v>
      </c>
      <c r="CT5">
        <f>SUMPRODUCT(--('Данные 1st'!$S$2:$S$317=$A5),--ISNUMBER('Данные 1st'!$GS$2:$GS$317))</f>
        <v>0</v>
      </c>
      <c r="CU5">
        <f>SUMPRODUCT(--('Данные 1st'!$S$2:$S$317=$A5),--ISNUMBER('Данные 1st'!$GT$2:$GT$317))</f>
        <v>0</v>
      </c>
      <c r="CV5">
        <f>SUMPRODUCT(--('Данные 1st'!$S$2:$S$317=$A5),--ISNUMBER('Данные 1st'!$GU$2:$GU$317))</f>
        <v>0</v>
      </c>
      <c r="CW5">
        <f>SUMPRODUCT(--('Данные 1st'!$S$2:$S$317=$A5),--ISNUMBER('Данные 1st'!$GV$2:$GV$317))</f>
        <v>0</v>
      </c>
      <c r="CX5">
        <f>SUMPRODUCT(--('Данные 1st'!$S$2:$S$317=$A5),--ISNUMBER('Данные 1st'!$GW$2:$GW$317))</f>
        <v>0</v>
      </c>
      <c r="CY5">
        <f>SUMPRODUCT(--('Данные 1st'!$S$2:$S$317=$A5),--ISNUMBER('Данные 1st'!$GZ$2:$GZ$317))</f>
        <v>0</v>
      </c>
      <c r="CZ5">
        <f>SUMPRODUCT(--('Данные 1st'!$S$2:$S$317=$A5),--ISNUMBER('Данные 1st'!$HA$2:$HA$317))</f>
        <v>0</v>
      </c>
      <c r="DA5">
        <f>SUMPRODUCT(--('Данные 1st'!$S$2:$S$317=$A5),--ISNUMBER('Данные 1st'!$HB$2:$HB$317))</f>
        <v>0</v>
      </c>
      <c r="DB5">
        <f>SUMPRODUCT(--('Данные 1st'!$S$2:$S$317=$A5),--ISNUMBER('Данные 1st'!$HC$2:$HC$317))</f>
        <v>4</v>
      </c>
      <c r="DC5">
        <f>SUMPRODUCT(--('Данные 1st'!$S$2:$S$317=$A5),--ISNUMBER('Данные 1st'!$HD$2:$HD$317))</f>
        <v>4</v>
      </c>
      <c r="DD5">
        <f>SUMPRODUCT(--('Данные 1st'!$S$2:$S$317=$A5),--ISNUMBER('Данные 1st'!$HE$2:$HE$317))</f>
        <v>4</v>
      </c>
      <c r="DE5">
        <f>SUMPRODUCT(--('Данные 1st'!$S$2:$S$317=$A5),--ISNUMBER('Данные 1st'!$HF$2:$HF$317))</f>
        <v>4</v>
      </c>
      <c r="DF5">
        <f>SUMPRODUCT(--('Данные 1st'!$S$2:$S$317=$A5),--ISNUMBER('Данные 1st'!$HG$2:$HG$317))</f>
        <v>4</v>
      </c>
      <c r="DG5">
        <f>SUMPRODUCT(--('Данные 1st'!$S$2:$S$317=$A5),--ISNUMBER('Данные 1st'!$HH$2:$HH$317))</f>
        <v>4</v>
      </c>
      <c r="DH5">
        <f>SUMPRODUCT(--('Данные 1st'!$S$2:$S$317=$A5),--ISNUMBER('Данные 1st'!$HI$2:$HI$317))</f>
        <v>4</v>
      </c>
      <c r="DI5">
        <f>SUMPRODUCT(--('Данные 1st'!$S$2:$S$317=$A5),--ISNUMBER('Данные 1st'!$HJ$2:$HJ$317))</f>
        <v>4</v>
      </c>
      <c r="DJ5">
        <f>SUMPRODUCT(--('Данные 1st'!$S$2:$S$317=$A5),--ISNUMBER('Данные 1st'!$HK$2:$HK$317))</f>
        <v>4</v>
      </c>
      <c r="DK5">
        <f>SUMPRODUCT(--('Данные 1st'!$S$2:$S$317=$A5),--ISNUMBER('Данные 1st'!$HL$2:$HL$317))</f>
        <v>4</v>
      </c>
      <c r="DL5">
        <f>SUMPRODUCT(--('Данные 1st'!$S$2:$S$317=$A5),--ISNUMBER('Данные 1st'!$HM$2:$HM$317))</f>
        <v>4</v>
      </c>
      <c r="DM5">
        <f>SUMPRODUCT(--('Данные 1st'!$S$2:$S$317=$A5),--ISNUMBER('Данные 1st'!$HN$2:$HN$317))</f>
        <v>4</v>
      </c>
      <c r="DN5">
        <f>SUMPRODUCT(--('Данные 1st'!$S$2:$S$317=$A5),--ISNUMBER('Данные 1st'!$HO$2:$HO$317))</f>
        <v>4</v>
      </c>
      <c r="DO5">
        <f>SUMPRODUCT(--('Данные 1st'!$S$2:$S$317=$A5),--ISNUMBER('Данные 1st'!$HP$2:$HP$317))</f>
        <v>4</v>
      </c>
      <c r="DP5">
        <f>SUMPRODUCT(--('Данные 1st'!$S$2:$S$317=$A5),--ISNUMBER('Данные 1st'!$HQ$2:$HQ$317))</f>
        <v>4</v>
      </c>
      <c r="DQ5">
        <f>SUMPRODUCT(--('Данные 1st'!$S$2:$S$317=$A5),--ISNUMBER('Данные 1st'!$HR$2:$HR$317))</f>
        <v>4</v>
      </c>
      <c r="DR5">
        <f>SUMPRODUCT(--('Данные 1st'!$S$2:$S$317=$A5),--ISNUMBER('Данные 1st'!$HS$2:$HS$317))</f>
        <v>4</v>
      </c>
      <c r="DS5">
        <f>SUMPRODUCT(--('Данные 1st'!$S$2:$S$317=$A5),--ISNUMBER('Данные 1st'!$HT$2:$HT$317))</f>
        <v>4</v>
      </c>
      <c r="DT5">
        <f>SUMPRODUCT(--('Данные 1st'!$S$2:$S$317=$A5),--ISNUMBER('Данные 1st'!$HU$2:$HU$317))</f>
        <v>4</v>
      </c>
      <c r="DU5">
        <f>SUMPRODUCT(--('Данные 1st'!$S$2:$S$317=$A5),--ISNUMBER('Данные 1st'!$HW$2:$HW$317))</f>
        <v>4</v>
      </c>
      <c r="DV5">
        <f>SUMPRODUCT(--('Данные 1st'!$S$2:$S$317=$A5),--ISNUMBER('Данные 1st'!$HX$2:$HX$317))</f>
        <v>4</v>
      </c>
      <c r="DW5">
        <f>SUMPRODUCT(--('Данные 1st'!$S$2:$S$317=$A5),--ISNUMBER('Данные 1st'!$HY$2:$HY$317))</f>
        <v>4</v>
      </c>
      <c r="DX5">
        <f>SUMPRODUCT(--('Данные 1st'!$S$2:$S$317=$A5),--ISNUMBER('Данные 1st'!$IA$2:$IA$317))</f>
        <v>4</v>
      </c>
      <c r="DY5">
        <f>SUMPRODUCT(--('Данные 1st'!$S$2:$S$317=$A5),--ISNUMBER('Данные 1st'!$IB$2:$IB$317))</f>
        <v>4</v>
      </c>
      <c r="DZ5">
        <f>SUMPRODUCT(--('Данные 1st'!$S$2:$S$317=$A5),--ISNUMBER('Данные 1st'!$IC$2:$IC$317))</f>
        <v>4</v>
      </c>
      <c r="EA5">
        <f>SUMPRODUCT(--('Данные 1st'!$S$2:$S$317=$A5),--ISNUMBER('Данные 1st'!$ID$2:$ID$317))</f>
        <v>4</v>
      </c>
      <c r="EB5">
        <f>SUMPRODUCT(--('Данные 1st'!$S$2:$S$317=$A5),--ISNUMBER('Данные 1st'!$IE$2:$IE$317))</f>
        <v>4</v>
      </c>
      <c r="EC5">
        <f>SUMPRODUCT(--('Данные 1st'!$S$2:$S$317=$A5),--ISNUMBER('Данные 1st'!$IF$2:$IF$317))</f>
        <v>4</v>
      </c>
      <c r="ED5">
        <f>SUMPRODUCT(--('Данные 1st'!$S$2:$S$317=$A5),--ISNUMBER('Данные 1st'!$IP$2:$IP$317))</f>
        <v>4</v>
      </c>
      <c r="EE5">
        <f>SUMPRODUCT(--('Данные 1st'!$S$2:$S$317=$A5),--ISNUMBER('Данные 1st'!$IV$2:$IV$317))</f>
        <v>4</v>
      </c>
      <c r="EF5">
        <f>SUMPRODUCT(--('Данные 1st'!$S$2:$S$317=$A5),--ISNUMBER('Данные 1st'!$IW$2:$IW$317))</f>
        <v>4</v>
      </c>
      <c r="EG5">
        <f>SUMPRODUCT(--('Данные 1st'!$S$2:$S$317=$A5),--ISNUMBER('Данные 1st'!$IX$2:$IX$317))</f>
        <v>0</v>
      </c>
      <c r="EH5">
        <f>SUMPRODUCT(--('Данные 1st'!$S$2:$S$317=$A5),--ISNUMBER('Данные 1st'!$IY$2:$IY$317))</f>
        <v>0</v>
      </c>
      <c r="EI5">
        <f>SUMPRODUCT(--('Данные 1st'!$S$2:$S$317=$A5),--ISNUMBER('Данные 1st'!$JD$2:$JD$317))</f>
        <v>4</v>
      </c>
      <c r="EJ5">
        <f>SUMPRODUCT(--('Данные 1st'!$S$2:$S$317=$A5),--ISNUMBER('Данные 1st'!$JE$2:$JE$317))</f>
        <v>4</v>
      </c>
      <c r="EK5">
        <f>SUMPRODUCT(--('Данные 1st'!$S$2:$S$317=$A5),--ISNUMBER('Данные 1st'!$JF$2:$JF$317))</f>
        <v>4</v>
      </c>
      <c r="EL5">
        <f>SUMPRODUCT(--('Данные 1st'!$S$2:$S$317=$A5),--ISNUMBER('Данные 1st'!$JG$2:$JG$317))</f>
        <v>4</v>
      </c>
      <c r="EM5">
        <f>SUMPRODUCT(--('Данные 1st'!$S$2:$S$317=$A5),--ISNUMBER('Данные 1st'!$JH$2:$JH$317))</f>
        <v>4</v>
      </c>
      <c r="EN5">
        <f>SUMPRODUCT(--('Данные 1st'!$S$2:$S$317=$A5),--ISNUMBER('Данные 1st'!$JJ$2:$JJ$317))</f>
        <v>4</v>
      </c>
      <c r="EO5">
        <f>SUMPRODUCT(--('Данные 1st'!$S$2:$S$317=$A5),--ISNUMBER('Данные 1st'!$JK$2:$JK$317))</f>
        <v>4</v>
      </c>
      <c r="EP5">
        <f>SUMPRODUCT(--('Данные 1st'!$S$2:$S$317=$A5),--ISNUMBER('Данные 1st'!$JL$2:$JL$317))</f>
        <v>0</v>
      </c>
      <c r="EQ5">
        <f>SUMPRODUCT(--('Данные 1st'!$S$2:$S$317=$A5),--ISNUMBER('Данные 1st'!$JM$2:$JM$317))</f>
        <v>0</v>
      </c>
      <c r="ER5">
        <f>SUMPRODUCT(--('Данные 1st'!$S$2:$S$317=$A5),--ISNUMBER('Данные 1st'!$JN$2:$JN$317))</f>
        <v>4</v>
      </c>
      <c r="ES5">
        <f>SUMPRODUCT(--('Данные 1st'!$S$2:$S$317=$A5),--ISNUMBER('Данные 1st'!$JO$2:$JO$317))</f>
        <v>4</v>
      </c>
      <c r="ET5">
        <f>SUMPRODUCT(--('Данные 1st'!$S$2:$S$317=$A5),--ISNUMBER('Данные 1st'!$JP$2:$JP$317))</f>
        <v>4</v>
      </c>
      <c r="EU5">
        <f>SUMPRODUCT(--('Данные 1st'!$S$2:$S$317=$A5),--ISNUMBER('Данные 1st'!$JQ$2:$JQ$317))</f>
        <v>4</v>
      </c>
      <c r="EV5">
        <f>SUMPRODUCT(--('Данные 1st'!$S$2:$S$317=$A5),--ISNUMBER('Данные 1st'!$JR$2:$JR$317))</f>
        <v>4</v>
      </c>
      <c r="EW5">
        <f>SUMPRODUCT(--('Данные 1st'!$S$2:$S$317=$A5),--ISNUMBER('Данные 1st'!$JS$2:$JS$317))</f>
        <v>4</v>
      </c>
      <c r="EX5">
        <f>SUMPRODUCT(--('Данные 1st'!$S$2:$S$317=$A5),--ISNUMBER('Данные 1st'!$JT$2:$JT$317))</f>
        <v>0</v>
      </c>
      <c r="EY5">
        <f>SUMPRODUCT(--('Данные 1st'!$S$2:$S$317=$A5),--ISNUMBER('Данные 1st'!$JU$2:$JU$317))</f>
        <v>0</v>
      </c>
      <c r="EZ5">
        <f>SUMPRODUCT(--('Данные 1st'!$S$2:$S$317=$A5),--ISNUMBER('Данные 1st'!$JV$2:$JV$317))</f>
        <v>4</v>
      </c>
      <c r="FA5">
        <f>SUMPRODUCT(--('Данные 1st'!$S$2:$S$317=$A5),--ISNUMBER('Данные 1st'!$JW$2:$JW$317))</f>
        <v>0</v>
      </c>
      <c r="FB5">
        <f>SUMPRODUCT(--('Данные 1st'!$S$2:$S$317=$A5),--ISNUMBER('Данные 1st'!$JX$2:$JX$317))</f>
        <v>4</v>
      </c>
      <c r="FC5">
        <f>SUMPRODUCT(--('Данные 1st'!$S$2:$S$317=$A5),--ISNUMBER('Данные 1st'!$JY$2:$JY$317))</f>
        <v>0</v>
      </c>
      <c r="FD5">
        <f>SUMPRODUCT(--('Данные 1st'!$S$2:$S$317=$A5),--ISNUMBER('Данные 1st'!$JZ$2:$JZ$317))</f>
        <v>0</v>
      </c>
      <c r="FE5">
        <f>SUMPRODUCT(--('Данные 1st'!$S$2:$S$317=$A5),--ISNUMBER('Данные 1st'!$KA$2:$KA$317))</f>
        <v>4</v>
      </c>
      <c r="FF5">
        <f>SUMPRODUCT(--('Данные 1st'!$S$2:$S$317=$A5),--ISNUMBER('Данные 1st'!$KB$2:$KB$317))</f>
        <v>4</v>
      </c>
      <c r="FG5">
        <f>SUMPRODUCT(--('Данные 1st'!$S$2:$S$317=$A5),--ISNUMBER('Данные 1st'!$KC$2:$KC$317))</f>
        <v>4</v>
      </c>
      <c r="FH5">
        <f>SUMPRODUCT(--('Данные 1st'!$S$2:$S$317=$A5),--ISNUMBER('Данные 1st'!$KD$2:$KD$317))</f>
        <v>4</v>
      </c>
      <c r="FI5">
        <f>SUMPRODUCT(--('Данные 1st'!$S$2:$S$317=$A5),--ISNUMBER('Данные 1st'!$KE$2:$KE$317))</f>
        <v>0</v>
      </c>
      <c r="FJ5">
        <f>SUMPRODUCT(--('Данные 1st'!$S$2:$S$317=$A5),--ISNUMBER('Данные 1st'!$KF$2:$KF$317))</f>
        <v>4</v>
      </c>
      <c r="FK5">
        <f>SUMPRODUCT(--('Данные 1st'!$S$2:$S$317=$A5),--ISNUMBER('Данные 1st'!$KG$2:$KG$317))</f>
        <v>4</v>
      </c>
      <c r="FL5">
        <f>SUMPRODUCT(--('Данные 1st'!$S$2:$S$317=$A5),--ISNUMBER('Данные 1st'!$KH$2:$KH$317))</f>
        <v>4</v>
      </c>
      <c r="FM5">
        <f>SUMPRODUCT(--('Данные 1st'!$S$2:$S$317=$A5),--ISNUMBER('Данные 1st'!$KI$2:$KI$317))</f>
        <v>4</v>
      </c>
      <c r="FN5">
        <f>SUMPRODUCT(--('Данные 1st'!$S$2:$S$317=$A5),--ISNUMBER('Данные 1st'!$KJ$2:$KJ$317))</f>
        <v>4</v>
      </c>
      <c r="FO5">
        <f>SUMPRODUCT(--('Данные 1st'!$S$2:$S$317=$A5),--ISNUMBER('Данные 1st'!$KK$2:$KK$317))</f>
        <v>4</v>
      </c>
      <c r="FP5">
        <f>SUMPRODUCT(--('Данные 1st'!$S$2:$S$317=$A5),--ISNUMBER('Данные 1st'!$KL$2:$KL$317))</f>
        <v>4</v>
      </c>
      <c r="FQ5">
        <f>SUMPRODUCT(--('Данные 1st'!$S$2:$S$317=$A5),--ISNUMBER('Данные 1st'!$KM$2:$KM$317))</f>
        <v>4</v>
      </c>
      <c r="FR5">
        <f>SUMPRODUCT(--('Данные 1st'!$S$2:$S$317=$A5),--ISNUMBER('Данные 1st'!$KN$2:$KN$317))</f>
        <v>4</v>
      </c>
      <c r="FS5">
        <f>SUMPRODUCT(--('Данные 1st'!$S$2:$S$317=$A5),--ISNUMBER('Данные 1st'!$KR$2:$KR$317))</f>
        <v>4</v>
      </c>
      <c r="FT5">
        <f>SUMPRODUCT(--('Данные 1st'!$S$2:$S$317=$A5),--ISNUMBER('Данные 1st'!$KS$2:$KS$317))</f>
        <v>3</v>
      </c>
      <c r="FU5">
        <f>SUMPRODUCT(--('Данные 1st'!$S$2:$S$317=$A5),--ISNUMBER('Данные 1st'!$KT$2:$KT$317))</f>
        <v>4</v>
      </c>
      <c r="FV5">
        <f>SUMPRODUCT(--('Данные 1st'!$S$2:$S$317=$A5),--ISNUMBER('Данные 1st'!$KV$2:$KV$317))</f>
        <v>0</v>
      </c>
      <c r="FW5">
        <f>SUMPRODUCT(--('Данные 1st'!$S$2:$S$317=$A5),--ISNUMBER('Данные 1st'!$KW$2:$KW$317))</f>
        <v>0</v>
      </c>
      <c r="FX5">
        <f>SUMPRODUCT(--('Данные 1st'!$S$2:$S$317=$A5),--ISNUMBER('Данные 1st'!$KX$2:$KX$317))</f>
        <v>0</v>
      </c>
      <c r="FY5">
        <f>SUMPRODUCT(--('Данные 1st'!$S$2:$S$317=$A5),--ISNUMBER('Данные 1st'!$KY$2:$KY$317))</f>
        <v>0</v>
      </c>
      <c r="FZ5">
        <f>SUMPRODUCT(--('Данные 1st'!$S$2:$S$317=$A5),--ISNUMBER('Данные 1st'!$KZ$2:$KZ$317))</f>
        <v>0</v>
      </c>
      <c r="GA5">
        <f>SUMPRODUCT(--('Данные 1st'!$S$2:$S$317=$A5),--ISNUMBER('Данные 1st'!$LA$2:$LA$317))</f>
        <v>0</v>
      </c>
      <c r="GB5">
        <f>SUMPRODUCT(--('Данные 1st'!$S$2:$S$317=$A5),--ISNUMBER('Данные 1st'!$LB$2:$LB$317))</f>
        <v>0</v>
      </c>
      <c r="GC5">
        <f>SUMPRODUCT(--('Данные 1st'!$S$2:$S$317=$A5),--ISNUMBER('Данные 1st'!$LC$2:$LC$317))</f>
        <v>0</v>
      </c>
      <c r="GD5">
        <f>SUMPRODUCT(--('Данные 1st'!$S$2:$S$317=$A5),--ISNUMBER('Данные 1st'!$LD$2:$LD$317))</f>
        <v>0</v>
      </c>
      <c r="GE5">
        <f>SUMPRODUCT(--('Данные 1st'!$S$2:$S$317=$A5),--ISNUMBER('Данные 1st'!$LE$2:$LE$317))</f>
        <v>0</v>
      </c>
      <c r="GF5">
        <f>SUMPRODUCT(--('Данные 1st'!$S$2:$S$317=$A5),--ISNUMBER('Данные 1st'!$LF$2:$LF$317))</f>
        <v>0</v>
      </c>
      <c r="GG5">
        <f>SUMPRODUCT(--('Данные 1st'!$S$2:$S$317=$A5),--ISNUMBER('Данные 1st'!$LG$2:$LG$317))</f>
        <v>0</v>
      </c>
      <c r="GH5">
        <f>SUMPRODUCT(--('Данные 1st'!$S$2:$S$317=$A5),--ISNUMBER('Данные 1st'!$LH$2:$LH$317))</f>
        <v>0</v>
      </c>
      <c r="GI5">
        <f>SUMPRODUCT(--('Данные 1st'!$S$2:$S$317=$A5),--ISNUMBER('Данные 1st'!$LI$2:$LI$317))</f>
        <v>0</v>
      </c>
      <c r="GJ5">
        <f>SUMPRODUCT(--('Данные 1st'!$S$2:$S$317=$A5),--ISNUMBER('Данные 1st'!$LJ$2:$LJ$317))</f>
        <v>0</v>
      </c>
      <c r="GK5">
        <f>SUMPRODUCT(--('Данные 1st'!$S$2:$S$317=$A5),--ISNUMBER('Данные 1st'!$LK$2:$LK$317))</f>
        <v>4</v>
      </c>
      <c r="GL5">
        <f>SUMPRODUCT(--('Данные 1st'!$S$2:$S$317=$A5),--ISNUMBER('Данные 1st'!$LV$2:$LV$317))</f>
        <v>0</v>
      </c>
      <c r="GM5">
        <f>SUMPRODUCT(--('Данные 1st'!$S$2:$S$317=$A5),--ISNUMBER('Данные 1st'!$LW$2:$LW$317))</f>
        <v>0</v>
      </c>
      <c r="GN5">
        <f>SUMPRODUCT(--('Данные 1st'!$S$2:$S$317=$A5),--ISNUMBER('Данные 1st'!$LX$2:$LX$317))</f>
        <v>2</v>
      </c>
      <c r="GO5">
        <f>SUMPRODUCT(--('Данные 1st'!$S$2:$S$317=$A5),--ISNUMBER('Данные 1st'!$LY$2:$LY$317))</f>
        <v>1</v>
      </c>
      <c r="GP5">
        <f>SUMPRODUCT(--('Данные 1st'!$S$2:$S$317=$A5),--ISNUMBER('Данные 1st'!$LZ$2:$LZ$317))</f>
        <v>2</v>
      </c>
      <c r="GQ5">
        <f>SUMPRODUCT(--('Данные 1st'!$S$2:$S$317=$A5),--ISNUMBER('Данные 1st'!$PG$2:$PG$317))</f>
        <v>4</v>
      </c>
      <c r="GR5">
        <f>SUMPRODUCT(--('Данные 1st'!$S$2:$S$317=$A5),--ISNUMBER('Данные 1st'!$PX$2:$PX$317))</f>
        <v>4</v>
      </c>
      <c r="GS5">
        <f>SUMPRODUCT(--('Данные 1st'!$S$2:$S$317=$A5),--ISNUMBER('Данные 1st'!$PY$2:$PY$317))</f>
        <v>4</v>
      </c>
      <c r="GT5">
        <f>SUMPRODUCT(--('Данные 1st'!$S$2:$S$317=$A5),--ISNUMBER('Данные 1st'!$QA$2:$QA$317))</f>
        <v>4</v>
      </c>
      <c r="GU5">
        <f>SUMPRODUCT(--('Данные 1st'!$S$2:$S$317=$A5),--ISNUMBER('Данные 1st'!$QB$2:$QB$317))</f>
        <v>4</v>
      </c>
      <c r="GV5">
        <f>SUMPRODUCT(--('Данные 1st'!$S$2:$S$317=$A5),--ISNUMBER('Данные 1st'!$QC$2:$QC$317))</f>
        <v>4</v>
      </c>
      <c r="GW5">
        <f>SUMPRODUCT(--('Данные 1st'!$S$2:$S$317=$A5),--ISNUMBER('Данные 1st'!$QD$2:$QD$317))</f>
        <v>4</v>
      </c>
      <c r="GX5">
        <f>SUMPRODUCT(--('Данные 1st'!$S$2:$S$317=$A5),--ISNUMBER('Данные 1st'!$QF$2:$QF$317))</f>
        <v>4</v>
      </c>
      <c r="GY5">
        <f>SUMPRODUCT(--('Данные 1st'!$S$2:$S$317=$A5),--ISNUMBER('Данные 1st'!$QG$2:$QG$317))</f>
        <v>4</v>
      </c>
      <c r="GZ5">
        <f>SUMPRODUCT(--('Данные 1st'!$S$2:$S$317=$A5),--ISNUMBER('Данные 1st'!$QH$2:$QH$317))</f>
        <v>4</v>
      </c>
      <c r="HA5">
        <f>SUMPRODUCT(--('Данные 1st'!$S$2:$S$317=$A5),--ISNUMBER('Данные 1st'!$QI$2:$QI$317))</f>
        <v>4</v>
      </c>
      <c r="HB5">
        <f>SUMPRODUCT(--('Данные 1st'!$S$2:$S$317=$A5),--ISNUMBER('Данные 1st'!$QK$2:$QK$317))</f>
        <v>0</v>
      </c>
      <c r="HC5">
        <f>SUMPRODUCT(--('Данные 1st'!$S$2:$S$317=$A5),--ISNUMBER('Данные 1st'!$QL$2:$QL$317))</f>
        <v>4</v>
      </c>
      <c r="HD5">
        <f>SUMPRODUCT(--('Данные 1st'!$S$2:$S$317=$A5),--ISNUMBER('Данные 1st'!$QM$2:$QM$317))</f>
        <v>4</v>
      </c>
      <c r="HE5">
        <f>SUMPRODUCT(--('Данные 1st'!$S$2:$S$317=$A5),--ISNUMBER('Данные 1st'!$QN$2:$QN$317))</f>
        <v>4</v>
      </c>
      <c r="HF5">
        <f>SUMPRODUCT(--('Данные 1st'!$S$2:$S$317=$A5),--ISNUMBER('Данные 1st'!$QP$2:$QP$317))</f>
        <v>4</v>
      </c>
      <c r="HG5">
        <f>SUMPRODUCT(--('Данные 1st'!$S$2:$S$317=$A5),--ISNUMBER('Данные 1st'!$QQ$2:$QQ$317))</f>
        <v>4</v>
      </c>
      <c r="HH5">
        <f>SUMPRODUCT(--('Данные 1st'!$S$2:$S$317=$A5),--ISNUMBER('Данные 1st'!$QR$2:$QR$317))</f>
        <v>0</v>
      </c>
      <c r="HI5">
        <f>SUMPRODUCT(--('Данные 1st'!$S$2:$S$317=$A5),--ISNUMBER('Данные 1st'!$QS$2:$QS$317))</f>
        <v>0</v>
      </c>
      <c r="HJ5">
        <f>SUMPRODUCT(--('Данные 1st'!$S$2:$S$317=$A5),--ISNUMBER('Данные 1st'!$QU$2:$QU$317))</f>
        <v>0</v>
      </c>
      <c r="HK5">
        <f>SUMPRODUCT(--('Данные 1st'!$S$2:$S$317=$A5),--ISNUMBER('Данные 1st'!$QV$2:$QV$317))</f>
        <v>0</v>
      </c>
      <c r="HL5">
        <f>SUMPRODUCT(--('Данные 1st'!$S$2:$S$317=$A5),--ISNUMBER('Данные 1st'!$QW$2:$QW$317))</f>
        <v>4</v>
      </c>
      <c r="HM5">
        <f>SUMPRODUCT(--('Данные 1st'!$S$2:$S$317=$A5),--ISNUMBER('Данные 1st'!$QX$2:$QX$317))</f>
        <v>4</v>
      </c>
      <c r="HN5">
        <f>SUMPRODUCT(--('Данные 1st'!$S$2:$S$317=$A5),--ISNUMBER('Данные 1st'!$QZ$2:$QZ$317))</f>
        <v>4</v>
      </c>
      <c r="HO5">
        <f>SUMPRODUCT(--('Данные 1st'!$S$2:$S$317=$A5),--ISNUMBER('Данные 1st'!$RA$2:$RA$317))</f>
        <v>4</v>
      </c>
      <c r="HP5">
        <f>SUMPRODUCT(--('Данные 1st'!$S$2:$S$317=$A5),--ISNUMBER('Данные 1st'!$RB$2:$RB$317))</f>
        <v>4</v>
      </c>
      <c r="HQ5">
        <f>SUMPRODUCT(--('Данные 1st'!$S$2:$S$317=$A5),--ISNUMBER('Данные 1st'!$RD$2:$RD$317))</f>
        <v>0</v>
      </c>
      <c r="HR5">
        <f>SUMPRODUCT(--('Данные 1st'!$S$2:$S$317=$A5),--ISNUMBER('Данные 1st'!$RE$2:$RE$317))</f>
        <v>4</v>
      </c>
      <c r="HS5">
        <f>SUMPRODUCT(--('Данные 1st'!$S$2:$S$317=$A5),--ISNUMBER('Данные 1st'!$RF$2:$RF$317))</f>
        <v>3</v>
      </c>
      <c r="HT5">
        <f>SUMPRODUCT(--('Данные 1st'!$S$2:$S$317=$A5),--ISNUMBER('Данные 1st'!$RG$2:$RG$317))</f>
        <v>1</v>
      </c>
      <c r="HU5">
        <f>SUMPRODUCT(--('Данные 1st'!$S$2:$S$317=$A5),--ISNUMBER('Данные 1st'!$RH$2:$RH$317))</f>
        <v>0</v>
      </c>
      <c r="HV5">
        <f>SUMPRODUCT(--('Данные 1st'!$S$2:$S$317=$A5),--ISNUMBER('Данные 1st'!$RI$2:$RI$317))</f>
        <v>0</v>
      </c>
      <c r="HW5">
        <f>SUMPRODUCT(--('Данные 1st'!$S$2:$S$317=$A5),--ISNUMBER('Данные 1st'!$RJ$2:$RJ$317))</f>
        <v>4</v>
      </c>
      <c r="HX5">
        <f>SUMPRODUCT(--('Данные 1st'!$S$2:$S$317=$A5),--ISNUMBER('Данные 1st'!$RK$2:$RK$317))</f>
        <v>0</v>
      </c>
      <c r="HY5">
        <f>SUMPRODUCT(--('Данные 1st'!$S$2:$S$317=$A5),--ISNUMBER('Данные 1st'!$RL$2:$RL$317))</f>
        <v>4</v>
      </c>
      <c r="HZ5">
        <f>SUMPRODUCT(--('Данные 1st'!$S$2:$S$317=$A5),--ISNUMBER('Данные 1st'!$RM$2:$RM$317))</f>
        <v>0</v>
      </c>
      <c r="IA5">
        <f>SUMPRODUCT(--('Данные 1st'!$S$2:$S$317=$A5),--ISNUMBER('Данные 1st'!$RN$2:$RN$317))</f>
        <v>0</v>
      </c>
      <c r="IB5">
        <f>SUMPRODUCT(--('Данные 1st'!$S$2:$S$317=$A5),--ISNUMBER('Данные 1st'!$RO$2:$RO$317))</f>
        <v>4</v>
      </c>
      <c r="IC5">
        <f>SUMPRODUCT(--('Данные 1st'!$S$2:$S$317=$A5),--ISNUMBER('Данные 1st'!$RP$2:$RP$317))</f>
        <v>0</v>
      </c>
      <c r="ID5">
        <f>SUMPRODUCT(--('Данные 1st'!$S$2:$S$317=$A5),--ISNUMBER('Данные 1st'!$RQ$2:$RQ$317))</f>
        <v>4</v>
      </c>
      <c r="IE5">
        <f>SUMPRODUCT(--('Данные 1st'!$S$2:$S$317=$A5),--ISNUMBER('Данные 1st'!$RR$2:$RR$317))</f>
        <v>0</v>
      </c>
      <c r="IF5">
        <f>SUMPRODUCT(--('Данные 1st'!$S$2:$S$317=$A5),--ISNUMBER('Данные 1st'!$RS$2:$RS$317))</f>
        <v>0</v>
      </c>
      <c r="IG5">
        <f>SUMPRODUCT(--('Данные 1st'!$S$2:$S$317=$A5),--ISNUMBER('Данные 1st'!$RT$2:$RT$317))</f>
        <v>4</v>
      </c>
      <c r="IH5">
        <f>SUMPRODUCT(--('Данные 1st'!$S$2:$S$317=$A5),--ISNUMBER('Данные 1st'!$RU$2:$RU$317))</f>
        <v>4</v>
      </c>
      <c r="II5">
        <f>SUMPRODUCT(--('Данные 1st'!$S$2:$S$317=$A5),--ISNUMBER('Данные 1st'!$RX$2:$RX$317))</f>
        <v>4</v>
      </c>
      <c r="IJ5">
        <f>SUMPRODUCT(--('Данные 1st'!$S$2:$S$317=$A5),--ISNUMBER('Данные 1st'!$RY$2:$RY$317))</f>
        <v>4</v>
      </c>
      <c r="IK5">
        <f>SUMPRODUCT(--('Данные 1st'!$S$2:$S$317=$A5),--ISNUMBER('Данные 1st'!$SA$2:$SA$317))</f>
        <v>4</v>
      </c>
      <c r="IL5">
        <f>SUMPRODUCT(--('Данные 1st'!$S$2:$S$317=$A5),--ISNUMBER('Данные 1st'!$SD$2:$SD$317))</f>
        <v>4</v>
      </c>
      <c r="IM5">
        <f>SUMPRODUCT(--('Данные 1st'!$S$2:$S$317=$A5),--ISNUMBER('Данные 1st'!$SG$2:$SG$317))</f>
        <v>0</v>
      </c>
      <c r="IN5">
        <f>SUMPRODUCT(--('Данные 1st'!$S$2:$S$317=$A5),--ISNUMBER('Данные 1st'!$SH$2:$SH$317))</f>
        <v>4</v>
      </c>
      <c r="IO5">
        <f>SUMPRODUCT(--('Данные 1st'!$S$2:$S$317=$A5),--ISNUMBER('Данные 1st'!$SI$2:$SI$317))</f>
        <v>4</v>
      </c>
      <c r="IP5">
        <f>SUMPRODUCT(--('Данные 1st'!$S$2:$S$317=$A5),--ISNUMBER('Данные 1st'!$SJ$2:$SJ$317))</f>
        <v>4</v>
      </c>
      <c r="IQ5">
        <f>SUMPRODUCT(--('Данные 1st'!$S$2:$S$317=$A5),--ISNUMBER('Данные 1st'!$SK$2:$SK$317))</f>
        <v>4</v>
      </c>
      <c r="IR5">
        <f>SUMPRODUCT(--('Данные 1st'!$S$2:$S$317=$A5),--ISNUMBER('Данные 1st'!$SL$2:$SL$317))</f>
        <v>4</v>
      </c>
      <c r="IS5">
        <f>SUMPRODUCT(--('Данные 1st'!$S$2:$S$317=$A5),--ISNUMBER('Данные 1st'!$SM$2:$SM$317))</f>
        <v>4</v>
      </c>
      <c r="IT5">
        <f>SUMPRODUCT(--('Данные 1st'!$S$2:$S$317=$A5),--ISNUMBER('Данные 1st'!$SN$2:$SN$317))</f>
        <v>4</v>
      </c>
      <c r="IU5">
        <f>SUMPRODUCT(--('Данные 1st'!$S$2:$S$317=$A5),--ISNUMBER('Данные 1st'!$SO$2:$SO$317))</f>
        <v>4</v>
      </c>
      <c r="IV5">
        <f>SUMPRODUCT(--('Данные 1st'!$S$2:$S$317=$A5),--ISNUMBER('Данные 1st'!$SP$2:$SP$317))</f>
        <v>4</v>
      </c>
      <c r="IW5">
        <f>SUMPRODUCT(--('Данные 1st'!$S$2:$S$317=$A5),--ISNUMBER('Данные 1st'!$SQ$2:$SQ$317))</f>
        <v>4</v>
      </c>
      <c r="IX5">
        <f>SUMPRODUCT(--('Данные 1st'!$S$2:$S$317=$A5),--ISNUMBER('Данные 1st'!$SR$2:$SR$317))</f>
        <v>4</v>
      </c>
      <c r="IY5">
        <f>SUMPRODUCT(--('Данные 1st'!$S$2:$S$317=$A5),--ISNUMBER('Данные 1st'!$SS$2:$SS$317))</f>
        <v>4</v>
      </c>
      <c r="IZ5">
        <f>SUMPRODUCT(--('Данные 1st'!$S$2:$S$317=$A5),--ISNUMBER('Данные 1st'!$ST$2:$ST$317))</f>
        <v>4</v>
      </c>
      <c r="JA5">
        <f>SUMPRODUCT(--('Данные 1st'!$S$2:$S$317=$A5),--ISNUMBER('Данные 1st'!$SU$2:$SU$317))</f>
        <v>4</v>
      </c>
      <c r="JB5">
        <f>SUMPRODUCT(--('Данные 1st'!$S$2:$S$317=$A5),--ISNUMBER('Данные 1st'!$SV$2:$SV$317))</f>
        <v>4</v>
      </c>
      <c r="JC5">
        <f>SUMPRODUCT(--('Данные 1st'!$S$2:$S$317=$A5),--ISNUMBER('Данные 1st'!$SW$2:$SW$317))</f>
        <v>4</v>
      </c>
      <c r="JD5">
        <f>SUMPRODUCT(--('Данные 1st'!$S$2:$S$317=$A5),--ISNUMBER('Данные 1st'!$SX$2:$SX$317))</f>
        <v>4</v>
      </c>
      <c r="JE5">
        <f>SUMPRODUCT(--('Данные 1st'!$S$2:$S$317=$A5),--ISNUMBER('Данные 1st'!$SY$2:$SY$317))</f>
        <v>0</v>
      </c>
      <c r="JF5">
        <f>SUMPRODUCT(--('Данные 1st'!$S$2:$S$317=$A5),--ISNUMBER('Данные 1st'!$SZ$2:$SZ$317))</f>
        <v>0</v>
      </c>
      <c r="JG5">
        <f>SUMPRODUCT(--('Данные 1st'!$S$2:$S$317=$A5),--ISNUMBER('Данные 1st'!$TA$2:$TA$317))</f>
        <v>0</v>
      </c>
      <c r="JH5">
        <f>SUMPRODUCT(--('Данные 1st'!$S$2:$S$317=$A5),--ISNUMBER('Данные 1st'!$TB$2:$TB$317))</f>
        <v>4</v>
      </c>
      <c r="JI5">
        <f>SUMPRODUCT(--('Данные 1st'!$S$2:$S$317=$A5),--ISNUMBER('Данные 1st'!$TC$2:$TC$317))</f>
        <v>4</v>
      </c>
      <c r="JJ5">
        <f>SUMPRODUCT(--('Данные 1st'!$S$2:$S$317=$A5),--ISNUMBER('Данные 1st'!$TD$2:$TD$317))</f>
        <v>4</v>
      </c>
      <c r="JK5">
        <f>SUMPRODUCT(--('Данные 1st'!$S$2:$S$317=$A5),--ISNUMBER('Данные 1st'!$TN$2:$TN$317))</f>
        <v>4</v>
      </c>
      <c r="JQ5">
        <f>SUMPRODUCT(--('Данные 2st'!$Q$2:$Q$317=$A5),--ISNUMBER('Данные 2st'!$AC$2:$AC$317))</f>
        <v>4</v>
      </c>
      <c r="JR5">
        <f>SUMPRODUCT(--('Данные 2st'!$Q$2:$Q$317=$A5),--ISNUMBER('Данные 2st'!$AF$2:$AF$317))</f>
        <v>4</v>
      </c>
      <c r="JS5">
        <f>SUMPRODUCT(--('Данные 2st'!$Q$2:$Q$317=$A5),--ISNUMBER('Данные 2st'!$AW$2:$AW$317))</f>
        <v>4</v>
      </c>
      <c r="JT5">
        <f>SUMPRODUCT(--('Данные 2st'!$Q$2:$Q$317=$A5),--ISNUMBER('Данные 2st'!$AX$2:$AX$317))</f>
        <v>4</v>
      </c>
      <c r="JU5">
        <f>SUMPRODUCT(--('Данные 2st'!$Q$2:$Q$317=$A5),--ISNUMBER('Данные 2st'!$AY$2:$AY$317))</f>
        <v>4</v>
      </c>
      <c r="JV5">
        <f>SUMPRODUCT(--('Данные 2st'!$Q$2:$Q$317=$A5),--ISNUMBER('Данные 2st'!$AZ$2:$AZ$317))</f>
        <v>4</v>
      </c>
      <c r="JW5">
        <f>SUMPRODUCT(--('Данные 2st'!$Q$2:$Q$317=$A5),--ISNUMBER('Данные 2st'!$BA$2:$BA$317))</f>
        <v>0</v>
      </c>
      <c r="JX5">
        <f>SUMPRODUCT(--('Данные 2st'!$Q$2:$Q$317=$A5),--ISNUMBER('Данные 2st'!$BB$2:$BB$317))</f>
        <v>0</v>
      </c>
      <c r="JY5">
        <f>SUMPRODUCT(--('Данные 2st'!$Q$2:$Q$317=$A5),--ISNUMBER('Данные 2st'!$BC$2:$BC$317))</f>
        <v>0</v>
      </c>
      <c r="JZ5">
        <f>SUMPRODUCT(--('Данные 2st'!$Q$2:$Q$317=$A5),--ISNUMBER('Данные 2st'!$BH$2:$BH$317))</f>
        <v>4</v>
      </c>
      <c r="KA5">
        <f>SUMPRODUCT(--('Данные 2st'!$Q$2:$Q$317=$A5),--ISNUMBER('Данные 2st'!$BI$2:$BI$317))</f>
        <v>4</v>
      </c>
      <c r="KB5">
        <f>SUMPRODUCT(--('Данные 2st'!$Q$2:$Q$317=$A5),--ISNUMBER('Данные 2st'!$BJ$2:$BJ$317))</f>
        <v>4</v>
      </c>
      <c r="KC5">
        <f>SUMPRODUCT(--('Данные 2st'!$Q$2:$Q$317=$A5),--ISNUMBER('Данные 2st'!$BK$2:$BK$317))</f>
        <v>4</v>
      </c>
      <c r="KD5">
        <f>SUMPRODUCT(--('Данные 2st'!$Q$2:$Q$317=$A5),--ISNUMBER('Данные 2st'!$BL$2:$BL$317))</f>
        <v>4</v>
      </c>
      <c r="KE5">
        <f>SUMPRODUCT(--('Данные 2st'!$Q$2:$Q$317=$A5),--ISNUMBER('Данные 2st'!$BM$2:$BM$317))</f>
        <v>4</v>
      </c>
      <c r="KF5">
        <f>SUMPRODUCT(--('Данные 2st'!$Q$2:$Q$317=$A5),--ISNUMBER('Данные 2st'!$BN$2:$BN$317))</f>
        <v>4</v>
      </c>
      <c r="KG5">
        <f>SUMPRODUCT(--('Данные 2st'!$Q$2:$Q$317=$A5),--ISNUMBER('Данные 2st'!$BO$2:$BO$317))</f>
        <v>1</v>
      </c>
      <c r="KH5">
        <f>SUMPRODUCT(--('Данные 2st'!$Q$2:$Q$317=$A5),--ISNUMBER('Данные 2st'!$BP$2:$BP$317))</f>
        <v>4</v>
      </c>
      <c r="KI5">
        <f>SUMPRODUCT(--('Данные 2st'!$Q$2:$Q$317=$A5),--ISNUMBER('Данные 2st'!$BR$2:$BR$317))</f>
        <v>4</v>
      </c>
      <c r="KJ5">
        <f>SUMPRODUCT(--('Данные 2st'!$Q$2:$Q$317=$A5),--ISNUMBER('Данные 2st'!$BS$2:$BS$317))</f>
        <v>4</v>
      </c>
      <c r="KK5">
        <f>SUMPRODUCT(--('Данные 2st'!$Q$2:$Q$317=$A5),--ISNUMBER('Данные 2st'!$BT$2:$BT$317))</f>
        <v>4</v>
      </c>
      <c r="KL5">
        <f>SUMPRODUCT(--('Данные 2st'!$Q$2:$Q$317=$A5),--ISNUMBER('Данные 2st'!$CV$2:$CV$317))</f>
        <v>4</v>
      </c>
      <c r="KM5">
        <f>SUMPRODUCT(--('Данные 2st'!$Q$2:$Q$317=$A5),--ISNUMBER('Данные 2st'!$CW$2:$CW$317))</f>
        <v>4</v>
      </c>
      <c r="KN5">
        <f>SUMPRODUCT(--('Данные 2st'!$Q$2:$Q$317=$A5),--ISNUMBER('Данные 2st'!$CX$2:$CX$317))</f>
        <v>4</v>
      </c>
      <c r="KO5">
        <f>SUMPRODUCT(--('Данные 2st'!$Q$2:$Q$317=$A5),--ISNUMBER('Данные 2st'!$CY$2:$CY$317))</f>
        <v>4</v>
      </c>
      <c r="KP5">
        <f>SUMPRODUCT(--('Данные 2st'!$Q$2:$Q$317=$A5),--ISNUMBER('Данные 2st'!$CZ$2:$CZ$317))</f>
        <v>4</v>
      </c>
      <c r="KQ5">
        <f>SUMPRODUCT(--('Данные 2st'!$Q$2:$Q$317=$A5),--ISNUMBER('Данные 2st'!$DA$2:$DA$317))</f>
        <v>4</v>
      </c>
      <c r="KR5">
        <f>SUMPRODUCT(--('Данные 2st'!$Q$2:$Q$317=$A5),--ISNUMBER('Данные 2st'!$DB$2:$DB$317))</f>
        <v>4</v>
      </c>
      <c r="KS5">
        <f>SUMPRODUCT(--('Данные 2st'!$Q$2:$Q$317=$A5),--ISNUMBER('Данные 2st'!$DC$2:$DC$317))</f>
        <v>4</v>
      </c>
      <c r="KT5">
        <f>SUMPRODUCT(--('Данные 2st'!$Q$2:$Q$317=$A5),--ISNUMBER('Данные 2st'!$DD$2:$DD$317))</f>
        <v>4</v>
      </c>
      <c r="KU5">
        <f>SUMPRODUCT(--('Данные 2st'!$Q$2:$Q$317=$A5),--ISNUMBER('Данные 2st'!$DE$2:$DE$317))</f>
        <v>4</v>
      </c>
      <c r="KV5">
        <f>SUMPRODUCT(--('Данные 2st'!$Q$2:$Q$317=$A5),--ISNUMBER('Данные 2st'!$DF$2:$DF$317))</f>
        <v>4</v>
      </c>
      <c r="KW5">
        <f>SUMPRODUCT(--('Данные 2st'!$Q$2:$Q$317=$A5),--ISNUMBER('Данные 2st'!$DG$2:$DG$317))</f>
        <v>4</v>
      </c>
      <c r="KX5">
        <f>SUMPRODUCT(--('Данные 2st'!$Q$2:$Q$317=$A5),--ISNUMBER('Данные 2st'!$DH$2:$DH$317))</f>
        <v>0</v>
      </c>
      <c r="KY5">
        <f>SUMPRODUCT(--('Данные 2st'!$Q$2:$Q$317=$A5),--ISNUMBER('Данные 2st'!$DI$2:$DI$317))</f>
        <v>0</v>
      </c>
      <c r="KZ5">
        <f>SUMPRODUCT(--('Данные 2st'!$Q$2:$Q$317=$A5),--ISNUMBER('Данные 2st'!$DK$2:$DK$317))</f>
        <v>4</v>
      </c>
      <c r="LA5">
        <f>SUMPRODUCT(--('Данные 2st'!$Q$2:$Q$317=$A5),--ISNUMBER('Данные 2st'!$DM$2:$DM$317))</f>
        <v>4</v>
      </c>
      <c r="LB5">
        <f>SUMPRODUCT(--('Данные 2st'!$Q$2:$Q$317=$A5),--ISNUMBER('Данные 2st'!$DN$2:$DN$317))</f>
        <v>4</v>
      </c>
      <c r="LC5">
        <f>SUMPRODUCT(--('Данные 2st'!$Q$2:$Q$317=$A5),--ISNUMBER('Данные 2st'!$DO$2:$DO$317))</f>
        <v>4</v>
      </c>
      <c r="LD5">
        <f>SUMPRODUCT(--('Данные 2st'!$Q$2:$Q$317=$A5),--ISNUMBER('Данные 2st'!$DP$2:$DP$317))</f>
        <v>4</v>
      </c>
      <c r="LE5">
        <f>SUMPRODUCT(--('Данные 2st'!$Q$2:$Q$317=$A5),--ISNUMBER('Данные 2st'!$DQ$2:$DQ$317))</f>
        <v>4</v>
      </c>
      <c r="LF5">
        <f>SUMPRODUCT(--('Данные 2st'!$Q$2:$Q$317=$A5),--ISNUMBER('Данные 2st'!$DS$2:$DS$317))</f>
        <v>4</v>
      </c>
      <c r="LG5">
        <f>SUMPRODUCT(--('Данные 2st'!$Q$2:$Q$317=$A5),--ISNUMBER('Данные 2st'!$DU$2:$DU$317))</f>
        <v>4</v>
      </c>
      <c r="LH5">
        <f>SUMPRODUCT(--('Данные 2st'!$Q$2:$Q$317=$A5),--ISNUMBER('Данные 2st'!$DV$2:$DV$317))</f>
        <v>4</v>
      </c>
      <c r="LI5">
        <f>SUMPRODUCT(--('Данные 2st'!$Q$2:$Q$317=$A5),--ISNUMBER('Данные 2st'!$DW$2:$DW$317))</f>
        <v>4</v>
      </c>
      <c r="LJ5">
        <f>SUMPRODUCT(--('Данные 2st'!$Q$2:$Q$317=$A5),--ISNUMBER('Данные 2st'!$DX$2:$DX$317))</f>
        <v>4</v>
      </c>
      <c r="LK5">
        <f>SUMPRODUCT(--('Данные 2st'!$Q$2:$Q$317=$A5),--ISNUMBER('Данные 2st'!$DY$2:$DY$317))</f>
        <v>4</v>
      </c>
      <c r="LL5">
        <f>SUMPRODUCT(--('Данные 2st'!$Q$2:$Q$317=$A5),--ISNUMBER('Данные 2st'!$EA$2:$EA$317))</f>
        <v>4</v>
      </c>
      <c r="LM5">
        <f>SUMPRODUCT(--('Данные 2st'!$Q$2:$Q$317=$A5),--ISNUMBER('Данные 2st'!$EC$2:$EC$317))</f>
        <v>4</v>
      </c>
      <c r="LN5">
        <f>SUMPRODUCT(--('Данные 2st'!$Q$2:$Q$317=$A5),--ISNUMBER('Данные 2st'!$ED$2:$ED$317))</f>
        <v>4</v>
      </c>
      <c r="LO5">
        <f>SUMPRODUCT(--('Данные 2st'!$Q$2:$Q$317=$A5),--ISNUMBER('Данные 2st'!$EE$2:$EE$317))</f>
        <v>4</v>
      </c>
      <c r="LP5">
        <f>SUMPRODUCT(--('Данные 2st'!$Q$2:$Q$317=$A5),--ISNUMBER('Данные 2st'!$EG$2:$EG$317))</f>
        <v>4</v>
      </c>
      <c r="LQ5">
        <f>SUMPRODUCT(--('Данные 2st'!$Q$2:$Q$317=$A5),--ISNUMBER('Данные 2st'!$EI$2:$EI$317))</f>
        <v>4</v>
      </c>
      <c r="LR5">
        <f>SUMPRODUCT(--('Данные 2st'!$Q$2:$Q$317=$A5),--ISNUMBER('Данные 2st'!$EJ$2:$EJ$317))</f>
        <v>4</v>
      </c>
      <c r="LS5">
        <f>SUMPRODUCT(--('Данные 2st'!$Q$2:$Q$317=$A5),--ISNUMBER('Данные 2st'!$EK$2:$EK$317))</f>
        <v>4</v>
      </c>
      <c r="LT5">
        <f>SUMPRODUCT(--('Данные 2st'!$Q$2:$Q$317=$A5),--ISNUMBER('Данные 2st'!$EM$2:$EM$317))</f>
        <v>4</v>
      </c>
      <c r="LU5">
        <f>SUMPRODUCT(--('Данные 2st'!$Q$2:$Q$317=$A5),--ISNUMBER('Данные 2st'!$EN$2:$EN$317))</f>
        <v>4</v>
      </c>
      <c r="LV5">
        <f>SUMPRODUCT(--('Данные 2st'!$Q$2:$Q$317=$A5),--ISNUMBER('Данные 2st'!$EO$2:$EO$317))</f>
        <v>4</v>
      </c>
      <c r="LW5">
        <f>SUMPRODUCT(--('Данные 2st'!$Q$2:$Q$317=$A5),--ISNUMBER('Данные 2st'!$EP$2:$EP$317))</f>
        <v>4</v>
      </c>
      <c r="LX5">
        <f>SUMPRODUCT(--('Данные 2st'!$Q$2:$Q$317=$A5),--ISNUMBER('Данные 2st'!$EQ$2:$EQ$317))</f>
        <v>4</v>
      </c>
      <c r="LY5">
        <f>SUMPRODUCT(--('Данные 2st'!$Q$2:$Q$317=$A5),--ISNUMBER('Данные 2st'!$ER$2:$ER$317))</f>
        <v>4</v>
      </c>
      <c r="LZ5">
        <f>SUMPRODUCT(--('Данные 2st'!$Q$2:$Q$317=$A5),--ISNUMBER('Данные 2st'!$ES$2:$ES$317))</f>
        <v>4</v>
      </c>
      <c r="MA5">
        <f>SUMPRODUCT(--('Данные 2st'!$Q$2:$Q$317=$A5),--ISNUMBER('Данные 2st'!$ET$2:$ET$317))</f>
        <v>4</v>
      </c>
      <c r="MB5">
        <f>SUMPRODUCT(--('Данные 2st'!$Q$2:$Q$317=$A5),--ISNUMBER('Данные 2st'!$EU$2:$EU$317))</f>
        <v>4</v>
      </c>
      <c r="MC5">
        <f>SUMPRODUCT(--('Данные 2st'!$Q$2:$Q$317=$A5),--ISNUMBER('Данные 2st'!$EV$2:$EV$317))</f>
        <v>4</v>
      </c>
      <c r="MD5">
        <f>SUMPRODUCT(--('Данные 2st'!$Q$2:$Q$317=$A5),--ISNUMBER('Данные 2st'!$EW$2:$EW$317))</f>
        <v>4</v>
      </c>
      <c r="ME5">
        <f>SUMPRODUCT(--('Данные 2st'!$Q$2:$Q$317=$A5),--ISNUMBER('Данные 2st'!$EY$2:$EY$317))</f>
        <v>4</v>
      </c>
      <c r="MF5">
        <f>SUMPRODUCT(--('Данные 2st'!$Q$2:$Q$317=$A5),--ISNUMBER('Данные 2st'!$FA$2:$FA$317))</f>
        <v>4</v>
      </c>
      <c r="MG5">
        <f>SUMPRODUCT(--('Данные 2st'!$Q$2:$Q$317=$A5),--ISNUMBER('Данные 2st'!$FB$2:$FB$317))</f>
        <v>4</v>
      </c>
      <c r="MH5">
        <f>SUMPRODUCT(--('Данные 2st'!$Q$2:$Q$317=$A5),--ISNUMBER('Данные 2st'!$FC$2:$FC$317))</f>
        <v>4</v>
      </c>
      <c r="MI5">
        <f>SUMPRODUCT(--('Данные 2st'!$Q$2:$Q$317=$A5),--ISNUMBER('Данные 2st'!$FD$2:$FD$317))</f>
        <v>4</v>
      </c>
      <c r="MJ5">
        <f>SUMPRODUCT(--('Данные 2st'!$Q$2:$Q$317=$A5),--ISNUMBER('Данные 2st'!$FE$2:$FE$317))</f>
        <v>4</v>
      </c>
      <c r="MK5">
        <f>SUMPRODUCT(--('Данные 2st'!$Q$2:$Q$317=$A5),--ISNUMBER('Данные 2st'!$FG$2:$FG$317))</f>
        <v>4</v>
      </c>
      <c r="ML5">
        <f>SUMPRODUCT(--('Данные 2st'!$Q$2:$Q$317=$A5),--ISNUMBER('Данные 2st'!$FI$2:$FI$317))</f>
        <v>4</v>
      </c>
      <c r="MM5">
        <f>SUMPRODUCT(--('Данные 2st'!$Q$2:$Q$317=$A5),--ISNUMBER('Данные 2st'!$FJ$2:$FJ$317))</f>
        <v>4</v>
      </c>
      <c r="MN5">
        <f>SUMPRODUCT(--('Данные 2st'!$Q$2:$Q$317=$A5),--ISNUMBER('Данные 2st'!$FK$2:$FK$317))</f>
        <v>4</v>
      </c>
      <c r="MO5">
        <f>SUMPRODUCT(--('Данные 2st'!$Q$2:$Q$317=$A5),--ISNUMBER('Данные 2st'!$FP$2:$FP$317))</f>
        <v>4</v>
      </c>
      <c r="MP5">
        <f>SUMPRODUCT(--('Данные 2st'!$Q$2:$Q$317=$A5),--ISNUMBER('Данные 2st'!$FQ$2:$FQ$317))</f>
        <v>4</v>
      </c>
      <c r="MQ5">
        <f>SUMPRODUCT(--('Данные 2st'!$Q$2:$Q$317=$A5),--ISNUMBER('Данные 2st'!$FS$2:$FS$317))</f>
        <v>4</v>
      </c>
      <c r="MR5">
        <f>SUMPRODUCT(--('Данные 2st'!$Q$2:$Q$317=$A5),--ISNUMBER('Данные 2st'!$FU$2:$FU$317))</f>
        <v>4</v>
      </c>
      <c r="MS5">
        <f>SUMPRODUCT(--('Данные 2st'!$Q$2:$Q$317=$A5),--ISNUMBER('Данные 2st'!$FV$2:$FV$317))</f>
        <v>4</v>
      </c>
      <c r="MT5">
        <f>SUMPRODUCT(--('Данные 2st'!$Q$2:$Q$317=$A5),--ISNUMBER('Данные 2st'!$FW$2:$FW$317))</f>
        <v>4</v>
      </c>
      <c r="MU5">
        <f>SUMPRODUCT(--('Данные 2st'!$Q$2:$Q$317=$A5),--ISNUMBER('Данные 2st'!$FY$2:$FY$317))</f>
        <v>3</v>
      </c>
      <c r="MV5">
        <f>SUMPRODUCT(--('Данные 2st'!$Q$2:$Q$317=$A5),--ISNUMBER('Данные 2st'!$GB$2:$GB$317))</f>
        <v>3</v>
      </c>
      <c r="MW5">
        <f>SUMPRODUCT(--('Данные 2st'!$Q$2:$Q$317=$A5),--ISNUMBER('Данные 2st'!$GC$2:$GC$317))</f>
        <v>3</v>
      </c>
      <c r="MX5">
        <f>SUMPRODUCT(--('Данные 2st'!$Q$2:$Q$317=$A5),--ISNUMBER('Данные 2st'!$GD$2:$GD$317))</f>
        <v>4</v>
      </c>
      <c r="MY5">
        <f>SUMPRODUCT(--('Данные 2st'!$Q$2:$Q$317=$A5),--ISNUMBER('Данные 2st'!$GN$2:$GN$317))</f>
        <v>0</v>
      </c>
      <c r="MZ5">
        <f>SUMPRODUCT(--('Данные 2st'!$Q$2:$Q$317=$A5),--ISNUMBER('Данные 2st'!$GQ$2:$GQ$317))</f>
        <v>3</v>
      </c>
      <c r="NA5">
        <f>SUMPRODUCT(--('Данные 2st'!$Q$2:$Q$317=$A5),--ISNUMBER('Данные 2st'!$GV$2:$GV$317))</f>
        <v>4</v>
      </c>
      <c r="NB5">
        <f>SUMPRODUCT(--('Данные 2st'!$Q$2:$Q$317=$A5),--ISNUMBER('Данные 2st'!$GW$2:$GW$317))</f>
        <v>4</v>
      </c>
      <c r="NC5">
        <f>SUMPRODUCT(--('Данные 2st'!$Q$2:$Q$317=$A5),--ISNUMBER('Данные 2st'!$GX$2:$GX$317))</f>
        <v>4</v>
      </c>
      <c r="ND5">
        <f>SUMPRODUCT(--('Данные 2st'!$Q$2:$Q$317=$A5),--ISNUMBER('Данные 2st'!$GY$2:$GY$317))</f>
        <v>4</v>
      </c>
      <c r="NE5">
        <f>SUMPRODUCT(--('Данные 2st'!$Q$2:$Q$317=$A5),--ISNUMBER('Данные 2st'!$GZ$2:$GZ$317))</f>
        <v>4</v>
      </c>
      <c r="NF5">
        <f>SUMPRODUCT(--('Данные 2st'!$Q$2:$Q$317=$A5),--ISNUMBER('Данные 2st'!$HA$2:$HA$317))</f>
        <v>4</v>
      </c>
      <c r="NG5">
        <f>SUMPRODUCT(--('Данные 2st'!$Q$2:$Q$317=$A5),--ISNUMBER('Данные 2st'!$HB$2:$HB$317))</f>
        <v>4</v>
      </c>
      <c r="NH5">
        <f>SUMPRODUCT(--('Данные 2st'!$Q$2:$Q$317=$A5),--ISNUMBER('Данные 2st'!$HC$2:$HC$317))</f>
        <v>4</v>
      </c>
      <c r="NI5">
        <f>SUMPRODUCT(--('Данные 2st'!$Q$2:$Q$317=$A5),--ISNUMBER('Данные 2st'!$HD$2:$HD$317))</f>
        <v>4</v>
      </c>
      <c r="NJ5">
        <f>SUMPRODUCT(--('Данные 2st'!$Q$2:$Q$317=$A5),--ISNUMBER('Данные 2st'!$HM$2:$HM$317))</f>
        <v>4</v>
      </c>
      <c r="NK5">
        <f>SUMPRODUCT(--('Данные 2st'!$Q$2:$Q$317=$A5),--ISNUMBER('Данные 2st'!$HR$2:$HR$317))</f>
        <v>4</v>
      </c>
      <c r="NL5">
        <f>SUMPRODUCT(--('Данные 2st'!$Q$2:$Q$317=$A5),--ISNUMBER('Данные 2st'!$HS$2:$HS$317))</f>
        <v>4</v>
      </c>
      <c r="NM5">
        <f>SUMPRODUCT(--('Данные 2st'!$Q$2:$Q$317=$A5),--ISNUMBER('Данные 2st'!$HT$2:$HT$317))</f>
        <v>4</v>
      </c>
      <c r="NN5">
        <f>SUMPRODUCT(--('Данные 2st'!$Q$2:$Q$317=$A5),--ISNUMBER('Данные 2st'!$HY$2:$HY$317))</f>
        <v>4</v>
      </c>
      <c r="NO5">
        <f>SUMPRODUCT(--('Данные 2st'!$Q$2:$Q$317=$A5),--ISNUMBER('Данные 2st'!$HZ$2:$HZ$317))</f>
        <v>4</v>
      </c>
      <c r="NP5">
        <f>SUMPRODUCT(--('Данные 2st'!$Q$2:$Q$317=$A5),--ISNUMBER('Данные 2st'!$IA$2:$IA$317))</f>
        <v>4</v>
      </c>
      <c r="NQ5">
        <f>SUMPRODUCT(--('Данные 2st'!$Q$2:$Q$317=$A5),--ISNUMBER('Данные 2st'!$IB$2:$IB$317))</f>
        <v>4</v>
      </c>
      <c r="NR5">
        <f>SUMPRODUCT(--('Данные 2st'!$Q$2:$Q$317=$A5),--ISNUMBER('Данные 2st'!$IC$2:$IC$317))</f>
        <v>0</v>
      </c>
      <c r="NS5">
        <f>SUMPRODUCT(--('Данные 2st'!$Q$2:$Q$317=$A5),--ISNUMBER('Данные 2st'!$ID$2:$ID$317))</f>
        <v>4</v>
      </c>
      <c r="NT5">
        <f>SUMPRODUCT(--('Данные 2st'!$Q$2:$Q$317=$A5),--ISNUMBER('Данные 2st'!$IE$2:$IE$317))</f>
        <v>4</v>
      </c>
      <c r="NU5">
        <f>SUMPRODUCT(--('Данные 2st'!$Q$2:$Q$317=$A5),--ISNUMBER('Данные 2st'!$IF$2:$IF$317))</f>
        <v>4</v>
      </c>
      <c r="NV5">
        <f>SUMPRODUCT(--('Данные 2st'!$Q$2:$Q$317=$A5),--ISNUMBER('Данные 2st'!$IG$2:$IG$317))</f>
        <v>4</v>
      </c>
      <c r="NW5">
        <f>SUMPRODUCT(--('Данные 2st'!$Q$2:$Q$317=$A5),--ISNUMBER('Данные 2st'!$IH$2:$IH$317))</f>
        <v>4</v>
      </c>
      <c r="NX5">
        <f>SUMPRODUCT(--('Данные 2st'!$Q$2:$Q$317=$A5),--ISNUMBER('Данные 2st'!$IJ$2:$IJ$317))</f>
        <v>4</v>
      </c>
      <c r="NY5">
        <f>SUMPRODUCT(--('Данные 2st'!$Q$2:$Q$317=$A5),--ISNUMBER('Данные 2st'!$IM$2:$IM$317))</f>
        <v>4</v>
      </c>
      <c r="NZ5">
        <f>SUMPRODUCT(--('Данные 2st'!$Q$2:$Q$317=$A5),--ISNUMBER('Данные 2st'!$IN$2:$IN$317))</f>
        <v>4</v>
      </c>
      <c r="OA5">
        <f>SUMPRODUCT(--('Данные 2st'!$Q$2:$Q$317=$A5),--ISNUMBER('Данные 2st'!$IO$2:$IO$317))</f>
        <v>4</v>
      </c>
      <c r="OB5">
        <f>SUMPRODUCT(--('Данные 2st'!$Q$2:$Q$317=$A5),--ISNUMBER('Данные 2st'!$IP$2:$IP$317))</f>
        <v>4</v>
      </c>
      <c r="OC5">
        <f>SUMPRODUCT(--('Данные 2st'!$Q$2:$Q$317=$A5),--ISNUMBER('Данные 2st'!$IQ$2:$IQ$317))</f>
        <v>4</v>
      </c>
      <c r="OD5">
        <f>SUMPRODUCT(--('Данные 2st'!$Q$2:$Q$317=$A5),--ISNUMBER('Данные 2st'!$IR$2:$IR$317))</f>
        <v>4</v>
      </c>
      <c r="OE5">
        <f>SUMPRODUCT(--('Данные 2st'!$Q$2:$Q$317=$A5),--ISNUMBER('Данные 2st'!$IT$2:$IT$317))</f>
        <v>4</v>
      </c>
      <c r="OF5">
        <f>SUMPRODUCT(--('Данные 2st'!$Q$2:$Q$317=$A5),--ISNUMBER('Данные 2st'!$IU$2:$IU$317))</f>
        <v>4</v>
      </c>
      <c r="OG5">
        <f>SUMPRODUCT(--('Данные 2st'!$Q$2:$Q$317=$A5),--ISNUMBER('Данные 2st'!$IV$2:$IV$317))</f>
        <v>4</v>
      </c>
      <c r="OH5">
        <f>SUMPRODUCT(--('Данные 2st'!$Q$2:$Q$317=$A5),--ISNUMBER('Данные 2st'!$IW$2:$IW$317))</f>
        <v>4</v>
      </c>
      <c r="OI5">
        <f>SUMPRODUCT(--('Данные 2st'!$Q$2:$Q$317=$A5),--ISNUMBER('Данные 2st'!$IX$2:$IX$317))</f>
        <v>4</v>
      </c>
      <c r="OJ5">
        <f>SUMPRODUCT(--('Данные 2st'!$Q$2:$Q$317=$A5),--ISNUMBER('Данные 2st'!$IY$2:$IY$317))</f>
        <v>4</v>
      </c>
      <c r="OK5">
        <f>SUMPRODUCT(--('Данные 2st'!$Q$2:$Q$317=$A5),--ISNUMBER('Данные 2st'!$IZ$2:$IZ$317))</f>
        <v>4</v>
      </c>
      <c r="OL5">
        <f>SUMPRODUCT(--('Данные 2st'!$Q$2:$Q$317=$A5),--ISNUMBER('Данные 2st'!$JA$2:$JA$317))</f>
        <v>4</v>
      </c>
      <c r="OM5">
        <f>SUMPRODUCT(--('Данные 2st'!$Q$2:$Q$317=$A5),--ISNUMBER('Данные 2st'!$JB$2:$JB$317))</f>
        <v>4</v>
      </c>
      <c r="ON5">
        <f>SUMPRODUCT(--('Данные 2st'!$Q$2:$Q$317=$A5),--ISNUMBER('Данные 2st'!$JC$2:$JC$317))</f>
        <v>4</v>
      </c>
      <c r="OO5">
        <f>SUMPRODUCT(--('Данные 2st'!$Q$2:$Q$317=$A5),--ISNUMBER('Данные 2st'!$JD$2:$JD$317))</f>
        <v>4</v>
      </c>
      <c r="OP5">
        <f>SUMPRODUCT(--('Данные 2st'!$Q$2:$Q$317=$A5),--ISNUMBER('Данные 2st'!$JE$2:$JE$317))</f>
        <v>4</v>
      </c>
      <c r="OQ5">
        <f>SUMPRODUCT(--('Данные 2st'!$Q$2:$Q$317=$A5),--ISNUMBER('Данные 2st'!$JF$2:$JF$317))</f>
        <v>4</v>
      </c>
      <c r="OR5">
        <f>SUMPRODUCT(--('Данные 2st'!$Q$2:$Q$317=$A5),--ISNUMBER('Данные 2st'!$JG$2:$JG$317))</f>
        <v>4</v>
      </c>
      <c r="OS5">
        <f>SUMPRODUCT(--('Данные 2st'!$Q$2:$Q$317=$A5),--ISNUMBER('Данные 2st'!$JH$2:$JH$317))</f>
        <v>4</v>
      </c>
      <c r="OT5">
        <f>SUMPRODUCT(--('Данные 2st'!$Q$2:$Q$317=$A5),--ISNUMBER('Данные 2st'!$JI$2:$JI$317))</f>
        <v>4</v>
      </c>
      <c r="OU5">
        <f>SUMPRODUCT(--('Данные 2st'!$Q$2:$Q$317=$A5),--ISNUMBER('Данные 2st'!$JJ$2:$JJ$317))</f>
        <v>4</v>
      </c>
      <c r="OV5">
        <f>SUMPRODUCT(--('Данные 2st'!$Q$2:$Q$317=$A5),--ISNUMBER('Данные 2st'!$JK$2:$JK$317))</f>
        <v>4</v>
      </c>
      <c r="OW5">
        <f>SUMPRODUCT(--('Данные 2st'!$Q$2:$Q$317=$A5),--ISNUMBER('Данные 2st'!$JL$2:$JL$317))</f>
        <v>4</v>
      </c>
      <c r="OX5">
        <f>SUMPRODUCT(--('Данные 2st'!$Q$2:$Q$317=$A5),--ISNUMBER('Данные 2st'!$JM$2:$JM$317))</f>
        <v>4</v>
      </c>
      <c r="OY5">
        <f>SUMPRODUCT(--('Данные 2st'!$Q$2:$Q$317=$A5),--ISNUMBER('Данные 2st'!$JP$2:$JP$317))</f>
        <v>4</v>
      </c>
      <c r="OZ5">
        <f>SUMPRODUCT(--('Данные 2st'!$Q$2:$Q$317=$A5),--ISNUMBER('Данные 2st'!$JQ$2:$JQ$317))</f>
        <v>4</v>
      </c>
      <c r="PA5">
        <f>SUMPRODUCT(--('Данные 2st'!$Q$2:$Q$317=$A5),--ISNUMBER('Данные 2st'!$JR$2:$JR$317))</f>
        <v>4</v>
      </c>
      <c r="PB5">
        <f>SUMPRODUCT(--('Данные 2st'!$Q$2:$Q$317=$A5),--ISNUMBER('Данные 2st'!$JS$2:$JS$317))</f>
        <v>4</v>
      </c>
      <c r="PC5">
        <f>SUMPRODUCT(--('Данные 2st'!$Q$2:$Q$317=$A5),--ISNUMBER('Данные 2st'!$JT$2:$JT$317))</f>
        <v>4</v>
      </c>
      <c r="PD5">
        <f>SUMPRODUCT(--('Данные 2st'!$Q$2:$Q$317=$A5),--ISNUMBER('Данные 2st'!$JU$2:$JU$317))</f>
        <v>4</v>
      </c>
      <c r="PE5">
        <f>SUMPRODUCT(--('Данные 2st'!$Q$2:$Q$317=$A5),--ISNUMBER('Данные 2st'!$JV$2:$JV$317))</f>
        <v>4</v>
      </c>
      <c r="PF5">
        <f>SUMPRODUCT(--('Данные 2st'!$Q$2:$Q$317=$A5),--ISNUMBER('Данные 2st'!$JW$2:$JW$317))</f>
        <v>4</v>
      </c>
      <c r="PG5">
        <f>SUMPRODUCT(--('Данные 2st'!$Q$2:$Q$317=$A5),--ISNUMBER('Данные 2st'!$KF$2:$KF$317))</f>
        <v>4</v>
      </c>
      <c r="PH5">
        <f>SUMPRODUCT(--('Данные 2st'!$Q$2:$Q$317=$A5),--ISNUMBER('Данные 2st'!$KG$2:$KG$317))</f>
        <v>4</v>
      </c>
      <c r="PI5">
        <f>SUMPRODUCT(--('Данные 2st'!$Q$2:$Q$317=$A5),--ISNUMBER('Данные 2st'!$KM$2:$KM$317))</f>
        <v>4</v>
      </c>
      <c r="PJ5">
        <f>SUMPRODUCT(--('Данные 2st'!$Q$2:$Q$317=$A5),--ISNUMBER('Данные 2st'!$KN$2:$KN$317))</f>
        <v>4</v>
      </c>
      <c r="PK5">
        <f>SUMPRODUCT(--('Данные 2st'!$Q$2:$Q$317=$A5),--ISNUMBER('Данные 2st'!$KO$2:$KO$317))</f>
        <v>4</v>
      </c>
      <c r="PL5">
        <f>SUMPRODUCT(--('Данные 2st'!$Q$2:$Q$317=$A5),--ISNUMBER('Данные 2st'!$KP$2:$KP$317))</f>
        <v>4</v>
      </c>
      <c r="PM5">
        <f>SUMPRODUCT(--('Данные 2st'!$Q$2:$Q$317=$A5),--ISNUMBER('Данные 2st'!$KQ$2:$KQ$317))</f>
        <v>4</v>
      </c>
      <c r="PN5">
        <f>SUMPRODUCT(--('Данные 2st'!$Q$2:$Q$317=$A5),--ISNUMBER('Данные 2st'!$KR$2:$KR$317))</f>
        <v>4</v>
      </c>
      <c r="PO5">
        <f>SUMPRODUCT(--('Данные 2st'!$Q$2:$Q$317=$A5),--ISNUMBER('Данные 2st'!$KS$2:$KS$317))</f>
        <v>4</v>
      </c>
      <c r="PP5">
        <f>SUMPRODUCT(--('Данные 2st'!$Q$2:$Q$317=$A5),--ISNUMBER('Данные 2st'!$KT$2:$KT$317))</f>
        <v>4</v>
      </c>
      <c r="PQ5">
        <f>SUMPRODUCT(--('Данные 2st'!$Q$2:$Q$317=$A5),--ISNUMBER('Данные 2st'!$KU$2:$KU$317))</f>
        <v>4</v>
      </c>
      <c r="PR5">
        <f>SUMPRODUCT(--('Данные 2st'!$Q$2:$Q$317=$A5),--ISNUMBER('Данные 2st'!$KV$2:$KV$317))</f>
        <v>4</v>
      </c>
      <c r="PS5">
        <f>SUMPRODUCT(--('Данные 2st'!$Q$2:$Q$317=$A5),--ISNUMBER('Данные 2st'!$KW$2:$KW$317))</f>
        <v>4</v>
      </c>
      <c r="PT5">
        <f>SUMPRODUCT(--('Данные 2st'!$Q$2:$Q$317=$A5),--ISNUMBER('Данные 2st'!$KX$2:$KX$317))</f>
        <v>4</v>
      </c>
      <c r="PU5">
        <f>SUMPRODUCT(--('Данные 2st'!$Q$2:$Q$317=$A5),--ISNUMBER('Данные 2st'!$KY$2:$KY$317))</f>
        <v>4</v>
      </c>
      <c r="PV5">
        <f>SUMPRODUCT(--('Данные 2st'!$Q$2:$Q$317=$A5),--ISNUMBER('Данные 2st'!$KZ$2:$KZ$317))</f>
        <v>4</v>
      </c>
      <c r="PW5">
        <f>SUMPRODUCT(--('Данные 2st'!$Q$2:$Q$317=$A5),--ISNUMBER('Данные 2st'!$LA$2:$LA$317))</f>
        <v>4</v>
      </c>
      <c r="PX5">
        <f>SUMPRODUCT(--('Данные 2st'!$Q$2:$Q$317=$A5),--ISNUMBER('Данные 2st'!$LB$2:$LB$317))</f>
        <v>4</v>
      </c>
      <c r="PY5">
        <f>SUMPRODUCT(--('Данные 2st'!$Q$2:$Q$317=$A5),--ISNUMBER('Данные 2st'!$LC$2:$LC$317))</f>
        <v>4</v>
      </c>
      <c r="PZ5">
        <f>SUMPRODUCT(--('Данные 2st'!$Q$2:$Q$317=$A5),--ISNUMBER('Данные 2st'!$LD$2:$LD$317))</f>
        <v>4</v>
      </c>
      <c r="QA5">
        <f>SUMPRODUCT(--('Данные 2st'!$Q$2:$Q$317=$A5),--ISNUMBER('Данные 2st'!$LE$2:$LE$317))</f>
        <v>4</v>
      </c>
      <c r="QB5">
        <f>SUMPRODUCT(--('Данные 2st'!$Q$2:$Q$317=$A5),--ISNUMBER('Данные 2st'!$LF$2:$LF$317))</f>
        <v>4</v>
      </c>
      <c r="QC5">
        <f>SUMPRODUCT(--('Данные 2st'!$Q$2:$Q$317=$A5),--ISNUMBER('Данные 2st'!$LG$2:$LG$317))</f>
        <v>4</v>
      </c>
      <c r="QD5">
        <f>SUMPRODUCT(--('Данные 2st'!$Q$2:$Q$317=$A5),--ISNUMBER('Данные 2st'!$LH$2:$LH$317))</f>
        <v>4</v>
      </c>
      <c r="QE5">
        <f>SUMPRODUCT(--('Данные 2st'!$Q$2:$Q$317=$A5),--ISNUMBER('Данные 2st'!$LJ$2:$LJ$317))</f>
        <v>4</v>
      </c>
      <c r="QF5">
        <f>SUMPRODUCT(--('Данные 2st'!$Q$2:$Q$317=$A5),--ISNUMBER('Данные 2st'!$LK$2:$LK$317))</f>
        <v>4</v>
      </c>
      <c r="QG5">
        <f>SUMPRODUCT(--('Данные 2st'!$Q$2:$Q$317=$A5),--ISNUMBER('Данные 2st'!$LL$2:$LL$317))</f>
        <v>4</v>
      </c>
      <c r="QH5">
        <f>SUMPRODUCT(--('Данные 2st'!$Q$2:$Q$317=$A5),--ISNUMBER('Данные 2st'!$LM$2:$LM$317))</f>
        <v>4</v>
      </c>
      <c r="QI5">
        <f>SUMPRODUCT(--('Данные 2st'!$Q$2:$Q$317=$A5),--ISNUMBER('Данные 2st'!$LN$2:$LN$317))</f>
        <v>4</v>
      </c>
      <c r="QJ5">
        <f>SUMPRODUCT(--('Данные 2st'!$Q$2:$Q$317=$A5),--ISNUMBER('Данные 2st'!$LO$2:$LO$317))</f>
        <v>4</v>
      </c>
      <c r="QK5">
        <f>SUMPRODUCT(--('Данные 2st'!$Q$2:$Q$317=$A5),--ISNUMBER('Данные 2st'!$LP$2:$LP$317))</f>
        <v>4</v>
      </c>
      <c r="QL5">
        <f>SUMPRODUCT(--('Данные 2st'!$Q$2:$Q$317=$A5),--ISNUMBER('Данные 2st'!$LQ$2:$LQ$317))</f>
        <v>4</v>
      </c>
      <c r="QM5">
        <f>SUMPRODUCT(--('Данные 2st'!$Q$2:$Q$317=$A5),--ISNUMBER('Данные 2st'!$LW$2:$LW$317))</f>
        <v>4</v>
      </c>
      <c r="QN5">
        <f>SUMPRODUCT(--('Данные 2st'!$Q$2:$Q$317=$A5),--ISNUMBER('Данные 2st'!$LX$2:$LX$317))</f>
        <v>4</v>
      </c>
      <c r="QO5">
        <f>SUMPRODUCT(--('Данные 2st'!$Q$2:$Q$317=$A5),--ISNUMBER('Данные 2st'!$LY$2:$LY$317))</f>
        <v>4</v>
      </c>
      <c r="QP5">
        <f>SUMPRODUCT(--('Данные 2st'!$Q$2:$Q$317=$A5),--ISNUMBER('Данные 2st'!$LZ$2:$LZ$317))</f>
        <v>4</v>
      </c>
      <c r="QQ5">
        <f>SUMPRODUCT(--('Данные 2st'!$Q$2:$Q$317=$A5),--ISNUMBER('Данные 2st'!$MB$2:$MB$317))</f>
        <v>4</v>
      </c>
      <c r="QR5">
        <f>SUMPRODUCT(--('Данные 2st'!$Q$2:$Q$317=$A5),--ISNUMBER('Данные 2st'!$MG$2:$MG$317))</f>
        <v>0</v>
      </c>
      <c r="QS5">
        <f>SUMPRODUCT(--('Данные 2st'!$Q$2:$Q$317=$A5),--ISNUMBER('Данные 2st'!$MH$2:$MH$317))</f>
        <v>0</v>
      </c>
      <c r="QT5">
        <f>SUMPRODUCT(--('Данные 2st'!$Q$2:$Q$317=$A5),--ISNUMBER('Данные 2st'!$MI$2:$MI$317))</f>
        <v>4</v>
      </c>
      <c r="QU5">
        <f>SUMPRODUCT(--('Данные 2st'!$Q$2:$Q$317=$A5),--ISNUMBER('Данные 2st'!$MJ$2:$MJ$317))</f>
        <v>4</v>
      </c>
      <c r="QV5">
        <f>SUMPRODUCT(--('Данные 2st'!$Q$2:$Q$317=$A5),--ISNUMBER('Данные 2st'!$MK$2:$MK$317))</f>
        <v>0</v>
      </c>
      <c r="QW5">
        <f>SUMPRODUCT(--('Данные 2st'!$Q$2:$Q$317=$A5),--ISNUMBER('Данные 2st'!$MM$2:$MM$317))</f>
        <v>4</v>
      </c>
      <c r="QX5">
        <f>SUMPRODUCT(--('Данные 2st'!$Q$2:$Q$317=$A5),--ISNUMBER('Данные 2st'!$MQ$2:$MQ$317))</f>
        <v>0</v>
      </c>
      <c r="QY5">
        <f>SUMPRODUCT(--('Данные 2st'!$Q$2:$Q$317=$A5),--ISNUMBER('Данные 2st'!$MR$2:$MR$317))</f>
        <v>0</v>
      </c>
      <c r="QZ5">
        <f>SUMPRODUCT(--('Данные 2st'!$Q$2:$Q$317=$A5),--ISNUMBER('Данные 2st'!$MS$2:$MS$317))</f>
        <v>0</v>
      </c>
      <c r="RA5">
        <f>SUMPRODUCT(--('Данные 2st'!$Q$2:$Q$317=$A5),--ISNUMBER('Данные 2st'!$MT$2:$MT$317))</f>
        <v>0</v>
      </c>
      <c r="RB5">
        <f>SUMPRODUCT(--('Данные 2st'!$Q$2:$Q$317=$A5),--ISNUMBER('Данные 2st'!$MU$2:$MU$317))</f>
        <v>0</v>
      </c>
      <c r="RC5">
        <f>SUMPRODUCT(--('Данные 2st'!$Q$2:$Q$317=$A5),--ISNUMBER('Данные 2st'!$MV$2:$MV$317))</f>
        <v>0</v>
      </c>
      <c r="RD5">
        <f>SUMPRODUCT(--('Данные 2st'!$Q$2:$Q$317=$A5),--ISNUMBER('Данные 2st'!$MW$2:$MW$317))</f>
        <v>0</v>
      </c>
      <c r="RE5">
        <f>SUMPRODUCT(--('Данные 2st'!$Q$2:$Q$317=$A5),--ISNUMBER('Данные 2st'!$MX$2:$MX$317))</f>
        <v>0</v>
      </c>
      <c r="RF5">
        <f>SUMPRODUCT(--('Данные 2st'!$Q$2:$Q$317=$A5),--ISNUMBER('Данные 2st'!$MY$2:$MY$317))</f>
        <v>0</v>
      </c>
      <c r="RG5">
        <f>SUMPRODUCT(--('Данные 2st'!$Q$2:$Q$317=$A5),--ISNUMBER('Данные 2st'!$MZ$2:$MZ$317))</f>
        <v>0</v>
      </c>
      <c r="RH5">
        <f>SUMPRODUCT(--('Данные 2st'!$Q$2:$Q$317=$A5),--ISNUMBER('Данные 2st'!$NA$2:$NA$317))</f>
        <v>0</v>
      </c>
      <c r="RI5">
        <f>SUMPRODUCT(--('Данные 2st'!$Q$2:$Q$317=$A5),--ISNUMBER('Данные 2st'!$NB$2:$NB$317))</f>
        <v>0</v>
      </c>
      <c r="RJ5">
        <f>SUMPRODUCT(--('Данные 2st'!$Q$2:$Q$317=$A5),--ISNUMBER('Данные 2st'!$NC$2:$NC$317))</f>
        <v>0</v>
      </c>
      <c r="RK5">
        <f>SUMPRODUCT(--('Данные 2st'!$Q$2:$Q$317=$A5),--ISNUMBER('Данные 2st'!$ND$2:$ND$317))</f>
        <v>0</v>
      </c>
      <c r="RL5">
        <f>SUMPRODUCT(--('Данные 2st'!$Q$2:$Q$317=$A5),--ISNUMBER('Данные 2st'!$NE$2:$NE$317))</f>
        <v>0</v>
      </c>
      <c r="RM5">
        <f>SUMPRODUCT(--('Данные 2st'!$Q$2:$Q$317=$A5),--ISNUMBER('Данные 2st'!$NF$2:$NF$317))</f>
        <v>0</v>
      </c>
      <c r="RN5">
        <f>SUMPRODUCT(--('Данные 2st'!$Q$2:$Q$317=$A5),--ISNUMBER('Данные 2st'!$NG$2:$NG$317))</f>
        <v>0</v>
      </c>
      <c r="RO5">
        <f>SUMPRODUCT(--('Данные 2st'!$Q$2:$Q$317=$A5),--ISNUMBER('Данные 2st'!$NH$2:$NH$317))</f>
        <v>0</v>
      </c>
      <c r="RP5">
        <f>SUMPRODUCT(--('Данные 2st'!$Q$2:$Q$317=$A5),--ISNUMBER('Данные 2st'!$NJ$2:$NJ$317))</f>
        <v>0</v>
      </c>
      <c r="RQ5">
        <f>SUMPRODUCT(--('Данные 2st'!$Q$2:$Q$317=$A5),--ISNUMBER('Данные 2st'!$NK$2:$NK$317))</f>
        <v>0</v>
      </c>
      <c r="RR5">
        <f>SUMPRODUCT(--('Данные 2st'!$Q$2:$Q$317=$A5),--ISNUMBER('Данные 2st'!$NM$2:$NM$317))</f>
        <v>0</v>
      </c>
      <c r="RS5">
        <f>SUMPRODUCT(--('Данные 2st'!$Q$2:$Q$317=$A5),--ISNUMBER('Данные 2st'!$NN$2:$NN$317))</f>
        <v>0</v>
      </c>
      <c r="RT5">
        <f>SUMPRODUCT(--('Данные 2st'!$Q$2:$Q$317=$A5),--ISNUMBER('Данные 2st'!$NO$2:$NO$317))</f>
        <v>0</v>
      </c>
      <c r="RU5">
        <f>SUMPRODUCT(--('Данные 2st'!$Q$2:$Q$317=$A5),--ISNUMBER('Данные 2st'!$NP$2:$NP$317))</f>
        <v>0</v>
      </c>
      <c r="RV5">
        <f>SUMPRODUCT(--('Данные 2st'!$Q$2:$Q$317=$A5),--ISNUMBER('Данные 2st'!$NQ$2:$NQ$317))</f>
        <v>0</v>
      </c>
      <c r="RW5">
        <f>SUMPRODUCT(--('Данные 2st'!$Q$2:$Q$317=$A5),--ISNUMBER('Данные 2st'!$NR$2:$NR$317))</f>
        <v>0</v>
      </c>
      <c r="RX5">
        <f>SUMPRODUCT(--('Данные 2st'!$Q$2:$Q$317=$A5),--ISNUMBER('Данные 2st'!$NS$2:$NS$317))</f>
        <v>0</v>
      </c>
      <c r="RY5">
        <f>SUMPRODUCT(--('Данные 2st'!$Q$2:$Q$317=$A5),--ISNUMBER('Данные 2st'!$NT$2:$NT$317))</f>
        <v>0</v>
      </c>
      <c r="RZ5">
        <f>SUMPRODUCT(--('Данные 2st'!$Q$2:$Q$317=$A5),--ISNUMBER('Данные 2st'!$OK$2:$OK$317))</f>
        <v>4</v>
      </c>
      <c r="SA5">
        <f>SUMPRODUCT(--('Данные 2st'!$Q$2:$Q$317=$A5),--ISNUMBER('Данные 2st'!$OL$2:$OL$317))</f>
        <v>4</v>
      </c>
      <c r="SB5">
        <f>SUMPRODUCT(--('Данные 2st'!$Q$2:$Q$317=$A5),--ISNUMBER('Данные 2st'!$ON$2:$ON$317))</f>
        <v>4</v>
      </c>
      <c r="SC5">
        <f>SUMPRODUCT(--('Данные 2st'!$Q$2:$Q$317=$A5),--ISNUMBER('Данные 2st'!$OO$2:$OO$317))</f>
        <v>4</v>
      </c>
      <c r="SD5">
        <f>SUMPRODUCT(--('Данные 2st'!$Q$2:$Q$317=$A5),--ISNUMBER('Данные 2st'!$OP$2:$OP$317))</f>
        <v>4</v>
      </c>
      <c r="SE5">
        <f>SUMPRODUCT(--('Данные 2st'!$Q$2:$Q$317=$A5),--ISNUMBER('Данные 2st'!$OQ$2:$OQ$317))</f>
        <v>4</v>
      </c>
      <c r="SF5">
        <f>SUMPRODUCT(--('Данные 2st'!$Q$2:$Q$317=$A5),--ISNUMBER('Данные 2st'!$OS$2:$OS$317))</f>
        <v>4</v>
      </c>
      <c r="SG5">
        <f>SUMPRODUCT(--('Данные 2st'!$Q$2:$Q$317=$A5),--ISNUMBER('Данные 2st'!$OT$2:$OT$317))</f>
        <v>4</v>
      </c>
      <c r="SH5">
        <f>SUMPRODUCT(--('Данные 2st'!$Q$2:$Q$317=$A5),--ISNUMBER('Данные 2st'!$OU$2:$OU$317))</f>
        <v>4</v>
      </c>
      <c r="SI5">
        <f>SUMPRODUCT(--('Данные 2st'!$Q$2:$Q$317=$A5),--ISNUMBER('Данные 2st'!$OV$2:$OV$317))</f>
        <v>4</v>
      </c>
      <c r="SJ5">
        <f>SUMPRODUCT(--('Данные 2st'!$Q$2:$Q$317=$A5),--ISNUMBER('Данные 2st'!$OX$2:$OX$317))</f>
        <v>4</v>
      </c>
      <c r="SK5">
        <f>SUMPRODUCT(--('Данные 2st'!$Q$2:$Q$317=$A5),--ISNUMBER('Данные 2st'!$OY$2:$OY$317))</f>
        <v>4</v>
      </c>
      <c r="SL5">
        <f>SUMPRODUCT(--('Данные 2st'!$Q$2:$Q$317=$A5),--ISNUMBER('Данные 2st'!$OZ$2:$OZ$317))</f>
        <v>4</v>
      </c>
      <c r="SM5">
        <f>SUMPRODUCT(--('Данные 2st'!$Q$2:$Q$317=$A5),--ISNUMBER('Данные 2st'!$PA$2:$PA$317))</f>
        <v>4</v>
      </c>
      <c r="SN5">
        <f>SUMPRODUCT(--('Данные 2st'!$Q$2:$Q$317=$A5),--ISNUMBER('Данные 2st'!$PC$2:$PC$317))</f>
        <v>4</v>
      </c>
      <c r="SO5">
        <f>SUMPRODUCT(--('Данные 2st'!$Q$2:$Q$317=$A5),--ISNUMBER('Данные 2st'!$PD$2:$PD$317))</f>
        <v>4</v>
      </c>
      <c r="SP5">
        <f>SUMPRODUCT(--('Данные 2st'!$Q$2:$Q$317=$A5),--ISNUMBER('Данные 2st'!$PF$2:$PF$317))</f>
        <v>4</v>
      </c>
      <c r="SQ5">
        <f>SUMPRODUCT(--('Данные 2st'!$Q$2:$Q$317=$A5),--ISNUMBER('Данные 2st'!$PG$2:$PG$317))</f>
        <v>4</v>
      </c>
      <c r="SR5">
        <f>SUMPRODUCT(--('Данные 2st'!$Q$2:$Q$317=$A5),--ISNUMBER('Данные 2st'!$PH$2:$PH$317))</f>
        <v>4</v>
      </c>
      <c r="SS5">
        <f>SUMPRODUCT(--('Данные 2st'!$Q$2:$Q$317=$A5),--ISNUMBER('Данные 2st'!$PI$2:$PI$317))</f>
        <v>4</v>
      </c>
      <c r="ST5">
        <f>SUMPRODUCT(--('Данные 2st'!$Q$2:$Q$317=$A5),--ISNUMBER('Данные 2st'!$PJ$2:$PJ$317))</f>
        <v>4</v>
      </c>
      <c r="SU5">
        <f>SUMPRODUCT(--('Данные 2st'!$Q$2:$Q$317=$A5),--ISNUMBER('Данные 2st'!$PK$2:$PK$317))</f>
        <v>3</v>
      </c>
      <c r="SV5">
        <f>SUMPRODUCT(--('Данные 2st'!$Q$2:$Q$317=$A5),--ISNUMBER('Данные 2st'!$PL$2:$PL$317))</f>
        <v>4</v>
      </c>
      <c r="SW5">
        <f>SUMPRODUCT(--('Данные 2st'!$Q$2:$Q$317=$A5),--ISNUMBER('Данные 2st'!$PM$2:$PM$317))</f>
        <v>4</v>
      </c>
      <c r="SX5">
        <f>SUMPRODUCT(--('Данные 2st'!$Q$2:$Q$317=$A5),--ISNUMBER('Данные 2st'!$PN$2:$PN$317))</f>
        <v>4</v>
      </c>
      <c r="SY5">
        <f>SUMPRODUCT(--('Данные 2st'!$Q$2:$Q$317=$A5),--ISNUMBER('Данные 2st'!$PO$2:$PO$317))</f>
        <v>3</v>
      </c>
      <c r="SZ5">
        <f>SUMPRODUCT(--('Данные 2st'!$Q$2:$Q$317=$A5),--ISNUMBER('Данные 2st'!$PP$2:$PP$317))</f>
        <v>4</v>
      </c>
      <c r="TA5">
        <f>SUMPRODUCT(--('Данные 2st'!$Q$2:$Q$317=$A5),--ISNUMBER('Данные 2st'!$PQ$2:$PQ$317))</f>
        <v>4</v>
      </c>
      <c r="TB5">
        <f>SUMPRODUCT(--('Данные 2st'!$Q$2:$Q$317=$A5),--ISNUMBER('Данные 2st'!$PR$2:$PR$317))</f>
        <v>4</v>
      </c>
      <c r="TC5">
        <f>SUMPRODUCT(--('Данные 2st'!$Q$2:$Q$317=$A5),--ISNUMBER('Данные 2st'!$PS$2:$PS$317))</f>
        <v>4</v>
      </c>
      <c r="TD5">
        <f>SUMPRODUCT(--('Данные 2st'!$Q$2:$Q$317=$A5),--ISNUMBER('Данные 2st'!$PT$2:$PT$317))</f>
        <v>4</v>
      </c>
      <c r="TE5">
        <f>SUMPRODUCT(--('Данные 2st'!$Q$2:$Q$317=$A5),--ISNUMBER('Данные 2st'!$PU$2:$PU$317))</f>
        <v>4</v>
      </c>
      <c r="TF5">
        <f>SUMPRODUCT(--('Данные 2st'!$Q$2:$Q$317=$A5),--ISNUMBER('Данные 2st'!$PX$2:$PX$317))</f>
        <v>4</v>
      </c>
      <c r="TG5">
        <f>SUMPRODUCT(--('Данные 2st'!$Q$2:$Q$317=$A5),--ISNUMBER('Данные 2st'!$PY$2:$PY$317))</f>
        <v>4</v>
      </c>
      <c r="TH5">
        <f>SUMPRODUCT(--('Данные 2st'!$Q$2:$Q$317=$A5),--ISNUMBER('Данные 2st'!$PZ$2:$PZ$317))</f>
        <v>4</v>
      </c>
      <c r="TI5">
        <f>SUMPRODUCT(--('Данные 2st'!$Q$2:$Q$317=$A5),--ISNUMBER('Данные 2st'!$QA$2:$QA$317))</f>
        <v>4</v>
      </c>
      <c r="TJ5">
        <f>SUMPRODUCT(--('Данные 2st'!$Q$2:$Q$317=$A5),--ISNUMBER('Данные 2st'!$QB$2:$QB$317))</f>
        <v>4</v>
      </c>
      <c r="TK5">
        <f>SUMPRODUCT(--('Данные 2st'!$Q$2:$Q$317=$A5),--ISNUMBER('Данные 2st'!$QC$2:$QC$317))</f>
        <v>4</v>
      </c>
      <c r="TL5">
        <f>SUMPRODUCT(--('Данные 2st'!$Q$2:$Q$317=$A5),--ISNUMBER('Данные 2st'!$QD$2:$QD$317))</f>
        <v>4</v>
      </c>
      <c r="TM5">
        <f>SUMPRODUCT(--('Данные 2st'!$Q$2:$Q$317=$A5),--ISNUMBER('Данные 2st'!$QE$2:$QE$317))</f>
        <v>4</v>
      </c>
      <c r="TN5">
        <f>SUMPRODUCT(--('Данные 2st'!$Q$2:$Q$317=$A5),--ISNUMBER('Данные 2st'!$QF$2:$QF$317))</f>
        <v>4</v>
      </c>
      <c r="TO5">
        <f>SUMPRODUCT(--('Данные 2st'!$Q$2:$Q$317=$A5),--ISNUMBER('Данные 2st'!$QG$2:$QG$317))</f>
        <v>4</v>
      </c>
      <c r="TP5">
        <f>SUMPRODUCT(--('Данные 2st'!$Q$2:$Q$317=$A5),--ISNUMBER('Данные 2st'!$QH$2:$QH$317))</f>
        <v>4</v>
      </c>
      <c r="TQ5">
        <f>SUMPRODUCT(--('Данные 2st'!$Q$2:$Q$317=$A5),--ISNUMBER('Данные 2st'!$QI$2:$QI$317))</f>
        <v>4</v>
      </c>
      <c r="TR5">
        <f>SUMPRODUCT(--('Данные 2st'!$Q$2:$Q$317=$A5),--ISNUMBER('Данные 2st'!$QJ$2:$QJ$317))</f>
        <v>4</v>
      </c>
      <c r="TS5">
        <f>SUMPRODUCT(--('Данные 2st'!$Q$2:$Q$317=$A5),--ISNUMBER('Данные 2st'!$QK$2:$QK$317))</f>
        <v>4</v>
      </c>
      <c r="TT5">
        <f>SUMPRODUCT(--('Данные 2st'!$Q$2:$Q$317=$A5),--ISNUMBER('Данные 2st'!$QL$2:$QL$317))</f>
        <v>4</v>
      </c>
      <c r="TU5">
        <f>SUMPRODUCT(--('Данные 2st'!$Q$2:$Q$317=$A5),--ISNUMBER('Данные 2st'!$QM$2:$QM$317))</f>
        <v>4</v>
      </c>
      <c r="TV5">
        <f>SUMPRODUCT(--('Данные 2st'!$Q$2:$Q$317=$A5),--ISNUMBER('Данные 2st'!$QN$2:$QN$317))</f>
        <v>4</v>
      </c>
      <c r="TW5">
        <f>SUMPRODUCT(--('Данные 2st'!$Q$2:$Q$317=$A5),--ISNUMBER('Данные 2st'!$QQ$2:$QQ$317))</f>
        <v>4</v>
      </c>
      <c r="TX5">
        <f>SUMPRODUCT(--('Данные 2st'!$Q$2:$Q$317=$A5),--ISNUMBER('Данные 2st'!$QS$2:$QS$317))</f>
        <v>4</v>
      </c>
      <c r="TY5">
        <f>SUMPRODUCT(--('Данные 2st'!$Q$2:$Q$317=$A5),--ISNUMBER('Данные 2st'!$QT$2:$QT$317))</f>
        <v>4</v>
      </c>
    </row>
    <row r="6" spans="1:545" ht="32" customHeight="1">
      <c r="A6" s="11" t="str">
        <f>'По размерам'!A6</f>
        <v>185/60R15</v>
      </c>
      <c r="G6">
        <f>SUMPRODUCT(--('Данные 1st'!$S$2:$S$317=$A6),--ISNUMBER('Данные 1st'!$AE$2:$AE$317))</f>
        <v>4</v>
      </c>
      <c r="H6">
        <f>SUMPRODUCT(--('Данные 1st'!$S$2:$S$317=$A6),--ISNUMBER('Данные 1st'!$AF$2:$AF$317))</f>
        <v>4</v>
      </c>
      <c r="I6">
        <f>SUMPRODUCT(--('Данные 1st'!$S$2:$S$317=$A6),--ISNUMBER('Данные 1st'!$AJ$2:$AJ$317))</f>
        <v>4</v>
      </c>
      <c r="J6">
        <f>SUMPRODUCT(--('Данные 1st'!$S$2:$S$317=$A6),--ISNUMBER('Данные 1st'!$AL$2:$AL$317))</f>
        <v>4</v>
      </c>
      <c r="K6">
        <f>SUMPRODUCT(--('Данные 1st'!$S$2:$S$317=$A6),--ISNUMBER('Данные 1st'!$AR$2:$AR$317))</f>
        <v>4</v>
      </c>
      <c r="L6">
        <f>SUMPRODUCT(--('Данные 1st'!$S$2:$S$317=$A6),--ISNUMBER('Данные 1st'!$AS$2:$AS$317))</f>
        <v>4</v>
      </c>
      <c r="M6">
        <f>SUMPRODUCT(--('Данные 1st'!$S$2:$S$317=$A6),--ISNUMBER('Данные 1st'!$AY$2:$AY$317))</f>
        <v>4</v>
      </c>
      <c r="N6">
        <f>SUMPRODUCT(--('Данные 1st'!$S$2:$S$317=$A6),--ISNUMBER('Данные 1st'!$AZ$2:$AZ$317))</f>
        <v>4</v>
      </c>
      <c r="O6">
        <f>SUMPRODUCT(--('Данные 1st'!$S$2:$S$317=$A6),--ISNUMBER('Данные 1st'!$BF$2:$BF$317))</f>
        <v>0</v>
      </c>
      <c r="P6">
        <f>SUMPRODUCT(--('Данные 1st'!$S$2:$S$317=$A6),--ISNUMBER('Данные 1st'!$BG$2:$BG$317))</f>
        <v>4</v>
      </c>
      <c r="Q6">
        <f>SUMPRODUCT(--('Данные 1st'!$S$2:$S$317=$A6),--ISNUMBER('Данные 1st'!$BM$2:$BM$317))</f>
        <v>0</v>
      </c>
      <c r="R6">
        <f>SUMPRODUCT(--('Данные 1st'!$S$2:$S$317=$A6),--ISNUMBER('Данные 1st'!$BN$2:$BN$317))</f>
        <v>4</v>
      </c>
      <c r="S6">
        <f>SUMPRODUCT(--('Данные 1st'!$S$2:$S$317=$A6),--ISNUMBER('Данные 1st'!$BT$2:$BT$317))</f>
        <v>4</v>
      </c>
      <c r="T6">
        <f>SUMPRODUCT(--('Данные 1st'!$S$2:$S$317=$A6),--ISNUMBER('Данные 1st'!$BU$2:$BU$317))</f>
        <v>4</v>
      </c>
      <c r="U6">
        <f>SUMPRODUCT(--('Данные 1st'!$S$2:$S$317=$A6),--ISNUMBER('Данные 1st'!$BW$2:$BW$317))</f>
        <v>4</v>
      </c>
      <c r="V6">
        <f>SUMPRODUCT(--('Данные 1st'!$S$2:$S$317=$A6),--ISNUMBER('Данные 1st'!$BX$2:$BX$317))</f>
        <v>4</v>
      </c>
      <c r="W6">
        <f>SUMPRODUCT(--('Данные 1st'!$S$2:$S$317=$A6),--ISNUMBER('Данные 1st'!$BZ$2:$BZ$317))</f>
        <v>4</v>
      </c>
      <c r="X6">
        <f>SUMPRODUCT(--('Данные 1st'!$S$2:$S$317=$A6),--ISNUMBER('Данные 1st'!$CA$2:$CA$317))</f>
        <v>4</v>
      </c>
      <c r="Y6">
        <f>SUMPRODUCT(--('Данные 1st'!$S$2:$S$317=$A6),--ISNUMBER('Данные 1st'!$CD$2:$CD$317))</f>
        <v>4</v>
      </c>
      <c r="Z6">
        <f>SUMPRODUCT(--('Данные 1st'!$S$2:$S$317=$A6),--ISNUMBER('Данные 1st'!$CF$2:$CF$317))</f>
        <v>4</v>
      </c>
      <c r="AA6">
        <f>SUMPRODUCT(--('Данные 1st'!$S$2:$S$317=$A6),--ISNUMBER('Данные 1st'!$CI$2:$CI$317))</f>
        <v>4</v>
      </c>
      <c r="AB6">
        <f>SUMPRODUCT(--('Данные 1st'!$S$2:$S$317=$A6),--ISNUMBER('Данные 1st'!$CJ$2:$CJ$317))</f>
        <v>4</v>
      </c>
      <c r="AC6">
        <f>SUMPRODUCT(--('Данные 1st'!$S$2:$S$317=$A6),--ISNUMBER('Данные 1st'!$CK$2:$CK$317))</f>
        <v>4</v>
      </c>
      <c r="AD6">
        <f>SUMPRODUCT(--('Данные 1st'!$S$2:$S$317=$A6),--ISNUMBER('Данные 1st'!$CL$2:$CL$317))</f>
        <v>4</v>
      </c>
      <c r="AE6">
        <f>SUMPRODUCT(--('Данные 1st'!$S$2:$S$317=$A6),--ISNUMBER('Данные 1st'!$CM$2:$CM$317))</f>
        <v>4</v>
      </c>
      <c r="AF6">
        <f>SUMPRODUCT(--('Данные 1st'!$S$2:$S$317=$A6),--ISNUMBER('Данные 1st'!$CT$2:$CT$317))</f>
        <v>4</v>
      </c>
      <c r="AG6">
        <f>SUMPRODUCT(--('Данные 1st'!$S$2:$S$317=$A6),--ISNUMBER('Данные 1st'!$CU$2:$CU$317))</f>
        <v>4</v>
      </c>
      <c r="AH6">
        <f>SUMPRODUCT(--('Данные 1st'!$S$2:$S$317=$A6),--ISNUMBER('Данные 1st'!$CV$2:$CV$317))</f>
        <v>4</v>
      </c>
      <c r="AI6">
        <f>SUMPRODUCT(--('Данные 1st'!$S$2:$S$317=$A6),--ISNUMBER('Данные 1st'!$CW$2:$CW$317))</f>
        <v>4</v>
      </c>
      <c r="AJ6">
        <f>SUMPRODUCT(--('Данные 1st'!$S$2:$S$317=$A6),--ISNUMBER('Данные 1st'!$CX$2:$CX$317))</f>
        <v>4</v>
      </c>
      <c r="AK6">
        <f>SUMPRODUCT(--('Данные 1st'!$S$2:$S$317=$A6),--ISNUMBER('Данные 1st'!$CZ$2:$CZ$317))</f>
        <v>0</v>
      </c>
      <c r="AL6">
        <f>SUMPRODUCT(--('Данные 1st'!$S$2:$S$317=$A6),--ISNUMBER('Данные 1st'!$DA$2:$DA$317))</f>
        <v>0</v>
      </c>
      <c r="AM6">
        <f>SUMPRODUCT(--('Данные 1st'!$S$2:$S$317=$A6),--ISNUMBER('Данные 1st'!$DB$2:$DB$317))</f>
        <v>0</v>
      </c>
      <c r="AN6">
        <f>SUMPRODUCT(--('Данные 1st'!$S$2:$S$317=$A6),--ISNUMBER('Данные 1st'!$DC$2:$DC$317))</f>
        <v>0</v>
      </c>
      <c r="AO6">
        <f>SUMPRODUCT(--('Данные 1st'!$S$2:$S$317=$A6),--ISNUMBER('Данные 1st'!$DD$2:$DD$317))</f>
        <v>4</v>
      </c>
      <c r="AP6">
        <f>SUMPRODUCT(--('Данные 1st'!$S$2:$S$317=$A6),--ISNUMBER('Данные 1st'!$DF$2:$DF$317))</f>
        <v>4</v>
      </c>
      <c r="AQ6">
        <f>SUMPRODUCT(--('Данные 1st'!$S$2:$S$317=$A6),--ISNUMBER('Данные 1st'!$DG$2:$DG$317))</f>
        <v>4</v>
      </c>
      <c r="AR6">
        <f>SUMPRODUCT(--('Данные 1st'!$S$2:$S$317=$A6),--ISNUMBER('Данные 1st'!$DH$2:$DH$317))</f>
        <v>4</v>
      </c>
      <c r="AS6">
        <f>SUMPRODUCT(--('Данные 1st'!$S$2:$S$317=$A6),--ISNUMBER('Данные 1st'!$DI$2:$DI$317))</f>
        <v>4</v>
      </c>
      <c r="AT6">
        <f>SUMPRODUCT(--('Данные 1st'!$S$2:$S$317=$A6),--ISNUMBER('Данные 1st'!$DJ$2:$DJ$317))</f>
        <v>4</v>
      </c>
      <c r="AU6">
        <f>SUMPRODUCT(--('Данные 1st'!$S$2:$S$317=$A6),--ISNUMBER('Данные 1st'!$DL$2:$DL$317))</f>
        <v>0</v>
      </c>
      <c r="AV6">
        <f>SUMPRODUCT(--('Данные 1st'!$S$2:$S$317=$A6),--ISNUMBER('Данные 1st'!$DM$2:$DM$317))</f>
        <v>0</v>
      </c>
      <c r="AW6">
        <f>SUMPRODUCT(--('Данные 1st'!$S$2:$S$317=$A6),--ISNUMBER('Данные 1st'!$DN$2:$DN$317))</f>
        <v>0</v>
      </c>
      <c r="AX6">
        <f>SUMPRODUCT(--('Данные 1st'!$S$2:$S$317=$A6),--ISNUMBER('Данные 1st'!$DO$2:$DO$317))</f>
        <v>0</v>
      </c>
      <c r="AY6">
        <f>SUMPRODUCT(--('Данные 1st'!$S$2:$S$317=$A6),--ISNUMBER('Данные 1st'!$DP$2:$DP$317))</f>
        <v>0</v>
      </c>
      <c r="AZ6">
        <f>SUMPRODUCT(--('Данные 1st'!$S$2:$S$317=$A6),--ISNUMBER('Данные 1st'!$DR$2:$DR$317))</f>
        <v>0</v>
      </c>
      <c r="BA6">
        <f>SUMPRODUCT(--('Данные 1st'!$S$2:$S$317=$A6),--ISNUMBER('Данные 1st'!$DS$2:$DS$317))</f>
        <v>0</v>
      </c>
      <c r="BB6">
        <f>SUMPRODUCT(--('Данные 1st'!$S$2:$S$317=$A6),--ISNUMBER('Данные 1st'!$DT$2:$DT$317))</f>
        <v>0</v>
      </c>
      <c r="BC6">
        <f>SUMPRODUCT(--('Данные 1st'!$S$2:$S$317=$A6),--ISNUMBER('Данные 1st'!$DU$2:$DU$317))</f>
        <v>0</v>
      </c>
      <c r="BD6">
        <f>SUMPRODUCT(--('Данные 1st'!$S$2:$S$317=$A6),--ISNUMBER('Данные 1st'!$DV$2:$DV$317))</f>
        <v>0</v>
      </c>
      <c r="BE6">
        <f>SUMPRODUCT(--('Данные 1st'!$S$2:$S$317=$A6),--ISNUMBER('Данные 1st'!$DX$2:$DX$317))</f>
        <v>4</v>
      </c>
      <c r="BF6">
        <f>SUMPRODUCT(--('Данные 1st'!$S$2:$S$317=$A6),--ISNUMBER('Данные 1st'!$EA$2:$EA$317))</f>
        <v>4</v>
      </c>
      <c r="BG6">
        <f>SUMPRODUCT(--('Данные 1st'!$S$2:$S$317=$A6),--ISNUMBER('Данные 1st'!$EB$2:$EB$317))</f>
        <v>4</v>
      </c>
      <c r="BH6">
        <f>SUMPRODUCT(--('Данные 1st'!$S$2:$S$317=$A6),--ISNUMBER('Данные 1st'!$ED$2:$ED$317))</f>
        <v>4</v>
      </c>
      <c r="BI6">
        <f>SUMPRODUCT(--('Данные 1st'!$S$2:$S$317=$A6),--ISNUMBER('Данные 1st'!$EE$2:$EE$317))</f>
        <v>4</v>
      </c>
      <c r="BJ6">
        <f>SUMPRODUCT(--('Данные 1st'!$S$2:$S$317=$A6),--ISNUMBER('Данные 1st'!$EG$2:$EG$317))</f>
        <v>4</v>
      </c>
      <c r="BK6">
        <f>SUMPRODUCT(--('Данные 1st'!$S$2:$S$317=$A6),--ISNUMBER('Данные 1st'!$EH$2:$EH$317))</f>
        <v>4</v>
      </c>
      <c r="BL6">
        <f>SUMPRODUCT(--('Данные 1st'!$S$2:$S$317=$A6),--ISNUMBER('Данные 1st'!$EJ$2:$EJ$317))</f>
        <v>4</v>
      </c>
      <c r="BM6">
        <f>SUMPRODUCT(--('Данные 1st'!$S$2:$S$317=$A6),--ISNUMBER('Данные 1st'!$EK$2:$EK$317))</f>
        <v>4</v>
      </c>
      <c r="BN6">
        <f>SUMPRODUCT(--('Данные 1st'!$S$2:$S$317=$A6),--ISNUMBER('Данные 1st'!$EN$2:$EN$317))</f>
        <v>4</v>
      </c>
      <c r="BO6">
        <f>SUMPRODUCT(--('Данные 1st'!$S$2:$S$317=$A6),--ISNUMBER('Данные 1st'!$EQ$2:$EQ$317))</f>
        <v>4</v>
      </c>
      <c r="BP6">
        <f>SUMPRODUCT(--('Данные 1st'!$S$2:$S$317=$A6),--ISNUMBER('Данные 1st'!$ER$2:$ER$317))</f>
        <v>4</v>
      </c>
      <c r="BQ6">
        <f>SUMPRODUCT(--('Данные 1st'!$S$2:$S$317=$A6),--ISNUMBER('Данные 1st'!$ES$2:$ES$317))</f>
        <v>4</v>
      </c>
      <c r="BR6">
        <f>SUMPRODUCT(--('Данные 1st'!$S$2:$S$317=$A6),--ISNUMBER('Данные 1st'!$ET$2:$ET$317))</f>
        <v>4</v>
      </c>
      <c r="BS6">
        <f>SUMPRODUCT(--('Данные 1st'!$S$2:$S$317=$A6),--ISNUMBER('Данные 1st'!$EU$2:$EU$317))</f>
        <v>4</v>
      </c>
      <c r="BT6">
        <f>SUMPRODUCT(--('Данные 1st'!$S$2:$S$317=$A6),--ISNUMBER('Данные 1st'!$EV$2:$EV$317))</f>
        <v>4</v>
      </c>
      <c r="BU6">
        <f>SUMPRODUCT(--('Данные 1st'!$S$2:$S$317=$A6),--ISNUMBER('Данные 1st'!$EX$2:$EX$317))</f>
        <v>4</v>
      </c>
      <c r="BV6">
        <f>SUMPRODUCT(--('Данные 1st'!$S$2:$S$317=$A6),--ISNUMBER('Данные 1st'!$EY$2:$EY$317))</f>
        <v>4</v>
      </c>
      <c r="BW6">
        <f>SUMPRODUCT(--('Данные 1st'!$S$2:$S$317=$A6),--ISNUMBER('Данные 1st'!$EZ$2:$EZ$317))</f>
        <v>4</v>
      </c>
      <c r="BX6">
        <f>SUMPRODUCT(--('Данные 1st'!$S$2:$S$317=$A6),--ISNUMBER('Данные 1st'!$FA$2:$FA$317))</f>
        <v>4</v>
      </c>
      <c r="BY6">
        <f>SUMPRODUCT(--('Данные 1st'!$S$2:$S$317=$A6),--ISNUMBER('Данные 1st'!$FB$2:$FB$317))</f>
        <v>4</v>
      </c>
      <c r="BZ6">
        <f>SUMPRODUCT(--('Данные 1st'!$S$2:$S$317=$A6),--ISNUMBER('Данные 1st'!$FC$2:$FC$317))</f>
        <v>4</v>
      </c>
      <c r="CA6">
        <f>SUMPRODUCT(--('Данные 1st'!$S$2:$S$317=$A6),--ISNUMBER('Данные 1st'!$FE$2:$FE$317))</f>
        <v>4</v>
      </c>
      <c r="CB6">
        <f>SUMPRODUCT(--('Данные 1st'!$S$2:$S$317=$A6),--ISNUMBER('Данные 1st'!$FF$2:$FF$317))</f>
        <v>4</v>
      </c>
      <c r="CC6">
        <f>SUMPRODUCT(--('Данные 1st'!$S$2:$S$317=$A6),--ISNUMBER('Данные 1st'!$FI$2:$FI$317))</f>
        <v>4</v>
      </c>
      <c r="CD6">
        <f>SUMPRODUCT(--('Данные 1st'!$S$2:$S$317=$A6),--ISNUMBER('Данные 1st'!$FL$2:$FL$317))</f>
        <v>4</v>
      </c>
      <c r="CE6">
        <f>SUMPRODUCT(--('Данные 1st'!$S$2:$S$317=$A6),--ISNUMBER('Данные 1st'!$FM$2:$FM$317))</f>
        <v>4</v>
      </c>
      <c r="CF6">
        <f>SUMPRODUCT(--('Данные 1st'!$S$2:$S$317=$A6),--ISNUMBER('Данные 1st'!$FN$2:$FN$317))</f>
        <v>4</v>
      </c>
      <c r="CG6">
        <f>SUMPRODUCT(--('Данные 1st'!$S$2:$S$317=$A6),--ISNUMBER('Данные 1st'!$FO$2:$FO$317))</f>
        <v>0</v>
      </c>
      <c r="CH6">
        <f>SUMPRODUCT(--('Данные 1st'!$S$2:$S$317=$A6),--ISNUMBER('Данные 1st'!$FP$2:$FP$317))</f>
        <v>0</v>
      </c>
      <c r="CI6">
        <f>SUMPRODUCT(--('Данные 1st'!$S$2:$S$317=$A6),--ISNUMBER('Данные 1st'!$FS$2:$FS$317))</f>
        <v>4</v>
      </c>
      <c r="CJ6">
        <f>SUMPRODUCT(--('Данные 1st'!$S$2:$S$317=$A6),--ISNUMBER('Данные 1st'!$FT$2:$FT$317))</f>
        <v>4</v>
      </c>
      <c r="CK6">
        <f>SUMPRODUCT(--('Данные 1st'!$S$2:$S$317=$A6),--ISNUMBER('Данные 1st'!$FU$2:$FU$317))</f>
        <v>4</v>
      </c>
      <c r="CL6">
        <f>SUMPRODUCT(--('Данные 1st'!$S$2:$S$317=$A6),--ISNUMBER('Данные 1st'!$FV$2:$FV$317))</f>
        <v>1</v>
      </c>
      <c r="CM6">
        <f>SUMPRODUCT(--('Данные 1st'!$S$2:$S$317=$A6),--ISNUMBER('Данные 1st'!$FW$2:$FW$317))</f>
        <v>1</v>
      </c>
      <c r="CN6">
        <f>SUMPRODUCT(--('Данные 1st'!$S$2:$S$317=$A6),--ISNUMBER('Данные 1st'!$FZ$2:$FZ$317))</f>
        <v>0</v>
      </c>
      <c r="CO6">
        <f>SUMPRODUCT(--('Данные 1st'!$S$2:$S$317=$A6),--ISNUMBER('Данные 1st'!$GA$2:$GA$317))</f>
        <v>0</v>
      </c>
      <c r="CP6">
        <f>SUMPRODUCT(--('Данные 1st'!$S$2:$S$317=$A6),--ISNUMBER('Данные 1st'!$GB$2:$GB$317))</f>
        <v>0</v>
      </c>
      <c r="CQ6">
        <f>SUMPRODUCT(--('Данные 1st'!$S$2:$S$317=$A6),--ISNUMBER('Данные 1st'!$GH$2:$GH$317))</f>
        <v>0</v>
      </c>
      <c r="CR6">
        <f>SUMPRODUCT(--('Данные 1st'!$S$2:$S$317=$A6),--ISNUMBER('Данные 1st'!$GI$2:$GI$317))</f>
        <v>0</v>
      </c>
      <c r="CS6">
        <f>SUMPRODUCT(--('Данные 1st'!$S$2:$S$317=$A6),--ISNUMBER('Данные 1st'!$GJ$2:$GJ$317))</f>
        <v>0</v>
      </c>
      <c r="CT6">
        <f>SUMPRODUCT(--('Данные 1st'!$S$2:$S$317=$A6),--ISNUMBER('Данные 1st'!$GS$2:$GS$317))</f>
        <v>0</v>
      </c>
      <c r="CU6">
        <f>SUMPRODUCT(--('Данные 1st'!$S$2:$S$317=$A6),--ISNUMBER('Данные 1st'!$GT$2:$GT$317))</f>
        <v>0</v>
      </c>
      <c r="CV6">
        <f>SUMPRODUCT(--('Данные 1st'!$S$2:$S$317=$A6),--ISNUMBER('Данные 1st'!$GU$2:$GU$317))</f>
        <v>0</v>
      </c>
      <c r="CW6">
        <f>SUMPRODUCT(--('Данные 1st'!$S$2:$S$317=$A6),--ISNUMBER('Данные 1st'!$GV$2:$GV$317))</f>
        <v>0</v>
      </c>
      <c r="CX6">
        <f>SUMPRODUCT(--('Данные 1st'!$S$2:$S$317=$A6),--ISNUMBER('Данные 1st'!$GW$2:$GW$317))</f>
        <v>0</v>
      </c>
      <c r="CY6">
        <f>SUMPRODUCT(--('Данные 1st'!$S$2:$S$317=$A6),--ISNUMBER('Данные 1st'!$GZ$2:$GZ$317))</f>
        <v>0</v>
      </c>
      <c r="CZ6">
        <f>SUMPRODUCT(--('Данные 1st'!$S$2:$S$317=$A6),--ISNUMBER('Данные 1st'!$HA$2:$HA$317))</f>
        <v>0</v>
      </c>
      <c r="DA6">
        <f>SUMPRODUCT(--('Данные 1st'!$S$2:$S$317=$A6),--ISNUMBER('Данные 1st'!$HB$2:$HB$317))</f>
        <v>0</v>
      </c>
      <c r="DB6">
        <f>SUMPRODUCT(--('Данные 1st'!$S$2:$S$317=$A6),--ISNUMBER('Данные 1st'!$HC$2:$HC$317))</f>
        <v>4</v>
      </c>
      <c r="DC6">
        <f>SUMPRODUCT(--('Данные 1st'!$S$2:$S$317=$A6),--ISNUMBER('Данные 1st'!$HD$2:$HD$317))</f>
        <v>4</v>
      </c>
      <c r="DD6">
        <f>SUMPRODUCT(--('Данные 1st'!$S$2:$S$317=$A6),--ISNUMBER('Данные 1st'!$HE$2:$HE$317))</f>
        <v>4</v>
      </c>
      <c r="DE6">
        <f>SUMPRODUCT(--('Данные 1st'!$S$2:$S$317=$A6),--ISNUMBER('Данные 1st'!$HF$2:$HF$317))</f>
        <v>4</v>
      </c>
      <c r="DF6">
        <f>SUMPRODUCT(--('Данные 1st'!$S$2:$S$317=$A6),--ISNUMBER('Данные 1st'!$HG$2:$HG$317))</f>
        <v>4</v>
      </c>
      <c r="DG6">
        <f>SUMPRODUCT(--('Данные 1st'!$S$2:$S$317=$A6),--ISNUMBER('Данные 1st'!$HH$2:$HH$317))</f>
        <v>4</v>
      </c>
      <c r="DH6">
        <f>SUMPRODUCT(--('Данные 1st'!$S$2:$S$317=$A6),--ISNUMBER('Данные 1st'!$HI$2:$HI$317))</f>
        <v>4</v>
      </c>
      <c r="DI6">
        <f>SUMPRODUCT(--('Данные 1st'!$S$2:$S$317=$A6),--ISNUMBER('Данные 1st'!$HJ$2:$HJ$317))</f>
        <v>4</v>
      </c>
      <c r="DJ6">
        <f>SUMPRODUCT(--('Данные 1st'!$S$2:$S$317=$A6),--ISNUMBER('Данные 1st'!$HK$2:$HK$317))</f>
        <v>4</v>
      </c>
      <c r="DK6">
        <f>SUMPRODUCT(--('Данные 1st'!$S$2:$S$317=$A6),--ISNUMBER('Данные 1st'!$HL$2:$HL$317))</f>
        <v>4</v>
      </c>
      <c r="DL6">
        <f>SUMPRODUCT(--('Данные 1st'!$S$2:$S$317=$A6),--ISNUMBER('Данные 1st'!$HM$2:$HM$317))</f>
        <v>4</v>
      </c>
      <c r="DM6">
        <f>SUMPRODUCT(--('Данные 1st'!$S$2:$S$317=$A6),--ISNUMBER('Данные 1st'!$HN$2:$HN$317))</f>
        <v>4</v>
      </c>
      <c r="DN6">
        <f>SUMPRODUCT(--('Данные 1st'!$S$2:$S$317=$A6),--ISNUMBER('Данные 1st'!$HO$2:$HO$317))</f>
        <v>4</v>
      </c>
      <c r="DO6">
        <f>SUMPRODUCT(--('Данные 1st'!$S$2:$S$317=$A6),--ISNUMBER('Данные 1st'!$HP$2:$HP$317))</f>
        <v>4</v>
      </c>
      <c r="DP6">
        <f>SUMPRODUCT(--('Данные 1st'!$S$2:$S$317=$A6),--ISNUMBER('Данные 1st'!$HQ$2:$HQ$317))</f>
        <v>4</v>
      </c>
      <c r="DQ6">
        <f>SUMPRODUCT(--('Данные 1st'!$S$2:$S$317=$A6),--ISNUMBER('Данные 1st'!$HR$2:$HR$317))</f>
        <v>4</v>
      </c>
      <c r="DR6">
        <f>SUMPRODUCT(--('Данные 1st'!$S$2:$S$317=$A6),--ISNUMBER('Данные 1st'!$HS$2:$HS$317))</f>
        <v>4</v>
      </c>
      <c r="DS6">
        <f>SUMPRODUCT(--('Данные 1st'!$S$2:$S$317=$A6),--ISNUMBER('Данные 1st'!$HT$2:$HT$317))</f>
        <v>4</v>
      </c>
      <c r="DT6">
        <f>SUMPRODUCT(--('Данные 1st'!$S$2:$S$317=$A6),--ISNUMBER('Данные 1st'!$HU$2:$HU$317))</f>
        <v>4</v>
      </c>
      <c r="DU6">
        <f>SUMPRODUCT(--('Данные 1st'!$S$2:$S$317=$A6),--ISNUMBER('Данные 1st'!$HW$2:$HW$317))</f>
        <v>4</v>
      </c>
      <c r="DV6">
        <f>SUMPRODUCT(--('Данные 1st'!$S$2:$S$317=$A6),--ISNUMBER('Данные 1st'!$HX$2:$HX$317))</f>
        <v>4</v>
      </c>
      <c r="DW6">
        <f>SUMPRODUCT(--('Данные 1st'!$S$2:$S$317=$A6),--ISNUMBER('Данные 1st'!$HY$2:$HY$317))</f>
        <v>4</v>
      </c>
      <c r="DX6">
        <f>SUMPRODUCT(--('Данные 1st'!$S$2:$S$317=$A6),--ISNUMBER('Данные 1st'!$IA$2:$IA$317))</f>
        <v>4</v>
      </c>
      <c r="DY6">
        <f>SUMPRODUCT(--('Данные 1st'!$S$2:$S$317=$A6),--ISNUMBER('Данные 1st'!$IB$2:$IB$317))</f>
        <v>4</v>
      </c>
      <c r="DZ6">
        <f>SUMPRODUCT(--('Данные 1st'!$S$2:$S$317=$A6),--ISNUMBER('Данные 1st'!$IC$2:$IC$317))</f>
        <v>4</v>
      </c>
      <c r="EA6">
        <f>SUMPRODUCT(--('Данные 1st'!$S$2:$S$317=$A6),--ISNUMBER('Данные 1st'!$ID$2:$ID$317))</f>
        <v>4</v>
      </c>
      <c r="EB6">
        <f>SUMPRODUCT(--('Данные 1st'!$S$2:$S$317=$A6),--ISNUMBER('Данные 1st'!$IE$2:$IE$317))</f>
        <v>4</v>
      </c>
      <c r="EC6">
        <f>SUMPRODUCT(--('Данные 1st'!$S$2:$S$317=$A6),--ISNUMBER('Данные 1st'!$IF$2:$IF$317))</f>
        <v>4</v>
      </c>
      <c r="ED6">
        <f>SUMPRODUCT(--('Данные 1st'!$S$2:$S$317=$A6),--ISNUMBER('Данные 1st'!$IP$2:$IP$317))</f>
        <v>4</v>
      </c>
      <c r="EE6">
        <f>SUMPRODUCT(--('Данные 1st'!$S$2:$S$317=$A6),--ISNUMBER('Данные 1st'!$IV$2:$IV$317))</f>
        <v>4</v>
      </c>
      <c r="EF6">
        <f>SUMPRODUCT(--('Данные 1st'!$S$2:$S$317=$A6),--ISNUMBER('Данные 1st'!$IW$2:$IW$317))</f>
        <v>4</v>
      </c>
      <c r="EG6">
        <f>SUMPRODUCT(--('Данные 1st'!$S$2:$S$317=$A6),--ISNUMBER('Данные 1st'!$IX$2:$IX$317))</f>
        <v>0</v>
      </c>
      <c r="EH6">
        <f>SUMPRODUCT(--('Данные 1st'!$S$2:$S$317=$A6),--ISNUMBER('Данные 1st'!$IY$2:$IY$317))</f>
        <v>0</v>
      </c>
      <c r="EI6">
        <f>SUMPRODUCT(--('Данные 1st'!$S$2:$S$317=$A6),--ISNUMBER('Данные 1st'!$JD$2:$JD$317))</f>
        <v>4</v>
      </c>
      <c r="EJ6">
        <f>SUMPRODUCT(--('Данные 1st'!$S$2:$S$317=$A6),--ISNUMBER('Данные 1st'!$JE$2:$JE$317))</f>
        <v>4</v>
      </c>
      <c r="EK6">
        <f>SUMPRODUCT(--('Данные 1st'!$S$2:$S$317=$A6),--ISNUMBER('Данные 1st'!$JF$2:$JF$317))</f>
        <v>4</v>
      </c>
      <c r="EL6">
        <f>SUMPRODUCT(--('Данные 1st'!$S$2:$S$317=$A6),--ISNUMBER('Данные 1st'!$JG$2:$JG$317))</f>
        <v>4</v>
      </c>
      <c r="EM6">
        <f>SUMPRODUCT(--('Данные 1st'!$S$2:$S$317=$A6),--ISNUMBER('Данные 1st'!$JH$2:$JH$317))</f>
        <v>4</v>
      </c>
      <c r="EN6">
        <f>SUMPRODUCT(--('Данные 1st'!$S$2:$S$317=$A6),--ISNUMBER('Данные 1st'!$JJ$2:$JJ$317))</f>
        <v>4</v>
      </c>
      <c r="EO6">
        <f>SUMPRODUCT(--('Данные 1st'!$S$2:$S$317=$A6),--ISNUMBER('Данные 1st'!$JK$2:$JK$317))</f>
        <v>4</v>
      </c>
      <c r="EP6">
        <f>SUMPRODUCT(--('Данные 1st'!$S$2:$S$317=$A6),--ISNUMBER('Данные 1st'!$JL$2:$JL$317))</f>
        <v>0</v>
      </c>
      <c r="EQ6">
        <f>SUMPRODUCT(--('Данные 1st'!$S$2:$S$317=$A6),--ISNUMBER('Данные 1st'!$JM$2:$JM$317))</f>
        <v>0</v>
      </c>
      <c r="ER6">
        <f>SUMPRODUCT(--('Данные 1st'!$S$2:$S$317=$A6),--ISNUMBER('Данные 1st'!$JN$2:$JN$317))</f>
        <v>4</v>
      </c>
      <c r="ES6">
        <f>SUMPRODUCT(--('Данные 1st'!$S$2:$S$317=$A6),--ISNUMBER('Данные 1st'!$JO$2:$JO$317))</f>
        <v>4</v>
      </c>
      <c r="ET6">
        <f>SUMPRODUCT(--('Данные 1st'!$S$2:$S$317=$A6),--ISNUMBER('Данные 1st'!$JP$2:$JP$317))</f>
        <v>4</v>
      </c>
      <c r="EU6">
        <f>SUMPRODUCT(--('Данные 1st'!$S$2:$S$317=$A6),--ISNUMBER('Данные 1st'!$JQ$2:$JQ$317))</f>
        <v>4</v>
      </c>
      <c r="EV6">
        <f>SUMPRODUCT(--('Данные 1st'!$S$2:$S$317=$A6),--ISNUMBER('Данные 1st'!$JR$2:$JR$317))</f>
        <v>4</v>
      </c>
      <c r="EW6">
        <f>SUMPRODUCT(--('Данные 1st'!$S$2:$S$317=$A6),--ISNUMBER('Данные 1st'!$JS$2:$JS$317))</f>
        <v>4</v>
      </c>
      <c r="EX6">
        <f>SUMPRODUCT(--('Данные 1st'!$S$2:$S$317=$A6),--ISNUMBER('Данные 1st'!$JT$2:$JT$317))</f>
        <v>0</v>
      </c>
      <c r="EY6">
        <f>SUMPRODUCT(--('Данные 1st'!$S$2:$S$317=$A6),--ISNUMBER('Данные 1st'!$JU$2:$JU$317))</f>
        <v>0</v>
      </c>
      <c r="EZ6">
        <f>SUMPRODUCT(--('Данные 1st'!$S$2:$S$317=$A6),--ISNUMBER('Данные 1st'!$JV$2:$JV$317))</f>
        <v>4</v>
      </c>
      <c r="FA6">
        <f>SUMPRODUCT(--('Данные 1st'!$S$2:$S$317=$A6),--ISNUMBER('Данные 1st'!$JW$2:$JW$317))</f>
        <v>0</v>
      </c>
      <c r="FB6">
        <f>SUMPRODUCT(--('Данные 1st'!$S$2:$S$317=$A6),--ISNUMBER('Данные 1st'!$JX$2:$JX$317))</f>
        <v>4</v>
      </c>
      <c r="FC6">
        <f>SUMPRODUCT(--('Данные 1st'!$S$2:$S$317=$A6),--ISNUMBER('Данные 1st'!$JY$2:$JY$317))</f>
        <v>0</v>
      </c>
      <c r="FD6">
        <f>SUMPRODUCT(--('Данные 1st'!$S$2:$S$317=$A6),--ISNUMBER('Данные 1st'!$JZ$2:$JZ$317))</f>
        <v>0</v>
      </c>
      <c r="FE6">
        <f>SUMPRODUCT(--('Данные 1st'!$S$2:$S$317=$A6),--ISNUMBER('Данные 1st'!$KA$2:$KA$317))</f>
        <v>4</v>
      </c>
      <c r="FF6">
        <f>SUMPRODUCT(--('Данные 1st'!$S$2:$S$317=$A6),--ISNUMBER('Данные 1st'!$KB$2:$KB$317))</f>
        <v>4</v>
      </c>
      <c r="FG6">
        <f>SUMPRODUCT(--('Данные 1st'!$S$2:$S$317=$A6),--ISNUMBER('Данные 1st'!$KC$2:$KC$317))</f>
        <v>4</v>
      </c>
      <c r="FH6">
        <f>SUMPRODUCT(--('Данные 1st'!$S$2:$S$317=$A6),--ISNUMBER('Данные 1st'!$KD$2:$KD$317))</f>
        <v>4</v>
      </c>
      <c r="FI6">
        <f>SUMPRODUCT(--('Данные 1st'!$S$2:$S$317=$A6),--ISNUMBER('Данные 1st'!$KE$2:$KE$317))</f>
        <v>0</v>
      </c>
      <c r="FJ6">
        <f>SUMPRODUCT(--('Данные 1st'!$S$2:$S$317=$A6),--ISNUMBER('Данные 1st'!$KF$2:$KF$317))</f>
        <v>4</v>
      </c>
      <c r="FK6">
        <f>SUMPRODUCT(--('Данные 1st'!$S$2:$S$317=$A6),--ISNUMBER('Данные 1st'!$KG$2:$KG$317))</f>
        <v>4</v>
      </c>
      <c r="FL6">
        <f>SUMPRODUCT(--('Данные 1st'!$S$2:$S$317=$A6),--ISNUMBER('Данные 1st'!$KH$2:$KH$317))</f>
        <v>4</v>
      </c>
      <c r="FM6">
        <f>SUMPRODUCT(--('Данные 1st'!$S$2:$S$317=$A6),--ISNUMBER('Данные 1st'!$KI$2:$KI$317))</f>
        <v>4</v>
      </c>
      <c r="FN6">
        <f>SUMPRODUCT(--('Данные 1st'!$S$2:$S$317=$A6),--ISNUMBER('Данные 1st'!$KJ$2:$KJ$317))</f>
        <v>4</v>
      </c>
      <c r="FO6">
        <f>SUMPRODUCT(--('Данные 1st'!$S$2:$S$317=$A6),--ISNUMBER('Данные 1st'!$KK$2:$KK$317))</f>
        <v>4</v>
      </c>
      <c r="FP6">
        <f>SUMPRODUCT(--('Данные 1st'!$S$2:$S$317=$A6),--ISNUMBER('Данные 1st'!$KL$2:$KL$317))</f>
        <v>4</v>
      </c>
      <c r="FQ6">
        <f>SUMPRODUCT(--('Данные 1st'!$S$2:$S$317=$A6),--ISNUMBER('Данные 1st'!$KM$2:$KM$317))</f>
        <v>4</v>
      </c>
      <c r="FR6">
        <f>SUMPRODUCT(--('Данные 1st'!$S$2:$S$317=$A6),--ISNUMBER('Данные 1st'!$KN$2:$KN$317))</f>
        <v>4</v>
      </c>
      <c r="FS6">
        <f>SUMPRODUCT(--('Данные 1st'!$S$2:$S$317=$A6),--ISNUMBER('Данные 1st'!$KR$2:$KR$317))</f>
        <v>4</v>
      </c>
      <c r="FT6">
        <f>SUMPRODUCT(--('Данные 1st'!$S$2:$S$317=$A6),--ISNUMBER('Данные 1st'!$KS$2:$KS$317))</f>
        <v>4</v>
      </c>
      <c r="FU6">
        <f>SUMPRODUCT(--('Данные 1st'!$S$2:$S$317=$A6),--ISNUMBER('Данные 1st'!$KT$2:$KT$317))</f>
        <v>4</v>
      </c>
      <c r="FV6">
        <f>SUMPRODUCT(--('Данные 1st'!$S$2:$S$317=$A6),--ISNUMBER('Данные 1st'!$KV$2:$KV$317))</f>
        <v>0</v>
      </c>
      <c r="FW6">
        <f>SUMPRODUCT(--('Данные 1st'!$S$2:$S$317=$A6),--ISNUMBER('Данные 1st'!$KW$2:$KW$317))</f>
        <v>0</v>
      </c>
      <c r="FX6">
        <f>SUMPRODUCT(--('Данные 1st'!$S$2:$S$317=$A6),--ISNUMBER('Данные 1st'!$KX$2:$KX$317))</f>
        <v>0</v>
      </c>
      <c r="FY6">
        <f>SUMPRODUCT(--('Данные 1st'!$S$2:$S$317=$A6),--ISNUMBER('Данные 1st'!$KY$2:$KY$317))</f>
        <v>0</v>
      </c>
      <c r="FZ6">
        <f>SUMPRODUCT(--('Данные 1st'!$S$2:$S$317=$A6),--ISNUMBER('Данные 1st'!$KZ$2:$KZ$317))</f>
        <v>0</v>
      </c>
      <c r="GA6">
        <f>SUMPRODUCT(--('Данные 1st'!$S$2:$S$317=$A6),--ISNUMBER('Данные 1st'!$LA$2:$LA$317))</f>
        <v>0</v>
      </c>
      <c r="GB6">
        <f>SUMPRODUCT(--('Данные 1st'!$S$2:$S$317=$A6),--ISNUMBER('Данные 1st'!$LB$2:$LB$317))</f>
        <v>0</v>
      </c>
      <c r="GC6">
        <f>SUMPRODUCT(--('Данные 1st'!$S$2:$S$317=$A6),--ISNUMBER('Данные 1st'!$LC$2:$LC$317))</f>
        <v>0</v>
      </c>
      <c r="GD6">
        <f>SUMPRODUCT(--('Данные 1st'!$S$2:$S$317=$A6),--ISNUMBER('Данные 1st'!$LD$2:$LD$317))</f>
        <v>0</v>
      </c>
      <c r="GE6">
        <f>SUMPRODUCT(--('Данные 1st'!$S$2:$S$317=$A6),--ISNUMBER('Данные 1st'!$LE$2:$LE$317))</f>
        <v>0</v>
      </c>
      <c r="GF6">
        <f>SUMPRODUCT(--('Данные 1st'!$S$2:$S$317=$A6),--ISNUMBER('Данные 1st'!$LF$2:$LF$317))</f>
        <v>0</v>
      </c>
      <c r="GG6">
        <f>SUMPRODUCT(--('Данные 1st'!$S$2:$S$317=$A6),--ISNUMBER('Данные 1st'!$LG$2:$LG$317))</f>
        <v>0</v>
      </c>
      <c r="GH6">
        <f>SUMPRODUCT(--('Данные 1st'!$S$2:$S$317=$A6),--ISNUMBER('Данные 1st'!$LH$2:$LH$317))</f>
        <v>0</v>
      </c>
      <c r="GI6">
        <f>SUMPRODUCT(--('Данные 1st'!$S$2:$S$317=$A6),--ISNUMBER('Данные 1st'!$LI$2:$LI$317))</f>
        <v>0</v>
      </c>
      <c r="GJ6">
        <f>SUMPRODUCT(--('Данные 1st'!$S$2:$S$317=$A6),--ISNUMBER('Данные 1st'!$LJ$2:$LJ$317))</f>
        <v>0</v>
      </c>
      <c r="GK6">
        <f>SUMPRODUCT(--('Данные 1st'!$S$2:$S$317=$A6),--ISNUMBER('Данные 1st'!$LK$2:$LK$317))</f>
        <v>4</v>
      </c>
      <c r="GL6">
        <f>SUMPRODUCT(--('Данные 1st'!$S$2:$S$317=$A6),--ISNUMBER('Данные 1st'!$LV$2:$LV$317))</f>
        <v>0</v>
      </c>
      <c r="GM6">
        <f>SUMPRODUCT(--('Данные 1st'!$S$2:$S$317=$A6),--ISNUMBER('Данные 1st'!$LW$2:$LW$317))</f>
        <v>0</v>
      </c>
      <c r="GN6">
        <f>SUMPRODUCT(--('Данные 1st'!$S$2:$S$317=$A6),--ISNUMBER('Данные 1st'!$LX$2:$LX$317))</f>
        <v>2</v>
      </c>
      <c r="GO6">
        <f>SUMPRODUCT(--('Данные 1st'!$S$2:$S$317=$A6),--ISNUMBER('Данные 1st'!$LY$2:$LY$317))</f>
        <v>2</v>
      </c>
      <c r="GP6">
        <f>SUMPRODUCT(--('Данные 1st'!$S$2:$S$317=$A6),--ISNUMBER('Данные 1st'!$LZ$2:$LZ$317))</f>
        <v>1</v>
      </c>
      <c r="GQ6">
        <f>SUMPRODUCT(--('Данные 1st'!$S$2:$S$317=$A6),--ISNUMBER('Данные 1st'!$PG$2:$PG$317))</f>
        <v>4</v>
      </c>
      <c r="GR6">
        <f>SUMPRODUCT(--('Данные 1st'!$S$2:$S$317=$A6),--ISNUMBER('Данные 1st'!$PX$2:$PX$317))</f>
        <v>4</v>
      </c>
      <c r="GS6">
        <f>SUMPRODUCT(--('Данные 1st'!$S$2:$S$317=$A6),--ISNUMBER('Данные 1st'!$PY$2:$PY$317))</f>
        <v>4</v>
      </c>
      <c r="GT6">
        <f>SUMPRODUCT(--('Данные 1st'!$S$2:$S$317=$A6),--ISNUMBER('Данные 1st'!$QA$2:$QA$317))</f>
        <v>4</v>
      </c>
      <c r="GU6">
        <f>SUMPRODUCT(--('Данные 1st'!$S$2:$S$317=$A6),--ISNUMBER('Данные 1st'!$QB$2:$QB$317))</f>
        <v>4</v>
      </c>
      <c r="GV6">
        <f>SUMPRODUCT(--('Данные 1st'!$S$2:$S$317=$A6),--ISNUMBER('Данные 1st'!$QC$2:$QC$317))</f>
        <v>4</v>
      </c>
      <c r="GW6">
        <f>SUMPRODUCT(--('Данные 1st'!$S$2:$S$317=$A6),--ISNUMBER('Данные 1st'!$QD$2:$QD$317))</f>
        <v>4</v>
      </c>
      <c r="GX6">
        <f>SUMPRODUCT(--('Данные 1st'!$S$2:$S$317=$A6),--ISNUMBER('Данные 1st'!$QF$2:$QF$317))</f>
        <v>4</v>
      </c>
      <c r="GY6">
        <f>SUMPRODUCT(--('Данные 1st'!$S$2:$S$317=$A6),--ISNUMBER('Данные 1st'!$QG$2:$QG$317))</f>
        <v>4</v>
      </c>
      <c r="GZ6">
        <f>SUMPRODUCT(--('Данные 1st'!$S$2:$S$317=$A6),--ISNUMBER('Данные 1st'!$QH$2:$QH$317))</f>
        <v>4</v>
      </c>
      <c r="HA6">
        <f>SUMPRODUCT(--('Данные 1st'!$S$2:$S$317=$A6),--ISNUMBER('Данные 1st'!$QI$2:$QI$317))</f>
        <v>4</v>
      </c>
      <c r="HB6">
        <f>SUMPRODUCT(--('Данные 1st'!$S$2:$S$317=$A6),--ISNUMBER('Данные 1st'!$QK$2:$QK$317))</f>
        <v>0</v>
      </c>
      <c r="HC6">
        <f>SUMPRODUCT(--('Данные 1st'!$S$2:$S$317=$A6),--ISNUMBER('Данные 1st'!$QL$2:$QL$317))</f>
        <v>4</v>
      </c>
      <c r="HD6">
        <f>SUMPRODUCT(--('Данные 1st'!$S$2:$S$317=$A6),--ISNUMBER('Данные 1st'!$QM$2:$QM$317))</f>
        <v>4</v>
      </c>
      <c r="HE6">
        <f>SUMPRODUCT(--('Данные 1st'!$S$2:$S$317=$A6),--ISNUMBER('Данные 1st'!$QN$2:$QN$317))</f>
        <v>4</v>
      </c>
      <c r="HF6">
        <f>SUMPRODUCT(--('Данные 1st'!$S$2:$S$317=$A6),--ISNUMBER('Данные 1st'!$QP$2:$QP$317))</f>
        <v>4</v>
      </c>
      <c r="HG6">
        <f>SUMPRODUCT(--('Данные 1st'!$S$2:$S$317=$A6),--ISNUMBER('Данные 1st'!$QQ$2:$QQ$317))</f>
        <v>4</v>
      </c>
      <c r="HH6">
        <f>SUMPRODUCT(--('Данные 1st'!$S$2:$S$317=$A6),--ISNUMBER('Данные 1st'!$QR$2:$QR$317))</f>
        <v>0</v>
      </c>
      <c r="HI6">
        <f>SUMPRODUCT(--('Данные 1st'!$S$2:$S$317=$A6),--ISNUMBER('Данные 1st'!$QS$2:$QS$317))</f>
        <v>0</v>
      </c>
      <c r="HJ6">
        <f>SUMPRODUCT(--('Данные 1st'!$S$2:$S$317=$A6),--ISNUMBER('Данные 1st'!$QU$2:$QU$317))</f>
        <v>0</v>
      </c>
      <c r="HK6">
        <f>SUMPRODUCT(--('Данные 1st'!$S$2:$S$317=$A6),--ISNUMBER('Данные 1st'!$QV$2:$QV$317))</f>
        <v>0</v>
      </c>
      <c r="HL6">
        <f>SUMPRODUCT(--('Данные 1st'!$S$2:$S$317=$A6),--ISNUMBER('Данные 1st'!$QW$2:$QW$317))</f>
        <v>4</v>
      </c>
      <c r="HM6">
        <f>SUMPRODUCT(--('Данные 1st'!$S$2:$S$317=$A6),--ISNUMBER('Данные 1st'!$QX$2:$QX$317))</f>
        <v>4</v>
      </c>
      <c r="HN6">
        <f>SUMPRODUCT(--('Данные 1st'!$S$2:$S$317=$A6),--ISNUMBER('Данные 1st'!$QZ$2:$QZ$317))</f>
        <v>4</v>
      </c>
      <c r="HO6">
        <f>SUMPRODUCT(--('Данные 1st'!$S$2:$S$317=$A6),--ISNUMBER('Данные 1st'!$RA$2:$RA$317))</f>
        <v>4</v>
      </c>
      <c r="HP6">
        <f>SUMPRODUCT(--('Данные 1st'!$S$2:$S$317=$A6),--ISNUMBER('Данные 1st'!$RB$2:$RB$317))</f>
        <v>4</v>
      </c>
      <c r="HQ6">
        <f>SUMPRODUCT(--('Данные 1st'!$S$2:$S$317=$A6),--ISNUMBER('Данные 1st'!$RD$2:$RD$317))</f>
        <v>0</v>
      </c>
      <c r="HR6">
        <f>SUMPRODUCT(--('Данные 1st'!$S$2:$S$317=$A6),--ISNUMBER('Данные 1st'!$RE$2:$RE$317))</f>
        <v>4</v>
      </c>
      <c r="HS6">
        <f>SUMPRODUCT(--('Данные 1st'!$S$2:$S$317=$A6),--ISNUMBER('Данные 1st'!$RF$2:$RF$317))</f>
        <v>4</v>
      </c>
      <c r="HT6">
        <f>SUMPRODUCT(--('Данные 1st'!$S$2:$S$317=$A6),--ISNUMBER('Данные 1st'!$RG$2:$RG$317))</f>
        <v>0</v>
      </c>
      <c r="HU6">
        <f>SUMPRODUCT(--('Данные 1st'!$S$2:$S$317=$A6),--ISNUMBER('Данные 1st'!$RH$2:$RH$317))</f>
        <v>0</v>
      </c>
      <c r="HV6">
        <f>SUMPRODUCT(--('Данные 1st'!$S$2:$S$317=$A6),--ISNUMBER('Данные 1st'!$RI$2:$RI$317))</f>
        <v>0</v>
      </c>
      <c r="HW6">
        <f>SUMPRODUCT(--('Данные 1st'!$S$2:$S$317=$A6),--ISNUMBER('Данные 1st'!$RJ$2:$RJ$317))</f>
        <v>4</v>
      </c>
      <c r="HX6">
        <f>SUMPRODUCT(--('Данные 1st'!$S$2:$S$317=$A6),--ISNUMBER('Данные 1st'!$RK$2:$RK$317))</f>
        <v>0</v>
      </c>
      <c r="HY6">
        <f>SUMPRODUCT(--('Данные 1st'!$S$2:$S$317=$A6),--ISNUMBER('Данные 1st'!$RL$2:$RL$317))</f>
        <v>4</v>
      </c>
      <c r="HZ6">
        <f>SUMPRODUCT(--('Данные 1st'!$S$2:$S$317=$A6),--ISNUMBER('Данные 1st'!$RM$2:$RM$317))</f>
        <v>0</v>
      </c>
      <c r="IA6">
        <f>SUMPRODUCT(--('Данные 1st'!$S$2:$S$317=$A6),--ISNUMBER('Данные 1st'!$RN$2:$RN$317))</f>
        <v>0</v>
      </c>
      <c r="IB6">
        <f>SUMPRODUCT(--('Данные 1st'!$S$2:$S$317=$A6),--ISNUMBER('Данные 1st'!$RO$2:$RO$317))</f>
        <v>4</v>
      </c>
      <c r="IC6">
        <f>SUMPRODUCT(--('Данные 1st'!$S$2:$S$317=$A6),--ISNUMBER('Данные 1st'!$RP$2:$RP$317))</f>
        <v>0</v>
      </c>
      <c r="ID6">
        <f>SUMPRODUCT(--('Данные 1st'!$S$2:$S$317=$A6),--ISNUMBER('Данные 1st'!$RQ$2:$RQ$317))</f>
        <v>4</v>
      </c>
      <c r="IE6">
        <f>SUMPRODUCT(--('Данные 1st'!$S$2:$S$317=$A6),--ISNUMBER('Данные 1st'!$RR$2:$RR$317))</f>
        <v>0</v>
      </c>
      <c r="IF6">
        <f>SUMPRODUCT(--('Данные 1st'!$S$2:$S$317=$A6),--ISNUMBER('Данные 1st'!$RS$2:$RS$317))</f>
        <v>0</v>
      </c>
      <c r="IG6">
        <f>SUMPRODUCT(--('Данные 1st'!$S$2:$S$317=$A6),--ISNUMBER('Данные 1st'!$RT$2:$RT$317))</f>
        <v>4</v>
      </c>
      <c r="IH6">
        <f>SUMPRODUCT(--('Данные 1st'!$S$2:$S$317=$A6),--ISNUMBER('Данные 1st'!$RU$2:$RU$317))</f>
        <v>4</v>
      </c>
      <c r="II6">
        <f>SUMPRODUCT(--('Данные 1st'!$S$2:$S$317=$A6),--ISNUMBER('Данные 1st'!$RX$2:$RX$317))</f>
        <v>4</v>
      </c>
      <c r="IJ6">
        <f>SUMPRODUCT(--('Данные 1st'!$S$2:$S$317=$A6),--ISNUMBER('Данные 1st'!$RY$2:$RY$317))</f>
        <v>4</v>
      </c>
      <c r="IK6">
        <f>SUMPRODUCT(--('Данные 1st'!$S$2:$S$317=$A6),--ISNUMBER('Данные 1st'!$SA$2:$SA$317))</f>
        <v>4</v>
      </c>
      <c r="IL6">
        <f>SUMPRODUCT(--('Данные 1st'!$S$2:$S$317=$A6),--ISNUMBER('Данные 1st'!$SD$2:$SD$317))</f>
        <v>4</v>
      </c>
      <c r="IM6">
        <f>SUMPRODUCT(--('Данные 1st'!$S$2:$S$317=$A6),--ISNUMBER('Данные 1st'!$SG$2:$SG$317))</f>
        <v>0</v>
      </c>
      <c r="IN6">
        <f>SUMPRODUCT(--('Данные 1st'!$S$2:$S$317=$A6),--ISNUMBER('Данные 1st'!$SH$2:$SH$317))</f>
        <v>4</v>
      </c>
      <c r="IO6">
        <f>SUMPRODUCT(--('Данные 1st'!$S$2:$S$317=$A6),--ISNUMBER('Данные 1st'!$SI$2:$SI$317))</f>
        <v>4</v>
      </c>
      <c r="IP6">
        <f>SUMPRODUCT(--('Данные 1st'!$S$2:$S$317=$A6),--ISNUMBER('Данные 1st'!$SJ$2:$SJ$317))</f>
        <v>4</v>
      </c>
      <c r="IQ6">
        <f>SUMPRODUCT(--('Данные 1st'!$S$2:$S$317=$A6),--ISNUMBER('Данные 1st'!$SK$2:$SK$317))</f>
        <v>4</v>
      </c>
      <c r="IR6">
        <f>SUMPRODUCT(--('Данные 1st'!$S$2:$S$317=$A6),--ISNUMBER('Данные 1st'!$SL$2:$SL$317))</f>
        <v>4</v>
      </c>
      <c r="IS6">
        <f>SUMPRODUCT(--('Данные 1st'!$S$2:$S$317=$A6),--ISNUMBER('Данные 1st'!$SM$2:$SM$317))</f>
        <v>4</v>
      </c>
      <c r="IT6">
        <f>SUMPRODUCT(--('Данные 1st'!$S$2:$S$317=$A6),--ISNUMBER('Данные 1st'!$SN$2:$SN$317))</f>
        <v>4</v>
      </c>
      <c r="IU6">
        <f>SUMPRODUCT(--('Данные 1st'!$S$2:$S$317=$A6),--ISNUMBER('Данные 1st'!$SO$2:$SO$317))</f>
        <v>4</v>
      </c>
      <c r="IV6">
        <f>SUMPRODUCT(--('Данные 1st'!$S$2:$S$317=$A6),--ISNUMBER('Данные 1st'!$SP$2:$SP$317))</f>
        <v>4</v>
      </c>
      <c r="IW6">
        <f>SUMPRODUCT(--('Данные 1st'!$S$2:$S$317=$A6),--ISNUMBER('Данные 1st'!$SQ$2:$SQ$317))</f>
        <v>4</v>
      </c>
      <c r="IX6">
        <f>SUMPRODUCT(--('Данные 1st'!$S$2:$S$317=$A6),--ISNUMBER('Данные 1st'!$SR$2:$SR$317))</f>
        <v>4</v>
      </c>
      <c r="IY6">
        <f>SUMPRODUCT(--('Данные 1st'!$S$2:$S$317=$A6),--ISNUMBER('Данные 1st'!$SS$2:$SS$317))</f>
        <v>4</v>
      </c>
      <c r="IZ6">
        <f>SUMPRODUCT(--('Данные 1st'!$S$2:$S$317=$A6),--ISNUMBER('Данные 1st'!$ST$2:$ST$317))</f>
        <v>4</v>
      </c>
      <c r="JA6">
        <f>SUMPRODUCT(--('Данные 1st'!$S$2:$S$317=$A6),--ISNUMBER('Данные 1st'!$SU$2:$SU$317))</f>
        <v>4</v>
      </c>
      <c r="JB6">
        <f>SUMPRODUCT(--('Данные 1st'!$S$2:$S$317=$A6),--ISNUMBER('Данные 1st'!$SV$2:$SV$317))</f>
        <v>4</v>
      </c>
      <c r="JC6">
        <f>SUMPRODUCT(--('Данные 1st'!$S$2:$S$317=$A6),--ISNUMBER('Данные 1st'!$SW$2:$SW$317))</f>
        <v>4</v>
      </c>
      <c r="JD6">
        <f>SUMPRODUCT(--('Данные 1st'!$S$2:$S$317=$A6),--ISNUMBER('Данные 1st'!$SX$2:$SX$317))</f>
        <v>4</v>
      </c>
      <c r="JE6">
        <f>SUMPRODUCT(--('Данные 1st'!$S$2:$S$317=$A6),--ISNUMBER('Данные 1st'!$SY$2:$SY$317))</f>
        <v>0</v>
      </c>
      <c r="JF6">
        <f>SUMPRODUCT(--('Данные 1st'!$S$2:$S$317=$A6),--ISNUMBER('Данные 1st'!$SZ$2:$SZ$317))</f>
        <v>0</v>
      </c>
      <c r="JG6">
        <f>SUMPRODUCT(--('Данные 1st'!$S$2:$S$317=$A6),--ISNUMBER('Данные 1st'!$TA$2:$TA$317))</f>
        <v>0</v>
      </c>
      <c r="JH6">
        <f>SUMPRODUCT(--('Данные 1st'!$S$2:$S$317=$A6),--ISNUMBER('Данные 1st'!$TB$2:$TB$317))</f>
        <v>4</v>
      </c>
      <c r="JI6">
        <f>SUMPRODUCT(--('Данные 1st'!$S$2:$S$317=$A6),--ISNUMBER('Данные 1st'!$TC$2:$TC$317))</f>
        <v>4</v>
      </c>
      <c r="JJ6">
        <f>SUMPRODUCT(--('Данные 1st'!$S$2:$S$317=$A6),--ISNUMBER('Данные 1st'!$TD$2:$TD$317))</f>
        <v>4</v>
      </c>
      <c r="JK6">
        <f>SUMPRODUCT(--('Данные 1st'!$S$2:$S$317=$A6),--ISNUMBER('Данные 1st'!$TN$2:$TN$317))</f>
        <v>4</v>
      </c>
      <c r="JQ6">
        <f>SUMPRODUCT(--('Данные 2st'!$Q$2:$Q$317=$A6),--ISNUMBER('Данные 2st'!$AC$2:$AC$317))</f>
        <v>4</v>
      </c>
      <c r="JR6">
        <f>SUMPRODUCT(--('Данные 2st'!$Q$2:$Q$317=$A6),--ISNUMBER('Данные 2st'!$AF$2:$AF$317))</f>
        <v>4</v>
      </c>
      <c r="JS6">
        <f>SUMPRODUCT(--('Данные 2st'!$Q$2:$Q$317=$A6),--ISNUMBER('Данные 2st'!$AW$2:$AW$317))</f>
        <v>4</v>
      </c>
      <c r="JT6">
        <f>SUMPRODUCT(--('Данные 2st'!$Q$2:$Q$317=$A6),--ISNUMBER('Данные 2st'!$AX$2:$AX$317))</f>
        <v>4</v>
      </c>
      <c r="JU6">
        <f>SUMPRODUCT(--('Данные 2st'!$Q$2:$Q$317=$A6),--ISNUMBER('Данные 2st'!$AY$2:$AY$317))</f>
        <v>4</v>
      </c>
      <c r="JV6">
        <f>SUMPRODUCT(--('Данные 2st'!$Q$2:$Q$317=$A6),--ISNUMBER('Данные 2st'!$AZ$2:$AZ$317))</f>
        <v>4</v>
      </c>
      <c r="JW6">
        <f>SUMPRODUCT(--('Данные 2st'!$Q$2:$Q$317=$A6),--ISNUMBER('Данные 2st'!$BA$2:$BA$317))</f>
        <v>0</v>
      </c>
      <c r="JX6">
        <f>SUMPRODUCT(--('Данные 2st'!$Q$2:$Q$317=$A6),--ISNUMBER('Данные 2st'!$BB$2:$BB$317))</f>
        <v>0</v>
      </c>
      <c r="JY6">
        <f>SUMPRODUCT(--('Данные 2st'!$Q$2:$Q$317=$A6),--ISNUMBER('Данные 2st'!$BC$2:$BC$317))</f>
        <v>0</v>
      </c>
      <c r="JZ6">
        <f>SUMPRODUCT(--('Данные 2st'!$Q$2:$Q$317=$A6),--ISNUMBER('Данные 2st'!$BH$2:$BH$317))</f>
        <v>4</v>
      </c>
      <c r="KA6">
        <f>SUMPRODUCT(--('Данные 2st'!$Q$2:$Q$317=$A6),--ISNUMBER('Данные 2st'!$BI$2:$BI$317))</f>
        <v>4</v>
      </c>
      <c r="KB6">
        <f>SUMPRODUCT(--('Данные 2st'!$Q$2:$Q$317=$A6),--ISNUMBER('Данные 2st'!$BJ$2:$BJ$317))</f>
        <v>4</v>
      </c>
      <c r="KC6">
        <f>SUMPRODUCT(--('Данные 2st'!$Q$2:$Q$317=$A6),--ISNUMBER('Данные 2st'!$BK$2:$BK$317))</f>
        <v>4</v>
      </c>
      <c r="KD6">
        <f>SUMPRODUCT(--('Данные 2st'!$Q$2:$Q$317=$A6),--ISNUMBER('Данные 2st'!$BL$2:$BL$317))</f>
        <v>4</v>
      </c>
      <c r="KE6">
        <f>SUMPRODUCT(--('Данные 2st'!$Q$2:$Q$317=$A6),--ISNUMBER('Данные 2st'!$BM$2:$BM$317))</f>
        <v>4</v>
      </c>
      <c r="KF6">
        <f>SUMPRODUCT(--('Данные 2st'!$Q$2:$Q$317=$A6),--ISNUMBER('Данные 2st'!$BN$2:$BN$317))</f>
        <v>4</v>
      </c>
      <c r="KG6">
        <f>SUMPRODUCT(--('Данные 2st'!$Q$2:$Q$317=$A6),--ISNUMBER('Данные 2st'!$BO$2:$BO$317))</f>
        <v>0</v>
      </c>
      <c r="KH6">
        <f>SUMPRODUCT(--('Данные 2st'!$Q$2:$Q$317=$A6),--ISNUMBER('Данные 2st'!$BP$2:$BP$317))</f>
        <v>4</v>
      </c>
      <c r="KI6">
        <f>SUMPRODUCT(--('Данные 2st'!$Q$2:$Q$317=$A6),--ISNUMBER('Данные 2st'!$BR$2:$BR$317))</f>
        <v>4</v>
      </c>
      <c r="KJ6">
        <f>SUMPRODUCT(--('Данные 2st'!$Q$2:$Q$317=$A6),--ISNUMBER('Данные 2st'!$BS$2:$BS$317))</f>
        <v>4</v>
      </c>
      <c r="KK6">
        <f>SUMPRODUCT(--('Данные 2st'!$Q$2:$Q$317=$A6),--ISNUMBER('Данные 2st'!$BT$2:$BT$317))</f>
        <v>4</v>
      </c>
      <c r="KL6">
        <f>SUMPRODUCT(--('Данные 2st'!$Q$2:$Q$317=$A6),--ISNUMBER('Данные 2st'!$CV$2:$CV$317))</f>
        <v>4</v>
      </c>
      <c r="KM6">
        <f>SUMPRODUCT(--('Данные 2st'!$Q$2:$Q$317=$A6),--ISNUMBER('Данные 2st'!$CW$2:$CW$317))</f>
        <v>4</v>
      </c>
      <c r="KN6">
        <f>SUMPRODUCT(--('Данные 2st'!$Q$2:$Q$317=$A6),--ISNUMBER('Данные 2st'!$CX$2:$CX$317))</f>
        <v>4</v>
      </c>
      <c r="KO6">
        <f>SUMPRODUCT(--('Данные 2st'!$Q$2:$Q$317=$A6),--ISNUMBER('Данные 2st'!$CY$2:$CY$317))</f>
        <v>4</v>
      </c>
      <c r="KP6">
        <f>SUMPRODUCT(--('Данные 2st'!$Q$2:$Q$317=$A6),--ISNUMBER('Данные 2st'!$CZ$2:$CZ$317))</f>
        <v>4</v>
      </c>
      <c r="KQ6">
        <f>SUMPRODUCT(--('Данные 2st'!$Q$2:$Q$317=$A6),--ISNUMBER('Данные 2st'!$DA$2:$DA$317))</f>
        <v>4</v>
      </c>
      <c r="KR6">
        <f>SUMPRODUCT(--('Данные 2st'!$Q$2:$Q$317=$A6),--ISNUMBER('Данные 2st'!$DB$2:$DB$317))</f>
        <v>4</v>
      </c>
      <c r="KS6">
        <f>SUMPRODUCT(--('Данные 2st'!$Q$2:$Q$317=$A6),--ISNUMBER('Данные 2st'!$DC$2:$DC$317))</f>
        <v>4</v>
      </c>
      <c r="KT6">
        <f>SUMPRODUCT(--('Данные 2st'!$Q$2:$Q$317=$A6),--ISNUMBER('Данные 2st'!$DD$2:$DD$317))</f>
        <v>4</v>
      </c>
      <c r="KU6">
        <f>SUMPRODUCT(--('Данные 2st'!$Q$2:$Q$317=$A6),--ISNUMBER('Данные 2st'!$DE$2:$DE$317))</f>
        <v>4</v>
      </c>
      <c r="KV6">
        <f>SUMPRODUCT(--('Данные 2st'!$Q$2:$Q$317=$A6),--ISNUMBER('Данные 2st'!$DF$2:$DF$317))</f>
        <v>4</v>
      </c>
      <c r="KW6">
        <f>SUMPRODUCT(--('Данные 2st'!$Q$2:$Q$317=$A6),--ISNUMBER('Данные 2st'!$DG$2:$DG$317))</f>
        <v>4</v>
      </c>
      <c r="KX6">
        <f>SUMPRODUCT(--('Данные 2st'!$Q$2:$Q$317=$A6),--ISNUMBER('Данные 2st'!$DH$2:$DH$317))</f>
        <v>0</v>
      </c>
      <c r="KY6">
        <f>SUMPRODUCT(--('Данные 2st'!$Q$2:$Q$317=$A6),--ISNUMBER('Данные 2st'!$DI$2:$DI$317))</f>
        <v>0</v>
      </c>
      <c r="KZ6">
        <f>SUMPRODUCT(--('Данные 2st'!$Q$2:$Q$317=$A6),--ISNUMBER('Данные 2st'!$DK$2:$DK$317))</f>
        <v>4</v>
      </c>
      <c r="LA6">
        <f>SUMPRODUCT(--('Данные 2st'!$Q$2:$Q$317=$A6),--ISNUMBER('Данные 2st'!$DM$2:$DM$317))</f>
        <v>4</v>
      </c>
      <c r="LB6">
        <f>SUMPRODUCT(--('Данные 2st'!$Q$2:$Q$317=$A6),--ISNUMBER('Данные 2st'!$DN$2:$DN$317))</f>
        <v>4</v>
      </c>
      <c r="LC6">
        <f>SUMPRODUCT(--('Данные 2st'!$Q$2:$Q$317=$A6),--ISNUMBER('Данные 2st'!$DO$2:$DO$317))</f>
        <v>4</v>
      </c>
      <c r="LD6">
        <f>SUMPRODUCT(--('Данные 2st'!$Q$2:$Q$317=$A6),--ISNUMBER('Данные 2st'!$DP$2:$DP$317))</f>
        <v>4</v>
      </c>
      <c r="LE6">
        <f>SUMPRODUCT(--('Данные 2st'!$Q$2:$Q$317=$A6),--ISNUMBER('Данные 2st'!$DQ$2:$DQ$317))</f>
        <v>4</v>
      </c>
      <c r="LF6">
        <f>SUMPRODUCT(--('Данные 2st'!$Q$2:$Q$317=$A6),--ISNUMBER('Данные 2st'!$DS$2:$DS$317))</f>
        <v>4</v>
      </c>
      <c r="LG6">
        <f>SUMPRODUCT(--('Данные 2st'!$Q$2:$Q$317=$A6),--ISNUMBER('Данные 2st'!$DU$2:$DU$317))</f>
        <v>4</v>
      </c>
      <c r="LH6">
        <f>SUMPRODUCT(--('Данные 2st'!$Q$2:$Q$317=$A6),--ISNUMBER('Данные 2st'!$DV$2:$DV$317))</f>
        <v>4</v>
      </c>
      <c r="LI6">
        <f>SUMPRODUCT(--('Данные 2st'!$Q$2:$Q$317=$A6),--ISNUMBER('Данные 2st'!$DW$2:$DW$317))</f>
        <v>4</v>
      </c>
      <c r="LJ6">
        <f>SUMPRODUCT(--('Данные 2st'!$Q$2:$Q$317=$A6),--ISNUMBER('Данные 2st'!$DX$2:$DX$317))</f>
        <v>4</v>
      </c>
      <c r="LK6">
        <f>SUMPRODUCT(--('Данные 2st'!$Q$2:$Q$317=$A6),--ISNUMBER('Данные 2st'!$DY$2:$DY$317))</f>
        <v>4</v>
      </c>
      <c r="LL6">
        <f>SUMPRODUCT(--('Данные 2st'!$Q$2:$Q$317=$A6),--ISNUMBER('Данные 2st'!$EA$2:$EA$317))</f>
        <v>4</v>
      </c>
      <c r="LM6">
        <f>SUMPRODUCT(--('Данные 2st'!$Q$2:$Q$317=$A6),--ISNUMBER('Данные 2st'!$EC$2:$EC$317))</f>
        <v>4</v>
      </c>
      <c r="LN6">
        <f>SUMPRODUCT(--('Данные 2st'!$Q$2:$Q$317=$A6),--ISNUMBER('Данные 2st'!$ED$2:$ED$317))</f>
        <v>4</v>
      </c>
      <c r="LO6">
        <f>SUMPRODUCT(--('Данные 2st'!$Q$2:$Q$317=$A6),--ISNUMBER('Данные 2st'!$EE$2:$EE$317))</f>
        <v>4</v>
      </c>
      <c r="LP6">
        <f>SUMPRODUCT(--('Данные 2st'!$Q$2:$Q$317=$A6),--ISNUMBER('Данные 2st'!$EG$2:$EG$317))</f>
        <v>4</v>
      </c>
      <c r="LQ6">
        <f>SUMPRODUCT(--('Данные 2st'!$Q$2:$Q$317=$A6),--ISNUMBER('Данные 2st'!$EI$2:$EI$317))</f>
        <v>4</v>
      </c>
      <c r="LR6">
        <f>SUMPRODUCT(--('Данные 2st'!$Q$2:$Q$317=$A6),--ISNUMBER('Данные 2st'!$EJ$2:$EJ$317))</f>
        <v>4</v>
      </c>
      <c r="LS6">
        <f>SUMPRODUCT(--('Данные 2st'!$Q$2:$Q$317=$A6),--ISNUMBER('Данные 2st'!$EK$2:$EK$317))</f>
        <v>4</v>
      </c>
      <c r="LT6">
        <f>SUMPRODUCT(--('Данные 2st'!$Q$2:$Q$317=$A6),--ISNUMBER('Данные 2st'!$EM$2:$EM$317))</f>
        <v>4</v>
      </c>
      <c r="LU6">
        <f>SUMPRODUCT(--('Данные 2st'!$Q$2:$Q$317=$A6),--ISNUMBER('Данные 2st'!$EN$2:$EN$317))</f>
        <v>4</v>
      </c>
      <c r="LV6">
        <f>SUMPRODUCT(--('Данные 2st'!$Q$2:$Q$317=$A6),--ISNUMBER('Данные 2st'!$EO$2:$EO$317))</f>
        <v>4</v>
      </c>
      <c r="LW6">
        <f>SUMPRODUCT(--('Данные 2st'!$Q$2:$Q$317=$A6),--ISNUMBER('Данные 2st'!$EP$2:$EP$317))</f>
        <v>4</v>
      </c>
      <c r="LX6">
        <f>SUMPRODUCT(--('Данные 2st'!$Q$2:$Q$317=$A6),--ISNUMBER('Данные 2st'!$EQ$2:$EQ$317))</f>
        <v>4</v>
      </c>
      <c r="LY6">
        <f>SUMPRODUCT(--('Данные 2st'!$Q$2:$Q$317=$A6),--ISNUMBER('Данные 2st'!$ER$2:$ER$317))</f>
        <v>4</v>
      </c>
      <c r="LZ6">
        <f>SUMPRODUCT(--('Данные 2st'!$Q$2:$Q$317=$A6),--ISNUMBER('Данные 2st'!$ES$2:$ES$317))</f>
        <v>4</v>
      </c>
      <c r="MA6">
        <f>SUMPRODUCT(--('Данные 2st'!$Q$2:$Q$317=$A6),--ISNUMBER('Данные 2st'!$ET$2:$ET$317))</f>
        <v>4</v>
      </c>
      <c r="MB6">
        <f>SUMPRODUCT(--('Данные 2st'!$Q$2:$Q$317=$A6),--ISNUMBER('Данные 2st'!$EU$2:$EU$317))</f>
        <v>4</v>
      </c>
      <c r="MC6">
        <f>SUMPRODUCT(--('Данные 2st'!$Q$2:$Q$317=$A6),--ISNUMBER('Данные 2st'!$EV$2:$EV$317))</f>
        <v>4</v>
      </c>
      <c r="MD6">
        <f>SUMPRODUCT(--('Данные 2st'!$Q$2:$Q$317=$A6),--ISNUMBER('Данные 2st'!$EW$2:$EW$317))</f>
        <v>4</v>
      </c>
      <c r="ME6">
        <f>SUMPRODUCT(--('Данные 2st'!$Q$2:$Q$317=$A6),--ISNUMBER('Данные 2st'!$EY$2:$EY$317))</f>
        <v>4</v>
      </c>
      <c r="MF6">
        <f>SUMPRODUCT(--('Данные 2st'!$Q$2:$Q$317=$A6),--ISNUMBER('Данные 2st'!$FA$2:$FA$317))</f>
        <v>4</v>
      </c>
      <c r="MG6">
        <f>SUMPRODUCT(--('Данные 2st'!$Q$2:$Q$317=$A6),--ISNUMBER('Данные 2st'!$FB$2:$FB$317))</f>
        <v>4</v>
      </c>
      <c r="MH6">
        <f>SUMPRODUCT(--('Данные 2st'!$Q$2:$Q$317=$A6),--ISNUMBER('Данные 2st'!$FC$2:$FC$317))</f>
        <v>4</v>
      </c>
      <c r="MI6">
        <f>SUMPRODUCT(--('Данные 2st'!$Q$2:$Q$317=$A6),--ISNUMBER('Данные 2st'!$FD$2:$FD$317))</f>
        <v>4</v>
      </c>
      <c r="MJ6">
        <f>SUMPRODUCT(--('Данные 2st'!$Q$2:$Q$317=$A6),--ISNUMBER('Данные 2st'!$FE$2:$FE$317))</f>
        <v>4</v>
      </c>
      <c r="MK6">
        <f>SUMPRODUCT(--('Данные 2st'!$Q$2:$Q$317=$A6),--ISNUMBER('Данные 2st'!$FG$2:$FG$317))</f>
        <v>4</v>
      </c>
      <c r="ML6">
        <f>SUMPRODUCT(--('Данные 2st'!$Q$2:$Q$317=$A6),--ISNUMBER('Данные 2st'!$FI$2:$FI$317))</f>
        <v>4</v>
      </c>
      <c r="MM6">
        <f>SUMPRODUCT(--('Данные 2st'!$Q$2:$Q$317=$A6),--ISNUMBER('Данные 2st'!$FJ$2:$FJ$317))</f>
        <v>4</v>
      </c>
      <c r="MN6">
        <f>SUMPRODUCT(--('Данные 2st'!$Q$2:$Q$317=$A6),--ISNUMBER('Данные 2st'!$FK$2:$FK$317))</f>
        <v>4</v>
      </c>
      <c r="MO6">
        <f>SUMPRODUCT(--('Данные 2st'!$Q$2:$Q$317=$A6),--ISNUMBER('Данные 2st'!$FP$2:$FP$317))</f>
        <v>4</v>
      </c>
      <c r="MP6">
        <f>SUMPRODUCT(--('Данные 2st'!$Q$2:$Q$317=$A6),--ISNUMBER('Данные 2st'!$FQ$2:$FQ$317))</f>
        <v>4</v>
      </c>
      <c r="MQ6">
        <f>SUMPRODUCT(--('Данные 2st'!$Q$2:$Q$317=$A6),--ISNUMBER('Данные 2st'!$FS$2:$FS$317))</f>
        <v>4</v>
      </c>
      <c r="MR6">
        <f>SUMPRODUCT(--('Данные 2st'!$Q$2:$Q$317=$A6),--ISNUMBER('Данные 2st'!$FU$2:$FU$317))</f>
        <v>4</v>
      </c>
      <c r="MS6">
        <f>SUMPRODUCT(--('Данные 2st'!$Q$2:$Q$317=$A6),--ISNUMBER('Данные 2st'!$FV$2:$FV$317))</f>
        <v>4</v>
      </c>
      <c r="MT6">
        <f>SUMPRODUCT(--('Данные 2st'!$Q$2:$Q$317=$A6),--ISNUMBER('Данные 2st'!$FW$2:$FW$317))</f>
        <v>4</v>
      </c>
      <c r="MU6">
        <f>SUMPRODUCT(--('Данные 2st'!$Q$2:$Q$317=$A6),--ISNUMBER('Данные 2st'!$FY$2:$FY$317))</f>
        <v>3</v>
      </c>
      <c r="MV6">
        <f>SUMPRODUCT(--('Данные 2st'!$Q$2:$Q$317=$A6),--ISNUMBER('Данные 2st'!$GB$2:$GB$317))</f>
        <v>3</v>
      </c>
      <c r="MW6">
        <f>SUMPRODUCT(--('Данные 2st'!$Q$2:$Q$317=$A6),--ISNUMBER('Данные 2st'!$GC$2:$GC$317))</f>
        <v>3</v>
      </c>
      <c r="MX6">
        <f>SUMPRODUCT(--('Данные 2st'!$Q$2:$Q$317=$A6),--ISNUMBER('Данные 2st'!$GD$2:$GD$317))</f>
        <v>4</v>
      </c>
      <c r="MY6">
        <f>SUMPRODUCT(--('Данные 2st'!$Q$2:$Q$317=$A6),--ISNUMBER('Данные 2st'!$GN$2:$GN$317))</f>
        <v>0</v>
      </c>
      <c r="MZ6">
        <f>SUMPRODUCT(--('Данные 2st'!$Q$2:$Q$317=$A6),--ISNUMBER('Данные 2st'!$GQ$2:$GQ$317))</f>
        <v>4</v>
      </c>
      <c r="NA6">
        <f>SUMPRODUCT(--('Данные 2st'!$Q$2:$Q$317=$A6),--ISNUMBER('Данные 2st'!$GV$2:$GV$317))</f>
        <v>4</v>
      </c>
      <c r="NB6">
        <f>SUMPRODUCT(--('Данные 2st'!$Q$2:$Q$317=$A6),--ISNUMBER('Данные 2st'!$GW$2:$GW$317))</f>
        <v>4</v>
      </c>
      <c r="NC6">
        <f>SUMPRODUCT(--('Данные 2st'!$Q$2:$Q$317=$A6),--ISNUMBER('Данные 2st'!$GX$2:$GX$317))</f>
        <v>4</v>
      </c>
      <c r="ND6">
        <f>SUMPRODUCT(--('Данные 2st'!$Q$2:$Q$317=$A6),--ISNUMBER('Данные 2st'!$GY$2:$GY$317))</f>
        <v>4</v>
      </c>
      <c r="NE6">
        <f>SUMPRODUCT(--('Данные 2st'!$Q$2:$Q$317=$A6),--ISNUMBER('Данные 2st'!$GZ$2:$GZ$317))</f>
        <v>4</v>
      </c>
      <c r="NF6">
        <f>SUMPRODUCT(--('Данные 2st'!$Q$2:$Q$317=$A6),--ISNUMBER('Данные 2st'!$HA$2:$HA$317))</f>
        <v>4</v>
      </c>
      <c r="NG6">
        <f>SUMPRODUCT(--('Данные 2st'!$Q$2:$Q$317=$A6),--ISNUMBER('Данные 2st'!$HB$2:$HB$317))</f>
        <v>4</v>
      </c>
      <c r="NH6">
        <f>SUMPRODUCT(--('Данные 2st'!$Q$2:$Q$317=$A6),--ISNUMBER('Данные 2st'!$HC$2:$HC$317))</f>
        <v>4</v>
      </c>
      <c r="NI6">
        <f>SUMPRODUCT(--('Данные 2st'!$Q$2:$Q$317=$A6),--ISNUMBER('Данные 2st'!$HD$2:$HD$317))</f>
        <v>4</v>
      </c>
      <c r="NJ6">
        <f>SUMPRODUCT(--('Данные 2st'!$Q$2:$Q$317=$A6),--ISNUMBER('Данные 2st'!$HM$2:$HM$317))</f>
        <v>4</v>
      </c>
      <c r="NK6">
        <f>SUMPRODUCT(--('Данные 2st'!$Q$2:$Q$317=$A6),--ISNUMBER('Данные 2st'!$HR$2:$HR$317))</f>
        <v>4</v>
      </c>
      <c r="NL6">
        <f>SUMPRODUCT(--('Данные 2st'!$Q$2:$Q$317=$A6),--ISNUMBER('Данные 2st'!$HS$2:$HS$317))</f>
        <v>4</v>
      </c>
      <c r="NM6">
        <f>SUMPRODUCT(--('Данные 2st'!$Q$2:$Q$317=$A6),--ISNUMBER('Данные 2st'!$HT$2:$HT$317))</f>
        <v>4</v>
      </c>
      <c r="NN6">
        <f>SUMPRODUCT(--('Данные 2st'!$Q$2:$Q$317=$A6),--ISNUMBER('Данные 2st'!$HY$2:$HY$317))</f>
        <v>4</v>
      </c>
      <c r="NO6">
        <f>SUMPRODUCT(--('Данные 2st'!$Q$2:$Q$317=$A6),--ISNUMBER('Данные 2st'!$HZ$2:$HZ$317))</f>
        <v>4</v>
      </c>
      <c r="NP6">
        <f>SUMPRODUCT(--('Данные 2st'!$Q$2:$Q$317=$A6),--ISNUMBER('Данные 2st'!$IA$2:$IA$317))</f>
        <v>4</v>
      </c>
      <c r="NQ6">
        <f>SUMPRODUCT(--('Данные 2st'!$Q$2:$Q$317=$A6),--ISNUMBER('Данные 2st'!$IB$2:$IB$317))</f>
        <v>4</v>
      </c>
      <c r="NR6">
        <f>SUMPRODUCT(--('Данные 2st'!$Q$2:$Q$317=$A6),--ISNUMBER('Данные 2st'!$IC$2:$IC$317))</f>
        <v>0</v>
      </c>
      <c r="NS6">
        <f>SUMPRODUCT(--('Данные 2st'!$Q$2:$Q$317=$A6),--ISNUMBER('Данные 2st'!$ID$2:$ID$317))</f>
        <v>4</v>
      </c>
      <c r="NT6">
        <f>SUMPRODUCT(--('Данные 2st'!$Q$2:$Q$317=$A6),--ISNUMBER('Данные 2st'!$IE$2:$IE$317))</f>
        <v>4</v>
      </c>
      <c r="NU6">
        <f>SUMPRODUCT(--('Данные 2st'!$Q$2:$Q$317=$A6),--ISNUMBER('Данные 2st'!$IF$2:$IF$317))</f>
        <v>4</v>
      </c>
      <c r="NV6">
        <f>SUMPRODUCT(--('Данные 2st'!$Q$2:$Q$317=$A6),--ISNUMBER('Данные 2st'!$IG$2:$IG$317))</f>
        <v>4</v>
      </c>
      <c r="NW6">
        <f>SUMPRODUCT(--('Данные 2st'!$Q$2:$Q$317=$A6),--ISNUMBER('Данные 2st'!$IH$2:$IH$317))</f>
        <v>4</v>
      </c>
      <c r="NX6">
        <f>SUMPRODUCT(--('Данные 2st'!$Q$2:$Q$317=$A6),--ISNUMBER('Данные 2st'!$IJ$2:$IJ$317))</f>
        <v>4</v>
      </c>
      <c r="NY6">
        <f>SUMPRODUCT(--('Данные 2st'!$Q$2:$Q$317=$A6),--ISNUMBER('Данные 2st'!$IM$2:$IM$317))</f>
        <v>4</v>
      </c>
      <c r="NZ6">
        <f>SUMPRODUCT(--('Данные 2st'!$Q$2:$Q$317=$A6),--ISNUMBER('Данные 2st'!$IN$2:$IN$317))</f>
        <v>4</v>
      </c>
      <c r="OA6">
        <f>SUMPRODUCT(--('Данные 2st'!$Q$2:$Q$317=$A6),--ISNUMBER('Данные 2st'!$IO$2:$IO$317))</f>
        <v>4</v>
      </c>
      <c r="OB6">
        <f>SUMPRODUCT(--('Данные 2st'!$Q$2:$Q$317=$A6),--ISNUMBER('Данные 2st'!$IP$2:$IP$317))</f>
        <v>4</v>
      </c>
      <c r="OC6">
        <f>SUMPRODUCT(--('Данные 2st'!$Q$2:$Q$317=$A6),--ISNUMBER('Данные 2st'!$IQ$2:$IQ$317))</f>
        <v>4</v>
      </c>
      <c r="OD6">
        <f>SUMPRODUCT(--('Данные 2st'!$Q$2:$Q$317=$A6),--ISNUMBER('Данные 2st'!$IR$2:$IR$317))</f>
        <v>4</v>
      </c>
      <c r="OE6">
        <f>SUMPRODUCT(--('Данные 2st'!$Q$2:$Q$317=$A6),--ISNUMBER('Данные 2st'!$IT$2:$IT$317))</f>
        <v>4</v>
      </c>
      <c r="OF6">
        <f>SUMPRODUCT(--('Данные 2st'!$Q$2:$Q$317=$A6),--ISNUMBER('Данные 2st'!$IU$2:$IU$317))</f>
        <v>4</v>
      </c>
      <c r="OG6">
        <f>SUMPRODUCT(--('Данные 2st'!$Q$2:$Q$317=$A6),--ISNUMBER('Данные 2st'!$IV$2:$IV$317))</f>
        <v>4</v>
      </c>
      <c r="OH6">
        <f>SUMPRODUCT(--('Данные 2st'!$Q$2:$Q$317=$A6),--ISNUMBER('Данные 2st'!$IW$2:$IW$317))</f>
        <v>4</v>
      </c>
      <c r="OI6">
        <f>SUMPRODUCT(--('Данные 2st'!$Q$2:$Q$317=$A6),--ISNUMBER('Данные 2st'!$IX$2:$IX$317))</f>
        <v>4</v>
      </c>
      <c r="OJ6">
        <f>SUMPRODUCT(--('Данные 2st'!$Q$2:$Q$317=$A6),--ISNUMBER('Данные 2st'!$IY$2:$IY$317))</f>
        <v>4</v>
      </c>
      <c r="OK6">
        <f>SUMPRODUCT(--('Данные 2st'!$Q$2:$Q$317=$A6),--ISNUMBER('Данные 2st'!$IZ$2:$IZ$317))</f>
        <v>4</v>
      </c>
      <c r="OL6">
        <f>SUMPRODUCT(--('Данные 2st'!$Q$2:$Q$317=$A6),--ISNUMBER('Данные 2st'!$JA$2:$JA$317))</f>
        <v>4</v>
      </c>
      <c r="OM6">
        <f>SUMPRODUCT(--('Данные 2st'!$Q$2:$Q$317=$A6),--ISNUMBER('Данные 2st'!$JB$2:$JB$317))</f>
        <v>4</v>
      </c>
      <c r="ON6">
        <f>SUMPRODUCT(--('Данные 2st'!$Q$2:$Q$317=$A6),--ISNUMBER('Данные 2st'!$JC$2:$JC$317))</f>
        <v>4</v>
      </c>
      <c r="OO6">
        <f>SUMPRODUCT(--('Данные 2st'!$Q$2:$Q$317=$A6),--ISNUMBER('Данные 2st'!$JD$2:$JD$317))</f>
        <v>4</v>
      </c>
      <c r="OP6">
        <f>SUMPRODUCT(--('Данные 2st'!$Q$2:$Q$317=$A6),--ISNUMBER('Данные 2st'!$JE$2:$JE$317))</f>
        <v>4</v>
      </c>
      <c r="OQ6">
        <f>SUMPRODUCT(--('Данные 2st'!$Q$2:$Q$317=$A6),--ISNUMBER('Данные 2st'!$JF$2:$JF$317))</f>
        <v>4</v>
      </c>
      <c r="OR6">
        <f>SUMPRODUCT(--('Данные 2st'!$Q$2:$Q$317=$A6),--ISNUMBER('Данные 2st'!$JG$2:$JG$317))</f>
        <v>4</v>
      </c>
      <c r="OS6">
        <f>SUMPRODUCT(--('Данные 2st'!$Q$2:$Q$317=$A6),--ISNUMBER('Данные 2st'!$JH$2:$JH$317))</f>
        <v>4</v>
      </c>
      <c r="OT6">
        <f>SUMPRODUCT(--('Данные 2st'!$Q$2:$Q$317=$A6),--ISNUMBER('Данные 2st'!$JI$2:$JI$317))</f>
        <v>4</v>
      </c>
      <c r="OU6">
        <f>SUMPRODUCT(--('Данные 2st'!$Q$2:$Q$317=$A6),--ISNUMBER('Данные 2st'!$JJ$2:$JJ$317))</f>
        <v>4</v>
      </c>
      <c r="OV6">
        <f>SUMPRODUCT(--('Данные 2st'!$Q$2:$Q$317=$A6),--ISNUMBER('Данные 2st'!$JK$2:$JK$317))</f>
        <v>4</v>
      </c>
      <c r="OW6">
        <f>SUMPRODUCT(--('Данные 2st'!$Q$2:$Q$317=$A6),--ISNUMBER('Данные 2st'!$JL$2:$JL$317))</f>
        <v>4</v>
      </c>
      <c r="OX6">
        <f>SUMPRODUCT(--('Данные 2st'!$Q$2:$Q$317=$A6),--ISNUMBER('Данные 2st'!$JM$2:$JM$317))</f>
        <v>4</v>
      </c>
      <c r="OY6">
        <f>SUMPRODUCT(--('Данные 2st'!$Q$2:$Q$317=$A6),--ISNUMBER('Данные 2st'!$JP$2:$JP$317))</f>
        <v>4</v>
      </c>
      <c r="OZ6">
        <f>SUMPRODUCT(--('Данные 2st'!$Q$2:$Q$317=$A6),--ISNUMBER('Данные 2st'!$JQ$2:$JQ$317))</f>
        <v>4</v>
      </c>
      <c r="PA6">
        <f>SUMPRODUCT(--('Данные 2st'!$Q$2:$Q$317=$A6),--ISNUMBER('Данные 2st'!$JR$2:$JR$317))</f>
        <v>4</v>
      </c>
      <c r="PB6">
        <f>SUMPRODUCT(--('Данные 2st'!$Q$2:$Q$317=$A6),--ISNUMBER('Данные 2st'!$JS$2:$JS$317))</f>
        <v>4</v>
      </c>
      <c r="PC6">
        <f>SUMPRODUCT(--('Данные 2st'!$Q$2:$Q$317=$A6),--ISNUMBER('Данные 2st'!$JT$2:$JT$317))</f>
        <v>4</v>
      </c>
      <c r="PD6">
        <f>SUMPRODUCT(--('Данные 2st'!$Q$2:$Q$317=$A6),--ISNUMBER('Данные 2st'!$JU$2:$JU$317))</f>
        <v>4</v>
      </c>
      <c r="PE6">
        <f>SUMPRODUCT(--('Данные 2st'!$Q$2:$Q$317=$A6),--ISNUMBER('Данные 2st'!$JV$2:$JV$317))</f>
        <v>4</v>
      </c>
      <c r="PF6">
        <f>SUMPRODUCT(--('Данные 2st'!$Q$2:$Q$317=$A6),--ISNUMBER('Данные 2st'!$JW$2:$JW$317))</f>
        <v>4</v>
      </c>
      <c r="PG6">
        <f>SUMPRODUCT(--('Данные 2st'!$Q$2:$Q$317=$A6),--ISNUMBER('Данные 2st'!$KF$2:$KF$317))</f>
        <v>4</v>
      </c>
      <c r="PH6">
        <f>SUMPRODUCT(--('Данные 2st'!$Q$2:$Q$317=$A6),--ISNUMBER('Данные 2st'!$KG$2:$KG$317))</f>
        <v>4</v>
      </c>
      <c r="PI6">
        <f>SUMPRODUCT(--('Данные 2st'!$Q$2:$Q$317=$A6),--ISNUMBER('Данные 2st'!$KM$2:$KM$317))</f>
        <v>4</v>
      </c>
      <c r="PJ6">
        <f>SUMPRODUCT(--('Данные 2st'!$Q$2:$Q$317=$A6),--ISNUMBER('Данные 2st'!$KN$2:$KN$317))</f>
        <v>4</v>
      </c>
      <c r="PK6">
        <f>SUMPRODUCT(--('Данные 2st'!$Q$2:$Q$317=$A6),--ISNUMBER('Данные 2st'!$KO$2:$KO$317))</f>
        <v>4</v>
      </c>
      <c r="PL6">
        <f>SUMPRODUCT(--('Данные 2st'!$Q$2:$Q$317=$A6),--ISNUMBER('Данные 2st'!$KP$2:$KP$317))</f>
        <v>4</v>
      </c>
      <c r="PM6">
        <f>SUMPRODUCT(--('Данные 2st'!$Q$2:$Q$317=$A6),--ISNUMBER('Данные 2st'!$KQ$2:$KQ$317))</f>
        <v>4</v>
      </c>
      <c r="PN6">
        <f>SUMPRODUCT(--('Данные 2st'!$Q$2:$Q$317=$A6),--ISNUMBER('Данные 2st'!$KR$2:$KR$317))</f>
        <v>4</v>
      </c>
      <c r="PO6">
        <f>SUMPRODUCT(--('Данные 2st'!$Q$2:$Q$317=$A6),--ISNUMBER('Данные 2st'!$KS$2:$KS$317))</f>
        <v>4</v>
      </c>
      <c r="PP6">
        <f>SUMPRODUCT(--('Данные 2st'!$Q$2:$Q$317=$A6),--ISNUMBER('Данные 2st'!$KT$2:$KT$317))</f>
        <v>4</v>
      </c>
      <c r="PQ6">
        <f>SUMPRODUCT(--('Данные 2st'!$Q$2:$Q$317=$A6),--ISNUMBER('Данные 2st'!$KU$2:$KU$317))</f>
        <v>4</v>
      </c>
      <c r="PR6">
        <f>SUMPRODUCT(--('Данные 2st'!$Q$2:$Q$317=$A6),--ISNUMBER('Данные 2st'!$KV$2:$KV$317))</f>
        <v>4</v>
      </c>
      <c r="PS6">
        <f>SUMPRODUCT(--('Данные 2st'!$Q$2:$Q$317=$A6),--ISNUMBER('Данные 2st'!$KW$2:$KW$317))</f>
        <v>4</v>
      </c>
      <c r="PT6">
        <f>SUMPRODUCT(--('Данные 2st'!$Q$2:$Q$317=$A6),--ISNUMBER('Данные 2st'!$KX$2:$KX$317))</f>
        <v>4</v>
      </c>
      <c r="PU6">
        <f>SUMPRODUCT(--('Данные 2st'!$Q$2:$Q$317=$A6),--ISNUMBER('Данные 2st'!$KY$2:$KY$317))</f>
        <v>4</v>
      </c>
      <c r="PV6">
        <f>SUMPRODUCT(--('Данные 2st'!$Q$2:$Q$317=$A6),--ISNUMBER('Данные 2st'!$KZ$2:$KZ$317))</f>
        <v>4</v>
      </c>
      <c r="PW6">
        <f>SUMPRODUCT(--('Данные 2st'!$Q$2:$Q$317=$A6),--ISNUMBER('Данные 2st'!$LA$2:$LA$317))</f>
        <v>4</v>
      </c>
      <c r="PX6">
        <f>SUMPRODUCT(--('Данные 2st'!$Q$2:$Q$317=$A6),--ISNUMBER('Данные 2st'!$LB$2:$LB$317))</f>
        <v>4</v>
      </c>
      <c r="PY6">
        <f>SUMPRODUCT(--('Данные 2st'!$Q$2:$Q$317=$A6),--ISNUMBER('Данные 2st'!$LC$2:$LC$317))</f>
        <v>4</v>
      </c>
      <c r="PZ6">
        <f>SUMPRODUCT(--('Данные 2st'!$Q$2:$Q$317=$A6),--ISNUMBER('Данные 2st'!$LD$2:$LD$317))</f>
        <v>4</v>
      </c>
      <c r="QA6">
        <f>SUMPRODUCT(--('Данные 2st'!$Q$2:$Q$317=$A6),--ISNUMBER('Данные 2st'!$LE$2:$LE$317))</f>
        <v>4</v>
      </c>
      <c r="QB6">
        <f>SUMPRODUCT(--('Данные 2st'!$Q$2:$Q$317=$A6),--ISNUMBER('Данные 2st'!$LF$2:$LF$317))</f>
        <v>4</v>
      </c>
      <c r="QC6">
        <f>SUMPRODUCT(--('Данные 2st'!$Q$2:$Q$317=$A6),--ISNUMBER('Данные 2st'!$LG$2:$LG$317))</f>
        <v>4</v>
      </c>
      <c r="QD6">
        <f>SUMPRODUCT(--('Данные 2st'!$Q$2:$Q$317=$A6),--ISNUMBER('Данные 2st'!$LH$2:$LH$317))</f>
        <v>4</v>
      </c>
      <c r="QE6">
        <f>SUMPRODUCT(--('Данные 2st'!$Q$2:$Q$317=$A6),--ISNUMBER('Данные 2st'!$LJ$2:$LJ$317))</f>
        <v>4</v>
      </c>
      <c r="QF6">
        <f>SUMPRODUCT(--('Данные 2st'!$Q$2:$Q$317=$A6),--ISNUMBER('Данные 2st'!$LK$2:$LK$317))</f>
        <v>4</v>
      </c>
      <c r="QG6">
        <f>SUMPRODUCT(--('Данные 2st'!$Q$2:$Q$317=$A6),--ISNUMBER('Данные 2st'!$LL$2:$LL$317))</f>
        <v>4</v>
      </c>
      <c r="QH6">
        <f>SUMPRODUCT(--('Данные 2st'!$Q$2:$Q$317=$A6),--ISNUMBER('Данные 2st'!$LM$2:$LM$317))</f>
        <v>4</v>
      </c>
      <c r="QI6">
        <f>SUMPRODUCT(--('Данные 2st'!$Q$2:$Q$317=$A6),--ISNUMBER('Данные 2st'!$LN$2:$LN$317))</f>
        <v>4</v>
      </c>
      <c r="QJ6">
        <f>SUMPRODUCT(--('Данные 2st'!$Q$2:$Q$317=$A6),--ISNUMBER('Данные 2st'!$LO$2:$LO$317))</f>
        <v>4</v>
      </c>
      <c r="QK6">
        <f>SUMPRODUCT(--('Данные 2st'!$Q$2:$Q$317=$A6),--ISNUMBER('Данные 2st'!$LP$2:$LP$317))</f>
        <v>4</v>
      </c>
      <c r="QL6">
        <f>SUMPRODUCT(--('Данные 2st'!$Q$2:$Q$317=$A6),--ISNUMBER('Данные 2st'!$LQ$2:$LQ$317))</f>
        <v>4</v>
      </c>
      <c r="QM6">
        <f>SUMPRODUCT(--('Данные 2st'!$Q$2:$Q$317=$A6),--ISNUMBER('Данные 2st'!$LW$2:$LW$317))</f>
        <v>4</v>
      </c>
      <c r="QN6">
        <f>SUMPRODUCT(--('Данные 2st'!$Q$2:$Q$317=$A6),--ISNUMBER('Данные 2st'!$LX$2:$LX$317))</f>
        <v>4</v>
      </c>
      <c r="QO6">
        <f>SUMPRODUCT(--('Данные 2st'!$Q$2:$Q$317=$A6),--ISNUMBER('Данные 2st'!$LY$2:$LY$317))</f>
        <v>4</v>
      </c>
      <c r="QP6">
        <f>SUMPRODUCT(--('Данные 2st'!$Q$2:$Q$317=$A6),--ISNUMBER('Данные 2st'!$LZ$2:$LZ$317))</f>
        <v>4</v>
      </c>
      <c r="QQ6">
        <f>SUMPRODUCT(--('Данные 2st'!$Q$2:$Q$317=$A6),--ISNUMBER('Данные 2st'!$MB$2:$MB$317))</f>
        <v>4</v>
      </c>
      <c r="QR6">
        <f>SUMPRODUCT(--('Данные 2st'!$Q$2:$Q$317=$A6),--ISNUMBER('Данные 2st'!$MG$2:$MG$317))</f>
        <v>2</v>
      </c>
      <c r="QS6">
        <f>SUMPRODUCT(--('Данные 2st'!$Q$2:$Q$317=$A6),--ISNUMBER('Данные 2st'!$MH$2:$MH$317))</f>
        <v>2</v>
      </c>
      <c r="QT6">
        <f>SUMPRODUCT(--('Данные 2st'!$Q$2:$Q$317=$A6),--ISNUMBER('Данные 2st'!$MI$2:$MI$317))</f>
        <v>4</v>
      </c>
      <c r="QU6">
        <f>SUMPRODUCT(--('Данные 2st'!$Q$2:$Q$317=$A6),--ISNUMBER('Данные 2st'!$MJ$2:$MJ$317))</f>
        <v>4</v>
      </c>
      <c r="QV6">
        <f>SUMPRODUCT(--('Данные 2st'!$Q$2:$Q$317=$A6),--ISNUMBER('Данные 2st'!$MK$2:$MK$317))</f>
        <v>1</v>
      </c>
      <c r="QW6">
        <f>SUMPRODUCT(--('Данные 2st'!$Q$2:$Q$317=$A6),--ISNUMBER('Данные 2st'!$MM$2:$MM$317))</f>
        <v>4</v>
      </c>
      <c r="QX6">
        <f>SUMPRODUCT(--('Данные 2st'!$Q$2:$Q$317=$A6),--ISNUMBER('Данные 2st'!$MQ$2:$MQ$317))</f>
        <v>0</v>
      </c>
      <c r="QY6">
        <f>SUMPRODUCT(--('Данные 2st'!$Q$2:$Q$317=$A6),--ISNUMBER('Данные 2st'!$MR$2:$MR$317))</f>
        <v>0</v>
      </c>
      <c r="QZ6">
        <f>SUMPRODUCT(--('Данные 2st'!$Q$2:$Q$317=$A6),--ISNUMBER('Данные 2st'!$MS$2:$MS$317))</f>
        <v>0</v>
      </c>
      <c r="RA6">
        <f>SUMPRODUCT(--('Данные 2st'!$Q$2:$Q$317=$A6),--ISNUMBER('Данные 2st'!$MT$2:$MT$317))</f>
        <v>0</v>
      </c>
      <c r="RB6">
        <f>SUMPRODUCT(--('Данные 2st'!$Q$2:$Q$317=$A6),--ISNUMBER('Данные 2st'!$MU$2:$MU$317))</f>
        <v>0</v>
      </c>
      <c r="RC6">
        <f>SUMPRODUCT(--('Данные 2st'!$Q$2:$Q$317=$A6),--ISNUMBER('Данные 2st'!$MV$2:$MV$317))</f>
        <v>0</v>
      </c>
      <c r="RD6">
        <f>SUMPRODUCT(--('Данные 2st'!$Q$2:$Q$317=$A6),--ISNUMBER('Данные 2st'!$MW$2:$MW$317))</f>
        <v>0</v>
      </c>
      <c r="RE6">
        <f>SUMPRODUCT(--('Данные 2st'!$Q$2:$Q$317=$A6),--ISNUMBER('Данные 2st'!$MX$2:$MX$317))</f>
        <v>0</v>
      </c>
      <c r="RF6">
        <f>SUMPRODUCT(--('Данные 2st'!$Q$2:$Q$317=$A6),--ISNUMBER('Данные 2st'!$MY$2:$MY$317))</f>
        <v>0</v>
      </c>
      <c r="RG6">
        <f>SUMPRODUCT(--('Данные 2st'!$Q$2:$Q$317=$A6),--ISNUMBER('Данные 2st'!$MZ$2:$MZ$317))</f>
        <v>0</v>
      </c>
      <c r="RH6">
        <f>SUMPRODUCT(--('Данные 2st'!$Q$2:$Q$317=$A6),--ISNUMBER('Данные 2st'!$NA$2:$NA$317))</f>
        <v>0</v>
      </c>
      <c r="RI6">
        <f>SUMPRODUCT(--('Данные 2st'!$Q$2:$Q$317=$A6),--ISNUMBER('Данные 2st'!$NB$2:$NB$317))</f>
        <v>0</v>
      </c>
      <c r="RJ6">
        <f>SUMPRODUCT(--('Данные 2st'!$Q$2:$Q$317=$A6),--ISNUMBER('Данные 2st'!$NC$2:$NC$317))</f>
        <v>0</v>
      </c>
      <c r="RK6">
        <f>SUMPRODUCT(--('Данные 2st'!$Q$2:$Q$317=$A6),--ISNUMBER('Данные 2st'!$ND$2:$ND$317))</f>
        <v>0</v>
      </c>
      <c r="RL6">
        <f>SUMPRODUCT(--('Данные 2st'!$Q$2:$Q$317=$A6),--ISNUMBER('Данные 2st'!$NE$2:$NE$317))</f>
        <v>0</v>
      </c>
      <c r="RM6">
        <f>SUMPRODUCT(--('Данные 2st'!$Q$2:$Q$317=$A6),--ISNUMBER('Данные 2st'!$NF$2:$NF$317))</f>
        <v>0</v>
      </c>
      <c r="RN6">
        <f>SUMPRODUCT(--('Данные 2st'!$Q$2:$Q$317=$A6),--ISNUMBER('Данные 2st'!$NG$2:$NG$317))</f>
        <v>0</v>
      </c>
      <c r="RO6">
        <f>SUMPRODUCT(--('Данные 2st'!$Q$2:$Q$317=$A6),--ISNUMBER('Данные 2st'!$NH$2:$NH$317))</f>
        <v>1</v>
      </c>
      <c r="RP6">
        <f>SUMPRODUCT(--('Данные 2st'!$Q$2:$Q$317=$A6),--ISNUMBER('Данные 2st'!$NJ$2:$NJ$317))</f>
        <v>1</v>
      </c>
      <c r="RQ6">
        <f>SUMPRODUCT(--('Данные 2st'!$Q$2:$Q$317=$A6),--ISNUMBER('Данные 2st'!$NK$2:$NK$317))</f>
        <v>1</v>
      </c>
      <c r="RR6">
        <f>SUMPRODUCT(--('Данные 2st'!$Q$2:$Q$317=$A6),--ISNUMBER('Данные 2st'!$NM$2:$NM$317))</f>
        <v>1</v>
      </c>
      <c r="RS6">
        <f>SUMPRODUCT(--('Данные 2st'!$Q$2:$Q$317=$A6),--ISNUMBER('Данные 2st'!$NN$2:$NN$317))</f>
        <v>0</v>
      </c>
      <c r="RT6">
        <f>SUMPRODUCT(--('Данные 2st'!$Q$2:$Q$317=$A6),--ISNUMBER('Данные 2st'!$NO$2:$NO$317))</f>
        <v>0</v>
      </c>
      <c r="RU6">
        <f>SUMPRODUCT(--('Данные 2st'!$Q$2:$Q$317=$A6),--ISNUMBER('Данные 2st'!$NP$2:$NP$317))</f>
        <v>0</v>
      </c>
      <c r="RV6">
        <f>SUMPRODUCT(--('Данные 2st'!$Q$2:$Q$317=$A6),--ISNUMBER('Данные 2st'!$NQ$2:$NQ$317))</f>
        <v>0</v>
      </c>
      <c r="RW6">
        <f>SUMPRODUCT(--('Данные 2st'!$Q$2:$Q$317=$A6),--ISNUMBER('Данные 2st'!$NR$2:$NR$317))</f>
        <v>0</v>
      </c>
      <c r="RX6">
        <f>SUMPRODUCT(--('Данные 2st'!$Q$2:$Q$317=$A6),--ISNUMBER('Данные 2st'!$NS$2:$NS$317))</f>
        <v>0</v>
      </c>
      <c r="RY6">
        <f>SUMPRODUCT(--('Данные 2st'!$Q$2:$Q$317=$A6),--ISNUMBER('Данные 2st'!$NT$2:$NT$317))</f>
        <v>0</v>
      </c>
      <c r="RZ6">
        <f>SUMPRODUCT(--('Данные 2st'!$Q$2:$Q$317=$A6),--ISNUMBER('Данные 2st'!$OK$2:$OK$317))</f>
        <v>4</v>
      </c>
      <c r="SA6">
        <f>SUMPRODUCT(--('Данные 2st'!$Q$2:$Q$317=$A6),--ISNUMBER('Данные 2st'!$OL$2:$OL$317))</f>
        <v>4</v>
      </c>
      <c r="SB6">
        <f>SUMPRODUCT(--('Данные 2st'!$Q$2:$Q$317=$A6),--ISNUMBER('Данные 2st'!$ON$2:$ON$317))</f>
        <v>4</v>
      </c>
      <c r="SC6">
        <f>SUMPRODUCT(--('Данные 2st'!$Q$2:$Q$317=$A6),--ISNUMBER('Данные 2st'!$OO$2:$OO$317))</f>
        <v>4</v>
      </c>
      <c r="SD6">
        <f>SUMPRODUCT(--('Данные 2st'!$Q$2:$Q$317=$A6),--ISNUMBER('Данные 2st'!$OP$2:$OP$317))</f>
        <v>4</v>
      </c>
      <c r="SE6">
        <f>SUMPRODUCT(--('Данные 2st'!$Q$2:$Q$317=$A6),--ISNUMBER('Данные 2st'!$OQ$2:$OQ$317))</f>
        <v>4</v>
      </c>
      <c r="SF6">
        <f>SUMPRODUCT(--('Данные 2st'!$Q$2:$Q$317=$A6),--ISNUMBER('Данные 2st'!$OS$2:$OS$317))</f>
        <v>4</v>
      </c>
      <c r="SG6">
        <f>SUMPRODUCT(--('Данные 2st'!$Q$2:$Q$317=$A6),--ISNUMBER('Данные 2st'!$OT$2:$OT$317))</f>
        <v>4</v>
      </c>
      <c r="SH6">
        <f>SUMPRODUCT(--('Данные 2st'!$Q$2:$Q$317=$A6),--ISNUMBER('Данные 2st'!$OU$2:$OU$317))</f>
        <v>4</v>
      </c>
      <c r="SI6">
        <f>SUMPRODUCT(--('Данные 2st'!$Q$2:$Q$317=$A6),--ISNUMBER('Данные 2st'!$OV$2:$OV$317))</f>
        <v>4</v>
      </c>
      <c r="SJ6">
        <f>SUMPRODUCT(--('Данные 2st'!$Q$2:$Q$317=$A6),--ISNUMBER('Данные 2st'!$OX$2:$OX$317))</f>
        <v>4</v>
      </c>
      <c r="SK6">
        <f>SUMPRODUCT(--('Данные 2st'!$Q$2:$Q$317=$A6),--ISNUMBER('Данные 2st'!$OY$2:$OY$317))</f>
        <v>4</v>
      </c>
      <c r="SL6">
        <f>SUMPRODUCT(--('Данные 2st'!$Q$2:$Q$317=$A6),--ISNUMBER('Данные 2st'!$OZ$2:$OZ$317))</f>
        <v>4</v>
      </c>
      <c r="SM6">
        <f>SUMPRODUCT(--('Данные 2st'!$Q$2:$Q$317=$A6),--ISNUMBER('Данные 2st'!$PA$2:$PA$317))</f>
        <v>4</v>
      </c>
      <c r="SN6">
        <f>SUMPRODUCT(--('Данные 2st'!$Q$2:$Q$317=$A6),--ISNUMBER('Данные 2st'!$PC$2:$PC$317))</f>
        <v>4</v>
      </c>
      <c r="SO6">
        <f>SUMPRODUCT(--('Данные 2st'!$Q$2:$Q$317=$A6),--ISNUMBER('Данные 2st'!$PD$2:$PD$317))</f>
        <v>4</v>
      </c>
      <c r="SP6">
        <f>SUMPRODUCT(--('Данные 2st'!$Q$2:$Q$317=$A6),--ISNUMBER('Данные 2st'!$PF$2:$PF$317))</f>
        <v>4</v>
      </c>
      <c r="SQ6">
        <f>SUMPRODUCT(--('Данные 2st'!$Q$2:$Q$317=$A6),--ISNUMBER('Данные 2st'!$PG$2:$PG$317))</f>
        <v>4</v>
      </c>
      <c r="SR6">
        <f>SUMPRODUCT(--('Данные 2st'!$Q$2:$Q$317=$A6),--ISNUMBER('Данные 2st'!$PH$2:$PH$317))</f>
        <v>4</v>
      </c>
      <c r="SS6">
        <f>SUMPRODUCT(--('Данные 2st'!$Q$2:$Q$317=$A6),--ISNUMBER('Данные 2st'!$PI$2:$PI$317))</f>
        <v>4</v>
      </c>
      <c r="ST6">
        <f>SUMPRODUCT(--('Данные 2st'!$Q$2:$Q$317=$A6),--ISNUMBER('Данные 2st'!$PJ$2:$PJ$317))</f>
        <v>4</v>
      </c>
      <c r="SU6">
        <f>SUMPRODUCT(--('Данные 2st'!$Q$2:$Q$317=$A6),--ISNUMBER('Данные 2st'!$PK$2:$PK$317))</f>
        <v>4</v>
      </c>
      <c r="SV6">
        <f>SUMPRODUCT(--('Данные 2st'!$Q$2:$Q$317=$A6),--ISNUMBER('Данные 2st'!$PL$2:$PL$317))</f>
        <v>4</v>
      </c>
      <c r="SW6">
        <f>SUMPRODUCT(--('Данные 2st'!$Q$2:$Q$317=$A6),--ISNUMBER('Данные 2st'!$PM$2:$PM$317))</f>
        <v>4</v>
      </c>
      <c r="SX6">
        <f>SUMPRODUCT(--('Данные 2st'!$Q$2:$Q$317=$A6),--ISNUMBER('Данные 2st'!$PN$2:$PN$317))</f>
        <v>4</v>
      </c>
      <c r="SY6">
        <f>SUMPRODUCT(--('Данные 2st'!$Q$2:$Q$317=$A6),--ISNUMBER('Данные 2st'!$PO$2:$PO$317))</f>
        <v>3</v>
      </c>
      <c r="SZ6">
        <f>SUMPRODUCT(--('Данные 2st'!$Q$2:$Q$317=$A6),--ISNUMBER('Данные 2st'!$PP$2:$PP$317))</f>
        <v>4</v>
      </c>
      <c r="TA6">
        <f>SUMPRODUCT(--('Данные 2st'!$Q$2:$Q$317=$A6),--ISNUMBER('Данные 2st'!$PQ$2:$PQ$317))</f>
        <v>4</v>
      </c>
      <c r="TB6">
        <f>SUMPRODUCT(--('Данные 2st'!$Q$2:$Q$317=$A6),--ISNUMBER('Данные 2st'!$PR$2:$PR$317))</f>
        <v>4</v>
      </c>
      <c r="TC6">
        <f>SUMPRODUCT(--('Данные 2st'!$Q$2:$Q$317=$A6),--ISNUMBER('Данные 2st'!$PS$2:$PS$317))</f>
        <v>4</v>
      </c>
      <c r="TD6">
        <f>SUMPRODUCT(--('Данные 2st'!$Q$2:$Q$317=$A6),--ISNUMBER('Данные 2st'!$PT$2:$PT$317))</f>
        <v>4</v>
      </c>
      <c r="TE6">
        <f>SUMPRODUCT(--('Данные 2st'!$Q$2:$Q$317=$A6),--ISNUMBER('Данные 2st'!$PU$2:$PU$317))</f>
        <v>4</v>
      </c>
      <c r="TF6">
        <f>SUMPRODUCT(--('Данные 2st'!$Q$2:$Q$317=$A6),--ISNUMBER('Данные 2st'!$PX$2:$PX$317))</f>
        <v>4</v>
      </c>
      <c r="TG6">
        <f>SUMPRODUCT(--('Данные 2st'!$Q$2:$Q$317=$A6),--ISNUMBER('Данные 2st'!$PY$2:$PY$317))</f>
        <v>4</v>
      </c>
      <c r="TH6">
        <f>SUMPRODUCT(--('Данные 2st'!$Q$2:$Q$317=$A6),--ISNUMBER('Данные 2st'!$PZ$2:$PZ$317))</f>
        <v>4</v>
      </c>
      <c r="TI6">
        <f>SUMPRODUCT(--('Данные 2st'!$Q$2:$Q$317=$A6),--ISNUMBER('Данные 2st'!$QA$2:$QA$317))</f>
        <v>4</v>
      </c>
      <c r="TJ6">
        <f>SUMPRODUCT(--('Данные 2st'!$Q$2:$Q$317=$A6),--ISNUMBER('Данные 2st'!$QB$2:$QB$317))</f>
        <v>4</v>
      </c>
      <c r="TK6">
        <f>SUMPRODUCT(--('Данные 2st'!$Q$2:$Q$317=$A6),--ISNUMBER('Данные 2st'!$QC$2:$QC$317))</f>
        <v>4</v>
      </c>
      <c r="TL6">
        <f>SUMPRODUCT(--('Данные 2st'!$Q$2:$Q$317=$A6),--ISNUMBER('Данные 2st'!$QD$2:$QD$317))</f>
        <v>4</v>
      </c>
      <c r="TM6">
        <f>SUMPRODUCT(--('Данные 2st'!$Q$2:$Q$317=$A6),--ISNUMBER('Данные 2st'!$QE$2:$QE$317))</f>
        <v>4</v>
      </c>
      <c r="TN6">
        <f>SUMPRODUCT(--('Данные 2st'!$Q$2:$Q$317=$A6),--ISNUMBER('Данные 2st'!$QF$2:$QF$317))</f>
        <v>4</v>
      </c>
      <c r="TO6">
        <f>SUMPRODUCT(--('Данные 2st'!$Q$2:$Q$317=$A6),--ISNUMBER('Данные 2st'!$QG$2:$QG$317))</f>
        <v>4</v>
      </c>
      <c r="TP6">
        <f>SUMPRODUCT(--('Данные 2st'!$Q$2:$Q$317=$A6),--ISNUMBER('Данные 2st'!$QH$2:$QH$317))</f>
        <v>4</v>
      </c>
      <c r="TQ6">
        <f>SUMPRODUCT(--('Данные 2st'!$Q$2:$Q$317=$A6),--ISNUMBER('Данные 2st'!$QI$2:$QI$317))</f>
        <v>4</v>
      </c>
      <c r="TR6">
        <f>SUMPRODUCT(--('Данные 2st'!$Q$2:$Q$317=$A6),--ISNUMBER('Данные 2st'!$QJ$2:$QJ$317))</f>
        <v>4</v>
      </c>
      <c r="TS6">
        <f>SUMPRODUCT(--('Данные 2st'!$Q$2:$Q$317=$A6),--ISNUMBER('Данные 2st'!$QK$2:$QK$317))</f>
        <v>4</v>
      </c>
      <c r="TT6">
        <f>SUMPRODUCT(--('Данные 2st'!$Q$2:$Q$317=$A6),--ISNUMBER('Данные 2st'!$QL$2:$QL$317))</f>
        <v>4</v>
      </c>
      <c r="TU6">
        <f>SUMPRODUCT(--('Данные 2st'!$Q$2:$Q$317=$A6),--ISNUMBER('Данные 2st'!$QM$2:$QM$317))</f>
        <v>4</v>
      </c>
      <c r="TV6">
        <f>SUMPRODUCT(--('Данные 2st'!$Q$2:$Q$317=$A6),--ISNUMBER('Данные 2st'!$QN$2:$QN$317))</f>
        <v>4</v>
      </c>
      <c r="TW6">
        <f>SUMPRODUCT(--('Данные 2st'!$Q$2:$Q$317=$A6),--ISNUMBER('Данные 2st'!$QQ$2:$QQ$317))</f>
        <v>4</v>
      </c>
      <c r="TX6">
        <f>SUMPRODUCT(--('Данные 2st'!$Q$2:$Q$317=$A6),--ISNUMBER('Данные 2st'!$QS$2:$QS$317))</f>
        <v>4</v>
      </c>
      <c r="TY6">
        <f>SUMPRODUCT(--('Данные 2st'!$Q$2:$Q$317=$A6),--ISNUMBER('Данные 2st'!$QT$2:$QT$317))</f>
        <v>4</v>
      </c>
    </row>
    <row r="7" spans="1:545" ht="32" customHeight="1">
      <c r="A7" s="11" t="str">
        <f>'По размерам'!A7</f>
        <v>185/65R14</v>
      </c>
      <c r="G7">
        <f>SUMPRODUCT(--('Данные 1st'!$S$2:$S$317=$A7),--ISNUMBER('Данные 1st'!$AE$2:$AE$317))</f>
        <v>3</v>
      </c>
      <c r="H7">
        <f>SUMPRODUCT(--('Данные 1st'!$S$2:$S$317=$A7),--ISNUMBER('Данные 1st'!$AF$2:$AF$317))</f>
        <v>3</v>
      </c>
      <c r="I7">
        <f>SUMPRODUCT(--('Данные 1st'!$S$2:$S$317=$A7),--ISNUMBER('Данные 1st'!$AJ$2:$AJ$317))</f>
        <v>3</v>
      </c>
      <c r="J7">
        <f>SUMPRODUCT(--('Данные 1st'!$S$2:$S$317=$A7),--ISNUMBER('Данные 1st'!$AL$2:$AL$317))</f>
        <v>3</v>
      </c>
      <c r="K7">
        <f>SUMPRODUCT(--('Данные 1st'!$S$2:$S$317=$A7),--ISNUMBER('Данные 1st'!$AR$2:$AR$317))</f>
        <v>3</v>
      </c>
      <c r="L7">
        <f>SUMPRODUCT(--('Данные 1st'!$S$2:$S$317=$A7),--ISNUMBER('Данные 1st'!$AS$2:$AS$317))</f>
        <v>3</v>
      </c>
      <c r="M7">
        <f>SUMPRODUCT(--('Данные 1st'!$S$2:$S$317=$A7),--ISNUMBER('Данные 1st'!$AY$2:$AY$317))</f>
        <v>3</v>
      </c>
      <c r="N7">
        <f>SUMPRODUCT(--('Данные 1st'!$S$2:$S$317=$A7),--ISNUMBER('Данные 1st'!$AZ$2:$AZ$317))</f>
        <v>3</v>
      </c>
      <c r="O7">
        <f>SUMPRODUCT(--('Данные 1st'!$S$2:$S$317=$A7),--ISNUMBER('Данные 1st'!$BF$2:$BF$317))</f>
        <v>0</v>
      </c>
      <c r="P7">
        <f>SUMPRODUCT(--('Данные 1st'!$S$2:$S$317=$A7),--ISNUMBER('Данные 1st'!$BG$2:$BG$317))</f>
        <v>3</v>
      </c>
      <c r="Q7">
        <f>SUMPRODUCT(--('Данные 1st'!$S$2:$S$317=$A7),--ISNUMBER('Данные 1st'!$BM$2:$BM$317))</f>
        <v>0</v>
      </c>
      <c r="R7">
        <f>SUMPRODUCT(--('Данные 1st'!$S$2:$S$317=$A7),--ISNUMBER('Данные 1st'!$BN$2:$BN$317))</f>
        <v>3</v>
      </c>
      <c r="S7">
        <f>SUMPRODUCT(--('Данные 1st'!$S$2:$S$317=$A7),--ISNUMBER('Данные 1st'!$BT$2:$BT$317))</f>
        <v>3</v>
      </c>
      <c r="T7">
        <f>SUMPRODUCT(--('Данные 1st'!$S$2:$S$317=$A7),--ISNUMBER('Данные 1st'!$BU$2:$BU$317))</f>
        <v>3</v>
      </c>
      <c r="U7">
        <f>SUMPRODUCT(--('Данные 1st'!$S$2:$S$317=$A7),--ISNUMBER('Данные 1st'!$BW$2:$BW$317))</f>
        <v>3</v>
      </c>
      <c r="V7">
        <f>SUMPRODUCT(--('Данные 1st'!$S$2:$S$317=$A7),--ISNUMBER('Данные 1st'!$BX$2:$BX$317))</f>
        <v>3</v>
      </c>
      <c r="W7">
        <f>SUMPRODUCT(--('Данные 1st'!$S$2:$S$317=$A7),--ISNUMBER('Данные 1st'!$BZ$2:$BZ$317))</f>
        <v>3</v>
      </c>
      <c r="X7">
        <f>SUMPRODUCT(--('Данные 1st'!$S$2:$S$317=$A7),--ISNUMBER('Данные 1st'!$CA$2:$CA$317))</f>
        <v>3</v>
      </c>
      <c r="Y7">
        <f>SUMPRODUCT(--('Данные 1st'!$S$2:$S$317=$A7),--ISNUMBER('Данные 1st'!$CD$2:$CD$317))</f>
        <v>3</v>
      </c>
      <c r="Z7">
        <f>SUMPRODUCT(--('Данные 1st'!$S$2:$S$317=$A7),--ISNUMBER('Данные 1st'!$CF$2:$CF$317))</f>
        <v>3</v>
      </c>
      <c r="AA7">
        <f>SUMPRODUCT(--('Данные 1st'!$S$2:$S$317=$A7),--ISNUMBER('Данные 1st'!$CI$2:$CI$317))</f>
        <v>3</v>
      </c>
      <c r="AB7">
        <f>SUMPRODUCT(--('Данные 1st'!$S$2:$S$317=$A7),--ISNUMBER('Данные 1st'!$CJ$2:$CJ$317))</f>
        <v>3</v>
      </c>
      <c r="AC7">
        <f>SUMPRODUCT(--('Данные 1st'!$S$2:$S$317=$A7),--ISNUMBER('Данные 1st'!$CK$2:$CK$317))</f>
        <v>3</v>
      </c>
      <c r="AD7">
        <f>SUMPRODUCT(--('Данные 1st'!$S$2:$S$317=$A7),--ISNUMBER('Данные 1st'!$CL$2:$CL$317))</f>
        <v>3</v>
      </c>
      <c r="AE7">
        <f>SUMPRODUCT(--('Данные 1st'!$S$2:$S$317=$A7),--ISNUMBER('Данные 1st'!$CM$2:$CM$317))</f>
        <v>3</v>
      </c>
      <c r="AF7">
        <f>SUMPRODUCT(--('Данные 1st'!$S$2:$S$317=$A7),--ISNUMBER('Данные 1st'!$CT$2:$CT$317))</f>
        <v>3</v>
      </c>
      <c r="AG7">
        <f>SUMPRODUCT(--('Данные 1st'!$S$2:$S$317=$A7),--ISNUMBER('Данные 1st'!$CU$2:$CU$317))</f>
        <v>3</v>
      </c>
      <c r="AH7">
        <f>SUMPRODUCT(--('Данные 1st'!$S$2:$S$317=$A7),--ISNUMBER('Данные 1st'!$CV$2:$CV$317))</f>
        <v>3</v>
      </c>
      <c r="AI7">
        <f>SUMPRODUCT(--('Данные 1st'!$S$2:$S$317=$A7),--ISNUMBER('Данные 1st'!$CW$2:$CW$317))</f>
        <v>3</v>
      </c>
      <c r="AJ7">
        <f>SUMPRODUCT(--('Данные 1st'!$S$2:$S$317=$A7),--ISNUMBER('Данные 1st'!$CX$2:$CX$317))</f>
        <v>3</v>
      </c>
      <c r="AK7">
        <f>SUMPRODUCT(--('Данные 1st'!$S$2:$S$317=$A7),--ISNUMBER('Данные 1st'!$CZ$2:$CZ$317))</f>
        <v>0</v>
      </c>
      <c r="AL7">
        <f>SUMPRODUCT(--('Данные 1st'!$S$2:$S$317=$A7),--ISNUMBER('Данные 1st'!$DA$2:$DA$317))</f>
        <v>0</v>
      </c>
      <c r="AM7">
        <f>SUMPRODUCT(--('Данные 1st'!$S$2:$S$317=$A7),--ISNUMBER('Данные 1st'!$DB$2:$DB$317))</f>
        <v>0</v>
      </c>
      <c r="AN7">
        <f>SUMPRODUCT(--('Данные 1st'!$S$2:$S$317=$A7),--ISNUMBER('Данные 1st'!$DC$2:$DC$317))</f>
        <v>0</v>
      </c>
      <c r="AO7">
        <f>SUMPRODUCT(--('Данные 1st'!$S$2:$S$317=$A7),--ISNUMBER('Данные 1st'!$DD$2:$DD$317))</f>
        <v>3</v>
      </c>
      <c r="AP7">
        <f>SUMPRODUCT(--('Данные 1st'!$S$2:$S$317=$A7),--ISNUMBER('Данные 1st'!$DF$2:$DF$317))</f>
        <v>3</v>
      </c>
      <c r="AQ7">
        <f>SUMPRODUCT(--('Данные 1st'!$S$2:$S$317=$A7),--ISNUMBER('Данные 1st'!$DG$2:$DG$317))</f>
        <v>3</v>
      </c>
      <c r="AR7">
        <f>SUMPRODUCT(--('Данные 1st'!$S$2:$S$317=$A7),--ISNUMBER('Данные 1st'!$DH$2:$DH$317))</f>
        <v>3</v>
      </c>
      <c r="AS7">
        <f>SUMPRODUCT(--('Данные 1st'!$S$2:$S$317=$A7),--ISNUMBER('Данные 1st'!$DI$2:$DI$317))</f>
        <v>3</v>
      </c>
      <c r="AT7">
        <f>SUMPRODUCT(--('Данные 1st'!$S$2:$S$317=$A7),--ISNUMBER('Данные 1st'!$DJ$2:$DJ$317))</f>
        <v>3</v>
      </c>
      <c r="AU7">
        <f>SUMPRODUCT(--('Данные 1st'!$S$2:$S$317=$A7),--ISNUMBER('Данные 1st'!$DL$2:$DL$317))</f>
        <v>0</v>
      </c>
      <c r="AV7">
        <f>SUMPRODUCT(--('Данные 1st'!$S$2:$S$317=$A7),--ISNUMBER('Данные 1st'!$DM$2:$DM$317))</f>
        <v>0</v>
      </c>
      <c r="AW7">
        <f>SUMPRODUCT(--('Данные 1st'!$S$2:$S$317=$A7),--ISNUMBER('Данные 1st'!$DN$2:$DN$317))</f>
        <v>0</v>
      </c>
      <c r="AX7">
        <f>SUMPRODUCT(--('Данные 1st'!$S$2:$S$317=$A7),--ISNUMBER('Данные 1st'!$DO$2:$DO$317))</f>
        <v>0</v>
      </c>
      <c r="AY7">
        <f>SUMPRODUCT(--('Данные 1st'!$S$2:$S$317=$A7),--ISNUMBER('Данные 1st'!$DP$2:$DP$317))</f>
        <v>0</v>
      </c>
      <c r="AZ7">
        <f>SUMPRODUCT(--('Данные 1st'!$S$2:$S$317=$A7),--ISNUMBER('Данные 1st'!$DR$2:$DR$317))</f>
        <v>0</v>
      </c>
      <c r="BA7">
        <f>SUMPRODUCT(--('Данные 1st'!$S$2:$S$317=$A7),--ISNUMBER('Данные 1st'!$DS$2:$DS$317))</f>
        <v>0</v>
      </c>
      <c r="BB7">
        <f>SUMPRODUCT(--('Данные 1st'!$S$2:$S$317=$A7),--ISNUMBER('Данные 1st'!$DT$2:$DT$317))</f>
        <v>0</v>
      </c>
      <c r="BC7">
        <f>SUMPRODUCT(--('Данные 1st'!$S$2:$S$317=$A7),--ISNUMBER('Данные 1st'!$DU$2:$DU$317))</f>
        <v>0</v>
      </c>
      <c r="BD7">
        <f>SUMPRODUCT(--('Данные 1st'!$S$2:$S$317=$A7),--ISNUMBER('Данные 1st'!$DV$2:$DV$317))</f>
        <v>0</v>
      </c>
      <c r="BE7">
        <f>SUMPRODUCT(--('Данные 1st'!$S$2:$S$317=$A7),--ISNUMBER('Данные 1st'!$DX$2:$DX$317))</f>
        <v>3</v>
      </c>
      <c r="BF7">
        <f>SUMPRODUCT(--('Данные 1st'!$S$2:$S$317=$A7),--ISNUMBER('Данные 1st'!$EA$2:$EA$317))</f>
        <v>3</v>
      </c>
      <c r="BG7">
        <f>SUMPRODUCT(--('Данные 1st'!$S$2:$S$317=$A7),--ISNUMBER('Данные 1st'!$EB$2:$EB$317))</f>
        <v>3</v>
      </c>
      <c r="BH7">
        <f>SUMPRODUCT(--('Данные 1st'!$S$2:$S$317=$A7),--ISNUMBER('Данные 1st'!$ED$2:$ED$317))</f>
        <v>3</v>
      </c>
      <c r="BI7">
        <f>SUMPRODUCT(--('Данные 1st'!$S$2:$S$317=$A7),--ISNUMBER('Данные 1st'!$EE$2:$EE$317))</f>
        <v>3</v>
      </c>
      <c r="BJ7">
        <f>SUMPRODUCT(--('Данные 1st'!$S$2:$S$317=$A7),--ISNUMBER('Данные 1st'!$EG$2:$EG$317))</f>
        <v>3</v>
      </c>
      <c r="BK7">
        <f>SUMPRODUCT(--('Данные 1st'!$S$2:$S$317=$A7),--ISNUMBER('Данные 1st'!$EH$2:$EH$317))</f>
        <v>3</v>
      </c>
      <c r="BL7">
        <f>SUMPRODUCT(--('Данные 1st'!$S$2:$S$317=$A7),--ISNUMBER('Данные 1st'!$EJ$2:$EJ$317))</f>
        <v>3</v>
      </c>
      <c r="BM7">
        <f>SUMPRODUCT(--('Данные 1st'!$S$2:$S$317=$A7),--ISNUMBER('Данные 1st'!$EK$2:$EK$317))</f>
        <v>3</v>
      </c>
      <c r="BN7">
        <f>SUMPRODUCT(--('Данные 1st'!$S$2:$S$317=$A7),--ISNUMBER('Данные 1st'!$EN$2:$EN$317))</f>
        <v>3</v>
      </c>
      <c r="BO7">
        <f>SUMPRODUCT(--('Данные 1st'!$S$2:$S$317=$A7),--ISNUMBER('Данные 1st'!$EQ$2:$EQ$317))</f>
        <v>3</v>
      </c>
      <c r="BP7">
        <f>SUMPRODUCT(--('Данные 1st'!$S$2:$S$317=$A7),--ISNUMBER('Данные 1st'!$ER$2:$ER$317))</f>
        <v>3</v>
      </c>
      <c r="BQ7">
        <f>SUMPRODUCT(--('Данные 1st'!$S$2:$S$317=$A7),--ISNUMBER('Данные 1st'!$ES$2:$ES$317))</f>
        <v>3</v>
      </c>
      <c r="BR7">
        <f>SUMPRODUCT(--('Данные 1st'!$S$2:$S$317=$A7),--ISNUMBER('Данные 1st'!$ET$2:$ET$317))</f>
        <v>3</v>
      </c>
      <c r="BS7">
        <f>SUMPRODUCT(--('Данные 1st'!$S$2:$S$317=$A7),--ISNUMBER('Данные 1st'!$EU$2:$EU$317))</f>
        <v>3</v>
      </c>
      <c r="BT7">
        <f>SUMPRODUCT(--('Данные 1st'!$S$2:$S$317=$A7),--ISNUMBER('Данные 1st'!$EV$2:$EV$317))</f>
        <v>3</v>
      </c>
      <c r="BU7">
        <f>SUMPRODUCT(--('Данные 1st'!$S$2:$S$317=$A7),--ISNUMBER('Данные 1st'!$EX$2:$EX$317))</f>
        <v>3</v>
      </c>
      <c r="BV7">
        <f>SUMPRODUCT(--('Данные 1st'!$S$2:$S$317=$A7),--ISNUMBER('Данные 1st'!$EY$2:$EY$317))</f>
        <v>3</v>
      </c>
      <c r="BW7">
        <f>SUMPRODUCT(--('Данные 1st'!$S$2:$S$317=$A7),--ISNUMBER('Данные 1st'!$EZ$2:$EZ$317))</f>
        <v>3</v>
      </c>
      <c r="BX7">
        <f>SUMPRODUCT(--('Данные 1st'!$S$2:$S$317=$A7),--ISNUMBER('Данные 1st'!$FA$2:$FA$317))</f>
        <v>3</v>
      </c>
      <c r="BY7">
        <f>SUMPRODUCT(--('Данные 1st'!$S$2:$S$317=$A7),--ISNUMBER('Данные 1st'!$FB$2:$FB$317))</f>
        <v>3</v>
      </c>
      <c r="BZ7">
        <f>SUMPRODUCT(--('Данные 1st'!$S$2:$S$317=$A7),--ISNUMBER('Данные 1st'!$FC$2:$FC$317))</f>
        <v>3</v>
      </c>
      <c r="CA7">
        <f>SUMPRODUCT(--('Данные 1st'!$S$2:$S$317=$A7),--ISNUMBER('Данные 1st'!$FE$2:$FE$317))</f>
        <v>3</v>
      </c>
      <c r="CB7">
        <f>SUMPRODUCT(--('Данные 1st'!$S$2:$S$317=$A7),--ISNUMBER('Данные 1st'!$FF$2:$FF$317))</f>
        <v>3</v>
      </c>
      <c r="CC7">
        <f>SUMPRODUCT(--('Данные 1st'!$S$2:$S$317=$A7),--ISNUMBER('Данные 1st'!$FI$2:$FI$317))</f>
        <v>3</v>
      </c>
      <c r="CD7">
        <f>SUMPRODUCT(--('Данные 1st'!$S$2:$S$317=$A7),--ISNUMBER('Данные 1st'!$FL$2:$FL$317))</f>
        <v>3</v>
      </c>
      <c r="CE7">
        <f>SUMPRODUCT(--('Данные 1st'!$S$2:$S$317=$A7),--ISNUMBER('Данные 1st'!$FM$2:$FM$317))</f>
        <v>3</v>
      </c>
      <c r="CF7">
        <f>SUMPRODUCT(--('Данные 1st'!$S$2:$S$317=$A7),--ISNUMBER('Данные 1st'!$FN$2:$FN$317))</f>
        <v>3</v>
      </c>
      <c r="CG7">
        <f>SUMPRODUCT(--('Данные 1st'!$S$2:$S$317=$A7),--ISNUMBER('Данные 1st'!$FO$2:$FO$317))</f>
        <v>0</v>
      </c>
      <c r="CH7">
        <f>SUMPRODUCT(--('Данные 1st'!$S$2:$S$317=$A7),--ISNUMBER('Данные 1st'!$FP$2:$FP$317))</f>
        <v>0</v>
      </c>
      <c r="CI7">
        <f>SUMPRODUCT(--('Данные 1st'!$S$2:$S$317=$A7),--ISNUMBER('Данные 1st'!$FS$2:$FS$317))</f>
        <v>3</v>
      </c>
      <c r="CJ7">
        <f>SUMPRODUCT(--('Данные 1st'!$S$2:$S$317=$A7),--ISNUMBER('Данные 1st'!$FT$2:$FT$317))</f>
        <v>3</v>
      </c>
      <c r="CK7">
        <f>SUMPRODUCT(--('Данные 1st'!$S$2:$S$317=$A7),--ISNUMBER('Данные 1st'!$FU$2:$FU$317))</f>
        <v>3</v>
      </c>
      <c r="CL7">
        <f>SUMPRODUCT(--('Данные 1st'!$S$2:$S$317=$A7),--ISNUMBER('Данные 1st'!$FV$2:$FV$317))</f>
        <v>2</v>
      </c>
      <c r="CM7">
        <f>SUMPRODUCT(--('Данные 1st'!$S$2:$S$317=$A7),--ISNUMBER('Данные 1st'!$FW$2:$FW$317))</f>
        <v>2</v>
      </c>
      <c r="CN7">
        <f>SUMPRODUCT(--('Данные 1st'!$S$2:$S$317=$A7),--ISNUMBER('Данные 1st'!$FZ$2:$FZ$317))</f>
        <v>1</v>
      </c>
      <c r="CO7">
        <f>SUMPRODUCT(--('Данные 1st'!$S$2:$S$317=$A7),--ISNUMBER('Данные 1st'!$GA$2:$GA$317))</f>
        <v>1</v>
      </c>
      <c r="CP7">
        <f>SUMPRODUCT(--('Данные 1st'!$S$2:$S$317=$A7),--ISNUMBER('Данные 1st'!$GB$2:$GB$317))</f>
        <v>1</v>
      </c>
      <c r="CQ7">
        <f>SUMPRODUCT(--('Данные 1st'!$S$2:$S$317=$A7),--ISNUMBER('Данные 1st'!$GH$2:$GH$317))</f>
        <v>1</v>
      </c>
      <c r="CR7">
        <f>SUMPRODUCT(--('Данные 1st'!$S$2:$S$317=$A7),--ISNUMBER('Данные 1st'!$GI$2:$GI$317))</f>
        <v>1</v>
      </c>
      <c r="CS7">
        <f>SUMPRODUCT(--('Данные 1st'!$S$2:$S$317=$A7),--ISNUMBER('Данные 1st'!$GJ$2:$GJ$317))</f>
        <v>1</v>
      </c>
      <c r="CT7">
        <f>SUMPRODUCT(--('Данные 1st'!$S$2:$S$317=$A7),--ISNUMBER('Данные 1st'!$GS$2:$GS$317))</f>
        <v>0</v>
      </c>
      <c r="CU7">
        <f>SUMPRODUCT(--('Данные 1st'!$S$2:$S$317=$A7),--ISNUMBER('Данные 1st'!$GT$2:$GT$317))</f>
        <v>0</v>
      </c>
      <c r="CV7">
        <f>SUMPRODUCT(--('Данные 1st'!$S$2:$S$317=$A7),--ISNUMBER('Данные 1st'!$GU$2:$GU$317))</f>
        <v>0</v>
      </c>
      <c r="CW7">
        <f>SUMPRODUCT(--('Данные 1st'!$S$2:$S$317=$A7),--ISNUMBER('Данные 1st'!$GV$2:$GV$317))</f>
        <v>0</v>
      </c>
      <c r="CX7">
        <f>SUMPRODUCT(--('Данные 1st'!$S$2:$S$317=$A7),--ISNUMBER('Данные 1st'!$GW$2:$GW$317))</f>
        <v>0</v>
      </c>
      <c r="CY7">
        <f>SUMPRODUCT(--('Данные 1st'!$S$2:$S$317=$A7),--ISNUMBER('Данные 1st'!$GZ$2:$GZ$317))</f>
        <v>0</v>
      </c>
      <c r="CZ7">
        <f>SUMPRODUCT(--('Данные 1st'!$S$2:$S$317=$A7),--ISNUMBER('Данные 1st'!$HA$2:$HA$317))</f>
        <v>0</v>
      </c>
      <c r="DA7">
        <f>SUMPRODUCT(--('Данные 1st'!$S$2:$S$317=$A7),--ISNUMBER('Данные 1st'!$HB$2:$HB$317))</f>
        <v>0</v>
      </c>
      <c r="DB7">
        <f>SUMPRODUCT(--('Данные 1st'!$S$2:$S$317=$A7),--ISNUMBER('Данные 1st'!$HC$2:$HC$317))</f>
        <v>3</v>
      </c>
      <c r="DC7">
        <f>SUMPRODUCT(--('Данные 1st'!$S$2:$S$317=$A7),--ISNUMBER('Данные 1st'!$HD$2:$HD$317))</f>
        <v>3</v>
      </c>
      <c r="DD7">
        <f>SUMPRODUCT(--('Данные 1st'!$S$2:$S$317=$A7),--ISNUMBER('Данные 1st'!$HE$2:$HE$317))</f>
        <v>3</v>
      </c>
      <c r="DE7">
        <f>SUMPRODUCT(--('Данные 1st'!$S$2:$S$317=$A7),--ISNUMBER('Данные 1st'!$HF$2:$HF$317))</f>
        <v>3</v>
      </c>
      <c r="DF7">
        <f>SUMPRODUCT(--('Данные 1st'!$S$2:$S$317=$A7),--ISNUMBER('Данные 1st'!$HG$2:$HG$317))</f>
        <v>3</v>
      </c>
      <c r="DG7">
        <f>SUMPRODUCT(--('Данные 1st'!$S$2:$S$317=$A7),--ISNUMBER('Данные 1st'!$HH$2:$HH$317))</f>
        <v>3</v>
      </c>
      <c r="DH7">
        <f>SUMPRODUCT(--('Данные 1st'!$S$2:$S$317=$A7),--ISNUMBER('Данные 1st'!$HI$2:$HI$317))</f>
        <v>3</v>
      </c>
      <c r="DI7">
        <f>SUMPRODUCT(--('Данные 1st'!$S$2:$S$317=$A7),--ISNUMBER('Данные 1st'!$HJ$2:$HJ$317))</f>
        <v>3</v>
      </c>
      <c r="DJ7">
        <f>SUMPRODUCT(--('Данные 1st'!$S$2:$S$317=$A7),--ISNUMBER('Данные 1st'!$HK$2:$HK$317))</f>
        <v>3</v>
      </c>
      <c r="DK7">
        <f>SUMPRODUCT(--('Данные 1st'!$S$2:$S$317=$A7),--ISNUMBER('Данные 1st'!$HL$2:$HL$317))</f>
        <v>3</v>
      </c>
      <c r="DL7">
        <f>SUMPRODUCT(--('Данные 1st'!$S$2:$S$317=$A7),--ISNUMBER('Данные 1st'!$HM$2:$HM$317))</f>
        <v>3</v>
      </c>
      <c r="DM7">
        <f>SUMPRODUCT(--('Данные 1st'!$S$2:$S$317=$A7),--ISNUMBER('Данные 1st'!$HN$2:$HN$317))</f>
        <v>3</v>
      </c>
      <c r="DN7">
        <f>SUMPRODUCT(--('Данные 1st'!$S$2:$S$317=$A7),--ISNUMBER('Данные 1st'!$HO$2:$HO$317))</f>
        <v>3</v>
      </c>
      <c r="DO7">
        <f>SUMPRODUCT(--('Данные 1st'!$S$2:$S$317=$A7),--ISNUMBER('Данные 1st'!$HP$2:$HP$317))</f>
        <v>3</v>
      </c>
      <c r="DP7">
        <f>SUMPRODUCT(--('Данные 1st'!$S$2:$S$317=$A7),--ISNUMBER('Данные 1st'!$HQ$2:$HQ$317))</f>
        <v>3</v>
      </c>
      <c r="DQ7">
        <f>SUMPRODUCT(--('Данные 1st'!$S$2:$S$317=$A7),--ISNUMBER('Данные 1st'!$HR$2:$HR$317))</f>
        <v>3</v>
      </c>
      <c r="DR7">
        <f>SUMPRODUCT(--('Данные 1st'!$S$2:$S$317=$A7),--ISNUMBER('Данные 1st'!$HS$2:$HS$317))</f>
        <v>3</v>
      </c>
      <c r="DS7">
        <f>SUMPRODUCT(--('Данные 1st'!$S$2:$S$317=$A7),--ISNUMBER('Данные 1st'!$HT$2:$HT$317))</f>
        <v>3</v>
      </c>
      <c r="DT7">
        <f>SUMPRODUCT(--('Данные 1st'!$S$2:$S$317=$A7),--ISNUMBER('Данные 1st'!$HU$2:$HU$317))</f>
        <v>3</v>
      </c>
      <c r="DU7">
        <f>SUMPRODUCT(--('Данные 1st'!$S$2:$S$317=$A7),--ISNUMBER('Данные 1st'!$HW$2:$HW$317))</f>
        <v>3</v>
      </c>
      <c r="DV7">
        <f>SUMPRODUCT(--('Данные 1st'!$S$2:$S$317=$A7),--ISNUMBER('Данные 1st'!$HX$2:$HX$317))</f>
        <v>3</v>
      </c>
      <c r="DW7">
        <f>SUMPRODUCT(--('Данные 1st'!$S$2:$S$317=$A7),--ISNUMBER('Данные 1st'!$HY$2:$HY$317))</f>
        <v>3</v>
      </c>
      <c r="DX7">
        <f>SUMPRODUCT(--('Данные 1st'!$S$2:$S$317=$A7),--ISNUMBER('Данные 1st'!$IA$2:$IA$317))</f>
        <v>3</v>
      </c>
      <c r="DY7">
        <f>SUMPRODUCT(--('Данные 1st'!$S$2:$S$317=$A7),--ISNUMBER('Данные 1st'!$IB$2:$IB$317))</f>
        <v>3</v>
      </c>
      <c r="DZ7">
        <f>SUMPRODUCT(--('Данные 1st'!$S$2:$S$317=$A7),--ISNUMBER('Данные 1st'!$IC$2:$IC$317))</f>
        <v>3</v>
      </c>
      <c r="EA7">
        <f>SUMPRODUCT(--('Данные 1st'!$S$2:$S$317=$A7),--ISNUMBER('Данные 1st'!$ID$2:$ID$317))</f>
        <v>3</v>
      </c>
      <c r="EB7">
        <f>SUMPRODUCT(--('Данные 1st'!$S$2:$S$317=$A7),--ISNUMBER('Данные 1st'!$IE$2:$IE$317))</f>
        <v>3</v>
      </c>
      <c r="EC7">
        <f>SUMPRODUCT(--('Данные 1st'!$S$2:$S$317=$A7),--ISNUMBER('Данные 1st'!$IF$2:$IF$317))</f>
        <v>3</v>
      </c>
      <c r="ED7">
        <f>SUMPRODUCT(--('Данные 1st'!$S$2:$S$317=$A7),--ISNUMBER('Данные 1st'!$IP$2:$IP$317))</f>
        <v>3</v>
      </c>
      <c r="EE7">
        <f>SUMPRODUCT(--('Данные 1st'!$S$2:$S$317=$A7),--ISNUMBER('Данные 1st'!$IV$2:$IV$317))</f>
        <v>3</v>
      </c>
      <c r="EF7">
        <f>SUMPRODUCT(--('Данные 1st'!$S$2:$S$317=$A7),--ISNUMBER('Данные 1st'!$IW$2:$IW$317))</f>
        <v>3</v>
      </c>
      <c r="EG7">
        <f>SUMPRODUCT(--('Данные 1st'!$S$2:$S$317=$A7),--ISNUMBER('Данные 1st'!$IX$2:$IX$317))</f>
        <v>0</v>
      </c>
      <c r="EH7">
        <f>SUMPRODUCT(--('Данные 1st'!$S$2:$S$317=$A7),--ISNUMBER('Данные 1st'!$IY$2:$IY$317))</f>
        <v>0</v>
      </c>
      <c r="EI7">
        <f>SUMPRODUCT(--('Данные 1st'!$S$2:$S$317=$A7),--ISNUMBER('Данные 1st'!$JD$2:$JD$317))</f>
        <v>3</v>
      </c>
      <c r="EJ7">
        <f>SUMPRODUCT(--('Данные 1st'!$S$2:$S$317=$A7),--ISNUMBER('Данные 1st'!$JE$2:$JE$317))</f>
        <v>3</v>
      </c>
      <c r="EK7">
        <f>SUMPRODUCT(--('Данные 1st'!$S$2:$S$317=$A7),--ISNUMBER('Данные 1st'!$JF$2:$JF$317))</f>
        <v>3</v>
      </c>
      <c r="EL7">
        <f>SUMPRODUCT(--('Данные 1st'!$S$2:$S$317=$A7),--ISNUMBER('Данные 1st'!$JG$2:$JG$317))</f>
        <v>3</v>
      </c>
      <c r="EM7">
        <f>SUMPRODUCT(--('Данные 1st'!$S$2:$S$317=$A7),--ISNUMBER('Данные 1st'!$JH$2:$JH$317))</f>
        <v>3</v>
      </c>
      <c r="EN7">
        <f>SUMPRODUCT(--('Данные 1st'!$S$2:$S$317=$A7),--ISNUMBER('Данные 1st'!$JJ$2:$JJ$317))</f>
        <v>3</v>
      </c>
      <c r="EO7">
        <f>SUMPRODUCT(--('Данные 1st'!$S$2:$S$317=$A7),--ISNUMBER('Данные 1st'!$JK$2:$JK$317))</f>
        <v>3</v>
      </c>
      <c r="EP7">
        <f>SUMPRODUCT(--('Данные 1st'!$S$2:$S$317=$A7),--ISNUMBER('Данные 1st'!$JL$2:$JL$317))</f>
        <v>0</v>
      </c>
      <c r="EQ7">
        <f>SUMPRODUCT(--('Данные 1st'!$S$2:$S$317=$A7),--ISNUMBER('Данные 1st'!$JM$2:$JM$317))</f>
        <v>0</v>
      </c>
      <c r="ER7">
        <f>SUMPRODUCT(--('Данные 1st'!$S$2:$S$317=$A7),--ISNUMBER('Данные 1st'!$JN$2:$JN$317))</f>
        <v>3</v>
      </c>
      <c r="ES7">
        <f>SUMPRODUCT(--('Данные 1st'!$S$2:$S$317=$A7),--ISNUMBER('Данные 1st'!$JO$2:$JO$317))</f>
        <v>3</v>
      </c>
      <c r="ET7">
        <f>SUMPRODUCT(--('Данные 1st'!$S$2:$S$317=$A7),--ISNUMBER('Данные 1st'!$JP$2:$JP$317))</f>
        <v>3</v>
      </c>
      <c r="EU7">
        <f>SUMPRODUCT(--('Данные 1st'!$S$2:$S$317=$A7),--ISNUMBER('Данные 1st'!$JQ$2:$JQ$317))</f>
        <v>3</v>
      </c>
      <c r="EV7">
        <f>SUMPRODUCT(--('Данные 1st'!$S$2:$S$317=$A7),--ISNUMBER('Данные 1st'!$JR$2:$JR$317))</f>
        <v>3</v>
      </c>
      <c r="EW7">
        <f>SUMPRODUCT(--('Данные 1st'!$S$2:$S$317=$A7),--ISNUMBER('Данные 1st'!$JS$2:$JS$317))</f>
        <v>3</v>
      </c>
      <c r="EX7">
        <f>SUMPRODUCT(--('Данные 1st'!$S$2:$S$317=$A7),--ISNUMBER('Данные 1st'!$JT$2:$JT$317))</f>
        <v>0</v>
      </c>
      <c r="EY7">
        <f>SUMPRODUCT(--('Данные 1st'!$S$2:$S$317=$A7),--ISNUMBER('Данные 1st'!$JU$2:$JU$317))</f>
        <v>0</v>
      </c>
      <c r="EZ7">
        <f>SUMPRODUCT(--('Данные 1st'!$S$2:$S$317=$A7),--ISNUMBER('Данные 1st'!$JV$2:$JV$317))</f>
        <v>3</v>
      </c>
      <c r="FA7">
        <f>SUMPRODUCT(--('Данные 1st'!$S$2:$S$317=$A7),--ISNUMBER('Данные 1st'!$JW$2:$JW$317))</f>
        <v>0</v>
      </c>
      <c r="FB7">
        <f>SUMPRODUCT(--('Данные 1st'!$S$2:$S$317=$A7),--ISNUMBER('Данные 1st'!$JX$2:$JX$317))</f>
        <v>3</v>
      </c>
      <c r="FC7">
        <f>SUMPRODUCT(--('Данные 1st'!$S$2:$S$317=$A7),--ISNUMBER('Данные 1st'!$JY$2:$JY$317))</f>
        <v>0</v>
      </c>
      <c r="FD7">
        <f>SUMPRODUCT(--('Данные 1st'!$S$2:$S$317=$A7),--ISNUMBER('Данные 1st'!$JZ$2:$JZ$317))</f>
        <v>0</v>
      </c>
      <c r="FE7">
        <f>SUMPRODUCT(--('Данные 1st'!$S$2:$S$317=$A7),--ISNUMBER('Данные 1st'!$KA$2:$KA$317))</f>
        <v>3</v>
      </c>
      <c r="FF7">
        <f>SUMPRODUCT(--('Данные 1st'!$S$2:$S$317=$A7),--ISNUMBER('Данные 1st'!$KB$2:$KB$317))</f>
        <v>3</v>
      </c>
      <c r="FG7">
        <f>SUMPRODUCT(--('Данные 1st'!$S$2:$S$317=$A7),--ISNUMBER('Данные 1st'!$KC$2:$KC$317))</f>
        <v>3</v>
      </c>
      <c r="FH7">
        <f>SUMPRODUCT(--('Данные 1st'!$S$2:$S$317=$A7),--ISNUMBER('Данные 1st'!$KD$2:$KD$317))</f>
        <v>3</v>
      </c>
      <c r="FI7">
        <f>SUMPRODUCT(--('Данные 1st'!$S$2:$S$317=$A7),--ISNUMBER('Данные 1st'!$KE$2:$KE$317))</f>
        <v>0</v>
      </c>
      <c r="FJ7">
        <f>SUMPRODUCT(--('Данные 1st'!$S$2:$S$317=$A7),--ISNUMBER('Данные 1st'!$KF$2:$KF$317))</f>
        <v>3</v>
      </c>
      <c r="FK7">
        <f>SUMPRODUCT(--('Данные 1st'!$S$2:$S$317=$A7),--ISNUMBER('Данные 1st'!$KG$2:$KG$317))</f>
        <v>3</v>
      </c>
      <c r="FL7">
        <f>SUMPRODUCT(--('Данные 1st'!$S$2:$S$317=$A7),--ISNUMBER('Данные 1st'!$KH$2:$KH$317))</f>
        <v>3</v>
      </c>
      <c r="FM7">
        <f>SUMPRODUCT(--('Данные 1st'!$S$2:$S$317=$A7),--ISNUMBER('Данные 1st'!$KI$2:$KI$317))</f>
        <v>3</v>
      </c>
      <c r="FN7">
        <f>SUMPRODUCT(--('Данные 1st'!$S$2:$S$317=$A7),--ISNUMBER('Данные 1st'!$KJ$2:$KJ$317))</f>
        <v>3</v>
      </c>
      <c r="FO7">
        <f>SUMPRODUCT(--('Данные 1st'!$S$2:$S$317=$A7),--ISNUMBER('Данные 1st'!$KK$2:$KK$317))</f>
        <v>3</v>
      </c>
      <c r="FP7">
        <f>SUMPRODUCT(--('Данные 1st'!$S$2:$S$317=$A7),--ISNUMBER('Данные 1st'!$KL$2:$KL$317))</f>
        <v>3</v>
      </c>
      <c r="FQ7">
        <f>SUMPRODUCT(--('Данные 1st'!$S$2:$S$317=$A7),--ISNUMBER('Данные 1st'!$KM$2:$KM$317))</f>
        <v>3</v>
      </c>
      <c r="FR7">
        <f>SUMPRODUCT(--('Данные 1st'!$S$2:$S$317=$A7),--ISNUMBER('Данные 1st'!$KN$2:$KN$317))</f>
        <v>3</v>
      </c>
      <c r="FS7">
        <f>SUMPRODUCT(--('Данные 1st'!$S$2:$S$317=$A7),--ISNUMBER('Данные 1st'!$KR$2:$KR$317))</f>
        <v>3</v>
      </c>
      <c r="FT7">
        <f>SUMPRODUCT(--('Данные 1st'!$S$2:$S$317=$A7),--ISNUMBER('Данные 1st'!$KS$2:$KS$317))</f>
        <v>3</v>
      </c>
      <c r="FU7">
        <f>SUMPRODUCT(--('Данные 1st'!$S$2:$S$317=$A7),--ISNUMBER('Данные 1st'!$KT$2:$KT$317))</f>
        <v>3</v>
      </c>
      <c r="FV7">
        <f>SUMPRODUCT(--('Данные 1st'!$S$2:$S$317=$A7),--ISNUMBER('Данные 1st'!$KV$2:$KV$317))</f>
        <v>0</v>
      </c>
      <c r="FW7">
        <f>SUMPRODUCT(--('Данные 1st'!$S$2:$S$317=$A7),--ISNUMBER('Данные 1st'!$KW$2:$KW$317))</f>
        <v>0</v>
      </c>
      <c r="FX7">
        <f>SUMPRODUCT(--('Данные 1st'!$S$2:$S$317=$A7),--ISNUMBER('Данные 1st'!$KX$2:$KX$317))</f>
        <v>0</v>
      </c>
      <c r="FY7">
        <f>SUMPRODUCT(--('Данные 1st'!$S$2:$S$317=$A7),--ISNUMBER('Данные 1st'!$KY$2:$KY$317))</f>
        <v>0</v>
      </c>
      <c r="FZ7">
        <f>SUMPRODUCT(--('Данные 1st'!$S$2:$S$317=$A7),--ISNUMBER('Данные 1st'!$KZ$2:$KZ$317))</f>
        <v>0</v>
      </c>
      <c r="GA7">
        <f>SUMPRODUCT(--('Данные 1st'!$S$2:$S$317=$A7),--ISNUMBER('Данные 1st'!$LA$2:$LA$317))</f>
        <v>0</v>
      </c>
      <c r="GB7">
        <f>SUMPRODUCT(--('Данные 1st'!$S$2:$S$317=$A7),--ISNUMBER('Данные 1st'!$LB$2:$LB$317))</f>
        <v>0</v>
      </c>
      <c r="GC7">
        <f>SUMPRODUCT(--('Данные 1st'!$S$2:$S$317=$A7),--ISNUMBER('Данные 1st'!$LC$2:$LC$317))</f>
        <v>0</v>
      </c>
      <c r="GD7">
        <f>SUMPRODUCT(--('Данные 1st'!$S$2:$S$317=$A7),--ISNUMBER('Данные 1st'!$LD$2:$LD$317))</f>
        <v>0</v>
      </c>
      <c r="GE7">
        <f>SUMPRODUCT(--('Данные 1st'!$S$2:$S$317=$A7),--ISNUMBER('Данные 1st'!$LE$2:$LE$317))</f>
        <v>0</v>
      </c>
      <c r="GF7">
        <f>SUMPRODUCT(--('Данные 1st'!$S$2:$S$317=$A7),--ISNUMBER('Данные 1st'!$LF$2:$LF$317))</f>
        <v>0</v>
      </c>
      <c r="GG7">
        <f>SUMPRODUCT(--('Данные 1st'!$S$2:$S$317=$A7),--ISNUMBER('Данные 1st'!$LG$2:$LG$317))</f>
        <v>0</v>
      </c>
      <c r="GH7">
        <f>SUMPRODUCT(--('Данные 1st'!$S$2:$S$317=$A7),--ISNUMBER('Данные 1st'!$LH$2:$LH$317))</f>
        <v>0</v>
      </c>
      <c r="GI7">
        <f>SUMPRODUCT(--('Данные 1st'!$S$2:$S$317=$A7),--ISNUMBER('Данные 1st'!$LI$2:$LI$317))</f>
        <v>0</v>
      </c>
      <c r="GJ7">
        <f>SUMPRODUCT(--('Данные 1st'!$S$2:$S$317=$A7),--ISNUMBER('Данные 1st'!$LJ$2:$LJ$317))</f>
        <v>0</v>
      </c>
      <c r="GK7">
        <f>SUMPRODUCT(--('Данные 1st'!$S$2:$S$317=$A7),--ISNUMBER('Данные 1st'!$LK$2:$LK$317))</f>
        <v>3</v>
      </c>
      <c r="GL7">
        <f>SUMPRODUCT(--('Данные 1st'!$S$2:$S$317=$A7),--ISNUMBER('Данные 1st'!$LV$2:$LV$317))</f>
        <v>0</v>
      </c>
      <c r="GM7">
        <f>SUMPRODUCT(--('Данные 1st'!$S$2:$S$317=$A7),--ISNUMBER('Данные 1st'!$LW$2:$LW$317))</f>
        <v>0</v>
      </c>
      <c r="GN7">
        <f>SUMPRODUCT(--('Данные 1st'!$S$2:$S$317=$A7),--ISNUMBER('Данные 1st'!$LX$2:$LX$317))</f>
        <v>0</v>
      </c>
      <c r="GO7">
        <f>SUMPRODUCT(--('Данные 1st'!$S$2:$S$317=$A7),--ISNUMBER('Данные 1st'!$LY$2:$LY$317))</f>
        <v>0</v>
      </c>
      <c r="GP7">
        <f>SUMPRODUCT(--('Данные 1st'!$S$2:$S$317=$A7),--ISNUMBER('Данные 1st'!$LZ$2:$LZ$317))</f>
        <v>0</v>
      </c>
      <c r="GQ7">
        <f>SUMPRODUCT(--('Данные 1st'!$S$2:$S$317=$A7),--ISNUMBER('Данные 1st'!$PG$2:$PG$317))</f>
        <v>3</v>
      </c>
      <c r="GR7">
        <f>SUMPRODUCT(--('Данные 1st'!$S$2:$S$317=$A7),--ISNUMBER('Данные 1st'!$PX$2:$PX$317))</f>
        <v>3</v>
      </c>
      <c r="GS7">
        <f>SUMPRODUCT(--('Данные 1st'!$S$2:$S$317=$A7),--ISNUMBER('Данные 1st'!$PY$2:$PY$317))</f>
        <v>3</v>
      </c>
      <c r="GT7">
        <f>SUMPRODUCT(--('Данные 1st'!$S$2:$S$317=$A7),--ISNUMBER('Данные 1st'!$QA$2:$QA$317))</f>
        <v>3</v>
      </c>
      <c r="GU7">
        <f>SUMPRODUCT(--('Данные 1st'!$S$2:$S$317=$A7),--ISNUMBER('Данные 1st'!$QB$2:$QB$317))</f>
        <v>3</v>
      </c>
      <c r="GV7">
        <f>SUMPRODUCT(--('Данные 1st'!$S$2:$S$317=$A7),--ISNUMBER('Данные 1st'!$QC$2:$QC$317))</f>
        <v>3</v>
      </c>
      <c r="GW7">
        <f>SUMPRODUCT(--('Данные 1st'!$S$2:$S$317=$A7),--ISNUMBER('Данные 1st'!$QD$2:$QD$317))</f>
        <v>3</v>
      </c>
      <c r="GX7">
        <f>SUMPRODUCT(--('Данные 1st'!$S$2:$S$317=$A7),--ISNUMBER('Данные 1st'!$QF$2:$QF$317))</f>
        <v>3</v>
      </c>
      <c r="GY7">
        <f>SUMPRODUCT(--('Данные 1st'!$S$2:$S$317=$A7),--ISNUMBER('Данные 1st'!$QG$2:$QG$317))</f>
        <v>3</v>
      </c>
      <c r="GZ7">
        <f>SUMPRODUCT(--('Данные 1st'!$S$2:$S$317=$A7),--ISNUMBER('Данные 1st'!$QH$2:$QH$317))</f>
        <v>3</v>
      </c>
      <c r="HA7">
        <f>SUMPRODUCT(--('Данные 1st'!$S$2:$S$317=$A7),--ISNUMBER('Данные 1st'!$QI$2:$QI$317))</f>
        <v>3</v>
      </c>
      <c r="HB7">
        <f>SUMPRODUCT(--('Данные 1st'!$S$2:$S$317=$A7),--ISNUMBER('Данные 1st'!$QK$2:$QK$317))</f>
        <v>0</v>
      </c>
      <c r="HC7">
        <f>SUMPRODUCT(--('Данные 1st'!$S$2:$S$317=$A7),--ISNUMBER('Данные 1st'!$QL$2:$QL$317))</f>
        <v>3</v>
      </c>
      <c r="HD7">
        <f>SUMPRODUCT(--('Данные 1st'!$S$2:$S$317=$A7),--ISNUMBER('Данные 1st'!$QM$2:$QM$317))</f>
        <v>3</v>
      </c>
      <c r="HE7">
        <f>SUMPRODUCT(--('Данные 1st'!$S$2:$S$317=$A7),--ISNUMBER('Данные 1st'!$QN$2:$QN$317))</f>
        <v>3</v>
      </c>
      <c r="HF7">
        <f>SUMPRODUCT(--('Данные 1st'!$S$2:$S$317=$A7),--ISNUMBER('Данные 1st'!$QP$2:$QP$317))</f>
        <v>3</v>
      </c>
      <c r="HG7">
        <f>SUMPRODUCT(--('Данные 1st'!$S$2:$S$317=$A7),--ISNUMBER('Данные 1st'!$QQ$2:$QQ$317))</f>
        <v>3</v>
      </c>
      <c r="HH7">
        <f>SUMPRODUCT(--('Данные 1st'!$S$2:$S$317=$A7),--ISNUMBER('Данные 1st'!$QR$2:$QR$317))</f>
        <v>0</v>
      </c>
      <c r="HI7">
        <f>SUMPRODUCT(--('Данные 1st'!$S$2:$S$317=$A7),--ISNUMBER('Данные 1st'!$QS$2:$QS$317))</f>
        <v>0</v>
      </c>
      <c r="HJ7">
        <f>SUMPRODUCT(--('Данные 1st'!$S$2:$S$317=$A7),--ISNUMBER('Данные 1st'!$QU$2:$QU$317))</f>
        <v>0</v>
      </c>
      <c r="HK7">
        <f>SUMPRODUCT(--('Данные 1st'!$S$2:$S$317=$A7),--ISNUMBER('Данные 1st'!$QV$2:$QV$317))</f>
        <v>0</v>
      </c>
      <c r="HL7">
        <f>SUMPRODUCT(--('Данные 1st'!$S$2:$S$317=$A7),--ISNUMBER('Данные 1st'!$QW$2:$QW$317))</f>
        <v>3</v>
      </c>
      <c r="HM7">
        <f>SUMPRODUCT(--('Данные 1st'!$S$2:$S$317=$A7),--ISNUMBER('Данные 1st'!$QX$2:$QX$317))</f>
        <v>3</v>
      </c>
      <c r="HN7">
        <f>SUMPRODUCT(--('Данные 1st'!$S$2:$S$317=$A7),--ISNUMBER('Данные 1st'!$QZ$2:$QZ$317))</f>
        <v>3</v>
      </c>
      <c r="HO7">
        <f>SUMPRODUCT(--('Данные 1st'!$S$2:$S$317=$A7),--ISNUMBER('Данные 1st'!$RA$2:$RA$317))</f>
        <v>3</v>
      </c>
      <c r="HP7">
        <f>SUMPRODUCT(--('Данные 1st'!$S$2:$S$317=$A7),--ISNUMBER('Данные 1st'!$RB$2:$RB$317))</f>
        <v>3</v>
      </c>
      <c r="HQ7">
        <f>SUMPRODUCT(--('Данные 1st'!$S$2:$S$317=$A7),--ISNUMBER('Данные 1st'!$RD$2:$RD$317))</f>
        <v>0</v>
      </c>
      <c r="HR7">
        <f>SUMPRODUCT(--('Данные 1st'!$S$2:$S$317=$A7),--ISNUMBER('Данные 1st'!$RE$2:$RE$317))</f>
        <v>3</v>
      </c>
      <c r="HS7">
        <f>SUMPRODUCT(--('Данные 1st'!$S$2:$S$317=$A7),--ISNUMBER('Данные 1st'!$RF$2:$RF$317))</f>
        <v>2</v>
      </c>
      <c r="HT7">
        <f>SUMPRODUCT(--('Данные 1st'!$S$2:$S$317=$A7),--ISNUMBER('Данные 1st'!$RG$2:$RG$317))</f>
        <v>1</v>
      </c>
      <c r="HU7">
        <f>SUMPRODUCT(--('Данные 1st'!$S$2:$S$317=$A7),--ISNUMBER('Данные 1st'!$RH$2:$RH$317))</f>
        <v>0</v>
      </c>
      <c r="HV7">
        <f>SUMPRODUCT(--('Данные 1st'!$S$2:$S$317=$A7),--ISNUMBER('Данные 1st'!$RI$2:$RI$317))</f>
        <v>0</v>
      </c>
      <c r="HW7">
        <f>SUMPRODUCT(--('Данные 1st'!$S$2:$S$317=$A7),--ISNUMBER('Данные 1st'!$RJ$2:$RJ$317))</f>
        <v>3</v>
      </c>
      <c r="HX7">
        <f>SUMPRODUCT(--('Данные 1st'!$S$2:$S$317=$A7),--ISNUMBER('Данные 1st'!$RK$2:$RK$317))</f>
        <v>0</v>
      </c>
      <c r="HY7">
        <f>SUMPRODUCT(--('Данные 1st'!$S$2:$S$317=$A7),--ISNUMBER('Данные 1st'!$RL$2:$RL$317))</f>
        <v>3</v>
      </c>
      <c r="HZ7">
        <f>SUMPRODUCT(--('Данные 1st'!$S$2:$S$317=$A7),--ISNUMBER('Данные 1st'!$RM$2:$RM$317))</f>
        <v>0</v>
      </c>
      <c r="IA7">
        <f>SUMPRODUCT(--('Данные 1st'!$S$2:$S$317=$A7),--ISNUMBER('Данные 1st'!$RN$2:$RN$317))</f>
        <v>0</v>
      </c>
      <c r="IB7">
        <f>SUMPRODUCT(--('Данные 1st'!$S$2:$S$317=$A7),--ISNUMBER('Данные 1st'!$RO$2:$RO$317))</f>
        <v>3</v>
      </c>
      <c r="IC7">
        <f>SUMPRODUCT(--('Данные 1st'!$S$2:$S$317=$A7),--ISNUMBER('Данные 1st'!$RP$2:$RP$317))</f>
        <v>0</v>
      </c>
      <c r="ID7">
        <f>SUMPRODUCT(--('Данные 1st'!$S$2:$S$317=$A7),--ISNUMBER('Данные 1st'!$RQ$2:$RQ$317))</f>
        <v>3</v>
      </c>
      <c r="IE7">
        <f>SUMPRODUCT(--('Данные 1st'!$S$2:$S$317=$A7),--ISNUMBER('Данные 1st'!$RR$2:$RR$317))</f>
        <v>0</v>
      </c>
      <c r="IF7">
        <f>SUMPRODUCT(--('Данные 1st'!$S$2:$S$317=$A7),--ISNUMBER('Данные 1st'!$RS$2:$RS$317))</f>
        <v>0</v>
      </c>
      <c r="IG7">
        <f>SUMPRODUCT(--('Данные 1st'!$S$2:$S$317=$A7),--ISNUMBER('Данные 1st'!$RT$2:$RT$317))</f>
        <v>3</v>
      </c>
      <c r="IH7">
        <f>SUMPRODUCT(--('Данные 1st'!$S$2:$S$317=$A7),--ISNUMBER('Данные 1st'!$RU$2:$RU$317))</f>
        <v>3</v>
      </c>
      <c r="II7">
        <f>SUMPRODUCT(--('Данные 1st'!$S$2:$S$317=$A7),--ISNUMBER('Данные 1st'!$RX$2:$RX$317))</f>
        <v>3</v>
      </c>
      <c r="IJ7">
        <f>SUMPRODUCT(--('Данные 1st'!$S$2:$S$317=$A7),--ISNUMBER('Данные 1st'!$RY$2:$RY$317))</f>
        <v>3</v>
      </c>
      <c r="IK7">
        <f>SUMPRODUCT(--('Данные 1st'!$S$2:$S$317=$A7),--ISNUMBER('Данные 1st'!$SA$2:$SA$317))</f>
        <v>3</v>
      </c>
      <c r="IL7">
        <f>SUMPRODUCT(--('Данные 1st'!$S$2:$S$317=$A7),--ISNUMBER('Данные 1st'!$SD$2:$SD$317))</f>
        <v>3</v>
      </c>
      <c r="IM7">
        <f>SUMPRODUCT(--('Данные 1st'!$S$2:$S$317=$A7),--ISNUMBER('Данные 1st'!$SG$2:$SG$317))</f>
        <v>0</v>
      </c>
      <c r="IN7">
        <f>SUMPRODUCT(--('Данные 1st'!$S$2:$S$317=$A7),--ISNUMBER('Данные 1st'!$SH$2:$SH$317))</f>
        <v>3</v>
      </c>
      <c r="IO7">
        <f>SUMPRODUCT(--('Данные 1st'!$S$2:$S$317=$A7),--ISNUMBER('Данные 1st'!$SI$2:$SI$317))</f>
        <v>3</v>
      </c>
      <c r="IP7">
        <f>SUMPRODUCT(--('Данные 1st'!$S$2:$S$317=$A7),--ISNUMBER('Данные 1st'!$SJ$2:$SJ$317))</f>
        <v>3</v>
      </c>
      <c r="IQ7">
        <f>SUMPRODUCT(--('Данные 1st'!$S$2:$S$317=$A7),--ISNUMBER('Данные 1st'!$SK$2:$SK$317))</f>
        <v>3</v>
      </c>
      <c r="IR7">
        <f>SUMPRODUCT(--('Данные 1st'!$S$2:$S$317=$A7),--ISNUMBER('Данные 1st'!$SL$2:$SL$317))</f>
        <v>3</v>
      </c>
      <c r="IS7">
        <f>SUMPRODUCT(--('Данные 1st'!$S$2:$S$317=$A7),--ISNUMBER('Данные 1st'!$SM$2:$SM$317))</f>
        <v>3</v>
      </c>
      <c r="IT7">
        <f>SUMPRODUCT(--('Данные 1st'!$S$2:$S$317=$A7),--ISNUMBER('Данные 1st'!$SN$2:$SN$317))</f>
        <v>3</v>
      </c>
      <c r="IU7">
        <f>SUMPRODUCT(--('Данные 1st'!$S$2:$S$317=$A7),--ISNUMBER('Данные 1st'!$SO$2:$SO$317))</f>
        <v>3</v>
      </c>
      <c r="IV7">
        <f>SUMPRODUCT(--('Данные 1st'!$S$2:$S$317=$A7),--ISNUMBER('Данные 1st'!$SP$2:$SP$317))</f>
        <v>3</v>
      </c>
      <c r="IW7">
        <f>SUMPRODUCT(--('Данные 1st'!$S$2:$S$317=$A7),--ISNUMBER('Данные 1st'!$SQ$2:$SQ$317))</f>
        <v>3</v>
      </c>
      <c r="IX7">
        <f>SUMPRODUCT(--('Данные 1st'!$S$2:$S$317=$A7),--ISNUMBER('Данные 1st'!$SR$2:$SR$317))</f>
        <v>3</v>
      </c>
      <c r="IY7">
        <f>SUMPRODUCT(--('Данные 1st'!$S$2:$S$317=$A7),--ISNUMBER('Данные 1st'!$SS$2:$SS$317))</f>
        <v>3</v>
      </c>
      <c r="IZ7">
        <f>SUMPRODUCT(--('Данные 1st'!$S$2:$S$317=$A7),--ISNUMBER('Данные 1st'!$ST$2:$ST$317))</f>
        <v>3</v>
      </c>
      <c r="JA7">
        <f>SUMPRODUCT(--('Данные 1st'!$S$2:$S$317=$A7),--ISNUMBER('Данные 1st'!$SU$2:$SU$317))</f>
        <v>3</v>
      </c>
      <c r="JB7">
        <f>SUMPRODUCT(--('Данные 1st'!$S$2:$S$317=$A7),--ISNUMBER('Данные 1st'!$SV$2:$SV$317))</f>
        <v>3</v>
      </c>
      <c r="JC7">
        <f>SUMPRODUCT(--('Данные 1st'!$S$2:$S$317=$A7),--ISNUMBER('Данные 1st'!$SW$2:$SW$317))</f>
        <v>3</v>
      </c>
      <c r="JD7">
        <f>SUMPRODUCT(--('Данные 1st'!$S$2:$S$317=$A7),--ISNUMBER('Данные 1st'!$SX$2:$SX$317))</f>
        <v>3</v>
      </c>
      <c r="JE7">
        <f>SUMPRODUCT(--('Данные 1st'!$S$2:$S$317=$A7),--ISNUMBER('Данные 1st'!$SY$2:$SY$317))</f>
        <v>0</v>
      </c>
      <c r="JF7">
        <f>SUMPRODUCT(--('Данные 1st'!$S$2:$S$317=$A7),--ISNUMBER('Данные 1st'!$SZ$2:$SZ$317))</f>
        <v>0</v>
      </c>
      <c r="JG7">
        <f>SUMPRODUCT(--('Данные 1st'!$S$2:$S$317=$A7),--ISNUMBER('Данные 1st'!$TA$2:$TA$317))</f>
        <v>0</v>
      </c>
      <c r="JH7">
        <f>SUMPRODUCT(--('Данные 1st'!$S$2:$S$317=$A7),--ISNUMBER('Данные 1st'!$TB$2:$TB$317))</f>
        <v>3</v>
      </c>
      <c r="JI7">
        <f>SUMPRODUCT(--('Данные 1st'!$S$2:$S$317=$A7),--ISNUMBER('Данные 1st'!$TC$2:$TC$317))</f>
        <v>3</v>
      </c>
      <c r="JJ7">
        <f>SUMPRODUCT(--('Данные 1st'!$S$2:$S$317=$A7),--ISNUMBER('Данные 1st'!$TD$2:$TD$317))</f>
        <v>3</v>
      </c>
      <c r="JK7">
        <f>SUMPRODUCT(--('Данные 1st'!$S$2:$S$317=$A7),--ISNUMBER('Данные 1st'!$TN$2:$TN$317))</f>
        <v>3</v>
      </c>
      <c r="JQ7">
        <f>SUMPRODUCT(--('Данные 2st'!$Q$2:$Q$317=$A7),--ISNUMBER('Данные 2st'!$AC$2:$AC$317))</f>
        <v>3</v>
      </c>
      <c r="JR7">
        <f>SUMPRODUCT(--('Данные 2st'!$Q$2:$Q$317=$A7),--ISNUMBER('Данные 2st'!$AF$2:$AF$317))</f>
        <v>3</v>
      </c>
      <c r="JS7">
        <f>SUMPRODUCT(--('Данные 2st'!$Q$2:$Q$317=$A7),--ISNUMBER('Данные 2st'!$AW$2:$AW$317))</f>
        <v>3</v>
      </c>
      <c r="JT7">
        <f>SUMPRODUCT(--('Данные 2st'!$Q$2:$Q$317=$A7),--ISNUMBER('Данные 2st'!$AX$2:$AX$317))</f>
        <v>3</v>
      </c>
      <c r="JU7">
        <f>SUMPRODUCT(--('Данные 2st'!$Q$2:$Q$317=$A7),--ISNUMBER('Данные 2st'!$AY$2:$AY$317))</f>
        <v>3</v>
      </c>
      <c r="JV7">
        <f>SUMPRODUCT(--('Данные 2st'!$Q$2:$Q$317=$A7),--ISNUMBER('Данные 2st'!$AZ$2:$AZ$317))</f>
        <v>3</v>
      </c>
      <c r="JW7">
        <f>SUMPRODUCT(--('Данные 2st'!$Q$2:$Q$317=$A7),--ISNUMBER('Данные 2st'!$BA$2:$BA$317))</f>
        <v>0</v>
      </c>
      <c r="JX7">
        <f>SUMPRODUCT(--('Данные 2st'!$Q$2:$Q$317=$A7),--ISNUMBER('Данные 2st'!$BB$2:$BB$317))</f>
        <v>0</v>
      </c>
      <c r="JY7">
        <f>SUMPRODUCT(--('Данные 2st'!$Q$2:$Q$317=$A7),--ISNUMBER('Данные 2st'!$BC$2:$BC$317))</f>
        <v>0</v>
      </c>
      <c r="JZ7">
        <f>SUMPRODUCT(--('Данные 2st'!$Q$2:$Q$317=$A7),--ISNUMBER('Данные 2st'!$BH$2:$BH$317))</f>
        <v>3</v>
      </c>
      <c r="KA7">
        <f>SUMPRODUCT(--('Данные 2st'!$Q$2:$Q$317=$A7),--ISNUMBER('Данные 2st'!$BI$2:$BI$317))</f>
        <v>3</v>
      </c>
      <c r="KB7">
        <f>SUMPRODUCT(--('Данные 2st'!$Q$2:$Q$317=$A7),--ISNUMBER('Данные 2st'!$BJ$2:$BJ$317))</f>
        <v>3</v>
      </c>
      <c r="KC7">
        <f>SUMPRODUCT(--('Данные 2st'!$Q$2:$Q$317=$A7),--ISNUMBER('Данные 2st'!$BK$2:$BK$317))</f>
        <v>3</v>
      </c>
      <c r="KD7">
        <f>SUMPRODUCT(--('Данные 2st'!$Q$2:$Q$317=$A7),--ISNUMBER('Данные 2st'!$BL$2:$BL$317))</f>
        <v>3</v>
      </c>
      <c r="KE7">
        <f>SUMPRODUCT(--('Данные 2st'!$Q$2:$Q$317=$A7),--ISNUMBER('Данные 2st'!$BM$2:$BM$317))</f>
        <v>3</v>
      </c>
      <c r="KF7">
        <f>SUMPRODUCT(--('Данные 2st'!$Q$2:$Q$317=$A7),--ISNUMBER('Данные 2st'!$BN$2:$BN$317))</f>
        <v>3</v>
      </c>
      <c r="KG7">
        <f>SUMPRODUCT(--('Данные 2st'!$Q$2:$Q$317=$A7),--ISNUMBER('Данные 2st'!$BO$2:$BO$317))</f>
        <v>0</v>
      </c>
      <c r="KH7">
        <f>SUMPRODUCT(--('Данные 2st'!$Q$2:$Q$317=$A7),--ISNUMBER('Данные 2st'!$BP$2:$BP$317))</f>
        <v>3</v>
      </c>
      <c r="KI7">
        <f>SUMPRODUCT(--('Данные 2st'!$Q$2:$Q$317=$A7),--ISNUMBER('Данные 2st'!$BR$2:$BR$317))</f>
        <v>3</v>
      </c>
      <c r="KJ7">
        <f>SUMPRODUCT(--('Данные 2st'!$Q$2:$Q$317=$A7),--ISNUMBER('Данные 2st'!$BS$2:$BS$317))</f>
        <v>3</v>
      </c>
      <c r="KK7">
        <f>SUMPRODUCT(--('Данные 2st'!$Q$2:$Q$317=$A7),--ISNUMBER('Данные 2st'!$BT$2:$BT$317))</f>
        <v>3</v>
      </c>
      <c r="KL7">
        <f>SUMPRODUCT(--('Данные 2st'!$Q$2:$Q$317=$A7),--ISNUMBER('Данные 2st'!$CV$2:$CV$317))</f>
        <v>3</v>
      </c>
      <c r="KM7">
        <f>SUMPRODUCT(--('Данные 2st'!$Q$2:$Q$317=$A7),--ISNUMBER('Данные 2st'!$CW$2:$CW$317))</f>
        <v>3</v>
      </c>
      <c r="KN7">
        <f>SUMPRODUCT(--('Данные 2st'!$Q$2:$Q$317=$A7),--ISNUMBER('Данные 2st'!$CX$2:$CX$317))</f>
        <v>3</v>
      </c>
      <c r="KO7">
        <f>SUMPRODUCT(--('Данные 2st'!$Q$2:$Q$317=$A7),--ISNUMBER('Данные 2st'!$CY$2:$CY$317))</f>
        <v>3</v>
      </c>
      <c r="KP7">
        <f>SUMPRODUCT(--('Данные 2st'!$Q$2:$Q$317=$A7),--ISNUMBER('Данные 2st'!$CZ$2:$CZ$317))</f>
        <v>3</v>
      </c>
      <c r="KQ7">
        <f>SUMPRODUCT(--('Данные 2st'!$Q$2:$Q$317=$A7),--ISNUMBER('Данные 2st'!$DA$2:$DA$317))</f>
        <v>3</v>
      </c>
      <c r="KR7">
        <f>SUMPRODUCT(--('Данные 2st'!$Q$2:$Q$317=$A7),--ISNUMBER('Данные 2st'!$DB$2:$DB$317))</f>
        <v>3</v>
      </c>
      <c r="KS7">
        <f>SUMPRODUCT(--('Данные 2st'!$Q$2:$Q$317=$A7),--ISNUMBER('Данные 2st'!$DC$2:$DC$317))</f>
        <v>3</v>
      </c>
      <c r="KT7">
        <f>SUMPRODUCT(--('Данные 2st'!$Q$2:$Q$317=$A7),--ISNUMBER('Данные 2st'!$DD$2:$DD$317))</f>
        <v>3</v>
      </c>
      <c r="KU7">
        <f>SUMPRODUCT(--('Данные 2st'!$Q$2:$Q$317=$A7),--ISNUMBER('Данные 2st'!$DE$2:$DE$317))</f>
        <v>3</v>
      </c>
      <c r="KV7">
        <f>SUMPRODUCT(--('Данные 2st'!$Q$2:$Q$317=$A7),--ISNUMBER('Данные 2st'!$DF$2:$DF$317))</f>
        <v>3</v>
      </c>
      <c r="KW7">
        <f>SUMPRODUCT(--('Данные 2st'!$Q$2:$Q$317=$A7),--ISNUMBER('Данные 2st'!$DG$2:$DG$317))</f>
        <v>3</v>
      </c>
      <c r="KX7">
        <f>SUMPRODUCT(--('Данные 2st'!$Q$2:$Q$317=$A7),--ISNUMBER('Данные 2st'!$DH$2:$DH$317))</f>
        <v>0</v>
      </c>
      <c r="KY7">
        <f>SUMPRODUCT(--('Данные 2st'!$Q$2:$Q$317=$A7),--ISNUMBER('Данные 2st'!$DI$2:$DI$317))</f>
        <v>0</v>
      </c>
      <c r="KZ7">
        <f>SUMPRODUCT(--('Данные 2st'!$Q$2:$Q$317=$A7),--ISNUMBER('Данные 2st'!$DK$2:$DK$317))</f>
        <v>3</v>
      </c>
      <c r="LA7">
        <f>SUMPRODUCT(--('Данные 2st'!$Q$2:$Q$317=$A7),--ISNUMBER('Данные 2st'!$DM$2:$DM$317))</f>
        <v>3</v>
      </c>
      <c r="LB7">
        <f>SUMPRODUCT(--('Данные 2st'!$Q$2:$Q$317=$A7),--ISNUMBER('Данные 2st'!$DN$2:$DN$317))</f>
        <v>3</v>
      </c>
      <c r="LC7">
        <f>SUMPRODUCT(--('Данные 2st'!$Q$2:$Q$317=$A7),--ISNUMBER('Данные 2st'!$DO$2:$DO$317))</f>
        <v>3</v>
      </c>
      <c r="LD7">
        <f>SUMPRODUCT(--('Данные 2st'!$Q$2:$Q$317=$A7),--ISNUMBER('Данные 2st'!$DP$2:$DP$317))</f>
        <v>3</v>
      </c>
      <c r="LE7">
        <f>SUMPRODUCT(--('Данные 2st'!$Q$2:$Q$317=$A7),--ISNUMBER('Данные 2st'!$DQ$2:$DQ$317))</f>
        <v>3</v>
      </c>
      <c r="LF7">
        <f>SUMPRODUCT(--('Данные 2st'!$Q$2:$Q$317=$A7),--ISNUMBER('Данные 2st'!$DS$2:$DS$317))</f>
        <v>3</v>
      </c>
      <c r="LG7">
        <f>SUMPRODUCT(--('Данные 2st'!$Q$2:$Q$317=$A7),--ISNUMBER('Данные 2st'!$DU$2:$DU$317))</f>
        <v>3</v>
      </c>
      <c r="LH7">
        <f>SUMPRODUCT(--('Данные 2st'!$Q$2:$Q$317=$A7),--ISNUMBER('Данные 2st'!$DV$2:$DV$317))</f>
        <v>3</v>
      </c>
      <c r="LI7">
        <f>SUMPRODUCT(--('Данные 2st'!$Q$2:$Q$317=$A7),--ISNUMBER('Данные 2st'!$DW$2:$DW$317))</f>
        <v>3</v>
      </c>
      <c r="LJ7">
        <f>SUMPRODUCT(--('Данные 2st'!$Q$2:$Q$317=$A7),--ISNUMBER('Данные 2st'!$DX$2:$DX$317))</f>
        <v>3</v>
      </c>
      <c r="LK7">
        <f>SUMPRODUCT(--('Данные 2st'!$Q$2:$Q$317=$A7),--ISNUMBER('Данные 2st'!$DY$2:$DY$317))</f>
        <v>3</v>
      </c>
      <c r="LL7">
        <f>SUMPRODUCT(--('Данные 2st'!$Q$2:$Q$317=$A7),--ISNUMBER('Данные 2st'!$EA$2:$EA$317))</f>
        <v>3</v>
      </c>
      <c r="LM7">
        <f>SUMPRODUCT(--('Данные 2st'!$Q$2:$Q$317=$A7),--ISNUMBER('Данные 2st'!$EC$2:$EC$317))</f>
        <v>3</v>
      </c>
      <c r="LN7">
        <f>SUMPRODUCT(--('Данные 2st'!$Q$2:$Q$317=$A7),--ISNUMBER('Данные 2st'!$ED$2:$ED$317))</f>
        <v>3</v>
      </c>
      <c r="LO7">
        <f>SUMPRODUCT(--('Данные 2st'!$Q$2:$Q$317=$A7),--ISNUMBER('Данные 2st'!$EE$2:$EE$317))</f>
        <v>3</v>
      </c>
      <c r="LP7">
        <f>SUMPRODUCT(--('Данные 2st'!$Q$2:$Q$317=$A7),--ISNUMBER('Данные 2st'!$EG$2:$EG$317))</f>
        <v>3</v>
      </c>
      <c r="LQ7">
        <f>SUMPRODUCT(--('Данные 2st'!$Q$2:$Q$317=$A7),--ISNUMBER('Данные 2st'!$EI$2:$EI$317))</f>
        <v>3</v>
      </c>
      <c r="LR7">
        <f>SUMPRODUCT(--('Данные 2st'!$Q$2:$Q$317=$A7),--ISNUMBER('Данные 2st'!$EJ$2:$EJ$317))</f>
        <v>3</v>
      </c>
      <c r="LS7">
        <f>SUMPRODUCT(--('Данные 2st'!$Q$2:$Q$317=$A7),--ISNUMBER('Данные 2st'!$EK$2:$EK$317))</f>
        <v>3</v>
      </c>
      <c r="LT7">
        <f>SUMPRODUCT(--('Данные 2st'!$Q$2:$Q$317=$A7),--ISNUMBER('Данные 2st'!$EM$2:$EM$317))</f>
        <v>3</v>
      </c>
      <c r="LU7">
        <f>SUMPRODUCT(--('Данные 2st'!$Q$2:$Q$317=$A7),--ISNUMBER('Данные 2st'!$EN$2:$EN$317))</f>
        <v>3</v>
      </c>
      <c r="LV7">
        <f>SUMPRODUCT(--('Данные 2st'!$Q$2:$Q$317=$A7),--ISNUMBER('Данные 2st'!$EO$2:$EO$317))</f>
        <v>3</v>
      </c>
      <c r="LW7">
        <f>SUMPRODUCT(--('Данные 2st'!$Q$2:$Q$317=$A7),--ISNUMBER('Данные 2st'!$EP$2:$EP$317))</f>
        <v>3</v>
      </c>
      <c r="LX7">
        <f>SUMPRODUCT(--('Данные 2st'!$Q$2:$Q$317=$A7),--ISNUMBER('Данные 2st'!$EQ$2:$EQ$317))</f>
        <v>3</v>
      </c>
      <c r="LY7">
        <f>SUMPRODUCT(--('Данные 2st'!$Q$2:$Q$317=$A7),--ISNUMBER('Данные 2st'!$ER$2:$ER$317))</f>
        <v>3</v>
      </c>
      <c r="LZ7">
        <f>SUMPRODUCT(--('Данные 2st'!$Q$2:$Q$317=$A7),--ISNUMBER('Данные 2st'!$ES$2:$ES$317))</f>
        <v>3</v>
      </c>
      <c r="MA7">
        <f>SUMPRODUCT(--('Данные 2st'!$Q$2:$Q$317=$A7),--ISNUMBER('Данные 2st'!$ET$2:$ET$317))</f>
        <v>3</v>
      </c>
      <c r="MB7">
        <f>SUMPRODUCT(--('Данные 2st'!$Q$2:$Q$317=$A7),--ISNUMBER('Данные 2st'!$EU$2:$EU$317))</f>
        <v>3</v>
      </c>
      <c r="MC7">
        <f>SUMPRODUCT(--('Данные 2st'!$Q$2:$Q$317=$A7),--ISNUMBER('Данные 2st'!$EV$2:$EV$317))</f>
        <v>3</v>
      </c>
      <c r="MD7">
        <f>SUMPRODUCT(--('Данные 2st'!$Q$2:$Q$317=$A7),--ISNUMBER('Данные 2st'!$EW$2:$EW$317))</f>
        <v>3</v>
      </c>
      <c r="ME7">
        <f>SUMPRODUCT(--('Данные 2st'!$Q$2:$Q$317=$A7),--ISNUMBER('Данные 2st'!$EY$2:$EY$317))</f>
        <v>3</v>
      </c>
      <c r="MF7">
        <f>SUMPRODUCT(--('Данные 2st'!$Q$2:$Q$317=$A7),--ISNUMBER('Данные 2st'!$FA$2:$FA$317))</f>
        <v>3</v>
      </c>
      <c r="MG7">
        <f>SUMPRODUCT(--('Данные 2st'!$Q$2:$Q$317=$A7),--ISNUMBER('Данные 2st'!$FB$2:$FB$317))</f>
        <v>3</v>
      </c>
      <c r="MH7">
        <f>SUMPRODUCT(--('Данные 2st'!$Q$2:$Q$317=$A7),--ISNUMBER('Данные 2st'!$FC$2:$FC$317))</f>
        <v>3</v>
      </c>
      <c r="MI7">
        <f>SUMPRODUCT(--('Данные 2st'!$Q$2:$Q$317=$A7),--ISNUMBER('Данные 2st'!$FD$2:$FD$317))</f>
        <v>3</v>
      </c>
      <c r="MJ7">
        <f>SUMPRODUCT(--('Данные 2st'!$Q$2:$Q$317=$A7),--ISNUMBER('Данные 2st'!$FE$2:$FE$317))</f>
        <v>3</v>
      </c>
      <c r="MK7">
        <f>SUMPRODUCT(--('Данные 2st'!$Q$2:$Q$317=$A7),--ISNUMBER('Данные 2st'!$FG$2:$FG$317))</f>
        <v>3</v>
      </c>
      <c r="ML7">
        <f>SUMPRODUCT(--('Данные 2st'!$Q$2:$Q$317=$A7),--ISNUMBER('Данные 2st'!$FI$2:$FI$317))</f>
        <v>3</v>
      </c>
      <c r="MM7">
        <f>SUMPRODUCT(--('Данные 2st'!$Q$2:$Q$317=$A7),--ISNUMBER('Данные 2st'!$FJ$2:$FJ$317))</f>
        <v>3</v>
      </c>
      <c r="MN7">
        <f>SUMPRODUCT(--('Данные 2st'!$Q$2:$Q$317=$A7),--ISNUMBER('Данные 2st'!$FK$2:$FK$317))</f>
        <v>3</v>
      </c>
      <c r="MO7">
        <f>SUMPRODUCT(--('Данные 2st'!$Q$2:$Q$317=$A7),--ISNUMBER('Данные 2st'!$FP$2:$FP$317))</f>
        <v>3</v>
      </c>
      <c r="MP7">
        <f>SUMPRODUCT(--('Данные 2st'!$Q$2:$Q$317=$A7),--ISNUMBER('Данные 2st'!$FQ$2:$FQ$317))</f>
        <v>3</v>
      </c>
      <c r="MQ7">
        <f>SUMPRODUCT(--('Данные 2st'!$Q$2:$Q$317=$A7),--ISNUMBER('Данные 2st'!$FS$2:$FS$317))</f>
        <v>3</v>
      </c>
      <c r="MR7">
        <f>SUMPRODUCT(--('Данные 2st'!$Q$2:$Q$317=$A7),--ISNUMBER('Данные 2st'!$FU$2:$FU$317))</f>
        <v>3</v>
      </c>
      <c r="MS7">
        <f>SUMPRODUCT(--('Данные 2st'!$Q$2:$Q$317=$A7),--ISNUMBER('Данные 2st'!$FV$2:$FV$317))</f>
        <v>3</v>
      </c>
      <c r="MT7">
        <f>SUMPRODUCT(--('Данные 2st'!$Q$2:$Q$317=$A7),--ISNUMBER('Данные 2st'!$FW$2:$FW$317))</f>
        <v>3</v>
      </c>
      <c r="MU7">
        <f>SUMPRODUCT(--('Данные 2st'!$Q$2:$Q$317=$A7),--ISNUMBER('Данные 2st'!$FY$2:$FY$317))</f>
        <v>2</v>
      </c>
      <c r="MV7">
        <f>SUMPRODUCT(--('Данные 2st'!$Q$2:$Q$317=$A7),--ISNUMBER('Данные 2st'!$GB$2:$GB$317))</f>
        <v>2</v>
      </c>
      <c r="MW7">
        <f>SUMPRODUCT(--('Данные 2st'!$Q$2:$Q$317=$A7),--ISNUMBER('Данные 2st'!$GC$2:$GC$317))</f>
        <v>2</v>
      </c>
      <c r="MX7">
        <f>SUMPRODUCT(--('Данные 2st'!$Q$2:$Q$317=$A7),--ISNUMBER('Данные 2st'!$GD$2:$GD$317))</f>
        <v>3</v>
      </c>
      <c r="MY7">
        <f>SUMPRODUCT(--('Данные 2st'!$Q$2:$Q$317=$A7),--ISNUMBER('Данные 2st'!$GN$2:$GN$317))</f>
        <v>0</v>
      </c>
      <c r="MZ7">
        <f>SUMPRODUCT(--('Данные 2st'!$Q$2:$Q$317=$A7),--ISNUMBER('Данные 2st'!$GQ$2:$GQ$317))</f>
        <v>3</v>
      </c>
      <c r="NA7">
        <f>SUMPRODUCT(--('Данные 2st'!$Q$2:$Q$317=$A7),--ISNUMBER('Данные 2st'!$GV$2:$GV$317))</f>
        <v>3</v>
      </c>
      <c r="NB7">
        <f>SUMPRODUCT(--('Данные 2st'!$Q$2:$Q$317=$A7),--ISNUMBER('Данные 2st'!$GW$2:$GW$317))</f>
        <v>3</v>
      </c>
      <c r="NC7">
        <f>SUMPRODUCT(--('Данные 2st'!$Q$2:$Q$317=$A7),--ISNUMBER('Данные 2st'!$GX$2:$GX$317))</f>
        <v>3</v>
      </c>
      <c r="ND7">
        <f>SUMPRODUCT(--('Данные 2st'!$Q$2:$Q$317=$A7),--ISNUMBER('Данные 2st'!$GY$2:$GY$317))</f>
        <v>3</v>
      </c>
      <c r="NE7">
        <f>SUMPRODUCT(--('Данные 2st'!$Q$2:$Q$317=$A7),--ISNUMBER('Данные 2st'!$GZ$2:$GZ$317))</f>
        <v>3</v>
      </c>
      <c r="NF7">
        <f>SUMPRODUCT(--('Данные 2st'!$Q$2:$Q$317=$A7),--ISNUMBER('Данные 2st'!$HA$2:$HA$317))</f>
        <v>3</v>
      </c>
      <c r="NG7">
        <f>SUMPRODUCT(--('Данные 2st'!$Q$2:$Q$317=$A7),--ISNUMBER('Данные 2st'!$HB$2:$HB$317))</f>
        <v>3</v>
      </c>
      <c r="NH7">
        <f>SUMPRODUCT(--('Данные 2st'!$Q$2:$Q$317=$A7),--ISNUMBER('Данные 2st'!$HC$2:$HC$317))</f>
        <v>3</v>
      </c>
      <c r="NI7">
        <f>SUMPRODUCT(--('Данные 2st'!$Q$2:$Q$317=$A7),--ISNUMBER('Данные 2st'!$HD$2:$HD$317))</f>
        <v>3</v>
      </c>
      <c r="NJ7">
        <f>SUMPRODUCT(--('Данные 2st'!$Q$2:$Q$317=$A7),--ISNUMBER('Данные 2st'!$HM$2:$HM$317))</f>
        <v>3</v>
      </c>
      <c r="NK7">
        <f>SUMPRODUCT(--('Данные 2st'!$Q$2:$Q$317=$A7),--ISNUMBER('Данные 2st'!$HR$2:$HR$317))</f>
        <v>3</v>
      </c>
      <c r="NL7">
        <f>SUMPRODUCT(--('Данные 2st'!$Q$2:$Q$317=$A7),--ISNUMBER('Данные 2st'!$HS$2:$HS$317))</f>
        <v>3</v>
      </c>
      <c r="NM7">
        <f>SUMPRODUCT(--('Данные 2st'!$Q$2:$Q$317=$A7),--ISNUMBER('Данные 2st'!$HT$2:$HT$317))</f>
        <v>3</v>
      </c>
      <c r="NN7">
        <f>SUMPRODUCT(--('Данные 2st'!$Q$2:$Q$317=$A7),--ISNUMBER('Данные 2st'!$HY$2:$HY$317))</f>
        <v>3</v>
      </c>
      <c r="NO7">
        <f>SUMPRODUCT(--('Данные 2st'!$Q$2:$Q$317=$A7),--ISNUMBER('Данные 2st'!$HZ$2:$HZ$317))</f>
        <v>3</v>
      </c>
      <c r="NP7">
        <f>SUMPRODUCT(--('Данные 2st'!$Q$2:$Q$317=$A7),--ISNUMBER('Данные 2st'!$IA$2:$IA$317))</f>
        <v>3</v>
      </c>
      <c r="NQ7">
        <f>SUMPRODUCT(--('Данные 2st'!$Q$2:$Q$317=$A7),--ISNUMBER('Данные 2st'!$IB$2:$IB$317))</f>
        <v>3</v>
      </c>
      <c r="NR7">
        <f>SUMPRODUCT(--('Данные 2st'!$Q$2:$Q$317=$A7),--ISNUMBER('Данные 2st'!$IC$2:$IC$317))</f>
        <v>0</v>
      </c>
      <c r="NS7">
        <f>SUMPRODUCT(--('Данные 2st'!$Q$2:$Q$317=$A7),--ISNUMBER('Данные 2st'!$ID$2:$ID$317))</f>
        <v>3</v>
      </c>
      <c r="NT7">
        <f>SUMPRODUCT(--('Данные 2st'!$Q$2:$Q$317=$A7),--ISNUMBER('Данные 2st'!$IE$2:$IE$317))</f>
        <v>3</v>
      </c>
      <c r="NU7">
        <f>SUMPRODUCT(--('Данные 2st'!$Q$2:$Q$317=$A7),--ISNUMBER('Данные 2st'!$IF$2:$IF$317))</f>
        <v>3</v>
      </c>
      <c r="NV7">
        <f>SUMPRODUCT(--('Данные 2st'!$Q$2:$Q$317=$A7),--ISNUMBER('Данные 2st'!$IG$2:$IG$317))</f>
        <v>3</v>
      </c>
      <c r="NW7">
        <f>SUMPRODUCT(--('Данные 2st'!$Q$2:$Q$317=$A7),--ISNUMBER('Данные 2st'!$IH$2:$IH$317))</f>
        <v>3</v>
      </c>
      <c r="NX7">
        <f>SUMPRODUCT(--('Данные 2st'!$Q$2:$Q$317=$A7),--ISNUMBER('Данные 2st'!$IJ$2:$IJ$317))</f>
        <v>3</v>
      </c>
      <c r="NY7">
        <f>SUMPRODUCT(--('Данные 2st'!$Q$2:$Q$317=$A7),--ISNUMBER('Данные 2st'!$IM$2:$IM$317))</f>
        <v>3</v>
      </c>
      <c r="NZ7">
        <f>SUMPRODUCT(--('Данные 2st'!$Q$2:$Q$317=$A7),--ISNUMBER('Данные 2st'!$IN$2:$IN$317))</f>
        <v>3</v>
      </c>
      <c r="OA7">
        <f>SUMPRODUCT(--('Данные 2st'!$Q$2:$Q$317=$A7),--ISNUMBER('Данные 2st'!$IO$2:$IO$317))</f>
        <v>3</v>
      </c>
      <c r="OB7">
        <f>SUMPRODUCT(--('Данные 2st'!$Q$2:$Q$317=$A7),--ISNUMBER('Данные 2st'!$IP$2:$IP$317))</f>
        <v>3</v>
      </c>
      <c r="OC7">
        <f>SUMPRODUCT(--('Данные 2st'!$Q$2:$Q$317=$A7),--ISNUMBER('Данные 2st'!$IQ$2:$IQ$317))</f>
        <v>3</v>
      </c>
      <c r="OD7">
        <f>SUMPRODUCT(--('Данные 2st'!$Q$2:$Q$317=$A7),--ISNUMBER('Данные 2st'!$IR$2:$IR$317))</f>
        <v>3</v>
      </c>
      <c r="OE7">
        <f>SUMPRODUCT(--('Данные 2st'!$Q$2:$Q$317=$A7),--ISNUMBER('Данные 2st'!$IT$2:$IT$317))</f>
        <v>3</v>
      </c>
      <c r="OF7">
        <f>SUMPRODUCT(--('Данные 2st'!$Q$2:$Q$317=$A7),--ISNUMBER('Данные 2st'!$IU$2:$IU$317))</f>
        <v>3</v>
      </c>
      <c r="OG7">
        <f>SUMPRODUCT(--('Данные 2st'!$Q$2:$Q$317=$A7),--ISNUMBER('Данные 2st'!$IV$2:$IV$317))</f>
        <v>3</v>
      </c>
      <c r="OH7">
        <f>SUMPRODUCT(--('Данные 2st'!$Q$2:$Q$317=$A7),--ISNUMBER('Данные 2st'!$IW$2:$IW$317))</f>
        <v>3</v>
      </c>
      <c r="OI7">
        <f>SUMPRODUCT(--('Данные 2st'!$Q$2:$Q$317=$A7),--ISNUMBER('Данные 2st'!$IX$2:$IX$317))</f>
        <v>3</v>
      </c>
      <c r="OJ7">
        <f>SUMPRODUCT(--('Данные 2st'!$Q$2:$Q$317=$A7),--ISNUMBER('Данные 2st'!$IY$2:$IY$317))</f>
        <v>3</v>
      </c>
      <c r="OK7">
        <f>SUMPRODUCT(--('Данные 2st'!$Q$2:$Q$317=$A7),--ISNUMBER('Данные 2st'!$IZ$2:$IZ$317))</f>
        <v>3</v>
      </c>
      <c r="OL7">
        <f>SUMPRODUCT(--('Данные 2st'!$Q$2:$Q$317=$A7),--ISNUMBER('Данные 2st'!$JA$2:$JA$317))</f>
        <v>3</v>
      </c>
      <c r="OM7">
        <f>SUMPRODUCT(--('Данные 2st'!$Q$2:$Q$317=$A7),--ISNUMBER('Данные 2st'!$JB$2:$JB$317))</f>
        <v>3</v>
      </c>
      <c r="ON7">
        <f>SUMPRODUCT(--('Данные 2st'!$Q$2:$Q$317=$A7),--ISNUMBER('Данные 2st'!$JC$2:$JC$317))</f>
        <v>3</v>
      </c>
      <c r="OO7">
        <f>SUMPRODUCT(--('Данные 2st'!$Q$2:$Q$317=$A7),--ISNUMBER('Данные 2st'!$JD$2:$JD$317))</f>
        <v>3</v>
      </c>
      <c r="OP7">
        <f>SUMPRODUCT(--('Данные 2st'!$Q$2:$Q$317=$A7),--ISNUMBER('Данные 2st'!$JE$2:$JE$317))</f>
        <v>3</v>
      </c>
      <c r="OQ7">
        <f>SUMPRODUCT(--('Данные 2st'!$Q$2:$Q$317=$A7),--ISNUMBER('Данные 2st'!$JF$2:$JF$317))</f>
        <v>3</v>
      </c>
      <c r="OR7">
        <f>SUMPRODUCT(--('Данные 2st'!$Q$2:$Q$317=$A7),--ISNUMBER('Данные 2st'!$JG$2:$JG$317))</f>
        <v>3</v>
      </c>
      <c r="OS7">
        <f>SUMPRODUCT(--('Данные 2st'!$Q$2:$Q$317=$A7),--ISNUMBER('Данные 2st'!$JH$2:$JH$317))</f>
        <v>3</v>
      </c>
      <c r="OT7">
        <f>SUMPRODUCT(--('Данные 2st'!$Q$2:$Q$317=$A7),--ISNUMBER('Данные 2st'!$JI$2:$JI$317))</f>
        <v>3</v>
      </c>
      <c r="OU7">
        <f>SUMPRODUCT(--('Данные 2st'!$Q$2:$Q$317=$A7),--ISNUMBER('Данные 2st'!$JJ$2:$JJ$317))</f>
        <v>3</v>
      </c>
      <c r="OV7">
        <f>SUMPRODUCT(--('Данные 2st'!$Q$2:$Q$317=$A7),--ISNUMBER('Данные 2st'!$JK$2:$JK$317))</f>
        <v>3</v>
      </c>
      <c r="OW7">
        <f>SUMPRODUCT(--('Данные 2st'!$Q$2:$Q$317=$A7),--ISNUMBER('Данные 2st'!$JL$2:$JL$317))</f>
        <v>3</v>
      </c>
      <c r="OX7">
        <f>SUMPRODUCT(--('Данные 2st'!$Q$2:$Q$317=$A7),--ISNUMBER('Данные 2st'!$JM$2:$JM$317))</f>
        <v>3</v>
      </c>
      <c r="OY7">
        <f>SUMPRODUCT(--('Данные 2st'!$Q$2:$Q$317=$A7),--ISNUMBER('Данные 2st'!$JP$2:$JP$317))</f>
        <v>3</v>
      </c>
      <c r="OZ7">
        <f>SUMPRODUCT(--('Данные 2st'!$Q$2:$Q$317=$A7),--ISNUMBER('Данные 2st'!$JQ$2:$JQ$317))</f>
        <v>3</v>
      </c>
      <c r="PA7">
        <f>SUMPRODUCT(--('Данные 2st'!$Q$2:$Q$317=$A7),--ISNUMBER('Данные 2st'!$JR$2:$JR$317))</f>
        <v>3</v>
      </c>
      <c r="PB7">
        <f>SUMPRODUCT(--('Данные 2st'!$Q$2:$Q$317=$A7),--ISNUMBER('Данные 2st'!$JS$2:$JS$317))</f>
        <v>3</v>
      </c>
      <c r="PC7">
        <f>SUMPRODUCT(--('Данные 2st'!$Q$2:$Q$317=$A7),--ISNUMBER('Данные 2st'!$JT$2:$JT$317))</f>
        <v>3</v>
      </c>
      <c r="PD7">
        <f>SUMPRODUCT(--('Данные 2st'!$Q$2:$Q$317=$A7),--ISNUMBER('Данные 2st'!$JU$2:$JU$317))</f>
        <v>3</v>
      </c>
      <c r="PE7">
        <f>SUMPRODUCT(--('Данные 2st'!$Q$2:$Q$317=$A7),--ISNUMBER('Данные 2st'!$JV$2:$JV$317))</f>
        <v>3</v>
      </c>
      <c r="PF7">
        <f>SUMPRODUCT(--('Данные 2st'!$Q$2:$Q$317=$A7),--ISNUMBER('Данные 2st'!$JW$2:$JW$317))</f>
        <v>3</v>
      </c>
      <c r="PG7">
        <f>SUMPRODUCT(--('Данные 2st'!$Q$2:$Q$317=$A7),--ISNUMBER('Данные 2st'!$KF$2:$KF$317))</f>
        <v>3</v>
      </c>
      <c r="PH7">
        <f>SUMPRODUCT(--('Данные 2st'!$Q$2:$Q$317=$A7),--ISNUMBER('Данные 2st'!$KG$2:$KG$317))</f>
        <v>3</v>
      </c>
      <c r="PI7">
        <f>SUMPRODUCT(--('Данные 2st'!$Q$2:$Q$317=$A7),--ISNUMBER('Данные 2st'!$KM$2:$KM$317))</f>
        <v>3</v>
      </c>
      <c r="PJ7">
        <f>SUMPRODUCT(--('Данные 2st'!$Q$2:$Q$317=$A7),--ISNUMBER('Данные 2st'!$KN$2:$KN$317))</f>
        <v>3</v>
      </c>
      <c r="PK7">
        <f>SUMPRODUCT(--('Данные 2st'!$Q$2:$Q$317=$A7),--ISNUMBER('Данные 2st'!$KO$2:$KO$317))</f>
        <v>3</v>
      </c>
      <c r="PL7">
        <f>SUMPRODUCT(--('Данные 2st'!$Q$2:$Q$317=$A7),--ISNUMBER('Данные 2st'!$KP$2:$KP$317))</f>
        <v>3</v>
      </c>
      <c r="PM7">
        <f>SUMPRODUCT(--('Данные 2st'!$Q$2:$Q$317=$A7),--ISNUMBER('Данные 2st'!$KQ$2:$KQ$317))</f>
        <v>3</v>
      </c>
      <c r="PN7">
        <f>SUMPRODUCT(--('Данные 2st'!$Q$2:$Q$317=$A7),--ISNUMBER('Данные 2st'!$KR$2:$KR$317))</f>
        <v>3</v>
      </c>
      <c r="PO7">
        <f>SUMPRODUCT(--('Данные 2st'!$Q$2:$Q$317=$A7),--ISNUMBER('Данные 2st'!$KS$2:$KS$317))</f>
        <v>3</v>
      </c>
      <c r="PP7">
        <f>SUMPRODUCT(--('Данные 2st'!$Q$2:$Q$317=$A7),--ISNUMBER('Данные 2st'!$KT$2:$KT$317))</f>
        <v>3</v>
      </c>
      <c r="PQ7">
        <f>SUMPRODUCT(--('Данные 2st'!$Q$2:$Q$317=$A7),--ISNUMBER('Данные 2st'!$KU$2:$KU$317))</f>
        <v>3</v>
      </c>
      <c r="PR7">
        <f>SUMPRODUCT(--('Данные 2st'!$Q$2:$Q$317=$A7),--ISNUMBER('Данные 2st'!$KV$2:$KV$317))</f>
        <v>3</v>
      </c>
      <c r="PS7">
        <f>SUMPRODUCT(--('Данные 2st'!$Q$2:$Q$317=$A7),--ISNUMBER('Данные 2st'!$KW$2:$KW$317))</f>
        <v>3</v>
      </c>
      <c r="PT7">
        <f>SUMPRODUCT(--('Данные 2st'!$Q$2:$Q$317=$A7),--ISNUMBER('Данные 2st'!$KX$2:$KX$317))</f>
        <v>3</v>
      </c>
      <c r="PU7">
        <f>SUMPRODUCT(--('Данные 2st'!$Q$2:$Q$317=$A7),--ISNUMBER('Данные 2st'!$KY$2:$KY$317))</f>
        <v>3</v>
      </c>
      <c r="PV7">
        <f>SUMPRODUCT(--('Данные 2st'!$Q$2:$Q$317=$A7),--ISNUMBER('Данные 2st'!$KZ$2:$KZ$317))</f>
        <v>3</v>
      </c>
      <c r="PW7">
        <f>SUMPRODUCT(--('Данные 2st'!$Q$2:$Q$317=$A7),--ISNUMBER('Данные 2st'!$LA$2:$LA$317))</f>
        <v>3</v>
      </c>
      <c r="PX7">
        <f>SUMPRODUCT(--('Данные 2st'!$Q$2:$Q$317=$A7),--ISNUMBER('Данные 2st'!$LB$2:$LB$317))</f>
        <v>3</v>
      </c>
      <c r="PY7">
        <f>SUMPRODUCT(--('Данные 2st'!$Q$2:$Q$317=$A7),--ISNUMBER('Данные 2st'!$LC$2:$LC$317))</f>
        <v>3</v>
      </c>
      <c r="PZ7">
        <f>SUMPRODUCT(--('Данные 2st'!$Q$2:$Q$317=$A7),--ISNUMBER('Данные 2st'!$LD$2:$LD$317))</f>
        <v>3</v>
      </c>
      <c r="QA7">
        <f>SUMPRODUCT(--('Данные 2st'!$Q$2:$Q$317=$A7),--ISNUMBER('Данные 2st'!$LE$2:$LE$317))</f>
        <v>3</v>
      </c>
      <c r="QB7">
        <f>SUMPRODUCT(--('Данные 2st'!$Q$2:$Q$317=$A7),--ISNUMBER('Данные 2st'!$LF$2:$LF$317))</f>
        <v>3</v>
      </c>
      <c r="QC7">
        <f>SUMPRODUCT(--('Данные 2st'!$Q$2:$Q$317=$A7),--ISNUMBER('Данные 2st'!$LG$2:$LG$317))</f>
        <v>3</v>
      </c>
      <c r="QD7">
        <f>SUMPRODUCT(--('Данные 2st'!$Q$2:$Q$317=$A7),--ISNUMBER('Данные 2st'!$LH$2:$LH$317))</f>
        <v>3</v>
      </c>
      <c r="QE7">
        <f>SUMPRODUCT(--('Данные 2st'!$Q$2:$Q$317=$A7),--ISNUMBER('Данные 2st'!$LJ$2:$LJ$317))</f>
        <v>3</v>
      </c>
      <c r="QF7">
        <f>SUMPRODUCT(--('Данные 2st'!$Q$2:$Q$317=$A7),--ISNUMBER('Данные 2st'!$LK$2:$LK$317))</f>
        <v>3</v>
      </c>
      <c r="QG7">
        <f>SUMPRODUCT(--('Данные 2st'!$Q$2:$Q$317=$A7),--ISNUMBER('Данные 2st'!$LL$2:$LL$317))</f>
        <v>3</v>
      </c>
      <c r="QH7">
        <f>SUMPRODUCT(--('Данные 2st'!$Q$2:$Q$317=$A7),--ISNUMBER('Данные 2st'!$LM$2:$LM$317))</f>
        <v>3</v>
      </c>
      <c r="QI7">
        <f>SUMPRODUCT(--('Данные 2st'!$Q$2:$Q$317=$A7),--ISNUMBER('Данные 2st'!$LN$2:$LN$317))</f>
        <v>3</v>
      </c>
      <c r="QJ7">
        <f>SUMPRODUCT(--('Данные 2st'!$Q$2:$Q$317=$A7),--ISNUMBER('Данные 2st'!$LO$2:$LO$317))</f>
        <v>3</v>
      </c>
      <c r="QK7">
        <f>SUMPRODUCT(--('Данные 2st'!$Q$2:$Q$317=$A7),--ISNUMBER('Данные 2st'!$LP$2:$LP$317))</f>
        <v>3</v>
      </c>
      <c r="QL7">
        <f>SUMPRODUCT(--('Данные 2st'!$Q$2:$Q$317=$A7),--ISNUMBER('Данные 2st'!$LQ$2:$LQ$317))</f>
        <v>3</v>
      </c>
      <c r="QM7">
        <f>SUMPRODUCT(--('Данные 2st'!$Q$2:$Q$317=$A7),--ISNUMBER('Данные 2st'!$LW$2:$LW$317))</f>
        <v>3</v>
      </c>
      <c r="QN7">
        <f>SUMPRODUCT(--('Данные 2st'!$Q$2:$Q$317=$A7),--ISNUMBER('Данные 2st'!$LX$2:$LX$317))</f>
        <v>3</v>
      </c>
      <c r="QO7">
        <f>SUMPRODUCT(--('Данные 2st'!$Q$2:$Q$317=$A7),--ISNUMBER('Данные 2st'!$LY$2:$LY$317))</f>
        <v>3</v>
      </c>
      <c r="QP7">
        <f>SUMPRODUCT(--('Данные 2st'!$Q$2:$Q$317=$A7),--ISNUMBER('Данные 2st'!$LZ$2:$LZ$317))</f>
        <v>3</v>
      </c>
      <c r="QQ7">
        <f>SUMPRODUCT(--('Данные 2st'!$Q$2:$Q$317=$A7),--ISNUMBER('Данные 2st'!$MB$2:$MB$317))</f>
        <v>3</v>
      </c>
      <c r="QR7">
        <f>SUMPRODUCT(--('Данные 2st'!$Q$2:$Q$317=$A7),--ISNUMBER('Данные 2st'!$MG$2:$MG$317))</f>
        <v>1</v>
      </c>
      <c r="QS7">
        <f>SUMPRODUCT(--('Данные 2st'!$Q$2:$Q$317=$A7),--ISNUMBER('Данные 2st'!$MH$2:$MH$317))</f>
        <v>1</v>
      </c>
      <c r="QT7">
        <f>SUMPRODUCT(--('Данные 2st'!$Q$2:$Q$317=$A7),--ISNUMBER('Данные 2st'!$MI$2:$MI$317))</f>
        <v>3</v>
      </c>
      <c r="QU7">
        <f>SUMPRODUCT(--('Данные 2st'!$Q$2:$Q$317=$A7),--ISNUMBER('Данные 2st'!$MJ$2:$MJ$317))</f>
        <v>3</v>
      </c>
      <c r="QV7">
        <f>SUMPRODUCT(--('Данные 2st'!$Q$2:$Q$317=$A7),--ISNUMBER('Данные 2st'!$MK$2:$MK$317))</f>
        <v>1</v>
      </c>
      <c r="QW7">
        <f>SUMPRODUCT(--('Данные 2st'!$Q$2:$Q$317=$A7),--ISNUMBER('Данные 2st'!$MM$2:$MM$317))</f>
        <v>3</v>
      </c>
      <c r="QX7">
        <f>SUMPRODUCT(--('Данные 2st'!$Q$2:$Q$317=$A7),--ISNUMBER('Данные 2st'!$MQ$2:$MQ$317))</f>
        <v>0</v>
      </c>
      <c r="QY7">
        <f>SUMPRODUCT(--('Данные 2st'!$Q$2:$Q$317=$A7),--ISNUMBER('Данные 2st'!$MR$2:$MR$317))</f>
        <v>0</v>
      </c>
      <c r="QZ7">
        <f>SUMPRODUCT(--('Данные 2st'!$Q$2:$Q$317=$A7),--ISNUMBER('Данные 2st'!$MS$2:$MS$317))</f>
        <v>0</v>
      </c>
      <c r="RA7">
        <f>SUMPRODUCT(--('Данные 2st'!$Q$2:$Q$317=$A7),--ISNUMBER('Данные 2st'!$MT$2:$MT$317))</f>
        <v>0</v>
      </c>
      <c r="RB7">
        <f>SUMPRODUCT(--('Данные 2st'!$Q$2:$Q$317=$A7),--ISNUMBER('Данные 2st'!$MU$2:$MU$317))</f>
        <v>0</v>
      </c>
      <c r="RC7">
        <f>SUMPRODUCT(--('Данные 2st'!$Q$2:$Q$317=$A7),--ISNUMBER('Данные 2st'!$MV$2:$MV$317))</f>
        <v>0</v>
      </c>
      <c r="RD7">
        <f>SUMPRODUCT(--('Данные 2st'!$Q$2:$Q$317=$A7),--ISNUMBER('Данные 2st'!$MW$2:$MW$317))</f>
        <v>0</v>
      </c>
      <c r="RE7">
        <f>SUMPRODUCT(--('Данные 2st'!$Q$2:$Q$317=$A7),--ISNUMBER('Данные 2st'!$MX$2:$MX$317))</f>
        <v>0</v>
      </c>
      <c r="RF7">
        <f>SUMPRODUCT(--('Данные 2st'!$Q$2:$Q$317=$A7),--ISNUMBER('Данные 2st'!$MY$2:$MY$317))</f>
        <v>0</v>
      </c>
      <c r="RG7">
        <f>SUMPRODUCT(--('Данные 2st'!$Q$2:$Q$317=$A7),--ISNUMBER('Данные 2st'!$MZ$2:$MZ$317))</f>
        <v>0</v>
      </c>
      <c r="RH7">
        <f>SUMPRODUCT(--('Данные 2st'!$Q$2:$Q$317=$A7),--ISNUMBER('Данные 2st'!$NA$2:$NA$317))</f>
        <v>0</v>
      </c>
      <c r="RI7">
        <f>SUMPRODUCT(--('Данные 2st'!$Q$2:$Q$317=$A7),--ISNUMBER('Данные 2st'!$NB$2:$NB$317))</f>
        <v>0</v>
      </c>
      <c r="RJ7">
        <f>SUMPRODUCT(--('Данные 2st'!$Q$2:$Q$317=$A7),--ISNUMBER('Данные 2st'!$NC$2:$NC$317))</f>
        <v>0</v>
      </c>
      <c r="RK7">
        <f>SUMPRODUCT(--('Данные 2st'!$Q$2:$Q$317=$A7),--ISNUMBER('Данные 2st'!$ND$2:$ND$317))</f>
        <v>0</v>
      </c>
      <c r="RL7">
        <f>SUMPRODUCT(--('Данные 2st'!$Q$2:$Q$317=$A7),--ISNUMBER('Данные 2st'!$NE$2:$NE$317))</f>
        <v>0</v>
      </c>
      <c r="RM7">
        <f>SUMPRODUCT(--('Данные 2st'!$Q$2:$Q$317=$A7),--ISNUMBER('Данные 2st'!$NF$2:$NF$317))</f>
        <v>0</v>
      </c>
      <c r="RN7">
        <f>SUMPRODUCT(--('Данные 2st'!$Q$2:$Q$317=$A7),--ISNUMBER('Данные 2st'!$NG$2:$NG$317))</f>
        <v>0</v>
      </c>
      <c r="RO7">
        <f>SUMPRODUCT(--('Данные 2st'!$Q$2:$Q$317=$A7),--ISNUMBER('Данные 2st'!$NH$2:$NH$317))</f>
        <v>0</v>
      </c>
      <c r="RP7">
        <f>SUMPRODUCT(--('Данные 2st'!$Q$2:$Q$317=$A7),--ISNUMBER('Данные 2st'!$NJ$2:$NJ$317))</f>
        <v>0</v>
      </c>
      <c r="RQ7">
        <f>SUMPRODUCT(--('Данные 2st'!$Q$2:$Q$317=$A7),--ISNUMBER('Данные 2st'!$NK$2:$NK$317))</f>
        <v>0</v>
      </c>
      <c r="RR7">
        <f>SUMPRODUCT(--('Данные 2st'!$Q$2:$Q$317=$A7),--ISNUMBER('Данные 2st'!$NM$2:$NM$317))</f>
        <v>0</v>
      </c>
      <c r="RS7">
        <f>SUMPRODUCT(--('Данные 2st'!$Q$2:$Q$317=$A7),--ISNUMBER('Данные 2st'!$NN$2:$NN$317))</f>
        <v>0</v>
      </c>
      <c r="RT7">
        <f>SUMPRODUCT(--('Данные 2st'!$Q$2:$Q$317=$A7),--ISNUMBER('Данные 2st'!$NO$2:$NO$317))</f>
        <v>0</v>
      </c>
      <c r="RU7">
        <f>SUMPRODUCT(--('Данные 2st'!$Q$2:$Q$317=$A7),--ISNUMBER('Данные 2st'!$NP$2:$NP$317))</f>
        <v>0</v>
      </c>
      <c r="RV7">
        <f>SUMPRODUCT(--('Данные 2st'!$Q$2:$Q$317=$A7),--ISNUMBER('Данные 2st'!$NQ$2:$NQ$317))</f>
        <v>0</v>
      </c>
      <c r="RW7">
        <f>SUMPRODUCT(--('Данные 2st'!$Q$2:$Q$317=$A7),--ISNUMBER('Данные 2st'!$NR$2:$NR$317))</f>
        <v>0</v>
      </c>
      <c r="RX7">
        <f>SUMPRODUCT(--('Данные 2st'!$Q$2:$Q$317=$A7),--ISNUMBER('Данные 2st'!$NS$2:$NS$317))</f>
        <v>0</v>
      </c>
      <c r="RY7">
        <f>SUMPRODUCT(--('Данные 2st'!$Q$2:$Q$317=$A7),--ISNUMBER('Данные 2st'!$NT$2:$NT$317))</f>
        <v>0</v>
      </c>
      <c r="RZ7">
        <f>SUMPRODUCT(--('Данные 2st'!$Q$2:$Q$317=$A7),--ISNUMBER('Данные 2st'!$OK$2:$OK$317))</f>
        <v>3</v>
      </c>
      <c r="SA7">
        <f>SUMPRODUCT(--('Данные 2st'!$Q$2:$Q$317=$A7),--ISNUMBER('Данные 2st'!$OL$2:$OL$317))</f>
        <v>3</v>
      </c>
      <c r="SB7">
        <f>SUMPRODUCT(--('Данные 2st'!$Q$2:$Q$317=$A7),--ISNUMBER('Данные 2st'!$ON$2:$ON$317))</f>
        <v>3</v>
      </c>
      <c r="SC7">
        <f>SUMPRODUCT(--('Данные 2st'!$Q$2:$Q$317=$A7),--ISNUMBER('Данные 2st'!$OO$2:$OO$317))</f>
        <v>3</v>
      </c>
      <c r="SD7">
        <f>SUMPRODUCT(--('Данные 2st'!$Q$2:$Q$317=$A7),--ISNUMBER('Данные 2st'!$OP$2:$OP$317))</f>
        <v>3</v>
      </c>
      <c r="SE7">
        <f>SUMPRODUCT(--('Данные 2st'!$Q$2:$Q$317=$A7),--ISNUMBER('Данные 2st'!$OQ$2:$OQ$317))</f>
        <v>3</v>
      </c>
      <c r="SF7">
        <f>SUMPRODUCT(--('Данные 2st'!$Q$2:$Q$317=$A7),--ISNUMBER('Данные 2st'!$OS$2:$OS$317))</f>
        <v>3</v>
      </c>
      <c r="SG7">
        <f>SUMPRODUCT(--('Данные 2st'!$Q$2:$Q$317=$A7),--ISNUMBER('Данные 2st'!$OT$2:$OT$317))</f>
        <v>3</v>
      </c>
      <c r="SH7">
        <f>SUMPRODUCT(--('Данные 2st'!$Q$2:$Q$317=$A7),--ISNUMBER('Данные 2st'!$OU$2:$OU$317))</f>
        <v>3</v>
      </c>
      <c r="SI7">
        <f>SUMPRODUCT(--('Данные 2st'!$Q$2:$Q$317=$A7),--ISNUMBER('Данные 2st'!$OV$2:$OV$317))</f>
        <v>3</v>
      </c>
      <c r="SJ7">
        <f>SUMPRODUCT(--('Данные 2st'!$Q$2:$Q$317=$A7),--ISNUMBER('Данные 2st'!$OX$2:$OX$317))</f>
        <v>3</v>
      </c>
      <c r="SK7">
        <f>SUMPRODUCT(--('Данные 2st'!$Q$2:$Q$317=$A7),--ISNUMBER('Данные 2st'!$OY$2:$OY$317))</f>
        <v>3</v>
      </c>
      <c r="SL7">
        <f>SUMPRODUCT(--('Данные 2st'!$Q$2:$Q$317=$A7),--ISNUMBER('Данные 2st'!$OZ$2:$OZ$317))</f>
        <v>3</v>
      </c>
      <c r="SM7">
        <f>SUMPRODUCT(--('Данные 2st'!$Q$2:$Q$317=$A7),--ISNUMBER('Данные 2st'!$PA$2:$PA$317))</f>
        <v>3</v>
      </c>
      <c r="SN7">
        <f>SUMPRODUCT(--('Данные 2st'!$Q$2:$Q$317=$A7),--ISNUMBER('Данные 2st'!$PC$2:$PC$317))</f>
        <v>3</v>
      </c>
      <c r="SO7">
        <f>SUMPRODUCT(--('Данные 2st'!$Q$2:$Q$317=$A7),--ISNUMBER('Данные 2st'!$PD$2:$PD$317))</f>
        <v>3</v>
      </c>
      <c r="SP7">
        <f>SUMPRODUCT(--('Данные 2st'!$Q$2:$Q$317=$A7),--ISNUMBER('Данные 2st'!$PF$2:$PF$317))</f>
        <v>3</v>
      </c>
      <c r="SQ7">
        <f>SUMPRODUCT(--('Данные 2st'!$Q$2:$Q$317=$A7),--ISNUMBER('Данные 2st'!$PG$2:$PG$317))</f>
        <v>3</v>
      </c>
      <c r="SR7">
        <f>SUMPRODUCT(--('Данные 2st'!$Q$2:$Q$317=$A7),--ISNUMBER('Данные 2st'!$PH$2:$PH$317))</f>
        <v>3</v>
      </c>
      <c r="SS7">
        <f>SUMPRODUCT(--('Данные 2st'!$Q$2:$Q$317=$A7),--ISNUMBER('Данные 2st'!$PI$2:$PI$317))</f>
        <v>3</v>
      </c>
      <c r="ST7">
        <f>SUMPRODUCT(--('Данные 2st'!$Q$2:$Q$317=$A7),--ISNUMBER('Данные 2st'!$PJ$2:$PJ$317))</f>
        <v>3</v>
      </c>
      <c r="SU7">
        <f>SUMPRODUCT(--('Данные 2st'!$Q$2:$Q$317=$A7),--ISNUMBER('Данные 2st'!$PK$2:$PK$317))</f>
        <v>3</v>
      </c>
      <c r="SV7">
        <f>SUMPRODUCT(--('Данные 2st'!$Q$2:$Q$317=$A7),--ISNUMBER('Данные 2st'!$PL$2:$PL$317))</f>
        <v>3</v>
      </c>
      <c r="SW7">
        <f>SUMPRODUCT(--('Данные 2st'!$Q$2:$Q$317=$A7),--ISNUMBER('Данные 2st'!$PM$2:$PM$317))</f>
        <v>3</v>
      </c>
      <c r="SX7">
        <f>SUMPRODUCT(--('Данные 2st'!$Q$2:$Q$317=$A7),--ISNUMBER('Данные 2st'!$PN$2:$PN$317))</f>
        <v>3</v>
      </c>
      <c r="SY7">
        <f>SUMPRODUCT(--('Данные 2st'!$Q$2:$Q$317=$A7),--ISNUMBER('Данные 2st'!$PO$2:$PO$317))</f>
        <v>2</v>
      </c>
      <c r="SZ7">
        <f>SUMPRODUCT(--('Данные 2st'!$Q$2:$Q$317=$A7),--ISNUMBER('Данные 2st'!$PP$2:$PP$317))</f>
        <v>3</v>
      </c>
      <c r="TA7">
        <f>SUMPRODUCT(--('Данные 2st'!$Q$2:$Q$317=$A7),--ISNUMBER('Данные 2st'!$PQ$2:$PQ$317))</f>
        <v>3</v>
      </c>
      <c r="TB7">
        <f>SUMPRODUCT(--('Данные 2st'!$Q$2:$Q$317=$A7),--ISNUMBER('Данные 2st'!$PR$2:$PR$317))</f>
        <v>3</v>
      </c>
      <c r="TC7">
        <f>SUMPRODUCT(--('Данные 2st'!$Q$2:$Q$317=$A7),--ISNUMBER('Данные 2st'!$PS$2:$PS$317))</f>
        <v>3</v>
      </c>
      <c r="TD7">
        <f>SUMPRODUCT(--('Данные 2st'!$Q$2:$Q$317=$A7),--ISNUMBER('Данные 2st'!$PT$2:$PT$317))</f>
        <v>3</v>
      </c>
      <c r="TE7">
        <f>SUMPRODUCT(--('Данные 2st'!$Q$2:$Q$317=$A7),--ISNUMBER('Данные 2st'!$PU$2:$PU$317))</f>
        <v>3</v>
      </c>
      <c r="TF7">
        <f>SUMPRODUCT(--('Данные 2st'!$Q$2:$Q$317=$A7),--ISNUMBER('Данные 2st'!$PX$2:$PX$317))</f>
        <v>3</v>
      </c>
      <c r="TG7">
        <f>SUMPRODUCT(--('Данные 2st'!$Q$2:$Q$317=$A7),--ISNUMBER('Данные 2st'!$PY$2:$PY$317))</f>
        <v>3</v>
      </c>
      <c r="TH7">
        <f>SUMPRODUCT(--('Данные 2st'!$Q$2:$Q$317=$A7),--ISNUMBER('Данные 2st'!$PZ$2:$PZ$317))</f>
        <v>3</v>
      </c>
      <c r="TI7">
        <f>SUMPRODUCT(--('Данные 2st'!$Q$2:$Q$317=$A7),--ISNUMBER('Данные 2st'!$QA$2:$QA$317))</f>
        <v>3</v>
      </c>
      <c r="TJ7">
        <f>SUMPRODUCT(--('Данные 2st'!$Q$2:$Q$317=$A7),--ISNUMBER('Данные 2st'!$QB$2:$QB$317))</f>
        <v>3</v>
      </c>
      <c r="TK7">
        <f>SUMPRODUCT(--('Данные 2st'!$Q$2:$Q$317=$A7),--ISNUMBER('Данные 2st'!$QC$2:$QC$317))</f>
        <v>3</v>
      </c>
      <c r="TL7">
        <f>SUMPRODUCT(--('Данные 2st'!$Q$2:$Q$317=$A7),--ISNUMBER('Данные 2st'!$QD$2:$QD$317))</f>
        <v>3</v>
      </c>
      <c r="TM7">
        <f>SUMPRODUCT(--('Данные 2st'!$Q$2:$Q$317=$A7),--ISNUMBER('Данные 2st'!$QE$2:$QE$317))</f>
        <v>3</v>
      </c>
      <c r="TN7">
        <f>SUMPRODUCT(--('Данные 2st'!$Q$2:$Q$317=$A7),--ISNUMBER('Данные 2st'!$QF$2:$QF$317))</f>
        <v>3</v>
      </c>
      <c r="TO7">
        <f>SUMPRODUCT(--('Данные 2st'!$Q$2:$Q$317=$A7),--ISNUMBER('Данные 2st'!$QG$2:$QG$317))</f>
        <v>3</v>
      </c>
      <c r="TP7">
        <f>SUMPRODUCT(--('Данные 2st'!$Q$2:$Q$317=$A7),--ISNUMBER('Данные 2st'!$QH$2:$QH$317))</f>
        <v>3</v>
      </c>
      <c r="TQ7">
        <f>SUMPRODUCT(--('Данные 2st'!$Q$2:$Q$317=$A7),--ISNUMBER('Данные 2st'!$QI$2:$QI$317))</f>
        <v>3</v>
      </c>
      <c r="TR7">
        <f>SUMPRODUCT(--('Данные 2st'!$Q$2:$Q$317=$A7),--ISNUMBER('Данные 2st'!$QJ$2:$QJ$317))</f>
        <v>3</v>
      </c>
      <c r="TS7">
        <f>SUMPRODUCT(--('Данные 2st'!$Q$2:$Q$317=$A7),--ISNUMBER('Данные 2st'!$QK$2:$QK$317))</f>
        <v>3</v>
      </c>
      <c r="TT7">
        <f>SUMPRODUCT(--('Данные 2st'!$Q$2:$Q$317=$A7),--ISNUMBER('Данные 2st'!$QL$2:$QL$317))</f>
        <v>3</v>
      </c>
      <c r="TU7">
        <f>SUMPRODUCT(--('Данные 2st'!$Q$2:$Q$317=$A7),--ISNUMBER('Данные 2st'!$QM$2:$QM$317))</f>
        <v>3</v>
      </c>
      <c r="TV7">
        <f>SUMPRODUCT(--('Данные 2st'!$Q$2:$Q$317=$A7),--ISNUMBER('Данные 2st'!$QN$2:$QN$317))</f>
        <v>3</v>
      </c>
      <c r="TW7">
        <f>SUMPRODUCT(--('Данные 2st'!$Q$2:$Q$317=$A7),--ISNUMBER('Данные 2st'!$QQ$2:$QQ$317))</f>
        <v>3</v>
      </c>
      <c r="TX7">
        <f>SUMPRODUCT(--('Данные 2st'!$Q$2:$Q$317=$A7),--ISNUMBER('Данные 2st'!$QS$2:$QS$317))</f>
        <v>3</v>
      </c>
      <c r="TY7">
        <f>SUMPRODUCT(--('Данные 2st'!$Q$2:$Q$317=$A7),--ISNUMBER('Данные 2st'!$QT$2:$QT$317))</f>
        <v>3</v>
      </c>
    </row>
    <row r="8" spans="1:545" ht="32" customHeight="1">
      <c r="A8" s="11" t="str">
        <f>'По размерам'!A8</f>
        <v>185/65R15</v>
      </c>
      <c r="G8">
        <f>SUMPRODUCT(--('Данные 1st'!$S$2:$S$317=$A8),--ISNUMBER('Данные 1st'!$AE$2:$AE$317))</f>
        <v>7</v>
      </c>
      <c r="H8">
        <f>SUMPRODUCT(--('Данные 1st'!$S$2:$S$317=$A8),--ISNUMBER('Данные 1st'!$AF$2:$AF$317))</f>
        <v>7</v>
      </c>
      <c r="I8">
        <f>SUMPRODUCT(--('Данные 1st'!$S$2:$S$317=$A8),--ISNUMBER('Данные 1st'!$AJ$2:$AJ$317))</f>
        <v>7</v>
      </c>
      <c r="J8">
        <f>SUMPRODUCT(--('Данные 1st'!$S$2:$S$317=$A8),--ISNUMBER('Данные 1st'!$AL$2:$AL$317))</f>
        <v>7</v>
      </c>
      <c r="K8">
        <f>SUMPRODUCT(--('Данные 1st'!$S$2:$S$317=$A8),--ISNUMBER('Данные 1st'!$AR$2:$AR$317))</f>
        <v>7</v>
      </c>
      <c r="L8">
        <f>SUMPRODUCT(--('Данные 1st'!$S$2:$S$317=$A8),--ISNUMBER('Данные 1st'!$AS$2:$AS$317))</f>
        <v>7</v>
      </c>
      <c r="M8">
        <f>SUMPRODUCT(--('Данные 1st'!$S$2:$S$317=$A8),--ISNUMBER('Данные 1st'!$AY$2:$AY$317))</f>
        <v>7</v>
      </c>
      <c r="N8">
        <f>SUMPRODUCT(--('Данные 1st'!$S$2:$S$317=$A8),--ISNUMBER('Данные 1st'!$AZ$2:$AZ$317))</f>
        <v>7</v>
      </c>
      <c r="O8">
        <f>SUMPRODUCT(--('Данные 1st'!$S$2:$S$317=$A8),--ISNUMBER('Данные 1st'!$BF$2:$BF$317))</f>
        <v>0</v>
      </c>
      <c r="P8">
        <f>SUMPRODUCT(--('Данные 1st'!$S$2:$S$317=$A8),--ISNUMBER('Данные 1st'!$BG$2:$BG$317))</f>
        <v>7</v>
      </c>
      <c r="Q8">
        <f>SUMPRODUCT(--('Данные 1st'!$S$2:$S$317=$A8),--ISNUMBER('Данные 1st'!$BM$2:$BM$317))</f>
        <v>0</v>
      </c>
      <c r="R8">
        <f>SUMPRODUCT(--('Данные 1st'!$S$2:$S$317=$A8),--ISNUMBER('Данные 1st'!$BN$2:$BN$317))</f>
        <v>7</v>
      </c>
      <c r="S8">
        <f>SUMPRODUCT(--('Данные 1st'!$S$2:$S$317=$A8),--ISNUMBER('Данные 1st'!$BT$2:$BT$317))</f>
        <v>7</v>
      </c>
      <c r="T8">
        <f>SUMPRODUCT(--('Данные 1st'!$S$2:$S$317=$A8),--ISNUMBER('Данные 1st'!$BU$2:$BU$317))</f>
        <v>7</v>
      </c>
      <c r="U8">
        <f>SUMPRODUCT(--('Данные 1st'!$S$2:$S$317=$A8),--ISNUMBER('Данные 1st'!$BW$2:$BW$317))</f>
        <v>7</v>
      </c>
      <c r="V8">
        <f>SUMPRODUCT(--('Данные 1st'!$S$2:$S$317=$A8),--ISNUMBER('Данные 1st'!$BX$2:$BX$317))</f>
        <v>7</v>
      </c>
      <c r="W8">
        <f>SUMPRODUCT(--('Данные 1st'!$S$2:$S$317=$A8),--ISNUMBER('Данные 1st'!$BZ$2:$BZ$317))</f>
        <v>7</v>
      </c>
      <c r="X8">
        <f>SUMPRODUCT(--('Данные 1st'!$S$2:$S$317=$A8),--ISNUMBER('Данные 1st'!$CA$2:$CA$317))</f>
        <v>7</v>
      </c>
      <c r="Y8">
        <f>SUMPRODUCT(--('Данные 1st'!$S$2:$S$317=$A8),--ISNUMBER('Данные 1st'!$CD$2:$CD$317))</f>
        <v>7</v>
      </c>
      <c r="Z8">
        <f>SUMPRODUCT(--('Данные 1st'!$S$2:$S$317=$A8),--ISNUMBER('Данные 1st'!$CF$2:$CF$317))</f>
        <v>7</v>
      </c>
      <c r="AA8">
        <f>SUMPRODUCT(--('Данные 1st'!$S$2:$S$317=$A8),--ISNUMBER('Данные 1st'!$CI$2:$CI$317))</f>
        <v>7</v>
      </c>
      <c r="AB8">
        <f>SUMPRODUCT(--('Данные 1st'!$S$2:$S$317=$A8),--ISNUMBER('Данные 1st'!$CJ$2:$CJ$317))</f>
        <v>7</v>
      </c>
      <c r="AC8">
        <f>SUMPRODUCT(--('Данные 1st'!$S$2:$S$317=$A8),--ISNUMBER('Данные 1st'!$CK$2:$CK$317))</f>
        <v>7</v>
      </c>
      <c r="AD8">
        <f>SUMPRODUCT(--('Данные 1st'!$S$2:$S$317=$A8),--ISNUMBER('Данные 1st'!$CL$2:$CL$317))</f>
        <v>7</v>
      </c>
      <c r="AE8">
        <f>SUMPRODUCT(--('Данные 1st'!$S$2:$S$317=$A8),--ISNUMBER('Данные 1st'!$CM$2:$CM$317))</f>
        <v>7</v>
      </c>
      <c r="AF8">
        <f>SUMPRODUCT(--('Данные 1st'!$S$2:$S$317=$A8),--ISNUMBER('Данные 1st'!$CT$2:$CT$317))</f>
        <v>7</v>
      </c>
      <c r="AG8">
        <f>SUMPRODUCT(--('Данные 1st'!$S$2:$S$317=$A8),--ISNUMBER('Данные 1st'!$CU$2:$CU$317))</f>
        <v>7</v>
      </c>
      <c r="AH8">
        <f>SUMPRODUCT(--('Данные 1st'!$S$2:$S$317=$A8),--ISNUMBER('Данные 1st'!$CV$2:$CV$317))</f>
        <v>7</v>
      </c>
      <c r="AI8">
        <f>SUMPRODUCT(--('Данные 1st'!$S$2:$S$317=$A8),--ISNUMBER('Данные 1st'!$CW$2:$CW$317))</f>
        <v>7</v>
      </c>
      <c r="AJ8">
        <f>SUMPRODUCT(--('Данные 1st'!$S$2:$S$317=$A8),--ISNUMBER('Данные 1st'!$CX$2:$CX$317))</f>
        <v>7</v>
      </c>
      <c r="AK8">
        <f>SUMPRODUCT(--('Данные 1st'!$S$2:$S$317=$A8),--ISNUMBER('Данные 1st'!$CZ$2:$CZ$317))</f>
        <v>2</v>
      </c>
      <c r="AL8">
        <f>SUMPRODUCT(--('Данные 1st'!$S$2:$S$317=$A8),--ISNUMBER('Данные 1st'!$DA$2:$DA$317))</f>
        <v>2</v>
      </c>
      <c r="AM8">
        <f>SUMPRODUCT(--('Данные 1st'!$S$2:$S$317=$A8),--ISNUMBER('Данные 1st'!$DB$2:$DB$317))</f>
        <v>2</v>
      </c>
      <c r="AN8">
        <f>SUMPRODUCT(--('Данные 1st'!$S$2:$S$317=$A8),--ISNUMBER('Данные 1st'!$DC$2:$DC$317))</f>
        <v>2</v>
      </c>
      <c r="AO8">
        <f>SUMPRODUCT(--('Данные 1st'!$S$2:$S$317=$A8),--ISNUMBER('Данные 1st'!$DD$2:$DD$317))</f>
        <v>7</v>
      </c>
      <c r="AP8">
        <f>SUMPRODUCT(--('Данные 1st'!$S$2:$S$317=$A8),--ISNUMBER('Данные 1st'!$DF$2:$DF$317))</f>
        <v>7</v>
      </c>
      <c r="AQ8">
        <f>SUMPRODUCT(--('Данные 1st'!$S$2:$S$317=$A8),--ISNUMBER('Данные 1st'!$DG$2:$DG$317))</f>
        <v>7</v>
      </c>
      <c r="AR8">
        <f>SUMPRODUCT(--('Данные 1st'!$S$2:$S$317=$A8),--ISNUMBER('Данные 1st'!$DH$2:$DH$317))</f>
        <v>7</v>
      </c>
      <c r="AS8">
        <f>SUMPRODUCT(--('Данные 1st'!$S$2:$S$317=$A8),--ISNUMBER('Данные 1st'!$DI$2:$DI$317))</f>
        <v>7</v>
      </c>
      <c r="AT8">
        <f>SUMPRODUCT(--('Данные 1st'!$S$2:$S$317=$A8),--ISNUMBER('Данные 1st'!$DJ$2:$DJ$317))</f>
        <v>7</v>
      </c>
      <c r="AU8">
        <f>SUMPRODUCT(--('Данные 1st'!$S$2:$S$317=$A8),--ISNUMBER('Данные 1st'!$DL$2:$DL$317))</f>
        <v>0</v>
      </c>
      <c r="AV8">
        <f>SUMPRODUCT(--('Данные 1st'!$S$2:$S$317=$A8),--ISNUMBER('Данные 1st'!$DM$2:$DM$317))</f>
        <v>0</v>
      </c>
      <c r="AW8">
        <f>SUMPRODUCT(--('Данные 1st'!$S$2:$S$317=$A8),--ISNUMBER('Данные 1st'!$DN$2:$DN$317))</f>
        <v>0</v>
      </c>
      <c r="AX8">
        <f>SUMPRODUCT(--('Данные 1st'!$S$2:$S$317=$A8),--ISNUMBER('Данные 1st'!$DO$2:$DO$317))</f>
        <v>0</v>
      </c>
      <c r="AY8">
        <f>SUMPRODUCT(--('Данные 1st'!$S$2:$S$317=$A8),--ISNUMBER('Данные 1st'!$DP$2:$DP$317))</f>
        <v>0</v>
      </c>
      <c r="AZ8">
        <f>SUMPRODUCT(--('Данные 1st'!$S$2:$S$317=$A8),--ISNUMBER('Данные 1st'!$DR$2:$DR$317))</f>
        <v>0</v>
      </c>
      <c r="BA8">
        <f>SUMPRODUCT(--('Данные 1st'!$S$2:$S$317=$A8),--ISNUMBER('Данные 1st'!$DS$2:$DS$317))</f>
        <v>0</v>
      </c>
      <c r="BB8">
        <f>SUMPRODUCT(--('Данные 1st'!$S$2:$S$317=$A8),--ISNUMBER('Данные 1st'!$DT$2:$DT$317))</f>
        <v>0</v>
      </c>
      <c r="BC8">
        <f>SUMPRODUCT(--('Данные 1st'!$S$2:$S$317=$A8),--ISNUMBER('Данные 1st'!$DU$2:$DU$317))</f>
        <v>0</v>
      </c>
      <c r="BD8">
        <f>SUMPRODUCT(--('Данные 1st'!$S$2:$S$317=$A8),--ISNUMBER('Данные 1st'!$DV$2:$DV$317))</f>
        <v>0</v>
      </c>
      <c r="BE8">
        <f>SUMPRODUCT(--('Данные 1st'!$S$2:$S$317=$A8),--ISNUMBER('Данные 1st'!$DX$2:$DX$317))</f>
        <v>7</v>
      </c>
      <c r="BF8">
        <f>SUMPRODUCT(--('Данные 1st'!$S$2:$S$317=$A8),--ISNUMBER('Данные 1st'!$EA$2:$EA$317))</f>
        <v>7</v>
      </c>
      <c r="BG8">
        <f>SUMPRODUCT(--('Данные 1st'!$S$2:$S$317=$A8),--ISNUMBER('Данные 1st'!$EB$2:$EB$317))</f>
        <v>7</v>
      </c>
      <c r="BH8">
        <f>SUMPRODUCT(--('Данные 1st'!$S$2:$S$317=$A8),--ISNUMBER('Данные 1st'!$ED$2:$ED$317))</f>
        <v>7</v>
      </c>
      <c r="BI8">
        <f>SUMPRODUCT(--('Данные 1st'!$S$2:$S$317=$A8),--ISNUMBER('Данные 1st'!$EE$2:$EE$317))</f>
        <v>7</v>
      </c>
      <c r="BJ8">
        <f>SUMPRODUCT(--('Данные 1st'!$S$2:$S$317=$A8),--ISNUMBER('Данные 1st'!$EG$2:$EG$317))</f>
        <v>7</v>
      </c>
      <c r="BK8">
        <f>SUMPRODUCT(--('Данные 1st'!$S$2:$S$317=$A8),--ISNUMBER('Данные 1st'!$EH$2:$EH$317))</f>
        <v>7</v>
      </c>
      <c r="BL8">
        <f>SUMPRODUCT(--('Данные 1st'!$S$2:$S$317=$A8),--ISNUMBER('Данные 1st'!$EJ$2:$EJ$317))</f>
        <v>7</v>
      </c>
      <c r="BM8">
        <f>SUMPRODUCT(--('Данные 1st'!$S$2:$S$317=$A8),--ISNUMBER('Данные 1st'!$EK$2:$EK$317))</f>
        <v>7</v>
      </c>
      <c r="BN8">
        <f>SUMPRODUCT(--('Данные 1st'!$S$2:$S$317=$A8),--ISNUMBER('Данные 1st'!$EN$2:$EN$317))</f>
        <v>7</v>
      </c>
      <c r="BO8">
        <f>SUMPRODUCT(--('Данные 1st'!$S$2:$S$317=$A8),--ISNUMBER('Данные 1st'!$EQ$2:$EQ$317))</f>
        <v>7</v>
      </c>
      <c r="BP8">
        <f>SUMPRODUCT(--('Данные 1st'!$S$2:$S$317=$A8),--ISNUMBER('Данные 1st'!$ER$2:$ER$317))</f>
        <v>7</v>
      </c>
      <c r="BQ8">
        <f>SUMPRODUCT(--('Данные 1st'!$S$2:$S$317=$A8),--ISNUMBER('Данные 1st'!$ES$2:$ES$317))</f>
        <v>7</v>
      </c>
      <c r="BR8">
        <f>SUMPRODUCT(--('Данные 1st'!$S$2:$S$317=$A8),--ISNUMBER('Данные 1st'!$ET$2:$ET$317))</f>
        <v>7</v>
      </c>
      <c r="BS8">
        <f>SUMPRODUCT(--('Данные 1st'!$S$2:$S$317=$A8),--ISNUMBER('Данные 1st'!$EU$2:$EU$317))</f>
        <v>7</v>
      </c>
      <c r="BT8">
        <f>SUMPRODUCT(--('Данные 1st'!$S$2:$S$317=$A8),--ISNUMBER('Данные 1st'!$EV$2:$EV$317))</f>
        <v>7</v>
      </c>
      <c r="BU8">
        <f>SUMPRODUCT(--('Данные 1st'!$S$2:$S$317=$A8),--ISNUMBER('Данные 1st'!$EX$2:$EX$317))</f>
        <v>7</v>
      </c>
      <c r="BV8">
        <f>SUMPRODUCT(--('Данные 1st'!$S$2:$S$317=$A8),--ISNUMBER('Данные 1st'!$EY$2:$EY$317))</f>
        <v>7</v>
      </c>
      <c r="BW8">
        <f>SUMPRODUCT(--('Данные 1st'!$S$2:$S$317=$A8),--ISNUMBER('Данные 1st'!$EZ$2:$EZ$317))</f>
        <v>7</v>
      </c>
      <c r="BX8">
        <f>SUMPRODUCT(--('Данные 1st'!$S$2:$S$317=$A8),--ISNUMBER('Данные 1st'!$FA$2:$FA$317))</f>
        <v>7</v>
      </c>
      <c r="BY8">
        <f>SUMPRODUCT(--('Данные 1st'!$S$2:$S$317=$A8),--ISNUMBER('Данные 1st'!$FB$2:$FB$317))</f>
        <v>7</v>
      </c>
      <c r="BZ8">
        <f>SUMPRODUCT(--('Данные 1st'!$S$2:$S$317=$A8),--ISNUMBER('Данные 1st'!$FC$2:$FC$317))</f>
        <v>7</v>
      </c>
      <c r="CA8">
        <f>SUMPRODUCT(--('Данные 1st'!$S$2:$S$317=$A8),--ISNUMBER('Данные 1st'!$FE$2:$FE$317))</f>
        <v>7</v>
      </c>
      <c r="CB8">
        <f>SUMPRODUCT(--('Данные 1st'!$S$2:$S$317=$A8),--ISNUMBER('Данные 1st'!$FF$2:$FF$317))</f>
        <v>7</v>
      </c>
      <c r="CC8">
        <f>SUMPRODUCT(--('Данные 1st'!$S$2:$S$317=$A8),--ISNUMBER('Данные 1st'!$FI$2:$FI$317))</f>
        <v>7</v>
      </c>
      <c r="CD8">
        <f>SUMPRODUCT(--('Данные 1st'!$S$2:$S$317=$A8),--ISNUMBER('Данные 1st'!$FL$2:$FL$317))</f>
        <v>7</v>
      </c>
      <c r="CE8">
        <f>SUMPRODUCT(--('Данные 1st'!$S$2:$S$317=$A8),--ISNUMBER('Данные 1st'!$FM$2:$FM$317))</f>
        <v>7</v>
      </c>
      <c r="CF8">
        <f>SUMPRODUCT(--('Данные 1st'!$S$2:$S$317=$A8),--ISNUMBER('Данные 1st'!$FN$2:$FN$317))</f>
        <v>7</v>
      </c>
      <c r="CG8">
        <f>SUMPRODUCT(--('Данные 1st'!$S$2:$S$317=$A8),--ISNUMBER('Данные 1st'!$FO$2:$FO$317))</f>
        <v>2</v>
      </c>
      <c r="CH8">
        <f>SUMPRODUCT(--('Данные 1st'!$S$2:$S$317=$A8),--ISNUMBER('Данные 1st'!$FP$2:$FP$317))</f>
        <v>2</v>
      </c>
      <c r="CI8">
        <f>SUMPRODUCT(--('Данные 1st'!$S$2:$S$317=$A8),--ISNUMBER('Данные 1st'!$FS$2:$FS$317))</f>
        <v>4</v>
      </c>
      <c r="CJ8">
        <f>SUMPRODUCT(--('Данные 1st'!$S$2:$S$317=$A8),--ISNUMBER('Данные 1st'!$FT$2:$FT$317))</f>
        <v>4</v>
      </c>
      <c r="CK8">
        <f>SUMPRODUCT(--('Данные 1st'!$S$2:$S$317=$A8),--ISNUMBER('Данные 1st'!$FU$2:$FU$317))</f>
        <v>4</v>
      </c>
      <c r="CL8">
        <f>SUMPRODUCT(--('Данные 1st'!$S$2:$S$317=$A8),--ISNUMBER('Данные 1st'!$FV$2:$FV$317))</f>
        <v>1</v>
      </c>
      <c r="CM8">
        <f>SUMPRODUCT(--('Данные 1st'!$S$2:$S$317=$A8),--ISNUMBER('Данные 1st'!$FW$2:$FW$317))</f>
        <v>1</v>
      </c>
      <c r="CN8">
        <f>SUMPRODUCT(--('Данные 1st'!$S$2:$S$317=$A8),--ISNUMBER('Данные 1st'!$FZ$2:$FZ$317))</f>
        <v>2</v>
      </c>
      <c r="CO8">
        <f>SUMPRODUCT(--('Данные 1st'!$S$2:$S$317=$A8),--ISNUMBER('Данные 1st'!$GA$2:$GA$317))</f>
        <v>2</v>
      </c>
      <c r="CP8">
        <f>SUMPRODUCT(--('Данные 1st'!$S$2:$S$317=$A8),--ISNUMBER('Данные 1st'!$GB$2:$GB$317))</f>
        <v>2</v>
      </c>
      <c r="CQ8">
        <f>SUMPRODUCT(--('Данные 1st'!$S$2:$S$317=$A8),--ISNUMBER('Данные 1st'!$GH$2:$GH$317))</f>
        <v>2</v>
      </c>
      <c r="CR8">
        <f>SUMPRODUCT(--('Данные 1st'!$S$2:$S$317=$A8),--ISNUMBER('Данные 1st'!$GI$2:$GI$317))</f>
        <v>2</v>
      </c>
      <c r="CS8">
        <f>SUMPRODUCT(--('Данные 1st'!$S$2:$S$317=$A8),--ISNUMBER('Данные 1st'!$GJ$2:$GJ$317))</f>
        <v>2</v>
      </c>
      <c r="CT8">
        <f>SUMPRODUCT(--('Данные 1st'!$S$2:$S$317=$A8),--ISNUMBER('Данные 1st'!$GS$2:$GS$317))</f>
        <v>0</v>
      </c>
      <c r="CU8">
        <f>SUMPRODUCT(--('Данные 1st'!$S$2:$S$317=$A8),--ISNUMBER('Данные 1st'!$GT$2:$GT$317))</f>
        <v>0</v>
      </c>
      <c r="CV8">
        <f>SUMPRODUCT(--('Данные 1st'!$S$2:$S$317=$A8),--ISNUMBER('Данные 1st'!$GU$2:$GU$317))</f>
        <v>0</v>
      </c>
      <c r="CW8">
        <f>SUMPRODUCT(--('Данные 1st'!$S$2:$S$317=$A8),--ISNUMBER('Данные 1st'!$GV$2:$GV$317))</f>
        <v>0</v>
      </c>
      <c r="CX8">
        <f>SUMPRODUCT(--('Данные 1st'!$S$2:$S$317=$A8),--ISNUMBER('Данные 1st'!$GW$2:$GW$317))</f>
        <v>0</v>
      </c>
      <c r="CY8">
        <f>SUMPRODUCT(--('Данные 1st'!$S$2:$S$317=$A8),--ISNUMBER('Данные 1st'!$GZ$2:$GZ$317))</f>
        <v>0</v>
      </c>
      <c r="CZ8">
        <f>SUMPRODUCT(--('Данные 1st'!$S$2:$S$317=$A8),--ISNUMBER('Данные 1st'!$HA$2:$HA$317))</f>
        <v>0</v>
      </c>
      <c r="DA8">
        <f>SUMPRODUCT(--('Данные 1st'!$S$2:$S$317=$A8),--ISNUMBER('Данные 1st'!$HB$2:$HB$317))</f>
        <v>0</v>
      </c>
      <c r="DB8">
        <f>SUMPRODUCT(--('Данные 1st'!$S$2:$S$317=$A8),--ISNUMBER('Данные 1st'!$HC$2:$HC$317))</f>
        <v>7</v>
      </c>
      <c r="DC8">
        <f>SUMPRODUCT(--('Данные 1st'!$S$2:$S$317=$A8),--ISNUMBER('Данные 1st'!$HD$2:$HD$317))</f>
        <v>7</v>
      </c>
      <c r="DD8">
        <f>SUMPRODUCT(--('Данные 1st'!$S$2:$S$317=$A8),--ISNUMBER('Данные 1st'!$HE$2:$HE$317))</f>
        <v>7</v>
      </c>
      <c r="DE8">
        <f>SUMPRODUCT(--('Данные 1st'!$S$2:$S$317=$A8),--ISNUMBER('Данные 1st'!$HF$2:$HF$317))</f>
        <v>7</v>
      </c>
      <c r="DF8">
        <f>SUMPRODUCT(--('Данные 1st'!$S$2:$S$317=$A8),--ISNUMBER('Данные 1st'!$HG$2:$HG$317))</f>
        <v>7</v>
      </c>
      <c r="DG8">
        <f>SUMPRODUCT(--('Данные 1st'!$S$2:$S$317=$A8),--ISNUMBER('Данные 1st'!$HH$2:$HH$317))</f>
        <v>7</v>
      </c>
      <c r="DH8">
        <f>SUMPRODUCT(--('Данные 1st'!$S$2:$S$317=$A8),--ISNUMBER('Данные 1st'!$HI$2:$HI$317))</f>
        <v>7</v>
      </c>
      <c r="DI8">
        <f>SUMPRODUCT(--('Данные 1st'!$S$2:$S$317=$A8),--ISNUMBER('Данные 1st'!$HJ$2:$HJ$317))</f>
        <v>7</v>
      </c>
      <c r="DJ8">
        <f>SUMPRODUCT(--('Данные 1st'!$S$2:$S$317=$A8),--ISNUMBER('Данные 1st'!$HK$2:$HK$317))</f>
        <v>7</v>
      </c>
      <c r="DK8">
        <f>SUMPRODUCT(--('Данные 1st'!$S$2:$S$317=$A8),--ISNUMBER('Данные 1st'!$HL$2:$HL$317))</f>
        <v>7</v>
      </c>
      <c r="DL8">
        <f>SUMPRODUCT(--('Данные 1st'!$S$2:$S$317=$A8),--ISNUMBER('Данные 1st'!$HM$2:$HM$317))</f>
        <v>7</v>
      </c>
      <c r="DM8">
        <f>SUMPRODUCT(--('Данные 1st'!$S$2:$S$317=$A8),--ISNUMBER('Данные 1st'!$HN$2:$HN$317))</f>
        <v>7</v>
      </c>
      <c r="DN8">
        <f>SUMPRODUCT(--('Данные 1st'!$S$2:$S$317=$A8),--ISNUMBER('Данные 1st'!$HO$2:$HO$317))</f>
        <v>7</v>
      </c>
      <c r="DO8">
        <f>SUMPRODUCT(--('Данные 1st'!$S$2:$S$317=$A8),--ISNUMBER('Данные 1st'!$HP$2:$HP$317))</f>
        <v>7</v>
      </c>
      <c r="DP8">
        <f>SUMPRODUCT(--('Данные 1st'!$S$2:$S$317=$A8),--ISNUMBER('Данные 1st'!$HQ$2:$HQ$317))</f>
        <v>7</v>
      </c>
      <c r="DQ8">
        <f>SUMPRODUCT(--('Данные 1st'!$S$2:$S$317=$A8),--ISNUMBER('Данные 1st'!$HR$2:$HR$317))</f>
        <v>7</v>
      </c>
      <c r="DR8">
        <f>SUMPRODUCT(--('Данные 1st'!$S$2:$S$317=$A8),--ISNUMBER('Данные 1st'!$HS$2:$HS$317))</f>
        <v>7</v>
      </c>
      <c r="DS8">
        <f>SUMPRODUCT(--('Данные 1st'!$S$2:$S$317=$A8),--ISNUMBER('Данные 1st'!$HT$2:$HT$317))</f>
        <v>7</v>
      </c>
      <c r="DT8">
        <f>SUMPRODUCT(--('Данные 1st'!$S$2:$S$317=$A8),--ISNUMBER('Данные 1st'!$HU$2:$HU$317))</f>
        <v>7</v>
      </c>
      <c r="DU8">
        <f>SUMPRODUCT(--('Данные 1st'!$S$2:$S$317=$A8),--ISNUMBER('Данные 1st'!$HW$2:$HW$317))</f>
        <v>7</v>
      </c>
      <c r="DV8">
        <f>SUMPRODUCT(--('Данные 1st'!$S$2:$S$317=$A8),--ISNUMBER('Данные 1st'!$HX$2:$HX$317))</f>
        <v>7</v>
      </c>
      <c r="DW8">
        <f>SUMPRODUCT(--('Данные 1st'!$S$2:$S$317=$A8),--ISNUMBER('Данные 1st'!$HY$2:$HY$317))</f>
        <v>7</v>
      </c>
      <c r="DX8">
        <f>SUMPRODUCT(--('Данные 1st'!$S$2:$S$317=$A8),--ISNUMBER('Данные 1st'!$IA$2:$IA$317))</f>
        <v>7</v>
      </c>
      <c r="DY8">
        <f>SUMPRODUCT(--('Данные 1st'!$S$2:$S$317=$A8),--ISNUMBER('Данные 1st'!$IB$2:$IB$317))</f>
        <v>7</v>
      </c>
      <c r="DZ8">
        <f>SUMPRODUCT(--('Данные 1st'!$S$2:$S$317=$A8),--ISNUMBER('Данные 1st'!$IC$2:$IC$317))</f>
        <v>7</v>
      </c>
      <c r="EA8">
        <f>SUMPRODUCT(--('Данные 1st'!$S$2:$S$317=$A8),--ISNUMBER('Данные 1st'!$ID$2:$ID$317))</f>
        <v>7</v>
      </c>
      <c r="EB8">
        <f>SUMPRODUCT(--('Данные 1st'!$S$2:$S$317=$A8),--ISNUMBER('Данные 1st'!$IE$2:$IE$317))</f>
        <v>7</v>
      </c>
      <c r="EC8">
        <f>SUMPRODUCT(--('Данные 1st'!$S$2:$S$317=$A8),--ISNUMBER('Данные 1st'!$IF$2:$IF$317))</f>
        <v>7</v>
      </c>
      <c r="ED8">
        <f>SUMPRODUCT(--('Данные 1st'!$S$2:$S$317=$A8),--ISNUMBER('Данные 1st'!$IP$2:$IP$317))</f>
        <v>7</v>
      </c>
      <c r="EE8">
        <f>SUMPRODUCT(--('Данные 1st'!$S$2:$S$317=$A8),--ISNUMBER('Данные 1st'!$IV$2:$IV$317))</f>
        <v>7</v>
      </c>
      <c r="EF8">
        <f>SUMPRODUCT(--('Данные 1st'!$S$2:$S$317=$A8),--ISNUMBER('Данные 1st'!$IW$2:$IW$317))</f>
        <v>7</v>
      </c>
      <c r="EG8">
        <f>SUMPRODUCT(--('Данные 1st'!$S$2:$S$317=$A8),--ISNUMBER('Данные 1st'!$IX$2:$IX$317))</f>
        <v>0</v>
      </c>
      <c r="EH8">
        <f>SUMPRODUCT(--('Данные 1st'!$S$2:$S$317=$A8),--ISNUMBER('Данные 1st'!$IY$2:$IY$317))</f>
        <v>0</v>
      </c>
      <c r="EI8">
        <f>SUMPRODUCT(--('Данные 1st'!$S$2:$S$317=$A8),--ISNUMBER('Данные 1st'!$JD$2:$JD$317))</f>
        <v>7</v>
      </c>
      <c r="EJ8">
        <f>SUMPRODUCT(--('Данные 1st'!$S$2:$S$317=$A8),--ISNUMBER('Данные 1st'!$JE$2:$JE$317))</f>
        <v>7</v>
      </c>
      <c r="EK8">
        <f>SUMPRODUCT(--('Данные 1st'!$S$2:$S$317=$A8),--ISNUMBER('Данные 1st'!$JF$2:$JF$317))</f>
        <v>7</v>
      </c>
      <c r="EL8">
        <f>SUMPRODUCT(--('Данные 1st'!$S$2:$S$317=$A8),--ISNUMBER('Данные 1st'!$JG$2:$JG$317))</f>
        <v>7</v>
      </c>
      <c r="EM8">
        <f>SUMPRODUCT(--('Данные 1st'!$S$2:$S$317=$A8),--ISNUMBER('Данные 1st'!$JH$2:$JH$317))</f>
        <v>7</v>
      </c>
      <c r="EN8">
        <f>SUMPRODUCT(--('Данные 1st'!$S$2:$S$317=$A8),--ISNUMBER('Данные 1st'!$JJ$2:$JJ$317))</f>
        <v>7</v>
      </c>
      <c r="EO8">
        <f>SUMPRODUCT(--('Данные 1st'!$S$2:$S$317=$A8),--ISNUMBER('Данные 1st'!$JK$2:$JK$317))</f>
        <v>7</v>
      </c>
      <c r="EP8">
        <f>SUMPRODUCT(--('Данные 1st'!$S$2:$S$317=$A8),--ISNUMBER('Данные 1st'!$JL$2:$JL$317))</f>
        <v>0</v>
      </c>
      <c r="EQ8">
        <f>SUMPRODUCT(--('Данные 1st'!$S$2:$S$317=$A8),--ISNUMBER('Данные 1st'!$JM$2:$JM$317))</f>
        <v>0</v>
      </c>
      <c r="ER8">
        <f>SUMPRODUCT(--('Данные 1st'!$S$2:$S$317=$A8),--ISNUMBER('Данные 1st'!$JN$2:$JN$317))</f>
        <v>7</v>
      </c>
      <c r="ES8">
        <f>SUMPRODUCT(--('Данные 1st'!$S$2:$S$317=$A8),--ISNUMBER('Данные 1st'!$JO$2:$JO$317))</f>
        <v>7</v>
      </c>
      <c r="ET8">
        <f>SUMPRODUCT(--('Данные 1st'!$S$2:$S$317=$A8),--ISNUMBER('Данные 1st'!$JP$2:$JP$317))</f>
        <v>7</v>
      </c>
      <c r="EU8">
        <f>SUMPRODUCT(--('Данные 1st'!$S$2:$S$317=$A8),--ISNUMBER('Данные 1st'!$JQ$2:$JQ$317))</f>
        <v>7</v>
      </c>
      <c r="EV8">
        <f>SUMPRODUCT(--('Данные 1st'!$S$2:$S$317=$A8),--ISNUMBER('Данные 1st'!$JR$2:$JR$317))</f>
        <v>7</v>
      </c>
      <c r="EW8">
        <f>SUMPRODUCT(--('Данные 1st'!$S$2:$S$317=$A8),--ISNUMBER('Данные 1st'!$JS$2:$JS$317))</f>
        <v>7</v>
      </c>
      <c r="EX8">
        <f>SUMPRODUCT(--('Данные 1st'!$S$2:$S$317=$A8),--ISNUMBER('Данные 1st'!$JT$2:$JT$317))</f>
        <v>0</v>
      </c>
      <c r="EY8">
        <f>SUMPRODUCT(--('Данные 1st'!$S$2:$S$317=$A8),--ISNUMBER('Данные 1st'!$JU$2:$JU$317))</f>
        <v>0</v>
      </c>
      <c r="EZ8">
        <f>SUMPRODUCT(--('Данные 1st'!$S$2:$S$317=$A8),--ISNUMBER('Данные 1st'!$JV$2:$JV$317))</f>
        <v>7</v>
      </c>
      <c r="FA8">
        <f>SUMPRODUCT(--('Данные 1st'!$S$2:$S$317=$A8),--ISNUMBER('Данные 1st'!$JW$2:$JW$317))</f>
        <v>0</v>
      </c>
      <c r="FB8">
        <f>SUMPRODUCT(--('Данные 1st'!$S$2:$S$317=$A8),--ISNUMBER('Данные 1st'!$JX$2:$JX$317))</f>
        <v>7</v>
      </c>
      <c r="FC8">
        <f>SUMPRODUCT(--('Данные 1st'!$S$2:$S$317=$A8),--ISNUMBER('Данные 1st'!$JY$2:$JY$317))</f>
        <v>0</v>
      </c>
      <c r="FD8">
        <f>SUMPRODUCT(--('Данные 1st'!$S$2:$S$317=$A8),--ISNUMBER('Данные 1st'!$JZ$2:$JZ$317))</f>
        <v>0</v>
      </c>
      <c r="FE8">
        <f>SUMPRODUCT(--('Данные 1st'!$S$2:$S$317=$A8),--ISNUMBER('Данные 1st'!$KA$2:$KA$317))</f>
        <v>7</v>
      </c>
      <c r="FF8">
        <f>SUMPRODUCT(--('Данные 1st'!$S$2:$S$317=$A8),--ISNUMBER('Данные 1st'!$KB$2:$KB$317))</f>
        <v>7</v>
      </c>
      <c r="FG8">
        <f>SUMPRODUCT(--('Данные 1st'!$S$2:$S$317=$A8),--ISNUMBER('Данные 1st'!$KC$2:$KC$317))</f>
        <v>7</v>
      </c>
      <c r="FH8">
        <f>SUMPRODUCT(--('Данные 1st'!$S$2:$S$317=$A8),--ISNUMBER('Данные 1st'!$KD$2:$KD$317))</f>
        <v>7</v>
      </c>
      <c r="FI8">
        <f>SUMPRODUCT(--('Данные 1st'!$S$2:$S$317=$A8),--ISNUMBER('Данные 1st'!$KE$2:$KE$317))</f>
        <v>0</v>
      </c>
      <c r="FJ8">
        <f>SUMPRODUCT(--('Данные 1st'!$S$2:$S$317=$A8),--ISNUMBER('Данные 1st'!$KF$2:$KF$317))</f>
        <v>7</v>
      </c>
      <c r="FK8">
        <f>SUMPRODUCT(--('Данные 1st'!$S$2:$S$317=$A8),--ISNUMBER('Данные 1st'!$KG$2:$KG$317))</f>
        <v>7</v>
      </c>
      <c r="FL8">
        <f>SUMPRODUCT(--('Данные 1st'!$S$2:$S$317=$A8),--ISNUMBER('Данные 1st'!$KH$2:$KH$317))</f>
        <v>7</v>
      </c>
      <c r="FM8">
        <f>SUMPRODUCT(--('Данные 1st'!$S$2:$S$317=$A8),--ISNUMBER('Данные 1st'!$KI$2:$KI$317))</f>
        <v>7</v>
      </c>
      <c r="FN8">
        <f>SUMPRODUCT(--('Данные 1st'!$S$2:$S$317=$A8),--ISNUMBER('Данные 1st'!$KJ$2:$KJ$317))</f>
        <v>7</v>
      </c>
      <c r="FO8">
        <f>SUMPRODUCT(--('Данные 1st'!$S$2:$S$317=$A8),--ISNUMBER('Данные 1st'!$KK$2:$KK$317))</f>
        <v>7</v>
      </c>
      <c r="FP8">
        <f>SUMPRODUCT(--('Данные 1st'!$S$2:$S$317=$A8),--ISNUMBER('Данные 1st'!$KL$2:$KL$317))</f>
        <v>7</v>
      </c>
      <c r="FQ8">
        <f>SUMPRODUCT(--('Данные 1st'!$S$2:$S$317=$A8),--ISNUMBER('Данные 1st'!$KM$2:$KM$317))</f>
        <v>5</v>
      </c>
      <c r="FR8">
        <f>SUMPRODUCT(--('Данные 1st'!$S$2:$S$317=$A8),--ISNUMBER('Данные 1st'!$KN$2:$KN$317))</f>
        <v>5</v>
      </c>
      <c r="FS8">
        <f>SUMPRODUCT(--('Данные 1st'!$S$2:$S$317=$A8),--ISNUMBER('Данные 1st'!$KR$2:$KR$317))</f>
        <v>7</v>
      </c>
      <c r="FT8">
        <f>SUMPRODUCT(--('Данные 1st'!$S$2:$S$317=$A8),--ISNUMBER('Данные 1st'!$KS$2:$KS$317))</f>
        <v>7</v>
      </c>
      <c r="FU8">
        <f>SUMPRODUCT(--('Данные 1st'!$S$2:$S$317=$A8),--ISNUMBER('Данные 1st'!$KT$2:$KT$317))</f>
        <v>5</v>
      </c>
      <c r="FV8">
        <f>SUMPRODUCT(--('Данные 1st'!$S$2:$S$317=$A8),--ISNUMBER('Данные 1st'!$KV$2:$KV$317))</f>
        <v>0</v>
      </c>
      <c r="FW8">
        <f>SUMPRODUCT(--('Данные 1st'!$S$2:$S$317=$A8),--ISNUMBER('Данные 1st'!$KW$2:$KW$317))</f>
        <v>0</v>
      </c>
      <c r="FX8">
        <f>SUMPRODUCT(--('Данные 1st'!$S$2:$S$317=$A8),--ISNUMBER('Данные 1st'!$KX$2:$KX$317))</f>
        <v>0</v>
      </c>
      <c r="FY8">
        <f>SUMPRODUCT(--('Данные 1st'!$S$2:$S$317=$A8),--ISNUMBER('Данные 1st'!$KY$2:$KY$317))</f>
        <v>0</v>
      </c>
      <c r="FZ8">
        <f>SUMPRODUCT(--('Данные 1st'!$S$2:$S$317=$A8),--ISNUMBER('Данные 1st'!$KZ$2:$KZ$317))</f>
        <v>0</v>
      </c>
      <c r="GA8">
        <f>SUMPRODUCT(--('Данные 1st'!$S$2:$S$317=$A8),--ISNUMBER('Данные 1st'!$LA$2:$LA$317))</f>
        <v>0</v>
      </c>
      <c r="GB8">
        <f>SUMPRODUCT(--('Данные 1st'!$S$2:$S$317=$A8),--ISNUMBER('Данные 1st'!$LB$2:$LB$317))</f>
        <v>0</v>
      </c>
      <c r="GC8">
        <f>SUMPRODUCT(--('Данные 1st'!$S$2:$S$317=$A8),--ISNUMBER('Данные 1st'!$LC$2:$LC$317))</f>
        <v>0</v>
      </c>
      <c r="GD8">
        <f>SUMPRODUCT(--('Данные 1st'!$S$2:$S$317=$A8),--ISNUMBER('Данные 1st'!$LD$2:$LD$317))</f>
        <v>0</v>
      </c>
      <c r="GE8">
        <f>SUMPRODUCT(--('Данные 1st'!$S$2:$S$317=$A8),--ISNUMBER('Данные 1st'!$LE$2:$LE$317))</f>
        <v>0</v>
      </c>
      <c r="GF8">
        <f>SUMPRODUCT(--('Данные 1st'!$S$2:$S$317=$A8),--ISNUMBER('Данные 1st'!$LF$2:$LF$317))</f>
        <v>0</v>
      </c>
      <c r="GG8">
        <f>SUMPRODUCT(--('Данные 1st'!$S$2:$S$317=$A8),--ISNUMBER('Данные 1st'!$LG$2:$LG$317))</f>
        <v>0</v>
      </c>
      <c r="GH8">
        <f>SUMPRODUCT(--('Данные 1st'!$S$2:$S$317=$A8),--ISNUMBER('Данные 1st'!$LH$2:$LH$317))</f>
        <v>0</v>
      </c>
      <c r="GI8">
        <f>SUMPRODUCT(--('Данные 1st'!$S$2:$S$317=$A8),--ISNUMBER('Данные 1st'!$LI$2:$LI$317))</f>
        <v>0</v>
      </c>
      <c r="GJ8">
        <f>SUMPRODUCT(--('Данные 1st'!$S$2:$S$317=$A8),--ISNUMBER('Данные 1st'!$LJ$2:$LJ$317))</f>
        <v>0</v>
      </c>
      <c r="GK8">
        <f>SUMPRODUCT(--('Данные 1st'!$S$2:$S$317=$A8),--ISNUMBER('Данные 1st'!$LK$2:$LK$317))</f>
        <v>7</v>
      </c>
      <c r="GL8">
        <f>SUMPRODUCT(--('Данные 1st'!$S$2:$S$317=$A8),--ISNUMBER('Данные 1st'!$LV$2:$LV$317))</f>
        <v>0</v>
      </c>
      <c r="GM8">
        <f>SUMPRODUCT(--('Данные 1st'!$S$2:$S$317=$A8),--ISNUMBER('Данные 1st'!$LW$2:$LW$317))</f>
        <v>0</v>
      </c>
      <c r="GN8">
        <f>SUMPRODUCT(--('Данные 1st'!$S$2:$S$317=$A8),--ISNUMBER('Данные 1st'!$LX$2:$LX$317))</f>
        <v>2</v>
      </c>
      <c r="GO8">
        <f>SUMPRODUCT(--('Данные 1st'!$S$2:$S$317=$A8),--ISNUMBER('Данные 1st'!$LY$2:$LY$317))</f>
        <v>2</v>
      </c>
      <c r="GP8">
        <f>SUMPRODUCT(--('Данные 1st'!$S$2:$S$317=$A8),--ISNUMBER('Данные 1st'!$LZ$2:$LZ$317))</f>
        <v>0</v>
      </c>
      <c r="GQ8">
        <f>SUMPRODUCT(--('Данные 1st'!$S$2:$S$317=$A8),--ISNUMBER('Данные 1st'!$PG$2:$PG$317))</f>
        <v>7</v>
      </c>
      <c r="GR8">
        <f>SUMPRODUCT(--('Данные 1st'!$S$2:$S$317=$A8),--ISNUMBER('Данные 1st'!$PX$2:$PX$317))</f>
        <v>7</v>
      </c>
      <c r="GS8">
        <f>SUMPRODUCT(--('Данные 1st'!$S$2:$S$317=$A8),--ISNUMBER('Данные 1st'!$PY$2:$PY$317))</f>
        <v>7</v>
      </c>
      <c r="GT8">
        <f>SUMPRODUCT(--('Данные 1st'!$S$2:$S$317=$A8),--ISNUMBER('Данные 1st'!$QA$2:$QA$317))</f>
        <v>7</v>
      </c>
      <c r="GU8">
        <f>SUMPRODUCT(--('Данные 1st'!$S$2:$S$317=$A8),--ISNUMBER('Данные 1st'!$QB$2:$QB$317))</f>
        <v>7</v>
      </c>
      <c r="GV8">
        <f>SUMPRODUCT(--('Данные 1st'!$S$2:$S$317=$A8),--ISNUMBER('Данные 1st'!$QC$2:$QC$317))</f>
        <v>7</v>
      </c>
      <c r="GW8">
        <f>SUMPRODUCT(--('Данные 1st'!$S$2:$S$317=$A8),--ISNUMBER('Данные 1st'!$QD$2:$QD$317))</f>
        <v>7</v>
      </c>
      <c r="GX8">
        <f>SUMPRODUCT(--('Данные 1st'!$S$2:$S$317=$A8),--ISNUMBER('Данные 1st'!$QF$2:$QF$317))</f>
        <v>7</v>
      </c>
      <c r="GY8">
        <f>SUMPRODUCT(--('Данные 1st'!$S$2:$S$317=$A8),--ISNUMBER('Данные 1st'!$QG$2:$QG$317))</f>
        <v>7</v>
      </c>
      <c r="GZ8">
        <f>SUMPRODUCT(--('Данные 1st'!$S$2:$S$317=$A8),--ISNUMBER('Данные 1st'!$QH$2:$QH$317))</f>
        <v>7</v>
      </c>
      <c r="HA8">
        <f>SUMPRODUCT(--('Данные 1st'!$S$2:$S$317=$A8),--ISNUMBER('Данные 1st'!$QI$2:$QI$317))</f>
        <v>7</v>
      </c>
      <c r="HB8">
        <f>SUMPRODUCT(--('Данные 1st'!$S$2:$S$317=$A8),--ISNUMBER('Данные 1st'!$QK$2:$QK$317))</f>
        <v>2</v>
      </c>
      <c r="HC8">
        <f>SUMPRODUCT(--('Данные 1st'!$S$2:$S$317=$A8),--ISNUMBER('Данные 1st'!$QL$2:$QL$317))</f>
        <v>7</v>
      </c>
      <c r="HD8">
        <f>SUMPRODUCT(--('Данные 1st'!$S$2:$S$317=$A8),--ISNUMBER('Данные 1st'!$QM$2:$QM$317))</f>
        <v>7</v>
      </c>
      <c r="HE8">
        <f>SUMPRODUCT(--('Данные 1st'!$S$2:$S$317=$A8),--ISNUMBER('Данные 1st'!$QN$2:$QN$317))</f>
        <v>7</v>
      </c>
      <c r="HF8">
        <f>SUMPRODUCT(--('Данные 1st'!$S$2:$S$317=$A8),--ISNUMBER('Данные 1st'!$QP$2:$QP$317))</f>
        <v>7</v>
      </c>
      <c r="HG8">
        <f>SUMPRODUCT(--('Данные 1st'!$S$2:$S$317=$A8),--ISNUMBER('Данные 1st'!$QQ$2:$QQ$317))</f>
        <v>7</v>
      </c>
      <c r="HH8">
        <f>SUMPRODUCT(--('Данные 1st'!$S$2:$S$317=$A8),--ISNUMBER('Данные 1st'!$QR$2:$QR$317))</f>
        <v>0</v>
      </c>
      <c r="HI8">
        <f>SUMPRODUCT(--('Данные 1st'!$S$2:$S$317=$A8),--ISNUMBER('Данные 1st'!$QS$2:$QS$317))</f>
        <v>0</v>
      </c>
      <c r="HJ8">
        <f>SUMPRODUCT(--('Данные 1st'!$S$2:$S$317=$A8),--ISNUMBER('Данные 1st'!$QU$2:$QU$317))</f>
        <v>0</v>
      </c>
      <c r="HK8">
        <f>SUMPRODUCT(--('Данные 1st'!$S$2:$S$317=$A8),--ISNUMBER('Данные 1st'!$QV$2:$QV$317))</f>
        <v>0</v>
      </c>
      <c r="HL8">
        <f>SUMPRODUCT(--('Данные 1st'!$S$2:$S$317=$A8),--ISNUMBER('Данные 1st'!$QW$2:$QW$317))</f>
        <v>7</v>
      </c>
      <c r="HM8">
        <f>SUMPRODUCT(--('Данные 1st'!$S$2:$S$317=$A8),--ISNUMBER('Данные 1st'!$QX$2:$QX$317))</f>
        <v>7</v>
      </c>
      <c r="HN8">
        <f>SUMPRODUCT(--('Данные 1st'!$S$2:$S$317=$A8),--ISNUMBER('Данные 1st'!$QZ$2:$QZ$317))</f>
        <v>7</v>
      </c>
      <c r="HO8">
        <f>SUMPRODUCT(--('Данные 1st'!$S$2:$S$317=$A8),--ISNUMBER('Данные 1st'!$RA$2:$RA$317))</f>
        <v>7</v>
      </c>
      <c r="HP8">
        <f>SUMPRODUCT(--('Данные 1st'!$S$2:$S$317=$A8),--ISNUMBER('Данные 1st'!$RB$2:$RB$317))</f>
        <v>7</v>
      </c>
      <c r="HQ8">
        <f>SUMPRODUCT(--('Данные 1st'!$S$2:$S$317=$A8),--ISNUMBER('Данные 1st'!$RD$2:$RD$317))</f>
        <v>0</v>
      </c>
      <c r="HR8">
        <f>SUMPRODUCT(--('Данные 1st'!$S$2:$S$317=$A8),--ISNUMBER('Данные 1st'!$RE$2:$RE$317))</f>
        <v>7</v>
      </c>
      <c r="HS8">
        <f>SUMPRODUCT(--('Данные 1st'!$S$2:$S$317=$A8),--ISNUMBER('Данные 1st'!$RF$2:$RF$317))</f>
        <v>5</v>
      </c>
      <c r="HT8">
        <f>SUMPRODUCT(--('Данные 1st'!$S$2:$S$317=$A8),--ISNUMBER('Данные 1st'!$RG$2:$RG$317))</f>
        <v>2</v>
      </c>
      <c r="HU8">
        <f>SUMPRODUCT(--('Данные 1st'!$S$2:$S$317=$A8),--ISNUMBER('Данные 1st'!$RH$2:$RH$317))</f>
        <v>0</v>
      </c>
      <c r="HV8">
        <f>SUMPRODUCT(--('Данные 1st'!$S$2:$S$317=$A8),--ISNUMBER('Данные 1st'!$RI$2:$RI$317))</f>
        <v>0</v>
      </c>
      <c r="HW8">
        <f>SUMPRODUCT(--('Данные 1st'!$S$2:$S$317=$A8),--ISNUMBER('Данные 1st'!$RJ$2:$RJ$317))</f>
        <v>7</v>
      </c>
      <c r="HX8">
        <f>SUMPRODUCT(--('Данные 1st'!$S$2:$S$317=$A8),--ISNUMBER('Данные 1st'!$RK$2:$RK$317))</f>
        <v>2</v>
      </c>
      <c r="HY8">
        <f>SUMPRODUCT(--('Данные 1st'!$S$2:$S$317=$A8),--ISNUMBER('Данные 1st'!$RL$2:$RL$317))</f>
        <v>7</v>
      </c>
      <c r="HZ8">
        <f>SUMPRODUCT(--('Данные 1st'!$S$2:$S$317=$A8),--ISNUMBER('Данные 1st'!$RM$2:$RM$317))</f>
        <v>0</v>
      </c>
      <c r="IA8">
        <f>SUMPRODUCT(--('Данные 1st'!$S$2:$S$317=$A8),--ISNUMBER('Данные 1st'!$RN$2:$RN$317))</f>
        <v>0</v>
      </c>
      <c r="IB8">
        <f>SUMPRODUCT(--('Данные 1st'!$S$2:$S$317=$A8),--ISNUMBER('Данные 1st'!$RO$2:$RO$317))</f>
        <v>7</v>
      </c>
      <c r="IC8">
        <f>SUMPRODUCT(--('Данные 1st'!$S$2:$S$317=$A8),--ISNUMBER('Данные 1st'!$RP$2:$RP$317))</f>
        <v>2</v>
      </c>
      <c r="ID8">
        <f>SUMPRODUCT(--('Данные 1st'!$S$2:$S$317=$A8),--ISNUMBER('Данные 1st'!$RQ$2:$RQ$317))</f>
        <v>7</v>
      </c>
      <c r="IE8">
        <f>SUMPRODUCT(--('Данные 1st'!$S$2:$S$317=$A8),--ISNUMBER('Данные 1st'!$RR$2:$RR$317))</f>
        <v>0</v>
      </c>
      <c r="IF8">
        <f>SUMPRODUCT(--('Данные 1st'!$S$2:$S$317=$A8),--ISNUMBER('Данные 1st'!$RS$2:$RS$317))</f>
        <v>0</v>
      </c>
      <c r="IG8">
        <f>SUMPRODUCT(--('Данные 1st'!$S$2:$S$317=$A8),--ISNUMBER('Данные 1st'!$RT$2:$RT$317))</f>
        <v>7</v>
      </c>
      <c r="IH8">
        <f>SUMPRODUCT(--('Данные 1st'!$S$2:$S$317=$A8),--ISNUMBER('Данные 1st'!$RU$2:$RU$317))</f>
        <v>7</v>
      </c>
      <c r="II8">
        <f>SUMPRODUCT(--('Данные 1st'!$S$2:$S$317=$A8),--ISNUMBER('Данные 1st'!$RX$2:$RX$317))</f>
        <v>7</v>
      </c>
      <c r="IJ8">
        <f>SUMPRODUCT(--('Данные 1st'!$S$2:$S$317=$A8),--ISNUMBER('Данные 1st'!$RY$2:$RY$317))</f>
        <v>7</v>
      </c>
      <c r="IK8">
        <f>SUMPRODUCT(--('Данные 1st'!$S$2:$S$317=$A8),--ISNUMBER('Данные 1st'!$SA$2:$SA$317))</f>
        <v>7</v>
      </c>
      <c r="IL8">
        <f>SUMPRODUCT(--('Данные 1st'!$S$2:$S$317=$A8),--ISNUMBER('Данные 1st'!$SD$2:$SD$317))</f>
        <v>7</v>
      </c>
      <c r="IM8">
        <f>SUMPRODUCT(--('Данные 1st'!$S$2:$S$317=$A8),--ISNUMBER('Данные 1st'!$SG$2:$SG$317))</f>
        <v>0</v>
      </c>
      <c r="IN8">
        <f>SUMPRODUCT(--('Данные 1st'!$S$2:$S$317=$A8),--ISNUMBER('Данные 1st'!$SH$2:$SH$317))</f>
        <v>7</v>
      </c>
      <c r="IO8">
        <f>SUMPRODUCT(--('Данные 1st'!$S$2:$S$317=$A8),--ISNUMBER('Данные 1st'!$SI$2:$SI$317))</f>
        <v>7</v>
      </c>
      <c r="IP8">
        <f>SUMPRODUCT(--('Данные 1st'!$S$2:$S$317=$A8),--ISNUMBER('Данные 1st'!$SJ$2:$SJ$317))</f>
        <v>7</v>
      </c>
      <c r="IQ8">
        <f>SUMPRODUCT(--('Данные 1st'!$S$2:$S$317=$A8),--ISNUMBER('Данные 1st'!$SK$2:$SK$317))</f>
        <v>7</v>
      </c>
      <c r="IR8">
        <f>SUMPRODUCT(--('Данные 1st'!$S$2:$S$317=$A8),--ISNUMBER('Данные 1st'!$SL$2:$SL$317))</f>
        <v>7</v>
      </c>
      <c r="IS8">
        <f>SUMPRODUCT(--('Данные 1st'!$S$2:$S$317=$A8),--ISNUMBER('Данные 1st'!$SM$2:$SM$317))</f>
        <v>7</v>
      </c>
      <c r="IT8">
        <f>SUMPRODUCT(--('Данные 1st'!$S$2:$S$317=$A8),--ISNUMBER('Данные 1st'!$SN$2:$SN$317))</f>
        <v>7</v>
      </c>
      <c r="IU8">
        <f>SUMPRODUCT(--('Данные 1st'!$S$2:$S$317=$A8),--ISNUMBER('Данные 1st'!$SO$2:$SO$317))</f>
        <v>7</v>
      </c>
      <c r="IV8">
        <f>SUMPRODUCT(--('Данные 1st'!$S$2:$S$317=$A8),--ISNUMBER('Данные 1st'!$SP$2:$SP$317))</f>
        <v>7</v>
      </c>
      <c r="IW8">
        <f>SUMPRODUCT(--('Данные 1st'!$S$2:$S$317=$A8),--ISNUMBER('Данные 1st'!$SQ$2:$SQ$317))</f>
        <v>7</v>
      </c>
      <c r="IX8">
        <f>SUMPRODUCT(--('Данные 1st'!$S$2:$S$317=$A8),--ISNUMBER('Данные 1st'!$SR$2:$SR$317))</f>
        <v>7</v>
      </c>
      <c r="IY8">
        <f>SUMPRODUCT(--('Данные 1st'!$S$2:$S$317=$A8),--ISNUMBER('Данные 1st'!$SS$2:$SS$317))</f>
        <v>7</v>
      </c>
      <c r="IZ8">
        <f>SUMPRODUCT(--('Данные 1st'!$S$2:$S$317=$A8),--ISNUMBER('Данные 1st'!$ST$2:$ST$317))</f>
        <v>7</v>
      </c>
      <c r="JA8">
        <f>SUMPRODUCT(--('Данные 1st'!$S$2:$S$317=$A8),--ISNUMBER('Данные 1st'!$SU$2:$SU$317))</f>
        <v>7</v>
      </c>
      <c r="JB8">
        <f>SUMPRODUCT(--('Данные 1st'!$S$2:$S$317=$A8),--ISNUMBER('Данные 1st'!$SV$2:$SV$317))</f>
        <v>7</v>
      </c>
      <c r="JC8">
        <f>SUMPRODUCT(--('Данные 1st'!$S$2:$S$317=$A8),--ISNUMBER('Данные 1st'!$SW$2:$SW$317))</f>
        <v>7</v>
      </c>
      <c r="JD8">
        <f>SUMPRODUCT(--('Данные 1st'!$S$2:$S$317=$A8),--ISNUMBER('Данные 1st'!$SX$2:$SX$317))</f>
        <v>7</v>
      </c>
      <c r="JE8">
        <f>SUMPRODUCT(--('Данные 1st'!$S$2:$S$317=$A8),--ISNUMBER('Данные 1st'!$SY$2:$SY$317))</f>
        <v>2</v>
      </c>
      <c r="JF8">
        <f>SUMPRODUCT(--('Данные 1st'!$S$2:$S$317=$A8),--ISNUMBER('Данные 1st'!$SZ$2:$SZ$317))</f>
        <v>0</v>
      </c>
      <c r="JG8">
        <f>SUMPRODUCT(--('Данные 1st'!$S$2:$S$317=$A8),--ISNUMBER('Данные 1st'!$TA$2:$TA$317))</f>
        <v>0</v>
      </c>
      <c r="JH8">
        <f>SUMPRODUCT(--('Данные 1st'!$S$2:$S$317=$A8),--ISNUMBER('Данные 1st'!$TB$2:$TB$317))</f>
        <v>7</v>
      </c>
      <c r="JI8">
        <f>SUMPRODUCT(--('Данные 1st'!$S$2:$S$317=$A8),--ISNUMBER('Данные 1st'!$TC$2:$TC$317))</f>
        <v>7</v>
      </c>
      <c r="JJ8">
        <f>SUMPRODUCT(--('Данные 1st'!$S$2:$S$317=$A8),--ISNUMBER('Данные 1st'!$TD$2:$TD$317))</f>
        <v>7</v>
      </c>
      <c r="JK8">
        <f>SUMPRODUCT(--('Данные 1st'!$S$2:$S$317=$A8),--ISNUMBER('Данные 1st'!$TN$2:$TN$317))</f>
        <v>7</v>
      </c>
      <c r="JQ8">
        <f>SUMPRODUCT(--('Данные 2st'!$Q$2:$Q$317=$A8),--ISNUMBER('Данные 2st'!$AC$2:$AC$317))</f>
        <v>7</v>
      </c>
      <c r="JR8">
        <f>SUMPRODUCT(--('Данные 2st'!$Q$2:$Q$317=$A8),--ISNUMBER('Данные 2st'!$AF$2:$AF$317))</f>
        <v>7</v>
      </c>
      <c r="JS8">
        <f>SUMPRODUCT(--('Данные 2st'!$Q$2:$Q$317=$A8),--ISNUMBER('Данные 2st'!$AW$2:$AW$317))</f>
        <v>7</v>
      </c>
      <c r="JT8">
        <f>SUMPRODUCT(--('Данные 2st'!$Q$2:$Q$317=$A8),--ISNUMBER('Данные 2st'!$AX$2:$AX$317))</f>
        <v>7</v>
      </c>
      <c r="JU8">
        <f>SUMPRODUCT(--('Данные 2st'!$Q$2:$Q$317=$A8),--ISNUMBER('Данные 2st'!$AY$2:$AY$317))</f>
        <v>7</v>
      </c>
      <c r="JV8">
        <f>SUMPRODUCT(--('Данные 2st'!$Q$2:$Q$317=$A8),--ISNUMBER('Данные 2st'!$AZ$2:$AZ$317))</f>
        <v>7</v>
      </c>
      <c r="JW8">
        <f>SUMPRODUCT(--('Данные 2st'!$Q$2:$Q$317=$A8),--ISNUMBER('Данные 2st'!$BA$2:$BA$317))</f>
        <v>0</v>
      </c>
      <c r="JX8">
        <f>SUMPRODUCT(--('Данные 2st'!$Q$2:$Q$317=$A8),--ISNUMBER('Данные 2st'!$BB$2:$BB$317))</f>
        <v>0</v>
      </c>
      <c r="JY8">
        <f>SUMPRODUCT(--('Данные 2st'!$Q$2:$Q$317=$A8),--ISNUMBER('Данные 2st'!$BC$2:$BC$317))</f>
        <v>0</v>
      </c>
      <c r="JZ8">
        <f>SUMPRODUCT(--('Данные 2st'!$Q$2:$Q$317=$A8),--ISNUMBER('Данные 2st'!$BH$2:$BH$317))</f>
        <v>7</v>
      </c>
      <c r="KA8">
        <f>SUMPRODUCT(--('Данные 2st'!$Q$2:$Q$317=$A8),--ISNUMBER('Данные 2st'!$BI$2:$BI$317))</f>
        <v>7</v>
      </c>
      <c r="KB8">
        <f>SUMPRODUCT(--('Данные 2st'!$Q$2:$Q$317=$A8),--ISNUMBER('Данные 2st'!$BJ$2:$BJ$317))</f>
        <v>7</v>
      </c>
      <c r="KC8">
        <f>SUMPRODUCT(--('Данные 2st'!$Q$2:$Q$317=$A8),--ISNUMBER('Данные 2st'!$BK$2:$BK$317))</f>
        <v>7</v>
      </c>
      <c r="KD8">
        <f>SUMPRODUCT(--('Данные 2st'!$Q$2:$Q$317=$A8),--ISNUMBER('Данные 2st'!$BL$2:$BL$317))</f>
        <v>7</v>
      </c>
      <c r="KE8">
        <f>SUMPRODUCT(--('Данные 2st'!$Q$2:$Q$317=$A8),--ISNUMBER('Данные 2st'!$BM$2:$BM$317))</f>
        <v>7</v>
      </c>
      <c r="KF8">
        <f>SUMPRODUCT(--('Данные 2st'!$Q$2:$Q$317=$A8),--ISNUMBER('Данные 2st'!$BN$2:$BN$317))</f>
        <v>7</v>
      </c>
      <c r="KG8">
        <f>SUMPRODUCT(--('Данные 2st'!$Q$2:$Q$317=$A8),--ISNUMBER('Данные 2st'!$BO$2:$BO$317))</f>
        <v>1</v>
      </c>
      <c r="KH8">
        <f>SUMPRODUCT(--('Данные 2st'!$Q$2:$Q$317=$A8),--ISNUMBER('Данные 2st'!$BP$2:$BP$317))</f>
        <v>7</v>
      </c>
      <c r="KI8">
        <f>SUMPRODUCT(--('Данные 2st'!$Q$2:$Q$317=$A8),--ISNUMBER('Данные 2st'!$BR$2:$BR$317))</f>
        <v>7</v>
      </c>
      <c r="KJ8">
        <f>SUMPRODUCT(--('Данные 2st'!$Q$2:$Q$317=$A8),--ISNUMBER('Данные 2st'!$BS$2:$BS$317))</f>
        <v>7</v>
      </c>
      <c r="KK8">
        <f>SUMPRODUCT(--('Данные 2st'!$Q$2:$Q$317=$A8),--ISNUMBER('Данные 2st'!$BT$2:$BT$317))</f>
        <v>7</v>
      </c>
      <c r="KL8">
        <f>SUMPRODUCT(--('Данные 2st'!$Q$2:$Q$317=$A8),--ISNUMBER('Данные 2st'!$CV$2:$CV$317))</f>
        <v>7</v>
      </c>
      <c r="KM8">
        <f>SUMPRODUCT(--('Данные 2st'!$Q$2:$Q$317=$A8),--ISNUMBER('Данные 2st'!$CW$2:$CW$317))</f>
        <v>7</v>
      </c>
      <c r="KN8">
        <f>SUMPRODUCT(--('Данные 2st'!$Q$2:$Q$317=$A8),--ISNUMBER('Данные 2st'!$CX$2:$CX$317))</f>
        <v>7</v>
      </c>
      <c r="KO8">
        <f>SUMPRODUCT(--('Данные 2st'!$Q$2:$Q$317=$A8),--ISNUMBER('Данные 2st'!$CY$2:$CY$317))</f>
        <v>7</v>
      </c>
      <c r="KP8">
        <f>SUMPRODUCT(--('Данные 2st'!$Q$2:$Q$317=$A8),--ISNUMBER('Данные 2st'!$CZ$2:$CZ$317))</f>
        <v>7</v>
      </c>
      <c r="KQ8">
        <f>SUMPRODUCT(--('Данные 2st'!$Q$2:$Q$317=$A8),--ISNUMBER('Данные 2st'!$DA$2:$DA$317))</f>
        <v>7</v>
      </c>
      <c r="KR8">
        <f>SUMPRODUCT(--('Данные 2st'!$Q$2:$Q$317=$A8),--ISNUMBER('Данные 2st'!$DB$2:$DB$317))</f>
        <v>7</v>
      </c>
      <c r="KS8">
        <f>SUMPRODUCT(--('Данные 2st'!$Q$2:$Q$317=$A8),--ISNUMBER('Данные 2st'!$DC$2:$DC$317))</f>
        <v>7</v>
      </c>
      <c r="KT8">
        <f>SUMPRODUCT(--('Данные 2st'!$Q$2:$Q$317=$A8),--ISNUMBER('Данные 2st'!$DD$2:$DD$317))</f>
        <v>7</v>
      </c>
      <c r="KU8">
        <f>SUMPRODUCT(--('Данные 2st'!$Q$2:$Q$317=$A8),--ISNUMBER('Данные 2st'!$DE$2:$DE$317))</f>
        <v>7</v>
      </c>
      <c r="KV8">
        <f>SUMPRODUCT(--('Данные 2st'!$Q$2:$Q$317=$A8),--ISNUMBER('Данные 2st'!$DF$2:$DF$317))</f>
        <v>7</v>
      </c>
      <c r="KW8">
        <f>SUMPRODUCT(--('Данные 2st'!$Q$2:$Q$317=$A8),--ISNUMBER('Данные 2st'!$DG$2:$DG$317))</f>
        <v>7</v>
      </c>
      <c r="KX8">
        <f>SUMPRODUCT(--('Данные 2st'!$Q$2:$Q$317=$A8),--ISNUMBER('Данные 2st'!$DH$2:$DH$317))</f>
        <v>4</v>
      </c>
      <c r="KY8">
        <f>SUMPRODUCT(--('Данные 2st'!$Q$2:$Q$317=$A8),--ISNUMBER('Данные 2st'!$DI$2:$DI$317))</f>
        <v>0</v>
      </c>
      <c r="KZ8">
        <f>SUMPRODUCT(--('Данные 2st'!$Q$2:$Q$317=$A8),--ISNUMBER('Данные 2st'!$DK$2:$DK$317))</f>
        <v>7</v>
      </c>
      <c r="LA8">
        <f>SUMPRODUCT(--('Данные 2st'!$Q$2:$Q$317=$A8),--ISNUMBER('Данные 2st'!$DM$2:$DM$317))</f>
        <v>7</v>
      </c>
      <c r="LB8">
        <f>SUMPRODUCT(--('Данные 2st'!$Q$2:$Q$317=$A8),--ISNUMBER('Данные 2st'!$DN$2:$DN$317))</f>
        <v>7</v>
      </c>
      <c r="LC8">
        <f>SUMPRODUCT(--('Данные 2st'!$Q$2:$Q$317=$A8),--ISNUMBER('Данные 2st'!$DO$2:$DO$317))</f>
        <v>7</v>
      </c>
      <c r="LD8">
        <f>SUMPRODUCT(--('Данные 2st'!$Q$2:$Q$317=$A8),--ISNUMBER('Данные 2st'!$DP$2:$DP$317))</f>
        <v>7</v>
      </c>
      <c r="LE8">
        <f>SUMPRODUCT(--('Данные 2st'!$Q$2:$Q$317=$A8),--ISNUMBER('Данные 2st'!$DQ$2:$DQ$317))</f>
        <v>7</v>
      </c>
      <c r="LF8">
        <f>SUMPRODUCT(--('Данные 2st'!$Q$2:$Q$317=$A8),--ISNUMBER('Данные 2st'!$DS$2:$DS$317))</f>
        <v>7</v>
      </c>
      <c r="LG8">
        <f>SUMPRODUCT(--('Данные 2st'!$Q$2:$Q$317=$A8),--ISNUMBER('Данные 2st'!$DU$2:$DU$317))</f>
        <v>7</v>
      </c>
      <c r="LH8">
        <f>SUMPRODUCT(--('Данные 2st'!$Q$2:$Q$317=$A8),--ISNUMBER('Данные 2st'!$DV$2:$DV$317))</f>
        <v>7</v>
      </c>
      <c r="LI8">
        <f>SUMPRODUCT(--('Данные 2st'!$Q$2:$Q$317=$A8),--ISNUMBER('Данные 2st'!$DW$2:$DW$317))</f>
        <v>7</v>
      </c>
      <c r="LJ8">
        <f>SUMPRODUCT(--('Данные 2st'!$Q$2:$Q$317=$A8),--ISNUMBER('Данные 2st'!$DX$2:$DX$317))</f>
        <v>7</v>
      </c>
      <c r="LK8">
        <f>SUMPRODUCT(--('Данные 2st'!$Q$2:$Q$317=$A8),--ISNUMBER('Данные 2st'!$DY$2:$DY$317))</f>
        <v>7</v>
      </c>
      <c r="LL8">
        <f>SUMPRODUCT(--('Данные 2st'!$Q$2:$Q$317=$A8),--ISNUMBER('Данные 2st'!$EA$2:$EA$317))</f>
        <v>7</v>
      </c>
      <c r="LM8">
        <f>SUMPRODUCT(--('Данные 2st'!$Q$2:$Q$317=$A8),--ISNUMBER('Данные 2st'!$EC$2:$EC$317))</f>
        <v>7</v>
      </c>
      <c r="LN8">
        <f>SUMPRODUCT(--('Данные 2st'!$Q$2:$Q$317=$A8),--ISNUMBER('Данные 2st'!$ED$2:$ED$317))</f>
        <v>7</v>
      </c>
      <c r="LO8">
        <f>SUMPRODUCT(--('Данные 2st'!$Q$2:$Q$317=$A8),--ISNUMBER('Данные 2st'!$EE$2:$EE$317))</f>
        <v>7</v>
      </c>
      <c r="LP8">
        <f>SUMPRODUCT(--('Данные 2st'!$Q$2:$Q$317=$A8),--ISNUMBER('Данные 2st'!$EG$2:$EG$317))</f>
        <v>7</v>
      </c>
      <c r="LQ8">
        <f>SUMPRODUCT(--('Данные 2st'!$Q$2:$Q$317=$A8),--ISNUMBER('Данные 2st'!$EI$2:$EI$317))</f>
        <v>7</v>
      </c>
      <c r="LR8">
        <f>SUMPRODUCT(--('Данные 2st'!$Q$2:$Q$317=$A8),--ISNUMBER('Данные 2st'!$EJ$2:$EJ$317))</f>
        <v>7</v>
      </c>
      <c r="LS8">
        <f>SUMPRODUCT(--('Данные 2st'!$Q$2:$Q$317=$A8),--ISNUMBER('Данные 2st'!$EK$2:$EK$317))</f>
        <v>7</v>
      </c>
      <c r="LT8">
        <f>SUMPRODUCT(--('Данные 2st'!$Q$2:$Q$317=$A8),--ISNUMBER('Данные 2st'!$EM$2:$EM$317))</f>
        <v>7</v>
      </c>
      <c r="LU8">
        <f>SUMPRODUCT(--('Данные 2st'!$Q$2:$Q$317=$A8),--ISNUMBER('Данные 2st'!$EN$2:$EN$317))</f>
        <v>7</v>
      </c>
      <c r="LV8">
        <f>SUMPRODUCT(--('Данные 2st'!$Q$2:$Q$317=$A8),--ISNUMBER('Данные 2st'!$EO$2:$EO$317))</f>
        <v>7</v>
      </c>
      <c r="LW8">
        <f>SUMPRODUCT(--('Данные 2st'!$Q$2:$Q$317=$A8),--ISNUMBER('Данные 2st'!$EP$2:$EP$317))</f>
        <v>7</v>
      </c>
      <c r="LX8">
        <f>SUMPRODUCT(--('Данные 2st'!$Q$2:$Q$317=$A8),--ISNUMBER('Данные 2st'!$EQ$2:$EQ$317))</f>
        <v>7</v>
      </c>
      <c r="LY8">
        <f>SUMPRODUCT(--('Данные 2st'!$Q$2:$Q$317=$A8),--ISNUMBER('Данные 2st'!$ER$2:$ER$317))</f>
        <v>7</v>
      </c>
      <c r="LZ8">
        <f>SUMPRODUCT(--('Данные 2st'!$Q$2:$Q$317=$A8),--ISNUMBER('Данные 2st'!$ES$2:$ES$317))</f>
        <v>7</v>
      </c>
      <c r="MA8">
        <f>SUMPRODUCT(--('Данные 2st'!$Q$2:$Q$317=$A8),--ISNUMBER('Данные 2st'!$ET$2:$ET$317))</f>
        <v>7</v>
      </c>
      <c r="MB8">
        <f>SUMPRODUCT(--('Данные 2st'!$Q$2:$Q$317=$A8),--ISNUMBER('Данные 2st'!$EU$2:$EU$317))</f>
        <v>7</v>
      </c>
      <c r="MC8">
        <f>SUMPRODUCT(--('Данные 2st'!$Q$2:$Q$317=$A8),--ISNUMBER('Данные 2st'!$EV$2:$EV$317))</f>
        <v>7</v>
      </c>
      <c r="MD8">
        <f>SUMPRODUCT(--('Данные 2st'!$Q$2:$Q$317=$A8),--ISNUMBER('Данные 2st'!$EW$2:$EW$317))</f>
        <v>7</v>
      </c>
      <c r="ME8">
        <f>SUMPRODUCT(--('Данные 2st'!$Q$2:$Q$317=$A8),--ISNUMBER('Данные 2st'!$EY$2:$EY$317))</f>
        <v>7</v>
      </c>
      <c r="MF8">
        <f>SUMPRODUCT(--('Данные 2st'!$Q$2:$Q$317=$A8),--ISNUMBER('Данные 2st'!$FA$2:$FA$317))</f>
        <v>7</v>
      </c>
      <c r="MG8">
        <f>SUMPRODUCT(--('Данные 2st'!$Q$2:$Q$317=$A8),--ISNUMBER('Данные 2st'!$FB$2:$FB$317))</f>
        <v>7</v>
      </c>
      <c r="MH8">
        <f>SUMPRODUCT(--('Данные 2st'!$Q$2:$Q$317=$A8),--ISNUMBER('Данные 2st'!$FC$2:$FC$317))</f>
        <v>7</v>
      </c>
      <c r="MI8">
        <f>SUMPRODUCT(--('Данные 2st'!$Q$2:$Q$317=$A8),--ISNUMBER('Данные 2st'!$FD$2:$FD$317))</f>
        <v>7</v>
      </c>
      <c r="MJ8">
        <f>SUMPRODUCT(--('Данные 2st'!$Q$2:$Q$317=$A8),--ISNUMBER('Данные 2st'!$FE$2:$FE$317))</f>
        <v>7</v>
      </c>
      <c r="MK8">
        <f>SUMPRODUCT(--('Данные 2st'!$Q$2:$Q$317=$A8),--ISNUMBER('Данные 2st'!$FG$2:$FG$317))</f>
        <v>7</v>
      </c>
      <c r="ML8">
        <f>SUMPRODUCT(--('Данные 2st'!$Q$2:$Q$317=$A8),--ISNUMBER('Данные 2st'!$FI$2:$FI$317))</f>
        <v>7</v>
      </c>
      <c r="MM8">
        <f>SUMPRODUCT(--('Данные 2st'!$Q$2:$Q$317=$A8),--ISNUMBER('Данные 2st'!$FJ$2:$FJ$317))</f>
        <v>7</v>
      </c>
      <c r="MN8">
        <f>SUMPRODUCT(--('Данные 2st'!$Q$2:$Q$317=$A8),--ISNUMBER('Данные 2st'!$FK$2:$FK$317))</f>
        <v>7</v>
      </c>
      <c r="MO8">
        <f>SUMPRODUCT(--('Данные 2st'!$Q$2:$Q$317=$A8),--ISNUMBER('Данные 2st'!$FP$2:$FP$317))</f>
        <v>7</v>
      </c>
      <c r="MP8">
        <f>SUMPRODUCT(--('Данные 2st'!$Q$2:$Q$317=$A8),--ISNUMBER('Данные 2st'!$FQ$2:$FQ$317))</f>
        <v>7</v>
      </c>
      <c r="MQ8">
        <f>SUMPRODUCT(--('Данные 2st'!$Q$2:$Q$317=$A8),--ISNUMBER('Данные 2st'!$FS$2:$FS$317))</f>
        <v>7</v>
      </c>
      <c r="MR8">
        <f>SUMPRODUCT(--('Данные 2st'!$Q$2:$Q$317=$A8),--ISNUMBER('Данные 2st'!$FU$2:$FU$317))</f>
        <v>7</v>
      </c>
      <c r="MS8">
        <f>SUMPRODUCT(--('Данные 2st'!$Q$2:$Q$317=$A8),--ISNUMBER('Данные 2st'!$FV$2:$FV$317))</f>
        <v>7</v>
      </c>
      <c r="MT8">
        <f>SUMPRODUCT(--('Данные 2st'!$Q$2:$Q$317=$A8),--ISNUMBER('Данные 2st'!$FW$2:$FW$317))</f>
        <v>7</v>
      </c>
      <c r="MU8">
        <f>SUMPRODUCT(--('Данные 2st'!$Q$2:$Q$317=$A8),--ISNUMBER('Данные 2st'!$FY$2:$FY$317))</f>
        <v>5</v>
      </c>
      <c r="MV8">
        <f>SUMPRODUCT(--('Данные 2st'!$Q$2:$Q$317=$A8),--ISNUMBER('Данные 2st'!$GB$2:$GB$317))</f>
        <v>5</v>
      </c>
      <c r="MW8">
        <f>SUMPRODUCT(--('Данные 2st'!$Q$2:$Q$317=$A8),--ISNUMBER('Данные 2st'!$GC$2:$GC$317))</f>
        <v>5</v>
      </c>
      <c r="MX8">
        <f>SUMPRODUCT(--('Данные 2st'!$Q$2:$Q$317=$A8),--ISNUMBER('Данные 2st'!$GD$2:$GD$317))</f>
        <v>7</v>
      </c>
      <c r="MY8">
        <f>SUMPRODUCT(--('Данные 2st'!$Q$2:$Q$317=$A8),--ISNUMBER('Данные 2st'!$GN$2:$GN$317))</f>
        <v>0</v>
      </c>
      <c r="MZ8">
        <f>SUMPRODUCT(--('Данные 2st'!$Q$2:$Q$317=$A8),--ISNUMBER('Данные 2st'!$GQ$2:$GQ$317))</f>
        <v>7</v>
      </c>
      <c r="NA8">
        <f>SUMPRODUCT(--('Данные 2st'!$Q$2:$Q$317=$A8),--ISNUMBER('Данные 2st'!$GV$2:$GV$317))</f>
        <v>7</v>
      </c>
      <c r="NB8">
        <f>SUMPRODUCT(--('Данные 2st'!$Q$2:$Q$317=$A8),--ISNUMBER('Данные 2st'!$GW$2:$GW$317))</f>
        <v>7</v>
      </c>
      <c r="NC8">
        <f>SUMPRODUCT(--('Данные 2st'!$Q$2:$Q$317=$A8),--ISNUMBER('Данные 2st'!$GX$2:$GX$317))</f>
        <v>7</v>
      </c>
      <c r="ND8">
        <f>SUMPRODUCT(--('Данные 2st'!$Q$2:$Q$317=$A8),--ISNUMBER('Данные 2st'!$GY$2:$GY$317))</f>
        <v>7</v>
      </c>
      <c r="NE8">
        <f>SUMPRODUCT(--('Данные 2st'!$Q$2:$Q$317=$A8),--ISNUMBER('Данные 2st'!$GZ$2:$GZ$317))</f>
        <v>7</v>
      </c>
      <c r="NF8">
        <f>SUMPRODUCT(--('Данные 2st'!$Q$2:$Q$317=$A8),--ISNUMBER('Данные 2st'!$HA$2:$HA$317))</f>
        <v>7</v>
      </c>
      <c r="NG8">
        <f>SUMPRODUCT(--('Данные 2st'!$Q$2:$Q$317=$A8),--ISNUMBER('Данные 2st'!$HB$2:$HB$317))</f>
        <v>7</v>
      </c>
      <c r="NH8">
        <f>SUMPRODUCT(--('Данные 2st'!$Q$2:$Q$317=$A8),--ISNUMBER('Данные 2st'!$HC$2:$HC$317))</f>
        <v>7</v>
      </c>
      <c r="NI8">
        <f>SUMPRODUCT(--('Данные 2st'!$Q$2:$Q$317=$A8),--ISNUMBER('Данные 2st'!$HD$2:$HD$317))</f>
        <v>7</v>
      </c>
      <c r="NJ8">
        <f>SUMPRODUCT(--('Данные 2st'!$Q$2:$Q$317=$A8),--ISNUMBER('Данные 2st'!$HM$2:$HM$317))</f>
        <v>7</v>
      </c>
      <c r="NK8">
        <f>SUMPRODUCT(--('Данные 2st'!$Q$2:$Q$317=$A8),--ISNUMBER('Данные 2st'!$HR$2:$HR$317))</f>
        <v>7</v>
      </c>
      <c r="NL8">
        <f>SUMPRODUCT(--('Данные 2st'!$Q$2:$Q$317=$A8),--ISNUMBER('Данные 2st'!$HS$2:$HS$317))</f>
        <v>7</v>
      </c>
      <c r="NM8">
        <f>SUMPRODUCT(--('Данные 2st'!$Q$2:$Q$317=$A8),--ISNUMBER('Данные 2st'!$HT$2:$HT$317))</f>
        <v>7</v>
      </c>
      <c r="NN8">
        <f>SUMPRODUCT(--('Данные 2st'!$Q$2:$Q$317=$A8),--ISNUMBER('Данные 2st'!$HY$2:$HY$317))</f>
        <v>7</v>
      </c>
      <c r="NO8">
        <f>SUMPRODUCT(--('Данные 2st'!$Q$2:$Q$317=$A8),--ISNUMBER('Данные 2st'!$HZ$2:$HZ$317))</f>
        <v>7</v>
      </c>
      <c r="NP8">
        <f>SUMPRODUCT(--('Данные 2st'!$Q$2:$Q$317=$A8),--ISNUMBER('Данные 2st'!$IA$2:$IA$317))</f>
        <v>7</v>
      </c>
      <c r="NQ8">
        <f>SUMPRODUCT(--('Данные 2st'!$Q$2:$Q$317=$A8),--ISNUMBER('Данные 2st'!$IB$2:$IB$317))</f>
        <v>7</v>
      </c>
      <c r="NR8">
        <f>SUMPRODUCT(--('Данные 2st'!$Q$2:$Q$317=$A8),--ISNUMBER('Данные 2st'!$IC$2:$IC$317))</f>
        <v>0</v>
      </c>
      <c r="NS8">
        <f>SUMPRODUCT(--('Данные 2st'!$Q$2:$Q$317=$A8),--ISNUMBER('Данные 2st'!$ID$2:$ID$317))</f>
        <v>7</v>
      </c>
      <c r="NT8">
        <f>SUMPRODUCT(--('Данные 2st'!$Q$2:$Q$317=$A8),--ISNUMBER('Данные 2st'!$IE$2:$IE$317))</f>
        <v>7</v>
      </c>
      <c r="NU8">
        <f>SUMPRODUCT(--('Данные 2st'!$Q$2:$Q$317=$A8),--ISNUMBER('Данные 2st'!$IF$2:$IF$317))</f>
        <v>7</v>
      </c>
      <c r="NV8">
        <f>SUMPRODUCT(--('Данные 2st'!$Q$2:$Q$317=$A8),--ISNUMBER('Данные 2st'!$IG$2:$IG$317))</f>
        <v>7</v>
      </c>
      <c r="NW8">
        <f>SUMPRODUCT(--('Данные 2st'!$Q$2:$Q$317=$A8),--ISNUMBER('Данные 2st'!$IH$2:$IH$317))</f>
        <v>7</v>
      </c>
      <c r="NX8">
        <f>SUMPRODUCT(--('Данные 2st'!$Q$2:$Q$317=$A8),--ISNUMBER('Данные 2st'!$IJ$2:$IJ$317))</f>
        <v>7</v>
      </c>
      <c r="NY8">
        <f>SUMPRODUCT(--('Данные 2st'!$Q$2:$Q$317=$A8),--ISNUMBER('Данные 2st'!$IM$2:$IM$317))</f>
        <v>7</v>
      </c>
      <c r="NZ8">
        <f>SUMPRODUCT(--('Данные 2st'!$Q$2:$Q$317=$A8),--ISNUMBER('Данные 2st'!$IN$2:$IN$317))</f>
        <v>7</v>
      </c>
      <c r="OA8">
        <f>SUMPRODUCT(--('Данные 2st'!$Q$2:$Q$317=$A8),--ISNUMBER('Данные 2st'!$IO$2:$IO$317))</f>
        <v>7</v>
      </c>
      <c r="OB8">
        <f>SUMPRODUCT(--('Данные 2st'!$Q$2:$Q$317=$A8),--ISNUMBER('Данные 2st'!$IP$2:$IP$317))</f>
        <v>7</v>
      </c>
      <c r="OC8">
        <f>SUMPRODUCT(--('Данные 2st'!$Q$2:$Q$317=$A8),--ISNUMBER('Данные 2st'!$IQ$2:$IQ$317))</f>
        <v>7</v>
      </c>
      <c r="OD8">
        <f>SUMPRODUCT(--('Данные 2st'!$Q$2:$Q$317=$A8),--ISNUMBER('Данные 2st'!$IR$2:$IR$317))</f>
        <v>7</v>
      </c>
      <c r="OE8">
        <f>SUMPRODUCT(--('Данные 2st'!$Q$2:$Q$317=$A8),--ISNUMBER('Данные 2st'!$IT$2:$IT$317))</f>
        <v>7</v>
      </c>
      <c r="OF8">
        <f>SUMPRODUCT(--('Данные 2st'!$Q$2:$Q$317=$A8),--ISNUMBER('Данные 2st'!$IU$2:$IU$317))</f>
        <v>7</v>
      </c>
      <c r="OG8">
        <f>SUMPRODUCT(--('Данные 2st'!$Q$2:$Q$317=$A8),--ISNUMBER('Данные 2st'!$IV$2:$IV$317))</f>
        <v>7</v>
      </c>
      <c r="OH8">
        <f>SUMPRODUCT(--('Данные 2st'!$Q$2:$Q$317=$A8),--ISNUMBER('Данные 2st'!$IW$2:$IW$317))</f>
        <v>7</v>
      </c>
      <c r="OI8">
        <f>SUMPRODUCT(--('Данные 2st'!$Q$2:$Q$317=$A8),--ISNUMBER('Данные 2st'!$IX$2:$IX$317))</f>
        <v>7</v>
      </c>
      <c r="OJ8">
        <f>SUMPRODUCT(--('Данные 2st'!$Q$2:$Q$317=$A8),--ISNUMBER('Данные 2st'!$IY$2:$IY$317))</f>
        <v>7</v>
      </c>
      <c r="OK8">
        <f>SUMPRODUCT(--('Данные 2st'!$Q$2:$Q$317=$A8),--ISNUMBER('Данные 2st'!$IZ$2:$IZ$317))</f>
        <v>7</v>
      </c>
      <c r="OL8">
        <f>SUMPRODUCT(--('Данные 2st'!$Q$2:$Q$317=$A8),--ISNUMBER('Данные 2st'!$JA$2:$JA$317))</f>
        <v>7</v>
      </c>
      <c r="OM8">
        <f>SUMPRODUCT(--('Данные 2st'!$Q$2:$Q$317=$A8),--ISNUMBER('Данные 2st'!$JB$2:$JB$317))</f>
        <v>7</v>
      </c>
      <c r="ON8">
        <f>SUMPRODUCT(--('Данные 2st'!$Q$2:$Q$317=$A8),--ISNUMBER('Данные 2st'!$JC$2:$JC$317))</f>
        <v>7</v>
      </c>
      <c r="OO8">
        <f>SUMPRODUCT(--('Данные 2st'!$Q$2:$Q$317=$A8),--ISNUMBER('Данные 2st'!$JD$2:$JD$317))</f>
        <v>7</v>
      </c>
      <c r="OP8">
        <f>SUMPRODUCT(--('Данные 2st'!$Q$2:$Q$317=$A8),--ISNUMBER('Данные 2st'!$JE$2:$JE$317))</f>
        <v>7</v>
      </c>
      <c r="OQ8">
        <f>SUMPRODUCT(--('Данные 2st'!$Q$2:$Q$317=$A8),--ISNUMBER('Данные 2st'!$JF$2:$JF$317))</f>
        <v>7</v>
      </c>
      <c r="OR8">
        <f>SUMPRODUCT(--('Данные 2st'!$Q$2:$Q$317=$A8),--ISNUMBER('Данные 2st'!$JG$2:$JG$317))</f>
        <v>7</v>
      </c>
      <c r="OS8">
        <f>SUMPRODUCT(--('Данные 2st'!$Q$2:$Q$317=$A8),--ISNUMBER('Данные 2st'!$JH$2:$JH$317))</f>
        <v>7</v>
      </c>
      <c r="OT8">
        <f>SUMPRODUCT(--('Данные 2st'!$Q$2:$Q$317=$A8),--ISNUMBER('Данные 2st'!$JI$2:$JI$317))</f>
        <v>7</v>
      </c>
      <c r="OU8">
        <f>SUMPRODUCT(--('Данные 2st'!$Q$2:$Q$317=$A8),--ISNUMBER('Данные 2st'!$JJ$2:$JJ$317))</f>
        <v>7</v>
      </c>
      <c r="OV8">
        <f>SUMPRODUCT(--('Данные 2st'!$Q$2:$Q$317=$A8),--ISNUMBER('Данные 2st'!$JK$2:$JK$317))</f>
        <v>7</v>
      </c>
      <c r="OW8">
        <f>SUMPRODUCT(--('Данные 2st'!$Q$2:$Q$317=$A8),--ISNUMBER('Данные 2st'!$JL$2:$JL$317))</f>
        <v>7</v>
      </c>
      <c r="OX8">
        <f>SUMPRODUCT(--('Данные 2st'!$Q$2:$Q$317=$A8),--ISNUMBER('Данные 2st'!$JM$2:$JM$317))</f>
        <v>7</v>
      </c>
      <c r="OY8">
        <f>SUMPRODUCT(--('Данные 2st'!$Q$2:$Q$317=$A8),--ISNUMBER('Данные 2st'!$JP$2:$JP$317))</f>
        <v>7</v>
      </c>
      <c r="OZ8">
        <f>SUMPRODUCT(--('Данные 2st'!$Q$2:$Q$317=$A8),--ISNUMBER('Данные 2st'!$JQ$2:$JQ$317))</f>
        <v>7</v>
      </c>
      <c r="PA8">
        <f>SUMPRODUCT(--('Данные 2st'!$Q$2:$Q$317=$A8),--ISNUMBER('Данные 2st'!$JR$2:$JR$317))</f>
        <v>7</v>
      </c>
      <c r="PB8">
        <f>SUMPRODUCT(--('Данные 2st'!$Q$2:$Q$317=$A8),--ISNUMBER('Данные 2st'!$JS$2:$JS$317))</f>
        <v>7</v>
      </c>
      <c r="PC8">
        <f>SUMPRODUCT(--('Данные 2st'!$Q$2:$Q$317=$A8),--ISNUMBER('Данные 2st'!$JT$2:$JT$317))</f>
        <v>5</v>
      </c>
      <c r="PD8">
        <f>SUMPRODUCT(--('Данные 2st'!$Q$2:$Q$317=$A8),--ISNUMBER('Данные 2st'!$JU$2:$JU$317))</f>
        <v>5</v>
      </c>
      <c r="PE8">
        <f>SUMPRODUCT(--('Данные 2st'!$Q$2:$Q$317=$A8),--ISNUMBER('Данные 2st'!$JV$2:$JV$317))</f>
        <v>7</v>
      </c>
      <c r="PF8">
        <f>SUMPRODUCT(--('Данные 2st'!$Q$2:$Q$317=$A8),--ISNUMBER('Данные 2st'!$JW$2:$JW$317))</f>
        <v>7</v>
      </c>
      <c r="PG8">
        <f>SUMPRODUCT(--('Данные 2st'!$Q$2:$Q$317=$A8),--ISNUMBER('Данные 2st'!$KF$2:$KF$317))</f>
        <v>7</v>
      </c>
      <c r="PH8">
        <f>SUMPRODUCT(--('Данные 2st'!$Q$2:$Q$317=$A8),--ISNUMBER('Данные 2st'!$KG$2:$KG$317))</f>
        <v>7</v>
      </c>
      <c r="PI8">
        <f>SUMPRODUCT(--('Данные 2st'!$Q$2:$Q$317=$A8),--ISNUMBER('Данные 2st'!$KM$2:$KM$317))</f>
        <v>7</v>
      </c>
      <c r="PJ8">
        <f>SUMPRODUCT(--('Данные 2st'!$Q$2:$Q$317=$A8),--ISNUMBER('Данные 2st'!$KN$2:$KN$317))</f>
        <v>7</v>
      </c>
      <c r="PK8">
        <f>SUMPRODUCT(--('Данные 2st'!$Q$2:$Q$317=$A8),--ISNUMBER('Данные 2st'!$KO$2:$KO$317))</f>
        <v>7</v>
      </c>
      <c r="PL8">
        <f>SUMPRODUCT(--('Данные 2st'!$Q$2:$Q$317=$A8),--ISNUMBER('Данные 2st'!$KP$2:$KP$317))</f>
        <v>7</v>
      </c>
      <c r="PM8">
        <f>SUMPRODUCT(--('Данные 2st'!$Q$2:$Q$317=$A8),--ISNUMBER('Данные 2st'!$KQ$2:$KQ$317))</f>
        <v>7</v>
      </c>
      <c r="PN8">
        <f>SUMPRODUCT(--('Данные 2st'!$Q$2:$Q$317=$A8),--ISNUMBER('Данные 2st'!$KR$2:$KR$317))</f>
        <v>7</v>
      </c>
      <c r="PO8">
        <f>SUMPRODUCT(--('Данные 2st'!$Q$2:$Q$317=$A8),--ISNUMBER('Данные 2st'!$KS$2:$KS$317))</f>
        <v>7</v>
      </c>
      <c r="PP8">
        <f>SUMPRODUCT(--('Данные 2st'!$Q$2:$Q$317=$A8),--ISNUMBER('Данные 2st'!$KT$2:$KT$317))</f>
        <v>7</v>
      </c>
      <c r="PQ8">
        <f>SUMPRODUCT(--('Данные 2st'!$Q$2:$Q$317=$A8),--ISNUMBER('Данные 2st'!$KU$2:$KU$317))</f>
        <v>7</v>
      </c>
      <c r="PR8">
        <f>SUMPRODUCT(--('Данные 2st'!$Q$2:$Q$317=$A8),--ISNUMBER('Данные 2st'!$KV$2:$KV$317))</f>
        <v>7</v>
      </c>
      <c r="PS8">
        <f>SUMPRODUCT(--('Данные 2st'!$Q$2:$Q$317=$A8),--ISNUMBER('Данные 2st'!$KW$2:$KW$317))</f>
        <v>7</v>
      </c>
      <c r="PT8">
        <f>SUMPRODUCT(--('Данные 2st'!$Q$2:$Q$317=$A8),--ISNUMBER('Данные 2st'!$KX$2:$KX$317))</f>
        <v>7</v>
      </c>
      <c r="PU8">
        <f>SUMPRODUCT(--('Данные 2st'!$Q$2:$Q$317=$A8),--ISNUMBER('Данные 2st'!$KY$2:$KY$317))</f>
        <v>7</v>
      </c>
      <c r="PV8">
        <f>SUMPRODUCT(--('Данные 2st'!$Q$2:$Q$317=$A8),--ISNUMBER('Данные 2st'!$KZ$2:$KZ$317))</f>
        <v>7</v>
      </c>
      <c r="PW8">
        <f>SUMPRODUCT(--('Данные 2st'!$Q$2:$Q$317=$A8),--ISNUMBER('Данные 2st'!$LA$2:$LA$317))</f>
        <v>7</v>
      </c>
      <c r="PX8">
        <f>SUMPRODUCT(--('Данные 2st'!$Q$2:$Q$317=$A8),--ISNUMBER('Данные 2st'!$LB$2:$LB$317))</f>
        <v>7</v>
      </c>
      <c r="PY8">
        <f>SUMPRODUCT(--('Данные 2st'!$Q$2:$Q$317=$A8),--ISNUMBER('Данные 2st'!$LC$2:$LC$317))</f>
        <v>7</v>
      </c>
      <c r="PZ8">
        <f>SUMPRODUCT(--('Данные 2st'!$Q$2:$Q$317=$A8),--ISNUMBER('Данные 2st'!$LD$2:$LD$317))</f>
        <v>7</v>
      </c>
      <c r="QA8">
        <f>SUMPRODUCT(--('Данные 2st'!$Q$2:$Q$317=$A8),--ISNUMBER('Данные 2st'!$LE$2:$LE$317))</f>
        <v>7</v>
      </c>
      <c r="QB8">
        <f>SUMPRODUCT(--('Данные 2st'!$Q$2:$Q$317=$A8),--ISNUMBER('Данные 2st'!$LF$2:$LF$317))</f>
        <v>7</v>
      </c>
      <c r="QC8">
        <f>SUMPRODUCT(--('Данные 2st'!$Q$2:$Q$317=$A8),--ISNUMBER('Данные 2st'!$LG$2:$LG$317))</f>
        <v>7</v>
      </c>
      <c r="QD8">
        <f>SUMPRODUCT(--('Данные 2st'!$Q$2:$Q$317=$A8),--ISNUMBER('Данные 2st'!$LH$2:$LH$317))</f>
        <v>7</v>
      </c>
      <c r="QE8">
        <f>SUMPRODUCT(--('Данные 2st'!$Q$2:$Q$317=$A8),--ISNUMBER('Данные 2st'!$LJ$2:$LJ$317))</f>
        <v>7</v>
      </c>
      <c r="QF8">
        <f>SUMPRODUCT(--('Данные 2st'!$Q$2:$Q$317=$A8),--ISNUMBER('Данные 2st'!$LK$2:$LK$317))</f>
        <v>7</v>
      </c>
      <c r="QG8">
        <f>SUMPRODUCT(--('Данные 2st'!$Q$2:$Q$317=$A8),--ISNUMBER('Данные 2st'!$LL$2:$LL$317))</f>
        <v>7</v>
      </c>
      <c r="QH8">
        <f>SUMPRODUCT(--('Данные 2st'!$Q$2:$Q$317=$A8),--ISNUMBER('Данные 2st'!$LM$2:$LM$317))</f>
        <v>7</v>
      </c>
      <c r="QI8">
        <f>SUMPRODUCT(--('Данные 2st'!$Q$2:$Q$317=$A8),--ISNUMBER('Данные 2st'!$LN$2:$LN$317))</f>
        <v>7</v>
      </c>
      <c r="QJ8">
        <f>SUMPRODUCT(--('Данные 2st'!$Q$2:$Q$317=$A8),--ISNUMBER('Данные 2st'!$LO$2:$LO$317))</f>
        <v>7</v>
      </c>
      <c r="QK8">
        <f>SUMPRODUCT(--('Данные 2st'!$Q$2:$Q$317=$A8),--ISNUMBER('Данные 2st'!$LP$2:$LP$317))</f>
        <v>7</v>
      </c>
      <c r="QL8">
        <f>SUMPRODUCT(--('Данные 2st'!$Q$2:$Q$317=$A8),--ISNUMBER('Данные 2st'!$LQ$2:$LQ$317))</f>
        <v>7</v>
      </c>
      <c r="QM8">
        <f>SUMPRODUCT(--('Данные 2st'!$Q$2:$Q$317=$A8),--ISNUMBER('Данные 2st'!$LW$2:$LW$317))</f>
        <v>7</v>
      </c>
      <c r="QN8">
        <f>SUMPRODUCT(--('Данные 2st'!$Q$2:$Q$317=$A8),--ISNUMBER('Данные 2st'!$LX$2:$LX$317))</f>
        <v>7</v>
      </c>
      <c r="QO8">
        <f>SUMPRODUCT(--('Данные 2st'!$Q$2:$Q$317=$A8),--ISNUMBER('Данные 2st'!$LY$2:$LY$317))</f>
        <v>7</v>
      </c>
      <c r="QP8">
        <f>SUMPRODUCT(--('Данные 2st'!$Q$2:$Q$317=$A8),--ISNUMBER('Данные 2st'!$LZ$2:$LZ$317))</f>
        <v>7</v>
      </c>
      <c r="QQ8">
        <f>SUMPRODUCT(--('Данные 2st'!$Q$2:$Q$317=$A8),--ISNUMBER('Данные 2st'!$MB$2:$MB$317))</f>
        <v>7</v>
      </c>
      <c r="QR8">
        <f>SUMPRODUCT(--('Данные 2st'!$Q$2:$Q$317=$A8),--ISNUMBER('Данные 2st'!$MG$2:$MG$317))</f>
        <v>2</v>
      </c>
      <c r="QS8">
        <f>SUMPRODUCT(--('Данные 2st'!$Q$2:$Q$317=$A8),--ISNUMBER('Данные 2st'!$MH$2:$MH$317))</f>
        <v>2</v>
      </c>
      <c r="QT8">
        <f>SUMPRODUCT(--('Данные 2st'!$Q$2:$Q$317=$A8),--ISNUMBER('Данные 2st'!$MI$2:$MI$317))</f>
        <v>7</v>
      </c>
      <c r="QU8">
        <f>SUMPRODUCT(--('Данные 2st'!$Q$2:$Q$317=$A8),--ISNUMBER('Данные 2st'!$MJ$2:$MJ$317))</f>
        <v>7</v>
      </c>
      <c r="QV8">
        <f>SUMPRODUCT(--('Данные 2st'!$Q$2:$Q$317=$A8),--ISNUMBER('Данные 2st'!$MK$2:$MK$317))</f>
        <v>2</v>
      </c>
      <c r="QW8">
        <f>SUMPRODUCT(--('Данные 2st'!$Q$2:$Q$317=$A8),--ISNUMBER('Данные 2st'!$MM$2:$MM$317))</f>
        <v>7</v>
      </c>
      <c r="QX8">
        <f>SUMPRODUCT(--('Данные 2st'!$Q$2:$Q$317=$A8),--ISNUMBER('Данные 2st'!$MQ$2:$MQ$317))</f>
        <v>0</v>
      </c>
      <c r="QY8">
        <f>SUMPRODUCT(--('Данные 2st'!$Q$2:$Q$317=$A8),--ISNUMBER('Данные 2st'!$MR$2:$MR$317))</f>
        <v>0</v>
      </c>
      <c r="QZ8">
        <f>SUMPRODUCT(--('Данные 2st'!$Q$2:$Q$317=$A8),--ISNUMBER('Данные 2st'!$MS$2:$MS$317))</f>
        <v>0</v>
      </c>
      <c r="RA8">
        <f>SUMPRODUCT(--('Данные 2st'!$Q$2:$Q$317=$A8),--ISNUMBER('Данные 2st'!$MT$2:$MT$317))</f>
        <v>0</v>
      </c>
      <c r="RB8">
        <f>SUMPRODUCT(--('Данные 2st'!$Q$2:$Q$317=$A8),--ISNUMBER('Данные 2st'!$MU$2:$MU$317))</f>
        <v>0</v>
      </c>
      <c r="RC8">
        <f>SUMPRODUCT(--('Данные 2st'!$Q$2:$Q$317=$A8),--ISNUMBER('Данные 2st'!$MV$2:$MV$317))</f>
        <v>0</v>
      </c>
      <c r="RD8">
        <f>SUMPRODUCT(--('Данные 2st'!$Q$2:$Q$317=$A8),--ISNUMBER('Данные 2st'!$MW$2:$MW$317))</f>
        <v>0</v>
      </c>
      <c r="RE8">
        <f>SUMPRODUCT(--('Данные 2st'!$Q$2:$Q$317=$A8),--ISNUMBER('Данные 2st'!$MX$2:$MX$317))</f>
        <v>0</v>
      </c>
      <c r="RF8">
        <f>SUMPRODUCT(--('Данные 2st'!$Q$2:$Q$317=$A8),--ISNUMBER('Данные 2st'!$MY$2:$MY$317))</f>
        <v>0</v>
      </c>
      <c r="RG8">
        <f>SUMPRODUCT(--('Данные 2st'!$Q$2:$Q$317=$A8),--ISNUMBER('Данные 2st'!$MZ$2:$MZ$317))</f>
        <v>0</v>
      </c>
      <c r="RH8">
        <f>SUMPRODUCT(--('Данные 2st'!$Q$2:$Q$317=$A8),--ISNUMBER('Данные 2st'!$NA$2:$NA$317))</f>
        <v>0</v>
      </c>
      <c r="RI8">
        <f>SUMPRODUCT(--('Данные 2st'!$Q$2:$Q$317=$A8),--ISNUMBER('Данные 2st'!$NB$2:$NB$317))</f>
        <v>0</v>
      </c>
      <c r="RJ8">
        <f>SUMPRODUCT(--('Данные 2st'!$Q$2:$Q$317=$A8),--ISNUMBER('Данные 2st'!$NC$2:$NC$317))</f>
        <v>0</v>
      </c>
      <c r="RK8">
        <f>SUMPRODUCT(--('Данные 2st'!$Q$2:$Q$317=$A8),--ISNUMBER('Данные 2st'!$ND$2:$ND$317))</f>
        <v>0</v>
      </c>
      <c r="RL8">
        <f>SUMPRODUCT(--('Данные 2st'!$Q$2:$Q$317=$A8),--ISNUMBER('Данные 2st'!$NE$2:$NE$317))</f>
        <v>0</v>
      </c>
      <c r="RM8">
        <f>SUMPRODUCT(--('Данные 2st'!$Q$2:$Q$317=$A8),--ISNUMBER('Данные 2st'!$NF$2:$NF$317))</f>
        <v>0</v>
      </c>
      <c r="RN8">
        <f>SUMPRODUCT(--('Данные 2st'!$Q$2:$Q$317=$A8),--ISNUMBER('Данные 2st'!$NG$2:$NG$317))</f>
        <v>0</v>
      </c>
      <c r="RO8">
        <f>SUMPRODUCT(--('Данные 2st'!$Q$2:$Q$317=$A8),--ISNUMBER('Данные 2st'!$NH$2:$NH$317))</f>
        <v>0</v>
      </c>
      <c r="RP8">
        <f>SUMPRODUCT(--('Данные 2st'!$Q$2:$Q$317=$A8),--ISNUMBER('Данные 2st'!$NJ$2:$NJ$317))</f>
        <v>0</v>
      </c>
      <c r="RQ8">
        <f>SUMPRODUCT(--('Данные 2st'!$Q$2:$Q$317=$A8),--ISNUMBER('Данные 2st'!$NK$2:$NK$317))</f>
        <v>0</v>
      </c>
      <c r="RR8">
        <f>SUMPRODUCT(--('Данные 2st'!$Q$2:$Q$317=$A8),--ISNUMBER('Данные 2st'!$NM$2:$NM$317))</f>
        <v>0</v>
      </c>
      <c r="RS8">
        <f>SUMPRODUCT(--('Данные 2st'!$Q$2:$Q$317=$A8),--ISNUMBER('Данные 2st'!$NN$2:$NN$317))</f>
        <v>0</v>
      </c>
      <c r="RT8">
        <f>SUMPRODUCT(--('Данные 2st'!$Q$2:$Q$317=$A8),--ISNUMBER('Данные 2st'!$NO$2:$NO$317))</f>
        <v>0</v>
      </c>
      <c r="RU8">
        <f>SUMPRODUCT(--('Данные 2st'!$Q$2:$Q$317=$A8),--ISNUMBER('Данные 2st'!$NP$2:$NP$317))</f>
        <v>0</v>
      </c>
      <c r="RV8">
        <f>SUMPRODUCT(--('Данные 2st'!$Q$2:$Q$317=$A8),--ISNUMBER('Данные 2st'!$NQ$2:$NQ$317))</f>
        <v>0</v>
      </c>
      <c r="RW8">
        <f>SUMPRODUCT(--('Данные 2st'!$Q$2:$Q$317=$A8),--ISNUMBER('Данные 2st'!$NR$2:$NR$317))</f>
        <v>0</v>
      </c>
      <c r="RX8">
        <f>SUMPRODUCT(--('Данные 2st'!$Q$2:$Q$317=$A8),--ISNUMBER('Данные 2st'!$NS$2:$NS$317))</f>
        <v>0</v>
      </c>
      <c r="RY8">
        <f>SUMPRODUCT(--('Данные 2st'!$Q$2:$Q$317=$A8),--ISNUMBER('Данные 2st'!$NT$2:$NT$317))</f>
        <v>0</v>
      </c>
      <c r="RZ8">
        <f>SUMPRODUCT(--('Данные 2st'!$Q$2:$Q$317=$A8),--ISNUMBER('Данные 2st'!$OK$2:$OK$317))</f>
        <v>7</v>
      </c>
      <c r="SA8">
        <f>SUMPRODUCT(--('Данные 2st'!$Q$2:$Q$317=$A8),--ISNUMBER('Данные 2st'!$OL$2:$OL$317))</f>
        <v>7</v>
      </c>
      <c r="SB8">
        <f>SUMPRODUCT(--('Данные 2st'!$Q$2:$Q$317=$A8),--ISNUMBER('Данные 2st'!$ON$2:$ON$317))</f>
        <v>7</v>
      </c>
      <c r="SC8">
        <f>SUMPRODUCT(--('Данные 2st'!$Q$2:$Q$317=$A8),--ISNUMBER('Данные 2st'!$OO$2:$OO$317))</f>
        <v>7</v>
      </c>
      <c r="SD8">
        <f>SUMPRODUCT(--('Данные 2st'!$Q$2:$Q$317=$A8),--ISNUMBER('Данные 2st'!$OP$2:$OP$317))</f>
        <v>7</v>
      </c>
      <c r="SE8">
        <f>SUMPRODUCT(--('Данные 2st'!$Q$2:$Q$317=$A8),--ISNUMBER('Данные 2st'!$OQ$2:$OQ$317))</f>
        <v>7</v>
      </c>
      <c r="SF8">
        <f>SUMPRODUCT(--('Данные 2st'!$Q$2:$Q$317=$A8),--ISNUMBER('Данные 2st'!$OS$2:$OS$317))</f>
        <v>7</v>
      </c>
      <c r="SG8">
        <f>SUMPRODUCT(--('Данные 2st'!$Q$2:$Q$317=$A8),--ISNUMBER('Данные 2st'!$OT$2:$OT$317))</f>
        <v>7</v>
      </c>
      <c r="SH8">
        <f>SUMPRODUCT(--('Данные 2st'!$Q$2:$Q$317=$A8),--ISNUMBER('Данные 2st'!$OU$2:$OU$317))</f>
        <v>7</v>
      </c>
      <c r="SI8">
        <f>SUMPRODUCT(--('Данные 2st'!$Q$2:$Q$317=$A8),--ISNUMBER('Данные 2st'!$OV$2:$OV$317))</f>
        <v>7</v>
      </c>
      <c r="SJ8">
        <f>SUMPRODUCT(--('Данные 2st'!$Q$2:$Q$317=$A8),--ISNUMBER('Данные 2st'!$OX$2:$OX$317))</f>
        <v>7</v>
      </c>
      <c r="SK8">
        <f>SUMPRODUCT(--('Данные 2st'!$Q$2:$Q$317=$A8),--ISNUMBER('Данные 2st'!$OY$2:$OY$317))</f>
        <v>7</v>
      </c>
      <c r="SL8">
        <f>SUMPRODUCT(--('Данные 2st'!$Q$2:$Q$317=$A8),--ISNUMBER('Данные 2st'!$OZ$2:$OZ$317))</f>
        <v>7</v>
      </c>
      <c r="SM8">
        <f>SUMPRODUCT(--('Данные 2st'!$Q$2:$Q$317=$A8),--ISNUMBER('Данные 2st'!$PA$2:$PA$317))</f>
        <v>7</v>
      </c>
      <c r="SN8">
        <f>SUMPRODUCT(--('Данные 2st'!$Q$2:$Q$317=$A8),--ISNUMBER('Данные 2st'!$PC$2:$PC$317))</f>
        <v>7</v>
      </c>
      <c r="SO8">
        <f>SUMPRODUCT(--('Данные 2st'!$Q$2:$Q$317=$A8),--ISNUMBER('Данные 2st'!$PD$2:$PD$317))</f>
        <v>7</v>
      </c>
      <c r="SP8">
        <f>SUMPRODUCT(--('Данные 2st'!$Q$2:$Q$317=$A8),--ISNUMBER('Данные 2st'!$PF$2:$PF$317))</f>
        <v>7</v>
      </c>
      <c r="SQ8">
        <f>SUMPRODUCT(--('Данные 2st'!$Q$2:$Q$317=$A8),--ISNUMBER('Данные 2st'!$PG$2:$PG$317))</f>
        <v>7</v>
      </c>
      <c r="SR8">
        <f>SUMPRODUCT(--('Данные 2st'!$Q$2:$Q$317=$A8),--ISNUMBER('Данные 2st'!$PH$2:$PH$317))</f>
        <v>7</v>
      </c>
      <c r="SS8">
        <f>SUMPRODUCT(--('Данные 2st'!$Q$2:$Q$317=$A8),--ISNUMBER('Данные 2st'!$PI$2:$PI$317))</f>
        <v>7</v>
      </c>
      <c r="ST8">
        <f>SUMPRODUCT(--('Данные 2st'!$Q$2:$Q$317=$A8),--ISNUMBER('Данные 2st'!$PJ$2:$PJ$317))</f>
        <v>7</v>
      </c>
      <c r="SU8">
        <f>SUMPRODUCT(--('Данные 2st'!$Q$2:$Q$317=$A8),--ISNUMBER('Данные 2st'!$PK$2:$PK$317))</f>
        <v>7</v>
      </c>
      <c r="SV8">
        <f>SUMPRODUCT(--('Данные 2st'!$Q$2:$Q$317=$A8),--ISNUMBER('Данные 2st'!$PL$2:$PL$317))</f>
        <v>7</v>
      </c>
      <c r="SW8">
        <f>SUMPRODUCT(--('Данные 2st'!$Q$2:$Q$317=$A8),--ISNUMBER('Данные 2st'!$PM$2:$PM$317))</f>
        <v>7</v>
      </c>
      <c r="SX8">
        <f>SUMPRODUCT(--('Данные 2st'!$Q$2:$Q$317=$A8),--ISNUMBER('Данные 2st'!$PN$2:$PN$317))</f>
        <v>7</v>
      </c>
      <c r="SY8">
        <f>SUMPRODUCT(--('Данные 2st'!$Q$2:$Q$317=$A8),--ISNUMBER('Данные 2st'!$PO$2:$PO$317))</f>
        <v>5</v>
      </c>
      <c r="SZ8">
        <f>SUMPRODUCT(--('Данные 2st'!$Q$2:$Q$317=$A8),--ISNUMBER('Данные 2st'!$PP$2:$PP$317))</f>
        <v>7</v>
      </c>
      <c r="TA8">
        <f>SUMPRODUCT(--('Данные 2st'!$Q$2:$Q$317=$A8),--ISNUMBER('Данные 2st'!$PQ$2:$PQ$317))</f>
        <v>7</v>
      </c>
      <c r="TB8">
        <f>SUMPRODUCT(--('Данные 2st'!$Q$2:$Q$317=$A8),--ISNUMBER('Данные 2st'!$PR$2:$PR$317))</f>
        <v>7</v>
      </c>
      <c r="TC8">
        <f>SUMPRODUCT(--('Данные 2st'!$Q$2:$Q$317=$A8),--ISNUMBER('Данные 2st'!$PS$2:$PS$317))</f>
        <v>7</v>
      </c>
      <c r="TD8">
        <f>SUMPRODUCT(--('Данные 2st'!$Q$2:$Q$317=$A8),--ISNUMBER('Данные 2st'!$PT$2:$PT$317))</f>
        <v>7</v>
      </c>
      <c r="TE8">
        <f>SUMPRODUCT(--('Данные 2st'!$Q$2:$Q$317=$A8),--ISNUMBER('Данные 2st'!$PU$2:$PU$317))</f>
        <v>7</v>
      </c>
      <c r="TF8">
        <f>SUMPRODUCT(--('Данные 2st'!$Q$2:$Q$317=$A8),--ISNUMBER('Данные 2st'!$PX$2:$PX$317))</f>
        <v>7</v>
      </c>
      <c r="TG8">
        <f>SUMPRODUCT(--('Данные 2st'!$Q$2:$Q$317=$A8),--ISNUMBER('Данные 2st'!$PY$2:$PY$317))</f>
        <v>7</v>
      </c>
      <c r="TH8">
        <f>SUMPRODUCT(--('Данные 2st'!$Q$2:$Q$317=$A8),--ISNUMBER('Данные 2st'!$PZ$2:$PZ$317))</f>
        <v>7</v>
      </c>
      <c r="TI8">
        <f>SUMPRODUCT(--('Данные 2st'!$Q$2:$Q$317=$A8),--ISNUMBER('Данные 2st'!$QA$2:$QA$317))</f>
        <v>7</v>
      </c>
      <c r="TJ8">
        <f>SUMPRODUCT(--('Данные 2st'!$Q$2:$Q$317=$A8),--ISNUMBER('Данные 2st'!$QB$2:$QB$317))</f>
        <v>7</v>
      </c>
      <c r="TK8">
        <f>SUMPRODUCT(--('Данные 2st'!$Q$2:$Q$317=$A8),--ISNUMBER('Данные 2st'!$QC$2:$QC$317))</f>
        <v>7</v>
      </c>
      <c r="TL8">
        <f>SUMPRODUCT(--('Данные 2st'!$Q$2:$Q$317=$A8),--ISNUMBER('Данные 2st'!$QD$2:$QD$317))</f>
        <v>7</v>
      </c>
      <c r="TM8">
        <f>SUMPRODUCT(--('Данные 2st'!$Q$2:$Q$317=$A8),--ISNUMBER('Данные 2st'!$QE$2:$QE$317))</f>
        <v>7</v>
      </c>
      <c r="TN8">
        <f>SUMPRODUCT(--('Данные 2st'!$Q$2:$Q$317=$A8),--ISNUMBER('Данные 2st'!$QF$2:$QF$317))</f>
        <v>7</v>
      </c>
      <c r="TO8">
        <f>SUMPRODUCT(--('Данные 2st'!$Q$2:$Q$317=$A8),--ISNUMBER('Данные 2st'!$QG$2:$QG$317))</f>
        <v>7</v>
      </c>
      <c r="TP8">
        <f>SUMPRODUCT(--('Данные 2st'!$Q$2:$Q$317=$A8),--ISNUMBER('Данные 2st'!$QH$2:$QH$317))</f>
        <v>7</v>
      </c>
      <c r="TQ8">
        <f>SUMPRODUCT(--('Данные 2st'!$Q$2:$Q$317=$A8),--ISNUMBER('Данные 2st'!$QI$2:$QI$317))</f>
        <v>7</v>
      </c>
      <c r="TR8">
        <f>SUMPRODUCT(--('Данные 2st'!$Q$2:$Q$317=$A8),--ISNUMBER('Данные 2st'!$QJ$2:$QJ$317))</f>
        <v>7</v>
      </c>
      <c r="TS8">
        <f>SUMPRODUCT(--('Данные 2st'!$Q$2:$Q$317=$A8),--ISNUMBER('Данные 2st'!$QK$2:$QK$317))</f>
        <v>7</v>
      </c>
      <c r="TT8">
        <f>SUMPRODUCT(--('Данные 2st'!$Q$2:$Q$317=$A8),--ISNUMBER('Данные 2st'!$QL$2:$QL$317))</f>
        <v>7</v>
      </c>
      <c r="TU8">
        <f>SUMPRODUCT(--('Данные 2st'!$Q$2:$Q$317=$A8),--ISNUMBER('Данные 2st'!$QM$2:$QM$317))</f>
        <v>7</v>
      </c>
      <c r="TV8">
        <f>SUMPRODUCT(--('Данные 2st'!$Q$2:$Q$317=$A8),--ISNUMBER('Данные 2st'!$QN$2:$QN$317))</f>
        <v>7</v>
      </c>
      <c r="TW8">
        <f>SUMPRODUCT(--('Данные 2st'!$Q$2:$Q$317=$A8),--ISNUMBER('Данные 2st'!$QQ$2:$QQ$317))</f>
        <v>7</v>
      </c>
      <c r="TX8">
        <f>SUMPRODUCT(--('Данные 2st'!$Q$2:$Q$317=$A8),--ISNUMBER('Данные 2st'!$QS$2:$QS$317))</f>
        <v>7</v>
      </c>
      <c r="TY8">
        <f>SUMPRODUCT(--('Данные 2st'!$Q$2:$Q$317=$A8),--ISNUMBER('Данные 2st'!$QT$2:$QT$317))</f>
        <v>7</v>
      </c>
    </row>
    <row r="9" spans="1:545" ht="32" customHeight="1">
      <c r="A9" s="11" t="str">
        <f>'По размерам'!A9</f>
        <v>185/70R14</v>
      </c>
      <c r="G9">
        <f>SUMPRODUCT(--('Данные 1st'!$S$2:$S$317=$A9),--ISNUMBER('Данные 1st'!$AE$2:$AE$317))</f>
        <v>1</v>
      </c>
      <c r="H9">
        <f>SUMPRODUCT(--('Данные 1st'!$S$2:$S$317=$A9),--ISNUMBER('Данные 1st'!$AF$2:$AF$317))</f>
        <v>1</v>
      </c>
      <c r="I9">
        <f>SUMPRODUCT(--('Данные 1st'!$S$2:$S$317=$A9),--ISNUMBER('Данные 1st'!$AJ$2:$AJ$317))</f>
        <v>1</v>
      </c>
      <c r="J9">
        <f>SUMPRODUCT(--('Данные 1st'!$S$2:$S$317=$A9),--ISNUMBER('Данные 1st'!$AL$2:$AL$317))</f>
        <v>1</v>
      </c>
      <c r="K9">
        <f>SUMPRODUCT(--('Данные 1st'!$S$2:$S$317=$A9),--ISNUMBER('Данные 1st'!$AR$2:$AR$317))</f>
        <v>1</v>
      </c>
      <c r="L9">
        <f>SUMPRODUCT(--('Данные 1st'!$S$2:$S$317=$A9),--ISNUMBER('Данные 1st'!$AS$2:$AS$317))</f>
        <v>1</v>
      </c>
      <c r="M9">
        <f>SUMPRODUCT(--('Данные 1st'!$S$2:$S$317=$A9),--ISNUMBER('Данные 1st'!$AY$2:$AY$317))</f>
        <v>1</v>
      </c>
      <c r="N9">
        <f>SUMPRODUCT(--('Данные 1st'!$S$2:$S$317=$A9),--ISNUMBER('Данные 1st'!$AZ$2:$AZ$317))</f>
        <v>1</v>
      </c>
      <c r="O9">
        <f>SUMPRODUCT(--('Данные 1st'!$S$2:$S$317=$A9),--ISNUMBER('Данные 1st'!$BF$2:$BF$317))</f>
        <v>0</v>
      </c>
      <c r="P9">
        <f>SUMPRODUCT(--('Данные 1st'!$S$2:$S$317=$A9),--ISNUMBER('Данные 1st'!$BG$2:$BG$317))</f>
        <v>1</v>
      </c>
      <c r="Q9">
        <f>SUMPRODUCT(--('Данные 1st'!$S$2:$S$317=$A9),--ISNUMBER('Данные 1st'!$BM$2:$BM$317))</f>
        <v>0</v>
      </c>
      <c r="R9">
        <f>SUMPRODUCT(--('Данные 1st'!$S$2:$S$317=$A9),--ISNUMBER('Данные 1st'!$BN$2:$BN$317))</f>
        <v>1</v>
      </c>
      <c r="S9">
        <f>SUMPRODUCT(--('Данные 1st'!$S$2:$S$317=$A9),--ISNUMBER('Данные 1st'!$BT$2:$BT$317))</f>
        <v>1</v>
      </c>
      <c r="T9">
        <f>SUMPRODUCT(--('Данные 1st'!$S$2:$S$317=$A9),--ISNUMBER('Данные 1st'!$BU$2:$BU$317))</f>
        <v>1</v>
      </c>
      <c r="U9">
        <f>SUMPRODUCT(--('Данные 1st'!$S$2:$S$317=$A9),--ISNUMBER('Данные 1st'!$BW$2:$BW$317))</f>
        <v>1</v>
      </c>
      <c r="V9">
        <f>SUMPRODUCT(--('Данные 1st'!$S$2:$S$317=$A9),--ISNUMBER('Данные 1st'!$BX$2:$BX$317))</f>
        <v>1</v>
      </c>
      <c r="W9">
        <f>SUMPRODUCT(--('Данные 1st'!$S$2:$S$317=$A9),--ISNUMBER('Данные 1st'!$BZ$2:$BZ$317))</f>
        <v>1</v>
      </c>
      <c r="X9">
        <f>SUMPRODUCT(--('Данные 1st'!$S$2:$S$317=$A9),--ISNUMBER('Данные 1st'!$CA$2:$CA$317))</f>
        <v>1</v>
      </c>
      <c r="Y9">
        <f>SUMPRODUCT(--('Данные 1st'!$S$2:$S$317=$A9),--ISNUMBER('Данные 1st'!$CD$2:$CD$317))</f>
        <v>1</v>
      </c>
      <c r="Z9">
        <f>SUMPRODUCT(--('Данные 1st'!$S$2:$S$317=$A9),--ISNUMBER('Данные 1st'!$CF$2:$CF$317))</f>
        <v>1</v>
      </c>
      <c r="AA9">
        <f>SUMPRODUCT(--('Данные 1st'!$S$2:$S$317=$A9),--ISNUMBER('Данные 1st'!$CI$2:$CI$317))</f>
        <v>1</v>
      </c>
      <c r="AB9">
        <f>SUMPRODUCT(--('Данные 1st'!$S$2:$S$317=$A9),--ISNUMBER('Данные 1st'!$CJ$2:$CJ$317))</f>
        <v>1</v>
      </c>
      <c r="AC9">
        <f>SUMPRODUCT(--('Данные 1st'!$S$2:$S$317=$A9),--ISNUMBER('Данные 1st'!$CK$2:$CK$317))</f>
        <v>1</v>
      </c>
      <c r="AD9">
        <f>SUMPRODUCT(--('Данные 1st'!$S$2:$S$317=$A9),--ISNUMBER('Данные 1st'!$CL$2:$CL$317))</f>
        <v>1</v>
      </c>
      <c r="AE9">
        <f>SUMPRODUCT(--('Данные 1st'!$S$2:$S$317=$A9),--ISNUMBER('Данные 1st'!$CM$2:$CM$317))</f>
        <v>1</v>
      </c>
      <c r="AF9">
        <f>SUMPRODUCT(--('Данные 1st'!$S$2:$S$317=$A9),--ISNUMBER('Данные 1st'!$CT$2:$CT$317))</f>
        <v>1</v>
      </c>
      <c r="AG9">
        <f>SUMPRODUCT(--('Данные 1st'!$S$2:$S$317=$A9),--ISNUMBER('Данные 1st'!$CU$2:$CU$317))</f>
        <v>1</v>
      </c>
      <c r="AH9">
        <f>SUMPRODUCT(--('Данные 1st'!$S$2:$S$317=$A9),--ISNUMBER('Данные 1st'!$CV$2:$CV$317))</f>
        <v>1</v>
      </c>
      <c r="AI9">
        <f>SUMPRODUCT(--('Данные 1st'!$S$2:$S$317=$A9),--ISNUMBER('Данные 1st'!$CW$2:$CW$317))</f>
        <v>1</v>
      </c>
      <c r="AJ9">
        <f>SUMPRODUCT(--('Данные 1st'!$S$2:$S$317=$A9),--ISNUMBER('Данные 1st'!$CX$2:$CX$317))</f>
        <v>1</v>
      </c>
      <c r="AK9">
        <f>SUMPRODUCT(--('Данные 1st'!$S$2:$S$317=$A9),--ISNUMBER('Данные 1st'!$CZ$2:$CZ$317))</f>
        <v>0</v>
      </c>
      <c r="AL9">
        <f>SUMPRODUCT(--('Данные 1st'!$S$2:$S$317=$A9),--ISNUMBER('Данные 1st'!$DA$2:$DA$317))</f>
        <v>0</v>
      </c>
      <c r="AM9">
        <f>SUMPRODUCT(--('Данные 1st'!$S$2:$S$317=$A9),--ISNUMBER('Данные 1st'!$DB$2:$DB$317))</f>
        <v>0</v>
      </c>
      <c r="AN9">
        <f>SUMPRODUCT(--('Данные 1st'!$S$2:$S$317=$A9),--ISNUMBER('Данные 1st'!$DC$2:$DC$317))</f>
        <v>0</v>
      </c>
      <c r="AO9">
        <f>SUMPRODUCT(--('Данные 1st'!$S$2:$S$317=$A9),--ISNUMBER('Данные 1st'!$DD$2:$DD$317))</f>
        <v>1</v>
      </c>
      <c r="AP9">
        <f>SUMPRODUCT(--('Данные 1st'!$S$2:$S$317=$A9),--ISNUMBER('Данные 1st'!$DF$2:$DF$317))</f>
        <v>1</v>
      </c>
      <c r="AQ9">
        <f>SUMPRODUCT(--('Данные 1st'!$S$2:$S$317=$A9),--ISNUMBER('Данные 1st'!$DG$2:$DG$317))</f>
        <v>1</v>
      </c>
      <c r="AR9">
        <f>SUMPRODUCT(--('Данные 1st'!$S$2:$S$317=$A9),--ISNUMBER('Данные 1st'!$DH$2:$DH$317))</f>
        <v>1</v>
      </c>
      <c r="AS9">
        <f>SUMPRODUCT(--('Данные 1st'!$S$2:$S$317=$A9),--ISNUMBER('Данные 1st'!$DI$2:$DI$317))</f>
        <v>1</v>
      </c>
      <c r="AT9">
        <f>SUMPRODUCT(--('Данные 1st'!$S$2:$S$317=$A9),--ISNUMBER('Данные 1st'!$DJ$2:$DJ$317))</f>
        <v>1</v>
      </c>
      <c r="AU9">
        <f>SUMPRODUCT(--('Данные 1st'!$S$2:$S$317=$A9),--ISNUMBER('Данные 1st'!$DL$2:$DL$317))</f>
        <v>0</v>
      </c>
      <c r="AV9">
        <f>SUMPRODUCT(--('Данные 1st'!$S$2:$S$317=$A9),--ISNUMBER('Данные 1st'!$DM$2:$DM$317))</f>
        <v>0</v>
      </c>
      <c r="AW9">
        <f>SUMPRODUCT(--('Данные 1st'!$S$2:$S$317=$A9),--ISNUMBER('Данные 1st'!$DN$2:$DN$317))</f>
        <v>0</v>
      </c>
      <c r="AX9">
        <f>SUMPRODUCT(--('Данные 1st'!$S$2:$S$317=$A9),--ISNUMBER('Данные 1st'!$DO$2:$DO$317))</f>
        <v>0</v>
      </c>
      <c r="AY9">
        <f>SUMPRODUCT(--('Данные 1st'!$S$2:$S$317=$A9),--ISNUMBER('Данные 1st'!$DP$2:$DP$317))</f>
        <v>0</v>
      </c>
      <c r="AZ9">
        <f>SUMPRODUCT(--('Данные 1st'!$S$2:$S$317=$A9),--ISNUMBER('Данные 1st'!$DR$2:$DR$317))</f>
        <v>0</v>
      </c>
      <c r="BA9">
        <f>SUMPRODUCT(--('Данные 1st'!$S$2:$S$317=$A9),--ISNUMBER('Данные 1st'!$DS$2:$DS$317))</f>
        <v>0</v>
      </c>
      <c r="BB9">
        <f>SUMPRODUCT(--('Данные 1st'!$S$2:$S$317=$A9),--ISNUMBER('Данные 1st'!$DT$2:$DT$317))</f>
        <v>0</v>
      </c>
      <c r="BC9">
        <f>SUMPRODUCT(--('Данные 1st'!$S$2:$S$317=$A9),--ISNUMBER('Данные 1st'!$DU$2:$DU$317))</f>
        <v>0</v>
      </c>
      <c r="BD9">
        <f>SUMPRODUCT(--('Данные 1st'!$S$2:$S$317=$A9),--ISNUMBER('Данные 1st'!$DV$2:$DV$317))</f>
        <v>0</v>
      </c>
      <c r="BE9">
        <f>SUMPRODUCT(--('Данные 1st'!$S$2:$S$317=$A9),--ISNUMBER('Данные 1st'!$DX$2:$DX$317))</f>
        <v>1</v>
      </c>
      <c r="BF9">
        <f>SUMPRODUCT(--('Данные 1st'!$S$2:$S$317=$A9),--ISNUMBER('Данные 1st'!$EA$2:$EA$317))</f>
        <v>1</v>
      </c>
      <c r="BG9">
        <f>SUMPRODUCT(--('Данные 1st'!$S$2:$S$317=$A9),--ISNUMBER('Данные 1st'!$EB$2:$EB$317))</f>
        <v>1</v>
      </c>
      <c r="BH9">
        <f>SUMPRODUCT(--('Данные 1st'!$S$2:$S$317=$A9),--ISNUMBER('Данные 1st'!$ED$2:$ED$317))</f>
        <v>1</v>
      </c>
      <c r="BI9">
        <f>SUMPRODUCT(--('Данные 1st'!$S$2:$S$317=$A9),--ISNUMBER('Данные 1st'!$EE$2:$EE$317))</f>
        <v>0</v>
      </c>
      <c r="BJ9">
        <f>SUMPRODUCT(--('Данные 1st'!$S$2:$S$317=$A9),--ISNUMBER('Данные 1st'!$EG$2:$EG$317))</f>
        <v>1</v>
      </c>
      <c r="BK9">
        <f>SUMPRODUCT(--('Данные 1st'!$S$2:$S$317=$A9),--ISNUMBER('Данные 1st'!$EH$2:$EH$317))</f>
        <v>1</v>
      </c>
      <c r="BL9">
        <f>SUMPRODUCT(--('Данные 1st'!$S$2:$S$317=$A9),--ISNUMBER('Данные 1st'!$EJ$2:$EJ$317))</f>
        <v>1</v>
      </c>
      <c r="BM9">
        <f>SUMPRODUCT(--('Данные 1st'!$S$2:$S$317=$A9),--ISNUMBER('Данные 1st'!$EK$2:$EK$317))</f>
        <v>1</v>
      </c>
      <c r="BN9">
        <f>SUMPRODUCT(--('Данные 1st'!$S$2:$S$317=$A9),--ISNUMBER('Данные 1st'!$EN$2:$EN$317))</f>
        <v>1</v>
      </c>
      <c r="BO9">
        <f>SUMPRODUCT(--('Данные 1st'!$S$2:$S$317=$A9),--ISNUMBER('Данные 1st'!$EQ$2:$EQ$317))</f>
        <v>1</v>
      </c>
      <c r="BP9">
        <f>SUMPRODUCT(--('Данные 1st'!$S$2:$S$317=$A9),--ISNUMBER('Данные 1st'!$ER$2:$ER$317))</f>
        <v>1</v>
      </c>
      <c r="BQ9">
        <f>SUMPRODUCT(--('Данные 1st'!$S$2:$S$317=$A9),--ISNUMBER('Данные 1st'!$ES$2:$ES$317))</f>
        <v>1</v>
      </c>
      <c r="BR9">
        <f>SUMPRODUCT(--('Данные 1st'!$S$2:$S$317=$A9),--ISNUMBER('Данные 1st'!$ET$2:$ET$317))</f>
        <v>1</v>
      </c>
      <c r="BS9">
        <f>SUMPRODUCT(--('Данные 1st'!$S$2:$S$317=$A9),--ISNUMBER('Данные 1st'!$EU$2:$EU$317))</f>
        <v>1</v>
      </c>
      <c r="BT9">
        <f>SUMPRODUCT(--('Данные 1st'!$S$2:$S$317=$A9),--ISNUMBER('Данные 1st'!$EV$2:$EV$317))</f>
        <v>1</v>
      </c>
      <c r="BU9">
        <f>SUMPRODUCT(--('Данные 1st'!$S$2:$S$317=$A9),--ISNUMBER('Данные 1st'!$EX$2:$EX$317))</f>
        <v>1</v>
      </c>
      <c r="BV9">
        <f>SUMPRODUCT(--('Данные 1st'!$S$2:$S$317=$A9),--ISNUMBER('Данные 1st'!$EY$2:$EY$317))</f>
        <v>1</v>
      </c>
      <c r="BW9">
        <f>SUMPRODUCT(--('Данные 1st'!$S$2:$S$317=$A9),--ISNUMBER('Данные 1st'!$EZ$2:$EZ$317))</f>
        <v>1</v>
      </c>
      <c r="BX9">
        <f>SUMPRODUCT(--('Данные 1st'!$S$2:$S$317=$A9),--ISNUMBER('Данные 1st'!$FA$2:$FA$317))</f>
        <v>1</v>
      </c>
      <c r="BY9">
        <f>SUMPRODUCT(--('Данные 1st'!$S$2:$S$317=$A9),--ISNUMBER('Данные 1st'!$FB$2:$FB$317))</f>
        <v>1</v>
      </c>
      <c r="BZ9">
        <f>SUMPRODUCT(--('Данные 1st'!$S$2:$S$317=$A9),--ISNUMBER('Данные 1st'!$FC$2:$FC$317))</f>
        <v>1</v>
      </c>
      <c r="CA9">
        <f>SUMPRODUCT(--('Данные 1st'!$S$2:$S$317=$A9),--ISNUMBER('Данные 1st'!$FE$2:$FE$317))</f>
        <v>1</v>
      </c>
      <c r="CB9">
        <f>SUMPRODUCT(--('Данные 1st'!$S$2:$S$317=$A9),--ISNUMBER('Данные 1st'!$FF$2:$FF$317))</f>
        <v>1</v>
      </c>
      <c r="CC9">
        <f>SUMPRODUCT(--('Данные 1st'!$S$2:$S$317=$A9),--ISNUMBER('Данные 1st'!$FI$2:$FI$317))</f>
        <v>1</v>
      </c>
      <c r="CD9">
        <f>SUMPRODUCT(--('Данные 1st'!$S$2:$S$317=$A9),--ISNUMBER('Данные 1st'!$FL$2:$FL$317))</f>
        <v>1</v>
      </c>
      <c r="CE9">
        <f>SUMPRODUCT(--('Данные 1st'!$S$2:$S$317=$A9),--ISNUMBER('Данные 1st'!$FM$2:$FM$317))</f>
        <v>1</v>
      </c>
      <c r="CF9">
        <f>SUMPRODUCT(--('Данные 1st'!$S$2:$S$317=$A9),--ISNUMBER('Данные 1st'!$FN$2:$FN$317))</f>
        <v>1</v>
      </c>
      <c r="CG9">
        <f>SUMPRODUCT(--('Данные 1st'!$S$2:$S$317=$A9),--ISNUMBER('Данные 1st'!$FO$2:$FO$317))</f>
        <v>0</v>
      </c>
      <c r="CH9">
        <f>SUMPRODUCT(--('Данные 1st'!$S$2:$S$317=$A9),--ISNUMBER('Данные 1st'!$FP$2:$FP$317))</f>
        <v>0</v>
      </c>
      <c r="CI9">
        <f>SUMPRODUCT(--('Данные 1st'!$S$2:$S$317=$A9),--ISNUMBER('Данные 1st'!$FS$2:$FS$317))</f>
        <v>1</v>
      </c>
      <c r="CJ9">
        <f>SUMPRODUCT(--('Данные 1st'!$S$2:$S$317=$A9),--ISNUMBER('Данные 1st'!$FT$2:$FT$317))</f>
        <v>1</v>
      </c>
      <c r="CK9">
        <f>SUMPRODUCT(--('Данные 1st'!$S$2:$S$317=$A9),--ISNUMBER('Данные 1st'!$FU$2:$FU$317))</f>
        <v>1</v>
      </c>
      <c r="CL9">
        <f>SUMPRODUCT(--('Данные 1st'!$S$2:$S$317=$A9),--ISNUMBER('Данные 1st'!$FV$2:$FV$317))</f>
        <v>1</v>
      </c>
      <c r="CM9">
        <f>SUMPRODUCT(--('Данные 1st'!$S$2:$S$317=$A9),--ISNUMBER('Данные 1st'!$FW$2:$FW$317))</f>
        <v>1</v>
      </c>
      <c r="CN9">
        <f>SUMPRODUCT(--('Данные 1st'!$S$2:$S$317=$A9),--ISNUMBER('Данные 1st'!$FZ$2:$FZ$317))</f>
        <v>0</v>
      </c>
      <c r="CO9">
        <f>SUMPRODUCT(--('Данные 1st'!$S$2:$S$317=$A9),--ISNUMBER('Данные 1st'!$GA$2:$GA$317))</f>
        <v>0</v>
      </c>
      <c r="CP9">
        <f>SUMPRODUCT(--('Данные 1st'!$S$2:$S$317=$A9),--ISNUMBER('Данные 1st'!$GB$2:$GB$317))</f>
        <v>0</v>
      </c>
      <c r="CQ9">
        <f>SUMPRODUCT(--('Данные 1st'!$S$2:$S$317=$A9),--ISNUMBER('Данные 1st'!$GH$2:$GH$317))</f>
        <v>0</v>
      </c>
      <c r="CR9">
        <f>SUMPRODUCT(--('Данные 1st'!$S$2:$S$317=$A9),--ISNUMBER('Данные 1st'!$GI$2:$GI$317))</f>
        <v>0</v>
      </c>
      <c r="CS9">
        <f>SUMPRODUCT(--('Данные 1st'!$S$2:$S$317=$A9),--ISNUMBER('Данные 1st'!$GJ$2:$GJ$317))</f>
        <v>0</v>
      </c>
      <c r="CT9">
        <f>SUMPRODUCT(--('Данные 1st'!$S$2:$S$317=$A9),--ISNUMBER('Данные 1st'!$GS$2:$GS$317))</f>
        <v>0</v>
      </c>
      <c r="CU9">
        <f>SUMPRODUCT(--('Данные 1st'!$S$2:$S$317=$A9),--ISNUMBER('Данные 1st'!$GT$2:$GT$317))</f>
        <v>0</v>
      </c>
      <c r="CV9">
        <f>SUMPRODUCT(--('Данные 1st'!$S$2:$S$317=$A9),--ISNUMBER('Данные 1st'!$GU$2:$GU$317))</f>
        <v>0</v>
      </c>
      <c r="CW9">
        <f>SUMPRODUCT(--('Данные 1st'!$S$2:$S$317=$A9),--ISNUMBER('Данные 1st'!$GV$2:$GV$317))</f>
        <v>0</v>
      </c>
      <c r="CX9">
        <f>SUMPRODUCT(--('Данные 1st'!$S$2:$S$317=$A9),--ISNUMBER('Данные 1st'!$GW$2:$GW$317))</f>
        <v>0</v>
      </c>
      <c r="CY9">
        <f>SUMPRODUCT(--('Данные 1st'!$S$2:$S$317=$A9),--ISNUMBER('Данные 1st'!$GZ$2:$GZ$317))</f>
        <v>0</v>
      </c>
      <c r="CZ9">
        <f>SUMPRODUCT(--('Данные 1st'!$S$2:$S$317=$A9),--ISNUMBER('Данные 1st'!$HA$2:$HA$317))</f>
        <v>0</v>
      </c>
      <c r="DA9">
        <f>SUMPRODUCT(--('Данные 1st'!$S$2:$S$317=$A9),--ISNUMBER('Данные 1st'!$HB$2:$HB$317))</f>
        <v>0</v>
      </c>
      <c r="DB9">
        <f>SUMPRODUCT(--('Данные 1st'!$S$2:$S$317=$A9),--ISNUMBER('Данные 1st'!$HC$2:$HC$317))</f>
        <v>1</v>
      </c>
      <c r="DC9">
        <f>SUMPRODUCT(--('Данные 1st'!$S$2:$S$317=$A9),--ISNUMBER('Данные 1st'!$HD$2:$HD$317))</f>
        <v>1</v>
      </c>
      <c r="DD9">
        <f>SUMPRODUCT(--('Данные 1st'!$S$2:$S$317=$A9),--ISNUMBER('Данные 1st'!$HE$2:$HE$317))</f>
        <v>1</v>
      </c>
      <c r="DE9">
        <f>SUMPRODUCT(--('Данные 1st'!$S$2:$S$317=$A9),--ISNUMBER('Данные 1st'!$HF$2:$HF$317))</f>
        <v>1</v>
      </c>
      <c r="DF9">
        <f>SUMPRODUCT(--('Данные 1st'!$S$2:$S$317=$A9),--ISNUMBER('Данные 1st'!$HG$2:$HG$317))</f>
        <v>1</v>
      </c>
      <c r="DG9">
        <f>SUMPRODUCT(--('Данные 1st'!$S$2:$S$317=$A9),--ISNUMBER('Данные 1st'!$HH$2:$HH$317))</f>
        <v>1</v>
      </c>
      <c r="DH9">
        <f>SUMPRODUCT(--('Данные 1st'!$S$2:$S$317=$A9),--ISNUMBER('Данные 1st'!$HI$2:$HI$317))</f>
        <v>1</v>
      </c>
      <c r="DI9">
        <f>SUMPRODUCT(--('Данные 1st'!$S$2:$S$317=$A9),--ISNUMBER('Данные 1st'!$HJ$2:$HJ$317))</f>
        <v>1</v>
      </c>
      <c r="DJ9">
        <f>SUMPRODUCT(--('Данные 1st'!$S$2:$S$317=$A9),--ISNUMBER('Данные 1st'!$HK$2:$HK$317))</f>
        <v>1</v>
      </c>
      <c r="DK9">
        <f>SUMPRODUCT(--('Данные 1st'!$S$2:$S$317=$A9),--ISNUMBER('Данные 1st'!$HL$2:$HL$317))</f>
        <v>1</v>
      </c>
      <c r="DL9">
        <f>SUMPRODUCT(--('Данные 1st'!$S$2:$S$317=$A9),--ISNUMBER('Данные 1st'!$HM$2:$HM$317))</f>
        <v>1</v>
      </c>
      <c r="DM9">
        <f>SUMPRODUCT(--('Данные 1st'!$S$2:$S$317=$A9),--ISNUMBER('Данные 1st'!$HN$2:$HN$317))</f>
        <v>1</v>
      </c>
      <c r="DN9">
        <f>SUMPRODUCT(--('Данные 1st'!$S$2:$S$317=$A9),--ISNUMBER('Данные 1st'!$HO$2:$HO$317))</f>
        <v>1</v>
      </c>
      <c r="DO9">
        <f>SUMPRODUCT(--('Данные 1st'!$S$2:$S$317=$A9),--ISNUMBER('Данные 1st'!$HP$2:$HP$317))</f>
        <v>1</v>
      </c>
      <c r="DP9">
        <f>SUMPRODUCT(--('Данные 1st'!$S$2:$S$317=$A9),--ISNUMBER('Данные 1st'!$HQ$2:$HQ$317))</f>
        <v>1</v>
      </c>
      <c r="DQ9">
        <f>SUMPRODUCT(--('Данные 1st'!$S$2:$S$317=$A9),--ISNUMBER('Данные 1st'!$HR$2:$HR$317))</f>
        <v>1</v>
      </c>
      <c r="DR9">
        <f>SUMPRODUCT(--('Данные 1st'!$S$2:$S$317=$A9),--ISNUMBER('Данные 1st'!$HS$2:$HS$317))</f>
        <v>1</v>
      </c>
      <c r="DS9">
        <f>SUMPRODUCT(--('Данные 1st'!$S$2:$S$317=$A9),--ISNUMBER('Данные 1st'!$HT$2:$HT$317))</f>
        <v>1</v>
      </c>
      <c r="DT9">
        <f>SUMPRODUCT(--('Данные 1st'!$S$2:$S$317=$A9),--ISNUMBER('Данные 1st'!$HU$2:$HU$317))</f>
        <v>1</v>
      </c>
      <c r="DU9">
        <f>SUMPRODUCT(--('Данные 1st'!$S$2:$S$317=$A9),--ISNUMBER('Данные 1st'!$HW$2:$HW$317))</f>
        <v>1</v>
      </c>
      <c r="DV9">
        <f>SUMPRODUCT(--('Данные 1st'!$S$2:$S$317=$A9),--ISNUMBER('Данные 1st'!$HX$2:$HX$317))</f>
        <v>1</v>
      </c>
      <c r="DW9">
        <f>SUMPRODUCT(--('Данные 1st'!$S$2:$S$317=$A9),--ISNUMBER('Данные 1st'!$HY$2:$HY$317))</f>
        <v>1</v>
      </c>
      <c r="DX9">
        <f>SUMPRODUCT(--('Данные 1st'!$S$2:$S$317=$A9),--ISNUMBER('Данные 1st'!$IA$2:$IA$317))</f>
        <v>1</v>
      </c>
      <c r="DY9">
        <f>SUMPRODUCT(--('Данные 1st'!$S$2:$S$317=$A9),--ISNUMBER('Данные 1st'!$IB$2:$IB$317))</f>
        <v>1</v>
      </c>
      <c r="DZ9">
        <f>SUMPRODUCT(--('Данные 1st'!$S$2:$S$317=$A9),--ISNUMBER('Данные 1st'!$IC$2:$IC$317))</f>
        <v>1</v>
      </c>
      <c r="EA9">
        <f>SUMPRODUCT(--('Данные 1st'!$S$2:$S$317=$A9),--ISNUMBER('Данные 1st'!$ID$2:$ID$317))</f>
        <v>1</v>
      </c>
      <c r="EB9">
        <f>SUMPRODUCT(--('Данные 1st'!$S$2:$S$317=$A9),--ISNUMBER('Данные 1st'!$IE$2:$IE$317))</f>
        <v>1</v>
      </c>
      <c r="EC9">
        <f>SUMPRODUCT(--('Данные 1st'!$S$2:$S$317=$A9),--ISNUMBER('Данные 1st'!$IF$2:$IF$317))</f>
        <v>1</v>
      </c>
      <c r="ED9">
        <f>SUMPRODUCT(--('Данные 1st'!$S$2:$S$317=$A9),--ISNUMBER('Данные 1st'!$IP$2:$IP$317))</f>
        <v>1</v>
      </c>
      <c r="EE9">
        <f>SUMPRODUCT(--('Данные 1st'!$S$2:$S$317=$A9),--ISNUMBER('Данные 1st'!$IV$2:$IV$317))</f>
        <v>1</v>
      </c>
      <c r="EF9">
        <f>SUMPRODUCT(--('Данные 1st'!$S$2:$S$317=$A9),--ISNUMBER('Данные 1st'!$IW$2:$IW$317))</f>
        <v>1</v>
      </c>
      <c r="EG9">
        <f>SUMPRODUCT(--('Данные 1st'!$S$2:$S$317=$A9),--ISNUMBER('Данные 1st'!$IX$2:$IX$317))</f>
        <v>0</v>
      </c>
      <c r="EH9">
        <f>SUMPRODUCT(--('Данные 1st'!$S$2:$S$317=$A9),--ISNUMBER('Данные 1st'!$IY$2:$IY$317))</f>
        <v>0</v>
      </c>
      <c r="EI9">
        <f>SUMPRODUCT(--('Данные 1st'!$S$2:$S$317=$A9),--ISNUMBER('Данные 1st'!$JD$2:$JD$317))</f>
        <v>1</v>
      </c>
      <c r="EJ9">
        <f>SUMPRODUCT(--('Данные 1st'!$S$2:$S$317=$A9),--ISNUMBER('Данные 1st'!$JE$2:$JE$317))</f>
        <v>1</v>
      </c>
      <c r="EK9">
        <f>SUMPRODUCT(--('Данные 1st'!$S$2:$S$317=$A9),--ISNUMBER('Данные 1st'!$JF$2:$JF$317))</f>
        <v>1</v>
      </c>
      <c r="EL9">
        <f>SUMPRODUCT(--('Данные 1st'!$S$2:$S$317=$A9),--ISNUMBER('Данные 1st'!$JG$2:$JG$317))</f>
        <v>1</v>
      </c>
      <c r="EM9">
        <f>SUMPRODUCT(--('Данные 1st'!$S$2:$S$317=$A9),--ISNUMBER('Данные 1st'!$JH$2:$JH$317))</f>
        <v>1</v>
      </c>
      <c r="EN9">
        <f>SUMPRODUCT(--('Данные 1st'!$S$2:$S$317=$A9),--ISNUMBER('Данные 1st'!$JJ$2:$JJ$317))</f>
        <v>1</v>
      </c>
      <c r="EO9">
        <f>SUMPRODUCT(--('Данные 1st'!$S$2:$S$317=$A9),--ISNUMBER('Данные 1st'!$JK$2:$JK$317))</f>
        <v>1</v>
      </c>
      <c r="EP9">
        <f>SUMPRODUCT(--('Данные 1st'!$S$2:$S$317=$A9),--ISNUMBER('Данные 1st'!$JL$2:$JL$317))</f>
        <v>0</v>
      </c>
      <c r="EQ9">
        <f>SUMPRODUCT(--('Данные 1st'!$S$2:$S$317=$A9),--ISNUMBER('Данные 1st'!$JM$2:$JM$317))</f>
        <v>0</v>
      </c>
      <c r="ER9">
        <f>SUMPRODUCT(--('Данные 1st'!$S$2:$S$317=$A9),--ISNUMBER('Данные 1st'!$JN$2:$JN$317))</f>
        <v>1</v>
      </c>
      <c r="ES9">
        <f>SUMPRODUCT(--('Данные 1st'!$S$2:$S$317=$A9),--ISNUMBER('Данные 1st'!$JO$2:$JO$317))</f>
        <v>1</v>
      </c>
      <c r="ET9">
        <f>SUMPRODUCT(--('Данные 1st'!$S$2:$S$317=$A9),--ISNUMBER('Данные 1st'!$JP$2:$JP$317))</f>
        <v>1</v>
      </c>
      <c r="EU9">
        <f>SUMPRODUCT(--('Данные 1st'!$S$2:$S$317=$A9),--ISNUMBER('Данные 1st'!$JQ$2:$JQ$317))</f>
        <v>1</v>
      </c>
      <c r="EV9">
        <f>SUMPRODUCT(--('Данные 1st'!$S$2:$S$317=$A9),--ISNUMBER('Данные 1st'!$JR$2:$JR$317))</f>
        <v>1</v>
      </c>
      <c r="EW9">
        <f>SUMPRODUCT(--('Данные 1st'!$S$2:$S$317=$A9),--ISNUMBER('Данные 1st'!$JS$2:$JS$317))</f>
        <v>1</v>
      </c>
      <c r="EX9">
        <f>SUMPRODUCT(--('Данные 1st'!$S$2:$S$317=$A9),--ISNUMBER('Данные 1st'!$JT$2:$JT$317))</f>
        <v>0</v>
      </c>
      <c r="EY9">
        <f>SUMPRODUCT(--('Данные 1st'!$S$2:$S$317=$A9),--ISNUMBER('Данные 1st'!$JU$2:$JU$317))</f>
        <v>0</v>
      </c>
      <c r="EZ9">
        <f>SUMPRODUCT(--('Данные 1st'!$S$2:$S$317=$A9),--ISNUMBER('Данные 1st'!$JV$2:$JV$317))</f>
        <v>1</v>
      </c>
      <c r="FA9">
        <f>SUMPRODUCT(--('Данные 1st'!$S$2:$S$317=$A9),--ISNUMBER('Данные 1st'!$JW$2:$JW$317))</f>
        <v>0</v>
      </c>
      <c r="FB9">
        <f>SUMPRODUCT(--('Данные 1st'!$S$2:$S$317=$A9),--ISNUMBER('Данные 1st'!$JX$2:$JX$317))</f>
        <v>1</v>
      </c>
      <c r="FC9">
        <f>SUMPRODUCT(--('Данные 1st'!$S$2:$S$317=$A9),--ISNUMBER('Данные 1st'!$JY$2:$JY$317))</f>
        <v>0</v>
      </c>
      <c r="FD9">
        <f>SUMPRODUCT(--('Данные 1st'!$S$2:$S$317=$A9),--ISNUMBER('Данные 1st'!$JZ$2:$JZ$317))</f>
        <v>0</v>
      </c>
      <c r="FE9">
        <f>SUMPRODUCT(--('Данные 1st'!$S$2:$S$317=$A9),--ISNUMBER('Данные 1st'!$KA$2:$KA$317))</f>
        <v>1</v>
      </c>
      <c r="FF9">
        <f>SUMPRODUCT(--('Данные 1st'!$S$2:$S$317=$A9),--ISNUMBER('Данные 1st'!$KB$2:$KB$317))</f>
        <v>1</v>
      </c>
      <c r="FG9">
        <f>SUMPRODUCT(--('Данные 1st'!$S$2:$S$317=$A9),--ISNUMBER('Данные 1st'!$KC$2:$KC$317))</f>
        <v>1</v>
      </c>
      <c r="FH9">
        <f>SUMPRODUCT(--('Данные 1st'!$S$2:$S$317=$A9),--ISNUMBER('Данные 1st'!$KD$2:$KD$317))</f>
        <v>1</v>
      </c>
      <c r="FI9">
        <f>SUMPRODUCT(--('Данные 1st'!$S$2:$S$317=$A9),--ISNUMBER('Данные 1st'!$KE$2:$KE$317))</f>
        <v>0</v>
      </c>
      <c r="FJ9">
        <f>SUMPRODUCT(--('Данные 1st'!$S$2:$S$317=$A9),--ISNUMBER('Данные 1st'!$KF$2:$KF$317))</f>
        <v>1</v>
      </c>
      <c r="FK9">
        <f>SUMPRODUCT(--('Данные 1st'!$S$2:$S$317=$A9),--ISNUMBER('Данные 1st'!$KG$2:$KG$317))</f>
        <v>1</v>
      </c>
      <c r="FL9">
        <f>SUMPRODUCT(--('Данные 1st'!$S$2:$S$317=$A9),--ISNUMBER('Данные 1st'!$KH$2:$KH$317))</f>
        <v>1</v>
      </c>
      <c r="FM9">
        <f>SUMPRODUCT(--('Данные 1st'!$S$2:$S$317=$A9),--ISNUMBER('Данные 1st'!$KI$2:$KI$317))</f>
        <v>1</v>
      </c>
      <c r="FN9">
        <f>SUMPRODUCT(--('Данные 1st'!$S$2:$S$317=$A9),--ISNUMBER('Данные 1st'!$KJ$2:$KJ$317))</f>
        <v>1</v>
      </c>
      <c r="FO9">
        <f>SUMPRODUCT(--('Данные 1st'!$S$2:$S$317=$A9),--ISNUMBER('Данные 1st'!$KK$2:$KK$317))</f>
        <v>1</v>
      </c>
      <c r="FP9">
        <f>SUMPRODUCT(--('Данные 1st'!$S$2:$S$317=$A9),--ISNUMBER('Данные 1st'!$KL$2:$KL$317))</f>
        <v>1</v>
      </c>
      <c r="FQ9">
        <f>SUMPRODUCT(--('Данные 1st'!$S$2:$S$317=$A9),--ISNUMBER('Данные 1st'!$KM$2:$KM$317))</f>
        <v>1</v>
      </c>
      <c r="FR9">
        <f>SUMPRODUCT(--('Данные 1st'!$S$2:$S$317=$A9),--ISNUMBER('Данные 1st'!$KN$2:$KN$317))</f>
        <v>1</v>
      </c>
      <c r="FS9">
        <f>SUMPRODUCT(--('Данные 1st'!$S$2:$S$317=$A9),--ISNUMBER('Данные 1st'!$KR$2:$KR$317))</f>
        <v>1</v>
      </c>
      <c r="FT9">
        <f>SUMPRODUCT(--('Данные 1st'!$S$2:$S$317=$A9),--ISNUMBER('Данные 1st'!$KS$2:$KS$317))</f>
        <v>0</v>
      </c>
      <c r="FU9">
        <f>SUMPRODUCT(--('Данные 1st'!$S$2:$S$317=$A9),--ISNUMBER('Данные 1st'!$KT$2:$KT$317))</f>
        <v>1</v>
      </c>
      <c r="FV9">
        <f>SUMPRODUCT(--('Данные 1st'!$S$2:$S$317=$A9),--ISNUMBER('Данные 1st'!$KV$2:$KV$317))</f>
        <v>0</v>
      </c>
      <c r="FW9">
        <f>SUMPRODUCT(--('Данные 1st'!$S$2:$S$317=$A9),--ISNUMBER('Данные 1st'!$KW$2:$KW$317))</f>
        <v>0</v>
      </c>
      <c r="FX9">
        <f>SUMPRODUCT(--('Данные 1st'!$S$2:$S$317=$A9),--ISNUMBER('Данные 1st'!$KX$2:$KX$317))</f>
        <v>0</v>
      </c>
      <c r="FY9">
        <f>SUMPRODUCT(--('Данные 1st'!$S$2:$S$317=$A9),--ISNUMBER('Данные 1st'!$KY$2:$KY$317))</f>
        <v>0</v>
      </c>
      <c r="FZ9">
        <f>SUMPRODUCT(--('Данные 1st'!$S$2:$S$317=$A9),--ISNUMBER('Данные 1st'!$KZ$2:$KZ$317))</f>
        <v>0</v>
      </c>
      <c r="GA9">
        <f>SUMPRODUCT(--('Данные 1st'!$S$2:$S$317=$A9),--ISNUMBER('Данные 1st'!$LA$2:$LA$317))</f>
        <v>0</v>
      </c>
      <c r="GB9">
        <f>SUMPRODUCT(--('Данные 1st'!$S$2:$S$317=$A9),--ISNUMBER('Данные 1st'!$LB$2:$LB$317))</f>
        <v>0</v>
      </c>
      <c r="GC9">
        <f>SUMPRODUCT(--('Данные 1st'!$S$2:$S$317=$A9),--ISNUMBER('Данные 1st'!$LC$2:$LC$317))</f>
        <v>0</v>
      </c>
      <c r="GD9">
        <f>SUMPRODUCT(--('Данные 1st'!$S$2:$S$317=$A9),--ISNUMBER('Данные 1st'!$LD$2:$LD$317))</f>
        <v>0</v>
      </c>
      <c r="GE9">
        <f>SUMPRODUCT(--('Данные 1st'!$S$2:$S$317=$A9),--ISNUMBER('Данные 1st'!$LE$2:$LE$317))</f>
        <v>0</v>
      </c>
      <c r="GF9">
        <f>SUMPRODUCT(--('Данные 1st'!$S$2:$S$317=$A9),--ISNUMBER('Данные 1st'!$LF$2:$LF$317))</f>
        <v>0</v>
      </c>
      <c r="GG9">
        <f>SUMPRODUCT(--('Данные 1st'!$S$2:$S$317=$A9),--ISNUMBER('Данные 1st'!$LG$2:$LG$317))</f>
        <v>0</v>
      </c>
      <c r="GH9">
        <f>SUMPRODUCT(--('Данные 1st'!$S$2:$S$317=$A9),--ISNUMBER('Данные 1st'!$LH$2:$LH$317))</f>
        <v>0</v>
      </c>
      <c r="GI9">
        <f>SUMPRODUCT(--('Данные 1st'!$S$2:$S$317=$A9),--ISNUMBER('Данные 1st'!$LI$2:$LI$317))</f>
        <v>0</v>
      </c>
      <c r="GJ9">
        <f>SUMPRODUCT(--('Данные 1st'!$S$2:$S$317=$A9),--ISNUMBER('Данные 1st'!$LJ$2:$LJ$317))</f>
        <v>0</v>
      </c>
      <c r="GK9">
        <f>SUMPRODUCT(--('Данные 1st'!$S$2:$S$317=$A9),--ISNUMBER('Данные 1st'!$LK$2:$LK$317))</f>
        <v>1</v>
      </c>
      <c r="GL9">
        <f>SUMPRODUCT(--('Данные 1st'!$S$2:$S$317=$A9),--ISNUMBER('Данные 1st'!$LV$2:$LV$317))</f>
        <v>0</v>
      </c>
      <c r="GM9">
        <f>SUMPRODUCT(--('Данные 1st'!$S$2:$S$317=$A9),--ISNUMBER('Данные 1st'!$LW$2:$LW$317))</f>
        <v>0</v>
      </c>
      <c r="GN9">
        <f>SUMPRODUCT(--('Данные 1st'!$S$2:$S$317=$A9),--ISNUMBER('Данные 1st'!$LX$2:$LX$317))</f>
        <v>0</v>
      </c>
      <c r="GO9">
        <f>SUMPRODUCT(--('Данные 1st'!$S$2:$S$317=$A9),--ISNUMBER('Данные 1st'!$LY$2:$LY$317))</f>
        <v>0</v>
      </c>
      <c r="GP9">
        <f>SUMPRODUCT(--('Данные 1st'!$S$2:$S$317=$A9),--ISNUMBER('Данные 1st'!$LZ$2:$LZ$317))</f>
        <v>0</v>
      </c>
      <c r="GQ9">
        <f>SUMPRODUCT(--('Данные 1st'!$S$2:$S$317=$A9),--ISNUMBER('Данные 1st'!$PG$2:$PG$317))</f>
        <v>1</v>
      </c>
      <c r="GR9">
        <f>SUMPRODUCT(--('Данные 1st'!$S$2:$S$317=$A9),--ISNUMBER('Данные 1st'!$PX$2:$PX$317))</f>
        <v>1</v>
      </c>
      <c r="GS9">
        <f>SUMPRODUCT(--('Данные 1st'!$S$2:$S$317=$A9),--ISNUMBER('Данные 1st'!$PY$2:$PY$317))</f>
        <v>1</v>
      </c>
      <c r="GT9">
        <f>SUMPRODUCT(--('Данные 1st'!$S$2:$S$317=$A9),--ISNUMBER('Данные 1st'!$QA$2:$QA$317))</f>
        <v>1</v>
      </c>
      <c r="GU9">
        <f>SUMPRODUCT(--('Данные 1st'!$S$2:$S$317=$A9),--ISNUMBER('Данные 1st'!$QB$2:$QB$317))</f>
        <v>1</v>
      </c>
      <c r="GV9">
        <f>SUMPRODUCT(--('Данные 1st'!$S$2:$S$317=$A9),--ISNUMBER('Данные 1st'!$QC$2:$QC$317))</f>
        <v>1</v>
      </c>
      <c r="GW9">
        <f>SUMPRODUCT(--('Данные 1st'!$S$2:$S$317=$A9),--ISNUMBER('Данные 1st'!$QD$2:$QD$317))</f>
        <v>1</v>
      </c>
      <c r="GX9">
        <f>SUMPRODUCT(--('Данные 1st'!$S$2:$S$317=$A9),--ISNUMBER('Данные 1st'!$QF$2:$QF$317))</f>
        <v>1</v>
      </c>
      <c r="GY9">
        <f>SUMPRODUCT(--('Данные 1st'!$S$2:$S$317=$A9),--ISNUMBER('Данные 1st'!$QG$2:$QG$317))</f>
        <v>1</v>
      </c>
      <c r="GZ9">
        <f>SUMPRODUCT(--('Данные 1st'!$S$2:$S$317=$A9),--ISNUMBER('Данные 1st'!$QH$2:$QH$317))</f>
        <v>1</v>
      </c>
      <c r="HA9">
        <f>SUMPRODUCT(--('Данные 1st'!$S$2:$S$317=$A9),--ISNUMBER('Данные 1st'!$QI$2:$QI$317))</f>
        <v>1</v>
      </c>
      <c r="HB9">
        <f>SUMPRODUCT(--('Данные 1st'!$S$2:$S$317=$A9),--ISNUMBER('Данные 1st'!$QK$2:$QK$317))</f>
        <v>0</v>
      </c>
      <c r="HC9">
        <f>SUMPRODUCT(--('Данные 1st'!$S$2:$S$317=$A9),--ISNUMBER('Данные 1st'!$QL$2:$QL$317))</f>
        <v>1</v>
      </c>
      <c r="HD9">
        <f>SUMPRODUCT(--('Данные 1st'!$S$2:$S$317=$A9),--ISNUMBER('Данные 1st'!$QM$2:$QM$317))</f>
        <v>1</v>
      </c>
      <c r="HE9">
        <f>SUMPRODUCT(--('Данные 1st'!$S$2:$S$317=$A9),--ISNUMBER('Данные 1st'!$QN$2:$QN$317))</f>
        <v>1</v>
      </c>
      <c r="HF9">
        <f>SUMPRODUCT(--('Данные 1st'!$S$2:$S$317=$A9),--ISNUMBER('Данные 1st'!$QP$2:$QP$317))</f>
        <v>1</v>
      </c>
      <c r="HG9">
        <f>SUMPRODUCT(--('Данные 1st'!$S$2:$S$317=$A9),--ISNUMBER('Данные 1st'!$QQ$2:$QQ$317))</f>
        <v>1</v>
      </c>
      <c r="HH9">
        <f>SUMPRODUCT(--('Данные 1st'!$S$2:$S$317=$A9),--ISNUMBER('Данные 1st'!$QR$2:$QR$317))</f>
        <v>0</v>
      </c>
      <c r="HI9">
        <f>SUMPRODUCT(--('Данные 1st'!$S$2:$S$317=$A9),--ISNUMBER('Данные 1st'!$QS$2:$QS$317))</f>
        <v>0</v>
      </c>
      <c r="HJ9">
        <f>SUMPRODUCT(--('Данные 1st'!$S$2:$S$317=$A9),--ISNUMBER('Данные 1st'!$QU$2:$QU$317))</f>
        <v>0</v>
      </c>
      <c r="HK9">
        <f>SUMPRODUCT(--('Данные 1st'!$S$2:$S$317=$A9),--ISNUMBER('Данные 1st'!$QV$2:$QV$317))</f>
        <v>0</v>
      </c>
      <c r="HL9">
        <f>SUMPRODUCT(--('Данные 1st'!$S$2:$S$317=$A9),--ISNUMBER('Данные 1st'!$QW$2:$QW$317))</f>
        <v>1</v>
      </c>
      <c r="HM9">
        <f>SUMPRODUCT(--('Данные 1st'!$S$2:$S$317=$A9),--ISNUMBER('Данные 1st'!$QX$2:$QX$317))</f>
        <v>1</v>
      </c>
      <c r="HN9">
        <f>SUMPRODUCT(--('Данные 1st'!$S$2:$S$317=$A9),--ISNUMBER('Данные 1st'!$QZ$2:$QZ$317))</f>
        <v>1</v>
      </c>
      <c r="HO9">
        <f>SUMPRODUCT(--('Данные 1st'!$S$2:$S$317=$A9),--ISNUMBER('Данные 1st'!$RA$2:$RA$317))</f>
        <v>1</v>
      </c>
      <c r="HP9">
        <f>SUMPRODUCT(--('Данные 1st'!$S$2:$S$317=$A9),--ISNUMBER('Данные 1st'!$RB$2:$RB$317))</f>
        <v>1</v>
      </c>
      <c r="HQ9">
        <f>SUMPRODUCT(--('Данные 1st'!$S$2:$S$317=$A9),--ISNUMBER('Данные 1st'!$RD$2:$RD$317))</f>
        <v>0</v>
      </c>
      <c r="HR9">
        <f>SUMPRODUCT(--('Данные 1st'!$S$2:$S$317=$A9),--ISNUMBER('Данные 1st'!$RE$2:$RE$317))</f>
        <v>1</v>
      </c>
      <c r="HS9">
        <f>SUMPRODUCT(--('Данные 1st'!$S$2:$S$317=$A9),--ISNUMBER('Данные 1st'!$RF$2:$RF$317))</f>
        <v>1</v>
      </c>
      <c r="HT9">
        <f>SUMPRODUCT(--('Данные 1st'!$S$2:$S$317=$A9),--ISNUMBER('Данные 1st'!$RG$2:$RG$317))</f>
        <v>0</v>
      </c>
      <c r="HU9">
        <f>SUMPRODUCT(--('Данные 1st'!$S$2:$S$317=$A9),--ISNUMBER('Данные 1st'!$RH$2:$RH$317))</f>
        <v>0</v>
      </c>
      <c r="HV9">
        <f>SUMPRODUCT(--('Данные 1st'!$S$2:$S$317=$A9),--ISNUMBER('Данные 1st'!$RI$2:$RI$317))</f>
        <v>0</v>
      </c>
      <c r="HW9">
        <f>SUMPRODUCT(--('Данные 1st'!$S$2:$S$317=$A9),--ISNUMBER('Данные 1st'!$RJ$2:$RJ$317))</f>
        <v>1</v>
      </c>
      <c r="HX9">
        <f>SUMPRODUCT(--('Данные 1st'!$S$2:$S$317=$A9),--ISNUMBER('Данные 1st'!$RK$2:$RK$317))</f>
        <v>0</v>
      </c>
      <c r="HY9">
        <f>SUMPRODUCT(--('Данные 1st'!$S$2:$S$317=$A9),--ISNUMBER('Данные 1st'!$RL$2:$RL$317))</f>
        <v>1</v>
      </c>
      <c r="HZ9">
        <f>SUMPRODUCT(--('Данные 1st'!$S$2:$S$317=$A9),--ISNUMBER('Данные 1st'!$RM$2:$RM$317))</f>
        <v>0</v>
      </c>
      <c r="IA9">
        <f>SUMPRODUCT(--('Данные 1st'!$S$2:$S$317=$A9),--ISNUMBER('Данные 1st'!$RN$2:$RN$317))</f>
        <v>0</v>
      </c>
      <c r="IB9">
        <f>SUMPRODUCT(--('Данные 1st'!$S$2:$S$317=$A9),--ISNUMBER('Данные 1st'!$RO$2:$RO$317))</f>
        <v>1</v>
      </c>
      <c r="IC9">
        <f>SUMPRODUCT(--('Данные 1st'!$S$2:$S$317=$A9),--ISNUMBER('Данные 1st'!$RP$2:$RP$317))</f>
        <v>0</v>
      </c>
      <c r="ID9">
        <f>SUMPRODUCT(--('Данные 1st'!$S$2:$S$317=$A9),--ISNUMBER('Данные 1st'!$RQ$2:$RQ$317))</f>
        <v>1</v>
      </c>
      <c r="IE9">
        <f>SUMPRODUCT(--('Данные 1st'!$S$2:$S$317=$A9),--ISNUMBER('Данные 1st'!$RR$2:$RR$317))</f>
        <v>0</v>
      </c>
      <c r="IF9">
        <f>SUMPRODUCT(--('Данные 1st'!$S$2:$S$317=$A9),--ISNUMBER('Данные 1st'!$RS$2:$RS$317))</f>
        <v>0</v>
      </c>
      <c r="IG9">
        <f>SUMPRODUCT(--('Данные 1st'!$S$2:$S$317=$A9),--ISNUMBER('Данные 1st'!$RT$2:$RT$317))</f>
        <v>1</v>
      </c>
      <c r="IH9">
        <f>SUMPRODUCT(--('Данные 1st'!$S$2:$S$317=$A9),--ISNUMBER('Данные 1st'!$RU$2:$RU$317))</f>
        <v>1</v>
      </c>
      <c r="II9">
        <f>SUMPRODUCT(--('Данные 1st'!$S$2:$S$317=$A9),--ISNUMBER('Данные 1st'!$RX$2:$RX$317))</f>
        <v>1</v>
      </c>
      <c r="IJ9">
        <f>SUMPRODUCT(--('Данные 1st'!$S$2:$S$317=$A9),--ISNUMBER('Данные 1st'!$RY$2:$RY$317))</f>
        <v>1</v>
      </c>
      <c r="IK9">
        <f>SUMPRODUCT(--('Данные 1st'!$S$2:$S$317=$A9),--ISNUMBER('Данные 1st'!$SA$2:$SA$317))</f>
        <v>1</v>
      </c>
      <c r="IL9">
        <f>SUMPRODUCT(--('Данные 1st'!$S$2:$S$317=$A9),--ISNUMBER('Данные 1st'!$SD$2:$SD$317))</f>
        <v>1</v>
      </c>
      <c r="IM9">
        <f>SUMPRODUCT(--('Данные 1st'!$S$2:$S$317=$A9),--ISNUMBER('Данные 1st'!$SG$2:$SG$317))</f>
        <v>0</v>
      </c>
      <c r="IN9">
        <f>SUMPRODUCT(--('Данные 1st'!$S$2:$S$317=$A9),--ISNUMBER('Данные 1st'!$SH$2:$SH$317))</f>
        <v>1</v>
      </c>
      <c r="IO9">
        <f>SUMPRODUCT(--('Данные 1st'!$S$2:$S$317=$A9),--ISNUMBER('Данные 1st'!$SI$2:$SI$317))</f>
        <v>1</v>
      </c>
      <c r="IP9">
        <f>SUMPRODUCT(--('Данные 1st'!$S$2:$S$317=$A9),--ISNUMBER('Данные 1st'!$SJ$2:$SJ$317))</f>
        <v>1</v>
      </c>
      <c r="IQ9">
        <f>SUMPRODUCT(--('Данные 1st'!$S$2:$S$317=$A9),--ISNUMBER('Данные 1st'!$SK$2:$SK$317))</f>
        <v>1</v>
      </c>
      <c r="IR9">
        <f>SUMPRODUCT(--('Данные 1st'!$S$2:$S$317=$A9),--ISNUMBER('Данные 1st'!$SL$2:$SL$317))</f>
        <v>1</v>
      </c>
      <c r="IS9">
        <f>SUMPRODUCT(--('Данные 1st'!$S$2:$S$317=$A9),--ISNUMBER('Данные 1st'!$SM$2:$SM$317))</f>
        <v>1</v>
      </c>
      <c r="IT9">
        <f>SUMPRODUCT(--('Данные 1st'!$S$2:$S$317=$A9),--ISNUMBER('Данные 1st'!$SN$2:$SN$317))</f>
        <v>1</v>
      </c>
      <c r="IU9">
        <f>SUMPRODUCT(--('Данные 1st'!$S$2:$S$317=$A9),--ISNUMBER('Данные 1st'!$SO$2:$SO$317))</f>
        <v>1</v>
      </c>
      <c r="IV9">
        <f>SUMPRODUCT(--('Данные 1st'!$S$2:$S$317=$A9),--ISNUMBER('Данные 1st'!$SP$2:$SP$317))</f>
        <v>1</v>
      </c>
      <c r="IW9">
        <f>SUMPRODUCT(--('Данные 1st'!$S$2:$S$317=$A9),--ISNUMBER('Данные 1st'!$SQ$2:$SQ$317))</f>
        <v>1</v>
      </c>
      <c r="IX9">
        <f>SUMPRODUCT(--('Данные 1st'!$S$2:$S$317=$A9),--ISNUMBER('Данные 1st'!$SR$2:$SR$317))</f>
        <v>1</v>
      </c>
      <c r="IY9">
        <f>SUMPRODUCT(--('Данные 1st'!$S$2:$S$317=$A9),--ISNUMBER('Данные 1st'!$SS$2:$SS$317))</f>
        <v>1</v>
      </c>
      <c r="IZ9">
        <f>SUMPRODUCT(--('Данные 1st'!$S$2:$S$317=$A9),--ISNUMBER('Данные 1st'!$ST$2:$ST$317))</f>
        <v>1</v>
      </c>
      <c r="JA9">
        <f>SUMPRODUCT(--('Данные 1st'!$S$2:$S$317=$A9),--ISNUMBER('Данные 1st'!$SU$2:$SU$317))</f>
        <v>1</v>
      </c>
      <c r="JB9">
        <f>SUMPRODUCT(--('Данные 1st'!$S$2:$S$317=$A9),--ISNUMBER('Данные 1st'!$SV$2:$SV$317))</f>
        <v>1</v>
      </c>
      <c r="JC9">
        <f>SUMPRODUCT(--('Данные 1st'!$S$2:$S$317=$A9),--ISNUMBER('Данные 1st'!$SW$2:$SW$317))</f>
        <v>1</v>
      </c>
      <c r="JD9">
        <f>SUMPRODUCT(--('Данные 1st'!$S$2:$S$317=$A9),--ISNUMBER('Данные 1st'!$SX$2:$SX$317))</f>
        <v>1</v>
      </c>
      <c r="JE9">
        <f>SUMPRODUCT(--('Данные 1st'!$S$2:$S$317=$A9),--ISNUMBER('Данные 1st'!$SY$2:$SY$317))</f>
        <v>0</v>
      </c>
      <c r="JF9">
        <f>SUMPRODUCT(--('Данные 1st'!$S$2:$S$317=$A9),--ISNUMBER('Данные 1st'!$SZ$2:$SZ$317))</f>
        <v>0</v>
      </c>
      <c r="JG9">
        <f>SUMPRODUCT(--('Данные 1st'!$S$2:$S$317=$A9),--ISNUMBER('Данные 1st'!$TA$2:$TA$317))</f>
        <v>0</v>
      </c>
      <c r="JH9">
        <f>SUMPRODUCT(--('Данные 1st'!$S$2:$S$317=$A9),--ISNUMBER('Данные 1st'!$TB$2:$TB$317))</f>
        <v>1</v>
      </c>
      <c r="JI9">
        <f>SUMPRODUCT(--('Данные 1st'!$S$2:$S$317=$A9),--ISNUMBER('Данные 1st'!$TC$2:$TC$317))</f>
        <v>1</v>
      </c>
      <c r="JJ9">
        <f>SUMPRODUCT(--('Данные 1st'!$S$2:$S$317=$A9),--ISNUMBER('Данные 1st'!$TD$2:$TD$317))</f>
        <v>1</v>
      </c>
      <c r="JK9">
        <f>SUMPRODUCT(--('Данные 1st'!$S$2:$S$317=$A9),--ISNUMBER('Данные 1st'!$TN$2:$TN$317))</f>
        <v>1</v>
      </c>
      <c r="JQ9">
        <f>SUMPRODUCT(--('Данные 2st'!$Q$2:$Q$317=$A9),--ISNUMBER('Данные 2st'!$AC$2:$AC$317))</f>
        <v>1</v>
      </c>
      <c r="JR9">
        <f>SUMPRODUCT(--('Данные 2st'!$Q$2:$Q$317=$A9),--ISNUMBER('Данные 2st'!$AF$2:$AF$317))</f>
        <v>1</v>
      </c>
      <c r="JS9">
        <f>SUMPRODUCT(--('Данные 2st'!$Q$2:$Q$317=$A9),--ISNUMBER('Данные 2st'!$AW$2:$AW$317))</f>
        <v>1</v>
      </c>
      <c r="JT9">
        <f>SUMPRODUCT(--('Данные 2st'!$Q$2:$Q$317=$A9),--ISNUMBER('Данные 2st'!$AX$2:$AX$317))</f>
        <v>1</v>
      </c>
      <c r="JU9">
        <f>SUMPRODUCT(--('Данные 2st'!$Q$2:$Q$317=$A9),--ISNUMBER('Данные 2st'!$AY$2:$AY$317))</f>
        <v>1</v>
      </c>
      <c r="JV9">
        <f>SUMPRODUCT(--('Данные 2st'!$Q$2:$Q$317=$A9),--ISNUMBER('Данные 2st'!$AZ$2:$AZ$317))</f>
        <v>1</v>
      </c>
      <c r="JW9">
        <f>SUMPRODUCT(--('Данные 2st'!$Q$2:$Q$317=$A9),--ISNUMBER('Данные 2st'!$BA$2:$BA$317))</f>
        <v>0</v>
      </c>
      <c r="JX9">
        <f>SUMPRODUCT(--('Данные 2st'!$Q$2:$Q$317=$A9),--ISNUMBER('Данные 2st'!$BB$2:$BB$317))</f>
        <v>0</v>
      </c>
      <c r="JY9">
        <f>SUMPRODUCT(--('Данные 2st'!$Q$2:$Q$317=$A9),--ISNUMBER('Данные 2st'!$BC$2:$BC$317))</f>
        <v>0</v>
      </c>
      <c r="JZ9">
        <f>SUMPRODUCT(--('Данные 2st'!$Q$2:$Q$317=$A9),--ISNUMBER('Данные 2st'!$BH$2:$BH$317))</f>
        <v>1</v>
      </c>
      <c r="KA9">
        <f>SUMPRODUCT(--('Данные 2st'!$Q$2:$Q$317=$A9),--ISNUMBER('Данные 2st'!$BI$2:$BI$317))</f>
        <v>1</v>
      </c>
      <c r="KB9">
        <f>SUMPRODUCT(--('Данные 2st'!$Q$2:$Q$317=$A9),--ISNUMBER('Данные 2st'!$BJ$2:$BJ$317))</f>
        <v>1</v>
      </c>
      <c r="KC9">
        <f>SUMPRODUCT(--('Данные 2st'!$Q$2:$Q$317=$A9),--ISNUMBER('Данные 2st'!$BK$2:$BK$317))</f>
        <v>1</v>
      </c>
      <c r="KD9">
        <f>SUMPRODUCT(--('Данные 2st'!$Q$2:$Q$317=$A9),--ISNUMBER('Данные 2st'!$BL$2:$BL$317))</f>
        <v>1</v>
      </c>
      <c r="KE9">
        <f>SUMPRODUCT(--('Данные 2st'!$Q$2:$Q$317=$A9),--ISNUMBER('Данные 2st'!$BM$2:$BM$317))</f>
        <v>1</v>
      </c>
      <c r="KF9">
        <f>SUMPRODUCT(--('Данные 2st'!$Q$2:$Q$317=$A9),--ISNUMBER('Данные 2st'!$BN$2:$BN$317))</f>
        <v>1</v>
      </c>
      <c r="KG9">
        <f>SUMPRODUCT(--('Данные 2st'!$Q$2:$Q$317=$A9),--ISNUMBER('Данные 2st'!$BO$2:$BO$317))</f>
        <v>0</v>
      </c>
      <c r="KH9">
        <f>SUMPRODUCT(--('Данные 2st'!$Q$2:$Q$317=$A9),--ISNUMBER('Данные 2st'!$BP$2:$BP$317))</f>
        <v>1</v>
      </c>
      <c r="KI9">
        <f>SUMPRODUCT(--('Данные 2st'!$Q$2:$Q$317=$A9),--ISNUMBER('Данные 2st'!$BR$2:$BR$317))</f>
        <v>1</v>
      </c>
      <c r="KJ9">
        <f>SUMPRODUCT(--('Данные 2st'!$Q$2:$Q$317=$A9),--ISNUMBER('Данные 2st'!$BS$2:$BS$317))</f>
        <v>1</v>
      </c>
      <c r="KK9">
        <f>SUMPRODUCT(--('Данные 2st'!$Q$2:$Q$317=$A9),--ISNUMBER('Данные 2st'!$BT$2:$BT$317))</f>
        <v>1</v>
      </c>
      <c r="KL9">
        <f>SUMPRODUCT(--('Данные 2st'!$Q$2:$Q$317=$A9),--ISNUMBER('Данные 2st'!$CV$2:$CV$317))</f>
        <v>1</v>
      </c>
      <c r="KM9">
        <f>SUMPRODUCT(--('Данные 2st'!$Q$2:$Q$317=$A9),--ISNUMBER('Данные 2st'!$CW$2:$CW$317))</f>
        <v>1</v>
      </c>
      <c r="KN9">
        <f>SUMPRODUCT(--('Данные 2st'!$Q$2:$Q$317=$A9),--ISNUMBER('Данные 2st'!$CX$2:$CX$317))</f>
        <v>1</v>
      </c>
      <c r="KO9">
        <f>SUMPRODUCT(--('Данные 2st'!$Q$2:$Q$317=$A9),--ISNUMBER('Данные 2st'!$CY$2:$CY$317))</f>
        <v>1</v>
      </c>
      <c r="KP9">
        <f>SUMPRODUCT(--('Данные 2st'!$Q$2:$Q$317=$A9),--ISNUMBER('Данные 2st'!$CZ$2:$CZ$317))</f>
        <v>1</v>
      </c>
      <c r="KQ9">
        <f>SUMPRODUCT(--('Данные 2st'!$Q$2:$Q$317=$A9),--ISNUMBER('Данные 2st'!$DA$2:$DA$317))</f>
        <v>1</v>
      </c>
      <c r="KR9">
        <f>SUMPRODUCT(--('Данные 2st'!$Q$2:$Q$317=$A9),--ISNUMBER('Данные 2st'!$DB$2:$DB$317))</f>
        <v>1</v>
      </c>
      <c r="KS9">
        <f>SUMPRODUCT(--('Данные 2st'!$Q$2:$Q$317=$A9),--ISNUMBER('Данные 2st'!$DC$2:$DC$317))</f>
        <v>1</v>
      </c>
      <c r="KT9">
        <f>SUMPRODUCT(--('Данные 2st'!$Q$2:$Q$317=$A9),--ISNUMBER('Данные 2st'!$DD$2:$DD$317))</f>
        <v>1</v>
      </c>
      <c r="KU9">
        <f>SUMPRODUCT(--('Данные 2st'!$Q$2:$Q$317=$A9),--ISNUMBER('Данные 2st'!$DE$2:$DE$317))</f>
        <v>1</v>
      </c>
      <c r="KV9">
        <f>SUMPRODUCT(--('Данные 2st'!$Q$2:$Q$317=$A9),--ISNUMBER('Данные 2st'!$DF$2:$DF$317))</f>
        <v>1</v>
      </c>
      <c r="KW9">
        <f>SUMPRODUCT(--('Данные 2st'!$Q$2:$Q$317=$A9),--ISNUMBER('Данные 2st'!$DG$2:$DG$317))</f>
        <v>1</v>
      </c>
      <c r="KX9">
        <f>SUMPRODUCT(--('Данные 2st'!$Q$2:$Q$317=$A9),--ISNUMBER('Данные 2st'!$DH$2:$DH$317))</f>
        <v>0</v>
      </c>
      <c r="KY9">
        <f>SUMPRODUCT(--('Данные 2st'!$Q$2:$Q$317=$A9),--ISNUMBER('Данные 2st'!$DI$2:$DI$317))</f>
        <v>0</v>
      </c>
      <c r="KZ9">
        <f>SUMPRODUCT(--('Данные 2st'!$Q$2:$Q$317=$A9),--ISNUMBER('Данные 2st'!$DK$2:$DK$317))</f>
        <v>1</v>
      </c>
      <c r="LA9">
        <f>SUMPRODUCT(--('Данные 2st'!$Q$2:$Q$317=$A9),--ISNUMBER('Данные 2st'!$DM$2:$DM$317))</f>
        <v>1</v>
      </c>
      <c r="LB9">
        <f>SUMPRODUCT(--('Данные 2st'!$Q$2:$Q$317=$A9),--ISNUMBER('Данные 2st'!$DN$2:$DN$317))</f>
        <v>1</v>
      </c>
      <c r="LC9">
        <f>SUMPRODUCT(--('Данные 2st'!$Q$2:$Q$317=$A9),--ISNUMBER('Данные 2st'!$DO$2:$DO$317))</f>
        <v>1</v>
      </c>
      <c r="LD9">
        <f>SUMPRODUCT(--('Данные 2st'!$Q$2:$Q$317=$A9),--ISNUMBER('Данные 2st'!$DP$2:$DP$317))</f>
        <v>1</v>
      </c>
      <c r="LE9">
        <f>SUMPRODUCT(--('Данные 2st'!$Q$2:$Q$317=$A9),--ISNUMBER('Данные 2st'!$DQ$2:$DQ$317))</f>
        <v>1</v>
      </c>
      <c r="LF9">
        <f>SUMPRODUCT(--('Данные 2st'!$Q$2:$Q$317=$A9),--ISNUMBER('Данные 2st'!$DS$2:$DS$317))</f>
        <v>1</v>
      </c>
      <c r="LG9">
        <f>SUMPRODUCT(--('Данные 2st'!$Q$2:$Q$317=$A9),--ISNUMBER('Данные 2st'!$DU$2:$DU$317))</f>
        <v>1</v>
      </c>
      <c r="LH9">
        <f>SUMPRODUCT(--('Данные 2st'!$Q$2:$Q$317=$A9),--ISNUMBER('Данные 2st'!$DV$2:$DV$317))</f>
        <v>1</v>
      </c>
      <c r="LI9">
        <f>SUMPRODUCT(--('Данные 2st'!$Q$2:$Q$317=$A9),--ISNUMBER('Данные 2st'!$DW$2:$DW$317))</f>
        <v>1</v>
      </c>
      <c r="LJ9">
        <f>SUMPRODUCT(--('Данные 2st'!$Q$2:$Q$317=$A9),--ISNUMBER('Данные 2st'!$DX$2:$DX$317))</f>
        <v>1</v>
      </c>
      <c r="LK9">
        <f>SUMPRODUCT(--('Данные 2st'!$Q$2:$Q$317=$A9),--ISNUMBER('Данные 2st'!$DY$2:$DY$317))</f>
        <v>1</v>
      </c>
      <c r="LL9">
        <f>SUMPRODUCT(--('Данные 2st'!$Q$2:$Q$317=$A9),--ISNUMBER('Данные 2st'!$EA$2:$EA$317))</f>
        <v>1</v>
      </c>
      <c r="LM9">
        <f>SUMPRODUCT(--('Данные 2st'!$Q$2:$Q$317=$A9),--ISNUMBER('Данные 2st'!$EC$2:$EC$317))</f>
        <v>1</v>
      </c>
      <c r="LN9">
        <f>SUMPRODUCT(--('Данные 2st'!$Q$2:$Q$317=$A9),--ISNUMBER('Данные 2st'!$ED$2:$ED$317))</f>
        <v>1</v>
      </c>
      <c r="LO9">
        <f>SUMPRODUCT(--('Данные 2st'!$Q$2:$Q$317=$A9),--ISNUMBER('Данные 2st'!$EE$2:$EE$317))</f>
        <v>1</v>
      </c>
      <c r="LP9">
        <f>SUMPRODUCT(--('Данные 2st'!$Q$2:$Q$317=$A9),--ISNUMBER('Данные 2st'!$EG$2:$EG$317))</f>
        <v>1</v>
      </c>
      <c r="LQ9">
        <f>SUMPRODUCT(--('Данные 2st'!$Q$2:$Q$317=$A9),--ISNUMBER('Данные 2st'!$EI$2:$EI$317))</f>
        <v>1</v>
      </c>
      <c r="LR9">
        <f>SUMPRODUCT(--('Данные 2st'!$Q$2:$Q$317=$A9),--ISNUMBER('Данные 2st'!$EJ$2:$EJ$317))</f>
        <v>1</v>
      </c>
      <c r="LS9">
        <f>SUMPRODUCT(--('Данные 2st'!$Q$2:$Q$317=$A9),--ISNUMBER('Данные 2st'!$EK$2:$EK$317))</f>
        <v>1</v>
      </c>
      <c r="LT9">
        <f>SUMPRODUCT(--('Данные 2st'!$Q$2:$Q$317=$A9),--ISNUMBER('Данные 2st'!$EM$2:$EM$317))</f>
        <v>1</v>
      </c>
      <c r="LU9">
        <f>SUMPRODUCT(--('Данные 2st'!$Q$2:$Q$317=$A9),--ISNUMBER('Данные 2st'!$EN$2:$EN$317))</f>
        <v>1</v>
      </c>
      <c r="LV9">
        <f>SUMPRODUCT(--('Данные 2st'!$Q$2:$Q$317=$A9),--ISNUMBER('Данные 2st'!$EO$2:$EO$317))</f>
        <v>1</v>
      </c>
      <c r="LW9">
        <f>SUMPRODUCT(--('Данные 2st'!$Q$2:$Q$317=$A9),--ISNUMBER('Данные 2st'!$EP$2:$EP$317))</f>
        <v>1</v>
      </c>
      <c r="LX9">
        <f>SUMPRODUCT(--('Данные 2st'!$Q$2:$Q$317=$A9),--ISNUMBER('Данные 2st'!$EQ$2:$EQ$317))</f>
        <v>1</v>
      </c>
      <c r="LY9">
        <f>SUMPRODUCT(--('Данные 2st'!$Q$2:$Q$317=$A9),--ISNUMBER('Данные 2st'!$ER$2:$ER$317))</f>
        <v>1</v>
      </c>
      <c r="LZ9">
        <f>SUMPRODUCT(--('Данные 2st'!$Q$2:$Q$317=$A9),--ISNUMBER('Данные 2st'!$ES$2:$ES$317))</f>
        <v>1</v>
      </c>
      <c r="MA9">
        <f>SUMPRODUCT(--('Данные 2st'!$Q$2:$Q$317=$A9),--ISNUMBER('Данные 2st'!$ET$2:$ET$317))</f>
        <v>1</v>
      </c>
      <c r="MB9">
        <f>SUMPRODUCT(--('Данные 2st'!$Q$2:$Q$317=$A9),--ISNUMBER('Данные 2st'!$EU$2:$EU$317))</f>
        <v>1</v>
      </c>
      <c r="MC9">
        <f>SUMPRODUCT(--('Данные 2st'!$Q$2:$Q$317=$A9),--ISNUMBER('Данные 2st'!$EV$2:$EV$317))</f>
        <v>1</v>
      </c>
      <c r="MD9">
        <f>SUMPRODUCT(--('Данные 2st'!$Q$2:$Q$317=$A9),--ISNUMBER('Данные 2st'!$EW$2:$EW$317))</f>
        <v>1</v>
      </c>
      <c r="ME9">
        <f>SUMPRODUCT(--('Данные 2st'!$Q$2:$Q$317=$A9),--ISNUMBER('Данные 2st'!$EY$2:$EY$317))</f>
        <v>1</v>
      </c>
      <c r="MF9">
        <f>SUMPRODUCT(--('Данные 2st'!$Q$2:$Q$317=$A9),--ISNUMBER('Данные 2st'!$FA$2:$FA$317))</f>
        <v>1</v>
      </c>
      <c r="MG9">
        <f>SUMPRODUCT(--('Данные 2st'!$Q$2:$Q$317=$A9),--ISNUMBER('Данные 2st'!$FB$2:$FB$317))</f>
        <v>1</v>
      </c>
      <c r="MH9">
        <f>SUMPRODUCT(--('Данные 2st'!$Q$2:$Q$317=$A9),--ISNUMBER('Данные 2st'!$FC$2:$FC$317))</f>
        <v>1</v>
      </c>
      <c r="MI9">
        <f>SUMPRODUCT(--('Данные 2st'!$Q$2:$Q$317=$A9),--ISNUMBER('Данные 2st'!$FD$2:$FD$317))</f>
        <v>1</v>
      </c>
      <c r="MJ9">
        <f>SUMPRODUCT(--('Данные 2st'!$Q$2:$Q$317=$A9),--ISNUMBER('Данные 2st'!$FE$2:$FE$317))</f>
        <v>1</v>
      </c>
      <c r="MK9">
        <f>SUMPRODUCT(--('Данные 2st'!$Q$2:$Q$317=$A9),--ISNUMBER('Данные 2st'!$FG$2:$FG$317))</f>
        <v>1</v>
      </c>
      <c r="ML9">
        <f>SUMPRODUCT(--('Данные 2st'!$Q$2:$Q$317=$A9),--ISNUMBER('Данные 2st'!$FI$2:$FI$317))</f>
        <v>1</v>
      </c>
      <c r="MM9">
        <f>SUMPRODUCT(--('Данные 2st'!$Q$2:$Q$317=$A9),--ISNUMBER('Данные 2st'!$FJ$2:$FJ$317))</f>
        <v>1</v>
      </c>
      <c r="MN9">
        <f>SUMPRODUCT(--('Данные 2st'!$Q$2:$Q$317=$A9),--ISNUMBER('Данные 2st'!$FK$2:$FK$317))</f>
        <v>1</v>
      </c>
      <c r="MO9">
        <f>SUMPRODUCT(--('Данные 2st'!$Q$2:$Q$317=$A9),--ISNUMBER('Данные 2st'!$FP$2:$FP$317))</f>
        <v>1</v>
      </c>
      <c r="MP9">
        <f>SUMPRODUCT(--('Данные 2st'!$Q$2:$Q$317=$A9),--ISNUMBER('Данные 2st'!$FQ$2:$FQ$317))</f>
        <v>1</v>
      </c>
      <c r="MQ9">
        <f>SUMPRODUCT(--('Данные 2st'!$Q$2:$Q$317=$A9),--ISNUMBER('Данные 2st'!$FS$2:$FS$317))</f>
        <v>1</v>
      </c>
      <c r="MR9">
        <f>SUMPRODUCT(--('Данные 2st'!$Q$2:$Q$317=$A9),--ISNUMBER('Данные 2st'!$FU$2:$FU$317))</f>
        <v>1</v>
      </c>
      <c r="MS9">
        <f>SUMPRODUCT(--('Данные 2st'!$Q$2:$Q$317=$A9),--ISNUMBER('Данные 2st'!$FV$2:$FV$317))</f>
        <v>1</v>
      </c>
      <c r="MT9">
        <f>SUMPRODUCT(--('Данные 2st'!$Q$2:$Q$317=$A9),--ISNUMBER('Данные 2st'!$FW$2:$FW$317))</f>
        <v>1</v>
      </c>
      <c r="MU9">
        <f>SUMPRODUCT(--('Данные 2st'!$Q$2:$Q$317=$A9),--ISNUMBER('Данные 2st'!$FY$2:$FY$317))</f>
        <v>0</v>
      </c>
      <c r="MV9">
        <f>SUMPRODUCT(--('Данные 2st'!$Q$2:$Q$317=$A9),--ISNUMBER('Данные 2st'!$GB$2:$GB$317))</f>
        <v>0</v>
      </c>
      <c r="MW9">
        <f>SUMPRODUCT(--('Данные 2st'!$Q$2:$Q$317=$A9),--ISNUMBER('Данные 2st'!$GC$2:$GC$317))</f>
        <v>0</v>
      </c>
      <c r="MX9">
        <f>SUMPRODUCT(--('Данные 2st'!$Q$2:$Q$317=$A9),--ISNUMBER('Данные 2st'!$GD$2:$GD$317))</f>
        <v>1</v>
      </c>
      <c r="MY9">
        <f>SUMPRODUCT(--('Данные 2st'!$Q$2:$Q$317=$A9),--ISNUMBER('Данные 2st'!$GN$2:$GN$317))</f>
        <v>0</v>
      </c>
      <c r="MZ9">
        <f>SUMPRODUCT(--('Данные 2st'!$Q$2:$Q$317=$A9),--ISNUMBER('Данные 2st'!$GQ$2:$GQ$317))</f>
        <v>1</v>
      </c>
      <c r="NA9">
        <f>SUMPRODUCT(--('Данные 2st'!$Q$2:$Q$317=$A9),--ISNUMBER('Данные 2st'!$GV$2:$GV$317))</f>
        <v>1</v>
      </c>
      <c r="NB9">
        <f>SUMPRODUCT(--('Данные 2st'!$Q$2:$Q$317=$A9),--ISNUMBER('Данные 2st'!$GW$2:$GW$317))</f>
        <v>1</v>
      </c>
      <c r="NC9">
        <f>SUMPRODUCT(--('Данные 2st'!$Q$2:$Q$317=$A9),--ISNUMBER('Данные 2st'!$GX$2:$GX$317))</f>
        <v>1</v>
      </c>
      <c r="ND9">
        <f>SUMPRODUCT(--('Данные 2st'!$Q$2:$Q$317=$A9),--ISNUMBER('Данные 2st'!$GY$2:$GY$317))</f>
        <v>1</v>
      </c>
      <c r="NE9">
        <f>SUMPRODUCT(--('Данные 2st'!$Q$2:$Q$317=$A9),--ISNUMBER('Данные 2st'!$GZ$2:$GZ$317))</f>
        <v>1</v>
      </c>
      <c r="NF9">
        <f>SUMPRODUCT(--('Данные 2st'!$Q$2:$Q$317=$A9),--ISNUMBER('Данные 2st'!$HA$2:$HA$317))</f>
        <v>1</v>
      </c>
      <c r="NG9">
        <f>SUMPRODUCT(--('Данные 2st'!$Q$2:$Q$317=$A9),--ISNUMBER('Данные 2st'!$HB$2:$HB$317))</f>
        <v>1</v>
      </c>
      <c r="NH9">
        <f>SUMPRODUCT(--('Данные 2st'!$Q$2:$Q$317=$A9),--ISNUMBER('Данные 2st'!$HC$2:$HC$317))</f>
        <v>1</v>
      </c>
      <c r="NI9">
        <f>SUMPRODUCT(--('Данные 2st'!$Q$2:$Q$317=$A9),--ISNUMBER('Данные 2st'!$HD$2:$HD$317))</f>
        <v>1</v>
      </c>
      <c r="NJ9">
        <f>SUMPRODUCT(--('Данные 2st'!$Q$2:$Q$317=$A9),--ISNUMBER('Данные 2st'!$HM$2:$HM$317))</f>
        <v>1</v>
      </c>
      <c r="NK9">
        <f>SUMPRODUCT(--('Данные 2st'!$Q$2:$Q$317=$A9),--ISNUMBER('Данные 2st'!$HR$2:$HR$317))</f>
        <v>1</v>
      </c>
      <c r="NL9">
        <f>SUMPRODUCT(--('Данные 2st'!$Q$2:$Q$317=$A9),--ISNUMBER('Данные 2st'!$HS$2:$HS$317))</f>
        <v>1</v>
      </c>
      <c r="NM9">
        <f>SUMPRODUCT(--('Данные 2st'!$Q$2:$Q$317=$A9),--ISNUMBER('Данные 2st'!$HT$2:$HT$317))</f>
        <v>1</v>
      </c>
      <c r="NN9">
        <f>SUMPRODUCT(--('Данные 2st'!$Q$2:$Q$317=$A9),--ISNUMBER('Данные 2st'!$HY$2:$HY$317))</f>
        <v>1</v>
      </c>
      <c r="NO9">
        <f>SUMPRODUCT(--('Данные 2st'!$Q$2:$Q$317=$A9),--ISNUMBER('Данные 2st'!$HZ$2:$HZ$317))</f>
        <v>1</v>
      </c>
      <c r="NP9">
        <f>SUMPRODUCT(--('Данные 2st'!$Q$2:$Q$317=$A9),--ISNUMBER('Данные 2st'!$IA$2:$IA$317))</f>
        <v>1</v>
      </c>
      <c r="NQ9">
        <f>SUMPRODUCT(--('Данные 2st'!$Q$2:$Q$317=$A9),--ISNUMBER('Данные 2st'!$IB$2:$IB$317))</f>
        <v>1</v>
      </c>
      <c r="NR9">
        <f>SUMPRODUCT(--('Данные 2st'!$Q$2:$Q$317=$A9),--ISNUMBER('Данные 2st'!$IC$2:$IC$317))</f>
        <v>0</v>
      </c>
      <c r="NS9">
        <f>SUMPRODUCT(--('Данные 2st'!$Q$2:$Q$317=$A9),--ISNUMBER('Данные 2st'!$ID$2:$ID$317))</f>
        <v>1</v>
      </c>
      <c r="NT9">
        <f>SUMPRODUCT(--('Данные 2st'!$Q$2:$Q$317=$A9),--ISNUMBER('Данные 2st'!$IE$2:$IE$317))</f>
        <v>1</v>
      </c>
      <c r="NU9">
        <f>SUMPRODUCT(--('Данные 2st'!$Q$2:$Q$317=$A9),--ISNUMBER('Данные 2st'!$IF$2:$IF$317))</f>
        <v>1</v>
      </c>
      <c r="NV9">
        <f>SUMPRODUCT(--('Данные 2st'!$Q$2:$Q$317=$A9),--ISNUMBER('Данные 2st'!$IG$2:$IG$317))</f>
        <v>1</v>
      </c>
      <c r="NW9">
        <f>SUMPRODUCT(--('Данные 2st'!$Q$2:$Q$317=$A9),--ISNUMBER('Данные 2st'!$IH$2:$IH$317))</f>
        <v>1</v>
      </c>
      <c r="NX9">
        <f>SUMPRODUCT(--('Данные 2st'!$Q$2:$Q$317=$A9),--ISNUMBER('Данные 2st'!$IJ$2:$IJ$317))</f>
        <v>1</v>
      </c>
      <c r="NY9">
        <f>SUMPRODUCT(--('Данные 2st'!$Q$2:$Q$317=$A9),--ISNUMBER('Данные 2st'!$IM$2:$IM$317))</f>
        <v>1</v>
      </c>
      <c r="NZ9">
        <f>SUMPRODUCT(--('Данные 2st'!$Q$2:$Q$317=$A9),--ISNUMBER('Данные 2st'!$IN$2:$IN$317))</f>
        <v>1</v>
      </c>
      <c r="OA9">
        <f>SUMPRODUCT(--('Данные 2st'!$Q$2:$Q$317=$A9),--ISNUMBER('Данные 2st'!$IO$2:$IO$317))</f>
        <v>1</v>
      </c>
      <c r="OB9">
        <f>SUMPRODUCT(--('Данные 2st'!$Q$2:$Q$317=$A9),--ISNUMBER('Данные 2st'!$IP$2:$IP$317))</f>
        <v>1</v>
      </c>
      <c r="OC9">
        <f>SUMPRODUCT(--('Данные 2st'!$Q$2:$Q$317=$A9),--ISNUMBER('Данные 2st'!$IQ$2:$IQ$317))</f>
        <v>1</v>
      </c>
      <c r="OD9">
        <f>SUMPRODUCT(--('Данные 2st'!$Q$2:$Q$317=$A9),--ISNUMBER('Данные 2st'!$IR$2:$IR$317))</f>
        <v>1</v>
      </c>
      <c r="OE9">
        <f>SUMPRODUCT(--('Данные 2st'!$Q$2:$Q$317=$A9),--ISNUMBER('Данные 2st'!$IT$2:$IT$317))</f>
        <v>1</v>
      </c>
      <c r="OF9">
        <f>SUMPRODUCT(--('Данные 2st'!$Q$2:$Q$317=$A9),--ISNUMBER('Данные 2st'!$IU$2:$IU$317))</f>
        <v>1</v>
      </c>
      <c r="OG9">
        <f>SUMPRODUCT(--('Данные 2st'!$Q$2:$Q$317=$A9),--ISNUMBER('Данные 2st'!$IV$2:$IV$317))</f>
        <v>1</v>
      </c>
      <c r="OH9">
        <f>SUMPRODUCT(--('Данные 2st'!$Q$2:$Q$317=$A9),--ISNUMBER('Данные 2st'!$IW$2:$IW$317))</f>
        <v>1</v>
      </c>
      <c r="OI9">
        <f>SUMPRODUCT(--('Данные 2st'!$Q$2:$Q$317=$A9),--ISNUMBER('Данные 2st'!$IX$2:$IX$317))</f>
        <v>1</v>
      </c>
      <c r="OJ9">
        <f>SUMPRODUCT(--('Данные 2st'!$Q$2:$Q$317=$A9),--ISNUMBER('Данные 2st'!$IY$2:$IY$317))</f>
        <v>1</v>
      </c>
      <c r="OK9">
        <f>SUMPRODUCT(--('Данные 2st'!$Q$2:$Q$317=$A9),--ISNUMBER('Данные 2st'!$IZ$2:$IZ$317))</f>
        <v>1</v>
      </c>
      <c r="OL9">
        <f>SUMPRODUCT(--('Данные 2st'!$Q$2:$Q$317=$A9),--ISNUMBER('Данные 2st'!$JA$2:$JA$317))</f>
        <v>1</v>
      </c>
      <c r="OM9">
        <f>SUMPRODUCT(--('Данные 2st'!$Q$2:$Q$317=$A9),--ISNUMBER('Данные 2st'!$JB$2:$JB$317))</f>
        <v>1</v>
      </c>
      <c r="ON9">
        <f>SUMPRODUCT(--('Данные 2st'!$Q$2:$Q$317=$A9),--ISNUMBER('Данные 2st'!$JC$2:$JC$317))</f>
        <v>1</v>
      </c>
      <c r="OO9">
        <f>SUMPRODUCT(--('Данные 2st'!$Q$2:$Q$317=$A9),--ISNUMBER('Данные 2st'!$JD$2:$JD$317))</f>
        <v>1</v>
      </c>
      <c r="OP9">
        <f>SUMPRODUCT(--('Данные 2st'!$Q$2:$Q$317=$A9),--ISNUMBER('Данные 2st'!$JE$2:$JE$317))</f>
        <v>1</v>
      </c>
      <c r="OQ9">
        <f>SUMPRODUCT(--('Данные 2st'!$Q$2:$Q$317=$A9),--ISNUMBER('Данные 2st'!$JF$2:$JF$317))</f>
        <v>1</v>
      </c>
      <c r="OR9">
        <f>SUMPRODUCT(--('Данные 2st'!$Q$2:$Q$317=$A9),--ISNUMBER('Данные 2st'!$JG$2:$JG$317))</f>
        <v>1</v>
      </c>
      <c r="OS9">
        <f>SUMPRODUCT(--('Данные 2st'!$Q$2:$Q$317=$A9),--ISNUMBER('Данные 2st'!$JH$2:$JH$317))</f>
        <v>1</v>
      </c>
      <c r="OT9">
        <f>SUMPRODUCT(--('Данные 2st'!$Q$2:$Q$317=$A9),--ISNUMBER('Данные 2st'!$JI$2:$JI$317))</f>
        <v>1</v>
      </c>
      <c r="OU9">
        <f>SUMPRODUCT(--('Данные 2st'!$Q$2:$Q$317=$A9),--ISNUMBER('Данные 2st'!$JJ$2:$JJ$317))</f>
        <v>1</v>
      </c>
      <c r="OV9">
        <f>SUMPRODUCT(--('Данные 2st'!$Q$2:$Q$317=$A9),--ISNUMBER('Данные 2st'!$JK$2:$JK$317))</f>
        <v>1</v>
      </c>
      <c r="OW9">
        <f>SUMPRODUCT(--('Данные 2st'!$Q$2:$Q$317=$A9),--ISNUMBER('Данные 2st'!$JL$2:$JL$317))</f>
        <v>1</v>
      </c>
      <c r="OX9">
        <f>SUMPRODUCT(--('Данные 2st'!$Q$2:$Q$317=$A9),--ISNUMBER('Данные 2st'!$JM$2:$JM$317))</f>
        <v>1</v>
      </c>
      <c r="OY9">
        <f>SUMPRODUCT(--('Данные 2st'!$Q$2:$Q$317=$A9),--ISNUMBER('Данные 2st'!$JP$2:$JP$317))</f>
        <v>1</v>
      </c>
      <c r="OZ9">
        <f>SUMPRODUCT(--('Данные 2st'!$Q$2:$Q$317=$A9),--ISNUMBER('Данные 2st'!$JQ$2:$JQ$317))</f>
        <v>1</v>
      </c>
      <c r="PA9">
        <f>SUMPRODUCT(--('Данные 2st'!$Q$2:$Q$317=$A9),--ISNUMBER('Данные 2st'!$JR$2:$JR$317))</f>
        <v>1</v>
      </c>
      <c r="PB9">
        <f>SUMPRODUCT(--('Данные 2st'!$Q$2:$Q$317=$A9),--ISNUMBER('Данные 2st'!$JS$2:$JS$317))</f>
        <v>1</v>
      </c>
      <c r="PC9">
        <f>SUMPRODUCT(--('Данные 2st'!$Q$2:$Q$317=$A9),--ISNUMBER('Данные 2st'!$JT$2:$JT$317))</f>
        <v>1</v>
      </c>
      <c r="PD9">
        <f>SUMPRODUCT(--('Данные 2st'!$Q$2:$Q$317=$A9),--ISNUMBER('Данные 2st'!$JU$2:$JU$317))</f>
        <v>1</v>
      </c>
      <c r="PE9">
        <f>SUMPRODUCT(--('Данные 2st'!$Q$2:$Q$317=$A9),--ISNUMBER('Данные 2st'!$JV$2:$JV$317))</f>
        <v>1</v>
      </c>
      <c r="PF9">
        <f>SUMPRODUCT(--('Данные 2st'!$Q$2:$Q$317=$A9),--ISNUMBER('Данные 2st'!$JW$2:$JW$317))</f>
        <v>1</v>
      </c>
      <c r="PG9">
        <f>SUMPRODUCT(--('Данные 2st'!$Q$2:$Q$317=$A9),--ISNUMBER('Данные 2st'!$KF$2:$KF$317))</f>
        <v>1</v>
      </c>
      <c r="PH9">
        <f>SUMPRODUCT(--('Данные 2st'!$Q$2:$Q$317=$A9),--ISNUMBER('Данные 2st'!$KG$2:$KG$317))</f>
        <v>1</v>
      </c>
      <c r="PI9">
        <f>SUMPRODUCT(--('Данные 2st'!$Q$2:$Q$317=$A9),--ISNUMBER('Данные 2st'!$KM$2:$KM$317))</f>
        <v>1</v>
      </c>
      <c r="PJ9">
        <f>SUMPRODUCT(--('Данные 2st'!$Q$2:$Q$317=$A9),--ISNUMBER('Данные 2st'!$KN$2:$KN$317))</f>
        <v>1</v>
      </c>
      <c r="PK9">
        <f>SUMPRODUCT(--('Данные 2st'!$Q$2:$Q$317=$A9),--ISNUMBER('Данные 2st'!$KO$2:$KO$317))</f>
        <v>1</v>
      </c>
      <c r="PL9">
        <f>SUMPRODUCT(--('Данные 2st'!$Q$2:$Q$317=$A9),--ISNUMBER('Данные 2st'!$KP$2:$KP$317))</f>
        <v>1</v>
      </c>
      <c r="PM9">
        <f>SUMPRODUCT(--('Данные 2st'!$Q$2:$Q$317=$A9),--ISNUMBER('Данные 2st'!$KQ$2:$KQ$317))</f>
        <v>1</v>
      </c>
      <c r="PN9">
        <f>SUMPRODUCT(--('Данные 2st'!$Q$2:$Q$317=$A9),--ISNUMBER('Данные 2st'!$KR$2:$KR$317))</f>
        <v>1</v>
      </c>
      <c r="PO9">
        <f>SUMPRODUCT(--('Данные 2st'!$Q$2:$Q$317=$A9),--ISNUMBER('Данные 2st'!$KS$2:$KS$317))</f>
        <v>1</v>
      </c>
      <c r="PP9">
        <f>SUMPRODUCT(--('Данные 2st'!$Q$2:$Q$317=$A9),--ISNUMBER('Данные 2st'!$KT$2:$KT$317))</f>
        <v>1</v>
      </c>
      <c r="PQ9">
        <f>SUMPRODUCT(--('Данные 2st'!$Q$2:$Q$317=$A9),--ISNUMBER('Данные 2st'!$KU$2:$KU$317))</f>
        <v>1</v>
      </c>
      <c r="PR9">
        <f>SUMPRODUCT(--('Данные 2st'!$Q$2:$Q$317=$A9),--ISNUMBER('Данные 2st'!$KV$2:$KV$317))</f>
        <v>1</v>
      </c>
      <c r="PS9">
        <f>SUMPRODUCT(--('Данные 2st'!$Q$2:$Q$317=$A9),--ISNUMBER('Данные 2st'!$KW$2:$KW$317))</f>
        <v>1</v>
      </c>
      <c r="PT9">
        <f>SUMPRODUCT(--('Данные 2st'!$Q$2:$Q$317=$A9),--ISNUMBER('Данные 2st'!$KX$2:$KX$317))</f>
        <v>1</v>
      </c>
      <c r="PU9">
        <f>SUMPRODUCT(--('Данные 2st'!$Q$2:$Q$317=$A9),--ISNUMBER('Данные 2st'!$KY$2:$KY$317))</f>
        <v>1</v>
      </c>
      <c r="PV9">
        <f>SUMPRODUCT(--('Данные 2st'!$Q$2:$Q$317=$A9),--ISNUMBER('Данные 2st'!$KZ$2:$KZ$317))</f>
        <v>1</v>
      </c>
      <c r="PW9">
        <f>SUMPRODUCT(--('Данные 2st'!$Q$2:$Q$317=$A9),--ISNUMBER('Данные 2st'!$LA$2:$LA$317))</f>
        <v>1</v>
      </c>
      <c r="PX9">
        <f>SUMPRODUCT(--('Данные 2st'!$Q$2:$Q$317=$A9),--ISNUMBER('Данные 2st'!$LB$2:$LB$317))</f>
        <v>1</v>
      </c>
      <c r="PY9">
        <f>SUMPRODUCT(--('Данные 2st'!$Q$2:$Q$317=$A9),--ISNUMBER('Данные 2st'!$LC$2:$LC$317))</f>
        <v>1</v>
      </c>
      <c r="PZ9">
        <f>SUMPRODUCT(--('Данные 2st'!$Q$2:$Q$317=$A9),--ISNUMBER('Данные 2st'!$LD$2:$LD$317))</f>
        <v>1</v>
      </c>
      <c r="QA9">
        <f>SUMPRODUCT(--('Данные 2st'!$Q$2:$Q$317=$A9),--ISNUMBER('Данные 2st'!$LE$2:$LE$317))</f>
        <v>1</v>
      </c>
      <c r="QB9">
        <f>SUMPRODUCT(--('Данные 2st'!$Q$2:$Q$317=$A9),--ISNUMBER('Данные 2st'!$LF$2:$LF$317))</f>
        <v>1</v>
      </c>
      <c r="QC9">
        <f>SUMPRODUCT(--('Данные 2st'!$Q$2:$Q$317=$A9),--ISNUMBER('Данные 2st'!$LG$2:$LG$317))</f>
        <v>1</v>
      </c>
      <c r="QD9">
        <f>SUMPRODUCT(--('Данные 2st'!$Q$2:$Q$317=$A9),--ISNUMBER('Данные 2st'!$LH$2:$LH$317))</f>
        <v>1</v>
      </c>
      <c r="QE9">
        <f>SUMPRODUCT(--('Данные 2st'!$Q$2:$Q$317=$A9),--ISNUMBER('Данные 2st'!$LJ$2:$LJ$317))</f>
        <v>1</v>
      </c>
      <c r="QF9">
        <f>SUMPRODUCT(--('Данные 2st'!$Q$2:$Q$317=$A9),--ISNUMBER('Данные 2st'!$LK$2:$LK$317))</f>
        <v>1</v>
      </c>
      <c r="QG9">
        <f>SUMPRODUCT(--('Данные 2st'!$Q$2:$Q$317=$A9),--ISNUMBER('Данные 2st'!$LL$2:$LL$317))</f>
        <v>1</v>
      </c>
      <c r="QH9">
        <f>SUMPRODUCT(--('Данные 2st'!$Q$2:$Q$317=$A9),--ISNUMBER('Данные 2st'!$LM$2:$LM$317))</f>
        <v>1</v>
      </c>
      <c r="QI9">
        <f>SUMPRODUCT(--('Данные 2st'!$Q$2:$Q$317=$A9),--ISNUMBER('Данные 2st'!$LN$2:$LN$317))</f>
        <v>1</v>
      </c>
      <c r="QJ9">
        <f>SUMPRODUCT(--('Данные 2st'!$Q$2:$Q$317=$A9),--ISNUMBER('Данные 2st'!$LO$2:$LO$317))</f>
        <v>1</v>
      </c>
      <c r="QK9">
        <f>SUMPRODUCT(--('Данные 2st'!$Q$2:$Q$317=$A9),--ISNUMBER('Данные 2st'!$LP$2:$LP$317))</f>
        <v>1</v>
      </c>
      <c r="QL9">
        <f>SUMPRODUCT(--('Данные 2st'!$Q$2:$Q$317=$A9),--ISNUMBER('Данные 2st'!$LQ$2:$LQ$317))</f>
        <v>1</v>
      </c>
      <c r="QM9">
        <f>SUMPRODUCT(--('Данные 2st'!$Q$2:$Q$317=$A9),--ISNUMBER('Данные 2st'!$LW$2:$LW$317))</f>
        <v>1</v>
      </c>
      <c r="QN9">
        <f>SUMPRODUCT(--('Данные 2st'!$Q$2:$Q$317=$A9),--ISNUMBER('Данные 2st'!$LX$2:$LX$317))</f>
        <v>1</v>
      </c>
      <c r="QO9">
        <f>SUMPRODUCT(--('Данные 2st'!$Q$2:$Q$317=$A9),--ISNUMBER('Данные 2st'!$LY$2:$LY$317))</f>
        <v>1</v>
      </c>
      <c r="QP9">
        <f>SUMPRODUCT(--('Данные 2st'!$Q$2:$Q$317=$A9),--ISNUMBER('Данные 2st'!$LZ$2:$LZ$317))</f>
        <v>1</v>
      </c>
      <c r="QQ9">
        <f>SUMPRODUCT(--('Данные 2st'!$Q$2:$Q$317=$A9),--ISNUMBER('Данные 2st'!$MB$2:$MB$317))</f>
        <v>1</v>
      </c>
      <c r="QR9">
        <f>SUMPRODUCT(--('Данные 2st'!$Q$2:$Q$317=$A9),--ISNUMBER('Данные 2st'!$MG$2:$MG$317))</f>
        <v>0</v>
      </c>
      <c r="QS9">
        <f>SUMPRODUCT(--('Данные 2st'!$Q$2:$Q$317=$A9),--ISNUMBER('Данные 2st'!$MH$2:$MH$317))</f>
        <v>0</v>
      </c>
      <c r="QT9">
        <f>SUMPRODUCT(--('Данные 2st'!$Q$2:$Q$317=$A9),--ISNUMBER('Данные 2st'!$MI$2:$MI$317))</f>
        <v>1</v>
      </c>
      <c r="QU9">
        <f>SUMPRODUCT(--('Данные 2st'!$Q$2:$Q$317=$A9),--ISNUMBER('Данные 2st'!$MJ$2:$MJ$317))</f>
        <v>1</v>
      </c>
      <c r="QV9">
        <f>SUMPRODUCT(--('Данные 2st'!$Q$2:$Q$317=$A9),--ISNUMBER('Данные 2st'!$MK$2:$MK$317))</f>
        <v>0</v>
      </c>
      <c r="QW9">
        <f>SUMPRODUCT(--('Данные 2st'!$Q$2:$Q$317=$A9),--ISNUMBER('Данные 2st'!$MM$2:$MM$317))</f>
        <v>1</v>
      </c>
      <c r="QX9">
        <f>SUMPRODUCT(--('Данные 2st'!$Q$2:$Q$317=$A9),--ISNUMBER('Данные 2st'!$MQ$2:$MQ$317))</f>
        <v>0</v>
      </c>
      <c r="QY9">
        <f>SUMPRODUCT(--('Данные 2st'!$Q$2:$Q$317=$A9),--ISNUMBER('Данные 2st'!$MR$2:$MR$317))</f>
        <v>0</v>
      </c>
      <c r="QZ9">
        <f>SUMPRODUCT(--('Данные 2st'!$Q$2:$Q$317=$A9),--ISNUMBER('Данные 2st'!$MS$2:$MS$317))</f>
        <v>0</v>
      </c>
      <c r="RA9">
        <f>SUMPRODUCT(--('Данные 2st'!$Q$2:$Q$317=$A9),--ISNUMBER('Данные 2st'!$MT$2:$MT$317))</f>
        <v>0</v>
      </c>
      <c r="RB9">
        <f>SUMPRODUCT(--('Данные 2st'!$Q$2:$Q$317=$A9),--ISNUMBER('Данные 2st'!$MU$2:$MU$317))</f>
        <v>0</v>
      </c>
      <c r="RC9">
        <f>SUMPRODUCT(--('Данные 2st'!$Q$2:$Q$317=$A9),--ISNUMBER('Данные 2st'!$MV$2:$MV$317))</f>
        <v>0</v>
      </c>
      <c r="RD9">
        <f>SUMPRODUCT(--('Данные 2st'!$Q$2:$Q$317=$A9),--ISNUMBER('Данные 2st'!$MW$2:$MW$317))</f>
        <v>0</v>
      </c>
      <c r="RE9">
        <f>SUMPRODUCT(--('Данные 2st'!$Q$2:$Q$317=$A9),--ISNUMBER('Данные 2st'!$MX$2:$MX$317))</f>
        <v>0</v>
      </c>
      <c r="RF9">
        <f>SUMPRODUCT(--('Данные 2st'!$Q$2:$Q$317=$A9),--ISNUMBER('Данные 2st'!$MY$2:$MY$317))</f>
        <v>0</v>
      </c>
      <c r="RG9">
        <f>SUMPRODUCT(--('Данные 2st'!$Q$2:$Q$317=$A9),--ISNUMBER('Данные 2st'!$MZ$2:$MZ$317))</f>
        <v>0</v>
      </c>
      <c r="RH9">
        <f>SUMPRODUCT(--('Данные 2st'!$Q$2:$Q$317=$A9),--ISNUMBER('Данные 2st'!$NA$2:$NA$317))</f>
        <v>0</v>
      </c>
      <c r="RI9">
        <f>SUMPRODUCT(--('Данные 2st'!$Q$2:$Q$317=$A9),--ISNUMBER('Данные 2st'!$NB$2:$NB$317))</f>
        <v>0</v>
      </c>
      <c r="RJ9">
        <f>SUMPRODUCT(--('Данные 2st'!$Q$2:$Q$317=$A9),--ISNUMBER('Данные 2st'!$NC$2:$NC$317))</f>
        <v>0</v>
      </c>
      <c r="RK9">
        <f>SUMPRODUCT(--('Данные 2st'!$Q$2:$Q$317=$A9),--ISNUMBER('Данные 2st'!$ND$2:$ND$317))</f>
        <v>0</v>
      </c>
      <c r="RL9">
        <f>SUMPRODUCT(--('Данные 2st'!$Q$2:$Q$317=$A9),--ISNUMBER('Данные 2st'!$NE$2:$NE$317))</f>
        <v>0</v>
      </c>
      <c r="RM9">
        <f>SUMPRODUCT(--('Данные 2st'!$Q$2:$Q$317=$A9),--ISNUMBER('Данные 2st'!$NF$2:$NF$317))</f>
        <v>0</v>
      </c>
      <c r="RN9">
        <f>SUMPRODUCT(--('Данные 2st'!$Q$2:$Q$317=$A9),--ISNUMBER('Данные 2st'!$NG$2:$NG$317))</f>
        <v>0</v>
      </c>
      <c r="RO9">
        <f>SUMPRODUCT(--('Данные 2st'!$Q$2:$Q$317=$A9),--ISNUMBER('Данные 2st'!$NH$2:$NH$317))</f>
        <v>0</v>
      </c>
      <c r="RP9">
        <f>SUMPRODUCT(--('Данные 2st'!$Q$2:$Q$317=$A9),--ISNUMBER('Данные 2st'!$NJ$2:$NJ$317))</f>
        <v>0</v>
      </c>
      <c r="RQ9">
        <f>SUMPRODUCT(--('Данные 2st'!$Q$2:$Q$317=$A9),--ISNUMBER('Данные 2st'!$NK$2:$NK$317))</f>
        <v>0</v>
      </c>
      <c r="RR9">
        <f>SUMPRODUCT(--('Данные 2st'!$Q$2:$Q$317=$A9),--ISNUMBER('Данные 2st'!$NM$2:$NM$317))</f>
        <v>0</v>
      </c>
      <c r="RS9">
        <f>SUMPRODUCT(--('Данные 2st'!$Q$2:$Q$317=$A9),--ISNUMBER('Данные 2st'!$NN$2:$NN$317))</f>
        <v>0</v>
      </c>
      <c r="RT9">
        <f>SUMPRODUCT(--('Данные 2st'!$Q$2:$Q$317=$A9),--ISNUMBER('Данные 2st'!$NO$2:$NO$317))</f>
        <v>0</v>
      </c>
      <c r="RU9">
        <f>SUMPRODUCT(--('Данные 2st'!$Q$2:$Q$317=$A9),--ISNUMBER('Данные 2st'!$NP$2:$NP$317))</f>
        <v>0</v>
      </c>
      <c r="RV9">
        <f>SUMPRODUCT(--('Данные 2st'!$Q$2:$Q$317=$A9),--ISNUMBER('Данные 2st'!$NQ$2:$NQ$317))</f>
        <v>0</v>
      </c>
      <c r="RW9">
        <f>SUMPRODUCT(--('Данные 2st'!$Q$2:$Q$317=$A9),--ISNUMBER('Данные 2st'!$NR$2:$NR$317))</f>
        <v>0</v>
      </c>
      <c r="RX9">
        <f>SUMPRODUCT(--('Данные 2st'!$Q$2:$Q$317=$A9),--ISNUMBER('Данные 2st'!$NS$2:$NS$317))</f>
        <v>0</v>
      </c>
      <c r="RY9">
        <f>SUMPRODUCT(--('Данные 2st'!$Q$2:$Q$317=$A9),--ISNUMBER('Данные 2st'!$NT$2:$NT$317))</f>
        <v>0</v>
      </c>
      <c r="RZ9">
        <f>SUMPRODUCT(--('Данные 2st'!$Q$2:$Q$317=$A9),--ISNUMBER('Данные 2st'!$OK$2:$OK$317))</f>
        <v>1</v>
      </c>
      <c r="SA9">
        <f>SUMPRODUCT(--('Данные 2st'!$Q$2:$Q$317=$A9),--ISNUMBER('Данные 2st'!$OL$2:$OL$317))</f>
        <v>1</v>
      </c>
      <c r="SB9">
        <f>SUMPRODUCT(--('Данные 2st'!$Q$2:$Q$317=$A9),--ISNUMBER('Данные 2st'!$ON$2:$ON$317))</f>
        <v>1</v>
      </c>
      <c r="SC9">
        <f>SUMPRODUCT(--('Данные 2st'!$Q$2:$Q$317=$A9),--ISNUMBER('Данные 2st'!$OO$2:$OO$317))</f>
        <v>1</v>
      </c>
      <c r="SD9">
        <f>SUMPRODUCT(--('Данные 2st'!$Q$2:$Q$317=$A9),--ISNUMBER('Данные 2st'!$OP$2:$OP$317))</f>
        <v>1</v>
      </c>
      <c r="SE9">
        <f>SUMPRODUCT(--('Данные 2st'!$Q$2:$Q$317=$A9),--ISNUMBER('Данные 2st'!$OQ$2:$OQ$317))</f>
        <v>1</v>
      </c>
      <c r="SF9">
        <f>SUMPRODUCT(--('Данные 2st'!$Q$2:$Q$317=$A9),--ISNUMBER('Данные 2st'!$OS$2:$OS$317))</f>
        <v>1</v>
      </c>
      <c r="SG9">
        <f>SUMPRODUCT(--('Данные 2st'!$Q$2:$Q$317=$A9),--ISNUMBER('Данные 2st'!$OT$2:$OT$317))</f>
        <v>1</v>
      </c>
      <c r="SH9">
        <f>SUMPRODUCT(--('Данные 2st'!$Q$2:$Q$317=$A9),--ISNUMBER('Данные 2st'!$OU$2:$OU$317))</f>
        <v>1</v>
      </c>
      <c r="SI9">
        <f>SUMPRODUCT(--('Данные 2st'!$Q$2:$Q$317=$A9),--ISNUMBER('Данные 2st'!$OV$2:$OV$317))</f>
        <v>1</v>
      </c>
      <c r="SJ9">
        <f>SUMPRODUCT(--('Данные 2st'!$Q$2:$Q$317=$A9),--ISNUMBER('Данные 2st'!$OX$2:$OX$317))</f>
        <v>1</v>
      </c>
      <c r="SK9">
        <f>SUMPRODUCT(--('Данные 2st'!$Q$2:$Q$317=$A9),--ISNUMBER('Данные 2st'!$OY$2:$OY$317))</f>
        <v>1</v>
      </c>
      <c r="SL9">
        <f>SUMPRODUCT(--('Данные 2st'!$Q$2:$Q$317=$A9),--ISNUMBER('Данные 2st'!$OZ$2:$OZ$317))</f>
        <v>1</v>
      </c>
      <c r="SM9">
        <f>SUMPRODUCT(--('Данные 2st'!$Q$2:$Q$317=$A9),--ISNUMBER('Данные 2st'!$PA$2:$PA$317))</f>
        <v>1</v>
      </c>
      <c r="SN9">
        <f>SUMPRODUCT(--('Данные 2st'!$Q$2:$Q$317=$A9),--ISNUMBER('Данные 2st'!$PC$2:$PC$317))</f>
        <v>1</v>
      </c>
      <c r="SO9">
        <f>SUMPRODUCT(--('Данные 2st'!$Q$2:$Q$317=$A9),--ISNUMBER('Данные 2st'!$PD$2:$PD$317))</f>
        <v>1</v>
      </c>
      <c r="SP9">
        <f>SUMPRODUCT(--('Данные 2st'!$Q$2:$Q$317=$A9),--ISNUMBER('Данные 2st'!$PF$2:$PF$317))</f>
        <v>1</v>
      </c>
      <c r="SQ9">
        <f>SUMPRODUCT(--('Данные 2st'!$Q$2:$Q$317=$A9),--ISNUMBER('Данные 2st'!$PG$2:$PG$317))</f>
        <v>1</v>
      </c>
      <c r="SR9">
        <f>SUMPRODUCT(--('Данные 2st'!$Q$2:$Q$317=$A9),--ISNUMBER('Данные 2st'!$PH$2:$PH$317))</f>
        <v>1</v>
      </c>
      <c r="SS9">
        <f>SUMPRODUCT(--('Данные 2st'!$Q$2:$Q$317=$A9),--ISNUMBER('Данные 2st'!$PI$2:$PI$317))</f>
        <v>1</v>
      </c>
      <c r="ST9">
        <f>SUMPRODUCT(--('Данные 2st'!$Q$2:$Q$317=$A9),--ISNUMBER('Данные 2st'!$PJ$2:$PJ$317))</f>
        <v>1</v>
      </c>
      <c r="SU9">
        <f>SUMPRODUCT(--('Данные 2st'!$Q$2:$Q$317=$A9),--ISNUMBER('Данные 2st'!$PK$2:$PK$317))</f>
        <v>1</v>
      </c>
      <c r="SV9">
        <f>SUMPRODUCT(--('Данные 2st'!$Q$2:$Q$317=$A9),--ISNUMBER('Данные 2st'!$PL$2:$PL$317))</f>
        <v>1</v>
      </c>
      <c r="SW9">
        <f>SUMPRODUCT(--('Данные 2st'!$Q$2:$Q$317=$A9),--ISNUMBER('Данные 2st'!$PM$2:$PM$317))</f>
        <v>1</v>
      </c>
      <c r="SX9">
        <f>SUMPRODUCT(--('Данные 2st'!$Q$2:$Q$317=$A9),--ISNUMBER('Данные 2st'!$PN$2:$PN$317))</f>
        <v>1</v>
      </c>
      <c r="SY9">
        <f>SUMPRODUCT(--('Данные 2st'!$Q$2:$Q$317=$A9),--ISNUMBER('Данные 2st'!$PO$2:$PO$317))</f>
        <v>0</v>
      </c>
      <c r="SZ9">
        <f>SUMPRODUCT(--('Данные 2st'!$Q$2:$Q$317=$A9),--ISNUMBER('Данные 2st'!$PP$2:$PP$317))</f>
        <v>1</v>
      </c>
      <c r="TA9">
        <f>SUMPRODUCT(--('Данные 2st'!$Q$2:$Q$317=$A9),--ISNUMBER('Данные 2st'!$PQ$2:$PQ$317))</f>
        <v>1</v>
      </c>
      <c r="TB9">
        <f>SUMPRODUCT(--('Данные 2st'!$Q$2:$Q$317=$A9),--ISNUMBER('Данные 2st'!$PR$2:$PR$317))</f>
        <v>1</v>
      </c>
      <c r="TC9">
        <f>SUMPRODUCT(--('Данные 2st'!$Q$2:$Q$317=$A9),--ISNUMBER('Данные 2st'!$PS$2:$PS$317))</f>
        <v>1</v>
      </c>
      <c r="TD9">
        <f>SUMPRODUCT(--('Данные 2st'!$Q$2:$Q$317=$A9),--ISNUMBER('Данные 2st'!$PT$2:$PT$317))</f>
        <v>1</v>
      </c>
      <c r="TE9">
        <f>SUMPRODUCT(--('Данные 2st'!$Q$2:$Q$317=$A9),--ISNUMBER('Данные 2st'!$PU$2:$PU$317))</f>
        <v>1</v>
      </c>
      <c r="TF9">
        <f>SUMPRODUCT(--('Данные 2st'!$Q$2:$Q$317=$A9),--ISNUMBER('Данные 2st'!$PX$2:$PX$317))</f>
        <v>1</v>
      </c>
      <c r="TG9">
        <f>SUMPRODUCT(--('Данные 2st'!$Q$2:$Q$317=$A9),--ISNUMBER('Данные 2st'!$PY$2:$PY$317))</f>
        <v>1</v>
      </c>
      <c r="TH9">
        <f>SUMPRODUCT(--('Данные 2st'!$Q$2:$Q$317=$A9),--ISNUMBER('Данные 2st'!$PZ$2:$PZ$317))</f>
        <v>1</v>
      </c>
      <c r="TI9">
        <f>SUMPRODUCT(--('Данные 2st'!$Q$2:$Q$317=$A9),--ISNUMBER('Данные 2st'!$QA$2:$QA$317))</f>
        <v>1</v>
      </c>
      <c r="TJ9">
        <f>SUMPRODUCT(--('Данные 2st'!$Q$2:$Q$317=$A9),--ISNUMBER('Данные 2st'!$QB$2:$QB$317))</f>
        <v>1</v>
      </c>
      <c r="TK9">
        <f>SUMPRODUCT(--('Данные 2st'!$Q$2:$Q$317=$A9),--ISNUMBER('Данные 2st'!$QC$2:$QC$317))</f>
        <v>1</v>
      </c>
      <c r="TL9">
        <f>SUMPRODUCT(--('Данные 2st'!$Q$2:$Q$317=$A9),--ISNUMBER('Данные 2st'!$QD$2:$QD$317))</f>
        <v>1</v>
      </c>
      <c r="TM9">
        <f>SUMPRODUCT(--('Данные 2st'!$Q$2:$Q$317=$A9),--ISNUMBER('Данные 2st'!$QE$2:$QE$317))</f>
        <v>1</v>
      </c>
      <c r="TN9">
        <f>SUMPRODUCT(--('Данные 2st'!$Q$2:$Q$317=$A9),--ISNUMBER('Данные 2st'!$QF$2:$QF$317))</f>
        <v>1</v>
      </c>
      <c r="TO9">
        <f>SUMPRODUCT(--('Данные 2st'!$Q$2:$Q$317=$A9),--ISNUMBER('Данные 2st'!$QG$2:$QG$317))</f>
        <v>1</v>
      </c>
      <c r="TP9">
        <f>SUMPRODUCT(--('Данные 2st'!$Q$2:$Q$317=$A9),--ISNUMBER('Данные 2st'!$QH$2:$QH$317))</f>
        <v>1</v>
      </c>
      <c r="TQ9">
        <f>SUMPRODUCT(--('Данные 2st'!$Q$2:$Q$317=$A9),--ISNUMBER('Данные 2st'!$QI$2:$QI$317))</f>
        <v>1</v>
      </c>
      <c r="TR9">
        <f>SUMPRODUCT(--('Данные 2st'!$Q$2:$Q$317=$A9),--ISNUMBER('Данные 2st'!$QJ$2:$QJ$317))</f>
        <v>1</v>
      </c>
      <c r="TS9">
        <f>SUMPRODUCT(--('Данные 2st'!$Q$2:$Q$317=$A9),--ISNUMBER('Данные 2st'!$QK$2:$QK$317))</f>
        <v>1</v>
      </c>
      <c r="TT9">
        <f>SUMPRODUCT(--('Данные 2st'!$Q$2:$Q$317=$A9),--ISNUMBER('Данные 2st'!$QL$2:$QL$317))</f>
        <v>1</v>
      </c>
      <c r="TU9">
        <f>SUMPRODUCT(--('Данные 2st'!$Q$2:$Q$317=$A9),--ISNUMBER('Данные 2st'!$QM$2:$QM$317))</f>
        <v>1</v>
      </c>
      <c r="TV9">
        <f>SUMPRODUCT(--('Данные 2st'!$Q$2:$Q$317=$A9),--ISNUMBER('Данные 2st'!$QN$2:$QN$317))</f>
        <v>1</v>
      </c>
      <c r="TW9">
        <f>SUMPRODUCT(--('Данные 2st'!$Q$2:$Q$317=$A9),--ISNUMBER('Данные 2st'!$QQ$2:$QQ$317))</f>
        <v>1</v>
      </c>
      <c r="TX9">
        <f>SUMPRODUCT(--('Данные 2st'!$Q$2:$Q$317=$A9),--ISNUMBER('Данные 2st'!$QS$2:$QS$317))</f>
        <v>1</v>
      </c>
      <c r="TY9">
        <f>SUMPRODUCT(--('Данные 2st'!$Q$2:$Q$317=$A9),--ISNUMBER('Данные 2st'!$QT$2:$QT$317))</f>
        <v>1</v>
      </c>
    </row>
    <row r="10" spans="1:545" ht="32" customHeight="1">
      <c r="A10" s="11" t="str">
        <f>'По размерам'!A10</f>
        <v>195/55R15</v>
      </c>
      <c r="G10">
        <f>SUMPRODUCT(--('Данные 1st'!$S$2:$S$317=$A10),--ISNUMBER('Данные 1st'!$AE$2:$AE$317))</f>
        <v>3</v>
      </c>
      <c r="H10">
        <f>SUMPRODUCT(--('Данные 1st'!$S$2:$S$317=$A10),--ISNUMBER('Данные 1st'!$AF$2:$AF$317))</f>
        <v>3</v>
      </c>
      <c r="I10">
        <f>SUMPRODUCT(--('Данные 1st'!$S$2:$S$317=$A10),--ISNUMBER('Данные 1st'!$AJ$2:$AJ$317))</f>
        <v>3</v>
      </c>
      <c r="J10">
        <f>SUMPRODUCT(--('Данные 1st'!$S$2:$S$317=$A10),--ISNUMBER('Данные 1st'!$AL$2:$AL$317))</f>
        <v>3</v>
      </c>
      <c r="K10">
        <f>SUMPRODUCT(--('Данные 1st'!$S$2:$S$317=$A10),--ISNUMBER('Данные 1st'!$AR$2:$AR$317))</f>
        <v>3</v>
      </c>
      <c r="L10">
        <f>SUMPRODUCT(--('Данные 1st'!$S$2:$S$317=$A10),--ISNUMBER('Данные 1st'!$AS$2:$AS$317))</f>
        <v>3</v>
      </c>
      <c r="M10">
        <f>SUMPRODUCT(--('Данные 1st'!$S$2:$S$317=$A10),--ISNUMBER('Данные 1st'!$AY$2:$AY$317))</f>
        <v>3</v>
      </c>
      <c r="N10">
        <f>SUMPRODUCT(--('Данные 1st'!$S$2:$S$317=$A10),--ISNUMBER('Данные 1st'!$AZ$2:$AZ$317))</f>
        <v>3</v>
      </c>
      <c r="O10">
        <f>SUMPRODUCT(--('Данные 1st'!$S$2:$S$317=$A10),--ISNUMBER('Данные 1st'!$BF$2:$BF$317))</f>
        <v>0</v>
      </c>
      <c r="P10">
        <f>SUMPRODUCT(--('Данные 1st'!$S$2:$S$317=$A10),--ISNUMBER('Данные 1st'!$BG$2:$BG$317))</f>
        <v>3</v>
      </c>
      <c r="Q10">
        <f>SUMPRODUCT(--('Данные 1st'!$S$2:$S$317=$A10),--ISNUMBER('Данные 1st'!$BM$2:$BM$317))</f>
        <v>0</v>
      </c>
      <c r="R10">
        <f>SUMPRODUCT(--('Данные 1st'!$S$2:$S$317=$A10),--ISNUMBER('Данные 1st'!$BN$2:$BN$317))</f>
        <v>3</v>
      </c>
      <c r="S10">
        <f>SUMPRODUCT(--('Данные 1st'!$S$2:$S$317=$A10),--ISNUMBER('Данные 1st'!$BT$2:$BT$317))</f>
        <v>3</v>
      </c>
      <c r="T10">
        <f>SUMPRODUCT(--('Данные 1st'!$S$2:$S$317=$A10),--ISNUMBER('Данные 1st'!$BU$2:$BU$317))</f>
        <v>3</v>
      </c>
      <c r="U10">
        <f>SUMPRODUCT(--('Данные 1st'!$S$2:$S$317=$A10),--ISNUMBER('Данные 1st'!$BW$2:$BW$317))</f>
        <v>3</v>
      </c>
      <c r="V10">
        <f>SUMPRODUCT(--('Данные 1st'!$S$2:$S$317=$A10),--ISNUMBER('Данные 1st'!$BX$2:$BX$317))</f>
        <v>3</v>
      </c>
      <c r="W10">
        <f>SUMPRODUCT(--('Данные 1st'!$S$2:$S$317=$A10),--ISNUMBER('Данные 1st'!$BZ$2:$BZ$317))</f>
        <v>3</v>
      </c>
      <c r="X10">
        <f>SUMPRODUCT(--('Данные 1st'!$S$2:$S$317=$A10),--ISNUMBER('Данные 1st'!$CA$2:$CA$317))</f>
        <v>3</v>
      </c>
      <c r="Y10">
        <f>SUMPRODUCT(--('Данные 1st'!$S$2:$S$317=$A10),--ISNUMBER('Данные 1st'!$CD$2:$CD$317))</f>
        <v>3</v>
      </c>
      <c r="Z10">
        <f>SUMPRODUCT(--('Данные 1st'!$S$2:$S$317=$A10),--ISNUMBER('Данные 1st'!$CF$2:$CF$317))</f>
        <v>3</v>
      </c>
      <c r="AA10">
        <f>SUMPRODUCT(--('Данные 1st'!$S$2:$S$317=$A10),--ISNUMBER('Данные 1st'!$CI$2:$CI$317))</f>
        <v>3</v>
      </c>
      <c r="AB10">
        <f>SUMPRODUCT(--('Данные 1st'!$S$2:$S$317=$A10),--ISNUMBER('Данные 1st'!$CJ$2:$CJ$317))</f>
        <v>3</v>
      </c>
      <c r="AC10">
        <f>SUMPRODUCT(--('Данные 1st'!$S$2:$S$317=$A10),--ISNUMBER('Данные 1st'!$CK$2:$CK$317))</f>
        <v>3</v>
      </c>
      <c r="AD10">
        <f>SUMPRODUCT(--('Данные 1st'!$S$2:$S$317=$A10),--ISNUMBER('Данные 1st'!$CL$2:$CL$317))</f>
        <v>3</v>
      </c>
      <c r="AE10">
        <f>SUMPRODUCT(--('Данные 1st'!$S$2:$S$317=$A10),--ISNUMBER('Данные 1st'!$CM$2:$CM$317))</f>
        <v>3</v>
      </c>
      <c r="AF10">
        <f>SUMPRODUCT(--('Данные 1st'!$S$2:$S$317=$A10),--ISNUMBER('Данные 1st'!$CT$2:$CT$317))</f>
        <v>3</v>
      </c>
      <c r="AG10">
        <f>SUMPRODUCT(--('Данные 1st'!$S$2:$S$317=$A10),--ISNUMBER('Данные 1st'!$CU$2:$CU$317))</f>
        <v>3</v>
      </c>
      <c r="AH10">
        <f>SUMPRODUCT(--('Данные 1st'!$S$2:$S$317=$A10),--ISNUMBER('Данные 1st'!$CV$2:$CV$317))</f>
        <v>3</v>
      </c>
      <c r="AI10">
        <f>SUMPRODUCT(--('Данные 1st'!$S$2:$S$317=$A10),--ISNUMBER('Данные 1st'!$CW$2:$CW$317))</f>
        <v>3</v>
      </c>
      <c r="AJ10">
        <f>SUMPRODUCT(--('Данные 1st'!$S$2:$S$317=$A10),--ISNUMBER('Данные 1st'!$CX$2:$CX$317))</f>
        <v>3</v>
      </c>
      <c r="AK10">
        <f>SUMPRODUCT(--('Данные 1st'!$S$2:$S$317=$A10),--ISNUMBER('Данные 1st'!$CZ$2:$CZ$317))</f>
        <v>1</v>
      </c>
      <c r="AL10">
        <f>SUMPRODUCT(--('Данные 1st'!$S$2:$S$317=$A10),--ISNUMBER('Данные 1st'!$DA$2:$DA$317))</f>
        <v>1</v>
      </c>
      <c r="AM10">
        <f>SUMPRODUCT(--('Данные 1st'!$S$2:$S$317=$A10),--ISNUMBER('Данные 1st'!$DB$2:$DB$317))</f>
        <v>1</v>
      </c>
      <c r="AN10">
        <f>SUMPRODUCT(--('Данные 1st'!$S$2:$S$317=$A10),--ISNUMBER('Данные 1st'!$DC$2:$DC$317))</f>
        <v>1</v>
      </c>
      <c r="AO10">
        <f>SUMPRODUCT(--('Данные 1st'!$S$2:$S$317=$A10),--ISNUMBER('Данные 1st'!$DD$2:$DD$317))</f>
        <v>3</v>
      </c>
      <c r="AP10">
        <f>SUMPRODUCT(--('Данные 1st'!$S$2:$S$317=$A10),--ISNUMBER('Данные 1st'!$DF$2:$DF$317))</f>
        <v>3</v>
      </c>
      <c r="AQ10">
        <f>SUMPRODUCT(--('Данные 1st'!$S$2:$S$317=$A10),--ISNUMBER('Данные 1st'!$DG$2:$DG$317))</f>
        <v>3</v>
      </c>
      <c r="AR10">
        <f>SUMPRODUCT(--('Данные 1st'!$S$2:$S$317=$A10),--ISNUMBER('Данные 1st'!$DH$2:$DH$317))</f>
        <v>3</v>
      </c>
      <c r="AS10">
        <f>SUMPRODUCT(--('Данные 1st'!$S$2:$S$317=$A10),--ISNUMBER('Данные 1st'!$DI$2:$DI$317))</f>
        <v>3</v>
      </c>
      <c r="AT10">
        <f>SUMPRODUCT(--('Данные 1st'!$S$2:$S$317=$A10),--ISNUMBER('Данные 1st'!$DJ$2:$DJ$317))</f>
        <v>3</v>
      </c>
      <c r="AU10">
        <f>SUMPRODUCT(--('Данные 1st'!$S$2:$S$317=$A10),--ISNUMBER('Данные 1st'!$DL$2:$DL$317))</f>
        <v>0</v>
      </c>
      <c r="AV10">
        <f>SUMPRODUCT(--('Данные 1st'!$S$2:$S$317=$A10),--ISNUMBER('Данные 1st'!$DM$2:$DM$317))</f>
        <v>0</v>
      </c>
      <c r="AW10">
        <f>SUMPRODUCT(--('Данные 1st'!$S$2:$S$317=$A10),--ISNUMBER('Данные 1st'!$DN$2:$DN$317))</f>
        <v>0</v>
      </c>
      <c r="AX10">
        <f>SUMPRODUCT(--('Данные 1st'!$S$2:$S$317=$A10),--ISNUMBER('Данные 1st'!$DO$2:$DO$317))</f>
        <v>0</v>
      </c>
      <c r="AY10">
        <f>SUMPRODUCT(--('Данные 1st'!$S$2:$S$317=$A10),--ISNUMBER('Данные 1st'!$DP$2:$DP$317))</f>
        <v>0</v>
      </c>
      <c r="AZ10">
        <f>SUMPRODUCT(--('Данные 1st'!$S$2:$S$317=$A10),--ISNUMBER('Данные 1st'!$DR$2:$DR$317))</f>
        <v>0</v>
      </c>
      <c r="BA10">
        <f>SUMPRODUCT(--('Данные 1st'!$S$2:$S$317=$A10),--ISNUMBER('Данные 1st'!$DS$2:$DS$317))</f>
        <v>0</v>
      </c>
      <c r="BB10">
        <f>SUMPRODUCT(--('Данные 1st'!$S$2:$S$317=$A10),--ISNUMBER('Данные 1st'!$DT$2:$DT$317))</f>
        <v>0</v>
      </c>
      <c r="BC10">
        <f>SUMPRODUCT(--('Данные 1st'!$S$2:$S$317=$A10),--ISNUMBER('Данные 1st'!$DU$2:$DU$317))</f>
        <v>0</v>
      </c>
      <c r="BD10">
        <f>SUMPRODUCT(--('Данные 1st'!$S$2:$S$317=$A10),--ISNUMBER('Данные 1st'!$DV$2:$DV$317))</f>
        <v>0</v>
      </c>
      <c r="BE10">
        <f>SUMPRODUCT(--('Данные 1st'!$S$2:$S$317=$A10),--ISNUMBER('Данные 1st'!$DX$2:$DX$317))</f>
        <v>3</v>
      </c>
      <c r="BF10">
        <f>SUMPRODUCT(--('Данные 1st'!$S$2:$S$317=$A10),--ISNUMBER('Данные 1st'!$EA$2:$EA$317))</f>
        <v>3</v>
      </c>
      <c r="BG10">
        <f>SUMPRODUCT(--('Данные 1st'!$S$2:$S$317=$A10),--ISNUMBER('Данные 1st'!$EB$2:$EB$317))</f>
        <v>3</v>
      </c>
      <c r="BH10">
        <f>SUMPRODUCT(--('Данные 1st'!$S$2:$S$317=$A10),--ISNUMBER('Данные 1st'!$ED$2:$ED$317))</f>
        <v>3</v>
      </c>
      <c r="BI10">
        <f>SUMPRODUCT(--('Данные 1st'!$S$2:$S$317=$A10),--ISNUMBER('Данные 1st'!$EE$2:$EE$317))</f>
        <v>3</v>
      </c>
      <c r="BJ10">
        <f>SUMPRODUCT(--('Данные 1st'!$S$2:$S$317=$A10),--ISNUMBER('Данные 1st'!$EG$2:$EG$317))</f>
        <v>3</v>
      </c>
      <c r="BK10">
        <f>SUMPRODUCT(--('Данные 1st'!$S$2:$S$317=$A10),--ISNUMBER('Данные 1st'!$EH$2:$EH$317))</f>
        <v>3</v>
      </c>
      <c r="BL10">
        <f>SUMPRODUCT(--('Данные 1st'!$S$2:$S$317=$A10),--ISNUMBER('Данные 1st'!$EJ$2:$EJ$317))</f>
        <v>3</v>
      </c>
      <c r="BM10">
        <f>SUMPRODUCT(--('Данные 1st'!$S$2:$S$317=$A10),--ISNUMBER('Данные 1st'!$EK$2:$EK$317))</f>
        <v>3</v>
      </c>
      <c r="BN10">
        <f>SUMPRODUCT(--('Данные 1st'!$S$2:$S$317=$A10),--ISNUMBER('Данные 1st'!$EN$2:$EN$317))</f>
        <v>3</v>
      </c>
      <c r="BO10">
        <f>SUMPRODUCT(--('Данные 1st'!$S$2:$S$317=$A10),--ISNUMBER('Данные 1st'!$EQ$2:$EQ$317))</f>
        <v>3</v>
      </c>
      <c r="BP10">
        <f>SUMPRODUCT(--('Данные 1st'!$S$2:$S$317=$A10),--ISNUMBER('Данные 1st'!$ER$2:$ER$317))</f>
        <v>3</v>
      </c>
      <c r="BQ10">
        <f>SUMPRODUCT(--('Данные 1st'!$S$2:$S$317=$A10),--ISNUMBER('Данные 1st'!$ES$2:$ES$317))</f>
        <v>3</v>
      </c>
      <c r="BR10">
        <f>SUMPRODUCT(--('Данные 1st'!$S$2:$S$317=$A10),--ISNUMBER('Данные 1st'!$ET$2:$ET$317))</f>
        <v>3</v>
      </c>
      <c r="BS10">
        <f>SUMPRODUCT(--('Данные 1st'!$S$2:$S$317=$A10),--ISNUMBER('Данные 1st'!$EU$2:$EU$317))</f>
        <v>3</v>
      </c>
      <c r="BT10">
        <f>SUMPRODUCT(--('Данные 1st'!$S$2:$S$317=$A10),--ISNUMBER('Данные 1st'!$EV$2:$EV$317))</f>
        <v>3</v>
      </c>
      <c r="BU10">
        <f>SUMPRODUCT(--('Данные 1st'!$S$2:$S$317=$A10),--ISNUMBER('Данные 1st'!$EX$2:$EX$317))</f>
        <v>3</v>
      </c>
      <c r="BV10">
        <f>SUMPRODUCT(--('Данные 1st'!$S$2:$S$317=$A10),--ISNUMBER('Данные 1st'!$EY$2:$EY$317))</f>
        <v>3</v>
      </c>
      <c r="BW10">
        <f>SUMPRODUCT(--('Данные 1st'!$S$2:$S$317=$A10),--ISNUMBER('Данные 1st'!$EZ$2:$EZ$317))</f>
        <v>3</v>
      </c>
      <c r="BX10">
        <f>SUMPRODUCT(--('Данные 1st'!$S$2:$S$317=$A10),--ISNUMBER('Данные 1st'!$FA$2:$FA$317))</f>
        <v>3</v>
      </c>
      <c r="BY10">
        <f>SUMPRODUCT(--('Данные 1st'!$S$2:$S$317=$A10),--ISNUMBER('Данные 1st'!$FB$2:$FB$317))</f>
        <v>3</v>
      </c>
      <c r="BZ10">
        <f>SUMPRODUCT(--('Данные 1st'!$S$2:$S$317=$A10),--ISNUMBER('Данные 1st'!$FC$2:$FC$317))</f>
        <v>3</v>
      </c>
      <c r="CA10">
        <f>SUMPRODUCT(--('Данные 1st'!$S$2:$S$317=$A10),--ISNUMBER('Данные 1st'!$FE$2:$FE$317))</f>
        <v>3</v>
      </c>
      <c r="CB10">
        <f>SUMPRODUCT(--('Данные 1st'!$S$2:$S$317=$A10),--ISNUMBER('Данные 1st'!$FF$2:$FF$317))</f>
        <v>3</v>
      </c>
      <c r="CC10">
        <f>SUMPRODUCT(--('Данные 1st'!$S$2:$S$317=$A10),--ISNUMBER('Данные 1st'!$FI$2:$FI$317))</f>
        <v>3</v>
      </c>
      <c r="CD10">
        <f>SUMPRODUCT(--('Данные 1st'!$S$2:$S$317=$A10),--ISNUMBER('Данные 1st'!$FL$2:$FL$317))</f>
        <v>3</v>
      </c>
      <c r="CE10">
        <f>SUMPRODUCT(--('Данные 1st'!$S$2:$S$317=$A10),--ISNUMBER('Данные 1st'!$FM$2:$FM$317))</f>
        <v>3</v>
      </c>
      <c r="CF10">
        <f>SUMPRODUCT(--('Данные 1st'!$S$2:$S$317=$A10),--ISNUMBER('Данные 1st'!$FN$2:$FN$317))</f>
        <v>3</v>
      </c>
      <c r="CG10">
        <f>SUMPRODUCT(--('Данные 1st'!$S$2:$S$317=$A10),--ISNUMBER('Данные 1st'!$FO$2:$FO$317))</f>
        <v>1</v>
      </c>
      <c r="CH10">
        <f>SUMPRODUCT(--('Данные 1st'!$S$2:$S$317=$A10),--ISNUMBER('Данные 1st'!$FP$2:$FP$317))</f>
        <v>1</v>
      </c>
      <c r="CI10">
        <f>SUMPRODUCT(--('Данные 1st'!$S$2:$S$317=$A10),--ISNUMBER('Данные 1st'!$FS$2:$FS$317))</f>
        <v>2</v>
      </c>
      <c r="CJ10">
        <f>SUMPRODUCT(--('Данные 1st'!$S$2:$S$317=$A10),--ISNUMBER('Данные 1st'!$FT$2:$FT$317))</f>
        <v>2</v>
      </c>
      <c r="CK10">
        <f>SUMPRODUCT(--('Данные 1st'!$S$2:$S$317=$A10),--ISNUMBER('Данные 1st'!$FU$2:$FU$317))</f>
        <v>2</v>
      </c>
      <c r="CL10">
        <f>SUMPRODUCT(--('Данные 1st'!$S$2:$S$317=$A10),--ISNUMBER('Данные 1st'!$FV$2:$FV$317))</f>
        <v>0</v>
      </c>
      <c r="CM10">
        <f>SUMPRODUCT(--('Данные 1st'!$S$2:$S$317=$A10),--ISNUMBER('Данные 1st'!$FW$2:$FW$317))</f>
        <v>0</v>
      </c>
      <c r="CN10">
        <f>SUMPRODUCT(--('Данные 1st'!$S$2:$S$317=$A10),--ISNUMBER('Данные 1st'!$FZ$2:$FZ$317))</f>
        <v>1</v>
      </c>
      <c r="CO10">
        <f>SUMPRODUCT(--('Данные 1st'!$S$2:$S$317=$A10),--ISNUMBER('Данные 1st'!$GA$2:$GA$317))</f>
        <v>1</v>
      </c>
      <c r="CP10">
        <f>SUMPRODUCT(--('Данные 1st'!$S$2:$S$317=$A10),--ISNUMBER('Данные 1st'!$GB$2:$GB$317))</f>
        <v>1</v>
      </c>
      <c r="CQ10">
        <f>SUMPRODUCT(--('Данные 1st'!$S$2:$S$317=$A10),--ISNUMBER('Данные 1st'!$GH$2:$GH$317))</f>
        <v>1</v>
      </c>
      <c r="CR10">
        <f>SUMPRODUCT(--('Данные 1st'!$S$2:$S$317=$A10),--ISNUMBER('Данные 1st'!$GI$2:$GI$317))</f>
        <v>1</v>
      </c>
      <c r="CS10">
        <f>SUMPRODUCT(--('Данные 1st'!$S$2:$S$317=$A10),--ISNUMBER('Данные 1st'!$GJ$2:$GJ$317))</f>
        <v>1</v>
      </c>
      <c r="CT10">
        <f>SUMPRODUCT(--('Данные 1st'!$S$2:$S$317=$A10),--ISNUMBER('Данные 1st'!$GS$2:$GS$317))</f>
        <v>0</v>
      </c>
      <c r="CU10">
        <f>SUMPRODUCT(--('Данные 1st'!$S$2:$S$317=$A10),--ISNUMBER('Данные 1st'!$GT$2:$GT$317))</f>
        <v>0</v>
      </c>
      <c r="CV10">
        <f>SUMPRODUCT(--('Данные 1st'!$S$2:$S$317=$A10),--ISNUMBER('Данные 1st'!$GU$2:$GU$317))</f>
        <v>0</v>
      </c>
      <c r="CW10">
        <f>SUMPRODUCT(--('Данные 1st'!$S$2:$S$317=$A10),--ISNUMBER('Данные 1st'!$GV$2:$GV$317))</f>
        <v>0</v>
      </c>
      <c r="CX10">
        <f>SUMPRODUCT(--('Данные 1st'!$S$2:$S$317=$A10),--ISNUMBER('Данные 1st'!$GW$2:$GW$317))</f>
        <v>0</v>
      </c>
      <c r="CY10">
        <f>SUMPRODUCT(--('Данные 1st'!$S$2:$S$317=$A10),--ISNUMBER('Данные 1st'!$GZ$2:$GZ$317))</f>
        <v>0</v>
      </c>
      <c r="CZ10">
        <f>SUMPRODUCT(--('Данные 1st'!$S$2:$S$317=$A10),--ISNUMBER('Данные 1st'!$HA$2:$HA$317))</f>
        <v>0</v>
      </c>
      <c r="DA10">
        <f>SUMPRODUCT(--('Данные 1st'!$S$2:$S$317=$A10),--ISNUMBER('Данные 1st'!$HB$2:$HB$317))</f>
        <v>0</v>
      </c>
      <c r="DB10">
        <f>SUMPRODUCT(--('Данные 1st'!$S$2:$S$317=$A10),--ISNUMBER('Данные 1st'!$HC$2:$HC$317))</f>
        <v>3</v>
      </c>
      <c r="DC10">
        <f>SUMPRODUCT(--('Данные 1st'!$S$2:$S$317=$A10),--ISNUMBER('Данные 1st'!$HD$2:$HD$317))</f>
        <v>3</v>
      </c>
      <c r="DD10">
        <f>SUMPRODUCT(--('Данные 1st'!$S$2:$S$317=$A10),--ISNUMBER('Данные 1st'!$HE$2:$HE$317))</f>
        <v>3</v>
      </c>
      <c r="DE10">
        <f>SUMPRODUCT(--('Данные 1st'!$S$2:$S$317=$A10),--ISNUMBER('Данные 1st'!$HF$2:$HF$317))</f>
        <v>3</v>
      </c>
      <c r="DF10">
        <f>SUMPRODUCT(--('Данные 1st'!$S$2:$S$317=$A10),--ISNUMBER('Данные 1st'!$HG$2:$HG$317))</f>
        <v>3</v>
      </c>
      <c r="DG10">
        <f>SUMPRODUCT(--('Данные 1st'!$S$2:$S$317=$A10),--ISNUMBER('Данные 1st'!$HH$2:$HH$317))</f>
        <v>3</v>
      </c>
      <c r="DH10">
        <f>SUMPRODUCT(--('Данные 1st'!$S$2:$S$317=$A10),--ISNUMBER('Данные 1st'!$HI$2:$HI$317))</f>
        <v>3</v>
      </c>
      <c r="DI10">
        <f>SUMPRODUCT(--('Данные 1st'!$S$2:$S$317=$A10),--ISNUMBER('Данные 1st'!$HJ$2:$HJ$317))</f>
        <v>3</v>
      </c>
      <c r="DJ10">
        <f>SUMPRODUCT(--('Данные 1st'!$S$2:$S$317=$A10),--ISNUMBER('Данные 1st'!$HK$2:$HK$317))</f>
        <v>3</v>
      </c>
      <c r="DK10">
        <f>SUMPRODUCT(--('Данные 1st'!$S$2:$S$317=$A10),--ISNUMBER('Данные 1st'!$HL$2:$HL$317))</f>
        <v>3</v>
      </c>
      <c r="DL10">
        <f>SUMPRODUCT(--('Данные 1st'!$S$2:$S$317=$A10),--ISNUMBER('Данные 1st'!$HM$2:$HM$317))</f>
        <v>3</v>
      </c>
      <c r="DM10">
        <f>SUMPRODUCT(--('Данные 1st'!$S$2:$S$317=$A10),--ISNUMBER('Данные 1st'!$HN$2:$HN$317))</f>
        <v>3</v>
      </c>
      <c r="DN10">
        <f>SUMPRODUCT(--('Данные 1st'!$S$2:$S$317=$A10),--ISNUMBER('Данные 1st'!$HO$2:$HO$317))</f>
        <v>3</v>
      </c>
      <c r="DO10">
        <f>SUMPRODUCT(--('Данные 1st'!$S$2:$S$317=$A10),--ISNUMBER('Данные 1st'!$HP$2:$HP$317))</f>
        <v>3</v>
      </c>
      <c r="DP10">
        <f>SUMPRODUCT(--('Данные 1st'!$S$2:$S$317=$A10),--ISNUMBER('Данные 1st'!$HQ$2:$HQ$317))</f>
        <v>3</v>
      </c>
      <c r="DQ10">
        <f>SUMPRODUCT(--('Данные 1st'!$S$2:$S$317=$A10),--ISNUMBER('Данные 1st'!$HR$2:$HR$317))</f>
        <v>3</v>
      </c>
      <c r="DR10">
        <f>SUMPRODUCT(--('Данные 1st'!$S$2:$S$317=$A10),--ISNUMBER('Данные 1st'!$HS$2:$HS$317))</f>
        <v>3</v>
      </c>
      <c r="DS10">
        <f>SUMPRODUCT(--('Данные 1st'!$S$2:$S$317=$A10),--ISNUMBER('Данные 1st'!$HT$2:$HT$317))</f>
        <v>3</v>
      </c>
      <c r="DT10">
        <f>SUMPRODUCT(--('Данные 1st'!$S$2:$S$317=$A10),--ISNUMBER('Данные 1st'!$HU$2:$HU$317))</f>
        <v>3</v>
      </c>
      <c r="DU10">
        <f>SUMPRODUCT(--('Данные 1st'!$S$2:$S$317=$A10),--ISNUMBER('Данные 1st'!$HW$2:$HW$317))</f>
        <v>3</v>
      </c>
      <c r="DV10">
        <f>SUMPRODUCT(--('Данные 1st'!$S$2:$S$317=$A10),--ISNUMBER('Данные 1st'!$HX$2:$HX$317))</f>
        <v>3</v>
      </c>
      <c r="DW10">
        <f>SUMPRODUCT(--('Данные 1st'!$S$2:$S$317=$A10),--ISNUMBER('Данные 1st'!$HY$2:$HY$317))</f>
        <v>3</v>
      </c>
      <c r="DX10">
        <f>SUMPRODUCT(--('Данные 1st'!$S$2:$S$317=$A10),--ISNUMBER('Данные 1st'!$IA$2:$IA$317))</f>
        <v>3</v>
      </c>
      <c r="DY10">
        <f>SUMPRODUCT(--('Данные 1st'!$S$2:$S$317=$A10),--ISNUMBER('Данные 1st'!$IB$2:$IB$317))</f>
        <v>3</v>
      </c>
      <c r="DZ10">
        <f>SUMPRODUCT(--('Данные 1st'!$S$2:$S$317=$A10),--ISNUMBER('Данные 1st'!$IC$2:$IC$317))</f>
        <v>3</v>
      </c>
      <c r="EA10">
        <f>SUMPRODUCT(--('Данные 1st'!$S$2:$S$317=$A10),--ISNUMBER('Данные 1st'!$ID$2:$ID$317))</f>
        <v>3</v>
      </c>
      <c r="EB10">
        <f>SUMPRODUCT(--('Данные 1st'!$S$2:$S$317=$A10),--ISNUMBER('Данные 1st'!$IE$2:$IE$317))</f>
        <v>3</v>
      </c>
      <c r="EC10">
        <f>SUMPRODUCT(--('Данные 1st'!$S$2:$S$317=$A10),--ISNUMBER('Данные 1st'!$IF$2:$IF$317))</f>
        <v>3</v>
      </c>
      <c r="ED10">
        <f>SUMPRODUCT(--('Данные 1st'!$S$2:$S$317=$A10),--ISNUMBER('Данные 1st'!$IP$2:$IP$317))</f>
        <v>3</v>
      </c>
      <c r="EE10">
        <f>SUMPRODUCT(--('Данные 1st'!$S$2:$S$317=$A10),--ISNUMBER('Данные 1st'!$IV$2:$IV$317))</f>
        <v>3</v>
      </c>
      <c r="EF10">
        <f>SUMPRODUCT(--('Данные 1st'!$S$2:$S$317=$A10),--ISNUMBER('Данные 1st'!$IW$2:$IW$317))</f>
        <v>3</v>
      </c>
      <c r="EG10">
        <f>SUMPRODUCT(--('Данные 1st'!$S$2:$S$317=$A10),--ISNUMBER('Данные 1st'!$IX$2:$IX$317))</f>
        <v>0</v>
      </c>
      <c r="EH10">
        <f>SUMPRODUCT(--('Данные 1st'!$S$2:$S$317=$A10),--ISNUMBER('Данные 1st'!$IY$2:$IY$317))</f>
        <v>0</v>
      </c>
      <c r="EI10">
        <f>SUMPRODUCT(--('Данные 1st'!$S$2:$S$317=$A10),--ISNUMBER('Данные 1st'!$JD$2:$JD$317))</f>
        <v>3</v>
      </c>
      <c r="EJ10">
        <f>SUMPRODUCT(--('Данные 1st'!$S$2:$S$317=$A10),--ISNUMBER('Данные 1st'!$JE$2:$JE$317))</f>
        <v>3</v>
      </c>
      <c r="EK10">
        <f>SUMPRODUCT(--('Данные 1st'!$S$2:$S$317=$A10),--ISNUMBER('Данные 1st'!$JF$2:$JF$317))</f>
        <v>3</v>
      </c>
      <c r="EL10">
        <f>SUMPRODUCT(--('Данные 1st'!$S$2:$S$317=$A10),--ISNUMBER('Данные 1st'!$JG$2:$JG$317))</f>
        <v>3</v>
      </c>
      <c r="EM10">
        <f>SUMPRODUCT(--('Данные 1st'!$S$2:$S$317=$A10),--ISNUMBER('Данные 1st'!$JH$2:$JH$317))</f>
        <v>3</v>
      </c>
      <c r="EN10">
        <f>SUMPRODUCT(--('Данные 1st'!$S$2:$S$317=$A10),--ISNUMBER('Данные 1st'!$JJ$2:$JJ$317))</f>
        <v>3</v>
      </c>
      <c r="EO10">
        <f>SUMPRODUCT(--('Данные 1st'!$S$2:$S$317=$A10),--ISNUMBER('Данные 1st'!$JK$2:$JK$317))</f>
        <v>3</v>
      </c>
      <c r="EP10">
        <f>SUMPRODUCT(--('Данные 1st'!$S$2:$S$317=$A10),--ISNUMBER('Данные 1st'!$JL$2:$JL$317))</f>
        <v>0</v>
      </c>
      <c r="EQ10">
        <f>SUMPRODUCT(--('Данные 1st'!$S$2:$S$317=$A10),--ISNUMBER('Данные 1st'!$JM$2:$JM$317))</f>
        <v>0</v>
      </c>
      <c r="ER10">
        <f>SUMPRODUCT(--('Данные 1st'!$S$2:$S$317=$A10),--ISNUMBER('Данные 1st'!$JN$2:$JN$317))</f>
        <v>3</v>
      </c>
      <c r="ES10">
        <f>SUMPRODUCT(--('Данные 1st'!$S$2:$S$317=$A10),--ISNUMBER('Данные 1st'!$JO$2:$JO$317))</f>
        <v>3</v>
      </c>
      <c r="ET10">
        <f>SUMPRODUCT(--('Данные 1st'!$S$2:$S$317=$A10),--ISNUMBER('Данные 1st'!$JP$2:$JP$317))</f>
        <v>3</v>
      </c>
      <c r="EU10">
        <f>SUMPRODUCT(--('Данные 1st'!$S$2:$S$317=$A10),--ISNUMBER('Данные 1st'!$JQ$2:$JQ$317))</f>
        <v>3</v>
      </c>
      <c r="EV10">
        <f>SUMPRODUCT(--('Данные 1st'!$S$2:$S$317=$A10),--ISNUMBER('Данные 1st'!$JR$2:$JR$317))</f>
        <v>3</v>
      </c>
      <c r="EW10">
        <f>SUMPRODUCT(--('Данные 1st'!$S$2:$S$317=$A10),--ISNUMBER('Данные 1st'!$JS$2:$JS$317))</f>
        <v>3</v>
      </c>
      <c r="EX10">
        <f>SUMPRODUCT(--('Данные 1st'!$S$2:$S$317=$A10),--ISNUMBER('Данные 1st'!$JT$2:$JT$317))</f>
        <v>0</v>
      </c>
      <c r="EY10">
        <f>SUMPRODUCT(--('Данные 1st'!$S$2:$S$317=$A10),--ISNUMBER('Данные 1st'!$JU$2:$JU$317))</f>
        <v>0</v>
      </c>
      <c r="EZ10">
        <f>SUMPRODUCT(--('Данные 1st'!$S$2:$S$317=$A10),--ISNUMBER('Данные 1st'!$JV$2:$JV$317))</f>
        <v>3</v>
      </c>
      <c r="FA10">
        <f>SUMPRODUCT(--('Данные 1st'!$S$2:$S$317=$A10),--ISNUMBER('Данные 1st'!$JW$2:$JW$317))</f>
        <v>0</v>
      </c>
      <c r="FB10">
        <f>SUMPRODUCT(--('Данные 1st'!$S$2:$S$317=$A10),--ISNUMBER('Данные 1st'!$JX$2:$JX$317))</f>
        <v>3</v>
      </c>
      <c r="FC10">
        <f>SUMPRODUCT(--('Данные 1st'!$S$2:$S$317=$A10),--ISNUMBER('Данные 1st'!$JY$2:$JY$317))</f>
        <v>0</v>
      </c>
      <c r="FD10">
        <f>SUMPRODUCT(--('Данные 1st'!$S$2:$S$317=$A10),--ISNUMBER('Данные 1st'!$JZ$2:$JZ$317))</f>
        <v>0</v>
      </c>
      <c r="FE10">
        <f>SUMPRODUCT(--('Данные 1st'!$S$2:$S$317=$A10),--ISNUMBER('Данные 1st'!$KA$2:$KA$317))</f>
        <v>3</v>
      </c>
      <c r="FF10">
        <f>SUMPRODUCT(--('Данные 1st'!$S$2:$S$317=$A10),--ISNUMBER('Данные 1st'!$KB$2:$KB$317))</f>
        <v>3</v>
      </c>
      <c r="FG10">
        <f>SUMPRODUCT(--('Данные 1st'!$S$2:$S$317=$A10),--ISNUMBER('Данные 1st'!$KC$2:$KC$317))</f>
        <v>3</v>
      </c>
      <c r="FH10">
        <f>SUMPRODUCT(--('Данные 1st'!$S$2:$S$317=$A10),--ISNUMBER('Данные 1st'!$KD$2:$KD$317))</f>
        <v>3</v>
      </c>
      <c r="FI10">
        <f>SUMPRODUCT(--('Данные 1st'!$S$2:$S$317=$A10),--ISNUMBER('Данные 1st'!$KE$2:$KE$317))</f>
        <v>0</v>
      </c>
      <c r="FJ10">
        <f>SUMPRODUCT(--('Данные 1st'!$S$2:$S$317=$A10),--ISNUMBER('Данные 1st'!$KF$2:$KF$317))</f>
        <v>3</v>
      </c>
      <c r="FK10">
        <f>SUMPRODUCT(--('Данные 1st'!$S$2:$S$317=$A10),--ISNUMBER('Данные 1st'!$KG$2:$KG$317))</f>
        <v>3</v>
      </c>
      <c r="FL10">
        <f>SUMPRODUCT(--('Данные 1st'!$S$2:$S$317=$A10),--ISNUMBER('Данные 1st'!$KH$2:$KH$317))</f>
        <v>3</v>
      </c>
      <c r="FM10">
        <f>SUMPRODUCT(--('Данные 1st'!$S$2:$S$317=$A10),--ISNUMBER('Данные 1st'!$KI$2:$KI$317))</f>
        <v>3</v>
      </c>
      <c r="FN10">
        <f>SUMPRODUCT(--('Данные 1st'!$S$2:$S$317=$A10),--ISNUMBER('Данные 1st'!$KJ$2:$KJ$317))</f>
        <v>3</v>
      </c>
      <c r="FO10">
        <f>SUMPRODUCT(--('Данные 1st'!$S$2:$S$317=$A10),--ISNUMBER('Данные 1st'!$KK$2:$KK$317))</f>
        <v>3</v>
      </c>
      <c r="FP10">
        <f>SUMPRODUCT(--('Данные 1st'!$S$2:$S$317=$A10),--ISNUMBER('Данные 1st'!$KL$2:$KL$317))</f>
        <v>3</v>
      </c>
      <c r="FQ10">
        <f>SUMPRODUCT(--('Данные 1st'!$S$2:$S$317=$A10),--ISNUMBER('Данные 1st'!$KM$2:$KM$317))</f>
        <v>3</v>
      </c>
      <c r="FR10">
        <f>SUMPRODUCT(--('Данные 1st'!$S$2:$S$317=$A10),--ISNUMBER('Данные 1st'!$KN$2:$KN$317))</f>
        <v>3</v>
      </c>
      <c r="FS10">
        <f>SUMPRODUCT(--('Данные 1st'!$S$2:$S$317=$A10),--ISNUMBER('Данные 1st'!$KR$2:$KR$317))</f>
        <v>3</v>
      </c>
      <c r="FT10">
        <f>SUMPRODUCT(--('Данные 1st'!$S$2:$S$317=$A10),--ISNUMBER('Данные 1st'!$KS$2:$KS$317))</f>
        <v>3</v>
      </c>
      <c r="FU10">
        <f>SUMPRODUCT(--('Данные 1st'!$S$2:$S$317=$A10),--ISNUMBER('Данные 1st'!$KT$2:$KT$317))</f>
        <v>3</v>
      </c>
      <c r="FV10">
        <f>SUMPRODUCT(--('Данные 1st'!$S$2:$S$317=$A10),--ISNUMBER('Данные 1st'!$KV$2:$KV$317))</f>
        <v>0</v>
      </c>
      <c r="FW10">
        <f>SUMPRODUCT(--('Данные 1st'!$S$2:$S$317=$A10),--ISNUMBER('Данные 1st'!$KW$2:$KW$317))</f>
        <v>0</v>
      </c>
      <c r="FX10">
        <f>SUMPRODUCT(--('Данные 1st'!$S$2:$S$317=$A10),--ISNUMBER('Данные 1st'!$KX$2:$KX$317))</f>
        <v>0</v>
      </c>
      <c r="FY10">
        <f>SUMPRODUCT(--('Данные 1st'!$S$2:$S$317=$A10),--ISNUMBER('Данные 1st'!$KY$2:$KY$317))</f>
        <v>0</v>
      </c>
      <c r="FZ10">
        <f>SUMPRODUCT(--('Данные 1st'!$S$2:$S$317=$A10),--ISNUMBER('Данные 1st'!$KZ$2:$KZ$317))</f>
        <v>0</v>
      </c>
      <c r="GA10">
        <f>SUMPRODUCT(--('Данные 1st'!$S$2:$S$317=$A10),--ISNUMBER('Данные 1st'!$LA$2:$LA$317))</f>
        <v>0</v>
      </c>
      <c r="GB10">
        <f>SUMPRODUCT(--('Данные 1st'!$S$2:$S$317=$A10),--ISNUMBER('Данные 1st'!$LB$2:$LB$317))</f>
        <v>0</v>
      </c>
      <c r="GC10">
        <f>SUMPRODUCT(--('Данные 1st'!$S$2:$S$317=$A10),--ISNUMBER('Данные 1st'!$LC$2:$LC$317))</f>
        <v>0</v>
      </c>
      <c r="GD10">
        <f>SUMPRODUCT(--('Данные 1st'!$S$2:$S$317=$A10),--ISNUMBER('Данные 1st'!$LD$2:$LD$317))</f>
        <v>0</v>
      </c>
      <c r="GE10">
        <f>SUMPRODUCT(--('Данные 1st'!$S$2:$S$317=$A10),--ISNUMBER('Данные 1st'!$LE$2:$LE$317))</f>
        <v>0</v>
      </c>
      <c r="GF10">
        <f>SUMPRODUCT(--('Данные 1st'!$S$2:$S$317=$A10),--ISNUMBER('Данные 1st'!$LF$2:$LF$317))</f>
        <v>0</v>
      </c>
      <c r="GG10">
        <f>SUMPRODUCT(--('Данные 1st'!$S$2:$S$317=$A10),--ISNUMBER('Данные 1st'!$LG$2:$LG$317))</f>
        <v>0</v>
      </c>
      <c r="GH10">
        <f>SUMPRODUCT(--('Данные 1st'!$S$2:$S$317=$A10),--ISNUMBER('Данные 1st'!$LH$2:$LH$317))</f>
        <v>0</v>
      </c>
      <c r="GI10">
        <f>SUMPRODUCT(--('Данные 1st'!$S$2:$S$317=$A10),--ISNUMBER('Данные 1st'!$LI$2:$LI$317))</f>
        <v>0</v>
      </c>
      <c r="GJ10">
        <f>SUMPRODUCT(--('Данные 1st'!$S$2:$S$317=$A10),--ISNUMBER('Данные 1st'!$LJ$2:$LJ$317))</f>
        <v>0</v>
      </c>
      <c r="GK10">
        <f>SUMPRODUCT(--('Данные 1st'!$S$2:$S$317=$A10),--ISNUMBER('Данные 1st'!$LK$2:$LK$317))</f>
        <v>3</v>
      </c>
      <c r="GL10">
        <f>SUMPRODUCT(--('Данные 1st'!$S$2:$S$317=$A10),--ISNUMBER('Данные 1st'!$LV$2:$LV$317))</f>
        <v>0</v>
      </c>
      <c r="GM10">
        <f>SUMPRODUCT(--('Данные 1st'!$S$2:$S$317=$A10),--ISNUMBER('Данные 1st'!$LW$2:$LW$317))</f>
        <v>0</v>
      </c>
      <c r="GN10">
        <f>SUMPRODUCT(--('Данные 1st'!$S$2:$S$317=$A10),--ISNUMBER('Данные 1st'!$LX$2:$LX$317))</f>
        <v>2</v>
      </c>
      <c r="GO10">
        <f>SUMPRODUCT(--('Данные 1st'!$S$2:$S$317=$A10),--ISNUMBER('Данные 1st'!$LY$2:$LY$317))</f>
        <v>2</v>
      </c>
      <c r="GP10">
        <f>SUMPRODUCT(--('Данные 1st'!$S$2:$S$317=$A10),--ISNUMBER('Данные 1st'!$LZ$2:$LZ$317))</f>
        <v>0</v>
      </c>
      <c r="GQ10">
        <f>SUMPRODUCT(--('Данные 1st'!$S$2:$S$317=$A10),--ISNUMBER('Данные 1st'!$PG$2:$PG$317))</f>
        <v>3</v>
      </c>
      <c r="GR10">
        <f>SUMPRODUCT(--('Данные 1st'!$S$2:$S$317=$A10),--ISNUMBER('Данные 1st'!$PX$2:$PX$317))</f>
        <v>3</v>
      </c>
      <c r="GS10">
        <f>SUMPRODUCT(--('Данные 1st'!$S$2:$S$317=$A10),--ISNUMBER('Данные 1st'!$PY$2:$PY$317))</f>
        <v>3</v>
      </c>
      <c r="GT10">
        <f>SUMPRODUCT(--('Данные 1st'!$S$2:$S$317=$A10),--ISNUMBER('Данные 1st'!$QA$2:$QA$317))</f>
        <v>3</v>
      </c>
      <c r="GU10">
        <f>SUMPRODUCT(--('Данные 1st'!$S$2:$S$317=$A10),--ISNUMBER('Данные 1st'!$QB$2:$QB$317))</f>
        <v>3</v>
      </c>
      <c r="GV10">
        <f>SUMPRODUCT(--('Данные 1st'!$S$2:$S$317=$A10),--ISNUMBER('Данные 1st'!$QC$2:$QC$317))</f>
        <v>3</v>
      </c>
      <c r="GW10">
        <f>SUMPRODUCT(--('Данные 1st'!$S$2:$S$317=$A10),--ISNUMBER('Данные 1st'!$QD$2:$QD$317))</f>
        <v>3</v>
      </c>
      <c r="GX10">
        <f>SUMPRODUCT(--('Данные 1st'!$S$2:$S$317=$A10),--ISNUMBER('Данные 1st'!$QF$2:$QF$317))</f>
        <v>3</v>
      </c>
      <c r="GY10">
        <f>SUMPRODUCT(--('Данные 1st'!$S$2:$S$317=$A10),--ISNUMBER('Данные 1st'!$QG$2:$QG$317))</f>
        <v>3</v>
      </c>
      <c r="GZ10">
        <f>SUMPRODUCT(--('Данные 1st'!$S$2:$S$317=$A10),--ISNUMBER('Данные 1st'!$QH$2:$QH$317))</f>
        <v>3</v>
      </c>
      <c r="HA10">
        <f>SUMPRODUCT(--('Данные 1st'!$S$2:$S$317=$A10),--ISNUMBER('Данные 1st'!$QI$2:$QI$317))</f>
        <v>3</v>
      </c>
      <c r="HB10">
        <f>SUMPRODUCT(--('Данные 1st'!$S$2:$S$317=$A10),--ISNUMBER('Данные 1st'!$QK$2:$QK$317))</f>
        <v>1</v>
      </c>
      <c r="HC10">
        <f>SUMPRODUCT(--('Данные 1st'!$S$2:$S$317=$A10),--ISNUMBER('Данные 1st'!$QL$2:$QL$317))</f>
        <v>3</v>
      </c>
      <c r="HD10">
        <f>SUMPRODUCT(--('Данные 1st'!$S$2:$S$317=$A10),--ISNUMBER('Данные 1st'!$QM$2:$QM$317))</f>
        <v>3</v>
      </c>
      <c r="HE10">
        <f>SUMPRODUCT(--('Данные 1st'!$S$2:$S$317=$A10),--ISNUMBER('Данные 1st'!$QN$2:$QN$317))</f>
        <v>3</v>
      </c>
      <c r="HF10">
        <f>SUMPRODUCT(--('Данные 1st'!$S$2:$S$317=$A10),--ISNUMBER('Данные 1st'!$QP$2:$QP$317))</f>
        <v>3</v>
      </c>
      <c r="HG10">
        <f>SUMPRODUCT(--('Данные 1st'!$S$2:$S$317=$A10),--ISNUMBER('Данные 1st'!$QQ$2:$QQ$317))</f>
        <v>3</v>
      </c>
      <c r="HH10">
        <f>SUMPRODUCT(--('Данные 1st'!$S$2:$S$317=$A10),--ISNUMBER('Данные 1st'!$QR$2:$QR$317))</f>
        <v>0</v>
      </c>
      <c r="HI10">
        <f>SUMPRODUCT(--('Данные 1st'!$S$2:$S$317=$A10),--ISNUMBER('Данные 1st'!$QS$2:$QS$317))</f>
        <v>0</v>
      </c>
      <c r="HJ10">
        <f>SUMPRODUCT(--('Данные 1st'!$S$2:$S$317=$A10),--ISNUMBER('Данные 1st'!$QU$2:$QU$317))</f>
        <v>0</v>
      </c>
      <c r="HK10">
        <f>SUMPRODUCT(--('Данные 1st'!$S$2:$S$317=$A10),--ISNUMBER('Данные 1st'!$QV$2:$QV$317))</f>
        <v>0</v>
      </c>
      <c r="HL10">
        <f>SUMPRODUCT(--('Данные 1st'!$S$2:$S$317=$A10),--ISNUMBER('Данные 1st'!$QW$2:$QW$317))</f>
        <v>3</v>
      </c>
      <c r="HM10">
        <f>SUMPRODUCT(--('Данные 1st'!$S$2:$S$317=$A10),--ISNUMBER('Данные 1st'!$QX$2:$QX$317))</f>
        <v>3</v>
      </c>
      <c r="HN10">
        <f>SUMPRODUCT(--('Данные 1st'!$S$2:$S$317=$A10),--ISNUMBER('Данные 1st'!$QZ$2:$QZ$317))</f>
        <v>3</v>
      </c>
      <c r="HO10">
        <f>SUMPRODUCT(--('Данные 1st'!$S$2:$S$317=$A10),--ISNUMBER('Данные 1st'!$RA$2:$RA$317))</f>
        <v>3</v>
      </c>
      <c r="HP10">
        <f>SUMPRODUCT(--('Данные 1st'!$S$2:$S$317=$A10),--ISNUMBER('Данные 1st'!$RB$2:$RB$317))</f>
        <v>3</v>
      </c>
      <c r="HQ10">
        <f>SUMPRODUCT(--('Данные 1st'!$S$2:$S$317=$A10),--ISNUMBER('Данные 1st'!$RD$2:$RD$317))</f>
        <v>0</v>
      </c>
      <c r="HR10">
        <f>SUMPRODUCT(--('Данные 1st'!$S$2:$S$317=$A10),--ISNUMBER('Данные 1st'!$RE$2:$RE$317))</f>
        <v>3</v>
      </c>
      <c r="HS10">
        <f>SUMPRODUCT(--('Данные 1st'!$S$2:$S$317=$A10),--ISNUMBER('Данные 1st'!$RF$2:$RF$317))</f>
        <v>2</v>
      </c>
      <c r="HT10">
        <f>SUMPRODUCT(--('Данные 1st'!$S$2:$S$317=$A10),--ISNUMBER('Данные 1st'!$RG$2:$RG$317))</f>
        <v>1</v>
      </c>
      <c r="HU10">
        <f>SUMPRODUCT(--('Данные 1st'!$S$2:$S$317=$A10),--ISNUMBER('Данные 1st'!$RH$2:$RH$317))</f>
        <v>0</v>
      </c>
      <c r="HV10">
        <f>SUMPRODUCT(--('Данные 1st'!$S$2:$S$317=$A10),--ISNUMBER('Данные 1st'!$RI$2:$RI$317))</f>
        <v>0</v>
      </c>
      <c r="HW10">
        <f>SUMPRODUCT(--('Данные 1st'!$S$2:$S$317=$A10),--ISNUMBER('Данные 1st'!$RJ$2:$RJ$317))</f>
        <v>3</v>
      </c>
      <c r="HX10">
        <f>SUMPRODUCT(--('Данные 1st'!$S$2:$S$317=$A10),--ISNUMBER('Данные 1st'!$RK$2:$RK$317))</f>
        <v>1</v>
      </c>
      <c r="HY10">
        <f>SUMPRODUCT(--('Данные 1st'!$S$2:$S$317=$A10),--ISNUMBER('Данные 1st'!$RL$2:$RL$317))</f>
        <v>3</v>
      </c>
      <c r="HZ10">
        <f>SUMPRODUCT(--('Данные 1st'!$S$2:$S$317=$A10),--ISNUMBER('Данные 1st'!$RM$2:$RM$317))</f>
        <v>0</v>
      </c>
      <c r="IA10">
        <f>SUMPRODUCT(--('Данные 1st'!$S$2:$S$317=$A10),--ISNUMBER('Данные 1st'!$RN$2:$RN$317))</f>
        <v>0</v>
      </c>
      <c r="IB10">
        <f>SUMPRODUCT(--('Данные 1st'!$S$2:$S$317=$A10),--ISNUMBER('Данные 1st'!$RO$2:$RO$317))</f>
        <v>3</v>
      </c>
      <c r="IC10">
        <f>SUMPRODUCT(--('Данные 1st'!$S$2:$S$317=$A10),--ISNUMBER('Данные 1st'!$RP$2:$RP$317))</f>
        <v>1</v>
      </c>
      <c r="ID10">
        <f>SUMPRODUCT(--('Данные 1st'!$S$2:$S$317=$A10),--ISNUMBER('Данные 1st'!$RQ$2:$RQ$317))</f>
        <v>3</v>
      </c>
      <c r="IE10">
        <f>SUMPRODUCT(--('Данные 1st'!$S$2:$S$317=$A10),--ISNUMBER('Данные 1st'!$RR$2:$RR$317))</f>
        <v>0</v>
      </c>
      <c r="IF10">
        <f>SUMPRODUCT(--('Данные 1st'!$S$2:$S$317=$A10),--ISNUMBER('Данные 1st'!$RS$2:$RS$317))</f>
        <v>0</v>
      </c>
      <c r="IG10">
        <f>SUMPRODUCT(--('Данные 1st'!$S$2:$S$317=$A10),--ISNUMBER('Данные 1st'!$RT$2:$RT$317))</f>
        <v>3</v>
      </c>
      <c r="IH10">
        <f>SUMPRODUCT(--('Данные 1st'!$S$2:$S$317=$A10),--ISNUMBER('Данные 1st'!$RU$2:$RU$317))</f>
        <v>3</v>
      </c>
      <c r="II10">
        <f>SUMPRODUCT(--('Данные 1st'!$S$2:$S$317=$A10),--ISNUMBER('Данные 1st'!$RX$2:$RX$317))</f>
        <v>3</v>
      </c>
      <c r="IJ10">
        <f>SUMPRODUCT(--('Данные 1st'!$S$2:$S$317=$A10),--ISNUMBER('Данные 1st'!$RY$2:$RY$317))</f>
        <v>3</v>
      </c>
      <c r="IK10">
        <f>SUMPRODUCT(--('Данные 1st'!$S$2:$S$317=$A10),--ISNUMBER('Данные 1st'!$SA$2:$SA$317))</f>
        <v>3</v>
      </c>
      <c r="IL10">
        <f>SUMPRODUCT(--('Данные 1st'!$S$2:$S$317=$A10),--ISNUMBER('Данные 1st'!$SD$2:$SD$317))</f>
        <v>3</v>
      </c>
      <c r="IM10">
        <f>SUMPRODUCT(--('Данные 1st'!$S$2:$S$317=$A10),--ISNUMBER('Данные 1st'!$SG$2:$SG$317))</f>
        <v>0</v>
      </c>
      <c r="IN10">
        <f>SUMPRODUCT(--('Данные 1st'!$S$2:$S$317=$A10),--ISNUMBER('Данные 1st'!$SH$2:$SH$317))</f>
        <v>3</v>
      </c>
      <c r="IO10">
        <f>SUMPRODUCT(--('Данные 1st'!$S$2:$S$317=$A10),--ISNUMBER('Данные 1st'!$SI$2:$SI$317))</f>
        <v>3</v>
      </c>
      <c r="IP10">
        <f>SUMPRODUCT(--('Данные 1st'!$S$2:$S$317=$A10),--ISNUMBER('Данные 1st'!$SJ$2:$SJ$317))</f>
        <v>3</v>
      </c>
      <c r="IQ10">
        <f>SUMPRODUCT(--('Данные 1st'!$S$2:$S$317=$A10),--ISNUMBER('Данные 1st'!$SK$2:$SK$317))</f>
        <v>3</v>
      </c>
      <c r="IR10">
        <f>SUMPRODUCT(--('Данные 1st'!$S$2:$S$317=$A10),--ISNUMBER('Данные 1st'!$SL$2:$SL$317))</f>
        <v>3</v>
      </c>
      <c r="IS10">
        <f>SUMPRODUCT(--('Данные 1st'!$S$2:$S$317=$A10),--ISNUMBER('Данные 1st'!$SM$2:$SM$317))</f>
        <v>3</v>
      </c>
      <c r="IT10">
        <f>SUMPRODUCT(--('Данные 1st'!$S$2:$S$317=$A10),--ISNUMBER('Данные 1st'!$SN$2:$SN$317))</f>
        <v>3</v>
      </c>
      <c r="IU10">
        <f>SUMPRODUCT(--('Данные 1st'!$S$2:$S$317=$A10),--ISNUMBER('Данные 1st'!$SO$2:$SO$317))</f>
        <v>3</v>
      </c>
      <c r="IV10">
        <f>SUMPRODUCT(--('Данные 1st'!$S$2:$S$317=$A10),--ISNUMBER('Данные 1st'!$SP$2:$SP$317))</f>
        <v>3</v>
      </c>
      <c r="IW10">
        <f>SUMPRODUCT(--('Данные 1st'!$S$2:$S$317=$A10),--ISNUMBER('Данные 1st'!$SQ$2:$SQ$317))</f>
        <v>3</v>
      </c>
      <c r="IX10">
        <f>SUMPRODUCT(--('Данные 1st'!$S$2:$S$317=$A10),--ISNUMBER('Данные 1st'!$SR$2:$SR$317))</f>
        <v>3</v>
      </c>
      <c r="IY10">
        <f>SUMPRODUCT(--('Данные 1st'!$S$2:$S$317=$A10),--ISNUMBER('Данные 1st'!$SS$2:$SS$317))</f>
        <v>3</v>
      </c>
      <c r="IZ10">
        <f>SUMPRODUCT(--('Данные 1st'!$S$2:$S$317=$A10),--ISNUMBER('Данные 1st'!$ST$2:$ST$317))</f>
        <v>3</v>
      </c>
      <c r="JA10">
        <f>SUMPRODUCT(--('Данные 1st'!$S$2:$S$317=$A10),--ISNUMBER('Данные 1st'!$SU$2:$SU$317))</f>
        <v>3</v>
      </c>
      <c r="JB10">
        <f>SUMPRODUCT(--('Данные 1st'!$S$2:$S$317=$A10),--ISNUMBER('Данные 1st'!$SV$2:$SV$317))</f>
        <v>3</v>
      </c>
      <c r="JC10">
        <f>SUMPRODUCT(--('Данные 1st'!$S$2:$S$317=$A10),--ISNUMBER('Данные 1st'!$SW$2:$SW$317))</f>
        <v>3</v>
      </c>
      <c r="JD10">
        <f>SUMPRODUCT(--('Данные 1st'!$S$2:$S$317=$A10),--ISNUMBER('Данные 1st'!$SX$2:$SX$317))</f>
        <v>3</v>
      </c>
      <c r="JE10">
        <f>SUMPRODUCT(--('Данные 1st'!$S$2:$S$317=$A10),--ISNUMBER('Данные 1st'!$SY$2:$SY$317))</f>
        <v>1</v>
      </c>
      <c r="JF10">
        <f>SUMPRODUCT(--('Данные 1st'!$S$2:$S$317=$A10),--ISNUMBER('Данные 1st'!$SZ$2:$SZ$317))</f>
        <v>0</v>
      </c>
      <c r="JG10">
        <f>SUMPRODUCT(--('Данные 1st'!$S$2:$S$317=$A10),--ISNUMBER('Данные 1st'!$TA$2:$TA$317))</f>
        <v>0</v>
      </c>
      <c r="JH10">
        <f>SUMPRODUCT(--('Данные 1st'!$S$2:$S$317=$A10),--ISNUMBER('Данные 1st'!$TB$2:$TB$317))</f>
        <v>3</v>
      </c>
      <c r="JI10">
        <f>SUMPRODUCT(--('Данные 1st'!$S$2:$S$317=$A10),--ISNUMBER('Данные 1st'!$TC$2:$TC$317))</f>
        <v>3</v>
      </c>
      <c r="JJ10">
        <f>SUMPRODUCT(--('Данные 1st'!$S$2:$S$317=$A10),--ISNUMBER('Данные 1st'!$TD$2:$TD$317))</f>
        <v>3</v>
      </c>
      <c r="JK10">
        <f>SUMPRODUCT(--('Данные 1st'!$S$2:$S$317=$A10),--ISNUMBER('Данные 1st'!$TN$2:$TN$317))</f>
        <v>3</v>
      </c>
      <c r="JQ10">
        <f>SUMPRODUCT(--('Данные 2st'!$Q$2:$Q$317=$A10),--ISNUMBER('Данные 2st'!$AC$2:$AC$317))</f>
        <v>3</v>
      </c>
      <c r="JR10">
        <f>SUMPRODUCT(--('Данные 2st'!$Q$2:$Q$317=$A10),--ISNUMBER('Данные 2st'!$AF$2:$AF$317))</f>
        <v>3</v>
      </c>
      <c r="JS10">
        <f>SUMPRODUCT(--('Данные 2st'!$Q$2:$Q$317=$A10),--ISNUMBER('Данные 2st'!$AW$2:$AW$317))</f>
        <v>3</v>
      </c>
      <c r="JT10">
        <f>SUMPRODUCT(--('Данные 2st'!$Q$2:$Q$317=$A10),--ISNUMBER('Данные 2st'!$AX$2:$AX$317))</f>
        <v>3</v>
      </c>
      <c r="JU10">
        <f>SUMPRODUCT(--('Данные 2st'!$Q$2:$Q$317=$A10),--ISNUMBER('Данные 2st'!$AY$2:$AY$317))</f>
        <v>3</v>
      </c>
      <c r="JV10">
        <f>SUMPRODUCT(--('Данные 2st'!$Q$2:$Q$317=$A10),--ISNUMBER('Данные 2st'!$AZ$2:$AZ$317))</f>
        <v>3</v>
      </c>
      <c r="JW10">
        <f>SUMPRODUCT(--('Данные 2st'!$Q$2:$Q$317=$A10),--ISNUMBER('Данные 2st'!$BA$2:$BA$317))</f>
        <v>0</v>
      </c>
      <c r="JX10">
        <f>SUMPRODUCT(--('Данные 2st'!$Q$2:$Q$317=$A10),--ISNUMBER('Данные 2st'!$BB$2:$BB$317))</f>
        <v>0</v>
      </c>
      <c r="JY10">
        <f>SUMPRODUCT(--('Данные 2st'!$Q$2:$Q$317=$A10),--ISNUMBER('Данные 2st'!$BC$2:$BC$317))</f>
        <v>0</v>
      </c>
      <c r="JZ10">
        <f>SUMPRODUCT(--('Данные 2st'!$Q$2:$Q$317=$A10),--ISNUMBER('Данные 2st'!$BH$2:$BH$317))</f>
        <v>3</v>
      </c>
      <c r="KA10">
        <f>SUMPRODUCT(--('Данные 2st'!$Q$2:$Q$317=$A10),--ISNUMBER('Данные 2st'!$BI$2:$BI$317))</f>
        <v>3</v>
      </c>
      <c r="KB10">
        <f>SUMPRODUCT(--('Данные 2st'!$Q$2:$Q$317=$A10),--ISNUMBER('Данные 2st'!$BJ$2:$BJ$317))</f>
        <v>3</v>
      </c>
      <c r="KC10">
        <f>SUMPRODUCT(--('Данные 2st'!$Q$2:$Q$317=$A10),--ISNUMBER('Данные 2st'!$BK$2:$BK$317))</f>
        <v>3</v>
      </c>
      <c r="KD10">
        <f>SUMPRODUCT(--('Данные 2st'!$Q$2:$Q$317=$A10),--ISNUMBER('Данные 2st'!$BL$2:$BL$317))</f>
        <v>3</v>
      </c>
      <c r="KE10">
        <f>SUMPRODUCT(--('Данные 2st'!$Q$2:$Q$317=$A10),--ISNUMBER('Данные 2st'!$BM$2:$BM$317))</f>
        <v>3</v>
      </c>
      <c r="KF10">
        <f>SUMPRODUCT(--('Данные 2st'!$Q$2:$Q$317=$A10),--ISNUMBER('Данные 2st'!$BN$2:$BN$317))</f>
        <v>3</v>
      </c>
      <c r="KG10">
        <f>SUMPRODUCT(--('Данные 2st'!$Q$2:$Q$317=$A10),--ISNUMBER('Данные 2st'!$BO$2:$BO$317))</f>
        <v>1</v>
      </c>
      <c r="KH10">
        <f>SUMPRODUCT(--('Данные 2st'!$Q$2:$Q$317=$A10),--ISNUMBER('Данные 2st'!$BP$2:$BP$317))</f>
        <v>3</v>
      </c>
      <c r="KI10">
        <f>SUMPRODUCT(--('Данные 2st'!$Q$2:$Q$317=$A10),--ISNUMBER('Данные 2st'!$BR$2:$BR$317))</f>
        <v>3</v>
      </c>
      <c r="KJ10">
        <f>SUMPRODUCT(--('Данные 2st'!$Q$2:$Q$317=$A10),--ISNUMBER('Данные 2st'!$BS$2:$BS$317))</f>
        <v>3</v>
      </c>
      <c r="KK10">
        <f>SUMPRODUCT(--('Данные 2st'!$Q$2:$Q$317=$A10),--ISNUMBER('Данные 2st'!$BT$2:$BT$317))</f>
        <v>3</v>
      </c>
      <c r="KL10">
        <f>SUMPRODUCT(--('Данные 2st'!$Q$2:$Q$317=$A10),--ISNUMBER('Данные 2st'!$CV$2:$CV$317))</f>
        <v>3</v>
      </c>
      <c r="KM10">
        <f>SUMPRODUCT(--('Данные 2st'!$Q$2:$Q$317=$A10),--ISNUMBER('Данные 2st'!$CW$2:$CW$317))</f>
        <v>3</v>
      </c>
      <c r="KN10">
        <f>SUMPRODUCT(--('Данные 2st'!$Q$2:$Q$317=$A10),--ISNUMBER('Данные 2st'!$CX$2:$CX$317))</f>
        <v>3</v>
      </c>
      <c r="KO10">
        <f>SUMPRODUCT(--('Данные 2st'!$Q$2:$Q$317=$A10),--ISNUMBER('Данные 2st'!$CY$2:$CY$317))</f>
        <v>3</v>
      </c>
      <c r="KP10">
        <f>SUMPRODUCT(--('Данные 2st'!$Q$2:$Q$317=$A10),--ISNUMBER('Данные 2st'!$CZ$2:$CZ$317))</f>
        <v>3</v>
      </c>
      <c r="KQ10">
        <f>SUMPRODUCT(--('Данные 2st'!$Q$2:$Q$317=$A10),--ISNUMBER('Данные 2st'!$DA$2:$DA$317))</f>
        <v>3</v>
      </c>
      <c r="KR10">
        <f>SUMPRODUCT(--('Данные 2st'!$Q$2:$Q$317=$A10),--ISNUMBER('Данные 2st'!$DB$2:$DB$317))</f>
        <v>3</v>
      </c>
      <c r="KS10">
        <f>SUMPRODUCT(--('Данные 2st'!$Q$2:$Q$317=$A10),--ISNUMBER('Данные 2st'!$DC$2:$DC$317))</f>
        <v>3</v>
      </c>
      <c r="KT10">
        <f>SUMPRODUCT(--('Данные 2st'!$Q$2:$Q$317=$A10),--ISNUMBER('Данные 2st'!$DD$2:$DD$317))</f>
        <v>3</v>
      </c>
      <c r="KU10">
        <f>SUMPRODUCT(--('Данные 2st'!$Q$2:$Q$317=$A10),--ISNUMBER('Данные 2st'!$DE$2:$DE$317))</f>
        <v>3</v>
      </c>
      <c r="KV10">
        <f>SUMPRODUCT(--('Данные 2st'!$Q$2:$Q$317=$A10),--ISNUMBER('Данные 2st'!$DF$2:$DF$317))</f>
        <v>3</v>
      </c>
      <c r="KW10">
        <f>SUMPRODUCT(--('Данные 2st'!$Q$2:$Q$317=$A10),--ISNUMBER('Данные 2st'!$DG$2:$DG$317))</f>
        <v>3</v>
      </c>
      <c r="KX10">
        <f>SUMPRODUCT(--('Данные 2st'!$Q$2:$Q$317=$A10),--ISNUMBER('Данные 2st'!$DH$2:$DH$317))</f>
        <v>1</v>
      </c>
      <c r="KY10">
        <f>SUMPRODUCT(--('Данные 2st'!$Q$2:$Q$317=$A10),--ISNUMBER('Данные 2st'!$DI$2:$DI$317))</f>
        <v>0</v>
      </c>
      <c r="KZ10">
        <f>SUMPRODUCT(--('Данные 2st'!$Q$2:$Q$317=$A10),--ISNUMBER('Данные 2st'!$DK$2:$DK$317))</f>
        <v>3</v>
      </c>
      <c r="LA10">
        <f>SUMPRODUCT(--('Данные 2st'!$Q$2:$Q$317=$A10),--ISNUMBER('Данные 2st'!$DM$2:$DM$317))</f>
        <v>3</v>
      </c>
      <c r="LB10">
        <f>SUMPRODUCT(--('Данные 2st'!$Q$2:$Q$317=$A10),--ISNUMBER('Данные 2st'!$DN$2:$DN$317))</f>
        <v>3</v>
      </c>
      <c r="LC10">
        <f>SUMPRODUCT(--('Данные 2st'!$Q$2:$Q$317=$A10),--ISNUMBER('Данные 2st'!$DO$2:$DO$317))</f>
        <v>3</v>
      </c>
      <c r="LD10">
        <f>SUMPRODUCT(--('Данные 2st'!$Q$2:$Q$317=$A10),--ISNUMBER('Данные 2st'!$DP$2:$DP$317))</f>
        <v>3</v>
      </c>
      <c r="LE10">
        <f>SUMPRODUCT(--('Данные 2st'!$Q$2:$Q$317=$A10),--ISNUMBER('Данные 2st'!$DQ$2:$DQ$317))</f>
        <v>3</v>
      </c>
      <c r="LF10">
        <f>SUMPRODUCT(--('Данные 2st'!$Q$2:$Q$317=$A10),--ISNUMBER('Данные 2st'!$DS$2:$DS$317))</f>
        <v>3</v>
      </c>
      <c r="LG10">
        <f>SUMPRODUCT(--('Данные 2st'!$Q$2:$Q$317=$A10),--ISNUMBER('Данные 2st'!$DU$2:$DU$317))</f>
        <v>3</v>
      </c>
      <c r="LH10">
        <f>SUMPRODUCT(--('Данные 2st'!$Q$2:$Q$317=$A10),--ISNUMBER('Данные 2st'!$DV$2:$DV$317))</f>
        <v>3</v>
      </c>
      <c r="LI10">
        <f>SUMPRODUCT(--('Данные 2st'!$Q$2:$Q$317=$A10),--ISNUMBER('Данные 2st'!$DW$2:$DW$317))</f>
        <v>3</v>
      </c>
      <c r="LJ10">
        <f>SUMPRODUCT(--('Данные 2st'!$Q$2:$Q$317=$A10),--ISNUMBER('Данные 2st'!$DX$2:$DX$317))</f>
        <v>3</v>
      </c>
      <c r="LK10">
        <f>SUMPRODUCT(--('Данные 2st'!$Q$2:$Q$317=$A10),--ISNUMBER('Данные 2st'!$DY$2:$DY$317))</f>
        <v>3</v>
      </c>
      <c r="LL10">
        <f>SUMPRODUCT(--('Данные 2st'!$Q$2:$Q$317=$A10),--ISNUMBER('Данные 2st'!$EA$2:$EA$317))</f>
        <v>3</v>
      </c>
      <c r="LM10">
        <f>SUMPRODUCT(--('Данные 2st'!$Q$2:$Q$317=$A10),--ISNUMBER('Данные 2st'!$EC$2:$EC$317))</f>
        <v>3</v>
      </c>
      <c r="LN10">
        <f>SUMPRODUCT(--('Данные 2st'!$Q$2:$Q$317=$A10),--ISNUMBER('Данные 2st'!$ED$2:$ED$317))</f>
        <v>3</v>
      </c>
      <c r="LO10">
        <f>SUMPRODUCT(--('Данные 2st'!$Q$2:$Q$317=$A10),--ISNUMBER('Данные 2st'!$EE$2:$EE$317))</f>
        <v>3</v>
      </c>
      <c r="LP10">
        <f>SUMPRODUCT(--('Данные 2st'!$Q$2:$Q$317=$A10),--ISNUMBER('Данные 2st'!$EG$2:$EG$317))</f>
        <v>3</v>
      </c>
      <c r="LQ10">
        <f>SUMPRODUCT(--('Данные 2st'!$Q$2:$Q$317=$A10),--ISNUMBER('Данные 2st'!$EI$2:$EI$317))</f>
        <v>3</v>
      </c>
      <c r="LR10">
        <f>SUMPRODUCT(--('Данные 2st'!$Q$2:$Q$317=$A10),--ISNUMBER('Данные 2st'!$EJ$2:$EJ$317))</f>
        <v>3</v>
      </c>
      <c r="LS10">
        <f>SUMPRODUCT(--('Данные 2st'!$Q$2:$Q$317=$A10),--ISNUMBER('Данные 2st'!$EK$2:$EK$317))</f>
        <v>3</v>
      </c>
      <c r="LT10">
        <f>SUMPRODUCT(--('Данные 2st'!$Q$2:$Q$317=$A10),--ISNUMBER('Данные 2st'!$EM$2:$EM$317))</f>
        <v>3</v>
      </c>
      <c r="LU10">
        <f>SUMPRODUCT(--('Данные 2st'!$Q$2:$Q$317=$A10),--ISNUMBER('Данные 2st'!$EN$2:$EN$317))</f>
        <v>3</v>
      </c>
      <c r="LV10">
        <f>SUMPRODUCT(--('Данные 2st'!$Q$2:$Q$317=$A10),--ISNUMBER('Данные 2st'!$EO$2:$EO$317))</f>
        <v>3</v>
      </c>
      <c r="LW10">
        <f>SUMPRODUCT(--('Данные 2st'!$Q$2:$Q$317=$A10),--ISNUMBER('Данные 2st'!$EP$2:$EP$317))</f>
        <v>3</v>
      </c>
      <c r="LX10">
        <f>SUMPRODUCT(--('Данные 2st'!$Q$2:$Q$317=$A10),--ISNUMBER('Данные 2st'!$EQ$2:$EQ$317))</f>
        <v>3</v>
      </c>
      <c r="LY10">
        <f>SUMPRODUCT(--('Данные 2st'!$Q$2:$Q$317=$A10),--ISNUMBER('Данные 2st'!$ER$2:$ER$317))</f>
        <v>3</v>
      </c>
      <c r="LZ10">
        <f>SUMPRODUCT(--('Данные 2st'!$Q$2:$Q$317=$A10),--ISNUMBER('Данные 2st'!$ES$2:$ES$317))</f>
        <v>3</v>
      </c>
      <c r="MA10">
        <f>SUMPRODUCT(--('Данные 2st'!$Q$2:$Q$317=$A10),--ISNUMBER('Данные 2st'!$ET$2:$ET$317))</f>
        <v>3</v>
      </c>
      <c r="MB10">
        <f>SUMPRODUCT(--('Данные 2st'!$Q$2:$Q$317=$A10),--ISNUMBER('Данные 2st'!$EU$2:$EU$317))</f>
        <v>3</v>
      </c>
      <c r="MC10">
        <f>SUMPRODUCT(--('Данные 2st'!$Q$2:$Q$317=$A10),--ISNUMBER('Данные 2st'!$EV$2:$EV$317))</f>
        <v>3</v>
      </c>
      <c r="MD10">
        <f>SUMPRODUCT(--('Данные 2st'!$Q$2:$Q$317=$A10),--ISNUMBER('Данные 2st'!$EW$2:$EW$317))</f>
        <v>3</v>
      </c>
      <c r="ME10">
        <f>SUMPRODUCT(--('Данные 2st'!$Q$2:$Q$317=$A10),--ISNUMBER('Данные 2st'!$EY$2:$EY$317))</f>
        <v>3</v>
      </c>
      <c r="MF10">
        <f>SUMPRODUCT(--('Данные 2st'!$Q$2:$Q$317=$A10),--ISNUMBER('Данные 2st'!$FA$2:$FA$317))</f>
        <v>3</v>
      </c>
      <c r="MG10">
        <f>SUMPRODUCT(--('Данные 2st'!$Q$2:$Q$317=$A10),--ISNUMBER('Данные 2st'!$FB$2:$FB$317))</f>
        <v>3</v>
      </c>
      <c r="MH10">
        <f>SUMPRODUCT(--('Данные 2st'!$Q$2:$Q$317=$A10),--ISNUMBER('Данные 2st'!$FC$2:$FC$317))</f>
        <v>3</v>
      </c>
      <c r="MI10">
        <f>SUMPRODUCT(--('Данные 2st'!$Q$2:$Q$317=$A10),--ISNUMBER('Данные 2st'!$FD$2:$FD$317))</f>
        <v>3</v>
      </c>
      <c r="MJ10">
        <f>SUMPRODUCT(--('Данные 2st'!$Q$2:$Q$317=$A10),--ISNUMBER('Данные 2st'!$FE$2:$FE$317))</f>
        <v>3</v>
      </c>
      <c r="MK10">
        <f>SUMPRODUCT(--('Данные 2st'!$Q$2:$Q$317=$A10),--ISNUMBER('Данные 2st'!$FG$2:$FG$317))</f>
        <v>3</v>
      </c>
      <c r="ML10">
        <f>SUMPRODUCT(--('Данные 2st'!$Q$2:$Q$317=$A10),--ISNUMBER('Данные 2st'!$FI$2:$FI$317))</f>
        <v>3</v>
      </c>
      <c r="MM10">
        <f>SUMPRODUCT(--('Данные 2st'!$Q$2:$Q$317=$A10),--ISNUMBER('Данные 2st'!$FJ$2:$FJ$317))</f>
        <v>3</v>
      </c>
      <c r="MN10">
        <f>SUMPRODUCT(--('Данные 2st'!$Q$2:$Q$317=$A10),--ISNUMBER('Данные 2st'!$FK$2:$FK$317))</f>
        <v>3</v>
      </c>
      <c r="MO10">
        <f>SUMPRODUCT(--('Данные 2st'!$Q$2:$Q$317=$A10),--ISNUMBER('Данные 2st'!$FP$2:$FP$317))</f>
        <v>3</v>
      </c>
      <c r="MP10">
        <f>SUMPRODUCT(--('Данные 2st'!$Q$2:$Q$317=$A10),--ISNUMBER('Данные 2st'!$FQ$2:$FQ$317))</f>
        <v>3</v>
      </c>
      <c r="MQ10">
        <f>SUMPRODUCT(--('Данные 2st'!$Q$2:$Q$317=$A10),--ISNUMBER('Данные 2st'!$FS$2:$FS$317))</f>
        <v>3</v>
      </c>
      <c r="MR10">
        <f>SUMPRODUCT(--('Данные 2st'!$Q$2:$Q$317=$A10),--ISNUMBER('Данные 2st'!$FU$2:$FU$317))</f>
        <v>3</v>
      </c>
      <c r="MS10">
        <f>SUMPRODUCT(--('Данные 2st'!$Q$2:$Q$317=$A10),--ISNUMBER('Данные 2st'!$FV$2:$FV$317))</f>
        <v>3</v>
      </c>
      <c r="MT10">
        <f>SUMPRODUCT(--('Данные 2st'!$Q$2:$Q$317=$A10),--ISNUMBER('Данные 2st'!$FW$2:$FW$317))</f>
        <v>3</v>
      </c>
      <c r="MU10">
        <f>SUMPRODUCT(--('Данные 2st'!$Q$2:$Q$317=$A10),--ISNUMBER('Данные 2st'!$FY$2:$FY$317))</f>
        <v>2</v>
      </c>
      <c r="MV10">
        <f>SUMPRODUCT(--('Данные 2st'!$Q$2:$Q$317=$A10),--ISNUMBER('Данные 2st'!$GB$2:$GB$317))</f>
        <v>2</v>
      </c>
      <c r="MW10">
        <f>SUMPRODUCT(--('Данные 2st'!$Q$2:$Q$317=$A10),--ISNUMBER('Данные 2st'!$GC$2:$GC$317))</f>
        <v>2</v>
      </c>
      <c r="MX10">
        <f>SUMPRODUCT(--('Данные 2st'!$Q$2:$Q$317=$A10),--ISNUMBER('Данные 2st'!$GD$2:$GD$317))</f>
        <v>3</v>
      </c>
      <c r="MY10">
        <f>SUMPRODUCT(--('Данные 2st'!$Q$2:$Q$317=$A10),--ISNUMBER('Данные 2st'!$GN$2:$GN$317))</f>
        <v>0</v>
      </c>
      <c r="MZ10">
        <f>SUMPRODUCT(--('Данные 2st'!$Q$2:$Q$317=$A10),--ISNUMBER('Данные 2st'!$GQ$2:$GQ$317))</f>
        <v>3</v>
      </c>
      <c r="NA10">
        <f>SUMPRODUCT(--('Данные 2st'!$Q$2:$Q$317=$A10),--ISNUMBER('Данные 2st'!$GV$2:$GV$317))</f>
        <v>3</v>
      </c>
      <c r="NB10">
        <f>SUMPRODUCT(--('Данные 2st'!$Q$2:$Q$317=$A10),--ISNUMBER('Данные 2st'!$GW$2:$GW$317))</f>
        <v>3</v>
      </c>
      <c r="NC10">
        <f>SUMPRODUCT(--('Данные 2st'!$Q$2:$Q$317=$A10),--ISNUMBER('Данные 2st'!$GX$2:$GX$317))</f>
        <v>3</v>
      </c>
      <c r="ND10">
        <f>SUMPRODUCT(--('Данные 2st'!$Q$2:$Q$317=$A10),--ISNUMBER('Данные 2st'!$GY$2:$GY$317))</f>
        <v>3</v>
      </c>
      <c r="NE10">
        <f>SUMPRODUCT(--('Данные 2st'!$Q$2:$Q$317=$A10),--ISNUMBER('Данные 2st'!$GZ$2:$GZ$317))</f>
        <v>3</v>
      </c>
      <c r="NF10">
        <f>SUMPRODUCT(--('Данные 2st'!$Q$2:$Q$317=$A10),--ISNUMBER('Данные 2st'!$HA$2:$HA$317))</f>
        <v>3</v>
      </c>
      <c r="NG10">
        <f>SUMPRODUCT(--('Данные 2st'!$Q$2:$Q$317=$A10),--ISNUMBER('Данные 2st'!$HB$2:$HB$317))</f>
        <v>3</v>
      </c>
      <c r="NH10">
        <f>SUMPRODUCT(--('Данные 2st'!$Q$2:$Q$317=$A10),--ISNUMBER('Данные 2st'!$HC$2:$HC$317))</f>
        <v>3</v>
      </c>
      <c r="NI10">
        <f>SUMPRODUCT(--('Данные 2st'!$Q$2:$Q$317=$A10),--ISNUMBER('Данные 2st'!$HD$2:$HD$317))</f>
        <v>3</v>
      </c>
      <c r="NJ10">
        <f>SUMPRODUCT(--('Данные 2st'!$Q$2:$Q$317=$A10),--ISNUMBER('Данные 2st'!$HM$2:$HM$317))</f>
        <v>3</v>
      </c>
      <c r="NK10">
        <f>SUMPRODUCT(--('Данные 2st'!$Q$2:$Q$317=$A10),--ISNUMBER('Данные 2st'!$HR$2:$HR$317))</f>
        <v>3</v>
      </c>
      <c r="NL10">
        <f>SUMPRODUCT(--('Данные 2st'!$Q$2:$Q$317=$A10),--ISNUMBER('Данные 2st'!$HS$2:$HS$317))</f>
        <v>3</v>
      </c>
      <c r="NM10">
        <f>SUMPRODUCT(--('Данные 2st'!$Q$2:$Q$317=$A10),--ISNUMBER('Данные 2st'!$HT$2:$HT$317))</f>
        <v>3</v>
      </c>
      <c r="NN10">
        <f>SUMPRODUCT(--('Данные 2st'!$Q$2:$Q$317=$A10),--ISNUMBER('Данные 2st'!$HY$2:$HY$317))</f>
        <v>3</v>
      </c>
      <c r="NO10">
        <f>SUMPRODUCT(--('Данные 2st'!$Q$2:$Q$317=$A10),--ISNUMBER('Данные 2st'!$HZ$2:$HZ$317))</f>
        <v>3</v>
      </c>
      <c r="NP10">
        <f>SUMPRODUCT(--('Данные 2st'!$Q$2:$Q$317=$A10),--ISNUMBER('Данные 2st'!$IA$2:$IA$317))</f>
        <v>3</v>
      </c>
      <c r="NQ10">
        <f>SUMPRODUCT(--('Данные 2st'!$Q$2:$Q$317=$A10),--ISNUMBER('Данные 2st'!$IB$2:$IB$317))</f>
        <v>3</v>
      </c>
      <c r="NR10">
        <f>SUMPRODUCT(--('Данные 2st'!$Q$2:$Q$317=$A10),--ISNUMBER('Данные 2st'!$IC$2:$IC$317))</f>
        <v>0</v>
      </c>
      <c r="NS10">
        <f>SUMPRODUCT(--('Данные 2st'!$Q$2:$Q$317=$A10),--ISNUMBER('Данные 2st'!$ID$2:$ID$317))</f>
        <v>3</v>
      </c>
      <c r="NT10">
        <f>SUMPRODUCT(--('Данные 2st'!$Q$2:$Q$317=$A10),--ISNUMBER('Данные 2st'!$IE$2:$IE$317))</f>
        <v>3</v>
      </c>
      <c r="NU10">
        <f>SUMPRODUCT(--('Данные 2st'!$Q$2:$Q$317=$A10),--ISNUMBER('Данные 2st'!$IF$2:$IF$317))</f>
        <v>3</v>
      </c>
      <c r="NV10">
        <f>SUMPRODUCT(--('Данные 2st'!$Q$2:$Q$317=$A10),--ISNUMBER('Данные 2st'!$IG$2:$IG$317))</f>
        <v>3</v>
      </c>
      <c r="NW10">
        <f>SUMPRODUCT(--('Данные 2st'!$Q$2:$Q$317=$A10),--ISNUMBER('Данные 2st'!$IH$2:$IH$317))</f>
        <v>3</v>
      </c>
      <c r="NX10">
        <f>SUMPRODUCT(--('Данные 2st'!$Q$2:$Q$317=$A10),--ISNUMBER('Данные 2st'!$IJ$2:$IJ$317))</f>
        <v>3</v>
      </c>
      <c r="NY10">
        <f>SUMPRODUCT(--('Данные 2st'!$Q$2:$Q$317=$A10),--ISNUMBER('Данные 2st'!$IM$2:$IM$317))</f>
        <v>3</v>
      </c>
      <c r="NZ10">
        <f>SUMPRODUCT(--('Данные 2st'!$Q$2:$Q$317=$A10),--ISNUMBER('Данные 2st'!$IN$2:$IN$317))</f>
        <v>3</v>
      </c>
      <c r="OA10">
        <f>SUMPRODUCT(--('Данные 2st'!$Q$2:$Q$317=$A10),--ISNUMBER('Данные 2st'!$IO$2:$IO$317))</f>
        <v>3</v>
      </c>
      <c r="OB10">
        <f>SUMPRODUCT(--('Данные 2st'!$Q$2:$Q$317=$A10),--ISNUMBER('Данные 2st'!$IP$2:$IP$317))</f>
        <v>3</v>
      </c>
      <c r="OC10">
        <f>SUMPRODUCT(--('Данные 2st'!$Q$2:$Q$317=$A10),--ISNUMBER('Данные 2st'!$IQ$2:$IQ$317))</f>
        <v>3</v>
      </c>
      <c r="OD10">
        <f>SUMPRODUCT(--('Данные 2st'!$Q$2:$Q$317=$A10),--ISNUMBER('Данные 2st'!$IR$2:$IR$317))</f>
        <v>3</v>
      </c>
      <c r="OE10">
        <f>SUMPRODUCT(--('Данные 2st'!$Q$2:$Q$317=$A10),--ISNUMBER('Данные 2st'!$IT$2:$IT$317))</f>
        <v>3</v>
      </c>
      <c r="OF10">
        <f>SUMPRODUCT(--('Данные 2st'!$Q$2:$Q$317=$A10),--ISNUMBER('Данные 2st'!$IU$2:$IU$317))</f>
        <v>3</v>
      </c>
      <c r="OG10">
        <f>SUMPRODUCT(--('Данные 2st'!$Q$2:$Q$317=$A10),--ISNUMBER('Данные 2st'!$IV$2:$IV$317))</f>
        <v>3</v>
      </c>
      <c r="OH10">
        <f>SUMPRODUCT(--('Данные 2st'!$Q$2:$Q$317=$A10),--ISNUMBER('Данные 2st'!$IW$2:$IW$317))</f>
        <v>3</v>
      </c>
      <c r="OI10">
        <f>SUMPRODUCT(--('Данные 2st'!$Q$2:$Q$317=$A10),--ISNUMBER('Данные 2st'!$IX$2:$IX$317))</f>
        <v>3</v>
      </c>
      <c r="OJ10">
        <f>SUMPRODUCT(--('Данные 2st'!$Q$2:$Q$317=$A10),--ISNUMBER('Данные 2st'!$IY$2:$IY$317))</f>
        <v>3</v>
      </c>
      <c r="OK10">
        <f>SUMPRODUCT(--('Данные 2st'!$Q$2:$Q$317=$A10),--ISNUMBER('Данные 2st'!$IZ$2:$IZ$317))</f>
        <v>3</v>
      </c>
      <c r="OL10">
        <f>SUMPRODUCT(--('Данные 2st'!$Q$2:$Q$317=$A10),--ISNUMBER('Данные 2st'!$JA$2:$JA$317))</f>
        <v>3</v>
      </c>
      <c r="OM10">
        <f>SUMPRODUCT(--('Данные 2st'!$Q$2:$Q$317=$A10),--ISNUMBER('Данные 2st'!$JB$2:$JB$317))</f>
        <v>3</v>
      </c>
      <c r="ON10">
        <f>SUMPRODUCT(--('Данные 2st'!$Q$2:$Q$317=$A10),--ISNUMBER('Данные 2st'!$JC$2:$JC$317))</f>
        <v>3</v>
      </c>
      <c r="OO10">
        <f>SUMPRODUCT(--('Данные 2st'!$Q$2:$Q$317=$A10),--ISNUMBER('Данные 2st'!$JD$2:$JD$317))</f>
        <v>3</v>
      </c>
      <c r="OP10">
        <f>SUMPRODUCT(--('Данные 2st'!$Q$2:$Q$317=$A10),--ISNUMBER('Данные 2st'!$JE$2:$JE$317))</f>
        <v>3</v>
      </c>
      <c r="OQ10">
        <f>SUMPRODUCT(--('Данные 2st'!$Q$2:$Q$317=$A10),--ISNUMBER('Данные 2st'!$JF$2:$JF$317))</f>
        <v>3</v>
      </c>
      <c r="OR10">
        <f>SUMPRODUCT(--('Данные 2st'!$Q$2:$Q$317=$A10),--ISNUMBER('Данные 2st'!$JG$2:$JG$317))</f>
        <v>3</v>
      </c>
      <c r="OS10">
        <f>SUMPRODUCT(--('Данные 2st'!$Q$2:$Q$317=$A10),--ISNUMBER('Данные 2st'!$JH$2:$JH$317))</f>
        <v>3</v>
      </c>
      <c r="OT10">
        <f>SUMPRODUCT(--('Данные 2st'!$Q$2:$Q$317=$A10),--ISNUMBER('Данные 2st'!$JI$2:$JI$317))</f>
        <v>3</v>
      </c>
      <c r="OU10">
        <f>SUMPRODUCT(--('Данные 2st'!$Q$2:$Q$317=$A10),--ISNUMBER('Данные 2st'!$JJ$2:$JJ$317))</f>
        <v>3</v>
      </c>
      <c r="OV10">
        <f>SUMPRODUCT(--('Данные 2st'!$Q$2:$Q$317=$A10),--ISNUMBER('Данные 2st'!$JK$2:$JK$317))</f>
        <v>3</v>
      </c>
      <c r="OW10">
        <f>SUMPRODUCT(--('Данные 2st'!$Q$2:$Q$317=$A10),--ISNUMBER('Данные 2st'!$JL$2:$JL$317))</f>
        <v>3</v>
      </c>
      <c r="OX10">
        <f>SUMPRODUCT(--('Данные 2st'!$Q$2:$Q$317=$A10),--ISNUMBER('Данные 2st'!$JM$2:$JM$317))</f>
        <v>3</v>
      </c>
      <c r="OY10">
        <f>SUMPRODUCT(--('Данные 2st'!$Q$2:$Q$317=$A10),--ISNUMBER('Данные 2st'!$JP$2:$JP$317))</f>
        <v>3</v>
      </c>
      <c r="OZ10">
        <f>SUMPRODUCT(--('Данные 2st'!$Q$2:$Q$317=$A10),--ISNUMBER('Данные 2st'!$JQ$2:$JQ$317))</f>
        <v>3</v>
      </c>
      <c r="PA10">
        <f>SUMPRODUCT(--('Данные 2st'!$Q$2:$Q$317=$A10),--ISNUMBER('Данные 2st'!$JR$2:$JR$317))</f>
        <v>3</v>
      </c>
      <c r="PB10">
        <f>SUMPRODUCT(--('Данные 2st'!$Q$2:$Q$317=$A10),--ISNUMBER('Данные 2st'!$JS$2:$JS$317))</f>
        <v>3</v>
      </c>
      <c r="PC10">
        <f>SUMPRODUCT(--('Данные 2st'!$Q$2:$Q$317=$A10),--ISNUMBER('Данные 2st'!$JT$2:$JT$317))</f>
        <v>3</v>
      </c>
      <c r="PD10">
        <f>SUMPRODUCT(--('Данные 2st'!$Q$2:$Q$317=$A10),--ISNUMBER('Данные 2st'!$JU$2:$JU$317))</f>
        <v>3</v>
      </c>
      <c r="PE10">
        <f>SUMPRODUCT(--('Данные 2st'!$Q$2:$Q$317=$A10),--ISNUMBER('Данные 2st'!$JV$2:$JV$317))</f>
        <v>3</v>
      </c>
      <c r="PF10">
        <f>SUMPRODUCT(--('Данные 2st'!$Q$2:$Q$317=$A10),--ISNUMBER('Данные 2st'!$JW$2:$JW$317))</f>
        <v>3</v>
      </c>
      <c r="PG10">
        <f>SUMPRODUCT(--('Данные 2st'!$Q$2:$Q$317=$A10),--ISNUMBER('Данные 2st'!$KF$2:$KF$317))</f>
        <v>3</v>
      </c>
      <c r="PH10">
        <f>SUMPRODUCT(--('Данные 2st'!$Q$2:$Q$317=$A10),--ISNUMBER('Данные 2st'!$KG$2:$KG$317))</f>
        <v>3</v>
      </c>
      <c r="PI10">
        <f>SUMPRODUCT(--('Данные 2st'!$Q$2:$Q$317=$A10),--ISNUMBER('Данные 2st'!$KM$2:$KM$317))</f>
        <v>3</v>
      </c>
      <c r="PJ10">
        <f>SUMPRODUCT(--('Данные 2st'!$Q$2:$Q$317=$A10),--ISNUMBER('Данные 2st'!$KN$2:$KN$317))</f>
        <v>3</v>
      </c>
      <c r="PK10">
        <f>SUMPRODUCT(--('Данные 2st'!$Q$2:$Q$317=$A10),--ISNUMBER('Данные 2st'!$KO$2:$KO$317))</f>
        <v>3</v>
      </c>
      <c r="PL10">
        <f>SUMPRODUCT(--('Данные 2st'!$Q$2:$Q$317=$A10),--ISNUMBER('Данные 2st'!$KP$2:$KP$317))</f>
        <v>3</v>
      </c>
      <c r="PM10">
        <f>SUMPRODUCT(--('Данные 2st'!$Q$2:$Q$317=$A10),--ISNUMBER('Данные 2st'!$KQ$2:$KQ$317))</f>
        <v>3</v>
      </c>
      <c r="PN10">
        <f>SUMPRODUCT(--('Данные 2st'!$Q$2:$Q$317=$A10),--ISNUMBER('Данные 2st'!$KR$2:$KR$317))</f>
        <v>3</v>
      </c>
      <c r="PO10">
        <f>SUMPRODUCT(--('Данные 2st'!$Q$2:$Q$317=$A10),--ISNUMBER('Данные 2st'!$KS$2:$KS$317))</f>
        <v>3</v>
      </c>
      <c r="PP10">
        <f>SUMPRODUCT(--('Данные 2st'!$Q$2:$Q$317=$A10),--ISNUMBER('Данные 2st'!$KT$2:$KT$317))</f>
        <v>3</v>
      </c>
      <c r="PQ10">
        <f>SUMPRODUCT(--('Данные 2st'!$Q$2:$Q$317=$A10),--ISNUMBER('Данные 2st'!$KU$2:$KU$317))</f>
        <v>3</v>
      </c>
      <c r="PR10">
        <f>SUMPRODUCT(--('Данные 2st'!$Q$2:$Q$317=$A10),--ISNUMBER('Данные 2st'!$KV$2:$KV$317))</f>
        <v>3</v>
      </c>
      <c r="PS10">
        <f>SUMPRODUCT(--('Данные 2st'!$Q$2:$Q$317=$A10),--ISNUMBER('Данные 2st'!$KW$2:$KW$317))</f>
        <v>3</v>
      </c>
      <c r="PT10">
        <f>SUMPRODUCT(--('Данные 2st'!$Q$2:$Q$317=$A10),--ISNUMBER('Данные 2st'!$KX$2:$KX$317))</f>
        <v>3</v>
      </c>
      <c r="PU10">
        <f>SUMPRODUCT(--('Данные 2st'!$Q$2:$Q$317=$A10),--ISNUMBER('Данные 2st'!$KY$2:$KY$317))</f>
        <v>3</v>
      </c>
      <c r="PV10">
        <f>SUMPRODUCT(--('Данные 2st'!$Q$2:$Q$317=$A10),--ISNUMBER('Данные 2st'!$KZ$2:$KZ$317))</f>
        <v>3</v>
      </c>
      <c r="PW10">
        <f>SUMPRODUCT(--('Данные 2st'!$Q$2:$Q$317=$A10),--ISNUMBER('Данные 2st'!$LA$2:$LA$317))</f>
        <v>3</v>
      </c>
      <c r="PX10">
        <f>SUMPRODUCT(--('Данные 2st'!$Q$2:$Q$317=$A10),--ISNUMBER('Данные 2st'!$LB$2:$LB$317))</f>
        <v>3</v>
      </c>
      <c r="PY10">
        <f>SUMPRODUCT(--('Данные 2st'!$Q$2:$Q$317=$A10),--ISNUMBER('Данные 2st'!$LC$2:$LC$317))</f>
        <v>3</v>
      </c>
      <c r="PZ10">
        <f>SUMPRODUCT(--('Данные 2st'!$Q$2:$Q$317=$A10),--ISNUMBER('Данные 2st'!$LD$2:$LD$317))</f>
        <v>3</v>
      </c>
      <c r="QA10">
        <f>SUMPRODUCT(--('Данные 2st'!$Q$2:$Q$317=$A10),--ISNUMBER('Данные 2st'!$LE$2:$LE$317))</f>
        <v>3</v>
      </c>
      <c r="QB10">
        <f>SUMPRODUCT(--('Данные 2st'!$Q$2:$Q$317=$A10),--ISNUMBER('Данные 2st'!$LF$2:$LF$317))</f>
        <v>3</v>
      </c>
      <c r="QC10">
        <f>SUMPRODUCT(--('Данные 2st'!$Q$2:$Q$317=$A10),--ISNUMBER('Данные 2st'!$LG$2:$LG$317))</f>
        <v>3</v>
      </c>
      <c r="QD10">
        <f>SUMPRODUCT(--('Данные 2st'!$Q$2:$Q$317=$A10),--ISNUMBER('Данные 2st'!$LH$2:$LH$317))</f>
        <v>3</v>
      </c>
      <c r="QE10">
        <f>SUMPRODUCT(--('Данные 2st'!$Q$2:$Q$317=$A10),--ISNUMBER('Данные 2st'!$LJ$2:$LJ$317))</f>
        <v>3</v>
      </c>
      <c r="QF10">
        <f>SUMPRODUCT(--('Данные 2st'!$Q$2:$Q$317=$A10),--ISNUMBER('Данные 2st'!$LK$2:$LK$317))</f>
        <v>3</v>
      </c>
      <c r="QG10">
        <f>SUMPRODUCT(--('Данные 2st'!$Q$2:$Q$317=$A10),--ISNUMBER('Данные 2st'!$LL$2:$LL$317))</f>
        <v>3</v>
      </c>
      <c r="QH10">
        <f>SUMPRODUCT(--('Данные 2st'!$Q$2:$Q$317=$A10),--ISNUMBER('Данные 2st'!$LM$2:$LM$317))</f>
        <v>3</v>
      </c>
      <c r="QI10">
        <f>SUMPRODUCT(--('Данные 2st'!$Q$2:$Q$317=$A10),--ISNUMBER('Данные 2st'!$LN$2:$LN$317))</f>
        <v>3</v>
      </c>
      <c r="QJ10">
        <f>SUMPRODUCT(--('Данные 2st'!$Q$2:$Q$317=$A10),--ISNUMBER('Данные 2st'!$LO$2:$LO$317))</f>
        <v>3</v>
      </c>
      <c r="QK10">
        <f>SUMPRODUCT(--('Данные 2st'!$Q$2:$Q$317=$A10),--ISNUMBER('Данные 2st'!$LP$2:$LP$317))</f>
        <v>3</v>
      </c>
      <c r="QL10">
        <f>SUMPRODUCT(--('Данные 2st'!$Q$2:$Q$317=$A10),--ISNUMBER('Данные 2st'!$LQ$2:$LQ$317))</f>
        <v>3</v>
      </c>
      <c r="QM10">
        <f>SUMPRODUCT(--('Данные 2st'!$Q$2:$Q$317=$A10),--ISNUMBER('Данные 2st'!$LW$2:$LW$317))</f>
        <v>3</v>
      </c>
      <c r="QN10">
        <f>SUMPRODUCT(--('Данные 2st'!$Q$2:$Q$317=$A10),--ISNUMBER('Данные 2st'!$LX$2:$LX$317))</f>
        <v>3</v>
      </c>
      <c r="QO10">
        <f>SUMPRODUCT(--('Данные 2st'!$Q$2:$Q$317=$A10),--ISNUMBER('Данные 2st'!$LY$2:$LY$317))</f>
        <v>3</v>
      </c>
      <c r="QP10">
        <f>SUMPRODUCT(--('Данные 2st'!$Q$2:$Q$317=$A10),--ISNUMBER('Данные 2st'!$LZ$2:$LZ$317))</f>
        <v>3</v>
      </c>
      <c r="QQ10">
        <f>SUMPRODUCT(--('Данные 2st'!$Q$2:$Q$317=$A10),--ISNUMBER('Данные 2st'!$MB$2:$MB$317))</f>
        <v>3</v>
      </c>
      <c r="QR10">
        <f>SUMPRODUCT(--('Данные 2st'!$Q$2:$Q$317=$A10),--ISNUMBER('Данные 2st'!$MG$2:$MG$317))</f>
        <v>1</v>
      </c>
      <c r="QS10">
        <f>SUMPRODUCT(--('Данные 2st'!$Q$2:$Q$317=$A10),--ISNUMBER('Данные 2st'!$MH$2:$MH$317))</f>
        <v>1</v>
      </c>
      <c r="QT10">
        <f>SUMPRODUCT(--('Данные 2st'!$Q$2:$Q$317=$A10),--ISNUMBER('Данные 2st'!$MI$2:$MI$317))</f>
        <v>3</v>
      </c>
      <c r="QU10">
        <f>SUMPRODUCT(--('Данные 2st'!$Q$2:$Q$317=$A10),--ISNUMBER('Данные 2st'!$MJ$2:$MJ$317))</f>
        <v>3</v>
      </c>
      <c r="QV10">
        <f>SUMPRODUCT(--('Данные 2st'!$Q$2:$Q$317=$A10),--ISNUMBER('Данные 2st'!$MK$2:$MK$317))</f>
        <v>1</v>
      </c>
      <c r="QW10">
        <f>SUMPRODUCT(--('Данные 2st'!$Q$2:$Q$317=$A10),--ISNUMBER('Данные 2st'!$MM$2:$MM$317))</f>
        <v>3</v>
      </c>
      <c r="QX10">
        <f>SUMPRODUCT(--('Данные 2st'!$Q$2:$Q$317=$A10),--ISNUMBER('Данные 2st'!$MQ$2:$MQ$317))</f>
        <v>0</v>
      </c>
      <c r="QY10">
        <f>SUMPRODUCT(--('Данные 2st'!$Q$2:$Q$317=$A10),--ISNUMBER('Данные 2st'!$MR$2:$MR$317))</f>
        <v>0</v>
      </c>
      <c r="QZ10">
        <f>SUMPRODUCT(--('Данные 2st'!$Q$2:$Q$317=$A10),--ISNUMBER('Данные 2st'!$MS$2:$MS$317))</f>
        <v>0</v>
      </c>
      <c r="RA10">
        <f>SUMPRODUCT(--('Данные 2st'!$Q$2:$Q$317=$A10),--ISNUMBER('Данные 2st'!$MT$2:$MT$317))</f>
        <v>0</v>
      </c>
      <c r="RB10">
        <f>SUMPRODUCT(--('Данные 2st'!$Q$2:$Q$317=$A10),--ISNUMBER('Данные 2st'!$MU$2:$MU$317))</f>
        <v>0</v>
      </c>
      <c r="RC10">
        <f>SUMPRODUCT(--('Данные 2st'!$Q$2:$Q$317=$A10),--ISNUMBER('Данные 2st'!$MV$2:$MV$317))</f>
        <v>0</v>
      </c>
      <c r="RD10">
        <f>SUMPRODUCT(--('Данные 2st'!$Q$2:$Q$317=$A10),--ISNUMBER('Данные 2st'!$MW$2:$MW$317))</f>
        <v>0</v>
      </c>
      <c r="RE10">
        <f>SUMPRODUCT(--('Данные 2st'!$Q$2:$Q$317=$A10),--ISNUMBER('Данные 2st'!$MX$2:$MX$317))</f>
        <v>0</v>
      </c>
      <c r="RF10">
        <f>SUMPRODUCT(--('Данные 2st'!$Q$2:$Q$317=$A10),--ISNUMBER('Данные 2st'!$MY$2:$MY$317))</f>
        <v>0</v>
      </c>
      <c r="RG10">
        <f>SUMPRODUCT(--('Данные 2st'!$Q$2:$Q$317=$A10),--ISNUMBER('Данные 2st'!$MZ$2:$MZ$317))</f>
        <v>0</v>
      </c>
      <c r="RH10">
        <f>SUMPRODUCT(--('Данные 2st'!$Q$2:$Q$317=$A10),--ISNUMBER('Данные 2st'!$NA$2:$NA$317))</f>
        <v>0</v>
      </c>
      <c r="RI10">
        <f>SUMPRODUCT(--('Данные 2st'!$Q$2:$Q$317=$A10),--ISNUMBER('Данные 2st'!$NB$2:$NB$317))</f>
        <v>0</v>
      </c>
      <c r="RJ10">
        <f>SUMPRODUCT(--('Данные 2st'!$Q$2:$Q$317=$A10),--ISNUMBER('Данные 2st'!$NC$2:$NC$317))</f>
        <v>0</v>
      </c>
      <c r="RK10">
        <f>SUMPRODUCT(--('Данные 2st'!$Q$2:$Q$317=$A10),--ISNUMBER('Данные 2st'!$ND$2:$ND$317))</f>
        <v>0</v>
      </c>
      <c r="RL10">
        <f>SUMPRODUCT(--('Данные 2st'!$Q$2:$Q$317=$A10),--ISNUMBER('Данные 2st'!$NE$2:$NE$317))</f>
        <v>0</v>
      </c>
      <c r="RM10">
        <f>SUMPRODUCT(--('Данные 2st'!$Q$2:$Q$317=$A10),--ISNUMBER('Данные 2st'!$NF$2:$NF$317))</f>
        <v>0</v>
      </c>
      <c r="RN10">
        <f>SUMPRODUCT(--('Данные 2st'!$Q$2:$Q$317=$A10),--ISNUMBER('Данные 2st'!$NG$2:$NG$317))</f>
        <v>0</v>
      </c>
      <c r="RO10">
        <f>SUMPRODUCT(--('Данные 2st'!$Q$2:$Q$317=$A10),--ISNUMBER('Данные 2st'!$NH$2:$NH$317))</f>
        <v>0</v>
      </c>
      <c r="RP10">
        <f>SUMPRODUCT(--('Данные 2st'!$Q$2:$Q$317=$A10),--ISNUMBER('Данные 2st'!$NJ$2:$NJ$317))</f>
        <v>0</v>
      </c>
      <c r="RQ10">
        <f>SUMPRODUCT(--('Данные 2st'!$Q$2:$Q$317=$A10),--ISNUMBER('Данные 2st'!$NK$2:$NK$317))</f>
        <v>0</v>
      </c>
      <c r="RR10">
        <f>SUMPRODUCT(--('Данные 2st'!$Q$2:$Q$317=$A10),--ISNUMBER('Данные 2st'!$NM$2:$NM$317))</f>
        <v>0</v>
      </c>
      <c r="RS10">
        <f>SUMPRODUCT(--('Данные 2st'!$Q$2:$Q$317=$A10),--ISNUMBER('Данные 2st'!$NN$2:$NN$317))</f>
        <v>0</v>
      </c>
      <c r="RT10">
        <f>SUMPRODUCT(--('Данные 2st'!$Q$2:$Q$317=$A10),--ISNUMBER('Данные 2st'!$NO$2:$NO$317))</f>
        <v>0</v>
      </c>
      <c r="RU10">
        <f>SUMPRODUCT(--('Данные 2st'!$Q$2:$Q$317=$A10),--ISNUMBER('Данные 2st'!$NP$2:$NP$317))</f>
        <v>0</v>
      </c>
      <c r="RV10">
        <f>SUMPRODUCT(--('Данные 2st'!$Q$2:$Q$317=$A10),--ISNUMBER('Данные 2st'!$NQ$2:$NQ$317))</f>
        <v>0</v>
      </c>
      <c r="RW10">
        <f>SUMPRODUCT(--('Данные 2st'!$Q$2:$Q$317=$A10),--ISNUMBER('Данные 2st'!$NR$2:$NR$317))</f>
        <v>0</v>
      </c>
      <c r="RX10">
        <f>SUMPRODUCT(--('Данные 2st'!$Q$2:$Q$317=$A10),--ISNUMBER('Данные 2st'!$NS$2:$NS$317))</f>
        <v>0</v>
      </c>
      <c r="RY10">
        <f>SUMPRODUCT(--('Данные 2st'!$Q$2:$Q$317=$A10),--ISNUMBER('Данные 2st'!$NT$2:$NT$317))</f>
        <v>0</v>
      </c>
      <c r="RZ10">
        <f>SUMPRODUCT(--('Данные 2st'!$Q$2:$Q$317=$A10),--ISNUMBER('Данные 2st'!$OK$2:$OK$317))</f>
        <v>3</v>
      </c>
      <c r="SA10">
        <f>SUMPRODUCT(--('Данные 2st'!$Q$2:$Q$317=$A10),--ISNUMBER('Данные 2st'!$OL$2:$OL$317))</f>
        <v>3</v>
      </c>
      <c r="SB10">
        <f>SUMPRODUCT(--('Данные 2st'!$Q$2:$Q$317=$A10),--ISNUMBER('Данные 2st'!$ON$2:$ON$317))</f>
        <v>3</v>
      </c>
      <c r="SC10">
        <f>SUMPRODUCT(--('Данные 2st'!$Q$2:$Q$317=$A10),--ISNUMBER('Данные 2st'!$OO$2:$OO$317))</f>
        <v>3</v>
      </c>
      <c r="SD10">
        <f>SUMPRODUCT(--('Данные 2st'!$Q$2:$Q$317=$A10),--ISNUMBER('Данные 2st'!$OP$2:$OP$317))</f>
        <v>3</v>
      </c>
      <c r="SE10">
        <f>SUMPRODUCT(--('Данные 2st'!$Q$2:$Q$317=$A10),--ISNUMBER('Данные 2st'!$OQ$2:$OQ$317))</f>
        <v>3</v>
      </c>
      <c r="SF10">
        <f>SUMPRODUCT(--('Данные 2st'!$Q$2:$Q$317=$A10),--ISNUMBER('Данные 2st'!$OS$2:$OS$317))</f>
        <v>3</v>
      </c>
      <c r="SG10">
        <f>SUMPRODUCT(--('Данные 2st'!$Q$2:$Q$317=$A10),--ISNUMBER('Данные 2st'!$OT$2:$OT$317))</f>
        <v>3</v>
      </c>
      <c r="SH10">
        <f>SUMPRODUCT(--('Данные 2st'!$Q$2:$Q$317=$A10),--ISNUMBER('Данные 2st'!$OU$2:$OU$317))</f>
        <v>3</v>
      </c>
      <c r="SI10">
        <f>SUMPRODUCT(--('Данные 2st'!$Q$2:$Q$317=$A10),--ISNUMBER('Данные 2st'!$OV$2:$OV$317))</f>
        <v>3</v>
      </c>
      <c r="SJ10">
        <f>SUMPRODUCT(--('Данные 2st'!$Q$2:$Q$317=$A10),--ISNUMBER('Данные 2st'!$OX$2:$OX$317))</f>
        <v>3</v>
      </c>
      <c r="SK10">
        <f>SUMPRODUCT(--('Данные 2st'!$Q$2:$Q$317=$A10),--ISNUMBER('Данные 2st'!$OY$2:$OY$317))</f>
        <v>3</v>
      </c>
      <c r="SL10">
        <f>SUMPRODUCT(--('Данные 2st'!$Q$2:$Q$317=$A10),--ISNUMBER('Данные 2st'!$OZ$2:$OZ$317))</f>
        <v>3</v>
      </c>
      <c r="SM10">
        <f>SUMPRODUCT(--('Данные 2st'!$Q$2:$Q$317=$A10),--ISNUMBER('Данные 2st'!$PA$2:$PA$317))</f>
        <v>3</v>
      </c>
      <c r="SN10">
        <f>SUMPRODUCT(--('Данные 2st'!$Q$2:$Q$317=$A10),--ISNUMBER('Данные 2st'!$PC$2:$PC$317))</f>
        <v>3</v>
      </c>
      <c r="SO10">
        <f>SUMPRODUCT(--('Данные 2st'!$Q$2:$Q$317=$A10),--ISNUMBER('Данные 2st'!$PD$2:$PD$317))</f>
        <v>3</v>
      </c>
      <c r="SP10">
        <f>SUMPRODUCT(--('Данные 2st'!$Q$2:$Q$317=$A10),--ISNUMBER('Данные 2st'!$PF$2:$PF$317))</f>
        <v>3</v>
      </c>
      <c r="SQ10">
        <f>SUMPRODUCT(--('Данные 2st'!$Q$2:$Q$317=$A10),--ISNUMBER('Данные 2st'!$PG$2:$PG$317))</f>
        <v>3</v>
      </c>
      <c r="SR10">
        <f>SUMPRODUCT(--('Данные 2st'!$Q$2:$Q$317=$A10),--ISNUMBER('Данные 2st'!$PH$2:$PH$317))</f>
        <v>3</v>
      </c>
      <c r="SS10">
        <f>SUMPRODUCT(--('Данные 2st'!$Q$2:$Q$317=$A10),--ISNUMBER('Данные 2st'!$PI$2:$PI$317))</f>
        <v>3</v>
      </c>
      <c r="ST10">
        <f>SUMPRODUCT(--('Данные 2st'!$Q$2:$Q$317=$A10),--ISNUMBER('Данные 2st'!$PJ$2:$PJ$317))</f>
        <v>3</v>
      </c>
      <c r="SU10">
        <f>SUMPRODUCT(--('Данные 2st'!$Q$2:$Q$317=$A10),--ISNUMBER('Данные 2st'!$PK$2:$PK$317))</f>
        <v>2</v>
      </c>
      <c r="SV10">
        <f>SUMPRODUCT(--('Данные 2st'!$Q$2:$Q$317=$A10),--ISNUMBER('Данные 2st'!$PL$2:$PL$317))</f>
        <v>3</v>
      </c>
      <c r="SW10">
        <f>SUMPRODUCT(--('Данные 2st'!$Q$2:$Q$317=$A10),--ISNUMBER('Данные 2st'!$PM$2:$PM$317))</f>
        <v>3</v>
      </c>
      <c r="SX10">
        <f>SUMPRODUCT(--('Данные 2st'!$Q$2:$Q$317=$A10),--ISNUMBER('Данные 2st'!$PN$2:$PN$317))</f>
        <v>3</v>
      </c>
      <c r="SY10">
        <f>SUMPRODUCT(--('Данные 2st'!$Q$2:$Q$317=$A10),--ISNUMBER('Данные 2st'!$PO$2:$PO$317))</f>
        <v>2</v>
      </c>
      <c r="SZ10">
        <f>SUMPRODUCT(--('Данные 2st'!$Q$2:$Q$317=$A10),--ISNUMBER('Данные 2st'!$PP$2:$PP$317))</f>
        <v>3</v>
      </c>
      <c r="TA10">
        <f>SUMPRODUCT(--('Данные 2st'!$Q$2:$Q$317=$A10),--ISNUMBER('Данные 2st'!$PQ$2:$PQ$317))</f>
        <v>3</v>
      </c>
      <c r="TB10">
        <f>SUMPRODUCT(--('Данные 2st'!$Q$2:$Q$317=$A10),--ISNUMBER('Данные 2st'!$PR$2:$PR$317))</f>
        <v>3</v>
      </c>
      <c r="TC10">
        <f>SUMPRODUCT(--('Данные 2st'!$Q$2:$Q$317=$A10),--ISNUMBER('Данные 2st'!$PS$2:$PS$317))</f>
        <v>3</v>
      </c>
      <c r="TD10">
        <f>SUMPRODUCT(--('Данные 2st'!$Q$2:$Q$317=$A10),--ISNUMBER('Данные 2st'!$PT$2:$PT$317))</f>
        <v>3</v>
      </c>
      <c r="TE10">
        <f>SUMPRODUCT(--('Данные 2st'!$Q$2:$Q$317=$A10),--ISNUMBER('Данные 2st'!$PU$2:$PU$317))</f>
        <v>3</v>
      </c>
      <c r="TF10">
        <f>SUMPRODUCT(--('Данные 2st'!$Q$2:$Q$317=$A10),--ISNUMBER('Данные 2st'!$PX$2:$PX$317))</f>
        <v>3</v>
      </c>
      <c r="TG10">
        <f>SUMPRODUCT(--('Данные 2st'!$Q$2:$Q$317=$A10),--ISNUMBER('Данные 2st'!$PY$2:$PY$317))</f>
        <v>3</v>
      </c>
      <c r="TH10">
        <f>SUMPRODUCT(--('Данные 2st'!$Q$2:$Q$317=$A10),--ISNUMBER('Данные 2st'!$PZ$2:$PZ$317))</f>
        <v>3</v>
      </c>
      <c r="TI10">
        <f>SUMPRODUCT(--('Данные 2st'!$Q$2:$Q$317=$A10),--ISNUMBER('Данные 2st'!$QA$2:$QA$317))</f>
        <v>3</v>
      </c>
      <c r="TJ10">
        <f>SUMPRODUCT(--('Данные 2st'!$Q$2:$Q$317=$A10),--ISNUMBER('Данные 2st'!$QB$2:$QB$317))</f>
        <v>3</v>
      </c>
      <c r="TK10">
        <f>SUMPRODUCT(--('Данные 2st'!$Q$2:$Q$317=$A10),--ISNUMBER('Данные 2st'!$QC$2:$QC$317))</f>
        <v>3</v>
      </c>
      <c r="TL10">
        <f>SUMPRODUCT(--('Данные 2st'!$Q$2:$Q$317=$A10),--ISNUMBER('Данные 2st'!$QD$2:$QD$317))</f>
        <v>3</v>
      </c>
      <c r="TM10">
        <f>SUMPRODUCT(--('Данные 2st'!$Q$2:$Q$317=$A10),--ISNUMBER('Данные 2st'!$QE$2:$QE$317))</f>
        <v>3</v>
      </c>
      <c r="TN10">
        <f>SUMPRODUCT(--('Данные 2st'!$Q$2:$Q$317=$A10),--ISNUMBER('Данные 2st'!$QF$2:$QF$317))</f>
        <v>3</v>
      </c>
      <c r="TO10">
        <f>SUMPRODUCT(--('Данные 2st'!$Q$2:$Q$317=$A10),--ISNUMBER('Данные 2st'!$QG$2:$QG$317))</f>
        <v>3</v>
      </c>
      <c r="TP10">
        <f>SUMPRODUCT(--('Данные 2st'!$Q$2:$Q$317=$A10),--ISNUMBER('Данные 2st'!$QH$2:$QH$317))</f>
        <v>3</v>
      </c>
      <c r="TQ10">
        <f>SUMPRODUCT(--('Данные 2st'!$Q$2:$Q$317=$A10),--ISNUMBER('Данные 2st'!$QI$2:$QI$317))</f>
        <v>3</v>
      </c>
      <c r="TR10">
        <f>SUMPRODUCT(--('Данные 2st'!$Q$2:$Q$317=$A10),--ISNUMBER('Данные 2st'!$QJ$2:$QJ$317))</f>
        <v>3</v>
      </c>
      <c r="TS10">
        <f>SUMPRODUCT(--('Данные 2st'!$Q$2:$Q$317=$A10),--ISNUMBER('Данные 2st'!$QK$2:$QK$317))</f>
        <v>3</v>
      </c>
      <c r="TT10">
        <f>SUMPRODUCT(--('Данные 2st'!$Q$2:$Q$317=$A10),--ISNUMBER('Данные 2st'!$QL$2:$QL$317))</f>
        <v>3</v>
      </c>
      <c r="TU10">
        <f>SUMPRODUCT(--('Данные 2st'!$Q$2:$Q$317=$A10),--ISNUMBER('Данные 2st'!$QM$2:$QM$317))</f>
        <v>3</v>
      </c>
      <c r="TV10">
        <f>SUMPRODUCT(--('Данные 2st'!$Q$2:$Q$317=$A10),--ISNUMBER('Данные 2st'!$QN$2:$QN$317))</f>
        <v>3</v>
      </c>
      <c r="TW10">
        <f>SUMPRODUCT(--('Данные 2st'!$Q$2:$Q$317=$A10),--ISNUMBER('Данные 2st'!$QQ$2:$QQ$317))</f>
        <v>3</v>
      </c>
      <c r="TX10">
        <f>SUMPRODUCT(--('Данные 2st'!$Q$2:$Q$317=$A10),--ISNUMBER('Данные 2st'!$QS$2:$QS$317))</f>
        <v>3</v>
      </c>
      <c r="TY10">
        <f>SUMPRODUCT(--('Данные 2st'!$Q$2:$Q$317=$A10),--ISNUMBER('Данные 2st'!$QT$2:$QT$317))</f>
        <v>3</v>
      </c>
    </row>
    <row r="11" spans="1:545" ht="32" customHeight="1">
      <c r="A11" s="11" t="str">
        <f>'По размерам'!A11</f>
        <v>195/55R16</v>
      </c>
      <c r="G11">
        <f>SUMPRODUCT(--('Данные 1st'!$S$2:$S$317=$A11),--ISNUMBER('Данные 1st'!$AE$2:$AE$317))</f>
        <v>3</v>
      </c>
      <c r="H11">
        <f>SUMPRODUCT(--('Данные 1st'!$S$2:$S$317=$A11),--ISNUMBER('Данные 1st'!$AF$2:$AF$317))</f>
        <v>3</v>
      </c>
      <c r="I11">
        <f>SUMPRODUCT(--('Данные 1st'!$S$2:$S$317=$A11),--ISNUMBER('Данные 1st'!$AJ$2:$AJ$317))</f>
        <v>3</v>
      </c>
      <c r="J11">
        <f>SUMPRODUCT(--('Данные 1st'!$S$2:$S$317=$A11),--ISNUMBER('Данные 1st'!$AL$2:$AL$317))</f>
        <v>3</v>
      </c>
      <c r="K11">
        <f>SUMPRODUCT(--('Данные 1st'!$S$2:$S$317=$A11),--ISNUMBER('Данные 1st'!$AR$2:$AR$317))</f>
        <v>3</v>
      </c>
      <c r="L11">
        <f>SUMPRODUCT(--('Данные 1st'!$S$2:$S$317=$A11),--ISNUMBER('Данные 1st'!$AS$2:$AS$317))</f>
        <v>3</v>
      </c>
      <c r="M11">
        <f>SUMPRODUCT(--('Данные 1st'!$S$2:$S$317=$A11),--ISNUMBER('Данные 1st'!$AY$2:$AY$317))</f>
        <v>3</v>
      </c>
      <c r="N11">
        <f>SUMPRODUCT(--('Данные 1st'!$S$2:$S$317=$A11),--ISNUMBER('Данные 1st'!$AZ$2:$AZ$317))</f>
        <v>3</v>
      </c>
      <c r="O11">
        <f>SUMPRODUCT(--('Данные 1st'!$S$2:$S$317=$A11),--ISNUMBER('Данные 1st'!$BF$2:$BF$317))</f>
        <v>0</v>
      </c>
      <c r="P11">
        <f>SUMPRODUCT(--('Данные 1st'!$S$2:$S$317=$A11),--ISNUMBER('Данные 1st'!$BG$2:$BG$317))</f>
        <v>3</v>
      </c>
      <c r="Q11">
        <f>SUMPRODUCT(--('Данные 1st'!$S$2:$S$317=$A11),--ISNUMBER('Данные 1st'!$BM$2:$BM$317))</f>
        <v>0</v>
      </c>
      <c r="R11">
        <f>SUMPRODUCT(--('Данные 1st'!$S$2:$S$317=$A11),--ISNUMBER('Данные 1st'!$BN$2:$BN$317))</f>
        <v>3</v>
      </c>
      <c r="S11">
        <f>SUMPRODUCT(--('Данные 1st'!$S$2:$S$317=$A11),--ISNUMBER('Данные 1st'!$BT$2:$BT$317))</f>
        <v>3</v>
      </c>
      <c r="T11">
        <f>SUMPRODUCT(--('Данные 1st'!$S$2:$S$317=$A11),--ISNUMBER('Данные 1st'!$BU$2:$BU$317))</f>
        <v>3</v>
      </c>
      <c r="U11">
        <f>SUMPRODUCT(--('Данные 1st'!$S$2:$S$317=$A11),--ISNUMBER('Данные 1st'!$BW$2:$BW$317))</f>
        <v>3</v>
      </c>
      <c r="V11">
        <f>SUMPRODUCT(--('Данные 1st'!$S$2:$S$317=$A11),--ISNUMBER('Данные 1st'!$BX$2:$BX$317))</f>
        <v>3</v>
      </c>
      <c r="W11">
        <f>SUMPRODUCT(--('Данные 1st'!$S$2:$S$317=$A11),--ISNUMBER('Данные 1st'!$BZ$2:$BZ$317))</f>
        <v>3</v>
      </c>
      <c r="X11">
        <f>SUMPRODUCT(--('Данные 1st'!$S$2:$S$317=$A11),--ISNUMBER('Данные 1st'!$CA$2:$CA$317))</f>
        <v>3</v>
      </c>
      <c r="Y11">
        <f>SUMPRODUCT(--('Данные 1st'!$S$2:$S$317=$A11),--ISNUMBER('Данные 1st'!$CD$2:$CD$317))</f>
        <v>3</v>
      </c>
      <c r="Z11">
        <f>SUMPRODUCT(--('Данные 1st'!$S$2:$S$317=$A11),--ISNUMBER('Данные 1st'!$CF$2:$CF$317))</f>
        <v>3</v>
      </c>
      <c r="AA11">
        <f>SUMPRODUCT(--('Данные 1st'!$S$2:$S$317=$A11),--ISNUMBER('Данные 1st'!$CI$2:$CI$317))</f>
        <v>3</v>
      </c>
      <c r="AB11">
        <f>SUMPRODUCT(--('Данные 1st'!$S$2:$S$317=$A11),--ISNUMBER('Данные 1st'!$CJ$2:$CJ$317))</f>
        <v>3</v>
      </c>
      <c r="AC11">
        <f>SUMPRODUCT(--('Данные 1st'!$S$2:$S$317=$A11),--ISNUMBER('Данные 1st'!$CK$2:$CK$317))</f>
        <v>3</v>
      </c>
      <c r="AD11">
        <f>SUMPRODUCT(--('Данные 1st'!$S$2:$S$317=$A11),--ISNUMBER('Данные 1st'!$CL$2:$CL$317))</f>
        <v>3</v>
      </c>
      <c r="AE11">
        <f>SUMPRODUCT(--('Данные 1st'!$S$2:$S$317=$A11),--ISNUMBER('Данные 1st'!$CM$2:$CM$317))</f>
        <v>3</v>
      </c>
      <c r="AF11">
        <f>SUMPRODUCT(--('Данные 1st'!$S$2:$S$317=$A11),--ISNUMBER('Данные 1st'!$CT$2:$CT$317))</f>
        <v>3</v>
      </c>
      <c r="AG11">
        <f>SUMPRODUCT(--('Данные 1st'!$S$2:$S$317=$A11),--ISNUMBER('Данные 1st'!$CU$2:$CU$317))</f>
        <v>3</v>
      </c>
      <c r="AH11">
        <f>SUMPRODUCT(--('Данные 1st'!$S$2:$S$317=$A11),--ISNUMBER('Данные 1st'!$CV$2:$CV$317))</f>
        <v>3</v>
      </c>
      <c r="AI11">
        <f>SUMPRODUCT(--('Данные 1st'!$S$2:$S$317=$A11),--ISNUMBER('Данные 1st'!$CW$2:$CW$317))</f>
        <v>3</v>
      </c>
      <c r="AJ11">
        <f>SUMPRODUCT(--('Данные 1st'!$S$2:$S$317=$A11),--ISNUMBER('Данные 1st'!$CX$2:$CX$317))</f>
        <v>3</v>
      </c>
      <c r="AK11">
        <f>SUMPRODUCT(--('Данные 1st'!$S$2:$S$317=$A11),--ISNUMBER('Данные 1st'!$CZ$2:$CZ$317))</f>
        <v>0</v>
      </c>
      <c r="AL11">
        <f>SUMPRODUCT(--('Данные 1st'!$S$2:$S$317=$A11),--ISNUMBER('Данные 1st'!$DA$2:$DA$317))</f>
        <v>0</v>
      </c>
      <c r="AM11">
        <f>SUMPRODUCT(--('Данные 1st'!$S$2:$S$317=$A11),--ISNUMBER('Данные 1st'!$DB$2:$DB$317))</f>
        <v>0</v>
      </c>
      <c r="AN11">
        <f>SUMPRODUCT(--('Данные 1st'!$S$2:$S$317=$A11),--ISNUMBER('Данные 1st'!$DC$2:$DC$317))</f>
        <v>0</v>
      </c>
      <c r="AO11">
        <f>SUMPRODUCT(--('Данные 1st'!$S$2:$S$317=$A11),--ISNUMBER('Данные 1st'!$DD$2:$DD$317))</f>
        <v>3</v>
      </c>
      <c r="AP11">
        <f>SUMPRODUCT(--('Данные 1st'!$S$2:$S$317=$A11),--ISNUMBER('Данные 1st'!$DF$2:$DF$317))</f>
        <v>3</v>
      </c>
      <c r="AQ11">
        <f>SUMPRODUCT(--('Данные 1st'!$S$2:$S$317=$A11),--ISNUMBER('Данные 1st'!$DG$2:$DG$317))</f>
        <v>3</v>
      </c>
      <c r="AR11">
        <f>SUMPRODUCT(--('Данные 1st'!$S$2:$S$317=$A11),--ISNUMBER('Данные 1st'!$DH$2:$DH$317))</f>
        <v>3</v>
      </c>
      <c r="AS11">
        <f>SUMPRODUCT(--('Данные 1st'!$S$2:$S$317=$A11),--ISNUMBER('Данные 1st'!$DI$2:$DI$317))</f>
        <v>3</v>
      </c>
      <c r="AT11">
        <f>SUMPRODUCT(--('Данные 1st'!$S$2:$S$317=$A11),--ISNUMBER('Данные 1st'!$DJ$2:$DJ$317))</f>
        <v>3</v>
      </c>
      <c r="AU11">
        <f>SUMPRODUCT(--('Данные 1st'!$S$2:$S$317=$A11),--ISNUMBER('Данные 1st'!$DL$2:$DL$317))</f>
        <v>0</v>
      </c>
      <c r="AV11">
        <f>SUMPRODUCT(--('Данные 1st'!$S$2:$S$317=$A11),--ISNUMBER('Данные 1st'!$DM$2:$DM$317))</f>
        <v>0</v>
      </c>
      <c r="AW11">
        <f>SUMPRODUCT(--('Данные 1st'!$S$2:$S$317=$A11),--ISNUMBER('Данные 1st'!$DN$2:$DN$317))</f>
        <v>0</v>
      </c>
      <c r="AX11">
        <f>SUMPRODUCT(--('Данные 1st'!$S$2:$S$317=$A11),--ISNUMBER('Данные 1st'!$DO$2:$DO$317))</f>
        <v>0</v>
      </c>
      <c r="AY11">
        <f>SUMPRODUCT(--('Данные 1st'!$S$2:$S$317=$A11),--ISNUMBER('Данные 1st'!$DP$2:$DP$317))</f>
        <v>0</v>
      </c>
      <c r="AZ11">
        <f>SUMPRODUCT(--('Данные 1st'!$S$2:$S$317=$A11),--ISNUMBER('Данные 1st'!$DR$2:$DR$317))</f>
        <v>0</v>
      </c>
      <c r="BA11">
        <f>SUMPRODUCT(--('Данные 1st'!$S$2:$S$317=$A11),--ISNUMBER('Данные 1st'!$DS$2:$DS$317))</f>
        <v>0</v>
      </c>
      <c r="BB11">
        <f>SUMPRODUCT(--('Данные 1st'!$S$2:$S$317=$A11),--ISNUMBER('Данные 1st'!$DT$2:$DT$317))</f>
        <v>0</v>
      </c>
      <c r="BC11">
        <f>SUMPRODUCT(--('Данные 1st'!$S$2:$S$317=$A11),--ISNUMBER('Данные 1st'!$DU$2:$DU$317))</f>
        <v>0</v>
      </c>
      <c r="BD11">
        <f>SUMPRODUCT(--('Данные 1st'!$S$2:$S$317=$A11),--ISNUMBER('Данные 1st'!$DV$2:$DV$317))</f>
        <v>0</v>
      </c>
      <c r="BE11">
        <f>SUMPRODUCT(--('Данные 1st'!$S$2:$S$317=$A11),--ISNUMBER('Данные 1st'!$DX$2:$DX$317))</f>
        <v>3</v>
      </c>
      <c r="BF11">
        <f>SUMPRODUCT(--('Данные 1st'!$S$2:$S$317=$A11),--ISNUMBER('Данные 1st'!$EA$2:$EA$317))</f>
        <v>3</v>
      </c>
      <c r="BG11">
        <f>SUMPRODUCT(--('Данные 1st'!$S$2:$S$317=$A11),--ISNUMBER('Данные 1st'!$EB$2:$EB$317))</f>
        <v>3</v>
      </c>
      <c r="BH11">
        <f>SUMPRODUCT(--('Данные 1st'!$S$2:$S$317=$A11),--ISNUMBER('Данные 1st'!$ED$2:$ED$317))</f>
        <v>3</v>
      </c>
      <c r="BI11">
        <f>SUMPRODUCT(--('Данные 1st'!$S$2:$S$317=$A11),--ISNUMBER('Данные 1st'!$EE$2:$EE$317))</f>
        <v>3</v>
      </c>
      <c r="BJ11">
        <f>SUMPRODUCT(--('Данные 1st'!$S$2:$S$317=$A11),--ISNUMBER('Данные 1st'!$EG$2:$EG$317))</f>
        <v>3</v>
      </c>
      <c r="BK11">
        <f>SUMPRODUCT(--('Данные 1st'!$S$2:$S$317=$A11),--ISNUMBER('Данные 1st'!$EH$2:$EH$317))</f>
        <v>3</v>
      </c>
      <c r="BL11">
        <f>SUMPRODUCT(--('Данные 1st'!$S$2:$S$317=$A11),--ISNUMBER('Данные 1st'!$EJ$2:$EJ$317))</f>
        <v>3</v>
      </c>
      <c r="BM11">
        <f>SUMPRODUCT(--('Данные 1st'!$S$2:$S$317=$A11),--ISNUMBER('Данные 1st'!$EK$2:$EK$317))</f>
        <v>3</v>
      </c>
      <c r="BN11">
        <f>SUMPRODUCT(--('Данные 1st'!$S$2:$S$317=$A11),--ISNUMBER('Данные 1st'!$EN$2:$EN$317))</f>
        <v>3</v>
      </c>
      <c r="BO11">
        <f>SUMPRODUCT(--('Данные 1st'!$S$2:$S$317=$A11),--ISNUMBER('Данные 1st'!$EQ$2:$EQ$317))</f>
        <v>3</v>
      </c>
      <c r="BP11">
        <f>SUMPRODUCT(--('Данные 1st'!$S$2:$S$317=$A11),--ISNUMBER('Данные 1st'!$ER$2:$ER$317))</f>
        <v>3</v>
      </c>
      <c r="BQ11">
        <f>SUMPRODUCT(--('Данные 1st'!$S$2:$S$317=$A11),--ISNUMBER('Данные 1st'!$ES$2:$ES$317))</f>
        <v>3</v>
      </c>
      <c r="BR11">
        <f>SUMPRODUCT(--('Данные 1st'!$S$2:$S$317=$A11),--ISNUMBER('Данные 1st'!$ET$2:$ET$317))</f>
        <v>3</v>
      </c>
      <c r="BS11">
        <f>SUMPRODUCT(--('Данные 1st'!$S$2:$S$317=$A11),--ISNUMBER('Данные 1st'!$EU$2:$EU$317))</f>
        <v>3</v>
      </c>
      <c r="BT11">
        <f>SUMPRODUCT(--('Данные 1st'!$S$2:$S$317=$A11),--ISNUMBER('Данные 1st'!$EV$2:$EV$317))</f>
        <v>3</v>
      </c>
      <c r="BU11">
        <f>SUMPRODUCT(--('Данные 1st'!$S$2:$S$317=$A11),--ISNUMBER('Данные 1st'!$EX$2:$EX$317))</f>
        <v>3</v>
      </c>
      <c r="BV11">
        <f>SUMPRODUCT(--('Данные 1st'!$S$2:$S$317=$A11),--ISNUMBER('Данные 1st'!$EY$2:$EY$317))</f>
        <v>3</v>
      </c>
      <c r="BW11">
        <f>SUMPRODUCT(--('Данные 1st'!$S$2:$S$317=$A11),--ISNUMBER('Данные 1st'!$EZ$2:$EZ$317))</f>
        <v>3</v>
      </c>
      <c r="BX11">
        <f>SUMPRODUCT(--('Данные 1st'!$S$2:$S$317=$A11),--ISNUMBER('Данные 1st'!$FA$2:$FA$317))</f>
        <v>3</v>
      </c>
      <c r="BY11">
        <f>SUMPRODUCT(--('Данные 1st'!$S$2:$S$317=$A11),--ISNUMBER('Данные 1st'!$FB$2:$FB$317))</f>
        <v>3</v>
      </c>
      <c r="BZ11">
        <f>SUMPRODUCT(--('Данные 1st'!$S$2:$S$317=$A11),--ISNUMBER('Данные 1st'!$FC$2:$FC$317))</f>
        <v>3</v>
      </c>
      <c r="CA11">
        <f>SUMPRODUCT(--('Данные 1st'!$S$2:$S$317=$A11),--ISNUMBER('Данные 1st'!$FE$2:$FE$317))</f>
        <v>3</v>
      </c>
      <c r="CB11">
        <f>SUMPRODUCT(--('Данные 1st'!$S$2:$S$317=$A11),--ISNUMBER('Данные 1st'!$FF$2:$FF$317))</f>
        <v>3</v>
      </c>
      <c r="CC11">
        <f>SUMPRODUCT(--('Данные 1st'!$S$2:$S$317=$A11),--ISNUMBER('Данные 1st'!$FI$2:$FI$317))</f>
        <v>3</v>
      </c>
      <c r="CD11">
        <f>SUMPRODUCT(--('Данные 1st'!$S$2:$S$317=$A11),--ISNUMBER('Данные 1st'!$FL$2:$FL$317))</f>
        <v>3</v>
      </c>
      <c r="CE11">
        <f>SUMPRODUCT(--('Данные 1st'!$S$2:$S$317=$A11),--ISNUMBER('Данные 1st'!$FM$2:$FM$317))</f>
        <v>3</v>
      </c>
      <c r="CF11">
        <f>SUMPRODUCT(--('Данные 1st'!$S$2:$S$317=$A11),--ISNUMBER('Данные 1st'!$FN$2:$FN$317))</f>
        <v>3</v>
      </c>
      <c r="CG11">
        <f>SUMPRODUCT(--('Данные 1st'!$S$2:$S$317=$A11),--ISNUMBER('Данные 1st'!$FO$2:$FO$317))</f>
        <v>0</v>
      </c>
      <c r="CH11">
        <f>SUMPRODUCT(--('Данные 1st'!$S$2:$S$317=$A11),--ISNUMBER('Данные 1st'!$FP$2:$FP$317))</f>
        <v>0</v>
      </c>
      <c r="CI11">
        <f>SUMPRODUCT(--('Данные 1st'!$S$2:$S$317=$A11),--ISNUMBER('Данные 1st'!$FS$2:$FS$317))</f>
        <v>3</v>
      </c>
      <c r="CJ11">
        <f>SUMPRODUCT(--('Данные 1st'!$S$2:$S$317=$A11),--ISNUMBER('Данные 1st'!$FT$2:$FT$317))</f>
        <v>3</v>
      </c>
      <c r="CK11">
        <f>SUMPRODUCT(--('Данные 1st'!$S$2:$S$317=$A11),--ISNUMBER('Данные 1st'!$FU$2:$FU$317))</f>
        <v>3</v>
      </c>
      <c r="CL11">
        <f>SUMPRODUCT(--('Данные 1st'!$S$2:$S$317=$A11),--ISNUMBER('Данные 1st'!$FV$2:$FV$317))</f>
        <v>1</v>
      </c>
      <c r="CM11">
        <f>SUMPRODUCT(--('Данные 1st'!$S$2:$S$317=$A11),--ISNUMBER('Данные 1st'!$FW$2:$FW$317))</f>
        <v>1</v>
      </c>
      <c r="CN11">
        <f>SUMPRODUCT(--('Данные 1st'!$S$2:$S$317=$A11),--ISNUMBER('Данные 1st'!$FZ$2:$FZ$317))</f>
        <v>3</v>
      </c>
      <c r="CO11">
        <f>SUMPRODUCT(--('Данные 1st'!$S$2:$S$317=$A11),--ISNUMBER('Данные 1st'!$GA$2:$GA$317))</f>
        <v>3</v>
      </c>
      <c r="CP11">
        <f>SUMPRODUCT(--('Данные 1st'!$S$2:$S$317=$A11),--ISNUMBER('Данные 1st'!$GB$2:$GB$317))</f>
        <v>3</v>
      </c>
      <c r="CQ11">
        <f>SUMPRODUCT(--('Данные 1st'!$S$2:$S$317=$A11),--ISNUMBER('Данные 1st'!$GH$2:$GH$317))</f>
        <v>3</v>
      </c>
      <c r="CR11">
        <f>SUMPRODUCT(--('Данные 1st'!$S$2:$S$317=$A11),--ISNUMBER('Данные 1st'!$GI$2:$GI$317))</f>
        <v>3</v>
      </c>
      <c r="CS11">
        <f>SUMPRODUCT(--('Данные 1st'!$S$2:$S$317=$A11),--ISNUMBER('Данные 1st'!$GJ$2:$GJ$317))</f>
        <v>3</v>
      </c>
      <c r="CT11">
        <f>SUMPRODUCT(--('Данные 1st'!$S$2:$S$317=$A11),--ISNUMBER('Данные 1st'!$GS$2:$GS$317))</f>
        <v>0</v>
      </c>
      <c r="CU11">
        <f>SUMPRODUCT(--('Данные 1st'!$S$2:$S$317=$A11),--ISNUMBER('Данные 1st'!$GT$2:$GT$317))</f>
        <v>0</v>
      </c>
      <c r="CV11">
        <f>SUMPRODUCT(--('Данные 1st'!$S$2:$S$317=$A11),--ISNUMBER('Данные 1st'!$GU$2:$GU$317))</f>
        <v>0</v>
      </c>
      <c r="CW11">
        <f>SUMPRODUCT(--('Данные 1st'!$S$2:$S$317=$A11),--ISNUMBER('Данные 1st'!$GV$2:$GV$317))</f>
        <v>0</v>
      </c>
      <c r="CX11">
        <f>SUMPRODUCT(--('Данные 1st'!$S$2:$S$317=$A11),--ISNUMBER('Данные 1st'!$GW$2:$GW$317))</f>
        <v>0</v>
      </c>
      <c r="CY11">
        <f>SUMPRODUCT(--('Данные 1st'!$S$2:$S$317=$A11),--ISNUMBER('Данные 1st'!$GZ$2:$GZ$317))</f>
        <v>0</v>
      </c>
      <c r="CZ11">
        <f>SUMPRODUCT(--('Данные 1st'!$S$2:$S$317=$A11),--ISNUMBER('Данные 1st'!$HA$2:$HA$317))</f>
        <v>0</v>
      </c>
      <c r="DA11">
        <f>SUMPRODUCT(--('Данные 1st'!$S$2:$S$317=$A11),--ISNUMBER('Данные 1st'!$HB$2:$HB$317))</f>
        <v>0</v>
      </c>
      <c r="DB11">
        <f>SUMPRODUCT(--('Данные 1st'!$S$2:$S$317=$A11),--ISNUMBER('Данные 1st'!$HC$2:$HC$317))</f>
        <v>3</v>
      </c>
      <c r="DC11">
        <f>SUMPRODUCT(--('Данные 1st'!$S$2:$S$317=$A11),--ISNUMBER('Данные 1st'!$HD$2:$HD$317))</f>
        <v>3</v>
      </c>
      <c r="DD11">
        <f>SUMPRODUCT(--('Данные 1st'!$S$2:$S$317=$A11),--ISNUMBER('Данные 1st'!$HE$2:$HE$317))</f>
        <v>3</v>
      </c>
      <c r="DE11">
        <f>SUMPRODUCT(--('Данные 1st'!$S$2:$S$317=$A11),--ISNUMBER('Данные 1st'!$HF$2:$HF$317))</f>
        <v>3</v>
      </c>
      <c r="DF11">
        <f>SUMPRODUCT(--('Данные 1st'!$S$2:$S$317=$A11),--ISNUMBER('Данные 1st'!$HG$2:$HG$317))</f>
        <v>3</v>
      </c>
      <c r="DG11">
        <f>SUMPRODUCT(--('Данные 1st'!$S$2:$S$317=$A11),--ISNUMBER('Данные 1st'!$HH$2:$HH$317))</f>
        <v>3</v>
      </c>
      <c r="DH11">
        <f>SUMPRODUCT(--('Данные 1st'!$S$2:$S$317=$A11),--ISNUMBER('Данные 1st'!$HI$2:$HI$317))</f>
        <v>3</v>
      </c>
      <c r="DI11">
        <f>SUMPRODUCT(--('Данные 1st'!$S$2:$S$317=$A11),--ISNUMBER('Данные 1st'!$HJ$2:$HJ$317))</f>
        <v>3</v>
      </c>
      <c r="DJ11">
        <f>SUMPRODUCT(--('Данные 1st'!$S$2:$S$317=$A11),--ISNUMBER('Данные 1st'!$HK$2:$HK$317))</f>
        <v>3</v>
      </c>
      <c r="DK11">
        <f>SUMPRODUCT(--('Данные 1st'!$S$2:$S$317=$A11),--ISNUMBER('Данные 1st'!$HL$2:$HL$317))</f>
        <v>3</v>
      </c>
      <c r="DL11">
        <f>SUMPRODUCT(--('Данные 1st'!$S$2:$S$317=$A11),--ISNUMBER('Данные 1st'!$HM$2:$HM$317))</f>
        <v>3</v>
      </c>
      <c r="DM11">
        <f>SUMPRODUCT(--('Данные 1st'!$S$2:$S$317=$A11),--ISNUMBER('Данные 1st'!$HN$2:$HN$317))</f>
        <v>3</v>
      </c>
      <c r="DN11">
        <f>SUMPRODUCT(--('Данные 1st'!$S$2:$S$317=$A11),--ISNUMBER('Данные 1st'!$HO$2:$HO$317))</f>
        <v>3</v>
      </c>
      <c r="DO11">
        <f>SUMPRODUCT(--('Данные 1st'!$S$2:$S$317=$A11),--ISNUMBER('Данные 1st'!$HP$2:$HP$317))</f>
        <v>3</v>
      </c>
      <c r="DP11">
        <f>SUMPRODUCT(--('Данные 1st'!$S$2:$S$317=$A11),--ISNUMBER('Данные 1st'!$HQ$2:$HQ$317))</f>
        <v>3</v>
      </c>
      <c r="DQ11">
        <f>SUMPRODUCT(--('Данные 1st'!$S$2:$S$317=$A11),--ISNUMBER('Данные 1st'!$HR$2:$HR$317))</f>
        <v>3</v>
      </c>
      <c r="DR11">
        <f>SUMPRODUCT(--('Данные 1st'!$S$2:$S$317=$A11),--ISNUMBER('Данные 1st'!$HS$2:$HS$317))</f>
        <v>3</v>
      </c>
      <c r="DS11">
        <f>SUMPRODUCT(--('Данные 1st'!$S$2:$S$317=$A11),--ISNUMBER('Данные 1st'!$HT$2:$HT$317))</f>
        <v>3</v>
      </c>
      <c r="DT11">
        <f>SUMPRODUCT(--('Данные 1st'!$S$2:$S$317=$A11),--ISNUMBER('Данные 1st'!$HU$2:$HU$317))</f>
        <v>3</v>
      </c>
      <c r="DU11">
        <f>SUMPRODUCT(--('Данные 1st'!$S$2:$S$317=$A11),--ISNUMBER('Данные 1st'!$HW$2:$HW$317))</f>
        <v>3</v>
      </c>
      <c r="DV11">
        <f>SUMPRODUCT(--('Данные 1st'!$S$2:$S$317=$A11),--ISNUMBER('Данные 1st'!$HX$2:$HX$317))</f>
        <v>3</v>
      </c>
      <c r="DW11">
        <f>SUMPRODUCT(--('Данные 1st'!$S$2:$S$317=$A11),--ISNUMBER('Данные 1st'!$HY$2:$HY$317))</f>
        <v>3</v>
      </c>
      <c r="DX11">
        <f>SUMPRODUCT(--('Данные 1st'!$S$2:$S$317=$A11),--ISNUMBER('Данные 1st'!$IA$2:$IA$317))</f>
        <v>3</v>
      </c>
      <c r="DY11">
        <f>SUMPRODUCT(--('Данные 1st'!$S$2:$S$317=$A11),--ISNUMBER('Данные 1st'!$IB$2:$IB$317))</f>
        <v>3</v>
      </c>
      <c r="DZ11">
        <f>SUMPRODUCT(--('Данные 1st'!$S$2:$S$317=$A11),--ISNUMBER('Данные 1st'!$IC$2:$IC$317))</f>
        <v>3</v>
      </c>
      <c r="EA11">
        <f>SUMPRODUCT(--('Данные 1st'!$S$2:$S$317=$A11),--ISNUMBER('Данные 1st'!$ID$2:$ID$317))</f>
        <v>3</v>
      </c>
      <c r="EB11">
        <f>SUMPRODUCT(--('Данные 1st'!$S$2:$S$317=$A11),--ISNUMBER('Данные 1st'!$IE$2:$IE$317))</f>
        <v>3</v>
      </c>
      <c r="EC11">
        <f>SUMPRODUCT(--('Данные 1st'!$S$2:$S$317=$A11),--ISNUMBER('Данные 1st'!$IF$2:$IF$317))</f>
        <v>3</v>
      </c>
      <c r="ED11">
        <f>SUMPRODUCT(--('Данные 1st'!$S$2:$S$317=$A11),--ISNUMBER('Данные 1st'!$IP$2:$IP$317))</f>
        <v>3</v>
      </c>
      <c r="EE11">
        <f>SUMPRODUCT(--('Данные 1st'!$S$2:$S$317=$A11),--ISNUMBER('Данные 1st'!$IV$2:$IV$317))</f>
        <v>3</v>
      </c>
      <c r="EF11">
        <f>SUMPRODUCT(--('Данные 1st'!$S$2:$S$317=$A11),--ISNUMBER('Данные 1st'!$IW$2:$IW$317))</f>
        <v>3</v>
      </c>
      <c r="EG11">
        <f>SUMPRODUCT(--('Данные 1st'!$S$2:$S$317=$A11),--ISNUMBER('Данные 1st'!$IX$2:$IX$317))</f>
        <v>0</v>
      </c>
      <c r="EH11">
        <f>SUMPRODUCT(--('Данные 1st'!$S$2:$S$317=$A11),--ISNUMBER('Данные 1st'!$IY$2:$IY$317))</f>
        <v>0</v>
      </c>
      <c r="EI11">
        <f>SUMPRODUCT(--('Данные 1st'!$S$2:$S$317=$A11),--ISNUMBER('Данные 1st'!$JD$2:$JD$317))</f>
        <v>3</v>
      </c>
      <c r="EJ11">
        <f>SUMPRODUCT(--('Данные 1st'!$S$2:$S$317=$A11),--ISNUMBER('Данные 1st'!$JE$2:$JE$317))</f>
        <v>3</v>
      </c>
      <c r="EK11">
        <f>SUMPRODUCT(--('Данные 1st'!$S$2:$S$317=$A11),--ISNUMBER('Данные 1st'!$JF$2:$JF$317))</f>
        <v>3</v>
      </c>
      <c r="EL11">
        <f>SUMPRODUCT(--('Данные 1st'!$S$2:$S$317=$A11),--ISNUMBER('Данные 1st'!$JG$2:$JG$317))</f>
        <v>3</v>
      </c>
      <c r="EM11">
        <f>SUMPRODUCT(--('Данные 1st'!$S$2:$S$317=$A11),--ISNUMBER('Данные 1st'!$JH$2:$JH$317))</f>
        <v>3</v>
      </c>
      <c r="EN11">
        <f>SUMPRODUCT(--('Данные 1st'!$S$2:$S$317=$A11),--ISNUMBER('Данные 1st'!$JJ$2:$JJ$317))</f>
        <v>3</v>
      </c>
      <c r="EO11">
        <f>SUMPRODUCT(--('Данные 1st'!$S$2:$S$317=$A11),--ISNUMBER('Данные 1st'!$JK$2:$JK$317))</f>
        <v>3</v>
      </c>
      <c r="EP11">
        <f>SUMPRODUCT(--('Данные 1st'!$S$2:$S$317=$A11),--ISNUMBER('Данные 1st'!$JL$2:$JL$317))</f>
        <v>0</v>
      </c>
      <c r="EQ11">
        <f>SUMPRODUCT(--('Данные 1st'!$S$2:$S$317=$A11),--ISNUMBER('Данные 1st'!$JM$2:$JM$317))</f>
        <v>0</v>
      </c>
      <c r="ER11">
        <f>SUMPRODUCT(--('Данные 1st'!$S$2:$S$317=$A11),--ISNUMBER('Данные 1st'!$JN$2:$JN$317))</f>
        <v>3</v>
      </c>
      <c r="ES11">
        <f>SUMPRODUCT(--('Данные 1st'!$S$2:$S$317=$A11),--ISNUMBER('Данные 1st'!$JO$2:$JO$317))</f>
        <v>3</v>
      </c>
      <c r="ET11">
        <f>SUMPRODUCT(--('Данные 1st'!$S$2:$S$317=$A11),--ISNUMBER('Данные 1st'!$JP$2:$JP$317))</f>
        <v>3</v>
      </c>
      <c r="EU11">
        <f>SUMPRODUCT(--('Данные 1st'!$S$2:$S$317=$A11),--ISNUMBER('Данные 1st'!$JQ$2:$JQ$317))</f>
        <v>3</v>
      </c>
      <c r="EV11">
        <f>SUMPRODUCT(--('Данные 1st'!$S$2:$S$317=$A11),--ISNUMBER('Данные 1st'!$JR$2:$JR$317))</f>
        <v>3</v>
      </c>
      <c r="EW11">
        <f>SUMPRODUCT(--('Данные 1st'!$S$2:$S$317=$A11),--ISNUMBER('Данные 1st'!$JS$2:$JS$317))</f>
        <v>3</v>
      </c>
      <c r="EX11">
        <f>SUMPRODUCT(--('Данные 1st'!$S$2:$S$317=$A11),--ISNUMBER('Данные 1st'!$JT$2:$JT$317))</f>
        <v>0</v>
      </c>
      <c r="EY11">
        <f>SUMPRODUCT(--('Данные 1st'!$S$2:$S$317=$A11),--ISNUMBER('Данные 1st'!$JU$2:$JU$317))</f>
        <v>0</v>
      </c>
      <c r="EZ11">
        <f>SUMPRODUCT(--('Данные 1st'!$S$2:$S$317=$A11),--ISNUMBER('Данные 1st'!$JV$2:$JV$317))</f>
        <v>3</v>
      </c>
      <c r="FA11">
        <f>SUMPRODUCT(--('Данные 1st'!$S$2:$S$317=$A11),--ISNUMBER('Данные 1st'!$JW$2:$JW$317))</f>
        <v>0</v>
      </c>
      <c r="FB11">
        <f>SUMPRODUCT(--('Данные 1st'!$S$2:$S$317=$A11),--ISNUMBER('Данные 1st'!$JX$2:$JX$317))</f>
        <v>3</v>
      </c>
      <c r="FC11">
        <f>SUMPRODUCT(--('Данные 1st'!$S$2:$S$317=$A11),--ISNUMBER('Данные 1st'!$JY$2:$JY$317))</f>
        <v>0</v>
      </c>
      <c r="FD11">
        <f>SUMPRODUCT(--('Данные 1st'!$S$2:$S$317=$A11),--ISNUMBER('Данные 1st'!$JZ$2:$JZ$317))</f>
        <v>0</v>
      </c>
      <c r="FE11">
        <f>SUMPRODUCT(--('Данные 1st'!$S$2:$S$317=$A11),--ISNUMBER('Данные 1st'!$KA$2:$KA$317))</f>
        <v>3</v>
      </c>
      <c r="FF11">
        <f>SUMPRODUCT(--('Данные 1st'!$S$2:$S$317=$A11),--ISNUMBER('Данные 1st'!$KB$2:$KB$317))</f>
        <v>3</v>
      </c>
      <c r="FG11">
        <f>SUMPRODUCT(--('Данные 1st'!$S$2:$S$317=$A11),--ISNUMBER('Данные 1st'!$KC$2:$KC$317))</f>
        <v>3</v>
      </c>
      <c r="FH11">
        <f>SUMPRODUCT(--('Данные 1st'!$S$2:$S$317=$A11),--ISNUMBER('Данные 1st'!$KD$2:$KD$317))</f>
        <v>3</v>
      </c>
      <c r="FI11">
        <f>SUMPRODUCT(--('Данные 1st'!$S$2:$S$317=$A11),--ISNUMBER('Данные 1st'!$KE$2:$KE$317))</f>
        <v>0</v>
      </c>
      <c r="FJ11">
        <f>SUMPRODUCT(--('Данные 1st'!$S$2:$S$317=$A11),--ISNUMBER('Данные 1st'!$KF$2:$KF$317))</f>
        <v>3</v>
      </c>
      <c r="FK11">
        <f>SUMPRODUCT(--('Данные 1st'!$S$2:$S$317=$A11),--ISNUMBER('Данные 1st'!$KG$2:$KG$317))</f>
        <v>3</v>
      </c>
      <c r="FL11">
        <f>SUMPRODUCT(--('Данные 1st'!$S$2:$S$317=$A11),--ISNUMBER('Данные 1st'!$KH$2:$KH$317))</f>
        <v>3</v>
      </c>
      <c r="FM11">
        <f>SUMPRODUCT(--('Данные 1st'!$S$2:$S$317=$A11),--ISNUMBER('Данные 1st'!$KI$2:$KI$317))</f>
        <v>3</v>
      </c>
      <c r="FN11">
        <f>SUMPRODUCT(--('Данные 1st'!$S$2:$S$317=$A11),--ISNUMBER('Данные 1st'!$KJ$2:$KJ$317))</f>
        <v>3</v>
      </c>
      <c r="FO11">
        <f>SUMPRODUCT(--('Данные 1st'!$S$2:$S$317=$A11),--ISNUMBER('Данные 1st'!$KK$2:$KK$317))</f>
        <v>3</v>
      </c>
      <c r="FP11">
        <f>SUMPRODUCT(--('Данные 1st'!$S$2:$S$317=$A11),--ISNUMBER('Данные 1st'!$KL$2:$KL$317))</f>
        <v>3</v>
      </c>
      <c r="FQ11">
        <f>SUMPRODUCT(--('Данные 1st'!$S$2:$S$317=$A11),--ISNUMBER('Данные 1st'!$KM$2:$KM$317))</f>
        <v>3</v>
      </c>
      <c r="FR11">
        <f>SUMPRODUCT(--('Данные 1st'!$S$2:$S$317=$A11),--ISNUMBER('Данные 1st'!$KN$2:$KN$317))</f>
        <v>3</v>
      </c>
      <c r="FS11">
        <f>SUMPRODUCT(--('Данные 1st'!$S$2:$S$317=$A11),--ISNUMBER('Данные 1st'!$KR$2:$KR$317))</f>
        <v>3</v>
      </c>
      <c r="FT11">
        <f>SUMPRODUCT(--('Данные 1st'!$S$2:$S$317=$A11),--ISNUMBER('Данные 1st'!$KS$2:$KS$317))</f>
        <v>3</v>
      </c>
      <c r="FU11">
        <f>SUMPRODUCT(--('Данные 1st'!$S$2:$S$317=$A11),--ISNUMBER('Данные 1st'!$KT$2:$KT$317))</f>
        <v>3</v>
      </c>
      <c r="FV11">
        <f>SUMPRODUCT(--('Данные 1st'!$S$2:$S$317=$A11),--ISNUMBER('Данные 1st'!$KV$2:$KV$317))</f>
        <v>0</v>
      </c>
      <c r="FW11">
        <f>SUMPRODUCT(--('Данные 1st'!$S$2:$S$317=$A11),--ISNUMBER('Данные 1st'!$KW$2:$KW$317))</f>
        <v>0</v>
      </c>
      <c r="FX11">
        <f>SUMPRODUCT(--('Данные 1st'!$S$2:$S$317=$A11),--ISNUMBER('Данные 1st'!$KX$2:$KX$317))</f>
        <v>0</v>
      </c>
      <c r="FY11">
        <f>SUMPRODUCT(--('Данные 1st'!$S$2:$S$317=$A11),--ISNUMBER('Данные 1st'!$KY$2:$KY$317))</f>
        <v>0</v>
      </c>
      <c r="FZ11">
        <f>SUMPRODUCT(--('Данные 1st'!$S$2:$S$317=$A11),--ISNUMBER('Данные 1st'!$KZ$2:$KZ$317))</f>
        <v>0</v>
      </c>
      <c r="GA11">
        <f>SUMPRODUCT(--('Данные 1st'!$S$2:$S$317=$A11),--ISNUMBER('Данные 1st'!$LA$2:$LA$317))</f>
        <v>0</v>
      </c>
      <c r="GB11">
        <f>SUMPRODUCT(--('Данные 1st'!$S$2:$S$317=$A11),--ISNUMBER('Данные 1st'!$LB$2:$LB$317))</f>
        <v>0</v>
      </c>
      <c r="GC11">
        <f>SUMPRODUCT(--('Данные 1st'!$S$2:$S$317=$A11),--ISNUMBER('Данные 1st'!$LC$2:$LC$317))</f>
        <v>0</v>
      </c>
      <c r="GD11">
        <f>SUMPRODUCT(--('Данные 1st'!$S$2:$S$317=$A11),--ISNUMBER('Данные 1st'!$LD$2:$LD$317))</f>
        <v>0</v>
      </c>
      <c r="GE11">
        <f>SUMPRODUCT(--('Данные 1st'!$S$2:$S$317=$A11),--ISNUMBER('Данные 1st'!$LE$2:$LE$317))</f>
        <v>0</v>
      </c>
      <c r="GF11">
        <f>SUMPRODUCT(--('Данные 1st'!$S$2:$S$317=$A11),--ISNUMBER('Данные 1st'!$LF$2:$LF$317))</f>
        <v>0</v>
      </c>
      <c r="GG11">
        <f>SUMPRODUCT(--('Данные 1st'!$S$2:$S$317=$A11),--ISNUMBER('Данные 1st'!$LG$2:$LG$317))</f>
        <v>0</v>
      </c>
      <c r="GH11">
        <f>SUMPRODUCT(--('Данные 1st'!$S$2:$S$317=$A11),--ISNUMBER('Данные 1st'!$LH$2:$LH$317))</f>
        <v>0</v>
      </c>
      <c r="GI11">
        <f>SUMPRODUCT(--('Данные 1st'!$S$2:$S$317=$A11),--ISNUMBER('Данные 1st'!$LI$2:$LI$317))</f>
        <v>0</v>
      </c>
      <c r="GJ11">
        <f>SUMPRODUCT(--('Данные 1st'!$S$2:$S$317=$A11),--ISNUMBER('Данные 1st'!$LJ$2:$LJ$317))</f>
        <v>0</v>
      </c>
      <c r="GK11">
        <f>SUMPRODUCT(--('Данные 1st'!$S$2:$S$317=$A11),--ISNUMBER('Данные 1st'!$LK$2:$LK$317))</f>
        <v>3</v>
      </c>
      <c r="GL11">
        <f>SUMPRODUCT(--('Данные 1st'!$S$2:$S$317=$A11),--ISNUMBER('Данные 1st'!$LV$2:$LV$317))</f>
        <v>0</v>
      </c>
      <c r="GM11">
        <f>SUMPRODUCT(--('Данные 1st'!$S$2:$S$317=$A11),--ISNUMBER('Данные 1st'!$LW$2:$LW$317))</f>
        <v>0</v>
      </c>
      <c r="GN11">
        <f>SUMPRODUCT(--('Данные 1st'!$S$2:$S$317=$A11),--ISNUMBER('Данные 1st'!$LX$2:$LX$317))</f>
        <v>1</v>
      </c>
      <c r="GO11">
        <f>SUMPRODUCT(--('Данные 1st'!$S$2:$S$317=$A11),--ISNUMBER('Данные 1st'!$LY$2:$LY$317))</f>
        <v>1</v>
      </c>
      <c r="GP11">
        <f>SUMPRODUCT(--('Данные 1st'!$S$2:$S$317=$A11),--ISNUMBER('Данные 1st'!$LZ$2:$LZ$317))</f>
        <v>1</v>
      </c>
      <c r="GQ11">
        <f>SUMPRODUCT(--('Данные 1st'!$S$2:$S$317=$A11),--ISNUMBER('Данные 1st'!$PG$2:$PG$317))</f>
        <v>3</v>
      </c>
      <c r="GR11">
        <f>SUMPRODUCT(--('Данные 1st'!$S$2:$S$317=$A11),--ISNUMBER('Данные 1st'!$PX$2:$PX$317))</f>
        <v>3</v>
      </c>
      <c r="GS11">
        <f>SUMPRODUCT(--('Данные 1st'!$S$2:$S$317=$A11),--ISNUMBER('Данные 1st'!$PY$2:$PY$317))</f>
        <v>3</v>
      </c>
      <c r="GT11">
        <f>SUMPRODUCT(--('Данные 1st'!$S$2:$S$317=$A11),--ISNUMBER('Данные 1st'!$QA$2:$QA$317))</f>
        <v>3</v>
      </c>
      <c r="GU11">
        <f>SUMPRODUCT(--('Данные 1st'!$S$2:$S$317=$A11),--ISNUMBER('Данные 1st'!$QB$2:$QB$317))</f>
        <v>3</v>
      </c>
      <c r="GV11">
        <f>SUMPRODUCT(--('Данные 1st'!$S$2:$S$317=$A11),--ISNUMBER('Данные 1st'!$QC$2:$QC$317))</f>
        <v>3</v>
      </c>
      <c r="GW11">
        <f>SUMPRODUCT(--('Данные 1st'!$S$2:$S$317=$A11),--ISNUMBER('Данные 1st'!$QD$2:$QD$317))</f>
        <v>3</v>
      </c>
      <c r="GX11">
        <f>SUMPRODUCT(--('Данные 1st'!$S$2:$S$317=$A11),--ISNUMBER('Данные 1st'!$QF$2:$QF$317))</f>
        <v>3</v>
      </c>
      <c r="GY11">
        <f>SUMPRODUCT(--('Данные 1st'!$S$2:$S$317=$A11),--ISNUMBER('Данные 1st'!$QG$2:$QG$317))</f>
        <v>3</v>
      </c>
      <c r="GZ11">
        <f>SUMPRODUCT(--('Данные 1st'!$S$2:$S$317=$A11),--ISNUMBER('Данные 1st'!$QH$2:$QH$317))</f>
        <v>3</v>
      </c>
      <c r="HA11">
        <f>SUMPRODUCT(--('Данные 1st'!$S$2:$S$317=$A11),--ISNUMBER('Данные 1st'!$QI$2:$QI$317))</f>
        <v>3</v>
      </c>
      <c r="HB11">
        <f>SUMPRODUCT(--('Данные 1st'!$S$2:$S$317=$A11),--ISNUMBER('Данные 1st'!$QK$2:$QK$317))</f>
        <v>0</v>
      </c>
      <c r="HC11">
        <f>SUMPRODUCT(--('Данные 1st'!$S$2:$S$317=$A11),--ISNUMBER('Данные 1st'!$QL$2:$QL$317))</f>
        <v>3</v>
      </c>
      <c r="HD11">
        <f>SUMPRODUCT(--('Данные 1st'!$S$2:$S$317=$A11),--ISNUMBER('Данные 1st'!$QM$2:$QM$317))</f>
        <v>3</v>
      </c>
      <c r="HE11">
        <f>SUMPRODUCT(--('Данные 1st'!$S$2:$S$317=$A11),--ISNUMBER('Данные 1st'!$QN$2:$QN$317))</f>
        <v>3</v>
      </c>
      <c r="HF11">
        <f>SUMPRODUCT(--('Данные 1st'!$S$2:$S$317=$A11),--ISNUMBER('Данные 1st'!$QP$2:$QP$317))</f>
        <v>3</v>
      </c>
      <c r="HG11">
        <f>SUMPRODUCT(--('Данные 1st'!$S$2:$S$317=$A11),--ISNUMBER('Данные 1st'!$QQ$2:$QQ$317))</f>
        <v>3</v>
      </c>
      <c r="HH11">
        <f>SUMPRODUCT(--('Данные 1st'!$S$2:$S$317=$A11),--ISNUMBER('Данные 1st'!$QR$2:$QR$317))</f>
        <v>0</v>
      </c>
      <c r="HI11">
        <f>SUMPRODUCT(--('Данные 1st'!$S$2:$S$317=$A11),--ISNUMBER('Данные 1st'!$QS$2:$QS$317))</f>
        <v>0</v>
      </c>
      <c r="HJ11">
        <f>SUMPRODUCT(--('Данные 1st'!$S$2:$S$317=$A11),--ISNUMBER('Данные 1st'!$QU$2:$QU$317))</f>
        <v>0</v>
      </c>
      <c r="HK11">
        <f>SUMPRODUCT(--('Данные 1st'!$S$2:$S$317=$A11),--ISNUMBER('Данные 1st'!$QV$2:$QV$317))</f>
        <v>0</v>
      </c>
      <c r="HL11">
        <f>SUMPRODUCT(--('Данные 1st'!$S$2:$S$317=$A11),--ISNUMBER('Данные 1st'!$QW$2:$QW$317))</f>
        <v>3</v>
      </c>
      <c r="HM11">
        <f>SUMPRODUCT(--('Данные 1st'!$S$2:$S$317=$A11),--ISNUMBER('Данные 1st'!$QX$2:$QX$317))</f>
        <v>3</v>
      </c>
      <c r="HN11">
        <f>SUMPRODUCT(--('Данные 1st'!$S$2:$S$317=$A11),--ISNUMBER('Данные 1st'!$QZ$2:$QZ$317))</f>
        <v>3</v>
      </c>
      <c r="HO11">
        <f>SUMPRODUCT(--('Данные 1st'!$S$2:$S$317=$A11),--ISNUMBER('Данные 1st'!$RA$2:$RA$317))</f>
        <v>3</v>
      </c>
      <c r="HP11">
        <f>SUMPRODUCT(--('Данные 1st'!$S$2:$S$317=$A11),--ISNUMBER('Данные 1st'!$RB$2:$RB$317))</f>
        <v>3</v>
      </c>
      <c r="HQ11">
        <f>SUMPRODUCT(--('Данные 1st'!$S$2:$S$317=$A11),--ISNUMBER('Данные 1st'!$RD$2:$RD$317))</f>
        <v>0</v>
      </c>
      <c r="HR11">
        <f>SUMPRODUCT(--('Данные 1st'!$S$2:$S$317=$A11),--ISNUMBER('Данные 1st'!$RE$2:$RE$317))</f>
        <v>3</v>
      </c>
      <c r="HS11">
        <f>SUMPRODUCT(--('Данные 1st'!$S$2:$S$317=$A11),--ISNUMBER('Данные 1st'!$RF$2:$RF$317))</f>
        <v>0</v>
      </c>
      <c r="HT11">
        <f>SUMPRODUCT(--('Данные 1st'!$S$2:$S$317=$A11),--ISNUMBER('Данные 1st'!$RG$2:$RG$317))</f>
        <v>3</v>
      </c>
      <c r="HU11">
        <f>SUMPRODUCT(--('Данные 1st'!$S$2:$S$317=$A11),--ISNUMBER('Данные 1st'!$RH$2:$RH$317))</f>
        <v>0</v>
      </c>
      <c r="HV11">
        <f>SUMPRODUCT(--('Данные 1st'!$S$2:$S$317=$A11),--ISNUMBER('Данные 1st'!$RI$2:$RI$317))</f>
        <v>0</v>
      </c>
      <c r="HW11">
        <f>SUMPRODUCT(--('Данные 1st'!$S$2:$S$317=$A11),--ISNUMBER('Данные 1st'!$RJ$2:$RJ$317))</f>
        <v>3</v>
      </c>
      <c r="HX11">
        <f>SUMPRODUCT(--('Данные 1st'!$S$2:$S$317=$A11),--ISNUMBER('Данные 1st'!$RK$2:$RK$317))</f>
        <v>0</v>
      </c>
      <c r="HY11">
        <f>SUMPRODUCT(--('Данные 1st'!$S$2:$S$317=$A11),--ISNUMBER('Данные 1st'!$RL$2:$RL$317))</f>
        <v>3</v>
      </c>
      <c r="HZ11">
        <f>SUMPRODUCT(--('Данные 1st'!$S$2:$S$317=$A11),--ISNUMBER('Данные 1st'!$RM$2:$RM$317))</f>
        <v>0</v>
      </c>
      <c r="IA11">
        <f>SUMPRODUCT(--('Данные 1st'!$S$2:$S$317=$A11),--ISNUMBER('Данные 1st'!$RN$2:$RN$317))</f>
        <v>0</v>
      </c>
      <c r="IB11">
        <f>SUMPRODUCT(--('Данные 1st'!$S$2:$S$317=$A11),--ISNUMBER('Данные 1st'!$RO$2:$RO$317))</f>
        <v>3</v>
      </c>
      <c r="IC11">
        <f>SUMPRODUCT(--('Данные 1st'!$S$2:$S$317=$A11),--ISNUMBER('Данные 1st'!$RP$2:$RP$317))</f>
        <v>0</v>
      </c>
      <c r="ID11">
        <f>SUMPRODUCT(--('Данные 1st'!$S$2:$S$317=$A11),--ISNUMBER('Данные 1st'!$RQ$2:$RQ$317))</f>
        <v>3</v>
      </c>
      <c r="IE11">
        <f>SUMPRODUCT(--('Данные 1st'!$S$2:$S$317=$A11),--ISNUMBER('Данные 1st'!$RR$2:$RR$317))</f>
        <v>0</v>
      </c>
      <c r="IF11">
        <f>SUMPRODUCT(--('Данные 1st'!$S$2:$S$317=$A11),--ISNUMBER('Данные 1st'!$RS$2:$RS$317))</f>
        <v>0</v>
      </c>
      <c r="IG11">
        <f>SUMPRODUCT(--('Данные 1st'!$S$2:$S$317=$A11),--ISNUMBER('Данные 1st'!$RT$2:$RT$317))</f>
        <v>3</v>
      </c>
      <c r="IH11">
        <f>SUMPRODUCT(--('Данные 1st'!$S$2:$S$317=$A11),--ISNUMBER('Данные 1st'!$RU$2:$RU$317))</f>
        <v>3</v>
      </c>
      <c r="II11">
        <f>SUMPRODUCT(--('Данные 1st'!$S$2:$S$317=$A11),--ISNUMBER('Данные 1st'!$RX$2:$RX$317))</f>
        <v>3</v>
      </c>
      <c r="IJ11">
        <f>SUMPRODUCT(--('Данные 1st'!$S$2:$S$317=$A11),--ISNUMBER('Данные 1st'!$RY$2:$RY$317))</f>
        <v>3</v>
      </c>
      <c r="IK11">
        <f>SUMPRODUCT(--('Данные 1st'!$S$2:$S$317=$A11),--ISNUMBER('Данные 1st'!$SA$2:$SA$317))</f>
        <v>3</v>
      </c>
      <c r="IL11">
        <f>SUMPRODUCT(--('Данные 1st'!$S$2:$S$317=$A11),--ISNUMBER('Данные 1st'!$SD$2:$SD$317))</f>
        <v>3</v>
      </c>
      <c r="IM11">
        <f>SUMPRODUCT(--('Данные 1st'!$S$2:$S$317=$A11),--ISNUMBER('Данные 1st'!$SG$2:$SG$317))</f>
        <v>0</v>
      </c>
      <c r="IN11">
        <f>SUMPRODUCT(--('Данные 1st'!$S$2:$S$317=$A11),--ISNUMBER('Данные 1st'!$SH$2:$SH$317))</f>
        <v>3</v>
      </c>
      <c r="IO11">
        <f>SUMPRODUCT(--('Данные 1st'!$S$2:$S$317=$A11),--ISNUMBER('Данные 1st'!$SI$2:$SI$317))</f>
        <v>3</v>
      </c>
      <c r="IP11">
        <f>SUMPRODUCT(--('Данные 1st'!$S$2:$S$317=$A11),--ISNUMBER('Данные 1st'!$SJ$2:$SJ$317))</f>
        <v>3</v>
      </c>
      <c r="IQ11">
        <f>SUMPRODUCT(--('Данные 1st'!$S$2:$S$317=$A11),--ISNUMBER('Данные 1st'!$SK$2:$SK$317))</f>
        <v>3</v>
      </c>
      <c r="IR11">
        <f>SUMPRODUCT(--('Данные 1st'!$S$2:$S$317=$A11),--ISNUMBER('Данные 1st'!$SL$2:$SL$317))</f>
        <v>3</v>
      </c>
      <c r="IS11">
        <f>SUMPRODUCT(--('Данные 1st'!$S$2:$S$317=$A11),--ISNUMBER('Данные 1st'!$SM$2:$SM$317))</f>
        <v>3</v>
      </c>
      <c r="IT11">
        <f>SUMPRODUCT(--('Данные 1st'!$S$2:$S$317=$A11),--ISNUMBER('Данные 1st'!$SN$2:$SN$317))</f>
        <v>3</v>
      </c>
      <c r="IU11">
        <f>SUMPRODUCT(--('Данные 1st'!$S$2:$S$317=$A11),--ISNUMBER('Данные 1st'!$SO$2:$SO$317))</f>
        <v>3</v>
      </c>
      <c r="IV11">
        <f>SUMPRODUCT(--('Данные 1st'!$S$2:$S$317=$A11),--ISNUMBER('Данные 1st'!$SP$2:$SP$317))</f>
        <v>3</v>
      </c>
      <c r="IW11">
        <f>SUMPRODUCT(--('Данные 1st'!$S$2:$S$317=$A11),--ISNUMBER('Данные 1st'!$SQ$2:$SQ$317))</f>
        <v>3</v>
      </c>
      <c r="IX11">
        <f>SUMPRODUCT(--('Данные 1st'!$S$2:$S$317=$A11),--ISNUMBER('Данные 1st'!$SR$2:$SR$317))</f>
        <v>3</v>
      </c>
      <c r="IY11">
        <f>SUMPRODUCT(--('Данные 1st'!$S$2:$S$317=$A11),--ISNUMBER('Данные 1st'!$SS$2:$SS$317))</f>
        <v>3</v>
      </c>
      <c r="IZ11">
        <f>SUMPRODUCT(--('Данные 1st'!$S$2:$S$317=$A11),--ISNUMBER('Данные 1st'!$ST$2:$ST$317))</f>
        <v>3</v>
      </c>
      <c r="JA11">
        <f>SUMPRODUCT(--('Данные 1st'!$S$2:$S$317=$A11),--ISNUMBER('Данные 1st'!$SU$2:$SU$317))</f>
        <v>3</v>
      </c>
      <c r="JB11">
        <f>SUMPRODUCT(--('Данные 1st'!$S$2:$S$317=$A11),--ISNUMBER('Данные 1st'!$SV$2:$SV$317))</f>
        <v>3</v>
      </c>
      <c r="JC11">
        <f>SUMPRODUCT(--('Данные 1st'!$S$2:$S$317=$A11),--ISNUMBER('Данные 1st'!$SW$2:$SW$317))</f>
        <v>3</v>
      </c>
      <c r="JD11">
        <f>SUMPRODUCT(--('Данные 1st'!$S$2:$S$317=$A11),--ISNUMBER('Данные 1st'!$SX$2:$SX$317))</f>
        <v>3</v>
      </c>
      <c r="JE11">
        <f>SUMPRODUCT(--('Данные 1st'!$S$2:$S$317=$A11),--ISNUMBER('Данные 1st'!$SY$2:$SY$317))</f>
        <v>0</v>
      </c>
      <c r="JF11">
        <f>SUMPRODUCT(--('Данные 1st'!$S$2:$S$317=$A11),--ISNUMBER('Данные 1st'!$SZ$2:$SZ$317))</f>
        <v>0</v>
      </c>
      <c r="JG11">
        <f>SUMPRODUCT(--('Данные 1st'!$S$2:$S$317=$A11),--ISNUMBER('Данные 1st'!$TA$2:$TA$317))</f>
        <v>0</v>
      </c>
      <c r="JH11">
        <f>SUMPRODUCT(--('Данные 1st'!$S$2:$S$317=$A11),--ISNUMBER('Данные 1st'!$TB$2:$TB$317))</f>
        <v>3</v>
      </c>
      <c r="JI11">
        <f>SUMPRODUCT(--('Данные 1st'!$S$2:$S$317=$A11),--ISNUMBER('Данные 1st'!$TC$2:$TC$317))</f>
        <v>3</v>
      </c>
      <c r="JJ11">
        <f>SUMPRODUCT(--('Данные 1st'!$S$2:$S$317=$A11),--ISNUMBER('Данные 1st'!$TD$2:$TD$317))</f>
        <v>3</v>
      </c>
      <c r="JK11">
        <f>SUMPRODUCT(--('Данные 1st'!$S$2:$S$317=$A11),--ISNUMBER('Данные 1st'!$TN$2:$TN$317))</f>
        <v>3</v>
      </c>
      <c r="JQ11">
        <f>SUMPRODUCT(--('Данные 2st'!$Q$2:$Q$317=$A11),--ISNUMBER('Данные 2st'!$AC$2:$AC$317))</f>
        <v>3</v>
      </c>
      <c r="JR11">
        <f>SUMPRODUCT(--('Данные 2st'!$Q$2:$Q$317=$A11),--ISNUMBER('Данные 2st'!$AF$2:$AF$317))</f>
        <v>3</v>
      </c>
      <c r="JS11">
        <f>SUMPRODUCT(--('Данные 2st'!$Q$2:$Q$317=$A11),--ISNUMBER('Данные 2st'!$AW$2:$AW$317))</f>
        <v>3</v>
      </c>
      <c r="JT11">
        <f>SUMPRODUCT(--('Данные 2st'!$Q$2:$Q$317=$A11),--ISNUMBER('Данные 2st'!$AX$2:$AX$317))</f>
        <v>3</v>
      </c>
      <c r="JU11">
        <f>SUMPRODUCT(--('Данные 2st'!$Q$2:$Q$317=$A11),--ISNUMBER('Данные 2st'!$AY$2:$AY$317))</f>
        <v>3</v>
      </c>
      <c r="JV11">
        <f>SUMPRODUCT(--('Данные 2st'!$Q$2:$Q$317=$A11),--ISNUMBER('Данные 2st'!$AZ$2:$AZ$317))</f>
        <v>3</v>
      </c>
      <c r="JW11">
        <f>SUMPRODUCT(--('Данные 2st'!$Q$2:$Q$317=$A11),--ISNUMBER('Данные 2st'!$BA$2:$BA$317))</f>
        <v>0</v>
      </c>
      <c r="JX11">
        <f>SUMPRODUCT(--('Данные 2st'!$Q$2:$Q$317=$A11),--ISNUMBER('Данные 2st'!$BB$2:$BB$317))</f>
        <v>0</v>
      </c>
      <c r="JY11">
        <f>SUMPRODUCT(--('Данные 2st'!$Q$2:$Q$317=$A11),--ISNUMBER('Данные 2st'!$BC$2:$BC$317))</f>
        <v>0</v>
      </c>
      <c r="JZ11">
        <f>SUMPRODUCT(--('Данные 2st'!$Q$2:$Q$317=$A11),--ISNUMBER('Данные 2st'!$BH$2:$BH$317))</f>
        <v>3</v>
      </c>
      <c r="KA11">
        <f>SUMPRODUCT(--('Данные 2st'!$Q$2:$Q$317=$A11),--ISNUMBER('Данные 2st'!$BI$2:$BI$317))</f>
        <v>3</v>
      </c>
      <c r="KB11">
        <f>SUMPRODUCT(--('Данные 2st'!$Q$2:$Q$317=$A11),--ISNUMBER('Данные 2st'!$BJ$2:$BJ$317))</f>
        <v>3</v>
      </c>
      <c r="KC11">
        <f>SUMPRODUCT(--('Данные 2st'!$Q$2:$Q$317=$A11),--ISNUMBER('Данные 2st'!$BK$2:$BK$317))</f>
        <v>3</v>
      </c>
      <c r="KD11">
        <f>SUMPRODUCT(--('Данные 2st'!$Q$2:$Q$317=$A11),--ISNUMBER('Данные 2st'!$BL$2:$BL$317))</f>
        <v>3</v>
      </c>
      <c r="KE11">
        <f>SUMPRODUCT(--('Данные 2st'!$Q$2:$Q$317=$A11),--ISNUMBER('Данные 2st'!$BM$2:$BM$317))</f>
        <v>3</v>
      </c>
      <c r="KF11">
        <f>SUMPRODUCT(--('Данные 2st'!$Q$2:$Q$317=$A11),--ISNUMBER('Данные 2st'!$BN$2:$BN$317))</f>
        <v>3</v>
      </c>
      <c r="KG11">
        <f>SUMPRODUCT(--('Данные 2st'!$Q$2:$Q$317=$A11),--ISNUMBER('Данные 2st'!$BO$2:$BO$317))</f>
        <v>0</v>
      </c>
      <c r="KH11">
        <f>SUMPRODUCT(--('Данные 2st'!$Q$2:$Q$317=$A11),--ISNUMBER('Данные 2st'!$BP$2:$BP$317))</f>
        <v>3</v>
      </c>
      <c r="KI11">
        <f>SUMPRODUCT(--('Данные 2st'!$Q$2:$Q$317=$A11),--ISNUMBER('Данные 2st'!$BR$2:$BR$317))</f>
        <v>3</v>
      </c>
      <c r="KJ11">
        <f>SUMPRODUCT(--('Данные 2st'!$Q$2:$Q$317=$A11),--ISNUMBER('Данные 2st'!$BS$2:$BS$317))</f>
        <v>3</v>
      </c>
      <c r="KK11">
        <f>SUMPRODUCT(--('Данные 2st'!$Q$2:$Q$317=$A11),--ISNUMBER('Данные 2st'!$BT$2:$BT$317))</f>
        <v>3</v>
      </c>
      <c r="KL11">
        <f>SUMPRODUCT(--('Данные 2st'!$Q$2:$Q$317=$A11),--ISNUMBER('Данные 2st'!$CV$2:$CV$317))</f>
        <v>3</v>
      </c>
      <c r="KM11">
        <f>SUMPRODUCT(--('Данные 2st'!$Q$2:$Q$317=$A11),--ISNUMBER('Данные 2st'!$CW$2:$CW$317))</f>
        <v>3</v>
      </c>
      <c r="KN11">
        <f>SUMPRODUCT(--('Данные 2st'!$Q$2:$Q$317=$A11),--ISNUMBER('Данные 2st'!$CX$2:$CX$317))</f>
        <v>3</v>
      </c>
      <c r="KO11">
        <f>SUMPRODUCT(--('Данные 2st'!$Q$2:$Q$317=$A11),--ISNUMBER('Данные 2st'!$CY$2:$CY$317))</f>
        <v>3</v>
      </c>
      <c r="KP11">
        <f>SUMPRODUCT(--('Данные 2st'!$Q$2:$Q$317=$A11),--ISNUMBER('Данные 2st'!$CZ$2:$CZ$317))</f>
        <v>3</v>
      </c>
      <c r="KQ11">
        <f>SUMPRODUCT(--('Данные 2st'!$Q$2:$Q$317=$A11),--ISNUMBER('Данные 2st'!$DA$2:$DA$317))</f>
        <v>3</v>
      </c>
      <c r="KR11">
        <f>SUMPRODUCT(--('Данные 2st'!$Q$2:$Q$317=$A11),--ISNUMBER('Данные 2st'!$DB$2:$DB$317))</f>
        <v>3</v>
      </c>
      <c r="KS11">
        <f>SUMPRODUCT(--('Данные 2st'!$Q$2:$Q$317=$A11),--ISNUMBER('Данные 2st'!$DC$2:$DC$317))</f>
        <v>3</v>
      </c>
      <c r="KT11">
        <f>SUMPRODUCT(--('Данные 2st'!$Q$2:$Q$317=$A11),--ISNUMBER('Данные 2st'!$DD$2:$DD$317))</f>
        <v>3</v>
      </c>
      <c r="KU11">
        <f>SUMPRODUCT(--('Данные 2st'!$Q$2:$Q$317=$A11),--ISNUMBER('Данные 2st'!$DE$2:$DE$317))</f>
        <v>3</v>
      </c>
      <c r="KV11">
        <f>SUMPRODUCT(--('Данные 2st'!$Q$2:$Q$317=$A11),--ISNUMBER('Данные 2st'!$DF$2:$DF$317))</f>
        <v>3</v>
      </c>
      <c r="KW11">
        <f>SUMPRODUCT(--('Данные 2st'!$Q$2:$Q$317=$A11),--ISNUMBER('Данные 2st'!$DG$2:$DG$317))</f>
        <v>3</v>
      </c>
      <c r="KX11">
        <f>SUMPRODUCT(--('Данные 2st'!$Q$2:$Q$317=$A11),--ISNUMBER('Данные 2st'!$DH$2:$DH$317))</f>
        <v>0</v>
      </c>
      <c r="KY11">
        <f>SUMPRODUCT(--('Данные 2st'!$Q$2:$Q$317=$A11),--ISNUMBER('Данные 2st'!$DI$2:$DI$317))</f>
        <v>0</v>
      </c>
      <c r="KZ11">
        <f>SUMPRODUCT(--('Данные 2st'!$Q$2:$Q$317=$A11),--ISNUMBER('Данные 2st'!$DK$2:$DK$317))</f>
        <v>3</v>
      </c>
      <c r="LA11">
        <f>SUMPRODUCT(--('Данные 2st'!$Q$2:$Q$317=$A11),--ISNUMBER('Данные 2st'!$DM$2:$DM$317))</f>
        <v>3</v>
      </c>
      <c r="LB11">
        <f>SUMPRODUCT(--('Данные 2st'!$Q$2:$Q$317=$A11),--ISNUMBER('Данные 2st'!$DN$2:$DN$317))</f>
        <v>3</v>
      </c>
      <c r="LC11">
        <f>SUMPRODUCT(--('Данные 2st'!$Q$2:$Q$317=$A11),--ISNUMBER('Данные 2st'!$DO$2:$DO$317))</f>
        <v>3</v>
      </c>
      <c r="LD11">
        <f>SUMPRODUCT(--('Данные 2st'!$Q$2:$Q$317=$A11),--ISNUMBER('Данные 2st'!$DP$2:$DP$317))</f>
        <v>3</v>
      </c>
      <c r="LE11">
        <f>SUMPRODUCT(--('Данные 2st'!$Q$2:$Q$317=$A11),--ISNUMBER('Данные 2st'!$DQ$2:$DQ$317))</f>
        <v>3</v>
      </c>
      <c r="LF11">
        <f>SUMPRODUCT(--('Данные 2st'!$Q$2:$Q$317=$A11),--ISNUMBER('Данные 2st'!$DS$2:$DS$317))</f>
        <v>3</v>
      </c>
      <c r="LG11">
        <f>SUMPRODUCT(--('Данные 2st'!$Q$2:$Q$317=$A11),--ISNUMBER('Данные 2st'!$DU$2:$DU$317))</f>
        <v>3</v>
      </c>
      <c r="LH11">
        <f>SUMPRODUCT(--('Данные 2st'!$Q$2:$Q$317=$A11),--ISNUMBER('Данные 2st'!$DV$2:$DV$317))</f>
        <v>3</v>
      </c>
      <c r="LI11">
        <f>SUMPRODUCT(--('Данные 2st'!$Q$2:$Q$317=$A11),--ISNUMBER('Данные 2st'!$DW$2:$DW$317))</f>
        <v>3</v>
      </c>
      <c r="LJ11">
        <f>SUMPRODUCT(--('Данные 2st'!$Q$2:$Q$317=$A11),--ISNUMBER('Данные 2st'!$DX$2:$DX$317))</f>
        <v>3</v>
      </c>
      <c r="LK11">
        <f>SUMPRODUCT(--('Данные 2st'!$Q$2:$Q$317=$A11),--ISNUMBER('Данные 2st'!$DY$2:$DY$317))</f>
        <v>3</v>
      </c>
      <c r="LL11">
        <f>SUMPRODUCT(--('Данные 2st'!$Q$2:$Q$317=$A11),--ISNUMBER('Данные 2st'!$EA$2:$EA$317))</f>
        <v>3</v>
      </c>
      <c r="LM11">
        <f>SUMPRODUCT(--('Данные 2st'!$Q$2:$Q$317=$A11),--ISNUMBER('Данные 2st'!$EC$2:$EC$317))</f>
        <v>3</v>
      </c>
      <c r="LN11">
        <f>SUMPRODUCT(--('Данные 2st'!$Q$2:$Q$317=$A11),--ISNUMBER('Данные 2st'!$ED$2:$ED$317))</f>
        <v>3</v>
      </c>
      <c r="LO11">
        <f>SUMPRODUCT(--('Данные 2st'!$Q$2:$Q$317=$A11),--ISNUMBER('Данные 2st'!$EE$2:$EE$317))</f>
        <v>3</v>
      </c>
      <c r="LP11">
        <f>SUMPRODUCT(--('Данные 2st'!$Q$2:$Q$317=$A11),--ISNUMBER('Данные 2st'!$EG$2:$EG$317))</f>
        <v>3</v>
      </c>
      <c r="LQ11">
        <f>SUMPRODUCT(--('Данные 2st'!$Q$2:$Q$317=$A11),--ISNUMBER('Данные 2st'!$EI$2:$EI$317))</f>
        <v>3</v>
      </c>
      <c r="LR11">
        <f>SUMPRODUCT(--('Данные 2st'!$Q$2:$Q$317=$A11),--ISNUMBER('Данные 2st'!$EJ$2:$EJ$317))</f>
        <v>3</v>
      </c>
      <c r="LS11">
        <f>SUMPRODUCT(--('Данные 2st'!$Q$2:$Q$317=$A11),--ISNUMBER('Данные 2st'!$EK$2:$EK$317))</f>
        <v>3</v>
      </c>
      <c r="LT11">
        <f>SUMPRODUCT(--('Данные 2st'!$Q$2:$Q$317=$A11),--ISNUMBER('Данные 2st'!$EM$2:$EM$317))</f>
        <v>3</v>
      </c>
      <c r="LU11">
        <f>SUMPRODUCT(--('Данные 2st'!$Q$2:$Q$317=$A11),--ISNUMBER('Данные 2st'!$EN$2:$EN$317))</f>
        <v>3</v>
      </c>
      <c r="LV11">
        <f>SUMPRODUCT(--('Данные 2st'!$Q$2:$Q$317=$A11),--ISNUMBER('Данные 2st'!$EO$2:$EO$317))</f>
        <v>3</v>
      </c>
      <c r="LW11">
        <f>SUMPRODUCT(--('Данные 2st'!$Q$2:$Q$317=$A11),--ISNUMBER('Данные 2st'!$EP$2:$EP$317))</f>
        <v>3</v>
      </c>
      <c r="LX11">
        <f>SUMPRODUCT(--('Данные 2st'!$Q$2:$Q$317=$A11),--ISNUMBER('Данные 2st'!$EQ$2:$EQ$317))</f>
        <v>3</v>
      </c>
      <c r="LY11">
        <f>SUMPRODUCT(--('Данные 2st'!$Q$2:$Q$317=$A11),--ISNUMBER('Данные 2st'!$ER$2:$ER$317))</f>
        <v>3</v>
      </c>
      <c r="LZ11">
        <f>SUMPRODUCT(--('Данные 2st'!$Q$2:$Q$317=$A11),--ISNUMBER('Данные 2st'!$ES$2:$ES$317))</f>
        <v>3</v>
      </c>
      <c r="MA11">
        <f>SUMPRODUCT(--('Данные 2st'!$Q$2:$Q$317=$A11),--ISNUMBER('Данные 2st'!$ET$2:$ET$317))</f>
        <v>3</v>
      </c>
      <c r="MB11">
        <f>SUMPRODUCT(--('Данные 2st'!$Q$2:$Q$317=$A11),--ISNUMBER('Данные 2st'!$EU$2:$EU$317))</f>
        <v>3</v>
      </c>
      <c r="MC11">
        <f>SUMPRODUCT(--('Данные 2st'!$Q$2:$Q$317=$A11),--ISNUMBER('Данные 2st'!$EV$2:$EV$317))</f>
        <v>3</v>
      </c>
      <c r="MD11">
        <f>SUMPRODUCT(--('Данные 2st'!$Q$2:$Q$317=$A11),--ISNUMBER('Данные 2st'!$EW$2:$EW$317))</f>
        <v>3</v>
      </c>
      <c r="ME11">
        <f>SUMPRODUCT(--('Данные 2st'!$Q$2:$Q$317=$A11),--ISNUMBER('Данные 2st'!$EY$2:$EY$317))</f>
        <v>3</v>
      </c>
      <c r="MF11">
        <f>SUMPRODUCT(--('Данные 2st'!$Q$2:$Q$317=$A11),--ISNUMBER('Данные 2st'!$FA$2:$FA$317))</f>
        <v>3</v>
      </c>
      <c r="MG11">
        <f>SUMPRODUCT(--('Данные 2st'!$Q$2:$Q$317=$A11),--ISNUMBER('Данные 2st'!$FB$2:$FB$317))</f>
        <v>3</v>
      </c>
      <c r="MH11">
        <f>SUMPRODUCT(--('Данные 2st'!$Q$2:$Q$317=$A11),--ISNUMBER('Данные 2st'!$FC$2:$FC$317))</f>
        <v>3</v>
      </c>
      <c r="MI11">
        <f>SUMPRODUCT(--('Данные 2st'!$Q$2:$Q$317=$A11),--ISNUMBER('Данные 2st'!$FD$2:$FD$317))</f>
        <v>3</v>
      </c>
      <c r="MJ11">
        <f>SUMPRODUCT(--('Данные 2st'!$Q$2:$Q$317=$A11),--ISNUMBER('Данные 2st'!$FE$2:$FE$317))</f>
        <v>3</v>
      </c>
      <c r="MK11">
        <f>SUMPRODUCT(--('Данные 2st'!$Q$2:$Q$317=$A11),--ISNUMBER('Данные 2st'!$FG$2:$FG$317))</f>
        <v>3</v>
      </c>
      <c r="ML11">
        <f>SUMPRODUCT(--('Данные 2st'!$Q$2:$Q$317=$A11),--ISNUMBER('Данные 2st'!$FI$2:$FI$317))</f>
        <v>3</v>
      </c>
      <c r="MM11">
        <f>SUMPRODUCT(--('Данные 2st'!$Q$2:$Q$317=$A11),--ISNUMBER('Данные 2st'!$FJ$2:$FJ$317))</f>
        <v>3</v>
      </c>
      <c r="MN11">
        <f>SUMPRODUCT(--('Данные 2st'!$Q$2:$Q$317=$A11),--ISNUMBER('Данные 2st'!$FK$2:$FK$317))</f>
        <v>3</v>
      </c>
      <c r="MO11">
        <f>SUMPRODUCT(--('Данные 2st'!$Q$2:$Q$317=$A11),--ISNUMBER('Данные 2st'!$FP$2:$FP$317))</f>
        <v>3</v>
      </c>
      <c r="MP11">
        <f>SUMPRODUCT(--('Данные 2st'!$Q$2:$Q$317=$A11),--ISNUMBER('Данные 2st'!$FQ$2:$FQ$317))</f>
        <v>3</v>
      </c>
      <c r="MQ11">
        <f>SUMPRODUCT(--('Данные 2st'!$Q$2:$Q$317=$A11),--ISNUMBER('Данные 2st'!$FS$2:$FS$317))</f>
        <v>3</v>
      </c>
      <c r="MR11">
        <f>SUMPRODUCT(--('Данные 2st'!$Q$2:$Q$317=$A11),--ISNUMBER('Данные 2st'!$FU$2:$FU$317))</f>
        <v>3</v>
      </c>
      <c r="MS11">
        <f>SUMPRODUCT(--('Данные 2st'!$Q$2:$Q$317=$A11),--ISNUMBER('Данные 2st'!$FV$2:$FV$317))</f>
        <v>3</v>
      </c>
      <c r="MT11">
        <f>SUMPRODUCT(--('Данные 2st'!$Q$2:$Q$317=$A11),--ISNUMBER('Данные 2st'!$FW$2:$FW$317))</f>
        <v>3</v>
      </c>
      <c r="MU11">
        <f>SUMPRODUCT(--('Данные 2st'!$Q$2:$Q$317=$A11),--ISNUMBER('Данные 2st'!$FY$2:$FY$317))</f>
        <v>2</v>
      </c>
      <c r="MV11">
        <f>SUMPRODUCT(--('Данные 2st'!$Q$2:$Q$317=$A11),--ISNUMBER('Данные 2st'!$GB$2:$GB$317))</f>
        <v>2</v>
      </c>
      <c r="MW11">
        <f>SUMPRODUCT(--('Данные 2st'!$Q$2:$Q$317=$A11),--ISNUMBER('Данные 2st'!$GC$2:$GC$317))</f>
        <v>2</v>
      </c>
      <c r="MX11">
        <f>SUMPRODUCT(--('Данные 2st'!$Q$2:$Q$317=$A11),--ISNUMBER('Данные 2st'!$GD$2:$GD$317))</f>
        <v>3</v>
      </c>
      <c r="MY11">
        <f>SUMPRODUCT(--('Данные 2st'!$Q$2:$Q$317=$A11),--ISNUMBER('Данные 2st'!$GN$2:$GN$317))</f>
        <v>0</v>
      </c>
      <c r="MZ11">
        <f>SUMPRODUCT(--('Данные 2st'!$Q$2:$Q$317=$A11),--ISNUMBER('Данные 2st'!$GQ$2:$GQ$317))</f>
        <v>3</v>
      </c>
      <c r="NA11">
        <f>SUMPRODUCT(--('Данные 2st'!$Q$2:$Q$317=$A11),--ISNUMBER('Данные 2st'!$GV$2:$GV$317))</f>
        <v>3</v>
      </c>
      <c r="NB11">
        <f>SUMPRODUCT(--('Данные 2st'!$Q$2:$Q$317=$A11),--ISNUMBER('Данные 2st'!$GW$2:$GW$317))</f>
        <v>3</v>
      </c>
      <c r="NC11">
        <f>SUMPRODUCT(--('Данные 2st'!$Q$2:$Q$317=$A11),--ISNUMBER('Данные 2st'!$GX$2:$GX$317))</f>
        <v>3</v>
      </c>
      <c r="ND11">
        <f>SUMPRODUCT(--('Данные 2st'!$Q$2:$Q$317=$A11),--ISNUMBER('Данные 2st'!$GY$2:$GY$317))</f>
        <v>3</v>
      </c>
      <c r="NE11">
        <f>SUMPRODUCT(--('Данные 2st'!$Q$2:$Q$317=$A11),--ISNUMBER('Данные 2st'!$GZ$2:$GZ$317))</f>
        <v>3</v>
      </c>
      <c r="NF11">
        <f>SUMPRODUCT(--('Данные 2st'!$Q$2:$Q$317=$A11),--ISNUMBER('Данные 2st'!$HA$2:$HA$317))</f>
        <v>3</v>
      </c>
      <c r="NG11">
        <f>SUMPRODUCT(--('Данные 2st'!$Q$2:$Q$317=$A11),--ISNUMBER('Данные 2st'!$HB$2:$HB$317))</f>
        <v>3</v>
      </c>
      <c r="NH11">
        <f>SUMPRODUCT(--('Данные 2st'!$Q$2:$Q$317=$A11),--ISNUMBER('Данные 2st'!$HC$2:$HC$317))</f>
        <v>3</v>
      </c>
      <c r="NI11">
        <f>SUMPRODUCT(--('Данные 2st'!$Q$2:$Q$317=$A11),--ISNUMBER('Данные 2st'!$HD$2:$HD$317))</f>
        <v>3</v>
      </c>
      <c r="NJ11">
        <f>SUMPRODUCT(--('Данные 2st'!$Q$2:$Q$317=$A11),--ISNUMBER('Данные 2st'!$HM$2:$HM$317))</f>
        <v>3</v>
      </c>
      <c r="NK11">
        <f>SUMPRODUCT(--('Данные 2st'!$Q$2:$Q$317=$A11),--ISNUMBER('Данные 2st'!$HR$2:$HR$317))</f>
        <v>3</v>
      </c>
      <c r="NL11">
        <f>SUMPRODUCT(--('Данные 2st'!$Q$2:$Q$317=$A11),--ISNUMBER('Данные 2st'!$HS$2:$HS$317))</f>
        <v>3</v>
      </c>
      <c r="NM11">
        <f>SUMPRODUCT(--('Данные 2st'!$Q$2:$Q$317=$A11),--ISNUMBER('Данные 2st'!$HT$2:$HT$317))</f>
        <v>3</v>
      </c>
      <c r="NN11">
        <f>SUMPRODUCT(--('Данные 2st'!$Q$2:$Q$317=$A11),--ISNUMBER('Данные 2st'!$HY$2:$HY$317))</f>
        <v>3</v>
      </c>
      <c r="NO11">
        <f>SUMPRODUCT(--('Данные 2st'!$Q$2:$Q$317=$A11),--ISNUMBER('Данные 2st'!$HZ$2:$HZ$317))</f>
        <v>3</v>
      </c>
      <c r="NP11">
        <f>SUMPRODUCT(--('Данные 2st'!$Q$2:$Q$317=$A11),--ISNUMBER('Данные 2st'!$IA$2:$IA$317))</f>
        <v>3</v>
      </c>
      <c r="NQ11">
        <f>SUMPRODUCT(--('Данные 2st'!$Q$2:$Q$317=$A11),--ISNUMBER('Данные 2st'!$IB$2:$IB$317))</f>
        <v>3</v>
      </c>
      <c r="NR11">
        <f>SUMPRODUCT(--('Данные 2st'!$Q$2:$Q$317=$A11),--ISNUMBER('Данные 2st'!$IC$2:$IC$317))</f>
        <v>0</v>
      </c>
      <c r="NS11">
        <f>SUMPRODUCT(--('Данные 2st'!$Q$2:$Q$317=$A11),--ISNUMBER('Данные 2st'!$ID$2:$ID$317))</f>
        <v>3</v>
      </c>
      <c r="NT11">
        <f>SUMPRODUCT(--('Данные 2st'!$Q$2:$Q$317=$A11),--ISNUMBER('Данные 2st'!$IE$2:$IE$317))</f>
        <v>3</v>
      </c>
      <c r="NU11">
        <f>SUMPRODUCT(--('Данные 2st'!$Q$2:$Q$317=$A11),--ISNUMBER('Данные 2st'!$IF$2:$IF$317))</f>
        <v>3</v>
      </c>
      <c r="NV11">
        <f>SUMPRODUCT(--('Данные 2st'!$Q$2:$Q$317=$A11),--ISNUMBER('Данные 2st'!$IG$2:$IG$317))</f>
        <v>3</v>
      </c>
      <c r="NW11">
        <f>SUMPRODUCT(--('Данные 2st'!$Q$2:$Q$317=$A11),--ISNUMBER('Данные 2st'!$IH$2:$IH$317))</f>
        <v>3</v>
      </c>
      <c r="NX11">
        <f>SUMPRODUCT(--('Данные 2st'!$Q$2:$Q$317=$A11),--ISNUMBER('Данные 2st'!$IJ$2:$IJ$317))</f>
        <v>3</v>
      </c>
      <c r="NY11">
        <f>SUMPRODUCT(--('Данные 2st'!$Q$2:$Q$317=$A11),--ISNUMBER('Данные 2st'!$IM$2:$IM$317))</f>
        <v>3</v>
      </c>
      <c r="NZ11">
        <f>SUMPRODUCT(--('Данные 2st'!$Q$2:$Q$317=$A11),--ISNUMBER('Данные 2st'!$IN$2:$IN$317))</f>
        <v>3</v>
      </c>
      <c r="OA11">
        <f>SUMPRODUCT(--('Данные 2st'!$Q$2:$Q$317=$A11),--ISNUMBER('Данные 2st'!$IO$2:$IO$317))</f>
        <v>3</v>
      </c>
      <c r="OB11">
        <f>SUMPRODUCT(--('Данные 2st'!$Q$2:$Q$317=$A11),--ISNUMBER('Данные 2st'!$IP$2:$IP$317))</f>
        <v>3</v>
      </c>
      <c r="OC11">
        <f>SUMPRODUCT(--('Данные 2st'!$Q$2:$Q$317=$A11),--ISNUMBER('Данные 2st'!$IQ$2:$IQ$317))</f>
        <v>3</v>
      </c>
      <c r="OD11">
        <f>SUMPRODUCT(--('Данные 2st'!$Q$2:$Q$317=$A11),--ISNUMBER('Данные 2st'!$IR$2:$IR$317))</f>
        <v>3</v>
      </c>
      <c r="OE11">
        <f>SUMPRODUCT(--('Данные 2st'!$Q$2:$Q$317=$A11),--ISNUMBER('Данные 2st'!$IT$2:$IT$317))</f>
        <v>3</v>
      </c>
      <c r="OF11">
        <f>SUMPRODUCT(--('Данные 2st'!$Q$2:$Q$317=$A11),--ISNUMBER('Данные 2st'!$IU$2:$IU$317))</f>
        <v>3</v>
      </c>
      <c r="OG11">
        <f>SUMPRODUCT(--('Данные 2st'!$Q$2:$Q$317=$A11),--ISNUMBER('Данные 2st'!$IV$2:$IV$317))</f>
        <v>3</v>
      </c>
      <c r="OH11">
        <f>SUMPRODUCT(--('Данные 2st'!$Q$2:$Q$317=$A11),--ISNUMBER('Данные 2st'!$IW$2:$IW$317))</f>
        <v>3</v>
      </c>
      <c r="OI11">
        <f>SUMPRODUCT(--('Данные 2st'!$Q$2:$Q$317=$A11),--ISNUMBER('Данные 2st'!$IX$2:$IX$317))</f>
        <v>3</v>
      </c>
      <c r="OJ11">
        <f>SUMPRODUCT(--('Данные 2st'!$Q$2:$Q$317=$A11),--ISNUMBER('Данные 2st'!$IY$2:$IY$317))</f>
        <v>3</v>
      </c>
      <c r="OK11">
        <f>SUMPRODUCT(--('Данные 2st'!$Q$2:$Q$317=$A11),--ISNUMBER('Данные 2st'!$IZ$2:$IZ$317))</f>
        <v>3</v>
      </c>
      <c r="OL11">
        <f>SUMPRODUCT(--('Данные 2st'!$Q$2:$Q$317=$A11),--ISNUMBER('Данные 2st'!$JA$2:$JA$317))</f>
        <v>3</v>
      </c>
      <c r="OM11">
        <f>SUMPRODUCT(--('Данные 2st'!$Q$2:$Q$317=$A11),--ISNUMBER('Данные 2st'!$JB$2:$JB$317))</f>
        <v>3</v>
      </c>
      <c r="ON11">
        <f>SUMPRODUCT(--('Данные 2st'!$Q$2:$Q$317=$A11),--ISNUMBER('Данные 2st'!$JC$2:$JC$317))</f>
        <v>3</v>
      </c>
      <c r="OO11">
        <f>SUMPRODUCT(--('Данные 2st'!$Q$2:$Q$317=$A11),--ISNUMBER('Данные 2st'!$JD$2:$JD$317))</f>
        <v>3</v>
      </c>
      <c r="OP11">
        <f>SUMPRODUCT(--('Данные 2st'!$Q$2:$Q$317=$A11),--ISNUMBER('Данные 2st'!$JE$2:$JE$317))</f>
        <v>3</v>
      </c>
      <c r="OQ11">
        <f>SUMPRODUCT(--('Данные 2st'!$Q$2:$Q$317=$A11),--ISNUMBER('Данные 2st'!$JF$2:$JF$317))</f>
        <v>3</v>
      </c>
      <c r="OR11">
        <f>SUMPRODUCT(--('Данные 2st'!$Q$2:$Q$317=$A11),--ISNUMBER('Данные 2st'!$JG$2:$JG$317))</f>
        <v>3</v>
      </c>
      <c r="OS11">
        <f>SUMPRODUCT(--('Данные 2st'!$Q$2:$Q$317=$A11),--ISNUMBER('Данные 2st'!$JH$2:$JH$317))</f>
        <v>3</v>
      </c>
      <c r="OT11">
        <f>SUMPRODUCT(--('Данные 2st'!$Q$2:$Q$317=$A11),--ISNUMBER('Данные 2st'!$JI$2:$JI$317))</f>
        <v>3</v>
      </c>
      <c r="OU11">
        <f>SUMPRODUCT(--('Данные 2st'!$Q$2:$Q$317=$A11),--ISNUMBER('Данные 2st'!$JJ$2:$JJ$317))</f>
        <v>3</v>
      </c>
      <c r="OV11">
        <f>SUMPRODUCT(--('Данные 2st'!$Q$2:$Q$317=$A11),--ISNUMBER('Данные 2st'!$JK$2:$JK$317))</f>
        <v>3</v>
      </c>
      <c r="OW11">
        <f>SUMPRODUCT(--('Данные 2st'!$Q$2:$Q$317=$A11),--ISNUMBER('Данные 2st'!$JL$2:$JL$317))</f>
        <v>3</v>
      </c>
      <c r="OX11">
        <f>SUMPRODUCT(--('Данные 2st'!$Q$2:$Q$317=$A11),--ISNUMBER('Данные 2st'!$JM$2:$JM$317))</f>
        <v>3</v>
      </c>
      <c r="OY11">
        <f>SUMPRODUCT(--('Данные 2st'!$Q$2:$Q$317=$A11),--ISNUMBER('Данные 2st'!$JP$2:$JP$317))</f>
        <v>3</v>
      </c>
      <c r="OZ11">
        <f>SUMPRODUCT(--('Данные 2st'!$Q$2:$Q$317=$A11),--ISNUMBER('Данные 2st'!$JQ$2:$JQ$317))</f>
        <v>3</v>
      </c>
      <c r="PA11">
        <f>SUMPRODUCT(--('Данные 2st'!$Q$2:$Q$317=$A11),--ISNUMBER('Данные 2st'!$JR$2:$JR$317))</f>
        <v>3</v>
      </c>
      <c r="PB11">
        <f>SUMPRODUCT(--('Данные 2st'!$Q$2:$Q$317=$A11),--ISNUMBER('Данные 2st'!$JS$2:$JS$317))</f>
        <v>3</v>
      </c>
      <c r="PC11">
        <f>SUMPRODUCT(--('Данные 2st'!$Q$2:$Q$317=$A11),--ISNUMBER('Данные 2st'!$JT$2:$JT$317))</f>
        <v>3</v>
      </c>
      <c r="PD11">
        <f>SUMPRODUCT(--('Данные 2st'!$Q$2:$Q$317=$A11),--ISNUMBER('Данные 2st'!$JU$2:$JU$317))</f>
        <v>3</v>
      </c>
      <c r="PE11">
        <f>SUMPRODUCT(--('Данные 2st'!$Q$2:$Q$317=$A11),--ISNUMBER('Данные 2st'!$JV$2:$JV$317))</f>
        <v>3</v>
      </c>
      <c r="PF11">
        <f>SUMPRODUCT(--('Данные 2st'!$Q$2:$Q$317=$A11),--ISNUMBER('Данные 2st'!$JW$2:$JW$317))</f>
        <v>3</v>
      </c>
      <c r="PG11">
        <f>SUMPRODUCT(--('Данные 2st'!$Q$2:$Q$317=$A11),--ISNUMBER('Данные 2st'!$KF$2:$KF$317))</f>
        <v>3</v>
      </c>
      <c r="PH11">
        <f>SUMPRODUCT(--('Данные 2st'!$Q$2:$Q$317=$A11),--ISNUMBER('Данные 2st'!$KG$2:$KG$317))</f>
        <v>3</v>
      </c>
      <c r="PI11">
        <f>SUMPRODUCT(--('Данные 2st'!$Q$2:$Q$317=$A11),--ISNUMBER('Данные 2st'!$KM$2:$KM$317))</f>
        <v>3</v>
      </c>
      <c r="PJ11">
        <f>SUMPRODUCT(--('Данные 2st'!$Q$2:$Q$317=$A11),--ISNUMBER('Данные 2st'!$KN$2:$KN$317))</f>
        <v>3</v>
      </c>
      <c r="PK11">
        <f>SUMPRODUCT(--('Данные 2st'!$Q$2:$Q$317=$A11),--ISNUMBER('Данные 2st'!$KO$2:$KO$317))</f>
        <v>3</v>
      </c>
      <c r="PL11">
        <f>SUMPRODUCT(--('Данные 2st'!$Q$2:$Q$317=$A11),--ISNUMBER('Данные 2st'!$KP$2:$KP$317))</f>
        <v>3</v>
      </c>
      <c r="PM11">
        <f>SUMPRODUCT(--('Данные 2st'!$Q$2:$Q$317=$A11),--ISNUMBER('Данные 2st'!$KQ$2:$KQ$317))</f>
        <v>3</v>
      </c>
      <c r="PN11">
        <f>SUMPRODUCT(--('Данные 2st'!$Q$2:$Q$317=$A11),--ISNUMBER('Данные 2st'!$KR$2:$KR$317))</f>
        <v>3</v>
      </c>
      <c r="PO11">
        <f>SUMPRODUCT(--('Данные 2st'!$Q$2:$Q$317=$A11),--ISNUMBER('Данные 2st'!$KS$2:$KS$317))</f>
        <v>3</v>
      </c>
      <c r="PP11">
        <f>SUMPRODUCT(--('Данные 2st'!$Q$2:$Q$317=$A11),--ISNUMBER('Данные 2st'!$KT$2:$KT$317))</f>
        <v>3</v>
      </c>
      <c r="PQ11">
        <f>SUMPRODUCT(--('Данные 2st'!$Q$2:$Q$317=$A11),--ISNUMBER('Данные 2st'!$KU$2:$KU$317))</f>
        <v>3</v>
      </c>
      <c r="PR11">
        <f>SUMPRODUCT(--('Данные 2st'!$Q$2:$Q$317=$A11),--ISNUMBER('Данные 2st'!$KV$2:$KV$317))</f>
        <v>3</v>
      </c>
      <c r="PS11">
        <f>SUMPRODUCT(--('Данные 2st'!$Q$2:$Q$317=$A11),--ISNUMBER('Данные 2st'!$KW$2:$KW$317))</f>
        <v>3</v>
      </c>
      <c r="PT11">
        <f>SUMPRODUCT(--('Данные 2st'!$Q$2:$Q$317=$A11),--ISNUMBER('Данные 2st'!$KX$2:$KX$317))</f>
        <v>3</v>
      </c>
      <c r="PU11">
        <f>SUMPRODUCT(--('Данные 2st'!$Q$2:$Q$317=$A11),--ISNUMBER('Данные 2st'!$KY$2:$KY$317))</f>
        <v>3</v>
      </c>
      <c r="PV11">
        <f>SUMPRODUCT(--('Данные 2st'!$Q$2:$Q$317=$A11),--ISNUMBER('Данные 2st'!$KZ$2:$KZ$317))</f>
        <v>3</v>
      </c>
      <c r="PW11">
        <f>SUMPRODUCT(--('Данные 2st'!$Q$2:$Q$317=$A11),--ISNUMBER('Данные 2st'!$LA$2:$LA$317))</f>
        <v>3</v>
      </c>
      <c r="PX11">
        <f>SUMPRODUCT(--('Данные 2st'!$Q$2:$Q$317=$A11),--ISNUMBER('Данные 2st'!$LB$2:$LB$317))</f>
        <v>3</v>
      </c>
      <c r="PY11">
        <f>SUMPRODUCT(--('Данные 2st'!$Q$2:$Q$317=$A11),--ISNUMBER('Данные 2st'!$LC$2:$LC$317))</f>
        <v>3</v>
      </c>
      <c r="PZ11">
        <f>SUMPRODUCT(--('Данные 2st'!$Q$2:$Q$317=$A11),--ISNUMBER('Данные 2st'!$LD$2:$LD$317))</f>
        <v>3</v>
      </c>
      <c r="QA11">
        <f>SUMPRODUCT(--('Данные 2st'!$Q$2:$Q$317=$A11),--ISNUMBER('Данные 2st'!$LE$2:$LE$317))</f>
        <v>3</v>
      </c>
      <c r="QB11">
        <f>SUMPRODUCT(--('Данные 2st'!$Q$2:$Q$317=$A11),--ISNUMBER('Данные 2st'!$LF$2:$LF$317))</f>
        <v>3</v>
      </c>
      <c r="QC11">
        <f>SUMPRODUCT(--('Данные 2st'!$Q$2:$Q$317=$A11),--ISNUMBER('Данные 2st'!$LG$2:$LG$317))</f>
        <v>3</v>
      </c>
      <c r="QD11">
        <f>SUMPRODUCT(--('Данные 2st'!$Q$2:$Q$317=$A11),--ISNUMBER('Данные 2st'!$LH$2:$LH$317))</f>
        <v>3</v>
      </c>
      <c r="QE11">
        <f>SUMPRODUCT(--('Данные 2st'!$Q$2:$Q$317=$A11),--ISNUMBER('Данные 2st'!$LJ$2:$LJ$317))</f>
        <v>3</v>
      </c>
      <c r="QF11">
        <f>SUMPRODUCT(--('Данные 2st'!$Q$2:$Q$317=$A11),--ISNUMBER('Данные 2st'!$LK$2:$LK$317))</f>
        <v>3</v>
      </c>
      <c r="QG11">
        <f>SUMPRODUCT(--('Данные 2st'!$Q$2:$Q$317=$A11),--ISNUMBER('Данные 2st'!$LL$2:$LL$317))</f>
        <v>3</v>
      </c>
      <c r="QH11">
        <f>SUMPRODUCT(--('Данные 2st'!$Q$2:$Q$317=$A11),--ISNUMBER('Данные 2st'!$LM$2:$LM$317))</f>
        <v>3</v>
      </c>
      <c r="QI11">
        <f>SUMPRODUCT(--('Данные 2st'!$Q$2:$Q$317=$A11),--ISNUMBER('Данные 2st'!$LN$2:$LN$317))</f>
        <v>3</v>
      </c>
      <c r="QJ11">
        <f>SUMPRODUCT(--('Данные 2st'!$Q$2:$Q$317=$A11),--ISNUMBER('Данные 2st'!$LO$2:$LO$317))</f>
        <v>3</v>
      </c>
      <c r="QK11">
        <f>SUMPRODUCT(--('Данные 2st'!$Q$2:$Q$317=$A11),--ISNUMBER('Данные 2st'!$LP$2:$LP$317))</f>
        <v>3</v>
      </c>
      <c r="QL11">
        <f>SUMPRODUCT(--('Данные 2st'!$Q$2:$Q$317=$A11),--ISNUMBER('Данные 2st'!$LQ$2:$LQ$317))</f>
        <v>3</v>
      </c>
      <c r="QM11">
        <f>SUMPRODUCT(--('Данные 2st'!$Q$2:$Q$317=$A11),--ISNUMBER('Данные 2st'!$LW$2:$LW$317))</f>
        <v>3</v>
      </c>
      <c r="QN11">
        <f>SUMPRODUCT(--('Данные 2st'!$Q$2:$Q$317=$A11),--ISNUMBER('Данные 2st'!$LX$2:$LX$317))</f>
        <v>3</v>
      </c>
      <c r="QO11">
        <f>SUMPRODUCT(--('Данные 2st'!$Q$2:$Q$317=$A11),--ISNUMBER('Данные 2st'!$LY$2:$LY$317))</f>
        <v>3</v>
      </c>
      <c r="QP11">
        <f>SUMPRODUCT(--('Данные 2st'!$Q$2:$Q$317=$A11),--ISNUMBER('Данные 2st'!$LZ$2:$LZ$317))</f>
        <v>3</v>
      </c>
      <c r="QQ11">
        <f>SUMPRODUCT(--('Данные 2st'!$Q$2:$Q$317=$A11),--ISNUMBER('Данные 2st'!$MB$2:$MB$317))</f>
        <v>3</v>
      </c>
      <c r="QR11">
        <f>SUMPRODUCT(--('Данные 2st'!$Q$2:$Q$317=$A11),--ISNUMBER('Данные 2st'!$MG$2:$MG$317))</f>
        <v>1</v>
      </c>
      <c r="QS11">
        <f>SUMPRODUCT(--('Данные 2st'!$Q$2:$Q$317=$A11),--ISNUMBER('Данные 2st'!$MH$2:$MH$317))</f>
        <v>1</v>
      </c>
      <c r="QT11">
        <f>SUMPRODUCT(--('Данные 2st'!$Q$2:$Q$317=$A11),--ISNUMBER('Данные 2st'!$MI$2:$MI$317))</f>
        <v>3</v>
      </c>
      <c r="QU11">
        <f>SUMPRODUCT(--('Данные 2st'!$Q$2:$Q$317=$A11),--ISNUMBER('Данные 2st'!$MJ$2:$MJ$317))</f>
        <v>3</v>
      </c>
      <c r="QV11">
        <f>SUMPRODUCT(--('Данные 2st'!$Q$2:$Q$317=$A11),--ISNUMBER('Данные 2st'!$MK$2:$MK$317))</f>
        <v>1</v>
      </c>
      <c r="QW11">
        <f>SUMPRODUCT(--('Данные 2st'!$Q$2:$Q$317=$A11),--ISNUMBER('Данные 2st'!$MM$2:$MM$317))</f>
        <v>3</v>
      </c>
      <c r="QX11">
        <f>SUMPRODUCT(--('Данные 2st'!$Q$2:$Q$317=$A11),--ISNUMBER('Данные 2st'!$MQ$2:$MQ$317))</f>
        <v>0</v>
      </c>
      <c r="QY11">
        <f>SUMPRODUCT(--('Данные 2st'!$Q$2:$Q$317=$A11),--ISNUMBER('Данные 2st'!$MR$2:$MR$317))</f>
        <v>0</v>
      </c>
      <c r="QZ11">
        <f>SUMPRODUCT(--('Данные 2st'!$Q$2:$Q$317=$A11),--ISNUMBER('Данные 2st'!$MS$2:$MS$317))</f>
        <v>0</v>
      </c>
      <c r="RA11">
        <f>SUMPRODUCT(--('Данные 2st'!$Q$2:$Q$317=$A11),--ISNUMBER('Данные 2st'!$MT$2:$MT$317))</f>
        <v>0</v>
      </c>
      <c r="RB11">
        <f>SUMPRODUCT(--('Данные 2st'!$Q$2:$Q$317=$A11),--ISNUMBER('Данные 2st'!$MU$2:$MU$317))</f>
        <v>0</v>
      </c>
      <c r="RC11">
        <f>SUMPRODUCT(--('Данные 2st'!$Q$2:$Q$317=$A11),--ISNUMBER('Данные 2st'!$MV$2:$MV$317))</f>
        <v>0</v>
      </c>
      <c r="RD11">
        <f>SUMPRODUCT(--('Данные 2st'!$Q$2:$Q$317=$A11),--ISNUMBER('Данные 2st'!$MW$2:$MW$317))</f>
        <v>0</v>
      </c>
      <c r="RE11">
        <f>SUMPRODUCT(--('Данные 2st'!$Q$2:$Q$317=$A11),--ISNUMBER('Данные 2st'!$MX$2:$MX$317))</f>
        <v>0</v>
      </c>
      <c r="RF11">
        <f>SUMPRODUCT(--('Данные 2st'!$Q$2:$Q$317=$A11),--ISNUMBER('Данные 2st'!$MY$2:$MY$317))</f>
        <v>0</v>
      </c>
      <c r="RG11">
        <f>SUMPRODUCT(--('Данные 2st'!$Q$2:$Q$317=$A11),--ISNUMBER('Данные 2st'!$MZ$2:$MZ$317))</f>
        <v>0</v>
      </c>
      <c r="RH11">
        <f>SUMPRODUCT(--('Данные 2st'!$Q$2:$Q$317=$A11),--ISNUMBER('Данные 2st'!$NA$2:$NA$317))</f>
        <v>0</v>
      </c>
      <c r="RI11">
        <f>SUMPRODUCT(--('Данные 2st'!$Q$2:$Q$317=$A11),--ISNUMBER('Данные 2st'!$NB$2:$NB$317))</f>
        <v>0</v>
      </c>
      <c r="RJ11">
        <f>SUMPRODUCT(--('Данные 2st'!$Q$2:$Q$317=$A11),--ISNUMBER('Данные 2st'!$NC$2:$NC$317))</f>
        <v>0</v>
      </c>
      <c r="RK11">
        <f>SUMPRODUCT(--('Данные 2st'!$Q$2:$Q$317=$A11),--ISNUMBER('Данные 2st'!$ND$2:$ND$317))</f>
        <v>0</v>
      </c>
      <c r="RL11">
        <f>SUMPRODUCT(--('Данные 2st'!$Q$2:$Q$317=$A11),--ISNUMBER('Данные 2st'!$NE$2:$NE$317))</f>
        <v>0</v>
      </c>
      <c r="RM11">
        <f>SUMPRODUCT(--('Данные 2st'!$Q$2:$Q$317=$A11),--ISNUMBER('Данные 2st'!$NF$2:$NF$317))</f>
        <v>0</v>
      </c>
      <c r="RN11">
        <f>SUMPRODUCT(--('Данные 2st'!$Q$2:$Q$317=$A11),--ISNUMBER('Данные 2st'!$NG$2:$NG$317))</f>
        <v>0</v>
      </c>
      <c r="RO11">
        <f>SUMPRODUCT(--('Данные 2st'!$Q$2:$Q$317=$A11),--ISNUMBER('Данные 2st'!$NH$2:$NH$317))</f>
        <v>1</v>
      </c>
      <c r="RP11">
        <f>SUMPRODUCT(--('Данные 2st'!$Q$2:$Q$317=$A11),--ISNUMBER('Данные 2st'!$NJ$2:$NJ$317))</f>
        <v>1</v>
      </c>
      <c r="RQ11">
        <f>SUMPRODUCT(--('Данные 2st'!$Q$2:$Q$317=$A11),--ISNUMBER('Данные 2st'!$NK$2:$NK$317))</f>
        <v>1</v>
      </c>
      <c r="RR11">
        <f>SUMPRODUCT(--('Данные 2st'!$Q$2:$Q$317=$A11),--ISNUMBER('Данные 2st'!$NM$2:$NM$317))</f>
        <v>1</v>
      </c>
      <c r="RS11">
        <f>SUMPRODUCT(--('Данные 2st'!$Q$2:$Q$317=$A11),--ISNUMBER('Данные 2st'!$NN$2:$NN$317))</f>
        <v>0</v>
      </c>
      <c r="RT11">
        <f>SUMPRODUCT(--('Данные 2st'!$Q$2:$Q$317=$A11),--ISNUMBER('Данные 2st'!$NO$2:$NO$317))</f>
        <v>0</v>
      </c>
      <c r="RU11">
        <f>SUMPRODUCT(--('Данные 2st'!$Q$2:$Q$317=$A11),--ISNUMBER('Данные 2st'!$NP$2:$NP$317))</f>
        <v>0</v>
      </c>
      <c r="RV11">
        <f>SUMPRODUCT(--('Данные 2st'!$Q$2:$Q$317=$A11),--ISNUMBER('Данные 2st'!$NQ$2:$NQ$317))</f>
        <v>0</v>
      </c>
      <c r="RW11">
        <f>SUMPRODUCT(--('Данные 2st'!$Q$2:$Q$317=$A11),--ISNUMBER('Данные 2st'!$NR$2:$NR$317))</f>
        <v>0</v>
      </c>
      <c r="RX11">
        <f>SUMPRODUCT(--('Данные 2st'!$Q$2:$Q$317=$A11),--ISNUMBER('Данные 2st'!$NS$2:$NS$317))</f>
        <v>0</v>
      </c>
      <c r="RY11">
        <f>SUMPRODUCT(--('Данные 2st'!$Q$2:$Q$317=$A11),--ISNUMBER('Данные 2st'!$NT$2:$NT$317))</f>
        <v>0</v>
      </c>
      <c r="RZ11">
        <f>SUMPRODUCT(--('Данные 2st'!$Q$2:$Q$317=$A11),--ISNUMBER('Данные 2st'!$OK$2:$OK$317))</f>
        <v>3</v>
      </c>
      <c r="SA11">
        <f>SUMPRODUCT(--('Данные 2st'!$Q$2:$Q$317=$A11),--ISNUMBER('Данные 2st'!$OL$2:$OL$317))</f>
        <v>3</v>
      </c>
      <c r="SB11">
        <f>SUMPRODUCT(--('Данные 2st'!$Q$2:$Q$317=$A11),--ISNUMBER('Данные 2st'!$ON$2:$ON$317))</f>
        <v>3</v>
      </c>
      <c r="SC11">
        <f>SUMPRODUCT(--('Данные 2st'!$Q$2:$Q$317=$A11),--ISNUMBER('Данные 2st'!$OO$2:$OO$317))</f>
        <v>3</v>
      </c>
      <c r="SD11">
        <f>SUMPRODUCT(--('Данные 2st'!$Q$2:$Q$317=$A11),--ISNUMBER('Данные 2st'!$OP$2:$OP$317))</f>
        <v>3</v>
      </c>
      <c r="SE11">
        <f>SUMPRODUCT(--('Данные 2st'!$Q$2:$Q$317=$A11),--ISNUMBER('Данные 2st'!$OQ$2:$OQ$317))</f>
        <v>3</v>
      </c>
      <c r="SF11">
        <f>SUMPRODUCT(--('Данные 2st'!$Q$2:$Q$317=$A11),--ISNUMBER('Данные 2st'!$OS$2:$OS$317))</f>
        <v>3</v>
      </c>
      <c r="SG11">
        <f>SUMPRODUCT(--('Данные 2st'!$Q$2:$Q$317=$A11),--ISNUMBER('Данные 2st'!$OT$2:$OT$317))</f>
        <v>3</v>
      </c>
      <c r="SH11">
        <f>SUMPRODUCT(--('Данные 2st'!$Q$2:$Q$317=$A11),--ISNUMBER('Данные 2st'!$OU$2:$OU$317))</f>
        <v>3</v>
      </c>
      <c r="SI11">
        <f>SUMPRODUCT(--('Данные 2st'!$Q$2:$Q$317=$A11),--ISNUMBER('Данные 2st'!$OV$2:$OV$317))</f>
        <v>3</v>
      </c>
      <c r="SJ11">
        <f>SUMPRODUCT(--('Данные 2st'!$Q$2:$Q$317=$A11),--ISNUMBER('Данные 2st'!$OX$2:$OX$317))</f>
        <v>3</v>
      </c>
      <c r="SK11">
        <f>SUMPRODUCT(--('Данные 2st'!$Q$2:$Q$317=$A11),--ISNUMBER('Данные 2st'!$OY$2:$OY$317))</f>
        <v>3</v>
      </c>
      <c r="SL11">
        <f>SUMPRODUCT(--('Данные 2st'!$Q$2:$Q$317=$A11),--ISNUMBER('Данные 2st'!$OZ$2:$OZ$317))</f>
        <v>3</v>
      </c>
      <c r="SM11">
        <f>SUMPRODUCT(--('Данные 2st'!$Q$2:$Q$317=$A11),--ISNUMBER('Данные 2st'!$PA$2:$PA$317))</f>
        <v>3</v>
      </c>
      <c r="SN11">
        <f>SUMPRODUCT(--('Данные 2st'!$Q$2:$Q$317=$A11),--ISNUMBER('Данные 2st'!$PC$2:$PC$317))</f>
        <v>3</v>
      </c>
      <c r="SO11">
        <f>SUMPRODUCT(--('Данные 2st'!$Q$2:$Q$317=$A11),--ISNUMBER('Данные 2st'!$PD$2:$PD$317))</f>
        <v>3</v>
      </c>
      <c r="SP11">
        <f>SUMPRODUCT(--('Данные 2st'!$Q$2:$Q$317=$A11),--ISNUMBER('Данные 2st'!$PF$2:$PF$317))</f>
        <v>3</v>
      </c>
      <c r="SQ11">
        <f>SUMPRODUCT(--('Данные 2st'!$Q$2:$Q$317=$A11),--ISNUMBER('Данные 2st'!$PG$2:$PG$317))</f>
        <v>3</v>
      </c>
      <c r="SR11">
        <f>SUMPRODUCT(--('Данные 2st'!$Q$2:$Q$317=$A11),--ISNUMBER('Данные 2st'!$PH$2:$PH$317))</f>
        <v>3</v>
      </c>
      <c r="SS11">
        <f>SUMPRODUCT(--('Данные 2st'!$Q$2:$Q$317=$A11),--ISNUMBER('Данные 2st'!$PI$2:$PI$317))</f>
        <v>3</v>
      </c>
      <c r="ST11">
        <f>SUMPRODUCT(--('Данные 2st'!$Q$2:$Q$317=$A11),--ISNUMBER('Данные 2st'!$PJ$2:$PJ$317))</f>
        <v>3</v>
      </c>
      <c r="SU11">
        <f>SUMPRODUCT(--('Данные 2st'!$Q$2:$Q$317=$A11),--ISNUMBER('Данные 2st'!$PK$2:$PK$317))</f>
        <v>1</v>
      </c>
      <c r="SV11">
        <f>SUMPRODUCT(--('Данные 2st'!$Q$2:$Q$317=$A11),--ISNUMBER('Данные 2st'!$PL$2:$PL$317))</f>
        <v>3</v>
      </c>
      <c r="SW11">
        <f>SUMPRODUCT(--('Данные 2st'!$Q$2:$Q$317=$A11),--ISNUMBER('Данные 2st'!$PM$2:$PM$317))</f>
        <v>3</v>
      </c>
      <c r="SX11">
        <f>SUMPRODUCT(--('Данные 2st'!$Q$2:$Q$317=$A11),--ISNUMBER('Данные 2st'!$PN$2:$PN$317))</f>
        <v>3</v>
      </c>
      <c r="SY11">
        <f>SUMPRODUCT(--('Данные 2st'!$Q$2:$Q$317=$A11),--ISNUMBER('Данные 2st'!$PO$2:$PO$317))</f>
        <v>2</v>
      </c>
      <c r="SZ11">
        <f>SUMPRODUCT(--('Данные 2st'!$Q$2:$Q$317=$A11),--ISNUMBER('Данные 2st'!$PP$2:$PP$317))</f>
        <v>3</v>
      </c>
      <c r="TA11">
        <f>SUMPRODUCT(--('Данные 2st'!$Q$2:$Q$317=$A11),--ISNUMBER('Данные 2st'!$PQ$2:$PQ$317))</f>
        <v>3</v>
      </c>
      <c r="TB11">
        <f>SUMPRODUCT(--('Данные 2st'!$Q$2:$Q$317=$A11),--ISNUMBER('Данные 2st'!$PR$2:$PR$317))</f>
        <v>3</v>
      </c>
      <c r="TC11">
        <f>SUMPRODUCT(--('Данные 2st'!$Q$2:$Q$317=$A11),--ISNUMBER('Данные 2st'!$PS$2:$PS$317))</f>
        <v>3</v>
      </c>
      <c r="TD11">
        <f>SUMPRODUCT(--('Данные 2st'!$Q$2:$Q$317=$A11),--ISNUMBER('Данные 2st'!$PT$2:$PT$317))</f>
        <v>3</v>
      </c>
      <c r="TE11">
        <f>SUMPRODUCT(--('Данные 2st'!$Q$2:$Q$317=$A11),--ISNUMBER('Данные 2st'!$PU$2:$PU$317))</f>
        <v>3</v>
      </c>
      <c r="TF11">
        <f>SUMPRODUCT(--('Данные 2st'!$Q$2:$Q$317=$A11),--ISNUMBER('Данные 2st'!$PX$2:$PX$317))</f>
        <v>3</v>
      </c>
      <c r="TG11">
        <f>SUMPRODUCT(--('Данные 2st'!$Q$2:$Q$317=$A11),--ISNUMBER('Данные 2st'!$PY$2:$PY$317))</f>
        <v>3</v>
      </c>
      <c r="TH11">
        <f>SUMPRODUCT(--('Данные 2st'!$Q$2:$Q$317=$A11),--ISNUMBER('Данные 2st'!$PZ$2:$PZ$317))</f>
        <v>3</v>
      </c>
      <c r="TI11">
        <f>SUMPRODUCT(--('Данные 2st'!$Q$2:$Q$317=$A11),--ISNUMBER('Данные 2st'!$QA$2:$QA$317))</f>
        <v>3</v>
      </c>
      <c r="TJ11">
        <f>SUMPRODUCT(--('Данные 2st'!$Q$2:$Q$317=$A11),--ISNUMBER('Данные 2st'!$QB$2:$QB$317))</f>
        <v>3</v>
      </c>
      <c r="TK11">
        <f>SUMPRODUCT(--('Данные 2st'!$Q$2:$Q$317=$A11),--ISNUMBER('Данные 2st'!$QC$2:$QC$317))</f>
        <v>3</v>
      </c>
      <c r="TL11">
        <f>SUMPRODUCT(--('Данные 2st'!$Q$2:$Q$317=$A11),--ISNUMBER('Данные 2st'!$QD$2:$QD$317))</f>
        <v>3</v>
      </c>
      <c r="TM11">
        <f>SUMPRODUCT(--('Данные 2st'!$Q$2:$Q$317=$A11),--ISNUMBER('Данные 2st'!$QE$2:$QE$317))</f>
        <v>3</v>
      </c>
      <c r="TN11">
        <f>SUMPRODUCT(--('Данные 2st'!$Q$2:$Q$317=$A11),--ISNUMBER('Данные 2st'!$QF$2:$QF$317))</f>
        <v>3</v>
      </c>
      <c r="TO11">
        <f>SUMPRODUCT(--('Данные 2st'!$Q$2:$Q$317=$A11),--ISNUMBER('Данные 2st'!$QG$2:$QG$317))</f>
        <v>3</v>
      </c>
      <c r="TP11">
        <f>SUMPRODUCT(--('Данные 2st'!$Q$2:$Q$317=$A11),--ISNUMBER('Данные 2st'!$QH$2:$QH$317))</f>
        <v>3</v>
      </c>
      <c r="TQ11">
        <f>SUMPRODUCT(--('Данные 2st'!$Q$2:$Q$317=$A11),--ISNUMBER('Данные 2st'!$QI$2:$QI$317))</f>
        <v>3</v>
      </c>
      <c r="TR11">
        <f>SUMPRODUCT(--('Данные 2st'!$Q$2:$Q$317=$A11),--ISNUMBER('Данные 2st'!$QJ$2:$QJ$317))</f>
        <v>3</v>
      </c>
      <c r="TS11">
        <f>SUMPRODUCT(--('Данные 2st'!$Q$2:$Q$317=$A11),--ISNUMBER('Данные 2st'!$QK$2:$QK$317))</f>
        <v>3</v>
      </c>
      <c r="TT11">
        <f>SUMPRODUCT(--('Данные 2st'!$Q$2:$Q$317=$A11),--ISNUMBER('Данные 2st'!$QL$2:$QL$317))</f>
        <v>3</v>
      </c>
      <c r="TU11">
        <f>SUMPRODUCT(--('Данные 2st'!$Q$2:$Q$317=$A11),--ISNUMBER('Данные 2st'!$QM$2:$QM$317))</f>
        <v>3</v>
      </c>
      <c r="TV11">
        <f>SUMPRODUCT(--('Данные 2st'!$Q$2:$Q$317=$A11),--ISNUMBER('Данные 2st'!$QN$2:$QN$317))</f>
        <v>3</v>
      </c>
      <c r="TW11">
        <f>SUMPRODUCT(--('Данные 2st'!$Q$2:$Q$317=$A11),--ISNUMBER('Данные 2st'!$QQ$2:$QQ$317))</f>
        <v>3</v>
      </c>
      <c r="TX11">
        <f>SUMPRODUCT(--('Данные 2st'!$Q$2:$Q$317=$A11),--ISNUMBER('Данные 2st'!$QS$2:$QS$317))</f>
        <v>3</v>
      </c>
      <c r="TY11">
        <f>SUMPRODUCT(--('Данные 2st'!$Q$2:$Q$317=$A11),--ISNUMBER('Данные 2st'!$QT$2:$QT$317))</f>
        <v>3</v>
      </c>
    </row>
    <row r="12" spans="1:545" ht="32" customHeight="1">
      <c r="A12" s="11" t="str">
        <f>'По размерам'!A12</f>
        <v>195/60R15</v>
      </c>
      <c r="G12">
        <f>SUMPRODUCT(--('Данные 1st'!$S$2:$S$317=$A12),--ISNUMBER('Данные 1st'!$AE$2:$AE$317))</f>
        <v>2</v>
      </c>
      <c r="H12">
        <f>SUMPRODUCT(--('Данные 1st'!$S$2:$S$317=$A12),--ISNUMBER('Данные 1st'!$AF$2:$AF$317))</f>
        <v>2</v>
      </c>
      <c r="I12">
        <f>SUMPRODUCT(--('Данные 1st'!$S$2:$S$317=$A12),--ISNUMBER('Данные 1st'!$AJ$2:$AJ$317))</f>
        <v>2</v>
      </c>
      <c r="J12">
        <f>SUMPRODUCT(--('Данные 1st'!$S$2:$S$317=$A12),--ISNUMBER('Данные 1st'!$AL$2:$AL$317))</f>
        <v>2</v>
      </c>
      <c r="K12">
        <f>SUMPRODUCT(--('Данные 1st'!$S$2:$S$317=$A12),--ISNUMBER('Данные 1st'!$AR$2:$AR$317))</f>
        <v>2</v>
      </c>
      <c r="L12">
        <f>SUMPRODUCT(--('Данные 1st'!$S$2:$S$317=$A12),--ISNUMBER('Данные 1st'!$AS$2:$AS$317))</f>
        <v>2</v>
      </c>
      <c r="M12">
        <f>SUMPRODUCT(--('Данные 1st'!$S$2:$S$317=$A12),--ISNUMBER('Данные 1st'!$AY$2:$AY$317))</f>
        <v>2</v>
      </c>
      <c r="N12">
        <f>SUMPRODUCT(--('Данные 1st'!$S$2:$S$317=$A12),--ISNUMBER('Данные 1st'!$AZ$2:$AZ$317))</f>
        <v>2</v>
      </c>
      <c r="O12">
        <f>SUMPRODUCT(--('Данные 1st'!$S$2:$S$317=$A12),--ISNUMBER('Данные 1st'!$BF$2:$BF$317))</f>
        <v>0</v>
      </c>
      <c r="P12">
        <f>SUMPRODUCT(--('Данные 1st'!$S$2:$S$317=$A12),--ISNUMBER('Данные 1st'!$BG$2:$BG$317))</f>
        <v>2</v>
      </c>
      <c r="Q12">
        <f>SUMPRODUCT(--('Данные 1st'!$S$2:$S$317=$A12),--ISNUMBER('Данные 1st'!$BM$2:$BM$317))</f>
        <v>0</v>
      </c>
      <c r="R12">
        <f>SUMPRODUCT(--('Данные 1st'!$S$2:$S$317=$A12),--ISNUMBER('Данные 1st'!$BN$2:$BN$317))</f>
        <v>2</v>
      </c>
      <c r="S12">
        <f>SUMPRODUCT(--('Данные 1st'!$S$2:$S$317=$A12),--ISNUMBER('Данные 1st'!$BT$2:$BT$317))</f>
        <v>2</v>
      </c>
      <c r="T12">
        <f>SUMPRODUCT(--('Данные 1st'!$S$2:$S$317=$A12),--ISNUMBER('Данные 1st'!$BU$2:$BU$317))</f>
        <v>2</v>
      </c>
      <c r="U12">
        <f>SUMPRODUCT(--('Данные 1st'!$S$2:$S$317=$A12),--ISNUMBER('Данные 1st'!$BW$2:$BW$317))</f>
        <v>2</v>
      </c>
      <c r="V12">
        <f>SUMPRODUCT(--('Данные 1st'!$S$2:$S$317=$A12),--ISNUMBER('Данные 1st'!$BX$2:$BX$317))</f>
        <v>2</v>
      </c>
      <c r="W12">
        <f>SUMPRODUCT(--('Данные 1st'!$S$2:$S$317=$A12),--ISNUMBER('Данные 1st'!$BZ$2:$BZ$317))</f>
        <v>2</v>
      </c>
      <c r="X12">
        <f>SUMPRODUCT(--('Данные 1st'!$S$2:$S$317=$A12),--ISNUMBER('Данные 1st'!$CA$2:$CA$317))</f>
        <v>2</v>
      </c>
      <c r="Y12">
        <f>SUMPRODUCT(--('Данные 1st'!$S$2:$S$317=$A12),--ISNUMBER('Данные 1st'!$CD$2:$CD$317))</f>
        <v>2</v>
      </c>
      <c r="Z12">
        <f>SUMPRODUCT(--('Данные 1st'!$S$2:$S$317=$A12),--ISNUMBER('Данные 1st'!$CF$2:$CF$317))</f>
        <v>2</v>
      </c>
      <c r="AA12">
        <f>SUMPRODUCT(--('Данные 1st'!$S$2:$S$317=$A12),--ISNUMBER('Данные 1st'!$CI$2:$CI$317))</f>
        <v>2</v>
      </c>
      <c r="AB12">
        <f>SUMPRODUCT(--('Данные 1st'!$S$2:$S$317=$A12),--ISNUMBER('Данные 1st'!$CJ$2:$CJ$317))</f>
        <v>2</v>
      </c>
      <c r="AC12">
        <f>SUMPRODUCT(--('Данные 1st'!$S$2:$S$317=$A12),--ISNUMBER('Данные 1st'!$CK$2:$CK$317))</f>
        <v>2</v>
      </c>
      <c r="AD12">
        <f>SUMPRODUCT(--('Данные 1st'!$S$2:$S$317=$A12),--ISNUMBER('Данные 1st'!$CL$2:$CL$317))</f>
        <v>2</v>
      </c>
      <c r="AE12">
        <f>SUMPRODUCT(--('Данные 1st'!$S$2:$S$317=$A12),--ISNUMBER('Данные 1st'!$CM$2:$CM$317))</f>
        <v>2</v>
      </c>
      <c r="AF12">
        <f>SUMPRODUCT(--('Данные 1st'!$S$2:$S$317=$A12),--ISNUMBER('Данные 1st'!$CT$2:$CT$317))</f>
        <v>2</v>
      </c>
      <c r="AG12">
        <f>SUMPRODUCT(--('Данные 1st'!$S$2:$S$317=$A12),--ISNUMBER('Данные 1st'!$CU$2:$CU$317))</f>
        <v>2</v>
      </c>
      <c r="AH12">
        <f>SUMPRODUCT(--('Данные 1st'!$S$2:$S$317=$A12),--ISNUMBER('Данные 1st'!$CV$2:$CV$317))</f>
        <v>2</v>
      </c>
      <c r="AI12">
        <f>SUMPRODUCT(--('Данные 1st'!$S$2:$S$317=$A12),--ISNUMBER('Данные 1st'!$CW$2:$CW$317))</f>
        <v>2</v>
      </c>
      <c r="AJ12">
        <f>SUMPRODUCT(--('Данные 1st'!$S$2:$S$317=$A12),--ISNUMBER('Данные 1st'!$CX$2:$CX$317))</f>
        <v>2</v>
      </c>
      <c r="AK12">
        <f>SUMPRODUCT(--('Данные 1st'!$S$2:$S$317=$A12),--ISNUMBER('Данные 1st'!$CZ$2:$CZ$317))</f>
        <v>0</v>
      </c>
      <c r="AL12">
        <f>SUMPRODUCT(--('Данные 1st'!$S$2:$S$317=$A12),--ISNUMBER('Данные 1st'!$DA$2:$DA$317))</f>
        <v>0</v>
      </c>
      <c r="AM12">
        <f>SUMPRODUCT(--('Данные 1st'!$S$2:$S$317=$A12),--ISNUMBER('Данные 1st'!$DB$2:$DB$317))</f>
        <v>0</v>
      </c>
      <c r="AN12">
        <f>SUMPRODUCT(--('Данные 1st'!$S$2:$S$317=$A12),--ISNUMBER('Данные 1st'!$DC$2:$DC$317))</f>
        <v>0</v>
      </c>
      <c r="AO12">
        <f>SUMPRODUCT(--('Данные 1st'!$S$2:$S$317=$A12),--ISNUMBER('Данные 1st'!$DD$2:$DD$317))</f>
        <v>2</v>
      </c>
      <c r="AP12">
        <f>SUMPRODUCT(--('Данные 1st'!$S$2:$S$317=$A12),--ISNUMBER('Данные 1st'!$DF$2:$DF$317))</f>
        <v>2</v>
      </c>
      <c r="AQ12">
        <f>SUMPRODUCT(--('Данные 1st'!$S$2:$S$317=$A12),--ISNUMBER('Данные 1st'!$DG$2:$DG$317))</f>
        <v>2</v>
      </c>
      <c r="AR12">
        <f>SUMPRODUCT(--('Данные 1st'!$S$2:$S$317=$A12),--ISNUMBER('Данные 1st'!$DH$2:$DH$317))</f>
        <v>2</v>
      </c>
      <c r="AS12">
        <f>SUMPRODUCT(--('Данные 1st'!$S$2:$S$317=$A12),--ISNUMBER('Данные 1st'!$DI$2:$DI$317))</f>
        <v>2</v>
      </c>
      <c r="AT12">
        <f>SUMPRODUCT(--('Данные 1st'!$S$2:$S$317=$A12),--ISNUMBER('Данные 1st'!$DJ$2:$DJ$317))</f>
        <v>2</v>
      </c>
      <c r="AU12">
        <f>SUMPRODUCT(--('Данные 1st'!$S$2:$S$317=$A12),--ISNUMBER('Данные 1st'!$DL$2:$DL$317))</f>
        <v>0</v>
      </c>
      <c r="AV12">
        <f>SUMPRODUCT(--('Данные 1st'!$S$2:$S$317=$A12),--ISNUMBER('Данные 1st'!$DM$2:$DM$317))</f>
        <v>0</v>
      </c>
      <c r="AW12">
        <f>SUMPRODUCT(--('Данные 1st'!$S$2:$S$317=$A12),--ISNUMBER('Данные 1st'!$DN$2:$DN$317))</f>
        <v>0</v>
      </c>
      <c r="AX12">
        <f>SUMPRODUCT(--('Данные 1st'!$S$2:$S$317=$A12),--ISNUMBER('Данные 1st'!$DO$2:$DO$317))</f>
        <v>0</v>
      </c>
      <c r="AY12">
        <f>SUMPRODUCT(--('Данные 1st'!$S$2:$S$317=$A12),--ISNUMBER('Данные 1st'!$DP$2:$DP$317))</f>
        <v>0</v>
      </c>
      <c r="AZ12">
        <f>SUMPRODUCT(--('Данные 1st'!$S$2:$S$317=$A12),--ISNUMBER('Данные 1st'!$DR$2:$DR$317))</f>
        <v>0</v>
      </c>
      <c r="BA12">
        <f>SUMPRODUCT(--('Данные 1st'!$S$2:$S$317=$A12),--ISNUMBER('Данные 1st'!$DS$2:$DS$317))</f>
        <v>0</v>
      </c>
      <c r="BB12">
        <f>SUMPRODUCT(--('Данные 1st'!$S$2:$S$317=$A12),--ISNUMBER('Данные 1st'!$DT$2:$DT$317))</f>
        <v>0</v>
      </c>
      <c r="BC12">
        <f>SUMPRODUCT(--('Данные 1st'!$S$2:$S$317=$A12),--ISNUMBER('Данные 1st'!$DU$2:$DU$317))</f>
        <v>0</v>
      </c>
      <c r="BD12">
        <f>SUMPRODUCT(--('Данные 1st'!$S$2:$S$317=$A12),--ISNUMBER('Данные 1st'!$DV$2:$DV$317))</f>
        <v>0</v>
      </c>
      <c r="BE12">
        <f>SUMPRODUCT(--('Данные 1st'!$S$2:$S$317=$A12),--ISNUMBER('Данные 1st'!$DX$2:$DX$317))</f>
        <v>2</v>
      </c>
      <c r="BF12">
        <f>SUMPRODUCT(--('Данные 1st'!$S$2:$S$317=$A12),--ISNUMBER('Данные 1st'!$EA$2:$EA$317))</f>
        <v>2</v>
      </c>
      <c r="BG12">
        <f>SUMPRODUCT(--('Данные 1st'!$S$2:$S$317=$A12),--ISNUMBER('Данные 1st'!$EB$2:$EB$317))</f>
        <v>2</v>
      </c>
      <c r="BH12">
        <f>SUMPRODUCT(--('Данные 1st'!$S$2:$S$317=$A12),--ISNUMBER('Данные 1st'!$ED$2:$ED$317))</f>
        <v>2</v>
      </c>
      <c r="BI12">
        <f>SUMPRODUCT(--('Данные 1st'!$S$2:$S$317=$A12),--ISNUMBER('Данные 1st'!$EE$2:$EE$317))</f>
        <v>2</v>
      </c>
      <c r="BJ12">
        <f>SUMPRODUCT(--('Данные 1st'!$S$2:$S$317=$A12),--ISNUMBER('Данные 1st'!$EG$2:$EG$317))</f>
        <v>2</v>
      </c>
      <c r="BK12">
        <f>SUMPRODUCT(--('Данные 1st'!$S$2:$S$317=$A12),--ISNUMBER('Данные 1st'!$EH$2:$EH$317))</f>
        <v>2</v>
      </c>
      <c r="BL12">
        <f>SUMPRODUCT(--('Данные 1st'!$S$2:$S$317=$A12),--ISNUMBER('Данные 1st'!$EJ$2:$EJ$317))</f>
        <v>2</v>
      </c>
      <c r="BM12">
        <f>SUMPRODUCT(--('Данные 1st'!$S$2:$S$317=$A12),--ISNUMBER('Данные 1st'!$EK$2:$EK$317))</f>
        <v>2</v>
      </c>
      <c r="BN12">
        <f>SUMPRODUCT(--('Данные 1st'!$S$2:$S$317=$A12),--ISNUMBER('Данные 1st'!$EN$2:$EN$317))</f>
        <v>2</v>
      </c>
      <c r="BO12">
        <f>SUMPRODUCT(--('Данные 1st'!$S$2:$S$317=$A12),--ISNUMBER('Данные 1st'!$EQ$2:$EQ$317))</f>
        <v>2</v>
      </c>
      <c r="BP12">
        <f>SUMPRODUCT(--('Данные 1st'!$S$2:$S$317=$A12),--ISNUMBER('Данные 1st'!$ER$2:$ER$317))</f>
        <v>2</v>
      </c>
      <c r="BQ12">
        <f>SUMPRODUCT(--('Данные 1st'!$S$2:$S$317=$A12),--ISNUMBER('Данные 1st'!$ES$2:$ES$317))</f>
        <v>2</v>
      </c>
      <c r="BR12">
        <f>SUMPRODUCT(--('Данные 1st'!$S$2:$S$317=$A12),--ISNUMBER('Данные 1st'!$ET$2:$ET$317))</f>
        <v>2</v>
      </c>
      <c r="BS12">
        <f>SUMPRODUCT(--('Данные 1st'!$S$2:$S$317=$A12),--ISNUMBER('Данные 1st'!$EU$2:$EU$317))</f>
        <v>2</v>
      </c>
      <c r="BT12">
        <f>SUMPRODUCT(--('Данные 1st'!$S$2:$S$317=$A12),--ISNUMBER('Данные 1st'!$EV$2:$EV$317))</f>
        <v>2</v>
      </c>
      <c r="BU12">
        <f>SUMPRODUCT(--('Данные 1st'!$S$2:$S$317=$A12),--ISNUMBER('Данные 1st'!$EX$2:$EX$317))</f>
        <v>2</v>
      </c>
      <c r="BV12">
        <f>SUMPRODUCT(--('Данные 1st'!$S$2:$S$317=$A12),--ISNUMBER('Данные 1st'!$EY$2:$EY$317))</f>
        <v>2</v>
      </c>
      <c r="BW12">
        <f>SUMPRODUCT(--('Данные 1st'!$S$2:$S$317=$A12),--ISNUMBER('Данные 1st'!$EZ$2:$EZ$317))</f>
        <v>2</v>
      </c>
      <c r="BX12">
        <f>SUMPRODUCT(--('Данные 1st'!$S$2:$S$317=$A12),--ISNUMBER('Данные 1st'!$FA$2:$FA$317))</f>
        <v>2</v>
      </c>
      <c r="BY12">
        <f>SUMPRODUCT(--('Данные 1st'!$S$2:$S$317=$A12),--ISNUMBER('Данные 1st'!$FB$2:$FB$317))</f>
        <v>2</v>
      </c>
      <c r="BZ12">
        <f>SUMPRODUCT(--('Данные 1st'!$S$2:$S$317=$A12),--ISNUMBER('Данные 1st'!$FC$2:$FC$317))</f>
        <v>2</v>
      </c>
      <c r="CA12">
        <f>SUMPRODUCT(--('Данные 1st'!$S$2:$S$317=$A12),--ISNUMBER('Данные 1st'!$FE$2:$FE$317))</f>
        <v>2</v>
      </c>
      <c r="CB12">
        <f>SUMPRODUCT(--('Данные 1st'!$S$2:$S$317=$A12),--ISNUMBER('Данные 1st'!$FF$2:$FF$317))</f>
        <v>2</v>
      </c>
      <c r="CC12">
        <f>SUMPRODUCT(--('Данные 1st'!$S$2:$S$317=$A12),--ISNUMBER('Данные 1st'!$FI$2:$FI$317))</f>
        <v>2</v>
      </c>
      <c r="CD12">
        <f>SUMPRODUCT(--('Данные 1st'!$S$2:$S$317=$A12),--ISNUMBER('Данные 1st'!$FL$2:$FL$317))</f>
        <v>2</v>
      </c>
      <c r="CE12">
        <f>SUMPRODUCT(--('Данные 1st'!$S$2:$S$317=$A12),--ISNUMBER('Данные 1st'!$FM$2:$FM$317))</f>
        <v>2</v>
      </c>
      <c r="CF12">
        <f>SUMPRODUCT(--('Данные 1st'!$S$2:$S$317=$A12),--ISNUMBER('Данные 1st'!$FN$2:$FN$317))</f>
        <v>2</v>
      </c>
      <c r="CG12">
        <f>SUMPRODUCT(--('Данные 1st'!$S$2:$S$317=$A12),--ISNUMBER('Данные 1st'!$FO$2:$FO$317))</f>
        <v>0</v>
      </c>
      <c r="CH12">
        <f>SUMPRODUCT(--('Данные 1st'!$S$2:$S$317=$A12),--ISNUMBER('Данные 1st'!$FP$2:$FP$317))</f>
        <v>0</v>
      </c>
      <c r="CI12">
        <f>SUMPRODUCT(--('Данные 1st'!$S$2:$S$317=$A12),--ISNUMBER('Данные 1st'!$FS$2:$FS$317))</f>
        <v>2</v>
      </c>
      <c r="CJ12">
        <f>SUMPRODUCT(--('Данные 1st'!$S$2:$S$317=$A12),--ISNUMBER('Данные 1st'!$FT$2:$FT$317))</f>
        <v>2</v>
      </c>
      <c r="CK12">
        <f>SUMPRODUCT(--('Данные 1st'!$S$2:$S$317=$A12),--ISNUMBER('Данные 1st'!$FU$2:$FU$317))</f>
        <v>2</v>
      </c>
      <c r="CL12">
        <f>SUMPRODUCT(--('Данные 1st'!$S$2:$S$317=$A12),--ISNUMBER('Данные 1st'!$FV$2:$FV$317))</f>
        <v>0</v>
      </c>
      <c r="CM12">
        <f>SUMPRODUCT(--('Данные 1st'!$S$2:$S$317=$A12),--ISNUMBER('Данные 1st'!$FW$2:$FW$317))</f>
        <v>0</v>
      </c>
      <c r="CN12">
        <f>SUMPRODUCT(--('Данные 1st'!$S$2:$S$317=$A12),--ISNUMBER('Данные 1st'!$FZ$2:$FZ$317))</f>
        <v>0</v>
      </c>
      <c r="CO12">
        <f>SUMPRODUCT(--('Данные 1st'!$S$2:$S$317=$A12),--ISNUMBER('Данные 1st'!$GA$2:$GA$317))</f>
        <v>0</v>
      </c>
      <c r="CP12">
        <f>SUMPRODUCT(--('Данные 1st'!$S$2:$S$317=$A12),--ISNUMBER('Данные 1st'!$GB$2:$GB$317))</f>
        <v>0</v>
      </c>
      <c r="CQ12">
        <f>SUMPRODUCT(--('Данные 1st'!$S$2:$S$317=$A12),--ISNUMBER('Данные 1st'!$GH$2:$GH$317))</f>
        <v>0</v>
      </c>
      <c r="CR12">
        <f>SUMPRODUCT(--('Данные 1st'!$S$2:$S$317=$A12),--ISNUMBER('Данные 1st'!$GI$2:$GI$317))</f>
        <v>0</v>
      </c>
      <c r="CS12">
        <f>SUMPRODUCT(--('Данные 1st'!$S$2:$S$317=$A12),--ISNUMBER('Данные 1st'!$GJ$2:$GJ$317))</f>
        <v>0</v>
      </c>
      <c r="CT12">
        <f>SUMPRODUCT(--('Данные 1st'!$S$2:$S$317=$A12),--ISNUMBER('Данные 1st'!$GS$2:$GS$317))</f>
        <v>0</v>
      </c>
      <c r="CU12">
        <f>SUMPRODUCT(--('Данные 1st'!$S$2:$S$317=$A12),--ISNUMBER('Данные 1st'!$GT$2:$GT$317))</f>
        <v>0</v>
      </c>
      <c r="CV12">
        <f>SUMPRODUCT(--('Данные 1st'!$S$2:$S$317=$A12),--ISNUMBER('Данные 1st'!$GU$2:$GU$317))</f>
        <v>0</v>
      </c>
      <c r="CW12">
        <f>SUMPRODUCT(--('Данные 1st'!$S$2:$S$317=$A12),--ISNUMBER('Данные 1st'!$GV$2:$GV$317))</f>
        <v>0</v>
      </c>
      <c r="CX12">
        <f>SUMPRODUCT(--('Данные 1st'!$S$2:$S$317=$A12),--ISNUMBER('Данные 1st'!$GW$2:$GW$317))</f>
        <v>0</v>
      </c>
      <c r="CY12">
        <f>SUMPRODUCT(--('Данные 1st'!$S$2:$S$317=$A12),--ISNUMBER('Данные 1st'!$GZ$2:$GZ$317))</f>
        <v>0</v>
      </c>
      <c r="CZ12">
        <f>SUMPRODUCT(--('Данные 1st'!$S$2:$S$317=$A12),--ISNUMBER('Данные 1st'!$HA$2:$HA$317))</f>
        <v>0</v>
      </c>
      <c r="DA12">
        <f>SUMPRODUCT(--('Данные 1st'!$S$2:$S$317=$A12),--ISNUMBER('Данные 1st'!$HB$2:$HB$317))</f>
        <v>0</v>
      </c>
      <c r="DB12">
        <f>SUMPRODUCT(--('Данные 1st'!$S$2:$S$317=$A12),--ISNUMBER('Данные 1st'!$HC$2:$HC$317))</f>
        <v>2</v>
      </c>
      <c r="DC12">
        <f>SUMPRODUCT(--('Данные 1st'!$S$2:$S$317=$A12),--ISNUMBER('Данные 1st'!$HD$2:$HD$317))</f>
        <v>2</v>
      </c>
      <c r="DD12">
        <f>SUMPRODUCT(--('Данные 1st'!$S$2:$S$317=$A12),--ISNUMBER('Данные 1st'!$HE$2:$HE$317))</f>
        <v>2</v>
      </c>
      <c r="DE12">
        <f>SUMPRODUCT(--('Данные 1st'!$S$2:$S$317=$A12),--ISNUMBER('Данные 1st'!$HF$2:$HF$317))</f>
        <v>2</v>
      </c>
      <c r="DF12">
        <f>SUMPRODUCT(--('Данные 1st'!$S$2:$S$317=$A12),--ISNUMBER('Данные 1st'!$HG$2:$HG$317))</f>
        <v>2</v>
      </c>
      <c r="DG12">
        <f>SUMPRODUCT(--('Данные 1st'!$S$2:$S$317=$A12),--ISNUMBER('Данные 1st'!$HH$2:$HH$317))</f>
        <v>2</v>
      </c>
      <c r="DH12">
        <f>SUMPRODUCT(--('Данные 1st'!$S$2:$S$317=$A12),--ISNUMBER('Данные 1st'!$HI$2:$HI$317))</f>
        <v>2</v>
      </c>
      <c r="DI12">
        <f>SUMPRODUCT(--('Данные 1st'!$S$2:$S$317=$A12),--ISNUMBER('Данные 1st'!$HJ$2:$HJ$317))</f>
        <v>2</v>
      </c>
      <c r="DJ12">
        <f>SUMPRODUCT(--('Данные 1st'!$S$2:$S$317=$A12),--ISNUMBER('Данные 1st'!$HK$2:$HK$317))</f>
        <v>2</v>
      </c>
      <c r="DK12">
        <f>SUMPRODUCT(--('Данные 1st'!$S$2:$S$317=$A12),--ISNUMBER('Данные 1st'!$HL$2:$HL$317))</f>
        <v>2</v>
      </c>
      <c r="DL12">
        <f>SUMPRODUCT(--('Данные 1st'!$S$2:$S$317=$A12),--ISNUMBER('Данные 1st'!$HM$2:$HM$317))</f>
        <v>2</v>
      </c>
      <c r="DM12">
        <f>SUMPRODUCT(--('Данные 1st'!$S$2:$S$317=$A12),--ISNUMBER('Данные 1st'!$HN$2:$HN$317))</f>
        <v>2</v>
      </c>
      <c r="DN12">
        <f>SUMPRODUCT(--('Данные 1st'!$S$2:$S$317=$A12),--ISNUMBER('Данные 1st'!$HO$2:$HO$317))</f>
        <v>2</v>
      </c>
      <c r="DO12">
        <f>SUMPRODUCT(--('Данные 1st'!$S$2:$S$317=$A12),--ISNUMBER('Данные 1st'!$HP$2:$HP$317))</f>
        <v>2</v>
      </c>
      <c r="DP12">
        <f>SUMPRODUCT(--('Данные 1st'!$S$2:$S$317=$A12),--ISNUMBER('Данные 1st'!$HQ$2:$HQ$317))</f>
        <v>2</v>
      </c>
      <c r="DQ12">
        <f>SUMPRODUCT(--('Данные 1st'!$S$2:$S$317=$A12),--ISNUMBER('Данные 1st'!$HR$2:$HR$317))</f>
        <v>2</v>
      </c>
      <c r="DR12">
        <f>SUMPRODUCT(--('Данные 1st'!$S$2:$S$317=$A12),--ISNUMBER('Данные 1st'!$HS$2:$HS$317))</f>
        <v>2</v>
      </c>
      <c r="DS12">
        <f>SUMPRODUCT(--('Данные 1st'!$S$2:$S$317=$A12),--ISNUMBER('Данные 1st'!$HT$2:$HT$317))</f>
        <v>2</v>
      </c>
      <c r="DT12">
        <f>SUMPRODUCT(--('Данные 1st'!$S$2:$S$317=$A12),--ISNUMBER('Данные 1st'!$HU$2:$HU$317))</f>
        <v>2</v>
      </c>
      <c r="DU12">
        <f>SUMPRODUCT(--('Данные 1st'!$S$2:$S$317=$A12),--ISNUMBER('Данные 1st'!$HW$2:$HW$317))</f>
        <v>2</v>
      </c>
      <c r="DV12">
        <f>SUMPRODUCT(--('Данные 1st'!$S$2:$S$317=$A12),--ISNUMBER('Данные 1st'!$HX$2:$HX$317))</f>
        <v>2</v>
      </c>
      <c r="DW12">
        <f>SUMPRODUCT(--('Данные 1st'!$S$2:$S$317=$A12),--ISNUMBER('Данные 1st'!$HY$2:$HY$317))</f>
        <v>2</v>
      </c>
      <c r="DX12">
        <f>SUMPRODUCT(--('Данные 1st'!$S$2:$S$317=$A12),--ISNUMBER('Данные 1st'!$IA$2:$IA$317))</f>
        <v>2</v>
      </c>
      <c r="DY12">
        <f>SUMPRODUCT(--('Данные 1st'!$S$2:$S$317=$A12),--ISNUMBER('Данные 1st'!$IB$2:$IB$317))</f>
        <v>2</v>
      </c>
      <c r="DZ12">
        <f>SUMPRODUCT(--('Данные 1st'!$S$2:$S$317=$A12),--ISNUMBER('Данные 1st'!$IC$2:$IC$317))</f>
        <v>2</v>
      </c>
      <c r="EA12">
        <f>SUMPRODUCT(--('Данные 1st'!$S$2:$S$317=$A12),--ISNUMBER('Данные 1st'!$ID$2:$ID$317))</f>
        <v>2</v>
      </c>
      <c r="EB12">
        <f>SUMPRODUCT(--('Данные 1st'!$S$2:$S$317=$A12),--ISNUMBER('Данные 1st'!$IE$2:$IE$317))</f>
        <v>2</v>
      </c>
      <c r="EC12">
        <f>SUMPRODUCT(--('Данные 1st'!$S$2:$S$317=$A12),--ISNUMBER('Данные 1st'!$IF$2:$IF$317))</f>
        <v>2</v>
      </c>
      <c r="ED12">
        <f>SUMPRODUCT(--('Данные 1st'!$S$2:$S$317=$A12),--ISNUMBER('Данные 1st'!$IP$2:$IP$317))</f>
        <v>2</v>
      </c>
      <c r="EE12">
        <f>SUMPRODUCT(--('Данные 1st'!$S$2:$S$317=$A12),--ISNUMBER('Данные 1st'!$IV$2:$IV$317))</f>
        <v>2</v>
      </c>
      <c r="EF12">
        <f>SUMPRODUCT(--('Данные 1st'!$S$2:$S$317=$A12),--ISNUMBER('Данные 1st'!$IW$2:$IW$317))</f>
        <v>2</v>
      </c>
      <c r="EG12">
        <f>SUMPRODUCT(--('Данные 1st'!$S$2:$S$317=$A12),--ISNUMBER('Данные 1st'!$IX$2:$IX$317))</f>
        <v>0</v>
      </c>
      <c r="EH12">
        <f>SUMPRODUCT(--('Данные 1st'!$S$2:$S$317=$A12),--ISNUMBER('Данные 1st'!$IY$2:$IY$317))</f>
        <v>0</v>
      </c>
      <c r="EI12">
        <f>SUMPRODUCT(--('Данные 1st'!$S$2:$S$317=$A12),--ISNUMBER('Данные 1st'!$JD$2:$JD$317))</f>
        <v>2</v>
      </c>
      <c r="EJ12">
        <f>SUMPRODUCT(--('Данные 1st'!$S$2:$S$317=$A12),--ISNUMBER('Данные 1st'!$JE$2:$JE$317))</f>
        <v>2</v>
      </c>
      <c r="EK12">
        <f>SUMPRODUCT(--('Данные 1st'!$S$2:$S$317=$A12),--ISNUMBER('Данные 1st'!$JF$2:$JF$317))</f>
        <v>2</v>
      </c>
      <c r="EL12">
        <f>SUMPRODUCT(--('Данные 1st'!$S$2:$S$317=$A12),--ISNUMBER('Данные 1st'!$JG$2:$JG$317))</f>
        <v>2</v>
      </c>
      <c r="EM12">
        <f>SUMPRODUCT(--('Данные 1st'!$S$2:$S$317=$A12),--ISNUMBER('Данные 1st'!$JH$2:$JH$317))</f>
        <v>2</v>
      </c>
      <c r="EN12">
        <f>SUMPRODUCT(--('Данные 1st'!$S$2:$S$317=$A12),--ISNUMBER('Данные 1st'!$JJ$2:$JJ$317))</f>
        <v>2</v>
      </c>
      <c r="EO12">
        <f>SUMPRODUCT(--('Данные 1st'!$S$2:$S$317=$A12),--ISNUMBER('Данные 1st'!$JK$2:$JK$317))</f>
        <v>2</v>
      </c>
      <c r="EP12">
        <f>SUMPRODUCT(--('Данные 1st'!$S$2:$S$317=$A12),--ISNUMBER('Данные 1st'!$JL$2:$JL$317))</f>
        <v>0</v>
      </c>
      <c r="EQ12">
        <f>SUMPRODUCT(--('Данные 1st'!$S$2:$S$317=$A12),--ISNUMBER('Данные 1st'!$JM$2:$JM$317))</f>
        <v>0</v>
      </c>
      <c r="ER12">
        <f>SUMPRODUCT(--('Данные 1st'!$S$2:$S$317=$A12),--ISNUMBER('Данные 1st'!$JN$2:$JN$317))</f>
        <v>2</v>
      </c>
      <c r="ES12">
        <f>SUMPRODUCT(--('Данные 1st'!$S$2:$S$317=$A12),--ISNUMBER('Данные 1st'!$JO$2:$JO$317))</f>
        <v>2</v>
      </c>
      <c r="ET12">
        <f>SUMPRODUCT(--('Данные 1st'!$S$2:$S$317=$A12),--ISNUMBER('Данные 1st'!$JP$2:$JP$317))</f>
        <v>2</v>
      </c>
      <c r="EU12">
        <f>SUMPRODUCT(--('Данные 1st'!$S$2:$S$317=$A12),--ISNUMBER('Данные 1st'!$JQ$2:$JQ$317))</f>
        <v>2</v>
      </c>
      <c r="EV12">
        <f>SUMPRODUCT(--('Данные 1st'!$S$2:$S$317=$A12),--ISNUMBER('Данные 1st'!$JR$2:$JR$317))</f>
        <v>2</v>
      </c>
      <c r="EW12">
        <f>SUMPRODUCT(--('Данные 1st'!$S$2:$S$317=$A12),--ISNUMBER('Данные 1st'!$JS$2:$JS$317))</f>
        <v>2</v>
      </c>
      <c r="EX12">
        <f>SUMPRODUCT(--('Данные 1st'!$S$2:$S$317=$A12),--ISNUMBER('Данные 1st'!$JT$2:$JT$317))</f>
        <v>0</v>
      </c>
      <c r="EY12">
        <f>SUMPRODUCT(--('Данные 1st'!$S$2:$S$317=$A12),--ISNUMBER('Данные 1st'!$JU$2:$JU$317))</f>
        <v>0</v>
      </c>
      <c r="EZ12">
        <f>SUMPRODUCT(--('Данные 1st'!$S$2:$S$317=$A12),--ISNUMBER('Данные 1st'!$JV$2:$JV$317))</f>
        <v>2</v>
      </c>
      <c r="FA12">
        <f>SUMPRODUCT(--('Данные 1st'!$S$2:$S$317=$A12),--ISNUMBER('Данные 1st'!$JW$2:$JW$317))</f>
        <v>0</v>
      </c>
      <c r="FB12">
        <f>SUMPRODUCT(--('Данные 1st'!$S$2:$S$317=$A12),--ISNUMBER('Данные 1st'!$JX$2:$JX$317))</f>
        <v>2</v>
      </c>
      <c r="FC12">
        <f>SUMPRODUCT(--('Данные 1st'!$S$2:$S$317=$A12),--ISNUMBER('Данные 1st'!$JY$2:$JY$317))</f>
        <v>0</v>
      </c>
      <c r="FD12">
        <f>SUMPRODUCT(--('Данные 1st'!$S$2:$S$317=$A12),--ISNUMBER('Данные 1st'!$JZ$2:$JZ$317))</f>
        <v>0</v>
      </c>
      <c r="FE12">
        <f>SUMPRODUCT(--('Данные 1st'!$S$2:$S$317=$A12),--ISNUMBER('Данные 1st'!$KA$2:$KA$317))</f>
        <v>2</v>
      </c>
      <c r="FF12">
        <f>SUMPRODUCT(--('Данные 1st'!$S$2:$S$317=$A12),--ISNUMBER('Данные 1st'!$KB$2:$KB$317))</f>
        <v>2</v>
      </c>
      <c r="FG12">
        <f>SUMPRODUCT(--('Данные 1st'!$S$2:$S$317=$A12),--ISNUMBER('Данные 1st'!$KC$2:$KC$317))</f>
        <v>2</v>
      </c>
      <c r="FH12">
        <f>SUMPRODUCT(--('Данные 1st'!$S$2:$S$317=$A12),--ISNUMBER('Данные 1st'!$KD$2:$KD$317))</f>
        <v>2</v>
      </c>
      <c r="FI12">
        <f>SUMPRODUCT(--('Данные 1st'!$S$2:$S$317=$A12),--ISNUMBER('Данные 1st'!$KE$2:$KE$317))</f>
        <v>0</v>
      </c>
      <c r="FJ12">
        <f>SUMPRODUCT(--('Данные 1st'!$S$2:$S$317=$A12),--ISNUMBER('Данные 1st'!$KF$2:$KF$317))</f>
        <v>2</v>
      </c>
      <c r="FK12">
        <f>SUMPRODUCT(--('Данные 1st'!$S$2:$S$317=$A12),--ISNUMBER('Данные 1st'!$KG$2:$KG$317))</f>
        <v>2</v>
      </c>
      <c r="FL12">
        <f>SUMPRODUCT(--('Данные 1st'!$S$2:$S$317=$A12),--ISNUMBER('Данные 1st'!$KH$2:$KH$317))</f>
        <v>2</v>
      </c>
      <c r="FM12">
        <f>SUMPRODUCT(--('Данные 1st'!$S$2:$S$317=$A12),--ISNUMBER('Данные 1st'!$KI$2:$KI$317))</f>
        <v>2</v>
      </c>
      <c r="FN12">
        <f>SUMPRODUCT(--('Данные 1st'!$S$2:$S$317=$A12),--ISNUMBER('Данные 1st'!$KJ$2:$KJ$317))</f>
        <v>2</v>
      </c>
      <c r="FO12">
        <f>SUMPRODUCT(--('Данные 1st'!$S$2:$S$317=$A12),--ISNUMBER('Данные 1st'!$KK$2:$KK$317))</f>
        <v>2</v>
      </c>
      <c r="FP12">
        <f>SUMPRODUCT(--('Данные 1st'!$S$2:$S$317=$A12),--ISNUMBER('Данные 1st'!$KL$2:$KL$317))</f>
        <v>2</v>
      </c>
      <c r="FQ12">
        <f>SUMPRODUCT(--('Данные 1st'!$S$2:$S$317=$A12),--ISNUMBER('Данные 1st'!$KM$2:$KM$317))</f>
        <v>2</v>
      </c>
      <c r="FR12">
        <f>SUMPRODUCT(--('Данные 1st'!$S$2:$S$317=$A12),--ISNUMBER('Данные 1st'!$KN$2:$KN$317))</f>
        <v>2</v>
      </c>
      <c r="FS12">
        <f>SUMPRODUCT(--('Данные 1st'!$S$2:$S$317=$A12),--ISNUMBER('Данные 1st'!$KR$2:$KR$317))</f>
        <v>2</v>
      </c>
      <c r="FT12">
        <f>SUMPRODUCT(--('Данные 1st'!$S$2:$S$317=$A12),--ISNUMBER('Данные 1st'!$KS$2:$KS$317))</f>
        <v>2</v>
      </c>
      <c r="FU12">
        <f>SUMPRODUCT(--('Данные 1st'!$S$2:$S$317=$A12),--ISNUMBER('Данные 1st'!$KT$2:$KT$317))</f>
        <v>2</v>
      </c>
      <c r="FV12">
        <f>SUMPRODUCT(--('Данные 1st'!$S$2:$S$317=$A12),--ISNUMBER('Данные 1st'!$KV$2:$KV$317))</f>
        <v>0</v>
      </c>
      <c r="FW12">
        <f>SUMPRODUCT(--('Данные 1st'!$S$2:$S$317=$A12),--ISNUMBER('Данные 1st'!$KW$2:$KW$317))</f>
        <v>0</v>
      </c>
      <c r="FX12">
        <f>SUMPRODUCT(--('Данные 1st'!$S$2:$S$317=$A12),--ISNUMBER('Данные 1st'!$KX$2:$KX$317))</f>
        <v>0</v>
      </c>
      <c r="FY12">
        <f>SUMPRODUCT(--('Данные 1st'!$S$2:$S$317=$A12),--ISNUMBER('Данные 1st'!$KY$2:$KY$317))</f>
        <v>0</v>
      </c>
      <c r="FZ12">
        <f>SUMPRODUCT(--('Данные 1st'!$S$2:$S$317=$A12),--ISNUMBER('Данные 1st'!$KZ$2:$KZ$317))</f>
        <v>0</v>
      </c>
      <c r="GA12">
        <f>SUMPRODUCT(--('Данные 1st'!$S$2:$S$317=$A12),--ISNUMBER('Данные 1st'!$LA$2:$LA$317))</f>
        <v>0</v>
      </c>
      <c r="GB12">
        <f>SUMPRODUCT(--('Данные 1st'!$S$2:$S$317=$A12),--ISNUMBER('Данные 1st'!$LB$2:$LB$317))</f>
        <v>0</v>
      </c>
      <c r="GC12">
        <f>SUMPRODUCT(--('Данные 1st'!$S$2:$S$317=$A12),--ISNUMBER('Данные 1st'!$LC$2:$LC$317))</f>
        <v>0</v>
      </c>
      <c r="GD12">
        <f>SUMPRODUCT(--('Данные 1st'!$S$2:$S$317=$A12),--ISNUMBER('Данные 1st'!$LD$2:$LD$317))</f>
        <v>0</v>
      </c>
      <c r="GE12">
        <f>SUMPRODUCT(--('Данные 1st'!$S$2:$S$317=$A12),--ISNUMBER('Данные 1st'!$LE$2:$LE$317))</f>
        <v>0</v>
      </c>
      <c r="GF12">
        <f>SUMPRODUCT(--('Данные 1st'!$S$2:$S$317=$A12),--ISNUMBER('Данные 1st'!$LF$2:$LF$317))</f>
        <v>0</v>
      </c>
      <c r="GG12">
        <f>SUMPRODUCT(--('Данные 1st'!$S$2:$S$317=$A12),--ISNUMBER('Данные 1st'!$LG$2:$LG$317))</f>
        <v>0</v>
      </c>
      <c r="GH12">
        <f>SUMPRODUCT(--('Данные 1st'!$S$2:$S$317=$A12),--ISNUMBER('Данные 1st'!$LH$2:$LH$317))</f>
        <v>0</v>
      </c>
      <c r="GI12">
        <f>SUMPRODUCT(--('Данные 1st'!$S$2:$S$317=$A12),--ISNUMBER('Данные 1st'!$LI$2:$LI$317))</f>
        <v>0</v>
      </c>
      <c r="GJ12">
        <f>SUMPRODUCT(--('Данные 1st'!$S$2:$S$317=$A12),--ISNUMBER('Данные 1st'!$LJ$2:$LJ$317))</f>
        <v>0</v>
      </c>
      <c r="GK12">
        <f>SUMPRODUCT(--('Данные 1st'!$S$2:$S$317=$A12),--ISNUMBER('Данные 1st'!$LK$2:$LK$317))</f>
        <v>2</v>
      </c>
      <c r="GL12">
        <f>SUMPRODUCT(--('Данные 1st'!$S$2:$S$317=$A12),--ISNUMBER('Данные 1st'!$LV$2:$LV$317))</f>
        <v>0</v>
      </c>
      <c r="GM12">
        <f>SUMPRODUCT(--('Данные 1st'!$S$2:$S$317=$A12),--ISNUMBER('Данные 1st'!$LW$2:$LW$317))</f>
        <v>0</v>
      </c>
      <c r="GN12">
        <f>SUMPRODUCT(--('Данные 1st'!$S$2:$S$317=$A12),--ISNUMBER('Данные 1st'!$LX$2:$LX$317))</f>
        <v>1</v>
      </c>
      <c r="GO12">
        <f>SUMPRODUCT(--('Данные 1st'!$S$2:$S$317=$A12),--ISNUMBER('Данные 1st'!$LY$2:$LY$317))</f>
        <v>2</v>
      </c>
      <c r="GP12">
        <f>SUMPRODUCT(--('Данные 1st'!$S$2:$S$317=$A12),--ISNUMBER('Данные 1st'!$LZ$2:$LZ$317))</f>
        <v>1</v>
      </c>
      <c r="GQ12">
        <f>SUMPRODUCT(--('Данные 1st'!$S$2:$S$317=$A12),--ISNUMBER('Данные 1st'!$PG$2:$PG$317))</f>
        <v>2</v>
      </c>
      <c r="GR12">
        <f>SUMPRODUCT(--('Данные 1st'!$S$2:$S$317=$A12),--ISNUMBER('Данные 1st'!$PX$2:$PX$317))</f>
        <v>2</v>
      </c>
      <c r="GS12">
        <f>SUMPRODUCT(--('Данные 1st'!$S$2:$S$317=$A12),--ISNUMBER('Данные 1st'!$PY$2:$PY$317))</f>
        <v>2</v>
      </c>
      <c r="GT12">
        <f>SUMPRODUCT(--('Данные 1st'!$S$2:$S$317=$A12),--ISNUMBER('Данные 1st'!$QA$2:$QA$317))</f>
        <v>2</v>
      </c>
      <c r="GU12">
        <f>SUMPRODUCT(--('Данные 1st'!$S$2:$S$317=$A12),--ISNUMBER('Данные 1st'!$QB$2:$QB$317))</f>
        <v>2</v>
      </c>
      <c r="GV12">
        <f>SUMPRODUCT(--('Данные 1st'!$S$2:$S$317=$A12),--ISNUMBER('Данные 1st'!$QC$2:$QC$317))</f>
        <v>2</v>
      </c>
      <c r="GW12">
        <f>SUMPRODUCT(--('Данные 1st'!$S$2:$S$317=$A12),--ISNUMBER('Данные 1st'!$QD$2:$QD$317))</f>
        <v>2</v>
      </c>
      <c r="GX12">
        <f>SUMPRODUCT(--('Данные 1st'!$S$2:$S$317=$A12),--ISNUMBER('Данные 1st'!$QF$2:$QF$317))</f>
        <v>2</v>
      </c>
      <c r="GY12">
        <f>SUMPRODUCT(--('Данные 1st'!$S$2:$S$317=$A12),--ISNUMBER('Данные 1st'!$QG$2:$QG$317))</f>
        <v>2</v>
      </c>
      <c r="GZ12">
        <f>SUMPRODUCT(--('Данные 1st'!$S$2:$S$317=$A12),--ISNUMBER('Данные 1st'!$QH$2:$QH$317))</f>
        <v>2</v>
      </c>
      <c r="HA12">
        <f>SUMPRODUCT(--('Данные 1st'!$S$2:$S$317=$A12),--ISNUMBER('Данные 1st'!$QI$2:$QI$317))</f>
        <v>2</v>
      </c>
      <c r="HB12">
        <f>SUMPRODUCT(--('Данные 1st'!$S$2:$S$317=$A12),--ISNUMBER('Данные 1st'!$QK$2:$QK$317))</f>
        <v>0</v>
      </c>
      <c r="HC12">
        <f>SUMPRODUCT(--('Данные 1st'!$S$2:$S$317=$A12),--ISNUMBER('Данные 1st'!$QL$2:$QL$317))</f>
        <v>2</v>
      </c>
      <c r="HD12">
        <f>SUMPRODUCT(--('Данные 1st'!$S$2:$S$317=$A12),--ISNUMBER('Данные 1st'!$QM$2:$QM$317))</f>
        <v>2</v>
      </c>
      <c r="HE12">
        <f>SUMPRODUCT(--('Данные 1st'!$S$2:$S$317=$A12),--ISNUMBER('Данные 1st'!$QN$2:$QN$317))</f>
        <v>2</v>
      </c>
      <c r="HF12">
        <f>SUMPRODUCT(--('Данные 1st'!$S$2:$S$317=$A12),--ISNUMBER('Данные 1st'!$QP$2:$QP$317))</f>
        <v>2</v>
      </c>
      <c r="HG12">
        <f>SUMPRODUCT(--('Данные 1st'!$S$2:$S$317=$A12),--ISNUMBER('Данные 1st'!$QQ$2:$QQ$317))</f>
        <v>2</v>
      </c>
      <c r="HH12">
        <f>SUMPRODUCT(--('Данные 1st'!$S$2:$S$317=$A12),--ISNUMBER('Данные 1st'!$QR$2:$QR$317))</f>
        <v>0</v>
      </c>
      <c r="HI12">
        <f>SUMPRODUCT(--('Данные 1st'!$S$2:$S$317=$A12),--ISNUMBER('Данные 1st'!$QS$2:$QS$317))</f>
        <v>0</v>
      </c>
      <c r="HJ12">
        <f>SUMPRODUCT(--('Данные 1st'!$S$2:$S$317=$A12),--ISNUMBER('Данные 1st'!$QU$2:$QU$317))</f>
        <v>0</v>
      </c>
      <c r="HK12">
        <f>SUMPRODUCT(--('Данные 1st'!$S$2:$S$317=$A12),--ISNUMBER('Данные 1st'!$QV$2:$QV$317))</f>
        <v>0</v>
      </c>
      <c r="HL12">
        <f>SUMPRODUCT(--('Данные 1st'!$S$2:$S$317=$A12),--ISNUMBER('Данные 1st'!$QW$2:$QW$317))</f>
        <v>2</v>
      </c>
      <c r="HM12">
        <f>SUMPRODUCT(--('Данные 1st'!$S$2:$S$317=$A12),--ISNUMBER('Данные 1st'!$QX$2:$QX$317))</f>
        <v>2</v>
      </c>
      <c r="HN12">
        <f>SUMPRODUCT(--('Данные 1st'!$S$2:$S$317=$A12),--ISNUMBER('Данные 1st'!$QZ$2:$QZ$317))</f>
        <v>2</v>
      </c>
      <c r="HO12">
        <f>SUMPRODUCT(--('Данные 1st'!$S$2:$S$317=$A12),--ISNUMBER('Данные 1st'!$RA$2:$RA$317))</f>
        <v>2</v>
      </c>
      <c r="HP12">
        <f>SUMPRODUCT(--('Данные 1st'!$S$2:$S$317=$A12),--ISNUMBER('Данные 1st'!$RB$2:$RB$317))</f>
        <v>2</v>
      </c>
      <c r="HQ12">
        <f>SUMPRODUCT(--('Данные 1st'!$S$2:$S$317=$A12),--ISNUMBER('Данные 1st'!$RD$2:$RD$317))</f>
        <v>0</v>
      </c>
      <c r="HR12">
        <f>SUMPRODUCT(--('Данные 1st'!$S$2:$S$317=$A12),--ISNUMBER('Данные 1st'!$RE$2:$RE$317))</f>
        <v>2</v>
      </c>
      <c r="HS12">
        <f>SUMPRODUCT(--('Данные 1st'!$S$2:$S$317=$A12),--ISNUMBER('Данные 1st'!$RF$2:$RF$317))</f>
        <v>2</v>
      </c>
      <c r="HT12">
        <f>SUMPRODUCT(--('Данные 1st'!$S$2:$S$317=$A12),--ISNUMBER('Данные 1st'!$RG$2:$RG$317))</f>
        <v>0</v>
      </c>
      <c r="HU12">
        <f>SUMPRODUCT(--('Данные 1st'!$S$2:$S$317=$A12),--ISNUMBER('Данные 1st'!$RH$2:$RH$317))</f>
        <v>0</v>
      </c>
      <c r="HV12">
        <f>SUMPRODUCT(--('Данные 1st'!$S$2:$S$317=$A12),--ISNUMBER('Данные 1st'!$RI$2:$RI$317))</f>
        <v>0</v>
      </c>
      <c r="HW12">
        <f>SUMPRODUCT(--('Данные 1st'!$S$2:$S$317=$A12),--ISNUMBER('Данные 1st'!$RJ$2:$RJ$317))</f>
        <v>2</v>
      </c>
      <c r="HX12">
        <f>SUMPRODUCT(--('Данные 1st'!$S$2:$S$317=$A12),--ISNUMBER('Данные 1st'!$RK$2:$RK$317))</f>
        <v>0</v>
      </c>
      <c r="HY12">
        <f>SUMPRODUCT(--('Данные 1st'!$S$2:$S$317=$A12),--ISNUMBER('Данные 1st'!$RL$2:$RL$317))</f>
        <v>2</v>
      </c>
      <c r="HZ12">
        <f>SUMPRODUCT(--('Данные 1st'!$S$2:$S$317=$A12),--ISNUMBER('Данные 1st'!$RM$2:$RM$317))</f>
        <v>0</v>
      </c>
      <c r="IA12">
        <f>SUMPRODUCT(--('Данные 1st'!$S$2:$S$317=$A12),--ISNUMBER('Данные 1st'!$RN$2:$RN$317))</f>
        <v>0</v>
      </c>
      <c r="IB12">
        <f>SUMPRODUCT(--('Данные 1st'!$S$2:$S$317=$A12),--ISNUMBER('Данные 1st'!$RO$2:$RO$317))</f>
        <v>2</v>
      </c>
      <c r="IC12">
        <f>SUMPRODUCT(--('Данные 1st'!$S$2:$S$317=$A12),--ISNUMBER('Данные 1st'!$RP$2:$RP$317))</f>
        <v>0</v>
      </c>
      <c r="ID12">
        <f>SUMPRODUCT(--('Данные 1st'!$S$2:$S$317=$A12),--ISNUMBER('Данные 1st'!$RQ$2:$RQ$317))</f>
        <v>2</v>
      </c>
      <c r="IE12">
        <f>SUMPRODUCT(--('Данные 1st'!$S$2:$S$317=$A12),--ISNUMBER('Данные 1st'!$RR$2:$RR$317))</f>
        <v>0</v>
      </c>
      <c r="IF12">
        <f>SUMPRODUCT(--('Данные 1st'!$S$2:$S$317=$A12),--ISNUMBER('Данные 1st'!$RS$2:$RS$317))</f>
        <v>0</v>
      </c>
      <c r="IG12">
        <f>SUMPRODUCT(--('Данные 1st'!$S$2:$S$317=$A12),--ISNUMBER('Данные 1st'!$RT$2:$RT$317))</f>
        <v>2</v>
      </c>
      <c r="IH12">
        <f>SUMPRODUCT(--('Данные 1st'!$S$2:$S$317=$A12),--ISNUMBER('Данные 1st'!$RU$2:$RU$317))</f>
        <v>2</v>
      </c>
      <c r="II12">
        <f>SUMPRODUCT(--('Данные 1st'!$S$2:$S$317=$A12),--ISNUMBER('Данные 1st'!$RX$2:$RX$317))</f>
        <v>2</v>
      </c>
      <c r="IJ12">
        <f>SUMPRODUCT(--('Данные 1st'!$S$2:$S$317=$A12),--ISNUMBER('Данные 1st'!$RY$2:$RY$317))</f>
        <v>2</v>
      </c>
      <c r="IK12">
        <f>SUMPRODUCT(--('Данные 1st'!$S$2:$S$317=$A12),--ISNUMBER('Данные 1st'!$SA$2:$SA$317))</f>
        <v>2</v>
      </c>
      <c r="IL12">
        <f>SUMPRODUCT(--('Данные 1st'!$S$2:$S$317=$A12),--ISNUMBER('Данные 1st'!$SD$2:$SD$317))</f>
        <v>2</v>
      </c>
      <c r="IM12">
        <f>SUMPRODUCT(--('Данные 1st'!$S$2:$S$317=$A12),--ISNUMBER('Данные 1st'!$SG$2:$SG$317))</f>
        <v>0</v>
      </c>
      <c r="IN12">
        <f>SUMPRODUCT(--('Данные 1st'!$S$2:$S$317=$A12),--ISNUMBER('Данные 1st'!$SH$2:$SH$317))</f>
        <v>2</v>
      </c>
      <c r="IO12">
        <f>SUMPRODUCT(--('Данные 1st'!$S$2:$S$317=$A12),--ISNUMBER('Данные 1st'!$SI$2:$SI$317))</f>
        <v>2</v>
      </c>
      <c r="IP12">
        <f>SUMPRODUCT(--('Данные 1st'!$S$2:$S$317=$A12),--ISNUMBER('Данные 1st'!$SJ$2:$SJ$317))</f>
        <v>2</v>
      </c>
      <c r="IQ12">
        <f>SUMPRODUCT(--('Данные 1st'!$S$2:$S$317=$A12),--ISNUMBER('Данные 1st'!$SK$2:$SK$317))</f>
        <v>2</v>
      </c>
      <c r="IR12">
        <f>SUMPRODUCT(--('Данные 1st'!$S$2:$S$317=$A12),--ISNUMBER('Данные 1st'!$SL$2:$SL$317))</f>
        <v>2</v>
      </c>
      <c r="IS12">
        <f>SUMPRODUCT(--('Данные 1st'!$S$2:$S$317=$A12),--ISNUMBER('Данные 1st'!$SM$2:$SM$317))</f>
        <v>2</v>
      </c>
      <c r="IT12">
        <f>SUMPRODUCT(--('Данные 1st'!$S$2:$S$317=$A12),--ISNUMBER('Данные 1st'!$SN$2:$SN$317))</f>
        <v>2</v>
      </c>
      <c r="IU12">
        <f>SUMPRODUCT(--('Данные 1st'!$S$2:$S$317=$A12),--ISNUMBER('Данные 1st'!$SO$2:$SO$317))</f>
        <v>2</v>
      </c>
      <c r="IV12">
        <f>SUMPRODUCT(--('Данные 1st'!$S$2:$S$317=$A12),--ISNUMBER('Данные 1st'!$SP$2:$SP$317))</f>
        <v>2</v>
      </c>
      <c r="IW12">
        <f>SUMPRODUCT(--('Данные 1st'!$S$2:$S$317=$A12),--ISNUMBER('Данные 1st'!$SQ$2:$SQ$317))</f>
        <v>2</v>
      </c>
      <c r="IX12">
        <f>SUMPRODUCT(--('Данные 1st'!$S$2:$S$317=$A12),--ISNUMBER('Данные 1st'!$SR$2:$SR$317))</f>
        <v>2</v>
      </c>
      <c r="IY12">
        <f>SUMPRODUCT(--('Данные 1st'!$S$2:$S$317=$A12),--ISNUMBER('Данные 1st'!$SS$2:$SS$317))</f>
        <v>2</v>
      </c>
      <c r="IZ12">
        <f>SUMPRODUCT(--('Данные 1st'!$S$2:$S$317=$A12),--ISNUMBER('Данные 1st'!$ST$2:$ST$317))</f>
        <v>2</v>
      </c>
      <c r="JA12">
        <f>SUMPRODUCT(--('Данные 1st'!$S$2:$S$317=$A12),--ISNUMBER('Данные 1st'!$SU$2:$SU$317))</f>
        <v>2</v>
      </c>
      <c r="JB12">
        <f>SUMPRODUCT(--('Данные 1st'!$S$2:$S$317=$A12),--ISNUMBER('Данные 1st'!$SV$2:$SV$317))</f>
        <v>2</v>
      </c>
      <c r="JC12">
        <f>SUMPRODUCT(--('Данные 1st'!$S$2:$S$317=$A12),--ISNUMBER('Данные 1st'!$SW$2:$SW$317))</f>
        <v>2</v>
      </c>
      <c r="JD12">
        <f>SUMPRODUCT(--('Данные 1st'!$S$2:$S$317=$A12),--ISNUMBER('Данные 1st'!$SX$2:$SX$317))</f>
        <v>2</v>
      </c>
      <c r="JE12">
        <f>SUMPRODUCT(--('Данные 1st'!$S$2:$S$317=$A12),--ISNUMBER('Данные 1st'!$SY$2:$SY$317))</f>
        <v>0</v>
      </c>
      <c r="JF12">
        <f>SUMPRODUCT(--('Данные 1st'!$S$2:$S$317=$A12),--ISNUMBER('Данные 1st'!$SZ$2:$SZ$317))</f>
        <v>0</v>
      </c>
      <c r="JG12">
        <f>SUMPRODUCT(--('Данные 1st'!$S$2:$S$317=$A12),--ISNUMBER('Данные 1st'!$TA$2:$TA$317))</f>
        <v>0</v>
      </c>
      <c r="JH12">
        <f>SUMPRODUCT(--('Данные 1st'!$S$2:$S$317=$A12),--ISNUMBER('Данные 1st'!$TB$2:$TB$317))</f>
        <v>2</v>
      </c>
      <c r="JI12">
        <f>SUMPRODUCT(--('Данные 1st'!$S$2:$S$317=$A12),--ISNUMBER('Данные 1st'!$TC$2:$TC$317))</f>
        <v>2</v>
      </c>
      <c r="JJ12">
        <f>SUMPRODUCT(--('Данные 1st'!$S$2:$S$317=$A12),--ISNUMBER('Данные 1st'!$TD$2:$TD$317))</f>
        <v>2</v>
      </c>
      <c r="JK12">
        <f>SUMPRODUCT(--('Данные 1st'!$S$2:$S$317=$A12),--ISNUMBER('Данные 1st'!$TN$2:$TN$317))</f>
        <v>2</v>
      </c>
      <c r="JQ12">
        <f>SUMPRODUCT(--('Данные 2st'!$Q$2:$Q$317=$A12),--ISNUMBER('Данные 2st'!$AC$2:$AC$317))</f>
        <v>2</v>
      </c>
      <c r="JR12">
        <f>SUMPRODUCT(--('Данные 2st'!$Q$2:$Q$317=$A12),--ISNUMBER('Данные 2st'!$AF$2:$AF$317))</f>
        <v>2</v>
      </c>
      <c r="JS12">
        <f>SUMPRODUCT(--('Данные 2st'!$Q$2:$Q$317=$A12),--ISNUMBER('Данные 2st'!$AW$2:$AW$317))</f>
        <v>2</v>
      </c>
      <c r="JT12">
        <f>SUMPRODUCT(--('Данные 2st'!$Q$2:$Q$317=$A12),--ISNUMBER('Данные 2st'!$AX$2:$AX$317))</f>
        <v>2</v>
      </c>
      <c r="JU12">
        <f>SUMPRODUCT(--('Данные 2st'!$Q$2:$Q$317=$A12),--ISNUMBER('Данные 2st'!$AY$2:$AY$317))</f>
        <v>2</v>
      </c>
      <c r="JV12">
        <f>SUMPRODUCT(--('Данные 2st'!$Q$2:$Q$317=$A12),--ISNUMBER('Данные 2st'!$AZ$2:$AZ$317))</f>
        <v>2</v>
      </c>
      <c r="JW12">
        <f>SUMPRODUCT(--('Данные 2st'!$Q$2:$Q$317=$A12),--ISNUMBER('Данные 2st'!$BA$2:$BA$317))</f>
        <v>0</v>
      </c>
      <c r="JX12">
        <f>SUMPRODUCT(--('Данные 2st'!$Q$2:$Q$317=$A12),--ISNUMBER('Данные 2st'!$BB$2:$BB$317))</f>
        <v>0</v>
      </c>
      <c r="JY12">
        <f>SUMPRODUCT(--('Данные 2st'!$Q$2:$Q$317=$A12),--ISNUMBER('Данные 2st'!$BC$2:$BC$317))</f>
        <v>0</v>
      </c>
      <c r="JZ12">
        <f>SUMPRODUCT(--('Данные 2st'!$Q$2:$Q$317=$A12),--ISNUMBER('Данные 2st'!$BH$2:$BH$317))</f>
        <v>2</v>
      </c>
      <c r="KA12">
        <f>SUMPRODUCT(--('Данные 2st'!$Q$2:$Q$317=$A12),--ISNUMBER('Данные 2st'!$BI$2:$BI$317))</f>
        <v>2</v>
      </c>
      <c r="KB12">
        <f>SUMPRODUCT(--('Данные 2st'!$Q$2:$Q$317=$A12),--ISNUMBER('Данные 2st'!$BJ$2:$BJ$317))</f>
        <v>2</v>
      </c>
      <c r="KC12">
        <f>SUMPRODUCT(--('Данные 2st'!$Q$2:$Q$317=$A12),--ISNUMBER('Данные 2st'!$BK$2:$BK$317))</f>
        <v>2</v>
      </c>
      <c r="KD12">
        <f>SUMPRODUCT(--('Данные 2st'!$Q$2:$Q$317=$A12),--ISNUMBER('Данные 2st'!$BL$2:$BL$317))</f>
        <v>2</v>
      </c>
      <c r="KE12">
        <f>SUMPRODUCT(--('Данные 2st'!$Q$2:$Q$317=$A12),--ISNUMBER('Данные 2st'!$BM$2:$BM$317))</f>
        <v>2</v>
      </c>
      <c r="KF12">
        <f>SUMPRODUCT(--('Данные 2st'!$Q$2:$Q$317=$A12),--ISNUMBER('Данные 2st'!$BN$2:$BN$317))</f>
        <v>2</v>
      </c>
      <c r="KG12">
        <f>SUMPRODUCT(--('Данные 2st'!$Q$2:$Q$317=$A12),--ISNUMBER('Данные 2st'!$BO$2:$BO$317))</f>
        <v>0</v>
      </c>
      <c r="KH12">
        <f>SUMPRODUCT(--('Данные 2st'!$Q$2:$Q$317=$A12),--ISNUMBER('Данные 2st'!$BP$2:$BP$317))</f>
        <v>2</v>
      </c>
      <c r="KI12">
        <f>SUMPRODUCT(--('Данные 2st'!$Q$2:$Q$317=$A12),--ISNUMBER('Данные 2st'!$BR$2:$BR$317))</f>
        <v>2</v>
      </c>
      <c r="KJ12">
        <f>SUMPRODUCT(--('Данные 2st'!$Q$2:$Q$317=$A12),--ISNUMBER('Данные 2st'!$BS$2:$BS$317))</f>
        <v>2</v>
      </c>
      <c r="KK12">
        <f>SUMPRODUCT(--('Данные 2st'!$Q$2:$Q$317=$A12),--ISNUMBER('Данные 2st'!$BT$2:$BT$317))</f>
        <v>2</v>
      </c>
      <c r="KL12">
        <f>SUMPRODUCT(--('Данные 2st'!$Q$2:$Q$317=$A12),--ISNUMBER('Данные 2st'!$CV$2:$CV$317))</f>
        <v>2</v>
      </c>
      <c r="KM12">
        <f>SUMPRODUCT(--('Данные 2st'!$Q$2:$Q$317=$A12),--ISNUMBER('Данные 2st'!$CW$2:$CW$317))</f>
        <v>2</v>
      </c>
      <c r="KN12">
        <f>SUMPRODUCT(--('Данные 2st'!$Q$2:$Q$317=$A12),--ISNUMBER('Данные 2st'!$CX$2:$CX$317))</f>
        <v>2</v>
      </c>
      <c r="KO12">
        <f>SUMPRODUCT(--('Данные 2st'!$Q$2:$Q$317=$A12),--ISNUMBER('Данные 2st'!$CY$2:$CY$317))</f>
        <v>2</v>
      </c>
      <c r="KP12">
        <f>SUMPRODUCT(--('Данные 2st'!$Q$2:$Q$317=$A12),--ISNUMBER('Данные 2st'!$CZ$2:$CZ$317))</f>
        <v>2</v>
      </c>
      <c r="KQ12">
        <f>SUMPRODUCT(--('Данные 2st'!$Q$2:$Q$317=$A12),--ISNUMBER('Данные 2st'!$DA$2:$DA$317))</f>
        <v>2</v>
      </c>
      <c r="KR12">
        <f>SUMPRODUCT(--('Данные 2st'!$Q$2:$Q$317=$A12),--ISNUMBER('Данные 2st'!$DB$2:$DB$317))</f>
        <v>2</v>
      </c>
      <c r="KS12">
        <f>SUMPRODUCT(--('Данные 2st'!$Q$2:$Q$317=$A12),--ISNUMBER('Данные 2st'!$DC$2:$DC$317))</f>
        <v>2</v>
      </c>
      <c r="KT12">
        <f>SUMPRODUCT(--('Данные 2st'!$Q$2:$Q$317=$A12),--ISNUMBER('Данные 2st'!$DD$2:$DD$317))</f>
        <v>2</v>
      </c>
      <c r="KU12">
        <f>SUMPRODUCT(--('Данные 2st'!$Q$2:$Q$317=$A12),--ISNUMBER('Данные 2st'!$DE$2:$DE$317))</f>
        <v>2</v>
      </c>
      <c r="KV12">
        <f>SUMPRODUCT(--('Данные 2st'!$Q$2:$Q$317=$A12),--ISNUMBER('Данные 2st'!$DF$2:$DF$317))</f>
        <v>2</v>
      </c>
      <c r="KW12">
        <f>SUMPRODUCT(--('Данные 2st'!$Q$2:$Q$317=$A12),--ISNUMBER('Данные 2st'!$DG$2:$DG$317))</f>
        <v>2</v>
      </c>
      <c r="KX12">
        <f>SUMPRODUCT(--('Данные 2st'!$Q$2:$Q$317=$A12),--ISNUMBER('Данные 2st'!$DH$2:$DH$317))</f>
        <v>0</v>
      </c>
      <c r="KY12">
        <f>SUMPRODUCT(--('Данные 2st'!$Q$2:$Q$317=$A12),--ISNUMBER('Данные 2st'!$DI$2:$DI$317))</f>
        <v>0</v>
      </c>
      <c r="KZ12">
        <f>SUMPRODUCT(--('Данные 2st'!$Q$2:$Q$317=$A12),--ISNUMBER('Данные 2st'!$DK$2:$DK$317))</f>
        <v>2</v>
      </c>
      <c r="LA12">
        <f>SUMPRODUCT(--('Данные 2st'!$Q$2:$Q$317=$A12),--ISNUMBER('Данные 2st'!$DM$2:$DM$317))</f>
        <v>2</v>
      </c>
      <c r="LB12">
        <f>SUMPRODUCT(--('Данные 2st'!$Q$2:$Q$317=$A12),--ISNUMBER('Данные 2st'!$DN$2:$DN$317))</f>
        <v>2</v>
      </c>
      <c r="LC12">
        <f>SUMPRODUCT(--('Данные 2st'!$Q$2:$Q$317=$A12),--ISNUMBER('Данные 2st'!$DO$2:$DO$317))</f>
        <v>2</v>
      </c>
      <c r="LD12">
        <f>SUMPRODUCT(--('Данные 2st'!$Q$2:$Q$317=$A12),--ISNUMBER('Данные 2st'!$DP$2:$DP$317))</f>
        <v>2</v>
      </c>
      <c r="LE12">
        <f>SUMPRODUCT(--('Данные 2st'!$Q$2:$Q$317=$A12),--ISNUMBER('Данные 2st'!$DQ$2:$DQ$317))</f>
        <v>2</v>
      </c>
      <c r="LF12">
        <f>SUMPRODUCT(--('Данные 2st'!$Q$2:$Q$317=$A12),--ISNUMBER('Данные 2st'!$DS$2:$DS$317))</f>
        <v>2</v>
      </c>
      <c r="LG12">
        <f>SUMPRODUCT(--('Данные 2st'!$Q$2:$Q$317=$A12),--ISNUMBER('Данные 2st'!$DU$2:$DU$317))</f>
        <v>2</v>
      </c>
      <c r="LH12">
        <f>SUMPRODUCT(--('Данные 2st'!$Q$2:$Q$317=$A12),--ISNUMBER('Данные 2st'!$DV$2:$DV$317))</f>
        <v>2</v>
      </c>
      <c r="LI12">
        <f>SUMPRODUCT(--('Данные 2st'!$Q$2:$Q$317=$A12),--ISNUMBER('Данные 2st'!$DW$2:$DW$317))</f>
        <v>2</v>
      </c>
      <c r="LJ12">
        <f>SUMPRODUCT(--('Данные 2st'!$Q$2:$Q$317=$A12),--ISNUMBER('Данные 2st'!$DX$2:$DX$317))</f>
        <v>2</v>
      </c>
      <c r="LK12">
        <f>SUMPRODUCT(--('Данные 2st'!$Q$2:$Q$317=$A12),--ISNUMBER('Данные 2st'!$DY$2:$DY$317))</f>
        <v>2</v>
      </c>
      <c r="LL12">
        <f>SUMPRODUCT(--('Данные 2st'!$Q$2:$Q$317=$A12),--ISNUMBER('Данные 2st'!$EA$2:$EA$317))</f>
        <v>2</v>
      </c>
      <c r="LM12">
        <f>SUMPRODUCT(--('Данные 2st'!$Q$2:$Q$317=$A12),--ISNUMBER('Данные 2st'!$EC$2:$EC$317))</f>
        <v>2</v>
      </c>
      <c r="LN12">
        <f>SUMPRODUCT(--('Данные 2st'!$Q$2:$Q$317=$A12),--ISNUMBER('Данные 2st'!$ED$2:$ED$317))</f>
        <v>2</v>
      </c>
      <c r="LO12">
        <f>SUMPRODUCT(--('Данные 2st'!$Q$2:$Q$317=$A12),--ISNUMBER('Данные 2st'!$EE$2:$EE$317))</f>
        <v>2</v>
      </c>
      <c r="LP12">
        <f>SUMPRODUCT(--('Данные 2st'!$Q$2:$Q$317=$A12),--ISNUMBER('Данные 2st'!$EG$2:$EG$317))</f>
        <v>2</v>
      </c>
      <c r="LQ12">
        <f>SUMPRODUCT(--('Данные 2st'!$Q$2:$Q$317=$A12),--ISNUMBER('Данные 2st'!$EI$2:$EI$317))</f>
        <v>2</v>
      </c>
      <c r="LR12">
        <f>SUMPRODUCT(--('Данные 2st'!$Q$2:$Q$317=$A12),--ISNUMBER('Данные 2st'!$EJ$2:$EJ$317))</f>
        <v>2</v>
      </c>
      <c r="LS12">
        <f>SUMPRODUCT(--('Данные 2st'!$Q$2:$Q$317=$A12),--ISNUMBER('Данные 2st'!$EK$2:$EK$317))</f>
        <v>2</v>
      </c>
      <c r="LT12">
        <f>SUMPRODUCT(--('Данные 2st'!$Q$2:$Q$317=$A12),--ISNUMBER('Данные 2st'!$EM$2:$EM$317))</f>
        <v>2</v>
      </c>
      <c r="LU12">
        <f>SUMPRODUCT(--('Данные 2st'!$Q$2:$Q$317=$A12),--ISNUMBER('Данные 2st'!$EN$2:$EN$317))</f>
        <v>2</v>
      </c>
      <c r="LV12">
        <f>SUMPRODUCT(--('Данные 2st'!$Q$2:$Q$317=$A12),--ISNUMBER('Данные 2st'!$EO$2:$EO$317))</f>
        <v>2</v>
      </c>
      <c r="LW12">
        <f>SUMPRODUCT(--('Данные 2st'!$Q$2:$Q$317=$A12),--ISNUMBER('Данные 2st'!$EP$2:$EP$317))</f>
        <v>2</v>
      </c>
      <c r="LX12">
        <f>SUMPRODUCT(--('Данные 2st'!$Q$2:$Q$317=$A12),--ISNUMBER('Данные 2st'!$EQ$2:$EQ$317))</f>
        <v>2</v>
      </c>
      <c r="LY12">
        <f>SUMPRODUCT(--('Данные 2st'!$Q$2:$Q$317=$A12),--ISNUMBER('Данные 2st'!$ER$2:$ER$317))</f>
        <v>2</v>
      </c>
      <c r="LZ12">
        <f>SUMPRODUCT(--('Данные 2st'!$Q$2:$Q$317=$A12),--ISNUMBER('Данные 2st'!$ES$2:$ES$317))</f>
        <v>2</v>
      </c>
      <c r="MA12">
        <f>SUMPRODUCT(--('Данные 2st'!$Q$2:$Q$317=$A12),--ISNUMBER('Данные 2st'!$ET$2:$ET$317))</f>
        <v>2</v>
      </c>
      <c r="MB12">
        <f>SUMPRODUCT(--('Данные 2st'!$Q$2:$Q$317=$A12),--ISNUMBER('Данные 2st'!$EU$2:$EU$317))</f>
        <v>2</v>
      </c>
      <c r="MC12">
        <f>SUMPRODUCT(--('Данные 2st'!$Q$2:$Q$317=$A12),--ISNUMBER('Данные 2st'!$EV$2:$EV$317))</f>
        <v>2</v>
      </c>
      <c r="MD12">
        <f>SUMPRODUCT(--('Данные 2st'!$Q$2:$Q$317=$A12),--ISNUMBER('Данные 2st'!$EW$2:$EW$317))</f>
        <v>2</v>
      </c>
      <c r="ME12">
        <f>SUMPRODUCT(--('Данные 2st'!$Q$2:$Q$317=$A12),--ISNUMBER('Данные 2st'!$EY$2:$EY$317))</f>
        <v>2</v>
      </c>
      <c r="MF12">
        <f>SUMPRODUCT(--('Данные 2st'!$Q$2:$Q$317=$A12),--ISNUMBER('Данные 2st'!$FA$2:$FA$317))</f>
        <v>2</v>
      </c>
      <c r="MG12">
        <f>SUMPRODUCT(--('Данные 2st'!$Q$2:$Q$317=$A12),--ISNUMBER('Данные 2st'!$FB$2:$FB$317))</f>
        <v>2</v>
      </c>
      <c r="MH12">
        <f>SUMPRODUCT(--('Данные 2st'!$Q$2:$Q$317=$A12),--ISNUMBER('Данные 2st'!$FC$2:$FC$317))</f>
        <v>2</v>
      </c>
      <c r="MI12">
        <f>SUMPRODUCT(--('Данные 2st'!$Q$2:$Q$317=$A12),--ISNUMBER('Данные 2st'!$FD$2:$FD$317))</f>
        <v>2</v>
      </c>
      <c r="MJ12">
        <f>SUMPRODUCT(--('Данные 2st'!$Q$2:$Q$317=$A12),--ISNUMBER('Данные 2st'!$FE$2:$FE$317))</f>
        <v>2</v>
      </c>
      <c r="MK12">
        <f>SUMPRODUCT(--('Данные 2st'!$Q$2:$Q$317=$A12),--ISNUMBER('Данные 2st'!$FG$2:$FG$317))</f>
        <v>2</v>
      </c>
      <c r="ML12">
        <f>SUMPRODUCT(--('Данные 2st'!$Q$2:$Q$317=$A12),--ISNUMBER('Данные 2st'!$FI$2:$FI$317))</f>
        <v>2</v>
      </c>
      <c r="MM12">
        <f>SUMPRODUCT(--('Данные 2st'!$Q$2:$Q$317=$A12),--ISNUMBER('Данные 2st'!$FJ$2:$FJ$317))</f>
        <v>2</v>
      </c>
      <c r="MN12">
        <f>SUMPRODUCT(--('Данные 2st'!$Q$2:$Q$317=$A12),--ISNUMBER('Данные 2st'!$FK$2:$FK$317))</f>
        <v>2</v>
      </c>
      <c r="MO12">
        <f>SUMPRODUCT(--('Данные 2st'!$Q$2:$Q$317=$A12),--ISNUMBER('Данные 2st'!$FP$2:$FP$317))</f>
        <v>2</v>
      </c>
      <c r="MP12">
        <f>SUMPRODUCT(--('Данные 2st'!$Q$2:$Q$317=$A12),--ISNUMBER('Данные 2st'!$FQ$2:$FQ$317))</f>
        <v>2</v>
      </c>
      <c r="MQ12">
        <f>SUMPRODUCT(--('Данные 2st'!$Q$2:$Q$317=$A12),--ISNUMBER('Данные 2st'!$FS$2:$FS$317))</f>
        <v>2</v>
      </c>
      <c r="MR12">
        <f>SUMPRODUCT(--('Данные 2st'!$Q$2:$Q$317=$A12),--ISNUMBER('Данные 2st'!$FU$2:$FU$317))</f>
        <v>2</v>
      </c>
      <c r="MS12">
        <f>SUMPRODUCT(--('Данные 2st'!$Q$2:$Q$317=$A12),--ISNUMBER('Данные 2st'!$FV$2:$FV$317))</f>
        <v>2</v>
      </c>
      <c r="MT12">
        <f>SUMPRODUCT(--('Данные 2st'!$Q$2:$Q$317=$A12),--ISNUMBER('Данные 2st'!$FW$2:$FW$317))</f>
        <v>2</v>
      </c>
      <c r="MU12">
        <f>SUMPRODUCT(--('Данные 2st'!$Q$2:$Q$317=$A12),--ISNUMBER('Данные 2st'!$FY$2:$FY$317))</f>
        <v>1</v>
      </c>
      <c r="MV12">
        <f>SUMPRODUCT(--('Данные 2st'!$Q$2:$Q$317=$A12),--ISNUMBER('Данные 2st'!$GB$2:$GB$317))</f>
        <v>1</v>
      </c>
      <c r="MW12">
        <f>SUMPRODUCT(--('Данные 2st'!$Q$2:$Q$317=$A12),--ISNUMBER('Данные 2st'!$GC$2:$GC$317))</f>
        <v>1</v>
      </c>
      <c r="MX12">
        <f>SUMPRODUCT(--('Данные 2st'!$Q$2:$Q$317=$A12),--ISNUMBER('Данные 2st'!$GD$2:$GD$317))</f>
        <v>2</v>
      </c>
      <c r="MY12">
        <f>SUMPRODUCT(--('Данные 2st'!$Q$2:$Q$317=$A12),--ISNUMBER('Данные 2st'!$GN$2:$GN$317))</f>
        <v>0</v>
      </c>
      <c r="MZ12">
        <f>SUMPRODUCT(--('Данные 2st'!$Q$2:$Q$317=$A12),--ISNUMBER('Данные 2st'!$GQ$2:$GQ$317))</f>
        <v>2</v>
      </c>
      <c r="NA12">
        <f>SUMPRODUCT(--('Данные 2st'!$Q$2:$Q$317=$A12),--ISNUMBER('Данные 2st'!$GV$2:$GV$317))</f>
        <v>2</v>
      </c>
      <c r="NB12">
        <f>SUMPRODUCT(--('Данные 2st'!$Q$2:$Q$317=$A12),--ISNUMBER('Данные 2st'!$GW$2:$GW$317))</f>
        <v>2</v>
      </c>
      <c r="NC12">
        <f>SUMPRODUCT(--('Данные 2st'!$Q$2:$Q$317=$A12),--ISNUMBER('Данные 2st'!$GX$2:$GX$317))</f>
        <v>2</v>
      </c>
      <c r="ND12">
        <f>SUMPRODUCT(--('Данные 2st'!$Q$2:$Q$317=$A12),--ISNUMBER('Данные 2st'!$GY$2:$GY$317))</f>
        <v>2</v>
      </c>
      <c r="NE12">
        <f>SUMPRODUCT(--('Данные 2st'!$Q$2:$Q$317=$A12),--ISNUMBER('Данные 2st'!$GZ$2:$GZ$317))</f>
        <v>2</v>
      </c>
      <c r="NF12">
        <f>SUMPRODUCT(--('Данные 2st'!$Q$2:$Q$317=$A12),--ISNUMBER('Данные 2st'!$HA$2:$HA$317))</f>
        <v>2</v>
      </c>
      <c r="NG12">
        <f>SUMPRODUCT(--('Данные 2st'!$Q$2:$Q$317=$A12),--ISNUMBER('Данные 2st'!$HB$2:$HB$317))</f>
        <v>2</v>
      </c>
      <c r="NH12">
        <f>SUMPRODUCT(--('Данные 2st'!$Q$2:$Q$317=$A12),--ISNUMBER('Данные 2st'!$HC$2:$HC$317))</f>
        <v>2</v>
      </c>
      <c r="NI12">
        <f>SUMPRODUCT(--('Данные 2st'!$Q$2:$Q$317=$A12),--ISNUMBER('Данные 2st'!$HD$2:$HD$317))</f>
        <v>2</v>
      </c>
      <c r="NJ12">
        <f>SUMPRODUCT(--('Данные 2st'!$Q$2:$Q$317=$A12),--ISNUMBER('Данные 2st'!$HM$2:$HM$317))</f>
        <v>2</v>
      </c>
      <c r="NK12">
        <f>SUMPRODUCT(--('Данные 2st'!$Q$2:$Q$317=$A12),--ISNUMBER('Данные 2st'!$HR$2:$HR$317))</f>
        <v>2</v>
      </c>
      <c r="NL12">
        <f>SUMPRODUCT(--('Данные 2st'!$Q$2:$Q$317=$A12),--ISNUMBER('Данные 2st'!$HS$2:$HS$317))</f>
        <v>2</v>
      </c>
      <c r="NM12">
        <f>SUMPRODUCT(--('Данные 2st'!$Q$2:$Q$317=$A12),--ISNUMBER('Данные 2st'!$HT$2:$HT$317))</f>
        <v>2</v>
      </c>
      <c r="NN12">
        <f>SUMPRODUCT(--('Данные 2st'!$Q$2:$Q$317=$A12),--ISNUMBER('Данные 2st'!$HY$2:$HY$317))</f>
        <v>2</v>
      </c>
      <c r="NO12">
        <f>SUMPRODUCT(--('Данные 2st'!$Q$2:$Q$317=$A12),--ISNUMBER('Данные 2st'!$HZ$2:$HZ$317))</f>
        <v>2</v>
      </c>
      <c r="NP12">
        <f>SUMPRODUCT(--('Данные 2st'!$Q$2:$Q$317=$A12),--ISNUMBER('Данные 2st'!$IA$2:$IA$317))</f>
        <v>2</v>
      </c>
      <c r="NQ12">
        <f>SUMPRODUCT(--('Данные 2st'!$Q$2:$Q$317=$A12),--ISNUMBER('Данные 2st'!$IB$2:$IB$317))</f>
        <v>2</v>
      </c>
      <c r="NR12">
        <f>SUMPRODUCT(--('Данные 2st'!$Q$2:$Q$317=$A12),--ISNUMBER('Данные 2st'!$IC$2:$IC$317))</f>
        <v>0</v>
      </c>
      <c r="NS12">
        <f>SUMPRODUCT(--('Данные 2st'!$Q$2:$Q$317=$A12),--ISNUMBER('Данные 2st'!$ID$2:$ID$317))</f>
        <v>2</v>
      </c>
      <c r="NT12">
        <f>SUMPRODUCT(--('Данные 2st'!$Q$2:$Q$317=$A12),--ISNUMBER('Данные 2st'!$IE$2:$IE$317))</f>
        <v>2</v>
      </c>
      <c r="NU12">
        <f>SUMPRODUCT(--('Данные 2st'!$Q$2:$Q$317=$A12),--ISNUMBER('Данные 2st'!$IF$2:$IF$317))</f>
        <v>2</v>
      </c>
      <c r="NV12">
        <f>SUMPRODUCT(--('Данные 2st'!$Q$2:$Q$317=$A12),--ISNUMBER('Данные 2st'!$IG$2:$IG$317))</f>
        <v>2</v>
      </c>
      <c r="NW12">
        <f>SUMPRODUCT(--('Данные 2st'!$Q$2:$Q$317=$A12),--ISNUMBER('Данные 2st'!$IH$2:$IH$317))</f>
        <v>2</v>
      </c>
      <c r="NX12">
        <f>SUMPRODUCT(--('Данные 2st'!$Q$2:$Q$317=$A12),--ISNUMBER('Данные 2st'!$IJ$2:$IJ$317))</f>
        <v>2</v>
      </c>
      <c r="NY12">
        <f>SUMPRODUCT(--('Данные 2st'!$Q$2:$Q$317=$A12),--ISNUMBER('Данные 2st'!$IM$2:$IM$317))</f>
        <v>2</v>
      </c>
      <c r="NZ12">
        <f>SUMPRODUCT(--('Данные 2st'!$Q$2:$Q$317=$A12),--ISNUMBER('Данные 2st'!$IN$2:$IN$317))</f>
        <v>2</v>
      </c>
      <c r="OA12">
        <f>SUMPRODUCT(--('Данные 2st'!$Q$2:$Q$317=$A12),--ISNUMBER('Данные 2st'!$IO$2:$IO$317))</f>
        <v>2</v>
      </c>
      <c r="OB12">
        <f>SUMPRODUCT(--('Данные 2st'!$Q$2:$Q$317=$A12),--ISNUMBER('Данные 2st'!$IP$2:$IP$317))</f>
        <v>2</v>
      </c>
      <c r="OC12">
        <f>SUMPRODUCT(--('Данные 2st'!$Q$2:$Q$317=$A12),--ISNUMBER('Данные 2st'!$IQ$2:$IQ$317))</f>
        <v>2</v>
      </c>
      <c r="OD12">
        <f>SUMPRODUCT(--('Данные 2st'!$Q$2:$Q$317=$A12),--ISNUMBER('Данные 2st'!$IR$2:$IR$317))</f>
        <v>2</v>
      </c>
      <c r="OE12">
        <f>SUMPRODUCT(--('Данные 2st'!$Q$2:$Q$317=$A12),--ISNUMBER('Данные 2st'!$IT$2:$IT$317))</f>
        <v>2</v>
      </c>
      <c r="OF12">
        <f>SUMPRODUCT(--('Данные 2st'!$Q$2:$Q$317=$A12),--ISNUMBER('Данные 2st'!$IU$2:$IU$317))</f>
        <v>2</v>
      </c>
      <c r="OG12">
        <f>SUMPRODUCT(--('Данные 2st'!$Q$2:$Q$317=$A12),--ISNUMBER('Данные 2st'!$IV$2:$IV$317))</f>
        <v>2</v>
      </c>
      <c r="OH12">
        <f>SUMPRODUCT(--('Данные 2st'!$Q$2:$Q$317=$A12),--ISNUMBER('Данные 2st'!$IW$2:$IW$317))</f>
        <v>2</v>
      </c>
      <c r="OI12">
        <f>SUMPRODUCT(--('Данные 2st'!$Q$2:$Q$317=$A12),--ISNUMBER('Данные 2st'!$IX$2:$IX$317))</f>
        <v>2</v>
      </c>
      <c r="OJ12">
        <f>SUMPRODUCT(--('Данные 2st'!$Q$2:$Q$317=$A12),--ISNUMBER('Данные 2st'!$IY$2:$IY$317))</f>
        <v>2</v>
      </c>
      <c r="OK12">
        <f>SUMPRODUCT(--('Данные 2st'!$Q$2:$Q$317=$A12),--ISNUMBER('Данные 2st'!$IZ$2:$IZ$317))</f>
        <v>2</v>
      </c>
      <c r="OL12">
        <f>SUMPRODUCT(--('Данные 2st'!$Q$2:$Q$317=$A12),--ISNUMBER('Данные 2st'!$JA$2:$JA$317))</f>
        <v>2</v>
      </c>
      <c r="OM12">
        <f>SUMPRODUCT(--('Данные 2st'!$Q$2:$Q$317=$A12),--ISNUMBER('Данные 2st'!$JB$2:$JB$317))</f>
        <v>2</v>
      </c>
      <c r="ON12">
        <f>SUMPRODUCT(--('Данные 2st'!$Q$2:$Q$317=$A12),--ISNUMBER('Данные 2st'!$JC$2:$JC$317))</f>
        <v>2</v>
      </c>
      <c r="OO12">
        <f>SUMPRODUCT(--('Данные 2st'!$Q$2:$Q$317=$A12),--ISNUMBER('Данные 2st'!$JD$2:$JD$317))</f>
        <v>2</v>
      </c>
      <c r="OP12">
        <f>SUMPRODUCT(--('Данные 2st'!$Q$2:$Q$317=$A12),--ISNUMBER('Данные 2st'!$JE$2:$JE$317))</f>
        <v>2</v>
      </c>
      <c r="OQ12">
        <f>SUMPRODUCT(--('Данные 2st'!$Q$2:$Q$317=$A12),--ISNUMBER('Данные 2st'!$JF$2:$JF$317))</f>
        <v>2</v>
      </c>
      <c r="OR12">
        <f>SUMPRODUCT(--('Данные 2st'!$Q$2:$Q$317=$A12),--ISNUMBER('Данные 2st'!$JG$2:$JG$317))</f>
        <v>2</v>
      </c>
      <c r="OS12">
        <f>SUMPRODUCT(--('Данные 2st'!$Q$2:$Q$317=$A12),--ISNUMBER('Данные 2st'!$JH$2:$JH$317))</f>
        <v>2</v>
      </c>
      <c r="OT12">
        <f>SUMPRODUCT(--('Данные 2st'!$Q$2:$Q$317=$A12),--ISNUMBER('Данные 2st'!$JI$2:$JI$317))</f>
        <v>2</v>
      </c>
      <c r="OU12">
        <f>SUMPRODUCT(--('Данные 2st'!$Q$2:$Q$317=$A12),--ISNUMBER('Данные 2st'!$JJ$2:$JJ$317))</f>
        <v>2</v>
      </c>
      <c r="OV12">
        <f>SUMPRODUCT(--('Данные 2st'!$Q$2:$Q$317=$A12),--ISNUMBER('Данные 2st'!$JK$2:$JK$317))</f>
        <v>2</v>
      </c>
      <c r="OW12">
        <f>SUMPRODUCT(--('Данные 2st'!$Q$2:$Q$317=$A12),--ISNUMBER('Данные 2st'!$JL$2:$JL$317))</f>
        <v>2</v>
      </c>
      <c r="OX12">
        <f>SUMPRODUCT(--('Данные 2st'!$Q$2:$Q$317=$A12),--ISNUMBER('Данные 2st'!$JM$2:$JM$317))</f>
        <v>2</v>
      </c>
      <c r="OY12">
        <f>SUMPRODUCT(--('Данные 2st'!$Q$2:$Q$317=$A12),--ISNUMBER('Данные 2st'!$JP$2:$JP$317))</f>
        <v>2</v>
      </c>
      <c r="OZ12">
        <f>SUMPRODUCT(--('Данные 2st'!$Q$2:$Q$317=$A12),--ISNUMBER('Данные 2st'!$JQ$2:$JQ$317))</f>
        <v>2</v>
      </c>
      <c r="PA12">
        <f>SUMPRODUCT(--('Данные 2st'!$Q$2:$Q$317=$A12),--ISNUMBER('Данные 2st'!$JR$2:$JR$317))</f>
        <v>2</v>
      </c>
      <c r="PB12">
        <f>SUMPRODUCT(--('Данные 2st'!$Q$2:$Q$317=$A12),--ISNUMBER('Данные 2st'!$JS$2:$JS$317))</f>
        <v>2</v>
      </c>
      <c r="PC12">
        <f>SUMPRODUCT(--('Данные 2st'!$Q$2:$Q$317=$A12),--ISNUMBER('Данные 2st'!$JT$2:$JT$317))</f>
        <v>2</v>
      </c>
      <c r="PD12">
        <f>SUMPRODUCT(--('Данные 2st'!$Q$2:$Q$317=$A12),--ISNUMBER('Данные 2st'!$JU$2:$JU$317))</f>
        <v>2</v>
      </c>
      <c r="PE12">
        <f>SUMPRODUCT(--('Данные 2st'!$Q$2:$Q$317=$A12),--ISNUMBER('Данные 2st'!$JV$2:$JV$317))</f>
        <v>2</v>
      </c>
      <c r="PF12">
        <f>SUMPRODUCT(--('Данные 2st'!$Q$2:$Q$317=$A12),--ISNUMBER('Данные 2st'!$JW$2:$JW$317))</f>
        <v>2</v>
      </c>
      <c r="PG12">
        <f>SUMPRODUCT(--('Данные 2st'!$Q$2:$Q$317=$A12),--ISNUMBER('Данные 2st'!$KF$2:$KF$317))</f>
        <v>2</v>
      </c>
      <c r="PH12">
        <f>SUMPRODUCT(--('Данные 2st'!$Q$2:$Q$317=$A12),--ISNUMBER('Данные 2st'!$KG$2:$KG$317))</f>
        <v>2</v>
      </c>
      <c r="PI12">
        <f>SUMPRODUCT(--('Данные 2st'!$Q$2:$Q$317=$A12),--ISNUMBER('Данные 2st'!$KM$2:$KM$317))</f>
        <v>2</v>
      </c>
      <c r="PJ12">
        <f>SUMPRODUCT(--('Данные 2st'!$Q$2:$Q$317=$A12),--ISNUMBER('Данные 2st'!$KN$2:$KN$317))</f>
        <v>2</v>
      </c>
      <c r="PK12">
        <f>SUMPRODUCT(--('Данные 2st'!$Q$2:$Q$317=$A12),--ISNUMBER('Данные 2st'!$KO$2:$KO$317))</f>
        <v>2</v>
      </c>
      <c r="PL12">
        <f>SUMPRODUCT(--('Данные 2st'!$Q$2:$Q$317=$A12),--ISNUMBER('Данные 2st'!$KP$2:$KP$317))</f>
        <v>2</v>
      </c>
      <c r="PM12">
        <f>SUMPRODUCT(--('Данные 2st'!$Q$2:$Q$317=$A12),--ISNUMBER('Данные 2st'!$KQ$2:$KQ$317))</f>
        <v>2</v>
      </c>
      <c r="PN12">
        <f>SUMPRODUCT(--('Данные 2st'!$Q$2:$Q$317=$A12),--ISNUMBER('Данные 2st'!$KR$2:$KR$317))</f>
        <v>2</v>
      </c>
      <c r="PO12">
        <f>SUMPRODUCT(--('Данные 2st'!$Q$2:$Q$317=$A12),--ISNUMBER('Данные 2st'!$KS$2:$KS$317))</f>
        <v>2</v>
      </c>
      <c r="PP12">
        <f>SUMPRODUCT(--('Данные 2st'!$Q$2:$Q$317=$A12),--ISNUMBER('Данные 2st'!$KT$2:$KT$317))</f>
        <v>2</v>
      </c>
      <c r="PQ12">
        <f>SUMPRODUCT(--('Данные 2st'!$Q$2:$Q$317=$A12),--ISNUMBER('Данные 2st'!$KU$2:$KU$317))</f>
        <v>2</v>
      </c>
      <c r="PR12">
        <f>SUMPRODUCT(--('Данные 2st'!$Q$2:$Q$317=$A12),--ISNUMBER('Данные 2st'!$KV$2:$KV$317))</f>
        <v>2</v>
      </c>
      <c r="PS12">
        <f>SUMPRODUCT(--('Данные 2st'!$Q$2:$Q$317=$A12),--ISNUMBER('Данные 2st'!$KW$2:$KW$317))</f>
        <v>2</v>
      </c>
      <c r="PT12">
        <f>SUMPRODUCT(--('Данные 2st'!$Q$2:$Q$317=$A12),--ISNUMBER('Данные 2st'!$KX$2:$KX$317))</f>
        <v>2</v>
      </c>
      <c r="PU12">
        <f>SUMPRODUCT(--('Данные 2st'!$Q$2:$Q$317=$A12),--ISNUMBER('Данные 2st'!$KY$2:$KY$317))</f>
        <v>2</v>
      </c>
      <c r="PV12">
        <f>SUMPRODUCT(--('Данные 2st'!$Q$2:$Q$317=$A12),--ISNUMBER('Данные 2st'!$KZ$2:$KZ$317))</f>
        <v>2</v>
      </c>
      <c r="PW12">
        <f>SUMPRODUCT(--('Данные 2st'!$Q$2:$Q$317=$A12),--ISNUMBER('Данные 2st'!$LA$2:$LA$317))</f>
        <v>2</v>
      </c>
      <c r="PX12">
        <f>SUMPRODUCT(--('Данные 2st'!$Q$2:$Q$317=$A12),--ISNUMBER('Данные 2st'!$LB$2:$LB$317))</f>
        <v>2</v>
      </c>
      <c r="PY12">
        <f>SUMPRODUCT(--('Данные 2st'!$Q$2:$Q$317=$A12),--ISNUMBER('Данные 2st'!$LC$2:$LC$317))</f>
        <v>2</v>
      </c>
      <c r="PZ12">
        <f>SUMPRODUCT(--('Данные 2st'!$Q$2:$Q$317=$A12),--ISNUMBER('Данные 2st'!$LD$2:$LD$317))</f>
        <v>2</v>
      </c>
      <c r="QA12">
        <f>SUMPRODUCT(--('Данные 2st'!$Q$2:$Q$317=$A12),--ISNUMBER('Данные 2st'!$LE$2:$LE$317))</f>
        <v>2</v>
      </c>
      <c r="QB12">
        <f>SUMPRODUCT(--('Данные 2st'!$Q$2:$Q$317=$A12),--ISNUMBER('Данные 2st'!$LF$2:$LF$317))</f>
        <v>2</v>
      </c>
      <c r="QC12">
        <f>SUMPRODUCT(--('Данные 2st'!$Q$2:$Q$317=$A12),--ISNUMBER('Данные 2st'!$LG$2:$LG$317))</f>
        <v>2</v>
      </c>
      <c r="QD12">
        <f>SUMPRODUCT(--('Данные 2st'!$Q$2:$Q$317=$A12),--ISNUMBER('Данные 2st'!$LH$2:$LH$317))</f>
        <v>2</v>
      </c>
      <c r="QE12">
        <f>SUMPRODUCT(--('Данные 2st'!$Q$2:$Q$317=$A12),--ISNUMBER('Данные 2st'!$LJ$2:$LJ$317))</f>
        <v>2</v>
      </c>
      <c r="QF12">
        <f>SUMPRODUCT(--('Данные 2st'!$Q$2:$Q$317=$A12),--ISNUMBER('Данные 2st'!$LK$2:$LK$317))</f>
        <v>2</v>
      </c>
      <c r="QG12">
        <f>SUMPRODUCT(--('Данные 2st'!$Q$2:$Q$317=$A12),--ISNUMBER('Данные 2st'!$LL$2:$LL$317))</f>
        <v>2</v>
      </c>
      <c r="QH12">
        <f>SUMPRODUCT(--('Данные 2st'!$Q$2:$Q$317=$A12),--ISNUMBER('Данные 2st'!$LM$2:$LM$317))</f>
        <v>2</v>
      </c>
      <c r="QI12">
        <f>SUMPRODUCT(--('Данные 2st'!$Q$2:$Q$317=$A12),--ISNUMBER('Данные 2st'!$LN$2:$LN$317))</f>
        <v>2</v>
      </c>
      <c r="QJ12">
        <f>SUMPRODUCT(--('Данные 2st'!$Q$2:$Q$317=$A12),--ISNUMBER('Данные 2st'!$LO$2:$LO$317))</f>
        <v>2</v>
      </c>
      <c r="QK12">
        <f>SUMPRODUCT(--('Данные 2st'!$Q$2:$Q$317=$A12),--ISNUMBER('Данные 2st'!$LP$2:$LP$317))</f>
        <v>2</v>
      </c>
      <c r="QL12">
        <f>SUMPRODUCT(--('Данные 2st'!$Q$2:$Q$317=$A12),--ISNUMBER('Данные 2st'!$LQ$2:$LQ$317))</f>
        <v>2</v>
      </c>
      <c r="QM12">
        <f>SUMPRODUCT(--('Данные 2st'!$Q$2:$Q$317=$A12),--ISNUMBER('Данные 2st'!$LW$2:$LW$317))</f>
        <v>2</v>
      </c>
      <c r="QN12">
        <f>SUMPRODUCT(--('Данные 2st'!$Q$2:$Q$317=$A12),--ISNUMBER('Данные 2st'!$LX$2:$LX$317))</f>
        <v>2</v>
      </c>
      <c r="QO12">
        <f>SUMPRODUCT(--('Данные 2st'!$Q$2:$Q$317=$A12),--ISNUMBER('Данные 2st'!$LY$2:$LY$317))</f>
        <v>2</v>
      </c>
      <c r="QP12">
        <f>SUMPRODUCT(--('Данные 2st'!$Q$2:$Q$317=$A12),--ISNUMBER('Данные 2st'!$LZ$2:$LZ$317))</f>
        <v>2</v>
      </c>
      <c r="QQ12">
        <f>SUMPRODUCT(--('Данные 2st'!$Q$2:$Q$317=$A12),--ISNUMBER('Данные 2st'!$MB$2:$MB$317))</f>
        <v>2</v>
      </c>
      <c r="QR12">
        <f>SUMPRODUCT(--('Данные 2st'!$Q$2:$Q$317=$A12),--ISNUMBER('Данные 2st'!$MG$2:$MG$317))</f>
        <v>1</v>
      </c>
      <c r="QS12">
        <f>SUMPRODUCT(--('Данные 2st'!$Q$2:$Q$317=$A12),--ISNUMBER('Данные 2st'!$MH$2:$MH$317))</f>
        <v>1</v>
      </c>
      <c r="QT12">
        <f>SUMPRODUCT(--('Данные 2st'!$Q$2:$Q$317=$A12),--ISNUMBER('Данные 2st'!$MI$2:$MI$317))</f>
        <v>2</v>
      </c>
      <c r="QU12">
        <f>SUMPRODUCT(--('Данные 2st'!$Q$2:$Q$317=$A12),--ISNUMBER('Данные 2st'!$MJ$2:$MJ$317))</f>
        <v>2</v>
      </c>
      <c r="QV12">
        <f>SUMPRODUCT(--('Данные 2st'!$Q$2:$Q$317=$A12),--ISNUMBER('Данные 2st'!$MK$2:$MK$317))</f>
        <v>1</v>
      </c>
      <c r="QW12">
        <f>SUMPRODUCT(--('Данные 2st'!$Q$2:$Q$317=$A12),--ISNUMBER('Данные 2st'!$MM$2:$MM$317))</f>
        <v>2</v>
      </c>
      <c r="QX12">
        <f>SUMPRODUCT(--('Данные 2st'!$Q$2:$Q$317=$A12),--ISNUMBER('Данные 2st'!$MQ$2:$MQ$317))</f>
        <v>0</v>
      </c>
      <c r="QY12">
        <f>SUMPRODUCT(--('Данные 2st'!$Q$2:$Q$317=$A12),--ISNUMBER('Данные 2st'!$MR$2:$MR$317))</f>
        <v>0</v>
      </c>
      <c r="QZ12">
        <f>SUMPRODUCT(--('Данные 2st'!$Q$2:$Q$317=$A12),--ISNUMBER('Данные 2st'!$MS$2:$MS$317))</f>
        <v>0</v>
      </c>
      <c r="RA12">
        <f>SUMPRODUCT(--('Данные 2st'!$Q$2:$Q$317=$A12),--ISNUMBER('Данные 2st'!$MT$2:$MT$317))</f>
        <v>0</v>
      </c>
      <c r="RB12">
        <f>SUMPRODUCT(--('Данные 2st'!$Q$2:$Q$317=$A12),--ISNUMBER('Данные 2st'!$MU$2:$MU$317))</f>
        <v>0</v>
      </c>
      <c r="RC12">
        <f>SUMPRODUCT(--('Данные 2st'!$Q$2:$Q$317=$A12),--ISNUMBER('Данные 2st'!$MV$2:$MV$317))</f>
        <v>0</v>
      </c>
      <c r="RD12">
        <f>SUMPRODUCT(--('Данные 2st'!$Q$2:$Q$317=$A12),--ISNUMBER('Данные 2st'!$MW$2:$MW$317))</f>
        <v>0</v>
      </c>
      <c r="RE12">
        <f>SUMPRODUCT(--('Данные 2st'!$Q$2:$Q$317=$A12),--ISNUMBER('Данные 2st'!$MX$2:$MX$317))</f>
        <v>0</v>
      </c>
      <c r="RF12">
        <f>SUMPRODUCT(--('Данные 2st'!$Q$2:$Q$317=$A12),--ISNUMBER('Данные 2st'!$MY$2:$MY$317))</f>
        <v>0</v>
      </c>
      <c r="RG12">
        <f>SUMPRODUCT(--('Данные 2st'!$Q$2:$Q$317=$A12),--ISNUMBER('Данные 2st'!$MZ$2:$MZ$317))</f>
        <v>0</v>
      </c>
      <c r="RH12">
        <f>SUMPRODUCT(--('Данные 2st'!$Q$2:$Q$317=$A12),--ISNUMBER('Данные 2st'!$NA$2:$NA$317))</f>
        <v>0</v>
      </c>
      <c r="RI12">
        <f>SUMPRODUCT(--('Данные 2st'!$Q$2:$Q$317=$A12),--ISNUMBER('Данные 2st'!$NB$2:$NB$317))</f>
        <v>0</v>
      </c>
      <c r="RJ12">
        <f>SUMPRODUCT(--('Данные 2st'!$Q$2:$Q$317=$A12),--ISNUMBER('Данные 2st'!$NC$2:$NC$317))</f>
        <v>0</v>
      </c>
      <c r="RK12">
        <f>SUMPRODUCT(--('Данные 2st'!$Q$2:$Q$317=$A12),--ISNUMBER('Данные 2st'!$ND$2:$ND$317))</f>
        <v>0</v>
      </c>
      <c r="RL12">
        <f>SUMPRODUCT(--('Данные 2st'!$Q$2:$Q$317=$A12),--ISNUMBER('Данные 2st'!$NE$2:$NE$317))</f>
        <v>0</v>
      </c>
      <c r="RM12">
        <f>SUMPRODUCT(--('Данные 2st'!$Q$2:$Q$317=$A12),--ISNUMBER('Данные 2st'!$NF$2:$NF$317))</f>
        <v>0</v>
      </c>
      <c r="RN12">
        <f>SUMPRODUCT(--('Данные 2st'!$Q$2:$Q$317=$A12),--ISNUMBER('Данные 2st'!$NG$2:$NG$317))</f>
        <v>0</v>
      </c>
      <c r="RO12">
        <f>SUMPRODUCT(--('Данные 2st'!$Q$2:$Q$317=$A12),--ISNUMBER('Данные 2st'!$NH$2:$NH$317))</f>
        <v>0</v>
      </c>
      <c r="RP12">
        <f>SUMPRODUCT(--('Данные 2st'!$Q$2:$Q$317=$A12),--ISNUMBER('Данные 2st'!$NJ$2:$NJ$317))</f>
        <v>0</v>
      </c>
      <c r="RQ12">
        <f>SUMPRODUCT(--('Данные 2st'!$Q$2:$Q$317=$A12),--ISNUMBER('Данные 2st'!$NK$2:$NK$317))</f>
        <v>0</v>
      </c>
      <c r="RR12">
        <f>SUMPRODUCT(--('Данные 2st'!$Q$2:$Q$317=$A12),--ISNUMBER('Данные 2st'!$NM$2:$NM$317))</f>
        <v>0</v>
      </c>
      <c r="RS12">
        <f>SUMPRODUCT(--('Данные 2st'!$Q$2:$Q$317=$A12),--ISNUMBER('Данные 2st'!$NN$2:$NN$317))</f>
        <v>0</v>
      </c>
      <c r="RT12">
        <f>SUMPRODUCT(--('Данные 2st'!$Q$2:$Q$317=$A12),--ISNUMBER('Данные 2st'!$NO$2:$NO$317))</f>
        <v>0</v>
      </c>
      <c r="RU12">
        <f>SUMPRODUCT(--('Данные 2st'!$Q$2:$Q$317=$A12),--ISNUMBER('Данные 2st'!$NP$2:$NP$317))</f>
        <v>0</v>
      </c>
      <c r="RV12">
        <f>SUMPRODUCT(--('Данные 2st'!$Q$2:$Q$317=$A12),--ISNUMBER('Данные 2st'!$NQ$2:$NQ$317))</f>
        <v>0</v>
      </c>
      <c r="RW12">
        <f>SUMPRODUCT(--('Данные 2st'!$Q$2:$Q$317=$A12),--ISNUMBER('Данные 2st'!$NR$2:$NR$317))</f>
        <v>0</v>
      </c>
      <c r="RX12">
        <f>SUMPRODUCT(--('Данные 2st'!$Q$2:$Q$317=$A12),--ISNUMBER('Данные 2st'!$NS$2:$NS$317))</f>
        <v>0</v>
      </c>
      <c r="RY12">
        <f>SUMPRODUCT(--('Данные 2st'!$Q$2:$Q$317=$A12),--ISNUMBER('Данные 2st'!$NT$2:$NT$317))</f>
        <v>0</v>
      </c>
      <c r="RZ12">
        <f>SUMPRODUCT(--('Данные 2st'!$Q$2:$Q$317=$A12),--ISNUMBER('Данные 2st'!$OK$2:$OK$317))</f>
        <v>2</v>
      </c>
      <c r="SA12">
        <f>SUMPRODUCT(--('Данные 2st'!$Q$2:$Q$317=$A12),--ISNUMBER('Данные 2st'!$OL$2:$OL$317))</f>
        <v>2</v>
      </c>
      <c r="SB12">
        <f>SUMPRODUCT(--('Данные 2st'!$Q$2:$Q$317=$A12),--ISNUMBER('Данные 2st'!$ON$2:$ON$317))</f>
        <v>2</v>
      </c>
      <c r="SC12">
        <f>SUMPRODUCT(--('Данные 2st'!$Q$2:$Q$317=$A12),--ISNUMBER('Данные 2st'!$OO$2:$OO$317))</f>
        <v>2</v>
      </c>
      <c r="SD12">
        <f>SUMPRODUCT(--('Данные 2st'!$Q$2:$Q$317=$A12),--ISNUMBER('Данные 2st'!$OP$2:$OP$317))</f>
        <v>2</v>
      </c>
      <c r="SE12">
        <f>SUMPRODUCT(--('Данные 2st'!$Q$2:$Q$317=$A12),--ISNUMBER('Данные 2st'!$OQ$2:$OQ$317))</f>
        <v>2</v>
      </c>
      <c r="SF12">
        <f>SUMPRODUCT(--('Данные 2st'!$Q$2:$Q$317=$A12),--ISNUMBER('Данные 2st'!$OS$2:$OS$317))</f>
        <v>2</v>
      </c>
      <c r="SG12">
        <f>SUMPRODUCT(--('Данные 2st'!$Q$2:$Q$317=$A12),--ISNUMBER('Данные 2st'!$OT$2:$OT$317))</f>
        <v>2</v>
      </c>
      <c r="SH12">
        <f>SUMPRODUCT(--('Данные 2st'!$Q$2:$Q$317=$A12),--ISNUMBER('Данные 2st'!$OU$2:$OU$317))</f>
        <v>2</v>
      </c>
      <c r="SI12">
        <f>SUMPRODUCT(--('Данные 2st'!$Q$2:$Q$317=$A12),--ISNUMBER('Данные 2st'!$OV$2:$OV$317))</f>
        <v>2</v>
      </c>
      <c r="SJ12">
        <f>SUMPRODUCT(--('Данные 2st'!$Q$2:$Q$317=$A12),--ISNUMBER('Данные 2st'!$OX$2:$OX$317))</f>
        <v>2</v>
      </c>
      <c r="SK12">
        <f>SUMPRODUCT(--('Данные 2st'!$Q$2:$Q$317=$A12),--ISNUMBER('Данные 2st'!$OY$2:$OY$317))</f>
        <v>2</v>
      </c>
      <c r="SL12">
        <f>SUMPRODUCT(--('Данные 2st'!$Q$2:$Q$317=$A12),--ISNUMBER('Данные 2st'!$OZ$2:$OZ$317))</f>
        <v>2</v>
      </c>
      <c r="SM12">
        <f>SUMPRODUCT(--('Данные 2st'!$Q$2:$Q$317=$A12),--ISNUMBER('Данные 2st'!$PA$2:$PA$317))</f>
        <v>2</v>
      </c>
      <c r="SN12">
        <f>SUMPRODUCT(--('Данные 2st'!$Q$2:$Q$317=$A12),--ISNUMBER('Данные 2st'!$PC$2:$PC$317))</f>
        <v>2</v>
      </c>
      <c r="SO12">
        <f>SUMPRODUCT(--('Данные 2st'!$Q$2:$Q$317=$A12),--ISNUMBER('Данные 2st'!$PD$2:$PD$317))</f>
        <v>2</v>
      </c>
      <c r="SP12">
        <f>SUMPRODUCT(--('Данные 2st'!$Q$2:$Q$317=$A12),--ISNUMBER('Данные 2st'!$PF$2:$PF$317))</f>
        <v>2</v>
      </c>
      <c r="SQ12">
        <f>SUMPRODUCT(--('Данные 2st'!$Q$2:$Q$317=$A12),--ISNUMBER('Данные 2st'!$PG$2:$PG$317))</f>
        <v>2</v>
      </c>
      <c r="SR12">
        <f>SUMPRODUCT(--('Данные 2st'!$Q$2:$Q$317=$A12),--ISNUMBER('Данные 2st'!$PH$2:$PH$317))</f>
        <v>2</v>
      </c>
      <c r="SS12">
        <f>SUMPRODUCT(--('Данные 2st'!$Q$2:$Q$317=$A12),--ISNUMBER('Данные 2st'!$PI$2:$PI$317))</f>
        <v>2</v>
      </c>
      <c r="ST12">
        <f>SUMPRODUCT(--('Данные 2st'!$Q$2:$Q$317=$A12),--ISNUMBER('Данные 2st'!$PJ$2:$PJ$317))</f>
        <v>2</v>
      </c>
      <c r="SU12">
        <f>SUMPRODUCT(--('Данные 2st'!$Q$2:$Q$317=$A12),--ISNUMBER('Данные 2st'!$PK$2:$PK$317))</f>
        <v>2</v>
      </c>
      <c r="SV12">
        <f>SUMPRODUCT(--('Данные 2st'!$Q$2:$Q$317=$A12),--ISNUMBER('Данные 2st'!$PL$2:$PL$317))</f>
        <v>2</v>
      </c>
      <c r="SW12">
        <f>SUMPRODUCT(--('Данные 2st'!$Q$2:$Q$317=$A12),--ISNUMBER('Данные 2st'!$PM$2:$PM$317))</f>
        <v>2</v>
      </c>
      <c r="SX12">
        <f>SUMPRODUCT(--('Данные 2st'!$Q$2:$Q$317=$A12),--ISNUMBER('Данные 2st'!$PN$2:$PN$317))</f>
        <v>2</v>
      </c>
      <c r="SY12">
        <f>SUMPRODUCT(--('Данные 2st'!$Q$2:$Q$317=$A12),--ISNUMBER('Данные 2st'!$PO$2:$PO$317))</f>
        <v>1</v>
      </c>
      <c r="SZ12">
        <f>SUMPRODUCT(--('Данные 2st'!$Q$2:$Q$317=$A12),--ISNUMBER('Данные 2st'!$PP$2:$PP$317))</f>
        <v>2</v>
      </c>
      <c r="TA12">
        <f>SUMPRODUCT(--('Данные 2st'!$Q$2:$Q$317=$A12),--ISNUMBER('Данные 2st'!$PQ$2:$PQ$317))</f>
        <v>2</v>
      </c>
      <c r="TB12">
        <f>SUMPRODUCT(--('Данные 2st'!$Q$2:$Q$317=$A12),--ISNUMBER('Данные 2st'!$PR$2:$PR$317))</f>
        <v>2</v>
      </c>
      <c r="TC12">
        <f>SUMPRODUCT(--('Данные 2st'!$Q$2:$Q$317=$A12),--ISNUMBER('Данные 2st'!$PS$2:$PS$317))</f>
        <v>2</v>
      </c>
      <c r="TD12">
        <f>SUMPRODUCT(--('Данные 2st'!$Q$2:$Q$317=$A12),--ISNUMBER('Данные 2st'!$PT$2:$PT$317))</f>
        <v>2</v>
      </c>
      <c r="TE12">
        <f>SUMPRODUCT(--('Данные 2st'!$Q$2:$Q$317=$A12),--ISNUMBER('Данные 2st'!$PU$2:$PU$317))</f>
        <v>2</v>
      </c>
      <c r="TF12">
        <f>SUMPRODUCT(--('Данные 2st'!$Q$2:$Q$317=$A12),--ISNUMBER('Данные 2st'!$PX$2:$PX$317))</f>
        <v>2</v>
      </c>
      <c r="TG12">
        <f>SUMPRODUCT(--('Данные 2st'!$Q$2:$Q$317=$A12),--ISNUMBER('Данные 2st'!$PY$2:$PY$317))</f>
        <v>2</v>
      </c>
      <c r="TH12">
        <f>SUMPRODUCT(--('Данные 2st'!$Q$2:$Q$317=$A12),--ISNUMBER('Данные 2st'!$PZ$2:$PZ$317))</f>
        <v>2</v>
      </c>
      <c r="TI12">
        <f>SUMPRODUCT(--('Данные 2st'!$Q$2:$Q$317=$A12),--ISNUMBER('Данные 2st'!$QA$2:$QA$317))</f>
        <v>2</v>
      </c>
      <c r="TJ12">
        <f>SUMPRODUCT(--('Данные 2st'!$Q$2:$Q$317=$A12),--ISNUMBER('Данные 2st'!$QB$2:$QB$317))</f>
        <v>2</v>
      </c>
      <c r="TK12">
        <f>SUMPRODUCT(--('Данные 2st'!$Q$2:$Q$317=$A12),--ISNUMBER('Данные 2st'!$QC$2:$QC$317))</f>
        <v>2</v>
      </c>
      <c r="TL12">
        <f>SUMPRODUCT(--('Данные 2st'!$Q$2:$Q$317=$A12),--ISNUMBER('Данные 2st'!$QD$2:$QD$317))</f>
        <v>2</v>
      </c>
      <c r="TM12">
        <f>SUMPRODUCT(--('Данные 2st'!$Q$2:$Q$317=$A12),--ISNUMBER('Данные 2st'!$QE$2:$QE$317))</f>
        <v>2</v>
      </c>
      <c r="TN12">
        <f>SUMPRODUCT(--('Данные 2st'!$Q$2:$Q$317=$A12),--ISNUMBER('Данные 2st'!$QF$2:$QF$317))</f>
        <v>2</v>
      </c>
      <c r="TO12">
        <f>SUMPRODUCT(--('Данные 2st'!$Q$2:$Q$317=$A12),--ISNUMBER('Данные 2st'!$QG$2:$QG$317))</f>
        <v>2</v>
      </c>
      <c r="TP12">
        <f>SUMPRODUCT(--('Данные 2st'!$Q$2:$Q$317=$A12),--ISNUMBER('Данные 2st'!$QH$2:$QH$317))</f>
        <v>2</v>
      </c>
      <c r="TQ12">
        <f>SUMPRODUCT(--('Данные 2st'!$Q$2:$Q$317=$A12),--ISNUMBER('Данные 2st'!$QI$2:$QI$317))</f>
        <v>2</v>
      </c>
      <c r="TR12">
        <f>SUMPRODUCT(--('Данные 2st'!$Q$2:$Q$317=$A12),--ISNUMBER('Данные 2st'!$QJ$2:$QJ$317))</f>
        <v>2</v>
      </c>
      <c r="TS12">
        <f>SUMPRODUCT(--('Данные 2st'!$Q$2:$Q$317=$A12),--ISNUMBER('Данные 2st'!$QK$2:$QK$317))</f>
        <v>2</v>
      </c>
      <c r="TT12">
        <f>SUMPRODUCT(--('Данные 2st'!$Q$2:$Q$317=$A12),--ISNUMBER('Данные 2st'!$QL$2:$QL$317))</f>
        <v>2</v>
      </c>
      <c r="TU12">
        <f>SUMPRODUCT(--('Данные 2st'!$Q$2:$Q$317=$A12),--ISNUMBER('Данные 2st'!$QM$2:$QM$317))</f>
        <v>2</v>
      </c>
      <c r="TV12">
        <f>SUMPRODUCT(--('Данные 2st'!$Q$2:$Q$317=$A12),--ISNUMBER('Данные 2st'!$QN$2:$QN$317))</f>
        <v>2</v>
      </c>
      <c r="TW12">
        <f>SUMPRODUCT(--('Данные 2st'!$Q$2:$Q$317=$A12),--ISNUMBER('Данные 2st'!$QQ$2:$QQ$317))</f>
        <v>2</v>
      </c>
      <c r="TX12">
        <f>SUMPRODUCT(--('Данные 2st'!$Q$2:$Q$317=$A12),--ISNUMBER('Данные 2st'!$QS$2:$QS$317))</f>
        <v>2</v>
      </c>
      <c r="TY12">
        <f>SUMPRODUCT(--('Данные 2st'!$Q$2:$Q$317=$A12),--ISNUMBER('Данные 2st'!$QT$2:$QT$317))</f>
        <v>2</v>
      </c>
    </row>
    <row r="13" spans="1:545" ht="32" customHeight="1">
      <c r="A13" s="11" t="str">
        <f>'По размерам'!A13</f>
        <v>195/65R15</v>
      </c>
      <c r="G13">
        <f>SUMPRODUCT(--('Данные 1st'!$S$2:$S$317=$A13),--ISNUMBER('Данные 1st'!$AE$2:$AE$317))</f>
        <v>5</v>
      </c>
      <c r="H13">
        <f>SUMPRODUCT(--('Данные 1st'!$S$2:$S$317=$A13),--ISNUMBER('Данные 1st'!$AF$2:$AF$317))</f>
        <v>5</v>
      </c>
      <c r="I13">
        <f>SUMPRODUCT(--('Данные 1st'!$S$2:$S$317=$A13),--ISNUMBER('Данные 1st'!$AJ$2:$AJ$317))</f>
        <v>5</v>
      </c>
      <c r="J13">
        <f>SUMPRODUCT(--('Данные 1st'!$S$2:$S$317=$A13),--ISNUMBER('Данные 1st'!$AL$2:$AL$317))</f>
        <v>5</v>
      </c>
      <c r="K13">
        <f>SUMPRODUCT(--('Данные 1st'!$S$2:$S$317=$A13),--ISNUMBER('Данные 1st'!$AR$2:$AR$317))</f>
        <v>5</v>
      </c>
      <c r="L13">
        <f>SUMPRODUCT(--('Данные 1st'!$S$2:$S$317=$A13),--ISNUMBER('Данные 1st'!$AS$2:$AS$317))</f>
        <v>5</v>
      </c>
      <c r="M13">
        <f>SUMPRODUCT(--('Данные 1st'!$S$2:$S$317=$A13),--ISNUMBER('Данные 1st'!$AY$2:$AY$317))</f>
        <v>5</v>
      </c>
      <c r="N13">
        <f>SUMPRODUCT(--('Данные 1st'!$S$2:$S$317=$A13),--ISNUMBER('Данные 1st'!$AZ$2:$AZ$317))</f>
        <v>5</v>
      </c>
      <c r="O13">
        <f>SUMPRODUCT(--('Данные 1st'!$S$2:$S$317=$A13),--ISNUMBER('Данные 1st'!$BF$2:$BF$317))</f>
        <v>0</v>
      </c>
      <c r="P13">
        <f>SUMPRODUCT(--('Данные 1st'!$S$2:$S$317=$A13),--ISNUMBER('Данные 1st'!$BG$2:$BG$317))</f>
        <v>5</v>
      </c>
      <c r="Q13">
        <f>SUMPRODUCT(--('Данные 1st'!$S$2:$S$317=$A13),--ISNUMBER('Данные 1st'!$BM$2:$BM$317))</f>
        <v>0</v>
      </c>
      <c r="R13">
        <f>SUMPRODUCT(--('Данные 1st'!$S$2:$S$317=$A13),--ISNUMBER('Данные 1st'!$BN$2:$BN$317))</f>
        <v>5</v>
      </c>
      <c r="S13">
        <f>SUMPRODUCT(--('Данные 1st'!$S$2:$S$317=$A13),--ISNUMBER('Данные 1st'!$BT$2:$BT$317))</f>
        <v>5</v>
      </c>
      <c r="T13">
        <f>SUMPRODUCT(--('Данные 1st'!$S$2:$S$317=$A13),--ISNUMBER('Данные 1st'!$BU$2:$BU$317))</f>
        <v>5</v>
      </c>
      <c r="U13">
        <f>SUMPRODUCT(--('Данные 1st'!$S$2:$S$317=$A13),--ISNUMBER('Данные 1st'!$BW$2:$BW$317))</f>
        <v>5</v>
      </c>
      <c r="V13">
        <f>SUMPRODUCT(--('Данные 1st'!$S$2:$S$317=$A13),--ISNUMBER('Данные 1st'!$BX$2:$BX$317))</f>
        <v>5</v>
      </c>
      <c r="W13">
        <f>SUMPRODUCT(--('Данные 1st'!$S$2:$S$317=$A13),--ISNUMBER('Данные 1st'!$BZ$2:$BZ$317))</f>
        <v>5</v>
      </c>
      <c r="X13">
        <f>SUMPRODUCT(--('Данные 1st'!$S$2:$S$317=$A13),--ISNUMBER('Данные 1st'!$CA$2:$CA$317))</f>
        <v>5</v>
      </c>
      <c r="Y13">
        <f>SUMPRODUCT(--('Данные 1st'!$S$2:$S$317=$A13),--ISNUMBER('Данные 1st'!$CD$2:$CD$317))</f>
        <v>5</v>
      </c>
      <c r="Z13">
        <f>SUMPRODUCT(--('Данные 1st'!$S$2:$S$317=$A13),--ISNUMBER('Данные 1st'!$CF$2:$CF$317))</f>
        <v>5</v>
      </c>
      <c r="AA13">
        <f>SUMPRODUCT(--('Данные 1st'!$S$2:$S$317=$A13),--ISNUMBER('Данные 1st'!$CI$2:$CI$317))</f>
        <v>5</v>
      </c>
      <c r="AB13">
        <f>SUMPRODUCT(--('Данные 1st'!$S$2:$S$317=$A13),--ISNUMBER('Данные 1st'!$CJ$2:$CJ$317))</f>
        <v>5</v>
      </c>
      <c r="AC13">
        <f>SUMPRODUCT(--('Данные 1st'!$S$2:$S$317=$A13),--ISNUMBER('Данные 1st'!$CK$2:$CK$317))</f>
        <v>5</v>
      </c>
      <c r="AD13">
        <f>SUMPRODUCT(--('Данные 1st'!$S$2:$S$317=$A13),--ISNUMBER('Данные 1st'!$CL$2:$CL$317))</f>
        <v>5</v>
      </c>
      <c r="AE13">
        <f>SUMPRODUCT(--('Данные 1st'!$S$2:$S$317=$A13),--ISNUMBER('Данные 1st'!$CM$2:$CM$317))</f>
        <v>5</v>
      </c>
      <c r="AF13">
        <f>SUMPRODUCT(--('Данные 1st'!$S$2:$S$317=$A13),--ISNUMBER('Данные 1st'!$CT$2:$CT$317))</f>
        <v>5</v>
      </c>
      <c r="AG13">
        <f>SUMPRODUCT(--('Данные 1st'!$S$2:$S$317=$A13),--ISNUMBER('Данные 1st'!$CU$2:$CU$317))</f>
        <v>5</v>
      </c>
      <c r="AH13">
        <f>SUMPRODUCT(--('Данные 1st'!$S$2:$S$317=$A13),--ISNUMBER('Данные 1st'!$CV$2:$CV$317))</f>
        <v>5</v>
      </c>
      <c r="AI13">
        <f>SUMPRODUCT(--('Данные 1st'!$S$2:$S$317=$A13),--ISNUMBER('Данные 1st'!$CW$2:$CW$317))</f>
        <v>5</v>
      </c>
      <c r="AJ13">
        <f>SUMPRODUCT(--('Данные 1st'!$S$2:$S$317=$A13),--ISNUMBER('Данные 1st'!$CX$2:$CX$317))</f>
        <v>5</v>
      </c>
      <c r="AK13">
        <f>SUMPRODUCT(--('Данные 1st'!$S$2:$S$317=$A13),--ISNUMBER('Данные 1st'!$CZ$2:$CZ$317))</f>
        <v>0</v>
      </c>
      <c r="AL13">
        <f>SUMPRODUCT(--('Данные 1st'!$S$2:$S$317=$A13),--ISNUMBER('Данные 1st'!$DA$2:$DA$317))</f>
        <v>0</v>
      </c>
      <c r="AM13">
        <f>SUMPRODUCT(--('Данные 1st'!$S$2:$S$317=$A13),--ISNUMBER('Данные 1st'!$DB$2:$DB$317))</f>
        <v>0</v>
      </c>
      <c r="AN13">
        <f>SUMPRODUCT(--('Данные 1st'!$S$2:$S$317=$A13),--ISNUMBER('Данные 1st'!$DC$2:$DC$317))</f>
        <v>0</v>
      </c>
      <c r="AO13">
        <f>SUMPRODUCT(--('Данные 1st'!$S$2:$S$317=$A13),--ISNUMBER('Данные 1st'!$DD$2:$DD$317))</f>
        <v>5</v>
      </c>
      <c r="AP13">
        <f>SUMPRODUCT(--('Данные 1st'!$S$2:$S$317=$A13),--ISNUMBER('Данные 1st'!$DF$2:$DF$317))</f>
        <v>5</v>
      </c>
      <c r="AQ13">
        <f>SUMPRODUCT(--('Данные 1st'!$S$2:$S$317=$A13),--ISNUMBER('Данные 1st'!$DG$2:$DG$317))</f>
        <v>5</v>
      </c>
      <c r="AR13">
        <f>SUMPRODUCT(--('Данные 1st'!$S$2:$S$317=$A13),--ISNUMBER('Данные 1st'!$DH$2:$DH$317))</f>
        <v>5</v>
      </c>
      <c r="AS13">
        <f>SUMPRODUCT(--('Данные 1st'!$S$2:$S$317=$A13),--ISNUMBER('Данные 1st'!$DI$2:$DI$317))</f>
        <v>5</v>
      </c>
      <c r="AT13">
        <f>SUMPRODUCT(--('Данные 1st'!$S$2:$S$317=$A13),--ISNUMBER('Данные 1st'!$DJ$2:$DJ$317))</f>
        <v>5</v>
      </c>
      <c r="AU13">
        <f>SUMPRODUCT(--('Данные 1st'!$S$2:$S$317=$A13),--ISNUMBER('Данные 1st'!$DL$2:$DL$317))</f>
        <v>0</v>
      </c>
      <c r="AV13">
        <f>SUMPRODUCT(--('Данные 1st'!$S$2:$S$317=$A13),--ISNUMBER('Данные 1st'!$DM$2:$DM$317))</f>
        <v>0</v>
      </c>
      <c r="AW13">
        <f>SUMPRODUCT(--('Данные 1st'!$S$2:$S$317=$A13),--ISNUMBER('Данные 1st'!$DN$2:$DN$317))</f>
        <v>0</v>
      </c>
      <c r="AX13">
        <f>SUMPRODUCT(--('Данные 1st'!$S$2:$S$317=$A13),--ISNUMBER('Данные 1st'!$DO$2:$DO$317))</f>
        <v>0</v>
      </c>
      <c r="AY13">
        <f>SUMPRODUCT(--('Данные 1st'!$S$2:$S$317=$A13),--ISNUMBER('Данные 1st'!$DP$2:$DP$317))</f>
        <v>0</v>
      </c>
      <c r="AZ13">
        <f>SUMPRODUCT(--('Данные 1st'!$S$2:$S$317=$A13),--ISNUMBER('Данные 1st'!$DR$2:$DR$317))</f>
        <v>0</v>
      </c>
      <c r="BA13">
        <f>SUMPRODUCT(--('Данные 1st'!$S$2:$S$317=$A13),--ISNUMBER('Данные 1st'!$DS$2:$DS$317))</f>
        <v>0</v>
      </c>
      <c r="BB13">
        <f>SUMPRODUCT(--('Данные 1st'!$S$2:$S$317=$A13),--ISNUMBER('Данные 1st'!$DT$2:$DT$317))</f>
        <v>0</v>
      </c>
      <c r="BC13">
        <f>SUMPRODUCT(--('Данные 1st'!$S$2:$S$317=$A13),--ISNUMBER('Данные 1st'!$DU$2:$DU$317))</f>
        <v>0</v>
      </c>
      <c r="BD13">
        <f>SUMPRODUCT(--('Данные 1st'!$S$2:$S$317=$A13),--ISNUMBER('Данные 1st'!$DV$2:$DV$317))</f>
        <v>0</v>
      </c>
      <c r="BE13">
        <f>SUMPRODUCT(--('Данные 1st'!$S$2:$S$317=$A13),--ISNUMBER('Данные 1st'!$DX$2:$DX$317))</f>
        <v>5</v>
      </c>
      <c r="BF13">
        <f>SUMPRODUCT(--('Данные 1st'!$S$2:$S$317=$A13),--ISNUMBER('Данные 1st'!$EA$2:$EA$317))</f>
        <v>5</v>
      </c>
      <c r="BG13">
        <f>SUMPRODUCT(--('Данные 1st'!$S$2:$S$317=$A13),--ISNUMBER('Данные 1st'!$EB$2:$EB$317))</f>
        <v>5</v>
      </c>
      <c r="BH13">
        <f>SUMPRODUCT(--('Данные 1st'!$S$2:$S$317=$A13),--ISNUMBER('Данные 1st'!$ED$2:$ED$317))</f>
        <v>5</v>
      </c>
      <c r="BI13">
        <f>SUMPRODUCT(--('Данные 1st'!$S$2:$S$317=$A13),--ISNUMBER('Данные 1st'!$EE$2:$EE$317))</f>
        <v>5</v>
      </c>
      <c r="BJ13">
        <f>SUMPRODUCT(--('Данные 1st'!$S$2:$S$317=$A13),--ISNUMBER('Данные 1st'!$EG$2:$EG$317))</f>
        <v>5</v>
      </c>
      <c r="BK13">
        <f>SUMPRODUCT(--('Данные 1st'!$S$2:$S$317=$A13),--ISNUMBER('Данные 1st'!$EH$2:$EH$317))</f>
        <v>5</v>
      </c>
      <c r="BL13">
        <f>SUMPRODUCT(--('Данные 1st'!$S$2:$S$317=$A13),--ISNUMBER('Данные 1st'!$EJ$2:$EJ$317))</f>
        <v>5</v>
      </c>
      <c r="BM13">
        <f>SUMPRODUCT(--('Данные 1st'!$S$2:$S$317=$A13),--ISNUMBER('Данные 1st'!$EK$2:$EK$317))</f>
        <v>5</v>
      </c>
      <c r="BN13">
        <f>SUMPRODUCT(--('Данные 1st'!$S$2:$S$317=$A13),--ISNUMBER('Данные 1st'!$EN$2:$EN$317))</f>
        <v>5</v>
      </c>
      <c r="BO13">
        <f>SUMPRODUCT(--('Данные 1st'!$S$2:$S$317=$A13),--ISNUMBER('Данные 1st'!$EQ$2:$EQ$317))</f>
        <v>5</v>
      </c>
      <c r="BP13">
        <f>SUMPRODUCT(--('Данные 1st'!$S$2:$S$317=$A13),--ISNUMBER('Данные 1st'!$ER$2:$ER$317))</f>
        <v>5</v>
      </c>
      <c r="BQ13">
        <f>SUMPRODUCT(--('Данные 1st'!$S$2:$S$317=$A13),--ISNUMBER('Данные 1st'!$ES$2:$ES$317))</f>
        <v>5</v>
      </c>
      <c r="BR13">
        <f>SUMPRODUCT(--('Данные 1st'!$S$2:$S$317=$A13),--ISNUMBER('Данные 1st'!$ET$2:$ET$317))</f>
        <v>5</v>
      </c>
      <c r="BS13">
        <f>SUMPRODUCT(--('Данные 1st'!$S$2:$S$317=$A13),--ISNUMBER('Данные 1st'!$EU$2:$EU$317))</f>
        <v>5</v>
      </c>
      <c r="BT13">
        <f>SUMPRODUCT(--('Данные 1st'!$S$2:$S$317=$A13),--ISNUMBER('Данные 1st'!$EV$2:$EV$317))</f>
        <v>5</v>
      </c>
      <c r="BU13">
        <f>SUMPRODUCT(--('Данные 1st'!$S$2:$S$317=$A13),--ISNUMBER('Данные 1st'!$EX$2:$EX$317))</f>
        <v>5</v>
      </c>
      <c r="BV13">
        <f>SUMPRODUCT(--('Данные 1st'!$S$2:$S$317=$A13),--ISNUMBER('Данные 1st'!$EY$2:$EY$317))</f>
        <v>5</v>
      </c>
      <c r="BW13">
        <f>SUMPRODUCT(--('Данные 1st'!$S$2:$S$317=$A13),--ISNUMBER('Данные 1st'!$EZ$2:$EZ$317))</f>
        <v>5</v>
      </c>
      <c r="BX13">
        <f>SUMPRODUCT(--('Данные 1st'!$S$2:$S$317=$A13),--ISNUMBER('Данные 1st'!$FA$2:$FA$317))</f>
        <v>5</v>
      </c>
      <c r="BY13">
        <f>SUMPRODUCT(--('Данные 1st'!$S$2:$S$317=$A13),--ISNUMBER('Данные 1st'!$FB$2:$FB$317))</f>
        <v>5</v>
      </c>
      <c r="BZ13">
        <f>SUMPRODUCT(--('Данные 1st'!$S$2:$S$317=$A13),--ISNUMBER('Данные 1st'!$FC$2:$FC$317))</f>
        <v>5</v>
      </c>
      <c r="CA13">
        <f>SUMPRODUCT(--('Данные 1st'!$S$2:$S$317=$A13),--ISNUMBER('Данные 1st'!$FE$2:$FE$317))</f>
        <v>5</v>
      </c>
      <c r="CB13">
        <f>SUMPRODUCT(--('Данные 1st'!$S$2:$S$317=$A13),--ISNUMBER('Данные 1st'!$FF$2:$FF$317))</f>
        <v>5</v>
      </c>
      <c r="CC13">
        <f>SUMPRODUCT(--('Данные 1st'!$S$2:$S$317=$A13),--ISNUMBER('Данные 1st'!$FI$2:$FI$317))</f>
        <v>5</v>
      </c>
      <c r="CD13">
        <f>SUMPRODUCT(--('Данные 1st'!$S$2:$S$317=$A13),--ISNUMBER('Данные 1st'!$FL$2:$FL$317))</f>
        <v>5</v>
      </c>
      <c r="CE13">
        <f>SUMPRODUCT(--('Данные 1st'!$S$2:$S$317=$A13),--ISNUMBER('Данные 1st'!$FM$2:$FM$317))</f>
        <v>5</v>
      </c>
      <c r="CF13">
        <f>SUMPRODUCT(--('Данные 1st'!$S$2:$S$317=$A13),--ISNUMBER('Данные 1st'!$FN$2:$FN$317))</f>
        <v>5</v>
      </c>
      <c r="CG13">
        <f>SUMPRODUCT(--('Данные 1st'!$S$2:$S$317=$A13),--ISNUMBER('Данные 1st'!$FO$2:$FO$317))</f>
        <v>0</v>
      </c>
      <c r="CH13">
        <f>SUMPRODUCT(--('Данные 1st'!$S$2:$S$317=$A13),--ISNUMBER('Данные 1st'!$FP$2:$FP$317))</f>
        <v>0</v>
      </c>
      <c r="CI13">
        <f>SUMPRODUCT(--('Данные 1st'!$S$2:$S$317=$A13),--ISNUMBER('Данные 1st'!$FS$2:$FS$317))</f>
        <v>5</v>
      </c>
      <c r="CJ13">
        <f>SUMPRODUCT(--('Данные 1st'!$S$2:$S$317=$A13),--ISNUMBER('Данные 1st'!$FT$2:$FT$317))</f>
        <v>5</v>
      </c>
      <c r="CK13">
        <f>SUMPRODUCT(--('Данные 1st'!$S$2:$S$317=$A13),--ISNUMBER('Данные 1st'!$FU$2:$FU$317))</f>
        <v>5</v>
      </c>
      <c r="CL13">
        <f>SUMPRODUCT(--('Данные 1st'!$S$2:$S$317=$A13),--ISNUMBER('Данные 1st'!$FV$2:$FV$317))</f>
        <v>2</v>
      </c>
      <c r="CM13">
        <f>SUMPRODUCT(--('Данные 1st'!$S$2:$S$317=$A13),--ISNUMBER('Данные 1st'!$FW$2:$FW$317))</f>
        <v>2</v>
      </c>
      <c r="CN13">
        <f>SUMPRODUCT(--('Данные 1st'!$S$2:$S$317=$A13),--ISNUMBER('Данные 1st'!$FZ$2:$FZ$317))</f>
        <v>0</v>
      </c>
      <c r="CO13">
        <f>SUMPRODUCT(--('Данные 1st'!$S$2:$S$317=$A13),--ISNUMBER('Данные 1st'!$GA$2:$GA$317))</f>
        <v>0</v>
      </c>
      <c r="CP13">
        <f>SUMPRODUCT(--('Данные 1st'!$S$2:$S$317=$A13),--ISNUMBER('Данные 1st'!$GB$2:$GB$317))</f>
        <v>0</v>
      </c>
      <c r="CQ13">
        <f>SUMPRODUCT(--('Данные 1st'!$S$2:$S$317=$A13),--ISNUMBER('Данные 1st'!$GH$2:$GH$317))</f>
        <v>0</v>
      </c>
      <c r="CR13">
        <f>SUMPRODUCT(--('Данные 1st'!$S$2:$S$317=$A13),--ISNUMBER('Данные 1st'!$GI$2:$GI$317))</f>
        <v>0</v>
      </c>
      <c r="CS13">
        <f>SUMPRODUCT(--('Данные 1st'!$S$2:$S$317=$A13),--ISNUMBER('Данные 1st'!$GJ$2:$GJ$317))</f>
        <v>0</v>
      </c>
      <c r="CT13">
        <f>SUMPRODUCT(--('Данные 1st'!$S$2:$S$317=$A13),--ISNUMBER('Данные 1st'!$GS$2:$GS$317))</f>
        <v>0</v>
      </c>
      <c r="CU13">
        <f>SUMPRODUCT(--('Данные 1st'!$S$2:$S$317=$A13),--ISNUMBER('Данные 1st'!$GT$2:$GT$317))</f>
        <v>0</v>
      </c>
      <c r="CV13">
        <f>SUMPRODUCT(--('Данные 1st'!$S$2:$S$317=$A13),--ISNUMBER('Данные 1st'!$GU$2:$GU$317))</f>
        <v>0</v>
      </c>
      <c r="CW13">
        <f>SUMPRODUCT(--('Данные 1st'!$S$2:$S$317=$A13),--ISNUMBER('Данные 1st'!$GV$2:$GV$317))</f>
        <v>0</v>
      </c>
      <c r="CX13">
        <f>SUMPRODUCT(--('Данные 1st'!$S$2:$S$317=$A13),--ISNUMBER('Данные 1st'!$GW$2:$GW$317))</f>
        <v>0</v>
      </c>
      <c r="CY13">
        <f>SUMPRODUCT(--('Данные 1st'!$S$2:$S$317=$A13),--ISNUMBER('Данные 1st'!$GZ$2:$GZ$317))</f>
        <v>0</v>
      </c>
      <c r="CZ13">
        <f>SUMPRODUCT(--('Данные 1st'!$S$2:$S$317=$A13),--ISNUMBER('Данные 1st'!$HA$2:$HA$317))</f>
        <v>0</v>
      </c>
      <c r="DA13">
        <f>SUMPRODUCT(--('Данные 1st'!$S$2:$S$317=$A13),--ISNUMBER('Данные 1st'!$HB$2:$HB$317))</f>
        <v>0</v>
      </c>
      <c r="DB13">
        <f>SUMPRODUCT(--('Данные 1st'!$S$2:$S$317=$A13),--ISNUMBER('Данные 1st'!$HC$2:$HC$317))</f>
        <v>5</v>
      </c>
      <c r="DC13">
        <f>SUMPRODUCT(--('Данные 1st'!$S$2:$S$317=$A13),--ISNUMBER('Данные 1st'!$HD$2:$HD$317))</f>
        <v>5</v>
      </c>
      <c r="DD13">
        <f>SUMPRODUCT(--('Данные 1st'!$S$2:$S$317=$A13),--ISNUMBER('Данные 1st'!$HE$2:$HE$317))</f>
        <v>5</v>
      </c>
      <c r="DE13">
        <f>SUMPRODUCT(--('Данные 1st'!$S$2:$S$317=$A13),--ISNUMBER('Данные 1st'!$HF$2:$HF$317))</f>
        <v>5</v>
      </c>
      <c r="DF13">
        <f>SUMPRODUCT(--('Данные 1st'!$S$2:$S$317=$A13),--ISNUMBER('Данные 1st'!$HG$2:$HG$317))</f>
        <v>5</v>
      </c>
      <c r="DG13">
        <f>SUMPRODUCT(--('Данные 1st'!$S$2:$S$317=$A13),--ISNUMBER('Данные 1st'!$HH$2:$HH$317))</f>
        <v>5</v>
      </c>
      <c r="DH13">
        <f>SUMPRODUCT(--('Данные 1st'!$S$2:$S$317=$A13),--ISNUMBER('Данные 1st'!$HI$2:$HI$317))</f>
        <v>5</v>
      </c>
      <c r="DI13">
        <f>SUMPRODUCT(--('Данные 1st'!$S$2:$S$317=$A13),--ISNUMBER('Данные 1st'!$HJ$2:$HJ$317))</f>
        <v>5</v>
      </c>
      <c r="DJ13">
        <f>SUMPRODUCT(--('Данные 1st'!$S$2:$S$317=$A13),--ISNUMBER('Данные 1st'!$HK$2:$HK$317))</f>
        <v>5</v>
      </c>
      <c r="DK13">
        <f>SUMPRODUCT(--('Данные 1st'!$S$2:$S$317=$A13),--ISNUMBER('Данные 1st'!$HL$2:$HL$317))</f>
        <v>5</v>
      </c>
      <c r="DL13">
        <f>SUMPRODUCT(--('Данные 1st'!$S$2:$S$317=$A13),--ISNUMBER('Данные 1st'!$HM$2:$HM$317))</f>
        <v>5</v>
      </c>
      <c r="DM13">
        <f>SUMPRODUCT(--('Данные 1st'!$S$2:$S$317=$A13),--ISNUMBER('Данные 1st'!$HN$2:$HN$317))</f>
        <v>5</v>
      </c>
      <c r="DN13">
        <f>SUMPRODUCT(--('Данные 1st'!$S$2:$S$317=$A13),--ISNUMBER('Данные 1st'!$HO$2:$HO$317))</f>
        <v>5</v>
      </c>
      <c r="DO13">
        <f>SUMPRODUCT(--('Данные 1st'!$S$2:$S$317=$A13),--ISNUMBER('Данные 1st'!$HP$2:$HP$317))</f>
        <v>5</v>
      </c>
      <c r="DP13">
        <f>SUMPRODUCT(--('Данные 1st'!$S$2:$S$317=$A13),--ISNUMBER('Данные 1st'!$HQ$2:$HQ$317))</f>
        <v>5</v>
      </c>
      <c r="DQ13">
        <f>SUMPRODUCT(--('Данные 1st'!$S$2:$S$317=$A13),--ISNUMBER('Данные 1st'!$HR$2:$HR$317))</f>
        <v>5</v>
      </c>
      <c r="DR13">
        <f>SUMPRODUCT(--('Данные 1st'!$S$2:$S$317=$A13),--ISNUMBER('Данные 1st'!$HS$2:$HS$317))</f>
        <v>5</v>
      </c>
      <c r="DS13">
        <f>SUMPRODUCT(--('Данные 1st'!$S$2:$S$317=$A13),--ISNUMBER('Данные 1st'!$HT$2:$HT$317))</f>
        <v>5</v>
      </c>
      <c r="DT13">
        <f>SUMPRODUCT(--('Данные 1st'!$S$2:$S$317=$A13),--ISNUMBER('Данные 1st'!$HU$2:$HU$317))</f>
        <v>5</v>
      </c>
      <c r="DU13">
        <f>SUMPRODUCT(--('Данные 1st'!$S$2:$S$317=$A13),--ISNUMBER('Данные 1st'!$HW$2:$HW$317))</f>
        <v>5</v>
      </c>
      <c r="DV13">
        <f>SUMPRODUCT(--('Данные 1st'!$S$2:$S$317=$A13),--ISNUMBER('Данные 1st'!$HX$2:$HX$317))</f>
        <v>5</v>
      </c>
      <c r="DW13">
        <f>SUMPRODUCT(--('Данные 1st'!$S$2:$S$317=$A13),--ISNUMBER('Данные 1st'!$HY$2:$HY$317))</f>
        <v>5</v>
      </c>
      <c r="DX13">
        <f>SUMPRODUCT(--('Данные 1st'!$S$2:$S$317=$A13),--ISNUMBER('Данные 1st'!$IA$2:$IA$317))</f>
        <v>5</v>
      </c>
      <c r="DY13">
        <f>SUMPRODUCT(--('Данные 1st'!$S$2:$S$317=$A13),--ISNUMBER('Данные 1st'!$IB$2:$IB$317))</f>
        <v>5</v>
      </c>
      <c r="DZ13">
        <f>SUMPRODUCT(--('Данные 1st'!$S$2:$S$317=$A13),--ISNUMBER('Данные 1st'!$IC$2:$IC$317))</f>
        <v>5</v>
      </c>
      <c r="EA13">
        <f>SUMPRODUCT(--('Данные 1st'!$S$2:$S$317=$A13),--ISNUMBER('Данные 1st'!$ID$2:$ID$317))</f>
        <v>5</v>
      </c>
      <c r="EB13">
        <f>SUMPRODUCT(--('Данные 1st'!$S$2:$S$317=$A13),--ISNUMBER('Данные 1st'!$IE$2:$IE$317))</f>
        <v>5</v>
      </c>
      <c r="EC13">
        <f>SUMPRODUCT(--('Данные 1st'!$S$2:$S$317=$A13),--ISNUMBER('Данные 1st'!$IF$2:$IF$317))</f>
        <v>5</v>
      </c>
      <c r="ED13">
        <f>SUMPRODUCT(--('Данные 1st'!$S$2:$S$317=$A13),--ISNUMBER('Данные 1st'!$IP$2:$IP$317))</f>
        <v>5</v>
      </c>
      <c r="EE13">
        <f>SUMPRODUCT(--('Данные 1st'!$S$2:$S$317=$A13),--ISNUMBER('Данные 1st'!$IV$2:$IV$317))</f>
        <v>5</v>
      </c>
      <c r="EF13">
        <f>SUMPRODUCT(--('Данные 1st'!$S$2:$S$317=$A13),--ISNUMBER('Данные 1st'!$IW$2:$IW$317))</f>
        <v>5</v>
      </c>
      <c r="EG13">
        <f>SUMPRODUCT(--('Данные 1st'!$S$2:$S$317=$A13),--ISNUMBER('Данные 1st'!$IX$2:$IX$317))</f>
        <v>0</v>
      </c>
      <c r="EH13">
        <f>SUMPRODUCT(--('Данные 1st'!$S$2:$S$317=$A13),--ISNUMBER('Данные 1st'!$IY$2:$IY$317))</f>
        <v>0</v>
      </c>
      <c r="EI13">
        <f>SUMPRODUCT(--('Данные 1st'!$S$2:$S$317=$A13),--ISNUMBER('Данные 1st'!$JD$2:$JD$317))</f>
        <v>5</v>
      </c>
      <c r="EJ13">
        <f>SUMPRODUCT(--('Данные 1st'!$S$2:$S$317=$A13),--ISNUMBER('Данные 1st'!$JE$2:$JE$317))</f>
        <v>5</v>
      </c>
      <c r="EK13">
        <f>SUMPRODUCT(--('Данные 1st'!$S$2:$S$317=$A13),--ISNUMBER('Данные 1st'!$JF$2:$JF$317))</f>
        <v>5</v>
      </c>
      <c r="EL13">
        <f>SUMPRODUCT(--('Данные 1st'!$S$2:$S$317=$A13),--ISNUMBER('Данные 1st'!$JG$2:$JG$317))</f>
        <v>5</v>
      </c>
      <c r="EM13">
        <f>SUMPRODUCT(--('Данные 1st'!$S$2:$S$317=$A13),--ISNUMBER('Данные 1st'!$JH$2:$JH$317))</f>
        <v>5</v>
      </c>
      <c r="EN13">
        <f>SUMPRODUCT(--('Данные 1st'!$S$2:$S$317=$A13),--ISNUMBER('Данные 1st'!$JJ$2:$JJ$317))</f>
        <v>5</v>
      </c>
      <c r="EO13">
        <f>SUMPRODUCT(--('Данные 1st'!$S$2:$S$317=$A13),--ISNUMBER('Данные 1st'!$JK$2:$JK$317))</f>
        <v>5</v>
      </c>
      <c r="EP13">
        <f>SUMPRODUCT(--('Данные 1st'!$S$2:$S$317=$A13),--ISNUMBER('Данные 1st'!$JL$2:$JL$317))</f>
        <v>0</v>
      </c>
      <c r="EQ13">
        <f>SUMPRODUCT(--('Данные 1st'!$S$2:$S$317=$A13),--ISNUMBER('Данные 1st'!$JM$2:$JM$317))</f>
        <v>0</v>
      </c>
      <c r="ER13">
        <f>SUMPRODUCT(--('Данные 1st'!$S$2:$S$317=$A13),--ISNUMBER('Данные 1st'!$JN$2:$JN$317))</f>
        <v>5</v>
      </c>
      <c r="ES13">
        <f>SUMPRODUCT(--('Данные 1st'!$S$2:$S$317=$A13),--ISNUMBER('Данные 1st'!$JO$2:$JO$317))</f>
        <v>5</v>
      </c>
      <c r="ET13">
        <f>SUMPRODUCT(--('Данные 1st'!$S$2:$S$317=$A13),--ISNUMBER('Данные 1st'!$JP$2:$JP$317))</f>
        <v>5</v>
      </c>
      <c r="EU13">
        <f>SUMPRODUCT(--('Данные 1st'!$S$2:$S$317=$A13),--ISNUMBER('Данные 1st'!$JQ$2:$JQ$317))</f>
        <v>5</v>
      </c>
      <c r="EV13">
        <f>SUMPRODUCT(--('Данные 1st'!$S$2:$S$317=$A13),--ISNUMBER('Данные 1st'!$JR$2:$JR$317))</f>
        <v>5</v>
      </c>
      <c r="EW13">
        <f>SUMPRODUCT(--('Данные 1st'!$S$2:$S$317=$A13),--ISNUMBER('Данные 1st'!$JS$2:$JS$317))</f>
        <v>5</v>
      </c>
      <c r="EX13">
        <f>SUMPRODUCT(--('Данные 1st'!$S$2:$S$317=$A13),--ISNUMBER('Данные 1st'!$JT$2:$JT$317))</f>
        <v>0</v>
      </c>
      <c r="EY13">
        <f>SUMPRODUCT(--('Данные 1st'!$S$2:$S$317=$A13),--ISNUMBER('Данные 1st'!$JU$2:$JU$317))</f>
        <v>0</v>
      </c>
      <c r="EZ13">
        <f>SUMPRODUCT(--('Данные 1st'!$S$2:$S$317=$A13),--ISNUMBER('Данные 1st'!$JV$2:$JV$317))</f>
        <v>5</v>
      </c>
      <c r="FA13">
        <f>SUMPRODUCT(--('Данные 1st'!$S$2:$S$317=$A13),--ISNUMBER('Данные 1st'!$JW$2:$JW$317))</f>
        <v>0</v>
      </c>
      <c r="FB13">
        <f>SUMPRODUCT(--('Данные 1st'!$S$2:$S$317=$A13),--ISNUMBER('Данные 1st'!$JX$2:$JX$317))</f>
        <v>5</v>
      </c>
      <c r="FC13">
        <f>SUMPRODUCT(--('Данные 1st'!$S$2:$S$317=$A13),--ISNUMBER('Данные 1st'!$JY$2:$JY$317))</f>
        <v>0</v>
      </c>
      <c r="FD13">
        <f>SUMPRODUCT(--('Данные 1st'!$S$2:$S$317=$A13),--ISNUMBER('Данные 1st'!$JZ$2:$JZ$317))</f>
        <v>0</v>
      </c>
      <c r="FE13">
        <f>SUMPRODUCT(--('Данные 1st'!$S$2:$S$317=$A13),--ISNUMBER('Данные 1st'!$KA$2:$KA$317))</f>
        <v>5</v>
      </c>
      <c r="FF13">
        <f>SUMPRODUCT(--('Данные 1st'!$S$2:$S$317=$A13),--ISNUMBER('Данные 1st'!$KB$2:$KB$317))</f>
        <v>5</v>
      </c>
      <c r="FG13">
        <f>SUMPRODUCT(--('Данные 1st'!$S$2:$S$317=$A13),--ISNUMBER('Данные 1st'!$KC$2:$KC$317))</f>
        <v>5</v>
      </c>
      <c r="FH13">
        <f>SUMPRODUCT(--('Данные 1st'!$S$2:$S$317=$A13),--ISNUMBER('Данные 1st'!$KD$2:$KD$317))</f>
        <v>5</v>
      </c>
      <c r="FI13">
        <f>SUMPRODUCT(--('Данные 1st'!$S$2:$S$317=$A13),--ISNUMBER('Данные 1st'!$KE$2:$KE$317))</f>
        <v>0</v>
      </c>
      <c r="FJ13">
        <f>SUMPRODUCT(--('Данные 1st'!$S$2:$S$317=$A13),--ISNUMBER('Данные 1st'!$KF$2:$KF$317))</f>
        <v>5</v>
      </c>
      <c r="FK13">
        <f>SUMPRODUCT(--('Данные 1st'!$S$2:$S$317=$A13),--ISNUMBER('Данные 1st'!$KG$2:$KG$317))</f>
        <v>5</v>
      </c>
      <c r="FL13">
        <f>SUMPRODUCT(--('Данные 1st'!$S$2:$S$317=$A13),--ISNUMBER('Данные 1st'!$KH$2:$KH$317))</f>
        <v>5</v>
      </c>
      <c r="FM13">
        <f>SUMPRODUCT(--('Данные 1st'!$S$2:$S$317=$A13),--ISNUMBER('Данные 1st'!$KI$2:$KI$317))</f>
        <v>5</v>
      </c>
      <c r="FN13">
        <f>SUMPRODUCT(--('Данные 1st'!$S$2:$S$317=$A13),--ISNUMBER('Данные 1st'!$KJ$2:$KJ$317))</f>
        <v>5</v>
      </c>
      <c r="FO13">
        <f>SUMPRODUCT(--('Данные 1st'!$S$2:$S$317=$A13),--ISNUMBER('Данные 1st'!$KK$2:$KK$317))</f>
        <v>5</v>
      </c>
      <c r="FP13">
        <f>SUMPRODUCT(--('Данные 1st'!$S$2:$S$317=$A13),--ISNUMBER('Данные 1st'!$KL$2:$KL$317))</f>
        <v>5</v>
      </c>
      <c r="FQ13">
        <f>SUMPRODUCT(--('Данные 1st'!$S$2:$S$317=$A13),--ISNUMBER('Данные 1st'!$KM$2:$KM$317))</f>
        <v>5</v>
      </c>
      <c r="FR13">
        <f>SUMPRODUCT(--('Данные 1st'!$S$2:$S$317=$A13),--ISNUMBER('Данные 1st'!$KN$2:$KN$317))</f>
        <v>5</v>
      </c>
      <c r="FS13">
        <f>SUMPRODUCT(--('Данные 1st'!$S$2:$S$317=$A13),--ISNUMBER('Данные 1st'!$KR$2:$KR$317))</f>
        <v>5</v>
      </c>
      <c r="FT13">
        <f>SUMPRODUCT(--('Данные 1st'!$S$2:$S$317=$A13),--ISNUMBER('Данные 1st'!$KS$2:$KS$317))</f>
        <v>5</v>
      </c>
      <c r="FU13">
        <f>SUMPRODUCT(--('Данные 1st'!$S$2:$S$317=$A13),--ISNUMBER('Данные 1st'!$KT$2:$KT$317))</f>
        <v>5</v>
      </c>
      <c r="FV13">
        <f>SUMPRODUCT(--('Данные 1st'!$S$2:$S$317=$A13),--ISNUMBER('Данные 1st'!$KV$2:$KV$317))</f>
        <v>0</v>
      </c>
      <c r="FW13">
        <f>SUMPRODUCT(--('Данные 1st'!$S$2:$S$317=$A13),--ISNUMBER('Данные 1st'!$KW$2:$KW$317))</f>
        <v>0</v>
      </c>
      <c r="FX13">
        <f>SUMPRODUCT(--('Данные 1st'!$S$2:$S$317=$A13),--ISNUMBER('Данные 1st'!$KX$2:$KX$317))</f>
        <v>0</v>
      </c>
      <c r="FY13">
        <f>SUMPRODUCT(--('Данные 1st'!$S$2:$S$317=$A13),--ISNUMBER('Данные 1st'!$KY$2:$KY$317))</f>
        <v>0</v>
      </c>
      <c r="FZ13">
        <f>SUMPRODUCT(--('Данные 1st'!$S$2:$S$317=$A13),--ISNUMBER('Данные 1st'!$KZ$2:$KZ$317))</f>
        <v>0</v>
      </c>
      <c r="GA13">
        <f>SUMPRODUCT(--('Данные 1st'!$S$2:$S$317=$A13),--ISNUMBER('Данные 1st'!$LA$2:$LA$317))</f>
        <v>0</v>
      </c>
      <c r="GB13">
        <f>SUMPRODUCT(--('Данные 1st'!$S$2:$S$317=$A13),--ISNUMBER('Данные 1st'!$LB$2:$LB$317))</f>
        <v>0</v>
      </c>
      <c r="GC13">
        <f>SUMPRODUCT(--('Данные 1st'!$S$2:$S$317=$A13),--ISNUMBER('Данные 1st'!$LC$2:$LC$317))</f>
        <v>0</v>
      </c>
      <c r="GD13">
        <f>SUMPRODUCT(--('Данные 1st'!$S$2:$S$317=$A13),--ISNUMBER('Данные 1st'!$LD$2:$LD$317))</f>
        <v>0</v>
      </c>
      <c r="GE13">
        <f>SUMPRODUCT(--('Данные 1st'!$S$2:$S$317=$A13),--ISNUMBER('Данные 1st'!$LE$2:$LE$317))</f>
        <v>0</v>
      </c>
      <c r="GF13">
        <f>SUMPRODUCT(--('Данные 1st'!$S$2:$S$317=$A13),--ISNUMBER('Данные 1st'!$LF$2:$LF$317))</f>
        <v>0</v>
      </c>
      <c r="GG13">
        <f>SUMPRODUCT(--('Данные 1st'!$S$2:$S$317=$A13),--ISNUMBER('Данные 1st'!$LG$2:$LG$317))</f>
        <v>0</v>
      </c>
      <c r="GH13">
        <f>SUMPRODUCT(--('Данные 1st'!$S$2:$S$317=$A13),--ISNUMBER('Данные 1st'!$LH$2:$LH$317))</f>
        <v>0</v>
      </c>
      <c r="GI13">
        <f>SUMPRODUCT(--('Данные 1st'!$S$2:$S$317=$A13),--ISNUMBER('Данные 1st'!$LI$2:$LI$317))</f>
        <v>0</v>
      </c>
      <c r="GJ13">
        <f>SUMPRODUCT(--('Данные 1st'!$S$2:$S$317=$A13),--ISNUMBER('Данные 1st'!$LJ$2:$LJ$317))</f>
        <v>0</v>
      </c>
      <c r="GK13">
        <f>SUMPRODUCT(--('Данные 1st'!$S$2:$S$317=$A13),--ISNUMBER('Данные 1st'!$LK$2:$LK$317))</f>
        <v>5</v>
      </c>
      <c r="GL13">
        <f>SUMPRODUCT(--('Данные 1st'!$S$2:$S$317=$A13),--ISNUMBER('Данные 1st'!$LV$2:$LV$317))</f>
        <v>0</v>
      </c>
      <c r="GM13">
        <f>SUMPRODUCT(--('Данные 1st'!$S$2:$S$317=$A13),--ISNUMBER('Данные 1st'!$LW$2:$LW$317))</f>
        <v>0</v>
      </c>
      <c r="GN13">
        <f>SUMPRODUCT(--('Данные 1st'!$S$2:$S$317=$A13),--ISNUMBER('Данные 1st'!$LX$2:$LX$317))</f>
        <v>1</v>
      </c>
      <c r="GO13">
        <f>SUMPRODUCT(--('Данные 1st'!$S$2:$S$317=$A13),--ISNUMBER('Данные 1st'!$LY$2:$LY$317))</f>
        <v>1</v>
      </c>
      <c r="GP13">
        <f>SUMPRODUCT(--('Данные 1st'!$S$2:$S$317=$A13),--ISNUMBER('Данные 1st'!$LZ$2:$LZ$317))</f>
        <v>0</v>
      </c>
      <c r="GQ13">
        <f>SUMPRODUCT(--('Данные 1st'!$S$2:$S$317=$A13),--ISNUMBER('Данные 1st'!$PG$2:$PG$317))</f>
        <v>5</v>
      </c>
      <c r="GR13">
        <f>SUMPRODUCT(--('Данные 1st'!$S$2:$S$317=$A13),--ISNUMBER('Данные 1st'!$PX$2:$PX$317))</f>
        <v>5</v>
      </c>
      <c r="GS13">
        <f>SUMPRODUCT(--('Данные 1st'!$S$2:$S$317=$A13),--ISNUMBER('Данные 1st'!$PY$2:$PY$317))</f>
        <v>5</v>
      </c>
      <c r="GT13">
        <f>SUMPRODUCT(--('Данные 1st'!$S$2:$S$317=$A13),--ISNUMBER('Данные 1st'!$QA$2:$QA$317))</f>
        <v>5</v>
      </c>
      <c r="GU13">
        <f>SUMPRODUCT(--('Данные 1st'!$S$2:$S$317=$A13),--ISNUMBER('Данные 1st'!$QB$2:$QB$317))</f>
        <v>5</v>
      </c>
      <c r="GV13">
        <f>SUMPRODUCT(--('Данные 1st'!$S$2:$S$317=$A13),--ISNUMBER('Данные 1st'!$QC$2:$QC$317))</f>
        <v>5</v>
      </c>
      <c r="GW13">
        <f>SUMPRODUCT(--('Данные 1st'!$S$2:$S$317=$A13),--ISNUMBER('Данные 1st'!$QD$2:$QD$317))</f>
        <v>5</v>
      </c>
      <c r="GX13">
        <f>SUMPRODUCT(--('Данные 1st'!$S$2:$S$317=$A13),--ISNUMBER('Данные 1st'!$QF$2:$QF$317))</f>
        <v>5</v>
      </c>
      <c r="GY13">
        <f>SUMPRODUCT(--('Данные 1st'!$S$2:$S$317=$A13),--ISNUMBER('Данные 1st'!$QG$2:$QG$317))</f>
        <v>5</v>
      </c>
      <c r="GZ13">
        <f>SUMPRODUCT(--('Данные 1st'!$S$2:$S$317=$A13),--ISNUMBER('Данные 1st'!$QH$2:$QH$317))</f>
        <v>5</v>
      </c>
      <c r="HA13">
        <f>SUMPRODUCT(--('Данные 1st'!$S$2:$S$317=$A13),--ISNUMBER('Данные 1st'!$QI$2:$QI$317))</f>
        <v>5</v>
      </c>
      <c r="HB13">
        <f>SUMPRODUCT(--('Данные 1st'!$S$2:$S$317=$A13),--ISNUMBER('Данные 1st'!$QK$2:$QK$317))</f>
        <v>0</v>
      </c>
      <c r="HC13">
        <f>SUMPRODUCT(--('Данные 1st'!$S$2:$S$317=$A13),--ISNUMBER('Данные 1st'!$QL$2:$QL$317))</f>
        <v>5</v>
      </c>
      <c r="HD13">
        <f>SUMPRODUCT(--('Данные 1st'!$S$2:$S$317=$A13),--ISNUMBER('Данные 1st'!$QM$2:$QM$317))</f>
        <v>5</v>
      </c>
      <c r="HE13">
        <f>SUMPRODUCT(--('Данные 1st'!$S$2:$S$317=$A13),--ISNUMBER('Данные 1st'!$QN$2:$QN$317))</f>
        <v>5</v>
      </c>
      <c r="HF13">
        <f>SUMPRODUCT(--('Данные 1st'!$S$2:$S$317=$A13),--ISNUMBER('Данные 1st'!$QP$2:$QP$317))</f>
        <v>5</v>
      </c>
      <c r="HG13">
        <f>SUMPRODUCT(--('Данные 1st'!$S$2:$S$317=$A13),--ISNUMBER('Данные 1st'!$QQ$2:$QQ$317))</f>
        <v>5</v>
      </c>
      <c r="HH13">
        <f>SUMPRODUCT(--('Данные 1st'!$S$2:$S$317=$A13),--ISNUMBER('Данные 1st'!$QR$2:$QR$317))</f>
        <v>0</v>
      </c>
      <c r="HI13">
        <f>SUMPRODUCT(--('Данные 1st'!$S$2:$S$317=$A13),--ISNUMBER('Данные 1st'!$QS$2:$QS$317))</f>
        <v>0</v>
      </c>
      <c r="HJ13">
        <f>SUMPRODUCT(--('Данные 1st'!$S$2:$S$317=$A13),--ISNUMBER('Данные 1st'!$QU$2:$QU$317))</f>
        <v>0</v>
      </c>
      <c r="HK13">
        <f>SUMPRODUCT(--('Данные 1st'!$S$2:$S$317=$A13),--ISNUMBER('Данные 1st'!$QV$2:$QV$317))</f>
        <v>0</v>
      </c>
      <c r="HL13">
        <f>SUMPRODUCT(--('Данные 1st'!$S$2:$S$317=$A13),--ISNUMBER('Данные 1st'!$QW$2:$QW$317))</f>
        <v>5</v>
      </c>
      <c r="HM13">
        <f>SUMPRODUCT(--('Данные 1st'!$S$2:$S$317=$A13),--ISNUMBER('Данные 1st'!$QX$2:$QX$317))</f>
        <v>5</v>
      </c>
      <c r="HN13">
        <f>SUMPRODUCT(--('Данные 1st'!$S$2:$S$317=$A13),--ISNUMBER('Данные 1st'!$QZ$2:$QZ$317))</f>
        <v>5</v>
      </c>
      <c r="HO13">
        <f>SUMPRODUCT(--('Данные 1st'!$S$2:$S$317=$A13),--ISNUMBER('Данные 1st'!$RA$2:$RA$317))</f>
        <v>5</v>
      </c>
      <c r="HP13">
        <f>SUMPRODUCT(--('Данные 1st'!$S$2:$S$317=$A13),--ISNUMBER('Данные 1st'!$RB$2:$RB$317))</f>
        <v>5</v>
      </c>
      <c r="HQ13">
        <f>SUMPRODUCT(--('Данные 1st'!$S$2:$S$317=$A13),--ISNUMBER('Данные 1st'!$RD$2:$RD$317))</f>
        <v>0</v>
      </c>
      <c r="HR13">
        <f>SUMPRODUCT(--('Данные 1st'!$S$2:$S$317=$A13),--ISNUMBER('Данные 1st'!$RE$2:$RE$317))</f>
        <v>5</v>
      </c>
      <c r="HS13">
        <f>SUMPRODUCT(--('Данные 1st'!$S$2:$S$317=$A13),--ISNUMBER('Данные 1st'!$RF$2:$RF$317))</f>
        <v>5</v>
      </c>
      <c r="HT13">
        <f>SUMPRODUCT(--('Данные 1st'!$S$2:$S$317=$A13),--ISNUMBER('Данные 1st'!$RG$2:$RG$317))</f>
        <v>0</v>
      </c>
      <c r="HU13">
        <f>SUMPRODUCT(--('Данные 1st'!$S$2:$S$317=$A13),--ISNUMBER('Данные 1st'!$RH$2:$RH$317))</f>
        <v>0</v>
      </c>
      <c r="HV13">
        <f>SUMPRODUCT(--('Данные 1st'!$S$2:$S$317=$A13),--ISNUMBER('Данные 1st'!$RI$2:$RI$317))</f>
        <v>0</v>
      </c>
      <c r="HW13">
        <f>SUMPRODUCT(--('Данные 1st'!$S$2:$S$317=$A13),--ISNUMBER('Данные 1st'!$RJ$2:$RJ$317))</f>
        <v>5</v>
      </c>
      <c r="HX13">
        <f>SUMPRODUCT(--('Данные 1st'!$S$2:$S$317=$A13),--ISNUMBER('Данные 1st'!$RK$2:$RK$317))</f>
        <v>0</v>
      </c>
      <c r="HY13">
        <f>SUMPRODUCT(--('Данные 1st'!$S$2:$S$317=$A13),--ISNUMBER('Данные 1st'!$RL$2:$RL$317))</f>
        <v>5</v>
      </c>
      <c r="HZ13">
        <f>SUMPRODUCT(--('Данные 1st'!$S$2:$S$317=$A13),--ISNUMBER('Данные 1st'!$RM$2:$RM$317))</f>
        <v>0</v>
      </c>
      <c r="IA13">
        <f>SUMPRODUCT(--('Данные 1st'!$S$2:$S$317=$A13),--ISNUMBER('Данные 1st'!$RN$2:$RN$317))</f>
        <v>0</v>
      </c>
      <c r="IB13">
        <f>SUMPRODUCT(--('Данные 1st'!$S$2:$S$317=$A13),--ISNUMBER('Данные 1st'!$RO$2:$RO$317))</f>
        <v>5</v>
      </c>
      <c r="IC13">
        <f>SUMPRODUCT(--('Данные 1st'!$S$2:$S$317=$A13),--ISNUMBER('Данные 1st'!$RP$2:$RP$317))</f>
        <v>0</v>
      </c>
      <c r="ID13">
        <f>SUMPRODUCT(--('Данные 1st'!$S$2:$S$317=$A13),--ISNUMBER('Данные 1st'!$RQ$2:$RQ$317))</f>
        <v>5</v>
      </c>
      <c r="IE13">
        <f>SUMPRODUCT(--('Данные 1st'!$S$2:$S$317=$A13),--ISNUMBER('Данные 1st'!$RR$2:$RR$317))</f>
        <v>0</v>
      </c>
      <c r="IF13">
        <f>SUMPRODUCT(--('Данные 1st'!$S$2:$S$317=$A13),--ISNUMBER('Данные 1st'!$RS$2:$RS$317))</f>
        <v>0</v>
      </c>
      <c r="IG13">
        <f>SUMPRODUCT(--('Данные 1st'!$S$2:$S$317=$A13),--ISNUMBER('Данные 1st'!$RT$2:$RT$317))</f>
        <v>5</v>
      </c>
      <c r="IH13">
        <f>SUMPRODUCT(--('Данные 1st'!$S$2:$S$317=$A13),--ISNUMBER('Данные 1st'!$RU$2:$RU$317))</f>
        <v>5</v>
      </c>
      <c r="II13">
        <f>SUMPRODUCT(--('Данные 1st'!$S$2:$S$317=$A13),--ISNUMBER('Данные 1st'!$RX$2:$RX$317))</f>
        <v>5</v>
      </c>
      <c r="IJ13">
        <f>SUMPRODUCT(--('Данные 1st'!$S$2:$S$317=$A13),--ISNUMBER('Данные 1st'!$RY$2:$RY$317))</f>
        <v>5</v>
      </c>
      <c r="IK13">
        <f>SUMPRODUCT(--('Данные 1st'!$S$2:$S$317=$A13),--ISNUMBER('Данные 1st'!$SA$2:$SA$317))</f>
        <v>5</v>
      </c>
      <c r="IL13">
        <f>SUMPRODUCT(--('Данные 1st'!$S$2:$S$317=$A13),--ISNUMBER('Данные 1st'!$SD$2:$SD$317))</f>
        <v>5</v>
      </c>
      <c r="IM13">
        <f>SUMPRODUCT(--('Данные 1st'!$S$2:$S$317=$A13),--ISNUMBER('Данные 1st'!$SG$2:$SG$317))</f>
        <v>0</v>
      </c>
      <c r="IN13">
        <f>SUMPRODUCT(--('Данные 1st'!$S$2:$S$317=$A13),--ISNUMBER('Данные 1st'!$SH$2:$SH$317))</f>
        <v>5</v>
      </c>
      <c r="IO13">
        <f>SUMPRODUCT(--('Данные 1st'!$S$2:$S$317=$A13),--ISNUMBER('Данные 1st'!$SI$2:$SI$317))</f>
        <v>5</v>
      </c>
      <c r="IP13">
        <f>SUMPRODUCT(--('Данные 1st'!$S$2:$S$317=$A13),--ISNUMBER('Данные 1st'!$SJ$2:$SJ$317))</f>
        <v>5</v>
      </c>
      <c r="IQ13">
        <f>SUMPRODUCT(--('Данные 1st'!$S$2:$S$317=$A13),--ISNUMBER('Данные 1st'!$SK$2:$SK$317))</f>
        <v>5</v>
      </c>
      <c r="IR13">
        <f>SUMPRODUCT(--('Данные 1st'!$S$2:$S$317=$A13),--ISNUMBER('Данные 1st'!$SL$2:$SL$317))</f>
        <v>5</v>
      </c>
      <c r="IS13">
        <f>SUMPRODUCT(--('Данные 1st'!$S$2:$S$317=$A13),--ISNUMBER('Данные 1st'!$SM$2:$SM$317))</f>
        <v>5</v>
      </c>
      <c r="IT13">
        <f>SUMPRODUCT(--('Данные 1st'!$S$2:$S$317=$A13),--ISNUMBER('Данные 1st'!$SN$2:$SN$317))</f>
        <v>5</v>
      </c>
      <c r="IU13">
        <f>SUMPRODUCT(--('Данные 1st'!$S$2:$S$317=$A13),--ISNUMBER('Данные 1st'!$SO$2:$SO$317))</f>
        <v>5</v>
      </c>
      <c r="IV13">
        <f>SUMPRODUCT(--('Данные 1st'!$S$2:$S$317=$A13),--ISNUMBER('Данные 1st'!$SP$2:$SP$317))</f>
        <v>5</v>
      </c>
      <c r="IW13">
        <f>SUMPRODUCT(--('Данные 1st'!$S$2:$S$317=$A13),--ISNUMBER('Данные 1st'!$SQ$2:$SQ$317))</f>
        <v>5</v>
      </c>
      <c r="IX13">
        <f>SUMPRODUCT(--('Данные 1st'!$S$2:$S$317=$A13),--ISNUMBER('Данные 1st'!$SR$2:$SR$317))</f>
        <v>5</v>
      </c>
      <c r="IY13">
        <f>SUMPRODUCT(--('Данные 1st'!$S$2:$S$317=$A13),--ISNUMBER('Данные 1st'!$SS$2:$SS$317))</f>
        <v>5</v>
      </c>
      <c r="IZ13">
        <f>SUMPRODUCT(--('Данные 1st'!$S$2:$S$317=$A13),--ISNUMBER('Данные 1st'!$ST$2:$ST$317))</f>
        <v>5</v>
      </c>
      <c r="JA13">
        <f>SUMPRODUCT(--('Данные 1st'!$S$2:$S$317=$A13),--ISNUMBER('Данные 1st'!$SU$2:$SU$317))</f>
        <v>5</v>
      </c>
      <c r="JB13">
        <f>SUMPRODUCT(--('Данные 1st'!$S$2:$S$317=$A13),--ISNUMBER('Данные 1st'!$SV$2:$SV$317))</f>
        <v>5</v>
      </c>
      <c r="JC13">
        <f>SUMPRODUCT(--('Данные 1st'!$S$2:$S$317=$A13),--ISNUMBER('Данные 1st'!$SW$2:$SW$317))</f>
        <v>5</v>
      </c>
      <c r="JD13">
        <f>SUMPRODUCT(--('Данные 1st'!$S$2:$S$317=$A13),--ISNUMBER('Данные 1st'!$SX$2:$SX$317))</f>
        <v>5</v>
      </c>
      <c r="JE13">
        <f>SUMPRODUCT(--('Данные 1st'!$S$2:$S$317=$A13),--ISNUMBER('Данные 1st'!$SY$2:$SY$317))</f>
        <v>0</v>
      </c>
      <c r="JF13">
        <f>SUMPRODUCT(--('Данные 1st'!$S$2:$S$317=$A13),--ISNUMBER('Данные 1st'!$SZ$2:$SZ$317))</f>
        <v>0</v>
      </c>
      <c r="JG13">
        <f>SUMPRODUCT(--('Данные 1st'!$S$2:$S$317=$A13),--ISNUMBER('Данные 1st'!$TA$2:$TA$317))</f>
        <v>0</v>
      </c>
      <c r="JH13">
        <f>SUMPRODUCT(--('Данные 1st'!$S$2:$S$317=$A13),--ISNUMBER('Данные 1st'!$TB$2:$TB$317))</f>
        <v>5</v>
      </c>
      <c r="JI13">
        <f>SUMPRODUCT(--('Данные 1st'!$S$2:$S$317=$A13),--ISNUMBER('Данные 1st'!$TC$2:$TC$317))</f>
        <v>5</v>
      </c>
      <c r="JJ13">
        <f>SUMPRODUCT(--('Данные 1st'!$S$2:$S$317=$A13),--ISNUMBER('Данные 1st'!$TD$2:$TD$317))</f>
        <v>5</v>
      </c>
      <c r="JK13">
        <f>SUMPRODUCT(--('Данные 1st'!$S$2:$S$317=$A13),--ISNUMBER('Данные 1st'!$TN$2:$TN$317))</f>
        <v>5</v>
      </c>
      <c r="JQ13">
        <f>SUMPRODUCT(--('Данные 2st'!$Q$2:$Q$317=$A13),--ISNUMBER('Данные 2st'!$AC$2:$AC$317))</f>
        <v>5</v>
      </c>
      <c r="JR13">
        <f>SUMPRODUCT(--('Данные 2st'!$Q$2:$Q$317=$A13),--ISNUMBER('Данные 2st'!$AF$2:$AF$317))</f>
        <v>5</v>
      </c>
      <c r="JS13">
        <f>SUMPRODUCT(--('Данные 2st'!$Q$2:$Q$317=$A13),--ISNUMBER('Данные 2st'!$AW$2:$AW$317))</f>
        <v>5</v>
      </c>
      <c r="JT13">
        <f>SUMPRODUCT(--('Данные 2st'!$Q$2:$Q$317=$A13),--ISNUMBER('Данные 2st'!$AX$2:$AX$317))</f>
        <v>5</v>
      </c>
      <c r="JU13">
        <f>SUMPRODUCT(--('Данные 2st'!$Q$2:$Q$317=$A13),--ISNUMBER('Данные 2st'!$AY$2:$AY$317))</f>
        <v>5</v>
      </c>
      <c r="JV13">
        <f>SUMPRODUCT(--('Данные 2st'!$Q$2:$Q$317=$A13),--ISNUMBER('Данные 2st'!$AZ$2:$AZ$317))</f>
        <v>5</v>
      </c>
      <c r="JW13">
        <f>SUMPRODUCT(--('Данные 2st'!$Q$2:$Q$317=$A13),--ISNUMBER('Данные 2st'!$BA$2:$BA$317))</f>
        <v>0</v>
      </c>
      <c r="JX13">
        <f>SUMPRODUCT(--('Данные 2st'!$Q$2:$Q$317=$A13),--ISNUMBER('Данные 2st'!$BB$2:$BB$317))</f>
        <v>0</v>
      </c>
      <c r="JY13">
        <f>SUMPRODUCT(--('Данные 2st'!$Q$2:$Q$317=$A13),--ISNUMBER('Данные 2st'!$BC$2:$BC$317))</f>
        <v>0</v>
      </c>
      <c r="JZ13">
        <f>SUMPRODUCT(--('Данные 2st'!$Q$2:$Q$317=$A13),--ISNUMBER('Данные 2st'!$BH$2:$BH$317))</f>
        <v>5</v>
      </c>
      <c r="KA13">
        <f>SUMPRODUCT(--('Данные 2st'!$Q$2:$Q$317=$A13),--ISNUMBER('Данные 2st'!$BI$2:$BI$317))</f>
        <v>5</v>
      </c>
      <c r="KB13">
        <f>SUMPRODUCT(--('Данные 2st'!$Q$2:$Q$317=$A13),--ISNUMBER('Данные 2st'!$BJ$2:$BJ$317))</f>
        <v>5</v>
      </c>
      <c r="KC13">
        <f>SUMPRODUCT(--('Данные 2st'!$Q$2:$Q$317=$A13),--ISNUMBER('Данные 2st'!$BK$2:$BK$317))</f>
        <v>5</v>
      </c>
      <c r="KD13">
        <f>SUMPRODUCT(--('Данные 2st'!$Q$2:$Q$317=$A13),--ISNUMBER('Данные 2st'!$BL$2:$BL$317))</f>
        <v>5</v>
      </c>
      <c r="KE13">
        <f>SUMPRODUCT(--('Данные 2st'!$Q$2:$Q$317=$A13),--ISNUMBER('Данные 2st'!$BM$2:$BM$317))</f>
        <v>5</v>
      </c>
      <c r="KF13">
        <f>SUMPRODUCT(--('Данные 2st'!$Q$2:$Q$317=$A13),--ISNUMBER('Данные 2st'!$BN$2:$BN$317))</f>
        <v>5</v>
      </c>
      <c r="KG13">
        <f>SUMPRODUCT(--('Данные 2st'!$Q$2:$Q$317=$A13),--ISNUMBER('Данные 2st'!$BO$2:$BO$317))</f>
        <v>2</v>
      </c>
      <c r="KH13">
        <f>SUMPRODUCT(--('Данные 2st'!$Q$2:$Q$317=$A13),--ISNUMBER('Данные 2st'!$BP$2:$BP$317))</f>
        <v>5</v>
      </c>
      <c r="KI13">
        <f>SUMPRODUCT(--('Данные 2st'!$Q$2:$Q$317=$A13),--ISNUMBER('Данные 2st'!$BR$2:$BR$317))</f>
        <v>5</v>
      </c>
      <c r="KJ13">
        <f>SUMPRODUCT(--('Данные 2st'!$Q$2:$Q$317=$A13),--ISNUMBER('Данные 2st'!$BS$2:$BS$317))</f>
        <v>5</v>
      </c>
      <c r="KK13">
        <f>SUMPRODUCT(--('Данные 2st'!$Q$2:$Q$317=$A13),--ISNUMBER('Данные 2st'!$BT$2:$BT$317))</f>
        <v>5</v>
      </c>
      <c r="KL13">
        <f>SUMPRODUCT(--('Данные 2st'!$Q$2:$Q$317=$A13),--ISNUMBER('Данные 2st'!$CV$2:$CV$317))</f>
        <v>5</v>
      </c>
      <c r="KM13">
        <f>SUMPRODUCT(--('Данные 2st'!$Q$2:$Q$317=$A13),--ISNUMBER('Данные 2st'!$CW$2:$CW$317))</f>
        <v>5</v>
      </c>
      <c r="KN13">
        <f>SUMPRODUCT(--('Данные 2st'!$Q$2:$Q$317=$A13),--ISNUMBER('Данные 2st'!$CX$2:$CX$317))</f>
        <v>5</v>
      </c>
      <c r="KO13">
        <f>SUMPRODUCT(--('Данные 2st'!$Q$2:$Q$317=$A13),--ISNUMBER('Данные 2st'!$CY$2:$CY$317))</f>
        <v>5</v>
      </c>
      <c r="KP13">
        <f>SUMPRODUCT(--('Данные 2st'!$Q$2:$Q$317=$A13),--ISNUMBER('Данные 2st'!$CZ$2:$CZ$317))</f>
        <v>5</v>
      </c>
      <c r="KQ13">
        <f>SUMPRODUCT(--('Данные 2st'!$Q$2:$Q$317=$A13),--ISNUMBER('Данные 2st'!$DA$2:$DA$317))</f>
        <v>5</v>
      </c>
      <c r="KR13">
        <f>SUMPRODUCT(--('Данные 2st'!$Q$2:$Q$317=$A13),--ISNUMBER('Данные 2st'!$DB$2:$DB$317))</f>
        <v>5</v>
      </c>
      <c r="KS13">
        <f>SUMPRODUCT(--('Данные 2st'!$Q$2:$Q$317=$A13),--ISNUMBER('Данные 2st'!$DC$2:$DC$317))</f>
        <v>5</v>
      </c>
      <c r="KT13">
        <f>SUMPRODUCT(--('Данные 2st'!$Q$2:$Q$317=$A13),--ISNUMBER('Данные 2st'!$DD$2:$DD$317))</f>
        <v>5</v>
      </c>
      <c r="KU13">
        <f>SUMPRODUCT(--('Данные 2st'!$Q$2:$Q$317=$A13),--ISNUMBER('Данные 2st'!$DE$2:$DE$317))</f>
        <v>5</v>
      </c>
      <c r="KV13">
        <f>SUMPRODUCT(--('Данные 2st'!$Q$2:$Q$317=$A13),--ISNUMBER('Данные 2st'!$DF$2:$DF$317))</f>
        <v>5</v>
      </c>
      <c r="KW13">
        <f>SUMPRODUCT(--('Данные 2st'!$Q$2:$Q$317=$A13),--ISNUMBER('Данные 2st'!$DG$2:$DG$317))</f>
        <v>5</v>
      </c>
      <c r="KX13">
        <f>SUMPRODUCT(--('Данные 2st'!$Q$2:$Q$317=$A13),--ISNUMBER('Данные 2st'!$DH$2:$DH$317))</f>
        <v>0</v>
      </c>
      <c r="KY13">
        <f>SUMPRODUCT(--('Данные 2st'!$Q$2:$Q$317=$A13),--ISNUMBER('Данные 2st'!$DI$2:$DI$317))</f>
        <v>0</v>
      </c>
      <c r="KZ13">
        <f>SUMPRODUCT(--('Данные 2st'!$Q$2:$Q$317=$A13),--ISNUMBER('Данные 2st'!$DK$2:$DK$317))</f>
        <v>5</v>
      </c>
      <c r="LA13">
        <f>SUMPRODUCT(--('Данные 2st'!$Q$2:$Q$317=$A13),--ISNUMBER('Данные 2st'!$DM$2:$DM$317))</f>
        <v>5</v>
      </c>
      <c r="LB13">
        <f>SUMPRODUCT(--('Данные 2st'!$Q$2:$Q$317=$A13),--ISNUMBER('Данные 2st'!$DN$2:$DN$317))</f>
        <v>5</v>
      </c>
      <c r="LC13">
        <f>SUMPRODUCT(--('Данные 2st'!$Q$2:$Q$317=$A13),--ISNUMBER('Данные 2st'!$DO$2:$DO$317))</f>
        <v>5</v>
      </c>
      <c r="LD13">
        <f>SUMPRODUCT(--('Данные 2st'!$Q$2:$Q$317=$A13),--ISNUMBER('Данные 2st'!$DP$2:$DP$317))</f>
        <v>5</v>
      </c>
      <c r="LE13">
        <f>SUMPRODUCT(--('Данные 2st'!$Q$2:$Q$317=$A13),--ISNUMBER('Данные 2st'!$DQ$2:$DQ$317))</f>
        <v>5</v>
      </c>
      <c r="LF13">
        <f>SUMPRODUCT(--('Данные 2st'!$Q$2:$Q$317=$A13),--ISNUMBER('Данные 2st'!$DS$2:$DS$317))</f>
        <v>5</v>
      </c>
      <c r="LG13">
        <f>SUMPRODUCT(--('Данные 2st'!$Q$2:$Q$317=$A13),--ISNUMBER('Данные 2st'!$DU$2:$DU$317))</f>
        <v>5</v>
      </c>
      <c r="LH13">
        <f>SUMPRODUCT(--('Данные 2st'!$Q$2:$Q$317=$A13),--ISNUMBER('Данные 2st'!$DV$2:$DV$317))</f>
        <v>5</v>
      </c>
      <c r="LI13">
        <f>SUMPRODUCT(--('Данные 2st'!$Q$2:$Q$317=$A13),--ISNUMBER('Данные 2st'!$DW$2:$DW$317))</f>
        <v>5</v>
      </c>
      <c r="LJ13">
        <f>SUMPRODUCT(--('Данные 2st'!$Q$2:$Q$317=$A13),--ISNUMBER('Данные 2st'!$DX$2:$DX$317))</f>
        <v>5</v>
      </c>
      <c r="LK13">
        <f>SUMPRODUCT(--('Данные 2st'!$Q$2:$Q$317=$A13),--ISNUMBER('Данные 2st'!$DY$2:$DY$317))</f>
        <v>5</v>
      </c>
      <c r="LL13">
        <f>SUMPRODUCT(--('Данные 2st'!$Q$2:$Q$317=$A13),--ISNUMBER('Данные 2st'!$EA$2:$EA$317))</f>
        <v>5</v>
      </c>
      <c r="LM13">
        <f>SUMPRODUCT(--('Данные 2st'!$Q$2:$Q$317=$A13),--ISNUMBER('Данные 2st'!$EC$2:$EC$317))</f>
        <v>5</v>
      </c>
      <c r="LN13">
        <f>SUMPRODUCT(--('Данные 2st'!$Q$2:$Q$317=$A13),--ISNUMBER('Данные 2st'!$ED$2:$ED$317))</f>
        <v>5</v>
      </c>
      <c r="LO13">
        <f>SUMPRODUCT(--('Данные 2st'!$Q$2:$Q$317=$A13),--ISNUMBER('Данные 2st'!$EE$2:$EE$317))</f>
        <v>5</v>
      </c>
      <c r="LP13">
        <f>SUMPRODUCT(--('Данные 2st'!$Q$2:$Q$317=$A13),--ISNUMBER('Данные 2st'!$EG$2:$EG$317))</f>
        <v>5</v>
      </c>
      <c r="LQ13">
        <f>SUMPRODUCT(--('Данные 2st'!$Q$2:$Q$317=$A13),--ISNUMBER('Данные 2st'!$EI$2:$EI$317))</f>
        <v>5</v>
      </c>
      <c r="LR13">
        <f>SUMPRODUCT(--('Данные 2st'!$Q$2:$Q$317=$A13),--ISNUMBER('Данные 2st'!$EJ$2:$EJ$317))</f>
        <v>5</v>
      </c>
      <c r="LS13">
        <f>SUMPRODUCT(--('Данные 2st'!$Q$2:$Q$317=$A13),--ISNUMBER('Данные 2st'!$EK$2:$EK$317))</f>
        <v>5</v>
      </c>
      <c r="LT13">
        <f>SUMPRODUCT(--('Данные 2st'!$Q$2:$Q$317=$A13),--ISNUMBER('Данные 2st'!$EM$2:$EM$317))</f>
        <v>5</v>
      </c>
      <c r="LU13">
        <f>SUMPRODUCT(--('Данные 2st'!$Q$2:$Q$317=$A13),--ISNUMBER('Данные 2st'!$EN$2:$EN$317))</f>
        <v>5</v>
      </c>
      <c r="LV13">
        <f>SUMPRODUCT(--('Данные 2st'!$Q$2:$Q$317=$A13),--ISNUMBER('Данные 2st'!$EO$2:$EO$317))</f>
        <v>5</v>
      </c>
      <c r="LW13">
        <f>SUMPRODUCT(--('Данные 2st'!$Q$2:$Q$317=$A13),--ISNUMBER('Данные 2st'!$EP$2:$EP$317))</f>
        <v>5</v>
      </c>
      <c r="LX13">
        <f>SUMPRODUCT(--('Данные 2st'!$Q$2:$Q$317=$A13),--ISNUMBER('Данные 2st'!$EQ$2:$EQ$317))</f>
        <v>5</v>
      </c>
      <c r="LY13">
        <f>SUMPRODUCT(--('Данные 2st'!$Q$2:$Q$317=$A13),--ISNUMBER('Данные 2st'!$ER$2:$ER$317))</f>
        <v>5</v>
      </c>
      <c r="LZ13">
        <f>SUMPRODUCT(--('Данные 2st'!$Q$2:$Q$317=$A13),--ISNUMBER('Данные 2st'!$ES$2:$ES$317))</f>
        <v>5</v>
      </c>
      <c r="MA13">
        <f>SUMPRODUCT(--('Данные 2st'!$Q$2:$Q$317=$A13),--ISNUMBER('Данные 2st'!$ET$2:$ET$317))</f>
        <v>5</v>
      </c>
      <c r="MB13">
        <f>SUMPRODUCT(--('Данные 2st'!$Q$2:$Q$317=$A13),--ISNUMBER('Данные 2st'!$EU$2:$EU$317))</f>
        <v>5</v>
      </c>
      <c r="MC13">
        <f>SUMPRODUCT(--('Данные 2st'!$Q$2:$Q$317=$A13),--ISNUMBER('Данные 2st'!$EV$2:$EV$317))</f>
        <v>5</v>
      </c>
      <c r="MD13">
        <f>SUMPRODUCT(--('Данные 2st'!$Q$2:$Q$317=$A13),--ISNUMBER('Данные 2st'!$EW$2:$EW$317))</f>
        <v>5</v>
      </c>
      <c r="ME13">
        <f>SUMPRODUCT(--('Данные 2st'!$Q$2:$Q$317=$A13),--ISNUMBER('Данные 2st'!$EY$2:$EY$317))</f>
        <v>5</v>
      </c>
      <c r="MF13">
        <f>SUMPRODUCT(--('Данные 2st'!$Q$2:$Q$317=$A13),--ISNUMBER('Данные 2st'!$FA$2:$FA$317))</f>
        <v>5</v>
      </c>
      <c r="MG13">
        <f>SUMPRODUCT(--('Данные 2st'!$Q$2:$Q$317=$A13),--ISNUMBER('Данные 2st'!$FB$2:$FB$317))</f>
        <v>5</v>
      </c>
      <c r="MH13">
        <f>SUMPRODUCT(--('Данные 2st'!$Q$2:$Q$317=$A13),--ISNUMBER('Данные 2st'!$FC$2:$FC$317))</f>
        <v>5</v>
      </c>
      <c r="MI13">
        <f>SUMPRODUCT(--('Данные 2st'!$Q$2:$Q$317=$A13),--ISNUMBER('Данные 2st'!$FD$2:$FD$317))</f>
        <v>5</v>
      </c>
      <c r="MJ13">
        <f>SUMPRODUCT(--('Данные 2st'!$Q$2:$Q$317=$A13),--ISNUMBER('Данные 2st'!$FE$2:$FE$317))</f>
        <v>5</v>
      </c>
      <c r="MK13">
        <f>SUMPRODUCT(--('Данные 2st'!$Q$2:$Q$317=$A13),--ISNUMBER('Данные 2st'!$FG$2:$FG$317))</f>
        <v>5</v>
      </c>
      <c r="ML13">
        <f>SUMPRODUCT(--('Данные 2st'!$Q$2:$Q$317=$A13),--ISNUMBER('Данные 2st'!$FI$2:$FI$317))</f>
        <v>5</v>
      </c>
      <c r="MM13">
        <f>SUMPRODUCT(--('Данные 2st'!$Q$2:$Q$317=$A13),--ISNUMBER('Данные 2st'!$FJ$2:$FJ$317))</f>
        <v>5</v>
      </c>
      <c r="MN13">
        <f>SUMPRODUCT(--('Данные 2st'!$Q$2:$Q$317=$A13),--ISNUMBER('Данные 2st'!$FK$2:$FK$317))</f>
        <v>5</v>
      </c>
      <c r="MO13">
        <f>SUMPRODUCT(--('Данные 2st'!$Q$2:$Q$317=$A13),--ISNUMBER('Данные 2st'!$FP$2:$FP$317))</f>
        <v>5</v>
      </c>
      <c r="MP13">
        <f>SUMPRODUCT(--('Данные 2st'!$Q$2:$Q$317=$A13),--ISNUMBER('Данные 2st'!$FQ$2:$FQ$317))</f>
        <v>5</v>
      </c>
      <c r="MQ13">
        <f>SUMPRODUCT(--('Данные 2st'!$Q$2:$Q$317=$A13),--ISNUMBER('Данные 2st'!$FS$2:$FS$317))</f>
        <v>5</v>
      </c>
      <c r="MR13">
        <f>SUMPRODUCT(--('Данные 2st'!$Q$2:$Q$317=$A13),--ISNUMBER('Данные 2st'!$FU$2:$FU$317))</f>
        <v>5</v>
      </c>
      <c r="MS13">
        <f>SUMPRODUCT(--('Данные 2st'!$Q$2:$Q$317=$A13),--ISNUMBER('Данные 2st'!$FV$2:$FV$317))</f>
        <v>5</v>
      </c>
      <c r="MT13">
        <f>SUMPRODUCT(--('Данные 2st'!$Q$2:$Q$317=$A13),--ISNUMBER('Данные 2st'!$FW$2:$FW$317))</f>
        <v>5</v>
      </c>
      <c r="MU13">
        <f>SUMPRODUCT(--('Данные 2st'!$Q$2:$Q$317=$A13),--ISNUMBER('Данные 2st'!$FY$2:$FY$317))</f>
        <v>4</v>
      </c>
      <c r="MV13">
        <f>SUMPRODUCT(--('Данные 2st'!$Q$2:$Q$317=$A13),--ISNUMBER('Данные 2st'!$GB$2:$GB$317))</f>
        <v>4</v>
      </c>
      <c r="MW13">
        <f>SUMPRODUCT(--('Данные 2st'!$Q$2:$Q$317=$A13),--ISNUMBER('Данные 2st'!$GC$2:$GC$317))</f>
        <v>4</v>
      </c>
      <c r="MX13">
        <f>SUMPRODUCT(--('Данные 2st'!$Q$2:$Q$317=$A13),--ISNUMBER('Данные 2st'!$GD$2:$GD$317))</f>
        <v>5</v>
      </c>
      <c r="MY13">
        <f>SUMPRODUCT(--('Данные 2st'!$Q$2:$Q$317=$A13),--ISNUMBER('Данные 2st'!$GN$2:$GN$317))</f>
        <v>0</v>
      </c>
      <c r="MZ13">
        <f>SUMPRODUCT(--('Данные 2st'!$Q$2:$Q$317=$A13),--ISNUMBER('Данные 2st'!$GQ$2:$GQ$317))</f>
        <v>5</v>
      </c>
      <c r="NA13">
        <f>SUMPRODUCT(--('Данные 2st'!$Q$2:$Q$317=$A13),--ISNUMBER('Данные 2st'!$GV$2:$GV$317))</f>
        <v>5</v>
      </c>
      <c r="NB13">
        <f>SUMPRODUCT(--('Данные 2st'!$Q$2:$Q$317=$A13),--ISNUMBER('Данные 2st'!$GW$2:$GW$317))</f>
        <v>5</v>
      </c>
      <c r="NC13">
        <f>SUMPRODUCT(--('Данные 2st'!$Q$2:$Q$317=$A13),--ISNUMBER('Данные 2st'!$GX$2:$GX$317))</f>
        <v>5</v>
      </c>
      <c r="ND13">
        <f>SUMPRODUCT(--('Данные 2st'!$Q$2:$Q$317=$A13),--ISNUMBER('Данные 2st'!$GY$2:$GY$317))</f>
        <v>5</v>
      </c>
      <c r="NE13">
        <f>SUMPRODUCT(--('Данные 2st'!$Q$2:$Q$317=$A13),--ISNUMBER('Данные 2st'!$GZ$2:$GZ$317))</f>
        <v>5</v>
      </c>
      <c r="NF13">
        <f>SUMPRODUCT(--('Данные 2st'!$Q$2:$Q$317=$A13),--ISNUMBER('Данные 2st'!$HA$2:$HA$317))</f>
        <v>5</v>
      </c>
      <c r="NG13">
        <f>SUMPRODUCT(--('Данные 2st'!$Q$2:$Q$317=$A13),--ISNUMBER('Данные 2st'!$HB$2:$HB$317))</f>
        <v>5</v>
      </c>
      <c r="NH13">
        <f>SUMPRODUCT(--('Данные 2st'!$Q$2:$Q$317=$A13),--ISNUMBER('Данные 2st'!$HC$2:$HC$317))</f>
        <v>5</v>
      </c>
      <c r="NI13">
        <f>SUMPRODUCT(--('Данные 2st'!$Q$2:$Q$317=$A13),--ISNUMBER('Данные 2st'!$HD$2:$HD$317))</f>
        <v>5</v>
      </c>
      <c r="NJ13">
        <f>SUMPRODUCT(--('Данные 2st'!$Q$2:$Q$317=$A13),--ISNUMBER('Данные 2st'!$HM$2:$HM$317))</f>
        <v>5</v>
      </c>
      <c r="NK13">
        <f>SUMPRODUCT(--('Данные 2st'!$Q$2:$Q$317=$A13),--ISNUMBER('Данные 2st'!$HR$2:$HR$317))</f>
        <v>5</v>
      </c>
      <c r="NL13">
        <f>SUMPRODUCT(--('Данные 2st'!$Q$2:$Q$317=$A13),--ISNUMBER('Данные 2st'!$HS$2:$HS$317))</f>
        <v>5</v>
      </c>
      <c r="NM13">
        <f>SUMPRODUCT(--('Данные 2st'!$Q$2:$Q$317=$A13),--ISNUMBER('Данные 2st'!$HT$2:$HT$317))</f>
        <v>5</v>
      </c>
      <c r="NN13">
        <f>SUMPRODUCT(--('Данные 2st'!$Q$2:$Q$317=$A13),--ISNUMBER('Данные 2st'!$HY$2:$HY$317))</f>
        <v>5</v>
      </c>
      <c r="NO13">
        <f>SUMPRODUCT(--('Данные 2st'!$Q$2:$Q$317=$A13),--ISNUMBER('Данные 2st'!$HZ$2:$HZ$317))</f>
        <v>5</v>
      </c>
      <c r="NP13">
        <f>SUMPRODUCT(--('Данные 2st'!$Q$2:$Q$317=$A13),--ISNUMBER('Данные 2st'!$IA$2:$IA$317))</f>
        <v>5</v>
      </c>
      <c r="NQ13">
        <f>SUMPRODUCT(--('Данные 2st'!$Q$2:$Q$317=$A13),--ISNUMBER('Данные 2st'!$IB$2:$IB$317))</f>
        <v>5</v>
      </c>
      <c r="NR13">
        <f>SUMPRODUCT(--('Данные 2st'!$Q$2:$Q$317=$A13),--ISNUMBER('Данные 2st'!$IC$2:$IC$317))</f>
        <v>0</v>
      </c>
      <c r="NS13">
        <f>SUMPRODUCT(--('Данные 2st'!$Q$2:$Q$317=$A13),--ISNUMBER('Данные 2st'!$ID$2:$ID$317))</f>
        <v>5</v>
      </c>
      <c r="NT13">
        <f>SUMPRODUCT(--('Данные 2st'!$Q$2:$Q$317=$A13),--ISNUMBER('Данные 2st'!$IE$2:$IE$317))</f>
        <v>5</v>
      </c>
      <c r="NU13">
        <f>SUMPRODUCT(--('Данные 2st'!$Q$2:$Q$317=$A13),--ISNUMBER('Данные 2st'!$IF$2:$IF$317))</f>
        <v>5</v>
      </c>
      <c r="NV13">
        <f>SUMPRODUCT(--('Данные 2st'!$Q$2:$Q$317=$A13),--ISNUMBER('Данные 2st'!$IG$2:$IG$317))</f>
        <v>5</v>
      </c>
      <c r="NW13">
        <f>SUMPRODUCT(--('Данные 2st'!$Q$2:$Q$317=$A13),--ISNUMBER('Данные 2st'!$IH$2:$IH$317))</f>
        <v>5</v>
      </c>
      <c r="NX13">
        <f>SUMPRODUCT(--('Данные 2st'!$Q$2:$Q$317=$A13),--ISNUMBER('Данные 2st'!$IJ$2:$IJ$317))</f>
        <v>5</v>
      </c>
      <c r="NY13">
        <f>SUMPRODUCT(--('Данные 2st'!$Q$2:$Q$317=$A13),--ISNUMBER('Данные 2st'!$IM$2:$IM$317))</f>
        <v>5</v>
      </c>
      <c r="NZ13">
        <f>SUMPRODUCT(--('Данные 2st'!$Q$2:$Q$317=$A13),--ISNUMBER('Данные 2st'!$IN$2:$IN$317))</f>
        <v>5</v>
      </c>
      <c r="OA13">
        <f>SUMPRODUCT(--('Данные 2st'!$Q$2:$Q$317=$A13),--ISNUMBER('Данные 2st'!$IO$2:$IO$317))</f>
        <v>5</v>
      </c>
      <c r="OB13">
        <f>SUMPRODUCT(--('Данные 2st'!$Q$2:$Q$317=$A13),--ISNUMBER('Данные 2st'!$IP$2:$IP$317))</f>
        <v>5</v>
      </c>
      <c r="OC13">
        <f>SUMPRODUCT(--('Данные 2st'!$Q$2:$Q$317=$A13),--ISNUMBER('Данные 2st'!$IQ$2:$IQ$317))</f>
        <v>5</v>
      </c>
      <c r="OD13">
        <f>SUMPRODUCT(--('Данные 2st'!$Q$2:$Q$317=$A13),--ISNUMBER('Данные 2st'!$IR$2:$IR$317))</f>
        <v>5</v>
      </c>
      <c r="OE13">
        <f>SUMPRODUCT(--('Данные 2st'!$Q$2:$Q$317=$A13),--ISNUMBER('Данные 2st'!$IT$2:$IT$317))</f>
        <v>5</v>
      </c>
      <c r="OF13">
        <f>SUMPRODUCT(--('Данные 2st'!$Q$2:$Q$317=$A13),--ISNUMBER('Данные 2st'!$IU$2:$IU$317))</f>
        <v>5</v>
      </c>
      <c r="OG13">
        <f>SUMPRODUCT(--('Данные 2st'!$Q$2:$Q$317=$A13),--ISNUMBER('Данные 2st'!$IV$2:$IV$317))</f>
        <v>5</v>
      </c>
      <c r="OH13">
        <f>SUMPRODUCT(--('Данные 2st'!$Q$2:$Q$317=$A13),--ISNUMBER('Данные 2st'!$IW$2:$IW$317))</f>
        <v>5</v>
      </c>
      <c r="OI13">
        <f>SUMPRODUCT(--('Данные 2st'!$Q$2:$Q$317=$A13),--ISNUMBER('Данные 2st'!$IX$2:$IX$317))</f>
        <v>5</v>
      </c>
      <c r="OJ13">
        <f>SUMPRODUCT(--('Данные 2st'!$Q$2:$Q$317=$A13),--ISNUMBER('Данные 2st'!$IY$2:$IY$317))</f>
        <v>5</v>
      </c>
      <c r="OK13">
        <f>SUMPRODUCT(--('Данные 2st'!$Q$2:$Q$317=$A13),--ISNUMBER('Данные 2st'!$IZ$2:$IZ$317))</f>
        <v>5</v>
      </c>
      <c r="OL13">
        <f>SUMPRODUCT(--('Данные 2st'!$Q$2:$Q$317=$A13),--ISNUMBER('Данные 2st'!$JA$2:$JA$317))</f>
        <v>5</v>
      </c>
      <c r="OM13">
        <f>SUMPRODUCT(--('Данные 2st'!$Q$2:$Q$317=$A13),--ISNUMBER('Данные 2st'!$JB$2:$JB$317))</f>
        <v>5</v>
      </c>
      <c r="ON13">
        <f>SUMPRODUCT(--('Данные 2st'!$Q$2:$Q$317=$A13),--ISNUMBER('Данные 2st'!$JC$2:$JC$317))</f>
        <v>5</v>
      </c>
      <c r="OO13">
        <f>SUMPRODUCT(--('Данные 2st'!$Q$2:$Q$317=$A13),--ISNUMBER('Данные 2st'!$JD$2:$JD$317))</f>
        <v>5</v>
      </c>
      <c r="OP13">
        <f>SUMPRODUCT(--('Данные 2st'!$Q$2:$Q$317=$A13),--ISNUMBER('Данные 2st'!$JE$2:$JE$317))</f>
        <v>5</v>
      </c>
      <c r="OQ13">
        <f>SUMPRODUCT(--('Данные 2st'!$Q$2:$Q$317=$A13),--ISNUMBER('Данные 2st'!$JF$2:$JF$317))</f>
        <v>5</v>
      </c>
      <c r="OR13">
        <f>SUMPRODUCT(--('Данные 2st'!$Q$2:$Q$317=$A13),--ISNUMBER('Данные 2st'!$JG$2:$JG$317))</f>
        <v>5</v>
      </c>
      <c r="OS13">
        <f>SUMPRODUCT(--('Данные 2st'!$Q$2:$Q$317=$A13),--ISNUMBER('Данные 2st'!$JH$2:$JH$317))</f>
        <v>5</v>
      </c>
      <c r="OT13">
        <f>SUMPRODUCT(--('Данные 2st'!$Q$2:$Q$317=$A13),--ISNUMBER('Данные 2st'!$JI$2:$JI$317))</f>
        <v>5</v>
      </c>
      <c r="OU13">
        <f>SUMPRODUCT(--('Данные 2st'!$Q$2:$Q$317=$A13),--ISNUMBER('Данные 2st'!$JJ$2:$JJ$317))</f>
        <v>5</v>
      </c>
      <c r="OV13">
        <f>SUMPRODUCT(--('Данные 2st'!$Q$2:$Q$317=$A13),--ISNUMBER('Данные 2st'!$JK$2:$JK$317))</f>
        <v>5</v>
      </c>
      <c r="OW13">
        <f>SUMPRODUCT(--('Данные 2st'!$Q$2:$Q$317=$A13),--ISNUMBER('Данные 2st'!$JL$2:$JL$317))</f>
        <v>5</v>
      </c>
      <c r="OX13">
        <f>SUMPRODUCT(--('Данные 2st'!$Q$2:$Q$317=$A13),--ISNUMBER('Данные 2st'!$JM$2:$JM$317))</f>
        <v>5</v>
      </c>
      <c r="OY13">
        <f>SUMPRODUCT(--('Данные 2st'!$Q$2:$Q$317=$A13),--ISNUMBER('Данные 2st'!$JP$2:$JP$317))</f>
        <v>5</v>
      </c>
      <c r="OZ13">
        <f>SUMPRODUCT(--('Данные 2st'!$Q$2:$Q$317=$A13),--ISNUMBER('Данные 2st'!$JQ$2:$JQ$317))</f>
        <v>5</v>
      </c>
      <c r="PA13">
        <f>SUMPRODUCT(--('Данные 2st'!$Q$2:$Q$317=$A13),--ISNUMBER('Данные 2st'!$JR$2:$JR$317))</f>
        <v>5</v>
      </c>
      <c r="PB13">
        <f>SUMPRODUCT(--('Данные 2st'!$Q$2:$Q$317=$A13),--ISNUMBER('Данные 2st'!$JS$2:$JS$317))</f>
        <v>5</v>
      </c>
      <c r="PC13">
        <f>SUMPRODUCT(--('Данные 2st'!$Q$2:$Q$317=$A13),--ISNUMBER('Данные 2st'!$JT$2:$JT$317))</f>
        <v>5</v>
      </c>
      <c r="PD13">
        <f>SUMPRODUCT(--('Данные 2st'!$Q$2:$Q$317=$A13),--ISNUMBER('Данные 2st'!$JU$2:$JU$317))</f>
        <v>5</v>
      </c>
      <c r="PE13">
        <f>SUMPRODUCT(--('Данные 2st'!$Q$2:$Q$317=$A13),--ISNUMBER('Данные 2st'!$JV$2:$JV$317))</f>
        <v>5</v>
      </c>
      <c r="PF13">
        <f>SUMPRODUCT(--('Данные 2st'!$Q$2:$Q$317=$A13),--ISNUMBER('Данные 2st'!$JW$2:$JW$317))</f>
        <v>5</v>
      </c>
      <c r="PG13">
        <f>SUMPRODUCT(--('Данные 2st'!$Q$2:$Q$317=$A13),--ISNUMBER('Данные 2st'!$KF$2:$KF$317))</f>
        <v>5</v>
      </c>
      <c r="PH13">
        <f>SUMPRODUCT(--('Данные 2st'!$Q$2:$Q$317=$A13),--ISNUMBER('Данные 2st'!$KG$2:$KG$317))</f>
        <v>5</v>
      </c>
      <c r="PI13">
        <f>SUMPRODUCT(--('Данные 2st'!$Q$2:$Q$317=$A13),--ISNUMBER('Данные 2st'!$KM$2:$KM$317))</f>
        <v>5</v>
      </c>
      <c r="PJ13">
        <f>SUMPRODUCT(--('Данные 2st'!$Q$2:$Q$317=$A13),--ISNUMBER('Данные 2st'!$KN$2:$KN$317))</f>
        <v>5</v>
      </c>
      <c r="PK13">
        <f>SUMPRODUCT(--('Данные 2st'!$Q$2:$Q$317=$A13),--ISNUMBER('Данные 2st'!$KO$2:$KO$317))</f>
        <v>5</v>
      </c>
      <c r="PL13">
        <f>SUMPRODUCT(--('Данные 2st'!$Q$2:$Q$317=$A13),--ISNUMBER('Данные 2st'!$KP$2:$KP$317))</f>
        <v>5</v>
      </c>
      <c r="PM13">
        <f>SUMPRODUCT(--('Данные 2st'!$Q$2:$Q$317=$A13),--ISNUMBER('Данные 2st'!$KQ$2:$KQ$317))</f>
        <v>5</v>
      </c>
      <c r="PN13">
        <f>SUMPRODUCT(--('Данные 2st'!$Q$2:$Q$317=$A13),--ISNUMBER('Данные 2st'!$KR$2:$KR$317))</f>
        <v>5</v>
      </c>
      <c r="PO13">
        <f>SUMPRODUCT(--('Данные 2st'!$Q$2:$Q$317=$A13),--ISNUMBER('Данные 2st'!$KS$2:$KS$317))</f>
        <v>5</v>
      </c>
      <c r="PP13">
        <f>SUMPRODUCT(--('Данные 2st'!$Q$2:$Q$317=$A13),--ISNUMBER('Данные 2st'!$KT$2:$KT$317))</f>
        <v>5</v>
      </c>
      <c r="PQ13">
        <f>SUMPRODUCT(--('Данные 2st'!$Q$2:$Q$317=$A13),--ISNUMBER('Данные 2st'!$KU$2:$KU$317))</f>
        <v>5</v>
      </c>
      <c r="PR13">
        <f>SUMPRODUCT(--('Данные 2st'!$Q$2:$Q$317=$A13),--ISNUMBER('Данные 2st'!$KV$2:$KV$317))</f>
        <v>5</v>
      </c>
      <c r="PS13">
        <f>SUMPRODUCT(--('Данные 2st'!$Q$2:$Q$317=$A13),--ISNUMBER('Данные 2st'!$KW$2:$KW$317))</f>
        <v>5</v>
      </c>
      <c r="PT13">
        <f>SUMPRODUCT(--('Данные 2st'!$Q$2:$Q$317=$A13),--ISNUMBER('Данные 2st'!$KX$2:$KX$317))</f>
        <v>5</v>
      </c>
      <c r="PU13">
        <f>SUMPRODUCT(--('Данные 2st'!$Q$2:$Q$317=$A13),--ISNUMBER('Данные 2st'!$KY$2:$KY$317))</f>
        <v>5</v>
      </c>
      <c r="PV13">
        <f>SUMPRODUCT(--('Данные 2st'!$Q$2:$Q$317=$A13),--ISNUMBER('Данные 2st'!$KZ$2:$KZ$317))</f>
        <v>5</v>
      </c>
      <c r="PW13">
        <f>SUMPRODUCT(--('Данные 2st'!$Q$2:$Q$317=$A13),--ISNUMBER('Данные 2st'!$LA$2:$LA$317))</f>
        <v>5</v>
      </c>
      <c r="PX13">
        <f>SUMPRODUCT(--('Данные 2st'!$Q$2:$Q$317=$A13),--ISNUMBER('Данные 2st'!$LB$2:$LB$317))</f>
        <v>5</v>
      </c>
      <c r="PY13">
        <f>SUMPRODUCT(--('Данные 2st'!$Q$2:$Q$317=$A13),--ISNUMBER('Данные 2st'!$LC$2:$LC$317))</f>
        <v>5</v>
      </c>
      <c r="PZ13">
        <f>SUMPRODUCT(--('Данные 2st'!$Q$2:$Q$317=$A13),--ISNUMBER('Данные 2st'!$LD$2:$LD$317))</f>
        <v>5</v>
      </c>
      <c r="QA13">
        <f>SUMPRODUCT(--('Данные 2st'!$Q$2:$Q$317=$A13),--ISNUMBER('Данные 2st'!$LE$2:$LE$317))</f>
        <v>5</v>
      </c>
      <c r="QB13">
        <f>SUMPRODUCT(--('Данные 2st'!$Q$2:$Q$317=$A13),--ISNUMBER('Данные 2st'!$LF$2:$LF$317))</f>
        <v>5</v>
      </c>
      <c r="QC13">
        <f>SUMPRODUCT(--('Данные 2st'!$Q$2:$Q$317=$A13),--ISNUMBER('Данные 2st'!$LG$2:$LG$317))</f>
        <v>5</v>
      </c>
      <c r="QD13">
        <f>SUMPRODUCT(--('Данные 2st'!$Q$2:$Q$317=$A13),--ISNUMBER('Данные 2st'!$LH$2:$LH$317))</f>
        <v>5</v>
      </c>
      <c r="QE13">
        <f>SUMPRODUCT(--('Данные 2st'!$Q$2:$Q$317=$A13),--ISNUMBER('Данные 2st'!$LJ$2:$LJ$317))</f>
        <v>5</v>
      </c>
      <c r="QF13">
        <f>SUMPRODUCT(--('Данные 2st'!$Q$2:$Q$317=$A13),--ISNUMBER('Данные 2st'!$LK$2:$LK$317))</f>
        <v>5</v>
      </c>
      <c r="QG13">
        <f>SUMPRODUCT(--('Данные 2st'!$Q$2:$Q$317=$A13),--ISNUMBER('Данные 2st'!$LL$2:$LL$317))</f>
        <v>5</v>
      </c>
      <c r="QH13">
        <f>SUMPRODUCT(--('Данные 2st'!$Q$2:$Q$317=$A13),--ISNUMBER('Данные 2st'!$LM$2:$LM$317))</f>
        <v>5</v>
      </c>
      <c r="QI13">
        <f>SUMPRODUCT(--('Данные 2st'!$Q$2:$Q$317=$A13),--ISNUMBER('Данные 2st'!$LN$2:$LN$317))</f>
        <v>5</v>
      </c>
      <c r="QJ13">
        <f>SUMPRODUCT(--('Данные 2st'!$Q$2:$Q$317=$A13),--ISNUMBER('Данные 2st'!$LO$2:$LO$317))</f>
        <v>5</v>
      </c>
      <c r="QK13">
        <f>SUMPRODUCT(--('Данные 2st'!$Q$2:$Q$317=$A13),--ISNUMBER('Данные 2st'!$LP$2:$LP$317))</f>
        <v>5</v>
      </c>
      <c r="QL13">
        <f>SUMPRODUCT(--('Данные 2st'!$Q$2:$Q$317=$A13),--ISNUMBER('Данные 2st'!$LQ$2:$LQ$317))</f>
        <v>5</v>
      </c>
      <c r="QM13">
        <f>SUMPRODUCT(--('Данные 2st'!$Q$2:$Q$317=$A13),--ISNUMBER('Данные 2st'!$LW$2:$LW$317))</f>
        <v>5</v>
      </c>
      <c r="QN13">
        <f>SUMPRODUCT(--('Данные 2st'!$Q$2:$Q$317=$A13),--ISNUMBER('Данные 2st'!$LX$2:$LX$317))</f>
        <v>5</v>
      </c>
      <c r="QO13">
        <f>SUMPRODUCT(--('Данные 2st'!$Q$2:$Q$317=$A13),--ISNUMBER('Данные 2st'!$LY$2:$LY$317))</f>
        <v>5</v>
      </c>
      <c r="QP13">
        <f>SUMPRODUCT(--('Данные 2st'!$Q$2:$Q$317=$A13),--ISNUMBER('Данные 2st'!$LZ$2:$LZ$317))</f>
        <v>5</v>
      </c>
      <c r="QQ13">
        <f>SUMPRODUCT(--('Данные 2st'!$Q$2:$Q$317=$A13),--ISNUMBER('Данные 2st'!$MB$2:$MB$317))</f>
        <v>5</v>
      </c>
      <c r="QR13">
        <f>SUMPRODUCT(--('Данные 2st'!$Q$2:$Q$317=$A13),--ISNUMBER('Данные 2st'!$MG$2:$MG$317))</f>
        <v>0</v>
      </c>
      <c r="QS13">
        <f>SUMPRODUCT(--('Данные 2st'!$Q$2:$Q$317=$A13),--ISNUMBER('Данные 2st'!$MH$2:$MH$317))</f>
        <v>0</v>
      </c>
      <c r="QT13">
        <f>SUMPRODUCT(--('Данные 2st'!$Q$2:$Q$317=$A13),--ISNUMBER('Данные 2st'!$MI$2:$MI$317))</f>
        <v>5</v>
      </c>
      <c r="QU13">
        <f>SUMPRODUCT(--('Данные 2st'!$Q$2:$Q$317=$A13),--ISNUMBER('Данные 2st'!$MJ$2:$MJ$317))</f>
        <v>5</v>
      </c>
      <c r="QV13">
        <f>SUMPRODUCT(--('Данные 2st'!$Q$2:$Q$317=$A13),--ISNUMBER('Данные 2st'!$MK$2:$MK$317))</f>
        <v>0</v>
      </c>
      <c r="QW13">
        <f>SUMPRODUCT(--('Данные 2st'!$Q$2:$Q$317=$A13),--ISNUMBER('Данные 2st'!$MM$2:$MM$317))</f>
        <v>5</v>
      </c>
      <c r="QX13">
        <f>SUMPRODUCT(--('Данные 2st'!$Q$2:$Q$317=$A13),--ISNUMBER('Данные 2st'!$MQ$2:$MQ$317))</f>
        <v>0</v>
      </c>
      <c r="QY13">
        <f>SUMPRODUCT(--('Данные 2st'!$Q$2:$Q$317=$A13),--ISNUMBER('Данные 2st'!$MR$2:$MR$317))</f>
        <v>0</v>
      </c>
      <c r="QZ13">
        <f>SUMPRODUCT(--('Данные 2st'!$Q$2:$Q$317=$A13),--ISNUMBER('Данные 2st'!$MS$2:$MS$317))</f>
        <v>0</v>
      </c>
      <c r="RA13">
        <f>SUMPRODUCT(--('Данные 2st'!$Q$2:$Q$317=$A13),--ISNUMBER('Данные 2st'!$MT$2:$MT$317))</f>
        <v>0</v>
      </c>
      <c r="RB13">
        <f>SUMPRODUCT(--('Данные 2st'!$Q$2:$Q$317=$A13),--ISNUMBER('Данные 2st'!$MU$2:$MU$317))</f>
        <v>0</v>
      </c>
      <c r="RC13">
        <f>SUMPRODUCT(--('Данные 2st'!$Q$2:$Q$317=$A13),--ISNUMBER('Данные 2st'!$MV$2:$MV$317))</f>
        <v>0</v>
      </c>
      <c r="RD13">
        <f>SUMPRODUCT(--('Данные 2st'!$Q$2:$Q$317=$A13),--ISNUMBER('Данные 2st'!$MW$2:$MW$317))</f>
        <v>0</v>
      </c>
      <c r="RE13">
        <f>SUMPRODUCT(--('Данные 2st'!$Q$2:$Q$317=$A13),--ISNUMBER('Данные 2st'!$MX$2:$MX$317))</f>
        <v>0</v>
      </c>
      <c r="RF13">
        <f>SUMPRODUCT(--('Данные 2st'!$Q$2:$Q$317=$A13),--ISNUMBER('Данные 2st'!$MY$2:$MY$317))</f>
        <v>0</v>
      </c>
      <c r="RG13">
        <f>SUMPRODUCT(--('Данные 2st'!$Q$2:$Q$317=$A13),--ISNUMBER('Данные 2st'!$MZ$2:$MZ$317))</f>
        <v>0</v>
      </c>
      <c r="RH13">
        <f>SUMPRODUCT(--('Данные 2st'!$Q$2:$Q$317=$A13),--ISNUMBER('Данные 2st'!$NA$2:$NA$317))</f>
        <v>0</v>
      </c>
      <c r="RI13">
        <f>SUMPRODUCT(--('Данные 2st'!$Q$2:$Q$317=$A13),--ISNUMBER('Данные 2st'!$NB$2:$NB$317))</f>
        <v>0</v>
      </c>
      <c r="RJ13">
        <f>SUMPRODUCT(--('Данные 2st'!$Q$2:$Q$317=$A13),--ISNUMBER('Данные 2st'!$NC$2:$NC$317))</f>
        <v>0</v>
      </c>
      <c r="RK13">
        <f>SUMPRODUCT(--('Данные 2st'!$Q$2:$Q$317=$A13),--ISNUMBER('Данные 2st'!$ND$2:$ND$317))</f>
        <v>0</v>
      </c>
      <c r="RL13">
        <f>SUMPRODUCT(--('Данные 2st'!$Q$2:$Q$317=$A13),--ISNUMBER('Данные 2st'!$NE$2:$NE$317))</f>
        <v>0</v>
      </c>
      <c r="RM13">
        <f>SUMPRODUCT(--('Данные 2st'!$Q$2:$Q$317=$A13),--ISNUMBER('Данные 2st'!$NF$2:$NF$317))</f>
        <v>0</v>
      </c>
      <c r="RN13">
        <f>SUMPRODUCT(--('Данные 2st'!$Q$2:$Q$317=$A13),--ISNUMBER('Данные 2st'!$NG$2:$NG$317))</f>
        <v>0</v>
      </c>
      <c r="RO13">
        <f>SUMPRODUCT(--('Данные 2st'!$Q$2:$Q$317=$A13),--ISNUMBER('Данные 2st'!$NH$2:$NH$317))</f>
        <v>0</v>
      </c>
      <c r="RP13">
        <f>SUMPRODUCT(--('Данные 2st'!$Q$2:$Q$317=$A13),--ISNUMBER('Данные 2st'!$NJ$2:$NJ$317))</f>
        <v>0</v>
      </c>
      <c r="RQ13">
        <f>SUMPRODUCT(--('Данные 2st'!$Q$2:$Q$317=$A13),--ISNUMBER('Данные 2st'!$NK$2:$NK$317))</f>
        <v>0</v>
      </c>
      <c r="RR13">
        <f>SUMPRODUCT(--('Данные 2st'!$Q$2:$Q$317=$A13),--ISNUMBER('Данные 2st'!$NM$2:$NM$317))</f>
        <v>0</v>
      </c>
      <c r="RS13">
        <f>SUMPRODUCT(--('Данные 2st'!$Q$2:$Q$317=$A13),--ISNUMBER('Данные 2st'!$NN$2:$NN$317))</f>
        <v>0</v>
      </c>
      <c r="RT13">
        <f>SUMPRODUCT(--('Данные 2st'!$Q$2:$Q$317=$A13),--ISNUMBER('Данные 2st'!$NO$2:$NO$317))</f>
        <v>0</v>
      </c>
      <c r="RU13">
        <f>SUMPRODUCT(--('Данные 2st'!$Q$2:$Q$317=$A13),--ISNUMBER('Данные 2st'!$NP$2:$NP$317))</f>
        <v>0</v>
      </c>
      <c r="RV13">
        <f>SUMPRODUCT(--('Данные 2st'!$Q$2:$Q$317=$A13),--ISNUMBER('Данные 2st'!$NQ$2:$NQ$317))</f>
        <v>0</v>
      </c>
      <c r="RW13">
        <f>SUMPRODUCT(--('Данные 2st'!$Q$2:$Q$317=$A13),--ISNUMBER('Данные 2st'!$NR$2:$NR$317))</f>
        <v>0</v>
      </c>
      <c r="RX13">
        <f>SUMPRODUCT(--('Данные 2st'!$Q$2:$Q$317=$A13),--ISNUMBER('Данные 2st'!$NS$2:$NS$317))</f>
        <v>0</v>
      </c>
      <c r="RY13">
        <f>SUMPRODUCT(--('Данные 2st'!$Q$2:$Q$317=$A13),--ISNUMBER('Данные 2st'!$NT$2:$NT$317))</f>
        <v>0</v>
      </c>
      <c r="RZ13">
        <f>SUMPRODUCT(--('Данные 2st'!$Q$2:$Q$317=$A13),--ISNUMBER('Данные 2st'!$OK$2:$OK$317))</f>
        <v>5</v>
      </c>
      <c r="SA13">
        <f>SUMPRODUCT(--('Данные 2st'!$Q$2:$Q$317=$A13),--ISNUMBER('Данные 2st'!$OL$2:$OL$317))</f>
        <v>5</v>
      </c>
      <c r="SB13">
        <f>SUMPRODUCT(--('Данные 2st'!$Q$2:$Q$317=$A13),--ISNUMBER('Данные 2st'!$ON$2:$ON$317))</f>
        <v>5</v>
      </c>
      <c r="SC13">
        <f>SUMPRODUCT(--('Данные 2st'!$Q$2:$Q$317=$A13),--ISNUMBER('Данные 2st'!$OO$2:$OO$317))</f>
        <v>5</v>
      </c>
      <c r="SD13">
        <f>SUMPRODUCT(--('Данные 2st'!$Q$2:$Q$317=$A13),--ISNUMBER('Данные 2st'!$OP$2:$OP$317))</f>
        <v>5</v>
      </c>
      <c r="SE13">
        <f>SUMPRODUCT(--('Данные 2st'!$Q$2:$Q$317=$A13),--ISNUMBER('Данные 2st'!$OQ$2:$OQ$317))</f>
        <v>5</v>
      </c>
      <c r="SF13">
        <f>SUMPRODUCT(--('Данные 2st'!$Q$2:$Q$317=$A13),--ISNUMBER('Данные 2st'!$OS$2:$OS$317))</f>
        <v>5</v>
      </c>
      <c r="SG13">
        <f>SUMPRODUCT(--('Данные 2st'!$Q$2:$Q$317=$A13),--ISNUMBER('Данные 2st'!$OT$2:$OT$317))</f>
        <v>5</v>
      </c>
      <c r="SH13">
        <f>SUMPRODUCT(--('Данные 2st'!$Q$2:$Q$317=$A13),--ISNUMBER('Данные 2st'!$OU$2:$OU$317))</f>
        <v>5</v>
      </c>
      <c r="SI13">
        <f>SUMPRODUCT(--('Данные 2st'!$Q$2:$Q$317=$A13),--ISNUMBER('Данные 2st'!$OV$2:$OV$317))</f>
        <v>5</v>
      </c>
      <c r="SJ13">
        <f>SUMPRODUCT(--('Данные 2st'!$Q$2:$Q$317=$A13),--ISNUMBER('Данные 2st'!$OX$2:$OX$317))</f>
        <v>5</v>
      </c>
      <c r="SK13">
        <f>SUMPRODUCT(--('Данные 2st'!$Q$2:$Q$317=$A13),--ISNUMBER('Данные 2st'!$OY$2:$OY$317))</f>
        <v>5</v>
      </c>
      <c r="SL13">
        <f>SUMPRODUCT(--('Данные 2st'!$Q$2:$Q$317=$A13),--ISNUMBER('Данные 2st'!$OZ$2:$OZ$317))</f>
        <v>5</v>
      </c>
      <c r="SM13">
        <f>SUMPRODUCT(--('Данные 2st'!$Q$2:$Q$317=$A13),--ISNUMBER('Данные 2st'!$PA$2:$PA$317))</f>
        <v>5</v>
      </c>
      <c r="SN13">
        <f>SUMPRODUCT(--('Данные 2st'!$Q$2:$Q$317=$A13),--ISNUMBER('Данные 2st'!$PC$2:$PC$317))</f>
        <v>5</v>
      </c>
      <c r="SO13">
        <f>SUMPRODUCT(--('Данные 2st'!$Q$2:$Q$317=$A13),--ISNUMBER('Данные 2st'!$PD$2:$PD$317))</f>
        <v>5</v>
      </c>
      <c r="SP13">
        <f>SUMPRODUCT(--('Данные 2st'!$Q$2:$Q$317=$A13),--ISNUMBER('Данные 2st'!$PF$2:$PF$317))</f>
        <v>5</v>
      </c>
      <c r="SQ13">
        <f>SUMPRODUCT(--('Данные 2st'!$Q$2:$Q$317=$A13),--ISNUMBER('Данные 2st'!$PG$2:$PG$317))</f>
        <v>5</v>
      </c>
      <c r="SR13">
        <f>SUMPRODUCT(--('Данные 2st'!$Q$2:$Q$317=$A13),--ISNUMBER('Данные 2st'!$PH$2:$PH$317))</f>
        <v>5</v>
      </c>
      <c r="SS13">
        <f>SUMPRODUCT(--('Данные 2st'!$Q$2:$Q$317=$A13),--ISNUMBER('Данные 2st'!$PI$2:$PI$317))</f>
        <v>5</v>
      </c>
      <c r="ST13">
        <f>SUMPRODUCT(--('Данные 2st'!$Q$2:$Q$317=$A13),--ISNUMBER('Данные 2st'!$PJ$2:$PJ$317))</f>
        <v>5</v>
      </c>
      <c r="SU13">
        <f>SUMPRODUCT(--('Данные 2st'!$Q$2:$Q$317=$A13),--ISNUMBER('Данные 2st'!$PK$2:$PK$317))</f>
        <v>4</v>
      </c>
      <c r="SV13">
        <f>SUMPRODUCT(--('Данные 2st'!$Q$2:$Q$317=$A13),--ISNUMBER('Данные 2st'!$PL$2:$PL$317))</f>
        <v>5</v>
      </c>
      <c r="SW13">
        <f>SUMPRODUCT(--('Данные 2st'!$Q$2:$Q$317=$A13),--ISNUMBER('Данные 2st'!$PM$2:$PM$317))</f>
        <v>5</v>
      </c>
      <c r="SX13">
        <f>SUMPRODUCT(--('Данные 2st'!$Q$2:$Q$317=$A13),--ISNUMBER('Данные 2st'!$PN$2:$PN$317))</f>
        <v>5</v>
      </c>
      <c r="SY13">
        <f>SUMPRODUCT(--('Данные 2st'!$Q$2:$Q$317=$A13),--ISNUMBER('Данные 2st'!$PO$2:$PO$317))</f>
        <v>4</v>
      </c>
      <c r="SZ13">
        <f>SUMPRODUCT(--('Данные 2st'!$Q$2:$Q$317=$A13),--ISNUMBER('Данные 2st'!$PP$2:$PP$317))</f>
        <v>5</v>
      </c>
      <c r="TA13">
        <f>SUMPRODUCT(--('Данные 2st'!$Q$2:$Q$317=$A13),--ISNUMBER('Данные 2st'!$PQ$2:$PQ$317))</f>
        <v>5</v>
      </c>
      <c r="TB13">
        <f>SUMPRODUCT(--('Данные 2st'!$Q$2:$Q$317=$A13),--ISNUMBER('Данные 2st'!$PR$2:$PR$317))</f>
        <v>5</v>
      </c>
      <c r="TC13">
        <f>SUMPRODUCT(--('Данные 2st'!$Q$2:$Q$317=$A13),--ISNUMBER('Данные 2st'!$PS$2:$PS$317))</f>
        <v>5</v>
      </c>
      <c r="TD13">
        <f>SUMPRODUCT(--('Данные 2st'!$Q$2:$Q$317=$A13),--ISNUMBER('Данные 2st'!$PT$2:$PT$317))</f>
        <v>5</v>
      </c>
      <c r="TE13">
        <f>SUMPRODUCT(--('Данные 2st'!$Q$2:$Q$317=$A13),--ISNUMBER('Данные 2st'!$PU$2:$PU$317))</f>
        <v>5</v>
      </c>
      <c r="TF13">
        <f>SUMPRODUCT(--('Данные 2st'!$Q$2:$Q$317=$A13),--ISNUMBER('Данные 2st'!$PX$2:$PX$317))</f>
        <v>5</v>
      </c>
      <c r="TG13">
        <f>SUMPRODUCT(--('Данные 2st'!$Q$2:$Q$317=$A13),--ISNUMBER('Данные 2st'!$PY$2:$PY$317))</f>
        <v>5</v>
      </c>
      <c r="TH13">
        <f>SUMPRODUCT(--('Данные 2st'!$Q$2:$Q$317=$A13),--ISNUMBER('Данные 2st'!$PZ$2:$PZ$317))</f>
        <v>5</v>
      </c>
      <c r="TI13">
        <f>SUMPRODUCT(--('Данные 2st'!$Q$2:$Q$317=$A13),--ISNUMBER('Данные 2st'!$QA$2:$QA$317))</f>
        <v>5</v>
      </c>
      <c r="TJ13">
        <f>SUMPRODUCT(--('Данные 2st'!$Q$2:$Q$317=$A13),--ISNUMBER('Данные 2st'!$QB$2:$QB$317))</f>
        <v>5</v>
      </c>
      <c r="TK13">
        <f>SUMPRODUCT(--('Данные 2st'!$Q$2:$Q$317=$A13),--ISNUMBER('Данные 2st'!$QC$2:$QC$317))</f>
        <v>5</v>
      </c>
      <c r="TL13">
        <f>SUMPRODUCT(--('Данные 2st'!$Q$2:$Q$317=$A13),--ISNUMBER('Данные 2st'!$QD$2:$QD$317))</f>
        <v>5</v>
      </c>
      <c r="TM13">
        <f>SUMPRODUCT(--('Данные 2st'!$Q$2:$Q$317=$A13),--ISNUMBER('Данные 2st'!$QE$2:$QE$317))</f>
        <v>5</v>
      </c>
      <c r="TN13">
        <f>SUMPRODUCT(--('Данные 2st'!$Q$2:$Q$317=$A13),--ISNUMBER('Данные 2st'!$QF$2:$QF$317))</f>
        <v>5</v>
      </c>
      <c r="TO13">
        <f>SUMPRODUCT(--('Данные 2st'!$Q$2:$Q$317=$A13),--ISNUMBER('Данные 2st'!$QG$2:$QG$317))</f>
        <v>5</v>
      </c>
      <c r="TP13">
        <f>SUMPRODUCT(--('Данные 2st'!$Q$2:$Q$317=$A13),--ISNUMBER('Данные 2st'!$QH$2:$QH$317))</f>
        <v>5</v>
      </c>
      <c r="TQ13">
        <f>SUMPRODUCT(--('Данные 2st'!$Q$2:$Q$317=$A13),--ISNUMBER('Данные 2st'!$QI$2:$QI$317))</f>
        <v>5</v>
      </c>
      <c r="TR13">
        <f>SUMPRODUCT(--('Данные 2st'!$Q$2:$Q$317=$A13),--ISNUMBER('Данные 2st'!$QJ$2:$QJ$317))</f>
        <v>5</v>
      </c>
      <c r="TS13">
        <f>SUMPRODUCT(--('Данные 2st'!$Q$2:$Q$317=$A13),--ISNUMBER('Данные 2st'!$QK$2:$QK$317))</f>
        <v>5</v>
      </c>
      <c r="TT13">
        <f>SUMPRODUCT(--('Данные 2st'!$Q$2:$Q$317=$A13),--ISNUMBER('Данные 2st'!$QL$2:$QL$317))</f>
        <v>5</v>
      </c>
      <c r="TU13">
        <f>SUMPRODUCT(--('Данные 2st'!$Q$2:$Q$317=$A13),--ISNUMBER('Данные 2st'!$QM$2:$QM$317))</f>
        <v>5</v>
      </c>
      <c r="TV13">
        <f>SUMPRODUCT(--('Данные 2st'!$Q$2:$Q$317=$A13),--ISNUMBER('Данные 2st'!$QN$2:$QN$317))</f>
        <v>5</v>
      </c>
      <c r="TW13">
        <f>SUMPRODUCT(--('Данные 2st'!$Q$2:$Q$317=$A13),--ISNUMBER('Данные 2st'!$QQ$2:$QQ$317))</f>
        <v>5</v>
      </c>
      <c r="TX13">
        <f>SUMPRODUCT(--('Данные 2st'!$Q$2:$Q$317=$A13),--ISNUMBER('Данные 2st'!$QS$2:$QS$317))</f>
        <v>5</v>
      </c>
      <c r="TY13">
        <f>SUMPRODUCT(--('Данные 2st'!$Q$2:$Q$317=$A13),--ISNUMBER('Данные 2st'!$QT$2:$QT$317))</f>
        <v>5</v>
      </c>
    </row>
    <row r="14" spans="1:545" ht="32" customHeight="1">
      <c r="A14" s="11" t="str">
        <f>'По размерам'!A14</f>
        <v>205/50R17</v>
      </c>
      <c r="G14">
        <f>SUMPRODUCT(--('Данные 1st'!$S$2:$S$317=$A14),--ISNUMBER('Данные 1st'!$AE$2:$AE$317))</f>
        <v>6</v>
      </c>
      <c r="H14">
        <f>SUMPRODUCT(--('Данные 1st'!$S$2:$S$317=$A14),--ISNUMBER('Данные 1st'!$AF$2:$AF$317))</f>
        <v>6</v>
      </c>
      <c r="I14">
        <f>SUMPRODUCT(--('Данные 1st'!$S$2:$S$317=$A14),--ISNUMBER('Данные 1st'!$AJ$2:$AJ$317))</f>
        <v>6</v>
      </c>
      <c r="J14">
        <f>SUMPRODUCT(--('Данные 1st'!$S$2:$S$317=$A14),--ISNUMBER('Данные 1st'!$AL$2:$AL$317))</f>
        <v>6</v>
      </c>
      <c r="K14">
        <f>SUMPRODUCT(--('Данные 1st'!$S$2:$S$317=$A14),--ISNUMBER('Данные 1st'!$AR$2:$AR$317))</f>
        <v>6</v>
      </c>
      <c r="L14">
        <f>SUMPRODUCT(--('Данные 1st'!$S$2:$S$317=$A14),--ISNUMBER('Данные 1st'!$AS$2:$AS$317))</f>
        <v>6</v>
      </c>
      <c r="M14">
        <f>SUMPRODUCT(--('Данные 1st'!$S$2:$S$317=$A14),--ISNUMBER('Данные 1st'!$AY$2:$AY$317))</f>
        <v>6</v>
      </c>
      <c r="N14">
        <f>SUMPRODUCT(--('Данные 1st'!$S$2:$S$317=$A14),--ISNUMBER('Данные 1st'!$AZ$2:$AZ$317))</f>
        <v>6</v>
      </c>
      <c r="O14">
        <f>SUMPRODUCT(--('Данные 1st'!$S$2:$S$317=$A14),--ISNUMBER('Данные 1st'!$BF$2:$BF$317))</f>
        <v>0</v>
      </c>
      <c r="P14">
        <f>SUMPRODUCT(--('Данные 1st'!$S$2:$S$317=$A14),--ISNUMBER('Данные 1st'!$BG$2:$BG$317))</f>
        <v>6</v>
      </c>
      <c r="Q14">
        <f>SUMPRODUCT(--('Данные 1st'!$S$2:$S$317=$A14),--ISNUMBER('Данные 1st'!$BM$2:$BM$317))</f>
        <v>0</v>
      </c>
      <c r="R14">
        <f>SUMPRODUCT(--('Данные 1st'!$S$2:$S$317=$A14),--ISNUMBER('Данные 1st'!$BN$2:$BN$317))</f>
        <v>6</v>
      </c>
      <c r="S14">
        <f>SUMPRODUCT(--('Данные 1st'!$S$2:$S$317=$A14),--ISNUMBER('Данные 1st'!$BT$2:$BT$317))</f>
        <v>6</v>
      </c>
      <c r="T14">
        <f>SUMPRODUCT(--('Данные 1st'!$S$2:$S$317=$A14),--ISNUMBER('Данные 1st'!$BU$2:$BU$317))</f>
        <v>6</v>
      </c>
      <c r="U14">
        <f>SUMPRODUCT(--('Данные 1st'!$S$2:$S$317=$A14),--ISNUMBER('Данные 1st'!$BW$2:$BW$317))</f>
        <v>6</v>
      </c>
      <c r="V14">
        <f>SUMPRODUCT(--('Данные 1st'!$S$2:$S$317=$A14),--ISNUMBER('Данные 1st'!$BX$2:$BX$317))</f>
        <v>6</v>
      </c>
      <c r="W14">
        <f>SUMPRODUCT(--('Данные 1st'!$S$2:$S$317=$A14),--ISNUMBER('Данные 1st'!$BZ$2:$BZ$317))</f>
        <v>6</v>
      </c>
      <c r="X14">
        <f>SUMPRODUCT(--('Данные 1st'!$S$2:$S$317=$A14),--ISNUMBER('Данные 1st'!$CA$2:$CA$317))</f>
        <v>6</v>
      </c>
      <c r="Y14">
        <f>SUMPRODUCT(--('Данные 1st'!$S$2:$S$317=$A14),--ISNUMBER('Данные 1st'!$CD$2:$CD$317))</f>
        <v>6</v>
      </c>
      <c r="Z14">
        <f>SUMPRODUCT(--('Данные 1st'!$S$2:$S$317=$A14),--ISNUMBER('Данные 1st'!$CF$2:$CF$317))</f>
        <v>6</v>
      </c>
      <c r="AA14">
        <f>SUMPRODUCT(--('Данные 1st'!$S$2:$S$317=$A14),--ISNUMBER('Данные 1st'!$CI$2:$CI$317))</f>
        <v>6</v>
      </c>
      <c r="AB14">
        <f>SUMPRODUCT(--('Данные 1st'!$S$2:$S$317=$A14),--ISNUMBER('Данные 1st'!$CJ$2:$CJ$317))</f>
        <v>6</v>
      </c>
      <c r="AC14">
        <f>SUMPRODUCT(--('Данные 1st'!$S$2:$S$317=$A14),--ISNUMBER('Данные 1st'!$CK$2:$CK$317))</f>
        <v>6</v>
      </c>
      <c r="AD14">
        <f>SUMPRODUCT(--('Данные 1st'!$S$2:$S$317=$A14),--ISNUMBER('Данные 1st'!$CL$2:$CL$317))</f>
        <v>6</v>
      </c>
      <c r="AE14">
        <f>SUMPRODUCT(--('Данные 1st'!$S$2:$S$317=$A14),--ISNUMBER('Данные 1st'!$CM$2:$CM$317))</f>
        <v>6</v>
      </c>
      <c r="AF14">
        <f>SUMPRODUCT(--('Данные 1st'!$S$2:$S$317=$A14),--ISNUMBER('Данные 1st'!$CT$2:$CT$317))</f>
        <v>6</v>
      </c>
      <c r="AG14">
        <f>SUMPRODUCT(--('Данные 1st'!$S$2:$S$317=$A14),--ISNUMBER('Данные 1st'!$CU$2:$CU$317))</f>
        <v>6</v>
      </c>
      <c r="AH14">
        <f>SUMPRODUCT(--('Данные 1st'!$S$2:$S$317=$A14),--ISNUMBER('Данные 1st'!$CV$2:$CV$317))</f>
        <v>6</v>
      </c>
      <c r="AI14">
        <f>SUMPRODUCT(--('Данные 1st'!$S$2:$S$317=$A14),--ISNUMBER('Данные 1st'!$CW$2:$CW$317))</f>
        <v>6</v>
      </c>
      <c r="AJ14">
        <f>SUMPRODUCT(--('Данные 1st'!$S$2:$S$317=$A14),--ISNUMBER('Данные 1st'!$CX$2:$CX$317))</f>
        <v>6</v>
      </c>
      <c r="AK14">
        <f>SUMPRODUCT(--('Данные 1st'!$S$2:$S$317=$A14),--ISNUMBER('Данные 1st'!$CZ$2:$CZ$317))</f>
        <v>1</v>
      </c>
      <c r="AL14">
        <f>SUMPRODUCT(--('Данные 1st'!$S$2:$S$317=$A14),--ISNUMBER('Данные 1st'!$DA$2:$DA$317))</f>
        <v>1</v>
      </c>
      <c r="AM14">
        <f>SUMPRODUCT(--('Данные 1st'!$S$2:$S$317=$A14),--ISNUMBER('Данные 1st'!$DB$2:$DB$317))</f>
        <v>1</v>
      </c>
      <c r="AN14">
        <f>SUMPRODUCT(--('Данные 1st'!$S$2:$S$317=$A14),--ISNUMBER('Данные 1st'!$DC$2:$DC$317))</f>
        <v>1</v>
      </c>
      <c r="AO14">
        <f>SUMPRODUCT(--('Данные 1st'!$S$2:$S$317=$A14),--ISNUMBER('Данные 1st'!$DD$2:$DD$317))</f>
        <v>6</v>
      </c>
      <c r="AP14">
        <f>SUMPRODUCT(--('Данные 1st'!$S$2:$S$317=$A14),--ISNUMBER('Данные 1st'!$DF$2:$DF$317))</f>
        <v>6</v>
      </c>
      <c r="AQ14">
        <f>SUMPRODUCT(--('Данные 1st'!$S$2:$S$317=$A14),--ISNUMBER('Данные 1st'!$DG$2:$DG$317))</f>
        <v>6</v>
      </c>
      <c r="AR14">
        <f>SUMPRODUCT(--('Данные 1st'!$S$2:$S$317=$A14),--ISNUMBER('Данные 1st'!$DH$2:$DH$317))</f>
        <v>6</v>
      </c>
      <c r="AS14">
        <f>SUMPRODUCT(--('Данные 1st'!$S$2:$S$317=$A14),--ISNUMBER('Данные 1st'!$DI$2:$DI$317))</f>
        <v>6</v>
      </c>
      <c r="AT14">
        <f>SUMPRODUCT(--('Данные 1st'!$S$2:$S$317=$A14),--ISNUMBER('Данные 1st'!$DJ$2:$DJ$317))</f>
        <v>6</v>
      </c>
      <c r="AU14">
        <f>SUMPRODUCT(--('Данные 1st'!$S$2:$S$317=$A14),--ISNUMBER('Данные 1st'!$DL$2:$DL$317))</f>
        <v>0</v>
      </c>
      <c r="AV14">
        <f>SUMPRODUCT(--('Данные 1st'!$S$2:$S$317=$A14),--ISNUMBER('Данные 1st'!$DM$2:$DM$317))</f>
        <v>0</v>
      </c>
      <c r="AW14">
        <f>SUMPRODUCT(--('Данные 1st'!$S$2:$S$317=$A14),--ISNUMBER('Данные 1st'!$DN$2:$DN$317))</f>
        <v>0</v>
      </c>
      <c r="AX14">
        <f>SUMPRODUCT(--('Данные 1st'!$S$2:$S$317=$A14),--ISNUMBER('Данные 1st'!$DO$2:$DO$317))</f>
        <v>0</v>
      </c>
      <c r="AY14">
        <f>SUMPRODUCT(--('Данные 1st'!$S$2:$S$317=$A14),--ISNUMBER('Данные 1st'!$DP$2:$DP$317))</f>
        <v>0</v>
      </c>
      <c r="AZ14">
        <f>SUMPRODUCT(--('Данные 1st'!$S$2:$S$317=$A14),--ISNUMBER('Данные 1st'!$DR$2:$DR$317))</f>
        <v>0</v>
      </c>
      <c r="BA14">
        <f>SUMPRODUCT(--('Данные 1st'!$S$2:$S$317=$A14),--ISNUMBER('Данные 1st'!$DS$2:$DS$317))</f>
        <v>0</v>
      </c>
      <c r="BB14">
        <f>SUMPRODUCT(--('Данные 1st'!$S$2:$S$317=$A14),--ISNUMBER('Данные 1st'!$DT$2:$DT$317))</f>
        <v>0</v>
      </c>
      <c r="BC14">
        <f>SUMPRODUCT(--('Данные 1st'!$S$2:$S$317=$A14),--ISNUMBER('Данные 1st'!$DU$2:$DU$317))</f>
        <v>0</v>
      </c>
      <c r="BD14">
        <f>SUMPRODUCT(--('Данные 1st'!$S$2:$S$317=$A14),--ISNUMBER('Данные 1st'!$DV$2:$DV$317))</f>
        <v>0</v>
      </c>
      <c r="BE14">
        <f>SUMPRODUCT(--('Данные 1st'!$S$2:$S$317=$A14),--ISNUMBER('Данные 1st'!$DX$2:$DX$317))</f>
        <v>6</v>
      </c>
      <c r="BF14">
        <f>SUMPRODUCT(--('Данные 1st'!$S$2:$S$317=$A14),--ISNUMBER('Данные 1st'!$EA$2:$EA$317))</f>
        <v>6</v>
      </c>
      <c r="BG14">
        <f>SUMPRODUCT(--('Данные 1st'!$S$2:$S$317=$A14),--ISNUMBER('Данные 1st'!$EB$2:$EB$317))</f>
        <v>6</v>
      </c>
      <c r="BH14">
        <f>SUMPRODUCT(--('Данные 1st'!$S$2:$S$317=$A14),--ISNUMBER('Данные 1st'!$ED$2:$ED$317))</f>
        <v>6</v>
      </c>
      <c r="BI14">
        <f>SUMPRODUCT(--('Данные 1st'!$S$2:$S$317=$A14),--ISNUMBER('Данные 1st'!$EE$2:$EE$317))</f>
        <v>6</v>
      </c>
      <c r="BJ14">
        <f>SUMPRODUCT(--('Данные 1st'!$S$2:$S$317=$A14),--ISNUMBER('Данные 1st'!$EG$2:$EG$317))</f>
        <v>6</v>
      </c>
      <c r="BK14">
        <f>SUMPRODUCT(--('Данные 1st'!$S$2:$S$317=$A14),--ISNUMBER('Данные 1st'!$EH$2:$EH$317))</f>
        <v>6</v>
      </c>
      <c r="BL14">
        <f>SUMPRODUCT(--('Данные 1st'!$S$2:$S$317=$A14),--ISNUMBER('Данные 1st'!$EJ$2:$EJ$317))</f>
        <v>6</v>
      </c>
      <c r="BM14">
        <f>SUMPRODUCT(--('Данные 1st'!$S$2:$S$317=$A14),--ISNUMBER('Данные 1st'!$EK$2:$EK$317))</f>
        <v>6</v>
      </c>
      <c r="BN14">
        <f>SUMPRODUCT(--('Данные 1st'!$S$2:$S$317=$A14),--ISNUMBER('Данные 1st'!$EN$2:$EN$317))</f>
        <v>6</v>
      </c>
      <c r="BO14">
        <f>SUMPRODUCT(--('Данные 1st'!$S$2:$S$317=$A14),--ISNUMBER('Данные 1st'!$EQ$2:$EQ$317))</f>
        <v>6</v>
      </c>
      <c r="BP14">
        <f>SUMPRODUCT(--('Данные 1st'!$S$2:$S$317=$A14),--ISNUMBER('Данные 1st'!$ER$2:$ER$317))</f>
        <v>6</v>
      </c>
      <c r="BQ14">
        <f>SUMPRODUCT(--('Данные 1st'!$S$2:$S$317=$A14),--ISNUMBER('Данные 1st'!$ES$2:$ES$317))</f>
        <v>6</v>
      </c>
      <c r="BR14">
        <f>SUMPRODUCT(--('Данные 1st'!$S$2:$S$317=$A14),--ISNUMBER('Данные 1st'!$ET$2:$ET$317))</f>
        <v>6</v>
      </c>
      <c r="BS14">
        <f>SUMPRODUCT(--('Данные 1st'!$S$2:$S$317=$A14),--ISNUMBER('Данные 1st'!$EU$2:$EU$317))</f>
        <v>6</v>
      </c>
      <c r="BT14">
        <f>SUMPRODUCT(--('Данные 1st'!$S$2:$S$317=$A14),--ISNUMBER('Данные 1st'!$EV$2:$EV$317))</f>
        <v>6</v>
      </c>
      <c r="BU14">
        <f>SUMPRODUCT(--('Данные 1st'!$S$2:$S$317=$A14),--ISNUMBER('Данные 1st'!$EX$2:$EX$317))</f>
        <v>6</v>
      </c>
      <c r="BV14">
        <f>SUMPRODUCT(--('Данные 1st'!$S$2:$S$317=$A14),--ISNUMBER('Данные 1st'!$EY$2:$EY$317))</f>
        <v>6</v>
      </c>
      <c r="BW14">
        <f>SUMPRODUCT(--('Данные 1st'!$S$2:$S$317=$A14),--ISNUMBER('Данные 1st'!$EZ$2:$EZ$317))</f>
        <v>6</v>
      </c>
      <c r="BX14">
        <f>SUMPRODUCT(--('Данные 1st'!$S$2:$S$317=$A14),--ISNUMBER('Данные 1st'!$FA$2:$FA$317))</f>
        <v>6</v>
      </c>
      <c r="BY14">
        <f>SUMPRODUCT(--('Данные 1st'!$S$2:$S$317=$A14),--ISNUMBER('Данные 1st'!$FB$2:$FB$317))</f>
        <v>6</v>
      </c>
      <c r="BZ14">
        <f>SUMPRODUCT(--('Данные 1st'!$S$2:$S$317=$A14),--ISNUMBER('Данные 1st'!$FC$2:$FC$317))</f>
        <v>6</v>
      </c>
      <c r="CA14">
        <f>SUMPRODUCT(--('Данные 1st'!$S$2:$S$317=$A14),--ISNUMBER('Данные 1st'!$FE$2:$FE$317))</f>
        <v>6</v>
      </c>
      <c r="CB14">
        <f>SUMPRODUCT(--('Данные 1st'!$S$2:$S$317=$A14),--ISNUMBER('Данные 1st'!$FF$2:$FF$317))</f>
        <v>6</v>
      </c>
      <c r="CC14">
        <f>SUMPRODUCT(--('Данные 1st'!$S$2:$S$317=$A14),--ISNUMBER('Данные 1st'!$FI$2:$FI$317))</f>
        <v>6</v>
      </c>
      <c r="CD14">
        <f>SUMPRODUCT(--('Данные 1st'!$S$2:$S$317=$A14),--ISNUMBER('Данные 1st'!$FL$2:$FL$317))</f>
        <v>6</v>
      </c>
      <c r="CE14">
        <f>SUMPRODUCT(--('Данные 1st'!$S$2:$S$317=$A14),--ISNUMBER('Данные 1st'!$FM$2:$FM$317))</f>
        <v>6</v>
      </c>
      <c r="CF14">
        <f>SUMPRODUCT(--('Данные 1st'!$S$2:$S$317=$A14),--ISNUMBER('Данные 1st'!$FN$2:$FN$317))</f>
        <v>6</v>
      </c>
      <c r="CG14">
        <f>SUMPRODUCT(--('Данные 1st'!$S$2:$S$317=$A14),--ISNUMBER('Данные 1st'!$FO$2:$FO$317))</f>
        <v>1</v>
      </c>
      <c r="CH14">
        <f>SUMPRODUCT(--('Данные 1st'!$S$2:$S$317=$A14),--ISNUMBER('Данные 1st'!$FP$2:$FP$317))</f>
        <v>1</v>
      </c>
      <c r="CI14">
        <f>SUMPRODUCT(--('Данные 1st'!$S$2:$S$317=$A14),--ISNUMBER('Данные 1st'!$FS$2:$FS$317))</f>
        <v>6</v>
      </c>
      <c r="CJ14">
        <f>SUMPRODUCT(--('Данные 1st'!$S$2:$S$317=$A14),--ISNUMBER('Данные 1st'!$FT$2:$FT$317))</f>
        <v>6</v>
      </c>
      <c r="CK14">
        <f>SUMPRODUCT(--('Данные 1st'!$S$2:$S$317=$A14),--ISNUMBER('Данные 1st'!$FU$2:$FU$317))</f>
        <v>6</v>
      </c>
      <c r="CL14">
        <f>SUMPRODUCT(--('Данные 1st'!$S$2:$S$317=$A14),--ISNUMBER('Данные 1st'!$FV$2:$FV$317))</f>
        <v>2</v>
      </c>
      <c r="CM14">
        <f>SUMPRODUCT(--('Данные 1st'!$S$2:$S$317=$A14),--ISNUMBER('Данные 1st'!$FW$2:$FW$317))</f>
        <v>2</v>
      </c>
      <c r="CN14">
        <f>SUMPRODUCT(--('Данные 1st'!$S$2:$S$317=$A14),--ISNUMBER('Данные 1st'!$FZ$2:$FZ$317))</f>
        <v>5</v>
      </c>
      <c r="CO14">
        <f>SUMPRODUCT(--('Данные 1st'!$S$2:$S$317=$A14),--ISNUMBER('Данные 1st'!$GA$2:$GA$317))</f>
        <v>5</v>
      </c>
      <c r="CP14">
        <f>SUMPRODUCT(--('Данные 1st'!$S$2:$S$317=$A14),--ISNUMBER('Данные 1st'!$GB$2:$GB$317))</f>
        <v>5</v>
      </c>
      <c r="CQ14">
        <f>SUMPRODUCT(--('Данные 1st'!$S$2:$S$317=$A14),--ISNUMBER('Данные 1st'!$GH$2:$GH$317))</f>
        <v>5</v>
      </c>
      <c r="CR14">
        <f>SUMPRODUCT(--('Данные 1st'!$S$2:$S$317=$A14),--ISNUMBER('Данные 1st'!$GI$2:$GI$317))</f>
        <v>5</v>
      </c>
      <c r="CS14">
        <f>SUMPRODUCT(--('Данные 1st'!$S$2:$S$317=$A14),--ISNUMBER('Данные 1st'!$GJ$2:$GJ$317))</f>
        <v>5</v>
      </c>
      <c r="CT14">
        <f>SUMPRODUCT(--('Данные 1st'!$S$2:$S$317=$A14),--ISNUMBER('Данные 1st'!$GS$2:$GS$317))</f>
        <v>0</v>
      </c>
      <c r="CU14">
        <f>SUMPRODUCT(--('Данные 1st'!$S$2:$S$317=$A14),--ISNUMBER('Данные 1st'!$GT$2:$GT$317))</f>
        <v>0</v>
      </c>
      <c r="CV14">
        <f>SUMPRODUCT(--('Данные 1st'!$S$2:$S$317=$A14),--ISNUMBER('Данные 1st'!$GU$2:$GU$317))</f>
        <v>0</v>
      </c>
      <c r="CW14">
        <f>SUMPRODUCT(--('Данные 1st'!$S$2:$S$317=$A14),--ISNUMBER('Данные 1st'!$GV$2:$GV$317))</f>
        <v>0</v>
      </c>
      <c r="CX14">
        <f>SUMPRODUCT(--('Данные 1st'!$S$2:$S$317=$A14),--ISNUMBER('Данные 1st'!$GW$2:$GW$317))</f>
        <v>0</v>
      </c>
      <c r="CY14">
        <f>SUMPRODUCT(--('Данные 1st'!$S$2:$S$317=$A14),--ISNUMBER('Данные 1st'!$GZ$2:$GZ$317))</f>
        <v>0</v>
      </c>
      <c r="CZ14">
        <f>SUMPRODUCT(--('Данные 1st'!$S$2:$S$317=$A14),--ISNUMBER('Данные 1st'!$HA$2:$HA$317))</f>
        <v>0</v>
      </c>
      <c r="DA14">
        <f>SUMPRODUCT(--('Данные 1st'!$S$2:$S$317=$A14),--ISNUMBER('Данные 1st'!$HB$2:$HB$317))</f>
        <v>0</v>
      </c>
      <c r="DB14">
        <f>SUMPRODUCT(--('Данные 1st'!$S$2:$S$317=$A14),--ISNUMBER('Данные 1st'!$HC$2:$HC$317))</f>
        <v>6</v>
      </c>
      <c r="DC14">
        <f>SUMPRODUCT(--('Данные 1st'!$S$2:$S$317=$A14),--ISNUMBER('Данные 1st'!$HD$2:$HD$317))</f>
        <v>6</v>
      </c>
      <c r="DD14">
        <f>SUMPRODUCT(--('Данные 1st'!$S$2:$S$317=$A14),--ISNUMBER('Данные 1st'!$HE$2:$HE$317))</f>
        <v>6</v>
      </c>
      <c r="DE14">
        <f>SUMPRODUCT(--('Данные 1st'!$S$2:$S$317=$A14),--ISNUMBER('Данные 1st'!$HF$2:$HF$317))</f>
        <v>6</v>
      </c>
      <c r="DF14">
        <f>SUMPRODUCT(--('Данные 1st'!$S$2:$S$317=$A14),--ISNUMBER('Данные 1st'!$HG$2:$HG$317))</f>
        <v>6</v>
      </c>
      <c r="DG14">
        <f>SUMPRODUCT(--('Данные 1st'!$S$2:$S$317=$A14),--ISNUMBER('Данные 1st'!$HH$2:$HH$317))</f>
        <v>6</v>
      </c>
      <c r="DH14">
        <f>SUMPRODUCT(--('Данные 1st'!$S$2:$S$317=$A14),--ISNUMBER('Данные 1st'!$HI$2:$HI$317))</f>
        <v>6</v>
      </c>
      <c r="DI14">
        <f>SUMPRODUCT(--('Данные 1st'!$S$2:$S$317=$A14),--ISNUMBER('Данные 1st'!$HJ$2:$HJ$317))</f>
        <v>6</v>
      </c>
      <c r="DJ14">
        <f>SUMPRODUCT(--('Данные 1st'!$S$2:$S$317=$A14),--ISNUMBER('Данные 1st'!$HK$2:$HK$317))</f>
        <v>6</v>
      </c>
      <c r="DK14">
        <f>SUMPRODUCT(--('Данные 1st'!$S$2:$S$317=$A14),--ISNUMBER('Данные 1st'!$HL$2:$HL$317))</f>
        <v>6</v>
      </c>
      <c r="DL14">
        <f>SUMPRODUCT(--('Данные 1st'!$S$2:$S$317=$A14),--ISNUMBER('Данные 1st'!$HM$2:$HM$317))</f>
        <v>6</v>
      </c>
      <c r="DM14">
        <f>SUMPRODUCT(--('Данные 1st'!$S$2:$S$317=$A14),--ISNUMBER('Данные 1st'!$HN$2:$HN$317))</f>
        <v>6</v>
      </c>
      <c r="DN14">
        <f>SUMPRODUCT(--('Данные 1st'!$S$2:$S$317=$A14),--ISNUMBER('Данные 1st'!$HO$2:$HO$317))</f>
        <v>6</v>
      </c>
      <c r="DO14">
        <f>SUMPRODUCT(--('Данные 1st'!$S$2:$S$317=$A14),--ISNUMBER('Данные 1st'!$HP$2:$HP$317))</f>
        <v>6</v>
      </c>
      <c r="DP14">
        <f>SUMPRODUCT(--('Данные 1st'!$S$2:$S$317=$A14),--ISNUMBER('Данные 1st'!$HQ$2:$HQ$317))</f>
        <v>6</v>
      </c>
      <c r="DQ14">
        <f>SUMPRODUCT(--('Данные 1st'!$S$2:$S$317=$A14),--ISNUMBER('Данные 1st'!$HR$2:$HR$317))</f>
        <v>6</v>
      </c>
      <c r="DR14">
        <f>SUMPRODUCT(--('Данные 1st'!$S$2:$S$317=$A14),--ISNUMBER('Данные 1st'!$HS$2:$HS$317))</f>
        <v>6</v>
      </c>
      <c r="DS14">
        <f>SUMPRODUCT(--('Данные 1st'!$S$2:$S$317=$A14),--ISNUMBER('Данные 1st'!$HT$2:$HT$317))</f>
        <v>6</v>
      </c>
      <c r="DT14">
        <f>SUMPRODUCT(--('Данные 1st'!$S$2:$S$317=$A14),--ISNUMBER('Данные 1st'!$HU$2:$HU$317))</f>
        <v>6</v>
      </c>
      <c r="DU14">
        <f>SUMPRODUCT(--('Данные 1st'!$S$2:$S$317=$A14),--ISNUMBER('Данные 1st'!$HW$2:$HW$317))</f>
        <v>6</v>
      </c>
      <c r="DV14">
        <f>SUMPRODUCT(--('Данные 1st'!$S$2:$S$317=$A14),--ISNUMBER('Данные 1st'!$HX$2:$HX$317))</f>
        <v>6</v>
      </c>
      <c r="DW14">
        <f>SUMPRODUCT(--('Данные 1st'!$S$2:$S$317=$A14),--ISNUMBER('Данные 1st'!$HY$2:$HY$317))</f>
        <v>6</v>
      </c>
      <c r="DX14">
        <f>SUMPRODUCT(--('Данные 1st'!$S$2:$S$317=$A14),--ISNUMBER('Данные 1st'!$IA$2:$IA$317))</f>
        <v>6</v>
      </c>
      <c r="DY14">
        <f>SUMPRODUCT(--('Данные 1st'!$S$2:$S$317=$A14),--ISNUMBER('Данные 1st'!$IB$2:$IB$317))</f>
        <v>6</v>
      </c>
      <c r="DZ14">
        <f>SUMPRODUCT(--('Данные 1st'!$S$2:$S$317=$A14),--ISNUMBER('Данные 1st'!$IC$2:$IC$317))</f>
        <v>6</v>
      </c>
      <c r="EA14">
        <f>SUMPRODUCT(--('Данные 1st'!$S$2:$S$317=$A14),--ISNUMBER('Данные 1st'!$ID$2:$ID$317))</f>
        <v>6</v>
      </c>
      <c r="EB14">
        <f>SUMPRODUCT(--('Данные 1st'!$S$2:$S$317=$A14),--ISNUMBER('Данные 1st'!$IE$2:$IE$317))</f>
        <v>6</v>
      </c>
      <c r="EC14">
        <f>SUMPRODUCT(--('Данные 1st'!$S$2:$S$317=$A14),--ISNUMBER('Данные 1st'!$IF$2:$IF$317))</f>
        <v>6</v>
      </c>
      <c r="ED14">
        <f>SUMPRODUCT(--('Данные 1st'!$S$2:$S$317=$A14),--ISNUMBER('Данные 1st'!$IP$2:$IP$317))</f>
        <v>6</v>
      </c>
      <c r="EE14">
        <f>SUMPRODUCT(--('Данные 1st'!$S$2:$S$317=$A14),--ISNUMBER('Данные 1st'!$IV$2:$IV$317))</f>
        <v>6</v>
      </c>
      <c r="EF14">
        <f>SUMPRODUCT(--('Данные 1st'!$S$2:$S$317=$A14),--ISNUMBER('Данные 1st'!$IW$2:$IW$317))</f>
        <v>6</v>
      </c>
      <c r="EG14">
        <f>SUMPRODUCT(--('Данные 1st'!$S$2:$S$317=$A14),--ISNUMBER('Данные 1st'!$IX$2:$IX$317))</f>
        <v>0</v>
      </c>
      <c r="EH14">
        <f>SUMPRODUCT(--('Данные 1st'!$S$2:$S$317=$A14),--ISNUMBER('Данные 1st'!$IY$2:$IY$317))</f>
        <v>0</v>
      </c>
      <c r="EI14">
        <f>SUMPRODUCT(--('Данные 1st'!$S$2:$S$317=$A14),--ISNUMBER('Данные 1st'!$JD$2:$JD$317))</f>
        <v>6</v>
      </c>
      <c r="EJ14">
        <f>SUMPRODUCT(--('Данные 1st'!$S$2:$S$317=$A14),--ISNUMBER('Данные 1st'!$JE$2:$JE$317))</f>
        <v>6</v>
      </c>
      <c r="EK14">
        <f>SUMPRODUCT(--('Данные 1st'!$S$2:$S$317=$A14),--ISNUMBER('Данные 1st'!$JF$2:$JF$317))</f>
        <v>6</v>
      </c>
      <c r="EL14">
        <f>SUMPRODUCT(--('Данные 1st'!$S$2:$S$317=$A14),--ISNUMBER('Данные 1st'!$JG$2:$JG$317))</f>
        <v>6</v>
      </c>
      <c r="EM14">
        <f>SUMPRODUCT(--('Данные 1st'!$S$2:$S$317=$A14),--ISNUMBER('Данные 1st'!$JH$2:$JH$317))</f>
        <v>6</v>
      </c>
      <c r="EN14">
        <f>SUMPRODUCT(--('Данные 1st'!$S$2:$S$317=$A14),--ISNUMBER('Данные 1st'!$JJ$2:$JJ$317))</f>
        <v>6</v>
      </c>
      <c r="EO14">
        <f>SUMPRODUCT(--('Данные 1st'!$S$2:$S$317=$A14),--ISNUMBER('Данные 1st'!$JK$2:$JK$317))</f>
        <v>6</v>
      </c>
      <c r="EP14">
        <f>SUMPRODUCT(--('Данные 1st'!$S$2:$S$317=$A14),--ISNUMBER('Данные 1st'!$JL$2:$JL$317))</f>
        <v>0</v>
      </c>
      <c r="EQ14">
        <f>SUMPRODUCT(--('Данные 1st'!$S$2:$S$317=$A14),--ISNUMBER('Данные 1st'!$JM$2:$JM$317))</f>
        <v>0</v>
      </c>
      <c r="ER14">
        <f>SUMPRODUCT(--('Данные 1st'!$S$2:$S$317=$A14),--ISNUMBER('Данные 1st'!$JN$2:$JN$317))</f>
        <v>6</v>
      </c>
      <c r="ES14">
        <f>SUMPRODUCT(--('Данные 1st'!$S$2:$S$317=$A14),--ISNUMBER('Данные 1st'!$JO$2:$JO$317))</f>
        <v>6</v>
      </c>
      <c r="ET14">
        <f>SUMPRODUCT(--('Данные 1st'!$S$2:$S$317=$A14),--ISNUMBER('Данные 1st'!$JP$2:$JP$317))</f>
        <v>6</v>
      </c>
      <c r="EU14">
        <f>SUMPRODUCT(--('Данные 1st'!$S$2:$S$317=$A14),--ISNUMBER('Данные 1st'!$JQ$2:$JQ$317))</f>
        <v>6</v>
      </c>
      <c r="EV14">
        <f>SUMPRODUCT(--('Данные 1st'!$S$2:$S$317=$A14),--ISNUMBER('Данные 1st'!$JR$2:$JR$317))</f>
        <v>6</v>
      </c>
      <c r="EW14">
        <f>SUMPRODUCT(--('Данные 1st'!$S$2:$S$317=$A14),--ISNUMBER('Данные 1st'!$JS$2:$JS$317))</f>
        <v>6</v>
      </c>
      <c r="EX14">
        <f>SUMPRODUCT(--('Данные 1st'!$S$2:$S$317=$A14),--ISNUMBER('Данные 1st'!$JT$2:$JT$317))</f>
        <v>0</v>
      </c>
      <c r="EY14">
        <f>SUMPRODUCT(--('Данные 1st'!$S$2:$S$317=$A14),--ISNUMBER('Данные 1st'!$JU$2:$JU$317))</f>
        <v>0</v>
      </c>
      <c r="EZ14">
        <f>SUMPRODUCT(--('Данные 1st'!$S$2:$S$317=$A14),--ISNUMBER('Данные 1st'!$JV$2:$JV$317))</f>
        <v>6</v>
      </c>
      <c r="FA14">
        <f>SUMPRODUCT(--('Данные 1st'!$S$2:$S$317=$A14),--ISNUMBER('Данные 1st'!$JW$2:$JW$317))</f>
        <v>0</v>
      </c>
      <c r="FB14">
        <f>SUMPRODUCT(--('Данные 1st'!$S$2:$S$317=$A14),--ISNUMBER('Данные 1st'!$JX$2:$JX$317))</f>
        <v>6</v>
      </c>
      <c r="FC14">
        <f>SUMPRODUCT(--('Данные 1st'!$S$2:$S$317=$A14),--ISNUMBER('Данные 1st'!$JY$2:$JY$317))</f>
        <v>0</v>
      </c>
      <c r="FD14">
        <f>SUMPRODUCT(--('Данные 1st'!$S$2:$S$317=$A14),--ISNUMBER('Данные 1st'!$JZ$2:$JZ$317))</f>
        <v>0</v>
      </c>
      <c r="FE14">
        <f>SUMPRODUCT(--('Данные 1st'!$S$2:$S$317=$A14),--ISNUMBER('Данные 1st'!$KA$2:$KA$317))</f>
        <v>6</v>
      </c>
      <c r="FF14">
        <f>SUMPRODUCT(--('Данные 1st'!$S$2:$S$317=$A14),--ISNUMBER('Данные 1st'!$KB$2:$KB$317))</f>
        <v>6</v>
      </c>
      <c r="FG14">
        <f>SUMPRODUCT(--('Данные 1st'!$S$2:$S$317=$A14),--ISNUMBER('Данные 1st'!$KC$2:$KC$317))</f>
        <v>6</v>
      </c>
      <c r="FH14">
        <f>SUMPRODUCT(--('Данные 1st'!$S$2:$S$317=$A14),--ISNUMBER('Данные 1st'!$KD$2:$KD$317))</f>
        <v>6</v>
      </c>
      <c r="FI14">
        <f>SUMPRODUCT(--('Данные 1st'!$S$2:$S$317=$A14),--ISNUMBER('Данные 1st'!$KE$2:$KE$317))</f>
        <v>0</v>
      </c>
      <c r="FJ14">
        <f>SUMPRODUCT(--('Данные 1st'!$S$2:$S$317=$A14),--ISNUMBER('Данные 1st'!$KF$2:$KF$317))</f>
        <v>6</v>
      </c>
      <c r="FK14">
        <f>SUMPRODUCT(--('Данные 1st'!$S$2:$S$317=$A14),--ISNUMBER('Данные 1st'!$KG$2:$KG$317))</f>
        <v>6</v>
      </c>
      <c r="FL14">
        <f>SUMPRODUCT(--('Данные 1st'!$S$2:$S$317=$A14),--ISNUMBER('Данные 1st'!$KH$2:$KH$317))</f>
        <v>6</v>
      </c>
      <c r="FM14">
        <f>SUMPRODUCT(--('Данные 1st'!$S$2:$S$317=$A14),--ISNUMBER('Данные 1st'!$KI$2:$KI$317))</f>
        <v>6</v>
      </c>
      <c r="FN14">
        <f>SUMPRODUCT(--('Данные 1st'!$S$2:$S$317=$A14),--ISNUMBER('Данные 1st'!$KJ$2:$KJ$317))</f>
        <v>6</v>
      </c>
      <c r="FO14">
        <f>SUMPRODUCT(--('Данные 1st'!$S$2:$S$317=$A14),--ISNUMBER('Данные 1st'!$KK$2:$KK$317))</f>
        <v>6</v>
      </c>
      <c r="FP14">
        <f>SUMPRODUCT(--('Данные 1st'!$S$2:$S$317=$A14),--ISNUMBER('Данные 1st'!$KL$2:$KL$317))</f>
        <v>6</v>
      </c>
      <c r="FQ14">
        <f>SUMPRODUCT(--('Данные 1st'!$S$2:$S$317=$A14),--ISNUMBER('Данные 1st'!$KM$2:$KM$317))</f>
        <v>6</v>
      </c>
      <c r="FR14">
        <f>SUMPRODUCT(--('Данные 1st'!$S$2:$S$317=$A14),--ISNUMBER('Данные 1st'!$KN$2:$KN$317))</f>
        <v>6</v>
      </c>
      <c r="FS14">
        <f>SUMPRODUCT(--('Данные 1st'!$S$2:$S$317=$A14),--ISNUMBER('Данные 1st'!$KR$2:$KR$317))</f>
        <v>6</v>
      </c>
      <c r="FT14">
        <f>SUMPRODUCT(--('Данные 1st'!$S$2:$S$317=$A14),--ISNUMBER('Данные 1st'!$KS$2:$KS$317))</f>
        <v>6</v>
      </c>
      <c r="FU14">
        <f>SUMPRODUCT(--('Данные 1st'!$S$2:$S$317=$A14),--ISNUMBER('Данные 1st'!$KT$2:$KT$317))</f>
        <v>6</v>
      </c>
      <c r="FV14">
        <f>SUMPRODUCT(--('Данные 1st'!$S$2:$S$317=$A14),--ISNUMBER('Данные 1st'!$KV$2:$KV$317))</f>
        <v>0</v>
      </c>
      <c r="FW14">
        <f>SUMPRODUCT(--('Данные 1st'!$S$2:$S$317=$A14),--ISNUMBER('Данные 1st'!$KW$2:$KW$317))</f>
        <v>0</v>
      </c>
      <c r="FX14">
        <f>SUMPRODUCT(--('Данные 1st'!$S$2:$S$317=$A14),--ISNUMBER('Данные 1st'!$KX$2:$KX$317))</f>
        <v>0</v>
      </c>
      <c r="FY14">
        <f>SUMPRODUCT(--('Данные 1st'!$S$2:$S$317=$A14),--ISNUMBER('Данные 1st'!$KY$2:$KY$317))</f>
        <v>0</v>
      </c>
      <c r="FZ14">
        <f>SUMPRODUCT(--('Данные 1st'!$S$2:$S$317=$A14),--ISNUMBER('Данные 1st'!$KZ$2:$KZ$317))</f>
        <v>0</v>
      </c>
      <c r="GA14">
        <f>SUMPRODUCT(--('Данные 1st'!$S$2:$S$317=$A14),--ISNUMBER('Данные 1st'!$LA$2:$LA$317))</f>
        <v>0</v>
      </c>
      <c r="GB14">
        <f>SUMPRODUCT(--('Данные 1st'!$S$2:$S$317=$A14),--ISNUMBER('Данные 1st'!$LB$2:$LB$317))</f>
        <v>0</v>
      </c>
      <c r="GC14">
        <f>SUMPRODUCT(--('Данные 1st'!$S$2:$S$317=$A14),--ISNUMBER('Данные 1st'!$LC$2:$LC$317))</f>
        <v>0</v>
      </c>
      <c r="GD14">
        <f>SUMPRODUCT(--('Данные 1st'!$S$2:$S$317=$A14),--ISNUMBER('Данные 1st'!$LD$2:$LD$317))</f>
        <v>0</v>
      </c>
      <c r="GE14">
        <f>SUMPRODUCT(--('Данные 1st'!$S$2:$S$317=$A14),--ISNUMBER('Данные 1st'!$LE$2:$LE$317))</f>
        <v>0</v>
      </c>
      <c r="GF14">
        <f>SUMPRODUCT(--('Данные 1st'!$S$2:$S$317=$A14),--ISNUMBER('Данные 1st'!$LF$2:$LF$317))</f>
        <v>0</v>
      </c>
      <c r="GG14">
        <f>SUMPRODUCT(--('Данные 1st'!$S$2:$S$317=$A14),--ISNUMBER('Данные 1st'!$LG$2:$LG$317))</f>
        <v>0</v>
      </c>
      <c r="GH14">
        <f>SUMPRODUCT(--('Данные 1st'!$S$2:$S$317=$A14),--ISNUMBER('Данные 1st'!$LH$2:$LH$317))</f>
        <v>0</v>
      </c>
      <c r="GI14">
        <f>SUMPRODUCT(--('Данные 1st'!$S$2:$S$317=$A14),--ISNUMBER('Данные 1st'!$LI$2:$LI$317))</f>
        <v>0</v>
      </c>
      <c r="GJ14">
        <f>SUMPRODUCT(--('Данные 1st'!$S$2:$S$317=$A14),--ISNUMBER('Данные 1st'!$LJ$2:$LJ$317))</f>
        <v>0</v>
      </c>
      <c r="GK14">
        <f>SUMPRODUCT(--('Данные 1st'!$S$2:$S$317=$A14),--ISNUMBER('Данные 1st'!$LK$2:$LK$317))</f>
        <v>6</v>
      </c>
      <c r="GL14">
        <f>SUMPRODUCT(--('Данные 1st'!$S$2:$S$317=$A14),--ISNUMBER('Данные 1st'!$LV$2:$LV$317))</f>
        <v>0</v>
      </c>
      <c r="GM14">
        <f>SUMPRODUCT(--('Данные 1st'!$S$2:$S$317=$A14),--ISNUMBER('Данные 1st'!$LW$2:$LW$317))</f>
        <v>0</v>
      </c>
      <c r="GN14">
        <f>SUMPRODUCT(--('Данные 1st'!$S$2:$S$317=$A14),--ISNUMBER('Данные 1st'!$LX$2:$LX$317))</f>
        <v>2</v>
      </c>
      <c r="GO14">
        <f>SUMPRODUCT(--('Данные 1st'!$S$2:$S$317=$A14),--ISNUMBER('Данные 1st'!$LY$2:$LY$317))</f>
        <v>0</v>
      </c>
      <c r="GP14">
        <f>SUMPRODUCT(--('Данные 1st'!$S$2:$S$317=$A14),--ISNUMBER('Данные 1st'!$LZ$2:$LZ$317))</f>
        <v>0</v>
      </c>
      <c r="GQ14">
        <f>SUMPRODUCT(--('Данные 1st'!$S$2:$S$317=$A14),--ISNUMBER('Данные 1st'!$PG$2:$PG$317))</f>
        <v>6</v>
      </c>
      <c r="GR14">
        <f>SUMPRODUCT(--('Данные 1st'!$S$2:$S$317=$A14),--ISNUMBER('Данные 1st'!$PX$2:$PX$317))</f>
        <v>6</v>
      </c>
      <c r="GS14">
        <f>SUMPRODUCT(--('Данные 1st'!$S$2:$S$317=$A14),--ISNUMBER('Данные 1st'!$PY$2:$PY$317))</f>
        <v>6</v>
      </c>
      <c r="GT14">
        <f>SUMPRODUCT(--('Данные 1st'!$S$2:$S$317=$A14),--ISNUMBER('Данные 1st'!$QA$2:$QA$317))</f>
        <v>6</v>
      </c>
      <c r="GU14">
        <f>SUMPRODUCT(--('Данные 1st'!$S$2:$S$317=$A14),--ISNUMBER('Данные 1st'!$QB$2:$QB$317))</f>
        <v>6</v>
      </c>
      <c r="GV14">
        <f>SUMPRODUCT(--('Данные 1st'!$S$2:$S$317=$A14),--ISNUMBER('Данные 1st'!$QC$2:$QC$317))</f>
        <v>6</v>
      </c>
      <c r="GW14">
        <f>SUMPRODUCT(--('Данные 1st'!$S$2:$S$317=$A14),--ISNUMBER('Данные 1st'!$QD$2:$QD$317))</f>
        <v>6</v>
      </c>
      <c r="GX14">
        <f>SUMPRODUCT(--('Данные 1st'!$S$2:$S$317=$A14),--ISNUMBER('Данные 1st'!$QF$2:$QF$317))</f>
        <v>6</v>
      </c>
      <c r="GY14">
        <f>SUMPRODUCT(--('Данные 1st'!$S$2:$S$317=$A14),--ISNUMBER('Данные 1st'!$QG$2:$QG$317))</f>
        <v>6</v>
      </c>
      <c r="GZ14">
        <f>SUMPRODUCT(--('Данные 1st'!$S$2:$S$317=$A14),--ISNUMBER('Данные 1st'!$QH$2:$QH$317))</f>
        <v>6</v>
      </c>
      <c r="HA14">
        <f>SUMPRODUCT(--('Данные 1st'!$S$2:$S$317=$A14),--ISNUMBER('Данные 1st'!$QI$2:$QI$317))</f>
        <v>6</v>
      </c>
      <c r="HB14">
        <f>SUMPRODUCT(--('Данные 1st'!$S$2:$S$317=$A14),--ISNUMBER('Данные 1st'!$QK$2:$QK$317))</f>
        <v>1</v>
      </c>
      <c r="HC14">
        <f>SUMPRODUCT(--('Данные 1st'!$S$2:$S$317=$A14),--ISNUMBER('Данные 1st'!$QL$2:$QL$317))</f>
        <v>6</v>
      </c>
      <c r="HD14">
        <f>SUMPRODUCT(--('Данные 1st'!$S$2:$S$317=$A14),--ISNUMBER('Данные 1st'!$QM$2:$QM$317))</f>
        <v>6</v>
      </c>
      <c r="HE14">
        <f>SUMPRODUCT(--('Данные 1st'!$S$2:$S$317=$A14),--ISNUMBER('Данные 1st'!$QN$2:$QN$317))</f>
        <v>6</v>
      </c>
      <c r="HF14">
        <f>SUMPRODUCT(--('Данные 1st'!$S$2:$S$317=$A14),--ISNUMBER('Данные 1st'!$QP$2:$QP$317))</f>
        <v>6</v>
      </c>
      <c r="HG14">
        <f>SUMPRODUCT(--('Данные 1st'!$S$2:$S$317=$A14),--ISNUMBER('Данные 1st'!$QQ$2:$QQ$317))</f>
        <v>6</v>
      </c>
      <c r="HH14">
        <f>SUMPRODUCT(--('Данные 1st'!$S$2:$S$317=$A14),--ISNUMBER('Данные 1st'!$QR$2:$QR$317))</f>
        <v>0</v>
      </c>
      <c r="HI14">
        <f>SUMPRODUCT(--('Данные 1st'!$S$2:$S$317=$A14),--ISNUMBER('Данные 1st'!$QS$2:$QS$317))</f>
        <v>0</v>
      </c>
      <c r="HJ14">
        <f>SUMPRODUCT(--('Данные 1st'!$S$2:$S$317=$A14),--ISNUMBER('Данные 1st'!$QU$2:$QU$317))</f>
        <v>0</v>
      </c>
      <c r="HK14">
        <f>SUMPRODUCT(--('Данные 1st'!$S$2:$S$317=$A14),--ISNUMBER('Данные 1st'!$QV$2:$QV$317))</f>
        <v>0</v>
      </c>
      <c r="HL14">
        <f>SUMPRODUCT(--('Данные 1st'!$S$2:$S$317=$A14),--ISNUMBER('Данные 1st'!$QW$2:$QW$317))</f>
        <v>6</v>
      </c>
      <c r="HM14">
        <f>SUMPRODUCT(--('Данные 1st'!$S$2:$S$317=$A14),--ISNUMBER('Данные 1st'!$QX$2:$QX$317))</f>
        <v>6</v>
      </c>
      <c r="HN14">
        <f>SUMPRODUCT(--('Данные 1st'!$S$2:$S$317=$A14),--ISNUMBER('Данные 1st'!$QZ$2:$QZ$317))</f>
        <v>6</v>
      </c>
      <c r="HO14">
        <f>SUMPRODUCT(--('Данные 1st'!$S$2:$S$317=$A14),--ISNUMBER('Данные 1st'!$RA$2:$RA$317))</f>
        <v>6</v>
      </c>
      <c r="HP14">
        <f>SUMPRODUCT(--('Данные 1st'!$S$2:$S$317=$A14),--ISNUMBER('Данные 1st'!$RB$2:$RB$317))</f>
        <v>6</v>
      </c>
      <c r="HQ14">
        <f>SUMPRODUCT(--('Данные 1st'!$S$2:$S$317=$A14),--ISNUMBER('Данные 1st'!$RD$2:$RD$317))</f>
        <v>0</v>
      </c>
      <c r="HR14">
        <f>SUMPRODUCT(--('Данные 1st'!$S$2:$S$317=$A14),--ISNUMBER('Данные 1st'!$RE$2:$RE$317))</f>
        <v>6</v>
      </c>
      <c r="HS14">
        <f>SUMPRODUCT(--('Данные 1st'!$S$2:$S$317=$A14),--ISNUMBER('Данные 1st'!$RF$2:$RF$317))</f>
        <v>1</v>
      </c>
      <c r="HT14">
        <f>SUMPRODUCT(--('Данные 1st'!$S$2:$S$317=$A14),--ISNUMBER('Данные 1st'!$RG$2:$RG$317))</f>
        <v>5</v>
      </c>
      <c r="HU14">
        <f>SUMPRODUCT(--('Данные 1st'!$S$2:$S$317=$A14),--ISNUMBER('Данные 1st'!$RH$2:$RH$317))</f>
        <v>0</v>
      </c>
      <c r="HV14">
        <f>SUMPRODUCT(--('Данные 1st'!$S$2:$S$317=$A14),--ISNUMBER('Данные 1st'!$RI$2:$RI$317))</f>
        <v>0</v>
      </c>
      <c r="HW14">
        <f>SUMPRODUCT(--('Данные 1st'!$S$2:$S$317=$A14),--ISNUMBER('Данные 1st'!$RJ$2:$RJ$317))</f>
        <v>6</v>
      </c>
      <c r="HX14">
        <f>SUMPRODUCT(--('Данные 1st'!$S$2:$S$317=$A14),--ISNUMBER('Данные 1st'!$RK$2:$RK$317))</f>
        <v>1</v>
      </c>
      <c r="HY14">
        <f>SUMPRODUCT(--('Данные 1st'!$S$2:$S$317=$A14),--ISNUMBER('Данные 1st'!$RL$2:$RL$317))</f>
        <v>6</v>
      </c>
      <c r="HZ14">
        <f>SUMPRODUCT(--('Данные 1st'!$S$2:$S$317=$A14),--ISNUMBER('Данные 1st'!$RM$2:$RM$317))</f>
        <v>0</v>
      </c>
      <c r="IA14">
        <f>SUMPRODUCT(--('Данные 1st'!$S$2:$S$317=$A14),--ISNUMBER('Данные 1st'!$RN$2:$RN$317))</f>
        <v>0</v>
      </c>
      <c r="IB14">
        <f>SUMPRODUCT(--('Данные 1st'!$S$2:$S$317=$A14),--ISNUMBER('Данные 1st'!$RO$2:$RO$317))</f>
        <v>6</v>
      </c>
      <c r="IC14">
        <f>SUMPRODUCT(--('Данные 1st'!$S$2:$S$317=$A14),--ISNUMBER('Данные 1st'!$RP$2:$RP$317))</f>
        <v>1</v>
      </c>
      <c r="ID14">
        <f>SUMPRODUCT(--('Данные 1st'!$S$2:$S$317=$A14),--ISNUMBER('Данные 1st'!$RQ$2:$RQ$317))</f>
        <v>6</v>
      </c>
      <c r="IE14">
        <f>SUMPRODUCT(--('Данные 1st'!$S$2:$S$317=$A14),--ISNUMBER('Данные 1st'!$RR$2:$RR$317))</f>
        <v>0</v>
      </c>
      <c r="IF14">
        <f>SUMPRODUCT(--('Данные 1st'!$S$2:$S$317=$A14),--ISNUMBER('Данные 1st'!$RS$2:$RS$317))</f>
        <v>0</v>
      </c>
      <c r="IG14">
        <f>SUMPRODUCT(--('Данные 1st'!$S$2:$S$317=$A14),--ISNUMBER('Данные 1st'!$RT$2:$RT$317))</f>
        <v>6</v>
      </c>
      <c r="IH14">
        <f>SUMPRODUCT(--('Данные 1st'!$S$2:$S$317=$A14),--ISNUMBER('Данные 1st'!$RU$2:$RU$317))</f>
        <v>6</v>
      </c>
      <c r="II14">
        <f>SUMPRODUCT(--('Данные 1st'!$S$2:$S$317=$A14),--ISNUMBER('Данные 1st'!$RX$2:$RX$317))</f>
        <v>6</v>
      </c>
      <c r="IJ14">
        <f>SUMPRODUCT(--('Данные 1st'!$S$2:$S$317=$A14),--ISNUMBER('Данные 1st'!$RY$2:$RY$317))</f>
        <v>6</v>
      </c>
      <c r="IK14">
        <f>SUMPRODUCT(--('Данные 1st'!$S$2:$S$317=$A14),--ISNUMBER('Данные 1st'!$SA$2:$SA$317))</f>
        <v>6</v>
      </c>
      <c r="IL14">
        <f>SUMPRODUCT(--('Данные 1st'!$S$2:$S$317=$A14),--ISNUMBER('Данные 1st'!$SD$2:$SD$317))</f>
        <v>6</v>
      </c>
      <c r="IM14">
        <f>SUMPRODUCT(--('Данные 1st'!$S$2:$S$317=$A14),--ISNUMBER('Данные 1st'!$SG$2:$SG$317))</f>
        <v>0</v>
      </c>
      <c r="IN14">
        <f>SUMPRODUCT(--('Данные 1st'!$S$2:$S$317=$A14),--ISNUMBER('Данные 1st'!$SH$2:$SH$317))</f>
        <v>6</v>
      </c>
      <c r="IO14">
        <f>SUMPRODUCT(--('Данные 1st'!$S$2:$S$317=$A14),--ISNUMBER('Данные 1st'!$SI$2:$SI$317))</f>
        <v>6</v>
      </c>
      <c r="IP14">
        <f>SUMPRODUCT(--('Данные 1st'!$S$2:$S$317=$A14),--ISNUMBER('Данные 1st'!$SJ$2:$SJ$317))</f>
        <v>6</v>
      </c>
      <c r="IQ14">
        <f>SUMPRODUCT(--('Данные 1st'!$S$2:$S$317=$A14),--ISNUMBER('Данные 1st'!$SK$2:$SK$317))</f>
        <v>6</v>
      </c>
      <c r="IR14">
        <f>SUMPRODUCT(--('Данные 1st'!$S$2:$S$317=$A14),--ISNUMBER('Данные 1st'!$SL$2:$SL$317))</f>
        <v>6</v>
      </c>
      <c r="IS14">
        <f>SUMPRODUCT(--('Данные 1st'!$S$2:$S$317=$A14),--ISNUMBER('Данные 1st'!$SM$2:$SM$317))</f>
        <v>6</v>
      </c>
      <c r="IT14">
        <f>SUMPRODUCT(--('Данные 1st'!$S$2:$S$317=$A14),--ISNUMBER('Данные 1st'!$SN$2:$SN$317))</f>
        <v>6</v>
      </c>
      <c r="IU14">
        <f>SUMPRODUCT(--('Данные 1st'!$S$2:$S$317=$A14),--ISNUMBER('Данные 1st'!$SO$2:$SO$317))</f>
        <v>6</v>
      </c>
      <c r="IV14">
        <f>SUMPRODUCT(--('Данные 1st'!$S$2:$S$317=$A14),--ISNUMBER('Данные 1st'!$SP$2:$SP$317))</f>
        <v>6</v>
      </c>
      <c r="IW14">
        <f>SUMPRODUCT(--('Данные 1st'!$S$2:$S$317=$A14),--ISNUMBER('Данные 1st'!$SQ$2:$SQ$317))</f>
        <v>6</v>
      </c>
      <c r="IX14">
        <f>SUMPRODUCT(--('Данные 1st'!$S$2:$S$317=$A14),--ISNUMBER('Данные 1st'!$SR$2:$SR$317))</f>
        <v>6</v>
      </c>
      <c r="IY14">
        <f>SUMPRODUCT(--('Данные 1st'!$S$2:$S$317=$A14),--ISNUMBER('Данные 1st'!$SS$2:$SS$317))</f>
        <v>6</v>
      </c>
      <c r="IZ14">
        <f>SUMPRODUCT(--('Данные 1st'!$S$2:$S$317=$A14),--ISNUMBER('Данные 1st'!$ST$2:$ST$317))</f>
        <v>6</v>
      </c>
      <c r="JA14">
        <f>SUMPRODUCT(--('Данные 1st'!$S$2:$S$317=$A14),--ISNUMBER('Данные 1st'!$SU$2:$SU$317))</f>
        <v>6</v>
      </c>
      <c r="JB14">
        <f>SUMPRODUCT(--('Данные 1st'!$S$2:$S$317=$A14),--ISNUMBER('Данные 1st'!$SV$2:$SV$317))</f>
        <v>6</v>
      </c>
      <c r="JC14">
        <f>SUMPRODUCT(--('Данные 1st'!$S$2:$S$317=$A14),--ISNUMBER('Данные 1st'!$SW$2:$SW$317))</f>
        <v>6</v>
      </c>
      <c r="JD14">
        <f>SUMPRODUCT(--('Данные 1st'!$S$2:$S$317=$A14),--ISNUMBER('Данные 1st'!$SX$2:$SX$317))</f>
        <v>6</v>
      </c>
      <c r="JE14">
        <f>SUMPRODUCT(--('Данные 1st'!$S$2:$S$317=$A14),--ISNUMBER('Данные 1st'!$SY$2:$SY$317))</f>
        <v>1</v>
      </c>
      <c r="JF14">
        <f>SUMPRODUCT(--('Данные 1st'!$S$2:$S$317=$A14),--ISNUMBER('Данные 1st'!$SZ$2:$SZ$317))</f>
        <v>0</v>
      </c>
      <c r="JG14">
        <f>SUMPRODUCT(--('Данные 1st'!$S$2:$S$317=$A14),--ISNUMBER('Данные 1st'!$TA$2:$TA$317))</f>
        <v>0</v>
      </c>
      <c r="JH14">
        <f>SUMPRODUCT(--('Данные 1st'!$S$2:$S$317=$A14),--ISNUMBER('Данные 1st'!$TB$2:$TB$317))</f>
        <v>6</v>
      </c>
      <c r="JI14">
        <f>SUMPRODUCT(--('Данные 1st'!$S$2:$S$317=$A14),--ISNUMBER('Данные 1st'!$TC$2:$TC$317))</f>
        <v>6</v>
      </c>
      <c r="JJ14">
        <f>SUMPRODUCT(--('Данные 1st'!$S$2:$S$317=$A14),--ISNUMBER('Данные 1st'!$TD$2:$TD$317))</f>
        <v>6</v>
      </c>
      <c r="JK14">
        <f>SUMPRODUCT(--('Данные 1st'!$S$2:$S$317=$A14),--ISNUMBER('Данные 1st'!$TN$2:$TN$317))</f>
        <v>6</v>
      </c>
      <c r="JQ14">
        <f>SUMPRODUCT(--('Данные 2st'!$Q$2:$Q$317=$A14),--ISNUMBER('Данные 2st'!$AC$2:$AC$317))</f>
        <v>6</v>
      </c>
      <c r="JR14">
        <f>SUMPRODUCT(--('Данные 2st'!$Q$2:$Q$317=$A14),--ISNUMBER('Данные 2st'!$AF$2:$AF$317))</f>
        <v>6</v>
      </c>
      <c r="JS14">
        <f>SUMPRODUCT(--('Данные 2st'!$Q$2:$Q$317=$A14),--ISNUMBER('Данные 2st'!$AW$2:$AW$317))</f>
        <v>6</v>
      </c>
      <c r="JT14">
        <f>SUMPRODUCT(--('Данные 2st'!$Q$2:$Q$317=$A14),--ISNUMBER('Данные 2st'!$AX$2:$AX$317))</f>
        <v>6</v>
      </c>
      <c r="JU14">
        <f>SUMPRODUCT(--('Данные 2st'!$Q$2:$Q$317=$A14),--ISNUMBER('Данные 2st'!$AY$2:$AY$317))</f>
        <v>6</v>
      </c>
      <c r="JV14">
        <f>SUMPRODUCT(--('Данные 2st'!$Q$2:$Q$317=$A14),--ISNUMBER('Данные 2st'!$AZ$2:$AZ$317))</f>
        <v>6</v>
      </c>
      <c r="JW14">
        <f>SUMPRODUCT(--('Данные 2st'!$Q$2:$Q$317=$A14),--ISNUMBER('Данные 2st'!$BA$2:$BA$317))</f>
        <v>0</v>
      </c>
      <c r="JX14">
        <f>SUMPRODUCT(--('Данные 2st'!$Q$2:$Q$317=$A14),--ISNUMBER('Данные 2st'!$BB$2:$BB$317))</f>
        <v>0</v>
      </c>
      <c r="JY14">
        <f>SUMPRODUCT(--('Данные 2st'!$Q$2:$Q$317=$A14),--ISNUMBER('Данные 2st'!$BC$2:$BC$317))</f>
        <v>0</v>
      </c>
      <c r="JZ14">
        <f>SUMPRODUCT(--('Данные 2st'!$Q$2:$Q$317=$A14),--ISNUMBER('Данные 2st'!$BH$2:$BH$317))</f>
        <v>6</v>
      </c>
      <c r="KA14">
        <f>SUMPRODUCT(--('Данные 2st'!$Q$2:$Q$317=$A14),--ISNUMBER('Данные 2st'!$BI$2:$BI$317))</f>
        <v>6</v>
      </c>
      <c r="KB14">
        <f>SUMPRODUCT(--('Данные 2st'!$Q$2:$Q$317=$A14),--ISNUMBER('Данные 2st'!$BJ$2:$BJ$317))</f>
        <v>6</v>
      </c>
      <c r="KC14">
        <f>SUMPRODUCT(--('Данные 2st'!$Q$2:$Q$317=$A14),--ISNUMBER('Данные 2st'!$BK$2:$BK$317))</f>
        <v>6</v>
      </c>
      <c r="KD14">
        <f>SUMPRODUCT(--('Данные 2st'!$Q$2:$Q$317=$A14),--ISNUMBER('Данные 2st'!$BL$2:$BL$317))</f>
        <v>6</v>
      </c>
      <c r="KE14">
        <f>SUMPRODUCT(--('Данные 2st'!$Q$2:$Q$317=$A14),--ISNUMBER('Данные 2st'!$BM$2:$BM$317))</f>
        <v>6</v>
      </c>
      <c r="KF14">
        <f>SUMPRODUCT(--('Данные 2st'!$Q$2:$Q$317=$A14),--ISNUMBER('Данные 2st'!$BN$2:$BN$317))</f>
        <v>6</v>
      </c>
      <c r="KG14">
        <f>SUMPRODUCT(--('Данные 2st'!$Q$2:$Q$317=$A14),--ISNUMBER('Данные 2st'!$BO$2:$BO$317))</f>
        <v>2</v>
      </c>
      <c r="KH14">
        <f>SUMPRODUCT(--('Данные 2st'!$Q$2:$Q$317=$A14),--ISNUMBER('Данные 2st'!$BP$2:$BP$317))</f>
        <v>6</v>
      </c>
      <c r="KI14">
        <f>SUMPRODUCT(--('Данные 2st'!$Q$2:$Q$317=$A14),--ISNUMBER('Данные 2st'!$BR$2:$BR$317))</f>
        <v>6</v>
      </c>
      <c r="KJ14">
        <f>SUMPRODUCT(--('Данные 2st'!$Q$2:$Q$317=$A14),--ISNUMBER('Данные 2st'!$BS$2:$BS$317))</f>
        <v>6</v>
      </c>
      <c r="KK14">
        <f>SUMPRODUCT(--('Данные 2st'!$Q$2:$Q$317=$A14),--ISNUMBER('Данные 2st'!$BT$2:$BT$317))</f>
        <v>6</v>
      </c>
      <c r="KL14">
        <f>SUMPRODUCT(--('Данные 2st'!$Q$2:$Q$317=$A14),--ISNUMBER('Данные 2st'!$CV$2:$CV$317))</f>
        <v>6</v>
      </c>
      <c r="KM14">
        <f>SUMPRODUCT(--('Данные 2st'!$Q$2:$Q$317=$A14),--ISNUMBER('Данные 2st'!$CW$2:$CW$317))</f>
        <v>6</v>
      </c>
      <c r="KN14">
        <f>SUMPRODUCT(--('Данные 2st'!$Q$2:$Q$317=$A14),--ISNUMBER('Данные 2st'!$CX$2:$CX$317))</f>
        <v>6</v>
      </c>
      <c r="KO14">
        <f>SUMPRODUCT(--('Данные 2st'!$Q$2:$Q$317=$A14),--ISNUMBER('Данные 2st'!$CY$2:$CY$317))</f>
        <v>6</v>
      </c>
      <c r="KP14">
        <f>SUMPRODUCT(--('Данные 2st'!$Q$2:$Q$317=$A14),--ISNUMBER('Данные 2st'!$CZ$2:$CZ$317))</f>
        <v>6</v>
      </c>
      <c r="KQ14">
        <f>SUMPRODUCT(--('Данные 2st'!$Q$2:$Q$317=$A14),--ISNUMBER('Данные 2st'!$DA$2:$DA$317))</f>
        <v>6</v>
      </c>
      <c r="KR14">
        <f>SUMPRODUCT(--('Данные 2st'!$Q$2:$Q$317=$A14),--ISNUMBER('Данные 2st'!$DB$2:$DB$317))</f>
        <v>6</v>
      </c>
      <c r="KS14">
        <f>SUMPRODUCT(--('Данные 2st'!$Q$2:$Q$317=$A14),--ISNUMBER('Данные 2st'!$DC$2:$DC$317))</f>
        <v>6</v>
      </c>
      <c r="KT14">
        <f>SUMPRODUCT(--('Данные 2st'!$Q$2:$Q$317=$A14),--ISNUMBER('Данные 2st'!$DD$2:$DD$317))</f>
        <v>6</v>
      </c>
      <c r="KU14">
        <f>SUMPRODUCT(--('Данные 2st'!$Q$2:$Q$317=$A14),--ISNUMBER('Данные 2st'!$DE$2:$DE$317))</f>
        <v>6</v>
      </c>
      <c r="KV14">
        <f>SUMPRODUCT(--('Данные 2st'!$Q$2:$Q$317=$A14),--ISNUMBER('Данные 2st'!$DF$2:$DF$317))</f>
        <v>6</v>
      </c>
      <c r="KW14">
        <f>SUMPRODUCT(--('Данные 2st'!$Q$2:$Q$317=$A14),--ISNUMBER('Данные 2st'!$DG$2:$DG$317))</f>
        <v>6</v>
      </c>
      <c r="KX14">
        <f>SUMPRODUCT(--('Данные 2st'!$Q$2:$Q$317=$A14),--ISNUMBER('Данные 2st'!$DH$2:$DH$317))</f>
        <v>1</v>
      </c>
      <c r="KY14">
        <f>SUMPRODUCT(--('Данные 2st'!$Q$2:$Q$317=$A14),--ISNUMBER('Данные 2st'!$DI$2:$DI$317))</f>
        <v>0</v>
      </c>
      <c r="KZ14">
        <f>SUMPRODUCT(--('Данные 2st'!$Q$2:$Q$317=$A14),--ISNUMBER('Данные 2st'!$DK$2:$DK$317))</f>
        <v>6</v>
      </c>
      <c r="LA14">
        <f>SUMPRODUCT(--('Данные 2st'!$Q$2:$Q$317=$A14),--ISNUMBER('Данные 2st'!$DM$2:$DM$317))</f>
        <v>6</v>
      </c>
      <c r="LB14">
        <f>SUMPRODUCT(--('Данные 2st'!$Q$2:$Q$317=$A14),--ISNUMBER('Данные 2st'!$DN$2:$DN$317))</f>
        <v>6</v>
      </c>
      <c r="LC14">
        <f>SUMPRODUCT(--('Данные 2st'!$Q$2:$Q$317=$A14),--ISNUMBER('Данные 2st'!$DO$2:$DO$317))</f>
        <v>6</v>
      </c>
      <c r="LD14">
        <f>SUMPRODUCT(--('Данные 2st'!$Q$2:$Q$317=$A14),--ISNUMBER('Данные 2st'!$DP$2:$DP$317))</f>
        <v>6</v>
      </c>
      <c r="LE14">
        <f>SUMPRODUCT(--('Данные 2st'!$Q$2:$Q$317=$A14),--ISNUMBER('Данные 2st'!$DQ$2:$DQ$317))</f>
        <v>6</v>
      </c>
      <c r="LF14">
        <f>SUMPRODUCT(--('Данные 2st'!$Q$2:$Q$317=$A14),--ISNUMBER('Данные 2st'!$DS$2:$DS$317))</f>
        <v>6</v>
      </c>
      <c r="LG14">
        <f>SUMPRODUCT(--('Данные 2st'!$Q$2:$Q$317=$A14),--ISNUMBER('Данные 2st'!$DU$2:$DU$317))</f>
        <v>6</v>
      </c>
      <c r="LH14">
        <f>SUMPRODUCT(--('Данные 2st'!$Q$2:$Q$317=$A14),--ISNUMBER('Данные 2st'!$DV$2:$DV$317))</f>
        <v>6</v>
      </c>
      <c r="LI14">
        <f>SUMPRODUCT(--('Данные 2st'!$Q$2:$Q$317=$A14),--ISNUMBER('Данные 2st'!$DW$2:$DW$317))</f>
        <v>6</v>
      </c>
      <c r="LJ14">
        <f>SUMPRODUCT(--('Данные 2st'!$Q$2:$Q$317=$A14),--ISNUMBER('Данные 2st'!$DX$2:$DX$317))</f>
        <v>6</v>
      </c>
      <c r="LK14">
        <f>SUMPRODUCT(--('Данные 2st'!$Q$2:$Q$317=$A14),--ISNUMBER('Данные 2st'!$DY$2:$DY$317))</f>
        <v>6</v>
      </c>
      <c r="LL14">
        <f>SUMPRODUCT(--('Данные 2st'!$Q$2:$Q$317=$A14),--ISNUMBER('Данные 2st'!$EA$2:$EA$317))</f>
        <v>6</v>
      </c>
      <c r="LM14">
        <f>SUMPRODUCT(--('Данные 2st'!$Q$2:$Q$317=$A14),--ISNUMBER('Данные 2st'!$EC$2:$EC$317))</f>
        <v>6</v>
      </c>
      <c r="LN14">
        <f>SUMPRODUCT(--('Данные 2st'!$Q$2:$Q$317=$A14),--ISNUMBER('Данные 2st'!$ED$2:$ED$317))</f>
        <v>6</v>
      </c>
      <c r="LO14">
        <f>SUMPRODUCT(--('Данные 2st'!$Q$2:$Q$317=$A14),--ISNUMBER('Данные 2st'!$EE$2:$EE$317))</f>
        <v>6</v>
      </c>
      <c r="LP14">
        <f>SUMPRODUCT(--('Данные 2st'!$Q$2:$Q$317=$A14),--ISNUMBER('Данные 2st'!$EG$2:$EG$317))</f>
        <v>6</v>
      </c>
      <c r="LQ14">
        <f>SUMPRODUCT(--('Данные 2st'!$Q$2:$Q$317=$A14),--ISNUMBER('Данные 2st'!$EI$2:$EI$317))</f>
        <v>6</v>
      </c>
      <c r="LR14">
        <f>SUMPRODUCT(--('Данные 2st'!$Q$2:$Q$317=$A14),--ISNUMBER('Данные 2st'!$EJ$2:$EJ$317))</f>
        <v>6</v>
      </c>
      <c r="LS14">
        <f>SUMPRODUCT(--('Данные 2st'!$Q$2:$Q$317=$A14),--ISNUMBER('Данные 2st'!$EK$2:$EK$317))</f>
        <v>6</v>
      </c>
      <c r="LT14">
        <f>SUMPRODUCT(--('Данные 2st'!$Q$2:$Q$317=$A14),--ISNUMBER('Данные 2st'!$EM$2:$EM$317))</f>
        <v>6</v>
      </c>
      <c r="LU14">
        <f>SUMPRODUCT(--('Данные 2st'!$Q$2:$Q$317=$A14),--ISNUMBER('Данные 2st'!$EN$2:$EN$317))</f>
        <v>6</v>
      </c>
      <c r="LV14">
        <f>SUMPRODUCT(--('Данные 2st'!$Q$2:$Q$317=$A14),--ISNUMBER('Данные 2st'!$EO$2:$EO$317))</f>
        <v>6</v>
      </c>
      <c r="LW14">
        <f>SUMPRODUCT(--('Данные 2st'!$Q$2:$Q$317=$A14),--ISNUMBER('Данные 2st'!$EP$2:$EP$317))</f>
        <v>6</v>
      </c>
      <c r="LX14">
        <f>SUMPRODUCT(--('Данные 2st'!$Q$2:$Q$317=$A14),--ISNUMBER('Данные 2st'!$EQ$2:$EQ$317))</f>
        <v>6</v>
      </c>
      <c r="LY14">
        <f>SUMPRODUCT(--('Данные 2st'!$Q$2:$Q$317=$A14),--ISNUMBER('Данные 2st'!$ER$2:$ER$317))</f>
        <v>6</v>
      </c>
      <c r="LZ14">
        <f>SUMPRODUCT(--('Данные 2st'!$Q$2:$Q$317=$A14),--ISNUMBER('Данные 2st'!$ES$2:$ES$317))</f>
        <v>6</v>
      </c>
      <c r="MA14">
        <f>SUMPRODUCT(--('Данные 2st'!$Q$2:$Q$317=$A14),--ISNUMBER('Данные 2st'!$ET$2:$ET$317))</f>
        <v>6</v>
      </c>
      <c r="MB14">
        <f>SUMPRODUCT(--('Данные 2st'!$Q$2:$Q$317=$A14),--ISNUMBER('Данные 2st'!$EU$2:$EU$317))</f>
        <v>6</v>
      </c>
      <c r="MC14">
        <f>SUMPRODUCT(--('Данные 2st'!$Q$2:$Q$317=$A14),--ISNUMBER('Данные 2st'!$EV$2:$EV$317))</f>
        <v>6</v>
      </c>
      <c r="MD14">
        <f>SUMPRODUCT(--('Данные 2st'!$Q$2:$Q$317=$A14),--ISNUMBER('Данные 2st'!$EW$2:$EW$317))</f>
        <v>6</v>
      </c>
      <c r="ME14">
        <f>SUMPRODUCT(--('Данные 2st'!$Q$2:$Q$317=$A14),--ISNUMBER('Данные 2st'!$EY$2:$EY$317))</f>
        <v>6</v>
      </c>
      <c r="MF14">
        <f>SUMPRODUCT(--('Данные 2st'!$Q$2:$Q$317=$A14),--ISNUMBER('Данные 2st'!$FA$2:$FA$317))</f>
        <v>6</v>
      </c>
      <c r="MG14">
        <f>SUMPRODUCT(--('Данные 2st'!$Q$2:$Q$317=$A14),--ISNUMBER('Данные 2st'!$FB$2:$FB$317))</f>
        <v>6</v>
      </c>
      <c r="MH14">
        <f>SUMPRODUCT(--('Данные 2st'!$Q$2:$Q$317=$A14),--ISNUMBER('Данные 2st'!$FC$2:$FC$317))</f>
        <v>6</v>
      </c>
      <c r="MI14">
        <f>SUMPRODUCT(--('Данные 2st'!$Q$2:$Q$317=$A14),--ISNUMBER('Данные 2st'!$FD$2:$FD$317))</f>
        <v>6</v>
      </c>
      <c r="MJ14">
        <f>SUMPRODUCT(--('Данные 2st'!$Q$2:$Q$317=$A14),--ISNUMBER('Данные 2st'!$FE$2:$FE$317))</f>
        <v>6</v>
      </c>
      <c r="MK14">
        <f>SUMPRODUCT(--('Данные 2st'!$Q$2:$Q$317=$A14),--ISNUMBER('Данные 2st'!$FG$2:$FG$317))</f>
        <v>6</v>
      </c>
      <c r="ML14">
        <f>SUMPRODUCT(--('Данные 2st'!$Q$2:$Q$317=$A14),--ISNUMBER('Данные 2st'!$FI$2:$FI$317))</f>
        <v>6</v>
      </c>
      <c r="MM14">
        <f>SUMPRODUCT(--('Данные 2st'!$Q$2:$Q$317=$A14),--ISNUMBER('Данные 2st'!$FJ$2:$FJ$317))</f>
        <v>6</v>
      </c>
      <c r="MN14">
        <f>SUMPRODUCT(--('Данные 2st'!$Q$2:$Q$317=$A14),--ISNUMBER('Данные 2st'!$FK$2:$FK$317))</f>
        <v>6</v>
      </c>
      <c r="MO14">
        <f>SUMPRODUCT(--('Данные 2st'!$Q$2:$Q$317=$A14),--ISNUMBER('Данные 2st'!$FP$2:$FP$317))</f>
        <v>6</v>
      </c>
      <c r="MP14">
        <f>SUMPRODUCT(--('Данные 2st'!$Q$2:$Q$317=$A14),--ISNUMBER('Данные 2st'!$FQ$2:$FQ$317))</f>
        <v>6</v>
      </c>
      <c r="MQ14">
        <f>SUMPRODUCT(--('Данные 2st'!$Q$2:$Q$317=$A14),--ISNUMBER('Данные 2st'!$FS$2:$FS$317))</f>
        <v>6</v>
      </c>
      <c r="MR14">
        <f>SUMPRODUCT(--('Данные 2st'!$Q$2:$Q$317=$A14),--ISNUMBER('Данные 2st'!$FU$2:$FU$317))</f>
        <v>6</v>
      </c>
      <c r="MS14">
        <f>SUMPRODUCT(--('Данные 2st'!$Q$2:$Q$317=$A14),--ISNUMBER('Данные 2st'!$FV$2:$FV$317))</f>
        <v>6</v>
      </c>
      <c r="MT14">
        <f>SUMPRODUCT(--('Данные 2st'!$Q$2:$Q$317=$A14),--ISNUMBER('Данные 2st'!$FW$2:$FW$317))</f>
        <v>6</v>
      </c>
      <c r="MU14">
        <f>SUMPRODUCT(--('Данные 2st'!$Q$2:$Q$317=$A14),--ISNUMBER('Данные 2st'!$FY$2:$FY$317))</f>
        <v>5</v>
      </c>
      <c r="MV14">
        <f>SUMPRODUCT(--('Данные 2st'!$Q$2:$Q$317=$A14),--ISNUMBER('Данные 2st'!$GB$2:$GB$317))</f>
        <v>5</v>
      </c>
      <c r="MW14">
        <f>SUMPRODUCT(--('Данные 2st'!$Q$2:$Q$317=$A14),--ISNUMBER('Данные 2st'!$GC$2:$GC$317))</f>
        <v>5</v>
      </c>
      <c r="MX14">
        <f>SUMPRODUCT(--('Данные 2st'!$Q$2:$Q$317=$A14),--ISNUMBER('Данные 2st'!$GD$2:$GD$317))</f>
        <v>6</v>
      </c>
      <c r="MY14">
        <f>SUMPRODUCT(--('Данные 2st'!$Q$2:$Q$317=$A14),--ISNUMBER('Данные 2st'!$GN$2:$GN$317))</f>
        <v>0</v>
      </c>
      <c r="MZ14">
        <f>SUMPRODUCT(--('Данные 2st'!$Q$2:$Q$317=$A14),--ISNUMBER('Данные 2st'!$GQ$2:$GQ$317))</f>
        <v>6</v>
      </c>
      <c r="NA14">
        <f>SUMPRODUCT(--('Данные 2st'!$Q$2:$Q$317=$A14),--ISNUMBER('Данные 2st'!$GV$2:$GV$317))</f>
        <v>6</v>
      </c>
      <c r="NB14">
        <f>SUMPRODUCT(--('Данные 2st'!$Q$2:$Q$317=$A14),--ISNUMBER('Данные 2st'!$GW$2:$GW$317))</f>
        <v>6</v>
      </c>
      <c r="NC14">
        <f>SUMPRODUCT(--('Данные 2st'!$Q$2:$Q$317=$A14),--ISNUMBER('Данные 2st'!$GX$2:$GX$317))</f>
        <v>6</v>
      </c>
      <c r="ND14">
        <f>SUMPRODUCT(--('Данные 2st'!$Q$2:$Q$317=$A14),--ISNUMBER('Данные 2st'!$GY$2:$GY$317))</f>
        <v>6</v>
      </c>
      <c r="NE14">
        <f>SUMPRODUCT(--('Данные 2st'!$Q$2:$Q$317=$A14),--ISNUMBER('Данные 2st'!$GZ$2:$GZ$317))</f>
        <v>6</v>
      </c>
      <c r="NF14">
        <f>SUMPRODUCT(--('Данные 2st'!$Q$2:$Q$317=$A14),--ISNUMBER('Данные 2st'!$HA$2:$HA$317))</f>
        <v>6</v>
      </c>
      <c r="NG14">
        <f>SUMPRODUCT(--('Данные 2st'!$Q$2:$Q$317=$A14),--ISNUMBER('Данные 2st'!$HB$2:$HB$317))</f>
        <v>6</v>
      </c>
      <c r="NH14">
        <f>SUMPRODUCT(--('Данные 2st'!$Q$2:$Q$317=$A14),--ISNUMBER('Данные 2st'!$HC$2:$HC$317))</f>
        <v>6</v>
      </c>
      <c r="NI14">
        <f>SUMPRODUCT(--('Данные 2st'!$Q$2:$Q$317=$A14),--ISNUMBER('Данные 2st'!$HD$2:$HD$317))</f>
        <v>6</v>
      </c>
      <c r="NJ14">
        <f>SUMPRODUCT(--('Данные 2st'!$Q$2:$Q$317=$A14),--ISNUMBER('Данные 2st'!$HM$2:$HM$317))</f>
        <v>6</v>
      </c>
      <c r="NK14">
        <f>SUMPRODUCT(--('Данные 2st'!$Q$2:$Q$317=$A14),--ISNUMBER('Данные 2st'!$HR$2:$HR$317))</f>
        <v>6</v>
      </c>
      <c r="NL14">
        <f>SUMPRODUCT(--('Данные 2st'!$Q$2:$Q$317=$A14),--ISNUMBER('Данные 2st'!$HS$2:$HS$317))</f>
        <v>6</v>
      </c>
      <c r="NM14">
        <f>SUMPRODUCT(--('Данные 2st'!$Q$2:$Q$317=$A14),--ISNUMBER('Данные 2st'!$HT$2:$HT$317))</f>
        <v>6</v>
      </c>
      <c r="NN14">
        <f>SUMPRODUCT(--('Данные 2st'!$Q$2:$Q$317=$A14),--ISNUMBER('Данные 2st'!$HY$2:$HY$317))</f>
        <v>6</v>
      </c>
      <c r="NO14">
        <f>SUMPRODUCT(--('Данные 2st'!$Q$2:$Q$317=$A14),--ISNUMBER('Данные 2st'!$HZ$2:$HZ$317))</f>
        <v>6</v>
      </c>
      <c r="NP14">
        <f>SUMPRODUCT(--('Данные 2st'!$Q$2:$Q$317=$A14),--ISNUMBER('Данные 2st'!$IA$2:$IA$317))</f>
        <v>6</v>
      </c>
      <c r="NQ14">
        <f>SUMPRODUCT(--('Данные 2st'!$Q$2:$Q$317=$A14),--ISNUMBER('Данные 2st'!$IB$2:$IB$317))</f>
        <v>6</v>
      </c>
      <c r="NR14">
        <f>SUMPRODUCT(--('Данные 2st'!$Q$2:$Q$317=$A14),--ISNUMBER('Данные 2st'!$IC$2:$IC$317))</f>
        <v>0</v>
      </c>
      <c r="NS14">
        <f>SUMPRODUCT(--('Данные 2st'!$Q$2:$Q$317=$A14),--ISNUMBER('Данные 2st'!$ID$2:$ID$317))</f>
        <v>6</v>
      </c>
      <c r="NT14">
        <f>SUMPRODUCT(--('Данные 2st'!$Q$2:$Q$317=$A14),--ISNUMBER('Данные 2st'!$IE$2:$IE$317))</f>
        <v>6</v>
      </c>
      <c r="NU14">
        <f>SUMPRODUCT(--('Данные 2st'!$Q$2:$Q$317=$A14),--ISNUMBER('Данные 2st'!$IF$2:$IF$317))</f>
        <v>6</v>
      </c>
      <c r="NV14">
        <f>SUMPRODUCT(--('Данные 2st'!$Q$2:$Q$317=$A14),--ISNUMBER('Данные 2st'!$IG$2:$IG$317))</f>
        <v>6</v>
      </c>
      <c r="NW14">
        <f>SUMPRODUCT(--('Данные 2st'!$Q$2:$Q$317=$A14),--ISNUMBER('Данные 2st'!$IH$2:$IH$317))</f>
        <v>6</v>
      </c>
      <c r="NX14">
        <f>SUMPRODUCT(--('Данные 2st'!$Q$2:$Q$317=$A14),--ISNUMBER('Данные 2st'!$IJ$2:$IJ$317))</f>
        <v>6</v>
      </c>
      <c r="NY14">
        <f>SUMPRODUCT(--('Данные 2st'!$Q$2:$Q$317=$A14),--ISNUMBER('Данные 2st'!$IM$2:$IM$317))</f>
        <v>6</v>
      </c>
      <c r="NZ14">
        <f>SUMPRODUCT(--('Данные 2st'!$Q$2:$Q$317=$A14),--ISNUMBER('Данные 2st'!$IN$2:$IN$317))</f>
        <v>6</v>
      </c>
      <c r="OA14">
        <f>SUMPRODUCT(--('Данные 2st'!$Q$2:$Q$317=$A14),--ISNUMBER('Данные 2st'!$IO$2:$IO$317))</f>
        <v>6</v>
      </c>
      <c r="OB14">
        <f>SUMPRODUCT(--('Данные 2st'!$Q$2:$Q$317=$A14),--ISNUMBER('Данные 2st'!$IP$2:$IP$317))</f>
        <v>6</v>
      </c>
      <c r="OC14">
        <f>SUMPRODUCT(--('Данные 2st'!$Q$2:$Q$317=$A14),--ISNUMBER('Данные 2st'!$IQ$2:$IQ$317))</f>
        <v>6</v>
      </c>
      <c r="OD14">
        <f>SUMPRODUCT(--('Данные 2st'!$Q$2:$Q$317=$A14),--ISNUMBER('Данные 2st'!$IR$2:$IR$317))</f>
        <v>6</v>
      </c>
      <c r="OE14">
        <f>SUMPRODUCT(--('Данные 2st'!$Q$2:$Q$317=$A14),--ISNUMBER('Данные 2st'!$IT$2:$IT$317))</f>
        <v>6</v>
      </c>
      <c r="OF14">
        <f>SUMPRODUCT(--('Данные 2st'!$Q$2:$Q$317=$A14),--ISNUMBER('Данные 2st'!$IU$2:$IU$317))</f>
        <v>6</v>
      </c>
      <c r="OG14">
        <f>SUMPRODUCT(--('Данные 2st'!$Q$2:$Q$317=$A14),--ISNUMBER('Данные 2st'!$IV$2:$IV$317))</f>
        <v>6</v>
      </c>
      <c r="OH14">
        <f>SUMPRODUCT(--('Данные 2st'!$Q$2:$Q$317=$A14),--ISNUMBER('Данные 2st'!$IW$2:$IW$317))</f>
        <v>6</v>
      </c>
      <c r="OI14">
        <f>SUMPRODUCT(--('Данные 2st'!$Q$2:$Q$317=$A14),--ISNUMBER('Данные 2st'!$IX$2:$IX$317))</f>
        <v>6</v>
      </c>
      <c r="OJ14">
        <f>SUMPRODUCT(--('Данные 2st'!$Q$2:$Q$317=$A14),--ISNUMBER('Данные 2st'!$IY$2:$IY$317))</f>
        <v>6</v>
      </c>
      <c r="OK14">
        <f>SUMPRODUCT(--('Данные 2st'!$Q$2:$Q$317=$A14),--ISNUMBER('Данные 2st'!$IZ$2:$IZ$317))</f>
        <v>6</v>
      </c>
      <c r="OL14">
        <f>SUMPRODUCT(--('Данные 2st'!$Q$2:$Q$317=$A14),--ISNUMBER('Данные 2st'!$JA$2:$JA$317))</f>
        <v>6</v>
      </c>
      <c r="OM14">
        <f>SUMPRODUCT(--('Данные 2st'!$Q$2:$Q$317=$A14),--ISNUMBER('Данные 2st'!$JB$2:$JB$317))</f>
        <v>6</v>
      </c>
      <c r="ON14">
        <f>SUMPRODUCT(--('Данные 2st'!$Q$2:$Q$317=$A14),--ISNUMBER('Данные 2st'!$JC$2:$JC$317))</f>
        <v>6</v>
      </c>
      <c r="OO14">
        <f>SUMPRODUCT(--('Данные 2st'!$Q$2:$Q$317=$A14),--ISNUMBER('Данные 2st'!$JD$2:$JD$317))</f>
        <v>6</v>
      </c>
      <c r="OP14">
        <f>SUMPRODUCT(--('Данные 2st'!$Q$2:$Q$317=$A14),--ISNUMBER('Данные 2st'!$JE$2:$JE$317))</f>
        <v>6</v>
      </c>
      <c r="OQ14">
        <f>SUMPRODUCT(--('Данные 2st'!$Q$2:$Q$317=$A14),--ISNUMBER('Данные 2st'!$JF$2:$JF$317))</f>
        <v>6</v>
      </c>
      <c r="OR14">
        <f>SUMPRODUCT(--('Данные 2st'!$Q$2:$Q$317=$A14),--ISNUMBER('Данные 2st'!$JG$2:$JG$317))</f>
        <v>6</v>
      </c>
      <c r="OS14">
        <f>SUMPRODUCT(--('Данные 2st'!$Q$2:$Q$317=$A14),--ISNUMBER('Данные 2st'!$JH$2:$JH$317))</f>
        <v>6</v>
      </c>
      <c r="OT14">
        <f>SUMPRODUCT(--('Данные 2st'!$Q$2:$Q$317=$A14),--ISNUMBER('Данные 2st'!$JI$2:$JI$317))</f>
        <v>6</v>
      </c>
      <c r="OU14">
        <f>SUMPRODUCT(--('Данные 2st'!$Q$2:$Q$317=$A14),--ISNUMBER('Данные 2st'!$JJ$2:$JJ$317))</f>
        <v>6</v>
      </c>
      <c r="OV14">
        <f>SUMPRODUCT(--('Данные 2st'!$Q$2:$Q$317=$A14),--ISNUMBER('Данные 2st'!$JK$2:$JK$317))</f>
        <v>6</v>
      </c>
      <c r="OW14">
        <f>SUMPRODUCT(--('Данные 2st'!$Q$2:$Q$317=$A14),--ISNUMBER('Данные 2st'!$JL$2:$JL$317))</f>
        <v>6</v>
      </c>
      <c r="OX14">
        <f>SUMPRODUCT(--('Данные 2st'!$Q$2:$Q$317=$A14),--ISNUMBER('Данные 2st'!$JM$2:$JM$317))</f>
        <v>6</v>
      </c>
      <c r="OY14">
        <f>SUMPRODUCT(--('Данные 2st'!$Q$2:$Q$317=$A14),--ISNUMBER('Данные 2st'!$JP$2:$JP$317))</f>
        <v>6</v>
      </c>
      <c r="OZ14">
        <f>SUMPRODUCT(--('Данные 2st'!$Q$2:$Q$317=$A14),--ISNUMBER('Данные 2st'!$JQ$2:$JQ$317))</f>
        <v>6</v>
      </c>
      <c r="PA14">
        <f>SUMPRODUCT(--('Данные 2st'!$Q$2:$Q$317=$A14),--ISNUMBER('Данные 2st'!$JR$2:$JR$317))</f>
        <v>6</v>
      </c>
      <c r="PB14">
        <f>SUMPRODUCT(--('Данные 2st'!$Q$2:$Q$317=$A14),--ISNUMBER('Данные 2st'!$JS$2:$JS$317))</f>
        <v>6</v>
      </c>
      <c r="PC14">
        <f>SUMPRODUCT(--('Данные 2st'!$Q$2:$Q$317=$A14),--ISNUMBER('Данные 2st'!$JT$2:$JT$317))</f>
        <v>6</v>
      </c>
      <c r="PD14">
        <f>SUMPRODUCT(--('Данные 2st'!$Q$2:$Q$317=$A14),--ISNUMBER('Данные 2st'!$JU$2:$JU$317))</f>
        <v>6</v>
      </c>
      <c r="PE14">
        <f>SUMPRODUCT(--('Данные 2st'!$Q$2:$Q$317=$A14),--ISNUMBER('Данные 2st'!$JV$2:$JV$317))</f>
        <v>6</v>
      </c>
      <c r="PF14">
        <f>SUMPRODUCT(--('Данные 2st'!$Q$2:$Q$317=$A14),--ISNUMBER('Данные 2st'!$JW$2:$JW$317))</f>
        <v>6</v>
      </c>
      <c r="PG14">
        <f>SUMPRODUCT(--('Данные 2st'!$Q$2:$Q$317=$A14),--ISNUMBER('Данные 2st'!$KF$2:$KF$317))</f>
        <v>6</v>
      </c>
      <c r="PH14">
        <f>SUMPRODUCT(--('Данные 2st'!$Q$2:$Q$317=$A14),--ISNUMBER('Данные 2st'!$KG$2:$KG$317))</f>
        <v>6</v>
      </c>
      <c r="PI14">
        <f>SUMPRODUCT(--('Данные 2st'!$Q$2:$Q$317=$A14),--ISNUMBER('Данные 2st'!$KM$2:$KM$317))</f>
        <v>6</v>
      </c>
      <c r="PJ14">
        <f>SUMPRODUCT(--('Данные 2st'!$Q$2:$Q$317=$A14),--ISNUMBER('Данные 2st'!$KN$2:$KN$317))</f>
        <v>6</v>
      </c>
      <c r="PK14">
        <f>SUMPRODUCT(--('Данные 2st'!$Q$2:$Q$317=$A14),--ISNUMBER('Данные 2st'!$KO$2:$KO$317))</f>
        <v>6</v>
      </c>
      <c r="PL14">
        <f>SUMPRODUCT(--('Данные 2st'!$Q$2:$Q$317=$A14),--ISNUMBER('Данные 2st'!$KP$2:$KP$317))</f>
        <v>6</v>
      </c>
      <c r="PM14">
        <f>SUMPRODUCT(--('Данные 2st'!$Q$2:$Q$317=$A14),--ISNUMBER('Данные 2st'!$KQ$2:$KQ$317))</f>
        <v>6</v>
      </c>
      <c r="PN14">
        <f>SUMPRODUCT(--('Данные 2st'!$Q$2:$Q$317=$A14),--ISNUMBER('Данные 2st'!$KR$2:$KR$317))</f>
        <v>6</v>
      </c>
      <c r="PO14">
        <f>SUMPRODUCT(--('Данные 2st'!$Q$2:$Q$317=$A14),--ISNUMBER('Данные 2st'!$KS$2:$KS$317))</f>
        <v>6</v>
      </c>
      <c r="PP14">
        <f>SUMPRODUCT(--('Данные 2st'!$Q$2:$Q$317=$A14),--ISNUMBER('Данные 2st'!$KT$2:$KT$317))</f>
        <v>6</v>
      </c>
      <c r="PQ14">
        <f>SUMPRODUCT(--('Данные 2st'!$Q$2:$Q$317=$A14),--ISNUMBER('Данные 2st'!$KU$2:$KU$317))</f>
        <v>6</v>
      </c>
      <c r="PR14">
        <f>SUMPRODUCT(--('Данные 2st'!$Q$2:$Q$317=$A14),--ISNUMBER('Данные 2st'!$KV$2:$KV$317))</f>
        <v>6</v>
      </c>
      <c r="PS14">
        <f>SUMPRODUCT(--('Данные 2st'!$Q$2:$Q$317=$A14),--ISNUMBER('Данные 2st'!$KW$2:$KW$317))</f>
        <v>6</v>
      </c>
      <c r="PT14">
        <f>SUMPRODUCT(--('Данные 2st'!$Q$2:$Q$317=$A14),--ISNUMBER('Данные 2st'!$KX$2:$KX$317))</f>
        <v>6</v>
      </c>
      <c r="PU14">
        <f>SUMPRODUCT(--('Данные 2st'!$Q$2:$Q$317=$A14),--ISNUMBER('Данные 2st'!$KY$2:$KY$317))</f>
        <v>6</v>
      </c>
      <c r="PV14">
        <f>SUMPRODUCT(--('Данные 2st'!$Q$2:$Q$317=$A14),--ISNUMBER('Данные 2st'!$KZ$2:$KZ$317))</f>
        <v>6</v>
      </c>
      <c r="PW14">
        <f>SUMPRODUCT(--('Данные 2st'!$Q$2:$Q$317=$A14),--ISNUMBER('Данные 2st'!$LA$2:$LA$317))</f>
        <v>6</v>
      </c>
      <c r="PX14">
        <f>SUMPRODUCT(--('Данные 2st'!$Q$2:$Q$317=$A14),--ISNUMBER('Данные 2st'!$LB$2:$LB$317))</f>
        <v>6</v>
      </c>
      <c r="PY14">
        <f>SUMPRODUCT(--('Данные 2st'!$Q$2:$Q$317=$A14),--ISNUMBER('Данные 2st'!$LC$2:$LC$317))</f>
        <v>6</v>
      </c>
      <c r="PZ14">
        <f>SUMPRODUCT(--('Данные 2st'!$Q$2:$Q$317=$A14),--ISNUMBER('Данные 2st'!$LD$2:$LD$317))</f>
        <v>6</v>
      </c>
      <c r="QA14">
        <f>SUMPRODUCT(--('Данные 2st'!$Q$2:$Q$317=$A14),--ISNUMBER('Данные 2st'!$LE$2:$LE$317))</f>
        <v>6</v>
      </c>
      <c r="QB14">
        <f>SUMPRODUCT(--('Данные 2st'!$Q$2:$Q$317=$A14),--ISNUMBER('Данные 2st'!$LF$2:$LF$317))</f>
        <v>6</v>
      </c>
      <c r="QC14">
        <f>SUMPRODUCT(--('Данные 2st'!$Q$2:$Q$317=$A14),--ISNUMBER('Данные 2st'!$LG$2:$LG$317))</f>
        <v>6</v>
      </c>
      <c r="QD14">
        <f>SUMPRODUCT(--('Данные 2st'!$Q$2:$Q$317=$A14),--ISNUMBER('Данные 2st'!$LH$2:$LH$317))</f>
        <v>6</v>
      </c>
      <c r="QE14">
        <f>SUMPRODUCT(--('Данные 2st'!$Q$2:$Q$317=$A14),--ISNUMBER('Данные 2st'!$LJ$2:$LJ$317))</f>
        <v>6</v>
      </c>
      <c r="QF14">
        <f>SUMPRODUCT(--('Данные 2st'!$Q$2:$Q$317=$A14),--ISNUMBER('Данные 2st'!$LK$2:$LK$317))</f>
        <v>6</v>
      </c>
      <c r="QG14">
        <f>SUMPRODUCT(--('Данные 2st'!$Q$2:$Q$317=$A14),--ISNUMBER('Данные 2st'!$LL$2:$LL$317))</f>
        <v>6</v>
      </c>
      <c r="QH14">
        <f>SUMPRODUCT(--('Данные 2st'!$Q$2:$Q$317=$A14),--ISNUMBER('Данные 2st'!$LM$2:$LM$317))</f>
        <v>6</v>
      </c>
      <c r="QI14">
        <f>SUMPRODUCT(--('Данные 2st'!$Q$2:$Q$317=$A14),--ISNUMBER('Данные 2st'!$LN$2:$LN$317))</f>
        <v>6</v>
      </c>
      <c r="QJ14">
        <f>SUMPRODUCT(--('Данные 2st'!$Q$2:$Q$317=$A14),--ISNUMBER('Данные 2st'!$LO$2:$LO$317))</f>
        <v>6</v>
      </c>
      <c r="QK14">
        <f>SUMPRODUCT(--('Данные 2st'!$Q$2:$Q$317=$A14),--ISNUMBER('Данные 2st'!$LP$2:$LP$317))</f>
        <v>6</v>
      </c>
      <c r="QL14">
        <f>SUMPRODUCT(--('Данные 2st'!$Q$2:$Q$317=$A14),--ISNUMBER('Данные 2st'!$LQ$2:$LQ$317))</f>
        <v>6</v>
      </c>
      <c r="QM14">
        <f>SUMPRODUCT(--('Данные 2st'!$Q$2:$Q$317=$A14),--ISNUMBER('Данные 2st'!$LW$2:$LW$317))</f>
        <v>6</v>
      </c>
      <c r="QN14">
        <f>SUMPRODUCT(--('Данные 2st'!$Q$2:$Q$317=$A14),--ISNUMBER('Данные 2st'!$LX$2:$LX$317))</f>
        <v>6</v>
      </c>
      <c r="QO14">
        <f>SUMPRODUCT(--('Данные 2st'!$Q$2:$Q$317=$A14),--ISNUMBER('Данные 2st'!$LY$2:$LY$317))</f>
        <v>6</v>
      </c>
      <c r="QP14">
        <f>SUMPRODUCT(--('Данные 2st'!$Q$2:$Q$317=$A14),--ISNUMBER('Данные 2st'!$LZ$2:$LZ$317))</f>
        <v>6</v>
      </c>
      <c r="QQ14">
        <f>SUMPRODUCT(--('Данные 2st'!$Q$2:$Q$317=$A14),--ISNUMBER('Данные 2st'!$MB$2:$MB$317))</f>
        <v>6</v>
      </c>
      <c r="QR14">
        <f>SUMPRODUCT(--('Данные 2st'!$Q$2:$Q$317=$A14),--ISNUMBER('Данные 2st'!$MG$2:$MG$317))</f>
        <v>6</v>
      </c>
      <c r="QS14">
        <f>SUMPRODUCT(--('Данные 2st'!$Q$2:$Q$317=$A14),--ISNUMBER('Данные 2st'!$MH$2:$MH$317))</f>
        <v>6</v>
      </c>
      <c r="QT14">
        <f>SUMPRODUCT(--('Данные 2st'!$Q$2:$Q$317=$A14),--ISNUMBER('Данные 2st'!$MI$2:$MI$317))</f>
        <v>6</v>
      </c>
      <c r="QU14">
        <f>SUMPRODUCT(--('Данные 2st'!$Q$2:$Q$317=$A14),--ISNUMBER('Данные 2st'!$MJ$2:$MJ$317))</f>
        <v>6</v>
      </c>
      <c r="QV14">
        <f>SUMPRODUCT(--('Данные 2st'!$Q$2:$Q$317=$A14),--ISNUMBER('Данные 2st'!$MK$2:$MK$317))</f>
        <v>6</v>
      </c>
      <c r="QW14">
        <f>SUMPRODUCT(--('Данные 2st'!$Q$2:$Q$317=$A14),--ISNUMBER('Данные 2st'!$MM$2:$MM$317))</f>
        <v>6</v>
      </c>
      <c r="QX14">
        <f>SUMPRODUCT(--('Данные 2st'!$Q$2:$Q$317=$A14),--ISNUMBER('Данные 2st'!$MQ$2:$MQ$317))</f>
        <v>0</v>
      </c>
      <c r="QY14">
        <f>SUMPRODUCT(--('Данные 2st'!$Q$2:$Q$317=$A14),--ISNUMBER('Данные 2st'!$MR$2:$MR$317))</f>
        <v>0</v>
      </c>
      <c r="QZ14">
        <f>SUMPRODUCT(--('Данные 2st'!$Q$2:$Q$317=$A14),--ISNUMBER('Данные 2st'!$MS$2:$MS$317))</f>
        <v>0</v>
      </c>
      <c r="RA14">
        <f>SUMPRODUCT(--('Данные 2st'!$Q$2:$Q$317=$A14),--ISNUMBER('Данные 2st'!$MT$2:$MT$317))</f>
        <v>0</v>
      </c>
      <c r="RB14">
        <f>SUMPRODUCT(--('Данные 2st'!$Q$2:$Q$317=$A14),--ISNUMBER('Данные 2st'!$MU$2:$MU$317))</f>
        <v>0</v>
      </c>
      <c r="RC14">
        <f>SUMPRODUCT(--('Данные 2st'!$Q$2:$Q$317=$A14),--ISNUMBER('Данные 2st'!$MV$2:$MV$317))</f>
        <v>0</v>
      </c>
      <c r="RD14">
        <f>SUMPRODUCT(--('Данные 2st'!$Q$2:$Q$317=$A14),--ISNUMBER('Данные 2st'!$MW$2:$MW$317))</f>
        <v>0</v>
      </c>
      <c r="RE14">
        <f>SUMPRODUCT(--('Данные 2st'!$Q$2:$Q$317=$A14),--ISNUMBER('Данные 2st'!$MX$2:$MX$317))</f>
        <v>0</v>
      </c>
      <c r="RF14">
        <f>SUMPRODUCT(--('Данные 2st'!$Q$2:$Q$317=$A14),--ISNUMBER('Данные 2st'!$MY$2:$MY$317))</f>
        <v>0</v>
      </c>
      <c r="RG14">
        <f>SUMPRODUCT(--('Данные 2st'!$Q$2:$Q$317=$A14),--ISNUMBER('Данные 2st'!$MZ$2:$MZ$317))</f>
        <v>0</v>
      </c>
      <c r="RH14">
        <f>SUMPRODUCT(--('Данные 2st'!$Q$2:$Q$317=$A14),--ISNUMBER('Данные 2st'!$NA$2:$NA$317))</f>
        <v>0</v>
      </c>
      <c r="RI14">
        <f>SUMPRODUCT(--('Данные 2st'!$Q$2:$Q$317=$A14),--ISNUMBER('Данные 2st'!$NB$2:$NB$317))</f>
        <v>0</v>
      </c>
      <c r="RJ14">
        <f>SUMPRODUCT(--('Данные 2st'!$Q$2:$Q$317=$A14),--ISNUMBER('Данные 2st'!$NC$2:$NC$317))</f>
        <v>0</v>
      </c>
      <c r="RK14">
        <f>SUMPRODUCT(--('Данные 2st'!$Q$2:$Q$317=$A14),--ISNUMBER('Данные 2st'!$ND$2:$ND$317))</f>
        <v>0</v>
      </c>
      <c r="RL14">
        <f>SUMPRODUCT(--('Данные 2st'!$Q$2:$Q$317=$A14),--ISNUMBER('Данные 2st'!$NE$2:$NE$317))</f>
        <v>0</v>
      </c>
      <c r="RM14">
        <f>SUMPRODUCT(--('Данные 2st'!$Q$2:$Q$317=$A14),--ISNUMBER('Данные 2st'!$NF$2:$NF$317))</f>
        <v>0</v>
      </c>
      <c r="RN14">
        <f>SUMPRODUCT(--('Данные 2st'!$Q$2:$Q$317=$A14),--ISNUMBER('Данные 2st'!$NG$2:$NG$317))</f>
        <v>0</v>
      </c>
      <c r="RO14">
        <f>SUMPRODUCT(--('Данные 2st'!$Q$2:$Q$317=$A14),--ISNUMBER('Данные 2st'!$NH$2:$NH$317))</f>
        <v>0</v>
      </c>
      <c r="RP14">
        <f>SUMPRODUCT(--('Данные 2st'!$Q$2:$Q$317=$A14),--ISNUMBER('Данные 2st'!$NJ$2:$NJ$317))</f>
        <v>0</v>
      </c>
      <c r="RQ14">
        <f>SUMPRODUCT(--('Данные 2st'!$Q$2:$Q$317=$A14),--ISNUMBER('Данные 2st'!$NK$2:$NK$317))</f>
        <v>0</v>
      </c>
      <c r="RR14">
        <f>SUMPRODUCT(--('Данные 2st'!$Q$2:$Q$317=$A14),--ISNUMBER('Данные 2st'!$NM$2:$NM$317))</f>
        <v>0</v>
      </c>
      <c r="RS14">
        <f>SUMPRODUCT(--('Данные 2st'!$Q$2:$Q$317=$A14),--ISNUMBER('Данные 2st'!$NN$2:$NN$317))</f>
        <v>0</v>
      </c>
      <c r="RT14">
        <f>SUMPRODUCT(--('Данные 2st'!$Q$2:$Q$317=$A14),--ISNUMBER('Данные 2st'!$NO$2:$NO$317))</f>
        <v>0</v>
      </c>
      <c r="RU14">
        <f>SUMPRODUCT(--('Данные 2st'!$Q$2:$Q$317=$A14),--ISNUMBER('Данные 2st'!$NP$2:$NP$317))</f>
        <v>0</v>
      </c>
      <c r="RV14">
        <f>SUMPRODUCT(--('Данные 2st'!$Q$2:$Q$317=$A14),--ISNUMBER('Данные 2st'!$NQ$2:$NQ$317))</f>
        <v>0</v>
      </c>
      <c r="RW14">
        <f>SUMPRODUCT(--('Данные 2st'!$Q$2:$Q$317=$A14),--ISNUMBER('Данные 2st'!$NR$2:$NR$317))</f>
        <v>0</v>
      </c>
      <c r="RX14">
        <f>SUMPRODUCT(--('Данные 2st'!$Q$2:$Q$317=$A14),--ISNUMBER('Данные 2st'!$NS$2:$NS$317))</f>
        <v>0</v>
      </c>
      <c r="RY14">
        <f>SUMPRODUCT(--('Данные 2st'!$Q$2:$Q$317=$A14),--ISNUMBER('Данные 2st'!$NT$2:$NT$317))</f>
        <v>0</v>
      </c>
      <c r="RZ14">
        <f>SUMPRODUCT(--('Данные 2st'!$Q$2:$Q$317=$A14),--ISNUMBER('Данные 2st'!$OK$2:$OK$317))</f>
        <v>6</v>
      </c>
      <c r="SA14">
        <f>SUMPRODUCT(--('Данные 2st'!$Q$2:$Q$317=$A14),--ISNUMBER('Данные 2st'!$OL$2:$OL$317))</f>
        <v>6</v>
      </c>
      <c r="SB14">
        <f>SUMPRODUCT(--('Данные 2st'!$Q$2:$Q$317=$A14),--ISNUMBER('Данные 2st'!$ON$2:$ON$317))</f>
        <v>6</v>
      </c>
      <c r="SC14">
        <f>SUMPRODUCT(--('Данные 2st'!$Q$2:$Q$317=$A14),--ISNUMBER('Данные 2st'!$OO$2:$OO$317))</f>
        <v>6</v>
      </c>
      <c r="SD14">
        <f>SUMPRODUCT(--('Данные 2st'!$Q$2:$Q$317=$A14),--ISNUMBER('Данные 2st'!$OP$2:$OP$317))</f>
        <v>6</v>
      </c>
      <c r="SE14">
        <f>SUMPRODUCT(--('Данные 2st'!$Q$2:$Q$317=$A14),--ISNUMBER('Данные 2st'!$OQ$2:$OQ$317))</f>
        <v>6</v>
      </c>
      <c r="SF14">
        <f>SUMPRODUCT(--('Данные 2st'!$Q$2:$Q$317=$A14),--ISNUMBER('Данные 2st'!$OS$2:$OS$317))</f>
        <v>6</v>
      </c>
      <c r="SG14">
        <f>SUMPRODUCT(--('Данные 2st'!$Q$2:$Q$317=$A14),--ISNUMBER('Данные 2st'!$OT$2:$OT$317))</f>
        <v>6</v>
      </c>
      <c r="SH14">
        <f>SUMPRODUCT(--('Данные 2st'!$Q$2:$Q$317=$A14),--ISNUMBER('Данные 2st'!$OU$2:$OU$317))</f>
        <v>6</v>
      </c>
      <c r="SI14">
        <f>SUMPRODUCT(--('Данные 2st'!$Q$2:$Q$317=$A14),--ISNUMBER('Данные 2st'!$OV$2:$OV$317))</f>
        <v>6</v>
      </c>
      <c r="SJ14">
        <f>SUMPRODUCT(--('Данные 2st'!$Q$2:$Q$317=$A14),--ISNUMBER('Данные 2st'!$OX$2:$OX$317))</f>
        <v>6</v>
      </c>
      <c r="SK14">
        <f>SUMPRODUCT(--('Данные 2st'!$Q$2:$Q$317=$A14),--ISNUMBER('Данные 2st'!$OY$2:$OY$317))</f>
        <v>6</v>
      </c>
      <c r="SL14">
        <f>SUMPRODUCT(--('Данные 2st'!$Q$2:$Q$317=$A14),--ISNUMBER('Данные 2st'!$OZ$2:$OZ$317))</f>
        <v>6</v>
      </c>
      <c r="SM14">
        <f>SUMPRODUCT(--('Данные 2st'!$Q$2:$Q$317=$A14),--ISNUMBER('Данные 2st'!$PA$2:$PA$317))</f>
        <v>6</v>
      </c>
      <c r="SN14">
        <f>SUMPRODUCT(--('Данные 2st'!$Q$2:$Q$317=$A14),--ISNUMBER('Данные 2st'!$PC$2:$PC$317))</f>
        <v>6</v>
      </c>
      <c r="SO14">
        <f>SUMPRODUCT(--('Данные 2st'!$Q$2:$Q$317=$A14),--ISNUMBER('Данные 2st'!$PD$2:$PD$317))</f>
        <v>6</v>
      </c>
      <c r="SP14">
        <f>SUMPRODUCT(--('Данные 2st'!$Q$2:$Q$317=$A14),--ISNUMBER('Данные 2st'!$PF$2:$PF$317))</f>
        <v>6</v>
      </c>
      <c r="SQ14">
        <f>SUMPRODUCT(--('Данные 2st'!$Q$2:$Q$317=$A14),--ISNUMBER('Данные 2st'!$PG$2:$PG$317))</f>
        <v>6</v>
      </c>
      <c r="SR14">
        <f>SUMPRODUCT(--('Данные 2st'!$Q$2:$Q$317=$A14),--ISNUMBER('Данные 2st'!$PH$2:$PH$317))</f>
        <v>6</v>
      </c>
      <c r="SS14">
        <f>SUMPRODUCT(--('Данные 2st'!$Q$2:$Q$317=$A14),--ISNUMBER('Данные 2st'!$PI$2:$PI$317))</f>
        <v>6</v>
      </c>
      <c r="ST14">
        <f>SUMPRODUCT(--('Данные 2st'!$Q$2:$Q$317=$A14),--ISNUMBER('Данные 2st'!$PJ$2:$PJ$317))</f>
        <v>6</v>
      </c>
      <c r="SU14">
        <f>SUMPRODUCT(--('Данные 2st'!$Q$2:$Q$317=$A14),--ISNUMBER('Данные 2st'!$PK$2:$PK$317))</f>
        <v>5</v>
      </c>
      <c r="SV14">
        <f>SUMPRODUCT(--('Данные 2st'!$Q$2:$Q$317=$A14),--ISNUMBER('Данные 2st'!$PL$2:$PL$317))</f>
        <v>6</v>
      </c>
      <c r="SW14">
        <f>SUMPRODUCT(--('Данные 2st'!$Q$2:$Q$317=$A14),--ISNUMBER('Данные 2st'!$PM$2:$PM$317))</f>
        <v>6</v>
      </c>
      <c r="SX14">
        <f>SUMPRODUCT(--('Данные 2st'!$Q$2:$Q$317=$A14),--ISNUMBER('Данные 2st'!$PN$2:$PN$317))</f>
        <v>6</v>
      </c>
      <c r="SY14">
        <f>SUMPRODUCT(--('Данные 2st'!$Q$2:$Q$317=$A14),--ISNUMBER('Данные 2st'!$PO$2:$PO$317))</f>
        <v>5</v>
      </c>
      <c r="SZ14">
        <f>SUMPRODUCT(--('Данные 2st'!$Q$2:$Q$317=$A14),--ISNUMBER('Данные 2st'!$PP$2:$PP$317))</f>
        <v>6</v>
      </c>
      <c r="TA14">
        <f>SUMPRODUCT(--('Данные 2st'!$Q$2:$Q$317=$A14),--ISNUMBER('Данные 2st'!$PQ$2:$PQ$317))</f>
        <v>6</v>
      </c>
      <c r="TB14">
        <f>SUMPRODUCT(--('Данные 2st'!$Q$2:$Q$317=$A14),--ISNUMBER('Данные 2st'!$PR$2:$PR$317))</f>
        <v>6</v>
      </c>
      <c r="TC14">
        <f>SUMPRODUCT(--('Данные 2st'!$Q$2:$Q$317=$A14),--ISNUMBER('Данные 2st'!$PS$2:$PS$317))</f>
        <v>6</v>
      </c>
      <c r="TD14">
        <f>SUMPRODUCT(--('Данные 2st'!$Q$2:$Q$317=$A14),--ISNUMBER('Данные 2st'!$PT$2:$PT$317))</f>
        <v>6</v>
      </c>
      <c r="TE14">
        <f>SUMPRODUCT(--('Данные 2st'!$Q$2:$Q$317=$A14),--ISNUMBER('Данные 2st'!$PU$2:$PU$317))</f>
        <v>6</v>
      </c>
      <c r="TF14">
        <f>SUMPRODUCT(--('Данные 2st'!$Q$2:$Q$317=$A14),--ISNUMBER('Данные 2st'!$PX$2:$PX$317))</f>
        <v>6</v>
      </c>
      <c r="TG14">
        <f>SUMPRODUCT(--('Данные 2st'!$Q$2:$Q$317=$A14),--ISNUMBER('Данные 2st'!$PY$2:$PY$317))</f>
        <v>6</v>
      </c>
      <c r="TH14">
        <f>SUMPRODUCT(--('Данные 2st'!$Q$2:$Q$317=$A14),--ISNUMBER('Данные 2st'!$PZ$2:$PZ$317))</f>
        <v>6</v>
      </c>
      <c r="TI14">
        <f>SUMPRODUCT(--('Данные 2st'!$Q$2:$Q$317=$A14),--ISNUMBER('Данные 2st'!$QA$2:$QA$317))</f>
        <v>6</v>
      </c>
      <c r="TJ14">
        <f>SUMPRODUCT(--('Данные 2st'!$Q$2:$Q$317=$A14),--ISNUMBER('Данные 2st'!$QB$2:$QB$317))</f>
        <v>6</v>
      </c>
      <c r="TK14">
        <f>SUMPRODUCT(--('Данные 2st'!$Q$2:$Q$317=$A14),--ISNUMBER('Данные 2st'!$QC$2:$QC$317))</f>
        <v>6</v>
      </c>
      <c r="TL14">
        <f>SUMPRODUCT(--('Данные 2st'!$Q$2:$Q$317=$A14),--ISNUMBER('Данные 2st'!$QD$2:$QD$317))</f>
        <v>6</v>
      </c>
      <c r="TM14">
        <f>SUMPRODUCT(--('Данные 2st'!$Q$2:$Q$317=$A14),--ISNUMBER('Данные 2st'!$QE$2:$QE$317))</f>
        <v>6</v>
      </c>
      <c r="TN14">
        <f>SUMPRODUCT(--('Данные 2st'!$Q$2:$Q$317=$A14),--ISNUMBER('Данные 2st'!$QF$2:$QF$317))</f>
        <v>6</v>
      </c>
      <c r="TO14">
        <f>SUMPRODUCT(--('Данные 2st'!$Q$2:$Q$317=$A14),--ISNUMBER('Данные 2st'!$QG$2:$QG$317))</f>
        <v>6</v>
      </c>
      <c r="TP14">
        <f>SUMPRODUCT(--('Данные 2st'!$Q$2:$Q$317=$A14),--ISNUMBER('Данные 2st'!$QH$2:$QH$317))</f>
        <v>6</v>
      </c>
      <c r="TQ14">
        <f>SUMPRODUCT(--('Данные 2st'!$Q$2:$Q$317=$A14),--ISNUMBER('Данные 2st'!$QI$2:$QI$317))</f>
        <v>6</v>
      </c>
      <c r="TR14">
        <f>SUMPRODUCT(--('Данные 2st'!$Q$2:$Q$317=$A14),--ISNUMBER('Данные 2st'!$QJ$2:$QJ$317))</f>
        <v>6</v>
      </c>
      <c r="TS14">
        <f>SUMPRODUCT(--('Данные 2st'!$Q$2:$Q$317=$A14),--ISNUMBER('Данные 2st'!$QK$2:$QK$317))</f>
        <v>6</v>
      </c>
      <c r="TT14">
        <f>SUMPRODUCT(--('Данные 2st'!$Q$2:$Q$317=$A14),--ISNUMBER('Данные 2st'!$QL$2:$QL$317))</f>
        <v>6</v>
      </c>
      <c r="TU14">
        <f>SUMPRODUCT(--('Данные 2st'!$Q$2:$Q$317=$A14),--ISNUMBER('Данные 2st'!$QM$2:$QM$317))</f>
        <v>6</v>
      </c>
      <c r="TV14">
        <f>SUMPRODUCT(--('Данные 2st'!$Q$2:$Q$317=$A14),--ISNUMBER('Данные 2st'!$QN$2:$QN$317))</f>
        <v>6</v>
      </c>
      <c r="TW14">
        <f>SUMPRODUCT(--('Данные 2st'!$Q$2:$Q$317=$A14),--ISNUMBER('Данные 2st'!$QQ$2:$QQ$317))</f>
        <v>6</v>
      </c>
      <c r="TX14">
        <f>SUMPRODUCT(--('Данные 2st'!$Q$2:$Q$317=$A14),--ISNUMBER('Данные 2st'!$QS$2:$QS$317))</f>
        <v>6</v>
      </c>
      <c r="TY14">
        <f>SUMPRODUCT(--('Данные 2st'!$Q$2:$Q$317=$A14),--ISNUMBER('Данные 2st'!$QT$2:$QT$317))</f>
        <v>6</v>
      </c>
    </row>
    <row r="15" spans="1:545" ht="32" customHeight="1">
      <c r="A15" s="11" t="str">
        <f>'По размерам'!A15</f>
        <v>205/55R16</v>
      </c>
      <c r="G15">
        <f>SUMPRODUCT(--('Данные 1st'!$S$2:$S$317=$A15),--ISNUMBER('Данные 1st'!$AE$2:$AE$317))</f>
        <v>23</v>
      </c>
      <c r="H15">
        <f>SUMPRODUCT(--('Данные 1st'!$S$2:$S$317=$A15),--ISNUMBER('Данные 1st'!$AF$2:$AF$317))</f>
        <v>23</v>
      </c>
      <c r="I15">
        <f>SUMPRODUCT(--('Данные 1st'!$S$2:$S$317=$A15),--ISNUMBER('Данные 1st'!$AJ$2:$AJ$317))</f>
        <v>23</v>
      </c>
      <c r="J15">
        <f>SUMPRODUCT(--('Данные 1st'!$S$2:$S$317=$A15),--ISNUMBER('Данные 1st'!$AL$2:$AL$317))</f>
        <v>23</v>
      </c>
      <c r="K15">
        <f>SUMPRODUCT(--('Данные 1st'!$S$2:$S$317=$A15),--ISNUMBER('Данные 1st'!$AR$2:$AR$317))</f>
        <v>23</v>
      </c>
      <c r="L15">
        <f>SUMPRODUCT(--('Данные 1st'!$S$2:$S$317=$A15),--ISNUMBER('Данные 1st'!$AS$2:$AS$317))</f>
        <v>23</v>
      </c>
      <c r="M15">
        <f>SUMPRODUCT(--('Данные 1st'!$S$2:$S$317=$A15),--ISNUMBER('Данные 1st'!$AY$2:$AY$317))</f>
        <v>23</v>
      </c>
      <c r="N15">
        <f>SUMPRODUCT(--('Данные 1st'!$S$2:$S$317=$A15),--ISNUMBER('Данные 1st'!$AZ$2:$AZ$317))</f>
        <v>23</v>
      </c>
      <c r="O15">
        <f>SUMPRODUCT(--('Данные 1st'!$S$2:$S$317=$A15),--ISNUMBER('Данные 1st'!$BF$2:$BF$317))</f>
        <v>0</v>
      </c>
      <c r="P15">
        <f>SUMPRODUCT(--('Данные 1st'!$S$2:$S$317=$A15),--ISNUMBER('Данные 1st'!$BG$2:$BG$317))</f>
        <v>23</v>
      </c>
      <c r="Q15">
        <f>SUMPRODUCT(--('Данные 1st'!$S$2:$S$317=$A15),--ISNUMBER('Данные 1st'!$BM$2:$BM$317))</f>
        <v>0</v>
      </c>
      <c r="R15">
        <f>SUMPRODUCT(--('Данные 1st'!$S$2:$S$317=$A15),--ISNUMBER('Данные 1st'!$BN$2:$BN$317))</f>
        <v>23</v>
      </c>
      <c r="S15">
        <f>SUMPRODUCT(--('Данные 1st'!$S$2:$S$317=$A15),--ISNUMBER('Данные 1st'!$BT$2:$BT$317))</f>
        <v>23</v>
      </c>
      <c r="T15">
        <f>SUMPRODUCT(--('Данные 1st'!$S$2:$S$317=$A15),--ISNUMBER('Данные 1st'!$BU$2:$BU$317))</f>
        <v>23</v>
      </c>
      <c r="U15">
        <f>SUMPRODUCT(--('Данные 1st'!$S$2:$S$317=$A15),--ISNUMBER('Данные 1st'!$BW$2:$BW$317))</f>
        <v>23</v>
      </c>
      <c r="V15">
        <f>SUMPRODUCT(--('Данные 1st'!$S$2:$S$317=$A15),--ISNUMBER('Данные 1st'!$BX$2:$BX$317))</f>
        <v>23</v>
      </c>
      <c r="W15">
        <f>SUMPRODUCT(--('Данные 1st'!$S$2:$S$317=$A15),--ISNUMBER('Данные 1st'!$BZ$2:$BZ$317))</f>
        <v>23</v>
      </c>
      <c r="X15">
        <f>SUMPRODUCT(--('Данные 1st'!$S$2:$S$317=$A15),--ISNUMBER('Данные 1st'!$CA$2:$CA$317))</f>
        <v>23</v>
      </c>
      <c r="Y15">
        <f>SUMPRODUCT(--('Данные 1st'!$S$2:$S$317=$A15),--ISNUMBER('Данные 1st'!$CD$2:$CD$317))</f>
        <v>23</v>
      </c>
      <c r="Z15">
        <f>SUMPRODUCT(--('Данные 1st'!$S$2:$S$317=$A15),--ISNUMBER('Данные 1st'!$CF$2:$CF$317))</f>
        <v>23</v>
      </c>
      <c r="AA15">
        <f>SUMPRODUCT(--('Данные 1st'!$S$2:$S$317=$A15),--ISNUMBER('Данные 1st'!$CI$2:$CI$317))</f>
        <v>23</v>
      </c>
      <c r="AB15">
        <f>SUMPRODUCT(--('Данные 1st'!$S$2:$S$317=$A15),--ISNUMBER('Данные 1st'!$CJ$2:$CJ$317))</f>
        <v>23</v>
      </c>
      <c r="AC15">
        <f>SUMPRODUCT(--('Данные 1st'!$S$2:$S$317=$A15),--ISNUMBER('Данные 1st'!$CK$2:$CK$317))</f>
        <v>23</v>
      </c>
      <c r="AD15">
        <f>SUMPRODUCT(--('Данные 1st'!$S$2:$S$317=$A15),--ISNUMBER('Данные 1st'!$CL$2:$CL$317))</f>
        <v>23</v>
      </c>
      <c r="AE15">
        <f>SUMPRODUCT(--('Данные 1st'!$S$2:$S$317=$A15),--ISNUMBER('Данные 1st'!$CM$2:$CM$317))</f>
        <v>23</v>
      </c>
      <c r="AF15">
        <f>SUMPRODUCT(--('Данные 1st'!$S$2:$S$317=$A15),--ISNUMBER('Данные 1st'!$CT$2:$CT$317))</f>
        <v>23</v>
      </c>
      <c r="AG15">
        <f>SUMPRODUCT(--('Данные 1st'!$S$2:$S$317=$A15),--ISNUMBER('Данные 1st'!$CU$2:$CU$317))</f>
        <v>23</v>
      </c>
      <c r="AH15">
        <f>SUMPRODUCT(--('Данные 1st'!$S$2:$S$317=$A15),--ISNUMBER('Данные 1st'!$CV$2:$CV$317))</f>
        <v>23</v>
      </c>
      <c r="AI15">
        <f>SUMPRODUCT(--('Данные 1st'!$S$2:$S$317=$A15),--ISNUMBER('Данные 1st'!$CW$2:$CW$317))</f>
        <v>23</v>
      </c>
      <c r="AJ15">
        <f>SUMPRODUCT(--('Данные 1st'!$S$2:$S$317=$A15),--ISNUMBER('Данные 1st'!$CX$2:$CX$317))</f>
        <v>23</v>
      </c>
      <c r="AK15">
        <f>SUMPRODUCT(--('Данные 1st'!$S$2:$S$317=$A15),--ISNUMBER('Данные 1st'!$CZ$2:$CZ$317))</f>
        <v>4</v>
      </c>
      <c r="AL15">
        <f>SUMPRODUCT(--('Данные 1st'!$S$2:$S$317=$A15),--ISNUMBER('Данные 1st'!$DA$2:$DA$317))</f>
        <v>4</v>
      </c>
      <c r="AM15">
        <f>SUMPRODUCT(--('Данные 1st'!$S$2:$S$317=$A15),--ISNUMBER('Данные 1st'!$DB$2:$DB$317))</f>
        <v>4</v>
      </c>
      <c r="AN15">
        <f>SUMPRODUCT(--('Данные 1st'!$S$2:$S$317=$A15),--ISNUMBER('Данные 1st'!$DC$2:$DC$317))</f>
        <v>4</v>
      </c>
      <c r="AO15">
        <f>SUMPRODUCT(--('Данные 1st'!$S$2:$S$317=$A15),--ISNUMBER('Данные 1st'!$DD$2:$DD$317))</f>
        <v>23</v>
      </c>
      <c r="AP15">
        <f>SUMPRODUCT(--('Данные 1st'!$S$2:$S$317=$A15),--ISNUMBER('Данные 1st'!$DF$2:$DF$317))</f>
        <v>23</v>
      </c>
      <c r="AQ15">
        <f>SUMPRODUCT(--('Данные 1st'!$S$2:$S$317=$A15),--ISNUMBER('Данные 1st'!$DG$2:$DG$317))</f>
        <v>23</v>
      </c>
      <c r="AR15">
        <f>SUMPRODUCT(--('Данные 1st'!$S$2:$S$317=$A15),--ISNUMBER('Данные 1st'!$DH$2:$DH$317))</f>
        <v>23</v>
      </c>
      <c r="AS15">
        <f>SUMPRODUCT(--('Данные 1st'!$S$2:$S$317=$A15),--ISNUMBER('Данные 1st'!$DI$2:$DI$317))</f>
        <v>23</v>
      </c>
      <c r="AT15">
        <f>SUMPRODUCT(--('Данные 1st'!$S$2:$S$317=$A15),--ISNUMBER('Данные 1st'!$DJ$2:$DJ$317))</f>
        <v>23</v>
      </c>
      <c r="AU15">
        <f>SUMPRODUCT(--('Данные 1st'!$S$2:$S$317=$A15),--ISNUMBER('Данные 1st'!$DL$2:$DL$317))</f>
        <v>0</v>
      </c>
      <c r="AV15">
        <f>SUMPRODUCT(--('Данные 1st'!$S$2:$S$317=$A15),--ISNUMBER('Данные 1st'!$DM$2:$DM$317))</f>
        <v>0</v>
      </c>
      <c r="AW15">
        <f>SUMPRODUCT(--('Данные 1st'!$S$2:$S$317=$A15),--ISNUMBER('Данные 1st'!$DN$2:$DN$317))</f>
        <v>0</v>
      </c>
      <c r="AX15">
        <f>SUMPRODUCT(--('Данные 1st'!$S$2:$S$317=$A15),--ISNUMBER('Данные 1st'!$DO$2:$DO$317))</f>
        <v>0</v>
      </c>
      <c r="AY15">
        <f>SUMPRODUCT(--('Данные 1st'!$S$2:$S$317=$A15),--ISNUMBER('Данные 1st'!$DP$2:$DP$317))</f>
        <v>0</v>
      </c>
      <c r="AZ15">
        <f>SUMPRODUCT(--('Данные 1st'!$S$2:$S$317=$A15),--ISNUMBER('Данные 1st'!$DR$2:$DR$317))</f>
        <v>0</v>
      </c>
      <c r="BA15">
        <f>SUMPRODUCT(--('Данные 1st'!$S$2:$S$317=$A15),--ISNUMBER('Данные 1st'!$DS$2:$DS$317))</f>
        <v>0</v>
      </c>
      <c r="BB15">
        <f>SUMPRODUCT(--('Данные 1st'!$S$2:$S$317=$A15),--ISNUMBER('Данные 1st'!$DT$2:$DT$317))</f>
        <v>0</v>
      </c>
      <c r="BC15">
        <f>SUMPRODUCT(--('Данные 1st'!$S$2:$S$317=$A15),--ISNUMBER('Данные 1st'!$DU$2:$DU$317))</f>
        <v>0</v>
      </c>
      <c r="BD15">
        <f>SUMPRODUCT(--('Данные 1st'!$S$2:$S$317=$A15),--ISNUMBER('Данные 1st'!$DV$2:$DV$317))</f>
        <v>0</v>
      </c>
      <c r="BE15">
        <f>SUMPRODUCT(--('Данные 1st'!$S$2:$S$317=$A15),--ISNUMBER('Данные 1st'!$DX$2:$DX$317))</f>
        <v>23</v>
      </c>
      <c r="BF15">
        <f>SUMPRODUCT(--('Данные 1st'!$S$2:$S$317=$A15),--ISNUMBER('Данные 1st'!$EA$2:$EA$317))</f>
        <v>23</v>
      </c>
      <c r="BG15">
        <f>SUMPRODUCT(--('Данные 1st'!$S$2:$S$317=$A15),--ISNUMBER('Данные 1st'!$EB$2:$EB$317))</f>
        <v>23</v>
      </c>
      <c r="BH15">
        <f>SUMPRODUCT(--('Данные 1st'!$S$2:$S$317=$A15),--ISNUMBER('Данные 1st'!$ED$2:$ED$317))</f>
        <v>23</v>
      </c>
      <c r="BI15">
        <f>SUMPRODUCT(--('Данные 1st'!$S$2:$S$317=$A15),--ISNUMBER('Данные 1st'!$EE$2:$EE$317))</f>
        <v>22</v>
      </c>
      <c r="BJ15">
        <f>SUMPRODUCT(--('Данные 1st'!$S$2:$S$317=$A15),--ISNUMBER('Данные 1st'!$EG$2:$EG$317))</f>
        <v>23</v>
      </c>
      <c r="BK15">
        <f>SUMPRODUCT(--('Данные 1st'!$S$2:$S$317=$A15),--ISNUMBER('Данные 1st'!$EH$2:$EH$317))</f>
        <v>23</v>
      </c>
      <c r="BL15">
        <f>SUMPRODUCT(--('Данные 1st'!$S$2:$S$317=$A15),--ISNUMBER('Данные 1st'!$EJ$2:$EJ$317))</f>
        <v>23</v>
      </c>
      <c r="BM15">
        <f>SUMPRODUCT(--('Данные 1st'!$S$2:$S$317=$A15),--ISNUMBER('Данные 1st'!$EK$2:$EK$317))</f>
        <v>23</v>
      </c>
      <c r="BN15">
        <f>SUMPRODUCT(--('Данные 1st'!$S$2:$S$317=$A15),--ISNUMBER('Данные 1st'!$EN$2:$EN$317))</f>
        <v>23</v>
      </c>
      <c r="BO15">
        <f>SUMPRODUCT(--('Данные 1st'!$S$2:$S$317=$A15),--ISNUMBER('Данные 1st'!$EQ$2:$EQ$317))</f>
        <v>23</v>
      </c>
      <c r="BP15">
        <f>SUMPRODUCT(--('Данные 1st'!$S$2:$S$317=$A15),--ISNUMBER('Данные 1st'!$ER$2:$ER$317))</f>
        <v>23</v>
      </c>
      <c r="BQ15">
        <f>SUMPRODUCT(--('Данные 1st'!$S$2:$S$317=$A15),--ISNUMBER('Данные 1st'!$ES$2:$ES$317))</f>
        <v>23</v>
      </c>
      <c r="BR15">
        <f>SUMPRODUCT(--('Данные 1st'!$S$2:$S$317=$A15),--ISNUMBER('Данные 1st'!$ET$2:$ET$317))</f>
        <v>23</v>
      </c>
      <c r="BS15">
        <f>SUMPRODUCT(--('Данные 1st'!$S$2:$S$317=$A15),--ISNUMBER('Данные 1st'!$EU$2:$EU$317))</f>
        <v>23</v>
      </c>
      <c r="BT15">
        <f>SUMPRODUCT(--('Данные 1st'!$S$2:$S$317=$A15),--ISNUMBER('Данные 1st'!$EV$2:$EV$317))</f>
        <v>23</v>
      </c>
      <c r="BU15">
        <f>SUMPRODUCT(--('Данные 1st'!$S$2:$S$317=$A15),--ISNUMBER('Данные 1st'!$EX$2:$EX$317))</f>
        <v>23</v>
      </c>
      <c r="BV15">
        <f>SUMPRODUCT(--('Данные 1st'!$S$2:$S$317=$A15),--ISNUMBER('Данные 1st'!$EY$2:$EY$317))</f>
        <v>23</v>
      </c>
      <c r="BW15">
        <f>SUMPRODUCT(--('Данные 1st'!$S$2:$S$317=$A15),--ISNUMBER('Данные 1st'!$EZ$2:$EZ$317))</f>
        <v>23</v>
      </c>
      <c r="BX15">
        <f>SUMPRODUCT(--('Данные 1st'!$S$2:$S$317=$A15),--ISNUMBER('Данные 1st'!$FA$2:$FA$317))</f>
        <v>23</v>
      </c>
      <c r="BY15">
        <f>SUMPRODUCT(--('Данные 1st'!$S$2:$S$317=$A15),--ISNUMBER('Данные 1st'!$FB$2:$FB$317))</f>
        <v>23</v>
      </c>
      <c r="BZ15">
        <f>SUMPRODUCT(--('Данные 1st'!$S$2:$S$317=$A15),--ISNUMBER('Данные 1st'!$FC$2:$FC$317))</f>
        <v>23</v>
      </c>
      <c r="CA15">
        <f>SUMPRODUCT(--('Данные 1st'!$S$2:$S$317=$A15),--ISNUMBER('Данные 1st'!$FE$2:$FE$317))</f>
        <v>23</v>
      </c>
      <c r="CB15">
        <f>SUMPRODUCT(--('Данные 1st'!$S$2:$S$317=$A15),--ISNUMBER('Данные 1st'!$FF$2:$FF$317))</f>
        <v>23</v>
      </c>
      <c r="CC15">
        <f>SUMPRODUCT(--('Данные 1st'!$S$2:$S$317=$A15),--ISNUMBER('Данные 1st'!$FI$2:$FI$317))</f>
        <v>23</v>
      </c>
      <c r="CD15">
        <f>SUMPRODUCT(--('Данные 1st'!$S$2:$S$317=$A15),--ISNUMBER('Данные 1st'!$FL$2:$FL$317))</f>
        <v>23</v>
      </c>
      <c r="CE15">
        <f>SUMPRODUCT(--('Данные 1st'!$S$2:$S$317=$A15),--ISNUMBER('Данные 1st'!$FM$2:$FM$317))</f>
        <v>23</v>
      </c>
      <c r="CF15">
        <f>SUMPRODUCT(--('Данные 1st'!$S$2:$S$317=$A15),--ISNUMBER('Данные 1st'!$FN$2:$FN$317))</f>
        <v>23</v>
      </c>
      <c r="CG15">
        <f>SUMPRODUCT(--('Данные 1st'!$S$2:$S$317=$A15),--ISNUMBER('Данные 1st'!$FO$2:$FO$317))</f>
        <v>4</v>
      </c>
      <c r="CH15">
        <f>SUMPRODUCT(--('Данные 1st'!$S$2:$S$317=$A15),--ISNUMBER('Данные 1st'!$FP$2:$FP$317))</f>
        <v>4</v>
      </c>
      <c r="CI15">
        <f>SUMPRODUCT(--('Данные 1st'!$S$2:$S$317=$A15),--ISNUMBER('Данные 1st'!$FS$2:$FS$317))</f>
        <v>18</v>
      </c>
      <c r="CJ15">
        <f>SUMPRODUCT(--('Данные 1st'!$S$2:$S$317=$A15),--ISNUMBER('Данные 1st'!$FT$2:$FT$317))</f>
        <v>18</v>
      </c>
      <c r="CK15">
        <f>SUMPRODUCT(--('Данные 1st'!$S$2:$S$317=$A15),--ISNUMBER('Данные 1st'!$FU$2:$FU$317))</f>
        <v>18</v>
      </c>
      <c r="CL15">
        <f>SUMPRODUCT(--('Данные 1st'!$S$2:$S$317=$A15),--ISNUMBER('Данные 1st'!$FV$2:$FV$317))</f>
        <v>10</v>
      </c>
      <c r="CM15">
        <f>SUMPRODUCT(--('Данные 1st'!$S$2:$S$317=$A15),--ISNUMBER('Данные 1st'!$FW$2:$FW$317))</f>
        <v>10</v>
      </c>
      <c r="CN15">
        <f>SUMPRODUCT(--('Данные 1st'!$S$2:$S$317=$A15),--ISNUMBER('Данные 1st'!$FZ$2:$FZ$317))</f>
        <v>1</v>
      </c>
      <c r="CO15">
        <f>SUMPRODUCT(--('Данные 1st'!$S$2:$S$317=$A15),--ISNUMBER('Данные 1st'!$GA$2:$GA$317))</f>
        <v>1</v>
      </c>
      <c r="CP15">
        <f>SUMPRODUCT(--('Данные 1st'!$S$2:$S$317=$A15),--ISNUMBER('Данные 1st'!$GB$2:$GB$317))</f>
        <v>1</v>
      </c>
      <c r="CQ15">
        <f>SUMPRODUCT(--('Данные 1st'!$S$2:$S$317=$A15),--ISNUMBER('Данные 1st'!$GH$2:$GH$317))</f>
        <v>1</v>
      </c>
      <c r="CR15">
        <f>SUMPRODUCT(--('Данные 1st'!$S$2:$S$317=$A15),--ISNUMBER('Данные 1st'!$GI$2:$GI$317))</f>
        <v>1</v>
      </c>
      <c r="CS15">
        <f>SUMPRODUCT(--('Данные 1st'!$S$2:$S$317=$A15),--ISNUMBER('Данные 1st'!$GJ$2:$GJ$317))</f>
        <v>1</v>
      </c>
      <c r="CT15">
        <f>SUMPRODUCT(--('Данные 1st'!$S$2:$S$317=$A15),--ISNUMBER('Данные 1st'!$GS$2:$GS$317))</f>
        <v>0</v>
      </c>
      <c r="CU15">
        <f>SUMPRODUCT(--('Данные 1st'!$S$2:$S$317=$A15),--ISNUMBER('Данные 1st'!$GT$2:$GT$317))</f>
        <v>0</v>
      </c>
      <c r="CV15">
        <f>SUMPRODUCT(--('Данные 1st'!$S$2:$S$317=$A15),--ISNUMBER('Данные 1st'!$GU$2:$GU$317))</f>
        <v>0</v>
      </c>
      <c r="CW15">
        <f>SUMPRODUCT(--('Данные 1st'!$S$2:$S$317=$A15),--ISNUMBER('Данные 1st'!$GV$2:$GV$317))</f>
        <v>0</v>
      </c>
      <c r="CX15">
        <f>SUMPRODUCT(--('Данные 1st'!$S$2:$S$317=$A15),--ISNUMBER('Данные 1st'!$GW$2:$GW$317))</f>
        <v>0</v>
      </c>
      <c r="CY15">
        <f>SUMPRODUCT(--('Данные 1st'!$S$2:$S$317=$A15),--ISNUMBER('Данные 1st'!$GZ$2:$GZ$317))</f>
        <v>0</v>
      </c>
      <c r="CZ15">
        <f>SUMPRODUCT(--('Данные 1st'!$S$2:$S$317=$A15),--ISNUMBER('Данные 1st'!$HA$2:$HA$317))</f>
        <v>0</v>
      </c>
      <c r="DA15">
        <f>SUMPRODUCT(--('Данные 1st'!$S$2:$S$317=$A15),--ISNUMBER('Данные 1st'!$HB$2:$HB$317))</f>
        <v>0</v>
      </c>
      <c r="DB15">
        <f>SUMPRODUCT(--('Данные 1st'!$S$2:$S$317=$A15),--ISNUMBER('Данные 1st'!$HC$2:$HC$317))</f>
        <v>23</v>
      </c>
      <c r="DC15">
        <f>SUMPRODUCT(--('Данные 1st'!$S$2:$S$317=$A15),--ISNUMBER('Данные 1st'!$HD$2:$HD$317))</f>
        <v>23</v>
      </c>
      <c r="DD15">
        <f>SUMPRODUCT(--('Данные 1st'!$S$2:$S$317=$A15),--ISNUMBER('Данные 1st'!$HE$2:$HE$317))</f>
        <v>23</v>
      </c>
      <c r="DE15">
        <f>SUMPRODUCT(--('Данные 1st'!$S$2:$S$317=$A15),--ISNUMBER('Данные 1st'!$HF$2:$HF$317))</f>
        <v>23</v>
      </c>
      <c r="DF15">
        <f>SUMPRODUCT(--('Данные 1st'!$S$2:$S$317=$A15),--ISNUMBER('Данные 1st'!$HG$2:$HG$317))</f>
        <v>23</v>
      </c>
      <c r="DG15">
        <f>SUMPRODUCT(--('Данные 1st'!$S$2:$S$317=$A15),--ISNUMBER('Данные 1st'!$HH$2:$HH$317))</f>
        <v>23</v>
      </c>
      <c r="DH15">
        <f>SUMPRODUCT(--('Данные 1st'!$S$2:$S$317=$A15),--ISNUMBER('Данные 1st'!$HI$2:$HI$317))</f>
        <v>23</v>
      </c>
      <c r="DI15">
        <f>SUMPRODUCT(--('Данные 1st'!$S$2:$S$317=$A15),--ISNUMBER('Данные 1st'!$HJ$2:$HJ$317))</f>
        <v>23</v>
      </c>
      <c r="DJ15">
        <f>SUMPRODUCT(--('Данные 1st'!$S$2:$S$317=$A15),--ISNUMBER('Данные 1st'!$HK$2:$HK$317))</f>
        <v>23</v>
      </c>
      <c r="DK15">
        <f>SUMPRODUCT(--('Данные 1st'!$S$2:$S$317=$A15),--ISNUMBER('Данные 1st'!$HL$2:$HL$317))</f>
        <v>23</v>
      </c>
      <c r="DL15">
        <f>SUMPRODUCT(--('Данные 1st'!$S$2:$S$317=$A15),--ISNUMBER('Данные 1st'!$HM$2:$HM$317))</f>
        <v>23</v>
      </c>
      <c r="DM15">
        <f>SUMPRODUCT(--('Данные 1st'!$S$2:$S$317=$A15),--ISNUMBER('Данные 1st'!$HN$2:$HN$317))</f>
        <v>23</v>
      </c>
      <c r="DN15">
        <f>SUMPRODUCT(--('Данные 1st'!$S$2:$S$317=$A15),--ISNUMBER('Данные 1st'!$HO$2:$HO$317))</f>
        <v>23</v>
      </c>
      <c r="DO15">
        <f>SUMPRODUCT(--('Данные 1st'!$S$2:$S$317=$A15),--ISNUMBER('Данные 1st'!$HP$2:$HP$317))</f>
        <v>23</v>
      </c>
      <c r="DP15">
        <f>SUMPRODUCT(--('Данные 1st'!$S$2:$S$317=$A15),--ISNUMBER('Данные 1st'!$HQ$2:$HQ$317))</f>
        <v>23</v>
      </c>
      <c r="DQ15">
        <f>SUMPRODUCT(--('Данные 1st'!$S$2:$S$317=$A15),--ISNUMBER('Данные 1st'!$HR$2:$HR$317))</f>
        <v>23</v>
      </c>
      <c r="DR15">
        <f>SUMPRODUCT(--('Данные 1st'!$S$2:$S$317=$A15),--ISNUMBER('Данные 1st'!$HS$2:$HS$317))</f>
        <v>23</v>
      </c>
      <c r="DS15">
        <f>SUMPRODUCT(--('Данные 1st'!$S$2:$S$317=$A15),--ISNUMBER('Данные 1st'!$HT$2:$HT$317))</f>
        <v>23</v>
      </c>
      <c r="DT15">
        <f>SUMPRODUCT(--('Данные 1st'!$S$2:$S$317=$A15),--ISNUMBER('Данные 1st'!$HU$2:$HU$317))</f>
        <v>23</v>
      </c>
      <c r="DU15">
        <f>SUMPRODUCT(--('Данные 1st'!$S$2:$S$317=$A15),--ISNUMBER('Данные 1st'!$HW$2:$HW$317))</f>
        <v>23</v>
      </c>
      <c r="DV15">
        <f>SUMPRODUCT(--('Данные 1st'!$S$2:$S$317=$A15),--ISNUMBER('Данные 1st'!$HX$2:$HX$317))</f>
        <v>23</v>
      </c>
      <c r="DW15">
        <f>SUMPRODUCT(--('Данные 1st'!$S$2:$S$317=$A15),--ISNUMBER('Данные 1st'!$HY$2:$HY$317))</f>
        <v>23</v>
      </c>
      <c r="DX15">
        <f>SUMPRODUCT(--('Данные 1st'!$S$2:$S$317=$A15),--ISNUMBER('Данные 1st'!$IA$2:$IA$317))</f>
        <v>23</v>
      </c>
      <c r="DY15">
        <f>SUMPRODUCT(--('Данные 1st'!$S$2:$S$317=$A15),--ISNUMBER('Данные 1st'!$IB$2:$IB$317))</f>
        <v>23</v>
      </c>
      <c r="DZ15">
        <f>SUMPRODUCT(--('Данные 1st'!$S$2:$S$317=$A15),--ISNUMBER('Данные 1st'!$IC$2:$IC$317))</f>
        <v>23</v>
      </c>
      <c r="EA15">
        <f>SUMPRODUCT(--('Данные 1st'!$S$2:$S$317=$A15),--ISNUMBER('Данные 1st'!$ID$2:$ID$317))</f>
        <v>23</v>
      </c>
      <c r="EB15">
        <f>SUMPRODUCT(--('Данные 1st'!$S$2:$S$317=$A15),--ISNUMBER('Данные 1st'!$IE$2:$IE$317))</f>
        <v>23</v>
      </c>
      <c r="EC15">
        <f>SUMPRODUCT(--('Данные 1st'!$S$2:$S$317=$A15),--ISNUMBER('Данные 1st'!$IF$2:$IF$317))</f>
        <v>23</v>
      </c>
      <c r="ED15">
        <f>SUMPRODUCT(--('Данные 1st'!$S$2:$S$317=$A15),--ISNUMBER('Данные 1st'!$IP$2:$IP$317))</f>
        <v>23</v>
      </c>
      <c r="EE15">
        <f>SUMPRODUCT(--('Данные 1st'!$S$2:$S$317=$A15),--ISNUMBER('Данные 1st'!$IV$2:$IV$317))</f>
        <v>23</v>
      </c>
      <c r="EF15">
        <f>SUMPRODUCT(--('Данные 1st'!$S$2:$S$317=$A15),--ISNUMBER('Данные 1st'!$IW$2:$IW$317))</f>
        <v>23</v>
      </c>
      <c r="EG15">
        <f>SUMPRODUCT(--('Данные 1st'!$S$2:$S$317=$A15),--ISNUMBER('Данные 1st'!$IX$2:$IX$317))</f>
        <v>3</v>
      </c>
      <c r="EH15">
        <f>SUMPRODUCT(--('Данные 1st'!$S$2:$S$317=$A15),--ISNUMBER('Данные 1st'!$IY$2:$IY$317))</f>
        <v>3</v>
      </c>
      <c r="EI15">
        <f>SUMPRODUCT(--('Данные 1st'!$S$2:$S$317=$A15),--ISNUMBER('Данные 1st'!$JD$2:$JD$317))</f>
        <v>23</v>
      </c>
      <c r="EJ15">
        <f>SUMPRODUCT(--('Данные 1st'!$S$2:$S$317=$A15),--ISNUMBER('Данные 1st'!$JE$2:$JE$317))</f>
        <v>23</v>
      </c>
      <c r="EK15">
        <f>SUMPRODUCT(--('Данные 1st'!$S$2:$S$317=$A15),--ISNUMBER('Данные 1st'!$JF$2:$JF$317))</f>
        <v>23</v>
      </c>
      <c r="EL15">
        <f>SUMPRODUCT(--('Данные 1st'!$S$2:$S$317=$A15),--ISNUMBER('Данные 1st'!$JG$2:$JG$317))</f>
        <v>23</v>
      </c>
      <c r="EM15">
        <f>SUMPRODUCT(--('Данные 1st'!$S$2:$S$317=$A15),--ISNUMBER('Данные 1st'!$JH$2:$JH$317))</f>
        <v>23</v>
      </c>
      <c r="EN15">
        <f>SUMPRODUCT(--('Данные 1st'!$S$2:$S$317=$A15),--ISNUMBER('Данные 1st'!$JJ$2:$JJ$317))</f>
        <v>23</v>
      </c>
      <c r="EO15">
        <f>SUMPRODUCT(--('Данные 1st'!$S$2:$S$317=$A15),--ISNUMBER('Данные 1st'!$JK$2:$JK$317))</f>
        <v>23</v>
      </c>
      <c r="EP15">
        <f>SUMPRODUCT(--('Данные 1st'!$S$2:$S$317=$A15),--ISNUMBER('Данные 1st'!$JL$2:$JL$317))</f>
        <v>3</v>
      </c>
      <c r="EQ15">
        <f>SUMPRODUCT(--('Данные 1st'!$S$2:$S$317=$A15),--ISNUMBER('Данные 1st'!$JM$2:$JM$317))</f>
        <v>3</v>
      </c>
      <c r="ER15">
        <f>SUMPRODUCT(--('Данные 1st'!$S$2:$S$317=$A15),--ISNUMBER('Данные 1st'!$JN$2:$JN$317))</f>
        <v>23</v>
      </c>
      <c r="ES15">
        <f>SUMPRODUCT(--('Данные 1st'!$S$2:$S$317=$A15),--ISNUMBER('Данные 1st'!$JO$2:$JO$317))</f>
        <v>23</v>
      </c>
      <c r="ET15">
        <f>SUMPRODUCT(--('Данные 1st'!$S$2:$S$317=$A15),--ISNUMBER('Данные 1st'!$JP$2:$JP$317))</f>
        <v>23</v>
      </c>
      <c r="EU15">
        <f>SUMPRODUCT(--('Данные 1st'!$S$2:$S$317=$A15),--ISNUMBER('Данные 1st'!$JQ$2:$JQ$317))</f>
        <v>23</v>
      </c>
      <c r="EV15">
        <f>SUMPRODUCT(--('Данные 1st'!$S$2:$S$317=$A15),--ISNUMBER('Данные 1st'!$JR$2:$JR$317))</f>
        <v>23</v>
      </c>
      <c r="EW15">
        <f>SUMPRODUCT(--('Данные 1st'!$S$2:$S$317=$A15),--ISNUMBER('Данные 1st'!$JS$2:$JS$317))</f>
        <v>23</v>
      </c>
      <c r="EX15">
        <f>SUMPRODUCT(--('Данные 1st'!$S$2:$S$317=$A15),--ISNUMBER('Данные 1st'!$JT$2:$JT$317))</f>
        <v>3</v>
      </c>
      <c r="EY15">
        <f>SUMPRODUCT(--('Данные 1st'!$S$2:$S$317=$A15),--ISNUMBER('Данные 1st'!$JU$2:$JU$317))</f>
        <v>3</v>
      </c>
      <c r="EZ15">
        <f>SUMPRODUCT(--('Данные 1st'!$S$2:$S$317=$A15),--ISNUMBER('Данные 1st'!$JV$2:$JV$317))</f>
        <v>23</v>
      </c>
      <c r="FA15">
        <f>SUMPRODUCT(--('Данные 1st'!$S$2:$S$317=$A15),--ISNUMBER('Данные 1st'!$JW$2:$JW$317))</f>
        <v>1</v>
      </c>
      <c r="FB15">
        <f>SUMPRODUCT(--('Данные 1st'!$S$2:$S$317=$A15),--ISNUMBER('Данные 1st'!$JX$2:$JX$317))</f>
        <v>23</v>
      </c>
      <c r="FC15">
        <f>SUMPRODUCT(--('Данные 1st'!$S$2:$S$317=$A15),--ISNUMBER('Данные 1st'!$JY$2:$JY$317))</f>
        <v>3</v>
      </c>
      <c r="FD15">
        <f>SUMPRODUCT(--('Данные 1st'!$S$2:$S$317=$A15),--ISNUMBER('Данные 1st'!$JZ$2:$JZ$317))</f>
        <v>3</v>
      </c>
      <c r="FE15">
        <f>SUMPRODUCT(--('Данные 1st'!$S$2:$S$317=$A15),--ISNUMBER('Данные 1st'!$KA$2:$KA$317))</f>
        <v>23</v>
      </c>
      <c r="FF15">
        <f>SUMPRODUCT(--('Данные 1st'!$S$2:$S$317=$A15),--ISNUMBER('Данные 1st'!$KB$2:$KB$317))</f>
        <v>23</v>
      </c>
      <c r="FG15">
        <f>SUMPRODUCT(--('Данные 1st'!$S$2:$S$317=$A15),--ISNUMBER('Данные 1st'!$KC$2:$KC$317))</f>
        <v>23</v>
      </c>
      <c r="FH15">
        <f>SUMPRODUCT(--('Данные 1st'!$S$2:$S$317=$A15),--ISNUMBER('Данные 1st'!$KD$2:$KD$317))</f>
        <v>23</v>
      </c>
      <c r="FI15">
        <f>SUMPRODUCT(--('Данные 1st'!$S$2:$S$317=$A15),--ISNUMBER('Данные 1st'!$KE$2:$KE$317))</f>
        <v>3</v>
      </c>
      <c r="FJ15">
        <f>SUMPRODUCT(--('Данные 1st'!$S$2:$S$317=$A15),--ISNUMBER('Данные 1st'!$KF$2:$KF$317))</f>
        <v>23</v>
      </c>
      <c r="FK15">
        <f>SUMPRODUCT(--('Данные 1st'!$S$2:$S$317=$A15),--ISNUMBER('Данные 1st'!$KG$2:$KG$317))</f>
        <v>23</v>
      </c>
      <c r="FL15">
        <f>SUMPRODUCT(--('Данные 1st'!$S$2:$S$317=$A15),--ISNUMBER('Данные 1st'!$KH$2:$KH$317))</f>
        <v>23</v>
      </c>
      <c r="FM15">
        <f>SUMPRODUCT(--('Данные 1st'!$S$2:$S$317=$A15),--ISNUMBER('Данные 1st'!$KI$2:$KI$317))</f>
        <v>23</v>
      </c>
      <c r="FN15">
        <f>SUMPRODUCT(--('Данные 1st'!$S$2:$S$317=$A15),--ISNUMBER('Данные 1st'!$KJ$2:$KJ$317))</f>
        <v>23</v>
      </c>
      <c r="FO15">
        <f>SUMPRODUCT(--('Данные 1st'!$S$2:$S$317=$A15),--ISNUMBER('Данные 1st'!$KK$2:$KK$317))</f>
        <v>23</v>
      </c>
      <c r="FP15">
        <f>SUMPRODUCT(--('Данные 1st'!$S$2:$S$317=$A15),--ISNUMBER('Данные 1st'!$KL$2:$KL$317))</f>
        <v>23</v>
      </c>
      <c r="FQ15">
        <f>SUMPRODUCT(--('Данные 1st'!$S$2:$S$317=$A15),--ISNUMBER('Данные 1st'!$KM$2:$KM$317))</f>
        <v>23</v>
      </c>
      <c r="FR15">
        <f>SUMPRODUCT(--('Данные 1st'!$S$2:$S$317=$A15),--ISNUMBER('Данные 1st'!$KN$2:$KN$317))</f>
        <v>23</v>
      </c>
      <c r="FS15">
        <f>SUMPRODUCT(--('Данные 1st'!$S$2:$S$317=$A15),--ISNUMBER('Данные 1st'!$KR$2:$KR$317))</f>
        <v>23</v>
      </c>
      <c r="FT15">
        <f>SUMPRODUCT(--('Данные 1st'!$S$2:$S$317=$A15),--ISNUMBER('Данные 1st'!$KS$2:$KS$317))</f>
        <v>23</v>
      </c>
      <c r="FU15">
        <f>SUMPRODUCT(--('Данные 1st'!$S$2:$S$317=$A15),--ISNUMBER('Данные 1st'!$KT$2:$KT$317))</f>
        <v>23</v>
      </c>
      <c r="FV15">
        <f>SUMPRODUCT(--('Данные 1st'!$S$2:$S$317=$A15),--ISNUMBER('Данные 1st'!$KV$2:$KV$317))</f>
        <v>3</v>
      </c>
      <c r="FW15">
        <f>SUMPRODUCT(--('Данные 1st'!$S$2:$S$317=$A15),--ISNUMBER('Данные 1st'!$KW$2:$KW$317))</f>
        <v>3</v>
      </c>
      <c r="FX15">
        <f>SUMPRODUCT(--('Данные 1st'!$S$2:$S$317=$A15),--ISNUMBER('Данные 1st'!$KX$2:$KX$317))</f>
        <v>3</v>
      </c>
      <c r="FY15">
        <f>SUMPRODUCT(--('Данные 1st'!$S$2:$S$317=$A15),--ISNUMBER('Данные 1st'!$KY$2:$KY$317))</f>
        <v>3</v>
      </c>
      <c r="FZ15">
        <f>SUMPRODUCT(--('Данные 1st'!$S$2:$S$317=$A15),--ISNUMBER('Данные 1st'!$KZ$2:$KZ$317))</f>
        <v>3</v>
      </c>
      <c r="GA15">
        <f>SUMPRODUCT(--('Данные 1st'!$S$2:$S$317=$A15),--ISNUMBER('Данные 1st'!$LA$2:$LA$317))</f>
        <v>3</v>
      </c>
      <c r="GB15">
        <f>SUMPRODUCT(--('Данные 1st'!$S$2:$S$317=$A15),--ISNUMBER('Данные 1st'!$LB$2:$LB$317))</f>
        <v>3</v>
      </c>
      <c r="GC15">
        <f>SUMPRODUCT(--('Данные 1st'!$S$2:$S$317=$A15),--ISNUMBER('Данные 1st'!$LC$2:$LC$317))</f>
        <v>3</v>
      </c>
      <c r="GD15">
        <f>SUMPRODUCT(--('Данные 1st'!$S$2:$S$317=$A15),--ISNUMBER('Данные 1st'!$LD$2:$LD$317))</f>
        <v>3</v>
      </c>
      <c r="GE15">
        <f>SUMPRODUCT(--('Данные 1st'!$S$2:$S$317=$A15),--ISNUMBER('Данные 1st'!$LE$2:$LE$317))</f>
        <v>3</v>
      </c>
      <c r="GF15">
        <f>SUMPRODUCT(--('Данные 1st'!$S$2:$S$317=$A15),--ISNUMBER('Данные 1st'!$LF$2:$LF$317))</f>
        <v>3</v>
      </c>
      <c r="GG15">
        <f>SUMPRODUCT(--('Данные 1st'!$S$2:$S$317=$A15),--ISNUMBER('Данные 1st'!$LG$2:$LG$317))</f>
        <v>3</v>
      </c>
      <c r="GH15">
        <f>SUMPRODUCT(--('Данные 1st'!$S$2:$S$317=$A15),--ISNUMBER('Данные 1st'!$LH$2:$LH$317))</f>
        <v>3</v>
      </c>
      <c r="GI15">
        <f>SUMPRODUCT(--('Данные 1st'!$S$2:$S$317=$A15),--ISNUMBER('Данные 1st'!$LI$2:$LI$317))</f>
        <v>3</v>
      </c>
      <c r="GJ15">
        <f>SUMPRODUCT(--('Данные 1st'!$S$2:$S$317=$A15),--ISNUMBER('Данные 1st'!$LJ$2:$LJ$317))</f>
        <v>3</v>
      </c>
      <c r="GK15">
        <f>SUMPRODUCT(--('Данные 1st'!$S$2:$S$317=$A15),--ISNUMBER('Данные 1st'!$LK$2:$LK$317))</f>
        <v>23</v>
      </c>
      <c r="GL15">
        <f>SUMPRODUCT(--('Данные 1st'!$S$2:$S$317=$A15),--ISNUMBER('Данные 1st'!$LV$2:$LV$317))</f>
        <v>6</v>
      </c>
      <c r="GM15">
        <f>SUMPRODUCT(--('Данные 1st'!$S$2:$S$317=$A15),--ISNUMBER('Данные 1st'!$LW$2:$LW$317))</f>
        <v>6</v>
      </c>
      <c r="GN15">
        <f>SUMPRODUCT(--('Данные 1st'!$S$2:$S$317=$A15),--ISNUMBER('Данные 1st'!$LX$2:$LX$317))</f>
        <v>9</v>
      </c>
      <c r="GO15">
        <f>SUMPRODUCT(--('Данные 1st'!$S$2:$S$317=$A15),--ISNUMBER('Данные 1st'!$LY$2:$LY$317))</f>
        <v>9</v>
      </c>
      <c r="GP15">
        <f>SUMPRODUCT(--('Данные 1st'!$S$2:$S$317=$A15),--ISNUMBER('Данные 1st'!$LZ$2:$LZ$317))</f>
        <v>5</v>
      </c>
      <c r="GQ15">
        <f>SUMPRODUCT(--('Данные 1st'!$S$2:$S$317=$A15),--ISNUMBER('Данные 1st'!$PG$2:$PG$317))</f>
        <v>23</v>
      </c>
      <c r="GR15">
        <f>SUMPRODUCT(--('Данные 1st'!$S$2:$S$317=$A15),--ISNUMBER('Данные 1st'!$PX$2:$PX$317))</f>
        <v>23</v>
      </c>
      <c r="GS15">
        <f>SUMPRODUCT(--('Данные 1st'!$S$2:$S$317=$A15),--ISNUMBER('Данные 1st'!$PY$2:$PY$317))</f>
        <v>23</v>
      </c>
      <c r="GT15">
        <f>SUMPRODUCT(--('Данные 1st'!$S$2:$S$317=$A15),--ISNUMBER('Данные 1st'!$QA$2:$QA$317))</f>
        <v>23</v>
      </c>
      <c r="GU15">
        <f>SUMPRODUCT(--('Данные 1st'!$S$2:$S$317=$A15),--ISNUMBER('Данные 1st'!$QB$2:$QB$317))</f>
        <v>23</v>
      </c>
      <c r="GV15">
        <f>SUMPRODUCT(--('Данные 1st'!$S$2:$S$317=$A15),--ISNUMBER('Данные 1st'!$QC$2:$QC$317))</f>
        <v>23</v>
      </c>
      <c r="GW15">
        <f>SUMPRODUCT(--('Данные 1st'!$S$2:$S$317=$A15),--ISNUMBER('Данные 1st'!$QD$2:$QD$317))</f>
        <v>23</v>
      </c>
      <c r="GX15">
        <f>SUMPRODUCT(--('Данные 1st'!$S$2:$S$317=$A15),--ISNUMBER('Данные 1st'!$QF$2:$QF$317))</f>
        <v>23</v>
      </c>
      <c r="GY15">
        <f>SUMPRODUCT(--('Данные 1st'!$S$2:$S$317=$A15),--ISNUMBER('Данные 1st'!$QG$2:$QG$317))</f>
        <v>23</v>
      </c>
      <c r="GZ15">
        <f>SUMPRODUCT(--('Данные 1st'!$S$2:$S$317=$A15),--ISNUMBER('Данные 1st'!$QH$2:$QH$317))</f>
        <v>23</v>
      </c>
      <c r="HA15">
        <f>SUMPRODUCT(--('Данные 1st'!$S$2:$S$317=$A15),--ISNUMBER('Данные 1st'!$QI$2:$QI$317))</f>
        <v>23</v>
      </c>
      <c r="HB15">
        <f>SUMPRODUCT(--('Данные 1st'!$S$2:$S$317=$A15),--ISNUMBER('Данные 1st'!$QK$2:$QK$317))</f>
        <v>4</v>
      </c>
      <c r="HC15">
        <f>SUMPRODUCT(--('Данные 1st'!$S$2:$S$317=$A15),--ISNUMBER('Данные 1st'!$QL$2:$QL$317))</f>
        <v>23</v>
      </c>
      <c r="HD15">
        <f>SUMPRODUCT(--('Данные 1st'!$S$2:$S$317=$A15),--ISNUMBER('Данные 1st'!$QM$2:$QM$317))</f>
        <v>23</v>
      </c>
      <c r="HE15">
        <f>SUMPRODUCT(--('Данные 1st'!$S$2:$S$317=$A15),--ISNUMBER('Данные 1st'!$QN$2:$QN$317))</f>
        <v>23</v>
      </c>
      <c r="HF15">
        <f>SUMPRODUCT(--('Данные 1st'!$S$2:$S$317=$A15),--ISNUMBER('Данные 1st'!$QP$2:$QP$317))</f>
        <v>23</v>
      </c>
      <c r="HG15">
        <f>SUMPRODUCT(--('Данные 1st'!$S$2:$S$317=$A15),--ISNUMBER('Данные 1st'!$QQ$2:$QQ$317))</f>
        <v>23</v>
      </c>
      <c r="HH15">
        <f>SUMPRODUCT(--('Данные 1st'!$S$2:$S$317=$A15),--ISNUMBER('Данные 1st'!$QR$2:$QR$317))</f>
        <v>0</v>
      </c>
      <c r="HI15">
        <f>SUMPRODUCT(--('Данные 1st'!$S$2:$S$317=$A15),--ISNUMBER('Данные 1st'!$QS$2:$QS$317))</f>
        <v>0</v>
      </c>
      <c r="HJ15">
        <f>SUMPRODUCT(--('Данные 1st'!$S$2:$S$317=$A15),--ISNUMBER('Данные 1st'!$QU$2:$QU$317))</f>
        <v>0</v>
      </c>
      <c r="HK15">
        <f>SUMPRODUCT(--('Данные 1st'!$S$2:$S$317=$A15),--ISNUMBER('Данные 1st'!$QV$2:$QV$317))</f>
        <v>0</v>
      </c>
      <c r="HL15">
        <f>SUMPRODUCT(--('Данные 1st'!$S$2:$S$317=$A15),--ISNUMBER('Данные 1st'!$QW$2:$QW$317))</f>
        <v>23</v>
      </c>
      <c r="HM15">
        <f>SUMPRODUCT(--('Данные 1st'!$S$2:$S$317=$A15),--ISNUMBER('Данные 1st'!$QX$2:$QX$317))</f>
        <v>23</v>
      </c>
      <c r="HN15">
        <f>SUMPRODUCT(--('Данные 1st'!$S$2:$S$317=$A15),--ISNUMBER('Данные 1st'!$QZ$2:$QZ$317))</f>
        <v>23</v>
      </c>
      <c r="HO15">
        <f>SUMPRODUCT(--('Данные 1st'!$S$2:$S$317=$A15),--ISNUMBER('Данные 1st'!$RA$2:$RA$317))</f>
        <v>23</v>
      </c>
      <c r="HP15">
        <f>SUMPRODUCT(--('Данные 1st'!$S$2:$S$317=$A15),--ISNUMBER('Данные 1st'!$RB$2:$RB$317))</f>
        <v>23</v>
      </c>
      <c r="HQ15">
        <f>SUMPRODUCT(--('Данные 1st'!$S$2:$S$317=$A15),--ISNUMBER('Данные 1st'!$RD$2:$RD$317))</f>
        <v>0</v>
      </c>
      <c r="HR15">
        <f>SUMPRODUCT(--('Данные 1st'!$S$2:$S$317=$A15),--ISNUMBER('Данные 1st'!$RE$2:$RE$317))</f>
        <v>23</v>
      </c>
      <c r="HS15">
        <f>SUMPRODUCT(--('Данные 1st'!$S$2:$S$317=$A15),--ISNUMBER('Данные 1st'!$RF$2:$RF$317))</f>
        <v>22</v>
      </c>
      <c r="HT15">
        <f>SUMPRODUCT(--('Данные 1st'!$S$2:$S$317=$A15),--ISNUMBER('Данные 1st'!$RG$2:$RG$317))</f>
        <v>1</v>
      </c>
      <c r="HU15">
        <f>SUMPRODUCT(--('Данные 1st'!$S$2:$S$317=$A15),--ISNUMBER('Данные 1st'!$RH$2:$RH$317))</f>
        <v>0</v>
      </c>
      <c r="HV15">
        <f>SUMPRODUCT(--('Данные 1st'!$S$2:$S$317=$A15),--ISNUMBER('Данные 1st'!$RI$2:$RI$317))</f>
        <v>0</v>
      </c>
      <c r="HW15">
        <f>SUMPRODUCT(--('Данные 1st'!$S$2:$S$317=$A15),--ISNUMBER('Данные 1st'!$RJ$2:$RJ$317))</f>
        <v>23</v>
      </c>
      <c r="HX15">
        <f>SUMPRODUCT(--('Данные 1st'!$S$2:$S$317=$A15),--ISNUMBER('Данные 1st'!$RK$2:$RK$317))</f>
        <v>4</v>
      </c>
      <c r="HY15">
        <f>SUMPRODUCT(--('Данные 1st'!$S$2:$S$317=$A15),--ISNUMBER('Данные 1st'!$RL$2:$RL$317))</f>
        <v>23</v>
      </c>
      <c r="HZ15">
        <f>SUMPRODUCT(--('Данные 1st'!$S$2:$S$317=$A15),--ISNUMBER('Данные 1st'!$RM$2:$RM$317))</f>
        <v>0</v>
      </c>
      <c r="IA15">
        <f>SUMPRODUCT(--('Данные 1st'!$S$2:$S$317=$A15),--ISNUMBER('Данные 1st'!$RN$2:$RN$317))</f>
        <v>0</v>
      </c>
      <c r="IB15">
        <f>SUMPRODUCT(--('Данные 1st'!$S$2:$S$317=$A15),--ISNUMBER('Данные 1st'!$RO$2:$RO$317))</f>
        <v>23</v>
      </c>
      <c r="IC15">
        <f>SUMPRODUCT(--('Данные 1st'!$S$2:$S$317=$A15),--ISNUMBER('Данные 1st'!$RP$2:$RP$317))</f>
        <v>4</v>
      </c>
      <c r="ID15">
        <f>SUMPRODUCT(--('Данные 1st'!$S$2:$S$317=$A15),--ISNUMBER('Данные 1st'!$RQ$2:$RQ$317))</f>
        <v>23</v>
      </c>
      <c r="IE15">
        <f>SUMPRODUCT(--('Данные 1st'!$S$2:$S$317=$A15),--ISNUMBER('Данные 1st'!$RR$2:$RR$317))</f>
        <v>0</v>
      </c>
      <c r="IF15">
        <f>SUMPRODUCT(--('Данные 1st'!$S$2:$S$317=$A15),--ISNUMBER('Данные 1st'!$RS$2:$RS$317))</f>
        <v>0</v>
      </c>
      <c r="IG15">
        <f>SUMPRODUCT(--('Данные 1st'!$S$2:$S$317=$A15),--ISNUMBER('Данные 1st'!$RT$2:$RT$317))</f>
        <v>23</v>
      </c>
      <c r="IH15">
        <f>SUMPRODUCT(--('Данные 1st'!$S$2:$S$317=$A15),--ISNUMBER('Данные 1st'!$RU$2:$RU$317))</f>
        <v>23</v>
      </c>
      <c r="II15">
        <f>SUMPRODUCT(--('Данные 1st'!$S$2:$S$317=$A15),--ISNUMBER('Данные 1st'!$RX$2:$RX$317))</f>
        <v>23</v>
      </c>
      <c r="IJ15">
        <f>SUMPRODUCT(--('Данные 1st'!$S$2:$S$317=$A15),--ISNUMBER('Данные 1st'!$RY$2:$RY$317))</f>
        <v>23</v>
      </c>
      <c r="IK15">
        <f>SUMPRODUCT(--('Данные 1st'!$S$2:$S$317=$A15),--ISNUMBER('Данные 1st'!$SA$2:$SA$317))</f>
        <v>23</v>
      </c>
      <c r="IL15">
        <f>SUMPRODUCT(--('Данные 1st'!$S$2:$S$317=$A15),--ISNUMBER('Данные 1st'!$SD$2:$SD$317))</f>
        <v>23</v>
      </c>
      <c r="IM15">
        <f>SUMPRODUCT(--('Данные 1st'!$S$2:$S$317=$A15),--ISNUMBER('Данные 1st'!$SG$2:$SG$317))</f>
        <v>0</v>
      </c>
      <c r="IN15">
        <f>SUMPRODUCT(--('Данные 1st'!$S$2:$S$317=$A15),--ISNUMBER('Данные 1st'!$SH$2:$SH$317))</f>
        <v>23</v>
      </c>
      <c r="IO15">
        <f>SUMPRODUCT(--('Данные 1st'!$S$2:$S$317=$A15),--ISNUMBER('Данные 1st'!$SI$2:$SI$317))</f>
        <v>23</v>
      </c>
      <c r="IP15">
        <f>SUMPRODUCT(--('Данные 1st'!$S$2:$S$317=$A15),--ISNUMBER('Данные 1st'!$SJ$2:$SJ$317))</f>
        <v>23</v>
      </c>
      <c r="IQ15">
        <f>SUMPRODUCT(--('Данные 1st'!$S$2:$S$317=$A15),--ISNUMBER('Данные 1st'!$SK$2:$SK$317))</f>
        <v>23</v>
      </c>
      <c r="IR15">
        <f>SUMPRODUCT(--('Данные 1st'!$S$2:$S$317=$A15),--ISNUMBER('Данные 1st'!$SL$2:$SL$317))</f>
        <v>23</v>
      </c>
      <c r="IS15">
        <f>SUMPRODUCT(--('Данные 1st'!$S$2:$S$317=$A15),--ISNUMBER('Данные 1st'!$SM$2:$SM$317))</f>
        <v>23</v>
      </c>
      <c r="IT15">
        <f>SUMPRODUCT(--('Данные 1st'!$S$2:$S$317=$A15),--ISNUMBER('Данные 1st'!$SN$2:$SN$317))</f>
        <v>23</v>
      </c>
      <c r="IU15">
        <f>SUMPRODUCT(--('Данные 1st'!$S$2:$S$317=$A15),--ISNUMBER('Данные 1st'!$SO$2:$SO$317))</f>
        <v>23</v>
      </c>
      <c r="IV15">
        <f>SUMPRODUCT(--('Данные 1st'!$S$2:$S$317=$A15),--ISNUMBER('Данные 1st'!$SP$2:$SP$317))</f>
        <v>23</v>
      </c>
      <c r="IW15">
        <f>SUMPRODUCT(--('Данные 1st'!$S$2:$S$317=$A15),--ISNUMBER('Данные 1st'!$SQ$2:$SQ$317))</f>
        <v>23</v>
      </c>
      <c r="IX15">
        <f>SUMPRODUCT(--('Данные 1st'!$S$2:$S$317=$A15),--ISNUMBER('Данные 1st'!$SR$2:$SR$317))</f>
        <v>23</v>
      </c>
      <c r="IY15">
        <f>SUMPRODUCT(--('Данные 1st'!$S$2:$S$317=$A15),--ISNUMBER('Данные 1st'!$SS$2:$SS$317))</f>
        <v>23</v>
      </c>
      <c r="IZ15">
        <f>SUMPRODUCT(--('Данные 1st'!$S$2:$S$317=$A15),--ISNUMBER('Данные 1st'!$ST$2:$ST$317))</f>
        <v>23</v>
      </c>
      <c r="JA15">
        <f>SUMPRODUCT(--('Данные 1st'!$S$2:$S$317=$A15),--ISNUMBER('Данные 1st'!$SU$2:$SU$317))</f>
        <v>23</v>
      </c>
      <c r="JB15">
        <f>SUMPRODUCT(--('Данные 1st'!$S$2:$S$317=$A15),--ISNUMBER('Данные 1st'!$SV$2:$SV$317))</f>
        <v>23</v>
      </c>
      <c r="JC15">
        <f>SUMPRODUCT(--('Данные 1st'!$S$2:$S$317=$A15),--ISNUMBER('Данные 1st'!$SW$2:$SW$317))</f>
        <v>23</v>
      </c>
      <c r="JD15">
        <f>SUMPRODUCT(--('Данные 1st'!$S$2:$S$317=$A15),--ISNUMBER('Данные 1st'!$SX$2:$SX$317))</f>
        <v>23</v>
      </c>
      <c r="JE15">
        <f>SUMPRODUCT(--('Данные 1st'!$S$2:$S$317=$A15),--ISNUMBER('Данные 1st'!$SY$2:$SY$317))</f>
        <v>4</v>
      </c>
      <c r="JF15">
        <f>SUMPRODUCT(--('Данные 1st'!$S$2:$S$317=$A15),--ISNUMBER('Данные 1st'!$SZ$2:$SZ$317))</f>
        <v>0</v>
      </c>
      <c r="JG15">
        <f>SUMPRODUCT(--('Данные 1st'!$S$2:$S$317=$A15),--ISNUMBER('Данные 1st'!$TA$2:$TA$317))</f>
        <v>0</v>
      </c>
      <c r="JH15">
        <f>SUMPRODUCT(--('Данные 1st'!$S$2:$S$317=$A15),--ISNUMBER('Данные 1st'!$TB$2:$TB$317))</f>
        <v>23</v>
      </c>
      <c r="JI15">
        <f>SUMPRODUCT(--('Данные 1st'!$S$2:$S$317=$A15),--ISNUMBER('Данные 1st'!$TC$2:$TC$317))</f>
        <v>23</v>
      </c>
      <c r="JJ15">
        <f>SUMPRODUCT(--('Данные 1st'!$S$2:$S$317=$A15),--ISNUMBER('Данные 1st'!$TD$2:$TD$317))</f>
        <v>23</v>
      </c>
      <c r="JK15">
        <f>SUMPRODUCT(--('Данные 1st'!$S$2:$S$317=$A15),--ISNUMBER('Данные 1st'!$TN$2:$TN$317))</f>
        <v>23</v>
      </c>
      <c r="JQ15">
        <f>SUMPRODUCT(--('Данные 2st'!$Q$2:$Q$317=$A15),--ISNUMBER('Данные 2st'!$AC$2:$AC$317))</f>
        <v>23</v>
      </c>
      <c r="JR15">
        <f>SUMPRODUCT(--('Данные 2st'!$Q$2:$Q$317=$A15),--ISNUMBER('Данные 2st'!$AF$2:$AF$317))</f>
        <v>23</v>
      </c>
      <c r="JS15">
        <f>SUMPRODUCT(--('Данные 2st'!$Q$2:$Q$317=$A15),--ISNUMBER('Данные 2st'!$AW$2:$AW$317))</f>
        <v>23</v>
      </c>
      <c r="JT15">
        <f>SUMPRODUCT(--('Данные 2st'!$Q$2:$Q$317=$A15),--ISNUMBER('Данные 2st'!$AX$2:$AX$317))</f>
        <v>23</v>
      </c>
      <c r="JU15">
        <f>SUMPRODUCT(--('Данные 2st'!$Q$2:$Q$317=$A15),--ISNUMBER('Данные 2st'!$AY$2:$AY$317))</f>
        <v>23</v>
      </c>
      <c r="JV15">
        <f>SUMPRODUCT(--('Данные 2st'!$Q$2:$Q$317=$A15),--ISNUMBER('Данные 2st'!$AZ$2:$AZ$317))</f>
        <v>23</v>
      </c>
      <c r="JW15">
        <f>SUMPRODUCT(--('Данные 2st'!$Q$2:$Q$317=$A15),--ISNUMBER('Данные 2st'!$BA$2:$BA$317))</f>
        <v>1</v>
      </c>
      <c r="JX15">
        <f>SUMPRODUCT(--('Данные 2st'!$Q$2:$Q$317=$A15),--ISNUMBER('Данные 2st'!$BB$2:$BB$317))</f>
        <v>0</v>
      </c>
      <c r="JY15">
        <f>SUMPRODUCT(--('Данные 2st'!$Q$2:$Q$317=$A15),--ISNUMBER('Данные 2st'!$BC$2:$BC$317))</f>
        <v>0</v>
      </c>
      <c r="JZ15">
        <f>SUMPRODUCT(--('Данные 2st'!$Q$2:$Q$317=$A15),--ISNUMBER('Данные 2st'!$BH$2:$BH$317))</f>
        <v>23</v>
      </c>
      <c r="KA15">
        <f>SUMPRODUCT(--('Данные 2st'!$Q$2:$Q$317=$A15),--ISNUMBER('Данные 2st'!$BI$2:$BI$317))</f>
        <v>23</v>
      </c>
      <c r="KB15">
        <f>SUMPRODUCT(--('Данные 2st'!$Q$2:$Q$317=$A15),--ISNUMBER('Данные 2st'!$BJ$2:$BJ$317))</f>
        <v>23</v>
      </c>
      <c r="KC15">
        <f>SUMPRODUCT(--('Данные 2st'!$Q$2:$Q$317=$A15),--ISNUMBER('Данные 2st'!$BK$2:$BK$317))</f>
        <v>23</v>
      </c>
      <c r="KD15">
        <f>SUMPRODUCT(--('Данные 2st'!$Q$2:$Q$317=$A15),--ISNUMBER('Данные 2st'!$BL$2:$BL$317))</f>
        <v>23</v>
      </c>
      <c r="KE15">
        <f>SUMPRODUCT(--('Данные 2st'!$Q$2:$Q$317=$A15),--ISNUMBER('Данные 2st'!$BM$2:$BM$317))</f>
        <v>23</v>
      </c>
      <c r="KF15">
        <f>SUMPRODUCT(--('Данные 2st'!$Q$2:$Q$317=$A15),--ISNUMBER('Данные 2st'!$BN$2:$BN$317))</f>
        <v>23</v>
      </c>
      <c r="KG15">
        <f>SUMPRODUCT(--('Данные 2st'!$Q$2:$Q$317=$A15),--ISNUMBER('Данные 2st'!$BO$2:$BO$317))</f>
        <v>3</v>
      </c>
      <c r="KH15">
        <f>SUMPRODUCT(--('Данные 2st'!$Q$2:$Q$317=$A15),--ISNUMBER('Данные 2st'!$BP$2:$BP$317))</f>
        <v>23</v>
      </c>
      <c r="KI15">
        <f>SUMPRODUCT(--('Данные 2st'!$Q$2:$Q$317=$A15),--ISNUMBER('Данные 2st'!$BR$2:$BR$317))</f>
        <v>23</v>
      </c>
      <c r="KJ15">
        <f>SUMPRODUCT(--('Данные 2st'!$Q$2:$Q$317=$A15),--ISNUMBER('Данные 2st'!$BS$2:$BS$317))</f>
        <v>23</v>
      </c>
      <c r="KK15">
        <f>SUMPRODUCT(--('Данные 2st'!$Q$2:$Q$317=$A15),--ISNUMBER('Данные 2st'!$BT$2:$BT$317))</f>
        <v>23</v>
      </c>
      <c r="KL15">
        <f>SUMPRODUCT(--('Данные 2st'!$Q$2:$Q$317=$A15),--ISNUMBER('Данные 2st'!$CV$2:$CV$317))</f>
        <v>23</v>
      </c>
      <c r="KM15">
        <f>SUMPRODUCT(--('Данные 2st'!$Q$2:$Q$317=$A15),--ISNUMBER('Данные 2st'!$CW$2:$CW$317))</f>
        <v>23</v>
      </c>
      <c r="KN15">
        <f>SUMPRODUCT(--('Данные 2st'!$Q$2:$Q$317=$A15),--ISNUMBER('Данные 2st'!$CX$2:$CX$317))</f>
        <v>23</v>
      </c>
      <c r="KO15">
        <f>SUMPRODUCT(--('Данные 2st'!$Q$2:$Q$317=$A15),--ISNUMBER('Данные 2st'!$CY$2:$CY$317))</f>
        <v>23</v>
      </c>
      <c r="KP15">
        <f>SUMPRODUCT(--('Данные 2st'!$Q$2:$Q$317=$A15),--ISNUMBER('Данные 2st'!$CZ$2:$CZ$317))</f>
        <v>23</v>
      </c>
      <c r="KQ15">
        <f>SUMPRODUCT(--('Данные 2st'!$Q$2:$Q$317=$A15),--ISNUMBER('Данные 2st'!$DA$2:$DA$317))</f>
        <v>23</v>
      </c>
      <c r="KR15">
        <f>SUMPRODUCT(--('Данные 2st'!$Q$2:$Q$317=$A15),--ISNUMBER('Данные 2st'!$DB$2:$DB$317))</f>
        <v>23</v>
      </c>
      <c r="KS15">
        <f>SUMPRODUCT(--('Данные 2st'!$Q$2:$Q$317=$A15),--ISNUMBER('Данные 2st'!$DC$2:$DC$317))</f>
        <v>23</v>
      </c>
      <c r="KT15">
        <f>SUMPRODUCT(--('Данные 2st'!$Q$2:$Q$317=$A15),--ISNUMBER('Данные 2st'!$DD$2:$DD$317))</f>
        <v>23</v>
      </c>
      <c r="KU15">
        <f>SUMPRODUCT(--('Данные 2st'!$Q$2:$Q$317=$A15),--ISNUMBER('Данные 2st'!$DE$2:$DE$317))</f>
        <v>23</v>
      </c>
      <c r="KV15">
        <f>SUMPRODUCT(--('Данные 2st'!$Q$2:$Q$317=$A15),--ISNUMBER('Данные 2st'!$DF$2:$DF$317))</f>
        <v>23</v>
      </c>
      <c r="KW15">
        <f>SUMPRODUCT(--('Данные 2st'!$Q$2:$Q$317=$A15),--ISNUMBER('Данные 2st'!$DG$2:$DG$317))</f>
        <v>23</v>
      </c>
      <c r="KX15">
        <f>SUMPRODUCT(--('Данные 2st'!$Q$2:$Q$317=$A15),--ISNUMBER('Данные 2st'!$DH$2:$DH$317))</f>
        <v>4</v>
      </c>
      <c r="KY15">
        <f>SUMPRODUCT(--('Данные 2st'!$Q$2:$Q$317=$A15),--ISNUMBER('Данные 2st'!$DI$2:$DI$317))</f>
        <v>0</v>
      </c>
      <c r="KZ15">
        <f>SUMPRODUCT(--('Данные 2st'!$Q$2:$Q$317=$A15),--ISNUMBER('Данные 2st'!$DK$2:$DK$317))</f>
        <v>23</v>
      </c>
      <c r="LA15">
        <f>SUMPRODUCT(--('Данные 2st'!$Q$2:$Q$317=$A15),--ISNUMBER('Данные 2st'!$DM$2:$DM$317))</f>
        <v>23</v>
      </c>
      <c r="LB15">
        <f>SUMPRODUCT(--('Данные 2st'!$Q$2:$Q$317=$A15),--ISNUMBER('Данные 2st'!$DN$2:$DN$317))</f>
        <v>23</v>
      </c>
      <c r="LC15">
        <f>SUMPRODUCT(--('Данные 2st'!$Q$2:$Q$317=$A15),--ISNUMBER('Данные 2st'!$DO$2:$DO$317))</f>
        <v>23</v>
      </c>
      <c r="LD15">
        <f>SUMPRODUCT(--('Данные 2st'!$Q$2:$Q$317=$A15),--ISNUMBER('Данные 2st'!$DP$2:$DP$317))</f>
        <v>23</v>
      </c>
      <c r="LE15">
        <f>SUMPRODUCT(--('Данные 2st'!$Q$2:$Q$317=$A15),--ISNUMBER('Данные 2st'!$DQ$2:$DQ$317))</f>
        <v>23</v>
      </c>
      <c r="LF15">
        <f>SUMPRODUCT(--('Данные 2st'!$Q$2:$Q$317=$A15),--ISNUMBER('Данные 2st'!$DS$2:$DS$317))</f>
        <v>23</v>
      </c>
      <c r="LG15">
        <f>SUMPRODUCT(--('Данные 2st'!$Q$2:$Q$317=$A15),--ISNUMBER('Данные 2st'!$DU$2:$DU$317))</f>
        <v>23</v>
      </c>
      <c r="LH15">
        <f>SUMPRODUCT(--('Данные 2st'!$Q$2:$Q$317=$A15),--ISNUMBER('Данные 2st'!$DV$2:$DV$317))</f>
        <v>23</v>
      </c>
      <c r="LI15">
        <f>SUMPRODUCT(--('Данные 2st'!$Q$2:$Q$317=$A15),--ISNUMBER('Данные 2st'!$DW$2:$DW$317))</f>
        <v>23</v>
      </c>
      <c r="LJ15">
        <f>SUMPRODUCT(--('Данные 2st'!$Q$2:$Q$317=$A15),--ISNUMBER('Данные 2st'!$DX$2:$DX$317))</f>
        <v>23</v>
      </c>
      <c r="LK15">
        <f>SUMPRODUCT(--('Данные 2st'!$Q$2:$Q$317=$A15),--ISNUMBER('Данные 2st'!$DY$2:$DY$317))</f>
        <v>23</v>
      </c>
      <c r="LL15">
        <f>SUMPRODUCT(--('Данные 2st'!$Q$2:$Q$317=$A15),--ISNUMBER('Данные 2st'!$EA$2:$EA$317))</f>
        <v>23</v>
      </c>
      <c r="LM15">
        <f>SUMPRODUCT(--('Данные 2st'!$Q$2:$Q$317=$A15),--ISNUMBER('Данные 2st'!$EC$2:$EC$317))</f>
        <v>23</v>
      </c>
      <c r="LN15">
        <f>SUMPRODUCT(--('Данные 2st'!$Q$2:$Q$317=$A15),--ISNUMBER('Данные 2st'!$ED$2:$ED$317))</f>
        <v>23</v>
      </c>
      <c r="LO15">
        <f>SUMPRODUCT(--('Данные 2st'!$Q$2:$Q$317=$A15),--ISNUMBER('Данные 2st'!$EE$2:$EE$317))</f>
        <v>23</v>
      </c>
      <c r="LP15">
        <f>SUMPRODUCT(--('Данные 2st'!$Q$2:$Q$317=$A15),--ISNUMBER('Данные 2st'!$EG$2:$EG$317))</f>
        <v>23</v>
      </c>
      <c r="LQ15">
        <f>SUMPRODUCT(--('Данные 2st'!$Q$2:$Q$317=$A15),--ISNUMBER('Данные 2st'!$EI$2:$EI$317))</f>
        <v>23</v>
      </c>
      <c r="LR15">
        <f>SUMPRODUCT(--('Данные 2st'!$Q$2:$Q$317=$A15),--ISNUMBER('Данные 2st'!$EJ$2:$EJ$317))</f>
        <v>17</v>
      </c>
      <c r="LS15">
        <f>SUMPRODUCT(--('Данные 2st'!$Q$2:$Q$317=$A15),--ISNUMBER('Данные 2st'!$EK$2:$EK$317))</f>
        <v>17</v>
      </c>
      <c r="LT15">
        <f>SUMPRODUCT(--('Данные 2st'!$Q$2:$Q$317=$A15),--ISNUMBER('Данные 2st'!$EM$2:$EM$317))</f>
        <v>23</v>
      </c>
      <c r="LU15">
        <f>SUMPRODUCT(--('Данные 2st'!$Q$2:$Q$317=$A15),--ISNUMBER('Данные 2st'!$EN$2:$EN$317))</f>
        <v>23</v>
      </c>
      <c r="LV15">
        <f>SUMPRODUCT(--('Данные 2st'!$Q$2:$Q$317=$A15),--ISNUMBER('Данные 2st'!$EO$2:$EO$317))</f>
        <v>23</v>
      </c>
      <c r="LW15">
        <f>SUMPRODUCT(--('Данные 2st'!$Q$2:$Q$317=$A15),--ISNUMBER('Данные 2st'!$EP$2:$EP$317))</f>
        <v>23</v>
      </c>
      <c r="LX15">
        <f>SUMPRODUCT(--('Данные 2st'!$Q$2:$Q$317=$A15),--ISNUMBER('Данные 2st'!$EQ$2:$EQ$317))</f>
        <v>23</v>
      </c>
      <c r="LY15">
        <f>SUMPRODUCT(--('Данные 2st'!$Q$2:$Q$317=$A15),--ISNUMBER('Данные 2st'!$ER$2:$ER$317))</f>
        <v>23</v>
      </c>
      <c r="LZ15">
        <f>SUMPRODUCT(--('Данные 2st'!$Q$2:$Q$317=$A15),--ISNUMBER('Данные 2st'!$ES$2:$ES$317))</f>
        <v>23</v>
      </c>
      <c r="MA15">
        <f>SUMPRODUCT(--('Данные 2st'!$Q$2:$Q$317=$A15),--ISNUMBER('Данные 2st'!$ET$2:$ET$317))</f>
        <v>23</v>
      </c>
      <c r="MB15">
        <f>SUMPRODUCT(--('Данные 2st'!$Q$2:$Q$317=$A15),--ISNUMBER('Данные 2st'!$EU$2:$EU$317))</f>
        <v>23</v>
      </c>
      <c r="MC15">
        <f>SUMPRODUCT(--('Данные 2st'!$Q$2:$Q$317=$A15),--ISNUMBER('Данные 2st'!$EV$2:$EV$317))</f>
        <v>23</v>
      </c>
      <c r="MD15">
        <f>SUMPRODUCT(--('Данные 2st'!$Q$2:$Q$317=$A15),--ISNUMBER('Данные 2st'!$EW$2:$EW$317))</f>
        <v>23</v>
      </c>
      <c r="ME15">
        <f>SUMPRODUCT(--('Данные 2st'!$Q$2:$Q$317=$A15),--ISNUMBER('Данные 2st'!$EY$2:$EY$317))</f>
        <v>23</v>
      </c>
      <c r="MF15">
        <f>SUMPRODUCT(--('Данные 2st'!$Q$2:$Q$317=$A15),--ISNUMBER('Данные 2st'!$FA$2:$FA$317))</f>
        <v>23</v>
      </c>
      <c r="MG15">
        <f>SUMPRODUCT(--('Данные 2st'!$Q$2:$Q$317=$A15),--ISNUMBER('Данные 2st'!$FB$2:$FB$317))</f>
        <v>23</v>
      </c>
      <c r="MH15">
        <f>SUMPRODUCT(--('Данные 2st'!$Q$2:$Q$317=$A15),--ISNUMBER('Данные 2st'!$FC$2:$FC$317))</f>
        <v>23</v>
      </c>
      <c r="MI15">
        <f>SUMPRODUCT(--('Данные 2st'!$Q$2:$Q$317=$A15),--ISNUMBER('Данные 2st'!$FD$2:$FD$317))</f>
        <v>23</v>
      </c>
      <c r="MJ15">
        <f>SUMPRODUCT(--('Данные 2st'!$Q$2:$Q$317=$A15),--ISNUMBER('Данные 2st'!$FE$2:$FE$317))</f>
        <v>23</v>
      </c>
      <c r="MK15">
        <f>SUMPRODUCT(--('Данные 2st'!$Q$2:$Q$317=$A15),--ISNUMBER('Данные 2st'!$FG$2:$FG$317))</f>
        <v>23</v>
      </c>
      <c r="ML15">
        <f>SUMPRODUCT(--('Данные 2st'!$Q$2:$Q$317=$A15),--ISNUMBER('Данные 2st'!$FI$2:$FI$317))</f>
        <v>23</v>
      </c>
      <c r="MM15">
        <f>SUMPRODUCT(--('Данные 2st'!$Q$2:$Q$317=$A15),--ISNUMBER('Данные 2st'!$FJ$2:$FJ$317))</f>
        <v>23</v>
      </c>
      <c r="MN15">
        <f>SUMPRODUCT(--('Данные 2st'!$Q$2:$Q$317=$A15),--ISNUMBER('Данные 2st'!$FK$2:$FK$317))</f>
        <v>23</v>
      </c>
      <c r="MO15">
        <f>SUMPRODUCT(--('Данные 2st'!$Q$2:$Q$317=$A15),--ISNUMBER('Данные 2st'!$FP$2:$FP$317))</f>
        <v>23</v>
      </c>
      <c r="MP15">
        <f>SUMPRODUCT(--('Данные 2st'!$Q$2:$Q$317=$A15),--ISNUMBER('Данные 2st'!$FQ$2:$FQ$317))</f>
        <v>23</v>
      </c>
      <c r="MQ15">
        <f>SUMPRODUCT(--('Данные 2st'!$Q$2:$Q$317=$A15),--ISNUMBER('Данные 2st'!$FS$2:$FS$317))</f>
        <v>21</v>
      </c>
      <c r="MR15">
        <f>SUMPRODUCT(--('Данные 2st'!$Q$2:$Q$317=$A15),--ISNUMBER('Данные 2st'!$FU$2:$FU$317))</f>
        <v>22</v>
      </c>
      <c r="MS15">
        <f>SUMPRODUCT(--('Данные 2st'!$Q$2:$Q$317=$A15),--ISNUMBER('Данные 2st'!$FV$2:$FV$317))</f>
        <v>23</v>
      </c>
      <c r="MT15">
        <f>SUMPRODUCT(--('Данные 2st'!$Q$2:$Q$317=$A15),--ISNUMBER('Данные 2st'!$FW$2:$FW$317))</f>
        <v>23</v>
      </c>
      <c r="MU15">
        <f>SUMPRODUCT(--('Данные 2st'!$Q$2:$Q$317=$A15),--ISNUMBER('Данные 2st'!$FY$2:$FY$317))</f>
        <v>20</v>
      </c>
      <c r="MV15">
        <f>SUMPRODUCT(--('Данные 2st'!$Q$2:$Q$317=$A15),--ISNUMBER('Данные 2st'!$GB$2:$GB$317))</f>
        <v>20</v>
      </c>
      <c r="MW15">
        <f>SUMPRODUCT(--('Данные 2st'!$Q$2:$Q$317=$A15),--ISNUMBER('Данные 2st'!$GC$2:$GC$317))</f>
        <v>20</v>
      </c>
      <c r="MX15">
        <f>SUMPRODUCT(--('Данные 2st'!$Q$2:$Q$317=$A15),--ISNUMBER('Данные 2st'!$GD$2:$GD$317))</f>
        <v>23</v>
      </c>
      <c r="MY15">
        <f>SUMPRODUCT(--('Данные 2st'!$Q$2:$Q$317=$A15),--ISNUMBER('Данные 2st'!$GN$2:$GN$317))</f>
        <v>1</v>
      </c>
      <c r="MZ15">
        <f>SUMPRODUCT(--('Данные 2st'!$Q$2:$Q$317=$A15),--ISNUMBER('Данные 2st'!$GQ$2:$GQ$317))</f>
        <v>23</v>
      </c>
      <c r="NA15">
        <f>SUMPRODUCT(--('Данные 2st'!$Q$2:$Q$317=$A15),--ISNUMBER('Данные 2st'!$GV$2:$GV$317))</f>
        <v>23</v>
      </c>
      <c r="NB15">
        <f>SUMPRODUCT(--('Данные 2st'!$Q$2:$Q$317=$A15),--ISNUMBER('Данные 2st'!$GW$2:$GW$317))</f>
        <v>23</v>
      </c>
      <c r="NC15">
        <f>SUMPRODUCT(--('Данные 2st'!$Q$2:$Q$317=$A15),--ISNUMBER('Данные 2st'!$GX$2:$GX$317))</f>
        <v>23</v>
      </c>
      <c r="ND15">
        <f>SUMPRODUCT(--('Данные 2st'!$Q$2:$Q$317=$A15),--ISNUMBER('Данные 2st'!$GY$2:$GY$317))</f>
        <v>23</v>
      </c>
      <c r="NE15">
        <f>SUMPRODUCT(--('Данные 2st'!$Q$2:$Q$317=$A15),--ISNUMBER('Данные 2st'!$GZ$2:$GZ$317))</f>
        <v>23</v>
      </c>
      <c r="NF15">
        <f>SUMPRODUCT(--('Данные 2st'!$Q$2:$Q$317=$A15),--ISNUMBER('Данные 2st'!$HA$2:$HA$317))</f>
        <v>23</v>
      </c>
      <c r="NG15">
        <f>SUMPRODUCT(--('Данные 2st'!$Q$2:$Q$317=$A15),--ISNUMBER('Данные 2st'!$HB$2:$HB$317))</f>
        <v>23</v>
      </c>
      <c r="NH15">
        <f>SUMPRODUCT(--('Данные 2st'!$Q$2:$Q$317=$A15),--ISNUMBER('Данные 2st'!$HC$2:$HC$317))</f>
        <v>23</v>
      </c>
      <c r="NI15">
        <f>SUMPRODUCT(--('Данные 2st'!$Q$2:$Q$317=$A15),--ISNUMBER('Данные 2st'!$HD$2:$HD$317))</f>
        <v>23</v>
      </c>
      <c r="NJ15">
        <f>SUMPRODUCT(--('Данные 2st'!$Q$2:$Q$317=$A15),--ISNUMBER('Данные 2st'!$HM$2:$HM$317))</f>
        <v>23</v>
      </c>
      <c r="NK15">
        <f>SUMPRODUCT(--('Данные 2st'!$Q$2:$Q$317=$A15),--ISNUMBER('Данные 2st'!$HR$2:$HR$317))</f>
        <v>23</v>
      </c>
      <c r="NL15">
        <f>SUMPRODUCT(--('Данные 2st'!$Q$2:$Q$317=$A15),--ISNUMBER('Данные 2st'!$HS$2:$HS$317))</f>
        <v>23</v>
      </c>
      <c r="NM15">
        <f>SUMPRODUCT(--('Данные 2st'!$Q$2:$Q$317=$A15),--ISNUMBER('Данные 2st'!$HT$2:$HT$317))</f>
        <v>23</v>
      </c>
      <c r="NN15">
        <f>SUMPRODUCT(--('Данные 2st'!$Q$2:$Q$317=$A15),--ISNUMBER('Данные 2st'!$HY$2:$HY$317))</f>
        <v>23</v>
      </c>
      <c r="NO15">
        <f>SUMPRODUCT(--('Данные 2st'!$Q$2:$Q$317=$A15),--ISNUMBER('Данные 2st'!$HZ$2:$HZ$317))</f>
        <v>23</v>
      </c>
      <c r="NP15">
        <f>SUMPRODUCT(--('Данные 2st'!$Q$2:$Q$317=$A15),--ISNUMBER('Данные 2st'!$IA$2:$IA$317))</f>
        <v>23</v>
      </c>
      <c r="NQ15">
        <f>SUMPRODUCT(--('Данные 2st'!$Q$2:$Q$317=$A15),--ISNUMBER('Данные 2st'!$IB$2:$IB$317))</f>
        <v>23</v>
      </c>
      <c r="NR15">
        <f>SUMPRODUCT(--('Данные 2st'!$Q$2:$Q$317=$A15),--ISNUMBER('Данные 2st'!$IC$2:$IC$317))</f>
        <v>1</v>
      </c>
      <c r="NS15">
        <f>SUMPRODUCT(--('Данные 2st'!$Q$2:$Q$317=$A15),--ISNUMBER('Данные 2st'!$ID$2:$ID$317))</f>
        <v>23</v>
      </c>
      <c r="NT15">
        <f>SUMPRODUCT(--('Данные 2st'!$Q$2:$Q$317=$A15),--ISNUMBER('Данные 2st'!$IE$2:$IE$317))</f>
        <v>23</v>
      </c>
      <c r="NU15">
        <f>SUMPRODUCT(--('Данные 2st'!$Q$2:$Q$317=$A15),--ISNUMBER('Данные 2st'!$IF$2:$IF$317))</f>
        <v>23</v>
      </c>
      <c r="NV15">
        <f>SUMPRODUCT(--('Данные 2st'!$Q$2:$Q$317=$A15),--ISNUMBER('Данные 2st'!$IG$2:$IG$317))</f>
        <v>23</v>
      </c>
      <c r="NW15">
        <f>SUMPRODUCT(--('Данные 2st'!$Q$2:$Q$317=$A15),--ISNUMBER('Данные 2st'!$IH$2:$IH$317))</f>
        <v>23</v>
      </c>
      <c r="NX15">
        <f>SUMPRODUCT(--('Данные 2st'!$Q$2:$Q$317=$A15),--ISNUMBER('Данные 2st'!$IJ$2:$IJ$317))</f>
        <v>23</v>
      </c>
      <c r="NY15">
        <f>SUMPRODUCT(--('Данные 2st'!$Q$2:$Q$317=$A15),--ISNUMBER('Данные 2st'!$IM$2:$IM$317))</f>
        <v>23</v>
      </c>
      <c r="NZ15">
        <f>SUMPRODUCT(--('Данные 2st'!$Q$2:$Q$317=$A15),--ISNUMBER('Данные 2st'!$IN$2:$IN$317))</f>
        <v>23</v>
      </c>
      <c r="OA15">
        <f>SUMPRODUCT(--('Данные 2st'!$Q$2:$Q$317=$A15),--ISNUMBER('Данные 2st'!$IO$2:$IO$317))</f>
        <v>23</v>
      </c>
      <c r="OB15">
        <f>SUMPRODUCT(--('Данные 2st'!$Q$2:$Q$317=$A15),--ISNUMBER('Данные 2st'!$IP$2:$IP$317))</f>
        <v>23</v>
      </c>
      <c r="OC15">
        <f>SUMPRODUCT(--('Данные 2st'!$Q$2:$Q$317=$A15),--ISNUMBER('Данные 2st'!$IQ$2:$IQ$317))</f>
        <v>23</v>
      </c>
      <c r="OD15">
        <f>SUMPRODUCT(--('Данные 2st'!$Q$2:$Q$317=$A15),--ISNUMBER('Данные 2st'!$IR$2:$IR$317))</f>
        <v>23</v>
      </c>
      <c r="OE15">
        <f>SUMPRODUCT(--('Данные 2st'!$Q$2:$Q$317=$A15),--ISNUMBER('Данные 2st'!$IT$2:$IT$317))</f>
        <v>23</v>
      </c>
      <c r="OF15">
        <f>SUMPRODUCT(--('Данные 2st'!$Q$2:$Q$317=$A15),--ISNUMBER('Данные 2st'!$IU$2:$IU$317))</f>
        <v>23</v>
      </c>
      <c r="OG15">
        <f>SUMPRODUCT(--('Данные 2st'!$Q$2:$Q$317=$A15),--ISNUMBER('Данные 2st'!$IV$2:$IV$317))</f>
        <v>23</v>
      </c>
      <c r="OH15">
        <f>SUMPRODUCT(--('Данные 2st'!$Q$2:$Q$317=$A15),--ISNUMBER('Данные 2st'!$IW$2:$IW$317))</f>
        <v>23</v>
      </c>
      <c r="OI15">
        <f>SUMPRODUCT(--('Данные 2st'!$Q$2:$Q$317=$A15),--ISNUMBER('Данные 2st'!$IX$2:$IX$317))</f>
        <v>23</v>
      </c>
      <c r="OJ15">
        <f>SUMPRODUCT(--('Данные 2st'!$Q$2:$Q$317=$A15),--ISNUMBER('Данные 2st'!$IY$2:$IY$317))</f>
        <v>23</v>
      </c>
      <c r="OK15">
        <f>SUMPRODUCT(--('Данные 2st'!$Q$2:$Q$317=$A15),--ISNUMBER('Данные 2st'!$IZ$2:$IZ$317))</f>
        <v>23</v>
      </c>
      <c r="OL15">
        <f>SUMPRODUCT(--('Данные 2st'!$Q$2:$Q$317=$A15),--ISNUMBER('Данные 2st'!$JA$2:$JA$317))</f>
        <v>23</v>
      </c>
      <c r="OM15">
        <f>SUMPRODUCT(--('Данные 2st'!$Q$2:$Q$317=$A15),--ISNUMBER('Данные 2st'!$JB$2:$JB$317))</f>
        <v>23</v>
      </c>
      <c r="ON15">
        <f>SUMPRODUCT(--('Данные 2st'!$Q$2:$Q$317=$A15),--ISNUMBER('Данные 2st'!$JC$2:$JC$317))</f>
        <v>23</v>
      </c>
      <c r="OO15">
        <f>SUMPRODUCT(--('Данные 2st'!$Q$2:$Q$317=$A15),--ISNUMBER('Данные 2st'!$JD$2:$JD$317))</f>
        <v>23</v>
      </c>
      <c r="OP15">
        <f>SUMPRODUCT(--('Данные 2st'!$Q$2:$Q$317=$A15),--ISNUMBER('Данные 2st'!$JE$2:$JE$317))</f>
        <v>23</v>
      </c>
      <c r="OQ15">
        <f>SUMPRODUCT(--('Данные 2st'!$Q$2:$Q$317=$A15),--ISNUMBER('Данные 2st'!$JF$2:$JF$317))</f>
        <v>23</v>
      </c>
      <c r="OR15">
        <f>SUMPRODUCT(--('Данные 2st'!$Q$2:$Q$317=$A15),--ISNUMBER('Данные 2st'!$JG$2:$JG$317))</f>
        <v>23</v>
      </c>
      <c r="OS15">
        <f>SUMPRODUCT(--('Данные 2st'!$Q$2:$Q$317=$A15),--ISNUMBER('Данные 2st'!$JH$2:$JH$317))</f>
        <v>23</v>
      </c>
      <c r="OT15">
        <f>SUMPRODUCT(--('Данные 2st'!$Q$2:$Q$317=$A15),--ISNUMBER('Данные 2st'!$JI$2:$JI$317))</f>
        <v>23</v>
      </c>
      <c r="OU15">
        <f>SUMPRODUCT(--('Данные 2st'!$Q$2:$Q$317=$A15),--ISNUMBER('Данные 2st'!$JJ$2:$JJ$317))</f>
        <v>23</v>
      </c>
      <c r="OV15">
        <f>SUMPRODUCT(--('Данные 2st'!$Q$2:$Q$317=$A15),--ISNUMBER('Данные 2st'!$JK$2:$JK$317))</f>
        <v>23</v>
      </c>
      <c r="OW15">
        <f>SUMPRODUCT(--('Данные 2st'!$Q$2:$Q$317=$A15),--ISNUMBER('Данные 2st'!$JL$2:$JL$317))</f>
        <v>23</v>
      </c>
      <c r="OX15">
        <f>SUMPRODUCT(--('Данные 2st'!$Q$2:$Q$317=$A15),--ISNUMBER('Данные 2st'!$JM$2:$JM$317))</f>
        <v>23</v>
      </c>
      <c r="OY15">
        <f>SUMPRODUCT(--('Данные 2st'!$Q$2:$Q$317=$A15),--ISNUMBER('Данные 2st'!$JP$2:$JP$317))</f>
        <v>23</v>
      </c>
      <c r="OZ15">
        <f>SUMPRODUCT(--('Данные 2st'!$Q$2:$Q$317=$A15),--ISNUMBER('Данные 2st'!$JQ$2:$JQ$317))</f>
        <v>23</v>
      </c>
      <c r="PA15">
        <f>SUMPRODUCT(--('Данные 2st'!$Q$2:$Q$317=$A15),--ISNUMBER('Данные 2st'!$JR$2:$JR$317))</f>
        <v>23</v>
      </c>
      <c r="PB15">
        <f>SUMPRODUCT(--('Данные 2st'!$Q$2:$Q$317=$A15),--ISNUMBER('Данные 2st'!$JS$2:$JS$317))</f>
        <v>23</v>
      </c>
      <c r="PC15">
        <f>SUMPRODUCT(--('Данные 2st'!$Q$2:$Q$317=$A15),--ISNUMBER('Данные 2st'!$JT$2:$JT$317))</f>
        <v>23</v>
      </c>
      <c r="PD15">
        <f>SUMPRODUCT(--('Данные 2st'!$Q$2:$Q$317=$A15),--ISNUMBER('Данные 2st'!$JU$2:$JU$317))</f>
        <v>23</v>
      </c>
      <c r="PE15">
        <f>SUMPRODUCT(--('Данные 2st'!$Q$2:$Q$317=$A15),--ISNUMBER('Данные 2st'!$JV$2:$JV$317))</f>
        <v>23</v>
      </c>
      <c r="PF15">
        <f>SUMPRODUCT(--('Данные 2st'!$Q$2:$Q$317=$A15),--ISNUMBER('Данные 2st'!$JW$2:$JW$317))</f>
        <v>23</v>
      </c>
      <c r="PG15">
        <f>SUMPRODUCT(--('Данные 2st'!$Q$2:$Q$317=$A15),--ISNUMBER('Данные 2st'!$KF$2:$KF$317))</f>
        <v>23</v>
      </c>
      <c r="PH15">
        <f>SUMPRODUCT(--('Данные 2st'!$Q$2:$Q$317=$A15),--ISNUMBER('Данные 2st'!$KG$2:$KG$317))</f>
        <v>23</v>
      </c>
      <c r="PI15">
        <f>SUMPRODUCT(--('Данные 2st'!$Q$2:$Q$317=$A15),--ISNUMBER('Данные 2st'!$KM$2:$KM$317))</f>
        <v>23</v>
      </c>
      <c r="PJ15">
        <f>SUMPRODUCT(--('Данные 2st'!$Q$2:$Q$317=$A15),--ISNUMBER('Данные 2st'!$KN$2:$KN$317))</f>
        <v>23</v>
      </c>
      <c r="PK15">
        <f>SUMPRODUCT(--('Данные 2st'!$Q$2:$Q$317=$A15),--ISNUMBER('Данные 2st'!$KO$2:$KO$317))</f>
        <v>23</v>
      </c>
      <c r="PL15">
        <f>SUMPRODUCT(--('Данные 2st'!$Q$2:$Q$317=$A15),--ISNUMBER('Данные 2st'!$KP$2:$KP$317))</f>
        <v>23</v>
      </c>
      <c r="PM15">
        <f>SUMPRODUCT(--('Данные 2st'!$Q$2:$Q$317=$A15),--ISNUMBER('Данные 2st'!$KQ$2:$KQ$317))</f>
        <v>23</v>
      </c>
      <c r="PN15">
        <f>SUMPRODUCT(--('Данные 2st'!$Q$2:$Q$317=$A15),--ISNUMBER('Данные 2st'!$KR$2:$KR$317))</f>
        <v>23</v>
      </c>
      <c r="PO15">
        <f>SUMPRODUCT(--('Данные 2st'!$Q$2:$Q$317=$A15),--ISNUMBER('Данные 2st'!$KS$2:$KS$317))</f>
        <v>23</v>
      </c>
      <c r="PP15">
        <f>SUMPRODUCT(--('Данные 2st'!$Q$2:$Q$317=$A15),--ISNUMBER('Данные 2st'!$KT$2:$KT$317))</f>
        <v>23</v>
      </c>
      <c r="PQ15">
        <f>SUMPRODUCT(--('Данные 2st'!$Q$2:$Q$317=$A15),--ISNUMBER('Данные 2st'!$KU$2:$KU$317))</f>
        <v>23</v>
      </c>
      <c r="PR15">
        <f>SUMPRODUCT(--('Данные 2st'!$Q$2:$Q$317=$A15),--ISNUMBER('Данные 2st'!$KV$2:$KV$317))</f>
        <v>23</v>
      </c>
      <c r="PS15">
        <f>SUMPRODUCT(--('Данные 2st'!$Q$2:$Q$317=$A15),--ISNUMBER('Данные 2st'!$KW$2:$KW$317))</f>
        <v>23</v>
      </c>
      <c r="PT15">
        <f>SUMPRODUCT(--('Данные 2st'!$Q$2:$Q$317=$A15),--ISNUMBER('Данные 2st'!$KX$2:$KX$317))</f>
        <v>23</v>
      </c>
      <c r="PU15">
        <f>SUMPRODUCT(--('Данные 2st'!$Q$2:$Q$317=$A15),--ISNUMBER('Данные 2st'!$KY$2:$KY$317))</f>
        <v>23</v>
      </c>
      <c r="PV15">
        <f>SUMPRODUCT(--('Данные 2st'!$Q$2:$Q$317=$A15),--ISNUMBER('Данные 2st'!$KZ$2:$KZ$317))</f>
        <v>23</v>
      </c>
      <c r="PW15">
        <f>SUMPRODUCT(--('Данные 2st'!$Q$2:$Q$317=$A15),--ISNUMBER('Данные 2st'!$LA$2:$LA$317))</f>
        <v>23</v>
      </c>
      <c r="PX15">
        <f>SUMPRODUCT(--('Данные 2st'!$Q$2:$Q$317=$A15),--ISNUMBER('Данные 2st'!$LB$2:$LB$317))</f>
        <v>23</v>
      </c>
      <c r="PY15">
        <f>SUMPRODUCT(--('Данные 2st'!$Q$2:$Q$317=$A15),--ISNUMBER('Данные 2st'!$LC$2:$LC$317))</f>
        <v>23</v>
      </c>
      <c r="PZ15">
        <f>SUMPRODUCT(--('Данные 2st'!$Q$2:$Q$317=$A15),--ISNUMBER('Данные 2st'!$LD$2:$LD$317))</f>
        <v>23</v>
      </c>
      <c r="QA15">
        <f>SUMPRODUCT(--('Данные 2st'!$Q$2:$Q$317=$A15),--ISNUMBER('Данные 2st'!$LE$2:$LE$317))</f>
        <v>23</v>
      </c>
      <c r="QB15">
        <f>SUMPRODUCT(--('Данные 2st'!$Q$2:$Q$317=$A15),--ISNUMBER('Данные 2st'!$LF$2:$LF$317))</f>
        <v>23</v>
      </c>
      <c r="QC15">
        <f>SUMPRODUCT(--('Данные 2st'!$Q$2:$Q$317=$A15),--ISNUMBER('Данные 2st'!$LG$2:$LG$317))</f>
        <v>23</v>
      </c>
      <c r="QD15">
        <f>SUMPRODUCT(--('Данные 2st'!$Q$2:$Q$317=$A15),--ISNUMBER('Данные 2st'!$LH$2:$LH$317))</f>
        <v>23</v>
      </c>
      <c r="QE15">
        <f>SUMPRODUCT(--('Данные 2st'!$Q$2:$Q$317=$A15),--ISNUMBER('Данные 2st'!$LJ$2:$LJ$317))</f>
        <v>23</v>
      </c>
      <c r="QF15">
        <f>SUMPRODUCT(--('Данные 2st'!$Q$2:$Q$317=$A15),--ISNUMBER('Данные 2st'!$LK$2:$LK$317))</f>
        <v>23</v>
      </c>
      <c r="QG15">
        <f>SUMPRODUCT(--('Данные 2st'!$Q$2:$Q$317=$A15),--ISNUMBER('Данные 2st'!$LL$2:$LL$317))</f>
        <v>23</v>
      </c>
      <c r="QH15">
        <f>SUMPRODUCT(--('Данные 2st'!$Q$2:$Q$317=$A15),--ISNUMBER('Данные 2st'!$LM$2:$LM$317))</f>
        <v>23</v>
      </c>
      <c r="QI15">
        <f>SUMPRODUCT(--('Данные 2st'!$Q$2:$Q$317=$A15),--ISNUMBER('Данные 2st'!$LN$2:$LN$317))</f>
        <v>23</v>
      </c>
      <c r="QJ15">
        <f>SUMPRODUCT(--('Данные 2st'!$Q$2:$Q$317=$A15),--ISNUMBER('Данные 2st'!$LO$2:$LO$317))</f>
        <v>23</v>
      </c>
      <c r="QK15">
        <f>SUMPRODUCT(--('Данные 2st'!$Q$2:$Q$317=$A15),--ISNUMBER('Данные 2st'!$LP$2:$LP$317))</f>
        <v>23</v>
      </c>
      <c r="QL15">
        <f>SUMPRODUCT(--('Данные 2st'!$Q$2:$Q$317=$A15),--ISNUMBER('Данные 2st'!$LQ$2:$LQ$317))</f>
        <v>23</v>
      </c>
      <c r="QM15">
        <f>SUMPRODUCT(--('Данные 2st'!$Q$2:$Q$317=$A15),--ISNUMBER('Данные 2st'!$LW$2:$LW$317))</f>
        <v>23</v>
      </c>
      <c r="QN15">
        <f>SUMPRODUCT(--('Данные 2st'!$Q$2:$Q$317=$A15),--ISNUMBER('Данные 2st'!$LX$2:$LX$317))</f>
        <v>23</v>
      </c>
      <c r="QO15">
        <f>SUMPRODUCT(--('Данные 2st'!$Q$2:$Q$317=$A15),--ISNUMBER('Данные 2st'!$LY$2:$LY$317))</f>
        <v>23</v>
      </c>
      <c r="QP15">
        <f>SUMPRODUCT(--('Данные 2st'!$Q$2:$Q$317=$A15),--ISNUMBER('Данные 2st'!$LZ$2:$LZ$317))</f>
        <v>23</v>
      </c>
      <c r="QQ15">
        <f>SUMPRODUCT(--('Данные 2st'!$Q$2:$Q$317=$A15),--ISNUMBER('Данные 2st'!$MB$2:$MB$317))</f>
        <v>23</v>
      </c>
      <c r="QR15">
        <f>SUMPRODUCT(--('Данные 2st'!$Q$2:$Q$317=$A15),--ISNUMBER('Данные 2st'!$MG$2:$MG$317))</f>
        <v>4</v>
      </c>
      <c r="QS15">
        <f>SUMPRODUCT(--('Данные 2st'!$Q$2:$Q$317=$A15),--ISNUMBER('Данные 2st'!$MH$2:$MH$317))</f>
        <v>4</v>
      </c>
      <c r="QT15">
        <f>SUMPRODUCT(--('Данные 2st'!$Q$2:$Q$317=$A15),--ISNUMBER('Данные 2st'!$MI$2:$MI$317))</f>
        <v>11</v>
      </c>
      <c r="QU15">
        <f>SUMPRODUCT(--('Данные 2st'!$Q$2:$Q$317=$A15),--ISNUMBER('Данные 2st'!$MJ$2:$MJ$317))</f>
        <v>11</v>
      </c>
      <c r="QV15">
        <f>SUMPRODUCT(--('Данные 2st'!$Q$2:$Q$317=$A15),--ISNUMBER('Данные 2st'!$MK$2:$MK$317))</f>
        <v>4</v>
      </c>
      <c r="QW15">
        <f>SUMPRODUCT(--('Данные 2st'!$Q$2:$Q$317=$A15),--ISNUMBER('Данные 2st'!$MM$2:$MM$317))</f>
        <v>11</v>
      </c>
      <c r="QX15">
        <f>SUMPRODUCT(--('Данные 2st'!$Q$2:$Q$317=$A15),--ISNUMBER('Данные 2st'!$MQ$2:$MQ$317))</f>
        <v>1</v>
      </c>
      <c r="QY15">
        <f>SUMPRODUCT(--('Данные 2st'!$Q$2:$Q$317=$A15),--ISNUMBER('Данные 2st'!$MR$2:$MR$317))</f>
        <v>1</v>
      </c>
      <c r="QZ15">
        <f>SUMPRODUCT(--('Данные 2st'!$Q$2:$Q$317=$A15),--ISNUMBER('Данные 2st'!$MS$2:$MS$317))</f>
        <v>1</v>
      </c>
      <c r="RA15">
        <f>SUMPRODUCT(--('Данные 2st'!$Q$2:$Q$317=$A15),--ISNUMBER('Данные 2st'!$MT$2:$MT$317))</f>
        <v>1</v>
      </c>
      <c r="RB15">
        <f>SUMPRODUCT(--('Данные 2st'!$Q$2:$Q$317=$A15),--ISNUMBER('Данные 2st'!$MU$2:$MU$317))</f>
        <v>1</v>
      </c>
      <c r="RC15">
        <f>SUMPRODUCT(--('Данные 2st'!$Q$2:$Q$317=$A15),--ISNUMBER('Данные 2st'!$MV$2:$MV$317))</f>
        <v>1</v>
      </c>
      <c r="RD15">
        <f>SUMPRODUCT(--('Данные 2st'!$Q$2:$Q$317=$A15),--ISNUMBER('Данные 2st'!$MW$2:$MW$317))</f>
        <v>1</v>
      </c>
      <c r="RE15">
        <f>SUMPRODUCT(--('Данные 2st'!$Q$2:$Q$317=$A15),--ISNUMBER('Данные 2st'!$MX$2:$MX$317))</f>
        <v>1</v>
      </c>
      <c r="RF15">
        <f>SUMPRODUCT(--('Данные 2st'!$Q$2:$Q$317=$A15),--ISNUMBER('Данные 2st'!$MY$2:$MY$317))</f>
        <v>1</v>
      </c>
      <c r="RG15">
        <f>SUMPRODUCT(--('Данные 2st'!$Q$2:$Q$317=$A15),--ISNUMBER('Данные 2st'!$MZ$2:$MZ$317))</f>
        <v>1</v>
      </c>
      <c r="RH15">
        <f>SUMPRODUCT(--('Данные 2st'!$Q$2:$Q$317=$A15),--ISNUMBER('Данные 2st'!$NA$2:$NA$317))</f>
        <v>1</v>
      </c>
      <c r="RI15">
        <f>SUMPRODUCT(--('Данные 2st'!$Q$2:$Q$317=$A15),--ISNUMBER('Данные 2st'!$NB$2:$NB$317))</f>
        <v>1</v>
      </c>
      <c r="RJ15">
        <f>SUMPRODUCT(--('Данные 2st'!$Q$2:$Q$317=$A15),--ISNUMBER('Данные 2st'!$NC$2:$NC$317))</f>
        <v>1</v>
      </c>
      <c r="RK15">
        <f>SUMPRODUCT(--('Данные 2st'!$Q$2:$Q$317=$A15),--ISNUMBER('Данные 2st'!$ND$2:$ND$317))</f>
        <v>1</v>
      </c>
      <c r="RL15">
        <f>SUMPRODUCT(--('Данные 2st'!$Q$2:$Q$317=$A15),--ISNUMBER('Данные 2st'!$NE$2:$NE$317))</f>
        <v>1</v>
      </c>
      <c r="RM15">
        <f>SUMPRODUCT(--('Данные 2st'!$Q$2:$Q$317=$A15),--ISNUMBER('Данные 2st'!$NF$2:$NF$317))</f>
        <v>1</v>
      </c>
      <c r="RN15">
        <f>SUMPRODUCT(--('Данные 2st'!$Q$2:$Q$317=$A15),--ISNUMBER('Данные 2st'!$NG$2:$NG$317))</f>
        <v>1</v>
      </c>
      <c r="RO15">
        <f>SUMPRODUCT(--('Данные 2st'!$Q$2:$Q$317=$A15),--ISNUMBER('Данные 2st'!$NH$2:$NH$317))</f>
        <v>3</v>
      </c>
      <c r="RP15">
        <f>SUMPRODUCT(--('Данные 2st'!$Q$2:$Q$317=$A15),--ISNUMBER('Данные 2st'!$NJ$2:$NJ$317))</f>
        <v>3</v>
      </c>
      <c r="RQ15">
        <f>SUMPRODUCT(--('Данные 2st'!$Q$2:$Q$317=$A15),--ISNUMBER('Данные 2st'!$NK$2:$NK$317))</f>
        <v>3</v>
      </c>
      <c r="RR15">
        <f>SUMPRODUCT(--('Данные 2st'!$Q$2:$Q$317=$A15),--ISNUMBER('Данные 2st'!$NM$2:$NM$317))</f>
        <v>3</v>
      </c>
      <c r="RS15">
        <f>SUMPRODUCT(--('Данные 2st'!$Q$2:$Q$317=$A15),--ISNUMBER('Данные 2st'!$NN$2:$NN$317))</f>
        <v>1</v>
      </c>
      <c r="RT15">
        <f>SUMPRODUCT(--('Данные 2st'!$Q$2:$Q$317=$A15),--ISNUMBER('Данные 2st'!$NO$2:$NO$317))</f>
        <v>1</v>
      </c>
      <c r="RU15">
        <f>SUMPRODUCT(--('Данные 2st'!$Q$2:$Q$317=$A15),--ISNUMBER('Данные 2st'!$NP$2:$NP$317))</f>
        <v>1</v>
      </c>
      <c r="RV15">
        <f>SUMPRODUCT(--('Данные 2st'!$Q$2:$Q$317=$A15),--ISNUMBER('Данные 2st'!$NQ$2:$NQ$317))</f>
        <v>1</v>
      </c>
      <c r="RW15">
        <f>SUMPRODUCT(--('Данные 2st'!$Q$2:$Q$317=$A15),--ISNUMBER('Данные 2st'!$NR$2:$NR$317))</f>
        <v>1</v>
      </c>
      <c r="RX15">
        <f>SUMPRODUCT(--('Данные 2st'!$Q$2:$Q$317=$A15),--ISNUMBER('Данные 2st'!$NS$2:$NS$317))</f>
        <v>1</v>
      </c>
      <c r="RY15">
        <f>SUMPRODUCT(--('Данные 2st'!$Q$2:$Q$317=$A15),--ISNUMBER('Данные 2st'!$NT$2:$NT$317))</f>
        <v>1</v>
      </c>
      <c r="RZ15">
        <f>SUMPRODUCT(--('Данные 2st'!$Q$2:$Q$317=$A15),--ISNUMBER('Данные 2st'!$OK$2:$OK$317))</f>
        <v>23</v>
      </c>
      <c r="SA15">
        <f>SUMPRODUCT(--('Данные 2st'!$Q$2:$Q$317=$A15),--ISNUMBER('Данные 2st'!$OL$2:$OL$317))</f>
        <v>23</v>
      </c>
      <c r="SB15">
        <f>SUMPRODUCT(--('Данные 2st'!$Q$2:$Q$317=$A15),--ISNUMBER('Данные 2st'!$ON$2:$ON$317))</f>
        <v>23</v>
      </c>
      <c r="SC15">
        <f>SUMPRODUCT(--('Данные 2st'!$Q$2:$Q$317=$A15),--ISNUMBER('Данные 2st'!$OO$2:$OO$317))</f>
        <v>23</v>
      </c>
      <c r="SD15">
        <f>SUMPRODUCT(--('Данные 2st'!$Q$2:$Q$317=$A15),--ISNUMBER('Данные 2st'!$OP$2:$OP$317))</f>
        <v>23</v>
      </c>
      <c r="SE15">
        <f>SUMPRODUCT(--('Данные 2st'!$Q$2:$Q$317=$A15),--ISNUMBER('Данные 2st'!$OQ$2:$OQ$317))</f>
        <v>23</v>
      </c>
      <c r="SF15">
        <f>SUMPRODUCT(--('Данные 2st'!$Q$2:$Q$317=$A15),--ISNUMBER('Данные 2st'!$OS$2:$OS$317))</f>
        <v>23</v>
      </c>
      <c r="SG15">
        <f>SUMPRODUCT(--('Данные 2st'!$Q$2:$Q$317=$A15),--ISNUMBER('Данные 2st'!$OT$2:$OT$317))</f>
        <v>23</v>
      </c>
      <c r="SH15">
        <f>SUMPRODUCT(--('Данные 2st'!$Q$2:$Q$317=$A15),--ISNUMBER('Данные 2st'!$OU$2:$OU$317))</f>
        <v>23</v>
      </c>
      <c r="SI15">
        <f>SUMPRODUCT(--('Данные 2st'!$Q$2:$Q$317=$A15),--ISNUMBER('Данные 2st'!$OV$2:$OV$317))</f>
        <v>23</v>
      </c>
      <c r="SJ15">
        <f>SUMPRODUCT(--('Данные 2st'!$Q$2:$Q$317=$A15),--ISNUMBER('Данные 2st'!$OX$2:$OX$317))</f>
        <v>23</v>
      </c>
      <c r="SK15">
        <f>SUMPRODUCT(--('Данные 2st'!$Q$2:$Q$317=$A15),--ISNUMBER('Данные 2st'!$OY$2:$OY$317))</f>
        <v>23</v>
      </c>
      <c r="SL15">
        <f>SUMPRODUCT(--('Данные 2st'!$Q$2:$Q$317=$A15),--ISNUMBER('Данные 2st'!$OZ$2:$OZ$317))</f>
        <v>23</v>
      </c>
      <c r="SM15">
        <f>SUMPRODUCT(--('Данные 2st'!$Q$2:$Q$317=$A15),--ISNUMBER('Данные 2st'!$PA$2:$PA$317))</f>
        <v>23</v>
      </c>
      <c r="SN15">
        <f>SUMPRODUCT(--('Данные 2st'!$Q$2:$Q$317=$A15),--ISNUMBER('Данные 2st'!$PC$2:$PC$317))</f>
        <v>23</v>
      </c>
      <c r="SO15">
        <f>SUMPRODUCT(--('Данные 2st'!$Q$2:$Q$317=$A15),--ISNUMBER('Данные 2st'!$PD$2:$PD$317))</f>
        <v>23</v>
      </c>
      <c r="SP15">
        <f>SUMPRODUCT(--('Данные 2st'!$Q$2:$Q$317=$A15),--ISNUMBER('Данные 2st'!$PF$2:$PF$317))</f>
        <v>23</v>
      </c>
      <c r="SQ15">
        <f>SUMPRODUCT(--('Данные 2st'!$Q$2:$Q$317=$A15),--ISNUMBER('Данные 2st'!$PG$2:$PG$317))</f>
        <v>23</v>
      </c>
      <c r="SR15">
        <f>SUMPRODUCT(--('Данные 2st'!$Q$2:$Q$317=$A15),--ISNUMBER('Данные 2st'!$PH$2:$PH$317))</f>
        <v>23</v>
      </c>
      <c r="SS15">
        <f>SUMPRODUCT(--('Данные 2st'!$Q$2:$Q$317=$A15),--ISNUMBER('Данные 2st'!$PI$2:$PI$317))</f>
        <v>23</v>
      </c>
      <c r="ST15">
        <f>SUMPRODUCT(--('Данные 2st'!$Q$2:$Q$317=$A15),--ISNUMBER('Данные 2st'!$PJ$2:$PJ$317))</f>
        <v>23</v>
      </c>
      <c r="SU15">
        <f>SUMPRODUCT(--('Данные 2st'!$Q$2:$Q$317=$A15),--ISNUMBER('Данные 2st'!$PK$2:$PK$317))</f>
        <v>10</v>
      </c>
      <c r="SV15">
        <f>SUMPRODUCT(--('Данные 2st'!$Q$2:$Q$317=$A15),--ISNUMBER('Данные 2st'!$PL$2:$PL$317))</f>
        <v>23</v>
      </c>
      <c r="SW15">
        <f>SUMPRODUCT(--('Данные 2st'!$Q$2:$Q$317=$A15),--ISNUMBER('Данные 2st'!$PM$2:$PM$317))</f>
        <v>23</v>
      </c>
      <c r="SX15">
        <f>SUMPRODUCT(--('Данные 2st'!$Q$2:$Q$317=$A15),--ISNUMBER('Данные 2st'!$PN$2:$PN$317))</f>
        <v>21</v>
      </c>
      <c r="SY15">
        <f>SUMPRODUCT(--('Данные 2st'!$Q$2:$Q$317=$A15),--ISNUMBER('Данные 2st'!$PO$2:$PO$317))</f>
        <v>20</v>
      </c>
      <c r="SZ15">
        <f>SUMPRODUCT(--('Данные 2st'!$Q$2:$Q$317=$A15),--ISNUMBER('Данные 2st'!$PP$2:$PP$317))</f>
        <v>23</v>
      </c>
      <c r="TA15">
        <f>SUMPRODUCT(--('Данные 2st'!$Q$2:$Q$317=$A15),--ISNUMBER('Данные 2st'!$PQ$2:$PQ$317))</f>
        <v>23</v>
      </c>
      <c r="TB15">
        <f>SUMPRODUCT(--('Данные 2st'!$Q$2:$Q$317=$A15),--ISNUMBER('Данные 2st'!$PR$2:$PR$317))</f>
        <v>14</v>
      </c>
      <c r="TC15">
        <f>SUMPRODUCT(--('Данные 2st'!$Q$2:$Q$317=$A15),--ISNUMBER('Данные 2st'!$PS$2:$PS$317))</f>
        <v>23</v>
      </c>
      <c r="TD15">
        <f>SUMPRODUCT(--('Данные 2st'!$Q$2:$Q$317=$A15),--ISNUMBER('Данные 2st'!$PT$2:$PT$317))</f>
        <v>23</v>
      </c>
      <c r="TE15">
        <f>SUMPRODUCT(--('Данные 2st'!$Q$2:$Q$317=$A15),--ISNUMBER('Данные 2st'!$PU$2:$PU$317))</f>
        <v>23</v>
      </c>
      <c r="TF15">
        <f>SUMPRODUCT(--('Данные 2st'!$Q$2:$Q$317=$A15),--ISNUMBER('Данные 2st'!$PX$2:$PX$317))</f>
        <v>23</v>
      </c>
      <c r="TG15">
        <f>SUMPRODUCT(--('Данные 2st'!$Q$2:$Q$317=$A15),--ISNUMBER('Данные 2st'!$PY$2:$PY$317))</f>
        <v>23</v>
      </c>
      <c r="TH15">
        <f>SUMPRODUCT(--('Данные 2st'!$Q$2:$Q$317=$A15),--ISNUMBER('Данные 2st'!$PZ$2:$PZ$317))</f>
        <v>23</v>
      </c>
      <c r="TI15">
        <f>SUMPRODUCT(--('Данные 2st'!$Q$2:$Q$317=$A15),--ISNUMBER('Данные 2st'!$QA$2:$QA$317))</f>
        <v>23</v>
      </c>
      <c r="TJ15">
        <f>SUMPRODUCT(--('Данные 2st'!$Q$2:$Q$317=$A15),--ISNUMBER('Данные 2st'!$QB$2:$QB$317))</f>
        <v>23</v>
      </c>
      <c r="TK15">
        <f>SUMPRODUCT(--('Данные 2st'!$Q$2:$Q$317=$A15),--ISNUMBER('Данные 2st'!$QC$2:$QC$317))</f>
        <v>23</v>
      </c>
      <c r="TL15">
        <f>SUMPRODUCT(--('Данные 2st'!$Q$2:$Q$317=$A15),--ISNUMBER('Данные 2st'!$QD$2:$QD$317))</f>
        <v>23</v>
      </c>
      <c r="TM15">
        <f>SUMPRODUCT(--('Данные 2st'!$Q$2:$Q$317=$A15),--ISNUMBER('Данные 2st'!$QE$2:$QE$317))</f>
        <v>23</v>
      </c>
      <c r="TN15">
        <f>SUMPRODUCT(--('Данные 2st'!$Q$2:$Q$317=$A15),--ISNUMBER('Данные 2st'!$QF$2:$QF$317))</f>
        <v>23</v>
      </c>
      <c r="TO15">
        <f>SUMPRODUCT(--('Данные 2st'!$Q$2:$Q$317=$A15),--ISNUMBER('Данные 2st'!$QG$2:$QG$317))</f>
        <v>23</v>
      </c>
      <c r="TP15">
        <f>SUMPRODUCT(--('Данные 2st'!$Q$2:$Q$317=$A15),--ISNUMBER('Данные 2st'!$QH$2:$QH$317))</f>
        <v>23</v>
      </c>
      <c r="TQ15">
        <f>SUMPRODUCT(--('Данные 2st'!$Q$2:$Q$317=$A15),--ISNUMBER('Данные 2st'!$QI$2:$QI$317))</f>
        <v>23</v>
      </c>
      <c r="TR15">
        <f>SUMPRODUCT(--('Данные 2st'!$Q$2:$Q$317=$A15),--ISNUMBER('Данные 2st'!$QJ$2:$QJ$317))</f>
        <v>23</v>
      </c>
      <c r="TS15">
        <f>SUMPRODUCT(--('Данные 2st'!$Q$2:$Q$317=$A15),--ISNUMBER('Данные 2st'!$QK$2:$QK$317))</f>
        <v>23</v>
      </c>
      <c r="TT15">
        <f>SUMPRODUCT(--('Данные 2st'!$Q$2:$Q$317=$A15),--ISNUMBER('Данные 2st'!$QL$2:$QL$317))</f>
        <v>23</v>
      </c>
      <c r="TU15">
        <f>SUMPRODUCT(--('Данные 2st'!$Q$2:$Q$317=$A15),--ISNUMBER('Данные 2st'!$QM$2:$QM$317))</f>
        <v>23</v>
      </c>
      <c r="TV15">
        <f>SUMPRODUCT(--('Данные 2st'!$Q$2:$Q$317=$A15),--ISNUMBER('Данные 2st'!$QN$2:$QN$317))</f>
        <v>23</v>
      </c>
      <c r="TW15">
        <f>SUMPRODUCT(--('Данные 2st'!$Q$2:$Q$317=$A15),--ISNUMBER('Данные 2st'!$QQ$2:$QQ$317))</f>
        <v>23</v>
      </c>
      <c r="TX15">
        <f>SUMPRODUCT(--('Данные 2st'!$Q$2:$Q$317=$A15),--ISNUMBER('Данные 2st'!$QS$2:$QS$317))</f>
        <v>10</v>
      </c>
      <c r="TY15">
        <f>SUMPRODUCT(--('Данные 2st'!$Q$2:$Q$317=$A15),--ISNUMBER('Данные 2st'!$QT$2:$QT$317))</f>
        <v>10</v>
      </c>
    </row>
    <row r="16" spans="1:545" ht="32" customHeight="1">
      <c r="A16" s="11" t="str">
        <f>'По размерам'!A16</f>
        <v>205/55R17</v>
      </c>
      <c r="G16">
        <f>SUMPRODUCT(--('Данные 1st'!$S$2:$S$317=$A16),--ISNUMBER('Данные 1st'!$AE$2:$AE$317))</f>
        <v>1</v>
      </c>
      <c r="H16">
        <f>SUMPRODUCT(--('Данные 1st'!$S$2:$S$317=$A16),--ISNUMBER('Данные 1st'!$AF$2:$AF$317))</f>
        <v>1</v>
      </c>
      <c r="I16">
        <f>SUMPRODUCT(--('Данные 1st'!$S$2:$S$317=$A16),--ISNUMBER('Данные 1st'!$AJ$2:$AJ$317))</f>
        <v>1</v>
      </c>
      <c r="J16">
        <f>SUMPRODUCT(--('Данные 1st'!$S$2:$S$317=$A16),--ISNUMBER('Данные 1st'!$AL$2:$AL$317))</f>
        <v>1</v>
      </c>
      <c r="K16">
        <f>SUMPRODUCT(--('Данные 1st'!$S$2:$S$317=$A16),--ISNUMBER('Данные 1st'!$AR$2:$AR$317))</f>
        <v>1</v>
      </c>
      <c r="L16">
        <f>SUMPRODUCT(--('Данные 1st'!$S$2:$S$317=$A16),--ISNUMBER('Данные 1st'!$AS$2:$AS$317))</f>
        <v>1</v>
      </c>
      <c r="M16">
        <f>SUMPRODUCT(--('Данные 1st'!$S$2:$S$317=$A16),--ISNUMBER('Данные 1st'!$AY$2:$AY$317))</f>
        <v>1</v>
      </c>
      <c r="N16">
        <f>SUMPRODUCT(--('Данные 1st'!$S$2:$S$317=$A16),--ISNUMBER('Данные 1st'!$AZ$2:$AZ$317))</f>
        <v>1</v>
      </c>
      <c r="O16">
        <f>SUMPRODUCT(--('Данные 1st'!$S$2:$S$317=$A16),--ISNUMBER('Данные 1st'!$BF$2:$BF$317))</f>
        <v>0</v>
      </c>
      <c r="P16">
        <f>SUMPRODUCT(--('Данные 1st'!$S$2:$S$317=$A16),--ISNUMBER('Данные 1st'!$BG$2:$BG$317))</f>
        <v>1</v>
      </c>
      <c r="Q16">
        <f>SUMPRODUCT(--('Данные 1st'!$S$2:$S$317=$A16),--ISNUMBER('Данные 1st'!$BM$2:$BM$317))</f>
        <v>0</v>
      </c>
      <c r="R16">
        <f>SUMPRODUCT(--('Данные 1st'!$S$2:$S$317=$A16),--ISNUMBER('Данные 1st'!$BN$2:$BN$317))</f>
        <v>1</v>
      </c>
      <c r="S16">
        <f>SUMPRODUCT(--('Данные 1st'!$S$2:$S$317=$A16),--ISNUMBER('Данные 1st'!$BT$2:$BT$317))</f>
        <v>1</v>
      </c>
      <c r="T16">
        <f>SUMPRODUCT(--('Данные 1st'!$S$2:$S$317=$A16),--ISNUMBER('Данные 1st'!$BU$2:$BU$317))</f>
        <v>1</v>
      </c>
      <c r="U16">
        <f>SUMPRODUCT(--('Данные 1st'!$S$2:$S$317=$A16),--ISNUMBER('Данные 1st'!$BW$2:$BW$317))</f>
        <v>1</v>
      </c>
      <c r="V16">
        <f>SUMPRODUCT(--('Данные 1st'!$S$2:$S$317=$A16),--ISNUMBER('Данные 1st'!$BX$2:$BX$317))</f>
        <v>1</v>
      </c>
      <c r="W16">
        <f>SUMPRODUCT(--('Данные 1st'!$S$2:$S$317=$A16),--ISNUMBER('Данные 1st'!$BZ$2:$BZ$317))</f>
        <v>1</v>
      </c>
      <c r="X16">
        <f>SUMPRODUCT(--('Данные 1st'!$S$2:$S$317=$A16),--ISNUMBER('Данные 1st'!$CA$2:$CA$317))</f>
        <v>1</v>
      </c>
      <c r="Y16">
        <f>SUMPRODUCT(--('Данные 1st'!$S$2:$S$317=$A16),--ISNUMBER('Данные 1st'!$CD$2:$CD$317))</f>
        <v>1</v>
      </c>
      <c r="Z16">
        <f>SUMPRODUCT(--('Данные 1st'!$S$2:$S$317=$A16),--ISNUMBER('Данные 1st'!$CF$2:$CF$317))</f>
        <v>1</v>
      </c>
      <c r="AA16">
        <f>SUMPRODUCT(--('Данные 1st'!$S$2:$S$317=$A16),--ISNUMBER('Данные 1st'!$CI$2:$CI$317))</f>
        <v>1</v>
      </c>
      <c r="AB16">
        <f>SUMPRODUCT(--('Данные 1st'!$S$2:$S$317=$A16),--ISNUMBER('Данные 1st'!$CJ$2:$CJ$317))</f>
        <v>1</v>
      </c>
      <c r="AC16">
        <f>SUMPRODUCT(--('Данные 1st'!$S$2:$S$317=$A16),--ISNUMBER('Данные 1st'!$CK$2:$CK$317))</f>
        <v>1</v>
      </c>
      <c r="AD16">
        <f>SUMPRODUCT(--('Данные 1st'!$S$2:$S$317=$A16),--ISNUMBER('Данные 1st'!$CL$2:$CL$317))</f>
        <v>1</v>
      </c>
      <c r="AE16">
        <f>SUMPRODUCT(--('Данные 1st'!$S$2:$S$317=$A16),--ISNUMBER('Данные 1st'!$CM$2:$CM$317))</f>
        <v>1</v>
      </c>
      <c r="AF16">
        <f>SUMPRODUCT(--('Данные 1st'!$S$2:$S$317=$A16),--ISNUMBER('Данные 1st'!$CT$2:$CT$317))</f>
        <v>1</v>
      </c>
      <c r="AG16">
        <f>SUMPRODUCT(--('Данные 1st'!$S$2:$S$317=$A16),--ISNUMBER('Данные 1st'!$CU$2:$CU$317))</f>
        <v>1</v>
      </c>
      <c r="AH16">
        <f>SUMPRODUCT(--('Данные 1st'!$S$2:$S$317=$A16),--ISNUMBER('Данные 1st'!$CV$2:$CV$317))</f>
        <v>1</v>
      </c>
      <c r="AI16">
        <f>SUMPRODUCT(--('Данные 1st'!$S$2:$S$317=$A16),--ISNUMBER('Данные 1st'!$CW$2:$CW$317))</f>
        <v>1</v>
      </c>
      <c r="AJ16">
        <f>SUMPRODUCT(--('Данные 1st'!$S$2:$S$317=$A16),--ISNUMBER('Данные 1st'!$CX$2:$CX$317))</f>
        <v>1</v>
      </c>
      <c r="AK16">
        <f>SUMPRODUCT(--('Данные 1st'!$S$2:$S$317=$A16),--ISNUMBER('Данные 1st'!$CZ$2:$CZ$317))</f>
        <v>0</v>
      </c>
      <c r="AL16">
        <f>SUMPRODUCT(--('Данные 1st'!$S$2:$S$317=$A16),--ISNUMBER('Данные 1st'!$DA$2:$DA$317))</f>
        <v>0</v>
      </c>
      <c r="AM16">
        <f>SUMPRODUCT(--('Данные 1st'!$S$2:$S$317=$A16),--ISNUMBER('Данные 1st'!$DB$2:$DB$317))</f>
        <v>0</v>
      </c>
      <c r="AN16">
        <f>SUMPRODUCT(--('Данные 1st'!$S$2:$S$317=$A16),--ISNUMBER('Данные 1st'!$DC$2:$DC$317))</f>
        <v>0</v>
      </c>
      <c r="AO16">
        <f>SUMPRODUCT(--('Данные 1st'!$S$2:$S$317=$A16),--ISNUMBER('Данные 1st'!$DD$2:$DD$317))</f>
        <v>1</v>
      </c>
      <c r="AP16">
        <f>SUMPRODUCT(--('Данные 1st'!$S$2:$S$317=$A16),--ISNUMBER('Данные 1st'!$DF$2:$DF$317))</f>
        <v>1</v>
      </c>
      <c r="AQ16">
        <f>SUMPRODUCT(--('Данные 1st'!$S$2:$S$317=$A16),--ISNUMBER('Данные 1st'!$DG$2:$DG$317))</f>
        <v>1</v>
      </c>
      <c r="AR16">
        <f>SUMPRODUCT(--('Данные 1st'!$S$2:$S$317=$A16),--ISNUMBER('Данные 1st'!$DH$2:$DH$317))</f>
        <v>1</v>
      </c>
      <c r="AS16">
        <f>SUMPRODUCT(--('Данные 1st'!$S$2:$S$317=$A16),--ISNUMBER('Данные 1st'!$DI$2:$DI$317))</f>
        <v>1</v>
      </c>
      <c r="AT16">
        <f>SUMPRODUCT(--('Данные 1st'!$S$2:$S$317=$A16),--ISNUMBER('Данные 1st'!$DJ$2:$DJ$317))</f>
        <v>1</v>
      </c>
      <c r="AU16">
        <f>SUMPRODUCT(--('Данные 1st'!$S$2:$S$317=$A16),--ISNUMBER('Данные 1st'!$DL$2:$DL$317))</f>
        <v>0</v>
      </c>
      <c r="AV16">
        <f>SUMPRODUCT(--('Данные 1st'!$S$2:$S$317=$A16),--ISNUMBER('Данные 1st'!$DM$2:$DM$317))</f>
        <v>0</v>
      </c>
      <c r="AW16">
        <f>SUMPRODUCT(--('Данные 1st'!$S$2:$S$317=$A16),--ISNUMBER('Данные 1st'!$DN$2:$DN$317))</f>
        <v>0</v>
      </c>
      <c r="AX16">
        <f>SUMPRODUCT(--('Данные 1st'!$S$2:$S$317=$A16),--ISNUMBER('Данные 1st'!$DO$2:$DO$317))</f>
        <v>0</v>
      </c>
      <c r="AY16">
        <f>SUMPRODUCT(--('Данные 1st'!$S$2:$S$317=$A16),--ISNUMBER('Данные 1st'!$DP$2:$DP$317))</f>
        <v>0</v>
      </c>
      <c r="AZ16">
        <f>SUMPRODUCT(--('Данные 1st'!$S$2:$S$317=$A16),--ISNUMBER('Данные 1st'!$DR$2:$DR$317))</f>
        <v>0</v>
      </c>
      <c r="BA16">
        <f>SUMPRODUCT(--('Данные 1st'!$S$2:$S$317=$A16),--ISNUMBER('Данные 1st'!$DS$2:$DS$317))</f>
        <v>0</v>
      </c>
      <c r="BB16">
        <f>SUMPRODUCT(--('Данные 1st'!$S$2:$S$317=$A16),--ISNUMBER('Данные 1st'!$DT$2:$DT$317))</f>
        <v>0</v>
      </c>
      <c r="BC16">
        <f>SUMPRODUCT(--('Данные 1st'!$S$2:$S$317=$A16),--ISNUMBER('Данные 1st'!$DU$2:$DU$317))</f>
        <v>0</v>
      </c>
      <c r="BD16">
        <f>SUMPRODUCT(--('Данные 1st'!$S$2:$S$317=$A16),--ISNUMBER('Данные 1st'!$DV$2:$DV$317))</f>
        <v>0</v>
      </c>
      <c r="BE16">
        <f>SUMPRODUCT(--('Данные 1st'!$S$2:$S$317=$A16),--ISNUMBER('Данные 1st'!$DX$2:$DX$317))</f>
        <v>1</v>
      </c>
      <c r="BF16">
        <f>SUMPRODUCT(--('Данные 1st'!$S$2:$S$317=$A16),--ISNUMBER('Данные 1st'!$EA$2:$EA$317))</f>
        <v>1</v>
      </c>
      <c r="BG16">
        <f>SUMPRODUCT(--('Данные 1st'!$S$2:$S$317=$A16),--ISNUMBER('Данные 1st'!$EB$2:$EB$317))</f>
        <v>1</v>
      </c>
      <c r="BH16">
        <f>SUMPRODUCT(--('Данные 1st'!$S$2:$S$317=$A16),--ISNUMBER('Данные 1st'!$ED$2:$ED$317))</f>
        <v>1</v>
      </c>
      <c r="BI16">
        <f>SUMPRODUCT(--('Данные 1st'!$S$2:$S$317=$A16),--ISNUMBER('Данные 1st'!$EE$2:$EE$317))</f>
        <v>1</v>
      </c>
      <c r="BJ16">
        <f>SUMPRODUCT(--('Данные 1st'!$S$2:$S$317=$A16),--ISNUMBER('Данные 1st'!$EG$2:$EG$317))</f>
        <v>1</v>
      </c>
      <c r="BK16">
        <f>SUMPRODUCT(--('Данные 1st'!$S$2:$S$317=$A16),--ISNUMBER('Данные 1st'!$EH$2:$EH$317))</f>
        <v>1</v>
      </c>
      <c r="BL16">
        <f>SUMPRODUCT(--('Данные 1st'!$S$2:$S$317=$A16),--ISNUMBER('Данные 1st'!$EJ$2:$EJ$317))</f>
        <v>1</v>
      </c>
      <c r="BM16">
        <f>SUMPRODUCT(--('Данные 1st'!$S$2:$S$317=$A16),--ISNUMBER('Данные 1st'!$EK$2:$EK$317))</f>
        <v>1</v>
      </c>
      <c r="BN16">
        <f>SUMPRODUCT(--('Данные 1st'!$S$2:$S$317=$A16),--ISNUMBER('Данные 1st'!$EN$2:$EN$317))</f>
        <v>1</v>
      </c>
      <c r="BO16">
        <f>SUMPRODUCT(--('Данные 1st'!$S$2:$S$317=$A16),--ISNUMBER('Данные 1st'!$EQ$2:$EQ$317))</f>
        <v>1</v>
      </c>
      <c r="BP16">
        <f>SUMPRODUCT(--('Данные 1st'!$S$2:$S$317=$A16),--ISNUMBER('Данные 1st'!$ER$2:$ER$317))</f>
        <v>1</v>
      </c>
      <c r="BQ16">
        <f>SUMPRODUCT(--('Данные 1st'!$S$2:$S$317=$A16),--ISNUMBER('Данные 1st'!$ES$2:$ES$317))</f>
        <v>1</v>
      </c>
      <c r="BR16">
        <f>SUMPRODUCT(--('Данные 1st'!$S$2:$S$317=$A16),--ISNUMBER('Данные 1st'!$ET$2:$ET$317))</f>
        <v>1</v>
      </c>
      <c r="BS16">
        <f>SUMPRODUCT(--('Данные 1st'!$S$2:$S$317=$A16),--ISNUMBER('Данные 1st'!$EU$2:$EU$317))</f>
        <v>1</v>
      </c>
      <c r="BT16">
        <f>SUMPRODUCT(--('Данные 1st'!$S$2:$S$317=$A16),--ISNUMBER('Данные 1st'!$EV$2:$EV$317))</f>
        <v>1</v>
      </c>
      <c r="BU16">
        <f>SUMPRODUCT(--('Данные 1st'!$S$2:$S$317=$A16),--ISNUMBER('Данные 1st'!$EX$2:$EX$317))</f>
        <v>1</v>
      </c>
      <c r="BV16">
        <f>SUMPRODUCT(--('Данные 1st'!$S$2:$S$317=$A16),--ISNUMBER('Данные 1st'!$EY$2:$EY$317))</f>
        <v>1</v>
      </c>
      <c r="BW16">
        <f>SUMPRODUCT(--('Данные 1st'!$S$2:$S$317=$A16),--ISNUMBER('Данные 1st'!$EZ$2:$EZ$317))</f>
        <v>1</v>
      </c>
      <c r="BX16">
        <f>SUMPRODUCT(--('Данные 1st'!$S$2:$S$317=$A16),--ISNUMBER('Данные 1st'!$FA$2:$FA$317))</f>
        <v>1</v>
      </c>
      <c r="BY16">
        <f>SUMPRODUCT(--('Данные 1st'!$S$2:$S$317=$A16),--ISNUMBER('Данные 1st'!$FB$2:$FB$317))</f>
        <v>1</v>
      </c>
      <c r="BZ16">
        <f>SUMPRODUCT(--('Данные 1st'!$S$2:$S$317=$A16),--ISNUMBER('Данные 1st'!$FC$2:$FC$317))</f>
        <v>1</v>
      </c>
      <c r="CA16">
        <f>SUMPRODUCT(--('Данные 1st'!$S$2:$S$317=$A16),--ISNUMBER('Данные 1st'!$FE$2:$FE$317))</f>
        <v>1</v>
      </c>
      <c r="CB16">
        <f>SUMPRODUCT(--('Данные 1st'!$S$2:$S$317=$A16),--ISNUMBER('Данные 1st'!$FF$2:$FF$317))</f>
        <v>1</v>
      </c>
      <c r="CC16">
        <f>SUMPRODUCT(--('Данные 1st'!$S$2:$S$317=$A16),--ISNUMBER('Данные 1st'!$FI$2:$FI$317))</f>
        <v>1</v>
      </c>
      <c r="CD16">
        <f>SUMPRODUCT(--('Данные 1st'!$S$2:$S$317=$A16),--ISNUMBER('Данные 1st'!$FL$2:$FL$317))</f>
        <v>1</v>
      </c>
      <c r="CE16">
        <f>SUMPRODUCT(--('Данные 1st'!$S$2:$S$317=$A16),--ISNUMBER('Данные 1st'!$FM$2:$FM$317))</f>
        <v>1</v>
      </c>
      <c r="CF16">
        <f>SUMPRODUCT(--('Данные 1st'!$S$2:$S$317=$A16),--ISNUMBER('Данные 1st'!$FN$2:$FN$317))</f>
        <v>1</v>
      </c>
      <c r="CG16">
        <f>SUMPRODUCT(--('Данные 1st'!$S$2:$S$317=$A16),--ISNUMBER('Данные 1st'!$FO$2:$FO$317))</f>
        <v>0</v>
      </c>
      <c r="CH16">
        <f>SUMPRODUCT(--('Данные 1st'!$S$2:$S$317=$A16),--ISNUMBER('Данные 1st'!$FP$2:$FP$317))</f>
        <v>0</v>
      </c>
      <c r="CI16">
        <f>SUMPRODUCT(--('Данные 1st'!$S$2:$S$317=$A16),--ISNUMBER('Данные 1st'!$FS$2:$FS$317))</f>
        <v>1</v>
      </c>
      <c r="CJ16">
        <f>SUMPRODUCT(--('Данные 1st'!$S$2:$S$317=$A16),--ISNUMBER('Данные 1st'!$FT$2:$FT$317))</f>
        <v>1</v>
      </c>
      <c r="CK16">
        <f>SUMPRODUCT(--('Данные 1st'!$S$2:$S$317=$A16),--ISNUMBER('Данные 1st'!$FU$2:$FU$317))</f>
        <v>1</v>
      </c>
      <c r="CL16">
        <f>SUMPRODUCT(--('Данные 1st'!$S$2:$S$317=$A16),--ISNUMBER('Данные 1st'!$FV$2:$FV$317))</f>
        <v>1</v>
      </c>
      <c r="CM16">
        <f>SUMPRODUCT(--('Данные 1st'!$S$2:$S$317=$A16),--ISNUMBER('Данные 1st'!$FW$2:$FW$317))</f>
        <v>1</v>
      </c>
      <c r="CN16">
        <f>SUMPRODUCT(--('Данные 1st'!$S$2:$S$317=$A16),--ISNUMBER('Данные 1st'!$FZ$2:$FZ$317))</f>
        <v>0</v>
      </c>
      <c r="CO16">
        <f>SUMPRODUCT(--('Данные 1st'!$S$2:$S$317=$A16),--ISNUMBER('Данные 1st'!$GA$2:$GA$317))</f>
        <v>0</v>
      </c>
      <c r="CP16">
        <f>SUMPRODUCT(--('Данные 1st'!$S$2:$S$317=$A16),--ISNUMBER('Данные 1st'!$GB$2:$GB$317))</f>
        <v>0</v>
      </c>
      <c r="CQ16">
        <f>SUMPRODUCT(--('Данные 1st'!$S$2:$S$317=$A16),--ISNUMBER('Данные 1st'!$GH$2:$GH$317))</f>
        <v>0</v>
      </c>
      <c r="CR16">
        <f>SUMPRODUCT(--('Данные 1st'!$S$2:$S$317=$A16),--ISNUMBER('Данные 1st'!$GI$2:$GI$317))</f>
        <v>0</v>
      </c>
      <c r="CS16">
        <f>SUMPRODUCT(--('Данные 1st'!$S$2:$S$317=$A16),--ISNUMBER('Данные 1st'!$GJ$2:$GJ$317))</f>
        <v>0</v>
      </c>
      <c r="CT16">
        <f>SUMPRODUCT(--('Данные 1st'!$S$2:$S$317=$A16),--ISNUMBER('Данные 1st'!$GS$2:$GS$317))</f>
        <v>0</v>
      </c>
      <c r="CU16">
        <f>SUMPRODUCT(--('Данные 1st'!$S$2:$S$317=$A16),--ISNUMBER('Данные 1st'!$GT$2:$GT$317))</f>
        <v>0</v>
      </c>
      <c r="CV16">
        <f>SUMPRODUCT(--('Данные 1st'!$S$2:$S$317=$A16),--ISNUMBER('Данные 1st'!$GU$2:$GU$317))</f>
        <v>0</v>
      </c>
      <c r="CW16">
        <f>SUMPRODUCT(--('Данные 1st'!$S$2:$S$317=$A16),--ISNUMBER('Данные 1st'!$GV$2:$GV$317))</f>
        <v>0</v>
      </c>
      <c r="CX16">
        <f>SUMPRODUCT(--('Данные 1st'!$S$2:$S$317=$A16),--ISNUMBER('Данные 1st'!$GW$2:$GW$317))</f>
        <v>0</v>
      </c>
      <c r="CY16">
        <f>SUMPRODUCT(--('Данные 1st'!$S$2:$S$317=$A16),--ISNUMBER('Данные 1st'!$GZ$2:$GZ$317))</f>
        <v>0</v>
      </c>
      <c r="CZ16">
        <f>SUMPRODUCT(--('Данные 1st'!$S$2:$S$317=$A16),--ISNUMBER('Данные 1st'!$HA$2:$HA$317))</f>
        <v>0</v>
      </c>
      <c r="DA16">
        <f>SUMPRODUCT(--('Данные 1st'!$S$2:$S$317=$A16),--ISNUMBER('Данные 1st'!$HB$2:$HB$317))</f>
        <v>0</v>
      </c>
      <c r="DB16">
        <f>SUMPRODUCT(--('Данные 1st'!$S$2:$S$317=$A16),--ISNUMBER('Данные 1st'!$HC$2:$HC$317))</f>
        <v>1</v>
      </c>
      <c r="DC16">
        <f>SUMPRODUCT(--('Данные 1st'!$S$2:$S$317=$A16),--ISNUMBER('Данные 1st'!$HD$2:$HD$317))</f>
        <v>1</v>
      </c>
      <c r="DD16">
        <f>SUMPRODUCT(--('Данные 1st'!$S$2:$S$317=$A16),--ISNUMBER('Данные 1st'!$HE$2:$HE$317))</f>
        <v>1</v>
      </c>
      <c r="DE16">
        <f>SUMPRODUCT(--('Данные 1st'!$S$2:$S$317=$A16),--ISNUMBER('Данные 1st'!$HF$2:$HF$317))</f>
        <v>1</v>
      </c>
      <c r="DF16">
        <f>SUMPRODUCT(--('Данные 1st'!$S$2:$S$317=$A16),--ISNUMBER('Данные 1st'!$HG$2:$HG$317))</f>
        <v>1</v>
      </c>
      <c r="DG16">
        <f>SUMPRODUCT(--('Данные 1st'!$S$2:$S$317=$A16),--ISNUMBER('Данные 1st'!$HH$2:$HH$317))</f>
        <v>1</v>
      </c>
      <c r="DH16">
        <f>SUMPRODUCT(--('Данные 1st'!$S$2:$S$317=$A16),--ISNUMBER('Данные 1st'!$HI$2:$HI$317))</f>
        <v>1</v>
      </c>
      <c r="DI16">
        <f>SUMPRODUCT(--('Данные 1st'!$S$2:$S$317=$A16),--ISNUMBER('Данные 1st'!$HJ$2:$HJ$317))</f>
        <v>1</v>
      </c>
      <c r="DJ16">
        <f>SUMPRODUCT(--('Данные 1st'!$S$2:$S$317=$A16),--ISNUMBER('Данные 1st'!$HK$2:$HK$317))</f>
        <v>1</v>
      </c>
      <c r="DK16">
        <f>SUMPRODUCT(--('Данные 1st'!$S$2:$S$317=$A16),--ISNUMBER('Данные 1st'!$HL$2:$HL$317))</f>
        <v>1</v>
      </c>
      <c r="DL16">
        <f>SUMPRODUCT(--('Данные 1st'!$S$2:$S$317=$A16),--ISNUMBER('Данные 1st'!$HM$2:$HM$317))</f>
        <v>1</v>
      </c>
      <c r="DM16">
        <f>SUMPRODUCT(--('Данные 1st'!$S$2:$S$317=$A16),--ISNUMBER('Данные 1st'!$HN$2:$HN$317))</f>
        <v>1</v>
      </c>
      <c r="DN16">
        <f>SUMPRODUCT(--('Данные 1st'!$S$2:$S$317=$A16),--ISNUMBER('Данные 1st'!$HO$2:$HO$317))</f>
        <v>1</v>
      </c>
      <c r="DO16">
        <f>SUMPRODUCT(--('Данные 1st'!$S$2:$S$317=$A16),--ISNUMBER('Данные 1st'!$HP$2:$HP$317))</f>
        <v>1</v>
      </c>
      <c r="DP16">
        <f>SUMPRODUCT(--('Данные 1st'!$S$2:$S$317=$A16),--ISNUMBER('Данные 1st'!$HQ$2:$HQ$317))</f>
        <v>1</v>
      </c>
      <c r="DQ16">
        <f>SUMPRODUCT(--('Данные 1st'!$S$2:$S$317=$A16),--ISNUMBER('Данные 1st'!$HR$2:$HR$317))</f>
        <v>1</v>
      </c>
      <c r="DR16">
        <f>SUMPRODUCT(--('Данные 1st'!$S$2:$S$317=$A16),--ISNUMBER('Данные 1st'!$HS$2:$HS$317))</f>
        <v>1</v>
      </c>
      <c r="DS16">
        <f>SUMPRODUCT(--('Данные 1st'!$S$2:$S$317=$A16),--ISNUMBER('Данные 1st'!$HT$2:$HT$317))</f>
        <v>1</v>
      </c>
      <c r="DT16">
        <f>SUMPRODUCT(--('Данные 1st'!$S$2:$S$317=$A16),--ISNUMBER('Данные 1st'!$HU$2:$HU$317))</f>
        <v>1</v>
      </c>
      <c r="DU16">
        <f>SUMPRODUCT(--('Данные 1st'!$S$2:$S$317=$A16),--ISNUMBER('Данные 1st'!$HW$2:$HW$317))</f>
        <v>1</v>
      </c>
      <c r="DV16">
        <f>SUMPRODUCT(--('Данные 1st'!$S$2:$S$317=$A16),--ISNUMBER('Данные 1st'!$HX$2:$HX$317))</f>
        <v>1</v>
      </c>
      <c r="DW16">
        <f>SUMPRODUCT(--('Данные 1st'!$S$2:$S$317=$A16),--ISNUMBER('Данные 1st'!$HY$2:$HY$317))</f>
        <v>1</v>
      </c>
      <c r="DX16">
        <f>SUMPRODUCT(--('Данные 1st'!$S$2:$S$317=$A16),--ISNUMBER('Данные 1st'!$IA$2:$IA$317))</f>
        <v>1</v>
      </c>
      <c r="DY16">
        <f>SUMPRODUCT(--('Данные 1st'!$S$2:$S$317=$A16),--ISNUMBER('Данные 1st'!$IB$2:$IB$317))</f>
        <v>1</v>
      </c>
      <c r="DZ16">
        <f>SUMPRODUCT(--('Данные 1st'!$S$2:$S$317=$A16),--ISNUMBER('Данные 1st'!$IC$2:$IC$317))</f>
        <v>1</v>
      </c>
      <c r="EA16">
        <f>SUMPRODUCT(--('Данные 1st'!$S$2:$S$317=$A16),--ISNUMBER('Данные 1st'!$ID$2:$ID$317))</f>
        <v>1</v>
      </c>
      <c r="EB16">
        <f>SUMPRODUCT(--('Данные 1st'!$S$2:$S$317=$A16),--ISNUMBER('Данные 1st'!$IE$2:$IE$317))</f>
        <v>1</v>
      </c>
      <c r="EC16">
        <f>SUMPRODUCT(--('Данные 1st'!$S$2:$S$317=$A16),--ISNUMBER('Данные 1st'!$IF$2:$IF$317))</f>
        <v>1</v>
      </c>
      <c r="ED16">
        <f>SUMPRODUCT(--('Данные 1st'!$S$2:$S$317=$A16),--ISNUMBER('Данные 1st'!$IP$2:$IP$317))</f>
        <v>1</v>
      </c>
      <c r="EE16">
        <f>SUMPRODUCT(--('Данные 1st'!$S$2:$S$317=$A16),--ISNUMBER('Данные 1st'!$IV$2:$IV$317))</f>
        <v>1</v>
      </c>
      <c r="EF16">
        <f>SUMPRODUCT(--('Данные 1st'!$S$2:$S$317=$A16),--ISNUMBER('Данные 1st'!$IW$2:$IW$317))</f>
        <v>1</v>
      </c>
      <c r="EG16">
        <f>SUMPRODUCT(--('Данные 1st'!$S$2:$S$317=$A16),--ISNUMBER('Данные 1st'!$IX$2:$IX$317))</f>
        <v>0</v>
      </c>
      <c r="EH16">
        <f>SUMPRODUCT(--('Данные 1st'!$S$2:$S$317=$A16),--ISNUMBER('Данные 1st'!$IY$2:$IY$317))</f>
        <v>0</v>
      </c>
      <c r="EI16">
        <f>SUMPRODUCT(--('Данные 1st'!$S$2:$S$317=$A16),--ISNUMBER('Данные 1st'!$JD$2:$JD$317))</f>
        <v>1</v>
      </c>
      <c r="EJ16">
        <f>SUMPRODUCT(--('Данные 1st'!$S$2:$S$317=$A16),--ISNUMBER('Данные 1st'!$JE$2:$JE$317))</f>
        <v>1</v>
      </c>
      <c r="EK16">
        <f>SUMPRODUCT(--('Данные 1st'!$S$2:$S$317=$A16),--ISNUMBER('Данные 1st'!$JF$2:$JF$317))</f>
        <v>1</v>
      </c>
      <c r="EL16">
        <f>SUMPRODUCT(--('Данные 1st'!$S$2:$S$317=$A16),--ISNUMBER('Данные 1st'!$JG$2:$JG$317))</f>
        <v>1</v>
      </c>
      <c r="EM16">
        <f>SUMPRODUCT(--('Данные 1st'!$S$2:$S$317=$A16),--ISNUMBER('Данные 1st'!$JH$2:$JH$317))</f>
        <v>1</v>
      </c>
      <c r="EN16">
        <f>SUMPRODUCT(--('Данные 1st'!$S$2:$S$317=$A16),--ISNUMBER('Данные 1st'!$JJ$2:$JJ$317))</f>
        <v>1</v>
      </c>
      <c r="EO16">
        <f>SUMPRODUCT(--('Данные 1st'!$S$2:$S$317=$A16),--ISNUMBER('Данные 1st'!$JK$2:$JK$317))</f>
        <v>1</v>
      </c>
      <c r="EP16">
        <f>SUMPRODUCT(--('Данные 1st'!$S$2:$S$317=$A16),--ISNUMBER('Данные 1st'!$JL$2:$JL$317))</f>
        <v>0</v>
      </c>
      <c r="EQ16">
        <f>SUMPRODUCT(--('Данные 1st'!$S$2:$S$317=$A16),--ISNUMBER('Данные 1st'!$JM$2:$JM$317))</f>
        <v>0</v>
      </c>
      <c r="ER16">
        <f>SUMPRODUCT(--('Данные 1st'!$S$2:$S$317=$A16),--ISNUMBER('Данные 1st'!$JN$2:$JN$317))</f>
        <v>1</v>
      </c>
      <c r="ES16">
        <f>SUMPRODUCT(--('Данные 1st'!$S$2:$S$317=$A16),--ISNUMBER('Данные 1st'!$JO$2:$JO$317))</f>
        <v>1</v>
      </c>
      <c r="ET16">
        <f>SUMPRODUCT(--('Данные 1st'!$S$2:$S$317=$A16),--ISNUMBER('Данные 1st'!$JP$2:$JP$317))</f>
        <v>1</v>
      </c>
      <c r="EU16">
        <f>SUMPRODUCT(--('Данные 1st'!$S$2:$S$317=$A16),--ISNUMBER('Данные 1st'!$JQ$2:$JQ$317))</f>
        <v>1</v>
      </c>
      <c r="EV16">
        <f>SUMPRODUCT(--('Данные 1st'!$S$2:$S$317=$A16),--ISNUMBER('Данные 1st'!$JR$2:$JR$317))</f>
        <v>1</v>
      </c>
      <c r="EW16">
        <f>SUMPRODUCT(--('Данные 1st'!$S$2:$S$317=$A16),--ISNUMBER('Данные 1st'!$JS$2:$JS$317))</f>
        <v>1</v>
      </c>
      <c r="EX16">
        <f>SUMPRODUCT(--('Данные 1st'!$S$2:$S$317=$A16),--ISNUMBER('Данные 1st'!$JT$2:$JT$317))</f>
        <v>0</v>
      </c>
      <c r="EY16">
        <f>SUMPRODUCT(--('Данные 1st'!$S$2:$S$317=$A16),--ISNUMBER('Данные 1st'!$JU$2:$JU$317))</f>
        <v>0</v>
      </c>
      <c r="EZ16">
        <f>SUMPRODUCT(--('Данные 1st'!$S$2:$S$317=$A16),--ISNUMBER('Данные 1st'!$JV$2:$JV$317))</f>
        <v>1</v>
      </c>
      <c r="FA16">
        <f>SUMPRODUCT(--('Данные 1st'!$S$2:$S$317=$A16),--ISNUMBER('Данные 1st'!$JW$2:$JW$317))</f>
        <v>0</v>
      </c>
      <c r="FB16">
        <f>SUMPRODUCT(--('Данные 1st'!$S$2:$S$317=$A16),--ISNUMBER('Данные 1st'!$JX$2:$JX$317))</f>
        <v>1</v>
      </c>
      <c r="FC16">
        <f>SUMPRODUCT(--('Данные 1st'!$S$2:$S$317=$A16),--ISNUMBER('Данные 1st'!$JY$2:$JY$317))</f>
        <v>0</v>
      </c>
      <c r="FD16">
        <f>SUMPRODUCT(--('Данные 1st'!$S$2:$S$317=$A16),--ISNUMBER('Данные 1st'!$JZ$2:$JZ$317))</f>
        <v>0</v>
      </c>
      <c r="FE16">
        <f>SUMPRODUCT(--('Данные 1st'!$S$2:$S$317=$A16),--ISNUMBER('Данные 1st'!$KA$2:$KA$317))</f>
        <v>1</v>
      </c>
      <c r="FF16">
        <f>SUMPRODUCT(--('Данные 1st'!$S$2:$S$317=$A16),--ISNUMBER('Данные 1st'!$KB$2:$KB$317))</f>
        <v>1</v>
      </c>
      <c r="FG16">
        <f>SUMPRODUCT(--('Данные 1st'!$S$2:$S$317=$A16),--ISNUMBER('Данные 1st'!$KC$2:$KC$317))</f>
        <v>1</v>
      </c>
      <c r="FH16">
        <f>SUMPRODUCT(--('Данные 1st'!$S$2:$S$317=$A16),--ISNUMBER('Данные 1st'!$KD$2:$KD$317))</f>
        <v>1</v>
      </c>
      <c r="FI16">
        <f>SUMPRODUCT(--('Данные 1st'!$S$2:$S$317=$A16),--ISNUMBER('Данные 1st'!$KE$2:$KE$317))</f>
        <v>0</v>
      </c>
      <c r="FJ16">
        <f>SUMPRODUCT(--('Данные 1st'!$S$2:$S$317=$A16),--ISNUMBER('Данные 1st'!$KF$2:$KF$317))</f>
        <v>1</v>
      </c>
      <c r="FK16">
        <f>SUMPRODUCT(--('Данные 1st'!$S$2:$S$317=$A16),--ISNUMBER('Данные 1st'!$KG$2:$KG$317))</f>
        <v>1</v>
      </c>
      <c r="FL16">
        <f>SUMPRODUCT(--('Данные 1st'!$S$2:$S$317=$A16),--ISNUMBER('Данные 1st'!$KH$2:$KH$317))</f>
        <v>1</v>
      </c>
      <c r="FM16">
        <f>SUMPRODUCT(--('Данные 1st'!$S$2:$S$317=$A16),--ISNUMBER('Данные 1st'!$KI$2:$KI$317))</f>
        <v>1</v>
      </c>
      <c r="FN16">
        <f>SUMPRODUCT(--('Данные 1st'!$S$2:$S$317=$A16),--ISNUMBER('Данные 1st'!$KJ$2:$KJ$317))</f>
        <v>1</v>
      </c>
      <c r="FO16">
        <f>SUMPRODUCT(--('Данные 1st'!$S$2:$S$317=$A16),--ISNUMBER('Данные 1st'!$KK$2:$KK$317))</f>
        <v>1</v>
      </c>
      <c r="FP16">
        <f>SUMPRODUCT(--('Данные 1st'!$S$2:$S$317=$A16),--ISNUMBER('Данные 1st'!$KL$2:$KL$317))</f>
        <v>1</v>
      </c>
      <c r="FQ16">
        <f>SUMPRODUCT(--('Данные 1st'!$S$2:$S$317=$A16),--ISNUMBER('Данные 1st'!$KM$2:$KM$317))</f>
        <v>1</v>
      </c>
      <c r="FR16">
        <f>SUMPRODUCT(--('Данные 1st'!$S$2:$S$317=$A16),--ISNUMBER('Данные 1st'!$KN$2:$KN$317))</f>
        <v>1</v>
      </c>
      <c r="FS16">
        <f>SUMPRODUCT(--('Данные 1st'!$S$2:$S$317=$A16),--ISNUMBER('Данные 1st'!$KR$2:$KR$317))</f>
        <v>1</v>
      </c>
      <c r="FT16">
        <f>SUMPRODUCT(--('Данные 1st'!$S$2:$S$317=$A16),--ISNUMBER('Данные 1st'!$KS$2:$KS$317))</f>
        <v>1</v>
      </c>
      <c r="FU16">
        <f>SUMPRODUCT(--('Данные 1st'!$S$2:$S$317=$A16),--ISNUMBER('Данные 1st'!$KT$2:$KT$317))</f>
        <v>1</v>
      </c>
      <c r="FV16">
        <f>SUMPRODUCT(--('Данные 1st'!$S$2:$S$317=$A16),--ISNUMBER('Данные 1st'!$KV$2:$KV$317))</f>
        <v>0</v>
      </c>
      <c r="FW16">
        <f>SUMPRODUCT(--('Данные 1st'!$S$2:$S$317=$A16),--ISNUMBER('Данные 1st'!$KW$2:$KW$317))</f>
        <v>0</v>
      </c>
      <c r="FX16">
        <f>SUMPRODUCT(--('Данные 1st'!$S$2:$S$317=$A16),--ISNUMBER('Данные 1st'!$KX$2:$KX$317))</f>
        <v>0</v>
      </c>
      <c r="FY16">
        <f>SUMPRODUCT(--('Данные 1st'!$S$2:$S$317=$A16),--ISNUMBER('Данные 1st'!$KY$2:$KY$317))</f>
        <v>0</v>
      </c>
      <c r="FZ16">
        <f>SUMPRODUCT(--('Данные 1st'!$S$2:$S$317=$A16),--ISNUMBER('Данные 1st'!$KZ$2:$KZ$317))</f>
        <v>0</v>
      </c>
      <c r="GA16">
        <f>SUMPRODUCT(--('Данные 1st'!$S$2:$S$317=$A16),--ISNUMBER('Данные 1st'!$LA$2:$LA$317))</f>
        <v>0</v>
      </c>
      <c r="GB16">
        <f>SUMPRODUCT(--('Данные 1st'!$S$2:$S$317=$A16),--ISNUMBER('Данные 1st'!$LB$2:$LB$317))</f>
        <v>0</v>
      </c>
      <c r="GC16">
        <f>SUMPRODUCT(--('Данные 1st'!$S$2:$S$317=$A16),--ISNUMBER('Данные 1st'!$LC$2:$LC$317))</f>
        <v>0</v>
      </c>
      <c r="GD16">
        <f>SUMPRODUCT(--('Данные 1st'!$S$2:$S$317=$A16),--ISNUMBER('Данные 1st'!$LD$2:$LD$317))</f>
        <v>0</v>
      </c>
      <c r="GE16">
        <f>SUMPRODUCT(--('Данные 1st'!$S$2:$S$317=$A16),--ISNUMBER('Данные 1st'!$LE$2:$LE$317))</f>
        <v>0</v>
      </c>
      <c r="GF16">
        <f>SUMPRODUCT(--('Данные 1st'!$S$2:$S$317=$A16),--ISNUMBER('Данные 1st'!$LF$2:$LF$317))</f>
        <v>0</v>
      </c>
      <c r="GG16">
        <f>SUMPRODUCT(--('Данные 1st'!$S$2:$S$317=$A16),--ISNUMBER('Данные 1st'!$LG$2:$LG$317))</f>
        <v>0</v>
      </c>
      <c r="GH16">
        <f>SUMPRODUCT(--('Данные 1st'!$S$2:$S$317=$A16),--ISNUMBER('Данные 1st'!$LH$2:$LH$317))</f>
        <v>0</v>
      </c>
      <c r="GI16">
        <f>SUMPRODUCT(--('Данные 1st'!$S$2:$S$317=$A16),--ISNUMBER('Данные 1st'!$LI$2:$LI$317))</f>
        <v>0</v>
      </c>
      <c r="GJ16">
        <f>SUMPRODUCT(--('Данные 1st'!$S$2:$S$317=$A16),--ISNUMBER('Данные 1st'!$LJ$2:$LJ$317))</f>
        <v>0</v>
      </c>
      <c r="GK16">
        <f>SUMPRODUCT(--('Данные 1st'!$S$2:$S$317=$A16),--ISNUMBER('Данные 1st'!$LK$2:$LK$317))</f>
        <v>1</v>
      </c>
      <c r="GL16">
        <f>SUMPRODUCT(--('Данные 1st'!$S$2:$S$317=$A16),--ISNUMBER('Данные 1st'!$LV$2:$LV$317))</f>
        <v>1</v>
      </c>
      <c r="GM16">
        <f>SUMPRODUCT(--('Данные 1st'!$S$2:$S$317=$A16),--ISNUMBER('Данные 1st'!$LW$2:$LW$317))</f>
        <v>1</v>
      </c>
      <c r="GN16">
        <f>SUMPRODUCT(--('Данные 1st'!$S$2:$S$317=$A16),--ISNUMBER('Данные 1st'!$LX$2:$LX$317))</f>
        <v>1</v>
      </c>
      <c r="GO16">
        <f>SUMPRODUCT(--('Данные 1st'!$S$2:$S$317=$A16),--ISNUMBER('Данные 1st'!$LY$2:$LY$317))</f>
        <v>1</v>
      </c>
      <c r="GP16">
        <f>SUMPRODUCT(--('Данные 1st'!$S$2:$S$317=$A16),--ISNUMBER('Данные 1st'!$LZ$2:$LZ$317))</f>
        <v>0</v>
      </c>
      <c r="GQ16">
        <f>SUMPRODUCT(--('Данные 1st'!$S$2:$S$317=$A16),--ISNUMBER('Данные 1st'!$PG$2:$PG$317))</f>
        <v>1</v>
      </c>
      <c r="GR16">
        <f>SUMPRODUCT(--('Данные 1st'!$S$2:$S$317=$A16),--ISNUMBER('Данные 1st'!$PX$2:$PX$317))</f>
        <v>1</v>
      </c>
      <c r="GS16">
        <f>SUMPRODUCT(--('Данные 1st'!$S$2:$S$317=$A16),--ISNUMBER('Данные 1st'!$PY$2:$PY$317))</f>
        <v>1</v>
      </c>
      <c r="GT16">
        <f>SUMPRODUCT(--('Данные 1st'!$S$2:$S$317=$A16),--ISNUMBER('Данные 1st'!$QA$2:$QA$317))</f>
        <v>1</v>
      </c>
      <c r="GU16">
        <f>SUMPRODUCT(--('Данные 1st'!$S$2:$S$317=$A16),--ISNUMBER('Данные 1st'!$QB$2:$QB$317))</f>
        <v>1</v>
      </c>
      <c r="GV16">
        <f>SUMPRODUCT(--('Данные 1st'!$S$2:$S$317=$A16),--ISNUMBER('Данные 1st'!$QC$2:$QC$317))</f>
        <v>1</v>
      </c>
      <c r="GW16">
        <f>SUMPRODUCT(--('Данные 1st'!$S$2:$S$317=$A16),--ISNUMBER('Данные 1st'!$QD$2:$QD$317))</f>
        <v>1</v>
      </c>
      <c r="GX16">
        <f>SUMPRODUCT(--('Данные 1st'!$S$2:$S$317=$A16),--ISNUMBER('Данные 1st'!$QF$2:$QF$317))</f>
        <v>1</v>
      </c>
      <c r="GY16">
        <f>SUMPRODUCT(--('Данные 1st'!$S$2:$S$317=$A16),--ISNUMBER('Данные 1st'!$QG$2:$QG$317))</f>
        <v>1</v>
      </c>
      <c r="GZ16">
        <f>SUMPRODUCT(--('Данные 1st'!$S$2:$S$317=$A16),--ISNUMBER('Данные 1st'!$QH$2:$QH$317))</f>
        <v>1</v>
      </c>
      <c r="HA16">
        <f>SUMPRODUCT(--('Данные 1st'!$S$2:$S$317=$A16),--ISNUMBER('Данные 1st'!$QI$2:$QI$317))</f>
        <v>1</v>
      </c>
      <c r="HB16">
        <f>SUMPRODUCT(--('Данные 1st'!$S$2:$S$317=$A16),--ISNUMBER('Данные 1st'!$QK$2:$QK$317))</f>
        <v>0</v>
      </c>
      <c r="HC16">
        <f>SUMPRODUCT(--('Данные 1st'!$S$2:$S$317=$A16),--ISNUMBER('Данные 1st'!$QL$2:$QL$317))</f>
        <v>1</v>
      </c>
      <c r="HD16">
        <f>SUMPRODUCT(--('Данные 1st'!$S$2:$S$317=$A16),--ISNUMBER('Данные 1st'!$QM$2:$QM$317))</f>
        <v>1</v>
      </c>
      <c r="HE16">
        <f>SUMPRODUCT(--('Данные 1st'!$S$2:$S$317=$A16),--ISNUMBER('Данные 1st'!$QN$2:$QN$317))</f>
        <v>1</v>
      </c>
      <c r="HF16">
        <f>SUMPRODUCT(--('Данные 1st'!$S$2:$S$317=$A16),--ISNUMBER('Данные 1st'!$QP$2:$QP$317))</f>
        <v>1</v>
      </c>
      <c r="HG16">
        <f>SUMPRODUCT(--('Данные 1st'!$S$2:$S$317=$A16),--ISNUMBER('Данные 1st'!$QQ$2:$QQ$317))</f>
        <v>1</v>
      </c>
      <c r="HH16">
        <f>SUMPRODUCT(--('Данные 1st'!$S$2:$S$317=$A16),--ISNUMBER('Данные 1st'!$QR$2:$QR$317))</f>
        <v>0</v>
      </c>
      <c r="HI16">
        <f>SUMPRODUCT(--('Данные 1st'!$S$2:$S$317=$A16),--ISNUMBER('Данные 1st'!$QS$2:$QS$317))</f>
        <v>0</v>
      </c>
      <c r="HJ16">
        <f>SUMPRODUCT(--('Данные 1st'!$S$2:$S$317=$A16),--ISNUMBER('Данные 1st'!$QU$2:$QU$317))</f>
        <v>0</v>
      </c>
      <c r="HK16">
        <f>SUMPRODUCT(--('Данные 1st'!$S$2:$S$317=$A16),--ISNUMBER('Данные 1st'!$QV$2:$QV$317))</f>
        <v>0</v>
      </c>
      <c r="HL16">
        <f>SUMPRODUCT(--('Данные 1st'!$S$2:$S$317=$A16),--ISNUMBER('Данные 1st'!$QW$2:$QW$317))</f>
        <v>1</v>
      </c>
      <c r="HM16">
        <f>SUMPRODUCT(--('Данные 1st'!$S$2:$S$317=$A16),--ISNUMBER('Данные 1st'!$QX$2:$QX$317))</f>
        <v>1</v>
      </c>
      <c r="HN16">
        <f>SUMPRODUCT(--('Данные 1st'!$S$2:$S$317=$A16),--ISNUMBER('Данные 1st'!$QZ$2:$QZ$317))</f>
        <v>1</v>
      </c>
      <c r="HO16">
        <f>SUMPRODUCT(--('Данные 1st'!$S$2:$S$317=$A16),--ISNUMBER('Данные 1st'!$RA$2:$RA$317))</f>
        <v>1</v>
      </c>
      <c r="HP16">
        <f>SUMPRODUCT(--('Данные 1st'!$S$2:$S$317=$A16),--ISNUMBER('Данные 1st'!$RB$2:$RB$317))</f>
        <v>1</v>
      </c>
      <c r="HQ16">
        <f>SUMPRODUCT(--('Данные 1st'!$S$2:$S$317=$A16),--ISNUMBER('Данные 1st'!$RD$2:$RD$317))</f>
        <v>0</v>
      </c>
      <c r="HR16">
        <f>SUMPRODUCT(--('Данные 1st'!$S$2:$S$317=$A16),--ISNUMBER('Данные 1st'!$RE$2:$RE$317))</f>
        <v>1</v>
      </c>
      <c r="HS16">
        <f>SUMPRODUCT(--('Данные 1st'!$S$2:$S$317=$A16),--ISNUMBER('Данные 1st'!$RF$2:$RF$317))</f>
        <v>1</v>
      </c>
      <c r="HT16">
        <f>SUMPRODUCT(--('Данные 1st'!$S$2:$S$317=$A16),--ISNUMBER('Данные 1st'!$RG$2:$RG$317))</f>
        <v>0</v>
      </c>
      <c r="HU16">
        <f>SUMPRODUCT(--('Данные 1st'!$S$2:$S$317=$A16),--ISNUMBER('Данные 1st'!$RH$2:$RH$317))</f>
        <v>0</v>
      </c>
      <c r="HV16">
        <f>SUMPRODUCT(--('Данные 1st'!$S$2:$S$317=$A16),--ISNUMBER('Данные 1st'!$RI$2:$RI$317))</f>
        <v>0</v>
      </c>
      <c r="HW16">
        <f>SUMPRODUCT(--('Данные 1st'!$S$2:$S$317=$A16),--ISNUMBER('Данные 1st'!$RJ$2:$RJ$317))</f>
        <v>1</v>
      </c>
      <c r="HX16">
        <f>SUMPRODUCT(--('Данные 1st'!$S$2:$S$317=$A16),--ISNUMBER('Данные 1st'!$RK$2:$RK$317))</f>
        <v>0</v>
      </c>
      <c r="HY16">
        <f>SUMPRODUCT(--('Данные 1st'!$S$2:$S$317=$A16),--ISNUMBER('Данные 1st'!$RL$2:$RL$317))</f>
        <v>1</v>
      </c>
      <c r="HZ16">
        <f>SUMPRODUCT(--('Данные 1st'!$S$2:$S$317=$A16),--ISNUMBER('Данные 1st'!$RM$2:$RM$317))</f>
        <v>0</v>
      </c>
      <c r="IA16">
        <f>SUMPRODUCT(--('Данные 1st'!$S$2:$S$317=$A16),--ISNUMBER('Данные 1st'!$RN$2:$RN$317))</f>
        <v>0</v>
      </c>
      <c r="IB16">
        <f>SUMPRODUCT(--('Данные 1st'!$S$2:$S$317=$A16),--ISNUMBER('Данные 1st'!$RO$2:$RO$317))</f>
        <v>1</v>
      </c>
      <c r="IC16">
        <f>SUMPRODUCT(--('Данные 1st'!$S$2:$S$317=$A16),--ISNUMBER('Данные 1st'!$RP$2:$RP$317))</f>
        <v>0</v>
      </c>
      <c r="ID16">
        <f>SUMPRODUCT(--('Данные 1st'!$S$2:$S$317=$A16),--ISNUMBER('Данные 1st'!$RQ$2:$RQ$317))</f>
        <v>1</v>
      </c>
      <c r="IE16">
        <f>SUMPRODUCT(--('Данные 1st'!$S$2:$S$317=$A16),--ISNUMBER('Данные 1st'!$RR$2:$RR$317))</f>
        <v>0</v>
      </c>
      <c r="IF16">
        <f>SUMPRODUCT(--('Данные 1st'!$S$2:$S$317=$A16),--ISNUMBER('Данные 1st'!$RS$2:$RS$317))</f>
        <v>0</v>
      </c>
      <c r="IG16">
        <f>SUMPRODUCT(--('Данные 1st'!$S$2:$S$317=$A16),--ISNUMBER('Данные 1st'!$RT$2:$RT$317))</f>
        <v>1</v>
      </c>
      <c r="IH16">
        <f>SUMPRODUCT(--('Данные 1st'!$S$2:$S$317=$A16),--ISNUMBER('Данные 1st'!$RU$2:$RU$317))</f>
        <v>1</v>
      </c>
      <c r="II16">
        <f>SUMPRODUCT(--('Данные 1st'!$S$2:$S$317=$A16),--ISNUMBER('Данные 1st'!$RX$2:$RX$317))</f>
        <v>1</v>
      </c>
      <c r="IJ16">
        <f>SUMPRODUCT(--('Данные 1st'!$S$2:$S$317=$A16),--ISNUMBER('Данные 1st'!$RY$2:$RY$317))</f>
        <v>1</v>
      </c>
      <c r="IK16">
        <f>SUMPRODUCT(--('Данные 1st'!$S$2:$S$317=$A16),--ISNUMBER('Данные 1st'!$SA$2:$SA$317))</f>
        <v>1</v>
      </c>
      <c r="IL16">
        <f>SUMPRODUCT(--('Данные 1st'!$S$2:$S$317=$A16),--ISNUMBER('Данные 1st'!$SD$2:$SD$317))</f>
        <v>1</v>
      </c>
      <c r="IM16">
        <f>SUMPRODUCT(--('Данные 1st'!$S$2:$S$317=$A16),--ISNUMBER('Данные 1st'!$SG$2:$SG$317))</f>
        <v>0</v>
      </c>
      <c r="IN16">
        <f>SUMPRODUCT(--('Данные 1st'!$S$2:$S$317=$A16),--ISNUMBER('Данные 1st'!$SH$2:$SH$317))</f>
        <v>1</v>
      </c>
      <c r="IO16">
        <f>SUMPRODUCT(--('Данные 1st'!$S$2:$S$317=$A16),--ISNUMBER('Данные 1st'!$SI$2:$SI$317))</f>
        <v>1</v>
      </c>
      <c r="IP16">
        <f>SUMPRODUCT(--('Данные 1st'!$S$2:$S$317=$A16),--ISNUMBER('Данные 1st'!$SJ$2:$SJ$317))</f>
        <v>1</v>
      </c>
      <c r="IQ16">
        <f>SUMPRODUCT(--('Данные 1st'!$S$2:$S$317=$A16),--ISNUMBER('Данные 1st'!$SK$2:$SK$317))</f>
        <v>1</v>
      </c>
      <c r="IR16">
        <f>SUMPRODUCT(--('Данные 1st'!$S$2:$S$317=$A16),--ISNUMBER('Данные 1st'!$SL$2:$SL$317))</f>
        <v>1</v>
      </c>
      <c r="IS16">
        <f>SUMPRODUCT(--('Данные 1st'!$S$2:$S$317=$A16),--ISNUMBER('Данные 1st'!$SM$2:$SM$317))</f>
        <v>1</v>
      </c>
      <c r="IT16">
        <f>SUMPRODUCT(--('Данные 1st'!$S$2:$S$317=$A16),--ISNUMBER('Данные 1st'!$SN$2:$SN$317))</f>
        <v>1</v>
      </c>
      <c r="IU16">
        <f>SUMPRODUCT(--('Данные 1st'!$S$2:$S$317=$A16),--ISNUMBER('Данные 1st'!$SO$2:$SO$317))</f>
        <v>1</v>
      </c>
      <c r="IV16">
        <f>SUMPRODUCT(--('Данные 1st'!$S$2:$S$317=$A16),--ISNUMBER('Данные 1st'!$SP$2:$SP$317))</f>
        <v>1</v>
      </c>
      <c r="IW16">
        <f>SUMPRODUCT(--('Данные 1st'!$S$2:$S$317=$A16),--ISNUMBER('Данные 1st'!$SQ$2:$SQ$317))</f>
        <v>1</v>
      </c>
      <c r="IX16">
        <f>SUMPRODUCT(--('Данные 1st'!$S$2:$S$317=$A16),--ISNUMBER('Данные 1st'!$SR$2:$SR$317))</f>
        <v>1</v>
      </c>
      <c r="IY16">
        <f>SUMPRODUCT(--('Данные 1st'!$S$2:$S$317=$A16),--ISNUMBER('Данные 1st'!$SS$2:$SS$317))</f>
        <v>1</v>
      </c>
      <c r="IZ16">
        <f>SUMPRODUCT(--('Данные 1st'!$S$2:$S$317=$A16),--ISNUMBER('Данные 1st'!$ST$2:$ST$317))</f>
        <v>1</v>
      </c>
      <c r="JA16">
        <f>SUMPRODUCT(--('Данные 1st'!$S$2:$S$317=$A16),--ISNUMBER('Данные 1st'!$SU$2:$SU$317))</f>
        <v>1</v>
      </c>
      <c r="JB16">
        <f>SUMPRODUCT(--('Данные 1st'!$S$2:$S$317=$A16),--ISNUMBER('Данные 1st'!$SV$2:$SV$317))</f>
        <v>1</v>
      </c>
      <c r="JC16">
        <f>SUMPRODUCT(--('Данные 1st'!$S$2:$S$317=$A16),--ISNUMBER('Данные 1st'!$SW$2:$SW$317))</f>
        <v>1</v>
      </c>
      <c r="JD16">
        <f>SUMPRODUCT(--('Данные 1st'!$S$2:$S$317=$A16),--ISNUMBER('Данные 1st'!$SX$2:$SX$317))</f>
        <v>1</v>
      </c>
      <c r="JE16">
        <f>SUMPRODUCT(--('Данные 1st'!$S$2:$S$317=$A16),--ISNUMBER('Данные 1st'!$SY$2:$SY$317))</f>
        <v>0</v>
      </c>
      <c r="JF16">
        <f>SUMPRODUCT(--('Данные 1st'!$S$2:$S$317=$A16),--ISNUMBER('Данные 1st'!$SZ$2:$SZ$317))</f>
        <v>0</v>
      </c>
      <c r="JG16">
        <f>SUMPRODUCT(--('Данные 1st'!$S$2:$S$317=$A16),--ISNUMBER('Данные 1st'!$TA$2:$TA$317))</f>
        <v>0</v>
      </c>
      <c r="JH16">
        <f>SUMPRODUCT(--('Данные 1st'!$S$2:$S$317=$A16),--ISNUMBER('Данные 1st'!$TB$2:$TB$317))</f>
        <v>1</v>
      </c>
      <c r="JI16">
        <f>SUMPRODUCT(--('Данные 1st'!$S$2:$S$317=$A16),--ISNUMBER('Данные 1st'!$TC$2:$TC$317))</f>
        <v>1</v>
      </c>
      <c r="JJ16">
        <f>SUMPRODUCT(--('Данные 1st'!$S$2:$S$317=$A16),--ISNUMBER('Данные 1st'!$TD$2:$TD$317))</f>
        <v>1</v>
      </c>
      <c r="JK16">
        <f>SUMPRODUCT(--('Данные 1st'!$S$2:$S$317=$A16),--ISNUMBER('Данные 1st'!$TN$2:$TN$317))</f>
        <v>1</v>
      </c>
      <c r="JQ16">
        <f>SUMPRODUCT(--('Данные 2st'!$Q$2:$Q$317=$A16),--ISNUMBER('Данные 2st'!$AC$2:$AC$317))</f>
        <v>1</v>
      </c>
      <c r="JR16">
        <f>SUMPRODUCT(--('Данные 2st'!$Q$2:$Q$317=$A16),--ISNUMBER('Данные 2st'!$AF$2:$AF$317))</f>
        <v>1</v>
      </c>
      <c r="JS16">
        <f>SUMPRODUCT(--('Данные 2st'!$Q$2:$Q$317=$A16),--ISNUMBER('Данные 2st'!$AW$2:$AW$317))</f>
        <v>1</v>
      </c>
      <c r="JT16">
        <f>SUMPRODUCT(--('Данные 2st'!$Q$2:$Q$317=$A16),--ISNUMBER('Данные 2st'!$AX$2:$AX$317))</f>
        <v>1</v>
      </c>
      <c r="JU16">
        <f>SUMPRODUCT(--('Данные 2st'!$Q$2:$Q$317=$A16),--ISNUMBER('Данные 2st'!$AY$2:$AY$317))</f>
        <v>1</v>
      </c>
      <c r="JV16">
        <f>SUMPRODUCT(--('Данные 2st'!$Q$2:$Q$317=$A16),--ISNUMBER('Данные 2st'!$AZ$2:$AZ$317))</f>
        <v>1</v>
      </c>
      <c r="JW16">
        <f>SUMPRODUCT(--('Данные 2st'!$Q$2:$Q$317=$A16),--ISNUMBER('Данные 2st'!$BA$2:$BA$317))</f>
        <v>0</v>
      </c>
      <c r="JX16">
        <f>SUMPRODUCT(--('Данные 2st'!$Q$2:$Q$317=$A16),--ISNUMBER('Данные 2st'!$BB$2:$BB$317))</f>
        <v>0</v>
      </c>
      <c r="JY16">
        <f>SUMPRODUCT(--('Данные 2st'!$Q$2:$Q$317=$A16),--ISNUMBER('Данные 2st'!$BC$2:$BC$317))</f>
        <v>0</v>
      </c>
      <c r="JZ16">
        <f>SUMPRODUCT(--('Данные 2st'!$Q$2:$Q$317=$A16),--ISNUMBER('Данные 2st'!$BH$2:$BH$317))</f>
        <v>1</v>
      </c>
      <c r="KA16">
        <f>SUMPRODUCT(--('Данные 2st'!$Q$2:$Q$317=$A16),--ISNUMBER('Данные 2st'!$BI$2:$BI$317))</f>
        <v>1</v>
      </c>
      <c r="KB16">
        <f>SUMPRODUCT(--('Данные 2st'!$Q$2:$Q$317=$A16),--ISNUMBER('Данные 2st'!$BJ$2:$BJ$317))</f>
        <v>1</v>
      </c>
      <c r="KC16">
        <f>SUMPRODUCT(--('Данные 2st'!$Q$2:$Q$317=$A16),--ISNUMBER('Данные 2st'!$BK$2:$BK$317))</f>
        <v>1</v>
      </c>
      <c r="KD16">
        <f>SUMPRODUCT(--('Данные 2st'!$Q$2:$Q$317=$A16),--ISNUMBER('Данные 2st'!$BL$2:$BL$317))</f>
        <v>1</v>
      </c>
      <c r="KE16">
        <f>SUMPRODUCT(--('Данные 2st'!$Q$2:$Q$317=$A16),--ISNUMBER('Данные 2st'!$BM$2:$BM$317))</f>
        <v>1</v>
      </c>
      <c r="KF16">
        <f>SUMPRODUCT(--('Данные 2st'!$Q$2:$Q$317=$A16),--ISNUMBER('Данные 2st'!$BN$2:$BN$317))</f>
        <v>1</v>
      </c>
      <c r="KG16">
        <f>SUMPRODUCT(--('Данные 2st'!$Q$2:$Q$317=$A16),--ISNUMBER('Данные 2st'!$BO$2:$BO$317))</f>
        <v>0</v>
      </c>
      <c r="KH16">
        <f>SUMPRODUCT(--('Данные 2st'!$Q$2:$Q$317=$A16),--ISNUMBER('Данные 2st'!$BP$2:$BP$317))</f>
        <v>1</v>
      </c>
      <c r="KI16">
        <f>SUMPRODUCT(--('Данные 2st'!$Q$2:$Q$317=$A16),--ISNUMBER('Данные 2st'!$BR$2:$BR$317))</f>
        <v>1</v>
      </c>
      <c r="KJ16">
        <f>SUMPRODUCT(--('Данные 2st'!$Q$2:$Q$317=$A16),--ISNUMBER('Данные 2st'!$BS$2:$BS$317))</f>
        <v>1</v>
      </c>
      <c r="KK16">
        <f>SUMPRODUCT(--('Данные 2st'!$Q$2:$Q$317=$A16),--ISNUMBER('Данные 2st'!$BT$2:$BT$317))</f>
        <v>1</v>
      </c>
      <c r="KL16">
        <f>SUMPRODUCT(--('Данные 2st'!$Q$2:$Q$317=$A16),--ISNUMBER('Данные 2st'!$CV$2:$CV$317))</f>
        <v>1</v>
      </c>
      <c r="KM16">
        <f>SUMPRODUCT(--('Данные 2st'!$Q$2:$Q$317=$A16),--ISNUMBER('Данные 2st'!$CW$2:$CW$317))</f>
        <v>1</v>
      </c>
      <c r="KN16">
        <f>SUMPRODUCT(--('Данные 2st'!$Q$2:$Q$317=$A16),--ISNUMBER('Данные 2st'!$CX$2:$CX$317))</f>
        <v>1</v>
      </c>
      <c r="KO16">
        <f>SUMPRODUCT(--('Данные 2st'!$Q$2:$Q$317=$A16),--ISNUMBER('Данные 2st'!$CY$2:$CY$317))</f>
        <v>1</v>
      </c>
      <c r="KP16">
        <f>SUMPRODUCT(--('Данные 2st'!$Q$2:$Q$317=$A16),--ISNUMBER('Данные 2st'!$CZ$2:$CZ$317))</f>
        <v>1</v>
      </c>
      <c r="KQ16">
        <f>SUMPRODUCT(--('Данные 2st'!$Q$2:$Q$317=$A16),--ISNUMBER('Данные 2st'!$DA$2:$DA$317))</f>
        <v>1</v>
      </c>
      <c r="KR16">
        <f>SUMPRODUCT(--('Данные 2st'!$Q$2:$Q$317=$A16),--ISNUMBER('Данные 2st'!$DB$2:$DB$317))</f>
        <v>1</v>
      </c>
      <c r="KS16">
        <f>SUMPRODUCT(--('Данные 2st'!$Q$2:$Q$317=$A16),--ISNUMBER('Данные 2st'!$DC$2:$DC$317))</f>
        <v>1</v>
      </c>
      <c r="KT16">
        <f>SUMPRODUCT(--('Данные 2st'!$Q$2:$Q$317=$A16),--ISNUMBER('Данные 2st'!$DD$2:$DD$317))</f>
        <v>1</v>
      </c>
      <c r="KU16">
        <f>SUMPRODUCT(--('Данные 2st'!$Q$2:$Q$317=$A16),--ISNUMBER('Данные 2st'!$DE$2:$DE$317))</f>
        <v>1</v>
      </c>
      <c r="KV16">
        <f>SUMPRODUCT(--('Данные 2st'!$Q$2:$Q$317=$A16),--ISNUMBER('Данные 2st'!$DF$2:$DF$317))</f>
        <v>1</v>
      </c>
      <c r="KW16">
        <f>SUMPRODUCT(--('Данные 2st'!$Q$2:$Q$317=$A16),--ISNUMBER('Данные 2st'!$DG$2:$DG$317))</f>
        <v>1</v>
      </c>
      <c r="KX16">
        <f>SUMPRODUCT(--('Данные 2st'!$Q$2:$Q$317=$A16),--ISNUMBER('Данные 2st'!$DH$2:$DH$317))</f>
        <v>0</v>
      </c>
      <c r="KY16">
        <f>SUMPRODUCT(--('Данные 2st'!$Q$2:$Q$317=$A16),--ISNUMBER('Данные 2st'!$DI$2:$DI$317))</f>
        <v>0</v>
      </c>
      <c r="KZ16">
        <f>SUMPRODUCT(--('Данные 2st'!$Q$2:$Q$317=$A16),--ISNUMBER('Данные 2st'!$DK$2:$DK$317))</f>
        <v>1</v>
      </c>
      <c r="LA16">
        <f>SUMPRODUCT(--('Данные 2st'!$Q$2:$Q$317=$A16),--ISNUMBER('Данные 2st'!$DM$2:$DM$317))</f>
        <v>1</v>
      </c>
      <c r="LB16">
        <f>SUMPRODUCT(--('Данные 2st'!$Q$2:$Q$317=$A16),--ISNUMBER('Данные 2st'!$DN$2:$DN$317))</f>
        <v>1</v>
      </c>
      <c r="LC16">
        <f>SUMPRODUCT(--('Данные 2st'!$Q$2:$Q$317=$A16),--ISNUMBER('Данные 2st'!$DO$2:$DO$317))</f>
        <v>1</v>
      </c>
      <c r="LD16">
        <f>SUMPRODUCT(--('Данные 2st'!$Q$2:$Q$317=$A16),--ISNUMBER('Данные 2st'!$DP$2:$DP$317))</f>
        <v>1</v>
      </c>
      <c r="LE16">
        <f>SUMPRODUCT(--('Данные 2st'!$Q$2:$Q$317=$A16),--ISNUMBER('Данные 2st'!$DQ$2:$DQ$317))</f>
        <v>1</v>
      </c>
      <c r="LF16">
        <f>SUMPRODUCT(--('Данные 2st'!$Q$2:$Q$317=$A16),--ISNUMBER('Данные 2st'!$DS$2:$DS$317))</f>
        <v>1</v>
      </c>
      <c r="LG16">
        <f>SUMPRODUCT(--('Данные 2st'!$Q$2:$Q$317=$A16),--ISNUMBER('Данные 2st'!$DU$2:$DU$317))</f>
        <v>1</v>
      </c>
      <c r="LH16">
        <f>SUMPRODUCT(--('Данные 2st'!$Q$2:$Q$317=$A16),--ISNUMBER('Данные 2st'!$DV$2:$DV$317))</f>
        <v>1</v>
      </c>
      <c r="LI16">
        <f>SUMPRODUCT(--('Данные 2st'!$Q$2:$Q$317=$A16),--ISNUMBER('Данные 2st'!$DW$2:$DW$317))</f>
        <v>1</v>
      </c>
      <c r="LJ16">
        <f>SUMPRODUCT(--('Данные 2st'!$Q$2:$Q$317=$A16),--ISNUMBER('Данные 2st'!$DX$2:$DX$317))</f>
        <v>1</v>
      </c>
      <c r="LK16">
        <f>SUMPRODUCT(--('Данные 2st'!$Q$2:$Q$317=$A16),--ISNUMBER('Данные 2st'!$DY$2:$DY$317))</f>
        <v>1</v>
      </c>
      <c r="LL16">
        <f>SUMPRODUCT(--('Данные 2st'!$Q$2:$Q$317=$A16),--ISNUMBER('Данные 2st'!$EA$2:$EA$317))</f>
        <v>1</v>
      </c>
      <c r="LM16">
        <f>SUMPRODUCT(--('Данные 2st'!$Q$2:$Q$317=$A16),--ISNUMBER('Данные 2st'!$EC$2:$EC$317))</f>
        <v>1</v>
      </c>
      <c r="LN16">
        <f>SUMPRODUCT(--('Данные 2st'!$Q$2:$Q$317=$A16),--ISNUMBER('Данные 2st'!$ED$2:$ED$317))</f>
        <v>1</v>
      </c>
      <c r="LO16">
        <f>SUMPRODUCT(--('Данные 2st'!$Q$2:$Q$317=$A16),--ISNUMBER('Данные 2st'!$EE$2:$EE$317))</f>
        <v>1</v>
      </c>
      <c r="LP16">
        <f>SUMPRODUCT(--('Данные 2st'!$Q$2:$Q$317=$A16),--ISNUMBER('Данные 2st'!$EG$2:$EG$317))</f>
        <v>1</v>
      </c>
      <c r="LQ16">
        <f>SUMPRODUCT(--('Данные 2st'!$Q$2:$Q$317=$A16),--ISNUMBER('Данные 2st'!$EI$2:$EI$317))</f>
        <v>1</v>
      </c>
      <c r="LR16">
        <f>SUMPRODUCT(--('Данные 2st'!$Q$2:$Q$317=$A16),--ISNUMBER('Данные 2st'!$EJ$2:$EJ$317))</f>
        <v>1</v>
      </c>
      <c r="LS16">
        <f>SUMPRODUCT(--('Данные 2st'!$Q$2:$Q$317=$A16),--ISNUMBER('Данные 2st'!$EK$2:$EK$317))</f>
        <v>1</v>
      </c>
      <c r="LT16">
        <f>SUMPRODUCT(--('Данные 2st'!$Q$2:$Q$317=$A16),--ISNUMBER('Данные 2st'!$EM$2:$EM$317))</f>
        <v>1</v>
      </c>
      <c r="LU16">
        <f>SUMPRODUCT(--('Данные 2st'!$Q$2:$Q$317=$A16),--ISNUMBER('Данные 2st'!$EN$2:$EN$317))</f>
        <v>1</v>
      </c>
      <c r="LV16">
        <f>SUMPRODUCT(--('Данные 2st'!$Q$2:$Q$317=$A16),--ISNUMBER('Данные 2st'!$EO$2:$EO$317))</f>
        <v>1</v>
      </c>
      <c r="LW16">
        <f>SUMPRODUCT(--('Данные 2st'!$Q$2:$Q$317=$A16),--ISNUMBER('Данные 2st'!$EP$2:$EP$317))</f>
        <v>1</v>
      </c>
      <c r="LX16">
        <f>SUMPRODUCT(--('Данные 2st'!$Q$2:$Q$317=$A16),--ISNUMBER('Данные 2st'!$EQ$2:$EQ$317))</f>
        <v>1</v>
      </c>
      <c r="LY16">
        <f>SUMPRODUCT(--('Данные 2st'!$Q$2:$Q$317=$A16),--ISNUMBER('Данные 2st'!$ER$2:$ER$317))</f>
        <v>1</v>
      </c>
      <c r="LZ16">
        <f>SUMPRODUCT(--('Данные 2st'!$Q$2:$Q$317=$A16),--ISNUMBER('Данные 2st'!$ES$2:$ES$317))</f>
        <v>1</v>
      </c>
      <c r="MA16">
        <f>SUMPRODUCT(--('Данные 2st'!$Q$2:$Q$317=$A16),--ISNUMBER('Данные 2st'!$ET$2:$ET$317))</f>
        <v>1</v>
      </c>
      <c r="MB16">
        <f>SUMPRODUCT(--('Данные 2st'!$Q$2:$Q$317=$A16),--ISNUMBER('Данные 2st'!$EU$2:$EU$317))</f>
        <v>1</v>
      </c>
      <c r="MC16">
        <f>SUMPRODUCT(--('Данные 2st'!$Q$2:$Q$317=$A16),--ISNUMBER('Данные 2st'!$EV$2:$EV$317))</f>
        <v>1</v>
      </c>
      <c r="MD16">
        <f>SUMPRODUCT(--('Данные 2st'!$Q$2:$Q$317=$A16),--ISNUMBER('Данные 2st'!$EW$2:$EW$317))</f>
        <v>1</v>
      </c>
      <c r="ME16">
        <f>SUMPRODUCT(--('Данные 2st'!$Q$2:$Q$317=$A16),--ISNUMBER('Данные 2st'!$EY$2:$EY$317))</f>
        <v>1</v>
      </c>
      <c r="MF16">
        <f>SUMPRODUCT(--('Данные 2st'!$Q$2:$Q$317=$A16),--ISNUMBER('Данные 2st'!$FA$2:$FA$317))</f>
        <v>1</v>
      </c>
      <c r="MG16">
        <f>SUMPRODUCT(--('Данные 2st'!$Q$2:$Q$317=$A16),--ISNUMBER('Данные 2st'!$FB$2:$FB$317))</f>
        <v>1</v>
      </c>
      <c r="MH16">
        <f>SUMPRODUCT(--('Данные 2st'!$Q$2:$Q$317=$A16),--ISNUMBER('Данные 2st'!$FC$2:$FC$317))</f>
        <v>1</v>
      </c>
      <c r="MI16">
        <f>SUMPRODUCT(--('Данные 2st'!$Q$2:$Q$317=$A16),--ISNUMBER('Данные 2st'!$FD$2:$FD$317))</f>
        <v>1</v>
      </c>
      <c r="MJ16">
        <f>SUMPRODUCT(--('Данные 2st'!$Q$2:$Q$317=$A16),--ISNUMBER('Данные 2st'!$FE$2:$FE$317))</f>
        <v>1</v>
      </c>
      <c r="MK16">
        <f>SUMPRODUCT(--('Данные 2st'!$Q$2:$Q$317=$A16),--ISNUMBER('Данные 2st'!$FG$2:$FG$317))</f>
        <v>1</v>
      </c>
      <c r="ML16">
        <f>SUMPRODUCT(--('Данные 2st'!$Q$2:$Q$317=$A16),--ISNUMBER('Данные 2st'!$FI$2:$FI$317))</f>
        <v>1</v>
      </c>
      <c r="MM16">
        <f>SUMPRODUCT(--('Данные 2st'!$Q$2:$Q$317=$A16),--ISNUMBER('Данные 2st'!$FJ$2:$FJ$317))</f>
        <v>1</v>
      </c>
      <c r="MN16">
        <f>SUMPRODUCT(--('Данные 2st'!$Q$2:$Q$317=$A16),--ISNUMBER('Данные 2st'!$FK$2:$FK$317))</f>
        <v>1</v>
      </c>
      <c r="MO16">
        <f>SUMPRODUCT(--('Данные 2st'!$Q$2:$Q$317=$A16),--ISNUMBER('Данные 2st'!$FP$2:$FP$317))</f>
        <v>1</v>
      </c>
      <c r="MP16">
        <f>SUMPRODUCT(--('Данные 2st'!$Q$2:$Q$317=$A16),--ISNUMBER('Данные 2st'!$FQ$2:$FQ$317))</f>
        <v>1</v>
      </c>
      <c r="MQ16">
        <f>SUMPRODUCT(--('Данные 2st'!$Q$2:$Q$317=$A16),--ISNUMBER('Данные 2st'!$FS$2:$FS$317))</f>
        <v>1</v>
      </c>
      <c r="MR16">
        <f>SUMPRODUCT(--('Данные 2st'!$Q$2:$Q$317=$A16),--ISNUMBER('Данные 2st'!$FU$2:$FU$317))</f>
        <v>1</v>
      </c>
      <c r="MS16">
        <f>SUMPRODUCT(--('Данные 2st'!$Q$2:$Q$317=$A16),--ISNUMBER('Данные 2st'!$FV$2:$FV$317))</f>
        <v>1</v>
      </c>
      <c r="MT16">
        <f>SUMPRODUCT(--('Данные 2st'!$Q$2:$Q$317=$A16),--ISNUMBER('Данные 2st'!$FW$2:$FW$317))</f>
        <v>1</v>
      </c>
      <c r="MU16">
        <f>SUMPRODUCT(--('Данные 2st'!$Q$2:$Q$317=$A16),--ISNUMBER('Данные 2st'!$FY$2:$FY$317))</f>
        <v>1</v>
      </c>
      <c r="MV16">
        <f>SUMPRODUCT(--('Данные 2st'!$Q$2:$Q$317=$A16),--ISNUMBER('Данные 2st'!$GB$2:$GB$317))</f>
        <v>1</v>
      </c>
      <c r="MW16">
        <f>SUMPRODUCT(--('Данные 2st'!$Q$2:$Q$317=$A16),--ISNUMBER('Данные 2st'!$GC$2:$GC$317))</f>
        <v>1</v>
      </c>
      <c r="MX16">
        <f>SUMPRODUCT(--('Данные 2st'!$Q$2:$Q$317=$A16),--ISNUMBER('Данные 2st'!$GD$2:$GD$317))</f>
        <v>1</v>
      </c>
      <c r="MY16">
        <f>SUMPRODUCT(--('Данные 2st'!$Q$2:$Q$317=$A16),--ISNUMBER('Данные 2st'!$GN$2:$GN$317))</f>
        <v>0</v>
      </c>
      <c r="MZ16">
        <f>SUMPRODUCT(--('Данные 2st'!$Q$2:$Q$317=$A16),--ISNUMBER('Данные 2st'!$GQ$2:$GQ$317))</f>
        <v>1</v>
      </c>
      <c r="NA16">
        <f>SUMPRODUCT(--('Данные 2st'!$Q$2:$Q$317=$A16),--ISNUMBER('Данные 2st'!$GV$2:$GV$317))</f>
        <v>1</v>
      </c>
      <c r="NB16">
        <f>SUMPRODUCT(--('Данные 2st'!$Q$2:$Q$317=$A16),--ISNUMBER('Данные 2st'!$GW$2:$GW$317))</f>
        <v>1</v>
      </c>
      <c r="NC16">
        <f>SUMPRODUCT(--('Данные 2st'!$Q$2:$Q$317=$A16),--ISNUMBER('Данные 2st'!$GX$2:$GX$317))</f>
        <v>1</v>
      </c>
      <c r="ND16">
        <f>SUMPRODUCT(--('Данные 2st'!$Q$2:$Q$317=$A16),--ISNUMBER('Данные 2st'!$GY$2:$GY$317))</f>
        <v>1</v>
      </c>
      <c r="NE16">
        <f>SUMPRODUCT(--('Данные 2st'!$Q$2:$Q$317=$A16),--ISNUMBER('Данные 2st'!$GZ$2:$GZ$317))</f>
        <v>1</v>
      </c>
      <c r="NF16">
        <f>SUMPRODUCT(--('Данные 2st'!$Q$2:$Q$317=$A16),--ISNUMBER('Данные 2st'!$HA$2:$HA$317))</f>
        <v>1</v>
      </c>
      <c r="NG16">
        <f>SUMPRODUCT(--('Данные 2st'!$Q$2:$Q$317=$A16),--ISNUMBER('Данные 2st'!$HB$2:$HB$317))</f>
        <v>1</v>
      </c>
      <c r="NH16">
        <f>SUMPRODUCT(--('Данные 2st'!$Q$2:$Q$317=$A16),--ISNUMBER('Данные 2st'!$HC$2:$HC$317))</f>
        <v>1</v>
      </c>
      <c r="NI16">
        <f>SUMPRODUCT(--('Данные 2st'!$Q$2:$Q$317=$A16),--ISNUMBER('Данные 2st'!$HD$2:$HD$317))</f>
        <v>1</v>
      </c>
      <c r="NJ16">
        <f>SUMPRODUCT(--('Данные 2st'!$Q$2:$Q$317=$A16),--ISNUMBER('Данные 2st'!$HM$2:$HM$317))</f>
        <v>1</v>
      </c>
      <c r="NK16">
        <f>SUMPRODUCT(--('Данные 2st'!$Q$2:$Q$317=$A16),--ISNUMBER('Данные 2st'!$HR$2:$HR$317))</f>
        <v>1</v>
      </c>
      <c r="NL16">
        <f>SUMPRODUCT(--('Данные 2st'!$Q$2:$Q$317=$A16),--ISNUMBER('Данные 2st'!$HS$2:$HS$317))</f>
        <v>1</v>
      </c>
      <c r="NM16">
        <f>SUMPRODUCT(--('Данные 2st'!$Q$2:$Q$317=$A16),--ISNUMBER('Данные 2st'!$HT$2:$HT$317))</f>
        <v>1</v>
      </c>
      <c r="NN16">
        <f>SUMPRODUCT(--('Данные 2st'!$Q$2:$Q$317=$A16),--ISNUMBER('Данные 2st'!$HY$2:$HY$317))</f>
        <v>1</v>
      </c>
      <c r="NO16">
        <f>SUMPRODUCT(--('Данные 2st'!$Q$2:$Q$317=$A16),--ISNUMBER('Данные 2st'!$HZ$2:$HZ$317))</f>
        <v>1</v>
      </c>
      <c r="NP16">
        <f>SUMPRODUCT(--('Данные 2st'!$Q$2:$Q$317=$A16),--ISNUMBER('Данные 2st'!$IA$2:$IA$317))</f>
        <v>1</v>
      </c>
      <c r="NQ16">
        <f>SUMPRODUCT(--('Данные 2st'!$Q$2:$Q$317=$A16),--ISNUMBER('Данные 2st'!$IB$2:$IB$317))</f>
        <v>1</v>
      </c>
      <c r="NR16">
        <f>SUMPRODUCT(--('Данные 2st'!$Q$2:$Q$317=$A16),--ISNUMBER('Данные 2st'!$IC$2:$IC$317))</f>
        <v>0</v>
      </c>
      <c r="NS16">
        <f>SUMPRODUCT(--('Данные 2st'!$Q$2:$Q$317=$A16),--ISNUMBER('Данные 2st'!$ID$2:$ID$317))</f>
        <v>1</v>
      </c>
      <c r="NT16">
        <f>SUMPRODUCT(--('Данные 2st'!$Q$2:$Q$317=$A16),--ISNUMBER('Данные 2st'!$IE$2:$IE$317))</f>
        <v>1</v>
      </c>
      <c r="NU16">
        <f>SUMPRODUCT(--('Данные 2st'!$Q$2:$Q$317=$A16),--ISNUMBER('Данные 2st'!$IF$2:$IF$317))</f>
        <v>1</v>
      </c>
      <c r="NV16">
        <f>SUMPRODUCT(--('Данные 2st'!$Q$2:$Q$317=$A16),--ISNUMBER('Данные 2st'!$IG$2:$IG$317))</f>
        <v>1</v>
      </c>
      <c r="NW16">
        <f>SUMPRODUCT(--('Данные 2st'!$Q$2:$Q$317=$A16),--ISNUMBER('Данные 2st'!$IH$2:$IH$317))</f>
        <v>1</v>
      </c>
      <c r="NX16">
        <f>SUMPRODUCT(--('Данные 2st'!$Q$2:$Q$317=$A16),--ISNUMBER('Данные 2st'!$IJ$2:$IJ$317))</f>
        <v>1</v>
      </c>
      <c r="NY16">
        <f>SUMPRODUCT(--('Данные 2st'!$Q$2:$Q$317=$A16),--ISNUMBER('Данные 2st'!$IM$2:$IM$317))</f>
        <v>1</v>
      </c>
      <c r="NZ16">
        <f>SUMPRODUCT(--('Данные 2st'!$Q$2:$Q$317=$A16),--ISNUMBER('Данные 2st'!$IN$2:$IN$317))</f>
        <v>1</v>
      </c>
      <c r="OA16">
        <f>SUMPRODUCT(--('Данные 2st'!$Q$2:$Q$317=$A16),--ISNUMBER('Данные 2st'!$IO$2:$IO$317))</f>
        <v>1</v>
      </c>
      <c r="OB16">
        <f>SUMPRODUCT(--('Данные 2st'!$Q$2:$Q$317=$A16),--ISNUMBER('Данные 2st'!$IP$2:$IP$317))</f>
        <v>1</v>
      </c>
      <c r="OC16">
        <f>SUMPRODUCT(--('Данные 2st'!$Q$2:$Q$317=$A16),--ISNUMBER('Данные 2st'!$IQ$2:$IQ$317))</f>
        <v>1</v>
      </c>
      <c r="OD16">
        <f>SUMPRODUCT(--('Данные 2st'!$Q$2:$Q$317=$A16),--ISNUMBER('Данные 2st'!$IR$2:$IR$317))</f>
        <v>1</v>
      </c>
      <c r="OE16">
        <f>SUMPRODUCT(--('Данные 2st'!$Q$2:$Q$317=$A16),--ISNUMBER('Данные 2st'!$IT$2:$IT$317))</f>
        <v>1</v>
      </c>
      <c r="OF16">
        <f>SUMPRODUCT(--('Данные 2st'!$Q$2:$Q$317=$A16),--ISNUMBER('Данные 2st'!$IU$2:$IU$317))</f>
        <v>1</v>
      </c>
      <c r="OG16">
        <f>SUMPRODUCT(--('Данные 2st'!$Q$2:$Q$317=$A16),--ISNUMBER('Данные 2st'!$IV$2:$IV$317))</f>
        <v>1</v>
      </c>
      <c r="OH16">
        <f>SUMPRODUCT(--('Данные 2st'!$Q$2:$Q$317=$A16),--ISNUMBER('Данные 2st'!$IW$2:$IW$317))</f>
        <v>1</v>
      </c>
      <c r="OI16">
        <f>SUMPRODUCT(--('Данные 2st'!$Q$2:$Q$317=$A16),--ISNUMBER('Данные 2st'!$IX$2:$IX$317))</f>
        <v>1</v>
      </c>
      <c r="OJ16">
        <f>SUMPRODUCT(--('Данные 2st'!$Q$2:$Q$317=$A16),--ISNUMBER('Данные 2st'!$IY$2:$IY$317))</f>
        <v>1</v>
      </c>
      <c r="OK16">
        <f>SUMPRODUCT(--('Данные 2st'!$Q$2:$Q$317=$A16),--ISNUMBER('Данные 2st'!$IZ$2:$IZ$317))</f>
        <v>1</v>
      </c>
      <c r="OL16">
        <f>SUMPRODUCT(--('Данные 2st'!$Q$2:$Q$317=$A16),--ISNUMBER('Данные 2st'!$JA$2:$JA$317))</f>
        <v>1</v>
      </c>
      <c r="OM16">
        <f>SUMPRODUCT(--('Данные 2st'!$Q$2:$Q$317=$A16),--ISNUMBER('Данные 2st'!$JB$2:$JB$317))</f>
        <v>1</v>
      </c>
      <c r="ON16">
        <f>SUMPRODUCT(--('Данные 2st'!$Q$2:$Q$317=$A16),--ISNUMBER('Данные 2st'!$JC$2:$JC$317))</f>
        <v>1</v>
      </c>
      <c r="OO16">
        <f>SUMPRODUCT(--('Данные 2st'!$Q$2:$Q$317=$A16),--ISNUMBER('Данные 2st'!$JD$2:$JD$317))</f>
        <v>1</v>
      </c>
      <c r="OP16">
        <f>SUMPRODUCT(--('Данные 2st'!$Q$2:$Q$317=$A16),--ISNUMBER('Данные 2st'!$JE$2:$JE$317))</f>
        <v>1</v>
      </c>
      <c r="OQ16">
        <f>SUMPRODUCT(--('Данные 2st'!$Q$2:$Q$317=$A16),--ISNUMBER('Данные 2st'!$JF$2:$JF$317))</f>
        <v>1</v>
      </c>
      <c r="OR16">
        <f>SUMPRODUCT(--('Данные 2st'!$Q$2:$Q$317=$A16),--ISNUMBER('Данные 2st'!$JG$2:$JG$317))</f>
        <v>1</v>
      </c>
      <c r="OS16">
        <f>SUMPRODUCT(--('Данные 2st'!$Q$2:$Q$317=$A16),--ISNUMBER('Данные 2st'!$JH$2:$JH$317))</f>
        <v>1</v>
      </c>
      <c r="OT16">
        <f>SUMPRODUCT(--('Данные 2st'!$Q$2:$Q$317=$A16),--ISNUMBER('Данные 2st'!$JI$2:$JI$317))</f>
        <v>1</v>
      </c>
      <c r="OU16">
        <f>SUMPRODUCT(--('Данные 2st'!$Q$2:$Q$317=$A16),--ISNUMBER('Данные 2st'!$JJ$2:$JJ$317))</f>
        <v>1</v>
      </c>
      <c r="OV16">
        <f>SUMPRODUCT(--('Данные 2st'!$Q$2:$Q$317=$A16),--ISNUMBER('Данные 2st'!$JK$2:$JK$317))</f>
        <v>1</v>
      </c>
      <c r="OW16">
        <f>SUMPRODUCT(--('Данные 2st'!$Q$2:$Q$317=$A16),--ISNUMBER('Данные 2st'!$JL$2:$JL$317))</f>
        <v>1</v>
      </c>
      <c r="OX16">
        <f>SUMPRODUCT(--('Данные 2st'!$Q$2:$Q$317=$A16),--ISNUMBER('Данные 2st'!$JM$2:$JM$317))</f>
        <v>1</v>
      </c>
      <c r="OY16">
        <f>SUMPRODUCT(--('Данные 2st'!$Q$2:$Q$317=$A16),--ISNUMBER('Данные 2st'!$JP$2:$JP$317))</f>
        <v>1</v>
      </c>
      <c r="OZ16">
        <f>SUMPRODUCT(--('Данные 2st'!$Q$2:$Q$317=$A16),--ISNUMBER('Данные 2st'!$JQ$2:$JQ$317))</f>
        <v>1</v>
      </c>
      <c r="PA16">
        <f>SUMPRODUCT(--('Данные 2st'!$Q$2:$Q$317=$A16),--ISNUMBER('Данные 2st'!$JR$2:$JR$317))</f>
        <v>1</v>
      </c>
      <c r="PB16">
        <f>SUMPRODUCT(--('Данные 2st'!$Q$2:$Q$317=$A16),--ISNUMBER('Данные 2st'!$JS$2:$JS$317))</f>
        <v>1</v>
      </c>
      <c r="PC16">
        <f>SUMPRODUCT(--('Данные 2st'!$Q$2:$Q$317=$A16),--ISNUMBER('Данные 2st'!$JT$2:$JT$317))</f>
        <v>1</v>
      </c>
      <c r="PD16">
        <f>SUMPRODUCT(--('Данные 2st'!$Q$2:$Q$317=$A16),--ISNUMBER('Данные 2st'!$JU$2:$JU$317))</f>
        <v>1</v>
      </c>
      <c r="PE16">
        <f>SUMPRODUCT(--('Данные 2st'!$Q$2:$Q$317=$A16),--ISNUMBER('Данные 2st'!$JV$2:$JV$317))</f>
        <v>1</v>
      </c>
      <c r="PF16">
        <f>SUMPRODUCT(--('Данные 2st'!$Q$2:$Q$317=$A16),--ISNUMBER('Данные 2st'!$JW$2:$JW$317))</f>
        <v>1</v>
      </c>
      <c r="PG16">
        <f>SUMPRODUCT(--('Данные 2st'!$Q$2:$Q$317=$A16),--ISNUMBER('Данные 2st'!$KF$2:$KF$317))</f>
        <v>1</v>
      </c>
      <c r="PH16">
        <f>SUMPRODUCT(--('Данные 2st'!$Q$2:$Q$317=$A16),--ISNUMBER('Данные 2st'!$KG$2:$KG$317))</f>
        <v>1</v>
      </c>
      <c r="PI16">
        <f>SUMPRODUCT(--('Данные 2st'!$Q$2:$Q$317=$A16),--ISNUMBER('Данные 2st'!$KM$2:$KM$317))</f>
        <v>1</v>
      </c>
      <c r="PJ16">
        <f>SUMPRODUCT(--('Данные 2st'!$Q$2:$Q$317=$A16),--ISNUMBER('Данные 2st'!$KN$2:$KN$317))</f>
        <v>1</v>
      </c>
      <c r="PK16">
        <f>SUMPRODUCT(--('Данные 2st'!$Q$2:$Q$317=$A16),--ISNUMBER('Данные 2st'!$KO$2:$KO$317))</f>
        <v>1</v>
      </c>
      <c r="PL16">
        <f>SUMPRODUCT(--('Данные 2st'!$Q$2:$Q$317=$A16),--ISNUMBER('Данные 2st'!$KP$2:$KP$317))</f>
        <v>1</v>
      </c>
      <c r="PM16">
        <f>SUMPRODUCT(--('Данные 2st'!$Q$2:$Q$317=$A16),--ISNUMBER('Данные 2st'!$KQ$2:$KQ$317))</f>
        <v>1</v>
      </c>
      <c r="PN16">
        <f>SUMPRODUCT(--('Данные 2st'!$Q$2:$Q$317=$A16),--ISNUMBER('Данные 2st'!$KR$2:$KR$317))</f>
        <v>1</v>
      </c>
      <c r="PO16">
        <f>SUMPRODUCT(--('Данные 2st'!$Q$2:$Q$317=$A16),--ISNUMBER('Данные 2st'!$KS$2:$KS$317))</f>
        <v>1</v>
      </c>
      <c r="PP16">
        <f>SUMPRODUCT(--('Данные 2st'!$Q$2:$Q$317=$A16),--ISNUMBER('Данные 2st'!$KT$2:$KT$317))</f>
        <v>1</v>
      </c>
      <c r="PQ16">
        <f>SUMPRODUCT(--('Данные 2st'!$Q$2:$Q$317=$A16),--ISNUMBER('Данные 2st'!$KU$2:$KU$317))</f>
        <v>1</v>
      </c>
      <c r="PR16">
        <f>SUMPRODUCT(--('Данные 2st'!$Q$2:$Q$317=$A16),--ISNUMBER('Данные 2st'!$KV$2:$KV$317))</f>
        <v>1</v>
      </c>
      <c r="PS16">
        <f>SUMPRODUCT(--('Данные 2st'!$Q$2:$Q$317=$A16),--ISNUMBER('Данные 2st'!$KW$2:$KW$317))</f>
        <v>1</v>
      </c>
      <c r="PT16">
        <f>SUMPRODUCT(--('Данные 2st'!$Q$2:$Q$317=$A16),--ISNUMBER('Данные 2st'!$KX$2:$KX$317))</f>
        <v>1</v>
      </c>
      <c r="PU16">
        <f>SUMPRODUCT(--('Данные 2st'!$Q$2:$Q$317=$A16),--ISNUMBER('Данные 2st'!$KY$2:$KY$317))</f>
        <v>1</v>
      </c>
      <c r="PV16">
        <f>SUMPRODUCT(--('Данные 2st'!$Q$2:$Q$317=$A16),--ISNUMBER('Данные 2st'!$KZ$2:$KZ$317))</f>
        <v>1</v>
      </c>
      <c r="PW16">
        <f>SUMPRODUCT(--('Данные 2st'!$Q$2:$Q$317=$A16),--ISNUMBER('Данные 2st'!$LA$2:$LA$317))</f>
        <v>1</v>
      </c>
      <c r="PX16">
        <f>SUMPRODUCT(--('Данные 2st'!$Q$2:$Q$317=$A16),--ISNUMBER('Данные 2st'!$LB$2:$LB$317))</f>
        <v>1</v>
      </c>
      <c r="PY16">
        <f>SUMPRODUCT(--('Данные 2st'!$Q$2:$Q$317=$A16),--ISNUMBER('Данные 2st'!$LC$2:$LC$317))</f>
        <v>1</v>
      </c>
      <c r="PZ16">
        <f>SUMPRODUCT(--('Данные 2st'!$Q$2:$Q$317=$A16),--ISNUMBER('Данные 2st'!$LD$2:$LD$317))</f>
        <v>1</v>
      </c>
      <c r="QA16">
        <f>SUMPRODUCT(--('Данные 2st'!$Q$2:$Q$317=$A16),--ISNUMBER('Данные 2st'!$LE$2:$LE$317))</f>
        <v>1</v>
      </c>
      <c r="QB16">
        <f>SUMPRODUCT(--('Данные 2st'!$Q$2:$Q$317=$A16),--ISNUMBER('Данные 2st'!$LF$2:$LF$317))</f>
        <v>1</v>
      </c>
      <c r="QC16">
        <f>SUMPRODUCT(--('Данные 2st'!$Q$2:$Q$317=$A16),--ISNUMBER('Данные 2st'!$LG$2:$LG$317))</f>
        <v>1</v>
      </c>
      <c r="QD16">
        <f>SUMPRODUCT(--('Данные 2st'!$Q$2:$Q$317=$A16),--ISNUMBER('Данные 2st'!$LH$2:$LH$317))</f>
        <v>1</v>
      </c>
      <c r="QE16">
        <f>SUMPRODUCT(--('Данные 2st'!$Q$2:$Q$317=$A16),--ISNUMBER('Данные 2st'!$LJ$2:$LJ$317))</f>
        <v>1</v>
      </c>
      <c r="QF16">
        <f>SUMPRODUCT(--('Данные 2st'!$Q$2:$Q$317=$A16),--ISNUMBER('Данные 2st'!$LK$2:$LK$317))</f>
        <v>1</v>
      </c>
      <c r="QG16">
        <f>SUMPRODUCT(--('Данные 2st'!$Q$2:$Q$317=$A16),--ISNUMBER('Данные 2st'!$LL$2:$LL$317))</f>
        <v>1</v>
      </c>
      <c r="QH16">
        <f>SUMPRODUCT(--('Данные 2st'!$Q$2:$Q$317=$A16),--ISNUMBER('Данные 2st'!$LM$2:$LM$317))</f>
        <v>1</v>
      </c>
      <c r="QI16">
        <f>SUMPRODUCT(--('Данные 2st'!$Q$2:$Q$317=$A16),--ISNUMBER('Данные 2st'!$LN$2:$LN$317))</f>
        <v>1</v>
      </c>
      <c r="QJ16">
        <f>SUMPRODUCT(--('Данные 2st'!$Q$2:$Q$317=$A16),--ISNUMBER('Данные 2st'!$LO$2:$LO$317))</f>
        <v>1</v>
      </c>
      <c r="QK16">
        <f>SUMPRODUCT(--('Данные 2st'!$Q$2:$Q$317=$A16),--ISNUMBER('Данные 2st'!$LP$2:$LP$317))</f>
        <v>1</v>
      </c>
      <c r="QL16">
        <f>SUMPRODUCT(--('Данные 2st'!$Q$2:$Q$317=$A16),--ISNUMBER('Данные 2st'!$LQ$2:$LQ$317))</f>
        <v>1</v>
      </c>
      <c r="QM16">
        <f>SUMPRODUCT(--('Данные 2st'!$Q$2:$Q$317=$A16),--ISNUMBER('Данные 2st'!$LW$2:$LW$317))</f>
        <v>1</v>
      </c>
      <c r="QN16">
        <f>SUMPRODUCT(--('Данные 2st'!$Q$2:$Q$317=$A16),--ISNUMBER('Данные 2st'!$LX$2:$LX$317))</f>
        <v>1</v>
      </c>
      <c r="QO16">
        <f>SUMPRODUCT(--('Данные 2st'!$Q$2:$Q$317=$A16),--ISNUMBER('Данные 2st'!$LY$2:$LY$317))</f>
        <v>1</v>
      </c>
      <c r="QP16">
        <f>SUMPRODUCT(--('Данные 2st'!$Q$2:$Q$317=$A16),--ISNUMBER('Данные 2st'!$LZ$2:$LZ$317))</f>
        <v>1</v>
      </c>
      <c r="QQ16">
        <f>SUMPRODUCT(--('Данные 2st'!$Q$2:$Q$317=$A16),--ISNUMBER('Данные 2st'!$MB$2:$MB$317))</f>
        <v>1</v>
      </c>
      <c r="QR16">
        <f>SUMPRODUCT(--('Данные 2st'!$Q$2:$Q$317=$A16),--ISNUMBER('Данные 2st'!$MG$2:$MG$317))</f>
        <v>1</v>
      </c>
      <c r="QS16">
        <f>SUMPRODUCT(--('Данные 2st'!$Q$2:$Q$317=$A16),--ISNUMBER('Данные 2st'!$MH$2:$MH$317))</f>
        <v>1</v>
      </c>
      <c r="QT16">
        <f>SUMPRODUCT(--('Данные 2st'!$Q$2:$Q$317=$A16),--ISNUMBER('Данные 2st'!$MI$2:$MI$317))</f>
        <v>1</v>
      </c>
      <c r="QU16">
        <f>SUMPRODUCT(--('Данные 2st'!$Q$2:$Q$317=$A16),--ISNUMBER('Данные 2st'!$MJ$2:$MJ$317))</f>
        <v>1</v>
      </c>
      <c r="QV16">
        <f>SUMPRODUCT(--('Данные 2st'!$Q$2:$Q$317=$A16),--ISNUMBER('Данные 2st'!$MK$2:$MK$317))</f>
        <v>1</v>
      </c>
      <c r="QW16">
        <f>SUMPRODUCT(--('Данные 2st'!$Q$2:$Q$317=$A16),--ISNUMBER('Данные 2st'!$MM$2:$MM$317))</f>
        <v>1</v>
      </c>
      <c r="QX16">
        <f>SUMPRODUCT(--('Данные 2st'!$Q$2:$Q$317=$A16),--ISNUMBER('Данные 2st'!$MQ$2:$MQ$317))</f>
        <v>0</v>
      </c>
      <c r="QY16">
        <f>SUMPRODUCT(--('Данные 2st'!$Q$2:$Q$317=$A16),--ISNUMBER('Данные 2st'!$MR$2:$MR$317))</f>
        <v>0</v>
      </c>
      <c r="QZ16">
        <f>SUMPRODUCT(--('Данные 2st'!$Q$2:$Q$317=$A16),--ISNUMBER('Данные 2st'!$MS$2:$MS$317))</f>
        <v>0</v>
      </c>
      <c r="RA16">
        <f>SUMPRODUCT(--('Данные 2st'!$Q$2:$Q$317=$A16),--ISNUMBER('Данные 2st'!$MT$2:$MT$317))</f>
        <v>0</v>
      </c>
      <c r="RB16">
        <f>SUMPRODUCT(--('Данные 2st'!$Q$2:$Q$317=$A16),--ISNUMBER('Данные 2st'!$MU$2:$MU$317))</f>
        <v>0</v>
      </c>
      <c r="RC16">
        <f>SUMPRODUCT(--('Данные 2st'!$Q$2:$Q$317=$A16),--ISNUMBER('Данные 2st'!$MV$2:$MV$317))</f>
        <v>0</v>
      </c>
      <c r="RD16">
        <f>SUMPRODUCT(--('Данные 2st'!$Q$2:$Q$317=$A16),--ISNUMBER('Данные 2st'!$MW$2:$MW$317))</f>
        <v>0</v>
      </c>
      <c r="RE16">
        <f>SUMPRODUCT(--('Данные 2st'!$Q$2:$Q$317=$A16),--ISNUMBER('Данные 2st'!$MX$2:$MX$317))</f>
        <v>0</v>
      </c>
      <c r="RF16">
        <f>SUMPRODUCT(--('Данные 2st'!$Q$2:$Q$317=$A16),--ISNUMBER('Данные 2st'!$MY$2:$MY$317))</f>
        <v>0</v>
      </c>
      <c r="RG16">
        <f>SUMPRODUCT(--('Данные 2st'!$Q$2:$Q$317=$A16),--ISNUMBER('Данные 2st'!$MZ$2:$MZ$317))</f>
        <v>0</v>
      </c>
      <c r="RH16">
        <f>SUMPRODUCT(--('Данные 2st'!$Q$2:$Q$317=$A16),--ISNUMBER('Данные 2st'!$NA$2:$NA$317))</f>
        <v>0</v>
      </c>
      <c r="RI16">
        <f>SUMPRODUCT(--('Данные 2st'!$Q$2:$Q$317=$A16),--ISNUMBER('Данные 2st'!$NB$2:$NB$317))</f>
        <v>0</v>
      </c>
      <c r="RJ16">
        <f>SUMPRODUCT(--('Данные 2st'!$Q$2:$Q$317=$A16),--ISNUMBER('Данные 2st'!$NC$2:$NC$317))</f>
        <v>0</v>
      </c>
      <c r="RK16">
        <f>SUMPRODUCT(--('Данные 2st'!$Q$2:$Q$317=$A16),--ISNUMBER('Данные 2st'!$ND$2:$ND$317))</f>
        <v>0</v>
      </c>
      <c r="RL16">
        <f>SUMPRODUCT(--('Данные 2st'!$Q$2:$Q$317=$A16),--ISNUMBER('Данные 2st'!$NE$2:$NE$317))</f>
        <v>0</v>
      </c>
      <c r="RM16">
        <f>SUMPRODUCT(--('Данные 2st'!$Q$2:$Q$317=$A16),--ISNUMBER('Данные 2st'!$NF$2:$NF$317))</f>
        <v>0</v>
      </c>
      <c r="RN16">
        <f>SUMPRODUCT(--('Данные 2st'!$Q$2:$Q$317=$A16),--ISNUMBER('Данные 2st'!$NG$2:$NG$317))</f>
        <v>0</v>
      </c>
      <c r="RO16">
        <f>SUMPRODUCT(--('Данные 2st'!$Q$2:$Q$317=$A16),--ISNUMBER('Данные 2st'!$NH$2:$NH$317))</f>
        <v>0</v>
      </c>
      <c r="RP16">
        <f>SUMPRODUCT(--('Данные 2st'!$Q$2:$Q$317=$A16),--ISNUMBER('Данные 2st'!$NJ$2:$NJ$317))</f>
        <v>0</v>
      </c>
      <c r="RQ16">
        <f>SUMPRODUCT(--('Данные 2st'!$Q$2:$Q$317=$A16),--ISNUMBER('Данные 2st'!$NK$2:$NK$317))</f>
        <v>0</v>
      </c>
      <c r="RR16">
        <f>SUMPRODUCT(--('Данные 2st'!$Q$2:$Q$317=$A16),--ISNUMBER('Данные 2st'!$NM$2:$NM$317))</f>
        <v>0</v>
      </c>
      <c r="RS16">
        <f>SUMPRODUCT(--('Данные 2st'!$Q$2:$Q$317=$A16),--ISNUMBER('Данные 2st'!$NN$2:$NN$317))</f>
        <v>0</v>
      </c>
      <c r="RT16">
        <f>SUMPRODUCT(--('Данные 2st'!$Q$2:$Q$317=$A16),--ISNUMBER('Данные 2st'!$NO$2:$NO$317))</f>
        <v>0</v>
      </c>
      <c r="RU16">
        <f>SUMPRODUCT(--('Данные 2st'!$Q$2:$Q$317=$A16),--ISNUMBER('Данные 2st'!$NP$2:$NP$317))</f>
        <v>0</v>
      </c>
      <c r="RV16">
        <f>SUMPRODUCT(--('Данные 2st'!$Q$2:$Q$317=$A16),--ISNUMBER('Данные 2st'!$NQ$2:$NQ$317))</f>
        <v>0</v>
      </c>
      <c r="RW16">
        <f>SUMPRODUCT(--('Данные 2st'!$Q$2:$Q$317=$A16),--ISNUMBER('Данные 2st'!$NR$2:$NR$317))</f>
        <v>0</v>
      </c>
      <c r="RX16">
        <f>SUMPRODUCT(--('Данные 2st'!$Q$2:$Q$317=$A16),--ISNUMBER('Данные 2st'!$NS$2:$NS$317))</f>
        <v>0</v>
      </c>
      <c r="RY16">
        <f>SUMPRODUCT(--('Данные 2st'!$Q$2:$Q$317=$A16),--ISNUMBER('Данные 2st'!$NT$2:$NT$317))</f>
        <v>0</v>
      </c>
      <c r="RZ16">
        <f>SUMPRODUCT(--('Данные 2st'!$Q$2:$Q$317=$A16),--ISNUMBER('Данные 2st'!$OK$2:$OK$317))</f>
        <v>1</v>
      </c>
      <c r="SA16">
        <f>SUMPRODUCT(--('Данные 2st'!$Q$2:$Q$317=$A16),--ISNUMBER('Данные 2st'!$OL$2:$OL$317))</f>
        <v>1</v>
      </c>
      <c r="SB16">
        <f>SUMPRODUCT(--('Данные 2st'!$Q$2:$Q$317=$A16),--ISNUMBER('Данные 2st'!$ON$2:$ON$317))</f>
        <v>1</v>
      </c>
      <c r="SC16">
        <f>SUMPRODUCT(--('Данные 2st'!$Q$2:$Q$317=$A16),--ISNUMBER('Данные 2st'!$OO$2:$OO$317))</f>
        <v>1</v>
      </c>
      <c r="SD16">
        <f>SUMPRODUCT(--('Данные 2st'!$Q$2:$Q$317=$A16),--ISNUMBER('Данные 2st'!$OP$2:$OP$317))</f>
        <v>1</v>
      </c>
      <c r="SE16">
        <f>SUMPRODUCT(--('Данные 2st'!$Q$2:$Q$317=$A16),--ISNUMBER('Данные 2st'!$OQ$2:$OQ$317))</f>
        <v>1</v>
      </c>
      <c r="SF16">
        <f>SUMPRODUCT(--('Данные 2st'!$Q$2:$Q$317=$A16),--ISNUMBER('Данные 2st'!$OS$2:$OS$317))</f>
        <v>1</v>
      </c>
      <c r="SG16">
        <f>SUMPRODUCT(--('Данные 2st'!$Q$2:$Q$317=$A16),--ISNUMBER('Данные 2st'!$OT$2:$OT$317))</f>
        <v>1</v>
      </c>
      <c r="SH16">
        <f>SUMPRODUCT(--('Данные 2st'!$Q$2:$Q$317=$A16),--ISNUMBER('Данные 2st'!$OU$2:$OU$317))</f>
        <v>1</v>
      </c>
      <c r="SI16">
        <f>SUMPRODUCT(--('Данные 2st'!$Q$2:$Q$317=$A16),--ISNUMBER('Данные 2st'!$OV$2:$OV$317))</f>
        <v>1</v>
      </c>
      <c r="SJ16">
        <f>SUMPRODUCT(--('Данные 2st'!$Q$2:$Q$317=$A16),--ISNUMBER('Данные 2st'!$OX$2:$OX$317))</f>
        <v>1</v>
      </c>
      <c r="SK16">
        <f>SUMPRODUCT(--('Данные 2st'!$Q$2:$Q$317=$A16),--ISNUMBER('Данные 2st'!$OY$2:$OY$317))</f>
        <v>1</v>
      </c>
      <c r="SL16">
        <f>SUMPRODUCT(--('Данные 2st'!$Q$2:$Q$317=$A16),--ISNUMBER('Данные 2st'!$OZ$2:$OZ$317))</f>
        <v>1</v>
      </c>
      <c r="SM16">
        <f>SUMPRODUCT(--('Данные 2st'!$Q$2:$Q$317=$A16),--ISNUMBER('Данные 2st'!$PA$2:$PA$317))</f>
        <v>1</v>
      </c>
      <c r="SN16">
        <f>SUMPRODUCT(--('Данные 2st'!$Q$2:$Q$317=$A16),--ISNUMBER('Данные 2st'!$PC$2:$PC$317))</f>
        <v>1</v>
      </c>
      <c r="SO16">
        <f>SUMPRODUCT(--('Данные 2st'!$Q$2:$Q$317=$A16),--ISNUMBER('Данные 2st'!$PD$2:$PD$317))</f>
        <v>1</v>
      </c>
      <c r="SP16">
        <f>SUMPRODUCT(--('Данные 2st'!$Q$2:$Q$317=$A16),--ISNUMBER('Данные 2st'!$PF$2:$PF$317))</f>
        <v>1</v>
      </c>
      <c r="SQ16">
        <f>SUMPRODUCT(--('Данные 2st'!$Q$2:$Q$317=$A16),--ISNUMBER('Данные 2st'!$PG$2:$PG$317))</f>
        <v>1</v>
      </c>
      <c r="SR16">
        <f>SUMPRODUCT(--('Данные 2st'!$Q$2:$Q$317=$A16),--ISNUMBER('Данные 2st'!$PH$2:$PH$317))</f>
        <v>1</v>
      </c>
      <c r="SS16">
        <f>SUMPRODUCT(--('Данные 2st'!$Q$2:$Q$317=$A16),--ISNUMBER('Данные 2st'!$PI$2:$PI$317))</f>
        <v>1</v>
      </c>
      <c r="ST16">
        <f>SUMPRODUCT(--('Данные 2st'!$Q$2:$Q$317=$A16),--ISNUMBER('Данные 2st'!$PJ$2:$PJ$317))</f>
        <v>1</v>
      </c>
      <c r="SU16">
        <f>SUMPRODUCT(--('Данные 2st'!$Q$2:$Q$317=$A16),--ISNUMBER('Данные 2st'!$PK$2:$PK$317))</f>
        <v>0</v>
      </c>
      <c r="SV16">
        <f>SUMPRODUCT(--('Данные 2st'!$Q$2:$Q$317=$A16),--ISNUMBER('Данные 2st'!$PL$2:$PL$317))</f>
        <v>1</v>
      </c>
      <c r="SW16">
        <f>SUMPRODUCT(--('Данные 2st'!$Q$2:$Q$317=$A16),--ISNUMBER('Данные 2st'!$PM$2:$PM$317))</f>
        <v>1</v>
      </c>
      <c r="SX16">
        <f>SUMPRODUCT(--('Данные 2st'!$Q$2:$Q$317=$A16),--ISNUMBER('Данные 2st'!$PN$2:$PN$317))</f>
        <v>1</v>
      </c>
      <c r="SY16">
        <f>SUMPRODUCT(--('Данные 2st'!$Q$2:$Q$317=$A16),--ISNUMBER('Данные 2st'!$PO$2:$PO$317))</f>
        <v>1</v>
      </c>
      <c r="SZ16">
        <f>SUMPRODUCT(--('Данные 2st'!$Q$2:$Q$317=$A16),--ISNUMBER('Данные 2st'!$PP$2:$PP$317))</f>
        <v>1</v>
      </c>
      <c r="TA16">
        <f>SUMPRODUCT(--('Данные 2st'!$Q$2:$Q$317=$A16),--ISNUMBER('Данные 2st'!$PQ$2:$PQ$317))</f>
        <v>1</v>
      </c>
      <c r="TB16">
        <f>SUMPRODUCT(--('Данные 2st'!$Q$2:$Q$317=$A16),--ISNUMBER('Данные 2st'!$PR$2:$PR$317))</f>
        <v>1</v>
      </c>
      <c r="TC16">
        <f>SUMPRODUCT(--('Данные 2st'!$Q$2:$Q$317=$A16),--ISNUMBER('Данные 2st'!$PS$2:$PS$317))</f>
        <v>1</v>
      </c>
      <c r="TD16">
        <f>SUMPRODUCT(--('Данные 2st'!$Q$2:$Q$317=$A16),--ISNUMBER('Данные 2st'!$PT$2:$PT$317))</f>
        <v>1</v>
      </c>
      <c r="TE16">
        <f>SUMPRODUCT(--('Данные 2st'!$Q$2:$Q$317=$A16),--ISNUMBER('Данные 2st'!$PU$2:$PU$317))</f>
        <v>1</v>
      </c>
      <c r="TF16">
        <f>SUMPRODUCT(--('Данные 2st'!$Q$2:$Q$317=$A16),--ISNUMBER('Данные 2st'!$PX$2:$PX$317))</f>
        <v>1</v>
      </c>
      <c r="TG16">
        <f>SUMPRODUCT(--('Данные 2st'!$Q$2:$Q$317=$A16),--ISNUMBER('Данные 2st'!$PY$2:$PY$317))</f>
        <v>1</v>
      </c>
      <c r="TH16">
        <f>SUMPRODUCT(--('Данные 2st'!$Q$2:$Q$317=$A16),--ISNUMBER('Данные 2st'!$PZ$2:$PZ$317))</f>
        <v>1</v>
      </c>
      <c r="TI16">
        <f>SUMPRODUCT(--('Данные 2st'!$Q$2:$Q$317=$A16),--ISNUMBER('Данные 2st'!$QA$2:$QA$317))</f>
        <v>1</v>
      </c>
      <c r="TJ16">
        <f>SUMPRODUCT(--('Данные 2st'!$Q$2:$Q$317=$A16),--ISNUMBER('Данные 2st'!$QB$2:$QB$317))</f>
        <v>1</v>
      </c>
      <c r="TK16">
        <f>SUMPRODUCT(--('Данные 2st'!$Q$2:$Q$317=$A16),--ISNUMBER('Данные 2st'!$QC$2:$QC$317))</f>
        <v>1</v>
      </c>
      <c r="TL16">
        <f>SUMPRODUCT(--('Данные 2st'!$Q$2:$Q$317=$A16),--ISNUMBER('Данные 2st'!$QD$2:$QD$317))</f>
        <v>1</v>
      </c>
      <c r="TM16">
        <f>SUMPRODUCT(--('Данные 2st'!$Q$2:$Q$317=$A16),--ISNUMBER('Данные 2st'!$QE$2:$QE$317))</f>
        <v>1</v>
      </c>
      <c r="TN16">
        <f>SUMPRODUCT(--('Данные 2st'!$Q$2:$Q$317=$A16),--ISNUMBER('Данные 2st'!$QF$2:$QF$317))</f>
        <v>1</v>
      </c>
      <c r="TO16">
        <f>SUMPRODUCT(--('Данные 2st'!$Q$2:$Q$317=$A16),--ISNUMBER('Данные 2st'!$QG$2:$QG$317))</f>
        <v>1</v>
      </c>
      <c r="TP16">
        <f>SUMPRODUCT(--('Данные 2st'!$Q$2:$Q$317=$A16),--ISNUMBER('Данные 2st'!$QH$2:$QH$317))</f>
        <v>1</v>
      </c>
      <c r="TQ16">
        <f>SUMPRODUCT(--('Данные 2st'!$Q$2:$Q$317=$A16),--ISNUMBER('Данные 2st'!$QI$2:$QI$317))</f>
        <v>1</v>
      </c>
      <c r="TR16">
        <f>SUMPRODUCT(--('Данные 2st'!$Q$2:$Q$317=$A16),--ISNUMBER('Данные 2st'!$QJ$2:$QJ$317))</f>
        <v>1</v>
      </c>
      <c r="TS16">
        <f>SUMPRODUCT(--('Данные 2st'!$Q$2:$Q$317=$A16),--ISNUMBER('Данные 2st'!$QK$2:$QK$317))</f>
        <v>1</v>
      </c>
      <c r="TT16">
        <f>SUMPRODUCT(--('Данные 2st'!$Q$2:$Q$317=$A16),--ISNUMBER('Данные 2st'!$QL$2:$QL$317))</f>
        <v>1</v>
      </c>
      <c r="TU16">
        <f>SUMPRODUCT(--('Данные 2st'!$Q$2:$Q$317=$A16),--ISNUMBER('Данные 2st'!$QM$2:$QM$317))</f>
        <v>1</v>
      </c>
      <c r="TV16">
        <f>SUMPRODUCT(--('Данные 2st'!$Q$2:$Q$317=$A16),--ISNUMBER('Данные 2st'!$QN$2:$QN$317))</f>
        <v>1</v>
      </c>
      <c r="TW16">
        <f>SUMPRODUCT(--('Данные 2st'!$Q$2:$Q$317=$A16),--ISNUMBER('Данные 2st'!$QQ$2:$QQ$317))</f>
        <v>1</v>
      </c>
      <c r="TX16">
        <f>SUMPRODUCT(--('Данные 2st'!$Q$2:$Q$317=$A16),--ISNUMBER('Данные 2st'!$QS$2:$QS$317))</f>
        <v>1</v>
      </c>
      <c r="TY16">
        <f>SUMPRODUCT(--('Данные 2st'!$Q$2:$Q$317=$A16),--ISNUMBER('Данные 2st'!$QT$2:$QT$317))</f>
        <v>1</v>
      </c>
    </row>
    <row r="17" spans="1:545" ht="32" customHeight="1">
      <c r="A17" s="11" t="str">
        <f>'По размерам'!A17</f>
        <v>205/60R16</v>
      </c>
      <c r="G17">
        <f>SUMPRODUCT(--('Данные 1st'!$S$2:$S$317=$A17),--ISNUMBER('Данные 1st'!$AE$2:$AE$317))</f>
        <v>5</v>
      </c>
      <c r="H17">
        <f>SUMPRODUCT(--('Данные 1st'!$S$2:$S$317=$A17),--ISNUMBER('Данные 1st'!$AF$2:$AF$317))</f>
        <v>5</v>
      </c>
      <c r="I17">
        <f>SUMPRODUCT(--('Данные 1st'!$S$2:$S$317=$A17),--ISNUMBER('Данные 1st'!$AJ$2:$AJ$317))</f>
        <v>5</v>
      </c>
      <c r="J17">
        <f>SUMPRODUCT(--('Данные 1st'!$S$2:$S$317=$A17),--ISNUMBER('Данные 1st'!$AL$2:$AL$317))</f>
        <v>5</v>
      </c>
      <c r="K17">
        <f>SUMPRODUCT(--('Данные 1st'!$S$2:$S$317=$A17),--ISNUMBER('Данные 1st'!$AR$2:$AR$317))</f>
        <v>5</v>
      </c>
      <c r="L17">
        <f>SUMPRODUCT(--('Данные 1st'!$S$2:$S$317=$A17),--ISNUMBER('Данные 1st'!$AS$2:$AS$317))</f>
        <v>5</v>
      </c>
      <c r="M17">
        <f>SUMPRODUCT(--('Данные 1st'!$S$2:$S$317=$A17),--ISNUMBER('Данные 1st'!$AY$2:$AY$317))</f>
        <v>5</v>
      </c>
      <c r="N17">
        <f>SUMPRODUCT(--('Данные 1st'!$S$2:$S$317=$A17),--ISNUMBER('Данные 1st'!$AZ$2:$AZ$317))</f>
        <v>5</v>
      </c>
      <c r="O17">
        <f>SUMPRODUCT(--('Данные 1st'!$S$2:$S$317=$A17),--ISNUMBER('Данные 1st'!$BF$2:$BF$317))</f>
        <v>0</v>
      </c>
      <c r="P17">
        <f>SUMPRODUCT(--('Данные 1st'!$S$2:$S$317=$A17),--ISNUMBER('Данные 1st'!$BG$2:$BG$317))</f>
        <v>5</v>
      </c>
      <c r="Q17">
        <f>SUMPRODUCT(--('Данные 1st'!$S$2:$S$317=$A17),--ISNUMBER('Данные 1st'!$BM$2:$BM$317))</f>
        <v>0</v>
      </c>
      <c r="R17">
        <f>SUMPRODUCT(--('Данные 1st'!$S$2:$S$317=$A17),--ISNUMBER('Данные 1st'!$BN$2:$BN$317))</f>
        <v>5</v>
      </c>
      <c r="S17">
        <f>SUMPRODUCT(--('Данные 1st'!$S$2:$S$317=$A17),--ISNUMBER('Данные 1st'!$BT$2:$BT$317))</f>
        <v>5</v>
      </c>
      <c r="T17">
        <f>SUMPRODUCT(--('Данные 1st'!$S$2:$S$317=$A17),--ISNUMBER('Данные 1st'!$BU$2:$BU$317))</f>
        <v>5</v>
      </c>
      <c r="U17">
        <f>SUMPRODUCT(--('Данные 1st'!$S$2:$S$317=$A17),--ISNUMBER('Данные 1st'!$BW$2:$BW$317))</f>
        <v>5</v>
      </c>
      <c r="V17">
        <f>SUMPRODUCT(--('Данные 1st'!$S$2:$S$317=$A17),--ISNUMBER('Данные 1st'!$BX$2:$BX$317))</f>
        <v>5</v>
      </c>
      <c r="W17">
        <f>SUMPRODUCT(--('Данные 1st'!$S$2:$S$317=$A17),--ISNUMBER('Данные 1st'!$BZ$2:$BZ$317))</f>
        <v>5</v>
      </c>
      <c r="X17">
        <f>SUMPRODUCT(--('Данные 1st'!$S$2:$S$317=$A17),--ISNUMBER('Данные 1st'!$CA$2:$CA$317))</f>
        <v>5</v>
      </c>
      <c r="Y17">
        <f>SUMPRODUCT(--('Данные 1st'!$S$2:$S$317=$A17),--ISNUMBER('Данные 1st'!$CD$2:$CD$317))</f>
        <v>5</v>
      </c>
      <c r="Z17">
        <f>SUMPRODUCT(--('Данные 1st'!$S$2:$S$317=$A17),--ISNUMBER('Данные 1st'!$CF$2:$CF$317))</f>
        <v>5</v>
      </c>
      <c r="AA17">
        <f>SUMPRODUCT(--('Данные 1st'!$S$2:$S$317=$A17),--ISNUMBER('Данные 1st'!$CI$2:$CI$317))</f>
        <v>5</v>
      </c>
      <c r="AB17">
        <f>SUMPRODUCT(--('Данные 1st'!$S$2:$S$317=$A17),--ISNUMBER('Данные 1st'!$CJ$2:$CJ$317))</f>
        <v>5</v>
      </c>
      <c r="AC17">
        <f>SUMPRODUCT(--('Данные 1st'!$S$2:$S$317=$A17),--ISNUMBER('Данные 1st'!$CK$2:$CK$317))</f>
        <v>5</v>
      </c>
      <c r="AD17">
        <f>SUMPRODUCT(--('Данные 1st'!$S$2:$S$317=$A17),--ISNUMBER('Данные 1st'!$CL$2:$CL$317))</f>
        <v>5</v>
      </c>
      <c r="AE17">
        <f>SUMPRODUCT(--('Данные 1st'!$S$2:$S$317=$A17),--ISNUMBER('Данные 1st'!$CM$2:$CM$317))</f>
        <v>5</v>
      </c>
      <c r="AF17">
        <f>SUMPRODUCT(--('Данные 1st'!$S$2:$S$317=$A17),--ISNUMBER('Данные 1st'!$CT$2:$CT$317))</f>
        <v>5</v>
      </c>
      <c r="AG17">
        <f>SUMPRODUCT(--('Данные 1st'!$S$2:$S$317=$A17),--ISNUMBER('Данные 1st'!$CU$2:$CU$317))</f>
        <v>5</v>
      </c>
      <c r="AH17">
        <f>SUMPRODUCT(--('Данные 1st'!$S$2:$S$317=$A17),--ISNUMBER('Данные 1st'!$CV$2:$CV$317))</f>
        <v>5</v>
      </c>
      <c r="AI17">
        <f>SUMPRODUCT(--('Данные 1st'!$S$2:$S$317=$A17),--ISNUMBER('Данные 1st'!$CW$2:$CW$317))</f>
        <v>5</v>
      </c>
      <c r="AJ17">
        <f>SUMPRODUCT(--('Данные 1st'!$S$2:$S$317=$A17),--ISNUMBER('Данные 1st'!$CX$2:$CX$317))</f>
        <v>5</v>
      </c>
      <c r="AK17">
        <f>SUMPRODUCT(--('Данные 1st'!$S$2:$S$317=$A17),--ISNUMBER('Данные 1st'!$CZ$2:$CZ$317))</f>
        <v>1</v>
      </c>
      <c r="AL17">
        <f>SUMPRODUCT(--('Данные 1st'!$S$2:$S$317=$A17),--ISNUMBER('Данные 1st'!$DA$2:$DA$317))</f>
        <v>1</v>
      </c>
      <c r="AM17">
        <f>SUMPRODUCT(--('Данные 1st'!$S$2:$S$317=$A17),--ISNUMBER('Данные 1st'!$DB$2:$DB$317))</f>
        <v>1</v>
      </c>
      <c r="AN17">
        <f>SUMPRODUCT(--('Данные 1st'!$S$2:$S$317=$A17),--ISNUMBER('Данные 1st'!$DC$2:$DC$317))</f>
        <v>1</v>
      </c>
      <c r="AO17">
        <f>SUMPRODUCT(--('Данные 1st'!$S$2:$S$317=$A17),--ISNUMBER('Данные 1st'!$DD$2:$DD$317))</f>
        <v>5</v>
      </c>
      <c r="AP17">
        <f>SUMPRODUCT(--('Данные 1st'!$S$2:$S$317=$A17),--ISNUMBER('Данные 1st'!$DF$2:$DF$317))</f>
        <v>5</v>
      </c>
      <c r="AQ17">
        <f>SUMPRODUCT(--('Данные 1st'!$S$2:$S$317=$A17),--ISNUMBER('Данные 1st'!$DG$2:$DG$317))</f>
        <v>5</v>
      </c>
      <c r="AR17">
        <f>SUMPRODUCT(--('Данные 1st'!$S$2:$S$317=$A17),--ISNUMBER('Данные 1st'!$DH$2:$DH$317))</f>
        <v>5</v>
      </c>
      <c r="AS17">
        <f>SUMPRODUCT(--('Данные 1st'!$S$2:$S$317=$A17),--ISNUMBER('Данные 1st'!$DI$2:$DI$317))</f>
        <v>5</v>
      </c>
      <c r="AT17">
        <f>SUMPRODUCT(--('Данные 1st'!$S$2:$S$317=$A17),--ISNUMBER('Данные 1st'!$DJ$2:$DJ$317))</f>
        <v>5</v>
      </c>
      <c r="AU17">
        <f>SUMPRODUCT(--('Данные 1st'!$S$2:$S$317=$A17),--ISNUMBER('Данные 1st'!$DL$2:$DL$317))</f>
        <v>0</v>
      </c>
      <c r="AV17">
        <f>SUMPRODUCT(--('Данные 1st'!$S$2:$S$317=$A17),--ISNUMBER('Данные 1st'!$DM$2:$DM$317))</f>
        <v>0</v>
      </c>
      <c r="AW17">
        <f>SUMPRODUCT(--('Данные 1st'!$S$2:$S$317=$A17),--ISNUMBER('Данные 1st'!$DN$2:$DN$317))</f>
        <v>0</v>
      </c>
      <c r="AX17">
        <f>SUMPRODUCT(--('Данные 1st'!$S$2:$S$317=$A17),--ISNUMBER('Данные 1st'!$DO$2:$DO$317))</f>
        <v>0</v>
      </c>
      <c r="AY17">
        <f>SUMPRODUCT(--('Данные 1st'!$S$2:$S$317=$A17),--ISNUMBER('Данные 1st'!$DP$2:$DP$317))</f>
        <v>0</v>
      </c>
      <c r="AZ17">
        <f>SUMPRODUCT(--('Данные 1st'!$S$2:$S$317=$A17),--ISNUMBER('Данные 1st'!$DR$2:$DR$317))</f>
        <v>0</v>
      </c>
      <c r="BA17">
        <f>SUMPRODUCT(--('Данные 1st'!$S$2:$S$317=$A17),--ISNUMBER('Данные 1st'!$DS$2:$DS$317))</f>
        <v>0</v>
      </c>
      <c r="BB17">
        <f>SUMPRODUCT(--('Данные 1st'!$S$2:$S$317=$A17),--ISNUMBER('Данные 1st'!$DT$2:$DT$317))</f>
        <v>0</v>
      </c>
      <c r="BC17">
        <f>SUMPRODUCT(--('Данные 1st'!$S$2:$S$317=$A17),--ISNUMBER('Данные 1st'!$DU$2:$DU$317))</f>
        <v>0</v>
      </c>
      <c r="BD17">
        <f>SUMPRODUCT(--('Данные 1st'!$S$2:$S$317=$A17),--ISNUMBER('Данные 1st'!$DV$2:$DV$317))</f>
        <v>0</v>
      </c>
      <c r="BE17">
        <f>SUMPRODUCT(--('Данные 1st'!$S$2:$S$317=$A17),--ISNUMBER('Данные 1st'!$DX$2:$DX$317))</f>
        <v>5</v>
      </c>
      <c r="BF17">
        <f>SUMPRODUCT(--('Данные 1st'!$S$2:$S$317=$A17),--ISNUMBER('Данные 1st'!$EA$2:$EA$317))</f>
        <v>5</v>
      </c>
      <c r="BG17">
        <f>SUMPRODUCT(--('Данные 1st'!$S$2:$S$317=$A17),--ISNUMBER('Данные 1st'!$EB$2:$EB$317))</f>
        <v>5</v>
      </c>
      <c r="BH17">
        <f>SUMPRODUCT(--('Данные 1st'!$S$2:$S$317=$A17),--ISNUMBER('Данные 1st'!$ED$2:$ED$317))</f>
        <v>5</v>
      </c>
      <c r="BI17">
        <f>SUMPRODUCT(--('Данные 1st'!$S$2:$S$317=$A17),--ISNUMBER('Данные 1st'!$EE$2:$EE$317))</f>
        <v>5</v>
      </c>
      <c r="BJ17">
        <f>SUMPRODUCT(--('Данные 1st'!$S$2:$S$317=$A17),--ISNUMBER('Данные 1st'!$EG$2:$EG$317))</f>
        <v>5</v>
      </c>
      <c r="BK17">
        <f>SUMPRODUCT(--('Данные 1st'!$S$2:$S$317=$A17),--ISNUMBER('Данные 1st'!$EH$2:$EH$317))</f>
        <v>5</v>
      </c>
      <c r="BL17">
        <f>SUMPRODUCT(--('Данные 1st'!$S$2:$S$317=$A17),--ISNUMBER('Данные 1st'!$EJ$2:$EJ$317))</f>
        <v>5</v>
      </c>
      <c r="BM17">
        <f>SUMPRODUCT(--('Данные 1st'!$S$2:$S$317=$A17),--ISNUMBER('Данные 1st'!$EK$2:$EK$317))</f>
        <v>5</v>
      </c>
      <c r="BN17">
        <f>SUMPRODUCT(--('Данные 1st'!$S$2:$S$317=$A17),--ISNUMBER('Данные 1st'!$EN$2:$EN$317))</f>
        <v>5</v>
      </c>
      <c r="BO17">
        <f>SUMPRODUCT(--('Данные 1st'!$S$2:$S$317=$A17),--ISNUMBER('Данные 1st'!$EQ$2:$EQ$317))</f>
        <v>5</v>
      </c>
      <c r="BP17">
        <f>SUMPRODUCT(--('Данные 1st'!$S$2:$S$317=$A17),--ISNUMBER('Данные 1st'!$ER$2:$ER$317))</f>
        <v>5</v>
      </c>
      <c r="BQ17">
        <f>SUMPRODUCT(--('Данные 1st'!$S$2:$S$317=$A17),--ISNUMBER('Данные 1st'!$ES$2:$ES$317))</f>
        <v>5</v>
      </c>
      <c r="BR17">
        <f>SUMPRODUCT(--('Данные 1st'!$S$2:$S$317=$A17),--ISNUMBER('Данные 1st'!$ET$2:$ET$317))</f>
        <v>5</v>
      </c>
      <c r="BS17">
        <f>SUMPRODUCT(--('Данные 1st'!$S$2:$S$317=$A17),--ISNUMBER('Данные 1st'!$EU$2:$EU$317))</f>
        <v>5</v>
      </c>
      <c r="BT17">
        <f>SUMPRODUCT(--('Данные 1st'!$S$2:$S$317=$A17),--ISNUMBER('Данные 1st'!$EV$2:$EV$317))</f>
        <v>5</v>
      </c>
      <c r="BU17">
        <f>SUMPRODUCT(--('Данные 1st'!$S$2:$S$317=$A17),--ISNUMBER('Данные 1st'!$EX$2:$EX$317))</f>
        <v>5</v>
      </c>
      <c r="BV17">
        <f>SUMPRODUCT(--('Данные 1st'!$S$2:$S$317=$A17),--ISNUMBER('Данные 1st'!$EY$2:$EY$317))</f>
        <v>5</v>
      </c>
      <c r="BW17">
        <f>SUMPRODUCT(--('Данные 1st'!$S$2:$S$317=$A17),--ISNUMBER('Данные 1st'!$EZ$2:$EZ$317))</f>
        <v>5</v>
      </c>
      <c r="BX17">
        <f>SUMPRODUCT(--('Данные 1st'!$S$2:$S$317=$A17),--ISNUMBER('Данные 1st'!$FA$2:$FA$317))</f>
        <v>5</v>
      </c>
      <c r="BY17">
        <f>SUMPRODUCT(--('Данные 1st'!$S$2:$S$317=$A17),--ISNUMBER('Данные 1st'!$FB$2:$FB$317))</f>
        <v>5</v>
      </c>
      <c r="BZ17">
        <f>SUMPRODUCT(--('Данные 1st'!$S$2:$S$317=$A17),--ISNUMBER('Данные 1st'!$FC$2:$FC$317))</f>
        <v>5</v>
      </c>
      <c r="CA17">
        <f>SUMPRODUCT(--('Данные 1st'!$S$2:$S$317=$A17),--ISNUMBER('Данные 1st'!$FE$2:$FE$317))</f>
        <v>5</v>
      </c>
      <c r="CB17">
        <f>SUMPRODUCT(--('Данные 1st'!$S$2:$S$317=$A17),--ISNUMBER('Данные 1st'!$FF$2:$FF$317))</f>
        <v>5</v>
      </c>
      <c r="CC17">
        <f>SUMPRODUCT(--('Данные 1st'!$S$2:$S$317=$A17),--ISNUMBER('Данные 1st'!$FI$2:$FI$317))</f>
        <v>5</v>
      </c>
      <c r="CD17">
        <f>SUMPRODUCT(--('Данные 1st'!$S$2:$S$317=$A17),--ISNUMBER('Данные 1st'!$FL$2:$FL$317))</f>
        <v>5</v>
      </c>
      <c r="CE17">
        <f>SUMPRODUCT(--('Данные 1st'!$S$2:$S$317=$A17),--ISNUMBER('Данные 1st'!$FM$2:$FM$317))</f>
        <v>5</v>
      </c>
      <c r="CF17">
        <f>SUMPRODUCT(--('Данные 1st'!$S$2:$S$317=$A17),--ISNUMBER('Данные 1st'!$FN$2:$FN$317))</f>
        <v>5</v>
      </c>
      <c r="CG17">
        <f>SUMPRODUCT(--('Данные 1st'!$S$2:$S$317=$A17),--ISNUMBER('Данные 1st'!$FO$2:$FO$317))</f>
        <v>1</v>
      </c>
      <c r="CH17">
        <f>SUMPRODUCT(--('Данные 1st'!$S$2:$S$317=$A17),--ISNUMBER('Данные 1st'!$FP$2:$FP$317))</f>
        <v>1</v>
      </c>
      <c r="CI17">
        <f>SUMPRODUCT(--('Данные 1st'!$S$2:$S$317=$A17),--ISNUMBER('Данные 1st'!$FS$2:$FS$317))</f>
        <v>4</v>
      </c>
      <c r="CJ17">
        <f>SUMPRODUCT(--('Данные 1st'!$S$2:$S$317=$A17),--ISNUMBER('Данные 1st'!$FT$2:$FT$317))</f>
        <v>4</v>
      </c>
      <c r="CK17">
        <f>SUMPRODUCT(--('Данные 1st'!$S$2:$S$317=$A17),--ISNUMBER('Данные 1st'!$FU$2:$FU$317))</f>
        <v>4</v>
      </c>
      <c r="CL17">
        <f>SUMPRODUCT(--('Данные 1st'!$S$2:$S$317=$A17),--ISNUMBER('Данные 1st'!$FV$2:$FV$317))</f>
        <v>1</v>
      </c>
      <c r="CM17">
        <f>SUMPRODUCT(--('Данные 1st'!$S$2:$S$317=$A17),--ISNUMBER('Данные 1st'!$FW$2:$FW$317))</f>
        <v>1</v>
      </c>
      <c r="CN17">
        <f>SUMPRODUCT(--('Данные 1st'!$S$2:$S$317=$A17),--ISNUMBER('Данные 1st'!$FZ$2:$FZ$317))</f>
        <v>0</v>
      </c>
      <c r="CO17">
        <f>SUMPRODUCT(--('Данные 1st'!$S$2:$S$317=$A17),--ISNUMBER('Данные 1st'!$GA$2:$GA$317))</f>
        <v>0</v>
      </c>
      <c r="CP17">
        <f>SUMPRODUCT(--('Данные 1st'!$S$2:$S$317=$A17),--ISNUMBER('Данные 1st'!$GB$2:$GB$317))</f>
        <v>0</v>
      </c>
      <c r="CQ17">
        <f>SUMPRODUCT(--('Данные 1st'!$S$2:$S$317=$A17),--ISNUMBER('Данные 1st'!$GH$2:$GH$317))</f>
        <v>0</v>
      </c>
      <c r="CR17">
        <f>SUMPRODUCT(--('Данные 1st'!$S$2:$S$317=$A17),--ISNUMBER('Данные 1st'!$GI$2:$GI$317))</f>
        <v>0</v>
      </c>
      <c r="CS17">
        <f>SUMPRODUCT(--('Данные 1st'!$S$2:$S$317=$A17),--ISNUMBER('Данные 1st'!$GJ$2:$GJ$317))</f>
        <v>0</v>
      </c>
      <c r="CT17">
        <f>SUMPRODUCT(--('Данные 1st'!$S$2:$S$317=$A17),--ISNUMBER('Данные 1st'!$GS$2:$GS$317))</f>
        <v>0</v>
      </c>
      <c r="CU17">
        <f>SUMPRODUCT(--('Данные 1st'!$S$2:$S$317=$A17),--ISNUMBER('Данные 1st'!$GT$2:$GT$317))</f>
        <v>0</v>
      </c>
      <c r="CV17">
        <f>SUMPRODUCT(--('Данные 1st'!$S$2:$S$317=$A17),--ISNUMBER('Данные 1st'!$GU$2:$GU$317))</f>
        <v>0</v>
      </c>
      <c r="CW17">
        <f>SUMPRODUCT(--('Данные 1st'!$S$2:$S$317=$A17),--ISNUMBER('Данные 1st'!$GV$2:$GV$317))</f>
        <v>0</v>
      </c>
      <c r="CX17">
        <f>SUMPRODUCT(--('Данные 1st'!$S$2:$S$317=$A17),--ISNUMBER('Данные 1st'!$GW$2:$GW$317))</f>
        <v>0</v>
      </c>
      <c r="CY17">
        <f>SUMPRODUCT(--('Данные 1st'!$S$2:$S$317=$A17),--ISNUMBER('Данные 1st'!$GZ$2:$GZ$317))</f>
        <v>0</v>
      </c>
      <c r="CZ17">
        <f>SUMPRODUCT(--('Данные 1st'!$S$2:$S$317=$A17),--ISNUMBER('Данные 1st'!$HA$2:$HA$317))</f>
        <v>0</v>
      </c>
      <c r="DA17">
        <f>SUMPRODUCT(--('Данные 1st'!$S$2:$S$317=$A17),--ISNUMBER('Данные 1st'!$HB$2:$HB$317))</f>
        <v>0</v>
      </c>
      <c r="DB17">
        <f>SUMPRODUCT(--('Данные 1st'!$S$2:$S$317=$A17),--ISNUMBER('Данные 1st'!$HC$2:$HC$317))</f>
        <v>5</v>
      </c>
      <c r="DC17">
        <f>SUMPRODUCT(--('Данные 1st'!$S$2:$S$317=$A17),--ISNUMBER('Данные 1st'!$HD$2:$HD$317))</f>
        <v>5</v>
      </c>
      <c r="DD17">
        <f>SUMPRODUCT(--('Данные 1st'!$S$2:$S$317=$A17),--ISNUMBER('Данные 1st'!$HE$2:$HE$317))</f>
        <v>5</v>
      </c>
      <c r="DE17">
        <f>SUMPRODUCT(--('Данные 1st'!$S$2:$S$317=$A17),--ISNUMBER('Данные 1st'!$HF$2:$HF$317))</f>
        <v>5</v>
      </c>
      <c r="DF17">
        <f>SUMPRODUCT(--('Данные 1st'!$S$2:$S$317=$A17),--ISNUMBER('Данные 1st'!$HG$2:$HG$317))</f>
        <v>5</v>
      </c>
      <c r="DG17">
        <f>SUMPRODUCT(--('Данные 1st'!$S$2:$S$317=$A17),--ISNUMBER('Данные 1st'!$HH$2:$HH$317))</f>
        <v>5</v>
      </c>
      <c r="DH17">
        <f>SUMPRODUCT(--('Данные 1st'!$S$2:$S$317=$A17),--ISNUMBER('Данные 1st'!$HI$2:$HI$317))</f>
        <v>5</v>
      </c>
      <c r="DI17">
        <f>SUMPRODUCT(--('Данные 1st'!$S$2:$S$317=$A17),--ISNUMBER('Данные 1st'!$HJ$2:$HJ$317))</f>
        <v>5</v>
      </c>
      <c r="DJ17">
        <f>SUMPRODUCT(--('Данные 1st'!$S$2:$S$317=$A17),--ISNUMBER('Данные 1st'!$HK$2:$HK$317))</f>
        <v>5</v>
      </c>
      <c r="DK17">
        <f>SUMPRODUCT(--('Данные 1st'!$S$2:$S$317=$A17),--ISNUMBER('Данные 1st'!$HL$2:$HL$317))</f>
        <v>5</v>
      </c>
      <c r="DL17">
        <f>SUMPRODUCT(--('Данные 1st'!$S$2:$S$317=$A17),--ISNUMBER('Данные 1st'!$HM$2:$HM$317))</f>
        <v>5</v>
      </c>
      <c r="DM17">
        <f>SUMPRODUCT(--('Данные 1st'!$S$2:$S$317=$A17),--ISNUMBER('Данные 1st'!$HN$2:$HN$317))</f>
        <v>5</v>
      </c>
      <c r="DN17">
        <f>SUMPRODUCT(--('Данные 1st'!$S$2:$S$317=$A17),--ISNUMBER('Данные 1st'!$HO$2:$HO$317))</f>
        <v>5</v>
      </c>
      <c r="DO17">
        <f>SUMPRODUCT(--('Данные 1st'!$S$2:$S$317=$A17),--ISNUMBER('Данные 1st'!$HP$2:$HP$317))</f>
        <v>5</v>
      </c>
      <c r="DP17">
        <f>SUMPRODUCT(--('Данные 1st'!$S$2:$S$317=$A17),--ISNUMBER('Данные 1st'!$HQ$2:$HQ$317))</f>
        <v>5</v>
      </c>
      <c r="DQ17">
        <f>SUMPRODUCT(--('Данные 1st'!$S$2:$S$317=$A17),--ISNUMBER('Данные 1st'!$HR$2:$HR$317))</f>
        <v>5</v>
      </c>
      <c r="DR17">
        <f>SUMPRODUCT(--('Данные 1st'!$S$2:$S$317=$A17),--ISNUMBER('Данные 1st'!$HS$2:$HS$317))</f>
        <v>5</v>
      </c>
      <c r="DS17">
        <f>SUMPRODUCT(--('Данные 1st'!$S$2:$S$317=$A17),--ISNUMBER('Данные 1st'!$HT$2:$HT$317))</f>
        <v>5</v>
      </c>
      <c r="DT17">
        <f>SUMPRODUCT(--('Данные 1st'!$S$2:$S$317=$A17),--ISNUMBER('Данные 1st'!$HU$2:$HU$317))</f>
        <v>5</v>
      </c>
      <c r="DU17">
        <f>SUMPRODUCT(--('Данные 1st'!$S$2:$S$317=$A17),--ISNUMBER('Данные 1st'!$HW$2:$HW$317))</f>
        <v>5</v>
      </c>
      <c r="DV17">
        <f>SUMPRODUCT(--('Данные 1st'!$S$2:$S$317=$A17),--ISNUMBER('Данные 1st'!$HX$2:$HX$317))</f>
        <v>5</v>
      </c>
      <c r="DW17">
        <f>SUMPRODUCT(--('Данные 1st'!$S$2:$S$317=$A17),--ISNUMBER('Данные 1st'!$HY$2:$HY$317))</f>
        <v>5</v>
      </c>
      <c r="DX17">
        <f>SUMPRODUCT(--('Данные 1st'!$S$2:$S$317=$A17),--ISNUMBER('Данные 1st'!$IA$2:$IA$317))</f>
        <v>5</v>
      </c>
      <c r="DY17">
        <f>SUMPRODUCT(--('Данные 1st'!$S$2:$S$317=$A17),--ISNUMBER('Данные 1st'!$IB$2:$IB$317))</f>
        <v>5</v>
      </c>
      <c r="DZ17">
        <f>SUMPRODUCT(--('Данные 1st'!$S$2:$S$317=$A17),--ISNUMBER('Данные 1st'!$IC$2:$IC$317))</f>
        <v>5</v>
      </c>
      <c r="EA17">
        <f>SUMPRODUCT(--('Данные 1st'!$S$2:$S$317=$A17),--ISNUMBER('Данные 1st'!$ID$2:$ID$317))</f>
        <v>5</v>
      </c>
      <c r="EB17">
        <f>SUMPRODUCT(--('Данные 1st'!$S$2:$S$317=$A17),--ISNUMBER('Данные 1st'!$IE$2:$IE$317))</f>
        <v>5</v>
      </c>
      <c r="EC17">
        <f>SUMPRODUCT(--('Данные 1st'!$S$2:$S$317=$A17),--ISNUMBER('Данные 1st'!$IF$2:$IF$317))</f>
        <v>5</v>
      </c>
      <c r="ED17">
        <f>SUMPRODUCT(--('Данные 1st'!$S$2:$S$317=$A17),--ISNUMBER('Данные 1st'!$IP$2:$IP$317))</f>
        <v>5</v>
      </c>
      <c r="EE17">
        <f>SUMPRODUCT(--('Данные 1st'!$S$2:$S$317=$A17),--ISNUMBER('Данные 1st'!$IV$2:$IV$317))</f>
        <v>5</v>
      </c>
      <c r="EF17">
        <f>SUMPRODUCT(--('Данные 1st'!$S$2:$S$317=$A17),--ISNUMBER('Данные 1st'!$IW$2:$IW$317))</f>
        <v>5</v>
      </c>
      <c r="EG17">
        <f>SUMPRODUCT(--('Данные 1st'!$S$2:$S$317=$A17),--ISNUMBER('Данные 1st'!$IX$2:$IX$317))</f>
        <v>0</v>
      </c>
      <c r="EH17">
        <f>SUMPRODUCT(--('Данные 1st'!$S$2:$S$317=$A17),--ISNUMBER('Данные 1st'!$IY$2:$IY$317))</f>
        <v>0</v>
      </c>
      <c r="EI17">
        <f>SUMPRODUCT(--('Данные 1st'!$S$2:$S$317=$A17),--ISNUMBER('Данные 1st'!$JD$2:$JD$317))</f>
        <v>5</v>
      </c>
      <c r="EJ17">
        <f>SUMPRODUCT(--('Данные 1st'!$S$2:$S$317=$A17),--ISNUMBER('Данные 1st'!$JE$2:$JE$317))</f>
        <v>5</v>
      </c>
      <c r="EK17">
        <f>SUMPRODUCT(--('Данные 1st'!$S$2:$S$317=$A17),--ISNUMBER('Данные 1st'!$JF$2:$JF$317))</f>
        <v>5</v>
      </c>
      <c r="EL17">
        <f>SUMPRODUCT(--('Данные 1st'!$S$2:$S$317=$A17),--ISNUMBER('Данные 1st'!$JG$2:$JG$317))</f>
        <v>5</v>
      </c>
      <c r="EM17">
        <f>SUMPRODUCT(--('Данные 1st'!$S$2:$S$317=$A17),--ISNUMBER('Данные 1st'!$JH$2:$JH$317))</f>
        <v>5</v>
      </c>
      <c r="EN17">
        <f>SUMPRODUCT(--('Данные 1st'!$S$2:$S$317=$A17),--ISNUMBER('Данные 1st'!$JJ$2:$JJ$317))</f>
        <v>5</v>
      </c>
      <c r="EO17">
        <f>SUMPRODUCT(--('Данные 1st'!$S$2:$S$317=$A17),--ISNUMBER('Данные 1st'!$JK$2:$JK$317))</f>
        <v>5</v>
      </c>
      <c r="EP17">
        <f>SUMPRODUCT(--('Данные 1st'!$S$2:$S$317=$A17),--ISNUMBER('Данные 1st'!$JL$2:$JL$317))</f>
        <v>0</v>
      </c>
      <c r="EQ17">
        <f>SUMPRODUCT(--('Данные 1st'!$S$2:$S$317=$A17),--ISNUMBER('Данные 1st'!$JM$2:$JM$317))</f>
        <v>0</v>
      </c>
      <c r="ER17">
        <f>SUMPRODUCT(--('Данные 1st'!$S$2:$S$317=$A17),--ISNUMBER('Данные 1st'!$JN$2:$JN$317))</f>
        <v>5</v>
      </c>
      <c r="ES17">
        <f>SUMPRODUCT(--('Данные 1st'!$S$2:$S$317=$A17),--ISNUMBER('Данные 1st'!$JO$2:$JO$317))</f>
        <v>5</v>
      </c>
      <c r="ET17">
        <f>SUMPRODUCT(--('Данные 1st'!$S$2:$S$317=$A17),--ISNUMBER('Данные 1st'!$JP$2:$JP$317))</f>
        <v>5</v>
      </c>
      <c r="EU17">
        <f>SUMPRODUCT(--('Данные 1st'!$S$2:$S$317=$A17),--ISNUMBER('Данные 1st'!$JQ$2:$JQ$317))</f>
        <v>5</v>
      </c>
      <c r="EV17">
        <f>SUMPRODUCT(--('Данные 1st'!$S$2:$S$317=$A17),--ISNUMBER('Данные 1st'!$JR$2:$JR$317))</f>
        <v>5</v>
      </c>
      <c r="EW17">
        <f>SUMPRODUCT(--('Данные 1st'!$S$2:$S$317=$A17),--ISNUMBER('Данные 1st'!$JS$2:$JS$317))</f>
        <v>5</v>
      </c>
      <c r="EX17">
        <f>SUMPRODUCT(--('Данные 1st'!$S$2:$S$317=$A17),--ISNUMBER('Данные 1st'!$JT$2:$JT$317))</f>
        <v>0</v>
      </c>
      <c r="EY17">
        <f>SUMPRODUCT(--('Данные 1st'!$S$2:$S$317=$A17),--ISNUMBER('Данные 1st'!$JU$2:$JU$317))</f>
        <v>0</v>
      </c>
      <c r="EZ17">
        <f>SUMPRODUCT(--('Данные 1st'!$S$2:$S$317=$A17),--ISNUMBER('Данные 1st'!$JV$2:$JV$317))</f>
        <v>5</v>
      </c>
      <c r="FA17">
        <f>SUMPRODUCT(--('Данные 1st'!$S$2:$S$317=$A17),--ISNUMBER('Данные 1st'!$JW$2:$JW$317))</f>
        <v>0</v>
      </c>
      <c r="FB17">
        <f>SUMPRODUCT(--('Данные 1st'!$S$2:$S$317=$A17),--ISNUMBER('Данные 1st'!$JX$2:$JX$317))</f>
        <v>5</v>
      </c>
      <c r="FC17">
        <f>SUMPRODUCT(--('Данные 1st'!$S$2:$S$317=$A17),--ISNUMBER('Данные 1st'!$JY$2:$JY$317))</f>
        <v>0</v>
      </c>
      <c r="FD17">
        <f>SUMPRODUCT(--('Данные 1st'!$S$2:$S$317=$A17),--ISNUMBER('Данные 1st'!$JZ$2:$JZ$317))</f>
        <v>0</v>
      </c>
      <c r="FE17">
        <f>SUMPRODUCT(--('Данные 1st'!$S$2:$S$317=$A17),--ISNUMBER('Данные 1st'!$KA$2:$KA$317))</f>
        <v>5</v>
      </c>
      <c r="FF17">
        <f>SUMPRODUCT(--('Данные 1st'!$S$2:$S$317=$A17),--ISNUMBER('Данные 1st'!$KB$2:$KB$317))</f>
        <v>5</v>
      </c>
      <c r="FG17">
        <f>SUMPRODUCT(--('Данные 1st'!$S$2:$S$317=$A17),--ISNUMBER('Данные 1st'!$KC$2:$KC$317))</f>
        <v>5</v>
      </c>
      <c r="FH17">
        <f>SUMPRODUCT(--('Данные 1st'!$S$2:$S$317=$A17),--ISNUMBER('Данные 1st'!$KD$2:$KD$317))</f>
        <v>5</v>
      </c>
      <c r="FI17">
        <f>SUMPRODUCT(--('Данные 1st'!$S$2:$S$317=$A17),--ISNUMBER('Данные 1st'!$KE$2:$KE$317))</f>
        <v>0</v>
      </c>
      <c r="FJ17">
        <f>SUMPRODUCT(--('Данные 1st'!$S$2:$S$317=$A17),--ISNUMBER('Данные 1st'!$KF$2:$KF$317))</f>
        <v>5</v>
      </c>
      <c r="FK17">
        <f>SUMPRODUCT(--('Данные 1st'!$S$2:$S$317=$A17),--ISNUMBER('Данные 1st'!$KG$2:$KG$317))</f>
        <v>5</v>
      </c>
      <c r="FL17">
        <f>SUMPRODUCT(--('Данные 1st'!$S$2:$S$317=$A17),--ISNUMBER('Данные 1st'!$KH$2:$KH$317))</f>
        <v>5</v>
      </c>
      <c r="FM17">
        <f>SUMPRODUCT(--('Данные 1st'!$S$2:$S$317=$A17),--ISNUMBER('Данные 1st'!$KI$2:$KI$317))</f>
        <v>5</v>
      </c>
      <c r="FN17">
        <f>SUMPRODUCT(--('Данные 1st'!$S$2:$S$317=$A17),--ISNUMBER('Данные 1st'!$KJ$2:$KJ$317))</f>
        <v>5</v>
      </c>
      <c r="FO17">
        <f>SUMPRODUCT(--('Данные 1st'!$S$2:$S$317=$A17),--ISNUMBER('Данные 1st'!$KK$2:$KK$317))</f>
        <v>5</v>
      </c>
      <c r="FP17">
        <f>SUMPRODUCT(--('Данные 1st'!$S$2:$S$317=$A17),--ISNUMBER('Данные 1st'!$KL$2:$KL$317))</f>
        <v>5</v>
      </c>
      <c r="FQ17">
        <f>SUMPRODUCT(--('Данные 1st'!$S$2:$S$317=$A17),--ISNUMBER('Данные 1st'!$KM$2:$KM$317))</f>
        <v>5</v>
      </c>
      <c r="FR17">
        <f>SUMPRODUCT(--('Данные 1st'!$S$2:$S$317=$A17),--ISNUMBER('Данные 1st'!$KN$2:$KN$317))</f>
        <v>5</v>
      </c>
      <c r="FS17">
        <f>SUMPRODUCT(--('Данные 1st'!$S$2:$S$317=$A17),--ISNUMBER('Данные 1st'!$KR$2:$KR$317))</f>
        <v>5</v>
      </c>
      <c r="FT17">
        <f>SUMPRODUCT(--('Данные 1st'!$S$2:$S$317=$A17),--ISNUMBER('Данные 1st'!$KS$2:$KS$317))</f>
        <v>5</v>
      </c>
      <c r="FU17">
        <f>SUMPRODUCT(--('Данные 1st'!$S$2:$S$317=$A17),--ISNUMBER('Данные 1st'!$KT$2:$KT$317))</f>
        <v>5</v>
      </c>
      <c r="FV17">
        <f>SUMPRODUCT(--('Данные 1st'!$S$2:$S$317=$A17),--ISNUMBER('Данные 1st'!$KV$2:$KV$317))</f>
        <v>0</v>
      </c>
      <c r="FW17">
        <f>SUMPRODUCT(--('Данные 1st'!$S$2:$S$317=$A17),--ISNUMBER('Данные 1st'!$KW$2:$KW$317))</f>
        <v>0</v>
      </c>
      <c r="FX17">
        <f>SUMPRODUCT(--('Данные 1st'!$S$2:$S$317=$A17),--ISNUMBER('Данные 1st'!$KX$2:$KX$317))</f>
        <v>0</v>
      </c>
      <c r="FY17">
        <f>SUMPRODUCT(--('Данные 1st'!$S$2:$S$317=$A17),--ISNUMBER('Данные 1st'!$KY$2:$KY$317))</f>
        <v>0</v>
      </c>
      <c r="FZ17">
        <f>SUMPRODUCT(--('Данные 1st'!$S$2:$S$317=$A17),--ISNUMBER('Данные 1st'!$KZ$2:$KZ$317))</f>
        <v>0</v>
      </c>
      <c r="GA17">
        <f>SUMPRODUCT(--('Данные 1st'!$S$2:$S$317=$A17),--ISNUMBER('Данные 1st'!$LA$2:$LA$317))</f>
        <v>0</v>
      </c>
      <c r="GB17">
        <f>SUMPRODUCT(--('Данные 1st'!$S$2:$S$317=$A17),--ISNUMBER('Данные 1st'!$LB$2:$LB$317))</f>
        <v>0</v>
      </c>
      <c r="GC17">
        <f>SUMPRODUCT(--('Данные 1st'!$S$2:$S$317=$A17),--ISNUMBER('Данные 1st'!$LC$2:$LC$317))</f>
        <v>0</v>
      </c>
      <c r="GD17">
        <f>SUMPRODUCT(--('Данные 1st'!$S$2:$S$317=$A17),--ISNUMBER('Данные 1st'!$LD$2:$LD$317))</f>
        <v>0</v>
      </c>
      <c r="GE17">
        <f>SUMPRODUCT(--('Данные 1st'!$S$2:$S$317=$A17),--ISNUMBER('Данные 1st'!$LE$2:$LE$317))</f>
        <v>0</v>
      </c>
      <c r="GF17">
        <f>SUMPRODUCT(--('Данные 1st'!$S$2:$S$317=$A17),--ISNUMBER('Данные 1st'!$LF$2:$LF$317))</f>
        <v>0</v>
      </c>
      <c r="GG17">
        <f>SUMPRODUCT(--('Данные 1st'!$S$2:$S$317=$A17),--ISNUMBER('Данные 1st'!$LG$2:$LG$317))</f>
        <v>0</v>
      </c>
      <c r="GH17">
        <f>SUMPRODUCT(--('Данные 1st'!$S$2:$S$317=$A17),--ISNUMBER('Данные 1st'!$LH$2:$LH$317))</f>
        <v>0</v>
      </c>
      <c r="GI17">
        <f>SUMPRODUCT(--('Данные 1st'!$S$2:$S$317=$A17),--ISNUMBER('Данные 1st'!$LI$2:$LI$317))</f>
        <v>0</v>
      </c>
      <c r="GJ17">
        <f>SUMPRODUCT(--('Данные 1st'!$S$2:$S$317=$A17),--ISNUMBER('Данные 1st'!$LJ$2:$LJ$317))</f>
        <v>0</v>
      </c>
      <c r="GK17">
        <f>SUMPRODUCT(--('Данные 1st'!$S$2:$S$317=$A17),--ISNUMBER('Данные 1st'!$LK$2:$LK$317))</f>
        <v>5</v>
      </c>
      <c r="GL17">
        <f>SUMPRODUCT(--('Данные 1st'!$S$2:$S$317=$A17),--ISNUMBER('Данные 1st'!$LV$2:$LV$317))</f>
        <v>0</v>
      </c>
      <c r="GM17">
        <f>SUMPRODUCT(--('Данные 1st'!$S$2:$S$317=$A17),--ISNUMBER('Данные 1st'!$LW$2:$LW$317))</f>
        <v>0</v>
      </c>
      <c r="GN17">
        <f>SUMPRODUCT(--('Данные 1st'!$S$2:$S$317=$A17),--ISNUMBER('Данные 1st'!$LX$2:$LX$317))</f>
        <v>0</v>
      </c>
      <c r="GO17">
        <f>SUMPRODUCT(--('Данные 1st'!$S$2:$S$317=$A17),--ISNUMBER('Данные 1st'!$LY$2:$LY$317))</f>
        <v>0</v>
      </c>
      <c r="GP17">
        <f>SUMPRODUCT(--('Данные 1st'!$S$2:$S$317=$A17),--ISNUMBER('Данные 1st'!$LZ$2:$LZ$317))</f>
        <v>0</v>
      </c>
      <c r="GQ17">
        <f>SUMPRODUCT(--('Данные 1st'!$S$2:$S$317=$A17),--ISNUMBER('Данные 1st'!$PG$2:$PG$317))</f>
        <v>5</v>
      </c>
      <c r="GR17">
        <f>SUMPRODUCT(--('Данные 1st'!$S$2:$S$317=$A17),--ISNUMBER('Данные 1st'!$PX$2:$PX$317))</f>
        <v>5</v>
      </c>
      <c r="GS17">
        <f>SUMPRODUCT(--('Данные 1st'!$S$2:$S$317=$A17),--ISNUMBER('Данные 1st'!$PY$2:$PY$317))</f>
        <v>5</v>
      </c>
      <c r="GT17">
        <f>SUMPRODUCT(--('Данные 1st'!$S$2:$S$317=$A17),--ISNUMBER('Данные 1st'!$QA$2:$QA$317))</f>
        <v>5</v>
      </c>
      <c r="GU17">
        <f>SUMPRODUCT(--('Данные 1st'!$S$2:$S$317=$A17),--ISNUMBER('Данные 1st'!$QB$2:$QB$317))</f>
        <v>5</v>
      </c>
      <c r="GV17">
        <f>SUMPRODUCT(--('Данные 1st'!$S$2:$S$317=$A17),--ISNUMBER('Данные 1st'!$QC$2:$QC$317))</f>
        <v>5</v>
      </c>
      <c r="GW17">
        <f>SUMPRODUCT(--('Данные 1st'!$S$2:$S$317=$A17),--ISNUMBER('Данные 1st'!$QD$2:$QD$317))</f>
        <v>5</v>
      </c>
      <c r="GX17">
        <f>SUMPRODUCT(--('Данные 1st'!$S$2:$S$317=$A17),--ISNUMBER('Данные 1st'!$QF$2:$QF$317))</f>
        <v>5</v>
      </c>
      <c r="GY17">
        <f>SUMPRODUCT(--('Данные 1st'!$S$2:$S$317=$A17),--ISNUMBER('Данные 1st'!$QG$2:$QG$317))</f>
        <v>5</v>
      </c>
      <c r="GZ17">
        <f>SUMPRODUCT(--('Данные 1st'!$S$2:$S$317=$A17),--ISNUMBER('Данные 1st'!$QH$2:$QH$317))</f>
        <v>5</v>
      </c>
      <c r="HA17">
        <f>SUMPRODUCT(--('Данные 1st'!$S$2:$S$317=$A17),--ISNUMBER('Данные 1st'!$QI$2:$QI$317))</f>
        <v>5</v>
      </c>
      <c r="HB17">
        <f>SUMPRODUCT(--('Данные 1st'!$S$2:$S$317=$A17),--ISNUMBER('Данные 1st'!$QK$2:$QK$317))</f>
        <v>1</v>
      </c>
      <c r="HC17">
        <f>SUMPRODUCT(--('Данные 1st'!$S$2:$S$317=$A17),--ISNUMBER('Данные 1st'!$QL$2:$QL$317))</f>
        <v>5</v>
      </c>
      <c r="HD17">
        <f>SUMPRODUCT(--('Данные 1st'!$S$2:$S$317=$A17),--ISNUMBER('Данные 1st'!$QM$2:$QM$317))</f>
        <v>5</v>
      </c>
      <c r="HE17">
        <f>SUMPRODUCT(--('Данные 1st'!$S$2:$S$317=$A17),--ISNUMBER('Данные 1st'!$QN$2:$QN$317))</f>
        <v>5</v>
      </c>
      <c r="HF17">
        <f>SUMPRODUCT(--('Данные 1st'!$S$2:$S$317=$A17),--ISNUMBER('Данные 1st'!$QP$2:$QP$317))</f>
        <v>5</v>
      </c>
      <c r="HG17">
        <f>SUMPRODUCT(--('Данные 1st'!$S$2:$S$317=$A17),--ISNUMBER('Данные 1st'!$QQ$2:$QQ$317))</f>
        <v>5</v>
      </c>
      <c r="HH17">
        <f>SUMPRODUCT(--('Данные 1st'!$S$2:$S$317=$A17),--ISNUMBER('Данные 1st'!$QR$2:$QR$317))</f>
        <v>0</v>
      </c>
      <c r="HI17">
        <f>SUMPRODUCT(--('Данные 1st'!$S$2:$S$317=$A17),--ISNUMBER('Данные 1st'!$QS$2:$QS$317))</f>
        <v>0</v>
      </c>
      <c r="HJ17">
        <f>SUMPRODUCT(--('Данные 1st'!$S$2:$S$317=$A17),--ISNUMBER('Данные 1st'!$QU$2:$QU$317))</f>
        <v>0</v>
      </c>
      <c r="HK17">
        <f>SUMPRODUCT(--('Данные 1st'!$S$2:$S$317=$A17),--ISNUMBER('Данные 1st'!$QV$2:$QV$317))</f>
        <v>0</v>
      </c>
      <c r="HL17">
        <f>SUMPRODUCT(--('Данные 1st'!$S$2:$S$317=$A17),--ISNUMBER('Данные 1st'!$QW$2:$QW$317))</f>
        <v>5</v>
      </c>
      <c r="HM17">
        <f>SUMPRODUCT(--('Данные 1st'!$S$2:$S$317=$A17),--ISNUMBER('Данные 1st'!$QX$2:$QX$317))</f>
        <v>5</v>
      </c>
      <c r="HN17">
        <f>SUMPRODUCT(--('Данные 1st'!$S$2:$S$317=$A17),--ISNUMBER('Данные 1st'!$QZ$2:$QZ$317))</f>
        <v>5</v>
      </c>
      <c r="HO17">
        <f>SUMPRODUCT(--('Данные 1st'!$S$2:$S$317=$A17),--ISNUMBER('Данные 1st'!$RA$2:$RA$317))</f>
        <v>5</v>
      </c>
      <c r="HP17">
        <f>SUMPRODUCT(--('Данные 1st'!$S$2:$S$317=$A17),--ISNUMBER('Данные 1st'!$RB$2:$RB$317))</f>
        <v>5</v>
      </c>
      <c r="HQ17">
        <f>SUMPRODUCT(--('Данные 1st'!$S$2:$S$317=$A17),--ISNUMBER('Данные 1st'!$RD$2:$RD$317))</f>
        <v>0</v>
      </c>
      <c r="HR17">
        <f>SUMPRODUCT(--('Данные 1st'!$S$2:$S$317=$A17),--ISNUMBER('Данные 1st'!$RE$2:$RE$317))</f>
        <v>5</v>
      </c>
      <c r="HS17">
        <f>SUMPRODUCT(--('Данные 1st'!$S$2:$S$317=$A17),--ISNUMBER('Данные 1st'!$RF$2:$RF$317))</f>
        <v>5</v>
      </c>
      <c r="HT17">
        <f>SUMPRODUCT(--('Данные 1st'!$S$2:$S$317=$A17),--ISNUMBER('Данные 1st'!$RG$2:$RG$317))</f>
        <v>0</v>
      </c>
      <c r="HU17">
        <f>SUMPRODUCT(--('Данные 1st'!$S$2:$S$317=$A17),--ISNUMBER('Данные 1st'!$RH$2:$RH$317))</f>
        <v>0</v>
      </c>
      <c r="HV17">
        <f>SUMPRODUCT(--('Данные 1st'!$S$2:$S$317=$A17),--ISNUMBER('Данные 1st'!$RI$2:$RI$317))</f>
        <v>0</v>
      </c>
      <c r="HW17">
        <f>SUMPRODUCT(--('Данные 1st'!$S$2:$S$317=$A17),--ISNUMBER('Данные 1st'!$RJ$2:$RJ$317))</f>
        <v>5</v>
      </c>
      <c r="HX17">
        <f>SUMPRODUCT(--('Данные 1st'!$S$2:$S$317=$A17),--ISNUMBER('Данные 1st'!$RK$2:$RK$317))</f>
        <v>1</v>
      </c>
      <c r="HY17">
        <f>SUMPRODUCT(--('Данные 1st'!$S$2:$S$317=$A17),--ISNUMBER('Данные 1st'!$RL$2:$RL$317))</f>
        <v>5</v>
      </c>
      <c r="HZ17">
        <f>SUMPRODUCT(--('Данные 1st'!$S$2:$S$317=$A17),--ISNUMBER('Данные 1st'!$RM$2:$RM$317))</f>
        <v>0</v>
      </c>
      <c r="IA17">
        <f>SUMPRODUCT(--('Данные 1st'!$S$2:$S$317=$A17),--ISNUMBER('Данные 1st'!$RN$2:$RN$317))</f>
        <v>0</v>
      </c>
      <c r="IB17">
        <f>SUMPRODUCT(--('Данные 1st'!$S$2:$S$317=$A17),--ISNUMBER('Данные 1st'!$RO$2:$RO$317))</f>
        <v>5</v>
      </c>
      <c r="IC17">
        <f>SUMPRODUCT(--('Данные 1st'!$S$2:$S$317=$A17),--ISNUMBER('Данные 1st'!$RP$2:$RP$317))</f>
        <v>1</v>
      </c>
      <c r="ID17">
        <f>SUMPRODUCT(--('Данные 1st'!$S$2:$S$317=$A17),--ISNUMBER('Данные 1st'!$RQ$2:$RQ$317))</f>
        <v>5</v>
      </c>
      <c r="IE17">
        <f>SUMPRODUCT(--('Данные 1st'!$S$2:$S$317=$A17),--ISNUMBER('Данные 1st'!$RR$2:$RR$317))</f>
        <v>0</v>
      </c>
      <c r="IF17">
        <f>SUMPRODUCT(--('Данные 1st'!$S$2:$S$317=$A17),--ISNUMBER('Данные 1st'!$RS$2:$RS$317))</f>
        <v>0</v>
      </c>
      <c r="IG17">
        <f>SUMPRODUCT(--('Данные 1st'!$S$2:$S$317=$A17),--ISNUMBER('Данные 1st'!$RT$2:$RT$317))</f>
        <v>5</v>
      </c>
      <c r="IH17">
        <f>SUMPRODUCT(--('Данные 1st'!$S$2:$S$317=$A17),--ISNUMBER('Данные 1st'!$RU$2:$RU$317))</f>
        <v>5</v>
      </c>
      <c r="II17">
        <f>SUMPRODUCT(--('Данные 1st'!$S$2:$S$317=$A17),--ISNUMBER('Данные 1st'!$RX$2:$RX$317))</f>
        <v>5</v>
      </c>
      <c r="IJ17">
        <f>SUMPRODUCT(--('Данные 1st'!$S$2:$S$317=$A17),--ISNUMBER('Данные 1st'!$RY$2:$RY$317))</f>
        <v>5</v>
      </c>
      <c r="IK17">
        <f>SUMPRODUCT(--('Данные 1st'!$S$2:$S$317=$A17),--ISNUMBER('Данные 1st'!$SA$2:$SA$317))</f>
        <v>5</v>
      </c>
      <c r="IL17">
        <f>SUMPRODUCT(--('Данные 1st'!$S$2:$S$317=$A17),--ISNUMBER('Данные 1st'!$SD$2:$SD$317))</f>
        <v>5</v>
      </c>
      <c r="IM17">
        <f>SUMPRODUCT(--('Данные 1st'!$S$2:$S$317=$A17),--ISNUMBER('Данные 1st'!$SG$2:$SG$317))</f>
        <v>0</v>
      </c>
      <c r="IN17">
        <f>SUMPRODUCT(--('Данные 1st'!$S$2:$S$317=$A17),--ISNUMBER('Данные 1st'!$SH$2:$SH$317))</f>
        <v>5</v>
      </c>
      <c r="IO17">
        <f>SUMPRODUCT(--('Данные 1st'!$S$2:$S$317=$A17),--ISNUMBER('Данные 1st'!$SI$2:$SI$317))</f>
        <v>5</v>
      </c>
      <c r="IP17">
        <f>SUMPRODUCT(--('Данные 1st'!$S$2:$S$317=$A17),--ISNUMBER('Данные 1st'!$SJ$2:$SJ$317))</f>
        <v>5</v>
      </c>
      <c r="IQ17">
        <f>SUMPRODUCT(--('Данные 1st'!$S$2:$S$317=$A17),--ISNUMBER('Данные 1st'!$SK$2:$SK$317))</f>
        <v>5</v>
      </c>
      <c r="IR17">
        <f>SUMPRODUCT(--('Данные 1st'!$S$2:$S$317=$A17),--ISNUMBER('Данные 1st'!$SL$2:$SL$317))</f>
        <v>5</v>
      </c>
      <c r="IS17">
        <f>SUMPRODUCT(--('Данные 1st'!$S$2:$S$317=$A17),--ISNUMBER('Данные 1st'!$SM$2:$SM$317))</f>
        <v>5</v>
      </c>
      <c r="IT17">
        <f>SUMPRODUCT(--('Данные 1st'!$S$2:$S$317=$A17),--ISNUMBER('Данные 1st'!$SN$2:$SN$317))</f>
        <v>5</v>
      </c>
      <c r="IU17">
        <f>SUMPRODUCT(--('Данные 1st'!$S$2:$S$317=$A17),--ISNUMBER('Данные 1st'!$SO$2:$SO$317))</f>
        <v>5</v>
      </c>
      <c r="IV17">
        <f>SUMPRODUCT(--('Данные 1st'!$S$2:$S$317=$A17),--ISNUMBER('Данные 1st'!$SP$2:$SP$317))</f>
        <v>5</v>
      </c>
      <c r="IW17">
        <f>SUMPRODUCT(--('Данные 1st'!$S$2:$S$317=$A17),--ISNUMBER('Данные 1st'!$SQ$2:$SQ$317))</f>
        <v>5</v>
      </c>
      <c r="IX17">
        <f>SUMPRODUCT(--('Данные 1st'!$S$2:$S$317=$A17),--ISNUMBER('Данные 1st'!$SR$2:$SR$317))</f>
        <v>5</v>
      </c>
      <c r="IY17">
        <f>SUMPRODUCT(--('Данные 1st'!$S$2:$S$317=$A17),--ISNUMBER('Данные 1st'!$SS$2:$SS$317))</f>
        <v>5</v>
      </c>
      <c r="IZ17">
        <f>SUMPRODUCT(--('Данные 1st'!$S$2:$S$317=$A17),--ISNUMBER('Данные 1st'!$ST$2:$ST$317))</f>
        <v>5</v>
      </c>
      <c r="JA17">
        <f>SUMPRODUCT(--('Данные 1st'!$S$2:$S$317=$A17),--ISNUMBER('Данные 1st'!$SU$2:$SU$317))</f>
        <v>5</v>
      </c>
      <c r="JB17">
        <f>SUMPRODUCT(--('Данные 1st'!$S$2:$S$317=$A17),--ISNUMBER('Данные 1st'!$SV$2:$SV$317))</f>
        <v>5</v>
      </c>
      <c r="JC17">
        <f>SUMPRODUCT(--('Данные 1st'!$S$2:$S$317=$A17),--ISNUMBER('Данные 1st'!$SW$2:$SW$317))</f>
        <v>5</v>
      </c>
      <c r="JD17">
        <f>SUMPRODUCT(--('Данные 1st'!$S$2:$S$317=$A17),--ISNUMBER('Данные 1st'!$SX$2:$SX$317))</f>
        <v>5</v>
      </c>
      <c r="JE17">
        <f>SUMPRODUCT(--('Данные 1st'!$S$2:$S$317=$A17),--ISNUMBER('Данные 1st'!$SY$2:$SY$317))</f>
        <v>1</v>
      </c>
      <c r="JF17">
        <f>SUMPRODUCT(--('Данные 1st'!$S$2:$S$317=$A17),--ISNUMBER('Данные 1st'!$SZ$2:$SZ$317))</f>
        <v>0</v>
      </c>
      <c r="JG17">
        <f>SUMPRODUCT(--('Данные 1st'!$S$2:$S$317=$A17),--ISNUMBER('Данные 1st'!$TA$2:$TA$317))</f>
        <v>0</v>
      </c>
      <c r="JH17">
        <f>SUMPRODUCT(--('Данные 1st'!$S$2:$S$317=$A17),--ISNUMBER('Данные 1st'!$TB$2:$TB$317))</f>
        <v>5</v>
      </c>
      <c r="JI17">
        <f>SUMPRODUCT(--('Данные 1st'!$S$2:$S$317=$A17),--ISNUMBER('Данные 1st'!$TC$2:$TC$317))</f>
        <v>5</v>
      </c>
      <c r="JJ17">
        <f>SUMPRODUCT(--('Данные 1st'!$S$2:$S$317=$A17),--ISNUMBER('Данные 1st'!$TD$2:$TD$317))</f>
        <v>5</v>
      </c>
      <c r="JK17">
        <f>SUMPRODUCT(--('Данные 1st'!$S$2:$S$317=$A17),--ISNUMBER('Данные 1st'!$TN$2:$TN$317))</f>
        <v>5</v>
      </c>
      <c r="JQ17">
        <f>SUMPRODUCT(--('Данные 2st'!$Q$2:$Q$317=$A17),--ISNUMBER('Данные 2st'!$AC$2:$AC$317))</f>
        <v>5</v>
      </c>
      <c r="JR17">
        <f>SUMPRODUCT(--('Данные 2st'!$Q$2:$Q$317=$A17),--ISNUMBER('Данные 2st'!$AF$2:$AF$317))</f>
        <v>5</v>
      </c>
      <c r="JS17">
        <f>SUMPRODUCT(--('Данные 2st'!$Q$2:$Q$317=$A17),--ISNUMBER('Данные 2st'!$AW$2:$AW$317))</f>
        <v>5</v>
      </c>
      <c r="JT17">
        <f>SUMPRODUCT(--('Данные 2st'!$Q$2:$Q$317=$A17),--ISNUMBER('Данные 2st'!$AX$2:$AX$317))</f>
        <v>5</v>
      </c>
      <c r="JU17">
        <f>SUMPRODUCT(--('Данные 2st'!$Q$2:$Q$317=$A17),--ISNUMBER('Данные 2st'!$AY$2:$AY$317))</f>
        <v>5</v>
      </c>
      <c r="JV17">
        <f>SUMPRODUCT(--('Данные 2st'!$Q$2:$Q$317=$A17),--ISNUMBER('Данные 2st'!$AZ$2:$AZ$317))</f>
        <v>5</v>
      </c>
      <c r="JW17">
        <f>SUMPRODUCT(--('Данные 2st'!$Q$2:$Q$317=$A17),--ISNUMBER('Данные 2st'!$BA$2:$BA$317))</f>
        <v>0</v>
      </c>
      <c r="JX17">
        <f>SUMPRODUCT(--('Данные 2st'!$Q$2:$Q$317=$A17),--ISNUMBER('Данные 2st'!$BB$2:$BB$317))</f>
        <v>0</v>
      </c>
      <c r="JY17">
        <f>SUMPRODUCT(--('Данные 2st'!$Q$2:$Q$317=$A17),--ISNUMBER('Данные 2st'!$BC$2:$BC$317))</f>
        <v>0</v>
      </c>
      <c r="JZ17">
        <f>SUMPRODUCT(--('Данные 2st'!$Q$2:$Q$317=$A17),--ISNUMBER('Данные 2st'!$BH$2:$BH$317))</f>
        <v>5</v>
      </c>
      <c r="KA17">
        <f>SUMPRODUCT(--('Данные 2st'!$Q$2:$Q$317=$A17),--ISNUMBER('Данные 2st'!$BI$2:$BI$317))</f>
        <v>5</v>
      </c>
      <c r="KB17">
        <f>SUMPRODUCT(--('Данные 2st'!$Q$2:$Q$317=$A17),--ISNUMBER('Данные 2st'!$BJ$2:$BJ$317))</f>
        <v>5</v>
      </c>
      <c r="KC17">
        <f>SUMPRODUCT(--('Данные 2st'!$Q$2:$Q$317=$A17),--ISNUMBER('Данные 2st'!$BK$2:$BK$317))</f>
        <v>5</v>
      </c>
      <c r="KD17">
        <f>SUMPRODUCT(--('Данные 2st'!$Q$2:$Q$317=$A17),--ISNUMBER('Данные 2st'!$BL$2:$BL$317))</f>
        <v>5</v>
      </c>
      <c r="KE17">
        <f>SUMPRODUCT(--('Данные 2st'!$Q$2:$Q$317=$A17),--ISNUMBER('Данные 2st'!$BM$2:$BM$317))</f>
        <v>5</v>
      </c>
      <c r="KF17">
        <f>SUMPRODUCT(--('Данные 2st'!$Q$2:$Q$317=$A17),--ISNUMBER('Данные 2st'!$BN$2:$BN$317))</f>
        <v>5</v>
      </c>
      <c r="KG17">
        <f>SUMPRODUCT(--('Данные 2st'!$Q$2:$Q$317=$A17),--ISNUMBER('Данные 2st'!$BO$2:$BO$317))</f>
        <v>0</v>
      </c>
      <c r="KH17">
        <f>SUMPRODUCT(--('Данные 2st'!$Q$2:$Q$317=$A17),--ISNUMBER('Данные 2st'!$BP$2:$BP$317))</f>
        <v>5</v>
      </c>
      <c r="KI17">
        <f>SUMPRODUCT(--('Данные 2st'!$Q$2:$Q$317=$A17),--ISNUMBER('Данные 2st'!$BR$2:$BR$317))</f>
        <v>5</v>
      </c>
      <c r="KJ17">
        <f>SUMPRODUCT(--('Данные 2st'!$Q$2:$Q$317=$A17),--ISNUMBER('Данные 2st'!$BS$2:$BS$317))</f>
        <v>5</v>
      </c>
      <c r="KK17">
        <f>SUMPRODUCT(--('Данные 2st'!$Q$2:$Q$317=$A17),--ISNUMBER('Данные 2st'!$BT$2:$BT$317))</f>
        <v>5</v>
      </c>
      <c r="KL17">
        <f>SUMPRODUCT(--('Данные 2st'!$Q$2:$Q$317=$A17),--ISNUMBER('Данные 2st'!$CV$2:$CV$317))</f>
        <v>5</v>
      </c>
      <c r="KM17">
        <f>SUMPRODUCT(--('Данные 2st'!$Q$2:$Q$317=$A17),--ISNUMBER('Данные 2st'!$CW$2:$CW$317))</f>
        <v>5</v>
      </c>
      <c r="KN17">
        <f>SUMPRODUCT(--('Данные 2st'!$Q$2:$Q$317=$A17),--ISNUMBER('Данные 2st'!$CX$2:$CX$317))</f>
        <v>5</v>
      </c>
      <c r="KO17">
        <f>SUMPRODUCT(--('Данные 2st'!$Q$2:$Q$317=$A17),--ISNUMBER('Данные 2st'!$CY$2:$CY$317))</f>
        <v>5</v>
      </c>
      <c r="KP17">
        <f>SUMPRODUCT(--('Данные 2st'!$Q$2:$Q$317=$A17),--ISNUMBER('Данные 2st'!$CZ$2:$CZ$317))</f>
        <v>5</v>
      </c>
      <c r="KQ17">
        <f>SUMPRODUCT(--('Данные 2st'!$Q$2:$Q$317=$A17),--ISNUMBER('Данные 2st'!$DA$2:$DA$317))</f>
        <v>5</v>
      </c>
      <c r="KR17">
        <f>SUMPRODUCT(--('Данные 2st'!$Q$2:$Q$317=$A17),--ISNUMBER('Данные 2st'!$DB$2:$DB$317))</f>
        <v>5</v>
      </c>
      <c r="KS17">
        <f>SUMPRODUCT(--('Данные 2st'!$Q$2:$Q$317=$A17),--ISNUMBER('Данные 2st'!$DC$2:$DC$317))</f>
        <v>5</v>
      </c>
      <c r="KT17">
        <f>SUMPRODUCT(--('Данные 2st'!$Q$2:$Q$317=$A17),--ISNUMBER('Данные 2st'!$DD$2:$DD$317))</f>
        <v>5</v>
      </c>
      <c r="KU17">
        <f>SUMPRODUCT(--('Данные 2st'!$Q$2:$Q$317=$A17),--ISNUMBER('Данные 2st'!$DE$2:$DE$317))</f>
        <v>5</v>
      </c>
      <c r="KV17">
        <f>SUMPRODUCT(--('Данные 2st'!$Q$2:$Q$317=$A17),--ISNUMBER('Данные 2st'!$DF$2:$DF$317))</f>
        <v>5</v>
      </c>
      <c r="KW17">
        <f>SUMPRODUCT(--('Данные 2st'!$Q$2:$Q$317=$A17),--ISNUMBER('Данные 2st'!$DG$2:$DG$317))</f>
        <v>5</v>
      </c>
      <c r="KX17">
        <f>SUMPRODUCT(--('Данные 2st'!$Q$2:$Q$317=$A17),--ISNUMBER('Данные 2st'!$DH$2:$DH$317))</f>
        <v>2</v>
      </c>
      <c r="KY17">
        <f>SUMPRODUCT(--('Данные 2st'!$Q$2:$Q$317=$A17),--ISNUMBER('Данные 2st'!$DI$2:$DI$317))</f>
        <v>0</v>
      </c>
      <c r="KZ17">
        <f>SUMPRODUCT(--('Данные 2st'!$Q$2:$Q$317=$A17),--ISNUMBER('Данные 2st'!$DK$2:$DK$317))</f>
        <v>5</v>
      </c>
      <c r="LA17">
        <f>SUMPRODUCT(--('Данные 2st'!$Q$2:$Q$317=$A17),--ISNUMBER('Данные 2st'!$DM$2:$DM$317))</f>
        <v>5</v>
      </c>
      <c r="LB17">
        <f>SUMPRODUCT(--('Данные 2st'!$Q$2:$Q$317=$A17),--ISNUMBER('Данные 2st'!$DN$2:$DN$317))</f>
        <v>5</v>
      </c>
      <c r="LC17">
        <f>SUMPRODUCT(--('Данные 2st'!$Q$2:$Q$317=$A17),--ISNUMBER('Данные 2st'!$DO$2:$DO$317))</f>
        <v>5</v>
      </c>
      <c r="LD17">
        <f>SUMPRODUCT(--('Данные 2st'!$Q$2:$Q$317=$A17),--ISNUMBER('Данные 2st'!$DP$2:$DP$317))</f>
        <v>5</v>
      </c>
      <c r="LE17">
        <f>SUMPRODUCT(--('Данные 2st'!$Q$2:$Q$317=$A17),--ISNUMBER('Данные 2st'!$DQ$2:$DQ$317))</f>
        <v>5</v>
      </c>
      <c r="LF17">
        <f>SUMPRODUCT(--('Данные 2st'!$Q$2:$Q$317=$A17),--ISNUMBER('Данные 2st'!$DS$2:$DS$317))</f>
        <v>5</v>
      </c>
      <c r="LG17">
        <f>SUMPRODUCT(--('Данные 2st'!$Q$2:$Q$317=$A17),--ISNUMBER('Данные 2st'!$DU$2:$DU$317))</f>
        <v>5</v>
      </c>
      <c r="LH17">
        <f>SUMPRODUCT(--('Данные 2st'!$Q$2:$Q$317=$A17),--ISNUMBER('Данные 2st'!$DV$2:$DV$317))</f>
        <v>5</v>
      </c>
      <c r="LI17">
        <f>SUMPRODUCT(--('Данные 2st'!$Q$2:$Q$317=$A17),--ISNUMBER('Данные 2st'!$DW$2:$DW$317))</f>
        <v>5</v>
      </c>
      <c r="LJ17">
        <f>SUMPRODUCT(--('Данные 2st'!$Q$2:$Q$317=$A17),--ISNUMBER('Данные 2st'!$DX$2:$DX$317))</f>
        <v>5</v>
      </c>
      <c r="LK17">
        <f>SUMPRODUCT(--('Данные 2st'!$Q$2:$Q$317=$A17),--ISNUMBER('Данные 2st'!$DY$2:$DY$317))</f>
        <v>5</v>
      </c>
      <c r="LL17">
        <f>SUMPRODUCT(--('Данные 2st'!$Q$2:$Q$317=$A17),--ISNUMBER('Данные 2st'!$EA$2:$EA$317))</f>
        <v>5</v>
      </c>
      <c r="LM17">
        <f>SUMPRODUCT(--('Данные 2st'!$Q$2:$Q$317=$A17),--ISNUMBER('Данные 2st'!$EC$2:$EC$317))</f>
        <v>5</v>
      </c>
      <c r="LN17">
        <f>SUMPRODUCT(--('Данные 2st'!$Q$2:$Q$317=$A17),--ISNUMBER('Данные 2st'!$ED$2:$ED$317))</f>
        <v>5</v>
      </c>
      <c r="LO17">
        <f>SUMPRODUCT(--('Данные 2st'!$Q$2:$Q$317=$A17),--ISNUMBER('Данные 2st'!$EE$2:$EE$317))</f>
        <v>5</v>
      </c>
      <c r="LP17">
        <f>SUMPRODUCT(--('Данные 2st'!$Q$2:$Q$317=$A17),--ISNUMBER('Данные 2st'!$EG$2:$EG$317))</f>
        <v>5</v>
      </c>
      <c r="LQ17">
        <f>SUMPRODUCT(--('Данные 2st'!$Q$2:$Q$317=$A17),--ISNUMBER('Данные 2st'!$EI$2:$EI$317))</f>
        <v>5</v>
      </c>
      <c r="LR17">
        <f>SUMPRODUCT(--('Данные 2st'!$Q$2:$Q$317=$A17),--ISNUMBER('Данные 2st'!$EJ$2:$EJ$317))</f>
        <v>5</v>
      </c>
      <c r="LS17">
        <f>SUMPRODUCT(--('Данные 2st'!$Q$2:$Q$317=$A17),--ISNUMBER('Данные 2st'!$EK$2:$EK$317))</f>
        <v>5</v>
      </c>
      <c r="LT17">
        <f>SUMPRODUCT(--('Данные 2st'!$Q$2:$Q$317=$A17),--ISNUMBER('Данные 2st'!$EM$2:$EM$317))</f>
        <v>5</v>
      </c>
      <c r="LU17">
        <f>SUMPRODUCT(--('Данные 2st'!$Q$2:$Q$317=$A17),--ISNUMBER('Данные 2st'!$EN$2:$EN$317))</f>
        <v>5</v>
      </c>
      <c r="LV17">
        <f>SUMPRODUCT(--('Данные 2st'!$Q$2:$Q$317=$A17),--ISNUMBER('Данные 2st'!$EO$2:$EO$317))</f>
        <v>5</v>
      </c>
      <c r="LW17">
        <f>SUMPRODUCT(--('Данные 2st'!$Q$2:$Q$317=$A17),--ISNUMBER('Данные 2st'!$EP$2:$EP$317))</f>
        <v>5</v>
      </c>
      <c r="LX17">
        <f>SUMPRODUCT(--('Данные 2st'!$Q$2:$Q$317=$A17),--ISNUMBER('Данные 2st'!$EQ$2:$EQ$317))</f>
        <v>5</v>
      </c>
      <c r="LY17">
        <f>SUMPRODUCT(--('Данные 2st'!$Q$2:$Q$317=$A17),--ISNUMBER('Данные 2st'!$ER$2:$ER$317))</f>
        <v>5</v>
      </c>
      <c r="LZ17">
        <f>SUMPRODUCT(--('Данные 2st'!$Q$2:$Q$317=$A17),--ISNUMBER('Данные 2st'!$ES$2:$ES$317))</f>
        <v>5</v>
      </c>
      <c r="MA17">
        <f>SUMPRODUCT(--('Данные 2st'!$Q$2:$Q$317=$A17),--ISNUMBER('Данные 2st'!$ET$2:$ET$317))</f>
        <v>5</v>
      </c>
      <c r="MB17">
        <f>SUMPRODUCT(--('Данные 2st'!$Q$2:$Q$317=$A17),--ISNUMBER('Данные 2st'!$EU$2:$EU$317))</f>
        <v>5</v>
      </c>
      <c r="MC17">
        <f>SUMPRODUCT(--('Данные 2st'!$Q$2:$Q$317=$A17),--ISNUMBER('Данные 2st'!$EV$2:$EV$317))</f>
        <v>5</v>
      </c>
      <c r="MD17">
        <f>SUMPRODUCT(--('Данные 2st'!$Q$2:$Q$317=$A17),--ISNUMBER('Данные 2st'!$EW$2:$EW$317))</f>
        <v>5</v>
      </c>
      <c r="ME17">
        <f>SUMPRODUCT(--('Данные 2st'!$Q$2:$Q$317=$A17),--ISNUMBER('Данные 2st'!$EY$2:$EY$317))</f>
        <v>5</v>
      </c>
      <c r="MF17">
        <f>SUMPRODUCT(--('Данные 2st'!$Q$2:$Q$317=$A17),--ISNUMBER('Данные 2st'!$FA$2:$FA$317))</f>
        <v>5</v>
      </c>
      <c r="MG17">
        <f>SUMPRODUCT(--('Данные 2st'!$Q$2:$Q$317=$A17),--ISNUMBER('Данные 2st'!$FB$2:$FB$317))</f>
        <v>5</v>
      </c>
      <c r="MH17">
        <f>SUMPRODUCT(--('Данные 2st'!$Q$2:$Q$317=$A17),--ISNUMBER('Данные 2st'!$FC$2:$FC$317))</f>
        <v>5</v>
      </c>
      <c r="MI17">
        <f>SUMPRODUCT(--('Данные 2st'!$Q$2:$Q$317=$A17),--ISNUMBER('Данные 2st'!$FD$2:$FD$317))</f>
        <v>5</v>
      </c>
      <c r="MJ17">
        <f>SUMPRODUCT(--('Данные 2st'!$Q$2:$Q$317=$A17),--ISNUMBER('Данные 2st'!$FE$2:$FE$317))</f>
        <v>5</v>
      </c>
      <c r="MK17">
        <f>SUMPRODUCT(--('Данные 2st'!$Q$2:$Q$317=$A17),--ISNUMBER('Данные 2st'!$FG$2:$FG$317))</f>
        <v>5</v>
      </c>
      <c r="ML17">
        <f>SUMPRODUCT(--('Данные 2st'!$Q$2:$Q$317=$A17),--ISNUMBER('Данные 2st'!$FI$2:$FI$317))</f>
        <v>5</v>
      </c>
      <c r="MM17">
        <f>SUMPRODUCT(--('Данные 2st'!$Q$2:$Q$317=$A17),--ISNUMBER('Данные 2st'!$FJ$2:$FJ$317))</f>
        <v>5</v>
      </c>
      <c r="MN17">
        <f>SUMPRODUCT(--('Данные 2st'!$Q$2:$Q$317=$A17),--ISNUMBER('Данные 2st'!$FK$2:$FK$317))</f>
        <v>5</v>
      </c>
      <c r="MO17">
        <f>SUMPRODUCT(--('Данные 2st'!$Q$2:$Q$317=$A17),--ISNUMBER('Данные 2st'!$FP$2:$FP$317))</f>
        <v>5</v>
      </c>
      <c r="MP17">
        <f>SUMPRODUCT(--('Данные 2st'!$Q$2:$Q$317=$A17),--ISNUMBER('Данные 2st'!$FQ$2:$FQ$317))</f>
        <v>5</v>
      </c>
      <c r="MQ17">
        <f>SUMPRODUCT(--('Данные 2st'!$Q$2:$Q$317=$A17),--ISNUMBER('Данные 2st'!$FS$2:$FS$317))</f>
        <v>5</v>
      </c>
      <c r="MR17">
        <f>SUMPRODUCT(--('Данные 2st'!$Q$2:$Q$317=$A17),--ISNUMBER('Данные 2st'!$FU$2:$FU$317))</f>
        <v>5</v>
      </c>
      <c r="MS17">
        <f>SUMPRODUCT(--('Данные 2st'!$Q$2:$Q$317=$A17),--ISNUMBER('Данные 2st'!$FV$2:$FV$317))</f>
        <v>5</v>
      </c>
      <c r="MT17">
        <f>SUMPRODUCT(--('Данные 2st'!$Q$2:$Q$317=$A17),--ISNUMBER('Данные 2st'!$FW$2:$FW$317))</f>
        <v>5</v>
      </c>
      <c r="MU17">
        <f>SUMPRODUCT(--('Данные 2st'!$Q$2:$Q$317=$A17),--ISNUMBER('Данные 2st'!$FY$2:$FY$317))</f>
        <v>3</v>
      </c>
      <c r="MV17">
        <f>SUMPRODUCT(--('Данные 2st'!$Q$2:$Q$317=$A17),--ISNUMBER('Данные 2st'!$GB$2:$GB$317))</f>
        <v>3</v>
      </c>
      <c r="MW17">
        <f>SUMPRODUCT(--('Данные 2st'!$Q$2:$Q$317=$A17),--ISNUMBER('Данные 2st'!$GC$2:$GC$317))</f>
        <v>3</v>
      </c>
      <c r="MX17">
        <f>SUMPRODUCT(--('Данные 2st'!$Q$2:$Q$317=$A17),--ISNUMBER('Данные 2st'!$GD$2:$GD$317))</f>
        <v>5</v>
      </c>
      <c r="MY17">
        <f>SUMPRODUCT(--('Данные 2st'!$Q$2:$Q$317=$A17),--ISNUMBER('Данные 2st'!$GN$2:$GN$317))</f>
        <v>0</v>
      </c>
      <c r="MZ17">
        <f>SUMPRODUCT(--('Данные 2st'!$Q$2:$Q$317=$A17),--ISNUMBER('Данные 2st'!$GQ$2:$GQ$317))</f>
        <v>5</v>
      </c>
      <c r="NA17">
        <f>SUMPRODUCT(--('Данные 2st'!$Q$2:$Q$317=$A17),--ISNUMBER('Данные 2st'!$GV$2:$GV$317))</f>
        <v>5</v>
      </c>
      <c r="NB17">
        <f>SUMPRODUCT(--('Данные 2st'!$Q$2:$Q$317=$A17),--ISNUMBER('Данные 2st'!$GW$2:$GW$317))</f>
        <v>5</v>
      </c>
      <c r="NC17">
        <f>SUMPRODUCT(--('Данные 2st'!$Q$2:$Q$317=$A17),--ISNUMBER('Данные 2st'!$GX$2:$GX$317))</f>
        <v>5</v>
      </c>
      <c r="ND17">
        <f>SUMPRODUCT(--('Данные 2st'!$Q$2:$Q$317=$A17),--ISNUMBER('Данные 2st'!$GY$2:$GY$317))</f>
        <v>5</v>
      </c>
      <c r="NE17">
        <f>SUMPRODUCT(--('Данные 2st'!$Q$2:$Q$317=$A17),--ISNUMBER('Данные 2st'!$GZ$2:$GZ$317))</f>
        <v>5</v>
      </c>
      <c r="NF17">
        <f>SUMPRODUCT(--('Данные 2st'!$Q$2:$Q$317=$A17),--ISNUMBER('Данные 2st'!$HA$2:$HA$317))</f>
        <v>5</v>
      </c>
      <c r="NG17">
        <f>SUMPRODUCT(--('Данные 2st'!$Q$2:$Q$317=$A17),--ISNUMBER('Данные 2st'!$HB$2:$HB$317))</f>
        <v>5</v>
      </c>
      <c r="NH17">
        <f>SUMPRODUCT(--('Данные 2st'!$Q$2:$Q$317=$A17),--ISNUMBER('Данные 2st'!$HC$2:$HC$317))</f>
        <v>5</v>
      </c>
      <c r="NI17">
        <f>SUMPRODUCT(--('Данные 2st'!$Q$2:$Q$317=$A17),--ISNUMBER('Данные 2st'!$HD$2:$HD$317))</f>
        <v>5</v>
      </c>
      <c r="NJ17">
        <f>SUMPRODUCT(--('Данные 2st'!$Q$2:$Q$317=$A17),--ISNUMBER('Данные 2st'!$HM$2:$HM$317))</f>
        <v>5</v>
      </c>
      <c r="NK17">
        <f>SUMPRODUCT(--('Данные 2st'!$Q$2:$Q$317=$A17),--ISNUMBER('Данные 2st'!$HR$2:$HR$317))</f>
        <v>5</v>
      </c>
      <c r="NL17">
        <f>SUMPRODUCT(--('Данные 2st'!$Q$2:$Q$317=$A17),--ISNUMBER('Данные 2st'!$HS$2:$HS$317))</f>
        <v>5</v>
      </c>
      <c r="NM17">
        <f>SUMPRODUCT(--('Данные 2st'!$Q$2:$Q$317=$A17),--ISNUMBER('Данные 2st'!$HT$2:$HT$317))</f>
        <v>5</v>
      </c>
      <c r="NN17">
        <f>SUMPRODUCT(--('Данные 2st'!$Q$2:$Q$317=$A17),--ISNUMBER('Данные 2st'!$HY$2:$HY$317))</f>
        <v>5</v>
      </c>
      <c r="NO17">
        <f>SUMPRODUCT(--('Данные 2st'!$Q$2:$Q$317=$A17),--ISNUMBER('Данные 2st'!$HZ$2:$HZ$317))</f>
        <v>5</v>
      </c>
      <c r="NP17">
        <f>SUMPRODUCT(--('Данные 2st'!$Q$2:$Q$317=$A17),--ISNUMBER('Данные 2st'!$IA$2:$IA$317))</f>
        <v>5</v>
      </c>
      <c r="NQ17">
        <f>SUMPRODUCT(--('Данные 2st'!$Q$2:$Q$317=$A17),--ISNUMBER('Данные 2st'!$IB$2:$IB$317))</f>
        <v>5</v>
      </c>
      <c r="NR17">
        <f>SUMPRODUCT(--('Данные 2st'!$Q$2:$Q$317=$A17),--ISNUMBER('Данные 2st'!$IC$2:$IC$317))</f>
        <v>0</v>
      </c>
      <c r="NS17">
        <f>SUMPRODUCT(--('Данные 2st'!$Q$2:$Q$317=$A17),--ISNUMBER('Данные 2st'!$ID$2:$ID$317))</f>
        <v>5</v>
      </c>
      <c r="NT17">
        <f>SUMPRODUCT(--('Данные 2st'!$Q$2:$Q$317=$A17),--ISNUMBER('Данные 2st'!$IE$2:$IE$317))</f>
        <v>5</v>
      </c>
      <c r="NU17">
        <f>SUMPRODUCT(--('Данные 2st'!$Q$2:$Q$317=$A17),--ISNUMBER('Данные 2st'!$IF$2:$IF$317))</f>
        <v>5</v>
      </c>
      <c r="NV17">
        <f>SUMPRODUCT(--('Данные 2st'!$Q$2:$Q$317=$A17),--ISNUMBER('Данные 2st'!$IG$2:$IG$317))</f>
        <v>5</v>
      </c>
      <c r="NW17">
        <f>SUMPRODUCT(--('Данные 2st'!$Q$2:$Q$317=$A17),--ISNUMBER('Данные 2st'!$IH$2:$IH$317))</f>
        <v>5</v>
      </c>
      <c r="NX17">
        <f>SUMPRODUCT(--('Данные 2st'!$Q$2:$Q$317=$A17),--ISNUMBER('Данные 2st'!$IJ$2:$IJ$317))</f>
        <v>5</v>
      </c>
      <c r="NY17">
        <f>SUMPRODUCT(--('Данные 2st'!$Q$2:$Q$317=$A17),--ISNUMBER('Данные 2st'!$IM$2:$IM$317))</f>
        <v>5</v>
      </c>
      <c r="NZ17">
        <f>SUMPRODUCT(--('Данные 2st'!$Q$2:$Q$317=$A17),--ISNUMBER('Данные 2st'!$IN$2:$IN$317))</f>
        <v>5</v>
      </c>
      <c r="OA17">
        <f>SUMPRODUCT(--('Данные 2st'!$Q$2:$Q$317=$A17),--ISNUMBER('Данные 2st'!$IO$2:$IO$317))</f>
        <v>5</v>
      </c>
      <c r="OB17">
        <f>SUMPRODUCT(--('Данные 2st'!$Q$2:$Q$317=$A17),--ISNUMBER('Данные 2st'!$IP$2:$IP$317))</f>
        <v>5</v>
      </c>
      <c r="OC17">
        <f>SUMPRODUCT(--('Данные 2st'!$Q$2:$Q$317=$A17),--ISNUMBER('Данные 2st'!$IQ$2:$IQ$317))</f>
        <v>5</v>
      </c>
      <c r="OD17">
        <f>SUMPRODUCT(--('Данные 2st'!$Q$2:$Q$317=$A17),--ISNUMBER('Данные 2st'!$IR$2:$IR$317))</f>
        <v>5</v>
      </c>
      <c r="OE17">
        <f>SUMPRODUCT(--('Данные 2st'!$Q$2:$Q$317=$A17),--ISNUMBER('Данные 2st'!$IT$2:$IT$317))</f>
        <v>5</v>
      </c>
      <c r="OF17">
        <f>SUMPRODUCT(--('Данные 2st'!$Q$2:$Q$317=$A17),--ISNUMBER('Данные 2st'!$IU$2:$IU$317))</f>
        <v>5</v>
      </c>
      <c r="OG17">
        <f>SUMPRODUCT(--('Данные 2st'!$Q$2:$Q$317=$A17),--ISNUMBER('Данные 2st'!$IV$2:$IV$317))</f>
        <v>5</v>
      </c>
      <c r="OH17">
        <f>SUMPRODUCT(--('Данные 2st'!$Q$2:$Q$317=$A17),--ISNUMBER('Данные 2st'!$IW$2:$IW$317))</f>
        <v>5</v>
      </c>
      <c r="OI17">
        <f>SUMPRODUCT(--('Данные 2st'!$Q$2:$Q$317=$A17),--ISNUMBER('Данные 2st'!$IX$2:$IX$317))</f>
        <v>5</v>
      </c>
      <c r="OJ17">
        <f>SUMPRODUCT(--('Данные 2st'!$Q$2:$Q$317=$A17),--ISNUMBER('Данные 2st'!$IY$2:$IY$317))</f>
        <v>5</v>
      </c>
      <c r="OK17">
        <f>SUMPRODUCT(--('Данные 2st'!$Q$2:$Q$317=$A17),--ISNUMBER('Данные 2st'!$IZ$2:$IZ$317))</f>
        <v>5</v>
      </c>
      <c r="OL17">
        <f>SUMPRODUCT(--('Данные 2st'!$Q$2:$Q$317=$A17),--ISNUMBER('Данные 2st'!$JA$2:$JA$317))</f>
        <v>5</v>
      </c>
      <c r="OM17">
        <f>SUMPRODUCT(--('Данные 2st'!$Q$2:$Q$317=$A17),--ISNUMBER('Данные 2st'!$JB$2:$JB$317))</f>
        <v>5</v>
      </c>
      <c r="ON17">
        <f>SUMPRODUCT(--('Данные 2st'!$Q$2:$Q$317=$A17),--ISNUMBER('Данные 2st'!$JC$2:$JC$317))</f>
        <v>5</v>
      </c>
      <c r="OO17">
        <f>SUMPRODUCT(--('Данные 2st'!$Q$2:$Q$317=$A17),--ISNUMBER('Данные 2st'!$JD$2:$JD$317))</f>
        <v>5</v>
      </c>
      <c r="OP17">
        <f>SUMPRODUCT(--('Данные 2st'!$Q$2:$Q$317=$A17),--ISNUMBER('Данные 2st'!$JE$2:$JE$317))</f>
        <v>5</v>
      </c>
      <c r="OQ17">
        <f>SUMPRODUCT(--('Данные 2st'!$Q$2:$Q$317=$A17),--ISNUMBER('Данные 2st'!$JF$2:$JF$317))</f>
        <v>5</v>
      </c>
      <c r="OR17">
        <f>SUMPRODUCT(--('Данные 2st'!$Q$2:$Q$317=$A17),--ISNUMBER('Данные 2st'!$JG$2:$JG$317))</f>
        <v>5</v>
      </c>
      <c r="OS17">
        <f>SUMPRODUCT(--('Данные 2st'!$Q$2:$Q$317=$A17),--ISNUMBER('Данные 2st'!$JH$2:$JH$317))</f>
        <v>5</v>
      </c>
      <c r="OT17">
        <f>SUMPRODUCT(--('Данные 2st'!$Q$2:$Q$317=$A17),--ISNUMBER('Данные 2st'!$JI$2:$JI$317))</f>
        <v>5</v>
      </c>
      <c r="OU17">
        <f>SUMPRODUCT(--('Данные 2st'!$Q$2:$Q$317=$A17),--ISNUMBER('Данные 2st'!$JJ$2:$JJ$317))</f>
        <v>5</v>
      </c>
      <c r="OV17">
        <f>SUMPRODUCT(--('Данные 2st'!$Q$2:$Q$317=$A17),--ISNUMBER('Данные 2st'!$JK$2:$JK$317))</f>
        <v>5</v>
      </c>
      <c r="OW17">
        <f>SUMPRODUCT(--('Данные 2st'!$Q$2:$Q$317=$A17),--ISNUMBER('Данные 2st'!$JL$2:$JL$317))</f>
        <v>5</v>
      </c>
      <c r="OX17">
        <f>SUMPRODUCT(--('Данные 2st'!$Q$2:$Q$317=$A17),--ISNUMBER('Данные 2st'!$JM$2:$JM$317))</f>
        <v>5</v>
      </c>
      <c r="OY17">
        <f>SUMPRODUCT(--('Данные 2st'!$Q$2:$Q$317=$A17),--ISNUMBER('Данные 2st'!$JP$2:$JP$317))</f>
        <v>5</v>
      </c>
      <c r="OZ17">
        <f>SUMPRODUCT(--('Данные 2st'!$Q$2:$Q$317=$A17),--ISNUMBER('Данные 2st'!$JQ$2:$JQ$317))</f>
        <v>5</v>
      </c>
      <c r="PA17">
        <f>SUMPRODUCT(--('Данные 2st'!$Q$2:$Q$317=$A17),--ISNUMBER('Данные 2st'!$JR$2:$JR$317))</f>
        <v>5</v>
      </c>
      <c r="PB17">
        <f>SUMPRODUCT(--('Данные 2st'!$Q$2:$Q$317=$A17),--ISNUMBER('Данные 2st'!$JS$2:$JS$317))</f>
        <v>5</v>
      </c>
      <c r="PC17">
        <f>SUMPRODUCT(--('Данные 2st'!$Q$2:$Q$317=$A17),--ISNUMBER('Данные 2st'!$JT$2:$JT$317))</f>
        <v>5</v>
      </c>
      <c r="PD17">
        <f>SUMPRODUCT(--('Данные 2st'!$Q$2:$Q$317=$A17),--ISNUMBER('Данные 2st'!$JU$2:$JU$317))</f>
        <v>5</v>
      </c>
      <c r="PE17">
        <f>SUMPRODUCT(--('Данные 2st'!$Q$2:$Q$317=$A17),--ISNUMBER('Данные 2st'!$JV$2:$JV$317))</f>
        <v>5</v>
      </c>
      <c r="PF17">
        <f>SUMPRODUCT(--('Данные 2st'!$Q$2:$Q$317=$A17),--ISNUMBER('Данные 2st'!$JW$2:$JW$317))</f>
        <v>5</v>
      </c>
      <c r="PG17">
        <f>SUMPRODUCT(--('Данные 2st'!$Q$2:$Q$317=$A17),--ISNUMBER('Данные 2st'!$KF$2:$KF$317))</f>
        <v>5</v>
      </c>
      <c r="PH17">
        <f>SUMPRODUCT(--('Данные 2st'!$Q$2:$Q$317=$A17),--ISNUMBER('Данные 2st'!$KG$2:$KG$317))</f>
        <v>5</v>
      </c>
      <c r="PI17">
        <f>SUMPRODUCT(--('Данные 2st'!$Q$2:$Q$317=$A17),--ISNUMBER('Данные 2st'!$KM$2:$KM$317))</f>
        <v>5</v>
      </c>
      <c r="PJ17">
        <f>SUMPRODUCT(--('Данные 2st'!$Q$2:$Q$317=$A17),--ISNUMBER('Данные 2st'!$KN$2:$KN$317))</f>
        <v>5</v>
      </c>
      <c r="PK17">
        <f>SUMPRODUCT(--('Данные 2st'!$Q$2:$Q$317=$A17),--ISNUMBER('Данные 2st'!$KO$2:$KO$317))</f>
        <v>5</v>
      </c>
      <c r="PL17">
        <f>SUMPRODUCT(--('Данные 2st'!$Q$2:$Q$317=$A17),--ISNUMBER('Данные 2st'!$KP$2:$KP$317))</f>
        <v>5</v>
      </c>
      <c r="PM17">
        <f>SUMPRODUCT(--('Данные 2st'!$Q$2:$Q$317=$A17),--ISNUMBER('Данные 2st'!$KQ$2:$KQ$317))</f>
        <v>5</v>
      </c>
      <c r="PN17">
        <f>SUMPRODUCT(--('Данные 2st'!$Q$2:$Q$317=$A17),--ISNUMBER('Данные 2st'!$KR$2:$KR$317))</f>
        <v>5</v>
      </c>
      <c r="PO17">
        <f>SUMPRODUCT(--('Данные 2st'!$Q$2:$Q$317=$A17),--ISNUMBER('Данные 2st'!$KS$2:$KS$317))</f>
        <v>5</v>
      </c>
      <c r="PP17">
        <f>SUMPRODUCT(--('Данные 2st'!$Q$2:$Q$317=$A17),--ISNUMBER('Данные 2st'!$KT$2:$KT$317))</f>
        <v>5</v>
      </c>
      <c r="PQ17">
        <f>SUMPRODUCT(--('Данные 2st'!$Q$2:$Q$317=$A17),--ISNUMBER('Данные 2st'!$KU$2:$KU$317))</f>
        <v>5</v>
      </c>
      <c r="PR17">
        <f>SUMPRODUCT(--('Данные 2st'!$Q$2:$Q$317=$A17),--ISNUMBER('Данные 2st'!$KV$2:$KV$317))</f>
        <v>5</v>
      </c>
      <c r="PS17">
        <f>SUMPRODUCT(--('Данные 2st'!$Q$2:$Q$317=$A17),--ISNUMBER('Данные 2st'!$KW$2:$KW$317))</f>
        <v>5</v>
      </c>
      <c r="PT17">
        <f>SUMPRODUCT(--('Данные 2st'!$Q$2:$Q$317=$A17),--ISNUMBER('Данные 2st'!$KX$2:$KX$317))</f>
        <v>5</v>
      </c>
      <c r="PU17">
        <f>SUMPRODUCT(--('Данные 2st'!$Q$2:$Q$317=$A17),--ISNUMBER('Данные 2st'!$KY$2:$KY$317))</f>
        <v>5</v>
      </c>
      <c r="PV17">
        <f>SUMPRODUCT(--('Данные 2st'!$Q$2:$Q$317=$A17),--ISNUMBER('Данные 2st'!$KZ$2:$KZ$317))</f>
        <v>5</v>
      </c>
      <c r="PW17">
        <f>SUMPRODUCT(--('Данные 2st'!$Q$2:$Q$317=$A17),--ISNUMBER('Данные 2st'!$LA$2:$LA$317))</f>
        <v>5</v>
      </c>
      <c r="PX17">
        <f>SUMPRODUCT(--('Данные 2st'!$Q$2:$Q$317=$A17),--ISNUMBER('Данные 2st'!$LB$2:$LB$317))</f>
        <v>5</v>
      </c>
      <c r="PY17">
        <f>SUMPRODUCT(--('Данные 2st'!$Q$2:$Q$317=$A17),--ISNUMBER('Данные 2st'!$LC$2:$LC$317))</f>
        <v>5</v>
      </c>
      <c r="PZ17">
        <f>SUMPRODUCT(--('Данные 2st'!$Q$2:$Q$317=$A17),--ISNUMBER('Данные 2st'!$LD$2:$LD$317))</f>
        <v>5</v>
      </c>
      <c r="QA17">
        <f>SUMPRODUCT(--('Данные 2st'!$Q$2:$Q$317=$A17),--ISNUMBER('Данные 2st'!$LE$2:$LE$317))</f>
        <v>5</v>
      </c>
      <c r="QB17">
        <f>SUMPRODUCT(--('Данные 2st'!$Q$2:$Q$317=$A17),--ISNUMBER('Данные 2st'!$LF$2:$LF$317))</f>
        <v>5</v>
      </c>
      <c r="QC17">
        <f>SUMPRODUCT(--('Данные 2st'!$Q$2:$Q$317=$A17),--ISNUMBER('Данные 2st'!$LG$2:$LG$317))</f>
        <v>5</v>
      </c>
      <c r="QD17">
        <f>SUMPRODUCT(--('Данные 2st'!$Q$2:$Q$317=$A17),--ISNUMBER('Данные 2st'!$LH$2:$LH$317))</f>
        <v>5</v>
      </c>
      <c r="QE17">
        <f>SUMPRODUCT(--('Данные 2st'!$Q$2:$Q$317=$A17),--ISNUMBER('Данные 2st'!$LJ$2:$LJ$317))</f>
        <v>5</v>
      </c>
      <c r="QF17">
        <f>SUMPRODUCT(--('Данные 2st'!$Q$2:$Q$317=$A17),--ISNUMBER('Данные 2st'!$LK$2:$LK$317))</f>
        <v>5</v>
      </c>
      <c r="QG17">
        <f>SUMPRODUCT(--('Данные 2st'!$Q$2:$Q$317=$A17),--ISNUMBER('Данные 2st'!$LL$2:$LL$317))</f>
        <v>5</v>
      </c>
      <c r="QH17">
        <f>SUMPRODUCT(--('Данные 2st'!$Q$2:$Q$317=$A17),--ISNUMBER('Данные 2st'!$LM$2:$LM$317))</f>
        <v>5</v>
      </c>
      <c r="QI17">
        <f>SUMPRODUCT(--('Данные 2st'!$Q$2:$Q$317=$A17),--ISNUMBER('Данные 2st'!$LN$2:$LN$317))</f>
        <v>5</v>
      </c>
      <c r="QJ17">
        <f>SUMPRODUCT(--('Данные 2st'!$Q$2:$Q$317=$A17),--ISNUMBER('Данные 2st'!$LO$2:$LO$317))</f>
        <v>5</v>
      </c>
      <c r="QK17">
        <f>SUMPRODUCT(--('Данные 2st'!$Q$2:$Q$317=$A17),--ISNUMBER('Данные 2st'!$LP$2:$LP$317))</f>
        <v>5</v>
      </c>
      <c r="QL17">
        <f>SUMPRODUCT(--('Данные 2st'!$Q$2:$Q$317=$A17),--ISNUMBER('Данные 2st'!$LQ$2:$LQ$317))</f>
        <v>5</v>
      </c>
      <c r="QM17">
        <f>SUMPRODUCT(--('Данные 2st'!$Q$2:$Q$317=$A17),--ISNUMBER('Данные 2st'!$LW$2:$LW$317))</f>
        <v>5</v>
      </c>
      <c r="QN17">
        <f>SUMPRODUCT(--('Данные 2st'!$Q$2:$Q$317=$A17),--ISNUMBER('Данные 2st'!$LX$2:$LX$317))</f>
        <v>5</v>
      </c>
      <c r="QO17">
        <f>SUMPRODUCT(--('Данные 2st'!$Q$2:$Q$317=$A17),--ISNUMBER('Данные 2st'!$LY$2:$LY$317))</f>
        <v>5</v>
      </c>
      <c r="QP17">
        <f>SUMPRODUCT(--('Данные 2st'!$Q$2:$Q$317=$A17),--ISNUMBER('Данные 2st'!$LZ$2:$LZ$317))</f>
        <v>5</v>
      </c>
      <c r="QQ17">
        <f>SUMPRODUCT(--('Данные 2st'!$Q$2:$Q$317=$A17),--ISNUMBER('Данные 2st'!$MB$2:$MB$317))</f>
        <v>5</v>
      </c>
      <c r="QR17">
        <f>SUMPRODUCT(--('Данные 2st'!$Q$2:$Q$317=$A17),--ISNUMBER('Данные 2st'!$MG$2:$MG$317))</f>
        <v>0</v>
      </c>
      <c r="QS17">
        <f>SUMPRODUCT(--('Данные 2st'!$Q$2:$Q$317=$A17),--ISNUMBER('Данные 2st'!$MH$2:$MH$317))</f>
        <v>0</v>
      </c>
      <c r="QT17">
        <f>SUMPRODUCT(--('Данные 2st'!$Q$2:$Q$317=$A17),--ISNUMBER('Данные 2st'!$MI$2:$MI$317))</f>
        <v>5</v>
      </c>
      <c r="QU17">
        <f>SUMPRODUCT(--('Данные 2st'!$Q$2:$Q$317=$A17),--ISNUMBER('Данные 2st'!$MJ$2:$MJ$317))</f>
        <v>5</v>
      </c>
      <c r="QV17">
        <f>SUMPRODUCT(--('Данные 2st'!$Q$2:$Q$317=$A17),--ISNUMBER('Данные 2st'!$MK$2:$MK$317))</f>
        <v>0</v>
      </c>
      <c r="QW17">
        <f>SUMPRODUCT(--('Данные 2st'!$Q$2:$Q$317=$A17),--ISNUMBER('Данные 2st'!$MM$2:$MM$317))</f>
        <v>5</v>
      </c>
      <c r="QX17">
        <f>SUMPRODUCT(--('Данные 2st'!$Q$2:$Q$317=$A17),--ISNUMBER('Данные 2st'!$MQ$2:$MQ$317))</f>
        <v>0</v>
      </c>
      <c r="QY17">
        <f>SUMPRODUCT(--('Данные 2st'!$Q$2:$Q$317=$A17),--ISNUMBER('Данные 2st'!$MR$2:$MR$317))</f>
        <v>0</v>
      </c>
      <c r="QZ17">
        <f>SUMPRODUCT(--('Данные 2st'!$Q$2:$Q$317=$A17),--ISNUMBER('Данные 2st'!$MS$2:$MS$317))</f>
        <v>0</v>
      </c>
      <c r="RA17">
        <f>SUMPRODUCT(--('Данные 2st'!$Q$2:$Q$317=$A17),--ISNUMBER('Данные 2st'!$MT$2:$MT$317))</f>
        <v>0</v>
      </c>
      <c r="RB17">
        <f>SUMPRODUCT(--('Данные 2st'!$Q$2:$Q$317=$A17),--ISNUMBER('Данные 2st'!$MU$2:$MU$317))</f>
        <v>0</v>
      </c>
      <c r="RC17">
        <f>SUMPRODUCT(--('Данные 2st'!$Q$2:$Q$317=$A17),--ISNUMBER('Данные 2st'!$MV$2:$MV$317))</f>
        <v>0</v>
      </c>
      <c r="RD17">
        <f>SUMPRODUCT(--('Данные 2st'!$Q$2:$Q$317=$A17),--ISNUMBER('Данные 2st'!$MW$2:$MW$317))</f>
        <v>0</v>
      </c>
      <c r="RE17">
        <f>SUMPRODUCT(--('Данные 2st'!$Q$2:$Q$317=$A17),--ISNUMBER('Данные 2st'!$MX$2:$MX$317))</f>
        <v>0</v>
      </c>
      <c r="RF17">
        <f>SUMPRODUCT(--('Данные 2st'!$Q$2:$Q$317=$A17),--ISNUMBER('Данные 2st'!$MY$2:$MY$317))</f>
        <v>0</v>
      </c>
      <c r="RG17">
        <f>SUMPRODUCT(--('Данные 2st'!$Q$2:$Q$317=$A17),--ISNUMBER('Данные 2st'!$MZ$2:$MZ$317))</f>
        <v>0</v>
      </c>
      <c r="RH17">
        <f>SUMPRODUCT(--('Данные 2st'!$Q$2:$Q$317=$A17),--ISNUMBER('Данные 2st'!$NA$2:$NA$317))</f>
        <v>0</v>
      </c>
      <c r="RI17">
        <f>SUMPRODUCT(--('Данные 2st'!$Q$2:$Q$317=$A17),--ISNUMBER('Данные 2st'!$NB$2:$NB$317))</f>
        <v>0</v>
      </c>
      <c r="RJ17">
        <f>SUMPRODUCT(--('Данные 2st'!$Q$2:$Q$317=$A17),--ISNUMBER('Данные 2st'!$NC$2:$NC$317))</f>
        <v>0</v>
      </c>
      <c r="RK17">
        <f>SUMPRODUCT(--('Данные 2st'!$Q$2:$Q$317=$A17),--ISNUMBER('Данные 2st'!$ND$2:$ND$317))</f>
        <v>0</v>
      </c>
      <c r="RL17">
        <f>SUMPRODUCT(--('Данные 2st'!$Q$2:$Q$317=$A17),--ISNUMBER('Данные 2st'!$NE$2:$NE$317))</f>
        <v>0</v>
      </c>
      <c r="RM17">
        <f>SUMPRODUCT(--('Данные 2st'!$Q$2:$Q$317=$A17),--ISNUMBER('Данные 2st'!$NF$2:$NF$317))</f>
        <v>0</v>
      </c>
      <c r="RN17">
        <f>SUMPRODUCT(--('Данные 2st'!$Q$2:$Q$317=$A17),--ISNUMBER('Данные 2st'!$NG$2:$NG$317))</f>
        <v>0</v>
      </c>
      <c r="RO17">
        <f>SUMPRODUCT(--('Данные 2st'!$Q$2:$Q$317=$A17),--ISNUMBER('Данные 2st'!$NH$2:$NH$317))</f>
        <v>2</v>
      </c>
      <c r="RP17">
        <f>SUMPRODUCT(--('Данные 2st'!$Q$2:$Q$317=$A17),--ISNUMBER('Данные 2st'!$NJ$2:$NJ$317))</f>
        <v>2</v>
      </c>
      <c r="RQ17">
        <f>SUMPRODUCT(--('Данные 2st'!$Q$2:$Q$317=$A17),--ISNUMBER('Данные 2st'!$NK$2:$NK$317))</f>
        <v>2</v>
      </c>
      <c r="RR17">
        <f>SUMPRODUCT(--('Данные 2st'!$Q$2:$Q$317=$A17),--ISNUMBER('Данные 2st'!$NM$2:$NM$317))</f>
        <v>2</v>
      </c>
      <c r="RS17">
        <f>SUMPRODUCT(--('Данные 2st'!$Q$2:$Q$317=$A17),--ISNUMBER('Данные 2st'!$NN$2:$NN$317))</f>
        <v>0</v>
      </c>
      <c r="RT17">
        <f>SUMPRODUCT(--('Данные 2st'!$Q$2:$Q$317=$A17),--ISNUMBER('Данные 2st'!$NO$2:$NO$317))</f>
        <v>0</v>
      </c>
      <c r="RU17">
        <f>SUMPRODUCT(--('Данные 2st'!$Q$2:$Q$317=$A17),--ISNUMBER('Данные 2st'!$NP$2:$NP$317))</f>
        <v>0</v>
      </c>
      <c r="RV17">
        <f>SUMPRODUCT(--('Данные 2st'!$Q$2:$Q$317=$A17),--ISNUMBER('Данные 2st'!$NQ$2:$NQ$317))</f>
        <v>0</v>
      </c>
      <c r="RW17">
        <f>SUMPRODUCT(--('Данные 2st'!$Q$2:$Q$317=$A17),--ISNUMBER('Данные 2st'!$NR$2:$NR$317))</f>
        <v>0</v>
      </c>
      <c r="RX17">
        <f>SUMPRODUCT(--('Данные 2st'!$Q$2:$Q$317=$A17),--ISNUMBER('Данные 2st'!$NS$2:$NS$317))</f>
        <v>0</v>
      </c>
      <c r="RY17">
        <f>SUMPRODUCT(--('Данные 2st'!$Q$2:$Q$317=$A17),--ISNUMBER('Данные 2st'!$NT$2:$NT$317))</f>
        <v>0</v>
      </c>
      <c r="RZ17">
        <f>SUMPRODUCT(--('Данные 2st'!$Q$2:$Q$317=$A17),--ISNUMBER('Данные 2st'!$OK$2:$OK$317))</f>
        <v>5</v>
      </c>
      <c r="SA17">
        <f>SUMPRODUCT(--('Данные 2st'!$Q$2:$Q$317=$A17),--ISNUMBER('Данные 2st'!$OL$2:$OL$317))</f>
        <v>5</v>
      </c>
      <c r="SB17">
        <f>SUMPRODUCT(--('Данные 2st'!$Q$2:$Q$317=$A17),--ISNUMBER('Данные 2st'!$ON$2:$ON$317))</f>
        <v>5</v>
      </c>
      <c r="SC17">
        <f>SUMPRODUCT(--('Данные 2st'!$Q$2:$Q$317=$A17),--ISNUMBER('Данные 2st'!$OO$2:$OO$317))</f>
        <v>5</v>
      </c>
      <c r="SD17">
        <f>SUMPRODUCT(--('Данные 2st'!$Q$2:$Q$317=$A17),--ISNUMBER('Данные 2st'!$OP$2:$OP$317))</f>
        <v>5</v>
      </c>
      <c r="SE17">
        <f>SUMPRODUCT(--('Данные 2st'!$Q$2:$Q$317=$A17),--ISNUMBER('Данные 2st'!$OQ$2:$OQ$317))</f>
        <v>5</v>
      </c>
      <c r="SF17">
        <f>SUMPRODUCT(--('Данные 2st'!$Q$2:$Q$317=$A17),--ISNUMBER('Данные 2st'!$OS$2:$OS$317))</f>
        <v>5</v>
      </c>
      <c r="SG17">
        <f>SUMPRODUCT(--('Данные 2st'!$Q$2:$Q$317=$A17),--ISNUMBER('Данные 2st'!$OT$2:$OT$317))</f>
        <v>5</v>
      </c>
      <c r="SH17">
        <f>SUMPRODUCT(--('Данные 2st'!$Q$2:$Q$317=$A17),--ISNUMBER('Данные 2st'!$OU$2:$OU$317))</f>
        <v>5</v>
      </c>
      <c r="SI17">
        <f>SUMPRODUCT(--('Данные 2st'!$Q$2:$Q$317=$A17),--ISNUMBER('Данные 2st'!$OV$2:$OV$317))</f>
        <v>5</v>
      </c>
      <c r="SJ17">
        <f>SUMPRODUCT(--('Данные 2st'!$Q$2:$Q$317=$A17),--ISNUMBER('Данные 2st'!$OX$2:$OX$317))</f>
        <v>5</v>
      </c>
      <c r="SK17">
        <f>SUMPRODUCT(--('Данные 2st'!$Q$2:$Q$317=$A17),--ISNUMBER('Данные 2st'!$OY$2:$OY$317))</f>
        <v>5</v>
      </c>
      <c r="SL17">
        <f>SUMPRODUCT(--('Данные 2st'!$Q$2:$Q$317=$A17),--ISNUMBER('Данные 2st'!$OZ$2:$OZ$317))</f>
        <v>5</v>
      </c>
      <c r="SM17">
        <f>SUMPRODUCT(--('Данные 2st'!$Q$2:$Q$317=$A17),--ISNUMBER('Данные 2st'!$PA$2:$PA$317))</f>
        <v>5</v>
      </c>
      <c r="SN17">
        <f>SUMPRODUCT(--('Данные 2st'!$Q$2:$Q$317=$A17),--ISNUMBER('Данные 2st'!$PC$2:$PC$317))</f>
        <v>5</v>
      </c>
      <c r="SO17">
        <f>SUMPRODUCT(--('Данные 2st'!$Q$2:$Q$317=$A17),--ISNUMBER('Данные 2st'!$PD$2:$PD$317))</f>
        <v>5</v>
      </c>
      <c r="SP17">
        <f>SUMPRODUCT(--('Данные 2st'!$Q$2:$Q$317=$A17),--ISNUMBER('Данные 2st'!$PF$2:$PF$317))</f>
        <v>5</v>
      </c>
      <c r="SQ17">
        <f>SUMPRODUCT(--('Данные 2st'!$Q$2:$Q$317=$A17),--ISNUMBER('Данные 2st'!$PG$2:$PG$317))</f>
        <v>5</v>
      </c>
      <c r="SR17">
        <f>SUMPRODUCT(--('Данные 2st'!$Q$2:$Q$317=$A17),--ISNUMBER('Данные 2st'!$PH$2:$PH$317))</f>
        <v>5</v>
      </c>
      <c r="SS17">
        <f>SUMPRODUCT(--('Данные 2st'!$Q$2:$Q$317=$A17),--ISNUMBER('Данные 2st'!$PI$2:$PI$317))</f>
        <v>5</v>
      </c>
      <c r="ST17">
        <f>SUMPRODUCT(--('Данные 2st'!$Q$2:$Q$317=$A17),--ISNUMBER('Данные 2st'!$PJ$2:$PJ$317))</f>
        <v>5</v>
      </c>
      <c r="SU17">
        <f>SUMPRODUCT(--('Данные 2st'!$Q$2:$Q$317=$A17),--ISNUMBER('Данные 2st'!$PK$2:$PK$317))</f>
        <v>5</v>
      </c>
      <c r="SV17">
        <f>SUMPRODUCT(--('Данные 2st'!$Q$2:$Q$317=$A17),--ISNUMBER('Данные 2st'!$PL$2:$PL$317))</f>
        <v>5</v>
      </c>
      <c r="SW17">
        <f>SUMPRODUCT(--('Данные 2st'!$Q$2:$Q$317=$A17),--ISNUMBER('Данные 2st'!$PM$2:$PM$317))</f>
        <v>5</v>
      </c>
      <c r="SX17">
        <f>SUMPRODUCT(--('Данные 2st'!$Q$2:$Q$317=$A17),--ISNUMBER('Данные 2st'!$PN$2:$PN$317))</f>
        <v>5</v>
      </c>
      <c r="SY17">
        <f>SUMPRODUCT(--('Данные 2st'!$Q$2:$Q$317=$A17),--ISNUMBER('Данные 2st'!$PO$2:$PO$317))</f>
        <v>3</v>
      </c>
      <c r="SZ17">
        <f>SUMPRODUCT(--('Данные 2st'!$Q$2:$Q$317=$A17),--ISNUMBER('Данные 2st'!$PP$2:$PP$317))</f>
        <v>5</v>
      </c>
      <c r="TA17">
        <f>SUMPRODUCT(--('Данные 2st'!$Q$2:$Q$317=$A17),--ISNUMBER('Данные 2st'!$PQ$2:$PQ$317))</f>
        <v>5</v>
      </c>
      <c r="TB17">
        <f>SUMPRODUCT(--('Данные 2st'!$Q$2:$Q$317=$A17),--ISNUMBER('Данные 2st'!$PR$2:$PR$317))</f>
        <v>5</v>
      </c>
      <c r="TC17">
        <f>SUMPRODUCT(--('Данные 2st'!$Q$2:$Q$317=$A17),--ISNUMBER('Данные 2st'!$PS$2:$PS$317))</f>
        <v>5</v>
      </c>
      <c r="TD17">
        <f>SUMPRODUCT(--('Данные 2st'!$Q$2:$Q$317=$A17),--ISNUMBER('Данные 2st'!$PT$2:$PT$317))</f>
        <v>5</v>
      </c>
      <c r="TE17">
        <f>SUMPRODUCT(--('Данные 2st'!$Q$2:$Q$317=$A17),--ISNUMBER('Данные 2st'!$PU$2:$PU$317))</f>
        <v>5</v>
      </c>
      <c r="TF17">
        <f>SUMPRODUCT(--('Данные 2st'!$Q$2:$Q$317=$A17),--ISNUMBER('Данные 2st'!$PX$2:$PX$317))</f>
        <v>5</v>
      </c>
      <c r="TG17">
        <f>SUMPRODUCT(--('Данные 2st'!$Q$2:$Q$317=$A17),--ISNUMBER('Данные 2st'!$PY$2:$PY$317))</f>
        <v>5</v>
      </c>
      <c r="TH17">
        <f>SUMPRODUCT(--('Данные 2st'!$Q$2:$Q$317=$A17),--ISNUMBER('Данные 2st'!$PZ$2:$PZ$317))</f>
        <v>5</v>
      </c>
      <c r="TI17">
        <f>SUMPRODUCT(--('Данные 2st'!$Q$2:$Q$317=$A17),--ISNUMBER('Данные 2st'!$QA$2:$QA$317))</f>
        <v>5</v>
      </c>
      <c r="TJ17">
        <f>SUMPRODUCT(--('Данные 2st'!$Q$2:$Q$317=$A17),--ISNUMBER('Данные 2st'!$QB$2:$QB$317))</f>
        <v>5</v>
      </c>
      <c r="TK17">
        <f>SUMPRODUCT(--('Данные 2st'!$Q$2:$Q$317=$A17),--ISNUMBER('Данные 2st'!$QC$2:$QC$317))</f>
        <v>5</v>
      </c>
      <c r="TL17">
        <f>SUMPRODUCT(--('Данные 2st'!$Q$2:$Q$317=$A17),--ISNUMBER('Данные 2st'!$QD$2:$QD$317))</f>
        <v>5</v>
      </c>
      <c r="TM17">
        <f>SUMPRODUCT(--('Данные 2st'!$Q$2:$Q$317=$A17),--ISNUMBER('Данные 2st'!$QE$2:$QE$317))</f>
        <v>5</v>
      </c>
      <c r="TN17">
        <f>SUMPRODUCT(--('Данные 2st'!$Q$2:$Q$317=$A17),--ISNUMBER('Данные 2st'!$QF$2:$QF$317))</f>
        <v>5</v>
      </c>
      <c r="TO17">
        <f>SUMPRODUCT(--('Данные 2st'!$Q$2:$Q$317=$A17),--ISNUMBER('Данные 2st'!$QG$2:$QG$317))</f>
        <v>5</v>
      </c>
      <c r="TP17">
        <f>SUMPRODUCT(--('Данные 2st'!$Q$2:$Q$317=$A17),--ISNUMBER('Данные 2st'!$QH$2:$QH$317))</f>
        <v>5</v>
      </c>
      <c r="TQ17">
        <f>SUMPRODUCT(--('Данные 2st'!$Q$2:$Q$317=$A17),--ISNUMBER('Данные 2st'!$QI$2:$QI$317))</f>
        <v>5</v>
      </c>
      <c r="TR17">
        <f>SUMPRODUCT(--('Данные 2st'!$Q$2:$Q$317=$A17),--ISNUMBER('Данные 2st'!$QJ$2:$QJ$317))</f>
        <v>5</v>
      </c>
      <c r="TS17">
        <f>SUMPRODUCT(--('Данные 2st'!$Q$2:$Q$317=$A17),--ISNUMBER('Данные 2st'!$QK$2:$QK$317))</f>
        <v>5</v>
      </c>
      <c r="TT17">
        <f>SUMPRODUCT(--('Данные 2st'!$Q$2:$Q$317=$A17),--ISNUMBER('Данные 2st'!$QL$2:$QL$317))</f>
        <v>5</v>
      </c>
      <c r="TU17">
        <f>SUMPRODUCT(--('Данные 2st'!$Q$2:$Q$317=$A17),--ISNUMBER('Данные 2st'!$QM$2:$QM$317))</f>
        <v>5</v>
      </c>
      <c r="TV17">
        <f>SUMPRODUCT(--('Данные 2st'!$Q$2:$Q$317=$A17),--ISNUMBER('Данные 2st'!$QN$2:$QN$317))</f>
        <v>5</v>
      </c>
      <c r="TW17">
        <f>SUMPRODUCT(--('Данные 2st'!$Q$2:$Q$317=$A17),--ISNUMBER('Данные 2st'!$QQ$2:$QQ$317))</f>
        <v>5</v>
      </c>
      <c r="TX17">
        <f>SUMPRODUCT(--('Данные 2st'!$Q$2:$Q$317=$A17),--ISNUMBER('Данные 2st'!$QS$2:$QS$317))</f>
        <v>5</v>
      </c>
      <c r="TY17">
        <f>SUMPRODUCT(--('Данные 2st'!$Q$2:$Q$317=$A17),--ISNUMBER('Данные 2st'!$QT$2:$QT$317))</f>
        <v>5</v>
      </c>
    </row>
    <row r="18" spans="1:545" ht="32" customHeight="1">
      <c r="A18" s="11" t="str">
        <f>'По размерам'!A18</f>
        <v>205/65R15</v>
      </c>
      <c r="G18">
        <f>SUMPRODUCT(--('Данные 1st'!$S$2:$S$317=$A18),--ISNUMBER('Данные 1st'!$AE$2:$AE$317))</f>
        <v>4</v>
      </c>
      <c r="H18">
        <f>SUMPRODUCT(--('Данные 1st'!$S$2:$S$317=$A18),--ISNUMBER('Данные 1st'!$AF$2:$AF$317))</f>
        <v>4</v>
      </c>
      <c r="I18">
        <f>SUMPRODUCT(--('Данные 1st'!$S$2:$S$317=$A18),--ISNUMBER('Данные 1st'!$AJ$2:$AJ$317))</f>
        <v>4</v>
      </c>
      <c r="J18">
        <f>SUMPRODUCT(--('Данные 1st'!$S$2:$S$317=$A18),--ISNUMBER('Данные 1st'!$AL$2:$AL$317))</f>
        <v>4</v>
      </c>
      <c r="K18">
        <f>SUMPRODUCT(--('Данные 1st'!$S$2:$S$317=$A18),--ISNUMBER('Данные 1st'!$AR$2:$AR$317))</f>
        <v>4</v>
      </c>
      <c r="L18">
        <f>SUMPRODUCT(--('Данные 1st'!$S$2:$S$317=$A18),--ISNUMBER('Данные 1st'!$AS$2:$AS$317))</f>
        <v>4</v>
      </c>
      <c r="M18">
        <f>SUMPRODUCT(--('Данные 1st'!$S$2:$S$317=$A18),--ISNUMBER('Данные 1st'!$AY$2:$AY$317))</f>
        <v>4</v>
      </c>
      <c r="N18">
        <f>SUMPRODUCT(--('Данные 1st'!$S$2:$S$317=$A18),--ISNUMBER('Данные 1st'!$AZ$2:$AZ$317))</f>
        <v>4</v>
      </c>
      <c r="O18">
        <f>SUMPRODUCT(--('Данные 1st'!$S$2:$S$317=$A18),--ISNUMBER('Данные 1st'!$BF$2:$BF$317))</f>
        <v>1</v>
      </c>
      <c r="P18">
        <f>SUMPRODUCT(--('Данные 1st'!$S$2:$S$317=$A18),--ISNUMBER('Данные 1st'!$BG$2:$BG$317))</f>
        <v>4</v>
      </c>
      <c r="Q18">
        <f>SUMPRODUCT(--('Данные 1st'!$S$2:$S$317=$A18),--ISNUMBER('Данные 1st'!$BM$2:$BM$317))</f>
        <v>0</v>
      </c>
      <c r="R18">
        <f>SUMPRODUCT(--('Данные 1st'!$S$2:$S$317=$A18),--ISNUMBER('Данные 1st'!$BN$2:$BN$317))</f>
        <v>4</v>
      </c>
      <c r="S18">
        <f>SUMPRODUCT(--('Данные 1st'!$S$2:$S$317=$A18),--ISNUMBER('Данные 1st'!$BT$2:$BT$317))</f>
        <v>4</v>
      </c>
      <c r="T18">
        <f>SUMPRODUCT(--('Данные 1st'!$S$2:$S$317=$A18),--ISNUMBER('Данные 1st'!$BU$2:$BU$317))</f>
        <v>4</v>
      </c>
      <c r="U18">
        <f>SUMPRODUCT(--('Данные 1st'!$S$2:$S$317=$A18),--ISNUMBER('Данные 1st'!$BW$2:$BW$317))</f>
        <v>4</v>
      </c>
      <c r="V18">
        <f>SUMPRODUCT(--('Данные 1st'!$S$2:$S$317=$A18),--ISNUMBER('Данные 1st'!$BX$2:$BX$317))</f>
        <v>4</v>
      </c>
      <c r="W18">
        <f>SUMPRODUCT(--('Данные 1st'!$S$2:$S$317=$A18),--ISNUMBER('Данные 1st'!$BZ$2:$BZ$317))</f>
        <v>4</v>
      </c>
      <c r="X18">
        <f>SUMPRODUCT(--('Данные 1st'!$S$2:$S$317=$A18),--ISNUMBER('Данные 1st'!$CA$2:$CA$317))</f>
        <v>4</v>
      </c>
      <c r="Y18">
        <f>SUMPRODUCT(--('Данные 1st'!$S$2:$S$317=$A18),--ISNUMBER('Данные 1st'!$CD$2:$CD$317))</f>
        <v>4</v>
      </c>
      <c r="Z18">
        <f>SUMPRODUCT(--('Данные 1st'!$S$2:$S$317=$A18),--ISNUMBER('Данные 1st'!$CF$2:$CF$317))</f>
        <v>4</v>
      </c>
      <c r="AA18">
        <f>SUMPRODUCT(--('Данные 1st'!$S$2:$S$317=$A18),--ISNUMBER('Данные 1st'!$CI$2:$CI$317))</f>
        <v>4</v>
      </c>
      <c r="AB18">
        <f>SUMPRODUCT(--('Данные 1st'!$S$2:$S$317=$A18),--ISNUMBER('Данные 1st'!$CJ$2:$CJ$317))</f>
        <v>4</v>
      </c>
      <c r="AC18">
        <f>SUMPRODUCT(--('Данные 1st'!$S$2:$S$317=$A18),--ISNUMBER('Данные 1st'!$CK$2:$CK$317))</f>
        <v>4</v>
      </c>
      <c r="AD18">
        <f>SUMPRODUCT(--('Данные 1st'!$S$2:$S$317=$A18),--ISNUMBER('Данные 1st'!$CL$2:$CL$317))</f>
        <v>4</v>
      </c>
      <c r="AE18">
        <f>SUMPRODUCT(--('Данные 1st'!$S$2:$S$317=$A18),--ISNUMBER('Данные 1st'!$CM$2:$CM$317))</f>
        <v>4</v>
      </c>
      <c r="AF18">
        <f>SUMPRODUCT(--('Данные 1st'!$S$2:$S$317=$A18),--ISNUMBER('Данные 1st'!$CT$2:$CT$317))</f>
        <v>4</v>
      </c>
      <c r="AG18">
        <f>SUMPRODUCT(--('Данные 1st'!$S$2:$S$317=$A18),--ISNUMBER('Данные 1st'!$CU$2:$CU$317))</f>
        <v>4</v>
      </c>
      <c r="AH18">
        <f>SUMPRODUCT(--('Данные 1st'!$S$2:$S$317=$A18),--ISNUMBER('Данные 1st'!$CV$2:$CV$317))</f>
        <v>4</v>
      </c>
      <c r="AI18">
        <f>SUMPRODUCT(--('Данные 1st'!$S$2:$S$317=$A18),--ISNUMBER('Данные 1st'!$CW$2:$CW$317))</f>
        <v>4</v>
      </c>
      <c r="AJ18">
        <f>SUMPRODUCT(--('Данные 1st'!$S$2:$S$317=$A18),--ISNUMBER('Данные 1st'!$CX$2:$CX$317))</f>
        <v>4</v>
      </c>
      <c r="AK18">
        <f>SUMPRODUCT(--('Данные 1st'!$S$2:$S$317=$A18),--ISNUMBER('Данные 1st'!$CZ$2:$CZ$317))</f>
        <v>1</v>
      </c>
      <c r="AL18">
        <f>SUMPRODUCT(--('Данные 1st'!$S$2:$S$317=$A18),--ISNUMBER('Данные 1st'!$DA$2:$DA$317))</f>
        <v>1</v>
      </c>
      <c r="AM18">
        <f>SUMPRODUCT(--('Данные 1st'!$S$2:$S$317=$A18),--ISNUMBER('Данные 1st'!$DB$2:$DB$317))</f>
        <v>1</v>
      </c>
      <c r="AN18">
        <f>SUMPRODUCT(--('Данные 1st'!$S$2:$S$317=$A18),--ISNUMBER('Данные 1st'!$DC$2:$DC$317))</f>
        <v>1</v>
      </c>
      <c r="AO18">
        <f>SUMPRODUCT(--('Данные 1st'!$S$2:$S$317=$A18),--ISNUMBER('Данные 1st'!$DD$2:$DD$317))</f>
        <v>4</v>
      </c>
      <c r="AP18">
        <f>SUMPRODUCT(--('Данные 1st'!$S$2:$S$317=$A18),--ISNUMBER('Данные 1st'!$DF$2:$DF$317))</f>
        <v>4</v>
      </c>
      <c r="AQ18">
        <f>SUMPRODUCT(--('Данные 1st'!$S$2:$S$317=$A18),--ISNUMBER('Данные 1st'!$DG$2:$DG$317))</f>
        <v>4</v>
      </c>
      <c r="AR18">
        <f>SUMPRODUCT(--('Данные 1st'!$S$2:$S$317=$A18),--ISNUMBER('Данные 1st'!$DH$2:$DH$317))</f>
        <v>4</v>
      </c>
      <c r="AS18">
        <f>SUMPRODUCT(--('Данные 1st'!$S$2:$S$317=$A18),--ISNUMBER('Данные 1st'!$DI$2:$DI$317))</f>
        <v>4</v>
      </c>
      <c r="AT18">
        <f>SUMPRODUCT(--('Данные 1st'!$S$2:$S$317=$A18),--ISNUMBER('Данные 1st'!$DJ$2:$DJ$317))</f>
        <v>4</v>
      </c>
      <c r="AU18">
        <f>SUMPRODUCT(--('Данные 1st'!$S$2:$S$317=$A18),--ISNUMBER('Данные 1st'!$DL$2:$DL$317))</f>
        <v>1</v>
      </c>
      <c r="AV18">
        <f>SUMPRODUCT(--('Данные 1st'!$S$2:$S$317=$A18),--ISNUMBER('Данные 1st'!$DM$2:$DM$317))</f>
        <v>1</v>
      </c>
      <c r="AW18">
        <f>SUMPRODUCT(--('Данные 1st'!$S$2:$S$317=$A18),--ISNUMBER('Данные 1st'!$DN$2:$DN$317))</f>
        <v>1</v>
      </c>
      <c r="AX18">
        <f>SUMPRODUCT(--('Данные 1st'!$S$2:$S$317=$A18),--ISNUMBER('Данные 1st'!$DO$2:$DO$317))</f>
        <v>1</v>
      </c>
      <c r="AY18">
        <f>SUMPRODUCT(--('Данные 1st'!$S$2:$S$317=$A18),--ISNUMBER('Данные 1st'!$DP$2:$DP$317))</f>
        <v>1</v>
      </c>
      <c r="AZ18">
        <f>SUMPRODUCT(--('Данные 1st'!$S$2:$S$317=$A18),--ISNUMBER('Данные 1st'!$DR$2:$DR$317))</f>
        <v>0</v>
      </c>
      <c r="BA18">
        <f>SUMPRODUCT(--('Данные 1st'!$S$2:$S$317=$A18),--ISNUMBER('Данные 1st'!$DS$2:$DS$317))</f>
        <v>0</v>
      </c>
      <c r="BB18">
        <f>SUMPRODUCT(--('Данные 1st'!$S$2:$S$317=$A18),--ISNUMBER('Данные 1st'!$DT$2:$DT$317))</f>
        <v>0</v>
      </c>
      <c r="BC18">
        <f>SUMPRODUCT(--('Данные 1st'!$S$2:$S$317=$A18),--ISNUMBER('Данные 1st'!$DU$2:$DU$317))</f>
        <v>0</v>
      </c>
      <c r="BD18">
        <f>SUMPRODUCT(--('Данные 1st'!$S$2:$S$317=$A18),--ISNUMBER('Данные 1st'!$DV$2:$DV$317))</f>
        <v>0</v>
      </c>
      <c r="BE18">
        <f>SUMPRODUCT(--('Данные 1st'!$S$2:$S$317=$A18),--ISNUMBER('Данные 1st'!$DX$2:$DX$317))</f>
        <v>4</v>
      </c>
      <c r="BF18">
        <f>SUMPRODUCT(--('Данные 1st'!$S$2:$S$317=$A18),--ISNUMBER('Данные 1st'!$EA$2:$EA$317))</f>
        <v>4</v>
      </c>
      <c r="BG18">
        <f>SUMPRODUCT(--('Данные 1st'!$S$2:$S$317=$A18),--ISNUMBER('Данные 1st'!$EB$2:$EB$317))</f>
        <v>4</v>
      </c>
      <c r="BH18">
        <f>SUMPRODUCT(--('Данные 1st'!$S$2:$S$317=$A18),--ISNUMBER('Данные 1st'!$ED$2:$ED$317))</f>
        <v>4</v>
      </c>
      <c r="BI18">
        <f>SUMPRODUCT(--('Данные 1st'!$S$2:$S$317=$A18),--ISNUMBER('Данные 1st'!$EE$2:$EE$317))</f>
        <v>4</v>
      </c>
      <c r="BJ18">
        <f>SUMPRODUCT(--('Данные 1st'!$S$2:$S$317=$A18),--ISNUMBER('Данные 1st'!$EG$2:$EG$317))</f>
        <v>4</v>
      </c>
      <c r="BK18">
        <f>SUMPRODUCT(--('Данные 1st'!$S$2:$S$317=$A18),--ISNUMBER('Данные 1st'!$EH$2:$EH$317))</f>
        <v>4</v>
      </c>
      <c r="BL18">
        <f>SUMPRODUCT(--('Данные 1st'!$S$2:$S$317=$A18),--ISNUMBER('Данные 1st'!$EJ$2:$EJ$317))</f>
        <v>4</v>
      </c>
      <c r="BM18">
        <f>SUMPRODUCT(--('Данные 1st'!$S$2:$S$317=$A18),--ISNUMBER('Данные 1st'!$EK$2:$EK$317))</f>
        <v>4</v>
      </c>
      <c r="BN18">
        <f>SUMPRODUCT(--('Данные 1st'!$S$2:$S$317=$A18),--ISNUMBER('Данные 1st'!$EN$2:$EN$317))</f>
        <v>4</v>
      </c>
      <c r="BO18">
        <f>SUMPRODUCT(--('Данные 1st'!$S$2:$S$317=$A18),--ISNUMBER('Данные 1st'!$EQ$2:$EQ$317))</f>
        <v>4</v>
      </c>
      <c r="BP18">
        <f>SUMPRODUCT(--('Данные 1st'!$S$2:$S$317=$A18),--ISNUMBER('Данные 1st'!$ER$2:$ER$317))</f>
        <v>4</v>
      </c>
      <c r="BQ18">
        <f>SUMPRODUCT(--('Данные 1st'!$S$2:$S$317=$A18),--ISNUMBER('Данные 1st'!$ES$2:$ES$317))</f>
        <v>4</v>
      </c>
      <c r="BR18">
        <f>SUMPRODUCT(--('Данные 1st'!$S$2:$S$317=$A18),--ISNUMBER('Данные 1st'!$ET$2:$ET$317))</f>
        <v>4</v>
      </c>
      <c r="BS18">
        <f>SUMPRODUCT(--('Данные 1st'!$S$2:$S$317=$A18),--ISNUMBER('Данные 1st'!$EU$2:$EU$317))</f>
        <v>4</v>
      </c>
      <c r="BT18">
        <f>SUMPRODUCT(--('Данные 1st'!$S$2:$S$317=$A18),--ISNUMBER('Данные 1st'!$EV$2:$EV$317))</f>
        <v>4</v>
      </c>
      <c r="BU18">
        <f>SUMPRODUCT(--('Данные 1st'!$S$2:$S$317=$A18),--ISNUMBER('Данные 1st'!$EX$2:$EX$317))</f>
        <v>4</v>
      </c>
      <c r="BV18">
        <f>SUMPRODUCT(--('Данные 1st'!$S$2:$S$317=$A18),--ISNUMBER('Данные 1st'!$EY$2:$EY$317))</f>
        <v>4</v>
      </c>
      <c r="BW18">
        <f>SUMPRODUCT(--('Данные 1st'!$S$2:$S$317=$A18),--ISNUMBER('Данные 1st'!$EZ$2:$EZ$317))</f>
        <v>4</v>
      </c>
      <c r="BX18">
        <f>SUMPRODUCT(--('Данные 1st'!$S$2:$S$317=$A18),--ISNUMBER('Данные 1st'!$FA$2:$FA$317))</f>
        <v>4</v>
      </c>
      <c r="BY18">
        <f>SUMPRODUCT(--('Данные 1st'!$S$2:$S$317=$A18),--ISNUMBER('Данные 1st'!$FB$2:$FB$317))</f>
        <v>4</v>
      </c>
      <c r="BZ18">
        <f>SUMPRODUCT(--('Данные 1st'!$S$2:$S$317=$A18),--ISNUMBER('Данные 1st'!$FC$2:$FC$317))</f>
        <v>4</v>
      </c>
      <c r="CA18">
        <f>SUMPRODUCT(--('Данные 1st'!$S$2:$S$317=$A18),--ISNUMBER('Данные 1st'!$FE$2:$FE$317))</f>
        <v>4</v>
      </c>
      <c r="CB18">
        <f>SUMPRODUCT(--('Данные 1st'!$S$2:$S$317=$A18),--ISNUMBER('Данные 1st'!$FF$2:$FF$317))</f>
        <v>4</v>
      </c>
      <c r="CC18">
        <f>SUMPRODUCT(--('Данные 1st'!$S$2:$S$317=$A18),--ISNUMBER('Данные 1st'!$FI$2:$FI$317))</f>
        <v>4</v>
      </c>
      <c r="CD18">
        <f>SUMPRODUCT(--('Данные 1st'!$S$2:$S$317=$A18),--ISNUMBER('Данные 1st'!$FL$2:$FL$317))</f>
        <v>4</v>
      </c>
      <c r="CE18">
        <f>SUMPRODUCT(--('Данные 1st'!$S$2:$S$317=$A18),--ISNUMBER('Данные 1st'!$FM$2:$FM$317))</f>
        <v>4</v>
      </c>
      <c r="CF18">
        <f>SUMPRODUCT(--('Данные 1st'!$S$2:$S$317=$A18),--ISNUMBER('Данные 1st'!$FN$2:$FN$317))</f>
        <v>4</v>
      </c>
      <c r="CG18">
        <f>SUMPRODUCT(--('Данные 1st'!$S$2:$S$317=$A18),--ISNUMBER('Данные 1st'!$FO$2:$FO$317))</f>
        <v>1</v>
      </c>
      <c r="CH18">
        <f>SUMPRODUCT(--('Данные 1st'!$S$2:$S$317=$A18),--ISNUMBER('Данные 1st'!$FP$2:$FP$317))</f>
        <v>1</v>
      </c>
      <c r="CI18">
        <f>SUMPRODUCT(--('Данные 1st'!$S$2:$S$317=$A18),--ISNUMBER('Данные 1st'!$FS$2:$FS$317))</f>
        <v>3</v>
      </c>
      <c r="CJ18">
        <f>SUMPRODUCT(--('Данные 1st'!$S$2:$S$317=$A18),--ISNUMBER('Данные 1st'!$FT$2:$FT$317))</f>
        <v>3</v>
      </c>
      <c r="CK18">
        <f>SUMPRODUCT(--('Данные 1st'!$S$2:$S$317=$A18),--ISNUMBER('Данные 1st'!$FU$2:$FU$317))</f>
        <v>3</v>
      </c>
      <c r="CL18">
        <f>SUMPRODUCT(--('Данные 1st'!$S$2:$S$317=$A18),--ISNUMBER('Данные 1st'!$FV$2:$FV$317))</f>
        <v>0</v>
      </c>
      <c r="CM18">
        <f>SUMPRODUCT(--('Данные 1st'!$S$2:$S$317=$A18),--ISNUMBER('Данные 1st'!$FW$2:$FW$317))</f>
        <v>0</v>
      </c>
      <c r="CN18">
        <f>SUMPRODUCT(--('Данные 1st'!$S$2:$S$317=$A18),--ISNUMBER('Данные 1st'!$FZ$2:$FZ$317))</f>
        <v>0</v>
      </c>
      <c r="CO18">
        <f>SUMPRODUCT(--('Данные 1st'!$S$2:$S$317=$A18),--ISNUMBER('Данные 1st'!$GA$2:$GA$317))</f>
        <v>0</v>
      </c>
      <c r="CP18">
        <f>SUMPRODUCT(--('Данные 1st'!$S$2:$S$317=$A18),--ISNUMBER('Данные 1st'!$GB$2:$GB$317))</f>
        <v>0</v>
      </c>
      <c r="CQ18">
        <f>SUMPRODUCT(--('Данные 1st'!$S$2:$S$317=$A18),--ISNUMBER('Данные 1st'!$GH$2:$GH$317))</f>
        <v>0</v>
      </c>
      <c r="CR18">
        <f>SUMPRODUCT(--('Данные 1st'!$S$2:$S$317=$A18),--ISNUMBER('Данные 1st'!$GI$2:$GI$317))</f>
        <v>0</v>
      </c>
      <c r="CS18">
        <f>SUMPRODUCT(--('Данные 1st'!$S$2:$S$317=$A18),--ISNUMBER('Данные 1st'!$GJ$2:$GJ$317))</f>
        <v>0</v>
      </c>
      <c r="CT18">
        <f>SUMPRODUCT(--('Данные 1st'!$S$2:$S$317=$A18),--ISNUMBER('Данные 1st'!$GS$2:$GS$317))</f>
        <v>1</v>
      </c>
      <c r="CU18">
        <f>SUMPRODUCT(--('Данные 1st'!$S$2:$S$317=$A18),--ISNUMBER('Данные 1st'!$GT$2:$GT$317))</f>
        <v>1</v>
      </c>
      <c r="CV18">
        <f>SUMPRODUCT(--('Данные 1st'!$S$2:$S$317=$A18),--ISNUMBER('Данные 1st'!$GU$2:$GU$317))</f>
        <v>1</v>
      </c>
      <c r="CW18">
        <f>SUMPRODUCT(--('Данные 1st'!$S$2:$S$317=$A18),--ISNUMBER('Данные 1st'!$GV$2:$GV$317))</f>
        <v>1</v>
      </c>
      <c r="CX18">
        <f>SUMPRODUCT(--('Данные 1st'!$S$2:$S$317=$A18),--ISNUMBER('Данные 1st'!$GW$2:$GW$317))</f>
        <v>1</v>
      </c>
      <c r="CY18">
        <f>SUMPRODUCT(--('Данные 1st'!$S$2:$S$317=$A18),--ISNUMBER('Данные 1st'!$GZ$2:$GZ$317))</f>
        <v>0</v>
      </c>
      <c r="CZ18">
        <f>SUMPRODUCT(--('Данные 1st'!$S$2:$S$317=$A18),--ISNUMBER('Данные 1st'!$HA$2:$HA$317))</f>
        <v>0</v>
      </c>
      <c r="DA18">
        <f>SUMPRODUCT(--('Данные 1st'!$S$2:$S$317=$A18),--ISNUMBER('Данные 1st'!$HB$2:$HB$317))</f>
        <v>0</v>
      </c>
      <c r="DB18">
        <f>SUMPRODUCT(--('Данные 1st'!$S$2:$S$317=$A18),--ISNUMBER('Данные 1st'!$HC$2:$HC$317))</f>
        <v>4</v>
      </c>
      <c r="DC18">
        <f>SUMPRODUCT(--('Данные 1st'!$S$2:$S$317=$A18),--ISNUMBER('Данные 1st'!$HD$2:$HD$317))</f>
        <v>4</v>
      </c>
      <c r="DD18">
        <f>SUMPRODUCT(--('Данные 1st'!$S$2:$S$317=$A18),--ISNUMBER('Данные 1st'!$HE$2:$HE$317))</f>
        <v>4</v>
      </c>
      <c r="DE18">
        <f>SUMPRODUCT(--('Данные 1st'!$S$2:$S$317=$A18),--ISNUMBER('Данные 1st'!$HF$2:$HF$317))</f>
        <v>4</v>
      </c>
      <c r="DF18">
        <f>SUMPRODUCT(--('Данные 1st'!$S$2:$S$317=$A18),--ISNUMBER('Данные 1st'!$HG$2:$HG$317))</f>
        <v>4</v>
      </c>
      <c r="DG18">
        <f>SUMPRODUCT(--('Данные 1st'!$S$2:$S$317=$A18),--ISNUMBER('Данные 1st'!$HH$2:$HH$317))</f>
        <v>4</v>
      </c>
      <c r="DH18">
        <f>SUMPRODUCT(--('Данные 1st'!$S$2:$S$317=$A18),--ISNUMBER('Данные 1st'!$HI$2:$HI$317))</f>
        <v>4</v>
      </c>
      <c r="DI18">
        <f>SUMPRODUCT(--('Данные 1st'!$S$2:$S$317=$A18),--ISNUMBER('Данные 1st'!$HJ$2:$HJ$317))</f>
        <v>4</v>
      </c>
      <c r="DJ18">
        <f>SUMPRODUCT(--('Данные 1st'!$S$2:$S$317=$A18),--ISNUMBER('Данные 1st'!$HK$2:$HK$317))</f>
        <v>4</v>
      </c>
      <c r="DK18">
        <f>SUMPRODUCT(--('Данные 1st'!$S$2:$S$317=$A18),--ISNUMBER('Данные 1st'!$HL$2:$HL$317))</f>
        <v>4</v>
      </c>
      <c r="DL18">
        <f>SUMPRODUCT(--('Данные 1st'!$S$2:$S$317=$A18),--ISNUMBER('Данные 1st'!$HM$2:$HM$317))</f>
        <v>4</v>
      </c>
      <c r="DM18">
        <f>SUMPRODUCT(--('Данные 1st'!$S$2:$S$317=$A18),--ISNUMBER('Данные 1st'!$HN$2:$HN$317))</f>
        <v>4</v>
      </c>
      <c r="DN18">
        <f>SUMPRODUCT(--('Данные 1st'!$S$2:$S$317=$A18),--ISNUMBER('Данные 1st'!$HO$2:$HO$317))</f>
        <v>4</v>
      </c>
      <c r="DO18">
        <f>SUMPRODUCT(--('Данные 1st'!$S$2:$S$317=$A18),--ISNUMBER('Данные 1st'!$HP$2:$HP$317))</f>
        <v>4</v>
      </c>
      <c r="DP18">
        <f>SUMPRODUCT(--('Данные 1st'!$S$2:$S$317=$A18),--ISNUMBER('Данные 1st'!$HQ$2:$HQ$317))</f>
        <v>4</v>
      </c>
      <c r="DQ18">
        <f>SUMPRODUCT(--('Данные 1st'!$S$2:$S$317=$A18),--ISNUMBER('Данные 1st'!$HR$2:$HR$317))</f>
        <v>4</v>
      </c>
      <c r="DR18">
        <f>SUMPRODUCT(--('Данные 1st'!$S$2:$S$317=$A18),--ISNUMBER('Данные 1st'!$HS$2:$HS$317))</f>
        <v>4</v>
      </c>
      <c r="DS18">
        <f>SUMPRODUCT(--('Данные 1st'!$S$2:$S$317=$A18),--ISNUMBER('Данные 1st'!$HT$2:$HT$317))</f>
        <v>4</v>
      </c>
      <c r="DT18">
        <f>SUMPRODUCT(--('Данные 1st'!$S$2:$S$317=$A18),--ISNUMBER('Данные 1st'!$HU$2:$HU$317))</f>
        <v>4</v>
      </c>
      <c r="DU18">
        <f>SUMPRODUCT(--('Данные 1st'!$S$2:$S$317=$A18),--ISNUMBER('Данные 1st'!$HW$2:$HW$317))</f>
        <v>4</v>
      </c>
      <c r="DV18">
        <f>SUMPRODUCT(--('Данные 1st'!$S$2:$S$317=$A18),--ISNUMBER('Данные 1st'!$HX$2:$HX$317))</f>
        <v>4</v>
      </c>
      <c r="DW18">
        <f>SUMPRODUCT(--('Данные 1st'!$S$2:$S$317=$A18),--ISNUMBER('Данные 1st'!$HY$2:$HY$317))</f>
        <v>4</v>
      </c>
      <c r="DX18">
        <f>SUMPRODUCT(--('Данные 1st'!$S$2:$S$317=$A18),--ISNUMBER('Данные 1st'!$IA$2:$IA$317))</f>
        <v>4</v>
      </c>
      <c r="DY18">
        <f>SUMPRODUCT(--('Данные 1st'!$S$2:$S$317=$A18),--ISNUMBER('Данные 1st'!$IB$2:$IB$317))</f>
        <v>4</v>
      </c>
      <c r="DZ18">
        <f>SUMPRODUCT(--('Данные 1st'!$S$2:$S$317=$A18),--ISNUMBER('Данные 1st'!$IC$2:$IC$317))</f>
        <v>4</v>
      </c>
      <c r="EA18">
        <f>SUMPRODUCT(--('Данные 1st'!$S$2:$S$317=$A18),--ISNUMBER('Данные 1st'!$ID$2:$ID$317))</f>
        <v>4</v>
      </c>
      <c r="EB18">
        <f>SUMPRODUCT(--('Данные 1st'!$S$2:$S$317=$A18),--ISNUMBER('Данные 1st'!$IE$2:$IE$317))</f>
        <v>4</v>
      </c>
      <c r="EC18">
        <f>SUMPRODUCT(--('Данные 1st'!$S$2:$S$317=$A18),--ISNUMBER('Данные 1st'!$IF$2:$IF$317))</f>
        <v>4</v>
      </c>
      <c r="ED18">
        <f>SUMPRODUCT(--('Данные 1st'!$S$2:$S$317=$A18),--ISNUMBER('Данные 1st'!$IP$2:$IP$317))</f>
        <v>4</v>
      </c>
      <c r="EE18">
        <f>SUMPRODUCT(--('Данные 1st'!$S$2:$S$317=$A18),--ISNUMBER('Данные 1st'!$IV$2:$IV$317))</f>
        <v>4</v>
      </c>
      <c r="EF18">
        <f>SUMPRODUCT(--('Данные 1st'!$S$2:$S$317=$A18),--ISNUMBER('Данные 1st'!$IW$2:$IW$317))</f>
        <v>4</v>
      </c>
      <c r="EG18">
        <f>SUMPRODUCT(--('Данные 1st'!$S$2:$S$317=$A18),--ISNUMBER('Данные 1st'!$IX$2:$IX$317))</f>
        <v>0</v>
      </c>
      <c r="EH18">
        <f>SUMPRODUCT(--('Данные 1st'!$S$2:$S$317=$A18),--ISNUMBER('Данные 1st'!$IY$2:$IY$317))</f>
        <v>0</v>
      </c>
      <c r="EI18">
        <f>SUMPRODUCT(--('Данные 1st'!$S$2:$S$317=$A18),--ISNUMBER('Данные 1st'!$JD$2:$JD$317))</f>
        <v>4</v>
      </c>
      <c r="EJ18">
        <f>SUMPRODUCT(--('Данные 1st'!$S$2:$S$317=$A18),--ISNUMBER('Данные 1st'!$JE$2:$JE$317))</f>
        <v>4</v>
      </c>
      <c r="EK18">
        <f>SUMPRODUCT(--('Данные 1st'!$S$2:$S$317=$A18),--ISNUMBER('Данные 1st'!$JF$2:$JF$317))</f>
        <v>4</v>
      </c>
      <c r="EL18">
        <f>SUMPRODUCT(--('Данные 1st'!$S$2:$S$317=$A18),--ISNUMBER('Данные 1st'!$JG$2:$JG$317))</f>
        <v>4</v>
      </c>
      <c r="EM18">
        <f>SUMPRODUCT(--('Данные 1st'!$S$2:$S$317=$A18),--ISNUMBER('Данные 1st'!$JH$2:$JH$317))</f>
        <v>4</v>
      </c>
      <c r="EN18">
        <f>SUMPRODUCT(--('Данные 1st'!$S$2:$S$317=$A18),--ISNUMBER('Данные 1st'!$JJ$2:$JJ$317))</f>
        <v>4</v>
      </c>
      <c r="EO18">
        <f>SUMPRODUCT(--('Данные 1st'!$S$2:$S$317=$A18),--ISNUMBER('Данные 1st'!$JK$2:$JK$317))</f>
        <v>4</v>
      </c>
      <c r="EP18">
        <f>SUMPRODUCT(--('Данные 1st'!$S$2:$S$317=$A18),--ISNUMBER('Данные 1st'!$JL$2:$JL$317))</f>
        <v>0</v>
      </c>
      <c r="EQ18">
        <f>SUMPRODUCT(--('Данные 1st'!$S$2:$S$317=$A18),--ISNUMBER('Данные 1st'!$JM$2:$JM$317))</f>
        <v>0</v>
      </c>
      <c r="ER18">
        <f>SUMPRODUCT(--('Данные 1st'!$S$2:$S$317=$A18),--ISNUMBER('Данные 1st'!$JN$2:$JN$317))</f>
        <v>4</v>
      </c>
      <c r="ES18">
        <f>SUMPRODUCT(--('Данные 1st'!$S$2:$S$317=$A18),--ISNUMBER('Данные 1st'!$JO$2:$JO$317))</f>
        <v>4</v>
      </c>
      <c r="ET18">
        <f>SUMPRODUCT(--('Данные 1st'!$S$2:$S$317=$A18),--ISNUMBER('Данные 1st'!$JP$2:$JP$317))</f>
        <v>4</v>
      </c>
      <c r="EU18">
        <f>SUMPRODUCT(--('Данные 1st'!$S$2:$S$317=$A18),--ISNUMBER('Данные 1st'!$JQ$2:$JQ$317))</f>
        <v>4</v>
      </c>
      <c r="EV18">
        <f>SUMPRODUCT(--('Данные 1st'!$S$2:$S$317=$A18),--ISNUMBER('Данные 1st'!$JR$2:$JR$317))</f>
        <v>4</v>
      </c>
      <c r="EW18">
        <f>SUMPRODUCT(--('Данные 1st'!$S$2:$S$317=$A18),--ISNUMBER('Данные 1st'!$JS$2:$JS$317))</f>
        <v>4</v>
      </c>
      <c r="EX18">
        <f>SUMPRODUCT(--('Данные 1st'!$S$2:$S$317=$A18),--ISNUMBER('Данные 1st'!$JT$2:$JT$317))</f>
        <v>0</v>
      </c>
      <c r="EY18">
        <f>SUMPRODUCT(--('Данные 1st'!$S$2:$S$317=$A18),--ISNUMBER('Данные 1st'!$JU$2:$JU$317))</f>
        <v>0</v>
      </c>
      <c r="EZ18">
        <f>SUMPRODUCT(--('Данные 1st'!$S$2:$S$317=$A18),--ISNUMBER('Данные 1st'!$JV$2:$JV$317))</f>
        <v>4</v>
      </c>
      <c r="FA18">
        <f>SUMPRODUCT(--('Данные 1st'!$S$2:$S$317=$A18),--ISNUMBER('Данные 1st'!$JW$2:$JW$317))</f>
        <v>0</v>
      </c>
      <c r="FB18">
        <f>SUMPRODUCT(--('Данные 1st'!$S$2:$S$317=$A18),--ISNUMBER('Данные 1st'!$JX$2:$JX$317))</f>
        <v>4</v>
      </c>
      <c r="FC18">
        <f>SUMPRODUCT(--('Данные 1st'!$S$2:$S$317=$A18),--ISNUMBER('Данные 1st'!$JY$2:$JY$317))</f>
        <v>0</v>
      </c>
      <c r="FD18">
        <f>SUMPRODUCT(--('Данные 1st'!$S$2:$S$317=$A18),--ISNUMBER('Данные 1st'!$JZ$2:$JZ$317))</f>
        <v>0</v>
      </c>
      <c r="FE18">
        <f>SUMPRODUCT(--('Данные 1st'!$S$2:$S$317=$A18),--ISNUMBER('Данные 1st'!$KA$2:$KA$317))</f>
        <v>4</v>
      </c>
      <c r="FF18">
        <f>SUMPRODUCT(--('Данные 1st'!$S$2:$S$317=$A18),--ISNUMBER('Данные 1st'!$KB$2:$KB$317))</f>
        <v>4</v>
      </c>
      <c r="FG18">
        <f>SUMPRODUCT(--('Данные 1st'!$S$2:$S$317=$A18),--ISNUMBER('Данные 1st'!$KC$2:$KC$317))</f>
        <v>4</v>
      </c>
      <c r="FH18">
        <f>SUMPRODUCT(--('Данные 1st'!$S$2:$S$317=$A18),--ISNUMBER('Данные 1st'!$KD$2:$KD$317))</f>
        <v>4</v>
      </c>
      <c r="FI18">
        <f>SUMPRODUCT(--('Данные 1st'!$S$2:$S$317=$A18),--ISNUMBER('Данные 1st'!$KE$2:$KE$317))</f>
        <v>0</v>
      </c>
      <c r="FJ18">
        <f>SUMPRODUCT(--('Данные 1st'!$S$2:$S$317=$A18),--ISNUMBER('Данные 1st'!$KF$2:$KF$317))</f>
        <v>4</v>
      </c>
      <c r="FK18">
        <f>SUMPRODUCT(--('Данные 1st'!$S$2:$S$317=$A18),--ISNUMBER('Данные 1st'!$KG$2:$KG$317))</f>
        <v>4</v>
      </c>
      <c r="FL18">
        <f>SUMPRODUCT(--('Данные 1st'!$S$2:$S$317=$A18),--ISNUMBER('Данные 1st'!$KH$2:$KH$317))</f>
        <v>4</v>
      </c>
      <c r="FM18">
        <f>SUMPRODUCT(--('Данные 1st'!$S$2:$S$317=$A18),--ISNUMBER('Данные 1st'!$KI$2:$KI$317))</f>
        <v>4</v>
      </c>
      <c r="FN18">
        <f>SUMPRODUCT(--('Данные 1st'!$S$2:$S$317=$A18),--ISNUMBER('Данные 1st'!$KJ$2:$KJ$317))</f>
        <v>4</v>
      </c>
      <c r="FO18">
        <f>SUMPRODUCT(--('Данные 1st'!$S$2:$S$317=$A18),--ISNUMBER('Данные 1st'!$KK$2:$KK$317))</f>
        <v>4</v>
      </c>
      <c r="FP18">
        <f>SUMPRODUCT(--('Данные 1st'!$S$2:$S$317=$A18),--ISNUMBER('Данные 1st'!$KL$2:$KL$317))</f>
        <v>4</v>
      </c>
      <c r="FQ18">
        <f>SUMPRODUCT(--('Данные 1st'!$S$2:$S$317=$A18),--ISNUMBER('Данные 1st'!$KM$2:$KM$317))</f>
        <v>4</v>
      </c>
      <c r="FR18">
        <f>SUMPRODUCT(--('Данные 1st'!$S$2:$S$317=$A18),--ISNUMBER('Данные 1st'!$KN$2:$KN$317))</f>
        <v>4</v>
      </c>
      <c r="FS18">
        <f>SUMPRODUCT(--('Данные 1st'!$S$2:$S$317=$A18),--ISNUMBER('Данные 1st'!$KR$2:$KR$317))</f>
        <v>4</v>
      </c>
      <c r="FT18">
        <f>SUMPRODUCT(--('Данные 1st'!$S$2:$S$317=$A18),--ISNUMBER('Данные 1st'!$KS$2:$KS$317))</f>
        <v>4</v>
      </c>
      <c r="FU18">
        <f>SUMPRODUCT(--('Данные 1st'!$S$2:$S$317=$A18),--ISNUMBER('Данные 1st'!$KT$2:$KT$317))</f>
        <v>4</v>
      </c>
      <c r="FV18">
        <f>SUMPRODUCT(--('Данные 1st'!$S$2:$S$317=$A18),--ISNUMBER('Данные 1st'!$KV$2:$KV$317))</f>
        <v>0</v>
      </c>
      <c r="FW18">
        <f>SUMPRODUCT(--('Данные 1st'!$S$2:$S$317=$A18),--ISNUMBER('Данные 1st'!$KW$2:$KW$317))</f>
        <v>0</v>
      </c>
      <c r="FX18">
        <f>SUMPRODUCT(--('Данные 1st'!$S$2:$S$317=$A18),--ISNUMBER('Данные 1st'!$KX$2:$KX$317))</f>
        <v>0</v>
      </c>
      <c r="FY18">
        <f>SUMPRODUCT(--('Данные 1st'!$S$2:$S$317=$A18),--ISNUMBER('Данные 1st'!$KY$2:$KY$317))</f>
        <v>0</v>
      </c>
      <c r="FZ18">
        <f>SUMPRODUCT(--('Данные 1st'!$S$2:$S$317=$A18),--ISNUMBER('Данные 1st'!$KZ$2:$KZ$317))</f>
        <v>0</v>
      </c>
      <c r="GA18">
        <f>SUMPRODUCT(--('Данные 1st'!$S$2:$S$317=$A18),--ISNUMBER('Данные 1st'!$LA$2:$LA$317))</f>
        <v>0</v>
      </c>
      <c r="GB18">
        <f>SUMPRODUCT(--('Данные 1st'!$S$2:$S$317=$A18),--ISNUMBER('Данные 1st'!$LB$2:$LB$317))</f>
        <v>0</v>
      </c>
      <c r="GC18">
        <f>SUMPRODUCT(--('Данные 1st'!$S$2:$S$317=$A18),--ISNUMBER('Данные 1st'!$LC$2:$LC$317))</f>
        <v>0</v>
      </c>
      <c r="GD18">
        <f>SUMPRODUCT(--('Данные 1st'!$S$2:$S$317=$A18),--ISNUMBER('Данные 1st'!$LD$2:$LD$317))</f>
        <v>0</v>
      </c>
      <c r="GE18">
        <f>SUMPRODUCT(--('Данные 1st'!$S$2:$S$317=$A18),--ISNUMBER('Данные 1st'!$LE$2:$LE$317))</f>
        <v>0</v>
      </c>
      <c r="GF18">
        <f>SUMPRODUCT(--('Данные 1st'!$S$2:$S$317=$A18),--ISNUMBER('Данные 1st'!$LF$2:$LF$317))</f>
        <v>0</v>
      </c>
      <c r="GG18">
        <f>SUMPRODUCT(--('Данные 1st'!$S$2:$S$317=$A18),--ISNUMBER('Данные 1st'!$LG$2:$LG$317))</f>
        <v>0</v>
      </c>
      <c r="GH18">
        <f>SUMPRODUCT(--('Данные 1st'!$S$2:$S$317=$A18),--ISNUMBER('Данные 1st'!$LH$2:$LH$317))</f>
        <v>0</v>
      </c>
      <c r="GI18">
        <f>SUMPRODUCT(--('Данные 1st'!$S$2:$S$317=$A18),--ISNUMBER('Данные 1st'!$LI$2:$LI$317))</f>
        <v>0</v>
      </c>
      <c r="GJ18">
        <f>SUMPRODUCT(--('Данные 1st'!$S$2:$S$317=$A18),--ISNUMBER('Данные 1st'!$LJ$2:$LJ$317))</f>
        <v>0</v>
      </c>
      <c r="GK18">
        <f>SUMPRODUCT(--('Данные 1st'!$S$2:$S$317=$A18),--ISNUMBER('Данные 1st'!$LK$2:$LK$317))</f>
        <v>4</v>
      </c>
      <c r="GL18">
        <f>SUMPRODUCT(--('Данные 1st'!$S$2:$S$317=$A18),--ISNUMBER('Данные 1st'!$LV$2:$LV$317))</f>
        <v>0</v>
      </c>
      <c r="GM18">
        <f>SUMPRODUCT(--('Данные 1st'!$S$2:$S$317=$A18),--ISNUMBER('Данные 1st'!$LW$2:$LW$317))</f>
        <v>0</v>
      </c>
      <c r="GN18">
        <f>SUMPRODUCT(--('Данные 1st'!$S$2:$S$317=$A18),--ISNUMBER('Данные 1st'!$LX$2:$LX$317))</f>
        <v>0</v>
      </c>
      <c r="GO18">
        <f>SUMPRODUCT(--('Данные 1st'!$S$2:$S$317=$A18),--ISNUMBER('Данные 1st'!$LY$2:$LY$317))</f>
        <v>0</v>
      </c>
      <c r="GP18">
        <f>SUMPRODUCT(--('Данные 1st'!$S$2:$S$317=$A18),--ISNUMBER('Данные 1st'!$LZ$2:$LZ$317))</f>
        <v>0</v>
      </c>
      <c r="GQ18">
        <f>SUMPRODUCT(--('Данные 1st'!$S$2:$S$317=$A18),--ISNUMBER('Данные 1st'!$PG$2:$PG$317))</f>
        <v>4</v>
      </c>
      <c r="GR18">
        <f>SUMPRODUCT(--('Данные 1st'!$S$2:$S$317=$A18),--ISNUMBER('Данные 1st'!$PX$2:$PX$317))</f>
        <v>4</v>
      </c>
      <c r="GS18">
        <f>SUMPRODUCT(--('Данные 1st'!$S$2:$S$317=$A18),--ISNUMBER('Данные 1st'!$PY$2:$PY$317))</f>
        <v>4</v>
      </c>
      <c r="GT18">
        <f>SUMPRODUCT(--('Данные 1st'!$S$2:$S$317=$A18),--ISNUMBER('Данные 1st'!$QA$2:$QA$317))</f>
        <v>4</v>
      </c>
      <c r="GU18">
        <f>SUMPRODUCT(--('Данные 1st'!$S$2:$S$317=$A18),--ISNUMBER('Данные 1st'!$QB$2:$QB$317))</f>
        <v>4</v>
      </c>
      <c r="GV18">
        <f>SUMPRODUCT(--('Данные 1st'!$S$2:$S$317=$A18),--ISNUMBER('Данные 1st'!$QC$2:$QC$317))</f>
        <v>4</v>
      </c>
      <c r="GW18">
        <f>SUMPRODUCT(--('Данные 1st'!$S$2:$S$317=$A18),--ISNUMBER('Данные 1st'!$QD$2:$QD$317))</f>
        <v>4</v>
      </c>
      <c r="GX18">
        <f>SUMPRODUCT(--('Данные 1st'!$S$2:$S$317=$A18),--ISNUMBER('Данные 1st'!$QF$2:$QF$317))</f>
        <v>4</v>
      </c>
      <c r="GY18">
        <f>SUMPRODUCT(--('Данные 1st'!$S$2:$S$317=$A18),--ISNUMBER('Данные 1st'!$QG$2:$QG$317))</f>
        <v>4</v>
      </c>
      <c r="GZ18">
        <f>SUMPRODUCT(--('Данные 1st'!$S$2:$S$317=$A18),--ISNUMBER('Данные 1st'!$QH$2:$QH$317))</f>
        <v>4</v>
      </c>
      <c r="HA18">
        <f>SUMPRODUCT(--('Данные 1st'!$S$2:$S$317=$A18),--ISNUMBER('Данные 1st'!$QI$2:$QI$317))</f>
        <v>4</v>
      </c>
      <c r="HB18">
        <f>SUMPRODUCT(--('Данные 1st'!$S$2:$S$317=$A18),--ISNUMBER('Данные 1st'!$QK$2:$QK$317))</f>
        <v>1</v>
      </c>
      <c r="HC18">
        <f>SUMPRODUCT(--('Данные 1st'!$S$2:$S$317=$A18),--ISNUMBER('Данные 1st'!$QL$2:$QL$317))</f>
        <v>4</v>
      </c>
      <c r="HD18">
        <f>SUMPRODUCT(--('Данные 1st'!$S$2:$S$317=$A18),--ISNUMBER('Данные 1st'!$QM$2:$QM$317))</f>
        <v>4</v>
      </c>
      <c r="HE18">
        <f>SUMPRODUCT(--('Данные 1st'!$S$2:$S$317=$A18),--ISNUMBER('Данные 1st'!$QN$2:$QN$317))</f>
        <v>4</v>
      </c>
      <c r="HF18">
        <f>SUMPRODUCT(--('Данные 1st'!$S$2:$S$317=$A18),--ISNUMBER('Данные 1st'!$QP$2:$QP$317))</f>
        <v>4</v>
      </c>
      <c r="HG18">
        <f>SUMPRODUCT(--('Данные 1st'!$S$2:$S$317=$A18),--ISNUMBER('Данные 1st'!$QQ$2:$QQ$317))</f>
        <v>4</v>
      </c>
      <c r="HH18">
        <f>SUMPRODUCT(--('Данные 1st'!$S$2:$S$317=$A18),--ISNUMBER('Данные 1st'!$QR$2:$QR$317))</f>
        <v>1</v>
      </c>
      <c r="HI18">
        <f>SUMPRODUCT(--('Данные 1st'!$S$2:$S$317=$A18),--ISNUMBER('Данные 1st'!$QS$2:$QS$317))</f>
        <v>1</v>
      </c>
      <c r="HJ18">
        <f>SUMPRODUCT(--('Данные 1st'!$S$2:$S$317=$A18),--ISNUMBER('Данные 1st'!$QU$2:$QU$317))</f>
        <v>1</v>
      </c>
      <c r="HK18">
        <f>SUMPRODUCT(--('Данные 1st'!$S$2:$S$317=$A18),--ISNUMBER('Данные 1st'!$QV$2:$QV$317))</f>
        <v>1</v>
      </c>
      <c r="HL18">
        <f>SUMPRODUCT(--('Данные 1st'!$S$2:$S$317=$A18),--ISNUMBER('Данные 1st'!$QW$2:$QW$317))</f>
        <v>4</v>
      </c>
      <c r="HM18">
        <f>SUMPRODUCT(--('Данные 1st'!$S$2:$S$317=$A18),--ISNUMBER('Данные 1st'!$QX$2:$QX$317))</f>
        <v>4</v>
      </c>
      <c r="HN18">
        <f>SUMPRODUCT(--('Данные 1st'!$S$2:$S$317=$A18),--ISNUMBER('Данные 1st'!$QZ$2:$QZ$317))</f>
        <v>4</v>
      </c>
      <c r="HO18">
        <f>SUMPRODUCT(--('Данные 1st'!$S$2:$S$317=$A18),--ISNUMBER('Данные 1st'!$RA$2:$RA$317))</f>
        <v>4</v>
      </c>
      <c r="HP18">
        <f>SUMPRODUCT(--('Данные 1st'!$S$2:$S$317=$A18),--ISNUMBER('Данные 1st'!$RB$2:$RB$317))</f>
        <v>4</v>
      </c>
      <c r="HQ18">
        <f>SUMPRODUCT(--('Данные 1st'!$S$2:$S$317=$A18),--ISNUMBER('Данные 1st'!$RD$2:$RD$317))</f>
        <v>0</v>
      </c>
      <c r="HR18">
        <f>SUMPRODUCT(--('Данные 1st'!$S$2:$S$317=$A18),--ISNUMBER('Данные 1st'!$RE$2:$RE$317))</f>
        <v>4</v>
      </c>
      <c r="HS18">
        <f>SUMPRODUCT(--('Данные 1st'!$S$2:$S$317=$A18),--ISNUMBER('Данные 1st'!$RF$2:$RF$317))</f>
        <v>4</v>
      </c>
      <c r="HT18">
        <f>SUMPRODUCT(--('Данные 1st'!$S$2:$S$317=$A18),--ISNUMBER('Данные 1st'!$RG$2:$RG$317))</f>
        <v>0</v>
      </c>
      <c r="HU18">
        <f>SUMPRODUCT(--('Данные 1st'!$S$2:$S$317=$A18),--ISNUMBER('Данные 1st'!$RH$2:$RH$317))</f>
        <v>1</v>
      </c>
      <c r="HV18">
        <f>SUMPRODUCT(--('Данные 1st'!$S$2:$S$317=$A18),--ISNUMBER('Данные 1st'!$RI$2:$RI$317))</f>
        <v>0</v>
      </c>
      <c r="HW18">
        <f>SUMPRODUCT(--('Данные 1st'!$S$2:$S$317=$A18),--ISNUMBER('Данные 1st'!$RJ$2:$RJ$317))</f>
        <v>4</v>
      </c>
      <c r="HX18">
        <f>SUMPRODUCT(--('Данные 1st'!$S$2:$S$317=$A18),--ISNUMBER('Данные 1st'!$RK$2:$RK$317))</f>
        <v>1</v>
      </c>
      <c r="HY18">
        <f>SUMPRODUCT(--('Данные 1st'!$S$2:$S$317=$A18),--ISNUMBER('Данные 1st'!$RL$2:$RL$317))</f>
        <v>4</v>
      </c>
      <c r="HZ18">
        <f>SUMPRODUCT(--('Данные 1st'!$S$2:$S$317=$A18),--ISNUMBER('Данные 1st'!$RM$2:$RM$317))</f>
        <v>1</v>
      </c>
      <c r="IA18">
        <f>SUMPRODUCT(--('Данные 1st'!$S$2:$S$317=$A18),--ISNUMBER('Данные 1st'!$RN$2:$RN$317))</f>
        <v>0</v>
      </c>
      <c r="IB18">
        <f>SUMPRODUCT(--('Данные 1st'!$S$2:$S$317=$A18),--ISNUMBER('Данные 1st'!$RO$2:$RO$317))</f>
        <v>4</v>
      </c>
      <c r="IC18">
        <f>SUMPRODUCT(--('Данные 1st'!$S$2:$S$317=$A18),--ISNUMBER('Данные 1st'!$RP$2:$RP$317))</f>
        <v>1</v>
      </c>
      <c r="ID18">
        <f>SUMPRODUCT(--('Данные 1st'!$S$2:$S$317=$A18),--ISNUMBER('Данные 1st'!$RQ$2:$RQ$317))</f>
        <v>4</v>
      </c>
      <c r="IE18">
        <f>SUMPRODUCT(--('Данные 1st'!$S$2:$S$317=$A18),--ISNUMBER('Данные 1st'!$RR$2:$RR$317))</f>
        <v>1</v>
      </c>
      <c r="IF18">
        <f>SUMPRODUCT(--('Данные 1st'!$S$2:$S$317=$A18),--ISNUMBER('Данные 1st'!$RS$2:$RS$317))</f>
        <v>0</v>
      </c>
      <c r="IG18">
        <f>SUMPRODUCT(--('Данные 1st'!$S$2:$S$317=$A18),--ISNUMBER('Данные 1st'!$RT$2:$RT$317))</f>
        <v>4</v>
      </c>
      <c r="IH18">
        <f>SUMPRODUCT(--('Данные 1st'!$S$2:$S$317=$A18),--ISNUMBER('Данные 1st'!$RU$2:$RU$317))</f>
        <v>4</v>
      </c>
      <c r="II18">
        <f>SUMPRODUCT(--('Данные 1st'!$S$2:$S$317=$A18),--ISNUMBER('Данные 1st'!$RX$2:$RX$317))</f>
        <v>4</v>
      </c>
      <c r="IJ18">
        <f>SUMPRODUCT(--('Данные 1st'!$S$2:$S$317=$A18),--ISNUMBER('Данные 1st'!$RY$2:$RY$317))</f>
        <v>4</v>
      </c>
      <c r="IK18">
        <f>SUMPRODUCT(--('Данные 1st'!$S$2:$S$317=$A18),--ISNUMBER('Данные 1st'!$SA$2:$SA$317))</f>
        <v>4</v>
      </c>
      <c r="IL18">
        <f>SUMPRODUCT(--('Данные 1st'!$S$2:$S$317=$A18),--ISNUMBER('Данные 1st'!$SD$2:$SD$317))</f>
        <v>4</v>
      </c>
      <c r="IM18">
        <f>SUMPRODUCT(--('Данные 1st'!$S$2:$S$317=$A18),--ISNUMBER('Данные 1st'!$SG$2:$SG$317))</f>
        <v>1</v>
      </c>
      <c r="IN18">
        <f>SUMPRODUCT(--('Данные 1st'!$S$2:$S$317=$A18),--ISNUMBER('Данные 1st'!$SH$2:$SH$317))</f>
        <v>4</v>
      </c>
      <c r="IO18">
        <f>SUMPRODUCT(--('Данные 1st'!$S$2:$S$317=$A18),--ISNUMBER('Данные 1st'!$SI$2:$SI$317))</f>
        <v>4</v>
      </c>
      <c r="IP18">
        <f>SUMPRODUCT(--('Данные 1st'!$S$2:$S$317=$A18),--ISNUMBER('Данные 1st'!$SJ$2:$SJ$317))</f>
        <v>4</v>
      </c>
      <c r="IQ18">
        <f>SUMPRODUCT(--('Данные 1st'!$S$2:$S$317=$A18),--ISNUMBER('Данные 1st'!$SK$2:$SK$317))</f>
        <v>4</v>
      </c>
      <c r="IR18">
        <f>SUMPRODUCT(--('Данные 1st'!$S$2:$S$317=$A18),--ISNUMBER('Данные 1st'!$SL$2:$SL$317))</f>
        <v>4</v>
      </c>
      <c r="IS18">
        <f>SUMPRODUCT(--('Данные 1st'!$S$2:$S$317=$A18),--ISNUMBER('Данные 1st'!$SM$2:$SM$317))</f>
        <v>4</v>
      </c>
      <c r="IT18">
        <f>SUMPRODUCT(--('Данные 1st'!$S$2:$S$317=$A18),--ISNUMBER('Данные 1st'!$SN$2:$SN$317))</f>
        <v>4</v>
      </c>
      <c r="IU18">
        <f>SUMPRODUCT(--('Данные 1st'!$S$2:$S$317=$A18),--ISNUMBER('Данные 1st'!$SO$2:$SO$317))</f>
        <v>4</v>
      </c>
      <c r="IV18">
        <f>SUMPRODUCT(--('Данные 1st'!$S$2:$S$317=$A18),--ISNUMBER('Данные 1st'!$SP$2:$SP$317))</f>
        <v>4</v>
      </c>
      <c r="IW18">
        <f>SUMPRODUCT(--('Данные 1st'!$S$2:$S$317=$A18),--ISNUMBER('Данные 1st'!$SQ$2:$SQ$317))</f>
        <v>4</v>
      </c>
      <c r="IX18">
        <f>SUMPRODUCT(--('Данные 1st'!$S$2:$S$317=$A18),--ISNUMBER('Данные 1st'!$SR$2:$SR$317))</f>
        <v>4</v>
      </c>
      <c r="IY18">
        <f>SUMPRODUCT(--('Данные 1st'!$S$2:$S$317=$A18),--ISNUMBER('Данные 1st'!$SS$2:$SS$317))</f>
        <v>4</v>
      </c>
      <c r="IZ18">
        <f>SUMPRODUCT(--('Данные 1st'!$S$2:$S$317=$A18),--ISNUMBER('Данные 1st'!$ST$2:$ST$317))</f>
        <v>4</v>
      </c>
      <c r="JA18">
        <f>SUMPRODUCT(--('Данные 1st'!$S$2:$S$317=$A18),--ISNUMBER('Данные 1st'!$SU$2:$SU$317))</f>
        <v>4</v>
      </c>
      <c r="JB18">
        <f>SUMPRODUCT(--('Данные 1st'!$S$2:$S$317=$A18),--ISNUMBER('Данные 1st'!$SV$2:$SV$317))</f>
        <v>4</v>
      </c>
      <c r="JC18">
        <f>SUMPRODUCT(--('Данные 1st'!$S$2:$S$317=$A18),--ISNUMBER('Данные 1st'!$SW$2:$SW$317))</f>
        <v>4</v>
      </c>
      <c r="JD18">
        <f>SUMPRODUCT(--('Данные 1st'!$S$2:$S$317=$A18),--ISNUMBER('Данные 1st'!$SX$2:$SX$317))</f>
        <v>4</v>
      </c>
      <c r="JE18">
        <f>SUMPRODUCT(--('Данные 1st'!$S$2:$S$317=$A18),--ISNUMBER('Данные 1st'!$SY$2:$SY$317))</f>
        <v>1</v>
      </c>
      <c r="JF18">
        <f>SUMPRODUCT(--('Данные 1st'!$S$2:$S$317=$A18),--ISNUMBER('Данные 1st'!$SZ$2:$SZ$317))</f>
        <v>1</v>
      </c>
      <c r="JG18">
        <f>SUMPRODUCT(--('Данные 1st'!$S$2:$S$317=$A18),--ISNUMBER('Данные 1st'!$TA$2:$TA$317))</f>
        <v>0</v>
      </c>
      <c r="JH18">
        <f>SUMPRODUCT(--('Данные 1st'!$S$2:$S$317=$A18),--ISNUMBER('Данные 1st'!$TB$2:$TB$317))</f>
        <v>4</v>
      </c>
      <c r="JI18">
        <f>SUMPRODUCT(--('Данные 1st'!$S$2:$S$317=$A18),--ISNUMBER('Данные 1st'!$TC$2:$TC$317))</f>
        <v>4</v>
      </c>
      <c r="JJ18">
        <f>SUMPRODUCT(--('Данные 1st'!$S$2:$S$317=$A18),--ISNUMBER('Данные 1st'!$TD$2:$TD$317))</f>
        <v>4</v>
      </c>
      <c r="JK18">
        <f>SUMPRODUCT(--('Данные 1st'!$S$2:$S$317=$A18),--ISNUMBER('Данные 1st'!$TN$2:$TN$317))</f>
        <v>4</v>
      </c>
      <c r="JQ18">
        <f>SUMPRODUCT(--('Данные 2st'!$Q$2:$Q$317=$A18),--ISNUMBER('Данные 2st'!$AC$2:$AC$317))</f>
        <v>4</v>
      </c>
      <c r="JR18">
        <f>SUMPRODUCT(--('Данные 2st'!$Q$2:$Q$317=$A18),--ISNUMBER('Данные 2st'!$AF$2:$AF$317))</f>
        <v>4</v>
      </c>
      <c r="JS18">
        <f>SUMPRODUCT(--('Данные 2st'!$Q$2:$Q$317=$A18),--ISNUMBER('Данные 2st'!$AW$2:$AW$317))</f>
        <v>4</v>
      </c>
      <c r="JT18">
        <f>SUMPRODUCT(--('Данные 2st'!$Q$2:$Q$317=$A18),--ISNUMBER('Данные 2st'!$AX$2:$AX$317))</f>
        <v>4</v>
      </c>
      <c r="JU18">
        <f>SUMPRODUCT(--('Данные 2st'!$Q$2:$Q$317=$A18),--ISNUMBER('Данные 2st'!$AY$2:$AY$317))</f>
        <v>4</v>
      </c>
      <c r="JV18">
        <f>SUMPRODUCT(--('Данные 2st'!$Q$2:$Q$317=$A18),--ISNUMBER('Данные 2st'!$AZ$2:$AZ$317))</f>
        <v>4</v>
      </c>
      <c r="JW18">
        <f>SUMPRODUCT(--('Данные 2st'!$Q$2:$Q$317=$A18),--ISNUMBER('Данные 2st'!$BA$2:$BA$317))</f>
        <v>0</v>
      </c>
      <c r="JX18">
        <f>SUMPRODUCT(--('Данные 2st'!$Q$2:$Q$317=$A18),--ISNUMBER('Данные 2st'!$BB$2:$BB$317))</f>
        <v>0</v>
      </c>
      <c r="JY18">
        <f>SUMPRODUCT(--('Данные 2st'!$Q$2:$Q$317=$A18),--ISNUMBER('Данные 2st'!$BC$2:$BC$317))</f>
        <v>0</v>
      </c>
      <c r="JZ18">
        <f>SUMPRODUCT(--('Данные 2st'!$Q$2:$Q$317=$A18),--ISNUMBER('Данные 2st'!$BH$2:$BH$317))</f>
        <v>4</v>
      </c>
      <c r="KA18">
        <f>SUMPRODUCT(--('Данные 2st'!$Q$2:$Q$317=$A18),--ISNUMBER('Данные 2st'!$BI$2:$BI$317))</f>
        <v>4</v>
      </c>
      <c r="KB18">
        <f>SUMPRODUCT(--('Данные 2st'!$Q$2:$Q$317=$A18),--ISNUMBER('Данные 2st'!$BJ$2:$BJ$317))</f>
        <v>4</v>
      </c>
      <c r="KC18">
        <f>SUMPRODUCT(--('Данные 2st'!$Q$2:$Q$317=$A18),--ISNUMBER('Данные 2st'!$BK$2:$BK$317))</f>
        <v>4</v>
      </c>
      <c r="KD18">
        <f>SUMPRODUCT(--('Данные 2st'!$Q$2:$Q$317=$A18),--ISNUMBER('Данные 2st'!$BL$2:$BL$317))</f>
        <v>4</v>
      </c>
      <c r="KE18">
        <f>SUMPRODUCT(--('Данные 2st'!$Q$2:$Q$317=$A18),--ISNUMBER('Данные 2st'!$BM$2:$BM$317))</f>
        <v>4</v>
      </c>
      <c r="KF18">
        <f>SUMPRODUCT(--('Данные 2st'!$Q$2:$Q$317=$A18),--ISNUMBER('Данные 2st'!$BN$2:$BN$317))</f>
        <v>4</v>
      </c>
      <c r="KG18">
        <f>SUMPRODUCT(--('Данные 2st'!$Q$2:$Q$317=$A18),--ISNUMBER('Данные 2st'!$BO$2:$BO$317))</f>
        <v>2</v>
      </c>
      <c r="KH18">
        <f>SUMPRODUCT(--('Данные 2st'!$Q$2:$Q$317=$A18),--ISNUMBER('Данные 2st'!$BP$2:$BP$317))</f>
        <v>4</v>
      </c>
      <c r="KI18">
        <f>SUMPRODUCT(--('Данные 2st'!$Q$2:$Q$317=$A18),--ISNUMBER('Данные 2st'!$BR$2:$BR$317))</f>
        <v>4</v>
      </c>
      <c r="KJ18">
        <f>SUMPRODUCT(--('Данные 2st'!$Q$2:$Q$317=$A18),--ISNUMBER('Данные 2st'!$BS$2:$BS$317))</f>
        <v>4</v>
      </c>
      <c r="KK18">
        <f>SUMPRODUCT(--('Данные 2st'!$Q$2:$Q$317=$A18),--ISNUMBER('Данные 2st'!$BT$2:$BT$317))</f>
        <v>4</v>
      </c>
      <c r="KL18">
        <f>SUMPRODUCT(--('Данные 2st'!$Q$2:$Q$317=$A18),--ISNUMBER('Данные 2st'!$CV$2:$CV$317))</f>
        <v>4</v>
      </c>
      <c r="KM18">
        <f>SUMPRODUCT(--('Данные 2st'!$Q$2:$Q$317=$A18),--ISNUMBER('Данные 2st'!$CW$2:$CW$317))</f>
        <v>4</v>
      </c>
      <c r="KN18">
        <f>SUMPRODUCT(--('Данные 2st'!$Q$2:$Q$317=$A18),--ISNUMBER('Данные 2st'!$CX$2:$CX$317))</f>
        <v>4</v>
      </c>
      <c r="KO18">
        <f>SUMPRODUCT(--('Данные 2st'!$Q$2:$Q$317=$A18),--ISNUMBER('Данные 2st'!$CY$2:$CY$317))</f>
        <v>4</v>
      </c>
      <c r="KP18">
        <f>SUMPRODUCT(--('Данные 2st'!$Q$2:$Q$317=$A18),--ISNUMBER('Данные 2st'!$CZ$2:$CZ$317))</f>
        <v>4</v>
      </c>
      <c r="KQ18">
        <f>SUMPRODUCT(--('Данные 2st'!$Q$2:$Q$317=$A18),--ISNUMBER('Данные 2st'!$DA$2:$DA$317))</f>
        <v>4</v>
      </c>
      <c r="KR18">
        <f>SUMPRODUCT(--('Данные 2st'!$Q$2:$Q$317=$A18),--ISNUMBER('Данные 2st'!$DB$2:$DB$317))</f>
        <v>4</v>
      </c>
      <c r="KS18">
        <f>SUMPRODUCT(--('Данные 2st'!$Q$2:$Q$317=$A18),--ISNUMBER('Данные 2st'!$DC$2:$DC$317))</f>
        <v>4</v>
      </c>
      <c r="KT18">
        <f>SUMPRODUCT(--('Данные 2st'!$Q$2:$Q$317=$A18),--ISNUMBER('Данные 2st'!$DD$2:$DD$317))</f>
        <v>4</v>
      </c>
      <c r="KU18">
        <f>SUMPRODUCT(--('Данные 2st'!$Q$2:$Q$317=$A18),--ISNUMBER('Данные 2st'!$DE$2:$DE$317))</f>
        <v>4</v>
      </c>
      <c r="KV18">
        <f>SUMPRODUCT(--('Данные 2st'!$Q$2:$Q$317=$A18),--ISNUMBER('Данные 2st'!$DF$2:$DF$317))</f>
        <v>4</v>
      </c>
      <c r="KW18">
        <f>SUMPRODUCT(--('Данные 2st'!$Q$2:$Q$317=$A18),--ISNUMBER('Данные 2st'!$DG$2:$DG$317))</f>
        <v>4</v>
      </c>
      <c r="KX18">
        <f>SUMPRODUCT(--('Данные 2st'!$Q$2:$Q$317=$A18),--ISNUMBER('Данные 2st'!$DH$2:$DH$317))</f>
        <v>1</v>
      </c>
      <c r="KY18">
        <f>SUMPRODUCT(--('Данные 2st'!$Q$2:$Q$317=$A18),--ISNUMBER('Данные 2st'!$DI$2:$DI$317))</f>
        <v>0</v>
      </c>
      <c r="KZ18">
        <f>SUMPRODUCT(--('Данные 2st'!$Q$2:$Q$317=$A18),--ISNUMBER('Данные 2st'!$DK$2:$DK$317))</f>
        <v>4</v>
      </c>
      <c r="LA18">
        <f>SUMPRODUCT(--('Данные 2st'!$Q$2:$Q$317=$A18),--ISNUMBER('Данные 2st'!$DM$2:$DM$317))</f>
        <v>4</v>
      </c>
      <c r="LB18">
        <f>SUMPRODUCT(--('Данные 2st'!$Q$2:$Q$317=$A18),--ISNUMBER('Данные 2st'!$DN$2:$DN$317))</f>
        <v>4</v>
      </c>
      <c r="LC18">
        <f>SUMPRODUCT(--('Данные 2st'!$Q$2:$Q$317=$A18),--ISNUMBER('Данные 2st'!$DO$2:$DO$317))</f>
        <v>4</v>
      </c>
      <c r="LD18">
        <f>SUMPRODUCT(--('Данные 2st'!$Q$2:$Q$317=$A18),--ISNUMBER('Данные 2st'!$DP$2:$DP$317))</f>
        <v>4</v>
      </c>
      <c r="LE18">
        <f>SUMPRODUCT(--('Данные 2st'!$Q$2:$Q$317=$A18),--ISNUMBER('Данные 2st'!$DQ$2:$DQ$317))</f>
        <v>4</v>
      </c>
      <c r="LF18">
        <f>SUMPRODUCT(--('Данные 2st'!$Q$2:$Q$317=$A18),--ISNUMBER('Данные 2st'!$DS$2:$DS$317))</f>
        <v>4</v>
      </c>
      <c r="LG18">
        <f>SUMPRODUCT(--('Данные 2st'!$Q$2:$Q$317=$A18),--ISNUMBER('Данные 2st'!$DU$2:$DU$317))</f>
        <v>4</v>
      </c>
      <c r="LH18">
        <f>SUMPRODUCT(--('Данные 2st'!$Q$2:$Q$317=$A18),--ISNUMBER('Данные 2st'!$DV$2:$DV$317))</f>
        <v>4</v>
      </c>
      <c r="LI18">
        <f>SUMPRODUCT(--('Данные 2st'!$Q$2:$Q$317=$A18),--ISNUMBER('Данные 2st'!$DW$2:$DW$317))</f>
        <v>4</v>
      </c>
      <c r="LJ18">
        <f>SUMPRODUCT(--('Данные 2st'!$Q$2:$Q$317=$A18),--ISNUMBER('Данные 2st'!$DX$2:$DX$317))</f>
        <v>4</v>
      </c>
      <c r="LK18">
        <f>SUMPRODUCT(--('Данные 2st'!$Q$2:$Q$317=$A18),--ISNUMBER('Данные 2st'!$DY$2:$DY$317))</f>
        <v>4</v>
      </c>
      <c r="LL18">
        <f>SUMPRODUCT(--('Данные 2st'!$Q$2:$Q$317=$A18),--ISNUMBER('Данные 2st'!$EA$2:$EA$317))</f>
        <v>4</v>
      </c>
      <c r="LM18">
        <f>SUMPRODUCT(--('Данные 2st'!$Q$2:$Q$317=$A18),--ISNUMBER('Данные 2st'!$EC$2:$EC$317))</f>
        <v>4</v>
      </c>
      <c r="LN18">
        <f>SUMPRODUCT(--('Данные 2st'!$Q$2:$Q$317=$A18),--ISNUMBER('Данные 2st'!$ED$2:$ED$317))</f>
        <v>4</v>
      </c>
      <c r="LO18">
        <f>SUMPRODUCT(--('Данные 2st'!$Q$2:$Q$317=$A18),--ISNUMBER('Данные 2st'!$EE$2:$EE$317))</f>
        <v>4</v>
      </c>
      <c r="LP18">
        <f>SUMPRODUCT(--('Данные 2st'!$Q$2:$Q$317=$A18),--ISNUMBER('Данные 2st'!$EG$2:$EG$317))</f>
        <v>4</v>
      </c>
      <c r="LQ18">
        <f>SUMPRODUCT(--('Данные 2st'!$Q$2:$Q$317=$A18),--ISNUMBER('Данные 2st'!$EI$2:$EI$317))</f>
        <v>4</v>
      </c>
      <c r="LR18">
        <f>SUMPRODUCT(--('Данные 2st'!$Q$2:$Q$317=$A18),--ISNUMBER('Данные 2st'!$EJ$2:$EJ$317))</f>
        <v>3</v>
      </c>
      <c r="LS18">
        <f>SUMPRODUCT(--('Данные 2st'!$Q$2:$Q$317=$A18),--ISNUMBER('Данные 2st'!$EK$2:$EK$317))</f>
        <v>3</v>
      </c>
      <c r="LT18">
        <f>SUMPRODUCT(--('Данные 2st'!$Q$2:$Q$317=$A18),--ISNUMBER('Данные 2st'!$EM$2:$EM$317))</f>
        <v>4</v>
      </c>
      <c r="LU18">
        <f>SUMPRODUCT(--('Данные 2st'!$Q$2:$Q$317=$A18),--ISNUMBER('Данные 2st'!$EN$2:$EN$317))</f>
        <v>4</v>
      </c>
      <c r="LV18">
        <f>SUMPRODUCT(--('Данные 2st'!$Q$2:$Q$317=$A18),--ISNUMBER('Данные 2st'!$EO$2:$EO$317))</f>
        <v>4</v>
      </c>
      <c r="LW18">
        <f>SUMPRODUCT(--('Данные 2st'!$Q$2:$Q$317=$A18),--ISNUMBER('Данные 2st'!$EP$2:$EP$317))</f>
        <v>4</v>
      </c>
      <c r="LX18">
        <f>SUMPRODUCT(--('Данные 2st'!$Q$2:$Q$317=$A18),--ISNUMBER('Данные 2st'!$EQ$2:$EQ$317))</f>
        <v>4</v>
      </c>
      <c r="LY18">
        <f>SUMPRODUCT(--('Данные 2st'!$Q$2:$Q$317=$A18),--ISNUMBER('Данные 2st'!$ER$2:$ER$317))</f>
        <v>4</v>
      </c>
      <c r="LZ18">
        <f>SUMPRODUCT(--('Данные 2st'!$Q$2:$Q$317=$A18),--ISNUMBER('Данные 2st'!$ES$2:$ES$317))</f>
        <v>4</v>
      </c>
      <c r="MA18">
        <f>SUMPRODUCT(--('Данные 2st'!$Q$2:$Q$317=$A18),--ISNUMBER('Данные 2st'!$ET$2:$ET$317))</f>
        <v>4</v>
      </c>
      <c r="MB18">
        <f>SUMPRODUCT(--('Данные 2st'!$Q$2:$Q$317=$A18),--ISNUMBER('Данные 2st'!$EU$2:$EU$317))</f>
        <v>4</v>
      </c>
      <c r="MC18">
        <f>SUMPRODUCT(--('Данные 2st'!$Q$2:$Q$317=$A18),--ISNUMBER('Данные 2st'!$EV$2:$EV$317))</f>
        <v>4</v>
      </c>
      <c r="MD18">
        <f>SUMPRODUCT(--('Данные 2st'!$Q$2:$Q$317=$A18),--ISNUMBER('Данные 2st'!$EW$2:$EW$317))</f>
        <v>4</v>
      </c>
      <c r="ME18">
        <f>SUMPRODUCT(--('Данные 2st'!$Q$2:$Q$317=$A18),--ISNUMBER('Данные 2st'!$EY$2:$EY$317))</f>
        <v>4</v>
      </c>
      <c r="MF18">
        <f>SUMPRODUCT(--('Данные 2st'!$Q$2:$Q$317=$A18),--ISNUMBER('Данные 2st'!$FA$2:$FA$317))</f>
        <v>4</v>
      </c>
      <c r="MG18">
        <f>SUMPRODUCT(--('Данные 2st'!$Q$2:$Q$317=$A18),--ISNUMBER('Данные 2st'!$FB$2:$FB$317))</f>
        <v>4</v>
      </c>
      <c r="MH18">
        <f>SUMPRODUCT(--('Данные 2st'!$Q$2:$Q$317=$A18),--ISNUMBER('Данные 2st'!$FC$2:$FC$317))</f>
        <v>4</v>
      </c>
      <c r="MI18">
        <f>SUMPRODUCT(--('Данные 2st'!$Q$2:$Q$317=$A18),--ISNUMBER('Данные 2st'!$FD$2:$FD$317))</f>
        <v>4</v>
      </c>
      <c r="MJ18">
        <f>SUMPRODUCT(--('Данные 2st'!$Q$2:$Q$317=$A18),--ISNUMBER('Данные 2st'!$FE$2:$FE$317))</f>
        <v>4</v>
      </c>
      <c r="MK18">
        <f>SUMPRODUCT(--('Данные 2st'!$Q$2:$Q$317=$A18),--ISNUMBER('Данные 2st'!$FG$2:$FG$317))</f>
        <v>4</v>
      </c>
      <c r="ML18">
        <f>SUMPRODUCT(--('Данные 2st'!$Q$2:$Q$317=$A18),--ISNUMBER('Данные 2st'!$FI$2:$FI$317))</f>
        <v>4</v>
      </c>
      <c r="MM18">
        <f>SUMPRODUCT(--('Данные 2st'!$Q$2:$Q$317=$A18),--ISNUMBER('Данные 2st'!$FJ$2:$FJ$317))</f>
        <v>4</v>
      </c>
      <c r="MN18">
        <f>SUMPRODUCT(--('Данные 2st'!$Q$2:$Q$317=$A18),--ISNUMBER('Данные 2st'!$FK$2:$FK$317))</f>
        <v>4</v>
      </c>
      <c r="MO18">
        <f>SUMPRODUCT(--('Данные 2st'!$Q$2:$Q$317=$A18),--ISNUMBER('Данные 2st'!$FP$2:$FP$317))</f>
        <v>4</v>
      </c>
      <c r="MP18">
        <f>SUMPRODUCT(--('Данные 2st'!$Q$2:$Q$317=$A18),--ISNUMBER('Данные 2st'!$FQ$2:$FQ$317))</f>
        <v>4</v>
      </c>
      <c r="MQ18">
        <f>SUMPRODUCT(--('Данные 2st'!$Q$2:$Q$317=$A18),--ISNUMBER('Данные 2st'!$FS$2:$FS$317))</f>
        <v>4</v>
      </c>
      <c r="MR18">
        <f>SUMPRODUCT(--('Данные 2st'!$Q$2:$Q$317=$A18),--ISNUMBER('Данные 2st'!$FU$2:$FU$317))</f>
        <v>4</v>
      </c>
      <c r="MS18">
        <f>SUMPRODUCT(--('Данные 2st'!$Q$2:$Q$317=$A18),--ISNUMBER('Данные 2st'!$FV$2:$FV$317))</f>
        <v>4</v>
      </c>
      <c r="MT18">
        <f>SUMPRODUCT(--('Данные 2st'!$Q$2:$Q$317=$A18),--ISNUMBER('Данные 2st'!$FW$2:$FW$317))</f>
        <v>4</v>
      </c>
      <c r="MU18">
        <f>SUMPRODUCT(--('Данные 2st'!$Q$2:$Q$317=$A18),--ISNUMBER('Данные 2st'!$FY$2:$FY$317))</f>
        <v>3</v>
      </c>
      <c r="MV18">
        <f>SUMPRODUCT(--('Данные 2st'!$Q$2:$Q$317=$A18),--ISNUMBER('Данные 2st'!$GB$2:$GB$317))</f>
        <v>3</v>
      </c>
      <c r="MW18">
        <f>SUMPRODUCT(--('Данные 2st'!$Q$2:$Q$317=$A18),--ISNUMBER('Данные 2st'!$GC$2:$GC$317))</f>
        <v>3</v>
      </c>
      <c r="MX18">
        <f>SUMPRODUCT(--('Данные 2st'!$Q$2:$Q$317=$A18),--ISNUMBER('Данные 2st'!$GD$2:$GD$317))</f>
        <v>4</v>
      </c>
      <c r="MY18">
        <f>SUMPRODUCT(--('Данные 2st'!$Q$2:$Q$317=$A18),--ISNUMBER('Данные 2st'!$GN$2:$GN$317))</f>
        <v>0</v>
      </c>
      <c r="MZ18">
        <f>SUMPRODUCT(--('Данные 2st'!$Q$2:$Q$317=$A18),--ISNUMBER('Данные 2st'!$GQ$2:$GQ$317))</f>
        <v>4</v>
      </c>
      <c r="NA18">
        <f>SUMPRODUCT(--('Данные 2st'!$Q$2:$Q$317=$A18),--ISNUMBER('Данные 2st'!$GV$2:$GV$317))</f>
        <v>4</v>
      </c>
      <c r="NB18">
        <f>SUMPRODUCT(--('Данные 2st'!$Q$2:$Q$317=$A18),--ISNUMBER('Данные 2st'!$GW$2:$GW$317))</f>
        <v>4</v>
      </c>
      <c r="NC18">
        <f>SUMPRODUCT(--('Данные 2st'!$Q$2:$Q$317=$A18),--ISNUMBER('Данные 2st'!$GX$2:$GX$317))</f>
        <v>4</v>
      </c>
      <c r="ND18">
        <f>SUMPRODUCT(--('Данные 2st'!$Q$2:$Q$317=$A18),--ISNUMBER('Данные 2st'!$GY$2:$GY$317))</f>
        <v>4</v>
      </c>
      <c r="NE18">
        <f>SUMPRODUCT(--('Данные 2st'!$Q$2:$Q$317=$A18),--ISNUMBER('Данные 2st'!$GZ$2:$GZ$317))</f>
        <v>4</v>
      </c>
      <c r="NF18">
        <f>SUMPRODUCT(--('Данные 2st'!$Q$2:$Q$317=$A18),--ISNUMBER('Данные 2st'!$HA$2:$HA$317))</f>
        <v>4</v>
      </c>
      <c r="NG18">
        <f>SUMPRODUCT(--('Данные 2st'!$Q$2:$Q$317=$A18),--ISNUMBER('Данные 2st'!$HB$2:$HB$317))</f>
        <v>4</v>
      </c>
      <c r="NH18">
        <f>SUMPRODUCT(--('Данные 2st'!$Q$2:$Q$317=$A18),--ISNUMBER('Данные 2st'!$HC$2:$HC$317))</f>
        <v>4</v>
      </c>
      <c r="NI18">
        <f>SUMPRODUCT(--('Данные 2st'!$Q$2:$Q$317=$A18),--ISNUMBER('Данные 2st'!$HD$2:$HD$317))</f>
        <v>4</v>
      </c>
      <c r="NJ18">
        <f>SUMPRODUCT(--('Данные 2st'!$Q$2:$Q$317=$A18),--ISNUMBER('Данные 2st'!$HM$2:$HM$317))</f>
        <v>4</v>
      </c>
      <c r="NK18">
        <f>SUMPRODUCT(--('Данные 2st'!$Q$2:$Q$317=$A18),--ISNUMBER('Данные 2st'!$HR$2:$HR$317))</f>
        <v>4</v>
      </c>
      <c r="NL18">
        <f>SUMPRODUCT(--('Данные 2st'!$Q$2:$Q$317=$A18),--ISNUMBER('Данные 2st'!$HS$2:$HS$317))</f>
        <v>4</v>
      </c>
      <c r="NM18">
        <f>SUMPRODUCT(--('Данные 2st'!$Q$2:$Q$317=$A18),--ISNUMBER('Данные 2st'!$HT$2:$HT$317))</f>
        <v>4</v>
      </c>
      <c r="NN18">
        <f>SUMPRODUCT(--('Данные 2st'!$Q$2:$Q$317=$A18),--ISNUMBER('Данные 2st'!$HY$2:$HY$317))</f>
        <v>4</v>
      </c>
      <c r="NO18">
        <f>SUMPRODUCT(--('Данные 2st'!$Q$2:$Q$317=$A18),--ISNUMBER('Данные 2st'!$HZ$2:$HZ$317))</f>
        <v>4</v>
      </c>
      <c r="NP18">
        <f>SUMPRODUCT(--('Данные 2st'!$Q$2:$Q$317=$A18),--ISNUMBER('Данные 2st'!$IA$2:$IA$317))</f>
        <v>4</v>
      </c>
      <c r="NQ18">
        <f>SUMPRODUCT(--('Данные 2st'!$Q$2:$Q$317=$A18),--ISNUMBER('Данные 2st'!$IB$2:$IB$317))</f>
        <v>4</v>
      </c>
      <c r="NR18">
        <f>SUMPRODUCT(--('Данные 2st'!$Q$2:$Q$317=$A18),--ISNUMBER('Данные 2st'!$IC$2:$IC$317))</f>
        <v>0</v>
      </c>
      <c r="NS18">
        <f>SUMPRODUCT(--('Данные 2st'!$Q$2:$Q$317=$A18),--ISNUMBER('Данные 2st'!$ID$2:$ID$317))</f>
        <v>4</v>
      </c>
      <c r="NT18">
        <f>SUMPRODUCT(--('Данные 2st'!$Q$2:$Q$317=$A18),--ISNUMBER('Данные 2st'!$IE$2:$IE$317))</f>
        <v>4</v>
      </c>
      <c r="NU18">
        <f>SUMPRODUCT(--('Данные 2st'!$Q$2:$Q$317=$A18),--ISNUMBER('Данные 2st'!$IF$2:$IF$317))</f>
        <v>4</v>
      </c>
      <c r="NV18">
        <f>SUMPRODUCT(--('Данные 2st'!$Q$2:$Q$317=$A18),--ISNUMBER('Данные 2st'!$IG$2:$IG$317))</f>
        <v>4</v>
      </c>
      <c r="NW18">
        <f>SUMPRODUCT(--('Данные 2st'!$Q$2:$Q$317=$A18),--ISNUMBER('Данные 2st'!$IH$2:$IH$317))</f>
        <v>4</v>
      </c>
      <c r="NX18">
        <f>SUMPRODUCT(--('Данные 2st'!$Q$2:$Q$317=$A18),--ISNUMBER('Данные 2st'!$IJ$2:$IJ$317))</f>
        <v>4</v>
      </c>
      <c r="NY18">
        <f>SUMPRODUCT(--('Данные 2st'!$Q$2:$Q$317=$A18),--ISNUMBER('Данные 2st'!$IM$2:$IM$317))</f>
        <v>4</v>
      </c>
      <c r="NZ18">
        <f>SUMPRODUCT(--('Данные 2st'!$Q$2:$Q$317=$A18),--ISNUMBER('Данные 2st'!$IN$2:$IN$317))</f>
        <v>4</v>
      </c>
      <c r="OA18">
        <f>SUMPRODUCT(--('Данные 2st'!$Q$2:$Q$317=$A18),--ISNUMBER('Данные 2st'!$IO$2:$IO$317))</f>
        <v>4</v>
      </c>
      <c r="OB18">
        <f>SUMPRODUCT(--('Данные 2st'!$Q$2:$Q$317=$A18),--ISNUMBER('Данные 2st'!$IP$2:$IP$317))</f>
        <v>4</v>
      </c>
      <c r="OC18">
        <f>SUMPRODUCT(--('Данные 2st'!$Q$2:$Q$317=$A18),--ISNUMBER('Данные 2st'!$IQ$2:$IQ$317))</f>
        <v>4</v>
      </c>
      <c r="OD18">
        <f>SUMPRODUCT(--('Данные 2st'!$Q$2:$Q$317=$A18),--ISNUMBER('Данные 2st'!$IR$2:$IR$317))</f>
        <v>4</v>
      </c>
      <c r="OE18">
        <f>SUMPRODUCT(--('Данные 2st'!$Q$2:$Q$317=$A18),--ISNUMBER('Данные 2st'!$IT$2:$IT$317))</f>
        <v>4</v>
      </c>
      <c r="OF18">
        <f>SUMPRODUCT(--('Данные 2st'!$Q$2:$Q$317=$A18),--ISNUMBER('Данные 2st'!$IU$2:$IU$317))</f>
        <v>4</v>
      </c>
      <c r="OG18">
        <f>SUMPRODUCT(--('Данные 2st'!$Q$2:$Q$317=$A18),--ISNUMBER('Данные 2st'!$IV$2:$IV$317))</f>
        <v>4</v>
      </c>
      <c r="OH18">
        <f>SUMPRODUCT(--('Данные 2st'!$Q$2:$Q$317=$A18),--ISNUMBER('Данные 2st'!$IW$2:$IW$317))</f>
        <v>4</v>
      </c>
      <c r="OI18">
        <f>SUMPRODUCT(--('Данные 2st'!$Q$2:$Q$317=$A18),--ISNUMBER('Данные 2st'!$IX$2:$IX$317))</f>
        <v>4</v>
      </c>
      <c r="OJ18">
        <f>SUMPRODUCT(--('Данные 2st'!$Q$2:$Q$317=$A18),--ISNUMBER('Данные 2st'!$IY$2:$IY$317))</f>
        <v>4</v>
      </c>
      <c r="OK18">
        <f>SUMPRODUCT(--('Данные 2st'!$Q$2:$Q$317=$A18),--ISNUMBER('Данные 2st'!$IZ$2:$IZ$317))</f>
        <v>4</v>
      </c>
      <c r="OL18">
        <f>SUMPRODUCT(--('Данные 2st'!$Q$2:$Q$317=$A18),--ISNUMBER('Данные 2st'!$JA$2:$JA$317))</f>
        <v>4</v>
      </c>
      <c r="OM18">
        <f>SUMPRODUCT(--('Данные 2st'!$Q$2:$Q$317=$A18),--ISNUMBER('Данные 2st'!$JB$2:$JB$317))</f>
        <v>4</v>
      </c>
      <c r="ON18">
        <f>SUMPRODUCT(--('Данные 2st'!$Q$2:$Q$317=$A18),--ISNUMBER('Данные 2st'!$JC$2:$JC$317))</f>
        <v>4</v>
      </c>
      <c r="OO18">
        <f>SUMPRODUCT(--('Данные 2st'!$Q$2:$Q$317=$A18),--ISNUMBER('Данные 2st'!$JD$2:$JD$317))</f>
        <v>4</v>
      </c>
      <c r="OP18">
        <f>SUMPRODUCT(--('Данные 2st'!$Q$2:$Q$317=$A18),--ISNUMBER('Данные 2st'!$JE$2:$JE$317))</f>
        <v>4</v>
      </c>
      <c r="OQ18">
        <f>SUMPRODUCT(--('Данные 2st'!$Q$2:$Q$317=$A18),--ISNUMBER('Данные 2st'!$JF$2:$JF$317))</f>
        <v>4</v>
      </c>
      <c r="OR18">
        <f>SUMPRODUCT(--('Данные 2st'!$Q$2:$Q$317=$A18),--ISNUMBER('Данные 2st'!$JG$2:$JG$317))</f>
        <v>4</v>
      </c>
      <c r="OS18">
        <f>SUMPRODUCT(--('Данные 2st'!$Q$2:$Q$317=$A18),--ISNUMBER('Данные 2st'!$JH$2:$JH$317))</f>
        <v>4</v>
      </c>
      <c r="OT18">
        <f>SUMPRODUCT(--('Данные 2st'!$Q$2:$Q$317=$A18),--ISNUMBER('Данные 2st'!$JI$2:$JI$317))</f>
        <v>4</v>
      </c>
      <c r="OU18">
        <f>SUMPRODUCT(--('Данные 2st'!$Q$2:$Q$317=$A18),--ISNUMBER('Данные 2st'!$JJ$2:$JJ$317))</f>
        <v>4</v>
      </c>
      <c r="OV18">
        <f>SUMPRODUCT(--('Данные 2st'!$Q$2:$Q$317=$A18),--ISNUMBER('Данные 2st'!$JK$2:$JK$317))</f>
        <v>4</v>
      </c>
      <c r="OW18">
        <f>SUMPRODUCT(--('Данные 2st'!$Q$2:$Q$317=$A18),--ISNUMBER('Данные 2st'!$JL$2:$JL$317))</f>
        <v>4</v>
      </c>
      <c r="OX18">
        <f>SUMPRODUCT(--('Данные 2st'!$Q$2:$Q$317=$A18),--ISNUMBER('Данные 2st'!$JM$2:$JM$317))</f>
        <v>4</v>
      </c>
      <c r="OY18">
        <f>SUMPRODUCT(--('Данные 2st'!$Q$2:$Q$317=$A18),--ISNUMBER('Данные 2st'!$JP$2:$JP$317))</f>
        <v>4</v>
      </c>
      <c r="OZ18">
        <f>SUMPRODUCT(--('Данные 2st'!$Q$2:$Q$317=$A18),--ISNUMBER('Данные 2st'!$JQ$2:$JQ$317))</f>
        <v>4</v>
      </c>
      <c r="PA18">
        <f>SUMPRODUCT(--('Данные 2st'!$Q$2:$Q$317=$A18),--ISNUMBER('Данные 2st'!$JR$2:$JR$317))</f>
        <v>4</v>
      </c>
      <c r="PB18">
        <f>SUMPRODUCT(--('Данные 2st'!$Q$2:$Q$317=$A18),--ISNUMBER('Данные 2st'!$JS$2:$JS$317))</f>
        <v>4</v>
      </c>
      <c r="PC18">
        <f>SUMPRODUCT(--('Данные 2st'!$Q$2:$Q$317=$A18),--ISNUMBER('Данные 2st'!$JT$2:$JT$317))</f>
        <v>4</v>
      </c>
      <c r="PD18">
        <f>SUMPRODUCT(--('Данные 2st'!$Q$2:$Q$317=$A18),--ISNUMBER('Данные 2st'!$JU$2:$JU$317))</f>
        <v>4</v>
      </c>
      <c r="PE18">
        <f>SUMPRODUCT(--('Данные 2st'!$Q$2:$Q$317=$A18),--ISNUMBER('Данные 2st'!$JV$2:$JV$317))</f>
        <v>4</v>
      </c>
      <c r="PF18">
        <f>SUMPRODUCT(--('Данные 2st'!$Q$2:$Q$317=$A18),--ISNUMBER('Данные 2st'!$JW$2:$JW$317))</f>
        <v>4</v>
      </c>
      <c r="PG18">
        <f>SUMPRODUCT(--('Данные 2st'!$Q$2:$Q$317=$A18),--ISNUMBER('Данные 2st'!$KF$2:$KF$317))</f>
        <v>4</v>
      </c>
      <c r="PH18">
        <f>SUMPRODUCT(--('Данные 2st'!$Q$2:$Q$317=$A18),--ISNUMBER('Данные 2st'!$KG$2:$KG$317))</f>
        <v>4</v>
      </c>
      <c r="PI18">
        <f>SUMPRODUCT(--('Данные 2st'!$Q$2:$Q$317=$A18),--ISNUMBER('Данные 2st'!$KM$2:$KM$317))</f>
        <v>4</v>
      </c>
      <c r="PJ18">
        <f>SUMPRODUCT(--('Данные 2st'!$Q$2:$Q$317=$A18),--ISNUMBER('Данные 2st'!$KN$2:$KN$317))</f>
        <v>4</v>
      </c>
      <c r="PK18">
        <f>SUMPRODUCT(--('Данные 2st'!$Q$2:$Q$317=$A18),--ISNUMBER('Данные 2st'!$KO$2:$KO$317))</f>
        <v>4</v>
      </c>
      <c r="PL18">
        <f>SUMPRODUCT(--('Данные 2st'!$Q$2:$Q$317=$A18),--ISNUMBER('Данные 2st'!$KP$2:$KP$317))</f>
        <v>4</v>
      </c>
      <c r="PM18">
        <f>SUMPRODUCT(--('Данные 2st'!$Q$2:$Q$317=$A18),--ISNUMBER('Данные 2st'!$KQ$2:$KQ$317))</f>
        <v>4</v>
      </c>
      <c r="PN18">
        <f>SUMPRODUCT(--('Данные 2st'!$Q$2:$Q$317=$A18),--ISNUMBER('Данные 2st'!$KR$2:$KR$317))</f>
        <v>4</v>
      </c>
      <c r="PO18">
        <f>SUMPRODUCT(--('Данные 2st'!$Q$2:$Q$317=$A18),--ISNUMBER('Данные 2st'!$KS$2:$KS$317))</f>
        <v>4</v>
      </c>
      <c r="PP18">
        <f>SUMPRODUCT(--('Данные 2st'!$Q$2:$Q$317=$A18),--ISNUMBER('Данные 2st'!$KT$2:$KT$317))</f>
        <v>4</v>
      </c>
      <c r="PQ18">
        <f>SUMPRODUCT(--('Данные 2st'!$Q$2:$Q$317=$A18),--ISNUMBER('Данные 2st'!$KU$2:$KU$317))</f>
        <v>4</v>
      </c>
      <c r="PR18">
        <f>SUMPRODUCT(--('Данные 2st'!$Q$2:$Q$317=$A18),--ISNUMBER('Данные 2st'!$KV$2:$KV$317))</f>
        <v>4</v>
      </c>
      <c r="PS18">
        <f>SUMPRODUCT(--('Данные 2st'!$Q$2:$Q$317=$A18),--ISNUMBER('Данные 2st'!$KW$2:$KW$317))</f>
        <v>4</v>
      </c>
      <c r="PT18">
        <f>SUMPRODUCT(--('Данные 2st'!$Q$2:$Q$317=$A18),--ISNUMBER('Данные 2st'!$KX$2:$KX$317))</f>
        <v>4</v>
      </c>
      <c r="PU18">
        <f>SUMPRODUCT(--('Данные 2st'!$Q$2:$Q$317=$A18),--ISNUMBER('Данные 2st'!$KY$2:$KY$317))</f>
        <v>4</v>
      </c>
      <c r="PV18">
        <f>SUMPRODUCT(--('Данные 2st'!$Q$2:$Q$317=$A18),--ISNUMBER('Данные 2st'!$KZ$2:$KZ$317))</f>
        <v>4</v>
      </c>
      <c r="PW18">
        <f>SUMPRODUCT(--('Данные 2st'!$Q$2:$Q$317=$A18),--ISNUMBER('Данные 2st'!$LA$2:$LA$317))</f>
        <v>4</v>
      </c>
      <c r="PX18">
        <f>SUMPRODUCT(--('Данные 2st'!$Q$2:$Q$317=$A18),--ISNUMBER('Данные 2st'!$LB$2:$LB$317))</f>
        <v>4</v>
      </c>
      <c r="PY18">
        <f>SUMPRODUCT(--('Данные 2st'!$Q$2:$Q$317=$A18),--ISNUMBER('Данные 2st'!$LC$2:$LC$317))</f>
        <v>4</v>
      </c>
      <c r="PZ18">
        <f>SUMPRODUCT(--('Данные 2st'!$Q$2:$Q$317=$A18),--ISNUMBER('Данные 2st'!$LD$2:$LD$317))</f>
        <v>4</v>
      </c>
      <c r="QA18">
        <f>SUMPRODUCT(--('Данные 2st'!$Q$2:$Q$317=$A18),--ISNUMBER('Данные 2st'!$LE$2:$LE$317))</f>
        <v>4</v>
      </c>
      <c r="QB18">
        <f>SUMPRODUCT(--('Данные 2st'!$Q$2:$Q$317=$A18),--ISNUMBER('Данные 2st'!$LF$2:$LF$317))</f>
        <v>4</v>
      </c>
      <c r="QC18">
        <f>SUMPRODUCT(--('Данные 2st'!$Q$2:$Q$317=$A18),--ISNUMBER('Данные 2st'!$LG$2:$LG$317))</f>
        <v>4</v>
      </c>
      <c r="QD18">
        <f>SUMPRODUCT(--('Данные 2st'!$Q$2:$Q$317=$A18),--ISNUMBER('Данные 2st'!$LH$2:$LH$317))</f>
        <v>4</v>
      </c>
      <c r="QE18">
        <f>SUMPRODUCT(--('Данные 2st'!$Q$2:$Q$317=$A18),--ISNUMBER('Данные 2st'!$LJ$2:$LJ$317))</f>
        <v>4</v>
      </c>
      <c r="QF18">
        <f>SUMPRODUCT(--('Данные 2st'!$Q$2:$Q$317=$A18),--ISNUMBER('Данные 2st'!$LK$2:$LK$317))</f>
        <v>4</v>
      </c>
      <c r="QG18">
        <f>SUMPRODUCT(--('Данные 2st'!$Q$2:$Q$317=$A18),--ISNUMBER('Данные 2st'!$LL$2:$LL$317))</f>
        <v>4</v>
      </c>
      <c r="QH18">
        <f>SUMPRODUCT(--('Данные 2st'!$Q$2:$Q$317=$A18),--ISNUMBER('Данные 2st'!$LM$2:$LM$317))</f>
        <v>4</v>
      </c>
      <c r="QI18">
        <f>SUMPRODUCT(--('Данные 2st'!$Q$2:$Q$317=$A18),--ISNUMBER('Данные 2st'!$LN$2:$LN$317))</f>
        <v>4</v>
      </c>
      <c r="QJ18">
        <f>SUMPRODUCT(--('Данные 2st'!$Q$2:$Q$317=$A18),--ISNUMBER('Данные 2st'!$LO$2:$LO$317))</f>
        <v>4</v>
      </c>
      <c r="QK18">
        <f>SUMPRODUCT(--('Данные 2st'!$Q$2:$Q$317=$A18),--ISNUMBER('Данные 2st'!$LP$2:$LP$317))</f>
        <v>4</v>
      </c>
      <c r="QL18">
        <f>SUMPRODUCT(--('Данные 2st'!$Q$2:$Q$317=$A18),--ISNUMBER('Данные 2st'!$LQ$2:$LQ$317))</f>
        <v>4</v>
      </c>
      <c r="QM18">
        <f>SUMPRODUCT(--('Данные 2st'!$Q$2:$Q$317=$A18),--ISNUMBER('Данные 2st'!$LW$2:$LW$317))</f>
        <v>4</v>
      </c>
      <c r="QN18">
        <f>SUMPRODUCT(--('Данные 2st'!$Q$2:$Q$317=$A18),--ISNUMBER('Данные 2st'!$LX$2:$LX$317))</f>
        <v>4</v>
      </c>
      <c r="QO18">
        <f>SUMPRODUCT(--('Данные 2st'!$Q$2:$Q$317=$A18),--ISNUMBER('Данные 2st'!$LY$2:$LY$317))</f>
        <v>4</v>
      </c>
      <c r="QP18">
        <f>SUMPRODUCT(--('Данные 2st'!$Q$2:$Q$317=$A18),--ISNUMBER('Данные 2st'!$LZ$2:$LZ$317))</f>
        <v>4</v>
      </c>
      <c r="QQ18">
        <f>SUMPRODUCT(--('Данные 2st'!$Q$2:$Q$317=$A18),--ISNUMBER('Данные 2st'!$MB$2:$MB$317))</f>
        <v>4</v>
      </c>
      <c r="QR18">
        <f>SUMPRODUCT(--('Данные 2st'!$Q$2:$Q$317=$A18),--ISNUMBER('Данные 2st'!$MG$2:$MG$317))</f>
        <v>4</v>
      </c>
      <c r="QS18">
        <f>SUMPRODUCT(--('Данные 2st'!$Q$2:$Q$317=$A18),--ISNUMBER('Данные 2st'!$MH$2:$MH$317))</f>
        <v>4</v>
      </c>
      <c r="QT18">
        <f>SUMPRODUCT(--('Данные 2st'!$Q$2:$Q$317=$A18),--ISNUMBER('Данные 2st'!$MI$2:$MI$317))</f>
        <v>4</v>
      </c>
      <c r="QU18">
        <f>SUMPRODUCT(--('Данные 2st'!$Q$2:$Q$317=$A18),--ISNUMBER('Данные 2st'!$MJ$2:$MJ$317))</f>
        <v>4</v>
      </c>
      <c r="QV18">
        <f>SUMPRODUCT(--('Данные 2st'!$Q$2:$Q$317=$A18),--ISNUMBER('Данные 2st'!$MK$2:$MK$317))</f>
        <v>2</v>
      </c>
      <c r="QW18">
        <f>SUMPRODUCT(--('Данные 2st'!$Q$2:$Q$317=$A18),--ISNUMBER('Данные 2st'!$MM$2:$MM$317))</f>
        <v>4</v>
      </c>
      <c r="QX18">
        <f>SUMPRODUCT(--('Данные 2st'!$Q$2:$Q$317=$A18),--ISNUMBER('Данные 2st'!$MQ$2:$MQ$317))</f>
        <v>0</v>
      </c>
      <c r="QY18">
        <f>SUMPRODUCT(--('Данные 2st'!$Q$2:$Q$317=$A18),--ISNUMBER('Данные 2st'!$MR$2:$MR$317))</f>
        <v>0</v>
      </c>
      <c r="QZ18">
        <f>SUMPRODUCT(--('Данные 2st'!$Q$2:$Q$317=$A18),--ISNUMBER('Данные 2st'!$MS$2:$MS$317))</f>
        <v>0</v>
      </c>
      <c r="RA18">
        <f>SUMPRODUCT(--('Данные 2st'!$Q$2:$Q$317=$A18),--ISNUMBER('Данные 2st'!$MT$2:$MT$317))</f>
        <v>0</v>
      </c>
      <c r="RB18">
        <f>SUMPRODUCT(--('Данные 2st'!$Q$2:$Q$317=$A18),--ISNUMBER('Данные 2st'!$MU$2:$MU$317))</f>
        <v>0</v>
      </c>
      <c r="RC18">
        <f>SUMPRODUCT(--('Данные 2st'!$Q$2:$Q$317=$A18),--ISNUMBER('Данные 2st'!$MV$2:$MV$317))</f>
        <v>0</v>
      </c>
      <c r="RD18">
        <f>SUMPRODUCT(--('Данные 2st'!$Q$2:$Q$317=$A18),--ISNUMBER('Данные 2st'!$MW$2:$MW$317))</f>
        <v>0</v>
      </c>
      <c r="RE18">
        <f>SUMPRODUCT(--('Данные 2st'!$Q$2:$Q$317=$A18),--ISNUMBER('Данные 2st'!$MX$2:$MX$317))</f>
        <v>0</v>
      </c>
      <c r="RF18">
        <f>SUMPRODUCT(--('Данные 2st'!$Q$2:$Q$317=$A18),--ISNUMBER('Данные 2st'!$MY$2:$MY$317))</f>
        <v>0</v>
      </c>
      <c r="RG18">
        <f>SUMPRODUCT(--('Данные 2st'!$Q$2:$Q$317=$A18),--ISNUMBER('Данные 2st'!$MZ$2:$MZ$317))</f>
        <v>0</v>
      </c>
      <c r="RH18">
        <f>SUMPRODUCT(--('Данные 2st'!$Q$2:$Q$317=$A18),--ISNUMBER('Данные 2st'!$NA$2:$NA$317))</f>
        <v>0</v>
      </c>
      <c r="RI18">
        <f>SUMPRODUCT(--('Данные 2st'!$Q$2:$Q$317=$A18),--ISNUMBER('Данные 2st'!$NB$2:$NB$317))</f>
        <v>0</v>
      </c>
      <c r="RJ18">
        <f>SUMPRODUCT(--('Данные 2st'!$Q$2:$Q$317=$A18),--ISNUMBER('Данные 2st'!$NC$2:$NC$317))</f>
        <v>0</v>
      </c>
      <c r="RK18">
        <f>SUMPRODUCT(--('Данные 2st'!$Q$2:$Q$317=$A18),--ISNUMBER('Данные 2st'!$ND$2:$ND$317))</f>
        <v>0</v>
      </c>
      <c r="RL18">
        <f>SUMPRODUCT(--('Данные 2st'!$Q$2:$Q$317=$A18),--ISNUMBER('Данные 2st'!$NE$2:$NE$317))</f>
        <v>0</v>
      </c>
      <c r="RM18">
        <f>SUMPRODUCT(--('Данные 2st'!$Q$2:$Q$317=$A18),--ISNUMBER('Данные 2st'!$NF$2:$NF$317))</f>
        <v>0</v>
      </c>
      <c r="RN18">
        <f>SUMPRODUCT(--('Данные 2st'!$Q$2:$Q$317=$A18),--ISNUMBER('Данные 2st'!$NG$2:$NG$317))</f>
        <v>0</v>
      </c>
      <c r="RO18">
        <f>SUMPRODUCT(--('Данные 2st'!$Q$2:$Q$317=$A18),--ISNUMBER('Данные 2st'!$NH$2:$NH$317))</f>
        <v>0</v>
      </c>
      <c r="RP18">
        <f>SUMPRODUCT(--('Данные 2st'!$Q$2:$Q$317=$A18),--ISNUMBER('Данные 2st'!$NJ$2:$NJ$317))</f>
        <v>0</v>
      </c>
      <c r="RQ18">
        <f>SUMPRODUCT(--('Данные 2st'!$Q$2:$Q$317=$A18),--ISNUMBER('Данные 2st'!$NK$2:$NK$317))</f>
        <v>0</v>
      </c>
      <c r="RR18">
        <f>SUMPRODUCT(--('Данные 2st'!$Q$2:$Q$317=$A18),--ISNUMBER('Данные 2st'!$NM$2:$NM$317))</f>
        <v>0</v>
      </c>
      <c r="RS18">
        <f>SUMPRODUCT(--('Данные 2st'!$Q$2:$Q$317=$A18),--ISNUMBER('Данные 2st'!$NN$2:$NN$317))</f>
        <v>0</v>
      </c>
      <c r="RT18">
        <f>SUMPRODUCT(--('Данные 2st'!$Q$2:$Q$317=$A18),--ISNUMBER('Данные 2st'!$NO$2:$NO$317))</f>
        <v>0</v>
      </c>
      <c r="RU18">
        <f>SUMPRODUCT(--('Данные 2st'!$Q$2:$Q$317=$A18),--ISNUMBER('Данные 2st'!$NP$2:$NP$317))</f>
        <v>0</v>
      </c>
      <c r="RV18">
        <f>SUMPRODUCT(--('Данные 2st'!$Q$2:$Q$317=$A18),--ISNUMBER('Данные 2st'!$NQ$2:$NQ$317))</f>
        <v>0</v>
      </c>
      <c r="RW18">
        <f>SUMPRODUCT(--('Данные 2st'!$Q$2:$Q$317=$A18),--ISNUMBER('Данные 2st'!$NR$2:$NR$317))</f>
        <v>0</v>
      </c>
      <c r="RX18">
        <f>SUMPRODUCT(--('Данные 2st'!$Q$2:$Q$317=$A18),--ISNUMBER('Данные 2st'!$NS$2:$NS$317))</f>
        <v>0</v>
      </c>
      <c r="RY18">
        <f>SUMPRODUCT(--('Данные 2st'!$Q$2:$Q$317=$A18),--ISNUMBER('Данные 2st'!$NT$2:$NT$317))</f>
        <v>0</v>
      </c>
      <c r="RZ18">
        <f>SUMPRODUCT(--('Данные 2st'!$Q$2:$Q$317=$A18),--ISNUMBER('Данные 2st'!$OK$2:$OK$317))</f>
        <v>4</v>
      </c>
      <c r="SA18">
        <f>SUMPRODUCT(--('Данные 2st'!$Q$2:$Q$317=$A18),--ISNUMBER('Данные 2st'!$OL$2:$OL$317))</f>
        <v>4</v>
      </c>
      <c r="SB18">
        <f>SUMPRODUCT(--('Данные 2st'!$Q$2:$Q$317=$A18),--ISNUMBER('Данные 2st'!$ON$2:$ON$317))</f>
        <v>4</v>
      </c>
      <c r="SC18">
        <f>SUMPRODUCT(--('Данные 2st'!$Q$2:$Q$317=$A18),--ISNUMBER('Данные 2st'!$OO$2:$OO$317))</f>
        <v>4</v>
      </c>
      <c r="SD18">
        <f>SUMPRODUCT(--('Данные 2st'!$Q$2:$Q$317=$A18),--ISNUMBER('Данные 2st'!$OP$2:$OP$317))</f>
        <v>4</v>
      </c>
      <c r="SE18">
        <f>SUMPRODUCT(--('Данные 2st'!$Q$2:$Q$317=$A18),--ISNUMBER('Данные 2st'!$OQ$2:$OQ$317))</f>
        <v>4</v>
      </c>
      <c r="SF18">
        <f>SUMPRODUCT(--('Данные 2st'!$Q$2:$Q$317=$A18),--ISNUMBER('Данные 2st'!$OS$2:$OS$317))</f>
        <v>4</v>
      </c>
      <c r="SG18">
        <f>SUMPRODUCT(--('Данные 2st'!$Q$2:$Q$317=$A18),--ISNUMBER('Данные 2st'!$OT$2:$OT$317))</f>
        <v>4</v>
      </c>
      <c r="SH18">
        <f>SUMPRODUCT(--('Данные 2st'!$Q$2:$Q$317=$A18),--ISNUMBER('Данные 2st'!$OU$2:$OU$317))</f>
        <v>4</v>
      </c>
      <c r="SI18">
        <f>SUMPRODUCT(--('Данные 2st'!$Q$2:$Q$317=$A18),--ISNUMBER('Данные 2st'!$OV$2:$OV$317))</f>
        <v>4</v>
      </c>
      <c r="SJ18">
        <f>SUMPRODUCT(--('Данные 2st'!$Q$2:$Q$317=$A18),--ISNUMBER('Данные 2st'!$OX$2:$OX$317))</f>
        <v>4</v>
      </c>
      <c r="SK18">
        <f>SUMPRODUCT(--('Данные 2st'!$Q$2:$Q$317=$A18),--ISNUMBER('Данные 2st'!$OY$2:$OY$317))</f>
        <v>4</v>
      </c>
      <c r="SL18">
        <f>SUMPRODUCT(--('Данные 2st'!$Q$2:$Q$317=$A18),--ISNUMBER('Данные 2st'!$OZ$2:$OZ$317))</f>
        <v>4</v>
      </c>
      <c r="SM18">
        <f>SUMPRODUCT(--('Данные 2st'!$Q$2:$Q$317=$A18),--ISNUMBER('Данные 2st'!$PA$2:$PA$317))</f>
        <v>4</v>
      </c>
      <c r="SN18">
        <f>SUMPRODUCT(--('Данные 2st'!$Q$2:$Q$317=$A18),--ISNUMBER('Данные 2st'!$PC$2:$PC$317))</f>
        <v>4</v>
      </c>
      <c r="SO18">
        <f>SUMPRODUCT(--('Данные 2st'!$Q$2:$Q$317=$A18),--ISNUMBER('Данные 2st'!$PD$2:$PD$317))</f>
        <v>4</v>
      </c>
      <c r="SP18">
        <f>SUMPRODUCT(--('Данные 2st'!$Q$2:$Q$317=$A18),--ISNUMBER('Данные 2st'!$PF$2:$PF$317))</f>
        <v>4</v>
      </c>
      <c r="SQ18">
        <f>SUMPRODUCT(--('Данные 2st'!$Q$2:$Q$317=$A18),--ISNUMBER('Данные 2st'!$PG$2:$PG$317))</f>
        <v>4</v>
      </c>
      <c r="SR18">
        <f>SUMPRODUCT(--('Данные 2st'!$Q$2:$Q$317=$A18),--ISNUMBER('Данные 2st'!$PH$2:$PH$317))</f>
        <v>4</v>
      </c>
      <c r="SS18">
        <f>SUMPRODUCT(--('Данные 2st'!$Q$2:$Q$317=$A18),--ISNUMBER('Данные 2st'!$PI$2:$PI$317))</f>
        <v>4</v>
      </c>
      <c r="ST18">
        <f>SUMPRODUCT(--('Данные 2st'!$Q$2:$Q$317=$A18),--ISNUMBER('Данные 2st'!$PJ$2:$PJ$317))</f>
        <v>4</v>
      </c>
      <c r="SU18">
        <f>SUMPRODUCT(--('Данные 2st'!$Q$2:$Q$317=$A18),--ISNUMBER('Данные 2st'!$PK$2:$PK$317))</f>
        <v>3</v>
      </c>
      <c r="SV18">
        <f>SUMPRODUCT(--('Данные 2st'!$Q$2:$Q$317=$A18),--ISNUMBER('Данные 2st'!$PL$2:$PL$317))</f>
        <v>4</v>
      </c>
      <c r="SW18">
        <f>SUMPRODUCT(--('Данные 2st'!$Q$2:$Q$317=$A18),--ISNUMBER('Данные 2st'!$PM$2:$PM$317))</f>
        <v>4</v>
      </c>
      <c r="SX18">
        <f>SUMPRODUCT(--('Данные 2st'!$Q$2:$Q$317=$A18),--ISNUMBER('Данные 2st'!$PN$2:$PN$317))</f>
        <v>4</v>
      </c>
      <c r="SY18">
        <f>SUMPRODUCT(--('Данные 2st'!$Q$2:$Q$317=$A18),--ISNUMBER('Данные 2st'!$PO$2:$PO$317))</f>
        <v>3</v>
      </c>
      <c r="SZ18">
        <f>SUMPRODUCT(--('Данные 2st'!$Q$2:$Q$317=$A18),--ISNUMBER('Данные 2st'!$PP$2:$PP$317))</f>
        <v>4</v>
      </c>
      <c r="TA18">
        <f>SUMPRODUCT(--('Данные 2st'!$Q$2:$Q$317=$A18),--ISNUMBER('Данные 2st'!$PQ$2:$PQ$317))</f>
        <v>4</v>
      </c>
      <c r="TB18">
        <f>SUMPRODUCT(--('Данные 2st'!$Q$2:$Q$317=$A18),--ISNUMBER('Данные 2st'!$PR$2:$PR$317))</f>
        <v>4</v>
      </c>
      <c r="TC18">
        <f>SUMPRODUCT(--('Данные 2st'!$Q$2:$Q$317=$A18),--ISNUMBER('Данные 2st'!$PS$2:$PS$317))</f>
        <v>4</v>
      </c>
      <c r="TD18">
        <f>SUMPRODUCT(--('Данные 2st'!$Q$2:$Q$317=$A18),--ISNUMBER('Данные 2st'!$PT$2:$PT$317))</f>
        <v>4</v>
      </c>
      <c r="TE18">
        <f>SUMPRODUCT(--('Данные 2st'!$Q$2:$Q$317=$A18),--ISNUMBER('Данные 2st'!$PU$2:$PU$317))</f>
        <v>4</v>
      </c>
      <c r="TF18">
        <f>SUMPRODUCT(--('Данные 2st'!$Q$2:$Q$317=$A18),--ISNUMBER('Данные 2st'!$PX$2:$PX$317))</f>
        <v>4</v>
      </c>
      <c r="TG18">
        <f>SUMPRODUCT(--('Данные 2st'!$Q$2:$Q$317=$A18),--ISNUMBER('Данные 2st'!$PY$2:$PY$317))</f>
        <v>4</v>
      </c>
      <c r="TH18">
        <f>SUMPRODUCT(--('Данные 2st'!$Q$2:$Q$317=$A18),--ISNUMBER('Данные 2st'!$PZ$2:$PZ$317))</f>
        <v>4</v>
      </c>
      <c r="TI18">
        <f>SUMPRODUCT(--('Данные 2st'!$Q$2:$Q$317=$A18),--ISNUMBER('Данные 2st'!$QA$2:$QA$317))</f>
        <v>4</v>
      </c>
      <c r="TJ18">
        <f>SUMPRODUCT(--('Данные 2st'!$Q$2:$Q$317=$A18),--ISNUMBER('Данные 2st'!$QB$2:$QB$317))</f>
        <v>4</v>
      </c>
      <c r="TK18">
        <f>SUMPRODUCT(--('Данные 2st'!$Q$2:$Q$317=$A18),--ISNUMBER('Данные 2st'!$QC$2:$QC$317))</f>
        <v>4</v>
      </c>
      <c r="TL18">
        <f>SUMPRODUCT(--('Данные 2st'!$Q$2:$Q$317=$A18),--ISNUMBER('Данные 2st'!$QD$2:$QD$317))</f>
        <v>4</v>
      </c>
      <c r="TM18">
        <f>SUMPRODUCT(--('Данные 2st'!$Q$2:$Q$317=$A18),--ISNUMBER('Данные 2st'!$QE$2:$QE$317))</f>
        <v>4</v>
      </c>
      <c r="TN18">
        <f>SUMPRODUCT(--('Данные 2st'!$Q$2:$Q$317=$A18),--ISNUMBER('Данные 2st'!$QF$2:$QF$317))</f>
        <v>4</v>
      </c>
      <c r="TO18">
        <f>SUMPRODUCT(--('Данные 2st'!$Q$2:$Q$317=$A18),--ISNUMBER('Данные 2st'!$QG$2:$QG$317))</f>
        <v>4</v>
      </c>
      <c r="TP18">
        <f>SUMPRODUCT(--('Данные 2st'!$Q$2:$Q$317=$A18),--ISNUMBER('Данные 2st'!$QH$2:$QH$317))</f>
        <v>4</v>
      </c>
      <c r="TQ18">
        <f>SUMPRODUCT(--('Данные 2st'!$Q$2:$Q$317=$A18),--ISNUMBER('Данные 2st'!$QI$2:$QI$317))</f>
        <v>4</v>
      </c>
      <c r="TR18">
        <f>SUMPRODUCT(--('Данные 2st'!$Q$2:$Q$317=$A18),--ISNUMBER('Данные 2st'!$QJ$2:$QJ$317))</f>
        <v>4</v>
      </c>
      <c r="TS18">
        <f>SUMPRODUCT(--('Данные 2st'!$Q$2:$Q$317=$A18),--ISNUMBER('Данные 2st'!$QK$2:$QK$317))</f>
        <v>4</v>
      </c>
      <c r="TT18">
        <f>SUMPRODUCT(--('Данные 2st'!$Q$2:$Q$317=$A18),--ISNUMBER('Данные 2st'!$QL$2:$QL$317))</f>
        <v>4</v>
      </c>
      <c r="TU18">
        <f>SUMPRODUCT(--('Данные 2st'!$Q$2:$Q$317=$A18),--ISNUMBER('Данные 2st'!$QM$2:$QM$317))</f>
        <v>4</v>
      </c>
      <c r="TV18">
        <f>SUMPRODUCT(--('Данные 2st'!$Q$2:$Q$317=$A18),--ISNUMBER('Данные 2st'!$QN$2:$QN$317))</f>
        <v>4</v>
      </c>
      <c r="TW18">
        <f>SUMPRODUCT(--('Данные 2st'!$Q$2:$Q$317=$A18),--ISNUMBER('Данные 2st'!$QQ$2:$QQ$317))</f>
        <v>4</v>
      </c>
      <c r="TX18">
        <f>SUMPRODUCT(--('Данные 2st'!$Q$2:$Q$317=$A18),--ISNUMBER('Данные 2st'!$QS$2:$QS$317))</f>
        <v>4</v>
      </c>
      <c r="TY18">
        <f>SUMPRODUCT(--('Данные 2st'!$Q$2:$Q$317=$A18),--ISNUMBER('Данные 2st'!$QT$2:$QT$317))</f>
        <v>4</v>
      </c>
    </row>
    <row r="19" spans="1:545" ht="32" customHeight="1">
      <c r="A19" s="11" t="str">
        <f>'По размерам'!A19</f>
        <v>205/65R16</v>
      </c>
      <c r="G19">
        <f>SUMPRODUCT(--('Данные 1st'!$S$2:$S$317=$A19),--ISNUMBER('Данные 1st'!$AE$2:$AE$317))</f>
        <v>4</v>
      </c>
      <c r="H19">
        <f>SUMPRODUCT(--('Данные 1st'!$S$2:$S$317=$A19),--ISNUMBER('Данные 1st'!$AF$2:$AF$317))</f>
        <v>4</v>
      </c>
      <c r="I19">
        <f>SUMPRODUCT(--('Данные 1st'!$S$2:$S$317=$A19),--ISNUMBER('Данные 1st'!$AJ$2:$AJ$317))</f>
        <v>4</v>
      </c>
      <c r="J19">
        <f>SUMPRODUCT(--('Данные 1st'!$S$2:$S$317=$A19),--ISNUMBER('Данные 1st'!$AL$2:$AL$317))</f>
        <v>4</v>
      </c>
      <c r="K19">
        <f>SUMPRODUCT(--('Данные 1st'!$S$2:$S$317=$A19),--ISNUMBER('Данные 1st'!$AR$2:$AR$317))</f>
        <v>4</v>
      </c>
      <c r="L19">
        <f>SUMPRODUCT(--('Данные 1st'!$S$2:$S$317=$A19),--ISNUMBER('Данные 1st'!$AS$2:$AS$317))</f>
        <v>4</v>
      </c>
      <c r="M19">
        <f>SUMPRODUCT(--('Данные 1st'!$S$2:$S$317=$A19),--ISNUMBER('Данные 1st'!$AY$2:$AY$317))</f>
        <v>4</v>
      </c>
      <c r="N19">
        <f>SUMPRODUCT(--('Данные 1st'!$S$2:$S$317=$A19),--ISNUMBER('Данные 1st'!$AZ$2:$AZ$317))</f>
        <v>4</v>
      </c>
      <c r="O19">
        <f>SUMPRODUCT(--('Данные 1st'!$S$2:$S$317=$A19),--ISNUMBER('Данные 1st'!$BF$2:$BF$317))</f>
        <v>2</v>
      </c>
      <c r="P19">
        <f>SUMPRODUCT(--('Данные 1st'!$S$2:$S$317=$A19),--ISNUMBER('Данные 1st'!$BG$2:$BG$317))</f>
        <v>4</v>
      </c>
      <c r="Q19">
        <f>SUMPRODUCT(--('Данные 1st'!$S$2:$S$317=$A19),--ISNUMBER('Данные 1st'!$BM$2:$BM$317))</f>
        <v>0</v>
      </c>
      <c r="R19">
        <f>SUMPRODUCT(--('Данные 1st'!$S$2:$S$317=$A19),--ISNUMBER('Данные 1st'!$BN$2:$BN$317))</f>
        <v>4</v>
      </c>
      <c r="S19">
        <f>SUMPRODUCT(--('Данные 1st'!$S$2:$S$317=$A19),--ISNUMBER('Данные 1st'!$BT$2:$BT$317))</f>
        <v>4</v>
      </c>
      <c r="T19">
        <f>SUMPRODUCT(--('Данные 1st'!$S$2:$S$317=$A19),--ISNUMBER('Данные 1st'!$BU$2:$BU$317))</f>
        <v>4</v>
      </c>
      <c r="U19">
        <f>SUMPRODUCT(--('Данные 1st'!$S$2:$S$317=$A19),--ISNUMBER('Данные 1st'!$BW$2:$BW$317))</f>
        <v>4</v>
      </c>
      <c r="V19">
        <f>SUMPRODUCT(--('Данные 1st'!$S$2:$S$317=$A19),--ISNUMBER('Данные 1st'!$BX$2:$BX$317))</f>
        <v>4</v>
      </c>
      <c r="W19">
        <f>SUMPRODUCT(--('Данные 1st'!$S$2:$S$317=$A19),--ISNUMBER('Данные 1st'!$BZ$2:$BZ$317))</f>
        <v>4</v>
      </c>
      <c r="X19">
        <f>SUMPRODUCT(--('Данные 1st'!$S$2:$S$317=$A19),--ISNUMBER('Данные 1st'!$CA$2:$CA$317))</f>
        <v>4</v>
      </c>
      <c r="Y19">
        <f>SUMPRODUCT(--('Данные 1st'!$S$2:$S$317=$A19),--ISNUMBER('Данные 1st'!$CD$2:$CD$317))</f>
        <v>4</v>
      </c>
      <c r="Z19">
        <f>SUMPRODUCT(--('Данные 1st'!$S$2:$S$317=$A19),--ISNUMBER('Данные 1st'!$CF$2:$CF$317))</f>
        <v>4</v>
      </c>
      <c r="AA19">
        <f>SUMPRODUCT(--('Данные 1st'!$S$2:$S$317=$A19),--ISNUMBER('Данные 1st'!$CI$2:$CI$317))</f>
        <v>4</v>
      </c>
      <c r="AB19">
        <f>SUMPRODUCT(--('Данные 1st'!$S$2:$S$317=$A19),--ISNUMBER('Данные 1st'!$CJ$2:$CJ$317))</f>
        <v>4</v>
      </c>
      <c r="AC19">
        <f>SUMPRODUCT(--('Данные 1st'!$S$2:$S$317=$A19),--ISNUMBER('Данные 1st'!$CK$2:$CK$317))</f>
        <v>4</v>
      </c>
      <c r="AD19">
        <f>SUMPRODUCT(--('Данные 1st'!$S$2:$S$317=$A19),--ISNUMBER('Данные 1st'!$CL$2:$CL$317))</f>
        <v>4</v>
      </c>
      <c r="AE19">
        <f>SUMPRODUCT(--('Данные 1st'!$S$2:$S$317=$A19),--ISNUMBER('Данные 1st'!$CM$2:$CM$317))</f>
        <v>4</v>
      </c>
      <c r="AF19">
        <f>SUMPRODUCT(--('Данные 1st'!$S$2:$S$317=$A19),--ISNUMBER('Данные 1st'!$CT$2:$CT$317))</f>
        <v>4</v>
      </c>
      <c r="AG19">
        <f>SUMPRODUCT(--('Данные 1st'!$S$2:$S$317=$A19),--ISNUMBER('Данные 1st'!$CU$2:$CU$317))</f>
        <v>4</v>
      </c>
      <c r="AH19">
        <f>SUMPRODUCT(--('Данные 1st'!$S$2:$S$317=$A19),--ISNUMBER('Данные 1st'!$CV$2:$CV$317))</f>
        <v>4</v>
      </c>
      <c r="AI19">
        <f>SUMPRODUCT(--('Данные 1st'!$S$2:$S$317=$A19),--ISNUMBER('Данные 1st'!$CW$2:$CW$317))</f>
        <v>4</v>
      </c>
      <c r="AJ19">
        <f>SUMPRODUCT(--('Данные 1st'!$S$2:$S$317=$A19),--ISNUMBER('Данные 1st'!$CX$2:$CX$317))</f>
        <v>4</v>
      </c>
      <c r="AK19">
        <f>SUMPRODUCT(--('Данные 1st'!$S$2:$S$317=$A19),--ISNUMBER('Данные 1st'!$CZ$2:$CZ$317))</f>
        <v>0</v>
      </c>
      <c r="AL19">
        <f>SUMPRODUCT(--('Данные 1st'!$S$2:$S$317=$A19),--ISNUMBER('Данные 1st'!$DA$2:$DA$317))</f>
        <v>0</v>
      </c>
      <c r="AM19">
        <f>SUMPRODUCT(--('Данные 1st'!$S$2:$S$317=$A19),--ISNUMBER('Данные 1st'!$DB$2:$DB$317))</f>
        <v>0</v>
      </c>
      <c r="AN19">
        <f>SUMPRODUCT(--('Данные 1st'!$S$2:$S$317=$A19),--ISNUMBER('Данные 1st'!$DC$2:$DC$317))</f>
        <v>0</v>
      </c>
      <c r="AO19">
        <f>SUMPRODUCT(--('Данные 1st'!$S$2:$S$317=$A19),--ISNUMBER('Данные 1st'!$DD$2:$DD$317))</f>
        <v>4</v>
      </c>
      <c r="AP19">
        <f>SUMPRODUCT(--('Данные 1st'!$S$2:$S$317=$A19),--ISNUMBER('Данные 1st'!$DF$2:$DF$317))</f>
        <v>4</v>
      </c>
      <c r="AQ19">
        <f>SUMPRODUCT(--('Данные 1st'!$S$2:$S$317=$A19),--ISNUMBER('Данные 1st'!$DG$2:$DG$317))</f>
        <v>4</v>
      </c>
      <c r="AR19">
        <f>SUMPRODUCT(--('Данные 1st'!$S$2:$S$317=$A19),--ISNUMBER('Данные 1st'!$DH$2:$DH$317))</f>
        <v>4</v>
      </c>
      <c r="AS19">
        <f>SUMPRODUCT(--('Данные 1st'!$S$2:$S$317=$A19),--ISNUMBER('Данные 1st'!$DI$2:$DI$317))</f>
        <v>4</v>
      </c>
      <c r="AT19">
        <f>SUMPRODUCT(--('Данные 1st'!$S$2:$S$317=$A19),--ISNUMBER('Данные 1st'!$DJ$2:$DJ$317))</f>
        <v>4</v>
      </c>
      <c r="AU19">
        <f>SUMPRODUCT(--('Данные 1st'!$S$2:$S$317=$A19),--ISNUMBER('Данные 1st'!$DL$2:$DL$317))</f>
        <v>2</v>
      </c>
      <c r="AV19">
        <f>SUMPRODUCT(--('Данные 1st'!$S$2:$S$317=$A19),--ISNUMBER('Данные 1st'!$DM$2:$DM$317))</f>
        <v>2</v>
      </c>
      <c r="AW19">
        <f>SUMPRODUCT(--('Данные 1st'!$S$2:$S$317=$A19),--ISNUMBER('Данные 1st'!$DN$2:$DN$317))</f>
        <v>2</v>
      </c>
      <c r="AX19">
        <f>SUMPRODUCT(--('Данные 1st'!$S$2:$S$317=$A19),--ISNUMBER('Данные 1st'!$DO$2:$DO$317))</f>
        <v>2</v>
      </c>
      <c r="AY19">
        <f>SUMPRODUCT(--('Данные 1st'!$S$2:$S$317=$A19),--ISNUMBER('Данные 1st'!$DP$2:$DP$317))</f>
        <v>2</v>
      </c>
      <c r="AZ19">
        <f>SUMPRODUCT(--('Данные 1st'!$S$2:$S$317=$A19),--ISNUMBER('Данные 1st'!$DR$2:$DR$317))</f>
        <v>0</v>
      </c>
      <c r="BA19">
        <f>SUMPRODUCT(--('Данные 1st'!$S$2:$S$317=$A19),--ISNUMBER('Данные 1st'!$DS$2:$DS$317))</f>
        <v>0</v>
      </c>
      <c r="BB19">
        <f>SUMPRODUCT(--('Данные 1st'!$S$2:$S$317=$A19),--ISNUMBER('Данные 1st'!$DT$2:$DT$317))</f>
        <v>0</v>
      </c>
      <c r="BC19">
        <f>SUMPRODUCT(--('Данные 1st'!$S$2:$S$317=$A19),--ISNUMBER('Данные 1st'!$DU$2:$DU$317))</f>
        <v>0</v>
      </c>
      <c r="BD19">
        <f>SUMPRODUCT(--('Данные 1st'!$S$2:$S$317=$A19),--ISNUMBER('Данные 1st'!$DV$2:$DV$317))</f>
        <v>0</v>
      </c>
      <c r="BE19">
        <f>SUMPRODUCT(--('Данные 1st'!$S$2:$S$317=$A19),--ISNUMBER('Данные 1st'!$DX$2:$DX$317))</f>
        <v>4</v>
      </c>
      <c r="BF19">
        <f>SUMPRODUCT(--('Данные 1st'!$S$2:$S$317=$A19),--ISNUMBER('Данные 1st'!$EA$2:$EA$317))</f>
        <v>4</v>
      </c>
      <c r="BG19">
        <f>SUMPRODUCT(--('Данные 1st'!$S$2:$S$317=$A19),--ISNUMBER('Данные 1st'!$EB$2:$EB$317))</f>
        <v>4</v>
      </c>
      <c r="BH19">
        <f>SUMPRODUCT(--('Данные 1st'!$S$2:$S$317=$A19),--ISNUMBER('Данные 1st'!$ED$2:$ED$317))</f>
        <v>4</v>
      </c>
      <c r="BI19">
        <f>SUMPRODUCT(--('Данные 1st'!$S$2:$S$317=$A19),--ISNUMBER('Данные 1st'!$EE$2:$EE$317))</f>
        <v>4</v>
      </c>
      <c r="BJ19">
        <f>SUMPRODUCT(--('Данные 1st'!$S$2:$S$317=$A19),--ISNUMBER('Данные 1st'!$EG$2:$EG$317))</f>
        <v>4</v>
      </c>
      <c r="BK19">
        <f>SUMPRODUCT(--('Данные 1st'!$S$2:$S$317=$A19),--ISNUMBER('Данные 1st'!$EH$2:$EH$317))</f>
        <v>4</v>
      </c>
      <c r="BL19">
        <f>SUMPRODUCT(--('Данные 1st'!$S$2:$S$317=$A19),--ISNUMBER('Данные 1st'!$EJ$2:$EJ$317))</f>
        <v>4</v>
      </c>
      <c r="BM19">
        <f>SUMPRODUCT(--('Данные 1st'!$S$2:$S$317=$A19),--ISNUMBER('Данные 1st'!$EK$2:$EK$317))</f>
        <v>4</v>
      </c>
      <c r="BN19">
        <f>SUMPRODUCT(--('Данные 1st'!$S$2:$S$317=$A19),--ISNUMBER('Данные 1st'!$EN$2:$EN$317))</f>
        <v>4</v>
      </c>
      <c r="BO19">
        <f>SUMPRODUCT(--('Данные 1st'!$S$2:$S$317=$A19),--ISNUMBER('Данные 1st'!$EQ$2:$EQ$317))</f>
        <v>4</v>
      </c>
      <c r="BP19">
        <f>SUMPRODUCT(--('Данные 1st'!$S$2:$S$317=$A19),--ISNUMBER('Данные 1st'!$ER$2:$ER$317))</f>
        <v>4</v>
      </c>
      <c r="BQ19">
        <f>SUMPRODUCT(--('Данные 1st'!$S$2:$S$317=$A19),--ISNUMBER('Данные 1st'!$ES$2:$ES$317))</f>
        <v>4</v>
      </c>
      <c r="BR19">
        <f>SUMPRODUCT(--('Данные 1st'!$S$2:$S$317=$A19),--ISNUMBER('Данные 1st'!$ET$2:$ET$317))</f>
        <v>4</v>
      </c>
      <c r="BS19">
        <f>SUMPRODUCT(--('Данные 1st'!$S$2:$S$317=$A19),--ISNUMBER('Данные 1st'!$EU$2:$EU$317))</f>
        <v>4</v>
      </c>
      <c r="BT19">
        <f>SUMPRODUCT(--('Данные 1st'!$S$2:$S$317=$A19),--ISNUMBER('Данные 1st'!$EV$2:$EV$317))</f>
        <v>4</v>
      </c>
      <c r="BU19">
        <f>SUMPRODUCT(--('Данные 1st'!$S$2:$S$317=$A19),--ISNUMBER('Данные 1st'!$EX$2:$EX$317))</f>
        <v>4</v>
      </c>
      <c r="BV19">
        <f>SUMPRODUCT(--('Данные 1st'!$S$2:$S$317=$A19),--ISNUMBER('Данные 1st'!$EY$2:$EY$317))</f>
        <v>4</v>
      </c>
      <c r="BW19">
        <f>SUMPRODUCT(--('Данные 1st'!$S$2:$S$317=$A19),--ISNUMBER('Данные 1st'!$EZ$2:$EZ$317))</f>
        <v>4</v>
      </c>
      <c r="BX19">
        <f>SUMPRODUCT(--('Данные 1st'!$S$2:$S$317=$A19),--ISNUMBER('Данные 1st'!$FA$2:$FA$317))</f>
        <v>4</v>
      </c>
      <c r="BY19">
        <f>SUMPRODUCT(--('Данные 1st'!$S$2:$S$317=$A19),--ISNUMBER('Данные 1st'!$FB$2:$FB$317))</f>
        <v>4</v>
      </c>
      <c r="BZ19">
        <f>SUMPRODUCT(--('Данные 1st'!$S$2:$S$317=$A19),--ISNUMBER('Данные 1st'!$FC$2:$FC$317))</f>
        <v>4</v>
      </c>
      <c r="CA19">
        <f>SUMPRODUCT(--('Данные 1st'!$S$2:$S$317=$A19),--ISNUMBER('Данные 1st'!$FE$2:$FE$317))</f>
        <v>4</v>
      </c>
      <c r="CB19">
        <f>SUMPRODUCT(--('Данные 1st'!$S$2:$S$317=$A19),--ISNUMBER('Данные 1st'!$FF$2:$FF$317))</f>
        <v>4</v>
      </c>
      <c r="CC19">
        <f>SUMPRODUCT(--('Данные 1st'!$S$2:$S$317=$A19),--ISNUMBER('Данные 1st'!$FI$2:$FI$317))</f>
        <v>4</v>
      </c>
      <c r="CD19">
        <f>SUMPRODUCT(--('Данные 1st'!$S$2:$S$317=$A19),--ISNUMBER('Данные 1st'!$FL$2:$FL$317))</f>
        <v>4</v>
      </c>
      <c r="CE19">
        <f>SUMPRODUCT(--('Данные 1st'!$S$2:$S$317=$A19),--ISNUMBER('Данные 1st'!$FM$2:$FM$317))</f>
        <v>4</v>
      </c>
      <c r="CF19">
        <f>SUMPRODUCT(--('Данные 1st'!$S$2:$S$317=$A19),--ISNUMBER('Данные 1st'!$FN$2:$FN$317))</f>
        <v>4</v>
      </c>
      <c r="CG19">
        <f>SUMPRODUCT(--('Данные 1st'!$S$2:$S$317=$A19),--ISNUMBER('Данные 1st'!$FO$2:$FO$317))</f>
        <v>0</v>
      </c>
      <c r="CH19">
        <f>SUMPRODUCT(--('Данные 1st'!$S$2:$S$317=$A19),--ISNUMBER('Данные 1st'!$FP$2:$FP$317))</f>
        <v>0</v>
      </c>
      <c r="CI19">
        <f>SUMPRODUCT(--('Данные 1st'!$S$2:$S$317=$A19),--ISNUMBER('Данные 1st'!$FS$2:$FS$317))</f>
        <v>2</v>
      </c>
      <c r="CJ19">
        <f>SUMPRODUCT(--('Данные 1st'!$S$2:$S$317=$A19),--ISNUMBER('Данные 1st'!$FT$2:$FT$317))</f>
        <v>2</v>
      </c>
      <c r="CK19">
        <f>SUMPRODUCT(--('Данные 1st'!$S$2:$S$317=$A19),--ISNUMBER('Данные 1st'!$FU$2:$FU$317))</f>
        <v>2</v>
      </c>
      <c r="CL19">
        <f>SUMPRODUCT(--('Данные 1st'!$S$2:$S$317=$A19),--ISNUMBER('Данные 1st'!$FV$2:$FV$317))</f>
        <v>2</v>
      </c>
      <c r="CM19">
        <f>SUMPRODUCT(--('Данные 1st'!$S$2:$S$317=$A19),--ISNUMBER('Данные 1st'!$FW$2:$FW$317))</f>
        <v>2</v>
      </c>
      <c r="CN19">
        <f>SUMPRODUCT(--('Данные 1st'!$S$2:$S$317=$A19),--ISNUMBER('Данные 1st'!$FZ$2:$FZ$317))</f>
        <v>0</v>
      </c>
      <c r="CO19">
        <f>SUMPRODUCT(--('Данные 1st'!$S$2:$S$317=$A19),--ISNUMBER('Данные 1st'!$GA$2:$GA$317))</f>
        <v>0</v>
      </c>
      <c r="CP19">
        <f>SUMPRODUCT(--('Данные 1st'!$S$2:$S$317=$A19),--ISNUMBER('Данные 1st'!$GB$2:$GB$317))</f>
        <v>0</v>
      </c>
      <c r="CQ19">
        <f>SUMPRODUCT(--('Данные 1st'!$S$2:$S$317=$A19),--ISNUMBER('Данные 1st'!$GH$2:$GH$317))</f>
        <v>0</v>
      </c>
      <c r="CR19">
        <f>SUMPRODUCT(--('Данные 1st'!$S$2:$S$317=$A19),--ISNUMBER('Данные 1st'!$GI$2:$GI$317))</f>
        <v>0</v>
      </c>
      <c r="CS19">
        <f>SUMPRODUCT(--('Данные 1st'!$S$2:$S$317=$A19),--ISNUMBER('Данные 1st'!$GJ$2:$GJ$317))</f>
        <v>0</v>
      </c>
      <c r="CT19">
        <f>SUMPRODUCT(--('Данные 1st'!$S$2:$S$317=$A19),--ISNUMBER('Данные 1st'!$GS$2:$GS$317))</f>
        <v>2</v>
      </c>
      <c r="CU19">
        <f>SUMPRODUCT(--('Данные 1st'!$S$2:$S$317=$A19),--ISNUMBER('Данные 1st'!$GT$2:$GT$317))</f>
        <v>2</v>
      </c>
      <c r="CV19">
        <f>SUMPRODUCT(--('Данные 1st'!$S$2:$S$317=$A19),--ISNUMBER('Данные 1st'!$GU$2:$GU$317))</f>
        <v>2</v>
      </c>
      <c r="CW19">
        <f>SUMPRODUCT(--('Данные 1st'!$S$2:$S$317=$A19),--ISNUMBER('Данные 1st'!$GV$2:$GV$317))</f>
        <v>1</v>
      </c>
      <c r="CX19">
        <f>SUMPRODUCT(--('Данные 1st'!$S$2:$S$317=$A19),--ISNUMBER('Данные 1st'!$GW$2:$GW$317))</f>
        <v>1</v>
      </c>
      <c r="CY19">
        <f>SUMPRODUCT(--('Данные 1st'!$S$2:$S$317=$A19),--ISNUMBER('Данные 1st'!$GZ$2:$GZ$317))</f>
        <v>0</v>
      </c>
      <c r="CZ19">
        <f>SUMPRODUCT(--('Данные 1st'!$S$2:$S$317=$A19),--ISNUMBER('Данные 1st'!$HA$2:$HA$317))</f>
        <v>0</v>
      </c>
      <c r="DA19">
        <f>SUMPRODUCT(--('Данные 1st'!$S$2:$S$317=$A19),--ISNUMBER('Данные 1st'!$HB$2:$HB$317))</f>
        <v>0</v>
      </c>
      <c r="DB19">
        <f>SUMPRODUCT(--('Данные 1st'!$S$2:$S$317=$A19),--ISNUMBER('Данные 1st'!$HC$2:$HC$317))</f>
        <v>4</v>
      </c>
      <c r="DC19">
        <f>SUMPRODUCT(--('Данные 1st'!$S$2:$S$317=$A19),--ISNUMBER('Данные 1st'!$HD$2:$HD$317))</f>
        <v>4</v>
      </c>
      <c r="DD19">
        <f>SUMPRODUCT(--('Данные 1st'!$S$2:$S$317=$A19),--ISNUMBER('Данные 1st'!$HE$2:$HE$317))</f>
        <v>4</v>
      </c>
      <c r="DE19">
        <f>SUMPRODUCT(--('Данные 1st'!$S$2:$S$317=$A19),--ISNUMBER('Данные 1st'!$HF$2:$HF$317))</f>
        <v>4</v>
      </c>
      <c r="DF19">
        <f>SUMPRODUCT(--('Данные 1st'!$S$2:$S$317=$A19),--ISNUMBER('Данные 1st'!$HG$2:$HG$317))</f>
        <v>4</v>
      </c>
      <c r="DG19">
        <f>SUMPRODUCT(--('Данные 1st'!$S$2:$S$317=$A19),--ISNUMBER('Данные 1st'!$HH$2:$HH$317))</f>
        <v>4</v>
      </c>
      <c r="DH19">
        <f>SUMPRODUCT(--('Данные 1st'!$S$2:$S$317=$A19),--ISNUMBER('Данные 1st'!$HI$2:$HI$317))</f>
        <v>4</v>
      </c>
      <c r="DI19">
        <f>SUMPRODUCT(--('Данные 1st'!$S$2:$S$317=$A19),--ISNUMBER('Данные 1st'!$HJ$2:$HJ$317))</f>
        <v>4</v>
      </c>
      <c r="DJ19">
        <f>SUMPRODUCT(--('Данные 1st'!$S$2:$S$317=$A19),--ISNUMBER('Данные 1st'!$HK$2:$HK$317))</f>
        <v>4</v>
      </c>
      <c r="DK19">
        <f>SUMPRODUCT(--('Данные 1st'!$S$2:$S$317=$A19),--ISNUMBER('Данные 1st'!$HL$2:$HL$317))</f>
        <v>4</v>
      </c>
      <c r="DL19">
        <f>SUMPRODUCT(--('Данные 1st'!$S$2:$S$317=$A19),--ISNUMBER('Данные 1st'!$HM$2:$HM$317))</f>
        <v>4</v>
      </c>
      <c r="DM19">
        <f>SUMPRODUCT(--('Данные 1st'!$S$2:$S$317=$A19),--ISNUMBER('Данные 1st'!$HN$2:$HN$317))</f>
        <v>4</v>
      </c>
      <c r="DN19">
        <f>SUMPRODUCT(--('Данные 1st'!$S$2:$S$317=$A19),--ISNUMBER('Данные 1st'!$HO$2:$HO$317))</f>
        <v>4</v>
      </c>
      <c r="DO19">
        <f>SUMPRODUCT(--('Данные 1st'!$S$2:$S$317=$A19),--ISNUMBER('Данные 1st'!$HP$2:$HP$317))</f>
        <v>4</v>
      </c>
      <c r="DP19">
        <f>SUMPRODUCT(--('Данные 1st'!$S$2:$S$317=$A19),--ISNUMBER('Данные 1st'!$HQ$2:$HQ$317))</f>
        <v>4</v>
      </c>
      <c r="DQ19">
        <f>SUMPRODUCT(--('Данные 1st'!$S$2:$S$317=$A19),--ISNUMBER('Данные 1st'!$HR$2:$HR$317))</f>
        <v>4</v>
      </c>
      <c r="DR19">
        <f>SUMPRODUCT(--('Данные 1st'!$S$2:$S$317=$A19),--ISNUMBER('Данные 1st'!$HS$2:$HS$317))</f>
        <v>4</v>
      </c>
      <c r="DS19">
        <f>SUMPRODUCT(--('Данные 1st'!$S$2:$S$317=$A19),--ISNUMBER('Данные 1st'!$HT$2:$HT$317))</f>
        <v>4</v>
      </c>
      <c r="DT19">
        <f>SUMPRODUCT(--('Данные 1st'!$S$2:$S$317=$A19),--ISNUMBER('Данные 1st'!$HU$2:$HU$317))</f>
        <v>4</v>
      </c>
      <c r="DU19">
        <f>SUMPRODUCT(--('Данные 1st'!$S$2:$S$317=$A19),--ISNUMBER('Данные 1st'!$HW$2:$HW$317))</f>
        <v>4</v>
      </c>
      <c r="DV19">
        <f>SUMPRODUCT(--('Данные 1st'!$S$2:$S$317=$A19),--ISNUMBER('Данные 1st'!$HX$2:$HX$317))</f>
        <v>4</v>
      </c>
      <c r="DW19">
        <f>SUMPRODUCT(--('Данные 1st'!$S$2:$S$317=$A19),--ISNUMBER('Данные 1st'!$HY$2:$HY$317))</f>
        <v>4</v>
      </c>
      <c r="DX19">
        <f>SUMPRODUCT(--('Данные 1st'!$S$2:$S$317=$A19),--ISNUMBER('Данные 1st'!$IA$2:$IA$317))</f>
        <v>4</v>
      </c>
      <c r="DY19">
        <f>SUMPRODUCT(--('Данные 1st'!$S$2:$S$317=$A19),--ISNUMBER('Данные 1st'!$IB$2:$IB$317))</f>
        <v>4</v>
      </c>
      <c r="DZ19">
        <f>SUMPRODUCT(--('Данные 1st'!$S$2:$S$317=$A19),--ISNUMBER('Данные 1st'!$IC$2:$IC$317))</f>
        <v>4</v>
      </c>
      <c r="EA19">
        <f>SUMPRODUCT(--('Данные 1st'!$S$2:$S$317=$A19),--ISNUMBER('Данные 1st'!$ID$2:$ID$317))</f>
        <v>4</v>
      </c>
      <c r="EB19">
        <f>SUMPRODUCT(--('Данные 1st'!$S$2:$S$317=$A19),--ISNUMBER('Данные 1st'!$IE$2:$IE$317))</f>
        <v>4</v>
      </c>
      <c r="EC19">
        <f>SUMPRODUCT(--('Данные 1st'!$S$2:$S$317=$A19),--ISNUMBER('Данные 1st'!$IF$2:$IF$317))</f>
        <v>4</v>
      </c>
      <c r="ED19">
        <f>SUMPRODUCT(--('Данные 1st'!$S$2:$S$317=$A19),--ISNUMBER('Данные 1st'!$IP$2:$IP$317))</f>
        <v>4</v>
      </c>
      <c r="EE19">
        <f>SUMPRODUCT(--('Данные 1st'!$S$2:$S$317=$A19),--ISNUMBER('Данные 1st'!$IV$2:$IV$317))</f>
        <v>4</v>
      </c>
      <c r="EF19">
        <f>SUMPRODUCT(--('Данные 1st'!$S$2:$S$317=$A19),--ISNUMBER('Данные 1st'!$IW$2:$IW$317))</f>
        <v>4</v>
      </c>
      <c r="EG19">
        <f>SUMPRODUCT(--('Данные 1st'!$S$2:$S$317=$A19),--ISNUMBER('Данные 1st'!$IX$2:$IX$317))</f>
        <v>0</v>
      </c>
      <c r="EH19">
        <f>SUMPRODUCT(--('Данные 1st'!$S$2:$S$317=$A19),--ISNUMBER('Данные 1st'!$IY$2:$IY$317))</f>
        <v>0</v>
      </c>
      <c r="EI19">
        <f>SUMPRODUCT(--('Данные 1st'!$S$2:$S$317=$A19),--ISNUMBER('Данные 1st'!$JD$2:$JD$317))</f>
        <v>4</v>
      </c>
      <c r="EJ19">
        <f>SUMPRODUCT(--('Данные 1st'!$S$2:$S$317=$A19),--ISNUMBER('Данные 1st'!$JE$2:$JE$317))</f>
        <v>4</v>
      </c>
      <c r="EK19">
        <f>SUMPRODUCT(--('Данные 1st'!$S$2:$S$317=$A19),--ISNUMBER('Данные 1st'!$JF$2:$JF$317))</f>
        <v>4</v>
      </c>
      <c r="EL19">
        <f>SUMPRODUCT(--('Данные 1st'!$S$2:$S$317=$A19),--ISNUMBER('Данные 1st'!$JG$2:$JG$317))</f>
        <v>4</v>
      </c>
      <c r="EM19">
        <f>SUMPRODUCT(--('Данные 1st'!$S$2:$S$317=$A19),--ISNUMBER('Данные 1st'!$JH$2:$JH$317))</f>
        <v>4</v>
      </c>
      <c r="EN19">
        <f>SUMPRODUCT(--('Данные 1st'!$S$2:$S$317=$A19),--ISNUMBER('Данные 1st'!$JJ$2:$JJ$317))</f>
        <v>4</v>
      </c>
      <c r="EO19">
        <f>SUMPRODUCT(--('Данные 1st'!$S$2:$S$317=$A19),--ISNUMBER('Данные 1st'!$JK$2:$JK$317))</f>
        <v>4</v>
      </c>
      <c r="EP19">
        <f>SUMPRODUCT(--('Данные 1st'!$S$2:$S$317=$A19),--ISNUMBER('Данные 1st'!$JL$2:$JL$317))</f>
        <v>0</v>
      </c>
      <c r="EQ19">
        <f>SUMPRODUCT(--('Данные 1st'!$S$2:$S$317=$A19),--ISNUMBER('Данные 1st'!$JM$2:$JM$317))</f>
        <v>0</v>
      </c>
      <c r="ER19">
        <f>SUMPRODUCT(--('Данные 1st'!$S$2:$S$317=$A19),--ISNUMBER('Данные 1st'!$JN$2:$JN$317))</f>
        <v>4</v>
      </c>
      <c r="ES19">
        <f>SUMPRODUCT(--('Данные 1st'!$S$2:$S$317=$A19),--ISNUMBER('Данные 1st'!$JO$2:$JO$317))</f>
        <v>4</v>
      </c>
      <c r="ET19">
        <f>SUMPRODUCT(--('Данные 1st'!$S$2:$S$317=$A19),--ISNUMBER('Данные 1st'!$JP$2:$JP$317))</f>
        <v>4</v>
      </c>
      <c r="EU19">
        <f>SUMPRODUCT(--('Данные 1st'!$S$2:$S$317=$A19),--ISNUMBER('Данные 1st'!$JQ$2:$JQ$317))</f>
        <v>4</v>
      </c>
      <c r="EV19">
        <f>SUMPRODUCT(--('Данные 1st'!$S$2:$S$317=$A19),--ISNUMBER('Данные 1st'!$JR$2:$JR$317))</f>
        <v>4</v>
      </c>
      <c r="EW19">
        <f>SUMPRODUCT(--('Данные 1st'!$S$2:$S$317=$A19),--ISNUMBER('Данные 1st'!$JS$2:$JS$317))</f>
        <v>4</v>
      </c>
      <c r="EX19">
        <f>SUMPRODUCT(--('Данные 1st'!$S$2:$S$317=$A19),--ISNUMBER('Данные 1st'!$JT$2:$JT$317))</f>
        <v>0</v>
      </c>
      <c r="EY19">
        <f>SUMPRODUCT(--('Данные 1st'!$S$2:$S$317=$A19),--ISNUMBER('Данные 1st'!$JU$2:$JU$317))</f>
        <v>0</v>
      </c>
      <c r="EZ19">
        <f>SUMPRODUCT(--('Данные 1st'!$S$2:$S$317=$A19),--ISNUMBER('Данные 1st'!$JV$2:$JV$317))</f>
        <v>4</v>
      </c>
      <c r="FA19">
        <f>SUMPRODUCT(--('Данные 1st'!$S$2:$S$317=$A19),--ISNUMBER('Данные 1st'!$JW$2:$JW$317))</f>
        <v>0</v>
      </c>
      <c r="FB19">
        <f>SUMPRODUCT(--('Данные 1st'!$S$2:$S$317=$A19),--ISNUMBER('Данные 1st'!$JX$2:$JX$317))</f>
        <v>4</v>
      </c>
      <c r="FC19">
        <f>SUMPRODUCT(--('Данные 1st'!$S$2:$S$317=$A19),--ISNUMBER('Данные 1st'!$JY$2:$JY$317))</f>
        <v>0</v>
      </c>
      <c r="FD19">
        <f>SUMPRODUCT(--('Данные 1st'!$S$2:$S$317=$A19),--ISNUMBER('Данные 1st'!$JZ$2:$JZ$317))</f>
        <v>0</v>
      </c>
      <c r="FE19">
        <f>SUMPRODUCT(--('Данные 1st'!$S$2:$S$317=$A19),--ISNUMBER('Данные 1st'!$KA$2:$KA$317))</f>
        <v>4</v>
      </c>
      <c r="FF19">
        <f>SUMPRODUCT(--('Данные 1st'!$S$2:$S$317=$A19),--ISNUMBER('Данные 1st'!$KB$2:$KB$317))</f>
        <v>4</v>
      </c>
      <c r="FG19">
        <f>SUMPRODUCT(--('Данные 1st'!$S$2:$S$317=$A19),--ISNUMBER('Данные 1st'!$KC$2:$KC$317))</f>
        <v>4</v>
      </c>
      <c r="FH19">
        <f>SUMPRODUCT(--('Данные 1st'!$S$2:$S$317=$A19),--ISNUMBER('Данные 1st'!$KD$2:$KD$317))</f>
        <v>4</v>
      </c>
      <c r="FI19">
        <f>SUMPRODUCT(--('Данные 1st'!$S$2:$S$317=$A19),--ISNUMBER('Данные 1st'!$KE$2:$KE$317))</f>
        <v>0</v>
      </c>
      <c r="FJ19">
        <f>SUMPRODUCT(--('Данные 1st'!$S$2:$S$317=$A19),--ISNUMBER('Данные 1st'!$KF$2:$KF$317))</f>
        <v>4</v>
      </c>
      <c r="FK19">
        <f>SUMPRODUCT(--('Данные 1st'!$S$2:$S$317=$A19),--ISNUMBER('Данные 1st'!$KG$2:$KG$317))</f>
        <v>4</v>
      </c>
      <c r="FL19">
        <f>SUMPRODUCT(--('Данные 1st'!$S$2:$S$317=$A19),--ISNUMBER('Данные 1st'!$KH$2:$KH$317))</f>
        <v>4</v>
      </c>
      <c r="FM19">
        <f>SUMPRODUCT(--('Данные 1st'!$S$2:$S$317=$A19),--ISNUMBER('Данные 1st'!$KI$2:$KI$317))</f>
        <v>4</v>
      </c>
      <c r="FN19">
        <f>SUMPRODUCT(--('Данные 1st'!$S$2:$S$317=$A19),--ISNUMBER('Данные 1st'!$KJ$2:$KJ$317))</f>
        <v>4</v>
      </c>
      <c r="FO19">
        <f>SUMPRODUCT(--('Данные 1st'!$S$2:$S$317=$A19),--ISNUMBER('Данные 1st'!$KK$2:$KK$317))</f>
        <v>4</v>
      </c>
      <c r="FP19">
        <f>SUMPRODUCT(--('Данные 1st'!$S$2:$S$317=$A19),--ISNUMBER('Данные 1st'!$KL$2:$KL$317))</f>
        <v>4</v>
      </c>
      <c r="FQ19">
        <f>SUMPRODUCT(--('Данные 1st'!$S$2:$S$317=$A19),--ISNUMBER('Данные 1st'!$KM$2:$KM$317))</f>
        <v>4</v>
      </c>
      <c r="FR19">
        <f>SUMPRODUCT(--('Данные 1st'!$S$2:$S$317=$A19),--ISNUMBER('Данные 1st'!$KN$2:$KN$317))</f>
        <v>4</v>
      </c>
      <c r="FS19">
        <f>SUMPRODUCT(--('Данные 1st'!$S$2:$S$317=$A19),--ISNUMBER('Данные 1st'!$KR$2:$KR$317))</f>
        <v>4</v>
      </c>
      <c r="FT19">
        <f>SUMPRODUCT(--('Данные 1st'!$S$2:$S$317=$A19),--ISNUMBER('Данные 1st'!$KS$2:$KS$317))</f>
        <v>4</v>
      </c>
      <c r="FU19">
        <f>SUMPRODUCT(--('Данные 1st'!$S$2:$S$317=$A19),--ISNUMBER('Данные 1st'!$KT$2:$KT$317))</f>
        <v>4</v>
      </c>
      <c r="FV19">
        <f>SUMPRODUCT(--('Данные 1st'!$S$2:$S$317=$A19),--ISNUMBER('Данные 1st'!$KV$2:$KV$317))</f>
        <v>0</v>
      </c>
      <c r="FW19">
        <f>SUMPRODUCT(--('Данные 1st'!$S$2:$S$317=$A19),--ISNUMBER('Данные 1st'!$KW$2:$KW$317))</f>
        <v>0</v>
      </c>
      <c r="FX19">
        <f>SUMPRODUCT(--('Данные 1st'!$S$2:$S$317=$A19),--ISNUMBER('Данные 1st'!$KX$2:$KX$317))</f>
        <v>0</v>
      </c>
      <c r="FY19">
        <f>SUMPRODUCT(--('Данные 1st'!$S$2:$S$317=$A19),--ISNUMBER('Данные 1st'!$KY$2:$KY$317))</f>
        <v>0</v>
      </c>
      <c r="FZ19">
        <f>SUMPRODUCT(--('Данные 1st'!$S$2:$S$317=$A19),--ISNUMBER('Данные 1st'!$KZ$2:$KZ$317))</f>
        <v>0</v>
      </c>
      <c r="GA19">
        <f>SUMPRODUCT(--('Данные 1st'!$S$2:$S$317=$A19),--ISNUMBER('Данные 1st'!$LA$2:$LA$317))</f>
        <v>0</v>
      </c>
      <c r="GB19">
        <f>SUMPRODUCT(--('Данные 1st'!$S$2:$S$317=$A19),--ISNUMBER('Данные 1st'!$LB$2:$LB$317))</f>
        <v>0</v>
      </c>
      <c r="GC19">
        <f>SUMPRODUCT(--('Данные 1st'!$S$2:$S$317=$A19),--ISNUMBER('Данные 1st'!$LC$2:$LC$317))</f>
        <v>0</v>
      </c>
      <c r="GD19">
        <f>SUMPRODUCT(--('Данные 1st'!$S$2:$S$317=$A19),--ISNUMBER('Данные 1st'!$LD$2:$LD$317))</f>
        <v>0</v>
      </c>
      <c r="GE19">
        <f>SUMPRODUCT(--('Данные 1st'!$S$2:$S$317=$A19),--ISNUMBER('Данные 1st'!$LE$2:$LE$317))</f>
        <v>0</v>
      </c>
      <c r="GF19">
        <f>SUMPRODUCT(--('Данные 1st'!$S$2:$S$317=$A19),--ISNUMBER('Данные 1st'!$LF$2:$LF$317))</f>
        <v>0</v>
      </c>
      <c r="GG19">
        <f>SUMPRODUCT(--('Данные 1st'!$S$2:$S$317=$A19),--ISNUMBER('Данные 1st'!$LG$2:$LG$317))</f>
        <v>0</v>
      </c>
      <c r="GH19">
        <f>SUMPRODUCT(--('Данные 1st'!$S$2:$S$317=$A19),--ISNUMBER('Данные 1st'!$LH$2:$LH$317))</f>
        <v>0</v>
      </c>
      <c r="GI19">
        <f>SUMPRODUCT(--('Данные 1st'!$S$2:$S$317=$A19),--ISNUMBER('Данные 1st'!$LI$2:$LI$317))</f>
        <v>0</v>
      </c>
      <c r="GJ19">
        <f>SUMPRODUCT(--('Данные 1st'!$S$2:$S$317=$A19),--ISNUMBER('Данные 1st'!$LJ$2:$LJ$317))</f>
        <v>0</v>
      </c>
      <c r="GK19">
        <f>SUMPRODUCT(--('Данные 1st'!$S$2:$S$317=$A19),--ISNUMBER('Данные 1st'!$LK$2:$LK$317))</f>
        <v>4</v>
      </c>
      <c r="GL19">
        <f>SUMPRODUCT(--('Данные 1st'!$S$2:$S$317=$A19),--ISNUMBER('Данные 1st'!$LV$2:$LV$317))</f>
        <v>0</v>
      </c>
      <c r="GM19">
        <f>SUMPRODUCT(--('Данные 1st'!$S$2:$S$317=$A19),--ISNUMBER('Данные 1st'!$LW$2:$LW$317))</f>
        <v>0</v>
      </c>
      <c r="GN19">
        <f>SUMPRODUCT(--('Данные 1st'!$S$2:$S$317=$A19),--ISNUMBER('Данные 1st'!$LX$2:$LX$317))</f>
        <v>1</v>
      </c>
      <c r="GO19">
        <f>SUMPRODUCT(--('Данные 1st'!$S$2:$S$317=$A19),--ISNUMBER('Данные 1st'!$LY$2:$LY$317))</f>
        <v>0</v>
      </c>
      <c r="GP19">
        <f>SUMPRODUCT(--('Данные 1st'!$S$2:$S$317=$A19),--ISNUMBER('Данные 1st'!$LZ$2:$LZ$317))</f>
        <v>0</v>
      </c>
      <c r="GQ19">
        <f>SUMPRODUCT(--('Данные 1st'!$S$2:$S$317=$A19),--ISNUMBER('Данные 1st'!$PG$2:$PG$317))</f>
        <v>4</v>
      </c>
      <c r="GR19">
        <f>SUMPRODUCT(--('Данные 1st'!$S$2:$S$317=$A19),--ISNUMBER('Данные 1st'!$PX$2:$PX$317))</f>
        <v>4</v>
      </c>
      <c r="GS19">
        <f>SUMPRODUCT(--('Данные 1st'!$S$2:$S$317=$A19),--ISNUMBER('Данные 1st'!$PY$2:$PY$317))</f>
        <v>4</v>
      </c>
      <c r="GT19">
        <f>SUMPRODUCT(--('Данные 1st'!$S$2:$S$317=$A19),--ISNUMBER('Данные 1st'!$QA$2:$QA$317))</f>
        <v>4</v>
      </c>
      <c r="GU19">
        <f>SUMPRODUCT(--('Данные 1st'!$S$2:$S$317=$A19),--ISNUMBER('Данные 1st'!$QB$2:$QB$317))</f>
        <v>4</v>
      </c>
      <c r="GV19">
        <f>SUMPRODUCT(--('Данные 1st'!$S$2:$S$317=$A19),--ISNUMBER('Данные 1st'!$QC$2:$QC$317))</f>
        <v>4</v>
      </c>
      <c r="GW19">
        <f>SUMPRODUCT(--('Данные 1st'!$S$2:$S$317=$A19),--ISNUMBER('Данные 1st'!$QD$2:$QD$317))</f>
        <v>4</v>
      </c>
      <c r="GX19">
        <f>SUMPRODUCT(--('Данные 1st'!$S$2:$S$317=$A19),--ISNUMBER('Данные 1st'!$QF$2:$QF$317))</f>
        <v>4</v>
      </c>
      <c r="GY19">
        <f>SUMPRODUCT(--('Данные 1st'!$S$2:$S$317=$A19),--ISNUMBER('Данные 1st'!$QG$2:$QG$317))</f>
        <v>4</v>
      </c>
      <c r="GZ19">
        <f>SUMPRODUCT(--('Данные 1st'!$S$2:$S$317=$A19),--ISNUMBER('Данные 1st'!$QH$2:$QH$317))</f>
        <v>4</v>
      </c>
      <c r="HA19">
        <f>SUMPRODUCT(--('Данные 1st'!$S$2:$S$317=$A19),--ISNUMBER('Данные 1st'!$QI$2:$QI$317))</f>
        <v>4</v>
      </c>
      <c r="HB19">
        <f>SUMPRODUCT(--('Данные 1st'!$S$2:$S$317=$A19),--ISNUMBER('Данные 1st'!$QK$2:$QK$317))</f>
        <v>0</v>
      </c>
      <c r="HC19">
        <f>SUMPRODUCT(--('Данные 1st'!$S$2:$S$317=$A19),--ISNUMBER('Данные 1st'!$QL$2:$QL$317))</f>
        <v>4</v>
      </c>
      <c r="HD19">
        <f>SUMPRODUCT(--('Данные 1st'!$S$2:$S$317=$A19),--ISNUMBER('Данные 1st'!$QM$2:$QM$317))</f>
        <v>4</v>
      </c>
      <c r="HE19">
        <f>SUMPRODUCT(--('Данные 1st'!$S$2:$S$317=$A19),--ISNUMBER('Данные 1st'!$QN$2:$QN$317))</f>
        <v>4</v>
      </c>
      <c r="HF19">
        <f>SUMPRODUCT(--('Данные 1st'!$S$2:$S$317=$A19),--ISNUMBER('Данные 1st'!$QP$2:$QP$317))</f>
        <v>4</v>
      </c>
      <c r="HG19">
        <f>SUMPRODUCT(--('Данные 1st'!$S$2:$S$317=$A19),--ISNUMBER('Данные 1st'!$QQ$2:$QQ$317))</f>
        <v>4</v>
      </c>
      <c r="HH19">
        <f>SUMPRODUCT(--('Данные 1st'!$S$2:$S$317=$A19),--ISNUMBER('Данные 1st'!$QR$2:$QR$317))</f>
        <v>2</v>
      </c>
      <c r="HI19">
        <f>SUMPRODUCT(--('Данные 1st'!$S$2:$S$317=$A19),--ISNUMBER('Данные 1st'!$QS$2:$QS$317))</f>
        <v>2</v>
      </c>
      <c r="HJ19">
        <f>SUMPRODUCT(--('Данные 1st'!$S$2:$S$317=$A19),--ISNUMBER('Данные 1st'!$QU$2:$QU$317))</f>
        <v>2</v>
      </c>
      <c r="HK19">
        <f>SUMPRODUCT(--('Данные 1st'!$S$2:$S$317=$A19),--ISNUMBER('Данные 1st'!$QV$2:$QV$317))</f>
        <v>2</v>
      </c>
      <c r="HL19">
        <f>SUMPRODUCT(--('Данные 1st'!$S$2:$S$317=$A19),--ISNUMBER('Данные 1st'!$QW$2:$QW$317))</f>
        <v>4</v>
      </c>
      <c r="HM19">
        <f>SUMPRODUCT(--('Данные 1st'!$S$2:$S$317=$A19),--ISNUMBER('Данные 1st'!$QX$2:$QX$317))</f>
        <v>4</v>
      </c>
      <c r="HN19">
        <f>SUMPRODUCT(--('Данные 1st'!$S$2:$S$317=$A19),--ISNUMBER('Данные 1st'!$QZ$2:$QZ$317))</f>
        <v>4</v>
      </c>
      <c r="HO19">
        <f>SUMPRODUCT(--('Данные 1st'!$S$2:$S$317=$A19),--ISNUMBER('Данные 1st'!$RA$2:$RA$317))</f>
        <v>4</v>
      </c>
      <c r="HP19">
        <f>SUMPRODUCT(--('Данные 1st'!$S$2:$S$317=$A19),--ISNUMBER('Данные 1st'!$RB$2:$RB$317))</f>
        <v>4</v>
      </c>
      <c r="HQ19">
        <f>SUMPRODUCT(--('Данные 1st'!$S$2:$S$317=$A19),--ISNUMBER('Данные 1st'!$RD$2:$RD$317))</f>
        <v>0</v>
      </c>
      <c r="HR19">
        <f>SUMPRODUCT(--('Данные 1st'!$S$2:$S$317=$A19),--ISNUMBER('Данные 1st'!$RE$2:$RE$317))</f>
        <v>4</v>
      </c>
      <c r="HS19">
        <f>SUMPRODUCT(--('Данные 1st'!$S$2:$S$317=$A19),--ISNUMBER('Данные 1st'!$RF$2:$RF$317))</f>
        <v>4</v>
      </c>
      <c r="HT19">
        <f>SUMPRODUCT(--('Данные 1st'!$S$2:$S$317=$A19),--ISNUMBER('Данные 1st'!$RG$2:$RG$317))</f>
        <v>0</v>
      </c>
      <c r="HU19">
        <f>SUMPRODUCT(--('Данные 1st'!$S$2:$S$317=$A19),--ISNUMBER('Данные 1st'!$RH$2:$RH$317))</f>
        <v>2</v>
      </c>
      <c r="HV19">
        <f>SUMPRODUCT(--('Данные 1st'!$S$2:$S$317=$A19),--ISNUMBER('Данные 1st'!$RI$2:$RI$317))</f>
        <v>0</v>
      </c>
      <c r="HW19">
        <f>SUMPRODUCT(--('Данные 1st'!$S$2:$S$317=$A19),--ISNUMBER('Данные 1st'!$RJ$2:$RJ$317))</f>
        <v>4</v>
      </c>
      <c r="HX19">
        <f>SUMPRODUCT(--('Данные 1st'!$S$2:$S$317=$A19),--ISNUMBER('Данные 1st'!$RK$2:$RK$317))</f>
        <v>0</v>
      </c>
      <c r="HY19">
        <f>SUMPRODUCT(--('Данные 1st'!$S$2:$S$317=$A19),--ISNUMBER('Данные 1st'!$RL$2:$RL$317))</f>
        <v>4</v>
      </c>
      <c r="HZ19">
        <f>SUMPRODUCT(--('Данные 1st'!$S$2:$S$317=$A19),--ISNUMBER('Данные 1st'!$RM$2:$RM$317))</f>
        <v>2</v>
      </c>
      <c r="IA19">
        <f>SUMPRODUCT(--('Данные 1st'!$S$2:$S$317=$A19),--ISNUMBER('Данные 1st'!$RN$2:$RN$317))</f>
        <v>0</v>
      </c>
      <c r="IB19">
        <f>SUMPRODUCT(--('Данные 1st'!$S$2:$S$317=$A19),--ISNUMBER('Данные 1st'!$RO$2:$RO$317))</f>
        <v>4</v>
      </c>
      <c r="IC19">
        <f>SUMPRODUCT(--('Данные 1st'!$S$2:$S$317=$A19),--ISNUMBER('Данные 1st'!$RP$2:$RP$317))</f>
        <v>0</v>
      </c>
      <c r="ID19">
        <f>SUMPRODUCT(--('Данные 1st'!$S$2:$S$317=$A19),--ISNUMBER('Данные 1st'!$RQ$2:$RQ$317))</f>
        <v>4</v>
      </c>
      <c r="IE19">
        <f>SUMPRODUCT(--('Данные 1st'!$S$2:$S$317=$A19),--ISNUMBER('Данные 1st'!$RR$2:$RR$317))</f>
        <v>2</v>
      </c>
      <c r="IF19">
        <f>SUMPRODUCT(--('Данные 1st'!$S$2:$S$317=$A19),--ISNUMBER('Данные 1st'!$RS$2:$RS$317))</f>
        <v>0</v>
      </c>
      <c r="IG19">
        <f>SUMPRODUCT(--('Данные 1st'!$S$2:$S$317=$A19),--ISNUMBER('Данные 1st'!$RT$2:$RT$317))</f>
        <v>4</v>
      </c>
      <c r="IH19">
        <f>SUMPRODUCT(--('Данные 1st'!$S$2:$S$317=$A19),--ISNUMBER('Данные 1st'!$RU$2:$RU$317))</f>
        <v>4</v>
      </c>
      <c r="II19">
        <f>SUMPRODUCT(--('Данные 1st'!$S$2:$S$317=$A19),--ISNUMBER('Данные 1st'!$RX$2:$RX$317))</f>
        <v>4</v>
      </c>
      <c r="IJ19">
        <f>SUMPRODUCT(--('Данные 1st'!$S$2:$S$317=$A19),--ISNUMBER('Данные 1st'!$RY$2:$RY$317))</f>
        <v>4</v>
      </c>
      <c r="IK19">
        <f>SUMPRODUCT(--('Данные 1st'!$S$2:$S$317=$A19),--ISNUMBER('Данные 1st'!$SA$2:$SA$317))</f>
        <v>4</v>
      </c>
      <c r="IL19">
        <f>SUMPRODUCT(--('Данные 1st'!$S$2:$S$317=$A19),--ISNUMBER('Данные 1st'!$SD$2:$SD$317))</f>
        <v>4</v>
      </c>
      <c r="IM19">
        <f>SUMPRODUCT(--('Данные 1st'!$S$2:$S$317=$A19),--ISNUMBER('Данные 1st'!$SG$2:$SG$317))</f>
        <v>2</v>
      </c>
      <c r="IN19">
        <f>SUMPRODUCT(--('Данные 1st'!$S$2:$S$317=$A19),--ISNUMBER('Данные 1st'!$SH$2:$SH$317))</f>
        <v>4</v>
      </c>
      <c r="IO19">
        <f>SUMPRODUCT(--('Данные 1st'!$S$2:$S$317=$A19),--ISNUMBER('Данные 1st'!$SI$2:$SI$317))</f>
        <v>4</v>
      </c>
      <c r="IP19">
        <f>SUMPRODUCT(--('Данные 1st'!$S$2:$S$317=$A19),--ISNUMBER('Данные 1st'!$SJ$2:$SJ$317))</f>
        <v>4</v>
      </c>
      <c r="IQ19">
        <f>SUMPRODUCT(--('Данные 1st'!$S$2:$S$317=$A19),--ISNUMBER('Данные 1st'!$SK$2:$SK$317))</f>
        <v>4</v>
      </c>
      <c r="IR19">
        <f>SUMPRODUCT(--('Данные 1st'!$S$2:$S$317=$A19),--ISNUMBER('Данные 1st'!$SL$2:$SL$317))</f>
        <v>4</v>
      </c>
      <c r="IS19">
        <f>SUMPRODUCT(--('Данные 1st'!$S$2:$S$317=$A19),--ISNUMBER('Данные 1st'!$SM$2:$SM$317))</f>
        <v>4</v>
      </c>
      <c r="IT19">
        <f>SUMPRODUCT(--('Данные 1st'!$S$2:$S$317=$A19),--ISNUMBER('Данные 1st'!$SN$2:$SN$317))</f>
        <v>4</v>
      </c>
      <c r="IU19">
        <f>SUMPRODUCT(--('Данные 1st'!$S$2:$S$317=$A19),--ISNUMBER('Данные 1st'!$SO$2:$SO$317))</f>
        <v>4</v>
      </c>
      <c r="IV19">
        <f>SUMPRODUCT(--('Данные 1st'!$S$2:$S$317=$A19),--ISNUMBER('Данные 1st'!$SP$2:$SP$317))</f>
        <v>4</v>
      </c>
      <c r="IW19">
        <f>SUMPRODUCT(--('Данные 1st'!$S$2:$S$317=$A19),--ISNUMBER('Данные 1st'!$SQ$2:$SQ$317))</f>
        <v>4</v>
      </c>
      <c r="IX19">
        <f>SUMPRODUCT(--('Данные 1st'!$S$2:$S$317=$A19),--ISNUMBER('Данные 1st'!$SR$2:$SR$317))</f>
        <v>4</v>
      </c>
      <c r="IY19">
        <f>SUMPRODUCT(--('Данные 1st'!$S$2:$S$317=$A19),--ISNUMBER('Данные 1st'!$SS$2:$SS$317))</f>
        <v>4</v>
      </c>
      <c r="IZ19">
        <f>SUMPRODUCT(--('Данные 1st'!$S$2:$S$317=$A19),--ISNUMBER('Данные 1st'!$ST$2:$ST$317))</f>
        <v>4</v>
      </c>
      <c r="JA19">
        <f>SUMPRODUCT(--('Данные 1st'!$S$2:$S$317=$A19),--ISNUMBER('Данные 1st'!$SU$2:$SU$317))</f>
        <v>4</v>
      </c>
      <c r="JB19">
        <f>SUMPRODUCT(--('Данные 1st'!$S$2:$S$317=$A19),--ISNUMBER('Данные 1st'!$SV$2:$SV$317))</f>
        <v>4</v>
      </c>
      <c r="JC19">
        <f>SUMPRODUCT(--('Данные 1st'!$S$2:$S$317=$A19),--ISNUMBER('Данные 1st'!$SW$2:$SW$317))</f>
        <v>4</v>
      </c>
      <c r="JD19">
        <f>SUMPRODUCT(--('Данные 1st'!$S$2:$S$317=$A19),--ISNUMBER('Данные 1st'!$SX$2:$SX$317))</f>
        <v>4</v>
      </c>
      <c r="JE19">
        <f>SUMPRODUCT(--('Данные 1st'!$S$2:$S$317=$A19),--ISNUMBER('Данные 1st'!$SY$2:$SY$317))</f>
        <v>0</v>
      </c>
      <c r="JF19">
        <f>SUMPRODUCT(--('Данные 1st'!$S$2:$S$317=$A19),--ISNUMBER('Данные 1st'!$SZ$2:$SZ$317))</f>
        <v>2</v>
      </c>
      <c r="JG19">
        <f>SUMPRODUCT(--('Данные 1st'!$S$2:$S$317=$A19),--ISNUMBER('Данные 1st'!$TA$2:$TA$317))</f>
        <v>0</v>
      </c>
      <c r="JH19">
        <f>SUMPRODUCT(--('Данные 1st'!$S$2:$S$317=$A19),--ISNUMBER('Данные 1st'!$TB$2:$TB$317))</f>
        <v>4</v>
      </c>
      <c r="JI19">
        <f>SUMPRODUCT(--('Данные 1st'!$S$2:$S$317=$A19),--ISNUMBER('Данные 1st'!$TC$2:$TC$317))</f>
        <v>4</v>
      </c>
      <c r="JJ19">
        <f>SUMPRODUCT(--('Данные 1st'!$S$2:$S$317=$A19),--ISNUMBER('Данные 1st'!$TD$2:$TD$317))</f>
        <v>4</v>
      </c>
      <c r="JK19">
        <f>SUMPRODUCT(--('Данные 1st'!$S$2:$S$317=$A19),--ISNUMBER('Данные 1st'!$TN$2:$TN$317))</f>
        <v>4</v>
      </c>
      <c r="JQ19">
        <f>SUMPRODUCT(--('Данные 2st'!$Q$2:$Q$317=$A19),--ISNUMBER('Данные 2st'!$AC$2:$AC$317))</f>
        <v>4</v>
      </c>
      <c r="JR19">
        <f>SUMPRODUCT(--('Данные 2st'!$Q$2:$Q$317=$A19),--ISNUMBER('Данные 2st'!$AF$2:$AF$317))</f>
        <v>4</v>
      </c>
      <c r="JS19">
        <f>SUMPRODUCT(--('Данные 2st'!$Q$2:$Q$317=$A19),--ISNUMBER('Данные 2st'!$AW$2:$AW$317))</f>
        <v>4</v>
      </c>
      <c r="JT19">
        <f>SUMPRODUCT(--('Данные 2st'!$Q$2:$Q$317=$A19),--ISNUMBER('Данные 2st'!$AX$2:$AX$317))</f>
        <v>4</v>
      </c>
      <c r="JU19">
        <f>SUMPRODUCT(--('Данные 2st'!$Q$2:$Q$317=$A19),--ISNUMBER('Данные 2st'!$AY$2:$AY$317))</f>
        <v>4</v>
      </c>
      <c r="JV19">
        <f>SUMPRODUCT(--('Данные 2st'!$Q$2:$Q$317=$A19),--ISNUMBER('Данные 2st'!$AZ$2:$AZ$317))</f>
        <v>4</v>
      </c>
      <c r="JW19">
        <f>SUMPRODUCT(--('Данные 2st'!$Q$2:$Q$317=$A19),--ISNUMBER('Данные 2st'!$BA$2:$BA$317))</f>
        <v>0</v>
      </c>
      <c r="JX19">
        <f>SUMPRODUCT(--('Данные 2st'!$Q$2:$Q$317=$A19),--ISNUMBER('Данные 2st'!$BB$2:$BB$317))</f>
        <v>0</v>
      </c>
      <c r="JY19">
        <f>SUMPRODUCT(--('Данные 2st'!$Q$2:$Q$317=$A19),--ISNUMBER('Данные 2st'!$BC$2:$BC$317))</f>
        <v>0</v>
      </c>
      <c r="JZ19">
        <f>SUMPRODUCT(--('Данные 2st'!$Q$2:$Q$317=$A19),--ISNUMBER('Данные 2st'!$BH$2:$BH$317))</f>
        <v>4</v>
      </c>
      <c r="KA19">
        <f>SUMPRODUCT(--('Данные 2st'!$Q$2:$Q$317=$A19),--ISNUMBER('Данные 2st'!$BI$2:$BI$317))</f>
        <v>4</v>
      </c>
      <c r="KB19">
        <f>SUMPRODUCT(--('Данные 2st'!$Q$2:$Q$317=$A19),--ISNUMBER('Данные 2st'!$BJ$2:$BJ$317))</f>
        <v>4</v>
      </c>
      <c r="KC19">
        <f>SUMPRODUCT(--('Данные 2st'!$Q$2:$Q$317=$A19),--ISNUMBER('Данные 2st'!$BK$2:$BK$317))</f>
        <v>4</v>
      </c>
      <c r="KD19">
        <f>SUMPRODUCT(--('Данные 2st'!$Q$2:$Q$317=$A19),--ISNUMBER('Данные 2st'!$BL$2:$BL$317))</f>
        <v>4</v>
      </c>
      <c r="KE19">
        <f>SUMPRODUCT(--('Данные 2st'!$Q$2:$Q$317=$A19),--ISNUMBER('Данные 2st'!$BM$2:$BM$317))</f>
        <v>4</v>
      </c>
      <c r="KF19">
        <f>SUMPRODUCT(--('Данные 2st'!$Q$2:$Q$317=$A19),--ISNUMBER('Данные 2st'!$BN$2:$BN$317))</f>
        <v>4</v>
      </c>
      <c r="KG19">
        <f>SUMPRODUCT(--('Данные 2st'!$Q$2:$Q$317=$A19),--ISNUMBER('Данные 2st'!$BO$2:$BO$317))</f>
        <v>1</v>
      </c>
      <c r="KH19">
        <f>SUMPRODUCT(--('Данные 2st'!$Q$2:$Q$317=$A19),--ISNUMBER('Данные 2st'!$BP$2:$BP$317))</f>
        <v>4</v>
      </c>
      <c r="KI19">
        <f>SUMPRODUCT(--('Данные 2st'!$Q$2:$Q$317=$A19),--ISNUMBER('Данные 2st'!$BR$2:$BR$317))</f>
        <v>4</v>
      </c>
      <c r="KJ19">
        <f>SUMPRODUCT(--('Данные 2st'!$Q$2:$Q$317=$A19),--ISNUMBER('Данные 2st'!$BS$2:$BS$317))</f>
        <v>4</v>
      </c>
      <c r="KK19">
        <f>SUMPRODUCT(--('Данные 2st'!$Q$2:$Q$317=$A19),--ISNUMBER('Данные 2st'!$BT$2:$BT$317))</f>
        <v>4</v>
      </c>
      <c r="KL19">
        <f>SUMPRODUCT(--('Данные 2st'!$Q$2:$Q$317=$A19),--ISNUMBER('Данные 2st'!$CV$2:$CV$317))</f>
        <v>4</v>
      </c>
      <c r="KM19">
        <f>SUMPRODUCT(--('Данные 2st'!$Q$2:$Q$317=$A19),--ISNUMBER('Данные 2st'!$CW$2:$CW$317))</f>
        <v>4</v>
      </c>
      <c r="KN19">
        <f>SUMPRODUCT(--('Данные 2st'!$Q$2:$Q$317=$A19),--ISNUMBER('Данные 2st'!$CX$2:$CX$317))</f>
        <v>4</v>
      </c>
      <c r="KO19">
        <f>SUMPRODUCT(--('Данные 2st'!$Q$2:$Q$317=$A19),--ISNUMBER('Данные 2st'!$CY$2:$CY$317))</f>
        <v>4</v>
      </c>
      <c r="KP19">
        <f>SUMPRODUCT(--('Данные 2st'!$Q$2:$Q$317=$A19),--ISNUMBER('Данные 2st'!$CZ$2:$CZ$317))</f>
        <v>4</v>
      </c>
      <c r="KQ19">
        <f>SUMPRODUCT(--('Данные 2st'!$Q$2:$Q$317=$A19),--ISNUMBER('Данные 2st'!$DA$2:$DA$317))</f>
        <v>4</v>
      </c>
      <c r="KR19">
        <f>SUMPRODUCT(--('Данные 2st'!$Q$2:$Q$317=$A19),--ISNUMBER('Данные 2st'!$DB$2:$DB$317))</f>
        <v>4</v>
      </c>
      <c r="KS19">
        <f>SUMPRODUCT(--('Данные 2st'!$Q$2:$Q$317=$A19),--ISNUMBER('Данные 2st'!$DC$2:$DC$317))</f>
        <v>4</v>
      </c>
      <c r="KT19">
        <f>SUMPRODUCT(--('Данные 2st'!$Q$2:$Q$317=$A19),--ISNUMBER('Данные 2st'!$DD$2:$DD$317))</f>
        <v>4</v>
      </c>
      <c r="KU19">
        <f>SUMPRODUCT(--('Данные 2st'!$Q$2:$Q$317=$A19),--ISNUMBER('Данные 2st'!$DE$2:$DE$317))</f>
        <v>4</v>
      </c>
      <c r="KV19">
        <f>SUMPRODUCT(--('Данные 2st'!$Q$2:$Q$317=$A19),--ISNUMBER('Данные 2st'!$DF$2:$DF$317))</f>
        <v>4</v>
      </c>
      <c r="KW19">
        <f>SUMPRODUCT(--('Данные 2st'!$Q$2:$Q$317=$A19),--ISNUMBER('Данные 2st'!$DG$2:$DG$317))</f>
        <v>4</v>
      </c>
      <c r="KX19">
        <f>SUMPRODUCT(--('Данные 2st'!$Q$2:$Q$317=$A19),--ISNUMBER('Данные 2st'!$DH$2:$DH$317))</f>
        <v>0</v>
      </c>
      <c r="KY19">
        <f>SUMPRODUCT(--('Данные 2st'!$Q$2:$Q$317=$A19),--ISNUMBER('Данные 2st'!$DI$2:$DI$317))</f>
        <v>1</v>
      </c>
      <c r="KZ19">
        <f>SUMPRODUCT(--('Данные 2st'!$Q$2:$Q$317=$A19),--ISNUMBER('Данные 2st'!$DK$2:$DK$317))</f>
        <v>4</v>
      </c>
      <c r="LA19">
        <f>SUMPRODUCT(--('Данные 2st'!$Q$2:$Q$317=$A19),--ISNUMBER('Данные 2st'!$DM$2:$DM$317))</f>
        <v>4</v>
      </c>
      <c r="LB19">
        <f>SUMPRODUCT(--('Данные 2st'!$Q$2:$Q$317=$A19),--ISNUMBER('Данные 2st'!$DN$2:$DN$317))</f>
        <v>4</v>
      </c>
      <c r="LC19">
        <f>SUMPRODUCT(--('Данные 2st'!$Q$2:$Q$317=$A19),--ISNUMBER('Данные 2st'!$DO$2:$DO$317))</f>
        <v>4</v>
      </c>
      <c r="LD19">
        <f>SUMPRODUCT(--('Данные 2st'!$Q$2:$Q$317=$A19),--ISNUMBER('Данные 2st'!$DP$2:$DP$317))</f>
        <v>4</v>
      </c>
      <c r="LE19">
        <f>SUMPRODUCT(--('Данные 2st'!$Q$2:$Q$317=$A19),--ISNUMBER('Данные 2st'!$DQ$2:$DQ$317))</f>
        <v>4</v>
      </c>
      <c r="LF19">
        <f>SUMPRODUCT(--('Данные 2st'!$Q$2:$Q$317=$A19),--ISNUMBER('Данные 2st'!$DS$2:$DS$317))</f>
        <v>4</v>
      </c>
      <c r="LG19">
        <f>SUMPRODUCT(--('Данные 2st'!$Q$2:$Q$317=$A19),--ISNUMBER('Данные 2st'!$DU$2:$DU$317))</f>
        <v>4</v>
      </c>
      <c r="LH19">
        <f>SUMPRODUCT(--('Данные 2st'!$Q$2:$Q$317=$A19),--ISNUMBER('Данные 2st'!$DV$2:$DV$317))</f>
        <v>4</v>
      </c>
      <c r="LI19">
        <f>SUMPRODUCT(--('Данные 2st'!$Q$2:$Q$317=$A19),--ISNUMBER('Данные 2st'!$DW$2:$DW$317))</f>
        <v>4</v>
      </c>
      <c r="LJ19">
        <f>SUMPRODUCT(--('Данные 2st'!$Q$2:$Q$317=$A19),--ISNUMBER('Данные 2st'!$DX$2:$DX$317))</f>
        <v>4</v>
      </c>
      <c r="LK19">
        <f>SUMPRODUCT(--('Данные 2st'!$Q$2:$Q$317=$A19),--ISNUMBER('Данные 2st'!$DY$2:$DY$317))</f>
        <v>4</v>
      </c>
      <c r="LL19">
        <f>SUMPRODUCT(--('Данные 2st'!$Q$2:$Q$317=$A19),--ISNUMBER('Данные 2st'!$EA$2:$EA$317))</f>
        <v>4</v>
      </c>
      <c r="LM19">
        <f>SUMPRODUCT(--('Данные 2st'!$Q$2:$Q$317=$A19),--ISNUMBER('Данные 2st'!$EC$2:$EC$317))</f>
        <v>4</v>
      </c>
      <c r="LN19">
        <f>SUMPRODUCT(--('Данные 2st'!$Q$2:$Q$317=$A19),--ISNUMBER('Данные 2st'!$ED$2:$ED$317))</f>
        <v>4</v>
      </c>
      <c r="LO19">
        <f>SUMPRODUCT(--('Данные 2st'!$Q$2:$Q$317=$A19),--ISNUMBER('Данные 2st'!$EE$2:$EE$317))</f>
        <v>4</v>
      </c>
      <c r="LP19">
        <f>SUMPRODUCT(--('Данные 2st'!$Q$2:$Q$317=$A19),--ISNUMBER('Данные 2st'!$EG$2:$EG$317))</f>
        <v>4</v>
      </c>
      <c r="LQ19">
        <f>SUMPRODUCT(--('Данные 2st'!$Q$2:$Q$317=$A19),--ISNUMBER('Данные 2st'!$EI$2:$EI$317))</f>
        <v>4</v>
      </c>
      <c r="LR19">
        <f>SUMPRODUCT(--('Данные 2st'!$Q$2:$Q$317=$A19),--ISNUMBER('Данные 2st'!$EJ$2:$EJ$317))</f>
        <v>2</v>
      </c>
      <c r="LS19">
        <f>SUMPRODUCT(--('Данные 2st'!$Q$2:$Q$317=$A19),--ISNUMBER('Данные 2st'!$EK$2:$EK$317))</f>
        <v>2</v>
      </c>
      <c r="LT19">
        <f>SUMPRODUCT(--('Данные 2st'!$Q$2:$Q$317=$A19),--ISNUMBER('Данные 2st'!$EM$2:$EM$317))</f>
        <v>4</v>
      </c>
      <c r="LU19">
        <f>SUMPRODUCT(--('Данные 2st'!$Q$2:$Q$317=$A19),--ISNUMBER('Данные 2st'!$EN$2:$EN$317))</f>
        <v>4</v>
      </c>
      <c r="LV19">
        <f>SUMPRODUCT(--('Данные 2st'!$Q$2:$Q$317=$A19),--ISNUMBER('Данные 2st'!$EO$2:$EO$317))</f>
        <v>4</v>
      </c>
      <c r="LW19">
        <f>SUMPRODUCT(--('Данные 2st'!$Q$2:$Q$317=$A19),--ISNUMBER('Данные 2st'!$EP$2:$EP$317))</f>
        <v>4</v>
      </c>
      <c r="LX19">
        <f>SUMPRODUCT(--('Данные 2st'!$Q$2:$Q$317=$A19),--ISNUMBER('Данные 2st'!$EQ$2:$EQ$317))</f>
        <v>4</v>
      </c>
      <c r="LY19">
        <f>SUMPRODUCT(--('Данные 2st'!$Q$2:$Q$317=$A19),--ISNUMBER('Данные 2st'!$ER$2:$ER$317))</f>
        <v>4</v>
      </c>
      <c r="LZ19">
        <f>SUMPRODUCT(--('Данные 2st'!$Q$2:$Q$317=$A19),--ISNUMBER('Данные 2st'!$ES$2:$ES$317))</f>
        <v>4</v>
      </c>
      <c r="MA19">
        <f>SUMPRODUCT(--('Данные 2st'!$Q$2:$Q$317=$A19),--ISNUMBER('Данные 2st'!$ET$2:$ET$317))</f>
        <v>4</v>
      </c>
      <c r="MB19">
        <f>SUMPRODUCT(--('Данные 2st'!$Q$2:$Q$317=$A19),--ISNUMBER('Данные 2st'!$EU$2:$EU$317))</f>
        <v>4</v>
      </c>
      <c r="MC19">
        <f>SUMPRODUCT(--('Данные 2st'!$Q$2:$Q$317=$A19),--ISNUMBER('Данные 2st'!$EV$2:$EV$317))</f>
        <v>4</v>
      </c>
      <c r="MD19">
        <f>SUMPRODUCT(--('Данные 2st'!$Q$2:$Q$317=$A19),--ISNUMBER('Данные 2st'!$EW$2:$EW$317))</f>
        <v>4</v>
      </c>
      <c r="ME19">
        <f>SUMPRODUCT(--('Данные 2st'!$Q$2:$Q$317=$A19),--ISNUMBER('Данные 2st'!$EY$2:$EY$317))</f>
        <v>4</v>
      </c>
      <c r="MF19">
        <f>SUMPRODUCT(--('Данные 2st'!$Q$2:$Q$317=$A19),--ISNUMBER('Данные 2st'!$FA$2:$FA$317))</f>
        <v>4</v>
      </c>
      <c r="MG19">
        <f>SUMPRODUCT(--('Данные 2st'!$Q$2:$Q$317=$A19),--ISNUMBER('Данные 2st'!$FB$2:$FB$317))</f>
        <v>4</v>
      </c>
      <c r="MH19">
        <f>SUMPRODUCT(--('Данные 2st'!$Q$2:$Q$317=$A19),--ISNUMBER('Данные 2st'!$FC$2:$FC$317))</f>
        <v>4</v>
      </c>
      <c r="MI19">
        <f>SUMPRODUCT(--('Данные 2st'!$Q$2:$Q$317=$A19),--ISNUMBER('Данные 2st'!$FD$2:$FD$317))</f>
        <v>4</v>
      </c>
      <c r="MJ19">
        <f>SUMPRODUCT(--('Данные 2st'!$Q$2:$Q$317=$A19),--ISNUMBER('Данные 2st'!$FE$2:$FE$317))</f>
        <v>4</v>
      </c>
      <c r="MK19">
        <f>SUMPRODUCT(--('Данные 2st'!$Q$2:$Q$317=$A19),--ISNUMBER('Данные 2st'!$FG$2:$FG$317))</f>
        <v>4</v>
      </c>
      <c r="ML19">
        <f>SUMPRODUCT(--('Данные 2st'!$Q$2:$Q$317=$A19),--ISNUMBER('Данные 2st'!$FI$2:$FI$317))</f>
        <v>4</v>
      </c>
      <c r="MM19">
        <f>SUMPRODUCT(--('Данные 2st'!$Q$2:$Q$317=$A19),--ISNUMBER('Данные 2st'!$FJ$2:$FJ$317))</f>
        <v>4</v>
      </c>
      <c r="MN19">
        <f>SUMPRODUCT(--('Данные 2st'!$Q$2:$Q$317=$A19),--ISNUMBER('Данные 2st'!$FK$2:$FK$317))</f>
        <v>4</v>
      </c>
      <c r="MO19">
        <f>SUMPRODUCT(--('Данные 2st'!$Q$2:$Q$317=$A19),--ISNUMBER('Данные 2st'!$FP$2:$FP$317))</f>
        <v>4</v>
      </c>
      <c r="MP19">
        <f>SUMPRODUCT(--('Данные 2st'!$Q$2:$Q$317=$A19),--ISNUMBER('Данные 2st'!$FQ$2:$FQ$317))</f>
        <v>4</v>
      </c>
      <c r="MQ19">
        <f>SUMPRODUCT(--('Данные 2st'!$Q$2:$Q$317=$A19),--ISNUMBER('Данные 2st'!$FS$2:$FS$317))</f>
        <v>4</v>
      </c>
      <c r="MR19">
        <f>SUMPRODUCT(--('Данные 2st'!$Q$2:$Q$317=$A19),--ISNUMBER('Данные 2st'!$FU$2:$FU$317))</f>
        <v>4</v>
      </c>
      <c r="MS19">
        <f>SUMPRODUCT(--('Данные 2st'!$Q$2:$Q$317=$A19),--ISNUMBER('Данные 2st'!$FV$2:$FV$317))</f>
        <v>4</v>
      </c>
      <c r="MT19">
        <f>SUMPRODUCT(--('Данные 2st'!$Q$2:$Q$317=$A19),--ISNUMBER('Данные 2st'!$FW$2:$FW$317))</f>
        <v>4</v>
      </c>
      <c r="MU19">
        <f>SUMPRODUCT(--('Данные 2st'!$Q$2:$Q$317=$A19),--ISNUMBER('Данные 2st'!$FY$2:$FY$317))</f>
        <v>4</v>
      </c>
      <c r="MV19">
        <f>SUMPRODUCT(--('Данные 2st'!$Q$2:$Q$317=$A19),--ISNUMBER('Данные 2st'!$GB$2:$GB$317))</f>
        <v>4</v>
      </c>
      <c r="MW19">
        <f>SUMPRODUCT(--('Данные 2st'!$Q$2:$Q$317=$A19),--ISNUMBER('Данные 2st'!$GC$2:$GC$317))</f>
        <v>4</v>
      </c>
      <c r="MX19">
        <f>SUMPRODUCT(--('Данные 2st'!$Q$2:$Q$317=$A19),--ISNUMBER('Данные 2st'!$GD$2:$GD$317))</f>
        <v>4</v>
      </c>
      <c r="MY19">
        <f>SUMPRODUCT(--('Данные 2st'!$Q$2:$Q$317=$A19),--ISNUMBER('Данные 2st'!$GN$2:$GN$317))</f>
        <v>0</v>
      </c>
      <c r="MZ19">
        <f>SUMPRODUCT(--('Данные 2st'!$Q$2:$Q$317=$A19),--ISNUMBER('Данные 2st'!$GQ$2:$GQ$317))</f>
        <v>4</v>
      </c>
      <c r="NA19">
        <f>SUMPRODUCT(--('Данные 2st'!$Q$2:$Q$317=$A19),--ISNUMBER('Данные 2st'!$GV$2:$GV$317))</f>
        <v>4</v>
      </c>
      <c r="NB19">
        <f>SUMPRODUCT(--('Данные 2st'!$Q$2:$Q$317=$A19),--ISNUMBER('Данные 2st'!$GW$2:$GW$317))</f>
        <v>4</v>
      </c>
      <c r="NC19">
        <f>SUMPRODUCT(--('Данные 2st'!$Q$2:$Q$317=$A19),--ISNUMBER('Данные 2st'!$GX$2:$GX$317))</f>
        <v>4</v>
      </c>
      <c r="ND19">
        <f>SUMPRODUCT(--('Данные 2st'!$Q$2:$Q$317=$A19),--ISNUMBER('Данные 2st'!$GY$2:$GY$317))</f>
        <v>4</v>
      </c>
      <c r="NE19">
        <f>SUMPRODUCT(--('Данные 2st'!$Q$2:$Q$317=$A19),--ISNUMBER('Данные 2st'!$GZ$2:$GZ$317))</f>
        <v>4</v>
      </c>
      <c r="NF19">
        <f>SUMPRODUCT(--('Данные 2st'!$Q$2:$Q$317=$A19),--ISNUMBER('Данные 2st'!$HA$2:$HA$317))</f>
        <v>4</v>
      </c>
      <c r="NG19">
        <f>SUMPRODUCT(--('Данные 2st'!$Q$2:$Q$317=$A19),--ISNUMBER('Данные 2st'!$HB$2:$HB$317))</f>
        <v>4</v>
      </c>
      <c r="NH19">
        <f>SUMPRODUCT(--('Данные 2st'!$Q$2:$Q$317=$A19),--ISNUMBER('Данные 2st'!$HC$2:$HC$317))</f>
        <v>4</v>
      </c>
      <c r="NI19">
        <f>SUMPRODUCT(--('Данные 2st'!$Q$2:$Q$317=$A19),--ISNUMBER('Данные 2st'!$HD$2:$HD$317))</f>
        <v>4</v>
      </c>
      <c r="NJ19">
        <f>SUMPRODUCT(--('Данные 2st'!$Q$2:$Q$317=$A19),--ISNUMBER('Данные 2st'!$HM$2:$HM$317))</f>
        <v>4</v>
      </c>
      <c r="NK19">
        <f>SUMPRODUCT(--('Данные 2st'!$Q$2:$Q$317=$A19),--ISNUMBER('Данные 2st'!$HR$2:$HR$317))</f>
        <v>4</v>
      </c>
      <c r="NL19">
        <f>SUMPRODUCT(--('Данные 2st'!$Q$2:$Q$317=$A19),--ISNUMBER('Данные 2st'!$HS$2:$HS$317))</f>
        <v>4</v>
      </c>
      <c r="NM19">
        <f>SUMPRODUCT(--('Данные 2st'!$Q$2:$Q$317=$A19),--ISNUMBER('Данные 2st'!$HT$2:$HT$317))</f>
        <v>4</v>
      </c>
      <c r="NN19">
        <f>SUMPRODUCT(--('Данные 2st'!$Q$2:$Q$317=$A19),--ISNUMBER('Данные 2st'!$HY$2:$HY$317))</f>
        <v>4</v>
      </c>
      <c r="NO19">
        <f>SUMPRODUCT(--('Данные 2st'!$Q$2:$Q$317=$A19),--ISNUMBER('Данные 2st'!$HZ$2:$HZ$317))</f>
        <v>4</v>
      </c>
      <c r="NP19">
        <f>SUMPRODUCT(--('Данные 2st'!$Q$2:$Q$317=$A19),--ISNUMBER('Данные 2st'!$IA$2:$IA$317))</f>
        <v>4</v>
      </c>
      <c r="NQ19">
        <f>SUMPRODUCT(--('Данные 2st'!$Q$2:$Q$317=$A19),--ISNUMBER('Данные 2st'!$IB$2:$IB$317))</f>
        <v>4</v>
      </c>
      <c r="NR19">
        <f>SUMPRODUCT(--('Данные 2st'!$Q$2:$Q$317=$A19),--ISNUMBER('Данные 2st'!$IC$2:$IC$317))</f>
        <v>0</v>
      </c>
      <c r="NS19">
        <f>SUMPRODUCT(--('Данные 2st'!$Q$2:$Q$317=$A19),--ISNUMBER('Данные 2st'!$ID$2:$ID$317))</f>
        <v>4</v>
      </c>
      <c r="NT19">
        <f>SUMPRODUCT(--('Данные 2st'!$Q$2:$Q$317=$A19),--ISNUMBER('Данные 2st'!$IE$2:$IE$317))</f>
        <v>4</v>
      </c>
      <c r="NU19">
        <f>SUMPRODUCT(--('Данные 2st'!$Q$2:$Q$317=$A19),--ISNUMBER('Данные 2st'!$IF$2:$IF$317))</f>
        <v>4</v>
      </c>
      <c r="NV19">
        <f>SUMPRODUCT(--('Данные 2st'!$Q$2:$Q$317=$A19),--ISNUMBER('Данные 2st'!$IG$2:$IG$317))</f>
        <v>4</v>
      </c>
      <c r="NW19">
        <f>SUMPRODUCT(--('Данные 2st'!$Q$2:$Q$317=$A19),--ISNUMBER('Данные 2st'!$IH$2:$IH$317))</f>
        <v>4</v>
      </c>
      <c r="NX19">
        <f>SUMPRODUCT(--('Данные 2st'!$Q$2:$Q$317=$A19),--ISNUMBER('Данные 2st'!$IJ$2:$IJ$317))</f>
        <v>4</v>
      </c>
      <c r="NY19">
        <f>SUMPRODUCT(--('Данные 2st'!$Q$2:$Q$317=$A19),--ISNUMBER('Данные 2st'!$IM$2:$IM$317))</f>
        <v>4</v>
      </c>
      <c r="NZ19">
        <f>SUMPRODUCT(--('Данные 2st'!$Q$2:$Q$317=$A19),--ISNUMBER('Данные 2st'!$IN$2:$IN$317))</f>
        <v>4</v>
      </c>
      <c r="OA19">
        <f>SUMPRODUCT(--('Данные 2st'!$Q$2:$Q$317=$A19),--ISNUMBER('Данные 2st'!$IO$2:$IO$317))</f>
        <v>4</v>
      </c>
      <c r="OB19">
        <f>SUMPRODUCT(--('Данные 2st'!$Q$2:$Q$317=$A19),--ISNUMBER('Данные 2st'!$IP$2:$IP$317))</f>
        <v>4</v>
      </c>
      <c r="OC19">
        <f>SUMPRODUCT(--('Данные 2st'!$Q$2:$Q$317=$A19),--ISNUMBER('Данные 2st'!$IQ$2:$IQ$317))</f>
        <v>4</v>
      </c>
      <c r="OD19">
        <f>SUMPRODUCT(--('Данные 2st'!$Q$2:$Q$317=$A19),--ISNUMBER('Данные 2st'!$IR$2:$IR$317))</f>
        <v>4</v>
      </c>
      <c r="OE19">
        <f>SUMPRODUCT(--('Данные 2st'!$Q$2:$Q$317=$A19),--ISNUMBER('Данные 2st'!$IT$2:$IT$317))</f>
        <v>4</v>
      </c>
      <c r="OF19">
        <f>SUMPRODUCT(--('Данные 2st'!$Q$2:$Q$317=$A19),--ISNUMBER('Данные 2st'!$IU$2:$IU$317))</f>
        <v>4</v>
      </c>
      <c r="OG19">
        <f>SUMPRODUCT(--('Данные 2st'!$Q$2:$Q$317=$A19),--ISNUMBER('Данные 2st'!$IV$2:$IV$317))</f>
        <v>4</v>
      </c>
      <c r="OH19">
        <f>SUMPRODUCT(--('Данные 2st'!$Q$2:$Q$317=$A19),--ISNUMBER('Данные 2st'!$IW$2:$IW$317))</f>
        <v>4</v>
      </c>
      <c r="OI19">
        <f>SUMPRODUCT(--('Данные 2st'!$Q$2:$Q$317=$A19),--ISNUMBER('Данные 2st'!$IX$2:$IX$317))</f>
        <v>4</v>
      </c>
      <c r="OJ19">
        <f>SUMPRODUCT(--('Данные 2st'!$Q$2:$Q$317=$A19),--ISNUMBER('Данные 2st'!$IY$2:$IY$317))</f>
        <v>4</v>
      </c>
      <c r="OK19">
        <f>SUMPRODUCT(--('Данные 2st'!$Q$2:$Q$317=$A19),--ISNUMBER('Данные 2st'!$IZ$2:$IZ$317))</f>
        <v>4</v>
      </c>
      <c r="OL19">
        <f>SUMPRODUCT(--('Данные 2st'!$Q$2:$Q$317=$A19),--ISNUMBER('Данные 2st'!$JA$2:$JA$317))</f>
        <v>4</v>
      </c>
      <c r="OM19">
        <f>SUMPRODUCT(--('Данные 2st'!$Q$2:$Q$317=$A19),--ISNUMBER('Данные 2st'!$JB$2:$JB$317))</f>
        <v>4</v>
      </c>
      <c r="ON19">
        <f>SUMPRODUCT(--('Данные 2st'!$Q$2:$Q$317=$A19),--ISNUMBER('Данные 2st'!$JC$2:$JC$317))</f>
        <v>4</v>
      </c>
      <c r="OO19">
        <f>SUMPRODUCT(--('Данные 2st'!$Q$2:$Q$317=$A19),--ISNUMBER('Данные 2st'!$JD$2:$JD$317))</f>
        <v>4</v>
      </c>
      <c r="OP19">
        <f>SUMPRODUCT(--('Данные 2st'!$Q$2:$Q$317=$A19),--ISNUMBER('Данные 2st'!$JE$2:$JE$317))</f>
        <v>4</v>
      </c>
      <c r="OQ19">
        <f>SUMPRODUCT(--('Данные 2st'!$Q$2:$Q$317=$A19),--ISNUMBER('Данные 2st'!$JF$2:$JF$317))</f>
        <v>4</v>
      </c>
      <c r="OR19">
        <f>SUMPRODUCT(--('Данные 2st'!$Q$2:$Q$317=$A19),--ISNUMBER('Данные 2st'!$JG$2:$JG$317))</f>
        <v>4</v>
      </c>
      <c r="OS19">
        <f>SUMPRODUCT(--('Данные 2st'!$Q$2:$Q$317=$A19),--ISNUMBER('Данные 2st'!$JH$2:$JH$317))</f>
        <v>4</v>
      </c>
      <c r="OT19">
        <f>SUMPRODUCT(--('Данные 2st'!$Q$2:$Q$317=$A19),--ISNUMBER('Данные 2st'!$JI$2:$JI$317))</f>
        <v>4</v>
      </c>
      <c r="OU19">
        <f>SUMPRODUCT(--('Данные 2st'!$Q$2:$Q$317=$A19),--ISNUMBER('Данные 2st'!$JJ$2:$JJ$317))</f>
        <v>4</v>
      </c>
      <c r="OV19">
        <f>SUMPRODUCT(--('Данные 2st'!$Q$2:$Q$317=$A19),--ISNUMBER('Данные 2st'!$JK$2:$JK$317))</f>
        <v>4</v>
      </c>
      <c r="OW19">
        <f>SUMPRODUCT(--('Данные 2st'!$Q$2:$Q$317=$A19),--ISNUMBER('Данные 2st'!$JL$2:$JL$317))</f>
        <v>4</v>
      </c>
      <c r="OX19">
        <f>SUMPRODUCT(--('Данные 2st'!$Q$2:$Q$317=$A19),--ISNUMBER('Данные 2st'!$JM$2:$JM$317))</f>
        <v>4</v>
      </c>
      <c r="OY19">
        <f>SUMPRODUCT(--('Данные 2st'!$Q$2:$Q$317=$A19),--ISNUMBER('Данные 2st'!$JP$2:$JP$317))</f>
        <v>4</v>
      </c>
      <c r="OZ19">
        <f>SUMPRODUCT(--('Данные 2st'!$Q$2:$Q$317=$A19),--ISNUMBER('Данные 2st'!$JQ$2:$JQ$317))</f>
        <v>4</v>
      </c>
      <c r="PA19">
        <f>SUMPRODUCT(--('Данные 2st'!$Q$2:$Q$317=$A19),--ISNUMBER('Данные 2st'!$JR$2:$JR$317))</f>
        <v>4</v>
      </c>
      <c r="PB19">
        <f>SUMPRODUCT(--('Данные 2st'!$Q$2:$Q$317=$A19),--ISNUMBER('Данные 2st'!$JS$2:$JS$317))</f>
        <v>4</v>
      </c>
      <c r="PC19">
        <f>SUMPRODUCT(--('Данные 2st'!$Q$2:$Q$317=$A19),--ISNUMBER('Данные 2st'!$JT$2:$JT$317))</f>
        <v>4</v>
      </c>
      <c r="PD19">
        <f>SUMPRODUCT(--('Данные 2st'!$Q$2:$Q$317=$A19),--ISNUMBER('Данные 2st'!$JU$2:$JU$317))</f>
        <v>4</v>
      </c>
      <c r="PE19">
        <f>SUMPRODUCT(--('Данные 2st'!$Q$2:$Q$317=$A19),--ISNUMBER('Данные 2st'!$JV$2:$JV$317))</f>
        <v>4</v>
      </c>
      <c r="PF19">
        <f>SUMPRODUCT(--('Данные 2st'!$Q$2:$Q$317=$A19),--ISNUMBER('Данные 2st'!$JW$2:$JW$317))</f>
        <v>4</v>
      </c>
      <c r="PG19">
        <f>SUMPRODUCT(--('Данные 2st'!$Q$2:$Q$317=$A19),--ISNUMBER('Данные 2st'!$KF$2:$KF$317))</f>
        <v>4</v>
      </c>
      <c r="PH19">
        <f>SUMPRODUCT(--('Данные 2st'!$Q$2:$Q$317=$A19),--ISNUMBER('Данные 2st'!$KG$2:$KG$317))</f>
        <v>4</v>
      </c>
      <c r="PI19">
        <f>SUMPRODUCT(--('Данные 2st'!$Q$2:$Q$317=$A19),--ISNUMBER('Данные 2st'!$KM$2:$KM$317))</f>
        <v>4</v>
      </c>
      <c r="PJ19">
        <f>SUMPRODUCT(--('Данные 2st'!$Q$2:$Q$317=$A19),--ISNUMBER('Данные 2st'!$KN$2:$KN$317))</f>
        <v>4</v>
      </c>
      <c r="PK19">
        <f>SUMPRODUCT(--('Данные 2st'!$Q$2:$Q$317=$A19),--ISNUMBER('Данные 2st'!$KO$2:$KO$317))</f>
        <v>4</v>
      </c>
      <c r="PL19">
        <f>SUMPRODUCT(--('Данные 2st'!$Q$2:$Q$317=$A19),--ISNUMBER('Данные 2st'!$KP$2:$KP$317))</f>
        <v>4</v>
      </c>
      <c r="PM19">
        <f>SUMPRODUCT(--('Данные 2st'!$Q$2:$Q$317=$A19),--ISNUMBER('Данные 2st'!$KQ$2:$KQ$317))</f>
        <v>4</v>
      </c>
      <c r="PN19">
        <f>SUMPRODUCT(--('Данные 2st'!$Q$2:$Q$317=$A19),--ISNUMBER('Данные 2st'!$KR$2:$KR$317))</f>
        <v>4</v>
      </c>
      <c r="PO19">
        <f>SUMPRODUCT(--('Данные 2st'!$Q$2:$Q$317=$A19),--ISNUMBER('Данные 2st'!$KS$2:$KS$317))</f>
        <v>4</v>
      </c>
      <c r="PP19">
        <f>SUMPRODUCT(--('Данные 2st'!$Q$2:$Q$317=$A19),--ISNUMBER('Данные 2st'!$KT$2:$KT$317))</f>
        <v>4</v>
      </c>
      <c r="PQ19">
        <f>SUMPRODUCT(--('Данные 2st'!$Q$2:$Q$317=$A19),--ISNUMBER('Данные 2st'!$KU$2:$KU$317))</f>
        <v>4</v>
      </c>
      <c r="PR19">
        <f>SUMPRODUCT(--('Данные 2st'!$Q$2:$Q$317=$A19),--ISNUMBER('Данные 2st'!$KV$2:$KV$317))</f>
        <v>4</v>
      </c>
      <c r="PS19">
        <f>SUMPRODUCT(--('Данные 2st'!$Q$2:$Q$317=$A19),--ISNUMBER('Данные 2st'!$KW$2:$KW$317))</f>
        <v>4</v>
      </c>
      <c r="PT19">
        <f>SUMPRODUCT(--('Данные 2st'!$Q$2:$Q$317=$A19),--ISNUMBER('Данные 2st'!$KX$2:$KX$317))</f>
        <v>4</v>
      </c>
      <c r="PU19">
        <f>SUMPRODUCT(--('Данные 2st'!$Q$2:$Q$317=$A19),--ISNUMBER('Данные 2st'!$KY$2:$KY$317))</f>
        <v>4</v>
      </c>
      <c r="PV19">
        <f>SUMPRODUCT(--('Данные 2st'!$Q$2:$Q$317=$A19),--ISNUMBER('Данные 2st'!$KZ$2:$KZ$317))</f>
        <v>4</v>
      </c>
      <c r="PW19">
        <f>SUMPRODUCT(--('Данные 2st'!$Q$2:$Q$317=$A19),--ISNUMBER('Данные 2st'!$LA$2:$LA$317))</f>
        <v>4</v>
      </c>
      <c r="PX19">
        <f>SUMPRODUCT(--('Данные 2st'!$Q$2:$Q$317=$A19),--ISNUMBER('Данные 2st'!$LB$2:$LB$317))</f>
        <v>4</v>
      </c>
      <c r="PY19">
        <f>SUMPRODUCT(--('Данные 2st'!$Q$2:$Q$317=$A19),--ISNUMBER('Данные 2st'!$LC$2:$LC$317))</f>
        <v>4</v>
      </c>
      <c r="PZ19">
        <f>SUMPRODUCT(--('Данные 2st'!$Q$2:$Q$317=$A19),--ISNUMBER('Данные 2st'!$LD$2:$LD$317))</f>
        <v>4</v>
      </c>
      <c r="QA19">
        <f>SUMPRODUCT(--('Данные 2st'!$Q$2:$Q$317=$A19),--ISNUMBER('Данные 2st'!$LE$2:$LE$317))</f>
        <v>4</v>
      </c>
      <c r="QB19">
        <f>SUMPRODUCT(--('Данные 2st'!$Q$2:$Q$317=$A19),--ISNUMBER('Данные 2st'!$LF$2:$LF$317))</f>
        <v>4</v>
      </c>
      <c r="QC19">
        <f>SUMPRODUCT(--('Данные 2st'!$Q$2:$Q$317=$A19),--ISNUMBER('Данные 2st'!$LG$2:$LG$317))</f>
        <v>4</v>
      </c>
      <c r="QD19">
        <f>SUMPRODUCT(--('Данные 2st'!$Q$2:$Q$317=$A19),--ISNUMBER('Данные 2st'!$LH$2:$LH$317))</f>
        <v>4</v>
      </c>
      <c r="QE19">
        <f>SUMPRODUCT(--('Данные 2st'!$Q$2:$Q$317=$A19),--ISNUMBER('Данные 2st'!$LJ$2:$LJ$317))</f>
        <v>4</v>
      </c>
      <c r="QF19">
        <f>SUMPRODUCT(--('Данные 2st'!$Q$2:$Q$317=$A19),--ISNUMBER('Данные 2st'!$LK$2:$LK$317))</f>
        <v>4</v>
      </c>
      <c r="QG19">
        <f>SUMPRODUCT(--('Данные 2st'!$Q$2:$Q$317=$A19),--ISNUMBER('Данные 2st'!$LL$2:$LL$317))</f>
        <v>4</v>
      </c>
      <c r="QH19">
        <f>SUMPRODUCT(--('Данные 2st'!$Q$2:$Q$317=$A19),--ISNUMBER('Данные 2st'!$LM$2:$LM$317))</f>
        <v>4</v>
      </c>
      <c r="QI19">
        <f>SUMPRODUCT(--('Данные 2st'!$Q$2:$Q$317=$A19),--ISNUMBER('Данные 2st'!$LN$2:$LN$317))</f>
        <v>4</v>
      </c>
      <c r="QJ19">
        <f>SUMPRODUCT(--('Данные 2st'!$Q$2:$Q$317=$A19),--ISNUMBER('Данные 2st'!$LO$2:$LO$317))</f>
        <v>4</v>
      </c>
      <c r="QK19">
        <f>SUMPRODUCT(--('Данные 2st'!$Q$2:$Q$317=$A19),--ISNUMBER('Данные 2st'!$LP$2:$LP$317))</f>
        <v>4</v>
      </c>
      <c r="QL19">
        <f>SUMPRODUCT(--('Данные 2st'!$Q$2:$Q$317=$A19),--ISNUMBER('Данные 2st'!$LQ$2:$LQ$317))</f>
        <v>4</v>
      </c>
      <c r="QM19">
        <f>SUMPRODUCT(--('Данные 2st'!$Q$2:$Q$317=$A19),--ISNUMBER('Данные 2st'!$LW$2:$LW$317))</f>
        <v>4</v>
      </c>
      <c r="QN19">
        <f>SUMPRODUCT(--('Данные 2st'!$Q$2:$Q$317=$A19),--ISNUMBER('Данные 2st'!$LX$2:$LX$317))</f>
        <v>4</v>
      </c>
      <c r="QO19">
        <f>SUMPRODUCT(--('Данные 2st'!$Q$2:$Q$317=$A19),--ISNUMBER('Данные 2st'!$LY$2:$LY$317))</f>
        <v>4</v>
      </c>
      <c r="QP19">
        <f>SUMPRODUCT(--('Данные 2st'!$Q$2:$Q$317=$A19),--ISNUMBER('Данные 2st'!$LZ$2:$LZ$317))</f>
        <v>4</v>
      </c>
      <c r="QQ19">
        <f>SUMPRODUCT(--('Данные 2st'!$Q$2:$Q$317=$A19),--ISNUMBER('Данные 2st'!$MB$2:$MB$317))</f>
        <v>4</v>
      </c>
      <c r="QR19">
        <f>SUMPRODUCT(--('Данные 2st'!$Q$2:$Q$317=$A19),--ISNUMBER('Данные 2st'!$MG$2:$MG$317))</f>
        <v>2</v>
      </c>
      <c r="QS19">
        <f>SUMPRODUCT(--('Данные 2st'!$Q$2:$Q$317=$A19),--ISNUMBER('Данные 2st'!$MH$2:$MH$317))</f>
        <v>2</v>
      </c>
      <c r="QT19">
        <f>SUMPRODUCT(--('Данные 2st'!$Q$2:$Q$317=$A19),--ISNUMBER('Данные 2st'!$MI$2:$MI$317))</f>
        <v>4</v>
      </c>
      <c r="QU19">
        <f>SUMPRODUCT(--('Данные 2st'!$Q$2:$Q$317=$A19),--ISNUMBER('Данные 2st'!$MJ$2:$MJ$317))</f>
        <v>4</v>
      </c>
      <c r="QV19">
        <f>SUMPRODUCT(--('Данные 2st'!$Q$2:$Q$317=$A19),--ISNUMBER('Данные 2st'!$MK$2:$MK$317))</f>
        <v>0</v>
      </c>
      <c r="QW19">
        <f>SUMPRODUCT(--('Данные 2st'!$Q$2:$Q$317=$A19),--ISNUMBER('Данные 2st'!$MM$2:$MM$317))</f>
        <v>4</v>
      </c>
      <c r="QX19">
        <f>SUMPRODUCT(--('Данные 2st'!$Q$2:$Q$317=$A19),--ISNUMBER('Данные 2st'!$MQ$2:$MQ$317))</f>
        <v>0</v>
      </c>
      <c r="QY19">
        <f>SUMPRODUCT(--('Данные 2st'!$Q$2:$Q$317=$A19),--ISNUMBER('Данные 2st'!$MR$2:$MR$317))</f>
        <v>0</v>
      </c>
      <c r="QZ19">
        <f>SUMPRODUCT(--('Данные 2st'!$Q$2:$Q$317=$A19),--ISNUMBER('Данные 2st'!$MS$2:$MS$317))</f>
        <v>0</v>
      </c>
      <c r="RA19">
        <f>SUMPRODUCT(--('Данные 2st'!$Q$2:$Q$317=$A19),--ISNUMBER('Данные 2st'!$MT$2:$MT$317))</f>
        <v>0</v>
      </c>
      <c r="RB19">
        <f>SUMPRODUCT(--('Данные 2st'!$Q$2:$Q$317=$A19),--ISNUMBER('Данные 2st'!$MU$2:$MU$317))</f>
        <v>0</v>
      </c>
      <c r="RC19">
        <f>SUMPRODUCT(--('Данные 2st'!$Q$2:$Q$317=$A19),--ISNUMBER('Данные 2st'!$MV$2:$MV$317))</f>
        <v>0</v>
      </c>
      <c r="RD19">
        <f>SUMPRODUCT(--('Данные 2st'!$Q$2:$Q$317=$A19),--ISNUMBER('Данные 2st'!$MW$2:$MW$317))</f>
        <v>0</v>
      </c>
      <c r="RE19">
        <f>SUMPRODUCT(--('Данные 2st'!$Q$2:$Q$317=$A19),--ISNUMBER('Данные 2st'!$MX$2:$MX$317))</f>
        <v>0</v>
      </c>
      <c r="RF19">
        <f>SUMPRODUCT(--('Данные 2st'!$Q$2:$Q$317=$A19),--ISNUMBER('Данные 2st'!$MY$2:$MY$317))</f>
        <v>0</v>
      </c>
      <c r="RG19">
        <f>SUMPRODUCT(--('Данные 2st'!$Q$2:$Q$317=$A19),--ISNUMBER('Данные 2st'!$MZ$2:$MZ$317))</f>
        <v>0</v>
      </c>
      <c r="RH19">
        <f>SUMPRODUCT(--('Данные 2st'!$Q$2:$Q$317=$A19),--ISNUMBER('Данные 2st'!$NA$2:$NA$317))</f>
        <v>0</v>
      </c>
      <c r="RI19">
        <f>SUMPRODUCT(--('Данные 2st'!$Q$2:$Q$317=$A19),--ISNUMBER('Данные 2st'!$NB$2:$NB$317))</f>
        <v>0</v>
      </c>
      <c r="RJ19">
        <f>SUMPRODUCT(--('Данные 2st'!$Q$2:$Q$317=$A19),--ISNUMBER('Данные 2st'!$NC$2:$NC$317))</f>
        <v>0</v>
      </c>
      <c r="RK19">
        <f>SUMPRODUCT(--('Данные 2st'!$Q$2:$Q$317=$A19),--ISNUMBER('Данные 2st'!$ND$2:$ND$317))</f>
        <v>0</v>
      </c>
      <c r="RL19">
        <f>SUMPRODUCT(--('Данные 2st'!$Q$2:$Q$317=$A19),--ISNUMBER('Данные 2st'!$NE$2:$NE$317))</f>
        <v>0</v>
      </c>
      <c r="RM19">
        <f>SUMPRODUCT(--('Данные 2st'!$Q$2:$Q$317=$A19),--ISNUMBER('Данные 2st'!$NF$2:$NF$317))</f>
        <v>0</v>
      </c>
      <c r="RN19">
        <f>SUMPRODUCT(--('Данные 2st'!$Q$2:$Q$317=$A19),--ISNUMBER('Данные 2st'!$NG$2:$NG$317))</f>
        <v>0</v>
      </c>
      <c r="RO19">
        <f>SUMPRODUCT(--('Данные 2st'!$Q$2:$Q$317=$A19),--ISNUMBER('Данные 2st'!$NH$2:$NH$317))</f>
        <v>1</v>
      </c>
      <c r="RP19">
        <f>SUMPRODUCT(--('Данные 2st'!$Q$2:$Q$317=$A19),--ISNUMBER('Данные 2st'!$NJ$2:$NJ$317))</f>
        <v>1</v>
      </c>
      <c r="RQ19">
        <f>SUMPRODUCT(--('Данные 2st'!$Q$2:$Q$317=$A19),--ISNUMBER('Данные 2st'!$NK$2:$NK$317))</f>
        <v>1</v>
      </c>
      <c r="RR19">
        <f>SUMPRODUCT(--('Данные 2st'!$Q$2:$Q$317=$A19),--ISNUMBER('Данные 2st'!$NM$2:$NM$317))</f>
        <v>1</v>
      </c>
      <c r="RS19">
        <f>SUMPRODUCT(--('Данные 2st'!$Q$2:$Q$317=$A19),--ISNUMBER('Данные 2st'!$NN$2:$NN$317))</f>
        <v>0</v>
      </c>
      <c r="RT19">
        <f>SUMPRODUCT(--('Данные 2st'!$Q$2:$Q$317=$A19),--ISNUMBER('Данные 2st'!$NO$2:$NO$317))</f>
        <v>0</v>
      </c>
      <c r="RU19">
        <f>SUMPRODUCT(--('Данные 2st'!$Q$2:$Q$317=$A19),--ISNUMBER('Данные 2st'!$NP$2:$NP$317))</f>
        <v>0</v>
      </c>
      <c r="RV19">
        <f>SUMPRODUCT(--('Данные 2st'!$Q$2:$Q$317=$A19),--ISNUMBER('Данные 2st'!$NQ$2:$NQ$317))</f>
        <v>0</v>
      </c>
      <c r="RW19">
        <f>SUMPRODUCT(--('Данные 2st'!$Q$2:$Q$317=$A19),--ISNUMBER('Данные 2st'!$NR$2:$NR$317))</f>
        <v>0</v>
      </c>
      <c r="RX19">
        <f>SUMPRODUCT(--('Данные 2st'!$Q$2:$Q$317=$A19),--ISNUMBER('Данные 2st'!$NS$2:$NS$317))</f>
        <v>0</v>
      </c>
      <c r="RY19">
        <f>SUMPRODUCT(--('Данные 2st'!$Q$2:$Q$317=$A19),--ISNUMBER('Данные 2st'!$NT$2:$NT$317))</f>
        <v>0</v>
      </c>
      <c r="RZ19">
        <f>SUMPRODUCT(--('Данные 2st'!$Q$2:$Q$317=$A19),--ISNUMBER('Данные 2st'!$OK$2:$OK$317))</f>
        <v>4</v>
      </c>
      <c r="SA19">
        <f>SUMPRODUCT(--('Данные 2st'!$Q$2:$Q$317=$A19),--ISNUMBER('Данные 2st'!$OL$2:$OL$317))</f>
        <v>4</v>
      </c>
      <c r="SB19">
        <f>SUMPRODUCT(--('Данные 2st'!$Q$2:$Q$317=$A19),--ISNUMBER('Данные 2st'!$ON$2:$ON$317))</f>
        <v>4</v>
      </c>
      <c r="SC19">
        <f>SUMPRODUCT(--('Данные 2st'!$Q$2:$Q$317=$A19),--ISNUMBER('Данные 2st'!$OO$2:$OO$317))</f>
        <v>4</v>
      </c>
      <c r="SD19">
        <f>SUMPRODUCT(--('Данные 2st'!$Q$2:$Q$317=$A19),--ISNUMBER('Данные 2st'!$OP$2:$OP$317))</f>
        <v>4</v>
      </c>
      <c r="SE19">
        <f>SUMPRODUCT(--('Данные 2st'!$Q$2:$Q$317=$A19),--ISNUMBER('Данные 2st'!$OQ$2:$OQ$317))</f>
        <v>4</v>
      </c>
      <c r="SF19">
        <f>SUMPRODUCT(--('Данные 2st'!$Q$2:$Q$317=$A19),--ISNUMBER('Данные 2st'!$OS$2:$OS$317))</f>
        <v>4</v>
      </c>
      <c r="SG19">
        <f>SUMPRODUCT(--('Данные 2st'!$Q$2:$Q$317=$A19),--ISNUMBER('Данные 2st'!$OT$2:$OT$317))</f>
        <v>4</v>
      </c>
      <c r="SH19">
        <f>SUMPRODUCT(--('Данные 2st'!$Q$2:$Q$317=$A19),--ISNUMBER('Данные 2st'!$OU$2:$OU$317))</f>
        <v>4</v>
      </c>
      <c r="SI19">
        <f>SUMPRODUCT(--('Данные 2st'!$Q$2:$Q$317=$A19),--ISNUMBER('Данные 2st'!$OV$2:$OV$317))</f>
        <v>4</v>
      </c>
      <c r="SJ19">
        <f>SUMPRODUCT(--('Данные 2st'!$Q$2:$Q$317=$A19),--ISNUMBER('Данные 2st'!$OX$2:$OX$317))</f>
        <v>4</v>
      </c>
      <c r="SK19">
        <f>SUMPRODUCT(--('Данные 2st'!$Q$2:$Q$317=$A19),--ISNUMBER('Данные 2st'!$OY$2:$OY$317))</f>
        <v>4</v>
      </c>
      <c r="SL19">
        <f>SUMPRODUCT(--('Данные 2st'!$Q$2:$Q$317=$A19),--ISNUMBER('Данные 2st'!$OZ$2:$OZ$317))</f>
        <v>4</v>
      </c>
      <c r="SM19">
        <f>SUMPRODUCT(--('Данные 2st'!$Q$2:$Q$317=$A19),--ISNUMBER('Данные 2st'!$PA$2:$PA$317))</f>
        <v>4</v>
      </c>
      <c r="SN19">
        <f>SUMPRODUCT(--('Данные 2st'!$Q$2:$Q$317=$A19),--ISNUMBER('Данные 2st'!$PC$2:$PC$317))</f>
        <v>4</v>
      </c>
      <c r="SO19">
        <f>SUMPRODUCT(--('Данные 2st'!$Q$2:$Q$317=$A19),--ISNUMBER('Данные 2st'!$PD$2:$PD$317))</f>
        <v>4</v>
      </c>
      <c r="SP19">
        <f>SUMPRODUCT(--('Данные 2st'!$Q$2:$Q$317=$A19),--ISNUMBER('Данные 2st'!$PF$2:$PF$317))</f>
        <v>4</v>
      </c>
      <c r="SQ19">
        <f>SUMPRODUCT(--('Данные 2st'!$Q$2:$Q$317=$A19),--ISNUMBER('Данные 2st'!$PG$2:$PG$317))</f>
        <v>4</v>
      </c>
      <c r="SR19">
        <f>SUMPRODUCT(--('Данные 2st'!$Q$2:$Q$317=$A19),--ISNUMBER('Данные 2st'!$PH$2:$PH$317))</f>
        <v>4</v>
      </c>
      <c r="SS19">
        <f>SUMPRODUCT(--('Данные 2st'!$Q$2:$Q$317=$A19),--ISNUMBER('Данные 2st'!$PI$2:$PI$317))</f>
        <v>4</v>
      </c>
      <c r="ST19">
        <f>SUMPRODUCT(--('Данные 2st'!$Q$2:$Q$317=$A19),--ISNUMBER('Данные 2st'!$PJ$2:$PJ$317))</f>
        <v>4</v>
      </c>
      <c r="SU19">
        <f>SUMPRODUCT(--('Данные 2st'!$Q$2:$Q$317=$A19),--ISNUMBER('Данные 2st'!$PK$2:$PK$317))</f>
        <v>3</v>
      </c>
      <c r="SV19">
        <f>SUMPRODUCT(--('Данные 2st'!$Q$2:$Q$317=$A19),--ISNUMBER('Данные 2st'!$PL$2:$PL$317))</f>
        <v>4</v>
      </c>
      <c r="SW19">
        <f>SUMPRODUCT(--('Данные 2st'!$Q$2:$Q$317=$A19),--ISNUMBER('Данные 2st'!$PM$2:$PM$317))</f>
        <v>4</v>
      </c>
      <c r="SX19">
        <f>SUMPRODUCT(--('Данные 2st'!$Q$2:$Q$317=$A19),--ISNUMBER('Данные 2st'!$PN$2:$PN$317))</f>
        <v>4</v>
      </c>
      <c r="SY19">
        <f>SUMPRODUCT(--('Данные 2st'!$Q$2:$Q$317=$A19),--ISNUMBER('Данные 2st'!$PO$2:$PO$317))</f>
        <v>4</v>
      </c>
      <c r="SZ19">
        <f>SUMPRODUCT(--('Данные 2st'!$Q$2:$Q$317=$A19),--ISNUMBER('Данные 2st'!$PP$2:$PP$317))</f>
        <v>4</v>
      </c>
      <c r="TA19">
        <f>SUMPRODUCT(--('Данные 2st'!$Q$2:$Q$317=$A19),--ISNUMBER('Данные 2st'!$PQ$2:$PQ$317))</f>
        <v>4</v>
      </c>
      <c r="TB19">
        <f>SUMPRODUCT(--('Данные 2st'!$Q$2:$Q$317=$A19),--ISNUMBER('Данные 2st'!$PR$2:$PR$317))</f>
        <v>4</v>
      </c>
      <c r="TC19">
        <f>SUMPRODUCT(--('Данные 2st'!$Q$2:$Q$317=$A19),--ISNUMBER('Данные 2st'!$PS$2:$PS$317))</f>
        <v>4</v>
      </c>
      <c r="TD19">
        <f>SUMPRODUCT(--('Данные 2st'!$Q$2:$Q$317=$A19),--ISNUMBER('Данные 2st'!$PT$2:$PT$317))</f>
        <v>4</v>
      </c>
      <c r="TE19">
        <f>SUMPRODUCT(--('Данные 2st'!$Q$2:$Q$317=$A19),--ISNUMBER('Данные 2st'!$PU$2:$PU$317))</f>
        <v>4</v>
      </c>
      <c r="TF19">
        <f>SUMPRODUCT(--('Данные 2st'!$Q$2:$Q$317=$A19),--ISNUMBER('Данные 2st'!$PX$2:$PX$317))</f>
        <v>4</v>
      </c>
      <c r="TG19">
        <f>SUMPRODUCT(--('Данные 2st'!$Q$2:$Q$317=$A19),--ISNUMBER('Данные 2st'!$PY$2:$PY$317))</f>
        <v>4</v>
      </c>
      <c r="TH19">
        <f>SUMPRODUCT(--('Данные 2st'!$Q$2:$Q$317=$A19),--ISNUMBER('Данные 2st'!$PZ$2:$PZ$317))</f>
        <v>4</v>
      </c>
      <c r="TI19">
        <f>SUMPRODUCT(--('Данные 2st'!$Q$2:$Q$317=$A19),--ISNUMBER('Данные 2st'!$QA$2:$QA$317))</f>
        <v>4</v>
      </c>
      <c r="TJ19">
        <f>SUMPRODUCT(--('Данные 2st'!$Q$2:$Q$317=$A19),--ISNUMBER('Данные 2st'!$QB$2:$QB$317))</f>
        <v>4</v>
      </c>
      <c r="TK19">
        <f>SUMPRODUCT(--('Данные 2st'!$Q$2:$Q$317=$A19),--ISNUMBER('Данные 2st'!$QC$2:$QC$317))</f>
        <v>4</v>
      </c>
      <c r="TL19">
        <f>SUMPRODUCT(--('Данные 2st'!$Q$2:$Q$317=$A19),--ISNUMBER('Данные 2st'!$QD$2:$QD$317))</f>
        <v>4</v>
      </c>
      <c r="TM19">
        <f>SUMPRODUCT(--('Данные 2st'!$Q$2:$Q$317=$A19),--ISNUMBER('Данные 2st'!$QE$2:$QE$317))</f>
        <v>4</v>
      </c>
      <c r="TN19">
        <f>SUMPRODUCT(--('Данные 2st'!$Q$2:$Q$317=$A19),--ISNUMBER('Данные 2st'!$QF$2:$QF$317))</f>
        <v>4</v>
      </c>
      <c r="TO19">
        <f>SUMPRODUCT(--('Данные 2st'!$Q$2:$Q$317=$A19),--ISNUMBER('Данные 2st'!$QG$2:$QG$317))</f>
        <v>4</v>
      </c>
      <c r="TP19">
        <f>SUMPRODUCT(--('Данные 2st'!$Q$2:$Q$317=$A19),--ISNUMBER('Данные 2st'!$QH$2:$QH$317))</f>
        <v>4</v>
      </c>
      <c r="TQ19">
        <f>SUMPRODUCT(--('Данные 2st'!$Q$2:$Q$317=$A19),--ISNUMBER('Данные 2st'!$QI$2:$QI$317))</f>
        <v>4</v>
      </c>
      <c r="TR19">
        <f>SUMPRODUCT(--('Данные 2st'!$Q$2:$Q$317=$A19),--ISNUMBER('Данные 2st'!$QJ$2:$QJ$317))</f>
        <v>4</v>
      </c>
      <c r="TS19">
        <f>SUMPRODUCT(--('Данные 2st'!$Q$2:$Q$317=$A19),--ISNUMBER('Данные 2st'!$QK$2:$QK$317))</f>
        <v>4</v>
      </c>
      <c r="TT19">
        <f>SUMPRODUCT(--('Данные 2st'!$Q$2:$Q$317=$A19),--ISNUMBER('Данные 2st'!$QL$2:$QL$317))</f>
        <v>4</v>
      </c>
      <c r="TU19">
        <f>SUMPRODUCT(--('Данные 2st'!$Q$2:$Q$317=$A19),--ISNUMBER('Данные 2st'!$QM$2:$QM$317))</f>
        <v>4</v>
      </c>
      <c r="TV19">
        <f>SUMPRODUCT(--('Данные 2st'!$Q$2:$Q$317=$A19),--ISNUMBER('Данные 2st'!$QN$2:$QN$317))</f>
        <v>4</v>
      </c>
      <c r="TW19">
        <f>SUMPRODUCT(--('Данные 2st'!$Q$2:$Q$317=$A19),--ISNUMBER('Данные 2st'!$QQ$2:$QQ$317))</f>
        <v>4</v>
      </c>
      <c r="TX19">
        <f>SUMPRODUCT(--('Данные 2st'!$Q$2:$Q$317=$A19),--ISNUMBER('Данные 2st'!$QS$2:$QS$317))</f>
        <v>4</v>
      </c>
      <c r="TY19">
        <f>SUMPRODUCT(--('Данные 2st'!$Q$2:$Q$317=$A19),--ISNUMBER('Данные 2st'!$QT$2:$QT$317))</f>
        <v>4</v>
      </c>
    </row>
    <row r="20" spans="1:545" ht="32" customHeight="1">
      <c r="A20" s="11" t="str">
        <f>'По размерам'!A20</f>
        <v>205/70R15</v>
      </c>
      <c r="G20">
        <f>SUMPRODUCT(--('Данные 1st'!$S$2:$S$317=$A20),--ISNUMBER('Данные 1st'!$AE$2:$AE$317))</f>
        <v>3</v>
      </c>
      <c r="H20">
        <f>SUMPRODUCT(--('Данные 1st'!$S$2:$S$317=$A20),--ISNUMBER('Данные 1st'!$AF$2:$AF$317))</f>
        <v>3</v>
      </c>
      <c r="I20">
        <f>SUMPRODUCT(--('Данные 1st'!$S$2:$S$317=$A20),--ISNUMBER('Данные 1st'!$AJ$2:$AJ$317))</f>
        <v>3</v>
      </c>
      <c r="J20">
        <f>SUMPRODUCT(--('Данные 1st'!$S$2:$S$317=$A20),--ISNUMBER('Данные 1st'!$AL$2:$AL$317))</f>
        <v>3</v>
      </c>
      <c r="K20">
        <f>SUMPRODUCT(--('Данные 1st'!$S$2:$S$317=$A20),--ISNUMBER('Данные 1st'!$AR$2:$AR$317))</f>
        <v>3</v>
      </c>
      <c r="L20">
        <f>SUMPRODUCT(--('Данные 1st'!$S$2:$S$317=$A20),--ISNUMBER('Данные 1st'!$AS$2:$AS$317))</f>
        <v>3</v>
      </c>
      <c r="M20">
        <f>SUMPRODUCT(--('Данные 1st'!$S$2:$S$317=$A20),--ISNUMBER('Данные 1st'!$AY$2:$AY$317))</f>
        <v>3</v>
      </c>
      <c r="N20">
        <f>SUMPRODUCT(--('Данные 1st'!$S$2:$S$317=$A20),--ISNUMBER('Данные 1st'!$AZ$2:$AZ$317))</f>
        <v>3</v>
      </c>
      <c r="O20">
        <f>SUMPRODUCT(--('Данные 1st'!$S$2:$S$317=$A20),--ISNUMBER('Данные 1st'!$BF$2:$BF$317))</f>
        <v>2</v>
      </c>
      <c r="P20">
        <f>SUMPRODUCT(--('Данные 1st'!$S$2:$S$317=$A20),--ISNUMBER('Данные 1st'!$BG$2:$BG$317))</f>
        <v>3</v>
      </c>
      <c r="Q20">
        <f>SUMPRODUCT(--('Данные 1st'!$S$2:$S$317=$A20),--ISNUMBER('Данные 1st'!$BM$2:$BM$317))</f>
        <v>0</v>
      </c>
      <c r="R20">
        <f>SUMPRODUCT(--('Данные 1st'!$S$2:$S$317=$A20),--ISNUMBER('Данные 1st'!$BN$2:$BN$317))</f>
        <v>3</v>
      </c>
      <c r="S20">
        <f>SUMPRODUCT(--('Данные 1st'!$S$2:$S$317=$A20),--ISNUMBER('Данные 1st'!$BT$2:$BT$317))</f>
        <v>3</v>
      </c>
      <c r="T20">
        <f>SUMPRODUCT(--('Данные 1st'!$S$2:$S$317=$A20),--ISNUMBER('Данные 1st'!$BU$2:$BU$317))</f>
        <v>3</v>
      </c>
      <c r="U20">
        <f>SUMPRODUCT(--('Данные 1st'!$S$2:$S$317=$A20),--ISNUMBER('Данные 1st'!$BW$2:$BW$317))</f>
        <v>3</v>
      </c>
      <c r="V20">
        <f>SUMPRODUCT(--('Данные 1st'!$S$2:$S$317=$A20),--ISNUMBER('Данные 1st'!$BX$2:$BX$317))</f>
        <v>3</v>
      </c>
      <c r="W20">
        <f>SUMPRODUCT(--('Данные 1st'!$S$2:$S$317=$A20),--ISNUMBER('Данные 1st'!$BZ$2:$BZ$317))</f>
        <v>3</v>
      </c>
      <c r="X20">
        <f>SUMPRODUCT(--('Данные 1st'!$S$2:$S$317=$A20),--ISNUMBER('Данные 1st'!$CA$2:$CA$317))</f>
        <v>3</v>
      </c>
      <c r="Y20">
        <f>SUMPRODUCT(--('Данные 1st'!$S$2:$S$317=$A20),--ISNUMBER('Данные 1st'!$CD$2:$CD$317))</f>
        <v>3</v>
      </c>
      <c r="Z20">
        <f>SUMPRODUCT(--('Данные 1st'!$S$2:$S$317=$A20),--ISNUMBER('Данные 1st'!$CF$2:$CF$317))</f>
        <v>3</v>
      </c>
      <c r="AA20">
        <f>SUMPRODUCT(--('Данные 1st'!$S$2:$S$317=$A20),--ISNUMBER('Данные 1st'!$CI$2:$CI$317))</f>
        <v>3</v>
      </c>
      <c r="AB20">
        <f>SUMPRODUCT(--('Данные 1st'!$S$2:$S$317=$A20),--ISNUMBER('Данные 1st'!$CJ$2:$CJ$317))</f>
        <v>3</v>
      </c>
      <c r="AC20">
        <f>SUMPRODUCT(--('Данные 1st'!$S$2:$S$317=$A20),--ISNUMBER('Данные 1st'!$CK$2:$CK$317))</f>
        <v>3</v>
      </c>
      <c r="AD20">
        <f>SUMPRODUCT(--('Данные 1st'!$S$2:$S$317=$A20),--ISNUMBER('Данные 1st'!$CL$2:$CL$317))</f>
        <v>3</v>
      </c>
      <c r="AE20">
        <f>SUMPRODUCT(--('Данные 1st'!$S$2:$S$317=$A20),--ISNUMBER('Данные 1st'!$CM$2:$CM$317))</f>
        <v>3</v>
      </c>
      <c r="AF20">
        <f>SUMPRODUCT(--('Данные 1st'!$S$2:$S$317=$A20),--ISNUMBER('Данные 1st'!$CT$2:$CT$317))</f>
        <v>3</v>
      </c>
      <c r="AG20">
        <f>SUMPRODUCT(--('Данные 1st'!$S$2:$S$317=$A20),--ISNUMBER('Данные 1st'!$CU$2:$CU$317))</f>
        <v>3</v>
      </c>
      <c r="AH20">
        <f>SUMPRODUCT(--('Данные 1st'!$S$2:$S$317=$A20),--ISNUMBER('Данные 1st'!$CV$2:$CV$317))</f>
        <v>3</v>
      </c>
      <c r="AI20">
        <f>SUMPRODUCT(--('Данные 1st'!$S$2:$S$317=$A20),--ISNUMBER('Данные 1st'!$CW$2:$CW$317))</f>
        <v>3</v>
      </c>
      <c r="AJ20">
        <f>SUMPRODUCT(--('Данные 1st'!$S$2:$S$317=$A20),--ISNUMBER('Данные 1st'!$CX$2:$CX$317))</f>
        <v>3</v>
      </c>
      <c r="AK20">
        <f>SUMPRODUCT(--('Данные 1st'!$S$2:$S$317=$A20),--ISNUMBER('Данные 1st'!$CZ$2:$CZ$317))</f>
        <v>0</v>
      </c>
      <c r="AL20">
        <f>SUMPRODUCT(--('Данные 1st'!$S$2:$S$317=$A20),--ISNUMBER('Данные 1st'!$DA$2:$DA$317))</f>
        <v>0</v>
      </c>
      <c r="AM20">
        <f>SUMPRODUCT(--('Данные 1st'!$S$2:$S$317=$A20),--ISNUMBER('Данные 1st'!$DB$2:$DB$317))</f>
        <v>0</v>
      </c>
      <c r="AN20">
        <f>SUMPRODUCT(--('Данные 1st'!$S$2:$S$317=$A20),--ISNUMBER('Данные 1st'!$DC$2:$DC$317))</f>
        <v>0</v>
      </c>
      <c r="AO20">
        <f>SUMPRODUCT(--('Данные 1st'!$S$2:$S$317=$A20),--ISNUMBER('Данные 1st'!$DD$2:$DD$317))</f>
        <v>3</v>
      </c>
      <c r="AP20">
        <f>SUMPRODUCT(--('Данные 1st'!$S$2:$S$317=$A20),--ISNUMBER('Данные 1st'!$DF$2:$DF$317))</f>
        <v>3</v>
      </c>
      <c r="AQ20">
        <f>SUMPRODUCT(--('Данные 1st'!$S$2:$S$317=$A20),--ISNUMBER('Данные 1st'!$DG$2:$DG$317))</f>
        <v>3</v>
      </c>
      <c r="AR20">
        <f>SUMPRODUCT(--('Данные 1st'!$S$2:$S$317=$A20),--ISNUMBER('Данные 1st'!$DH$2:$DH$317))</f>
        <v>3</v>
      </c>
      <c r="AS20">
        <f>SUMPRODUCT(--('Данные 1st'!$S$2:$S$317=$A20),--ISNUMBER('Данные 1st'!$DI$2:$DI$317))</f>
        <v>3</v>
      </c>
      <c r="AT20">
        <f>SUMPRODUCT(--('Данные 1st'!$S$2:$S$317=$A20),--ISNUMBER('Данные 1st'!$DJ$2:$DJ$317))</f>
        <v>3</v>
      </c>
      <c r="AU20">
        <f>SUMPRODUCT(--('Данные 1st'!$S$2:$S$317=$A20),--ISNUMBER('Данные 1st'!$DL$2:$DL$317))</f>
        <v>2</v>
      </c>
      <c r="AV20">
        <f>SUMPRODUCT(--('Данные 1st'!$S$2:$S$317=$A20),--ISNUMBER('Данные 1st'!$DM$2:$DM$317))</f>
        <v>2</v>
      </c>
      <c r="AW20">
        <f>SUMPRODUCT(--('Данные 1st'!$S$2:$S$317=$A20),--ISNUMBER('Данные 1st'!$DN$2:$DN$317))</f>
        <v>2</v>
      </c>
      <c r="AX20">
        <f>SUMPRODUCT(--('Данные 1st'!$S$2:$S$317=$A20),--ISNUMBER('Данные 1st'!$DO$2:$DO$317))</f>
        <v>2</v>
      </c>
      <c r="AY20">
        <f>SUMPRODUCT(--('Данные 1st'!$S$2:$S$317=$A20),--ISNUMBER('Данные 1st'!$DP$2:$DP$317))</f>
        <v>2</v>
      </c>
      <c r="AZ20">
        <f>SUMPRODUCT(--('Данные 1st'!$S$2:$S$317=$A20),--ISNUMBER('Данные 1st'!$DR$2:$DR$317))</f>
        <v>0</v>
      </c>
      <c r="BA20">
        <f>SUMPRODUCT(--('Данные 1st'!$S$2:$S$317=$A20),--ISNUMBER('Данные 1st'!$DS$2:$DS$317))</f>
        <v>0</v>
      </c>
      <c r="BB20">
        <f>SUMPRODUCT(--('Данные 1st'!$S$2:$S$317=$A20),--ISNUMBER('Данные 1st'!$DT$2:$DT$317))</f>
        <v>0</v>
      </c>
      <c r="BC20">
        <f>SUMPRODUCT(--('Данные 1st'!$S$2:$S$317=$A20),--ISNUMBER('Данные 1st'!$DU$2:$DU$317))</f>
        <v>0</v>
      </c>
      <c r="BD20">
        <f>SUMPRODUCT(--('Данные 1st'!$S$2:$S$317=$A20),--ISNUMBER('Данные 1st'!$DV$2:$DV$317))</f>
        <v>0</v>
      </c>
      <c r="BE20">
        <f>SUMPRODUCT(--('Данные 1st'!$S$2:$S$317=$A20),--ISNUMBER('Данные 1st'!$DX$2:$DX$317))</f>
        <v>3</v>
      </c>
      <c r="BF20">
        <f>SUMPRODUCT(--('Данные 1st'!$S$2:$S$317=$A20),--ISNUMBER('Данные 1st'!$EA$2:$EA$317))</f>
        <v>3</v>
      </c>
      <c r="BG20">
        <f>SUMPRODUCT(--('Данные 1st'!$S$2:$S$317=$A20),--ISNUMBER('Данные 1st'!$EB$2:$EB$317))</f>
        <v>3</v>
      </c>
      <c r="BH20">
        <f>SUMPRODUCT(--('Данные 1st'!$S$2:$S$317=$A20),--ISNUMBER('Данные 1st'!$ED$2:$ED$317))</f>
        <v>3</v>
      </c>
      <c r="BI20">
        <f>SUMPRODUCT(--('Данные 1st'!$S$2:$S$317=$A20),--ISNUMBER('Данные 1st'!$EE$2:$EE$317))</f>
        <v>3</v>
      </c>
      <c r="BJ20">
        <f>SUMPRODUCT(--('Данные 1st'!$S$2:$S$317=$A20),--ISNUMBER('Данные 1st'!$EG$2:$EG$317))</f>
        <v>3</v>
      </c>
      <c r="BK20">
        <f>SUMPRODUCT(--('Данные 1st'!$S$2:$S$317=$A20),--ISNUMBER('Данные 1st'!$EH$2:$EH$317))</f>
        <v>3</v>
      </c>
      <c r="BL20">
        <f>SUMPRODUCT(--('Данные 1st'!$S$2:$S$317=$A20),--ISNUMBER('Данные 1st'!$EJ$2:$EJ$317))</f>
        <v>3</v>
      </c>
      <c r="BM20">
        <f>SUMPRODUCT(--('Данные 1st'!$S$2:$S$317=$A20),--ISNUMBER('Данные 1st'!$EK$2:$EK$317))</f>
        <v>3</v>
      </c>
      <c r="BN20">
        <f>SUMPRODUCT(--('Данные 1st'!$S$2:$S$317=$A20),--ISNUMBER('Данные 1st'!$EN$2:$EN$317))</f>
        <v>3</v>
      </c>
      <c r="BO20">
        <f>SUMPRODUCT(--('Данные 1st'!$S$2:$S$317=$A20),--ISNUMBER('Данные 1st'!$EQ$2:$EQ$317))</f>
        <v>3</v>
      </c>
      <c r="BP20">
        <f>SUMPRODUCT(--('Данные 1st'!$S$2:$S$317=$A20),--ISNUMBER('Данные 1st'!$ER$2:$ER$317))</f>
        <v>3</v>
      </c>
      <c r="BQ20">
        <f>SUMPRODUCT(--('Данные 1st'!$S$2:$S$317=$A20),--ISNUMBER('Данные 1st'!$ES$2:$ES$317))</f>
        <v>3</v>
      </c>
      <c r="BR20">
        <f>SUMPRODUCT(--('Данные 1st'!$S$2:$S$317=$A20),--ISNUMBER('Данные 1st'!$ET$2:$ET$317))</f>
        <v>3</v>
      </c>
      <c r="BS20">
        <f>SUMPRODUCT(--('Данные 1st'!$S$2:$S$317=$A20),--ISNUMBER('Данные 1st'!$EU$2:$EU$317))</f>
        <v>3</v>
      </c>
      <c r="BT20">
        <f>SUMPRODUCT(--('Данные 1st'!$S$2:$S$317=$A20),--ISNUMBER('Данные 1st'!$EV$2:$EV$317))</f>
        <v>3</v>
      </c>
      <c r="BU20">
        <f>SUMPRODUCT(--('Данные 1st'!$S$2:$S$317=$A20),--ISNUMBER('Данные 1st'!$EX$2:$EX$317))</f>
        <v>3</v>
      </c>
      <c r="BV20">
        <f>SUMPRODUCT(--('Данные 1st'!$S$2:$S$317=$A20),--ISNUMBER('Данные 1st'!$EY$2:$EY$317))</f>
        <v>3</v>
      </c>
      <c r="BW20">
        <f>SUMPRODUCT(--('Данные 1st'!$S$2:$S$317=$A20),--ISNUMBER('Данные 1st'!$EZ$2:$EZ$317))</f>
        <v>3</v>
      </c>
      <c r="BX20">
        <f>SUMPRODUCT(--('Данные 1st'!$S$2:$S$317=$A20),--ISNUMBER('Данные 1st'!$FA$2:$FA$317))</f>
        <v>3</v>
      </c>
      <c r="BY20">
        <f>SUMPRODUCT(--('Данные 1st'!$S$2:$S$317=$A20),--ISNUMBER('Данные 1st'!$FB$2:$FB$317))</f>
        <v>3</v>
      </c>
      <c r="BZ20">
        <f>SUMPRODUCT(--('Данные 1st'!$S$2:$S$317=$A20),--ISNUMBER('Данные 1st'!$FC$2:$FC$317))</f>
        <v>3</v>
      </c>
      <c r="CA20">
        <f>SUMPRODUCT(--('Данные 1st'!$S$2:$S$317=$A20),--ISNUMBER('Данные 1st'!$FE$2:$FE$317))</f>
        <v>3</v>
      </c>
      <c r="CB20">
        <f>SUMPRODUCT(--('Данные 1st'!$S$2:$S$317=$A20),--ISNUMBER('Данные 1st'!$FF$2:$FF$317))</f>
        <v>3</v>
      </c>
      <c r="CC20">
        <f>SUMPRODUCT(--('Данные 1st'!$S$2:$S$317=$A20),--ISNUMBER('Данные 1st'!$FI$2:$FI$317))</f>
        <v>3</v>
      </c>
      <c r="CD20">
        <f>SUMPRODUCT(--('Данные 1st'!$S$2:$S$317=$A20),--ISNUMBER('Данные 1st'!$FL$2:$FL$317))</f>
        <v>3</v>
      </c>
      <c r="CE20">
        <f>SUMPRODUCT(--('Данные 1st'!$S$2:$S$317=$A20),--ISNUMBER('Данные 1st'!$FM$2:$FM$317))</f>
        <v>3</v>
      </c>
      <c r="CF20">
        <f>SUMPRODUCT(--('Данные 1st'!$S$2:$S$317=$A20),--ISNUMBER('Данные 1st'!$FN$2:$FN$317))</f>
        <v>3</v>
      </c>
      <c r="CG20">
        <f>SUMPRODUCT(--('Данные 1st'!$S$2:$S$317=$A20),--ISNUMBER('Данные 1st'!$FO$2:$FO$317))</f>
        <v>0</v>
      </c>
      <c r="CH20">
        <f>SUMPRODUCT(--('Данные 1st'!$S$2:$S$317=$A20),--ISNUMBER('Данные 1st'!$FP$2:$FP$317))</f>
        <v>0</v>
      </c>
      <c r="CI20">
        <f>SUMPRODUCT(--('Данные 1st'!$S$2:$S$317=$A20),--ISNUMBER('Данные 1st'!$FS$2:$FS$317))</f>
        <v>1</v>
      </c>
      <c r="CJ20">
        <f>SUMPRODUCT(--('Данные 1st'!$S$2:$S$317=$A20),--ISNUMBER('Данные 1st'!$FT$2:$FT$317))</f>
        <v>1</v>
      </c>
      <c r="CK20">
        <f>SUMPRODUCT(--('Данные 1st'!$S$2:$S$317=$A20),--ISNUMBER('Данные 1st'!$FU$2:$FU$317))</f>
        <v>1</v>
      </c>
      <c r="CL20">
        <f>SUMPRODUCT(--('Данные 1st'!$S$2:$S$317=$A20),--ISNUMBER('Данные 1st'!$FV$2:$FV$317))</f>
        <v>0</v>
      </c>
      <c r="CM20">
        <f>SUMPRODUCT(--('Данные 1st'!$S$2:$S$317=$A20),--ISNUMBER('Данные 1st'!$FW$2:$FW$317))</f>
        <v>0</v>
      </c>
      <c r="CN20">
        <f>SUMPRODUCT(--('Данные 1st'!$S$2:$S$317=$A20),--ISNUMBER('Данные 1st'!$FZ$2:$FZ$317))</f>
        <v>0</v>
      </c>
      <c r="CO20">
        <f>SUMPRODUCT(--('Данные 1st'!$S$2:$S$317=$A20),--ISNUMBER('Данные 1st'!$GA$2:$GA$317))</f>
        <v>0</v>
      </c>
      <c r="CP20">
        <f>SUMPRODUCT(--('Данные 1st'!$S$2:$S$317=$A20),--ISNUMBER('Данные 1st'!$GB$2:$GB$317))</f>
        <v>0</v>
      </c>
      <c r="CQ20">
        <f>SUMPRODUCT(--('Данные 1st'!$S$2:$S$317=$A20),--ISNUMBER('Данные 1st'!$GH$2:$GH$317))</f>
        <v>0</v>
      </c>
      <c r="CR20">
        <f>SUMPRODUCT(--('Данные 1st'!$S$2:$S$317=$A20),--ISNUMBER('Данные 1st'!$GI$2:$GI$317))</f>
        <v>0</v>
      </c>
      <c r="CS20">
        <f>SUMPRODUCT(--('Данные 1st'!$S$2:$S$317=$A20),--ISNUMBER('Данные 1st'!$GJ$2:$GJ$317))</f>
        <v>0</v>
      </c>
      <c r="CT20">
        <f>SUMPRODUCT(--('Данные 1st'!$S$2:$S$317=$A20),--ISNUMBER('Данные 1st'!$GS$2:$GS$317))</f>
        <v>2</v>
      </c>
      <c r="CU20">
        <f>SUMPRODUCT(--('Данные 1st'!$S$2:$S$317=$A20),--ISNUMBER('Данные 1st'!$GT$2:$GT$317))</f>
        <v>2</v>
      </c>
      <c r="CV20">
        <f>SUMPRODUCT(--('Данные 1st'!$S$2:$S$317=$A20),--ISNUMBER('Данные 1st'!$GU$2:$GU$317))</f>
        <v>2</v>
      </c>
      <c r="CW20">
        <f>SUMPRODUCT(--('Данные 1st'!$S$2:$S$317=$A20),--ISNUMBER('Данные 1st'!$GV$2:$GV$317))</f>
        <v>0</v>
      </c>
      <c r="CX20">
        <f>SUMPRODUCT(--('Данные 1st'!$S$2:$S$317=$A20),--ISNUMBER('Данные 1st'!$GW$2:$GW$317))</f>
        <v>0</v>
      </c>
      <c r="CY20">
        <f>SUMPRODUCT(--('Данные 1st'!$S$2:$S$317=$A20),--ISNUMBER('Данные 1st'!$GZ$2:$GZ$317))</f>
        <v>0</v>
      </c>
      <c r="CZ20">
        <f>SUMPRODUCT(--('Данные 1st'!$S$2:$S$317=$A20),--ISNUMBER('Данные 1st'!$HA$2:$HA$317))</f>
        <v>0</v>
      </c>
      <c r="DA20">
        <f>SUMPRODUCT(--('Данные 1st'!$S$2:$S$317=$A20),--ISNUMBER('Данные 1st'!$HB$2:$HB$317))</f>
        <v>0</v>
      </c>
      <c r="DB20">
        <f>SUMPRODUCT(--('Данные 1st'!$S$2:$S$317=$A20),--ISNUMBER('Данные 1st'!$HC$2:$HC$317))</f>
        <v>3</v>
      </c>
      <c r="DC20">
        <f>SUMPRODUCT(--('Данные 1st'!$S$2:$S$317=$A20),--ISNUMBER('Данные 1st'!$HD$2:$HD$317))</f>
        <v>3</v>
      </c>
      <c r="DD20">
        <f>SUMPRODUCT(--('Данные 1st'!$S$2:$S$317=$A20),--ISNUMBER('Данные 1st'!$HE$2:$HE$317))</f>
        <v>3</v>
      </c>
      <c r="DE20">
        <f>SUMPRODUCT(--('Данные 1st'!$S$2:$S$317=$A20),--ISNUMBER('Данные 1st'!$HF$2:$HF$317))</f>
        <v>3</v>
      </c>
      <c r="DF20">
        <f>SUMPRODUCT(--('Данные 1st'!$S$2:$S$317=$A20),--ISNUMBER('Данные 1st'!$HG$2:$HG$317))</f>
        <v>3</v>
      </c>
      <c r="DG20">
        <f>SUMPRODUCT(--('Данные 1st'!$S$2:$S$317=$A20),--ISNUMBER('Данные 1st'!$HH$2:$HH$317))</f>
        <v>3</v>
      </c>
      <c r="DH20">
        <f>SUMPRODUCT(--('Данные 1st'!$S$2:$S$317=$A20),--ISNUMBER('Данные 1st'!$HI$2:$HI$317))</f>
        <v>3</v>
      </c>
      <c r="DI20">
        <f>SUMPRODUCT(--('Данные 1st'!$S$2:$S$317=$A20),--ISNUMBER('Данные 1st'!$HJ$2:$HJ$317))</f>
        <v>3</v>
      </c>
      <c r="DJ20">
        <f>SUMPRODUCT(--('Данные 1st'!$S$2:$S$317=$A20),--ISNUMBER('Данные 1st'!$HK$2:$HK$317))</f>
        <v>3</v>
      </c>
      <c r="DK20">
        <f>SUMPRODUCT(--('Данные 1st'!$S$2:$S$317=$A20),--ISNUMBER('Данные 1st'!$HL$2:$HL$317))</f>
        <v>3</v>
      </c>
      <c r="DL20">
        <f>SUMPRODUCT(--('Данные 1st'!$S$2:$S$317=$A20),--ISNUMBER('Данные 1st'!$HM$2:$HM$317))</f>
        <v>3</v>
      </c>
      <c r="DM20">
        <f>SUMPRODUCT(--('Данные 1st'!$S$2:$S$317=$A20),--ISNUMBER('Данные 1st'!$HN$2:$HN$317))</f>
        <v>3</v>
      </c>
      <c r="DN20">
        <f>SUMPRODUCT(--('Данные 1st'!$S$2:$S$317=$A20),--ISNUMBER('Данные 1st'!$HO$2:$HO$317))</f>
        <v>3</v>
      </c>
      <c r="DO20">
        <f>SUMPRODUCT(--('Данные 1st'!$S$2:$S$317=$A20),--ISNUMBER('Данные 1st'!$HP$2:$HP$317))</f>
        <v>3</v>
      </c>
      <c r="DP20">
        <f>SUMPRODUCT(--('Данные 1st'!$S$2:$S$317=$A20),--ISNUMBER('Данные 1st'!$HQ$2:$HQ$317))</f>
        <v>3</v>
      </c>
      <c r="DQ20">
        <f>SUMPRODUCT(--('Данные 1st'!$S$2:$S$317=$A20),--ISNUMBER('Данные 1st'!$HR$2:$HR$317))</f>
        <v>3</v>
      </c>
      <c r="DR20">
        <f>SUMPRODUCT(--('Данные 1st'!$S$2:$S$317=$A20),--ISNUMBER('Данные 1st'!$HS$2:$HS$317))</f>
        <v>3</v>
      </c>
      <c r="DS20">
        <f>SUMPRODUCT(--('Данные 1st'!$S$2:$S$317=$A20),--ISNUMBER('Данные 1st'!$HT$2:$HT$317))</f>
        <v>3</v>
      </c>
      <c r="DT20">
        <f>SUMPRODUCT(--('Данные 1st'!$S$2:$S$317=$A20),--ISNUMBER('Данные 1st'!$HU$2:$HU$317))</f>
        <v>3</v>
      </c>
      <c r="DU20">
        <f>SUMPRODUCT(--('Данные 1st'!$S$2:$S$317=$A20),--ISNUMBER('Данные 1st'!$HW$2:$HW$317))</f>
        <v>3</v>
      </c>
      <c r="DV20">
        <f>SUMPRODUCT(--('Данные 1st'!$S$2:$S$317=$A20),--ISNUMBER('Данные 1st'!$HX$2:$HX$317))</f>
        <v>3</v>
      </c>
      <c r="DW20">
        <f>SUMPRODUCT(--('Данные 1st'!$S$2:$S$317=$A20),--ISNUMBER('Данные 1st'!$HY$2:$HY$317))</f>
        <v>3</v>
      </c>
      <c r="DX20">
        <f>SUMPRODUCT(--('Данные 1st'!$S$2:$S$317=$A20),--ISNUMBER('Данные 1st'!$IA$2:$IA$317))</f>
        <v>3</v>
      </c>
      <c r="DY20">
        <f>SUMPRODUCT(--('Данные 1st'!$S$2:$S$317=$A20),--ISNUMBER('Данные 1st'!$IB$2:$IB$317))</f>
        <v>3</v>
      </c>
      <c r="DZ20">
        <f>SUMPRODUCT(--('Данные 1st'!$S$2:$S$317=$A20),--ISNUMBER('Данные 1st'!$IC$2:$IC$317))</f>
        <v>3</v>
      </c>
      <c r="EA20">
        <f>SUMPRODUCT(--('Данные 1st'!$S$2:$S$317=$A20),--ISNUMBER('Данные 1st'!$ID$2:$ID$317))</f>
        <v>3</v>
      </c>
      <c r="EB20">
        <f>SUMPRODUCT(--('Данные 1st'!$S$2:$S$317=$A20),--ISNUMBER('Данные 1st'!$IE$2:$IE$317))</f>
        <v>3</v>
      </c>
      <c r="EC20">
        <f>SUMPRODUCT(--('Данные 1st'!$S$2:$S$317=$A20),--ISNUMBER('Данные 1st'!$IF$2:$IF$317))</f>
        <v>3</v>
      </c>
      <c r="ED20">
        <f>SUMPRODUCT(--('Данные 1st'!$S$2:$S$317=$A20),--ISNUMBER('Данные 1st'!$IP$2:$IP$317))</f>
        <v>3</v>
      </c>
      <c r="EE20">
        <f>SUMPRODUCT(--('Данные 1st'!$S$2:$S$317=$A20),--ISNUMBER('Данные 1st'!$IV$2:$IV$317))</f>
        <v>3</v>
      </c>
      <c r="EF20">
        <f>SUMPRODUCT(--('Данные 1st'!$S$2:$S$317=$A20),--ISNUMBER('Данные 1st'!$IW$2:$IW$317))</f>
        <v>3</v>
      </c>
      <c r="EG20">
        <f>SUMPRODUCT(--('Данные 1st'!$S$2:$S$317=$A20),--ISNUMBER('Данные 1st'!$IX$2:$IX$317))</f>
        <v>0</v>
      </c>
      <c r="EH20">
        <f>SUMPRODUCT(--('Данные 1st'!$S$2:$S$317=$A20),--ISNUMBER('Данные 1st'!$IY$2:$IY$317))</f>
        <v>0</v>
      </c>
      <c r="EI20">
        <f>SUMPRODUCT(--('Данные 1st'!$S$2:$S$317=$A20),--ISNUMBER('Данные 1st'!$JD$2:$JD$317))</f>
        <v>3</v>
      </c>
      <c r="EJ20">
        <f>SUMPRODUCT(--('Данные 1st'!$S$2:$S$317=$A20),--ISNUMBER('Данные 1st'!$JE$2:$JE$317))</f>
        <v>3</v>
      </c>
      <c r="EK20">
        <f>SUMPRODUCT(--('Данные 1st'!$S$2:$S$317=$A20),--ISNUMBER('Данные 1st'!$JF$2:$JF$317))</f>
        <v>3</v>
      </c>
      <c r="EL20">
        <f>SUMPRODUCT(--('Данные 1st'!$S$2:$S$317=$A20),--ISNUMBER('Данные 1st'!$JG$2:$JG$317))</f>
        <v>3</v>
      </c>
      <c r="EM20">
        <f>SUMPRODUCT(--('Данные 1st'!$S$2:$S$317=$A20),--ISNUMBER('Данные 1st'!$JH$2:$JH$317))</f>
        <v>3</v>
      </c>
      <c r="EN20">
        <f>SUMPRODUCT(--('Данные 1st'!$S$2:$S$317=$A20),--ISNUMBER('Данные 1st'!$JJ$2:$JJ$317))</f>
        <v>3</v>
      </c>
      <c r="EO20">
        <f>SUMPRODUCT(--('Данные 1st'!$S$2:$S$317=$A20),--ISNUMBER('Данные 1st'!$JK$2:$JK$317))</f>
        <v>3</v>
      </c>
      <c r="EP20">
        <f>SUMPRODUCT(--('Данные 1st'!$S$2:$S$317=$A20),--ISNUMBER('Данные 1st'!$JL$2:$JL$317))</f>
        <v>0</v>
      </c>
      <c r="EQ20">
        <f>SUMPRODUCT(--('Данные 1st'!$S$2:$S$317=$A20),--ISNUMBER('Данные 1st'!$JM$2:$JM$317))</f>
        <v>0</v>
      </c>
      <c r="ER20">
        <f>SUMPRODUCT(--('Данные 1st'!$S$2:$S$317=$A20),--ISNUMBER('Данные 1st'!$JN$2:$JN$317))</f>
        <v>3</v>
      </c>
      <c r="ES20">
        <f>SUMPRODUCT(--('Данные 1st'!$S$2:$S$317=$A20),--ISNUMBER('Данные 1st'!$JO$2:$JO$317))</f>
        <v>3</v>
      </c>
      <c r="ET20">
        <f>SUMPRODUCT(--('Данные 1st'!$S$2:$S$317=$A20),--ISNUMBER('Данные 1st'!$JP$2:$JP$317))</f>
        <v>3</v>
      </c>
      <c r="EU20">
        <f>SUMPRODUCT(--('Данные 1st'!$S$2:$S$317=$A20),--ISNUMBER('Данные 1st'!$JQ$2:$JQ$317))</f>
        <v>3</v>
      </c>
      <c r="EV20">
        <f>SUMPRODUCT(--('Данные 1st'!$S$2:$S$317=$A20),--ISNUMBER('Данные 1st'!$JR$2:$JR$317))</f>
        <v>3</v>
      </c>
      <c r="EW20">
        <f>SUMPRODUCT(--('Данные 1st'!$S$2:$S$317=$A20),--ISNUMBER('Данные 1st'!$JS$2:$JS$317))</f>
        <v>3</v>
      </c>
      <c r="EX20">
        <f>SUMPRODUCT(--('Данные 1st'!$S$2:$S$317=$A20),--ISNUMBER('Данные 1st'!$JT$2:$JT$317))</f>
        <v>0</v>
      </c>
      <c r="EY20">
        <f>SUMPRODUCT(--('Данные 1st'!$S$2:$S$317=$A20),--ISNUMBER('Данные 1st'!$JU$2:$JU$317))</f>
        <v>0</v>
      </c>
      <c r="EZ20">
        <f>SUMPRODUCT(--('Данные 1st'!$S$2:$S$317=$A20),--ISNUMBER('Данные 1st'!$JV$2:$JV$317))</f>
        <v>3</v>
      </c>
      <c r="FA20">
        <f>SUMPRODUCT(--('Данные 1st'!$S$2:$S$317=$A20),--ISNUMBER('Данные 1st'!$JW$2:$JW$317))</f>
        <v>0</v>
      </c>
      <c r="FB20">
        <f>SUMPRODUCT(--('Данные 1st'!$S$2:$S$317=$A20),--ISNUMBER('Данные 1st'!$JX$2:$JX$317))</f>
        <v>3</v>
      </c>
      <c r="FC20">
        <f>SUMPRODUCT(--('Данные 1st'!$S$2:$S$317=$A20),--ISNUMBER('Данные 1st'!$JY$2:$JY$317))</f>
        <v>0</v>
      </c>
      <c r="FD20">
        <f>SUMPRODUCT(--('Данные 1st'!$S$2:$S$317=$A20),--ISNUMBER('Данные 1st'!$JZ$2:$JZ$317))</f>
        <v>0</v>
      </c>
      <c r="FE20">
        <f>SUMPRODUCT(--('Данные 1st'!$S$2:$S$317=$A20),--ISNUMBER('Данные 1st'!$KA$2:$KA$317))</f>
        <v>3</v>
      </c>
      <c r="FF20">
        <f>SUMPRODUCT(--('Данные 1st'!$S$2:$S$317=$A20),--ISNUMBER('Данные 1st'!$KB$2:$KB$317))</f>
        <v>3</v>
      </c>
      <c r="FG20">
        <f>SUMPRODUCT(--('Данные 1st'!$S$2:$S$317=$A20),--ISNUMBER('Данные 1st'!$KC$2:$KC$317))</f>
        <v>3</v>
      </c>
      <c r="FH20">
        <f>SUMPRODUCT(--('Данные 1st'!$S$2:$S$317=$A20),--ISNUMBER('Данные 1st'!$KD$2:$KD$317))</f>
        <v>3</v>
      </c>
      <c r="FI20">
        <f>SUMPRODUCT(--('Данные 1st'!$S$2:$S$317=$A20),--ISNUMBER('Данные 1st'!$KE$2:$KE$317))</f>
        <v>0</v>
      </c>
      <c r="FJ20">
        <f>SUMPRODUCT(--('Данные 1st'!$S$2:$S$317=$A20),--ISNUMBER('Данные 1st'!$KF$2:$KF$317))</f>
        <v>3</v>
      </c>
      <c r="FK20">
        <f>SUMPRODUCT(--('Данные 1st'!$S$2:$S$317=$A20),--ISNUMBER('Данные 1st'!$KG$2:$KG$317))</f>
        <v>3</v>
      </c>
      <c r="FL20">
        <f>SUMPRODUCT(--('Данные 1st'!$S$2:$S$317=$A20),--ISNUMBER('Данные 1st'!$KH$2:$KH$317))</f>
        <v>3</v>
      </c>
      <c r="FM20">
        <f>SUMPRODUCT(--('Данные 1st'!$S$2:$S$317=$A20),--ISNUMBER('Данные 1st'!$KI$2:$KI$317))</f>
        <v>3</v>
      </c>
      <c r="FN20">
        <f>SUMPRODUCT(--('Данные 1st'!$S$2:$S$317=$A20),--ISNUMBER('Данные 1st'!$KJ$2:$KJ$317))</f>
        <v>3</v>
      </c>
      <c r="FO20">
        <f>SUMPRODUCT(--('Данные 1st'!$S$2:$S$317=$A20),--ISNUMBER('Данные 1st'!$KK$2:$KK$317))</f>
        <v>3</v>
      </c>
      <c r="FP20">
        <f>SUMPRODUCT(--('Данные 1st'!$S$2:$S$317=$A20),--ISNUMBER('Данные 1st'!$KL$2:$KL$317))</f>
        <v>3</v>
      </c>
      <c r="FQ20">
        <f>SUMPRODUCT(--('Данные 1st'!$S$2:$S$317=$A20),--ISNUMBER('Данные 1st'!$KM$2:$KM$317))</f>
        <v>3</v>
      </c>
      <c r="FR20">
        <f>SUMPRODUCT(--('Данные 1st'!$S$2:$S$317=$A20),--ISNUMBER('Данные 1st'!$KN$2:$KN$317))</f>
        <v>3</v>
      </c>
      <c r="FS20">
        <f>SUMPRODUCT(--('Данные 1st'!$S$2:$S$317=$A20),--ISNUMBER('Данные 1st'!$KR$2:$KR$317))</f>
        <v>3</v>
      </c>
      <c r="FT20">
        <f>SUMPRODUCT(--('Данные 1st'!$S$2:$S$317=$A20),--ISNUMBER('Данные 1st'!$KS$2:$KS$317))</f>
        <v>3</v>
      </c>
      <c r="FU20">
        <f>SUMPRODUCT(--('Данные 1st'!$S$2:$S$317=$A20),--ISNUMBER('Данные 1st'!$KT$2:$KT$317))</f>
        <v>3</v>
      </c>
      <c r="FV20">
        <f>SUMPRODUCT(--('Данные 1st'!$S$2:$S$317=$A20),--ISNUMBER('Данные 1st'!$KV$2:$KV$317))</f>
        <v>0</v>
      </c>
      <c r="FW20">
        <f>SUMPRODUCT(--('Данные 1st'!$S$2:$S$317=$A20),--ISNUMBER('Данные 1st'!$KW$2:$KW$317))</f>
        <v>0</v>
      </c>
      <c r="FX20">
        <f>SUMPRODUCT(--('Данные 1st'!$S$2:$S$317=$A20),--ISNUMBER('Данные 1st'!$KX$2:$KX$317))</f>
        <v>0</v>
      </c>
      <c r="FY20">
        <f>SUMPRODUCT(--('Данные 1st'!$S$2:$S$317=$A20),--ISNUMBER('Данные 1st'!$KY$2:$KY$317))</f>
        <v>0</v>
      </c>
      <c r="FZ20">
        <f>SUMPRODUCT(--('Данные 1st'!$S$2:$S$317=$A20),--ISNUMBER('Данные 1st'!$KZ$2:$KZ$317))</f>
        <v>0</v>
      </c>
      <c r="GA20">
        <f>SUMPRODUCT(--('Данные 1st'!$S$2:$S$317=$A20),--ISNUMBER('Данные 1st'!$LA$2:$LA$317))</f>
        <v>0</v>
      </c>
      <c r="GB20">
        <f>SUMPRODUCT(--('Данные 1st'!$S$2:$S$317=$A20),--ISNUMBER('Данные 1st'!$LB$2:$LB$317))</f>
        <v>0</v>
      </c>
      <c r="GC20">
        <f>SUMPRODUCT(--('Данные 1st'!$S$2:$S$317=$A20),--ISNUMBER('Данные 1st'!$LC$2:$LC$317))</f>
        <v>0</v>
      </c>
      <c r="GD20">
        <f>SUMPRODUCT(--('Данные 1st'!$S$2:$S$317=$A20),--ISNUMBER('Данные 1st'!$LD$2:$LD$317))</f>
        <v>0</v>
      </c>
      <c r="GE20">
        <f>SUMPRODUCT(--('Данные 1st'!$S$2:$S$317=$A20),--ISNUMBER('Данные 1st'!$LE$2:$LE$317))</f>
        <v>0</v>
      </c>
      <c r="GF20">
        <f>SUMPRODUCT(--('Данные 1st'!$S$2:$S$317=$A20),--ISNUMBER('Данные 1st'!$LF$2:$LF$317))</f>
        <v>0</v>
      </c>
      <c r="GG20">
        <f>SUMPRODUCT(--('Данные 1st'!$S$2:$S$317=$A20),--ISNUMBER('Данные 1st'!$LG$2:$LG$317))</f>
        <v>0</v>
      </c>
      <c r="GH20">
        <f>SUMPRODUCT(--('Данные 1st'!$S$2:$S$317=$A20),--ISNUMBER('Данные 1st'!$LH$2:$LH$317))</f>
        <v>0</v>
      </c>
      <c r="GI20">
        <f>SUMPRODUCT(--('Данные 1st'!$S$2:$S$317=$A20),--ISNUMBER('Данные 1st'!$LI$2:$LI$317))</f>
        <v>0</v>
      </c>
      <c r="GJ20">
        <f>SUMPRODUCT(--('Данные 1st'!$S$2:$S$317=$A20),--ISNUMBER('Данные 1st'!$LJ$2:$LJ$317))</f>
        <v>0</v>
      </c>
      <c r="GK20">
        <f>SUMPRODUCT(--('Данные 1st'!$S$2:$S$317=$A20),--ISNUMBER('Данные 1st'!$LK$2:$LK$317))</f>
        <v>3</v>
      </c>
      <c r="GL20">
        <f>SUMPRODUCT(--('Данные 1st'!$S$2:$S$317=$A20),--ISNUMBER('Данные 1st'!$LV$2:$LV$317))</f>
        <v>0</v>
      </c>
      <c r="GM20">
        <f>SUMPRODUCT(--('Данные 1st'!$S$2:$S$317=$A20),--ISNUMBER('Данные 1st'!$LW$2:$LW$317))</f>
        <v>0</v>
      </c>
      <c r="GN20">
        <f>SUMPRODUCT(--('Данные 1st'!$S$2:$S$317=$A20),--ISNUMBER('Данные 1st'!$LX$2:$LX$317))</f>
        <v>0</v>
      </c>
      <c r="GO20">
        <f>SUMPRODUCT(--('Данные 1st'!$S$2:$S$317=$A20),--ISNUMBER('Данные 1st'!$LY$2:$LY$317))</f>
        <v>0</v>
      </c>
      <c r="GP20">
        <f>SUMPRODUCT(--('Данные 1st'!$S$2:$S$317=$A20),--ISNUMBER('Данные 1st'!$LZ$2:$LZ$317))</f>
        <v>0</v>
      </c>
      <c r="GQ20">
        <f>SUMPRODUCT(--('Данные 1st'!$S$2:$S$317=$A20),--ISNUMBER('Данные 1st'!$PG$2:$PG$317))</f>
        <v>3</v>
      </c>
      <c r="GR20">
        <f>SUMPRODUCT(--('Данные 1st'!$S$2:$S$317=$A20),--ISNUMBER('Данные 1st'!$PX$2:$PX$317))</f>
        <v>3</v>
      </c>
      <c r="GS20">
        <f>SUMPRODUCT(--('Данные 1st'!$S$2:$S$317=$A20),--ISNUMBER('Данные 1st'!$PY$2:$PY$317))</f>
        <v>3</v>
      </c>
      <c r="GT20">
        <f>SUMPRODUCT(--('Данные 1st'!$S$2:$S$317=$A20),--ISNUMBER('Данные 1st'!$QA$2:$QA$317))</f>
        <v>3</v>
      </c>
      <c r="GU20">
        <f>SUMPRODUCT(--('Данные 1st'!$S$2:$S$317=$A20),--ISNUMBER('Данные 1st'!$QB$2:$QB$317))</f>
        <v>3</v>
      </c>
      <c r="GV20">
        <f>SUMPRODUCT(--('Данные 1st'!$S$2:$S$317=$A20),--ISNUMBER('Данные 1st'!$QC$2:$QC$317))</f>
        <v>3</v>
      </c>
      <c r="GW20">
        <f>SUMPRODUCT(--('Данные 1st'!$S$2:$S$317=$A20),--ISNUMBER('Данные 1st'!$QD$2:$QD$317))</f>
        <v>3</v>
      </c>
      <c r="GX20">
        <f>SUMPRODUCT(--('Данные 1st'!$S$2:$S$317=$A20),--ISNUMBER('Данные 1st'!$QF$2:$QF$317))</f>
        <v>3</v>
      </c>
      <c r="GY20">
        <f>SUMPRODUCT(--('Данные 1st'!$S$2:$S$317=$A20),--ISNUMBER('Данные 1st'!$QG$2:$QG$317))</f>
        <v>3</v>
      </c>
      <c r="GZ20">
        <f>SUMPRODUCT(--('Данные 1st'!$S$2:$S$317=$A20),--ISNUMBER('Данные 1st'!$QH$2:$QH$317))</f>
        <v>3</v>
      </c>
      <c r="HA20">
        <f>SUMPRODUCT(--('Данные 1st'!$S$2:$S$317=$A20),--ISNUMBER('Данные 1st'!$QI$2:$QI$317))</f>
        <v>3</v>
      </c>
      <c r="HB20">
        <f>SUMPRODUCT(--('Данные 1st'!$S$2:$S$317=$A20),--ISNUMBER('Данные 1st'!$QK$2:$QK$317))</f>
        <v>0</v>
      </c>
      <c r="HC20">
        <f>SUMPRODUCT(--('Данные 1st'!$S$2:$S$317=$A20),--ISNUMBER('Данные 1st'!$QL$2:$QL$317))</f>
        <v>3</v>
      </c>
      <c r="HD20">
        <f>SUMPRODUCT(--('Данные 1st'!$S$2:$S$317=$A20),--ISNUMBER('Данные 1st'!$QM$2:$QM$317))</f>
        <v>3</v>
      </c>
      <c r="HE20">
        <f>SUMPRODUCT(--('Данные 1st'!$S$2:$S$317=$A20),--ISNUMBER('Данные 1st'!$QN$2:$QN$317))</f>
        <v>3</v>
      </c>
      <c r="HF20">
        <f>SUMPRODUCT(--('Данные 1st'!$S$2:$S$317=$A20),--ISNUMBER('Данные 1st'!$QP$2:$QP$317))</f>
        <v>3</v>
      </c>
      <c r="HG20">
        <f>SUMPRODUCT(--('Данные 1st'!$S$2:$S$317=$A20),--ISNUMBER('Данные 1st'!$QQ$2:$QQ$317))</f>
        <v>3</v>
      </c>
      <c r="HH20">
        <f>SUMPRODUCT(--('Данные 1st'!$S$2:$S$317=$A20),--ISNUMBER('Данные 1st'!$QR$2:$QR$317))</f>
        <v>2</v>
      </c>
      <c r="HI20">
        <f>SUMPRODUCT(--('Данные 1st'!$S$2:$S$317=$A20),--ISNUMBER('Данные 1st'!$QS$2:$QS$317))</f>
        <v>2</v>
      </c>
      <c r="HJ20">
        <f>SUMPRODUCT(--('Данные 1st'!$S$2:$S$317=$A20),--ISNUMBER('Данные 1st'!$QU$2:$QU$317))</f>
        <v>2</v>
      </c>
      <c r="HK20">
        <f>SUMPRODUCT(--('Данные 1st'!$S$2:$S$317=$A20),--ISNUMBER('Данные 1st'!$QV$2:$QV$317))</f>
        <v>2</v>
      </c>
      <c r="HL20">
        <f>SUMPRODUCT(--('Данные 1st'!$S$2:$S$317=$A20),--ISNUMBER('Данные 1st'!$QW$2:$QW$317))</f>
        <v>3</v>
      </c>
      <c r="HM20">
        <f>SUMPRODUCT(--('Данные 1st'!$S$2:$S$317=$A20),--ISNUMBER('Данные 1st'!$QX$2:$QX$317))</f>
        <v>3</v>
      </c>
      <c r="HN20">
        <f>SUMPRODUCT(--('Данные 1st'!$S$2:$S$317=$A20),--ISNUMBER('Данные 1st'!$QZ$2:$QZ$317))</f>
        <v>3</v>
      </c>
      <c r="HO20">
        <f>SUMPRODUCT(--('Данные 1st'!$S$2:$S$317=$A20),--ISNUMBER('Данные 1st'!$RA$2:$RA$317))</f>
        <v>3</v>
      </c>
      <c r="HP20">
        <f>SUMPRODUCT(--('Данные 1st'!$S$2:$S$317=$A20),--ISNUMBER('Данные 1st'!$RB$2:$RB$317))</f>
        <v>3</v>
      </c>
      <c r="HQ20">
        <f>SUMPRODUCT(--('Данные 1st'!$S$2:$S$317=$A20),--ISNUMBER('Данные 1st'!$RD$2:$RD$317))</f>
        <v>0</v>
      </c>
      <c r="HR20">
        <f>SUMPRODUCT(--('Данные 1st'!$S$2:$S$317=$A20),--ISNUMBER('Данные 1st'!$RE$2:$RE$317))</f>
        <v>3</v>
      </c>
      <c r="HS20">
        <f>SUMPRODUCT(--('Данные 1st'!$S$2:$S$317=$A20),--ISNUMBER('Данные 1st'!$RF$2:$RF$317))</f>
        <v>3</v>
      </c>
      <c r="HT20">
        <f>SUMPRODUCT(--('Данные 1st'!$S$2:$S$317=$A20),--ISNUMBER('Данные 1st'!$RG$2:$RG$317))</f>
        <v>0</v>
      </c>
      <c r="HU20">
        <f>SUMPRODUCT(--('Данные 1st'!$S$2:$S$317=$A20),--ISNUMBER('Данные 1st'!$RH$2:$RH$317))</f>
        <v>2</v>
      </c>
      <c r="HV20">
        <f>SUMPRODUCT(--('Данные 1st'!$S$2:$S$317=$A20),--ISNUMBER('Данные 1st'!$RI$2:$RI$317))</f>
        <v>0</v>
      </c>
      <c r="HW20">
        <f>SUMPRODUCT(--('Данные 1st'!$S$2:$S$317=$A20),--ISNUMBER('Данные 1st'!$RJ$2:$RJ$317))</f>
        <v>3</v>
      </c>
      <c r="HX20">
        <f>SUMPRODUCT(--('Данные 1st'!$S$2:$S$317=$A20),--ISNUMBER('Данные 1st'!$RK$2:$RK$317))</f>
        <v>0</v>
      </c>
      <c r="HY20">
        <f>SUMPRODUCT(--('Данные 1st'!$S$2:$S$317=$A20),--ISNUMBER('Данные 1st'!$RL$2:$RL$317))</f>
        <v>3</v>
      </c>
      <c r="HZ20">
        <f>SUMPRODUCT(--('Данные 1st'!$S$2:$S$317=$A20),--ISNUMBER('Данные 1st'!$RM$2:$RM$317))</f>
        <v>2</v>
      </c>
      <c r="IA20">
        <f>SUMPRODUCT(--('Данные 1st'!$S$2:$S$317=$A20),--ISNUMBER('Данные 1st'!$RN$2:$RN$317))</f>
        <v>0</v>
      </c>
      <c r="IB20">
        <f>SUMPRODUCT(--('Данные 1st'!$S$2:$S$317=$A20),--ISNUMBER('Данные 1st'!$RO$2:$RO$317))</f>
        <v>3</v>
      </c>
      <c r="IC20">
        <f>SUMPRODUCT(--('Данные 1st'!$S$2:$S$317=$A20),--ISNUMBER('Данные 1st'!$RP$2:$RP$317))</f>
        <v>0</v>
      </c>
      <c r="ID20">
        <f>SUMPRODUCT(--('Данные 1st'!$S$2:$S$317=$A20),--ISNUMBER('Данные 1st'!$RQ$2:$RQ$317))</f>
        <v>3</v>
      </c>
      <c r="IE20">
        <f>SUMPRODUCT(--('Данные 1st'!$S$2:$S$317=$A20),--ISNUMBER('Данные 1st'!$RR$2:$RR$317))</f>
        <v>2</v>
      </c>
      <c r="IF20">
        <f>SUMPRODUCT(--('Данные 1st'!$S$2:$S$317=$A20),--ISNUMBER('Данные 1st'!$RS$2:$RS$317))</f>
        <v>0</v>
      </c>
      <c r="IG20">
        <f>SUMPRODUCT(--('Данные 1st'!$S$2:$S$317=$A20),--ISNUMBER('Данные 1st'!$RT$2:$RT$317))</f>
        <v>3</v>
      </c>
      <c r="IH20">
        <f>SUMPRODUCT(--('Данные 1st'!$S$2:$S$317=$A20),--ISNUMBER('Данные 1st'!$RU$2:$RU$317))</f>
        <v>3</v>
      </c>
      <c r="II20">
        <f>SUMPRODUCT(--('Данные 1st'!$S$2:$S$317=$A20),--ISNUMBER('Данные 1st'!$RX$2:$RX$317))</f>
        <v>3</v>
      </c>
      <c r="IJ20">
        <f>SUMPRODUCT(--('Данные 1st'!$S$2:$S$317=$A20),--ISNUMBER('Данные 1st'!$RY$2:$RY$317))</f>
        <v>3</v>
      </c>
      <c r="IK20">
        <f>SUMPRODUCT(--('Данные 1st'!$S$2:$S$317=$A20),--ISNUMBER('Данные 1st'!$SA$2:$SA$317))</f>
        <v>3</v>
      </c>
      <c r="IL20">
        <f>SUMPRODUCT(--('Данные 1st'!$S$2:$S$317=$A20),--ISNUMBER('Данные 1st'!$SD$2:$SD$317))</f>
        <v>3</v>
      </c>
      <c r="IM20">
        <f>SUMPRODUCT(--('Данные 1st'!$S$2:$S$317=$A20),--ISNUMBER('Данные 1st'!$SG$2:$SG$317))</f>
        <v>2</v>
      </c>
      <c r="IN20">
        <f>SUMPRODUCT(--('Данные 1st'!$S$2:$S$317=$A20),--ISNUMBER('Данные 1st'!$SH$2:$SH$317))</f>
        <v>3</v>
      </c>
      <c r="IO20">
        <f>SUMPRODUCT(--('Данные 1st'!$S$2:$S$317=$A20),--ISNUMBER('Данные 1st'!$SI$2:$SI$317))</f>
        <v>3</v>
      </c>
      <c r="IP20">
        <f>SUMPRODUCT(--('Данные 1st'!$S$2:$S$317=$A20),--ISNUMBER('Данные 1st'!$SJ$2:$SJ$317))</f>
        <v>3</v>
      </c>
      <c r="IQ20">
        <f>SUMPRODUCT(--('Данные 1st'!$S$2:$S$317=$A20),--ISNUMBER('Данные 1st'!$SK$2:$SK$317))</f>
        <v>3</v>
      </c>
      <c r="IR20">
        <f>SUMPRODUCT(--('Данные 1st'!$S$2:$S$317=$A20),--ISNUMBER('Данные 1st'!$SL$2:$SL$317))</f>
        <v>3</v>
      </c>
      <c r="IS20">
        <f>SUMPRODUCT(--('Данные 1st'!$S$2:$S$317=$A20),--ISNUMBER('Данные 1st'!$SM$2:$SM$317))</f>
        <v>3</v>
      </c>
      <c r="IT20">
        <f>SUMPRODUCT(--('Данные 1st'!$S$2:$S$317=$A20),--ISNUMBER('Данные 1st'!$SN$2:$SN$317))</f>
        <v>3</v>
      </c>
      <c r="IU20">
        <f>SUMPRODUCT(--('Данные 1st'!$S$2:$S$317=$A20),--ISNUMBER('Данные 1st'!$SO$2:$SO$317))</f>
        <v>3</v>
      </c>
      <c r="IV20">
        <f>SUMPRODUCT(--('Данные 1st'!$S$2:$S$317=$A20),--ISNUMBER('Данные 1st'!$SP$2:$SP$317))</f>
        <v>3</v>
      </c>
      <c r="IW20">
        <f>SUMPRODUCT(--('Данные 1st'!$S$2:$S$317=$A20),--ISNUMBER('Данные 1st'!$SQ$2:$SQ$317))</f>
        <v>3</v>
      </c>
      <c r="IX20">
        <f>SUMPRODUCT(--('Данные 1st'!$S$2:$S$317=$A20),--ISNUMBER('Данные 1st'!$SR$2:$SR$317))</f>
        <v>3</v>
      </c>
      <c r="IY20">
        <f>SUMPRODUCT(--('Данные 1st'!$S$2:$S$317=$A20),--ISNUMBER('Данные 1st'!$SS$2:$SS$317))</f>
        <v>3</v>
      </c>
      <c r="IZ20">
        <f>SUMPRODUCT(--('Данные 1st'!$S$2:$S$317=$A20),--ISNUMBER('Данные 1st'!$ST$2:$ST$317))</f>
        <v>3</v>
      </c>
      <c r="JA20">
        <f>SUMPRODUCT(--('Данные 1st'!$S$2:$S$317=$A20),--ISNUMBER('Данные 1st'!$SU$2:$SU$317))</f>
        <v>3</v>
      </c>
      <c r="JB20">
        <f>SUMPRODUCT(--('Данные 1st'!$S$2:$S$317=$A20),--ISNUMBER('Данные 1st'!$SV$2:$SV$317))</f>
        <v>3</v>
      </c>
      <c r="JC20">
        <f>SUMPRODUCT(--('Данные 1st'!$S$2:$S$317=$A20),--ISNUMBER('Данные 1st'!$SW$2:$SW$317))</f>
        <v>3</v>
      </c>
      <c r="JD20">
        <f>SUMPRODUCT(--('Данные 1st'!$S$2:$S$317=$A20),--ISNUMBER('Данные 1st'!$SX$2:$SX$317))</f>
        <v>3</v>
      </c>
      <c r="JE20">
        <f>SUMPRODUCT(--('Данные 1st'!$S$2:$S$317=$A20),--ISNUMBER('Данные 1st'!$SY$2:$SY$317))</f>
        <v>0</v>
      </c>
      <c r="JF20">
        <f>SUMPRODUCT(--('Данные 1st'!$S$2:$S$317=$A20),--ISNUMBER('Данные 1st'!$SZ$2:$SZ$317))</f>
        <v>2</v>
      </c>
      <c r="JG20">
        <f>SUMPRODUCT(--('Данные 1st'!$S$2:$S$317=$A20),--ISNUMBER('Данные 1st'!$TA$2:$TA$317))</f>
        <v>0</v>
      </c>
      <c r="JH20">
        <f>SUMPRODUCT(--('Данные 1st'!$S$2:$S$317=$A20),--ISNUMBER('Данные 1st'!$TB$2:$TB$317))</f>
        <v>3</v>
      </c>
      <c r="JI20">
        <f>SUMPRODUCT(--('Данные 1st'!$S$2:$S$317=$A20),--ISNUMBER('Данные 1st'!$TC$2:$TC$317))</f>
        <v>3</v>
      </c>
      <c r="JJ20">
        <f>SUMPRODUCT(--('Данные 1st'!$S$2:$S$317=$A20),--ISNUMBER('Данные 1st'!$TD$2:$TD$317))</f>
        <v>3</v>
      </c>
      <c r="JK20">
        <f>SUMPRODUCT(--('Данные 1st'!$S$2:$S$317=$A20),--ISNUMBER('Данные 1st'!$TN$2:$TN$317))</f>
        <v>3</v>
      </c>
      <c r="JQ20">
        <f>SUMPRODUCT(--('Данные 2st'!$Q$2:$Q$317=$A20),--ISNUMBER('Данные 2st'!$AC$2:$AC$317))</f>
        <v>3</v>
      </c>
      <c r="JR20">
        <f>SUMPRODUCT(--('Данные 2st'!$Q$2:$Q$317=$A20),--ISNUMBER('Данные 2st'!$AF$2:$AF$317))</f>
        <v>3</v>
      </c>
      <c r="JS20">
        <f>SUMPRODUCT(--('Данные 2st'!$Q$2:$Q$317=$A20),--ISNUMBER('Данные 2st'!$AW$2:$AW$317))</f>
        <v>3</v>
      </c>
      <c r="JT20">
        <f>SUMPRODUCT(--('Данные 2st'!$Q$2:$Q$317=$A20),--ISNUMBER('Данные 2st'!$AX$2:$AX$317))</f>
        <v>3</v>
      </c>
      <c r="JU20">
        <f>SUMPRODUCT(--('Данные 2st'!$Q$2:$Q$317=$A20),--ISNUMBER('Данные 2st'!$AY$2:$AY$317))</f>
        <v>3</v>
      </c>
      <c r="JV20">
        <f>SUMPRODUCT(--('Данные 2st'!$Q$2:$Q$317=$A20),--ISNUMBER('Данные 2st'!$AZ$2:$AZ$317))</f>
        <v>3</v>
      </c>
      <c r="JW20">
        <f>SUMPRODUCT(--('Данные 2st'!$Q$2:$Q$317=$A20),--ISNUMBER('Данные 2st'!$BA$2:$BA$317))</f>
        <v>0</v>
      </c>
      <c r="JX20">
        <f>SUMPRODUCT(--('Данные 2st'!$Q$2:$Q$317=$A20),--ISNUMBER('Данные 2st'!$BB$2:$BB$317))</f>
        <v>0</v>
      </c>
      <c r="JY20">
        <f>SUMPRODUCT(--('Данные 2st'!$Q$2:$Q$317=$A20),--ISNUMBER('Данные 2st'!$BC$2:$BC$317))</f>
        <v>0</v>
      </c>
      <c r="JZ20">
        <f>SUMPRODUCT(--('Данные 2st'!$Q$2:$Q$317=$A20),--ISNUMBER('Данные 2st'!$BH$2:$BH$317))</f>
        <v>3</v>
      </c>
      <c r="KA20">
        <f>SUMPRODUCT(--('Данные 2st'!$Q$2:$Q$317=$A20),--ISNUMBER('Данные 2st'!$BI$2:$BI$317))</f>
        <v>3</v>
      </c>
      <c r="KB20">
        <f>SUMPRODUCT(--('Данные 2st'!$Q$2:$Q$317=$A20),--ISNUMBER('Данные 2st'!$BJ$2:$BJ$317))</f>
        <v>3</v>
      </c>
      <c r="KC20">
        <f>SUMPRODUCT(--('Данные 2st'!$Q$2:$Q$317=$A20),--ISNUMBER('Данные 2st'!$BK$2:$BK$317))</f>
        <v>3</v>
      </c>
      <c r="KD20">
        <f>SUMPRODUCT(--('Данные 2st'!$Q$2:$Q$317=$A20),--ISNUMBER('Данные 2st'!$BL$2:$BL$317))</f>
        <v>3</v>
      </c>
      <c r="KE20">
        <f>SUMPRODUCT(--('Данные 2st'!$Q$2:$Q$317=$A20),--ISNUMBER('Данные 2st'!$BM$2:$BM$317))</f>
        <v>3</v>
      </c>
      <c r="KF20">
        <f>SUMPRODUCT(--('Данные 2st'!$Q$2:$Q$317=$A20),--ISNUMBER('Данные 2st'!$BN$2:$BN$317))</f>
        <v>3</v>
      </c>
      <c r="KG20">
        <f>SUMPRODUCT(--('Данные 2st'!$Q$2:$Q$317=$A20),--ISNUMBER('Данные 2st'!$BO$2:$BO$317))</f>
        <v>0</v>
      </c>
      <c r="KH20">
        <f>SUMPRODUCT(--('Данные 2st'!$Q$2:$Q$317=$A20),--ISNUMBER('Данные 2st'!$BP$2:$BP$317))</f>
        <v>3</v>
      </c>
      <c r="KI20">
        <f>SUMPRODUCT(--('Данные 2st'!$Q$2:$Q$317=$A20),--ISNUMBER('Данные 2st'!$BR$2:$BR$317))</f>
        <v>3</v>
      </c>
      <c r="KJ20">
        <f>SUMPRODUCT(--('Данные 2st'!$Q$2:$Q$317=$A20),--ISNUMBER('Данные 2st'!$BS$2:$BS$317))</f>
        <v>3</v>
      </c>
      <c r="KK20">
        <f>SUMPRODUCT(--('Данные 2st'!$Q$2:$Q$317=$A20),--ISNUMBER('Данные 2st'!$BT$2:$BT$317))</f>
        <v>3</v>
      </c>
      <c r="KL20">
        <f>SUMPRODUCT(--('Данные 2st'!$Q$2:$Q$317=$A20),--ISNUMBER('Данные 2st'!$CV$2:$CV$317))</f>
        <v>3</v>
      </c>
      <c r="KM20">
        <f>SUMPRODUCT(--('Данные 2st'!$Q$2:$Q$317=$A20),--ISNUMBER('Данные 2st'!$CW$2:$CW$317))</f>
        <v>3</v>
      </c>
      <c r="KN20">
        <f>SUMPRODUCT(--('Данные 2st'!$Q$2:$Q$317=$A20),--ISNUMBER('Данные 2st'!$CX$2:$CX$317))</f>
        <v>3</v>
      </c>
      <c r="KO20">
        <f>SUMPRODUCT(--('Данные 2st'!$Q$2:$Q$317=$A20),--ISNUMBER('Данные 2st'!$CY$2:$CY$317))</f>
        <v>3</v>
      </c>
      <c r="KP20">
        <f>SUMPRODUCT(--('Данные 2st'!$Q$2:$Q$317=$A20),--ISNUMBER('Данные 2st'!$CZ$2:$CZ$317))</f>
        <v>3</v>
      </c>
      <c r="KQ20">
        <f>SUMPRODUCT(--('Данные 2st'!$Q$2:$Q$317=$A20),--ISNUMBER('Данные 2st'!$DA$2:$DA$317))</f>
        <v>3</v>
      </c>
      <c r="KR20">
        <f>SUMPRODUCT(--('Данные 2st'!$Q$2:$Q$317=$A20),--ISNUMBER('Данные 2st'!$DB$2:$DB$317))</f>
        <v>3</v>
      </c>
      <c r="KS20">
        <f>SUMPRODUCT(--('Данные 2st'!$Q$2:$Q$317=$A20),--ISNUMBER('Данные 2st'!$DC$2:$DC$317))</f>
        <v>3</v>
      </c>
      <c r="KT20">
        <f>SUMPRODUCT(--('Данные 2st'!$Q$2:$Q$317=$A20),--ISNUMBER('Данные 2st'!$DD$2:$DD$317))</f>
        <v>3</v>
      </c>
      <c r="KU20">
        <f>SUMPRODUCT(--('Данные 2st'!$Q$2:$Q$317=$A20),--ISNUMBER('Данные 2st'!$DE$2:$DE$317))</f>
        <v>3</v>
      </c>
      <c r="KV20">
        <f>SUMPRODUCT(--('Данные 2st'!$Q$2:$Q$317=$A20),--ISNUMBER('Данные 2st'!$DF$2:$DF$317))</f>
        <v>3</v>
      </c>
      <c r="KW20">
        <f>SUMPRODUCT(--('Данные 2st'!$Q$2:$Q$317=$A20),--ISNUMBER('Данные 2st'!$DG$2:$DG$317))</f>
        <v>3</v>
      </c>
      <c r="KX20">
        <f>SUMPRODUCT(--('Данные 2st'!$Q$2:$Q$317=$A20),--ISNUMBER('Данные 2st'!$DH$2:$DH$317))</f>
        <v>0</v>
      </c>
      <c r="KY20">
        <f>SUMPRODUCT(--('Данные 2st'!$Q$2:$Q$317=$A20),--ISNUMBER('Данные 2st'!$DI$2:$DI$317))</f>
        <v>0</v>
      </c>
      <c r="KZ20">
        <f>SUMPRODUCT(--('Данные 2st'!$Q$2:$Q$317=$A20),--ISNUMBER('Данные 2st'!$DK$2:$DK$317))</f>
        <v>3</v>
      </c>
      <c r="LA20">
        <f>SUMPRODUCT(--('Данные 2st'!$Q$2:$Q$317=$A20),--ISNUMBER('Данные 2st'!$DM$2:$DM$317))</f>
        <v>3</v>
      </c>
      <c r="LB20">
        <f>SUMPRODUCT(--('Данные 2st'!$Q$2:$Q$317=$A20),--ISNUMBER('Данные 2st'!$DN$2:$DN$317))</f>
        <v>3</v>
      </c>
      <c r="LC20">
        <f>SUMPRODUCT(--('Данные 2st'!$Q$2:$Q$317=$A20),--ISNUMBER('Данные 2st'!$DO$2:$DO$317))</f>
        <v>3</v>
      </c>
      <c r="LD20">
        <f>SUMPRODUCT(--('Данные 2st'!$Q$2:$Q$317=$A20),--ISNUMBER('Данные 2st'!$DP$2:$DP$317))</f>
        <v>3</v>
      </c>
      <c r="LE20">
        <f>SUMPRODUCT(--('Данные 2st'!$Q$2:$Q$317=$A20),--ISNUMBER('Данные 2st'!$DQ$2:$DQ$317))</f>
        <v>3</v>
      </c>
      <c r="LF20">
        <f>SUMPRODUCT(--('Данные 2st'!$Q$2:$Q$317=$A20),--ISNUMBER('Данные 2st'!$DS$2:$DS$317))</f>
        <v>3</v>
      </c>
      <c r="LG20">
        <f>SUMPRODUCT(--('Данные 2st'!$Q$2:$Q$317=$A20),--ISNUMBER('Данные 2st'!$DU$2:$DU$317))</f>
        <v>3</v>
      </c>
      <c r="LH20">
        <f>SUMPRODUCT(--('Данные 2st'!$Q$2:$Q$317=$A20),--ISNUMBER('Данные 2st'!$DV$2:$DV$317))</f>
        <v>3</v>
      </c>
      <c r="LI20">
        <f>SUMPRODUCT(--('Данные 2st'!$Q$2:$Q$317=$A20),--ISNUMBER('Данные 2st'!$DW$2:$DW$317))</f>
        <v>3</v>
      </c>
      <c r="LJ20">
        <f>SUMPRODUCT(--('Данные 2st'!$Q$2:$Q$317=$A20),--ISNUMBER('Данные 2st'!$DX$2:$DX$317))</f>
        <v>3</v>
      </c>
      <c r="LK20">
        <f>SUMPRODUCT(--('Данные 2st'!$Q$2:$Q$317=$A20),--ISNUMBER('Данные 2st'!$DY$2:$DY$317))</f>
        <v>3</v>
      </c>
      <c r="LL20">
        <f>SUMPRODUCT(--('Данные 2st'!$Q$2:$Q$317=$A20),--ISNUMBER('Данные 2st'!$EA$2:$EA$317))</f>
        <v>3</v>
      </c>
      <c r="LM20">
        <f>SUMPRODUCT(--('Данные 2st'!$Q$2:$Q$317=$A20),--ISNUMBER('Данные 2st'!$EC$2:$EC$317))</f>
        <v>3</v>
      </c>
      <c r="LN20">
        <f>SUMPRODUCT(--('Данные 2st'!$Q$2:$Q$317=$A20),--ISNUMBER('Данные 2st'!$ED$2:$ED$317))</f>
        <v>3</v>
      </c>
      <c r="LO20">
        <f>SUMPRODUCT(--('Данные 2st'!$Q$2:$Q$317=$A20),--ISNUMBER('Данные 2st'!$EE$2:$EE$317))</f>
        <v>3</v>
      </c>
      <c r="LP20">
        <f>SUMPRODUCT(--('Данные 2st'!$Q$2:$Q$317=$A20),--ISNUMBER('Данные 2st'!$EG$2:$EG$317))</f>
        <v>3</v>
      </c>
      <c r="LQ20">
        <f>SUMPRODUCT(--('Данные 2st'!$Q$2:$Q$317=$A20),--ISNUMBER('Данные 2st'!$EI$2:$EI$317))</f>
        <v>3</v>
      </c>
      <c r="LR20">
        <f>SUMPRODUCT(--('Данные 2st'!$Q$2:$Q$317=$A20),--ISNUMBER('Данные 2st'!$EJ$2:$EJ$317))</f>
        <v>2</v>
      </c>
      <c r="LS20">
        <f>SUMPRODUCT(--('Данные 2st'!$Q$2:$Q$317=$A20),--ISNUMBER('Данные 2st'!$EK$2:$EK$317))</f>
        <v>2</v>
      </c>
      <c r="LT20">
        <f>SUMPRODUCT(--('Данные 2st'!$Q$2:$Q$317=$A20),--ISNUMBER('Данные 2st'!$EM$2:$EM$317))</f>
        <v>3</v>
      </c>
      <c r="LU20">
        <f>SUMPRODUCT(--('Данные 2st'!$Q$2:$Q$317=$A20),--ISNUMBER('Данные 2st'!$EN$2:$EN$317))</f>
        <v>3</v>
      </c>
      <c r="LV20">
        <f>SUMPRODUCT(--('Данные 2st'!$Q$2:$Q$317=$A20),--ISNUMBER('Данные 2st'!$EO$2:$EO$317))</f>
        <v>3</v>
      </c>
      <c r="LW20">
        <f>SUMPRODUCT(--('Данные 2st'!$Q$2:$Q$317=$A20),--ISNUMBER('Данные 2st'!$EP$2:$EP$317))</f>
        <v>3</v>
      </c>
      <c r="LX20">
        <f>SUMPRODUCT(--('Данные 2st'!$Q$2:$Q$317=$A20),--ISNUMBER('Данные 2st'!$EQ$2:$EQ$317))</f>
        <v>3</v>
      </c>
      <c r="LY20">
        <f>SUMPRODUCT(--('Данные 2st'!$Q$2:$Q$317=$A20),--ISNUMBER('Данные 2st'!$ER$2:$ER$317))</f>
        <v>3</v>
      </c>
      <c r="LZ20">
        <f>SUMPRODUCT(--('Данные 2st'!$Q$2:$Q$317=$A20),--ISNUMBER('Данные 2st'!$ES$2:$ES$317))</f>
        <v>3</v>
      </c>
      <c r="MA20">
        <f>SUMPRODUCT(--('Данные 2st'!$Q$2:$Q$317=$A20),--ISNUMBER('Данные 2st'!$ET$2:$ET$317))</f>
        <v>3</v>
      </c>
      <c r="MB20">
        <f>SUMPRODUCT(--('Данные 2st'!$Q$2:$Q$317=$A20),--ISNUMBER('Данные 2st'!$EU$2:$EU$317))</f>
        <v>3</v>
      </c>
      <c r="MC20">
        <f>SUMPRODUCT(--('Данные 2st'!$Q$2:$Q$317=$A20),--ISNUMBER('Данные 2st'!$EV$2:$EV$317))</f>
        <v>3</v>
      </c>
      <c r="MD20">
        <f>SUMPRODUCT(--('Данные 2st'!$Q$2:$Q$317=$A20),--ISNUMBER('Данные 2st'!$EW$2:$EW$317))</f>
        <v>3</v>
      </c>
      <c r="ME20">
        <f>SUMPRODUCT(--('Данные 2st'!$Q$2:$Q$317=$A20),--ISNUMBER('Данные 2st'!$EY$2:$EY$317))</f>
        <v>3</v>
      </c>
      <c r="MF20">
        <f>SUMPRODUCT(--('Данные 2st'!$Q$2:$Q$317=$A20),--ISNUMBER('Данные 2st'!$FA$2:$FA$317))</f>
        <v>3</v>
      </c>
      <c r="MG20">
        <f>SUMPRODUCT(--('Данные 2st'!$Q$2:$Q$317=$A20),--ISNUMBER('Данные 2st'!$FB$2:$FB$317))</f>
        <v>3</v>
      </c>
      <c r="MH20">
        <f>SUMPRODUCT(--('Данные 2st'!$Q$2:$Q$317=$A20),--ISNUMBER('Данные 2st'!$FC$2:$FC$317))</f>
        <v>3</v>
      </c>
      <c r="MI20">
        <f>SUMPRODUCT(--('Данные 2st'!$Q$2:$Q$317=$A20),--ISNUMBER('Данные 2st'!$FD$2:$FD$317))</f>
        <v>3</v>
      </c>
      <c r="MJ20">
        <f>SUMPRODUCT(--('Данные 2st'!$Q$2:$Q$317=$A20),--ISNUMBER('Данные 2st'!$FE$2:$FE$317))</f>
        <v>3</v>
      </c>
      <c r="MK20">
        <f>SUMPRODUCT(--('Данные 2st'!$Q$2:$Q$317=$A20),--ISNUMBER('Данные 2st'!$FG$2:$FG$317))</f>
        <v>3</v>
      </c>
      <c r="ML20">
        <f>SUMPRODUCT(--('Данные 2st'!$Q$2:$Q$317=$A20),--ISNUMBER('Данные 2st'!$FI$2:$FI$317))</f>
        <v>3</v>
      </c>
      <c r="MM20">
        <f>SUMPRODUCT(--('Данные 2st'!$Q$2:$Q$317=$A20),--ISNUMBER('Данные 2st'!$FJ$2:$FJ$317))</f>
        <v>3</v>
      </c>
      <c r="MN20">
        <f>SUMPRODUCT(--('Данные 2st'!$Q$2:$Q$317=$A20),--ISNUMBER('Данные 2st'!$FK$2:$FK$317))</f>
        <v>3</v>
      </c>
      <c r="MO20">
        <f>SUMPRODUCT(--('Данные 2st'!$Q$2:$Q$317=$A20),--ISNUMBER('Данные 2st'!$FP$2:$FP$317))</f>
        <v>3</v>
      </c>
      <c r="MP20">
        <f>SUMPRODUCT(--('Данные 2st'!$Q$2:$Q$317=$A20),--ISNUMBER('Данные 2st'!$FQ$2:$FQ$317))</f>
        <v>3</v>
      </c>
      <c r="MQ20">
        <f>SUMPRODUCT(--('Данные 2st'!$Q$2:$Q$317=$A20),--ISNUMBER('Данные 2st'!$FS$2:$FS$317))</f>
        <v>3</v>
      </c>
      <c r="MR20">
        <f>SUMPRODUCT(--('Данные 2st'!$Q$2:$Q$317=$A20),--ISNUMBER('Данные 2st'!$FU$2:$FU$317))</f>
        <v>3</v>
      </c>
      <c r="MS20">
        <f>SUMPRODUCT(--('Данные 2st'!$Q$2:$Q$317=$A20),--ISNUMBER('Данные 2st'!$FV$2:$FV$317))</f>
        <v>3</v>
      </c>
      <c r="MT20">
        <f>SUMPRODUCT(--('Данные 2st'!$Q$2:$Q$317=$A20),--ISNUMBER('Данные 2st'!$FW$2:$FW$317))</f>
        <v>3</v>
      </c>
      <c r="MU20">
        <f>SUMPRODUCT(--('Данные 2st'!$Q$2:$Q$317=$A20),--ISNUMBER('Данные 2st'!$FY$2:$FY$317))</f>
        <v>2</v>
      </c>
      <c r="MV20">
        <f>SUMPRODUCT(--('Данные 2st'!$Q$2:$Q$317=$A20),--ISNUMBER('Данные 2st'!$GB$2:$GB$317))</f>
        <v>2</v>
      </c>
      <c r="MW20">
        <f>SUMPRODUCT(--('Данные 2st'!$Q$2:$Q$317=$A20),--ISNUMBER('Данные 2st'!$GC$2:$GC$317))</f>
        <v>2</v>
      </c>
      <c r="MX20">
        <f>SUMPRODUCT(--('Данные 2st'!$Q$2:$Q$317=$A20),--ISNUMBER('Данные 2st'!$GD$2:$GD$317))</f>
        <v>3</v>
      </c>
      <c r="MY20">
        <f>SUMPRODUCT(--('Данные 2st'!$Q$2:$Q$317=$A20),--ISNUMBER('Данные 2st'!$GN$2:$GN$317))</f>
        <v>0</v>
      </c>
      <c r="MZ20">
        <f>SUMPRODUCT(--('Данные 2st'!$Q$2:$Q$317=$A20),--ISNUMBER('Данные 2st'!$GQ$2:$GQ$317))</f>
        <v>3</v>
      </c>
      <c r="NA20">
        <f>SUMPRODUCT(--('Данные 2st'!$Q$2:$Q$317=$A20),--ISNUMBER('Данные 2st'!$GV$2:$GV$317))</f>
        <v>3</v>
      </c>
      <c r="NB20">
        <f>SUMPRODUCT(--('Данные 2st'!$Q$2:$Q$317=$A20),--ISNUMBER('Данные 2st'!$GW$2:$GW$317))</f>
        <v>3</v>
      </c>
      <c r="NC20">
        <f>SUMPRODUCT(--('Данные 2st'!$Q$2:$Q$317=$A20),--ISNUMBER('Данные 2st'!$GX$2:$GX$317))</f>
        <v>3</v>
      </c>
      <c r="ND20">
        <f>SUMPRODUCT(--('Данные 2st'!$Q$2:$Q$317=$A20),--ISNUMBER('Данные 2st'!$GY$2:$GY$317))</f>
        <v>3</v>
      </c>
      <c r="NE20">
        <f>SUMPRODUCT(--('Данные 2st'!$Q$2:$Q$317=$A20),--ISNUMBER('Данные 2st'!$GZ$2:$GZ$317))</f>
        <v>3</v>
      </c>
      <c r="NF20">
        <f>SUMPRODUCT(--('Данные 2st'!$Q$2:$Q$317=$A20),--ISNUMBER('Данные 2st'!$HA$2:$HA$317))</f>
        <v>3</v>
      </c>
      <c r="NG20">
        <f>SUMPRODUCT(--('Данные 2st'!$Q$2:$Q$317=$A20),--ISNUMBER('Данные 2st'!$HB$2:$HB$317))</f>
        <v>3</v>
      </c>
      <c r="NH20">
        <f>SUMPRODUCT(--('Данные 2st'!$Q$2:$Q$317=$A20),--ISNUMBER('Данные 2st'!$HC$2:$HC$317))</f>
        <v>3</v>
      </c>
      <c r="NI20">
        <f>SUMPRODUCT(--('Данные 2st'!$Q$2:$Q$317=$A20),--ISNUMBER('Данные 2st'!$HD$2:$HD$317))</f>
        <v>3</v>
      </c>
      <c r="NJ20">
        <f>SUMPRODUCT(--('Данные 2st'!$Q$2:$Q$317=$A20),--ISNUMBER('Данные 2st'!$HM$2:$HM$317))</f>
        <v>3</v>
      </c>
      <c r="NK20">
        <f>SUMPRODUCT(--('Данные 2st'!$Q$2:$Q$317=$A20),--ISNUMBER('Данные 2st'!$HR$2:$HR$317))</f>
        <v>3</v>
      </c>
      <c r="NL20">
        <f>SUMPRODUCT(--('Данные 2st'!$Q$2:$Q$317=$A20),--ISNUMBER('Данные 2st'!$HS$2:$HS$317))</f>
        <v>3</v>
      </c>
      <c r="NM20">
        <f>SUMPRODUCT(--('Данные 2st'!$Q$2:$Q$317=$A20),--ISNUMBER('Данные 2st'!$HT$2:$HT$317))</f>
        <v>3</v>
      </c>
      <c r="NN20">
        <f>SUMPRODUCT(--('Данные 2st'!$Q$2:$Q$317=$A20),--ISNUMBER('Данные 2st'!$HY$2:$HY$317))</f>
        <v>3</v>
      </c>
      <c r="NO20">
        <f>SUMPRODUCT(--('Данные 2st'!$Q$2:$Q$317=$A20),--ISNUMBER('Данные 2st'!$HZ$2:$HZ$317))</f>
        <v>3</v>
      </c>
      <c r="NP20">
        <f>SUMPRODUCT(--('Данные 2st'!$Q$2:$Q$317=$A20),--ISNUMBER('Данные 2st'!$IA$2:$IA$317))</f>
        <v>3</v>
      </c>
      <c r="NQ20">
        <f>SUMPRODUCT(--('Данные 2st'!$Q$2:$Q$317=$A20),--ISNUMBER('Данные 2st'!$IB$2:$IB$317))</f>
        <v>3</v>
      </c>
      <c r="NR20">
        <f>SUMPRODUCT(--('Данные 2st'!$Q$2:$Q$317=$A20),--ISNUMBER('Данные 2st'!$IC$2:$IC$317))</f>
        <v>0</v>
      </c>
      <c r="NS20">
        <f>SUMPRODUCT(--('Данные 2st'!$Q$2:$Q$317=$A20),--ISNUMBER('Данные 2st'!$ID$2:$ID$317))</f>
        <v>3</v>
      </c>
      <c r="NT20">
        <f>SUMPRODUCT(--('Данные 2st'!$Q$2:$Q$317=$A20),--ISNUMBER('Данные 2st'!$IE$2:$IE$317))</f>
        <v>3</v>
      </c>
      <c r="NU20">
        <f>SUMPRODUCT(--('Данные 2st'!$Q$2:$Q$317=$A20),--ISNUMBER('Данные 2st'!$IF$2:$IF$317))</f>
        <v>3</v>
      </c>
      <c r="NV20">
        <f>SUMPRODUCT(--('Данные 2st'!$Q$2:$Q$317=$A20),--ISNUMBER('Данные 2st'!$IG$2:$IG$317))</f>
        <v>3</v>
      </c>
      <c r="NW20">
        <f>SUMPRODUCT(--('Данные 2st'!$Q$2:$Q$317=$A20),--ISNUMBER('Данные 2st'!$IH$2:$IH$317))</f>
        <v>3</v>
      </c>
      <c r="NX20">
        <f>SUMPRODUCT(--('Данные 2st'!$Q$2:$Q$317=$A20),--ISNUMBER('Данные 2st'!$IJ$2:$IJ$317))</f>
        <v>3</v>
      </c>
      <c r="NY20">
        <f>SUMPRODUCT(--('Данные 2st'!$Q$2:$Q$317=$A20),--ISNUMBER('Данные 2st'!$IM$2:$IM$317))</f>
        <v>3</v>
      </c>
      <c r="NZ20">
        <f>SUMPRODUCT(--('Данные 2st'!$Q$2:$Q$317=$A20),--ISNUMBER('Данные 2st'!$IN$2:$IN$317))</f>
        <v>3</v>
      </c>
      <c r="OA20">
        <f>SUMPRODUCT(--('Данные 2st'!$Q$2:$Q$317=$A20),--ISNUMBER('Данные 2st'!$IO$2:$IO$317))</f>
        <v>3</v>
      </c>
      <c r="OB20">
        <f>SUMPRODUCT(--('Данные 2st'!$Q$2:$Q$317=$A20),--ISNUMBER('Данные 2st'!$IP$2:$IP$317))</f>
        <v>3</v>
      </c>
      <c r="OC20">
        <f>SUMPRODUCT(--('Данные 2st'!$Q$2:$Q$317=$A20),--ISNUMBER('Данные 2st'!$IQ$2:$IQ$317))</f>
        <v>3</v>
      </c>
      <c r="OD20">
        <f>SUMPRODUCT(--('Данные 2st'!$Q$2:$Q$317=$A20),--ISNUMBER('Данные 2st'!$IR$2:$IR$317))</f>
        <v>3</v>
      </c>
      <c r="OE20">
        <f>SUMPRODUCT(--('Данные 2st'!$Q$2:$Q$317=$A20),--ISNUMBER('Данные 2st'!$IT$2:$IT$317))</f>
        <v>3</v>
      </c>
      <c r="OF20">
        <f>SUMPRODUCT(--('Данные 2st'!$Q$2:$Q$317=$A20),--ISNUMBER('Данные 2st'!$IU$2:$IU$317))</f>
        <v>3</v>
      </c>
      <c r="OG20">
        <f>SUMPRODUCT(--('Данные 2st'!$Q$2:$Q$317=$A20),--ISNUMBER('Данные 2st'!$IV$2:$IV$317))</f>
        <v>3</v>
      </c>
      <c r="OH20">
        <f>SUMPRODUCT(--('Данные 2st'!$Q$2:$Q$317=$A20),--ISNUMBER('Данные 2st'!$IW$2:$IW$317))</f>
        <v>3</v>
      </c>
      <c r="OI20">
        <f>SUMPRODUCT(--('Данные 2st'!$Q$2:$Q$317=$A20),--ISNUMBER('Данные 2st'!$IX$2:$IX$317))</f>
        <v>3</v>
      </c>
      <c r="OJ20">
        <f>SUMPRODUCT(--('Данные 2st'!$Q$2:$Q$317=$A20),--ISNUMBER('Данные 2st'!$IY$2:$IY$317))</f>
        <v>3</v>
      </c>
      <c r="OK20">
        <f>SUMPRODUCT(--('Данные 2st'!$Q$2:$Q$317=$A20),--ISNUMBER('Данные 2st'!$IZ$2:$IZ$317))</f>
        <v>3</v>
      </c>
      <c r="OL20">
        <f>SUMPRODUCT(--('Данные 2st'!$Q$2:$Q$317=$A20),--ISNUMBER('Данные 2st'!$JA$2:$JA$317))</f>
        <v>3</v>
      </c>
      <c r="OM20">
        <f>SUMPRODUCT(--('Данные 2st'!$Q$2:$Q$317=$A20),--ISNUMBER('Данные 2st'!$JB$2:$JB$317))</f>
        <v>3</v>
      </c>
      <c r="ON20">
        <f>SUMPRODUCT(--('Данные 2st'!$Q$2:$Q$317=$A20),--ISNUMBER('Данные 2st'!$JC$2:$JC$317))</f>
        <v>3</v>
      </c>
      <c r="OO20">
        <f>SUMPRODUCT(--('Данные 2st'!$Q$2:$Q$317=$A20),--ISNUMBER('Данные 2st'!$JD$2:$JD$317))</f>
        <v>3</v>
      </c>
      <c r="OP20">
        <f>SUMPRODUCT(--('Данные 2st'!$Q$2:$Q$317=$A20),--ISNUMBER('Данные 2st'!$JE$2:$JE$317))</f>
        <v>3</v>
      </c>
      <c r="OQ20">
        <f>SUMPRODUCT(--('Данные 2st'!$Q$2:$Q$317=$A20),--ISNUMBER('Данные 2st'!$JF$2:$JF$317))</f>
        <v>3</v>
      </c>
      <c r="OR20">
        <f>SUMPRODUCT(--('Данные 2st'!$Q$2:$Q$317=$A20),--ISNUMBER('Данные 2st'!$JG$2:$JG$317))</f>
        <v>3</v>
      </c>
      <c r="OS20">
        <f>SUMPRODUCT(--('Данные 2st'!$Q$2:$Q$317=$A20),--ISNUMBER('Данные 2st'!$JH$2:$JH$317))</f>
        <v>3</v>
      </c>
      <c r="OT20">
        <f>SUMPRODUCT(--('Данные 2st'!$Q$2:$Q$317=$A20),--ISNUMBER('Данные 2st'!$JI$2:$JI$317))</f>
        <v>3</v>
      </c>
      <c r="OU20">
        <f>SUMPRODUCT(--('Данные 2st'!$Q$2:$Q$317=$A20),--ISNUMBER('Данные 2st'!$JJ$2:$JJ$317))</f>
        <v>3</v>
      </c>
      <c r="OV20">
        <f>SUMPRODUCT(--('Данные 2st'!$Q$2:$Q$317=$A20),--ISNUMBER('Данные 2st'!$JK$2:$JK$317))</f>
        <v>3</v>
      </c>
      <c r="OW20">
        <f>SUMPRODUCT(--('Данные 2st'!$Q$2:$Q$317=$A20),--ISNUMBER('Данные 2st'!$JL$2:$JL$317))</f>
        <v>3</v>
      </c>
      <c r="OX20">
        <f>SUMPRODUCT(--('Данные 2st'!$Q$2:$Q$317=$A20),--ISNUMBER('Данные 2st'!$JM$2:$JM$317))</f>
        <v>3</v>
      </c>
      <c r="OY20">
        <f>SUMPRODUCT(--('Данные 2st'!$Q$2:$Q$317=$A20),--ISNUMBER('Данные 2st'!$JP$2:$JP$317))</f>
        <v>3</v>
      </c>
      <c r="OZ20">
        <f>SUMPRODUCT(--('Данные 2st'!$Q$2:$Q$317=$A20),--ISNUMBER('Данные 2st'!$JQ$2:$JQ$317))</f>
        <v>3</v>
      </c>
      <c r="PA20">
        <f>SUMPRODUCT(--('Данные 2st'!$Q$2:$Q$317=$A20),--ISNUMBER('Данные 2st'!$JR$2:$JR$317))</f>
        <v>3</v>
      </c>
      <c r="PB20">
        <f>SUMPRODUCT(--('Данные 2st'!$Q$2:$Q$317=$A20),--ISNUMBER('Данные 2st'!$JS$2:$JS$317))</f>
        <v>3</v>
      </c>
      <c r="PC20">
        <f>SUMPRODUCT(--('Данные 2st'!$Q$2:$Q$317=$A20),--ISNUMBER('Данные 2st'!$JT$2:$JT$317))</f>
        <v>3</v>
      </c>
      <c r="PD20">
        <f>SUMPRODUCT(--('Данные 2st'!$Q$2:$Q$317=$A20),--ISNUMBER('Данные 2st'!$JU$2:$JU$317))</f>
        <v>3</v>
      </c>
      <c r="PE20">
        <f>SUMPRODUCT(--('Данные 2st'!$Q$2:$Q$317=$A20),--ISNUMBER('Данные 2st'!$JV$2:$JV$317))</f>
        <v>3</v>
      </c>
      <c r="PF20">
        <f>SUMPRODUCT(--('Данные 2st'!$Q$2:$Q$317=$A20),--ISNUMBER('Данные 2st'!$JW$2:$JW$317))</f>
        <v>3</v>
      </c>
      <c r="PG20">
        <f>SUMPRODUCT(--('Данные 2st'!$Q$2:$Q$317=$A20),--ISNUMBER('Данные 2st'!$KF$2:$KF$317))</f>
        <v>3</v>
      </c>
      <c r="PH20">
        <f>SUMPRODUCT(--('Данные 2st'!$Q$2:$Q$317=$A20),--ISNUMBER('Данные 2st'!$KG$2:$KG$317))</f>
        <v>3</v>
      </c>
      <c r="PI20">
        <f>SUMPRODUCT(--('Данные 2st'!$Q$2:$Q$317=$A20),--ISNUMBER('Данные 2st'!$KM$2:$KM$317))</f>
        <v>3</v>
      </c>
      <c r="PJ20">
        <f>SUMPRODUCT(--('Данные 2st'!$Q$2:$Q$317=$A20),--ISNUMBER('Данные 2st'!$KN$2:$KN$317))</f>
        <v>3</v>
      </c>
      <c r="PK20">
        <f>SUMPRODUCT(--('Данные 2st'!$Q$2:$Q$317=$A20),--ISNUMBER('Данные 2st'!$KO$2:$KO$317))</f>
        <v>3</v>
      </c>
      <c r="PL20">
        <f>SUMPRODUCT(--('Данные 2st'!$Q$2:$Q$317=$A20),--ISNUMBER('Данные 2st'!$KP$2:$KP$317))</f>
        <v>3</v>
      </c>
      <c r="PM20">
        <f>SUMPRODUCT(--('Данные 2st'!$Q$2:$Q$317=$A20),--ISNUMBER('Данные 2st'!$KQ$2:$KQ$317))</f>
        <v>3</v>
      </c>
      <c r="PN20">
        <f>SUMPRODUCT(--('Данные 2st'!$Q$2:$Q$317=$A20),--ISNUMBER('Данные 2st'!$KR$2:$KR$317))</f>
        <v>3</v>
      </c>
      <c r="PO20">
        <f>SUMPRODUCT(--('Данные 2st'!$Q$2:$Q$317=$A20),--ISNUMBER('Данные 2st'!$KS$2:$KS$317))</f>
        <v>3</v>
      </c>
      <c r="PP20">
        <f>SUMPRODUCT(--('Данные 2st'!$Q$2:$Q$317=$A20),--ISNUMBER('Данные 2st'!$KT$2:$KT$317))</f>
        <v>3</v>
      </c>
      <c r="PQ20">
        <f>SUMPRODUCT(--('Данные 2st'!$Q$2:$Q$317=$A20),--ISNUMBER('Данные 2st'!$KU$2:$KU$317))</f>
        <v>3</v>
      </c>
      <c r="PR20">
        <f>SUMPRODUCT(--('Данные 2st'!$Q$2:$Q$317=$A20),--ISNUMBER('Данные 2st'!$KV$2:$KV$317))</f>
        <v>3</v>
      </c>
      <c r="PS20">
        <f>SUMPRODUCT(--('Данные 2st'!$Q$2:$Q$317=$A20),--ISNUMBER('Данные 2st'!$KW$2:$KW$317))</f>
        <v>3</v>
      </c>
      <c r="PT20">
        <f>SUMPRODUCT(--('Данные 2st'!$Q$2:$Q$317=$A20),--ISNUMBER('Данные 2st'!$KX$2:$KX$317))</f>
        <v>3</v>
      </c>
      <c r="PU20">
        <f>SUMPRODUCT(--('Данные 2st'!$Q$2:$Q$317=$A20),--ISNUMBER('Данные 2st'!$KY$2:$KY$317))</f>
        <v>3</v>
      </c>
      <c r="PV20">
        <f>SUMPRODUCT(--('Данные 2st'!$Q$2:$Q$317=$A20),--ISNUMBER('Данные 2st'!$KZ$2:$KZ$317))</f>
        <v>3</v>
      </c>
      <c r="PW20">
        <f>SUMPRODUCT(--('Данные 2st'!$Q$2:$Q$317=$A20),--ISNUMBER('Данные 2st'!$LA$2:$LA$317))</f>
        <v>3</v>
      </c>
      <c r="PX20">
        <f>SUMPRODUCT(--('Данные 2st'!$Q$2:$Q$317=$A20),--ISNUMBER('Данные 2st'!$LB$2:$LB$317))</f>
        <v>3</v>
      </c>
      <c r="PY20">
        <f>SUMPRODUCT(--('Данные 2st'!$Q$2:$Q$317=$A20),--ISNUMBER('Данные 2st'!$LC$2:$LC$317))</f>
        <v>3</v>
      </c>
      <c r="PZ20">
        <f>SUMPRODUCT(--('Данные 2st'!$Q$2:$Q$317=$A20),--ISNUMBER('Данные 2st'!$LD$2:$LD$317))</f>
        <v>3</v>
      </c>
      <c r="QA20">
        <f>SUMPRODUCT(--('Данные 2st'!$Q$2:$Q$317=$A20),--ISNUMBER('Данные 2st'!$LE$2:$LE$317))</f>
        <v>3</v>
      </c>
      <c r="QB20">
        <f>SUMPRODUCT(--('Данные 2st'!$Q$2:$Q$317=$A20),--ISNUMBER('Данные 2st'!$LF$2:$LF$317))</f>
        <v>3</v>
      </c>
      <c r="QC20">
        <f>SUMPRODUCT(--('Данные 2st'!$Q$2:$Q$317=$A20),--ISNUMBER('Данные 2st'!$LG$2:$LG$317))</f>
        <v>3</v>
      </c>
      <c r="QD20">
        <f>SUMPRODUCT(--('Данные 2st'!$Q$2:$Q$317=$A20),--ISNUMBER('Данные 2st'!$LH$2:$LH$317))</f>
        <v>3</v>
      </c>
      <c r="QE20">
        <f>SUMPRODUCT(--('Данные 2st'!$Q$2:$Q$317=$A20),--ISNUMBER('Данные 2st'!$LJ$2:$LJ$317))</f>
        <v>3</v>
      </c>
      <c r="QF20">
        <f>SUMPRODUCT(--('Данные 2st'!$Q$2:$Q$317=$A20),--ISNUMBER('Данные 2st'!$LK$2:$LK$317))</f>
        <v>3</v>
      </c>
      <c r="QG20">
        <f>SUMPRODUCT(--('Данные 2st'!$Q$2:$Q$317=$A20),--ISNUMBER('Данные 2st'!$LL$2:$LL$317))</f>
        <v>3</v>
      </c>
      <c r="QH20">
        <f>SUMPRODUCT(--('Данные 2st'!$Q$2:$Q$317=$A20),--ISNUMBER('Данные 2st'!$LM$2:$LM$317))</f>
        <v>3</v>
      </c>
      <c r="QI20">
        <f>SUMPRODUCT(--('Данные 2st'!$Q$2:$Q$317=$A20),--ISNUMBER('Данные 2st'!$LN$2:$LN$317))</f>
        <v>3</v>
      </c>
      <c r="QJ20">
        <f>SUMPRODUCT(--('Данные 2st'!$Q$2:$Q$317=$A20),--ISNUMBER('Данные 2st'!$LO$2:$LO$317))</f>
        <v>3</v>
      </c>
      <c r="QK20">
        <f>SUMPRODUCT(--('Данные 2st'!$Q$2:$Q$317=$A20),--ISNUMBER('Данные 2st'!$LP$2:$LP$317))</f>
        <v>3</v>
      </c>
      <c r="QL20">
        <f>SUMPRODUCT(--('Данные 2st'!$Q$2:$Q$317=$A20),--ISNUMBER('Данные 2st'!$LQ$2:$LQ$317))</f>
        <v>3</v>
      </c>
      <c r="QM20">
        <f>SUMPRODUCT(--('Данные 2st'!$Q$2:$Q$317=$A20),--ISNUMBER('Данные 2st'!$LW$2:$LW$317))</f>
        <v>3</v>
      </c>
      <c r="QN20">
        <f>SUMPRODUCT(--('Данные 2st'!$Q$2:$Q$317=$A20),--ISNUMBER('Данные 2st'!$LX$2:$LX$317))</f>
        <v>3</v>
      </c>
      <c r="QO20">
        <f>SUMPRODUCT(--('Данные 2st'!$Q$2:$Q$317=$A20),--ISNUMBER('Данные 2st'!$LY$2:$LY$317))</f>
        <v>3</v>
      </c>
      <c r="QP20">
        <f>SUMPRODUCT(--('Данные 2st'!$Q$2:$Q$317=$A20),--ISNUMBER('Данные 2st'!$LZ$2:$LZ$317))</f>
        <v>3</v>
      </c>
      <c r="QQ20">
        <f>SUMPRODUCT(--('Данные 2st'!$Q$2:$Q$317=$A20),--ISNUMBER('Данные 2st'!$MB$2:$MB$317))</f>
        <v>3</v>
      </c>
      <c r="QR20">
        <f>SUMPRODUCT(--('Данные 2st'!$Q$2:$Q$317=$A20),--ISNUMBER('Данные 2st'!$MG$2:$MG$317))</f>
        <v>2</v>
      </c>
      <c r="QS20">
        <f>SUMPRODUCT(--('Данные 2st'!$Q$2:$Q$317=$A20),--ISNUMBER('Данные 2st'!$MH$2:$MH$317))</f>
        <v>2</v>
      </c>
      <c r="QT20">
        <f>SUMPRODUCT(--('Данные 2st'!$Q$2:$Q$317=$A20),--ISNUMBER('Данные 2st'!$MI$2:$MI$317))</f>
        <v>3</v>
      </c>
      <c r="QU20">
        <f>SUMPRODUCT(--('Данные 2st'!$Q$2:$Q$317=$A20),--ISNUMBER('Данные 2st'!$MJ$2:$MJ$317))</f>
        <v>3</v>
      </c>
      <c r="QV20">
        <f>SUMPRODUCT(--('Данные 2st'!$Q$2:$Q$317=$A20),--ISNUMBER('Данные 2st'!$MK$2:$MK$317))</f>
        <v>0</v>
      </c>
      <c r="QW20">
        <f>SUMPRODUCT(--('Данные 2st'!$Q$2:$Q$317=$A20),--ISNUMBER('Данные 2st'!$MM$2:$MM$317))</f>
        <v>3</v>
      </c>
      <c r="QX20">
        <f>SUMPRODUCT(--('Данные 2st'!$Q$2:$Q$317=$A20),--ISNUMBER('Данные 2st'!$MQ$2:$MQ$317))</f>
        <v>0</v>
      </c>
      <c r="QY20">
        <f>SUMPRODUCT(--('Данные 2st'!$Q$2:$Q$317=$A20),--ISNUMBER('Данные 2st'!$MR$2:$MR$317))</f>
        <v>0</v>
      </c>
      <c r="QZ20">
        <f>SUMPRODUCT(--('Данные 2st'!$Q$2:$Q$317=$A20),--ISNUMBER('Данные 2st'!$MS$2:$MS$317))</f>
        <v>0</v>
      </c>
      <c r="RA20">
        <f>SUMPRODUCT(--('Данные 2st'!$Q$2:$Q$317=$A20),--ISNUMBER('Данные 2st'!$MT$2:$MT$317))</f>
        <v>0</v>
      </c>
      <c r="RB20">
        <f>SUMPRODUCT(--('Данные 2st'!$Q$2:$Q$317=$A20),--ISNUMBER('Данные 2st'!$MU$2:$MU$317))</f>
        <v>0</v>
      </c>
      <c r="RC20">
        <f>SUMPRODUCT(--('Данные 2st'!$Q$2:$Q$317=$A20),--ISNUMBER('Данные 2st'!$MV$2:$MV$317))</f>
        <v>0</v>
      </c>
      <c r="RD20">
        <f>SUMPRODUCT(--('Данные 2st'!$Q$2:$Q$317=$A20),--ISNUMBER('Данные 2st'!$MW$2:$MW$317))</f>
        <v>0</v>
      </c>
      <c r="RE20">
        <f>SUMPRODUCT(--('Данные 2st'!$Q$2:$Q$317=$A20),--ISNUMBER('Данные 2st'!$MX$2:$MX$317))</f>
        <v>0</v>
      </c>
      <c r="RF20">
        <f>SUMPRODUCT(--('Данные 2st'!$Q$2:$Q$317=$A20),--ISNUMBER('Данные 2st'!$MY$2:$MY$317))</f>
        <v>0</v>
      </c>
      <c r="RG20">
        <f>SUMPRODUCT(--('Данные 2st'!$Q$2:$Q$317=$A20),--ISNUMBER('Данные 2st'!$MZ$2:$MZ$317))</f>
        <v>0</v>
      </c>
      <c r="RH20">
        <f>SUMPRODUCT(--('Данные 2st'!$Q$2:$Q$317=$A20),--ISNUMBER('Данные 2st'!$NA$2:$NA$317))</f>
        <v>0</v>
      </c>
      <c r="RI20">
        <f>SUMPRODUCT(--('Данные 2st'!$Q$2:$Q$317=$A20),--ISNUMBER('Данные 2st'!$NB$2:$NB$317))</f>
        <v>0</v>
      </c>
      <c r="RJ20">
        <f>SUMPRODUCT(--('Данные 2st'!$Q$2:$Q$317=$A20),--ISNUMBER('Данные 2st'!$NC$2:$NC$317))</f>
        <v>0</v>
      </c>
      <c r="RK20">
        <f>SUMPRODUCT(--('Данные 2st'!$Q$2:$Q$317=$A20),--ISNUMBER('Данные 2st'!$ND$2:$ND$317))</f>
        <v>0</v>
      </c>
      <c r="RL20">
        <f>SUMPRODUCT(--('Данные 2st'!$Q$2:$Q$317=$A20),--ISNUMBER('Данные 2st'!$NE$2:$NE$317))</f>
        <v>0</v>
      </c>
      <c r="RM20">
        <f>SUMPRODUCT(--('Данные 2st'!$Q$2:$Q$317=$A20),--ISNUMBER('Данные 2st'!$NF$2:$NF$317))</f>
        <v>0</v>
      </c>
      <c r="RN20">
        <f>SUMPRODUCT(--('Данные 2st'!$Q$2:$Q$317=$A20),--ISNUMBER('Данные 2st'!$NG$2:$NG$317))</f>
        <v>0</v>
      </c>
      <c r="RO20">
        <f>SUMPRODUCT(--('Данные 2st'!$Q$2:$Q$317=$A20),--ISNUMBER('Данные 2st'!$NH$2:$NH$317))</f>
        <v>0</v>
      </c>
      <c r="RP20">
        <f>SUMPRODUCT(--('Данные 2st'!$Q$2:$Q$317=$A20),--ISNUMBER('Данные 2st'!$NJ$2:$NJ$317))</f>
        <v>0</v>
      </c>
      <c r="RQ20">
        <f>SUMPRODUCT(--('Данные 2st'!$Q$2:$Q$317=$A20),--ISNUMBER('Данные 2st'!$NK$2:$NK$317))</f>
        <v>0</v>
      </c>
      <c r="RR20">
        <f>SUMPRODUCT(--('Данные 2st'!$Q$2:$Q$317=$A20),--ISNUMBER('Данные 2st'!$NM$2:$NM$317))</f>
        <v>0</v>
      </c>
      <c r="RS20">
        <f>SUMPRODUCT(--('Данные 2st'!$Q$2:$Q$317=$A20),--ISNUMBER('Данные 2st'!$NN$2:$NN$317))</f>
        <v>0</v>
      </c>
      <c r="RT20">
        <f>SUMPRODUCT(--('Данные 2st'!$Q$2:$Q$317=$A20),--ISNUMBER('Данные 2st'!$NO$2:$NO$317))</f>
        <v>0</v>
      </c>
      <c r="RU20">
        <f>SUMPRODUCT(--('Данные 2st'!$Q$2:$Q$317=$A20),--ISNUMBER('Данные 2st'!$NP$2:$NP$317))</f>
        <v>0</v>
      </c>
      <c r="RV20">
        <f>SUMPRODUCT(--('Данные 2st'!$Q$2:$Q$317=$A20),--ISNUMBER('Данные 2st'!$NQ$2:$NQ$317))</f>
        <v>0</v>
      </c>
      <c r="RW20">
        <f>SUMPRODUCT(--('Данные 2st'!$Q$2:$Q$317=$A20),--ISNUMBER('Данные 2st'!$NR$2:$NR$317))</f>
        <v>0</v>
      </c>
      <c r="RX20">
        <f>SUMPRODUCT(--('Данные 2st'!$Q$2:$Q$317=$A20),--ISNUMBER('Данные 2st'!$NS$2:$NS$317))</f>
        <v>0</v>
      </c>
      <c r="RY20">
        <f>SUMPRODUCT(--('Данные 2st'!$Q$2:$Q$317=$A20),--ISNUMBER('Данные 2st'!$NT$2:$NT$317))</f>
        <v>0</v>
      </c>
      <c r="RZ20">
        <f>SUMPRODUCT(--('Данные 2st'!$Q$2:$Q$317=$A20),--ISNUMBER('Данные 2st'!$OK$2:$OK$317))</f>
        <v>3</v>
      </c>
      <c r="SA20">
        <f>SUMPRODUCT(--('Данные 2st'!$Q$2:$Q$317=$A20),--ISNUMBER('Данные 2st'!$OL$2:$OL$317))</f>
        <v>3</v>
      </c>
      <c r="SB20">
        <f>SUMPRODUCT(--('Данные 2st'!$Q$2:$Q$317=$A20),--ISNUMBER('Данные 2st'!$ON$2:$ON$317))</f>
        <v>3</v>
      </c>
      <c r="SC20">
        <f>SUMPRODUCT(--('Данные 2st'!$Q$2:$Q$317=$A20),--ISNUMBER('Данные 2st'!$OO$2:$OO$317))</f>
        <v>3</v>
      </c>
      <c r="SD20">
        <f>SUMPRODUCT(--('Данные 2st'!$Q$2:$Q$317=$A20),--ISNUMBER('Данные 2st'!$OP$2:$OP$317))</f>
        <v>3</v>
      </c>
      <c r="SE20">
        <f>SUMPRODUCT(--('Данные 2st'!$Q$2:$Q$317=$A20),--ISNUMBER('Данные 2st'!$OQ$2:$OQ$317))</f>
        <v>3</v>
      </c>
      <c r="SF20">
        <f>SUMPRODUCT(--('Данные 2st'!$Q$2:$Q$317=$A20),--ISNUMBER('Данные 2st'!$OS$2:$OS$317))</f>
        <v>3</v>
      </c>
      <c r="SG20">
        <f>SUMPRODUCT(--('Данные 2st'!$Q$2:$Q$317=$A20),--ISNUMBER('Данные 2st'!$OT$2:$OT$317))</f>
        <v>3</v>
      </c>
      <c r="SH20">
        <f>SUMPRODUCT(--('Данные 2st'!$Q$2:$Q$317=$A20),--ISNUMBER('Данные 2st'!$OU$2:$OU$317))</f>
        <v>3</v>
      </c>
      <c r="SI20">
        <f>SUMPRODUCT(--('Данные 2st'!$Q$2:$Q$317=$A20),--ISNUMBER('Данные 2st'!$OV$2:$OV$317))</f>
        <v>3</v>
      </c>
      <c r="SJ20">
        <f>SUMPRODUCT(--('Данные 2st'!$Q$2:$Q$317=$A20),--ISNUMBER('Данные 2st'!$OX$2:$OX$317))</f>
        <v>3</v>
      </c>
      <c r="SK20">
        <f>SUMPRODUCT(--('Данные 2st'!$Q$2:$Q$317=$A20),--ISNUMBER('Данные 2st'!$OY$2:$OY$317))</f>
        <v>3</v>
      </c>
      <c r="SL20">
        <f>SUMPRODUCT(--('Данные 2st'!$Q$2:$Q$317=$A20),--ISNUMBER('Данные 2st'!$OZ$2:$OZ$317))</f>
        <v>3</v>
      </c>
      <c r="SM20">
        <f>SUMPRODUCT(--('Данные 2st'!$Q$2:$Q$317=$A20),--ISNUMBER('Данные 2st'!$PA$2:$PA$317))</f>
        <v>3</v>
      </c>
      <c r="SN20">
        <f>SUMPRODUCT(--('Данные 2st'!$Q$2:$Q$317=$A20),--ISNUMBER('Данные 2st'!$PC$2:$PC$317))</f>
        <v>3</v>
      </c>
      <c r="SO20">
        <f>SUMPRODUCT(--('Данные 2st'!$Q$2:$Q$317=$A20),--ISNUMBER('Данные 2st'!$PD$2:$PD$317))</f>
        <v>3</v>
      </c>
      <c r="SP20">
        <f>SUMPRODUCT(--('Данные 2st'!$Q$2:$Q$317=$A20),--ISNUMBER('Данные 2st'!$PF$2:$PF$317))</f>
        <v>3</v>
      </c>
      <c r="SQ20">
        <f>SUMPRODUCT(--('Данные 2st'!$Q$2:$Q$317=$A20),--ISNUMBER('Данные 2st'!$PG$2:$PG$317))</f>
        <v>3</v>
      </c>
      <c r="SR20">
        <f>SUMPRODUCT(--('Данные 2st'!$Q$2:$Q$317=$A20),--ISNUMBER('Данные 2st'!$PH$2:$PH$317))</f>
        <v>3</v>
      </c>
      <c r="SS20">
        <f>SUMPRODUCT(--('Данные 2st'!$Q$2:$Q$317=$A20),--ISNUMBER('Данные 2st'!$PI$2:$PI$317))</f>
        <v>3</v>
      </c>
      <c r="ST20">
        <f>SUMPRODUCT(--('Данные 2st'!$Q$2:$Q$317=$A20),--ISNUMBER('Данные 2st'!$PJ$2:$PJ$317))</f>
        <v>3</v>
      </c>
      <c r="SU20">
        <f>SUMPRODUCT(--('Данные 2st'!$Q$2:$Q$317=$A20),--ISNUMBER('Данные 2st'!$PK$2:$PK$317))</f>
        <v>2</v>
      </c>
      <c r="SV20">
        <f>SUMPRODUCT(--('Данные 2st'!$Q$2:$Q$317=$A20),--ISNUMBER('Данные 2st'!$PL$2:$PL$317))</f>
        <v>3</v>
      </c>
      <c r="SW20">
        <f>SUMPRODUCT(--('Данные 2st'!$Q$2:$Q$317=$A20),--ISNUMBER('Данные 2st'!$PM$2:$PM$317))</f>
        <v>3</v>
      </c>
      <c r="SX20">
        <f>SUMPRODUCT(--('Данные 2st'!$Q$2:$Q$317=$A20),--ISNUMBER('Данные 2st'!$PN$2:$PN$317))</f>
        <v>3</v>
      </c>
      <c r="SY20">
        <f>SUMPRODUCT(--('Данные 2st'!$Q$2:$Q$317=$A20),--ISNUMBER('Данные 2st'!$PO$2:$PO$317))</f>
        <v>2</v>
      </c>
      <c r="SZ20">
        <f>SUMPRODUCT(--('Данные 2st'!$Q$2:$Q$317=$A20),--ISNUMBER('Данные 2st'!$PP$2:$PP$317))</f>
        <v>3</v>
      </c>
      <c r="TA20">
        <f>SUMPRODUCT(--('Данные 2st'!$Q$2:$Q$317=$A20),--ISNUMBER('Данные 2st'!$PQ$2:$PQ$317))</f>
        <v>3</v>
      </c>
      <c r="TB20">
        <f>SUMPRODUCT(--('Данные 2st'!$Q$2:$Q$317=$A20),--ISNUMBER('Данные 2st'!$PR$2:$PR$317))</f>
        <v>3</v>
      </c>
      <c r="TC20">
        <f>SUMPRODUCT(--('Данные 2st'!$Q$2:$Q$317=$A20),--ISNUMBER('Данные 2st'!$PS$2:$PS$317))</f>
        <v>3</v>
      </c>
      <c r="TD20">
        <f>SUMPRODUCT(--('Данные 2st'!$Q$2:$Q$317=$A20),--ISNUMBER('Данные 2st'!$PT$2:$PT$317))</f>
        <v>3</v>
      </c>
      <c r="TE20">
        <f>SUMPRODUCT(--('Данные 2st'!$Q$2:$Q$317=$A20),--ISNUMBER('Данные 2st'!$PU$2:$PU$317))</f>
        <v>3</v>
      </c>
      <c r="TF20">
        <f>SUMPRODUCT(--('Данные 2st'!$Q$2:$Q$317=$A20),--ISNUMBER('Данные 2st'!$PX$2:$PX$317))</f>
        <v>3</v>
      </c>
      <c r="TG20">
        <f>SUMPRODUCT(--('Данные 2st'!$Q$2:$Q$317=$A20),--ISNUMBER('Данные 2st'!$PY$2:$PY$317))</f>
        <v>3</v>
      </c>
      <c r="TH20">
        <f>SUMPRODUCT(--('Данные 2st'!$Q$2:$Q$317=$A20),--ISNUMBER('Данные 2st'!$PZ$2:$PZ$317))</f>
        <v>3</v>
      </c>
      <c r="TI20">
        <f>SUMPRODUCT(--('Данные 2st'!$Q$2:$Q$317=$A20),--ISNUMBER('Данные 2st'!$QA$2:$QA$317))</f>
        <v>3</v>
      </c>
      <c r="TJ20">
        <f>SUMPRODUCT(--('Данные 2st'!$Q$2:$Q$317=$A20),--ISNUMBER('Данные 2st'!$QB$2:$QB$317))</f>
        <v>3</v>
      </c>
      <c r="TK20">
        <f>SUMPRODUCT(--('Данные 2st'!$Q$2:$Q$317=$A20),--ISNUMBER('Данные 2st'!$QC$2:$QC$317))</f>
        <v>3</v>
      </c>
      <c r="TL20">
        <f>SUMPRODUCT(--('Данные 2st'!$Q$2:$Q$317=$A20),--ISNUMBER('Данные 2st'!$QD$2:$QD$317))</f>
        <v>3</v>
      </c>
      <c r="TM20">
        <f>SUMPRODUCT(--('Данные 2st'!$Q$2:$Q$317=$A20),--ISNUMBER('Данные 2st'!$QE$2:$QE$317))</f>
        <v>3</v>
      </c>
      <c r="TN20">
        <f>SUMPRODUCT(--('Данные 2st'!$Q$2:$Q$317=$A20),--ISNUMBER('Данные 2st'!$QF$2:$QF$317))</f>
        <v>3</v>
      </c>
      <c r="TO20">
        <f>SUMPRODUCT(--('Данные 2st'!$Q$2:$Q$317=$A20),--ISNUMBER('Данные 2st'!$QG$2:$QG$317))</f>
        <v>3</v>
      </c>
      <c r="TP20">
        <f>SUMPRODUCT(--('Данные 2st'!$Q$2:$Q$317=$A20),--ISNUMBER('Данные 2st'!$QH$2:$QH$317))</f>
        <v>3</v>
      </c>
      <c r="TQ20">
        <f>SUMPRODUCT(--('Данные 2st'!$Q$2:$Q$317=$A20),--ISNUMBER('Данные 2st'!$QI$2:$QI$317))</f>
        <v>3</v>
      </c>
      <c r="TR20">
        <f>SUMPRODUCT(--('Данные 2st'!$Q$2:$Q$317=$A20),--ISNUMBER('Данные 2st'!$QJ$2:$QJ$317))</f>
        <v>3</v>
      </c>
      <c r="TS20">
        <f>SUMPRODUCT(--('Данные 2st'!$Q$2:$Q$317=$A20),--ISNUMBER('Данные 2st'!$QK$2:$QK$317))</f>
        <v>3</v>
      </c>
      <c r="TT20">
        <f>SUMPRODUCT(--('Данные 2st'!$Q$2:$Q$317=$A20),--ISNUMBER('Данные 2st'!$QL$2:$QL$317))</f>
        <v>3</v>
      </c>
      <c r="TU20">
        <f>SUMPRODUCT(--('Данные 2st'!$Q$2:$Q$317=$A20),--ISNUMBER('Данные 2st'!$QM$2:$QM$317))</f>
        <v>3</v>
      </c>
      <c r="TV20">
        <f>SUMPRODUCT(--('Данные 2st'!$Q$2:$Q$317=$A20),--ISNUMBER('Данные 2st'!$QN$2:$QN$317))</f>
        <v>3</v>
      </c>
      <c r="TW20">
        <f>SUMPRODUCT(--('Данные 2st'!$Q$2:$Q$317=$A20),--ISNUMBER('Данные 2st'!$QQ$2:$QQ$317))</f>
        <v>3</v>
      </c>
      <c r="TX20">
        <f>SUMPRODUCT(--('Данные 2st'!$Q$2:$Q$317=$A20),--ISNUMBER('Данные 2st'!$QS$2:$QS$317))</f>
        <v>3</v>
      </c>
      <c r="TY20">
        <f>SUMPRODUCT(--('Данные 2st'!$Q$2:$Q$317=$A20),--ISNUMBER('Данные 2st'!$QT$2:$QT$317))</f>
        <v>3</v>
      </c>
    </row>
    <row r="21" spans="1:545" ht="32" customHeight="1">
      <c r="A21" s="11" t="str">
        <f>'По размерам'!A21</f>
        <v>215/50R17</v>
      </c>
      <c r="G21">
        <f>SUMPRODUCT(--('Данные 1st'!$S$2:$S$317=$A21),--ISNUMBER('Данные 1st'!$AE$2:$AE$317))</f>
        <v>5</v>
      </c>
      <c r="H21">
        <f>SUMPRODUCT(--('Данные 1st'!$S$2:$S$317=$A21),--ISNUMBER('Данные 1st'!$AF$2:$AF$317))</f>
        <v>5</v>
      </c>
      <c r="I21">
        <f>SUMPRODUCT(--('Данные 1st'!$S$2:$S$317=$A21),--ISNUMBER('Данные 1st'!$AJ$2:$AJ$317))</f>
        <v>5</v>
      </c>
      <c r="J21">
        <f>SUMPRODUCT(--('Данные 1st'!$S$2:$S$317=$A21),--ISNUMBER('Данные 1st'!$AL$2:$AL$317))</f>
        <v>5</v>
      </c>
      <c r="K21">
        <f>SUMPRODUCT(--('Данные 1st'!$S$2:$S$317=$A21),--ISNUMBER('Данные 1st'!$AR$2:$AR$317))</f>
        <v>5</v>
      </c>
      <c r="L21">
        <f>SUMPRODUCT(--('Данные 1st'!$S$2:$S$317=$A21),--ISNUMBER('Данные 1st'!$AS$2:$AS$317))</f>
        <v>5</v>
      </c>
      <c r="M21">
        <f>SUMPRODUCT(--('Данные 1st'!$S$2:$S$317=$A21),--ISNUMBER('Данные 1st'!$AY$2:$AY$317))</f>
        <v>5</v>
      </c>
      <c r="N21">
        <f>SUMPRODUCT(--('Данные 1st'!$S$2:$S$317=$A21),--ISNUMBER('Данные 1st'!$AZ$2:$AZ$317))</f>
        <v>5</v>
      </c>
      <c r="O21">
        <f>SUMPRODUCT(--('Данные 1st'!$S$2:$S$317=$A21),--ISNUMBER('Данные 1st'!$BF$2:$BF$317))</f>
        <v>0</v>
      </c>
      <c r="P21">
        <f>SUMPRODUCT(--('Данные 1st'!$S$2:$S$317=$A21),--ISNUMBER('Данные 1st'!$BG$2:$BG$317))</f>
        <v>5</v>
      </c>
      <c r="Q21">
        <f>SUMPRODUCT(--('Данные 1st'!$S$2:$S$317=$A21),--ISNUMBER('Данные 1st'!$BM$2:$BM$317))</f>
        <v>0</v>
      </c>
      <c r="R21">
        <f>SUMPRODUCT(--('Данные 1st'!$S$2:$S$317=$A21),--ISNUMBER('Данные 1st'!$BN$2:$BN$317))</f>
        <v>5</v>
      </c>
      <c r="S21">
        <f>SUMPRODUCT(--('Данные 1st'!$S$2:$S$317=$A21),--ISNUMBER('Данные 1st'!$BT$2:$BT$317))</f>
        <v>5</v>
      </c>
      <c r="T21">
        <f>SUMPRODUCT(--('Данные 1st'!$S$2:$S$317=$A21),--ISNUMBER('Данные 1st'!$BU$2:$BU$317))</f>
        <v>5</v>
      </c>
      <c r="U21">
        <f>SUMPRODUCT(--('Данные 1st'!$S$2:$S$317=$A21),--ISNUMBER('Данные 1st'!$BW$2:$BW$317))</f>
        <v>5</v>
      </c>
      <c r="V21">
        <f>SUMPRODUCT(--('Данные 1st'!$S$2:$S$317=$A21),--ISNUMBER('Данные 1st'!$BX$2:$BX$317))</f>
        <v>5</v>
      </c>
      <c r="W21">
        <f>SUMPRODUCT(--('Данные 1st'!$S$2:$S$317=$A21),--ISNUMBER('Данные 1st'!$BZ$2:$BZ$317))</f>
        <v>5</v>
      </c>
      <c r="X21">
        <f>SUMPRODUCT(--('Данные 1st'!$S$2:$S$317=$A21),--ISNUMBER('Данные 1st'!$CA$2:$CA$317))</f>
        <v>5</v>
      </c>
      <c r="Y21">
        <f>SUMPRODUCT(--('Данные 1st'!$S$2:$S$317=$A21),--ISNUMBER('Данные 1st'!$CD$2:$CD$317))</f>
        <v>5</v>
      </c>
      <c r="Z21">
        <f>SUMPRODUCT(--('Данные 1st'!$S$2:$S$317=$A21),--ISNUMBER('Данные 1st'!$CF$2:$CF$317))</f>
        <v>5</v>
      </c>
      <c r="AA21">
        <f>SUMPRODUCT(--('Данные 1st'!$S$2:$S$317=$A21),--ISNUMBER('Данные 1st'!$CI$2:$CI$317))</f>
        <v>5</v>
      </c>
      <c r="AB21">
        <f>SUMPRODUCT(--('Данные 1st'!$S$2:$S$317=$A21),--ISNUMBER('Данные 1st'!$CJ$2:$CJ$317))</f>
        <v>5</v>
      </c>
      <c r="AC21">
        <f>SUMPRODUCT(--('Данные 1st'!$S$2:$S$317=$A21),--ISNUMBER('Данные 1st'!$CK$2:$CK$317))</f>
        <v>5</v>
      </c>
      <c r="AD21">
        <f>SUMPRODUCT(--('Данные 1st'!$S$2:$S$317=$A21),--ISNUMBER('Данные 1st'!$CL$2:$CL$317))</f>
        <v>5</v>
      </c>
      <c r="AE21">
        <f>SUMPRODUCT(--('Данные 1st'!$S$2:$S$317=$A21),--ISNUMBER('Данные 1st'!$CM$2:$CM$317))</f>
        <v>5</v>
      </c>
      <c r="AF21">
        <f>SUMPRODUCT(--('Данные 1st'!$S$2:$S$317=$A21),--ISNUMBER('Данные 1st'!$CT$2:$CT$317))</f>
        <v>5</v>
      </c>
      <c r="AG21">
        <f>SUMPRODUCT(--('Данные 1st'!$S$2:$S$317=$A21),--ISNUMBER('Данные 1st'!$CU$2:$CU$317))</f>
        <v>5</v>
      </c>
      <c r="AH21">
        <f>SUMPRODUCT(--('Данные 1st'!$S$2:$S$317=$A21),--ISNUMBER('Данные 1st'!$CV$2:$CV$317))</f>
        <v>5</v>
      </c>
      <c r="AI21">
        <f>SUMPRODUCT(--('Данные 1st'!$S$2:$S$317=$A21),--ISNUMBER('Данные 1st'!$CW$2:$CW$317))</f>
        <v>5</v>
      </c>
      <c r="AJ21">
        <f>SUMPRODUCT(--('Данные 1st'!$S$2:$S$317=$A21),--ISNUMBER('Данные 1st'!$CX$2:$CX$317))</f>
        <v>5</v>
      </c>
      <c r="AK21">
        <f>SUMPRODUCT(--('Данные 1st'!$S$2:$S$317=$A21),--ISNUMBER('Данные 1st'!$CZ$2:$CZ$317))</f>
        <v>0</v>
      </c>
      <c r="AL21">
        <f>SUMPRODUCT(--('Данные 1st'!$S$2:$S$317=$A21),--ISNUMBER('Данные 1st'!$DA$2:$DA$317))</f>
        <v>0</v>
      </c>
      <c r="AM21">
        <f>SUMPRODUCT(--('Данные 1st'!$S$2:$S$317=$A21),--ISNUMBER('Данные 1st'!$DB$2:$DB$317))</f>
        <v>0</v>
      </c>
      <c r="AN21">
        <f>SUMPRODUCT(--('Данные 1st'!$S$2:$S$317=$A21),--ISNUMBER('Данные 1st'!$DC$2:$DC$317))</f>
        <v>0</v>
      </c>
      <c r="AO21">
        <f>SUMPRODUCT(--('Данные 1st'!$S$2:$S$317=$A21),--ISNUMBER('Данные 1st'!$DD$2:$DD$317))</f>
        <v>5</v>
      </c>
      <c r="AP21">
        <f>SUMPRODUCT(--('Данные 1st'!$S$2:$S$317=$A21),--ISNUMBER('Данные 1st'!$DF$2:$DF$317))</f>
        <v>5</v>
      </c>
      <c r="AQ21">
        <f>SUMPRODUCT(--('Данные 1st'!$S$2:$S$317=$A21),--ISNUMBER('Данные 1st'!$DG$2:$DG$317))</f>
        <v>5</v>
      </c>
      <c r="AR21">
        <f>SUMPRODUCT(--('Данные 1st'!$S$2:$S$317=$A21),--ISNUMBER('Данные 1st'!$DH$2:$DH$317))</f>
        <v>5</v>
      </c>
      <c r="AS21">
        <f>SUMPRODUCT(--('Данные 1st'!$S$2:$S$317=$A21),--ISNUMBER('Данные 1st'!$DI$2:$DI$317))</f>
        <v>5</v>
      </c>
      <c r="AT21">
        <f>SUMPRODUCT(--('Данные 1st'!$S$2:$S$317=$A21),--ISNUMBER('Данные 1st'!$DJ$2:$DJ$317))</f>
        <v>5</v>
      </c>
      <c r="AU21">
        <f>SUMPRODUCT(--('Данные 1st'!$S$2:$S$317=$A21),--ISNUMBER('Данные 1st'!$DL$2:$DL$317))</f>
        <v>0</v>
      </c>
      <c r="AV21">
        <f>SUMPRODUCT(--('Данные 1st'!$S$2:$S$317=$A21),--ISNUMBER('Данные 1st'!$DM$2:$DM$317))</f>
        <v>0</v>
      </c>
      <c r="AW21">
        <f>SUMPRODUCT(--('Данные 1st'!$S$2:$S$317=$A21),--ISNUMBER('Данные 1st'!$DN$2:$DN$317))</f>
        <v>0</v>
      </c>
      <c r="AX21">
        <f>SUMPRODUCT(--('Данные 1st'!$S$2:$S$317=$A21),--ISNUMBER('Данные 1st'!$DO$2:$DO$317))</f>
        <v>0</v>
      </c>
      <c r="AY21">
        <f>SUMPRODUCT(--('Данные 1st'!$S$2:$S$317=$A21),--ISNUMBER('Данные 1st'!$DP$2:$DP$317))</f>
        <v>0</v>
      </c>
      <c r="AZ21">
        <f>SUMPRODUCT(--('Данные 1st'!$S$2:$S$317=$A21),--ISNUMBER('Данные 1st'!$DR$2:$DR$317))</f>
        <v>0</v>
      </c>
      <c r="BA21">
        <f>SUMPRODUCT(--('Данные 1st'!$S$2:$S$317=$A21),--ISNUMBER('Данные 1st'!$DS$2:$DS$317))</f>
        <v>0</v>
      </c>
      <c r="BB21">
        <f>SUMPRODUCT(--('Данные 1st'!$S$2:$S$317=$A21),--ISNUMBER('Данные 1st'!$DT$2:$DT$317))</f>
        <v>0</v>
      </c>
      <c r="BC21">
        <f>SUMPRODUCT(--('Данные 1st'!$S$2:$S$317=$A21),--ISNUMBER('Данные 1st'!$DU$2:$DU$317))</f>
        <v>0</v>
      </c>
      <c r="BD21">
        <f>SUMPRODUCT(--('Данные 1st'!$S$2:$S$317=$A21),--ISNUMBER('Данные 1st'!$DV$2:$DV$317))</f>
        <v>0</v>
      </c>
      <c r="BE21">
        <f>SUMPRODUCT(--('Данные 1st'!$S$2:$S$317=$A21),--ISNUMBER('Данные 1st'!$DX$2:$DX$317))</f>
        <v>5</v>
      </c>
      <c r="BF21">
        <f>SUMPRODUCT(--('Данные 1st'!$S$2:$S$317=$A21),--ISNUMBER('Данные 1st'!$EA$2:$EA$317))</f>
        <v>5</v>
      </c>
      <c r="BG21">
        <f>SUMPRODUCT(--('Данные 1st'!$S$2:$S$317=$A21),--ISNUMBER('Данные 1st'!$EB$2:$EB$317))</f>
        <v>5</v>
      </c>
      <c r="BH21">
        <f>SUMPRODUCT(--('Данные 1st'!$S$2:$S$317=$A21),--ISNUMBER('Данные 1st'!$ED$2:$ED$317))</f>
        <v>5</v>
      </c>
      <c r="BI21">
        <f>SUMPRODUCT(--('Данные 1st'!$S$2:$S$317=$A21),--ISNUMBER('Данные 1st'!$EE$2:$EE$317))</f>
        <v>5</v>
      </c>
      <c r="BJ21">
        <f>SUMPRODUCT(--('Данные 1st'!$S$2:$S$317=$A21),--ISNUMBER('Данные 1st'!$EG$2:$EG$317))</f>
        <v>5</v>
      </c>
      <c r="BK21">
        <f>SUMPRODUCT(--('Данные 1st'!$S$2:$S$317=$A21),--ISNUMBER('Данные 1st'!$EH$2:$EH$317))</f>
        <v>5</v>
      </c>
      <c r="BL21">
        <f>SUMPRODUCT(--('Данные 1st'!$S$2:$S$317=$A21),--ISNUMBER('Данные 1st'!$EJ$2:$EJ$317))</f>
        <v>5</v>
      </c>
      <c r="BM21">
        <f>SUMPRODUCT(--('Данные 1st'!$S$2:$S$317=$A21),--ISNUMBER('Данные 1st'!$EK$2:$EK$317))</f>
        <v>5</v>
      </c>
      <c r="BN21">
        <f>SUMPRODUCT(--('Данные 1st'!$S$2:$S$317=$A21),--ISNUMBER('Данные 1st'!$EN$2:$EN$317))</f>
        <v>5</v>
      </c>
      <c r="BO21">
        <f>SUMPRODUCT(--('Данные 1st'!$S$2:$S$317=$A21),--ISNUMBER('Данные 1st'!$EQ$2:$EQ$317))</f>
        <v>5</v>
      </c>
      <c r="BP21">
        <f>SUMPRODUCT(--('Данные 1st'!$S$2:$S$317=$A21),--ISNUMBER('Данные 1st'!$ER$2:$ER$317))</f>
        <v>5</v>
      </c>
      <c r="BQ21">
        <f>SUMPRODUCT(--('Данные 1st'!$S$2:$S$317=$A21),--ISNUMBER('Данные 1st'!$ES$2:$ES$317))</f>
        <v>5</v>
      </c>
      <c r="BR21">
        <f>SUMPRODUCT(--('Данные 1st'!$S$2:$S$317=$A21),--ISNUMBER('Данные 1st'!$ET$2:$ET$317))</f>
        <v>5</v>
      </c>
      <c r="BS21">
        <f>SUMPRODUCT(--('Данные 1st'!$S$2:$S$317=$A21),--ISNUMBER('Данные 1st'!$EU$2:$EU$317))</f>
        <v>5</v>
      </c>
      <c r="BT21">
        <f>SUMPRODUCT(--('Данные 1st'!$S$2:$S$317=$A21),--ISNUMBER('Данные 1st'!$EV$2:$EV$317))</f>
        <v>5</v>
      </c>
      <c r="BU21">
        <f>SUMPRODUCT(--('Данные 1st'!$S$2:$S$317=$A21),--ISNUMBER('Данные 1st'!$EX$2:$EX$317))</f>
        <v>5</v>
      </c>
      <c r="BV21">
        <f>SUMPRODUCT(--('Данные 1st'!$S$2:$S$317=$A21),--ISNUMBER('Данные 1st'!$EY$2:$EY$317))</f>
        <v>5</v>
      </c>
      <c r="BW21">
        <f>SUMPRODUCT(--('Данные 1st'!$S$2:$S$317=$A21),--ISNUMBER('Данные 1st'!$EZ$2:$EZ$317))</f>
        <v>5</v>
      </c>
      <c r="BX21">
        <f>SUMPRODUCT(--('Данные 1st'!$S$2:$S$317=$A21),--ISNUMBER('Данные 1st'!$FA$2:$FA$317))</f>
        <v>5</v>
      </c>
      <c r="BY21">
        <f>SUMPRODUCT(--('Данные 1st'!$S$2:$S$317=$A21),--ISNUMBER('Данные 1st'!$FB$2:$FB$317))</f>
        <v>5</v>
      </c>
      <c r="BZ21">
        <f>SUMPRODUCT(--('Данные 1st'!$S$2:$S$317=$A21),--ISNUMBER('Данные 1st'!$FC$2:$FC$317))</f>
        <v>5</v>
      </c>
      <c r="CA21">
        <f>SUMPRODUCT(--('Данные 1st'!$S$2:$S$317=$A21),--ISNUMBER('Данные 1st'!$FE$2:$FE$317))</f>
        <v>5</v>
      </c>
      <c r="CB21">
        <f>SUMPRODUCT(--('Данные 1st'!$S$2:$S$317=$A21),--ISNUMBER('Данные 1st'!$FF$2:$FF$317))</f>
        <v>5</v>
      </c>
      <c r="CC21">
        <f>SUMPRODUCT(--('Данные 1st'!$S$2:$S$317=$A21),--ISNUMBER('Данные 1st'!$FI$2:$FI$317))</f>
        <v>5</v>
      </c>
      <c r="CD21">
        <f>SUMPRODUCT(--('Данные 1st'!$S$2:$S$317=$A21),--ISNUMBER('Данные 1st'!$FL$2:$FL$317))</f>
        <v>5</v>
      </c>
      <c r="CE21">
        <f>SUMPRODUCT(--('Данные 1st'!$S$2:$S$317=$A21),--ISNUMBER('Данные 1st'!$FM$2:$FM$317))</f>
        <v>5</v>
      </c>
      <c r="CF21">
        <f>SUMPRODUCT(--('Данные 1st'!$S$2:$S$317=$A21),--ISNUMBER('Данные 1st'!$FN$2:$FN$317))</f>
        <v>5</v>
      </c>
      <c r="CG21">
        <f>SUMPRODUCT(--('Данные 1st'!$S$2:$S$317=$A21),--ISNUMBER('Данные 1st'!$FO$2:$FO$317))</f>
        <v>0</v>
      </c>
      <c r="CH21">
        <f>SUMPRODUCT(--('Данные 1st'!$S$2:$S$317=$A21),--ISNUMBER('Данные 1st'!$FP$2:$FP$317))</f>
        <v>0</v>
      </c>
      <c r="CI21">
        <f>SUMPRODUCT(--('Данные 1st'!$S$2:$S$317=$A21),--ISNUMBER('Данные 1st'!$FS$2:$FS$317))</f>
        <v>5</v>
      </c>
      <c r="CJ21">
        <f>SUMPRODUCT(--('Данные 1st'!$S$2:$S$317=$A21),--ISNUMBER('Данные 1st'!$FT$2:$FT$317))</f>
        <v>5</v>
      </c>
      <c r="CK21">
        <f>SUMPRODUCT(--('Данные 1st'!$S$2:$S$317=$A21),--ISNUMBER('Данные 1st'!$FU$2:$FU$317))</f>
        <v>5</v>
      </c>
      <c r="CL21">
        <f>SUMPRODUCT(--('Данные 1st'!$S$2:$S$317=$A21),--ISNUMBER('Данные 1st'!$FV$2:$FV$317))</f>
        <v>2</v>
      </c>
      <c r="CM21">
        <f>SUMPRODUCT(--('Данные 1st'!$S$2:$S$317=$A21),--ISNUMBER('Данные 1st'!$FW$2:$FW$317))</f>
        <v>2</v>
      </c>
      <c r="CN21">
        <f>SUMPRODUCT(--('Данные 1st'!$S$2:$S$317=$A21),--ISNUMBER('Данные 1st'!$FZ$2:$FZ$317))</f>
        <v>4</v>
      </c>
      <c r="CO21">
        <f>SUMPRODUCT(--('Данные 1st'!$S$2:$S$317=$A21),--ISNUMBER('Данные 1st'!$GA$2:$GA$317))</f>
        <v>4</v>
      </c>
      <c r="CP21">
        <f>SUMPRODUCT(--('Данные 1st'!$S$2:$S$317=$A21),--ISNUMBER('Данные 1st'!$GB$2:$GB$317))</f>
        <v>4</v>
      </c>
      <c r="CQ21">
        <f>SUMPRODUCT(--('Данные 1st'!$S$2:$S$317=$A21),--ISNUMBER('Данные 1st'!$GH$2:$GH$317))</f>
        <v>4</v>
      </c>
      <c r="CR21">
        <f>SUMPRODUCT(--('Данные 1st'!$S$2:$S$317=$A21),--ISNUMBER('Данные 1st'!$GI$2:$GI$317))</f>
        <v>4</v>
      </c>
      <c r="CS21">
        <f>SUMPRODUCT(--('Данные 1st'!$S$2:$S$317=$A21),--ISNUMBER('Данные 1st'!$GJ$2:$GJ$317))</f>
        <v>4</v>
      </c>
      <c r="CT21">
        <f>SUMPRODUCT(--('Данные 1st'!$S$2:$S$317=$A21),--ISNUMBER('Данные 1st'!$GS$2:$GS$317))</f>
        <v>0</v>
      </c>
      <c r="CU21">
        <f>SUMPRODUCT(--('Данные 1st'!$S$2:$S$317=$A21),--ISNUMBER('Данные 1st'!$GT$2:$GT$317))</f>
        <v>0</v>
      </c>
      <c r="CV21">
        <f>SUMPRODUCT(--('Данные 1st'!$S$2:$S$317=$A21),--ISNUMBER('Данные 1st'!$GU$2:$GU$317))</f>
        <v>0</v>
      </c>
      <c r="CW21">
        <f>SUMPRODUCT(--('Данные 1st'!$S$2:$S$317=$A21),--ISNUMBER('Данные 1st'!$GV$2:$GV$317))</f>
        <v>0</v>
      </c>
      <c r="CX21">
        <f>SUMPRODUCT(--('Данные 1st'!$S$2:$S$317=$A21),--ISNUMBER('Данные 1st'!$GW$2:$GW$317))</f>
        <v>0</v>
      </c>
      <c r="CY21">
        <f>SUMPRODUCT(--('Данные 1st'!$S$2:$S$317=$A21),--ISNUMBER('Данные 1st'!$GZ$2:$GZ$317))</f>
        <v>0</v>
      </c>
      <c r="CZ21">
        <f>SUMPRODUCT(--('Данные 1st'!$S$2:$S$317=$A21),--ISNUMBER('Данные 1st'!$HA$2:$HA$317))</f>
        <v>0</v>
      </c>
      <c r="DA21">
        <f>SUMPRODUCT(--('Данные 1st'!$S$2:$S$317=$A21),--ISNUMBER('Данные 1st'!$HB$2:$HB$317))</f>
        <v>0</v>
      </c>
      <c r="DB21">
        <f>SUMPRODUCT(--('Данные 1st'!$S$2:$S$317=$A21),--ISNUMBER('Данные 1st'!$HC$2:$HC$317))</f>
        <v>5</v>
      </c>
      <c r="DC21">
        <f>SUMPRODUCT(--('Данные 1st'!$S$2:$S$317=$A21),--ISNUMBER('Данные 1st'!$HD$2:$HD$317))</f>
        <v>5</v>
      </c>
      <c r="DD21">
        <f>SUMPRODUCT(--('Данные 1st'!$S$2:$S$317=$A21),--ISNUMBER('Данные 1st'!$HE$2:$HE$317))</f>
        <v>5</v>
      </c>
      <c r="DE21">
        <f>SUMPRODUCT(--('Данные 1st'!$S$2:$S$317=$A21),--ISNUMBER('Данные 1st'!$HF$2:$HF$317))</f>
        <v>5</v>
      </c>
      <c r="DF21">
        <f>SUMPRODUCT(--('Данные 1st'!$S$2:$S$317=$A21),--ISNUMBER('Данные 1st'!$HG$2:$HG$317))</f>
        <v>5</v>
      </c>
      <c r="DG21">
        <f>SUMPRODUCT(--('Данные 1st'!$S$2:$S$317=$A21),--ISNUMBER('Данные 1st'!$HH$2:$HH$317))</f>
        <v>5</v>
      </c>
      <c r="DH21">
        <f>SUMPRODUCT(--('Данные 1st'!$S$2:$S$317=$A21),--ISNUMBER('Данные 1st'!$HI$2:$HI$317))</f>
        <v>5</v>
      </c>
      <c r="DI21">
        <f>SUMPRODUCT(--('Данные 1st'!$S$2:$S$317=$A21),--ISNUMBER('Данные 1st'!$HJ$2:$HJ$317))</f>
        <v>5</v>
      </c>
      <c r="DJ21">
        <f>SUMPRODUCT(--('Данные 1st'!$S$2:$S$317=$A21),--ISNUMBER('Данные 1st'!$HK$2:$HK$317))</f>
        <v>5</v>
      </c>
      <c r="DK21">
        <f>SUMPRODUCT(--('Данные 1st'!$S$2:$S$317=$A21),--ISNUMBER('Данные 1st'!$HL$2:$HL$317))</f>
        <v>5</v>
      </c>
      <c r="DL21">
        <f>SUMPRODUCT(--('Данные 1st'!$S$2:$S$317=$A21),--ISNUMBER('Данные 1st'!$HM$2:$HM$317))</f>
        <v>5</v>
      </c>
      <c r="DM21">
        <f>SUMPRODUCT(--('Данные 1st'!$S$2:$S$317=$A21),--ISNUMBER('Данные 1st'!$HN$2:$HN$317))</f>
        <v>5</v>
      </c>
      <c r="DN21">
        <f>SUMPRODUCT(--('Данные 1st'!$S$2:$S$317=$A21),--ISNUMBER('Данные 1st'!$HO$2:$HO$317))</f>
        <v>5</v>
      </c>
      <c r="DO21">
        <f>SUMPRODUCT(--('Данные 1st'!$S$2:$S$317=$A21),--ISNUMBER('Данные 1st'!$HP$2:$HP$317))</f>
        <v>5</v>
      </c>
      <c r="DP21">
        <f>SUMPRODUCT(--('Данные 1st'!$S$2:$S$317=$A21),--ISNUMBER('Данные 1st'!$HQ$2:$HQ$317))</f>
        <v>5</v>
      </c>
      <c r="DQ21">
        <f>SUMPRODUCT(--('Данные 1st'!$S$2:$S$317=$A21),--ISNUMBER('Данные 1st'!$HR$2:$HR$317))</f>
        <v>5</v>
      </c>
      <c r="DR21">
        <f>SUMPRODUCT(--('Данные 1st'!$S$2:$S$317=$A21),--ISNUMBER('Данные 1st'!$HS$2:$HS$317))</f>
        <v>5</v>
      </c>
      <c r="DS21">
        <f>SUMPRODUCT(--('Данные 1st'!$S$2:$S$317=$A21),--ISNUMBER('Данные 1st'!$HT$2:$HT$317))</f>
        <v>5</v>
      </c>
      <c r="DT21">
        <f>SUMPRODUCT(--('Данные 1st'!$S$2:$S$317=$A21),--ISNUMBER('Данные 1st'!$HU$2:$HU$317))</f>
        <v>5</v>
      </c>
      <c r="DU21">
        <f>SUMPRODUCT(--('Данные 1st'!$S$2:$S$317=$A21),--ISNUMBER('Данные 1st'!$HW$2:$HW$317))</f>
        <v>5</v>
      </c>
      <c r="DV21">
        <f>SUMPRODUCT(--('Данные 1st'!$S$2:$S$317=$A21),--ISNUMBER('Данные 1st'!$HX$2:$HX$317))</f>
        <v>5</v>
      </c>
      <c r="DW21">
        <f>SUMPRODUCT(--('Данные 1st'!$S$2:$S$317=$A21),--ISNUMBER('Данные 1st'!$HY$2:$HY$317))</f>
        <v>5</v>
      </c>
      <c r="DX21">
        <f>SUMPRODUCT(--('Данные 1st'!$S$2:$S$317=$A21),--ISNUMBER('Данные 1st'!$IA$2:$IA$317))</f>
        <v>5</v>
      </c>
      <c r="DY21">
        <f>SUMPRODUCT(--('Данные 1st'!$S$2:$S$317=$A21),--ISNUMBER('Данные 1st'!$IB$2:$IB$317))</f>
        <v>5</v>
      </c>
      <c r="DZ21">
        <f>SUMPRODUCT(--('Данные 1st'!$S$2:$S$317=$A21),--ISNUMBER('Данные 1st'!$IC$2:$IC$317))</f>
        <v>5</v>
      </c>
      <c r="EA21">
        <f>SUMPRODUCT(--('Данные 1st'!$S$2:$S$317=$A21),--ISNUMBER('Данные 1st'!$ID$2:$ID$317))</f>
        <v>5</v>
      </c>
      <c r="EB21">
        <f>SUMPRODUCT(--('Данные 1st'!$S$2:$S$317=$A21),--ISNUMBER('Данные 1st'!$IE$2:$IE$317))</f>
        <v>5</v>
      </c>
      <c r="EC21">
        <f>SUMPRODUCT(--('Данные 1st'!$S$2:$S$317=$A21),--ISNUMBER('Данные 1st'!$IF$2:$IF$317))</f>
        <v>5</v>
      </c>
      <c r="ED21">
        <f>SUMPRODUCT(--('Данные 1st'!$S$2:$S$317=$A21),--ISNUMBER('Данные 1st'!$IP$2:$IP$317))</f>
        <v>5</v>
      </c>
      <c r="EE21">
        <f>SUMPRODUCT(--('Данные 1st'!$S$2:$S$317=$A21),--ISNUMBER('Данные 1st'!$IV$2:$IV$317))</f>
        <v>5</v>
      </c>
      <c r="EF21">
        <f>SUMPRODUCT(--('Данные 1st'!$S$2:$S$317=$A21),--ISNUMBER('Данные 1st'!$IW$2:$IW$317))</f>
        <v>5</v>
      </c>
      <c r="EG21">
        <f>SUMPRODUCT(--('Данные 1st'!$S$2:$S$317=$A21),--ISNUMBER('Данные 1st'!$IX$2:$IX$317))</f>
        <v>0</v>
      </c>
      <c r="EH21">
        <f>SUMPRODUCT(--('Данные 1st'!$S$2:$S$317=$A21),--ISNUMBER('Данные 1st'!$IY$2:$IY$317))</f>
        <v>0</v>
      </c>
      <c r="EI21">
        <f>SUMPRODUCT(--('Данные 1st'!$S$2:$S$317=$A21),--ISNUMBER('Данные 1st'!$JD$2:$JD$317))</f>
        <v>5</v>
      </c>
      <c r="EJ21">
        <f>SUMPRODUCT(--('Данные 1st'!$S$2:$S$317=$A21),--ISNUMBER('Данные 1st'!$JE$2:$JE$317))</f>
        <v>5</v>
      </c>
      <c r="EK21">
        <f>SUMPRODUCT(--('Данные 1st'!$S$2:$S$317=$A21),--ISNUMBER('Данные 1st'!$JF$2:$JF$317))</f>
        <v>5</v>
      </c>
      <c r="EL21">
        <f>SUMPRODUCT(--('Данные 1st'!$S$2:$S$317=$A21),--ISNUMBER('Данные 1st'!$JG$2:$JG$317))</f>
        <v>5</v>
      </c>
      <c r="EM21">
        <f>SUMPRODUCT(--('Данные 1st'!$S$2:$S$317=$A21),--ISNUMBER('Данные 1st'!$JH$2:$JH$317))</f>
        <v>5</v>
      </c>
      <c r="EN21">
        <f>SUMPRODUCT(--('Данные 1st'!$S$2:$S$317=$A21),--ISNUMBER('Данные 1st'!$JJ$2:$JJ$317))</f>
        <v>5</v>
      </c>
      <c r="EO21">
        <f>SUMPRODUCT(--('Данные 1st'!$S$2:$S$317=$A21),--ISNUMBER('Данные 1st'!$JK$2:$JK$317))</f>
        <v>5</v>
      </c>
      <c r="EP21">
        <f>SUMPRODUCT(--('Данные 1st'!$S$2:$S$317=$A21),--ISNUMBER('Данные 1st'!$JL$2:$JL$317))</f>
        <v>0</v>
      </c>
      <c r="EQ21">
        <f>SUMPRODUCT(--('Данные 1st'!$S$2:$S$317=$A21),--ISNUMBER('Данные 1st'!$JM$2:$JM$317))</f>
        <v>0</v>
      </c>
      <c r="ER21">
        <f>SUMPRODUCT(--('Данные 1st'!$S$2:$S$317=$A21),--ISNUMBER('Данные 1st'!$JN$2:$JN$317))</f>
        <v>5</v>
      </c>
      <c r="ES21">
        <f>SUMPRODUCT(--('Данные 1st'!$S$2:$S$317=$A21),--ISNUMBER('Данные 1st'!$JO$2:$JO$317))</f>
        <v>5</v>
      </c>
      <c r="ET21">
        <f>SUMPRODUCT(--('Данные 1st'!$S$2:$S$317=$A21),--ISNUMBER('Данные 1st'!$JP$2:$JP$317))</f>
        <v>5</v>
      </c>
      <c r="EU21">
        <f>SUMPRODUCT(--('Данные 1st'!$S$2:$S$317=$A21),--ISNUMBER('Данные 1st'!$JQ$2:$JQ$317))</f>
        <v>5</v>
      </c>
      <c r="EV21">
        <f>SUMPRODUCT(--('Данные 1st'!$S$2:$S$317=$A21),--ISNUMBER('Данные 1st'!$JR$2:$JR$317))</f>
        <v>5</v>
      </c>
      <c r="EW21">
        <f>SUMPRODUCT(--('Данные 1st'!$S$2:$S$317=$A21),--ISNUMBER('Данные 1st'!$JS$2:$JS$317))</f>
        <v>5</v>
      </c>
      <c r="EX21">
        <f>SUMPRODUCT(--('Данные 1st'!$S$2:$S$317=$A21),--ISNUMBER('Данные 1st'!$JT$2:$JT$317))</f>
        <v>0</v>
      </c>
      <c r="EY21">
        <f>SUMPRODUCT(--('Данные 1st'!$S$2:$S$317=$A21),--ISNUMBER('Данные 1st'!$JU$2:$JU$317))</f>
        <v>0</v>
      </c>
      <c r="EZ21">
        <f>SUMPRODUCT(--('Данные 1st'!$S$2:$S$317=$A21),--ISNUMBER('Данные 1st'!$JV$2:$JV$317))</f>
        <v>5</v>
      </c>
      <c r="FA21">
        <f>SUMPRODUCT(--('Данные 1st'!$S$2:$S$317=$A21),--ISNUMBER('Данные 1st'!$JW$2:$JW$317))</f>
        <v>0</v>
      </c>
      <c r="FB21">
        <f>SUMPRODUCT(--('Данные 1st'!$S$2:$S$317=$A21),--ISNUMBER('Данные 1st'!$JX$2:$JX$317))</f>
        <v>5</v>
      </c>
      <c r="FC21">
        <f>SUMPRODUCT(--('Данные 1st'!$S$2:$S$317=$A21),--ISNUMBER('Данные 1st'!$JY$2:$JY$317))</f>
        <v>0</v>
      </c>
      <c r="FD21">
        <f>SUMPRODUCT(--('Данные 1st'!$S$2:$S$317=$A21),--ISNUMBER('Данные 1st'!$JZ$2:$JZ$317))</f>
        <v>0</v>
      </c>
      <c r="FE21">
        <f>SUMPRODUCT(--('Данные 1st'!$S$2:$S$317=$A21),--ISNUMBER('Данные 1st'!$KA$2:$KA$317))</f>
        <v>5</v>
      </c>
      <c r="FF21">
        <f>SUMPRODUCT(--('Данные 1st'!$S$2:$S$317=$A21),--ISNUMBER('Данные 1st'!$KB$2:$KB$317))</f>
        <v>5</v>
      </c>
      <c r="FG21">
        <f>SUMPRODUCT(--('Данные 1st'!$S$2:$S$317=$A21),--ISNUMBER('Данные 1st'!$KC$2:$KC$317))</f>
        <v>5</v>
      </c>
      <c r="FH21">
        <f>SUMPRODUCT(--('Данные 1st'!$S$2:$S$317=$A21),--ISNUMBER('Данные 1st'!$KD$2:$KD$317))</f>
        <v>5</v>
      </c>
      <c r="FI21">
        <f>SUMPRODUCT(--('Данные 1st'!$S$2:$S$317=$A21),--ISNUMBER('Данные 1st'!$KE$2:$KE$317))</f>
        <v>0</v>
      </c>
      <c r="FJ21">
        <f>SUMPRODUCT(--('Данные 1st'!$S$2:$S$317=$A21),--ISNUMBER('Данные 1st'!$KF$2:$KF$317))</f>
        <v>5</v>
      </c>
      <c r="FK21">
        <f>SUMPRODUCT(--('Данные 1st'!$S$2:$S$317=$A21),--ISNUMBER('Данные 1st'!$KG$2:$KG$317))</f>
        <v>5</v>
      </c>
      <c r="FL21">
        <f>SUMPRODUCT(--('Данные 1st'!$S$2:$S$317=$A21),--ISNUMBER('Данные 1st'!$KH$2:$KH$317))</f>
        <v>5</v>
      </c>
      <c r="FM21">
        <f>SUMPRODUCT(--('Данные 1st'!$S$2:$S$317=$A21),--ISNUMBER('Данные 1st'!$KI$2:$KI$317))</f>
        <v>5</v>
      </c>
      <c r="FN21">
        <f>SUMPRODUCT(--('Данные 1st'!$S$2:$S$317=$A21),--ISNUMBER('Данные 1st'!$KJ$2:$KJ$317))</f>
        <v>5</v>
      </c>
      <c r="FO21">
        <f>SUMPRODUCT(--('Данные 1st'!$S$2:$S$317=$A21),--ISNUMBER('Данные 1st'!$KK$2:$KK$317))</f>
        <v>5</v>
      </c>
      <c r="FP21">
        <f>SUMPRODUCT(--('Данные 1st'!$S$2:$S$317=$A21),--ISNUMBER('Данные 1st'!$KL$2:$KL$317))</f>
        <v>5</v>
      </c>
      <c r="FQ21">
        <f>SUMPRODUCT(--('Данные 1st'!$S$2:$S$317=$A21),--ISNUMBER('Данные 1st'!$KM$2:$KM$317))</f>
        <v>5</v>
      </c>
      <c r="FR21">
        <f>SUMPRODUCT(--('Данные 1st'!$S$2:$S$317=$A21),--ISNUMBER('Данные 1st'!$KN$2:$KN$317))</f>
        <v>5</v>
      </c>
      <c r="FS21">
        <f>SUMPRODUCT(--('Данные 1st'!$S$2:$S$317=$A21),--ISNUMBER('Данные 1st'!$KR$2:$KR$317))</f>
        <v>5</v>
      </c>
      <c r="FT21">
        <f>SUMPRODUCT(--('Данные 1st'!$S$2:$S$317=$A21),--ISNUMBER('Данные 1st'!$KS$2:$KS$317))</f>
        <v>5</v>
      </c>
      <c r="FU21">
        <f>SUMPRODUCT(--('Данные 1st'!$S$2:$S$317=$A21),--ISNUMBER('Данные 1st'!$KT$2:$KT$317))</f>
        <v>5</v>
      </c>
      <c r="FV21">
        <f>SUMPRODUCT(--('Данные 1st'!$S$2:$S$317=$A21),--ISNUMBER('Данные 1st'!$KV$2:$KV$317))</f>
        <v>0</v>
      </c>
      <c r="FW21">
        <f>SUMPRODUCT(--('Данные 1st'!$S$2:$S$317=$A21),--ISNUMBER('Данные 1st'!$KW$2:$KW$317))</f>
        <v>0</v>
      </c>
      <c r="FX21">
        <f>SUMPRODUCT(--('Данные 1st'!$S$2:$S$317=$A21),--ISNUMBER('Данные 1st'!$KX$2:$KX$317))</f>
        <v>0</v>
      </c>
      <c r="FY21">
        <f>SUMPRODUCT(--('Данные 1st'!$S$2:$S$317=$A21),--ISNUMBER('Данные 1st'!$KY$2:$KY$317))</f>
        <v>0</v>
      </c>
      <c r="FZ21">
        <f>SUMPRODUCT(--('Данные 1st'!$S$2:$S$317=$A21),--ISNUMBER('Данные 1st'!$KZ$2:$KZ$317))</f>
        <v>0</v>
      </c>
      <c r="GA21">
        <f>SUMPRODUCT(--('Данные 1st'!$S$2:$S$317=$A21),--ISNUMBER('Данные 1st'!$LA$2:$LA$317))</f>
        <v>0</v>
      </c>
      <c r="GB21">
        <f>SUMPRODUCT(--('Данные 1st'!$S$2:$S$317=$A21),--ISNUMBER('Данные 1st'!$LB$2:$LB$317))</f>
        <v>0</v>
      </c>
      <c r="GC21">
        <f>SUMPRODUCT(--('Данные 1st'!$S$2:$S$317=$A21),--ISNUMBER('Данные 1st'!$LC$2:$LC$317))</f>
        <v>0</v>
      </c>
      <c r="GD21">
        <f>SUMPRODUCT(--('Данные 1st'!$S$2:$S$317=$A21),--ISNUMBER('Данные 1st'!$LD$2:$LD$317))</f>
        <v>0</v>
      </c>
      <c r="GE21">
        <f>SUMPRODUCT(--('Данные 1st'!$S$2:$S$317=$A21),--ISNUMBER('Данные 1st'!$LE$2:$LE$317))</f>
        <v>0</v>
      </c>
      <c r="GF21">
        <f>SUMPRODUCT(--('Данные 1st'!$S$2:$S$317=$A21),--ISNUMBER('Данные 1st'!$LF$2:$LF$317))</f>
        <v>0</v>
      </c>
      <c r="GG21">
        <f>SUMPRODUCT(--('Данные 1st'!$S$2:$S$317=$A21),--ISNUMBER('Данные 1st'!$LG$2:$LG$317))</f>
        <v>0</v>
      </c>
      <c r="GH21">
        <f>SUMPRODUCT(--('Данные 1st'!$S$2:$S$317=$A21),--ISNUMBER('Данные 1st'!$LH$2:$LH$317))</f>
        <v>0</v>
      </c>
      <c r="GI21">
        <f>SUMPRODUCT(--('Данные 1st'!$S$2:$S$317=$A21),--ISNUMBER('Данные 1st'!$LI$2:$LI$317))</f>
        <v>0</v>
      </c>
      <c r="GJ21">
        <f>SUMPRODUCT(--('Данные 1st'!$S$2:$S$317=$A21),--ISNUMBER('Данные 1st'!$LJ$2:$LJ$317))</f>
        <v>0</v>
      </c>
      <c r="GK21">
        <f>SUMPRODUCT(--('Данные 1st'!$S$2:$S$317=$A21),--ISNUMBER('Данные 1st'!$LK$2:$LK$317))</f>
        <v>5</v>
      </c>
      <c r="GL21">
        <f>SUMPRODUCT(--('Данные 1st'!$S$2:$S$317=$A21),--ISNUMBER('Данные 1st'!$LV$2:$LV$317))</f>
        <v>0</v>
      </c>
      <c r="GM21">
        <f>SUMPRODUCT(--('Данные 1st'!$S$2:$S$317=$A21),--ISNUMBER('Данные 1st'!$LW$2:$LW$317))</f>
        <v>0</v>
      </c>
      <c r="GN21">
        <f>SUMPRODUCT(--('Данные 1st'!$S$2:$S$317=$A21),--ISNUMBER('Данные 1st'!$LX$2:$LX$317))</f>
        <v>0</v>
      </c>
      <c r="GO21">
        <f>SUMPRODUCT(--('Данные 1st'!$S$2:$S$317=$A21),--ISNUMBER('Данные 1st'!$LY$2:$LY$317))</f>
        <v>0</v>
      </c>
      <c r="GP21">
        <f>SUMPRODUCT(--('Данные 1st'!$S$2:$S$317=$A21),--ISNUMBER('Данные 1st'!$LZ$2:$LZ$317))</f>
        <v>0</v>
      </c>
      <c r="GQ21">
        <f>SUMPRODUCT(--('Данные 1st'!$S$2:$S$317=$A21),--ISNUMBER('Данные 1st'!$PG$2:$PG$317))</f>
        <v>5</v>
      </c>
      <c r="GR21">
        <f>SUMPRODUCT(--('Данные 1st'!$S$2:$S$317=$A21),--ISNUMBER('Данные 1st'!$PX$2:$PX$317))</f>
        <v>5</v>
      </c>
      <c r="GS21">
        <f>SUMPRODUCT(--('Данные 1st'!$S$2:$S$317=$A21),--ISNUMBER('Данные 1st'!$PY$2:$PY$317))</f>
        <v>5</v>
      </c>
      <c r="GT21">
        <f>SUMPRODUCT(--('Данные 1st'!$S$2:$S$317=$A21),--ISNUMBER('Данные 1st'!$QA$2:$QA$317))</f>
        <v>5</v>
      </c>
      <c r="GU21">
        <f>SUMPRODUCT(--('Данные 1st'!$S$2:$S$317=$A21),--ISNUMBER('Данные 1st'!$QB$2:$QB$317))</f>
        <v>5</v>
      </c>
      <c r="GV21">
        <f>SUMPRODUCT(--('Данные 1st'!$S$2:$S$317=$A21),--ISNUMBER('Данные 1st'!$QC$2:$QC$317))</f>
        <v>5</v>
      </c>
      <c r="GW21">
        <f>SUMPRODUCT(--('Данные 1st'!$S$2:$S$317=$A21),--ISNUMBER('Данные 1st'!$QD$2:$QD$317))</f>
        <v>5</v>
      </c>
      <c r="GX21">
        <f>SUMPRODUCT(--('Данные 1st'!$S$2:$S$317=$A21),--ISNUMBER('Данные 1st'!$QF$2:$QF$317))</f>
        <v>5</v>
      </c>
      <c r="GY21">
        <f>SUMPRODUCT(--('Данные 1st'!$S$2:$S$317=$A21),--ISNUMBER('Данные 1st'!$QG$2:$QG$317))</f>
        <v>5</v>
      </c>
      <c r="GZ21">
        <f>SUMPRODUCT(--('Данные 1st'!$S$2:$S$317=$A21),--ISNUMBER('Данные 1st'!$QH$2:$QH$317))</f>
        <v>5</v>
      </c>
      <c r="HA21">
        <f>SUMPRODUCT(--('Данные 1st'!$S$2:$S$317=$A21),--ISNUMBER('Данные 1st'!$QI$2:$QI$317))</f>
        <v>5</v>
      </c>
      <c r="HB21">
        <f>SUMPRODUCT(--('Данные 1st'!$S$2:$S$317=$A21),--ISNUMBER('Данные 1st'!$QK$2:$QK$317))</f>
        <v>0</v>
      </c>
      <c r="HC21">
        <f>SUMPRODUCT(--('Данные 1st'!$S$2:$S$317=$A21),--ISNUMBER('Данные 1st'!$QL$2:$QL$317))</f>
        <v>5</v>
      </c>
      <c r="HD21">
        <f>SUMPRODUCT(--('Данные 1st'!$S$2:$S$317=$A21),--ISNUMBER('Данные 1st'!$QM$2:$QM$317))</f>
        <v>5</v>
      </c>
      <c r="HE21">
        <f>SUMPRODUCT(--('Данные 1st'!$S$2:$S$317=$A21),--ISNUMBER('Данные 1st'!$QN$2:$QN$317))</f>
        <v>5</v>
      </c>
      <c r="HF21">
        <f>SUMPRODUCT(--('Данные 1st'!$S$2:$S$317=$A21),--ISNUMBER('Данные 1st'!$QP$2:$QP$317))</f>
        <v>5</v>
      </c>
      <c r="HG21">
        <f>SUMPRODUCT(--('Данные 1st'!$S$2:$S$317=$A21),--ISNUMBER('Данные 1st'!$QQ$2:$QQ$317))</f>
        <v>5</v>
      </c>
      <c r="HH21">
        <f>SUMPRODUCT(--('Данные 1st'!$S$2:$S$317=$A21),--ISNUMBER('Данные 1st'!$QR$2:$QR$317))</f>
        <v>0</v>
      </c>
      <c r="HI21">
        <f>SUMPRODUCT(--('Данные 1st'!$S$2:$S$317=$A21),--ISNUMBER('Данные 1st'!$QS$2:$QS$317))</f>
        <v>0</v>
      </c>
      <c r="HJ21">
        <f>SUMPRODUCT(--('Данные 1st'!$S$2:$S$317=$A21),--ISNUMBER('Данные 1st'!$QU$2:$QU$317))</f>
        <v>0</v>
      </c>
      <c r="HK21">
        <f>SUMPRODUCT(--('Данные 1st'!$S$2:$S$317=$A21),--ISNUMBER('Данные 1st'!$QV$2:$QV$317))</f>
        <v>0</v>
      </c>
      <c r="HL21">
        <f>SUMPRODUCT(--('Данные 1st'!$S$2:$S$317=$A21),--ISNUMBER('Данные 1st'!$QW$2:$QW$317))</f>
        <v>5</v>
      </c>
      <c r="HM21">
        <f>SUMPRODUCT(--('Данные 1st'!$S$2:$S$317=$A21),--ISNUMBER('Данные 1st'!$QX$2:$QX$317))</f>
        <v>5</v>
      </c>
      <c r="HN21">
        <f>SUMPRODUCT(--('Данные 1st'!$S$2:$S$317=$A21),--ISNUMBER('Данные 1st'!$QZ$2:$QZ$317))</f>
        <v>5</v>
      </c>
      <c r="HO21">
        <f>SUMPRODUCT(--('Данные 1st'!$S$2:$S$317=$A21),--ISNUMBER('Данные 1st'!$RA$2:$RA$317))</f>
        <v>5</v>
      </c>
      <c r="HP21">
        <f>SUMPRODUCT(--('Данные 1st'!$S$2:$S$317=$A21),--ISNUMBER('Данные 1st'!$RB$2:$RB$317))</f>
        <v>5</v>
      </c>
      <c r="HQ21">
        <f>SUMPRODUCT(--('Данные 1st'!$S$2:$S$317=$A21),--ISNUMBER('Данные 1st'!$RD$2:$RD$317))</f>
        <v>0</v>
      </c>
      <c r="HR21">
        <f>SUMPRODUCT(--('Данные 1st'!$S$2:$S$317=$A21),--ISNUMBER('Данные 1st'!$RE$2:$RE$317))</f>
        <v>5</v>
      </c>
      <c r="HS21">
        <f>SUMPRODUCT(--('Данные 1st'!$S$2:$S$317=$A21),--ISNUMBER('Данные 1st'!$RF$2:$RF$317))</f>
        <v>1</v>
      </c>
      <c r="HT21">
        <f>SUMPRODUCT(--('Данные 1st'!$S$2:$S$317=$A21),--ISNUMBER('Данные 1st'!$RG$2:$RG$317))</f>
        <v>4</v>
      </c>
      <c r="HU21">
        <f>SUMPRODUCT(--('Данные 1st'!$S$2:$S$317=$A21),--ISNUMBER('Данные 1st'!$RH$2:$RH$317))</f>
        <v>0</v>
      </c>
      <c r="HV21">
        <f>SUMPRODUCT(--('Данные 1st'!$S$2:$S$317=$A21),--ISNUMBER('Данные 1st'!$RI$2:$RI$317))</f>
        <v>0</v>
      </c>
      <c r="HW21">
        <f>SUMPRODUCT(--('Данные 1st'!$S$2:$S$317=$A21),--ISNUMBER('Данные 1st'!$RJ$2:$RJ$317))</f>
        <v>5</v>
      </c>
      <c r="HX21">
        <f>SUMPRODUCT(--('Данные 1st'!$S$2:$S$317=$A21),--ISNUMBER('Данные 1st'!$RK$2:$RK$317))</f>
        <v>0</v>
      </c>
      <c r="HY21">
        <f>SUMPRODUCT(--('Данные 1st'!$S$2:$S$317=$A21),--ISNUMBER('Данные 1st'!$RL$2:$RL$317))</f>
        <v>5</v>
      </c>
      <c r="HZ21">
        <f>SUMPRODUCT(--('Данные 1st'!$S$2:$S$317=$A21),--ISNUMBER('Данные 1st'!$RM$2:$RM$317))</f>
        <v>0</v>
      </c>
      <c r="IA21">
        <f>SUMPRODUCT(--('Данные 1st'!$S$2:$S$317=$A21),--ISNUMBER('Данные 1st'!$RN$2:$RN$317))</f>
        <v>0</v>
      </c>
      <c r="IB21">
        <f>SUMPRODUCT(--('Данные 1st'!$S$2:$S$317=$A21),--ISNUMBER('Данные 1st'!$RO$2:$RO$317))</f>
        <v>5</v>
      </c>
      <c r="IC21">
        <f>SUMPRODUCT(--('Данные 1st'!$S$2:$S$317=$A21),--ISNUMBER('Данные 1st'!$RP$2:$RP$317))</f>
        <v>0</v>
      </c>
      <c r="ID21">
        <f>SUMPRODUCT(--('Данные 1st'!$S$2:$S$317=$A21),--ISNUMBER('Данные 1st'!$RQ$2:$RQ$317))</f>
        <v>5</v>
      </c>
      <c r="IE21">
        <f>SUMPRODUCT(--('Данные 1st'!$S$2:$S$317=$A21),--ISNUMBER('Данные 1st'!$RR$2:$RR$317))</f>
        <v>0</v>
      </c>
      <c r="IF21">
        <f>SUMPRODUCT(--('Данные 1st'!$S$2:$S$317=$A21),--ISNUMBER('Данные 1st'!$RS$2:$RS$317))</f>
        <v>0</v>
      </c>
      <c r="IG21">
        <f>SUMPRODUCT(--('Данные 1st'!$S$2:$S$317=$A21),--ISNUMBER('Данные 1st'!$RT$2:$RT$317))</f>
        <v>5</v>
      </c>
      <c r="IH21">
        <f>SUMPRODUCT(--('Данные 1st'!$S$2:$S$317=$A21),--ISNUMBER('Данные 1st'!$RU$2:$RU$317))</f>
        <v>5</v>
      </c>
      <c r="II21">
        <f>SUMPRODUCT(--('Данные 1st'!$S$2:$S$317=$A21),--ISNUMBER('Данные 1st'!$RX$2:$RX$317))</f>
        <v>5</v>
      </c>
      <c r="IJ21">
        <f>SUMPRODUCT(--('Данные 1st'!$S$2:$S$317=$A21),--ISNUMBER('Данные 1st'!$RY$2:$RY$317))</f>
        <v>5</v>
      </c>
      <c r="IK21">
        <f>SUMPRODUCT(--('Данные 1st'!$S$2:$S$317=$A21),--ISNUMBER('Данные 1st'!$SA$2:$SA$317))</f>
        <v>5</v>
      </c>
      <c r="IL21">
        <f>SUMPRODUCT(--('Данные 1st'!$S$2:$S$317=$A21),--ISNUMBER('Данные 1st'!$SD$2:$SD$317))</f>
        <v>5</v>
      </c>
      <c r="IM21">
        <f>SUMPRODUCT(--('Данные 1st'!$S$2:$S$317=$A21),--ISNUMBER('Данные 1st'!$SG$2:$SG$317))</f>
        <v>0</v>
      </c>
      <c r="IN21">
        <f>SUMPRODUCT(--('Данные 1st'!$S$2:$S$317=$A21),--ISNUMBER('Данные 1st'!$SH$2:$SH$317))</f>
        <v>5</v>
      </c>
      <c r="IO21">
        <f>SUMPRODUCT(--('Данные 1st'!$S$2:$S$317=$A21),--ISNUMBER('Данные 1st'!$SI$2:$SI$317))</f>
        <v>5</v>
      </c>
      <c r="IP21">
        <f>SUMPRODUCT(--('Данные 1st'!$S$2:$S$317=$A21),--ISNUMBER('Данные 1st'!$SJ$2:$SJ$317))</f>
        <v>5</v>
      </c>
      <c r="IQ21">
        <f>SUMPRODUCT(--('Данные 1st'!$S$2:$S$317=$A21),--ISNUMBER('Данные 1st'!$SK$2:$SK$317))</f>
        <v>5</v>
      </c>
      <c r="IR21">
        <f>SUMPRODUCT(--('Данные 1st'!$S$2:$S$317=$A21),--ISNUMBER('Данные 1st'!$SL$2:$SL$317))</f>
        <v>5</v>
      </c>
      <c r="IS21">
        <f>SUMPRODUCT(--('Данные 1st'!$S$2:$S$317=$A21),--ISNUMBER('Данные 1st'!$SM$2:$SM$317))</f>
        <v>5</v>
      </c>
      <c r="IT21">
        <f>SUMPRODUCT(--('Данные 1st'!$S$2:$S$317=$A21),--ISNUMBER('Данные 1st'!$SN$2:$SN$317))</f>
        <v>5</v>
      </c>
      <c r="IU21">
        <f>SUMPRODUCT(--('Данные 1st'!$S$2:$S$317=$A21),--ISNUMBER('Данные 1st'!$SO$2:$SO$317))</f>
        <v>5</v>
      </c>
      <c r="IV21">
        <f>SUMPRODUCT(--('Данные 1st'!$S$2:$S$317=$A21),--ISNUMBER('Данные 1st'!$SP$2:$SP$317))</f>
        <v>5</v>
      </c>
      <c r="IW21">
        <f>SUMPRODUCT(--('Данные 1st'!$S$2:$S$317=$A21),--ISNUMBER('Данные 1st'!$SQ$2:$SQ$317))</f>
        <v>5</v>
      </c>
      <c r="IX21">
        <f>SUMPRODUCT(--('Данные 1st'!$S$2:$S$317=$A21),--ISNUMBER('Данные 1st'!$SR$2:$SR$317))</f>
        <v>5</v>
      </c>
      <c r="IY21">
        <f>SUMPRODUCT(--('Данные 1st'!$S$2:$S$317=$A21),--ISNUMBER('Данные 1st'!$SS$2:$SS$317))</f>
        <v>5</v>
      </c>
      <c r="IZ21">
        <f>SUMPRODUCT(--('Данные 1st'!$S$2:$S$317=$A21),--ISNUMBER('Данные 1st'!$ST$2:$ST$317))</f>
        <v>5</v>
      </c>
      <c r="JA21">
        <f>SUMPRODUCT(--('Данные 1st'!$S$2:$S$317=$A21),--ISNUMBER('Данные 1st'!$SU$2:$SU$317))</f>
        <v>5</v>
      </c>
      <c r="JB21">
        <f>SUMPRODUCT(--('Данные 1st'!$S$2:$S$317=$A21),--ISNUMBER('Данные 1st'!$SV$2:$SV$317))</f>
        <v>5</v>
      </c>
      <c r="JC21">
        <f>SUMPRODUCT(--('Данные 1st'!$S$2:$S$317=$A21),--ISNUMBER('Данные 1st'!$SW$2:$SW$317))</f>
        <v>5</v>
      </c>
      <c r="JD21">
        <f>SUMPRODUCT(--('Данные 1st'!$S$2:$S$317=$A21),--ISNUMBER('Данные 1st'!$SX$2:$SX$317))</f>
        <v>5</v>
      </c>
      <c r="JE21">
        <f>SUMPRODUCT(--('Данные 1st'!$S$2:$S$317=$A21),--ISNUMBER('Данные 1st'!$SY$2:$SY$317))</f>
        <v>0</v>
      </c>
      <c r="JF21">
        <f>SUMPRODUCT(--('Данные 1st'!$S$2:$S$317=$A21),--ISNUMBER('Данные 1st'!$SZ$2:$SZ$317))</f>
        <v>0</v>
      </c>
      <c r="JG21">
        <f>SUMPRODUCT(--('Данные 1st'!$S$2:$S$317=$A21),--ISNUMBER('Данные 1st'!$TA$2:$TA$317))</f>
        <v>0</v>
      </c>
      <c r="JH21">
        <f>SUMPRODUCT(--('Данные 1st'!$S$2:$S$317=$A21),--ISNUMBER('Данные 1st'!$TB$2:$TB$317))</f>
        <v>5</v>
      </c>
      <c r="JI21">
        <f>SUMPRODUCT(--('Данные 1st'!$S$2:$S$317=$A21),--ISNUMBER('Данные 1st'!$TC$2:$TC$317))</f>
        <v>5</v>
      </c>
      <c r="JJ21">
        <f>SUMPRODUCT(--('Данные 1st'!$S$2:$S$317=$A21),--ISNUMBER('Данные 1st'!$TD$2:$TD$317))</f>
        <v>5</v>
      </c>
      <c r="JK21">
        <f>SUMPRODUCT(--('Данные 1st'!$S$2:$S$317=$A21),--ISNUMBER('Данные 1st'!$TN$2:$TN$317))</f>
        <v>5</v>
      </c>
      <c r="JQ21">
        <f>SUMPRODUCT(--('Данные 2st'!$Q$2:$Q$317=$A21),--ISNUMBER('Данные 2st'!$AC$2:$AC$317))</f>
        <v>5</v>
      </c>
      <c r="JR21">
        <f>SUMPRODUCT(--('Данные 2st'!$Q$2:$Q$317=$A21),--ISNUMBER('Данные 2st'!$AF$2:$AF$317))</f>
        <v>5</v>
      </c>
      <c r="JS21">
        <f>SUMPRODUCT(--('Данные 2st'!$Q$2:$Q$317=$A21),--ISNUMBER('Данные 2st'!$AW$2:$AW$317))</f>
        <v>5</v>
      </c>
      <c r="JT21">
        <f>SUMPRODUCT(--('Данные 2st'!$Q$2:$Q$317=$A21),--ISNUMBER('Данные 2st'!$AX$2:$AX$317))</f>
        <v>5</v>
      </c>
      <c r="JU21">
        <f>SUMPRODUCT(--('Данные 2st'!$Q$2:$Q$317=$A21),--ISNUMBER('Данные 2st'!$AY$2:$AY$317))</f>
        <v>5</v>
      </c>
      <c r="JV21">
        <f>SUMPRODUCT(--('Данные 2st'!$Q$2:$Q$317=$A21),--ISNUMBER('Данные 2st'!$AZ$2:$AZ$317))</f>
        <v>5</v>
      </c>
      <c r="JW21">
        <f>SUMPRODUCT(--('Данные 2st'!$Q$2:$Q$317=$A21),--ISNUMBER('Данные 2st'!$BA$2:$BA$317))</f>
        <v>0</v>
      </c>
      <c r="JX21">
        <f>SUMPRODUCT(--('Данные 2st'!$Q$2:$Q$317=$A21),--ISNUMBER('Данные 2st'!$BB$2:$BB$317))</f>
        <v>0</v>
      </c>
      <c r="JY21">
        <f>SUMPRODUCT(--('Данные 2st'!$Q$2:$Q$317=$A21),--ISNUMBER('Данные 2st'!$BC$2:$BC$317))</f>
        <v>0</v>
      </c>
      <c r="JZ21">
        <f>SUMPRODUCT(--('Данные 2st'!$Q$2:$Q$317=$A21),--ISNUMBER('Данные 2st'!$BH$2:$BH$317))</f>
        <v>5</v>
      </c>
      <c r="KA21">
        <f>SUMPRODUCT(--('Данные 2st'!$Q$2:$Q$317=$A21),--ISNUMBER('Данные 2st'!$BI$2:$BI$317))</f>
        <v>5</v>
      </c>
      <c r="KB21">
        <f>SUMPRODUCT(--('Данные 2st'!$Q$2:$Q$317=$A21),--ISNUMBER('Данные 2st'!$BJ$2:$BJ$317))</f>
        <v>5</v>
      </c>
      <c r="KC21">
        <f>SUMPRODUCT(--('Данные 2st'!$Q$2:$Q$317=$A21),--ISNUMBER('Данные 2st'!$BK$2:$BK$317))</f>
        <v>5</v>
      </c>
      <c r="KD21">
        <f>SUMPRODUCT(--('Данные 2st'!$Q$2:$Q$317=$A21),--ISNUMBER('Данные 2st'!$BL$2:$BL$317))</f>
        <v>5</v>
      </c>
      <c r="KE21">
        <f>SUMPRODUCT(--('Данные 2st'!$Q$2:$Q$317=$A21),--ISNUMBER('Данные 2st'!$BM$2:$BM$317))</f>
        <v>5</v>
      </c>
      <c r="KF21">
        <f>SUMPRODUCT(--('Данные 2st'!$Q$2:$Q$317=$A21),--ISNUMBER('Данные 2st'!$BN$2:$BN$317))</f>
        <v>5</v>
      </c>
      <c r="KG21">
        <f>SUMPRODUCT(--('Данные 2st'!$Q$2:$Q$317=$A21),--ISNUMBER('Данные 2st'!$BO$2:$BO$317))</f>
        <v>1</v>
      </c>
      <c r="KH21">
        <f>SUMPRODUCT(--('Данные 2st'!$Q$2:$Q$317=$A21),--ISNUMBER('Данные 2st'!$BP$2:$BP$317))</f>
        <v>5</v>
      </c>
      <c r="KI21">
        <f>SUMPRODUCT(--('Данные 2st'!$Q$2:$Q$317=$A21),--ISNUMBER('Данные 2st'!$BR$2:$BR$317))</f>
        <v>5</v>
      </c>
      <c r="KJ21">
        <f>SUMPRODUCT(--('Данные 2st'!$Q$2:$Q$317=$A21),--ISNUMBER('Данные 2st'!$BS$2:$BS$317))</f>
        <v>5</v>
      </c>
      <c r="KK21">
        <f>SUMPRODUCT(--('Данные 2st'!$Q$2:$Q$317=$A21),--ISNUMBER('Данные 2st'!$BT$2:$BT$317))</f>
        <v>5</v>
      </c>
      <c r="KL21">
        <f>SUMPRODUCT(--('Данные 2st'!$Q$2:$Q$317=$A21),--ISNUMBER('Данные 2st'!$CV$2:$CV$317))</f>
        <v>5</v>
      </c>
      <c r="KM21">
        <f>SUMPRODUCT(--('Данные 2st'!$Q$2:$Q$317=$A21),--ISNUMBER('Данные 2st'!$CW$2:$CW$317))</f>
        <v>5</v>
      </c>
      <c r="KN21">
        <f>SUMPRODUCT(--('Данные 2st'!$Q$2:$Q$317=$A21),--ISNUMBER('Данные 2st'!$CX$2:$CX$317))</f>
        <v>5</v>
      </c>
      <c r="KO21">
        <f>SUMPRODUCT(--('Данные 2st'!$Q$2:$Q$317=$A21),--ISNUMBER('Данные 2st'!$CY$2:$CY$317))</f>
        <v>5</v>
      </c>
      <c r="KP21">
        <f>SUMPRODUCT(--('Данные 2st'!$Q$2:$Q$317=$A21),--ISNUMBER('Данные 2st'!$CZ$2:$CZ$317))</f>
        <v>5</v>
      </c>
      <c r="KQ21">
        <f>SUMPRODUCT(--('Данные 2st'!$Q$2:$Q$317=$A21),--ISNUMBER('Данные 2st'!$DA$2:$DA$317))</f>
        <v>5</v>
      </c>
      <c r="KR21">
        <f>SUMPRODUCT(--('Данные 2st'!$Q$2:$Q$317=$A21),--ISNUMBER('Данные 2st'!$DB$2:$DB$317))</f>
        <v>5</v>
      </c>
      <c r="KS21">
        <f>SUMPRODUCT(--('Данные 2st'!$Q$2:$Q$317=$A21),--ISNUMBER('Данные 2st'!$DC$2:$DC$317))</f>
        <v>5</v>
      </c>
      <c r="KT21">
        <f>SUMPRODUCT(--('Данные 2st'!$Q$2:$Q$317=$A21),--ISNUMBER('Данные 2st'!$DD$2:$DD$317))</f>
        <v>5</v>
      </c>
      <c r="KU21">
        <f>SUMPRODUCT(--('Данные 2st'!$Q$2:$Q$317=$A21),--ISNUMBER('Данные 2st'!$DE$2:$DE$317))</f>
        <v>5</v>
      </c>
      <c r="KV21">
        <f>SUMPRODUCT(--('Данные 2st'!$Q$2:$Q$317=$A21),--ISNUMBER('Данные 2st'!$DF$2:$DF$317))</f>
        <v>5</v>
      </c>
      <c r="KW21">
        <f>SUMPRODUCT(--('Данные 2st'!$Q$2:$Q$317=$A21),--ISNUMBER('Данные 2st'!$DG$2:$DG$317))</f>
        <v>5</v>
      </c>
      <c r="KX21">
        <f>SUMPRODUCT(--('Данные 2st'!$Q$2:$Q$317=$A21),--ISNUMBER('Данные 2st'!$DH$2:$DH$317))</f>
        <v>0</v>
      </c>
      <c r="KY21">
        <f>SUMPRODUCT(--('Данные 2st'!$Q$2:$Q$317=$A21),--ISNUMBER('Данные 2st'!$DI$2:$DI$317))</f>
        <v>0</v>
      </c>
      <c r="KZ21">
        <f>SUMPRODUCT(--('Данные 2st'!$Q$2:$Q$317=$A21),--ISNUMBER('Данные 2st'!$DK$2:$DK$317))</f>
        <v>5</v>
      </c>
      <c r="LA21">
        <f>SUMPRODUCT(--('Данные 2st'!$Q$2:$Q$317=$A21),--ISNUMBER('Данные 2st'!$DM$2:$DM$317))</f>
        <v>5</v>
      </c>
      <c r="LB21">
        <f>SUMPRODUCT(--('Данные 2st'!$Q$2:$Q$317=$A21),--ISNUMBER('Данные 2st'!$DN$2:$DN$317))</f>
        <v>5</v>
      </c>
      <c r="LC21">
        <f>SUMPRODUCT(--('Данные 2st'!$Q$2:$Q$317=$A21),--ISNUMBER('Данные 2st'!$DO$2:$DO$317))</f>
        <v>5</v>
      </c>
      <c r="LD21">
        <f>SUMPRODUCT(--('Данные 2st'!$Q$2:$Q$317=$A21),--ISNUMBER('Данные 2st'!$DP$2:$DP$317))</f>
        <v>5</v>
      </c>
      <c r="LE21">
        <f>SUMPRODUCT(--('Данные 2st'!$Q$2:$Q$317=$A21),--ISNUMBER('Данные 2st'!$DQ$2:$DQ$317))</f>
        <v>5</v>
      </c>
      <c r="LF21">
        <f>SUMPRODUCT(--('Данные 2st'!$Q$2:$Q$317=$A21),--ISNUMBER('Данные 2st'!$DS$2:$DS$317))</f>
        <v>5</v>
      </c>
      <c r="LG21">
        <f>SUMPRODUCT(--('Данные 2st'!$Q$2:$Q$317=$A21),--ISNUMBER('Данные 2st'!$DU$2:$DU$317))</f>
        <v>5</v>
      </c>
      <c r="LH21">
        <f>SUMPRODUCT(--('Данные 2st'!$Q$2:$Q$317=$A21),--ISNUMBER('Данные 2st'!$DV$2:$DV$317))</f>
        <v>5</v>
      </c>
      <c r="LI21">
        <f>SUMPRODUCT(--('Данные 2st'!$Q$2:$Q$317=$A21),--ISNUMBER('Данные 2st'!$DW$2:$DW$317))</f>
        <v>5</v>
      </c>
      <c r="LJ21">
        <f>SUMPRODUCT(--('Данные 2st'!$Q$2:$Q$317=$A21),--ISNUMBER('Данные 2st'!$DX$2:$DX$317))</f>
        <v>5</v>
      </c>
      <c r="LK21">
        <f>SUMPRODUCT(--('Данные 2st'!$Q$2:$Q$317=$A21),--ISNUMBER('Данные 2st'!$DY$2:$DY$317))</f>
        <v>5</v>
      </c>
      <c r="LL21">
        <f>SUMPRODUCT(--('Данные 2st'!$Q$2:$Q$317=$A21),--ISNUMBER('Данные 2st'!$EA$2:$EA$317))</f>
        <v>5</v>
      </c>
      <c r="LM21">
        <f>SUMPRODUCT(--('Данные 2st'!$Q$2:$Q$317=$A21),--ISNUMBER('Данные 2st'!$EC$2:$EC$317))</f>
        <v>5</v>
      </c>
      <c r="LN21">
        <f>SUMPRODUCT(--('Данные 2st'!$Q$2:$Q$317=$A21),--ISNUMBER('Данные 2st'!$ED$2:$ED$317))</f>
        <v>5</v>
      </c>
      <c r="LO21">
        <f>SUMPRODUCT(--('Данные 2st'!$Q$2:$Q$317=$A21),--ISNUMBER('Данные 2st'!$EE$2:$EE$317))</f>
        <v>5</v>
      </c>
      <c r="LP21">
        <f>SUMPRODUCT(--('Данные 2st'!$Q$2:$Q$317=$A21),--ISNUMBER('Данные 2st'!$EG$2:$EG$317))</f>
        <v>5</v>
      </c>
      <c r="LQ21">
        <f>SUMPRODUCT(--('Данные 2st'!$Q$2:$Q$317=$A21),--ISNUMBER('Данные 2st'!$EI$2:$EI$317))</f>
        <v>5</v>
      </c>
      <c r="LR21">
        <f>SUMPRODUCT(--('Данные 2st'!$Q$2:$Q$317=$A21),--ISNUMBER('Данные 2st'!$EJ$2:$EJ$317))</f>
        <v>4</v>
      </c>
      <c r="LS21">
        <f>SUMPRODUCT(--('Данные 2st'!$Q$2:$Q$317=$A21),--ISNUMBER('Данные 2st'!$EK$2:$EK$317))</f>
        <v>4</v>
      </c>
      <c r="LT21">
        <f>SUMPRODUCT(--('Данные 2st'!$Q$2:$Q$317=$A21),--ISNUMBER('Данные 2st'!$EM$2:$EM$317))</f>
        <v>5</v>
      </c>
      <c r="LU21">
        <f>SUMPRODUCT(--('Данные 2st'!$Q$2:$Q$317=$A21),--ISNUMBER('Данные 2st'!$EN$2:$EN$317))</f>
        <v>5</v>
      </c>
      <c r="LV21">
        <f>SUMPRODUCT(--('Данные 2st'!$Q$2:$Q$317=$A21),--ISNUMBER('Данные 2st'!$EO$2:$EO$317))</f>
        <v>5</v>
      </c>
      <c r="LW21">
        <f>SUMPRODUCT(--('Данные 2st'!$Q$2:$Q$317=$A21),--ISNUMBER('Данные 2st'!$EP$2:$EP$317))</f>
        <v>5</v>
      </c>
      <c r="LX21">
        <f>SUMPRODUCT(--('Данные 2st'!$Q$2:$Q$317=$A21),--ISNUMBER('Данные 2st'!$EQ$2:$EQ$317))</f>
        <v>5</v>
      </c>
      <c r="LY21">
        <f>SUMPRODUCT(--('Данные 2st'!$Q$2:$Q$317=$A21),--ISNUMBER('Данные 2st'!$ER$2:$ER$317))</f>
        <v>5</v>
      </c>
      <c r="LZ21">
        <f>SUMPRODUCT(--('Данные 2st'!$Q$2:$Q$317=$A21),--ISNUMBER('Данные 2st'!$ES$2:$ES$317))</f>
        <v>5</v>
      </c>
      <c r="MA21">
        <f>SUMPRODUCT(--('Данные 2st'!$Q$2:$Q$317=$A21),--ISNUMBER('Данные 2st'!$ET$2:$ET$317))</f>
        <v>5</v>
      </c>
      <c r="MB21">
        <f>SUMPRODUCT(--('Данные 2st'!$Q$2:$Q$317=$A21),--ISNUMBER('Данные 2st'!$EU$2:$EU$317))</f>
        <v>5</v>
      </c>
      <c r="MC21">
        <f>SUMPRODUCT(--('Данные 2st'!$Q$2:$Q$317=$A21),--ISNUMBER('Данные 2st'!$EV$2:$EV$317))</f>
        <v>5</v>
      </c>
      <c r="MD21">
        <f>SUMPRODUCT(--('Данные 2st'!$Q$2:$Q$317=$A21),--ISNUMBER('Данные 2st'!$EW$2:$EW$317))</f>
        <v>5</v>
      </c>
      <c r="ME21">
        <f>SUMPRODUCT(--('Данные 2st'!$Q$2:$Q$317=$A21),--ISNUMBER('Данные 2st'!$EY$2:$EY$317))</f>
        <v>5</v>
      </c>
      <c r="MF21">
        <f>SUMPRODUCT(--('Данные 2st'!$Q$2:$Q$317=$A21),--ISNUMBER('Данные 2st'!$FA$2:$FA$317))</f>
        <v>5</v>
      </c>
      <c r="MG21">
        <f>SUMPRODUCT(--('Данные 2st'!$Q$2:$Q$317=$A21),--ISNUMBER('Данные 2st'!$FB$2:$FB$317))</f>
        <v>5</v>
      </c>
      <c r="MH21">
        <f>SUMPRODUCT(--('Данные 2st'!$Q$2:$Q$317=$A21),--ISNUMBER('Данные 2st'!$FC$2:$FC$317))</f>
        <v>5</v>
      </c>
      <c r="MI21">
        <f>SUMPRODUCT(--('Данные 2st'!$Q$2:$Q$317=$A21),--ISNUMBER('Данные 2st'!$FD$2:$FD$317))</f>
        <v>5</v>
      </c>
      <c r="MJ21">
        <f>SUMPRODUCT(--('Данные 2st'!$Q$2:$Q$317=$A21),--ISNUMBER('Данные 2st'!$FE$2:$FE$317))</f>
        <v>5</v>
      </c>
      <c r="MK21">
        <f>SUMPRODUCT(--('Данные 2st'!$Q$2:$Q$317=$A21),--ISNUMBER('Данные 2st'!$FG$2:$FG$317))</f>
        <v>5</v>
      </c>
      <c r="ML21">
        <f>SUMPRODUCT(--('Данные 2st'!$Q$2:$Q$317=$A21),--ISNUMBER('Данные 2st'!$FI$2:$FI$317))</f>
        <v>5</v>
      </c>
      <c r="MM21">
        <f>SUMPRODUCT(--('Данные 2st'!$Q$2:$Q$317=$A21),--ISNUMBER('Данные 2st'!$FJ$2:$FJ$317))</f>
        <v>5</v>
      </c>
      <c r="MN21">
        <f>SUMPRODUCT(--('Данные 2st'!$Q$2:$Q$317=$A21),--ISNUMBER('Данные 2st'!$FK$2:$FK$317))</f>
        <v>5</v>
      </c>
      <c r="MO21">
        <f>SUMPRODUCT(--('Данные 2st'!$Q$2:$Q$317=$A21),--ISNUMBER('Данные 2st'!$FP$2:$FP$317))</f>
        <v>5</v>
      </c>
      <c r="MP21">
        <f>SUMPRODUCT(--('Данные 2st'!$Q$2:$Q$317=$A21),--ISNUMBER('Данные 2st'!$FQ$2:$FQ$317))</f>
        <v>5</v>
      </c>
      <c r="MQ21">
        <f>SUMPRODUCT(--('Данные 2st'!$Q$2:$Q$317=$A21),--ISNUMBER('Данные 2st'!$FS$2:$FS$317))</f>
        <v>5</v>
      </c>
      <c r="MR21">
        <f>SUMPRODUCT(--('Данные 2st'!$Q$2:$Q$317=$A21),--ISNUMBER('Данные 2st'!$FU$2:$FU$317))</f>
        <v>5</v>
      </c>
      <c r="MS21">
        <f>SUMPRODUCT(--('Данные 2st'!$Q$2:$Q$317=$A21),--ISNUMBER('Данные 2st'!$FV$2:$FV$317))</f>
        <v>5</v>
      </c>
      <c r="MT21">
        <f>SUMPRODUCT(--('Данные 2st'!$Q$2:$Q$317=$A21),--ISNUMBER('Данные 2st'!$FW$2:$FW$317))</f>
        <v>5</v>
      </c>
      <c r="MU21">
        <f>SUMPRODUCT(--('Данные 2st'!$Q$2:$Q$317=$A21),--ISNUMBER('Данные 2st'!$FY$2:$FY$317))</f>
        <v>4</v>
      </c>
      <c r="MV21">
        <f>SUMPRODUCT(--('Данные 2st'!$Q$2:$Q$317=$A21),--ISNUMBER('Данные 2st'!$GB$2:$GB$317))</f>
        <v>4</v>
      </c>
      <c r="MW21">
        <f>SUMPRODUCT(--('Данные 2st'!$Q$2:$Q$317=$A21),--ISNUMBER('Данные 2st'!$GC$2:$GC$317))</f>
        <v>4</v>
      </c>
      <c r="MX21">
        <f>SUMPRODUCT(--('Данные 2st'!$Q$2:$Q$317=$A21),--ISNUMBER('Данные 2st'!$GD$2:$GD$317))</f>
        <v>5</v>
      </c>
      <c r="MY21">
        <f>SUMPRODUCT(--('Данные 2st'!$Q$2:$Q$317=$A21),--ISNUMBER('Данные 2st'!$GN$2:$GN$317))</f>
        <v>0</v>
      </c>
      <c r="MZ21">
        <f>SUMPRODUCT(--('Данные 2st'!$Q$2:$Q$317=$A21),--ISNUMBER('Данные 2st'!$GQ$2:$GQ$317))</f>
        <v>5</v>
      </c>
      <c r="NA21">
        <f>SUMPRODUCT(--('Данные 2st'!$Q$2:$Q$317=$A21),--ISNUMBER('Данные 2st'!$GV$2:$GV$317))</f>
        <v>5</v>
      </c>
      <c r="NB21">
        <f>SUMPRODUCT(--('Данные 2st'!$Q$2:$Q$317=$A21),--ISNUMBER('Данные 2st'!$GW$2:$GW$317))</f>
        <v>5</v>
      </c>
      <c r="NC21">
        <f>SUMPRODUCT(--('Данные 2st'!$Q$2:$Q$317=$A21),--ISNUMBER('Данные 2st'!$GX$2:$GX$317))</f>
        <v>5</v>
      </c>
      <c r="ND21">
        <f>SUMPRODUCT(--('Данные 2st'!$Q$2:$Q$317=$A21),--ISNUMBER('Данные 2st'!$GY$2:$GY$317))</f>
        <v>5</v>
      </c>
      <c r="NE21">
        <f>SUMPRODUCT(--('Данные 2st'!$Q$2:$Q$317=$A21),--ISNUMBER('Данные 2st'!$GZ$2:$GZ$317))</f>
        <v>5</v>
      </c>
      <c r="NF21">
        <f>SUMPRODUCT(--('Данные 2st'!$Q$2:$Q$317=$A21),--ISNUMBER('Данные 2st'!$HA$2:$HA$317))</f>
        <v>5</v>
      </c>
      <c r="NG21">
        <f>SUMPRODUCT(--('Данные 2st'!$Q$2:$Q$317=$A21),--ISNUMBER('Данные 2st'!$HB$2:$HB$317))</f>
        <v>5</v>
      </c>
      <c r="NH21">
        <f>SUMPRODUCT(--('Данные 2st'!$Q$2:$Q$317=$A21),--ISNUMBER('Данные 2st'!$HC$2:$HC$317))</f>
        <v>5</v>
      </c>
      <c r="NI21">
        <f>SUMPRODUCT(--('Данные 2st'!$Q$2:$Q$317=$A21),--ISNUMBER('Данные 2st'!$HD$2:$HD$317))</f>
        <v>5</v>
      </c>
      <c r="NJ21">
        <f>SUMPRODUCT(--('Данные 2st'!$Q$2:$Q$317=$A21),--ISNUMBER('Данные 2st'!$HM$2:$HM$317))</f>
        <v>5</v>
      </c>
      <c r="NK21">
        <f>SUMPRODUCT(--('Данные 2st'!$Q$2:$Q$317=$A21),--ISNUMBER('Данные 2st'!$HR$2:$HR$317))</f>
        <v>5</v>
      </c>
      <c r="NL21">
        <f>SUMPRODUCT(--('Данные 2st'!$Q$2:$Q$317=$A21),--ISNUMBER('Данные 2st'!$HS$2:$HS$317))</f>
        <v>5</v>
      </c>
      <c r="NM21">
        <f>SUMPRODUCT(--('Данные 2st'!$Q$2:$Q$317=$A21),--ISNUMBER('Данные 2st'!$HT$2:$HT$317))</f>
        <v>5</v>
      </c>
      <c r="NN21">
        <f>SUMPRODUCT(--('Данные 2st'!$Q$2:$Q$317=$A21),--ISNUMBER('Данные 2st'!$HY$2:$HY$317))</f>
        <v>5</v>
      </c>
      <c r="NO21">
        <f>SUMPRODUCT(--('Данные 2st'!$Q$2:$Q$317=$A21),--ISNUMBER('Данные 2st'!$HZ$2:$HZ$317))</f>
        <v>5</v>
      </c>
      <c r="NP21">
        <f>SUMPRODUCT(--('Данные 2st'!$Q$2:$Q$317=$A21),--ISNUMBER('Данные 2st'!$IA$2:$IA$317))</f>
        <v>5</v>
      </c>
      <c r="NQ21">
        <f>SUMPRODUCT(--('Данные 2st'!$Q$2:$Q$317=$A21),--ISNUMBER('Данные 2st'!$IB$2:$IB$317))</f>
        <v>5</v>
      </c>
      <c r="NR21">
        <f>SUMPRODUCT(--('Данные 2st'!$Q$2:$Q$317=$A21),--ISNUMBER('Данные 2st'!$IC$2:$IC$317))</f>
        <v>0</v>
      </c>
      <c r="NS21">
        <f>SUMPRODUCT(--('Данные 2st'!$Q$2:$Q$317=$A21),--ISNUMBER('Данные 2st'!$ID$2:$ID$317))</f>
        <v>5</v>
      </c>
      <c r="NT21">
        <f>SUMPRODUCT(--('Данные 2st'!$Q$2:$Q$317=$A21),--ISNUMBER('Данные 2st'!$IE$2:$IE$317))</f>
        <v>5</v>
      </c>
      <c r="NU21">
        <f>SUMPRODUCT(--('Данные 2st'!$Q$2:$Q$317=$A21),--ISNUMBER('Данные 2st'!$IF$2:$IF$317))</f>
        <v>5</v>
      </c>
      <c r="NV21">
        <f>SUMPRODUCT(--('Данные 2st'!$Q$2:$Q$317=$A21),--ISNUMBER('Данные 2st'!$IG$2:$IG$317))</f>
        <v>5</v>
      </c>
      <c r="NW21">
        <f>SUMPRODUCT(--('Данные 2st'!$Q$2:$Q$317=$A21),--ISNUMBER('Данные 2st'!$IH$2:$IH$317))</f>
        <v>5</v>
      </c>
      <c r="NX21">
        <f>SUMPRODUCT(--('Данные 2st'!$Q$2:$Q$317=$A21),--ISNUMBER('Данные 2st'!$IJ$2:$IJ$317))</f>
        <v>5</v>
      </c>
      <c r="NY21">
        <f>SUMPRODUCT(--('Данные 2st'!$Q$2:$Q$317=$A21),--ISNUMBER('Данные 2st'!$IM$2:$IM$317))</f>
        <v>5</v>
      </c>
      <c r="NZ21">
        <f>SUMPRODUCT(--('Данные 2st'!$Q$2:$Q$317=$A21),--ISNUMBER('Данные 2st'!$IN$2:$IN$317))</f>
        <v>5</v>
      </c>
      <c r="OA21">
        <f>SUMPRODUCT(--('Данные 2st'!$Q$2:$Q$317=$A21),--ISNUMBER('Данные 2st'!$IO$2:$IO$317))</f>
        <v>5</v>
      </c>
      <c r="OB21">
        <f>SUMPRODUCT(--('Данные 2st'!$Q$2:$Q$317=$A21),--ISNUMBER('Данные 2st'!$IP$2:$IP$317))</f>
        <v>5</v>
      </c>
      <c r="OC21">
        <f>SUMPRODUCT(--('Данные 2st'!$Q$2:$Q$317=$A21),--ISNUMBER('Данные 2st'!$IQ$2:$IQ$317))</f>
        <v>5</v>
      </c>
      <c r="OD21">
        <f>SUMPRODUCT(--('Данные 2st'!$Q$2:$Q$317=$A21),--ISNUMBER('Данные 2st'!$IR$2:$IR$317))</f>
        <v>5</v>
      </c>
      <c r="OE21">
        <f>SUMPRODUCT(--('Данные 2st'!$Q$2:$Q$317=$A21),--ISNUMBER('Данные 2st'!$IT$2:$IT$317))</f>
        <v>5</v>
      </c>
      <c r="OF21">
        <f>SUMPRODUCT(--('Данные 2st'!$Q$2:$Q$317=$A21),--ISNUMBER('Данные 2st'!$IU$2:$IU$317))</f>
        <v>5</v>
      </c>
      <c r="OG21">
        <f>SUMPRODUCT(--('Данные 2st'!$Q$2:$Q$317=$A21),--ISNUMBER('Данные 2st'!$IV$2:$IV$317))</f>
        <v>5</v>
      </c>
      <c r="OH21">
        <f>SUMPRODUCT(--('Данные 2st'!$Q$2:$Q$317=$A21),--ISNUMBER('Данные 2st'!$IW$2:$IW$317))</f>
        <v>5</v>
      </c>
      <c r="OI21">
        <f>SUMPRODUCT(--('Данные 2st'!$Q$2:$Q$317=$A21),--ISNUMBER('Данные 2st'!$IX$2:$IX$317))</f>
        <v>5</v>
      </c>
      <c r="OJ21">
        <f>SUMPRODUCT(--('Данные 2st'!$Q$2:$Q$317=$A21),--ISNUMBER('Данные 2st'!$IY$2:$IY$317))</f>
        <v>5</v>
      </c>
      <c r="OK21">
        <f>SUMPRODUCT(--('Данные 2st'!$Q$2:$Q$317=$A21),--ISNUMBER('Данные 2st'!$IZ$2:$IZ$317))</f>
        <v>5</v>
      </c>
      <c r="OL21">
        <f>SUMPRODUCT(--('Данные 2st'!$Q$2:$Q$317=$A21),--ISNUMBER('Данные 2st'!$JA$2:$JA$317))</f>
        <v>5</v>
      </c>
      <c r="OM21">
        <f>SUMPRODUCT(--('Данные 2st'!$Q$2:$Q$317=$A21),--ISNUMBER('Данные 2st'!$JB$2:$JB$317))</f>
        <v>5</v>
      </c>
      <c r="ON21">
        <f>SUMPRODUCT(--('Данные 2st'!$Q$2:$Q$317=$A21),--ISNUMBER('Данные 2st'!$JC$2:$JC$317))</f>
        <v>5</v>
      </c>
      <c r="OO21">
        <f>SUMPRODUCT(--('Данные 2st'!$Q$2:$Q$317=$A21),--ISNUMBER('Данные 2st'!$JD$2:$JD$317))</f>
        <v>5</v>
      </c>
      <c r="OP21">
        <f>SUMPRODUCT(--('Данные 2st'!$Q$2:$Q$317=$A21),--ISNUMBER('Данные 2st'!$JE$2:$JE$317))</f>
        <v>5</v>
      </c>
      <c r="OQ21">
        <f>SUMPRODUCT(--('Данные 2st'!$Q$2:$Q$317=$A21),--ISNUMBER('Данные 2st'!$JF$2:$JF$317))</f>
        <v>5</v>
      </c>
      <c r="OR21">
        <f>SUMPRODUCT(--('Данные 2st'!$Q$2:$Q$317=$A21),--ISNUMBER('Данные 2st'!$JG$2:$JG$317))</f>
        <v>5</v>
      </c>
      <c r="OS21">
        <f>SUMPRODUCT(--('Данные 2st'!$Q$2:$Q$317=$A21),--ISNUMBER('Данные 2st'!$JH$2:$JH$317))</f>
        <v>5</v>
      </c>
      <c r="OT21">
        <f>SUMPRODUCT(--('Данные 2st'!$Q$2:$Q$317=$A21),--ISNUMBER('Данные 2st'!$JI$2:$JI$317))</f>
        <v>5</v>
      </c>
      <c r="OU21">
        <f>SUMPRODUCT(--('Данные 2st'!$Q$2:$Q$317=$A21),--ISNUMBER('Данные 2st'!$JJ$2:$JJ$317))</f>
        <v>5</v>
      </c>
      <c r="OV21">
        <f>SUMPRODUCT(--('Данные 2st'!$Q$2:$Q$317=$A21),--ISNUMBER('Данные 2st'!$JK$2:$JK$317))</f>
        <v>5</v>
      </c>
      <c r="OW21">
        <f>SUMPRODUCT(--('Данные 2st'!$Q$2:$Q$317=$A21),--ISNUMBER('Данные 2st'!$JL$2:$JL$317))</f>
        <v>5</v>
      </c>
      <c r="OX21">
        <f>SUMPRODUCT(--('Данные 2st'!$Q$2:$Q$317=$A21),--ISNUMBER('Данные 2st'!$JM$2:$JM$317))</f>
        <v>5</v>
      </c>
      <c r="OY21">
        <f>SUMPRODUCT(--('Данные 2st'!$Q$2:$Q$317=$A21),--ISNUMBER('Данные 2st'!$JP$2:$JP$317))</f>
        <v>5</v>
      </c>
      <c r="OZ21">
        <f>SUMPRODUCT(--('Данные 2st'!$Q$2:$Q$317=$A21),--ISNUMBER('Данные 2st'!$JQ$2:$JQ$317))</f>
        <v>5</v>
      </c>
      <c r="PA21">
        <f>SUMPRODUCT(--('Данные 2st'!$Q$2:$Q$317=$A21),--ISNUMBER('Данные 2st'!$JR$2:$JR$317))</f>
        <v>5</v>
      </c>
      <c r="PB21">
        <f>SUMPRODUCT(--('Данные 2st'!$Q$2:$Q$317=$A21),--ISNUMBER('Данные 2st'!$JS$2:$JS$317))</f>
        <v>5</v>
      </c>
      <c r="PC21">
        <f>SUMPRODUCT(--('Данные 2st'!$Q$2:$Q$317=$A21),--ISNUMBER('Данные 2st'!$JT$2:$JT$317))</f>
        <v>5</v>
      </c>
      <c r="PD21">
        <f>SUMPRODUCT(--('Данные 2st'!$Q$2:$Q$317=$A21),--ISNUMBER('Данные 2st'!$JU$2:$JU$317))</f>
        <v>5</v>
      </c>
      <c r="PE21">
        <f>SUMPRODUCT(--('Данные 2st'!$Q$2:$Q$317=$A21),--ISNUMBER('Данные 2st'!$JV$2:$JV$317))</f>
        <v>5</v>
      </c>
      <c r="PF21">
        <f>SUMPRODUCT(--('Данные 2st'!$Q$2:$Q$317=$A21),--ISNUMBER('Данные 2st'!$JW$2:$JW$317))</f>
        <v>5</v>
      </c>
      <c r="PG21">
        <f>SUMPRODUCT(--('Данные 2st'!$Q$2:$Q$317=$A21),--ISNUMBER('Данные 2st'!$KF$2:$KF$317))</f>
        <v>5</v>
      </c>
      <c r="PH21">
        <f>SUMPRODUCT(--('Данные 2st'!$Q$2:$Q$317=$A21),--ISNUMBER('Данные 2st'!$KG$2:$KG$317))</f>
        <v>5</v>
      </c>
      <c r="PI21">
        <f>SUMPRODUCT(--('Данные 2st'!$Q$2:$Q$317=$A21),--ISNUMBER('Данные 2st'!$KM$2:$KM$317))</f>
        <v>5</v>
      </c>
      <c r="PJ21">
        <f>SUMPRODUCT(--('Данные 2st'!$Q$2:$Q$317=$A21),--ISNUMBER('Данные 2st'!$KN$2:$KN$317))</f>
        <v>5</v>
      </c>
      <c r="PK21">
        <f>SUMPRODUCT(--('Данные 2st'!$Q$2:$Q$317=$A21),--ISNUMBER('Данные 2st'!$KO$2:$KO$317))</f>
        <v>5</v>
      </c>
      <c r="PL21">
        <f>SUMPRODUCT(--('Данные 2st'!$Q$2:$Q$317=$A21),--ISNUMBER('Данные 2st'!$KP$2:$KP$317))</f>
        <v>5</v>
      </c>
      <c r="PM21">
        <f>SUMPRODUCT(--('Данные 2st'!$Q$2:$Q$317=$A21),--ISNUMBER('Данные 2st'!$KQ$2:$KQ$317))</f>
        <v>5</v>
      </c>
      <c r="PN21">
        <f>SUMPRODUCT(--('Данные 2st'!$Q$2:$Q$317=$A21),--ISNUMBER('Данные 2st'!$KR$2:$KR$317))</f>
        <v>5</v>
      </c>
      <c r="PO21">
        <f>SUMPRODUCT(--('Данные 2st'!$Q$2:$Q$317=$A21),--ISNUMBER('Данные 2st'!$KS$2:$KS$317))</f>
        <v>5</v>
      </c>
      <c r="PP21">
        <f>SUMPRODUCT(--('Данные 2st'!$Q$2:$Q$317=$A21),--ISNUMBER('Данные 2st'!$KT$2:$KT$317))</f>
        <v>5</v>
      </c>
      <c r="PQ21">
        <f>SUMPRODUCT(--('Данные 2st'!$Q$2:$Q$317=$A21),--ISNUMBER('Данные 2st'!$KU$2:$KU$317))</f>
        <v>5</v>
      </c>
      <c r="PR21">
        <f>SUMPRODUCT(--('Данные 2st'!$Q$2:$Q$317=$A21),--ISNUMBER('Данные 2st'!$KV$2:$KV$317))</f>
        <v>5</v>
      </c>
      <c r="PS21">
        <f>SUMPRODUCT(--('Данные 2st'!$Q$2:$Q$317=$A21),--ISNUMBER('Данные 2st'!$KW$2:$KW$317))</f>
        <v>5</v>
      </c>
      <c r="PT21">
        <f>SUMPRODUCT(--('Данные 2st'!$Q$2:$Q$317=$A21),--ISNUMBER('Данные 2st'!$KX$2:$KX$317))</f>
        <v>5</v>
      </c>
      <c r="PU21">
        <f>SUMPRODUCT(--('Данные 2st'!$Q$2:$Q$317=$A21),--ISNUMBER('Данные 2st'!$KY$2:$KY$317))</f>
        <v>5</v>
      </c>
      <c r="PV21">
        <f>SUMPRODUCT(--('Данные 2st'!$Q$2:$Q$317=$A21),--ISNUMBER('Данные 2st'!$KZ$2:$KZ$317))</f>
        <v>5</v>
      </c>
      <c r="PW21">
        <f>SUMPRODUCT(--('Данные 2st'!$Q$2:$Q$317=$A21),--ISNUMBER('Данные 2st'!$LA$2:$LA$317))</f>
        <v>5</v>
      </c>
      <c r="PX21">
        <f>SUMPRODUCT(--('Данные 2st'!$Q$2:$Q$317=$A21),--ISNUMBER('Данные 2st'!$LB$2:$LB$317))</f>
        <v>5</v>
      </c>
      <c r="PY21">
        <f>SUMPRODUCT(--('Данные 2st'!$Q$2:$Q$317=$A21),--ISNUMBER('Данные 2st'!$LC$2:$LC$317))</f>
        <v>5</v>
      </c>
      <c r="PZ21">
        <f>SUMPRODUCT(--('Данные 2st'!$Q$2:$Q$317=$A21),--ISNUMBER('Данные 2st'!$LD$2:$LD$317))</f>
        <v>5</v>
      </c>
      <c r="QA21">
        <f>SUMPRODUCT(--('Данные 2st'!$Q$2:$Q$317=$A21),--ISNUMBER('Данные 2st'!$LE$2:$LE$317))</f>
        <v>5</v>
      </c>
      <c r="QB21">
        <f>SUMPRODUCT(--('Данные 2st'!$Q$2:$Q$317=$A21),--ISNUMBER('Данные 2st'!$LF$2:$LF$317))</f>
        <v>5</v>
      </c>
      <c r="QC21">
        <f>SUMPRODUCT(--('Данные 2st'!$Q$2:$Q$317=$A21),--ISNUMBER('Данные 2st'!$LG$2:$LG$317))</f>
        <v>5</v>
      </c>
      <c r="QD21">
        <f>SUMPRODUCT(--('Данные 2st'!$Q$2:$Q$317=$A21),--ISNUMBER('Данные 2st'!$LH$2:$LH$317))</f>
        <v>5</v>
      </c>
      <c r="QE21">
        <f>SUMPRODUCT(--('Данные 2st'!$Q$2:$Q$317=$A21),--ISNUMBER('Данные 2st'!$LJ$2:$LJ$317))</f>
        <v>5</v>
      </c>
      <c r="QF21">
        <f>SUMPRODUCT(--('Данные 2st'!$Q$2:$Q$317=$A21),--ISNUMBER('Данные 2st'!$LK$2:$LK$317))</f>
        <v>5</v>
      </c>
      <c r="QG21">
        <f>SUMPRODUCT(--('Данные 2st'!$Q$2:$Q$317=$A21),--ISNUMBER('Данные 2st'!$LL$2:$LL$317))</f>
        <v>5</v>
      </c>
      <c r="QH21">
        <f>SUMPRODUCT(--('Данные 2st'!$Q$2:$Q$317=$A21),--ISNUMBER('Данные 2st'!$LM$2:$LM$317))</f>
        <v>5</v>
      </c>
      <c r="QI21">
        <f>SUMPRODUCT(--('Данные 2st'!$Q$2:$Q$317=$A21),--ISNUMBER('Данные 2st'!$LN$2:$LN$317))</f>
        <v>5</v>
      </c>
      <c r="QJ21">
        <f>SUMPRODUCT(--('Данные 2st'!$Q$2:$Q$317=$A21),--ISNUMBER('Данные 2st'!$LO$2:$LO$317))</f>
        <v>5</v>
      </c>
      <c r="QK21">
        <f>SUMPRODUCT(--('Данные 2st'!$Q$2:$Q$317=$A21),--ISNUMBER('Данные 2st'!$LP$2:$LP$317))</f>
        <v>5</v>
      </c>
      <c r="QL21">
        <f>SUMPRODUCT(--('Данные 2st'!$Q$2:$Q$317=$A21),--ISNUMBER('Данные 2st'!$LQ$2:$LQ$317))</f>
        <v>5</v>
      </c>
      <c r="QM21">
        <f>SUMPRODUCT(--('Данные 2st'!$Q$2:$Q$317=$A21),--ISNUMBER('Данные 2st'!$LW$2:$LW$317))</f>
        <v>5</v>
      </c>
      <c r="QN21">
        <f>SUMPRODUCT(--('Данные 2st'!$Q$2:$Q$317=$A21),--ISNUMBER('Данные 2st'!$LX$2:$LX$317))</f>
        <v>5</v>
      </c>
      <c r="QO21">
        <f>SUMPRODUCT(--('Данные 2st'!$Q$2:$Q$317=$A21),--ISNUMBER('Данные 2st'!$LY$2:$LY$317))</f>
        <v>5</v>
      </c>
      <c r="QP21">
        <f>SUMPRODUCT(--('Данные 2st'!$Q$2:$Q$317=$A21),--ISNUMBER('Данные 2st'!$LZ$2:$LZ$317))</f>
        <v>5</v>
      </c>
      <c r="QQ21">
        <f>SUMPRODUCT(--('Данные 2st'!$Q$2:$Q$317=$A21),--ISNUMBER('Данные 2st'!$MB$2:$MB$317))</f>
        <v>5</v>
      </c>
      <c r="QR21">
        <f>SUMPRODUCT(--('Данные 2st'!$Q$2:$Q$317=$A21),--ISNUMBER('Данные 2st'!$MG$2:$MG$317))</f>
        <v>5</v>
      </c>
      <c r="QS21">
        <f>SUMPRODUCT(--('Данные 2st'!$Q$2:$Q$317=$A21),--ISNUMBER('Данные 2st'!$MH$2:$MH$317))</f>
        <v>5</v>
      </c>
      <c r="QT21">
        <f>SUMPRODUCT(--('Данные 2st'!$Q$2:$Q$317=$A21),--ISNUMBER('Данные 2st'!$MI$2:$MI$317))</f>
        <v>5</v>
      </c>
      <c r="QU21">
        <f>SUMPRODUCT(--('Данные 2st'!$Q$2:$Q$317=$A21),--ISNUMBER('Данные 2st'!$MJ$2:$MJ$317))</f>
        <v>5</v>
      </c>
      <c r="QV21">
        <f>SUMPRODUCT(--('Данные 2st'!$Q$2:$Q$317=$A21),--ISNUMBER('Данные 2st'!$MK$2:$MK$317))</f>
        <v>5</v>
      </c>
      <c r="QW21">
        <f>SUMPRODUCT(--('Данные 2st'!$Q$2:$Q$317=$A21),--ISNUMBER('Данные 2st'!$MM$2:$MM$317))</f>
        <v>5</v>
      </c>
      <c r="QX21">
        <f>SUMPRODUCT(--('Данные 2st'!$Q$2:$Q$317=$A21),--ISNUMBER('Данные 2st'!$MQ$2:$MQ$317))</f>
        <v>0</v>
      </c>
      <c r="QY21">
        <f>SUMPRODUCT(--('Данные 2st'!$Q$2:$Q$317=$A21),--ISNUMBER('Данные 2st'!$MR$2:$MR$317))</f>
        <v>0</v>
      </c>
      <c r="QZ21">
        <f>SUMPRODUCT(--('Данные 2st'!$Q$2:$Q$317=$A21),--ISNUMBER('Данные 2st'!$MS$2:$MS$317))</f>
        <v>0</v>
      </c>
      <c r="RA21">
        <f>SUMPRODUCT(--('Данные 2st'!$Q$2:$Q$317=$A21),--ISNUMBER('Данные 2st'!$MT$2:$MT$317))</f>
        <v>0</v>
      </c>
      <c r="RB21">
        <f>SUMPRODUCT(--('Данные 2st'!$Q$2:$Q$317=$A21),--ISNUMBER('Данные 2st'!$MU$2:$MU$317))</f>
        <v>0</v>
      </c>
      <c r="RC21">
        <f>SUMPRODUCT(--('Данные 2st'!$Q$2:$Q$317=$A21),--ISNUMBER('Данные 2st'!$MV$2:$MV$317))</f>
        <v>0</v>
      </c>
      <c r="RD21">
        <f>SUMPRODUCT(--('Данные 2st'!$Q$2:$Q$317=$A21),--ISNUMBER('Данные 2st'!$MW$2:$MW$317))</f>
        <v>0</v>
      </c>
      <c r="RE21">
        <f>SUMPRODUCT(--('Данные 2st'!$Q$2:$Q$317=$A21),--ISNUMBER('Данные 2st'!$MX$2:$MX$317))</f>
        <v>0</v>
      </c>
      <c r="RF21">
        <f>SUMPRODUCT(--('Данные 2st'!$Q$2:$Q$317=$A21),--ISNUMBER('Данные 2st'!$MY$2:$MY$317))</f>
        <v>0</v>
      </c>
      <c r="RG21">
        <f>SUMPRODUCT(--('Данные 2st'!$Q$2:$Q$317=$A21),--ISNUMBER('Данные 2st'!$MZ$2:$MZ$317))</f>
        <v>0</v>
      </c>
      <c r="RH21">
        <f>SUMPRODUCT(--('Данные 2st'!$Q$2:$Q$317=$A21),--ISNUMBER('Данные 2st'!$NA$2:$NA$317))</f>
        <v>0</v>
      </c>
      <c r="RI21">
        <f>SUMPRODUCT(--('Данные 2st'!$Q$2:$Q$317=$A21),--ISNUMBER('Данные 2st'!$NB$2:$NB$317))</f>
        <v>0</v>
      </c>
      <c r="RJ21">
        <f>SUMPRODUCT(--('Данные 2st'!$Q$2:$Q$317=$A21),--ISNUMBER('Данные 2st'!$NC$2:$NC$317))</f>
        <v>0</v>
      </c>
      <c r="RK21">
        <f>SUMPRODUCT(--('Данные 2st'!$Q$2:$Q$317=$A21),--ISNUMBER('Данные 2st'!$ND$2:$ND$317))</f>
        <v>0</v>
      </c>
      <c r="RL21">
        <f>SUMPRODUCT(--('Данные 2st'!$Q$2:$Q$317=$A21),--ISNUMBER('Данные 2st'!$NE$2:$NE$317))</f>
        <v>0</v>
      </c>
      <c r="RM21">
        <f>SUMPRODUCT(--('Данные 2st'!$Q$2:$Q$317=$A21),--ISNUMBER('Данные 2st'!$NF$2:$NF$317))</f>
        <v>0</v>
      </c>
      <c r="RN21">
        <f>SUMPRODUCT(--('Данные 2st'!$Q$2:$Q$317=$A21),--ISNUMBER('Данные 2st'!$NG$2:$NG$317))</f>
        <v>0</v>
      </c>
      <c r="RO21">
        <f>SUMPRODUCT(--('Данные 2st'!$Q$2:$Q$317=$A21),--ISNUMBER('Данные 2st'!$NH$2:$NH$317))</f>
        <v>0</v>
      </c>
      <c r="RP21">
        <f>SUMPRODUCT(--('Данные 2st'!$Q$2:$Q$317=$A21),--ISNUMBER('Данные 2st'!$NJ$2:$NJ$317))</f>
        <v>0</v>
      </c>
      <c r="RQ21">
        <f>SUMPRODUCT(--('Данные 2st'!$Q$2:$Q$317=$A21),--ISNUMBER('Данные 2st'!$NK$2:$NK$317))</f>
        <v>0</v>
      </c>
      <c r="RR21">
        <f>SUMPRODUCT(--('Данные 2st'!$Q$2:$Q$317=$A21),--ISNUMBER('Данные 2st'!$NM$2:$NM$317))</f>
        <v>0</v>
      </c>
      <c r="RS21">
        <f>SUMPRODUCT(--('Данные 2st'!$Q$2:$Q$317=$A21),--ISNUMBER('Данные 2st'!$NN$2:$NN$317))</f>
        <v>0</v>
      </c>
      <c r="RT21">
        <f>SUMPRODUCT(--('Данные 2st'!$Q$2:$Q$317=$A21),--ISNUMBER('Данные 2st'!$NO$2:$NO$317))</f>
        <v>0</v>
      </c>
      <c r="RU21">
        <f>SUMPRODUCT(--('Данные 2st'!$Q$2:$Q$317=$A21),--ISNUMBER('Данные 2st'!$NP$2:$NP$317))</f>
        <v>0</v>
      </c>
      <c r="RV21">
        <f>SUMPRODUCT(--('Данные 2st'!$Q$2:$Q$317=$A21),--ISNUMBER('Данные 2st'!$NQ$2:$NQ$317))</f>
        <v>0</v>
      </c>
      <c r="RW21">
        <f>SUMPRODUCT(--('Данные 2st'!$Q$2:$Q$317=$A21),--ISNUMBER('Данные 2st'!$NR$2:$NR$317))</f>
        <v>0</v>
      </c>
      <c r="RX21">
        <f>SUMPRODUCT(--('Данные 2st'!$Q$2:$Q$317=$A21),--ISNUMBER('Данные 2st'!$NS$2:$NS$317))</f>
        <v>0</v>
      </c>
      <c r="RY21">
        <f>SUMPRODUCT(--('Данные 2st'!$Q$2:$Q$317=$A21),--ISNUMBER('Данные 2st'!$NT$2:$NT$317))</f>
        <v>0</v>
      </c>
      <c r="RZ21">
        <f>SUMPRODUCT(--('Данные 2st'!$Q$2:$Q$317=$A21),--ISNUMBER('Данные 2st'!$OK$2:$OK$317))</f>
        <v>5</v>
      </c>
      <c r="SA21">
        <f>SUMPRODUCT(--('Данные 2st'!$Q$2:$Q$317=$A21),--ISNUMBER('Данные 2st'!$OL$2:$OL$317))</f>
        <v>5</v>
      </c>
      <c r="SB21">
        <f>SUMPRODUCT(--('Данные 2st'!$Q$2:$Q$317=$A21),--ISNUMBER('Данные 2st'!$ON$2:$ON$317))</f>
        <v>5</v>
      </c>
      <c r="SC21">
        <f>SUMPRODUCT(--('Данные 2st'!$Q$2:$Q$317=$A21),--ISNUMBER('Данные 2st'!$OO$2:$OO$317))</f>
        <v>5</v>
      </c>
      <c r="SD21">
        <f>SUMPRODUCT(--('Данные 2st'!$Q$2:$Q$317=$A21),--ISNUMBER('Данные 2st'!$OP$2:$OP$317))</f>
        <v>5</v>
      </c>
      <c r="SE21">
        <f>SUMPRODUCT(--('Данные 2st'!$Q$2:$Q$317=$A21),--ISNUMBER('Данные 2st'!$OQ$2:$OQ$317))</f>
        <v>5</v>
      </c>
      <c r="SF21">
        <f>SUMPRODUCT(--('Данные 2st'!$Q$2:$Q$317=$A21),--ISNUMBER('Данные 2st'!$OS$2:$OS$317))</f>
        <v>5</v>
      </c>
      <c r="SG21">
        <f>SUMPRODUCT(--('Данные 2st'!$Q$2:$Q$317=$A21),--ISNUMBER('Данные 2st'!$OT$2:$OT$317))</f>
        <v>5</v>
      </c>
      <c r="SH21">
        <f>SUMPRODUCT(--('Данные 2st'!$Q$2:$Q$317=$A21),--ISNUMBER('Данные 2st'!$OU$2:$OU$317))</f>
        <v>5</v>
      </c>
      <c r="SI21">
        <f>SUMPRODUCT(--('Данные 2st'!$Q$2:$Q$317=$A21),--ISNUMBER('Данные 2st'!$OV$2:$OV$317))</f>
        <v>5</v>
      </c>
      <c r="SJ21">
        <f>SUMPRODUCT(--('Данные 2st'!$Q$2:$Q$317=$A21),--ISNUMBER('Данные 2st'!$OX$2:$OX$317))</f>
        <v>5</v>
      </c>
      <c r="SK21">
        <f>SUMPRODUCT(--('Данные 2st'!$Q$2:$Q$317=$A21),--ISNUMBER('Данные 2st'!$OY$2:$OY$317))</f>
        <v>5</v>
      </c>
      <c r="SL21">
        <f>SUMPRODUCT(--('Данные 2st'!$Q$2:$Q$317=$A21),--ISNUMBER('Данные 2st'!$OZ$2:$OZ$317))</f>
        <v>5</v>
      </c>
      <c r="SM21">
        <f>SUMPRODUCT(--('Данные 2st'!$Q$2:$Q$317=$A21),--ISNUMBER('Данные 2st'!$PA$2:$PA$317))</f>
        <v>5</v>
      </c>
      <c r="SN21">
        <f>SUMPRODUCT(--('Данные 2st'!$Q$2:$Q$317=$A21),--ISNUMBER('Данные 2st'!$PC$2:$PC$317))</f>
        <v>5</v>
      </c>
      <c r="SO21">
        <f>SUMPRODUCT(--('Данные 2st'!$Q$2:$Q$317=$A21),--ISNUMBER('Данные 2st'!$PD$2:$PD$317))</f>
        <v>5</v>
      </c>
      <c r="SP21">
        <f>SUMPRODUCT(--('Данные 2st'!$Q$2:$Q$317=$A21),--ISNUMBER('Данные 2st'!$PF$2:$PF$317))</f>
        <v>5</v>
      </c>
      <c r="SQ21">
        <f>SUMPRODUCT(--('Данные 2st'!$Q$2:$Q$317=$A21),--ISNUMBER('Данные 2st'!$PG$2:$PG$317))</f>
        <v>5</v>
      </c>
      <c r="SR21">
        <f>SUMPRODUCT(--('Данные 2st'!$Q$2:$Q$317=$A21),--ISNUMBER('Данные 2st'!$PH$2:$PH$317))</f>
        <v>5</v>
      </c>
      <c r="SS21">
        <f>SUMPRODUCT(--('Данные 2st'!$Q$2:$Q$317=$A21),--ISNUMBER('Данные 2st'!$PI$2:$PI$317))</f>
        <v>5</v>
      </c>
      <c r="ST21">
        <f>SUMPRODUCT(--('Данные 2st'!$Q$2:$Q$317=$A21),--ISNUMBER('Данные 2st'!$PJ$2:$PJ$317))</f>
        <v>5</v>
      </c>
      <c r="SU21">
        <f>SUMPRODUCT(--('Данные 2st'!$Q$2:$Q$317=$A21),--ISNUMBER('Данные 2st'!$PK$2:$PK$317))</f>
        <v>5</v>
      </c>
      <c r="SV21">
        <f>SUMPRODUCT(--('Данные 2st'!$Q$2:$Q$317=$A21),--ISNUMBER('Данные 2st'!$PL$2:$PL$317))</f>
        <v>5</v>
      </c>
      <c r="SW21">
        <f>SUMPRODUCT(--('Данные 2st'!$Q$2:$Q$317=$A21),--ISNUMBER('Данные 2st'!$PM$2:$PM$317))</f>
        <v>5</v>
      </c>
      <c r="SX21">
        <f>SUMPRODUCT(--('Данные 2st'!$Q$2:$Q$317=$A21),--ISNUMBER('Данные 2st'!$PN$2:$PN$317))</f>
        <v>5</v>
      </c>
      <c r="SY21">
        <f>SUMPRODUCT(--('Данные 2st'!$Q$2:$Q$317=$A21),--ISNUMBER('Данные 2st'!$PO$2:$PO$317))</f>
        <v>4</v>
      </c>
      <c r="SZ21">
        <f>SUMPRODUCT(--('Данные 2st'!$Q$2:$Q$317=$A21),--ISNUMBER('Данные 2st'!$PP$2:$PP$317))</f>
        <v>5</v>
      </c>
      <c r="TA21">
        <f>SUMPRODUCT(--('Данные 2st'!$Q$2:$Q$317=$A21),--ISNUMBER('Данные 2st'!$PQ$2:$PQ$317))</f>
        <v>5</v>
      </c>
      <c r="TB21">
        <f>SUMPRODUCT(--('Данные 2st'!$Q$2:$Q$317=$A21),--ISNUMBER('Данные 2st'!$PR$2:$PR$317))</f>
        <v>5</v>
      </c>
      <c r="TC21">
        <f>SUMPRODUCT(--('Данные 2st'!$Q$2:$Q$317=$A21),--ISNUMBER('Данные 2st'!$PS$2:$PS$317))</f>
        <v>5</v>
      </c>
      <c r="TD21">
        <f>SUMPRODUCT(--('Данные 2st'!$Q$2:$Q$317=$A21),--ISNUMBER('Данные 2st'!$PT$2:$PT$317))</f>
        <v>5</v>
      </c>
      <c r="TE21">
        <f>SUMPRODUCT(--('Данные 2st'!$Q$2:$Q$317=$A21),--ISNUMBER('Данные 2st'!$PU$2:$PU$317))</f>
        <v>5</v>
      </c>
      <c r="TF21">
        <f>SUMPRODUCT(--('Данные 2st'!$Q$2:$Q$317=$A21),--ISNUMBER('Данные 2st'!$PX$2:$PX$317))</f>
        <v>5</v>
      </c>
      <c r="TG21">
        <f>SUMPRODUCT(--('Данные 2st'!$Q$2:$Q$317=$A21),--ISNUMBER('Данные 2st'!$PY$2:$PY$317))</f>
        <v>5</v>
      </c>
      <c r="TH21">
        <f>SUMPRODUCT(--('Данные 2st'!$Q$2:$Q$317=$A21),--ISNUMBER('Данные 2st'!$PZ$2:$PZ$317))</f>
        <v>5</v>
      </c>
      <c r="TI21">
        <f>SUMPRODUCT(--('Данные 2st'!$Q$2:$Q$317=$A21),--ISNUMBER('Данные 2st'!$QA$2:$QA$317))</f>
        <v>5</v>
      </c>
      <c r="TJ21">
        <f>SUMPRODUCT(--('Данные 2st'!$Q$2:$Q$317=$A21),--ISNUMBER('Данные 2st'!$QB$2:$QB$317))</f>
        <v>5</v>
      </c>
      <c r="TK21">
        <f>SUMPRODUCT(--('Данные 2st'!$Q$2:$Q$317=$A21),--ISNUMBER('Данные 2st'!$QC$2:$QC$317))</f>
        <v>5</v>
      </c>
      <c r="TL21">
        <f>SUMPRODUCT(--('Данные 2st'!$Q$2:$Q$317=$A21),--ISNUMBER('Данные 2st'!$QD$2:$QD$317))</f>
        <v>5</v>
      </c>
      <c r="TM21">
        <f>SUMPRODUCT(--('Данные 2st'!$Q$2:$Q$317=$A21),--ISNUMBER('Данные 2st'!$QE$2:$QE$317))</f>
        <v>5</v>
      </c>
      <c r="TN21">
        <f>SUMPRODUCT(--('Данные 2st'!$Q$2:$Q$317=$A21),--ISNUMBER('Данные 2st'!$QF$2:$QF$317))</f>
        <v>5</v>
      </c>
      <c r="TO21">
        <f>SUMPRODUCT(--('Данные 2st'!$Q$2:$Q$317=$A21),--ISNUMBER('Данные 2st'!$QG$2:$QG$317))</f>
        <v>5</v>
      </c>
      <c r="TP21">
        <f>SUMPRODUCT(--('Данные 2st'!$Q$2:$Q$317=$A21),--ISNUMBER('Данные 2st'!$QH$2:$QH$317))</f>
        <v>5</v>
      </c>
      <c r="TQ21">
        <f>SUMPRODUCT(--('Данные 2st'!$Q$2:$Q$317=$A21),--ISNUMBER('Данные 2st'!$QI$2:$QI$317))</f>
        <v>5</v>
      </c>
      <c r="TR21">
        <f>SUMPRODUCT(--('Данные 2st'!$Q$2:$Q$317=$A21),--ISNUMBER('Данные 2st'!$QJ$2:$QJ$317))</f>
        <v>5</v>
      </c>
      <c r="TS21">
        <f>SUMPRODUCT(--('Данные 2st'!$Q$2:$Q$317=$A21),--ISNUMBER('Данные 2st'!$QK$2:$QK$317))</f>
        <v>5</v>
      </c>
      <c r="TT21">
        <f>SUMPRODUCT(--('Данные 2st'!$Q$2:$Q$317=$A21),--ISNUMBER('Данные 2st'!$QL$2:$QL$317))</f>
        <v>5</v>
      </c>
      <c r="TU21">
        <f>SUMPRODUCT(--('Данные 2st'!$Q$2:$Q$317=$A21),--ISNUMBER('Данные 2st'!$QM$2:$QM$317))</f>
        <v>5</v>
      </c>
      <c r="TV21">
        <f>SUMPRODUCT(--('Данные 2st'!$Q$2:$Q$317=$A21),--ISNUMBER('Данные 2st'!$QN$2:$QN$317))</f>
        <v>5</v>
      </c>
      <c r="TW21">
        <f>SUMPRODUCT(--('Данные 2st'!$Q$2:$Q$317=$A21),--ISNUMBER('Данные 2st'!$QQ$2:$QQ$317))</f>
        <v>5</v>
      </c>
      <c r="TX21">
        <f>SUMPRODUCT(--('Данные 2st'!$Q$2:$Q$317=$A21),--ISNUMBER('Данные 2st'!$QS$2:$QS$317))</f>
        <v>5</v>
      </c>
      <c r="TY21">
        <f>SUMPRODUCT(--('Данные 2st'!$Q$2:$Q$317=$A21),--ISNUMBER('Данные 2st'!$QT$2:$QT$317))</f>
        <v>5</v>
      </c>
    </row>
    <row r="22" spans="1:545" ht="32" customHeight="1">
      <c r="A22" s="11" t="str">
        <f>'По размерам'!A22</f>
        <v>215/55R16</v>
      </c>
      <c r="G22">
        <f>SUMPRODUCT(--('Данные 1st'!$S$2:$S$317=$A22),--ISNUMBER('Данные 1st'!$AE$2:$AE$317))</f>
        <v>4</v>
      </c>
      <c r="H22">
        <f>SUMPRODUCT(--('Данные 1st'!$S$2:$S$317=$A22),--ISNUMBER('Данные 1st'!$AF$2:$AF$317))</f>
        <v>4</v>
      </c>
      <c r="I22">
        <f>SUMPRODUCT(--('Данные 1st'!$S$2:$S$317=$A22),--ISNUMBER('Данные 1st'!$AJ$2:$AJ$317))</f>
        <v>4</v>
      </c>
      <c r="J22">
        <f>SUMPRODUCT(--('Данные 1st'!$S$2:$S$317=$A22),--ISNUMBER('Данные 1st'!$AL$2:$AL$317))</f>
        <v>4</v>
      </c>
      <c r="K22">
        <f>SUMPRODUCT(--('Данные 1st'!$S$2:$S$317=$A22),--ISNUMBER('Данные 1st'!$AR$2:$AR$317))</f>
        <v>4</v>
      </c>
      <c r="L22">
        <f>SUMPRODUCT(--('Данные 1st'!$S$2:$S$317=$A22),--ISNUMBER('Данные 1st'!$AS$2:$AS$317))</f>
        <v>4</v>
      </c>
      <c r="M22">
        <f>SUMPRODUCT(--('Данные 1st'!$S$2:$S$317=$A22),--ISNUMBER('Данные 1st'!$AY$2:$AY$317))</f>
        <v>4</v>
      </c>
      <c r="N22">
        <f>SUMPRODUCT(--('Данные 1st'!$S$2:$S$317=$A22),--ISNUMBER('Данные 1st'!$AZ$2:$AZ$317))</f>
        <v>4</v>
      </c>
      <c r="O22">
        <f>SUMPRODUCT(--('Данные 1st'!$S$2:$S$317=$A22),--ISNUMBER('Данные 1st'!$BF$2:$BF$317))</f>
        <v>0</v>
      </c>
      <c r="P22">
        <f>SUMPRODUCT(--('Данные 1st'!$S$2:$S$317=$A22),--ISNUMBER('Данные 1st'!$BG$2:$BG$317))</f>
        <v>4</v>
      </c>
      <c r="Q22">
        <f>SUMPRODUCT(--('Данные 1st'!$S$2:$S$317=$A22),--ISNUMBER('Данные 1st'!$BM$2:$BM$317))</f>
        <v>0</v>
      </c>
      <c r="R22">
        <f>SUMPRODUCT(--('Данные 1st'!$S$2:$S$317=$A22),--ISNUMBER('Данные 1st'!$BN$2:$BN$317))</f>
        <v>4</v>
      </c>
      <c r="S22">
        <f>SUMPRODUCT(--('Данные 1st'!$S$2:$S$317=$A22),--ISNUMBER('Данные 1st'!$BT$2:$BT$317))</f>
        <v>4</v>
      </c>
      <c r="T22">
        <f>SUMPRODUCT(--('Данные 1st'!$S$2:$S$317=$A22),--ISNUMBER('Данные 1st'!$BU$2:$BU$317))</f>
        <v>4</v>
      </c>
      <c r="U22">
        <f>SUMPRODUCT(--('Данные 1st'!$S$2:$S$317=$A22),--ISNUMBER('Данные 1st'!$BW$2:$BW$317))</f>
        <v>4</v>
      </c>
      <c r="V22">
        <f>SUMPRODUCT(--('Данные 1st'!$S$2:$S$317=$A22),--ISNUMBER('Данные 1st'!$BX$2:$BX$317))</f>
        <v>4</v>
      </c>
      <c r="W22">
        <f>SUMPRODUCT(--('Данные 1st'!$S$2:$S$317=$A22),--ISNUMBER('Данные 1st'!$BZ$2:$BZ$317))</f>
        <v>4</v>
      </c>
      <c r="X22">
        <f>SUMPRODUCT(--('Данные 1st'!$S$2:$S$317=$A22),--ISNUMBER('Данные 1st'!$CA$2:$CA$317))</f>
        <v>4</v>
      </c>
      <c r="Y22">
        <f>SUMPRODUCT(--('Данные 1st'!$S$2:$S$317=$A22),--ISNUMBER('Данные 1st'!$CD$2:$CD$317))</f>
        <v>4</v>
      </c>
      <c r="Z22">
        <f>SUMPRODUCT(--('Данные 1st'!$S$2:$S$317=$A22),--ISNUMBER('Данные 1st'!$CF$2:$CF$317))</f>
        <v>4</v>
      </c>
      <c r="AA22">
        <f>SUMPRODUCT(--('Данные 1st'!$S$2:$S$317=$A22),--ISNUMBER('Данные 1st'!$CI$2:$CI$317))</f>
        <v>4</v>
      </c>
      <c r="AB22">
        <f>SUMPRODUCT(--('Данные 1st'!$S$2:$S$317=$A22),--ISNUMBER('Данные 1st'!$CJ$2:$CJ$317))</f>
        <v>4</v>
      </c>
      <c r="AC22">
        <f>SUMPRODUCT(--('Данные 1st'!$S$2:$S$317=$A22),--ISNUMBER('Данные 1st'!$CK$2:$CK$317))</f>
        <v>4</v>
      </c>
      <c r="AD22">
        <f>SUMPRODUCT(--('Данные 1st'!$S$2:$S$317=$A22),--ISNUMBER('Данные 1st'!$CL$2:$CL$317))</f>
        <v>4</v>
      </c>
      <c r="AE22">
        <f>SUMPRODUCT(--('Данные 1st'!$S$2:$S$317=$A22),--ISNUMBER('Данные 1st'!$CM$2:$CM$317))</f>
        <v>4</v>
      </c>
      <c r="AF22">
        <f>SUMPRODUCT(--('Данные 1st'!$S$2:$S$317=$A22),--ISNUMBER('Данные 1st'!$CT$2:$CT$317))</f>
        <v>4</v>
      </c>
      <c r="AG22">
        <f>SUMPRODUCT(--('Данные 1st'!$S$2:$S$317=$A22),--ISNUMBER('Данные 1st'!$CU$2:$CU$317))</f>
        <v>4</v>
      </c>
      <c r="AH22">
        <f>SUMPRODUCT(--('Данные 1st'!$S$2:$S$317=$A22),--ISNUMBER('Данные 1st'!$CV$2:$CV$317))</f>
        <v>4</v>
      </c>
      <c r="AI22">
        <f>SUMPRODUCT(--('Данные 1st'!$S$2:$S$317=$A22),--ISNUMBER('Данные 1st'!$CW$2:$CW$317))</f>
        <v>4</v>
      </c>
      <c r="AJ22">
        <f>SUMPRODUCT(--('Данные 1st'!$S$2:$S$317=$A22),--ISNUMBER('Данные 1st'!$CX$2:$CX$317))</f>
        <v>4</v>
      </c>
      <c r="AK22">
        <f>SUMPRODUCT(--('Данные 1st'!$S$2:$S$317=$A22),--ISNUMBER('Данные 1st'!$CZ$2:$CZ$317))</f>
        <v>0</v>
      </c>
      <c r="AL22">
        <f>SUMPRODUCT(--('Данные 1st'!$S$2:$S$317=$A22),--ISNUMBER('Данные 1st'!$DA$2:$DA$317))</f>
        <v>0</v>
      </c>
      <c r="AM22">
        <f>SUMPRODUCT(--('Данные 1st'!$S$2:$S$317=$A22),--ISNUMBER('Данные 1st'!$DB$2:$DB$317))</f>
        <v>0</v>
      </c>
      <c r="AN22">
        <f>SUMPRODUCT(--('Данные 1st'!$S$2:$S$317=$A22),--ISNUMBER('Данные 1st'!$DC$2:$DC$317))</f>
        <v>0</v>
      </c>
      <c r="AO22">
        <f>SUMPRODUCT(--('Данные 1st'!$S$2:$S$317=$A22),--ISNUMBER('Данные 1st'!$DD$2:$DD$317))</f>
        <v>4</v>
      </c>
      <c r="AP22">
        <f>SUMPRODUCT(--('Данные 1st'!$S$2:$S$317=$A22),--ISNUMBER('Данные 1st'!$DF$2:$DF$317))</f>
        <v>4</v>
      </c>
      <c r="AQ22">
        <f>SUMPRODUCT(--('Данные 1st'!$S$2:$S$317=$A22),--ISNUMBER('Данные 1st'!$DG$2:$DG$317))</f>
        <v>4</v>
      </c>
      <c r="AR22">
        <f>SUMPRODUCT(--('Данные 1st'!$S$2:$S$317=$A22),--ISNUMBER('Данные 1st'!$DH$2:$DH$317))</f>
        <v>4</v>
      </c>
      <c r="AS22">
        <f>SUMPRODUCT(--('Данные 1st'!$S$2:$S$317=$A22),--ISNUMBER('Данные 1st'!$DI$2:$DI$317))</f>
        <v>4</v>
      </c>
      <c r="AT22">
        <f>SUMPRODUCT(--('Данные 1st'!$S$2:$S$317=$A22),--ISNUMBER('Данные 1st'!$DJ$2:$DJ$317))</f>
        <v>4</v>
      </c>
      <c r="AU22">
        <f>SUMPRODUCT(--('Данные 1st'!$S$2:$S$317=$A22),--ISNUMBER('Данные 1st'!$DL$2:$DL$317))</f>
        <v>0</v>
      </c>
      <c r="AV22">
        <f>SUMPRODUCT(--('Данные 1st'!$S$2:$S$317=$A22),--ISNUMBER('Данные 1st'!$DM$2:$DM$317))</f>
        <v>0</v>
      </c>
      <c r="AW22">
        <f>SUMPRODUCT(--('Данные 1st'!$S$2:$S$317=$A22),--ISNUMBER('Данные 1st'!$DN$2:$DN$317))</f>
        <v>0</v>
      </c>
      <c r="AX22">
        <f>SUMPRODUCT(--('Данные 1st'!$S$2:$S$317=$A22),--ISNUMBER('Данные 1st'!$DO$2:$DO$317))</f>
        <v>0</v>
      </c>
      <c r="AY22">
        <f>SUMPRODUCT(--('Данные 1st'!$S$2:$S$317=$A22),--ISNUMBER('Данные 1st'!$DP$2:$DP$317))</f>
        <v>0</v>
      </c>
      <c r="AZ22">
        <f>SUMPRODUCT(--('Данные 1st'!$S$2:$S$317=$A22),--ISNUMBER('Данные 1st'!$DR$2:$DR$317))</f>
        <v>0</v>
      </c>
      <c r="BA22">
        <f>SUMPRODUCT(--('Данные 1st'!$S$2:$S$317=$A22),--ISNUMBER('Данные 1st'!$DS$2:$DS$317))</f>
        <v>0</v>
      </c>
      <c r="BB22">
        <f>SUMPRODUCT(--('Данные 1st'!$S$2:$S$317=$A22),--ISNUMBER('Данные 1st'!$DT$2:$DT$317))</f>
        <v>0</v>
      </c>
      <c r="BC22">
        <f>SUMPRODUCT(--('Данные 1st'!$S$2:$S$317=$A22),--ISNUMBER('Данные 1st'!$DU$2:$DU$317))</f>
        <v>0</v>
      </c>
      <c r="BD22">
        <f>SUMPRODUCT(--('Данные 1st'!$S$2:$S$317=$A22),--ISNUMBER('Данные 1st'!$DV$2:$DV$317))</f>
        <v>0</v>
      </c>
      <c r="BE22">
        <f>SUMPRODUCT(--('Данные 1st'!$S$2:$S$317=$A22),--ISNUMBER('Данные 1st'!$DX$2:$DX$317))</f>
        <v>4</v>
      </c>
      <c r="BF22">
        <f>SUMPRODUCT(--('Данные 1st'!$S$2:$S$317=$A22),--ISNUMBER('Данные 1st'!$EA$2:$EA$317))</f>
        <v>4</v>
      </c>
      <c r="BG22">
        <f>SUMPRODUCT(--('Данные 1st'!$S$2:$S$317=$A22),--ISNUMBER('Данные 1st'!$EB$2:$EB$317))</f>
        <v>4</v>
      </c>
      <c r="BH22">
        <f>SUMPRODUCT(--('Данные 1st'!$S$2:$S$317=$A22),--ISNUMBER('Данные 1st'!$ED$2:$ED$317))</f>
        <v>4</v>
      </c>
      <c r="BI22">
        <f>SUMPRODUCT(--('Данные 1st'!$S$2:$S$317=$A22),--ISNUMBER('Данные 1st'!$EE$2:$EE$317))</f>
        <v>4</v>
      </c>
      <c r="BJ22">
        <f>SUMPRODUCT(--('Данные 1st'!$S$2:$S$317=$A22),--ISNUMBER('Данные 1st'!$EG$2:$EG$317))</f>
        <v>4</v>
      </c>
      <c r="BK22">
        <f>SUMPRODUCT(--('Данные 1st'!$S$2:$S$317=$A22),--ISNUMBER('Данные 1st'!$EH$2:$EH$317))</f>
        <v>4</v>
      </c>
      <c r="BL22">
        <f>SUMPRODUCT(--('Данные 1st'!$S$2:$S$317=$A22),--ISNUMBER('Данные 1st'!$EJ$2:$EJ$317))</f>
        <v>4</v>
      </c>
      <c r="BM22">
        <f>SUMPRODUCT(--('Данные 1st'!$S$2:$S$317=$A22),--ISNUMBER('Данные 1st'!$EK$2:$EK$317))</f>
        <v>4</v>
      </c>
      <c r="BN22">
        <f>SUMPRODUCT(--('Данные 1st'!$S$2:$S$317=$A22),--ISNUMBER('Данные 1st'!$EN$2:$EN$317))</f>
        <v>4</v>
      </c>
      <c r="BO22">
        <f>SUMPRODUCT(--('Данные 1st'!$S$2:$S$317=$A22),--ISNUMBER('Данные 1st'!$EQ$2:$EQ$317))</f>
        <v>4</v>
      </c>
      <c r="BP22">
        <f>SUMPRODUCT(--('Данные 1st'!$S$2:$S$317=$A22),--ISNUMBER('Данные 1st'!$ER$2:$ER$317))</f>
        <v>4</v>
      </c>
      <c r="BQ22">
        <f>SUMPRODUCT(--('Данные 1st'!$S$2:$S$317=$A22),--ISNUMBER('Данные 1st'!$ES$2:$ES$317))</f>
        <v>4</v>
      </c>
      <c r="BR22">
        <f>SUMPRODUCT(--('Данные 1st'!$S$2:$S$317=$A22),--ISNUMBER('Данные 1st'!$ET$2:$ET$317))</f>
        <v>4</v>
      </c>
      <c r="BS22">
        <f>SUMPRODUCT(--('Данные 1st'!$S$2:$S$317=$A22),--ISNUMBER('Данные 1st'!$EU$2:$EU$317))</f>
        <v>4</v>
      </c>
      <c r="BT22">
        <f>SUMPRODUCT(--('Данные 1st'!$S$2:$S$317=$A22),--ISNUMBER('Данные 1st'!$EV$2:$EV$317))</f>
        <v>4</v>
      </c>
      <c r="BU22">
        <f>SUMPRODUCT(--('Данные 1st'!$S$2:$S$317=$A22),--ISNUMBER('Данные 1st'!$EX$2:$EX$317))</f>
        <v>4</v>
      </c>
      <c r="BV22">
        <f>SUMPRODUCT(--('Данные 1st'!$S$2:$S$317=$A22),--ISNUMBER('Данные 1st'!$EY$2:$EY$317))</f>
        <v>4</v>
      </c>
      <c r="BW22">
        <f>SUMPRODUCT(--('Данные 1st'!$S$2:$S$317=$A22),--ISNUMBER('Данные 1st'!$EZ$2:$EZ$317))</f>
        <v>4</v>
      </c>
      <c r="BX22">
        <f>SUMPRODUCT(--('Данные 1st'!$S$2:$S$317=$A22),--ISNUMBER('Данные 1st'!$FA$2:$FA$317))</f>
        <v>4</v>
      </c>
      <c r="BY22">
        <f>SUMPRODUCT(--('Данные 1st'!$S$2:$S$317=$A22),--ISNUMBER('Данные 1st'!$FB$2:$FB$317))</f>
        <v>4</v>
      </c>
      <c r="BZ22">
        <f>SUMPRODUCT(--('Данные 1st'!$S$2:$S$317=$A22),--ISNUMBER('Данные 1st'!$FC$2:$FC$317))</f>
        <v>4</v>
      </c>
      <c r="CA22">
        <f>SUMPRODUCT(--('Данные 1st'!$S$2:$S$317=$A22),--ISNUMBER('Данные 1st'!$FE$2:$FE$317))</f>
        <v>4</v>
      </c>
      <c r="CB22">
        <f>SUMPRODUCT(--('Данные 1st'!$S$2:$S$317=$A22),--ISNUMBER('Данные 1st'!$FF$2:$FF$317))</f>
        <v>4</v>
      </c>
      <c r="CC22">
        <f>SUMPRODUCT(--('Данные 1st'!$S$2:$S$317=$A22),--ISNUMBER('Данные 1st'!$FI$2:$FI$317))</f>
        <v>4</v>
      </c>
      <c r="CD22">
        <f>SUMPRODUCT(--('Данные 1st'!$S$2:$S$317=$A22),--ISNUMBER('Данные 1st'!$FL$2:$FL$317))</f>
        <v>4</v>
      </c>
      <c r="CE22">
        <f>SUMPRODUCT(--('Данные 1st'!$S$2:$S$317=$A22),--ISNUMBER('Данные 1st'!$FM$2:$FM$317))</f>
        <v>4</v>
      </c>
      <c r="CF22">
        <f>SUMPRODUCT(--('Данные 1st'!$S$2:$S$317=$A22),--ISNUMBER('Данные 1st'!$FN$2:$FN$317))</f>
        <v>4</v>
      </c>
      <c r="CG22">
        <f>SUMPRODUCT(--('Данные 1st'!$S$2:$S$317=$A22),--ISNUMBER('Данные 1st'!$FO$2:$FO$317))</f>
        <v>0</v>
      </c>
      <c r="CH22">
        <f>SUMPRODUCT(--('Данные 1st'!$S$2:$S$317=$A22),--ISNUMBER('Данные 1st'!$FP$2:$FP$317))</f>
        <v>0</v>
      </c>
      <c r="CI22">
        <f>SUMPRODUCT(--('Данные 1st'!$S$2:$S$317=$A22),--ISNUMBER('Данные 1st'!$FS$2:$FS$317))</f>
        <v>4</v>
      </c>
      <c r="CJ22">
        <f>SUMPRODUCT(--('Данные 1st'!$S$2:$S$317=$A22),--ISNUMBER('Данные 1st'!$FT$2:$FT$317))</f>
        <v>4</v>
      </c>
      <c r="CK22">
        <f>SUMPRODUCT(--('Данные 1st'!$S$2:$S$317=$A22),--ISNUMBER('Данные 1st'!$FU$2:$FU$317))</f>
        <v>4</v>
      </c>
      <c r="CL22">
        <f>SUMPRODUCT(--('Данные 1st'!$S$2:$S$317=$A22),--ISNUMBER('Данные 1st'!$FV$2:$FV$317))</f>
        <v>0</v>
      </c>
      <c r="CM22">
        <f>SUMPRODUCT(--('Данные 1st'!$S$2:$S$317=$A22),--ISNUMBER('Данные 1st'!$FW$2:$FW$317))</f>
        <v>0</v>
      </c>
      <c r="CN22">
        <f>SUMPRODUCT(--('Данные 1st'!$S$2:$S$317=$A22),--ISNUMBER('Данные 1st'!$FZ$2:$FZ$317))</f>
        <v>2</v>
      </c>
      <c r="CO22">
        <f>SUMPRODUCT(--('Данные 1st'!$S$2:$S$317=$A22),--ISNUMBER('Данные 1st'!$GA$2:$GA$317))</f>
        <v>2</v>
      </c>
      <c r="CP22">
        <f>SUMPRODUCT(--('Данные 1st'!$S$2:$S$317=$A22),--ISNUMBER('Данные 1st'!$GB$2:$GB$317))</f>
        <v>2</v>
      </c>
      <c r="CQ22">
        <f>SUMPRODUCT(--('Данные 1st'!$S$2:$S$317=$A22),--ISNUMBER('Данные 1st'!$GH$2:$GH$317))</f>
        <v>2</v>
      </c>
      <c r="CR22">
        <f>SUMPRODUCT(--('Данные 1st'!$S$2:$S$317=$A22),--ISNUMBER('Данные 1st'!$GI$2:$GI$317))</f>
        <v>2</v>
      </c>
      <c r="CS22">
        <f>SUMPRODUCT(--('Данные 1st'!$S$2:$S$317=$A22),--ISNUMBER('Данные 1st'!$GJ$2:$GJ$317))</f>
        <v>2</v>
      </c>
      <c r="CT22">
        <f>SUMPRODUCT(--('Данные 1st'!$S$2:$S$317=$A22),--ISNUMBER('Данные 1st'!$GS$2:$GS$317))</f>
        <v>0</v>
      </c>
      <c r="CU22">
        <f>SUMPRODUCT(--('Данные 1st'!$S$2:$S$317=$A22),--ISNUMBER('Данные 1st'!$GT$2:$GT$317))</f>
        <v>0</v>
      </c>
      <c r="CV22">
        <f>SUMPRODUCT(--('Данные 1st'!$S$2:$S$317=$A22),--ISNUMBER('Данные 1st'!$GU$2:$GU$317))</f>
        <v>0</v>
      </c>
      <c r="CW22">
        <f>SUMPRODUCT(--('Данные 1st'!$S$2:$S$317=$A22),--ISNUMBER('Данные 1st'!$GV$2:$GV$317))</f>
        <v>0</v>
      </c>
      <c r="CX22">
        <f>SUMPRODUCT(--('Данные 1st'!$S$2:$S$317=$A22),--ISNUMBER('Данные 1st'!$GW$2:$GW$317))</f>
        <v>0</v>
      </c>
      <c r="CY22">
        <f>SUMPRODUCT(--('Данные 1st'!$S$2:$S$317=$A22),--ISNUMBER('Данные 1st'!$GZ$2:$GZ$317))</f>
        <v>0</v>
      </c>
      <c r="CZ22">
        <f>SUMPRODUCT(--('Данные 1st'!$S$2:$S$317=$A22),--ISNUMBER('Данные 1st'!$HA$2:$HA$317))</f>
        <v>0</v>
      </c>
      <c r="DA22">
        <f>SUMPRODUCT(--('Данные 1st'!$S$2:$S$317=$A22),--ISNUMBER('Данные 1st'!$HB$2:$HB$317))</f>
        <v>0</v>
      </c>
      <c r="DB22">
        <f>SUMPRODUCT(--('Данные 1st'!$S$2:$S$317=$A22),--ISNUMBER('Данные 1st'!$HC$2:$HC$317))</f>
        <v>4</v>
      </c>
      <c r="DC22">
        <f>SUMPRODUCT(--('Данные 1st'!$S$2:$S$317=$A22),--ISNUMBER('Данные 1st'!$HD$2:$HD$317))</f>
        <v>4</v>
      </c>
      <c r="DD22">
        <f>SUMPRODUCT(--('Данные 1st'!$S$2:$S$317=$A22),--ISNUMBER('Данные 1st'!$HE$2:$HE$317))</f>
        <v>4</v>
      </c>
      <c r="DE22">
        <f>SUMPRODUCT(--('Данные 1st'!$S$2:$S$317=$A22),--ISNUMBER('Данные 1st'!$HF$2:$HF$317))</f>
        <v>4</v>
      </c>
      <c r="DF22">
        <f>SUMPRODUCT(--('Данные 1st'!$S$2:$S$317=$A22),--ISNUMBER('Данные 1st'!$HG$2:$HG$317))</f>
        <v>4</v>
      </c>
      <c r="DG22">
        <f>SUMPRODUCT(--('Данные 1st'!$S$2:$S$317=$A22),--ISNUMBER('Данные 1st'!$HH$2:$HH$317))</f>
        <v>4</v>
      </c>
      <c r="DH22">
        <f>SUMPRODUCT(--('Данные 1st'!$S$2:$S$317=$A22),--ISNUMBER('Данные 1st'!$HI$2:$HI$317))</f>
        <v>4</v>
      </c>
      <c r="DI22">
        <f>SUMPRODUCT(--('Данные 1st'!$S$2:$S$317=$A22),--ISNUMBER('Данные 1st'!$HJ$2:$HJ$317))</f>
        <v>4</v>
      </c>
      <c r="DJ22">
        <f>SUMPRODUCT(--('Данные 1st'!$S$2:$S$317=$A22),--ISNUMBER('Данные 1st'!$HK$2:$HK$317))</f>
        <v>4</v>
      </c>
      <c r="DK22">
        <f>SUMPRODUCT(--('Данные 1st'!$S$2:$S$317=$A22),--ISNUMBER('Данные 1st'!$HL$2:$HL$317))</f>
        <v>4</v>
      </c>
      <c r="DL22">
        <f>SUMPRODUCT(--('Данные 1st'!$S$2:$S$317=$A22),--ISNUMBER('Данные 1st'!$HM$2:$HM$317))</f>
        <v>4</v>
      </c>
      <c r="DM22">
        <f>SUMPRODUCT(--('Данные 1st'!$S$2:$S$317=$A22),--ISNUMBER('Данные 1st'!$HN$2:$HN$317))</f>
        <v>4</v>
      </c>
      <c r="DN22">
        <f>SUMPRODUCT(--('Данные 1st'!$S$2:$S$317=$A22),--ISNUMBER('Данные 1st'!$HO$2:$HO$317))</f>
        <v>4</v>
      </c>
      <c r="DO22">
        <f>SUMPRODUCT(--('Данные 1st'!$S$2:$S$317=$A22),--ISNUMBER('Данные 1st'!$HP$2:$HP$317))</f>
        <v>4</v>
      </c>
      <c r="DP22">
        <f>SUMPRODUCT(--('Данные 1st'!$S$2:$S$317=$A22),--ISNUMBER('Данные 1st'!$HQ$2:$HQ$317))</f>
        <v>4</v>
      </c>
      <c r="DQ22">
        <f>SUMPRODUCT(--('Данные 1st'!$S$2:$S$317=$A22),--ISNUMBER('Данные 1st'!$HR$2:$HR$317))</f>
        <v>4</v>
      </c>
      <c r="DR22">
        <f>SUMPRODUCT(--('Данные 1st'!$S$2:$S$317=$A22),--ISNUMBER('Данные 1st'!$HS$2:$HS$317))</f>
        <v>4</v>
      </c>
      <c r="DS22">
        <f>SUMPRODUCT(--('Данные 1st'!$S$2:$S$317=$A22),--ISNUMBER('Данные 1st'!$HT$2:$HT$317))</f>
        <v>4</v>
      </c>
      <c r="DT22">
        <f>SUMPRODUCT(--('Данные 1st'!$S$2:$S$317=$A22),--ISNUMBER('Данные 1st'!$HU$2:$HU$317))</f>
        <v>4</v>
      </c>
      <c r="DU22">
        <f>SUMPRODUCT(--('Данные 1st'!$S$2:$S$317=$A22),--ISNUMBER('Данные 1st'!$HW$2:$HW$317))</f>
        <v>4</v>
      </c>
      <c r="DV22">
        <f>SUMPRODUCT(--('Данные 1st'!$S$2:$S$317=$A22),--ISNUMBER('Данные 1st'!$HX$2:$HX$317))</f>
        <v>4</v>
      </c>
      <c r="DW22">
        <f>SUMPRODUCT(--('Данные 1st'!$S$2:$S$317=$A22),--ISNUMBER('Данные 1st'!$HY$2:$HY$317))</f>
        <v>4</v>
      </c>
      <c r="DX22">
        <f>SUMPRODUCT(--('Данные 1st'!$S$2:$S$317=$A22),--ISNUMBER('Данные 1st'!$IA$2:$IA$317))</f>
        <v>4</v>
      </c>
      <c r="DY22">
        <f>SUMPRODUCT(--('Данные 1st'!$S$2:$S$317=$A22),--ISNUMBER('Данные 1st'!$IB$2:$IB$317))</f>
        <v>4</v>
      </c>
      <c r="DZ22">
        <f>SUMPRODUCT(--('Данные 1st'!$S$2:$S$317=$A22),--ISNUMBER('Данные 1st'!$IC$2:$IC$317))</f>
        <v>4</v>
      </c>
      <c r="EA22">
        <f>SUMPRODUCT(--('Данные 1st'!$S$2:$S$317=$A22),--ISNUMBER('Данные 1st'!$ID$2:$ID$317))</f>
        <v>4</v>
      </c>
      <c r="EB22">
        <f>SUMPRODUCT(--('Данные 1st'!$S$2:$S$317=$A22),--ISNUMBER('Данные 1st'!$IE$2:$IE$317))</f>
        <v>4</v>
      </c>
      <c r="EC22">
        <f>SUMPRODUCT(--('Данные 1st'!$S$2:$S$317=$A22),--ISNUMBER('Данные 1st'!$IF$2:$IF$317))</f>
        <v>4</v>
      </c>
      <c r="ED22">
        <f>SUMPRODUCT(--('Данные 1st'!$S$2:$S$317=$A22),--ISNUMBER('Данные 1st'!$IP$2:$IP$317))</f>
        <v>4</v>
      </c>
      <c r="EE22">
        <f>SUMPRODUCT(--('Данные 1st'!$S$2:$S$317=$A22),--ISNUMBER('Данные 1st'!$IV$2:$IV$317))</f>
        <v>4</v>
      </c>
      <c r="EF22">
        <f>SUMPRODUCT(--('Данные 1st'!$S$2:$S$317=$A22),--ISNUMBER('Данные 1st'!$IW$2:$IW$317))</f>
        <v>4</v>
      </c>
      <c r="EG22">
        <f>SUMPRODUCT(--('Данные 1st'!$S$2:$S$317=$A22),--ISNUMBER('Данные 1st'!$IX$2:$IX$317))</f>
        <v>0</v>
      </c>
      <c r="EH22">
        <f>SUMPRODUCT(--('Данные 1st'!$S$2:$S$317=$A22),--ISNUMBER('Данные 1st'!$IY$2:$IY$317))</f>
        <v>0</v>
      </c>
      <c r="EI22">
        <f>SUMPRODUCT(--('Данные 1st'!$S$2:$S$317=$A22),--ISNUMBER('Данные 1st'!$JD$2:$JD$317))</f>
        <v>4</v>
      </c>
      <c r="EJ22">
        <f>SUMPRODUCT(--('Данные 1st'!$S$2:$S$317=$A22),--ISNUMBER('Данные 1st'!$JE$2:$JE$317))</f>
        <v>4</v>
      </c>
      <c r="EK22">
        <f>SUMPRODUCT(--('Данные 1st'!$S$2:$S$317=$A22),--ISNUMBER('Данные 1st'!$JF$2:$JF$317))</f>
        <v>4</v>
      </c>
      <c r="EL22">
        <f>SUMPRODUCT(--('Данные 1st'!$S$2:$S$317=$A22),--ISNUMBER('Данные 1st'!$JG$2:$JG$317))</f>
        <v>4</v>
      </c>
      <c r="EM22">
        <f>SUMPRODUCT(--('Данные 1st'!$S$2:$S$317=$A22),--ISNUMBER('Данные 1st'!$JH$2:$JH$317))</f>
        <v>4</v>
      </c>
      <c r="EN22">
        <f>SUMPRODUCT(--('Данные 1st'!$S$2:$S$317=$A22),--ISNUMBER('Данные 1st'!$JJ$2:$JJ$317))</f>
        <v>4</v>
      </c>
      <c r="EO22">
        <f>SUMPRODUCT(--('Данные 1st'!$S$2:$S$317=$A22),--ISNUMBER('Данные 1st'!$JK$2:$JK$317))</f>
        <v>4</v>
      </c>
      <c r="EP22">
        <f>SUMPRODUCT(--('Данные 1st'!$S$2:$S$317=$A22),--ISNUMBER('Данные 1st'!$JL$2:$JL$317))</f>
        <v>0</v>
      </c>
      <c r="EQ22">
        <f>SUMPRODUCT(--('Данные 1st'!$S$2:$S$317=$A22),--ISNUMBER('Данные 1st'!$JM$2:$JM$317))</f>
        <v>0</v>
      </c>
      <c r="ER22">
        <f>SUMPRODUCT(--('Данные 1st'!$S$2:$S$317=$A22),--ISNUMBER('Данные 1st'!$JN$2:$JN$317))</f>
        <v>4</v>
      </c>
      <c r="ES22">
        <f>SUMPRODUCT(--('Данные 1st'!$S$2:$S$317=$A22),--ISNUMBER('Данные 1st'!$JO$2:$JO$317))</f>
        <v>4</v>
      </c>
      <c r="ET22">
        <f>SUMPRODUCT(--('Данные 1st'!$S$2:$S$317=$A22),--ISNUMBER('Данные 1st'!$JP$2:$JP$317))</f>
        <v>4</v>
      </c>
      <c r="EU22">
        <f>SUMPRODUCT(--('Данные 1st'!$S$2:$S$317=$A22),--ISNUMBER('Данные 1st'!$JQ$2:$JQ$317))</f>
        <v>4</v>
      </c>
      <c r="EV22">
        <f>SUMPRODUCT(--('Данные 1st'!$S$2:$S$317=$A22),--ISNUMBER('Данные 1st'!$JR$2:$JR$317))</f>
        <v>4</v>
      </c>
      <c r="EW22">
        <f>SUMPRODUCT(--('Данные 1st'!$S$2:$S$317=$A22),--ISNUMBER('Данные 1st'!$JS$2:$JS$317))</f>
        <v>4</v>
      </c>
      <c r="EX22">
        <f>SUMPRODUCT(--('Данные 1st'!$S$2:$S$317=$A22),--ISNUMBER('Данные 1st'!$JT$2:$JT$317))</f>
        <v>0</v>
      </c>
      <c r="EY22">
        <f>SUMPRODUCT(--('Данные 1st'!$S$2:$S$317=$A22),--ISNUMBER('Данные 1st'!$JU$2:$JU$317))</f>
        <v>0</v>
      </c>
      <c r="EZ22">
        <f>SUMPRODUCT(--('Данные 1st'!$S$2:$S$317=$A22),--ISNUMBER('Данные 1st'!$JV$2:$JV$317))</f>
        <v>4</v>
      </c>
      <c r="FA22">
        <f>SUMPRODUCT(--('Данные 1st'!$S$2:$S$317=$A22),--ISNUMBER('Данные 1st'!$JW$2:$JW$317))</f>
        <v>0</v>
      </c>
      <c r="FB22">
        <f>SUMPRODUCT(--('Данные 1st'!$S$2:$S$317=$A22),--ISNUMBER('Данные 1st'!$JX$2:$JX$317))</f>
        <v>4</v>
      </c>
      <c r="FC22">
        <f>SUMPRODUCT(--('Данные 1st'!$S$2:$S$317=$A22),--ISNUMBER('Данные 1st'!$JY$2:$JY$317))</f>
        <v>0</v>
      </c>
      <c r="FD22">
        <f>SUMPRODUCT(--('Данные 1st'!$S$2:$S$317=$A22),--ISNUMBER('Данные 1st'!$JZ$2:$JZ$317))</f>
        <v>0</v>
      </c>
      <c r="FE22">
        <f>SUMPRODUCT(--('Данные 1st'!$S$2:$S$317=$A22),--ISNUMBER('Данные 1st'!$KA$2:$KA$317))</f>
        <v>4</v>
      </c>
      <c r="FF22">
        <f>SUMPRODUCT(--('Данные 1st'!$S$2:$S$317=$A22),--ISNUMBER('Данные 1st'!$KB$2:$KB$317))</f>
        <v>4</v>
      </c>
      <c r="FG22">
        <f>SUMPRODUCT(--('Данные 1st'!$S$2:$S$317=$A22),--ISNUMBER('Данные 1st'!$KC$2:$KC$317))</f>
        <v>4</v>
      </c>
      <c r="FH22">
        <f>SUMPRODUCT(--('Данные 1st'!$S$2:$S$317=$A22),--ISNUMBER('Данные 1st'!$KD$2:$KD$317))</f>
        <v>4</v>
      </c>
      <c r="FI22">
        <f>SUMPRODUCT(--('Данные 1st'!$S$2:$S$317=$A22),--ISNUMBER('Данные 1st'!$KE$2:$KE$317))</f>
        <v>0</v>
      </c>
      <c r="FJ22">
        <f>SUMPRODUCT(--('Данные 1st'!$S$2:$S$317=$A22),--ISNUMBER('Данные 1st'!$KF$2:$KF$317))</f>
        <v>4</v>
      </c>
      <c r="FK22">
        <f>SUMPRODUCT(--('Данные 1st'!$S$2:$S$317=$A22),--ISNUMBER('Данные 1st'!$KG$2:$KG$317))</f>
        <v>4</v>
      </c>
      <c r="FL22">
        <f>SUMPRODUCT(--('Данные 1st'!$S$2:$S$317=$A22),--ISNUMBER('Данные 1st'!$KH$2:$KH$317))</f>
        <v>4</v>
      </c>
      <c r="FM22">
        <f>SUMPRODUCT(--('Данные 1st'!$S$2:$S$317=$A22),--ISNUMBER('Данные 1st'!$KI$2:$KI$317))</f>
        <v>4</v>
      </c>
      <c r="FN22">
        <f>SUMPRODUCT(--('Данные 1st'!$S$2:$S$317=$A22),--ISNUMBER('Данные 1st'!$KJ$2:$KJ$317))</f>
        <v>4</v>
      </c>
      <c r="FO22">
        <f>SUMPRODUCT(--('Данные 1st'!$S$2:$S$317=$A22),--ISNUMBER('Данные 1st'!$KK$2:$KK$317))</f>
        <v>4</v>
      </c>
      <c r="FP22">
        <f>SUMPRODUCT(--('Данные 1st'!$S$2:$S$317=$A22),--ISNUMBER('Данные 1st'!$KL$2:$KL$317))</f>
        <v>4</v>
      </c>
      <c r="FQ22">
        <f>SUMPRODUCT(--('Данные 1st'!$S$2:$S$317=$A22),--ISNUMBER('Данные 1st'!$KM$2:$KM$317))</f>
        <v>4</v>
      </c>
      <c r="FR22">
        <f>SUMPRODUCT(--('Данные 1st'!$S$2:$S$317=$A22),--ISNUMBER('Данные 1st'!$KN$2:$KN$317))</f>
        <v>4</v>
      </c>
      <c r="FS22">
        <f>SUMPRODUCT(--('Данные 1st'!$S$2:$S$317=$A22),--ISNUMBER('Данные 1st'!$KR$2:$KR$317))</f>
        <v>4</v>
      </c>
      <c r="FT22">
        <f>SUMPRODUCT(--('Данные 1st'!$S$2:$S$317=$A22),--ISNUMBER('Данные 1st'!$KS$2:$KS$317))</f>
        <v>4</v>
      </c>
      <c r="FU22">
        <f>SUMPRODUCT(--('Данные 1st'!$S$2:$S$317=$A22),--ISNUMBER('Данные 1st'!$KT$2:$KT$317))</f>
        <v>4</v>
      </c>
      <c r="FV22">
        <f>SUMPRODUCT(--('Данные 1st'!$S$2:$S$317=$A22),--ISNUMBER('Данные 1st'!$KV$2:$KV$317))</f>
        <v>0</v>
      </c>
      <c r="FW22">
        <f>SUMPRODUCT(--('Данные 1st'!$S$2:$S$317=$A22),--ISNUMBER('Данные 1st'!$KW$2:$KW$317))</f>
        <v>0</v>
      </c>
      <c r="FX22">
        <f>SUMPRODUCT(--('Данные 1st'!$S$2:$S$317=$A22),--ISNUMBER('Данные 1st'!$KX$2:$KX$317))</f>
        <v>0</v>
      </c>
      <c r="FY22">
        <f>SUMPRODUCT(--('Данные 1st'!$S$2:$S$317=$A22),--ISNUMBER('Данные 1st'!$KY$2:$KY$317))</f>
        <v>0</v>
      </c>
      <c r="FZ22">
        <f>SUMPRODUCT(--('Данные 1st'!$S$2:$S$317=$A22),--ISNUMBER('Данные 1st'!$KZ$2:$KZ$317))</f>
        <v>0</v>
      </c>
      <c r="GA22">
        <f>SUMPRODUCT(--('Данные 1st'!$S$2:$S$317=$A22),--ISNUMBER('Данные 1st'!$LA$2:$LA$317))</f>
        <v>0</v>
      </c>
      <c r="GB22">
        <f>SUMPRODUCT(--('Данные 1st'!$S$2:$S$317=$A22),--ISNUMBER('Данные 1st'!$LB$2:$LB$317))</f>
        <v>0</v>
      </c>
      <c r="GC22">
        <f>SUMPRODUCT(--('Данные 1st'!$S$2:$S$317=$A22),--ISNUMBER('Данные 1st'!$LC$2:$LC$317))</f>
        <v>0</v>
      </c>
      <c r="GD22">
        <f>SUMPRODUCT(--('Данные 1st'!$S$2:$S$317=$A22),--ISNUMBER('Данные 1st'!$LD$2:$LD$317))</f>
        <v>0</v>
      </c>
      <c r="GE22">
        <f>SUMPRODUCT(--('Данные 1st'!$S$2:$S$317=$A22),--ISNUMBER('Данные 1st'!$LE$2:$LE$317))</f>
        <v>0</v>
      </c>
      <c r="GF22">
        <f>SUMPRODUCT(--('Данные 1st'!$S$2:$S$317=$A22),--ISNUMBER('Данные 1st'!$LF$2:$LF$317))</f>
        <v>0</v>
      </c>
      <c r="GG22">
        <f>SUMPRODUCT(--('Данные 1st'!$S$2:$S$317=$A22),--ISNUMBER('Данные 1st'!$LG$2:$LG$317))</f>
        <v>0</v>
      </c>
      <c r="GH22">
        <f>SUMPRODUCT(--('Данные 1st'!$S$2:$S$317=$A22),--ISNUMBER('Данные 1st'!$LH$2:$LH$317))</f>
        <v>0</v>
      </c>
      <c r="GI22">
        <f>SUMPRODUCT(--('Данные 1st'!$S$2:$S$317=$A22),--ISNUMBER('Данные 1st'!$LI$2:$LI$317))</f>
        <v>0</v>
      </c>
      <c r="GJ22">
        <f>SUMPRODUCT(--('Данные 1st'!$S$2:$S$317=$A22),--ISNUMBER('Данные 1st'!$LJ$2:$LJ$317))</f>
        <v>0</v>
      </c>
      <c r="GK22">
        <f>SUMPRODUCT(--('Данные 1st'!$S$2:$S$317=$A22),--ISNUMBER('Данные 1st'!$LK$2:$LK$317))</f>
        <v>4</v>
      </c>
      <c r="GL22">
        <f>SUMPRODUCT(--('Данные 1st'!$S$2:$S$317=$A22),--ISNUMBER('Данные 1st'!$LV$2:$LV$317))</f>
        <v>0</v>
      </c>
      <c r="GM22">
        <f>SUMPRODUCT(--('Данные 1st'!$S$2:$S$317=$A22),--ISNUMBER('Данные 1st'!$LW$2:$LW$317))</f>
        <v>0</v>
      </c>
      <c r="GN22">
        <f>SUMPRODUCT(--('Данные 1st'!$S$2:$S$317=$A22),--ISNUMBER('Данные 1st'!$LX$2:$LX$317))</f>
        <v>0</v>
      </c>
      <c r="GO22">
        <f>SUMPRODUCT(--('Данные 1st'!$S$2:$S$317=$A22),--ISNUMBER('Данные 1st'!$LY$2:$LY$317))</f>
        <v>0</v>
      </c>
      <c r="GP22">
        <f>SUMPRODUCT(--('Данные 1st'!$S$2:$S$317=$A22),--ISNUMBER('Данные 1st'!$LZ$2:$LZ$317))</f>
        <v>0</v>
      </c>
      <c r="GQ22">
        <f>SUMPRODUCT(--('Данные 1st'!$S$2:$S$317=$A22),--ISNUMBER('Данные 1st'!$PG$2:$PG$317))</f>
        <v>4</v>
      </c>
      <c r="GR22">
        <f>SUMPRODUCT(--('Данные 1st'!$S$2:$S$317=$A22),--ISNUMBER('Данные 1st'!$PX$2:$PX$317))</f>
        <v>4</v>
      </c>
      <c r="GS22">
        <f>SUMPRODUCT(--('Данные 1st'!$S$2:$S$317=$A22),--ISNUMBER('Данные 1st'!$PY$2:$PY$317))</f>
        <v>4</v>
      </c>
      <c r="GT22">
        <f>SUMPRODUCT(--('Данные 1st'!$S$2:$S$317=$A22),--ISNUMBER('Данные 1st'!$QA$2:$QA$317))</f>
        <v>4</v>
      </c>
      <c r="GU22">
        <f>SUMPRODUCT(--('Данные 1st'!$S$2:$S$317=$A22),--ISNUMBER('Данные 1st'!$QB$2:$QB$317))</f>
        <v>4</v>
      </c>
      <c r="GV22">
        <f>SUMPRODUCT(--('Данные 1st'!$S$2:$S$317=$A22),--ISNUMBER('Данные 1st'!$QC$2:$QC$317))</f>
        <v>4</v>
      </c>
      <c r="GW22">
        <f>SUMPRODUCT(--('Данные 1st'!$S$2:$S$317=$A22),--ISNUMBER('Данные 1st'!$QD$2:$QD$317))</f>
        <v>4</v>
      </c>
      <c r="GX22">
        <f>SUMPRODUCT(--('Данные 1st'!$S$2:$S$317=$A22),--ISNUMBER('Данные 1st'!$QF$2:$QF$317))</f>
        <v>4</v>
      </c>
      <c r="GY22">
        <f>SUMPRODUCT(--('Данные 1st'!$S$2:$S$317=$A22),--ISNUMBER('Данные 1st'!$QG$2:$QG$317))</f>
        <v>4</v>
      </c>
      <c r="GZ22">
        <f>SUMPRODUCT(--('Данные 1st'!$S$2:$S$317=$A22),--ISNUMBER('Данные 1st'!$QH$2:$QH$317))</f>
        <v>4</v>
      </c>
      <c r="HA22">
        <f>SUMPRODUCT(--('Данные 1st'!$S$2:$S$317=$A22),--ISNUMBER('Данные 1st'!$QI$2:$QI$317))</f>
        <v>4</v>
      </c>
      <c r="HB22">
        <f>SUMPRODUCT(--('Данные 1st'!$S$2:$S$317=$A22),--ISNUMBER('Данные 1st'!$QK$2:$QK$317))</f>
        <v>0</v>
      </c>
      <c r="HC22">
        <f>SUMPRODUCT(--('Данные 1st'!$S$2:$S$317=$A22),--ISNUMBER('Данные 1st'!$QL$2:$QL$317))</f>
        <v>4</v>
      </c>
      <c r="HD22">
        <f>SUMPRODUCT(--('Данные 1st'!$S$2:$S$317=$A22),--ISNUMBER('Данные 1st'!$QM$2:$QM$317))</f>
        <v>4</v>
      </c>
      <c r="HE22">
        <f>SUMPRODUCT(--('Данные 1st'!$S$2:$S$317=$A22),--ISNUMBER('Данные 1st'!$QN$2:$QN$317))</f>
        <v>4</v>
      </c>
      <c r="HF22">
        <f>SUMPRODUCT(--('Данные 1st'!$S$2:$S$317=$A22),--ISNUMBER('Данные 1st'!$QP$2:$QP$317))</f>
        <v>4</v>
      </c>
      <c r="HG22">
        <f>SUMPRODUCT(--('Данные 1st'!$S$2:$S$317=$A22),--ISNUMBER('Данные 1st'!$QQ$2:$QQ$317))</f>
        <v>4</v>
      </c>
      <c r="HH22">
        <f>SUMPRODUCT(--('Данные 1st'!$S$2:$S$317=$A22),--ISNUMBER('Данные 1st'!$QR$2:$QR$317))</f>
        <v>0</v>
      </c>
      <c r="HI22">
        <f>SUMPRODUCT(--('Данные 1st'!$S$2:$S$317=$A22),--ISNUMBER('Данные 1st'!$QS$2:$QS$317))</f>
        <v>0</v>
      </c>
      <c r="HJ22">
        <f>SUMPRODUCT(--('Данные 1st'!$S$2:$S$317=$A22),--ISNUMBER('Данные 1st'!$QU$2:$QU$317))</f>
        <v>0</v>
      </c>
      <c r="HK22">
        <f>SUMPRODUCT(--('Данные 1st'!$S$2:$S$317=$A22),--ISNUMBER('Данные 1st'!$QV$2:$QV$317))</f>
        <v>0</v>
      </c>
      <c r="HL22">
        <f>SUMPRODUCT(--('Данные 1st'!$S$2:$S$317=$A22),--ISNUMBER('Данные 1st'!$QW$2:$QW$317))</f>
        <v>4</v>
      </c>
      <c r="HM22">
        <f>SUMPRODUCT(--('Данные 1st'!$S$2:$S$317=$A22),--ISNUMBER('Данные 1st'!$QX$2:$QX$317))</f>
        <v>4</v>
      </c>
      <c r="HN22">
        <f>SUMPRODUCT(--('Данные 1st'!$S$2:$S$317=$A22),--ISNUMBER('Данные 1st'!$QZ$2:$QZ$317))</f>
        <v>4</v>
      </c>
      <c r="HO22">
        <f>SUMPRODUCT(--('Данные 1st'!$S$2:$S$317=$A22),--ISNUMBER('Данные 1st'!$RA$2:$RA$317))</f>
        <v>4</v>
      </c>
      <c r="HP22">
        <f>SUMPRODUCT(--('Данные 1st'!$S$2:$S$317=$A22),--ISNUMBER('Данные 1st'!$RB$2:$RB$317))</f>
        <v>4</v>
      </c>
      <c r="HQ22">
        <f>SUMPRODUCT(--('Данные 1st'!$S$2:$S$317=$A22),--ISNUMBER('Данные 1st'!$RD$2:$RD$317))</f>
        <v>0</v>
      </c>
      <c r="HR22">
        <f>SUMPRODUCT(--('Данные 1st'!$S$2:$S$317=$A22),--ISNUMBER('Данные 1st'!$RE$2:$RE$317))</f>
        <v>4</v>
      </c>
      <c r="HS22">
        <f>SUMPRODUCT(--('Данные 1st'!$S$2:$S$317=$A22),--ISNUMBER('Данные 1st'!$RF$2:$RF$317))</f>
        <v>2</v>
      </c>
      <c r="HT22">
        <f>SUMPRODUCT(--('Данные 1st'!$S$2:$S$317=$A22),--ISNUMBER('Данные 1st'!$RG$2:$RG$317))</f>
        <v>2</v>
      </c>
      <c r="HU22">
        <f>SUMPRODUCT(--('Данные 1st'!$S$2:$S$317=$A22),--ISNUMBER('Данные 1st'!$RH$2:$RH$317))</f>
        <v>0</v>
      </c>
      <c r="HV22">
        <f>SUMPRODUCT(--('Данные 1st'!$S$2:$S$317=$A22),--ISNUMBER('Данные 1st'!$RI$2:$RI$317))</f>
        <v>0</v>
      </c>
      <c r="HW22">
        <f>SUMPRODUCT(--('Данные 1st'!$S$2:$S$317=$A22),--ISNUMBER('Данные 1st'!$RJ$2:$RJ$317))</f>
        <v>4</v>
      </c>
      <c r="HX22">
        <f>SUMPRODUCT(--('Данные 1st'!$S$2:$S$317=$A22),--ISNUMBER('Данные 1st'!$RK$2:$RK$317))</f>
        <v>0</v>
      </c>
      <c r="HY22">
        <f>SUMPRODUCT(--('Данные 1st'!$S$2:$S$317=$A22),--ISNUMBER('Данные 1st'!$RL$2:$RL$317))</f>
        <v>4</v>
      </c>
      <c r="HZ22">
        <f>SUMPRODUCT(--('Данные 1st'!$S$2:$S$317=$A22),--ISNUMBER('Данные 1st'!$RM$2:$RM$317))</f>
        <v>0</v>
      </c>
      <c r="IA22">
        <f>SUMPRODUCT(--('Данные 1st'!$S$2:$S$317=$A22),--ISNUMBER('Данные 1st'!$RN$2:$RN$317))</f>
        <v>0</v>
      </c>
      <c r="IB22">
        <f>SUMPRODUCT(--('Данные 1st'!$S$2:$S$317=$A22),--ISNUMBER('Данные 1st'!$RO$2:$RO$317))</f>
        <v>4</v>
      </c>
      <c r="IC22">
        <f>SUMPRODUCT(--('Данные 1st'!$S$2:$S$317=$A22),--ISNUMBER('Данные 1st'!$RP$2:$RP$317))</f>
        <v>0</v>
      </c>
      <c r="ID22">
        <f>SUMPRODUCT(--('Данные 1st'!$S$2:$S$317=$A22),--ISNUMBER('Данные 1st'!$RQ$2:$RQ$317))</f>
        <v>4</v>
      </c>
      <c r="IE22">
        <f>SUMPRODUCT(--('Данные 1st'!$S$2:$S$317=$A22),--ISNUMBER('Данные 1st'!$RR$2:$RR$317))</f>
        <v>0</v>
      </c>
      <c r="IF22">
        <f>SUMPRODUCT(--('Данные 1st'!$S$2:$S$317=$A22),--ISNUMBER('Данные 1st'!$RS$2:$RS$317))</f>
        <v>0</v>
      </c>
      <c r="IG22">
        <f>SUMPRODUCT(--('Данные 1st'!$S$2:$S$317=$A22),--ISNUMBER('Данные 1st'!$RT$2:$RT$317))</f>
        <v>4</v>
      </c>
      <c r="IH22">
        <f>SUMPRODUCT(--('Данные 1st'!$S$2:$S$317=$A22),--ISNUMBER('Данные 1st'!$RU$2:$RU$317))</f>
        <v>4</v>
      </c>
      <c r="II22">
        <f>SUMPRODUCT(--('Данные 1st'!$S$2:$S$317=$A22),--ISNUMBER('Данные 1st'!$RX$2:$RX$317))</f>
        <v>4</v>
      </c>
      <c r="IJ22">
        <f>SUMPRODUCT(--('Данные 1st'!$S$2:$S$317=$A22),--ISNUMBER('Данные 1st'!$RY$2:$RY$317))</f>
        <v>4</v>
      </c>
      <c r="IK22">
        <f>SUMPRODUCT(--('Данные 1st'!$S$2:$S$317=$A22),--ISNUMBER('Данные 1st'!$SA$2:$SA$317))</f>
        <v>4</v>
      </c>
      <c r="IL22">
        <f>SUMPRODUCT(--('Данные 1st'!$S$2:$S$317=$A22),--ISNUMBER('Данные 1st'!$SD$2:$SD$317))</f>
        <v>4</v>
      </c>
      <c r="IM22">
        <f>SUMPRODUCT(--('Данные 1st'!$S$2:$S$317=$A22),--ISNUMBER('Данные 1st'!$SG$2:$SG$317))</f>
        <v>0</v>
      </c>
      <c r="IN22">
        <f>SUMPRODUCT(--('Данные 1st'!$S$2:$S$317=$A22),--ISNUMBER('Данные 1st'!$SH$2:$SH$317))</f>
        <v>4</v>
      </c>
      <c r="IO22">
        <f>SUMPRODUCT(--('Данные 1st'!$S$2:$S$317=$A22),--ISNUMBER('Данные 1st'!$SI$2:$SI$317))</f>
        <v>4</v>
      </c>
      <c r="IP22">
        <f>SUMPRODUCT(--('Данные 1st'!$S$2:$S$317=$A22),--ISNUMBER('Данные 1st'!$SJ$2:$SJ$317))</f>
        <v>4</v>
      </c>
      <c r="IQ22">
        <f>SUMPRODUCT(--('Данные 1st'!$S$2:$S$317=$A22),--ISNUMBER('Данные 1st'!$SK$2:$SK$317))</f>
        <v>4</v>
      </c>
      <c r="IR22">
        <f>SUMPRODUCT(--('Данные 1st'!$S$2:$S$317=$A22),--ISNUMBER('Данные 1st'!$SL$2:$SL$317))</f>
        <v>4</v>
      </c>
      <c r="IS22">
        <f>SUMPRODUCT(--('Данные 1st'!$S$2:$S$317=$A22),--ISNUMBER('Данные 1st'!$SM$2:$SM$317))</f>
        <v>4</v>
      </c>
      <c r="IT22">
        <f>SUMPRODUCT(--('Данные 1st'!$S$2:$S$317=$A22),--ISNUMBER('Данные 1st'!$SN$2:$SN$317))</f>
        <v>4</v>
      </c>
      <c r="IU22">
        <f>SUMPRODUCT(--('Данные 1st'!$S$2:$S$317=$A22),--ISNUMBER('Данные 1st'!$SO$2:$SO$317))</f>
        <v>4</v>
      </c>
      <c r="IV22">
        <f>SUMPRODUCT(--('Данные 1st'!$S$2:$S$317=$A22),--ISNUMBER('Данные 1st'!$SP$2:$SP$317))</f>
        <v>4</v>
      </c>
      <c r="IW22">
        <f>SUMPRODUCT(--('Данные 1st'!$S$2:$S$317=$A22),--ISNUMBER('Данные 1st'!$SQ$2:$SQ$317))</f>
        <v>4</v>
      </c>
      <c r="IX22">
        <f>SUMPRODUCT(--('Данные 1st'!$S$2:$S$317=$A22),--ISNUMBER('Данные 1st'!$SR$2:$SR$317))</f>
        <v>4</v>
      </c>
      <c r="IY22">
        <f>SUMPRODUCT(--('Данные 1st'!$S$2:$S$317=$A22),--ISNUMBER('Данные 1st'!$SS$2:$SS$317))</f>
        <v>4</v>
      </c>
      <c r="IZ22">
        <f>SUMPRODUCT(--('Данные 1st'!$S$2:$S$317=$A22),--ISNUMBER('Данные 1st'!$ST$2:$ST$317))</f>
        <v>4</v>
      </c>
      <c r="JA22">
        <f>SUMPRODUCT(--('Данные 1st'!$S$2:$S$317=$A22),--ISNUMBER('Данные 1st'!$SU$2:$SU$317))</f>
        <v>4</v>
      </c>
      <c r="JB22">
        <f>SUMPRODUCT(--('Данные 1st'!$S$2:$S$317=$A22),--ISNUMBER('Данные 1st'!$SV$2:$SV$317))</f>
        <v>4</v>
      </c>
      <c r="JC22">
        <f>SUMPRODUCT(--('Данные 1st'!$S$2:$S$317=$A22),--ISNUMBER('Данные 1st'!$SW$2:$SW$317))</f>
        <v>4</v>
      </c>
      <c r="JD22">
        <f>SUMPRODUCT(--('Данные 1st'!$S$2:$S$317=$A22),--ISNUMBER('Данные 1st'!$SX$2:$SX$317))</f>
        <v>4</v>
      </c>
      <c r="JE22">
        <f>SUMPRODUCT(--('Данные 1st'!$S$2:$S$317=$A22),--ISNUMBER('Данные 1st'!$SY$2:$SY$317))</f>
        <v>0</v>
      </c>
      <c r="JF22">
        <f>SUMPRODUCT(--('Данные 1st'!$S$2:$S$317=$A22),--ISNUMBER('Данные 1st'!$SZ$2:$SZ$317))</f>
        <v>0</v>
      </c>
      <c r="JG22">
        <f>SUMPRODUCT(--('Данные 1st'!$S$2:$S$317=$A22),--ISNUMBER('Данные 1st'!$TA$2:$TA$317))</f>
        <v>0</v>
      </c>
      <c r="JH22">
        <f>SUMPRODUCT(--('Данные 1st'!$S$2:$S$317=$A22),--ISNUMBER('Данные 1st'!$TB$2:$TB$317))</f>
        <v>4</v>
      </c>
      <c r="JI22">
        <f>SUMPRODUCT(--('Данные 1st'!$S$2:$S$317=$A22),--ISNUMBER('Данные 1st'!$TC$2:$TC$317))</f>
        <v>4</v>
      </c>
      <c r="JJ22">
        <f>SUMPRODUCT(--('Данные 1st'!$S$2:$S$317=$A22),--ISNUMBER('Данные 1st'!$TD$2:$TD$317))</f>
        <v>4</v>
      </c>
      <c r="JK22">
        <f>SUMPRODUCT(--('Данные 1st'!$S$2:$S$317=$A22),--ISNUMBER('Данные 1st'!$TN$2:$TN$317))</f>
        <v>4</v>
      </c>
      <c r="JQ22">
        <f>SUMPRODUCT(--('Данные 2st'!$Q$2:$Q$317=$A22),--ISNUMBER('Данные 2st'!$AC$2:$AC$317))</f>
        <v>4</v>
      </c>
      <c r="JR22">
        <f>SUMPRODUCT(--('Данные 2st'!$Q$2:$Q$317=$A22),--ISNUMBER('Данные 2st'!$AF$2:$AF$317))</f>
        <v>4</v>
      </c>
      <c r="JS22">
        <f>SUMPRODUCT(--('Данные 2st'!$Q$2:$Q$317=$A22),--ISNUMBER('Данные 2st'!$AW$2:$AW$317))</f>
        <v>4</v>
      </c>
      <c r="JT22">
        <f>SUMPRODUCT(--('Данные 2st'!$Q$2:$Q$317=$A22),--ISNUMBER('Данные 2st'!$AX$2:$AX$317))</f>
        <v>4</v>
      </c>
      <c r="JU22">
        <f>SUMPRODUCT(--('Данные 2st'!$Q$2:$Q$317=$A22),--ISNUMBER('Данные 2st'!$AY$2:$AY$317))</f>
        <v>4</v>
      </c>
      <c r="JV22">
        <f>SUMPRODUCT(--('Данные 2st'!$Q$2:$Q$317=$A22),--ISNUMBER('Данные 2st'!$AZ$2:$AZ$317))</f>
        <v>4</v>
      </c>
      <c r="JW22">
        <f>SUMPRODUCT(--('Данные 2st'!$Q$2:$Q$317=$A22),--ISNUMBER('Данные 2st'!$BA$2:$BA$317))</f>
        <v>0</v>
      </c>
      <c r="JX22">
        <f>SUMPRODUCT(--('Данные 2st'!$Q$2:$Q$317=$A22),--ISNUMBER('Данные 2st'!$BB$2:$BB$317))</f>
        <v>0</v>
      </c>
      <c r="JY22">
        <f>SUMPRODUCT(--('Данные 2st'!$Q$2:$Q$317=$A22),--ISNUMBER('Данные 2st'!$BC$2:$BC$317))</f>
        <v>0</v>
      </c>
      <c r="JZ22">
        <f>SUMPRODUCT(--('Данные 2st'!$Q$2:$Q$317=$A22),--ISNUMBER('Данные 2st'!$BH$2:$BH$317))</f>
        <v>4</v>
      </c>
      <c r="KA22">
        <f>SUMPRODUCT(--('Данные 2st'!$Q$2:$Q$317=$A22),--ISNUMBER('Данные 2st'!$BI$2:$BI$317))</f>
        <v>4</v>
      </c>
      <c r="KB22">
        <f>SUMPRODUCT(--('Данные 2st'!$Q$2:$Q$317=$A22),--ISNUMBER('Данные 2st'!$BJ$2:$BJ$317))</f>
        <v>4</v>
      </c>
      <c r="KC22">
        <f>SUMPRODUCT(--('Данные 2st'!$Q$2:$Q$317=$A22),--ISNUMBER('Данные 2st'!$BK$2:$BK$317))</f>
        <v>4</v>
      </c>
      <c r="KD22">
        <f>SUMPRODUCT(--('Данные 2st'!$Q$2:$Q$317=$A22),--ISNUMBER('Данные 2st'!$BL$2:$BL$317))</f>
        <v>4</v>
      </c>
      <c r="KE22">
        <f>SUMPRODUCT(--('Данные 2st'!$Q$2:$Q$317=$A22),--ISNUMBER('Данные 2st'!$BM$2:$BM$317))</f>
        <v>4</v>
      </c>
      <c r="KF22">
        <f>SUMPRODUCT(--('Данные 2st'!$Q$2:$Q$317=$A22),--ISNUMBER('Данные 2st'!$BN$2:$BN$317))</f>
        <v>4</v>
      </c>
      <c r="KG22">
        <f>SUMPRODUCT(--('Данные 2st'!$Q$2:$Q$317=$A22),--ISNUMBER('Данные 2st'!$BO$2:$BO$317))</f>
        <v>1</v>
      </c>
      <c r="KH22">
        <f>SUMPRODUCT(--('Данные 2st'!$Q$2:$Q$317=$A22),--ISNUMBER('Данные 2st'!$BP$2:$BP$317))</f>
        <v>4</v>
      </c>
      <c r="KI22">
        <f>SUMPRODUCT(--('Данные 2st'!$Q$2:$Q$317=$A22),--ISNUMBER('Данные 2st'!$BR$2:$BR$317))</f>
        <v>4</v>
      </c>
      <c r="KJ22">
        <f>SUMPRODUCT(--('Данные 2st'!$Q$2:$Q$317=$A22),--ISNUMBER('Данные 2st'!$BS$2:$BS$317))</f>
        <v>4</v>
      </c>
      <c r="KK22">
        <f>SUMPRODUCT(--('Данные 2st'!$Q$2:$Q$317=$A22),--ISNUMBER('Данные 2st'!$BT$2:$BT$317))</f>
        <v>4</v>
      </c>
      <c r="KL22">
        <f>SUMPRODUCT(--('Данные 2st'!$Q$2:$Q$317=$A22),--ISNUMBER('Данные 2st'!$CV$2:$CV$317))</f>
        <v>4</v>
      </c>
      <c r="KM22">
        <f>SUMPRODUCT(--('Данные 2st'!$Q$2:$Q$317=$A22),--ISNUMBER('Данные 2st'!$CW$2:$CW$317))</f>
        <v>4</v>
      </c>
      <c r="KN22">
        <f>SUMPRODUCT(--('Данные 2st'!$Q$2:$Q$317=$A22),--ISNUMBER('Данные 2st'!$CX$2:$CX$317))</f>
        <v>4</v>
      </c>
      <c r="KO22">
        <f>SUMPRODUCT(--('Данные 2st'!$Q$2:$Q$317=$A22),--ISNUMBER('Данные 2st'!$CY$2:$CY$317))</f>
        <v>4</v>
      </c>
      <c r="KP22">
        <f>SUMPRODUCT(--('Данные 2st'!$Q$2:$Q$317=$A22),--ISNUMBER('Данные 2st'!$CZ$2:$CZ$317))</f>
        <v>4</v>
      </c>
      <c r="KQ22">
        <f>SUMPRODUCT(--('Данные 2st'!$Q$2:$Q$317=$A22),--ISNUMBER('Данные 2st'!$DA$2:$DA$317))</f>
        <v>4</v>
      </c>
      <c r="KR22">
        <f>SUMPRODUCT(--('Данные 2st'!$Q$2:$Q$317=$A22),--ISNUMBER('Данные 2st'!$DB$2:$DB$317))</f>
        <v>4</v>
      </c>
      <c r="KS22">
        <f>SUMPRODUCT(--('Данные 2st'!$Q$2:$Q$317=$A22),--ISNUMBER('Данные 2st'!$DC$2:$DC$317))</f>
        <v>4</v>
      </c>
      <c r="KT22">
        <f>SUMPRODUCT(--('Данные 2st'!$Q$2:$Q$317=$A22),--ISNUMBER('Данные 2st'!$DD$2:$DD$317))</f>
        <v>4</v>
      </c>
      <c r="KU22">
        <f>SUMPRODUCT(--('Данные 2st'!$Q$2:$Q$317=$A22),--ISNUMBER('Данные 2st'!$DE$2:$DE$317))</f>
        <v>4</v>
      </c>
      <c r="KV22">
        <f>SUMPRODUCT(--('Данные 2st'!$Q$2:$Q$317=$A22),--ISNUMBER('Данные 2st'!$DF$2:$DF$317))</f>
        <v>4</v>
      </c>
      <c r="KW22">
        <f>SUMPRODUCT(--('Данные 2st'!$Q$2:$Q$317=$A22),--ISNUMBER('Данные 2st'!$DG$2:$DG$317))</f>
        <v>4</v>
      </c>
      <c r="KX22">
        <f>SUMPRODUCT(--('Данные 2st'!$Q$2:$Q$317=$A22),--ISNUMBER('Данные 2st'!$DH$2:$DH$317))</f>
        <v>0</v>
      </c>
      <c r="KY22">
        <f>SUMPRODUCT(--('Данные 2st'!$Q$2:$Q$317=$A22),--ISNUMBER('Данные 2st'!$DI$2:$DI$317))</f>
        <v>0</v>
      </c>
      <c r="KZ22">
        <f>SUMPRODUCT(--('Данные 2st'!$Q$2:$Q$317=$A22),--ISNUMBER('Данные 2st'!$DK$2:$DK$317))</f>
        <v>4</v>
      </c>
      <c r="LA22">
        <f>SUMPRODUCT(--('Данные 2st'!$Q$2:$Q$317=$A22),--ISNUMBER('Данные 2st'!$DM$2:$DM$317))</f>
        <v>4</v>
      </c>
      <c r="LB22">
        <f>SUMPRODUCT(--('Данные 2st'!$Q$2:$Q$317=$A22),--ISNUMBER('Данные 2st'!$DN$2:$DN$317))</f>
        <v>4</v>
      </c>
      <c r="LC22">
        <f>SUMPRODUCT(--('Данные 2st'!$Q$2:$Q$317=$A22),--ISNUMBER('Данные 2st'!$DO$2:$DO$317))</f>
        <v>4</v>
      </c>
      <c r="LD22">
        <f>SUMPRODUCT(--('Данные 2st'!$Q$2:$Q$317=$A22),--ISNUMBER('Данные 2st'!$DP$2:$DP$317))</f>
        <v>4</v>
      </c>
      <c r="LE22">
        <f>SUMPRODUCT(--('Данные 2st'!$Q$2:$Q$317=$A22),--ISNUMBER('Данные 2st'!$DQ$2:$DQ$317))</f>
        <v>4</v>
      </c>
      <c r="LF22">
        <f>SUMPRODUCT(--('Данные 2st'!$Q$2:$Q$317=$A22),--ISNUMBER('Данные 2st'!$DS$2:$DS$317))</f>
        <v>4</v>
      </c>
      <c r="LG22">
        <f>SUMPRODUCT(--('Данные 2st'!$Q$2:$Q$317=$A22),--ISNUMBER('Данные 2st'!$DU$2:$DU$317))</f>
        <v>4</v>
      </c>
      <c r="LH22">
        <f>SUMPRODUCT(--('Данные 2st'!$Q$2:$Q$317=$A22),--ISNUMBER('Данные 2st'!$DV$2:$DV$317))</f>
        <v>4</v>
      </c>
      <c r="LI22">
        <f>SUMPRODUCT(--('Данные 2st'!$Q$2:$Q$317=$A22),--ISNUMBER('Данные 2st'!$DW$2:$DW$317))</f>
        <v>4</v>
      </c>
      <c r="LJ22">
        <f>SUMPRODUCT(--('Данные 2st'!$Q$2:$Q$317=$A22),--ISNUMBER('Данные 2st'!$DX$2:$DX$317))</f>
        <v>4</v>
      </c>
      <c r="LK22">
        <f>SUMPRODUCT(--('Данные 2st'!$Q$2:$Q$317=$A22),--ISNUMBER('Данные 2st'!$DY$2:$DY$317))</f>
        <v>4</v>
      </c>
      <c r="LL22">
        <f>SUMPRODUCT(--('Данные 2st'!$Q$2:$Q$317=$A22),--ISNUMBER('Данные 2st'!$EA$2:$EA$317))</f>
        <v>4</v>
      </c>
      <c r="LM22">
        <f>SUMPRODUCT(--('Данные 2st'!$Q$2:$Q$317=$A22),--ISNUMBER('Данные 2st'!$EC$2:$EC$317))</f>
        <v>4</v>
      </c>
      <c r="LN22">
        <f>SUMPRODUCT(--('Данные 2st'!$Q$2:$Q$317=$A22),--ISNUMBER('Данные 2st'!$ED$2:$ED$317))</f>
        <v>4</v>
      </c>
      <c r="LO22">
        <f>SUMPRODUCT(--('Данные 2st'!$Q$2:$Q$317=$A22),--ISNUMBER('Данные 2st'!$EE$2:$EE$317))</f>
        <v>4</v>
      </c>
      <c r="LP22">
        <f>SUMPRODUCT(--('Данные 2st'!$Q$2:$Q$317=$A22),--ISNUMBER('Данные 2st'!$EG$2:$EG$317))</f>
        <v>4</v>
      </c>
      <c r="LQ22">
        <f>SUMPRODUCT(--('Данные 2st'!$Q$2:$Q$317=$A22),--ISNUMBER('Данные 2st'!$EI$2:$EI$317))</f>
        <v>4</v>
      </c>
      <c r="LR22">
        <f>SUMPRODUCT(--('Данные 2st'!$Q$2:$Q$317=$A22),--ISNUMBER('Данные 2st'!$EJ$2:$EJ$317))</f>
        <v>3</v>
      </c>
      <c r="LS22">
        <f>SUMPRODUCT(--('Данные 2st'!$Q$2:$Q$317=$A22),--ISNUMBER('Данные 2st'!$EK$2:$EK$317))</f>
        <v>3</v>
      </c>
      <c r="LT22">
        <f>SUMPRODUCT(--('Данные 2st'!$Q$2:$Q$317=$A22),--ISNUMBER('Данные 2st'!$EM$2:$EM$317))</f>
        <v>4</v>
      </c>
      <c r="LU22">
        <f>SUMPRODUCT(--('Данные 2st'!$Q$2:$Q$317=$A22),--ISNUMBER('Данные 2st'!$EN$2:$EN$317))</f>
        <v>4</v>
      </c>
      <c r="LV22">
        <f>SUMPRODUCT(--('Данные 2st'!$Q$2:$Q$317=$A22),--ISNUMBER('Данные 2st'!$EO$2:$EO$317))</f>
        <v>4</v>
      </c>
      <c r="LW22">
        <f>SUMPRODUCT(--('Данные 2st'!$Q$2:$Q$317=$A22),--ISNUMBER('Данные 2st'!$EP$2:$EP$317))</f>
        <v>4</v>
      </c>
      <c r="LX22">
        <f>SUMPRODUCT(--('Данные 2st'!$Q$2:$Q$317=$A22),--ISNUMBER('Данные 2st'!$EQ$2:$EQ$317))</f>
        <v>4</v>
      </c>
      <c r="LY22">
        <f>SUMPRODUCT(--('Данные 2st'!$Q$2:$Q$317=$A22),--ISNUMBER('Данные 2st'!$ER$2:$ER$317))</f>
        <v>4</v>
      </c>
      <c r="LZ22">
        <f>SUMPRODUCT(--('Данные 2st'!$Q$2:$Q$317=$A22),--ISNUMBER('Данные 2st'!$ES$2:$ES$317))</f>
        <v>4</v>
      </c>
      <c r="MA22">
        <f>SUMPRODUCT(--('Данные 2st'!$Q$2:$Q$317=$A22),--ISNUMBER('Данные 2st'!$ET$2:$ET$317))</f>
        <v>4</v>
      </c>
      <c r="MB22">
        <f>SUMPRODUCT(--('Данные 2st'!$Q$2:$Q$317=$A22),--ISNUMBER('Данные 2st'!$EU$2:$EU$317))</f>
        <v>4</v>
      </c>
      <c r="MC22">
        <f>SUMPRODUCT(--('Данные 2st'!$Q$2:$Q$317=$A22),--ISNUMBER('Данные 2st'!$EV$2:$EV$317))</f>
        <v>4</v>
      </c>
      <c r="MD22">
        <f>SUMPRODUCT(--('Данные 2st'!$Q$2:$Q$317=$A22),--ISNUMBER('Данные 2st'!$EW$2:$EW$317))</f>
        <v>4</v>
      </c>
      <c r="ME22">
        <f>SUMPRODUCT(--('Данные 2st'!$Q$2:$Q$317=$A22),--ISNUMBER('Данные 2st'!$EY$2:$EY$317))</f>
        <v>4</v>
      </c>
      <c r="MF22">
        <f>SUMPRODUCT(--('Данные 2st'!$Q$2:$Q$317=$A22),--ISNUMBER('Данные 2st'!$FA$2:$FA$317))</f>
        <v>4</v>
      </c>
      <c r="MG22">
        <f>SUMPRODUCT(--('Данные 2st'!$Q$2:$Q$317=$A22),--ISNUMBER('Данные 2st'!$FB$2:$FB$317))</f>
        <v>4</v>
      </c>
      <c r="MH22">
        <f>SUMPRODUCT(--('Данные 2st'!$Q$2:$Q$317=$A22),--ISNUMBER('Данные 2st'!$FC$2:$FC$317))</f>
        <v>4</v>
      </c>
      <c r="MI22">
        <f>SUMPRODUCT(--('Данные 2st'!$Q$2:$Q$317=$A22),--ISNUMBER('Данные 2st'!$FD$2:$FD$317))</f>
        <v>4</v>
      </c>
      <c r="MJ22">
        <f>SUMPRODUCT(--('Данные 2st'!$Q$2:$Q$317=$A22),--ISNUMBER('Данные 2st'!$FE$2:$FE$317))</f>
        <v>4</v>
      </c>
      <c r="MK22">
        <f>SUMPRODUCT(--('Данные 2st'!$Q$2:$Q$317=$A22),--ISNUMBER('Данные 2st'!$FG$2:$FG$317))</f>
        <v>4</v>
      </c>
      <c r="ML22">
        <f>SUMPRODUCT(--('Данные 2st'!$Q$2:$Q$317=$A22),--ISNUMBER('Данные 2st'!$FI$2:$FI$317))</f>
        <v>4</v>
      </c>
      <c r="MM22">
        <f>SUMPRODUCT(--('Данные 2st'!$Q$2:$Q$317=$A22),--ISNUMBER('Данные 2st'!$FJ$2:$FJ$317))</f>
        <v>4</v>
      </c>
      <c r="MN22">
        <f>SUMPRODUCT(--('Данные 2st'!$Q$2:$Q$317=$A22),--ISNUMBER('Данные 2st'!$FK$2:$FK$317))</f>
        <v>4</v>
      </c>
      <c r="MO22">
        <f>SUMPRODUCT(--('Данные 2st'!$Q$2:$Q$317=$A22),--ISNUMBER('Данные 2st'!$FP$2:$FP$317))</f>
        <v>4</v>
      </c>
      <c r="MP22">
        <f>SUMPRODUCT(--('Данные 2st'!$Q$2:$Q$317=$A22),--ISNUMBER('Данные 2st'!$FQ$2:$FQ$317))</f>
        <v>4</v>
      </c>
      <c r="MQ22">
        <f>SUMPRODUCT(--('Данные 2st'!$Q$2:$Q$317=$A22),--ISNUMBER('Данные 2st'!$FS$2:$FS$317))</f>
        <v>4</v>
      </c>
      <c r="MR22">
        <f>SUMPRODUCT(--('Данные 2st'!$Q$2:$Q$317=$A22),--ISNUMBER('Данные 2st'!$FU$2:$FU$317))</f>
        <v>4</v>
      </c>
      <c r="MS22">
        <f>SUMPRODUCT(--('Данные 2st'!$Q$2:$Q$317=$A22),--ISNUMBER('Данные 2st'!$FV$2:$FV$317))</f>
        <v>4</v>
      </c>
      <c r="MT22">
        <f>SUMPRODUCT(--('Данные 2st'!$Q$2:$Q$317=$A22),--ISNUMBER('Данные 2st'!$FW$2:$FW$317))</f>
        <v>4</v>
      </c>
      <c r="MU22">
        <f>SUMPRODUCT(--('Данные 2st'!$Q$2:$Q$317=$A22),--ISNUMBER('Данные 2st'!$FY$2:$FY$317))</f>
        <v>3</v>
      </c>
      <c r="MV22">
        <f>SUMPRODUCT(--('Данные 2st'!$Q$2:$Q$317=$A22),--ISNUMBER('Данные 2st'!$GB$2:$GB$317))</f>
        <v>3</v>
      </c>
      <c r="MW22">
        <f>SUMPRODUCT(--('Данные 2st'!$Q$2:$Q$317=$A22),--ISNUMBER('Данные 2st'!$GC$2:$GC$317))</f>
        <v>3</v>
      </c>
      <c r="MX22">
        <f>SUMPRODUCT(--('Данные 2st'!$Q$2:$Q$317=$A22),--ISNUMBER('Данные 2st'!$GD$2:$GD$317))</f>
        <v>4</v>
      </c>
      <c r="MY22">
        <f>SUMPRODUCT(--('Данные 2st'!$Q$2:$Q$317=$A22),--ISNUMBER('Данные 2st'!$GN$2:$GN$317))</f>
        <v>0</v>
      </c>
      <c r="MZ22">
        <f>SUMPRODUCT(--('Данные 2st'!$Q$2:$Q$317=$A22),--ISNUMBER('Данные 2st'!$GQ$2:$GQ$317))</f>
        <v>4</v>
      </c>
      <c r="NA22">
        <f>SUMPRODUCT(--('Данные 2st'!$Q$2:$Q$317=$A22),--ISNUMBER('Данные 2st'!$GV$2:$GV$317))</f>
        <v>4</v>
      </c>
      <c r="NB22">
        <f>SUMPRODUCT(--('Данные 2st'!$Q$2:$Q$317=$A22),--ISNUMBER('Данные 2st'!$GW$2:$GW$317))</f>
        <v>4</v>
      </c>
      <c r="NC22">
        <f>SUMPRODUCT(--('Данные 2st'!$Q$2:$Q$317=$A22),--ISNUMBER('Данные 2st'!$GX$2:$GX$317))</f>
        <v>4</v>
      </c>
      <c r="ND22">
        <f>SUMPRODUCT(--('Данные 2st'!$Q$2:$Q$317=$A22),--ISNUMBER('Данные 2st'!$GY$2:$GY$317))</f>
        <v>4</v>
      </c>
      <c r="NE22">
        <f>SUMPRODUCT(--('Данные 2st'!$Q$2:$Q$317=$A22),--ISNUMBER('Данные 2st'!$GZ$2:$GZ$317))</f>
        <v>4</v>
      </c>
      <c r="NF22">
        <f>SUMPRODUCT(--('Данные 2st'!$Q$2:$Q$317=$A22),--ISNUMBER('Данные 2st'!$HA$2:$HA$317))</f>
        <v>4</v>
      </c>
      <c r="NG22">
        <f>SUMPRODUCT(--('Данные 2st'!$Q$2:$Q$317=$A22),--ISNUMBER('Данные 2st'!$HB$2:$HB$317))</f>
        <v>4</v>
      </c>
      <c r="NH22">
        <f>SUMPRODUCT(--('Данные 2st'!$Q$2:$Q$317=$A22),--ISNUMBER('Данные 2st'!$HC$2:$HC$317))</f>
        <v>4</v>
      </c>
      <c r="NI22">
        <f>SUMPRODUCT(--('Данные 2st'!$Q$2:$Q$317=$A22),--ISNUMBER('Данные 2st'!$HD$2:$HD$317))</f>
        <v>4</v>
      </c>
      <c r="NJ22">
        <f>SUMPRODUCT(--('Данные 2st'!$Q$2:$Q$317=$A22),--ISNUMBER('Данные 2st'!$HM$2:$HM$317))</f>
        <v>4</v>
      </c>
      <c r="NK22">
        <f>SUMPRODUCT(--('Данные 2st'!$Q$2:$Q$317=$A22),--ISNUMBER('Данные 2st'!$HR$2:$HR$317))</f>
        <v>4</v>
      </c>
      <c r="NL22">
        <f>SUMPRODUCT(--('Данные 2st'!$Q$2:$Q$317=$A22),--ISNUMBER('Данные 2st'!$HS$2:$HS$317))</f>
        <v>4</v>
      </c>
      <c r="NM22">
        <f>SUMPRODUCT(--('Данные 2st'!$Q$2:$Q$317=$A22),--ISNUMBER('Данные 2st'!$HT$2:$HT$317))</f>
        <v>4</v>
      </c>
      <c r="NN22">
        <f>SUMPRODUCT(--('Данные 2st'!$Q$2:$Q$317=$A22),--ISNUMBER('Данные 2st'!$HY$2:$HY$317))</f>
        <v>4</v>
      </c>
      <c r="NO22">
        <f>SUMPRODUCT(--('Данные 2st'!$Q$2:$Q$317=$A22),--ISNUMBER('Данные 2st'!$HZ$2:$HZ$317))</f>
        <v>4</v>
      </c>
      <c r="NP22">
        <f>SUMPRODUCT(--('Данные 2st'!$Q$2:$Q$317=$A22),--ISNUMBER('Данные 2st'!$IA$2:$IA$317))</f>
        <v>4</v>
      </c>
      <c r="NQ22">
        <f>SUMPRODUCT(--('Данные 2st'!$Q$2:$Q$317=$A22),--ISNUMBER('Данные 2st'!$IB$2:$IB$317))</f>
        <v>4</v>
      </c>
      <c r="NR22">
        <f>SUMPRODUCT(--('Данные 2st'!$Q$2:$Q$317=$A22),--ISNUMBER('Данные 2st'!$IC$2:$IC$317))</f>
        <v>0</v>
      </c>
      <c r="NS22">
        <f>SUMPRODUCT(--('Данные 2st'!$Q$2:$Q$317=$A22),--ISNUMBER('Данные 2st'!$ID$2:$ID$317))</f>
        <v>4</v>
      </c>
      <c r="NT22">
        <f>SUMPRODUCT(--('Данные 2st'!$Q$2:$Q$317=$A22),--ISNUMBER('Данные 2st'!$IE$2:$IE$317))</f>
        <v>4</v>
      </c>
      <c r="NU22">
        <f>SUMPRODUCT(--('Данные 2st'!$Q$2:$Q$317=$A22),--ISNUMBER('Данные 2st'!$IF$2:$IF$317))</f>
        <v>4</v>
      </c>
      <c r="NV22">
        <f>SUMPRODUCT(--('Данные 2st'!$Q$2:$Q$317=$A22),--ISNUMBER('Данные 2st'!$IG$2:$IG$317))</f>
        <v>4</v>
      </c>
      <c r="NW22">
        <f>SUMPRODUCT(--('Данные 2st'!$Q$2:$Q$317=$A22),--ISNUMBER('Данные 2st'!$IH$2:$IH$317))</f>
        <v>4</v>
      </c>
      <c r="NX22">
        <f>SUMPRODUCT(--('Данные 2st'!$Q$2:$Q$317=$A22),--ISNUMBER('Данные 2st'!$IJ$2:$IJ$317))</f>
        <v>4</v>
      </c>
      <c r="NY22">
        <f>SUMPRODUCT(--('Данные 2st'!$Q$2:$Q$317=$A22),--ISNUMBER('Данные 2st'!$IM$2:$IM$317))</f>
        <v>4</v>
      </c>
      <c r="NZ22">
        <f>SUMPRODUCT(--('Данные 2st'!$Q$2:$Q$317=$A22),--ISNUMBER('Данные 2st'!$IN$2:$IN$317))</f>
        <v>4</v>
      </c>
      <c r="OA22">
        <f>SUMPRODUCT(--('Данные 2st'!$Q$2:$Q$317=$A22),--ISNUMBER('Данные 2st'!$IO$2:$IO$317))</f>
        <v>4</v>
      </c>
      <c r="OB22">
        <f>SUMPRODUCT(--('Данные 2st'!$Q$2:$Q$317=$A22),--ISNUMBER('Данные 2st'!$IP$2:$IP$317))</f>
        <v>4</v>
      </c>
      <c r="OC22">
        <f>SUMPRODUCT(--('Данные 2st'!$Q$2:$Q$317=$A22),--ISNUMBER('Данные 2st'!$IQ$2:$IQ$317))</f>
        <v>4</v>
      </c>
      <c r="OD22">
        <f>SUMPRODUCT(--('Данные 2st'!$Q$2:$Q$317=$A22),--ISNUMBER('Данные 2st'!$IR$2:$IR$317))</f>
        <v>4</v>
      </c>
      <c r="OE22">
        <f>SUMPRODUCT(--('Данные 2st'!$Q$2:$Q$317=$A22),--ISNUMBER('Данные 2st'!$IT$2:$IT$317))</f>
        <v>4</v>
      </c>
      <c r="OF22">
        <f>SUMPRODUCT(--('Данные 2st'!$Q$2:$Q$317=$A22),--ISNUMBER('Данные 2st'!$IU$2:$IU$317))</f>
        <v>4</v>
      </c>
      <c r="OG22">
        <f>SUMPRODUCT(--('Данные 2st'!$Q$2:$Q$317=$A22),--ISNUMBER('Данные 2st'!$IV$2:$IV$317))</f>
        <v>4</v>
      </c>
      <c r="OH22">
        <f>SUMPRODUCT(--('Данные 2st'!$Q$2:$Q$317=$A22),--ISNUMBER('Данные 2st'!$IW$2:$IW$317))</f>
        <v>4</v>
      </c>
      <c r="OI22">
        <f>SUMPRODUCT(--('Данные 2st'!$Q$2:$Q$317=$A22),--ISNUMBER('Данные 2st'!$IX$2:$IX$317))</f>
        <v>4</v>
      </c>
      <c r="OJ22">
        <f>SUMPRODUCT(--('Данные 2st'!$Q$2:$Q$317=$A22),--ISNUMBER('Данные 2st'!$IY$2:$IY$317))</f>
        <v>4</v>
      </c>
      <c r="OK22">
        <f>SUMPRODUCT(--('Данные 2st'!$Q$2:$Q$317=$A22),--ISNUMBER('Данные 2st'!$IZ$2:$IZ$317))</f>
        <v>4</v>
      </c>
      <c r="OL22">
        <f>SUMPRODUCT(--('Данные 2st'!$Q$2:$Q$317=$A22),--ISNUMBER('Данные 2st'!$JA$2:$JA$317))</f>
        <v>4</v>
      </c>
      <c r="OM22">
        <f>SUMPRODUCT(--('Данные 2st'!$Q$2:$Q$317=$A22),--ISNUMBER('Данные 2st'!$JB$2:$JB$317))</f>
        <v>4</v>
      </c>
      <c r="ON22">
        <f>SUMPRODUCT(--('Данные 2st'!$Q$2:$Q$317=$A22),--ISNUMBER('Данные 2st'!$JC$2:$JC$317))</f>
        <v>4</v>
      </c>
      <c r="OO22">
        <f>SUMPRODUCT(--('Данные 2st'!$Q$2:$Q$317=$A22),--ISNUMBER('Данные 2st'!$JD$2:$JD$317))</f>
        <v>4</v>
      </c>
      <c r="OP22">
        <f>SUMPRODUCT(--('Данные 2st'!$Q$2:$Q$317=$A22),--ISNUMBER('Данные 2st'!$JE$2:$JE$317))</f>
        <v>4</v>
      </c>
      <c r="OQ22">
        <f>SUMPRODUCT(--('Данные 2st'!$Q$2:$Q$317=$A22),--ISNUMBER('Данные 2st'!$JF$2:$JF$317))</f>
        <v>4</v>
      </c>
      <c r="OR22">
        <f>SUMPRODUCT(--('Данные 2st'!$Q$2:$Q$317=$A22),--ISNUMBER('Данные 2st'!$JG$2:$JG$317))</f>
        <v>4</v>
      </c>
      <c r="OS22">
        <f>SUMPRODUCT(--('Данные 2st'!$Q$2:$Q$317=$A22),--ISNUMBER('Данные 2st'!$JH$2:$JH$317))</f>
        <v>4</v>
      </c>
      <c r="OT22">
        <f>SUMPRODUCT(--('Данные 2st'!$Q$2:$Q$317=$A22),--ISNUMBER('Данные 2st'!$JI$2:$JI$317))</f>
        <v>4</v>
      </c>
      <c r="OU22">
        <f>SUMPRODUCT(--('Данные 2st'!$Q$2:$Q$317=$A22),--ISNUMBER('Данные 2st'!$JJ$2:$JJ$317))</f>
        <v>4</v>
      </c>
      <c r="OV22">
        <f>SUMPRODUCT(--('Данные 2st'!$Q$2:$Q$317=$A22),--ISNUMBER('Данные 2st'!$JK$2:$JK$317))</f>
        <v>4</v>
      </c>
      <c r="OW22">
        <f>SUMPRODUCT(--('Данные 2st'!$Q$2:$Q$317=$A22),--ISNUMBER('Данные 2st'!$JL$2:$JL$317))</f>
        <v>4</v>
      </c>
      <c r="OX22">
        <f>SUMPRODUCT(--('Данные 2st'!$Q$2:$Q$317=$A22),--ISNUMBER('Данные 2st'!$JM$2:$JM$317))</f>
        <v>4</v>
      </c>
      <c r="OY22">
        <f>SUMPRODUCT(--('Данные 2st'!$Q$2:$Q$317=$A22),--ISNUMBER('Данные 2st'!$JP$2:$JP$317))</f>
        <v>4</v>
      </c>
      <c r="OZ22">
        <f>SUMPRODUCT(--('Данные 2st'!$Q$2:$Q$317=$A22),--ISNUMBER('Данные 2st'!$JQ$2:$JQ$317))</f>
        <v>4</v>
      </c>
      <c r="PA22">
        <f>SUMPRODUCT(--('Данные 2st'!$Q$2:$Q$317=$A22),--ISNUMBER('Данные 2st'!$JR$2:$JR$317))</f>
        <v>4</v>
      </c>
      <c r="PB22">
        <f>SUMPRODUCT(--('Данные 2st'!$Q$2:$Q$317=$A22),--ISNUMBER('Данные 2st'!$JS$2:$JS$317))</f>
        <v>4</v>
      </c>
      <c r="PC22">
        <f>SUMPRODUCT(--('Данные 2st'!$Q$2:$Q$317=$A22),--ISNUMBER('Данные 2st'!$JT$2:$JT$317))</f>
        <v>4</v>
      </c>
      <c r="PD22">
        <f>SUMPRODUCT(--('Данные 2st'!$Q$2:$Q$317=$A22),--ISNUMBER('Данные 2st'!$JU$2:$JU$317))</f>
        <v>4</v>
      </c>
      <c r="PE22">
        <f>SUMPRODUCT(--('Данные 2st'!$Q$2:$Q$317=$A22),--ISNUMBER('Данные 2st'!$JV$2:$JV$317))</f>
        <v>4</v>
      </c>
      <c r="PF22">
        <f>SUMPRODUCT(--('Данные 2st'!$Q$2:$Q$317=$A22),--ISNUMBER('Данные 2st'!$JW$2:$JW$317))</f>
        <v>4</v>
      </c>
      <c r="PG22">
        <f>SUMPRODUCT(--('Данные 2st'!$Q$2:$Q$317=$A22),--ISNUMBER('Данные 2st'!$KF$2:$KF$317))</f>
        <v>4</v>
      </c>
      <c r="PH22">
        <f>SUMPRODUCT(--('Данные 2st'!$Q$2:$Q$317=$A22),--ISNUMBER('Данные 2st'!$KG$2:$KG$317))</f>
        <v>4</v>
      </c>
      <c r="PI22">
        <f>SUMPRODUCT(--('Данные 2st'!$Q$2:$Q$317=$A22),--ISNUMBER('Данные 2st'!$KM$2:$KM$317))</f>
        <v>4</v>
      </c>
      <c r="PJ22">
        <f>SUMPRODUCT(--('Данные 2st'!$Q$2:$Q$317=$A22),--ISNUMBER('Данные 2st'!$KN$2:$KN$317))</f>
        <v>4</v>
      </c>
      <c r="PK22">
        <f>SUMPRODUCT(--('Данные 2st'!$Q$2:$Q$317=$A22),--ISNUMBER('Данные 2st'!$KO$2:$KO$317))</f>
        <v>4</v>
      </c>
      <c r="PL22">
        <f>SUMPRODUCT(--('Данные 2st'!$Q$2:$Q$317=$A22),--ISNUMBER('Данные 2st'!$KP$2:$KP$317))</f>
        <v>4</v>
      </c>
      <c r="PM22">
        <f>SUMPRODUCT(--('Данные 2st'!$Q$2:$Q$317=$A22),--ISNUMBER('Данные 2st'!$KQ$2:$KQ$317))</f>
        <v>4</v>
      </c>
      <c r="PN22">
        <f>SUMPRODUCT(--('Данные 2st'!$Q$2:$Q$317=$A22),--ISNUMBER('Данные 2st'!$KR$2:$KR$317))</f>
        <v>4</v>
      </c>
      <c r="PO22">
        <f>SUMPRODUCT(--('Данные 2st'!$Q$2:$Q$317=$A22),--ISNUMBER('Данные 2st'!$KS$2:$KS$317))</f>
        <v>4</v>
      </c>
      <c r="PP22">
        <f>SUMPRODUCT(--('Данные 2st'!$Q$2:$Q$317=$A22),--ISNUMBER('Данные 2st'!$KT$2:$KT$317))</f>
        <v>4</v>
      </c>
      <c r="PQ22">
        <f>SUMPRODUCT(--('Данные 2st'!$Q$2:$Q$317=$A22),--ISNUMBER('Данные 2st'!$KU$2:$KU$317))</f>
        <v>4</v>
      </c>
      <c r="PR22">
        <f>SUMPRODUCT(--('Данные 2st'!$Q$2:$Q$317=$A22),--ISNUMBER('Данные 2st'!$KV$2:$KV$317))</f>
        <v>4</v>
      </c>
      <c r="PS22">
        <f>SUMPRODUCT(--('Данные 2st'!$Q$2:$Q$317=$A22),--ISNUMBER('Данные 2st'!$KW$2:$KW$317))</f>
        <v>4</v>
      </c>
      <c r="PT22">
        <f>SUMPRODUCT(--('Данные 2st'!$Q$2:$Q$317=$A22),--ISNUMBER('Данные 2st'!$KX$2:$KX$317))</f>
        <v>4</v>
      </c>
      <c r="PU22">
        <f>SUMPRODUCT(--('Данные 2st'!$Q$2:$Q$317=$A22),--ISNUMBER('Данные 2st'!$KY$2:$KY$317))</f>
        <v>4</v>
      </c>
      <c r="PV22">
        <f>SUMPRODUCT(--('Данные 2st'!$Q$2:$Q$317=$A22),--ISNUMBER('Данные 2st'!$KZ$2:$KZ$317))</f>
        <v>4</v>
      </c>
      <c r="PW22">
        <f>SUMPRODUCT(--('Данные 2st'!$Q$2:$Q$317=$A22),--ISNUMBER('Данные 2st'!$LA$2:$LA$317))</f>
        <v>4</v>
      </c>
      <c r="PX22">
        <f>SUMPRODUCT(--('Данные 2st'!$Q$2:$Q$317=$A22),--ISNUMBER('Данные 2st'!$LB$2:$LB$317))</f>
        <v>4</v>
      </c>
      <c r="PY22">
        <f>SUMPRODUCT(--('Данные 2st'!$Q$2:$Q$317=$A22),--ISNUMBER('Данные 2st'!$LC$2:$LC$317))</f>
        <v>4</v>
      </c>
      <c r="PZ22">
        <f>SUMPRODUCT(--('Данные 2st'!$Q$2:$Q$317=$A22),--ISNUMBER('Данные 2st'!$LD$2:$LD$317))</f>
        <v>4</v>
      </c>
      <c r="QA22">
        <f>SUMPRODUCT(--('Данные 2st'!$Q$2:$Q$317=$A22),--ISNUMBER('Данные 2st'!$LE$2:$LE$317))</f>
        <v>4</v>
      </c>
      <c r="QB22">
        <f>SUMPRODUCT(--('Данные 2st'!$Q$2:$Q$317=$A22),--ISNUMBER('Данные 2st'!$LF$2:$LF$317))</f>
        <v>4</v>
      </c>
      <c r="QC22">
        <f>SUMPRODUCT(--('Данные 2st'!$Q$2:$Q$317=$A22),--ISNUMBER('Данные 2st'!$LG$2:$LG$317))</f>
        <v>4</v>
      </c>
      <c r="QD22">
        <f>SUMPRODUCT(--('Данные 2st'!$Q$2:$Q$317=$A22),--ISNUMBER('Данные 2st'!$LH$2:$LH$317))</f>
        <v>4</v>
      </c>
      <c r="QE22">
        <f>SUMPRODUCT(--('Данные 2st'!$Q$2:$Q$317=$A22),--ISNUMBER('Данные 2st'!$LJ$2:$LJ$317))</f>
        <v>4</v>
      </c>
      <c r="QF22">
        <f>SUMPRODUCT(--('Данные 2st'!$Q$2:$Q$317=$A22),--ISNUMBER('Данные 2st'!$LK$2:$LK$317))</f>
        <v>4</v>
      </c>
      <c r="QG22">
        <f>SUMPRODUCT(--('Данные 2st'!$Q$2:$Q$317=$A22),--ISNUMBER('Данные 2st'!$LL$2:$LL$317))</f>
        <v>4</v>
      </c>
      <c r="QH22">
        <f>SUMPRODUCT(--('Данные 2st'!$Q$2:$Q$317=$A22),--ISNUMBER('Данные 2st'!$LM$2:$LM$317))</f>
        <v>4</v>
      </c>
      <c r="QI22">
        <f>SUMPRODUCT(--('Данные 2st'!$Q$2:$Q$317=$A22),--ISNUMBER('Данные 2st'!$LN$2:$LN$317))</f>
        <v>4</v>
      </c>
      <c r="QJ22">
        <f>SUMPRODUCT(--('Данные 2st'!$Q$2:$Q$317=$A22),--ISNUMBER('Данные 2st'!$LO$2:$LO$317))</f>
        <v>4</v>
      </c>
      <c r="QK22">
        <f>SUMPRODUCT(--('Данные 2st'!$Q$2:$Q$317=$A22),--ISNUMBER('Данные 2st'!$LP$2:$LP$317))</f>
        <v>4</v>
      </c>
      <c r="QL22">
        <f>SUMPRODUCT(--('Данные 2st'!$Q$2:$Q$317=$A22),--ISNUMBER('Данные 2st'!$LQ$2:$LQ$317))</f>
        <v>4</v>
      </c>
      <c r="QM22">
        <f>SUMPRODUCT(--('Данные 2st'!$Q$2:$Q$317=$A22),--ISNUMBER('Данные 2st'!$LW$2:$LW$317))</f>
        <v>4</v>
      </c>
      <c r="QN22">
        <f>SUMPRODUCT(--('Данные 2st'!$Q$2:$Q$317=$A22),--ISNUMBER('Данные 2st'!$LX$2:$LX$317))</f>
        <v>4</v>
      </c>
      <c r="QO22">
        <f>SUMPRODUCT(--('Данные 2st'!$Q$2:$Q$317=$A22),--ISNUMBER('Данные 2st'!$LY$2:$LY$317))</f>
        <v>4</v>
      </c>
      <c r="QP22">
        <f>SUMPRODUCT(--('Данные 2st'!$Q$2:$Q$317=$A22),--ISNUMBER('Данные 2st'!$LZ$2:$LZ$317))</f>
        <v>4</v>
      </c>
      <c r="QQ22">
        <f>SUMPRODUCT(--('Данные 2st'!$Q$2:$Q$317=$A22),--ISNUMBER('Данные 2st'!$MB$2:$MB$317))</f>
        <v>4</v>
      </c>
      <c r="QR22">
        <f>SUMPRODUCT(--('Данные 2st'!$Q$2:$Q$317=$A22),--ISNUMBER('Данные 2st'!$MG$2:$MG$317))</f>
        <v>2</v>
      </c>
      <c r="QS22">
        <f>SUMPRODUCT(--('Данные 2st'!$Q$2:$Q$317=$A22),--ISNUMBER('Данные 2st'!$MH$2:$MH$317))</f>
        <v>2</v>
      </c>
      <c r="QT22">
        <f>SUMPRODUCT(--('Данные 2st'!$Q$2:$Q$317=$A22),--ISNUMBER('Данные 2st'!$MI$2:$MI$317))</f>
        <v>4</v>
      </c>
      <c r="QU22">
        <f>SUMPRODUCT(--('Данные 2st'!$Q$2:$Q$317=$A22),--ISNUMBER('Данные 2st'!$MJ$2:$MJ$317))</f>
        <v>4</v>
      </c>
      <c r="QV22">
        <f>SUMPRODUCT(--('Данные 2st'!$Q$2:$Q$317=$A22),--ISNUMBER('Данные 2st'!$MK$2:$MK$317))</f>
        <v>2</v>
      </c>
      <c r="QW22">
        <f>SUMPRODUCT(--('Данные 2st'!$Q$2:$Q$317=$A22),--ISNUMBER('Данные 2st'!$MM$2:$MM$317))</f>
        <v>4</v>
      </c>
      <c r="QX22">
        <f>SUMPRODUCT(--('Данные 2st'!$Q$2:$Q$317=$A22),--ISNUMBER('Данные 2st'!$MQ$2:$MQ$317))</f>
        <v>0</v>
      </c>
      <c r="QY22">
        <f>SUMPRODUCT(--('Данные 2st'!$Q$2:$Q$317=$A22),--ISNUMBER('Данные 2st'!$MR$2:$MR$317))</f>
        <v>0</v>
      </c>
      <c r="QZ22">
        <f>SUMPRODUCT(--('Данные 2st'!$Q$2:$Q$317=$A22),--ISNUMBER('Данные 2st'!$MS$2:$MS$317))</f>
        <v>0</v>
      </c>
      <c r="RA22">
        <f>SUMPRODUCT(--('Данные 2st'!$Q$2:$Q$317=$A22),--ISNUMBER('Данные 2st'!$MT$2:$MT$317))</f>
        <v>0</v>
      </c>
      <c r="RB22">
        <f>SUMPRODUCT(--('Данные 2st'!$Q$2:$Q$317=$A22),--ISNUMBER('Данные 2st'!$MU$2:$MU$317))</f>
        <v>0</v>
      </c>
      <c r="RC22">
        <f>SUMPRODUCT(--('Данные 2st'!$Q$2:$Q$317=$A22),--ISNUMBER('Данные 2st'!$MV$2:$MV$317))</f>
        <v>0</v>
      </c>
      <c r="RD22">
        <f>SUMPRODUCT(--('Данные 2st'!$Q$2:$Q$317=$A22),--ISNUMBER('Данные 2st'!$MW$2:$MW$317))</f>
        <v>0</v>
      </c>
      <c r="RE22">
        <f>SUMPRODUCT(--('Данные 2st'!$Q$2:$Q$317=$A22),--ISNUMBER('Данные 2st'!$MX$2:$MX$317))</f>
        <v>0</v>
      </c>
      <c r="RF22">
        <f>SUMPRODUCT(--('Данные 2st'!$Q$2:$Q$317=$A22),--ISNUMBER('Данные 2st'!$MY$2:$MY$317))</f>
        <v>0</v>
      </c>
      <c r="RG22">
        <f>SUMPRODUCT(--('Данные 2st'!$Q$2:$Q$317=$A22),--ISNUMBER('Данные 2st'!$MZ$2:$MZ$317))</f>
        <v>0</v>
      </c>
      <c r="RH22">
        <f>SUMPRODUCT(--('Данные 2st'!$Q$2:$Q$317=$A22),--ISNUMBER('Данные 2st'!$NA$2:$NA$317))</f>
        <v>0</v>
      </c>
      <c r="RI22">
        <f>SUMPRODUCT(--('Данные 2st'!$Q$2:$Q$317=$A22),--ISNUMBER('Данные 2st'!$NB$2:$NB$317))</f>
        <v>0</v>
      </c>
      <c r="RJ22">
        <f>SUMPRODUCT(--('Данные 2st'!$Q$2:$Q$317=$A22),--ISNUMBER('Данные 2st'!$NC$2:$NC$317))</f>
        <v>0</v>
      </c>
      <c r="RK22">
        <f>SUMPRODUCT(--('Данные 2st'!$Q$2:$Q$317=$A22),--ISNUMBER('Данные 2st'!$ND$2:$ND$317))</f>
        <v>0</v>
      </c>
      <c r="RL22">
        <f>SUMPRODUCT(--('Данные 2st'!$Q$2:$Q$317=$A22),--ISNUMBER('Данные 2st'!$NE$2:$NE$317))</f>
        <v>0</v>
      </c>
      <c r="RM22">
        <f>SUMPRODUCT(--('Данные 2st'!$Q$2:$Q$317=$A22),--ISNUMBER('Данные 2st'!$NF$2:$NF$317))</f>
        <v>0</v>
      </c>
      <c r="RN22">
        <f>SUMPRODUCT(--('Данные 2st'!$Q$2:$Q$317=$A22),--ISNUMBER('Данные 2st'!$NG$2:$NG$317))</f>
        <v>0</v>
      </c>
      <c r="RO22">
        <f>SUMPRODUCT(--('Данные 2st'!$Q$2:$Q$317=$A22),--ISNUMBER('Данные 2st'!$NH$2:$NH$317))</f>
        <v>2</v>
      </c>
      <c r="RP22">
        <f>SUMPRODUCT(--('Данные 2st'!$Q$2:$Q$317=$A22),--ISNUMBER('Данные 2st'!$NJ$2:$NJ$317))</f>
        <v>2</v>
      </c>
      <c r="RQ22">
        <f>SUMPRODUCT(--('Данные 2st'!$Q$2:$Q$317=$A22),--ISNUMBER('Данные 2st'!$NK$2:$NK$317))</f>
        <v>2</v>
      </c>
      <c r="RR22">
        <f>SUMPRODUCT(--('Данные 2st'!$Q$2:$Q$317=$A22),--ISNUMBER('Данные 2st'!$NM$2:$NM$317))</f>
        <v>2</v>
      </c>
      <c r="RS22">
        <f>SUMPRODUCT(--('Данные 2st'!$Q$2:$Q$317=$A22),--ISNUMBER('Данные 2st'!$NN$2:$NN$317))</f>
        <v>0</v>
      </c>
      <c r="RT22">
        <f>SUMPRODUCT(--('Данные 2st'!$Q$2:$Q$317=$A22),--ISNUMBER('Данные 2st'!$NO$2:$NO$317))</f>
        <v>0</v>
      </c>
      <c r="RU22">
        <f>SUMPRODUCT(--('Данные 2st'!$Q$2:$Q$317=$A22),--ISNUMBER('Данные 2st'!$NP$2:$NP$317))</f>
        <v>0</v>
      </c>
      <c r="RV22">
        <f>SUMPRODUCT(--('Данные 2st'!$Q$2:$Q$317=$A22),--ISNUMBER('Данные 2st'!$NQ$2:$NQ$317))</f>
        <v>0</v>
      </c>
      <c r="RW22">
        <f>SUMPRODUCT(--('Данные 2st'!$Q$2:$Q$317=$A22),--ISNUMBER('Данные 2st'!$NR$2:$NR$317))</f>
        <v>0</v>
      </c>
      <c r="RX22">
        <f>SUMPRODUCT(--('Данные 2st'!$Q$2:$Q$317=$A22),--ISNUMBER('Данные 2st'!$NS$2:$NS$317))</f>
        <v>0</v>
      </c>
      <c r="RY22">
        <f>SUMPRODUCT(--('Данные 2st'!$Q$2:$Q$317=$A22),--ISNUMBER('Данные 2st'!$NT$2:$NT$317))</f>
        <v>0</v>
      </c>
      <c r="RZ22">
        <f>SUMPRODUCT(--('Данные 2st'!$Q$2:$Q$317=$A22),--ISNUMBER('Данные 2st'!$OK$2:$OK$317))</f>
        <v>4</v>
      </c>
      <c r="SA22">
        <f>SUMPRODUCT(--('Данные 2st'!$Q$2:$Q$317=$A22),--ISNUMBER('Данные 2st'!$OL$2:$OL$317))</f>
        <v>4</v>
      </c>
      <c r="SB22">
        <f>SUMPRODUCT(--('Данные 2st'!$Q$2:$Q$317=$A22),--ISNUMBER('Данные 2st'!$ON$2:$ON$317))</f>
        <v>4</v>
      </c>
      <c r="SC22">
        <f>SUMPRODUCT(--('Данные 2st'!$Q$2:$Q$317=$A22),--ISNUMBER('Данные 2st'!$OO$2:$OO$317))</f>
        <v>4</v>
      </c>
      <c r="SD22">
        <f>SUMPRODUCT(--('Данные 2st'!$Q$2:$Q$317=$A22),--ISNUMBER('Данные 2st'!$OP$2:$OP$317))</f>
        <v>4</v>
      </c>
      <c r="SE22">
        <f>SUMPRODUCT(--('Данные 2st'!$Q$2:$Q$317=$A22),--ISNUMBER('Данные 2st'!$OQ$2:$OQ$317))</f>
        <v>4</v>
      </c>
      <c r="SF22">
        <f>SUMPRODUCT(--('Данные 2st'!$Q$2:$Q$317=$A22),--ISNUMBER('Данные 2st'!$OS$2:$OS$317))</f>
        <v>4</v>
      </c>
      <c r="SG22">
        <f>SUMPRODUCT(--('Данные 2st'!$Q$2:$Q$317=$A22),--ISNUMBER('Данные 2st'!$OT$2:$OT$317))</f>
        <v>4</v>
      </c>
      <c r="SH22">
        <f>SUMPRODUCT(--('Данные 2st'!$Q$2:$Q$317=$A22),--ISNUMBER('Данные 2st'!$OU$2:$OU$317))</f>
        <v>4</v>
      </c>
      <c r="SI22">
        <f>SUMPRODUCT(--('Данные 2st'!$Q$2:$Q$317=$A22),--ISNUMBER('Данные 2st'!$OV$2:$OV$317))</f>
        <v>4</v>
      </c>
      <c r="SJ22">
        <f>SUMPRODUCT(--('Данные 2st'!$Q$2:$Q$317=$A22),--ISNUMBER('Данные 2st'!$OX$2:$OX$317))</f>
        <v>4</v>
      </c>
      <c r="SK22">
        <f>SUMPRODUCT(--('Данные 2st'!$Q$2:$Q$317=$A22),--ISNUMBER('Данные 2st'!$OY$2:$OY$317))</f>
        <v>4</v>
      </c>
      <c r="SL22">
        <f>SUMPRODUCT(--('Данные 2st'!$Q$2:$Q$317=$A22),--ISNUMBER('Данные 2st'!$OZ$2:$OZ$317))</f>
        <v>4</v>
      </c>
      <c r="SM22">
        <f>SUMPRODUCT(--('Данные 2st'!$Q$2:$Q$317=$A22),--ISNUMBER('Данные 2st'!$PA$2:$PA$317))</f>
        <v>4</v>
      </c>
      <c r="SN22">
        <f>SUMPRODUCT(--('Данные 2st'!$Q$2:$Q$317=$A22),--ISNUMBER('Данные 2st'!$PC$2:$PC$317))</f>
        <v>4</v>
      </c>
      <c r="SO22">
        <f>SUMPRODUCT(--('Данные 2st'!$Q$2:$Q$317=$A22),--ISNUMBER('Данные 2st'!$PD$2:$PD$317))</f>
        <v>4</v>
      </c>
      <c r="SP22">
        <f>SUMPRODUCT(--('Данные 2st'!$Q$2:$Q$317=$A22),--ISNUMBER('Данные 2st'!$PF$2:$PF$317))</f>
        <v>4</v>
      </c>
      <c r="SQ22">
        <f>SUMPRODUCT(--('Данные 2st'!$Q$2:$Q$317=$A22),--ISNUMBER('Данные 2st'!$PG$2:$PG$317))</f>
        <v>4</v>
      </c>
      <c r="SR22">
        <f>SUMPRODUCT(--('Данные 2st'!$Q$2:$Q$317=$A22),--ISNUMBER('Данные 2st'!$PH$2:$PH$317))</f>
        <v>4</v>
      </c>
      <c r="SS22">
        <f>SUMPRODUCT(--('Данные 2st'!$Q$2:$Q$317=$A22),--ISNUMBER('Данные 2st'!$PI$2:$PI$317))</f>
        <v>4</v>
      </c>
      <c r="ST22">
        <f>SUMPRODUCT(--('Данные 2st'!$Q$2:$Q$317=$A22),--ISNUMBER('Данные 2st'!$PJ$2:$PJ$317))</f>
        <v>4</v>
      </c>
      <c r="SU22">
        <f>SUMPRODUCT(--('Данные 2st'!$Q$2:$Q$317=$A22),--ISNUMBER('Данные 2st'!$PK$2:$PK$317))</f>
        <v>3</v>
      </c>
      <c r="SV22">
        <f>SUMPRODUCT(--('Данные 2st'!$Q$2:$Q$317=$A22),--ISNUMBER('Данные 2st'!$PL$2:$PL$317))</f>
        <v>4</v>
      </c>
      <c r="SW22">
        <f>SUMPRODUCT(--('Данные 2st'!$Q$2:$Q$317=$A22),--ISNUMBER('Данные 2st'!$PM$2:$PM$317))</f>
        <v>4</v>
      </c>
      <c r="SX22">
        <f>SUMPRODUCT(--('Данные 2st'!$Q$2:$Q$317=$A22),--ISNUMBER('Данные 2st'!$PN$2:$PN$317))</f>
        <v>4</v>
      </c>
      <c r="SY22">
        <f>SUMPRODUCT(--('Данные 2st'!$Q$2:$Q$317=$A22),--ISNUMBER('Данные 2st'!$PO$2:$PO$317))</f>
        <v>3</v>
      </c>
      <c r="SZ22">
        <f>SUMPRODUCT(--('Данные 2st'!$Q$2:$Q$317=$A22),--ISNUMBER('Данные 2st'!$PP$2:$PP$317))</f>
        <v>4</v>
      </c>
      <c r="TA22">
        <f>SUMPRODUCT(--('Данные 2st'!$Q$2:$Q$317=$A22),--ISNUMBER('Данные 2st'!$PQ$2:$PQ$317))</f>
        <v>4</v>
      </c>
      <c r="TB22">
        <f>SUMPRODUCT(--('Данные 2st'!$Q$2:$Q$317=$A22),--ISNUMBER('Данные 2st'!$PR$2:$PR$317))</f>
        <v>4</v>
      </c>
      <c r="TC22">
        <f>SUMPRODUCT(--('Данные 2st'!$Q$2:$Q$317=$A22),--ISNUMBER('Данные 2st'!$PS$2:$PS$317))</f>
        <v>4</v>
      </c>
      <c r="TD22">
        <f>SUMPRODUCT(--('Данные 2st'!$Q$2:$Q$317=$A22),--ISNUMBER('Данные 2st'!$PT$2:$PT$317))</f>
        <v>4</v>
      </c>
      <c r="TE22">
        <f>SUMPRODUCT(--('Данные 2st'!$Q$2:$Q$317=$A22),--ISNUMBER('Данные 2st'!$PU$2:$PU$317))</f>
        <v>4</v>
      </c>
      <c r="TF22">
        <f>SUMPRODUCT(--('Данные 2st'!$Q$2:$Q$317=$A22),--ISNUMBER('Данные 2st'!$PX$2:$PX$317))</f>
        <v>4</v>
      </c>
      <c r="TG22">
        <f>SUMPRODUCT(--('Данные 2st'!$Q$2:$Q$317=$A22),--ISNUMBER('Данные 2st'!$PY$2:$PY$317))</f>
        <v>4</v>
      </c>
      <c r="TH22">
        <f>SUMPRODUCT(--('Данные 2st'!$Q$2:$Q$317=$A22),--ISNUMBER('Данные 2st'!$PZ$2:$PZ$317))</f>
        <v>4</v>
      </c>
      <c r="TI22">
        <f>SUMPRODUCT(--('Данные 2st'!$Q$2:$Q$317=$A22),--ISNUMBER('Данные 2st'!$QA$2:$QA$317))</f>
        <v>4</v>
      </c>
      <c r="TJ22">
        <f>SUMPRODUCT(--('Данные 2st'!$Q$2:$Q$317=$A22),--ISNUMBER('Данные 2st'!$QB$2:$QB$317))</f>
        <v>4</v>
      </c>
      <c r="TK22">
        <f>SUMPRODUCT(--('Данные 2st'!$Q$2:$Q$317=$A22),--ISNUMBER('Данные 2st'!$QC$2:$QC$317))</f>
        <v>4</v>
      </c>
      <c r="TL22">
        <f>SUMPRODUCT(--('Данные 2st'!$Q$2:$Q$317=$A22),--ISNUMBER('Данные 2st'!$QD$2:$QD$317))</f>
        <v>4</v>
      </c>
      <c r="TM22">
        <f>SUMPRODUCT(--('Данные 2st'!$Q$2:$Q$317=$A22),--ISNUMBER('Данные 2st'!$QE$2:$QE$317))</f>
        <v>4</v>
      </c>
      <c r="TN22">
        <f>SUMPRODUCT(--('Данные 2st'!$Q$2:$Q$317=$A22),--ISNUMBER('Данные 2st'!$QF$2:$QF$317))</f>
        <v>4</v>
      </c>
      <c r="TO22">
        <f>SUMPRODUCT(--('Данные 2st'!$Q$2:$Q$317=$A22),--ISNUMBER('Данные 2st'!$QG$2:$QG$317))</f>
        <v>4</v>
      </c>
      <c r="TP22">
        <f>SUMPRODUCT(--('Данные 2st'!$Q$2:$Q$317=$A22),--ISNUMBER('Данные 2st'!$QH$2:$QH$317))</f>
        <v>4</v>
      </c>
      <c r="TQ22">
        <f>SUMPRODUCT(--('Данные 2st'!$Q$2:$Q$317=$A22),--ISNUMBER('Данные 2st'!$QI$2:$QI$317))</f>
        <v>4</v>
      </c>
      <c r="TR22">
        <f>SUMPRODUCT(--('Данные 2st'!$Q$2:$Q$317=$A22),--ISNUMBER('Данные 2st'!$QJ$2:$QJ$317))</f>
        <v>4</v>
      </c>
      <c r="TS22">
        <f>SUMPRODUCT(--('Данные 2st'!$Q$2:$Q$317=$A22),--ISNUMBER('Данные 2st'!$QK$2:$QK$317))</f>
        <v>4</v>
      </c>
      <c r="TT22">
        <f>SUMPRODUCT(--('Данные 2st'!$Q$2:$Q$317=$A22),--ISNUMBER('Данные 2st'!$QL$2:$QL$317))</f>
        <v>4</v>
      </c>
      <c r="TU22">
        <f>SUMPRODUCT(--('Данные 2st'!$Q$2:$Q$317=$A22),--ISNUMBER('Данные 2st'!$QM$2:$QM$317))</f>
        <v>4</v>
      </c>
      <c r="TV22">
        <f>SUMPRODUCT(--('Данные 2st'!$Q$2:$Q$317=$A22),--ISNUMBER('Данные 2st'!$QN$2:$QN$317))</f>
        <v>4</v>
      </c>
      <c r="TW22">
        <f>SUMPRODUCT(--('Данные 2st'!$Q$2:$Q$317=$A22),--ISNUMBER('Данные 2st'!$QQ$2:$QQ$317))</f>
        <v>4</v>
      </c>
      <c r="TX22">
        <f>SUMPRODUCT(--('Данные 2st'!$Q$2:$Q$317=$A22),--ISNUMBER('Данные 2st'!$QS$2:$QS$317))</f>
        <v>4</v>
      </c>
      <c r="TY22">
        <f>SUMPRODUCT(--('Данные 2st'!$Q$2:$Q$317=$A22),--ISNUMBER('Данные 2st'!$QT$2:$QT$317))</f>
        <v>4</v>
      </c>
    </row>
    <row r="23" spans="1:545" ht="32" customHeight="1">
      <c r="A23" s="11" t="str">
        <f>'По размерам'!A23</f>
        <v>215/55R17</v>
      </c>
      <c r="G23">
        <f>SUMPRODUCT(--('Данные 1st'!$S$2:$S$317=$A23),--ISNUMBER('Данные 1st'!$AE$2:$AE$317))</f>
        <v>5</v>
      </c>
      <c r="H23">
        <f>SUMPRODUCT(--('Данные 1st'!$S$2:$S$317=$A23),--ISNUMBER('Данные 1st'!$AF$2:$AF$317))</f>
        <v>5</v>
      </c>
      <c r="I23">
        <f>SUMPRODUCT(--('Данные 1st'!$S$2:$S$317=$A23),--ISNUMBER('Данные 1st'!$AJ$2:$AJ$317))</f>
        <v>5</v>
      </c>
      <c r="J23">
        <f>SUMPRODUCT(--('Данные 1st'!$S$2:$S$317=$A23),--ISNUMBER('Данные 1st'!$AL$2:$AL$317))</f>
        <v>5</v>
      </c>
      <c r="K23">
        <f>SUMPRODUCT(--('Данные 1st'!$S$2:$S$317=$A23),--ISNUMBER('Данные 1st'!$AR$2:$AR$317))</f>
        <v>5</v>
      </c>
      <c r="L23">
        <f>SUMPRODUCT(--('Данные 1st'!$S$2:$S$317=$A23),--ISNUMBER('Данные 1st'!$AS$2:$AS$317))</f>
        <v>5</v>
      </c>
      <c r="M23">
        <f>SUMPRODUCT(--('Данные 1st'!$S$2:$S$317=$A23),--ISNUMBER('Данные 1st'!$AY$2:$AY$317))</f>
        <v>5</v>
      </c>
      <c r="N23">
        <f>SUMPRODUCT(--('Данные 1st'!$S$2:$S$317=$A23),--ISNUMBER('Данные 1st'!$AZ$2:$AZ$317))</f>
        <v>5</v>
      </c>
      <c r="O23">
        <f>SUMPRODUCT(--('Данные 1st'!$S$2:$S$317=$A23),--ISNUMBER('Данные 1st'!$BF$2:$BF$317))</f>
        <v>0</v>
      </c>
      <c r="P23">
        <f>SUMPRODUCT(--('Данные 1st'!$S$2:$S$317=$A23),--ISNUMBER('Данные 1st'!$BG$2:$BG$317))</f>
        <v>5</v>
      </c>
      <c r="Q23">
        <f>SUMPRODUCT(--('Данные 1st'!$S$2:$S$317=$A23),--ISNUMBER('Данные 1st'!$BM$2:$BM$317))</f>
        <v>0</v>
      </c>
      <c r="R23">
        <f>SUMPRODUCT(--('Данные 1st'!$S$2:$S$317=$A23),--ISNUMBER('Данные 1st'!$BN$2:$BN$317))</f>
        <v>5</v>
      </c>
      <c r="S23">
        <f>SUMPRODUCT(--('Данные 1st'!$S$2:$S$317=$A23),--ISNUMBER('Данные 1st'!$BT$2:$BT$317))</f>
        <v>5</v>
      </c>
      <c r="T23">
        <f>SUMPRODUCT(--('Данные 1st'!$S$2:$S$317=$A23),--ISNUMBER('Данные 1st'!$BU$2:$BU$317))</f>
        <v>5</v>
      </c>
      <c r="U23">
        <f>SUMPRODUCT(--('Данные 1st'!$S$2:$S$317=$A23),--ISNUMBER('Данные 1st'!$BW$2:$BW$317))</f>
        <v>5</v>
      </c>
      <c r="V23">
        <f>SUMPRODUCT(--('Данные 1st'!$S$2:$S$317=$A23),--ISNUMBER('Данные 1st'!$BX$2:$BX$317))</f>
        <v>5</v>
      </c>
      <c r="W23">
        <f>SUMPRODUCT(--('Данные 1st'!$S$2:$S$317=$A23),--ISNUMBER('Данные 1st'!$BZ$2:$BZ$317))</f>
        <v>5</v>
      </c>
      <c r="X23">
        <f>SUMPRODUCT(--('Данные 1st'!$S$2:$S$317=$A23),--ISNUMBER('Данные 1st'!$CA$2:$CA$317))</f>
        <v>5</v>
      </c>
      <c r="Y23">
        <f>SUMPRODUCT(--('Данные 1st'!$S$2:$S$317=$A23),--ISNUMBER('Данные 1st'!$CD$2:$CD$317))</f>
        <v>5</v>
      </c>
      <c r="Z23">
        <f>SUMPRODUCT(--('Данные 1st'!$S$2:$S$317=$A23),--ISNUMBER('Данные 1st'!$CF$2:$CF$317))</f>
        <v>5</v>
      </c>
      <c r="AA23">
        <f>SUMPRODUCT(--('Данные 1st'!$S$2:$S$317=$A23),--ISNUMBER('Данные 1st'!$CI$2:$CI$317))</f>
        <v>5</v>
      </c>
      <c r="AB23">
        <f>SUMPRODUCT(--('Данные 1st'!$S$2:$S$317=$A23),--ISNUMBER('Данные 1st'!$CJ$2:$CJ$317))</f>
        <v>5</v>
      </c>
      <c r="AC23">
        <f>SUMPRODUCT(--('Данные 1st'!$S$2:$S$317=$A23),--ISNUMBER('Данные 1st'!$CK$2:$CK$317))</f>
        <v>5</v>
      </c>
      <c r="AD23">
        <f>SUMPRODUCT(--('Данные 1st'!$S$2:$S$317=$A23),--ISNUMBER('Данные 1st'!$CL$2:$CL$317))</f>
        <v>5</v>
      </c>
      <c r="AE23">
        <f>SUMPRODUCT(--('Данные 1st'!$S$2:$S$317=$A23),--ISNUMBER('Данные 1st'!$CM$2:$CM$317))</f>
        <v>5</v>
      </c>
      <c r="AF23">
        <f>SUMPRODUCT(--('Данные 1st'!$S$2:$S$317=$A23),--ISNUMBER('Данные 1st'!$CT$2:$CT$317))</f>
        <v>5</v>
      </c>
      <c r="AG23">
        <f>SUMPRODUCT(--('Данные 1st'!$S$2:$S$317=$A23),--ISNUMBER('Данные 1st'!$CU$2:$CU$317))</f>
        <v>5</v>
      </c>
      <c r="AH23">
        <f>SUMPRODUCT(--('Данные 1st'!$S$2:$S$317=$A23),--ISNUMBER('Данные 1st'!$CV$2:$CV$317))</f>
        <v>5</v>
      </c>
      <c r="AI23">
        <f>SUMPRODUCT(--('Данные 1st'!$S$2:$S$317=$A23),--ISNUMBER('Данные 1st'!$CW$2:$CW$317))</f>
        <v>5</v>
      </c>
      <c r="AJ23">
        <f>SUMPRODUCT(--('Данные 1st'!$S$2:$S$317=$A23),--ISNUMBER('Данные 1st'!$CX$2:$CX$317))</f>
        <v>5</v>
      </c>
      <c r="AK23">
        <f>SUMPRODUCT(--('Данные 1st'!$S$2:$S$317=$A23),--ISNUMBER('Данные 1st'!$CZ$2:$CZ$317))</f>
        <v>1</v>
      </c>
      <c r="AL23">
        <f>SUMPRODUCT(--('Данные 1st'!$S$2:$S$317=$A23),--ISNUMBER('Данные 1st'!$DA$2:$DA$317))</f>
        <v>1</v>
      </c>
      <c r="AM23">
        <f>SUMPRODUCT(--('Данные 1st'!$S$2:$S$317=$A23),--ISNUMBER('Данные 1st'!$DB$2:$DB$317))</f>
        <v>1</v>
      </c>
      <c r="AN23">
        <f>SUMPRODUCT(--('Данные 1st'!$S$2:$S$317=$A23),--ISNUMBER('Данные 1st'!$DC$2:$DC$317))</f>
        <v>1</v>
      </c>
      <c r="AO23">
        <f>SUMPRODUCT(--('Данные 1st'!$S$2:$S$317=$A23),--ISNUMBER('Данные 1st'!$DD$2:$DD$317))</f>
        <v>5</v>
      </c>
      <c r="AP23">
        <f>SUMPRODUCT(--('Данные 1st'!$S$2:$S$317=$A23),--ISNUMBER('Данные 1st'!$DF$2:$DF$317))</f>
        <v>5</v>
      </c>
      <c r="AQ23">
        <f>SUMPRODUCT(--('Данные 1st'!$S$2:$S$317=$A23),--ISNUMBER('Данные 1st'!$DG$2:$DG$317))</f>
        <v>5</v>
      </c>
      <c r="AR23">
        <f>SUMPRODUCT(--('Данные 1st'!$S$2:$S$317=$A23),--ISNUMBER('Данные 1st'!$DH$2:$DH$317))</f>
        <v>5</v>
      </c>
      <c r="AS23">
        <f>SUMPRODUCT(--('Данные 1st'!$S$2:$S$317=$A23),--ISNUMBER('Данные 1st'!$DI$2:$DI$317))</f>
        <v>5</v>
      </c>
      <c r="AT23">
        <f>SUMPRODUCT(--('Данные 1st'!$S$2:$S$317=$A23),--ISNUMBER('Данные 1st'!$DJ$2:$DJ$317))</f>
        <v>5</v>
      </c>
      <c r="AU23">
        <f>SUMPRODUCT(--('Данные 1st'!$S$2:$S$317=$A23),--ISNUMBER('Данные 1st'!$DL$2:$DL$317))</f>
        <v>0</v>
      </c>
      <c r="AV23">
        <f>SUMPRODUCT(--('Данные 1st'!$S$2:$S$317=$A23),--ISNUMBER('Данные 1st'!$DM$2:$DM$317))</f>
        <v>0</v>
      </c>
      <c r="AW23">
        <f>SUMPRODUCT(--('Данные 1st'!$S$2:$S$317=$A23),--ISNUMBER('Данные 1st'!$DN$2:$DN$317))</f>
        <v>0</v>
      </c>
      <c r="AX23">
        <f>SUMPRODUCT(--('Данные 1st'!$S$2:$S$317=$A23),--ISNUMBER('Данные 1st'!$DO$2:$DO$317))</f>
        <v>0</v>
      </c>
      <c r="AY23">
        <f>SUMPRODUCT(--('Данные 1st'!$S$2:$S$317=$A23),--ISNUMBER('Данные 1st'!$DP$2:$DP$317))</f>
        <v>0</v>
      </c>
      <c r="AZ23">
        <f>SUMPRODUCT(--('Данные 1st'!$S$2:$S$317=$A23),--ISNUMBER('Данные 1st'!$DR$2:$DR$317))</f>
        <v>0</v>
      </c>
      <c r="BA23">
        <f>SUMPRODUCT(--('Данные 1st'!$S$2:$S$317=$A23),--ISNUMBER('Данные 1st'!$DS$2:$DS$317))</f>
        <v>0</v>
      </c>
      <c r="BB23">
        <f>SUMPRODUCT(--('Данные 1st'!$S$2:$S$317=$A23),--ISNUMBER('Данные 1st'!$DT$2:$DT$317))</f>
        <v>0</v>
      </c>
      <c r="BC23">
        <f>SUMPRODUCT(--('Данные 1st'!$S$2:$S$317=$A23),--ISNUMBER('Данные 1st'!$DU$2:$DU$317))</f>
        <v>0</v>
      </c>
      <c r="BD23">
        <f>SUMPRODUCT(--('Данные 1st'!$S$2:$S$317=$A23),--ISNUMBER('Данные 1st'!$DV$2:$DV$317))</f>
        <v>0</v>
      </c>
      <c r="BE23">
        <f>SUMPRODUCT(--('Данные 1st'!$S$2:$S$317=$A23),--ISNUMBER('Данные 1st'!$DX$2:$DX$317))</f>
        <v>5</v>
      </c>
      <c r="BF23">
        <f>SUMPRODUCT(--('Данные 1st'!$S$2:$S$317=$A23),--ISNUMBER('Данные 1st'!$EA$2:$EA$317))</f>
        <v>5</v>
      </c>
      <c r="BG23">
        <f>SUMPRODUCT(--('Данные 1st'!$S$2:$S$317=$A23),--ISNUMBER('Данные 1st'!$EB$2:$EB$317))</f>
        <v>5</v>
      </c>
      <c r="BH23">
        <f>SUMPRODUCT(--('Данные 1st'!$S$2:$S$317=$A23),--ISNUMBER('Данные 1st'!$ED$2:$ED$317))</f>
        <v>5</v>
      </c>
      <c r="BI23">
        <f>SUMPRODUCT(--('Данные 1st'!$S$2:$S$317=$A23),--ISNUMBER('Данные 1st'!$EE$2:$EE$317))</f>
        <v>5</v>
      </c>
      <c r="BJ23">
        <f>SUMPRODUCT(--('Данные 1st'!$S$2:$S$317=$A23),--ISNUMBER('Данные 1st'!$EG$2:$EG$317))</f>
        <v>5</v>
      </c>
      <c r="BK23">
        <f>SUMPRODUCT(--('Данные 1st'!$S$2:$S$317=$A23),--ISNUMBER('Данные 1st'!$EH$2:$EH$317))</f>
        <v>5</v>
      </c>
      <c r="BL23">
        <f>SUMPRODUCT(--('Данные 1st'!$S$2:$S$317=$A23),--ISNUMBER('Данные 1st'!$EJ$2:$EJ$317))</f>
        <v>5</v>
      </c>
      <c r="BM23">
        <f>SUMPRODUCT(--('Данные 1st'!$S$2:$S$317=$A23),--ISNUMBER('Данные 1st'!$EK$2:$EK$317))</f>
        <v>5</v>
      </c>
      <c r="BN23">
        <f>SUMPRODUCT(--('Данные 1st'!$S$2:$S$317=$A23),--ISNUMBER('Данные 1st'!$EN$2:$EN$317))</f>
        <v>5</v>
      </c>
      <c r="BO23">
        <f>SUMPRODUCT(--('Данные 1st'!$S$2:$S$317=$A23),--ISNUMBER('Данные 1st'!$EQ$2:$EQ$317))</f>
        <v>5</v>
      </c>
      <c r="BP23">
        <f>SUMPRODUCT(--('Данные 1st'!$S$2:$S$317=$A23),--ISNUMBER('Данные 1st'!$ER$2:$ER$317))</f>
        <v>5</v>
      </c>
      <c r="BQ23">
        <f>SUMPRODUCT(--('Данные 1st'!$S$2:$S$317=$A23),--ISNUMBER('Данные 1st'!$ES$2:$ES$317))</f>
        <v>5</v>
      </c>
      <c r="BR23">
        <f>SUMPRODUCT(--('Данные 1st'!$S$2:$S$317=$A23),--ISNUMBER('Данные 1st'!$ET$2:$ET$317))</f>
        <v>5</v>
      </c>
      <c r="BS23">
        <f>SUMPRODUCT(--('Данные 1st'!$S$2:$S$317=$A23),--ISNUMBER('Данные 1st'!$EU$2:$EU$317))</f>
        <v>5</v>
      </c>
      <c r="BT23">
        <f>SUMPRODUCT(--('Данные 1st'!$S$2:$S$317=$A23),--ISNUMBER('Данные 1st'!$EV$2:$EV$317))</f>
        <v>5</v>
      </c>
      <c r="BU23">
        <f>SUMPRODUCT(--('Данные 1st'!$S$2:$S$317=$A23),--ISNUMBER('Данные 1st'!$EX$2:$EX$317))</f>
        <v>5</v>
      </c>
      <c r="BV23">
        <f>SUMPRODUCT(--('Данные 1st'!$S$2:$S$317=$A23),--ISNUMBER('Данные 1st'!$EY$2:$EY$317))</f>
        <v>5</v>
      </c>
      <c r="BW23">
        <f>SUMPRODUCT(--('Данные 1st'!$S$2:$S$317=$A23),--ISNUMBER('Данные 1st'!$EZ$2:$EZ$317))</f>
        <v>5</v>
      </c>
      <c r="BX23">
        <f>SUMPRODUCT(--('Данные 1st'!$S$2:$S$317=$A23),--ISNUMBER('Данные 1st'!$FA$2:$FA$317))</f>
        <v>5</v>
      </c>
      <c r="BY23">
        <f>SUMPRODUCT(--('Данные 1st'!$S$2:$S$317=$A23),--ISNUMBER('Данные 1st'!$FB$2:$FB$317))</f>
        <v>5</v>
      </c>
      <c r="BZ23">
        <f>SUMPRODUCT(--('Данные 1st'!$S$2:$S$317=$A23),--ISNUMBER('Данные 1st'!$FC$2:$FC$317))</f>
        <v>5</v>
      </c>
      <c r="CA23">
        <f>SUMPRODUCT(--('Данные 1st'!$S$2:$S$317=$A23),--ISNUMBER('Данные 1st'!$FE$2:$FE$317))</f>
        <v>5</v>
      </c>
      <c r="CB23">
        <f>SUMPRODUCT(--('Данные 1st'!$S$2:$S$317=$A23),--ISNUMBER('Данные 1st'!$FF$2:$FF$317))</f>
        <v>5</v>
      </c>
      <c r="CC23">
        <f>SUMPRODUCT(--('Данные 1st'!$S$2:$S$317=$A23),--ISNUMBER('Данные 1st'!$FI$2:$FI$317))</f>
        <v>5</v>
      </c>
      <c r="CD23">
        <f>SUMPRODUCT(--('Данные 1st'!$S$2:$S$317=$A23),--ISNUMBER('Данные 1st'!$FL$2:$FL$317))</f>
        <v>5</v>
      </c>
      <c r="CE23">
        <f>SUMPRODUCT(--('Данные 1st'!$S$2:$S$317=$A23),--ISNUMBER('Данные 1st'!$FM$2:$FM$317))</f>
        <v>5</v>
      </c>
      <c r="CF23">
        <f>SUMPRODUCT(--('Данные 1st'!$S$2:$S$317=$A23),--ISNUMBER('Данные 1st'!$FN$2:$FN$317))</f>
        <v>5</v>
      </c>
      <c r="CG23">
        <f>SUMPRODUCT(--('Данные 1st'!$S$2:$S$317=$A23),--ISNUMBER('Данные 1st'!$FO$2:$FO$317))</f>
        <v>1</v>
      </c>
      <c r="CH23">
        <f>SUMPRODUCT(--('Данные 1st'!$S$2:$S$317=$A23),--ISNUMBER('Данные 1st'!$FP$2:$FP$317))</f>
        <v>1</v>
      </c>
      <c r="CI23">
        <f>SUMPRODUCT(--('Данные 1st'!$S$2:$S$317=$A23),--ISNUMBER('Данные 1st'!$FS$2:$FS$317))</f>
        <v>5</v>
      </c>
      <c r="CJ23">
        <f>SUMPRODUCT(--('Данные 1st'!$S$2:$S$317=$A23),--ISNUMBER('Данные 1st'!$FT$2:$FT$317))</f>
        <v>5</v>
      </c>
      <c r="CK23">
        <f>SUMPRODUCT(--('Данные 1st'!$S$2:$S$317=$A23),--ISNUMBER('Данные 1st'!$FU$2:$FU$317))</f>
        <v>5</v>
      </c>
      <c r="CL23">
        <f>SUMPRODUCT(--('Данные 1st'!$S$2:$S$317=$A23),--ISNUMBER('Данные 1st'!$FV$2:$FV$317))</f>
        <v>2</v>
      </c>
      <c r="CM23">
        <f>SUMPRODUCT(--('Данные 1st'!$S$2:$S$317=$A23),--ISNUMBER('Данные 1st'!$FW$2:$FW$317))</f>
        <v>2</v>
      </c>
      <c r="CN23">
        <f>SUMPRODUCT(--('Данные 1st'!$S$2:$S$317=$A23),--ISNUMBER('Данные 1st'!$FZ$2:$FZ$317))</f>
        <v>2</v>
      </c>
      <c r="CO23">
        <f>SUMPRODUCT(--('Данные 1st'!$S$2:$S$317=$A23),--ISNUMBER('Данные 1st'!$GA$2:$GA$317))</f>
        <v>2</v>
      </c>
      <c r="CP23">
        <f>SUMPRODUCT(--('Данные 1st'!$S$2:$S$317=$A23),--ISNUMBER('Данные 1st'!$GB$2:$GB$317))</f>
        <v>2</v>
      </c>
      <c r="CQ23">
        <f>SUMPRODUCT(--('Данные 1st'!$S$2:$S$317=$A23),--ISNUMBER('Данные 1st'!$GH$2:$GH$317))</f>
        <v>2</v>
      </c>
      <c r="CR23">
        <f>SUMPRODUCT(--('Данные 1st'!$S$2:$S$317=$A23),--ISNUMBER('Данные 1st'!$GI$2:$GI$317))</f>
        <v>2</v>
      </c>
      <c r="CS23">
        <f>SUMPRODUCT(--('Данные 1st'!$S$2:$S$317=$A23),--ISNUMBER('Данные 1st'!$GJ$2:$GJ$317))</f>
        <v>2</v>
      </c>
      <c r="CT23">
        <f>SUMPRODUCT(--('Данные 1st'!$S$2:$S$317=$A23),--ISNUMBER('Данные 1st'!$GS$2:$GS$317))</f>
        <v>0</v>
      </c>
      <c r="CU23">
        <f>SUMPRODUCT(--('Данные 1st'!$S$2:$S$317=$A23),--ISNUMBER('Данные 1st'!$GT$2:$GT$317))</f>
        <v>0</v>
      </c>
      <c r="CV23">
        <f>SUMPRODUCT(--('Данные 1st'!$S$2:$S$317=$A23),--ISNUMBER('Данные 1st'!$GU$2:$GU$317))</f>
        <v>0</v>
      </c>
      <c r="CW23">
        <f>SUMPRODUCT(--('Данные 1st'!$S$2:$S$317=$A23),--ISNUMBER('Данные 1st'!$GV$2:$GV$317))</f>
        <v>0</v>
      </c>
      <c r="CX23">
        <f>SUMPRODUCT(--('Данные 1st'!$S$2:$S$317=$A23),--ISNUMBER('Данные 1st'!$GW$2:$GW$317))</f>
        <v>0</v>
      </c>
      <c r="CY23">
        <f>SUMPRODUCT(--('Данные 1st'!$S$2:$S$317=$A23),--ISNUMBER('Данные 1st'!$GZ$2:$GZ$317))</f>
        <v>0</v>
      </c>
      <c r="CZ23">
        <f>SUMPRODUCT(--('Данные 1st'!$S$2:$S$317=$A23),--ISNUMBER('Данные 1st'!$HA$2:$HA$317))</f>
        <v>0</v>
      </c>
      <c r="DA23">
        <f>SUMPRODUCT(--('Данные 1st'!$S$2:$S$317=$A23),--ISNUMBER('Данные 1st'!$HB$2:$HB$317))</f>
        <v>0</v>
      </c>
      <c r="DB23">
        <f>SUMPRODUCT(--('Данные 1st'!$S$2:$S$317=$A23),--ISNUMBER('Данные 1st'!$HC$2:$HC$317))</f>
        <v>5</v>
      </c>
      <c r="DC23">
        <f>SUMPRODUCT(--('Данные 1st'!$S$2:$S$317=$A23),--ISNUMBER('Данные 1st'!$HD$2:$HD$317))</f>
        <v>5</v>
      </c>
      <c r="DD23">
        <f>SUMPRODUCT(--('Данные 1st'!$S$2:$S$317=$A23),--ISNUMBER('Данные 1st'!$HE$2:$HE$317))</f>
        <v>5</v>
      </c>
      <c r="DE23">
        <f>SUMPRODUCT(--('Данные 1st'!$S$2:$S$317=$A23),--ISNUMBER('Данные 1st'!$HF$2:$HF$317))</f>
        <v>5</v>
      </c>
      <c r="DF23">
        <f>SUMPRODUCT(--('Данные 1st'!$S$2:$S$317=$A23),--ISNUMBER('Данные 1st'!$HG$2:$HG$317))</f>
        <v>5</v>
      </c>
      <c r="DG23">
        <f>SUMPRODUCT(--('Данные 1st'!$S$2:$S$317=$A23),--ISNUMBER('Данные 1st'!$HH$2:$HH$317))</f>
        <v>5</v>
      </c>
      <c r="DH23">
        <f>SUMPRODUCT(--('Данные 1st'!$S$2:$S$317=$A23),--ISNUMBER('Данные 1st'!$HI$2:$HI$317))</f>
        <v>5</v>
      </c>
      <c r="DI23">
        <f>SUMPRODUCT(--('Данные 1st'!$S$2:$S$317=$A23),--ISNUMBER('Данные 1st'!$HJ$2:$HJ$317))</f>
        <v>5</v>
      </c>
      <c r="DJ23">
        <f>SUMPRODUCT(--('Данные 1st'!$S$2:$S$317=$A23),--ISNUMBER('Данные 1st'!$HK$2:$HK$317))</f>
        <v>5</v>
      </c>
      <c r="DK23">
        <f>SUMPRODUCT(--('Данные 1st'!$S$2:$S$317=$A23),--ISNUMBER('Данные 1st'!$HL$2:$HL$317))</f>
        <v>5</v>
      </c>
      <c r="DL23">
        <f>SUMPRODUCT(--('Данные 1st'!$S$2:$S$317=$A23),--ISNUMBER('Данные 1st'!$HM$2:$HM$317))</f>
        <v>5</v>
      </c>
      <c r="DM23">
        <f>SUMPRODUCT(--('Данные 1st'!$S$2:$S$317=$A23),--ISNUMBER('Данные 1st'!$HN$2:$HN$317))</f>
        <v>5</v>
      </c>
      <c r="DN23">
        <f>SUMPRODUCT(--('Данные 1st'!$S$2:$S$317=$A23),--ISNUMBER('Данные 1st'!$HO$2:$HO$317))</f>
        <v>5</v>
      </c>
      <c r="DO23">
        <f>SUMPRODUCT(--('Данные 1st'!$S$2:$S$317=$A23),--ISNUMBER('Данные 1st'!$HP$2:$HP$317))</f>
        <v>5</v>
      </c>
      <c r="DP23">
        <f>SUMPRODUCT(--('Данные 1st'!$S$2:$S$317=$A23),--ISNUMBER('Данные 1st'!$HQ$2:$HQ$317))</f>
        <v>5</v>
      </c>
      <c r="DQ23">
        <f>SUMPRODUCT(--('Данные 1st'!$S$2:$S$317=$A23),--ISNUMBER('Данные 1st'!$HR$2:$HR$317))</f>
        <v>5</v>
      </c>
      <c r="DR23">
        <f>SUMPRODUCT(--('Данные 1st'!$S$2:$S$317=$A23),--ISNUMBER('Данные 1st'!$HS$2:$HS$317))</f>
        <v>5</v>
      </c>
      <c r="DS23">
        <f>SUMPRODUCT(--('Данные 1st'!$S$2:$S$317=$A23),--ISNUMBER('Данные 1st'!$HT$2:$HT$317))</f>
        <v>5</v>
      </c>
      <c r="DT23">
        <f>SUMPRODUCT(--('Данные 1st'!$S$2:$S$317=$A23),--ISNUMBER('Данные 1st'!$HU$2:$HU$317))</f>
        <v>5</v>
      </c>
      <c r="DU23">
        <f>SUMPRODUCT(--('Данные 1st'!$S$2:$S$317=$A23),--ISNUMBER('Данные 1st'!$HW$2:$HW$317))</f>
        <v>5</v>
      </c>
      <c r="DV23">
        <f>SUMPRODUCT(--('Данные 1st'!$S$2:$S$317=$A23),--ISNUMBER('Данные 1st'!$HX$2:$HX$317))</f>
        <v>5</v>
      </c>
      <c r="DW23">
        <f>SUMPRODUCT(--('Данные 1st'!$S$2:$S$317=$A23),--ISNUMBER('Данные 1st'!$HY$2:$HY$317))</f>
        <v>5</v>
      </c>
      <c r="DX23">
        <f>SUMPRODUCT(--('Данные 1st'!$S$2:$S$317=$A23),--ISNUMBER('Данные 1st'!$IA$2:$IA$317))</f>
        <v>5</v>
      </c>
      <c r="DY23">
        <f>SUMPRODUCT(--('Данные 1st'!$S$2:$S$317=$A23),--ISNUMBER('Данные 1st'!$IB$2:$IB$317))</f>
        <v>5</v>
      </c>
      <c r="DZ23">
        <f>SUMPRODUCT(--('Данные 1st'!$S$2:$S$317=$A23),--ISNUMBER('Данные 1st'!$IC$2:$IC$317))</f>
        <v>5</v>
      </c>
      <c r="EA23">
        <f>SUMPRODUCT(--('Данные 1st'!$S$2:$S$317=$A23),--ISNUMBER('Данные 1st'!$ID$2:$ID$317))</f>
        <v>5</v>
      </c>
      <c r="EB23">
        <f>SUMPRODUCT(--('Данные 1st'!$S$2:$S$317=$A23),--ISNUMBER('Данные 1st'!$IE$2:$IE$317))</f>
        <v>5</v>
      </c>
      <c r="EC23">
        <f>SUMPRODUCT(--('Данные 1st'!$S$2:$S$317=$A23),--ISNUMBER('Данные 1st'!$IF$2:$IF$317))</f>
        <v>5</v>
      </c>
      <c r="ED23">
        <f>SUMPRODUCT(--('Данные 1st'!$S$2:$S$317=$A23),--ISNUMBER('Данные 1st'!$IP$2:$IP$317))</f>
        <v>5</v>
      </c>
      <c r="EE23">
        <f>SUMPRODUCT(--('Данные 1st'!$S$2:$S$317=$A23),--ISNUMBER('Данные 1st'!$IV$2:$IV$317))</f>
        <v>5</v>
      </c>
      <c r="EF23">
        <f>SUMPRODUCT(--('Данные 1st'!$S$2:$S$317=$A23),--ISNUMBER('Данные 1st'!$IW$2:$IW$317))</f>
        <v>5</v>
      </c>
      <c r="EG23">
        <f>SUMPRODUCT(--('Данные 1st'!$S$2:$S$317=$A23),--ISNUMBER('Данные 1st'!$IX$2:$IX$317))</f>
        <v>0</v>
      </c>
      <c r="EH23">
        <f>SUMPRODUCT(--('Данные 1st'!$S$2:$S$317=$A23),--ISNUMBER('Данные 1st'!$IY$2:$IY$317))</f>
        <v>0</v>
      </c>
      <c r="EI23">
        <f>SUMPRODUCT(--('Данные 1st'!$S$2:$S$317=$A23),--ISNUMBER('Данные 1st'!$JD$2:$JD$317))</f>
        <v>5</v>
      </c>
      <c r="EJ23">
        <f>SUMPRODUCT(--('Данные 1st'!$S$2:$S$317=$A23),--ISNUMBER('Данные 1st'!$JE$2:$JE$317))</f>
        <v>5</v>
      </c>
      <c r="EK23">
        <f>SUMPRODUCT(--('Данные 1st'!$S$2:$S$317=$A23),--ISNUMBER('Данные 1st'!$JF$2:$JF$317))</f>
        <v>5</v>
      </c>
      <c r="EL23">
        <f>SUMPRODUCT(--('Данные 1st'!$S$2:$S$317=$A23),--ISNUMBER('Данные 1st'!$JG$2:$JG$317))</f>
        <v>5</v>
      </c>
      <c r="EM23">
        <f>SUMPRODUCT(--('Данные 1st'!$S$2:$S$317=$A23),--ISNUMBER('Данные 1st'!$JH$2:$JH$317))</f>
        <v>5</v>
      </c>
      <c r="EN23">
        <f>SUMPRODUCT(--('Данные 1st'!$S$2:$S$317=$A23),--ISNUMBER('Данные 1st'!$JJ$2:$JJ$317))</f>
        <v>5</v>
      </c>
      <c r="EO23">
        <f>SUMPRODUCT(--('Данные 1st'!$S$2:$S$317=$A23),--ISNUMBER('Данные 1st'!$JK$2:$JK$317))</f>
        <v>5</v>
      </c>
      <c r="EP23">
        <f>SUMPRODUCT(--('Данные 1st'!$S$2:$S$317=$A23),--ISNUMBER('Данные 1st'!$JL$2:$JL$317))</f>
        <v>0</v>
      </c>
      <c r="EQ23">
        <f>SUMPRODUCT(--('Данные 1st'!$S$2:$S$317=$A23),--ISNUMBER('Данные 1st'!$JM$2:$JM$317))</f>
        <v>0</v>
      </c>
      <c r="ER23">
        <f>SUMPRODUCT(--('Данные 1st'!$S$2:$S$317=$A23),--ISNUMBER('Данные 1st'!$JN$2:$JN$317))</f>
        <v>5</v>
      </c>
      <c r="ES23">
        <f>SUMPRODUCT(--('Данные 1st'!$S$2:$S$317=$A23),--ISNUMBER('Данные 1st'!$JO$2:$JO$317))</f>
        <v>5</v>
      </c>
      <c r="ET23">
        <f>SUMPRODUCT(--('Данные 1st'!$S$2:$S$317=$A23),--ISNUMBER('Данные 1st'!$JP$2:$JP$317))</f>
        <v>5</v>
      </c>
      <c r="EU23">
        <f>SUMPRODUCT(--('Данные 1st'!$S$2:$S$317=$A23),--ISNUMBER('Данные 1st'!$JQ$2:$JQ$317))</f>
        <v>5</v>
      </c>
      <c r="EV23">
        <f>SUMPRODUCT(--('Данные 1st'!$S$2:$S$317=$A23),--ISNUMBER('Данные 1st'!$JR$2:$JR$317))</f>
        <v>5</v>
      </c>
      <c r="EW23">
        <f>SUMPRODUCT(--('Данные 1st'!$S$2:$S$317=$A23),--ISNUMBER('Данные 1st'!$JS$2:$JS$317))</f>
        <v>5</v>
      </c>
      <c r="EX23">
        <f>SUMPRODUCT(--('Данные 1st'!$S$2:$S$317=$A23),--ISNUMBER('Данные 1st'!$JT$2:$JT$317))</f>
        <v>0</v>
      </c>
      <c r="EY23">
        <f>SUMPRODUCT(--('Данные 1st'!$S$2:$S$317=$A23),--ISNUMBER('Данные 1st'!$JU$2:$JU$317))</f>
        <v>0</v>
      </c>
      <c r="EZ23">
        <f>SUMPRODUCT(--('Данные 1st'!$S$2:$S$317=$A23),--ISNUMBER('Данные 1st'!$JV$2:$JV$317))</f>
        <v>5</v>
      </c>
      <c r="FA23">
        <f>SUMPRODUCT(--('Данные 1st'!$S$2:$S$317=$A23),--ISNUMBER('Данные 1st'!$JW$2:$JW$317))</f>
        <v>0</v>
      </c>
      <c r="FB23">
        <f>SUMPRODUCT(--('Данные 1st'!$S$2:$S$317=$A23),--ISNUMBER('Данные 1st'!$JX$2:$JX$317))</f>
        <v>5</v>
      </c>
      <c r="FC23">
        <f>SUMPRODUCT(--('Данные 1st'!$S$2:$S$317=$A23),--ISNUMBER('Данные 1st'!$JY$2:$JY$317))</f>
        <v>0</v>
      </c>
      <c r="FD23">
        <f>SUMPRODUCT(--('Данные 1st'!$S$2:$S$317=$A23),--ISNUMBER('Данные 1st'!$JZ$2:$JZ$317))</f>
        <v>0</v>
      </c>
      <c r="FE23">
        <f>SUMPRODUCT(--('Данные 1st'!$S$2:$S$317=$A23),--ISNUMBER('Данные 1st'!$KA$2:$KA$317))</f>
        <v>5</v>
      </c>
      <c r="FF23">
        <f>SUMPRODUCT(--('Данные 1st'!$S$2:$S$317=$A23),--ISNUMBER('Данные 1st'!$KB$2:$KB$317))</f>
        <v>5</v>
      </c>
      <c r="FG23">
        <f>SUMPRODUCT(--('Данные 1st'!$S$2:$S$317=$A23),--ISNUMBER('Данные 1st'!$KC$2:$KC$317))</f>
        <v>5</v>
      </c>
      <c r="FH23">
        <f>SUMPRODUCT(--('Данные 1st'!$S$2:$S$317=$A23),--ISNUMBER('Данные 1st'!$KD$2:$KD$317))</f>
        <v>5</v>
      </c>
      <c r="FI23">
        <f>SUMPRODUCT(--('Данные 1st'!$S$2:$S$317=$A23),--ISNUMBER('Данные 1st'!$KE$2:$KE$317))</f>
        <v>0</v>
      </c>
      <c r="FJ23">
        <f>SUMPRODUCT(--('Данные 1st'!$S$2:$S$317=$A23),--ISNUMBER('Данные 1st'!$KF$2:$KF$317))</f>
        <v>5</v>
      </c>
      <c r="FK23">
        <f>SUMPRODUCT(--('Данные 1st'!$S$2:$S$317=$A23),--ISNUMBER('Данные 1st'!$KG$2:$KG$317))</f>
        <v>5</v>
      </c>
      <c r="FL23">
        <f>SUMPRODUCT(--('Данные 1st'!$S$2:$S$317=$A23),--ISNUMBER('Данные 1st'!$KH$2:$KH$317))</f>
        <v>5</v>
      </c>
      <c r="FM23">
        <f>SUMPRODUCT(--('Данные 1st'!$S$2:$S$317=$A23),--ISNUMBER('Данные 1st'!$KI$2:$KI$317))</f>
        <v>5</v>
      </c>
      <c r="FN23">
        <f>SUMPRODUCT(--('Данные 1st'!$S$2:$S$317=$A23),--ISNUMBER('Данные 1st'!$KJ$2:$KJ$317))</f>
        <v>5</v>
      </c>
      <c r="FO23">
        <f>SUMPRODUCT(--('Данные 1st'!$S$2:$S$317=$A23),--ISNUMBER('Данные 1st'!$KK$2:$KK$317))</f>
        <v>5</v>
      </c>
      <c r="FP23">
        <f>SUMPRODUCT(--('Данные 1st'!$S$2:$S$317=$A23),--ISNUMBER('Данные 1st'!$KL$2:$KL$317))</f>
        <v>5</v>
      </c>
      <c r="FQ23">
        <f>SUMPRODUCT(--('Данные 1st'!$S$2:$S$317=$A23),--ISNUMBER('Данные 1st'!$KM$2:$KM$317))</f>
        <v>5</v>
      </c>
      <c r="FR23">
        <f>SUMPRODUCT(--('Данные 1st'!$S$2:$S$317=$A23),--ISNUMBER('Данные 1st'!$KN$2:$KN$317))</f>
        <v>5</v>
      </c>
      <c r="FS23">
        <f>SUMPRODUCT(--('Данные 1st'!$S$2:$S$317=$A23),--ISNUMBER('Данные 1st'!$KR$2:$KR$317))</f>
        <v>5</v>
      </c>
      <c r="FT23">
        <f>SUMPRODUCT(--('Данные 1st'!$S$2:$S$317=$A23),--ISNUMBER('Данные 1st'!$KS$2:$KS$317))</f>
        <v>5</v>
      </c>
      <c r="FU23">
        <f>SUMPRODUCT(--('Данные 1st'!$S$2:$S$317=$A23),--ISNUMBER('Данные 1st'!$KT$2:$KT$317))</f>
        <v>5</v>
      </c>
      <c r="FV23">
        <f>SUMPRODUCT(--('Данные 1st'!$S$2:$S$317=$A23),--ISNUMBER('Данные 1st'!$KV$2:$KV$317))</f>
        <v>0</v>
      </c>
      <c r="FW23">
        <f>SUMPRODUCT(--('Данные 1st'!$S$2:$S$317=$A23),--ISNUMBER('Данные 1st'!$KW$2:$KW$317))</f>
        <v>0</v>
      </c>
      <c r="FX23">
        <f>SUMPRODUCT(--('Данные 1st'!$S$2:$S$317=$A23),--ISNUMBER('Данные 1st'!$KX$2:$KX$317))</f>
        <v>0</v>
      </c>
      <c r="FY23">
        <f>SUMPRODUCT(--('Данные 1st'!$S$2:$S$317=$A23),--ISNUMBER('Данные 1st'!$KY$2:$KY$317))</f>
        <v>0</v>
      </c>
      <c r="FZ23">
        <f>SUMPRODUCT(--('Данные 1st'!$S$2:$S$317=$A23),--ISNUMBER('Данные 1st'!$KZ$2:$KZ$317))</f>
        <v>0</v>
      </c>
      <c r="GA23">
        <f>SUMPRODUCT(--('Данные 1st'!$S$2:$S$317=$A23),--ISNUMBER('Данные 1st'!$LA$2:$LA$317))</f>
        <v>0</v>
      </c>
      <c r="GB23">
        <f>SUMPRODUCT(--('Данные 1st'!$S$2:$S$317=$A23),--ISNUMBER('Данные 1st'!$LB$2:$LB$317))</f>
        <v>0</v>
      </c>
      <c r="GC23">
        <f>SUMPRODUCT(--('Данные 1st'!$S$2:$S$317=$A23),--ISNUMBER('Данные 1st'!$LC$2:$LC$317))</f>
        <v>0</v>
      </c>
      <c r="GD23">
        <f>SUMPRODUCT(--('Данные 1st'!$S$2:$S$317=$A23),--ISNUMBER('Данные 1st'!$LD$2:$LD$317))</f>
        <v>0</v>
      </c>
      <c r="GE23">
        <f>SUMPRODUCT(--('Данные 1st'!$S$2:$S$317=$A23),--ISNUMBER('Данные 1st'!$LE$2:$LE$317))</f>
        <v>0</v>
      </c>
      <c r="GF23">
        <f>SUMPRODUCT(--('Данные 1st'!$S$2:$S$317=$A23),--ISNUMBER('Данные 1st'!$LF$2:$LF$317))</f>
        <v>0</v>
      </c>
      <c r="GG23">
        <f>SUMPRODUCT(--('Данные 1st'!$S$2:$S$317=$A23),--ISNUMBER('Данные 1st'!$LG$2:$LG$317))</f>
        <v>0</v>
      </c>
      <c r="GH23">
        <f>SUMPRODUCT(--('Данные 1st'!$S$2:$S$317=$A23),--ISNUMBER('Данные 1st'!$LH$2:$LH$317))</f>
        <v>0</v>
      </c>
      <c r="GI23">
        <f>SUMPRODUCT(--('Данные 1st'!$S$2:$S$317=$A23),--ISNUMBER('Данные 1st'!$LI$2:$LI$317))</f>
        <v>0</v>
      </c>
      <c r="GJ23">
        <f>SUMPRODUCT(--('Данные 1st'!$S$2:$S$317=$A23),--ISNUMBER('Данные 1st'!$LJ$2:$LJ$317))</f>
        <v>0</v>
      </c>
      <c r="GK23">
        <f>SUMPRODUCT(--('Данные 1st'!$S$2:$S$317=$A23),--ISNUMBER('Данные 1st'!$LK$2:$LK$317))</f>
        <v>5</v>
      </c>
      <c r="GL23">
        <f>SUMPRODUCT(--('Данные 1st'!$S$2:$S$317=$A23),--ISNUMBER('Данные 1st'!$LV$2:$LV$317))</f>
        <v>0</v>
      </c>
      <c r="GM23">
        <f>SUMPRODUCT(--('Данные 1st'!$S$2:$S$317=$A23),--ISNUMBER('Данные 1st'!$LW$2:$LW$317))</f>
        <v>0</v>
      </c>
      <c r="GN23">
        <f>SUMPRODUCT(--('Данные 1st'!$S$2:$S$317=$A23),--ISNUMBER('Данные 1st'!$LX$2:$LX$317))</f>
        <v>0</v>
      </c>
      <c r="GO23">
        <f>SUMPRODUCT(--('Данные 1st'!$S$2:$S$317=$A23),--ISNUMBER('Данные 1st'!$LY$2:$LY$317))</f>
        <v>0</v>
      </c>
      <c r="GP23">
        <f>SUMPRODUCT(--('Данные 1st'!$S$2:$S$317=$A23),--ISNUMBER('Данные 1st'!$LZ$2:$LZ$317))</f>
        <v>0</v>
      </c>
      <c r="GQ23">
        <f>SUMPRODUCT(--('Данные 1st'!$S$2:$S$317=$A23),--ISNUMBER('Данные 1st'!$PG$2:$PG$317))</f>
        <v>5</v>
      </c>
      <c r="GR23">
        <f>SUMPRODUCT(--('Данные 1st'!$S$2:$S$317=$A23),--ISNUMBER('Данные 1st'!$PX$2:$PX$317))</f>
        <v>5</v>
      </c>
      <c r="GS23">
        <f>SUMPRODUCT(--('Данные 1st'!$S$2:$S$317=$A23),--ISNUMBER('Данные 1st'!$PY$2:$PY$317))</f>
        <v>5</v>
      </c>
      <c r="GT23">
        <f>SUMPRODUCT(--('Данные 1st'!$S$2:$S$317=$A23),--ISNUMBER('Данные 1st'!$QA$2:$QA$317))</f>
        <v>5</v>
      </c>
      <c r="GU23">
        <f>SUMPRODUCT(--('Данные 1st'!$S$2:$S$317=$A23),--ISNUMBER('Данные 1st'!$QB$2:$QB$317))</f>
        <v>5</v>
      </c>
      <c r="GV23">
        <f>SUMPRODUCT(--('Данные 1st'!$S$2:$S$317=$A23),--ISNUMBER('Данные 1st'!$QC$2:$QC$317))</f>
        <v>5</v>
      </c>
      <c r="GW23">
        <f>SUMPRODUCT(--('Данные 1st'!$S$2:$S$317=$A23),--ISNUMBER('Данные 1st'!$QD$2:$QD$317))</f>
        <v>5</v>
      </c>
      <c r="GX23">
        <f>SUMPRODUCT(--('Данные 1st'!$S$2:$S$317=$A23),--ISNUMBER('Данные 1st'!$QF$2:$QF$317))</f>
        <v>5</v>
      </c>
      <c r="GY23">
        <f>SUMPRODUCT(--('Данные 1st'!$S$2:$S$317=$A23),--ISNUMBER('Данные 1st'!$QG$2:$QG$317))</f>
        <v>5</v>
      </c>
      <c r="GZ23">
        <f>SUMPRODUCT(--('Данные 1st'!$S$2:$S$317=$A23),--ISNUMBER('Данные 1st'!$QH$2:$QH$317))</f>
        <v>5</v>
      </c>
      <c r="HA23">
        <f>SUMPRODUCT(--('Данные 1st'!$S$2:$S$317=$A23),--ISNUMBER('Данные 1st'!$QI$2:$QI$317))</f>
        <v>5</v>
      </c>
      <c r="HB23">
        <f>SUMPRODUCT(--('Данные 1st'!$S$2:$S$317=$A23),--ISNUMBER('Данные 1st'!$QK$2:$QK$317))</f>
        <v>1</v>
      </c>
      <c r="HC23">
        <f>SUMPRODUCT(--('Данные 1st'!$S$2:$S$317=$A23),--ISNUMBER('Данные 1st'!$QL$2:$QL$317))</f>
        <v>5</v>
      </c>
      <c r="HD23">
        <f>SUMPRODUCT(--('Данные 1st'!$S$2:$S$317=$A23),--ISNUMBER('Данные 1st'!$QM$2:$QM$317))</f>
        <v>5</v>
      </c>
      <c r="HE23">
        <f>SUMPRODUCT(--('Данные 1st'!$S$2:$S$317=$A23),--ISNUMBER('Данные 1st'!$QN$2:$QN$317))</f>
        <v>5</v>
      </c>
      <c r="HF23">
        <f>SUMPRODUCT(--('Данные 1st'!$S$2:$S$317=$A23),--ISNUMBER('Данные 1st'!$QP$2:$QP$317))</f>
        <v>5</v>
      </c>
      <c r="HG23">
        <f>SUMPRODUCT(--('Данные 1st'!$S$2:$S$317=$A23),--ISNUMBER('Данные 1st'!$QQ$2:$QQ$317))</f>
        <v>5</v>
      </c>
      <c r="HH23">
        <f>SUMPRODUCT(--('Данные 1st'!$S$2:$S$317=$A23),--ISNUMBER('Данные 1st'!$QR$2:$QR$317))</f>
        <v>0</v>
      </c>
      <c r="HI23">
        <f>SUMPRODUCT(--('Данные 1st'!$S$2:$S$317=$A23),--ISNUMBER('Данные 1st'!$QS$2:$QS$317))</f>
        <v>0</v>
      </c>
      <c r="HJ23">
        <f>SUMPRODUCT(--('Данные 1st'!$S$2:$S$317=$A23),--ISNUMBER('Данные 1st'!$QU$2:$QU$317))</f>
        <v>0</v>
      </c>
      <c r="HK23">
        <f>SUMPRODUCT(--('Данные 1st'!$S$2:$S$317=$A23),--ISNUMBER('Данные 1st'!$QV$2:$QV$317))</f>
        <v>0</v>
      </c>
      <c r="HL23">
        <f>SUMPRODUCT(--('Данные 1st'!$S$2:$S$317=$A23),--ISNUMBER('Данные 1st'!$QW$2:$QW$317))</f>
        <v>5</v>
      </c>
      <c r="HM23">
        <f>SUMPRODUCT(--('Данные 1st'!$S$2:$S$317=$A23),--ISNUMBER('Данные 1st'!$QX$2:$QX$317))</f>
        <v>5</v>
      </c>
      <c r="HN23">
        <f>SUMPRODUCT(--('Данные 1st'!$S$2:$S$317=$A23),--ISNUMBER('Данные 1st'!$QZ$2:$QZ$317))</f>
        <v>5</v>
      </c>
      <c r="HO23">
        <f>SUMPRODUCT(--('Данные 1st'!$S$2:$S$317=$A23),--ISNUMBER('Данные 1st'!$RA$2:$RA$317))</f>
        <v>5</v>
      </c>
      <c r="HP23">
        <f>SUMPRODUCT(--('Данные 1st'!$S$2:$S$317=$A23),--ISNUMBER('Данные 1st'!$RB$2:$RB$317))</f>
        <v>5</v>
      </c>
      <c r="HQ23">
        <f>SUMPRODUCT(--('Данные 1st'!$S$2:$S$317=$A23),--ISNUMBER('Данные 1st'!$RD$2:$RD$317))</f>
        <v>0</v>
      </c>
      <c r="HR23">
        <f>SUMPRODUCT(--('Данные 1st'!$S$2:$S$317=$A23),--ISNUMBER('Данные 1st'!$RE$2:$RE$317))</f>
        <v>5</v>
      </c>
      <c r="HS23">
        <f>SUMPRODUCT(--('Данные 1st'!$S$2:$S$317=$A23),--ISNUMBER('Данные 1st'!$RF$2:$RF$317))</f>
        <v>3</v>
      </c>
      <c r="HT23">
        <f>SUMPRODUCT(--('Данные 1st'!$S$2:$S$317=$A23),--ISNUMBER('Данные 1st'!$RG$2:$RG$317))</f>
        <v>2</v>
      </c>
      <c r="HU23">
        <f>SUMPRODUCT(--('Данные 1st'!$S$2:$S$317=$A23),--ISNUMBER('Данные 1st'!$RH$2:$RH$317))</f>
        <v>0</v>
      </c>
      <c r="HV23">
        <f>SUMPRODUCT(--('Данные 1st'!$S$2:$S$317=$A23),--ISNUMBER('Данные 1st'!$RI$2:$RI$317))</f>
        <v>0</v>
      </c>
      <c r="HW23">
        <f>SUMPRODUCT(--('Данные 1st'!$S$2:$S$317=$A23),--ISNUMBER('Данные 1st'!$RJ$2:$RJ$317))</f>
        <v>5</v>
      </c>
      <c r="HX23">
        <f>SUMPRODUCT(--('Данные 1st'!$S$2:$S$317=$A23),--ISNUMBER('Данные 1st'!$RK$2:$RK$317))</f>
        <v>1</v>
      </c>
      <c r="HY23">
        <f>SUMPRODUCT(--('Данные 1st'!$S$2:$S$317=$A23),--ISNUMBER('Данные 1st'!$RL$2:$RL$317))</f>
        <v>5</v>
      </c>
      <c r="HZ23">
        <f>SUMPRODUCT(--('Данные 1st'!$S$2:$S$317=$A23),--ISNUMBER('Данные 1st'!$RM$2:$RM$317))</f>
        <v>0</v>
      </c>
      <c r="IA23">
        <f>SUMPRODUCT(--('Данные 1st'!$S$2:$S$317=$A23),--ISNUMBER('Данные 1st'!$RN$2:$RN$317))</f>
        <v>0</v>
      </c>
      <c r="IB23">
        <f>SUMPRODUCT(--('Данные 1st'!$S$2:$S$317=$A23),--ISNUMBER('Данные 1st'!$RO$2:$RO$317))</f>
        <v>5</v>
      </c>
      <c r="IC23">
        <f>SUMPRODUCT(--('Данные 1st'!$S$2:$S$317=$A23),--ISNUMBER('Данные 1st'!$RP$2:$RP$317))</f>
        <v>1</v>
      </c>
      <c r="ID23">
        <f>SUMPRODUCT(--('Данные 1st'!$S$2:$S$317=$A23),--ISNUMBER('Данные 1st'!$RQ$2:$RQ$317))</f>
        <v>5</v>
      </c>
      <c r="IE23">
        <f>SUMPRODUCT(--('Данные 1st'!$S$2:$S$317=$A23),--ISNUMBER('Данные 1st'!$RR$2:$RR$317))</f>
        <v>0</v>
      </c>
      <c r="IF23">
        <f>SUMPRODUCT(--('Данные 1st'!$S$2:$S$317=$A23),--ISNUMBER('Данные 1st'!$RS$2:$RS$317))</f>
        <v>0</v>
      </c>
      <c r="IG23">
        <f>SUMPRODUCT(--('Данные 1st'!$S$2:$S$317=$A23),--ISNUMBER('Данные 1st'!$RT$2:$RT$317))</f>
        <v>5</v>
      </c>
      <c r="IH23">
        <f>SUMPRODUCT(--('Данные 1st'!$S$2:$S$317=$A23),--ISNUMBER('Данные 1st'!$RU$2:$RU$317))</f>
        <v>5</v>
      </c>
      <c r="II23">
        <f>SUMPRODUCT(--('Данные 1st'!$S$2:$S$317=$A23),--ISNUMBER('Данные 1st'!$RX$2:$RX$317))</f>
        <v>5</v>
      </c>
      <c r="IJ23">
        <f>SUMPRODUCT(--('Данные 1st'!$S$2:$S$317=$A23),--ISNUMBER('Данные 1st'!$RY$2:$RY$317))</f>
        <v>5</v>
      </c>
      <c r="IK23">
        <f>SUMPRODUCT(--('Данные 1st'!$S$2:$S$317=$A23),--ISNUMBER('Данные 1st'!$SA$2:$SA$317))</f>
        <v>5</v>
      </c>
      <c r="IL23">
        <f>SUMPRODUCT(--('Данные 1st'!$S$2:$S$317=$A23),--ISNUMBER('Данные 1st'!$SD$2:$SD$317))</f>
        <v>5</v>
      </c>
      <c r="IM23">
        <f>SUMPRODUCT(--('Данные 1st'!$S$2:$S$317=$A23),--ISNUMBER('Данные 1st'!$SG$2:$SG$317))</f>
        <v>0</v>
      </c>
      <c r="IN23">
        <f>SUMPRODUCT(--('Данные 1st'!$S$2:$S$317=$A23),--ISNUMBER('Данные 1st'!$SH$2:$SH$317))</f>
        <v>5</v>
      </c>
      <c r="IO23">
        <f>SUMPRODUCT(--('Данные 1st'!$S$2:$S$317=$A23),--ISNUMBER('Данные 1st'!$SI$2:$SI$317))</f>
        <v>5</v>
      </c>
      <c r="IP23">
        <f>SUMPRODUCT(--('Данные 1st'!$S$2:$S$317=$A23),--ISNUMBER('Данные 1st'!$SJ$2:$SJ$317))</f>
        <v>5</v>
      </c>
      <c r="IQ23">
        <f>SUMPRODUCT(--('Данные 1st'!$S$2:$S$317=$A23),--ISNUMBER('Данные 1st'!$SK$2:$SK$317))</f>
        <v>5</v>
      </c>
      <c r="IR23">
        <f>SUMPRODUCT(--('Данные 1st'!$S$2:$S$317=$A23),--ISNUMBER('Данные 1st'!$SL$2:$SL$317))</f>
        <v>5</v>
      </c>
      <c r="IS23">
        <f>SUMPRODUCT(--('Данные 1st'!$S$2:$S$317=$A23),--ISNUMBER('Данные 1st'!$SM$2:$SM$317))</f>
        <v>5</v>
      </c>
      <c r="IT23">
        <f>SUMPRODUCT(--('Данные 1st'!$S$2:$S$317=$A23),--ISNUMBER('Данные 1st'!$SN$2:$SN$317))</f>
        <v>5</v>
      </c>
      <c r="IU23">
        <f>SUMPRODUCT(--('Данные 1st'!$S$2:$S$317=$A23),--ISNUMBER('Данные 1st'!$SO$2:$SO$317))</f>
        <v>5</v>
      </c>
      <c r="IV23">
        <f>SUMPRODUCT(--('Данные 1st'!$S$2:$S$317=$A23),--ISNUMBER('Данные 1st'!$SP$2:$SP$317))</f>
        <v>5</v>
      </c>
      <c r="IW23">
        <f>SUMPRODUCT(--('Данные 1st'!$S$2:$S$317=$A23),--ISNUMBER('Данные 1st'!$SQ$2:$SQ$317))</f>
        <v>5</v>
      </c>
      <c r="IX23">
        <f>SUMPRODUCT(--('Данные 1st'!$S$2:$S$317=$A23),--ISNUMBER('Данные 1st'!$SR$2:$SR$317))</f>
        <v>5</v>
      </c>
      <c r="IY23">
        <f>SUMPRODUCT(--('Данные 1st'!$S$2:$S$317=$A23),--ISNUMBER('Данные 1st'!$SS$2:$SS$317))</f>
        <v>5</v>
      </c>
      <c r="IZ23">
        <f>SUMPRODUCT(--('Данные 1st'!$S$2:$S$317=$A23),--ISNUMBER('Данные 1st'!$ST$2:$ST$317))</f>
        <v>5</v>
      </c>
      <c r="JA23">
        <f>SUMPRODUCT(--('Данные 1st'!$S$2:$S$317=$A23),--ISNUMBER('Данные 1st'!$SU$2:$SU$317))</f>
        <v>5</v>
      </c>
      <c r="JB23">
        <f>SUMPRODUCT(--('Данные 1st'!$S$2:$S$317=$A23),--ISNUMBER('Данные 1st'!$SV$2:$SV$317))</f>
        <v>5</v>
      </c>
      <c r="JC23">
        <f>SUMPRODUCT(--('Данные 1st'!$S$2:$S$317=$A23),--ISNUMBER('Данные 1st'!$SW$2:$SW$317))</f>
        <v>5</v>
      </c>
      <c r="JD23">
        <f>SUMPRODUCT(--('Данные 1st'!$S$2:$S$317=$A23),--ISNUMBER('Данные 1st'!$SX$2:$SX$317))</f>
        <v>5</v>
      </c>
      <c r="JE23">
        <f>SUMPRODUCT(--('Данные 1st'!$S$2:$S$317=$A23),--ISNUMBER('Данные 1st'!$SY$2:$SY$317))</f>
        <v>1</v>
      </c>
      <c r="JF23">
        <f>SUMPRODUCT(--('Данные 1st'!$S$2:$S$317=$A23),--ISNUMBER('Данные 1st'!$SZ$2:$SZ$317))</f>
        <v>0</v>
      </c>
      <c r="JG23">
        <f>SUMPRODUCT(--('Данные 1st'!$S$2:$S$317=$A23),--ISNUMBER('Данные 1st'!$TA$2:$TA$317))</f>
        <v>0</v>
      </c>
      <c r="JH23">
        <f>SUMPRODUCT(--('Данные 1st'!$S$2:$S$317=$A23),--ISNUMBER('Данные 1st'!$TB$2:$TB$317))</f>
        <v>5</v>
      </c>
      <c r="JI23">
        <f>SUMPRODUCT(--('Данные 1st'!$S$2:$S$317=$A23),--ISNUMBER('Данные 1st'!$TC$2:$TC$317))</f>
        <v>5</v>
      </c>
      <c r="JJ23">
        <f>SUMPRODUCT(--('Данные 1st'!$S$2:$S$317=$A23),--ISNUMBER('Данные 1st'!$TD$2:$TD$317))</f>
        <v>5</v>
      </c>
      <c r="JK23">
        <f>SUMPRODUCT(--('Данные 1st'!$S$2:$S$317=$A23),--ISNUMBER('Данные 1st'!$TN$2:$TN$317))</f>
        <v>5</v>
      </c>
      <c r="JQ23">
        <f>SUMPRODUCT(--('Данные 2st'!$Q$2:$Q$317=$A23),--ISNUMBER('Данные 2st'!$AC$2:$AC$317))</f>
        <v>5</v>
      </c>
      <c r="JR23">
        <f>SUMPRODUCT(--('Данные 2st'!$Q$2:$Q$317=$A23),--ISNUMBER('Данные 2st'!$AF$2:$AF$317))</f>
        <v>5</v>
      </c>
      <c r="JS23">
        <f>SUMPRODUCT(--('Данные 2st'!$Q$2:$Q$317=$A23),--ISNUMBER('Данные 2st'!$AW$2:$AW$317))</f>
        <v>5</v>
      </c>
      <c r="JT23">
        <f>SUMPRODUCT(--('Данные 2st'!$Q$2:$Q$317=$A23),--ISNUMBER('Данные 2st'!$AX$2:$AX$317))</f>
        <v>5</v>
      </c>
      <c r="JU23">
        <f>SUMPRODUCT(--('Данные 2st'!$Q$2:$Q$317=$A23),--ISNUMBER('Данные 2st'!$AY$2:$AY$317))</f>
        <v>5</v>
      </c>
      <c r="JV23">
        <f>SUMPRODUCT(--('Данные 2st'!$Q$2:$Q$317=$A23),--ISNUMBER('Данные 2st'!$AZ$2:$AZ$317))</f>
        <v>5</v>
      </c>
      <c r="JW23">
        <f>SUMPRODUCT(--('Данные 2st'!$Q$2:$Q$317=$A23),--ISNUMBER('Данные 2st'!$BA$2:$BA$317))</f>
        <v>0</v>
      </c>
      <c r="JX23">
        <f>SUMPRODUCT(--('Данные 2st'!$Q$2:$Q$317=$A23),--ISNUMBER('Данные 2st'!$BB$2:$BB$317))</f>
        <v>0</v>
      </c>
      <c r="JY23">
        <f>SUMPRODUCT(--('Данные 2st'!$Q$2:$Q$317=$A23),--ISNUMBER('Данные 2st'!$BC$2:$BC$317))</f>
        <v>0</v>
      </c>
      <c r="JZ23">
        <f>SUMPRODUCT(--('Данные 2st'!$Q$2:$Q$317=$A23),--ISNUMBER('Данные 2st'!$BH$2:$BH$317))</f>
        <v>5</v>
      </c>
      <c r="KA23">
        <f>SUMPRODUCT(--('Данные 2st'!$Q$2:$Q$317=$A23),--ISNUMBER('Данные 2st'!$BI$2:$BI$317))</f>
        <v>5</v>
      </c>
      <c r="KB23">
        <f>SUMPRODUCT(--('Данные 2st'!$Q$2:$Q$317=$A23),--ISNUMBER('Данные 2st'!$BJ$2:$BJ$317))</f>
        <v>5</v>
      </c>
      <c r="KC23">
        <f>SUMPRODUCT(--('Данные 2st'!$Q$2:$Q$317=$A23),--ISNUMBER('Данные 2st'!$BK$2:$BK$317))</f>
        <v>5</v>
      </c>
      <c r="KD23">
        <f>SUMPRODUCT(--('Данные 2st'!$Q$2:$Q$317=$A23),--ISNUMBER('Данные 2st'!$BL$2:$BL$317))</f>
        <v>5</v>
      </c>
      <c r="KE23">
        <f>SUMPRODUCT(--('Данные 2st'!$Q$2:$Q$317=$A23),--ISNUMBER('Данные 2st'!$BM$2:$BM$317))</f>
        <v>5</v>
      </c>
      <c r="KF23">
        <f>SUMPRODUCT(--('Данные 2st'!$Q$2:$Q$317=$A23),--ISNUMBER('Данные 2st'!$BN$2:$BN$317))</f>
        <v>5</v>
      </c>
      <c r="KG23">
        <f>SUMPRODUCT(--('Данные 2st'!$Q$2:$Q$317=$A23),--ISNUMBER('Данные 2st'!$BO$2:$BO$317))</f>
        <v>2</v>
      </c>
      <c r="KH23">
        <f>SUMPRODUCT(--('Данные 2st'!$Q$2:$Q$317=$A23),--ISNUMBER('Данные 2st'!$BP$2:$BP$317))</f>
        <v>5</v>
      </c>
      <c r="KI23">
        <f>SUMPRODUCT(--('Данные 2st'!$Q$2:$Q$317=$A23),--ISNUMBER('Данные 2st'!$BR$2:$BR$317))</f>
        <v>5</v>
      </c>
      <c r="KJ23">
        <f>SUMPRODUCT(--('Данные 2st'!$Q$2:$Q$317=$A23),--ISNUMBER('Данные 2st'!$BS$2:$BS$317))</f>
        <v>5</v>
      </c>
      <c r="KK23">
        <f>SUMPRODUCT(--('Данные 2st'!$Q$2:$Q$317=$A23),--ISNUMBER('Данные 2st'!$BT$2:$BT$317))</f>
        <v>5</v>
      </c>
      <c r="KL23">
        <f>SUMPRODUCT(--('Данные 2st'!$Q$2:$Q$317=$A23),--ISNUMBER('Данные 2st'!$CV$2:$CV$317))</f>
        <v>5</v>
      </c>
      <c r="KM23">
        <f>SUMPRODUCT(--('Данные 2st'!$Q$2:$Q$317=$A23),--ISNUMBER('Данные 2st'!$CW$2:$CW$317))</f>
        <v>5</v>
      </c>
      <c r="KN23">
        <f>SUMPRODUCT(--('Данные 2st'!$Q$2:$Q$317=$A23),--ISNUMBER('Данные 2st'!$CX$2:$CX$317))</f>
        <v>5</v>
      </c>
      <c r="KO23">
        <f>SUMPRODUCT(--('Данные 2st'!$Q$2:$Q$317=$A23),--ISNUMBER('Данные 2st'!$CY$2:$CY$317))</f>
        <v>5</v>
      </c>
      <c r="KP23">
        <f>SUMPRODUCT(--('Данные 2st'!$Q$2:$Q$317=$A23),--ISNUMBER('Данные 2st'!$CZ$2:$CZ$317))</f>
        <v>5</v>
      </c>
      <c r="KQ23">
        <f>SUMPRODUCT(--('Данные 2st'!$Q$2:$Q$317=$A23),--ISNUMBER('Данные 2st'!$DA$2:$DA$317))</f>
        <v>5</v>
      </c>
      <c r="KR23">
        <f>SUMPRODUCT(--('Данные 2st'!$Q$2:$Q$317=$A23),--ISNUMBER('Данные 2st'!$DB$2:$DB$317))</f>
        <v>5</v>
      </c>
      <c r="KS23">
        <f>SUMPRODUCT(--('Данные 2st'!$Q$2:$Q$317=$A23),--ISNUMBER('Данные 2st'!$DC$2:$DC$317))</f>
        <v>5</v>
      </c>
      <c r="KT23">
        <f>SUMPRODUCT(--('Данные 2st'!$Q$2:$Q$317=$A23),--ISNUMBER('Данные 2st'!$DD$2:$DD$317))</f>
        <v>5</v>
      </c>
      <c r="KU23">
        <f>SUMPRODUCT(--('Данные 2st'!$Q$2:$Q$317=$A23),--ISNUMBER('Данные 2st'!$DE$2:$DE$317))</f>
        <v>5</v>
      </c>
      <c r="KV23">
        <f>SUMPRODUCT(--('Данные 2st'!$Q$2:$Q$317=$A23),--ISNUMBER('Данные 2st'!$DF$2:$DF$317))</f>
        <v>5</v>
      </c>
      <c r="KW23">
        <f>SUMPRODUCT(--('Данные 2st'!$Q$2:$Q$317=$A23),--ISNUMBER('Данные 2st'!$DG$2:$DG$317))</f>
        <v>5</v>
      </c>
      <c r="KX23">
        <f>SUMPRODUCT(--('Данные 2st'!$Q$2:$Q$317=$A23),--ISNUMBER('Данные 2st'!$DH$2:$DH$317))</f>
        <v>1</v>
      </c>
      <c r="KY23">
        <f>SUMPRODUCT(--('Данные 2st'!$Q$2:$Q$317=$A23),--ISNUMBER('Данные 2st'!$DI$2:$DI$317))</f>
        <v>0</v>
      </c>
      <c r="KZ23">
        <f>SUMPRODUCT(--('Данные 2st'!$Q$2:$Q$317=$A23),--ISNUMBER('Данные 2st'!$DK$2:$DK$317))</f>
        <v>5</v>
      </c>
      <c r="LA23">
        <f>SUMPRODUCT(--('Данные 2st'!$Q$2:$Q$317=$A23),--ISNUMBER('Данные 2st'!$DM$2:$DM$317))</f>
        <v>5</v>
      </c>
      <c r="LB23">
        <f>SUMPRODUCT(--('Данные 2st'!$Q$2:$Q$317=$A23),--ISNUMBER('Данные 2st'!$DN$2:$DN$317))</f>
        <v>5</v>
      </c>
      <c r="LC23">
        <f>SUMPRODUCT(--('Данные 2st'!$Q$2:$Q$317=$A23),--ISNUMBER('Данные 2st'!$DO$2:$DO$317))</f>
        <v>5</v>
      </c>
      <c r="LD23">
        <f>SUMPRODUCT(--('Данные 2st'!$Q$2:$Q$317=$A23),--ISNUMBER('Данные 2st'!$DP$2:$DP$317))</f>
        <v>5</v>
      </c>
      <c r="LE23">
        <f>SUMPRODUCT(--('Данные 2st'!$Q$2:$Q$317=$A23),--ISNUMBER('Данные 2st'!$DQ$2:$DQ$317))</f>
        <v>5</v>
      </c>
      <c r="LF23">
        <f>SUMPRODUCT(--('Данные 2st'!$Q$2:$Q$317=$A23),--ISNUMBER('Данные 2st'!$DS$2:$DS$317))</f>
        <v>5</v>
      </c>
      <c r="LG23">
        <f>SUMPRODUCT(--('Данные 2st'!$Q$2:$Q$317=$A23),--ISNUMBER('Данные 2st'!$DU$2:$DU$317))</f>
        <v>5</v>
      </c>
      <c r="LH23">
        <f>SUMPRODUCT(--('Данные 2st'!$Q$2:$Q$317=$A23),--ISNUMBER('Данные 2st'!$DV$2:$DV$317))</f>
        <v>5</v>
      </c>
      <c r="LI23">
        <f>SUMPRODUCT(--('Данные 2st'!$Q$2:$Q$317=$A23),--ISNUMBER('Данные 2st'!$DW$2:$DW$317))</f>
        <v>5</v>
      </c>
      <c r="LJ23">
        <f>SUMPRODUCT(--('Данные 2st'!$Q$2:$Q$317=$A23),--ISNUMBER('Данные 2st'!$DX$2:$DX$317))</f>
        <v>5</v>
      </c>
      <c r="LK23">
        <f>SUMPRODUCT(--('Данные 2st'!$Q$2:$Q$317=$A23),--ISNUMBER('Данные 2st'!$DY$2:$DY$317))</f>
        <v>5</v>
      </c>
      <c r="LL23">
        <f>SUMPRODUCT(--('Данные 2st'!$Q$2:$Q$317=$A23),--ISNUMBER('Данные 2st'!$EA$2:$EA$317))</f>
        <v>5</v>
      </c>
      <c r="LM23">
        <f>SUMPRODUCT(--('Данные 2st'!$Q$2:$Q$317=$A23),--ISNUMBER('Данные 2st'!$EC$2:$EC$317))</f>
        <v>5</v>
      </c>
      <c r="LN23">
        <f>SUMPRODUCT(--('Данные 2st'!$Q$2:$Q$317=$A23),--ISNUMBER('Данные 2st'!$ED$2:$ED$317))</f>
        <v>5</v>
      </c>
      <c r="LO23">
        <f>SUMPRODUCT(--('Данные 2st'!$Q$2:$Q$317=$A23),--ISNUMBER('Данные 2st'!$EE$2:$EE$317))</f>
        <v>5</v>
      </c>
      <c r="LP23">
        <f>SUMPRODUCT(--('Данные 2st'!$Q$2:$Q$317=$A23),--ISNUMBER('Данные 2st'!$EG$2:$EG$317))</f>
        <v>5</v>
      </c>
      <c r="LQ23">
        <f>SUMPRODUCT(--('Данные 2st'!$Q$2:$Q$317=$A23),--ISNUMBER('Данные 2st'!$EI$2:$EI$317))</f>
        <v>5</v>
      </c>
      <c r="LR23">
        <f>SUMPRODUCT(--('Данные 2st'!$Q$2:$Q$317=$A23),--ISNUMBER('Данные 2st'!$EJ$2:$EJ$317))</f>
        <v>4</v>
      </c>
      <c r="LS23">
        <f>SUMPRODUCT(--('Данные 2st'!$Q$2:$Q$317=$A23),--ISNUMBER('Данные 2st'!$EK$2:$EK$317))</f>
        <v>4</v>
      </c>
      <c r="LT23">
        <f>SUMPRODUCT(--('Данные 2st'!$Q$2:$Q$317=$A23),--ISNUMBER('Данные 2st'!$EM$2:$EM$317))</f>
        <v>5</v>
      </c>
      <c r="LU23">
        <f>SUMPRODUCT(--('Данные 2st'!$Q$2:$Q$317=$A23),--ISNUMBER('Данные 2st'!$EN$2:$EN$317))</f>
        <v>5</v>
      </c>
      <c r="LV23">
        <f>SUMPRODUCT(--('Данные 2st'!$Q$2:$Q$317=$A23),--ISNUMBER('Данные 2st'!$EO$2:$EO$317))</f>
        <v>5</v>
      </c>
      <c r="LW23">
        <f>SUMPRODUCT(--('Данные 2st'!$Q$2:$Q$317=$A23),--ISNUMBER('Данные 2st'!$EP$2:$EP$317))</f>
        <v>5</v>
      </c>
      <c r="LX23">
        <f>SUMPRODUCT(--('Данные 2st'!$Q$2:$Q$317=$A23),--ISNUMBER('Данные 2st'!$EQ$2:$EQ$317))</f>
        <v>5</v>
      </c>
      <c r="LY23">
        <f>SUMPRODUCT(--('Данные 2st'!$Q$2:$Q$317=$A23),--ISNUMBER('Данные 2st'!$ER$2:$ER$317))</f>
        <v>5</v>
      </c>
      <c r="LZ23">
        <f>SUMPRODUCT(--('Данные 2st'!$Q$2:$Q$317=$A23),--ISNUMBER('Данные 2st'!$ES$2:$ES$317))</f>
        <v>5</v>
      </c>
      <c r="MA23">
        <f>SUMPRODUCT(--('Данные 2st'!$Q$2:$Q$317=$A23),--ISNUMBER('Данные 2st'!$ET$2:$ET$317))</f>
        <v>5</v>
      </c>
      <c r="MB23">
        <f>SUMPRODUCT(--('Данные 2st'!$Q$2:$Q$317=$A23),--ISNUMBER('Данные 2st'!$EU$2:$EU$317))</f>
        <v>5</v>
      </c>
      <c r="MC23">
        <f>SUMPRODUCT(--('Данные 2st'!$Q$2:$Q$317=$A23),--ISNUMBER('Данные 2st'!$EV$2:$EV$317))</f>
        <v>5</v>
      </c>
      <c r="MD23">
        <f>SUMPRODUCT(--('Данные 2st'!$Q$2:$Q$317=$A23),--ISNUMBER('Данные 2st'!$EW$2:$EW$317))</f>
        <v>5</v>
      </c>
      <c r="ME23">
        <f>SUMPRODUCT(--('Данные 2st'!$Q$2:$Q$317=$A23),--ISNUMBER('Данные 2st'!$EY$2:$EY$317))</f>
        <v>5</v>
      </c>
      <c r="MF23">
        <f>SUMPRODUCT(--('Данные 2st'!$Q$2:$Q$317=$A23),--ISNUMBER('Данные 2st'!$FA$2:$FA$317))</f>
        <v>5</v>
      </c>
      <c r="MG23">
        <f>SUMPRODUCT(--('Данные 2st'!$Q$2:$Q$317=$A23),--ISNUMBER('Данные 2st'!$FB$2:$FB$317))</f>
        <v>5</v>
      </c>
      <c r="MH23">
        <f>SUMPRODUCT(--('Данные 2st'!$Q$2:$Q$317=$A23),--ISNUMBER('Данные 2st'!$FC$2:$FC$317))</f>
        <v>5</v>
      </c>
      <c r="MI23">
        <f>SUMPRODUCT(--('Данные 2st'!$Q$2:$Q$317=$A23),--ISNUMBER('Данные 2st'!$FD$2:$FD$317))</f>
        <v>5</v>
      </c>
      <c r="MJ23">
        <f>SUMPRODUCT(--('Данные 2st'!$Q$2:$Q$317=$A23),--ISNUMBER('Данные 2st'!$FE$2:$FE$317))</f>
        <v>5</v>
      </c>
      <c r="MK23">
        <f>SUMPRODUCT(--('Данные 2st'!$Q$2:$Q$317=$A23),--ISNUMBER('Данные 2st'!$FG$2:$FG$317))</f>
        <v>5</v>
      </c>
      <c r="ML23">
        <f>SUMPRODUCT(--('Данные 2st'!$Q$2:$Q$317=$A23),--ISNUMBER('Данные 2st'!$FI$2:$FI$317))</f>
        <v>5</v>
      </c>
      <c r="MM23">
        <f>SUMPRODUCT(--('Данные 2st'!$Q$2:$Q$317=$A23),--ISNUMBER('Данные 2st'!$FJ$2:$FJ$317))</f>
        <v>5</v>
      </c>
      <c r="MN23">
        <f>SUMPRODUCT(--('Данные 2st'!$Q$2:$Q$317=$A23),--ISNUMBER('Данные 2st'!$FK$2:$FK$317))</f>
        <v>5</v>
      </c>
      <c r="MO23">
        <f>SUMPRODUCT(--('Данные 2st'!$Q$2:$Q$317=$A23),--ISNUMBER('Данные 2st'!$FP$2:$FP$317))</f>
        <v>5</v>
      </c>
      <c r="MP23">
        <f>SUMPRODUCT(--('Данные 2st'!$Q$2:$Q$317=$A23),--ISNUMBER('Данные 2st'!$FQ$2:$FQ$317))</f>
        <v>5</v>
      </c>
      <c r="MQ23">
        <f>SUMPRODUCT(--('Данные 2st'!$Q$2:$Q$317=$A23),--ISNUMBER('Данные 2st'!$FS$2:$FS$317))</f>
        <v>5</v>
      </c>
      <c r="MR23">
        <f>SUMPRODUCT(--('Данные 2st'!$Q$2:$Q$317=$A23),--ISNUMBER('Данные 2st'!$FU$2:$FU$317))</f>
        <v>5</v>
      </c>
      <c r="MS23">
        <f>SUMPRODUCT(--('Данные 2st'!$Q$2:$Q$317=$A23),--ISNUMBER('Данные 2st'!$FV$2:$FV$317))</f>
        <v>5</v>
      </c>
      <c r="MT23">
        <f>SUMPRODUCT(--('Данные 2st'!$Q$2:$Q$317=$A23),--ISNUMBER('Данные 2st'!$FW$2:$FW$317))</f>
        <v>5</v>
      </c>
      <c r="MU23">
        <f>SUMPRODUCT(--('Данные 2st'!$Q$2:$Q$317=$A23),--ISNUMBER('Данные 2st'!$FY$2:$FY$317))</f>
        <v>4</v>
      </c>
      <c r="MV23">
        <f>SUMPRODUCT(--('Данные 2st'!$Q$2:$Q$317=$A23),--ISNUMBER('Данные 2st'!$GB$2:$GB$317))</f>
        <v>4</v>
      </c>
      <c r="MW23">
        <f>SUMPRODUCT(--('Данные 2st'!$Q$2:$Q$317=$A23),--ISNUMBER('Данные 2st'!$GC$2:$GC$317))</f>
        <v>4</v>
      </c>
      <c r="MX23">
        <f>SUMPRODUCT(--('Данные 2st'!$Q$2:$Q$317=$A23),--ISNUMBER('Данные 2st'!$GD$2:$GD$317))</f>
        <v>5</v>
      </c>
      <c r="MY23">
        <f>SUMPRODUCT(--('Данные 2st'!$Q$2:$Q$317=$A23),--ISNUMBER('Данные 2st'!$GN$2:$GN$317))</f>
        <v>0</v>
      </c>
      <c r="MZ23">
        <f>SUMPRODUCT(--('Данные 2st'!$Q$2:$Q$317=$A23),--ISNUMBER('Данные 2st'!$GQ$2:$GQ$317))</f>
        <v>5</v>
      </c>
      <c r="NA23">
        <f>SUMPRODUCT(--('Данные 2st'!$Q$2:$Q$317=$A23),--ISNUMBER('Данные 2st'!$GV$2:$GV$317))</f>
        <v>5</v>
      </c>
      <c r="NB23">
        <f>SUMPRODUCT(--('Данные 2st'!$Q$2:$Q$317=$A23),--ISNUMBER('Данные 2st'!$GW$2:$GW$317))</f>
        <v>5</v>
      </c>
      <c r="NC23">
        <f>SUMPRODUCT(--('Данные 2st'!$Q$2:$Q$317=$A23),--ISNUMBER('Данные 2st'!$GX$2:$GX$317))</f>
        <v>5</v>
      </c>
      <c r="ND23">
        <f>SUMPRODUCT(--('Данные 2st'!$Q$2:$Q$317=$A23),--ISNUMBER('Данные 2st'!$GY$2:$GY$317))</f>
        <v>5</v>
      </c>
      <c r="NE23">
        <f>SUMPRODUCT(--('Данные 2st'!$Q$2:$Q$317=$A23),--ISNUMBER('Данные 2st'!$GZ$2:$GZ$317))</f>
        <v>5</v>
      </c>
      <c r="NF23">
        <f>SUMPRODUCT(--('Данные 2st'!$Q$2:$Q$317=$A23),--ISNUMBER('Данные 2st'!$HA$2:$HA$317))</f>
        <v>5</v>
      </c>
      <c r="NG23">
        <f>SUMPRODUCT(--('Данные 2st'!$Q$2:$Q$317=$A23),--ISNUMBER('Данные 2st'!$HB$2:$HB$317))</f>
        <v>5</v>
      </c>
      <c r="NH23">
        <f>SUMPRODUCT(--('Данные 2st'!$Q$2:$Q$317=$A23),--ISNUMBER('Данные 2st'!$HC$2:$HC$317))</f>
        <v>5</v>
      </c>
      <c r="NI23">
        <f>SUMPRODUCT(--('Данные 2st'!$Q$2:$Q$317=$A23),--ISNUMBER('Данные 2st'!$HD$2:$HD$317))</f>
        <v>5</v>
      </c>
      <c r="NJ23">
        <f>SUMPRODUCT(--('Данные 2st'!$Q$2:$Q$317=$A23),--ISNUMBER('Данные 2st'!$HM$2:$HM$317))</f>
        <v>5</v>
      </c>
      <c r="NK23">
        <f>SUMPRODUCT(--('Данные 2st'!$Q$2:$Q$317=$A23),--ISNUMBER('Данные 2st'!$HR$2:$HR$317))</f>
        <v>5</v>
      </c>
      <c r="NL23">
        <f>SUMPRODUCT(--('Данные 2st'!$Q$2:$Q$317=$A23),--ISNUMBER('Данные 2st'!$HS$2:$HS$317))</f>
        <v>5</v>
      </c>
      <c r="NM23">
        <f>SUMPRODUCT(--('Данные 2st'!$Q$2:$Q$317=$A23),--ISNUMBER('Данные 2st'!$HT$2:$HT$317))</f>
        <v>5</v>
      </c>
      <c r="NN23">
        <f>SUMPRODUCT(--('Данные 2st'!$Q$2:$Q$317=$A23),--ISNUMBER('Данные 2st'!$HY$2:$HY$317))</f>
        <v>5</v>
      </c>
      <c r="NO23">
        <f>SUMPRODUCT(--('Данные 2st'!$Q$2:$Q$317=$A23),--ISNUMBER('Данные 2st'!$HZ$2:$HZ$317))</f>
        <v>5</v>
      </c>
      <c r="NP23">
        <f>SUMPRODUCT(--('Данные 2st'!$Q$2:$Q$317=$A23),--ISNUMBER('Данные 2st'!$IA$2:$IA$317))</f>
        <v>5</v>
      </c>
      <c r="NQ23">
        <f>SUMPRODUCT(--('Данные 2st'!$Q$2:$Q$317=$A23),--ISNUMBER('Данные 2st'!$IB$2:$IB$317))</f>
        <v>5</v>
      </c>
      <c r="NR23">
        <f>SUMPRODUCT(--('Данные 2st'!$Q$2:$Q$317=$A23),--ISNUMBER('Данные 2st'!$IC$2:$IC$317))</f>
        <v>0</v>
      </c>
      <c r="NS23">
        <f>SUMPRODUCT(--('Данные 2st'!$Q$2:$Q$317=$A23),--ISNUMBER('Данные 2st'!$ID$2:$ID$317))</f>
        <v>5</v>
      </c>
      <c r="NT23">
        <f>SUMPRODUCT(--('Данные 2st'!$Q$2:$Q$317=$A23),--ISNUMBER('Данные 2st'!$IE$2:$IE$317))</f>
        <v>5</v>
      </c>
      <c r="NU23">
        <f>SUMPRODUCT(--('Данные 2st'!$Q$2:$Q$317=$A23),--ISNUMBER('Данные 2st'!$IF$2:$IF$317))</f>
        <v>5</v>
      </c>
      <c r="NV23">
        <f>SUMPRODUCT(--('Данные 2st'!$Q$2:$Q$317=$A23),--ISNUMBER('Данные 2st'!$IG$2:$IG$317))</f>
        <v>5</v>
      </c>
      <c r="NW23">
        <f>SUMPRODUCT(--('Данные 2st'!$Q$2:$Q$317=$A23),--ISNUMBER('Данные 2st'!$IH$2:$IH$317))</f>
        <v>5</v>
      </c>
      <c r="NX23">
        <f>SUMPRODUCT(--('Данные 2st'!$Q$2:$Q$317=$A23),--ISNUMBER('Данные 2st'!$IJ$2:$IJ$317))</f>
        <v>5</v>
      </c>
      <c r="NY23">
        <f>SUMPRODUCT(--('Данные 2st'!$Q$2:$Q$317=$A23),--ISNUMBER('Данные 2st'!$IM$2:$IM$317))</f>
        <v>5</v>
      </c>
      <c r="NZ23">
        <f>SUMPRODUCT(--('Данные 2st'!$Q$2:$Q$317=$A23),--ISNUMBER('Данные 2st'!$IN$2:$IN$317))</f>
        <v>5</v>
      </c>
      <c r="OA23">
        <f>SUMPRODUCT(--('Данные 2st'!$Q$2:$Q$317=$A23),--ISNUMBER('Данные 2st'!$IO$2:$IO$317))</f>
        <v>5</v>
      </c>
      <c r="OB23">
        <f>SUMPRODUCT(--('Данные 2st'!$Q$2:$Q$317=$A23),--ISNUMBER('Данные 2st'!$IP$2:$IP$317))</f>
        <v>5</v>
      </c>
      <c r="OC23">
        <f>SUMPRODUCT(--('Данные 2st'!$Q$2:$Q$317=$A23),--ISNUMBER('Данные 2st'!$IQ$2:$IQ$317))</f>
        <v>5</v>
      </c>
      <c r="OD23">
        <f>SUMPRODUCT(--('Данные 2st'!$Q$2:$Q$317=$A23),--ISNUMBER('Данные 2st'!$IR$2:$IR$317))</f>
        <v>5</v>
      </c>
      <c r="OE23">
        <f>SUMPRODUCT(--('Данные 2st'!$Q$2:$Q$317=$A23),--ISNUMBER('Данные 2st'!$IT$2:$IT$317))</f>
        <v>5</v>
      </c>
      <c r="OF23">
        <f>SUMPRODUCT(--('Данные 2st'!$Q$2:$Q$317=$A23),--ISNUMBER('Данные 2st'!$IU$2:$IU$317))</f>
        <v>5</v>
      </c>
      <c r="OG23">
        <f>SUMPRODUCT(--('Данные 2st'!$Q$2:$Q$317=$A23),--ISNUMBER('Данные 2st'!$IV$2:$IV$317))</f>
        <v>5</v>
      </c>
      <c r="OH23">
        <f>SUMPRODUCT(--('Данные 2st'!$Q$2:$Q$317=$A23),--ISNUMBER('Данные 2st'!$IW$2:$IW$317))</f>
        <v>5</v>
      </c>
      <c r="OI23">
        <f>SUMPRODUCT(--('Данные 2st'!$Q$2:$Q$317=$A23),--ISNUMBER('Данные 2st'!$IX$2:$IX$317))</f>
        <v>5</v>
      </c>
      <c r="OJ23">
        <f>SUMPRODUCT(--('Данные 2st'!$Q$2:$Q$317=$A23),--ISNUMBER('Данные 2st'!$IY$2:$IY$317))</f>
        <v>5</v>
      </c>
      <c r="OK23">
        <f>SUMPRODUCT(--('Данные 2st'!$Q$2:$Q$317=$A23),--ISNUMBER('Данные 2st'!$IZ$2:$IZ$317))</f>
        <v>5</v>
      </c>
      <c r="OL23">
        <f>SUMPRODUCT(--('Данные 2st'!$Q$2:$Q$317=$A23),--ISNUMBER('Данные 2st'!$JA$2:$JA$317))</f>
        <v>5</v>
      </c>
      <c r="OM23">
        <f>SUMPRODUCT(--('Данные 2st'!$Q$2:$Q$317=$A23),--ISNUMBER('Данные 2st'!$JB$2:$JB$317))</f>
        <v>5</v>
      </c>
      <c r="ON23">
        <f>SUMPRODUCT(--('Данные 2st'!$Q$2:$Q$317=$A23),--ISNUMBER('Данные 2st'!$JC$2:$JC$317))</f>
        <v>5</v>
      </c>
      <c r="OO23">
        <f>SUMPRODUCT(--('Данные 2st'!$Q$2:$Q$317=$A23),--ISNUMBER('Данные 2st'!$JD$2:$JD$317))</f>
        <v>5</v>
      </c>
      <c r="OP23">
        <f>SUMPRODUCT(--('Данные 2st'!$Q$2:$Q$317=$A23),--ISNUMBER('Данные 2st'!$JE$2:$JE$317))</f>
        <v>5</v>
      </c>
      <c r="OQ23">
        <f>SUMPRODUCT(--('Данные 2st'!$Q$2:$Q$317=$A23),--ISNUMBER('Данные 2st'!$JF$2:$JF$317))</f>
        <v>5</v>
      </c>
      <c r="OR23">
        <f>SUMPRODUCT(--('Данные 2st'!$Q$2:$Q$317=$A23),--ISNUMBER('Данные 2st'!$JG$2:$JG$317))</f>
        <v>5</v>
      </c>
      <c r="OS23">
        <f>SUMPRODUCT(--('Данные 2st'!$Q$2:$Q$317=$A23),--ISNUMBER('Данные 2st'!$JH$2:$JH$317))</f>
        <v>5</v>
      </c>
      <c r="OT23">
        <f>SUMPRODUCT(--('Данные 2st'!$Q$2:$Q$317=$A23),--ISNUMBER('Данные 2st'!$JI$2:$JI$317))</f>
        <v>5</v>
      </c>
      <c r="OU23">
        <f>SUMPRODUCT(--('Данные 2st'!$Q$2:$Q$317=$A23),--ISNUMBER('Данные 2st'!$JJ$2:$JJ$317))</f>
        <v>5</v>
      </c>
      <c r="OV23">
        <f>SUMPRODUCT(--('Данные 2st'!$Q$2:$Q$317=$A23),--ISNUMBER('Данные 2st'!$JK$2:$JK$317))</f>
        <v>5</v>
      </c>
      <c r="OW23">
        <f>SUMPRODUCT(--('Данные 2st'!$Q$2:$Q$317=$A23),--ISNUMBER('Данные 2st'!$JL$2:$JL$317))</f>
        <v>5</v>
      </c>
      <c r="OX23">
        <f>SUMPRODUCT(--('Данные 2st'!$Q$2:$Q$317=$A23),--ISNUMBER('Данные 2st'!$JM$2:$JM$317))</f>
        <v>5</v>
      </c>
      <c r="OY23">
        <f>SUMPRODUCT(--('Данные 2st'!$Q$2:$Q$317=$A23),--ISNUMBER('Данные 2st'!$JP$2:$JP$317))</f>
        <v>5</v>
      </c>
      <c r="OZ23">
        <f>SUMPRODUCT(--('Данные 2st'!$Q$2:$Q$317=$A23),--ISNUMBER('Данные 2st'!$JQ$2:$JQ$317))</f>
        <v>5</v>
      </c>
      <c r="PA23">
        <f>SUMPRODUCT(--('Данные 2st'!$Q$2:$Q$317=$A23),--ISNUMBER('Данные 2st'!$JR$2:$JR$317))</f>
        <v>5</v>
      </c>
      <c r="PB23">
        <f>SUMPRODUCT(--('Данные 2st'!$Q$2:$Q$317=$A23),--ISNUMBER('Данные 2st'!$JS$2:$JS$317))</f>
        <v>5</v>
      </c>
      <c r="PC23">
        <f>SUMPRODUCT(--('Данные 2st'!$Q$2:$Q$317=$A23),--ISNUMBER('Данные 2st'!$JT$2:$JT$317))</f>
        <v>5</v>
      </c>
      <c r="PD23">
        <f>SUMPRODUCT(--('Данные 2st'!$Q$2:$Q$317=$A23),--ISNUMBER('Данные 2st'!$JU$2:$JU$317))</f>
        <v>5</v>
      </c>
      <c r="PE23">
        <f>SUMPRODUCT(--('Данные 2st'!$Q$2:$Q$317=$A23),--ISNUMBER('Данные 2st'!$JV$2:$JV$317))</f>
        <v>5</v>
      </c>
      <c r="PF23">
        <f>SUMPRODUCT(--('Данные 2st'!$Q$2:$Q$317=$A23),--ISNUMBER('Данные 2st'!$JW$2:$JW$317))</f>
        <v>5</v>
      </c>
      <c r="PG23">
        <f>SUMPRODUCT(--('Данные 2st'!$Q$2:$Q$317=$A23),--ISNUMBER('Данные 2st'!$KF$2:$KF$317))</f>
        <v>5</v>
      </c>
      <c r="PH23">
        <f>SUMPRODUCT(--('Данные 2st'!$Q$2:$Q$317=$A23),--ISNUMBER('Данные 2st'!$KG$2:$KG$317))</f>
        <v>5</v>
      </c>
      <c r="PI23">
        <f>SUMPRODUCT(--('Данные 2st'!$Q$2:$Q$317=$A23),--ISNUMBER('Данные 2st'!$KM$2:$KM$317))</f>
        <v>5</v>
      </c>
      <c r="PJ23">
        <f>SUMPRODUCT(--('Данные 2st'!$Q$2:$Q$317=$A23),--ISNUMBER('Данные 2st'!$KN$2:$KN$317))</f>
        <v>5</v>
      </c>
      <c r="PK23">
        <f>SUMPRODUCT(--('Данные 2st'!$Q$2:$Q$317=$A23),--ISNUMBER('Данные 2st'!$KO$2:$KO$317))</f>
        <v>5</v>
      </c>
      <c r="PL23">
        <f>SUMPRODUCT(--('Данные 2st'!$Q$2:$Q$317=$A23),--ISNUMBER('Данные 2st'!$KP$2:$KP$317))</f>
        <v>5</v>
      </c>
      <c r="PM23">
        <f>SUMPRODUCT(--('Данные 2st'!$Q$2:$Q$317=$A23),--ISNUMBER('Данные 2st'!$KQ$2:$KQ$317))</f>
        <v>5</v>
      </c>
      <c r="PN23">
        <f>SUMPRODUCT(--('Данные 2st'!$Q$2:$Q$317=$A23),--ISNUMBER('Данные 2st'!$KR$2:$KR$317))</f>
        <v>5</v>
      </c>
      <c r="PO23">
        <f>SUMPRODUCT(--('Данные 2st'!$Q$2:$Q$317=$A23),--ISNUMBER('Данные 2st'!$KS$2:$KS$317))</f>
        <v>5</v>
      </c>
      <c r="PP23">
        <f>SUMPRODUCT(--('Данные 2st'!$Q$2:$Q$317=$A23),--ISNUMBER('Данные 2st'!$KT$2:$KT$317))</f>
        <v>5</v>
      </c>
      <c r="PQ23">
        <f>SUMPRODUCT(--('Данные 2st'!$Q$2:$Q$317=$A23),--ISNUMBER('Данные 2st'!$KU$2:$KU$317))</f>
        <v>5</v>
      </c>
      <c r="PR23">
        <f>SUMPRODUCT(--('Данные 2st'!$Q$2:$Q$317=$A23),--ISNUMBER('Данные 2st'!$KV$2:$KV$317))</f>
        <v>5</v>
      </c>
      <c r="PS23">
        <f>SUMPRODUCT(--('Данные 2st'!$Q$2:$Q$317=$A23),--ISNUMBER('Данные 2st'!$KW$2:$KW$317))</f>
        <v>5</v>
      </c>
      <c r="PT23">
        <f>SUMPRODUCT(--('Данные 2st'!$Q$2:$Q$317=$A23),--ISNUMBER('Данные 2st'!$KX$2:$KX$317))</f>
        <v>5</v>
      </c>
      <c r="PU23">
        <f>SUMPRODUCT(--('Данные 2st'!$Q$2:$Q$317=$A23),--ISNUMBER('Данные 2st'!$KY$2:$KY$317))</f>
        <v>5</v>
      </c>
      <c r="PV23">
        <f>SUMPRODUCT(--('Данные 2st'!$Q$2:$Q$317=$A23),--ISNUMBER('Данные 2st'!$KZ$2:$KZ$317))</f>
        <v>5</v>
      </c>
      <c r="PW23">
        <f>SUMPRODUCT(--('Данные 2st'!$Q$2:$Q$317=$A23),--ISNUMBER('Данные 2st'!$LA$2:$LA$317))</f>
        <v>5</v>
      </c>
      <c r="PX23">
        <f>SUMPRODUCT(--('Данные 2st'!$Q$2:$Q$317=$A23),--ISNUMBER('Данные 2st'!$LB$2:$LB$317))</f>
        <v>5</v>
      </c>
      <c r="PY23">
        <f>SUMPRODUCT(--('Данные 2st'!$Q$2:$Q$317=$A23),--ISNUMBER('Данные 2st'!$LC$2:$LC$317))</f>
        <v>5</v>
      </c>
      <c r="PZ23">
        <f>SUMPRODUCT(--('Данные 2st'!$Q$2:$Q$317=$A23),--ISNUMBER('Данные 2st'!$LD$2:$LD$317))</f>
        <v>5</v>
      </c>
      <c r="QA23">
        <f>SUMPRODUCT(--('Данные 2st'!$Q$2:$Q$317=$A23),--ISNUMBER('Данные 2st'!$LE$2:$LE$317))</f>
        <v>5</v>
      </c>
      <c r="QB23">
        <f>SUMPRODUCT(--('Данные 2st'!$Q$2:$Q$317=$A23),--ISNUMBER('Данные 2st'!$LF$2:$LF$317))</f>
        <v>5</v>
      </c>
      <c r="QC23">
        <f>SUMPRODUCT(--('Данные 2st'!$Q$2:$Q$317=$A23),--ISNUMBER('Данные 2st'!$LG$2:$LG$317))</f>
        <v>5</v>
      </c>
      <c r="QD23">
        <f>SUMPRODUCT(--('Данные 2st'!$Q$2:$Q$317=$A23),--ISNUMBER('Данные 2st'!$LH$2:$LH$317))</f>
        <v>5</v>
      </c>
      <c r="QE23">
        <f>SUMPRODUCT(--('Данные 2st'!$Q$2:$Q$317=$A23),--ISNUMBER('Данные 2st'!$LJ$2:$LJ$317))</f>
        <v>5</v>
      </c>
      <c r="QF23">
        <f>SUMPRODUCT(--('Данные 2st'!$Q$2:$Q$317=$A23),--ISNUMBER('Данные 2st'!$LK$2:$LK$317))</f>
        <v>5</v>
      </c>
      <c r="QG23">
        <f>SUMPRODUCT(--('Данные 2st'!$Q$2:$Q$317=$A23),--ISNUMBER('Данные 2st'!$LL$2:$LL$317))</f>
        <v>5</v>
      </c>
      <c r="QH23">
        <f>SUMPRODUCT(--('Данные 2st'!$Q$2:$Q$317=$A23),--ISNUMBER('Данные 2st'!$LM$2:$LM$317))</f>
        <v>5</v>
      </c>
      <c r="QI23">
        <f>SUMPRODUCT(--('Данные 2st'!$Q$2:$Q$317=$A23),--ISNUMBER('Данные 2st'!$LN$2:$LN$317))</f>
        <v>5</v>
      </c>
      <c r="QJ23">
        <f>SUMPRODUCT(--('Данные 2st'!$Q$2:$Q$317=$A23),--ISNUMBER('Данные 2st'!$LO$2:$LO$317))</f>
        <v>5</v>
      </c>
      <c r="QK23">
        <f>SUMPRODUCT(--('Данные 2st'!$Q$2:$Q$317=$A23),--ISNUMBER('Данные 2st'!$LP$2:$LP$317))</f>
        <v>5</v>
      </c>
      <c r="QL23">
        <f>SUMPRODUCT(--('Данные 2st'!$Q$2:$Q$317=$A23),--ISNUMBER('Данные 2st'!$LQ$2:$LQ$317))</f>
        <v>5</v>
      </c>
      <c r="QM23">
        <f>SUMPRODUCT(--('Данные 2st'!$Q$2:$Q$317=$A23),--ISNUMBER('Данные 2st'!$LW$2:$LW$317))</f>
        <v>5</v>
      </c>
      <c r="QN23">
        <f>SUMPRODUCT(--('Данные 2st'!$Q$2:$Q$317=$A23),--ISNUMBER('Данные 2st'!$LX$2:$LX$317))</f>
        <v>5</v>
      </c>
      <c r="QO23">
        <f>SUMPRODUCT(--('Данные 2st'!$Q$2:$Q$317=$A23),--ISNUMBER('Данные 2st'!$LY$2:$LY$317))</f>
        <v>5</v>
      </c>
      <c r="QP23">
        <f>SUMPRODUCT(--('Данные 2st'!$Q$2:$Q$317=$A23),--ISNUMBER('Данные 2st'!$LZ$2:$LZ$317))</f>
        <v>5</v>
      </c>
      <c r="QQ23">
        <f>SUMPRODUCT(--('Данные 2st'!$Q$2:$Q$317=$A23),--ISNUMBER('Данные 2st'!$MB$2:$MB$317))</f>
        <v>5</v>
      </c>
      <c r="QR23">
        <f>SUMPRODUCT(--('Данные 2st'!$Q$2:$Q$317=$A23),--ISNUMBER('Данные 2st'!$MG$2:$MG$317))</f>
        <v>4</v>
      </c>
      <c r="QS23">
        <f>SUMPRODUCT(--('Данные 2st'!$Q$2:$Q$317=$A23),--ISNUMBER('Данные 2st'!$MH$2:$MH$317))</f>
        <v>4</v>
      </c>
      <c r="QT23">
        <f>SUMPRODUCT(--('Данные 2st'!$Q$2:$Q$317=$A23),--ISNUMBER('Данные 2st'!$MI$2:$MI$317))</f>
        <v>5</v>
      </c>
      <c r="QU23">
        <f>SUMPRODUCT(--('Данные 2st'!$Q$2:$Q$317=$A23),--ISNUMBER('Данные 2st'!$MJ$2:$MJ$317))</f>
        <v>5</v>
      </c>
      <c r="QV23">
        <f>SUMPRODUCT(--('Данные 2st'!$Q$2:$Q$317=$A23),--ISNUMBER('Данные 2st'!$MK$2:$MK$317))</f>
        <v>4</v>
      </c>
      <c r="QW23">
        <f>SUMPRODUCT(--('Данные 2st'!$Q$2:$Q$317=$A23),--ISNUMBER('Данные 2st'!$MM$2:$MM$317))</f>
        <v>5</v>
      </c>
      <c r="QX23">
        <f>SUMPRODUCT(--('Данные 2st'!$Q$2:$Q$317=$A23),--ISNUMBER('Данные 2st'!$MQ$2:$MQ$317))</f>
        <v>0</v>
      </c>
      <c r="QY23">
        <f>SUMPRODUCT(--('Данные 2st'!$Q$2:$Q$317=$A23),--ISNUMBER('Данные 2st'!$MR$2:$MR$317))</f>
        <v>0</v>
      </c>
      <c r="QZ23">
        <f>SUMPRODUCT(--('Данные 2st'!$Q$2:$Q$317=$A23),--ISNUMBER('Данные 2st'!$MS$2:$MS$317))</f>
        <v>0</v>
      </c>
      <c r="RA23">
        <f>SUMPRODUCT(--('Данные 2st'!$Q$2:$Q$317=$A23),--ISNUMBER('Данные 2st'!$MT$2:$MT$317))</f>
        <v>0</v>
      </c>
      <c r="RB23">
        <f>SUMPRODUCT(--('Данные 2st'!$Q$2:$Q$317=$A23),--ISNUMBER('Данные 2st'!$MU$2:$MU$317))</f>
        <v>0</v>
      </c>
      <c r="RC23">
        <f>SUMPRODUCT(--('Данные 2st'!$Q$2:$Q$317=$A23),--ISNUMBER('Данные 2st'!$MV$2:$MV$317))</f>
        <v>0</v>
      </c>
      <c r="RD23">
        <f>SUMPRODUCT(--('Данные 2st'!$Q$2:$Q$317=$A23),--ISNUMBER('Данные 2st'!$MW$2:$MW$317))</f>
        <v>0</v>
      </c>
      <c r="RE23">
        <f>SUMPRODUCT(--('Данные 2st'!$Q$2:$Q$317=$A23),--ISNUMBER('Данные 2st'!$MX$2:$MX$317))</f>
        <v>0</v>
      </c>
      <c r="RF23">
        <f>SUMPRODUCT(--('Данные 2st'!$Q$2:$Q$317=$A23),--ISNUMBER('Данные 2st'!$MY$2:$MY$317))</f>
        <v>0</v>
      </c>
      <c r="RG23">
        <f>SUMPRODUCT(--('Данные 2st'!$Q$2:$Q$317=$A23),--ISNUMBER('Данные 2st'!$MZ$2:$MZ$317))</f>
        <v>0</v>
      </c>
      <c r="RH23">
        <f>SUMPRODUCT(--('Данные 2st'!$Q$2:$Q$317=$A23),--ISNUMBER('Данные 2st'!$NA$2:$NA$317))</f>
        <v>0</v>
      </c>
      <c r="RI23">
        <f>SUMPRODUCT(--('Данные 2st'!$Q$2:$Q$317=$A23),--ISNUMBER('Данные 2st'!$NB$2:$NB$317))</f>
        <v>0</v>
      </c>
      <c r="RJ23">
        <f>SUMPRODUCT(--('Данные 2st'!$Q$2:$Q$317=$A23),--ISNUMBER('Данные 2st'!$NC$2:$NC$317))</f>
        <v>0</v>
      </c>
      <c r="RK23">
        <f>SUMPRODUCT(--('Данные 2st'!$Q$2:$Q$317=$A23),--ISNUMBER('Данные 2st'!$ND$2:$ND$317))</f>
        <v>0</v>
      </c>
      <c r="RL23">
        <f>SUMPRODUCT(--('Данные 2st'!$Q$2:$Q$317=$A23),--ISNUMBER('Данные 2st'!$NE$2:$NE$317))</f>
        <v>0</v>
      </c>
      <c r="RM23">
        <f>SUMPRODUCT(--('Данные 2st'!$Q$2:$Q$317=$A23),--ISNUMBER('Данные 2st'!$NF$2:$NF$317))</f>
        <v>0</v>
      </c>
      <c r="RN23">
        <f>SUMPRODUCT(--('Данные 2st'!$Q$2:$Q$317=$A23),--ISNUMBER('Данные 2st'!$NG$2:$NG$317))</f>
        <v>0</v>
      </c>
      <c r="RO23">
        <f>SUMPRODUCT(--('Данные 2st'!$Q$2:$Q$317=$A23),--ISNUMBER('Данные 2st'!$NH$2:$NH$317))</f>
        <v>0</v>
      </c>
      <c r="RP23">
        <f>SUMPRODUCT(--('Данные 2st'!$Q$2:$Q$317=$A23),--ISNUMBER('Данные 2st'!$NJ$2:$NJ$317))</f>
        <v>0</v>
      </c>
      <c r="RQ23">
        <f>SUMPRODUCT(--('Данные 2st'!$Q$2:$Q$317=$A23),--ISNUMBER('Данные 2st'!$NK$2:$NK$317))</f>
        <v>0</v>
      </c>
      <c r="RR23">
        <f>SUMPRODUCT(--('Данные 2st'!$Q$2:$Q$317=$A23),--ISNUMBER('Данные 2st'!$NM$2:$NM$317))</f>
        <v>0</v>
      </c>
      <c r="RS23">
        <f>SUMPRODUCT(--('Данные 2st'!$Q$2:$Q$317=$A23),--ISNUMBER('Данные 2st'!$NN$2:$NN$317))</f>
        <v>0</v>
      </c>
      <c r="RT23">
        <f>SUMPRODUCT(--('Данные 2st'!$Q$2:$Q$317=$A23),--ISNUMBER('Данные 2st'!$NO$2:$NO$317))</f>
        <v>0</v>
      </c>
      <c r="RU23">
        <f>SUMPRODUCT(--('Данные 2st'!$Q$2:$Q$317=$A23),--ISNUMBER('Данные 2st'!$NP$2:$NP$317))</f>
        <v>0</v>
      </c>
      <c r="RV23">
        <f>SUMPRODUCT(--('Данные 2st'!$Q$2:$Q$317=$A23),--ISNUMBER('Данные 2st'!$NQ$2:$NQ$317))</f>
        <v>0</v>
      </c>
      <c r="RW23">
        <f>SUMPRODUCT(--('Данные 2st'!$Q$2:$Q$317=$A23),--ISNUMBER('Данные 2st'!$NR$2:$NR$317))</f>
        <v>0</v>
      </c>
      <c r="RX23">
        <f>SUMPRODUCT(--('Данные 2st'!$Q$2:$Q$317=$A23),--ISNUMBER('Данные 2st'!$NS$2:$NS$317))</f>
        <v>0</v>
      </c>
      <c r="RY23">
        <f>SUMPRODUCT(--('Данные 2st'!$Q$2:$Q$317=$A23),--ISNUMBER('Данные 2st'!$NT$2:$NT$317))</f>
        <v>0</v>
      </c>
      <c r="RZ23">
        <f>SUMPRODUCT(--('Данные 2st'!$Q$2:$Q$317=$A23),--ISNUMBER('Данные 2st'!$OK$2:$OK$317))</f>
        <v>5</v>
      </c>
      <c r="SA23">
        <f>SUMPRODUCT(--('Данные 2st'!$Q$2:$Q$317=$A23),--ISNUMBER('Данные 2st'!$OL$2:$OL$317))</f>
        <v>5</v>
      </c>
      <c r="SB23">
        <f>SUMPRODUCT(--('Данные 2st'!$Q$2:$Q$317=$A23),--ISNUMBER('Данные 2st'!$ON$2:$ON$317))</f>
        <v>5</v>
      </c>
      <c r="SC23">
        <f>SUMPRODUCT(--('Данные 2st'!$Q$2:$Q$317=$A23),--ISNUMBER('Данные 2st'!$OO$2:$OO$317))</f>
        <v>5</v>
      </c>
      <c r="SD23">
        <f>SUMPRODUCT(--('Данные 2st'!$Q$2:$Q$317=$A23),--ISNUMBER('Данные 2st'!$OP$2:$OP$317))</f>
        <v>5</v>
      </c>
      <c r="SE23">
        <f>SUMPRODUCT(--('Данные 2st'!$Q$2:$Q$317=$A23),--ISNUMBER('Данные 2st'!$OQ$2:$OQ$317))</f>
        <v>5</v>
      </c>
      <c r="SF23">
        <f>SUMPRODUCT(--('Данные 2st'!$Q$2:$Q$317=$A23),--ISNUMBER('Данные 2st'!$OS$2:$OS$317))</f>
        <v>5</v>
      </c>
      <c r="SG23">
        <f>SUMPRODUCT(--('Данные 2st'!$Q$2:$Q$317=$A23),--ISNUMBER('Данные 2st'!$OT$2:$OT$317))</f>
        <v>5</v>
      </c>
      <c r="SH23">
        <f>SUMPRODUCT(--('Данные 2st'!$Q$2:$Q$317=$A23),--ISNUMBER('Данные 2st'!$OU$2:$OU$317))</f>
        <v>5</v>
      </c>
      <c r="SI23">
        <f>SUMPRODUCT(--('Данные 2st'!$Q$2:$Q$317=$A23),--ISNUMBER('Данные 2st'!$OV$2:$OV$317))</f>
        <v>5</v>
      </c>
      <c r="SJ23">
        <f>SUMPRODUCT(--('Данные 2st'!$Q$2:$Q$317=$A23),--ISNUMBER('Данные 2st'!$OX$2:$OX$317))</f>
        <v>5</v>
      </c>
      <c r="SK23">
        <f>SUMPRODUCT(--('Данные 2st'!$Q$2:$Q$317=$A23),--ISNUMBER('Данные 2st'!$OY$2:$OY$317))</f>
        <v>5</v>
      </c>
      <c r="SL23">
        <f>SUMPRODUCT(--('Данные 2st'!$Q$2:$Q$317=$A23),--ISNUMBER('Данные 2st'!$OZ$2:$OZ$317))</f>
        <v>5</v>
      </c>
      <c r="SM23">
        <f>SUMPRODUCT(--('Данные 2st'!$Q$2:$Q$317=$A23),--ISNUMBER('Данные 2st'!$PA$2:$PA$317))</f>
        <v>5</v>
      </c>
      <c r="SN23">
        <f>SUMPRODUCT(--('Данные 2st'!$Q$2:$Q$317=$A23),--ISNUMBER('Данные 2st'!$PC$2:$PC$317))</f>
        <v>5</v>
      </c>
      <c r="SO23">
        <f>SUMPRODUCT(--('Данные 2st'!$Q$2:$Q$317=$A23),--ISNUMBER('Данные 2st'!$PD$2:$PD$317))</f>
        <v>5</v>
      </c>
      <c r="SP23">
        <f>SUMPRODUCT(--('Данные 2st'!$Q$2:$Q$317=$A23),--ISNUMBER('Данные 2st'!$PF$2:$PF$317))</f>
        <v>5</v>
      </c>
      <c r="SQ23">
        <f>SUMPRODUCT(--('Данные 2st'!$Q$2:$Q$317=$A23),--ISNUMBER('Данные 2st'!$PG$2:$PG$317))</f>
        <v>5</v>
      </c>
      <c r="SR23">
        <f>SUMPRODUCT(--('Данные 2st'!$Q$2:$Q$317=$A23),--ISNUMBER('Данные 2st'!$PH$2:$PH$317))</f>
        <v>5</v>
      </c>
      <c r="SS23">
        <f>SUMPRODUCT(--('Данные 2st'!$Q$2:$Q$317=$A23),--ISNUMBER('Данные 2st'!$PI$2:$PI$317))</f>
        <v>5</v>
      </c>
      <c r="ST23">
        <f>SUMPRODUCT(--('Данные 2st'!$Q$2:$Q$317=$A23),--ISNUMBER('Данные 2st'!$PJ$2:$PJ$317))</f>
        <v>5</v>
      </c>
      <c r="SU23">
        <f>SUMPRODUCT(--('Данные 2st'!$Q$2:$Q$317=$A23),--ISNUMBER('Данные 2st'!$PK$2:$PK$317))</f>
        <v>5</v>
      </c>
      <c r="SV23">
        <f>SUMPRODUCT(--('Данные 2st'!$Q$2:$Q$317=$A23),--ISNUMBER('Данные 2st'!$PL$2:$PL$317))</f>
        <v>5</v>
      </c>
      <c r="SW23">
        <f>SUMPRODUCT(--('Данные 2st'!$Q$2:$Q$317=$A23),--ISNUMBER('Данные 2st'!$PM$2:$PM$317))</f>
        <v>5</v>
      </c>
      <c r="SX23">
        <f>SUMPRODUCT(--('Данные 2st'!$Q$2:$Q$317=$A23),--ISNUMBER('Данные 2st'!$PN$2:$PN$317))</f>
        <v>5</v>
      </c>
      <c r="SY23">
        <f>SUMPRODUCT(--('Данные 2st'!$Q$2:$Q$317=$A23),--ISNUMBER('Данные 2st'!$PO$2:$PO$317))</f>
        <v>4</v>
      </c>
      <c r="SZ23">
        <f>SUMPRODUCT(--('Данные 2st'!$Q$2:$Q$317=$A23),--ISNUMBER('Данные 2st'!$PP$2:$PP$317))</f>
        <v>5</v>
      </c>
      <c r="TA23">
        <f>SUMPRODUCT(--('Данные 2st'!$Q$2:$Q$317=$A23),--ISNUMBER('Данные 2st'!$PQ$2:$PQ$317))</f>
        <v>5</v>
      </c>
      <c r="TB23">
        <f>SUMPRODUCT(--('Данные 2st'!$Q$2:$Q$317=$A23),--ISNUMBER('Данные 2st'!$PR$2:$PR$317))</f>
        <v>5</v>
      </c>
      <c r="TC23">
        <f>SUMPRODUCT(--('Данные 2st'!$Q$2:$Q$317=$A23),--ISNUMBER('Данные 2st'!$PS$2:$PS$317))</f>
        <v>5</v>
      </c>
      <c r="TD23">
        <f>SUMPRODUCT(--('Данные 2st'!$Q$2:$Q$317=$A23),--ISNUMBER('Данные 2st'!$PT$2:$PT$317))</f>
        <v>5</v>
      </c>
      <c r="TE23">
        <f>SUMPRODUCT(--('Данные 2st'!$Q$2:$Q$317=$A23),--ISNUMBER('Данные 2st'!$PU$2:$PU$317))</f>
        <v>5</v>
      </c>
      <c r="TF23">
        <f>SUMPRODUCT(--('Данные 2st'!$Q$2:$Q$317=$A23),--ISNUMBER('Данные 2st'!$PX$2:$PX$317))</f>
        <v>5</v>
      </c>
      <c r="TG23">
        <f>SUMPRODUCT(--('Данные 2st'!$Q$2:$Q$317=$A23),--ISNUMBER('Данные 2st'!$PY$2:$PY$317))</f>
        <v>5</v>
      </c>
      <c r="TH23">
        <f>SUMPRODUCT(--('Данные 2st'!$Q$2:$Q$317=$A23),--ISNUMBER('Данные 2st'!$PZ$2:$PZ$317))</f>
        <v>5</v>
      </c>
      <c r="TI23">
        <f>SUMPRODUCT(--('Данные 2st'!$Q$2:$Q$317=$A23),--ISNUMBER('Данные 2st'!$QA$2:$QA$317))</f>
        <v>5</v>
      </c>
      <c r="TJ23">
        <f>SUMPRODUCT(--('Данные 2st'!$Q$2:$Q$317=$A23),--ISNUMBER('Данные 2st'!$QB$2:$QB$317))</f>
        <v>5</v>
      </c>
      <c r="TK23">
        <f>SUMPRODUCT(--('Данные 2st'!$Q$2:$Q$317=$A23),--ISNUMBER('Данные 2st'!$QC$2:$QC$317))</f>
        <v>5</v>
      </c>
      <c r="TL23">
        <f>SUMPRODUCT(--('Данные 2st'!$Q$2:$Q$317=$A23),--ISNUMBER('Данные 2st'!$QD$2:$QD$317))</f>
        <v>5</v>
      </c>
      <c r="TM23">
        <f>SUMPRODUCT(--('Данные 2st'!$Q$2:$Q$317=$A23),--ISNUMBER('Данные 2st'!$QE$2:$QE$317))</f>
        <v>5</v>
      </c>
      <c r="TN23">
        <f>SUMPRODUCT(--('Данные 2st'!$Q$2:$Q$317=$A23),--ISNUMBER('Данные 2st'!$QF$2:$QF$317))</f>
        <v>5</v>
      </c>
      <c r="TO23">
        <f>SUMPRODUCT(--('Данные 2st'!$Q$2:$Q$317=$A23),--ISNUMBER('Данные 2st'!$QG$2:$QG$317))</f>
        <v>5</v>
      </c>
      <c r="TP23">
        <f>SUMPRODUCT(--('Данные 2st'!$Q$2:$Q$317=$A23),--ISNUMBER('Данные 2st'!$QH$2:$QH$317))</f>
        <v>5</v>
      </c>
      <c r="TQ23">
        <f>SUMPRODUCT(--('Данные 2st'!$Q$2:$Q$317=$A23),--ISNUMBER('Данные 2st'!$QI$2:$QI$317))</f>
        <v>5</v>
      </c>
      <c r="TR23">
        <f>SUMPRODUCT(--('Данные 2st'!$Q$2:$Q$317=$A23),--ISNUMBER('Данные 2st'!$QJ$2:$QJ$317))</f>
        <v>5</v>
      </c>
      <c r="TS23">
        <f>SUMPRODUCT(--('Данные 2st'!$Q$2:$Q$317=$A23),--ISNUMBER('Данные 2st'!$QK$2:$QK$317))</f>
        <v>5</v>
      </c>
      <c r="TT23">
        <f>SUMPRODUCT(--('Данные 2st'!$Q$2:$Q$317=$A23),--ISNUMBER('Данные 2st'!$QL$2:$QL$317))</f>
        <v>5</v>
      </c>
      <c r="TU23">
        <f>SUMPRODUCT(--('Данные 2st'!$Q$2:$Q$317=$A23),--ISNUMBER('Данные 2st'!$QM$2:$QM$317))</f>
        <v>5</v>
      </c>
      <c r="TV23">
        <f>SUMPRODUCT(--('Данные 2st'!$Q$2:$Q$317=$A23),--ISNUMBER('Данные 2st'!$QN$2:$QN$317))</f>
        <v>5</v>
      </c>
      <c r="TW23">
        <f>SUMPRODUCT(--('Данные 2st'!$Q$2:$Q$317=$A23),--ISNUMBER('Данные 2st'!$QQ$2:$QQ$317))</f>
        <v>5</v>
      </c>
      <c r="TX23">
        <f>SUMPRODUCT(--('Данные 2st'!$Q$2:$Q$317=$A23),--ISNUMBER('Данные 2st'!$QS$2:$QS$317))</f>
        <v>5</v>
      </c>
      <c r="TY23">
        <f>SUMPRODUCT(--('Данные 2st'!$Q$2:$Q$317=$A23),--ISNUMBER('Данные 2st'!$QT$2:$QT$317))</f>
        <v>5</v>
      </c>
    </row>
    <row r="24" spans="1:545" ht="32" customHeight="1">
      <c r="A24" s="11" t="str">
        <f>'По размерам'!A24</f>
        <v>215/55R18</v>
      </c>
      <c r="G24">
        <f>SUMPRODUCT(--('Данные 1st'!$S$2:$S$317=$A24),--ISNUMBER('Данные 1st'!$AE$2:$AE$317))</f>
        <v>4</v>
      </c>
      <c r="H24">
        <f>SUMPRODUCT(--('Данные 1st'!$S$2:$S$317=$A24),--ISNUMBER('Данные 1st'!$AF$2:$AF$317))</f>
        <v>4</v>
      </c>
      <c r="I24">
        <f>SUMPRODUCT(--('Данные 1st'!$S$2:$S$317=$A24),--ISNUMBER('Данные 1st'!$AJ$2:$AJ$317))</f>
        <v>4</v>
      </c>
      <c r="J24">
        <f>SUMPRODUCT(--('Данные 1st'!$S$2:$S$317=$A24),--ISNUMBER('Данные 1st'!$AL$2:$AL$317))</f>
        <v>4</v>
      </c>
      <c r="K24">
        <f>SUMPRODUCT(--('Данные 1st'!$S$2:$S$317=$A24),--ISNUMBER('Данные 1st'!$AR$2:$AR$317))</f>
        <v>4</v>
      </c>
      <c r="L24">
        <f>SUMPRODUCT(--('Данные 1st'!$S$2:$S$317=$A24),--ISNUMBER('Данные 1st'!$AS$2:$AS$317))</f>
        <v>4</v>
      </c>
      <c r="M24">
        <f>SUMPRODUCT(--('Данные 1st'!$S$2:$S$317=$A24),--ISNUMBER('Данные 1st'!$AY$2:$AY$317))</f>
        <v>4</v>
      </c>
      <c r="N24">
        <f>SUMPRODUCT(--('Данные 1st'!$S$2:$S$317=$A24),--ISNUMBER('Данные 1st'!$AZ$2:$AZ$317))</f>
        <v>4</v>
      </c>
      <c r="O24">
        <f>SUMPRODUCT(--('Данные 1st'!$S$2:$S$317=$A24),--ISNUMBER('Данные 1st'!$BF$2:$BF$317))</f>
        <v>1</v>
      </c>
      <c r="P24">
        <f>SUMPRODUCT(--('Данные 1st'!$S$2:$S$317=$A24),--ISNUMBER('Данные 1st'!$BG$2:$BG$317))</f>
        <v>4</v>
      </c>
      <c r="Q24">
        <f>SUMPRODUCT(--('Данные 1st'!$S$2:$S$317=$A24),--ISNUMBER('Данные 1st'!$BM$2:$BM$317))</f>
        <v>0</v>
      </c>
      <c r="R24">
        <f>SUMPRODUCT(--('Данные 1st'!$S$2:$S$317=$A24),--ISNUMBER('Данные 1st'!$BN$2:$BN$317))</f>
        <v>4</v>
      </c>
      <c r="S24">
        <f>SUMPRODUCT(--('Данные 1st'!$S$2:$S$317=$A24),--ISNUMBER('Данные 1st'!$BT$2:$BT$317))</f>
        <v>4</v>
      </c>
      <c r="T24">
        <f>SUMPRODUCT(--('Данные 1st'!$S$2:$S$317=$A24),--ISNUMBER('Данные 1st'!$BU$2:$BU$317))</f>
        <v>4</v>
      </c>
      <c r="U24">
        <f>SUMPRODUCT(--('Данные 1st'!$S$2:$S$317=$A24),--ISNUMBER('Данные 1st'!$BW$2:$BW$317))</f>
        <v>4</v>
      </c>
      <c r="V24">
        <f>SUMPRODUCT(--('Данные 1st'!$S$2:$S$317=$A24),--ISNUMBER('Данные 1st'!$BX$2:$BX$317))</f>
        <v>4</v>
      </c>
      <c r="W24">
        <f>SUMPRODUCT(--('Данные 1st'!$S$2:$S$317=$A24),--ISNUMBER('Данные 1st'!$BZ$2:$BZ$317))</f>
        <v>4</v>
      </c>
      <c r="X24">
        <f>SUMPRODUCT(--('Данные 1st'!$S$2:$S$317=$A24),--ISNUMBER('Данные 1st'!$CA$2:$CA$317))</f>
        <v>4</v>
      </c>
      <c r="Y24">
        <f>SUMPRODUCT(--('Данные 1st'!$S$2:$S$317=$A24),--ISNUMBER('Данные 1st'!$CD$2:$CD$317))</f>
        <v>4</v>
      </c>
      <c r="Z24">
        <f>SUMPRODUCT(--('Данные 1st'!$S$2:$S$317=$A24),--ISNUMBER('Данные 1st'!$CF$2:$CF$317))</f>
        <v>4</v>
      </c>
      <c r="AA24">
        <f>SUMPRODUCT(--('Данные 1st'!$S$2:$S$317=$A24),--ISNUMBER('Данные 1st'!$CI$2:$CI$317))</f>
        <v>4</v>
      </c>
      <c r="AB24">
        <f>SUMPRODUCT(--('Данные 1st'!$S$2:$S$317=$A24),--ISNUMBER('Данные 1st'!$CJ$2:$CJ$317))</f>
        <v>4</v>
      </c>
      <c r="AC24">
        <f>SUMPRODUCT(--('Данные 1st'!$S$2:$S$317=$A24),--ISNUMBER('Данные 1st'!$CK$2:$CK$317))</f>
        <v>4</v>
      </c>
      <c r="AD24">
        <f>SUMPRODUCT(--('Данные 1st'!$S$2:$S$317=$A24),--ISNUMBER('Данные 1st'!$CL$2:$CL$317))</f>
        <v>4</v>
      </c>
      <c r="AE24">
        <f>SUMPRODUCT(--('Данные 1st'!$S$2:$S$317=$A24),--ISNUMBER('Данные 1st'!$CM$2:$CM$317))</f>
        <v>4</v>
      </c>
      <c r="AF24">
        <f>SUMPRODUCT(--('Данные 1st'!$S$2:$S$317=$A24),--ISNUMBER('Данные 1st'!$CT$2:$CT$317))</f>
        <v>4</v>
      </c>
      <c r="AG24">
        <f>SUMPRODUCT(--('Данные 1st'!$S$2:$S$317=$A24),--ISNUMBER('Данные 1st'!$CU$2:$CU$317))</f>
        <v>4</v>
      </c>
      <c r="AH24">
        <f>SUMPRODUCT(--('Данные 1st'!$S$2:$S$317=$A24),--ISNUMBER('Данные 1st'!$CV$2:$CV$317))</f>
        <v>4</v>
      </c>
      <c r="AI24">
        <f>SUMPRODUCT(--('Данные 1st'!$S$2:$S$317=$A24),--ISNUMBER('Данные 1st'!$CW$2:$CW$317))</f>
        <v>4</v>
      </c>
      <c r="AJ24">
        <f>SUMPRODUCT(--('Данные 1st'!$S$2:$S$317=$A24),--ISNUMBER('Данные 1st'!$CX$2:$CX$317))</f>
        <v>4</v>
      </c>
      <c r="AK24">
        <f>SUMPRODUCT(--('Данные 1st'!$S$2:$S$317=$A24),--ISNUMBER('Данные 1st'!$CZ$2:$CZ$317))</f>
        <v>0</v>
      </c>
      <c r="AL24">
        <f>SUMPRODUCT(--('Данные 1st'!$S$2:$S$317=$A24),--ISNUMBER('Данные 1st'!$DA$2:$DA$317))</f>
        <v>0</v>
      </c>
      <c r="AM24">
        <f>SUMPRODUCT(--('Данные 1st'!$S$2:$S$317=$A24),--ISNUMBER('Данные 1st'!$DB$2:$DB$317))</f>
        <v>0</v>
      </c>
      <c r="AN24">
        <f>SUMPRODUCT(--('Данные 1st'!$S$2:$S$317=$A24),--ISNUMBER('Данные 1st'!$DC$2:$DC$317))</f>
        <v>0</v>
      </c>
      <c r="AO24">
        <f>SUMPRODUCT(--('Данные 1st'!$S$2:$S$317=$A24),--ISNUMBER('Данные 1st'!$DD$2:$DD$317))</f>
        <v>4</v>
      </c>
      <c r="AP24">
        <f>SUMPRODUCT(--('Данные 1st'!$S$2:$S$317=$A24),--ISNUMBER('Данные 1st'!$DF$2:$DF$317))</f>
        <v>4</v>
      </c>
      <c r="AQ24">
        <f>SUMPRODUCT(--('Данные 1st'!$S$2:$S$317=$A24),--ISNUMBER('Данные 1st'!$DG$2:$DG$317))</f>
        <v>4</v>
      </c>
      <c r="AR24">
        <f>SUMPRODUCT(--('Данные 1st'!$S$2:$S$317=$A24),--ISNUMBER('Данные 1st'!$DH$2:$DH$317))</f>
        <v>4</v>
      </c>
      <c r="AS24">
        <f>SUMPRODUCT(--('Данные 1st'!$S$2:$S$317=$A24),--ISNUMBER('Данные 1st'!$DI$2:$DI$317))</f>
        <v>4</v>
      </c>
      <c r="AT24">
        <f>SUMPRODUCT(--('Данные 1st'!$S$2:$S$317=$A24),--ISNUMBER('Данные 1st'!$DJ$2:$DJ$317))</f>
        <v>4</v>
      </c>
      <c r="AU24">
        <f>SUMPRODUCT(--('Данные 1st'!$S$2:$S$317=$A24),--ISNUMBER('Данные 1st'!$DL$2:$DL$317))</f>
        <v>1</v>
      </c>
      <c r="AV24">
        <f>SUMPRODUCT(--('Данные 1st'!$S$2:$S$317=$A24),--ISNUMBER('Данные 1st'!$DM$2:$DM$317))</f>
        <v>1</v>
      </c>
      <c r="AW24">
        <f>SUMPRODUCT(--('Данные 1st'!$S$2:$S$317=$A24),--ISNUMBER('Данные 1st'!$DN$2:$DN$317))</f>
        <v>1</v>
      </c>
      <c r="AX24">
        <f>SUMPRODUCT(--('Данные 1st'!$S$2:$S$317=$A24),--ISNUMBER('Данные 1st'!$DO$2:$DO$317))</f>
        <v>1</v>
      </c>
      <c r="AY24">
        <f>SUMPRODUCT(--('Данные 1st'!$S$2:$S$317=$A24),--ISNUMBER('Данные 1st'!$DP$2:$DP$317))</f>
        <v>1</v>
      </c>
      <c r="AZ24">
        <f>SUMPRODUCT(--('Данные 1st'!$S$2:$S$317=$A24),--ISNUMBER('Данные 1st'!$DR$2:$DR$317))</f>
        <v>0</v>
      </c>
      <c r="BA24">
        <f>SUMPRODUCT(--('Данные 1st'!$S$2:$S$317=$A24),--ISNUMBER('Данные 1st'!$DS$2:$DS$317))</f>
        <v>0</v>
      </c>
      <c r="BB24">
        <f>SUMPRODUCT(--('Данные 1st'!$S$2:$S$317=$A24),--ISNUMBER('Данные 1st'!$DT$2:$DT$317))</f>
        <v>0</v>
      </c>
      <c r="BC24">
        <f>SUMPRODUCT(--('Данные 1st'!$S$2:$S$317=$A24),--ISNUMBER('Данные 1st'!$DU$2:$DU$317))</f>
        <v>0</v>
      </c>
      <c r="BD24">
        <f>SUMPRODUCT(--('Данные 1st'!$S$2:$S$317=$A24),--ISNUMBER('Данные 1st'!$DV$2:$DV$317))</f>
        <v>0</v>
      </c>
      <c r="BE24">
        <f>SUMPRODUCT(--('Данные 1st'!$S$2:$S$317=$A24),--ISNUMBER('Данные 1st'!$DX$2:$DX$317))</f>
        <v>4</v>
      </c>
      <c r="BF24">
        <f>SUMPRODUCT(--('Данные 1st'!$S$2:$S$317=$A24),--ISNUMBER('Данные 1st'!$EA$2:$EA$317))</f>
        <v>4</v>
      </c>
      <c r="BG24">
        <f>SUMPRODUCT(--('Данные 1st'!$S$2:$S$317=$A24),--ISNUMBER('Данные 1st'!$EB$2:$EB$317))</f>
        <v>4</v>
      </c>
      <c r="BH24">
        <f>SUMPRODUCT(--('Данные 1st'!$S$2:$S$317=$A24),--ISNUMBER('Данные 1st'!$ED$2:$ED$317))</f>
        <v>4</v>
      </c>
      <c r="BI24">
        <f>SUMPRODUCT(--('Данные 1st'!$S$2:$S$317=$A24),--ISNUMBER('Данные 1st'!$EE$2:$EE$317))</f>
        <v>4</v>
      </c>
      <c r="BJ24">
        <f>SUMPRODUCT(--('Данные 1st'!$S$2:$S$317=$A24),--ISNUMBER('Данные 1st'!$EG$2:$EG$317))</f>
        <v>4</v>
      </c>
      <c r="BK24">
        <f>SUMPRODUCT(--('Данные 1st'!$S$2:$S$317=$A24),--ISNUMBER('Данные 1st'!$EH$2:$EH$317))</f>
        <v>4</v>
      </c>
      <c r="BL24">
        <f>SUMPRODUCT(--('Данные 1st'!$S$2:$S$317=$A24),--ISNUMBER('Данные 1st'!$EJ$2:$EJ$317))</f>
        <v>4</v>
      </c>
      <c r="BM24">
        <f>SUMPRODUCT(--('Данные 1st'!$S$2:$S$317=$A24),--ISNUMBER('Данные 1st'!$EK$2:$EK$317))</f>
        <v>4</v>
      </c>
      <c r="BN24">
        <f>SUMPRODUCT(--('Данные 1st'!$S$2:$S$317=$A24),--ISNUMBER('Данные 1st'!$EN$2:$EN$317))</f>
        <v>4</v>
      </c>
      <c r="BO24">
        <f>SUMPRODUCT(--('Данные 1st'!$S$2:$S$317=$A24),--ISNUMBER('Данные 1st'!$EQ$2:$EQ$317))</f>
        <v>4</v>
      </c>
      <c r="BP24">
        <f>SUMPRODUCT(--('Данные 1st'!$S$2:$S$317=$A24),--ISNUMBER('Данные 1st'!$ER$2:$ER$317))</f>
        <v>4</v>
      </c>
      <c r="BQ24">
        <f>SUMPRODUCT(--('Данные 1st'!$S$2:$S$317=$A24),--ISNUMBER('Данные 1st'!$ES$2:$ES$317))</f>
        <v>4</v>
      </c>
      <c r="BR24">
        <f>SUMPRODUCT(--('Данные 1st'!$S$2:$S$317=$A24),--ISNUMBER('Данные 1st'!$ET$2:$ET$317))</f>
        <v>4</v>
      </c>
      <c r="BS24">
        <f>SUMPRODUCT(--('Данные 1st'!$S$2:$S$317=$A24),--ISNUMBER('Данные 1st'!$EU$2:$EU$317))</f>
        <v>4</v>
      </c>
      <c r="BT24">
        <f>SUMPRODUCT(--('Данные 1st'!$S$2:$S$317=$A24),--ISNUMBER('Данные 1st'!$EV$2:$EV$317))</f>
        <v>4</v>
      </c>
      <c r="BU24">
        <f>SUMPRODUCT(--('Данные 1st'!$S$2:$S$317=$A24),--ISNUMBER('Данные 1st'!$EX$2:$EX$317))</f>
        <v>4</v>
      </c>
      <c r="BV24">
        <f>SUMPRODUCT(--('Данные 1st'!$S$2:$S$317=$A24),--ISNUMBER('Данные 1st'!$EY$2:$EY$317))</f>
        <v>4</v>
      </c>
      <c r="BW24">
        <f>SUMPRODUCT(--('Данные 1st'!$S$2:$S$317=$A24),--ISNUMBER('Данные 1st'!$EZ$2:$EZ$317))</f>
        <v>4</v>
      </c>
      <c r="BX24">
        <f>SUMPRODUCT(--('Данные 1st'!$S$2:$S$317=$A24),--ISNUMBER('Данные 1st'!$FA$2:$FA$317))</f>
        <v>4</v>
      </c>
      <c r="BY24">
        <f>SUMPRODUCT(--('Данные 1st'!$S$2:$S$317=$A24),--ISNUMBER('Данные 1st'!$FB$2:$FB$317))</f>
        <v>4</v>
      </c>
      <c r="BZ24">
        <f>SUMPRODUCT(--('Данные 1st'!$S$2:$S$317=$A24),--ISNUMBER('Данные 1st'!$FC$2:$FC$317))</f>
        <v>4</v>
      </c>
      <c r="CA24">
        <f>SUMPRODUCT(--('Данные 1st'!$S$2:$S$317=$A24),--ISNUMBER('Данные 1st'!$FE$2:$FE$317))</f>
        <v>4</v>
      </c>
      <c r="CB24">
        <f>SUMPRODUCT(--('Данные 1st'!$S$2:$S$317=$A24),--ISNUMBER('Данные 1st'!$FF$2:$FF$317))</f>
        <v>4</v>
      </c>
      <c r="CC24">
        <f>SUMPRODUCT(--('Данные 1st'!$S$2:$S$317=$A24),--ISNUMBER('Данные 1st'!$FI$2:$FI$317))</f>
        <v>4</v>
      </c>
      <c r="CD24">
        <f>SUMPRODUCT(--('Данные 1st'!$S$2:$S$317=$A24),--ISNUMBER('Данные 1st'!$FL$2:$FL$317))</f>
        <v>4</v>
      </c>
      <c r="CE24">
        <f>SUMPRODUCT(--('Данные 1st'!$S$2:$S$317=$A24),--ISNUMBER('Данные 1st'!$FM$2:$FM$317))</f>
        <v>4</v>
      </c>
      <c r="CF24">
        <f>SUMPRODUCT(--('Данные 1st'!$S$2:$S$317=$A24),--ISNUMBER('Данные 1st'!$FN$2:$FN$317))</f>
        <v>4</v>
      </c>
      <c r="CG24">
        <f>SUMPRODUCT(--('Данные 1st'!$S$2:$S$317=$A24),--ISNUMBER('Данные 1st'!$FO$2:$FO$317))</f>
        <v>0</v>
      </c>
      <c r="CH24">
        <f>SUMPRODUCT(--('Данные 1st'!$S$2:$S$317=$A24),--ISNUMBER('Данные 1st'!$FP$2:$FP$317))</f>
        <v>0</v>
      </c>
      <c r="CI24">
        <f>SUMPRODUCT(--('Данные 1st'!$S$2:$S$317=$A24),--ISNUMBER('Данные 1st'!$FS$2:$FS$317))</f>
        <v>3</v>
      </c>
      <c r="CJ24">
        <f>SUMPRODUCT(--('Данные 1st'!$S$2:$S$317=$A24),--ISNUMBER('Данные 1st'!$FT$2:$FT$317))</f>
        <v>3</v>
      </c>
      <c r="CK24">
        <f>SUMPRODUCT(--('Данные 1st'!$S$2:$S$317=$A24),--ISNUMBER('Данные 1st'!$FU$2:$FU$317))</f>
        <v>3</v>
      </c>
      <c r="CL24">
        <f>SUMPRODUCT(--('Данные 1st'!$S$2:$S$317=$A24),--ISNUMBER('Данные 1st'!$FV$2:$FV$317))</f>
        <v>2</v>
      </c>
      <c r="CM24">
        <f>SUMPRODUCT(--('Данные 1st'!$S$2:$S$317=$A24),--ISNUMBER('Данные 1st'!$FW$2:$FW$317))</f>
        <v>2</v>
      </c>
      <c r="CN24">
        <f>SUMPRODUCT(--('Данные 1st'!$S$2:$S$317=$A24),--ISNUMBER('Данные 1st'!$FZ$2:$FZ$317))</f>
        <v>1</v>
      </c>
      <c r="CO24">
        <f>SUMPRODUCT(--('Данные 1st'!$S$2:$S$317=$A24),--ISNUMBER('Данные 1st'!$GA$2:$GA$317))</f>
        <v>1</v>
      </c>
      <c r="CP24">
        <f>SUMPRODUCT(--('Данные 1st'!$S$2:$S$317=$A24),--ISNUMBER('Данные 1st'!$GB$2:$GB$317))</f>
        <v>1</v>
      </c>
      <c r="CQ24">
        <f>SUMPRODUCT(--('Данные 1st'!$S$2:$S$317=$A24),--ISNUMBER('Данные 1st'!$GH$2:$GH$317))</f>
        <v>1</v>
      </c>
      <c r="CR24">
        <f>SUMPRODUCT(--('Данные 1st'!$S$2:$S$317=$A24),--ISNUMBER('Данные 1st'!$GI$2:$GI$317))</f>
        <v>1</v>
      </c>
      <c r="CS24">
        <f>SUMPRODUCT(--('Данные 1st'!$S$2:$S$317=$A24),--ISNUMBER('Данные 1st'!$GJ$2:$GJ$317))</f>
        <v>1</v>
      </c>
      <c r="CT24">
        <f>SUMPRODUCT(--('Данные 1st'!$S$2:$S$317=$A24),--ISNUMBER('Данные 1st'!$GS$2:$GS$317))</f>
        <v>1</v>
      </c>
      <c r="CU24">
        <f>SUMPRODUCT(--('Данные 1st'!$S$2:$S$317=$A24),--ISNUMBER('Данные 1st'!$GT$2:$GT$317))</f>
        <v>1</v>
      </c>
      <c r="CV24">
        <f>SUMPRODUCT(--('Данные 1st'!$S$2:$S$317=$A24),--ISNUMBER('Данные 1st'!$GU$2:$GU$317))</f>
        <v>1</v>
      </c>
      <c r="CW24">
        <f>SUMPRODUCT(--('Данные 1st'!$S$2:$S$317=$A24),--ISNUMBER('Данные 1st'!$GV$2:$GV$317))</f>
        <v>0</v>
      </c>
      <c r="CX24">
        <f>SUMPRODUCT(--('Данные 1st'!$S$2:$S$317=$A24),--ISNUMBER('Данные 1st'!$GW$2:$GW$317))</f>
        <v>0</v>
      </c>
      <c r="CY24">
        <f>SUMPRODUCT(--('Данные 1st'!$S$2:$S$317=$A24),--ISNUMBER('Данные 1st'!$GZ$2:$GZ$317))</f>
        <v>0</v>
      </c>
      <c r="CZ24">
        <f>SUMPRODUCT(--('Данные 1st'!$S$2:$S$317=$A24),--ISNUMBER('Данные 1st'!$HA$2:$HA$317))</f>
        <v>0</v>
      </c>
      <c r="DA24">
        <f>SUMPRODUCT(--('Данные 1st'!$S$2:$S$317=$A24),--ISNUMBER('Данные 1st'!$HB$2:$HB$317))</f>
        <v>0</v>
      </c>
      <c r="DB24">
        <f>SUMPRODUCT(--('Данные 1st'!$S$2:$S$317=$A24),--ISNUMBER('Данные 1st'!$HC$2:$HC$317))</f>
        <v>4</v>
      </c>
      <c r="DC24">
        <f>SUMPRODUCT(--('Данные 1st'!$S$2:$S$317=$A24),--ISNUMBER('Данные 1st'!$HD$2:$HD$317))</f>
        <v>4</v>
      </c>
      <c r="DD24">
        <f>SUMPRODUCT(--('Данные 1st'!$S$2:$S$317=$A24),--ISNUMBER('Данные 1st'!$HE$2:$HE$317))</f>
        <v>4</v>
      </c>
      <c r="DE24">
        <f>SUMPRODUCT(--('Данные 1st'!$S$2:$S$317=$A24),--ISNUMBER('Данные 1st'!$HF$2:$HF$317))</f>
        <v>4</v>
      </c>
      <c r="DF24">
        <f>SUMPRODUCT(--('Данные 1st'!$S$2:$S$317=$A24),--ISNUMBER('Данные 1st'!$HG$2:$HG$317))</f>
        <v>4</v>
      </c>
      <c r="DG24">
        <f>SUMPRODUCT(--('Данные 1st'!$S$2:$S$317=$A24),--ISNUMBER('Данные 1st'!$HH$2:$HH$317))</f>
        <v>4</v>
      </c>
      <c r="DH24">
        <f>SUMPRODUCT(--('Данные 1st'!$S$2:$S$317=$A24),--ISNUMBER('Данные 1st'!$HI$2:$HI$317))</f>
        <v>4</v>
      </c>
      <c r="DI24">
        <f>SUMPRODUCT(--('Данные 1st'!$S$2:$S$317=$A24),--ISNUMBER('Данные 1st'!$HJ$2:$HJ$317))</f>
        <v>4</v>
      </c>
      <c r="DJ24">
        <f>SUMPRODUCT(--('Данные 1st'!$S$2:$S$317=$A24),--ISNUMBER('Данные 1st'!$HK$2:$HK$317))</f>
        <v>4</v>
      </c>
      <c r="DK24">
        <f>SUMPRODUCT(--('Данные 1st'!$S$2:$S$317=$A24),--ISNUMBER('Данные 1st'!$HL$2:$HL$317))</f>
        <v>4</v>
      </c>
      <c r="DL24">
        <f>SUMPRODUCT(--('Данные 1st'!$S$2:$S$317=$A24),--ISNUMBER('Данные 1st'!$HM$2:$HM$317))</f>
        <v>4</v>
      </c>
      <c r="DM24">
        <f>SUMPRODUCT(--('Данные 1st'!$S$2:$S$317=$A24),--ISNUMBER('Данные 1st'!$HN$2:$HN$317))</f>
        <v>4</v>
      </c>
      <c r="DN24">
        <f>SUMPRODUCT(--('Данные 1st'!$S$2:$S$317=$A24),--ISNUMBER('Данные 1st'!$HO$2:$HO$317))</f>
        <v>4</v>
      </c>
      <c r="DO24">
        <f>SUMPRODUCT(--('Данные 1st'!$S$2:$S$317=$A24),--ISNUMBER('Данные 1st'!$HP$2:$HP$317))</f>
        <v>4</v>
      </c>
      <c r="DP24">
        <f>SUMPRODUCT(--('Данные 1st'!$S$2:$S$317=$A24),--ISNUMBER('Данные 1st'!$HQ$2:$HQ$317))</f>
        <v>4</v>
      </c>
      <c r="DQ24">
        <f>SUMPRODUCT(--('Данные 1st'!$S$2:$S$317=$A24),--ISNUMBER('Данные 1st'!$HR$2:$HR$317))</f>
        <v>4</v>
      </c>
      <c r="DR24">
        <f>SUMPRODUCT(--('Данные 1st'!$S$2:$S$317=$A24),--ISNUMBER('Данные 1st'!$HS$2:$HS$317))</f>
        <v>4</v>
      </c>
      <c r="DS24">
        <f>SUMPRODUCT(--('Данные 1st'!$S$2:$S$317=$A24),--ISNUMBER('Данные 1st'!$HT$2:$HT$317))</f>
        <v>4</v>
      </c>
      <c r="DT24">
        <f>SUMPRODUCT(--('Данные 1st'!$S$2:$S$317=$A24),--ISNUMBER('Данные 1st'!$HU$2:$HU$317))</f>
        <v>4</v>
      </c>
      <c r="DU24">
        <f>SUMPRODUCT(--('Данные 1st'!$S$2:$S$317=$A24),--ISNUMBER('Данные 1st'!$HW$2:$HW$317))</f>
        <v>4</v>
      </c>
      <c r="DV24">
        <f>SUMPRODUCT(--('Данные 1st'!$S$2:$S$317=$A24),--ISNUMBER('Данные 1st'!$HX$2:$HX$317))</f>
        <v>4</v>
      </c>
      <c r="DW24">
        <f>SUMPRODUCT(--('Данные 1st'!$S$2:$S$317=$A24),--ISNUMBER('Данные 1st'!$HY$2:$HY$317))</f>
        <v>4</v>
      </c>
      <c r="DX24">
        <f>SUMPRODUCT(--('Данные 1st'!$S$2:$S$317=$A24),--ISNUMBER('Данные 1st'!$IA$2:$IA$317))</f>
        <v>4</v>
      </c>
      <c r="DY24">
        <f>SUMPRODUCT(--('Данные 1st'!$S$2:$S$317=$A24),--ISNUMBER('Данные 1st'!$IB$2:$IB$317))</f>
        <v>4</v>
      </c>
      <c r="DZ24">
        <f>SUMPRODUCT(--('Данные 1st'!$S$2:$S$317=$A24),--ISNUMBER('Данные 1st'!$IC$2:$IC$317))</f>
        <v>4</v>
      </c>
      <c r="EA24">
        <f>SUMPRODUCT(--('Данные 1st'!$S$2:$S$317=$A24),--ISNUMBER('Данные 1st'!$ID$2:$ID$317))</f>
        <v>4</v>
      </c>
      <c r="EB24">
        <f>SUMPRODUCT(--('Данные 1st'!$S$2:$S$317=$A24),--ISNUMBER('Данные 1st'!$IE$2:$IE$317))</f>
        <v>4</v>
      </c>
      <c r="EC24">
        <f>SUMPRODUCT(--('Данные 1st'!$S$2:$S$317=$A24),--ISNUMBER('Данные 1st'!$IF$2:$IF$317))</f>
        <v>4</v>
      </c>
      <c r="ED24">
        <f>SUMPRODUCT(--('Данные 1st'!$S$2:$S$317=$A24),--ISNUMBER('Данные 1st'!$IP$2:$IP$317))</f>
        <v>4</v>
      </c>
      <c r="EE24">
        <f>SUMPRODUCT(--('Данные 1st'!$S$2:$S$317=$A24),--ISNUMBER('Данные 1st'!$IV$2:$IV$317))</f>
        <v>4</v>
      </c>
      <c r="EF24">
        <f>SUMPRODUCT(--('Данные 1st'!$S$2:$S$317=$A24),--ISNUMBER('Данные 1st'!$IW$2:$IW$317))</f>
        <v>4</v>
      </c>
      <c r="EG24">
        <f>SUMPRODUCT(--('Данные 1st'!$S$2:$S$317=$A24),--ISNUMBER('Данные 1st'!$IX$2:$IX$317))</f>
        <v>0</v>
      </c>
      <c r="EH24">
        <f>SUMPRODUCT(--('Данные 1st'!$S$2:$S$317=$A24),--ISNUMBER('Данные 1st'!$IY$2:$IY$317))</f>
        <v>0</v>
      </c>
      <c r="EI24">
        <f>SUMPRODUCT(--('Данные 1st'!$S$2:$S$317=$A24),--ISNUMBER('Данные 1st'!$JD$2:$JD$317))</f>
        <v>4</v>
      </c>
      <c r="EJ24">
        <f>SUMPRODUCT(--('Данные 1st'!$S$2:$S$317=$A24),--ISNUMBER('Данные 1st'!$JE$2:$JE$317))</f>
        <v>4</v>
      </c>
      <c r="EK24">
        <f>SUMPRODUCT(--('Данные 1st'!$S$2:$S$317=$A24),--ISNUMBER('Данные 1st'!$JF$2:$JF$317))</f>
        <v>4</v>
      </c>
      <c r="EL24">
        <f>SUMPRODUCT(--('Данные 1st'!$S$2:$S$317=$A24),--ISNUMBER('Данные 1st'!$JG$2:$JG$317))</f>
        <v>4</v>
      </c>
      <c r="EM24">
        <f>SUMPRODUCT(--('Данные 1st'!$S$2:$S$317=$A24),--ISNUMBER('Данные 1st'!$JH$2:$JH$317))</f>
        <v>4</v>
      </c>
      <c r="EN24">
        <f>SUMPRODUCT(--('Данные 1st'!$S$2:$S$317=$A24),--ISNUMBER('Данные 1st'!$JJ$2:$JJ$317))</f>
        <v>4</v>
      </c>
      <c r="EO24">
        <f>SUMPRODUCT(--('Данные 1st'!$S$2:$S$317=$A24),--ISNUMBER('Данные 1st'!$JK$2:$JK$317))</f>
        <v>4</v>
      </c>
      <c r="EP24">
        <f>SUMPRODUCT(--('Данные 1st'!$S$2:$S$317=$A24),--ISNUMBER('Данные 1st'!$JL$2:$JL$317))</f>
        <v>0</v>
      </c>
      <c r="EQ24">
        <f>SUMPRODUCT(--('Данные 1st'!$S$2:$S$317=$A24),--ISNUMBER('Данные 1st'!$JM$2:$JM$317))</f>
        <v>0</v>
      </c>
      <c r="ER24">
        <f>SUMPRODUCT(--('Данные 1st'!$S$2:$S$317=$A24),--ISNUMBER('Данные 1st'!$JN$2:$JN$317))</f>
        <v>4</v>
      </c>
      <c r="ES24">
        <f>SUMPRODUCT(--('Данные 1st'!$S$2:$S$317=$A24),--ISNUMBER('Данные 1st'!$JO$2:$JO$317))</f>
        <v>4</v>
      </c>
      <c r="ET24">
        <f>SUMPRODUCT(--('Данные 1st'!$S$2:$S$317=$A24),--ISNUMBER('Данные 1st'!$JP$2:$JP$317))</f>
        <v>4</v>
      </c>
      <c r="EU24">
        <f>SUMPRODUCT(--('Данные 1st'!$S$2:$S$317=$A24),--ISNUMBER('Данные 1st'!$JQ$2:$JQ$317))</f>
        <v>4</v>
      </c>
      <c r="EV24">
        <f>SUMPRODUCT(--('Данные 1st'!$S$2:$S$317=$A24),--ISNUMBER('Данные 1st'!$JR$2:$JR$317))</f>
        <v>4</v>
      </c>
      <c r="EW24">
        <f>SUMPRODUCT(--('Данные 1st'!$S$2:$S$317=$A24),--ISNUMBER('Данные 1st'!$JS$2:$JS$317))</f>
        <v>4</v>
      </c>
      <c r="EX24">
        <f>SUMPRODUCT(--('Данные 1st'!$S$2:$S$317=$A24),--ISNUMBER('Данные 1st'!$JT$2:$JT$317))</f>
        <v>0</v>
      </c>
      <c r="EY24">
        <f>SUMPRODUCT(--('Данные 1st'!$S$2:$S$317=$A24),--ISNUMBER('Данные 1st'!$JU$2:$JU$317))</f>
        <v>0</v>
      </c>
      <c r="EZ24">
        <f>SUMPRODUCT(--('Данные 1st'!$S$2:$S$317=$A24),--ISNUMBER('Данные 1st'!$JV$2:$JV$317))</f>
        <v>4</v>
      </c>
      <c r="FA24">
        <f>SUMPRODUCT(--('Данные 1st'!$S$2:$S$317=$A24),--ISNUMBER('Данные 1st'!$JW$2:$JW$317))</f>
        <v>0</v>
      </c>
      <c r="FB24">
        <f>SUMPRODUCT(--('Данные 1st'!$S$2:$S$317=$A24),--ISNUMBER('Данные 1st'!$JX$2:$JX$317))</f>
        <v>4</v>
      </c>
      <c r="FC24">
        <f>SUMPRODUCT(--('Данные 1st'!$S$2:$S$317=$A24),--ISNUMBER('Данные 1st'!$JY$2:$JY$317))</f>
        <v>0</v>
      </c>
      <c r="FD24">
        <f>SUMPRODUCT(--('Данные 1st'!$S$2:$S$317=$A24),--ISNUMBER('Данные 1st'!$JZ$2:$JZ$317))</f>
        <v>0</v>
      </c>
      <c r="FE24">
        <f>SUMPRODUCT(--('Данные 1st'!$S$2:$S$317=$A24),--ISNUMBER('Данные 1st'!$KA$2:$KA$317))</f>
        <v>4</v>
      </c>
      <c r="FF24">
        <f>SUMPRODUCT(--('Данные 1st'!$S$2:$S$317=$A24),--ISNUMBER('Данные 1st'!$KB$2:$KB$317))</f>
        <v>4</v>
      </c>
      <c r="FG24">
        <f>SUMPRODUCT(--('Данные 1st'!$S$2:$S$317=$A24),--ISNUMBER('Данные 1st'!$KC$2:$KC$317))</f>
        <v>4</v>
      </c>
      <c r="FH24">
        <f>SUMPRODUCT(--('Данные 1st'!$S$2:$S$317=$A24),--ISNUMBER('Данные 1st'!$KD$2:$KD$317))</f>
        <v>4</v>
      </c>
      <c r="FI24">
        <f>SUMPRODUCT(--('Данные 1st'!$S$2:$S$317=$A24),--ISNUMBER('Данные 1st'!$KE$2:$KE$317))</f>
        <v>0</v>
      </c>
      <c r="FJ24">
        <f>SUMPRODUCT(--('Данные 1st'!$S$2:$S$317=$A24),--ISNUMBER('Данные 1st'!$KF$2:$KF$317))</f>
        <v>4</v>
      </c>
      <c r="FK24">
        <f>SUMPRODUCT(--('Данные 1st'!$S$2:$S$317=$A24),--ISNUMBER('Данные 1st'!$KG$2:$KG$317))</f>
        <v>4</v>
      </c>
      <c r="FL24">
        <f>SUMPRODUCT(--('Данные 1st'!$S$2:$S$317=$A24),--ISNUMBER('Данные 1st'!$KH$2:$KH$317))</f>
        <v>4</v>
      </c>
      <c r="FM24">
        <f>SUMPRODUCT(--('Данные 1st'!$S$2:$S$317=$A24),--ISNUMBER('Данные 1st'!$KI$2:$KI$317))</f>
        <v>4</v>
      </c>
      <c r="FN24">
        <f>SUMPRODUCT(--('Данные 1st'!$S$2:$S$317=$A24),--ISNUMBER('Данные 1st'!$KJ$2:$KJ$317))</f>
        <v>4</v>
      </c>
      <c r="FO24">
        <f>SUMPRODUCT(--('Данные 1st'!$S$2:$S$317=$A24),--ISNUMBER('Данные 1st'!$KK$2:$KK$317))</f>
        <v>4</v>
      </c>
      <c r="FP24">
        <f>SUMPRODUCT(--('Данные 1st'!$S$2:$S$317=$A24),--ISNUMBER('Данные 1st'!$KL$2:$KL$317))</f>
        <v>4</v>
      </c>
      <c r="FQ24">
        <f>SUMPRODUCT(--('Данные 1st'!$S$2:$S$317=$A24),--ISNUMBER('Данные 1st'!$KM$2:$KM$317))</f>
        <v>4</v>
      </c>
      <c r="FR24">
        <f>SUMPRODUCT(--('Данные 1st'!$S$2:$S$317=$A24),--ISNUMBER('Данные 1st'!$KN$2:$KN$317))</f>
        <v>4</v>
      </c>
      <c r="FS24">
        <f>SUMPRODUCT(--('Данные 1st'!$S$2:$S$317=$A24),--ISNUMBER('Данные 1st'!$KR$2:$KR$317))</f>
        <v>4</v>
      </c>
      <c r="FT24">
        <f>SUMPRODUCT(--('Данные 1st'!$S$2:$S$317=$A24),--ISNUMBER('Данные 1st'!$KS$2:$KS$317))</f>
        <v>4</v>
      </c>
      <c r="FU24">
        <f>SUMPRODUCT(--('Данные 1st'!$S$2:$S$317=$A24),--ISNUMBER('Данные 1st'!$KT$2:$KT$317))</f>
        <v>4</v>
      </c>
      <c r="FV24">
        <f>SUMPRODUCT(--('Данные 1st'!$S$2:$S$317=$A24),--ISNUMBER('Данные 1st'!$KV$2:$KV$317))</f>
        <v>0</v>
      </c>
      <c r="FW24">
        <f>SUMPRODUCT(--('Данные 1st'!$S$2:$S$317=$A24),--ISNUMBER('Данные 1st'!$KW$2:$KW$317))</f>
        <v>0</v>
      </c>
      <c r="FX24">
        <f>SUMPRODUCT(--('Данные 1st'!$S$2:$S$317=$A24),--ISNUMBER('Данные 1st'!$KX$2:$KX$317))</f>
        <v>0</v>
      </c>
      <c r="FY24">
        <f>SUMPRODUCT(--('Данные 1st'!$S$2:$S$317=$A24),--ISNUMBER('Данные 1st'!$KY$2:$KY$317))</f>
        <v>0</v>
      </c>
      <c r="FZ24">
        <f>SUMPRODUCT(--('Данные 1st'!$S$2:$S$317=$A24),--ISNUMBER('Данные 1st'!$KZ$2:$KZ$317))</f>
        <v>0</v>
      </c>
      <c r="GA24">
        <f>SUMPRODUCT(--('Данные 1st'!$S$2:$S$317=$A24),--ISNUMBER('Данные 1st'!$LA$2:$LA$317))</f>
        <v>0</v>
      </c>
      <c r="GB24">
        <f>SUMPRODUCT(--('Данные 1st'!$S$2:$S$317=$A24),--ISNUMBER('Данные 1st'!$LB$2:$LB$317))</f>
        <v>0</v>
      </c>
      <c r="GC24">
        <f>SUMPRODUCT(--('Данные 1st'!$S$2:$S$317=$A24),--ISNUMBER('Данные 1st'!$LC$2:$LC$317))</f>
        <v>0</v>
      </c>
      <c r="GD24">
        <f>SUMPRODUCT(--('Данные 1st'!$S$2:$S$317=$A24),--ISNUMBER('Данные 1st'!$LD$2:$LD$317))</f>
        <v>0</v>
      </c>
      <c r="GE24">
        <f>SUMPRODUCT(--('Данные 1st'!$S$2:$S$317=$A24),--ISNUMBER('Данные 1st'!$LE$2:$LE$317))</f>
        <v>0</v>
      </c>
      <c r="GF24">
        <f>SUMPRODUCT(--('Данные 1st'!$S$2:$S$317=$A24),--ISNUMBER('Данные 1st'!$LF$2:$LF$317))</f>
        <v>0</v>
      </c>
      <c r="GG24">
        <f>SUMPRODUCT(--('Данные 1st'!$S$2:$S$317=$A24),--ISNUMBER('Данные 1st'!$LG$2:$LG$317))</f>
        <v>0</v>
      </c>
      <c r="GH24">
        <f>SUMPRODUCT(--('Данные 1st'!$S$2:$S$317=$A24),--ISNUMBER('Данные 1st'!$LH$2:$LH$317))</f>
        <v>0</v>
      </c>
      <c r="GI24">
        <f>SUMPRODUCT(--('Данные 1st'!$S$2:$S$317=$A24),--ISNUMBER('Данные 1st'!$LI$2:$LI$317))</f>
        <v>0</v>
      </c>
      <c r="GJ24">
        <f>SUMPRODUCT(--('Данные 1st'!$S$2:$S$317=$A24),--ISNUMBER('Данные 1st'!$LJ$2:$LJ$317))</f>
        <v>0</v>
      </c>
      <c r="GK24">
        <f>SUMPRODUCT(--('Данные 1st'!$S$2:$S$317=$A24),--ISNUMBER('Данные 1st'!$LK$2:$LK$317))</f>
        <v>4</v>
      </c>
      <c r="GL24">
        <f>SUMPRODUCT(--('Данные 1st'!$S$2:$S$317=$A24),--ISNUMBER('Данные 1st'!$LV$2:$LV$317))</f>
        <v>0</v>
      </c>
      <c r="GM24">
        <f>SUMPRODUCT(--('Данные 1st'!$S$2:$S$317=$A24),--ISNUMBER('Данные 1st'!$LW$2:$LW$317))</f>
        <v>0</v>
      </c>
      <c r="GN24">
        <f>SUMPRODUCT(--('Данные 1st'!$S$2:$S$317=$A24),--ISNUMBER('Данные 1st'!$LX$2:$LX$317))</f>
        <v>0</v>
      </c>
      <c r="GO24">
        <f>SUMPRODUCT(--('Данные 1st'!$S$2:$S$317=$A24),--ISNUMBER('Данные 1st'!$LY$2:$LY$317))</f>
        <v>0</v>
      </c>
      <c r="GP24">
        <f>SUMPRODUCT(--('Данные 1st'!$S$2:$S$317=$A24),--ISNUMBER('Данные 1st'!$LZ$2:$LZ$317))</f>
        <v>0</v>
      </c>
      <c r="GQ24">
        <f>SUMPRODUCT(--('Данные 1st'!$S$2:$S$317=$A24),--ISNUMBER('Данные 1st'!$PG$2:$PG$317))</f>
        <v>4</v>
      </c>
      <c r="GR24">
        <f>SUMPRODUCT(--('Данные 1st'!$S$2:$S$317=$A24),--ISNUMBER('Данные 1st'!$PX$2:$PX$317))</f>
        <v>4</v>
      </c>
      <c r="GS24">
        <f>SUMPRODUCT(--('Данные 1st'!$S$2:$S$317=$A24),--ISNUMBER('Данные 1st'!$PY$2:$PY$317))</f>
        <v>4</v>
      </c>
      <c r="GT24">
        <f>SUMPRODUCT(--('Данные 1st'!$S$2:$S$317=$A24),--ISNUMBER('Данные 1st'!$QA$2:$QA$317))</f>
        <v>4</v>
      </c>
      <c r="GU24">
        <f>SUMPRODUCT(--('Данные 1st'!$S$2:$S$317=$A24),--ISNUMBER('Данные 1st'!$QB$2:$QB$317))</f>
        <v>4</v>
      </c>
      <c r="GV24">
        <f>SUMPRODUCT(--('Данные 1st'!$S$2:$S$317=$A24),--ISNUMBER('Данные 1st'!$QC$2:$QC$317))</f>
        <v>4</v>
      </c>
      <c r="GW24">
        <f>SUMPRODUCT(--('Данные 1st'!$S$2:$S$317=$A24),--ISNUMBER('Данные 1st'!$QD$2:$QD$317))</f>
        <v>4</v>
      </c>
      <c r="GX24">
        <f>SUMPRODUCT(--('Данные 1st'!$S$2:$S$317=$A24),--ISNUMBER('Данные 1st'!$QF$2:$QF$317))</f>
        <v>4</v>
      </c>
      <c r="GY24">
        <f>SUMPRODUCT(--('Данные 1st'!$S$2:$S$317=$A24),--ISNUMBER('Данные 1st'!$QG$2:$QG$317))</f>
        <v>4</v>
      </c>
      <c r="GZ24">
        <f>SUMPRODUCT(--('Данные 1st'!$S$2:$S$317=$A24),--ISNUMBER('Данные 1st'!$QH$2:$QH$317))</f>
        <v>4</v>
      </c>
      <c r="HA24">
        <f>SUMPRODUCT(--('Данные 1st'!$S$2:$S$317=$A24),--ISNUMBER('Данные 1st'!$QI$2:$QI$317))</f>
        <v>4</v>
      </c>
      <c r="HB24">
        <f>SUMPRODUCT(--('Данные 1st'!$S$2:$S$317=$A24),--ISNUMBER('Данные 1st'!$QK$2:$QK$317))</f>
        <v>0</v>
      </c>
      <c r="HC24">
        <f>SUMPRODUCT(--('Данные 1st'!$S$2:$S$317=$A24),--ISNUMBER('Данные 1st'!$QL$2:$QL$317))</f>
        <v>4</v>
      </c>
      <c r="HD24">
        <f>SUMPRODUCT(--('Данные 1st'!$S$2:$S$317=$A24),--ISNUMBER('Данные 1st'!$QM$2:$QM$317))</f>
        <v>4</v>
      </c>
      <c r="HE24">
        <f>SUMPRODUCT(--('Данные 1st'!$S$2:$S$317=$A24),--ISNUMBER('Данные 1st'!$QN$2:$QN$317))</f>
        <v>4</v>
      </c>
      <c r="HF24">
        <f>SUMPRODUCT(--('Данные 1st'!$S$2:$S$317=$A24),--ISNUMBER('Данные 1st'!$QP$2:$QP$317))</f>
        <v>4</v>
      </c>
      <c r="HG24">
        <f>SUMPRODUCT(--('Данные 1st'!$S$2:$S$317=$A24),--ISNUMBER('Данные 1st'!$QQ$2:$QQ$317))</f>
        <v>4</v>
      </c>
      <c r="HH24">
        <f>SUMPRODUCT(--('Данные 1st'!$S$2:$S$317=$A24),--ISNUMBER('Данные 1st'!$QR$2:$QR$317))</f>
        <v>1</v>
      </c>
      <c r="HI24">
        <f>SUMPRODUCT(--('Данные 1st'!$S$2:$S$317=$A24),--ISNUMBER('Данные 1st'!$QS$2:$QS$317))</f>
        <v>1</v>
      </c>
      <c r="HJ24">
        <f>SUMPRODUCT(--('Данные 1st'!$S$2:$S$317=$A24),--ISNUMBER('Данные 1st'!$QU$2:$QU$317))</f>
        <v>1</v>
      </c>
      <c r="HK24">
        <f>SUMPRODUCT(--('Данные 1st'!$S$2:$S$317=$A24),--ISNUMBER('Данные 1st'!$QV$2:$QV$317))</f>
        <v>1</v>
      </c>
      <c r="HL24">
        <f>SUMPRODUCT(--('Данные 1st'!$S$2:$S$317=$A24),--ISNUMBER('Данные 1st'!$QW$2:$QW$317))</f>
        <v>4</v>
      </c>
      <c r="HM24">
        <f>SUMPRODUCT(--('Данные 1st'!$S$2:$S$317=$A24),--ISNUMBER('Данные 1st'!$QX$2:$QX$317))</f>
        <v>4</v>
      </c>
      <c r="HN24">
        <f>SUMPRODUCT(--('Данные 1st'!$S$2:$S$317=$A24),--ISNUMBER('Данные 1st'!$QZ$2:$QZ$317))</f>
        <v>4</v>
      </c>
      <c r="HO24">
        <f>SUMPRODUCT(--('Данные 1st'!$S$2:$S$317=$A24),--ISNUMBER('Данные 1st'!$RA$2:$RA$317))</f>
        <v>4</v>
      </c>
      <c r="HP24">
        <f>SUMPRODUCT(--('Данные 1st'!$S$2:$S$317=$A24),--ISNUMBER('Данные 1st'!$RB$2:$RB$317))</f>
        <v>4</v>
      </c>
      <c r="HQ24">
        <f>SUMPRODUCT(--('Данные 1st'!$S$2:$S$317=$A24),--ISNUMBER('Данные 1st'!$RD$2:$RD$317))</f>
        <v>0</v>
      </c>
      <c r="HR24">
        <f>SUMPRODUCT(--('Данные 1st'!$S$2:$S$317=$A24),--ISNUMBER('Данные 1st'!$RE$2:$RE$317))</f>
        <v>4</v>
      </c>
      <c r="HS24">
        <f>SUMPRODUCT(--('Данные 1st'!$S$2:$S$317=$A24),--ISNUMBER('Данные 1st'!$RF$2:$RF$317))</f>
        <v>3</v>
      </c>
      <c r="HT24">
        <f>SUMPRODUCT(--('Данные 1st'!$S$2:$S$317=$A24),--ISNUMBER('Данные 1st'!$RG$2:$RG$317))</f>
        <v>1</v>
      </c>
      <c r="HU24">
        <f>SUMPRODUCT(--('Данные 1st'!$S$2:$S$317=$A24),--ISNUMBER('Данные 1st'!$RH$2:$RH$317))</f>
        <v>1</v>
      </c>
      <c r="HV24">
        <f>SUMPRODUCT(--('Данные 1st'!$S$2:$S$317=$A24),--ISNUMBER('Данные 1st'!$RI$2:$RI$317))</f>
        <v>0</v>
      </c>
      <c r="HW24">
        <f>SUMPRODUCT(--('Данные 1st'!$S$2:$S$317=$A24),--ISNUMBER('Данные 1st'!$RJ$2:$RJ$317))</f>
        <v>4</v>
      </c>
      <c r="HX24">
        <f>SUMPRODUCT(--('Данные 1st'!$S$2:$S$317=$A24),--ISNUMBER('Данные 1st'!$RK$2:$RK$317))</f>
        <v>0</v>
      </c>
      <c r="HY24">
        <f>SUMPRODUCT(--('Данные 1st'!$S$2:$S$317=$A24),--ISNUMBER('Данные 1st'!$RL$2:$RL$317))</f>
        <v>4</v>
      </c>
      <c r="HZ24">
        <f>SUMPRODUCT(--('Данные 1st'!$S$2:$S$317=$A24),--ISNUMBER('Данные 1st'!$RM$2:$RM$317))</f>
        <v>1</v>
      </c>
      <c r="IA24">
        <f>SUMPRODUCT(--('Данные 1st'!$S$2:$S$317=$A24),--ISNUMBER('Данные 1st'!$RN$2:$RN$317))</f>
        <v>0</v>
      </c>
      <c r="IB24">
        <f>SUMPRODUCT(--('Данные 1st'!$S$2:$S$317=$A24),--ISNUMBER('Данные 1st'!$RO$2:$RO$317))</f>
        <v>4</v>
      </c>
      <c r="IC24">
        <f>SUMPRODUCT(--('Данные 1st'!$S$2:$S$317=$A24),--ISNUMBER('Данные 1st'!$RP$2:$RP$317))</f>
        <v>0</v>
      </c>
      <c r="ID24">
        <f>SUMPRODUCT(--('Данные 1st'!$S$2:$S$317=$A24),--ISNUMBER('Данные 1st'!$RQ$2:$RQ$317))</f>
        <v>4</v>
      </c>
      <c r="IE24">
        <f>SUMPRODUCT(--('Данные 1st'!$S$2:$S$317=$A24),--ISNUMBER('Данные 1st'!$RR$2:$RR$317))</f>
        <v>1</v>
      </c>
      <c r="IF24">
        <f>SUMPRODUCT(--('Данные 1st'!$S$2:$S$317=$A24),--ISNUMBER('Данные 1st'!$RS$2:$RS$317))</f>
        <v>0</v>
      </c>
      <c r="IG24">
        <f>SUMPRODUCT(--('Данные 1st'!$S$2:$S$317=$A24),--ISNUMBER('Данные 1st'!$RT$2:$RT$317))</f>
        <v>4</v>
      </c>
      <c r="IH24">
        <f>SUMPRODUCT(--('Данные 1st'!$S$2:$S$317=$A24),--ISNUMBER('Данные 1st'!$RU$2:$RU$317))</f>
        <v>4</v>
      </c>
      <c r="II24">
        <f>SUMPRODUCT(--('Данные 1st'!$S$2:$S$317=$A24),--ISNUMBER('Данные 1st'!$RX$2:$RX$317))</f>
        <v>4</v>
      </c>
      <c r="IJ24">
        <f>SUMPRODUCT(--('Данные 1st'!$S$2:$S$317=$A24),--ISNUMBER('Данные 1st'!$RY$2:$RY$317))</f>
        <v>4</v>
      </c>
      <c r="IK24">
        <f>SUMPRODUCT(--('Данные 1st'!$S$2:$S$317=$A24),--ISNUMBER('Данные 1st'!$SA$2:$SA$317))</f>
        <v>4</v>
      </c>
      <c r="IL24">
        <f>SUMPRODUCT(--('Данные 1st'!$S$2:$S$317=$A24),--ISNUMBER('Данные 1st'!$SD$2:$SD$317))</f>
        <v>4</v>
      </c>
      <c r="IM24">
        <f>SUMPRODUCT(--('Данные 1st'!$S$2:$S$317=$A24),--ISNUMBER('Данные 1st'!$SG$2:$SG$317))</f>
        <v>1</v>
      </c>
      <c r="IN24">
        <f>SUMPRODUCT(--('Данные 1st'!$S$2:$S$317=$A24),--ISNUMBER('Данные 1st'!$SH$2:$SH$317))</f>
        <v>4</v>
      </c>
      <c r="IO24">
        <f>SUMPRODUCT(--('Данные 1st'!$S$2:$S$317=$A24),--ISNUMBER('Данные 1st'!$SI$2:$SI$317))</f>
        <v>4</v>
      </c>
      <c r="IP24">
        <f>SUMPRODUCT(--('Данные 1st'!$S$2:$S$317=$A24),--ISNUMBER('Данные 1st'!$SJ$2:$SJ$317))</f>
        <v>4</v>
      </c>
      <c r="IQ24">
        <f>SUMPRODUCT(--('Данные 1st'!$S$2:$S$317=$A24),--ISNUMBER('Данные 1st'!$SK$2:$SK$317))</f>
        <v>4</v>
      </c>
      <c r="IR24">
        <f>SUMPRODUCT(--('Данные 1st'!$S$2:$S$317=$A24),--ISNUMBER('Данные 1st'!$SL$2:$SL$317))</f>
        <v>4</v>
      </c>
      <c r="IS24">
        <f>SUMPRODUCT(--('Данные 1st'!$S$2:$S$317=$A24),--ISNUMBER('Данные 1st'!$SM$2:$SM$317))</f>
        <v>4</v>
      </c>
      <c r="IT24">
        <f>SUMPRODUCT(--('Данные 1st'!$S$2:$S$317=$A24),--ISNUMBER('Данные 1st'!$SN$2:$SN$317))</f>
        <v>4</v>
      </c>
      <c r="IU24">
        <f>SUMPRODUCT(--('Данные 1st'!$S$2:$S$317=$A24),--ISNUMBER('Данные 1st'!$SO$2:$SO$317))</f>
        <v>4</v>
      </c>
      <c r="IV24">
        <f>SUMPRODUCT(--('Данные 1st'!$S$2:$S$317=$A24),--ISNUMBER('Данные 1st'!$SP$2:$SP$317))</f>
        <v>4</v>
      </c>
      <c r="IW24">
        <f>SUMPRODUCT(--('Данные 1st'!$S$2:$S$317=$A24),--ISNUMBER('Данные 1st'!$SQ$2:$SQ$317))</f>
        <v>4</v>
      </c>
      <c r="IX24">
        <f>SUMPRODUCT(--('Данные 1st'!$S$2:$S$317=$A24),--ISNUMBER('Данные 1st'!$SR$2:$SR$317))</f>
        <v>4</v>
      </c>
      <c r="IY24">
        <f>SUMPRODUCT(--('Данные 1st'!$S$2:$S$317=$A24),--ISNUMBER('Данные 1st'!$SS$2:$SS$317))</f>
        <v>4</v>
      </c>
      <c r="IZ24">
        <f>SUMPRODUCT(--('Данные 1st'!$S$2:$S$317=$A24),--ISNUMBER('Данные 1st'!$ST$2:$ST$317))</f>
        <v>4</v>
      </c>
      <c r="JA24">
        <f>SUMPRODUCT(--('Данные 1st'!$S$2:$S$317=$A24),--ISNUMBER('Данные 1st'!$SU$2:$SU$317))</f>
        <v>4</v>
      </c>
      <c r="JB24">
        <f>SUMPRODUCT(--('Данные 1st'!$S$2:$S$317=$A24),--ISNUMBER('Данные 1st'!$SV$2:$SV$317))</f>
        <v>4</v>
      </c>
      <c r="JC24">
        <f>SUMPRODUCT(--('Данные 1st'!$S$2:$S$317=$A24),--ISNUMBER('Данные 1st'!$SW$2:$SW$317))</f>
        <v>4</v>
      </c>
      <c r="JD24">
        <f>SUMPRODUCT(--('Данные 1st'!$S$2:$S$317=$A24),--ISNUMBER('Данные 1st'!$SX$2:$SX$317))</f>
        <v>4</v>
      </c>
      <c r="JE24">
        <f>SUMPRODUCT(--('Данные 1st'!$S$2:$S$317=$A24),--ISNUMBER('Данные 1st'!$SY$2:$SY$317))</f>
        <v>0</v>
      </c>
      <c r="JF24">
        <f>SUMPRODUCT(--('Данные 1st'!$S$2:$S$317=$A24),--ISNUMBER('Данные 1st'!$SZ$2:$SZ$317))</f>
        <v>1</v>
      </c>
      <c r="JG24">
        <f>SUMPRODUCT(--('Данные 1st'!$S$2:$S$317=$A24),--ISNUMBER('Данные 1st'!$TA$2:$TA$317))</f>
        <v>0</v>
      </c>
      <c r="JH24">
        <f>SUMPRODUCT(--('Данные 1st'!$S$2:$S$317=$A24),--ISNUMBER('Данные 1st'!$TB$2:$TB$317))</f>
        <v>4</v>
      </c>
      <c r="JI24">
        <f>SUMPRODUCT(--('Данные 1st'!$S$2:$S$317=$A24),--ISNUMBER('Данные 1st'!$TC$2:$TC$317))</f>
        <v>4</v>
      </c>
      <c r="JJ24">
        <f>SUMPRODUCT(--('Данные 1st'!$S$2:$S$317=$A24),--ISNUMBER('Данные 1st'!$TD$2:$TD$317))</f>
        <v>4</v>
      </c>
      <c r="JK24">
        <f>SUMPRODUCT(--('Данные 1st'!$S$2:$S$317=$A24),--ISNUMBER('Данные 1st'!$TN$2:$TN$317))</f>
        <v>4</v>
      </c>
      <c r="JQ24">
        <f>SUMPRODUCT(--('Данные 2st'!$Q$2:$Q$317=$A24),--ISNUMBER('Данные 2st'!$AC$2:$AC$317))</f>
        <v>4</v>
      </c>
      <c r="JR24">
        <f>SUMPRODUCT(--('Данные 2st'!$Q$2:$Q$317=$A24),--ISNUMBER('Данные 2st'!$AF$2:$AF$317))</f>
        <v>4</v>
      </c>
      <c r="JS24">
        <f>SUMPRODUCT(--('Данные 2st'!$Q$2:$Q$317=$A24),--ISNUMBER('Данные 2st'!$AW$2:$AW$317))</f>
        <v>4</v>
      </c>
      <c r="JT24">
        <f>SUMPRODUCT(--('Данные 2st'!$Q$2:$Q$317=$A24),--ISNUMBER('Данные 2st'!$AX$2:$AX$317))</f>
        <v>4</v>
      </c>
      <c r="JU24">
        <f>SUMPRODUCT(--('Данные 2st'!$Q$2:$Q$317=$A24),--ISNUMBER('Данные 2st'!$AY$2:$AY$317))</f>
        <v>4</v>
      </c>
      <c r="JV24">
        <f>SUMPRODUCT(--('Данные 2st'!$Q$2:$Q$317=$A24),--ISNUMBER('Данные 2st'!$AZ$2:$AZ$317))</f>
        <v>4</v>
      </c>
      <c r="JW24">
        <f>SUMPRODUCT(--('Данные 2st'!$Q$2:$Q$317=$A24),--ISNUMBER('Данные 2st'!$BA$2:$BA$317))</f>
        <v>0</v>
      </c>
      <c r="JX24">
        <f>SUMPRODUCT(--('Данные 2st'!$Q$2:$Q$317=$A24),--ISNUMBER('Данные 2st'!$BB$2:$BB$317))</f>
        <v>0</v>
      </c>
      <c r="JY24">
        <f>SUMPRODUCT(--('Данные 2st'!$Q$2:$Q$317=$A24),--ISNUMBER('Данные 2st'!$BC$2:$BC$317))</f>
        <v>0</v>
      </c>
      <c r="JZ24">
        <f>SUMPRODUCT(--('Данные 2st'!$Q$2:$Q$317=$A24),--ISNUMBER('Данные 2st'!$BH$2:$BH$317))</f>
        <v>4</v>
      </c>
      <c r="KA24">
        <f>SUMPRODUCT(--('Данные 2st'!$Q$2:$Q$317=$A24),--ISNUMBER('Данные 2st'!$BI$2:$BI$317))</f>
        <v>4</v>
      </c>
      <c r="KB24">
        <f>SUMPRODUCT(--('Данные 2st'!$Q$2:$Q$317=$A24),--ISNUMBER('Данные 2st'!$BJ$2:$BJ$317))</f>
        <v>4</v>
      </c>
      <c r="KC24">
        <f>SUMPRODUCT(--('Данные 2st'!$Q$2:$Q$317=$A24),--ISNUMBER('Данные 2st'!$BK$2:$BK$317))</f>
        <v>4</v>
      </c>
      <c r="KD24">
        <f>SUMPRODUCT(--('Данные 2st'!$Q$2:$Q$317=$A24),--ISNUMBER('Данные 2st'!$BL$2:$BL$317))</f>
        <v>4</v>
      </c>
      <c r="KE24">
        <f>SUMPRODUCT(--('Данные 2st'!$Q$2:$Q$317=$A24),--ISNUMBER('Данные 2st'!$BM$2:$BM$317))</f>
        <v>4</v>
      </c>
      <c r="KF24">
        <f>SUMPRODUCT(--('Данные 2st'!$Q$2:$Q$317=$A24),--ISNUMBER('Данные 2st'!$BN$2:$BN$317))</f>
        <v>4</v>
      </c>
      <c r="KG24">
        <f>SUMPRODUCT(--('Данные 2st'!$Q$2:$Q$317=$A24),--ISNUMBER('Данные 2st'!$BO$2:$BO$317))</f>
        <v>1</v>
      </c>
      <c r="KH24">
        <f>SUMPRODUCT(--('Данные 2st'!$Q$2:$Q$317=$A24),--ISNUMBER('Данные 2st'!$BP$2:$BP$317))</f>
        <v>4</v>
      </c>
      <c r="KI24">
        <f>SUMPRODUCT(--('Данные 2st'!$Q$2:$Q$317=$A24),--ISNUMBER('Данные 2st'!$BR$2:$BR$317))</f>
        <v>4</v>
      </c>
      <c r="KJ24">
        <f>SUMPRODUCT(--('Данные 2st'!$Q$2:$Q$317=$A24),--ISNUMBER('Данные 2st'!$BS$2:$BS$317))</f>
        <v>4</v>
      </c>
      <c r="KK24">
        <f>SUMPRODUCT(--('Данные 2st'!$Q$2:$Q$317=$A24),--ISNUMBER('Данные 2st'!$BT$2:$BT$317))</f>
        <v>4</v>
      </c>
      <c r="KL24">
        <f>SUMPRODUCT(--('Данные 2st'!$Q$2:$Q$317=$A24),--ISNUMBER('Данные 2st'!$CV$2:$CV$317))</f>
        <v>4</v>
      </c>
      <c r="KM24">
        <f>SUMPRODUCT(--('Данные 2st'!$Q$2:$Q$317=$A24),--ISNUMBER('Данные 2st'!$CW$2:$CW$317))</f>
        <v>4</v>
      </c>
      <c r="KN24">
        <f>SUMPRODUCT(--('Данные 2st'!$Q$2:$Q$317=$A24),--ISNUMBER('Данные 2st'!$CX$2:$CX$317))</f>
        <v>4</v>
      </c>
      <c r="KO24">
        <f>SUMPRODUCT(--('Данные 2st'!$Q$2:$Q$317=$A24),--ISNUMBER('Данные 2st'!$CY$2:$CY$317))</f>
        <v>4</v>
      </c>
      <c r="KP24">
        <f>SUMPRODUCT(--('Данные 2st'!$Q$2:$Q$317=$A24),--ISNUMBER('Данные 2st'!$CZ$2:$CZ$317))</f>
        <v>4</v>
      </c>
      <c r="KQ24">
        <f>SUMPRODUCT(--('Данные 2st'!$Q$2:$Q$317=$A24),--ISNUMBER('Данные 2st'!$DA$2:$DA$317))</f>
        <v>4</v>
      </c>
      <c r="KR24">
        <f>SUMPRODUCT(--('Данные 2st'!$Q$2:$Q$317=$A24),--ISNUMBER('Данные 2st'!$DB$2:$DB$317))</f>
        <v>4</v>
      </c>
      <c r="KS24">
        <f>SUMPRODUCT(--('Данные 2st'!$Q$2:$Q$317=$A24),--ISNUMBER('Данные 2st'!$DC$2:$DC$317))</f>
        <v>4</v>
      </c>
      <c r="KT24">
        <f>SUMPRODUCT(--('Данные 2st'!$Q$2:$Q$317=$A24),--ISNUMBER('Данные 2st'!$DD$2:$DD$317))</f>
        <v>4</v>
      </c>
      <c r="KU24">
        <f>SUMPRODUCT(--('Данные 2st'!$Q$2:$Q$317=$A24),--ISNUMBER('Данные 2st'!$DE$2:$DE$317))</f>
        <v>4</v>
      </c>
      <c r="KV24">
        <f>SUMPRODUCT(--('Данные 2st'!$Q$2:$Q$317=$A24),--ISNUMBER('Данные 2st'!$DF$2:$DF$317))</f>
        <v>4</v>
      </c>
      <c r="KW24">
        <f>SUMPRODUCT(--('Данные 2st'!$Q$2:$Q$317=$A24),--ISNUMBER('Данные 2st'!$DG$2:$DG$317))</f>
        <v>4</v>
      </c>
      <c r="KX24">
        <f>SUMPRODUCT(--('Данные 2st'!$Q$2:$Q$317=$A24),--ISNUMBER('Данные 2st'!$DH$2:$DH$317))</f>
        <v>0</v>
      </c>
      <c r="KY24">
        <f>SUMPRODUCT(--('Данные 2st'!$Q$2:$Q$317=$A24),--ISNUMBER('Данные 2st'!$DI$2:$DI$317))</f>
        <v>0</v>
      </c>
      <c r="KZ24">
        <f>SUMPRODUCT(--('Данные 2st'!$Q$2:$Q$317=$A24),--ISNUMBER('Данные 2st'!$DK$2:$DK$317))</f>
        <v>4</v>
      </c>
      <c r="LA24">
        <f>SUMPRODUCT(--('Данные 2st'!$Q$2:$Q$317=$A24),--ISNUMBER('Данные 2st'!$DM$2:$DM$317))</f>
        <v>4</v>
      </c>
      <c r="LB24">
        <f>SUMPRODUCT(--('Данные 2st'!$Q$2:$Q$317=$A24),--ISNUMBER('Данные 2st'!$DN$2:$DN$317))</f>
        <v>4</v>
      </c>
      <c r="LC24">
        <f>SUMPRODUCT(--('Данные 2st'!$Q$2:$Q$317=$A24),--ISNUMBER('Данные 2st'!$DO$2:$DO$317))</f>
        <v>4</v>
      </c>
      <c r="LD24">
        <f>SUMPRODUCT(--('Данные 2st'!$Q$2:$Q$317=$A24),--ISNUMBER('Данные 2st'!$DP$2:$DP$317))</f>
        <v>4</v>
      </c>
      <c r="LE24">
        <f>SUMPRODUCT(--('Данные 2st'!$Q$2:$Q$317=$A24),--ISNUMBER('Данные 2st'!$DQ$2:$DQ$317))</f>
        <v>4</v>
      </c>
      <c r="LF24">
        <f>SUMPRODUCT(--('Данные 2st'!$Q$2:$Q$317=$A24),--ISNUMBER('Данные 2st'!$DS$2:$DS$317))</f>
        <v>4</v>
      </c>
      <c r="LG24">
        <f>SUMPRODUCT(--('Данные 2st'!$Q$2:$Q$317=$A24),--ISNUMBER('Данные 2st'!$DU$2:$DU$317))</f>
        <v>4</v>
      </c>
      <c r="LH24">
        <f>SUMPRODUCT(--('Данные 2st'!$Q$2:$Q$317=$A24),--ISNUMBER('Данные 2st'!$DV$2:$DV$317))</f>
        <v>4</v>
      </c>
      <c r="LI24">
        <f>SUMPRODUCT(--('Данные 2st'!$Q$2:$Q$317=$A24),--ISNUMBER('Данные 2st'!$DW$2:$DW$317))</f>
        <v>4</v>
      </c>
      <c r="LJ24">
        <f>SUMPRODUCT(--('Данные 2st'!$Q$2:$Q$317=$A24),--ISNUMBER('Данные 2st'!$DX$2:$DX$317))</f>
        <v>4</v>
      </c>
      <c r="LK24">
        <f>SUMPRODUCT(--('Данные 2st'!$Q$2:$Q$317=$A24),--ISNUMBER('Данные 2st'!$DY$2:$DY$317))</f>
        <v>4</v>
      </c>
      <c r="LL24">
        <f>SUMPRODUCT(--('Данные 2st'!$Q$2:$Q$317=$A24),--ISNUMBER('Данные 2st'!$EA$2:$EA$317))</f>
        <v>4</v>
      </c>
      <c r="LM24">
        <f>SUMPRODUCT(--('Данные 2st'!$Q$2:$Q$317=$A24),--ISNUMBER('Данные 2st'!$EC$2:$EC$317))</f>
        <v>4</v>
      </c>
      <c r="LN24">
        <f>SUMPRODUCT(--('Данные 2st'!$Q$2:$Q$317=$A24),--ISNUMBER('Данные 2st'!$ED$2:$ED$317))</f>
        <v>4</v>
      </c>
      <c r="LO24">
        <f>SUMPRODUCT(--('Данные 2st'!$Q$2:$Q$317=$A24),--ISNUMBER('Данные 2st'!$EE$2:$EE$317))</f>
        <v>4</v>
      </c>
      <c r="LP24">
        <f>SUMPRODUCT(--('Данные 2st'!$Q$2:$Q$317=$A24),--ISNUMBER('Данные 2st'!$EG$2:$EG$317))</f>
        <v>4</v>
      </c>
      <c r="LQ24">
        <f>SUMPRODUCT(--('Данные 2st'!$Q$2:$Q$317=$A24),--ISNUMBER('Данные 2st'!$EI$2:$EI$317))</f>
        <v>4</v>
      </c>
      <c r="LR24">
        <f>SUMPRODUCT(--('Данные 2st'!$Q$2:$Q$317=$A24),--ISNUMBER('Данные 2st'!$EJ$2:$EJ$317))</f>
        <v>0</v>
      </c>
      <c r="LS24">
        <f>SUMPRODUCT(--('Данные 2st'!$Q$2:$Q$317=$A24),--ISNUMBER('Данные 2st'!$EK$2:$EK$317))</f>
        <v>0</v>
      </c>
      <c r="LT24">
        <f>SUMPRODUCT(--('Данные 2st'!$Q$2:$Q$317=$A24),--ISNUMBER('Данные 2st'!$EM$2:$EM$317))</f>
        <v>4</v>
      </c>
      <c r="LU24">
        <f>SUMPRODUCT(--('Данные 2st'!$Q$2:$Q$317=$A24),--ISNUMBER('Данные 2st'!$EN$2:$EN$317))</f>
        <v>4</v>
      </c>
      <c r="LV24">
        <f>SUMPRODUCT(--('Данные 2st'!$Q$2:$Q$317=$A24),--ISNUMBER('Данные 2st'!$EO$2:$EO$317))</f>
        <v>4</v>
      </c>
      <c r="LW24">
        <f>SUMPRODUCT(--('Данные 2st'!$Q$2:$Q$317=$A24),--ISNUMBER('Данные 2st'!$EP$2:$EP$317))</f>
        <v>4</v>
      </c>
      <c r="LX24">
        <f>SUMPRODUCT(--('Данные 2st'!$Q$2:$Q$317=$A24),--ISNUMBER('Данные 2st'!$EQ$2:$EQ$317))</f>
        <v>4</v>
      </c>
      <c r="LY24">
        <f>SUMPRODUCT(--('Данные 2st'!$Q$2:$Q$317=$A24),--ISNUMBER('Данные 2st'!$ER$2:$ER$317))</f>
        <v>4</v>
      </c>
      <c r="LZ24">
        <f>SUMPRODUCT(--('Данные 2st'!$Q$2:$Q$317=$A24),--ISNUMBER('Данные 2st'!$ES$2:$ES$317))</f>
        <v>4</v>
      </c>
      <c r="MA24">
        <f>SUMPRODUCT(--('Данные 2st'!$Q$2:$Q$317=$A24),--ISNUMBER('Данные 2st'!$ET$2:$ET$317))</f>
        <v>4</v>
      </c>
      <c r="MB24">
        <f>SUMPRODUCT(--('Данные 2st'!$Q$2:$Q$317=$A24),--ISNUMBER('Данные 2st'!$EU$2:$EU$317))</f>
        <v>4</v>
      </c>
      <c r="MC24">
        <f>SUMPRODUCT(--('Данные 2st'!$Q$2:$Q$317=$A24),--ISNUMBER('Данные 2st'!$EV$2:$EV$317))</f>
        <v>4</v>
      </c>
      <c r="MD24">
        <f>SUMPRODUCT(--('Данные 2st'!$Q$2:$Q$317=$A24),--ISNUMBER('Данные 2st'!$EW$2:$EW$317))</f>
        <v>4</v>
      </c>
      <c r="ME24">
        <f>SUMPRODUCT(--('Данные 2st'!$Q$2:$Q$317=$A24),--ISNUMBER('Данные 2st'!$EY$2:$EY$317))</f>
        <v>4</v>
      </c>
      <c r="MF24">
        <f>SUMPRODUCT(--('Данные 2st'!$Q$2:$Q$317=$A24),--ISNUMBER('Данные 2st'!$FA$2:$FA$317))</f>
        <v>4</v>
      </c>
      <c r="MG24">
        <f>SUMPRODUCT(--('Данные 2st'!$Q$2:$Q$317=$A24),--ISNUMBER('Данные 2st'!$FB$2:$FB$317))</f>
        <v>4</v>
      </c>
      <c r="MH24">
        <f>SUMPRODUCT(--('Данные 2st'!$Q$2:$Q$317=$A24),--ISNUMBER('Данные 2st'!$FC$2:$FC$317))</f>
        <v>4</v>
      </c>
      <c r="MI24">
        <f>SUMPRODUCT(--('Данные 2st'!$Q$2:$Q$317=$A24),--ISNUMBER('Данные 2st'!$FD$2:$FD$317))</f>
        <v>4</v>
      </c>
      <c r="MJ24">
        <f>SUMPRODUCT(--('Данные 2st'!$Q$2:$Q$317=$A24),--ISNUMBER('Данные 2st'!$FE$2:$FE$317))</f>
        <v>4</v>
      </c>
      <c r="MK24">
        <f>SUMPRODUCT(--('Данные 2st'!$Q$2:$Q$317=$A24),--ISNUMBER('Данные 2st'!$FG$2:$FG$317))</f>
        <v>4</v>
      </c>
      <c r="ML24">
        <f>SUMPRODUCT(--('Данные 2st'!$Q$2:$Q$317=$A24),--ISNUMBER('Данные 2st'!$FI$2:$FI$317))</f>
        <v>4</v>
      </c>
      <c r="MM24">
        <f>SUMPRODUCT(--('Данные 2st'!$Q$2:$Q$317=$A24),--ISNUMBER('Данные 2st'!$FJ$2:$FJ$317))</f>
        <v>4</v>
      </c>
      <c r="MN24">
        <f>SUMPRODUCT(--('Данные 2st'!$Q$2:$Q$317=$A24),--ISNUMBER('Данные 2st'!$FK$2:$FK$317))</f>
        <v>4</v>
      </c>
      <c r="MO24">
        <f>SUMPRODUCT(--('Данные 2st'!$Q$2:$Q$317=$A24),--ISNUMBER('Данные 2st'!$FP$2:$FP$317))</f>
        <v>4</v>
      </c>
      <c r="MP24">
        <f>SUMPRODUCT(--('Данные 2st'!$Q$2:$Q$317=$A24),--ISNUMBER('Данные 2st'!$FQ$2:$FQ$317))</f>
        <v>4</v>
      </c>
      <c r="MQ24">
        <f>SUMPRODUCT(--('Данные 2st'!$Q$2:$Q$317=$A24),--ISNUMBER('Данные 2st'!$FS$2:$FS$317))</f>
        <v>4</v>
      </c>
      <c r="MR24">
        <f>SUMPRODUCT(--('Данные 2st'!$Q$2:$Q$317=$A24),--ISNUMBER('Данные 2st'!$FU$2:$FU$317))</f>
        <v>4</v>
      </c>
      <c r="MS24">
        <f>SUMPRODUCT(--('Данные 2st'!$Q$2:$Q$317=$A24),--ISNUMBER('Данные 2st'!$FV$2:$FV$317))</f>
        <v>4</v>
      </c>
      <c r="MT24">
        <f>SUMPRODUCT(--('Данные 2st'!$Q$2:$Q$317=$A24),--ISNUMBER('Данные 2st'!$FW$2:$FW$317))</f>
        <v>4</v>
      </c>
      <c r="MU24">
        <f>SUMPRODUCT(--('Данные 2st'!$Q$2:$Q$317=$A24),--ISNUMBER('Данные 2st'!$FY$2:$FY$317))</f>
        <v>4</v>
      </c>
      <c r="MV24">
        <f>SUMPRODUCT(--('Данные 2st'!$Q$2:$Q$317=$A24),--ISNUMBER('Данные 2st'!$GB$2:$GB$317))</f>
        <v>4</v>
      </c>
      <c r="MW24">
        <f>SUMPRODUCT(--('Данные 2st'!$Q$2:$Q$317=$A24),--ISNUMBER('Данные 2st'!$GC$2:$GC$317))</f>
        <v>4</v>
      </c>
      <c r="MX24">
        <f>SUMPRODUCT(--('Данные 2st'!$Q$2:$Q$317=$A24),--ISNUMBER('Данные 2st'!$GD$2:$GD$317))</f>
        <v>4</v>
      </c>
      <c r="MY24">
        <f>SUMPRODUCT(--('Данные 2st'!$Q$2:$Q$317=$A24),--ISNUMBER('Данные 2st'!$GN$2:$GN$317))</f>
        <v>0</v>
      </c>
      <c r="MZ24">
        <f>SUMPRODUCT(--('Данные 2st'!$Q$2:$Q$317=$A24),--ISNUMBER('Данные 2st'!$GQ$2:$GQ$317))</f>
        <v>4</v>
      </c>
      <c r="NA24">
        <f>SUMPRODUCT(--('Данные 2st'!$Q$2:$Q$317=$A24),--ISNUMBER('Данные 2st'!$GV$2:$GV$317))</f>
        <v>4</v>
      </c>
      <c r="NB24">
        <f>SUMPRODUCT(--('Данные 2st'!$Q$2:$Q$317=$A24),--ISNUMBER('Данные 2st'!$GW$2:$GW$317))</f>
        <v>4</v>
      </c>
      <c r="NC24">
        <f>SUMPRODUCT(--('Данные 2st'!$Q$2:$Q$317=$A24),--ISNUMBER('Данные 2st'!$GX$2:$GX$317))</f>
        <v>4</v>
      </c>
      <c r="ND24">
        <f>SUMPRODUCT(--('Данные 2st'!$Q$2:$Q$317=$A24),--ISNUMBER('Данные 2st'!$GY$2:$GY$317))</f>
        <v>4</v>
      </c>
      <c r="NE24">
        <f>SUMPRODUCT(--('Данные 2st'!$Q$2:$Q$317=$A24),--ISNUMBER('Данные 2st'!$GZ$2:$GZ$317))</f>
        <v>4</v>
      </c>
      <c r="NF24">
        <f>SUMPRODUCT(--('Данные 2st'!$Q$2:$Q$317=$A24),--ISNUMBER('Данные 2st'!$HA$2:$HA$317))</f>
        <v>4</v>
      </c>
      <c r="NG24">
        <f>SUMPRODUCT(--('Данные 2st'!$Q$2:$Q$317=$A24),--ISNUMBER('Данные 2st'!$HB$2:$HB$317))</f>
        <v>4</v>
      </c>
      <c r="NH24">
        <f>SUMPRODUCT(--('Данные 2st'!$Q$2:$Q$317=$A24),--ISNUMBER('Данные 2st'!$HC$2:$HC$317))</f>
        <v>4</v>
      </c>
      <c r="NI24">
        <f>SUMPRODUCT(--('Данные 2st'!$Q$2:$Q$317=$A24),--ISNUMBER('Данные 2st'!$HD$2:$HD$317))</f>
        <v>4</v>
      </c>
      <c r="NJ24">
        <f>SUMPRODUCT(--('Данные 2st'!$Q$2:$Q$317=$A24),--ISNUMBER('Данные 2st'!$HM$2:$HM$317))</f>
        <v>4</v>
      </c>
      <c r="NK24">
        <f>SUMPRODUCT(--('Данные 2st'!$Q$2:$Q$317=$A24),--ISNUMBER('Данные 2st'!$HR$2:$HR$317))</f>
        <v>4</v>
      </c>
      <c r="NL24">
        <f>SUMPRODUCT(--('Данные 2st'!$Q$2:$Q$317=$A24),--ISNUMBER('Данные 2st'!$HS$2:$HS$317))</f>
        <v>4</v>
      </c>
      <c r="NM24">
        <f>SUMPRODUCT(--('Данные 2st'!$Q$2:$Q$317=$A24),--ISNUMBER('Данные 2st'!$HT$2:$HT$317))</f>
        <v>4</v>
      </c>
      <c r="NN24">
        <f>SUMPRODUCT(--('Данные 2st'!$Q$2:$Q$317=$A24),--ISNUMBER('Данные 2st'!$HY$2:$HY$317))</f>
        <v>4</v>
      </c>
      <c r="NO24">
        <f>SUMPRODUCT(--('Данные 2st'!$Q$2:$Q$317=$A24),--ISNUMBER('Данные 2st'!$HZ$2:$HZ$317))</f>
        <v>4</v>
      </c>
      <c r="NP24">
        <f>SUMPRODUCT(--('Данные 2st'!$Q$2:$Q$317=$A24),--ISNUMBER('Данные 2st'!$IA$2:$IA$317))</f>
        <v>4</v>
      </c>
      <c r="NQ24">
        <f>SUMPRODUCT(--('Данные 2st'!$Q$2:$Q$317=$A24),--ISNUMBER('Данные 2st'!$IB$2:$IB$317))</f>
        <v>4</v>
      </c>
      <c r="NR24">
        <f>SUMPRODUCT(--('Данные 2st'!$Q$2:$Q$317=$A24),--ISNUMBER('Данные 2st'!$IC$2:$IC$317))</f>
        <v>0</v>
      </c>
      <c r="NS24">
        <f>SUMPRODUCT(--('Данные 2st'!$Q$2:$Q$317=$A24),--ISNUMBER('Данные 2st'!$ID$2:$ID$317))</f>
        <v>4</v>
      </c>
      <c r="NT24">
        <f>SUMPRODUCT(--('Данные 2st'!$Q$2:$Q$317=$A24),--ISNUMBER('Данные 2st'!$IE$2:$IE$317))</f>
        <v>4</v>
      </c>
      <c r="NU24">
        <f>SUMPRODUCT(--('Данные 2st'!$Q$2:$Q$317=$A24),--ISNUMBER('Данные 2st'!$IF$2:$IF$317))</f>
        <v>4</v>
      </c>
      <c r="NV24">
        <f>SUMPRODUCT(--('Данные 2st'!$Q$2:$Q$317=$A24),--ISNUMBER('Данные 2st'!$IG$2:$IG$317))</f>
        <v>4</v>
      </c>
      <c r="NW24">
        <f>SUMPRODUCT(--('Данные 2st'!$Q$2:$Q$317=$A24),--ISNUMBER('Данные 2st'!$IH$2:$IH$317))</f>
        <v>4</v>
      </c>
      <c r="NX24">
        <f>SUMPRODUCT(--('Данные 2st'!$Q$2:$Q$317=$A24),--ISNUMBER('Данные 2st'!$IJ$2:$IJ$317))</f>
        <v>4</v>
      </c>
      <c r="NY24">
        <f>SUMPRODUCT(--('Данные 2st'!$Q$2:$Q$317=$A24),--ISNUMBER('Данные 2st'!$IM$2:$IM$317))</f>
        <v>4</v>
      </c>
      <c r="NZ24">
        <f>SUMPRODUCT(--('Данные 2st'!$Q$2:$Q$317=$A24),--ISNUMBER('Данные 2st'!$IN$2:$IN$317))</f>
        <v>4</v>
      </c>
      <c r="OA24">
        <f>SUMPRODUCT(--('Данные 2st'!$Q$2:$Q$317=$A24),--ISNUMBER('Данные 2st'!$IO$2:$IO$317))</f>
        <v>4</v>
      </c>
      <c r="OB24">
        <f>SUMPRODUCT(--('Данные 2st'!$Q$2:$Q$317=$A24),--ISNUMBER('Данные 2st'!$IP$2:$IP$317))</f>
        <v>4</v>
      </c>
      <c r="OC24">
        <f>SUMPRODUCT(--('Данные 2st'!$Q$2:$Q$317=$A24),--ISNUMBER('Данные 2st'!$IQ$2:$IQ$317))</f>
        <v>4</v>
      </c>
      <c r="OD24">
        <f>SUMPRODUCT(--('Данные 2st'!$Q$2:$Q$317=$A24),--ISNUMBER('Данные 2st'!$IR$2:$IR$317))</f>
        <v>4</v>
      </c>
      <c r="OE24">
        <f>SUMPRODUCT(--('Данные 2st'!$Q$2:$Q$317=$A24),--ISNUMBER('Данные 2st'!$IT$2:$IT$317))</f>
        <v>4</v>
      </c>
      <c r="OF24">
        <f>SUMPRODUCT(--('Данные 2st'!$Q$2:$Q$317=$A24),--ISNUMBER('Данные 2st'!$IU$2:$IU$317))</f>
        <v>4</v>
      </c>
      <c r="OG24">
        <f>SUMPRODUCT(--('Данные 2st'!$Q$2:$Q$317=$A24),--ISNUMBER('Данные 2st'!$IV$2:$IV$317))</f>
        <v>4</v>
      </c>
      <c r="OH24">
        <f>SUMPRODUCT(--('Данные 2st'!$Q$2:$Q$317=$A24),--ISNUMBER('Данные 2st'!$IW$2:$IW$317))</f>
        <v>4</v>
      </c>
      <c r="OI24">
        <f>SUMPRODUCT(--('Данные 2st'!$Q$2:$Q$317=$A24),--ISNUMBER('Данные 2st'!$IX$2:$IX$317))</f>
        <v>4</v>
      </c>
      <c r="OJ24">
        <f>SUMPRODUCT(--('Данные 2st'!$Q$2:$Q$317=$A24),--ISNUMBER('Данные 2st'!$IY$2:$IY$317))</f>
        <v>4</v>
      </c>
      <c r="OK24">
        <f>SUMPRODUCT(--('Данные 2st'!$Q$2:$Q$317=$A24),--ISNUMBER('Данные 2st'!$IZ$2:$IZ$317))</f>
        <v>4</v>
      </c>
      <c r="OL24">
        <f>SUMPRODUCT(--('Данные 2st'!$Q$2:$Q$317=$A24),--ISNUMBER('Данные 2st'!$JA$2:$JA$317))</f>
        <v>4</v>
      </c>
      <c r="OM24">
        <f>SUMPRODUCT(--('Данные 2st'!$Q$2:$Q$317=$A24),--ISNUMBER('Данные 2st'!$JB$2:$JB$317))</f>
        <v>4</v>
      </c>
      <c r="ON24">
        <f>SUMPRODUCT(--('Данные 2st'!$Q$2:$Q$317=$A24),--ISNUMBER('Данные 2st'!$JC$2:$JC$317))</f>
        <v>4</v>
      </c>
      <c r="OO24">
        <f>SUMPRODUCT(--('Данные 2st'!$Q$2:$Q$317=$A24),--ISNUMBER('Данные 2st'!$JD$2:$JD$317))</f>
        <v>4</v>
      </c>
      <c r="OP24">
        <f>SUMPRODUCT(--('Данные 2st'!$Q$2:$Q$317=$A24),--ISNUMBER('Данные 2st'!$JE$2:$JE$317))</f>
        <v>4</v>
      </c>
      <c r="OQ24">
        <f>SUMPRODUCT(--('Данные 2st'!$Q$2:$Q$317=$A24),--ISNUMBER('Данные 2st'!$JF$2:$JF$317))</f>
        <v>4</v>
      </c>
      <c r="OR24">
        <f>SUMPRODUCT(--('Данные 2st'!$Q$2:$Q$317=$A24),--ISNUMBER('Данные 2st'!$JG$2:$JG$317))</f>
        <v>4</v>
      </c>
      <c r="OS24">
        <f>SUMPRODUCT(--('Данные 2st'!$Q$2:$Q$317=$A24),--ISNUMBER('Данные 2st'!$JH$2:$JH$317))</f>
        <v>4</v>
      </c>
      <c r="OT24">
        <f>SUMPRODUCT(--('Данные 2st'!$Q$2:$Q$317=$A24),--ISNUMBER('Данные 2st'!$JI$2:$JI$317))</f>
        <v>4</v>
      </c>
      <c r="OU24">
        <f>SUMPRODUCT(--('Данные 2st'!$Q$2:$Q$317=$A24),--ISNUMBER('Данные 2st'!$JJ$2:$JJ$317))</f>
        <v>4</v>
      </c>
      <c r="OV24">
        <f>SUMPRODUCT(--('Данные 2st'!$Q$2:$Q$317=$A24),--ISNUMBER('Данные 2st'!$JK$2:$JK$317))</f>
        <v>4</v>
      </c>
      <c r="OW24">
        <f>SUMPRODUCT(--('Данные 2st'!$Q$2:$Q$317=$A24),--ISNUMBER('Данные 2st'!$JL$2:$JL$317))</f>
        <v>4</v>
      </c>
      <c r="OX24">
        <f>SUMPRODUCT(--('Данные 2st'!$Q$2:$Q$317=$A24),--ISNUMBER('Данные 2st'!$JM$2:$JM$317))</f>
        <v>4</v>
      </c>
      <c r="OY24">
        <f>SUMPRODUCT(--('Данные 2st'!$Q$2:$Q$317=$A24),--ISNUMBER('Данные 2st'!$JP$2:$JP$317))</f>
        <v>4</v>
      </c>
      <c r="OZ24">
        <f>SUMPRODUCT(--('Данные 2st'!$Q$2:$Q$317=$A24),--ISNUMBER('Данные 2st'!$JQ$2:$JQ$317))</f>
        <v>4</v>
      </c>
      <c r="PA24">
        <f>SUMPRODUCT(--('Данные 2st'!$Q$2:$Q$317=$A24),--ISNUMBER('Данные 2st'!$JR$2:$JR$317))</f>
        <v>4</v>
      </c>
      <c r="PB24">
        <f>SUMPRODUCT(--('Данные 2st'!$Q$2:$Q$317=$A24),--ISNUMBER('Данные 2st'!$JS$2:$JS$317))</f>
        <v>4</v>
      </c>
      <c r="PC24">
        <f>SUMPRODUCT(--('Данные 2st'!$Q$2:$Q$317=$A24),--ISNUMBER('Данные 2st'!$JT$2:$JT$317))</f>
        <v>4</v>
      </c>
      <c r="PD24">
        <f>SUMPRODUCT(--('Данные 2st'!$Q$2:$Q$317=$A24),--ISNUMBER('Данные 2st'!$JU$2:$JU$317))</f>
        <v>4</v>
      </c>
      <c r="PE24">
        <f>SUMPRODUCT(--('Данные 2st'!$Q$2:$Q$317=$A24),--ISNUMBER('Данные 2st'!$JV$2:$JV$317))</f>
        <v>4</v>
      </c>
      <c r="PF24">
        <f>SUMPRODUCT(--('Данные 2st'!$Q$2:$Q$317=$A24),--ISNUMBER('Данные 2st'!$JW$2:$JW$317))</f>
        <v>4</v>
      </c>
      <c r="PG24">
        <f>SUMPRODUCT(--('Данные 2st'!$Q$2:$Q$317=$A24),--ISNUMBER('Данные 2st'!$KF$2:$KF$317))</f>
        <v>4</v>
      </c>
      <c r="PH24">
        <f>SUMPRODUCT(--('Данные 2st'!$Q$2:$Q$317=$A24),--ISNUMBER('Данные 2st'!$KG$2:$KG$317))</f>
        <v>4</v>
      </c>
      <c r="PI24">
        <f>SUMPRODUCT(--('Данные 2st'!$Q$2:$Q$317=$A24),--ISNUMBER('Данные 2st'!$KM$2:$KM$317))</f>
        <v>4</v>
      </c>
      <c r="PJ24">
        <f>SUMPRODUCT(--('Данные 2st'!$Q$2:$Q$317=$A24),--ISNUMBER('Данные 2st'!$KN$2:$KN$317))</f>
        <v>4</v>
      </c>
      <c r="PK24">
        <f>SUMPRODUCT(--('Данные 2st'!$Q$2:$Q$317=$A24),--ISNUMBER('Данные 2st'!$KO$2:$KO$317))</f>
        <v>4</v>
      </c>
      <c r="PL24">
        <f>SUMPRODUCT(--('Данные 2st'!$Q$2:$Q$317=$A24),--ISNUMBER('Данные 2st'!$KP$2:$KP$317))</f>
        <v>4</v>
      </c>
      <c r="PM24">
        <f>SUMPRODUCT(--('Данные 2st'!$Q$2:$Q$317=$A24),--ISNUMBER('Данные 2st'!$KQ$2:$KQ$317))</f>
        <v>4</v>
      </c>
      <c r="PN24">
        <f>SUMPRODUCT(--('Данные 2st'!$Q$2:$Q$317=$A24),--ISNUMBER('Данные 2st'!$KR$2:$KR$317))</f>
        <v>4</v>
      </c>
      <c r="PO24">
        <f>SUMPRODUCT(--('Данные 2st'!$Q$2:$Q$317=$A24),--ISNUMBER('Данные 2st'!$KS$2:$KS$317))</f>
        <v>4</v>
      </c>
      <c r="PP24">
        <f>SUMPRODUCT(--('Данные 2st'!$Q$2:$Q$317=$A24),--ISNUMBER('Данные 2st'!$KT$2:$KT$317))</f>
        <v>4</v>
      </c>
      <c r="PQ24">
        <f>SUMPRODUCT(--('Данные 2st'!$Q$2:$Q$317=$A24),--ISNUMBER('Данные 2st'!$KU$2:$KU$317))</f>
        <v>4</v>
      </c>
      <c r="PR24">
        <f>SUMPRODUCT(--('Данные 2st'!$Q$2:$Q$317=$A24),--ISNUMBER('Данные 2st'!$KV$2:$KV$317))</f>
        <v>4</v>
      </c>
      <c r="PS24">
        <f>SUMPRODUCT(--('Данные 2st'!$Q$2:$Q$317=$A24),--ISNUMBER('Данные 2st'!$KW$2:$KW$317))</f>
        <v>4</v>
      </c>
      <c r="PT24">
        <f>SUMPRODUCT(--('Данные 2st'!$Q$2:$Q$317=$A24),--ISNUMBER('Данные 2st'!$KX$2:$KX$317))</f>
        <v>4</v>
      </c>
      <c r="PU24">
        <f>SUMPRODUCT(--('Данные 2st'!$Q$2:$Q$317=$A24),--ISNUMBER('Данные 2st'!$KY$2:$KY$317))</f>
        <v>4</v>
      </c>
      <c r="PV24">
        <f>SUMPRODUCT(--('Данные 2st'!$Q$2:$Q$317=$A24),--ISNUMBER('Данные 2st'!$KZ$2:$KZ$317))</f>
        <v>4</v>
      </c>
      <c r="PW24">
        <f>SUMPRODUCT(--('Данные 2st'!$Q$2:$Q$317=$A24),--ISNUMBER('Данные 2st'!$LA$2:$LA$317))</f>
        <v>4</v>
      </c>
      <c r="PX24">
        <f>SUMPRODUCT(--('Данные 2st'!$Q$2:$Q$317=$A24),--ISNUMBER('Данные 2st'!$LB$2:$LB$317))</f>
        <v>4</v>
      </c>
      <c r="PY24">
        <f>SUMPRODUCT(--('Данные 2st'!$Q$2:$Q$317=$A24),--ISNUMBER('Данные 2st'!$LC$2:$LC$317))</f>
        <v>4</v>
      </c>
      <c r="PZ24">
        <f>SUMPRODUCT(--('Данные 2st'!$Q$2:$Q$317=$A24),--ISNUMBER('Данные 2st'!$LD$2:$LD$317))</f>
        <v>4</v>
      </c>
      <c r="QA24">
        <f>SUMPRODUCT(--('Данные 2st'!$Q$2:$Q$317=$A24),--ISNUMBER('Данные 2st'!$LE$2:$LE$317))</f>
        <v>4</v>
      </c>
      <c r="QB24">
        <f>SUMPRODUCT(--('Данные 2st'!$Q$2:$Q$317=$A24),--ISNUMBER('Данные 2st'!$LF$2:$LF$317))</f>
        <v>4</v>
      </c>
      <c r="QC24">
        <f>SUMPRODUCT(--('Данные 2st'!$Q$2:$Q$317=$A24),--ISNUMBER('Данные 2st'!$LG$2:$LG$317))</f>
        <v>4</v>
      </c>
      <c r="QD24">
        <f>SUMPRODUCT(--('Данные 2st'!$Q$2:$Q$317=$A24),--ISNUMBER('Данные 2st'!$LH$2:$LH$317))</f>
        <v>4</v>
      </c>
      <c r="QE24">
        <f>SUMPRODUCT(--('Данные 2st'!$Q$2:$Q$317=$A24),--ISNUMBER('Данные 2st'!$LJ$2:$LJ$317))</f>
        <v>4</v>
      </c>
      <c r="QF24">
        <f>SUMPRODUCT(--('Данные 2st'!$Q$2:$Q$317=$A24),--ISNUMBER('Данные 2st'!$LK$2:$LK$317))</f>
        <v>4</v>
      </c>
      <c r="QG24">
        <f>SUMPRODUCT(--('Данные 2st'!$Q$2:$Q$317=$A24),--ISNUMBER('Данные 2st'!$LL$2:$LL$317))</f>
        <v>4</v>
      </c>
      <c r="QH24">
        <f>SUMPRODUCT(--('Данные 2st'!$Q$2:$Q$317=$A24),--ISNUMBER('Данные 2st'!$LM$2:$LM$317))</f>
        <v>4</v>
      </c>
      <c r="QI24">
        <f>SUMPRODUCT(--('Данные 2st'!$Q$2:$Q$317=$A24),--ISNUMBER('Данные 2st'!$LN$2:$LN$317))</f>
        <v>4</v>
      </c>
      <c r="QJ24">
        <f>SUMPRODUCT(--('Данные 2st'!$Q$2:$Q$317=$A24),--ISNUMBER('Данные 2st'!$LO$2:$LO$317))</f>
        <v>4</v>
      </c>
      <c r="QK24">
        <f>SUMPRODUCT(--('Данные 2st'!$Q$2:$Q$317=$A24),--ISNUMBER('Данные 2st'!$LP$2:$LP$317))</f>
        <v>4</v>
      </c>
      <c r="QL24">
        <f>SUMPRODUCT(--('Данные 2st'!$Q$2:$Q$317=$A24),--ISNUMBER('Данные 2st'!$LQ$2:$LQ$317))</f>
        <v>4</v>
      </c>
      <c r="QM24">
        <f>SUMPRODUCT(--('Данные 2st'!$Q$2:$Q$317=$A24),--ISNUMBER('Данные 2st'!$LW$2:$LW$317))</f>
        <v>4</v>
      </c>
      <c r="QN24">
        <f>SUMPRODUCT(--('Данные 2st'!$Q$2:$Q$317=$A24),--ISNUMBER('Данные 2st'!$LX$2:$LX$317))</f>
        <v>4</v>
      </c>
      <c r="QO24">
        <f>SUMPRODUCT(--('Данные 2st'!$Q$2:$Q$317=$A24),--ISNUMBER('Данные 2st'!$LY$2:$LY$317))</f>
        <v>4</v>
      </c>
      <c r="QP24">
        <f>SUMPRODUCT(--('Данные 2st'!$Q$2:$Q$317=$A24),--ISNUMBER('Данные 2st'!$LZ$2:$LZ$317))</f>
        <v>4</v>
      </c>
      <c r="QQ24">
        <f>SUMPRODUCT(--('Данные 2st'!$Q$2:$Q$317=$A24),--ISNUMBER('Данные 2st'!$MB$2:$MB$317))</f>
        <v>4</v>
      </c>
      <c r="QR24">
        <f>SUMPRODUCT(--('Данные 2st'!$Q$2:$Q$317=$A24),--ISNUMBER('Данные 2st'!$MG$2:$MG$317))</f>
        <v>2</v>
      </c>
      <c r="QS24">
        <f>SUMPRODUCT(--('Данные 2st'!$Q$2:$Q$317=$A24),--ISNUMBER('Данные 2st'!$MH$2:$MH$317))</f>
        <v>2</v>
      </c>
      <c r="QT24">
        <f>SUMPRODUCT(--('Данные 2st'!$Q$2:$Q$317=$A24),--ISNUMBER('Данные 2st'!$MI$2:$MI$317))</f>
        <v>4</v>
      </c>
      <c r="QU24">
        <f>SUMPRODUCT(--('Данные 2st'!$Q$2:$Q$317=$A24),--ISNUMBER('Данные 2st'!$MJ$2:$MJ$317))</f>
        <v>4</v>
      </c>
      <c r="QV24">
        <f>SUMPRODUCT(--('Данные 2st'!$Q$2:$Q$317=$A24),--ISNUMBER('Данные 2st'!$MK$2:$MK$317))</f>
        <v>2</v>
      </c>
      <c r="QW24">
        <f>SUMPRODUCT(--('Данные 2st'!$Q$2:$Q$317=$A24),--ISNUMBER('Данные 2st'!$MM$2:$MM$317))</f>
        <v>4</v>
      </c>
      <c r="QX24">
        <f>SUMPRODUCT(--('Данные 2st'!$Q$2:$Q$317=$A24),--ISNUMBER('Данные 2st'!$MQ$2:$MQ$317))</f>
        <v>0</v>
      </c>
      <c r="QY24">
        <f>SUMPRODUCT(--('Данные 2st'!$Q$2:$Q$317=$A24),--ISNUMBER('Данные 2st'!$MR$2:$MR$317))</f>
        <v>0</v>
      </c>
      <c r="QZ24">
        <f>SUMPRODUCT(--('Данные 2st'!$Q$2:$Q$317=$A24),--ISNUMBER('Данные 2st'!$MS$2:$MS$317))</f>
        <v>0</v>
      </c>
      <c r="RA24">
        <f>SUMPRODUCT(--('Данные 2st'!$Q$2:$Q$317=$A24),--ISNUMBER('Данные 2st'!$MT$2:$MT$317))</f>
        <v>0</v>
      </c>
      <c r="RB24">
        <f>SUMPRODUCT(--('Данные 2st'!$Q$2:$Q$317=$A24),--ISNUMBER('Данные 2st'!$MU$2:$MU$317))</f>
        <v>0</v>
      </c>
      <c r="RC24">
        <f>SUMPRODUCT(--('Данные 2st'!$Q$2:$Q$317=$A24),--ISNUMBER('Данные 2st'!$MV$2:$MV$317))</f>
        <v>0</v>
      </c>
      <c r="RD24">
        <f>SUMPRODUCT(--('Данные 2st'!$Q$2:$Q$317=$A24),--ISNUMBER('Данные 2st'!$MW$2:$MW$317))</f>
        <v>0</v>
      </c>
      <c r="RE24">
        <f>SUMPRODUCT(--('Данные 2st'!$Q$2:$Q$317=$A24),--ISNUMBER('Данные 2st'!$MX$2:$MX$317))</f>
        <v>0</v>
      </c>
      <c r="RF24">
        <f>SUMPRODUCT(--('Данные 2st'!$Q$2:$Q$317=$A24),--ISNUMBER('Данные 2st'!$MY$2:$MY$317))</f>
        <v>0</v>
      </c>
      <c r="RG24">
        <f>SUMPRODUCT(--('Данные 2st'!$Q$2:$Q$317=$A24),--ISNUMBER('Данные 2st'!$MZ$2:$MZ$317))</f>
        <v>0</v>
      </c>
      <c r="RH24">
        <f>SUMPRODUCT(--('Данные 2st'!$Q$2:$Q$317=$A24),--ISNUMBER('Данные 2st'!$NA$2:$NA$317))</f>
        <v>0</v>
      </c>
      <c r="RI24">
        <f>SUMPRODUCT(--('Данные 2st'!$Q$2:$Q$317=$A24),--ISNUMBER('Данные 2st'!$NB$2:$NB$317))</f>
        <v>0</v>
      </c>
      <c r="RJ24">
        <f>SUMPRODUCT(--('Данные 2st'!$Q$2:$Q$317=$A24),--ISNUMBER('Данные 2st'!$NC$2:$NC$317))</f>
        <v>0</v>
      </c>
      <c r="RK24">
        <f>SUMPRODUCT(--('Данные 2st'!$Q$2:$Q$317=$A24),--ISNUMBER('Данные 2st'!$ND$2:$ND$317))</f>
        <v>0</v>
      </c>
      <c r="RL24">
        <f>SUMPRODUCT(--('Данные 2st'!$Q$2:$Q$317=$A24),--ISNUMBER('Данные 2st'!$NE$2:$NE$317))</f>
        <v>0</v>
      </c>
      <c r="RM24">
        <f>SUMPRODUCT(--('Данные 2st'!$Q$2:$Q$317=$A24),--ISNUMBER('Данные 2st'!$NF$2:$NF$317))</f>
        <v>0</v>
      </c>
      <c r="RN24">
        <f>SUMPRODUCT(--('Данные 2st'!$Q$2:$Q$317=$A24),--ISNUMBER('Данные 2st'!$NG$2:$NG$317))</f>
        <v>0</v>
      </c>
      <c r="RO24">
        <f>SUMPRODUCT(--('Данные 2st'!$Q$2:$Q$317=$A24),--ISNUMBER('Данные 2st'!$NH$2:$NH$317))</f>
        <v>1</v>
      </c>
      <c r="RP24">
        <f>SUMPRODUCT(--('Данные 2st'!$Q$2:$Q$317=$A24),--ISNUMBER('Данные 2st'!$NJ$2:$NJ$317))</f>
        <v>1</v>
      </c>
      <c r="RQ24">
        <f>SUMPRODUCT(--('Данные 2st'!$Q$2:$Q$317=$A24),--ISNUMBER('Данные 2st'!$NK$2:$NK$317))</f>
        <v>1</v>
      </c>
      <c r="RR24">
        <f>SUMPRODUCT(--('Данные 2st'!$Q$2:$Q$317=$A24),--ISNUMBER('Данные 2st'!$NM$2:$NM$317))</f>
        <v>1</v>
      </c>
      <c r="RS24">
        <f>SUMPRODUCT(--('Данные 2st'!$Q$2:$Q$317=$A24),--ISNUMBER('Данные 2st'!$NN$2:$NN$317))</f>
        <v>0</v>
      </c>
      <c r="RT24">
        <f>SUMPRODUCT(--('Данные 2st'!$Q$2:$Q$317=$A24),--ISNUMBER('Данные 2st'!$NO$2:$NO$317))</f>
        <v>0</v>
      </c>
      <c r="RU24">
        <f>SUMPRODUCT(--('Данные 2st'!$Q$2:$Q$317=$A24),--ISNUMBER('Данные 2st'!$NP$2:$NP$317))</f>
        <v>0</v>
      </c>
      <c r="RV24">
        <f>SUMPRODUCT(--('Данные 2st'!$Q$2:$Q$317=$A24),--ISNUMBER('Данные 2st'!$NQ$2:$NQ$317))</f>
        <v>0</v>
      </c>
      <c r="RW24">
        <f>SUMPRODUCT(--('Данные 2st'!$Q$2:$Q$317=$A24),--ISNUMBER('Данные 2st'!$NR$2:$NR$317))</f>
        <v>0</v>
      </c>
      <c r="RX24">
        <f>SUMPRODUCT(--('Данные 2st'!$Q$2:$Q$317=$A24),--ISNUMBER('Данные 2st'!$NS$2:$NS$317))</f>
        <v>0</v>
      </c>
      <c r="RY24">
        <f>SUMPRODUCT(--('Данные 2st'!$Q$2:$Q$317=$A24),--ISNUMBER('Данные 2st'!$NT$2:$NT$317))</f>
        <v>0</v>
      </c>
      <c r="RZ24">
        <f>SUMPRODUCT(--('Данные 2st'!$Q$2:$Q$317=$A24),--ISNUMBER('Данные 2st'!$OK$2:$OK$317))</f>
        <v>4</v>
      </c>
      <c r="SA24">
        <f>SUMPRODUCT(--('Данные 2st'!$Q$2:$Q$317=$A24),--ISNUMBER('Данные 2st'!$OL$2:$OL$317))</f>
        <v>4</v>
      </c>
      <c r="SB24">
        <f>SUMPRODUCT(--('Данные 2st'!$Q$2:$Q$317=$A24),--ISNUMBER('Данные 2st'!$ON$2:$ON$317))</f>
        <v>4</v>
      </c>
      <c r="SC24">
        <f>SUMPRODUCT(--('Данные 2st'!$Q$2:$Q$317=$A24),--ISNUMBER('Данные 2st'!$OO$2:$OO$317))</f>
        <v>4</v>
      </c>
      <c r="SD24">
        <f>SUMPRODUCT(--('Данные 2st'!$Q$2:$Q$317=$A24),--ISNUMBER('Данные 2st'!$OP$2:$OP$317))</f>
        <v>4</v>
      </c>
      <c r="SE24">
        <f>SUMPRODUCT(--('Данные 2st'!$Q$2:$Q$317=$A24),--ISNUMBER('Данные 2st'!$OQ$2:$OQ$317))</f>
        <v>4</v>
      </c>
      <c r="SF24">
        <f>SUMPRODUCT(--('Данные 2st'!$Q$2:$Q$317=$A24),--ISNUMBER('Данные 2st'!$OS$2:$OS$317))</f>
        <v>4</v>
      </c>
      <c r="SG24">
        <f>SUMPRODUCT(--('Данные 2st'!$Q$2:$Q$317=$A24),--ISNUMBER('Данные 2st'!$OT$2:$OT$317))</f>
        <v>4</v>
      </c>
      <c r="SH24">
        <f>SUMPRODUCT(--('Данные 2st'!$Q$2:$Q$317=$A24),--ISNUMBER('Данные 2st'!$OU$2:$OU$317))</f>
        <v>4</v>
      </c>
      <c r="SI24">
        <f>SUMPRODUCT(--('Данные 2st'!$Q$2:$Q$317=$A24),--ISNUMBER('Данные 2st'!$OV$2:$OV$317))</f>
        <v>4</v>
      </c>
      <c r="SJ24">
        <f>SUMPRODUCT(--('Данные 2st'!$Q$2:$Q$317=$A24),--ISNUMBER('Данные 2st'!$OX$2:$OX$317))</f>
        <v>4</v>
      </c>
      <c r="SK24">
        <f>SUMPRODUCT(--('Данные 2st'!$Q$2:$Q$317=$A24),--ISNUMBER('Данные 2st'!$OY$2:$OY$317))</f>
        <v>4</v>
      </c>
      <c r="SL24">
        <f>SUMPRODUCT(--('Данные 2st'!$Q$2:$Q$317=$A24),--ISNUMBER('Данные 2st'!$OZ$2:$OZ$317))</f>
        <v>4</v>
      </c>
      <c r="SM24">
        <f>SUMPRODUCT(--('Данные 2st'!$Q$2:$Q$317=$A24),--ISNUMBER('Данные 2st'!$PA$2:$PA$317))</f>
        <v>4</v>
      </c>
      <c r="SN24">
        <f>SUMPRODUCT(--('Данные 2st'!$Q$2:$Q$317=$A24),--ISNUMBER('Данные 2st'!$PC$2:$PC$317))</f>
        <v>4</v>
      </c>
      <c r="SO24">
        <f>SUMPRODUCT(--('Данные 2st'!$Q$2:$Q$317=$A24),--ISNUMBER('Данные 2st'!$PD$2:$PD$317))</f>
        <v>4</v>
      </c>
      <c r="SP24">
        <f>SUMPRODUCT(--('Данные 2st'!$Q$2:$Q$317=$A24),--ISNUMBER('Данные 2st'!$PF$2:$PF$317))</f>
        <v>4</v>
      </c>
      <c r="SQ24">
        <f>SUMPRODUCT(--('Данные 2st'!$Q$2:$Q$317=$A24),--ISNUMBER('Данные 2st'!$PG$2:$PG$317))</f>
        <v>4</v>
      </c>
      <c r="SR24">
        <f>SUMPRODUCT(--('Данные 2st'!$Q$2:$Q$317=$A24),--ISNUMBER('Данные 2st'!$PH$2:$PH$317))</f>
        <v>4</v>
      </c>
      <c r="SS24">
        <f>SUMPRODUCT(--('Данные 2st'!$Q$2:$Q$317=$A24),--ISNUMBER('Данные 2st'!$PI$2:$PI$317))</f>
        <v>4</v>
      </c>
      <c r="ST24">
        <f>SUMPRODUCT(--('Данные 2st'!$Q$2:$Q$317=$A24),--ISNUMBER('Данные 2st'!$PJ$2:$PJ$317))</f>
        <v>4</v>
      </c>
      <c r="SU24">
        <f>SUMPRODUCT(--('Данные 2st'!$Q$2:$Q$317=$A24),--ISNUMBER('Данные 2st'!$PK$2:$PK$317))</f>
        <v>4</v>
      </c>
      <c r="SV24">
        <f>SUMPRODUCT(--('Данные 2st'!$Q$2:$Q$317=$A24),--ISNUMBER('Данные 2st'!$PL$2:$PL$317))</f>
        <v>4</v>
      </c>
      <c r="SW24">
        <f>SUMPRODUCT(--('Данные 2st'!$Q$2:$Q$317=$A24),--ISNUMBER('Данные 2st'!$PM$2:$PM$317))</f>
        <v>4</v>
      </c>
      <c r="SX24">
        <f>SUMPRODUCT(--('Данные 2st'!$Q$2:$Q$317=$A24),--ISNUMBER('Данные 2st'!$PN$2:$PN$317))</f>
        <v>4</v>
      </c>
      <c r="SY24">
        <f>SUMPRODUCT(--('Данные 2st'!$Q$2:$Q$317=$A24),--ISNUMBER('Данные 2st'!$PO$2:$PO$317))</f>
        <v>4</v>
      </c>
      <c r="SZ24">
        <f>SUMPRODUCT(--('Данные 2st'!$Q$2:$Q$317=$A24),--ISNUMBER('Данные 2st'!$PP$2:$PP$317))</f>
        <v>4</v>
      </c>
      <c r="TA24">
        <f>SUMPRODUCT(--('Данные 2st'!$Q$2:$Q$317=$A24),--ISNUMBER('Данные 2st'!$PQ$2:$PQ$317))</f>
        <v>4</v>
      </c>
      <c r="TB24">
        <f>SUMPRODUCT(--('Данные 2st'!$Q$2:$Q$317=$A24),--ISNUMBER('Данные 2st'!$PR$2:$PR$317))</f>
        <v>4</v>
      </c>
      <c r="TC24">
        <f>SUMPRODUCT(--('Данные 2st'!$Q$2:$Q$317=$A24),--ISNUMBER('Данные 2st'!$PS$2:$PS$317))</f>
        <v>4</v>
      </c>
      <c r="TD24">
        <f>SUMPRODUCT(--('Данные 2st'!$Q$2:$Q$317=$A24),--ISNUMBER('Данные 2st'!$PT$2:$PT$317))</f>
        <v>4</v>
      </c>
      <c r="TE24">
        <f>SUMPRODUCT(--('Данные 2st'!$Q$2:$Q$317=$A24),--ISNUMBER('Данные 2st'!$PU$2:$PU$317))</f>
        <v>4</v>
      </c>
      <c r="TF24">
        <f>SUMPRODUCT(--('Данные 2st'!$Q$2:$Q$317=$A24),--ISNUMBER('Данные 2st'!$PX$2:$PX$317))</f>
        <v>4</v>
      </c>
      <c r="TG24">
        <f>SUMPRODUCT(--('Данные 2st'!$Q$2:$Q$317=$A24),--ISNUMBER('Данные 2st'!$PY$2:$PY$317))</f>
        <v>4</v>
      </c>
      <c r="TH24">
        <f>SUMPRODUCT(--('Данные 2st'!$Q$2:$Q$317=$A24),--ISNUMBER('Данные 2st'!$PZ$2:$PZ$317))</f>
        <v>4</v>
      </c>
      <c r="TI24">
        <f>SUMPRODUCT(--('Данные 2st'!$Q$2:$Q$317=$A24),--ISNUMBER('Данные 2st'!$QA$2:$QA$317))</f>
        <v>4</v>
      </c>
      <c r="TJ24">
        <f>SUMPRODUCT(--('Данные 2st'!$Q$2:$Q$317=$A24),--ISNUMBER('Данные 2st'!$QB$2:$QB$317))</f>
        <v>4</v>
      </c>
      <c r="TK24">
        <f>SUMPRODUCT(--('Данные 2st'!$Q$2:$Q$317=$A24),--ISNUMBER('Данные 2st'!$QC$2:$QC$317))</f>
        <v>4</v>
      </c>
      <c r="TL24">
        <f>SUMPRODUCT(--('Данные 2st'!$Q$2:$Q$317=$A24),--ISNUMBER('Данные 2st'!$QD$2:$QD$317))</f>
        <v>4</v>
      </c>
      <c r="TM24">
        <f>SUMPRODUCT(--('Данные 2st'!$Q$2:$Q$317=$A24),--ISNUMBER('Данные 2st'!$QE$2:$QE$317))</f>
        <v>4</v>
      </c>
      <c r="TN24">
        <f>SUMPRODUCT(--('Данные 2st'!$Q$2:$Q$317=$A24),--ISNUMBER('Данные 2st'!$QF$2:$QF$317))</f>
        <v>4</v>
      </c>
      <c r="TO24">
        <f>SUMPRODUCT(--('Данные 2st'!$Q$2:$Q$317=$A24),--ISNUMBER('Данные 2st'!$QG$2:$QG$317))</f>
        <v>4</v>
      </c>
      <c r="TP24">
        <f>SUMPRODUCT(--('Данные 2st'!$Q$2:$Q$317=$A24),--ISNUMBER('Данные 2st'!$QH$2:$QH$317))</f>
        <v>4</v>
      </c>
      <c r="TQ24">
        <f>SUMPRODUCT(--('Данные 2st'!$Q$2:$Q$317=$A24),--ISNUMBER('Данные 2st'!$QI$2:$QI$317))</f>
        <v>4</v>
      </c>
      <c r="TR24">
        <f>SUMPRODUCT(--('Данные 2st'!$Q$2:$Q$317=$A24),--ISNUMBER('Данные 2st'!$QJ$2:$QJ$317))</f>
        <v>4</v>
      </c>
      <c r="TS24">
        <f>SUMPRODUCT(--('Данные 2st'!$Q$2:$Q$317=$A24),--ISNUMBER('Данные 2st'!$QK$2:$QK$317))</f>
        <v>4</v>
      </c>
      <c r="TT24">
        <f>SUMPRODUCT(--('Данные 2st'!$Q$2:$Q$317=$A24),--ISNUMBER('Данные 2st'!$QL$2:$QL$317))</f>
        <v>4</v>
      </c>
      <c r="TU24">
        <f>SUMPRODUCT(--('Данные 2st'!$Q$2:$Q$317=$A24),--ISNUMBER('Данные 2st'!$QM$2:$QM$317))</f>
        <v>4</v>
      </c>
      <c r="TV24">
        <f>SUMPRODUCT(--('Данные 2st'!$Q$2:$Q$317=$A24),--ISNUMBER('Данные 2st'!$QN$2:$QN$317))</f>
        <v>4</v>
      </c>
      <c r="TW24">
        <f>SUMPRODUCT(--('Данные 2st'!$Q$2:$Q$317=$A24),--ISNUMBER('Данные 2st'!$QQ$2:$QQ$317))</f>
        <v>4</v>
      </c>
      <c r="TX24">
        <f>SUMPRODUCT(--('Данные 2st'!$Q$2:$Q$317=$A24),--ISNUMBER('Данные 2st'!$QS$2:$QS$317))</f>
        <v>4</v>
      </c>
      <c r="TY24">
        <f>SUMPRODUCT(--('Данные 2st'!$Q$2:$Q$317=$A24),--ISNUMBER('Данные 2st'!$QT$2:$QT$317))</f>
        <v>4</v>
      </c>
    </row>
    <row r="25" spans="1:545" ht="32" customHeight="1">
      <c r="A25" s="11" t="str">
        <f>'По размерам'!A25</f>
        <v>215/60R16</v>
      </c>
      <c r="G25">
        <f>SUMPRODUCT(--('Данные 1st'!$S$2:$S$317=$A25),--ISNUMBER('Данные 1st'!$AE$2:$AE$317))</f>
        <v>5</v>
      </c>
      <c r="H25">
        <f>SUMPRODUCT(--('Данные 1st'!$S$2:$S$317=$A25),--ISNUMBER('Данные 1st'!$AF$2:$AF$317))</f>
        <v>5</v>
      </c>
      <c r="I25">
        <f>SUMPRODUCT(--('Данные 1st'!$S$2:$S$317=$A25),--ISNUMBER('Данные 1st'!$AJ$2:$AJ$317))</f>
        <v>5</v>
      </c>
      <c r="J25">
        <f>SUMPRODUCT(--('Данные 1st'!$S$2:$S$317=$A25),--ISNUMBER('Данные 1st'!$AL$2:$AL$317))</f>
        <v>5</v>
      </c>
      <c r="K25">
        <f>SUMPRODUCT(--('Данные 1st'!$S$2:$S$317=$A25),--ISNUMBER('Данные 1st'!$AR$2:$AR$317))</f>
        <v>5</v>
      </c>
      <c r="L25">
        <f>SUMPRODUCT(--('Данные 1st'!$S$2:$S$317=$A25),--ISNUMBER('Данные 1st'!$AS$2:$AS$317))</f>
        <v>5</v>
      </c>
      <c r="M25">
        <f>SUMPRODUCT(--('Данные 1st'!$S$2:$S$317=$A25),--ISNUMBER('Данные 1st'!$AY$2:$AY$317))</f>
        <v>5</v>
      </c>
      <c r="N25">
        <f>SUMPRODUCT(--('Данные 1st'!$S$2:$S$317=$A25),--ISNUMBER('Данные 1st'!$AZ$2:$AZ$317))</f>
        <v>5</v>
      </c>
      <c r="O25">
        <f>SUMPRODUCT(--('Данные 1st'!$S$2:$S$317=$A25),--ISNUMBER('Данные 1st'!$BF$2:$BF$317))</f>
        <v>3</v>
      </c>
      <c r="P25">
        <f>SUMPRODUCT(--('Данные 1st'!$S$2:$S$317=$A25),--ISNUMBER('Данные 1st'!$BG$2:$BG$317))</f>
        <v>5</v>
      </c>
      <c r="Q25">
        <f>SUMPRODUCT(--('Данные 1st'!$S$2:$S$317=$A25),--ISNUMBER('Данные 1st'!$BM$2:$BM$317))</f>
        <v>0</v>
      </c>
      <c r="R25">
        <f>SUMPRODUCT(--('Данные 1st'!$S$2:$S$317=$A25),--ISNUMBER('Данные 1st'!$BN$2:$BN$317))</f>
        <v>5</v>
      </c>
      <c r="S25">
        <f>SUMPRODUCT(--('Данные 1st'!$S$2:$S$317=$A25),--ISNUMBER('Данные 1st'!$BT$2:$BT$317))</f>
        <v>5</v>
      </c>
      <c r="T25">
        <f>SUMPRODUCT(--('Данные 1st'!$S$2:$S$317=$A25),--ISNUMBER('Данные 1st'!$BU$2:$BU$317))</f>
        <v>5</v>
      </c>
      <c r="U25">
        <f>SUMPRODUCT(--('Данные 1st'!$S$2:$S$317=$A25),--ISNUMBER('Данные 1st'!$BW$2:$BW$317))</f>
        <v>5</v>
      </c>
      <c r="V25">
        <f>SUMPRODUCT(--('Данные 1st'!$S$2:$S$317=$A25),--ISNUMBER('Данные 1st'!$BX$2:$BX$317))</f>
        <v>5</v>
      </c>
      <c r="W25">
        <f>SUMPRODUCT(--('Данные 1st'!$S$2:$S$317=$A25),--ISNUMBER('Данные 1st'!$BZ$2:$BZ$317))</f>
        <v>5</v>
      </c>
      <c r="X25">
        <f>SUMPRODUCT(--('Данные 1st'!$S$2:$S$317=$A25),--ISNUMBER('Данные 1st'!$CA$2:$CA$317))</f>
        <v>5</v>
      </c>
      <c r="Y25">
        <f>SUMPRODUCT(--('Данные 1st'!$S$2:$S$317=$A25),--ISNUMBER('Данные 1st'!$CD$2:$CD$317))</f>
        <v>5</v>
      </c>
      <c r="Z25">
        <f>SUMPRODUCT(--('Данные 1st'!$S$2:$S$317=$A25),--ISNUMBER('Данные 1st'!$CF$2:$CF$317))</f>
        <v>5</v>
      </c>
      <c r="AA25">
        <f>SUMPRODUCT(--('Данные 1st'!$S$2:$S$317=$A25),--ISNUMBER('Данные 1st'!$CI$2:$CI$317))</f>
        <v>5</v>
      </c>
      <c r="AB25">
        <f>SUMPRODUCT(--('Данные 1st'!$S$2:$S$317=$A25),--ISNUMBER('Данные 1st'!$CJ$2:$CJ$317))</f>
        <v>5</v>
      </c>
      <c r="AC25">
        <f>SUMPRODUCT(--('Данные 1st'!$S$2:$S$317=$A25),--ISNUMBER('Данные 1st'!$CK$2:$CK$317))</f>
        <v>5</v>
      </c>
      <c r="AD25">
        <f>SUMPRODUCT(--('Данные 1st'!$S$2:$S$317=$A25),--ISNUMBER('Данные 1st'!$CL$2:$CL$317))</f>
        <v>5</v>
      </c>
      <c r="AE25">
        <f>SUMPRODUCT(--('Данные 1st'!$S$2:$S$317=$A25),--ISNUMBER('Данные 1st'!$CM$2:$CM$317))</f>
        <v>5</v>
      </c>
      <c r="AF25">
        <f>SUMPRODUCT(--('Данные 1st'!$S$2:$S$317=$A25),--ISNUMBER('Данные 1st'!$CT$2:$CT$317))</f>
        <v>5</v>
      </c>
      <c r="AG25">
        <f>SUMPRODUCT(--('Данные 1st'!$S$2:$S$317=$A25),--ISNUMBER('Данные 1st'!$CU$2:$CU$317))</f>
        <v>5</v>
      </c>
      <c r="AH25">
        <f>SUMPRODUCT(--('Данные 1st'!$S$2:$S$317=$A25),--ISNUMBER('Данные 1st'!$CV$2:$CV$317))</f>
        <v>5</v>
      </c>
      <c r="AI25">
        <f>SUMPRODUCT(--('Данные 1st'!$S$2:$S$317=$A25),--ISNUMBER('Данные 1st'!$CW$2:$CW$317))</f>
        <v>5</v>
      </c>
      <c r="AJ25">
        <f>SUMPRODUCT(--('Данные 1st'!$S$2:$S$317=$A25),--ISNUMBER('Данные 1st'!$CX$2:$CX$317))</f>
        <v>5</v>
      </c>
      <c r="AK25">
        <f>SUMPRODUCT(--('Данные 1st'!$S$2:$S$317=$A25),--ISNUMBER('Данные 1st'!$CZ$2:$CZ$317))</f>
        <v>0</v>
      </c>
      <c r="AL25">
        <f>SUMPRODUCT(--('Данные 1st'!$S$2:$S$317=$A25),--ISNUMBER('Данные 1st'!$DA$2:$DA$317))</f>
        <v>0</v>
      </c>
      <c r="AM25">
        <f>SUMPRODUCT(--('Данные 1st'!$S$2:$S$317=$A25),--ISNUMBER('Данные 1st'!$DB$2:$DB$317))</f>
        <v>0</v>
      </c>
      <c r="AN25">
        <f>SUMPRODUCT(--('Данные 1st'!$S$2:$S$317=$A25),--ISNUMBER('Данные 1st'!$DC$2:$DC$317))</f>
        <v>0</v>
      </c>
      <c r="AO25">
        <f>SUMPRODUCT(--('Данные 1st'!$S$2:$S$317=$A25),--ISNUMBER('Данные 1st'!$DD$2:$DD$317))</f>
        <v>5</v>
      </c>
      <c r="AP25">
        <f>SUMPRODUCT(--('Данные 1st'!$S$2:$S$317=$A25),--ISNUMBER('Данные 1st'!$DF$2:$DF$317))</f>
        <v>5</v>
      </c>
      <c r="AQ25">
        <f>SUMPRODUCT(--('Данные 1st'!$S$2:$S$317=$A25),--ISNUMBER('Данные 1st'!$DG$2:$DG$317))</f>
        <v>5</v>
      </c>
      <c r="AR25">
        <f>SUMPRODUCT(--('Данные 1st'!$S$2:$S$317=$A25),--ISNUMBER('Данные 1st'!$DH$2:$DH$317))</f>
        <v>5</v>
      </c>
      <c r="AS25">
        <f>SUMPRODUCT(--('Данные 1st'!$S$2:$S$317=$A25),--ISNUMBER('Данные 1st'!$DI$2:$DI$317))</f>
        <v>5</v>
      </c>
      <c r="AT25">
        <f>SUMPRODUCT(--('Данные 1st'!$S$2:$S$317=$A25),--ISNUMBER('Данные 1st'!$DJ$2:$DJ$317))</f>
        <v>5</v>
      </c>
      <c r="AU25">
        <f>SUMPRODUCT(--('Данные 1st'!$S$2:$S$317=$A25),--ISNUMBER('Данные 1st'!$DL$2:$DL$317))</f>
        <v>3</v>
      </c>
      <c r="AV25">
        <f>SUMPRODUCT(--('Данные 1st'!$S$2:$S$317=$A25),--ISNUMBER('Данные 1st'!$DM$2:$DM$317))</f>
        <v>3</v>
      </c>
      <c r="AW25">
        <f>SUMPRODUCT(--('Данные 1st'!$S$2:$S$317=$A25),--ISNUMBER('Данные 1st'!$DN$2:$DN$317))</f>
        <v>3</v>
      </c>
      <c r="AX25">
        <f>SUMPRODUCT(--('Данные 1st'!$S$2:$S$317=$A25),--ISNUMBER('Данные 1st'!$DO$2:$DO$317))</f>
        <v>3</v>
      </c>
      <c r="AY25">
        <f>SUMPRODUCT(--('Данные 1st'!$S$2:$S$317=$A25),--ISNUMBER('Данные 1st'!$DP$2:$DP$317))</f>
        <v>3</v>
      </c>
      <c r="AZ25">
        <f>SUMPRODUCT(--('Данные 1st'!$S$2:$S$317=$A25),--ISNUMBER('Данные 1st'!$DR$2:$DR$317))</f>
        <v>0</v>
      </c>
      <c r="BA25">
        <f>SUMPRODUCT(--('Данные 1st'!$S$2:$S$317=$A25),--ISNUMBER('Данные 1st'!$DS$2:$DS$317))</f>
        <v>0</v>
      </c>
      <c r="BB25">
        <f>SUMPRODUCT(--('Данные 1st'!$S$2:$S$317=$A25),--ISNUMBER('Данные 1st'!$DT$2:$DT$317))</f>
        <v>0</v>
      </c>
      <c r="BC25">
        <f>SUMPRODUCT(--('Данные 1st'!$S$2:$S$317=$A25),--ISNUMBER('Данные 1st'!$DU$2:$DU$317))</f>
        <v>0</v>
      </c>
      <c r="BD25">
        <f>SUMPRODUCT(--('Данные 1st'!$S$2:$S$317=$A25),--ISNUMBER('Данные 1st'!$DV$2:$DV$317))</f>
        <v>0</v>
      </c>
      <c r="BE25">
        <f>SUMPRODUCT(--('Данные 1st'!$S$2:$S$317=$A25),--ISNUMBER('Данные 1st'!$DX$2:$DX$317))</f>
        <v>5</v>
      </c>
      <c r="BF25">
        <f>SUMPRODUCT(--('Данные 1st'!$S$2:$S$317=$A25),--ISNUMBER('Данные 1st'!$EA$2:$EA$317))</f>
        <v>5</v>
      </c>
      <c r="BG25">
        <f>SUMPRODUCT(--('Данные 1st'!$S$2:$S$317=$A25),--ISNUMBER('Данные 1st'!$EB$2:$EB$317))</f>
        <v>5</v>
      </c>
      <c r="BH25">
        <f>SUMPRODUCT(--('Данные 1st'!$S$2:$S$317=$A25),--ISNUMBER('Данные 1st'!$ED$2:$ED$317))</f>
        <v>5</v>
      </c>
      <c r="BI25">
        <f>SUMPRODUCT(--('Данные 1st'!$S$2:$S$317=$A25),--ISNUMBER('Данные 1st'!$EE$2:$EE$317))</f>
        <v>5</v>
      </c>
      <c r="BJ25">
        <f>SUMPRODUCT(--('Данные 1st'!$S$2:$S$317=$A25),--ISNUMBER('Данные 1st'!$EG$2:$EG$317))</f>
        <v>5</v>
      </c>
      <c r="BK25">
        <f>SUMPRODUCT(--('Данные 1st'!$S$2:$S$317=$A25),--ISNUMBER('Данные 1st'!$EH$2:$EH$317))</f>
        <v>5</v>
      </c>
      <c r="BL25">
        <f>SUMPRODUCT(--('Данные 1st'!$S$2:$S$317=$A25),--ISNUMBER('Данные 1st'!$EJ$2:$EJ$317))</f>
        <v>5</v>
      </c>
      <c r="BM25">
        <f>SUMPRODUCT(--('Данные 1st'!$S$2:$S$317=$A25),--ISNUMBER('Данные 1st'!$EK$2:$EK$317))</f>
        <v>5</v>
      </c>
      <c r="BN25">
        <f>SUMPRODUCT(--('Данные 1st'!$S$2:$S$317=$A25),--ISNUMBER('Данные 1st'!$EN$2:$EN$317))</f>
        <v>5</v>
      </c>
      <c r="BO25">
        <f>SUMPRODUCT(--('Данные 1st'!$S$2:$S$317=$A25),--ISNUMBER('Данные 1st'!$EQ$2:$EQ$317))</f>
        <v>5</v>
      </c>
      <c r="BP25">
        <f>SUMPRODUCT(--('Данные 1st'!$S$2:$S$317=$A25),--ISNUMBER('Данные 1st'!$ER$2:$ER$317))</f>
        <v>5</v>
      </c>
      <c r="BQ25">
        <f>SUMPRODUCT(--('Данные 1st'!$S$2:$S$317=$A25),--ISNUMBER('Данные 1st'!$ES$2:$ES$317))</f>
        <v>5</v>
      </c>
      <c r="BR25">
        <f>SUMPRODUCT(--('Данные 1st'!$S$2:$S$317=$A25),--ISNUMBER('Данные 1st'!$ET$2:$ET$317))</f>
        <v>5</v>
      </c>
      <c r="BS25">
        <f>SUMPRODUCT(--('Данные 1st'!$S$2:$S$317=$A25),--ISNUMBER('Данные 1st'!$EU$2:$EU$317))</f>
        <v>5</v>
      </c>
      <c r="BT25">
        <f>SUMPRODUCT(--('Данные 1st'!$S$2:$S$317=$A25),--ISNUMBER('Данные 1st'!$EV$2:$EV$317))</f>
        <v>5</v>
      </c>
      <c r="BU25">
        <f>SUMPRODUCT(--('Данные 1st'!$S$2:$S$317=$A25),--ISNUMBER('Данные 1st'!$EX$2:$EX$317))</f>
        <v>5</v>
      </c>
      <c r="BV25">
        <f>SUMPRODUCT(--('Данные 1st'!$S$2:$S$317=$A25),--ISNUMBER('Данные 1st'!$EY$2:$EY$317))</f>
        <v>5</v>
      </c>
      <c r="BW25">
        <f>SUMPRODUCT(--('Данные 1st'!$S$2:$S$317=$A25),--ISNUMBER('Данные 1st'!$EZ$2:$EZ$317))</f>
        <v>5</v>
      </c>
      <c r="BX25">
        <f>SUMPRODUCT(--('Данные 1st'!$S$2:$S$317=$A25),--ISNUMBER('Данные 1st'!$FA$2:$FA$317))</f>
        <v>5</v>
      </c>
      <c r="BY25">
        <f>SUMPRODUCT(--('Данные 1st'!$S$2:$S$317=$A25),--ISNUMBER('Данные 1st'!$FB$2:$FB$317))</f>
        <v>5</v>
      </c>
      <c r="BZ25">
        <f>SUMPRODUCT(--('Данные 1st'!$S$2:$S$317=$A25),--ISNUMBER('Данные 1st'!$FC$2:$FC$317))</f>
        <v>5</v>
      </c>
      <c r="CA25">
        <f>SUMPRODUCT(--('Данные 1st'!$S$2:$S$317=$A25),--ISNUMBER('Данные 1st'!$FE$2:$FE$317))</f>
        <v>5</v>
      </c>
      <c r="CB25">
        <f>SUMPRODUCT(--('Данные 1st'!$S$2:$S$317=$A25),--ISNUMBER('Данные 1st'!$FF$2:$FF$317))</f>
        <v>5</v>
      </c>
      <c r="CC25">
        <f>SUMPRODUCT(--('Данные 1st'!$S$2:$S$317=$A25),--ISNUMBER('Данные 1st'!$FI$2:$FI$317))</f>
        <v>5</v>
      </c>
      <c r="CD25">
        <f>SUMPRODUCT(--('Данные 1st'!$S$2:$S$317=$A25),--ISNUMBER('Данные 1st'!$FL$2:$FL$317))</f>
        <v>5</v>
      </c>
      <c r="CE25">
        <f>SUMPRODUCT(--('Данные 1st'!$S$2:$S$317=$A25),--ISNUMBER('Данные 1st'!$FM$2:$FM$317))</f>
        <v>5</v>
      </c>
      <c r="CF25">
        <f>SUMPRODUCT(--('Данные 1st'!$S$2:$S$317=$A25),--ISNUMBER('Данные 1st'!$FN$2:$FN$317))</f>
        <v>5</v>
      </c>
      <c r="CG25">
        <f>SUMPRODUCT(--('Данные 1st'!$S$2:$S$317=$A25),--ISNUMBER('Данные 1st'!$FO$2:$FO$317))</f>
        <v>0</v>
      </c>
      <c r="CH25">
        <f>SUMPRODUCT(--('Данные 1st'!$S$2:$S$317=$A25),--ISNUMBER('Данные 1st'!$FP$2:$FP$317))</f>
        <v>0</v>
      </c>
      <c r="CI25">
        <f>SUMPRODUCT(--('Данные 1st'!$S$2:$S$317=$A25),--ISNUMBER('Данные 1st'!$FS$2:$FS$317))</f>
        <v>2</v>
      </c>
      <c r="CJ25">
        <f>SUMPRODUCT(--('Данные 1st'!$S$2:$S$317=$A25),--ISNUMBER('Данные 1st'!$FT$2:$FT$317))</f>
        <v>2</v>
      </c>
      <c r="CK25">
        <f>SUMPRODUCT(--('Данные 1st'!$S$2:$S$317=$A25),--ISNUMBER('Данные 1st'!$FU$2:$FU$317))</f>
        <v>2</v>
      </c>
      <c r="CL25">
        <f>SUMPRODUCT(--('Данные 1st'!$S$2:$S$317=$A25),--ISNUMBER('Данные 1st'!$FV$2:$FV$317))</f>
        <v>0</v>
      </c>
      <c r="CM25">
        <f>SUMPRODUCT(--('Данные 1st'!$S$2:$S$317=$A25),--ISNUMBER('Данные 1st'!$FW$2:$FW$317))</f>
        <v>0</v>
      </c>
      <c r="CN25">
        <f>SUMPRODUCT(--('Данные 1st'!$S$2:$S$317=$A25),--ISNUMBER('Данные 1st'!$FZ$2:$FZ$317))</f>
        <v>0</v>
      </c>
      <c r="CO25">
        <f>SUMPRODUCT(--('Данные 1st'!$S$2:$S$317=$A25),--ISNUMBER('Данные 1st'!$GA$2:$GA$317))</f>
        <v>0</v>
      </c>
      <c r="CP25">
        <f>SUMPRODUCT(--('Данные 1st'!$S$2:$S$317=$A25),--ISNUMBER('Данные 1st'!$GB$2:$GB$317))</f>
        <v>0</v>
      </c>
      <c r="CQ25">
        <f>SUMPRODUCT(--('Данные 1st'!$S$2:$S$317=$A25),--ISNUMBER('Данные 1st'!$GH$2:$GH$317))</f>
        <v>0</v>
      </c>
      <c r="CR25">
        <f>SUMPRODUCT(--('Данные 1st'!$S$2:$S$317=$A25),--ISNUMBER('Данные 1st'!$GI$2:$GI$317))</f>
        <v>0</v>
      </c>
      <c r="CS25">
        <f>SUMPRODUCT(--('Данные 1st'!$S$2:$S$317=$A25),--ISNUMBER('Данные 1st'!$GJ$2:$GJ$317))</f>
        <v>0</v>
      </c>
      <c r="CT25">
        <f>SUMPRODUCT(--('Данные 1st'!$S$2:$S$317=$A25),--ISNUMBER('Данные 1st'!$GS$2:$GS$317))</f>
        <v>3</v>
      </c>
      <c r="CU25">
        <f>SUMPRODUCT(--('Данные 1st'!$S$2:$S$317=$A25),--ISNUMBER('Данные 1st'!$GT$2:$GT$317))</f>
        <v>3</v>
      </c>
      <c r="CV25">
        <f>SUMPRODUCT(--('Данные 1st'!$S$2:$S$317=$A25),--ISNUMBER('Данные 1st'!$GU$2:$GU$317))</f>
        <v>3</v>
      </c>
      <c r="CW25">
        <f>SUMPRODUCT(--('Данные 1st'!$S$2:$S$317=$A25),--ISNUMBER('Данные 1st'!$GV$2:$GV$317))</f>
        <v>3</v>
      </c>
      <c r="CX25">
        <f>SUMPRODUCT(--('Данные 1st'!$S$2:$S$317=$A25),--ISNUMBER('Данные 1st'!$GW$2:$GW$317))</f>
        <v>3</v>
      </c>
      <c r="CY25">
        <f>SUMPRODUCT(--('Данные 1st'!$S$2:$S$317=$A25),--ISNUMBER('Данные 1st'!$GZ$2:$GZ$317))</f>
        <v>0</v>
      </c>
      <c r="CZ25">
        <f>SUMPRODUCT(--('Данные 1st'!$S$2:$S$317=$A25),--ISNUMBER('Данные 1st'!$HA$2:$HA$317))</f>
        <v>0</v>
      </c>
      <c r="DA25">
        <f>SUMPRODUCT(--('Данные 1st'!$S$2:$S$317=$A25),--ISNUMBER('Данные 1st'!$HB$2:$HB$317))</f>
        <v>0</v>
      </c>
      <c r="DB25">
        <f>SUMPRODUCT(--('Данные 1st'!$S$2:$S$317=$A25),--ISNUMBER('Данные 1st'!$HC$2:$HC$317))</f>
        <v>5</v>
      </c>
      <c r="DC25">
        <f>SUMPRODUCT(--('Данные 1st'!$S$2:$S$317=$A25),--ISNUMBER('Данные 1st'!$HD$2:$HD$317))</f>
        <v>5</v>
      </c>
      <c r="DD25">
        <f>SUMPRODUCT(--('Данные 1st'!$S$2:$S$317=$A25),--ISNUMBER('Данные 1st'!$HE$2:$HE$317))</f>
        <v>5</v>
      </c>
      <c r="DE25">
        <f>SUMPRODUCT(--('Данные 1st'!$S$2:$S$317=$A25),--ISNUMBER('Данные 1st'!$HF$2:$HF$317))</f>
        <v>5</v>
      </c>
      <c r="DF25">
        <f>SUMPRODUCT(--('Данные 1st'!$S$2:$S$317=$A25),--ISNUMBER('Данные 1st'!$HG$2:$HG$317))</f>
        <v>5</v>
      </c>
      <c r="DG25">
        <f>SUMPRODUCT(--('Данные 1st'!$S$2:$S$317=$A25),--ISNUMBER('Данные 1st'!$HH$2:$HH$317))</f>
        <v>5</v>
      </c>
      <c r="DH25">
        <f>SUMPRODUCT(--('Данные 1st'!$S$2:$S$317=$A25),--ISNUMBER('Данные 1st'!$HI$2:$HI$317))</f>
        <v>5</v>
      </c>
      <c r="DI25">
        <f>SUMPRODUCT(--('Данные 1st'!$S$2:$S$317=$A25),--ISNUMBER('Данные 1st'!$HJ$2:$HJ$317))</f>
        <v>5</v>
      </c>
      <c r="DJ25">
        <f>SUMPRODUCT(--('Данные 1st'!$S$2:$S$317=$A25),--ISNUMBER('Данные 1st'!$HK$2:$HK$317))</f>
        <v>5</v>
      </c>
      <c r="DK25">
        <f>SUMPRODUCT(--('Данные 1st'!$S$2:$S$317=$A25),--ISNUMBER('Данные 1st'!$HL$2:$HL$317))</f>
        <v>5</v>
      </c>
      <c r="DL25">
        <f>SUMPRODUCT(--('Данные 1st'!$S$2:$S$317=$A25),--ISNUMBER('Данные 1st'!$HM$2:$HM$317))</f>
        <v>5</v>
      </c>
      <c r="DM25">
        <f>SUMPRODUCT(--('Данные 1st'!$S$2:$S$317=$A25),--ISNUMBER('Данные 1st'!$HN$2:$HN$317))</f>
        <v>5</v>
      </c>
      <c r="DN25">
        <f>SUMPRODUCT(--('Данные 1st'!$S$2:$S$317=$A25),--ISNUMBER('Данные 1st'!$HO$2:$HO$317))</f>
        <v>5</v>
      </c>
      <c r="DO25">
        <f>SUMPRODUCT(--('Данные 1st'!$S$2:$S$317=$A25),--ISNUMBER('Данные 1st'!$HP$2:$HP$317))</f>
        <v>5</v>
      </c>
      <c r="DP25">
        <f>SUMPRODUCT(--('Данные 1st'!$S$2:$S$317=$A25),--ISNUMBER('Данные 1st'!$HQ$2:$HQ$317))</f>
        <v>5</v>
      </c>
      <c r="DQ25">
        <f>SUMPRODUCT(--('Данные 1st'!$S$2:$S$317=$A25),--ISNUMBER('Данные 1st'!$HR$2:$HR$317))</f>
        <v>5</v>
      </c>
      <c r="DR25">
        <f>SUMPRODUCT(--('Данные 1st'!$S$2:$S$317=$A25),--ISNUMBER('Данные 1st'!$HS$2:$HS$317))</f>
        <v>5</v>
      </c>
      <c r="DS25">
        <f>SUMPRODUCT(--('Данные 1st'!$S$2:$S$317=$A25),--ISNUMBER('Данные 1st'!$HT$2:$HT$317))</f>
        <v>5</v>
      </c>
      <c r="DT25">
        <f>SUMPRODUCT(--('Данные 1st'!$S$2:$S$317=$A25),--ISNUMBER('Данные 1st'!$HU$2:$HU$317))</f>
        <v>5</v>
      </c>
      <c r="DU25">
        <f>SUMPRODUCT(--('Данные 1st'!$S$2:$S$317=$A25),--ISNUMBER('Данные 1st'!$HW$2:$HW$317))</f>
        <v>5</v>
      </c>
      <c r="DV25">
        <f>SUMPRODUCT(--('Данные 1st'!$S$2:$S$317=$A25),--ISNUMBER('Данные 1st'!$HX$2:$HX$317))</f>
        <v>5</v>
      </c>
      <c r="DW25">
        <f>SUMPRODUCT(--('Данные 1st'!$S$2:$S$317=$A25),--ISNUMBER('Данные 1st'!$HY$2:$HY$317))</f>
        <v>5</v>
      </c>
      <c r="DX25">
        <f>SUMPRODUCT(--('Данные 1st'!$S$2:$S$317=$A25),--ISNUMBER('Данные 1st'!$IA$2:$IA$317))</f>
        <v>5</v>
      </c>
      <c r="DY25">
        <f>SUMPRODUCT(--('Данные 1st'!$S$2:$S$317=$A25),--ISNUMBER('Данные 1st'!$IB$2:$IB$317))</f>
        <v>5</v>
      </c>
      <c r="DZ25">
        <f>SUMPRODUCT(--('Данные 1st'!$S$2:$S$317=$A25),--ISNUMBER('Данные 1st'!$IC$2:$IC$317))</f>
        <v>5</v>
      </c>
      <c r="EA25">
        <f>SUMPRODUCT(--('Данные 1st'!$S$2:$S$317=$A25),--ISNUMBER('Данные 1st'!$ID$2:$ID$317))</f>
        <v>5</v>
      </c>
      <c r="EB25">
        <f>SUMPRODUCT(--('Данные 1st'!$S$2:$S$317=$A25),--ISNUMBER('Данные 1st'!$IE$2:$IE$317))</f>
        <v>5</v>
      </c>
      <c r="EC25">
        <f>SUMPRODUCT(--('Данные 1st'!$S$2:$S$317=$A25),--ISNUMBER('Данные 1st'!$IF$2:$IF$317))</f>
        <v>5</v>
      </c>
      <c r="ED25">
        <f>SUMPRODUCT(--('Данные 1st'!$S$2:$S$317=$A25),--ISNUMBER('Данные 1st'!$IP$2:$IP$317))</f>
        <v>5</v>
      </c>
      <c r="EE25">
        <f>SUMPRODUCT(--('Данные 1st'!$S$2:$S$317=$A25),--ISNUMBER('Данные 1st'!$IV$2:$IV$317))</f>
        <v>5</v>
      </c>
      <c r="EF25">
        <f>SUMPRODUCT(--('Данные 1st'!$S$2:$S$317=$A25),--ISNUMBER('Данные 1st'!$IW$2:$IW$317))</f>
        <v>5</v>
      </c>
      <c r="EG25">
        <f>SUMPRODUCT(--('Данные 1st'!$S$2:$S$317=$A25),--ISNUMBER('Данные 1st'!$IX$2:$IX$317))</f>
        <v>0</v>
      </c>
      <c r="EH25">
        <f>SUMPRODUCT(--('Данные 1st'!$S$2:$S$317=$A25),--ISNUMBER('Данные 1st'!$IY$2:$IY$317))</f>
        <v>0</v>
      </c>
      <c r="EI25">
        <f>SUMPRODUCT(--('Данные 1st'!$S$2:$S$317=$A25),--ISNUMBER('Данные 1st'!$JD$2:$JD$317))</f>
        <v>5</v>
      </c>
      <c r="EJ25">
        <f>SUMPRODUCT(--('Данные 1st'!$S$2:$S$317=$A25),--ISNUMBER('Данные 1st'!$JE$2:$JE$317))</f>
        <v>5</v>
      </c>
      <c r="EK25">
        <f>SUMPRODUCT(--('Данные 1st'!$S$2:$S$317=$A25),--ISNUMBER('Данные 1st'!$JF$2:$JF$317))</f>
        <v>5</v>
      </c>
      <c r="EL25">
        <f>SUMPRODUCT(--('Данные 1st'!$S$2:$S$317=$A25),--ISNUMBER('Данные 1st'!$JG$2:$JG$317))</f>
        <v>5</v>
      </c>
      <c r="EM25">
        <f>SUMPRODUCT(--('Данные 1st'!$S$2:$S$317=$A25),--ISNUMBER('Данные 1st'!$JH$2:$JH$317))</f>
        <v>5</v>
      </c>
      <c r="EN25">
        <f>SUMPRODUCT(--('Данные 1st'!$S$2:$S$317=$A25),--ISNUMBER('Данные 1st'!$JJ$2:$JJ$317))</f>
        <v>5</v>
      </c>
      <c r="EO25">
        <f>SUMPRODUCT(--('Данные 1st'!$S$2:$S$317=$A25),--ISNUMBER('Данные 1st'!$JK$2:$JK$317))</f>
        <v>5</v>
      </c>
      <c r="EP25">
        <f>SUMPRODUCT(--('Данные 1st'!$S$2:$S$317=$A25),--ISNUMBER('Данные 1st'!$JL$2:$JL$317))</f>
        <v>0</v>
      </c>
      <c r="EQ25">
        <f>SUMPRODUCT(--('Данные 1st'!$S$2:$S$317=$A25),--ISNUMBER('Данные 1st'!$JM$2:$JM$317))</f>
        <v>0</v>
      </c>
      <c r="ER25">
        <f>SUMPRODUCT(--('Данные 1st'!$S$2:$S$317=$A25),--ISNUMBER('Данные 1st'!$JN$2:$JN$317))</f>
        <v>5</v>
      </c>
      <c r="ES25">
        <f>SUMPRODUCT(--('Данные 1st'!$S$2:$S$317=$A25),--ISNUMBER('Данные 1st'!$JO$2:$JO$317))</f>
        <v>5</v>
      </c>
      <c r="ET25">
        <f>SUMPRODUCT(--('Данные 1st'!$S$2:$S$317=$A25),--ISNUMBER('Данные 1st'!$JP$2:$JP$317))</f>
        <v>5</v>
      </c>
      <c r="EU25">
        <f>SUMPRODUCT(--('Данные 1st'!$S$2:$S$317=$A25),--ISNUMBER('Данные 1st'!$JQ$2:$JQ$317))</f>
        <v>5</v>
      </c>
      <c r="EV25">
        <f>SUMPRODUCT(--('Данные 1st'!$S$2:$S$317=$A25),--ISNUMBER('Данные 1st'!$JR$2:$JR$317))</f>
        <v>5</v>
      </c>
      <c r="EW25">
        <f>SUMPRODUCT(--('Данные 1st'!$S$2:$S$317=$A25),--ISNUMBER('Данные 1st'!$JS$2:$JS$317))</f>
        <v>5</v>
      </c>
      <c r="EX25">
        <f>SUMPRODUCT(--('Данные 1st'!$S$2:$S$317=$A25),--ISNUMBER('Данные 1st'!$JT$2:$JT$317))</f>
        <v>0</v>
      </c>
      <c r="EY25">
        <f>SUMPRODUCT(--('Данные 1st'!$S$2:$S$317=$A25),--ISNUMBER('Данные 1st'!$JU$2:$JU$317))</f>
        <v>0</v>
      </c>
      <c r="EZ25">
        <f>SUMPRODUCT(--('Данные 1st'!$S$2:$S$317=$A25),--ISNUMBER('Данные 1st'!$JV$2:$JV$317))</f>
        <v>5</v>
      </c>
      <c r="FA25">
        <f>SUMPRODUCT(--('Данные 1st'!$S$2:$S$317=$A25),--ISNUMBER('Данные 1st'!$JW$2:$JW$317))</f>
        <v>0</v>
      </c>
      <c r="FB25">
        <f>SUMPRODUCT(--('Данные 1st'!$S$2:$S$317=$A25),--ISNUMBER('Данные 1st'!$JX$2:$JX$317))</f>
        <v>5</v>
      </c>
      <c r="FC25">
        <f>SUMPRODUCT(--('Данные 1st'!$S$2:$S$317=$A25),--ISNUMBER('Данные 1st'!$JY$2:$JY$317))</f>
        <v>0</v>
      </c>
      <c r="FD25">
        <f>SUMPRODUCT(--('Данные 1st'!$S$2:$S$317=$A25),--ISNUMBER('Данные 1st'!$JZ$2:$JZ$317))</f>
        <v>0</v>
      </c>
      <c r="FE25">
        <f>SUMPRODUCT(--('Данные 1st'!$S$2:$S$317=$A25),--ISNUMBER('Данные 1st'!$KA$2:$KA$317))</f>
        <v>5</v>
      </c>
      <c r="FF25">
        <f>SUMPRODUCT(--('Данные 1st'!$S$2:$S$317=$A25),--ISNUMBER('Данные 1st'!$KB$2:$KB$317))</f>
        <v>5</v>
      </c>
      <c r="FG25">
        <f>SUMPRODUCT(--('Данные 1st'!$S$2:$S$317=$A25),--ISNUMBER('Данные 1st'!$KC$2:$KC$317))</f>
        <v>5</v>
      </c>
      <c r="FH25">
        <f>SUMPRODUCT(--('Данные 1st'!$S$2:$S$317=$A25),--ISNUMBER('Данные 1st'!$KD$2:$KD$317))</f>
        <v>5</v>
      </c>
      <c r="FI25">
        <f>SUMPRODUCT(--('Данные 1st'!$S$2:$S$317=$A25),--ISNUMBER('Данные 1st'!$KE$2:$KE$317))</f>
        <v>0</v>
      </c>
      <c r="FJ25">
        <f>SUMPRODUCT(--('Данные 1st'!$S$2:$S$317=$A25),--ISNUMBER('Данные 1st'!$KF$2:$KF$317))</f>
        <v>5</v>
      </c>
      <c r="FK25">
        <f>SUMPRODUCT(--('Данные 1st'!$S$2:$S$317=$A25),--ISNUMBER('Данные 1st'!$KG$2:$KG$317))</f>
        <v>5</v>
      </c>
      <c r="FL25">
        <f>SUMPRODUCT(--('Данные 1st'!$S$2:$S$317=$A25),--ISNUMBER('Данные 1st'!$KH$2:$KH$317))</f>
        <v>5</v>
      </c>
      <c r="FM25">
        <f>SUMPRODUCT(--('Данные 1st'!$S$2:$S$317=$A25),--ISNUMBER('Данные 1st'!$KI$2:$KI$317))</f>
        <v>5</v>
      </c>
      <c r="FN25">
        <f>SUMPRODUCT(--('Данные 1st'!$S$2:$S$317=$A25),--ISNUMBER('Данные 1st'!$KJ$2:$KJ$317))</f>
        <v>5</v>
      </c>
      <c r="FO25">
        <f>SUMPRODUCT(--('Данные 1st'!$S$2:$S$317=$A25),--ISNUMBER('Данные 1st'!$KK$2:$KK$317))</f>
        <v>5</v>
      </c>
      <c r="FP25">
        <f>SUMPRODUCT(--('Данные 1st'!$S$2:$S$317=$A25),--ISNUMBER('Данные 1st'!$KL$2:$KL$317))</f>
        <v>5</v>
      </c>
      <c r="FQ25">
        <f>SUMPRODUCT(--('Данные 1st'!$S$2:$S$317=$A25),--ISNUMBER('Данные 1st'!$KM$2:$KM$317))</f>
        <v>5</v>
      </c>
      <c r="FR25">
        <f>SUMPRODUCT(--('Данные 1st'!$S$2:$S$317=$A25),--ISNUMBER('Данные 1st'!$KN$2:$KN$317))</f>
        <v>5</v>
      </c>
      <c r="FS25">
        <f>SUMPRODUCT(--('Данные 1st'!$S$2:$S$317=$A25),--ISNUMBER('Данные 1st'!$KR$2:$KR$317))</f>
        <v>5</v>
      </c>
      <c r="FT25">
        <f>SUMPRODUCT(--('Данные 1st'!$S$2:$S$317=$A25),--ISNUMBER('Данные 1st'!$KS$2:$KS$317))</f>
        <v>5</v>
      </c>
      <c r="FU25">
        <f>SUMPRODUCT(--('Данные 1st'!$S$2:$S$317=$A25),--ISNUMBER('Данные 1st'!$KT$2:$KT$317))</f>
        <v>5</v>
      </c>
      <c r="FV25">
        <f>SUMPRODUCT(--('Данные 1st'!$S$2:$S$317=$A25),--ISNUMBER('Данные 1st'!$KV$2:$KV$317))</f>
        <v>0</v>
      </c>
      <c r="FW25">
        <f>SUMPRODUCT(--('Данные 1st'!$S$2:$S$317=$A25),--ISNUMBER('Данные 1st'!$KW$2:$KW$317))</f>
        <v>0</v>
      </c>
      <c r="FX25">
        <f>SUMPRODUCT(--('Данные 1st'!$S$2:$S$317=$A25),--ISNUMBER('Данные 1st'!$KX$2:$KX$317))</f>
        <v>0</v>
      </c>
      <c r="FY25">
        <f>SUMPRODUCT(--('Данные 1st'!$S$2:$S$317=$A25),--ISNUMBER('Данные 1st'!$KY$2:$KY$317))</f>
        <v>0</v>
      </c>
      <c r="FZ25">
        <f>SUMPRODUCT(--('Данные 1st'!$S$2:$S$317=$A25),--ISNUMBER('Данные 1st'!$KZ$2:$KZ$317))</f>
        <v>0</v>
      </c>
      <c r="GA25">
        <f>SUMPRODUCT(--('Данные 1st'!$S$2:$S$317=$A25),--ISNUMBER('Данные 1st'!$LA$2:$LA$317))</f>
        <v>0</v>
      </c>
      <c r="GB25">
        <f>SUMPRODUCT(--('Данные 1st'!$S$2:$S$317=$A25),--ISNUMBER('Данные 1st'!$LB$2:$LB$317))</f>
        <v>0</v>
      </c>
      <c r="GC25">
        <f>SUMPRODUCT(--('Данные 1st'!$S$2:$S$317=$A25),--ISNUMBER('Данные 1st'!$LC$2:$LC$317))</f>
        <v>0</v>
      </c>
      <c r="GD25">
        <f>SUMPRODUCT(--('Данные 1st'!$S$2:$S$317=$A25),--ISNUMBER('Данные 1st'!$LD$2:$LD$317))</f>
        <v>0</v>
      </c>
      <c r="GE25">
        <f>SUMPRODUCT(--('Данные 1st'!$S$2:$S$317=$A25),--ISNUMBER('Данные 1st'!$LE$2:$LE$317))</f>
        <v>0</v>
      </c>
      <c r="GF25">
        <f>SUMPRODUCT(--('Данные 1st'!$S$2:$S$317=$A25),--ISNUMBER('Данные 1st'!$LF$2:$LF$317))</f>
        <v>0</v>
      </c>
      <c r="GG25">
        <f>SUMPRODUCT(--('Данные 1st'!$S$2:$S$317=$A25),--ISNUMBER('Данные 1st'!$LG$2:$LG$317))</f>
        <v>0</v>
      </c>
      <c r="GH25">
        <f>SUMPRODUCT(--('Данные 1st'!$S$2:$S$317=$A25),--ISNUMBER('Данные 1st'!$LH$2:$LH$317))</f>
        <v>0</v>
      </c>
      <c r="GI25">
        <f>SUMPRODUCT(--('Данные 1st'!$S$2:$S$317=$A25),--ISNUMBER('Данные 1st'!$LI$2:$LI$317))</f>
        <v>0</v>
      </c>
      <c r="GJ25">
        <f>SUMPRODUCT(--('Данные 1st'!$S$2:$S$317=$A25),--ISNUMBER('Данные 1st'!$LJ$2:$LJ$317))</f>
        <v>0</v>
      </c>
      <c r="GK25">
        <f>SUMPRODUCT(--('Данные 1st'!$S$2:$S$317=$A25),--ISNUMBER('Данные 1st'!$LK$2:$LK$317))</f>
        <v>5</v>
      </c>
      <c r="GL25">
        <f>SUMPRODUCT(--('Данные 1st'!$S$2:$S$317=$A25),--ISNUMBER('Данные 1st'!$LV$2:$LV$317))</f>
        <v>0</v>
      </c>
      <c r="GM25">
        <f>SUMPRODUCT(--('Данные 1st'!$S$2:$S$317=$A25),--ISNUMBER('Данные 1st'!$LW$2:$LW$317))</f>
        <v>0</v>
      </c>
      <c r="GN25">
        <f>SUMPRODUCT(--('Данные 1st'!$S$2:$S$317=$A25),--ISNUMBER('Данные 1st'!$LX$2:$LX$317))</f>
        <v>0</v>
      </c>
      <c r="GO25">
        <f>SUMPRODUCT(--('Данные 1st'!$S$2:$S$317=$A25),--ISNUMBER('Данные 1st'!$LY$2:$LY$317))</f>
        <v>0</v>
      </c>
      <c r="GP25">
        <f>SUMPRODUCT(--('Данные 1st'!$S$2:$S$317=$A25),--ISNUMBER('Данные 1st'!$LZ$2:$LZ$317))</f>
        <v>0</v>
      </c>
      <c r="GQ25">
        <f>SUMPRODUCT(--('Данные 1st'!$S$2:$S$317=$A25),--ISNUMBER('Данные 1st'!$PG$2:$PG$317))</f>
        <v>5</v>
      </c>
      <c r="GR25">
        <f>SUMPRODUCT(--('Данные 1st'!$S$2:$S$317=$A25),--ISNUMBER('Данные 1st'!$PX$2:$PX$317))</f>
        <v>5</v>
      </c>
      <c r="GS25">
        <f>SUMPRODUCT(--('Данные 1st'!$S$2:$S$317=$A25),--ISNUMBER('Данные 1st'!$PY$2:$PY$317))</f>
        <v>5</v>
      </c>
      <c r="GT25">
        <f>SUMPRODUCT(--('Данные 1st'!$S$2:$S$317=$A25),--ISNUMBER('Данные 1st'!$QA$2:$QA$317))</f>
        <v>5</v>
      </c>
      <c r="GU25">
        <f>SUMPRODUCT(--('Данные 1st'!$S$2:$S$317=$A25),--ISNUMBER('Данные 1st'!$QB$2:$QB$317))</f>
        <v>5</v>
      </c>
      <c r="GV25">
        <f>SUMPRODUCT(--('Данные 1st'!$S$2:$S$317=$A25),--ISNUMBER('Данные 1st'!$QC$2:$QC$317))</f>
        <v>5</v>
      </c>
      <c r="GW25">
        <f>SUMPRODUCT(--('Данные 1st'!$S$2:$S$317=$A25),--ISNUMBER('Данные 1st'!$QD$2:$QD$317))</f>
        <v>5</v>
      </c>
      <c r="GX25">
        <f>SUMPRODUCT(--('Данные 1st'!$S$2:$S$317=$A25),--ISNUMBER('Данные 1st'!$QF$2:$QF$317))</f>
        <v>5</v>
      </c>
      <c r="GY25">
        <f>SUMPRODUCT(--('Данные 1st'!$S$2:$S$317=$A25),--ISNUMBER('Данные 1st'!$QG$2:$QG$317))</f>
        <v>5</v>
      </c>
      <c r="GZ25">
        <f>SUMPRODUCT(--('Данные 1st'!$S$2:$S$317=$A25),--ISNUMBER('Данные 1st'!$QH$2:$QH$317))</f>
        <v>5</v>
      </c>
      <c r="HA25">
        <f>SUMPRODUCT(--('Данные 1st'!$S$2:$S$317=$A25),--ISNUMBER('Данные 1st'!$QI$2:$QI$317))</f>
        <v>5</v>
      </c>
      <c r="HB25">
        <f>SUMPRODUCT(--('Данные 1st'!$S$2:$S$317=$A25),--ISNUMBER('Данные 1st'!$QK$2:$QK$317))</f>
        <v>0</v>
      </c>
      <c r="HC25">
        <f>SUMPRODUCT(--('Данные 1st'!$S$2:$S$317=$A25),--ISNUMBER('Данные 1st'!$QL$2:$QL$317))</f>
        <v>5</v>
      </c>
      <c r="HD25">
        <f>SUMPRODUCT(--('Данные 1st'!$S$2:$S$317=$A25),--ISNUMBER('Данные 1st'!$QM$2:$QM$317))</f>
        <v>5</v>
      </c>
      <c r="HE25">
        <f>SUMPRODUCT(--('Данные 1st'!$S$2:$S$317=$A25),--ISNUMBER('Данные 1st'!$QN$2:$QN$317))</f>
        <v>5</v>
      </c>
      <c r="HF25">
        <f>SUMPRODUCT(--('Данные 1st'!$S$2:$S$317=$A25),--ISNUMBER('Данные 1st'!$QP$2:$QP$317))</f>
        <v>5</v>
      </c>
      <c r="HG25">
        <f>SUMPRODUCT(--('Данные 1st'!$S$2:$S$317=$A25),--ISNUMBER('Данные 1st'!$QQ$2:$QQ$317))</f>
        <v>5</v>
      </c>
      <c r="HH25">
        <f>SUMPRODUCT(--('Данные 1st'!$S$2:$S$317=$A25),--ISNUMBER('Данные 1st'!$QR$2:$QR$317))</f>
        <v>3</v>
      </c>
      <c r="HI25">
        <f>SUMPRODUCT(--('Данные 1st'!$S$2:$S$317=$A25),--ISNUMBER('Данные 1st'!$QS$2:$QS$317))</f>
        <v>3</v>
      </c>
      <c r="HJ25">
        <f>SUMPRODUCT(--('Данные 1st'!$S$2:$S$317=$A25),--ISNUMBER('Данные 1st'!$QU$2:$QU$317))</f>
        <v>3</v>
      </c>
      <c r="HK25">
        <f>SUMPRODUCT(--('Данные 1st'!$S$2:$S$317=$A25),--ISNUMBER('Данные 1st'!$QV$2:$QV$317))</f>
        <v>3</v>
      </c>
      <c r="HL25">
        <f>SUMPRODUCT(--('Данные 1st'!$S$2:$S$317=$A25),--ISNUMBER('Данные 1st'!$QW$2:$QW$317))</f>
        <v>5</v>
      </c>
      <c r="HM25">
        <f>SUMPRODUCT(--('Данные 1st'!$S$2:$S$317=$A25),--ISNUMBER('Данные 1st'!$QX$2:$QX$317))</f>
        <v>5</v>
      </c>
      <c r="HN25">
        <f>SUMPRODUCT(--('Данные 1st'!$S$2:$S$317=$A25),--ISNUMBER('Данные 1st'!$QZ$2:$QZ$317))</f>
        <v>5</v>
      </c>
      <c r="HO25">
        <f>SUMPRODUCT(--('Данные 1st'!$S$2:$S$317=$A25),--ISNUMBER('Данные 1st'!$RA$2:$RA$317))</f>
        <v>5</v>
      </c>
      <c r="HP25">
        <f>SUMPRODUCT(--('Данные 1st'!$S$2:$S$317=$A25),--ISNUMBER('Данные 1st'!$RB$2:$RB$317))</f>
        <v>5</v>
      </c>
      <c r="HQ25">
        <f>SUMPRODUCT(--('Данные 1st'!$S$2:$S$317=$A25),--ISNUMBER('Данные 1st'!$RD$2:$RD$317))</f>
        <v>0</v>
      </c>
      <c r="HR25">
        <f>SUMPRODUCT(--('Данные 1st'!$S$2:$S$317=$A25),--ISNUMBER('Данные 1st'!$RE$2:$RE$317))</f>
        <v>5</v>
      </c>
      <c r="HS25">
        <f>SUMPRODUCT(--('Данные 1st'!$S$2:$S$317=$A25),--ISNUMBER('Данные 1st'!$RF$2:$RF$317))</f>
        <v>5</v>
      </c>
      <c r="HT25">
        <f>SUMPRODUCT(--('Данные 1st'!$S$2:$S$317=$A25),--ISNUMBER('Данные 1st'!$RG$2:$RG$317))</f>
        <v>0</v>
      </c>
      <c r="HU25">
        <f>SUMPRODUCT(--('Данные 1st'!$S$2:$S$317=$A25),--ISNUMBER('Данные 1st'!$RH$2:$RH$317))</f>
        <v>3</v>
      </c>
      <c r="HV25">
        <f>SUMPRODUCT(--('Данные 1st'!$S$2:$S$317=$A25),--ISNUMBER('Данные 1st'!$RI$2:$RI$317))</f>
        <v>0</v>
      </c>
      <c r="HW25">
        <f>SUMPRODUCT(--('Данные 1st'!$S$2:$S$317=$A25),--ISNUMBER('Данные 1st'!$RJ$2:$RJ$317))</f>
        <v>5</v>
      </c>
      <c r="HX25">
        <f>SUMPRODUCT(--('Данные 1st'!$S$2:$S$317=$A25),--ISNUMBER('Данные 1st'!$RK$2:$RK$317))</f>
        <v>0</v>
      </c>
      <c r="HY25">
        <f>SUMPRODUCT(--('Данные 1st'!$S$2:$S$317=$A25),--ISNUMBER('Данные 1st'!$RL$2:$RL$317))</f>
        <v>5</v>
      </c>
      <c r="HZ25">
        <f>SUMPRODUCT(--('Данные 1st'!$S$2:$S$317=$A25),--ISNUMBER('Данные 1st'!$RM$2:$RM$317))</f>
        <v>3</v>
      </c>
      <c r="IA25">
        <f>SUMPRODUCT(--('Данные 1st'!$S$2:$S$317=$A25),--ISNUMBER('Данные 1st'!$RN$2:$RN$317))</f>
        <v>0</v>
      </c>
      <c r="IB25">
        <f>SUMPRODUCT(--('Данные 1st'!$S$2:$S$317=$A25),--ISNUMBER('Данные 1st'!$RO$2:$RO$317))</f>
        <v>5</v>
      </c>
      <c r="IC25">
        <f>SUMPRODUCT(--('Данные 1st'!$S$2:$S$317=$A25),--ISNUMBER('Данные 1st'!$RP$2:$RP$317))</f>
        <v>0</v>
      </c>
      <c r="ID25">
        <f>SUMPRODUCT(--('Данные 1st'!$S$2:$S$317=$A25),--ISNUMBER('Данные 1st'!$RQ$2:$RQ$317))</f>
        <v>5</v>
      </c>
      <c r="IE25">
        <f>SUMPRODUCT(--('Данные 1st'!$S$2:$S$317=$A25),--ISNUMBER('Данные 1st'!$RR$2:$RR$317))</f>
        <v>3</v>
      </c>
      <c r="IF25">
        <f>SUMPRODUCT(--('Данные 1st'!$S$2:$S$317=$A25),--ISNUMBER('Данные 1st'!$RS$2:$RS$317))</f>
        <v>0</v>
      </c>
      <c r="IG25">
        <f>SUMPRODUCT(--('Данные 1st'!$S$2:$S$317=$A25),--ISNUMBER('Данные 1st'!$RT$2:$RT$317))</f>
        <v>5</v>
      </c>
      <c r="IH25">
        <f>SUMPRODUCT(--('Данные 1st'!$S$2:$S$317=$A25),--ISNUMBER('Данные 1st'!$RU$2:$RU$317))</f>
        <v>5</v>
      </c>
      <c r="II25">
        <f>SUMPRODUCT(--('Данные 1st'!$S$2:$S$317=$A25),--ISNUMBER('Данные 1st'!$RX$2:$RX$317))</f>
        <v>5</v>
      </c>
      <c r="IJ25">
        <f>SUMPRODUCT(--('Данные 1st'!$S$2:$S$317=$A25),--ISNUMBER('Данные 1st'!$RY$2:$RY$317))</f>
        <v>5</v>
      </c>
      <c r="IK25">
        <f>SUMPRODUCT(--('Данные 1st'!$S$2:$S$317=$A25),--ISNUMBER('Данные 1st'!$SA$2:$SA$317))</f>
        <v>5</v>
      </c>
      <c r="IL25">
        <f>SUMPRODUCT(--('Данные 1st'!$S$2:$S$317=$A25),--ISNUMBER('Данные 1st'!$SD$2:$SD$317))</f>
        <v>5</v>
      </c>
      <c r="IM25">
        <f>SUMPRODUCT(--('Данные 1st'!$S$2:$S$317=$A25),--ISNUMBER('Данные 1st'!$SG$2:$SG$317))</f>
        <v>3</v>
      </c>
      <c r="IN25">
        <f>SUMPRODUCT(--('Данные 1st'!$S$2:$S$317=$A25),--ISNUMBER('Данные 1st'!$SH$2:$SH$317))</f>
        <v>5</v>
      </c>
      <c r="IO25">
        <f>SUMPRODUCT(--('Данные 1st'!$S$2:$S$317=$A25),--ISNUMBER('Данные 1st'!$SI$2:$SI$317))</f>
        <v>5</v>
      </c>
      <c r="IP25">
        <f>SUMPRODUCT(--('Данные 1st'!$S$2:$S$317=$A25),--ISNUMBER('Данные 1st'!$SJ$2:$SJ$317))</f>
        <v>5</v>
      </c>
      <c r="IQ25">
        <f>SUMPRODUCT(--('Данные 1st'!$S$2:$S$317=$A25),--ISNUMBER('Данные 1st'!$SK$2:$SK$317))</f>
        <v>5</v>
      </c>
      <c r="IR25">
        <f>SUMPRODUCT(--('Данные 1st'!$S$2:$S$317=$A25),--ISNUMBER('Данные 1st'!$SL$2:$SL$317))</f>
        <v>5</v>
      </c>
      <c r="IS25">
        <f>SUMPRODUCT(--('Данные 1st'!$S$2:$S$317=$A25),--ISNUMBER('Данные 1st'!$SM$2:$SM$317))</f>
        <v>5</v>
      </c>
      <c r="IT25">
        <f>SUMPRODUCT(--('Данные 1st'!$S$2:$S$317=$A25),--ISNUMBER('Данные 1st'!$SN$2:$SN$317))</f>
        <v>5</v>
      </c>
      <c r="IU25">
        <f>SUMPRODUCT(--('Данные 1st'!$S$2:$S$317=$A25),--ISNUMBER('Данные 1st'!$SO$2:$SO$317))</f>
        <v>5</v>
      </c>
      <c r="IV25">
        <f>SUMPRODUCT(--('Данные 1st'!$S$2:$S$317=$A25),--ISNUMBER('Данные 1st'!$SP$2:$SP$317))</f>
        <v>5</v>
      </c>
      <c r="IW25">
        <f>SUMPRODUCT(--('Данные 1st'!$S$2:$S$317=$A25),--ISNUMBER('Данные 1st'!$SQ$2:$SQ$317))</f>
        <v>5</v>
      </c>
      <c r="IX25">
        <f>SUMPRODUCT(--('Данные 1st'!$S$2:$S$317=$A25),--ISNUMBER('Данные 1st'!$SR$2:$SR$317))</f>
        <v>5</v>
      </c>
      <c r="IY25">
        <f>SUMPRODUCT(--('Данные 1st'!$S$2:$S$317=$A25),--ISNUMBER('Данные 1st'!$SS$2:$SS$317))</f>
        <v>5</v>
      </c>
      <c r="IZ25">
        <f>SUMPRODUCT(--('Данные 1st'!$S$2:$S$317=$A25),--ISNUMBER('Данные 1st'!$ST$2:$ST$317))</f>
        <v>5</v>
      </c>
      <c r="JA25">
        <f>SUMPRODUCT(--('Данные 1st'!$S$2:$S$317=$A25),--ISNUMBER('Данные 1st'!$SU$2:$SU$317))</f>
        <v>5</v>
      </c>
      <c r="JB25">
        <f>SUMPRODUCT(--('Данные 1st'!$S$2:$S$317=$A25),--ISNUMBER('Данные 1st'!$SV$2:$SV$317))</f>
        <v>5</v>
      </c>
      <c r="JC25">
        <f>SUMPRODUCT(--('Данные 1st'!$S$2:$S$317=$A25),--ISNUMBER('Данные 1st'!$SW$2:$SW$317))</f>
        <v>5</v>
      </c>
      <c r="JD25">
        <f>SUMPRODUCT(--('Данные 1st'!$S$2:$S$317=$A25),--ISNUMBER('Данные 1st'!$SX$2:$SX$317))</f>
        <v>5</v>
      </c>
      <c r="JE25">
        <f>SUMPRODUCT(--('Данные 1st'!$S$2:$S$317=$A25),--ISNUMBER('Данные 1st'!$SY$2:$SY$317))</f>
        <v>0</v>
      </c>
      <c r="JF25">
        <f>SUMPRODUCT(--('Данные 1st'!$S$2:$S$317=$A25),--ISNUMBER('Данные 1st'!$SZ$2:$SZ$317))</f>
        <v>3</v>
      </c>
      <c r="JG25">
        <f>SUMPRODUCT(--('Данные 1st'!$S$2:$S$317=$A25),--ISNUMBER('Данные 1st'!$TA$2:$TA$317))</f>
        <v>0</v>
      </c>
      <c r="JH25">
        <f>SUMPRODUCT(--('Данные 1st'!$S$2:$S$317=$A25),--ISNUMBER('Данные 1st'!$TB$2:$TB$317))</f>
        <v>5</v>
      </c>
      <c r="JI25">
        <f>SUMPRODUCT(--('Данные 1st'!$S$2:$S$317=$A25),--ISNUMBER('Данные 1st'!$TC$2:$TC$317))</f>
        <v>5</v>
      </c>
      <c r="JJ25">
        <f>SUMPRODUCT(--('Данные 1st'!$S$2:$S$317=$A25),--ISNUMBER('Данные 1st'!$TD$2:$TD$317))</f>
        <v>5</v>
      </c>
      <c r="JK25">
        <f>SUMPRODUCT(--('Данные 1st'!$S$2:$S$317=$A25),--ISNUMBER('Данные 1st'!$TN$2:$TN$317))</f>
        <v>5</v>
      </c>
      <c r="JQ25">
        <f>SUMPRODUCT(--('Данные 2st'!$Q$2:$Q$317=$A25),--ISNUMBER('Данные 2st'!$AC$2:$AC$317))</f>
        <v>5</v>
      </c>
      <c r="JR25">
        <f>SUMPRODUCT(--('Данные 2st'!$Q$2:$Q$317=$A25),--ISNUMBER('Данные 2st'!$AF$2:$AF$317))</f>
        <v>5</v>
      </c>
      <c r="JS25">
        <f>SUMPRODUCT(--('Данные 2st'!$Q$2:$Q$317=$A25),--ISNUMBER('Данные 2st'!$AW$2:$AW$317))</f>
        <v>5</v>
      </c>
      <c r="JT25">
        <f>SUMPRODUCT(--('Данные 2st'!$Q$2:$Q$317=$A25),--ISNUMBER('Данные 2st'!$AX$2:$AX$317))</f>
        <v>5</v>
      </c>
      <c r="JU25">
        <f>SUMPRODUCT(--('Данные 2st'!$Q$2:$Q$317=$A25),--ISNUMBER('Данные 2st'!$AY$2:$AY$317))</f>
        <v>5</v>
      </c>
      <c r="JV25">
        <f>SUMPRODUCT(--('Данные 2st'!$Q$2:$Q$317=$A25),--ISNUMBER('Данные 2st'!$AZ$2:$AZ$317))</f>
        <v>5</v>
      </c>
      <c r="JW25">
        <f>SUMPRODUCT(--('Данные 2st'!$Q$2:$Q$317=$A25),--ISNUMBER('Данные 2st'!$BA$2:$BA$317))</f>
        <v>0</v>
      </c>
      <c r="JX25">
        <f>SUMPRODUCT(--('Данные 2st'!$Q$2:$Q$317=$A25),--ISNUMBER('Данные 2st'!$BB$2:$BB$317))</f>
        <v>0</v>
      </c>
      <c r="JY25">
        <f>SUMPRODUCT(--('Данные 2st'!$Q$2:$Q$317=$A25),--ISNUMBER('Данные 2st'!$BC$2:$BC$317))</f>
        <v>0</v>
      </c>
      <c r="JZ25">
        <f>SUMPRODUCT(--('Данные 2st'!$Q$2:$Q$317=$A25),--ISNUMBER('Данные 2st'!$BH$2:$BH$317))</f>
        <v>5</v>
      </c>
      <c r="KA25">
        <f>SUMPRODUCT(--('Данные 2st'!$Q$2:$Q$317=$A25),--ISNUMBER('Данные 2st'!$BI$2:$BI$317))</f>
        <v>5</v>
      </c>
      <c r="KB25">
        <f>SUMPRODUCT(--('Данные 2st'!$Q$2:$Q$317=$A25),--ISNUMBER('Данные 2st'!$BJ$2:$BJ$317))</f>
        <v>5</v>
      </c>
      <c r="KC25">
        <f>SUMPRODUCT(--('Данные 2st'!$Q$2:$Q$317=$A25),--ISNUMBER('Данные 2st'!$BK$2:$BK$317))</f>
        <v>5</v>
      </c>
      <c r="KD25">
        <f>SUMPRODUCT(--('Данные 2st'!$Q$2:$Q$317=$A25),--ISNUMBER('Данные 2st'!$BL$2:$BL$317))</f>
        <v>5</v>
      </c>
      <c r="KE25">
        <f>SUMPRODUCT(--('Данные 2st'!$Q$2:$Q$317=$A25),--ISNUMBER('Данные 2st'!$BM$2:$BM$317))</f>
        <v>5</v>
      </c>
      <c r="KF25">
        <f>SUMPRODUCT(--('Данные 2st'!$Q$2:$Q$317=$A25),--ISNUMBER('Данные 2st'!$BN$2:$BN$317))</f>
        <v>5</v>
      </c>
      <c r="KG25">
        <f>SUMPRODUCT(--('Данные 2st'!$Q$2:$Q$317=$A25),--ISNUMBER('Данные 2st'!$BO$2:$BO$317))</f>
        <v>2</v>
      </c>
      <c r="KH25">
        <f>SUMPRODUCT(--('Данные 2st'!$Q$2:$Q$317=$A25),--ISNUMBER('Данные 2st'!$BP$2:$BP$317))</f>
        <v>5</v>
      </c>
      <c r="KI25">
        <f>SUMPRODUCT(--('Данные 2st'!$Q$2:$Q$317=$A25),--ISNUMBER('Данные 2st'!$BR$2:$BR$317))</f>
        <v>5</v>
      </c>
      <c r="KJ25">
        <f>SUMPRODUCT(--('Данные 2st'!$Q$2:$Q$317=$A25),--ISNUMBER('Данные 2st'!$BS$2:$BS$317))</f>
        <v>5</v>
      </c>
      <c r="KK25">
        <f>SUMPRODUCT(--('Данные 2st'!$Q$2:$Q$317=$A25),--ISNUMBER('Данные 2st'!$BT$2:$BT$317))</f>
        <v>5</v>
      </c>
      <c r="KL25">
        <f>SUMPRODUCT(--('Данные 2st'!$Q$2:$Q$317=$A25),--ISNUMBER('Данные 2st'!$CV$2:$CV$317))</f>
        <v>5</v>
      </c>
      <c r="KM25">
        <f>SUMPRODUCT(--('Данные 2st'!$Q$2:$Q$317=$A25),--ISNUMBER('Данные 2st'!$CW$2:$CW$317))</f>
        <v>5</v>
      </c>
      <c r="KN25">
        <f>SUMPRODUCT(--('Данные 2st'!$Q$2:$Q$317=$A25),--ISNUMBER('Данные 2st'!$CX$2:$CX$317))</f>
        <v>5</v>
      </c>
      <c r="KO25">
        <f>SUMPRODUCT(--('Данные 2st'!$Q$2:$Q$317=$A25),--ISNUMBER('Данные 2st'!$CY$2:$CY$317))</f>
        <v>5</v>
      </c>
      <c r="KP25">
        <f>SUMPRODUCT(--('Данные 2st'!$Q$2:$Q$317=$A25),--ISNUMBER('Данные 2st'!$CZ$2:$CZ$317))</f>
        <v>5</v>
      </c>
      <c r="KQ25">
        <f>SUMPRODUCT(--('Данные 2st'!$Q$2:$Q$317=$A25),--ISNUMBER('Данные 2st'!$DA$2:$DA$317))</f>
        <v>5</v>
      </c>
      <c r="KR25">
        <f>SUMPRODUCT(--('Данные 2st'!$Q$2:$Q$317=$A25),--ISNUMBER('Данные 2st'!$DB$2:$DB$317))</f>
        <v>5</v>
      </c>
      <c r="KS25">
        <f>SUMPRODUCT(--('Данные 2st'!$Q$2:$Q$317=$A25),--ISNUMBER('Данные 2st'!$DC$2:$DC$317))</f>
        <v>5</v>
      </c>
      <c r="KT25">
        <f>SUMPRODUCT(--('Данные 2st'!$Q$2:$Q$317=$A25),--ISNUMBER('Данные 2st'!$DD$2:$DD$317))</f>
        <v>5</v>
      </c>
      <c r="KU25">
        <f>SUMPRODUCT(--('Данные 2st'!$Q$2:$Q$317=$A25),--ISNUMBER('Данные 2st'!$DE$2:$DE$317))</f>
        <v>5</v>
      </c>
      <c r="KV25">
        <f>SUMPRODUCT(--('Данные 2st'!$Q$2:$Q$317=$A25),--ISNUMBER('Данные 2st'!$DF$2:$DF$317))</f>
        <v>5</v>
      </c>
      <c r="KW25">
        <f>SUMPRODUCT(--('Данные 2st'!$Q$2:$Q$317=$A25),--ISNUMBER('Данные 2st'!$DG$2:$DG$317))</f>
        <v>5</v>
      </c>
      <c r="KX25">
        <f>SUMPRODUCT(--('Данные 2st'!$Q$2:$Q$317=$A25),--ISNUMBER('Данные 2st'!$DH$2:$DH$317))</f>
        <v>0</v>
      </c>
      <c r="KY25">
        <f>SUMPRODUCT(--('Данные 2st'!$Q$2:$Q$317=$A25),--ISNUMBER('Данные 2st'!$DI$2:$DI$317))</f>
        <v>0</v>
      </c>
      <c r="KZ25">
        <f>SUMPRODUCT(--('Данные 2st'!$Q$2:$Q$317=$A25),--ISNUMBER('Данные 2st'!$DK$2:$DK$317))</f>
        <v>5</v>
      </c>
      <c r="LA25">
        <f>SUMPRODUCT(--('Данные 2st'!$Q$2:$Q$317=$A25),--ISNUMBER('Данные 2st'!$DM$2:$DM$317))</f>
        <v>5</v>
      </c>
      <c r="LB25">
        <f>SUMPRODUCT(--('Данные 2st'!$Q$2:$Q$317=$A25),--ISNUMBER('Данные 2st'!$DN$2:$DN$317))</f>
        <v>5</v>
      </c>
      <c r="LC25">
        <f>SUMPRODUCT(--('Данные 2st'!$Q$2:$Q$317=$A25),--ISNUMBER('Данные 2st'!$DO$2:$DO$317))</f>
        <v>5</v>
      </c>
      <c r="LD25">
        <f>SUMPRODUCT(--('Данные 2st'!$Q$2:$Q$317=$A25),--ISNUMBER('Данные 2st'!$DP$2:$DP$317))</f>
        <v>5</v>
      </c>
      <c r="LE25">
        <f>SUMPRODUCT(--('Данные 2st'!$Q$2:$Q$317=$A25),--ISNUMBER('Данные 2st'!$DQ$2:$DQ$317))</f>
        <v>5</v>
      </c>
      <c r="LF25">
        <f>SUMPRODUCT(--('Данные 2st'!$Q$2:$Q$317=$A25),--ISNUMBER('Данные 2st'!$DS$2:$DS$317))</f>
        <v>5</v>
      </c>
      <c r="LG25">
        <f>SUMPRODUCT(--('Данные 2st'!$Q$2:$Q$317=$A25),--ISNUMBER('Данные 2st'!$DU$2:$DU$317))</f>
        <v>5</v>
      </c>
      <c r="LH25">
        <f>SUMPRODUCT(--('Данные 2st'!$Q$2:$Q$317=$A25),--ISNUMBER('Данные 2st'!$DV$2:$DV$317))</f>
        <v>5</v>
      </c>
      <c r="LI25">
        <f>SUMPRODUCT(--('Данные 2st'!$Q$2:$Q$317=$A25),--ISNUMBER('Данные 2st'!$DW$2:$DW$317))</f>
        <v>5</v>
      </c>
      <c r="LJ25">
        <f>SUMPRODUCT(--('Данные 2st'!$Q$2:$Q$317=$A25),--ISNUMBER('Данные 2st'!$DX$2:$DX$317))</f>
        <v>5</v>
      </c>
      <c r="LK25">
        <f>SUMPRODUCT(--('Данные 2st'!$Q$2:$Q$317=$A25),--ISNUMBER('Данные 2st'!$DY$2:$DY$317))</f>
        <v>5</v>
      </c>
      <c r="LL25">
        <f>SUMPRODUCT(--('Данные 2st'!$Q$2:$Q$317=$A25),--ISNUMBER('Данные 2st'!$EA$2:$EA$317))</f>
        <v>5</v>
      </c>
      <c r="LM25">
        <f>SUMPRODUCT(--('Данные 2st'!$Q$2:$Q$317=$A25),--ISNUMBER('Данные 2st'!$EC$2:$EC$317))</f>
        <v>5</v>
      </c>
      <c r="LN25">
        <f>SUMPRODUCT(--('Данные 2st'!$Q$2:$Q$317=$A25),--ISNUMBER('Данные 2st'!$ED$2:$ED$317))</f>
        <v>5</v>
      </c>
      <c r="LO25">
        <f>SUMPRODUCT(--('Данные 2st'!$Q$2:$Q$317=$A25),--ISNUMBER('Данные 2st'!$EE$2:$EE$317))</f>
        <v>5</v>
      </c>
      <c r="LP25">
        <f>SUMPRODUCT(--('Данные 2st'!$Q$2:$Q$317=$A25),--ISNUMBER('Данные 2st'!$EG$2:$EG$317))</f>
        <v>5</v>
      </c>
      <c r="LQ25">
        <f>SUMPRODUCT(--('Данные 2st'!$Q$2:$Q$317=$A25),--ISNUMBER('Данные 2st'!$EI$2:$EI$317))</f>
        <v>5</v>
      </c>
      <c r="LR25">
        <f>SUMPRODUCT(--('Данные 2st'!$Q$2:$Q$317=$A25),--ISNUMBER('Данные 2st'!$EJ$2:$EJ$317))</f>
        <v>2</v>
      </c>
      <c r="LS25">
        <f>SUMPRODUCT(--('Данные 2st'!$Q$2:$Q$317=$A25),--ISNUMBER('Данные 2st'!$EK$2:$EK$317))</f>
        <v>2</v>
      </c>
      <c r="LT25">
        <f>SUMPRODUCT(--('Данные 2st'!$Q$2:$Q$317=$A25),--ISNUMBER('Данные 2st'!$EM$2:$EM$317))</f>
        <v>5</v>
      </c>
      <c r="LU25">
        <f>SUMPRODUCT(--('Данные 2st'!$Q$2:$Q$317=$A25),--ISNUMBER('Данные 2st'!$EN$2:$EN$317))</f>
        <v>5</v>
      </c>
      <c r="LV25">
        <f>SUMPRODUCT(--('Данные 2st'!$Q$2:$Q$317=$A25),--ISNUMBER('Данные 2st'!$EO$2:$EO$317))</f>
        <v>5</v>
      </c>
      <c r="LW25">
        <f>SUMPRODUCT(--('Данные 2st'!$Q$2:$Q$317=$A25),--ISNUMBER('Данные 2st'!$EP$2:$EP$317))</f>
        <v>5</v>
      </c>
      <c r="LX25">
        <f>SUMPRODUCT(--('Данные 2st'!$Q$2:$Q$317=$A25),--ISNUMBER('Данные 2st'!$EQ$2:$EQ$317))</f>
        <v>5</v>
      </c>
      <c r="LY25">
        <f>SUMPRODUCT(--('Данные 2st'!$Q$2:$Q$317=$A25),--ISNUMBER('Данные 2st'!$ER$2:$ER$317))</f>
        <v>5</v>
      </c>
      <c r="LZ25">
        <f>SUMPRODUCT(--('Данные 2st'!$Q$2:$Q$317=$A25),--ISNUMBER('Данные 2st'!$ES$2:$ES$317))</f>
        <v>5</v>
      </c>
      <c r="MA25">
        <f>SUMPRODUCT(--('Данные 2st'!$Q$2:$Q$317=$A25),--ISNUMBER('Данные 2st'!$ET$2:$ET$317))</f>
        <v>5</v>
      </c>
      <c r="MB25">
        <f>SUMPRODUCT(--('Данные 2st'!$Q$2:$Q$317=$A25),--ISNUMBER('Данные 2st'!$EU$2:$EU$317))</f>
        <v>5</v>
      </c>
      <c r="MC25">
        <f>SUMPRODUCT(--('Данные 2st'!$Q$2:$Q$317=$A25),--ISNUMBER('Данные 2st'!$EV$2:$EV$317))</f>
        <v>5</v>
      </c>
      <c r="MD25">
        <f>SUMPRODUCT(--('Данные 2st'!$Q$2:$Q$317=$A25),--ISNUMBER('Данные 2st'!$EW$2:$EW$317))</f>
        <v>5</v>
      </c>
      <c r="ME25">
        <f>SUMPRODUCT(--('Данные 2st'!$Q$2:$Q$317=$A25),--ISNUMBER('Данные 2st'!$EY$2:$EY$317))</f>
        <v>5</v>
      </c>
      <c r="MF25">
        <f>SUMPRODUCT(--('Данные 2st'!$Q$2:$Q$317=$A25),--ISNUMBER('Данные 2st'!$FA$2:$FA$317))</f>
        <v>5</v>
      </c>
      <c r="MG25">
        <f>SUMPRODUCT(--('Данные 2st'!$Q$2:$Q$317=$A25),--ISNUMBER('Данные 2st'!$FB$2:$FB$317))</f>
        <v>5</v>
      </c>
      <c r="MH25">
        <f>SUMPRODUCT(--('Данные 2st'!$Q$2:$Q$317=$A25),--ISNUMBER('Данные 2st'!$FC$2:$FC$317))</f>
        <v>5</v>
      </c>
      <c r="MI25">
        <f>SUMPRODUCT(--('Данные 2st'!$Q$2:$Q$317=$A25),--ISNUMBER('Данные 2st'!$FD$2:$FD$317))</f>
        <v>5</v>
      </c>
      <c r="MJ25">
        <f>SUMPRODUCT(--('Данные 2st'!$Q$2:$Q$317=$A25),--ISNUMBER('Данные 2st'!$FE$2:$FE$317))</f>
        <v>5</v>
      </c>
      <c r="MK25">
        <f>SUMPRODUCT(--('Данные 2st'!$Q$2:$Q$317=$A25),--ISNUMBER('Данные 2st'!$FG$2:$FG$317))</f>
        <v>5</v>
      </c>
      <c r="ML25">
        <f>SUMPRODUCT(--('Данные 2st'!$Q$2:$Q$317=$A25),--ISNUMBER('Данные 2st'!$FI$2:$FI$317))</f>
        <v>5</v>
      </c>
      <c r="MM25">
        <f>SUMPRODUCT(--('Данные 2st'!$Q$2:$Q$317=$A25),--ISNUMBER('Данные 2st'!$FJ$2:$FJ$317))</f>
        <v>5</v>
      </c>
      <c r="MN25">
        <f>SUMPRODUCT(--('Данные 2st'!$Q$2:$Q$317=$A25),--ISNUMBER('Данные 2st'!$FK$2:$FK$317))</f>
        <v>5</v>
      </c>
      <c r="MO25">
        <f>SUMPRODUCT(--('Данные 2st'!$Q$2:$Q$317=$A25),--ISNUMBER('Данные 2st'!$FP$2:$FP$317))</f>
        <v>5</v>
      </c>
      <c r="MP25">
        <f>SUMPRODUCT(--('Данные 2st'!$Q$2:$Q$317=$A25),--ISNUMBER('Данные 2st'!$FQ$2:$FQ$317))</f>
        <v>5</v>
      </c>
      <c r="MQ25">
        <f>SUMPRODUCT(--('Данные 2st'!$Q$2:$Q$317=$A25),--ISNUMBER('Данные 2st'!$FS$2:$FS$317))</f>
        <v>5</v>
      </c>
      <c r="MR25">
        <f>SUMPRODUCT(--('Данные 2st'!$Q$2:$Q$317=$A25),--ISNUMBER('Данные 2st'!$FU$2:$FU$317))</f>
        <v>5</v>
      </c>
      <c r="MS25">
        <f>SUMPRODUCT(--('Данные 2st'!$Q$2:$Q$317=$A25),--ISNUMBER('Данные 2st'!$FV$2:$FV$317))</f>
        <v>5</v>
      </c>
      <c r="MT25">
        <f>SUMPRODUCT(--('Данные 2st'!$Q$2:$Q$317=$A25),--ISNUMBER('Данные 2st'!$FW$2:$FW$317))</f>
        <v>5</v>
      </c>
      <c r="MU25">
        <f>SUMPRODUCT(--('Данные 2st'!$Q$2:$Q$317=$A25),--ISNUMBER('Данные 2st'!$FY$2:$FY$317))</f>
        <v>4</v>
      </c>
      <c r="MV25">
        <f>SUMPRODUCT(--('Данные 2st'!$Q$2:$Q$317=$A25),--ISNUMBER('Данные 2st'!$GB$2:$GB$317))</f>
        <v>4</v>
      </c>
      <c r="MW25">
        <f>SUMPRODUCT(--('Данные 2st'!$Q$2:$Q$317=$A25),--ISNUMBER('Данные 2st'!$GC$2:$GC$317))</f>
        <v>4</v>
      </c>
      <c r="MX25">
        <f>SUMPRODUCT(--('Данные 2st'!$Q$2:$Q$317=$A25),--ISNUMBER('Данные 2st'!$GD$2:$GD$317))</f>
        <v>5</v>
      </c>
      <c r="MY25">
        <f>SUMPRODUCT(--('Данные 2st'!$Q$2:$Q$317=$A25),--ISNUMBER('Данные 2st'!$GN$2:$GN$317))</f>
        <v>0</v>
      </c>
      <c r="MZ25">
        <f>SUMPRODUCT(--('Данные 2st'!$Q$2:$Q$317=$A25),--ISNUMBER('Данные 2st'!$GQ$2:$GQ$317))</f>
        <v>5</v>
      </c>
      <c r="NA25">
        <f>SUMPRODUCT(--('Данные 2st'!$Q$2:$Q$317=$A25),--ISNUMBER('Данные 2st'!$GV$2:$GV$317))</f>
        <v>5</v>
      </c>
      <c r="NB25">
        <f>SUMPRODUCT(--('Данные 2st'!$Q$2:$Q$317=$A25),--ISNUMBER('Данные 2st'!$GW$2:$GW$317))</f>
        <v>5</v>
      </c>
      <c r="NC25">
        <f>SUMPRODUCT(--('Данные 2st'!$Q$2:$Q$317=$A25),--ISNUMBER('Данные 2st'!$GX$2:$GX$317))</f>
        <v>5</v>
      </c>
      <c r="ND25">
        <f>SUMPRODUCT(--('Данные 2st'!$Q$2:$Q$317=$A25),--ISNUMBER('Данные 2st'!$GY$2:$GY$317))</f>
        <v>5</v>
      </c>
      <c r="NE25">
        <f>SUMPRODUCT(--('Данные 2st'!$Q$2:$Q$317=$A25),--ISNUMBER('Данные 2st'!$GZ$2:$GZ$317))</f>
        <v>5</v>
      </c>
      <c r="NF25">
        <f>SUMPRODUCT(--('Данные 2st'!$Q$2:$Q$317=$A25),--ISNUMBER('Данные 2st'!$HA$2:$HA$317))</f>
        <v>5</v>
      </c>
      <c r="NG25">
        <f>SUMPRODUCT(--('Данные 2st'!$Q$2:$Q$317=$A25),--ISNUMBER('Данные 2st'!$HB$2:$HB$317))</f>
        <v>5</v>
      </c>
      <c r="NH25">
        <f>SUMPRODUCT(--('Данные 2st'!$Q$2:$Q$317=$A25),--ISNUMBER('Данные 2st'!$HC$2:$HC$317))</f>
        <v>5</v>
      </c>
      <c r="NI25">
        <f>SUMPRODUCT(--('Данные 2st'!$Q$2:$Q$317=$A25),--ISNUMBER('Данные 2st'!$HD$2:$HD$317))</f>
        <v>5</v>
      </c>
      <c r="NJ25">
        <f>SUMPRODUCT(--('Данные 2st'!$Q$2:$Q$317=$A25),--ISNUMBER('Данные 2st'!$HM$2:$HM$317))</f>
        <v>5</v>
      </c>
      <c r="NK25">
        <f>SUMPRODUCT(--('Данные 2st'!$Q$2:$Q$317=$A25),--ISNUMBER('Данные 2st'!$HR$2:$HR$317))</f>
        <v>5</v>
      </c>
      <c r="NL25">
        <f>SUMPRODUCT(--('Данные 2st'!$Q$2:$Q$317=$A25),--ISNUMBER('Данные 2st'!$HS$2:$HS$317))</f>
        <v>5</v>
      </c>
      <c r="NM25">
        <f>SUMPRODUCT(--('Данные 2st'!$Q$2:$Q$317=$A25),--ISNUMBER('Данные 2st'!$HT$2:$HT$317))</f>
        <v>5</v>
      </c>
      <c r="NN25">
        <f>SUMPRODUCT(--('Данные 2st'!$Q$2:$Q$317=$A25),--ISNUMBER('Данные 2st'!$HY$2:$HY$317))</f>
        <v>5</v>
      </c>
      <c r="NO25">
        <f>SUMPRODUCT(--('Данные 2st'!$Q$2:$Q$317=$A25),--ISNUMBER('Данные 2st'!$HZ$2:$HZ$317))</f>
        <v>5</v>
      </c>
      <c r="NP25">
        <f>SUMPRODUCT(--('Данные 2st'!$Q$2:$Q$317=$A25),--ISNUMBER('Данные 2st'!$IA$2:$IA$317))</f>
        <v>5</v>
      </c>
      <c r="NQ25">
        <f>SUMPRODUCT(--('Данные 2st'!$Q$2:$Q$317=$A25),--ISNUMBER('Данные 2st'!$IB$2:$IB$317))</f>
        <v>5</v>
      </c>
      <c r="NR25">
        <f>SUMPRODUCT(--('Данные 2st'!$Q$2:$Q$317=$A25),--ISNUMBER('Данные 2st'!$IC$2:$IC$317))</f>
        <v>0</v>
      </c>
      <c r="NS25">
        <f>SUMPRODUCT(--('Данные 2st'!$Q$2:$Q$317=$A25),--ISNUMBER('Данные 2st'!$ID$2:$ID$317))</f>
        <v>5</v>
      </c>
      <c r="NT25">
        <f>SUMPRODUCT(--('Данные 2st'!$Q$2:$Q$317=$A25),--ISNUMBER('Данные 2st'!$IE$2:$IE$317))</f>
        <v>5</v>
      </c>
      <c r="NU25">
        <f>SUMPRODUCT(--('Данные 2st'!$Q$2:$Q$317=$A25),--ISNUMBER('Данные 2st'!$IF$2:$IF$317))</f>
        <v>5</v>
      </c>
      <c r="NV25">
        <f>SUMPRODUCT(--('Данные 2st'!$Q$2:$Q$317=$A25),--ISNUMBER('Данные 2st'!$IG$2:$IG$317))</f>
        <v>5</v>
      </c>
      <c r="NW25">
        <f>SUMPRODUCT(--('Данные 2st'!$Q$2:$Q$317=$A25),--ISNUMBER('Данные 2st'!$IH$2:$IH$317))</f>
        <v>5</v>
      </c>
      <c r="NX25">
        <f>SUMPRODUCT(--('Данные 2st'!$Q$2:$Q$317=$A25),--ISNUMBER('Данные 2st'!$IJ$2:$IJ$317))</f>
        <v>5</v>
      </c>
      <c r="NY25">
        <f>SUMPRODUCT(--('Данные 2st'!$Q$2:$Q$317=$A25),--ISNUMBER('Данные 2st'!$IM$2:$IM$317))</f>
        <v>5</v>
      </c>
      <c r="NZ25">
        <f>SUMPRODUCT(--('Данные 2st'!$Q$2:$Q$317=$A25),--ISNUMBER('Данные 2st'!$IN$2:$IN$317))</f>
        <v>5</v>
      </c>
      <c r="OA25">
        <f>SUMPRODUCT(--('Данные 2st'!$Q$2:$Q$317=$A25),--ISNUMBER('Данные 2st'!$IO$2:$IO$317))</f>
        <v>5</v>
      </c>
      <c r="OB25">
        <f>SUMPRODUCT(--('Данные 2st'!$Q$2:$Q$317=$A25),--ISNUMBER('Данные 2st'!$IP$2:$IP$317))</f>
        <v>5</v>
      </c>
      <c r="OC25">
        <f>SUMPRODUCT(--('Данные 2st'!$Q$2:$Q$317=$A25),--ISNUMBER('Данные 2st'!$IQ$2:$IQ$317))</f>
        <v>5</v>
      </c>
      <c r="OD25">
        <f>SUMPRODUCT(--('Данные 2st'!$Q$2:$Q$317=$A25),--ISNUMBER('Данные 2st'!$IR$2:$IR$317))</f>
        <v>5</v>
      </c>
      <c r="OE25">
        <f>SUMPRODUCT(--('Данные 2st'!$Q$2:$Q$317=$A25),--ISNUMBER('Данные 2st'!$IT$2:$IT$317))</f>
        <v>5</v>
      </c>
      <c r="OF25">
        <f>SUMPRODUCT(--('Данные 2st'!$Q$2:$Q$317=$A25),--ISNUMBER('Данные 2st'!$IU$2:$IU$317))</f>
        <v>5</v>
      </c>
      <c r="OG25">
        <f>SUMPRODUCT(--('Данные 2st'!$Q$2:$Q$317=$A25),--ISNUMBER('Данные 2st'!$IV$2:$IV$317))</f>
        <v>5</v>
      </c>
      <c r="OH25">
        <f>SUMPRODUCT(--('Данные 2st'!$Q$2:$Q$317=$A25),--ISNUMBER('Данные 2st'!$IW$2:$IW$317))</f>
        <v>5</v>
      </c>
      <c r="OI25">
        <f>SUMPRODUCT(--('Данные 2st'!$Q$2:$Q$317=$A25),--ISNUMBER('Данные 2st'!$IX$2:$IX$317))</f>
        <v>5</v>
      </c>
      <c r="OJ25">
        <f>SUMPRODUCT(--('Данные 2st'!$Q$2:$Q$317=$A25),--ISNUMBER('Данные 2st'!$IY$2:$IY$317))</f>
        <v>5</v>
      </c>
      <c r="OK25">
        <f>SUMPRODUCT(--('Данные 2st'!$Q$2:$Q$317=$A25),--ISNUMBER('Данные 2st'!$IZ$2:$IZ$317))</f>
        <v>5</v>
      </c>
      <c r="OL25">
        <f>SUMPRODUCT(--('Данные 2st'!$Q$2:$Q$317=$A25),--ISNUMBER('Данные 2st'!$JA$2:$JA$317))</f>
        <v>5</v>
      </c>
      <c r="OM25">
        <f>SUMPRODUCT(--('Данные 2st'!$Q$2:$Q$317=$A25),--ISNUMBER('Данные 2st'!$JB$2:$JB$317))</f>
        <v>5</v>
      </c>
      <c r="ON25">
        <f>SUMPRODUCT(--('Данные 2st'!$Q$2:$Q$317=$A25),--ISNUMBER('Данные 2st'!$JC$2:$JC$317))</f>
        <v>5</v>
      </c>
      <c r="OO25">
        <f>SUMPRODUCT(--('Данные 2st'!$Q$2:$Q$317=$A25),--ISNUMBER('Данные 2st'!$JD$2:$JD$317))</f>
        <v>5</v>
      </c>
      <c r="OP25">
        <f>SUMPRODUCT(--('Данные 2st'!$Q$2:$Q$317=$A25),--ISNUMBER('Данные 2st'!$JE$2:$JE$317))</f>
        <v>5</v>
      </c>
      <c r="OQ25">
        <f>SUMPRODUCT(--('Данные 2st'!$Q$2:$Q$317=$A25),--ISNUMBER('Данные 2st'!$JF$2:$JF$317))</f>
        <v>5</v>
      </c>
      <c r="OR25">
        <f>SUMPRODUCT(--('Данные 2st'!$Q$2:$Q$317=$A25),--ISNUMBER('Данные 2st'!$JG$2:$JG$317))</f>
        <v>5</v>
      </c>
      <c r="OS25">
        <f>SUMPRODUCT(--('Данные 2st'!$Q$2:$Q$317=$A25),--ISNUMBER('Данные 2st'!$JH$2:$JH$317))</f>
        <v>5</v>
      </c>
      <c r="OT25">
        <f>SUMPRODUCT(--('Данные 2st'!$Q$2:$Q$317=$A25),--ISNUMBER('Данные 2st'!$JI$2:$JI$317))</f>
        <v>5</v>
      </c>
      <c r="OU25">
        <f>SUMPRODUCT(--('Данные 2st'!$Q$2:$Q$317=$A25),--ISNUMBER('Данные 2st'!$JJ$2:$JJ$317))</f>
        <v>5</v>
      </c>
      <c r="OV25">
        <f>SUMPRODUCT(--('Данные 2st'!$Q$2:$Q$317=$A25),--ISNUMBER('Данные 2st'!$JK$2:$JK$317))</f>
        <v>5</v>
      </c>
      <c r="OW25">
        <f>SUMPRODUCT(--('Данные 2st'!$Q$2:$Q$317=$A25),--ISNUMBER('Данные 2st'!$JL$2:$JL$317))</f>
        <v>5</v>
      </c>
      <c r="OX25">
        <f>SUMPRODUCT(--('Данные 2st'!$Q$2:$Q$317=$A25),--ISNUMBER('Данные 2st'!$JM$2:$JM$317))</f>
        <v>5</v>
      </c>
      <c r="OY25">
        <f>SUMPRODUCT(--('Данные 2st'!$Q$2:$Q$317=$A25),--ISNUMBER('Данные 2st'!$JP$2:$JP$317))</f>
        <v>5</v>
      </c>
      <c r="OZ25">
        <f>SUMPRODUCT(--('Данные 2st'!$Q$2:$Q$317=$A25),--ISNUMBER('Данные 2st'!$JQ$2:$JQ$317))</f>
        <v>5</v>
      </c>
      <c r="PA25">
        <f>SUMPRODUCT(--('Данные 2st'!$Q$2:$Q$317=$A25),--ISNUMBER('Данные 2st'!$JR$2:$JR$317))</f>
        <v>5</v>
      </c>
      <c r="PB25">
        <f>SUMPRODUCT(--('Данные 2st'!$Q$2:$Q$317=$A25),--ISNUMBER('Данные 2st'!$JS$2:$JS$317))</f>
        <v>5</v>
      </c>
      <c r="PC25">
        <f>SUMPRODUCT(--('Данные 2st'!$Q$2:$Q$317=$A25),--ISNUMBER('Данные 2st'!$JT$2:$JT$317))</f>
        <v>5</v>
      </c>
      <c r="PD25">
        <f>SUMPRODUCT(--('Данные 2st'!$Q$2:$Q$317=$A25),--ISNUMBER('Данные 2st'!$JU$2:$JU$317))</f>
        <v>5</v>
      </c>
      <c r="PE25">
        <f>SUMPRODUCT(--('Данные 2st'!$Q$2:$Q$317=$A25),--ISNUMBER('Данные 2st'!$JV$2:$JV$317))</f>
        <v>5</v>
      </c>
      <c r="PF25">
        <f>SUMPRODUCT(--('Данные 2st'!$Q$2:$Q$317=$A25),--ISNUMBER('Данные 2st'!$JW$2:$JW$317))</f>
        <v>5</v>
      </c>
      <c r="PG25">
        <f>SUMPRODUCT(--('Данные 2st'!$Q$2:$Q$317=$A25),--ISNUMBER('Данные 2st'!$KF$2:$KF$317))</f>
        <v>5</v>
      </c>
      <c r="PH25">
        <f>SUMPRODUCT(--('Данные 2st'!$Q$2:$Q$317=$A25),--ISNUMBER('Данные 2st'!$KG$2:$KG$317))</f>
        <v>5</v>
      </c>
      <c r="PI25">
        <f>SUMPRODUCT(--('Данные 2st'!$Q$2:$Q$317=$A25),--ISNUMBER('Данные 2st'!$KM$2:$KM$317))</f>
        <v>5</v>
      </c>
      <c r="PJ25">
        <f>SUMPRODUCT(--('Данные 2st'!$Q$2:$Q$317=$A25),--ISNUMBER('Данные 2st'!$KN$2:$KN$317))</f>
        <v>5</v>
      </c>
      <c r="PK25">
        <f>SUMPRODUCT(--('Данные 2st'!$Q$2:$Q$317=$A25),--ISNUMBER('Данные 2st'!$KO$2:$KO$317))</f>
        <v>5</v>
      </c>
      <c r="PL25">
        <f>SUMPRODUCT(--('Данные 2st'!$Q$2:$Q$317=$A25),--ISNUMBER('Данные 2st'!$KP$2:$KP$317))</f>
        <v>5</v>
      </c>
      <c r="PM25">
        <f>SUMPRODUCT(--('Данные 2st'!$Q$2:$Q$317=$A25),--ISNUMBER('Данные 2st'!$KQ$2:$KQ$317))</f>
        <v>5</v>
      </c>
      <c r="PN25">
        <f>SUMPRODUCT(--('Данные 2st'!$Q$2:$Q$317=$A25),--ISNUMBER('Данные 2st'!$KR$2:$KR$317))</f>
        <v>5</v>
      </c>
      <c r="PO25">
        <f>SUMPRODUCT(--('Данные 2st'!$Q$2:$Q$317=$A25),--ISNUMBER('Данные 2st'!$KS$2:$KS$317))</f>
        <v>5</v>
      </c>
      <c r="PP25">
        <f>SUMPRODUCT(--('Данные 2st'!$Q$2:$Q$317=$A25),--ISNUMBER('Данные 2st'!$KT$2:$KT$317))</f>
        <v>5</v>
      </c>
      <c r="PQ25">
        <f>SUMPRODUCT(--('Данные 2st'!$Q$2:$Q$317=$A25),--ISNUMBER('Данные 2st'!$KU$2:$KU$317))</f>
        <v>5</v>
      </c>
      <c r="PR25">
        <f>SUMPRODUCT(--('Данные 2st'!$Q$2:$Q$317=$A25),--ISNUMBER('Данные 2st'!$KV$2:$KV$317))</f>
        <v>5</v>
      </c>
      <c r="PS25">
        <f>SUMPRODUCT(--('Данные 2st'!$Q$2:$Q$317=$A25),--ISNUMBER('Данные 2st'!$KW$2:$KW$317))</f>
        <v>5</v>
      </c>
      <c r="PT25">
        <f>SUMPRODUCT(--('Данные 2st'!$Q$2:$Q$317=$A25),--ISNUMBER('Данные 2st'!$KX$2:$KX$317))</f>
        <v>5</v>
      </c>
      <c r="PU25">
        <f>SUMPRODUCT(--('Данные 2st'!$Q$2:$Q$317=$A25),--ISNUMBER('Данные 2st'!$KY$2:$KY$317))</f>
        <v>5</v>
      </c>
      <c r="PV25">
        <f>SUMPRODUCT(--('Данные 2st'!$Q$2:$Q$317=$A25),--ISNUMBER('Данные 2st'!$KZ$2:$KZ$317))</f>
        <v>5</v>
      </c>
      <c r="PW25">
        <f>SUMPRODUCT(--('Данные 2st'!$Q$2:$Q$317=$A25),--ISNUMBER('Данные 2st'!$LA$2:$LA$317))</f>
        <v>5</v>
      </c>
      <c r="PX25">
        <f>SUMPRODUCT(--('Данные 2st'!$Q$2:$Q$317=$A25),--ISNUMBER('Данные 2st'!$LB$2:$LB$317))</f>
        <v>5</v>
      </c>
      <c r="PY25">
        <f>SUMPRODUCT(--('Данные 2st'!$Q$2:$Q$317=$A25),--ISNUMBER('Данные 2st'!$LC$2:$LC$317))</f>
        <v>5</v>
      </c>
      <c r="PZ25">
        <f>SUMPRODUCT(--('Данные 2st'!$Q$2:$Q$317=$A25),--ISNUMBER('Данные 2st'!$LD$2:$LD$317))</f>
        <v>5</v>
      </c>
      <c r="QA25">
        <f>SUMPRODUCT(--('Данные 2st'!$Q$2:$Q$317=$A25),--ISNUMBER('Данные 2st'!$LE$2:$LE$317))</f>
        <v>5</v>
      </c>
      <c r="QB25">
        <f>SUMPRODUCT(--('Данные 2st'!$Q$2:$Q$317=$A25),--ISNUMBER('Данные 2st'!$LF$2:$LF$317))</f>
        <v>5</v>
      </c>
      <c r="QC25">
        <f>SUMPRODUCT(--('Данные 2st'!$Q$2:$Q$317=$A25),--ISNUMBER('Данные 2st'!$LG$2:$LG$317))</f>
        <v>5</v>
      </c>
      <c r="QD25">
        <f>SUMPRODUCT(--('Данные 2st'!$Q$2:$Q$317=$A25),--ISNUMBER('Данные 2st'!$LH$2:$LH$317))</f>
        <v>5</v>
      </c>
      <c r="QE25">
        <f>SUMPRODUCT(--('Данные 2st'!$Q$2:$Q$317=$A25),--ISNUMBER('Данные 2st'!$LJ$2:$LJ$317))</f>
        <v>5</v>
      </c>
      <c r="QF25">
        <f>SUMPRODUCT(--('Данные 2st'!$Q$2:$Q$317=$A25),--ISNUMBER('Данные 2st'!$LK$2:$LK$317))</f>
        <v>5</v>
      </c>
      <c r="QG25">
        <f>SUMPRODUCT(--('Данные 2st'!$Q$2:$Q$317=$A25),--ISNUMBER('Данные 2st'!$LL$2:$LL$317))</f>
        <v>5</v>
      </c>
      <c r="QH25">
        <f>SUMPRODUCT(--('Данные 2st'!$Q$2:$Q$317=$A25),--ISNUMBER('Данные 2st'!$LM$2:$LM$317))</f>
        <v>5</v>
      </c>
      <c r="QI25">
        <f>SUMPRODUCT(--('Данные 2st'!$Q$2:$Q$317=$A25),--ISNUMBER('Данные 2st'!$LN$2:$LN$317))</f>
        <v>5</v>
      </c>
      <c r="QJ25">
        <f>SUMPRODUCT(--('Данные 2st'!$Q$2:$Q$317=$A25),--ISNUMBER('Данные 2st'!$LO$2:$LO$317))</f>
        <v>5</v>
      </c>
      <c r="QK25">
        <f>SUMPRODUCT(--('Данные 2st'!$Q$2:$Q$317=$A25),--ISNUMBER('Данные 2st'!$LP$2:$LP$317))</f>
        <v>5</v>
      </c>
      <c r="QL25">
        <f>SUMPRODUCT(--('Данные 2st'!$Q$2:$Q$317=$A25),--ISNUMBER('Данные 2st'!$LQ$2:$LQ$317))</f>
        <v>5</v>
      </c>
      <c r="QM25">
        <f>SUMPRODUCT(--('Данные 2st'!$Q$2:$Q$317=$A25),--ISNUMBER('Данные 2st'!$LW$2:$LW$317))</f>
        <v>5</v>
      </c>
      <c r="QN25">
        <f>SUMPRODUCT(--('Данные 2st'!$Q$2:$Q$317=$A25),--ISNUMBER('Данные 2st'!$LX$2:$LX$317))</f>
        <v>5</v>
      </c>
      <c r="QO25">
        <f>SUMPRODUCT(--('Данные 2st'!$Q$2:$Q$317=$A25),--ISNUMBER('Данные 2st'!$LY$2:$LY$317))</f>
        <v>5</v>
      </c>
      <c r="QP25">
        <f>SUMPRODUCT(--('Данные 2st'!$Q$2:$Q$317=$A25),--ISNUMBER('Данные 2st'!$LZ$2:$LZ$317))</f>
        <v>5</v>
      </c>
      <c r="QQ25">
        <f>SUMPRODUCT(--('Данные 2st'!$Q$2:$Q$317=$A25),--ISNUMBER('Данные 2st'!$MB$2:$MB$317))</f>
        <v>5</v>
      </c>
      <c r="QR25">
        <f>SUMPRODUCT(--('Данные 2st'!$Q$2:$Q$317=$A25),--ISNUMBER('Данные 2st'!$MG$2:$MG$317))</f>
        <v>0</v>
      </c>
      <c r="QS25">
        <f>SUMPRODUCT(--('Данные 2st'!$Q$2:$Q$317=$A25),--ISNUMBER('Данные 2st'!$MH$2:$MH$317))</f>
        <v>0</v>
      </c>
      <c r="QT25">
        <f>SUMPRODUCT(--('Данные 2st'!$Q$2:$Q$317=$A25),--ISNUMBER('Данные 2st'!$MI$2:$MI$317))</f>
        <v>5</v>
      </c>
      <c r="QU25">
        <f>SUMPRODUCT(--('Данные 2st'!$Q$2:$Q$317=$A25),--ISNUMBER('Данные 2st'!$MJ$2:$MJ$317))</f>
        <v>5</v>
      </c>
      <c r="QV25">
        <f>SUMPRODUCT(--('Данные 2st'!$Q$2:$Q$317=$A25),--ISNUMBER('Данные 2st'!$MK$2:$MK$317))</f>
        <v>0</v>
      </c>
      <c r="QW25">
        <f>SUMPRODUCT(--('Данные 2st'!$Q$2:$Q$317=$A25),--ISNUMBER('Данные 2st'!$MM$2:$MM$317))</f>
        <v>5</v>
      </c>
      <c r="QX25">
        <f>SUMPRODUCT(--('Данные 2st'!$Q$2:$Q$317=$A25),--ISNUMBER('Данные 2st'!$MQ$2:$MQ$317))</f>
        <v>0</v>
      </c>
      <c r="QY25">
        <f>SUMPRODUCT(--('Данные 2st'!$Q$2:$Q$317=$A25),--ISNUMBER('Данные 2st'!$MR$2:$MR$317))</f>
        <v>0</v>
      </c>
      <c r="QZ25">
        <f>SUMPRODUCT(--('Данные 2st'!$Q$2:$Q$317=$A25),--ISNUMBER('Данные 2st'!$MS$2:$MS$317))</f>
        <v>0</v>
      </c>
      <c r="RA25">
        <f>SUMPRODUCT(--('Данные 2st'!$Q$2:$Q$317=$A25),--ISNUMBER('Данные 2st'!$MT$2:$MT$317))</f>
        <v>0</v>
      </c>
      <c r="RB25">
        <f>SUMPRODUCT(--('Данные 2st'!$Q$2:$Q$317=$A25),--ISNUMBER('Данные 2st'!$MU$2:$MU$317))</f>
        <v>0</v>
      </c>
      <c r="RC25">
        <f>SUMPRODUCT(--('Данные 2st'!$Q$2:$Q$317=$A25),--ISNUMBER('Данные 2st'!$MV$2:$MV$317))</f>
        <v>0</v>
      </c>
      <c r="RD25">
        <f>SUMPRODUCT(--('Данные 2st'!$Q$2:$Q$317=$A25),--ISNUMBER('Данные 2st'!$MW$2:$MW$317))</f>
        <v>0</v>
      </c>
      <c r="RE25">
        <f>SUMPRODUCT(--('Данные 2st'!$Q$2:$Q$317=$A25),--ISNUMBER('Данные 2st'!$MX$2:$MX$317))</f>
        <v>0</v>
      </c>
      <c r="RF25">
        <f>SUMPRODUCT(--('Данные 2st'!$Q$2:$Q$317=$A25),--ISNUMBER('Данные 2st'!$MY$2:$MY$317))</f>
        <v>0</v>
      </c>
      <c r="RG25">
        <f>SUMPRODUCT(--('Данные 2st'!$Q$2:$Q$317=$A25),--ISNUMBER('Данные 2st'!$MZ$2:$MZ$317))</f>
        <v>0</v>
      </c>
      <c r="RH25">
        <f>SUMPRODUCT(--('Данные 2st'!$Q$2:$Q$317=$A25),--ISNUMBER('Данные 2st'!$NA$2:$NA$317))</f>
        <v>0</v>
      </c>
      <c r="RI25">
        <f>SUMPRODUCT(--('Данные 2st'!$Q$2:$Q$317=$A25),--ISNUMBER('Данные 2st'!$NB$2:$NB$317))</f>
        <v>0</v>
      </c>
      <c r="RJ25">
        <f>SUMPRODUCT(--('Данные 2st'!$Q$2:$Q$317=$A25),--ISNUMBER('Данные 2st'!$NC$2:$NC$317))</f>
        <v>0</v>
      </c>
      <c r="RK25">
        <f>SUMPRODUCT(--('Данные 2st'!$Q$2:$Q$317=$A25),--ISNUMBER('Данные 2st'!$ND$2:$ND$317))</f>
        <v>0</v>
      </c>
      <c r="RL25">
        <f>SUMPRODUCT(--('Данные 2st'!$Q$2:$Q$317=$A25),--ISNUMBER('Данные 2st'!$NE$2:$NE$317))</f>
        <v>0</v>
      </c>
      <c r="RM25">
        <f>SUMPRODUCT(--('Данные 2st'!$Q$2:$Q$317=$A25),--ISNUMBER('Данные 2st'!$NF$2:$NF$317))</f>
        <v>0</v>
      </c>
      <c r="RN25">
        <f>SUMPRODUCT(--('Данные 2st'!$Q$2:$Q$317=$A25),--ISNUMBER('Данные 2st'!$NG$2:$NG$317))</f>
        <v>0</v>
      </c>
      <c r="RO25">
        <f>SUMPRODUCT(--('Данные 2st'!$Q$2:$Q$317=$A25),--ISNUMBER('Данные 2st'!$NH$2:$NH$317))</f>
        <v>5</v>
      </c>
      <c r="RP25">
        <f>SUMPRODUCT(--('Данные 2st'!$Q$2:$Q$317=$A25),--ISNUMBER('Данные 2st'!$NJ$2:$NJ$317))</f>
        <v>5</v>
      </c>
      <c r="RQ25">
        <f>SUMPRODUCT(--('Данные 2st'!$Q$2:$Q$317=$A25),--ISNUMBER('Данные 2st'!$NK$2:$NK$317))</f>
        <v>5</v>
      </c>
      <c r="RR25">
        <f>SUMPRODUCT(--('Данные 2st'!$Q$2:$Q$317=$A25),--ISNUMBER('Данные 2st'!$NM$2:$NM$317))</f>
        <v>5</v>
      </c>
      <c r="RS25">
        <f>SUMPRODUCT(--('Данные 2st'!$Q$2:$Q$317=$A25),--ISNUMBER('Данные 2st'!$NN$2:$NN$317))</f>
        <v>0</v>
      </c>
      <c r="RT25">
        <f>SUMPRODUCT(--('Данные 2st'!$Q$2:$Q$317=$A25),--ISNUMBER('Данные 2st'!$NO$2:$NO$317))</f>
        <v>0</v>
      </c>
      <c r="RU25">
        <f>SUMPRODUCT(--('Данные 2st'!$Q$2:$Q$317=$A25),--ISNUMBER('Данные 2st'!$NP$2:$NP$317))</f>
        <v>0</v>
      </c>
      <c r="RV25">
        <f>SUMPRODUCT(--('Данные 2st'!$Q$2:$Q$317=$A25),--ISNUMBER('Данные 2st'!$NQ$2:$NQ$317))</f>
        <v>0</v>
      </c>
      <c r="RW25">
        <f>SUMPRODUCT(--('Данные 2st'!$Q$2:$Q$317=$A25),--ISNUMBER('Данные 2st'!$NR$2:$NR$317))</f>
        <v>0</v>
      </c>
      <c r="RX25">
        <f>SUMPRODUCT(--('Данные 2st'!$Q$2:$Q$317=$A25),--ISNUMBER('Данные 2st'!$NS$2:$NS$317))</f>
        <v>0</v>
      </c>
      <c r="RY25">
        <f>SUMPRODUCT(--('Данные 2st'!$Q$2:$Q$317=$A25),--ISNUMBER('Данные 2st'!$NT$2:$NT$317))</f>
        <v>0</v>
      </c>
      <c r="RZ25">
        <f>SUMPRODUCT(--('Данные 2st'!$Q$2:$Q$317=$A25),--ISNUMBER('Данные 2st'!$OK$2:$OK$317))</f>
        <v>5</v>
      </c>
      <c r="SA25">
        <f>SUMPRODUCT(--('Данные 2st'!$Q$2:$Q$317=$A25),--ISNUMBER('Данные 2st'!$OL$2:$OL$317))</f>
        <v>5</v>
      </c>
      <c r="SB25">
        <f>SUMPRODUCT(--('Данные 2st'!$Q$2:$Q$317=$A25),--ISNUMBER('Данные 2st'!$ON$2:$ON$317))</f>
        <v>5</v>
      </c>
      <c r="SC25">
        <f>SUMPRODUCT(--('Данные 2st'!$Q$2:$Q$317=$A25),--ISNUMBER('Данные 2st'!$OO$2:$OO$317))</f>
        <v>5</v>
      </c>
      <c r="SD25">
        <f>SUMPRODUCT(--('Данные 2st'!$Q$2:$Q$317=$A25),--ISNUMBER('Данные 2st'!$OP$2:$OP$317))</f>
        <v>5</v>
      </c>
      <c r="SE25">
        <f>SUMPRODUCT(--('Данные 2st'!$Q$2:$Q$317=$A25),--ISNUMBER('Данные 2st'!$OQ$2:$OQ$317))</f>
        <v>5</v>
      </c>
      <c r="SF25">
        <f>SUMPRODUCT(--('Данные 2st'!$Q$2:$Q$317=$A25),--ISNUMBER('Данные 2st'!$OS$2:$OS$317))</f>
        <v>5</v>
      </c>
      <c r="SG25">
        <f>SUMPRODUCT(--('Данные 2st'!$Q$2:$Q$317=$A25),--ISNUMBER('Данные 2st'!$OT$2:$OT$317))</f>
        <v>5</v>
      </c>
      <c r="SH25">
        <f>SUMPRODUCT(--('Данные 2st'!$Q$2:$Q$317=$A25),--ISNUMBER('Данные 2st'!$OU$2:$OU$317))</f>
        <v>5</v>
      </c>
      <c r="SI25">
        <f>SUMPRODUCT(--('Данные 2st'!$Q$2:$Q$317=$A25),--ISNUMBER('Данные 2st'!$OV$2:$OV$317))</f>
        <v>5</v>
      </c>
      <c r="SJ25">
        <f>SUMPRODUCT(--('Данные 2st'!$Q$2:$Q$317=$A25),--ISNUMBER('Данные 2st'!$OX$2:$OX$317))</f>
        <v>5</v>
      </c>
      <c r="SK25">
        <f>SUMPRODUCT(--('Данные 2st'!$Q$2:$Q$317=$A25),--ISNUMBER('Данные 2st'!$OY$2:$OY$317))</f>
        <v>5</v>
      </c>
      <c r="SL25">
        <f>SUMPRODUCT(--('Данные 2st'!$Q$2:$Q$317=$A25),--ISNUMBER('Данные 2st'!$OZ$2:$OZ$317))</f>
        <v>5</v>
      </c>
      <c r="SM25">
        <f>SUMPRODUCT(--('Данные 2st'!$Q$2:$Q$317=$A25),--ISNUMBER('Данные 2st'!$PA$2:$PA$317))</f>
        <v>5</v>
      </c>
      <c r="SN25">
        <f>SUMPRODUCT(--('Данные 2st'!$Q$2:$Q$317=$A25),--ISNUMBER('Данные 2st'!$PC$2:$PC$317))</f>
        <v>5</v>
      </c>
      <c r="SO25">
        <f>SUMPRODUCT(--('Данные 2st'!$Q$2:$Q$317=$A25),--ISNUMBER('Данные 2st'!$PD$2:$PD$317))</f>
        <v>5</v>
      </c>
      <c r="SP25">
        <f>SUMPRODUCT(--('Данные 2st'!$Q$2:$Q$317=$A25),--ISNUMBER('Данные 2st'!$PF$2:$PF$317))</f>
        <v>5</v>
      </c>
      <c r="SQ25">
        <f>SUMPRODUCT(--('Данные 2st'!$Q$2:$Q$317=$A25),--ISNUMBER('Данные 2st'!$PG$2:$PG$317))</f>
        <v>5</v>
      </c>
      <c r="SR25">
        <f>SUMPRODUCT(--('Данные 2st'!$Q$2:$Q$317=$A25),--ISNUMBER('Данные 2st'!$PH$2:$PH$317))</f>
        <v>5</v>
      </c>
      <c r="SS25">
        <f>SUMPRODUCT(--('Данные 2st'!$Q$2:$Q$317=$A25),--ISNUMBER('Данные 2st'!$PI$2:$PI$317))</f>
        <v>5</v>
      </c>
      <c r="ST25">
        <f>SUMPRODUCT(--('Данные 2st'!$Q$2:$Q$317=$A25),--ISNUMBER('Данные 2st'!$PJ$2:$PJ$317))</f>
        <v>5</v>
      </c>
      <c r="SU25">
        <f>SUMPRODUCT(--('Данные 2st'!$Q$2:$Q$317=$A25),--ISNUMBER('Данные 2st'!$PK$2:$PK$317))</f>
        <v>4</v>
      </c>
      <c r="SV25">
        <f>SUMPRODUCT(--('Данные 2st'!$Q$2:$Q$317=$A25),--ISNUMBER('Данные 2st'!$PL$2:$PL$317))</f>
        <v>5</v>
      </c>
      <c r="SW25">
        <f>SUMPRODUCT(--('Данные 2st'!$Q$2:$Q$317=$A25),--ISNUMBER('Данные 2st'!$PM$2:$PM$317))</f>
        <v>5</v>
      </c>
      <c r="SX25">
        <f>SUMPRODUCT(--('Данные 2st'!$Q$2:$Q$317=$A25),--ISNUMBER('Данные 2st'!$PN$2:$PN$317))</f>
        <v>5</v>
      </c>
      <c r="SY25">
        <f>SUMPRODUCT(--('Данные 2st'!$Q$2:$Q$317=$A25),--ISNUMBER('Данные 2st'!$PO$2:$PO$317))</f>
        <v>4</v>
      </c>
      <c r="SZ25">
        <f>SUMPRODUCT(--('Данные 2st'!$Q$2:$Q$317=$A25),--ISNUMBER('Данные 2st'!$PP$2:$PP$317))</f>
        <v>5</v>
      </c>
      <c r="TA25">
        <f>SUMPRODUCT(--('Данные 2st'!$Q$2:$Q$317=$A25),--ISNUMBER('Данные 2st'!$PQ$2:$PQ$317))</f>
        <v>5</v>
      </c>
      <c r="TB25">
        <f>SUMPRODUCT(--('Данные 2st'!$Q$2:$Q$317=$A25),--ISNUMBER('Данные 2st'!$PR$2:$PR$317))</f>
        <v>5</v>
      </c>
      <c r="TC25">
        <f>SUMPRODUCT(--('Данные 2st'!$Q$2:$Q$317=$A25),--ISNUMBER('Данные 2st'!$PS$2:$PS$317))</f>
        <v>5</v>
      </c>
      <c r="TD25">
        <f>SUMPRODUCT(--('Данные 2st'!$Q$2:$Q$317=$A25),--ISNUMBER('Данные 2st'!$PT$2:$PT$317))</f>
        <v>5</v>
      </c>
      <c r="TE25">
        <f>SUMPRODUCT(--('Данные 2st'!$Q$2:$Q$317=$A25),--ISNUMBER('Данные 2st'!$PU$2:$PU$317))</f>
        <v>5</v>
      </c>
      <c r="TF25">
        <f>SUMPRODUCT(--('Данные 2st'!$Q$2:$Q$317=$A25),--ISNUMBER('Данные 2st'!$PX$2:$PX$317))</f>
        <v>5</v>
      </c>
      <c r="TG25">
        <f>SUMPRODUCT(--('Данные 2st'!$Q$2:$Q$317=$A25),--ISNUMBER('Данные 2st'!$PY$2:$PY$317))</f>
        <v>5</v>
      </c>
      <c r="TH25">
        <f>SUMPRODUCT(--('Данные 2st'!$Q$2:$Q$317=$A25),--ISNUMBER('Данные 2st'!$PZ$2:$PZ$317))</f>
        <v>5</v>
      </c>
      <c r="TI25">
        <f>SUMPRODUCT(--('Данные 2st'!$Q$2:$Q$317=$A25),--ISNUMBER('Данные 2st'!$QA$2:$QA$317))</f>
        <v>5</v>
      </c>
      <c r="TJ25">
        <f>SUMPRODUCT(--('Данные 2st'!$Q$2:$Q$317=$A25),--ISNUMBER('Данные 2st'!$QB$2:$QB$317))</f>
        <v>5</v>
      </c>
      <c r="TK25">
        <f>SUMPRODUCT(--('Данные 2st'!$Q$2:$Q$317=$A25),--ISNUMBER('Данные 2st'!$QC$2:$QC$317))</f>
        <v>5</v>
      </c>
      <c r="TL25">
        <f>SUMPRODUCT(--('Данные 2st'!$Q$2:$Q$317=$A25),--ISNUMBER('Данные 2st'!$QD$2:$QD$317))</f>
        <v>5</v>
      </c>
      <c r="TM25">
        <f>SUMPRODUCT(--('Данные 2st'!$Q$2:$Q$317=$A25),--ISNUMBER('Данные 2st'!$QE$2:$QE$317))</f>
        <v>5</v>
      </c>
      <c r="TN25">
        <f>SUMPRODUCT(--('Данные 2st'!$Q$2:$Q$317=$A25),--ISNUMBER('Данные 2st'!$QF$2:$QF$317))</f>
        <v>5</v>
      </c>
      <c r="TO25">
        <f>SUMPRODUCT(--('Данные 2st'!$Q$2:$Q$317=$A25),--ISNUMBER('Данные 2st'!$QG$2:$QG$317))</f>
        <v>5</v>
      </c>
      <c r="TP25">
        <f>SUMPRODUCT(--('Данные 2st'!$Q$2:$Q$317=$A25),--ISNUMBER('Данные 2st'!$QH$2:$QH$317))</f>
        <v>5</v>
      </c>
      <c r="TQ25">
        <f>SUMPRODUCT(--('Данные 2st'!$Q$2:$Q$317=$A25),--ISNUMBER('Данные 2st'!$QI$2:$QI$317))</f>
        <v>5</v>
      </c>
      <c r="TR25">
        <f>SUMPRODUCT(--('Данные 2st'!$Q$2:$Q$317=$A25),--ISNUMBER('Данные 2st'!$QJ$2:$QJ$317))</f>
        <v>5</v>
      </c>
      <c r="TS25">
        <f>SUMPRODUCT(--('Данные 2st'!$Q$2:$Q$317=$A25),--ISNUMBER('Данные 2st'!$QK$2:$QK$317))</f>
        <v>5</v>
      </c>
      <c r="TT25">
        <f>SUMPRODUCT(--('Данные 2st'!$Q$2:$Q$317=$A25),--ISNUMBER('Данные 2st'!$QL$2:$QL$317))</f>
        <v>5</v>
      </c>
      <c r="TU25">
        <f>SUMPRODUCT(--('Данные 2st'!$Q$2:$Q$317=$A25),--ISNUMBER('Данные 2st'!$QM$2:$QM$317))</f>
        <v>5</v>
      </c>
      <c r="TV25">
        <f>SUMPRODUCT(--('Данные 2st'!$Q$2:$Q$317=$A25),--ISNUMBER('Данные 2st'!$QN$2:$QN$317))</f>
        <v>5</v>
      </c>
      <c r="TW25">
        <f>SUMPRODUCT(--('Данные 2st'!$Q$2:$Q$317=$A25),--ISNUMBER('Данные 2st'!$QQ$2:$QQ$317))</f>
        <v>5</v>
      </c>
      <c r="TX25">
        <f>SUMPRODUCT(--('Данные 2st'!$Q$2:$Q$317=$A25),--ISNUMBER('Данные 2st'!$QS$2:$QS$317))</f>
        <v>5</v>
      </c>
      <c r="TY25">
        <f>SUMPRODUCT(--('Данные 2st'!$Q$2:$Q$317=$A25),--ISNUMBER('Данные 2st'!$QT$2:$QT$317))</f>
        <v>5</v>
      </c>
    </row>
    <row r="26" spans="1:545" ht="32" customHeight="1">
      <c r="A26" s="11" t="str">
        <f>'По размерам'!A26</f>
        <v>215/60R17</v>
      </c>
      <c r="G26">
        <f>SUMPRODUCT(--('Данные 1st'!$S$2:$S$317=$A26),--ISNUMBER('Данные 1st'!$AE$2:$AE$317))</f>
        <v>5</v>
      </c>
      <c r="H26">
        <f>SUMPRODUCT(--('Данные 1st'!$S$2:$S$317=$A26),--ISNUMBER('Данные 1st'!$AF$2:$AF$317))</f>
        <v>5</v>
      </c>
      <c r="I26">
        <f>SUMPRODUCT(--('Данные 1st'!$S$2:$S$317=$A26),--ISNUMBER('Данные 1st'!$AJ$2:$AJ$317))</f>
        <v>5</v>
      </c>
      <c r="J26">
        <f>SUMPRODUCT(--('Данные 1st'!$S$2:$S$317=$A26),--ISNUMBER('Данные 1st'!$AL$2:$AL$317))</f>
        <v>5</v>
      </c>
      <c r="K26">
        <f>SUMPRODUCT(--('Данные 1st'!$S$2:$S$317=$A26),--ISNUMBER('Данные 1st'!$AR$2:$AR$317))</f>
        <v>5</v>
      </c>
      <c r="L26">
        <f>SUMPRODUCT(--('Данные 1st'!$S$2:$S$317=$A26),--ISNUMBER('Данные 1st'!$AS$2:$AS$317))</f>
        <v>5</v>
      </c>
      <c r="M26">
        <f>SUMPRODUCT(--('Данные 1st'!$S$2:$S$317=$A26),--ISNUMBER('Данные 1st'!$AY$2:$AY$317))</f>
        <v>5</v>
      </c>
      <c r="N26">
        <f>SUMPRODUCT(--('Данные 1st'!$S$2:$S$317=$A26),--ISNUMBER('Данные 1st'!$AZ$2:$AZ$317))</f>
        <v>5</v>
      </c>
      <c r="O26">
        <f>SUMPRODUCT(--('Данные 1st'!$S$2:$S$317=$A26),--ISNUMBER('Данные 1st'!$BF$2:$BF$317))</f>
        <v>3</v>
      </c>
      <c r="P26">
        <f>SUMPRODUCT(--('Данные 1st'!$S$2:$S$317=$A26),--ISNUMBER('Данные 1st'!$BG$2:$BG$317))</f>
        <v>5</v>
      </c>
      <c r="Q26">
        <f>SUMPRODUCT(--('Данные 1st'!$S$2:$S$317=$A26),--ISNUMBER('Данные 1st'!$BM$2:$BM$317))</f>
        <v>0</v>
      </c>
      <c r="R26">
        <f>SUMPRODUCT(--('Данные 1st'!$S$2:$S$317=$A26),--ISNUMBER('Данные 1st'!$BN$2:$BN$317))</f>
        <v>5</v>
      </c>
      <c r="S26">
        <f>SUMPRODUCT(--('Данные 1st'!$S$2:$S$317=$A26),--ISNUMBER('Данные 1st'!$BT$2:$BT$317))</f>
        <v>5</v>
      </c>
      <c r="T26">
        <f>SUMPRODUCT(--('Данные 1st'!$S$2:$S$317=$A26),--ISNUMBER('Данные 1st'!$BU$2:$BU$317))</f>
        <v>5</v>
      </c>
      <c r="U26">
        <f>SUMPRODUCT(--('Данные 1st'!$S$2:$S$317=$A26),--ISNUMBER('Данные 1st'!$BW$2:$BW$317))</f>
        <v>5</v>
      </c>
      <c r="V26">
        <f>SUMPRODUCT(--('Данные 1st'!$S$2:$S$317=$A26),--ISNUMBER('Данные 1st'!$BX$2:$BX$317))</f>
        <v>5</v>
      </c>
      <c r="W26">
        <f>SUMPRODUCT(--('Данные 1st'!$S$2:$S$317=$A26),--ISNUMBER('Данные 1st'!$BZ$2:$BZ$317))</f>
        <v>5</v>
      </c>
      <c r="X26">
        <f>SUMPRODUCT(--('Данные 1st'!$S$2:$S$317=$A26),--ISNUMBER('Данные 1st'!$CA$2:$CA$317))</f>
        <v>5</v>
      </c>
      <c r="Y26">
        <f>SUMPRODUCT(--('Данные 1st'!$S$2:$S$317=$A26),--ISNUMBER('Данные 1st'!$CD$2:$CD$317))</f>
        <v>5</v>
      </c>
      <c r="Z26">
        <f>SUMPRODUCT(--('Данные 1st'!$S$2:$S$317=$A26),--ISNUMBER('Данные 1st'!$CF$2:$CF$317))</f>
        <v>5</v>
      </c>
      <c r="AA26">
        <f>SUMPRODUCT(--('Данные 1st'!$S$2:$S$317=$A26),--ISNUMBER('Данные 1st'!$CI$2:$CI$317))</f>
        <v>5</v>
      </c>
      <c r="AB26">
        <f>SUMPRODUCT(--('Данные 1st'!$S$2:$S$317=$A26),--ISNUMBER('Данные 1st'!$CJ$2:$CJ$317))</f>
        <v>5</v>
      </c>
      <c r="AC26">
        <f>SUMPRODUCT(--('Данные 1st'!$S$2:$S$317=$A26),--ISNUMBER('Данные 1st'!$CK$2:$CK$317))</f>
        <v>5</v>
      </c>
      <c r="AD26">
        <f>SUMPRODUCT(--('Данные 1st'!$S$2:$S$317=$A26),--ISNUMBER('Данные 1st'!$CL$2:$CL$317))</f>
        <v>5</v>
      </c>
      <c r="AE26">
        <f>SUMPRODUCT(--('Данные 1st'!$S$2:$S$317=$A26),--ISNUMBER('Данные 1st'!$CM$2:$CM$317))</f>
        <v>5</v>
      </c>
      <c r="AF26">
        <f>SUMPRODUCT(--('Данные 1st'!$S$2:$S$317=$A26),--ISNUMBER('Данные 1st'!$CT$2:$CT$317))</f>
        <v>5</v>
      </c>
      <c r="AG26">
        <f>SUMPRODUCT(--('Данные 1st'!$S$2:$S$317=$A26),--ISNUMBER('Данные 1st'!$CU$2:$CU$317))</f>
        <v>5</v>
      </c>
      <c r="AH26">
        <f>SUMPRODUCT(--('Данные 1st'!$S$2:$S$317=$A26),--ISNUMBER('Данные 1st'!$CV$2:$CV$317))</f>
        <v>5</v>
      </c>
      <c r="AI26">
        <f>SUMPRODUCT(--('Данные 1st'!$S$2:$S$317=$A26),--ISNUMBER('Данные 1st'!$CW$2:$CW$317))</f>
        <v>5</v>
      </c>
      <c r="AJ26">
        <f>SUMPRODUCT(--('Данные 1st'!$S$2:$S$317=$A26),--ISNUMBER('Данные 1st'!$CX$2:$CX$317))</f>
        <v>5</v>
      </c>
      <c r="AK26">
        <f>SUMPRODUCT(--('Данные 1st'!$S$2:$S$317=$A26),--ISNUMBER('Данные 1st'!$CZ$2:$CZ$317))</f>
        <v>0</v>
      </c>
      <c r="AL26">
        <f>SUMPRODUCT(--('Данные 1st'!$S$2:$S$317=$A26),--ISNUMBER('Данные 1st'!$DA$2:$DA$317))</f>
        <v>0</v>
      </c>
      <c r="AM26">
        <f>SUMPRODUCT(--('Данные 1st'!$S$2:$S$317=$A26),--ISNUMBER('Данные 1st'!$DB$2:$DB$317))</f>
        <v>0</v>
      </c>
      <c r="AN26">
        <f>SUMPRODUCT(--('Данные 1st'!$S$2:$S$317=$A26),--ISNUMBER('Данные 1st'!$DC$2:$DC$317))</f>
        <v>0</v>
      </c>
      <c r="AO26">
        <f>SUMPRODUCT(--('Данные 1st'!$S$2:$S$317=$A26),--ISNUMBER('Данные 1st'!$DD$2:$DD$317))</f>
        <v>5</v>
      </c>
      <c r="AP26">
        <f>SUMPRODUCT(--('Данные 1st'!$S$2:$S$317=$A26),--ISNUMBER('Данные 1st'!$DF$2:$DF$317))</f>
        <v>5</v>
      </c>
      <c r="AQ26">
        <f>SUMPRODUCT(--('Данные 1st'!$S$2:$S$317=$A26),--ISNUMBER('Данные 1st'!$DG$2:$DG$317))</f>
        <v>5</v>
      </c>
      <c r="AR26">
        <f>SUMPRODUCT(--('Данные 1st'!$S$2:$S$317=$A26),--ISNUMBER('Данные 1st'!$DH$2:$DH$317))</f>
        <v>5</v>
      </c>
      <c r="AS26">
        <f>SUMPRODUCT(--('Данные 1st'!$S$2:$S$317=$A26),--ISNUMBER('Данные 1st'!$DI$2:$DI$317))</f>
        <v>5</v>
      </c>
      <c r="AT26">
        <f>SUMPRODUCT(--('Данные 1st'!$S$2:$S$317=$A26),--ISNUMBER('Данные 1st'!$DJ$2:$DJ$317))</f>
        <v>5</v>
      </c>
      <c r="AU26">
        <f>SUMPRODUCT(--('Данные 1st'!$S$2:$S$317=$A26),--ISNUMBER('Данные 1st'!$DL$2:$DL$317))</f>
        <v>3</v>
      </c>
      <c r="AV26">
        <f>SUMPRODUCT(--('Данные 1st'!$S$2:$S$317=$A26),--ISNUMBER('Данные 1st'!$DM$2:$DM$317))</f>
        <v>3</v>
      </c>
      <c r="AW26">
        <f>SUMPRODUCT(--('Данные 1st'!$S$2:$S$317=$A26),--ISNUMBER('Данные 1st'!$DN$2:$DN$317))</f>
        <v>3</v>
      </c>
      <c r="AX26">
        <f>SUMPRODUCT(--('Данные 1st'!$S$2:$S$317=$A26),--ISNUMBER('Данные 1st'!$DO$2:$DO$317))</f>
        <v>3</v>
      </c>
      <c r="AY26">
        <f>SUMPRODUCT(--('Данные 1st'!$S$2:$S$317=$A26),--ISNUMBER('Данные 1st'!$DP$2:$DP$317))</f>
        <v>3</v>
      </c>
      <c r="AZ26">
        <f>SUMPRODUCT(--('Данные 1st'!$S$2:$S$317=$A26),--ISNUMBER('Данные 1st'!$DR$2:$DR$317))</f>
        <v>0</v>
      </c>
      <c r="BA26">
        <f>SUMPRODUCT(--('Данные 1st'!$S$2:$S$317=$A26),--ISNUMBER('Данные 1st'!$DS$2:$DS$317))</f>
        <v>0</v>
      </c>
      <c r="BB26">
        <f>SUMPRODUCT(--('Данные 1st'!$S$2:$S$317=$A26),--ISNUMBER('Данные 1st'!$DT$2:$DT$317))</f>
        <v>0</v>
      </c>
      <c r="BC26">
        <f>SUMPRODUCT(--('Данные 1st'!$S$2:$S$317=$A26),--ISNUMBER('Данные 1st'!$DU$2:$DU$317))</f>
        <v>0</v>
      </c>
      <c r="BD26">
        <f>SUMPRODUCT(--('Данные 1st'!$S$2:$S$317=$A26),--ISNUMBER('Данные 1st'!$DV$2:$DV$317))</f>
        <v>0</v>
      </c>
      <c r="BE26">
        <f>SUMPRODUCT(--('Данные 1st'!$S$2:$S$317=$A26),--ISNUMBER('Данные 1st'!$DX$2:$DX$317))</f>
        <v>5</v>
      </c>
      <c r="BF26">
        <f>SUMPRODUCT(--('Данные 1st'!$S$2:$S$317=$A26),--ISNUMBER('Данные 1st'!$EA$2:$EA$317))</f>
        <v>5</v>
      </c>
      <c r="BG26">
        <f>SUMPRODUCT(--('Данные 1st'!$S$2:$S$317=$A26),--ISNUMBER('Данные 1st'!$EB$2:$EB$317))</f>
        <v>5</v>
      </c>
      <c r="BH26">
        <f>SUMPRODUCT(--('Данные 1st'!$S$2:$S$317=$A26),--ISNUMBER('Данные 1st'!$ED$2:$ED$317))</f>
        <v>5</v>
      </c>
      <c r="BI26">
        <f>SUMPRODUCT(--('Данные 1st'!$S$2:$S$317=$A26),--ISNUMBER('Данные 1st'!$EE$2:$EE$317))</f>
        <v>5</v>
      </c>
      <c r="BJ26">
        <f>SUMPRODUCT(--('Данные 1st'!$S$2:$S$317=$A26),--ISNUMBER('Данные 1st'!$EG$2:$EG$317))</f>
        <v>5</v>
      </c>
      <c r="BK26">
        <f>SUMPRODUCT(--('Данные 1st'!$S$2:$S$317=$A26),--ISNUMBER('Данные 1st'!$EH$2:$EH$317))</f>
        <v>5</v>
      </c>
      <c r="BL26">
        <f>SUMPRODUCT(--('Данные 1st'!$S$2:$S$317=$A26),--ISNUMBER('Данные 1st'!$EJ$2:$EJ$317))</f>
        <v>5</v>
      </c>
      <c r="BM26">
        <f>SUMPRODUCT(--('Данные 1st'!$S$2:$S$317=$A26),--ISNUMBER('Данные 1st'!$EK$2:$EK$317))</f>
        <v>5</v>
      </c>
      <c r="BN26">
        <f>SUMPRODUCT(--('Данные 1st'!$S$2:$S$317=$A26),--ISNUMBER('Данные 1st'!$EN$2:$EN$317))</f>
        <v>5</v>
      </c>
      <c r="BO26">
        <f>SUMPRODUCT(--('Данные 1st'!$S$2:$S$317=$A26),--ISNUMBER('Данные 1st'!$EQ$2:$EQ$317))</f>
        <v>5</v>
      </c>
      <c r="BP26">
        <f>SUMPRODUCT(--('Данные 1st'!$S$2:$S$317=$A26),--ISNUMBER('Данные 1st'!$ER$2:$ER$317))</f>
        <v>5</v>
      </c>
      <c r="BQ26">
        <f>SUMPRODUCT(--('Данные 1st'!$S$2:$S$317=$A26),--ISNUMBER('Данные 1st'!$ES$2:$ES$317))</f>
        <v>5</v>
      </c>
      <c r="BR26">
        <f>SUMPRODUCT(--('Данные 1st'!$S$2:$S$317=$A26),--ISNUMBER('Данные 1st'!$ET$2:$ET$317))</f>
        <v>5</v>
      </c>
      <c r="BS26">
        <f>SUMPRODUCT(--('Данные 1st'!$S$2:$S$317=$A26),--ISNUMBER('Данные 1st'!$EU$2:$EU$317))</f>
        <v>5</v>
      </c>
      <c r="BT26">
        <f>SUMPRODUCT(--('Данные 1st'!$S$2:$S$317=$A26),--ISNUMBER('Данные 1st'!$EV$2:$EV$317))</f>
        <v>5</v>
      </c>
      <c r="BU26">
        <f>SUMPRODUCT(--('Данные 1st'!$S$2:$S$317=$A26),--ISNUMBER('Данные 1st'!$EX$2:$EX$317))</f>
        <v>5</v>
      </c>
      <c r="BV26">
        <f>SUMPRODUCT(--('Данные 1st'!$S$2:$S$317=$A26),--ISNUMBER('Данные 1st'!$EY$2:$EY$317))</f>
        <v>5</v>
      </c>
      <c r="BW26">
        <f>SUMPRODUCT(--('Данные 1st'!$S$2:$S$317=$A26),--ISNUMBER('Данные 1st'!$EZ$2:$EZ$317))</f>
        <v>5</v>
      </c>
      <c r="BX26">
        <f>SUMPRODUCT(--('Данные 1st'!$S$2:$S$317=$A26),--ISNUMBER('Данные 1st'!$FA$2:$FA$317))</f>
        <v>5</v>
      </c>
      <c r="BY26">
        <f>SUMPRODUCT(--('Данные 1st'!$S$2:$S$317=$A26),--ISNUMBER('Данные 1st'!$FB$2:$FB$317))</f>
        <v>5</v>
      </c>
      <c r="BZ26">
        <f>SUMPRODUCT(--('Данные 1st'!$S$2:$S$317=$A26),--ISNUMBER('Данные 1st'!$FC$2:$FC$317))</f>
        <v>5</v>
      </c>
      <c r="CA26">
        <f>SUMPRODUCT(--('Данные 1st'!$S$2:$S$317=$A26),--ISNUMBER('Данные 1st'!$FE$2:$FE$317))</f>
        <v>5</v>
      </c>
      <c r="CB26">
        <f>SUMPRODUCT(--('Данные 1st'!$S$2:$S$317=$A26),--ISNUMBER('Данные 1st'!$FF$2:$FF$317))</f>
        <v>5</v>
      </c>
      <c r="CC26">
        <f>SUMPRODUCT(--('Данные 1st'!$S$2:$S$317=$A26),--ISNUMBER('Данные 1st'!$FI$2:$FI$317))</f>
        <v>5</v>
      </c>
      <c r="CD26">
        <f>SUMPRODUCT(--('Данные 1st'!$S$2:$S$317=$A26),--ISNUMBER('Данные 1st'!$FL$2:$FL$317))</f>
        <v>5</v>
      </c>
      <c r="CE26">
        <f>SUMPRODUCT(--('Данные 1st'!$S$2:$S$317=$A26),--ISNUMBER('Данные 1st'!$FM$2:$FM$317))</f>
        <v>5</v>
      </c>
      <c r="CF26">
        <f>SUMPRODUCT(--('Данные 1st'!$S$2:$S$317=$A26),--ISNUMBER('Данные 1st'!$FN$2:$FN$317))</f>
        <v>5</v>
      </c>
      <c r="CG26">
        <f>SUMPRODUCT(--('Данные 1st'!$S$2:$S$317=$A26),--ISNUMBER('Данные 1st'!$FO$2:$FO$317))</f>
        <v>0</v>
      </c>
      <c r="CH26">
        <f>SUMPRODUCT(--('Данные 1st'!$S$2:$S$317=$A26),--ISNUMBER('Данные 1st'!$FP$2:$FP$317))</f>
        <v>0</v>
      </c>
      <c r="CI26">
        <f>SUMPRODUCT(--('Данные 1st'!$S$2:$S$317=$A26),--ISNUMBER('Данные 1st'!$FS$2:$FS$317))</f>
        <v>2</v>
      </c>
      <c r="CJ26">
        <f>SUMPRODUCT(--('Данные 1st'!$S$2:$S$317=$A26),--ISNUMBER('Данные 1st'!$FT$2:$FT$317))</f>
        <v>2</v>
      </c>
      <c r="CK26">
        <f>SUMPRODUCT(--('Данные 1st'!$S$2:$S$317=$A26),--ISNUMBER('Данные 1st'!$FU$2:$FU$317))</f>
        <v>2</v>
      </c>
      <c r="CL26">
        <f>SUMPRODUCT(--('Данные 1st'!$S$2:$S$317=$A26),--ISNUMBER('Данные 1st'!$FV$2:$FV$317))</f>
        <v>2</v>
      </c>
      <c r="CM26">
        <f>SUMPRODUCT(--('Данные 1st'!$S$2:$S$317=$A26),--ISNUMBER('Данные 1st'!$FW$2:$FW$317))</f>
        <v>2</v>
      </c>
      <c r="CN26">
        <f>SUMPRODUCT(--('Данные 1st'!$S$2:$S$317=$A26),--ISNUMBER('Данные 1st'!$FZ$2:$FZ$317))</f>
        <v>0</v>
      </c>
      <c r="CO26">
        <f>SUMPRODUCT(--('Данные 1st'!$S$2:$S$317=$A26),--ISNUMBER('Данные 1st'!$GA$2:$GA$317))</f>
        <v>0</v>
      </c>
      <c r="CP26">
        <f>SUMPRODUCT(--('Данные 1st'!$S$2:$S$317=$A26),--ISNUMBER('Данные 1st'!$GB$2:$GB$317))</f>
        <v>0</v>
      </c>
      <c r="CQ26">
        <f>SUMPRODUCT(--('Данные 1st'!$S$2:$S$317=$A26),--ISNUMBER('Данные 1st'!$GH$2:$GH$317))</f>
        <v>0</v>
      </c>
      <c r="CR26">
        <f>SUMPRODUCT(--('Данные 1st'!$S$2:$S$317=$A26),--ISNUMBER('Данные 1st'!$GI$2:$GI$317))</f>
        <v>0</v>
      </c>
      <c r="CS26">
        <f>SUMPRODUCT(--('Данные 1st'!$S$2:$S$317=$A26),--ISNUMBER('Данные 1st'!$GJ$2:$GJ$317))</f>
        <v>0</v>
      </c>
      <c r="CT26">
        <f>SUMPRODUCT(--('Данные 1st'!$S$2:$S$317=$A26),--ISNUMBER('Данные 1st'!$GS$2:$GS$317))</f>
        <v>3</v>
      </c>
      <c r="CU26">
        <f>SUMPRODUCT(--('Данные 1st'!$S$2:$S$317=$A26),--ISNUMBER('Данные 1st'!$GT$2:$GT$317))</f>
        <v>3</v>
      </c>
      <c r="CV26">
        <f>SUMPRODUCT(--('Данные 1st'!$S$2:$S$317=$A26),--ISNUMBER('Данные 1st'!$GU$2:$GU$317))</f>
        <v>3</v>
      </c>
      <c r="CW26">
        <f>SUMPRODUCT(--('Данные 1st'!$S$2:$S$317=$A26),--ISNUMBER('Данные 1st'!$GV$2:$GV$317))</f>
        <v>3</v>
      </c>
      <c r="CX26">
        <f>SUMPRODUCT(--('Данные 1st'!$S$2:$S$317=$A26),--ISNUMBER('Данные 1st'!$GW$2:$GW$317))</f>
        <v>3</v>
      </c>
      <c r="CY26">
        <f>SUMPRODUCT(--('Данные 1st'!$S$2:$S$317=$A26),--ISNUMBER('Данные 1st'!$GZ$2:$GZ$317))</f>
        <v>0</v>
      </c>
      <c r="CZ26">
        <f>SUMPRODUCT(--('Данные 1st'!$S$2:$S$317=$A26),--ISNUMBER('Данные 1st'!$HA$2:$HA$317))</f>
        <v>0</v>
      </c>
      <c r="DA26">
        <f>SUMPRODUCT(--('Данные 1st'!$S$2:$S$317=$A26),--ISNUMBER('Данные 1st'!$HB$2:$HB$317))</f>
        <v>0</v>
      </c>
      <c r="DB26">
        <f>SUMPRODUCT(--('Данные 1st'!$S$2:$S$317=$A26),--ISNUMBER('Данные 1st'!$HC$2:$HC$317))</f>
        <v>5</v>
      </c>
      <c r="DC26">
        <f>SUMPRODUCT(--('Данные 1st'!$S$2:$S$317=$A26),--ISNUMBER('Данные 1st'!$HD$2:$HD$317))</f>
        <v>5</v>
      </c>
      <c r="DD26">
        <f>SUMPRODUCT(--('Данные 1st'!$S$2:$S$317=$A26),--ISNUMBER('Данные 1st'!$HE$2:$HE$317))</f>
        <v>5</v>
      </c>
      <c r="DE26">
        <f>SUMPRODUCT(--('Данные 1st'!$S$2:$S$317=$A26),--ISNUMBER('Данные 1st'!$HF$2:$HF$317))</f>
        <v>5</v>
      </c>
      <c r="DF26">
        <f>SUMPRODUCT(--('Данные 1st'!$S$2:$S$317=$A26),--ISNUMBER('Данные 1st'!$HG$2:$HG$317))</f>
        <v>5</v>
      </c>
      <c r="DG26">
        <f>SUMPRODUCT(--('Данные 1st'!$S$2:$S$317=$A26),--ISNUMBER('Данные 1st'!$HH$2:$HH$317))</f>
        <v>5</v>
      </c>
      <c r="DH26">
        <f>SUMPRODUCT(--('Данные 1st'!$S$2:$S$317=$A26),--ISNUMBER('Данные 1st'!$HI$2:$HI$317))</f>
        <v>5</v>
      </c>
      <c r="DI26">
        <f>SUMPRODUCT(--('Данные 1st'!$S$2:$S$317=$A26),--ISNUMBER('Данные 1st'!$HJ$2:$HJ$317))</f>
        <v>5</v>
      </c>
      <c r="DJ26">
        <f>SUMPRODUCT(--('Данные 1st'!$S$2:$S$317=$A26),--ISNUMBER('Данные 1st'!$HK$2:$HK$317))</f>
        <v>5</v>
      </c>
      <c r="DK26">
        <f>SUMPRODUCT(--('Данные 1st'!$S$2:$S$317=$A26),--ISNUMBER('Данные 1st'!$HL$2:$HL$317))</f>
        <v>5</v>
      </c>
      <c r="DL26">
        <f>SUMPRODUCT(--('Данные 1st'!$S$2:$S$317=$A26),--ISNUMBER('Данные 1st'!$HM$2:$HM$317))</f>
        <v>5</v>
      </c>
      <c r="DM26">
        <f>SUMPRODUCT(--('Данные 1st'!$S$2:$S$317=$A26),--ISNUMBER('Данные 1st'!$HN$2:$HN$317))</f>
        <v>5</v>
      </c>
      <c r="DN26">
        <f>SUMPRODUCT(--('Данные 1st'!$S$2:$S$317=$A26),--ISNUMBER('Данные 1st'!$HO$2:$HO$317))</f>
        <v>5</v>
      </c>
      <c r="DO26">
        <f>SUMPRODUCT(--('Данные 1st'!$S$2:$S$317=$A26),--ISNUMBER('Данные 1st'!$HP$2:$HP$317))</f>
        <v>5</v>
      </c>
      <c r="DP26">
        <f>SUMPRODUCT(--('Данные 1st'!$S$2:$S$317=$A26),--ISNUMBER('Данные 1st'!$HQ$2:$HQ$317))</f>
        <v>5</v>
      </c>
      <c r="DQ26">
        <f>SUMPRODUCT(--('Данные 1st'!$S$2:$S$317=$A26),--ISNUMBER('Данные 1st'!$HR$2:$HR$317))</f>
        <v>5</v>
      </c>
      <c r="DR26">
        <f>SUMPRODUCT(--('Данные 1st'!$S$2:$S$317=$A26),--ISNUMBER('Данные 1st'!$HS$2:$HS$317))</f>
        <v>5</v>
      </c>
      <c r="DS26">
        <f>SUMPRODUCT(--('Данные 1st'!$S$2:$S$317=$A26),--ISNUMBER('Данные 1st'!$HT$2:$HT$317))</f>
        <v>5</v>
      </c>
      <c r="DT26">
        <f>SUMPRODUCT(--('Данные 1st'!$S$2:$S$317=$A26),--ISNUMBER('Данные 1st'!$HU$2:$HU$317))</f>
        <v>5</v>
      </c>
      <c r="DU26">
        <f>SUMPRODUCT(--('Данные 1st'!$S$2:$S$317=$A26),--ISNUMBER('Данные 1st'!$HW$2:$HW$317))</f>
        <v>5</v>
      </c>
      <c r="DV26">
        <f>SUMPRODUCT(--('Данные 1st'!$S$2:$S$317=$A26),--ISNUMBER('Данные 1st'!$HX$2:$HX$317))</f>
        <v>5</v>
      </c>
      <c r="DW26">
        <f>SUMPRODUCT(--('Данные 1st'!$S$2:$S$317=$A26),--ISNUMBER('Данные 1st'!$HY$2:$HY$317))</f>
        <v>5</v>
      </c>
      <c r="DX26">
        <f>SUMPRODUCT(--('Данные 1st'!$S$2:$S$317=$A26),--ISNUMBER('Данные 1st'!$IA$2:$IA$317))</f>
        <v>5</v>
      </c>
      <c r="DY26">
        <f>SUMPRODUCT(--('Данные 1st'!$S$2:$S$317=$A26),--ISNUMBER('Данные 1st'!$IB$2:$IB$317))</f>
        <v>5</v>
      </c>
      <c r="DZ26">
        <f>SUMPRODUCT(--('Данные 1st'!$S$2:$S$317=$A26),--ISNUMBER('Данные 1st'!$IC$2:$IC$317))</f>
        <v>5</v>
      </c>
      <c r="EA26">
        <f>SUMPRODUCT(--('Данные 1st'!$S$2:$S$317=$A26),--ISNUMBER('Данные 1st'!$ID$2:$ID$317))</f>
        <v>5</v>
      </c>
      <c r="EB26">
        <f>SUMPRODUCT(--('Данные 1st'!$S$2:$S$317=$A26),--ISNUMBER('Данные 1st'!$IE$2:$IE$317))</f>
        <v>5</v>
      </c>
      <c r="EC26">
        <f>SUMPRODUCT(--('Данные 1st'!$S$2:$S$317=$A26),--ISNUMBER('Данные 1st'!$IF$2:$IF$317))</f>
        <v>5</v>
      </c>
      <c r="ED26">
        <f>SUMPRODUCT(--('Данные 1st'!$S$2:$S$317=$A26),--ISNUMBER('Данные 1st'!$IP$2:$IP$317))</f>
        <v>5</v>
      </c>
      <c r="EE26">
        <f>SUMPRODUCT(--('Данные 1st'!$S$2:$S$317=$A26),--ISNUMBER('Данные 1st'!$IV$2:$IV$317))</f>
        <v>5</v>
      </c>
      <c r="EF26">
        <f>SUMPRODUCT(--('Данные 1st'!$S$2:$S$317=$A26),--ISNUMBER('Данные 1st'!$IW$2:$IW$317))</f>
        <v>5</v>
      </c>
      <c r="EG26">
        <f>SUMPRODUCT(--('Данные 1st'!$S$2:$S$317=$A26),--ISNUMBER('Данные 1st'!$IX$2:$IX$317))</f>
        <v>0</v>
      </c>
      <c r="EH26">
        <f>SUMPRODUCT(--('Данные 1st'!$S$2:$S$317=$A26),--ISNUMBER('Данные 1st'!$IY$2:$IY$317))</f>
        <v>0</v>
      </c>
      <c r="EI26">
        <f>SUMPRODUCT(--('Данные 1st'!$S$2:$S$317=$A26),--ISNUMBER('Данные 1st'!$JD$2:$JD$317))</f>
        <v>5</v>
      </c>
      <c r="EJ26">
        <f>SUMPRODUCT(--('Данные 1st'!$S$2:$S$317=$A26),--ISNUMBER('Данные 1st'!$JE$2:$JE$317))</f>
        <v>5</v>
      </c>
      <c r="EK26">
        <f>SUMPRODUCT(--('Данные 1st'!$S$2:$S$317=$A26),--ISNUMBER('Данные 1st'!$JF$2:$JF$317))</f>
        <v>5</v>
      </c>
      <c r="EL26">
        <f>SUMPRODUCT(--('Данные 1st'!$S$2:$S$317=$A26),--ISNUMBER('Данные 1st'!$JG$2:$JG$317))</f>
        <v>5</v>
      </c>
      <c r="EM26">
        <f>SUMPRODUCT(--('Данные 1st'!$S$2:$S$317=$A26),--ISNUMBER('Данные 1st'!$JH$2:$JH$317))</f>
        <v>5</v>
      </c>
      <c r="EN26">
        <f>SUMPRODUCT(--('Данные 1st'!$S$2:$S$317=$A26),--ISNUMBER('Данные 1st'!$JJ$2:$JJ$317))</f>
        <v>5</v>
      </c>
      <c r="EO26">
        <f>SUMPRODUCT(--('Данные 1st'!$S$2:$S$317=$A26),--ISNUMBER('Данные 1st'!$JK$2:$JK$317))</f>
        <v>5</v>
      </c>
      <c r="EP26">
        <f>SUMPRODUCT(--('Данные 1st'!$S$2:$S$317=$A26),--ISNUMBER('Данные 1st'!$JL$2:$JL$317))</f>
        <v>0</v>
      </c>
      <c r="EQ26">
        <f>SUMPRODUCT(--('Данные 1st'!$S$2:$S$317=$A26),--ISNUMBER('Данные 1st'!$JM$2:$JM$317))</f>
        <v>0</v>
      </c>
      <c r="ER26">
        <f>SUMPRODUCT(--('Данные 1st'!$S$2:$S$317=$A26),--ISNUMBER('Данные 1st'!$JN$2:$JN$317))</f>
        <v>5</v>
      </c>
      <c r="ES26">
        <f>SUMPRODUCT(--('Данные 1st'!$S$2:$S$317=$A26),--ISNUMBER('Данные 1st'!$JO$2:$JO$317))</f>
        <v>5</v>
      </c>
      <c r="ET26">
        <f>SUMPRODUCT(--('Данные 1st'!$S$2:$S$317=$A26),--ISNUMBER('Данные 1st'!$JP$2:$JP$317))</f>
        <v>5</v>
      </c>
      <c r="EU26">
        <f>SUMPRODUCT(--('Данные 1st'!$S$2:$S$317=$A26),--ISNUMBER('Данные 1st'!$JQ$2:$JQ$317))</f>
        <v>5</v>
      </c>
      <c r="EV26">
        <f>SUMPRODUCT(--('Данные 1st'!$S$2:$S$317=$A26),--ISNUMBER('Данные 1st'!$JR$2:$JR$317))</f>
        <v>5</v>
      </c>
      <c r="EW26">
        <f>SUMPRODUCT(--('Данные 1st'!$S$2:$S$317=$A26),--ISNUMBER('Данные 1st'!$JS$2:$JS$317))</f>
        <v>5</v>
      </c>
      <c r="EX26">
        <f>SUMPRODUCT(--('Данные 1st'!$S$2:$S$317=$A26),--ISNUMBER('Данные 1st'!$JT$2:$JT$317))</f>
        <v>0</v>
      </c>
      <c r="EY26">
        <f>SUMPRODUCT(--('Данные 1st'!$S$2:$S$317=$A26),--ISNUMBER('Данные 1st'!$JU$2:$JU$317))</f>
        <v>0</v>
      </c>
      <c r="EZ26">
        <f>SUMPRODUCT(--('Данные 1st'!$S$2:$S$317=$A26),--ISNUMBER('Данные 1st'!$JV$2:$JV$317))</f>
        <v>5</v>
      </c>
      <c r="FA26">
        <f>SUMPRODUCT(--('Данные 1st'!$S$2:$S$317=$A26),--ISNUMBER('Данные 1st'!$JW$2:$JW$317))</f>
        <v>0</v>
      </c>
      <c r="FB26">
        <f>SUMPRODUCT(--('Данные 1st'!$S$2:$S$317=$A26),--ISNUMBER('Данные 1st'!$JX$2:$JX$317))</f>
        <v>5</v>
      </c>
      <c r="FC26">
        <f>SUMPRODUCT(--('Данные 1st'!$S$2:$S$317=$A26),--ISNUMBER('Данные 1st'!$JY$2:$JY$317))</f>
        <v>0</v>
      </c>
      <c r="FD26">
        <f>SUMPRODUCT(--('Данные 1st'!$S$2:$S$317=$A26),--ISNUMBER('Данные 1st'!$JZ$2:$JZ$317))</f>
        <v>0</v>
      </c>
      <c r="FE26">
        <f>SUMPRODUCT(--('Данные 1st'!$S$2:$S$317=$A26),--ISNUMBER('Данные 1st'!$KA$2:$KA$317))</f>
        <v>5</v>
      </c>
      <c r="FF26">
        <f>SUMPRODUCT(--('Данные 1st'!$S$2:$S$317=$A26),--ISNUMBER('Данные 1st'!$KB$2:$KB$317))</f>
        <v>5</v>
      </c>
      <c r="FG26">
        <f>SUMPRODUCT(--('Данные 1st'!$S$2:$S$317=$A26),--ISNUMBER('Данные 1st'!$KC$2:$KC$317))</f>
        <v>5</v>
      </c>
      <c r="FH26">
        <f>SUMPRODUCT(--('Данные 1st'!$S$2:$S$317=$A26),--ISNUMBER('Данные 1st'!$KD$2:$KD$317))</f>
        <v>5</v>
      </c>
      <c r="FI26">
        <f>SUMPRODUCT(--('Данные 1st'!$S$2:$S$317=$A26),--ISNUMBER('Данные 1st'!$KE$2:$KE$317))</f>
        <v>0</v>
      </c>
      <c r="FJ26">
        <f>SUMPRODUCT(--('Данные 1st'!$S$2:$S$317=$A26),--ISNUMBER('Данные 1st'!$KF$2:$KF$317))</f>
        <v>5</v>
      </c>
      <c r="FK26">
        <f>SUMPRODUCT(--('Данные 1st'!$S$2:$S$317=$A26),--ISNUMBER('Данные 1st'!$KG$2:$KG$317))</f>
        <v>5</v>
      </c>
      <c r="FL26">
        <f>SUMPRODUCT(--('Данные 1st'!$S$2:$S$317=$A26),--ISNUMBER('Данные 1st'!$KH$2:$KH$317))</f>
        <v>5</v>
      </c>
      <c r="FM26">
        <f>SUMPRODUCT(--('Данные 1st'!$S$2:$S$317=$A26),--ISNUMBER('Данные 1st'!$KI$2:$KI$317))</f>
        <v>5</v>
      </c>
      <c r="FN26">
        <f>SUMPRODUCT(--('Данные 1st'!$S$2:$S$317=$A26),--ISNUMBER('Данные 1st'!$KJ$2:$KJ$317))</f>
        <v>5</v>
      </c>
      <c r="FO26">
        <f>SUMPRODUCT(--('Данные 1st'!$S$2:$S$317=$A26),--ISNUMBER('Данные 1st'!$KK$2:$KK$317))</f>
        <v>5</v>
      </c>
      <c r="FP26">
        <f>SUMPRODUCT(--('Данные 1st'!$S$2:$S$317=$A26),--ISNUMBER('Данные 1st'!$KL$2:$KL$317))</f>
        <v>5</v>
      </c>
      <c r="FQ26">
        <f>SUMPRODUCT(--('Данные 1st'!$S$2:$S$317=$A26),--ISNUMBER('Данные 1st'!$KM$2:$KM$317))</f>
        <v>5</v>
      </c>
      <c r="FR26">
        <f>SUMPRODUCT(--('Данные 1st'!$S$2:$S$317=$A26),--ISNUMBER('Данные 1st'!$KN$2:$KN$317))</f>
        <v>5</v>
      </c>
      <c r="FS26">
        <f>SUMPRODUCT(--('Данные 1st'!$S$2:$S$317=$A26),--ISNUMBER('Данные 1st'!$KR$2:$KR$317))</f>
        <v>5</v>
      </c>
      <c r="FT26">
        <f>SUMPRODUCT(--('Данные 1st'!$S$2:$S$317=$A26),--ISNUMBER('Данные 1st'!$KS$2:$KS$317))</f>
        <v>5</v>
      </c>
      <c r="FU26">
        <f>SUMPRODUCT(--('Данные 1st'!$S$2:$S$317=$A26),--ISNUMBER('Данные 1st'!$KT$2:$KT$317))</f>
        <v>5</v>
      </c>
      <c r="FV26">
        <f>SUMPRODUCT(--('Данные 1st'!$S$2:$S$317=$A26),--ISNUMBER('Данные 1st'!$KV$2:$KV$317))</f>
        <v>0</v>
      </c>
      <c r="FW26">
        <f>SUMPRODUCT(--('Данные 1st'!$S$2:$S$317=$A26),--ISNUMBER('Данные 1st'!$KW$2:$KW$317))</f>
        <v>0</v>
      </c>
      <c r="FX26">
        <f>SUMPRODUCT(--('Данные 1st'!$S$2:$S$317=$A26),--ISNUMBER('Данные 1st'!$KX$2:$KX$317))</f>
        <v>0</v>
      </c>
      <c r="FY26">
        <f>SUMPRODUCT(--('Данные 1st'!$S$2:$S$317=$A26),--ISNUMBER('Данные 1st'!$KY$2:$KY$317))</f>
        <v>0</v>
      </c>
      <c r="FZ26">
        <f>SUMPRODUCT(--('Данные 1st'!$S$2:$S$317=$A26),--ISNUMBER('Данные 1st'!$KZ$2:$KZ$317))</f>
        <v>0</v>
      </c>
      <c r="GA26">
        <f>SUMPRODUCT(--('Данные 1st'!$S$2:$S$317=$A26),--ISNUMBER('Данные 1st'!$LA$2:$LA$317))</f>
        <v>0</v>
      </c>
      <c r="GB26">
        <f>SUMPRODUCT(--('Данные 1st'!$S$2:$S$317=$A26),--ISNUMBER('Данные 1st'!$LB$2:$LB$317))</f>
        <v>0</v>
      </c>
      <c r="GC26">
        <f>SUMPRODUCT(--('Данные 1st'!$S$2:$S$317=$A26),--ISNUMBER('Данные 1st'!$LC$2:$LC$317))</f>
        <v>0</v>
      </c>
      <c r="GD26">
        <f>SUMPRODUCT(--('Данные 1st'!$S$2:$S$317=$A26),--ISNUMBER('Данные 1st'!$LD$2:$LD$317))</f>
        <v>0</v>
      </c>
      <c r="GE26">
        <f>SUMPRODUCT(--('Данные 1st'!$S$2:$S$317=$A26),--ISNUMBER('Данные 1st'!$LE$2:$LE$317))</f>
        <v>0</v>
      </c>
      <c r="GF26">
        <f>SUMPRODUCT(--('Данные 1st'!$S$2:$S$317=$A26),--ISNUMBER('Данные 1st'!$LF$2:$LF$317))</f>
        <v>0</v>
      </c>
      <c r="GG26">
        <f>SUMPRODUCT(--('Данные 1st'!$S$2:$S$317=$A26),--ISNUMBER('Данные 1st'!$LG$2:$LG$317))</f>
        <v>0</v>
      </c>
      <c r="GH26">
        <f>SUMPRODUCT(--('Данные 1st'!$S$2:$S$317=$A26),--ISNUMBER('Данные 1st'!$LH$2:$LH$317))</f>
        <v>0</v>
      </c>
      <c r="GI26">
        <f>SUMPRODUCT(--('Данные 1st'!$S$2:$S$317=$A26),--ISNUMBER('Данные 1st'!$LI$2:$LI$317))</f>
        <v>0</v>
      </c>
      <c r="GJ26">
        <f>SUMPRODUCT(--('Данные 1st'!$S$2:$S$317=$A26),--ISNUMBER('Данные 1st'!$LJ$2:$LJ$317))</f>
        <v>0</v>
      </c>
      <c r="GK26">
        <f>SUMPRODUCT(--('Данные 1st'!$S$2:$S$317=$A26),--ISNUMBER('Данные 1st'!$LK$2:$LK$317))</f>
        <v>5</v>
      </c>
      <c r="GL26">
        <f>SUMPRODUCT(--('Данные 1st'!$S$2:$S$317=$A26),--ISNUMBER('Данные 1st'!$LV$2:$LV$317))</f>
        <v>0</v>
      </c>
      <c r="GM26">
        <f>SUMPRODUCT(--('Данные 1st'!$S$2:$S$317=$A26),--ISNUMBER('Данные 1st'!$LW$2:$LW$317))</f>
        <v>0</v>
      </c>
      <c r="GN26">
        <f>SUMPRODUCT(--('Данные 1st'!$S$2:$S$317=$A26),--ISNUMBER('Данные 1st'!$LX$2:$LX$317))</f>
        <v>0</v>
      </c>
      <c r="GO26">
        <f>SUMPRODUCT(--('Данные 1st'!$S$2:$S$317=$A26),--ISNUMBER('Данные 1st'!$LY$2:$LY$317))</f>
        <v>0</v>
      </c>
      <c r="GP26">
        <f>SUMPRODUCT(--('Данные 1st'!$S$2:$S$317=$A26),--ISNUMBER('Данные 1st'!$LZ$2:$LZ$317))</f>
        <v>0</v>
      </c>
      <c r="GQ26">
        <f>SUMPRODUCT(--('Данные 1st'!$S$2:$S$317=$A26),--ISNUMBER('Данные 1st'!$PG$2:$PG$317))</f>
        <v>5</v>
      </c>
      <c r="GR26">
        <f>SUMPRODUCT(--('Данные 1st'!$S$2:$S$317=$A26),--ISNUMBER('Данные 1st'!$PX$2:$PX$317))</f>
        <v>5</v>
      </c>
      <c r="GS26">
        <f>SUMPRODUCT(--('Данные 1st'!$S$2:$S$317=$A26),--ISNUMBER('Данные 1st'!$PY$2:$PY$317))</f>
        <v>5</v>
      </c>
      <c r="GT26">
        <f>SUMPRODUCT(--('Данные 1st'!$S$2:$S$317=$A26),--ISNUMBER('Данные 1st'!$QA$2:$QA$317))</f>
        <v>5</v>
      </c>
      <c r="GU26">
        <f>SUMPRODUCT(--('Данные 1st'!$S$2:$S$317=$A26),--ISNUMBER('Данные 1st'!$QB$2:$QB$317))</f>
        <v>5</v>
      </c>
      <c r="GV26">
        <f>SUMPRODUCT(--('Данные 1st'!$S$2:$S$317=$A26),--ISNUMBER('Данные 1st'!$QC$2:$QC$317))</f>
        <v>5</v>
      </c>
      <c r="GW26">
        <f>SUMPRODUCT(--('Данные 1st'!$S$2:$S$317=$A26),--ISNUMBER('Данные 1st'!$QD$2:$QD$317))</f>
        <v>5</v>
      </c>
      <c r="GX26">
        <f>SUMPRODUCT(--('Данные 1st'!$S$2:$S$317=$A26),--ISNUMBER('Данные 1st'!$QF$2:$QF$317))</f>
        <v>5</v>
      </c>
      <c r="GY26">
        <f>SUMPRODUCT(--('Данные 1st'!$S$2:$S$317=$A26),--ISNUMBER('Данные 1st'!$QG$2:$QG$317))</f>
        <v>5</v>
      </c>
      <c r="GZ26">
        <f>SUMPRODUCT(--('Данные 1st'!$S$2:$S$317=$A26),--ISNUMBER('Данные 1st'!$QH$2:$QH$317))</f>
        <v>5</v>
      </c>
      <c r="HA26">
        <f>SUMPRODUCT(--('Данные 1st'!$S$2:$S$317=$A26),--ISNUMBER('Данные 1st'!$QI$2:$QI$317))</f>
        <v>5</v>
      </c>
      <c r="HB26">
        <f>SUMPRODUCT(--('Данные 1st'!$S$2:$S$317=$A26),--ISNUMBER('Данные 1st'!$QK$2:$QK$317))</f>
        <v>0</v>
      </c>
      <c r="HC26">
        <f>SUMPRODUCT(--('Данные 1st'!$S$2:$S$317=$A26),--ISNUMBER('Данные 1st'!$QL$2:$QL$317))</f>
        <v>5</v>
      </c>
      <c r="HD26">
        <f>SUMPRODUCT(--('Данные 1st'!$S$2:$S$317=$A26),--ISNUMBER('Данные 1st'!$QM$2:$QM$317))</f>
        <v>5</v>
      </c>
      <c r="HE26">
        <f>SUMPRODUCT(--('Данные 1st'!$S$2:$S$317=$A26),--ISNUMBER('Данные 1st'!$QN$2:$QN$317))</f>
        <v>5</v>
      </c>
      <c r="HF26">
        <f>SUMPRODUCT(--('Данные 1st'!$S$2:$S$317=$A26),--ISNUMBER('Данные 1st'!$QP$2:$QP$317))</f>
        <v>5</v>
      </c>
      <c r="HG26">
        <f>SUMPRODUCT(--('Данные 1st'!$S$2:$S$317=$A26),--ISNUMBER('Данные 1st'!$QQ$2:$QQ$317))</f>
        <v>5</v>
      </c>
      <c r="HH26">
        <f>SUMPRODUCT(--('Данные 1st'!$S$2:$S$317=$A26),--ISNUMBER('Данные 1st'!$QR$2:$QR$317))</f>
        <v>3</v>
      </c>
      <c r="HI26">
        <f>SUMPRODUCT(--('Данные 1st'!$S$2:$S$317=$A26),--ISNUMBER('Данные 1st'!$QS$2:$QS$317))</f>
        <v>3</v>
      </c>
      <c r="HJ26">
        <f>SUMPRODUCT(--('Данные 1st'!$S$2:$S$317=$A26),--ISNUMBER('Данные 1st'!$QU$2:$QU$317))</f>
        <v>3</v>
      </c>
      <c r="HK26">
        <f>SUMPRODUCT(--('Данные 1st'!$S$2:$S$317=$A26),--ISNUMBER('Данные 1st'!$QV$2:$QV$317))</f>
        <v>3</v>
      </c>
      <c r="HL26">
        <f>SUMPRODUCT(--('Данные 1st'!$S$2:$S$317=$A26),--ISNUMBER('Данные 1st'!$QW$2:$QW$317))</f>
        <v>5</v>
      </c>
      <c r="HM26">
        <f>SUMPRODUCT(--('Данные 1st'!$S$2:$S$317=$A26),--ISNUMBER('Данные 1st'!$QX$2:$QX$317))</f>
        <v>5</v>
      </c>
      <c r="HN26">
        <f>SUMPRODUCT(--('Данные 1st'!$S$2:$S$317=$A26),--ISNUMBER('Данные 1st'!$QZ$2:$QZ$317))</f>
        <v>5</v>
      </c>
      <c r="HO26">
        <f>SUMPRODUCT(--('Данные 1st'!$S$2:$S$317=$A26),--ISNUMBER('Данные 1st'!$RA$2:$RA$317))</f>
        <v>5</v>
      </c>
      <c r="HP26">
        <f>SUMPRODUCT(--('Данные 1st'!$S$2:$S$317=$A26),--ISNUMBER('Данные 1st'!$RB$2:$RB$317))</f>
        <v>5</v>
      </c>
      <c r="HQ26">
        <f>SUMPRODUCT(--('Данные 1st'!$S$2:$S$317=$A26),--ISNUMBER('Данные 1st'!$RD$2:$RD$317))</f>
        <v>0</v>
      </c>
      <c r="HR26">
        <f>SUMPRODUCT(--('Данные 1st'!$S$2:$S$317=$A26),--ISNUMBER('Данные 1st'!$RE$2:$RE$317))</f>
        <v>5</v>
      </c>
      <c r="HS26">
        <f>SUMPRODUCT(--('Данные 1st'!$S$2:$S$317=$A26),--ISNUMBER('Данные 1st'!$RF$2:$RF$317))</f>
        <v>5</v>
      </c>
      <c r="HT26">
        <f>SUMPRODUCT(--('Данные 1st'!$S$2:$S$317=$A26),--ISNUMBER('Данные 1st'!$RG$2:$RG$317))</f>
        <v>0</v>
      </c>
      <c r="HU26">
        <f>SUMPRODUCT(--('Данные 1st'!$S$2:$S$317=$A26),--ISNUMBER('Данные 1st'!$RH$2:$RH$317))</f>
        <v>3</v>
      </c>
      <c r="HV26">
        <f>SUMPRODUCT(--('Данные 1st'!$S$2:$S$317=$A26),--ISNUMBER('Данные 1st'!$RI$2:$RI$317))</f>
        <v>0</v>
      </c>
      <c r="HW26">
        <f>SUMPRODUCT(--('Данные 1st'!$S$2:$S$317=$A26),--ISNUMBER('Данные 1st'!$RJ$2:$RJ$317))</f>
        <v>5</v>
      </c>
      <c r="HX26">
        <f>SUMPRODUCT(--('Данные 1st'!$S$2:$S$317=$A26),--ISNUMBER('Данные 1st'!$RK$2:$RK$317))</f>
        <v>0</v>
      </c>
      <c r="HY26">
        <f>SUMPRODUCT(--('Данные 1st'!$S$2:$S$317=$A26),--ISNUMBER('Данные 1st'!$RL$2:$RL$317))</f>
        <v>5</v>
      </c>
      <c r="HZ26">
        <f>SUMPRODUCT(--('Данные 1st'!$S$2:$S$317=$A26),--ISNUMBER('Данные 1st'!$RM$2:$RM$317))</f>
        <v>3</v>
      </c>
      <c r="IA26">
        <f>SUMPRODUCT(--('Данные 1st'!$S$2:$S$317=$A26),--ISNUMBER('Данные 1st'!$RN$2:$RN$317))</f>
        <v>0</v>
      </c>
      <c r="IB26">
        <f>SUMPRODUCT(--('Данные 1st'!$S$2:$S$317=$A26),--ISNUMBER('Данные 1st'!$RO$2:$RO$317))</f>
        <v>5</v>
      </c>
      <c r="IC26">
        <f>SUMPRODUCT(--('Данные 1st'!$S$2:$S$317=$A26),--ISNUMBER('Данные 1st'!$RP$2:$RP$317))</f>
        <v>0</v>
      </c>
      <c r="ID26">
        <f>SUMPRODUCT(--('Данные 1st'!$S$2:$S$317=$A26),--ISNUMBER('Данные 1st'!$RQ$2:$RQ$317))</f>
        <v>5</v>
      </c>
      <c r="IE26">
        <f>SUMPRODUCT(--('Данные 1st'!$S$2:$S$317=$A26),--ISNUMBER('Данные 1st'!$RR$2:$RR$317))</f>
        <v>3</v>
      </c>
      <c r="IF26">
        <f>SUMPRODUCT(--('Данные 1st'!$S$2:$S$317=$A26),--ISNUMBER('Данные 1st'!$RS$2:$RS$317))</f>
        <v>0</v>
      </c>
      <c r="IG26">
        <f>SUMPRODUCT(--('Данные 1st'!$S$2:$S$317=$A26),--ISNUMBER('Данные 1st'!$RT$2:$RT$317))</f>
        <v>5</v>
      </c>
      <c r="IH26">
        <f>SUMPRODUCT(--('Данные 1st'!$S$2:$S$317=$A26),--ISNUMBER('Данные 1st'!$RU$2:$RU$317))</f>
        <v>5</v>
      </c>
      <c r="II26">
        <f>SUMPRODUCT(--('Данные 1st'!$S$2:$S$317=$A26),--ISNUMBER('Данные 1st'!$RX$2:$RX$317))</f>
        <v>5</v>
      </c>
      <c r="IJ26">
        <f>SUMPRODUCT(--('Данные 1st'!$S$2:$S$317=$A26),--ISNUMBER('Данные 1st'!$RY$2:$RY$317))</f>
        <v>5</v>
      </c>
      <c r="IK26">
        <f>SUMPRODUCT(--('Данные 1st'!$S$2:$S$317=$A26),--ISNUMBER('Данные 1st'!$SA$2:$SA$317))</f>
        <v>5</v>
      </c>
      <c r="IL26">
        <f>SUMPRODUCT(--('Данные 1st'!$S$2:$S$317=$A26),--ISNUMBER('Данные 1st'!$SD$2:$SD$317))</f>
        <v>5</v>
      </c>
      <c r="IM26">
        <f>SUMPRODUCT(--('Данные 1st'!$S$2:$S$317=$A26),--ISNUMBER('Данные 1st'!$SG$2:$SG$317))</f>
        <v>3</v>
      </c>
      <c r="IN26">
        <f>SUMPRODUCT(--('Данные 1st'!$S$2:$S$317=$A26),--ISNUMBER('Данные 1st'!$SH$2:$SH$317))</f>
        <v>5</v>
      </c>
      <c r="IO26">
        <f>SUMPRODUCT(--('Данные 1st'!$S$2:$S$317=$A26),--ISNUMBER('Данные 1st'!$SI$2:$SI$317))</f>
        <v>5</v>
      </c>
      <c r="IP26">
        <f>SUMPRODUCT(--('Данные 1st'!$S$2:$S$317=$A26),--ISNUMBER('Данные 1st'!$SJ$2:$SJ$317))</f>
        <v>5</v>
      </c>
      <c r="IQ26">
        <f>SUMPRODUCT(--('Данные 1st'!$S$2:$S$317=$A26),--ISNUMBER('Данные 1st'!$SK$2:$SK$317))</f>
        <v>5</v>
      </c>
      <c r="IR26">
        <f>SUMPRODUCT(--('Данные 1st'!$S$2:$S$317=$A26),--ISNUMBER('Данные 1st'!$SL$2:$SL$317))</f>
        <v>5</v>
      </c>
      <c r="IS26">
        <f>SUMPRODUCT(--('Данные 1st'!$S$2:$S$317=$A26),--ISNUMBER('Данные 1st'!$SM$2:$SM$317))</f>
        <v>5</v>
      </c>
      <c r="IT26">
        <f>SUMPRODUCT(--('Данные 1st'!$S$2:$S$317=$A26),--ISNUMBER('Данные 1st'!$SN$2:$SN$317))</f>
        <v>5</v>
      </c>
      <c r="IU26">
        <f>SUMPRODUCT(--('Данные 1st'!$S$2:$S$317=$A26),--ISNUMBER('Данные 1st'!$SO$2:$SO$317))</f>
        <v>5</v>
      </c>
      <c r="IV26">
        <f>SUMPRODUCT(--('Данные 1st'!$S$2:$S$317=$A26),--ISNUMBER('Данные 1st'!$SP$2:$SP$317))</f>
        <v>5</v>
      </c>
      <c r="IW26">
        <f>SUMPRODUCT(--('Данные 1st'!$S$2:$S$317=$A26),--ISNUMBER('Данные 1st'!$SQ$2:$SQ$317))</f>
        <v>5</v>
      </c>
      <c r="IX26">
        <f>SUMPRODUCT(--('Данные 1st'!$S$2:$S$317=$A26),--ISNUMBER('Данные 1st'!$SR$2:$SR$317))</f>
        <v>5</v>
      </c>
      <c r="IY26">
        <f>SUMPRODUCT(--('Данные 1st'!$S$2:$S$317=$A26),--ISNUMBER('Данные 1st'!$SS$2:$SS$317))</f>
        <v>5</v>
      </c>
      <c r="IZ26">
        <f>SUMPRODUCT(--('Данные 1st'!$S$2:$S$317=$A26),--ISNUMBER('Данные 1st'!$ST$2:$ST$317))</f>
        <v>5</v>
      </c>
      <c r="JA26">
        <f>SUMPRODUCT(--('Данные 1st'!$S$2:$S$317=$A26),--ISNUMBER('Данные 1st'!$SU$2:$SU$317))</f>
        <v>5</v>
      </c>
      <c r="JB26">
        <f>SUMPRODUCT(--('Данные 1st'!$S$2:$S$317=$A26),--ISNUMBER('Данные 1st'!$SV$2:$SV$317))</f>
        <v>5</v>
      </c>
      <c r="JC26">
        <f>SUMPRODUCT(--('Данные 1st'!$S$2:$S$317=$A26),--ISNUMBER('Данные 1st'!$SW$2:$SW$317))</f>
        <v>5</v>
      </c>
      <c r="JD26">
        <f>SUMPRODUCT(--('Данные 1st'!$S$2:$S$317=$A26),--ISNUMBER('Данные 1st'!$SX$2:$SX$317))</f>
        <v>5</v>
      </c>
      <c r="JE26">
        <f>SUMPRODUCT(--('Данные 1st'!$S$2:$S$317=$A26),--ISNUMBER('Данные 1st'!$SY$2:$SY$317))</f>
        <v>0</v>
      </c>
      <c r="JF26">
        <f>SUMPRODUCT(--('Данные 1st'!$S$2:$S$317=$A26),--ISNUMBER('Данные 1st'!$SZ$2:$SZ$317))</f>
        <v>3</v>
      </c>
      <c r="JG26">
        <f>SUMPRODUCT(--('Данные 1st'!$S$2:$S$317=$A26),--ISNUMBER('Данные 1st'!$TA$2:$TA$317))</f>
        <v>0</v>
      </c>
      <c r="JH26">
        <f>SUMPRODUCT(--('Данные 1st'!$S$2:$S$317=$A26),--ISNUMBER('Данные 1st'!$TB$2:$TB$317))</f>
        <v>5</v>
      </c>
      <c r="JI26">
        <f>SUMPRODUCT(--('Данные 1st'!$S$2:$S$317=$A26),--ISNUMBER('Данные 1st'!$TC$2:$TC$317))</f>
        <v>5</v>
      </c>
      <c r="JJ26">
        <f>SUMPRODUCT(--('Данные 1st'!$S$2:$S$317=$A26),--ISNUMBER('Данные 1st'!$TD$2:$TD$317))</f>
        <v>5</v>
      </c>
      <c r="JK26">
        <f>SUMPRODUCT(--('Данные 1st'!$S$2:$S$317=$A26),--ISNUMBER('Данные 1st'!$TN$2:$TN$317))</f>
        <v>5</v>
      </c>
      <c r="JQ26">
        <f>SUMPRODUCT(--('Данные 2st'!$Q$2:$Q$317=$A26),--ISNUMBER('Данные 2st'!$AC$2:$AC$317))</f>
        <v>5</v>
      </c>
      <c r="JR26">
        <f>SUMPRODUCT(--('Данные 2st'!$Q$2:$Q$317=$A26),--ISNUMBER('Данные 2st'!$AF$2:$AF$317))</f>
        <v>5</v>
      </c>
      <c r="JS26">
        <f>SUMPRODUCT(--('Данные 2st'!$Q$2:$Q$317=$A26),--ISNUMBER('Данные 2st'!$AW$2:$AW$317))</f>
        <v>5</v>
      </c>
      <c r="JT26">
        <f>SUMPRODUCT(--('Данные 2st'!$Q$2:$Q$317=$A26),--ISNUMBER('Данные 2st'!$AX$2:$AX$317))</f>
        <v>5</v>
      </c>
      <c r="JU26">
        <f>SUMPRODUCT(--('Данные 2st'!$Q$2:$Q$317=$A26),--ISNUMBER('Данные 2st'!$AY$2:$AY$317))</f>
        <v>5</v>
      </c>
      <c r="JV26">
        <f>SUMPRODUCT(--('Данные 2st'!$Q$2:$Q$317=$A26),--ISNUMBER('Данные 2st'!$AZ$2:$AZ$317))</f>
        <v>5</v>
      </c>
      <c r="JW26">
        <f>SUMPRODUCT(--('Данные 2st'!$Q$2:$Q$317=$A26),--ISNUMBER('Данные 2st'!$BA$2:$BA$317))</f>
        <v>0</v>
      </c>
      <c r="JX26">
        <f>SUMPRODUCT(--('Данные 2st'!$Q$2:$Q$317=$A26),--ISNUMBER('Данные 2st'!$BB$2:$BB$317))</f>
        <v>0</v>
      </c>
      <c r="JY26">
        <f>SUMPRODUCT(--('Данные 2st'!$Q$2:$Q$317=$A26),--ISNUMBER('Данные 2st'!$BC$2:$BC$317))</f>
        <v>0</v>
      </c>
      <c r="JZ26">
        <f>SUMPRODUCT(--('Данные 2st'!$Q$2:$Q$317=$A26),--ISNUMBER('Данные 2st'!$BH$2:$BH$317))</f>
        <v>5</v>
      </c>
      <c r="KA26">
        <f>SUMPRODUCT(--('Данные 2st'!$Q$2:$Q$317=$A26),--ISNUMBER('Данные 2st'!$BI$2:$BI$317))</f>
        <v>5</v>
      </c>
      <c r="KB26">
        <f>SUMPRODUCT(--('Данные 2st'!$Q$2:$Q$317=$A26),--ISNUMBER('Данные 2st'!$BJ$2:$BJ$317))</f>
        <v>5</v>
      </c>
      <c r="KC26">
        <f>SUMPRODUCT(--('Данные 2st'!$Q$2:$Q$317=$A26),--ISNUMBER('Данные 2st'!$BK$2:$BK$317))</f>
        <v>5</v>
      </c>
      <c r="KD26">
        <f>SUMPRODUCT(--('Данные 2st'!$Q$2:$Q$317=$A26),--ISNUMBER('Данные 2st'!$BL$2:$BL$317))</f>
        <v>5</v>
      </c>
      <c r="KE26">
        <f>SUMPRODUCT(--('Данные 2st'!$Q$2:$Q$317=$A26),--ISNUMBER('Данные 2st'!$BM$2:$BM$317))</f>
        <v>5</v>
      </c>
      <c r="KF26">
        <f>SUMPRODUCT(--('Данные 2st'!$Q$2:$Q$317=$A26),--ISNUMBER('Данные 2st'!$BN$2:$BN$317))</f>
        <v>5</v>
      </c>
      <c r="KG26">
        <f>SUMPRODUCT(--('Данные 2st'!$Q$2:$Q$317=$A26),--ISNUMBER('Данные 2st'!$BO$2:$BO$317))</f>
        <v>1</v>
      </c>
      <c r="KH26">
        <f>SUMPRODUCT(--('Данные 2st'!$Q$2:$Q$317=$A26),--ISNUMBER('Данные 2st'!$BP$2:$BP$317))</f>
        <v>5</v>
      </c>
      <c r="KI26">
        <f>SUMPRODUCT(--('Данные 2st'!$Q$2:$Q$317=$A26),--ISNUMBER('Данные 2st'!$BR$2:$BR$317))</f>
        <v>5</v>
      </c>
      <c r="KJ26">
        <f>SUMPRODUCT(--('Данные 2st'!$Q$2:$Q$317=$A26),--ISNUMBER('Данные 2st'!$BS$2:$BS$317))</f>
        <v>5</v>
      </c>
      <c r="KK26">
        <f>SUMPRODUCT(--('Данные 2st'!$Q$2:$Q$317=$A26),--ISNUMBER('Данные 2st'!$BT$2:$BT$317))</f>
        <v>5</v>
      </c>
      <c r="KL26">
        <f>SUMPRODUCT(--('Данные 2st'!$Q$2:$Q$317=$A26),--ISNUMBER('Данные 2st'!$CV$2:$CV$317))</f>
        <v>5</v>
      </c>
      <c r="KM26">
        <f>SUMPRODUCT(--('Данные 2st'!$Q$2:$Q$317=$A26),--ISNUMBER('Данные 2st'!$CW$2:$CW$317))</f>
        <v>5</v>
      </c>
      <c r="KN26">
        <f>SUMPRODUCT(--('Данные 2st'!$Q$2:$Q$317=$A26),--ISNUMBER('Данные 2st'!$CX$2:$CX$317))</f>
        <v>5</v>
      </c>
      <c r="KO26">
        <f>SUMPRODUCT(--('Данные 2st'!$Q$2:$Q$317=$A26),--ISNUMBER('Данные 2st'!$CY$2:$CY$317))</f>
        <v>5</v>
      </c>
      <c r="KP26">
        <f>SUMPRODUCT(--('Данные 2st'!$Q$2:$Q$317=$A26),--ISNUMBER('Данные 2st'!$CZ$2:$CZ$317))</f>
        <v>5</v>
      </c>
      <c r="KQ26">
        <f>SUMPRODUCT(--('Данные 2st'!$Q$2:$Q$317=$A26),--ISNUMBER('Данные 2st'!$DA$2:$DA$317))</f>
        <v>5</v>
      </c>
      <c r="KR26">
        <f>SUMPRODUCT(--('Данные 2st'!$Q$2:$Q$317=$A26),--ISNUMBER('Данные 2st'!$DB$2:$DB$317))</f>
        <v>5</v>
      </c>
      <c r="KS26">
        <f>SUMPRODUCT(--('Данные 2st'!$Q$2:$Q$317=$A26),--ISNUMBER('Данные 2st'!$DC$2:$DC$317))</f>
        <v>5</v>
      </c>
      <c r="KT26">
        <f>SUMPRODUCT(--('Данные 2st'!$Q$2:$Q$317=$A26),--ISNUMBER('Данные 2st'!$DD$2:$DD$317))</f>
        <v>5</v>
      </c>
      <c r="KU26">
        <f>SUMPRODUCT(--('Данные 2st'!$Q$2:$Q$317=$A26),--ISNUMBER('Данные 2st'!$DE$2:$DE$317))</f>
        <v>5</v>
      </c>
      <c r="KV26">
        <f>SUMPRODUCT(--('Данные 2st'!$Q$2:$Q$317=$A26),--ISNUMBER('Данные 2st'!$DF$2:$DF$317))</f>
        <v>5</v>
      </c>
      <c r="KW26">
        <f>SUMPRODUCT(--('Данные 2st'!$Q$2:$Q$317=$A26),--ISNUMBER('Данные 2st'!$DG$2:$DG$317))</f>
        <v>5</v>
      </c>
      <c r="KX26">
        <f>SUMPRODUCT(--('Данные 2st'!$Q$2:$Q$317=$A26),--ISNUMBER('Данные 2st'!$DH$2:$DH$317))</f>
        <v>0</v>
      </c>
      <c r="KY26">
        <f>SUMPRODUCT(--('Данные 2st'!$Q$2:$Q$317=$A26),--ISNUMBER('Данные 2st'!$DI$2:$DI$317))</f>
        <v>0</v>
      </c>
      <c r="KZ26">
        <f>SUMPRODUCT(--('Данные 2st'!$Q$2:$Q$317=$A26),--ISNUMBER('Данные 2st'!$DK$2:$DK$317))</f>
        <v>5</v>
      </c>
      <c r="LA26">
        <f>SUMPRODUCT(--('Данные 2st'!$Q$2:$Q$317=$A26),--ISNUMBER('Данные 2st'!$DM$2:$DM$317))</f>
        <v>5</v>
      </c>
      <c r="LB26">
        <f>SUMPRODUCT(--('Данные 2st'!$Q$2:$Q$317=$A26),--ISNUMBER('Данные 2st'!$DN$2:$DN$317))</f>
        <v>5</v>
      </c>
      <c r="LC26">
        <f>SUMPRODUCT(--('Данные 2st'!$Q$2:$Q$317=$A26),--ISNUMBER('Данные 2st'!$DO$2:$DO$317))</f>
        <v>5</v>
      </c>
      <c r="LD26">
        <f>SUMPRODUCT(--('Данные 2st'!$Q$2:$Q$317=$A26),--ISNUMBER('Данные 2st'!$DP$2:$DP$317))</f>
        <v>5</v>
      </c>
      <c r="LE26">
        <f>SUMPRODUCT(--('Данные 2st'!$Q$2:$Q$317=$A26),--ISNUMBER('Данные 2st'!$DQ$2:$DQ$317))</f>
        <v>5</v>
      </c>
      <c r="LF26">
        <f>SUMPRODUCT(--('Данные 2st'!$Q$2:$Q$317=$A26),--ISNUMBER('Данные 2st'!$DS$2:$DS$317))</f>
        <v>5</v>
      </c>
      <c r="LG26">
        <f>SUMPRODUCT(--('Данные 2st'!$Q$2:$Q$317=$A26),--ISNUMBER('Данные 2st'!$DU$2:$DU$317))</f>
        <v>5</v>
      </c>
      <c r="LH26">
        <f>SUMPRODUCT(--('Данные 2st'!$Q$2:$Q$317=$A26),--ISNUMBER('Данные 2st'!$DV$2:$DV$317))</f>
        <v>5</v>
      </c>
      <c r="LI26">
        <f>SUMPRODUCT(--('Данные 2st'!$Q$2:$Q$317=$A26),--ISNUMBER('Данные 2st'!$DW$2:$DW$317))</f>
        <v>5</v>
      </c>
      <c r="LJ26">
        <f>SUMPRODUCT(--('Данные 2st'!$Q$2:$Q$317=$A26),--ISNUMBER('Данные 2st'!$DX$2:$DX$317))</f>
        <v>5</v>
      </c>
      <c r="LK26">
        <f>SUMPRODUCT(--('Данные 2st'!$Q$2:$Q$317=$A26),--ISNUMBER('Данные 2st'!$DY$2:$DY$317))</f>
        <v>5</v>
      </c>
      <c r="LL26">
        <f>SUMPRODUCT(--('Данные 2st'!$Q$2:$Q$317=$A26),--ISNUMBER('Данные 2st'!$EA$2:$EA$317))</f>
        <v>5</v>
      </c>
      <c r="LM26">
        <f>SUMPRODUCT(--('Данные 2st'!$Q$2:$Q$317=$A26),--ISNUMBER('Данные 2st'!$EC$2:$EC$317))</f>
        <v>5</v>
      </c>
      <c r="LN26">
        <f>SUMPRODUCT(--('Данные 2st'!$Q$2:$Q$317=$A26),--ISNUMBER('Данные 2st'!$ED$2:$ED$317))</f>
        <v>5</v>
      </c>
      <c r="LO26">
        <f>SUMPRODUCT(--('Данные 2st'!$Q$2:$Q$317=$A26),--ISNUMBER('Данные 2st'!$EE$2:$EE$317))</f>
        <v>5</v>
      </c>
      <c r="LP26">
        <f>SUMPRODUCT(--('Данные 2st'!$Q$2:$Q$317=$A26),--ISNUMBER('Данные 2st'!$EG$2:$EG$317))</f>
        <v>5</v>
      </c>
      <c r="LQ26">
        <f>SUMPRODUCT(--('Данные 2st'!$Q$2:$Q$317=$A26),--ISNUMBER('Данные 2st'!$EI$2:$EI$317))</f>
        <v>5</v>
      </c>
      <c r="LR26">
        <f>SUMPRODUCT(--('Данные 2st'!$Q$2:$Q$317=$A26),--ISNUMBER('Данные 2st'!$EJ$2:$EJ$317))</f>
        <v>1</v>
      </c>
      <c r="LS26">
        <f>SUMPRODUCT(--('Данные 2st'!$Q$2:$Q$317=$A26),--ISNUMBER('Данные 2st'!$EK$2:$EK$317))</f>
        <v>1</v>
      </c>
      <c r="LT26">
        <f>SUMPRODUCT(--('Данные 2st'!$Q$2:$Q$317=$A26),--ISNUMBER('Данные 2st'!$EM$2:$EM$317))</f>
        <v>5</v>
      </c>
      <c r="LU26">
        <f>SUMPRODUCT(--('Данные 2st'!$Q$2:$Q$317=$A26),--ISNUMBER('Данные 2st'!$EN$2:$EN$317))</f>
        <v>5</v>
      </c>
      <c r="LV26">
        <f>SUMPRODUCT(--('Данные 2st'!$Q$2:$Q$317=$A26),--ISNUMBER('Данные 2st'!$EO$2:$EO$317))</f>
        <v>5</v>
      </c>
      <c r="LW26">
        <f>SUMPRODUCT(--('Данные 2st'!$Q$2:$Q$317=$A26),--ISNUMBER('Данные 2st'!$EP$2:$EP$317))</f>
        <v>5</v>
      </c>
      <c r="LX26">
        <f>SUMPRODUCT(--('Данные 2st'!$Q$2:$Q$317=$A26),--ISNUMBER('Данные 2st'!$EQ$2:$EQ$317))</f>
        <v>5</v>
      </c>
      <c r="LY26">
        <f>SUMPRODUCT(--('Данные 2st'!$Q$2:$Q$317=$A26),--ISNUMBER('Данные 2st'!$ER$2:$ER$317))</f>
        <v>5</v>
      </c>
      <c r="LZ26">
        <f>SUMPRODUCT(--('Данные 2st'!$Q$2:$Q$317=$A26),--ISNUMBER('Данные 2st'!$ES$2:$ES$317))</f>
        <v>5</v>
      </c>
      <c r="MA26">
        <f>SUMPRODUCT(--('Данные 2st'!$Q$2:$Q$317=$A26),--ISNUMBER('Данные 2st'!$ET$2:$ET$317))</f>
        <v>5</v>
      </c>
      <c r="MB26">
        <f>SUMPRODUCT(--('Данные 2st'!$Q$2:$Q$317=$A26),--ISNUMBER('Данные 2st'!$EU$2:$EU$317))</f>
        <v>5</v>
      </c>
      <c r="MC26">
        <f>SUMPRODUCT(--('Данные 2st'!$Q$2:$Q$317=$A26),--ISNUMBER('Данные 2st'!$EV$2:$EV$317))</f>
        <v>5</v>
      </c>
      <c r="MD26">
        <f>SUMPRODUCT(--('Данные 2st'!$Q$2:$Q$317=$A26),--ISNUMBER('Данные 2st'!$EW$2:$EW$317))</f>
        <v>5</v>
      </c>
      <c r="ME26">
        <f>SUMPRODUCT(--('Данные 2st'!$Q$2:$Q$317=$A26),--ISNUMBER('Данные 2st'!$EY$2:$EY$317))</f>
        <v>5</v>
      </c>
      <c r="MF26">
        <f>SUMPRODUCT(--('Данные 2st'!$Q$2:$Q$317=$A26),--ISNUMBER('Данные 2st'!$FA$2:$FA$317))</f>
        <v>5</v>
      </c>
      <c r="MG26">
        <f>SUMPRODUCT(--('Данные 2st'!$Q$2:$Q$317=$A26),--ISNUMBER('Данные 2st'!$FB$2:$FB$317))</f>
        <v>5</v>
      </c>
      <c r="MH26">
        <f>SUMPRODUCT(--('Данные 2st'!$Q$2:$Q$317=$A26),--ISNUMBER('Данные 2st'!$FC$2:$FC$317))</f>
        <v>5</v>
      </c>
      <c r="MI26">
        <f>SUMPRODUCT(--('Данные 2st'!$Q$2:$Q$317=$A26),--ISNUMBER('Данные 2st'!$FD$2:$FD$317))</f>
        <v>5</v>
      </c>
      <c r="MJ26">
        <f>SUMPRODUCT(--('Данные 2st'!$Q$2:$Q$317=$A26),--ISNUMBER('Данные 2st'!$FE$2:$FE$317))</f>
        <v>5</v>
      </c>
      <c r="MK26">
        <f>SUMPRODUCT(--('Данные 2st'!$Q$2:$Q$317=$A26),--ISNUMBER('Данные 2st'!$FG$2:$FG$317))</f>
        <v>5</v>
      </c>
      <c r="ML26">
        <f>SUMPRODUCT(--('Данные 2st'!$Q$2:$Q$317=$A26),--ISNUMBER('Данные 2st'!$FI$2:$FI$317))</f>
        <v>5</v>
      </c>
      <c r="MM26">
        <f>SUMPRODUCT(--('Данные 2st'!$Q$2:$Q$317=$A26),--ISNUMBER('Данные 2st'!$FJ$2:$FJ$317))</f>
        <v>5</v>
      </c>
      <c r="MN26">
        <f>SUMPRODUCT(--('Данные 2st'!$Q$2:$Q$317=$A26),--ISNUMBER('Данные 2st'!$FK$2:$FK$317))</f>
        <v>5</v>
      </c>
      <c r="MO26">
        <f>SUMPRODUCT(--('Данные 2st'!$Q$2:$Q$317=$A26),--ISNUMBER('Данные 2st'!$FP$2:$FP$317))</f>
        <v>5</v>
      </c>
      <c r="MP26">
        <f>SUMPRODUCT(--('Данные 2st'!$Q$2:$Q$317=$A26),--ISNUMBER('Данные 2st'!$FQ$2:$FQ$317))</f>
        <v>5</v>
      </c>
      <c r="MQ26">
        <f>SUMPRODUCT(--('Данные 2st'!$Q$2:$Q$317=$A26),--ISNUMBER('Данные 2st'!$FS$2:$FS$317))</f>
        <v>5</v>
      </c>
      <c r="MR26">
        <f>SUMPRODUCT(--('Данные 2st'!$Q$2:$Q$317=$A26),--ISNUMBER('Данные 2st'!$FU$2:$FU$317))</f>
        <v>5</v>
      </c>
      <c r="MS26">
        <f>SUMPRODUCT(--('Данные 2st'!$Q$2:$Q$317=$A26),--ISNUMBER('Данные 2st'!$FV$2:$FV$317))</f>
        <v>5</v>
      </c>
      <c r="MT26">
        <f>SUMPRODUCT(--('Данные 2st'!$Q$2:$Q$317=$A26),--ISNUMBER('Данные 2st'!$FW$2:$FW$317))</f>
        <v>5</v>
      </c>
      <c r="MU26">
        <f>SUMPRODUCT(--('Данные 2st'!$Q$2:$Q$317=$A26),--ISNUMBER('Данные 2st'!$FY$2:$FY$317))</f>
        <v>4</v>
      </c>
      <c r="MV26">
        <f>SUMPRODUCT(--('Данные 2st'!$Q$2:$Q$317=$A26),--ISNUMBER('Данные 2st'!$GB$2:$GB$317))</f>
        <v>4</v>
      </c>
      <c r="MW26">
        <f>SUMPRODUCT(--('Данные 2st'!$Q$2:$Q$317=$A26),--ISNUMBER('Данные 2st'!$GC$2:$GC$317))</f>
        <v>4</v>
      </c>
      <c r="MX26">
        <f>SUMPRODUCT(--('Данные 2st'!$Q$2:$Q$317=$A26),--ISNUMBER('Данные 2st'!$GD$2:$GD$317))</f>
        <v>5</v>
      </c>
      <c r="MY26">
        <f>SUMPRODUCT(--('Данные 2st'!$Q$2:$Q$317=$A26),--ISNUMBER('Данные 2st'!$GN$2:$GN$317))</f>
        <v>0</v>
      </c>
      <c r="MZ26">
        <f>SUMPRODUCT(--('Данные 2st'!$Q$2:$Q$317=$A26),--ISNUMBER('Данные 2st'!$GQ$2:$GQ$317))</f>
        <v>5</v>
      </c>
      <c r="NA26">
        <f>SUMPRODUCT(--('Данные 2st'!$Q$2:$Q$317=$A26),--ISNUMBER('Данные 2st'!$GV$2:$GV$317))</f>
        <v>5</v>
      </c>
      <c r="NB26">
        <f>SUMPRODUCT(--('Данные 2st'!$Q$2:$Q$317=$A26),--ISNUMBER('Данные 2st'!$GW$2:$GW$317))</f>
        <v>5</v>
      </c>
      <c r="NC26">
        <f>SUMPRODUCT(--('Данные 2st'!$Q$2:$Q$317=$A26),--ISNUMBER('Данные 2st'!$GX$2:$GX$317))</f>
        <v>5</v>
      </c>
      <c r="ND26">
        <f>SUMPRODUCT(--('Данные 2st'!$Q$2:$Q$317=$A26),--ISNUMBER('Данные 2st'!$GY$2:$GY$317))</f>
        <v>5</v>
      </c>
      <c r="NE26">
        <f>SUMPRODUCT(--('Данные 2st'!$Q$2:$Q$317=$A26),--ISNUMBER('Данные 2st'!$GZ$2:$GZ$317))</f>
        <v>5</v>
      </c>
      <c r="NF26">
        <f>SUMPRODUCT(--('Данные 2st'!$Q$2:$Q$317=$A26),--ISNUMBER('Данные 2st'!$HA$2:$HA$317))</f>
        <v>5</v>
      </c>
      <c r="NG26">
        <f>SUMPRODUCT(--('Данные 2st'!$Q$2:$Q$317=$A26),--ISNUMBER('Данные 2st'!$HB$2:$HB$317))</f>
        <v>5</v>
      </c>
      <c r="NH26">
        <f>SUMPRODUCT(--('Данные 2st'!$Q$2:$Q$317=$A26),--ISNUMBER('Данные 2st'!$HC$2:$HC$317))</f>
        <v>5</v>
      </c>
      <c r="NI26">
        <f>SUMPRODUCT(--('Данные 2st'!$Q$2:$Q$317=$A26),--ISNUMBER('Данные 2st'!$HD$2:$HD$317))</f>
        <v>5</v>
      </c>
      <c r="NJ26">
        <f>SUMPRODUCT(--('Данные 2st'!$Q$2:$Q$317=$A26),--ISNUMBER('Данные 2st'!$HM$2:$HM$317))</f>
        <v>5</v>
      </c>
      <c r="NK26">
        <f>SUMPRODUCT(--('Данные 2st'!$Q$2:$Q$317=$A26),--ISNUMBER('Данные 2st'!$HR$2:$HR$317))</f>
        <v>5</v>
      </c>
      <c r="NL26">
        <f>SUMPRODUCT(--('Данные 2st'!$Q$2:$Q$317=$A26),--ISNUMBER('Данные 2st'!$HS$2:$HS$317))</f>
        <v>5</v>
      </c>
      <c r="NM26">
        <f>SUMPRODUCT(--('Данные 2st'!$Q$2:$Q$317=$A26),--ISNUMBER('Данные 2st'!$HT$2:$HT$317))</f>
        <v>5</v>
      </c>
      <c r="NN26">
        <f>SUMPRODUCT(--('Данные 2st'!$Q$2:$Q$317=$A26),--ISNUMBER('Данные 2st'!$HY$2:$HY$317))</f>
        <v>5</v>
      </c>
      <c r="NO26">
        <f>SUMPRODUCT(--('Данные 2st'!$Q$2:$Q$317=$A26),--ISNUMBER('Данные 2st'!$HZ$2:$HZ$317))</f>
        <v>5</v>
      </c>
      <c r="NP26">
        <f>SUMPRODUCT(--('Данные 2st'!$Q$2:$Q$317=$A26),--ISNUMBER('Данные 2st'!$IA$2:$IA$317))</f>
        <v>5</v>
      </c>
      <c r="NQ26">
        <f>SUMPRODUCT(--('Данные 2st'!$Q$2:$Q$317=$A26),--ISNUMBER('Данные 2st'!$IB$2:$IB$317))</f>
        <v>5</v>
      </c>
      <c r="NR26">
        <f>SUMPRODUCT(--('Данные 2st'!$Q$2:$Q$317=$A26),--ISNUMBER('Данные 2st'!$IC$2:$IC$317))</f>
        <v>0</v>
      </c>
      <c r="NS26">
        <f>SUMPRODUCT(--('Данные 2st'!$Q$2:$Q$317=$A26),--ISNUMBER('Данные 2st'!$ID$2:$ID$317))</f>
        <v>5</v>
      </c>
      <c r="NT26">
        <f>SUMPRODUCT(--('Данные 2st'!$Q$2:$Q$317=$A26),--ISNUMBER('Данные 2st'!$IE$2:$IE$317))</f>
        <v>5</v>
      </c>
      <c r="NU26">
        <f>SUMPRODUCT(--('Данные 2st'!$Q$2:$Q$317=$A26),--ISNUMBER('Данные 2st'!$IF$2:$IF$317))</f>
        <v>5</v>
      </c>
      <c r="NV26">
        <f>SUMPRODUCT(--('Данные 2st'!$Q$2:$Q$317=$A26),--ISNUMBER('Данные 2st'!$IG$2:$IG$317))</f>
        <v>5</v>
      </c>
      <c r="NW26">
        <f>SUMPRODUCT(--('Данные 2st'!$Q$2:$Q$317=$A26),--ISNUMBER('Данные 2st'!$IH$2:$IH$317))</f>
        <v>5</v>
      </c>
      <c r="NX26">
        <f>SUMPRODUCT(--('Данные 2st'!$Q$2:$Q$317=$A26),--ISNUMBER('Данные 2st'!$IJ$2:$IJ$317))</f>
        <v>5</v>
      </c>
      <c r="NY26">
        <f>SUMPRODUCT(--('Данные 2st'!$Q$2:$Q$317=$A26),--ISNUMBER('Данные 2st'!$IM$2:$IM$317))</f>
        <v>5</v>
      </c>
      <c r="NZ26">
        <f>SUMPRODUCT(--('Данные 2st'!$Q$2:$Q$317=$A26),--ISNUMBER('Данные 2st'!$IN$2:$IN$317))</f>
        <v>5</v>
      </c>
      <c r="OA26">
        <f>SUMPRODUCT(--('Данные 2st'!$Q$2:$Q$317=$A26),--ISNUMBER('Данные 2st'!$IO$2:$IO$317))</f>
        <v>5</v>
      </c>
      <c r="OB26">
        <f>SUMPRODUCT(--('Данные 2st'!$Q$2:$Q$317=$A26),--ISNUMBER('Данные 2st'!$IP$2:$IP$317))</f>
        <v>5</v>
      </c>
      <c r="OC26">
        <f>SUMPRODUCT(--('Данные 2st'!$Q$2:$Q$317=$A26),--ISNUMBER('Данные 2st'!$IQ$2:$IQ$317))</f>
        <v>5</v>
      </c>
      <c r="OD26">
        <f>SUMPRODUCT(--('Данные 2st'!$Q$2:$Q$317=$A26),--ISNUMBER('Данные 2st'!$IR$2:$IR$317))</f>
        <v>5</v>
      </c>
      <c r="OE26">
        <f>SUMPRODUCT(--('Данные 2st'!$Q$2:$Q$317=$A26),--ISNUMBER('Данные 2st'!$IT$2:$IT$317))</f>
        <v>5</v>
      </c>
      <c r="OF26">
        <f>SUMPRODUCT(--('Данные 2st'!$Q$2:$Q$317=$A26),--ISNUMBER('Данные 2st'!$IU$2:$IU$317))</f>
        <v>5</v>
      </c>
      <c r="OG26">
        <f>SUMPRODUCT(--('Данные 2st'!$Q$2:$Q$317=$A26),--ISNUMBER('Данные 2st'!$IV$2:$IV$317))</f>
        <v>5</v>
      </c>
      <c r="OH26">
        <f>SUMPRODUCT(--('Данные 2st'!$Q$2:$Q$317=$A26),--ISNUMBER('Данные 2st'!$IW$2:$IW$317))</f>
        <v>5</v>
      </c>
      <c r="OI26">
        <f>SUMPRODUCT(--('Данные 2st'!$Q$2:$Q$317=$A26),--ISNUMBER('Данные 2st'!$IX$2:$IX$317))</f>
        <v>5</v>
      </c>
      <c r="OJ26">
        <f>SUMPRODUCT(--('Данные 2st'!$Q$2:$Q$317=$A26),--ISNUMBER('Данные 2st'!$IY$2:$IY$317))</f>
        <v>5</v>
      </c>
      <c r="OK26">
        <f>SUMPRODUCT(--('Данные 2st'!$Q$2:$Q$317=$A26),--ISNUMBER('Данные 2st'!$IZ$2:$IZ$317))</f>
        <v>5</v>
      </c>
      <c r="OL26">
        <f>SUMPRODUCT(--('Данные 2st'!$Q$2:$Q$317=$A26),--ISNUMBER('Данные 2st'!$JA$2:$JA$317))</f>
        <v>5</v>
      </c>
      <c r="OM26">
        <f>SUMPRODUCT(--('Данные 2st'!$Q$2:$Q$317=$A26),--ISNUMBER('Данные 2st'!$JB$2:$JB$317))</f>
        <v>5</v>
      </c>
      <c r="ON26">
        <f>SUMPRODUCT(--('Данные 2st'!$Q$2:$Q$317=$A26),--ISNUMBER('Данные 2st'!$JC$2:$JC$317))</f>
        <v>5</v>
      </c>
      <c r="OO26">
        <f>SUMPRODUCT(--('Данные 2st'!$Q$2:$Q$317=$A26),--ISNUMBER('Данные 2st'!$JD$2:$JD$317))</f>
        <v>5</v>
      </c>
      <c r="OP26">
        <f>SUMPRODUCT(--('Данные 2st'!$Q$2:$Q$317=$A26),--ISNUMBER('Данные 2st'!$JE$2:$JE$317))</f>
        <v>5</v>
      </c>
      <c r="OQ26">
        <f>SUMPRODUCT(--('Данные 2st'!$Q$2:$Q$317=$A26),--ISNUMBER('Данные 2st'!$JF$2:$JF$317))</f>
        <v>5</v>
      </c>
      <c r="OR26">
        <f>SUMPRODUCT(--('Данные 2st'!$Q$2:$Q$317=$A26),--ISNUMBER('Данные 2st'!$JG$2:$JG$317))</f>
        <v>5</v>
      </c>
      <c r="OS26">
        <f>SUMPRODUCT(--('Данные 2st'!$Q$2:$Q$317=$A26),--ISNUMBER('Данные 2st'!$JH$2:$JH$317))</f>
        <v>5</v>
      </c>
      <c r="OT26">
        <f>SUMPRODUCT(--('Данные 2st'!$Q$2:$Q$317=$A26),--ISNUMBER('Данные 2st'!$JI$2:$JI$317))</f>
        <v>5</v>
      </c>
      <c r="OU26">
        <f>SUMPRODUCT(--('Данные 2st'!$Q$2:$Q$317=$A26),--ISNUMBER('Данные 2st'!$JJ$2:$JJ$317))</f>
        <v>5</v>
      </c>
      <c r="OV26">
        <f>SUMPRODUCT(--('Данные 2st'!$Q$2:$Q$317=$A26),--ISNUMBER('Данные 2st'!$JK$2:$JK$317))</f>
        <v>5</v>
      </c>
      <c r="OW26">
        <f>SUMPRODUCT(--('Данные 2st'!$Q$2:$Q$317=$A26),--ISNUMBER('Данные 2st'!$JL$2:$JL$317))</f>
        <v>5</v>
      </c>
      <c r="OX26">
        <f>SUMPRODUCT(--('Данные 2st'!$Q$2:$Q$317=$A26),--ISNUMBER('Данные 2st'!$JM$2:$JM$317))</f>
        <v>5</v>
      </c>
      <c r="OY26">
        <f>SUMPRODUCT(--('Данные 2st'!$Q$2:$Q$317=$A26),--ISNUMBER('Данные 2st'!$JP$2:$JP$317))</f>
        <v>5</v>
      </c>
      <c r="OZ26">
        <f>SUMPRODUCT(--('Данные 2st'!$Q$2:$Q$317=$A26),--ISNUMBER('Данные 2st'!$JQ$2:$JQ$317))</f>
        <v>5</v>
      </c>
      <c r="PA26">
        <f>SUMPRODUCT(--('Данные 2st'!$Q$2:$Q$317=$A26),--ISNUMBER('Данные 2st'!$JR$2:$JR$317))</f>
        <v>5</v>
      </c>
      <c r="PB26">
        <f>SUMPRODUCT(--('Данные 2st'!$Q$2:$Q$317=$A26),--ISNUMBER('Данные 2st'!$JS$2:$JS$317))</f>
        <v>5</v>
      </c>
      <c r="PC26">
        <f>SUMPRODUCT(--('Данные 2st'!$Q$2:$Q$317=$A26),--ISNUMBER('Данные 2st'!$JT$2:$JT$317))</f>
        <v>5</v>
      </c>
      <c r="PD26">
        <f>SUMPRODUCT(--('Данные 2st'!$Q$2:$Q$317=$A26),--ISNUMBER('Данные 2st'!$JU$2:$JU$317))</f>
        <v>5</v>
      </c>
      <c r="PE26">
        <f>SUMPRODUCT(--('Данные 2st'!$Q$2:$Q$317=$A26),--ISNUMBER('Данные 2st'!$JV$2:$JV$317))</f>
        <v>5</v>
      </c>
      <c r="PF26">
        <f>SUMPRODUCT(--('Данные 2st'!$Q$2:$Q$317=$A26),--ISNUMBER('Данные 2st'!$JW$2:$JW$317))</f>
        <v>5</v>
      </c>
      <c r="PG26">
        <f>SUMPRODUCT(--('Данные 2st'!$Q$2:$Q$317=$A26),--ISNUMBER('Данные 2st'!$KF$2:$KF$317))</f>
        <v>5</v>
      </c>
      <c r="PH26">
        <f>SUMPRODUCT(--('Данные 2st'!$Q$2:$Q$317=$A26),--ISNUMBER('Данные 2st'!$KG$2:$KG$317))</f>
        <v>5</v>
      </c>
      <c r="PI26">
        <f>SUMPRODUCT(--('Данные 2st'!$Q$2:$Q$317=$A26),--ISNUMBER('Данные 2st'!$KM$2:$KM$317))</f>
        <v>5</v>
      </c>
      <c r="PJ26">
        <f>SUMPRODUCT(--('Данные 2st'!$Q$2:$Q$317=$A26),--ISNUMBER('Данные 2st'!$KN$2:$KN$317))</f>
        <v>5</v>
      </c>
      <c r="PK26">
        <f>SUMPRODUCT(--('Данные 2st'!$Q$2:$Q$317=$A26),--ISNUMBER('Данные 2st'!$KO$2:$KO$317))</f>
        <v>5</v>
      </c>
      <c r="PL26">
        <f>SUMPRODUCT(--('Данные 2st'!$Q$2:$Q$317=$A26),--ISNUMBER('Данные 2st'!$KP$2:$KP$317))</f>
        <v>5</v>
      </c>
      <c r="PM26">
        <f>SUMPRODUCT(--('Данные 2st'!$Q$2:$Q$317=$A26),--ISNUMBER('Данные 2st'!$KQ$2:$KQ$317))</f>
        <v>5</v>
      </c>
      <c r="PN26">
        <f>SUMPRODUCT(--('Данные 2st'!$Q$2:$Q$317=$A26),--ISNUMBER('Данные 2st'!$KR$2:$KR$317))</f>
        <v>5</v>
      </c>
      <c r="PO26">
        <f>SUMPRODUCT(--('Данные 2st'!$Q$2:$Q$317=$A26),--ISNUMBER('Данные 2st'!$KS$2:$KS$317))</f>
        <v>5</v>
      </c>
      <c r="PP26">
        <f>SUMPRODUCT(--('Данные 2st'!$Q$2:$Q$317=$A26),--ISNUMBER('Данные 2st'!$KT$2:$KT$317))</f>
        <v>5</v>
      </c>
      <c r="PQ26">
        <f>SUMPRODUCT(--('Данные 2st'!$Q$2:$Q$317=$A26),--ISNUMBER('Данные 2st'!$KU$2:$KU$317))</f>
        <v>5</v>
      </c>
      <c r="PR26">
        <f>SUMPRODUCT(--('Данные 2st'!$Q$2:$Q$317=$A26),--ISNUMBER('Данные 2st'!$KV$2:$KV$317))</f>
        <v>5</v>
      </c>
      <c r="PS26">
        <f>SUMPRODUCT(--('Данные 2st'!$Q$2:$Q$317=$A26),--ISNUMBER('Данные 2st'!$KW$2:$KW$317))</f>
        <v>5</v>
      </c>
      <c r="PT26">
        <f>SUMPRODUCT(--('Данные 2st'!$Q$2:$Q$317=$A26),--ISNUMBER('Данные 2st'!$KX$2:$KX$317))</f>
        <v>5</v>
      </c>
      <c r="PU26">
        <f>SUMPRODUCT(--('Данные 2st'!$Q$2:$Q$317=$A26),--ISNUMBER('Данные 2st'!$KY$2:$KY$317))</f>
        <v>5</v>
      </c>
      <c r="PV26">
        <f>SUMPRODUCT(--('Данные 2st'!$Q$2:$Q$317=$A26),--ISNUMBER('Данные 2st'!$KZ$2:$KZ$317))</f>
        <v>5</v>
      </c>
      <c r="PW26">
        <f>SUMPRODUCT(--('Данные 2st'!$Q$2:$Q$317=$A26),--ISNUMBER('Данные 2st'!$LA$2:$LA$317))</f>
        <v>5</v>
      </c>
      <c r="PX26">
        <f>SUMPRODUCT(--('Данные 2st'!$Q$2:$Q$317=$A26),--ISNUMBER('Данные 2st'!$LB$2:$LB$317))</f>
        <v>5</v>
      </c>
      <c r="PY26">
        <f>SUMPRODUCT(--('Данные 2st'!$Q$2:$Q$317=$A26),--ISNUMBER('Данные 2st'!$LC$2:$LC$317))</f>
        <v>5</v>
      </c>
      <c r="PZ26">
        <f>SUMPRODUCT(--('Данные 2st'!$Q$2:$Q$317=$A26),--ISNUMBER('Данные 2st'!$LD$2:$LD$317))</f>
        <v>5</v>
      </c>
      <c r="QA26">
        <f>SUMPRODUCT(--('Данные 2st'!$Q$2:$Q$317=$A26),--ISNUMBER('Данные 2st'!$LE$2:$LE$317))</f>
        <v>5</v>
      </c>
      <c r="QB26">
        <f>SUMPRODUCT(--('Данные 2st'!$Q$2:$Q$317=$A26),--ISNUMBER('Данные 2st'!$LF$2:$LF$317))</f>
        <v>5</v>
      </c>
      <c r="QC26">
        <f>SUMPRODUCT(--('Данные 2st'!$Q$2:$Q$317=$A26),--ISNUMBER('Данные 2st'!$LG$2:$LG$317))</f>
        <v>5</v>
      </c>
      <c r="QD26">
        <f>SUMPRODUCT(--('Данные 2st'!$Q$2:$Q$317=$A26),--ISNUMBER('Данные 2st'!$LH$2:$LH$317))</f>
        <v>5</v>
      </c>
      <c r="QE26">
        <f>SUMPRODUCT(--('Данные 2st'!$Q$2:$Q$317=$A26),--ISNUMBER('Данные 2st'!$LJ$2:$LJ$317))</f>
        <v>5</v>
      </c>
      <c r="QF26">
        <f>SUMPRODUCT(--('Данные 2st'!$Q$2:$Q$317=$A26),--ISNUMBER('Данные 2st'!$LK$2:$LK$317))</f>
        <v>5</v>
      </c>
      <c r="QG26">
        <f>SUMPRODUCT(--('Данные 2st'!$Q$2:$Q$317=$A26),--ISNUMBER('Данные 2st'!$LL$2:$LL$317))</f>
        <v>5</v>
      </c>
      <c r="QH26">
        <f>SUMPRODUCT(--('Данные 2st'!$Q$2:$Q$317=$A26),--ISNUMBER('Данные 2st'!$LM$2:$LM$317))</f>
        <v>5</v>
      </c>
      <c r="QI26">
        <f>SUMPRODUCT(--('Данные 2st'!$Q$2:$Q$317=$A26),--ISNUMBER('Данные 2st'!$LN$2:$LN$317))</f>
        <v>5</v>
      </c>
      <c r="QJ26">
        <f>SUMPRODUCT(--('Данные 2st'!$Q$2:$Q$317=$A26),--ISNUMBER('Данные 2st'!$LO$2:$LO$317))</f>
        <v>5</v>
      </c>
      <c r="QK26">
        <f>SUMPRODUCT(--('Данные 2st'!$Q$2:$Q$317=$A26),--ISNUMBER('Данные 2st'!$LP$2:$LP$317))</f>
        <v>5</v>
      </c>
      <c r="QL26">
        <f>SUMPRODUCT(--('Данные 2st'!$Q$2:$Q$317=$A26),--ISNUMBER('Данные 2st'!$LQ$2:$LQ$317))</f>
        <v>5</v>
      </c>
      <c r="QM26">
        <f>SUMPRODUCT(--('Данные 2st'!$Q$2:$Q$317=$A26),--ISNUMBER('Данные 2st'!$LW$2:$LW$317))</f>
        <v>5</v>
      </c>
      <c r="QN26">
        <f>SUMPRODUCT(--('Данные 2st'!$Q$2:$Q$317=$A26),--ISNUMBER('Данные 2st'!$LX$2:$LX$317))</f>
        <v>5</v>
      </c>
      <c r="QO26">
        <f>SUMPRODUCT(--('Данные 2st'!$Q$2:$Q$317=$A26),--ISNUMBER('Данные 2st'!$LY$2:$LY$317))</f>
        <v>5</v>
      </c>
      <c r="QP26">
        <f>SUMPRODUCT(--('Данные 2st'!$Q$2:$Q$317=$A26),--ISNUMBER('Данные 2st'!$LZ$2:$LZ$317))</f>
        <v>5</v>
      </c>
      <c r="QQ26">
        <f>SUMPRODUCT(--('Данные 2st'!$Q$2:$Q$317=$A26),--ISNUMBER('Данные 2st'!$MB$2:$MB$317))</f>
        <v>5</v>
      </c>
      <c r="QR26">
        <f>SUMPRODUCT(--('Данные 2st'!$Q$2:$Q$317=$A26),--ISNUMBER('Данные 2st'!$MG$2:$MG$317))</f>
        <v>5</v>
      </c>
      <c r="QS26">
        <f>SUMPRODUCT(--('Данные 2st'!$Q$2:$Q$317=$A26),--ISNUMBER('Данные 2st'!$MH$2:$MH$317))</f>
        <v>5</v>
      </c>
      <c r="QT26">
        <f>SUMPRODUCT(--('Данные 2st'!$Q$2:$Q$317=$A26),--ISNUMBER('Данные 2st'!$MI$2:$MI$317))</f>
        <v>5</v>
      </c>
      <c r="QU26">
        <f>SUMPRODUCT(--('Данные 2st'!$Q$2:$Q$317=$A26),--ISNUMBER('Данные 2st'!$MJ$2:$MJ$317))</f>
        <v>5</v>
      </c>
      <c r="QV26">
        <f>SUMPRODUCT(--('Данные 2st'!$Q$2:$Q$317=$A26),--ISNUMBER('Данные 2st'!$MK$2:$MK$317))</f>
        <v>5</v>
      </c>
      <c r="QW26">
        <f>SUMPRODUCT(--('Данные 2st'!$Q$2:$Q$317=$A26),--ISNUMBER('Данные 2st'!$MM$2:$MM$317))</f>
        <v>5</v>
      </c>
      <c r="QX26">
        <f>SUMPRODUCT(--('Данные 2st'!$Q$2:$Q$317=$A26),--ISNUMBER('Данные 2st'!$MQ$2:$MQ$317))</f>
        <v>0</v>
      </c>
      <c r="QY26">
        <f>SUMPRODUCT(--('Данные 2st'!$Q$2:$Q$317=$A26),--ISNUMBER('Данные 2st'!$MR$2:$MR$317))</f>
        <v>0</v>
      </c>
      <c r="QZ26">
        <f>SUMPRODUCT(--('Данные 2st'!$Q$2:$Q$317=$A26),--ISNUMBER('Данные 2st'!$MS$2:$MS$317))</f>
        <v>0</v>
      </c>
      <c r="RA26">
        <f>SUMPRODUCT(--('Данные 2st'!$Q$2:$Q$317=$A26),--ISNUMBER('Данные 2st'!$MT$2:$MT$317))</f>
        <v>0</v>
      </c>
      <c r="RB26">
        <f>SUMPRODUCT(--('Данные 2st'!$Q$2:$Q$317=$A26),--ISNUMBER('Данные 2st'!$MU$2:$MU$317))</f>
        <v>0</v>
      </c>
      <c r="RC26">
        <f>SUMPRODUCT(--('Данные 2st'!$Q$2:$Q$317=$A26),--ISNUMBER('Данные 2st'!$MV$2:$MV$317))</f>
        <v>0</v>
      </c>
      <c r="RD26">
        <f>SUMPRODUCT(--('Данные 2st'!$Q$2:$Q$317=$A26),--ISNUMBER('Данные 2st'!$MW$2:$MW$317))</f>
        <v>0</v>
      </c>
      <c r="RE26">
        <f>SUMPRODUCT(--('Данные 2st'!$Q$2:$Q$317=$A26),--ISNUMBER('Данные 2st'!$MX$2:$MX$317))</f>
        <v>0</v>
      </c>
      <c r="RF26">
        <f>SUMPRODUCT(--('Данные 2st'!$Q$2:$Q$317=$A26),--ISNUMBER('Данные 2st'!$MY$2:$MY$317))</f>
        <v>0</v>
      </c>
      <c r="RG26">
        <f>SUMPRODUCT(--('Данные 2st'!$Q$2:$Q$317=$A26),--ISNUMBER('Данные 2st'!$MZ$2:$MZ$317))</f>
        <v>0</v>
      </c>
      <c r="RH26">
        <f>SUMPRODUCT(--('Данные 2st'!$Q$2:$Q$317=$A26),--ISNUMBER('Данные 2st'!$NA$2:$NA$317))</f>
        <v>0</v>
      </c>
      <c r="RI26">
        <f>SUMPRODUCT(--('Данные 2st'!$Q$2:$Q$317=$A26),--ISNUMBER('Данные 2st'!$NB$2:$NB$317))</f>
        <v>0</v>
      </c>
      <c r="RJ26">
        <f>SUMPRODUCT(--('Данные 2st'!$Q$2:$Q$317=$A26),--ISNUMBER('Данные 2st'!$NC$2:$NC$317))</f>
        <v>0</v>
      </c>
      <c r="RK26">
        <f>SUMPRODUCT(--('Данные 2st'!$Q$2:$Q$317=$A26),--ISNUMBER('Данные 2st'!$ND$2:$ND$317))</f>
        <v>0</v>
      </c>
      <c r="RL26">
        <f>SUMPRODUCT(--('Данные 2st'!$Q$2:$Q$317=$A26),--ISNUMBER('Данные 2st'!$NE$2:$NE$317))</f>
        <v>0</v>
      </c>
      <c r="RM26">
        <f>SUMPRODUCT(--('Данные 2st'!$Q$2:$Q$317=$A26),--ISNUMBER('Данные 2st'!$NF$2:$NF$317))</f>
        <v>0</v>
      </c>
      <c r="RN26">
        <f>SUMPRODUCT(--('Данные 2st'!$Q$2:$Q$317=$A26),--ISNUMBER('Данные 2st'!$NG$2:$NG$317))</f>
        <v>0</v>
      </c>
      <c r="RO26">
        <f>SUMPRODUCT(--('Данные 2st'!$Q$2:$Q$317=$A26),--ISNUMBER('Данные 2st'!$NH$2:$NH$317))</f>
        <v>0</v>
      </c>
      <c r="RP26">
        <f>SUMPRODUCT(--('Данные 2st'!$Q$2:$Q$317=$A26),--ISNUMBER('Данные 2st'!$NJ$2:$NJ$317))</f>
        <v>0</v>
      </c>
      <c r="RQ26">
        <f>SUMPRODUCT(--('Данные 2st'!$Q$2:$Q$317=$A26),--ISNUMBER('Данные 2st'!$NK$2:$NK$317))</f>
        <v>0</v>
      </c>
      <c r="RR26">
        <f>SUMPRODUCT(--('Данные 2st'!$Q$2:$Q$317=$A26),--ISNUMBER('Данные 2st'!$NM$2:$NM$317))</f>
        <v>0</v>
      </c>
      <c r="RS26">
        <f>SUMPRODUCT(--('Данные 2st'!$Q$2:$Q$317=$A26),--ISNUMBER('Данные 2st'!$NN$2:$NN$317))</f>
        <v>0</v>
      </c>
      <c r="RT26">
        <f>SUMPRODUCT(--('Данные 2st'!$Q$2:$Q$317=$A26),--ISNUMBER('Данные 2st'!$NO$2:$NO$317))</f>
        <v>0</v>
      </c>
      <c r="RU26">
        <f>SUMPRODUCT(--('Данные 2st'!$Q$2:$Q$317=$A26),--ISNUMBER('Данные 2st'!$NP$2:$NP$317))</f>
        <v>0</v>
      </c>
      <c r="RV26">
        <f>SUMPRODUCT(--('Данные 2st'!$Q$2:$Q$317=$A26),--ISNUMBER('Данные 2st'!$NQ$2:$NQ$317))</f>
        <v>0</v>
      </c>
      <c r="RW26">
        <f>SUMPRODUCT(--('Данные 2st'!$Q$2:$Q$317=$A26),--ISNUMBER('Данные 2st'!$NR$2:$NR$317))</f>
        <v>0</v>
      </c>
      <c r="RX26">
        <f>SUMPRODUCT(--('Данные 2st'!$Q$2:$Q$317=$A26),--ISNUMBER('Данные 2st'!$NS$2:$NS$317))</f>
        <v>0</v>
      </c>
      <c r="RY26">
        <f>SUMPRODUCT(--('Данные 2st'!$Q$2:$Q$317=$A26),--ISNUMBER('Данные 2st'!$NT$2:$NT$317))</f>
        <v>0</v>
      </c>
      <c r="RZ26">
        <f>SUMPRODUCT(--('Данные 2st'!$Q$2:$Q$317=$A26),--ISNUMBER('Данные 2st'!$OK$2:$OK$317))</f>
        <v>5</v>
      </c>
      <c r="SA26">
        <f>SUMPRODUCT(--('Данные 2st'!$Q$2:$Q$317=$A26),--ISNUMBER('Данные 2st'!$OL$2:$OL$317))</f>
        <v>5</v>
      </c>
      <c r="SB26">
        <f>SUMPRODUCT(--('Данные 2st'!$Q$2:$Q$317=$A26),--ISNUMBER('Данные 2st'!$ON$2:$ON$317))</f>
        <v>5</v>
      </c>
      <c r="SC26">
        <f>SUMPRODUCT(--('Данные 2st'!$Q$2:$Q$317=$A26),--ISNUMBER('Данные 2st'!$OO$2:$OO$317))</f>
        <v>5</v>
      </c>
      <c r="SD26">
        <f>SUMPRODUCT(--('Данные 2st'!$Q$2:$Q$317=$A26),--ISNUMBER('Данные 2st'!$OP$2:$OP$317))</f>
        <v>5</v>
      </c>
      <c r="SE26">
        <f>SUMPRODUCT(--('Данные 2st'!$Q$2:$Q$317=$A26),--ISNUMBER('Данные 2st'!$OQ$2:$OQ$317))</f>
        <v>5</v>
      </c>
      <c r="SF26">
        <f>SUMPRODUCT(--('Данные 2st'!$Q$2:$Q$317=$A26),--ISNUMBER('Данные 2st'!$OS$2:$OS$317))</f>
        <v>5</v>
      </c>
      <c r="SG26">
        <f>SUMPRODUCT(--('Данные 2st'!$Q$2:$Q$317=$A26),--ISNUMBER('Данные 2st'!$OT$2:$OT$317))</f>
        <v>5</v>
      </c>
      <c r="SH26">
        <f>SUMPRODUCT(--('Данные 2st'!$Q$2:$Q$317=$A26),--ISNUMBER('Данные 2st'!$OU$2:$OU$317))</f>
        <v>5</v>
      </c>
      <c r="SI26">
        <f>SUMPRODUCT(--('Данные 2st'!$Q$2:$Q$317=$A26),--ISNUMBER('Данные 2st'!$OV$2:$OV$317))</f>
        <v>5</v>
      </c>
      <c r="SJ26">
        <f>SUMPRODUCT(--('Данные 2st'!$Q$2:$Q$317=$A26),--ISNUMBER('Данные 2st'!$OX$2:$OX$317))</f>
        <v>5</v>
      </c>
      <c r="SK26">
        <f>SUMPRODUCT(--('Данные 2st'!$Q$2:$Q$317=$A26),--ISNUMBER('Данные 2st'!$OY$2:$OY$317))</f>
        <v>5</v>
      </c>
      <c r="SL26">
        <f>SUMPRODUCT(--('Данные 2st'!$Q$2:$Q$317=$A26),--ISNUMBER('Данные 2st'!$OZ$2:$OZ$317))</f>
        <v>5</v>
      </c>
      <c r="SM26">
        <f>SUMPRODUCT(--('Данные 2st'!$Q$2:$Q$317=$A26),--ISNUMBER('Данные 2st'!$PA$2:$PA$317))</f>
        <v>5</v>
      </c>
      <c r="SN26">
        <f>SUMPRODUCT(--('Данные 2st'!$Q$2:$Q$317=$A26),--ISNUMBER('Данные 2st'!$PC$2:$PC$317))</f>
        <v>5</v>
      </c>
      <c r="SO26">
        <f>SUMPRODUCT(--('Данные 2st'!$Q$2:$Q$317=$A26),--ISNUMBER('Данные 2st'!$PD$2:$PD$317))</f>
        <v>5</v>
      </c>
      <c r="SP26">
        <f>SUMPRODUCT(--('Данные 2st'!$Q$2:$Q$317=$A26),--ISNUMBER('Данные 2st'!$PF$2:$PF$317))</f>
        <v>5</v>
      </c>
      <c r="SQ26">
        <f>SUMPRODUCT(--('Данные 2st'!$Q$2:$Q$317=$A26),--ISNUMBER('Данные 2st'!$PG$2:$PG$317))</f>
        <v>5</v>
      </c>
      <c r="SR26">
        <f>SUMPRODUCT(--('Данные 2st'!$Q$2:$Q$317=$A26),--ISNUMBER('Данные 2st'!$PH$2:$PH$317))</f>
        <v>5</v>
      </c>
      <c r="SS26">
        <f>SUMPRODUCT(--('Данные 2st'!$Q$2:$Q$317=$A26),--ISNUMBER('Данные 2st'!$PI$2:$PI$317))</f>
        <v>5</v>
      </c>
      <c r="ST26">
        <f>SUMPRODUCT(--('Данные 2st'!$Q$2:$Q$317=$A26),--ISNUMBER('Данные 2st'!$PJ$2:$PJ$317))</f>
        <v>5</v>
      </c>
      <c r="SU26">
        <f>SUMPRODUCT(--('Данные 2st'!$Q$2:$Q$317=$A26),--ISNUMBER('Данные 2st'!$PK$2:$PK$317))</f>
        <v>4</v>
      </c>
      <c r="SV26">
        <f>SUMPRODUCT(--('Данные 2st'!$Q$2:$Q$317=$A26),--ISNUMBER('Данные 2st'!$PL$2:$PL$317))</f>
        <v>5</v>
      </c>
      <c r="SW26">
        <f>SUMPRODUCT(--('Данные 2st'!$Q$2:$Q$317=$A26),--ISNUMBER('Данные 2st'!$PM$2:$PM$317))</f>
        <v>5</v>
      </c>
      <c r="SX26">
        <f>SUMPRODUCT(--('Данные 2st'!$Q$2:$Q$317=$A26),--ISNUMBER('Данные 2st'!$PN$2:$PN$317))</f>
        <v>5</v>
      </c>
      <c r="SY26">
        <f>SUMPRODUCT(--('Данные 2st'!$Q$2:$Q$317=$A26),--ISNUMBER('Данные 2st'!$PO$2:$PO$317))</f>
        <v>4</v>
      </c>
      <c r="SZ26">
        <f>SUMPRODUCT(--('Данные 2st'!$Q$2:$Q$317=$A26),--ISNUMBER('Данные 2st'!$PP$2:$PP$317))</f>
        <v>5</v>
      </c>
      <c r="TA26">
        <f>SUMPRODUCT(--('Данные 2st'!$Q$2:$Q$317=$A26),--ISNUMBER('Данные 2st'!$PQ$2:$PQ$317))</f>
        <v>5</v>
      </c>
      <c r="TB26">
        <f>SUMPRODUCT(--('Данные 2st'!$Q$2:$Q$317=$A26),--ISNUMBER('Данные 2st'!$PR$2:$PR$317))</f>
        <v>5</v>
      </c>
      <c r="TC26">
        <f>SUMPRODUCT(--('Данные 2st'!$Q$2:$Q$317=$A26),--ISNUMBER('Данные 2st'!$PS$2:$PS$317))</f>
        <v>5</v>
      </c>
      <c r="TD26">
        <f>SUMPRODUCT(--('Данные 2st'!$Q$2:$Q$317=$A26),--ISNUMBER('Данные 2st'!$PT$2:$PT$317))</f>
        <v>5</v>
      </c>
      <c r="TE26">
        <f>SUMPRODUCT(--('Данные 2st'!$Q$2:$Q$317=$A26),--ISNUMBER('Данные 2st'!$PU$2:$PU$317))</f>
        <v>5</v>
      </c>
      <c r="TF26">
        <f>SUMPRODUCT(--('Данные 2st'!$Q$2:$Q$317=$A26),--ISNUMBER('Данные 2st'!$PX$2:$PX$317))</f>
        <v>5</v>
      </c>
      <c r="TG26">
        <f>SUMPRODUCT(--('Данные 2st'!$Q$2:$Q$317=$A26),--ISNUMBER('Данные 2st'!$PY$2:$PY$317))</f>
        <v>5</v>
      </c>
      <c r="TH26">
        <f>SUMPRODUCT(--('Данные 2st'!$Q$2:$Q$317=$A26),--ISNUMBER('Данные 2st'!$PZ$2:$PZ$317))</f>
        <v>5</v>
      </c>
      <c r="TI26">
        <f>SUMPRODUCT(--('Данные 2st'!$Q$2:$Q$317=$A26),--ISNUMBER('Данные 2st'!$QA$2:$QA$317))</f>
        <v>5</v>
      </c>
      <c r="TJ26">
        <f>SUMPRODUCT(--('Данные 2st'!$Q$2:$Q$317=$A26),--ISNUMBER('Данные 2st'!$QB$2:$QB$317))</f>
        <v>5</v>
      </c>
      <c r="TK26">
        <f>SUMPRODUCT(--('Данные 2st'!$Q$2:$Q$317=$A26),--ISNUMBER('Данные 2st'!$QC$2:$QC$317))</f>
        <v>5</v>
      </c>
      <c r="TL26">
        <f>SUMPRODUCT(--('Данные 2st'!$Q$2:$Q$317=$A26),--ISNUMBER('Данные 2st'!$QD$2:$QD$317))</f>
        <v>5</v>
      </c>
      <c r="TM26">
        <f>SUMPRODUCT(--('Данные 2st'!$Q$2:$Q$317=$A26),--ISNUMBER('Данные 2st'!$QE$2:$QE$317))</f>
        <v>5</v>
      </c>
      <c r="TN26">
        <f>SUMPRODUCT(--('Данные 2st'!$Q$2:$Q$317=$A26),--ISNUMBER('Данные 2st'!$QF$2:$QF$317))</f>
        <v>5</v>
      </c>
      <c r="TO26">
        <f>SUMPRODUCT(--('Данные 2st'!$Q$2:$Q$317=$A26),--ISNUMBER('Данные 2st'!$QG$2:$QG$317))</f>
        <v>5</v>
      </c>
      <c r="TP26">
        <f>SUMPRODUCT(--('Данные 2st'!$Q$2:$Q$317=$A26),--ISNUMBER('Данные 2st'!$QH$2:$QH$317))</f>
        <v>5</v>
      </c>
      <c r="TQ26">
        <f>SUMPRODUCT(--('Данные 2st'!$Q$2:$Q$317=$A26),--ISNUMBER('Данные 2st'!$QI$2:$QI$317))</f>
        <v>5</v>
      </c>
      <c r="TR26">
        <f>SUMPRODUCT(--('Данные 2st'!$Q$2:$Q$317=$A26),--ISNUMBER('Данные 2st'!$QJ$2:$QJ$317))</f>
        <v>5</v>
      </c>
      <c r="TS26">
        <f>SUMPRODUCT(--('Данные 2st'!$Q$2:$Q$317=$A26),--ISNUMBER('Данные 2st'!$QK$2:$QK$317))</f>
        <v>5</v>
      </c>
      <c r="TT26">
        <f>SUMPRODUCT(--('Данные 2st'!$Q$2:$Q$317=$A26),--ISNUMBER('Данные 2st'!$QL$2:$QL$317))</f>
        <v>5</v>
      </c>
      <c r="TU26">
        <f>SUMPRODUCT(--('Данные 2st'!$Q$2:$Q$317=$A26),--ISNUMBER('Данные 2st'!$QM$2:$QM$317))</f>
        <v>5</v>
      </c>
      <c r="TV26">
        <f>SUMPRODUCT(--('Данные 2st'!$Q$2:$Q$317=$A26),--ISNUMBER('Данные 2st'!$QN$2:$QN$317))</f>
        <v>5</v>
      </c>
      <c r="TW26">
        <f>SUMPRODUCT(--('Данные 2st'!$Q$2:$Q$317=$A26),--ISNUMBER('Данные 2st'!$QQ$2:$QQ$317))</f>
        <v>5</v>
      </c>
      <c r="TX26">
        <f>SUMPRODUCT(--('Данные 2st'!$Q$2:$Q$317=$A26),--ISNUMBER('Данные 2st'!$QS$2:$QS$317))</f>
        <v>5</v>
      </c>
      <c r="TY26">
        <f>SUMPRODUCT(--('Данные 2st'!$Q$2:$Q$317=$A26),--ISNUMBER('Данные 2st'!$QT$2:$QT$317))</f>
        <v>5</v>
      </c>
    </row>
    <row r="27" spans="1:545" ht="32" customHeight="1">
      <c r="A27" s="11" t="str">
        <f>'По размерам'!A27</f>
        <v>215/65R16</v>
      </c>
      <c r="G27">
        <f>SUMPRODUCT(--('Данные 1st'!$S$2:$S$317=$A27),--ISNUMBER('Данные 1st'!$AE$2:$AE$317))</f>
        <v>7</v>
      </c>
      <c r="H27">
        <f>SUMPRODUCT(--('Данные 1st'!$S$2:$S$317=$A27),--ISNUMBER('Данные 1st'!$AF$2:$AF$317))</f>
        <v>7</v>
      </c>
      <c r="I27">
        <f>SUMPRODUCT(--('Данные 1st'!$S$2:$S$317=$A27),--ISNUMBER('Данные 1st'!$AJ$2:$AJ$317))</f>
        <v>7</v>
      </c>
      <c r="J27">
        <f>SUMPRODUCT(--('Данные 1st'!$S$2:$S$317=$A27),--ISNUMBER('Данные 1st'!$AL$2:$AL$317))</f>
        <v>7</v>
      </c>
      <c r="K27">
        <f>SUMPRODUCT(--('Данные 1st'!$S$2:$S$317=$A27),--ISNUMBER('Данные 1st'!$AR$2:$AR$317))</f>
        <v>7</v>
      </c>
      <c r="L27">
        <f>SUMPRODUCT(--('Данные 1st'!$S$2:$S$317=$A27),--ISNUMBER('Данные 1st'!$AS$2:$AS$317))</f>
        <v>7</v>
      </c>
      <c r="M27">
        <f>SUMPRODUCT(--('Данные 1st'!$S$2:$S$317=$A27),--ISNUMBER('Данные 1st'!$AY$2:$AY$317))</f>
        <v>7</v>
      </c>
      <c r="N27">
        <f>SUMPRODUCT(--('Данные 1st'!$S$2:$S$317=$A27),--ISNUMBER('Данные 1st'!$AZ$2:$AZ$317))</f>
        <v>7</v>
      </c>
      <c r="O27">
        <f>SUMPRODUCT(--('Данные 1st'!$S$2:$S$317=$A27),--ISNUMBER('Данные 1st'!$BF$2:$BF$317))</f>
        <v>2</v>
      </c>
      <c r="P27">
        <f>SUMPRODUCT(--('Данные 1st'!$S$2:$S$317=$A27),--ISNUMBER('Данные 1st'!$BG$2:$BG$317))</f>
        <v>7</v>
      </c>
      <c r="Q27">
        <f>SUMPRODUCT(--('Данные 1st'!$S$2:$S$317=$A27),--ISNUMBER('Данные 1st'!$BM$2:$BM$317))</f>
        <v>0</v>
      </c>
      <c r="R27">
        <f>SUMPRODUCT(--('Данные 1st'!$S$2:$S$317=$A27),--ISNUMBER('Данные 1st'!$BN$2:$BN$317))</f>
        <v>7</v>
      </c>
      <c r="S27">
        <f>SUMPRODUCT(--('Данные 1st'!$S$2:$S$317=$A27),--ISNUMBER('Данные 1st'!$BT$2:$BT$317))</f>
        <v>7</v>
      </c>
      <c r="T27">
        <f>SUMPRODUCT(--('Данные 1st'!$S$2:$S$317=$A27),--ISNUMBER('Данные 1st'!$BU$2:$BU$317))</f>
        <v>7</v>
      </c>
      <c r="U27">
        <f>SUMPRODUCT(--('Данные 1st'!$S$2:$S$317=$A27),--ISNUMBER('Данные 1st'!$BW$2:$BW$317))</f>
        <v>7</v>
      </c>
      <c r="V27">
        <f>SUMPRODUCT(--('Данные 1st'!$S$2:$S$317=$A27),--ISNUMBER('Данные 1st'!$BX$2:$BX$317))</f>
        <v>7</v>
      </c>
      <c r="W27">
        <f>SUMPRODUCT(--('Данные 1st'!$S$2:$S$317=$A27),--ISNUMBER('Данные 1st'!$BZ$2:$BZ$317))</f>
        <v>7</v>
      </c>
      <c r="X27">
        <f>SUMPRODUCT(--('Данные 1st'!$S$2:$S$317=$A27),--ISNUMBER('Данные 1st'!$CA$2:$CA$317))</f>
        <v>7</v>
      </c>
      <c r="Y27">
        <f>SUMPRODUCT(--('Данные 1st'!$S$2:$S$317=$A27),--ISNUMBER('Данные 1st'!$CD$2:$CD$317))</f>
        <v>7</v>
      </c>
      <c r="Z27">
        <f>SUMPRODUCT(--('Данные 1st'!$S$2:$S$317=$A27),--ISNUMBER('Данные 1st'!$CF$2:$CF$317))</f>
        <v>7</v>
      </c>
      <c r="AA27">
        <f>SUMPRODUCT(--('Данные 1st'!$S$2:$S$317=$A27),--ISNUMBER('Данные 1st'!$CI$2:$CI$317))</f>
        <v>7</v>
      </c>
      <c r="AB27">
        <f>SUMPRODUCT(--('Данные 1st'!$S$2:$S$317=$A27),--ISNUMBER('Данные 1st'!$CJ$2:$CJ$317))</f>
        <v>7</v>
      </c>
      <c r="AC27">
        <f>SUMPRODUCT(--('Данные 1st'!$S$2:$S$317=$A27),--ISNUMBER('Данные 1st'!$CK$2:$CK$317))</f>
        <v>7</v>
      </c>
      <c r="AD27">
        <f>SUMPRODUCT(--('Данные 1st'!$S$2:$S$317=$A27),--ISNUMBER('Данные 1st'!$CL$2:$CL$317))</f>
        <v>7</v>
      </c>
      <c r="AE27">
        <f>SUMPRODUCT(--('Данные 1st'!$S$2:$S$317=$A27),--ISNUMBER('Данные 1st'!$CM$2:$CM$317))</f>
        <v>7</v>
      </c>
      <c r="AF27">
        <f>SUMPRODUCT(--('Данные 1st'!$S$2:$S$317=$A27),--ISNUMBER('Данные 1st'!$CT$2:$CT$317))</f>
        <v>7</v>
      </c>
      <c r="AG27">
        <f>SUMPRODUCT(--('Данные 1st'!$S$2:$S$317=$A27),--ISNUMBER('Данные 1st'!$CU$2:$CU$317))</f>
        <v>7</v>
      </c>
      <c r="AH27">
        <f>SUMPRODUCT(--('Данные 1st'!$S$2:$S$317=$A27),--ISNUMBER('Данные 1st'!$CV$2:$CV$317))</f>
        <v>7</v>
      </c>
      <c r="AI27">
        <f>SUMPRODUCT(--('Данные 1st'!$S$2:$S$317=$A27),--ISNUMBER('Данные 1st'!$CW$2:$CW$317))</f>
        <v>7</v>
      </c>
      <c r="AJ27">
        <f>SUMPRODUCT(--('Данные 1st'!$S$2:$S$317=$A27),--ISNUMBER('Данные 1st'!$CX$2:$CX$317))</f>
        <v>7</v>
      </c>
      <c r="AK27">
        <f>SUMPRODUCT(--('Данные 1st'!$S$2:$S$317=$A27),--ISNUMBER('Данные 1st'!$CZ$2:$CZ$317))</f>
        <v>1</v>
      </c>
      <c r="AL27">
        <f>SUMPRODUCT(--('Данные 1st'!$S$2:$S$317=$A27),--ISNUMBER('Данные 1st'!$DA$2:$DA$317))</f>
        <v>1</v>
      </c>
      <c r="AM27">
        <f>SUMPRODUCT(--('Данные 1st'!$S$2:$S$317=$A27),--ISNUMBER('Данные 1st'!$DB$2:$DB$317))</f>
        <v>1</v>
      </c>
      <c r="AN27">
        <f>SUMPRODUCT(--('Данные 1st'!$S$2:$S$317=$A27),--ISNUMBER('Данные 1st'!$DC$2:$DC$317))</f>
        <v>1</v>
      </c>
      <c r="AO27">
        <f>SUMPRODUCT(--('Данные 1st'!$S$2:$S$317=$A27),--ISNUMBER('Данные 1st'!$DD$2:$DD$317))</f>
        <v>7</v>
      </c>
      <c r="AP27">
        <f>SUMPRODUCT(--('Данные 1st'!$S$2:$S$317=$A27),--ISNUMBER('Данные 1st'!$DF$2:$DF$317))</f>
        <v>7</v>
      </c>
      <c r="AQ27">
        <f>SUMPRODUCT(--('Данные 1st'!$S$2:$S$317=$A27),--ISNUMBER('Данные 1st'!$DG$2:$DG$317))</f>
        <v>7</v>
      </c>
      <c r="AR27">
        <f>SUMPRODUCT(--('Данные 1st'!$S$2:$S$317=$A27),--ISNUMBER('Данные 1st'!$DH$2:$DH$317))</f>
        <v>7</v>
      </c>
      <c r="AS27">
        <f>SUMPRODUCT(--('Данные 1st'!$S$2:$S$317=$A27),--ISNUMBER('Данные 1st'!$DI$2:$DI$317))</f>
        <v>7</v>
      </c>
      <c r="AT27">
        <f>SUMPRODUCT(--('Данные 1st'!$S$2:$S$317=$A27),--ISNUMBER('Данные 1st'!$DJ$2:$DJ$317))</f>
        <v>7</v>
      </c>
      <c r="AU27">
        <f>SUMPRODUCT(--('Данные 1st'!$S$2:$S$317=$A27),--ISNUMBER('Данные 1st'!$DL$2:$DL$317))</f>
        <v>2</v>
      </c>
      <c r="AV27">
        <f>SUMPRODUCT(--('Данные 1st'!$S$2:$S$317=$A27),--ISNUMBER('Данные 1st'!$DM$2:$DM$317))</f>
        <v>2</v>
      </c>
      <c r="AW27">
        <f>SUMPRODUCT(--('Данные 1st'!$S$2:$S$317=$A27),--ISNUMBER('Данные 1st'!$DN$2:$DN$317))</f>
        <v>2</v>
      </c>
      <c r="AX27">
        <f>SUMPRODUCT(--('Данные 1st'!$S$2:$S$317=$A27),--ISNUMBER('Данные 1st'!$DO$2:$DO$317))</f>
        <v>2</v>
      </c>
      <c r="AY27">
        <f>SUMPRODUCT(--('Данные 1st'!$S$2:$S$317=$A27),--ISNUMBER('Данные 1st'!$DP$2:$DP$317))</f>
        <v>2</v>
      </c>
      <c r="AZ27">
        <f>SUMPRODUCT(--('Данные 1st'!$S$2:$S$317=$A27),--ISNUMBER('Данные 1st'!$DR$2:$DR$317))</f>
        <v>0</v>
      </c>
      <c r="BA27">
        <f>SUMPRODUCT(--('Данные 1st'!$S$2:$S$317=$A27),--ISNUMBER('Данные 1st'!$DS$2:$DS$317))</f>
        <v>0</v>
      </c>
      <c r="BB27">
        <f>SUMPRODUCT(--('Данные 1st'!$S$2:$S$317=$A27),--ISNUMBER('Данные 1st'!$DT$2:$DT$317))</f>
        <v>0</v>
      </c>
      <c r="BC27">
        <f>SUMPRODUCT(--('Данные 1st'!$S$2:$S$317=$A27),--ISNUMBER('Данные 1st'!$DU$2:$DU$317))</f>
        <v>0</v>
      </c>
      <c r="BD27">
        <f>SUMPRODUCT(--('Данные 1st'!$S$2:$S$317=$A27),--ISNUMBER('Данные 1st'!$DV$2:$DV$317))</f>
        <v>0</v>
      </c>
      <c r="BE27">
        <f>SUMPRODUCT(--('Данные 1st'!$S$2:$S$317=$A27),--ISNUMBER('Данные 1st'!$DX$2:$DX$317))</f>
        <v>7</v>
      </c>
      <c r="BF27">
        <f>SUMPRODUCT(--('Данные 1st'!$S$2:$S$317=$A27),--ISNUMBER('Данные 1st'!$EA$2:$EA$317))</f>
        <v>7</v>
      </c>
      <c r="BG27">
        <f>SUMPRODUCT(--('Данные 1st'!$S$2:$S$317=$A27),--ISNUMBER('Данные 1st'!$EB$2:$EB$317))</f>
        <v>7</v>
      </c>
      <c r="BH27">
        <f>SUMPRODUCT(--('Данные 1st'!$S$2:$S$317=$A27),--ISNUMBER('Данные 1st'!$ED$2:$ED$317))</f>
        <v>7</v>
      </c>
      <c r="BI27">
        <f>SUMPRODUCT(--('Данные 1st'!$S$2:$S$317=$A27),--ISNUMBER('Данные 1st'!$EE$2:$EE$317))</f>
        <v>7</v>
      </c>
      <c r="BJ27">
        <f>SUMPRODUCT(--('Данные 1st'!$S$2:$S$317=$A27),--ISNUMBER('Данные 1st'!$EG$2:$EG$317))</f>
        <v>7</v>
      </c>
      <c r="BK27">
        <f>SUMPRODUCT(--('Данные 1st'!$S$2:$S$317=$A27),--ISNUMBER('Данные 1st'!$EH$2:$EH$317))</f>
        <v>7</v>
      </c>
      <c r="BL27">
        <f>SUMPRODUCT(--('Данные 1st'!$S$2:$S$317=$A27),--ISNUMBER('Данные 1st'!$EJ$2:$EJ$317))</f>
        <v>7</v>
      </c>
      <c r="BM27">
        <f>SUMPRODUCT(--('Данные 1st'!$S$2:$S$317=$A27),--ISNUMBER('Данные 1st'!$EK$2:$EK$317))</f>
        <v>7</v>
      </c>
      <c r="BN27">
        <f>SUMPRODUCT(--('Данные 1st'!$S$2:$S$317=$A27),--ISNUMBER('Данные 1st'!$EN$2:$EN$317))</f>
        <v>7</v>
      </c>
      <c r="BO27">
        <f>SUMPRODUCT(--('Данные 1st'!$S$2:$S$317=$A27),--ISNUMBER('Данные 1st'!$EQ$2:$EQ$317))</f>
        <v>7</v>
      </c>
      <c r="BP27">
        <f>SUMPRODUCT(--('Данные 1st'!$S$2:$S$317=$A27),--ISNUMBER('Данные 1st'!$ER$2:$ER$317))</f>
        <v>7</v>
      </c>
      <c r="BQ27">
        <f>SUMPRODUCT(--('Данные 1st'!$S$2:$S$317=$A27),--ISNUMBER('Данные 1st'!$ES$2:$ES$317))</f>
        <v>7</v>
      </c>
      <c r="BR27">
        <f>SUMPRODUCT(--('Данные 1st'!$S$2:$S$317=$A27),--ISNUMBER('Данные 1st'!$ET$2:$ET$317))</f>
        <v>7</v>
      </c>
      <c r="BS27">
        <f>SUMPRODUCT(--('Данные 1st'!$S$2:$S$317=$A27),--ISNUMBER('Данные 1st'!$EU$2:$EU$317))</f>
        <v>7</v>
      </c>
      <c r="BT27">
        <f>SUMPRODUCT(--('Данные 1st'!$S$2:$S$317=$A27),--ISNUMBER('Данные 1st'!$EV$2:$EV$317))</f>
        <v>7</v>
      </c>
      <c r="BU27">
        <f>SUMPRODUCT(--('Данные 1st'!$S$2:$S$317=$A27),--ISNUMBER('Данные 1st'!$EX$2:$EX$317))</f>
        <v>7</v>
      </c>
      <c r="BV27">
        <f>SUMPRODUCT(--('Данные 1st'!$S$2:$S$317=$A27),--ISNUMBER('Данные 1st'!$EY$2:$EY$317))</f>
        <v>7</v>
      </c>
      <c r="BW27">
        <f>SUMPRODUCT(--('Данные 1st'!$S$2:$S$317=$A27),--ISNUMBER('Данные 1st'!$EZ$2:$EZ$317))</f>
        <v>7</v>
      </c>
      <c r="BX27">
        <f>SUMPRODUCT(--('Данные 1st'!$S$2:$S$317=$A27),--ISNUMBER('Данные 1st'!$FA$2:$FA$317))</f>
        <v>7</v>
      </c>
      <c r="BY27">
        <f>SUMPRODUCT(--('Данные 1st'!$S$2:$S$317=$A27),--ISNUMBER('Данные 1st'!$FB$2:$FB$317))</f>
        <v>7</v>
      </c>
      <c r="BZ27">
        <f>SUMPRODUCT(--('Данные 1st'!$S$2:$S$317=$A27),--ISNUMBER('Данные 1st'!$FC$2:$FC$317))</f>
        <v>7</v>
      </c>
      <c r="CA27">
        <f>SUMPRODUCT(--('Данные 1st'!$S$2:$S$317=$A27),--ISNUMBER('Данные 1st'!$FE$2:$FE$317))</f>
        <v>7</v>
      </c>
      <c r="CB27">
        <f>SUMPRODUCT(--('Данные 1st'!$S$2:$S$317=$A27),--ISNUMBER('Данные 1st'!$FF$2:$FF$317))</f>
        <v>7</v>
      </c>
      <c r="CC27">
        <f>SUMPRODUCT(--('Данные 1st'!$S$2:$S$317=$A27),--ISNUMBER('Данные 1st'!$FI$2:$FI$317))</f>
        <v>7</v>
      </c>
      <c r="CD27">
        <f>SUMPRODUCT(--('Данные 1st'!$S$2:$S$317=$A27),--ISNUMBER('Данные 1st'!$FL$2:$FL$317))</f>
        <v>7</v>
      </c>
      <c r="CE27">
        <f>SUMPRODUCT(--('Данные 1st'!$S$2:$S$317=$A27),--ISNUMBER('Данные 1st'!$FM$2:$FM$317))</f>
        <v>7</v>
      </c>
      <c r="CF27">
        <f>SUMPRODUCT(--('Данные 1st'!$S$2:$S$317=$A27),--ISNUMBER('Данные 1st'!$FN$2:$FN$317))</f>
        <v>7</v>
      </c>
      <c r="CG27">
        <f>SUMPRODUCT(--('Данные 1st'!$S$2:$S$317=$A27),--ISNUMBER('Данные 1st'!$FO$2:$FO$317))</f>
        <v>2</v>
      </c>
      <c r="CH27">
        <f>SUMPRODUCT(--('Данные 1st'!$S$2:$S$317=$A27),--ISNUMBER('Данные 1st'!$FP$2:$FP$317))</f>
        <v>2</v>
      </c>
      <c r="CI27">
        <f>SUMPRODUCT(--('Данные 1st'!$S$2:$S$317=$A27),--ISNUMBER('Данные 1st'!$FS$2:$FS$317))</f>
        <v>4</v>
      </c>
      <c r="CJ27">
        <f>SUMPRODUCT(--('Данные 1st'!$S$2:$S$317=$A27),--ISNUMBER('Данные 1st'!$FT$2:$FT$317))</f>
        <v>4</v>
      </c>
      <c r="CK27">
        <f>SUMPRODUCT(--('Данные 1st'!$S$2:$S$317=$A27),--ISNUMBER('Данные 1st'!$FU$2:$FU$317))</f>
        <v>4</v>
      </c>
      <c r="CL27">
        <f>SUMPRODUCT(--('Данные 1st'!$S$2:$S$317=$A27),--ISNUMBER('Данные 1st'!$FV$2:$FV$317))</f>
        <v>1</v>
      </c>
      <c r="CM27">
        <f>SUMPRODUCT(--('Данные 1st'!$S$2:$S$317=$A27),--ISNUMBER('Данные 1st'!$FW$2:$FW$317))</f>
        <v>1</v>
      </c>
      <c r="CN27">
        <f>SUMPRODUCT(--('Данные 1st'!$S$2:$S$317=$A27),--ISNUMBER('Данные 1st'!$FZ$2:$FZ$317))</f>
        <v>0</v>
      </c>
      <c r="CO27">
        <f>SUMPRODUCT(--('Данные 1st'!$S$2:$S$317=$A27),--ISNUMBER('Данные 1st'!$GA$2:$GA$317))</f>
        <v>0</v>
      </c>
      <c r="CP27">
        <f>SUMPRODUCT(--('Данные 1st'!$S$2:$S$317=$A27),--ISNUMBER('Данные 1st'!$GB$2:$GB$317))</f>
        <v>0</v>
      </c>
      <c r="CQ27">
        <f>SUMPRODUCT(--('Данные 1st'!$S$2:$S$317=$A27),--ISNUMBER('Данные 1st'!$GH$2:$GH$317))</f>
        <v>0</v>
      </c>
      <c r="CR27">
        <f>SUMPRODUCT(--('Данные 1st'!$S$2:$S$317=$A27),--ISNUMBER('Данные 1st'!$GI$2:$GI$317))</f>
        <v>0</v>
      </c>
      <c r="CS27">
        <f>SUMPRODUCT(--('Данные 1st'!$S$2:$S$317=$A27),--ISNUMBER('Данные 1st'!$GJ$2:$GJ$317))</f>
        <v>0</v>
      </c>
      <c r="CT27">
        <f>SUMPRODUCT(--('Данные 1st'!$S$2:$S$317=$A27),--ISNUMBER('Данные 1st'!$GS$2:$GS$317))</f>
        <v>2</v>
      </c>
      <c r="CU27">
        <f>SUMPRODUCT(--('Данные 1st'!$S$2:$S$317=$A27),--ISNUMBER('Данные 1st'!$GT$2:$GT$317))</f>
        <v>2</v>
      </c>
      <c r="CV27">
        <f>SUMPRODUCT(--('Данные 1st'!$S$2:$S$317=$A27),--ISNUMBER('Данные 1st'!$GU$2:$GU$317))</f>
        <v>2</v>
      </c>
      <c r="CW27">
        <f>SUMPRODUCT(--('Данные 1st'!$S$2:$S$317=$A27),--ISNUMBER('Данные 1st'!$GV$2:$GV$317))</f>
        <v>1</v>
      </c>
      <c r="CX27">
        <f>SUMPRODUCT(--('Данные 1st'!$S$2:$S$317=$A27),--ISNUMBER('Данные 1st'!$GW$2:$GW$317))</f>
        <v>1</v>
      </c>
      <c r="CY27">
        <f>SUMPRODUCT(--('Данные 1st'!$S$2:$S$317=$A27),--ISNUMBER('Данные 1st'!$GZ$2:$GZ$317))</f>
        <v>0</v>
      </c>
      <c r="CZ27">
        <f>SUMPRODUCT(--('Данные 1st'!$S$2:$S$317=$A27),--ISNUMBER('Данные 1st'!$HA$2:$HA$317))</f>
        <v>0</v>
      </c>
      <c r="DA27">
        <f>SUMPRODUCT(--('Данные 1st'!$S$2:$S$317=$A27),--ISNUMBER('Данные 1st'!$HB$2:$HB$317))</f>
        <v>0</v>
      </c>
      <c r="DB27">
        <f>SUMPRODUCT(--('Данные 1st'!$S$2:$S$317=$A27),--ISNUMBER('Данные 1st'!$HC$2:$HC$317))</f>
        <v>7</v>
      </c>
      <c r="DC27">
        <f>SUMPRODUCT(--('Данные 1st'!$S$2:$S$317=$A27),--ISNUMBER('Данные 1st'!$HD$2:$HD$317))</f>
        <v>7</v>
      </c>
      <c r="DD27">
        <f>SUMPRODUCT(--('Данные 1st'!$S$2:$S$317=$A27),--ISNUMBER('Данные 1st'!$HE$2:$HE$317))</f>
        <v>7</v>
      </c>
      <c r="DE27">
        <f>SUMPRODUCT(--('Данные 1st'!$S$2:$S$317=$A27),--ISNUMBER('Данные 1st'!$HF$2:$HF$317))</f>
        <v>7</v>
      </c>
      <c r="DF27">
        <f>SUMPRODUCT(--('Данные 1st'!$S$2:$S$317=$A27),--ISNUMBER('Данные 1st'!$HG$2:$HG$317))</f>
        <v>7</v>
      </c>
      <c r="DG27">
        <f>SUMPRODUCT(--('Данные 1st'!$S$2:$S$317=$A27),--ISNUMBER('Данные 1st'!$HH$2:$HH$317))</f>
        <v>7</v>
      </c>
      <c r="DH27">
        <f>SUMPRODUCT(--('Данные 1st'!$S$2:$S$317=$A27),--ISNUMBER('Данные 1st'!$HI$2:$HI$317))</f>
        <v>7</v>
      </c>
      <c r="DI27">
        <f>SUMPRODUCT(--('Данные 1st'!$S$2:$S$317=$A27),--ISNUMBER('Данные 1st'!$HJ$2:$HJ$317))</f>
        <v>7</v>
      </c>
      <c r="DJ27">
        <f>SUMPRODUCT(--('Данные 1st'!$S$2:$S$317=$A27),--ISNUMBER('Данные 1st'!$HK$2:$HK$317))</f>
        <v>7</v>
      </c>
      <c r="DK27">
        <f>SUMPRODUCT(--('Данные 1st'!$S$2:$S$317=$A27),--ISNUMBER('Данные 1st'!$HL$2:$HL$317))</f>
        <v>7</v>
      </c>
      <c r="DL27">
        <f>SUMPRODUCT(--('Данные 1st'!$S$2:$S$317=$A27),--ISNUMBER('Данные 1st'!$HM$2:$HM$317))</f>
        <v>7</v>
      </c>
      <c r="DM27">
        <f>SUMPRODUCT(--('Данные 1st'!$S$2:$S$317=$A27),--ISNUMBER('Данные 1st'!$HN$2:$HN$317))</f>
        <v>7</v>
      </c>
      <c r="DN27">
        <f>SUMPRODUCT(--('Данные 1st'!$S$2:$S$317=$A27),--ISNUMBER('Данные 1st'!$HO$2:$HO$317))</f>
        <v>7</v>
      </c>
      <c r="DO27">
        <f>SUMPRODUCT(--('Данные 1st'!$S$2:$S$317=$A27),--ISNUMBER('Данные 1st'!$HP$2:$HP$317))</f>
        <v>7</v>
      </c>
      <c r="DP27">
        <f>SUMPRODUCT(--('Данные 1st'!$S$2:$S$317=$A27),--ISNUMBER('Данные 1st'!$HQ$2:$HQ$317))</f>
        <v>7</v>
      </c>
      <c r="DQ27">
        <f>SUMPRODUCT(--('Данные 1st'!$S$2:$S$317=$A27),--ISNUMBER('Данные 1st'!$HR$2:$HR$317))</f>
        <v>7</v>
      </c>
      <c r="DR27">
        <f>SUMPRODUCT(--('Данные 1st'!$S$2:$S$317=$A27),--ISNUMBER('Данные 1st'!$HS$2:$HS$317))</f>
        <v>7</v>
      </c>
      <c r="DS27">
        <f>SUMPRODUCT(--('Данные 1st'!$S$2:$S$317=$A27),--ISNUMBER('Данные 1st'!$HT$2:$HT$317))</f>
        <v>7</v>
      </c>
      <c r="DT27">
        <f>SUMPRODUCT(--('Данные 1st'!$S$2:$S$317=$A27),--ISNUMBER('Данные 1st'!$HU$2:$HU$317))</f>
        <v>7</v>
      </c>
      <c r="DU27">
        <f>SUMPRODUCT(--('Данные 1st'!$S$2:$S$317=$A27),--ISNUMBER('Данные 1st'!$HW$2:$HW$317))</f>
        <v>7</v>
      </c>
      <c r="DV27">
        <f>SUMPRODUCT(--('Данные 1st'!$S$2:$S$317=$A27),--ISNUMBER('Данные 1st'!$HX$2:$HX$317))</f>
        <v>7</v>
      </c>
      <c r="DW27">
        <f>SUMPRODUCT(--('Данные 1st'!$S$2:$S$317=$A27),--ISNUMBER('Данные 1st'!$HY$2:$HY$317))</f>
        <v>7</v>
      </c>
      <c r="DX27">
        <f>SUMPRODUCT(--('Данные 1st'!$S$2:$S$317=$A27),--ISNUMBER('Данные 1st'!$IA$2:$IA$317))</f>
        <v>7</v>
      </c>
      <c r="DY27">
        <f>SUMPRODUCT(--('Данные 1st'!$S$2:$S$317=$A27),--ISNUMBER('Данные 1st'!$IB$2:$IB$317))</f>
        <v>7</v>
      </c>
      <c r="DZ27">
        <f>SUMPRODUCT(--('Данные 1st'!$S$2:$S$317=$A27),--ISNUMBER('Данные 1st'!$IC$2:$IC$317))</f>
        <v>7</v>
      </c>
      <c r="EA27">
        <f>SUMPRODUCT(--('Данные 1st'!$S$2:$S$317=$A27),--ISNUMBER('Данные 1st'!$ID$2:$ID$317))</f>
        <v>7</v>
      </c>
      <c r="EB27">
        <f>SUMPRODUCT(--('Данные 1st'!$S$2:$S$317=$A27),--ISNUMBER('Данные 1st'!$IE$2:$IE$317))</f>
        <v>7</v>
      </c>
      <c r="EC27">
        <f>SUMPRODUCT(--('Данные 1st'!$S$2:$S$317=$A27),--ISNUMBER('Данные 1st'!$IF$2:$IF$317))</f>
        <v>7</v>
      </c>
      <c r="ED27">
        <f>SUMPRODUCT(--('Данные 1st'!$S$2:$S$317=$A27),--ISNUMBER('Данные 1st'!$IP$2:$IP$317))</f>
        <v>7</v>
      </c>
      <c r="EE27">
        <f>SUMPRODUCT(--('Данные 1st'!$S$2:$S$317=$A27),--ISNUMBER('Данные 1st'!$IV$2:$IV$317))</f>
        <v>7</v>
      </c>
      <c r="EF27">
        <f>SUMPRODUCT(--('Данные 1st'!$S$2:$S$317=$A27),--ISNUMBER('Данные 1st'!$IW$2:$IW$317))</f>
        <v>7</v>
      </c>
      <c r="EG27">
        <f>SUMPRODUCT(--('Данные 1st'!$S$2:$S$317=$A27),--ISNUMBER('Данные 1st'!$IX$2:$IX$317))</f>
        <v>0</v>
      </c>
      <c r="EH27">
        <f>SUMPRODUCT(--('Данные 1st'!$S$2:$S$317=$A27),--ISNUMBER('Данные 1st'!$IY$2:$IY$317))</f>
        <v>0</v>
      </c>
      <c r="EI27">
        <f>SUMPRODUCT(--('Данные 1st'!$S$2:$S$317=$A27),--ISNUMBER('Данные 1st'!$JD$2:$JD$317))</f>
        <v>7</v>
      </c>
      <c r="EJ27">
        <f>SUMPRODUCT(--('Данные 1st'!$S$2:$S$317=$A27),--ISNUMBER('Данные 1st'!$JE$2:$JE$317))</f>
        <v>7</v>
      </c>
      <c r="EK27">
        <f>SUMPRODUCT(--('Данные 1st'!$S$2:$S$317=$A27),--ISNUMBER('Данные 1st'!$JF$2:$JF$317))</f>
        <v>7</v>
      </c>
      <c r="EL27">
        <f>SUMPRODUCT(--('Данные 1st'!$S$2:$S$317=$A27),--ISNUMBER('Данные 1st'!$JG$2:$JG$317))</f>
        <v>7</v>
      </c>
      <c r="EM27">
        <f>SUMPRODUCT(--('Данные 1st'!$S$2:$S$317=$A27),--ISNUMBER('Данные 1st'!$JH$2:$JH$317))</f>
        <v>7</v>
      </c>
      <c r="EN27">
        <f>SUMPRODUCT(--('Данные 1st'!$S$2:$S$317=$A27),--ISNUMBER('Данные 1st'!$JJ$2:$JJ$317))</f>
        <v>7</v>
      </c>
      <c r="EO27">
        <f>SUMPRODUCT(--('Данные 1st'!$S$2:$S$317=$A27),--ISNUMBER('Данные 1st'!$JK$2:$JK$317))</f>
        <v>7</v>
      </c>
      <c r="EP27">
        <f>SUMPRODUCT(--('Данные 1st'!$S$2:$S$317=$A27),--ISNUMBER('Данные 1st'!$JL$2:$JL$317))</f>
        <v>0</v>
      </c>
      <c r="EQ27">
        <f>SUMPRODUCT(--('Данные 1st'!$S$2:$S$317=$A27),--ISNUMBER('Данные 1st'!$JM$2:$JM$317))</f>
        <v>0</v>
      </c>
      <c r="ER27">
        <f>SUMPRODUCT(--('Данные 1st'!$S$2:$S$317=$A27),--ISNUMBER('Данные 1st'!$JN$2:$JN$317))</f>
        <v>7</v>
      </c>
      <c r="ES27">
        <f>SUMPRODUCT(--('Данные 1st'!$S$2:$S$317=$A27),--ISNUMBER('Данные 1st'!$JO$2:$JO$317))</f>
        <v>7</v>
      </c>
      <c r="ET27">
        <f>SUMPRODUCT(--('Данные 1st'!$S$2:$S$317=$A27),--ISNUMBER('Данные 1st'!$JP$2:$JP$317))</f>
        <v>7</v>
      </c>
      <c r="EU27">
        <f>SUMPRODUCT(--('Данные 1st'!$S$2:$S$317=$A27),--ISNUMBER('Данные 1st'!$JQ$2:$JQ$317))</f>
        <v>7</v>
      </c>
      <c r="EV27">
        <f>SUMPRODUCT(--('Данные 1st'!$S$2:$S$317=$A27),--ISNUMBER('Данные 1st'!$JR$2:$JR$317))</f>
        <v>7</v>
      </c>
      <c r="EW27">
        <f>SUMPRODUCT(--('Данные 1st'!$S$2:$S$317=$A27),--ISNUMBER('Данные 1st'!$JS$2:$JS$317))</f>
        <v>7</v>
      </c>
      <c r="EX27">
        <f>SUMPRODUCT(--('Данные 1st'!$S$2:$S$317=$A27),--ISNUMBER('Данные 1st'!$JT$2:$JT$317))</f>
        <v>0</v>
      </c>
      <c r="EY27">
        <f>SUMPRODUCT(--('Данные 1st'!$S$2:$S$317=$A27),--ISNUMBER('Данные 1st'!$JU$2:$JU$317))</f>
        <v>0</v>
      </c>
      <c r="EZ27">
        <f>SUMPRODUCT(--('Данные 1st'!$S$2:$S$317=$A27),--ISNUMBER('Данные 1st'!$JV$2:$JV$317))</f>
        <v>7</v>
      </c>
      <c r="FA27">
        <f>SUMPRODUCT(--('Данные 1st'!$S$2:$S$317=$A27),--ISNUMBER('Данные 1st'!$JW$2:$JW$317))</f>
        <v>0</v>
      </c>
      <c r="FB27">
        <f>SUMPRODUCT(--('Данные 1st'!$S$2:$S$317=$A27),--ISNUMBER('Данные 1st'!$JX$2:$JX$317))</f>
        <v>7</v>
      </c>
      <c r="FC27">
        <f>SUMPRODUCT(--('Данные 1st'!$S$2:$S$317=$A27),--ISNUMBER('Данные 1st'!$JY$2:$JY$317))</f>
        <v>0</v>
      </c>
      <c r="FD27">
        <f>SUMPRODUCT(--('Данные 1st'!$S$2:$S$317=$A27),--ISNUMBER('Данные 1st'!$JZ$2:$JZ$317))</f>
        <v>0</v>
      </c>
      <c r="FE27">
        <f>SUMPRODUCT(--('Данные 1st'!$S$2:$S$317=$A27),--ISNUMBER('Данные 1st'!$KA$2:$KA$317))</f>
        <v>7</v>
      </c>
      <c r="FF27">
        <f>SUMPRODUCT(--('Данные 1st'!$S$2:$S$317=$A27),--ISNUMBER('Данные 1st'!$KB$2:$KB$317))</f>
        <v>7</v>
      </c>
      <c r="FG27">
        <f>SUMPRODUCT(--('Данные 1st'!$S$2:$S$317=$A27),--ISNUMBER('Данные 1st'!$KC$2:$KC$317))</f>
        <v>7</v>
      </c>
      <c r="FH27">
        <f>SUMPRODUCT(--('Данные 1st'!$S$2:$S$317=$A27),--ISNUMBER('Данные 1st'!$KD$2:$KD$317))</f>
        <v>7</v>
      </c>
      <c r="FI27">
        <f>SUMPRODUCT(--('Данные 1st'!$S$2:$S$317=$A27),--ISNUMBER('Данные 1st'!$KE$2:$KE$317))</f>
        <v>0</v>
      </c>
      <c r="FJ27">
        <f>SUMPRODUCT(--('Данные 1st'!$S$2:$S$317=$A27),--ISNUMBER('Данные 1st'!$KF$2:$KF$317))</f>
        <v>7</v>
      </c>
      <c r="FK27">
        <f>SUMPRODUCT(--('Данные 1st'!$S$2:$S$317=$A27),--ISNUMBER('Данные 1st'!$KG$2:$KG$317))</f>
        <v>7</v>
      </c>
      <c r="FL27">
        <f>SUMPRODUCT(--('Данные 1st'!$S$2:$S$317=$A27),--ISNUMBER('Данные 1st'!$KH$2:$KH$317))</f>
        <v>7</v>
      </c>
      <c r="FM27">
        <f>SUMPRODUCT(--('Данные 1st'!$S$2:$S$317=$A27),--ISNUMBER('Данные 1st'!$KI$2:$KI$317))</f>
        <v>7</v>
      </c>
      <c r="FN27">
        <f>SUMPRODUCT(--('Данные 1st'!$S$2:$S$317=$A27),--ISNUMBER('Данные 1st'!$KJ$2:$KJ$317))</f>
        <v>7</v>
      </c>
      <c r="FO27">
        <f>SUMPRODUCT(--('Данные 1st'!$S$2:$S$317=$A27),--ISNUMBER('Данные 1st'!$KK$2:$KK$317))</f>
        <v>7</v>
      </c>
      <c r="FP27">
        <f>SUMPRODUCT(--('Данные 1st'!$S$2:$S$317=$A27),--ISNUMBER('Данные 1st'!$KL$2:$KL$317))</f>
        <v>7</v>
      </c>
      <c r="FQ27">
        <f>SUMPRODUCT(--('Данные 1st'!$S$2:$S$317=$A27),--ISNUMBER('Данные 1st'!$KM$2:$KM$317))</f>
        <v>7</v>
      </c>
      <c r="FR27">
        <f>SUMPRODUCT(--('Данные 1st'!$S$2:$S$317=$A27),--ISNUMBER('Данные 1st'!$KN$2:$KN$317))</f>
        <v>7</v>
      </c>
      <c r="FS27">
        <f>SUMPRODUCT(--('Данные 1st'!$S$2:$S$317=$A27),--ISNUMBER('Данные 1st'!$KR$2:$KR$317))</f>
        <v>7</v>
      </c>
      <c r="FT27">
        <f>SUMPRODUCT(--('Данные 1st'!$S$2:$S$317=$A27),--ISNUMBER('Данные 1st'!$KS$2:$KS$317))</f>
        <v>7</v>
      </c>
      <c r="FU27">
        <f>SUMPRODUCT(--('Данные 1st'!$S$2:$S$317=$A27),--ISNUMBER('Данные 1st'!$KT$2:$KT$317))</f>
        <v>7</v>
      </c>
      <c r="FV27">
        <f>SUMPRODUCT(--('Данные 1st'!$S$2:$S$317=$A27),--ISNUMBER('Данные 1st'!$KV$2:$KV$317))</f>
        <v>0</v>
      </c>
      <c r="FW27">
        <f>SUMPRODUCT(--('Данные 1st'!$S$2:$S$317=$A27),--ISNUMBER('Данные 1st'!$KW$2:$KW$317))</f>
        <v>0</v>
      </c>
      <c r="FX27">
        <f>SUMPRODUCT(--('Данные 1st'!$S$2:$S$317=$A27),--ISNUMBER('Данные 1st'!$KX$2:$KX$317))</f>
        <v>0</v>
      </c>
      <c r="FY27">
        <f>SUMPRODUCT(--('Данные 1st'!$S$2:$S$317=$A27),--ISNUMBER('Данные 1st'!$KY$2:$KY$317))</f>
        <v>0</v>
      </c>
      <c r="FZ27">
        <f>SUMPRODUCT(--('Данные 1st'!$S$2:$S$317=$A27),--ISNUMBER('Данные 1st'!$KZ$2:$KZ$317))</f>
        <v>0</v>
      </c>
      <c r="GA27">
        <f>SUMPRODUCT(--('Данные 1st'!$S$2:$S$317=$A27),--ISNUMBER('Данные 1st'!$LA$2:$LA$317))</f>
        <v>0</v>
      </c>
      <c r="GB27">
        <f>SUMPRODUCT(--('Данные 1st'!$S$2:$S$317=$A27),--ISNUMBER('Данные 1st'!$LB$2:$LB$317))</f>
        <v>0</v>
      </c>
      <c r="GC27">
        <f>SUMPRODUCT(--('Данные 1st'!$S$2:$S$317=$A27),--ISNUMBER('Данные 1st'!$LC$2:$LC$317))</f>
        <v>0</v>
      </c>
      <c r="GD27">
        <f>SUMPRODUCT(--('Данные 1st'!$S$2:$S$317=$A27),--ISNUMBER('Данные 1st'!$LD$2:$LD$317))</f>
        <v>0</v>
      </c>
      <c r="GE27">
        <f>SUMPRODUCT(--('Данные 1st'!$S$2:$S$317=$A27),--ISNUMBER('Данные 1st'!$LE$2:$LE$317))</f>
        <v>0</v>
      </c>
      <c r="GF27">
        <f>SUMPRODUCT(--('Данные 1st'!$S$2:$S$317=$A27),--ISNUMBER('Данные 1st'!$LF$2:$LF$317))</f>
        <v>0</v>
      </c>
      <c r="GG27">
        <f>SUMPRODUCT(--('Данные 1st'!$S$2:$S$317=$A27),--ISNUMBER('Данные 1st'!$LG$2:$LG$317))</f>
        <v>0</v>
      </c>
      <c r="GH27">
        <f>SUMPRODUCT(--('Данные 1st'!$S$2:$S$317=$A27),--ISNUMBER('Данные 1st'!$LH$2:$LH$317))</f>
        <v>0</v>
      </c>
      <c r="GI27">
        <f>SUMPRODUCT(--('Данные 1st'!$S$2:$S$317=$A27),--ISNUMBER('Данные 1st'!$LI$2:$LI$317))</f>
        <v>0</v>
      </c>
      <c r="GJ27">
        <f>SUMPRODUCT(--('Данные 1st'!$S$2:$S$317=$A27),--ISNUMBER('Данные 1st'!$LJ$2:$LJ$317))</f>
        <v>0</v>
      </c>
      <c r="GK27">
        <f>SUMPRODUCT(--('Данные 1st'!$S$2:$S$317=$A27),--ISNUMBER('Данные 1st'!$LK$2:$LK$317))</f>
        <v>7</v>
      </c>
      <c r="GL27">
        <f>SUMPRODUCT(--('Данные 1st'!$S$2:$S$317=$A27),--ISNUMBER('Данные 1st'!$LV$2:$LV$317))</f>
        <v>0</v>
      </c>
      <c r="GM27">
        <f>SUMPRODUCT(--('Данные 1st'!$S$2:$S$317=$A27),--ISNUMBER('Данные 1st'!$LW$2:$LW$317))</f>
        <v>0</v>
      </c>
      <c r="GN27">
        <f>SUMPRODUCT(--('Данные 1st'!$S$2:$S$317=$A27),--ISNUMBER('Данные 1st'!$LX$2:$LX$317))</f>
        <v>2</v>
      </c>
      <c r="GO27">
        <f>SUMPRODUCT(--('Данные 1st'!$S$2:$S$317=$A27),--ISNUMBER('Данные 1st'!$LY$2:$LY$317))</f>
        <v>0</v>
      </c>
      <c r="GP27">
        <f>SUMPRODUCT(--('Данные 1st'!$S$2:$S$317=$A27),--ISNUMBER('Данные 1st'!$LZ$2:$LZ$317))</f>
        <v>0</v>
      </c>
      <c r="GQ27">
        <f>SUMPRODUCT(--('Данные 1st'!$S$2:$S$317=$A27),--ISNUMBER('Данные 1st'!$PG$2:$PG$317))</f>
        <v>7</v>
      </c>
      <c r="GR27">
        <f>SUMPRODUCT(--('Данные 1st'!$S$2:$S$317=$A27),--ISNUMBER('Данные 1st'!$PX$2:$PX$317))</f>
        <v>7</v>
      </c>
      <c r="GS27">
        <f>SUMPRODUCT(--('Данные 1st'!$S$2:$S$317=$A27),--ISNUMBER('Данные 1st'!$PY$2:$PY$317))</f>
        <v>7</v>
      </c>
      <c r="GT27">
        <f>SUMPRODUCT(--('Данные 1st'!$S$2:$S$317=$A27),--ISNUMBER('Данные 1st'!$QA$2:$QA$317))</f>
        <v>7</v>
      </c>
      <c r="GU27">
        <f>SUMPRODUCT(--('Данные 1st'!$S$2:$S$317=$A27),--ISNUMBER('Данные 1st'!$QB$2:$QB$317))</f>
        <v>7</v>
      </c>
      <c r="GV27">
        <f>SUMPRODUCT(--('Данные 1st'!$S$2:$S$317=$A27),--ISNUMBER('Данные 1st'!$QC$2:$QC$317))</f>
        <v>7</v>
      </c>
      <c r="GW27">
        <f>SUMPRODUCT(--('Данные 1st'!$S$2:$S$317=$A27),--ISNUMBER('Данные 1st'!$QD$2:$QD$317))</f>
        <v>7</v>
      </c>
      <c r="GX27">
        <f>SUMPRODUCT(--('Данные 1st'!$S$2:$S$317=$A27),--ISNUMBER('Данные 1st'!$QF$2:$QF$317))</f>
        <v>7</v>
      </c>
      <c r="GY27">
        <f>SUMPRODUCT(--('Данные 1st'!$S$2:$S$317=$A27),--ISNUMBER('Данные 1st'!$QG$2:$QG$317))</f>
        <v>7</v>
      </c>
      <c r="GZ27">
        <f>SUMPRODUCT(--('Данные 1st'!$S$2:$S$317=$A27),--ISNUMBER('Данные 1st'!$QH$2:$QH$317))</f>
        <v>7</v>
      </c>
      <c r="HA27">
        <f>SUMPRODUCT(--('Данные 1st'!$S$2:$S$317=$A27),--ISNUMBER('Данные 1st'!$QI$2:$QI$317))</f>
        <v>7</v>
      </c>
      <c r="HB27">
        <f>SUMPRODUCT(--('Данные 1st'!$S$2:$S$317=$A27),--ISNUMBER('Данные 1st'!$QK$2:$QK$317))</f>
        <v>1</v>
      </c>
      <c r="HC27">
        <f>SUMPRODUCT(--('Данные 1st'!$S$2:$S$317=$A27),--ISNUMBER('Данные 1st'!$QL$2:$QL$317))</f>
        <v>7</v>
      </c>
      <c r="HD27">
        <f>SUMPRODUCT(--('Данные 1st'!$S$2:$S$317=$A27),--ISNUMBER('Данные 1st'!$QM$2:$QM$317))</f>
        <v>7</v>
      </c>
      <c r="HE27">
        <f>SUMPRODUCT(--('Данные 1st'!$S$2:$S$317=$A27),--ISNUMBER('Данные 1st'!$QN$2:$QN$317))</f>
        <v>7</v>
      </c>
      <c r="HF27">
        <f>SUMPRODUCT(--('Данные 1st'!$S$2:$S$317=$A27),--ISNUMBER('Данные 1st'!$QP$2:$QP$317))</f>
        <v>7</v>
      </c>
      <c r="HG27">
        <f>SUMPRODUCT(--('Данные 1st'!$S$2:$S$317=$A27),--ISNUMBER('Данные 1st'!$QQ$2:$QQ$317))</f>
        <v>7</v>
      </c>
      <c r="HH27">
        <f>SUMPRODUCT(--('Данные 1st'!$S$2:$S$317=$A27),--ISNUMBER('Данные 1st'!$QR$2:$QR$317))</f>
        <v>2</v>
      </c>
      <c r="HI27">
        <f>SUMPRODUCT(--('Данные 1st'!$S$2:$S$317=$A27),--ISNUMBER('Данные 1st'!$QS$2:$QS$317))</f>
        <v>2</v>
      </c>
      <c r="HJ27">
        <f>SUMPRODUCT(--('Данные 1st'!$S$2:$S$317=$A27),--ISNUMBER('Данные 1st'!$QU$2:$QU$317))</f>
        <v>2</v>
      </c>
      <c r="HK27">
        <f>SUMPRODUCT(--('Данные 1st'!$S$2:$S$317=$A27),--ISNUMBER('Данные 1st'!$QV$2:$QV$317))</f>
        <v>2</v>
      </c>
      <c r="HL27">
        <f>SUMPRODUCT(--('Данные 1st'!$S$2:$S$317=$A27),--ISNUMBER('Данные 1st'!$QW$2:$QW$317))</f>
        <v>7</v>
      </c>
      <c r="HM27">
        <f>SUMPRODUCT(--('Данные 1st'!$S$2:$S$317=$A27),--ISNUMBER('Данные 1st'!$QX$2:$QX$317))</f>
        <v>7</v>
      </c>
      <c r="HN27">
        <f>SUMPRODUCT(--('Данные 1st'!$S$2:$S$317=$A27),--ISNUMBER('Данные 1st'!$QZ$2:$QZ$317))</f>
        <v>7</v>
      </c>
      <c r="HO27">
        <f>SUMPRODUCT(--('Данные 1st'!$S$2:$S$317=$A27),--ISNUMBER('Данные 1st'!$RA$2:$RA$317))</f>
        <v>7</v>
      </c>
      <c r="HP27">
        <f>SUMPRODUCT(--('Данные 1st'!$S$2:$S$317=$A27),--ISNUMBER('Данные 1st'!$RB$2:$RB$317))</f>
        <v>7</v>
      </c>
      <c r="HQ27">
        <f>SUMPRODUCT(--('Данные 1st'!$S$2:$S$317=$A27),--ISNUMBER('Данные 1st'!$RD$2:$RD$317))</f>
        <v>0</v>
      </c>
      <c r="HR27">
        <f>SUMPRODUCT(--('Данные 1st'!$S$2:$S$317=$A27),--ISNUMBER('Данные 1st'!$RE$2:$RE$317))</f>
        <v>7</v>
      </c>
      <c r="HS27">
        <f>SUMPRODUCT(--('Данные 1st'!$S$2:$S$317=$A27),--ISNUMBER('Данные 1st'!$RF$2:$RF$317))</f>
        <v>7</v>
      </c>
      <c r="HT27">
        <f>SUMPRODUCT(--('Данные 1st'!$S$2:$S$317=$A27),--ISNUMBER('Данные 1st'!$RG$2:$RG$317))</f>
        <v>0</v>
      </c>
      <c r="HU27">
        <f>SUMPRODUCT(--('Данные 1st'!$S$2:$S$317=$A27),--ISNUMBER('Данные 1st'!$RH$2:$RH$317))</f>
        <v>2</v>
      </c>
      <c r="HV27">
        <f>SUMPRODUCT(--('Данные 1st'!$S$2:$S$317=$A27),--ISNUMBER('Данные 1st'!$RI$2:$RI$317))</f>
        <v>0</v>
      </c>
      <c r="HW27">
        <f>SUMPRODUCT(--('Данные 1st'!$S$2:$S$317=$A27),--ISNUMBER('Данные 1st'!$RJ$2:$RJ$317))</f>
        <v>7</v>
      </c>
      <c r="HX27">
        <f>SUMPRODUCT(--('Данные 1st'!$S$2:$S$317=$A27),--ISNUMBER('Данные 1st'!$RK$2:$RK$317))</f>
        <v>1</v>
      </c>
      <c r="HY27">
        <f>SUMPRODUCT(--('Данные 1st'!$S$2:$S$317=$A27),--ISNUMBER('Данные 1st'!$RL$2:$RL$317))</f>
        <v>7</v>
      </c>
      <c r="HZ27">
        <f>SUMPRODUCT(--('Данные 1st'!$S$2:$S$317=$A27),--ISNUMBER('Данные 1st'!$RM$2:$RM$317))</f>
        <v>2</v>
      </c>
      <c r="IA27">
        <f>SUMPRODUCT(--('Данные 1st'!$S$2:$S$317=$A27),--ISNUMBER('Данные 1st'!$RN$2:$RN$317))</f>
        <v>0</v>
      </c>
      <c r="IB27">
        <f>SUMPRODUCT(--('Данные 1st'!$S$2:$S$317=$A27),--ISNUMBER('Данные 1st'!$RO$2:$RO$317))</f>
        <v>7</v>
      </c>
      <c r="IC27">
        <f>SUMPRODUCT(--('Данные 1st'!$S$2:$S$317=$A27),--ISNUMBER('Данные 1st'!$RP$2:$RP$317))</f>
        <v>1</v>
      </c>
      <c r="ID27">
        <f>SUMPRODUCT(--('Данные 1st'!$S$2:$S$317=$A27),--ISNUMBER('Данные 1st'!$RQ$2:$RQ$317))</f>
        <v>7</v>
      </c>
      <c r="IE27">
        <f>SUMPRODUCT(--('Данные 1st'!$S$2:$S$317=$A27),--ISNUMBER('Данные 1st'!$RR$2:$RR$317))</f>
        <v>2</v>
      </c>
      <c r="IF27">
        <f>SUMPRODUCT(--('Данные 1st'!$S$2:$S$317=$A27),--ISNUMBER('Данные 1st'!$RS$2:$RS$317))</f>
        <v>0</v>
      </c>
      <c r="IG27">
        <f>SUMPRODUCT(--('Данные 1st'!$S$2:$S$317=$A27),--ISNUMBER('Данные 1st'!$RT$2:$RT$317))</f>
        <v>7</v>
      </c>
      <c r="IH27">
        <f>SUMPRODUCT(--('Данные 1st'!$S$2:$S$317=$A27),--ISNUMBER('Данные 1st'!$RU$2:$RU$317))</f>
        <v>7</v>
      </c>
      <c r="II27">
        <f>SUMPRODUCT(--('Данные 1st'!$S$2:$S$317=$A27),--ISNUMBER('Данные 1st'!$RX$2:$RX$317))</f>
        <v>7</v>
      </c>
      <c r="IJ27">
        <f>SUMPRODUCT(--('Данные 1st'!$S$2:$S$317=$A27),--ISNUMBER('Данные 1st'!$RY$2:$RY$317))</f>
        <v>7</v>
      </c>
      <c r="IK27">
        <f>SUMPRODUCT(--('Данные 1st'!$S$2:$S$317=$A27),--ISNUMBER('Данные 1st'!$SA$2:$SA$317))</f>
        <v>7</v>
      </c>
      <c r="IL27">
        <f>SUMPRODUCT(--('Данные 1st'!$S$2:$S$317=$A27),--ISNUMBER('Данные 1st'!$SD$2:$SD$317))</f>
        <v>7</v>
      </c>
      <c r="IM27">
        <f>SUMPRODUCT(--('Данные 1st'!$S$2:$S$317=$A27),--ISNUMBER('Данные 1st'!$SG$2:$SG$317))</f>
        <v>2</v>
      </c>
      <c r="IN27">
        <f>SUMPRODUCT(--('Данные 1st'!$S$2:$S$317=$A27),--ISNUMBER('Данные 1st'!$SH$2:$SH$317))</f>
        <v>7</v>
      </c>
      <c r="IO27">
        <f>SUMPRODUCT(--('Данные 1st'!$S$2:$S$317=$A27),--ISNUMBER('Данные 1st'!$SI$2:$SI$317))</f>
        <v>7</v>
      </c>
      <c r="IP27">
        <f>SUMPRODUCT(--('Данные 1st'!$S$2:$S$317=$A27),--ISNUMBER('Данные 1st'!$SJ$2:$SJ$317))</f>
        <v>7</v>
      </c>
      <c r="IQ27">
        <f>SUMPRODUCT(--('Данные 1st'!$S$2:$S$317=$A27),--ISNUMBER('Данные 1st'!$SK$2:$SK$317))</f>
        <v>7</v>
      </c>
      <c r="IR27">
        <f>SUMPRODUCT(--('Данные 1st'!$S$2:$S$317=$A27),--ISNUMBER('Данные 1st'!$SL$2:$SL$317))</f>
        <v>7</v>
      </c>
      <c r="IS27">
        <f>SUMPRODUCT(--('Данные 1st'!$S$2:$S$317=$A27),--ISNUMBER('Данные 1st'!$SM$2:$SM$317))</f>
        <v>7</v>
      </c>
      <c r="IT27">
        <f>SUMPRODUCT(--('Данные 1st'!$S$2:$S$317=$A27),--ISNUMBER('Данные 1st'!$SN$2:$SN$317))</f>
        <v>7</v>
      </c>
      <c r="IU27">
        <f>SUMPRODUCT(--('Данные 1st'!$S$2:$S$317=$A27),--ISNUMBER('Данные 1st'!$SO$2:$SO$317))</f>
        <v>7</v>
      </c>
      <c r="IV27">
        <f>SUMPRODUCT(--('Данные 1st'!$S$2:$S$317=$A27),--ISNUMBER('Данные 1st'!$SP$2:$SP$317))</f>
        <v>7</v>
      </c>
      <c r="IW27">
        <f>SUMPRODUCT(--('Данные 1st'!$S$2:$S$317=$A27),--ISNUMBER('Данные 1st'!$SQ$2:$SQ$317))</f>
        <v>7</v>
      </c>
      <c r="IX27">
        <f>SUMPRODUCT(--('Данные 1st'!$S$2:$S$317=$A27),--ISNUMBER('Данные 1st'!$SR$2:$SR$317))</f>
        <v>7</v>
      </c>
      <c r="IY27">
        <f>SUMPRODUCT(--('Данные 1st'!$S$2:$S$317=$A27),--ISNUMBER('Данные 1st'!$SS$2:$SS$317))</f>
        <v>7</v>
      </c>
      <c r="IZ27">
        <f>SUMPRODUCT(--('Данные 1st'!$S$2:$S$317=$A27),--ISNUMBER('Данные 1st'!$ST$2:$ST$317))</f>
        <v>7</v>
      </c>
      <c r="JA27">
        <f>SUMPRODUCT(--('Данные 1st'!$S$2:$S$317=$A27),--ISNUMBER('Данные 1st'!$SU$2:$SU$317))</f>
        <v>7</v>
      </c>
      <c r="JB27">
        <f>SUMPRODUCT(--('Данные 1st'!$S$2:$S$317=$A27),--ISNUMBER('Данные 1st'!$SV$2:$SV$317))</f>
        <v>7</v>
      </c>
      <c r="JC27">
        <f>SUMPRODUCT(--('Данные 1st'!$S$2:$S$317=$A27),--ISNUMBER('Данные 1st'!$SW$2:$SW$317))</f>
        <v>7</v>
      </c>
      <c r="JD27">
        <f>SUMPRODUCT(--('Данные 1st'!$S$2:$S$317=$A27),--ISNUMBER('Данные 1st'!$SX$2:$SX$317))</f>
        <v>7</v>
      </c>
      <c r="JE27">
        <f>SUMPRODUCT(--('Данные 1st'!$S$2:$S$317=$A27),--ISNUMBER('Данные 1st'!$SY$2:$SY$317))</f>
        <v>1</v>
      </c>
      <c r="JF27">
        <f>SUMPRODUCT(--('Данные 1st'!$S$2:$S$317=$A27),--ISNUMBER('Данные 1st'!$SZ$2:$SZ$317))</f>
        <v>2</v>
      </c>
      <c r="JG27">
        <f>SUMPRODUCT(--('Данные 1st'!$S$2:$S$317=$A27),--ISNUMBER('Данные 1st'!$TA$2:$TA$317))</f>
        <v>0</v>
      </c>
      <c r="JH27">
        <f>SUMPRODUCT(--('Данные 1st'!$S$2:$S$317=$A27),--ISNUMBER('Данные 1st'!$TB$2:$TB$317))</f>
        <v>7</v>
      </c>
      <c r="JI27">
        <f>SUMPRODUCT(--('Данные 1st'!$S$2:$S$317=$A27),--ISNUMBER('Данные 1st'!$TC$2:$TC$317))</f>
        <v>7</v>
      </c>
      <c r="JJ27">
        <f>SUMPRODUCT(--('Данные 1st'!$S$2:$S$317=$A27),--ISNUMBER('Данные 1st'!$TD$2:$TD$317))</f>
        <v>7</v>
      </c>
      <c r="JK27">
        <f>SUMPRODUCT(--('Данные 1st'!$S$2:$S$317=$A27),--ISNUMBER('Данные 1st'!$TN$2:$TN$317))</f>
        <v>7</v>
      </c>
      <c r="JQ27">
        <f>SUMPRODUCT(--('Данные 2st'!$Q$2:$Q$317=$A27),--ISNUMBER('Данные 2st'!$AC$2:$AC$317))</f>
        <v>7</v>
      </c>
      <c r="JR27">
        <f>SUMPRODUCT(--('Данные 2st'!$Q$2:$Q$317=$A27),--ISNUMBER('Данные 2st'!$AF$2:$AF$317))</f>
        <v>7</v>
      </c>
      <c r="JS27">
        <f>SUMPRODUCT(--('Данные 2st'!$Q$2:$Q$317=$A27),--ISNUMBER('Данные 2st'!$AW$2:$AW$317))</f>
        <v>7</v>
      </c>
      <c r="JT27">
        <f>SUMPRODUCT(--('Данные 2st'!$Q$2:$Q$317=$A27),--ISNUMBER('Данные 2st'!$AX$2:$AX$317))</f>
        <v>7</v>
      </c>
      <c r="JU27">
        <f>SUMPRODUCT(--('Данные 2st'!$Q$2:$Q$317=$A27),--ISNUMBER('Данные 2st'!$AY$2:$AY$317))</f>
        <v>7</v>
      </c>
      <c r="JV27">
        <f>SUMPRODUCT(--('Данные 2st'!$Q$2:$Q$317=$A27),--ISNUMBER('Данные 2st'!$AZ$2:$AZ$317))</f>
        <v>7</v>
      </c>
      <c r="JW27">
        <f>SUMPRODUCT(--('Данные 2st'!$Q$2:$Q$317=$A27),--ISNUMBER('Данные 2st'!$BA$2:$BA$317))</f>
        <v>0</v>
      </c>
      <c r="JX27">
        <f>SUMPRODUCT(--('Данные 2st'!$Q$2:$Q$317=$A27),--ISNUMBER('Данные 2st'!$BB$2:$BB$317))</f>
        <v>0</v>
      </c>
      <c r="JY27">
        <f>SUMPRODUCT(--('Данные 2st'!$Q$2:$Q$317=$A27),--ISNUMBER('Данные 2st'!$BC$2:$BC$317))</f>
        <v>0</v>
      </c>
      <c r="JZ27">
        <f>SUMPRODUCT(--('Данные 2st'!$Q$2:$Q$317=$A27),--ISNUMBER('Данные 2st'!$BH$2:$BH$317))</f>
        <v>7</v>
      </c>
      <c r="KA27">
        <f>SUMPRODUCT(--('Данные 2st'!$Q$2:$Q$317=$A27),--ISNUMBER('Данные 2st'!$BI$2:$BI$317))</f>
        <v>7</v>
      </c>
      <c r="KB27">
        <f>SUMPRODUCT(--('Данные 2st'!$Q$2:$Q$317=$A27),--ISNUMBER('Данные 2st'!$BJ$2:$BJ$317))</f>
        <v>7</v>
      </c>
      <c r="KC27">
        <f>SUMPRODUCT(--('Данные 2st'!$Q$2:$Q$317=$A27),--ISNUMBER('Данные 2st'!$BK$2:$BK$317))</f>
        <v>7</v>
      </c>
      <c r="KD27">
        <f>SUMPRODUCT(--('Данные 2st'!$Q$2:$Q$317=$A27),--ISNUMBER('Данные 2st'!$BL$2:$BL$317))</f>
        <v>7</v>
      </c>
      <c r="KE27">
        <f>SUMPRODUCT(--('Данные 2st'!$Q$2:$Q$317=$A27),--ISNUMBER('Данные 2st'!$BM$2:$BM$317))</f>
        <v>7</v>
      </c>
      <c r="KF27">
        <f>SUMPRODUCT(--('Данные 2st'!$Q$2:$Q$317=$A27),--ISNUMBER('Данные 2st'!$BN$2:$BN$317))</f>
        <v>7</v>
      </c>
      <c r="KG27">
        <f>SUMPRODUCT(--('Данные 2st'!$Q$2:$Q$317=$A27),--ISNUMBER('Данные 2st'!$BO$2:$BO$317))</f>
        <v>3</v>
      </c>
      <c r="KH27">
        <f>SUMPRODUCT(--('Данные 2st'!$Q$2:$Q$317=$A27),--ISNUMBER('Данные 2st'!$BP$2:$BP$317))</f>
        <v>7</v>
      </c>
      <c r="KI27">
        <f>SUMPRODUCT(--('Данные 2st'!$Q$2:$Q$317=$A27),--ISNUMBER('Данные 2st'!$BR$2:$BR$317))</f>
        <v>7</v>
      </c>
      <c r="KJ27">
        <f>SUMPRODUCT(--('Данные 2st'!$Q$2:$Q$317=$A27),--ISNUMBER('Данные 2st'!$BS$2:$BS$317))</f>
        <v>7</v>
      </c>
      <c r="KK27">
        <f>SUMPRODUCT(--('Данные 2st'!$Q$2:$Q$317=$A27),--ISNUMBER('Данные 2st'!$BT$2:$BT$317))</f>
        <v>7</v>
      </c>
      <c r="KL27">
        <f>SUMPRODUCT(--('Данные 2st'!$Q$2:$Q$317=$A27),--ISNUMBER('Данные 2st'!$CV$2:$CV$317))</f>
        <v>7</v>
      </c>
      <c r="KM27">
        <f>SUMPRODUCT(--('Данные 2st'!$Q$2:$Q$317=$A27),--ISNUMBER('Данные 2st'!$CW$2:$CW$317))</f>
        <v>7</v>
      </c>
      <c r="KN27">
        <f>SUMPRODUCT(--('Данные 2st'!$Q$2:$Q$317=$A27),--ISNUMBER('Данные 2st'!$CX$2:$CX$317))</f>
        <v>7</v>
      </c>
      <c r="KO27">
        <f>SUMPRODUCT(--('Данные 2st'!$Q$2:$Q$317=$A27),--ISNUMBER('Данные 2st'!$CY$2:$CY$317))</f>
        <v>7</v>
      </c>
      <c r="KP27">
        <f>SUMPRODUCT(--('Данные 2st'!$Q$2:$Q$317=$A27),--ISNUMBER('Данные 2st'!$CZ$2:$CZ$317))</f>
        <v>7</v>
      </c>
      <c r="KQ27">
        <f>SUMPRODUCT(--('Данные 2st'!$Q$2:$Q$317=$A27),--ISNUMBER('Данные 2st'!$DA$2:$DA$317))</f>
        <v>7</v>
      </c>
      <c r="KR27">
        <f>SUMPRODUCT(--('Данные 2st'!$Q$2:$Q$317=$A27),--ISNUMBER('Данные 2st'!$DB$2:$DB$317))</f>
        <v>7</v>
      </c>
      <c r="KS27">
        <f>SUMPRODUCT(--('Данные 2st'!$Q$2:$Q$317=$A27),--ISNUMBER('Данные 2st'!$DC$2:$DC$317))</f>
        <v>7</v>
      </c>
      <c r="KT27">
        <f>SUMPRODUCT(--('Данные 2st'!$Q$2:$Q$317=$A27),--ISNUMBER('Данные 2st'!$DD$2:$DD$317))</f>
        <v>7</v>
      </c>
      <c r="KU27">
        <f>SUMPRODUCT(--('Данные 2st'!$Q$2:$Q$317=$A27),--ISNUMBER('Данные 2st'!$DE$2:$DE$317))</f>
        <v>7</v>
      </c>
      <c r="KV27">
        <f>SUMPRODUCT(--('Данные 2st'!$Q$2:$Q$317=$A27),--ISNUMBER('Данные 2st'!$DF$2:$DF$317))</f>
        <v>7</v>
      </c>
      <c r="KW27">
        <f>SUMPRODUCT(--('Данные 2st'!$Q$2:$Q$317=$A27),--ISNUMBER('Данные 2st'!$DG$2:$DG$317))</f>
        <v>7</v>
      </c>
      <c r="KX27">
        <f>SUMPRODUCT(--('Данные 2st'!$Q$2:$Q$317=$A27),--ISNUMBER('Данные 2st'!$DH$2:$DH$317))</f>
        <v>1</v>
      </c>
      <c r="KY27">
        <f>SUMPRODUCT(--('Данные 2st'!$Q$2:$Q$317=$A27),--ISNUMBER('Данные 2st'!$DI$2:$DI$317))</f>
        <v>3</v>
      </c>
      <c r="KZ27">
        <f>SUMPRODUCT(--('Данные 2st'!$Q$2:$Q$317=$A27),--ISNUMBER('Данные 2st'!$DK$2:$DK$317))</f>
        <v>7</v>
      </c>
      <c r="LA27">
        <f>SUMPRODUCT(--('Данные 2st'!$Q$2:$Q$317=$A27),--ISNUMBER('Данные 2st'!$DM$2:$DM$317))</f>
        <v>7</v>
      </c>
      <c r="LB27">
        <f>SUMPRODUCT(--('Данные 2st'!$Q$2:$Q$317=$A27),--ISNUMBER('Данные 2st'!$DN$2:$DN$317))</f>
        <v>7</v>
      </c>
      <c r="LC27">
        <f>SUMPRODUCT(--('Данные 2st'!$Q$2:$Q$317=$A27),--ISNUMBER('Данные 2st'!$DO$2:$DO$317))</f>
        <v>7</v>
      </c>
      <c r="LD27">
        <f>SUMPRODUCT(--('Данные 2st'!$Q$2:$Q$317=$A27),--ISNUMBER('Данные 2st'!$DP$2:$DP$317))</f>
        <v>7</v>
      </c>
      <c r="LE27">
        <f>SUMPRODUCT(--('Данные 2st'!$Q$2:$Q$317=$A27),--ISNUMBER('Данные 2st'!$DQ$2:$DQ$317))</f>
        <v>7</v>
      </c>
      <c r="LF27">
        <f>SUMPRODUCT(--('Данные 2st'!$Q$2:$Q$317=$A27),--ISNUMBER('Данные 2st'!$DS$2:$DS$317))</f>
        <v>7</v>
      </c>
      <c r="LG27">
        <f>SUMPRODUCT(--('Данные 2st'!$Q$2:$Q$317=$A27),--ISNUMBER('Данные 2st'!$DU$2:$DU$317))</f>
        <v>7</v>
      </c>
      <c r="LH27">
        <f>SUMPRODUCT(--('Данные 2st'!$Q$2:$Q$317=$A27),--ISNUMBER('Данные 2st'!$DV$2:$DV$317))</f>
        <v>7</v>
      </c>
      <c r="LI27">
        <f>SUMPRODUCT(--('Данные 2st'!$Q$2:$Q$317=$A27),--ISNUMBER('Данные 2st'!$DW$2:$DW$317))</f>
        <v>7</v>
      </c>
      <c r="LJ27">
        <f>SUMPRODUCT(--('Данные 2st'!$Q$2:$Q$317=$A27),--ISNUMBER('Данные 2st'!$DX$2:$DX$317))</f>
        <v>7</v>
      </c>
      <c r="LK27">
        <f>SUMPRODUCT(--('Данные 2st'!$Q$2:$Q$317=$A27),--ISNUMBER('Данные 2st'!$DY$2:$DY$317))</f>
        <v>7</v>
      </c>
      <c r="LL27">
        <f>SUMPRODUCT(--('Данные 2st'!$Q$2:$Q$317=$A27),--ISNUMBER('Данные 2st'!$EA$2:$EA$317))</f>
        <v>7</v>
      </c>
      <c r="LM27">
        <f>SUMPRODUCT(--('Данные 2st'!$Q$2:$Q$317=$A27),--ISNUMBER('Данные 2st'!$EC$2:$EC$317))</f>
        <v>7</v>
      </c>
      <c r="LN27">
        <f>SUMPRODUCT(--('Данные 2st'!$Q$2:$Q$317=$A27),--ISNUMBER('Данные 2st'!$ED$2:$ED$317))</f>
        <v>7</v>
      </c>
      <c r="LO27">
        <f>SUMPRODUCT(--('Данные 2st'!$Q$2:$Q$317=$A27),--ISNUMBER('Данные 2st'!$EE$2:$EE$317))</f>
        <v>7</v>
      </c>
      <c r="LP27">
        <f>SUMPRODUCT(--('Данные 2st'!$Q$2:$Q$317=$A27),--ISNUMBER('Данные 2st'!$EG$2:$EG$317))</f>
        <v>7</v>
      </c>
      <c r="LQ27">
        <f>SUMPRODUCT(--('Данные 2st'!$Q$2:$Q$317=$A27),--ISNUMBER('Данные 2st'!$EI$2:$EI$317))</f>
        <v>7</v>
      </c>
      <c r="LR27">
        <f>SUMPRODUCT(--('Данные 2st'!$Q$2:$Q$317=$A27),--ISNUMBER('Данные 2st'!$EJ$2:$EJ$317))</f>
        <v>4</v>
      </c>
      <c r="LS27">
        <f>SUMPRODUCT(--('Данные 2st'!$Q$2:$Q$317=$A27),--ISNUMBER('Данные 2st'!$EK$2:$EK$317))</f>
        <v>4</v>
      </c>
      <c r="LT27">
        <f>SUMPRODUCT(--('Данные 2st'!$Q$2:$Q$317=$A27),--ISNUMBER('Данные 2st'!$EM$2:$EM$317))</f>
        <v>7</v>
      </c>
      <c r="LU27">
        <f>SUMPRODUCT(--('Данные 2st'!$Q$2:$Q$317=$A27),--ISNUMBER('Данные 2st'!$EN$2:$EN$317))</f>
        <v>7</v>
      </c>
      <c r="LV27">
        <f>SUMPRODUCT(--('Данные 2st'!$Q$2:$Q$317=$A27),--ISNUMBER('Данные 2st'!$EO$2:$EO$317))</f>
        <v>7</v>
      </c>
      <c r="LW27">
        <f>SUMPRODUCT(--('Данные 2st'!$Q$2:$Q$317=$A27),--ISNUMBER('Данные 2st'!$EP$2:$EP$317))</f>
        <v>7</v>
      </c>
      <c r="LX27">
        <f>SUMPRODUCT(--('Данные 2st'!$Q$2:$Q$317=$A27),--ISNUMBER('Данные 2st'!$EQ$2:$EQ$317))</f>
        <v>7</v>
      </c>
      <c r="LY27">
        <f>SUMPRODUCT(--('Данные 2st'!$Q$2:$Q$317=$A27),--ISNUMBER('Данные 2st'!$ER$2:$ER$317))</f>
        <v>7</v>
      </c>
      <c r="LZ27">
        <f>SUMPRODUCT(--('Данные 2st'!$Q$2:$Q$317=$A27),--ISNUMBER('Данные 2st'!$ES$2:$ES$317))</f>
        <v>7</v>
      </c>
      <c r="MA27">
        <f>SUMPRODUCT(--('Данные 2st'!$Q$2:$Q$317=$A27),--ISNUMBER('Данные 2st'!$ET$2:$ET$317))</f>
        <v>7</v>
      </c>
      <c r="MB27">
        <f>SUMPRODUCT(--('Данные 2st'!$Q$2:$Q$317=$A27),--ISNUMBER('Данные 2st'!$EU$2:$EU$317))</f>
        <v>7</v>
      </c>
      <c r="MC27">
        <f>SUMPRODUCT(--('Данные 2st'!$Q$2:$Q$317=$A27),--ISNUMBER('Данные 2st'!$EV$2:$EV$317))</f>
        <v>7</v>
      </c>
      <c r="MD27">
        <f>SUMPRODUCT(--('Данные 2st'!$Q$2:$Q$317=$A27),--ISNUMBER('Данные 2st'!$EW$2:$EW$317))</f>
        <v>7</v>
      </c>
      <c r="ME27">
        <f>SUMPRODUCT(--('Данные 2st'!$Q$2:$Q$317=$A27),--ISNUMBER('Данные 2st'!$EY$2:$EY$317))</f>
        <v>7</v>
      </c>
      <c r="MF27">
        <f>SUMPRODUCT(--('Данные 2st'!$Q$2:$Q$317=$A27),--ISNUMBER('Данные 2st'!$FA$2:$FA$317))</f>
        <v>7</v>
      </c>
      <c r="MG27">
        <f>SUMPRODUCT(--('Данные 2st'!$Q$2:$Q$317=$A27),--ISNUMBER('Данные 2st'!$FB$2:$FB$317))</f>
        <v>7</v>
      </c>
      <c r="MH27">
        <f>SUMPRODUCT(--('Данные 2st'!$Q$2:$Q$317=$A27),--ISNUMBER('Данные 2st'!$FC$2:$FC$317))</f>
        <v>7</v>
      </c>
      <c r="MI27">
        <f>SUMPRODUCT(--('Данные 2st'!$Q$2:$Q$317=$A27),--ISNUMBER('Данные 2st'!$FD$2:$FD$317))</f>
        <v>7</v>
      </c>
      <c r="MJ27">
        <f>SUMPRODUCT(--('Данные 2st'!$Q$2:$Q$317=$A27),--ISNUMBER('Данные 2st'!$FE$2:$FE$317))</f>
        <v>7</v>
      </c>
      <c r="MK27">
        <f>SUMPRODUCT(--('Данные 2st'!$Q$2:$Q$317=$A27),--ISNUMBER('Данные 2st'!$FG$2:$FG$317))</f>
        <v>7</v>
      </c>
      <c r="ML27">
        <f>SUMPRODUCT(--('Данные 2st'!$Q$2:$Q$317=$A27),--ISNUMBER('Данные 2st'!$FI$2:$FI$317))</f>
        <v>7</v>
      </c>
      <c r="MM27">
        <f>SUMPRODUCT(--('Данные 2st'!$Q$2:$Q$317=$A27),--ISNUMBER('Данные 2st'!$FJ$2:$FJ$317))</f>
        <v>7</v>
      </c>
      <c r="MN27">
        <f>SUMPRODUCT(--('Данные 2st'!$Q$2:$Q$317=$A27),--ISNUMBER('Данные 2st'!$FK$2:$FK$317))</f>
        <v>7</v>
      </c>
      <c r="MO27">
        <f>SUMPRODUCT(--('Данные 2st'!$Q$2:$Q$317=$A27),--ISNUMBER('Данные 2st'!$FP$2:$FP$317))</f>
        <v>7</v>
      </c>
      <c r="MP27">
        <f>SUMPRODUCT(--('Данные 2st'!$Q$2:$Q$317=$A27),--ISNUMBER('Данные 2st'!$FQ$2:$FQ$317))</f>
        <v>7</v>
      </c>
      <c r="MQ27">
        <f>SUMPRODUCT(--('Данные 2st'!$Q$2:$Q$317=$A27),--ISNUMBER('Данные 2st'!$FS$2:$FS$317))</f>
        <v>7</v>
      </c>
      <c r="MR27">
        <f>SUMPRODUCT(--('Данные 2st'!$Q$2:$Q$317=$A27),--ISNUMBER('Данные 2st'!$FU$2:$FU$317))</f>
        <v>7</v>
      </c>
      <c r="MS27">
        <f>SUMPRODUCT(--('Данные 2st'!$Q$2:$Q$317=$A27),--ISNUMBER('Данные 2st'!$FV$2:$FV$317))</f>
        <v>7</v>
      </c>
      <c r="MT27">
        <f>SUMPRODUCT(--('Данные 2st'!$Q$2:$Q$317=$A27),--ISNUMBER('Данные 2st'!$FW$2:$FW$317))</f>
        <v>7</v>
      </c>
      <c r="MU27">
        <f>SUMPRODUCT(--('Данные 2st'!$Q$2:$Q$317=$A27),--ISNUMBER('Данные 2st'!$FY$2:$FY$317))</f>
        <v>5</v>
      </c>
      <c r="MV27">
        <f>SUMPRODUCT(--('Данные 2st'!$Q$2:$Q$317=$A27),--ISNUMBER('Данные 2st'!$GB$2:$GB$317))</f>
        <v>5</v>
      </c>
      <c r="MW27">
        <f>SUMPRODUCT(--('Данные 2st'!$Q$2:$Q$317=$A27),--ISNUMBER('Данные 2st'!$GC$2:$GC$317))</f>
        <v>5</v>
      </c>
      <c r="MX27">
        <f>SUMPRODUCT(--('Данные 2st'!$Q$2:$Q$317=$A27),--ISNUMBER('Данные 2st'!$GD$2:$GD$317))</f>
        <v>7</v>
      </c>
      <c r="MY27">
        <f>SUMPRODUCT(--('Данные 2st'!$Q$2:$Q$317=$A27),--ISNUMBER('Данные 2st'!$GN$2:$GN$317))</f>
        <v>0</v>
      </c>
      <c r="MZ27">
        <f>SUMPRODUCT(--('Данные 2st'!$Q$2:$Q$317=$A27),--ISNUMBER('Данные 2st'!$GQ$2:$GQ$317))</f>
        <v>7</v>
      </c>
      <c r="NA27">
        <f>SUMPRODUCT(--('Данные 2st'!$Q$2:$Q$317=$A27),--ISNUMBER('Данные 2st'!$GV$2:$GV$317))</f>
        <v>7</v>
      </c>
      <c r="NB27">
        <f>SUMPRODUCT(--('Данные 2st'!$Q$2:$Q$317=$A27),--ISNUMBER('Данные 2st'!$GW$2:$GW$317))</f>
        <v>7</v>
      </c>
      <c r="NC27">
        <f>SUMPRODUCT(--('Данные 2st'!$Q$2:$Q$317=$A27),--ISNUMBER('Данные 2st'!$GX$2:$GX$317))</f>
        <v>7</v>
      </c>
      <c r="ND27">
        <f>SUMPRODUCT(--('Данные 2st'!$Q$2:$Q$317=$A27),--ISNUMBER('Данные 2st'!$GY$2:$GY$317))</f>
        <v>7</v>
      </c>
      <c r="NE27">
        <f>SUMPRODUCT(--('Данные 2st'!$Q$2:$Q$317=$A27),--ISNUMBER('Данные 2st'!$GZ$2:$GZ$317))</f>
        <v>7</v>
      </c>
      <c r="NF27">
        <f>SUMPRODUCT(--('Данные 2st'!$Q$2:$Q$317=$A27),--ISNUMBER('Данные 2st'!$HA$2:$HA$317))</f>
        <v>7</v>
      </c>
      <c r="NG27">
        <f>SUMPRODUCT(--('Данные 2st'!$Q$2:$Q$317=$A27),--ISNUMBER('Данные 2st'!$HB$2:$HB$317))</f>
        <v>7</v>
      </c>
      <c r="NH27">
        <f>SUMPRODUCT(--('Данные 2st'!$Q$2:$Q$317=$A27),--ISNUMBER('Данные 2st'!$HC$2:$HC$317))</f>
        <v>7</v>
      </c>
      <c r="NI27">
        <f>SUMPRODUCT(--('Данные 2st'!$Q$2:$Q$317=$A27),--ISNUMBER('Данные 2st'!$HD$2:$HD$317))</f>
        <v>7</v>
      </c>
      <c r="NJ27">
        <f>SUMPRODUCT(--('Данные 2st'!$Q$2:$Q$317=$A27),--ISNUMBER('Данные 2st'!$HM$2:$HM$317))</f>
        <v>7</v>
      </c>
      <c r="NK27">
        <f>SUMPRODUCT(--('Данные 2st'!$Q$2:$Q$317=$A27),--ISNUMBER('Данные 2st'!$HR$2:$HR$317))</f>
        <v>7</v>
      </c>
      <c r="NL27">
        <f>SUMPRODUCT(--('Данные 2st'!$Q$2:$Q$317=$A27),--ISNUMBER('Данные 2st'!$HS$2:$HS$317))</f>
        <v>7</v>
      </c>
      <c r="NM27">
        <f>SUMPRODUCT(--('Данные 2st'!$Q$2:$Q$317=$A27),--ISNUMBER('Данные 2st'!$HT$2:$HT$317))</f>
        <v>7</v>
      </c>
      <c r="NN27">
        <f>SUMPRODUCT(--('Данные 2st'!$Q$2:$Q$317=$A27),--ISNUMBER('Данные 2st'!$HY$2:$HY$317))</f>
        <v>7</v>
      </c>
      <c r="NO27">
        <f>SUMPRODUCT(--('Данные 2st'!$Q$2:$Q$317=$A27),--ISNUMBER('Данные 2st'!$HZ$2:$HZ$317))</f>
        <v>7</v>
      </c>
      <c r="NP27">
        <f>SUMPRODUCT(--('Данные 2st'!$Q$2:$Q$317=$A27),--ISNUMBER('Данные 2st'!$IA$2:$IA$317))</f>
        <v>7</v>
      </c>
      <c r="NQ27">
        <f>SUMPRODUCT(--('Данные 2st'!$Q$2:$Q$317=$A27),--ISNUMBER('Данные 2st'!$IB$2:$IB$317))</f>
        <v>7</v>
      </c>
      <c r="NR27">
        <f>SUMPRODUCT(--('Данные 2st'!$Q$2:$Q$317=$A27),--ISNUMBER('Данные 2st'!$IC$2:$IC$317))</f>
        <v>0</v>
      </c>
      <c r="NS27">
        <f>SUMPRODUCT(--('Данные 2st'!$Q$2:$Q$317=$A27),--ISNUMBER('Данные 2st'!$ID$2:$ID$317))</f>
        <v>7</v>
      </c>
      <c r="NT27">
        <f>SUMPRODUCT(--('Данные 2st'!$Q$2:$Q$317=$A27),--ISNUMBER('Данные 2st'!$IE$2:$IE$317))</f>
        <v>7</v>
      </c>
      <c r="NU27">
        <f>SUMPRODUCT(--('Данные 2st'!$Q$2:$Q$317=$A27),--ISNUMBER('Данные 2st'!$IF$2:$IF$317))</f>
        <v>7</v>
      </c>
      <c r="NV27">
        <f>SUMPRODUCT(--('Данные 2st'!$Q$2:$Q$317=$A27),--ISNUMBER('Данные 2st'!$IG$2:$IG$317))</f>
        <v>7</v>
      </c>
      <c r="NW27">
        <f>SUMPRODUCT(--('Данные 2st'!$Q$2:$Q$317=$A27),--ISNUMBER('Данные 2st'!$IH$2:$IH$317))</f>
        <v>7</v>
      </c>
      <c r="NX27">
        <f>SUMPRODUCT(--('Данные 2st'!$Q$2:$Q$317=$A27),--ISNUMBER('Данные 2st'!$IJ$2:$IJ$317))</f>
        <v>7</v>
      </c>
      <c r="NY27">
        <f>SUMPRODUCT(--('Данные 2st'!$Q$2:$Q$317=$A27),--ISNUMBER('Данные 2st'!$IM$2:$IM$317))</f>
        <v>7</v>
      </c>
      <c r="NZ27">
        <f>SUMPRODUCT(--('Данные 2st'!$Q$2:$Q$317=$A27),--ISNUMBER('Данные 2st'!$IN$2:$IN$317))</f>
        <v>7</v>
      </c>
      <c r="OA27">
        <f>SUMPRODUCT(--('Данные 2st'!$Q$2:$Q$317=$A27),--ISNUMBER('Данные 2st'!$IO$2:$IO$317))</f>
        <v>7</v>
      </c>
      <c r="OB27">
        <f>SUMPRODUCT(--('Данные 2st'!$Q$2:$Q$317=$A27),--ISNUMBER('Данные 2st'!$IP$2:$IP$317))</f>
        <v>7</v>
      </c>
      <c r="OC27">
        <f>SUMPRODUCT(--('Данные 2st'!$Q$2:$Q$317=$A27),--ISNUMBER('Данные 2st'!$IQ$2:$IQ$317))</f>
        <v>7</v>
      </c>
      <c r="OD27">
        <f>SUMPRODUCT(--('Данные 2st'!$Q$2:$Q$317=$A27),--ISNUMBER('Данные 2st'!$IR$2:$IR$317))</f>
        <v>7</v>
      </c>
      <c r="OE27">
        <f>SUMPRODUCT(--('Данные 2st'!$Q$2:$Q$317=$A27),--ISNUMBER('Данные 2st'!$IT$2:$IT$317))</f>
        <v>7</v>
      </c>
      <c r="OF27">
        <f>SUMPRODUCT(--('Данные 2st'!$Q$2:$Q$317=$A27),--ISNUMBER('Данные 2st'!$IU$2:$IU$317))</f>
        <v>7</v>
      </c>
      <c r="OG27">
        <f>SUMPRODUCT(--('Данные 2st'!$Q$2:$Q$317=$A27),--ISNUMBER('Данные 2st'!$IV$2:$IV$317))</f>
        <v>7</v>
      </c>
      <c r="OH27">
        <f>SUMPRODUCT(--('Данные 2st'!$Q$2:$Q$317=$A27),--ISNUMBER('Данные 2st'!$IW$2:$IW$317))</f>
        <v>7</v>
      </c>
      <c r="OI27">
        <f>SUMPRODUCT(--('Данные 2st'!$Q$2:$Q$317=$A27),--ISNUMBER('Данные 2st'!$IX$2:$IX$317))</f>
        <v>7</v>
      </c>
      <c r="OJ27">
        <f>SUMPRODUCT(--('Данные 2st'!$Q$2:$Q$317=$A27),--ISNUMBER('Данные 2st'!$IY$2:$IY$317))</f>
        <v>7</v>
      </c>
      <c r="OK27">
        <f>SUMPRODUCT(--('Данные 2st'!$Q$2:$Q$317=$A27),--ISNUMBER('Данные 2st'!$IZ$2:$IZ$317))</f>
        <v>7</v>
      </c>
      <c r="OL27">
        <f>SUMPRODUCT(--('Данные 2st'!$Q$2:$Q$317=$A27),--ISNUMBER('Данные 2st'!$JA$2:$JA$317))</f>
        <v>7</v>
      </c>
      <c r="OM27">
        <f>SUMPRODUCT(--('Данные 2st'!$Q$2:$Q$317=$A27),--ISNUMBER('Данные 2st'!$JB$2:$JB$317))</f>
        <v>7</v>
      </c>
      <c r="ON27">
        <f>SUMPRODUCT(--('Данные 2st'!$Q$2:$Q$317=$A27),--ISNUMBER('Данные 2st'!$JC$2:$JC$317))</f>
        <v>7</v>
      </c>
      <c r="OO27">
        <f>SUMPRODUCT(--('Данные 2st'!$Q$2:$Q$317=$A27),--ISNUMBER('Данные 2st'!$JD$2:$JD$317))</f>
        <v>7</v>
      </c>
      <c r="OP27">
        <f>SUMPRODUCT(--('Данные 2st'!$Q$2:$Q$317=$A27),--ISNUMBER('Данные 2st'!$JE$2:$JE$317))</f>
        <v>7</v>
      </c>
      <c r="OQ27">
        <f>SUMPRODUCT(--('Данные 2st'!$Q$2:$Q$317=$A27),--ISNUMBER('Данные 2st'!$JF$2:$JF$317))</f>
        <v>7</v>
      </c>
      <c r="OR27">
        <f>SUMPRODUCT(--('Данные 2st'!$Q$2:$Q$317=$A27),--ISNUMBER('Данные 2st'!$JG$2:$JG$317))</f>
        <v>7</v>
      </c>
      <c r="OS27">
        <f>SUMPRODUCT(--('Данные 2st'!$Q$2:$Q$317=$A27),--ISNUMBER('Данные 2st'!$JH$2:$JH$317))</f>
        <v>7</v>
      </c>
      <c r="OT27">
        <f>SUMPRODUCT(--('Данные 2st'!$Q$2:$Q$317=$A27),--ISNUMBER('Данные 2st'!$JI$2:$JI$317))</f>
        <v>7</v>
      </c>
      <c r="OU27">
        <f>SUMPRODUCT(--('Данные 2st'!$Q$2:$Q$317=$A27),--ISNUMBER('Данные 2st'!$JJ$2:$JJ$317))</f>
        <v>7</v>
      </c>
      <c r="OV27">
        <f>SUMPRODUCT(--('Данные 2st'!$Q$2:$Q$317=$A27),--ISNUMBER('Данные 2st'!$JK$2:$JK$317))</f>
        <v>7</v>
      </c>
      <c r="OW27">
        <f>SUMPRODUCT(--('Данные 2st'!$Q$2:$Q$317=$A27),--ISNUMBER('Данные 2st'!$JL$2:$JL$317))</f>
        <v>7</v>
      </c>
      <c r="OX27">
        <f>SUMPRODUCT(--('Данные 2st'!$Q$2:$Q$317=$A27),--ISNUMBER('Данные 2st'!$JM$2:$JM$317))</f>
        <v>7</v>
      </c>
      <c r="OY27">
        <f>SUMPRODUCT(--('Данные 2st'!$Q$2:$Q$317=$A27),--ISNUMBER('Данные 2st'!$JP$2:$JP$317))</f>
        <v>7</v>
      </c>
      <c r="OZ27">
        <f>SUMPRODUCT(--('Данные 2st'!$Q$2:$Q$317=$A27),--ISNUMBER('Данные 2st'!$JQ$2:$JQ$317))</f>
        <v>7</v>
      </c>
      <c r="PA27">
        <f>SUMPRODUCT(--('Данные 2st'!$Q$2:$Q$317=$A27),--ISNUMBER('Данные 2st'!$JR$2:$JR$317))</f>
        <v>7</v>
      </c>
      <c r="PB27">
        <f>SUMPRODUCT(--('Данные 2st'!$Q$2:$Q$317=$A27),--ISNUMBER('Данные 2st'!$JS$2:$JS$317))</f>
        <v>7</v>
      </c>
      <c r="PC27">
        <f>SUMPRODUCT(--('Данные 2st'!$Q$2:$Q$317=$A27),--ISNUMBER('Данные 2st'!$JT$2:$JT$317))</f>
        <v>7</v>
      </c>
      <c r="PD27">
        <f>SUMPRODUCT(--('Данные 2st'!$Q$2:$Q$317=$A27),--ISNUMBER('Данные 2st'!$JU$2:$JU$317))</f>
        <v>7</v>
      </c>
      <c r="PE27">
        <f>SUMPRODUCT(--('Данные 2st'!$Q$2:$Q$317=$A27),--ISNUMBER('Данные 2st'!$JV$2:$JV$317))</f>
        <v>7</v>
      </c>
      <c r="PF27">
        <f>SUMPRODUCT(--('Данные 2st'!$Q$2:$Q$317=$A27),--ISNUMBER('Данные 2st'!$JW$2:$JW$317))</f>
        <v>7</v>
      </c>
      <c r="PG27">
        <f>SUMPRODUCT(--('Данные 2st'!$Q$2:$Q$317=$A27),--ISNUMBER('Данные 2st'!$KF$2:$KF$317))</f>
        <v>7</v>
      </c>
      <c r="PH27">
        <f>SUMPRODUCT(--('Данные 2st'!$Q$2:$Q$317=$A27),--ISNUMBER('Данные 2st'!$KG$2:$KG$317))</f>
        <v>7</v>
      </c>
      <c r="PI27">
        <f>SUMPRODUCT(--('Данные 2st'!$Q$2:$Q$317=$A27),--ISNUMBER('Данные 2st'!$KM$2:$KM$317))</f>
        <v>7</v>
      </c>
      <c r="PJ27">
        <f>SUMPRODUCT(--('Данные 2st'!$Q$2:$Q$317=$A27),--ISNUMBER('Данные 2st'!$KN$2:$KN$317))</f>
        <v>7</v>
      </c>
      <c r="PK27">
        <f>SUMPRODUCT(--('Данные 2st'!$Q$2:$Q$317=$A27),--ISNUMBER('Данные 2st'!$KO$2:$KO$317))</f>
        <v>7</v>
      </c>
      <c r="PL27">
        <f>SUMPRODUCT(--('Данные 2st'!$Q$2:$Q$317=$A27),--ISNUMBER('Данные 2st'!$KP$2:$KP$317))</f>
        <v>7</v>
      </c>
      <c r="PM27">
        <f>SUMPRODUCT(--('Данные 2st'!$Q$2:$Q$317=$A27),--ISNUMBER('Данные 2st'!$KQ$2:$KQ$317))</f>
        <v>7</v>
      </c>
      <c r="PN27">
        <f>SUMPRODUCT(--('Данные 2st'!$Q$2:$Q$317=$A27),--ISNUMBER('Данные 2st'!$KR$2:$KR$317))</f>
        <v>7</v>
      </c>
      <c r="PO27">
        <f>SUMPRODUCT(--('Данные 2st'!$Q$2:$Q$317=$A27),--ISNUMBER('Данные 2st'!$KS$2:$KS$317))</f>
        <v>7</v>
      </c>
      <c r="PP27">
        <f>SUMPRODUCT(--('Данные 2st'!$Q$2:$Q$317=$A27),--ISNUMBER('Данные 2st'!$KT$2:$KT$317))</f>
        <v>7</v>
      </c>
      <c r="PQ27">
        <f>SUMPRODUCT(--('Данные 2st'!$Q$2:$Q$317=$A27),--ISNUMBER('Данные 2st'!$KU$2:$KU$317))</f>
        <v>7</v>
      </c>
      <c r="PR27">
        <f>SUMPRODUCT(--('Данные 2st'!$Q$2:$Q$317=$A27),--ISNUMBER('Данные 2st'!$KV$2:$KV$317))</f>
        <v>7</v>
      </c>
      <c r="PS27">
        <f>SUMPRODUCT(--('Данные 2st'!$Q$2:$Q$317=$A27),--ISNUMBER('Данные 2st'!$KW$2:$KW$317))</f>
        <v>7</v>
      </c>
      <c r="PT27">
        <f>SUMPRODUCT(--('Данные 2st'!$Q$2:$Q$317=$A27),--ISNUMBER('Данные 2st'!$KX$2:$KX$317))</f>
        <v>7</v>
      </c>
      <c r="PU27">
        <f>SUMPRODUCT(--('Данные 2st'!$Q$2:$Q$317=$A27),--ISNUMBER('Данные 2st'!$KY$2:$KY$317))</f>
        <v>7</v>
      </c>
      <c r="PV27">
        <f>SUMPRODUCT(--('Данные 2st'!$Q$2:$Q$317=$A27),--ISNUMBER('Данные 2st'!$KZ$2:$KZ$317))</f>
        <v>7</v>
      </c>
      <c r="PW27">
        <f>SUMPRODUCT(--('Данные 2st'!$Q$2:$Q$317=$A27),--ISNUMBER('Данные 2st'!$LA$2:$LA$317))</f>
        <v>7</v>
      </c>
      <c r="PX27">
        <f>SUMPRODUCT(--('Данные 2st'!$Q$2:$Q$317=$A27),--ISNUMBER('Данные 2st'!$LB$2:$LB$317))</f>
        <v>7</v>
      </c>
      <c r="PY27">
        <f>SUMPRODUCT(--('Данные 2st'!$Q$2:$Q$317=$A27),--ISNUMBER('Данные 2st'!$LC$2:$LC$317))</f>
        <v>7</v>
      </c>
      <c r="PZ27">
        <f>SUMPRODUCT(--('Данные 2st'!$Q$2:$Q$317=$A27),--ISNUMBER('Данные 2st'!$LD$2:$LD$317))</f>
        <v>7</v>
      </c>
      <c r="QA27">
        <f>SUMPRODUCT(--('Данные 2st'!$Q$2:$Q$317=$A27),--ISNUMBER('Данные 2st'!$LE$2:$LE$317))</f>
        <v>7</v>
      </c>
      <c r="QB27">
        <f>SUMPRODUCT(--('Данные 2st'!$Q$2:$Q$317=$A27),--ISNUMBER('Данные 2st'!$LF$2:$LF$317))</f>
        <v>7</v>
      </c>
      <c r="QC27">
        <f>SUMPRODUCT(--('Данные 2st'!$Q$2:$Q$317=$A27),--ISNUMBER('Данные 2st'!$LG$2:$LG$317))</f>
        <v>7</v>
      </c>
      <c r="QD27">
        <f>SUMPRODUCT(--('Данные 2st'!$Q$2:$Q$317=$A27),--ISNUMBER('Данные 2st'!$LH$2:$LH$317))</f>
        <v>7</v>
      </c>
      <c r="QE27">
        <f>SUMPRODUCT(--('Данные 2st'!$Q$2:$Q$317=$A27),--ISNUMBER('Данные 2st'!$LJ$2:$LJ$317))</f>
        <v>7</v>
      </c>
      <c r="QF27">
        <f>SUMPRODUCT(--('Данные 2st'!$Q$2:$Q$317=$A27),--ISNUMBER('Данные 2st'!$LK$2:$LK$317))</f>
        <v>7</v>
      </c>
      <c r="QG27">
        <f>SUMPRODUCT(--('Данные 2st'!$Q$2:$Q$317=$A27),--ISNUMBER('Данные 2st'!$LL$2:$LL$317))</f>
        <v>7</v>
      </c>
      <c r="QH27">
        <f>SUMPRODUCT(--('Данные 2st'!$Q$2:$Q$317=$A27),--ISNUMBER('Данные 2st'!$LM$2:$LM$317))</f>
        <v>7</v>
      </c>
      <c r="QI27">
        <f>SUMPRODUCT(--('Данные 2st'!$Q$2:$Q$317=$A27),--ISNUMBER('Данные 2st'!$LN$2:$LN$317))</f>
        <v>7</v>
      </c>
      <c r="QJ27">
        <f>SUMPRODUCT(--('Данные 2st'!$Q$2:$Q$317=$A27),--ISNUMBER('Данные 2st'!$LO$2:$LO$317))</f>
        <v>7</v>
      </c>
      <c r="QK27">
        <f>SUMPRODUCT(--('Данные 2st'!$Q$2:$Q$317=$A27),--ISNUMBER('Данные 2st'!$LP$2:$LP$317))</f>
        <v>7</v>
      </c>
      <c r="QL27">
        <f>SUMPRODUCT(--('Данные 2st'!$Q$2:$Q$317=$A27),--ISNUMBER('Данные 2st'!$LQ$2:$LQ$317))</f>
        <v>7</v>
      </c>
      <c r="QM27">
        <f>SUMPRODUCT(--('Данные 2st'!$Q$2:$Q$317=$A27),--ISNUMBER('Данные 2st'!$LW$2:$LW$317))</f>
        <v>7</v>
      </c>
      <c r="QN27">
        <f>SUMPRODUCT(--('Данные 2st'!$Q$2:$Q$317=$A27),--ISNUMBER('Данные 2st'!$LX$2:$LX$317))</f>
        <v>7</v>
      </c>
      <c r="QO27">
        <f>SUMPRODUCT(--('Данные 2st'!$Q$2:$Q$317=$A27),--ISNUMBER('Данные 2st'!$LY$2:$LY$317))</f>
        <v>7</v>
      </c>
      <c r="QP27">
        <f>SUMPRODUCT(--('Данные 2st'!$Q$2:$Q$317=$A27),--ISNUMBER('Данные 2st'!$LZ$2:$LZ$317))</f>
        <v>7</v>
      </c>
      <c r="QQ27">
        <f>SUMPRODUCT(--('Данные 2st'!$Q$2:$Q$317=$A27),--ISNUMBER('Данные 2st'!$MB$2:$MB$317))</f>
        <v>7</v>
      </c>
      <c r="QR27">
        <f>SUMPRODUCT(--('Данные 2st'!$Q$2:$Q$317=$A27),--ISNUMBER('Данные 2st'!$MG$2:$MG$317))</f>
        <v>0</v>
      </c>
      <c r="QS27">
        <f>SUMPRODUCT(--('Данные 2st'!$Q$2:$Q$317=$A27),--ISNUMBER('Данные 2st'!$MH$2:$MH$317))</f>
        <v>0</v>
      </c>
      <c r="QT27">
        <f>SUMPRODUCT(--('Данные 2st'!$Q$2:$Q$317=$A27),--ISNUMBER('Данные 2st'!$MI$2:$MI$317))</f>
        <v>7</v>
      </c>
      <c r="QU27">
        <f>SUMPRODUCT(--('Данные 2st'!$Q$2:$Q$317=$A27),--ISNUMBER('Данные 2st'!$MJ$2:$MJ$317))</f>
        <v>7</v>
      </c>
      <c r="QV27">
        <f>SUMPRODUCT(--('Данные 2st'!$Q$2:$Q$317=$A27),--ISNUMBER('Данные 2st'!$MK$2:$MK$317))</f>
        <v>0</v>
      </c>
      <c r="QW27">
        <f>SUMPRODUCT(--('Данные 2st'!$Q$2:$Q$317=$A27),--ISNUMBER('Данные 2st'!$MM$2:$MM$317))</f>
        <v>7</v>
      </c>
      <c r="QX27">
        <f>SUMPRODUCT(--('Данные 2st'!$Q$2:$Q$317=$A27),--ISNUMBER('Данные 2st'!$MQ$2:$MQ$317))</f>
        <v>0</v>
      </c>
      <c r="QY27">
        <f>SUMPRODUCT(--('Данные 2st'!$Q$2:$Q$317=$A27),--ISNUMBER('Данные 2st'!$MR$2:$MR$317))</f>
        <v>0</v>
      </c>
      <c r="QZ27">
        <f>SUMPRODUCT(--('Данные 2st'!$Q$2:$Q$317=$A27),--ISNUMBER('Данные 2st'!$MS$2:$MS$317))</f>
        <v>0</v>
      </c>
      <c r="RA27">
        <f>SUMPRODUCT(--('Данные 2st'!$Q$2:$Q$317=$A27),--ISNUMBER('Данные 2st'!$MT$2:$MT$317))</f>
        <v>0</v>
      </c>
      <c r="RB27">
        <f>SUMPRODUCT(--('Данные 2st'!$Q$2:$Q$317=$A27),--ISNUMBER('Данные 2st'!$MU$2:$MU$317))</f>
        <v>0</v>
      </c>
      <c r="RC27">
        <f>SUMPRODUCT(--('Данные 2st'!$Q$2:$Q$317=$A27),--ISNUMBER('Данные 2st'!$MV$2:$MV$317))</f>
        <v>0</v>
      </c>
      <c r="RD27">
        <f>SUMPRODUCT(--('Данные 2st'!$Q$2:$Q$317=$A27),--ISNUMBER('Данные 2st'!$MW$2:$MW$317))</f>
        <v>0</v>
      </c>
      <c r="RE27">
        <f>SUMPRODUCT(--('Данные 2st'!$Q$2:$Q$317=$A27),--ISNUMBER('Данные 2st'!$MX$2:$MX$317))</f>
        <v>0</v>
      </c>
      <c r="RF27">
        <f>SUMPRODUCT(--('Данные 2st'!$Q$2:$Q$317=$A27),--ISNUMBER('Данные 2st'!$MY$2:$MY$317))</f>
        <v>0</v>
      </c>
      <c r="RG27">
        <f>SUMPRODUCT(--('Данные 2st'!$Q$2:$Q$317=$A27),--ISNUMBER('Данные 2st'!$MZ$2:$MZ$317))</f>
        <v>0</v>
      </c>
      <c r="RH27">
        <f>SUMPRODUCT(--('Данные 2st'!$Q$2:$Q$317=$A27),--ISNUMBER('Данные 2st'!$NA$2:$NA$317))</f>
        <v>0</v>
      </c>
      <c r="RI27">
        <f>SUMPRODUCT(--('Данные 2st'!$Q$2:$Q$317=$A27),--ISNUMBER('Данные 2st'!$NB$2:$NB$317))</f>
        <v>0</v>
      </c>
      <c r="RJ27">
        <f>SUMPRODUCT(--('Данные 2st'!$Q$2:$Q$317=$A27),--ISNUMBER('Данные 2st'!$NC$2:$NC$317))</f>
        <v>0</v>
      </c>
      <c r="RK27">
        <f>SUMPRODUCT(--('Данные 2st'!$Q$2:$Q$317=$A27),--ISNUMBER('Данные 2st'!$ND$2:$ND$317))</f>
        <v>0</v>
      </c>
      <c r="RL27">
        <f>SUMPRODUCT(--('Данные 2st'!$Q$2:$Q$317=$A27),--ISNUMBER('Данные 2st'!$NE$2:$NE$317))</f>
        <v>0</v>
      </c>
      <c r="RM27">
        <f>SUMPRODUCT(--('Данные 2st'!$Q$2:$Q$317=$A27),--ISNUMBER('Данные 2st'!$NF$2:$NF$317))</f>
        <v>0</v>
      </c>
      <c r="RN27">
        <f>SUMPRODUCT(--('Данные 2st'!$Q$2:$Q$317=$A27),--ISNUMBER('Данные 2st'!$NG$2:$NG$317))</f>
        <v>0</v>
      </c>
      <c r="RO27">
        <f>SUMPRODUCT(--('Данные 2st'!$Q$2:$Q$317=$A27),--ISNUMBER('Данные 2st'!$NH$2:$NH$317))</f>
        <v>2</v>
      </c>
      <c r="RP27">
        <f>SUMPRODUCT(--('Данные 2st'!$Q$2:$Q$317=$A27),--ISNUMBER('Данные 2st'!$NJ$2:$NJ$317))</f>
        <v>2</v>
      </c>
      <c r="RQ27">
        <f>SUMPRODUCT(--('Данные 2st'!$Q$2:$Q$317=$A27),--ISNUMBER('Данные 2st'!$NK$2:$NK$317))</f>
        <v>2</v>
      </c>
      <c r="RR27">
        <f>SUMPRODUCT(--('Данные 2st'!$Q$2:$Q$317=$A27),--ISNUMBER('Данные 2st'!$NM$2:$NM$317))</f>
        <v>2</v>
      </c>
      <c r="RS27">
        <f>SUMPRODUCT(--('Данные 2st'!$Q$2:$Q$317=$A27),--ISNUMBER('Данные 2st'!$NN$2:$NN$317))</f>
        <v>0</v>
      </c>
      <c r="RT27">
        <f>SUMPRODUCT(--('Данные 2st'!$Q$2:$Q$317=$A27),--ISNUMBER('Данные 2st'!$NO$2:$NO$317))</f>
        <v>0</v>
      </c>
      <c r="RU27">
        <f>SUMPRODUCT(--('Данные 2st'!$Q$2:$Q$317=$A27),--ISNUMBER('Данные 2st'!$NP$2:$NP$317))</f>
        <v>0</v>
      </c>
      <c r="RV27">
        <f>SUMPRODUCT(--('Данные 2st'!$Q$2:$Q$317=$A27),--ISNUMBER('Данные 2st'!$NQ$2:$NQ$317))</f>
        <v>0</v>
      </c>
      <c r="RW27">
        <f>SUMPRODUCT(--('Данные 2st'!$Q$2:$Q$317=$A27),--ISNUMBER('Данные 2st'!$NR$2:$NR$317))</f>
        <v>0</v>
      </c>
      <c r="RX27">
        <f>SUMPRODUCT(--('Данные 2st'!$Q$2:$Q$317=$A27),--ISNUMBER('Данные 2st'!$NS$2:$NS$317))</f>
        <v>0</v>
      </c>
      <c r="RY27">
        <f>SUMPRODUCT(--('Данные 2st'!$Q$2:$Q$317=$A27),--ISNUMBER('Данные 2st'!$NT$2:$NT$317))</f>
        <v>0</v>
      </c>
      <c r="RZ27">
        <f>SUMPRODUCT(--('Данные 2st'!$Q$2:$Q$317=$A27),--ISNUMBER('Данные 2st'!$OK$2:$OK$317))</f>
        <v>7</v>
      </c>
      <c r="SA27">
        <f>SUMPRODUCT(--('Данные 2st'!$Q$2:$Q$317=$A27),--ISNUMBER('Данные 2st'!$OL$2:$OL$317))</f>
        <v>7</v>
      </c>
      <c r="SB27">
        <f>SUMPRODUCT(--('Данные 2st'!$Q$2:$Q$317=$A27),--ISNUMBER('Данные 2st'!$ON$2:$ON$317))</f>
        <v>7</v>
      </c>
      <c r="SC27">
        <f>SUMPRODUCT(--('Данные 2st'!$Q$2:$Q$317=$A27),--ISNUMBER('Данные 2st'!$OO$2:$OO$317))</f>
        <v>7</v>
      </c>
      <c r="SD27">
        <f>SUMPRODUCT(--('Данные 2st'!$Q$2:$Q$317=$A27),--ISNUMBER('Данные 2st'!$OP$2:$OP$317))</f>
        <v>7</v>
      </c>
      <c r="SE27">
        <f>SUMPRODUCT(--('Данные 2st'!$Q$2:$Q$317=$A27),--ISNUMBER('Данные 2st'!$OQ$2:$OQ$317))</f>
        <v>7</v>
      </c>
      <c r="SF27">
        <f>SUMPRODUCT(--('Данные 2st'!$Q$2:$Q$317=$A27),--ISNUMBER('Данные 2st'!$OS$2:$OS$317))</f>
        <v>7</v>
      </c>
      <c r="SG27">
        <f>SUMPRODUCT(--('Данные 2st'!$Q$2:$Q$317=$A27),--ISNUMBER('Данные 2st'!$OT$2:$OT$317))</f>
        <v>7</v>
      </c>
      <c r="SH27">
        <f>SUMPRODUCT(--('Данные 2st'!$Q$2:$Q$317=$A27),--ISNUMBER('Данные 2st'!$OU$2:$OU$317))</f>
        <v>7</v>
      </c>
      <c r="SI27">
        <f>SUMPRODUCT(--('Данные 2st'!$Q$2:$Q$317=$A27),--ISNUMBER('Данные 2st'!$OV$2:$OV$317))</f>
        <v>7</v>
      </c>
      <c r="SJ27">
        <f>SUMPRODUCT(--('Данные 2st'!$Q$2:$Q$317=$A27),--ISNUMBER('Данные 2st'!$OX$2:$OX$317))</f>
        <v>7</v>
      </c>
      <c r="SK27">
        <f>SUMPRODUCT(--('Данные 2st'!$Q$2:$Q$317=$A27),--ISNUMBER('Данные 2st'!$OY$2:$OY$317))</f>
        <v>7</v>
      </c>
      <c r="SL27">
        <f>SUMPRODUCT(--('Данные 2st'!$Q$2:$Q$317=$A27),--ISNUMBER('Данные 2st'!$OZ$2:$OZ$317))</f>
        <v>7</v>
      </c>
      <c r="SM27">
        <f>SUMPRODUCT(--('Данные 2st'!$Q$2:$Q$317=$A27),--ISNUMBER('Данные 2st'!$PA$2:$PA$317))</f>
        <v>7</v>
      </c>
      <c r="SN27">
        <f>SUMPRODUCT(--('Данные 2st'!$Q$2:$Q$317=$A27),--ISNUMBER('Данные 2st'!$PC$2:$PC$317))</f>
        <v>7</v>
      </c>
      <c r="SO27">
        <f>SUMPRODUCT(--('Данные 2st'!$Q$2:$Q$317=$A27),--ISNUMBER('Данные 2st'!$PD$2:$PD$317))</f>
        <v>7</v>
      </c>
      <c r="SP27">
        <f>SUMPRODUCT(--('Данные 2st'!$Q$2:$Q$317=$A27),--ISNUMBER('Данные 2st'!$PF$2:$PF$317))</f>
        <v>7</v>
      </c>
      <c r="SQ27">
        <f>SUMPRODUCT(--('Данные 2st'!$Q$2:$Q$317=$A27),--ISNUMBER('Данные 2st'!$PG$2:$PG$317))</f>
        <v>7</v>
      </c>
      <c r="SR27">
        <f>SUMPRODUCT(--('Данные 2st'!$Q$2:$Q$317=$A27),--ISNUMBER('Данные 2st'!$PH$2:$PH$317))</f>
        <v>7</v>
      </c>
      <c r="SS27">
        <f>SUMPRODUCT(--('Данные 2st'!$Q$2:$Q$317=$A27),--ISNUMBER('Данные 2st'!$PI$2:$PI$317))</f>
        <v>7</v>
      </c>
      <c r="ST27">
        <f>SUMPRODUCT(--('Данные 2st'!$Q$2:$Q$317=$A27),--ISNUMBER('Данные 2st'!$PJ$2:$PJ$317))</f>
        <v>7</v>
      </c>
      <c r="SU27">
        <f>SUMPRODUCT(--('Данные 2st'!$Q$2:$Q$317=$A27),--ISNUMBER('Данные 2st'!$PK$2:$PK$317))</f>
        <v>6</v>
      </c>
      <c r="SV27">
        <f>SUMPRODUCT(--('Данные 2st'!$Q$2:$Q$317=$A27),--ISNUMBER('Данные 2st'!$PL$2:$PL$317))</f>
        <v>7</v>
      </c>
      <c r="SW27">
        <f>SUMPRODUCT(--('Данные 2st'!$Q$2:$Q$317=$A27),--ISNUMBER('Данные 2st'!$PM$2:$PM$317))</f>
        <v>7</v>
      </c>
      <c r="SX27">
        <f>SUMPRODUCT(--('Данные 2st'!$Q$2:$Q$317=$A27),--ISNUMBER('Данные 2st'!$PN$2:$PN$317))</f>
        <v>7</v>
      </c>
      <c r="SY27">
        <f>SUMPRODUCT(--('Данные 2st'!$Q$2:$Q$317=$A27),--ISNUMBER('Данные 2st'!$PO$2:$PO$317))</f>
        <v>5</v>
      </c>
      <c r="SZ27">
        <f>SUMPRODUCT(--('Данные 2st'!$Q$2:$Q$317=$A27),--ISNUMBER('Данные 2st'!$PP$2:$PP$317))</f>
        <v>7</v>
      </c>
      <c r="TA27">
        <f>SUMPRODUCT(--('Данные 2st'!$Q$2:$Q$317=$A27),--ISNUMBER('Данные 2st'!$PQ$2:$PQ$317))</f>
        <v>7</v>
      </c>
      <c r="TB27">
        <f>SUMPRODUCT(--('Данные 2st'!$Q$2:$Q$317=$A27),--ISNUMBER('Данные 2st'!$PR$2:$PR$317))</f>
        <v>7</v>
      </c>
      <c r="TC27">
        <f>SUMPRODUCT(--('Данные 2st'!$Q$2:$Q$317=$A27),--ISNUMBER('Данные 2st'!$PS$2:$PS$317))</f>
        <v>7</v>
      </c>
      <c r="TD27">
        <f>SUMPRODUCT(--('Данные 2st'!$Q$2:$Q$317=$A27),--ISNUMBER('Данные 2st'!$PT$2:$PT$317))</f>
        <v>7</v>
      </c>
      <c r="TE27">
        <f>SUMPRODUCT(--('Данные 2st'!$Q$2:$Q$317=$A27),--ISNUMBER('Данные 2st'!$PU$2:$PU$317))</f>
        <v>7</v>
      </c>
      <c r="TF27">
        <f>SUMPRODUCT(--('Данные 2st'!$Q$2:$Q$317=$A27),--ISNUMBER('Данные 2st'!$PX$2:$PX$317))</f>
        <v>7</v>
      </c>
      <c r="TG27">
        <f>SUMPRODUCT(--('Данные 2st'!$Q$2:$Q$317=$A27),--ISNUMBER('Данные 2st'!$PY$2:$PY$317))</f>
        <v>7</v>
      </c>
      <c r="TH27">
        <f>SUMPRODUCT(--('Данные 2st'!$Q$2:$Q$317=$A27),--ISNUMBER('Данные 2st'!$PZ$2:$PZ$317))</f>
        <v>7</v>
      </c>
      <c r="TI27">
        <f>SUMPRODUCT(--('Данные 2st'!$Q$2:$Q$317=$A27),--ISNUMBER('Данные 2st'!$QA$2:$QA$317))</f>
        <v>7</v>
      </c>
      <c r="TJ27">
        <f>SUMPRODUCT(--('Данные 2st'!$Q$2:$Q$317=$A27),--ISNUMBER('Данные 2st'!$QB$2:$QB$317))</f>
        <v>7</v>
      </c>
      <c r="TK27">
        <f>SUMPRODUCT(--('Данные 2st'!$Q$2:$Q$317=$A27),--ISNUMBER('Данные 2st'!$QC$2:$QC$317))</f>
        <v>7</v>
      </c>
      <c r="TL27">
        <f>SUMPRODUCT(--('Данные 2st'!$Q$2:$Q$317=$A27),--ISNUMBER('Данные 2st'!$QD$2:$QD$317))</f>
        <v>7</v>
      </c>
      <c r="TM27">
        <f>SUMPRODUCT(--('Данные 2st'!$Q$2:$Q$317=$A27),--ISNUMBER('Данные 2st'!$QE$2:$QE$317))</f>
        <v>7</v>
      </c>
      <c r="TN27">
        <f>SUMPRODUCT(--('Данные 2st'!$Q$2:$Q$317=$A27),--ISNUMBER('Данные 2st'!$QF$2:$QF$317))</f>
        <v>7</v>
      </c>
      <c r="TO27">
        <f>SUMPRODUCT(--('Данные 2st'!$Q$2:$Q$317=$A27),--ISNUMBER('Данные 2st'!$QG$2:$QG$317))</f>
        <v>7</v>
      </c>
      <c r="TP27">
        <f>SUMPRODUCT(--('Данные 2st'!$Q$2:$Q$317=$A27),--ISNUMBER('Данные 2st'!$QH$2:$QH$317))</f>
        <v>7</v>
      </c>
      <c r="TQ27">
        <f>SUMPRODUCT(--('Данные 2st'!$Q$2:$Q$317=$A27),--ISNUMBER('Данные 2st'!$QI$2:$QI$317))</f>
        <v>7</v>
      </c>
      <c r="TR27">
        <f>SUMPRODUCT(--('Данные 2st'!$Q$2:$Q$317=$A27),--ISNUMBER('Данные 2st'!$QJ$2:$QJ$317))</f>
        <v>7</v>
      </c>
      <c r="TS27">
        <f>SUMPRODUCT(--('Данные 2st'!$Q$2:$Q$317=$A27),--ISNUMBER('Данные 2st'!$QK$2:$QK$317))</f>
        <v>7</v>
      </c>
      <c r="TT27">
        <f>SUMPRODUCT(--('Данные 2st'!$Q$2:$Q$317=$A27),--ISNUMBER('Данные 2st'!$QL$2:$QL$317))</f>
        <v>7</v>
      </c>
      <c r="TU27">
        <f>SUMPRODUCT(--('Данные 2st'!$Q$2:$Q$317=$A27),--ISNUMBER('Данные 2st'!$QM$2:$QM$317))</f>
        <v>7</v>
      </c>
      <c r="TV27">
        <f>SUMPRODUCT(--('Данные 2st'!$Q$2:$Q$317=$A27),--ISNUMBER('Данные 2st'!$QN$2:$QN$317))</f>
        <v>7</v>
      </c>
      <c r="TW27">
        <f>SUMPRODUCT(--('Данные 2st'!$Q$2:$Q$317=$A27),--ISNUMBER('Данные 2st'!$QQ$2:$QQ$317))</f>
        <v>7</v>
      </c>
      <c r="TX27">
        <f>SUMPRODUCT(--('Данные 2st'!$Q$2:$Q$317=$A27),--ISNUMBER('Данные 2st'!$QS$2:$QS$317))</f>
        <v>7</v>
      </c>
      <c r="TY27">
        <f>SUMPRODUCT(--('Данные 2st'!$Q$2:$Q$317=$A27),--ISNUMBER('Данные 2st'!$QT$2:$QT$317))</f>
        <v>7</v>
      </c>
    </row>
    <row r="28" spans="1:545" ht="32" customHeight="1">
      <c r="A28" s="11" t="str">
        <f>'По размерам'!A28</f>
        <v>215/65R17</v>
      </c>
      <c r="G28">
        <f>SUMPRODUCT(--('Данные 1st'!$S$2:$S$317=$A28),--ISNUMBER('Данные 1st'!$AE$2:$AE$317))</f>
        <v>3</v>
      </c>
      <c r="H28">
        <f>SUMPRODUCT(--('Данные 1st'!$S$2:$S$317=$A28),--ISNUMBER('Данные 1st'!$AF$2:$AF$317))</f>
        <v>3</v>
      </c>
      <c r="I28">
        <f>SUMPRODUCT(--('Данные 1st'!$S$2:$S$317=$A28),--ISNUMBER('Данные 1st'!$AJ$2:$AJ$317))</f>
        <v>3</v>
      </c>
      <c r="J28">
        <f>SUMPRODUCT(--('Данные 1st'!$S$2:$S$317=$A28),--ISNUMBER('Данные 1st'!$AL$2:$AL$317))</f>
        <v>3</v>
      </c>
      <c r="K28">
        <f>SUMPRODUCT(--('Данные 1st'!$S$2:$S$317=$A28),--ISNUMBER('Данные 1st'!$AR$2:$AR$317))</f>
        <v>3</v>
      </c>
      <c r="L28">
        <f>SUMPRODUCT(--('Данные 1st'!$S$2:$S$317=$A28),--ISNUMBER('Данные 1st'!$AS$2:$AS$317))</f>
        <v>3</v>
      </c>
      <c r="M28">
        <f>SUMPRODUCT(--('Данные 1st'!$S$2:$S$317=$A28),--ISNUMBER('Данные 1st'!$AY$2:$AY$317))</f>
        <v>3</v>
      </c>
      <c r="N28">
        <f>SUMPRODUCT(--('Данные 1st'!$S$2:$S$317=$A28),--ISNUMBER('Данные 1st'!$AZ$2:$AZ$317))</f>
        <v>3</v>
      </c>
      <c r="O28">
        <f>SUMPRODUCT(--('Данные 1st'!$S$2:$S$317=$A28),--ISNUMBER('Данные 1st'!$BF$2:$BF$317))</f>
        <v>2</v>
      </c>
      <c r="P28">
        <f>SUMPRODUCT(--('Данные 1st'!$S$2:$S$317=$A28),--ISNUMBER('Данные 1st'!$BG$2:$BG$317))</f>
        <v>3</v>
      </c>
      <c r="Q28">
        <f>SUMPRODUCT(--('Данные 1st'!$S$2:$S$317=$A28),--ISNUMBER('Данные 1st'!$BM$2:$BM$317))</f>
        <v>0</v>
      </c>
      <c r="R28">
        <f>SUMPRODUCT(--('Данные 1st'!$S$2:$S$317=$A28),--ISNUMBER('Данные 1st'!$BN$2:$BN$317))</f>
        <v>3</v>
      </c>
      <c r="S28">
        <f>SUMPRODUCT(--('Данные 1st'!$S$2:$S$317=$A28),--ISNUMBER('Данные 1st'!$BT$2:$BT$317))</f>
        <v>3</v>
      </c>
      <c r="T28">
        <f>SUMPRODUCT(--('Данные 1st'!$S$2:$S$317=$A28),--ISNUMBER('Данные 1st'!$BU$2:$BU$317))</f>
        <v>3</v>
      </c>
      <c r="U28">
        <f>SUMPRODUCT(--('Данные 1st'!$S$2:$S$317=$A28),--ISNUMBER('Данные 1st'!$BW$2:$BW$317))</f>
        <v>3</v>
      </c>
      <c r="V28">
        <f>SUMPRODUCT(--('Данные 1st'!$S$2:$S$317=$A28),--ISNUMBER('Данные 1st'!$BX$2:$BX$317))</f>
        <v>3</v>
      </c>
      <c r="W28">
        <f>SUMPRODUCT(--('Данные 1st'!$S$2:$S$317=$A28),--ISNUMBER('Данные 1st'!$BZ$2:$BZ$317))</f>
        <v>3</v>
      </c>
      <c r="X28">
        <f>SUMPRODUCT(--('Данные 1st'!$S$2:$S$317=$A28),--ISNUMBER('Данные 1st'!$CA$2:$CA$317))</f>
        <v>3</v>
      </c>
      <c r="Y28">
        <f>SUMPRODUCT(--('Данные 1st'!$S$2:$S$317=$A28),--ISNUMBER('Данные 1st'!$CD$2:$CD$317))</f>
        <v>3</v>
      </c>
      <c r="Z28">
        <f>SUMPRODUCT(--('Данные 1st'!$S$2:$S$317=$A28),--ISNUMBER('Данные 1st'!$CF$2:$CF$317))</f>
        <v>3</v>
      </c>
      <c r="AA28">
        <f>SUMPRODUCT(--('Данные 1st'!$S$2:$S$317=$A28),--ISNUMBER('Данные 1st'!$CI$2:$CI$317))</f>
        <v>3</v>
      </c>
      <c r="AB28">
        <f>SUMPRODUCT(--('Данные 1st'!$S$2:$S$317=$A28),--ISNUMBER('Данные 1st'!$CJ$2:$CJ$317))</f>
        <v>3</v>
      </c>
      <c r="AC28">
        <f>SUMPRODUCT(--('Данные 1st'!$S$2:$S$317=$A28),--ISNUMBER('Данные 1st'!$CK$2:$CK$317))</f>
        <v>3</v>
      </c>
      <c r="AD28">
        <f>SUMPRODUCT(--('Данные 1st'!$S$2:$S$317=$A28),--ISNUMBER('Данные 1st'!$CL$2:$CL$317))</f>
        <v>3</v>
      </c>
      <c r="AE28">
        <f>SUMPRODUCT(--('Данные 1st'!$S$2:$S$317=$A28),--ISNUMBER('Данные 1st'!$CM$2:$CM$317))</f>
        <v>3</v>
      </c>
      <c r="AF28">
        <f>SUMPRODUCT(--('Данные 1st'!$S$2:$S$317=$A28),--ISNUMBER('Данные 1st'!$CT$2:$CT$317))</f>
        <v>3</v>
      </c>
      <c r="AG28">
        <f>SUMPRODUCT(--('Данные 1st'!$S$2:$S$317=$A28),--ISNUMBER('Данные 1st'!$CU$2:$CU$317))</f>
        <v>3</v>
      </c>
      <c r="AH28">
        <f>SUMPRODUCT(--('Данные 1st'!$S$2:$S$317=$A28),--ISNUMBER('Данные 1st'!$CV$2:$CV$317))</f>
        <v>3</v>
      </c>
      <c r="AI28">
        <f>SUMPRODUCT(--('Данные 1st'!$S$2:$S$317=$A28),--ISNUMBER('Данные 1st'!$CW$2:$CW$317))</f>
        <v>3</v>
      </c>
      <c r="AJ28">
        <f>SUMPRODUCT(--('Данные 1st'!$S$2:$S$317=$A28),--ISNUMBER('Данные 1st'!$CX$2:$CX$317))</f>
        <v>3</v>
      </c>
      <c r="AK28">
        <f>SUMPRODUCT(--('Данные 1st'!$S$2:$S$317=$A28),--ISNUMBER('Данные 1st'!$CZ$2:$CZ$317))</f>
        <v>0</v>
      </c>
      <c r="AL28">
        <f>SUMPRODUCT(--('Данные 1st'!$S$2:$S$317=$A28),--ISNUMBER('Данные 1st'!$DA$2:$DA$317))</f>
        <v>0</v>
      </c>
      <c r="AM28">
        <f>SUMPRODUCT(--('Данные 1st'!$S$2:$S$317=$A28),--ISNUMBER('Данные 1st'!$DB$2:$DB$317))</f>
        <v>0</v>
      </c>
      <c r="AN28">
        <f>SUMPRODUCT(--('Данные 1st'!$S$2:$S$317=$A28),--ISNUMBER('Данные 1st'!$DC$2:$DC$317))</f>
        <v>0</v>
      </c>
      <c r="AO28">
        <f>SUMPRODUCT(--('Данные 1st'!$S$2:$S$317=$A28),--ISNUMBER('Данные 1st'!$DD$2:$DD$317))</f>
        <v>3</v>
      </c>
      <c r="AP28">
        <f>SUMPRODUCT(--('Данные 1st'!$S$2:$S$317=$A28),--ISNUMBER('Данные 1st'!$DF$2:$DF$317))</f>
        <v>3</v>
      </c>
      <c r="AQ28">
        <f>SUMPRODUCT(--('Данные 1st'!$S$2:$S$317=$A28),--ISNUMBER('Данные 1st'!$DG$2:$DG$317))</f>
        <v>3</v>
      </c>
      <c r="AR28">
        <f>SUMPRODUCT(--('Данные 1st'!$S$2:$S$317=$A28),--ISNUMBER('Данные 1st'!$DH$2:$DH$317))</f>
        <v>3</v>
      </c>
      <c r="AS28">
        <f>SUMPRODUCT(--('Данные 1st'!$S$2:$S$317=$A28),--ISNUMBER('Данные 1st'!$DI$2:$DI$317))</f>
        <v>3</v>
      </c>
      <c r="AT28">
        <f>SUMPRODUCT(--('Данные 1st'!$S$2:$S$317=$A28),--ISNUMBER('Данные 1st'!$DJ$2:$DJ$317))</f>
        <v>3</v>
      </c>
      <c r="AU28">
        <f>SUMPRODUCT(--('Данные 1st'!$S$2:$S$317=$A28),--ISNUMBER('Данные 1st'!$DL$2:$DL$317))</f>
        <v>2</v>
      </c>
      <c r="AV28">
        <f>SUMPRODUCT(--('Данные 1st'!$S$2:$S$317=$A28),--ISNUMBER('Данные 1st'!$DM$2:$DM$317))</f>
        <v>2</v>
      </c>
      <c r="AW28">
        <f>SUMPRODUCT(--('Данные 1st'!$S$2:$S$317=$A28),--ISNUMBER('Данные 1st'!$DN$2:$DN$317))</f>
        <v>2</v>
      </c>
      <c r="AX28">
        <f>SUMPRODUCT(--('Данные 1st'!$S$2:$S$317=$A28),--ISNUMBER('Данные 1st'!$DO$2:$DO$317))</f>
        <v>2</v>
      </c>
      <c r="AY28">
        <f>SUMPRODUCT(--('Данные 1st'!$S$2:$S$317=$A28),--ISNUMBER('Данные 1st'!$DP$2:$DP$317))</f>
        <v>2</v>
      </c>
      <c r="AZ28">
        <f>SUMPRODUCT(--('Данные 1st'!$S$2:$S$317=$A28),--ISNUMBER('Данные 1st'!$DR$2:$DR$317))</f>
        <v>0</v>
      </c>
      <c r="BA28">
        <f>SUMPRODUCT(--('Данные 1st'!$S$2:$S$317=$A28),--ISNUMBER('Данные 1st'!$DS$2:$DS$317))</f>
        <v>0</v>
      </c>
      <c r="BB28">
        <f>SUMPRODUCT(--('Данные 1st'!$S$2:$S$317=$A28),--ISNUMBER('Данные 1st'!$DT$2:$DT$317))</f>
        <v>0</v>
      </c>
      <c r="BC28">
        <f>SUMPRODUCT(--('Данные 1st'!$S$2:$S$317=$A28),--ISNUMBER('Данные 1st'!$DU$2:$DU$317))</f>
        <v>0</v>
      </c>
      <c r="BD28">
        <f>SUMPRODUCT(--('Данные 1st'!$S$2:$S$317=$A28),--ISNUMBER('Данные 1st'!$DV$2:$DV$317))</f>
        <v>0</v>
      </c>
      <c r="BE28">
        <f>SUMPRODUCT(--('Данные 1st'!$S$2:$S$317=$A28),--ISNUMBER('Данные 1st'!$DX$2:$DX$317))</f>
        <v>3</v>
      </c>
      <c r="BF28">
        <f>SUMPRODUCT(--('Данные 1st'!$S$2:$S$317=$A28),--ISNUMBER('Данные 1st'!$EA$2:$EA$317))</f>
        <v>3</v>
      </c>
      <c r="BG28">
        <f>SUMPRODUCT(--('Данные 1st'!$S$2:$S$317=$A28),--ISNUMBER('Данные 1st'!$EB$2:$EB$317))</f>
        <v>3</v>
      </c>
      <c r="BH28">
        <f>SUMPRODUCT(--('Данные 1st'!$S$2:$S$317=$A28),--ISNUMBER('Данные 1st'!$ED$2:$ED$317))</f>
        <v>3</v>
      </c>
      <c r="BI28">
        <f>SUMPRODUCT(--('Данные 1st'!$S$2:$S$317=$A28),--ISNUMBER('Данные 1st'!$EE$2:$EE$317))</f>
        <v>3</v>
      </c>
      <c r="BJ28">
        <f>SUMPRODUCT(--('Данные 1st'!$S$2:$S$317=$A28),--ISNUMBER('Данные 1st'!$EG$2:$EG$317))</f>
        <v>3</v>
      </c>
      <c r="BK28">
        <f>SUMPRODUCT(--('Данные 1st'!$S$2:$S$317=$A28),--ISNUMBER('Данные 1st'!$EH$2:$EH$317))</f>
        <v>3</v>
      </c>
      <c r="BL28">
        <f>SUMPRODUCT(--('Данные 1st'!$S$2:$S$317=$A28),--ISNUMBER('Данные 1st'!$EJ$2:$EJ$317))</f>
        <v>3</v>
      </c>
      <c r="BM28">
        <f>SUMPRODUCT(--('Данные 1st'!$S$2:$S$317=$A28),--ISNUMBER('Данные 1st'!$EK$2:$EK$317))</f>
        <v>3</v>
      </c>
      <c r="BN28">
        <f>SUMPRODUCT(--('Данные 1st'!$S$2:$S$317=$A28),--ISNUMBER('Данные 1st'!$EN$2:$EN$317))</f>
        <v>3</v>
      </c>
      <c r="BO28">
        <f>SUMPRODUCT(--('Данные 1st'!$S$2:$S$317=$A28),--ISNUMBER('Данные 1st'!$EQ$2:$EQ$317))</f>
        <v>3</v>
      </c>
      <c r="BP28">
        <f>SUMPRODUCT(--('Данные 1st'!$S$2:$S$317=$A28),--ISNUMBER('Данные 1st'!$ER$2:$ER$317))</f>
        <v>3</v>
      </c>
      <c r="BQ28">
        <f>SUMPRODUCT(--('Данные 1st'!$S$2:$S$317=$A28),--ISNUMBER('Данные 1st'!$ES$2:$ES$317))</f>
        <v>3</v>
      </c>
      <c r="BR28">
        <f>SUMPRODUCT(--('Данные 1st'!$S$2:$S$317=$A28),--ISNUMBER('Данные 1st'!$ET$2:$ET$317))</f>
        <v>3</v>
      </c>
      <c r="BS28">
        <f>SUMPRODUCT(--('Данные 1st'!$S$2:$S$317=$A28),--ISNUMBER('Данные 1st'!$EU$2:$EU$317))</f>
        <v>3</v>
      </c>
      <c r="BT28">
        <f>SUMPRODUCT(--('Данные 1st'!$S$2:$S$317=$A28),--ISNUMBER('Данные 1st'!$EV$2:$EV$317))</f>
        <v>3</v>
      </c>
      <c r="BU28">
        <f>SUMPRODUCT(--('Данные 1st'!$S$2:$S$317=$A28),--ISNUMBER('Данные 1st'!$EX$2:$EX$317))</f>
        <v>3</v>
      </c>
      <c r="BV28">
        <f>SUMPRODUCT(--('Данные 1st'!$S$2:$S$317=$A28),--ISNUMBER('Данные 1st'!$EY$2:$EY$317))</f>
        <v>3</v>
      </c>
      <c r="BW28">
        <f>SUMPRODUCT(--('Данные 1st'!$S$2:$S$317=$A28),--ISNUMBER('Данные 1st'!$EZ$2:$EZ$317))</f>
        <v>3</v>
      </c>
      <c r="BX28">
        <f>SUMPRODUCT(--('Данные 1st'!$S$2:$S$317=$A28),--ISNUMBER('Данные 1st'!$FA$2:$FA$317))</f>
        <v>3</v>
      </c>
      <c r="BY28">
        <f>SUMPRODUCT(--('Данные 1st'!$S$2:$S$317=$A28),--ISNUMBER('Данные 1st'!$FB$2:$FB$317))</f>
        <v>3</v>
      </c>
      <c r="BZ28">
        <f>SUMPRODUCT(--('Данные 1st'!$S$2:$S$317=$A28),--ISNUMBER('Данные 1st'!$FC$2:$FC$317))</f>
        <v>3</v>
      </c>
      <c r="CA28">
        <f>SUMPRODUCT(--('Данные 1st'!$S$2:$S$317=$A28),--ISNUMBER('Данные 1st'!$FE$2:$FE$317))</f>
        <v>3</v>
      </c>
      <c r="CB28">
        <f>SUMPRODUCT(--('Данные 1st'!$S$2:$S$317=$A28),--ISNUMBER('Данные 1st'!$FF$2:$FF$317))</f>
        <v>3</v>
      </c>
      <c r="CC28">
        <f>SUMPRODUCT(--('Данные 1st'!$S$2:$S$317=$A28),--ISNUMBER('Данные 1st'!$FI$2:$FI$317))</f>
        <v>3</v>
      </c>
      <c r="CD28">
        <f>SUMPRODUCT(--('Данные 1st'!$S$2:$S$317=$A28),--ISNUMBER('Данные 1st'!$FL$2:$FL$317))</f>
        <v>3</v>
      </c>
      <c r="CE28">
        <f>SUMPRODUCT(--('Данные 1st'!$S$2:$S$317=$A28),--ISNUMBER('Данные 1st'!$FM$2:$FM$317))</f>
        <v>3</v>
      </c>
      <c r="CF28">
        <f>SUMPRODUCT(--('Данные 1st'!$S$2:$S$317=$A28),--ISNUMBER('Данные 1st'!$FN$2:$FN$317))</f>
        <v>3</v>
      </c>
      <c r="CG28">
        <f>SUMPRODUCT(--('Данные 1st'!$S$2:$S$317=$A28),--ISNUMBER('Данные 1st'!$FO$2:$FO$317))</f>
        <v>1</v>
      </c>
      <c r="CH28">
        <f>SUMPRODUCT(--('Данные 1st'!$S$2:$S$317=$A28),--ISNUMBER('Данные 1st'!$FP$2:$FP$317))</f>
        <v>1</v>
      </c>
      <c r="CI28">
        <f>SUMPRODUCT(--('Данные 1st'!$S$2:$S$317=$A28),--ISNUMBER('Данные 1st'!$FS$2:$FS$317))</f>
        <v>1</v>
      </c>
      <c r="CJ28">
        <f>SUMPRODUCT(--('Данные 1st'!$S$2:$S$317=$A28),--ISNUMBER('Данные 1st'!$FT$2:$FT$317))</f>
        <v>1</v>
      </c>
      <c r="CK28">
        <f>SUMPRODUCT(--('Данные 1st'!$S$2:$S$317=$A28),--ISNUMBER('Данные 1st'!$FU$2:$FU$317))</f>
        <v>1</v>
      </c>
      <c r="CL28">
        <f>SUMPRODUCT(--('Данные 1st'!$S$2:$S$317=$A28),--ISNUMBER('Данные 1st'!$FV$2:$FV$317))</f>
        <v>1</v>
      </c>
      <c r="CM28">
        <f>SUMPRODUCT(--('Данные 1st'!$S$2:$S$317=$A28),--ISNUMBER('Данные 1st'!$FW$2:$FW$317))</f>
        <v>1</v>
      </c>
      <c r="CN28">
        <f>SUMPRODUCT(--('Данные 1st'!$S$2:$S$317=$A28),--ISNUMBER('Данные 1st'!$FZ$2:$FZ$317))</f>
        <v>0</v>
      </c>
      <c r="CO28">
        <f>SUMPRODUCT(--('Данные 1st'!$S$2:$S$317=$A28),--ISNUMBER('Данные 1st'!$GA$2:$GA$317))</f>
        <v>0</v>
      </c>
      <c r="CP28">
        <f>SUMPRODUCT(--('Данные 1st'!$S$2:$S$317=$A28),--ISNUMBER('Данные 1st'!$GB$2:$GB$317))</f>
        <v>0</v>
      </c>
      <c r="CQ28">
        <f>SUMPRODUCT(--('Данные 1st'!$S$2:$S$317=$A28),--ISNUMBER('Данные 1st'!$GH$2:$GH$317))</f>
        <v>0</v>
      </c>
      <c r="CR28">
        <f>SUMPRODUCT(--('Данные 1st'!$S$2:$S$317=$A28),--ISNUMBER('Данные 1st'!$GI$2:$GI$317))</f>
        <v>0</v>
      </c>
      <c r="CS28">
        <f>SUMPRODUCT(--('Данные 1st'!$S$2:$S$317=$A28),--ISNUMBER('Данные 1st'!$GJ$2:$GJ$317))</f>
        <v>0</v>
      </c>
      <c r="CT28">
        <f>SUMPRODUCT(--('Данные 1st'!$S$2:$S$317=$A28),--ISNUMBER('Данные 1st'!$GS$2:$GS$317))</f>
        <v>2</v>
      </c>
      <c r="CU28">
        <f>SUMPRODUCT(--('Данные 1st'!$S$2:$S$317=$A28),--ISNUMBER('Данные 1st'!$GT$2:$GT$317))</f>
        <v>2</v>
      </c>
      <c r="CV28">
        <f>SUMPRODUCT(--('Данные 1st'!$S$2:$S$317=$A28),--ISNUMBER('Данные 1st'!$GU$2:$GU$317))</f>
        <v>2</v>
      </c>
      <c r="CW28">
        <f>SUMPRODUCT(--('Данные 1st'!$S$2:$S$317=$A28),--ISNUMBER('Данные 1st'!$GV$2:$GV$317))</f>
        <v>1</v>
      </c>
      <c r="CX28">
        <f>SUMPRODUCT(--('Данные 1st'!$S$2:$S$317=$A28),--ISNUMBER('Данные 1st'!$GW$2:$GW$317))</f>
        <v>1</v>
      </c>
      <c r="CY28">
        <f>SUMPRODUCT(--('Данные 1st'!$S$2:$S$317=$A28),--ISNUMBER('Данные 1st'!$GZ$2:$GZ$317))</f>
        <v>0</v>
      </c>
      <c r="CZ28">
        <f>SUMPRODUCT(--('Данные 1st'!$S$2:$S$317=$A28),--ISNUMBER('Данные 1st'!$HA$2:$HA$317))</f>
        <v>0</v>
      </c>
      <c r="DA28">
        <f>SUMPRODUCT(--('Данные 1st'!$S$2:$S$317=$A28),--ISNUMBER('Данные 1st'!$HB$2:$HB$317))</f>
        <v>0</v>
      </c>
      <c r="DB28">
        <f>SUMPRODUCT(--('Данные 1st'!$S$2:$S$317=$A28),--ISNUMBER('Данные 1st'!$HC$2:$HC$317))</f>
        <v>3</v>
      </c>
      <c r="DC28">
        <f>SUMPRODUCT(--('Данные 1st'!$S$2:$S$317=$A28),--ISNUMBER('Данные 1st'!$HD$2:$HD$317))</f>
        <v>3</v>
      </c>
      <c r="DD28">
        <f>SUMPRODUCT(--('Данные 1st'!$S$2:$S$317=$A28),--ISNUMBER('Данные 1st'!$HE$2:$HE$317))</f>
        <v>3</v>
      </c>
      <c r="DE28">
        <f>SUMPRODUCT(--('Данные 1st'!$S$2:$S$317=$A28),--ISNUMBER('Данные 1st'!$HF$2:$HF$317))</f>
        <v>3</v>
      </c>
      <c r="DF28">
        <f>SUMPRODUCT(--('Данные 1st'!$S$2:$S$317=$A28),--ISNUMBER('Данные 1st'!$HG$2:$HG$317))</f>
        <v>3</v>
      </c>
      <c r="DG28">
        <f>SUMPRODUCT(--('Данные 1st'!$S$2:$S$317=$A28),--ISNUMBER('Данные 1st'!$HH$2:$HH$317))</f>
        <v>3</v>
      </c>
      <c r="DH28">
        <f>SUMPRODUCT(--('Данные 1st'!$S$2:$S$317=$A28),--ISNUMBER('Данные 1st'!$HI$2:$HI$317))</f>
        <v>3</v>
      </c>
      <c r="DI28">
        <f>SUMPRODUCT(--('Данные 1st'!$S$2:$S$317=$A28),--ISNUMBER('Данные 1st'!$HJ$2:$HJ$317))</f>
        <v>3</v>
      </c>
      <c r="DJ28">
        <f>SUMPRODUCT(--('Данные 1st'!$S$2:$S$317=$A28),--ISNUMBER('Данные 1st'!$HK$2:$HK$317))</f>
        <v>3</v>
      </c>
      <c r="DK28">
        <f>SUMPRODUCT(--('Данные 1st'!$S$2:$S$317=$A28),--ISNUMBER('Данные 1st'!$HL$2:$HL$317))</f>
        <v>3</v>
      </c>
      <c r="DL28">
        <f>SUMPRODUCT(--('Данные 1st'!$S$2:$S$317=$A28),--ISNUMBER('Данные 1st'!$HM$2:$HM$317))</f>
        <v>3</v>
      </c>
      <c r="DM28">
        <f>SUMPRODUCT(--('Данные 1st'!$S$2:$S$317=$A28),--ISNUMBER('Данные 1st'!$HN$2:$HN$317))</f>
        <v>3</v>
      </c>
      <c r="DN28">
        <f>SUMPRODUCT(--('Данные 1st'!$S$2:$S$317=$A28),--ISNUMBER('Данные 1st'!$HO$2:$HO$317))</f>
        <v>3</v>
      </c>
      <c r="DO28">
        <f>SUMPRODUCT(--('Данные 1st'!$S$2:$S$317=$A28),--ISNUMBER('Данные 1st'!$HP$2:$HP$317))</f>
        <v>3</v>
      </c>
      <c r="DP28">
        <f>SUMPRODUCT(--('Данные 1st'!$S$2:$S$317=$A28),--ISNUMBER('Данные 1st'!$HQ$2:$HQ$317))</f>
        <v>3</v>
      </c>
      <c r="DQ28">
        <f>SUMPRODUCT(--('Данные 1st'!$S$2:$S$317=$A28),--ISNUMBER('Данные 1st'!$HR$2:$HR$317))</f>
        <v>3</v>
      </c>
      <c r="DR28">
        <f>SUMPRODUCT(--('Данные 1st'!$S$2:$S$317=$A28),--ISNUMBER('Данные 1st'!$HS$2:$HS$317))</f>
        <v>3</v>
      </c>
      <c r="DS28">
        <f>SUMPRODUCT(--('Данные 1st'!$S$2:$S$317=$A28),--ISNUMBER('Данные 1st'!$HT$2:$HT$317))</f>
        <v>3</v>
      </c>
      <c r="DT28">
        <f>SUMPRODUCT(--('Данные 1st'!$S$2:$S$317=$A28),--ISNUMBER('Данные 1st'!$HU$2:$HU$317))</f>
        <v>3</v>
      </c>
      <c r="DU28">
        <f>SUMPRODUCT(--('Данные 1st'!$S$2:$S$317=$A28),--ISNUMBER('Данные 1st'!$HW$2:$HW$317))</f>
        <v>3</v>
      </c>
      <c r="DV28">
        <f>SUMPRODUCT(--('Данные 1st'!$S$2:$S$317=$A28),--ISNUMBER('Данные 1st'!$HX$2:$HX$317))</f>
        <v>3</v>
      </c>
      <c r="DW28">
        <f>SUMPRODUCT(--('Данные 1st'!$S$2:$S$317=$A28),--ISNUMBER('Данные 1st'!$HY$2:$HY$317))</f>
        <v>3</v>
      </c>
      <c r="DX28">
        <f>SUMPRODUCT(--('Данные 1st'!$S$2:$S$317=$A28),--ISNUMBER('Данные 1st'!$IA$2:$IA$317))</f>
        <v>3</v>
      </c>
      <c r="DY28">
        <f>SUMPRODUCT(--('Данные 1st'!$S$2:$S$317=$A28),--ISNUMBER('Данные 1st'!$IB$2:$IB$317))</f>
        <v>3</v>
      </c>
      <c r="DZ28">
        <f>SUMPRODUCT(--('Данные 1st'!$S$2:$S$317=$A28),--ISNUMBER('Данные 1st'!$IC$2:$IC$317))</f>
        <v>3</v>
      </c>
      <c r="EA28">
        <f>SUMPRODUCT(--('Данные 1st'!$S$2:$S$317=$A28),--ISNUMBER('Данные 1st'!$ID$2:$ID$317))</f>
        <v>3</v>
      </c>
      <c r="EB28">
        <f>SUMPRODUCT(--('Данные 1st'!$S$2:$S$317=$A28),--ISNUMBER('Данные 1st'!$IE$2:$IE$317))</f>
        <v>3</v>
      </c>
      <c r="EC28">
        <f>SUMPRODUCT(--('Данные 1st'!$S$2:$S$317=$A28),--ISNUMBER('Данные 1st'!$IF$2:$IF$317))</f>
        <v>3</v>
      </c>
      <c r="ED28">
        <f>SUMPRODUCT(--('Данные 1st'!$S$2:$S$317=$A28),--ISNUMBER('Данные 1st'!$IP$2:$IP$317))</f>
        <v>3</v>
      </c>
      <c r="EE28">
        <f>SUMPRODUCT(--('Данные 1st'!$S$2:$S$317=$A28),--ISNUMBER('Данные 1st'!$IV$2:$IV$317))</f>
        <v>3</v>
      </c>
      <c r="EF28">
        <f>SUMPRODUCT(--('Данные 1st'!$S$2:$S$317=$A28),--ISNUMBER('Данные 1st'!$IW$2:$IW$317))</f>
        <v>3</v>
      </c>
      <c r="EG28">
        <f>SUMPRODUCT(--('Данные 1st'!$S$2:$S$317=$A28),--ISNUMBER('Данные 1st'!$IX$2:$IX$317))</f>
        <v>0</v>
      </c>
      <c r="EH28">
        <f>SUMPRODUCT(--('Данные 1st'!$S$2:$S$317=$A28),--ISNUMBER('Данные 1st'!$IY$2:$IY$317))</f>
        <v>0</v>
      </c>
      <c r="EI28">
        <f>SUMPRODUCT(--('Данные 1st'!$S$2:$S$317=$A28),--ISNUMBER('Данные 1st'!$JD$2:$JD$317))</f>
        <v>3</v>
      </c>
      <c r="EJ28">
        <f>SUMPRODUCT(--('Данные 1st'!$S$2:$S$317=$A28),--ISNUMBER('Данные 1st'!$JE$2:$JE$317))</f>
        <v>3</v>
      </c>
      <c r="EK28">
        <f>SUMPRODUCT(--('Данные 1st'!$S$2:$S$317=$A28),--ISNUMBER('Данные 1st'!$JF$2:$JF$317))</f>
        <v>3</v>
      </c>
      <c r="EL28">
        <f>SUMPRODUCT(--('Данные 1st'!$S$2:$S$317=$A28),--ISNUMBER('Данные 1st'!$JG$2:$JG$317))</f>
        <v>3</v>
      </c>
      <c r="EM28">
        <f>SUMPRODUCT(--('Данные 1st'!$S$2:$S$317=$A28),--ISNUMBER('Данные 1st'!$JH$2:$JH$317))</f>
        <v>3</v>
      </c>
      <c r="EN28">
        <f>SUMPRODUCT(--('Данные 1st'!$S$2:$S$317=$A28),--ISNUMBER('Данные 1st'!$JJ$2:$JJ$317))</f>
        <v>3</v>
      </c>
      <c r="EO28">
        <f>SUMPRODUCT(--('Данные 1st'!$S$2:$S$317=$A28),--ISNUMBER('Данные 1st'!$JK$2:$JK$317))</f>
        <v>3</v>
      </c>
      <c r="EP28">
        <f>SUMPRODUCT(--('Данные 1st'!$S$2:$S$317=$A28),--ISNUMBER('Данные 1st'!$JL$2:$JL$317))</f>
        <v>0</v>
      </c>
      <c r="EQ28">
        <f>SUMPRODUCT(--('Данные 1st'!$S$2:$S$317=$A28),--ISNUMBER('Данные 1st'!$JM$2:$JM$317))</f>
        <v>0</v>
      </c>
      <c r="ER28">
        <f>SUMPRODUCT(--('Данные 1st'!$S$2:$S$317=$A28),--ISNUMBER('Данные 1st'!$JN$2:$JN$317))</f>
        <v>3</v>
      </c>
      <c r="ES28">
        <f>SUMPRODUCT(--('Данные 1st'!$S$2:$S$317=$A28),--ISNUMBER('Данные 1st'!$JO$2:$JO$317))</f>
        <v>3</v>
      </c>
      <c r="ET28">
        <f>SUMPRODUCT(--('Данные 1st'!$S$2:$S$317=$A28),--ISNUMBER('Данные 1st'!$JP$2:$JP$317))</f>
        <v>3</v>
      </c>
      <c r="EU28">
        <f>SUMPRODUCT(--('Данные 1st'!$S$2:$S$317=$A28),--ISNUMBER('Данные 1st'!$JQ$2:$JQ$317))</f>
        <v>3</v>
      </c>
      <c r="EV28">
        <f>SUMPRODUCT(--('Данные 1st'!$S$2:$S$317=$A28),--ISNUMBER('Данные 1st'!$JR$2:$JR$317))</f>
        <v>3</v>
      </c>
      <c r="EW28">
        <f>SUMPRODUCT(--('Данные 1st'!$S$2:$S$317=$A28),--ISNUMBER('Данные 1st'!$JS$2:$JS$317))</f>
        <v>3</v>
      </c>
      <c r="EX28">
        <f>SUMPRODUCT(--('Данные 1st'!$S$2:$S$317=$A28),--ISNUMBER('Данные 1st'!$JT$2:$JT$317))</f>
        <v>0</v>
      </c>
      <c r="EY28">
        <f>SUMPRODUCT(--('Данные 1st'!$S$2:$S$317=$A28),--ISNUMBER('Данные 1st'!$JU$2:$JU$317))</f>
        <v>0</v>
      </c>
      <c r="EZ28">
        <f>SUMPRODUCT(--('Данные 1st'!$S$2:$S$317=$A28),--ISNUMBER('Данные 1st'!$JV$2:$JV$317))</f>
        <v>3</v>
      </c>
      <c r="FA28">
        <f>SUMPRODUCT(--('Данные 1st'!$S$2:$S$317=$A28),--ISNUMBER('Данные 1st'!$JW$2:$JW$317))</f>
        <v>0</v>
      </c>
      <c r="FB28">
        <f>SUMPRODUCT(--('Данные 1st'!$S$2:$S$317=$A28),--ISNUMBER('Данные 1st'!$JX$2:$JX$317))</f>
        <v>3</v>
      </c>
      <c r="FC28">
        <f>SUMPRODUCT(--('Данные 1st'!$S$2:$S$317=$A28),--ISNUMBER('Данные 1st'!$JY$2:$JY$317))</f>
        <v>0</v>
      </c>
      <c r="FD28">
        <f>SUMPRODUCT(--('Данные 1st'!$S$2:$S$317=$A28),--ISNUMBER('Данные 1st'!$JZ$2:$JZ$317))</f>
        <v>0</v>
      </c>
      <c r="FE28">
        <f>SUMPRODUCT(--('Данные 1st'!$S$2:$S$317=$A28),--ISNUMBER('Данные 1st'!$KA$2:$KA$317))</f>
        <v>3</v>
      </c>
      <c r="FF28">
        <f>SUMPRODUCT(--('Данные 1st'!$S$2:$S$317=$A28),--ISNUMBER('Данные 1st'!$KB$2:$KB$317))</f>
        <v>3</v>
      </c>
      <c r="FG28">
        <f>SUMPRODUCT(--('Данные 1st'!$S$2:$S$317=$A28),--ISNUMBER('Данные 1st'!$KC$2:$KC$317))</f>
        <v>3</v>
      </c>
      <c r="FH28">
        <f>SUMPRODUCT(--('Данные 1st'!$S$2:$S$317=$A28),--ISNUMBER('Данные 1st'!$KD$2:$KD$317))</f>
        <v>3</v>
      </c>
      <c r="FI28">
        <f>SUMPRODUCT(--('Данные 1st'!$S$2:$S$317=$A28),--ISNUMBER('Данные 1st'!$KE$2:$KE$317))</f>
        <v>0</v>
      </c>
      <c r="FJ28">
        <f>SUMPRODUCT(--('Данные 1st'!$S$2:$S$317=$A28),--ISNUMBER('Данные 1st'!$KF$2:$KF$317))</f>
        <v>3</v>
      </c>
      <c r="FK28">
        <f>SUMPRODUCT(--('Данные 1st'!$S$2:$S$317=$A28),--ISNUMBER('Данные 1st'!$KG$2:$KG$317))</f>
        <v>3</v>
      </c>
      <c r="FL28">
        <f>SUMPRODUCT(--('Данные 1st'!$S$2:$S$317=$A28),--ISNUMBER('Данные 1st'!$KH$2:$KH$317))</f>
        <v>3</v>
      </c>
      <c r="FM28">
        <f>SUMPRODUCT(--('Данные 1st'!$S$2:$S$317=$A28),--ISNUMBER('Данные 1st'!$KI$2:$KI$317))</f>
        <v>3</v>
      </c>
      <c r="FN28">
        <f>SUMPRODUCT(--('Данные 1st'!$S$2:$S$317=$A28),--ISNUMBER('Данные 1st'!$KJ$2:$KJ$317))</f>
        <v>3</v>
      </c>
      <c r="FO28">
        <f>SUMPRODUCT(--('Данные 1st'!$S$2:$S$317=$A28),--ISNUMBER('Данные 1st'!$KK$2:$KK$317))</f>
        <v>3</v>
      </c>
      <c r="FP28">
        <f>SUMPRODUCT(--('Данные 1st'!$S$2:$S$317=$A28),--ISNUMBER('Данные 1st'!$KL$2:$KL$317))</f>
        <v>3</v>
      </c>
      <c r="FQ28">
        <f>SUMPRODUCT(--('Данные 1st'!$S$2:$S$317=$A28),--ISNUMBER('Данные 1st'!$KM$2:$KM$317))</f>
        <v>3</v>
      </c>
      <c r="FR28">
        <f>SUMPRODUCT(--('Данные 1st'!$S$2:$S$317=$A28),--ISNUMBER('Данные 1st'!$KN$2:$KN$317))</f>
        <v>3</v>
      </c>
      <c r="FS28">
        <f>SUMPRODUCT(--('Данные 1st'!$S$2:$S$317=$A28),--ISNUMBER('Данные 1st'!$KR$2:$KR$317))</f>
        <v>3</v>
      </c>
      <c r="FT28">
        <f>SUMPRODUCT(--('Данные 1st'!$S$2:$S$317=$A28),--ISNUMBER('Данные 1st'!$KS$2:$KS$317))</f>
        <v>3</v>
      </c>
      <c r="FU28">
        <f>SUMPRODUCT(--('Данные 1st'!$S$2:$S$317=$A28),--ISNUMBER('Данные 1st'!$KT$2:$KT$317))</f>
        <v>3</v>
      </c>
      <c r="FV28">
        <f>SUMPRODUCT(--('Данные 1st'!$S$2:$S$317=$A28),--ISNUMBER('Данные 1st'!$KV$2:$KV$317))</f>
        <v>0</v>
      </c>
      <c r="FW28">
        <f>SUMPRODUCT(--('Данные 1st'!$S$2:$S$317=$A28),--ISNUMBER('Данные 1st'!$KW$2:$KW$317))</f>
        <v>0</v>
      </c>
      <c r="FX28">
        <f>SUMPRODUCT(--('Данные 1st'!$S$2:$S$317=$A28),--ISNUMBER('Данные 1st'!$KX$2:$KX$317))</f>
        <v>0</v>
      </c>
      <c r="FY28">
        <f>SUMPRODUCT(--('Данные 1st'!$S$2:$S$317=$A28),--ISNUMBER('Данные 1st'!$KY$2:$KY$317))</f>
        <v>0</v>
      </c>
      <c r="FZ28">
        <f>SUMPRODUCT(--('Данные 1st'!$S$2:$S$317=$A28),--ISNUMBER('Данные 1st'!$KZ$2:$KZ$317))</f>
        <v>0</v>
      </c>
      <c r="GA28">
        <f>SUMPRODUCT(--('Данные 1st'!$S$2:$S$317=$A28),--ISNUMBER('Данные 1st'!$LA$2:$LA$317))</f>
        <v>0</v>
      </c>
      <c r="GB28">
        <f>SUMPRODUCT(--('Данные 1st'!$S$2:$S$317=$A28),--ISNUMBER('Данные 1st'!$LB$2:$LB$317))</f>
        <v>0</v>
      </c>
      <c r="GC28">
        <f>SUMPRODUCT(--('Данные 1st'!$S$2:$S$317=$A28),--ISNUMBER('Данные 1st'!$LC$2:$LC$317))</f>
        <v>0</v>
      </c>
      <c r="GD28">
        <f>SUMPRODUCT(--('Данные 1st'!$S$2:$S$317=$A28),--ISNUMBER('Данные 1st'!$LD$2:$LD$317))</f>
        <v>0</v>
      </c>
      <c r="GE28">
        <f>SUMPRODUCT(--('Данные 1st'!$S$2:$S$317=$A28),--ISNUMBER('Данные 1st'!$LE$2:$LE$317))</f>
        <v>0</v>
      </c>
      <c r="GF28">
        <f>SUMPRODUCT(--('Данные 1st'!$S$2:$S$317=$A28),--ISNUMBER('Данные 1st'!$LF$2:$LF$317))</f>
        <v>0</v>
      </c>
      <c r="GG28">
        <f>SUMPRODUCT(--('Данные 1st'!$S$2:$S$317=$A28),--ISNUMBER('Данные 1st'!$LG$2:$LG$317))</f>
        <v>0</v>
      </c>
      <c r="GH28">
        <f>SUMPRODUCT(--('Данные 1st'!$S$2:$S$317=$A28),--ISNUMBER('Данные 1st'!$LH$2:$LH$317))</f>
        <v>0</v>
      </c>
      <c r="GI28">
        <f>SUMPRODUCT(--('Данные 1st'!$S$2:$S$317=$A28),--ISNUMBER('Данные 1st'!$LI$2:$LI$317))</f>
        <v>0</v>
      </c>
      <c r="GJ28">
        <f>SUMPRODUCT(--('Данные 1st'!$S$2:$S$317=$A28),--ISNUMBER('Данные 1st'!$LJ$2:$LJ$317))</f>
        <v>0</v>
      </c>
      <c r="GK28">
        <f>SUMPRODUCT(--('Данные 1st'!$S$2:$S$317=$A28),--ISNUMBER('Данные 1st'!$LK$2:$LK$317))</f>
        <v>3</v>
      </c>
      <c r="GL28">
        <f>SUMPRODUCT(--('Данные 1st'!$S$2:$S$317=$A28),--ISNUMBER('Данные 1st'!$LV$2:$LV$317))</f>
        <v>0</v>
      </c>
      <c r="GM28">
        <f>SUMPRODUCT(--('Данные 1st'!$S$2:$S$317=$A28),--ISNUMBER('Данные 1st'!$LW$2:$LW$317))</f>
        <v>0</v>
      </c>
      <c r="GN28">
        <f>SUMPRODUCT(--('Данные 1st'!$S$2:$S$317=$A28),--ISNUMBER('Данные 1st'!$LX$2:$LX$317))</f>
        <v>0</v>
      </c>
      <c r="GO28">
        <f>SUMPRODUCT(--('Данные 1st'!$S$2:$S$317=$A28),--ISNUMBER('Данные 1st'!$LY$2:$LY$317))</f>
        <v>0</v>
      </c>
      <c r="GP28">
        <f>SUMPRODUCT(--('Данные 1st'!$S$2:$S$317=$A28),--ISNUMBER('Данные 1st'!$LZ$2:$LZ$317))</f>
        <v>0</v>
      </c>
      <c r="GQ28">
        <f>SUMPRODUCT(--('Данные 1st'!$S$2:$S$317=$A28),--ISNUMBER('Данные 1st'!$PG$2:$PG$317))</f>
        <v>3</v>
      </c>
      <c r="GR28">
        <f>SUMPRODUCT(--('Данные 1st'!$S$2:$S$317=$A28),--ISNUMBER('Данные 1st'!$PX$2:$PX$317))</f>
        <v>3</v>
      </c>
      <c r="GS28">
        <f>SUMPRODUCT(--('Данные 1st'!$S$2:$S$317=$A28),--ISNUMBER('Данные 1st'!$PY$2:$PY$317))</f>
        <v>3</v>
      </c>
      <c r="GT28">
        <f>SUMPRODUCT(--('Данные 1st'!$S$2:$S$317=$A28),--ISNUMBER('Данные 1st'!$QA$2:$QA$317))</f>
        <v>3</v>
      </c>
      <c r="GU28">
        <f>SUMPRODUCT(--('Данные 1st'!$S$2:$S$317=$A28),--ISNUMBER('Данные 1st'!$QB$2:$QB$317))</f>
        <v>3</v>
      </c>
      <c r="GV28">
        <f>SUMPRODUCT(--('Данные 1st'!$S$2:$S$317=$A28),--ISNUMBER('Данные 1st'!$QC$2:$QC$317))</f>
        <v>3</v>
      </c>
      <c r="GW28">
        <f>SUMPRODUCT(--('Данные 1st'!$S$2:$S$317=$A28),--ISNUMBER('Данные 1st'!$QD$2:$QD$317))</f>
        <v>3</v>
      </c>
      <c r="GX28">
        <f>SUMPRODUCT(--('Данные 1st'!$S$2:$S$317=$A28),--ISNUMBER('Данные 1st'!$QF$2:$QF$317))</f>
        <v>3</v>
      </c>
      <c r="GY28">
        <f>SUMPRODUCT(--('Данные 1st'!$S$2:$S$317=$A28),--ISNUMBER('Данные 1st'!$QG$2:$QG$317))</f>
        <v>3</v>
      </c>
      <c r="GZ28">
        <f>SUMPRODUCT(--('Данные 1st'!$S$2:$S$317=$A28),--ISNUMBER('Данные 1st'!$QH$2:$QH$317))</f>
        <v>3</v>
      </c>
      <c r="HA28">
        <f>SUMPRODUCT(--('Данные 1st'!$S$2:$S$317=$A28),--ISNUMBER('Данные 1st'!$QI$2:$QI$317))</f>
        <v>3</v>
      </c>
      <c r="HB28">
        <f>SUMPRODUCT(--('Данные 1st'!$S$2:$S$317=$A28),--ISNUMBER('Данные 1st'!$QK$2:$QK$317))</f>
        <v>0</v>
      </c>
      <c r="HC28">
        <f>SUMPRODUCT(--('Данные 1st'!$S$2:$S$317=$A28),--ISNUMBER('Данные 1st'!$QL$2:$QL$317))</f>
        <v>3</v>
      </c>
      <c r="HD28">
        <f>SUMPRODUCT(--('Данные 1st'!$S$2:$S$317=$A28),--ISNUMBER('Данные 1st'!$QM$2:$QM$317))</f>
        <v>3</v>
      </c>
      <c r="HE28">
        <f>SUMPRODUCT(--('Данные 1st'!$S$2:$S$317=$A28),--ISNUMBER('Данные 1st'!$QN$2:$QN$317))</f>
        <v>3</v>
      </c>
      <c r="HF28">
        <f>SUMPRODUCT(--('Данные 1st'!$S$2:$S$317=$A28),--ISNUMBER('Данные 1st'!$QP$2:$QP$317))</f>
        <v>3</v>
      </c>
      <c r="HG28">
        <f>SUMPRODUCT(--('Данные 1st'!$S$2:$S$317=$A28),--ISNUMBER('Данные 1st'!$QQ$2:$QQ$317))</f>
        <v>3</v>
      </c>
      <c r="HH28">
        <f>SUMPRODUCT(--('Данные 1st'!$S$2:$S$317=$A28),--ISNUMBER('Данные 1st'!$QR$2:$QR$317))</f>
        <v>2</v>
      </c>
      <c r="HI28">
        <f>SUMPRODUCT(--('Данные 1st'!$S$2:$S$317=$A28),--ISNUMBER('Данные 1st'!$QS$2:$QS$317))</f>
        <v>2</v>
      </c>
      <c r="HJ28">
        <f>SUMPRODUCT(--('Данные 1st'!$S$2:$S$317=$A28),--ISNUMBER('Данные 1st'!$QU$2:$QU$317))</f>
        <v>2</v>
      </c>
      <c r="HK28">
        <f>SUMPRODUCT(--('Данные 1st'!$S$2:$S$317=$A28),--ISNUMBER('Данные 1st'!$QV$2:$QV$317))</f>
        <v>2</v>
      </c>
      <c r="HL28">
        <f>SUMPRODUCT(--('Данные 1st'!$S$2:$S$317=$A28),--ISNUMBER('Данные 1st'!$QW$2:$QW$317))</f>
        <v>3</v>
      </c>
      <c r="HM28">
        <f>SUMPRODUCT(--('Данные 1st'!$S$2:$S$317=$A28),--ISNUMBER('Данные 1st'!$QX$2:$QX$317))</f>
        <v>3</v>
      </c>
      <c r="HN28">
        <f>SUMPRODUCT(--('Данные 1st'!$S$2:$S$317=$A28),--ISNUMBER('Данные 1st'!$QZ$2:$QZ$317))</f>
        <v>3</v>
      </c>
      <c r="HO28">
        <f>SUMPRODUCT(--('Данные 1st'!$S$2:$S$317=$A28),--ISNUMBER('Данные 1st'!$RA$2:$RA$317))</f>
        <v>3</v>
      </c>
      <c r="HP28">
        <f>SUMPRODUCT(--('Данные 1st'!$S$2:$S$317=$A28),--ISNUMBER('Данные 1st'!$RB$2:$RB$317))</f>
        <v>3</v>
      </c>
      <c r="HQ28">
        <f>SUMPRODUCT(--('Данные 1st'!$S$2:$S$317=$A28),--ISNUMBER('Данные 1st'!$RD$2:$RD$317))</f>
        <v>0</v>
      </c>
      <c r="HR28">
        <f>SUMPRODUCT(--('Данные 1st'!$S$2:$S$317=$A28),--ISNUMBER('Данные 1st'!$RE$2:$RE$317))</f>
        <v>3</v>
      </c>
      <c r="HS28">
        <f>SUMPRODUCT(--('Данные 1st'!$S$2:$S$317=$A28),--ISNUMBER('Данные 1st'!$RF$2:$RF$317))</f>
        <v>3</v>
      </c>
      <c r="HT28">
        <f>SUMPRODUCT(--('Данные 1st'!$S$2:$S$317=$A28),--ISNUMBER('Данные 1st'!$RG$2:$RG$317))</f>
        <v>0</v>
      </c>
      <c r="HU28">
        <f>SUMPRODUCT(--('Данные 1st'!$S$2:$S$317=$A28),--ISNUMBER('Данные 1st'!$RH$2:$RH$317))</f>
        <v>2</v>
      </c>
      <c r="HV28">
        <f>SUMPRODUCT(--('Данные 1st'!$S$2:$S$317=$A28),--ISNUMBER('Данные 1st'!$RI$2:$RI$317))</f>
        <v>0</v>
      </c>
      <c r="HW28">
        <f>SUMPRODUCT(--('Данные 1st'!$S$2:$S$317=$A28),--ISNUMBER('Данные 1st'!$RJ$2:$RJ$317))</f>
        <v>3</v>
      </c>
      <c r="HX28">
        <f>SUMPRODUCT(--('Данные 1st'!$S$2:$S$317=$A28),--ISNUMBER('Данные 1st'!$RK$2:$RK$317))</f>
        <v>0</v>
      </c>
      <c r="HY28">
        <f>SUMPRODUCT(--('Данные 1st'!$S$2:$S$317=$A28),--ISNUMBER('Данные 1st'!$RL$2:$RL$317))</f>
        <v>3</v>
      </c>
      <c r="HZ28">
        <f>SUMPRODUCT(--('Данные 1st'!$S$2:$S$317=$A28),--ISNUMBER('Данные 1st'!$RM$2:$RM$317))</f>
        <v>2</v>
      </c>
      <c r="IA28">
        <f>SUMPRODUCT(--('Данные 1st'!$S$2:$S$317=$A28),--ISNUMBER('Данные 1st'!$RN$2:$RN$317))</f>
        <v>0</v>
      </c>
      <c r="IB28">
        <f>SUMPRODUCT(--('Данные 1st'!$S$2:$S$317=$A28),--ISNUMBER('Данные 1st'!$RO$2:$RO$317))</f>
        <v>3</v>
      </c>
      <c r="IC28">
        <f>SUMPRODUCT(--('Данные 1st'!$S$2:$S$317=$A28),--ISNUMBER('Данные 1st'!$RP$2:$RP$317))</f>
        <v>0</v>
      </c>
      <c r="ID28">
        <f>SUMPRODUCT(--('Данные 1st'!$S$2:$S$317=$A28),--ISNUMBER('Данные 1st'!$RQ$2:$RQ$317))</f>
        <v>3</v>
      </c>
      <c r="IE28">
        <f>SUMPRODUCT(--('Данные 1st'!$S$2:$S$317=$A28),--ISNUMBER('Данные 1st'!$RR$2:$RR$317))</f>
        <v>2</v>
      </c>
      <c r="IF28">
        <f>SUMPRODUCT(--('Данные 1st'!$S$2:$S$317=$A28),--ISNUMBER('Данные 1st'!$RS$2:$RS$317))</f>
        <v>0</v>
      </c>
      <c r="IG28">
        <f>SUMPRODUCT(--('Данные 1st'!$S$2:$S$317=$A28),--ISNUMBER('Данные 1st'!$RT$2:$RT$317))</f>
        <v>3</v>
      </c>
      <c r="IH28">
        <f>SUMPRODUCT(--('Данные 1st'!$S$2:$S$317=$A28),--ISNUMBER('Данные 1st'!$RU$2:$RU$317))</f>
        <v>3</v>
      </c>
      <c r="II28">
        <f>SUMPRODUCT(--('Данные 1st'!$S$2:$S$317=$A28),--ISNUMBER('Данные 1st'!$RX$2:$RX$317))</f>
        <v>3</v>
      </c>
      <c r="IJ28">
        <f>SUMPRODUCT(--('Данные 1st'!$S$2:$S$317=$A28),--ISNUMBER('Данные 1st'!$RY$2:$RY$317))</f>
        <v>3</v>
      </c>
      <c r="IK28">
        <f>SUMPRODUCT(--('Данные 1st'!$S$2:$S$317=$A28),--ISNUMBER('Данные 1st'!$SA$2:$SA$317))</f>
        <v>3</v>
      </c>
      <c r="IL28">
        <f>SUMPRODUCT(--('Данные 1st'!$S$2:$S$317=$A28),--ISNUMBER('Данные 1st'!$SD$2:$SD$317))</f>
        <v>3</v>
      </c>
      <c r="IM28">
        <f>SUMPRODUCT(--('Данные 1st'!$S$2:$S$317=$A28),--ISNUMBER('Данные 1st'!$SG$2:$SG$317))</f>
        <v>2</v>
      </c>
      <c r="IN28">
        <f>SUMPRODUCT(--('Данные 1st'!$S$2:$S$317=$A28),--ISNUMBER('Данные 1st'!$SH$2:$SH$317))</f>
        <v>3</v>
      </c>
      <c r="IO28">
        <f>SUMPRODUCT(--('Данные 1st'!$S$2:$S$317=$A28),--ISNUMBER('Данные 1st'!$SI$2:$SI$317))</f>
        <v>3</v>
      </c>
      <c r="IP28">
        <f>SUMPRODUCT(--('Данные 1st'!$S$2:$S$317=$A28),--ISNUMBER('Данные 1st'!$SJ$2:$SJ$317))</f>
        <v>3</v>
      </c>
      <c r="IQ28">
        <f>SUMPRODUCT(--('Данные 1st'!$S$2:$S$317=$A28),--ISNUMBER('Данные 1st'!$SK$2:$SK$317))</f>
        <v>3</v>
      </c>
      <c r="IR28">
        <f>SUMPRODUCT(--('Данные 1st'!$S$2:$S$317=$A28),--ISNUMBER('Данные 1st'!$SL$2:$SL$317))</f>
        <v>3</v>
      </c>
      <c r="IS28">
        <f>SUMPRODUCT(--('Данные 1st'!$S$2:$S$317=$A28),--ISNUMBER('Данные 1st'!$SM$2:$SM$317))</f>
        <v>3</v>
      </c>
      <c r="IT28">
        <f>SUMPRODUCT(--('Данные 1st'!$S$2:$S$317=$A28),--ISNUMBER('Данные 1st'!$SN$2:$SN$317))</f>
        <v>3</v>
      </c>
      <c r="IU28">
        <f>SUMPRODUCT(--('Данные 1st'!$S$2:$S$317=$A28),--ISNUMBER('Данные 1st'!$SO$2:$SO$317))</f>
        <v>3</v>
      </c>
      <c r="IV28">
        <f>SUMPRODUCT(--('Данные 1st'!$S$2:$S$317=$A28),--ISNUMBER('Данные 1st'!$SP$2:$SP$317))</f>
        <v>3</v>
      </c>
      <c r="IW28">
        <f>SUMPRODUCT(--('Данные 1st'!$S$2:$S$317=$A28),--ISNUMBER('Данные 1st'!$SQ$2:$SQ$317))</f>
        <v>3</v>
      </c>
      <c r="IX28">
        <f>SUMPRODUCT(--('Данные 1st'!$S$2:$S$317=$A28),--ISNUMBER('Данные 1st'!$SR$2:$SR$317))</f>
        <v>3</v>
      </c>
      <c r="IY28">
        <f>SUMPRODUCT(--('Данные 1st'!$S$2:$S$317=$A28),--ISNUMBER('Данные 1st'!$SS$2:$SS$317))</f>
        <v>3</v>
      </c>
      <c r="IZ28">
        <f>SUMPRODUCT(--('Данные 1st'!$S$2:$S$317=$A28),--ISNUMBER('Данные 1st'!$ST$2:$ST$317))</f>
        <v>3</v>
      </c>
      <c r="JA28">
        <f>SUMPRODUCT(--('Данные 1st'!$S$2:$S$317=$A28),--ISNUMBER('Данные 1st'!$SU$2:$SU$317))</f>
        <v>3</v>
      </c>
      <c r="JB28">
        <f>SUMPRODUCT(--('Данные 1st'!$S$2:$S$317=$A28),--ISNUMBER('Данные 1st'!$SV$2:$SV$317))</f>
        <v>3</v>
      </c>
      <c r="JC28">
        <f>SUMPRODUCT(--('Данные 1st'!$S$2:$S$317=$A28),--ISNUMBER('Данные 1st'!$SW$2:$SW$317))</f>
        <v>3</v>
      </c>
      <c r="JD28">
        <f>SUMPRODUCT(--('Данные 1st'!$S$2:$S$317=$A28),--ISNUMBER('Данные 1st'!$SX$2:$SX$317))</f>
        <v>3</v>
      </c>
      <c r="JE28">
        <f>SUMPRODUCT(--('Данные 1st'!$S$2:$S$317=$A28),--ISNUMBER('Данные 1st'!$SY$2:$SY$317))</f>
        <v>0</v>
      </c>
      <c r="JF28">
        <f>SUMPRODUCT(--('Данные 1st'!$S$2:$S$317=$A28),--ISNUMBER('Данные 1st'!$SZ$2:$SZ$317))</f>
        <v>2</v>
      </c>
      <c r="JG28">
        <f>SUMPRODUCT(--('Данные 1st'!$S$2:$S$317=$A28),--ISNUMBER('Данные 1st'!$TA$2:$TA$317))</f>
        <v>0</v>
      </c>
      <c r="JH28">
        <f>SUMPRODUCT(--('Данные 1st'!$S$2:$S$317=$A28),--ISNUMBER('Данные 1st'!$TB$2:$TB$317))</f>
        <v>3</v>
      </c>
      <c r="JI28">
        <f>SUMPRODUCT(--('Данные 1st'!$S$2:$S$317=$A28),--ISNUMBER('Данные 1st'!$TC$2:$TC$317))</f>
        <v>3</v>
      </c>
      <c r="JJ28">
        <f>SUMPRODUCT(--('Данные 1st'!$S$2:$S$317=$A28),--ISNUMBER('Данные 1st'!$TD$2:$TD$317))</f>
        <v>3</v>
      </c>
      <c r="JK28">
        <f>SUMPRODUCT(--('Данные 1st'!$S$2:$S$317=$A28),--ISNUMBER('Данные 1st'!$TN$2:$TN$317))</f>
        <v>3</v>
      </c>
      <c r="JQ28">
        <f>SUMPRODUCT(--('Данные 2st'!$Q$2:$Q$317=$A28),--ISNUMBER('Данные 2st'!$AC$2:$AC$317))</f>
        <v>3</v>
      </c>
      <c r="JR28">
        <f>SUMPRODUCT(--('Данные 2st'!$Q$2:$Q$317=$A28),--ISNUMBER('Данные 2st'!$AF$2:$AF$317))</f>
        <v>3</v>
      </c>
      <c r="JS28">
        <f>SUMPRODUCT(--('Данные 2st'!$Q$2:$Q$317=$A28),--ISNUMBER('Данные 2st'!$AW$2:$AW$317))</f>
        <v>3</v>
      </c>
      <c r="JT28">
        <f>SUMPRODUCT(--('Данные 2st'!$Q$2:$Q$317=$A28),--ISNUMBER('Данные 2st'!$AX$2:$AX$317))</f>
        <v>3</v>
      </c>
      <c r="JU28">
        <f>SUMPRODUCT(--('Данные 2st'!$Q$2:$Q$317=$A28),--ISNUMBER('Данные 2st'!$AY$2:$AY$317))</f>
        <v>3</v>
      </c>
      <c r="JV28">
        <f>SUMPRODUCT(--('Данные 2st'!$Q$2:$Q$317=$A28),--ISNUMBER('Данные 2st'!$AZ$2:$AZ$317))</f>
        <v>3</v>
      </c>
      <c r="JW28">
        <f>SUMPRODUCT(--('Данные 2st'!$Q$2:$Q$317=$A28),--ISNUMBER('Данные 2st'!$BA$2:$BA$317))</f>
        <v>0</v>
      </c>
      <c r="JX28">
        <f>SUMPRODUCT(--('Данные 2st'!$Q$2:$Q$317=$A28),--ISNUMBER('Данные 2st'!$BB$2:$BB$317))</f>
        <v>0</v>
      </c>
      <c r="JY28">
        <f>SUMPRODUCT(--('Данные 2st'!$Q$2:$Q$317=$A28),--ISNUMBER('Данные 2st'!$BC$2:$BC$317))</f>
        <v>0</v>
      </c>
      <c r="JZ28">
        <f>SUMPRODUCT(--('Данные 2st'!$Q$2:$Q$317=$A28),--ISNUMBER('Данные 2st'!$BH$2:$BH$317))</f>
        <v>3</v>
      </c>
      <c r="KA28">
        <f>SUMPRODUCT(--('Данные 2st'!$Q$2:$Q$317=$A28),--ISNUMBER('Данные 2st'!$BI$2:$BI$317))</f>
        <v>3</v>
      </c>
      <c r="KB28">
        <f>SUMPRODUCT(--('Данные 2st'!$Q$2:$Q$317=$A28),--ISNUMBER('Данные 2st'!$BJ$2:$BJ$317))</f>
        <v>3</v>
      </c>
      <c r="KC28">
        <f>SUMPRODUCT(--('Данные 2st'!$Q$2:$Q$317=$A28),--ISNUMBER('Данные 2st'!$BK$2:$BK$317))</f>
        <v>3</v>
      </c>
      <c r="KD28">
        <f>SUMPRODUCT(--('Данные 2st'!$Q$2:$Q$317=$A28),--ISNUMBER('Данные 2st'!$BL$2:$BL$317))</f>
        <v>3</v>
      </c>
      <c r="KE28">
        <f>SUMPRODUCT(--('Данные 2st'!$Q$2:$Q$317=$A28),--ISNUMBER('Данные 2st'!$BM$2:$BM$317))</f>
        <v>3</v>
      </c>
      <c r="KF28">
        <f>SUMPRODUCT(--('Данные 2st'!$Q$2:$Q$317=$A28),--ISNUMBER('Данные 2st'!$BN$2:$BN$317))</f>
        <v>3</v>
      </c>
      <c r="KG28">
        <f>SUMPRODUCT(--('Данные 2st'!$Q$2:$Q$317=$A28),--ISNUMBER('Данные 2st'!$BO$2:$BO$317))</f>
        <v>1</v>
      </c>
      <c r="KH28">
        <f>SUMPRODUCT(--('Данные 2st'!$Q$2:$Q$317=$A28),--ISNUMBER('Данные 2st'!$BP$2:$BP$317))</f>
        <v>3</v>
      </c>
      <c r="KI28">
        <f>SUMPRODUCT(--('Данные 2st'!$Q$2:$Q$317=$A28),--ISNUMBER('Данные 2st'!$BR$2:$BR$317))</f>
        <v>3</v>
      </c>
      <c r="KJ28">
        <f>SUMPRODUCT(--('Данные 2st'!$Q$2:$Q$317=$A28),--ISNUMBER('Данные 2st'!$BS$2:$BS$317))</f>
        <v>3</v>
      </c>
      <c r="KK28">
        <f>SUMPRODUCT(--('Данные 2st'!$Q$2:$Q$317=$A28),--ISNUMBER('Данные 2st'!$BT$2:$BT$317))</f>
        <v>3</v>
      </c>
      <c r="KL28">
        <f>SUMPRODUCT(--('Данные 2st'!$Q$2:$Q$317=$A28),--ISNUMBER('Данные 2st'!$CV$2:$CV$317))</f>
        <v>3</v>
      </c>
      <c r="KM28">
        <f>SUMPRODUCT(--('Данные 2st'!$Q$2:$Q$317=$A28),--ISNUMBER('Данные 2st'!$CW$2:$CW$317))</f>
        <v>3</v>
      </c>
      <c r="KN28">
        <f>SUMPRODUCT(--('Данные 2st'!$Q$2:$Q$317=$A28),--ISNUMBER('Данные 2st'!$CX$2:$CX$317))</f>
        <v>3</v>
      </c>
      <c r="KO28">
        <f>SUMPRODUCT(--('Данные 2st'!$Q$2:$Q$317=$A28),--ISNUMBER('Данные 2st'!$CY$2:$CY$317))</f>
        <v>3</v>
      </c>
      <c r="KP28">
        <f>SUMPRODUCT(--('Данные 2st'!$Q$2:$Q$317=$A28),--ISNUMBER('Данные 2st'!$CZ$2:$CZ$317))</f>
        <v>3</v>
      </c>
      <c r="KQ28">
        <f>SUMPRODUCT(--('Данные 2st'!$Q$2:$Q$317=$A28),--ISNUMBER('Данные 2st'!$DA$2:$DA$317))</f>
        <v>3</v>
      </c>
      <c r="KR28">
        <f>SUMPRODUCT(--('Данные 2st'!$Q$2:$Q$317=$A28),--ISNUMBER('Данные 2st'!$DB$2:$DB$317))</f>
        <v>3</v>
      </c>
      <c r="KS28">
        <f>SUMPRODUCT(--('Данные 2st'!$Q$2:$Q$317=$A28),--ISNUMBER('Данные 2st'!$DC$2:$DC$317))</f>
        <v>3</v>
      </c>
      <c r="KT28">
        <f>SUMPRODUCT(--('Данные 2st'!$Q$2:$Q$317=$A28),--ISNUMBER('Данные 2st'!$DD$2:$DD$317))</f>
        <v>3</v>
      </c>
      <c r="KU28">
        <f>SUMPRODUCT(--('Данные 2st'!$Q$2:$Q$317=$A28),--ISNUMBER('Данные 2st'!$DE$2:$DE$317))</f>
        <v>3</v>
      </c>
      <c r="KV28">
        <f>SUMPRODUCT(--('Данные 2st'!$Q$2:$Q$317=$A28),--ISNUMBER('Данные 2st'!$DF$2:$DF$317))</f>
        <v>3</v>
      </c>
      <c r="KW28">
        <f>SUMPRODUCT(--('Данные 2st'!$Q$2:$Q$317=$A28),--ISNUMBER('Данные 2st'!$DG$2:$DG$317))</f>
        <v>3</v>
      </c>
      <c r="KX28">
        <f>SUMPRODUCT(--('Данные 2st'!$Q$2:$Q$317=$A28),--ISNUMBER('Данные 2st'!$DH$2:$DH$317))</f>
        <v>0</v>
      </c>
      <c r="KY28">
        <f>SUMPRODUCT(--('Данные 2st'!$Q$2:$Q$317=$A28),--ISNUMBER('Данные 2st'!$DI$2:$DI$317))</f>
        <v>0</v>
      </c>
      <c r="KZ28">
        <f>SUMPRODUCT(--('Данные 2st'!$Q$2:$Q$317=$A28),--ISNUMBER('Данные 2st'!$DK$2:$DK$317))</f>
        <v>3</v>
      </c>
      <c r="LA28">
        <f>SUMPRODUCT(--('Данные 2st'!$Q$2:$Q$317=$A28),--ISNUMBER('Данные 2st'!$DM$2:$DM$317))</f>
        <v>3</v>
      </c>
      <c r="LB28">
        <f>SUMPRODUCT(--('Данные 2st'!$Q$2:$Q$317=$A28),--ISNUMBER('Данные 2st'!$DN$2:$DN$317))</f>
        <v>3</v>
      </c>
      <c r="LC28">
        <f>SUMPRODUCT(--('Данные 2st'!$Q$2:$Q$317=$A28),--ISNUMBER('Данные 2st'!$DO$2:$DO$317))</f>
        <v>3</v>
      </c>
      <c r="LD28">
        <f>SUMPRODUCT(--('Данные 2st'!$Q$2:$Q$317=$A28),--ISNUMBER('Данные 2st'!$DP$2:$DP$317))</f>
        <v>3</v>
      </c>
      <c r="LE28">
        <f>SUMPRODUCT(--('Данные 2st'!$Q$2:$Q$317=$A28),--ISNUMBER('Данные 2st'!$DQ$2:$DQ$317))</f>
        <v>3</v>
      </c>
      <c r="LF28">
        <f>SUMPRODUCT(--('Данные 2st'!$Q$2:$Q$317=$A28),--ISNUMBER('Данные 2st'!$DS$2:$DS$317))</f>
        <v>3</v>
      </c>
      <c r="LG28">
        <f>SUMPRODUCT(--('Данные 2st'!$Q$2:$Q$317=$A28),--ISNUMBER('Данные 2st'!$DU$2:$DU$317))</f>
        <v>3</v>
      </c>
      <c r="LH28">
        <f>SUMPRODUCT(--('Данные 2st'!$Q$2:$Q$317=$A28),--ISNUMBER('Данные 2st'!$DV$2:$DV$317))</f>
        <v>3</v>
      </c>
      <c r="LI28">
        <f>SUMPRODUCT(--('Данные 2st'!$Q$2:$Q$317=$A28),--ISNUMBER('Данные 2st'!$DW$2:$DW$317))</f>
        <v>3</v>
      </c>
      <c r="LJ28">
        <f>SUMPRODUCT(--('Данные 2st'!$Q$2:$Q$317=$A28),--ISNUMBER('Данные 2st'!$DX$2:$DX$317))</f>
        <v>3</v>
      </c>
      <c r="LK28">
        <f>SUMPRODUCT(--('Данные 2st'!$Q$2:$Q$317=$A28),--ISNUMBER('Данные 2st'!$DY$2:$DY$317))</f>
        <v>3</v>
      </c>
      <c r="LL28">
        <f>SUMPRODUCT(--('Данные 2st'!$Q$2:$Q$317=$A28),--ISNUMBER('Данные 2st'!$EA$2:$EA$317))</f>
        <v>3</v>
      </c>
      <c r="LM28">
        <f>SUMPRODUCT(--('Данные 2st'!$Q$2:$Q$317=$A28),--ISNUMBER('Данные 2st'!$EC$2:$EC$317))</f>
        <v>3</v>
      </c>
      <c r="LN28">
        <f>SUMPRODUCT(--('Данные 2st'!$Q$2:$Q$317=$A28),--ISNUMBER('Данные 2st'!$ED$2:$ED$317))</f>
        <v>3</v>
      </c>
      <c r="LO28">
        <f>SUMPRODUCT(--('Данные 2st'!$Q$2:$Q$317=$A28),--ISNUMBER('Данные 2st'!$EE$2:$EE$317))</f>
        <v>3</v>
      </c>
      <c r="LP28">
        <f>SUMPRODUCT(--('Данные 2st'!$Q$2:$Q$317=$A28),--ISNUMBER('Данные 2st'!$EG$2:$EG$317))</f>
        <v>3</v>
      </c>
      <c r="LQ28">
        <f>SUMPRODUCT(--('Данные 2st'!$Q$2:$Q$317=$A28),--ISNUMBER('Данные 2st'!$EI$2:$EI$317))</f>
        <v>3</v>
      </c>
      <c r="LR28">
        <f>SUMPRODUCT(--('Данные 2st'!$Q$2:$Q$317=$A28),--ISNUMBER('Данные 2st'!$EJ$2:$EJ$317))</f>
        <v>0</v>
      </c>
      <c r="LS28">
        <f>SUMPRODUCT(--('Данные 2st'!$Q$2:$Q$317=$A28),--ISNUMBER('Данные 2st'!$EK$2:$EK$317))</f>
        <v>0</v>
      </c>
      <c r="LT28">
        <f>SUMPRODUCT(--('Данные 2st'!$Q$2:$Q$317=$A28),--ISNUMBER('Данные 2st'!$EM$2:$EM$317))</f>
        <v>3</v>
      </c>
      <c r="LU28">
        <f>SUMPRODUCT(--('Данные 2st'!$Q$2:$Q$317=$A28),--ISNUMBER('Данные 2st'!$EN$2:$EN$317))</f>
        <v>3</v>
      </c>
      <c r="LV28">
        <f>SUMPRODUCT(--('Данные 2st'!$Q$2:$Q$317=$A28),--ISNUMBER('Данные 2st'!$EO$2:$EO$317))</f>
        <v>3</v>
      </c>
      <c r="LW28">
        <f>SUMPRODUCT(--('Данные 2st'!$Q$2:$Q$317=$A28),--ISNUMBER('Данные 2st'!$EP$2:$EP$317))</f>
        <v>3</v>
      </c>
      <c r="LX28">
        <f>SUMPRODUCT(--('Данные 2st'!$Q$2:$Q$317=$A28),--ISNUMBER('Данные 2st'!$EQ$2:$EQ$317))</f>
        <v>3</v>
      </c>
      <c r="LY28">
        <f>SUMPRODUCT(--('Данные 2st'!$Q$2:$Q$317=$A28),--ISNUMBER('Данные 2st'!$ER$2:$ER$317))</f>
        <v>3</v>
      </c>
      <c r="LZ28">
        <f>SUMPRODUCT(--('Данные 2st'!$Q$2:$Q$317=$A28),--ISNUMBER('Данные 2st'!$ES$2:$ES$317))</f>
        <v>3</v>
      </c>
      <c r="MA28">
        <f>SUMPRODUCT(--('Данные 2st'!$Q$2:$Q$317=$A28),--ISNUMBER('Данные 2st'!$ET$2:$ET$317))</f>
        <v>3</v>
      </c>
      <c r="MB28">
        <f>SUMPRODUCT(--('Данные 2st'!$Q$2:$Q$317=$A28),--ISNUMBER('Данные 2st'!$EU$2:$EU$317))</f>
        <v>3</v>
      </c>
      <c r="MC28">
        <f>SUMPRODUCT(--('Данные 2st'!$Q$2:$Q$317=$A28),--ISNUMBER('Данные 2st'!$EV$2:$EV$317))</f>
        <v>3</v>
      </c>
      <c r="MD28">
        <f>SUMPRODUCT(--('Данные 2st'!$Q$2:$Q$317=$A28),--ISNUMBER('Данные 2st'!$EW$2:$EW$317))</f>
        <v>3</v>
      </c>
      <c r="ME28">
        <f>SUMPRODUCT(--('Данные 2st'!$Q$2:$Q$317=$A28),--ISNUMBER('Данные 2st'!$EY$2:$EY$317))</f>
        <v>3</v>
      </c>
      <c r="MF28">
        <f>SUMPRODUCT(--('Данные 2st'!$Q$2:$Q$317=$A28),--ISNUMBER('Данные 2st'!$FA$2:$FA$317))</f>
        <v>3</v>
      </c>
      <c r="MG28">
        <f>SUMPRODUCT(--('Данные 2st'!$Q$2:$Q$317=$A28),--ISNUMBER('Данные 2st'!$FB$2:$FB$317))</f>
        <v>3</v>
      </c>
      <c r="MH28">
        <f>SUMPRODUCT(--('Данные 2st'!$Q$2:$Q$317=$A28),--ISNUMBER('Данные 2st'!$FC$2:$FC$317))</f>
        <v>3</v>
      </c>
      <c r="MI28">
        <f>SUMPRODUCT(--('Данные 2st'!$Q$2:$Q$317=$A28),--ISNUMBER('Данные 2st'!$FD$2:$FD$317))</f>
        <v>3</v>
      </c>
      <c r="MJ28">
        <f>SUMPRODUCT(--('Данные 2st'!$Q$2:$Q$317=$A28),--ISNUMBER('Данные 2st'!$FE$2:$FE$317))</f>
        <v>3</v>
      </c>
      <c r="MK28">
        <f>SUMPRODUCT(--('Данные 2st'!$Q$2:$Q$317=$A28),--ISNUMBER('Данные 2st'!$FG$2:$FG$317))</f>
        <v>3</v>
      </c>
      <c r="ML28">
        <f>SUMPRODUCT(--('Данные 2st'!$Q$2:$Q$317=$A28),--ISNUMBER('Данные 2st'!$FI$2:$FI$317))</f>
        <v>3</v>
      </c>
      <c r="MM28">
        <f>SUMPRODUCT(--('Данные 2st'!$Q$2:$Q$317=$A28),--ISNUMBER('Данные 2st'!$FJ$2:$FJ$317))</f>
        <v>3</v>
      </c>
      <c r="MN28">
        <f>SUMPRODUCT(--('Данные 2st'!$Q$2:$Q$317=$A28),--ISNUMBER('Данные 2st'!$FK$2:$FK$317))</f>
        <v>3</v>
      </c>
      <c r="MO28">
        <f>SUMPRODUCT(--('Данные 2st'!$Q$2:$Q$317=$A28),--ISNUMBER('Данные 2st'!$FP$2:$FP$317))</f>
        <v>3</v>
      </c>
      <c r="MP28">
        <f>SUMPRODUCT(--('Данные 2st'!$Q$2:$Q$317=$A28),--ISNUMBER('Данные 2st'!$FQ$2:$FQ$317))</f>
        <v>3</v>
      </c>
      <c r="MQ28">
        <f>SUMPRODUCT(--('Данные 2st'!$Q$2:$Q$317=$A28),--ISNUMBER('Данные 2st'!$FS$2:$FS$317))</f>
        <v>3</v>
      </c>
      <c r="MR28">
        <f>SUMPRODUCT(--('Данные 2st'!$Q$2:$Q$317=$A28),--ISNUMBER('Данные 2st'!$FU$2:$FU$317))</f>
        <v>3</v>
      </c>
      <c r="MS28">
        <f>SUMPRODUCT(--('Данные 2st'!$Q$2:$Q$317=$A28),--ISNUMBER('Данные 2st'!$FV$2:$FV$317))</f>
        <v>3</v>
      </c>
      <c r="MT28">
        <f>SUMPRODUCT(--('Данные 2st'!$Q$2:$Q$317=$A28),--ISNUMBER('Данные 2st'!$FW$2:$FW$317))</f>
        <v>3</v>
      </c>
      <c r="MU28">
        <f>SUMPRODUCT(--('Данные 2st'!$Q$2:$Q$317=$A28),--ISNUMBER('Данные 2st'!$FY$2:$FY$317))</f>
        <v>3</v>
      </c>
      <c r="MV28">
        <f>SUMPRODUCT(--('Данные 2st'!$Q$2:$Q$317=$A28),--ISNUMBER('Данные 2st'!$GB$2:$GB$317))</f>
        <v>3</v>
      </c>
      <c r="MW28">
        <f>SUMPRODUCT(--('Данные 2st'!$Q$2:$Q$317=$A28),--ISNUMBER('Данные 2st'!$GC$2:$GC$317))</f>
        <v>3</v>
      </c>
      <c r="MX28">
        <f>SUMPRODUCT(--('Данные 2st'!$Q$2:$Q$317=$A28),--ISNUMBER('Данные 2st'!$GD$2:$GD$317))</f>
        <v>3</v>
      </c>
      <c r="MY28">
        <f>SUMPRODUCT(--('Данные 2st'!$Q$2:$Q$317=$A28),--ISNUMBER('Данные 2st'!$GN$2:$GN$317))</f>
        <v>0</v>
      </c>
      <c r="MZ28">
        <f>SUMPRODUCT(--('Данные 2st'!$Q$2:$Q$317=$A28),--ISNUMBER('Данные 2st'!$GQ$2:$GQ$317))</f>
        <v>3</v>
      </c>
      <c r="NA28">
        <f>SUMPRODUCT(--('Данные 2st'!$Q$2:$Q$317=$A28),--ISNUMBER('Данные 2st'!$GV$2:$GV$317))</f>
        <v>3</v>
      </c>
      <c r="NB28">
        <f>SUMPRODUCT(--('Данные 2st'!$Q$2:$Q$317=$A28),--ISNUMBER('Данные 2st'!$GW$2:$GW$317))</f>
        <v>3</v>
      </c>
      <c r="NC28">
        <f>SUMPRODUCT(--('Данные 2st'!$Q$2:$Q$317=$A28),--ISNUMBER('Данные 2st'!$GX$2:$GX$317))</f>
        <v>3</v>
      </c>
      <c r="ND28">
        <f>SUMPRODUCT(--('Данные 2st'!$Q$2:$Q$317=$A28),--ISNUMBER('Данные 2st'!$GY$2:$GY$317))</f>
        <v>3</v>
      </c>
      <c r="NE28">
        <f>SUMPRODUCT(--('Данные 2st'!$Q$2:$Q$317=$A28),--ISNUMBER('Данные 2st'!$GZ$2:$GZ$317))</f>
        <v>3</v>
      </c>
      <c r="NF28">
        <f>SUMPRODUCT(--('Данные 2st'!$Q$2:$Q$317=$A28),--ISNUMBER('Данные 2st'!$HA$2:$HA$317))</f>
        <v>3</v>
      </c>
      <c r="NG28">
        <f>SUMPRODUCT(--('Данные 2st'!$Q$2:$Q$317=$A28),--ISNUMBER('Данные 2st'!$HB$2:$HB$317))</f>
        <v>3</v>
      </c>
      <c r="NH28">
        <f>SUMPRODUCT(--('Данные 2st'!$Q$2:$Q$317=$A28),--ISNUMBER('Данные 2st'!$HC$2:$HC$317))</f>
        <v>3</v>
      </c>
      <c r="NI28">
        <f>SUMPRODUCT(--('Данные 2st'!$Q$2:$Q$317=$A28),--ISNUMBER('Данные 2st'!$HD$2:$HD$317))</f>
        <v>3</v>
      </c>
      <c r="NJ28">
        <f>SUMPRODUCT(--('Данные 2st'!$Q$2:$Q$317=$A28),--ISNUMBER('Данные 2st'!$HM$2:$HM$317))</f>
        <v>3</v>
      </c>
      <c r="NK28">
        <f>SUMPRODUCT(--('Данные 2st'!$Q$2:$Q$317=$A28),--ISNUMBER('Данные 2st'!$HR$2:$HR$317))</f>
        <v>3</v>
      </c>
      <c r="NL28">
        <f>SUMPRODUCT(--('Данные 2st'!$Q$2:$Q$317=$A28),--ISNUMBER('Данные 2st'!$HS$2:$HS$317))</f>
        <v>3</v>
      </c>
      <c r="NM28">
        <f>SUMPRODUCT(--('Данные 2st'!$Q$2:$Q$317=$A28),--ISNUMBER('Данные 2st'!$HT$2:$HT$317))</f>
        <v>3</v>
      </c>
      <c r="NN28">
        <f>SUMPRODUCT(--('Данные 2st'!$Q$2:$Q$317=$A28),--ISNUMBER('Данные 2st'!$HY$2:$HY$317))</f>
        <v>3</v>
      </c>
      <c r="NO28">
        <f>SUMPRODUCT(--('Данные 2st'!$Q$2:$Q$317=$A28),--ISNUMBER('Данные 2st'!$HZ$2:$HZ$317))</f>
        <v>3</v>
      </c>
      <c r="NP28">
        <f>SUMPRODUCT(--('Данные 2st'!$Q$2:$Q$317=$A28),--ISNUMBER('Данные 2st'!$IA$2:$IA$317))</f>
        <v>3</v>
      </c>
      <c r="NQ28">
        <f>SUMPRODUCT(--('Данные 2st'!$Q$2:$Q$317=$A28),--ISNUMBER('Данные 2st'!$IB$2:$IB$317))</f>
        <v>3</v>
      </c>
      <c r="NR28">
        <f>SUMPRODUCT(--('Данные 2st'!$Q$2:$Q$317=$A28),--ISNUMBER('Данные 2st'!$IC$2:$IC$317))</f>
        <v>0</v>
      </c>
      <c r="NS28">
        <f>SUMPRODUCT(--('Данные 2st'!$Q$2:$Q$317=$A28),--ISNUMBER('Данные 2st'!$ID$2:$ID$317))</f>
        <v>3</v>
      </c>
      <c r="NT28">
        <f>SUMPRODUCT(--('Данные 2st'!$Q$2:$Q$317=$A28),--ISNUMBER('Данные 2st'!$IE$2:$IE$317))</f>
        <v>3</v>
      </c>
      <c r="NU28">
        <f>SUMPRODUCT(--('Данные 2st'!$Q$2:$Q$317=$A28),--ISNUMBER('Данные 2st'!$IF$2:$IF$317))</f>
        <v>3</v>
      </c>
      <c r="NV28">
        <f>SUMPRODUCT(--('Данные 2st'!$Q$2:$Q$317=$A28),--ISNUMBER('Данные 2st'!$IG$2:$IG$317))</f>
        <v>3</v>
      </c>
      <c r="NW28">
        <f>SUMPRODUCT(--('Данные 2st'!$Q$2:$Q$317=$A28),--ISNUMBER('Данные 2st'!$IH$2:$IH$317))</f>
        <v>3</v>
      </c>
      <c r="NX28">
        <f>SUMPRODUCT(--('Данные 2st'!$Q$2:$Q$317=$A28),--ISNUMBER('Данные 2st'!$IJ$2:$IJ$317))</f>
        <v>3</v>
      </c>
      <c r="NY28">
        <f>SUMPRODUCT(--('Данные 2st'!$Q$2:$Q$317=$A28),--ISNUMBER('Данные 2st'!$IM$2:$IM$317))</f>
        <v>3</v>
      </c>
      <c r="NZ28">
        <f>SUMPRODUCT(--('Данные 2st'!$Q$2:$Q$317=$A28),--ISNUMBER('Данные 2st'!$IN$2:$IN$317))</f>
        <v>3</v>
      </c>
      <c r="OA28">
        <f>SUMPRODUCT(--('Данные 2st'!$Q$2:$Q$317=$A28),--ISNUMBER('Данные 2st'!$IO$2:$IO$317))</f>
        <v>3</v>
      </c>
      <c r="OB28">
        <f>SUMPRODUCT(--('Данные 2st'!$Q$2:$Q$317=$A28),--ISNUMBER('Данные 2st'!$IP$2:$IP$317))</f>
        <v>3</v>
      </c>
      <c r="OC28">
        <f>SUMPRODUCT(--('Данные 2st'!$Q$2:$Q$317=$A28),--ISNUMBER('Данные 2st'!$IQ$2:$IQ$317))</f>
        <v>3</v>
      </c>
      <c r="OD28">
        <f>SUMPRODUCT(--('Данные 2st'!$Q$2:$Q$317=$A28),--ISNUMBER('Данные 2st'!$IR$2:$IR$317))</f>
        <v>3</v>
      </c>
      <c r="OE28">
        <f>SUMPRODUCT(--('Данные 2st'!$Q$2:$Q$317=$A28),--ISNUMBER('Данные 2st'!$IT$2:$IT$317))</f>
        <v>3</v>
      </c>
      <c r="OF28">
        <f>SUMPRODUCT(--('Данные 2st'!$Q$2:$Q$317=$A28),--ISNUMBER('Данные 2st'!$IU$2:$IU$317))</f>
        <v>3</v>
      </c>
      <c r="OG28">
        <f>SUMPRODUCT(--('Данные 2st'!$Q$2:$Q$317=$A28),--ISNUMBER('Данные 2st'!$IV$2:$IV$317))</f>
        <v>3</v>
      </c>
      <c r="OH28">
        <f>SUMPRODUCT(--('Данные 2st'!$Q$2:$Q$317=$A28),--ISNUMBER('Данные 2st'!$IW$2:$IW$317))</f>
        <v>3</v>
      </c>
      <c r="OI28">
        <f>SUMPRODUCT(--('Данные 2st'!$Q$2:$Q$317=$A28),--ISNUMBER('Данные 2st'!$IX$2:$IX$317))</f>
        <v>3</v>
      </c>
      <c r="OJ28">
        <f>SUMPRODUCT(--('Данные 2st'!$Q$2:$Q$317=$A28),--ISNUMBER('Данные 2st'!$IY$2:$IY$317))</f>
        <v>3</v>
      </c>
      <c r="OK28">
        <f>SUMPRODUCT(--('Данные 2st'!$Q$2:$Q$317=$A28),--ISNUMBER('Данные 2st'!$IZ$2:$IZ$317))</f>
        <v>3</v>
      </c>
      <c r="OL28">
        <f>SUMPRODUCT(--('Данные 2st'!$Q$2:$Q$317=$A28),--ISNUMBER('Данные 2st'!$JA$2:$JA$317))</f>
        <v>3</v>
      </c>
      <c r="OM28">
        <f>SUMPRODUCT(--('Данные 2st'!$Q$2:$Q$317=$A28),--ISNUMBER('Данные 2st'!$JB$2:$JB$317))</f>
        <v>3</v>
      </c>
      <c r="ON28">
        <f>SUMPRODUCT(--('Данные 2st'!$Q$2:$Q$317=$A28),--ISNUMBER('Данные 2st'!$JC$2:$JC$317))</f>
        <v>3</v>
      </c>
      <c r="OO28">
        <f>SUMPRODUCT(--('Данные 2st'!$Q$2:$Q$317=$A28),--ISNUMBER('Данные 2st'!$JD$2:$JD$317))</f>
        <v>3</v>
      </c>
      <c r="OP28">
        <f>SUMPRODUCT(--('Данные 2st'!$Q$2:$Q$317=$A28),--ISNUMBER('Данные 2st'!$JE$2:$JE$317))</f>
        <v>3</v>
      </c>
      <c r="OQ28">
        <f>SUMPRODUCT(--('Данные 2st'!$Q$2:$Q$317=$A28),--ISNUMBER('Данные 2st'!$JF$2:$JF$317))</f>
        <v>3</v>
      </c>
      <c r="OR28">
        <f>SUMPRODUCT(--('Данные 2st'!$Q$2:$Q$317=$A28),--ISNUMBER('Данные 2st'!$JG$2:$JG$317))</f>
        <v>3</v>
      </c>
      <c r="OS28">
        <f>SUMPRODUCT(--('Данные 2st'!$Q$2:$Q$317=$A28),--ISNUMBER('Данные 2st'!$JH$2:$JH$317))</f>
        <v>3</v>
      </c>
      <c r="OT28">
        <f>SUMPRODUCT(--('Данные 2st'!$Q$2:$Q$317=$A28),--ISNUMBER('Данные 2st'!$JI$2:$JI$317))</f>
        <v>3</v>
      </c>
      <c r="OU28">
        <f>SUMPRODUCT(--('Данные 2st'!$Q$2:$Q$317=$A28),--ISNUMBER('Данные 2st'!$JJ$2:$JJ$317))</f>
        <v>3</v>
      </c>
      <c r="OV28">
        <f>SUMPRODUCT(--('Данные 2st'!$Q$2:$Q$317=$A28),--ISNUMBER('Данные 2st'!$JK$2:$JK$317))</f>
        <v>3</v>
      </c>
      <c r="OW28">
        <f>SUMPRODUCT(--('Данные 2st'!$Q$2:$Q$317=$A28),--ISNUMBER('Данные 2st'!$JL$2:$JL$317))</f>
        <v>3</v>
      </c>
      <c r="OX28">
        <f>SUMPRODUCT(--('Данные 2st'!$Q$2:$Q$317=$A28),--ISNUMBER('Данные 2st'!$JM$2:$JM$317))</f>
        <v>3</v>
      </c>
      <c r="OY28">
        <f>SUMPRODUCT(--('Данные 2st'!$Q$2:$Q$317=$A28),--ISNUMBER('Данные 2st'!$JP$2:$JP$317))</f>
        <v>3</v>
      </c>
      <c r="OZ28">
        <f>SUMPRODUCT(--('Данные 2st'!$Q$2:$Q$317=$A28),--ISNUMBER('Данные 2st'!$JQ$2:$JQ$317))</f>
        <v>3</v>
      </c>
      <c r="PA28">
        <f>SUMPRODUCT(--('Данные 2st'!$Q$2:$Q$317=$A28),--ISNUMBER('Данные 2st'!$JR$2:$JR$317))</f>
        <v>3</v>
      </c>
      <c r="PB28">
        <f>SUMPRODUCT(--('Данные 2st'!$Q$2:$Q$317=$A28),--ISNUMBER('Данные 2st'!$JS$2:$JS$317))</f>
        <v>3</v>
      </c>
      <c r="PC28">
        <f>SUMPRODUCT(--('Данные 2st'!$Q$2:$Q$317=$A28),--ISNUMBER('Данные 2st'!$JT$2:$JT$317))</f>
        <v>3</v>
      </c>
      <c r="PD28">
        <f>SUMPRODUCT(--('Данные 2st'!$Q$2:$Q$317=$A28),--ISNUMBER('Данные 2st'!$JU$2:$JU$317))</f>
        <v>3</v>
      </c>
      <c r="PE28">
        <f>SUMPRODUCT(--('Данные 2st'!$Q$2:$Q$317=$A28),--ISNUMBER('Данные 2st'!$JV$2:$JV$317))</f>
        <v>3</v>
      </c>
      <c r="PF28">
        <f>SUMPRODUCT(--('Данные 2st'!$Q$2:$Q$317=$A28),--ISNUMBER('Данные 2st'!$JW$2:$JW$317))</f>
        <v>3</v>
      </c>
      <c r="PG28">
        <f>SUMPRODUCT(--('Данные 2st'!$Q$2:$Q$317=$A28),--ISNUMBER('Данные 2st'!$KF$2:$KF$317))</f>
        <v>3</v>
      </c>
      <c r="PH28">
        <f>SUMPRODUCT(--('Данные 2st'!$Q$2:$Q$317=$A28),--ISNUMBER('Данные 2st'!$KG$2:$KG$317))</f>
        <v>3</v>
      </c>
      <c r="PI28">
        <f>SUMPRODUCT(--('Данные 2st'!$Q$2:$Q$317=$A28),--ISNUMBER('Данные 2st'!$KM$2:$KM$317))</f>
        <v>3</v>
      </c>
      <c r="PJ28">
        <f>SUMPRODUCT(--('Данные 2st'!$Q$2:$Q$317=$A28),--ISNUMBER('Данные 2st'!$KN$2:$KN$317))</f>
        <v>3</v>
      </c>
      <c r="PK28">
        <f>SUMPRODUCT(--('Данные 2st'!$Q$2:$Q$317=$A28),--ISNUMBER('Данные 2st'!$KO$2:$KO$317))</f>
        <v>3</v>
      </c>
      <c r="PL28">
        <f>SUMPRODUCT(--('Данные 2st'!$Q$2:$Q$317=$A28),--ISNUMBER('Данные 2st'!$KP$2:$KP$317))</f>
        <v>3</v>
      </c>
      <c r="PM28">
        <f>SUMPRODUCT(--('Данные 2st'!$Q$2:$Q$317=$A28),--ISNUMBER('Данные 2st'!$KQ$2:$KQ$317))</f>
        <v>3</v>
      </c>
      <c r="PN28">
        <f>SUMPRODUCT(--('Данные 2st'!$Q$2:$Q$317=$A28),--ISNUMBER('Данные 2st'!$KR$2:$KR$317))</f>
        <v>3</v>
      </c>
      <c r="PO28">
        <f>SUMPRODUCT(--('Данные 2st'!$Q$2:$Q$317=$A28),--ISNUMBER('Данные 2st'!$KS$2:$KS$317))</f>
        <v>3</v>
      </c>
      <c r="PP28">
        <f>SUMPRODUCT(--('Данные 2st'!$Q$2:$Q$317=$A28),--ISNUMBER('Данные 2st'!$KT$2:$KT$317))</f>
        <v>3</v>
      </c>
      <c r="PQ28">
        <f>SUMPRODUCT(--('Данные 2st'!$Q$2:$Q$317=$A28),--ISNUMBER('Данные 2st'!$KU$2:$KU$317))</f>
        <v>3</v>
      </c>
      <c r="PR28">
        <f>SUMPRODUCT(--('Данные 2st'!$Q$2:$Q$317=$A28),--ISNUMBER('Данные 2st'!$KV$2:$KV$317))</f>
        <v>3</v>
      </c>
      <c r="PS28">
        <f>SUMPRODUCT(--('Данные 2st'!$Q$2:$Q$317=$A28),--ISNUMBER('Данные 2st'!$KW$2:$KW$317))</f>
        <v>3</v>
      </c>
      <c r="PT28">
        <f>SUMPRODUCT(--('Данные 2st'!$Q$2:$Q$317=$A28),--ISNUMBER('Данные 2st'!$KX$2:$KX$317))</f>
        <v>3</v>
      </c>
      <c r="PU28">
        <f>SUMPRODUCT(--('Данные 2st'!$Q$2:$Q$317=$A28),--ISNUMBER('Данные 2st'!$KY$2:$KY$317))</f>
        <v>3</v>
      </c>
      <c r="PV28">
        <f>SUMPRODUCT(--('Данные 2st'!$Q$2:$Q$317=$A28),--ISNUMBER('Данные 2st'!$KZ$2:$KZ$317))</f>
        <v>3</v>
      </c>
      <c r="PW28">
        <f>SUMPRODUCT(--('Данные 2st'!$Q$2:$Q$317=$A28),--ISNUMBER('Данные 2st'!$LA$2:$LA$317))</f>
        <v>3</v>
      </c>
      <c r="PX28">
        <f>SUMPRODUCT(--('Данные 2st'!$Q$2:$Q$317=$A28),--ISNUMBER('Данные 2st'!$LB$2:$LB$317))</f>
        <v>3</v>
      </c>
      <c r="PY28">
        <f>SUMPRODUCT(--('Данные 2st'!$Q$2:$Q$317=$A28),--ISNUMBER('Данные 2st'!$LC$2:$LC$317))</f>
        <v>3</v>
      </c>
      <c r="PZ28">
        <f>SUMPRODUCT(--('Данные 2st'!$Q$2:$Q$317=$A28),--ISNUMBER('Данные 2st'!$LD$2:$LD$317))</f>
        <v>3</v>
      </c>
      <c r="QA28">
        <f>SUMPRODUCT(--('Данные 2st'!$Q$2:$Q$317=$A28),--ISNUMBER('Данные 2st'!$LE$2:$LE$317))</f>
        <v>3</v>
      </c>
      <c r="QB28">
        <f>SUMPRODUCT(--('Данные 2st'!$Q$2:$Q$317=$A28),--ISNUMBER('Данные 2st'!$LF$2:$LF$317))</f>
        <v>3</v>
      </c>
      <c r="QC28">
        <f>SUMPRODUCT(--('Данные 2st'!$Q$2:$Q$317=$A28),--ISNUMBER('Данные 2st'!$LG$2:$LG$317))</f>
        <v>3</v>
      </c>
      <c r="QD28">
        <f>SUMPRODUCT(--('Данные 2st'!$Q$2:$Q$317=$A28),--ISNUMBER('Данные 2st'!$LH$2:$LH$317))</f>
        <v>3</v>
      </c>
      <c r="QE28">
        <f>SUMPRODUCT(--('Данные 2st'!$Q$2:$Q$317=$A28),--ISNUMBER('Данные 2st'!$LJ$2:$LJ$317))</f>
        <v>3</v>
      </c>
      <c r="QF28">
        <f>SUMPRODUCT(--('Данные 2st'!$Q$2:$Q$317=$A28),--ISNUMBER('Данные 2st'!$LK$2:$LK$317))</f>
        <v>3</v>
      </c>
      <c r="QG28">
        <f>SUMPRODUCT(--('Данные 2st'!$Q$2:$Q$317=$A28),--ISNUMBER('Данные 2st'!$LL$2:$LL$317))</f>
        <v>3</v>
      </c>
      <c r="QH28">
        <f>SUMPRODUCT(--('Данные 2st'!$Q$2:$Q$317=$A28),--ISNUMBER('Данные 2st'!$LM$2:$LM$317))</f>
        <v>3</v>
      </c>
      <c r="QI28">
        <f>SUMPRODUCT(--('Данные 2st'!$Q$2:$Q$317=$A28),--ISNUMBER('Данные 2st'!$LN$2:$LN$317))</f>
        <v>3</v>
      </c>
      <c r="QJ28">
        <f>SUMPRODUCT(--('Данные 2st'!$Q$2:$Q$317=$A28),--ISNUMBER('Данные 2st'!$LO$2:$LO$317))</f>
        <v>3</v>
      </c>
      <c r="QK28">
        <f>SUMPRODUCT(--('Данные 2st'!$Q$2:$Q$317=$A28),--ISNUMBER('Данные 2st'!$LP$2:$LP$317))</f>
        <v>3</v>
      </c>
      <c r="QL28">
        <f>SUMPRODUCT(--('Данные 2st'!$Q$2:$Q$317=$A28),--ISNUMBER('Данные 2st'!$LQ$2:$LQ$317))</f>
        <v>3</v>
      </c>
      <c r="QM28">
        <f>SUMPRODUCT(--('Данные 2st'!$Q$2:$Q$317=$A28),--ISNUMBER('Данные 2st'!$LW$2:$LW$317))</f>
        <v>3</v>
      </c>
      <c r="QN28">
        <f>SUMPRODUCT(--('Данные 2st'!$Q$2:$Q$317=$A28),--ISNUMBER('Данные 2st'!$LX$2:$LX$317))</f>
        <v>3</v>
      </c>
      <c r="QO28">
        <f>SUMPRODUCT(--('Данные 2st'!$Q$2:$Q$317=$A28),--ISNUMBER('Данные 2st'!$LY$2:$LY$317))</f>
        <v>3</v>
      </c>
      <c r="QP28">
        <f>SUMPRODUCT(--('Данные 2st'!$Q$2:$Q$317=$A28),--ISNUMBER('Данные 2st'!$LZ$2:$LZ$317))</f>
        <v>3</v>
      </c>
      <c r="QQ28">
        <f>SUMPRODUCT(--('Данные 2st'!$Q$2:$Q$317=$A28),--ISNUMBER('Данные 2st'!$MB$2:$MB$317))</f>
        <v>3</v>
      </c>
      <c r="QR28">
        <f>SUMPRODUCT(--('Данные 2st'!$Q$2:$Q$317=$A28),--ISNUMBER('Данные 2st'!$MG$2:$MG$317))</f>
        <v>3</v>
      </c>
      <c r="QS28">
        <f>SUMPRODUCT(--('Данные 2st'!$Q$2:$Q$317=$A28),--ISNUMBER('Данные 2st'!$MH$2:$MH$317))</f>
        <v>3</v>
      </c>
      <c r="QT28">
        <f>SUMPRODUCT(--('Данные 2st'!$Q$2:$Q$317=$A28),--ISNUMBER('Данные 2st'!$MI$2:$MI$317))</f>
        <v>3</v>
      </c>
      <c r="QU28">
        <f>SUMPRODUCT(--('Данные 2st'!$Q$2:$Q$317=$A28),--ISNUMBER('Данные 2st'!$MJ$2:$MJ$317))</f>
        <v>3</v>
      </c>
      <c r="QV28">
        <f>SUMPRODUCT(--('Данные 2st'!$Q$2:$Q$317=$A28),--ISNUMBER('Данные 2st'!$MK$2:$MK$317))</f>
        <v>3</v>
      </c>
      <c r="QW28">
        <f>SUMPRODUCT(--('Данные 2st'!$Q$2:$Q$317=$A28),--ISNUMBER('Данные 2st'!$MM$2:$MM$317))</f>
        <v>3</v>
      </c>
      <c r="QX28">
        <f>SUMPRODUCT(--('Данные 2st'!$Q$2:$Q$317=$A28),--ISNUMBER('Данные 2st'!$MQ$2:$MQ$317))</f>
        <v>0</v>
      </c>
      <c r="QY28">
        <f>SUMPRODUCT(--('Данные 2st'!$Q$2:$Q$317=$A28),--ISNUMBER('Данные 2st'!$MR$2:$MR$317))</f>
        <v>0</v>
      </c>
      <c r="QZ28">
        <f>SUMPRODUCT(--('Данные 2st'!$Q$2:$Q$317=$A28),--ISNUMBER('Данные 2st'!$MS$2:$MS$317))</f>
        <v>0</v>
      </c>
      <c r="RA28">
        <f>SUMPRODUCT(--('Данные 2st'!$Q$2:$Q$317=$A28),--ISNUMBER('Данные 2st'!$MT$2:$MT$317))</f>
        <v>0</v>
      </c>
      <c r="RB28">
        <f>SUMPRODUCT(--('Данные 2st'!$Q$2:$Q$317=$A28),--ISNUMBER('Данные 2st'!$MU$2:$MU$317))</f>
        <v>0</v>
      </c>
      <c r="RC28">
        <f>SUMPRODUCT(--('Данные 2st'!$Q$2:$Q$317=$A28),--ISNUMBER('Данные 2st'!$MV$2:$MV$317))</f>
        <v>0</v>
      </c>
      <c r="RD28">
        <f>SUMPRODUCT(--('Данные 2st'!$Q$2:$Q$317=$A28),--ISNUMBER('Данные 2st'!$MW$2:$MW$317))</f>
        <v>0</v>
      </c>
      <c r="RE28">
        <f>SUMPRODUCT(--('Данные 2st'!$Q$2:$Q$317=$A28),--ISNUMBER('Данные 2st'!$MX$2:$MX$317))</f>
        <v>0</v>
      </c>
      <c r="RF28">
        <f>SUMPRODUCT(--('Данные 2st'!$Q$2:$Q$317=$A28),--ISNUMBER('Данные 2st'!$MY$2:$MY$317))</f>
        <v>0</v>
      </c>
      <c r="RG28">
        <f>SUMPRODUCT(--('Данные 2st'!$Q$2:$Q$317=$A28),--ISNUMBER('Данные 2st'!$MZ$2:$MZ$317))</f>
        <v>0</v>
      </c>
      <c r="RH28">
        <f>SUMPRODUCT(--('Данные 2st'!$Q$2:$Q$317=$A28),--ISNUMBER('Данные 2st'!$NA$2:$NA$317))</f>
        <v>0</v>
      </c>
      <c r="RI28">
        <f>SUMPRODUCT(--('Данные 2st'!$Q$2:$Q$317=$A28),--ISNUMBER('Данные 2st'!$NB$2:$NB$317))</f>
        <v>0</v>
      </c>
      <c r="RJ28">
        <f>SUMPRODUCT(--('Данные 2st'!$Q$2:$Q$317=$A28),--ISNUMBER('Данные 2st'!$NC$2:$NC$317))</f>
        <v>0</v>
      </c>
      <c r="RK28">
        <f>SUMPRODUCT(--('Данные 2st'!$Q$2:$Q$317=$A28),--ISNUMBER('Данные 2st'!$ND$2:$ND$317))</f>
        <v>0</v>
      </c>
      <c r="RL28">
        <f>SUMPRODUCT(--('Данные 2st'!$Q$2:$Q$317=$A28),--ISNUMBER('Данные 2st'!$NE$2:$NE$317))</f>
        <v>0</v>
      </c>
      <c r="RM28">
        <f>SUMPRODUCT(--('Данные 2st'!$Q$2:$Q$317=$A28),--ISNUMBER('Данные 2st'!$NF$2:$NF$317))</f>
        <v>0</v>
      </c>
      <c r="RN28">
        <f>SUMPRODUCT(--('Данные 2st'!$Q$2:$Q$317=$A28),--ISNUMBER('Данные 2st'!$NG$2:$NG$317))</f>
        <v>0</v>
      </c>
      <c r="RO28">
        <f>SUMPRODUCT(--('Данные 2st'!$Q$2:$Q$317=$A28),--ISNUMBER('Данные 2st'!$NH$2:$NH$317))</f>
        <v>0</v>
      </c>
      <c r="RP28">
        <f>SUMPRODUCT(--('Данные 2st'!$Q$2:$Q$317=$A28),--ISNUMBER('Данные 2st'!$NJ$2:$NJ$317))</f>
        <v>0</v>
      </c>
      <c r="RQ28">
        <f>SUMPRODUCT(--('Данные 2st'!$Q$2:$Q$317=$A28),--ISNUMBER('Данные 2st'!$NK$2:$NK$317))</f>
        <v>0</v>
      </c>
      <c r="RR28">
        <f>SUMPRODUCT(--('Данные 2st'!$Q$2:$Q$317=$A28),--ISNUMBER('Данные 2st'!$NM$2:$NM$317))</f>
        <v>0</v>
      </c>
      <c r="RS28">
        <f>SUMPRODUCT(--('Данные 2st'!$Q$2:$Q$317=$A28),--ISNUMBER('Данные 2st'!$NN$2:$NN$317))</f>
        <v>0</v>
      </c>
      <c r="RT28">
        <f>SUMPRODUCT(--('Данные 2st'!$Q$2:$Q$317=$A28),--ISNUMBER('Данные 2st'!$NO$2:$NO$317))</f>
        <v>0</v>
      </c>
      <c r="RU28">
        <f>SUMPRODUCT(--('Данные 2st'!$Q$2:$Q$317=$A28),--ISNUMBER('Данные 2st'!$NP$2:$NP$317))</f>
        <v>0</v>
      </c>
      <c r="RV28">
        <f>SUMPRODUCT(--('Данные 2st'!$Q$2:$Q$317=$A28),--ISNUMBER('Данные 2st'!$NQ$2:$NQ$317))</f>
        <v>0</v>
      </c>
      <c r="RW28">
        <f>SUMPRODUCT(--('Данные 2st'!$Q$2:$Q$317=$A28),--ISNUMBER('Данные 2st'!$NR$2:$NR$317))</f>
        <v>0</v>
      </c>
      <c r="RX28">
        <f>SUMPRODUCT(--('Данные 2st'!$Q$2:$Q$317=$A28),--ISNUMBER('Данные 2st'!$NS$2:$NS$317))</f>
        <v>0</v>
      </c>
      <c r="RY28">
        <f>SUMPRODUCT(--('Данные 2st'!$Q$2:$Q$317=$A28),--ISNUMBER('Данные 2st'!$NT$2:$NT$317))</f>
        <v>0</v>
      </c>
      <c r="RZ28">
        <f>SUMPRODUCT(--('Данные 2st'!$Q$2:$Q$317=$A28),--ISNUMBER('Данные 2st'!$OK$2:$OK$317))</f>
        <v>3</v>
      </c>
      <c r="SA28">
        <f>SUMPRODUCT(--('Данные 2st'!$Q$2:$Q$317=$A28),--ISNUMBER('Данные 2st'!$OL$2:$OL$317))</f>
        <v>3</v>
      </c>
      <c r="SB28">
        <f>SUMPRODUCT(--('Данные 2st'!$Q$2:$Q$317=$A28),--ISNUMBER('Данные 2st'!$ON$2:$ON$317))</f>
        <v>3</v>
      </c>
      <c r="SC28">
        <f>SUMPRODUCT(--('Данные 2st'!$Q$2:$Q$317=$A28),--ISNUMBER('Данные 2st'!$OO$2:$OO$317))</f>
        <v>3</v>
      </c>
      <c r="SD28">
        <f>SUMPRODUCT(--('Данные 2st'!$Q$2:$Q$317=$A28),--ISNUMBER('Данные 2st'!$OP$2:$OP$317))</f>
        <v>3</v>
      </c>
      <c r="SE28">
        <f>SUMPRODUCT(--('Данные 2st'!$Q$2:$Q$317=$A28),--ISNUMBER('Данные 2st'!$OQ$2:$OQ$317))</f>
        <v>3</v>
      </c>
      <c r="SF28">
        <f>SUMPRODUCT(--('Данные 2st'!$Q$2:$Q$317=$A28),--ISNUMBER('Данные 2st'!$OS$2:$OS$317))</f>
        <v>3</v>
      </c>
      <c r="SG28">
        <f>SUMPRODUCT(--('Данные 2st'!$Q$2:$Q$317=$A28),--ISNUMBER('Данные 2st'!$OT$2:$OT$317))</f>
        <v>3</v>
      </c>
      <c r="SH28">
        <f>SUMPRODUCT(--('Данные 2st'!$Q$2:$Q$317=$A28),--ISNUMBER('Данные 2st'!$OU$2:$OU$317))</f>
        <v>3</v>
      </c>
      <c r="SI28">
        <f>SUMPRODUCT(--('Данные 2st'!$Q$2:$Q$317=$A28),--ISNUMBER('Данные 2st'!$OV$2:$OV$317))</f>
        <v>3</v>
      </c>
      <c r="SJ28">
        <f>SUMPRODUCT(--('Данные 2st'!$Q$2:$Q$317=$A28),--ISNUMBER('Данные 2st'!$OX$2:$OX$317))</f>
        <v>3</v>
      </c>
      <c r="SK28">
        <f>SUMPRODUCT(--('Данные 2st'!$Q$2:$Q$317=$A28),--ISNUMBER('Данные 2st'!$OY$2:$OY$317))</f>
        <v>3</v>
      </c>
      <c r="SL28">
        <f>SUMPRODUCT(--('Данные 2st'!$Q$2:$Q$317=$A28),--ISNUMBER('Данные 2st'!$OZ$2:$OZ$317))</f>
        <v>3</v>
      </c>
      <c r="SM28">
        <f>SUMPRODUCT(--('Данные 2st'!$Q$2:$Q$317=$A28),--ISNUMBER('Данные 2st'!$PA$2:$PA$317))</f>
        <v>3</v>
      </c>
      <c r="SN28">
        <f>SUMPRODUCT(--('Данные 2st'!$Q$2:$Q$317=$A28),--ISNUMBER('Данные 2st'!$PC$2:$PC$317))</f>
        <v>3</v>
      </c>
      <c r="SO28">
        <f>SUMPRODUCT(--('Данные 2st'!$Q$2:$Q$317=$A28),--ISNUMBER('Данные 2st'!$PD$2:$PD$317))</f>
        <v>3</v>
      </c>
      <c r="SP28">
        <f>SUMPRODUCT(--('Данные 2st'!$Q$2:$Q$317=$A28),--ISNUMBER('Данные 2st'!$PF$2:$PF$317))</f>
        <v>3</v>
      </c>
      <c r="SQ28">
        <f>SUMPRODUCT(--('Данные 2st'!$Q$2:$Q$317=$A28),--ISNUMBER('Данные 2st'!$PG$2:$PG$317))</f>
        <v>3</v>
      </c>
      <c r="SR28">
        <f>SUMPRODUCT(--('Данные 2st'!$Q$2:$Q$317=$A28),--ISNUMBER('Данные 2st'!$PH$2:$PH$317))</f>
        <v>3</v>
      </c>
      <c r="SS28">
        <f>SUMPRODUCT(--('Данные 2st'!$Q$2:$Q$317=$A28),--ISNUMBER('Данные 2st'!$PI$2:$PI$317))</f>
        <v>3</v>
      </c>
      <c r="ST28">
        <f>SUMPRODUCT(--('Данные 2st'!$Q$2:$Q$317=$A28),--ISNUMBER('Данные 2st'!$PJ$2:$PJ$317))</f>
        <v>3</v>
      </c>
      <c r="SU28">
        <f>SUMPRODUCT(--('Данные 2st'!$Q$2:$Q$317=$A28),--ISNUMBER('Данные 2st'!$PK$2:$PK$317))</f>
        <v>2</v>
      </c>
      <c r="SV28">
        <f>SUMPRODUCT(--('Данные 2st'!$Q$2:$Q$317=$A28),--ISNUMBER('Данные 2st'!$PL$2:$PL$317))</f>
        <v>3</v>
      </c>
      <c r="SW28">
        <f>SUMPRODUCT(--('Данные 2st'!$Q$2:$Q$317=$A28),--ISNUMBER('Данные 2st'!$PM$2:$PM$317))</f>
        <v>3</v>
      </c>
      <c r="SX28">
        <f>SUMPRODUCT(--('Данные 2st'!$Q$2:$Q$317=$A28),--ISNUMBER('Данные 2st'!$PN$2:$PN$317))</f>
        <v>3</v>
      </c>
      <c r="SY28">
        <f>SUMPRODUCT(--('Данные 2st'!$Q$2:$Q$317=$A28),--ISNUMBER('Данные 2st'!$PO$2:$PO$317))</f>
        <v>3</v>
      </c>
      <c r="SZ28">
        <f>SUMPRODUCT(--('Данные 2st'!$Q$2:$Q$317=$A28),--ISNUMBER('Данные 2st'!$PP$2:$PP$317))</f>
        <v>3</v>
      </c>
      <c r="TA28">
        <f>SUMPRODUCT(--('Данные 2st'!$Q$2:$Q$317=$A28),--ISNUMBER('Данные 2st'!$PQ$2:$PQ$317))</f>
        <v>3</v>
      </c>
      <c r="TB28">
        <f>SUMPRODUCT(--('Данные 2st'!$Q$2:$Q$317=$A28),--ISNUMBER('Данные 2st'!$PR$2:$PR$317))</f>
        <v>3</v>
      </c>
      <c r="TC28">
        <f>SUMPRODUCT(--('Данные 2st'!$Q$2:$Q$317=$A28),--ISNUMBER('Данные 2st'!$PS$2:$PS$317))</f>
        <v>3</v>
      </c>
      <c r="TD28">
        <f>SUMPRODUCT(--('Данные 2st'!$Q$2:$Q$317=$A28),--ISNUMBER('Данные 2st'!$PT$2:$PT$317))</f>
        <v>3</v>
      </c>
      <c r="TE28">
        <f>SUMPRODUCT(--('Данные 2st'!$Q$2:$Q$317=$A28),--ISNUMBER('Данные 2st'!$PU$2:$PU$317))</f>
        <v>3</v>
      </c>
      <c r="TF28">
        <f>SUMPRODUCT(--('Данные 2st'!$Q$2:$Q$317=$A28),--ISNUMBER('Данные 2st'!$PX$2:$PX$317))</f>
        <v>3</v>
      </c>
      <c r="TG28">
        <f>SUMPRODUCT(--('Данные 2st'!$Q$2:$Q$317=$A28),--ISNUMBER('Данные 2st'!$PY$2:$PY$317))</f>
        <v>3</v>
      </c>
      <c r="TH28">
        <f>SUMPRODUCT(--('Данные 2st'!$Q$2:$Q$317=$A28),--ISNUMBER('Данные 2st'!$PZ$2:$PZ$317))</f>
        <v>3</v>
      </c>
      <c r="TI28">
        <f>SUMPRODUCT(--('Данные 2st'!$Q$2:$Q$317=$A28),--ISNUMBER('Данные 2st'!$QA$2:$QA$317))</f>
        <v>3</v>
      </c>
      <c r="TJ28">
        <f>SUMPRODUCT(--('Данные 2st'!$Q$2:$Q$317=$A28),--ISNUMBER('Данные 2st'!$QB$2:$QB$317))</f>
        <v>3</v>
      </c>
      <c r="TK28">
        <f>SUMPRODUCT(--('Данные 2st'!$Q$2:$Q$317=$A28),--ISNUMBER('Данные 2st'!$QC$2:$QC$317))</f>
        <v>3</v>
      </c>
      <c r="TL28">
        <f>SUMPRODUCT(--('Данные 2st'!$Q$2:$Q$317=$A28),--ISNUMBER('Данные 2st'!$QD$2:$QD$317))</f>
        <v>3</v>
      </c>
      <c r="TM28">
        <f>SUMPRODUCT(--('Данные 2st'!$Q$2:$Q$317=$A28),--ISNUMBER('Данные 2st'!$QE$2:$QE$317))</f>
        <v>3</v>
      </c>
      <c r="TN28">
        <f>SUMPRODUCT(--('Данные 2st'!$Q$2:$Q$317=$A28),--ISNUMBER('Данные 2st'!$QF$2:$QF$317))</f>
        <v>3</v>
      </c>
      <c r="TO28">
        <f>SUMPRODUCT(--('Данные 2st'!$Q$2:$Q$317=$A28),--ISNUMBER('Данные 2st'!$QG$2:$QG$317))</f>
        <v>3</v>
      </c>
      <c r="TP28">
        <f>SUMPRODUCT(--('Данные 2st'!$Q$2:$Q$317=$A28),--ISNUMBER('Данные 2st'!$QH$2:$QH$317))</f>
        <v>3</v>
      </c>
      <c r="TQ28">
        <f>SUMPRODUCT(--('Данные 2st'!$Q$2:$Q$317=$A28),--ISNUMBER('Данные 2st'!$QI$2:$QI$317))</f>
        <v>3</v>
      </c>
      <c r="TR28">
        <f>SUMPRODUCT(--('Данные 2st'!$Q$2:$Q$317=$A28),--ISNUMBER('Данные 2st'!$QJ$2:$QJ$317))</f>
        <v>3</v>
      </c>
      <c r="TS28">
        <f>SUMPRODUCT(--('Данные 2st'!$Q$2:$Q$317=$A28),--ISNUMBER('Данные 2st'!$QK$2:$QK$317))</f>
        <v>3</v>
      </c>
      <c r="TT28">
        <f>SUMPRODUCT(--('Данные 2st'!$Q$2:$Q$317=$A28),--ISNUMBER('Данные 2st'!$QL$2:$QL$317))</f>
        <v>3</v>
      </c>
      <c r="TU28">
        <f>SUMPRODUCT(--('Данные 2st'!$Q$2:$Q$317=$A28),--ISNUMBER('Данные 2st'!$QM$2:$QM$317))</f>
        <v>3</v>
      </c>
      <c r="TV28">
        <f>SUMPRODUCT(--('Данные 2st'!$Q$2:$Q$317=$A28),--ISNUMBER('Данные 2st'!$QN$2:$QN$317))</f>
        <v>3</v>
      </c>
      <c r="TW28">
        <f>SUMPRODUCT(--('Данные 2st'!$Q$2:$Q$317=$A28),--ISNUMBER('Данные 2st'!$QQ$2:$QQ$317))</f>
        <v>3</v>
      </c>
      <c r="TX28">
        <f>SUMPRODUCT(--('Данные 2st'!$Q$2:$Q$317=$A28),--ISNUMBER('Данные 2st'!$QS$2:$QS$317))</f>
        <v>2</v>
      </c>
      <c r="TY28">
        <f>SUMPRODUCT(--('Данные 2st'!$Q$2:$Q$317=$A28),--ISNUMBER('Данные 2st'!$QT$2:$QT$317))</f>
        <v>2</v>
      </c>
    </row>
    <row r="29" spans="1:545" ht="32" customHeight="1">
      <c r="A29" s="11" t="str">
        <f>'По размерам'!A29</f>
        <v>215/70R16</v>
      </c>
      <c r="G29">
        <f>SUMPRODUCT(--('Данные 1st'!$S$2:$S$317=$A29),--ISNUMBER('Данные 1st'!$AE$2:$AE$317))</f>
        <v>3</v>
      </c>
      <c r="H29">
        <f>SUMPRODUCT(--('Данные 1st'!$S$2:$S$317=$A29),--ISNUMBER('Данные 1st'!$AF$2:$AF$317))</f>
        <v>3</v>
      </c>
      <c r="I29">
        <f>SUMPRODUCT(--('Данные 1st'!$S$2:$S$317=$A29),--ISNUMBER('Данные 1st'!$AJ$2:$AJ$317))</f>
        <v>3</v>
      </c>
      <c r="J29">
        <f>SUMPRODUCT(--('Данные 1st'!$S$2:$S$317=$A29),--ISNUMBER('Данные 1st'!$AL$2:$AL$317))</f>
        <v>3</v>
      </c>
      <c r="K29">
        <f>SUMPRODUCT(--('Данные 1st'!$S$2:$S$317=$A29),--ISNUMBER('Данные 1st'!$AR$2:$AR$317))</f>
        <v>3</v>
      </c>
      <c r="L29">
        <f>SUMPRODUCT(--('Данные 1st'!$S$2:$S$317=$A29),--ISNUMBER('Данные 1st'!$AS$2:$AS$317))</f>
        <v>3</v>
      </c>
      <c r="M29">
        <f>SUMPRODUCT(--('Данные 1st'!$S$2:$S$317=$A29),--ISNUMBER('Данные 1st'!$AY$2:$AY$317))</f>
        <v>3</v>
      </c>
      <c r="N29">
        <f>SUMPRODUCT(--('Данные 1st'!$S$2:$S$317=$A29),--ISNUMBER('Данные 1st'!$AZ$2:$AZ$317))</f>
        <v>3</v>
      </c>
      <c r="O29">
        <f>SUMPRODUCT(--('Данные 1st'!$S$2:$S$317=$A29),--ISNUMBER('Данные 1st'!$BF$2:$BF$317))</f>
        <v>3</v>
      </c>
      <c r="P29">
        <f>SUMPRODUCT(--('Данные 1st'!$S$2:$S$317=$A29),--ISNUMBER('Данные 1st'!$BG$2:$BG$317))</f>
        <v>3</v>
      </c>
      <c r="Q29">
        <f>SUMPRODUCT(--('Данные 1st'!$S$2:$S$317=$A29),--ISNUMBER('Данные 1st'!$BM$2:$BM$317))</f>
        <v>0</v>
      </c>
      <c r="R29">
        <f>SUMPRODUCT(--('Данные 1st'!$S$2:$S$317=$A29),--ISNUMBER('Данные 1st'!$BN$2:$BN$317))</f>
        <v>3</v>
      </c>
      <c r="S29">
        <f>SUMPRODUCT(--('Данные 1st'!$S$2:$S$317=$A29),--ISNUMBER('Данные 1st'!$BT$2:$BT$317))</f>
        <v>3</v>
      </c>
      <c r="T29">
        <f>SUMPRODUCT(--('Данные 1st'!$S$2:$S$317=$A29),--ISNUMBER('Данные 1st'!$BU$2:$BU$317))</f>
        <v>3</v>
      </c>
      <c r="U29">
        <f>SUMPRODUCT(--('Данные 1st'!$S$2:$S$317=$A29),--ISNUMBER('Данные 1st'!$BW$2:$BW$317))</f>
        <v>3</v>
      </c>
      <c r="V29">
        <f>SUMPRODUCT(--('Данные 1st'!$S$2:$S$317=$A29),--ISNUMBER('Данные 1st'!$BX$2:$BX$317))</f>
        <v>3</v>
      </c>
      <c r="W29">
        <f>SUMPRODUCT(--('Данные 1st'!$S$2:$S$317=$A29),--ISNUMBER('Данные 1st'!$BZ$2:$BZ$317))</f>
        <v>3</v>
      </c>
      <c r="X29">
        <f>SUMPRODUCT(--('Данные 1st'!$S$2:$S$317=$A29),--ISNUMBER('Данные 1st'!$CA$2:$CA$317))</f>
        <v>3</v>
      </c>
      <c r="Y29">
        <f>SUMPRODUCT(--('Данные 1st'!$S$2:$S$317=$A29),--ISNUMBER('Данные 1st'!$CD$2:$CD$317))</f>
        <v>3</v>
      </c>
      <c r="Z29">
        <f>SUMPRODUCT(--('Данные 1st'!$S$2:$S$317=$A29),--ISNUMBER('Данные 1st'!$CF$2:$CF$317))</f>
        <v>3</v>
      </c>
      <c r="AA29">
        <f>SUMPRODUCT(--('Данные 1st'!$S$2:$S$317=$A29),--ISNUMBER('Данные 1st'!$CI$2:$CI$317))</f>
        <v>3</v>
      </c>
      <c r="AB29">
        <f>SUMPRODUCT(--('Данные 1st'!$S$2:$S$317=$A29),--ISNUMBER('Данные 1st'!$CJ$2:$CJ$317))</f>
        <v>3</v>
      </c>
      <c r="AC29">
        <f>SUMPRODUCT(--('Данные 1st'!$S$2:$S$317=$A29),--ISNUMBER('Данные 1st'!$CK$2:$CK$317))</f>
        <v>3</v>
      </c>
      <c r="AD29">
        <f>SUMPRODUCT(--('Данные 1st'!$S$2:$S$317=$A29),--ISNUMBER('Данные 1st'!$CL$2:$CL$317))</f>
        <v>3</v>
      </c>
      <c r="AE29">
        <f>SUMPRODUCT(--('Данные 1st'!$S$2:$S$317=$A29),--ISNUMBER('Данные 1st'!$CM$2:$CM$317))</f>
        <v>3</v>
      </c>
      <c r="AF29">
        <f>SUMPRODUCT(--('Данные 1st'!$S$2:$S$317=$A29),--ISNUMBER('Данные 1st'!$CT$2:$CT$317))</f>
        <v>3</v>
      </c>
      <c r="AG29">
        <f>SUMPRODUCT(--('Данные 1st'!$S$2:$S$317=$A29),--ISNUMBER('Данные 1st'!$CU$2:$CU$317))</f>
        <v>3</v>
      </c>
      <c r="AH29">
        <f>SUMPRODUCT(--('Данные 1st'!$S$2:$S$317=$A29),--ISNUMBER('Данные 1st'!$CV$2:$CV$317))</f>
        <v>3</v>
      </c>
      <c r="AI29">
        <f>SUMPRODUCT(--('Данные 1st'!$S$2:$S$317=$A29),--ISNUMBER('Данные 1st'!$CW$2:$CW$317))</f>
        <v>3</v>
      </c>
      <c r="AJ29">
        <f>SUMPRODUCT(--('Данные 1st'!$S$2:$S$317=$A29),--ISNUMBER('Данные 1st'!$CX$2:$CX$317))</f>
        <v>3</v>
      </c>
      <c r="AK29">
        <f>SUMPRODUCT(--('Данные 1st'!$S$2:$S$317=$A29),--ISNUMBER('Данные 1st'!$CZ$2:$CZ$317))</f>
        <v>0</v>
      </c>
      <c r="AL29">
        <f>SUMPRODUCT(--('Данные 1st'!$S$2:$S$317=$A29),--ISNUMBER('Данные 1st'!$DA$2:$DA$317))</f>
        <v>0</v>
      </c>
      <c r="AM29">
        <f>SUMPRODUCT(--('Данные 1st'!$S$2:$S$317=$A29),--ISNUMBER('Данные 1st'!$DB$2:$DB$317))</f>
        <v>0</v>
      </c>
      <c r="AN29">
        <f>SUMPRODUCT(--('Данные 1st'!$S$2:$S$317=$A29),--ISNUMBER('Данные 1st'!$DC$2:$DC$317))</f>
        <v>0</v>
      </c>
      <c r="AO29">
        <f>SUMPRODUCT(--('Данные 1st'!$S$2:$S$317=$A29),--ISNUMBER('Данные 1st'!$DD$2:$DD$317))</f>
        <v>3</v>
      </c>
      <c r="AP29">
        <f>SUMPRODUCT(--('Данные 1st'!$S$2:$S$317=$A29),--ISNUMBER('Данные 1st'!$DF$2:$DF$317))</f>
        <v>3</v>
      </c>
      <c r="AQ29">
        <f>SUMPRODUCT(--('Данные 1st'!$S$2:$S$317=$A29),--ISNUMBER('Данные 1st'!$DG$2:$DG$317))</f>
        <v>3</v>
      </c>
      <c r="AR29">
        <f>SUMPRODUCT(--('Данные 1st'!$S$2:$S$317=$A29),--ISNUMBER('Данные 1st'!$DH$2:$DH$317))</f>
        <v>3</v>
      </c>
      <c r="AS29">
        <f>SUMPRODUCT(--('Данные 1st'!$S$2:$S$317=$A29),--ISNUMBER('Данные 1st'!$DI$2:$DI$317))</f>
        <v>3</v>
      </c>
      <c r="AT29">
        <f>SUMPRODUCT(--('Данные 1st'!$S$2:$S$317=$A29),--ISNUMBER('Данные 1st'!$DJ$2:$DJ$317))</f>
        <v>3</v>
      </c>
      <c r="AU29">
        <f>SUMPRODUCT(--('Данные 1st'!$S$2:$S$317=$A29),--ISNUMBER('Данные 1st'!$DL$2:$DL$317))</f>
        <v>3</v>
      </c>
      <c r="AV29">
        <f>SUMPRODUCT(--('Данные 1st'!$S$2:$S$317=$A29),--ISNUMBER('Данные 1st'!$DM$2:$DM$317))</f>
        <v>3</v>
      </c>
      <c r="AW29">
        <f>SUMPRODUCT(--('Данные 1st'!$S$2:$S$317=$A29),--ISNUMBER('Данные 1st'!$DN$2:$DN$317))</f>
        <v>3</v>
      </c>
      <c r="AX29">
        <f>SUMPRODUCT(--('Данные 1st'!$S$2:$S$317=$A29),--ISNUMBER('Данные 1st'!$DO$2:$DO$317))</f>
        <v>3</v>
      </c>
      <c r="AY29">
        <f>SUMPRODUCT(--('Данные 1st'!$S$2:$S$317=$A29),--ISNUMBER('Данные 1st'!$DP$2:$DP$317))</f>
        <v>3</v>
      </c>
      <c r="AZ29">
        <f>SUMPRODUCT(--('Данные 1st'!$S$2:$S$317=$A29),--ISNUMBER('Данные 1st'!$DR$2:$DR$317))</f>
        <v>0</v>
      </c>
      <c r="BA29">
        <f>SUMPRODUCT(--('Данные 1st'!$S$2:$S$317=$A29),--ISNUMBER('Данные 1st'!$DS$2:$DS$317))</f>
        <v>0</v>
      </c>
      <c r="BB29">
        <f>SUMPRODUCT(--('Данные 1st'!$S$2:$S$317=$A29),--ISNUMBER('Данные 1st'!$DT$2:$DT$317))</f>
        <v>0</v>
      </c>
      <c r="BC29">
        <f>SUMPRODUCT(--('Данные 1st'!$S$2:$S$317=$A29),--ISNUMBER('Данные 1st'!$DU$2:$DU$317))</f>
        <v>0</v>
      </c>
      <c r="BD29">
        <f>SUMPRODUCT(--('Данные 1st'!$S$2:$S$317=$A29),--ISNUMBER('Данные 1st'!$DV$2:$DV$317))</f>
        <v>0</v>
      </c>
      <c r="BE29">
        <f>SUMPRODUCT(--('Данные 1st'!$S$2:$S$317=$A29),--ISNUMBER('Данные 1st'!$DX$2:$DX$317))</f>
        <v>3</v>
      </c>
      <c r="BF29">
        <f>SUMPRODUCT(--('Данные 1st'!$S$2:$S$317=$A29),--ISNUMBER('Данные 1st'!$EA$2:$EA$317))</f>
        <v>3</v>
      </c>
      <c r="BG29">
        <f>SUMPRODUCT(--('Данные 1st'!$S$2:$S$317=$A29),--ISNUMBER('Данные 1st'!$EB$2:$EB$317))</f>
        <v>3</v>
      </c>
      <c r="BH29">
        <f>SUMPRODUCT(--('Данные 1st'!$S$2:$S$317=$A29),--ISNUMBER('Данные 1st'!$ED$2:$ED$317))</f>
        <v>3</v>
      </c>
      <c r="BI29">
        <f>SUMPRODUCT(--('Данные 1st'!$S$2:$S$317=$A29),--ISNUMBER('Данные 1st'!$EE$2:$EE$317))</f>
        <v>3</v>
      </c>
      <c r="BJ29">
        <f>SUMPRODUCT(--('Данные 1st'!$S$2:$S$317=$A29),--ISNUMBER('Данные 1st'!$EG$2:$EG$317))</f>
        <v>3</v>
      </c>
      <c r="BK29">
        <f>SUMPRODUCT(--('Данные 1st'!$S$2:$S$317=$A29),--ISNUMBER('Данные 1st'!$EH$2:$EH$317))</f>
        <v>3</v>
      </c>
      <c r="BL29">
        <f>SUMPRODUCT(--('Данные 1st'!$S$2:$S$317=$A29),--ISNUMBER('Данные 1st'!$EJ$2:$EJ$317))</f>
        <v>3</v>
      </c>
      <c r="BM29">
        <f>SUMPRODUCT(--('Данные 1st'!$S$2:$S$317=$A29),--ISNUMBER('Данные 1st'!$EK$2:$EK$317))</f>
        <v>3</v>
      </c>
      <c r="BN29">
        <f>SUMPRODUCT(--('Данные 1st'!$S$2:$S$317=$A29),--ISNUMBER('Данные 1st'!$EN$2:$EN$317))</f>
        <v>3</v>
      </c>
      <c r="BO29">
        <f>SUMPRODUCT(--('Данные 1st'!$S$2:$S$317=$A29),--ISNUMBER('Данные 1st'!$EQ$2:$EQ$317))</f>
        <v>3</v>
      </c>
      <c r="BP29">
        <f>SUMPRODUCT(--('Данные 1st'!$S$2:$S$317=$A29),--ISNUMBER('Данные 1st'!$ER$2:$ER$317))</f>
        <v>3</v>
      </c>
      <c r="BQ29">
        <f>SUMPRODUCT(--('Данные 1st'!$S$2:$S$317=$A29),--ISNUMBER('Данные 1st'!$ES$2:$ES$317))</f>
        <v>3</v>
      </c>
      <c r="BR29">
        <f>SUMPRODUCT(--('Данные 1st'!$S$2:$S$317=$A29),--ISNUMBER('Данные 1st'!$ET$2:$ET$317))</f>
        <v>3</v>
      </c>
      <c r="BS29">
        <f>SUMPRODUCT(--('Данные 1st'!$S$2:$S$317=$A29),--ISNUMBER('Данные 1st'!$EU$2:$EU$317))</f>
        <v>3</v>
      </c>
      <c r="BT29">
        <f>SUMPRODUCT(--('Данные 1st'!$S$2:$S$317=$A29),--ISNUMBER('Данные 1st'!$EV$2:$EV$317))</f>
        <v>3</v>
      </c>
      <c r="BU29">
        <f>SUMPRODUCT(--('Данные 1st'!$S$2:$S$317=$A29),--ISNUMBER('Данные 1st'!$EX$2:$EX$317))</f>
        <v>3</v>
      </c>
      <c r="BV29">
        <f>SUMPRODUCT(--('Данные 1st'!$S$2:$S$317=$A29),--ISNUMBER('Данные 1st'!$EY$2:$EY$317))</f>
        <v>3</v>
      </c>
      <c r="BW29">
        <f>SUMPRODUCT(--('Данные 1st'!$S$2:$S$317=$A29),--ISNUMBER('Данные 1st'!$EZ$2:$EZ$317))</f>
        <v>3</v>
      </c>
      <c r="BX29">
        <f>SUMPRODUCT(--('Данные 1st'!$S$2:$S$317=$A29),--ISNUMBER('Данные 1st'!$FA$2:$FA$317))</f>
        <v>3</v>
      </c>
      <c r="BY29">
        <f>SUMPRODUCT(--('Данные 1st'!$S$2:$S$317=$A29),--ISNUMBER('Данные 1st'!$FB$2:$FB$317))</f>
        <v>3</v>
      </c>
      <c r="BZ29">
        <f>SUMPRODUCT(--('Данные 1st'!$S$2:$S$317=$A29),--ISNUMBER('Данные 1st'!$FC$2:$FC$317))</f>
        <v>3</v>
      </c>
      <c r="CA29">
        <f>SUMPRODUCT(--('Данные 1st'!$S$2:$S$317=$A29),--ISNUMBER('Данные 1st'!$FE$2:$FE$317))</f>
        <v>3</v>
      </c>
      <c r="CB29">
        <f>SUMPRODUCT(--('Данные 1st'!$S$2:$S$317=$A29),--ISNUMBER('Данные 1st'!$FF$2:$FF$317))</f>
        <v>3</v>
      </c>
      <c r="CC29">
        <f>SUMPRODUCT(--('Данные 1st'!$S$2:$S$317=$A29),--ISNUMBER('Данные 1st'!$FI$2:$FI$317))</f>
        <v>3</v>
      </c>
      <c r="CD29">
        <f>SUMPRODUCT(--('Данные 1st'!$S$2:$S$317=$A29),--ISNUMBER('Данные 1st'!$FL$2:$FL$317))</f>
        <v>3</v>
      </c>
      <c r="CE29">
        <f>SUMPRODUCT(--('Данные 1st'!$S$2:$S$317=$A29),--ISNUMBER('Данные 1st'!$FM$2:$FM$317))</f>
        <v>3</v>
      </c>
      <c r="CF29">
        <f>SUMPRODUCT(--('Данные 1st'!$S$2:$S$317=$A29),--ISNUMBER('Данные 1st'!$FN$2:$FN$317))</f>
        <v>3</v>
      </c>
      <c r="CG29">
        <f>SUMPRODUCT(--('Данные 1st'!$S$2:$S$317=$A29),--ISNUMBER('Данные 1st'!$FO$2:$FO$317))</f>
        <v>0</v>
      </c>
      <c r="CH29">
        <f>SUMPRODUCT(--('Данные 1st'!$S$2:$S$317=$A29),--ISNUMBER('Данные 1st'!$FP$2:$FP$317))</f>
        <v>0</v>
      </c>
      <c r="CI29">
        <f>SUMPRODUCT(--('Данные 1st'!$S$2:$S$317=$A29),--ISNUMBER('Данные 1st'!$FS$2:$FS$317))</f>
        <v>1</v>
      </c>
      <c r="CJ29">
        <f>SUMPRODUCT(--('Данные 1st'!$S$2:$S$317=$A29),--ISNUMBER('Данные 1st'!$FT$2:$FT$317))</f>
        <v>1</v>
      </c>
      <c r="CK29">
        <f>SUMPRODUCT(--('Данные 1st'!$S$2:$S$317=$A29),--ISNUMBER('Данные 1st'!$FU$2:$FU$317))</f>
        <v>1</v>
      </c>
      <c r="CL29">
        <f>SUMPRODUCT(--('Данные 1st'!$S$2:$S$317=$A29),--ISNUMBER('Данные 1st'!$FV$2:$FV$317))</f>
        <v>0</v>
      </c>
      <c r="CM29">
        <f>SUMPRODUCT(--('Данные 1st'!$S$2:$S$317=$A29),--ISNUMBER('Данные 1st'!$FW$2:$FW$317))</f>
        <v>0</v>
      </c>
      <c r="CN29">
        <f>SUMPRODUCT(--('Данные 1st'!$S$2:$S$317=$A29),--ISNUMBER('Данные 1st'!$FZ$2:$FZ$317))</f>
        <v>0</v>
      </c>
      <c r="CO29">
        <f>SUMPRODUCT(--('Данные 1st'!$S$2:$S$317=$A29),--ISNUMBER('Данные 1st'!$GA$2:$GA$317))</f>
        <v>0</v>
      </c>
      <c r="CP29">
        <f>SUMPRODUCT(--('Данные 1st'!$S$2:$S$317=$A29),--ISNUMBER('Данные 1st'!$GB$2:$GB$317))</f>
        <v>0</v>
      </c>
      <c r="CQ29">
        <f>SUMPRODUCT(--('Данные 1st'!$S$2:$S$317=$A29),--ISNUMBER('Данные 1st'!$GH$2:$GH$317))</f>
        <v>0</v>
      </c>
      <c r="CR29">
        <f>SUMPRODUCT(--('Данные 1st'!$S$2:$S$317=$A29),--ISNUMBER('Данные 1st'!$GI$2:$GI$317))</f>
        <v>0</v>
      </c>
      <c r="CS29">
        <f>SUMPRODUCT(--('Данные 1st'!$S$2:$S$317=$A29),--ISNUMBER('Данные 1st'!$GJ$2:$GJ$317))</f>
        <v>0</v>
      </c>
      <c r="CT29">
        <f>SUMPRODUCT(--('Данные 1st'!$S$2:$S$317=$A29),--ISNUMBER('Данные 1st'!$GS$2:$GS$317))</f>
        <v>3</v>
      </c>
      <c r="CU29">
        <f>SUMPRODUCT(--('Данные 1st'!$S$2:$S$317=$A29),--ISNUMBER('Данные 1st'!$GT$2:$GT$317))</f>
        <v>3</v>
      </c>
      <c r="CV29">
        <f>SUMPRODUCT(--('Данные 1st'!$S$2:$S$317=$A29),--ISNUMBER('Данные 1st'!$GU$2:$GU$317))</f>
        <v>3</v>
      </c>
      <c r="CW29">
        <f>SUMPRODUCT(--('Данные 1st'!$S$2:$S$317=$A29),--ISNUMBER('Данные 1st'!$GV$2:$GV$317))</f>
        <v>2</v>
      </c>
      <c r="CX29">
        <f>SUMPRODUCT(--('Данные 1st'!$S$2:$S$317=$A29),--ISNUMBER('Данные 1st'!$GW$2:$GW$317))</f>
        <v>2</v>
      </c>
      <c r="CY29">
        <f>SUMPRODUCT(--('Данные 1st'!$S$2:$S$317=$A29),--ISNUMBER('Данные 1st'!$GZ$2:$GZ$317))</f>
        <v>0</v>
      </c>
      <c r="CZ29">
        <f>SUMPRODUCT(--('Данные 1st'!$S$2:$S$317=$A29),--ISNUMBER('Данные 1st'!$HA$2:$HA$317))</f>
        <v>0</v>
      </c>
      <c r="DA29">
        <f>SUMPRODUCT(--('Данные 1st'!$S$2:$S$317=$A29),--ISNUMBER('Данные 1st'!$HB$2:$HB$317))</f>
        <v>0</v>
      </c>
      <c r="DB29">
        <f>SUMPRODUCT(--('Данные 1st'!$S$2:$S$317=$A29),--ISNUMBER('Данные 1st'!$HC$2:$HC$317))</f>
        <v>3</v>
      </c>
      <c r="DC29">
        <f>SUMPRODUCT(--('Данные 1st'!$S$2:$S$317=$A29),--ISNUMBER('Данные 1st'!$HD$2:$HD$317))</f>
        <v>3</v>
      </c>
      <c r="DD29">
        <f>SUMPRODUCT(--('Данные 1st'!$S$2:$S$317=$A29),--ISNUMBER('Данные 1st'!$HE$2:$HE$317))</f>
        <v>3</v>
      </c>
      <c r="DE29">
        <f>SUMPRODUCT(--('Данные 1st'!$S$2:$S$317=$A29),--ISNUMBER('Данные 1st'!$HF$2:$HF$317))</f>
        <v>3</v>
      </c>
      <c r="DF29">
        <f>SUMPRODUCT(--('Данные 1st'!$S$2:$S$317=$A29),--ISNUMBER('Данные 1st'!$HG$2:$HG$317))</f>
        <v>3</v>
      </c>
      <c r="DG29">
        <f>SUMPRODUCT(--('Данные 1st'!$S$2:$S$317=$A29),--ISNUMBER('Данные 1st'!$HH$2:$HH$317))</f>
        <v>3</v>
      </c>
      <c r="DH29">
        <f>SUMPRODUCT(--('Данные 1st'!$S$2:$S$317=$A29),--ISNUMBER('Данные 1st'!$HI$2:$HI$317))</f>
        <v>3</v>
      </c>
      <c r="DI29">
        <f>SUMPRODUCT(--('Данные 1st'!$S$2:$S$317=$A29),--ISNUMBER('Данные 1st'!$HJ$2:$HJ$317))</f>
        <v>3</v>
      </c>
      <c r="DJ29">
        <f>SUMPRODUCT(--('Данные 1st'!$S$2:$S$317=$A29),--ISNUMBER('Данные 1st'!$HK$2:$HK$317))</f>
        <v>3</v>
      </c>
      <c r="DK29">
        <f>SUMPRODUCT(--('Данные 1st'!$S$2:$S$317=$A29),--ISNUMBER('Данные 1st'!$HL$2:$HL$317))</f>
        <v>3</v>
      </c>
      <c r="DL29">
        <f>SUMPRODUCT(--('Данные 1st'!$S$2:$S$317=$A29),--ISNUMBER('Данные 1st'!$HM$2:$HM$317))</f>
        <v>3</v>
      </c>
      <c r="DM29">
        <f>SUMPRODUCT(--('Данные 1st'!$S$2:$S$317=$A29),--ISNUMBER('Данные 1st'!$HN$2:$HN$317))</f>
        <v>3</v>
      </c>
      <c r="DN29">
        <f>SUMPRODUCT(--('Данные 1st'!$S$2:$S$317=$A29),--ISNUMBER('Данные 1st'!$HO$2:$HO$317))</f>
        <v>3</v>
      </c>
      <c r="DO29">
        <f>SUMPRODUCT(--('Данные 1st'!$S$2:$S$317=$A29),--ISNUMBER('Данные 1st'!$HP$2:$HP$317))</f>
        <v>3</v>
      </c>
      <c r="DP29">
        <f>SUMPRODUCT(--('Данные 1st'!$S$2:$S$317=$A29),--ISNUMBER('Данные 1st'!$HQ$2:$HQ$317))</f>
        <v>3</v>
      </c>
      <c r="DQ29">
        <f>SUMPRODUCT(--('Данные 1st'!$S$2:$S$317=$A29),--ISNUMBER('Данные 1st'!$HR$2:$HR$317))</f>
        <v>3</v>
      </c>
      <c r="DR29">
        <f>SUMPRODUCT(--('Данные 1st'!$S$2:$S$317=$A29),--ISNUMBER('Данные 1st'!$HS$2:$HS$317))</f>
        <v>3</v>
      </c>
      <c r="DS29">
        <f>SUMPRODUCT(--('Данные 1st'!$S$2:$S$317=$A29),--ISNUMBER('Данные 1st'!$HT$2:$HT$317))</f>
        <v>3</v>
      </c>
      <c r="DT29">
        <f>SUMPRODUCT(--('Данные 1st'!$S$2:$S$317=$A29),--ISNUMBER('Данные 1st'!$HU$2:$HU$317))</f>
        <v>3</v>
      </c>
      <c r="DU29">
        <f>SUMPRODUCT(--('Данные 1st'!$S$2:$S$317=$A29),--ISNUMBER('Данные 1st'!$HW$2:$HW$317))</f>
        <v>3</v>
      </c>
      <c r="DV29">
        <f>SUMPRODUCT(--('Данные 1st'!$S$2:$S$317=$A29),--ISNUMBER('Данные 1st'!$HX$2:$HX$317))</f>
        <v>3</v>
      </c>
      <c r="DW29">
        <f>SUMPRODUCT(--('Данные 1st'!$S$2:$S$317=$A29),--ISNUMBER('Данные 1st'!$HY$2:$HY$317))</f>
        <v>3</v>
      </c>
      <c r="DX29">
        <f>SUMPRODUCT(--('Данные 1st'!$S$2:$S$317=$A29),--ISNUMBER('Данные 1st'!$IA$2:$IA$317))</f>
        <v>3</v>
      </c>
      <c r="DY29">
        <f>SUMPRODUCT(--('Данные 1st'!$S$2:$S$317=$A29),--ISNUMBER('Данные 1st'!$IB$2:$IB$317))</f>
        <v>3</v>
      </c>
      <c r="DZ29">
        <f>SUMPRODUCT(--('Данные 1st'!$S$2:$S$317=$A29),--ISNUMBER('Данные 1st'!$IC$2:$IC$317))</f>
        <v>3</v>
      </c>
      <c r="EA29">
        <f>SUMPRODUCT(--('Данные 1st'!$S$2:$S$317=$A29),--ISNUMBER('Данные 1st'!$ID$2:$ID$317))</f>
        <v>3</v>
      </c>
      <c r="EB29">
        <f>SUMPRODUCT(--('Данные 1st'!$S$2:$S$317=$A29),--ISNUMBER('Данные 1st'!$IE$2:$IE$317))</f>
        <v>3</v>
      </c>
      <c r="EC29">
        <f>SUMPRODUCT(--('Данные 1st'!$S$2:$S$317=$A29),--ISNUMBER('Данные 1st'!$IF$2:$IF$317))</f>
        <v>3</v>
      </c>
      <c r="ED29">
        <f>SUMPRODUCT(--('Данные 1st'!$S$2:$S$317=$A29),--ISNUMBER('Данные 1st'!$IP$2:$IP$317))</f>
        <v>3</v>
      </c>
      <c r="EE29">
        <f>SUMPRODUCT(--('Данные 1st'!$S$2:$S$317=$A29),--ISNUMBER('Данные 1st'!$IV$2:$IV$317))</f>
        <v>3</v>
      </c>
      <c r="EF29">
        <f>SUMPRODUCT(--('Данные 1st'!$S$2:$S$317=$A29),--ISNUMBER('Данные 1st'!$IW$2:$IW$317))</f>
        <v>3</v>
      </c>
      <c r="EG29">
        <f>SUMPRODUCT(--('Данные 1st'!$S$2:$S$317=$A29),--ISNUMBER('Данные 1st'!$IX$2:$IX$317))</f>
        <v>0</v>
      </c>
      <c r="EH29">
        <f>SUMPRODUCT(--('Данные 1st'!$S$2:$S$317=$A29),--ISNUMBER('Данные 1st'!$IY$2:$IY$317))</f>
        <v>0</v>
      </c>
      <c r="EI29">
        <f>SUMPRODUCT(--('Данные 1st'!$S$2:$S$317=$A29),--ISNUMBER('Данные 1st'!$JD$2:$JD$317))</f>
        <v>3</v>
      </c>
      <c r="EJ29">
        <f>SUMPRODUCT(--('Данные 1st'!$S$2:$S$317=$A29),--ISNUMBER('Данные 1st'!$JE$2:$JE$317))</f>
        <v>3</v>
      </c>
      <c r="EK29">
        <f>SUMPRODUCT(--('Данные 1st'!$S$2:$S$317=$A29),--ISNUMBER('Данные 1st'!$JF$2:$JF$317))</f>
        <v>3</v>
      </c>
      <c r="EL29">
        <f>SUMPRODUCT(--('Данные 1st'!$S$2:$S$317=$A29),--ISNUMBER('Данные 1st'!$JG$2:$JG$317))</f>
        <v>3</v>
      </c>
      <c r="EM29">
        <f>SUMPRODUCT(--('Данные 1st'!$S$2:$S$317=$A29),--ISNUMBER('Данные 1st'!$JH$2:$JH$317))</f>
        <v>3</v>
      </c>
      <c r="EN29">
        <f>SUMPRODUCT(--('Данные 1st'!$S$2:$S$317=$A29),--ISNUMBER('Данные 1st'!$JJ$2:$JJ$317))</f>
        <v>3</v>
      </c>
      <c r="EO29">
        <f>SUMPRODUCT(--('Данные 1st'!$S$2:$S$317=$A29),--ISNUMBER('Данные 1st'!$JK$2:$JK$317))</f>
        <v>3</v>
      </c>
      <c r="EP29">
        <f>SUMPRODUCT(--('Данные 1st'!$S$2:$S$317=$A29),--ISNUMBER('Данные 1st'!$JL$2:$JL$317))</f>
        <v>0</v>
      </c>
      <c r="EQ29">
        <f>SUMPRODUCT(--('Данные 1st'!$S$2:$S$317=$A29),--ISNUMBER('Данные 1st'!$JM$2:$JM$317))</f>
        <v>0</v>
      </c>
      <c r="ER29">
        <f>SUMPRODUCT(--('Данные 1st'!$S$2:$S$317=$A29),--ISNUMBER('Данные 1st'!$JN$2:$JN$317))</f>
        <v>3</v>
      </c>
      <c r="ES29">
        <f>SUMPRODUCT(--('Данные 1st'!$S$2:$S$317=$A29),--ISNUMBER('Данные 1st'!$JO$2:$JO$317))</f>
        <v>3</v>
      </c>
      <c r="ET29">
        <f>SUMPRODUCT(--('Данные 1st'!$S$2:$S$317=$A29),--ISNUMBER('Данные 1st'!$JP$2:$JP$317))</f>
        <v>3</v>
      </c>
      <c r="EU29">
        <f>SUMPRODUCT(--('Данные 1st'!$S$2:$S$317=$A29),--ISNUMBER('Данные 1st'!$JQ$2:$JQ$317))</f>
        <v>3</v>
      </c>
      <c r="EV29">
        <f>SUMPRODUCT(--('Данные 1st'!$S$2:$S$317=$A29),--ISNUMBER('Данные 1st'!$JR$2:$JR$317))</f>
        <v>3</v>
      </c>
      <c r="EW29">
        <f>SUMPRODUCT(--('Данные 1st'!$S$2:$S$317=$A29),--ISNUMBER('Данные 1st'!$JS$2:$JS$317))</f>
        <v>3</v>
      </c>
      <c r="EX29">
        <f>SUMPRODUCT(--('Данные 1st'!$S$2:$S$317=$A29),--ISNUMBER('Данные 1st'!$JT$2:$JT$317))</f>
        <v>0</v>
      </c>
      <c r="EY29">
        <f>SUMPRODUCT(--('Данные 1st'!$S$2:$S$317=$A29),--ISNUMBER('Данные 1st'!$JU$2:$JU$317))</f>
        <v>0</v>
      </c>
      <c r="EZ29">
        <f>SUMPRODUCT(--('Данные 1st'!$S$2:$S$317=$A29),--ISNUMBER('Данные 1st'!$JV$2:$JV$317))</f>
        <v>3</v>
      </c>
      <c r="FA29">
        <f>SUMPRODUCT(--('Данные 1st'!$S$2:$S$317=$A29),--ISNUMBER('Данные 1st'!$JW$2:$JW$317))</f>
        <v>0</v>
      </c>
      <c r="FB29">
        <f>SUMPRODUCT(--('Данные 1st'!$S$2:$S$317=$A29),--ISNUMBER('Данные 1st'!$JX$2:$JX$317))</f>
        <v>3</v>
      </c>
      <c r="FC29">
        <f>SUMPRODUCT(--('Данные 1st'!$S$2:$S$317=$A29),--ISNUMBER('Данные 1st'!$JY$2:$JY$317))</f>
        <v>0</v>
      </c>
      <c r="FD29">
        <f>SUMPRODUCT(--('Данные 1st'!$S$2:$S$317=$A29),--ISNUMBER('Данные 1st'!$JZ$2:$JZ$317))</f>
        <v>0</v>
      </c>
      <c r="FE29">
        <f>SUMPRODUCT(--('Данные 1st'!$S$2:$S$317=$A29),--ISNUMBER('Данные 1st'!$KA$2:$KA$317))</f>
        <v>3</v>
      </c>
      <c r="FF29">
        <f>SUMPRODUCT(--('Данные 1st'!$S$2:$S$317=$A29),--ISNUMBER('Данные 1st'!$KB$2:$KB$317))</f>
        <v>3</v>
      </c>
      <c r="FG29">
        <f>SUMPRODUCT(--('Данные 1st'!$S$2:$S$317=$A29),--ISNUMBER('Данные 1st'!$KC$2:$KC$317))</f>
        <v>3</v>
      </c>
      <c r="FH29">
        <f>SUMPRODUCT(--('Данные 1st'!$S$2:$S$317=$A29),--ISNUMBER('Данные 1st'!$KD$2:$KD$317))</f>
        <v>3</v>
      </c>
      <c r="FI29">
        <f>SUMPRODUCT(--('Данные 1st'!$S$2:$S$317=$A29),--ISNUMBER('Данные 1st'!$KE$2:$KE$317))</f>
        <v>0</v>
      </c>
      <c r="FJ29">
        <f>SUMPRODUCT(--('Данные 1st'!$S$2:$S$317=$A29),--ISNUMBER('Данные 1st'!$KF$2:$KF$317))</f>
        <v>3</v>
      </c>
      <c r="FK29">
        <f>SUMPRODUCT(--('Данные 1st'!$S$2:$S$317=$A29),--ISNUMBER('Данные 1st'!$KG$2:$KG$317))</f>
        <v>3</v>
      </c>
      <c r="FL29">
        <f>SUMPRODUCT(--('Данные 1st'!$S$2:$S$317=$A29),--ISNUMBER('Данные 1st'!$KH$2:$KH$317))</f>
        <v>3</v>
      </c>
      <c r="FM29">
        <f>SUMPRODUCT(--('Данные 1st'!$S$2:$S$317=$A29),--ISNUMBER('Данные 1st'!$KI$2:$KI$317))</f>
        <v>3</v>
      </c>
      <c r="FN29">
        <f>SUMPRODUCT(--('Данные 1st'!$S$2:$S$317=$A29),--ISNUMBER('Данные 1st'!$KJ$2:$KJ$317))</f>
        <v>3</v>
      </c>
      <c r="FO29">
        <f>SUMPRODUCT(--('Данные 1st'!$S$2:$S$317=$A29),--ISNUMBER('Данные 1st'!$KK$2:$KK$317))</f>
        <v>3</v>
      </c>
      <c r="FP29">
        <f>SUMPRODUCT(--('Данные 1st'!$S$2:$S$317=$A29),--ISNUMBER('Данные 1st'!$KL$2:$KL$317))</f>
        <v>3</v>
      </c>
      <c r="FQ29">
        <f>SUMPRODUCT(--('Данные 1st'!$S$2:$S$317=$A29),--ISNUMBER('Данные 1st'!$KM$2:$KM$317))</f>
        <v>3</v>
      </c>
      <c r="FR29">
        <f>SUMPRODUCT(--('Данные 1st'!$S$2:$S$317=$A29),--ISNUMBER('Данные 1st'!$KN$2:$KN$317))</f>
        <v>3</v>
      </c>
      <c r="FS29">
        <f>SUMPRODUCT(--('Данные 1st'!$S$2:$S$317=$A29),--ISNUMBER('Данные 1st'!$KR$2:$KR$317))</f>
        <v>3</v>
      </c>
      <c r="FT29">
        <f>SUMPRODUCT(--('Данные 1st'!$S$2:$S$317=$A29),--ISNUMBER('Данные 1st'!$KS$2:$KS$317))</f>
        <v>3</v>
      </c>
      <c r="FU29">
        <f>SUMPRODUCT(--('Данные 1st'!$S$2:$S$317=$A29),--ISNUMBER('Данные 1st'!$KT$2:$KT$317))</f>
        <v>3</v>
      </c>
      <c r="FV29">
        <f>SUMPRODUCT(--('Данные 1st'!$S$2:$S$317=$A29),--ISNUMBER('Данные 1st'!$KV$2:$KV$317))</f>
        <v>0</v>
      </c>
      <c r="FW29">
        <f>SUMPRODUCT(--('Данные 1st'!$S$2:$S$317=$A29),--ISNUMBER('Данные 1st'!$KW$2:$KW$317))</f>
        <v>0</v>
      </c>
      <c r="FX29">
        <f>SUMPRODUCT(--('Данные 1st'!$S$2:$S$317=$A29),--ISNUMBER('Данные 1st'!$KX$2:$KX$317))</f>
        <v>0</v>
      </c>
      <c r="FY29">
        <f>SUMPRODUCT(--('Данные 1st'!$S$2:$S$317=$A29),--ISNUMBER('Данные 1st'!$KY$2:$KY$317))</f>
        <v>0</v>
      </c>
      <c r="FZ29">
        <f>SUMPRODUCT(--('Данные 1st'!$S$2:$S$317=$A29),--ISNUMBER('Данные 1st'!$KZ$2:$KZ$317))</f>
        <v>0</v>
      </c>
      <c r="GA29">
        <f>SUMPRODUCT(--('Данные 1st'!$S$2:$S$317=$A29),--ISNUMBER('Данные 1st'!$LA$2:$LA$317))</f>
        <v>0</v>
      </c>
      <c r="GB29">
        <f>SUMPRODUCT(--('Данные 1st'!$S$2:$S$317=$A29),--ISNUMBER('Данные 1st'!$LB$2:$LB$317))</f>
        <v>0</v>
      </c>
      <c r="GC29">
        <f>SUMPRODUCT(--('Данные 1st'!$S$2:$S$317=$A29),--ISNUMBER('Данные 1st'!$LC$2:$LC$317))</f>
        <v>0</v>
      </c>
      <c r="GD29">
        <f>SUMPRODUCT(--('Данные 1st'!$S$2:$S$317=$A29),--ISNUMBER('Данные 1st'!$LD$2:$LD$317))</f>
        <v>0</v>
      </c>
      <c r="GE29">
        <f>SUMPRODUCT(--('Данные 1st'!$S$2:$S$317=$A29),--ISNUMBER('Данные 1st'!$LE$2:$LE$317))</f>
        <v>0</v>
      </c>
      <c r="GF29">
        <f>SUMPRODUCT(--('Данные 1st'!$S$2:$S$317=$A29),--ISNUMBER('Данные 1st'!$LF$2:$LF$317))</f>
        <v>0</v>
      </c>
      <c r="GG29">
        <f>SUMPRODUCT(--('Данные 1st'!$S$2:$S$317=$A29),--ISNUMBER('Данные 1st'!$LG$2:$LG$317))</f>
        <v>0</v>
      </c>
      <c r="GH29">
        <f>SUMPRODUCT(--('Данные 1st'!$S$2:$S$317=$A29),--ISNUMBER('Данные 1st'!$LH$2:$LH$317))</f>
        <v>0</v>
      </c>
      <c r="GI29">
        <f>SUMPRODUCT(--('Данные 1st'!$S$2:$S$317=$A29),--ISNUMBER('Данные 1st'!$LI$2:$LI$317))</f>
        <v>0</v>
      </c>
      <c r="GJ29">
        <f>SUMPRODUCT(--('Данные 1st'!$S$2:$S$317=$A29),--ISNUMBER('Данные 1st'!$LJ$2:$LJ$317))</f>
        <v>0</v>
      </c>
      <c r="GK29">
        <f>SUMPRODUCT(--('Данные 1st'!$S$2:$S$317=$A29),--ISNUMBER('Данные 1st'!$LK$2:$LK$317))</f>
        <v>3</v>
      </c>
      <c r="GL29">
        <f>SUMPRODUCT(--('Данные 1st'!$S$2:$S$317=$A29),--ISNUMBER('Данные 1st'!$LV$2:$LV$317))</f>
        <v>0</v>
      </c>
      <c r="GM29">
        <f>SUMPRODUCT(--('Данные 1st'!$S$2:$S$317=$A29),--ISNUMBER('Данные 1st'!$LW$2:$LW$317))</f>
        <v>0</v>
      </c>
      <c r="GN29">
        <f>SUMPRODUCT(--('Данные 1st'!$S$2:$S$317=$A29),--ISNUMBER('Данные 1st'!$LX$2:$LX$317))</f>
        <v>0</v>
      </c>
      <c r="GO29">
        <f>SUMPRODUCT(--('Данные 1st'!$S$2:$S$317=$A29),--ISNUMBER('Данные 1st'!$LY$2:$LY$317))</f>
        <v>0</v>
      </c>
      <c r="GP29">
        <f>SUMPRODUCT(--('Данные 1st'!$S$2:$S$317=$A29),--ISNUMBER('Данные 1st'!$LZ$2:$LZ$317))</f>
        <v>0</v>
      </c>
      <c r="GQ29">
        <f>SUMPRODUCT(--('Данные 1st'!$S$2:$S$317=$A29),--ISNUMBER('Данные 1st'!$PG$2:$PG$317))</f>
        <v>3</v>
      </c>
      <c r="GR29">
        <f>SUMPRODUCT(--('Данные 1st'!$S$2:$S$317=$A29),--ISNUMBER('Данные 1st'!$PX$2:$PX$317))</f>
        <v>3</v>
      </c>
      <c r="GS29">
        <f>SUMPRODUCT(--('Данные 1st'!$S$2:$S$317=$A29),--ISNUMBER('Данные 1st'!$PY$2:$PY$317))</f>
        <v>3</v>
      </c>
      <c r="GT29">
        <f>SUMPRODUCT(--('Данные 1st'!$S$2:$S$317=$A29),--ISNUMBER('Данные 1st'!$QA$2:$QA$317))</f>
        <v>3</v>
      </c>
      <c r="GU29">
        <f>SUMPRODUCT(--('Данные 1st'!$S$2:$S$317=$A29),--ISNUMBER('Данные 1st'!$QB$2:$QB$317))</f>
        <v>3</v>
      </c>
      <c r="GV29">
        <f>SUMPRODUCT(--('Данные 1st'!$S$2:$S$317=$A29),--ISNUMBER('Данные 1st'!$QC$2:$QC$317))</f>
        <v>3</v>
      </c>
      <c r="GW29">
        <f>SUMPRODUCT(--('Данные 1st'!$S$2:$S$317=$A29),--ISNUMBER('Данные 1st'!$QD$2:$QD$317))</f>
        <v>3</v>
      </c>
      <c r="GX29">
        <f>SUMPRODUCT(--('Данные 1st'!$S$2:$S$317=$A29),--ISNUMBER('Данные 1st'!$QF$2:$QF$317))</f>
        <v>3</v>
      </c>
      <c r="GY29">
        <f>SUMPRODUCT(--('Данные 1st'!$S$2:$S$317=$A29),--ISNUMBER('Данные 1st'!$QG$2:$QG$317))</f>
        <v>3</v>
      </c>
      <c r="GZ29">
        <f>SUMPRODUCT(--('Данные 1st'!$S$2:$S$317=$A29),--ISNUMBER('Данные 1st'!$QH$2:$QH$317))</f>
        <v>3</v>
      </c>
      <c r="HA29">
        <f>SUMPRODUCT(--('Данные 1st'!$S$2:$S$317=$A29),--ISNUMBER('Данные 1st'!$QI$2:$QI$317))</f>
        <v>3</v>
      </c>
      <c r="HB29">
        <f>SUMPRODUCT(--('Данные 1st'!$S$2:$S$317=$A29),--ISNUMBER('Данные 1st'!$QK$2:$QK$317))</f>
        <v>0</v>
      </c>
      <c r="HC29">
        <f>SUMPRODUCT(--('Данные 1st'!$S$2:$S$317=$A29),--ISNUMBER('Данные 1st'!$QL$2:$QL$317))</f>
        <v>3</v>
      </c>
      <c r="HD29">
        <f>SUMPRODUCT(--('Данные 1st'!$S$2:$S$317=$A29),--ISNUMBER('Данные 1st'!$QM$2:$QM$317))</f>
        <v>3</v>
      </c>
      <c r="HE29">
        <f>SUMPRODUCT(--('Данные 1st'!$S$2:$S$317=$A29),--ISNUMBER('Данные 1st'!$QN$2:$QN$317))</f>
        <v>3</v>
      </c>
      <c r="HF29">
        <f>SUMPRODUCT(--('Данные 1st'!$S$2:$S$317=$A29),--ISNUMBER('Данные 1st'!$QP$2:$QP$317))</f>
        <v>3</v>
      </c>
      <c r="HG29">
        <f>SUMPRODUCT(--('Данные 1st'!$S$2:$S$317=$A29),--ISNUMBER('Данные 1st'!$QQ$2:$QQ$317))</f>
        <v>3</v>
      </c>
      <c r="HH29">
        <f>SUMPRODUCT(--('Данные 1st'!$S$2:$S$317=$A29),--ISNUMBER('Данные 1st'!$QR$2:$QR$317))</f>
        <v>3</v>
      </c>
      <c r="HI29">
        <f>SUMPRODUCT(--('Данные 1st'!$S$2:$S$317=$A29),--ISNUMBER('Данные 1st'!$QS$2:$QS$317))</f>
        <v>3</v>
      </c>
      <c r="HJ29">
        <f>SUMPRODUCT(--('Данные 1st'!$S$2:$S$317=$A29),--ISNUMBER('Данные 1st'!$QU$2:$QU$317))</f>
        <v>3</v>
      </c>
      <c r="HK29">
        <f>SUMPRODUCT(--('Данные 1st'!$S$2:$S$317=$A29),--ISNUMBER('Данные 1st'!$QV$2:$QV$317))</f>
        <v>3</v>
      </c>
      <c r="HL29">
        <f>SUMPRODUCT(--('Данные 1st'!$S$2:$S$317=$A29),--ISNUMBER('Данные 1st'!$QW$2:$QW$317))</f>
        <v>3</v>
      </c>
      <c r="HM29">
        <f>SUMPRODUCT(--('Данные 1st'!$S$2:$S$317=$A29),--ISNUMBER('Данные 1st'!$QX$2:$QX$317))</f>
        <v>3</v>
      </c>
      <c r="HN29">
        <f>SUMPRODUCT(--('Данные 1st'!$S$2:$S$317=$A29),--ISNUMBER('Данные 1st'!$QZ$2:$QZ$317))</f>
        <v>3</v>
      </c>
      <c r="HO29">
        <f>SUMPRODUCT(--('Данные 1st'!$S$2:$S$317=$A29),--ISNUMBER('Данные 1st'!$RA$2:$RA$317))</f>
        <v>3</v>
      </c>
      <c r="HP29">
        <f>SUMPRODUCT(--('Данные 1st'!$S$2:$S$317=$A29),--ISNUMBER('Данные 1st'!$RB$2:$RB$317))</f>
        <v>3</v>
      </c>
      <c r="HQ29">
        <f>SUMPRODUCT(--('Данные 1st'!$S$2:$S$317=$A29),--ISNUMBER('Данные 1st'!$RD$2:$RD$317))</f>
        <v>0</v>
      </c>
      <c r="HR29">
        <f>SUMPRODUCT(--('Данные 1st'!$S$2:$S$317=$A29),--ISNUMBER('Данные 1st'!$RE$2:$RE$317))</f>
        <v>3</v>
      </c>
      <c r="HS29">
        <f>SUMPRODUCT(--('Данные 1st'!$S$2:$S$317=$A29),--ISNUMBER('Данные 1st'!$RF$2:$RF$317))</f>
        <v>3</v>
      </c>
      <c r="HT29">
        <f>SUMPRODUCT(--('Данные 1st'!$S$2:$S$317=$A29),--ISNUMBER('Данные 1st'!$RG$2:$RG$317))</f>
        <v>0</v>
      </c>
      <c r="HU29">
        <f>SUMPRODUCT(--('Данные 1st'!$S$2:$S$317=$A29),--ISNUMBER('Данные 1st'!$RH$2:$RH$317))</f>
        <v>3</v>
      </c>
      <c r="HV29">
        <f>SUMPRODUCT(--('Данные 1st'!$S$2:$S$317=$A29),--ISNUMBER('Данные 1st'!$RI$2:$RI$317))</f>
        <v>0</v>
      </c>
      <c r="HW29">
        <f>SUMPRODUCT(--('Данные 1st'!$S$2:$S$317=$A29),--ISNUMBER('Данные 1st'!$RJ$2:$RJ$317))</f>
        <v>3</v>
      </c>
      <c r="HX29">
        <f>SUMPRODUCT(--('Данные 1st'!$S$2:$S$317=$A29),--ISNUMBER('Данные 1st'!$RK$2:$RK$317))</f>
        <v>0</v>
      </c>
      <c r="HY29">
        <f>SUMPRODUCT(--('Данные 1st'!$S$2:$S$317=$A29),--ISNUMBER('Данные 1st'!$RL$2:$RL$317))</f>
        <v>3</v>
      </c>
      <c r="HZ29">
        <f>SUMPRODUCT(--('Данные 1st'!$S$2:$S$317=$A29),--ISNUMBER('Данные 1st'!$RM$2:$RM$317))</f>
        <v>3</v>
      </c>
      <c r="IA29">
        <f>SUMPRODUCT(--('Данные 1st'!$S$2:$S$317=$A29),--ISNUMBER('Данные 1st'!$RN$2:$RN$317))</f>
        <v>0</v>
      </c>
      <c r="IB29">
        <f>SUMPRODUCT(--('Данные 1st'!$S$2:$S$317=$A29),--ISNUMBER('Данные 1st'!$RO$2:$RO$317))</f>
        <v>3</v>
      </c>
      <c r="IC29">
        <f>SUMPRODUCT(--('Данные 1st'!$S$2:$S$317=$A29),--ISNUMBER('Данные 1st'!$RP$2:$RP$317))</f>
        <v>0</v>
      </c>
      <c r="ID29">
        <f>SUMPRODUCT(--('Данные 1st'!$S$2:$S$317=$A29),--ISNUMBER('Данные 1st'!$RQ$2:$RQ$317))</f>
        <v>3</v>
      </c>
      <c r="IE29">
        <f>SUMPRODUCT(--('Данные 1st'!$S$2:$S$317=$A29),--ISNUMBER('Данные 1st'!$RR$2:$RR$317))</f>
        <v>3</v>
      </c>
      <c r="IF29">
        <f>SUMPRODUCT(--('Данные 1st'!$S$2:$S$317=$A29),--ISNUMBER('Данные 1st'!$RS$2:$RS$317))</f>
        <v>0</v>
      </c>
      <c r="IG29">
        <f>SUMPRODUCT(--('Данные 1st'!$S$2:$S$317=$A29),--ISNUMBER('Данные 1st'!$RT$2:$RT$317))</f>
        <v>3</v>
      </c>
      <c r="IH29">
        <f>SUMPRODUCT(--('Данные 1st'!$S$2:$S$317=$A29),--ISNUMBER('Данные 1st'!$RU$2:$RU$317))</f>
        <v>3</v>
      </c>
      <c r="II29">
        <f>SUMPRODUCT(--('Данные 1st'!$S$2:$S$317=$A29),--ISNUMBER('Данные 1st'!$RX$2:$RX$317))</f>
        <v>3</v>
      </c>
      <c r="IJ29">
        <f>SUMPRODUCT(--('Данные 1st'!$S$2:$S$317=$A29),--ISNUMBER('Данные 1st'!$RY$2:$RY$317))</f>
        <v>3</v>
      </c>
      <c r="IK29">
        <f>SUMPRODUCT(--('Данные 1st'!$S$2:$S$317=$A29),--ISNUMBER('Данные 1st'!$SA$2:$SA$317))</f>
        <v>3</v>
      </c>
      <c r="IL29">
        <f>SUMPRODUCT(--('Данные 1st'!$S$2:$S$317=$A29),--ISNUMBER('Данные 1st'!$SD$2:$SD$317))</f>
        <v>3</v>
      </c>
      <c r="IM29">
        <f>SUMPRODUCT(--('Данные 1st'!$S$2:$S$317=$A29),--ISNUMBER('Данные 1st'!$SG$2:$SG$317))</f>
        <v>3</v>
      </c>
      <c r="IN29">
        <f>SUMPRODUCT(--('Данные 1st'!$S$2:$S$317=$A29),--ISNUMBER('Данные 1st'!$SH$2:$SH$317))</f>
        <v>3</v>
      </c>
      <c r="IO29">
        <f>SUMPRODUCT(--('Данные 1st'!$S$2:$S$317=$A29),--ISNUMBER('Данные 1st'!$SI$2:$SI$317))</f>
        <v>3</v>
      </c>
      <c r="IP29">
        <f>SUMPRODUCT(--('Данные 1st'!$S$2:$S$317=$A29),--ISNUMBER('Данные 1st'!$SJ$2:$SJ$317))</f>
        <v>3</v>
      </c>
      <c r="IQ29">
        <f>SUMPRODUCT(--('Данные 1st'!$S$2:$S$317=$A29),--ISNUMBER('Данные 1st'!$SK$2:$SK$317))</f>
        <v>3</v>
      </c>
      <c r="IR29">
        <f>SUMPRODUCT(--('Данные 1st'!$S$2:$S$317=$A29),--ISNUMBER('Данные 1st'!$SL$2:$SL$317))</f>
        <v>3</v>
      </c>
      <c r="IS29">
        <f>SUMPRODUCT(--('Данные 1st'!$S$2:$S$317=$A29),--ISNUMBER('Данные 1st'!$SM$2:$SM$317))</f>
        <v>3</v>
      </c>
      <c r="IT29">
        <f>SUMPRODUCT(--('Данные 1st'!$S$2:$S$317=$A29),--ISNUMBER('Данные 1st'!$SN$2:$SN$317))</f>
        <v>3</v>
      </c>
      <c r="IU29">
        <f>SUMPRODUCT(--('Данные 1st'!$S$2:$S$317=$A29),--ISNUMBER('Данные 1st'!$SO$2:$SO$317))</f>
        <v>3</v>
      </c>
      <c r="IV29">
        <f>SUMPRODUCT(--('Данные 1st'!$S$2:$S$317=$A29),--ISNUMBER('Данные 1st'!$SP$2:$SP$317))</f>
        <v>3</v>
      </c>
      <c r="IW29">
        <f>SUMPRODUCT(--('Данные 1st'!$S$2:$S$317=$A29),--ISNUMBER('Данные 1st'!$SQ$2:$SQ$317))</f>
        <v>3</v>
      </c>
      <c r="IX29">
        <f>SUMPRODUCT(--('Данные 1st'!$S$2:$S$317=$A29),--ISNUMBER('Данные 1st'!$SR$2:$SR$317))</f>
        <v>3</v>
      </c>
      <c r="IY29">
        <f>SUMPRODUCT(--('Данные 1st'!$S$2:$S$317=$A29),--ISNUMBER('Данные 1st'!$SS$2:$SS$317))</f>
        <v>3</v>
      </c>
      <c r="IZ29">
        <f>SUMPRODUCT(--('Данные 1st'!$S$2:$S$317=$A29),--ISNUMBER('Данные 1st'!$ST$2:$ST$317))</f>
        <v>3</v>
      </c>
      <c r="JA29">
        <f>SUMPRODUCT(--('Данные 1st'!$S$2:$S$317=$A29),--ISNUMBER('Данные 1st'!$SU$2:$SU$317))</f>
        <v>3</v>
      </c>
      <c r="JB29">
        <f>SUMPRODUCT(--('Данные 1st'!$S$2:$S$317=$A29),--ISNUMBER('Данные 1st'!$SV$2:$SV$317))</f>
        <v>3</v>
      </c>
      <c r="JC29">
        <f>SUMPRODUCT(--('Данные 1st'!$S$2:$S$317=$A29),--ISNUMBER('Данные 1st'!$SW$2:$SW$317))</f>
        <v>3</v>
      </c>
      <c r="JD29">
        <f>SUMPRODUCT(--('Данные 1st'!$S$2:$S$317=$A29),--ISNUMBER('Данные 1st'!$SX$2:$SX$317))</f>
        <v>3</v>
      </c>
      <c r="JE29">
        <f>SUMPRODUCT(--('Данные 1st'!$S$2:$S$317=$A29),--ISNUMBER('Данные 1st'!$SY$2:$SY$317))</f>
        <v>0</v>
      </c>
      <c r="JF29">
        <f>SUMPRODUCT(--('Данные 1st'!$S$2:$S$317=$A29),--ISNUMBER('Данные 1st'!$SZ$2:$SZ$317))</f>
        <v>3</v>
      </c>
      <c r="JG29">
        <f>SUMPRODUCT(--('Данные 1st'!$S$2:$S$317=$A29),--ISNUMBER('Данные 1st'!$TA$2:$TA$317))</f>
        <v>0</v>
      </c>
      <c r="JH29">
        <f>SUMPRODUCT(--('Данные 1st'!$S$2:$S$317=$A29),--ISNUMBER('Данные 1st'!$TB$2:$TB$317))</f>
        <v>3</v>
      </c>
      <c r="JI29">
        <f>SUMPRODUCT(--('Данные 1st'!$S$2:$S$317=$A29),--ISNUMBER('Данные 1st'!$TC$2:$TC$317))</f>
        <v>3</v>
      </c>
      <c r="JJ29">
        <f>SUMPRODUCT(--('Данные 1st'!$S$2:$S$317=$A29),--ISNUMBER('Данные 1st'!$TD$2:$TD$317))</f>
        <v>3</v>
      </c>
      <c r="JK29">
        <f>SUMPRODUCT(--('Данные 1st'!$S$2:$S$317=$A29),--ISNUMBER('Данные 1st'!$TN$2:$TN$317))</f>
        <v>3</v>
      </c>
      <c r="JQ29">
        <f>SUMPRODUCT(--('Данные 2st'!$Q$2:$Q$317=$A29),--ISNUMBER('Данные 2st'!$AC$2:$AC$317))</f>
        <v>3</v>
      </c>
      <c r="JR29">
        <f>SUMPRODUCT(--('Данные 2st'!$Q$2:$Q$317=$A29),--ISNUMBER('Данные 2st'!$AF$2:$AF$317))</f>
        <v>3</v>
      </c>
      <c r="JS29">
        <f>SUMPRODUCT(--('Данные 2st'!$Q$2:$Q$317=$A29),--ISNUMBER('Данные 2st'!$AW$2:$AW$317))</f>
        <v>3</v>
      </c>
      <c r="JT29">
        <f>SUMPRODUCT(--('Данные 2st'!$Q$2:$Q$317=$A29),--ISNUMBER('Данные 2st'!$AX$2:$AX$317))</f>
        <v>3</v>
      </c>
      <c r="JU29">
        <f>SUMPRODUCT(--('Данные 2st'!$Q$2:$Q$317=$A29),--ISNUMBER('Данные 2st'!$AY$2:$AY$317))</f>
        <v>3</v>
      </c>
      <c r="JV29">
        <f>SUMPRODUCT(--('Данные 2st'!$Q$2:$Q$317=$A29),--ISNUMBER('Данные 2st'!$AZ$2:$AZ$317))</f>
        <v>3</v>
      </c>
      <c r="JW29">
        <f>SUMPRODUCT(--('Данные 2st'!$Q$2:$Q$317=$A29),--ISNUMBER('Данные 2st'!$BA$2:$BA$317))</f>
        <v>0</v>
      </c>
      <c r="JX29">
        <f>SUMPRODUCT(--('Данные 2st'!$Q$2:$Q$317=$A29),--ISNUMBER('Данные 2st'!$BB$2:$BB$317))</f>
        <v>0</v>
      </c>
      <c r="JY29">
        <f>SUMPRODUCT(--('Данные 2st'!$Q$2:$Q$317=$A29),--ISNUMBER('Данные 2st'!$BC$2:$BC$317))</f>
        <v>0</v>
      </c>
      <c r="JZ29">
        <f>SUMPRODUCT(--('Данные 2st'!$Q$2:$Q$317=$A29),--ISNUMBER('Данные 2st'!$BH$2:$BH$317))</f>
        <v>3</v>
      </c>
      <c r="KA29">
        <f>SUMPRODUCT(--('Данные 2st'!$Q$2:$Q$317=$A29),--ISNUMBER('Данные 2st'!$BI$2:$BI$317))</f>
        <v>3</v>
      </c>
      <c r="KB29">
        <f>SUMPRODUCT(--('Данные 2st'!$Q$2:$Q$317=$A29),--ISNUMBER('Данные 2st'!$BJ$2:$BJ$317))</f>
        <v>3</v>
      </c>
      <c r="KC29">
        <f>SUMPRODUCT(--('Данные 2st'!$Q$2:$Q$317=$A29),--ISNUMBER('Данные 2st'!$BK$2:$BK$317))</f>
        <v>3</v>
      </c>
      <c r="KD29">
        <f>SUMPRODUCT(--('Данные 2st'!$Q$2:$Q$317=$A29),--ISNUMBER('Данные 2st'!$BL$2:$BL$317))</f>
        <v>3</v>
      </c>
      <c r="KE29">
        <f>SUMPRODUCT(--('Данные 2st'!$Q$2:$Q$317=$A29),--ISNUMBER('Данные 2st'!$BM$2:$BM$317))</f>
        <v>3</v>
      </c>
      <c r="KF29">
        <f>SUMPRODUCT(--('Данные 2st'!$Q$2:$Q$317=$A29),--ISNUMBER('Данные 2st'!$BN$2:$BN$317))</f>
        <v>3</v>
      </c>
      <c r="KG29">
        <f>SUMPRODUCT(--('Данные 2st'!$Q$2:$Q$317=$A29),--ISNUMBER('Данные 2st'!$BO$2:$BO$317))</f>
        <v>0</v>
      </c>
      <c r="KH29">
        <f>SUMPRODUCT(--('Данные 2st'!$Q$2:$Q$317=$A29),--ISNUMBER('Данные 2st'!$BP$2:$BP$317))</f>
        <v>3</v>
      </c>
      <c r="KI29">
        <f>SUMPRODUCT(--('Данные 2st'!$Q$2:$Q$317=$A29),--ISNUMBER('Данные 2st'!$BR$2:$BR$317))</f>
        <v>3</v>
      </c>
      <c r="KJ29">
        <f>SUMPRODUCT(--('Данные 2st'!$Q$2:$Q$317=$A29),--ISNUMBER('Данные 2st'!$BS$2:$BS$317))</f>
        <v>3</v>
      </c>
      <c r="KK29">
        <f>SUMPRODUCT(--('Данные 2st'!$Q$2:$Q$317=$A29),--ISNUMBER('Данные 2st'!$BT$2:$BT$317))</f>
        <v>3</v>
      </c>
      <c r="KL29">
        <f>SUMPRODUCT(--('Данные 2st'!$Q$2:$Q$317=$A29),--ISNUMBER('Данные 2st'!$CV$2:$CV$317))</f>
        <v>3</v>
      </c>
      <c r="KM29">
        <f>SUMPRODUCT(--('Данные 2st'!$Q$2:$Q$317=$A29),--ISNUMBER('Данные 2st'!$CW$2:$CW$317))</f>
        <v>3</v>
      </c>
      <c r="KN29">
        <f>SUMPRODUCT(--('Данные 2st'!$Q$2:$Q$317=$A29),--ISNUMBER('Данные 2st'!$CX$2:$CX$317))</f>
        <v>3</v>
      </c>
      <c r="KO29">
        <f>SUMPRODUCT(--('Данные 2st'!$Q$2:$Q$317=$A29),--ISNUMBER('Данные 2st'!$CY$2:$CY$317))</f>
        <v>3</v>
      </c>
      <c r="KP29">
        <f>SUMPRODUCT(--('Данные 2st'!$Q$2:$Q$317=$A29),--ISNUMBER('Данные 2st'!$CZ$2:$CZ$317))</f>
        <v>3</v>
      </c>
      <c r="KQ29">
        <f>SUMPRODUCT(--('Данные 2st'!$Q$2:$Q$317=$A29),--ISNUMBER('Данные 2st'!$DA$2:$DA$317))</f>
        <v>3</v>
      </c>
      <c r="KR29">
        <f>SUMPRODUCT(--('Данные 2st'!$Q$2:$Q$317=$A29),--ISNUMBER('Данные 2st'!$DB$2:$DB$317))</f>
        <v>3</v>
      </c>
      <c r="KS29">
        <f>SUMPRODUCT(--('Данные 2st'!$Q$2:$Q$317=$A29),--ISNUMBER('Данные 2st'!$DC$2:$DC$317))</f>
        <v>3</v>
      </c>
      <c r="KT29">
        <f>SUMPRODUCT(--('Данные 2st'!$Q$2:$Q$317=$A29),--ISNUMBER('Данные 2st'!$DD$2:$DD$317))</f>
        <v>3</v>
      </c>
      <c r="KU29">
        <f>SUMPRODUCT(--('Данные 2st'!$Q$2:$Q$317=$A29),--ISNUMBER('Данные 2st'!$DE$2:$DE$317))</f>
        <v>3</v>
      </c>
      <c r="KV29">
        <f>SUMPRODUCT(--('Данные 2st'!$Q$2:$Q$317=$A29),--ISNUMBER('Данные 2st'!$DF$2:$DF$317))</f>
        <v>3</v>
      </c>
      <c r="KW29">
        <f>SUMPRODUCT(--('Данные 2st'!$Q$2:$Q$317=$A29),--ISNUMBER('Данные 2st'!$DG$2:$DG$317))</f>
        <v>3</v>
      </c>
      <c r="KX29">
        <f>SUMPRODUCT(--('Данные 2st'!$Q$2:$Q$317=$A29),--ISNUMBER('Данные 2st'!$DH$2:$DH$317))</f>
        <v>0</v>
      </c>
      <c r="KY29">
        <f>SUMPRODUCT(--('Данные 2st'!$Q$2:$Q$317=$A29),--ISNUMBER('Данные 2st'!$DI$2:$DI$317))</f>
        <v>0</v>
      </c>
      <c r="KZ29">
        <f>SUMPRODUCT(--('Данные 2st'!$Q$2:$Q$317=$A29),--ISNUMBER('Данные 2st'!$DK$2:$DK$317))</f>
        <v>3</v>
      </c>
      <c r="LA29">
        <f>SUMPRODUCT(--('Данные 2st'!$Q$2:$Q$317=$A29),--ISNUMBER('Данные 2st'!$DM$2:$DM$317))</f>
        <v>3</v>
      </c>
      <c r="LB29">
        <f>SUMPRODUCT(--('Данные 2st'!$Q$2:$Q$317=$A29),--ISNUMBER('Данные 2st'!$DN$2:$DN$317))</f>
        <v>3</v>
      </c>
      <c r="LC29">
        <f>SUMPRODUCT(--('Данные 2st'!$Q$2:$Q$317=$A29),--ISNUMBER('Данные 2st'!$DO$2:$DO$317))</f>
        <v>3</v>
      </c>
      <c r="LD29">
        <f>SUMPRODUCT(--('Данные 2st'!$Q$2:$Q$317=$A29),--ISNUMBER('Данные 2st'!$DP$2:$DP$317))</f>
        <v>3</v>
      </c>
      <c r="LE29">
        <f>SUMPRODUCT(--('Данные 2st'!$Q$2:$Q$317=$A29),--ISNUMBER('Данные 2st'!$DQ$2:$DQ$317))</f>
        <v>3</v>
      </c>
      <c r="LF29">
        <f>SUMPRODUCT(--('Данные 2st'!$Q$2:$Q$317=$A29),--ISNUMBER('Данные 2st'!$DS$2:$DS$317))</f>
        <v>3</v>
      </c>
      <c r="LG29">
        <f>SUMPRODUCT(--('Данные 2st'!$Q$2:$Q$317=$A29),--ISNUMBER('Данные 2st'!$DU$2:$DU$317))</f>
        <v>3</v>
      </c>
      <c r="LH29">
        <f>SUMPRODUCT(--('Данные 2st'!$Q$2:$Q$317=$A29),--ISNUMBER('Данные 2st'!$DV$2:$DV$317))</f>
        <v>3</v>
      </c>
      <c r="LI29">
        <f>SUMPRODUCT(--('Данные 2st'!$Q$2:$Q$317=$A29),--ISNUMBER('Данные 2st'!$DW$2:$DW$317))</f>
        <v>3</v>
      </c>
      <c r="LJ29">
        <f>SUMPRODUCT(--('Данные 2st'!$Q$2:$Q$317=$A29),--ISNUMBER('Данные 2st'!$DX$2:$DX$317))</f>
        <v>3</v>
      </c>
      <c r="LK29">
        <f>SUMPRODUCT(--('Данные 2st'!$Q$2:$Q$317=$A29),--ISNUMBER('Данные 2st'!$DY$2:$DY$317))</f>
        <v>3</v>
      </c>
      <c r="LL29">
        <f>SUMPRODUCT(--('Данные 2st'!$Q$2:$Q$317=$A29),--ISNUMBER('Данные 2st'!$EA$2:$EA$317))</f>
        <v>3</v>
      </c>
      <c r="LM29">
        <f>SUMPRODUCT(--('Данные 2st'!$Q$2:$Q$317=$A29),--ISNUMBER('Данные 2st'!$EC$2:$EC$317))</f>
        <v>3</v>
      </c>
      <c r="LN29">
        <f>SUMPRODUCT(--('Данные 2st'!$Q$2:$Q$317=$A29),--ISNUMBER('Данные 2st'!$ED$2:$ED$317))</f>
        <v>3</v>
      </c>
      <c r="LO29">
        <f>SUMPRODUCT(--('Данные 2st'!$Q$2:$Q$317=$A29),--ISNUMBER('Данные 2st'!$EE$2:$EE$317))</f>
        <v>3</v>
      </c>
      <c r="LP29">
        <f>SUMPRODUCT(--('Данные 2st'!$Q$2:$Q$317=$A29),--ISNUMBER('Данные 2st'!$EG$2:$EG$317))</f>
        <v>3</v>
      </c>
      <c r="LQ29">
        <f>SUMPRODUCT(--('Данные 2st'!$Q$2:$Q$317=$A29),--ISNUMBER('Данные 2st'!$EI$2:$EI$317))</f>
        <v>3</v>
      </c>
      <c r="LR29">
        <f>SUMPRODUCT(--('Данные 2st'!$Q$2:$Q$317=$A29),--ISNUMBER('Данные 2st'!$EJ$2:$EJ$317))</f>
        <v>0</v>
      </c>
      <c r="LS29">
        <f>SUMPRODUCT(--('Данные 2st'!$Q$2:$Q$317=$A29),--ISNUMBER('Данные 2st'!$EK$2:$EK$317))</f>
        <v>0</v>
      </c>
      <c r="LT29">
        <f>SUMPRODUCT(--('Данные 2st'!$Q$2:$Q$317=$A29),--ISNUMBER('Данные 2st'!$EM$2:$EM$317))</f>
        <v>3</v>
      </c>
      <c r="LU29">
        <f>SUMPRODUCT(--('Данные 2st'!$Q$2:$Q$317=$A29),--ISNUMBER('Данные 2st'!$EN$2:$EN$317))</f>
        <v>3</v>
      </c>
      <c r="LV29">
        <f>SUMPRODUCT(--('Данные 2st'!$Q$2:$Q$317=$A29),--ISNUMBER('Данные 2st'!$EO$2:$EO$317))</f>
        <v>3</v>
      </c>
      <c r="LW29">
        <f>SUMPRODUCT(--('Данные 2st'!$Q$2:$Q$317=$A29),--ISNUMBER('Данные 2st'!$EP$2:$EP$317))</f>
        <v>3</v>
      </c>
      <c r="LX29">
        <f>SUMPRODUCT(--('Данные 2st'!$Q$2:$Q$317=$A29),--ISNUMBER('Данные 2st'!$EQ$2:$EQ$317))</f>
        <v>3</v>
      </c>
      <c r="LY29">
        <f>SUMPRODUCT(--('Данные 2st'!$Q$2:$Q$317=$A29),--ISNUMBER('Данные 2st'!$ER$2:$ER$317))</f>
        <v>3</v>
      </c>
      <c r="LZ29">
        <f>SUMPRODUCT(--('Данные 2st'!$Q$2:$Q$317=$A29),--ISNUMBER('Данные 2st'!$ES$2:$ES$317))</f>
        <v>3</v>
      </c>
      <c r="MA29">
        <f>SUMPRODUCT(--('Данные 2st'!$Q$2:$Q$317=$A29),--ISNUMBER('Данные 2st'!$ET$2:$ET$317))</f>
        <v>3</v>
      </c>
      <c r="MB29">
        <f>SUMPRODUCT(--('Данные 2st'!$Q$2:$Q$317=$A29),--ISNUMBER('Данные 2st'!$EU$2:$EU$317))</f>
        <v>3</v>
      </c>
      <c r="MC29">
        <f>SUMPRODUCT(--('Данные 2st'!$Q$2:$Q$317=$A29),--ISNUMBER('Данные 2st'!$EV$2:$EV$317))</f>
        <v>3</v>
      </c>
      <c r="MD29">
        <f>SUMPRODUCT(--('Данные 2st'!$Q$2:$Q$317=$A29),--ISNUMBER('Данные 2st'!$EW$2:$EW$317))</f>
        <v>3</v>
      </c>
      <c r="ME29">
        <f>SUMPRODUCT(--('Данные 2st'!$Q$2:$Q$317=$A29),--ISNUMBER('Данные 2st'!$EY$2:$EY$317))</f>
        <v>3</v>
      </c>
      <c r="MF29">
        <f>SUMPRODUCT(--('Данные 2st'!$Q$2:$Q$317=$A29),--ISNUMBER('Данные 2st'!$FA$2:$FA$317))</f>
        <v>3</v>
      </c>
      <c r="MG29">
        <f>SUMPRODUCT(--('Данные 2st'!$Q$2:$Q$317=$A29),--ISNUMBER('Данные 2st'!$FB$2:$FB$317))</f>
        <v>3</v>
      </c>
      <c r="MH29">
        <f>SUMPRODUCT(--('Данные 2st'!$Q$2:$Q$317=$A29),--ISNUMBER('Данные 2st'!$FC$2:$FC$317))</f>
        <v>3</v>
      </c>
      <c r="MI29">
        <f>SUMPRODUCT(--('Данные 2st'!$Q$2:$Q$317=$A29),--ISNUMBER('Данные 2st'!$FD$2:$FD$317))</f>
        <v>3</v>
      </c>
      <c r="MJ29">
        <f>SUMPRODUCT(--('Данные 2st'!$Q$2:$Q$317=$A29),--ISNUMBER('Данные 2st'!$FE$2:$FE$317))</f>
        <v>3</v>
      </c>
      <c r="MK29">
        <f>SUMPRODUCT(--('Данные 2st'!$Q$2:$Q$317=$A29),--ISNUMBER('Данные 2st'!$FG$2:$FG$317))</f>
        <v>3</v>
      </c>
      <c r="ML29">
        <f>SUMPRODUCT(--('Данные 2st'!$Q$2:$Q$317=$A29),--ISNUMBER('Данные 2st'!$FI$2:$FI$317))</f>
        <v>3</v>
      </c>
      <c r="MM29">
        <f>SUMPRODUCT(--('Данные 2st'!$Q$2:$Q$317=$A29),--ISNUMBER('Данные 2st'!$FJ$2:$FJ$317))</f>
        <v>3</v>
      </c>
      <c r="MN29">
        <f>SUMPRODUCT(--('Данные 2st'!$Q$2:$Q$317=$A29),--ISNUMBER('Данные 2st'!$FK$2:$FK$317))</f>
        <v>3</v>
      </c>
      <c r="MO29">
        <f>SUMPRODUCT(--('Данные 2st'!$Q$2:$Q$317=$A29),--ISNUMBER('Данные 2st'!$FP$2:$FP$317))</f>
        <v>3</v>
      </c>
      <c r="MP29">
        <f>SUMPRODUCT(--('Данные 2st'!$Q$2:$Q$317=$A29),--ISNUMBER('Данные 2st'!$FQ$2:$FQ$317))</f>
        <v>3</v>
      </c>
      <c r="MQ29">
        <f>SUMPRODUCT(--('Данные 2st'!$Q$2:$Q$317=$A29),--ISNUMBER('Данные 2st'!$FS$2:$FS$317))</f>
        <v>3</v>
      </c>
      <c r="MR29">
        <f>SUMPRODUCT(--('Данные 2st'!$Q$2:$Q$317=$A29),--ISNUMBER('Данные 2st'!$FU$2:$FU$317))</f>
        <v>3</v>
      </c>
      <c r="MS29">
        <f>SUMPRODUCT(--('Данные 2st'!$Q$2:$Q$317=$A29),--ISNUMBER('Данные 2st'!$FV$2:$FV$317))</f>
        <v>3</v>
      </c>
      <c r="MT29">
        <f>SUMPRODUCT(--('Данные 2st'!$Q$2:$Q$317=$A29),--ISNUMBER('Данные 2st'!$FW$2:$FW$317))</f>
        <v>3</v>
      </c>
      <c r="MU29">
        <f>SUMPRODUCT(--('Данные 2st'!$Q$2:$Q$317=$A29),--ISNUMBER('Данные 2st'!$FY$2:$FY$317))</f>
        <v>2</v>
      </c>
      <c r="MV29">
        <f>SUMPRODUCT(--('Данные 2st'!$Q$2:$Q$317=$A29),--ISNUMBER('Данные 2st'!$GB$2:$GB$317))</f>
        <v>2</v>
      </c>
      <c r="MW29">
        <f>SUMPRODUCT(--('Данные 2st'!$Q$2:$Q$317=$A29),--ISNUMBER('Данные 2st'!$GC$2:$GC$317))</f>
        <v>2</v>
      </c>
      <c r="MX29">
        <f>SUMPRODUCT(--('Данные 2st'!$Q$2:$Q$317=$A29),--ISNUMBER('Данные 2st'!$GD$2:$GD$317))</f>
        <v>3</v>
      </c>
      <c r="MY29">
        <f>SUMPRODUCT(--('Данные 2st'!$Q$2:$Q$317=$A29),--ISNUMBER('Данные 2st'!$GN$2:$GN$317))</f>
        <v>0</v>
      </c>
      <c r="MZ29">
        <f>SUMPRODUCT(--('Данные 2st'!$Q$2:$Q$317=$A29),--ISNUMBER('Данные 2st'!$GQ$2:$GQ$317))</f>
        <v>3</v>
      </c>
      <c r="NA29">
        <f>SUMPRODUCT(--('Данные 2st'!$Q$2:$Q$317=$A29),--ISNUMBER('Данные 2st'!$GV$2:$GV$317))</f>
        <v>3</v>
      </c>
      <c r="NB29">
        <f>SUMPRODUCT(--('Данные 2st'!$Q$2:$Q$317=$A29),--ISNUMBER('Данные 2st'!$GW$2:$GW$317))</f>
        <v>3</v>
      </c>
      <c r="NC29">
        <f>SUMPRODUCT(--('Данные 2st'!$Q$2:$Q$317=$A29),--ISNUMBER('Данные 2st'!$GX$2:$GX$317))</f>
        <v>3</v>
      </c>
      <c r="ND29">
        <f>SUMPRODUCT(--('Данные 2st'!$Q$2:$Q$317=$A29),--ISNUMBER('Данные 2st'!$GY$2:$GY$317))</f>
        <v>3</v>
      </c>
      <c r="NE29">
        <f>SUMPRODUCT(--('Данные 2st'!$Q$2:$Q$317=$A29),--ISNUMBER('Данные 2st'!$GZ$2:$GZ$317))</f>
        <v>3</v>
      </c>
      <c r="NF29">
        <f>SUMPRODUCT(--('Данные 2st'!$Q$2:$Q$317=$A29),--ISNUMBER('Данные 2st'!$HA$2:$HA$317))</f>
        <v>3</v>
      </c>
      <c r="NG29">
        <f>SUMPRODUCT(--('Данные 2st'!$Q$2:$Q$317=$A29),--ISNUMBER('Данные 2st'!$HB$2:$HB$317))</f>
        <v>3</v>
      </c>
      <c r="NH29">
        <f>SUMPRODUCT(--('Данные 2st'!$Q$2:$Q$317=$A29),--ISNUMBER('Данные 2st'!$HC$2:$HC$317))</f>
        <v>3</v>
      </c>
      <c r="NI29">
        <f>SUMPRODUCT(--('Данные 2st'!$Q$2:$Q$317=$A29),--ISNUMBER('Данные 2st'!$HD$2:$HD$317))</f>
        <v>3</v>
      </c>
      <c r="NJ29">
        <f>SUMPRODUCT(--('Данные 2st'!$Q$2:$Q$317=$A29),--ISNUMBER('Данные 2st'!$HM$2:$HM$317))</f>
        <v>3</v>
      </c>
      <c r="NK29">
        <f>SUMPRODUCT(--('Данные 2st'!$Q$2:$Q$317=$A29),--ISNUMBER('Данные 2st'!$HR$2:$HR$317))</f>
        <v>3</v>
      </c>
      <c r="NL29">
        <f>SUMPRODUCT(--('Данные 2st'!$Q$2:$Q$317=$A29),--ISNUMBER('Данные 2st'!$HS$2:$HS$317))</f>
        <v>3</v>
      </c>
      <c r="NM29">
        <f>SUMPRODUCT(--('Данные 2st'!$Q$2:$Q$317=$A29),--ISNUMBER('Данные 2st'!$HT$2:$HT$317))</f>
        <v>3</v>
      </c>
      <c r="NN29">
        <f>SUMPRODUCT(--('Данные 2st'!$Q$2:$Q$317=$A29),--ISNUMBER('Данные 2st'!$HY$2:$HY$317))</f>
        <v>3</v>
      </c>
      <c r="NO29">
        <f>SUMPRODUCT(--('Данные 2st'!$Q$2:$Q$317=$A29),--ISNUMBER('Данные 2st'!$HZ$2:$HZ$317))</f>
        <v>3</v>
      </c>
      <c r="NP29">
        <f>SUMPRODUCT(--('Данные 2st'!$Q$2:$Q$317=$A29),--ISNUMBER('Данные 2st'!$IA$2:$IA$317))</f>
        <v>3</v>
      </c>
      <c r="NQ29">
        <f>SUMPRODUCT(--('Данные 2st'!$Q$2:$Q$317=$A29),--ISNUMBER('Данные 2st'!$IB$2:$IB$317))</f>
        <v>3</v>
      </c>
      <c r="NR29">
        <f>SUMPRODUCT(--('Данные 2st'!$Q$2:$Q$317=$A29),--ISNUMBER('Данные 2st'!$IC$2:$IC$317))</f>
        <v>0</v>
      </c>
      <c r="NS29">
        <f>SUMPRODUCT(--('Данные 2st'!$Q$2:$Q$317=$A29),--ISNUMBER('Данные 2st'!$ID$2:$ID$317))</f>
        <v>3</v>
      </c>
      <c r="NT29">
        <f>SUMPRODUCT(--('Данные 2st'!$Q$2:$Q$317=$A29),--ISNUMBER('Данные 2st'!$IE$2:$IE$317))</f>
        <v>3</v>
      </c>
      <c r="NU29">
        <f>SUMPRODUCT(--('Данные 2st'!$Q$2:$Q$317=$A29),--ISNUMBER('Данные 2st'!$IF$2:$IF$317))</f>
        <v>3</v>
      </c>
      <c r="NV29">
        <f>SUMPRODUCT(--('Данные 2st'!$Q$2:$Q$317=$A29),--ISNUMBER('Данные 2st'!$IG$2:$IG$317))</f>
        <v>3</v>
      </c>
      <c r="NW29">
        <f>SUMPRODUCT(--('Данные 2st'!$Q$2:$Q$317=$A29),--ISNUMBER('Данные 2st'!$IH$2:$IH$317))</f>
        <v>3</v>
      </c>
      <c r="NX29">
        <f>SUMPRODUCT(--('Данные 2st'!$Q$2:$Q$317=$A29),--ISNUMBER('Данные 2st'!$IJ$2:$IJ$317))</f>
        <v>3</v>
      </c>
      <c r="NY29">
        <f>SUMPRODUCT(--('Данные 2st'!$Q$2:$Q$317=$A29),--ISNUMBER('Данные 2st'!$IM$2:$IM$317))</f>
        <v>3</v>
      </c>
      <c r="NZ29">
        <f>SUMPRODUCT(--('Данные 2st'!$Q$2:$Q$317=$A29),--ISNUMBER('Данные 2st'!$IN$2:$IN$317))</f>
        <v>3</v>
      </c>
      <c r="OA29">
        <f>SUMPRODUCT(--('Данные 2st'!$Q$2:$Q$317=$A29),--ISNUMBER('Данные 2st'!$IO$2:$IO$317))</f>
        <v>3</v>
      </c>
      <c r="OB29">
        <f>SUMPRODUCT(--('Данные 2st'!$Q$2:$Q$317=$A29),--ISNUMBER('Данные 2st'!$IP$2:$IP$317))</f>
        <v>3</v>
      </c>
      <c r="OC29">
        <f>SUMPRODUCT(--('Данные 2st'!$Q$2:$Q$317=$A29),--ISNUMBER('Данные 2st'!$IQ$2:$IQ$317))</f>
        <v>3</v>
      </c>
      <c r="OD29">
        <f>SUMPRODUCT(--('Данные 2st'!$Q$2:$Q$317=$A29),--ISNUMBER('Данные 2st'!$IR$2:$IR$317))</f>
        <v>3</v>
      </c>
      <c r="OE29">
        <f>SUMPRODUCT(--('Данные 2st'!$Q$2:$Q$317=$A29),--ISNUMBER('Данные 2st'!$IT$2:$IT$317))</f>
        <v>3</v>
      </c>
      <c r="OF29">
        <f>SUMPRODUCT(--('Данные 2st'!$Q$2:$Q$317=$A29),--ISNUMBER('Данные 2st'!$IU$2:$IU$317))</f>
        <v>3</v>
      </c>
      <c r="OG29">
        <f>SUMPRODUCT(--('Данные 2st'!$Q$2:$Q$317=$A29),--ISNUMBER('Данные 2st'!$IV$2:$IV$317))</f>
        <v>3</v>
      </c>
      <c r="OH29">
        <f>SUMPRODUCT(--('Данные 2st'!$Q$2:$Q$317=$A29),--ISNUMBER('Данные 2st'!$IW$2:$IW$317))</f>
        <v>3</v>
      </c>
      <c r="OI29">
        <f>SUMPRODUCT(--('Данные 2st'!$Q$2:$Q$317=$A29),--ISNUMBER('Данные 2st'!$IX$2:$IX$317))</f>
        <v>3</v>
      </c>
      <c r="OJ29">
        <f>SUMPRODUCT(--('Данные 2st'!$Q$2:$Q$317=$A29),--ISNUMBER('Данные 2st'!$IY$2:$IY$317))</f>
        <v>3</v>
      </c>
      <c r="OK29">
        <f>SUMPRODUCT(--('Данные 2st'!$Q$2:$Q$317=$A29),--ISNUMBER('Данные 2st'!$IZ$2:$IZ$317))</f>
        <v>3</v>
      </c>
      <c r="OL29">
        <f>SUMPRODUCT(--('Данные 2st'!$Q$2:$Q$317=$A29),--ISNUMBER('Данные 2st'!$JA$2:$JA$317))</f>
        <v>3</v>
      </c>
      <c r="OM29">
        <f>SUMPRODUCT(--('Данные 2st'!$Q$2:$Q$317=$A29),--ISNUMBER('Данные 2st'!$JB$2:$JB$317))</f>
        <v>3</v>
      </c>
      <c r="ON29">
        <f>SUMPRODUCT(--('Данные 2st'!$Q$2:$Q$317=$A29),--ISNUMBER('Данные 2st'!$JC$2:$JC$317))</f>
        <v>3</v>
      </c>
      <c r="OO29">
        <f>SUMPRODUCT(--('Данные 2st'!$Q$2:$Q$317=$A29),--ISNUMBER('Данные 2st'!$JD$2:$JD$317))</f>
        <v>3</v>
      </c>
      <c r="OP29">
        <f>SUMPRODUCT(--('Данные 2st'!$Q$2:$Q$317=$A29),--ISNUMBER('Данные 2st'!$JE$2:$JE$317))</f>
        <v>3</v>
      </c>
      <c r="OQ29">
        <f>SUMPRODUCT(--('Данные 2st'!$Q$2:$Q$317=$A29),--ISNUMBER('Данные 2st'!$JF$2:$JF$317))</f>
        <v>3</v>
      </c>
      <c r="OR29">
        <f>SUMPRODUCT(--('Данные 2st'!$Q$2:$Q$317=$A29),--ISNUMBER('Данные 2st'!$JG$2:$JG$317))</f>
        <v>3</v>
      </c>
      <c r="OS29">
        <f>SUMPRODUCT(--('Данные 2st'!$Q$2:$Q$317=$A29),--ISNUMBER('Данные 2st'!$JH$2:$JH$317))</f>
        <v>3</v>
      </c>
      <c r="OT29">
        <f>SUMPRODUCT(--('Данные 2st'!$Q$2:$Q$317=$A29),--ISNUMBER('Данные 2st'!$JI$2:$JI$317))</f>
        <v>3</v>
      </c>
      <c r="OU29">
        <f>SUMPRODUCT(--('Данные 2st'!$Q$2:$Q$317=$A29),--ISNUMBER('Данные 2st'!$JJ$2:$JJ$317))</f>
        <v>3</v>
      </c>
      <c r="OV29">
        <f>SUMPRODUCT(--('Данные 2st'!$Q$2:$Q$317=$A29),--ISNUMBER('Данные 2st'!$JK$2:$JK$317))</f>
        <v>3</v>
      </c>
      <c r="OW29">
        <f>SUMPRODUCT(--('Данные 2st'!$Q$2:$Q$317=$A29),--ISNUMBER('Данные 2st'!$JL$2:$JL$317))</f>
        <v>3</v>
      </c>
      <c r="OX29">
        <f>SUMPRODUCT(--('Данные 2st'!$Q$2:$Q$317=$A29),--ISNUMBER('Данные 2st'!$JM$2:$JM$317))</f>
        <v>3</v>
      </c>
      <c r="OY29">
        <f>SUMPRODUCT(--('Данные 2st'!$Q$2:$Q$317=$A29),--ISNUMBER('Данные 2st'!$JP$2:$JP$317))</f>
        <v>3</v>
      </c>
      <c r="OZ29">
        <f>SUMPRODUCT(--('Данные 2st'!$Q$2:$Q$317=$A29),--ISNUMBER('Данные 2st'!$JQ$2:$JQ$317))</f>
        <v>3</v>
      </c>
      <c r="PA29">
        <f>SUMPRODUCT(--('Данные 2st'!$Q$2:$Q$317=$A29),--ISNUMBER('Данные 2st'!$JR$2:$JR$317))</f>
        <v>3</v>
      </c>
      <c r="PB29">
        <f>SUMPRODUCT(--('Данные 2st'!$Q$2:$Q$317=$A29),--ISNUMBER('Данные 2st'!$JS$2:$JS$317))</f>
        <v>3</v>
      </c>
      <c r="PC29">
        <f>SUMPRODUCT(--('Данные 2st'!$Q$2:$Q$317=$A29),--ISNUMBER('Данные 2st'!$JT$2:$JT$317))</f>
        <v>3</v>
      </c>
      <c r="PD29">
        <f>SUMPRODUCT(--('Данные 2st'!$Q$2:$Q$317=$A29),--ISNUMBER('Данные 2st'!$JU$2:$JU$317))</f>
        <v>3</v>
      </c>
      <c r="PE29">
        <f>SUMPRODUCT(--('Данные 2st'!$Q$2:$Q$317=$A29),--ISNUMBER('Данные 2st'!$JV$2:$JV$317))</f>
        <v>3</v>
      </c>
      <c r="PF29">
        <f>SUMPRODUCT(--('Данные 2st'!$Q$2:$Q$317=$A29),--ISNUMBER('Данные 2st'!$JW$2:$JW$317))</f>
        <v>3</v>
      </c>
      <c r="PG29">
        <f>SUMPRODUCT(--('Данные 2st'!$Q$2:$Q$317=$A29),--ISNUMBER('Данные 2st'!$KF$2:$KF$317))</f>
        <v>3</v>
      </c>
      <c r="PH29">
        <f>SUMPRODUCT(--('Данные 2st'!$Q$2:$Q$317=$A29),--ISNUMBER('Данные 2st'!$KG$2:$KG$317))</f>
        <v>3</v>
      </c>
      <c r="PI29">
        <f>SUMPRODUCT(--('Данные 2st'!$Q$2:$Q$317=$A29),--ISNUMBER('Данные 2st'!$KM$2:$KM$317))</f>
        <v>3</v>
      </c>
      <c r="PJ29">
        <f>SUMPRODUCT(--('Данные 2st'!$Q$2:$Q$317=$A29),--ISNUMBER('Данные 2st'!$KN$2:$KN$317))</f>
        <v>3</v>
      </c>
      <c r="PK29">
        <f>SUMPRODUCT(--('Данные 2st'!$Q$2:$Q$317=$A29),--ISNUMBER('Данные 2st'!$KO$2:$KO$317))</f>
        <v>3</v>
      </c>
      <c r="PL29">
        <f>SUMPRODUCT(--('Данные 2st'!$Q$2:$Q$317=$A29),--ISNUMBER('Данные 2st'!$KP$2:$KP$317))</f>
        <v>3</v>
      </c>
      <c r="PM29">
        <f>SUMPRODUCT(--('Данные 2st'!$Q$2:$Q$317=$A29),--ISNUMBER('Данные 2st'!$KQ$2:$KQ$317))</f>
        <v>3</v>
      </c>
      <c r="PN29">
        <f>SUMPRODUCT(--('Данные 2st'!$Q$2:$Q$317=$A29),--ISNUMBER('Данные 2st'!$KR$2:$KR$317))</f>
        <v>3</v>
      </c>
      <c r="PO29">
        <f>SUMPRODUCT(--('Данные 2st'!$Q$2:$Q$317=$A29),--ISNUMBER('Данные 2st'!$KS$2:$KS$317))</f>
        <v>3</v>
      </c>
      <c r="PP29">
        <f>SUMPRODUCT(--('Данные 2st'!$Q$2:$Q$317=$A29),--ISNUMBER('Данные 2st'!$KT$2:$KT$317))</f>
        <v>3</v>
      </c>
      <c r="PQ29">
        <f>SUMPRODUCT(--('Данные 2st'!$Q$2:$Q$317=$A29),--ISNUMBER('Данные 2st'!$KU$2:$KU$317))</f>
        <v>3</v>
      </c>
      <c r="PR29">
        <f>SUMPRODUCT(--('Данные 2st'!$Q$2:$Q$317=$A29),--ISNUMBER('Данные 2st'!$KV$2:$KV$317))</f>
        <v>3</v>
      </c>
      <c r="PS29">
        <f>SUMPRODUCT(--('Данные 2st'!$Q$2:$Q$317=$A29),--ISNUMBER('Данные 2st'!$KW$2:$KW$317))</f>
        <v>3</v>
      </c>
      <c r="PT29">
        <f>SUMPRODUCT(--('Данные 2st'!$Q$2:$Q$317=$A29),--ISNUMBER('Данные 2st'!$KX$2:$KX$317))</f>
        <v>3</v>
      </c>
      <c r="PU29">
        <f>SUMPRODUCT(--('Данные 2st'!$Q$2:$Q$317=$A29),--ISNUMBER('Данные 2st'!$KY$2:$KY$317))</f>
        <v>3</v>
      </c>
      <c r="PV29">
        <f>SUMPRODUCT(--('Данные 2st'!$Q$2:$Q$317=$A29),--ISNUMBER('Данные 2st'!$KZ$2:$KZ$317))</f>
        <v>3</v>
      </c>
      <c r="PW29">
        <f>SUMPRODUCT(--('Данные 2st'!$Q$2:$Q$317=$A29),--ISNUMBER('Данные 2st'!$LA$2:$LA$317))</f>
        <v>3</v>
      </c>
      <c r="PX29">
        <f>SUMPRODUCT(--('Данные 2st'!$Q$2:$Q$317=$A29),--ISNUMBER('Данные 2st'!$LB$2:$LB$317))</f>
        <v>3</v>
      </c>
      <c r="PY29">
        <f>SUMPRODUCT(--('Данные 2st'!$Q$2:$Q$317=$A29),--ISNUMBER('Данные 2st'!$LC$2:$LC$317))</f>
        <v>3</v>
      </c>
      <c r="PZ29">
        <f>SUMPRODUCT(--('Данные 2st'!$Q$2:$Q$317=$A29),--ISNUMBER('Данные 2st'!$LD$2:$LD$317))</f>
        <v>3</v>
      </c>
      <c r="QA29">
        <f>SUMPRODUCT(--('Данные 2st'!$Q$2:$Q$317=$A29),--ISNUMBER('Данные 2st'!$LE$2:$LE$317))</f>
        <v>3</v>
      </c>
      <c r="QB29">
        <f>SUMPRODUCT(--('Данные 2st'!$Q$2:$Q$317=$A29),--ISNUMBER('Данные 2st'!$LF$2:$LF$317))</f>
        <v>3</v>
      </c>
      <c r="QC29">
        <f>SUMPRODUCT(--('Данные 2st'!$Q$2:$Q$317=$A29),--ISNUMBER('Данные 2st'!$LG$2:$LG$317))</f>
        <v>3</v>
      </c>
      <c r="QD29">
        <f>SUMPRODUCT(--('Данные 2st'!$Q$2:$Q$317=$A29),--ISNUMBER('Данные 2st'!$LH$2:$LH$317))</f>
        <v>3</v>
      </c>
      <c r="QE29">
        <f>SUMPRODUCT(--('Данные 2st'!$Q$2:$Q$317=$A29),--ISNUMBER('Данные 2st'!$LJ$2:$LJ$317))</f>
        <v>3</v>
      </c>
      <c r="QF29">
        <f>SUMPRODUCT(--('Данные 2st'!$Q$2:$Q$317=$A29),--ISNUMBER('Данные 2st'!$LK$2:$LK$317))</f>
        <v>3</v>
      </c>
      <c r="QG29">
        <f>SUMPRODUCT(--('Данные 2st'!$Q$2:$Q$317=$A29),--ISNUMBER('Данные 2st'!$LL$2:$LL$317))</f>
        <v>3</v>
      </c>
      <c r="QH29">
        <f>SUMPRODUCT(--('Данные 2st'!$Q$2:$Q$317=$A29),--ISNUMBER('Данные 2st'!$LM$2:$LM$317))</f>
        <v>3</v>
      </c>
      <c r="QI29">
        <f>SUMPRODUCT(--('Данные 2st'!$Q$2:$Q$317=$A29),--ISNUMBER('Данные 2st'!$LN$2:$LN$317))</f>
        <v>3</v>
      </c>
      <c r="QJ29">
        <f>SUMPRODUCT(--('Данные 2st'!$Q$2:$Q$317=$A29),--ISNUMBER('Данные 2st'!$LO$2:$LO$317))</f>
        <v>3</v>
      </c>
      <c r="QK29">
        <f>SUMPRODUCT(--('Данные 2st'!$Q$2:$Q$317=$A29),--ISNUMBER('Данные 2st'!$LP$2:$LP$317))</f>
        <v>3</v>
      </c>
      <c r="QL29">
        <f>SUMPRODUCT(--('Данные 2st'!$Q$2:$Q$317=$A29),--ISNUMBER('Данные 2st'!$LQ$2:$LQ$317))</f>
        <v>3</v>
      </c>
      <c r="QM29">
        <f>SUMPRODUCT(--('Данные 2st'!$Q$2:$Q$317=$A29),--ISNUMBER('Данные 2st'!$LW$2:$LW$317))</f>
        <v>3</v>
      </c>
      <c r="QN29">
        <f>SUMPRODUCT(--('Данные 2st'!$Q$2:$Q$317=$A29),--ISNUMBER('Данные 2st'!$LX$2:$LX$317))</f>
        <v>3</v>
      </c>
      <c r="QO29">
        <f>SUMPRODUCT(--('Данные 2st'!$Q$2:$Q$317=$A29),--ISNUMBER('Данные 2st'!$LY$2:$LY$317))</f>
        <v>3</v>
      </c>
      <c r="QP29">
        <f>SUMPRODUCT(--('Данные 2st'!$Q$2:$Q$317=$A29),--ISNUMBER('Данные 2st'!$LZ$2:$LZ$317))</f>
        <v>3</v>
      </c>
      <c r="QQ29">
        <f>SUMPRODUCT(--('Данные 2st'!$Q$2:$Q$317=$A29),--ISNUMBER('Данные 2st'!$MB$2:$MB$317))</f>
        <v>3</v>
      </c>
      <c r="QR29">
        <f>SUMPRODUCT(--('Данные 2st'!$Q$2:$Q$317=$A29),--ISNUMBER('Данные 2st'!$MG$2:$MG$317))</f>
        <v>2</v>
      </c>
      <c r="QS29">
        <f>SUMPRODUCT(--('Данные 2st'!$Q$2:$Q$317=$A29),--ISNUMBER('Данные 2st'!$MH$2:$MH$317))</f>
        <v>2</v>
      </c>
      <c r="QT29">
        <f>SUMPRODUCT(--('Данные 2st'!$Q$2:$Q$317=$A29),--ISNUMBER('Данные 2st'!$MI$2:$MI$317))</f>
        <v>3</v>
      </c>
      <c r="QU29">
        <f>SUMPRODUCT(--('Данные 2st'!$Q$2:$Q$317=$A29),--ISNUMBER('Данные 2st'!$MJ$2:$MJ$317))</f>
        <v>3</v>
      </c>
      <c r="QV29">
        <f>SUMPRODUCT(--('Данные 2st'!$Q$2:$Q$317=$A29),--ISNUMBER('Данные 2st'!$MK$2:$MK$317))</f>
        <v>2</v>
      </c>
      <c r="QW29">
        <f>SUMPRODUCT(--('Данные 2st'!$Q$2:$Q$317=$A29),--ISNUMBER('Данные 2st'!$MM$2:$MM$317))</f>
        <v>3</v>
      </c>
      <c r="QX29">
        <f>SUMPRODUCT(--('Данные 2st'!$Q$2:$Q$317=$A29),--ISNUMBER('Данные 2st'!$MQ$2:$MQ$317))</f>
        <v>0</v>
      </c>
      <c r="QY29">
        <f>SUMPRODUCT(--('Данные 2st'!$Q$2:$Q$317=$A29),--ISNUMBER('Данные 2st'!$MR$2:$MR$317))</f>
        <v>0</v>
      </c>
      <c r="QZ29">
        <f>SUMPRODUCT(--('Данные 2st'!$Q$2:$Q$317=$A29),--ISNUMBER('Данные 2st'!$MS$2:$MS$317))</f>
        <v>0</v>
      </c>
      <c r="RA29">
        <f>SUMPRODUCT(--('Данные 2st'!$Q$2:$Q$317=$A29),--ISNUMBER('Данные 2st'!$MT$2:$MT$317))</f>
        <v>0</v>
      </c>
      <c r="RB29">
        <f>SUMPRODUCT(--('Данные 2st'!$Q$2:$Q$317=$A29),--ISNUMBER('Данные 2st'!$MU$2:$MU$317))</f>
        <v>0</v>
      </c>
      <c r="RC29">
        <f>SUMPRODUCT(--('Данные 2st'!$Q$2:$Q$317=$A29),--ISNUMBER('Данные 2st'!$MV$2:$MV$317))</f>
        <v>0</v>
      </c>
      <c r="RD29">
        <f>SUMPRODUCT(--('Данные 2st'!$Q$2:$Q$317=$A29),--ISNUMBER('Данные 2st'!$MW$2:$MW$317))</f>
        <v>0</v>
      </c>
      <c r="RE29">
        <f>SUMPRODUCT(--('Данные 2st'!$Q$2:$Q$317=$A29),--ISNUMBER('Данные 2st'!$MX$2:$MX$317))</f>
        <v>0</v>
      </c>
      <c r="RF29">
        <f>SUMPRODUCT(--('Данные 2st'!$Q$2:$Q$317=$A29),--ISNUMBER('Данные 2st'!$MY$2:$MY$317))</f>
        <v>0</v>
      </c>
      <c r="RG29">
        <f>SUMPRODUCT(--('Данные 2st'!$Q$2:$Q$317=$A29),--ISNUMBER('Данные 2st'!$MZ$2:$MZ$317))</f>
        <v>0</v>
      </c>
      <c r="RH29">
        <f>SUMPRODUCT(--('Данные 2st'!$Q$2:$Q$317=$A29),--ISNUMBER('Данные 2st'!$NA$2:$NA$317))</f>
        <v>0</v>
      </c>
      <c r="RI29">
        <f>SUMPRODUCT(--('Данные 2st'!$Q$2:$Q$317=$A29),--ISNUMBER('Данные 2st'!$NB$2:$NB$317))</f>
        <v>0</v>
      </c>
      <c r="RJ29">
        <f>SUMPRODUCT(--('Данные 2st'!$Q$2:$Q$317=$A29),--ISNUMBER('Данные 2st'!$NC$2:$NC$317))</f>
        <v>0</v>
      </c>
      <c r="RK29">
        <f>SUMPRODUCT(--('Данные 2st'!$Q$2:$Q$317=$A29),--ISNUMBER('Данные 2st'!$ND$2:$ND$317))</f>
        <v>0</v>
      </c>
      <c r="RL29">
        <f>SUMPRODUCT(--('Данные 2st'!$Q$2:$Q$317=$A29),--ISNUMBER('Данные 2st'!$NE$2:$NE$317))</f>
        <v>0</v>
      </c>
      <c r="RM29">
        <f>SUMPRODUCT(--('Данные 2st'!$Q$2:$Q$317=$A29),--ISNUMBER('Данные 2st'!$NF$2:$NF$317))</f>
        <v>0</v>
      </c>
      <c r="RN29">
        <f>SUMPRODUCT(--('Данные 2st'!$Q$2:$Q$317=$A29),--ISNUMBER('Данные 2st'!$NG$2:$NG$317))</f>
        <v>0</v>
      </c>
      <c r="RO29">
        <f>SUMPRODUCT(--('Данные 2st'!$Q$2:$Q$317=$A29),--ISNUMBER('Данные 2st'!$NH$2:$NH$317))</f>
        <v>1</v>
      </c>
      <c r="RP29">
        <f>SUMPRODUCT(--('Данные 2st'!$Q$2:$Q$317=$A29),--ISNUMBER('Данные 2st'!$NJ$2:$NJ$317))</f>
        <v>1</v>
      </c>
      <c r="RQ29">
        <f>SUMPRODUCT(--('Данные 2st'!$Q$2:$Q$317=$A29),--ISNUMBER('Данные 2st'!$NK$2:$NK$317))</f>
        <v>1</v>
      </c>
      <c r="RR29">
        <f>SUMPRODUCT(--('Данные 2st'!$Q$2:$Q$317=$A29),--ISNUMBER('Данные 2st'!$NM$2:$NM$317))</f>
        <v>1</v>
      </c>
      <c r="RS29">
        <f>SUMPRODUCT(--('Данные 2st'!$Q$2:$Q$317=$A29),--ISNUMBER('Данные 2st'!$NN$2:$NN$317))</f>
        <v>0</v>
      </c>
      <c r="RT29">
        <f>SUMPRODUCT(--('Данные 2st'!$Q$2:$Q$317=$A29),--ISNUMBER('Данные 2st'!$NO$2:$NO$317))</f>
        <v>0</v>
      </c>
      <c r="RU29">
        <f>SUMPRODUCT(--('Данные 2st'!$Q$2:$Q$317=$A29),--ISNUMBER('Данные 2st'!$NP$2:$NP$317))</f>
        <v>0</v>
      </c>
      <c r="RV29">
        <f>SUMPRODUCT(--('Данные 2st'!$Q$2:$Q$317=$A29),--ISNUMBER('Данные 2st'!$NQ$2:$NQ$317))</f>
        <v>0</v>
      </c>
      <c r="RW29">
        <f>SUMPRODUCT(--('Данные 2st'!$Q$2:$Q$317=$A29),--ISNUMBER('Данные 2st'!$NR$2:$NR$317))</f>
        <v>0</v>
      </c>
      <c r="RX29">
        <f>SUMPRODUCT(--('Данные 2st'!$Q$2:$Q$317=$A29),--ISNUMBER('Данные 2st'!$NS$2:$NS$317))</f>
        <v>0</v>
      </c>
      <c r="RY29">
        <f>SUMPRODUCT(--('Данные 2st'!$Q$2:$Q$317=$A29),--ISNUMBER('Данные 2st'!$NT$2:$NT$317))</f>
        <v>0</v>
      </c>
      <c r="RZ29">
        <f>SUMPRODUCT(--('Данные 2st'!$Q$2:$Q$317=$A29),--ISNUMBER('Данные 2st'!$OK$2:$OK$317))</f>
        <v>3</v>
      </c>
      <c r="SA29">
        <f>SUMPRODUCT(--('Данные 2st'!$Q$2:$Q$317=$A29),--ISNUMBER('Данные 2st'!$OL$2:$OL$317))</f>
        <v>3</v>
      </c>
      <c r="SB29">
        <f>SUMPRODUCT(--('Данные 2st'!$Q$2:$Q$317=$A29),--ISNUMBER('Данные 2st'!$ON$2:$ON$317))</f>
        <v>3</v>
      </c>
      <c r="SC29">
        <f>SUMPRODUCT(--('Данные 2st'!$Q$2:$Q$317=$A29),--ISNUMBER('Данные 2st'!$OO$2:$OO$317))</f>
        <v>3</v>
      </c>
      <c r="SD29">
        <f>SUMPRODUCT(--('Данные 2st'!$Q$2:$Q$317=$A29),--ISNUMBER('Данные 2st'!$OP$2:$OP$317))</f>
        <v>3</v>
      </c>
      <c r="SE29">
        <f>SUMPRODUCT(--('Данные 2st'!$Q$2:$Q$317=$A29),--ISNUMBER('Данные 2st'!$OQ$2:$OQ$317))</f>
        <v>3</v>
      </c>
      <c r="SF29">
        <f>SUMPRODUCT(--('Данные 2st'!$Q$2:$Q$317=$A29),--ISNUMBER('Данные 2st'!$OS$2:$OS$317))</f>
        <v>3</v>
      </c>
      <c r="SG29">
        <f>SUMPRODUCT(--('Данные 2st'!$Q$2:$Q$317=$A29),--ISNUMBER('Данные 2st'!$OT$2:$OT$317))</f>
        <v>3</v>
      </c>
      <c r="SH29">
        <f>SUMPRODUCT(--('Данные 2st'!$Q$2:$Q$317=$A29),--ISNUMBER('Данные 2st'!$OU$2:$OU$317))</f>
        <v>3</v>
      </c>
      <c r="SI29">
        <f>SUMPRODUCT(--('Данные 2st'!$Q$2:$Q$317=$A29),--ISNUMBER('Данные 2st'!$OV$2:$OV$317))</f>
        <v>3</v>
      </c>
      <c r="SJ29">
        <f>SUMPRODUCT(--('Данные 2st'!$Q$2:$Q$317=$A29),--ISNUMBER('Данные 2st'!$OX$2:$OX$317))</f>
        <v>3</v>
      </c>
      <c r="SK29">
        <f>SUMPRODUCT(--('Данные 2st'!$Q$2:$Q$317=$A29),--ISNUMBER('Данные 2st'!$OY$2:$OY$317))</f>
        <v>3</v>
      </c>
      <c r="SL29">
        <f>SUMPRODUCT(--('Данные 2st'!$Q$2:$Q$317=$A29),--ISNUMBER('Данные 2st'!$OZ$2:$OZ$317))</f>
        <v>3</v>
      </c>
      <c r="SM29">
        <f>SUMPRODUCT(--('Данные 2st'!$Q$2:$Q$317=$A29),--ISNUMBER('Данные 2st'!$PA$2:$PA$317))</f>
        <v>3</v>
      </c>
      <c r="SN29">
        <f>SUMPRODUCT(--('Данные 2st'!$Q$2:$Q$317=$A29),--ISNUMBER('Данные 2st'!$PC$2:$PC$317))</f>
        <v>3</v>
      </c>
      <c r="SO29">
        <f>SUMPRODUCT(--('Данные 2st'!$Q$2:$Q$317=$A29),--ISNUMBER('Данные 2st'!$PD$2:$PD$317))</f>
        <v>3</v>
      </c>
      <c r="SP29">
        <f>SUMPRODUCT(--('Данные 2st'!$Q$2:$Q$317=$A29),--ISNUMBER('Данные 2st'!$PF$2:$PF$317))</f>
        <v>3</v>
      </c>
      <c r="SQ29">
        <f>SUMPRODUCT(--('Данные 2st'!$Q$2:$Q$317=$A29),--ISNUMBER('Данные 2st'!$PG$2:$PG$317))</f>
        <v>3</v>
      </c>
      <c r="SR29">
        <f>SUMPRODUCT(--('Данные 2st'!$Q$2:$Q$317=$A29),--ISNUMBER('Данные 2st'!$PH$2:$PH$317))</f>
        <v>3</v>
      </c>
      <c r="SS29">
        <f>SUMPRODUCT(--('Данные 2st'!$Q$2:$Q$317=$A29),--ISNUMBER('Данные 2st'!$PI$2:$PI$317))</f>
        <v>3</v>
      </c>
      <c r="ST29">
        <f>SUMPRODUCT(--('Данные 2st'!$Q$2:$Q$317=$A29),--ISNUMBER('Данные 2st'!$PJ$2:$PJ$317))</f>
        <v>3</v>
      </c>
      <c r="SU29">
        <f>SUMPRODUCT(--('Данные 2st'!$Q$2:$Q$317=$A29),--ISNUMBER('Данные 2st'!$PK$2:$PK$317))</f>
        <v>3</v>
      </c>
      <c r="SV29">
        <f>SUMPRODUCT(--('Данные 2st'!$Q$2:$Q$317=$A29),--ISNUMBER('Данные 2st'!$PL$2:$PL$317))</f>
        <v>3</v>
      </c>
      <c r="SW29">
        <f>SUMPRODUCT(--('Данные 2st'!$Q$2:$Q$317=$A29),--ISNUMBER('Данные 2st'!$PM$2:$PM$317))</f>
        <v>3</v>
      </c>
      <c r="SX29">
        <f>SUMPRODUCT(--('Данные 2st'!$Q$2:$Q$317=$A29),--ISNUMBER('Данные 2st'!$PN$2:$PN$317))</f>
        <v>3</v>
      </c>
      <c r="SY29">
        <f>SUMPRODUCT(--('Данные 2st'!$Q$2:$Q$317=$A29),--ISNUMBER('Данные 2st'!$PO$2:$PO$317))</f>
        <v>2</v>
      </c>
      <c r="SZ29">
        <f>SUMPRODUCT(--('Данные 2st'!$Q$2:$Q$317=$A29),--ISNUMBER('Данные 2st'!$PP$2:$PP$317))</f>
        <v>3</v>
      </c>
      <c r="TA29">
        <f>SUMPRODUCT(--('Данные 2st'!$Q$2:$Q$317=$A29),--ISNUMBER('Данные 2st'!$PQ$2:$PQ$317))</f>
        <v>3</v>
      </c>
      <c r="TB29">
        <f>SUMPRODUCT(--('Данные 2st'!$Q$2:$Q$317=$A29),--ISNUMBER('Данные 2st'!$PR$2:$PR$317))</f>
        <v>3</v>
      </c>
      <c r="TC29">
        <f>SUMPRODUCT(--('Данные 2st'!$Q$2:$Q$317=$A29),--ISNUMBER('Данные 2st'!$PS$2:$PS$317))</f>
        <v>3</v>
      </c>
      <c r="TD29">
        <f>SUMPRODUCT(--('Данные 2st'!$Q$2:$Q$317=$A29),--ISNUMBER('Данные 2st'!$PT$2:$PT$317))</f>
        <v>3</v>
      </c>
      <c r="TE29">
        <f>SUMPRODUCT(--('Данные 2st'!$Q$2:$Q$317=$A29),--ISNUMBER('Данные 2st'!$PU$2:$PU$317))</f>
        <v>3</v>
      </c>
      <c r="TF29">
        <f>SUMPRODUCT(--('Данные 2st'!$Q$2:$Q$317=$A29),--ISNUMBER('Данные 2st'!$PX$2:$PX$317))</f>
        <v>3</v>
      </c>
      <c r="TG29">
        <f>SUMPRODUCT(--('Данные 2st'!$Q$2:$Q$317=$A29),--ISNUMBER('Данные 2st'!$PY$2:$PY$317))</f>
        <v>3</v>
      </c>
      <c r="TH29">
        <f>SUMPRODUCT(--('Данные 2st'!$Q$2:$Q$317=$A29),--ISNUMBER('Данные 2st'!$PZ$2:$PZ$317))</f>
        <v>3</v>
      </c>
      <c r="TI29">
        <f>SUMPRODUCT(--('Данные 2st'!$Q$2:$Q$317=$A29),--ISNUMBER('Данные 2st'!$QA$2:$QA$317))</f>
        <v>3</v>
      </c>
      <c r="TJ29">
        <f>SUMPRODUCT(--('Данные 2st'!$Q$2:$Q$317=$A29),--ISNUMBER('Данные 2st'!$QB$2:$QB$317))</f>
        <v>3</v>
      </c>
      <c r="TK29">
        <f>SUMPRODUCT(--('Данные 2st'!$Q$2:$Q$317=$A29),--ISNUMBER('Данные 2st'!$QC$2:$QC$317))</f>
        <v>3</v>
      </c>
      <c r="TL29">
        <f>SUMPRODUCT(--('Данные 2st'!$Q$2:$Q$317=$A29),--ISNUMBER('Данные 2st'!$QD$2:$QD$317))</f>
        <v>3</v>
      </c>
      <c r="TM29">
        <f>SUMPRODUCT(--('Данные 2st'!$Q$2:$Q$317=$A29),--ISNUMBER('Данные 2st'!$QE$2:$QE$317))</f>
        <v>3</v>
      </c>
      <c r="TN29">
        <f>SUMPRODUCT(--('Данные 2st'!$Q$2:$Q$317=$A29),--ISNUMBER('Данные 2st'!$QF$2:$QF$317))</f>
        <v>3</v>
      </c>
      <c r="TO29">
        <f>SUMPRODUCT(--('Данные 2st'!$Q$2:$Q$317=$A29),--ISNUMBER('Данные 2st'!$QG$2:$QG$317))</f>
        <v>3</v>
      </c>
      <c r="TP29">
        <f>SUMPRODUCT(--('Данные 2st'!$Q$2:$Q$317=$A29),--ISNUMBER('Данные 2st'!$QH$2:$QH$317))</f>
        <v>3</v>
      </c>
      <c r="TQ29">
        <f>SUMPRODUCT(--('Данные 2st'!$Q$2:$Q$317=$A29),--ISNUMBER('Данные 2st'!$QI$2:$QI$317))</f>
        <v>3</v>
      </c>
      <c r="TR29">
        <f>SUMPRODUCT(--('Данные 2st'!$Q$2:$Q$317=$A29),--ISNUMBER('Данные 2st'!$QJ$2:$QJ$317))</f>
        <v>3</v>
      </c>
      <c r="TS29">
        <f>SUMPRODUCT(--('Данные 2st'!$Q$2:$Q$317=$A29),--ISNUMBER('Данные 2st'!$QK$2:$QK$317))</f>
        <v>3</v>
      </c>
      <c r="TT29">
        <f>SUMPRODUCT(--('Данные 2st'!$Q$2:$Q$317=$A29),--ISNUMBER('Данные 2st'!$QL$2:$QL$317))</f>
        <v>3</v>
      </c>
      <c r="TU29">
        <f>SUMPRODUCT(--('Данные 2st'!$Q$2:$Q$317=$A29),--ISNUMBER('Данные 2st'!$QM$2:$QM$317))</f>
        <v>3</v>
      </c>
      <c r="TV29">
        <f>SUMPRODUCT(--('Данные 2st'!$Q$2:$Q$317=$A29),--ISNUMBER('Данные 2st'!$QN$2:$QN$317))</f>
        <v>3</v>
      </c>
      <c r="TW29">
        <f>SUMPRODUCT(--('Данные 2st'!$Q$2:$Q$317=$A29),--ISNUMBER('Данные 2st'!$QQ$2:$QQ$317))</f>
        <v>3</v>
      </c>
      <c r="TX29">
        <f>SUMPRODUCT(--('Данные 2st'!$Q$2:$Q$317=$A29),--ISNUMBER('Данные 2st'!$QS$2:$QS$317))</f>
        <v>3</v>
      </c>
      <c r="TY29">
        <f>SUMPRODUCT(--('Данные 2st'!$Q$2:$Q$317=$A29),--ISNUMBER('Данные 2st'!$QT$2:$QT$317))</f>
        <v>3</v>
      </c>
    </row>
    <row r="30" spans="1:545" ht="32" customHeight="1">
      <c r="A30" s="11" t="str">
        <f>'По размерам'!A30</f>
        <v>225/40R18</v>
      </c>
      <c r="G30">
        <f>SUMPRODUCT(--('Данные 1st'!$S$2:$S$317=$A30),--ISNUMBER('Данные 1st'!$AE$2:$AE$317))</f>
        <v>1</v>
      </c>
      <c r="H30">
        <f>SUMPRODUCT(--('Данные 1st'!$S$2:$S$317=$A30),--ISNUMBER('Данные 1st'!$AF$2:$AF$317))</f>
        <v>1</v>
      </c>
      <c r="I30">
        <f>SUMPRODUCT(--('Данные 1st'!$S$2:$S$317=$A30),--ISNUMBER('Данные 1st'!$AJ$2:$AJ$317))</f>
        <v>1</v>
      </c>
      <c r="J30">
        <f>SUMPRODUCT(--('Данные 1st'!$S$2:$S$317=$A30),--ISNUMBER('Данные 1st'!$AL$2:$AL$317))</f>
        <v>1</v>
      </c>
      <c r="K30">
        <f>SUMPRODUCT(--('Данные 1st'!$S$2:$S$317=$A30),--ISNUMBER('Данные 1st'!$AR$2:$AR$317))</f>
        <v>1</v>
      </c>
      <c r="L30">
        <f>SUMPRODUCT(--('Данные 1st'!$S$2:$S$317=$A30),--ISNUMBER('Данные 1st'!$AS$2:$AS$317))</f>
        <v>1</v>
      </c>
      <c r="M30">
        <f>SUMPRODUCT(--('Данные 1st'!$S$2:$S$317=$A30),--ISNUMBER('Данные 1st'!$AY$2:$AY$317))</f>
        <v>1</v>
      </c>
      <c r="N30">
        <f>SUMPRODUCT(--('Данные 1st'!$S$2:$S$317=$A30),--ISNUMBER('Данные 1st'!$AZ$2:$AZ$317))</f>
        <v>1</v>
      </c>
      <c r="O30">
        <f>SUMPRODUCT(--('Данные 1st'!$S$2:$S$317=$A30),--ISNUMBER('Данные 1st'!$BF$2:$BF$317))</f>
        <v>0</v>
      </c>
      <c r="P30">
        <f>SUMPRODUCT(--('Данные 1st'!$S$2:$S$317=$A30),--ISNUMBER('Данные 1st'!$BG$2:$BG$317))</f>
        <v>1</v>
      </c>
      <c r="Q30">
        <f>SUMPRODUCT(--('Данные 1st'!$S$2:$S$317=$A30),--ISNUMBER('Данные 1st'!$BM$2:$BM$317))</f>
        <v>0</v>
      </c>
      <c r="R30">
        <f>SUMPRODUCT(--('Данные 1st'!$S$2:$S$317=$A30),--ISNUMBER('Данные 1st'!$BN$2:$BN$317))</f>
        <v>1</v>
      </c>
      <c r="S30">
        <f>SUMPRODUCT(--('Данные 1st'!$S$2:$S$317=$A30),--ISNUMBER('Данные 1st'!$BT$2:$BT$317))</f>
        <v>1</v>
      </c>
      <c r="T30">
        <f>SUMPRODUCT(--('Данные 1st'!$S$2:$S$317=$A30),--ISNUMBER('Данные 1st'!$BU$2:$BU$317))</f>
        <v>1</v>
      </c>
      <c r="U30">
        <f>SUMPRODUCT(--('Данные 1st'!$S$2:$S$317=$A30),--ISNUMBER('Данные 1st'!$BW$2:$BW$317))</f>
        <v>1</v>
      </c>
      <c r="V30">
        <f>SUMPRODUCT(--('Данные 1st'!$S$2:$S$317=$A30),--ISNUMBER('Данные 1st'!$BX$2:$BX$317))</f>
        <v>1</v>
      </c>
      <c r="W30">
        <f>SUMPRODUCT(--('Данные 1st'!$S$2:$S$317=$A30),--ISNUMBER('Данные 1st'!$BZ$2:$BZ$317))</f>
        <v>1</v>
      </c>
      <c r="X30">
        <f>SUMPRODUCT(--('Данные 1st'!$S$2:$S$317=$A30),--ISNUMBER('Данные 1st'!$CA$2:$CA$317))</f>
        <v>1</v>
      </c>
      <c r="Y30">
        <f>SUMPRODUCT(--('Данные 1st'!$S$2:$S$317=$A30),--ISNUMBER('Данные 1st'!$CD$2:$CD$317))</f>
        <v>1</v>
      </c>
      <c r="Z30">
        <f>SUMPRODUCT(--('Данные 1st'!$S$2:$S$317=$A30),--ISNUMBER('Данные 1st'!$CF$2:$CF$317))</f>
        <v>1</v>
      </c>
      <c r="AA30">
        <f>SUMPRODUCT(--('Данные 1st'!$S$2:$S$317=$A30),--ISNUMBER('Данные 1st'!$CI$2:$CI$317))</f>
        <v>1</v>
      </c>
      <c r="AB30">
        <f>SUMPRODUCT(--('Данные 1st'!$S$2:$S$317=$A30),--ISNUMBER('Данные 1st'!$CJ$2:$CJ$317))</f>
        <v>1</v>
      </c>
      <c r="AC30">
        <f>SUMPRODUCT(--('Данные 1st'!$S$2:$S$317=$A30),--ISNUMBER('Данные 1st'!$CK$2:$CK$317))</f>
        <v>1</v>
      </c>
      <c r="AD30">
        <f>SUMPRODUCT(--('Данные 1st'!$S$2:$S$317=$A30),--ISNUMBER('Данные 1st'!$CL$2:$CL$317))</f>
        <v>1</v>
      </c>
      <c r="AE30">
        <f>SUMPRODUCT(--('Данные 1st'!$S$2:$S$317=$A30),--ISNUMBER('Данные 1st'!$CM$2:$CM$317))</f>
        <v>1</v>
      </c>
      <c r="AF30">
        <f>SUMPRODUCT(--('Данные 1st'!$S$2:$S$317=$A30),--ISNUMBER('Данные 1st'!$CT$2:$CT$317))</f>
        <v>1</v>
      </c>
      <c r="AG30">
        <f>SUMPRODUCT(--('Данные 1st'!$S$2:$S$317=$A30),--ISNUMBER('Данные 1st'!$CU$2:$CU$317))</f>
        <v>1</v>
      </c>
      <c r="AH30">
        <f>SUMPRODUCT(--('Данные 1st'!$S$2:$S$317=$A30),--ISNUMBER('Данные 1st'!$CV$2:$CV$317))</f>
        <v>1</v>
      </c>
      <c r="AI30">
        <f>SUMPRODUCT(--('Данные 1st'!$S$2:$S$317=$A30),--ISNUMBER('Данные 1st'!$CW$2:$CW$317))</f>
        <v>1</v>
      </c>
      <c r="AJ30">
        <f>SUMPRODUCT(--('Данные 1st'!$S$2:$S$317=$A30),--ISNUMBER('Данные 1st'!$CX$2:$CX$317))</f>
        <v>1</v>
      </c>
      <c r="AK30">
        <f>SUMPRODUCT(--('Данные 1st'!$S$2:$S$317=$A30),--ISNUMBER('Данные 1st'!$CZ$2:$CZ$317))</f>
        <v>0</v>
      </c>
      <c r="AL30">
        <f>SUMPRODUCT(--('Данные 1st'!$S$2:$S$317=$A30),--ISNUMBER('Данные 1st'!$DA$2:$DA$317))</f>
        <v>0</v>
      </c>
      <c r="AM30">
        <f>SUMPRODUCT(--('Данные 1st'!$S$2:$S$317=$A30),--ISNUMBER('Данные 1st'!$DB$2:$DB$317))</f>
        <v>0</v>
      </c>
      <c r="AN30">
        <f>SUMPRODUCT(--('Данные 1st'!$S$2:$S$317=$A30),--ISNUMBER('Данные 1st'!$DC$2:$DC$317))</f>
        <v>0</v>
      </c>
      <c r="AO30">
        <f>SUMPRODUCT(--('Данные 1st'!$S$2:$S$317=$A30),--ISNUMBER('Данные 1st'!$DD$2:$DD$317))</f>
        <v>1</v>
      </c>
      <c r="AP30">
        <f>SUMPRODUCT(--('Данные 1st'!$S$2:$S$317=$A30),--ISNUMBER('Данные 1st'!$DF$2:$DF$317))</f>
        <v>1</v>
      </c>
      <c r="AQ30">
        <f>SUMPRODUCT(--('Данные 1st'!$S$2:$S$317=$A30),--ISNUMBER('Данные 1st'!$DG$2:$DG$317))</f>
        <v>1</v>
      </c>
      <c r="AR30">
        <f>SUMPRODUCT(--('Данные 1st'!$S$2:$S$317=$A30),--ISNUMBER('Данные 1st'!$DH$2:$DH$317))</f>
        <v>1</v>
      </c>
      <c r="AS30">
        <f>SUMPRODUCT(--('Данные 1st'!$S$2:$S$317=$A30),--ISNUMBER('Данные 1st'!$DI$2:$DI$317))</f>
        <v>1</v>
      </c>
      <c r="AT30">
        <f>SUMPRODUCT(--('Данные 1st'!$S$2:$S$317=$A30),--ISNUMBER('Данные 1st'!$DJ$2:$DJ$317))</f>
        <v>1</v>
      </c>
      <c r="AU30">
        <f>SUMPRODUCT(--('Данные 1st'!$S$2:$S$317=$A30),--ISNUMBER('Данные 1st'!$DL$2:$DL$317))</f>
        <v>0</v>
      </c>
      <c r="AV30">
        <f>SUMPRODUCT(--('Данные 1st'!$S$2:$S$317=$A30),--ISNUMBER('Данные 1st'!$DM$2:$DM$317))</f>
        <v>0</v>
      </c>
      <c r="AW30">
        <f>SUMPRODUCT(--('Данные 1st'!$S$2:$S$317=$A30),--ISNUMBER('Данные 1st'!$DN$2:$DN$317))</f>
        <v>0</v>
      </c>
      <c r="AX30">
        <f>SUMPRODUCT(--('Данные 1st'!$S$2:$S$317=$A30),--ISNUMBER('Данные 1st'!$DO$2:$DO$317))</f>
        <v>0</v>
      </c>
      <c r="AY30">
        <f>SUMPRODUCT(--('Данные 1st'!$S$2:$S$317=$A30),--ISNUMBER('Данные 1st'!$DP$2:$DP$317))</f>
        <v>0</v>
      </c>
      <c r="AZ30">
        <f>SUMPRODUCT(--('Данные 1st'!$S$2:$S$317=$A30),--ISNUMBER('Данные 1st'!$DR$2:$DR$317))</f>
        <v>0</v>
      </c>
      <c r="BA30">
        <f>SUMPRODUCT(--('Данные 1st'!$S$2:$S$317=$A30),--ISNUMBER('Данные 1st'!$DS$2:$DS$317))</f>
        <v>0</v>
      </c>
      <c r="BB30">
        <f>SUMPRODUCT(--('Данные 1st'!$S$2:$S$317=$A30),--ISNUMBER('Данные 1st'!$DT$2:$DT$317))</f>
        <v>0</v>
      </c>
      <c r="BC30">
        <f>SUMPRODUCT(--('Данные 1st'!$S$2:$S$317=$A30),--ISNUMBER('Данные 1st'!$DU$2:$DU$317))</f>
        <v>0</v>
      </c>
      <c r="BD30">
        <f>SUMPRODUCT(--('Данные 1st'!$S$2:$S$317=$A30),--ISNUMBER('Данные 1st'!$DV$2:$DV$317))</f>
        <v>0</v>
      </c>
      <c r="BE30">
        <f>SUMPRODUCT(--('Данные 1st'!$S$2:$S$317=$A30),--ISNUMBER('Данные 1st'!$DX$2:$DX$317))</f>
        <v>1</v>
      </c>
      <c r="BF30">
        <f>SUMPRODUCT(--('Данные 1st'!$S$2:$S$317=$A30),--ISNUMBER('Данные 1st'!$EA$2:$EA$317))</f>
        <v>1</v>
      </c>
      <c r="BG30">
        <f>SUMPRODUCT(--('Данные 1st'!$S$2:$S$317=$A30),--ISNUMBER('Данные 1st'!$EB$2:$EB$317))</f>
        <v>1</v>
      </c>
      <c r="BH30">
        <f>SUMPRODUCT(--('Данные 1st'!$S$2:$S$317=$A30),--ISNUMBER('Данные 1st'!$ED$2:$ED$317))</f>
        <v>1</v>
      </c>
      <c r="BI30">
        <f>SUMPRODUCT(--('Данные 1st'!$S$2:$S$317=$A30),--ISNUMBER('Данные 1st'!$EE$2:$EE$317))</f>
        <v>1</v>
      </c>
      <c r="BJ30">
        <f>SUMPRODUCT(--('Данные 1st'!$S$2:$S$317=$A30),--ISNUMBER('Данные 1st'!$EG$2:$EG$317))</f>
        <v>1</v>
      </c>
      <c r="BK30">
        <f>SUMPRODUCT(--('Данные 1st'!$S$2:$S$317=$A30),--ISNUMBER('Данные 1st'!$EH$2:$EH$317))</f>
        <v>1</v>
      </c>
      <c r="BL30">
        <f>SUMPRODUCT(--('Данные 1st'!$S$2:$S$317=$A30),--ISNUMBER('Данные 1st'!$EJ$2:$EJ$317))</f>
        <v>1</v>
      </c>
      <c r="BM30">
        <f>SUMPRODUCT(--('Данные 1st'!$S$2:$S$317=$A30),--ISNUMBER('Данные 1st'!$EK$2:$EK$317))</f>
        <v>1</v>
      </c>
      <c r="BN30">
        <f>SUMPRODUCT(--('Данные 1st'!$S$2:$S$317=$A30),--ISNUMBER('Данные 1st'!$EN$2:$EN$317))</f>
        <v>1</v>
      </c>
      <c r="BO30">
        <f>SUMPRODUCT(--('Данные 1st'!$S$2:$S$317=$A30),--ISNUMBER('Данные 1st'!$EQ$2:$EQ$317))</f>
        <v>1</v>
      </c>
      <c r="BP30">
        <f>SUMPRODUCT(--('Данные 1st'!$S$2:$S$317=$A30),--ISNUMBER('Данные 1st'!$ER$2:$ER$317))</f>
        <v>1</v>
      </c>
      <c r="BQ30">
        <f>SUMPRODUCT(--('Данные 1st'!$S$2:$S$317=$A30),--ISNUMBER('Данные 1st'!$ES$2:$ES$317))</f>
        <v>1</v>
      </c>
      <c r="BR30">
        <f>SUMPRODUCT(--('Данные 1st'!$S$2:$S$317=$A30),--ISNUMBER('Данные 1st'!$ET$2:$ET$317))</f>
        <v>1</v>
      </c>
      <c r="BS30">
        <f>SUMPRODUCT(--('Данные 1st'!$S$2:$S$317=$A30),--ISNUMBER('Данные 1st'!$EU$2:$EU$317))</f>
        <v>1</v>
      </c>
      <c r="BT30">
        <f>SUMPRODUCT(--('Данные 1st'!$S$2:$S$317=$A30),--ISNUMBER('Данные 1st'!$EV$2:$EV$317))</f>
        <v>1</v>
      </c>
      <c r="BU30">
        <f>SUMPRODUCT(--('Данные 1st'!$S$2:$S$317=$A30),--ISNUMBER('Данные 1st'!$EX$2:$EX$317))</f>
        <v>1</v>
      </c>
      <c r="BV30">
        <f>SUMPRODUCT(--('Данные 1st'!$S$2:$S$317=$A30),--ISNUMBER('Данные 1st'!$EY$2:$EY$317))</f>
        <v>1</v>
      </c>
      <c r="BW30">
        <f>SUMPRODUCT(--('Данные 1st'!$S$2:$S$317=$A30),--ISNUMBER('Данные 1st'!$EZ$2:$EZ$317))</f>
        <v>1</v>
      </c>
      <c r="BX30">
        <f>SUMPRODUCT(--('Данные 1st'!$S$2:$S$317=$A30),--ISNUMBER('Данные 1st'!$FA$2:$FA$317))</f>
        <v>1</v>
      </c>
      <c r="BY30">
        <f>SUMPRODUCT(--('Данные 1st'!$S$2:$S$317=$A30),--ISNUMBER('Данные 1st'!$FB$2:$FB$317))</f>
        <v>1</v>
      </c>
      <c r="BZ30">
        <f>SUMPRODUCT(--('Данные 1st'!$S$2:$S$317=$A30),--ISNUMBER('Данные 1st'!$FC$2:$FC$317))</f>
        <v>1</v>
      </c>
      <c r="CA30">
        <f>SUMPRODUCT(--('Данные 1st'!$S$2:$S$317=$A30),--ISNUMBER('Данные 1st'!$FE$2:$FE$317))</f>
        <v>1</v>
      </c>
      <c r="CB30">
        <f>SUMPRODUCT(--('Данные 1st'!$S$2:$S$317=$A30),--ISNUMBER('Данные 1st'!$FF$2:$FF$317))</f>
        <v>1</v>
      </c>
      <c r="CC30">
        <f>SUMPRODUCT(--('Данные 1st'!$S$2:$S$317=$A30),--ISNUMBER('Данные 1st'!$FI$2:$FI$317))</f>
        <v>1</v>
      </c>
      <c r="CD30">
        <f>SUMPRODUCT(--('Данные 1st'!$S$2:$S$317=$A30),--ISNUMBER('Данные 1st'!$FL$2:$FL$317))</f>
        <v>1</v>
      </c>
      <c r="CE30">
        <f>SUMPRODUCT(--('Данные 1st'!$S$2:$S$317=$A30),--ISNUMBER('Данные 1st'!$FM$2:$FM$317))</f>
        <v>1</v>
      </c>
      <c r="CF30">
        <f>SUMPRODUCT(--('Данные 1st'!$S$2:$S$317=$A30),--ISNUMBER('Данные 1st'!$FN$2:$FN$317))</f>
        <v>1</v>
      </c>
      <c r="CG30">
        <f>SUMPRODUCT(--('Данные 1st'!$S$2:$S$317=$A30),--ISNUMBER('Данные 1st'!$FO$2:$FO$317))</f>
        <v>0</v>
      </c>
      <c r="CH30">
        <f>SUMPRODUCT(--('Данные 1st'!$S$2:$S$317=$A30),--ISNUMBER('Данные 1st'!$FP$2:$FP$317))</f>
        <v>0</v>
      </c>
      <c r="CI30">
        <f>SUMPRODUCT(--('Данные 1st'!$S$2:$S$317=$A30),--ISNUMBER('Данные 1st'!$FS$2:$FS$317))</f>
        <v>1</v>
      </c>
      <c r="CJ30">
        <f>SUMPRODUCT(--('Данные 1st'!$S$2:$S$317=$A30),--ISNUMBER('Данные 1st'!$FT$2:$FT$317))</f>
        <v>1</v>
      </c>
      <c r="CK30">
        <f>SUMPRODUCT(--('Данные 1st'!$S$2:$S$317=$A30),--ISNUMBER('Данные 1st'!$FU$2:$FU$317))</f>
        <v>1</v>
      </c>
      <c r="CL30">
        <f>SUMPRODUCT(--('Данные 1st'!$S$2:$S$317=$A30),--ISNUMBER('Данные 1st'!$FV$2:$FV$317))</f>
        <v>0</v>
      </c>
      <c r="CM30">
        <f>SUMPRODUCT(--('Данные 1st'!$S$2:$S$317=$A30),--ISNUMBER('Данные 1st'!$FW$2:$FW$317))</f>
        <v>0</v>
      </c>
      <c r="CN30">
        <f>SUMPRODUCT(--('Данные 1st'!$S$2:$S$317=$A30),--ISNUMBER('Данные 1st'!$FZ$2:$FZ$317))</f>
        <v>0</v>
      </c>
      <c r="CO30">
        <f>SUMPRODUCT(--('Данные 1st'!$S$2:$S$317=$A30),--ISNUMBER('Данные 1st'!$GA$2:$GA$317))</f>
        <v>0</v>
      </c>
      <c r="CP30">
        <f>SUMPRODUCT(--('Данные 1st'!$S$2:$S$317=$A30),--ISNUMBER('Данные 1st'!$GB$2:$GB$317))</f>
        <v>0</v>
      </c>
      <c r="CQ30">
        <f>SUMPRODUCT(--('Данные 1st'!$S$2:$S$317=$A30),--ISNUMBER('Данные 1st'!$GH$2:$GH$317))</f>
        <v>0</v>
      </c>
      <c r="CR30">
        <f>SUMPRODUCT(--('Данные 1st'!$S$2:$S$317=$A30),--ISNUMBER('Данные 1st'!$GI$2:$GI$317))</f>
        <v>0</v>
      </c>
      <c r="CS30">
        <f>SUMPRODUCT(--('Данные 1st'!$S$2:$S$317=$A30),--ISNUMBER('Данные 1st'!$GJ$2:$GJ$317))</f>
        <v>0</v>
      </c>
      <c r="CT30">
        <f>SUMPRODUCT(--('Данные 1st'!$S$2:$S$317=$A30),--ISNUMBER('Данные 1st'!$GS$2:$GS$317))</f>
        <v>0</v>
      </c>
      <c r="CU30">
        <f>SUMPRODUCT(--('Данные 1st'!$S$2:$S$317=$A30),--ISNUMBER('Данные 1st'!$GT$2:$GT$317))</f>
        <v>0</v>
      </c>
      <c r="CV30">
        <f>SUMPRODUCT(--('Данные 1st'!$S$2:$S$317=$A30),--ISNUMBER('Данные 1st'!$GU$2:$GU$317))</f>
        <v>0</v>
      </c>
      <c r="CW30">
        <f>SUMPRODUCT(--('Данные 1st'!$S$2:$S$317=$A30),--ISNUMBER('Данные 1st'!$GV$2:$GV$317))</f>
        <v>0</v>
      </c>
      <c r="CX30">
        <f>SUMPRODUCT(--('Данные 1st'!$S$2:$S$317=$A30),--ISNUMBER('Данные 1st'!$GW$2:$GW$317))</f>
        <v>0</v>
      </c>
      <c r="CY30">
        <f>SUMPRODUCT(--('Данные 1st'!$S$2:$S$317=$A30),--ISNUMBER('Данные 1st'!$GZ$2:$GZ$317))</f>
        <v>0</v>
      </c>
      <c r="CZ30">
        <f>SUMPRODUCT(--('Данные 1st'!$S$2:$S$317=$A30),--ISNUMBER('Данные 1st'!$HA$2:$HA$317))</f>
        <v>0</v>
      </c>
      <c r="DA30">
        <f>SUMPRODUCT(--('Данные 1st'!$S$2:$S$317=$A30),--ISNUMBER('Данные 1st'!$HB$2:$HB$317))</f>
        <v>0</v>
      </c>
      <c r="DB30">
        <f>SUMPRODUCT(--('Данные 1st'!$S$2:$S$317=$A30),--ISNUMBER('Данные 1st'!$HC$2:$HC$317))</f>
        <v>1</v>
      </c>
      <c r="DC30">
        <f>SUMPRODUCT(--('Данные 1st'!$S$2:$S$317=$A30),--ISNUMBER('Данные 1st'!$HD$2:$HD$317))</f>
        <v>1</v>
      </c>
      <c r="DD30">
        <f>SUMPRODUCT(--('Данные 1st'!$S$2:$S$317=$A30),--ISNUMBER('Данные 1st'!$HE$2:$HE$317))</f>
        <v>1</v>
      </c>
      <c r="DE30">
        <f>SUMPRODUCT(--('Данные 1st'!$S$2:$S$317=$A30),--ISNUMBER('Данные 1st'!$HF$2:$HF$317))</f>
        <v>1</v>
      </c>
      <c r="DF30">
        <f>SUMPRODUCT(--('Данные 1st'!$S$2:$S$317=$A30),--ISNUMBER('Данные 1st'!$HG$2:$HG$317))</f>
        <v>1</v>
      </c>
      <c r="DG30">
        <f>SUMPRODUCT(--('Данные 1st'!$S$2:$S$317=$A30),--ISNUMBER('Данные 1st'!$HH$2:$HH$317))</f>
        <v>1</v>
      </c>
      <c r="DH30">
        <f>SUMPRODUCT(--('Данные 1st'!$S$2:$S$317=$A30),--ISNUMBER('Данные 1st'!$HI$2:$HI$317))</f>
        <v>1</v>
      </c>
      <c r="DI30">
        <f>SUMPRODUCT(--('Данные 1st'!$S$2:$S$317=$A30),--ISNUMBER('Данные 1st'!$HJ$2:$HJ$317))</f>
        <v>1</v>
      </c>
      <c r="DJ30">
        <f>SUMPRODUCT(--('Данные 1st'!$S$2:$S$317=$A30),--ISNUMBER('Данные 1st'!$HK$2:$HK$317))</f>
        <v>1</v>
      </c>
      <c r="DK30">
        <f>SUMPRODUCT(--('Данные 1st'!$S$2:$S$317=$A30),--ISNUMBER('Данные 1st'!$HL$2:$HL$317))</f>
        <v>1</v>
      </c>
      <c r="DL30">
        <f>SUMPRODUCT(--('Данные 1st'!$S$2:$S$317=$A30),--ISNUMBER('Данные 1st'!$HM$2:$HM$317))</f>
        <v>1</v>
      </c>
      <c r="DM30">
        <f>SUMPRODUCT(--('Данные 1st'!$S$2:$S$317=$A30),--ISNUMBER('Данные 1st'!$HN$2:$HN$317))</f>
        <v>1</v>
      </c>
      <c r="DN30">
        <f>SUMPRODUCT(--('Данные 1st'!$S$2:$S$317=$A30),--ISNUMBER('Данные 1st'!$HO$2:$HO$317))</f>
        <v>1</v>
      </c>
      <c r="DO30">
        <f>SUMPRODUCT(--('Данные 1st'!$S$2:$S$317=$A30),--ISNUMBER('Данные 1st'!$HP$2:$HP$317))</f>
        <v>1</v>
      </c>
      <c r="DP30">
        <f>SUMPRODUCT(--('Данные 1st'!$S$2:$S$317=$A30),--ISNUMBER('Данные 1st'!$HQ$2:$HQ$317))</f>
        <v>1</v>
      </c>
      <c r="DQ30">
        <f>SUMPRODUCT(--('Данные 1st'!$S$2:$S$317=$A30),--ISNUMBER('Данные 1st'!$HR$2:$HR$317))</f>
        <v>1</v>
      </c>
      <c r="DR30">
        <f>SUMPRODUCT(--('Данные 1st'!$S$2:$S$317=$A30),--ISNUMBER('Данные 1st'!$HS$2:$HS$317))</f>
        <v>1</v>
      </c>
      <c r="DS30">
        <f>SUMPRODUCT(--('Данные 1st'!$S$2:$S$317=$A30),--ISNUMBER('Данные 1st'!$HT$2:$HT$317))</f>
        <v>1</v>
      </c>
      <c r="DT30">
        <f>SUMPRODUCT(--('Данные 1st'!$S$2:$S$317=$A30),--ISNUMBER('Данные 1st'!$HU$2:$HU$317))</f>
        <v>1</v>
      </c>
      <c r="DU30">
        <f>SUMPRODUCT(--('Данные 1st'!$S$2:$S$317=$A30),--ISNUMBER('Данные 1st'!$HW$2:$HW$317))</f>
        <v>1</v>
      </c>
      <c r="DV30">
        <f>SUMPRODUCT(--('Данные 1st'!$S$2:$S$317=$A30),--ISNUMBER('Данные 1st'!$HX$2:$HX$317))</f>
        <v>1</v>
      </c>
      <c r="DW30">
        <f>SUMPRODUCT(--('Данные 1st'!$S$2:$S$317=$A30),--ISNUMBER('Данные 1st'!$HY$2:$HY$317))</f>
        <v>1</v>
      </c>
      <c r="DX30">
        <f>SUMPRODUCT(--('Данные 1st'!$S$2:$S$317=$A30),--ISNUMBER('Данные 1st'!$IA$2:$IA$317))</f>
        <v>1</v>
      </c>
      <c r="DY30">
        <f>SUMPRODUCT(--('Данные 1st'!$S$2:$S$317=$A30),--ISNUMBER('Данные 1st'!$IB$2:$IB$317))</f>
        <v>1</v>
      </c>
      <c r="DZ30">
        <f>SUMPRODUCT(--('Данные 1st'!$S$2:$S$317=$A30),--ISNUMBER('Данные 1st'!$IC$2:$IC$317))</f>
        <v>1</v>
      </c>
      <c r="EA30">
        <f>SUMPRODUCT(--('Данные 1st'!$S$2:$S$317=$A30),--ISNUMBER('Данные 1st'!$ID$2:$ID$317))</f>
        <v>1</v>
      </c>
      <c r="EB30">
        <f>SUMPRODUCT(--('Данные 1st'!$S$2:$S$317=$A30),--ISNUMBER('Данные 1st'!$IE$2:$IE$317))</f>
        <v>1</v>
      </c>
      <c r="EC30">
        <f>SUMPRODUCT(--('Данные 1st'!$S$2:$S$317=$A30),--ISNUMBER('Данные 1st'!$IF$2:$IF$317))</f>
        <v>1</v>
      </c>
      <c r="ED30">
        <f>SUMPRODUCT(--('Данные 1st'!$S$2:$S$317=$A30),--ISNUMBER('Данные 1st'!$IP$2:$IP$317))</f>
        <v>1</v>
      </c>
      <c r="EE30">
        <f>SUMPRODUCT(--('Данные 1st'!$S$2:$S$317=$A30),--ISNUMBER('Данные 1st'!$IV$2:$IV$317))</f>
        <v>1</v>
      </c>
      <c r="EF30">
        <f>SUMPRODUCT(--('Данные 1st'!$S$2:$S$317=$A30),--ISNUMBER('Данные 1st'!$IW$2:$IW$317))</f>
        <v>1</v>
      </c>
      <c r="EG30">
        <f>SUMPRODUCT(--('Данные 1st'!$S$2:$S$317=$A30),--ISNUMBER('Данные 1st'!$IX$2:$IX$317))</f>
        <v>0</v>
      </c>
      <c r="EH30">
        <f>SUMPRODUCT(--('Данные 1st'!$S$2:$S$317=$A30),--ISNUMBER('Данные 1st'!$IY$2:$IY$317))</f>
        <v>0</v>
      </c>
      <c r="EI30">
        <f>SUMPRODUCT(--('Данные 1st'!$S$2:$S$317=$A30),--ISNUMBER('Данные 1st'!$JD$2:$JD$317))</f>
        <v>1</v>
      </c>
      <c r="EJ30">
        <f>SUMPRODUCT(--('Данные 1st'!$S$2:$S$317=$A30),--ISNUMBER('Данные 1st'!$JE$2:$JE$317))</f>
        <v>1</v>
      </c>
      <c r="EK30">
        <f>SUMPRODUCT(--('Данные 1st'!$S$2:$S$317=$A30),--ISNUMBER('Данные 1st'!$JF$2:$JF$317))</f>
        <v>1</v>
      </c>
      <c r="EL30">
        <f>SUMPRODUCT(--('Данные 1st'!$S$2:$S$317=$A30),--ISNUMBER('Данные 1st'!$JG$2:$JG$317))</f>
        <v>1</v>
      </c>
      <c r="EM30">
        <f>SUMPRODUCT(--('Данные 1st'!$S$2:$S$317=$A30),--ISNUMBER('Данные 1st'!$JH$2:$JH$317))</f>
        <v>1</v>
      </c>
      <c r="EN30">
        <f>SUMPRODUCT(--('Данные 1st'!$S$2:$S$317=$A30),--ISNUMBER('Данные 1st'!$JJ$2:$JJ$317))</f>
        <v>1</v>
      </c>
      <c r="EO30">
        <f>SUMPRODUCT(--('Данные 1st'!$S$2:$S$317=$A30),--ISNUMBER('Данные 1st'!$JK$2:$JK$317))</f>
        <v>1</v>
      </c>
      <c r="EP30">
        <f>SUMPRODUCT(--('Данные 1st'!$S$2:$S$317=$A30),--ISNUMBER('Данные 1st'!$JL$2:$JL$317))</f>
        <v>0</v>
      </c>
      <c r="EQ30">
        <f>SUMPRODUCT(--('Данные 1st'!$S$2:$S$317=$A30),--ISNUMBER('Данные 1st'!$JM$2:$JM$317))</f>
        <v>0</v>
      </c>
      <c r="ER30">
        <f>SUMPRODUCT(--('Данные 1st'!$S$2:$S$317=$A30),--ISNUMBER('Данные 1st'!$JN$2:$JN$317))</f>
        <v>1</v>
      </c>
      <c r="ES30">
        <f>SUMPRODUCT(--('Данные 1st'!$S$2:$S$317=$A30),--ISNUMBER('Данные 1st'!$JO$2:$JO$317))</f>
        <v>1</v>
      </c>
      <c r="ET30">
        <f>SUMPRODUCT(--('Данные 1st'!$S$2:$S$317=$A30),--ISNUMBER('Данные 1st'!$JP$2:$JP$317))</f>
        <v>1</v>
      </c>
      <c r="EU30">
        <f>SUMPRODUCT(--('Данные 1st'!$S$2:$S$317=$A30),--ISNUMBER('Данные 1st'!$JQ$2:$JQ$317))</f>
        <v>1</v>
      </c>
      <c r="EV30">
        <f>SUMPRODUCT(--('Данные 1st'!$S$2:$S$317=$A30),--ISNUMBER('Данные 1st'!$JR$2:$JR$317))</f>
        <v>1</v>
      </c>
      <c r="EW30">
        <f>SUMPRODUCT(--('Данные 1st'!$S$2:$S$317=$A30),--ISNUMBER('Данные 1st'!$JS$2:$JS$317))</f>
        <v>1</v>
      </c>
      <c r="EX30">
        <f>SUMPRODUCT(--('Данные 1st'!$S$2:$S$317=$A30),--ISNUMBER('Данные 1st'!$JT$2:$JT$317))</f>
        <v>0</v>
      </c>
      <c r="EY30">
        <f>SUMPRODUCT(--('Данные 1st'!$S$2:$S$317=$A30),--ISNUMBER('Данные 1st'!$JU$2:$JU$317))</f>
        <v>0</v>
      </c>
      <c r="EZ30">
        <f>SUMPRODUCT(--('Данные 1st'!$S$2:$S$317=$A30),--ISNUMBER('Данные 1st'!$JV$2:$JV$317))</f>
        <v>1</v>
      </c>
      <c r="FA30">
        <f>SUMPRODUCT(--('Данные 1st'!$S$2:$S$317=$A30),--ISNUMBER('Данные 1st'!$JW$2:$JW$317))</f>
        <v>0</v>
      </c>
      <c r="FB30">
        <f>SUMPRODUCT(--('Данные 1st'!$S$2:$S$317=$A30),--ISNUMBER('Данные 1st'!$JX$2:$JX$317))</f>
        <v>1</v>
      </c>
      <c r="FC30">
        <f>SUMPRODUCT(--('Данные 1st'!$S$2:$S$317=$A30),--ISNUMBER('Данные 1st'!$JY$2:$JY$317))</f>
        <v>0</v>
      </c>
      <c r="FD30">
        <f>SUMPRODUCT(--('Данные 1st'!$S$2:$S$317=$A30),--ISNUMBER('Данные 1st'!$JZ$2:$JZ$317))</f>
        <v>0</v>
      </c>
      <c r="FE30">
        <f>SUMPRODUCT(--('Данные 1st'!$S$2:$S$317=$A30),--ISNUMBER('Данные 1st'!$KA$2:$KA$317))</f>
        <v>1</v>
      </c>
      <c r="FF30">
        <f>SUMPRODUCT(--('Данные 1st'!$S$2:$S$317=$A30),--ISNUMBER('Данные 1st'!$KB$2:$KB$317))</f>
        <v>1</v>
      </c>
      <c r="FG30">
        <f>SUMPRODUCT(--('Данные 1st'!$S$2:$S$317=$A30),--ISNUMBER('Данные 1st'!$KC$2:$KC$317))</f>
        <v>1</v>
      </c>
      <c r="FH30">
        <f>SUMPRODUCT(--('Данные 1st'!$S$2:$S$317=$A30),--ISNUMBER('Данные 1st'!$KD$2:$KD$317))</f>
        <v>1</v>
      </c>
      <c r="FI30">
        <f>SUMPRODUCT(--('Данные 1st'!$S$2:$S$317=$A30),--ISNUMBER('Данные 1st'!$KE$2:$KE$317))</f>
        <v>0</v>
      </c>
      <c r="FJ30">
        <f>SUMPRODUCT(--('Данные 1st'!$S$2:$S$317=$A30),--ISNUMBER('Данные 1st'!$KF$2:$KF$317))</f>
        <v>1</v>
      </c>
      <c r="FK30">
        <f>SUMPRODUCT(--('Данные 1st'!$S$2:$S$317=$A30),--ISNUMBER('Данные 1st'!$KG$2:$KG$317))</f>
        <v>1</v>
      </c>
      <c r="FL30">
        <f>SUMPRODUCT(--('Данные 1st'!$S$2:$S$317=$A30),--ISNUMBER('Данные 1st'!$KH$2:$KH$317))</f>
        <v>1</v>
      </c>
      <c r="FM30">
        <f>SUMPRODUCT(--('Данные 1st'!$S$2:$S$317=$A30),--ISNUMBER('Данные 1st'!$KI$2:$KI$317))</f>
        <v>1</v>
      </c>
      <c r="FN30">
        <f>SUMPRODUCT(--('Данные 1st'!$S$2:$S$317=$A30),--ISNUMBER('Данные 1st'!$KJ$2:$KJ$317))</f>
        <v>1</v>
      </c>
      <c r="FO30">
        <f>SUMPRODUCT(--('Данные 1st'!$S$2:$S$317=$A30),--ISNUMBER('Данные 1st'!$KK$2:$KK$317))</f>
        <v>1</v>
      </c>
      <c r="FP30">
        <f>SUMPRODUCT(--('Данные 1st'!$S$2:$S$317=$A30),--ISNUMBER('Данные 1st'!$KL$2:$KL$317))</f>
        <v>1</v>
      </c>
      <c r="FQ30">
        <f>SUMPRODUCT(--('Данные 1st'!$S$2:$S$317=$A30),--ISNUMBER('Данные 1st'!$KM$2:$KM$317))</f>
        <v>1</v>
      </c>
      <c r="FR30">
        <f>SUMPRODUCT(--('Данные 1st'!$S$2:$S$317=$A30),--ISNUMBER('Данные 1st'!$KN$2:$KN$317))</f>
        <v>1</v>
      </c>
      <c r="FS30">
        <f>SUMPRODUCT(--('Данные 1st'!$S$2:$S$317=$A30),--ISNUMBER('Данные 1st'!$KR$2:$KR$317))</f>
        <v>1</v>
      </c>
      <c r="FT30">
        <f>SUMPRODUCT(--('Данные 1st'!$S$2:$S$317=$A30),--ISNUMBER('Данные 1st'!$KS$2:$KS$317))</f>
        <v>1</v>
      </c>
      <c r="FU30">
        <f>SUMPRODUCT(--('Данные 1st'!$S$2:$S$317=$A30),--ISNUMBER('Данные 1st'!$KT$2:$KT$317))</f>
        <v>1</v>
      </c>
      <c r="FV30">
        <f>SUMPRODUCT(--('Данные 1st'!$S$2:$S$317=$A30),--ISNUMBER('Данные 1st'!$KV$2:$KV$317))</f>
        <v>0</v>
      </c>
      <c r="FW30">
        <f>SUMPRODUCT(--('Данные 1st'!$S$2:$S$317=$A30),--ISNUMBER('Данные 1st'!$KW$2:$KW$317))</f>
        <v>0</v>
      </c>
      <c r="FX30">
        <f>SUMPRODUCT(--('Данные 1st'!$S$2:$S$317=$A30),--ISNUMBER('Данные 1st'!$KX$2:$KX$317))</f>
        <v>0</v>
      </c>
      <c r="FY30">
        <f>SUMPRODUCT(--('Данные 1st'!$S$2:$S$317=$A30),--ISNUMBER('Данные 1st'!$KY$2:$KY$317))</f>
        <v>0</v>
      </c>
      <c r="FZ30">
        <f>SUMPRODUCT(--('Данные 1st'!$S$2:$S$317=$A30),--ISNUMBER('Данные 1st'!$KZ$2:$KZ$317))</f>
        <v>0</v>
      </c>
      <c r="GA30">
        <f>SUMPRODUCT(--('Данные 1st'!$S$2:$S$317=$A30),--ISNUMBER('Данные 1st'!$LA$2:$LA$317))</f>
        <v>0</v>
      </c>
      <c r="GB30">
        <f>SUMPRODUCT(--('Данные 1st'!$S$2:$S$317=$A30),--ISNUMBER('Данные 1st'!$LB$2:$LB$317))</f>
        <v>0</v>
      </c>
      <c r="GC30">
        <f>SUMPRODUCT(--('Данные 1st'!$S$2:$S$317=$A30),--ISNUMBER('Данные 1st'!$LC$2:$LC$317))</f>
        <v>0</v>
      </c>
      <c r="GD30">
        <f>SUMPRODUCT(--('Данные 1st'!$S$2:$S$317=$A30),--ISNUMBER('Данные 1st'!$LD$2:$LD$317))</f>
        <v>0</v>
      </c>
      <c r="GE30">
        <f>SUMPRODUCT(--('Данные 1st'!$S$2:$S$317=$A30),--ISNUMBER('Данные 1st'!$LE$2:$LE$317))</f>
        <v>0</v>
      </c>
      <c r="GF30">
        <f>SUMPRODUCT(--('Данные 1st'!$S$2:$S$317=$A30),--ISNUMBER('Данные 1st'!$LF$2:$LF$317))</f>
        <v>0</v>
      </c>
      <c r="GG30">
        <f>SUMPRODUCT(--('Данные 1st'!$S$2:$S$317=$A30),--ISNUMBER('Данные 1st'!$LG$2:$LG$317))</f>
        <v>0</v>
      </c>
      <c r="GH30">
        <f>SUMPRODUCT(--('Данные 1st'!$S$2:$S$317=$A30),--ISNUMBER('Данные 1st'!$LH$2:$LH$317))</f>
        <v>0</v>
      </c>
      <c r="GI30">
        <f>SUMPRODUCT(--('Данные 1st'!$S$2:$S$317=$A30),--ISNUMBER('Данные 1st'!$LI$2:$LI$317))</f>
        <v>0</v>
      </c>
      <c r="GJ30">
        <f>SUMPRODUCT(--('Данные 1st'!$S$2:$S$317=$A30),--ISNUMBER('Данные 1st'!$LJ$2:$LJ$317))</f>
        <v>0</v>
      </c>
      <c r="GK30">
        <f>SUMPRODUCT(--('Данные 1st'!$S$2:$S$317=$A30),--ISNUMBER('Данные 1st'!$LK$2:$LK$317))</f>
        <v>1</v>
      </c>
      <c r="GL30">
        <f>SUMPRODUCT(--('Данные 1st'!$S$2:$S$317=$A30),--ISNUMBER('Данные 1st'!$LV$2:$LV$317))</f>
        <v>0</v>
      </c>
      <c r="GM30">
        <f>SUMPRODUCT(--('Данные 1st'!$S$2:$S$317=$A30),--ISNUMBER('Данные 1st'!$LW$2:$LW$317))</f>
        <v>0</v>
      </c>
      <c r="GN30">
        <f>SUMPRODUCT(--('Данные 1st'!$S$2:$S$317=$A30),--ISNUMBER('Данные 1st'!$LX$2:$LX$317))</f>
        <v>0</v>
      </c>
      <c r="GO30">
        <f>SUMPRODUCT(--('Данные 1st'!$S$2:$S$317=$A30),--ISNUMBER('Данные 1st'!$LY$2:$LY$317))</f>
        <v>0</v>
      </c>
      <c r="GP30">
        <f>SUMPRODUCT(--('Данные 1st'!$S$2:$S$317=$A30),--ISNUMBER('Данные 1st'!$LZ$2:$LZ$317))</f>
        <v>0</v>
      </c>
      <c r="GQ30">
        <f>SUMPRODUCT(--('Данные 1st'!$S$2:$S$317=$A30),--ISNUMBER('Данные 1st'!$PG$2:$PG$317))</f>
        <v>1</v>
      </c>
      <c r="GR30">
        <f>SUMPRODUCT(--('Данные 1st'!$S$2:$S$317=$A30),--ISNUMBER('Данные 1st'!$PX$2:$PX$317))</f>
        <v>1</v>
      </c>
      <c r="GS30">
        <f>SUMPRODUCT(--('Данные 1st'!$S$2:$S$317=$A30),--ISNUMBER('Данные 1st'!$PY$2:$PY$317))</f>
        <v>1</v>
      </c>
      <c r="GT30">
        <f>SUMPRODUCT(--('Данные 1st'!$S$2:$S$317=$A30),--ISNUMBER('Данные 1st'!$QA$2:$QA$317))</f>
        <v>1</v>
      </c>
      <c r="GU30">
        <f>SUMPRODUCT(--('Данные 1st'!$S$2:$S$317=$A30),--ISNUMBER('Данные 1st'!$QB$2:$QB$317))</f>
        <v>1</v>
      </c>
      <c r="GV30">
        <f>SUMPRODUCT(--('Данные 1st'!$S$2:$S$317=$A30),--ISNUMBER('Данные 1st'!$QC$2:$QC$317))</f>
        <v>1</v>
      </c>
      <c r="GW30">
        <f>SUMPRODUCT(--('Данные 1st'!$S$2:$S$317=$A30),--ISNUMBER('Данные 1st'!$QD$2:$QD$317))</f>
        <v>1</v>
      </c>
      <c r="GX30">
        <f>SUMPRODUCT(--('Данные 1st'!$S$2:$S$317=$A30),--ISNUMBER('Данные 1st'!$QF$2:$QF$317))</f>
        <v>1</v>
      </c>
      <c r="GY30">
        <f>SUMPRODUCT(--('Данные 1st'!$S$2:$S$317=$A30),--ISNUMBER('Данные 1st'!$QG$2:$QG$317))</f>
        <v>1</v>
      </c>
      <c r="GZ30">
        <f>SUMPRODUCT(--('Данные 1st'!$S$2:$S$317=$A30),--ISNUMBER('Данные 1st'!$QH$2:$QH$317))</f>
        <v>1</v>
      </c>
      <c r="HA30">
        <f>SUMPRODUCT(--('Данные 1st'!$S$2:$S$317=$A30),--ISNUMBER('Данные 1st'!$QI$2:$QI$317))</f>
        <v>1</v>
      </c>
      <c r="HB30">
        <f>SUMPRODUCT(--('Данные 1st'!$S$2:$S$317=$A30),--ISNUMBER('Данные 1st'!$QK$2:$QK$317))</f>
        <v>0</v>
      </c>
      <c r="HC30">
        <f>SUMPRODUCT(--('Данные 1st'!$S$2:$S$317=$A30),--ISNUMBER('Данные 1st'!$QL$2:$QL$317))</f>
        <v>1</v>
      </c>
      <c r="HD30">
        <f>SUMPRODUCT(--('Данные 1st'!$S$2:$S$317=$A30),--ISNUMBER('Данные 1st'!$QM$2:$QM$317))</f>
        <v>1</v>
      </c>
      <c r="HE30">
        <f>SUMPRODUCT(--('Данные 1st'!$S$2:$S$317=$A30),--ISNUMBER('Данные 1st'!$QN$2:$QN$317))</f>
        <v>1</v>
      </c>
      <c r="HF30">
        <f>SUMPRODUCT(--('Данные 1st'!$S$2:$S$317=$A30),--ISNUMBER('Данные 1st'!$QP$2:$QP$317))</f>
        <v>1</v>
      </c>
      <c r="HG30">
        <f>SUMPRODUCT(--('Данные 1st'!$S$2:$S$317=$A30),--ISNUMBER('Данные 1st'!$QQ$2:$QQ$317))</f>
        <v>1</v>
      </c>
      <c r="HH30">
        <f>SUMPRODUCT(--('Данные 1st'!$S$2:$S$317=$A30),--ISNUMBER('Данные 1st'!$QR$2:$QR$317))</f>
        <v>0</v>
      </c>
      <c r="HI30">
        <f>SUMPRODUCT(--('Данные 1st'!$S$2:$S$317=$A30),--ISNUMBER('Данные 1st'!$QS$2:$QS$317))</f>
        <v>0</v>
      </c>
      <c r="HJ30">
        <f>SUMPRODUCT(--('Данные 1st'!$S$2:$S$317=$A30),--ISNUMBER('Данные 1st'!$QU$2:$QU$317))</f>
        <v>0</v>
      </c>
      <c r="HK30">
        <f>SUMPRODUCT(--('Данные 1st'!$S$2:$S$317=$A30),--ISNUMBER('Данные 1st'!$QV$2:$QV$317))</f>
        <v>0</v>
      </c>
      <c r="HL30">
        <f>SUMPRODUCT(--('Данные 1st'!$S$2:$S$317=$A30),--ISNUMBER('Данные 1st'!$QW$2:$QW$317))</f>
        <v>1</v>
      </c>
      <c r="HM30">
        <f>SUMPRODUCT(--('Данные 1st'!$S$2:$S$317=$A30),--ISNUMBER('Данные 1st'!$QX$2:$QX$317))</f>
        <v>1</v>
      </c>
      <c r="HN30">
        <f>SUMPRODUCT(--('Данные 1st'!$S$2:$S$317=$A30),--ISNUMBER('Данные 1st'!$QZ$2:$QZ$317))</f>
        <v>1</v>
      </c>
      <c r="HO30">
        <f>SUMPRODUCT(--('Данные 1st'!$S$2:$S$317=$A30),--ISNUMBER('Данные 1st'!$RA$2:$RA$317))</f>
        <v>1</v>
      </c>
      <c r="HP30">
        <f>SUMPRODUCT(--('Данные 1st'!$S$2:$S$317=$A30),--ISNUMBER('Данные 1st'!$RB$2:$RB$317))</f>
        <v>1</v>
      </c>
      <c r="HQ30">
        <f>SUMPRODUCT(--('Данные 1st'!$S$2:$S$317=$A30),--ISNUMBER('Данные 1st'!$RD$2:$RD$317))</f>
        <v>0</v>
      </c>
      <c r="HR30">
        <f>SUMPRODUCT(--('Данные 1st'!$S$2:$S$317=$A30),--ISNUMBER('Данные 1st'!$RE$2:$RE$317))</f>
        <v>1</v>
      </c>
      <c r="HS30">
        <f>SUMPRODUCT(--('Данные 1st'!$S$2:$S$317=$A30),--ISNUMBER('Данные 1st'!$RF$2:$RF$317))</f>
        <v>1</v>
      </c>
      <c r="HT30">
        <f>SUMPRODUCT(--('Данные 1st'!$S$2:$S$317=$A30),--ISNUMBER('Данные 1st'!$RG$2:$RG$317))</f>
        <v>0</v>
      </c>
      <c r="HU30">
        <f>SUMPRODUCT(--('Данные 1st'!$S$2:$S$317=$A30),--ISNUMBER('Данные 1st'!$RH$2:$RH$317))</f>
        <v>0</v>
      </c>
      <c r="HV30">
        <f>SUMPRODUCT(--('Данные 1st'!$S$2:$S$317=$A30),--ISNUMBER('Данные 1st'!$RI$2:$RI$317))</f>
        <v>0</v>
      </c>
      <c r="HW30">
        <f>SUMPRODUCT(--('Данные 1st'!$S$2:$S$317=$A30),--ISNUMBER('Данные 1st'!$RJ$2:$RJ$317))</f>
        <v>1</v>
      </c>
      <c r="HX30">
        <f>SUMPRODUCT(--('Данные 1st'!$S$2:$S$317=$A30),--ISNUMBER('Данные 1st'!$RK$2:$RK$317))</f>
        <v>0</v>
      </c>
      <c r="HY30">
        <f>SUMPRODUCT(--('Данные 1st'!$S$2:$S$317=$A30),--ISNUMBER('Данные 1st'!$RL$2:$RL$317))</f>
        <v>1</v>
      </c>
      <c r="HZ30">
        <f>SUMPRODUCT(--('Данные 1st'!$S$2:$S$317=$A30),--ISNUMBER('Данные 1st'!$RM$2:$RM$317))</f>
        <v>0</v>
      </c>
      <c r="IA30">
        <f>SUMPRODUCT(--('Данные 1st'!$S$2:$S$317=$A30),--ISNUMBER('Данные 1st'!$RN$2:$RN$317))</f>
        <v>0</v>
      </c>
      <c r="IB30">
        <f>SUMPRODUCT(--('Данные 1st'!$S$2:$S$317=$A30),--ISNUMBER('Данные 1st'!$RO$2:$RO$317))</f>
        <v>1</v>
      </c>
      <c r="IC30">
        <f>SUMPRODUCT(--('Данные 1st'!$S$2:$S$317=$A30),--ISNUMBER('Данные 1st'!$RP$2:$RP$317))</f>
        <v>0</v>
      </c>
      <c r="ID30">
        <f>SUMPRODUCT(--('Данные 1st'!$S$2:$S$317=$A30),--ISNUMBER('Данные 1st'!$RQ$2:$RQ$317))</f>
        <v>1</v>
      </c>
      <c r="IE30">
        <f>SUMPRODUCT(--('Данные 1st'!$S$2:$S$317=$A30),--ISNUMBER('Данные 1st'!$RR$2:$RR$317))</f>
        <v>0</v>
      </c>
      <c r="IF30">
        <f>SUMPRODUCT(--('Данные 1st'!$S$2:$S$317=$A30),--ISNUMBER('Данные 1st'!$RS$2:$RS$317))</f>
        <v>0</v>
      </c>
      <c r="IG30">
        <f>SUMPRODUCT(--('Данные 1st'!$S$2:$S$317=$A30),--ISNUMBER('Данные 1st'!$RT$2:$RT$317))</f>
        <v>1</v>
      </c>
      <c r="IH30">
        <f>SUMPRODUCT(--('Данные 1st'!$S$2:$S$317=$A30),--ISNUMBER('Данные 1st'!$RU$2:$RU$317))</f>
        <v>1</v>
      </c>
      <c r="II30">
        <f>SUMPRODUCT(--('Данные 1st'!$S$2:$S$317=$A30),--ISNUMBER('Данные 1st'!$RX$2:$RX$317))</f>
        <v>1</v>
      </c>
      <c r="IJ30">
        <f>SUMPRODUCT(--('Данные 1st'!$S$2:$S$317=$A30),--ISNUMBER('Данные 1st'!$RY$2:$RY$317))</f>
        <v>1</v>
      </c>
      <c r="IK30">
        <f>SUMPRODUCT(--('Данные 1st'!$S$2:$S$317=$A30),--ISNUMBER('Данные 1st'!$SA$2:$SA$317))</f>
        <v>1</v>
      </c>
      <c r="IL30">
        <f>SUMPRODUCT(--('Данные 1st'!$S$2:$S$317=$A30),--ISNUMBER('Данные 1st'!$SD$2:$SD$317))</f>
        <v>1</v>
      </c>
      <c r="IM30">
        <f>SUMPRODUCT(--('Данные 1st'!$S$2:$S$317=$A30),--ISNUMBER('Данные 1st'!$SG$2:$SG$317))</f>
        <v>0</v>
      </c>
      <c r="IN30">
        <f>SUMPRODUCT(--('Данные 1st'!$S$2:$S$317=$A30),--ISNUMBER('Данные 1st'!$SH$2:$SH$317))</f>
        <v>1</v>
      </c>
      <c r="IO30">
        <f>SUMPRODUCT(--('Данные 1st'!$S$2:$S$317=$A30),--ISNUMBER('Данные 1st'!$SI$2:$SI$317))</f>
        <v>1</v>
      </c>
      <c r="IP30">
        <f>SUMPRODUCT(--('Данные 1st'!$S$2:$S$317=$A30),--ISNUMBER('Данные 1st'!$SJ$2:$SJ$317))</f>
        <v>1</v>
      </c>
      <c r="IQ30">
        <f>SUMPRODUCT(--('Данные 1st'!$S$2:$S$317=$A30),--ISNUMBER('Данные 1st'!$SK$2:$SK$317))</f>
        <v>1</v>
      </c>
      <c r="IR30">
        <f>SUMPRODUCT(--('Данные 1st'!$S$2:$S$317=$A30),--ISNUMBER('Данные 1st'!$SL$2:$SL$317))</f>
        <v>1</v>
      </c>
      <c r="IS30">
        <f>SUMPRODUCT(--('Данные 1st'!$S$2:$S$317=$A30),--ISNUMBER('Данные 1st'!$SM$2:$SM$317))</f>
        <v>1</v>
      </c>
      <c r="IT30">
        <f>SUMPRODUCT(--('Данные 1st'!$S$2:$S$317=$A30),--ISNUMBER('Данные 1st'!$SN$2:$SN$317))</f>
        <v>1</v>
      </c>
      <c r="IU30">
        <f>SUMPRODUCT(--('Данные 1st'!$S$2:$S$317=$A30),--ISNUMBER('Данные 1st'!$SO$2:$SO$317))</f>
        <v>1</v>
      </c>
      <c r="IV30">
        <f>SUMPRODUCT(--('Данные 1st'!$S$2:$S$317=$A30),--ISNUMBER('Данные 1st'!$SP$2:$SP$317))</f>
        <v>1</v>
      </c>
      <c r="IW30">
        <f>SUMPRODUCT(--('Данные 1st'!$S$2:$S$317=$A30),--ISNUMBER('Данные 1st'!$SQ$2:$SQ$317))</f>
        <v>1</v>
      </c>
      <c r="IX30">
        <f>SUMPRODUCT(--('Данные 1st'!$S$2:$S$317=$A30),--ISNUMBER('Данные 1st'!$SR$2:$SR$317))</f>
        <v>1</v>
      </c>
      <c r="IY30">
        <f>SUMPRODUCT(--('Данные 1st'!$S$2:$S$317=$A30),--ISNUMBER('Данные 1st'!$SS$2:$SS$317))</f>
        <v>1</v>
      </c>
      <c r="IZ30">
        <f>SUMPRODUCT(--('Данные 1st'!$S$2:$S$317=$A30),--ISNUMBER('Данные 1st'!$ST$2:$ST$317))</f>
        <v>1</v>
      </c>
      <c r="JA30">
        <f>SUMPRODUCT(--('Данные 1st'!$S$2:$S$317=$A30),--ISNUMBER('Данные 1st'!$SU$2:$SU$317))</f>
        <v>1</v>
      </c>
      <c r="JB30">
        <f>SUMPRODUCT(--('Данные 1st'!$S$2:$S$317=$A30),--ISNUMBER('Данные 1st'!$SV$2:$SV$317))</f>
        <v>1</v>
      </c>
      <c r="JC30">
        <f>SUMPRODUCT(--('Данные 1st'!$S$2:$S$317=$A30),--ISNUMBER('Данные 1st'!$SW$2:$SW$317))</f>
        <v>1</v>
      </c>
      <c r="JD30">
        <f>SUMPRODUCT(--('Данные 1st'!$S$2:$S$317=$A30),--ISNUMBER('Данные 1st'!$SX$2:$SX$317))</f>
        <v>1</v>
      </c>
      <c r="JE30">
        <f>SUMPRODUCT(--('Данные 1st'!$S$2:$S$317=$A30),--ISNUMBER('Данные 1st'!$SY$2:$SY$317))</f>
        <v>0</v>
      </c>
      <c r="JF30">
        <f>SUMPRODUCT(--('Данные 1st'!$S$2:$S$317=$A30),--ISNUMBER('Данные 1st'!$SZ$2:$SZ$317))</f>
        <v>0</v>
      </c>
      <c r="JG30">
        <f>SUMPRODUCT(--('Данные 1st'!$S$2:$S$317=$A30),--ISNUMBER('Данные 1st'!$TA$2:$TA$317))</f>
        <v>0</v>
      </c>
      <c r="JH30">
        <f>SUMPRODUCT(--('Данные 1st'!$S$2:$S$317=$A30),--ISNUMBER('Данные 1st'!$TB$2:$TB$317))</f>
        <v>1</v>
      </c>
      <c r="JI30">
        <f>SUMPRODUCT(--('Данные 1st'!$S$2:$S$317=$A30),--ISNUMBER('Данные 1st'!$TC$2:$TC$317))</f>
        <v>1</v>
      </c>
      <c r="JJ30">
        <f>SUMPRODUCT(--('Данные 1st'!$S$2:$S$317=$A30),--ISNUMBER('Данные 1st'!$TD$2:$TD$317))</f>
        <v>1</v>
      </c>
      <c r="JK30">
        <f>SUMPRODUCT(--('Данные 1st'!$S$2:$S$317=$A30),--ISNUMBER('Данные 1st'!$TN$2:$TN$317))</f>
        <v>1</v>
      </c>
      <c r="JQ30">
        <f>SUMPRODUCT(--('Данные 2st'!$Q$2:$Q$317=$A30),--ISNUMBER('Данные 2st'!$AC$2:$AC$317))</f>
        <v>1</v>
      </c>
      <c r="JR30">
        <f>SUMPRODUCT(--('Данные 2st'!$Q$2:$Q$317=$A30),--ISNUMBER('Данные 2st'!$AF$2:$AF$317))</f>
        <v>1</v>
      </c>
      <c r="JS30">
        <f>SUMPRODUCT(--('Данные 2st'!$Q$2:$Q$317=$A30),--ISNUMBER('Данные 2st'!$AW$2:$AW$317))</f>
        <v>1</v>
      </c>
      <c r="JT30">
        <f>SUMPRODUCT(--('Данные 2st'!$Q$2:$Q$317=$A30),--ISNUMBER('Данные 2st'!$AX$2:$AX$317))</f>
        <v>1</v>
      </c>
      <c r="JU30">
        <f>SUMPRODUCT(--('Данные 2st'!$Q$2:$Q$317=$A30),--ISNUMBER('Данные 2st'!$AY$2:$AY$317))</f>
        <v>1</v>
      </c>
      <c r="JV30">
        <f>SUMPRODUCT(--('Данные 2st'!$Q$2:$Q$317=$A30),--ISNUMBER('Данные 2st'!$AZ$2:$AZ$317))</f>
        <v>1</v>
      </c>
      <c r="JW30">
        <f>SUMPRODUCT(--('Данные 2st'!$Q$2:$Q$317=$A30),--ISNUMBER('Данные 2st'!$BA$2:$BA$317))</f>
        <v>0</v>
      </c>
      <c r="JX30">
        <f>SUMPRODUCT(--('Данные 2st'!$Q$2:$Q$317=$A30),--ISNUMBER('Данные 2st'!$BB$2:$BB$317))</f>
        <v>0</v>
      </c>
      <c r="JY30">
        <f>SUMPRODUCT(--('Данные 2st'!$Q$2:$Q$317=$A30),--ISNUMBER('Данные 2st'!$BC$2:$BC$317))</f>
        <v>0</v>
      </c>
      <c r="JZ30">
        <f>SUMPRODUCT(--('Данные 2st'!$Q$2:$Q$317=$A30),--ISNUMBER('Данные 2st'!$BH$2:$BH$317))</f>
        <v>1</v>
      </c>
      <c r="KA30">
        <f>SUMPRODUCT(--('Данные 2st'!$Q$2:$Q$317=$A30),--ISNUMBER('Данные 2st'!$BI$2:$BI$317))</f>
        <v>1</v>
      </c>
      <c r="KB30">
        <f>SUMPRODUCT(--('Данные 2st'!$Q$2:$Q$317=$A30),--ISNUMBER('Данные 2st'!$BJ$2:$BJ$317))</f>
        <v>1</v>
      </c>
      <c r="KC30">
        <f>SUMPRODUCT(--('Данные 2st'!$Q$2:$Q$317=$A30),--ISNUMBER('Данные 2st'!$BK$2:$BK$317))</f>
        <v>1</v>
      </c>
      <c r="KD30">
        <f>SUMPRODUCT(--('Данные 2st'!$Q$2:$Q$317=$A30),--ISNUMBER('Данные 2st'!$BL$2:$BL$317))</f>
        <v>1</v>
      </c>
      <c r="KE30">
        <f>SUMPRODUCT(--('Данные 2st'!$Q$2:$Q$317=$A30),--ISNUMBER('Данные 2st'!$BM$2:$BM$317))</f>
        <v>1</v>
      </c>
      <c r="KF30">
        <f>SUMPRODUCT(--('Данные 2st'!$Q$2:$Q$317=$A30),--ISNUMBER('Данные 2st'!$BN$2:$BN$317))</f>
        <v>1</v>
      </c>
      <c r="KG30">
        <f>SUMPRODUCT(--('Данные 2st'!$Q$2:$Q$317=$A30),--ISNUMBER('Данные 2st'!$BO$2:$BO$317))</f>
        <v>1</v>
      </c>
      <c r="KH30">
        <f>SUMPRODUCT(--('Данные 2st'!$Q$2:$Q$317=$A30),--ISNUMBER('Данные 2st'!$BP$2:$BP$317))</f>
        <v>1</v>
      </c>
      <c r="KI30">
        <f>SUMPRODUCT(--('Данные 2st'!$Q$2:$Q$317=$A30),--ISNUMBER('Данные 2st'!$BR$2:$BR$317))</f>
        <v>1</v>
      </c>
      <c r="KJ30">
        <f>SUMPRODUCT(--('Данные 2st'!$Q$2:$Q$317=$A30),--ISNUMBER('Данные 2st'!$BS$2:$BS$317))</f>
        <v>1</v>
      </c>
      <c r="KK30">
        <f>SUMPRODUCT(--('Данные 2st'!$Q$2:$Q$317=$A30),--ISNUMBER('Данные 2st'!$BT$2:$BT$317))</f>
        <v>1</v>
      </c>
      <c r="KL30">
        <f>SUMPRODUCT(--('Данные 2st'!$Q$2:$Q$317=$A30),--ISNUMBER('Данные 2st'!$CV$2:$CV$317))</f>
        <v>1</v>
      </c>
      <c r="KM30">
        <f>SUMPRODUCT(--('Данные 2st'!$Q$2:$Q$317=$A30),--ISNUMBER('Данные 2st'!$CW$2:$CW$317))</f>
        <v>1</v>
      </c>
      <c r="KN30">
        <f>SUMPRODUCT(--('Данные 2st'!$Q$2:$Q$317=$A30),--ISNUMBER('Данные 2st'!$CX$2:$CX$317))</f>
        <v>1</v>
      </c>
      <c r="KO30">
        <f>SUMPRODUCT(--('Данные 2st'!$Q$2:$Q$317=$A30),--ISNUMBER('Данные 2st'!$CY$2:$CY$317))</f>
        <v>1</v>
      </c>
      <c r="KP30">
        <f>SUMPRODUCT(--('Данные 2st'!$Q$2:$Q$317=$A30),--ISNUMBER('Данные 2st'!$CZ$2:$CZ$317))</f>
        <v>1</v>
      </c>
      <c r="KQ30">
        <f>SUMPRODUCT(--('Данные 2st'!$Q$2:$Q$317=$A30),--ISNUMBER('Данные 2st'!$DA$2:$DA$317))</f>
        <v>1</v>
      </c>
      <c r="KR30">
        <f>SUMPRODUCT(--('Данные 2st'!$Q$2:$Q$317=$A30),--ISNUMBER('Данные 2st'!$DB$2:$DB$317))</f>
        <v>1</v>
      </c>
      <c r="KS30">
        <f>SUMPRODUCT(--('Данные 2st'!$Q$2:$Q$317=$A30),--ISNUMBER('Данные 2st'!$DC$2:$DC$317))</f>
        <v>1</v>
      </c>
      <c r="KT30">
        <f>SUMPRODUCT(--('Данные 2st'!$Q$2:$Q$317=$A30),--ISNUMBER('Данные 2st'!$DD$2:$DD$317))</f>
        <v>1</v>
      </c>
      <c r="KU30">
        <f>SUMPRODUCT(--('Данные 2st'!$Q$2:$Q$317=$A30),--ISNUMBER('Данные 2st'!$DE$2:$DE$317))</f>
        <v>1</v>
      </c>
      <c r="KV30">
        <f>SUMPRODUCT(--('Данные 2st'!$Q$2:$Q$317=$A30),--ISNUMBER('Данные 2st'!$DF$2:$DF$317))</f>
        <v>1</v>
      </c>
      <c r="KW30">
        <f>SUMPRODUCT(--('Данные 2st'!$Q$2:$Q$317=$A30),--ISNUMBER('Данные 2st'!$DG$2:$DG$317))</f>
        <v>1</v>
      </c>
      <c r="KX30">
        <f>SUMPRODUCT(--('Данные 2st'!$Q$2:$Q$317=$A30),--ISNUMBER('Данные 2st'!$DH$2:$DH$317))</f>
        <v>0</v>
      </c>
      <c r="KY30">
        <f>SUMPRODUCT(--('Данные 2st'!$Q$2:$Q$317=$A30),--ISNUMBER('Данные 2st'!$DI$2:$DI$317))</f>
        <v>0</v>
      </c>
      <c r="KZ30">
        <f>SUMPRODUCT(--('Данные 2st'!$Q$2:$Q$317=$A30),--ISNUMBER('Данные 2st'!$DK$2:$DK$317))</f>
        <v>1</v>
      </c>
      <c r="LA30">
        <f>SUMPRODUCT(--('Данные 2st'!$Q$2:$Q$317=$A30),--ISNUMBER('Данные 2st'!$DM$2:$DM$317))</f>
        <v>1</v>
      </c>
      <c r="LB30">
        <f>SUMPRODUCT(--('Данные 2st'!$Q$2:$Q$317=$A30),--ISNUMBER('Данные 2st'!$DN$2:$DN$317))</f>
        <v>1</v>
      </c>
      <c r="LC30">
        <f>SUMPRODUCT(--('Данные 2st'!$Q$2:$Q$317=$A30),--ISNUMBER('Данные 2st'!$DO$2:$DO$317))</f>
        <v>1</v>
      </c>
      <c r="LD30">
        <f>SUMPRODUCT(--('Данные 2st'!$Q$2:$Q$317=$A30),--ISNUMBER('Данные 2st'!$DP$2:$DP$317))</f>
        <v>1</v>
      </c>
      <c r="LE30">
        <f>SUMPRODUCT(--('Данные 2st'!$Q$2:$Q$317=$A30),--ISNUMBER('Данные 2st'!$DQ$2:$DQ$317))</f>
        <v>1</v>
      </c>
      <c r="LF30">
        <f>SUMPRODUCT(--('Данные 2st'!$Q$2:$Q$317=$A30),--ISNUMBER('Данные 2st'!$DS$2:$DS$317))</f>
        <v>1</v>
      </c>
      <c r="LG30">
        <f>SUMPRODUCT(--('Данные 2st'!$Q$2:$Q$317=$A30),--ISNUMBER('Данные 2st'!$DU$2:$DU$317))</f>
        <v>1</v>
      </c>
      <c r="LH30">
        <f>SUMPRODUCT(--('Данные 2st'!$Q$2:$Q$317=$A30),--ISNUMBER('Данные 2st'!$DV$2:$DV$317))</f>
        <v>1</v>
      </c>
      <c r="LI30">
        <f>SUMPRODUCT(--('Данные 2st'!$Q$2:$Q$317=$A30),--ISNUMBER('Данные 2st'!$DW$2:$DW$317))</f>
        <v>1</v>
      </c>
      <c r="LJ30">
        <f>SUMPRODUCT(--('Данные 2st'!$Q$2:$Q$317=$A30),--ISNUMBER('Данные 2st'!$DX$2:$DX$317))</f>
        <v>1</v>
      </c>
      <c r="LK30">
        <f>SUMPRODUCT(--('Данные 2st'!$Q$2:$Q$317=$A30),--ISNUMBER('Данные 2st'!$DY$2:$DY$317))</f>
        <v>1</v>
      </c>
      <c r="LL30">
        <f>SUMPRODUCT(--('Данные 2st'!$Q$2:$Q$317=$A30),--ISNUMBER('Данные 2st'!$EA$2:$EA$317))</f>
        <v>1</v>
      </c>
      <c r="LM30">
        <f>SUMPRODUCT(--('Данные 2st'!$Q$2:$Q$317=$A30),--ISNUMBER('Данные 2st'!$EC$2:$EC$317))</f>
        <v>1</v>
      </c>
      <c r="LN30">
        <f>SUMPRODUCT(--('Данные 2st'!$Q$2:$Q$317=$A30),--ISNUMBER('Данные 2st'!$ED$2:$ED$317))</f>
        <v>1</v>
      </c>
      <c r="LO30">
        <f>SUMPRODUCT(--('Данные 2st'!$Q$2:$Q$317=$A30),--ISNUMBER('Данные 2st'!$EE$2:$EE$317))</f>
        <v>1</v>
      </c>
      <c r="LP30">
        <f>SUMPRODUCT(--('Данные 2st'!$Q$2:$Q$317=$A30),--ISNUMBER('Данные 2st'!$EG$2:$EG$317))</f>
        <v>1</v>
      </c>
      <c r="LQ30">
        <f>SUMPRODUCT(--('Данные 2st'!$Q$2:$Q$317=$A30),--ISNUMBER('Данные 2st'!$EI$2:$EI$317))</f>
        <v>1</v>
      </c>
      <c r="LR30">
        <f>SUMPRODUCT(--('Данные 2st'!$Q$2:$Q$317=$A30),--ISNUMBER('Данные 2st'!$EJ$2:$EJ$317))</f>
        <v>1</v>
      </c>
      <c r="LS30">
        <f>SUMPRODUCT(--('Данные 2st'!$Q$2:$Q$317=$A30),--ISNUMBER('Данные 2st'!$EK$2:$EK$317))</f>
        <v>1</v>
      </c>
      <c r="LT30">
        <f>SUMPRODUCT(--('Данные 2st'!$Q$2:$Q$317=$A30),--ISNUMBER('Данные 2st'!$EM$2:$EM$317))</f>
        <v>1</v>
      </c>
      <c r="LU30">
        <f>SUMPRODUCT(--('Данные 2st'!$Q$2:$Q$317=$A30),--ISNUMBER('Данные 2st'!$EN$2:$EN$317))</f>
        <v>1</v>
      </c>
      <c r="LV30">
        <f>SUMPRODUCT(--('Данные 2st'!$Q$2:$Q$317=$A30),--ISNUMBER('Данные 2st'!$EO$2:$EO$317))</f>
        <v>1</v>
      </c>
      <c r="LW30">
        <f>SUMPRODUCT(--('Данные 2st'!$Q$2:$Q$317=$A30),--ISNUMBER('Данные 2st'!$EP$2:$EP$317))</f>
        <v>1</v>
      </c>
      <c r="LX30">
        <f>SUMPRODUCT(--('Данные 2st'!$Q$2:$Q$317=$A30),--ISNUMBER('Данные 2st'!$EQ$2:$EQ$317))</f>
        <v>1</v>
      </c>
      <c r="LY30">
        <f>SUMPRODUCT(--('Данные 2st'!$Q$2:$Q$317=$A30),--ISNUMBER('Данные 2st'!$ER$2:$ER$317))</f>
        <v>1</v>
      </c>
      <c r="LZ30">
        <f>SUMPRODUCT(--('Данные 2st'!$Q$2:$Q$317=$A30),--ISNUMBER('Данные 2st'!$ES$2:$ES$317))</f>
        <v>1</v>
      </c>
      <c r="MA30">
        <f>SUMPRODUCT(--('Данные 2st'!$Q$2:$Q$317=$A30),--ISNUMBER('Данные 2st'!$ET$2:$ET$317))</f>
        <v>1</v>
      </c>
      <c r="MB30">
        <f>SUMPRODUCT(--('Данные 2st'!$Q$2:$Q$317=$A30),--ISNUMBER('Данные 2st'!$EU$2:$EU$317))</f>
        <v>1</v>
      </c>
      <c r="MC30">
        <f>SUMPRODUCT(--('Данные 2st'!$Q$2:$Q$317=$A30),--ISNUMBER('Данные 2st'!$EV$2:$EV$317))</f>
        <v>1</v>
      </c>
      <c r="MD30">
        <f>SUMPRODUCT(--('Данные 2st'!$Q$2:$Q$317=$A30),--ISNUMBER('Данные 2st'!$EW$2:$EW$317))</f>
        <v>1</v>
      </c>
      <c r="ME30">
        <f>SUMPRODUCT(--('Данные 2st'!$Q$2:$Q$317=$A30),--ISNUMBER('Данные 2st'!$EY$2:$EY$317))</f>
        <v>1</v>
      </c>
      <c r="MF30">
        <f>SUMPRODUCT(--('Данные 2st'!$Q$2:$Q$317=$A30),--ISNUMBER('Данные 2st'!$FA$2:$FA$317))</f>
        <v>1</v>
      </c>
      <c r="MG30">
        <f>SUMPRODUCT(--('Данные 2st'!$Q$2:$Q$317=$A30),--ISNUMBER('Данные 2st'!$FB$2:$FB$317))</f>
        <v>1</v>
      </c>
      <c r="MH30">
        <f>SUMPRODUCT(--('Данные 2st'!$Q$2:$Q$317=$A30),--ISNUMBER('Данные 2st'!$FC$2:$FC$317))</f>
        <v>1</v>
      </c>
      <c r="MI30">
        <f>SUMPRODUCT(--('Данные 2st'!$Q$2:$Q$317=$A30),--ISNUMBER('Данные 2st'!$FD$2:$FD$317))</f>
        <v>1</v>
      </c>
      <c r="MJ30">
        <f>SUMPRODUCT(--('Данные 2st'!$Q$2:$Q$317=$A30),--ISNUMBER('Данные 2st'!$FE$2:$FE$317))</f>
        <v>1</v>
      </c>
      <c r="MK30">
        <f>SUMPRODUCT(--('Данные 2st'!$Q$2:$Q$317=$A30),--ISNUMBER('Данные 2st'!$FG$2:$FG$317))</f>
        <v>1</v>
      </c>
      <c r="ML30">
        <f>SUMPRODUCT(--('Данные 2st'!$Q$2:$Q$317=$A30),--ISNUMBER('Данные 2st'!$FI$2:$FI$317))</f>
        <v>1</v>
      </c>
      <c r="MM30">
        <f>SUMPRODUCT(--('Данные 2st'!$Q$2:$Q$317=$A30),--ISNUMBER('Данные 2st'!$FJ$2:$FJ$317))</f>
        <v>1</v>
      </c>
      <c r="MN30">
        <f>SUMPRODUCT(--('Данные 2st'!$Q$2:$Q$317=$A30),--ISNUMBER('Данные 2st'!$FK$2:$FK$317))</f>
        <v>1</v>
      </c>
      <c r="MO30">
        <f>SUMPRODUCT(--('Данные 2st'!$Q$2:$Q$317=$A30),--ISNUMBER('Данные 2st'!$FP$2:$FP$317))</f>
        <v>1</v>
      </c>
      <c r="MP30">
        <f>SUMPRODUCT(--('Данные 2st'!$Q$2:$Q$317=$A30),--ISNUMBER('Данные 2st'!$FQ$2:$FQ$317))</f>
        <v>1</v>
      </c>
      <c r="MQ30">
        <f>SUMPRODUCT(--('Данные 2st'!$Q$2:$Q$317=$A30),--ISNUMBER('Данные 2st'!$FS$2:$FS$317))</f>
        <v>1</v>
      </c>
      <c r="MR30">
        <f>SUMPRODUCT(--('Данные 2st'!$Q$2:$Q$317=$A30),--ISNUMBER('Данные 2st'!$FU$2:$FU$317))</f>
        <v>1</v>
      </c>
      <c r="MS30">
        <f>SUMPRODUCT(--('Данные 2st'!$Q$2:$Q$317=$A30),--ISNUMBER('Данные 2st'!$FV$2:$FV$317))</f>
        <v>1</v>
      </c>
      <c r="MT30">
        <f>SUMPRODUCT(--('Данные 2st'!$Q$2:$Q$317=$A30),--ISNUMBER('Данные 2st'!$FW$2:$FW$317))</f>
        <v>1</v>
      </c>
      <c r="MU30">
        <f>SUMPRODUCT(--('Данные 2st'!$Q$2:$Q$317=$A30),--ISNUMBER('Данные 2st'!$FY$2:$FY$317))</f>
        <v>1</v>
      </c>
      <c r="MV30">
        <f>SUMPRODUCT(--('Данные 2st'!$Q$2:$Q$317=$A30),--ISNUMBER('Данные 2st'!$GB$2:$GB$317))</f>
        <v>1</v>
      </c>
      <c r="MW30">
        <f>SUMPRODUCT(--('Данные 2st'!$Q$2:$Q$317=$A30),--ISNUMBER('Данные 2st'!$GC$2:$GC$317))</f>
        <v>1</v>
      </c>
      <c r="MX30">
        <f>SUMPRODUCT(--('Данные 2st'!$Q$2:$Q$317=$A30),--ISNUMBER('Данные 2st'!$GD$2:$GD$317))</f>
        <v>1</v>
      </c>
      <c r="MY30">
        <f>SUMPRODUCT(--('Данные 2st'!$Q$2:$Q$317=$A30),--ISNUMBER('Данные 2st'!$GN$2:$GN$317))</f>
        <v>0</v>
      </c>
      <c r="MZ30">
        <f>SUMPRODUCT(--('Данные 2st'!$Q$2:$Q$317=$A30),--ISNUMBER('Данные 2st'!$GQ$2:$GQ$317))</f>
        <v>1</v>
      </c>
      <c r="NA30">
        <f>SUMPRODUCT(--('Данные 2st'!$Q$2:$Q$317=$A30),--ISNUMBER('Данные 2st'!$GV$2:$GV$317))</f>
        <v>1</v>
      </c>
      <c r="NB30">
        <f>SUMPRODUCT(--('Данные 2st'!$Q$2:$Q$317=$A30),--ISNUMBER('Данные 2st'!$GW$2:$GW$317))</f>
        <v>1</v>
      </c>
      <c r="NC30">
        <f>SUMPRODUCT(--('Данные 2st'!$Q$2:$Q$317=$A30),--ISNUMBER('Данные 2st'!$GX$2:$GX$317))</f>
        <v>1</v>
      </c>
      <c r="ND30">
        <f>SUMPRODUCT(--('Данные 2st'!$Q$2:$Q$317=$A30),--ISNUMBER('Данные 2st'!$GY$2:$GY$317))</f>
        <v>1</v>
      </c>
      <c r="NE30">
        <f>SUMPRODUCT(--('Данные 2st'!$Q$2:$Q$317=$A30),--ISNUMBER('Данные 2st'!$GZ$2:$GZ$317))</f>
        <v>1</v>
      </c>
      <c r="NF30">
        <f>SUMPRODUCT(--('Данные 2st'!$Q$2:$Q$317=$A30),--ISNUMBER('Данные 2st'!$HA$2:$HA$317))</f>
        <v>1</v>
      </c>
      <c r="NG30">
        <f>SUMPRODUCT(--('Данные 2st'!$Q$2:$Q$317=$A30),--ISNUMBER('Данные 2st'!$HB$2:$HB$317))</f>
        <v>1</v>
      </c>
      <c r="NH30">
        <f>SUMPRODUCT(--('Данные 2st'!$Q$2:$Q$317=$A30),--ISNUMBER('Данные 2st'!$HC$2:$HC$317))</f>
        <v>1</v>
      </c>
      <c r="NI30">
        <f>SUMPRODUCT(--('Данные 2st'!$Q$2:$Q$317=$A30),--ISNUMBER('Данные 2st'!$HD$2:$HD$317))</f>
        <v>1</v>
      </c>
      <c r="NJ30">
        <f>SUMPRODUCT(--('Данные 2st'!$Q$2:$Q$317=$A30),--ISNUMBER('Данные 2st'!$HM$2:$HM$317))</f>
        <v>1</v>
      </c>
      <c r="NK30">
        <f>SUMPRODUCT(--('Данные 2st'!$Q$2:$Q$317=$A30),--ISNUMBER('Данные 2st'!$HR$2:$HR$317))</f>
        <v>1</v>
      </c>
      <c r="NL30">
        <f>SUMPRODUCT(--('Данные 2st'!$Q$2:$Q$317=$A30),--ISNUMBER('Данные 2st'!$HS$2:$HS$317))</f>
        <v>1</v>
      </c>
      <c r="NM30">
        <f>SUMPRODUCT(--('Данные 2st'!$Q$2:$Q$317=$A30),--ISNUMBER('Данные 2st'!$HT$2:$HT$317))</f>
        <v>1</v>
      </c>
      <c r="NN30">
        <f>SUMPRODUCT(--('Данные 2st'!$Q$2:$Q$317=$A30),--ISNUMBER('Данные 2st'!$HY$2:$HY$317))</f>
        <v>1</v>
      </c>
      <c r="NO30">
        <f>SUMPRODUCT(--('Данные 2st'!$Q$2:$Q$317=$A30),--ISNUMBER('Данные 2st'!$HZ$2:$HZ$317))</f>
        <v>1</v>
      </c>
      <c r="NP30">
        <f>SUMPRODUCT(--('Данные 2st'!$Q$2:$Q$317=$A30),--ISNUMBER('Данные 2st'!$IA$2:$IA$317))</f>
        <v>1</v>
      </c>
      <c r="NQ30">
        <f>SUMPRODUCT(--('Данные 2st'!$Q$2:$Q$317=$A30),--ISNUMBER('Данные 2st'!$IB$2:$IB$317))</f>
        <v>1</v>
      </c>
      <c r="NR30">
        <f>SUMPRODUCT(--('Данные 2st'!$Q$2:$Q$317=$A30),--ISNUMBER('Данные 2st'!$IC$2:$IC$317))</f>
        <v>0</v>
      </c>
      <c r="NS30">
        <f>SUMPRODUCT(--('Данные 2st'!$Q$2:$Q$317=$A30),--ISNUMBER('Данные 2st'!$ID$2:$ID$317))</f>
        <v>1</v>
      </c>
      <c r="NT30">
        <f>SUMPRODUCT(--('Данные 2st'!$Q$2:$Q$317=$A30),--ISNUMBER('Данные 2st'!$IE$2:$IE$317))</f>
        <v>1</v>
      </c>
      <c r="NU30">
        <f>SUMPRODUCT(--('Данные 2st'!$Q$2:$Q$317=$A30),--ISNUMBER('Данные 2st'!$IF$2:$IF$317))</f>
        <v>1</v>
      </c>
      <c r="NV30">
        <f>SUMPRODUCT(--('Данные 2st'!$Q$2:$Q$317=$A30),--ISNUMBER('Данные 2st'!$IG$2:$IG$317))</f>
        <v>1</v>
      </c>
      <c r="NW30">
        <f>SUMPRODUCT(--('Данные 2st'!$Q$2:$Q$317=$A30),--ISNUMBER('Данные 2st'!$IH$2:$IH$317))</f>
        <v>1</v>
      </c>
      <c r="NX30">
        <f>SUMPRODUCT(--('Данные 2st'!$Q$2:$Q$317=$A30),--ISNUMBER('Данные 2st'!$IJ$2:$IJ$317))</f>
        <v>1</v>
      </c>
      <c r="NY30">
        <f>SUMPRODUCT(--('Данные 2st'!$Q$2:$Q$317=$A30),--ISNUMBER('Данные 2st'!$IM$2:$IM$317))</f>
        <v>1</v>
      </c>
      <c r="NZ30">
        <f>SUMPRODUCT(--('Данные 2st'!$Q$2:$Q$317=$A30),--ISNUMBER('Данные 2st'!$IN$2:$IN$317))</f>
        <v>1</v>
      </c>
      <c r="OA30">
        <f>SUMPRODUCT(--('Данные 2st'!$Q$2:$Q$317=$A30),--ISNUMBER('Данные 2st'!$IO$2:$IO$317))</f>
        <v>1</v>
      </c>
      <c r="OB30">
        <f>SUMPRODUCT(--('Данные 2st'!$Q$2:$Q$317=$A30),--ISNUMBER('Данные 2st'!$IP$2:$IP$317))</f>
        <v>1</v>
      </c>
      <c r="OC30">
        <f>SUMPRODUCT(--('Данные 2st'!$Q$2:$Q$317=$A30),--ISNUMBER('Данные 2st'!$IQ$2:$IQ$317))</f>
        <v>1</v>
      </c>
      <c r="OD30">
        <f>SUMPRODUCT(--('Данные 2st'!$Q$2:$Q$317=$A30),--ISNUMBER('Данные 2st'!$IR$2:$IR$317))</f>
        <v>1</v>
      </c>
      <c r="OE30">
        <f>SUMPRODUCT(--('Данные 2st'!$Q$2:$Q$317=$A30),--ISNUMBER('Данные 2st'!$IT$2:$IT$317))</f>
        <v>1</v>
      </c>
      <c r="OF30">
        <f>SUMPRODUCT(--('Данные 2st'!$Q$2:$Q$317=$A30),--ISNUMBER('Данные 2st'!$IU$2:$IU$317))</f>
        <v>1</v>
      </c>
      <c r="OG30">
        <f>SUMPRODUCT(--('Данные 2st'!$Q$2:$Q$317=$A30),--ISNUMBER('Данные 2st'!$IV$2:$IV$317))</f>
        <v>1</v>
      </c>
      <c r="OH30">
        <f>SUMPRODUCT(--('Данные 2st'!$Q$2:$Q$317=$A30),--ISNUMBER('Данные 2st'!$IW$2:$IW$317))</f>
        <v>1</v>
      </c>
      <c r="OI30">
        <f>SUMPRODUCT(--('Данные 2st'!$Q$2:$Q$317=$A30),--ISNUMBER('Данные 2st'!$IX$2:$IX$317))</f>
        <v>1</v>
      </c>
      <c r="OJ30">
        <f>SUMPRODUCT(--('Данные 2st'!$Q$2:$Q$317=$A30),--ISNUMBER('Данные 2st'!$IY$2:$IY$317))</f>
        <v>1</v>
      </c>
      <c r="OK30">
        <f>SUMPRODUCT(--('Данные 2st'!$Q$2:$Q$317=$A30),--ISNUMBER('Данные 2st'!$IZ$2:$IZ$317))</f>
        <v>1</v>
      </c>
      <c r="OL30">
        <f>SUMPRODUCT(--('Данные 2st'!$Q$2:$Q$317=$A30),--ISNUMBER('Данные 2st'!$JA$2:$JA$317))</f>
        <v>1</v>
      </c>
      <c r="OM30">
        <f>SUMPRODUCT(--('Данные 2st'!$Q$2:$Q$317=$A30),--ISNUMBER('Данные 2st'!$JB$2:$JB$317))</f>
        <v>1</v>
      </c>
      <c r="ON30">
        <f>SUMPRODUCT(--('Данные 2st'!$Q$2:$Q$317=$A30),--ISNUMBER('Данные 2st'!$JC$2:$JC$317))</f>
        <v>1</v>
      </c>
      <c r="OO30">
        <f>SUMPRODUCT(--('Данные 2st'!$Q$2:$Q$317=$A30),--ISNUMBER('Данные 2st'!$JD$2:$JD$317))</f>
        <v>1</v>
      </c>
      <c r="OP30">
        <f>SUMPRODUCT(--('Данные 2st'!$Q$2:$Q$317=$A30),--ISNUMBER('Данные 2st'!$JE$2:$JE$317))</f>
        <v>1</v>
      </c>
      <c r="OQ30">
        <f>SUMPRODUCT(--('Данные 2st'!$Q$2:$Q$317=$A30),--ISNUMBER('Данные 2st'!$JF$2:$JF$317))</f>
        <v>1</v>
      </c>
      <c r="OR30">
        <f>SUMPRODUCT(--('Данные 2st'!$Q$2:$Q$317=$A30),--ISNUMBER('Данные 2st'!$JG$2:$JG$317))</f>
        <v>1</v>
      </c>
      <c r="OS30">
        <f>SUMPRODUCT(--('Данные 2st'!$Q$2:$Q$317=$A30),--ISNUMBER('Данные 2st'!$JH$2:$JH$317))</f>
        <v>1</v>
      </c>
      <c r="OT30">
        <f>SUMPRODUCT(--('Данные 2st'!$Q$2:$Q$317=$A30),--ISNUMBER('Данные 2st'!$JI$2:$JI$317))</f>
        <v>1</v>
      </c>
      <c r="OU30">
        <f>SUMPRODUCT(--('Данные 2st'!$Q$2:$Q$317=$A30),--ISNUMBER('Данные 2st'!$JJ$2:$JJ$317))</f>
        <v>1</v>
      </c>
      <c r="OV30">
        <f>SUMPRODUCT(--('Данные 2st'!$Q$2:$Q$317=$A30),--ISNUMBER('Данные 2st'!$JK$2:$JK$317))</f>
        <v>1</v>
      </c>
      <c r="OW30">
        <f>SUMPRODUCT(--('Данные 2st'!$Q$2:$Q$317=$A30),--ISNUMBER('Данные 2st'!$JL$2:$JL$317))</f>
        <v>1</v>
      </c>
      <c r="OX30">
        <f>SUMPRODUCT(--('Данные 2st'!$Q$2:$Q$317=$A30),--ISNUMBER('Данные 2st'!$JM$2:$JM$317))</f>
        <v>1</v>
      </c>
      <c r="OY30">
        <f>SUMPRODUCT(--('Данные 2st'!$Q$2:$Q$317=$A30),--ISNUMBER('Данные 2st'!$JP$2:$JP$317))</f>
        <v>1</v>
      </c>
      <c r="OZ30">
        <f>SUMPRODUCT(--('Данные 2st'!$Q$2:$Q$317=$A30),--ISNUMBER('Данные 2st'!$JQ$2:$JQ$317))</f>
        <v>1</v>
      </c>
      <c r="PA30">
        <f>SUMPRODUCT(--('Данные 2st'!$Q$2:$Q$317=$A30),--ISNUMBER('Данные 2st'!$JR$2:$JR$317))</f>
        <v>1</v>
      </c>
      <c r="PB30">
        <f>SUMPRODUCT(--('Данные 2st'!$Q$2:$Q$317=$A30),--ISNUMBER('Данные 2st'!$JS$2:$JS$317))</f>
        <v>1</v>
      </c>
      <c r="PC30">
        <f>SUMPRODUCT(--('Данные 2st'!$Q$2:$Q$317=$A30),--ISNUMBER('Данные 2st'!$JT$2:$JT$317))</f>
        <v>1</v>
      </c>
      <c r="PD30">
        <f>SUMPRODUCT(--('Данные 2st'!$Q$2:$Q$317=$A30),--ISNUMBER('Данные 2st'!$JU$2:$JU$317))</f>
        <v>1</v>
      </c>
      <c r="PE30">
        <f>SUMPRODUCT(--('Данные 2st'!$Q$2:$Q$317=$A30),--ISNUMBER('Данные 2st'!$JV$2:$JV$317))</f>
        <v>1</v>
      </c>
      <c r="PF30">
        <f>SUMPRODUCT(--('Данные 2st'!$Q$2:$Q$317=$A30),--ISNUMBER('Данные 2st'!$JW$2:$JW$317))</f>
        <v>1</v>
      </c>
      <c r="PG30">
        <f>SUMPRODUCT(--('Данные 2st'!$Q$2:$Q$317=$A30),--ISNUMBER('Данные 2st'!$KF$2:$KF$317))</f>
        <v>1</v>
      </c>
      <c r="PH30">
        <f>SUMPRODUCT(--('Данные 2st'!$Q$2:$Q$317=$A30),--ISNUMBER('Данные 2st'!$KG$2:$KG$317))</f>
        <v>1</v>
      </c>
      <c r="PI30">
        <f>SUMPRODUCT(--('Данные 2st'!$Q$2:$Q$317=$A30),--ISNUMBER('Данные 2st'!$KM$2:$KM$317))</f>
        <v>1</v>
      </c>
      <c r="PJ30">
        <f>SUMPRODUCT(--('Данные 2st'!$Q$2:$Q$317=$A30),--ISNUMBER('Данные 2st'!$KN$2:$KN$317))</f>
        <v>1</v>
      </c>
      <c r="PK30">
        <f>SUMPRODUCT(--('Данные 2st'!$Q$2:$Q$317=$A30),--ISNUMBER('Данные 2st'!$KO$2:$KO$317))</f>
        <v>1</v>
      </c>
      <c r="PL30">
        <f>SUMPRODUCT(--('Данные 2st'!$Q$2:$Q$317=$A30),--ISNUMBER('Данные 2st'!$KP$2:$KP$317))</f>
        <v>1</v>
      </c>
      <c r="PM30">
        <f>SUMPRODUCT(--('Данные 2st'!$Q$2:$Q$317=$A30),--ISNUMBER('Данные 2st'!$KQ$2:$KQ$317))</f>
        <v>1</v>
      </c>
      <c r="PN30">
        <f>SUMPRODUCT(--('Данные 2st'!$Q$2:$Q$317=$A30),--ISNUMBER('Данные 2st'!$KR$2:$KR$317))</f>
        <v>1</v>
      </c>
      <c r="PO30">
        <f>SUMPRODUCT(--('Данные 2st'!$Q$2:$Q$317=$A30),--ISNUMBER('Данные 2st'!$KS$2:$KS$317))</f>
        <v>1</v>
      </c>
      <c r="PP30">
        <f>SUMPRODUCT(--('Данные 2st'!$Q$2:$Q$317=$A30),--ISNUMBER('Данные 2st'!$KT$2:$KT$317))</f>
        <v>1</v>
      </c>
      <c r="PQ30">
        <f>SUMPRODUCT(--('Данные 2st'!$Q$2:$Q$317=$A30),--ISNUMBER('Данные 2st'!$KU$2:$KU$317))</f>
        <v>1</v>
      </c>
      <c r="PR30">
        <f>SUMPRODUCT(--('Данные 2st'!$Q$2:$Q$317=$A30),--ISNUMBER('Данные 2st'!$KV$2:$KV$317))</f>
        <v>1</v>
      </c>
      <c r="PS30">
        <f>SUMPRODUCT(--('Данные 2st'!$Q$2:$Q$317=$A30),--ISNUMBER('Данные 2st'!$KW$2:$KW$317))</f>
        <v>1</v>
      </c>
      <c r="PT30">
        <f>SUMPRODUCT(--('Данные 2st'!$Q$2:$Q$317=$A30),--ISNUMBER('Данные 2st'!$KX$2:$KX$317))</f>
        <v>1</v>
      </c>
      <c r="PU30">
        <f>SUMPRODUCT(--('Данные 2st'!$Q$2:$Q$317=$A30),--ISNUMBER('Данные 2st'!$KY$2:$KY$317))</f>
        <v>1</v>
      </c>
      <c r="PV30">
        <f>SUMPRODUCT(--('Данные 2st'!$Q$2:$Q$317=$A30),--ISNUMBER('Данные 2st'!$KZ$2:$KZ$317))</f>
        <v>1</v>
      </c>
      <c r="PW30">
        <f>SUMPRODUCT(--('Данные 2st'!$Q$2:$Q$317=$A30),--ISNUMBER('Данные 2st'!$LA$2:$LA$317))</f>
        <v>1</v>
      </c>
      <c r="PX30">
        <f>SUMPRODUCT(--('Данные 2st'!$Q$2:$Q$317=$A30),--ISNUMBER('Данные 2st'!$LB$2:$LB$317))</f>
        <v>1</v>
      </c>
      <c r="PY30">
        <f>SUMPRODUCT(--('Данные 2st'!$Q$2:$Q$317=$A30),--ISNUMBER('Данные 2st'!$LC$2:$LC$317))</f>
        <v>1</v>
      </c>
      <c r="PZ30">
        <f>SUMPRODUCT(--('Данные 2st'!$Q$2:$Q$317=$A30),--ISNUMBER('Данные 2st'!$LD$2:$LD$317))</f>
        <v>1</v>
      </c>
      <c r="QA30">
        <f>SUMPRODUCT(--('Данные 2st'!$Q$2:$Q$317=$A30),--ISNUMBER('Данные 2st'!$LE$2:$LE$317))</f>
        <v>1</v>
      </c>
      <c r="QB30">
        <f>SUMPRODUCT(--('Данные 2st'!$Q$2:$Q$317=$A30),--ISNUMBER('Данные 2st'!$LF$2:$LF$317))</f>
        <v>1</v>
      </c>
      <c r="QC30">
        <f>SUMPRODUCT(--('Данные 2st'!$Q$2:$Q$317=$A30),--ISNUMBER('Данные 2st'!$LG$2:$LG$317))</f>
        <v>1</v>
      </c>
      <c r="QD30">
        <f>SUMPRODUCT(--('Данные 2st'!$Q$2:$Q$317=$A30),--ISNUMBER('Данные 2st'!$LH$2:$LH$317))</f>
        <v>1</v>
      </c>
      <c r="QE30">
        <f>SUMPRODUCT(--('Данные 2st'!$Q$2:$Q$317=$A30),--ISNUMBER('Данные 2st'!$LJ$2:$LJ$317))</f>
        <v>1</v>
      </c>
      <c r="QF30">
        <f>SUMPRODUCT(--('Данные 2st'!$Q$2:$Q$317=$A30),--ISNUMBER('Данные 2st'!$LK$2:$LK$317))</f>
        <v>1</v>
      </c>
      <c r="QG30">
        <f>SUMPRODUCT(--('Данные 2st'!$Q$2:$Q$317=$A30),--ISNUMBER('Данные 2st'!$LL$2:$LL$317))</f>
        <v>1</v>
      </c>
      <c r="QH30">
        <f>SUMPRODUCT(--('Данные 2st'!$Q$2:$Q$317=$A30),--ISNUMBER('Данные 2st'!$LM$2:$LM$317))</f>
        <v>1</v>
      </c>
      <c r="QI30">
        <f>SUMPRODUCT(--('Данные 2st'!$Q$2:$Q$317=$A30),--ISNUMBER('Данные 2st'!$LN$2:$LN$317))</f>
        <v>1</v>
      </c>
      <c r="QJ30">
        <f>SUMPRODUCT(--('Данные 2st'!$Q$2:$Q$317=$A30),--ISNUMBER('Данные 2st'!$LO$2:$LO$317))</f>
        <v>1</v>
      </c>
      <c r="QK30">
        <f>SUMPRODUCT(--('Данные 2st'!$Q$2:$Q$317=$A30),--ISNUMBER('Данные 2st'!$LP$2:$LP$317))</f>
        <v>1</v>
      </c>
      <c r="QL30">
        <f>SUMPRODUCT(--('Данные 2st'!$Q$2:$Q$317=$A30),--ISNUMBER('Данные 2st'!$LQ$2:$LQ$317))</f>
        <v>1</v>
      </c>
      <c r="QM30">
        <f>SUMPRODUCT(--('Данные 2st'!$Q$2:$Q$317=$A30),--ISNUMBER('Данные 2st'!$LW$2:$LW$317))</f>
        <v>1</v>
      </c>
      <c r="QN30">
        <f>SUMPRODUCT(--('Данные 2st'!$Q$2:$Q$317=$A30),--ISNUMBER('Данные 2st'!$LX$2:$LX$317))</f>
        <v>1</v>
      </c>
      <c r="QO30">
        <f>SUMPRODUCT(--('Данные 2st'!$Q$2:$Q$317=$A30),--ISNUMBER('Данные 2st'!$LY$2:$LY$317))</f>
        <v>1</v>
      </c>
      <c r="QP30">
        <f>SUMPRODUCT(--('Данные 2st'!$Q$2:$Q$317=$A30),--ISNUMBER('Данные 2st'!$LZ$2:$LZ$317))</f>
        <v>1</v>
      </c>
      <c r="QQ30">
        <f>SUMPRODUCT(--('Данные 2st'!$Q$2:$Q$317=$A30),--ISNUMBER('Данные 2st'!$MB$2:$MB$317))</f>
        <v>1</v>
      </c>
      <c r="QR30">
        <f>SUMPRODUCT(--('Данные 2st'!$Q$2:$Q$317=$A30),--ISNUMBER('Данные 2st'!$MG$2:$MG$317))</f>
        <v>0</v>
      </c>
      <c r="QS30">
        <f>SUMPRODUCT(--('Данные 2st'!$Q$2:$Q$317=$A30),--ISNUMBER('Данные 2st'!$MH$2:$MH$317))</f>
        <v>0</v>
      </c>
      <c r="QT30">
        <f>SUMPRODUCT(--('Данные 2st'!$Q$2:$Q$317=$A30),--ISNUMBER('Данные 2st'!$MI$2:$MI$317))</f>
        <v>1</v>
      </c>
      <c r="QU30">
        <f>SUMPRODUCT(--('Данные 2st'!$Q$2:$Q$317=$A30),--ISNUMBER('Данные 2st'!$MJ$2:$MJ$317))</f>
        <v>1</v>
      </c>
      <c r="QV30">
        <f>SUMPRODUCT(--('Данные 2st'!$Q$2:$Q$317=$A30),--ISNUMBER('Данные 2st'!$MK$2:$MK$317))</f>
        <v>0</v>
      </c>
      <c r="QW30">
        <f>SUMPRODUCT(--('Данные 2st'!$Q$2:$Q$317=$A30),--ISNUMBER('Данные 2st'!$MM$2:$MM$317))</f>
        <v>1</v>
      </c>
      <c r="QX30">
        <f>SUMPRODUCT(--('Данные 2st'!$Q$2:$Q$317=$A30),--ISNUMBER('Данные 2st'!$MQ$2:$MQ$317))</f>
        <v>0</v>
      </c>
      <c r="QY30">
        <f>SUMPRODUCT(--('Данные 2st'!$Q$2:$Q$317=$A30),--ISNUMBER('Данные 2st'!$MR$2:$MR$317))</f>
        <v>0</v>
      </c>
      <c r="QZ30">
        <f>SUMPRODUCT(--('Данные 2st'!$Q$2:$Q$317=$A30),--ISNUMBER('Данные 2st'!$MS$2:$MS$317))</f>
        <v>0</v>
      </c>
      <c r="RA30">
        <f>SUMPRODUCT(--('Данные 2st'!$Q$2:$Q$317=$A30),--ISNUMBER('Данные 2st'!$MT$2:$MT$317))</f>
        <v>0</v>
      </c>
      <c r="RB30">
        <f>SUMPRODUCT(--('Данные 2st'!$Q$2:$Q$317=$A30),--ISNUMBER('Данные 2st'!$MU$2:$MU$317))</f>
        <v>0</v>
      </c>
      <c r="RC30">
        <f>SUMPRODUCT(--('Данные 2st'!$Q$2:$Q$317=$A30),--ISNUMBER('Данные 2st'!$MV$2:$MV$317))</f>
        <v>0</v>
      </c>
      <c r="RD30">
        <f>SUMPRODUCT(--('Данные 2st'!$Q$2:$Q$317=$A30),--ISNUMBER('Данные 2st'!$MW$2:$MW$317))</f>
        <v>0</v>
      </c>
      <c r="RE30">
        <f>SUMPRODUCT(--('Данные 2st'!$Q$2:$Q$317=$A30),--ISNUMBER('Данные 2st'!$MX$2:$MX$317))</f>
        <v>0</v>
      </c>
      <c r="RF30">
        <f>SUMPRODUCT(--('Данные 2st'!$Q$2:$Q$317=$A30),--ISNUMBER('Данные 2st'!$MY$2:$MY$317))</f>
        <v>0</v>
      </c>
      <c r="RG30">
        <f>SUMPRODUCT(--('Данные 2st'!$Q$2:$Q$317=$A30),--ISNUMBER('Данные 2st'!$MZ$2:$MZ$317))</f>
        <v>0</v>
      </c>
      <c r="RH30">
        <f>SUMPRODUCT(--('Данные 2st'!$Q$2:$Q$317=$A30),--ISNUMBER('Данные 2st'!$NA$2:$NA$317))</f>
        <v>0</v>
      </c>
      <c r="RI30">
        <f>SUMPRODUCT(--('Данные 2st'!$Q$2:$Q$317=$A30),--ISNUMBER('Данные 2st'!$NB$2:$NB$317))</f>
        <v>0</v>
      </c>
      <c r="RJ30">
        <f>SUMPRODUCT(--('Данные 2st'!$Q$2:$Q$317=$A30),--ISNUMBER('Данные 2st'!$NC$2:$NC$317))</f>
        <v>0</v>
      </c>
      <c r="RK30">
        <f>SUMPRODUCT(--('Данные 2st'!$Q$2:$Q$317=$A30),--ISNUMBER('Данные 2st'!$ND$2:$ND$317))</f>
        <v>0</v>
      </c>
      <c r="RL30">
        <f>SUMPRODUCT(--('Данные 2st'!$Q$2:$Q$317=$A30),--ISNUMBER('Данные 2st'!$NE$2:$NE$317))</f>
        <v>0</v>
      </c>
      <c r="RM30">
        <f>SUMPRODUCT(--('Данные 2st'!$Q$2:$Q$317=$A30),--ISNUMBER('Данные 2st'!$NF$2:$NF$317))</f>
        <v>0</v>
      </c>
      <c r="RN30">
        <f>SUMPRODUCT(--('Данные 2st'!$Q$2:$Q$317=$A30),--ISNUMBER('Данные 2st'!$NG$2:$NG$317))</f>
        <v>0</v>
      </c>
      <c r="RO30">
        <f>SUMPRODUCT(--('Данные 2st'!$Q$2:$Q$317=$A30),--ISNUMBER('Данные 2st'!$NH$2:$NH$317))</f>
        <v>0</v>
      </c>
      <c r="RP30">
        <f>SUMPRODUCT(--('Данные 2st'!$Q$2:$Q$317=$A30),--ISNUMBER('Данные 2st'!$NJ$2:$NJ$317))</f>
        <v>0</v>
      </c>
      <c r="RQ30">
        <f>SUMPRODUCT(--('Данные 2st'!$Q$2:$Q$317=$A30),--ISNUMBER('Данные 2st'!$NK$2:$NK$317))</f>
        <v>0</v>
      </c>
      <c r="RR30">
        <f>SUMPRODUCT(--('Данные 2st'!$Q$2:$Q$317=$A30),--ISNUMBER('Данные 2st'!$NM$2:$NM$317))</f>
        <v>0</v>
      </c>
      <c r="RS30">
        <f>SUMPRODUCT(--('Данные 2st'!$Q$2:$Q$317=$A30),--ISNUMBER('Данные 2st'!$NN$2:$NN$317))</f>
        <v>0</v>
      </c>
      <c r="RT30">
        <f>SUMPRODUCT(--('Данные 2st'!$Q$2:$Q$317=$A30),--ISNUMBER('Данные 2st'!$NO$2:$NO$317))</f>
        <v>0</v>
      </c>
      <c r="RU30">
        <f>SUMPRODUCT(--('Данные 2st'!$Q$2:$Q$317=$A30),--ISNUMBER('Данные 2st'!$NP$2:$NP$317))</f>
        <v>0</v>
      </c>
      <c r="RV30">
        <f>SUMPRODUCT(--('Данные 2st'!$Q$2:$Q$317=$A30),--ISNUMBER('Данные 2st'!$NQ$2:$NQ$317))</f>
        <v>0</v>
      </c>
      <c r="RW30">
        <f>SUMPRODUCT(--('Данные 2st'!$Q$2:$Q$317=$A30),--ISNUMBER('Данные 2st'!$NR$2:$NR$317))</f>
        <v>0</v>
      </c>
      <c r="RX30">
        <f>SUMPRODUCT(--('Данные 2st'!$Q$2:$Q$317=$A30),--ISNUMBER('Данные 2st'!$NS$2:$NS$317))</f>
        <v>0</v>
      </c>
      <c r="RY30">
        <f>SUMPRODUCT(--('Данные 2st'!$Q$2:$Q$317=$A30),--ISNUMBER('Данные 2st'!$NT$2:$NT$317))</f>
        <v>0</v>
      </c>
      <c r="RZ30">
        <f>SUMPRODUCT(--('Данные 2st'!$Q$2:$Q$317=$A30),--ISNUMBER('Данные 2st'!$OK$2:$OK$317))</f>
        <v>1</v>
      </c>
      <c r="SA30">
        <f>SUMPRODUCT(--('Данные 2st'!$Q$2:$Q$317=$A30),--ISNUMBER('Данные 2st'!$OL$2:$OL$317))</f>
        <v>1</v>
      </c>
      <c r="SB30">
        <f>SUMPRODUCT(--('Данные 2st'!$Q$2:$Q$317=$A30),--ISNUMBER('Данные 2st'!$ON$2:$ON$317))</f>
        <v>1</v>
      </c>
      <c r="SC30">
        <f>SUMPRODUCT(--('Данные 2st'!$Q$2:$Q$317=$A30),--ISNUMBER('Данные 2st'!$OO$2:$OO$317))</f>
        <v>1</v>
      </c>
      <c r="SD30">
        <f>SUMPRODUCT(--('Данные 2st'!$Q$2:$Q$317=$A30),--ISNUMBER('Данные 2st'!$OP$2:$OP$317))</f>
        <v>1</v>
      </c>
      <c r="SE30">
        <f>SUMPRODUCT(--('Данные 2st'!$Q$2:$Q$317=$A30),--ISNUMBER('Данные 2st'!$OQ$2:$OQ$317))</f>
        <v>1</v>
      </c>
      <c r="SF30">
        <f>SUMPRODUCT(--('Данные 2st'!$Q$2:$Q$317=$A30),--ISNUMBER('Данные 2st'!$OS$2:$OS$317))</f>
        <v>1</v>
      </c>
      <c r="SG30">
        <f>SUMPRODUCT(--('Данные 2st'!$Q$2:$Q$317=$A30),--ISNUMBER('Данные 2st'!$OT$2:$OT$317))</f>
        <v>1</v>
      </c>
      <c r="SH30">
        <f>SUMPRODUCT(--('Данные 2st'!$Q$2:$Q$317=$A30),--ISNUMBER('Данные 2st'!$OU$2:$OU$317))</f>
        <v>1</v>
      </c>
      <c r="SI30">
        <f>SUMPRODUCT(--('Данные 2st'!$Q$2:$Q$317=$A30),--ISNUMBER('Данные 2st'!$OV$2:$OV$317))</f>
        <v>1</v>
      </c>
      <c r="SJ30">
        <f>SUMPRODUCT(--('Данные 2st'!$Q$2:$Q$317=$A30),--ISNUMBER('Данные 2st'!$OX$2:$OX$317))</f>
        <v>1</v>
      </c>
      <c r="SK30">
        <f>SUMPRODUCT(--('Данные 2st'!$Q$2:$Q$317=$A30),--ISNUMBER('Данные 2st'!$OY$2:$OY$317))</f>
        <v>1</v>
      </c>
      <c r="SL30">
        <f>SUMPRODUCT(--('Данные 2st'!$Q$2:$Q$317=$A30),--ISNUMBER('Данные 2st'!$OZ$2:$OZ$317))</f>
        <v>1</v>
      </c>
      <c r="SM30">
        <f>SUMPRODUCT(--('Данные 2st'!$Q$2:$Q$317=$A30),--ISNUMBER('Данные 2st'!$PA$2:$PA$317))</f>
        <v>1</v>
      </c>
      <c r="SN30">
        <f>SUMPRODUCT(--('Данные 2st'!$Q$2:$Q$317=$A30),--ISNUMBER('Данные 2st'!$PC$2:$PC$317))</f>
        <v>1</v>
      </c>
      <c r="SO30">
        <f>SUMPRODUCT(--('Данные 2st'!$Q$2:$Q$317=$A30),--ISNUMBER('Данные 2st'!$PD$2:$PD$317))</f>
        <v>1</v>
      </c>
      <c r="SP30">
        <f>SUMPRODUCT(--('Данные 2st'!$Q$2:$Q$317=$A30),--ISNUMBER('Данные 2st'!$PF$2:$PF$317))</f>
        <v>1</v>
      </c>
      <c r="SQ30">
        <f>SUMPRODUCT(--('Данные 2st'!$Q$2:$Q$317=$A30),--ISNUMBER('Данные 2st'!$PG$2:$PG$317))</f>
        <v>1</v>
      </c>
      <c r="SR30">
        <f>SUMPRODUCT(--('Данные 2st'!$Q$2:$Q$317=$A30),--ISNUMBER('Данные 2st'!$PH$2:$PH$317))</f>
        <v>1</v>
      </c>
      <c r="SS30">
        <f>SUMPRODUCT(--('Данные 2st'!$Q$2:$Q$317=$A30),--ISNUMBER('Данные 2st'!$PI$2:$PI$317))</f>
        <v>1</v>
      </c>
      <c r="ST30">
        <f>SUMPRODUCT(--('Данные 2st'!$Q$2:$Q$317=$A30),--ISNUMBER('Данные 2st'!$PJ$2:$PJ$317))</f>
        <v>1</v>
      </c>
      <c r="SU30">
        <f>SUMPRODUCT(--('Данные 2st'!$Q$2:$Q$317=$A30),--ISNUMBER('Данные 2st'!$PK$2:$PK$317))</f>
        <v>1</v>
      </c>
      <c r="SV30">
        <f>SUMPRODUCT(--('Данные 2st'!$Q$2:$Q$317=$A30),--ISNUMBER('Данные 2st'!$PL$2:$PL$317))</f>
        <v>1</v>
      </c>
      <c r="SW30">
        <f>SUMPRODUCT(--('Данные 2st'!$Q$2:$Q$317=$A30),--ISNUMBER('Данные 2st'!$PM$2:$PM$317))</f>
        <v>1</v>
      </c>
      <c r="SX30">
        <f>SUMPRODUCT(--('Данные 2st'!$Q$2:$Q$317=$A30),--ISNUMBER('Данные 2st'!$PN$2:$PN$317))</f>
        <v>1</v>
      </c>
      <c r="SY30">
        <f>SUMPRODUCT(--('Данные 2st'!$Q$2:$Q$317=$A30),--ISNUMBER('Данные 2st'!$PO$2:$PO$317))</f>
        <v>1</v>
      </c>
      <c r="SZ30">
        <f>SUMPRODUCT(--('Данные 2st'!$Q$2:$Q$317=$A30),--ISNUMBER('Данные 2st'!$PP$2:$PP$317))</f>
        <v>1</v>
      </c>
      <c r="TA30">
        <f>SUMPRODUCT(--('Данные 2st'!$Q$2:$Q$317=$A30),--ISNUMBER('Данные 2st'!$PQ$2:$PQ$317))</f>
        <v>1</v>
      </c>
      <c r="TB30">
        <f>SUMPRODUCT(--('Данные 2st'!$Q$2:$Q$317=$A30),--ISNUMBER('Данные 2st'!$PR$2:$PR$317))</f>
        <v>1</v>
      </c>
      <c r="TC30">
        <f>SUMPRODUCT(--('Данные 2st'!$Q$2:$Q$317=$A30),--ISNUMBER('Данные 2st'!$PS$2:$PS$317))</f>
        <v>1</v>
      </c>
      <c r="TD30">
        <f>SUMPRODUCT(--('Данные 2st'!$Q$2:$Q$317=$A30),--ISNUMBER('Данные 2st'!$PT$2:$PT$317))</f>
        <v>1</v>
      </c>
      <c r="TE30">
        <f>SUMPRODUCT(--('Данные 2st'!$Q$2:$Q$317=$A30),--ISNUMBER('Данные 2st'!$PU$2:$PU$317))</f>
        <v>1</v>
      </c>
      <c r="TF30">
        <f>SUMPRODUCT(--('Данные 2st'!$Q$2:$Q$317=$A30),--ISNUMBER('Данные 2st'!$PX$2:$PX$317))</f>
        <v>1</v>
      </c>
      <c r="TG30">
        <f>SUMPRODUCT(--('Данные 2st'!$Q$2:$Q$317=$A30),--ISNUMBER('Данные 2st'!$PY$2:$PY$317))</f>
        <v>1</v>
      </c>
      <c r="TH30">
        <f>SUMPRODUCT(--('Данные 2st'!$Q$2:$Q$317=$A30),--ISNUMBER('Данные 2st'!$PZ$2:$PZ$317))</f>
        <v>1</v>
      </c>
      <c r="TI30">
        <f>SUMPRODUCT(--('Данные 2st'!$Q$2:$Q$317=$A30),--ISNUMBER('Данные 2st'!$QA$2:$QA$317))</f>
        <v>1</v>
      </c>
      <c r="TJ30">
        <f>SUMPRODUCT(--('Данные 2st'!$Q$2:$Q$317=$A30),--ISNUMBER('Данные 2st'!$QB$2:$QB$317))</f>
        <v>1</v>
      </c>
      <c r="TK30">
        <f>SUMPRODUCT(--('Данные 2st'!$Q$2:$Q$317=$A30),--ISNUMBER('Данные 2st'!$QC$2:$QC$317))</f>
        <v>1</v>
      </c>
      <c r="TL30">
        <f>SUMPRODUCT(--('Данные 2st'!$Q$2:$Q$317=$A30),--ISNUMBER('Данные 2st'!$QD$2:$QD$317))</f>
        <v>1</v>
      </c>
      <c r="TM30">
        <f>SUMPRODUCT(--('Данные 2st'!$Q$2:$Q$317=$A30),--ISNUMBER('Данные 2st'!$QE$2:$QE$317))</f>
        <v>1</v>
      </c>
      <c r="TN30">
        <f>SUMPRODUCT(--('Данные 2st'!$Q$2:$Q$317=$A30),--ISNUMBER('Данные 2st'!$QF$2:$QF$317))</f>
        <v>1</v>
      </c>
      <c r="TO30">
        <f>SUMPRODUCT(--('Данные 2st'!$Q$2:$Q$317=$A30),--ISNUMBER('Данные 2st'!$QG$2:$QG$317))</f>
        <v>1</v>
      </c>
      <c r="TP30">
        <f>SUMPRODUCT(--('Данные 2st'!$Q$2:$Q$317=$A30),--ISNUMBER('Данные 2st'!$QH$2:$QH$317))</f>
        <v>1</v>
      </c>
      <c r="TQ30">
        <f>SUMPRODUCT(--('Данные 2st'!$Q$2:$Q$317=$A30),--ISNUMBER('Данные 2st'!$QI$2:$QI$317))</f>
        <v>1</v>
      </c>
      <c r="TR30">
        <f>SUMPRODUCT(--('Данные 2st'!$Q$2:$Q$317=$A30),--ISNUMBER('Данные 2st'!$QJ$2:$QJ$317))</f>
        <v>1</v>
      </c>
      <c r="TS30">
        <f>SUMPRODUCT(--('Данные 2st'!$Q$2:$Q$317=$A30),--ISNUMBER('Данные 2st'!$QK$2:$QK$317))</f>
        <v>1</v>
      </c>
      <c r="TT30">
        <f>SUMPRODUCT(--('Данные 2st'!$Q$2:$Q$317=$A30),--ISNUMBER('Данные 2st'!$QL$2:$QL$317))</f>
        <v>1</v>
      </c>
      <c r="TU30">
        <f>SUMPRODUCT(--('Данные 2st'!$Q$2:$Q$317=$A30),--ISNUMBER('Данные 2st'!$QM$2:$QM$317))</f>
        <v>1</v>
      </c>
      <c r="TV30">
        <f>SUMPRODUCT(--('Данные 2st'!$Q$2:$Q$317=$A30),--ISNUMBER('Данные 2st'!$QN$2:$QN$317))</f>
        <v>1</v>
      </c>
      <c r="TW30">
        <f>SUMPRODUCT(--('Данные 2st'!$Q$2:$Q$317=$A30),--ISNUMBER('Данные 2st'!$QQ$2:$QQ$317))</f>
        <v>1</v>
      </c>
      <c r="TX30">
        <f>SUMPRODUCT(--('Данные 2st'!$Q$2:$Q$317=$A30),--ISNUMBER('Данные 2st'!$QS$2:$QS$317))</f>
        <v>1</v>
      </c>
      <c r="TY30">
        <f>SUMPRODUCT(--('Данные 2st'!$Q$2:$Q$317=$A30),--ISNUMBER('Данные 2st'!$QT$2:$QT$317))</f>
        <v>1</v>
      </c>
    </row>
    <row r="31" spans="1:545" ht="32" customHeight="1">
      <c r="A31" s="11" t="str">
        <f>'По размерам'!A31</f>
        <v>225/45R17</v>
      </c>
      <c r="G31">
        <f>SUMPRODUCT(--('Данные 1st'!$S$2:$S$317=$A31),--ISNUMBER('Данные 1st'!$AE$2:$AE$317))</f>
        <v>8</v>
      </c>
      <c r="H31">
        <f>SUMPRODUCT(--('Данные 1st'!$S$2:$S$317=$A31),--ISNUMBER('Данные 1st'!$AF$2:$AF$317))</f>
        <v>8</v>
      </c>
      <c r="I31">
        <f>SUMPRODUCT(--('Данные 1st'!$S$2:$S$317=$A31),--ISNUMBER('Данные 1st'!$AJ$2:$AJ$317))</f>
        <v>8</v>
      </c>
      <c r="J31">
        <f>SUMPRODUCT(--('Данные 1st'!$S$2:$S$317=$A31),--ISNUMBER('Данные 1st'!$AL$2:$AL$317))</f>
        <v>8</v>
      </c>
      <c r="K31">
        <f>SUMPRODUCT(--('Данные 1st'!$S$2:$S$317=$A31),--ISNUMBER('Данные 1st'!$AR$2:$AR$317))</f>
        <v>8</v>
      </c>
      <c r="L31">
        <f>SUMPRODUCT(--('Данные 1st'!$S$2:$S$317=$A31),--ISNUMBER('Данные 1st'!$AS$2:$AS$317))</f>
        <v>8</v>
      </c>
      <c r="M31">
        <f>SUMPRODUCT(--('Данные 1st'!$S$2:$S$317=$A31),--ISNUMBER('Данные 1st'!$AY$2:$AY$317))</f>
        <v>8</v>
      </c>
      <c r="N31">
        <f>SUMPRODUCT(--('Данные 1st'!$S$2:$S$317=$A31),--ISNUMBER('Данные 1st'!$AZ$2:$AZ$317))</f>
        <v>8</v>
      </c>
      <c r="O31">
        <f>SUMPRODUCT(--('Данные 1st'!$S$2:$S$317=$A31),--ISNUMBER('Данные 1st'!$BF$2:$BF$317))</f>
        <v>0</v>
      </c>
      <c r="P31">
        <f>SUMPRODUCT(--('Данные 1st'!$S$2:$S$317=$A31),--ISNUMBER('Данные 1st'!$BG$2:$BG$317))</f>
        <v>8</v>
      </c>
      <c r="Q31">
        <f>SUMPRODUCT(--('Данные 1st'!$S$2:$S$317=$A31),--ISNUMBER('Данные 1st'!$BM$2:$BM$317))</f>
        <v>0</v>
      </c>
      <c r="R31">
        <f>SUMPRODUCT(--('Данные 1st'!$S$2:$S$317=$A31),--ISNUMBER('Данные 1st'!$BN$2:$BN$317))</f>
        <v>8</v>
      </c>
      <c r="S31">
        <f>SUMPRODUCT(--('Данные 1st'!$S$2:$S$317=$A31),--ISNUMBER('Данные 1st'!$BT$2:$BT$317))</f>
        <v>8</v>
      </c>
      <c r="T31">
        <f>SUMPRODUCT(--('Данные 1st'!$S$2:$S$317=$A31),--ISNUMBER('Данные 1st'!$BU$2:$BU$317))</f>
        <v>8</v>
      </c>
      <c r="U31">
        <f>SUMPRODUCT(--('Данные 1st'!$S$2:$S$317=$A31),--ISNUMBER('Данные 1st'!$BW$2:$BW$317))</f>
        <v>8</v>
      </c>
      <c r="V31">
        <f>SUMPRODUCT(--('Данные 1st'!$S$2:$S$317=$A31),--ISNUMBER('Данные 1st'!$BX$2:$BX$317))</f>
        <v>8</v>
      </c>
      <c r="W31">
        <f>SUMPRODUCT(--('Данные 1st'!$S$2:$S$317=$A31),--ISNUMBER('Данные 1st'!$BZ$2:$BZ$317))</f>
        <v>8</v>
      </c>
      <c r="X31">
        <f>SUMPRODUCT(--('Данные 1st'!$S$2:$S$317=$A31),--ISNUMBER('Данные 1st'!$CA$2:$CA$317))</f>
        <v>8</v>
      </c>
      <c r="Y31">
        <f>SUMPRODUCT(--('Данные 1st'!$S$2:$S$317=$A31),--ISNUMBER('Данные 1st'!$CD$2:$CD$317))</f>
        <v>8</v>
      </c>
      <c r="Z31">
        <f>SUMPRODUCT(--('Данные 1st'!$S$2:$S$317=$A31),--ISNUMBER('Данные 1st'!$CF$2:$CF$317))</f>
        <v>8</v>
      </c>
      <c r="AA31">
        <f>SUMPRODUCT(--('Данные 1st'!$S$2:$S$317=$A31),--ISNUMBER('Данные 1st'!$CI$2:$CI$317))</f>
        <v>8</v>
      </c>
      <c r="AB31">
        <f>SUMPRODUCT(--('Данные 1st'!$S$2:$S$317=$A31),--ISNUMBER('Данные 1st'!$CJ$2:$CJ$317))</f>
        <v>8</v>
      </c>
      <c r="AC31">
        <f>SUMPRODUCT(--('Данные 1st'!$S$2:$S$317=$A31),--ISNUMBER('Данные 1st'!$CK$2:$CK$317))</f>
        <v>8</v>
      </c>
      <c r="AD31">
        <f>SUMPRODUCT(--('Данные 1st'!$S$2:$S$317=$A31),--ISNUMBER('Данные 1st'!$CL$2:$CL$317))</f>
        <v>8</v>
      </c>
      <c r="AE31">
        <f>SUMPRODUCT(--('Данные 1st'!$S$2:$S$317=$A31),--ISNUMBER('Данные 1st'!$CM$2:$CM$317))</f>
        <v>8</v>
      </c>
      <c r="AF31">
        <f>SUMPRODUCT(--('Данные 1st'!$S$2:$S$317=$A31),--ISNUMBER('Данные 1st'!$CT$2:$CT$317))</f>
        <v>8</v>
      </c>
      <c r="AG31">
        <f>SUMPRODUCT(--('Данные 1st'!$S$2:$S$317=$A31),--ISNUMBER('Данные 1st'!$CU$2:$CU$317))</f>
        <v>8</v>
      </c>
      <c r="AH31">
        <f>SUMPRODUCT(--('Данные 1st'!$S$2:$S$317=$A31),--ISNUMBER('Данные 1st'!$CV$2:$CV$317))</f>
        <v>8</v>
      </c>
      <c r="AI31">
        <f>SUMPRODUCT(--('Данные 1st'!$S$2:$S$317=$A31),--ISNUMBER('Данные 1st'!$CW$2:$CW$317))</f>
        <v>8</v>
      </c>
      <c r="AJ31">
        <f>SUMPRODUCT(--('Данные 1st'!$S$2:$S$317=$A31),--ISNUMBER('Данные 1st'!$CX$2:$CX$317))</f>
        <v>8</v>
      </c>
      <c r="AK31">
        <f>SUMPRODUCT(--('Данные 1st'!$S$2:$S$317=$A31),--ISNUMBER('Данные 1st'!$CZ$2:$CZ$317))</f>
        <v>1</v>
      </c>
      <c r="AL31">
        <f>SUMPRODUCT(--('Данные 1st'!$S$2:$S$317=$A31),--ISNUMBER('Данные 1st'!$DA$2:$DA$317))</f>
        <v>1</v>
      </c>
      <c r="AM31">
        <f>SUMPRODUCT(--('Данные 1st'!$S$2:$S$317=$A31),--ISNUMBER('Данные 1st'!$DB$2:$DB$317))</f>
        <v>1</v>
      </c>
      <c r="AN31">
        <f>SUMPRODUCT(--('Данные 1st'!$S$2:$S$317=$A31),--ISNUMBER('Данные 1st'!$DC$2:$DC$317))</f>
        <v>1</v>
      </c>
      <c r="AO31">
        <f>SUMPRODUCT(--('Данные 1st'!$S$2:$S$317=$A31),--ISNUMBER('Данные 1st'!$DD$2:$DD$317))</f>
        <v>8</v>
      </c>
      <c r="AP31">
        <f>SUMPRODUCT(--('Данные 1st'!$S$2:$S$317=$A31),--ISNUMBER('Данные 1st'!$DF$2:$DF$317))</f>
        <v>8</v>
      </c>
      <c r="AQ31">
        <f>SUMPRODUCT(--('Данные 1st'!$S$2:$S$317=$A31),--ISNUMBER('Данные 1st'!$DG$2:$DG$317))</f>
        <v>8</v>
      </c>
      <c r="AR31">
        <f>SUMPRODUCT(--('Данные 1st'!$S$2:$S$317=$A31),--ISNUMBER('Данные 1st'!$DH$2:$DH$317))</f>
        <v>8</v>
      </c>
      <c r="AS31">
        <f>SUMPRODUCT(--('Данные 1st'!$S$2:$S$317=$A31),--ISNUMBER('Данные 1st'!$DI$2:$DI$317))</f>
        <v>8</v>
      </c>
      <c r="AT31">
        <f>SUMPRODUCT(--('Данные 1st'!$S$2:$S$317=$A31),--ISNUMBER('Данные 1st'!$DJ$2:$DJ$317))</f>
        <v>8</v>
      </c>
      <c r="AU31">
        <f>SUMPRODUCT(--('Данные 1st'!$S$2:$S$317=$A31),--ISNUMBER('Данные 1st'!$DL$2:$DL$317))</f>
        <v>0</v>
      </c>
      <c r="AV31">
        <f>SUMPRODUCT(--('Данные 1st'!$S$2:$S$317=$A31),--ISNUMBER('Данные 1st'!$DM$2:$DM$317))</f>
        <v>0</v>
      </c>
      <c r="AW31">
        <f>SUMPRODUCT(--('Данные 1st'!$S$2:$S$317=$A31),--ISNUMBER('Данные 1st'!$DN$2:$DN$317))</f>
        <v>0</v>
      </c>
      <c r="AX31">
        <f>SUMPRODUCT(--('Данные 1st'!$S$2:$S$317=$A31),--ISNUMBER('Данные 1st'!$DO$2:$DO$317))</f>
        <v>0</v>
      </c>
      <c r="AY31">
        <f>SUMPRODUCT(--('Данные 1st'!$S$2:$S$317=$A31),--ISNUMBER('Данные 1st'!$DP$2:$DP$317))</f>
        <v>0</v>
      </c>
      <c r="AZ31">
        <f>SUMPRODUCT(--('Данные 1st'!$S$2:$S$317=$A31),--ISNUMBER('Данные 1st'!$DR$2:$DR$317))</f>
        <v>0</v>
      </c>
      <c r="BA31">
        <f>SUMPRODUCT(--('Данные 1st'!$S$2:$S$317=$A31),--ISNUMBER('Данные 1st'!$DS$2:$DS$317))</f>
        <v>0</v>
      </c>
      <c r="BB31">
        <f>SUMPRODUCT(--('Данные 1st'!$S$2:$S$317=$A31),--ISNUMBER('Данные 1st'!$DT$2:$DT$317))</f>
        <v>0</v>
      </c>
      <c r="BC31">
        <f>SUMPRODUCT(--('Данные 1st'!$S$2:$S$317=$A31),--ISNUMBER('Данные 1st'!$DU$2:$DU$317))</f>
        <v>0</v>
      </c>
      <c r="BD31">
        <f>SUMPRODUCT(--('Данные 1st'!$S$2:$S$317=$A31),--ISNUMBER('Данные 1st'!$DV$2:$DV$317))</f>
        <v>0</v>
      </c>
      <c r="BE31">
        <f>SUMPRODUCT(--('Данные 1st'!$S$2:$S$317=$A31),--ISNUMBER('Данные 1st'!$DX$2:$DX$317))</f>
        <v>8</v>
      </c>
      <c r="BF31">
        <f>SUMPRODUCT(--('Данные 1st'!$S$2:$S$317=$A31),--ISNUMBER('Данные 1st'!$EA$2:$EA$317))</f>
        <v>8</v>
      </c>
      <c r="BG31">
        <f>SUMPRODUCT(--('Данные 1st'!$S$2:$S$317=$A31),--ISNUMBER('Данные 1st'!$EB$2:$EB$317))</f>
        <v>8</v>
      </c>
      <c r="BH31">
        <f>SUMPRODUCT(--('Данные 1st'!$S$2:$S$317=$A31),--ISNUMBER('Данные 1st'!$ED$2:$ED$317))</f>
        <v>8</v>
      </c>
      <c r="BI31">
        <f>SUMPRODUCT(--('Данные 1st'!$S$2:$S$317=$A31),--ISNUMBER('Данные 1st'!$EE$2:$EE$317))</f>
        <v>8</v>
      </c>
      <c r="BJ31">
        <f>SUMPRODUCT(--('Данные 1st'!$S$2:$S$317=$A31),--ISNUMBER('Данные 1st'!$EG$2:$EG$317))</f>
        <v>8</v>
      </c>
      <c r="BK31">
        <f>SUMPRODUCT(--('Данные 1st'!$S$2:$S$317=$A31),--ISNUMBER('Данные 1st'!$EH$2:$EH$317))</f>
        <v>8</v>
      </c>
      <c r="BL31">
        <f>SUMPRODUCT(--('Данные 1st'!$S$2:$S$317=$A31),--ISNUMBER('Данные 1st'!$EJ$2:$EJ$317))</f>
        <v>8</v>
      </c>
      <c r="BM31">
        <f>SUMPRODUCT(--('Данные 1st'!$S$2:$S$317=$A31),--ISNUMBER('Данные 1st'!$EK$2:$EK$317))</f>
        <v>8</v>
      </c>
      <c r="BN31">
        <f>SUMPRODUCT(--('Данные 1st'!$S$2:$S$317=$A31),--ISNUMBER('Данные 1st'!$EN$2:$EN$317))</f>
        <v>8</v>
      </c>
      <c r="BO31">
        <f>SUMPRODUCT(--('Данные 1st'!$S$2:$S$317=$A31),--ISNUMBER('Данные 1st'!$EQ$2:$EQ$317))</f>
        <v>8</v>
      </c>
      <c r="BP31">
        <f>SUMPRODUCT(--('Данные 1st'!$S$2:$S$317=$A31),--ISNUMBER('Данные 1st'!$ER$2:$ER$317))</f>
        <v>8</v>
      </c>
      <c r="BQ31">
        <f>SUMPRODUCT(--('Данные 1st'!$S$2:$S$317=$A31),--ISNUMBER('Данные 1st'!$ES$2:$ES$317))</f>
        <v>8</v>
      </c>
      <c r="BR31">
        <f>SUMPRODUCT(--('Данные 1st'!$S$2:$S$317=$A31),--ISNUMBER('Данные 1st'!$ET$2:$ET$317))</f>
        <v>8</v>
      </c>
      <c r="BS31">
        <f>SUMPRODUCT(--('Данные 1st'!$S$2:$S$317=$A31),--ISNUMBER('Данные 1st'!$EU$2:$EU$317))</f>
        <v>8</v>
      </c>
      <c r="BT31">
        <f>SUMPRODUCT(--('Данные 1st'!$S$2:$S$317=$A31),--ISNUMBER('Данные 1st'!$EV$2:$EV$317))</f>
        <v>8</v>
      </c>
      <c r="BU31">
        <f>SUMPRODUCT(--('Данные 1st'!$S$2:$S$317=$A31),--ISNUMBER('Данные 1st'!$EX$2:$EX$317))</f>
        <v>8</v>
      </c>
      <c r="BV31">
        <f>SUMPRODUCT(--('Данные 1st'!$S$2:$S$317=$A31),--ISNUMBER('Данные 1st'!$EY$2:$EY$317))</f>
        <v>8</v>
      </c>
      <c r="BW31">
        <f>SUMPRODUCT(--('Данные 1st'!$S$2:$S$317=$A31),--ISNUMBER('Данные 1st'!$EZ$2:$EZ$317))</f>
        <v>8</v>
      </c>
      <c r="BX31">
        <f>SUMPRODUCT(--('Данные 1st'!$S$2:$S$317=$A31),--ISNUMBER('Данные 1st'!$FA$2:$FA$317))</f>
        <v>8</v>
      </c>
      <c r="BY31">
        <f>SUMPRODUCT(--('Данные 1st'!$S$2:$S$317=$A31),--ISNUMBER('Данные 1st'!$FB$2:$FB$317))</f>
        <v>8</v>
      </c>
      <c r="BZ31">
        <f>SUMPRODUCT(--('Данные 1st'!$S$2:$S$317=$A31),--ISNUMBER('Данные 1st'!$FC$2:$FC$317))</f>
        <v>8</v>
      </c>
      <c r="CA31">
        <f>SUMPRODUCT(--('Данные 1st'!$S$2:$S$317=$A31),--ISNUMBER('Данные 1st'!$FE$2:$FE$317))</f>
        <v>8</v>
      </c>
      <c r="CB31">
        <f>SUMPRODUCT(--('Данные 1st'!$S$2:$S$317=$A31),--ISNUMBER('Данные 1st'!$FF$2:$FF$317))</f>
        <v>8</v>
      </c>
      <c r="CC31">
        <f>SUMPRODUCT(--('Данные 1st'!$S$2:$S$317=$A31),--ISNUMBER('Данные 1st'!$FI$2:$FI$317))</f>
        <v>8</v>
      </c>
      <c r="CD31">
        <f>SUMPRODUCT(--('Данные 1st'!$S$2:$S$317=$A31),--ISNUMBER('Данные 1st'!$FL$2:$FL$317))</f>
        <v>8</v>
      </c>
      <c r="CE31">
        <f>SUMPRODUCT(--('Данные 1st'!$S$2:$S$317=$A31),--ISNUMBER('Данные 1st'!$FM$2:$FM$317))</f>
        <v>8</v>
      </c>
      <c r="CF31">
        <f>SUMPRODUCT(--('Данные 1st'!$S$2:$S$317=$A31),--ISNUMBER('Данные 1st'!$FN$2:$FN$317))</f>
        <v>8</v>
      </c>
      <c r="CG31">
        <f>SUMPRODUCT(--('Данные 1st'!$S$2:$S$317=$A31),--ISNUMBER('Данные 1st'!$FO$2:$FO$317))</f>
        <v>1</v>
      </c>
      <c r="CH31">
        <f>SUMPRODUCT(--('Данные 1st'!$S$2:$S$317=$A31),--ISNUMBER('Данные 1st'!$FP$2:$FP$317))</f>
        <v>1</v>
      </c>
      <c r="CI31">
        <f>SUMPRODUCT(--('Данные 1st'!$S$2:$S$317=$A31),--ISNUMBER('Данные 1st'!$FS$2:$FS$317))</f>
        <v>8</v>
      </c>
      <c r="CJ31">
        <f>SUMPRODUCT(--('Данные 1st'!$S$2:$S$317=$A31),--ISNUMBER('Данные 1st'!$FT$2:$FT$317))</f>
        <v>8</v>
      </c>
      <c r="CK31">
        <f>SUMPRODUCT(--('Данные 1st'!$S$2:$S$317=$A31),--ISNUMBER('Данные 1st'!$FU$2:$FU$317))</f>
        <v>8</v>
      </c>
      <c r="CL31">
        <f>SUMPRODUCT(--('Данные 1st'!$S$2:$S$317=$A31),--ISNUMBER('Данные 1st'!$FV$2:$FV$317))</f>
        <v>2</v>
      </c>
      <c r="CM31">
        <f>SUMPRODUCT(--('Данные 1st'!$S$2:$S$317=$A31),--ISNUMBER('Данные 1st'!$FW$2:$FW$317))</f>
        <v>2</v>
      </c>
      <c r="CN31">
        <f>SUMPRODUCT(--('Данные 1st'!$S$2:$S$317=$A31),--ISNUMBER('Данные 1st'!$FZ$2:$FZ$317))</f>
        <v>5</v>
      </c>
      <c r="CO31">
        <f>SUMPRODUCT(--('Данные 1st'!$S$2:$S$317=$A31),--ISNUMBER('Данные 1st'!$GA$2:$GA$317))</f>
        <v>5</v>
      </c>
      <c r="CP31">
        <f>SUMPRODUCT(--('Данные 1st'!$S$2:$S$317=$A31),--ISNUMBER('Данные 1st'!$GB$2:$GB$317))</f>
        <v>5</v>
      </c>
      <c r="CQ31">
        <f>SUMPRODUCT(--('Данные 1st'!$S$2:$S$317=$A31),--ISNUMBER('Данные 1st'!$GH$2:$GH$317))</f>
        <v>5</v>
      </c>
      <c r="CR31">
        <f>SUMPRODUCT(--('Данные 1st'!$S$2:$S$317=$A31),--ISNUMBER('Данные 1st'!$GI$2:$GI$317))</f>
        <v>5</v>
      </c>
      <c r="CS31">
        <f>SUMPRODUCT(--('Данные 1st'!$S$2:$S$317=$A31),--ISNUMBER('Данные 1st'!$GJ$2:$GJ$317))</f>
        <v>5</v>
      </c>
      <c r="CT31">
        <f>SUMPRODUCT(--('Данные 1st'!$S$2:$S$317=$A31),--ISNUMBER('Данные 1st'!$GS$2:$GS$317))</f>
        <v>0</v>
      </c>
      <c r="CU31">
        <f>SUMPRODUCT(--('Данные 1st'!$S$2:$S$317=$A31),--ISNUMBER('Данные 1st'!$GT$2:$GT$317))</f>
        <v>0</v>
      </c>
      <c r="CV31">
        <f>SUMPRODUCT(--('Данные 1st'!$S$2:$S$317=$A31),--ISNUMBER('Данные 1st'!$GU$2:$GU$317))</f>
        <v>0</v>
      </c>
      <c r="CW31">
        <f>SUMPRODUCT(--('Данные 1st'!$S$2:$S$317=$A31),--ISNUMBER('Данные 1st'!$GV$2:$GV$317))</f>
        <v>0</v>
      </c>
      <c r="CX31">
        <f>SUMPRODUCT(--('Данные 1st'!$S$2:$S$317=$A31),--ISNUMBER('Данные 1st'!$GW$2:$GW$317))</f>
        <v>0</v>
      </c>
      <c r="CY31">
        <f>SUMPRODUCT(--('Данные 1st'!$S$2:$S$317=$A31),--ISNUMBER('Данные 1st'!$GZ$2:$GZ$317))</f>
        <v>0</v>
      </c>
      <c r="CZ31">
        <f>SUMPRODUCT(--('Данные 1st'!$S$2:$S$317=$A31),--ISNUMBER('Данные 1st'!$HA$2:$HA$317))</f>
        <v>0</v>
      </c>
      <c r="DA31">
        <f>SUMPRODUCT(--('Данные 1st'!$S$2:$S$317=$A31),--ISNUMBER('Данные 1st'!$HB$2:$HB$317))</f>
        <v>0</v>
      </c>
      <c r="DB31">
        <f>SUMPRODUCT(--('Данные 1st'!$S$2:$S$317=$A31),--ISNUMBER('Данные 1st'!$HC$2:$HC$317))</f>
        <v>8</v>
      </c>
      <c r="DC31">
        <f>SUMPRODUCT(--('Данные 1st'!$S$2:$S$317=$A31),--ISNUMBER('Данные 1st'!$HD$2:$HD$317))</f>
        <v>8</v>
      </c>
      <c r="DD31">
        <f>SUMPRODUCT(--('Данные 1st'!$S$2:$S$317=$A31),--ISNUMBER('Данные 1st'!$HE$2:$HE$317))</f>
        <v>8</v>
      </c>
      <c r="DE31">
        <f>SUMPRODUCT(--('Данные 1st'!$S$2:$S$317=$A31),--ISNUMBER('Данные 1st'!$HF$2:$HF$317))</f>
        <v>8</v>
      </c>
      <c r="DF31">
        <f>SUMPRODUCT(--('Данные 1st'!$S$2:$S$317=$A31),--ISNUMBER('Данные 1st'!$HG$2:$HG$317))</f>
        <v>8</v>
      </c>
      <c r="DG31">
        <f>SUMPRODUCT(--('Данные 1st'!$S$2:$S$317=$A31),--ISNUMBER('Данные 1st'!$HH$2:$HH$317))</f>
        <v>8</v>
      </c>
      <c r="DH31">
        <f>SUMPRODUCT(--('Данные 1st'!$S$2:$S$317=$A31),--ISNUMBER('Данные 1st'!$HI$2:$HI$317))</f>
        <v>8</v>
      </c>
      <c r="DI31">
        <f>SUMPRODUCT(--('Данные 1st'!$S$2:$S$317=$A31),--ISNUMBER('Данные 1st'!$HJ$2:$HJ$317))</f>
        <v>8</v>
      </c>
      <c r="DJ31">
        <f>SUMPRODUCT(--('Данные 1st'!$S$2:$S$317=$A31),--ISNUMBER('Данные 1st'!$HK$2:$HK$317))</f>
        <v>8</v>
      </c>
      <c r="DK31">
        <f>SUMPRODUCT(--('Данные 1st'!$S$2:$S$317=$A31),--ISNUMBER('Данные 1st'!$HL$2:$HL$317))</f>
        <v>8</v>
      </c>
      <c r="DL31">
        <f>SUMPRODUCT(--('Данные 1st'!$S$2:$S$317=$A31),--ISNUMBER('Данные 1st'!$HM$2:$HM$317))</f>
        <v>8</v>
      </c>
      <c r="DM31">
        <f>SUMPRODUCT(--('Данные 1st'!$S$2:$S$317=$A31),--ISNUMBER('Данные 1st'!$HN$2:$HN$317))</f>
        <v>8</v>
      </c>
      <c r="DN31">
        <f>SUMPRODUCT(--('Данные 1st'!$S$2:$S$317=$A31),--ISNUMBER('Данные 1st'!$HO$2:$HO$317))</f>
        <v>8</v>
      </c>
      <c r="DO31">
        <f>SUMPRODUCT(--('Данные 1st'!$S$2:$S$317=$A31),--ISNUMBER('Данные 1st'!$HP$2:$HP$317))</f>
        <v>8</v>
      </c>
      <c r="DP31">
        <f>SUMPRODUCT(--('Данные 1st'!$S$2:$S$317=$A31),--ISNUMBER('Данные 1st'!$HQ$2:$HQ$317))</f>
        <v>8</v>
      </c>
      <c r="DQ31">
        <f>SUMPRODUCT(--('Данные 1st'!$S$2:$S$317=$A31),--ISNUMBER('Данные 1st'!$HR$2:$HR$317))</f>
        <v>8</v>
      </c>
      <c r="DR31">
        <f>SUMPRODUCT(--('Данные 1st'!$S$2:$S$317=$A31),--ISNUMBER('Данные 1st'!$HS$2:$HS$317))</f>
        <v>8</v>
      </c>
      <c r="DS31">
        <f>SUMPRODUCT(--('Данные 1st'!$S$2:$S$317=$A31),--ISNUMBER('Данные 1st'!$HT$2:$HT$317))</f>
        <v>8</v>
      </c>
      <c r="DT31">
        <f>SUMPRODUCT(--('Данные 1st'!$S$2:$S$317=$A31),--ISNUMBER('Данные 1st'!$HU$2:$HU$317))</f>
        <v>8</v>
      </c>
      <c r="DU31">
        <f>SUMPRODUCT(--('Данные 1st'!$S$2:$S$317=$A31),--ISNUMBER('Данные 1st'!$HW$2:$HW$317))</f>
        <v>8</v>
      </c>
      <c r="DV31">
        <f>SUMPRODUCT(--('Данные 1st'!$S$2:$S$317=$A31),--ISNUMBER('Данные 1st'!$HX$2:$HX$317))</f>
        <v>8</v>
      </c>
      <c r="DW31">
        <f>SUMPRODUCT(--('Данные 1st'!$S$2:$S$317=$A31),--ISNUMBER('Данные 1st'!$HY$2:$HY$317))</f>
        <v>8</v>
      </c>
      <c r="DX31">
        <f>SUMPRODUCT(--('Данные 1st'!$S$2:$S$317=$A31),--ISNUMBER('Данные 1st'!$IA$2:$IA$317))</f>
        <v>8</v>
      </c>
      <c r="DY31">
        <f>SUMPRODUCT(--('Данные 1st'!$S$2:$S$317=$A31),--ISNUMBER('Данные 1st'!$IB$2:$IB$317))</f>
        <v>8</v>
      </c>
      <c r="DZ31">
        <f>SUMPRODUCT(--('Данные 1st'!$S$2:$S$317=$A31),--ISNUMBER('Данные 1st'!$IC$2:$IC$317))</f>
        <v>8</v>
      </c>
      <c r="EA31">
        <f>SUMPRODUCT(--('Данные 1st'!$S$2:$S$317=$A31),--ISNUMBER('Данные 1st'!$ID$2:$ID$317))</f>
        <v>8</v>
      </c>
      <c r="EB31">
        <f>SUMPRODUCT(--('Данные 1st'!$S$2:$S$317=$A31),--ISNUMBER('Данные 1st'!$IE$2:$IE$317))</f>
        <v>8</v>
      </c>
      <c r="EC31">
        <f>SUMPRODUCT(--('Данные 1st'!$S$2:$S$317=$A31),--ISNUMBER('Данные 1st'!$IF$2:$IF$317))</f>
        <v>8</v>
      </c>
      <c r="ED31">
        <f>SUMPRODUCT(--('Данные 1st'!$S$2:$S$317=$A31),--ISNUMBER('Данные 1st'!$IP$2:$IP$317))</f>
        <v>8</v>
      </c>
      <c r="EE31">
        <f>SUMPRODUCT(--('Данные 1st'!$S$2:$S$317=$A31),--ISNUMBER('Данные 1st'!$IV$2:$IV$317))</f>
        <v>8</v>
      </c>
      <c r="EF31">
        <f>SUMPRODUCT(--('Данные 1st'!$S$2:$S$317=$A31),--ISNUMBER('Данные 1st'!$IW$2:$IW$317))</f>
        <v>8</v>
      </c>
      <c r="EG31">
        <f>SUMPRODUCT(--('Данные 1st'!$S$2:$S$317=$A31),--ISNUMBER('Данные 1st'!$IX$2:$IX$317))</f>
        <v>0</v>
      </c>
      <c r="EH31">
        <f>SUMPRODUCT(--('Данные 1st'!$S$2:$S$317=$A31),--ISNUMBER('Данные 1st'!$IY$2:$IY$317))</f>
        <v>0</v>
      </c>
      <c r="EI31">
        <f>SUMPRODUCT(--('Данные 1st'!$S$2:$S$317=$A31),--ISNUMBER('Данные 1st'!$JD$2:$JD$317))</f>
        <v>8</v>
      </c>
      <c r="EJ31">
        <f>SUMPRODUCT(--('Данные 1st'!$S$2:$S$317=$A31),--ISNUMBER('Данные 1st'!$JE$2:$JE$317))</f>
        <v>8</v>
      </c>
      <c r="EK31">
        <f>SUMPRODUCT(--('Данные 1st'!$S$2:$S$317=$A31),--ISNUMBER('Данные 1st'!$JF$2:$JF$317))</f>
        <v>8</v>
      </c>
      <c r="EL31">
        <f>SUMPRODUCT(--('Данные 1st'!$S$2:$S$317=$A31),--ISNUMBER('Данные 1st'!$JG$2:$JG$317))</f>
        <v>8</v>
      </c>
      <c r="EM31">
        <f>SUMPRODUCT(--('Данные 1st'!$S$2:$S$317=$A31),--ISNUMBER('Данные 1st'!$JH$2:$JH$317))</f>
        <v>8</v>
      </c>
      <c r="EN31">
        <f>SUMPRODUCT(--('Данные 1st'!$S$2:$S$317=$A31),--ISNUMBER('Данные 1st'!$JJ$2:$JJ$317))</f>
        <v>8</v>
      </c>
      <c r="EO31">
        <f>SUMPRODUCT(--('Данные 1st'!$S$2:$S$317=$A31),--ISNUMBER('Данные 1st'!$JK$2:$JK$317))</f>
        <v>8</v>
      </c>
      <c r="EP31">
        <f>SUMPRODUCT(--('Данные 1st'!$S$2:$S$317=$A31),--ISNUMBER('Данные 1st'!$JL$2:$JL$317))</f>
        <v>0</v>
      </c>
      <c r="EQ31">
        <f>SUMPRODUCT(--('Данные 1st'!$S$2:$S$317=$A31),--ISNUMBER('Данные 1st'!$JM$2:$JM$317))</f>
        <v>0</v>
      </c>
      <c r="ER31">
        <f>SUMPRODUCT(--('Данные 1st'!$S$2:$S$317=$A31),--ISNUMBER('Данные 1st'!$JN$2:$JN$317))</f>
        <v>8</v>
      </c>
      <c r="ES31">
        <f>SUMPRODUCT(--('Данные 1st'!$S$2:$S$317=$A31),--ISNUMBER('Данные 1st'!$JO$2:$JO$317))</f>
        <v>8</v>
      </c>
      <c r="ET31">
        <f>SUMPRODUCT(--('Данные 1st'!$S$2:$S$317=$A31),--ISNUMBER('Данные 1st'!$JP$2:$JP$317))</f>
        <v>8</v>
      </c>
      <c r="EU31">
        <f>SUMPRODUCT(--('Данные 1st'!$S$2:$S$317=$A31),--ISNUMBER('Данные 1st'!$JQ$2:$JQ$317))</f>
        <v>8</v>
      </c>
      <c r="EV31">
        <f>SUMPRODUCT(--('Данные 1st'!$S$2:$S$317=$A31),--ISNUMBER('Данные 1st'!$JR$2:$JR$317))</f>
        <v>8</v>
      </c>
      <c r="EW31">
        <f>SUMPRODUCT(--('Данные 1st'!$S$2:$S$317=$A31),--ISNUMBER('Данные 1st'!$JS$2:$JS$317))</f>
        <v>8</v>
      </c>
      <c r="EX31">
        <f>SUMPRODUCT(--('Данные 1st'!$S$2:$S$317=$A31),--ISNUMBER('Данные 1st'!$JT$2:$JT$317))</f>
        <v>0</v>
      </c>
      <c r="EY31">
        <f>SUMPRODUCT(--('Данные 1st'!$S$2:$S$317=$A31),--ISNUMBER('Данные 1st'!$JU$2:$JU$317))</f>
        <v>0</v>
      </c>
      <c r="EZ31">
        <f>SUMPRODUCT(--('Данные 1st'!$S$2:$S$317=$A31),--ISNUMBER('Данные 1st'!$JV$2:$JV$317))</f>
        <v>8</v>
      </c>
      <c r="FA31">
        <f>SUMPRODUCT(--('Данные 1st'!$S$2:$S$317=$A31),--ISNUMBER('Данные 1st'!$JW$2:$JW$317))</f>
        <v>0</v>
      </c>
      <c r="FB31">
        <f>SUMPRODUCT(--('Данные 1st'!$S$2:$S$317=$A31),--ISNUMBER('Данные 1st'!$JX$2:$JX$317))</f>
        <v>8</v>
      </c>
      <c r="FC31">
        <f>SUMPRODUCT(--('Данные 1st'!$S$2:$S$317=$A31),--ISNUMBER('Данные 1st'!$JY$2:$JY$317))</f>
        <v>0</v>
      </c>
      <c r="FD31">
        <f>SUMPRODUCT(--('Данные 1st'!$S$2:$S$317=$A31),--ISNUMBER('Данные 1st'!$JZ$2:$JZ$317))</f>
        <v>0</v>
      </c>
      <c r="FE31">
        <f>SUMPRODUCT(--('Данные 1st'!$S$2:$S$317=$A31),--ISNUMBER('Данные 1st'!$KA$2:$KA$317))</f>
        <v>8</v>
      </c>
      <c r="FF31">
        <f>SUMPRODUCT(--('Данные 1st'!$S$2:$S$317=$A31),--ISNUMBER('Данные 1st'!$KB$2:$KB$317))</f>
        <v>8</v>
      </c>
      <c r="FG31">
        <f>SUMPRODUCT(--('Данные 1st'!$S$2:$S$317=$A31),--ISNUMBER('Данные 1st'!$KC$2:$KC$317))</f>
        <v>8</v>
      </c>
      <c r="FH31">
        <f>SUMPRODUCT(--('Данные 1st'!$S$2:$S$317=$A31),--ISNUMBER('Данные 1st'!$KD$2:$KD$317))</f>
        <v>8</v>
      </c>
      <c r="FI31">
        <f>SUMPRODUCT(--('Данные 1st'!$S$2:$S$317=$A31),--ISNUMBER('Данные 1st'!$KE$2:$KE$317))</f>
        <v>0</v>
      </c>
      <c r="FJ31">
        <f>SUMPRODUCT(--('Данные 1st'!$S$2:$S$317=$A31),--ISNUMBER('Данные 1st'!$KF$2:$KF$317))</f>
        <v>8</v>
      </c>
      <c r="FK31">
        <f>SUMPRODUCT(--('Данные 1st'!$S$2:$S$317=$A31),--ISNUMBER('Данные 1st'!$KG$2:$KG$317))</f>
        <v>8</v>
      </c>
      <c r="FL31">
        <f>SUMPRODUCT(--('Данные 1st'!$S$2:$S$317=$A31),--ISNUMBER('Данные 1st'!$KH$2:$KH$317))</f>
        <v>8</v>
      </c>
      <c r="FM31">
        <f>SUMPRODUCT(--('Данные 1st'!$S$2:$S$317=$A31),--ISNUMBER('Данные 1st'!$KI$2:$KI$317))</f>
        <v>8</v>
      </c>
      <c r="FN31">
        <f>SUMPRODUCT(--('Данные 1st'!$S$2:$S$317=$A31),--ISNUMBER('Данные 1st'!$KJ$2:$KJ$317))</f>
        <v>8</v>
      </c>
      <c r="FO31">
        <f>SUMPRODUCT(--('Данные 1st'!$S$2:$S$317=$A31),--ISNUMBER('Данные 1st'!$KK$2:$KK$317))</f>
        <v>8</v>
      </c>
      <c r="FP31">
        <f>SUMPRODUCT(--('Данные 1st'!$S$2:$S$317=$A31),--ISNUMBER('Данные 1st'!$KL$2:$KL$317))</f>
        <v>8</v>
      </c>
      <c r="FQ31">
        <f>SUMPRODUCT(--('Данные 1st'!$S$2:$S$317=$A31),--ISNUMBER('Данные 1st'!$KM$2:$KM$317))</f>
        <v>8</v>
      </c>
      <c r="FR31">
        <f>SUMPRODUCT(--('Данные 1st'!$S$2:$S$317=$A31),--ISNUMBER('Данные 1st'!$KN$2:$KN$317))</f>
        <v>8</v>
      </c>
      <c r="FS31">
        <f>SUMPRODUCT(--('Данные 1st'!$S$2:$S$317=$A31),--ISNUMBER('Данные 1st'!$KR$2:$KR$317))</f>
        <v>8</v>
      </c>
      <c r="FT31">
        <f>SUMPRODUCT(--('Данные 1st'!$S$2:$S$317=$A31),--ISNUMBER('Данные 1st'!$KS$2:$KS$317))</f>
        <v>8</v>
      </c>
      <c r="FU31">
        <f>SUMPRODUCT(--('Данные 1st'!$S$2:$S$317=$A31),--ISNUMBER('Данные 1st'!$KT$2:$KT$317))</f>
        <v>8</v>
      </c>
      <c r="FV31">
        <f>SUMPRODUCT(--('Данные 1st'!$S$2:$S$317=$A31),--ISNUMBER('Данные 1st'!$KV$2:$KV$317))</f>
        <v>0</v>
      </c>
      <c r="FW31">
        <f>SUMPRODUCT(--('Данные 1st'!$S$2:$S$317=$A31),--ISNUMBER('Данные 1st'!$KW$2:$KW$317))</f>
        <v>0</v>
      </c>
      <c r="FX31">
        <f>SUMPRODUCT(--('Данные 1st'!$S$2:$S$317=$A31),--ISNUMBER('Данные 1st'!$KX$2:$KX$317))</f>
        <v>0</v>
      </c>
      <c r="FY31">
        <f>SUMPRODUCT(--('Данные 1st'!$S$2:$S$317=$A31),--ISNUMBER('Данные 1st'!$KY$2:$KY$317))</f>
        <v>0</v>
      </c>
      <c r="FZ31">
        <f>SUMPRODUCT(--('Данные 1st'!$S$2:$S$317=$A31),--ISNUMBER('Данные 1st'!$KZ$2:$KZ$317))</f>
        <v>0</v>
      </c>
      <c r="GA31">
        <f>SUMPRODUCT(--('Данные 1st'!$S$2:$S$317=$A31),--ISNUMBER('Данные 1st'!$LA$2:$LA$317))</f>
        <v>0</v>
      </c>
      <c r="GB31">
        <f>SUMPRODUCT(--('Данные 1st'!$S$2:$S$317=$A31),--ISNUMBER('Данные 1st'!$LB$2:$LB$317))</f>
        <v>0</v>
      </c>
      <c r="GC31">
        <f>SUMPRODUCT(--('Данные 1st'!$S$2:$S$317=$A31),--ISNUMBER('Данные 1st'!$LC$2:$LC$317))</f>
        <v>0</v>
      </c>
      <c r="GD31">
        <f>SUMPRODUCT(--('Данные 1st'!$S$2:$S$317=$A31),--ISNUMBER('Данные 1st'!$LD$2:$LD$317))</f>
        <v>0</v>
      </c>
      <c r="GE31">
        <f>SUMPRODUCT(--('Данные 1st'!$S$2:$S$317=$A31),--ISNUMBER('Данные 1st'!$LE$2:$LE$317))</f>
        <v>0</v>
      </c>
      <c r="GF31">
        <f>SUMPRODUCT(--('Данные 1st'!$S$2:$S$317=$A31),--ISNUMBER('Данные 1st'!$LF$2:$LF$317))</f>
        <v>0</v>
      </c>
      <c r="GG31">
        <f>SUMPRODUCT(--('Данные 1st'!$S$2:$S$317=$A31),--ISNUMBER('Данные 1st'!$LG$2:$LG$317))</f>
        <v>0</v>
      </c>
      <c r="GH31">
        <f>SUMPRODUCT(--('Данные 1st'!$S$2:$S$317=$A31),--ISNUMBER('Данные 1st'!$LH$2:$LH$317))</f>
        <v>0</v>
      </c>
      <c r="GI31">
        <f>SUMPRODUCT(--('Данные 1st'!$S$2:$S$317=$A31),--ISNUMBER('Данные 1st'!$LI$2:$LI$317))</f>
        <v>0</v>
      </c>
      <c r="GJ31">
        <f>SUMPRODUCT(--('Данные 1st'!$S$2:$S$317=$A31),--ISNUMBER('Данные 1st'!$LJ$2:$LJ$317))</f>
        <v>0</v>
      </c>
      <c r="GK31">
        <f>SUMPRODUCT(--('Данные 1st'!$S$2:$S$317=$A31),--ISNUMBER('Данные 1st'!$LK$2:$LK$317))</f>
        <v>8</v>
      </c>
      <c r="GL31">
        <f>SUMPRODUCT(--('Данные 1st'!$S$2:$S$317=$A31),--ISNUMBER('Данные 1st'!$LV$2:$LV$317))</f>
        <v>0</v>
      </c>
      <c r="GM31">
        <f>SUMPRODUCT(--('Данные 1st'!$S$2:$S$317=$A31),--ISNUMBER('Данные 1st'!$LW$2:$LW$317))</f>
        <v>0</v>
      </c>
      <c r="GN31">
        <f>SUMPRODUCT(--('Данные 1st'!$S$2:$S$317=$A31),--ISNUMBER('Данные 1st'!$LX$2:$LX$317))</f>
        <v>0</v>
      </c>
      <c r="GO31">
        <f>SUMPRODUCT(--('Данные 1st'!$S$2:$S$317=$A31),--ISNUMBER('Данные 1st'!$LY$2:$LY$317))</f>
        <v>0</v>
      </c>
      <c r="GP31">
        <f>SUMPRODUCT(--('Данные 1st'!$S$2:$S$317=$A31),--ISNUMBER('Данные 1st'!$LZ$2:$LZ$317))</f>
        <v>1</v>
      </c>
      <c r="GQ31">
        <f>SUMPRODUCT(--('Данные 1st'!$S$2:$S$317=$A31),--ISNUMBER('Данные 1st'!$PG$2:$PG$317))</f>
        <v>8</v>
      </c>
      <c r="GR31">
        <f>SUMPRODUCT(--('Данные 1st'!$S$2:$S$317=$A31),--ISNUMBER('Данные 1st'!$PX$2:$PX$317))</f>
        <v>8</v>
      </c>
      <c r="GS31">
        <f>SUMPRODUCT(--('Данные 1st'!$S$2:$S$317=$A31),--ISNUMBER('Данные 1st'!$PY$2:$PY$317))</f>
        <v>8</v>
      </c>
      <c r="GT31">
        <f>SUMPRODUCT(--('Данные 1st'!$S$2:$S$317=$A31),--ISNUMBER('Данные 1st'!$QA$2:$QA$317))</f>
        <v>8</v>
      </c>
      <c r="GU31">
        <f>SUMPRODUCT(--('Данные 1st'!$S$2:$S$317=$A31),--ISNUMBER('Данные 1st'!$QB$2:$QB$317))</f>
        <v>8</v>
      </c>
      <c r="GV31">
        <f>SUMPRODUCT(--('Данные 1st'!$S$2:$S$317=$A31),--ISNUMBER('Данные 1st'!$QC$2:$QC$317))</f>
        <v>8</v>
      </c>
      <c r="GW31">
        <f>SUMPRODUCT(--('Данные 1st'!$S$2:$S$317=$A31),--ISNUMBER('Данные 1st'!$QD$2:$QD$317))</f>
        <v>8</v>
      </c>
      <c r="GX31">
        <f>SUMPRODUCT(--('Данные 1st'!$S$2:$S$317=$A31),--ISNUMBER('Данные 1st'!$QF$2:$QF$317))</f>
        <v>8</v>
      </c>
      <c r="GY31">
        <f>SUMPRODUCT(--('Данные 1st'!$S$2:$S$317=$A31),--ISNUMBER('Данные 1st'!$QG$2:$QG$317))</f>
        <v>8</v>
      </c>
      <c r="GZ31">
        <f>SUMPRODUCT(--('Данные 1st'!$S$2:$S$317=$A31),--ISNUMBER('Данные 1st'!$QH$2:$QH$317))</f>
        <v>8</v>
      </c>
      <c r="HA31">
        <f>SUMPRODUCT(--('Данные 1st'!$S$2:$S$317=$A31),--ISNUMBER('Данные 1st'!$QI$2:$QI$317))</f>
        <v>8</v>
      </c>
      <c r="HB31">
        <f>SUMPRODUCT(--('Данные 1st'!$S$2:$S$317=$A31),--ISNUMBER('Данные 1st'!$QK$2:$QK$317))</f>
        <v>1</v>
      </c>
      <c r="HC31">
        <f>SUMPRODUCT(--('Данные 1st'!$S$2:$S$317=$A31),--ISNUMBER('Данные 1st'!$QL$2:$QL$317))</f>
        <v>8</v>
      </c>
      <c r="HD31">
        <f>SUMPRODUCT(--('Данные 1st'!$S$2:$S$317=$A31),--ISNUMBER('Данные 1st'!$QM$2:$QM$317))</f>
        <v>8</v>
      </c>
      <c r="HE31">
        <f>SUMPRODUCT(--('Данные 1st'!$S$2:$S$317=$A31),--ISNUMBER('Данные 1st'!$QN$2:$QN$317))</f>
        <v>8</v>
      </c>
      <c r="HF31">
        <f>SUMPRODUCT(--('Данные 1st'!$S$2:$S$317=$A31),--ISNUMBER('Данные 1st'!$QP$2:$QP$317))</f>
        <v>8</v>
      </c>
      <c r="HG31">
        <f>SUMPRODUCT(--('Данные 1st'!$S$2:$S$317=$A31),--ISNUMBER('Данные 1st'!$QQ$2:$QQ$317))</f>
        <v>8</v>
      </c>
      <c r="HH31">
        <f>SUMPRODUCT(--('Данные 1st'!$S$2:$S$317=$A31),--ISNUMBER('Данные 1st'!$QR$2:$QR$317))</f>
        <v>0</v>
      </c>
      <c r="HI31">
        <f>SUMPRODUCT(--('Данные 1st'!$S$2:$S$317=$A31),--ISNUMBER('Данные 1st'!$QS$2:$QS$317))</f>
        <v>0</v>
      </c>
      <c r="HJ31">
        <f>SUMPRODUCT(--('Данные 1st'!$S$2:$S$317=$A31),--ISNUMBER('Данные 1st'!$QU$2:$QU$317))</f>
        <v>0</v>
      </c>
      <c r="HK31">
        <f>SUMPRODUCT(--('Данные 1st'!$S$2:$S$317=$A31),--ISNUMBER('Данные 1st'!$QV$2:$QV$317))</f>
        <v>0</v>
      </c>
      <c r="HL31">
        <f>SUMPRODUCT(--('Данные 1st'!$S$2:$S$317=$A31),--ISNUMBER('Данные 1st'!$QW$2:$QW$317))</f>
        <v>8</v>
      </c>
      <c r="HM31">
        <f>SUMPRODUCT(--('Данные 1st'!$S$2:$S$317=$A31),--ISNUMBER('Данные 1st'!$QX$2:$QX$317))</f>
        <v>8</v>
      </c>
      <c r="HN31">
        <f>SUMPRODUCT(--('Данные 1st'!$S$2:$S$317=$A31),--ISNUMBER('Данные 1st'!$QZ$2:$QZ$317))</f>
        <v>8</v>
      </c>
      <c r="HO31">
        <f>SUMPRODUCT(--('Данные 1st'!$S$2:$S$317=$A31),--ISNUMBER('Данные 1st'!$RA$2:$RA$317))</f>
        <v>8</v>
      </c>
      <c r="HP31">
        <f>SUMPRODUCT(--('Данные 1st'!$S$2:$S$317=$A31),--ISNUMBER('Данные 1st'!$RB$2:$RB$317))</f>
        <v>8</v>
      </c>
      <c r="HQ31">
        <f>SUMPRODUCT(--('Данные 1st'!$S$2:$S$317=$A31),--ISNUMBER('Данные 1st'!$RD$2:$RD$317))</f>
        <v>0</v>
      </c>
      <c r="HR31">
        <f>SUMPRODUCT(--('Данные 1st'!$S$2:$S$317=$A31),--ISNUMBER('Данные 1st'!$RE$2:$RE$317))</f>
        <v>8</v>
      </c>
      <c r="HS31">
        <f>SUMPRODUCT(--('Данные 1st'!$S$2:$S$317=$A31),--ISNUMBER('Данные 1st'!$RF$2:$RF$317))</f>
        <v>3</v>
      </c>
      <c r="HT31">
        <f>SUMPRODUCT(--('Данные 1st'!$S$2:$S$317=$A31),--ISNUMBER('Данные 1st'!$RG$2:$RG$317))</f>
        <v>5</v>
      </c>
      <c r="HU31">
        <f>SUMPRODUCT(--('Данные 1st'!$S$2:$S$317=$A31),--ISNUMBER('Данные 1st'!$RH$2:$RH$317))</f>
        <v>0</v>
      </c>
      <c r="HV31">
        <f>SUMPRODUCT(--('Данные 1st'!$S$2:$S$317=$A31),--ISNUMBER('Данные 1st'!$RI$2:$RI$317))</f>
        <v>0</v>
      </c>
      <c r="HW31">
        <f>SUMPRODUCT(--('Данные 1st'!$S$2:$S$317=$A31),--ISNUMBER('Данные 1st'!$RJ$2:$RJ$317))</f>
        <v>8</v>
      </c>
      <c r="HX31">
        <f>SUMPRODUCT(--('Данные 1st'!$S$2:$S$317=$A31),--ISNUMBER('Данные 1st'!$RK$2:$RK$317))</f>
        <v>1</v>
      </c>
      <c r="HY31">
        <f>SUMPRODUCT(--('Данные 1st'!$S$2:$S$317=$A31),--ISNUMBER('Данные 1st'!$RL$2:$RL$317))</f>
        <v>8</v>
      </c>
      <c r="HZ31">
        <f>SUMPRODUCT(--('Данные 1st'!$S$2:$S$317=$A31),--ISNUMBER('Данные 1st'!$RM$2:$RM$317))</f>
        <v>0</v>
      </c>
      <c r="IA31">
        <f>SUMPRODUCT(--('Данные 1st'!$S$2:$S$317=$A31),--ISNUMBER('Данные 1st'!$RN$2:$RN$317))</f>
        <v>0</v>
      </c>
      <c r="IB31">
        <f>SUMPRODUCT(--('Данные 1st'!$S$2:$S$317=$A31),--ISNUMBER('Данные 1st'!$RO$2:$RO$317))</f>
        <v>8</v>
      </c>
      <c r="IC31">
        <f>SUMPRODUCT(--('Данные 1st'!$S$2:$S$317=$A31),--ISNUMBER('Данные 1st'!$RP$2:$RP$317))</f>
        <v>1</v>
      </c>
      <c r="ID31">
        <f>SUMPRODUCT(--('Данные 1st'!$S$2:$S$317=$A31),--ISNUMBER('Данные 1st'!$RQ$2:$RQ$317))</f>
        <v>8</v>
      </c>
      <c r="IE31">
        <f>SUMPRODUCT(--('Данные 1st'!$S$2:$S$317=$A31),--ISNUMBER('Данные 1st'!$RR$2:$RR$317))</f>
        <v>0</v>
      </c>
      <c r="IF31">
        <f>SUMPRODUCT(--('Данные 1st'!$S$2:$S$317=$A31),--ISNUMBER('Данные 1st'!$RS$2:$RS$317))</f>
        <v>0</v>
      </c>
      <c r="IG31">
        <f>SUMPRODUCT(--('Данные 1st'!$S$2:$S$317=$A31),--ISNUMBER('Данные 1st'!$RT$2:$RT$317))</f>
        <v>8</v>
      </c>
      <c r="IH31">
        <f>SUMPRODUCT(--('Данные 1st'!$S$2:$S$317=$A31),--ISNUMBER('Данные 1st'!$RU$2:$RU$317))</f>
        <v>8</v>
      </c>
      <c r="II31">
        <f>SUMPRODUCT(--('Данные 1st'!$S$2:$S$317=$A31),--ISNUMBER('Данные 1st'!$RX$2:$RX$317))</f>
        <v>8</v>
      </c>
      <c r="IJ31">
        <f>SUMPRODUCT(--('Данные 1st'!$S$2:$S$317=$A31),--ISNUMBER('Данные 1st'!$RY$2:$RY$317))</f>
        <v>8</v>
      </c>
      <c r="IK31">
        <f>SUMPRODUCT(--('Данные 1st'!$S$2:$S$317=$A31),--ISNUMBER('Данные 1st'!$SA$2:$SA$317))</f>
        <v>8</v>
      </c>
      <c r="IL31">
        <f>SUMPRODUCT(--('Данные 1st'!$S$2:$S$317=$A31),--ISNUMBER('Данные 1st'!$SD$2:$SD$317))</f>
        <v>8</v>
      </c>
      <c r="IM31">
        <f>SUMPRODUCT(--('Данные 1st'!$S$2:$S$317=$A31),--ISNUMBER('Данные 1st'!$SG$2:$SG$317))</f>
        <v>0</v>
      </c>
      <c r="IN31">
        <f>SUMPRODUCT(--('Данные 1st'!$S$2:$S$317=$A31),--ISNUMBER('Данные 1st'!$SH$2:$SH$317))</f>
        <v>8</v>
      </c>
      <c r="IO31">
        <f>SUMPRODUCT(--('Данные 1st'!$S$2:$S$317=$A31),--ISNUMBER('Данные 1st'!$SI$2:$SI$317))</f>
        <v>8</v>
      </c>
      <c r="IP31">
        <f>SUMPRODUCT(--('Данные 1st'!$S$2:$S$317=$A31),--ISNUMBER('Данные 1st'!$SJ$2:$SJ$317))</f>
        <v>8</v>
      </c>
      <c r="IQ31">
        <f>SUMPRODUCT(--('Данные 1st'!$S$2:$S$317=$A31),--ISNUMBER('Данные 1st'!$SK$2:$SK$317))</f>
        <v>8</v>
      </c>
      <c r="IR31">
        <f>SUMPRODUCT(--('Данные 1st'!$S$2:$S$317=$A31),--ISNUMBER('Данные 1st'!$SL$2:$SL$317))</f>
        <v>8</v>
      </c>
      <c r="IS31">
        <f>SUMPRODUCT(--('Данные 1st'!$S$2:$S$317=$A31),--ISNUMBER('Данные 1st'!$SM$2:$SM$317))</f>
        <v>8</v>
      </c>
      <c r="IT31">
        <f>SUMPRODUCT(--('Данные 1st'!$S$2:$S$317=$A31),--ISNUMBER('Данные 1st'!$SN$2:$SN$317))</f>
        <v>8</v>
      </c>
      <c r="IU31">
        <f>SUMPRODUCT(--('Данные 1st'!$S$2:$S$317=$A31),--ISNUMBER('Данные 1st'!$SO$2:$SO$317))</f>
        <v>8</v>
      </c>
      <c r="IV31">
        <f>SUMPRODUCT(--('Данные 1st'!$S$2:$S$317=$A31),--ISNUMBER('Данные 1st'!$SP$2:$SP$317))</f>
        <v>8</v>
      </c>
      <c r="IW31">
        <f>SUMPRODUCT(--('Данные 1st'!$S$2:$S$317=$A31),--ISNUMBER('Данные 1st'!$SQ$2:$SQ$317))</f>
        <v>8</v>
      </c>
      <c r="IX31">
        <f>SUMPRODUCT(--('Данные 1st'!$S$2:$S$317=$A31),--ISNUMBER('Данные 1st'!$SR$2:$SR$317))</f>
        <v>8</v>
      </c>
      <c r="IY31">
        <f>SUMPRODUCT(--('Данные 1st'!$S$2:$S$317=$A31),--ISNUMBER('Данные 1st'!$SS$2:$SS$317))</f>
        <v>8</v>
      </c>
      <c r="IZ31">
        <f>SUMPRODUCT(--('Данные 1st'!$S$2:$S$317=$A31),--ISNUMBER('Данные 1st'!$ST$2:$ST$317))</f>
        <v>8</v>
      </c>
      <c r="JA31">
        <f>SUMPRODUCT(--('Данные 1st'!$S$2:$S$317=$A31),--ISNUMBER('Данные 1st'!$SU$2:$SU$317))</f>
        <v>8</v>
      </c>
      <c r="JB31">
        <f>SUMPRODUCT(--('Данные 1st'!$S$2:$S$317=$A31),--ISNUMBER('Данные 1st'!$SV$2:$SV$317))</f>
        <v>8</v>
      </c>
      <c r="JC31">
        <f>SUMPRODUCT(--('Данные 1st'!$S$2:$S$317=$A31),--ISNUMBER('Данные 1st'!$SW$2:$SW$317))</f>
        <v>8</v>
      </c>
      <c r="JD31">
        <f>SUMPRODUCT(--('Данные 1st'!$S$2:$S$317=$A31),--ISNUMBER('Данные 1st'!$SX$2:$SX$317))</f>
        <v>8</v>
      </c>
      <c r="JE31">
        <f>SUMPRODUCT(--('Данные 1st'!$S$2:$S$317=$A31),--ISNUMBER('Данные 1st'!$SY$2:$SY$317))</f>
        <v>1</v>
      </c>
      <c r="JF31">
        <f>SUMPRODUCT(--('Данные 1st'!$S$2:$S$317=$A31),--ISNUMBER('Данные 1st'!$SZ$2:$SZ$317))</f>
        <v>0</v>
      </c>
      <c r="JG31">
        <f>SUMPRODUCT(--('Данные 1st'!$S$2:$S$317=$A31),--ISNUMBER('Данные 1st'!$TA$2:$TA$317))</f>
        <v>0</v>
      </c>
      <c r="JH31">
        <f>SUMPRODUCT(--('Данные 1st'!$S$2:$S$317=$A31),--ISNUMBER('Данные 1st'!$TB$2:$TB$317))</f>
        <v>8</v>
      </c>
      <c r="JI31">
        <f>SUMPRODUCT(--('Данные 1st'!$S$2:$S$317=$A31),--ISNUMBER('Данные 1st'!$TC$2:$TC$317))</f>
        <v>8</v>
      </c>
      <c r="JJ31">
        <f>SUMPRODUCT(--('Данные 1st'!$S$2:$S$317=$A31),--ISNUMBER('Данные 1st'!$TD$2:$TD$317))</f>
        <v>8</v>
      </c>
      <c r="JK31">
        <f>SUMPRODUCT(--('Данные 1st'!$S$2:$S$317=$A31),--ISNUMBER('Данные 1st'!$TN$2:$TN$317))</f>
        <v>8</v>
      </c>
      <c r="JQ31">
        <f>SUMPRODUCT(--('Данные 2st'!$Q$2:$Q$317=$A31),--ISNUMBER('Данные 2st'!$AC$2:$AC$317))</f>
        <v>8</v>
      </c>
      <c r="JR31">
        <f>SUMPRODUCT(--('Данные 2st'!$Q$2:$Q$317=$A31),--ISNUMBER('Данные 2st'!$AF$2:$AF$317))</f>
        <v>8</v>
      </c>
      <c r="JS31">
        <f>SUMPRODUCT(--('Данные 2st'!$Q$2:$Q$317=$A31),--ISNUMBER('Данные 2st'!$AW$2:$AW$317))</f>
        <v>8</v>
      </c>
      <c r="JT31">
        <f>SUMPRODUCT(--('Данные 2st'!$Q$2:$Q$317=$A31),--ISNUMBER('Данные 2st'!$AX$2:$AX$317))</f>
        <v>8</v>
      </c>
      <c r="JU31">
        <f>SUMPRODUCT(--('Данные 2st'!$Q$2:$Q$317=$A31),--ISNUMBER('Данные 2st'!$AY$2:$AY$317))</f>
        <v>8</v>
      </c>
      <c r="JV31">
        <f>SUMPRODUCT(--('Данные 2st'!$Q$2:$Q$317=$A31),--ISNUMBER('Данные 2st'!$AZ$2:$AZ$317))</f>
        <v>8</v>
      </c>
      <c r="JW31">
        <f>SUMPRODUCT(--('Данные 2st'!$Q$2:$Q$317=$A31),--ISNUMBER('Данные 2st'!$BA$2:$BA$317))</f>
        <v>0</v>
      </c>
      <c r="JX31">
        <f>SUMPRODUCT(--('Данные 2st'!$Q$2:$Q$317=$A31),--ISNUMBER('Данные 2st'!$BB$2:$BB$317))</f>
        <v>0</v>
      </c>
      <c r="JY31">
        <f>SUMPRODUCT(--('Данные 2st'!$Q$2:$Q$317=$A31),--ISNUMBER('Данные 2st'!$BC$2:$BC$317))</f>
        <v>0</v>
      </c>
      <c r="JZ31">
        <f>SUMPRODUCT(--('Данные 2st'!$Q$2:$Q$317=$A31),--ISNUMBER('Данные 2st'!$BH$2:$BH$317))</f>
        <v>8</v>
      </c>
      <c r="KA31">
        <f>SUMPRODUCT(--('Данные 2st'!$Q$2:$Q$317=$A31),--ISNUMBER('Данные 2st'!$BI$2:$BI$317))</f>
        <v>8</v>
      </c>
      <c r="KB31">
        <f>SUMPRODUCT(--('Данные 2st'!$Q$2:$Q$317=$A31),--ISNUMBER('Данные 2st'!$BJ$2:$BJ$317))</f>
        <v>8</v>
      </c>
      <c r="KC31">
        <f>SUMPRODUCT(--('Данные 2st'!$Q$2:$Q$317=$A31),--ISNUMBER('Данные 2st'!$BK$2:$BK$317))</f>
        <v>8</v>
      </c>
      <c r="KD31">
        <f>SUMPRODUCT(--('Данные 2st'!$Q$2:$Q$317=$A31),--ISNUMBER('Данные 2st'!$BL$2:$BL$317))</f>
        <v>8</v>
      </c>
      <c r="KE31">
        <f>SUMPRODUCT(--('Данные 2st'!$Q$2:$Q$317=$A31),--ISNUMBER('Данные 2st'!$BM$2:$BM$317))</f>
        <v>8</v>
      </c>
      <c r="KF31">
        <f>SUMPRODUCT(--('Данные 2st'!$Q$2:$Q$317=$A31),--ISNUMBER('Данные 2st'!$BN$2:$BN$317))</f>
        <v>8</v>
      </c>
      <c r="KG31">
        <f>SUMPRODUCT(--('Данные 2st'!$Q$2:$Q$317=$A31),--ISNUMBER('Данные 2st'!$BO$2:$BO$317))</f>
        <v>4</v>
      </c>
      <c r="KH31">
        <f>SUMPRODUCT(--('Данные 2st'!$Q$2:$Q$317=$A31),--ISNUMBER('Данные 2st'!$BP$2:$BP$317))</f>
        <v>8</v>
      </c>
      <c r="KI31">
        <f>SUMPRODUCT(--('Данные 2st'!$Q$2:$Q$317=$A31),--ISNUMBER('Данные 2st'!$BR$2:$BR$317))</f>
        <v>8</v>
      </c>
      <c r="KJ31">
        <f>SUMPRODUCT(--('Данные 2st'!$Q$2:$Q$317=$A31),--ISNUMBER('Данные 2st'!$BS$2:$BS$317))</f>
        <v>8</v>
      </c>
      <c r="KK31">
        <f>SUMPRODUCT(--('Данные 2st'!$Q$2:$Q$317=$A31),--ISNUMBER('Данные 2st'!$BT$2:$BT$317))</f>
        <v>8</v>
      </c>
      <c r="KL31">
        <f>SUMPRODUCT(--('Данные 2st'!$Q$2:$Q$317=$A31),--ISNUMBER('Данные 2st'!$CV$2:$CV$317))</f>
        <v>8</v>
      </c>
      <c r="KM31">
        <f>SUMPRODUCT(--('Данные 2st'!$Q$2:$Q$317=$A31),--ISNUMBER('Данные 2st'!$CW$2:$CW$317))</f>
        <v>8</v>
      </c>
      <c r="KN31">
        <f>SUMPRODUCT(--('Данные 2st'!$Q$2:$Q$317=$A31),--ISNUMBER('Данные 2st'!$CX$2:$CX$317))</f>
        <v>8</v>
      </c>
      <c r="KO31">
        <f>SUMPRODUCT(--('Данные 2st'!$Q$2:$Q$317=$A31),--ISNUMBER('Данные 2st'!$CY$2:$CY$317))</f>
        <v>8</v>
      </c>
      <c r="KP31">
        <f>SUMPRODUCT(--('Данные 2st'!$Q$2:$Q$317=$A31),--ISNUMBER('Данные 2st'!$CZ$2:$CZ$317))</f>
        <v>8</v>
      </c>
      <c r="KQ31">
        <f>SUMPRODUCT(--('Данные 2st'!$Q$2:$Q$317=$A31),--ISNUMBER('Данные 2st'!$DA$2:$DA$317))</f>
        <v>8</v>
      </c>
      <c r="KR31">
        <f>SUMPRODUCT(--('Данные 2st'!$Q$2:$Q$317=$A31),--ISNUMBER('Данные 2st'!$DB$2:$DB$317))</f>
        <v>8</v>
      </c>
      <c r="KS31">
        <f>SUMPRODUCT(--('Данные 2st'!$Q$2:$Q$317=$A31),--ISNUMBER('Данные 2st'!$DC$2:$DC$317))</f>
        <v>8</v>
      </c>
      <c r="KT31">
        <f>SUMPRODUCT(--('Данные 2st'!$Q$2:$Q$317=$A31),--ISNUMBER('Данные 2st'!$DD$2:$DD$317))</f>
        <v>8</v>
      </c>
      <c r="KU31">
        <f>SUMPRODUCT(--('Данные 2st'!$Q$2:$Q$317=$A31),--ISNUMBER('Данные 2st'!$DE$2:$DE$317))</f>
        <v>8</v>
      </c>
      <c r="KV31">
        <f>SUMPRODUCT(--('Данные 2st'!$Q$2:$Q$317=$A31),--ISNUMBER('Данные 2st'!$DF$2:$DF$317))</f>
        <v>8</v>
      </c>
      <c r="KW31">
        <f>SUMPRODUCT(--('Данные 2st'!$Q$2:$Q$317=$A31),--ISNUMBER('Данные 2st'!$DG$2:$DG$317))</f>
        <v>8</v>
      </c>
      <c r="KX31">
        <f>SUMPRODUCT(--('Данные 2st'!$Q$2:$Q$317=$A31),--ISNUMBER('Данные 2st'!$DH$2:$DH$317))</f>
        <v>1</v>
      </c>
      <c r="KY31">
        <f>SUMPRODUCT(--('Данные 2st'!$Q$2:$Q$317=$A31),--ISNUMBER('Данные 2st'!$DI$2:$DI$317))</f>
        <v>0</v>
      </c>
      <c r="KZ31">
        <f>SUMPRODUCT(--('Данные 2st'!$Q$2:$Q$317=$A31),--ISNUMBER('Данные 2st'!$DK$2:$DK$317))</f>
        <v>8</v>
      </c>
      <c r="LA31">
        <f>SUMPRODUCT(--('Данные 2st'!$Q$2:$Q$317=$A31),--ISNUMBER('Данные 2st'!$DM$2:$DM$317))</f>
        <v>8</v>
      </c>
      <c r="LB31">
        <f>SUMPRODUCT(--('Данные 2st'!$Q$2:$Q$317=$A31),--ISNUMBER('Данные 2st'!$DN$2:$DN$317))</f>
        <v>8</v>
      </c>
      <c r="LC31">
        <f>SUMPRODUCT(--('Данные 2st'!$Q$2:$Q$317=$A31),--ISNUMBER('Данные 2st'!$DO$2:$DO$317))</f>
        <v>8</v>
      </c>
      <c r="LD31">
        <f>SUMPRODUCT(--('Данные 2st'!$Q$2:$Q$317=$A31),--ISNUMBER('Данные 2st'!$DP$2:$DP$317))</f>
        <v>8</v>
      </c>
      <c r="LE31">
        <f>SUMPRODUCT(--('Данные 2st'!$Q$2:$Q$317=$A31),--ISNUMBER('Данные 2st'!$DQ$2:$DQ$317))</f>
        <v>8</v>
      </c>
      <c r="LF31">
        <f>SUMPRODUCT(--('Данные 2st'!$Q$2:$Q$317=$A31),--ISNUMBER('Данные 2st'!$DS$2:$DS$317))</f>
        <v>8</v>
      </c>
      <c r="LG31">
        <f>SUMPRODUCT(--('Данные 2st'!$Q$2:$Q$317=$A31),--ISNUMBER('Данные 2st'!$DU$2:$DU$317))</f>
        <v>8</v>
      </c>
      <c r="LH31">
        <f>SUMPRODUCT(--('Данные 2st'!$Q$2:$Q$317=$A31),--ISNUMBER('Данные 2st'!$DV$2:$DV$317))</f>
        <v>8</v>
      </c>
      <c r="LI31">
        <f>SUMPRODUCT(--('Данные 2st'!$Q$2:$Q$317=$A31),--ISNUMBER('Данные 2st'!$DW$2:$DW$317))</f>
        <v>8</v>
      </c>
      <c r="LJ31">
        <f>SUMPRODUCT(--('Данные 2st'!$Q$2:$Q$317=$A31),--ISNUMBER('Данные 2st'!$DX$2:$DX$317))</f>
        <v>8</v>
      </c>
      <c r="LK31">
        <f>SUMPRODUCT(--('Данные 2st'!$Q$2:$Q$317=$A31),--ISNUMBER('Данные 2st'!$DY$2:$DY$317))</f>
        <v>8</v>
      </c>
      <c r="LL31">
        <f>SUMPRODUCT(--('Данные 2st'!$Q$2:$Q$317=$A31),--ISNUMBER('Данные 2st'!$EA$2:$EA$317))</f>
        <v>8</v>
      </c>
      <c r="LM31">
        <f>SUMPRODUCT(--('Данные 2st'!$Q$2:$Q$317=$A31),--ISNUMBER('Данные 2st'!$EC$2:$EC$317))</f>
        <v>8</v>
      </c>
      <c r="LN31">
        <f>SUMPRODUCT(--('Данные 2st'!$Q$2:$Q$317=$A31),--ISNUMBER('Данные 2st'!$ED$2:$ED$317))</f>
        <v>8</v>
      </c>
      <c r="LO31">
        <f>SUMPRODUCT(--('Данные 2st'!$Q$2:$Q$317=$A31),--ISNUMBER('Данные 2st'!$EE$2:$EE$317))</f>
        <v>8</v>
      </c>
      <c r="LP31">
        <f>SUMPRODUCT(--('Данные 2st'!$Q$2:$Q$317=$A31),--ISNUMBER('Данные 2st'!$EG$2:$EG$317))</f>
        <v>8</v>
      </c>
      <c r="LQ31">
        <f>SUMPRODUCT(--('Данные 2st'!$Q$2:$Q$317=$A31),--ISNUMBER('Данные 2st'!$EI$2:$EI$317))</f>
        <v>8</v>
      </c>
      <c r="LR31">
        <f>SUMPRODUCT(--('Данные 2st'!$Q$2:$Q$317=$A31),--ISNUMBER('Данные 2st'!$EJ$2:$EJ$317))</f>
        <v>8</v>
      </c>
      <c r="LS31">
        <f>SUMPRODUCT(--('Данные 2st'!$Q$2:$Q$317=$A31),--ISNUMBER('Данные 2st'!$EK$2:$EK$317))</f>
        <v>8</v>
      </c>
      <c r="LT31">
        <f>SUMPRODUCT(--('Данные 2st'!$Q$2:$Q$317=$A31),--ISNUMBER('Данные 2st'!$EM$2:$EM$317))</f>
        <v>8</v>
      </c>
      <c r="LU31">
        <f>SUMPRODUCT(--('Данные 2st'!$Q$2:$Q$317=$A31),--ISNUMBER('Данные 2st'!$EN$2:$EN$317))</f>
        <v>8</v>
      </c>
      <c r="LV31">
        <f>SUMPRODUCT(--('Данные 2st'!$Q$2:$Q$317=$A31),--ISNUMBER('Данные 2st'!$EO$2:$EO$317))</f>
        <v>8</v>
      </c>
      <c r="LW31">
        <f>SUMPRODUCT(--('Данные 2st'!$Q$2:$Q$317=$A31),--ISNUMBER('Данные 2st'!$EP$2:$EP$317))</f>
        <v>8</v>
      </c>
      <c r="LX31">
        <f>SUMPRODUCT(--('Данные 2st'!$Q$2:$Q$317=$A31),--ISNUMBER('Данные 2st'!$EQ$2:$EQ$317))</f>
        <v>8</v>
      </c>
      <c r="LY31">
        <f>SUMPRODUCT(--('Данные 2st'!$Q$2:$Q$317=$A31),--ISNUMBER('Данные 2st'!$ER$2:$ER$317))</f>
        <v>8</v>
      </c>
      <c r="LZ31">
        <f>SUMPRODUCT(--('Данные 2st'!$Q$2:$Q$317=$A31),--ISNUMBER('Данные 2st'!$ES$2:$ES$317))</f>
        <v>8</v>
      </c>
      <c r="MA31">
        <f>SUMPRODUCT(--('Данные 2st'!$Q$2:$Q$317=$A31),--ISNUMBER('Данные 2st'!$ET$2:$ET$317))</f>
        <v>8</v>
      </c>
      <c r="MB31">
        <f>SUMPRODUCT(--('Данные 2st'!$Q$2:$Q$317=$A31),--ISNUMBER('Данные 2st'!$EU$2:$EU$317))</f>
        <v>8</v>
      </c>
      <c r="MC31">
        <f>SUMPRODUCT(--('Данные 2st'!$Q$2:$Q$317=$A31),--ISNUMBER('Данные 2st'!$EV$2:$EV$317))</f>
        <v>8</v>
      </c>
      <c r="MD31">
        <f>SUMPRODUCT(--('Данные 2st'!$Q$2:$Q$317=$A31),--ISNUMBER('Данные 2st'!$EW$2:$EW$317))</f>
        <v>8</v>
      </c>
      <c r="ME31">
        <f>SUMPRODUCT(--('Данные 2st'!$Q$2:$Q$317=$A31),--ISNUMBER('Данные 2st'!$EY$2:$EY$317))</f>
        <v>8</v>
      </c>
      <c r="MF31">
        <f>SUMPRODUCT(--('Данные 2st'!$Q$2:$Q$317=$A31),--ISNUMBER('Данные 2st'!$FA$2:$FA$317))</f>
        <v>8</v>
      </c>
      <c r="MG31">
        <f>SUMPRODUCT(--('Данные 2st'!$Q$2:$Q$317=$A31),--ISNUMBER('Данные 2st'!$FB$2:$FB$317))</f>
        <v>8</v>
      </c>
      <c r="MH31">
        <f>SUMPRODUCT(--('Данные 2st'!$Q$2:$Q$317=$A31),--ISNUMBER('Данные 2st'!$FC$2:$FC$317))</f>
        <v>8</v>
      </c>
      <c r="MI31">
        <f>SUMPRODUCT(--('Данные 2st'!$Q$2:$Q$317=$A31),--ISNUMBER('Данные 2st'!$FD$2:$FD$317))</f>
        <v>8</v>
      </c>
      <c r="MJ31">
        <f>SUMPRODUCT(--('Данные 2st'!$Q$2:$Q$317=$A31),--ISNUMBER('Данные 2st'!$FE$2:$FE$317))</f>
        <v>8</v>
      </c>
      <c r="MK31">
        <f>SUMPRODUCT(--('Данные 2st'!$Q$2:$Q$317=$A31),--ISNUMBER('Данные 2st'!$FG$2:$FG$317))</f>
        <v>8</v>
      </c>
      <c r="ML31">
        <f>SUMPRODUCT(--('Данные 2st'!$Q$2:$Q$317=$A31),--ISNUMBER('Данные 2st'!$FI$2:$FI$317))</f>
        <v>8</v>
      </c>
      <c r="MM31">
        <f>SUMPRODUCT(--('Данные 2st'!$Q$2:$Q$317=$A31),--ISNUMBER('Данные 2st'!$FJ$2:$FJ$317))</f>
        <v>8</v>
      </c>
      <c r="MN31">
        <f>SUMPRODUCT(--('Данные 2st'!$Q$2:$Q$317=$A31),--ISNUMBER('Данные 2st'!$FK$2:$FK$317))</f>
        <v>8</v>
      </c>
      <c r="MO31">
        <f>SUMPRODUCT(--('Данные 2st'!$Q$2:$Q$317=$A31),--ISNUMBER('Данные 2st'!$FP$2:$FP$317))</f>
        <v>8</v>
      </c>
      <c r="MP31">
        <f>SUMPRODUCT(--('Данные 2st'!$Q$2:$Q$317=$A31),--ISNUMBER('Данные 2st'!$FQ$2:$FQ$317))</f>
        <v>8</v>
      </c>
      <c r="MQ31">
        <f>SUMPRODUCT(--('Данные 2st'!$Q$2:$Q$317=$A31),--ISNUMBER('Данные 2st'!$FS$2:$FS$317))</f>
        <v>8</v>
      </c>
      <c r="MR31">
        <f>SUMPRODUCT(--('Данные 2st'!$Q$2:$Q$317=$A31),--ISNUMBER('Данные 2st'!$FU$2:$FU$317))</f>
        <v>8</v>
      </c>
      <c r="MS31">
        <f>SUMPRODUCT(--('Данные 2st'!$Q$2:$Q$317=$A31),--ISNUMBER('Данные 2st'!$FV$2:$FV$317))</f>
        <v>8</v>
      </c>
      <c r="MT31">
        <f>SUMPRODUCT(--('Данные 2st'!$Q$2:$Q$317=$A31),--ISNUMBER('Данные 2st'!$FW$2:$FW$317))</f>
        <v>8</v>
      </c>
      <c r="MU31">
        <f>SUMPRODUCT(--('Данные 2st'!$Q$2:$Q$317=$A31),--ISNUMBER('Данные 2st'!$FY$2:$FY$317))</f>
        <v>7</v>
      </c>
      <c r="MV31">
        <f>SUMPRODUCT(--('Данные 2st'!$Q$2:$Q$317=$A31),--ISNUMBER('Данные 2st'!$GB$2:$GB$317))</f>
        <v>7</v>
      </c>
      <c r="MW31">
        <f>SUMPRODUCT(--('Данные 2st'!$Q$2:$Q$317=$A31),--ISNUMBER('Данные 2st'!$GC$2:$GC$317))</f>
        <v>7</v>
      </c>
      <c r="MX31">
        <f>SUMPRODUCT(--('Данные 2st'!$Q$2:$Q$317=$A31),--ISNUMBER('Данные 2st'!$GD$2:$GD$317))</f>
        <v>8</v>
      </c>
      <c r="MY31">
        <f>SUMPRODUCT(--('Данные 2st'!$Q$2:$Q$317=$A31),--ISNUMBER('Данные 2st'!$GN$2:$GN$317))</f>
        <v>0</v>
      </c>
      <c r="MZ31">
        <f>SUMPRODUCT(--('Данные 2st'!$Q$2:$Q$317=$A31),--ISNUMBER('Данные 2st'!$GQ$2:$GQ$317))</f>
        <v>8</v>
      </c>
      <c r="NA31">
        <f>SUMPRODUCT(--('Данные 2st'!$Q$2:$Q$317=$A31),--ISNUMBER('Данные 2st'!$GV$2:$GV$317))</f>
        <v>8</v>
      </c>
      <c r="NB31">
        <f>SUMPRODUCT(--('Данные 2st'!$Q$2:$Q$317=$A31),--ISNUMBER('Данные 2st'!$GW$2:$GW$317))</f>
        <v>8</v>
      </c>
      <c r="NC31">
        <f>SUMPRODUCT(--('Данные 2st'!$Q$2:$Q$317=$A31),--ISNUMBER('Данные 2st'!$GX$2:$GX$317))</f>
        <v>8</v>
      </c>
      <c r="ND31">
        <f>SUMPRODUCT(--('Данные 2st'!$Q$2:$Q$317=$A31),--ISNUMBER('Данные 2st'!$GY$2:$GY$317))</f>
        <v>8</v>
      </c>
      <c r="NE31">
        <f>SUMPRODUCT(--('Данные 2st'!$Q$2:$Q$317=$A31),--ISNUMBER('Данные 2st'!$GZ$2:$GZ$317))</f>
        <v>8</v>
      </c>
      <c r="NF31">
        <f>SUMPRODUCT(--('Данные 2st'!$Q$2:$Q$317=$A31),--ISNUMBER('Данные 2st'!$HA$2:$HA$317))</f>
        <v>8</v>
      </c>
      <c r="NG31">
        <f>SUMPRODUCT(--('Данные 2st'!$Q$2:$Q$317=$A31),--ISNUMBER('Данные 2st'!$HB$2:$HB$317))</f>
        <v>8</v>
      </c>
      <c r="NH31">
        <f>SUMPRODUCT(--('Данные 2st'!$Q$2:$Q$317=$A31),--ISNUMBER('Данные 2st'!$HC$2:$HC$317))</f>
        <v>8</v>
      </c>
      <c r="NI31">
        <f>SUMPRODUCT(--('Данные 2st'!$Q$2:$Q$317=$A31),--ISNUMBER('Данные 2st'!$HD$2:$HD$317))</f>
        <v>8</v>
      </c>
      <c r="NJ31">
        <f>SUMPRODUCT(--('Данные 2st'!$Q$2:$Q$317=$A31),--ISNUMBER('Данные 2st'!$HM$2:$HM$317))</f>
        <v>8</v>
      </c>
      <c r="NK31">
        <f>SUMPRODUCT(--('Данные 2st'!$Q$2:$Q$317=$A31),--ISNUMBER('Данные 2st'!$HR$2:$HR$317))</f>
        <v>8</v>
      </c>
      <c r="NL31">
        <f>SUMPRODUCT(--('Данные 2st'!$Q$2:$Q$317=$A31),--ISNUMBER('Данные 2st'!$HS$2:$HS$317))</f>
        <v>8</v>
      </c>
      <c r="NM31">
        <f>SUMPRODUCT(--('Данные 2st'!$Q$2:$Q$317=$A31),--ISNUMBER('Данные 2st'!$HT$2:$HT$317))</f>
        <v>8</v>
      </c>
      <c r="NN31">
        <f>SUMPRODUCT(--('Данные 2st'!$Q$2:$Q$317=$A31),--ISNUMBER('Данные 2st'!$HY$2:$HY$317))</f>
        <v>8</v>
      </c>
      <c r="NO31">
        <f>SUMPRODUCT(--('Данные 2st'!$Q$2:$Q$317=$A31),--ISNUMBER('Данные 2st'!$HZ$2:$HZ$317))</f>
        <v>8</v>
      </c>
      <c r="NP31">
        <f>SUMPRODUCT(--('Данные 2st'!$Q$2:$Q$317=$A31),--ISNUMBER('Данные 2st'!$IA$2:$IA$317))</f>
        <v>8</v>
      </c>
      <c r="NQ31">
        <f>SUMPRODUCT(--('Данные 2st'!$Q$2:$Q$317=$A31),--ISNUMBER('Данные 2st'!$IB$2:$IB$317))</f>
        <v>8</v>
      </c>
      <c r="NR31">
        <f>SUMPRODUCT(--('Данные 2st'!$Q$2:$Q$317=$A31),--ISNUMBER('Данные 2st'!$IC$2:$IC$317))</f>
        <v>0</v>
      </c>
      <c r="NS31">
        <f>SUMPRODUCT(--('Данные 2st'!$Q$2:$Q$317=$A31),--ISNUMBER('Данные 2st'!$ID$2:$ID$317))</f>
        <v>8</v>
      </c>
      <c r="NT31">
        <f>SUMPRODUCT(--('Данные 2st'!$Q$2:$Q$317=$A31),--ISNUMBER('Данные 2st'!$IE$2:$IE$317))</f>
        <v>8</v>
      </c>
      <c r="NU31">
        <f>SUMPRODUCT(--('Данные 2st'!$Q$2:$Q$317=$A31),--ISNUMBER('Данные 2st'!$IF$2:$IF$317))</f>
        <v>8</v>
      </c>
      <c r="NV31">
        <f>SUMPRODUCT(--('Данные 2st'!$Q$2:$Q$317=$A31),--ISNUMBER('Данные 2st'!$IG$2:$IG$317))</f>
        <v>8</v>
      </c>
      <c r="NW31">
        <f>SUMPRODUCT(--('Данные 2st'!$Q$2:$Q$317=$A31),--ISNUMBER('Данные 2st'!$IH$2:$IH$317))</f>
        <v>8</v>
      </c>
      <c r="NX31">
        <f>SUMPRODUCT(--('Данные 2st'!$Q$2:$Q$317=$A31),--ISNUMBER('Данные 2st'!$IJ$2:$IJ$317))</f>
        <v>8</v>
      </c>
      <c r="NY31">
        <f>SUMPRODUCT(--('Данные 2st'!$Q$2:$Q$317=$A31),--ISNUMBER('Данные 2st'!$IM$2:$IM$317))</f>
        <v>8</v>
      </c>
      <c r="NZ31">
        <f>SUMPRODUCT(--('Данные 2st'!$Q$2:$Q$317=$A31),--ISNUMBER('Данные 2st'!$IN$2:$IN$317))</f>
        <v>8</v>
      </c>
      <c r="OA31">
        <f>SUMPRODUCT(--('Данные 2st'!$Q$2:$Q$317=$A31),--ISNUMBER('Данные 2st'!$IO$2:$IO$317))</f>
        <v>8</v>
      </c>
      <c r="OB31">
        <f>SUMPRODUCT(--('Данные 2st'!$Q$2:$Q$317=$A31),--ISNUMBER('Данные 2st'!$IP$2:$IP$317))</f>
        <v>8</v>
      </c>
      <c r="OC31">
        <f>SUMPRODUCT(--('Данные 2st'!$Q$2:$Q$317=$A31),--ISNUMBER('Данные 2st'!$IQ$2:$IQ$317))</f>
        <v>8</v>
      </c>
      <c r="OD31">
        <f>SUMPRODUCT(--('Данные 2st'!$Q$2:$Q$317=$A31),--ISNUMBER('Данные 2st'!$IR$2:$IR$317))</f>
        <v>8</v>
      </c>
      <c r="OE31">
        <f>SUMPRODUCT(--('Данные 2st'!$Q$2:$Q$317=$A31),--ISNUMBER('Данные 2st'!$IT$2:$IT$317))</f>
        <v>8</v>
      </c>
      <c r="OF31">
        <f>SUMPRODUCT(--('Данные 2st'!$Q$2:$Q$317=$A31),--ISNUMBER('Данные 2st'!$IU$2:$IU$317))</f>
        <v>8</v>
      </c>
      <c r="OG31">
        <f>SUMPRODUCT(--('Данные 2st'!$Q$2:$Q$317=$A31),--ISNUMBER('Данные 2st'!$IV$2:$IV$317))</f>
        <v>8</v>
      </c>
      <c r="OH31">
        <f>SUMPRODUCT(--('Данные 2st'!$Q$2:$Q$317=$A31),--ISNUMBER('Данные 2st'!$IW$2:$IW$317))</f>
        <v>8</v>
      </c>
      <c r="OI31">
        <f>SUMPRODUCT(--('Данные 2st'!$Q$2:$Q$317=$A31),--ISNUMBER('Данные 2st'!$IX$2:$IX$317))</f>
        <v>8</v>
      </c>
      <c r="OJ31">
        <f>SUMPRODUCT(--('Данные 2st'!$Q$2:$Q$317=$A31),--ISNUMBER('Данные 2st'!$IY$2:$IY$317))</f>
        <v>8</v>
      </c>
      <c r="OK31">
        <f>SUMPRODUCT(--('Данные 2st'!$Q$2:$Q$317=$A31),--ISNUMBER('Данные 2st'!$IZ$2:$IZ$317))</f>
        <v>8</v>
      </c>
      <c r="OL31">
        <f>SUMPRODUCT(--('Данные 2st'!$Q$2:$Q$317=$A31),--ISNUMBER('Данные 2st'!$JA$2:$JA$317))</f>
        <v>8</v>
      </c>
      <c r="OM31">
        <f>SUMPRODUCT(--('Данные 2st'!$Q$2:$Q$317=$A31),--ISNUMBER('Данные 2st'!$JB$2:$JB$317))</f>
        <v>8</v>
      </c>
      <c r="ON31">
        <f>SUMPRODUCT(--('Данные 2st'!$Q$2:$Q$317=$A31),--ISNUMBER('Данные 2st'!$JC$2:$JC$317))</f>
        <v>8</v>
      </c>
      <c r="OO31">
        <f>SUMPRODUCT(--('Данные 2st'!$Q$2:$Q$317=$A31),--ISNUMBER('Данные 2st'!$JD$2:$JD$317))</f>
        <v>8</v>
      </c>
      <c r="OP31">
        <f>SUMPRODUCT(--('Данные 2st'!$Q$2:$Q$317=$A31),--ISNUMBER('Данные 2st'!$JE$2:$JE$317))</f>
        <v>8</v>
      </c>
      <c r="OQ31">
        <f>SUMPRODUCT(--('Данные 2st'!$Q$2:$Q$317=$A31),--ISNUMBER('Данные 2st'!$JF$2:$JF$317))</f>
        <v>8</v>
      </c>
      <c r="OR31">
        <f>SUMPRODUCT(--('Данные 2st'!$Q$2:$Q$317=$A31),--ISNUMBER('Данные 2st'!$JG$2:$JG$317))</f>
        <v>8</v>
      </c>
      <c r="OS31">
        <f>SUMPRODUCT(--('Данные 2st'!$Q$2:$Q$317=$A31),--ISNUMBER('Данные 2st'!$JH$2:$JH$317))</f>
        <v>8</v>
      </c>
      <c r="OT31">
        <f>SUMPRODUCT(--('Данные 2st'!$Q$2:$Q$317=$A31),--ISNUMBER('Данные 2st'!$JI$2:$JI$317))</f>
        <v>8</v>
      </c>
      <c r="OU31">
        <f>SUMPRODUCT(--('Данные 2st'!$Q$2:$Q$317=$A31),--ISNUMBER('Данные 2st'!$JJ$2:$JJ$317))</f>
        <v>8</v>
      </c>
      <c r="OV31">
        <f>SUMPRODUCT(--('Данные 2st'!$Q$2:$Q$317=$A31),--ISNUMBER('Данные 2st'!$JK$2:$JK$317))</f>
        <v>8</v>
      </c>
      <c r="OW31">
        <f>SUMPRODUCT(--('Данные 2st'!$Q$2:$Q$317=$A31),--ISNUMBER('Данные 2st'!$JL$2:$JL$317))</f>
        <v>8</v>
      </c>
      <c r="OX31">
        <f>SUMPRODUCT(--('Данные 2st'!$Q$2:$Q$317=$A31),--ISNUMBER('Данные 2st'!$JM$2:$JM$317))</f>
        <v>8</v>
      </c>
      <c r="OY31">
        <f>SUMPRODUCT(--('Данные 2st'!$Q$2:$Q$317=$A31),--ISNUMBER('Данные 2st'!$JP$2:$JP$317))</f>
        <v>8</v>
      </c>
      <c r="OZ31">
        <f>SUMPRODUCT(--('Данные 2st'!$Q$2:$Q$317=$A31),--ISNUMBER('Данные 2st'!$JQ$2:$JQ$317))</f>
        <v>8</v>
      </c>
      <c r="PA31">
        <f>SUMPRODUCT(--('Данные 2st'!$Q$2:$Q$317=$A31),--ISNUMBER('Данные 2st'!$JR$2:$JR$317))</f>
        <v>8</v>
      </c>
      <c r="PB31">
        <f>SUMPRODUCT(--('Данные 2st'!$Q$2:$Q$317=$A31),--ISNUMBER('Данные 2st'!$JS$2:$JS$317))</f>
        <v>8</v>
      </c>
      <c r="PC31">
        <f>SUMPRODUCT(--('Данные 2st'!$Q$2:$Q$317=$A31),--ISNUMBER('Данные 2st'!$JT$2:$JT$317))</f>
        <v>8</v>
      </c>
      <c r="PD31">
        <f>SUMPRODUCT(--('Данные 2st'!$Q$2:$Q$317=$A31),--ISNUMBER('Данные 2st'!$JU$2:$JU$317))</f>
        <v>8</v>
      </c>
      <c r="PE31">
        <f>SUMPRODUCT(--('Данные 2st'!$Q$2:$Q$317=$A31),--ISNUMBER('Данные 2st'!$JV$2:$JV$317))</f>
        <v>8</v>
      </c>
      <c r="PF31">
        <f>SUMPRODUCT(--('Данные 2st'!$Q$2:$Q$317=$A31),--ISNUMBER('Данные 2st'!$JW$2:$JW$317))</f>
        <v>8</v>
      </c>
      <c r="PG31">
        <f>SUMPRODUCT(--('Данные 2st'!$Q$2:$Q$317=$A31),--ISNUMBER('Данные 2st'!$KF$2:$KF$317))</f>
        <v>8</v>
      </c>
      <c r="PH31">
        <f>SUMPRODUCT(--('Данные 2st'!$Q$2:$Q$317=$A31),--ISNUMBER('Данные 2st'!$KG$2:$KG$317))</f>
        <v>8</v>
      </c>
      <c r="PI31">
        <f>SUMPRODUCT(--('Данные 2st'!$Q$2:$Q$317=$A31),--ISNUMBER('Данные 2st'!$KM$2:$KM$317))</f>
        <v>8</v>
      </c>
      <c r="PJ31">
        <f>SUMPRODUCT(--('Данные 2st'!$Q$2:$Q$317=$A31),--ISNUMBER('Данные 2st'!$KN$2:$KN$317))</f>
        <v>8</v>
      </c>
      <c r="PK31">
        <f>SUMPRODUCT(--('Данные 2st'!$Q$2:$Q$317=$A31),--ISNUMBER('Данные 2st'!$KO$2:$KO$317))</f>
        <v>8</v>
      </c>
      <c r="PL31">
        <f>SUMPRODUCT(--('Данные 2st'!$Q$2:$Q$317=$A31),--ISNUMBER('Данные 2st'!$KP$2:$KP$317))</f>
        <v>8</v>
      </c>
      <c r="PM31">
        <f>SUMPRODUCT(--('Данные 2st'!$Q$2:$Q$317=$A31),--ISNUMBER('Данные 2st'!$KQ$2:$KQ$317))</f>
        <v>8</v>
      </c>
      <c r="PN31">
        <f>SUMPRODUCT(--('Данные 2st'!$Q$2:$Q$317=$A31),--ISNUMBER('Данные 2st'!$KR$2:$KR$317))</f>
        <v>8</v>
      </c>
      <c r="PO31">
        <f>SUMPRODUCT(--('Данные 2st'!$Q$2:$Q$317=$A31),--ISNUMBER('Данные 2st'!$KS$2:$KS$317))</f>
        <v>8</v>
      </c>
      <c r="PP31">
        <f>SUMPRODUCT(--('Данные 2st'!$Q$2:$Q$317=$A31),--ISNUMBER('Данные 2st'!$KT$2:$KT$317))</f>
        <v>8</v>
      </c>
      <c r="PQ31">
        <f>SUMPRODUCT(--('Данные 2st'!$Q$2:$Q$317=$A31),--ISNUMBER('Данные 2st'!$KU$2:$KU$317))</f>
        <v>8</v>
      </c>
      <c r="PR31">
        <f>SUMPRODUCT(--('Данные 2st'!$Q$2:$Q$317=$A31),--ISNUMBER('Данные 2st'!$KV$2:$KV$317))</f>
        <v>8</v>
      </c>
      <c r="PS31">
        <f>SUMPRODUCT(--('Данные 2st'!$Q$2:$Q$317=$A31),--ISNUMBER('Данные 2st'!$KW$2:$KW$317))</f>
        <v>8</v>
      </c>
      <c r="PT31">
        <f>SUMPRODUCT(--('Данные 2st'!$Q$2:$Q$317=$A31),--ISNUMBER('Данные 2st'!$KX$2:$KX$317))</f>
        <v>8</v>
      </c>
      <c r="PU31">
        <f>SUMPRODUCT(--('Данные 2st'!$Q$2:$Q$317=$A31),--ISNUMBER('Данные 2st'!$KY$2:$KY$317))</f>
        <v>8</v>
      </c>
      <c r="PV31">
        <f>SUMPRODUCT(--('Данные 2st'!$Q$2:$Q$317=$A31),--ISNUMBER('Данные 2st'!$KZ$2:$KZ$317))</f>
        <v>8</v>
      </c>
      <c r="PW31">
        <f>SUMPRODUCT(--('Данные 2st'!$Q$2:$Q$317=$A31),--ISNUMBER('Данные 2st'!$LA$2:$LA$317))</f>
        <v>8</v>
      </c>
      <c r="PX31">
        <f>SUMPRODUCT(--('Данные 2st'!$Q$2:$Q$317=$A31),--ISNUMBER('Данные 2st'!$LB$2:$LB$317))</f>
        <v>8</v>
      </c>
      <c r="PY31">
        <f>SUMPRODUCT(--('Данные 2st'!$Q$2:$Q$317=$A31),--ISNUMBER('Данные 2st'!$LC$2:$LC$317))</f>
        <v>8</v>
      </c>
      <c r="PZ31">
        <f>SUMPRODUCT(--('Данные 2st'!$Q$2:$Q$317=$A31),--ISNUMBER('Данные 2st'!$LD$2:$LD$317))</f>
        <v>8</v>
      </c>
      <c r="QA31">
        <f>SUMPRODUCT(--('Данные 2st'!$Q$2:$Q$317=$A31),--ISNUMBER('Данные 2st'!$LE$2:$LE$317))</f>
        <v>8</v>
      </c>
      <c r="QB31">
        <f>SUMPRODUCT(--('Данные 2st'!$Q$2:$Q$317=$A31),--ISNUMBER('Данные 2st'!$LF$2:$LF$317))</f>
        <v>8</v>
      </c>
      <c r="QC31">
        <f>SUMPRODUCT(--('Данные 2st'!$Q$2:$Q$317=$A31),--ISNUMBER('Данные 2st'!$LG$2:$LG$317))</f>
        <v>8</v>
      </c>
      <c r="QD31">
        <f>SUMPRODUCT(--('Данные 2st'!$Q$2:$Q$317=$A31),--ISNUMBER('Данные 2st'!$LH$2:$LH$317))</f>
        <v>8</v>
      </c>
      <c r="QE31">
        <f>SUMPRODUCT(--('Данные 2st'!$Q$2:$Q$317=$A31),--ISNUMBER('Данные 2st'!$LJ$2:$LJ$317))</f>
        <v>8</v>
      </c>
      <c r="QF31">
        <f>SUMPRODUCT(--('Данные 2st'!$Q$2:$Q$317=$A31),--ISNUMBER('Данные 2st'!$LK$2:$LK$317))</f>
        <v>8</v>
      </c>
      <c r="QG31">
        <f>SUMPRODUCT(--('Данные 2st'!$Q$2:$Q$317=$A31),--ISNUMBER('Данные 2st'!$LL$2:$LL$317))</f>
        <v>8</v>
      </c>
      <c r="QH31">
        <f>SUMPRODUCT(--('Данные 2st'!$Q$2:$Q$317=$A31),--ISNUMBER('Данные 2st'!$LM$2:$LM$317))</f>
        <v>8</v>
      </c>
      <c r="QI31">
        <f>SUMPRODUCT(--('Данные 2st'!$Q$2:$Q$317=$A31),--ISNUMBER('Данные 2st'!$LN$2:$LN$317))</f>
        <v>8</v>
      </c>
      <c r="QJ31">
        <f>SUMPRODUCT(--('Данные 2st'!$Q$2:$Q$317=$A31),--ISNUMBER('Данные 2st'!$LO$2:$LO$317))</f>
        <v>8</v>
      </c>
      <c r="QK31">
        <f>SUMPRODUCT(--('Данные 2st'!$Q$2:$Q$317=$A31),--ISNUMBER('Данные 2st'!$LP$2:$LP$317))</f>
        <v>8</v>
      </c>
      <c r="QL31">
        <f>SUMPRODUCT(--('Данные 2st'!$Q$2:$Q$317=$A31),--ISNUMBER('Данные 2st'!$LQ$2:$LQ$317))</f>
        <v>8</v>
      </c>
      <c r="QM31">
        <f>SUMPRODUCT(--('Данные 2st'!$Q$2:$Q$317=$A31),--ISNUMBER('Данные 2st'!$LW$2:$LW$317))</f>
        <v>8</v>
      </c>
      <c r="QN31">
        <f>SUMPRODUCT(--('Данные 2st'!$Q$2:$Q$317=$A31),--ISNUMBER('Данные 2st'!$LX$2:$LX$317))</f>
        <v>8</v>
      </c>
      <c r="QO31">
        <f>SUMPRODUCT(--('Данные 2st'!$Q$2:$Q$317=$A31),--ISNUMBER('Данные 2st'!$LY$2:$LY$317))</f>
        <v>8</v>
      </c>
      <c r="QP31">
        <f>SUMPRODUCT(--('Данные 2st'!$Q$2:$Q$317=$A31),--ISNUMBER('Данные 2st'!$LZ$2:$LZ$317))</f>
        <v>8</v>
      </c>
      <c r="QQ31">
        <f>SUMPRODUCT(--('Данные 2st'!$Q$2:$Q$317=$A31),--ISNUMBER('Данные 2st'!$MB$2:$MB$317))</f>
        <v>8</v>
      </c>
      <c r="QR31">
        <f>SUMPRODUCT(--('Данные 2st'!$Q$2:$Q$317=$A31),--ISNUMBER('Данные 2st'!$MG$2:$MG$317))</f>
        <v>6</v>
      </c>
      <c r="QS31">
        <f>SUMPRODUCT(--('Данные 2st'!$Q$2:$Q$317=$A31),--ISNUMBER('Данные 2st'!$MH$2:$MH$317))</f>
        <v>6</v>
      </c>
      <c r="QT31">
        <f>SUMPRODUCT(--('Данные 2st'!$Q$2:$Q$317=$A31),--ISNUMBER('Данные 2st'!$MI$2:$MI$317))</f>
        <v>8</v>
      </c>
      <c r="QU31">
        <f>SUMPRODUCT(--('Данные 2st'!$Q$2:$Q$317=$A31),--ISNUMBER('Данные 2st'!$MJ$2:$MJ$317))</f>
        <v>8</v>
      </c>
      <c r="QV31">
        <f>SUMPRODUCT(--('Данные 2st'!$Q$2:$Q$317=$A31),--ISNUMBER('Данные 2st'!$MK$2:$MK$317))</f>
        <v>6</v>
      </c>
      <c r="QW31">
        <f>SUMPRODUCT(--('Данные 2st'!$Q$2:$Q$317=$A31),--ISNUMBER('Данные 2st'!$MM$2:$MM$317))</f>
        <v>8</v>
      </c>
      <c r="QX31">
        <f>SUMPRODUCT(--('Данные 2st'!$Q$2:$Q$317=$A31),--ISNUMBER('Данные 2st'!$MQ$2:$MQ$317))</f>
        <v>0</v>
      </c>
      <c r="QY31">
        <f>SUMPRODUCT(--('Данные 2st'!$Q$2:$Q$317=$A31),--ISNUMBER('Данные 2st'!$MR$2:$MR$317))</f>
        <v>0</v>
      </c>
      <c r="QZ31">
        <f>SUMPRODUCT(--('Данные 2st'!$Q$2:$Q$317=$A31),--ISNUMBER('Данные 2st'!$MS$2:$MS$317))</f>
        <v>0</v>
      </c>
      <c r="RA31">
        <f>SUMPRODUCT(--('Данные 2st'!$Q$2:$Q$317=$A31),--ISNUMBER('Данные 2st'!$MT$2:$MT$317))</f>
        <v>0</v>
      </c>
      <c r="RB31">
        <f>SUMPRODUCT(--('Данные 2st'!$Q$2:$Q$317=$A31),--ISNUMBER('Данные 2st'!$MU$2:$MU$317))</f>
        <v>0</v>
      </c>
      <c r="RC31">
        <f>SUMPRODUCT(--('Данные 2st'!$Q$2:$Q$317=$A31),--ISNUMBER('Данные 2st'!$MV$2:$MV$317))</f>
        <v>0</v>
      </c>
      <c r="RD31">
        <f>SUMPRODUCT(--('Данные 2st'!$Q$2:$Q$317=$A31),--ISNUMBER('Данные 2st'!$MW$2:$MW$317))</f>
        <v>0</v>
      </c>
      <c r="RE31">
        <f>SUMPRODUCT(--('Данные 2st'!$Q$2:$Q$317=$A31),--ISNUMBER('Данные 2st'!$MX$2:$MX$317))</f>
        <v>0</v>
      </c>
      <c r="RF31">
        <f>SUMPRODUCT(--('Данные 2st'!$Q$2:$Q$317=$A31),--ISNUMBER('Данные 2st'!$MY$2:$MY$317))</f>
        <v>0</v>
      </c>
      <c r="RG31">
        <f>SUMPRODUCT(--('Данные 2st'!$Q$2:$Q$317=$A31),--ISNUMBER('Данные 2st'!$MZ$2:$MZ$317))</f>
        <v>0</v>
      </c>
      <c r="RH31">
        <f>SUMPRODUCT(--('Данные 2st'!$Q$2:$Q$317=$A31),--ISNUMBER('Данные 2st'!$NA$2:$NA$317))</f>
        <v>0</v>
      </c>
      <c r="RI31">
        <f>SUMPRODUCT(--('Данные 2st'!$Q$2:$Q$317=$A31),--ISNUMBER('Данные 2st'!$NB$2:$NB$317))</f>
        <v>0</v>
      </c>
      <c r="RJ31">
        <f>SUMPRODUCT(--('Данные 2st'!$Q$2:$Q$317=$A31),--ISNUMBER('Данные 2st'!$NC$2:$NC$317))</f>
        <v>0</v>
      </c>
      <c r="RK31">
        <f>SUMPRODUCT(--('Данные 2st'!$Q$2:$Q$317=$A31),--ISNUMBER('Данные 2st'!$ND$2:$ND$317))</f>
        <v>0</v>
      </c>
      <c r="RL31">
        <f>SUMPRODUCT(--('Данные 2st'!$Q$2:$Q$317=$A31),--ISNUMBER('Данные 2st'!$NE$2:$NE$317))</f>
        <v>0</v>
      </c>
      <c r="RM31">
        <f>SUMPRODUCT(--('Данные 2st'!$Q$2:$Q$317=$A31),--ISNUMBER('Данные 2st'!$NF$2:$NF$317))</f>
        <v>0</v>
      </c>
      <c r="RN31">
        <f>SUMPRODUCT(--('Данные 2st'!$Q$2:$Q$317=$A31),--ISNUMBER('Данные 2st'!$NG$2:$NG$317))</f>
        <v>0</v>
      </c>
      <c r="RO31">
        <f>SUMPRODUCT(--('Данные 2st'!$Q$2:$Q$317=$A31),--ISNUMBER('Данные 2st'!$NH$2:$NH$317))</f>
        <v>0</v>
      </c>
      <c r="RP31">
        <f>SUMPRODUCT(--('Данные 2st'!$Q$2:$Q$317=$A31),--ISNUMBER('Данные 2st'!$NJ$2:$NJ$317))</f>
        <v>0</v>
      </c>
      <c r="RQ31">
        <f>SUMPRODUCT(--('Данные 2st'!$Q$2:$Q$317=$A31),--ISNUMBER('Данные 2st'!$NK$2:$NK$317))</f>
        <v>0</v>
      </c>
      <c r="RR31">
        <f>SUMPRODUCT(--('Данные 2st'!$Q$2:$Q$317=$A31),--ISNUMBER('Данные 2st'!$NM$2:$NM$317))</f>
        <v>0</v>
      </c>
      <c r="RS31">
        <f>SUMPRODUCT(--('Данные 2st'!$Q$2:$Q$317=$A31),--ISNUMBER('Данные 2st'!$NN$2:$NN$317))</f>
        <v>0</v>
      </c>
      <c r="RT31">
        <f>SUMPRODUCT(--('Данные 2st'!$Q$2:$Q$317=$A31),--ISNUMBER('Данные 2st'!$NO$2:$NO$317))</f>
        <v>0</v>
      </c>
      <c r="RU31">
        <f>SUMPRODUCT(--('Данные 2st'!$Q$2:$Q$317=$A31),--ISNUMBER('Данные 2st'!$NP$2:$NP$317))</f>
        <v>0</v>
      </c>
      <c r="RV31">
        <f>SUMPRODUCT(--('Данные 2st'!$Q$2:$Q$317=$A31),--ISNUMBER('Данные 2st'!$NQ$2:$NQ$317))</f>
        <v>0</v>
      </c>
      <c r="RW31">
        <f>SUMPRODUCT(--('Данные 2st'!$Q$2:$Q$317=$A31),--ISNUMBER('Данные 2st'!$NR$2:$NR$317))</f>
        <v>0</v>
      </c>
      <c r="RX31">
        <f>SUMPRODUCT(--('Данные 2st'!$Q$2:$Q$317=$A31),--ISNUMBER('Данные 2st'!$NS$2:$NS$317))</f>
        <v>0</v>
      </c>
      <c r="RY31">
        <f>SUMPRODUCT(--('Данные 2st'!$Q$2:$Q$317=$A31),--ISNUMBER('Данные 2st'!$NT$2:$NT$317))</f>
        <v>0</v>
      </c>
      <c r="RZ31">
        <f>SUMPRODUCT(--('Данные 2st'!$Q$2:$Q$317=$A31),--ISNUMBER('Данные 2st'!$OK$2:$OK$317))</f>
        <v>8</v>
      </c>
      <c r="SA31">
        <f>SUMPRODUCT(--('Данные 2st'!$Q$2:$Q$317=$A31),--ISNUMBER('Данные 2st'!$OL$2:$OL$317))</f>
        <v>8</v>
      </c>
      <c r="SB31">
        <f>SUMPRODUCT(--('Данные 2st'!$Q$2:$Q$317=$A31),--ISNUMBER('Данные 2st'!$ON$2:$ON$317))</f>
        <v>8</v>
      </c>
      <c r="SC31">
        <f>SUMPRODUCT(--('Данные 2st'!$Q$2:$Q$317=$A31),--ISNUMBER('Данные 2st'!$OO$2:$OO$317))</f>
        <v>8</v>
      </c>
      <c r="SD31">
        <f>SUMPRODUCT(--('Данные 2st'!$Q$2:$Q$317=$A31),--ISNUMBER('Данные 2st'!$OP$2:$OP$317))</f>
        <v>8</v>
      </c>
      <c r="SE31">
        <f>SUMPRODUCT(--('Данные 2st'!$Q$2:$Q$317=$A31),--ISNUMBER('Данные 2st'!$OQ$2:$OQ$317))</f>
        <v>8</v>
      </c>
      <c r="SF31">
        <f>SUMPRODUCT(--('Данные 2st'!$Q$2:$Q$317=$A31),--ISNUMBER('Данные 2st'!$OS$2:$OS$317))</f>
        <v>8</v>
      </c>
      <c r="SG31">
        <f>SUMPRODUCT(--('Данные 2st'!$Q$2:$Q$317=$A31),--ISNUMBER('Данные 2st'!$OT$2:$OT$317))</f>
        <v>8</v>
      </c>
      <c r="SH31">
        <f>SUMPRODUCT(--('Данные 2st'!$Q$2:$Q$317=$A31),--ISNUMBER('Данные 2st'!$OU$2:$OU$317))</f>
        <v>8</v>
      </c>
      <c r="SI31">
        <f>SUMPRODUCT(--('Данные 2st'!$Q$2:$Q$317=$A31),--ISNUMBER('Данные 2st'!$OV$2:$OV$317))</f>
        <v>8</v>
      </c>
      <c r="SJ31">
        <f>SUMPRODUCT(--('Данные 2st'!$Q$2:$Q$317=$A31),--ISNUMBER('Данные 2st'!$OX$2:$OX$317))</f>
        <v>8</v>
      </c>
      <c r="SK31">
        <f>SUMPRODUCT(--('Данные 2st'!$Q$2:$Q$317=$A31),--ISNUMBER('Данные 2st'!$OY$2:$OY$317))</f>
        <v>8</v>
      </c>
      <c r="SL31">
        <f>SUMPRODUCT(--('Данные 2st'!$Q$2:$Q$317=$A31),--ISNUMBER('Данные 2st'!$OZ$2:$OZ$317))</f>
        <v>8</v>
      </c>
      <c r="SM31">
        <f>SUMPRODUCT(--('Данные 2st'!$Q$2:$Q$317=$A31),--ISNUMBER('Данные 2st'!$PA$2:$PA$317))</f>
        <v>8</v>
      </c>
      <c r="SN31">
        <f>SUMPRODUCT(--('Данные 2st'!$Q$2:$Q$317=$A31),--ISNUMBER('Данные 2st'!$PC$2:$PC$317))</f>
        <v>8</v>
      </c>
      <c r="SO31">
        <f>SUMPRODUCT(--('Данные 2st'!$Q$2:$Q$317=$A31),--ISNUMBER('Данные 2st'!$PD$2:$PD$317))</f>
        <v>8</v>
      </c>
      <c r="SP31">
        <f>SUMPRODUCT(--('Данные 2st'!$Q$2:$Q$317=$A31),--ISNUMBER('Данные 2st'!$PF$2:$PF$317))</f>
        <v>8</v>
      </c>
      <c r="SQ31">
        <f>SUMPRODUCT(--('Данные 2st'!$Q$2:$Q$317=$A31),--ISNUMBER('Данные 2st'!$PG$2:$PG$317))</f>
        <v>8</v>
      </c>
      <c r="SR31">
        <f>SUMPRODUCT(--('Данные 2st'!$Q$2:$Q$317=$A31),--ISNUMBER('Данные 2st'!$PH$2:$PH$317))</f>
        <v>8</v>
      </c>
      <c r="SS31">
        <f>SUMPRODUCT(--('Данные 2st'!$Q$2:$Q$317=$A31),--ISNUMBER('Данные 2st'!$PI$2:$PI$317))</f>
        <v>8</v>
      </c>
      <c r="ST31">
        <f>SUMPRODUCT(--('Данные 2st'!$Q$2:$Q$317=$A31),--ISNUMBER('Данные 2st'!$PJ$2:$PJ$317))</f>
        <v>8</v>
      </c>
      <c r="SU31">
        <f>SUMPRODUCT(--('Данные 2st'!$Q$2:$Q$317=$A31),--ISNUMBER('Данные 2st'!$PK$2:$PK$317))</f>
        <v>5</v>
      </c>
      <c r="SV31">
        <f>SUMPRODUCT(--('Данные 2st'!$Q$2:$Q$317=$A31),--ISNUMBER('Данные 2st'!$PL$2:$PL$317))</f>
        <v>8</v>
      </c>
      <c r="SW31">
        <f>SUMPRODUCT(--('Данные 2st'!$Q$2:$Q$317=$A31),--ISNUMBER('Данные 2st'!$PM$2:$PM$317))</f>
        <v>8</v>
      </c>
      <c r="SX31">
        <f>SUMPRODUCT(--('Данные 2st'!$Q$2:$Q$317=$A31),--ISNUMBER('Данные 2st'!$PN$2:$PN$317))</f>
        <v>8</v>
      </c>
      <c r="SY31">
        <f>SUMPRODUCT(--('Данные 2st'!$Q$2:$Q$317=$A31),--ISNUMBER('Данные 2st'!$PO$2:$PO$317))</f>
        <v>7</v>
      </c>
      <c r="SZ31">
        <f>SUMPRODUCT(--('Данные 2st'!$Q$2:$Q$317=$A31),--ISNUMBER('Данные 2st'!$PP$2:$PP$317))</f>
        <v>8</v>
      </c>
      <c r="TA31">
        <f>SUMPRODUCT(--('Данные 2st'!$Q$2:$Q$317=$A31),--ISNUMBER('Данные 2st'!$PQ$2:$PQ$317))</f>
        <v>8</v>
      </c>
      <c r="TB31">
        <f>SUMPRODUCT(--('Данные 2st'!$Q$2:$Q$317=$A31),--ISNUMBER('Данные 2st'!$PR$2:$PR$317))</f>
        <v>8</v>
      </c>
      <c r="TC31">
        <f>SUMPRODUCT(--('Данные 2st'!$Q$2:$Q$317=$A31),--ISNUMBER('Данные 2st'!$PS$2:$PS$317))</f>
        <v>8</v>
      </c>
      <c r="TD31">
        <f>SUMPRODUCT(--('Данные 2st'!$Q$2:$Q$317=$A31),--ISNUMBER('Данные 2st'!$PT$2:$PT$317))</f>
        <v>8</v>
      </c>
      <c r="TE31">
        <f>SUMPRODUCT(--('Данные 2st'!$Q$2:$Q$317=$A31),--ISNUMBER('Данные 2st'!$PU$2:$PU$317))</f>
        <v>8</v>
      </c>
      <c r="TF31">
        <f>SUMPRODUCT(--('Данные 2st'!$Q$2:$Q$317=$A31),--ISNUMBER('Данные 2st'!$PX$2:$PX$317))</f>
        <v>8</v>
      </c>
      <c r="TG31">
        <f>SUMPRODUCT(--('Данные 2st'!$Q$2:$Q$317=$A31),--ISNUMBER('Данные 2st'!$PY$2:$PY$317))</f>
        <v>8</v>
      </c>
      <c r="TH31">
        <f>SUMPRODUCT(--('Данные 2st'!$Q$2:$Q$317=$A31),--ISNUMBER('Данные 2st'!$PZ$2:$PZ$317))</f>
        <v>8</v>
      </c>
      <c r="TI31">
        <f>SUMPRODUCT(--('Данные 2st'!$Q$2:$Q$317=$A31),--ISNUMBER('Данные 2st'!$QA$2:$QA$317))</f>
        <v>8</v>
      </c>
      <c r="TJ31">
        <f>SUMPRODUCT(--('Данные 2st'!$Q$2:$Q$317=$A31),--ISNUMBER('Данные 2st'!$QB$2:$QB$317))</f>
        <v>8</v>
      </c>
      <c r="TK31">
        <f>SUMPRODUCT(--('Данные 2st'!$Q$2:$Q$317=$A31),--ISNUMBER('Данные 2st'!$QC$2:$QC$317))</f>
        <v>8</v>
      </c>
      <c r="TL31">
        <f>SUMPRODUCT(--('Данные 2st'!$Q$2:$Q$317=$A31),--ISNUMBER('Данные 2st'!$QD$2:$QD$317))</f>
        <v>8</v>
      </c>
      <c r="TM31">
        <f>SUMPRODUCT(--('Данные 2st'!$Q$2:$Q$317=$A31),--ISNUMBER('Данные 2st'!$QE$2:$QE$317))</f>
        <v>8</v>
      </c>
      <c r="TN31">
        <f>SUMPRODUCT(--('Данные 2st'!$Q$2:$Q$317=$A31),--ISNUMBER('Данные 2st'!$QF$2:$QF$317))</f>
        <v>8</v>
      </c>
      <c r="TO31">
        <f>SUMPRODUCT(--('Данные 2st'!$Q$2:$Q$317=$A31),--ISNUMBER('Данные 2st'!$QG$2:$QG$317))</f>
        <v>8</v>
      </c>
      <c r="TP31">
        <f>SUMPRODUCT(--('Данные 2st'!$Q$2:$Q$317=$A31),--ISNUMBER('Данные 2st'!$QH$2:$QH$317))</f>
        <v>8</v>
      </c>
      <c r="TQ31">
        <f>SUMPRODUCT(--('Данные 2st'!$Q$2:$Q$317=$A31),--ISNUMBER('Данные 2st'!$QI$2:$QI$317))</f>
        <v>8</v>
      </c>
      <c r="TR31">
        <f>SUMPRODUCT(--('Данные 2st'!$Q$2:$Q$317=$A31),--ISNUMBER('Данные 2st'!$QJ$2:$QJ$317))</f>
        <v>8</v>
      </c>
      <c r="TS31">
        <f>SUMPRODUCT(--('Данные 2st'!$Q$2:$Q$317=$A31),--ISNUMBER('Данные 2st'!$QK$2:$QK$317))</f>
        <v>8</v>
      </c>
      <c r="TT31">
        <f>SUMPRODUCT(--('Данные 2st'!$Q$2:$Q$317=$A31),--ISNUMBER('Данные 2st'!$QL$2:$QL$317))</f>
        <v>8</v>
      </c>
      <c r="TU31">
        <f>SUMPRODUCT(--('Данные 2st'!$Q$2:$Q$317=$A31),--ISNUMBER('Данные 2st'!$QM$2:$QM$317))</f>
        <v>8</v>
      </c>
      <c r="TV31">
        <f>SUMPRODUCT(--('Данные 2st'!$Q$2:$Q$317=$A31),--ISNUMBER('Данные 2st'!$QN$2:$QN$317))</f>
        <v>8</v>
      </c>
      <c r="TW31">
        <f>SUMPRODUCT(--('Данные 2st'!$Q$2:$Q$317=$A31),--ISNUMBER('Данные 2st'!$QQ$2:$QQ$317))</f>
        <v>8</v>
      </c>
      <c r="TX31">
        <f>SUMPRODUCT(--('Данные 2st'!$Q$2:$Q$317=$A31),--ISNUMBER('Данные 2st'!$QS$2:$QS$317))</f>
        <v>8</v>
      </c>
      <c r="TY31">
        <f>SUMPRODUCT(--('Данные 2st'!$Q$2:$Q$317=$A31),--ISNUMBER('Данные 2st'!$QT$2:$QT$317))</f>
        <v>8</v>
      </c>
    </row>
    <row r="32" spans="1:545" ht="32" customHeight="1">
      <c r="A32" s="11" t="str">
        <f>'По размерам'!A32</f>
        <v>225/45R18</v>
      </c>
      <c r="G32">
        <f>SUMPRODUCT(--('Данные 1st'!$S$2:$S$317=$A32),--ISNUMBER('Данные 1st'!$AE$2:$AE$317))</f>
        <v>5</v>
      </c>
      <c r="H32">
        <f>SUMPRODUCT(--('Данные 1st'!$S$2:$S$317=$A32),--ISNUMBER('Данные 1st'!$AF$2:$AF$317))</f>
        <v>5</v>
      </c>
      <c r="I32">
        <f>SUMPRODUCT(--('Данные 1st'!$S$2:$S$317=$A32),--ISNUMBER('Данные 1st'!$AJ$2:$AJ$317))</f>
        <v>5</v>
      </c>
      <c r="J32">
        <f>SUMPRODUCT(--('Данные 1st'!$S$2:$S$317=$A32),--ISNUMBER('Данные 1st'!$AL$2:$AL$317))</f>
        <v>5</v>
      </c>
      <c r="K32">
        <f>SUMPRODUCT(--('Данные 1st'!$S$2:$S$317=$A32),--ISNUMBER('Данные 1st'!$AR$2:$AR$317))</f>
        <v>5</v>
      </c>
      <c r="L32">
        <f>SUMPRODUCT(--('Данные 1st'!$S$2:$S$317=$A32),--ISNUMBER('Данные 1st'!$AS$2:$AS$317))</f>
        <v>5</v>
      </c>
      <c r="M32">
        <f>SUMPRODUCT(--('Данные 1st'!$S$2:$S$317=$A32),--ISNUMBER('Данные 1st'!$AY$2:$AY$317))</f>
        <v>5</v>
      </c>
      <c r="N32">
        <f>SUMPRODUCT(--('Данные 1st'!$S$2:$S$317=$A32),--ISNUMBER('Данные 1st'!$AZ$2:$AZ$317))</f>
        <v>5</v>
      </c>
      <c r="O32">
        <f>SUMPRODUCT(--('Данные 1st'!$S$2:$S$317=$A32),--ISNUMBER('Данные 1st'!$BF$2:$BF$317))</f>
        <v>0</v>
      </c>
      <c r="P32">
        <f>SUMPRODUCT(--('Данные 1st'!$S$2:$S$317=$A32),--ISNUMBER('Данные 1st'!$BG$2:$BG$317))</f>
        <v>5</v>
      </c>
      <c r="Q32">
        <f>SUMPRODUCT(--('Данные 1st'!$S$2:$S$317=$A32),--ISNUMBER('Данные 1st'!$BM$2:$BM$317))</f>
        <v>0</v>
      </c>
      <c r="R32">
        <f>SUMPRODUCT(--('Данные 1st'!$S$2:$S$317=$A32),--ISNUMBER('Данные 1st'!$BN$2:$BN$317))</f>
        <v>5</v>
      </c>
      <c r="S32">
        <f>SUMPRODUCT(--('Данные 1st'!$S$2:$S$317=$A32),--ISNUMBER('Данные 1st'!$BT$2:$BT$317))</f>
        <v>5</v>
      </c>
      <c r="T32">
        <f>SUMPRODUCT(--('Данные 1st'!$S$2:$S$317=$A32),--ISNUMBER('Данные 1st'!$BU$2:$BU$317))</f>
        <v>5</v>
      </c>
      <c r="U32">
        <f>SUMPRODUCT(--('Данные 1st'!$S$2:$S$317=$A32),--ISNUMBER('Данные 1st'!$BW$2:$BW$317))</f>
        <v>5</v>
      </c>
      <c r="V32">
        <f>SUMPRODUCT(--('Данные 1st'!$S$2:$S$317=$A32),--ISNUMBER('Данные 1st'!$BX$2:$BX$317))</f>
        <v>5</v>
      </c>
      <c r="W32">
        <f>SUMPRODUCT(--('Данные 1st'!$S$2:$S$317=$A32),--ISNUMBER('Данные 1st'!$BZ$2:$BZ$317))</f>
        <v>5</v>
      </c>
      <c r="X32">
        <f>SUMPRODUCT(--('Данные 1st'!$S$2:$S$317=$A32),--ISNUMBER('Данные 1st'!$CA$2:$CA$317))</f>
        <v>5</v>
      </c>
      <c r="Y32">
        <f>SUMPRODUCT(--('Данные 1st'!$S$2:$S$317=$A32),--ISNUMBER('Данные 1st'!$CD$2:$CD$317))</f>
        <v>5</v>
      </c>
      <c r="Z32">
        <f>SUMPRODUCT(--('Данные 1st'!$S$2:$S$317=$A32),--ISNUMBER('Данные 1st'!$CF$2:$CF$317))</f>
        <v>5</v>
      </c>
      <c r="AA32">
        <f>SUMPRODUCT(--('Данные 1st'!$S$2:$S$317=$A32),--ISNUMBER('Данные 1st'!$CI$2:$CI$317))</f>
        <v>5</v>
      </c>
      <c r="AB32">
        <f>SUMPRODUCT(--('Данные 1st'!$S$2:$S$317=$A32),--ISNUMBER('Данные 1st'!$CJ$2:$CJ$317))</f>
        <v>5</v>
      </c>
      <c r="AC32">
        <f>SUMPRODUCT(--('Данные 1st'!$S$2:$S$317=$A32),--ISNUMBER('Данные 1st'!$CK$2:$CK$317))</f>
        <v>5</v>
      </c>
      <c r="AD32">
        <f>SUMPRODUCT(--('Данные 1st'!$S$2:$S$317=$A32),--ISNUMBER('Данные 1st'!$CL$2:$CL$317))</f>
        <v>5</v>
      </c>
      <c r="AE32">
        <f>SUMPRODUCT(--('Данные 1st'!$S$2:$S$317=$A32),--ISNUMBER('Данные 1st'!$CM$2:$CM$317))</f>
        <v>5</v>
      </c>
      <c r="AF32">
        <f>SUMPRODUCT(--('Данные 1st'!$S$2:$S$317=$A32),--ISNUMBER('Данные 1st'!$CT$2:$CT$317))</f>
        <v>5</v>
      </c>
      <c r="AG32">
        <f>SUMPRODUCT(--('Данные 1st'!$S$2:$S$317=$A32),--ISNUMBER('Данные 1st'!$CU$2:$CU$317))</f>
        <v>5</v>
      </c>
      <c r="AH32">
        <f>SUMPRODUCT(--('Данные 1st'!$S$2:$S$317=$A32),--ISNUMBER('Данные 1st'!$CV$2:$CV$317))</f>
        <v>5</v>
      </c>
      <c r="AI32">
        <f>SUMPRODUCT(--('Данные 1st'!$S$2:$S$317=$A32),--ISNUMBER('Данные 1st'!$CW$2:$CW$317))</f>
        <v>5</v>
      </c>
      <c r="AJ32">
        <f>SUMPRODUCT(--('Данные 1st'!$S$2:$S$317=$A32),--ISNUMBER('Данные 1st'!$CX$2:$CX$317))</f>
        <v>5</v>
      </c>
      <c r="AK32">
        <f>SUMPRODUCT(--('Данные 1st'!$S$2:$S$317=$A32),--ISNUMBER('Данные 1st'!$CZ$2:$CZ$317))</f>
        <v>0</v>
      </c>
      <c r="AL32">
        <f>SUMPRODUCT(--('Данные 1st'!$S$2:$S$317=$A32),--ISNUMBER('Данные 1st'!$DA$2:$DA$317))</f>
        <v>0</v>
      </c>
      <c r="AM32">
        <f>SUMPRODUCT(--('Данные 1st'!$S$2:$S$317=$A32),--ISNUMBER('Данные 1st'!$DB$2:$DB$317))</f>
        <v>0</v>
      </c>
      <c r="AN32">
        <f>SUMPRODUCT(--('Данные 1st'!$S$2:$S$317=$A32),--ISNUMBER('Данные 1st'!$DC$2:$DC$317))</f>
        <v>0</v>
      </c>
      <c r="AO32">
        <f>SUMPRODUCT(--('Данные 1st'!$S$2:$S$317=$A32),--ISNUMBER('Данные 1st'!$DD$2:$DD$317))</f>
        <v>5</v>
      </c>
      <c r="AP32">
        <f>SUMPRODUCT(--('Данные 1st'!$S$2:$S$317=$A32),--ISNUMBER('Данные 1st'!$DF$2:$DF$317))</f>
        <v>5</v>
      </c>
      <c r="AQ32">
        <f>SUMPRODUCT(--('Данные 1st'!$S$2:$S$317=$A32),--ISNUMBER('Данные 1st'!$DG$2:$DG$317))</f>
        <v>5</v>
      </c>
      <c r="AR32">
        <f>SUMPRODUCT(--('Данные 1st'!$S$2:$S$317=$A32),--ISNUMBER('Данные 1st'!$DH$2:$DH$317))</f>
        <v>5</v>
      </c>
      <c r="AS32">
        <f>SUMPRODUCT(--('Данные 1st'!$S$2:$S$317=$A32),--ISNUMBER('Данные 1st'!$DI$2:$DI$317))</f>
        <v>5</v>
      </c>
      <c r="AT32">
        <f>SUMPRODUCT(--('Данные 1st'!$S$2:$S$317=$A32),--ISNUMBER('Данные 1st'!$DJ$2:$DJ$317))</f>
        <v>5</v>
      </c>
      <c r="AU32">
        <f>SUMPRODUCT(--('Данные 1st'!$S$2:$S$317=$A32),--ISNUMBER('Данные 1st'!$DL$2:$DL$317))</f>
        <v>0</v>
      </c>
      <c r="AV32">
        <f>SUMPRODUCT(--('Данные 1st'!$S$2:$S$317=$A32),--ISNUMBER('Данные 1st'!$DM$2:$DM$317))</f>
        <v>0</v>
      </c>
      <c r="AW32">
        <f>SUMPRODUCT(--('Данные 1st'!$S$2:$S$317=$A32),--ISNUMBER('Данные 1st'!$DN$2:$DN$317))</f>
        <v>0</v>
      </c>
      <c r="AX32">
        <f>SUMPRODUCT(--('Данные 1st'!$S$2:$S$317=$A32),--ISNUMBER('Данные 1st'!$DO$2:$DO$317))</f>
        <v>0</v>
      </c>
      <c r="AY32">
        <f>SUMPRODUCT(--('Данные 1st'!$S$2:$S$317=$A32),--ISNUMBER('Данные 1st'!$DP$2:$DP$317))</f>
        <v>0</v>
      </c>
      <c r="AZ32">
        <f>SUMPRODUCT(--('Данные 1st'!$S$2:$S$317=$A32),--ISNUMBER('Данные 1st'!$DR$2:$DR$317))</f>
        <v>0</v>
      </c>
      <c r="BA32">
        <f>SUMPRODUCT(--('Данные 1st'!$S$2:$S$317=$A32),--ISNUMBER('Данные 1st'!$DS$2:$DS$317))</f>
        <v>0</v>
      </c>
      <c r="BB32">
        <f>SUMPRODUCT(--('Данные 1st'!$S$2:$S$317=$A32),--ISNUMBER('Данные 1st'!$DT$2:$DT$317))</f>
        <v>0</v>
      </c>
      <c r="BC32">
        <f>SUMPRODUCT(--('Данные 1st'!$S$2:$S$317=$A32),--ISNUMBER('Данные 1st'!$DU$2:$DU$317))</f>
        <v>0</v>
      </c>
      <c r="BD32">
        <f>SUMPRODUCT(--('Данные 1st'!$S$2:$S$317=$A32),--ISNUMBER('Данные 1st'!$DV$2:$DV$317))</f>
        <v>0</v>
      </c>
      <c r="BE32">
        <f>SUMPRODUCT(--('Данные 1st'!$S$2:$S$317=$A32),--ISNUMBER('Данные 1st'!$DX$2:$DX$317))</f>
        <v>5</v>
      </c>
      <c r="BF32">
        <f>SUMPRODUCT(--('Данные 1st'!$S$2:$S$317=$A32),--ISNUMBER('Данные 1st'!$EA$2:$EA$317))</f>
        <v>5</v>
      </c>
      <c r="BG32">
        <f>SUMPRODUCT(--('Данные 1st'!$S$2:$S$317=$A32),--ISNUMBER('Данные 1st'!$EB$2:$EB$317))</f>
        <v>5</v>
      </c>
      <c r="BH32">
        <f>SUMPRODUCT(--('Данные 1st'!$S$2:$S$317=$A32),--ISNUMBER('Данные 1st'!$ED$2:$ED$317))</f>
        <v>5</v>
      </c>
      <c r="BI32">
        <f>SUMPRODUCT(--('Данные 1st'!$S$2:$S$317=$A32),--ISNUMBER('Данные 1st'!$EE$2:$EE$317))</f>
        <v>5</v>
      </c>
      <c r="BJ32">
        <f>SUMPRODUCT(--('Данные 1st'!$S$2:$S$317=$A32),--ISNUMBER('Данные 1st'!$EG$2:$EG$317))</f>
        <v>5</v>
      </c>
      <c r="BK32">
        <f>SUMPRODUCT(--('Данные 1st'!$S$2:$S$317=$A32),--ISNUMBER('Данные 1st'!$EH$2:$EH$317))</f>
        <v>5</v>
      </c>
      <c r="BL32">
        <f>SUMPRODUCT(--('Данные 1st'!$S$2:$S$317=$A32),--ISNUMBER('Данные 1st'!$EJ$2:$EJ$317))</f>
        <v>5</v>
      </c>
      <c r="BM32">
        <f>SUMPRODUCT(--('Данные 1st'!$S$2:$S$317=$A32),--ISNUMBER('Данные 1st'!$EK$2:$EK$317))</f>
        <v>5</v>
      </c>
      <c r="BN32">
        <f>SUMPRODUCT(--('Данные 1st'!$S$2:$S$317=$A32),--ISNUMBER('Данные 1st'!$EN$2:$EN$317))</f>
        <v>5</v>
      </c>
      <c r="BO32">
        <f>SUMPRODUCT(--('Данные 1st'!$S$2:$S$317=$A32),--ISNUMBER('Данные 1st'!$EQ$2:$EQ$317))</f>
        <v>5</v>
      </c>
      <c r="BP32">
        <f>SUMPRODUCT(--('Данные 1st'!$S$2:$S$317=$A32),--ISNUMBER('Данные 1st'!$ER$2:$ER$317))</f>
        <v>5</v>
      </c>
      <c r="BQ32">
        <f>SUMPRODUCT(--('Данные 1st'!$S$2:$S$317=$A32),--ISNUMBER('Данные 1st'!$ES$2:$ES$317))</f>
        <v>5</v>
      </c>
      <c r="BR32">
        <f>SUMPRODUCT(--('Данные 1st'!$S$2:$S$317=$A32),--ISNUMBER('Данные 1st'!$ET$2:$ET$317))</f>
        <v>5</v>
      </c>
      <c r="BS32">
        <f>SUMPRODUCT(--('Данные 1st'!$S$2:$S$317=$A32),--ISNUMBER('Данные 1st'!$EU$2:$EU$317))</f>
        <v>5</v>
      </c>
      <c r="BT32">
        <f>SUMPRODUCT(--('Данные 1st'!$S$2:$S$317=$A32),--ISNUMBER('Данные 1st'!$EV$2:$EV$317))</f>
        <v>5</v>
      </c>
      <c r="BU32">
        <f>SUMPRODUCT(--('Данные 1st'!$S$2:$S$317=$A32),--ISNUMBER('Данные 1st'!$EX$2:$EX$317))</f>
        <v>5</v>
      </c>
      <c r="BV32">
        <f>SUMPRODUCT(--('Данные 1st'!$S$2:$S$317=$A32),--ISNUMBER('Данные 1st'!$EY$2:$EY$317))</f>
        <v>5</v>
      </c>
      <c r="BW32">
        <f>SUMPRODUCT(--('Данные 1st'!$S$2:$S$317=$A32),--ISNUMBER('Данные 1st'!$EZ$2:$EZ$317))</f>
        <v>5</v>
      </c>
      <c r="BX32">
        <f>SUMPRODUCT(--('Данные 1st'!$S$2:$S$317=$A32),--ISNUMBER('Данные 1st'!$FA$2:$FA$317))</f>
        <v>5</v>
      </c>
      <c r="BY32">
        <f>SUMPRODUCT(--('Данные 1st'!$S$2:$S$317=$A32),--ISNUMBER('Данные 1st'!$FB$2:$FB$317))</f>
        <v>5</v>
      </c>
      <c r="BZ32">
        <f>SUMPRODUCT(--('Данные 1st'!$S$2:$S$317=$A32),--ISNUMBER('Данные 1st'!$FC$2:$FC$317))</f>
        <v>5</v>
      </c>
      <c r="CA32">
        <f>SUMPRODUCT(--('Данные 1st'!$S$2:$S$317=$A32),--ISNUMBER('Данные 1st'!$FE$2:$FE$317))</f>
        <v>5</v>
      </c>
      <c r="CB32">
        <f>SUMPRODUCT(--('Данные 1st'!$S$2:$S$317=$A32),--ISNUMBER('Данные 1st'!$FF$2:$FF$317))</f>
        <v>5</v>
      </c>
      <c r="CC32">
        <f>SUMPRODUCT(--('Данные 1st'!$S$2:$S$317=$A32),--ISNUMBER('Данные 1st'!$FI$2:$FI$317))</f>
        <v>5</v>
      </c>
      <c r="CD32">
        <f>SUMPRODUCT(--('Данные 1st'!$S$2:$S$317=$A32),--ISNUMBER('Данные 1st'!$FL$2:$FL$317))</f>
        <v>5</v>
      </c>
      <c r="CE32">
        <f>SUMPRODUCT(--('Данные 1st'!$S$2:$S$317=$A32),--ISNUMBER('Данные 1st'!$FM$2:$FM$317))</f>
        <v>5</v>
      </c>
      <c r="CF32">
        <f>SUMPRODUCT(--('Данные 1st'!$S$2:$S$317=$A32),--ISNUMBER('Данные 1st'!$FN$2:$FN$317))</f>
        <v>5</v>
      </c>
      <c r="CG32">
        <f>SUMPRODUCT(--('Данные 1st'!$S$2:$S$317=$A32),--ISNUMBER('Данные 1st'!$FO$2:$FO$317))</f>
        <v>0</v>
      </c>
      <c r="CH32">
        <f>SUMPRODUCT(--('Данные 1st'!$S$2:$S$317=$A32),--ISNUMBER('Данные 1st'!$FP$2:$FP$317))</f>
        <v>0</v>
      </c>
      <c r="CI32">
        <f>SUMPRODUCT(--('Данные 1st'!$S$2:$S$317=$A32),--ISNUMBER('Данные 1st'!$FS$2:$FS$317))</f>
        <v>5</v>
      </c>
      <c r="CJ32">
        <f>SUMPRODUCT(--('Данные 1st'!$S$2:$S$317=$A32),--ISNUMBER('Данные 1st'!$FT$2:$FT$317))</f>
        <v>5</v>
      </c>
      <c r="CK32">
        <f>SUMPRODUCT(--('Данные 1st'!$S$2:$S$317=$A32),--ISNUMBER('Данные 1st'!$FU$2:$FU$317))</f>
        <v>5</v>
      </c>
      <c r="CL32">
        <f>SUMPRODUCT(--('Данные 1st'!$S$2:$S$317=$A32),--ISNUMBER('Данные 1st'!$FV$2:$FV$317))</f>
        <v>2</v>
      </c>
      <c r="CM32">
        <f>SUMPRODUCT(--('Данные 1st'!$S$2:$S$317=$A32),--ISNUMBER('Данные 1st'!$FW$2:$FW$317))</f>
        <v>2</v>
      </c>
      <c r="CN32">
        <f>SUMPRODUCT(--('Данные 1st'!$S$2:$S$317=$A32),--ISNUMBER('Данные 1st'!$FZ$2:$FZ$317))</f>
        <v>4</v>
      </c>
      <c r="CO32">
        <f>SUMPRODUCT(--('Данные 1st'!$S$2:$S$317=$A32),--ISNUMBER('Данные 1st'!$GA$2:$GA$317))</f>
        <v>4</v>
      </c>
      <c r="CP32">
        <f>SUMPRODUCT(--('Данные 1st'!$S$2:$S$317=$A32),--ISNUMBER('Данные 1st'!$GB$2:$GB$317))</f>
        <v>4</v>
      </c>
      <c r="CQ32">
        <f>SUMPRODUCT(--('Данные 1st'!$S$2:$S$317=$A32),--ISNUMBER('Данные 1st'!$GH$2:$GH$317))</f>
        <v>4</v>
      </c>
      <c r="CR32">
        <f>SUMPRODUCT(--('Данные 1st'!$S$2:$S$317=$A32),--ISNUMBER('Данные 1st'!$GI$2:$GI$317))</f>
        <v>4</v>
      </c>
      <c r="CS32">
        <f>SUMPRODUCT(--('Данные 1st'!$S$2:$S$317=$A32),--ISNUMBER('Данные 1st'!$GJ$2:$GJ$317))</f>
        <v>4</v>
      </c>
      <c r="CT32">
        <f>SUMPRODUCT(--('Данные 1st'!$S$2:$S$317=$A32),--ISNUMBER('Данные 1st'!$GS$2:$GS$317))</f>
        <v>0</v>
      </c>
      <c r="CU32">
        <f>SUMPRODUCT(--('Данные 1st'!$S$2:$S$317=$A32),--ISNUMBER('Данные 1st'!$GT$2:$GT$317))</f>
        <v>0</v>
      </c>
      <c r="CV32">
        <f>SUMPRODUCT(--('Данные 1st'!$S$2:$S$317=$A32),--ISNUMBER('Данные 1st'!$GU$2:$GU$317))</f>
        <v>0</v>
      </c>
      <c r="CW32">
        <f>SUMPRODUCT(--('Данные 1st'!$S$2:$S$317=$A32),--ISNUMBER('Данные 1st'!$GV$2:$GV$317))</f>
        <v>0</v>
      </c>
      <c r="CX32">
        <f>SUMPRODUCT(--('Данные 1st'!$S$2:$S$317=$A32),--ISNUMBER('Данные 1st'!$GW$2:$GW$317))</f>
        <v>0</v>
      </c>
      <c r="CY32">
        <f>SUMPRODUCT(--('Данные 1st'!$S$2:$S$317=$A32),--ISNUMBER('Данные 1st'!$GZ$2:$GZ$317))</f>
        <v>0</v>
      </c>
      <c r="CZ32">
        <f>SUMPRODUCT(--('Данные 1st'!$S$2:$S$317=$A32),--ISNUMBER('Данные 1st'!$HA$2:$HA$317))</f>
        <v>0</v>
      </c>
      <c r="DA32">
        <f>SUMPRODUCT(--('Данные 1st'!$S$2:$S$317=$A32),--ISNUMBER('Данные 1st'!$HB$2:$HB$317))</f>
        <v>0</v>
      </c>
      <c r="DB32">
        <f>SUMPRODUCT(--('Данные 1st'!$S$2:$S$317=$A32),--ISNUMBER('Данные 1st'!$HC$2:$HC$317))</f>
        <v>5</v>
      </c>
      <c r="DC32">
        <f>SUMPRODUCT(--('Данные 1st'!$S$2:$S$317=$A32),--ISNUMBER('Данные 1st'!$HD$2:$HD$317))</f>
        <v>5</v>
      </c>
      <c r="DD32">
        <f>SUMPRODUCT(--('Данные 1st'!$S$2:$S$317=$A32),--ISNUMBER('Данные 1st'!$HE$2:$HE$317))</f>
        <v>5</v>
      </c>
      <c r="DE32">
        <f>SUMPRODUCT(--('Данные 1st'!$S$2:$S$317=$A32),--ISNUMBER('Данные 1st'!$HF$2:$HF$317))</f>
        <v>5</v>
      </c>
      <c r="DF32">
        <f>SUMPRODUCT(--('Данные 1st'!$S$2:$S$317=$A32),--ISNUMBER('Данные 1st'!$HG$2:$HG$317))</f>
        <v>5</v>
      </c>
      <c r="DG32">
        <f>SUMPRODUCT(--('Данные 1st'!$S$2:$S$317=$A32),--ISNUMBER('Данные 1st'!$HH$2:$HH$317))</f>
        <v>5</v>
      </c>
      <c r="DH32">
        <f>SUMPRODUCT(--('Данные 1st'!$S$2:$S$317=$A32),--ISNUMBER('Данные 1st'!$HI$2:$HI$317))</f>
        <v>5</v>
      </c>
      <c r="DI32">
        <f>SUMPRODUCT(--('Данные 1st'!$S$2:$S$317=$A32),--ISNUMBER('Данные 1st'!$HJ$2:$HJ$317))</f>
        <v>5</v>
      </c>
      <c r="DJ32">
        <f>SUMPRODUCT(--('Данные 1st'!$S$2:$S$317=$A32),--ISNUMBER('Данные 1st'!$HK$2:$HK$317))</f>
        <v>5</v>
      </c>
      <c r="DK32">
        <f>SUMPRODUCT(--('Данные 1st'!$S$2:$S$317=$A32),--ISNUMBER('Данные 1st'!$HL$2:$HL$317))</f>
        <v>5</v>
      </c>
      <c r="DL32">
        <f>SUMPRODUCT(--('Данные 1st'!$S$2:$S$317=$A32),--ISNUMBER('Данные 1st'!$HM$2:$HM$317))</f>
        <v>5</v>
      </c>
      <c r="DM32">
        <f>SUMPRODUCT(--('Данные 1st'!$S$2:$S$317=$A32),--ISNUMBER('Данные 1st'!$HN$2:$HN$317))</f>
        <v>5</v>
      </c>
      <c r="DN32">
        <f>SUMPRODUCT(--('Данные 1st'!$S$2:$S$317=$A32),--ISNUMBER('Данные 1st'!$HO$2:$HO$317))</f>
        <v>5</v>
      </c>
      <c r="DO32">
        <f>SUMPRODUCT(--('Данные 1st'!$S$2:$S$317=$A32),--ISNUMBER('Данные 1st'!$HP$2:$HP$317))</f>
        <v>5</v>
      </c>
      <c r="DP32">
        <f>SUMPRODUCT(--('Данные 1st'!$S$2:$S$317=$A32),--ISNUMBER('Данные 1st'!$HQ$2:$HQ$317))</f>
        <v>5</v>
      </c>
      <c r="DQ32">
        <f>SUMPRODUCT(--('Данные 1st'!$S$2:$S$317=$A32),--ISNUMBER('Данные 1st'!$HR$2:$HR$317))</f>
        <v>5</v>
      </c>
      <c r="DR32">
        <f>SUMPRODUCT(--('Данные 1st'!$S$2:$S$317=$A32),--ISNUMBER('Данные 1st'!$HS$2:$HS$317))</f>
        <v>5</v>
      </c>
      <c r="DS32">
        <f>SUMPRODUCT(--('Данные 1st'!$S$2:$S$317=$A32),--ISNUMBER('Данные 1st'!$HT$2:$HT$317))</f>
        <v>5</v>
      </c>
      <c r="DT32">
        <f>SUMPRODUCT(--('Данные 1st'!$S$2:$S$317=$A32),--ISNUMBER('Данные 1st'!$HU$2:$HU$317))</f>
        <v>5</v>
      </c>
      <c r="DU32">
        <f>SUMPRODUCT(--('Данные 1st'!$S$2:$S$317=$A32),--ISNUMBER('Данные 1st'!$HW$2:$HW$317))</f>
        <v>5</v>
      </c>
      <c r="DV32">
        <f>SUMPRODUCT(--('Данные 1st'!$S$2:$S$317=$A32),--ISNUMBER('Данные 1st'!$HX$2:$HX$317))</f>
        <v>5</v>
      </c>
      <c r="DW32">
        <f>SUMPRODUCT(--('Данные 1st'!$S$2:$S$317=$A32),--ISNUMBER('Данные 1st'!$HY$2:$HY$317))</f>
        <v>5</v>
      </c>
      <c r="DX32">
        <f>SUMPRODUCT(--('Данные 1st'!$S$2:$S$317=$A32),--ISNUMBER('Данные 1st'!$IA$2:$IA$317))</f>
        <v>5</v>
      </c>
      <c r="DY32">
        <f>SUMPRODUCT(--('Данные 1st'!$S$2:$S$317=$A32),--ISNUMBER('Данные 1st'!$IB$2:$IB$317))</f>
        <v>5</v>
      </c>
      <c r="DZ32">
        <f>SUMPRODUCT(--('Данные 1st'!$S$2:$S$317=$A32),--ISNUMBER('Данные 1st'!$IC$2:$IC$317))</f>
        <v>5</v>
      </c>
      <c r="EA32">
        <f>SUMPRODUCT(--('Данные 1st'!$S$2:$S$317=$A32),--ISNUMBER('Данные 1st'!$ID$2:$ID$317))</f>
        <v>5</v>
      </c>
      <c r="EB32">
        <f>SUMPRODUCT(--('Данные 1st'!$S$2:$S$317=$A32),--ISNUMBER('Данные 1st'!$IE$2:$IE$317))</f>
        <v>5</v>
      </c>
      <c r="EC32">
        <f>SUMPRODUCT(--('Данные 1st'!$S$2:$S$317=$A32),--ISNUMBER('Данные 1st'!$IF$2:$IF$317))</f>
        <v>5</v>
      </c>
      <c r="ED32">
        <f>SUMPRODUCT(--('Данные 1st'!$S$2:$S$317=$A32),--ISNUMBER('Данные 1st'!$IP$2:$IP$317))</f>
        <v>5</v>
      </c>
      <c r="EE32">
        <f>SUMPRODUCT(--('Данные 1st'!$S$2:$S$317=$A32),--ISNUMBER('Данные 1st'!$IV$2:$IV$317))</f>
        <v>5</v>
      </c>
      <c r="EF32">
        <f>SUMPRODUCT(--('Данные 1st'!$S$2:$S$317=$A32),--ISNUMBER('Данные 1st'!$IW$2:$IW$317))</f>
        <v>5</v>
      </c>
      <c r="EG32">
        <f>SUMPRODUCT(--('Данные 1st'!$S$2:$S$317=$A32),--ISNUMBER('Данные 1st'!$IX$2:$IX$317))</f>
        <v>0</v>
      </c>
      <c r="EH32">
        <f>SUMPRODUCT(--('Данные 1st'!$S$2:$S$317=$A32),--ISNUMBER('Данные 1st'!$IY$2:$IY$317))</f>
        <v>2</v>
      </c>
      <c r="EI32">
        <f>SUMPRODUCT(--('Данные 1st'!$S$2:$S$317=$A32),--ISNUMBER('Данные 1st'!$JD$2:$JD$317))</f>
        <v>5</v>
      </c>
      <c r="EJ32">
        <f>SUMPRODUCT(--('Данные 1st'!$S$2:$S$317=$A32),--ISNUMBER('Данные 1st'!$JE$2:$JE$317))</f>
        <v>5</v>
      </c>
      <c r="EK32">
        <f>SUMPRODUCT(--('Данные 1st'!$S$2:$S$317=$A32),--ISNUMBER('Данные 1st'!$JF$2:$JF$317))</f>
        <v>5</v>
      </c>
      <c r="EL32">
        <f>SUMPRODUCT(--('Данные 1st'!$S$2:$S$317=$A32),--ISNUMBER('Данные 1st'!$JG$2:$JG$317))</f>
        <v>5</v>
      </c>
      <c r="EM32">
        <f>SUMPRODUCT(--('Данные 1st'!$S$2:$S$317=$A32),--ISNUMBER('Данные 1st'!$JH$2:$JH$317))</f>
        <v>5</v>
      </c>
      <c r="EN32">
        <f>SUMPRODUCT(--('Данные 1st'!$S$2:$S$317=$A32),--ISNUMBER('Данные 1st'!$JJ$2:$JJ$317))</f>
        <v>5</v>
      </c>
      <c r="EO32">
        <f>SUMPRODUCT(--('Данные 1st'!$S$2:$S$317=$A32),--ISNUMBER('Данные 1st'!$JK$2:$JK$317))</f>
        <v>5</v>
      </c>
      <c r="EP32">
        <f>SUMPRODUCT(--('Данные 1st'!$S$2:$S$317=$A32),--ISNUMBER('Данные 1st'!$JL$2:$JL$317))</f>
        <v>0</v>
      </c>
      <c r="EQ32">
        <f>SUMPRODUCT(--('Данные 1st'!$S$2:$S$317=$A32),--ISNUMBER('Данные 1st'!$JM$2:$JM$317))</f>
        <v>0</v>
      </c>
      <c r="ER32">
        <f>SUMPRODUCT(--('Данные 1st'!$S$2:$S$317=$A32),--ISNUMBER('Данные 1st'!$JN$2:$JN$317))</f>
        <v>5</v>
      </c>
      <c r="ES32">
        <f>SUMPRODUCT(--('Данные 1st'!$S$2:$S$317=$A32),--ISNUMBER('Данные 1st'!$JO$2:$JO$317))</f>
        <v>5</v>
      </c>
      <c r="ET32">
        <f>SUMPRODUCT(--('Данные 1st'!$S$2:$S$317=$A32),--ISNUMBER('Данные 1st'!$JP$2:$JP$317))</f>
        <v>5</v>
      </c>
      <c r="EU32">
        <f>SUMPRODUCT(--('Данные 1st'!$S$2:$S$317=$A32),--ISNUMBER('Данные 1st'!$JQ$2:$JQ$317))</f>
        <v>5</v>
      </c>
      <c r="EV32">
        <f>SUMPRODUCT(--('Данные 1st'!$S$2:$S$317=$A32),--ISNUMBER('Данные 1st'!$JR$2:$JR$317))</f>
        <v>5</v>
      </c>
      <c r="EW32">
        <f>SUMPRODUCT(--('Данные 1st'!$S$2:$S$317=$A32),--ISNUMBER('Данные 1st'!$JS$2:$JS$317))</f>
        <v>5</v>
      </c>
      <c r="EX32">
        <f>SUMPRODUCT(--('Данные 1st'!$S$2:$S$317=$A32),--ISNUMBER('Данные 1st'!$JT$2:$JT$317))</f>
        <v>0</v>
      </c>
      <c r="EY32">
        <f>SUMPRODUCT(--('Данные 1st'!$S$2:$S$317=$A32),--ISNUMBER('Данные 1st'!$JU$2:$JU$317))</f>
        <v>0</v>
      </c>
      <c r="EZ32">
        <f>SUMPRODUCT(--('Данные 1st'!$S$2:$S$317=$A32),--ISNUMBER('Данные 1st'!$JV$2:$JV$317))</f>
        <v>5</v>
      </c>
      <c r="FA32">
        <f>SUMPRODUCT(--('Данные 1st'!$S$2:$S$317=$A32),--ISNUMBER('Данные 1st'!$JW$2:$JW$317))</f>
        <v>0</v>
      </c>
      <c r="FB32">
        <f>SUMPRODUCT(--('Данные 1st'!$S$2:$S$317=$A32),--ISNUMBER('Данные 1st'!$JX$2:$JX$317))</f>
        <v>5</v>
      </c>
      <c r="FC32">
        <f>SUMPRODUCT(--('Данные 1st'!$S$2:$S$317=$A32),--ISNUMBER('Данные 1st'!$JY$2:$JY$317))</f>
        <v>0</v>
      </c>
      <c r="FD32">
        <f>SUMPRODUCT(--('Данные 1st'!$S$2:$S$317=$A32),--ISNUMBER('Данные 1st'!$JZ$2:$JZ$317))</f>
        <v>0</v>
      </c>
      <c r="FE32">
        <f>SUMPRODUCT(--('Данные 1st'!$S$2:$S$317=$A32),--ISNUMBER('Данные 1st'!$KA$2:$KA$317))</f>
        <v>5</v>
      </c>
      <c r="FF32">
        <f>SUMPRODUCT(--('Данные 1st'!$S$2:$S$317=$A32),--ISNUMBER('Данные 1st'!$KB$2:$KB$317))</f>
        <v>5</v>
      </c>
      <c r="FG32">
        <f>SUMPRODUCT(--('Данные 1st'!$S$2:$S$317=$A32),--ISNUMBER('Данные 1st'!$KC$2:$KC$317))</f>
        <v>5</v>
      </c>
      <c r="FH32">
        <f>SUMPRODUCT(--('Данные 1st'!$S$2:$S$317=$A32),--ISNUMBER('Данные 1st'!$KD$2:$KD$317))</f>
        <v>5</v>
      </c>
      <c r="FI32">
        <f>SUMPRODUCT(--('Данные 1st'!$S$2:$S$317=$A32),--ISNUMBER('Данные 1st'!$KE$2:$KE$317))</f>
        <v>0</v>
      </c>
      <c r="FJ32">
        <f>SUMPRODUCT(--('Данные 1st'!$S$2:$S$317=$A32),--ISNUMBER('Данные 1st'!$KF$2:$KF$317))</f>
        <v>5</v>
      </c>
      <c r="FK32">
        <f>SUMPRODUCT(--('Данные 1st'!$S$2:$S$317=$A32),--ISNUMBER('Данные 1st'!$KG$2:$KG$317))</f>
        <v>5</v>
      </c>
      <c r="FL32">
        <f>SUMPRODUCT(--('Данные 1st'!$S$2:$S$317=$A32),--ISNUMBER('Данные 1st'!$KH$2:$KH$317))</f>
        <v>5</v>
      </c>
      <c r="FM32">
        <f>SUMPRODUCT(--('Данные 1st'!$S$2:$S$317=$A32),--ISNUMBER('Данные 1st'!$KI$2:$KI$317))</f>
        <v>5</v>
      </c>
      <c r="FN32">
        <f>SUMPRODUCT(--('Данные 1st'!$S$2:$S$317=$A32),--ISNUMBER('Данные 1st'!$KJ$2:$KJ$317))</f>
        <v>5</v>
      </c>
      <c r="FO32">
        <f>SUMPRODUCT(--('Данные 1st'!$S$2:$S$317=$A32),--ISNUMBER('Данные 1st'!$KK$2:$KK$317))</f>
        <v>5</v>
      </c>
      <c r="FP32">
        <f>SUMPRODUCT(--('Данные 1st'!$S$2:$S$317=$A32),--ISNUMBER('Данные 1st'!$KL$2:$KL$317))</f>
        <v>5</v>
      </c>
      <c r="FQ32">
        <f>SUMPRODUCT(--('Данные 1st'!$S$2:$S$317=$A32),--ISNUMBER('Данные 1st'!$KM$2:$KM$317))</f>
        <v>5</v>
      </c>
      <c r="FR32">
        <f>SUMPRODUCT(--('Данные 1st'!$S$2:$S$317=$A32),--ISNUMBER('Данные 1st'!$KN$2:$KN$317))</f>
        <v>5</v>
      </c>
      <c r="FS32">
        <f>SUMPRODUCT(--('Данные 1st'!$S$2:$S$317=$A32),--ISNUMBER('Данные 1st'!$KR$2:$KR$317))</f>
        <v>5</v>
      </c>
      <c r="FT32">
        <f>SUMPRODUCT(--('Данные 1st'!$S$2:$S$317=$A32),--ISNUMBER('Данные 1st'!$KS$2:$KS$317))</f>
        <v>5</v>
      </c>
      <c r="FU32">
        <f>SUMPRODUCT(--('Данные 1st'!$S$2:$S$317=$A32),--ISNUMBER('Данные 1st'!$KT$2:$KT$317))</f>
        <v>5</v>
      </c>
      <c r="FV32">
        <f>SUMPRODUCT(--('Данные 1st'!$S$2:$S$317=$A32),--ISNUMBER('Данные 1st'!$KV$2:$KV$317))</f>
        <v>0</v>
      </c>
      <c r="FW32">
        <f>SUMPRODUCT(--('Данные 1st'!$S$2:$S$317=$A32),--ISNUMBER('Данные 1st'!$KW$2:$KW$317))</f>
        <v>0</v>
      </c>
      <c r="FX32">
        <f>SUMPRODUCT(--('Данные 1st'!$S$2:$S$317=$A32),--ISNUMBER('Данные 1st'!$KX$2:$KX$317))</f>
        <v>0</v>
      </c>
      <c r="FY32">
        <f>SUMPRODUCT(--('Данные 1st'!$S$2:$S$317=$A32),--ISNUMBER('Данные 1st'!$KY$2:$KY$317))</f>
        <v>0</v>
      </c>
      <c r="FZ32">
        <f>SUMPRODUCT(--('Данные 1st'!$S$2:$S$317=$A32),--ISNUMBER('Данные 1st'!$KZ$2:$KZ$317))</f>
        <v>0</v>
      </c>
      <c r="GA32">
        <f>SUMPRODUCT(--('Данные 1st'!$S$2:$S$317=$A32),--ISNUMBER('Данные 1st'!$LA$2:$LA$317))</f>
        <v>0</v>
      </c>
      <c r="GB32">
        <f>SUMPRODUCT(--('Данные 1st'!$S$2:$S$317=$A32),--ISNUMBER('Данные 1st'!$LB$2:$LB$317))</f>
        <v>0</v>
      </c>
      <c r="GC32">
        <f>SUMPRODUCT(--('Данные 1st'!$S$2:$S$317=$A32),--ISNUMBER('Данные 1st'!$LC$2:$LC$317))</f>
        <v>0</v>
      </c>
      <c r="GD32">
        <f>SUMPRODUCT(--('Данные 1st'!$S$2:$S$317=$A32),--ISNUMBER('Данные 1st'!$LD$2:$LD$317))</f>
        <v>0</v>
      </c>
      <c r="GE32">
        <f>SUMPRODUCT(--('Данные 1st'!$S$2:$S$317=$A32),--ISNUMBER('Данные 1st'!$LE$2:$LE$317))</f>
        <v>0</v>
      </c>
      <c r="GF32">
        <f>SUMPRODUCT(--('Данные 1st'!$S$2:$S$317=$A32),--ISNUMBER('Данные 1st'!$LF$2:$LF$317))</f>
        <v>0</v>
      </c>
      <c r="GG32">
        <f>SUMPRODUCT(--('Данные 1st'!$S$2:$S$317=$A32),--ISNUMBER('Данные 1st'!$LG$2:$LG$317))</f>
        <v>0</v>
      </c>
      <c r="GH32">
        <f>SUMPRODUCT(--('Данные 1st'!$S$2:$S$317=$A32),--ISNUMBER('Данные 1st'!$LH$2:$LH$317))</f>
        <v>0</v>
      </c>
      <c r="GI32">
        <f>SUMPRODUCT(--('Данные 1st'!$S$2:$S$317=$A32),--ISNUMBER('Данные 1st'!$LI$2:$LI$317))</f>
        <v>0</v>
      </c>
      <c r="GJ32">
        <f>SUMPRODUCT(--('Данные 1st'!$S$2:$S$317=$A32),--ISNUMBER('Данные 1st'!$LJ$2:$LJ$317))</f>
        <v>0</v>
      </c>
      <c r="GK32">
        <f>SUMPRODUCT(--('Данные 1st'!$S$2:$S$317=$A32),--ISNUMBER('Данные 1st'!$LK$2:$LK$317))</f>
        <v>5</v>
      </c>
      <c r="GL32">
        <f>SUMPRODUCT(--('Данные 1st'!$S$2:$S$317=$A32),--ISNUMBER('Данные 1st'!$LV$2:$LV$317))</f>
        <v>0</v>
      </c>
      <c r="GM32">
        <f>SUMPRODUCT(--('Данные 1st'!$S$2:$S$317=$A32),--ISNUMBER('Данные 1st'!$LW$2:$LW$317))</f>
        <v>0</v>
      </c>
      <c r="GN32">
        <f>SUMPRODUCT(--('Данные 1st'!$S$2:$S$317=$A32),--ISNUMBER('Данные 1st'!$LX$2:$LX$317))</f>
        <v>0</v>
      </c>
      <c r="GO32">
        <f>SUMPRODUCT(--('Данные 1st'!$S$2:$S$317=$A32),--ISNUMBER('Данные 1st'!$LY$2:$LY$317))</f>
        <v>0</v>
      </c>
      <c r="GP32">
        <f>SUMPRODUCT(--('Данные 1st'!$S$2:$S$317=$A32),--ISNUMBER('Данные 1st'!$LZ$2:$LZ$317))</f>
        <v>0</v>
      </c>
      <c r="GQ32">
        <f>SUMPRODUCT(--('Данные 1st'!$S$2:$S$317=$A32),--ISNUMBER('Данные 1st'!$PG$2:$PG$317))</f>
        <v>5</v>
      </c>
      <c r="GR32">
        <f>SUMPRODUCT(--('Данные 1st'!$S$2:$S$317=$A32),--ISNUMBER('Данные 1st'!$PX$2:$PX$317))</f>
        <v>5</v>
      </c>
      <c r="GS32">
        <f>SUMPRODUCT(--('Данные 1st'!$S$2:$S$317=$A32),--ISNUMBER('Данные 1st'!$PY$2:$PY$317))</f>
        <v>5</v>
      </c>
      <c r="GT32">
        <f>SUMPRODUCT(--('Данные 1st'!$S$2:$S$317=$A32),--ISNUMBER('Данные 1st'!$QA$2:$QA$317))</f>
        <v>5</v>
      </c>
      <c r="GU32">
        <f>SUMPRODUCT(--('Данные 1st'!$S$2:$S$317=$A32),--ISNUMBER('Данные 1st'!$QB$2:$QB$317))</f>
        <v>5</v>
      </c>
      <c r="GV32">
        <f>SUMPRODUCT(--('Данные 1st'!$S$2:$S$317=$A32),--ISNUMBER('Данные 1st'!$QC$2:$QC$317))</f>
        <v>5</v>
      </c>
      <c r="GW32">
        <f>SUMPRODUCT(--('Данные 1st'!$S$2:$S$317=$A32),--ISNUMBER('Данные 1st'!$QD$2:$QD$317))</f>
        <v>5</v>
      </c>
      <c r="GX32">
        <f>SUMPRODUCT(--('Данные 1st'!$S$2:$S$317=$A32),--ISNUMBER('Данные 1st'!$QF$2:$QF$317))</f>
        <v>5</v>
      </c>
      <c r="GY32">
        <f>SUMPRODUCT(--('Данные 1st'!$S$2:$S$317=$A32),--ISNUMBER('Данные 1st'!$QG$2:$QG$317))</f>
        <v>5</v>
      </c>
      <c r="GZ32">
        <f>SUMPRODUCT(--('Данные 1st'!$S$2:$S$317=$A32),--ISNUMBER('Данные 1st'!$QH$2:$QH$317))</f>
        <v>5</v>
      </c>
      <c r="HA32">
        <f>SUMPRODUCT(--('Данные 1st'!$S$2:$S$317=$A32),--ISNUMBER('Данные 1st'!$QI$2:$QI$317))</f>
        <v>5</v>
      </c>
      <c r="HB32">
        <f>SUMPRODUCT(--('Данные 1st'!$S$2:$S$317=$A32),--ISNUMBER('Данные 1st'!$QK$2:$QK$317))</f>
        <v>0</v>
      </c>
      <c r="HC32">
        <f>SUMPRODUCT(--('Данные 1st'!$S$2:$S$317=$A32),--ISNUMBER('Данные 1st'!$QL$2:$QL$317))</f>
        <v>5</v>
      </c>
      <c r="HD32">
        <f>SUMPRODUCT(--('Данные 1st'!$S$2:$S$317=$A32),--ISNUMBER('Данные 1st'!$QM$2:$QM$317))</f>
        <v>5</v>
      </c>
      <c r="HE32">
        <f>SUMPRODUCT(--('Данные 1st'!$S$2:$S$317=$A32),--ISNUMBER('Данные 1st'!$QN$2:$QN$317))</f>
        <v>5</v>
      </c>
      <c r="HF32">
        <f>SUMPRODUCT(--('Данные 1st'!$S$2:$S$317=$A32),--ISNUMBER('Данные 1st'!$QP$2:$QP$317))</f>
        <v>5</v>
      </c>
      <c r="HG32">
        <f>SUMPRODUCT(--('Данные 1st'!$S$2:$S$317=$A32),--ISNUMBER('Данные 1st'!$QQ$2:$QQ$317))</f>
        <v>5</v>
      </c>
      <c r="HH32">
        <f>SUMPRODUCT(--('Данные 1st'!$S$2:$S$317=$A32),--ISNUMBER('Данные 1st'!$QR$2:$QR$317))</f>
        <v>0</v>
      </c>
      <c r="HI32">
        <f>SUMPRODUCT(--('Данные 1st'!$S$2:$S$317=$A32),--ISNUMBER('Данные 1st'!$QS$2:$QS$317))</f>
        <v>0</v>
      </c>
      <c r="HJ32">
        <f>SUMPRODUCT(--('Данные 1st'!$S$2:$S$317=$A32),--ISNUMBER('Данные 1st'!$QU$2:$QU$317))</f>
        <v>0</v>
      </c>
      <c r="HK32">
        <f>SUMPRODUCT(--('Данные 1st'!$S$2:$S$317=$A32),--ISNUMBER('Данные 1st'!$QV$2:$QV$317))</f>
        <v>0</v>
      </c>
      <c r="HL32">
        <f>SUMPRODUCT(--('Данные 1st'!$S$2:$S$317=$A32),--ISNUMBER('Данные 1st'!$QW$2:$QW$317))</f>
        <v>5</v>
      </c>
      <c r="HM32">
        <f>SUMPRODUCT(--('Данные 1st'!$S$2:$S$317=$A32),--ISNUMBER('Данные 1st'!$QX$2:$QX$317))</f>
        <v>5</v>
      </c>
      <c r="HN32">
        <f>SUMPRODUCT(--('Данные 1st'!$S$2:$S$317=$A32),--ISNUMBER('Данные 1st'!$QZ$2:$QZ$317))</f>
        <v>5</v>
      </c>
      <c r="HO32">
        <f>SUMPRODUCT(--('Данные 1st'!$S$2:$S$317=$A32),--ISNUMBER('Данные 1st'!$RA$2:$RA$317))</f>
        <v>5</v>
      </c>
      <c r="HP32">
        <f>SUMPRODUCT(--('Данные 1st'!$S$2:$S$317=$A32),--ISNUMBER('Данные 1st'!$RB$2:$RB$317))</f>
        <v>5</v>
      </c>
      <c r="HQ32">
        <f>SUMPRODUCT(--('Данные 1st'!$S$2:$S$317=$A32),--ISNUMBER('Данные 1st'!$RD$2:$RD$317))</f>
        <v>0</v>
      </c>
      <c r="HR32">
        <f>SUMPRODUCT(--('Данные 1st'!$S$2:$S$317=$A32),--ISNUMBER('Данные 1st'!$RE$2:$RE$317))</f>
        <v>5</v>
      </c>
      <c r="HS32">
        <f>SUMPRODUCT(--('Данные 1st'!$S$2:$S$317=$A32),--ISNUMBER('Данные 1st'!$RF$2:$RF$317))</f>
        <v>1</v>
      </c>
      <c r="HT32">
        <f>SUMPRODUCT(--('Данные 1st'!$S$2:$S$317=$A32),--ISNUMBER('Данные 1st'!$RG$2:$RG$317))</f>
        <v>4</v>
      </c>
      <c r="HU32">
        <f>SUMPRODUCT(--('Данные 1st'!$S$2:$S$317=$A32),--ISNUMBER('Данные 1st'!$RH$2:$RH$317))</f>
        <v>0</v>
      </c>
      <c r="HV32">
        <f>SUMPRODUCT(--('Данные 1st'!$S$2:$S$317=$A32),--ISNUMBER('Данные 1st'!$RI$2:$RI$317))</f>
        <v>0</v>
      </c>
      <c r="HW32">
        <f>SUMPRODUCT(--('Данные 1st'!$S$2:$S$317=$A32),--ISNUMBER('Данные 1st'!$RJ$2:$RJ$317))</f>
        <v>5</v>
      </c>
      <c r="HX32">
        <f>SUMPRODUCT(--('Данные 1st'!$S$2:$S$317=$A32),--ISNUMBER('Данные 1st'!$RK$2:$RK$317))</f>
        <v>0</v>
      </c>
      <c r="HY32">
        <f>SUMPRODUCT(--('Данные 1st'!$S$2:$S$317=$A32),--ISNUMBER('Данные 1st'!$RL$2:$RL$317))</f>
        <v>5</v>
      </c>
      <c r="HZ32">
        <f>SUMPRODUCT(--('Данные 1st'!$S$2:$S$317=$A32),--ISNUMBER('Данные 1st'!$RM$2:$RM$317))</f>
        <v>0</v>
      </c>
      <c r="IA32">
        <f>SUMPRODUCT(--('Данные 1st'!$S$2:$S$317=$A32),--ISNUMBER('Данные 1st'!$RN$2:$RN$317))</f>
        <v>0</v>
      </c>
      <c r="IB32">
        <f>SUMPRODUCT(--('Данные 1st'!$S$2:$S$317=$A32),--ISNUMBER('Данные 1st'!$RO$2:$RO$317))</f>
        <v>5</v>
      </c>
      <c r="IC32">
        <f>SUMPRODUCT(--('Данные 1st'!$S$2:$S$317=$A32),--ISNUMBER('Данные 1st'!$RP$2:$RP$317))</f>
        <v>0</v>
      </c>
      <c r="ID32">
        <f>SUMPRODUCT(--('Данные 1st'!$S$2:$S$317=$A32),--ISNUMBER('Данные 1st'!$RQ$2:$RQ$317))</f>
        <v>5</v>
      </c>
      <c r="IE32">
        <f>SUMPRODUCT(--('Данные 1st'!$S$2:$S$317=$A32),--ISNUMBER('Данные 1st'!$RR$2:$RR$317))</f>
        <v>0</v>
      </c>
      <c r="IF32">
        <f>SUMPRODUCT(--('Данные 1st'!$S$2:$S$317=$A32),--ISNUMBER('Данные 1st'!$RS$2:$RS$317))</f>
        <v>0</v>
      </c>
      <c r="IG32">
        <f>SUMPRODUCT(--('Данные 1st'!$S$2:$S$317=$A32),--ISNUMBER('Данные 1st'!$RT$2:$RT$317))</f>
        <v>5</v>
      </c>
      <c r="IH32">
        <f>SUMPRODUCT(--('Данные 1st'!$S$2:$S$317=$A32),--ISNUMBER('Данные 1st'!$RU$2:$RU$317))</f>
        <v>5</v>
      </c>
      <c r="II32">
        <f>SUMPRODUCT(--('Данные 1st'!$S$2:$S$317=$A32),--ISNUMBER('Данные 1st'!$RX$2:$RX$317))</f>
        <v>5</v>
      </c>
      <c r="IJ32">
        <f>SUMPRODUCT(--('Данные 1st'!$S$2:$S$317=$A32),--ISNUMBER('Данные 1st'!$RY$2:$RY$317))</f>
        <v>5</v>
      </c>
      <c r="IK32">
        <f>SUMPRODUCT(--('Данные 1st'!$S$2:$S$317=$A32),--ISNUMBER('Данные 1st'!$SA$2:$SA$317))</f>
        <v>5</v>
      </c>
      <c r="IL32">
        <f>SUMPRODUCT(--('Данные 1st'!$S$2:$S$317=$A32),--ISNUMBER('Данные 1st'!$SD$2:$SD$317))</f>
        <v>5</v>
      </c>
      <c r="IM32">
        <f>SUMPRODUCT(--('Данные 1st'!$S$2:$S$317=$A32),--ISNUMBER('Данные 1st'!$SG$2:$SG$317))</f>
        <v>0</v>
      </c>
      <c r="IN32">
        <f>SUMPRODUCT(--('Данные 1st'!$S$2:$S$317=$A32),--ISNUMBER('Данные 1st'!$SH$2:$SH$317))</f>
        <v>5</v>
      </c>
      <c r="IO32">
        <f>SUMPRODUCT(--('Данные 1st'!$S$2:$S$317=$A32),--ISNUMBER('Данные 1st'!$SI$2:$SI$317))</f>
        <v>5</v>
      </c>
      <c r="IP32">
        <f>SUMPRODUCT(--('Данные 1st'!$S$2:$S$317=$A32),--ISNUMBER('Данные 1st'!$SJ$2:$SJ$317))</f>
        <v>5</v>
      </c>
      <c r="IQ32">
        <f>SUMPRODUCT(--('Данные 1st'!$S$2:$S$317=$A32),--ISNUMBER('Данные 1st'!$SK$2:$SK$317))</f>
        <v>5</v>
      </c>
      <c r="IR32">
        <f>SUMPRODUCT(--('Данные 1st'!$S$2:$S$317=$A32),--ISNUMBER('Данные 1st'!$SL$2:$SL$317))</f>
        <v>5</v>
      </c>
      <c r="IS32">
        <f>SUMPRODUCT(--('Данные 1st'!$S$2:$S$317=$A32),--ISNUMBER('Данные 1st'!$SM$2:$SM$317))</f>
        <v>5</v>
      </c>
      <c r="IT32">
        <f>SUMPRODUCT(--('Данные 1st'!$S$2:$S$317=$A32),--ISNUMBER('Данные 1st'!$SN$2:$SN$317))</f>
        <v>5</v>
      </c>
      <c r="IU32">
        <f>SUMPRODUCT(--('Данные 1st'!$S$2:$S$317=$A32),--ISNUMBER('Данные 1st'!$SO$2:$SO$317))</f>
        <v>5</v>
      </c>
      <c r="IV32">
        <f>SUMPRODUCT(--('Данные 1st'!$S$2:$S$317=$A32),--ISNUMBER('Данные 1st'!$SP$2:$SP$317))</f>
        <v>5</v>
      </c>
      <c r="IW32">
        <f>SUMPRODUCT(--('Данные 1st'!$S$2:$S$317=$A32),--ISNUMBER('Данные 1st'!$SQ$2:$SQ$317))</f>
        <v>5</v>
      </c>
      <c r="IX32">
        <f>SUMPRODUCT(--('Данные 1st'!$S$2:$S$317=$A32),--ISNUMBER('Данные 1st'!$SR$2:$SR$317))</f>
        <v>5</v>
      </c>
      <c r="IY32">
        <f>SUMPRODUCT(--('Данные 1st'!$S$2:$S$317=$A32),--ISNUMBER('Данные 1st'!$SS$2:$SS$317))</f>
        <v>5</v>
      </c>
      <c r="IZ32">
        <f>SUMPRODUCT(--('Данные 1st'!$S$2:$S$317=$A32),--ISNUMBER('Данные 1st'!$ST$2:$ST$317))</f>
        <v>5</v>
      </c>
      <c r="JA32">
        <f>SUMPRODUCT(--('Данные 1st'!$S$2:$S$317=$A32),--ISNUMBER('Данные 1st'!$SU$2:$SU$317))</f>
        <v>5</v>
      </c>
      <c r="JB32">
        <f>SUMPRODUCT(--('Данные 1st'!$S$2:$S$317=$A32),--ISNUMBER('Данные 1st'!$SV$2:$SV$317))</f>
        <v>5</v>
      </c>
      <c r="JC32">
        <f>SUMPRODUCT(--('Данные 1st'!$S$2:$S$317=$A32),--ISNUMBER('Данные 1st'!$SW$2:$SW$317))</f>
        <v>5</v>
      </c>
      <c r="JD32">
        <f>SUMPRODUCT(--('Данные 1st'!$S$2:$S$317=$A32),--ISNUMBER('Данные 1st'!$SX$2:$SX$317))</f>
        <v>5</v>
      </c>
      <c r="JE32">
        <f>SUMPRODUCT(--('Данные 1st'!$S$2:$S$317=$A32),--ISNUMBER('Данные 1st'!$SY$2:$SY$317))</f>
        <v>0</v>
      </c>
      <c r="JF32">
        <f>SUMPRODUCT(--('Данные 1st'!$S$2:$S$317=$A32),--ISNUMBER('Данные 1st'!$SZ$2:$SZ$317))</f>
        <v>0</v>
      </c>
      <c r="JG32">
        <f>SUMPRODUCT(--('Данные 1st'!$S$2:$S$317=$A32),--ISNUMBER('Данные 1st'!$TA$2:$TA$317))</f>
        <v>0</v>
      </c>
      <c r="JH32">
        <f>SUMPRODUCT(--('Данные 1st'!$S$2:$S$317=$A32),--ISNUMBER('Данные 1st'!$TB$2:$TB$317))</f>
        <v>5</v>
      </c>
      <c r="JI32">
        <f>SUMPRODUCT(--('Данные 1st'!$S$2:$S$317=$A32),--ISNUMBER('Данные 1st'!$TC$2:$TC$317))</f>
        <v>5</v>
      </c>
      <c r="JJ32">
        <f>SUMPRODUCT(--('Данные 1st'!$S$2:$S$317=$A32),--ISNUMBER('Данные 1st'!$TD$2:$TD$317))</f>
        <v>5</v>
      </c>
      <c r="JK32">
        <f>SUMPRODUCT(--('Данные 1st'!$S$2:$S$317=$A32),--ISNUMBER('Данные 1st'!$TN$2:$TN$317))</f>
        <v>5</v>
      </c>
      <c r="JQ32">
        <f>SUMPRODUCT(--('Данные 2st'!$Q$2:$Q$317=$A32),--ISNUMBER('Данные 2st'!$AC$2:$AC$317))</f>
        <v>5</v>
      </c>
      <c r="JR32">
        <f>SUMPRODUCT(--('Данные 2st'!$Q$2:$Q$317=$A32),--ISNUMBER('Данные 2st'!$AF$2:$AF$317))</f>
        <v>5</v>
      </c>
      <c r="JS32">
        <f>SUMPRODUCT(--('Данные 2st'!$Q$2:$Q$317=$A32),--ISNUMBER('Данные 2st'!$AW$2:$AW$317))</f>
        <v>5</v>
      </c>
      <c r="JT32">
        <f>SUMPRODUCT(--('Данные 2st'!$Q$2:$Q$317=$A32),--ISNUMBER('Данные 2st'!$AX$2:$AX$317))</f>
        <v>5</v>
      </c>
      <c r="JU32">
        <f>SUMPRODUCT(--('Данные 2st'!$Q$2:$Q$317=$A32),--ISNUMBER('Данные 2st'!$AY$2:$AY$317))</f>
        <v>5</v>
      </c>
      <c r="JV32">
        <f>SUMPRODUCT(--('Данные 2st'!$Q$2:$Q$317=$A32),--ISNUMBER('Данные 2st'!$AZ$2:$AZ$317))</f>
        <v>5</v>
      </c>
      <c r="JW32">
        <f>SUMPRODUCT(--('Данные 2st'!$Q$2:$Q$317=$A32),--ISNUMBER('Данные 2st'!$BA$2:$BA$317))</f>
        <v>0</v>
      </c>
      <c r="JX32">
        <f>SUMPRODUCT(--('Данные 2st'!$Q$2:$Q$317=$A32),--ISNUMBER('Данные 2st'!$BB$2:$BB$317))</f>
        <v>0</v>
      </c>
      <c r="JY32">
        <f>SUMPRODUCT(--('Данные 2st'!$Q$2:$Q$317=$A32),--ISNUMBER('Данные 2st'!$BC$2:$BC$317))</f>
        <v>0</v>
      </c>
      <c r="JZ32">
        <f>SUMPRODUCT(--('Данные 2st'!$Q$2:$Q$317=$A32),--ISNUMBER('Данные 2st'!$BH$2:$BH$317))</f>
        <v>5</v>
      </c>
      <c r="KA32">
        <f>SUMPRODUCT(--('Данные 2st'!$Q$2:$Q$317=$A32),--ISNUMBER('Данные 2st'!$BI$2:$BI$317))</f>
        <v>5</v>
      </c>
      <c r="KB32">
        <f>SUMPRODUCT(--('Данные 2st'!$Q$2:$Q$317=$A32),--ISNUMBER('Данные 2st'!$BJ$2:$BJ$317))</f>
        <v>5</v>
      </c>
      <c r="KC32">
        <f>SUMPRODUCT(--('Данные 2st'!$Q$2:$Q$317=$A32),--ISNUMBER('Данные 2st'!$BK$2:$BK$317))</f>
        <v>5</v>
      </c>
      <c r="KD32">
        <f>SUMPRODUCT(--('Данные 2st'!$Q$2:$Q$317=$A32),--ISNUMBER('Данные 2st'!$BL$2:$BL$317))</f>
        <v>5</v>
      </c>
      <c r="KE32">
        <f>SUMPRODUCT(--('Данные 2st'!$Q$2:$Q$317=$A32),--ISNUMBER('Данные 2st'!$BM$2:$BM$317))</f>
        <v>5</v>
      </c>
      <c r="KF32">
        <f>SUMPRODUCT(--('Данные 2st'!$Q$2:$Q$317=$A32),--ISNUMBER('Данные 2st'!$BN$2:$BN$317))</f>
        <v>5</v>
      </c>
      <c r="KG32">
        <f>SUMPRODUCT(--('Данные 2st'!$Q$2:$Q$317=$A32),--ISNUMBER('Данные 2st'!$BO$2:$BO$317))</f>
        <v>1</v>
      </c>
      <c r="KH32">
        <f>SUMPRODUCT(--('Данные 2st'!$Q$2:$Q$317=$A32),--ISNUMBER('Данные 2st'!$BP$2:$BP$317))</f>
        <v>5</v>
      </c>
      <c r="KI32">
        <f>SUMPRODUCT(--('Данные 2st'!$Q$2:$Q$317=$A32),--ISNUMBER('Данные 2st'!$BR$2:$BR$317))</f>
        <v>5</v>
      </c>
      <c r="KJ32">
        <f>SUMPRODUCT(--('Данные 2st'!$Q$2:$Q$317=$A32),--ISNUMBER('Данные 2st'!$BS$2:$BS$317))</f>
        <v>5</v>
      </c>
      <c r="KK32">
        <f>SUMPRODUCT(--('Данные 2st'!$Q$2:$Q$317=$A32),--ISNUMBER('Данные 2st'!$BT$2:$BT$317))</f>
        <v>5</v>
      </c>
      <c r="KL32">
        <f>SUMPRODUCT(--('Данные 2st'!$Q$2:$Q$317=$A32),--ISNUMBER('Данные 2st'!$CV$2:$CV$317))</f>
        <v>5</v>
      </c>
      <c r="KM32">
        <f>SUMPRODUCT(--('Данные 2st'!$Q$2:$Q$317=$A32),--ISNUMBER('Данные 2st'!$CW$2:$CW$317))</f>
        <v>5</v>
      </c>
      <c r="KN32">
        <f>SUMPRODUCT(--('Данные 2st'!$Q$2:$Q$317=$A32),--ISNUMBER('Данные 2st'!$CX$2:$CX$317))</f>
        <v>5</v>
      </c>
      <c r="KO32">
        <f>SUMPRODUCT(--('Данные 2st'!$Q$2:$Q$317=$A32),--ISNUMBER('Данные 2st'!$CY$2:$CY$317))</f>
        <v>5</v>
      </c>
      <c r="KP32">
        <f>SUMPRODUCT(--('Данные 2st'!$Q$2:$Q$317=$A32),--ISNUMBER('Данные 2st'!$CZ$2:$CZ$317))</f>
        <v>5</v>
      </c>
      <c r="KQ32">
        <f>SUMPRODUCT(--('Данные 2st'!$Q$2:$Q$317=$A32),--ISNUMBER('Данные 2st'!$DA$2:$DA$317))</f>
        <v>5</v>
      </c>
      <c r="KR32">
        <f>SUMPRODUCT(--('Данные 2st'!$Q$2:$Q$317=$A32),--ISNUMBER('Данные 2st'!$DB$2:$DB$317))</f>
        <v>5</v>
      </c>
      <c r="KS32">
        <f>SUMPRODUCT(--('Данные 2st'!$Q$2:$Q$317=$A32),--ISNUMBER('Данные 2st'!$DC$2:$DC$317))</f>
        <v>5</v>
      </c>
      <c r="KT32">
        <f>SUMPRODUCT(--('Данные 2st'!$Q$2:$Q$317=$A32),--ISNUMBER('Данные 2st'!$DD$2:$DD$317))</f>
        <v>5</v>
      </c>
      <c r="KU32">
        <f>SUMPRODUCT(--('Данные 2st'!$Q$2:$Q$317=$A32),--ISNUMBER('Данные 2st'!$DE$2:$DE$317))</f>
        <v>5</v>
      </c>
      <c r="KV32">
        <f>SUMPRODUCT(--('Данные 2st'!$Q$2:$Q$317=$A32),--ISNUMBER('Данные 2st'!$DF$2:$DF$317))</f>
        <v>5</v>
      </c>
      <c r="KW32">
        <f>SUMPRODUCT(--('Данные 2st'!$Q$2:$Q$317=$A32),--ISNUMBER('Данные 2st'!$DG$2:$DG$317))</f>
        <v>5</v>
      </c>
      <c r="KX32">
        <f>SUMPRODUCT(--('Данные 2st'!$Q$2:$Q$317=$A32),--ISNUMBER('Данные 2st'!$DH$2:$DH$317))</f>
        <v>0</v>
      </c>
      <c r="KY32">
        <f>SUMPRODUCT(--('Данные 2st'!$Q$2:$Q$317=$A32),--ISNUMBER('Данные 2st'!$DI$2:$DI$317))</f>
        <v>0</v>
      </c>
      <c r="KZ32">
        <f>SUMPRODUCT(--('Данные 2st'!$Q$2:$Q$317=$A32),--ISNUMBER('Данные 2st'!$DK$2:$DK$317))</f>
        <v>5</v>
      </c>
      <c r="LA32">
        <f>SUMPRODUCT(--('Данные 2st'!$Q$2:$Q$317=$A32),--ISNUMBER('Данные 2st'!$DM$2:$DM$317))</f>
        <v>5</v>
      </c>
      <c r="LB32">
        <f>SUMPRODUCT(--('Данные 2st'!$Q$2:$Q$317=$A32),--ISNUMBER('Данные 2st'!$DN$2:$DN$317))</f>
        <v>5</v>
      </c>
      <c r="LC32">
        <f>SUMPRODUCT(--('Данные 2st'!$Q$2:$Q$317=$A32),--ISNUMBER('Данные 2st'!$DO$2:$DO$317))</f>
        <v>5</v>
      </c>
      <c r="LD32">
        <f>SUMPRODUCT(--('Данные 2st'!$Q$2:$Q$317=$A32),--ISNUMBER('Данные 2st'!$DP$2:$DP$317))</f>
        <v>5</v>
      </c>
      <c r="LE32">
        <f>SUMPRODUCT(--('Данные 2st'!$Q$2:$Q$317=$A32),--ISNUMBER('Данные 2st'!$DQ$2:$DQ$317))</f>
        <v>5</v>
      </c>
      <c r="LF32">
        <f>SUMPRODUCT(--('Данные 2st'!$Q$2:$Q$317=$A32),--ISNUMBER('Данные 2st'!$DS$2:$DS$317))</f>
        <v>5</v>
      </c>
      <c r="LG32">
        <f>SUMPRODUCT(--('Данные 2st'!$Q$2:$Q$317=$A32),--ISNUMBER('Данные 2st'!$DU$2:$DU$317))</f>
        <v>5</v>
      </c>
      <c r="LH32">
        <f>SUMPRODUCT(--('Данные 2st'!$Q$2:$Q$317=$A32),--ISNUMBER('Данные 2st'!$DV$2:$DV$317))</f>
        <v>5</v>
      </c>
      <c r="LI32">
        <f>SUMPRODUCT(--('Данные 2st'!$Q$2:$Q$317=$A32),--ISNUMBER('Данные 2st'!$DW$2:$DW$317))</f>
        <v>5</v>
      </c>
      <c r="LJ32">
        <f>SUMPRODUCT(--('Данные 2st'!$Q$2:$Q$317=$A32),--ISNUMBER('Данные 2st'!$DX$2:$DX$317))</f>
        <v>5</v>
      </c>
      <c r="LK32">
        <f>SUMPRODUCT(--('Данные 2st'!$Q$2:$Q$317=$A32),--ISNUMBER('Данные 2st'!$DY$2:$DY$317))</f>
        <v>5</v>
      </c>
      <c r="LL32">
        <f>SUMPRODUCT(--('Данные 2st'!$Q$2:$Q$317=$A32),--ISNUMBER('Данные 2st'!$EA$2:$EA$317))</f>
        <v>5</v>
      </c>
      <c r="LM32">
        <f>SUMPRODUCT(--('Данные 2st'!$Q$2:$Q$317=$A32),--ISNUMBER('Данные 2st'!$EC$2:$EC$317))</f>
        <v>5</v>
      </c>
      <c r="LN32">
        <f>SUMPRODUCT(--('Данные 2st'!$Q$2:$Q$317=$A32),--ISNUMBER('Данные 2st'!$ED$2:$ED$317))</f>
        <v>5</v>
      </c>
      <c r="LO32">
        <f>SUMPRODUCT(--('Данные 2st'!$Q$2:$Q$317=$A32),--ISNUMBER('Данные 2st'!$EE$2:$EE$317))</f>
        <v>5</v>
      </c>
      <c r="LP32">
        <f>SUMPRODUCT(--('Данные 2st'!$Q$2:$Q$317=$A32),--ISNUMBER('Данные 2st'!$EG$2:$EG$317))</f>
        <v>5</v>
      </c>
      <c r="LQ32">
        <f>SUMPRODUCT(--('Данные 2st'!$Q$2:$Q$317=$A32),--ISNUMBER('Данные 2st'!$EI$2:$EI$317))</f>
        <v>5</v>
      </c>
      <c r="LR32">
        <f>SUMPRODUCT(--('Данные 2st'!$Q$2:$Q$317=$A32),--ISNUMBER('Данные 2st'!$EJ$2:$EJ$317))</f>
        <v>5</v>
      </c>
      <c r="LS32">
        <f>SUMPRODUCT(--('Данные 2st'!$Q$2:$Q$317=$A32),--ISNUMBER('Данные 2st'!$EK$2:$EK$317))</f>
        <v>5</v>
      </c>
      <c r="LT32">
        <f>SUMPRODUCT(--('Данные 2st'!$Q$2:$Q$317=$A32),--ISNUMBER('Данные 2st'!$EM$2:$EM$317))</f>
        <v>5</v>
      </c>
      <c r="LU32">
        <f>SUMPRODUCT(--('Данные 2st'!$Q$2:$Q$317=$A32),--ISNUMBER('Данные 2st'!$EN$2:$EN$317))</f>
        <v>5</v>
      </c>
      <c r="LV32">
        <f>SUMPRODUCT(--('Данные 2st'!$Q$2:$Q$317=$A32),--ISNUMBER('Данные 2st'!$EO$2:$EO$317))</f>
        <v>5</v>
      </c>
      <c r="LW32">
        <f>SUMPRODUCT(--('Данные 2st'!$Q$2:$Q$317=$A32),--ISNUMBER('Данные 2st'!$EP$2:$EP$317))</f>
        <v>5</v>
      </c>
      <c r="LX32">
        <f>SUMPRODUCT(--('Данные 2st'!$Q$2:$Q$317=$A32),--ISNUMBER('Данные 2st'!$EQ$2:$EQ$317))</f>
        <v>5</v>
      </c>
      <c r="LY32">
        <f>SUMPRODUCT(--('Данные 2st'!$Q$2:$Q$317=$A32),--ISNUMBER('Данные 2st'!$ER$2:$ER$317))</f>
        <v>5</v>
      </c>
      <c r="LZ32">
        <f>SUMPRODUCT(--('Данные 2st'!$Q$2:$Q$317=$A32),--ISNUMBER('Данные 2st'!$ES$2:$ES$317))</f>
        <v>5</v>
      </c>
      <c r="MA32">
        <f>SUMPRODUCT(--('Данные 2st'!$Q$2:$Q$317=$A32),--ISNUMBER('Данные 2st'!$ET$2:$ET$317))</f>
        <v>5</v>
      </c>
      <c r="MB32">
        <f>SUMPRODUCT(--('Данные 2st'!$Q$2:$Q$317=$A32),--ISNUMBER('Данные 2st'!$EU$2:$EU$317))</f>
        <v>5</v>
      </c>
      <c r="MC32">
        <f>SUMPRODUCT(--('Данные 2st'!$Q$2:$Q$317=$A32),--ISNUMBER('Данные 2st'!$EV$2:$EV$317))</f>
        <v>5</v>
      </c>
      <c r="MD32">
        <f>SUMPRODUCT(--('Данные 2st'!$Q$2:$Q$317=$A32),--ISNUMBER('Данные 2st'!$EW$2:$EW$317))</f>
        <v>5</v>
      </c>
      <c r="ME32">
        <f>SUMPRODUCT(--('Данные 2st'!$Q$2:$Q$317=$A32),--ISNUMBER('Данные 2st'!$EY$2:$EY$317))</f>
        <v>5</v>
      </c>
      <c r="MF32">
        <f>SUMPRODUCT(--('Данные 2st'!$Q$2:$Q$317=$A32),--ISNUMBER('Данные 2st'!$FA$2:$FA$317))</f>
        <v>5</v>
      </c>
      <c r="MG32">
        <f>SUMPRODUCT(--('Данные 2st'!$Q$2:$Q$317=$A32),--ISNUMBER('Данные 2st'!$FB$2:$FB$317))</f>
        <v>5</v>
      </c>
      <c r="MH32">
        <f>SUMPRODUCT(--('Данные 2st'!$Q$2:$Q$317=$A32),--ISNUMBER('Данные 2st'!$FC$2:$FC$317))</f>
        <v>5</v>
      </c>
      <c r="MI32">
        <f>SUMPRODUCT(--('Данные 2st'!$Q$2:$Q$317=$A32),--ISNUMBER('Данные 2st'!$FD$2:$FD$317))</f>
        <v>5</v>
      </c>
      <c r="MJ32">
        <f>SUMPRODUCT(--('Данные 2st'!$Q$2:$Q$317=$A32),--ISNUMBER('Данные 2st'!$FE$2:$FE$317))</f>
        <v>5</v>
      </c>
      <c r="MK32">
        <f>SUMPRODUCT(--('Данные 2st'!$Q$2:$Q$317=$A32),--ISNUMBER('Данные 2st'!$FG$2:$FG$317))</f>
        <v>5</v>
      </c>
      <c r="ML32">
        <f>SUMPRODUCT(--('Данные 2st'!$Q$2:$Q$317=$A32),--ISNUMBER('Данные 2st'!$FI$2:$FI$317))</f>
        <v>5</v>
      </c>
      <c r="MM32">
        <f>SUMPRODUCT(--('Данные 2st'!$Q$2:$Q$317=$A32),--ISNUMBER('Данные 2st'!$FJ$2:$FJ$317))</f>
        <v>5</v>
      </c>
      <c r="MN32">
        <f>SUMPRODUCT(--('Данные 2st'!$Q$2:$Q$317=$A32),--ISNUMBER('Данные 2st'!$FK$2:$FK$317))</f>
        <v>5</v>
      </c>
      <c r="MO32">
        <f>SUMPRODUCT(--('Данные 2st'!$Q$2:$Q$317=$A32),--ISNUMBER('Данные 2st'!$FP$2:$FP$317))</f>
        <v>5</v>
      </c>
      <c r="MP32">
        <f>SUMPRODUCT(--('Данные 2st'!$Q$2:$Q$317=$A32),--ISNUMBER('Данные 2st'!$FQ$2:$FQ$317))</f>
        <v>5</v>
      </c>
      <c r="MQ32">
        <f>SUMPRODUCT(--('Данные 2st'!$Q$2:$Q$317=$A32),--ISNUMBER('Данные 2st'!$FS$2:$FS$317))</f>
        <v>5</v>
      </c>
      <c r="MR32">
        <f>SUMPRODUCT(--('Данные 2st'!$Q$2:$Q$317=$A32),--ISNUMBER('Данные 2st'!$FU$2:$FU$317))</f>
        <v>5</v>
      </c>
      <c r="MS32">
        <f>SUMPRODUCT(--('Данные 2st'!$Q$2:$Q$317=$A32),--ISNUMBER('Данные 2st'!$FV$2:$FV$317))</f>
        <v>5</v>
      </c>
      <c r="MT32">
        <f>SUMPRODUCT(--('Данные 2st'!$Q$2:$Q$317=$A32),--ISNUMBER('Данные 2st'!$FW$2:$FW$317))</f>
        <v>5</v>
      </c>
      <c r="MU32">
        <f>SUMPRODUCT(--('Данные 2st'!$Q$2:$Q$317=$A32),--ISNUMBER('Данные 2st'!$FY$2:$FY$317))</f>
        <v>5</v>
      </c>
      <c r="MV32">
        <f>SUMPRODUCT(--('Данные 2st'!$Q$2:$Q$317=$A32),--ISNUMBER('Данные 2st'!$GB$2:$GB$317))</f>
        <v>5</v>
      </c>
      <c r="MW32">
        <f>SUMPRODUCT(--('Данные 2st'!$Q$2:$Q$317=$A32),--ISNUMBER('Данные 2st'!$GC$2:$GC$317))</f>
        <v>5</v>
      </c>
      <c r="MX32">
        <f>SUMPRODUCT(--('Данные 2st'!$Q$2:$Q$317=$A32),--ISNUMBER('Данные 2st'!$GD$2:$GD$317))</f>
        <v>5</v>
      </c>
      <c r="MY32">
        <f>SUMPRODUCT(--('Данные 2st'!$Q$2:$Q$317=$A32),--ISNUMBER('Данные 2st'!$GN$2:$GN$317))</f>
        <v>0</v>
      </c>
      <c r="MZ32">
        <f>SUMPRODUCT(--('Данные 2st'!$Q$2:$Q$317=$A32),--ISNUMBER('Данные 2st'!$GQ$2:$GQ$317))</f>
        <v>5</v>
      </c>
      <c r="NA32">
        <f>SUMPRODUCT(--('Данные 2st'!$Q$2:$Q$317=$A32),--ISNUMBER('Данные 2st'!$GV$2:$GV$317))</f>
        <v>5</v>
      </c>
      <c r="NB32">
        <f>SUMPRODUCT(--('Данные 2st'!$Q$2:$Q$317=$A32),--ISNUMBER('Данные 2st'!$GW$2:$GW$317))</f>
        <v>5</v>
      </c>
      <c r="NC32">
        <f>SUMPRODUCT(--('Данные 2st'!$Q$2:$Q$317=$A32),--ISNUMBER('Данные 2st'!$GX$2:$GX$317))</f>
        <v>5</v>
      </c>
      <c r="ND32">
        <f>SUMPRODUCT(--('Данные 2st'!$Q$2:$Q$317=$A32),--ISNUMBER('Данные 2st'!$GY$2:$GY$317))</f>
        <v>5</v>
      </c>
      <c r="NE32">
        <f>SUMPRODUCT(--('Данные 2st'!$Q$2:$Q$317=$A32),--ISNUMBER('Данные 2st'!$GZ$2:$GZ$317))</f>
        <v>5</v>
      </c>
      <c r="NF32">
        <f>SUMPRODUCT(--('Данные 2st'!$Q$2:$Q$317=$A32),--ISNUMBER('Данные 2st'!$HA$2:$HA$317))</f>
        <v>5</v>
      </c>
      <c r="NG32">
        <f>SUMPRODUCT(--('Данные 2st'!$Q$2:$Q$317=$A32),--ISNUMBER('Данные 2st'!$HB$2:$HB$317))</f>
        <v>5</v>
      </c>
      <c r="NH32">
        <f>SUMPRODUCT(--('Данные 2st'!$Q$2:$Q$317=$A32),--ISNUMBER('Данные 2st'!$HC$2:$HC$317))</f>
        <v>5</v>
      </c>
      <c r="NI32">
        <f>SUMPRODUCT(--('Данные 2st'!$Q$2:$Q$317=$A32),--ISNUMBER('Данные 2st'!$HD$2:$HD$317))</f>
        <v>5</v>
      </c>
      <c r="NJ32">
        <f>SUMPRODUCT(--('Данные 2st'!$Q$2:$Q$317=$A32),--ISNUMBER('Данные 2st'!$HM$2:$HM$317))</f>
        <v>5</v>
      </c>
      <c r="NK32">
        <f>SUMPRODUCT(--('Данные 2st'!$Q$2:$Q$317=$A32),--ISNUMBER('Данные 2st'!$HR$2:$HR$317))</f>
        <v>5</v>
      </c>
      <c r="NL32">
        <f>SUMPRODUCT(--('Данные 2st'!$Q$2:$Q$317=$A32),--ISNUMBER('Данные 2st'!$HS$2:$HS$317))</f>
        <v>5</v>
      </c>
      <c r="NM32">
        <f>SUMPRODUCT(--('Данные 2st'!$Q$2:$Q$317=$A32),--ISNUMBER('Данные 2st'!$HT$2:$HT$317))</f>
        <v>5</v>
      </c>
      <c r="NN32">
        <f>SUMPRODUCT(--('Данные 2st'!$Q$2:$Q$317=$A32),--ISNUMBER('Данные 2st'!$HY$2:$HY$317))</f>
        <v>5</v>
      </c>
      <c r="NO32">
        <f>SUMPRODUCT(--('Данные 2st'!$Q$2:$Q$317=$A32),--ISNUMBER('Данные 2st'!$HZ$2:$HZ$317))</f>
        <v>5</v>
      </c>
      <c r="NP32">
        <f>SUMPRODUCT(--('Данные 2st'!$Q$2:$Q$317=$A32),--ISNUMBER('Данные 2st'!$IA$2:$IA$317))</f>
        <v>5</v>
      </c>
      <c r="NQ32">
        <f>SUMPRODUCT(--('Данные 2st'!$Q$2:$Q$317=$A32),--ISNUMBER('Данные 2st'!$IB$2:$IB$317))</f>
        <v>5</v>
      </c>
      <c r="NR32">
        <f>SUMPRODUCT(--('Данные 2st'!$Q$2:$Q$317=$A32),--ISNUMBER('Данные 2st'!$IC$2:$IC$317))</f>
        <v>0</v>
      </c>
      <c r="NS32">
        <f>SUMPRODUCT(--('Данные 2st'!$Q$2:$Q$317=$A32),--ISNUMBER('Данные 2st'!$ID$2:$ID$317))</f>
        <v>5</v>
      </c>
      <c r="NT32">
        <f>SUMPRODUCT(--('Данные 2st'!$Q$2:$Q$317=$A32),--ISNUMBER('Данные 2st'!$IE$2:$IE$317))</f>
        <v>5</v>
      </c>
      <c r="NU32">
        <f>SUMPRODUCT(--('Данные 2st'!$Q$2:$Q$317=$A32),--ISNUMBER('Данные 2st'!$IF$2:$IF$317))</f>
        <v>5</v>
      </c>
      <c r="NV32">
        <f>SUMPRODUCT(--('Данные 2st'!$Q$2:$Q$317=$A32),--ISNUMBER('Данные 2st'!$IG$2:$IG$317))</f>
        <v>5</v>
      </c>
      <c r="NW32">
        <f>SUMPRODUCT(--('Данные 2st'!$Q$2:$Q$317=$A32),--ISNUMBER('Данные 2st'!$IH$2:$IH$317))</f>
        <v>5</v>
      </c>
      <c r="NX32">
        <f>SUMPRODUCT(--('Данные 2st'!$Q$2:$Q$317=$A32),--ISNUMBER('Данные 2st'!$IJ$2:$IJ$317))</f>
        <v>5</v>
      </c>
      <c r="NY32">
        <f>SUMPRODUCT(--('Данные 2st'!$Q$2:$Q$317=$A32),--ISNUMBER('Данные 2st'!$IM$2:$IM$317))</f>
        <v>5</v>
      </c>
      <c r="NZ32">
        <f>SUMPRODUCT(--('Данные 2st'!$Q$2:$Q$317=$A32),--ISNUMBER('Данные 2st'!$IN$2:$IN$317))</f>
        <v>5</v>
      </c>
      <c r="OA32">
        <f>SUMPRODUCT(--('Данные 2st'!$Q$2:$Q$317=$A32),--ISNUMBER('Данные 2st'!$IO$2:$IO$317))</f>
        <v>5</v>
      </c>
      <c r="OB32">
        <f>SUMPRODUCT(--('Данные 2st'!$Q$2:$Q$317=$A32),--ISNUMBER('Данные 2st'!$IP$2:$IP$317))</f>
        <v>5</v>
      </c>
      <c r="OC32">
        <f>SUMPRODUCT(--('Данные 2st'!$Q$2:$Q$317=$A32),--ISNUMBER('Данные 2st'!$IQ$2:$IQ$317))</f>
        <v>5</v>
      </c>
      <c r="OD32">
        <f>SUMPRODUCT(--('Данные 2st'!$Q$2:$Q$317=$A32),--ISNUMBER('Данные 2st'!$IR$2:$IR$317))</f>
        <v>5</v>
      </c>
      <c r="OE32">
        <f>SUMPRODUCT(--('Данные 2st'!$Q$2:$Q$317=$A32),--ISNUMBER('Данные 2st'!$IT$2:$IT$317))</f>
        <v>5</v>
      </c>
      <c r="OF32">
        <f>SUMPRODUCT(--('Данные 2st'!$Q$2:$Q$317=$A32),--ISNUMBER('Данные 2st'!$IU$2:$IU$317))</f>
        <v>5</v>
      </c>
      <c r="OG32">
        <f>SUMPRODUCT(--('Данные 2st'!$Q$2:$Q$317=$A32),--ISNUMBER('Данные 2st'!$IV$2:$IV$317))</f>
        <v>5</v>
      </c>
      <c r="OH32">
        <f>SUMPRODUCT(--('Данные 2st'!$Q$2:$Q$317=$A32),--ISNUMBER('Данные 2st'!$IW$2:$IW$317))</f>
        <v>5</v>
      </c>
      <c r="OI32">
        <f>SUMPRODUCT(--('Данные 2st'!$Q$2:$Q$317=$A32),--ISNUMBER('Данные 2st'!$IX$2:$IX$317))</f>
        <v>5</v>
      </c>
      <c r="OJ32">
        <f>SUMPRODUCT(--('Данные 2st'!$Q$2:$Q$317=$A32),--ISNUMBER('Данные 2st'!$IY$2:$IY$317))</f>
        <v>5</v>
      </c>
      <c r="OK32">
        <f>SUMPRODUCT(--('Данные 2st'!$Q$2:$Q$317=$A32),--ISNUMBER('Данные 2st'!$IZ$2:$IZ$317))</f>
        <v>5</v>
      </c>
      <c r="OL32">
        <f>SUMPRODUCT(--('Данные 2st'!$Q$2:$Q$317=$A32),--ISNUMBER('Данные 2st'!$JA$2:$JA$317))</f>
        <v>5</v>
      </c>
      <c r="OM32">
        <f>SUMPRODUCT(--('Данные 2st'!$Q$2:$Q$317=$A32),--ISNUMBER('Данные 2st'!$JB$2:$JB$317))</f>
        <v>5</v>
      </c>
      <c r="ON32">
        <f>SUMPRODUCT(--('Данные 2st'!$Q$2:$Q$317=$A32),--ISNUMBER('Данные 2st'!$JC$2:$JC$317))</f>
        <v>5</v>
      </c>
      <c r="OO32">
        <f>SUMPRODUCT(--('Данные 2st'!$Q$2:$Q$317=$A32),--ISNUMBER('Данные 2st'!$JD$2:$JD$317))</f>
        <v>5</v>
      </c>
      <c r="OP32">
        <f>SUMPRODUCT(--('Данные 2st'!$Q$2:$Q$317=$A32),--ISNUMBER('Данные 2st'!$JE$2:$JE$317))</f>
        <v>5</v>
      </c>
      <c r="OQ32">
        <f>SUMPRODUCT(--('Данные 2st'!$Q$2:$Q$317=$A32),--ISNUMBER('Данные 2st'!$JF$2:$JF$317))</f>
        <v>5</v>
      </c>
      <c r="OR32">
        <f>SUMPRODUCT(--('Данные 2st'!$Q$2:$Q$317=$A32),--ISNUMBER('Данные 2st'!$JG$2:$JG$317))</f>
        <v>5</v>
      </c>
      <c r="OS32">
        <f>SUMPRODUCT(--('Данные 2st'!$Q$2:$Q$317=$A32),--ISNUMBER('Данные 2st'!$JH$2:$JH$317))</f>
        <v>5</v>
      </c>
      <c r="OT32">
        <f>SUMPRODUCT(--('Данные 2st'!$Q$2:$Q$317=$A32),--ISNUMBER('Данные 2st'!$JI$2:$JI$317))</f>
        <v>5</v>
      </c>
      <c r="OU32">
        <f>SUMPRODUCT(--('Данные 2st'!$Q$2:$Q$317=$A32),--ISNUMBER('Данные 2st'!$JJ$2:$JJ$317))</f>
        <v>5</v>
      </c>
      <c r="OV32">
        <f>SUMPRODUCT(--('Данные 2st'!$Q$2:$Q$317=$A32),--ISNUMBER('Данные 2st'!$JK$2:$JK$317))</f>
        <v>5</v>
      </c>
      <c r="OW32">
        <f>SUMPRODUCT(--('Данные 2st'!$Q$2:$Q$317=$A32),--ISNUMBER('Данные 2st'!$JL$2:$JL$317))</f>
        <v>5</v>
      </c>
      <c r="OX32">
        <f>SUMPRODUCT(--('Данные 2st'!$Q$2:$Q$317=$A32),--ISNUMBER('Данные 2st'!$JM$2:$JM$317))</f>
        <v>5</v>
      </c>
      <c r="OY32">
        <f>SUMPRODUCT(--('Данные 2st'!$Q$2:$Q$317=$A32),--ISNUMBER('Данные 2st'!$JP$2:$JP$317))</f>
        <v>5</v>
      </c>
      <c r="OZ32">
        <f>SUMPRODUCT(--('Данные 2st'!$Q$2:$Q$317=$A32),--ISNUMBER('Данные 2st'!$JQ$2:$JQ$317))</f>
        <v>5</v>
      </c>
      <c r="PA32">
        <f>SUMPRODUCT(--('Данные 2st'!$Q$2:$Q$317=$A32),--ISNUMBER('Данные 2st'!$JR$2:$JR$317))</f>
        <v>5</v>
      </c>
      <c r="PB32">
        <f>SUMPRODUCT(--('Данные 2st'!$Q$2:$Q$317=$A32),--ISNUMBER('Данные 2st'!$JS$2:$JS$317))</f>
        <v>5</v>
      </c>
      <c r="PC32">
        <f>SUMPRODUCT(--('Данные 2st'!$Q$2:$Q$317=$A32),--ISNUMBER('Данные 2st'!$JT$2:$JT$317))</f>
        <v>5</v>
      </c>
      <c r="PD32">
        <f>SUMPRODUCT(--('Данные 2st'!$Q$2:$Q$317=$A32),--ISNUMBER('Данные 2st'!$JU$2:$JU$317))</f>
        <v>5</v>
      </c>
      <c r="PE32">
        <f>SUMPRODUCT(--('Данные 2st'!$Q$2:$Q$317=$A32),--ISNUMBER('Данные 2st'!$JV$2:$JV$317))</f>
        <v>5</v>
      </c>
      <c r="PF32">
        <f>SUMPRODUCT(--('Данные 2st'!$Q$2:$Q$317=$A32),--ISNUMBER('Данные 2st'!$JW$2:$JW$317))</f>
        <v>5</v>
      </c>
      <c r="PG32">
        <f>SUMPRODUCT(--('Данные 2st'!$Q$2:$Q$317=$A32),--ISNUMBER('Данные 2st'!$KF$2:$KF$317))</f>
        <v>5</v>
      </c>
      <c r="PH32">
        <f>SUMPRODUCT(--('Данные 2st'!$Q$2:$Q$317=$A32),--ISNUMBER('Данные 2st'!$KG$2:$KG$317))</f>
        <v>5</v>
      </c>
      <c r="PI32">
        <f>SUMPRODUCT(--('Данные 2st'!$Q$2:$Q$317=$A32),--ISNUMBER('Данные 2st'!$KM$2:$KM$317))</f>
        <v>5</v>
      </c>
      <c r="PJ32">
        <f>SUMPRODUCT(--('Данные 2st'!$Q$2:$Q$317=$A32),--ISNUMBER('Данные 2st'!$KN$2:$KN$317))</f>
        <v>5</v>
      </c>
      <c r="PK32">
        <f>SUMPRODUCT(--('Данные 2st'!$Q$2:$Q$317=$A32),--ISNUMBER('Данные 2st'!$KO$2:$KO$317))</f>
        <v>5</v>
      </c>
      <c r="PL32">
        <f>SUMPRODUCT(--('Данные 2st'!$Q$2:$Q$317=$A32),--ISNUMBER('Данные 2st'!$KP$2:$KP$317))</f>
        <v>5</v>
      </c>
      <c r="PM32">
        <f>SUMPRODUCT(--('Данные 2st'!$Q$2:$Q$317=$A32),--ISNUMBER('Данные 2st'!$KQ$2:$KQ$317))</f>
        <v>5</v>
      </c>
      <c r="PN32">
        <f>SUMPRODUCT(--('Данные 2st'!$Q$2:$Q$317=$A32),--ISNUMBER('Данные 2st'!$KR$2:$KR$317))</f>
        <v>5</v>
      </c>
      <c r="PO32">
        <f>SUMPRODUCT(--('Данные 2st'!$Q$2:$Q$317=$A32),--ISNUMBER('Данные 2st'!$KS$2:$KS$317))</f>
        <v>5</v>
      </c>
      <c r="PP32">
        <f>SUMPRODUCT(--('Данные 2st'!$Q$2:$Q$317=$A32),--ISNUMBER('Данные 2st'!$KT$2:$KT$317))</f>
        <v>5</v>
      </c>
      <c r="PQ32">
        <f>SUMPRODUCT(--('Данные 2st'!$Q$2:$Q$317=$A32),--ISNUMBER('Данные 2st'!$KU$2:$KU$317))</f>
        <v>5</v>
      </c>
      <c r="PR32">
        <f>SUMPRODUCT(--('Данные 2st'!$Q$2:$Q$317=$A32),--ISNUMBER('Данные 2st'!$KV$2:$KV$317))</f>
        <v>5</v>
      </c>
      <c r="PS32">
        <f>SUMPRODUCT(--('Данные 2st'!$Q$2:$Q$317=$A32),--ISNUMBER('Данные 2st'!$KW$2:$KW$317))</f>
        <v>5</v>
      </c>
      <c r="PT32">
        <f>SUMPRODUCT(--('Данные 2st'!$Q$2:$Q$317=$A32),--ISNUMBER('Данные 2st'!$KX$2:$KX$317))</f>
        <v>5</v>
      </c>
      <c r="PU32">
        <f>SUMPRODUCT(--('Данные 2st'!$Q$2:$Q$317=$A32),--ISNUMBER('Данные 2st'!$KY$2:$KY$317))</f>
        <v>5</v>
      </c>
      <c r="PV32">
        <f>SUMPRODUCT(--('Данные 2st'!$Q$2:$Q$317=$A32),--ISNUMBER('Данные 2st'!$KZ$2:$KZ$317))</f>
        <v>5</v>
      </c>
      <c r="PW32">
        <f>SUMPRODUCT(--('Данные 2st'!$Q$2:$Q$317=$A32),--ISNUMBER('Данные 2st'!$LA$2:$LA$317))</f>
        <v>5</v>
      </c>
      <c r="PX32">
        <f>SUMPRODUCT(--('Данные 2st'!$Q$2:$Q$317=$A32),--ISNUMBER('Данные 2st'!$LB$2:$LB$317))</f>
        <v>5</v>
      </c>
      <c r="PY32">
        <f>SUMPRODUCT(--('Данные 2st'!$Q$2:$Q$317=$A32),--ISNUMBER('Данные 2st'!$LC$2:$LC$317))</f>
        <v>5</v>
      </c>
      <c r="PZ32">
        <f>SUMPRODUCT(--('Данные 2st'!$Q$2:$Q$317=$A32),--ISNUMBER('Данные 2st'!$LD$2:$LD$317))</f>
        <v>5</v>
      </c>
      <c r="QA32">
        <f>SUMPRODUCT(--('Данные 2st'!$Q$2:$Q$317=$A32),--ISNUMBER('Данные 2st'!$LE$2:$LE$317))</f>
        <v>5</v>
      </c>
      <c r="QB32">
        <f>SUMPRODUCT(--('Данные 2st'!$Q$2:$Q$317=$A32),--ISNUMBER('Данные 2st'!$LF$2:$LF$317))</f>
        <v>5</v>
      </c>
      <c r="QC32">
        <f>SUMPRODUCT(--('Данные 2st'!$Q$2:$Q$317=$A32),--ISNUMBER('Данные 2st'!$LG$2:$LG$317))</f>
        <v>5</v>
      </c>
      <c r="QD32">
        <f>SUMPRODUCT(--('Данные 2st'!$Q$2:$Q$317=$A32),--ISNUMBER('Данные 2st'!$LH$2:$LH$317))</f>
        <v>5</v>
      </c>
      <c r="QE32">
        <f>SUMPRODUCT(--('Данные 2st'!$Q$2:$Q$317=$A32),--ISNUMBER('Данные 2st'!$LJ$2:$LJ$317))</f>
        <v>5</v>
      </c>
      <c r="QF32">
        <f>SUMPRODUCT(--('Данные 2st'!$Q$2:$Q$317=$A32),--ISNUMBER('Данные 2st'!$LK$2:$LK$317))</f>
        <v>5</v>
      </c>
      <c r="QG32">
        <f>SUMPRODUCT(--('Данные 2st'!$Q$2:$Q$317=$A32),--ISNUMBER('Данные 2st'!$LL$2:$LL$317))</f>
        <v>5</v>
      </c>
      <c r="QH32">
        <f>SUMPRODUCT(--('Данные 2st'!$Q$2:$Q$317=$A32),--ISNUMBER('Данные 2st'!$LM$2:$LM$317))</f>
        <v>5</v>
      </c>
      <c r="QI32">
        <f>SUMPRODUCT(--('Данные 2st'!$Q$2:$Q$317=$A32),--ISNUMBER('Данные 2st'!$LN$2:$LN$317))</f>
        <v>5</v>
      </c>
      <c r="QJ32">
        <f>SUMPRODUCT(--('Данные 2st'!$Q$2:$Q$317=$A32),--ISNUMBER('Данные 2st'!$LO$2:$LO$317))</f>
        <v>5</v>
      </c>
      <c r="QK32">
        <f>SUMPRODUCT(--('Данные 2st'!$Q$2:$Q$317=$A32),--ISNUMBER('Данные 2st'!$LP$2:$LP$317))</f>
        <v>5</v>
      </c>
      <c r="QL32">
        <f>SUMPRODUCT(--('Данные 2st'!$Q$2:$Q$317=$A32),--ISNUMBER('Данные 2st'!$LQ$2:$LQ$317))</f>
        <v>5</v>
      </c>
      <c r="QM32">
        <f>SUMPRODUCT(--('Данные 2st'!$Q$2:$Q$317=$A32),--ISNUMBER('Данные 2st'!$LW$2:$LW$317))</f>
        <v>5</v>
      </c>
      <c r="QN32">
        <f>SUMPRODUCT(--('Данные 2st'!$Q$2:$Q$317=$A32),--ISNUMBER('Данные 2st'!$LX$2:$LX$317))</f>
        <v>5</v>
      </c>
      <c r="QO32">
        <f>SUMPRODUCT(--('Данные 2st'!$Q$2:$Q$317=$A32),--ISNUMBER('Данные 2st'!$LY$2:$LY$317))</f>
        <v>5</v>
      </c>
      <c r="QP32">
        <f>SUMPRODUCT(--('Данные 2st'!$Q$2:$Q$317=$A32),--ISNUMBER('Данные 2st'!$LZ$2:$LZ$317))</f>
        <v>5</v>
      </c>
      <c r="QQ32">
        <f>SUMPRODUCT(--('Данные 2st'!$Q$2:$Q$317=$A32),--ISNUMBER('Данные 2st'!$MB$2:$MB$317))</f>
        <v>5</v>
      </c>
      <c r="QR32">
        <f>SUMPRODUCT(--('Данные 2st'!$Q$2:$Q$317=$A32),--ISNUMBER('Данные 2st'!$MG$2:$MG$317))</f>
        <v>4</v>
      </c>
      <c r="QS32">
        <f>SUMPRODUCT(--('Данные 2st'!$Q$2:$Q$317=$A32),--ISNUMBER('Данные 2st'!$MH$2:$MH$317))</f>
        <v>4</v>
      </c>
      <c r="QT32">
        <f>SUMPRODUCT(--('Данные 2st'!$Q$2:$Q$317=$A32),--ISNUMBER('Данные 2st'!$MI$2:$MI$317))</f>
        <v>5</v>
      </c>
      <c r="QU32">
        <f>SUMPRODUCT(--('Данные 2st'!$Q$2:$Q$317=$A32),--ISNUMBER('Данные 2st'!$MJ$2:$MJ$317))</f>
        <v>5</v>
      </c>
      <c r="QV32">
        <f>SUMPRODUCT(--('Данные 2st'!$Q$2:$Q$317=$A32),--ISNUMBER('Данные 2st'!$MK$2:$MK$317))</f>
        <v>4</v>
      </c>
      <c r="QW32">
        <f>SUMPRODUCT(--('Данные 2st'!$Q$2:$Q$317=$A32),--ISNUMBER('Данные 2st'!$MM$2:$MM$317))</f>
        <v>5</v>
      </c>
      <c r="QX32">
        <f>SUMPRODUCT(--('Данные 2st'!$Q$2:$Q$317=$A32),--ISNUMBER('Данные 2st'!$MQ$2:$MQ$317))</f>
        <v>0</v>
      </c>
      <c r="QY32">
        <f>SUMPRODUCT(--('Данные 2st'!$Q$2:$Q$317=$A32),--ISNUMBER('Данные 2st'!$MR$2:$MR$317))</f>
        <v>0</v>
      </c>
      <c r="QZ32">
        <f>SUMPRODUCT(--('Данные 2st'!$Q$2:$Q$317=$A32),--ISNUMBER('Данные 2st'!$MS$2:$MS$317))</f>
        <v>0</v>
      </c>
      <c r="RA32">
        <f>SUMPRODUCT(--('Данные 2st'!$Q$2:$Q$317=$A32),--ISNUMBER('Данные 2st'!$MT$2:$MT$317))</f>
        <v>0</v>
      </c>
      <c r="RB32">
        <f>SUMPRODUCT(--('Данные 2st'!$Q$2:$Q$317=$A32),--ISNUMBER('Данные 2st'!$MU$2:$MU$317))</f>
        <v>0</v>
      </c>
      <c r="RC32">
        <f>SUMPRODUCT(--('Данные 2st'!$Q$2:$Q$317=$A32),--ISNUMBER('Данные 2st'!$MV$2:$MV$317))</f>
        <v>0</v>
      </c>
      <c r="RD32">
        <f>SUMPRODUCT(--('Данные 2st'!$Q$2:$Q$317=$A32),--ISNUMBER('Данные 2st'!$MW$2:$MW$317))</f>
        <v>0</v>
      </c>
      <c r="RE32">
        <f>SUMPRODUCT(--('Данные 2st'!$Q$2:$Q$317=$A32),--ISNUMBER('Данные 2st'!$MX$2:$MX$317))</f>
        <v>0</v>
      </c>
      <c r="RF32">
        <f>SUMPRODUCT(--('Данные 2st'!$Q$2:$Q$317=$A32),--ISNUMBER('Данные 2st'!$MY$2:$MY$317))</f>
        <v>0</v>
      </c>
      <c r="RG32">
        <f>SUMPRODUCT(--('Данные 2st'!$Q$2:$Q$317=$A32),--ISNUMBER('Данные 2st'!$MZ$2:$MZ$317))</f>
        <v>0</v>
      </c>
      <c r="RH32">
        <f>SUMPRODUCT(--('Данные 2st'!$Q$2:$Q$317=$A32),--ISNUMBER('Данные 2st'!$NA$2:$NA$317))</f>
        <v>0</v>
      </c>
      <c r="RI32">
        <f>SUMPRODUCT(--('Данные 2st'!$Q$2:$Q$317=$A32),--ISNUMBER('Данные 2st'!$NB$2:$NB$317))</f>
        <v>0</v>
      </c>
      <c r="RJ32">
        <f>SUMPRODUCT(--('Данные 2st'!$Q$2:$Q$317=$A32),--ISNUMBER('Данные 2st'!$NC$2:$NC$317))</f>
        <v>0</v>
      </c>
      <c r="RK32">
        <f>SUMPRODUCT(--('Данные 2st'!$Q$2:$Q$317=$A32),--ISNUMBER('Данные 2st'!$ND$2:$ND$317))</f>
        <v>0</v>
      </c>
      <c r="RL32">
        <f>SUMPRODUCT(--('Данные 2st'!$Q$2:$Q$317=$A32),--ISNUMBER('Данные 2st'!$NE$2:$NE$317))</f>
        <v>0</v>
      </c>
      <c r="RM32">
        <f>SUMPRODUCT(--('Данные 2st'!$Q$2:$Q$317=$A32),--ISNUMBER('Данные 2st'!$NF$2:$NF$317))</f>
        <v>0</v>
      </c>
      <c r="RN32">
        <f>SUMPRODUCT(--('Данные 2st'!$Q$2:$Q$317=$A32),--ISNUMBER('Данные 2st'!$NG$2:$NG$317))</f>
        <v>0</v>
      </c>
      <c r="RO32">
        <f>SUMPRODUCT(--('Данные 2st'!$Q$2:$Q$317=$A32),--ISNUMBER('Данные 2st'!$NH$2:$NH$317))</f>
        <v>0</v>
      </c>
      <c r="RP32">
        <f>SUMPRODUCT(--('Данные 2st'!$Q$2:$Q$317=$A32),--ISNUMBER('Данные 2st'!$NJ$2:$NJ$317))</f>
        <v>0</v>
      </c>
      <c r="RQ32">
        <f>SUMPRODUCT(--('Данные 2st'!$Q$2:$Q$317=$A32),--ISNUMBER('Данные 2st'!$NK$2:$NK$317))</f>
        <v>0</v>
      </c>
      <c r="RR32">
        <f>SUMPRODUCT(--('Данные 2st'!$Q$2:$Q$317=$A32),--ISNUMBER('Данные 2st'!$NM$2:$NM$317))</f>
        <v>0</v>
      </c>
      <c r="RS32">
        <f>SUMPRODUCT(--('Данные 2st'!$Q$2:$Q$317=$A32),--ISNUMBER('Данные 2st'!$NN$2:$NN$317))</f>
        <v>0</v>
      </c>
      <c r="RT32">
        <f>SUMPRODUCT(--('Данные 2st'!$Q$2:$Q$317=$A32),--ISNUMBER('Данные 2st'!$NO$2:$NO$317))</f>
        <v>0</v>
      </c>
      <c r="RU32">
        <f>SUMPRODUCT(--('Данные 2st'!$Q$2:$Q$317=$A32),--ISNUMBER('Данные 2st'!$NP$2:$NP$317))</f>
        <v>0</v>
      </c>
      <c r="RV32">
        <f>SUMPRODUCT(--('Данные 2st'!$Q$2:$Q$317=$A32),--ISNUMBER('Данные 2st'!$NQ$2:$NQ$317))</f>
        <v>0</v>
      </c>
      <c r="RW32">
        <f>SUMPRODUCT(--('Данные 2st'!$Q$2:$Q$317=$A32),--ISNUMBER('Данные 2st'!$NR$2:$NR$317))</f>
        <v>0</v>
      </c>
      <c r="RX32">
        <f>SUMPRODUCT(--('Данные 2st'!$Q$2:$Q$317=$A32),--ISNUMBER('Данные 2st'!$NS$2:$NS$317))</f>
        <v>0</v>
      </c>
      <c r="RY32">
        <f>SUMPRODUCT(--('Данные 2st'!$Q$2:$Q$317=$A32),--ISNUMBER('Данные 2st'!$NT$2:$NT$317))</f>
        <v>0</v>
      </c>
      <c r="RZ32">
        <f>SUMPRODUCT(--('Данные 2st'!$Q$2:$Q$317=$A32),--ISNUMBER('Данные 2st'!$OK$2:$OK$317))</f>
        <v>5</v>
      </c>
      <c r="SA32">
        <f>SUMPRODUCT(--('Данные 2st'!$Q$2:$Q$317=$A32),--ISNUMBER('Данные 2st'!$OL$2:$OL$317))</f>
        <v>5</v>
      </c>
      <c r="SB32">
        <f>SUMPRODUCT(--('Данные 2st'!$Q$2:$Q$317=$A32),--ISNUMBER('Данные 2st'!$ON$2:$ON$317))</f>
        <v>5</v>
      </c>
      <c r="SC32">
        <f>SUMPRODUCT(--('Данные 2st'!$Q$2:$Q$317=$A32),--ISNUMBER('Данные 2st'!$OO$2:$OO$317))</f>
        <v>5</v>
      </c>
      <c r="SD32">
        <f>SUMPRODUCT(--('Данные 2st'!$Q$2:$Q$317=$A32),--ISNUMBER('Данные 2st'!$OP$2:$OP$317))</f>
        <v>5</v>
      </c>
      <c r="SE32">
        <f>SUMPRODUCT(--('Данные 2st'!$Q$2:$Q$317=$A32),--ISNUMBER('Данные 2st'!$OQ$2:$OQ$317))</f>
        <v>5</v>
      </c>
      <c r="SF32">
        <f>SUMPRODUCT(--('Данные 2st'!$Q$2:$Q$317=$A32),--ISNUMBER('Данные 2st'!$OS$2:$OS$317))</f>
        <v>5</v>
      </c>
      <c r="SG32">
        <f>SUMPRODUCT(--('Данные 2st'!$Q$2:$Q$317=$A32),--ISNUMBER('Данные 2st'!$OT$2:$OT$317))</f>
        <v>5</v>
      </c>
      <c r="SH32">
        <f>SUMPRODUCT(--('Данные 2st'!$Q$2:$Q$317=$A32),--ISNUMBER('Данные 2st'!$OU$2:$OU$317))</f>
        <v>5</v>
      </c>
      <c r="SI32">
        <f>SUMPRODUCT(--('Данные 2st'!$Q$2:$Q$317=$A32),--ISNUMBER('Данные 2st'!$OV$2:$OV$317))</f>
        <v>5</v>
      </c>
      <c r="SJ32">
        <f>SUMPRODUCT(--('Данные 2st'!$Q$2:$Q$317=$A32),--ISNUMBER('Данные 2st'!$OX$2:$OX$317))</f>
        <v>5</v>
      </c>
      <c r="SK32">
        <f>SUMPRODUCT(--('Данные 2st'!$Q$2:$Q$317=$A32),--ISNUMBER('Данные 2st'!$OY$2:$OY$317))</f>
        <v>5</v>
      </c>
      <c r="SL32">
        <f>SUMPRODUCT(--('Данные 2st'!$Q$2:$Q$317=$A32),--ISNUMBER('Данные 2st'!$OZ$2:$OZ$317))</f>
        <v>5</v>
      </c>
      <c r="SM32">
        <f>SUMPRODUCT(--('Данные 2st'!$Q$2:$Q$317=$A32),--ISNUMBER('Данные 2st'!$PA$2:$PA$317))</f>
        <v>5</v>
      </c>
      <c r="SN32">
        <f>SUMPRODUCT(--('Данные 2st'!$Q$2:$Q$317=$A32),--ISNUMBER('Данные 2st'!$PC$2:$PC$317))</f>
        <v>5</v>
      </c>
      <c r="SO32">
        <f>SUMPRODUCT(--('Данные 2st'!$Q$2:$Q$317=$A32),--ISNUMBER('Данные 2st'!$PD$2:$PD$317))</f>
        <v>5</v>
      </c>
      <c r="SP32">
        <f>SUMPRODUCT(--('Данные 2st'!$Q$2:$Q$317=$A32),--ISNUMBER('Данные 2st'!$PF$2:$PF$317))</f>
        <v>5</v>
      </c>
      <c r="SQ32">
        <f>SUMPRODUCT(--('Данные 2st'!$Q$2:$Q$317=$A32),--ISNUMBER('Данные 2st'!$PG$2:$PG$317))</f>
        <v>5</v>
      </c>
      <c r="SR32">
        <f>SUMPRODUCT(--('Данные 2st'!$Q$2:$Q$317=$A32),--ISNUMBER('Данные 2st'!$PH$2:$PH$317))</f>
        <v>5</v>
      </c>
      <c r="SS32">
        <f>SUMPRODUCT(--('Данные 2st'!$Q$2:$Q$317=$A32),--ISNUMBER('Данные 2st'!$PI$2:$PI$317))</f>
        <v>5</v>
      </c>
      <c r="ST32">
        <f>SUMPRODUCT(--('Данные 2st'!$Q$2:$Q$317=$A32),--ISNUMBER('Данные 2st'!$PJ$2:$PJ$317))</f>
        <v>5</v>
      </c>
      <c r="SU32">
        <f>SUMPRODUCT(--('Данные 2st'!$Q$2:$Q$317=$A32),--ISNUMBER('Данные 2st'!$PK$2:$PK$317))</f>
        <v>4</v>
      </c>
      <c r="SV32">
        <f>SUMPRODUCT(--('Данные 2st'!$Q$2:$Q$317=$A32),--ISNUMBER('Данные 2st'!$PL$2:$PL$317))</f>
        <v>5</v>
      </c>
      <c r="SW32">
        <f>SUMPRODUCT(--('Данные 2st'!$Q$2:$Q$317=$A32),--ISNUMBER('Данные 2st'!$PM$2:$PM$317))</f>
        <v>5</v>
      </c>
      <c r="SX32">
        <f>SUMPRODUCT(--('Данные 2st'!$Q$2:$Q$317=$A32),--ISNUMBER('Данные 2st'!$PN$2:$PN$317))</f>
        <v>5</v>
      </c>
      <c r="SY32">
        <f>SUMPRODUCT(--('Данные 2st'!$Q$2:$Q$317=$A32),--ISNUMBER('Данные 2st'!$PO$2:$PO$317))</f>
        <v>5</v>
      </c>
      <c r="SZ32">
        <f>SUMPRODUCT(--('Данные 2st'!$Q$2:$Q$317=$A32),--ISNUMBER('Данные 2st'!$PP$2:$PP$317))</f>
        <v>5</v>
      </c>
      <c r="TA32">
        <f>SUMPRODUCT(--('Данные 2st'!$Q$2:$Q$317=$A32),--ISNUMBER('Данные 2st'!$PQ$2:$PQ$317))</f>
        <v>5</v>
      </c>
      <c r="TB32">
        <f>SUMPRODUCT(--('Данные 2st'!$Q$2:$Q$317=$A32),--ISNUMBER('Данные 2st'!$PR$2:$PR$317))</f>
        <v>5</v>
      </c>
      <c r="TC32">
        <f>SUMPRODUCT(--('Данные 2st'!$Q$2:$Q$317=$A32),--ISNUMBER('Данные 2st'!$PS$2:$PS$317))</f>
        <v>5</v>
      </c>
      <c r="TD32">
        <f>SUMPRODUCT(--('Данные 2st'!$Q$2:$Q$317=$A32),--ISNUMBER('Данные 2st'!$PT$2:$PT$317))</f>
        <v>5</v>
      </c>
      <c r="TE32">
        <f>SUMPRODUCT(--('Данные 2st'!$Q$2:$Q$317=$A32),--ISNUMBER('Данные 2st'!$PU$2:$PU$317))</f>
        <v>5</v>
      </c>
      <c r="TF32">
        <f>SUMPRODUCT(--('Данные 2st'!$Q$2:$Q$317=$A32),--ISNUMBER('Данные 2st'!$PX$2:$PX$317))</f>
        <v>5</v>
      </c>
      <c r="TG32">
        <f>SUMPRODUCT(--('Данные 2st'!$Q$2:$Q$317=$A32),--ISNUMBER('Данные 2st'!$PY$2:$PY$317))</f>
        <v>5</v>
      </c>
      <c r="TH32">
        <f>SUMPRODUCT(--('Данные 2st'!$Q$2:$Q$317=$A32),--ISNUMBER('Данные 2st'!$PZ$2:$PZ$317))</f>
        <v>5</v>
      </c>
      <c r="TI32">
        <f>SUMPRODUCT(--('Данные 2st'!$Q$2:$Q$317=$A32),--ISNUMBER('Данные 2st'!$QA$2:$QA$317))</f>
        <v>5</v>
      </c>
      <c r="TJ32">
        <f>SUMPRODUCT(--('Данные 2st'!$Q$2:$Q$317=$A32),--ISNUMBER('Данные 2st'!$QB$2:$QB$317))</f>
        <v>5</v>
      </c>
      <c r="TK32">
        <f>SUMPRODUCT(--('Данные 2st'!$Q$2:$Q$317=$A32),--ISNUMBER('Данные 2st'!$QC$2:$QC$317))</f>
        <v>5</v>
      </c>
      <c r="TL32">
        <f>SUMPRODUCT(--('Данные 2st'!$Q$2:$Q$317=$A32),--ISNUMBER('Данные 2st'!$QD$2:$QD$317))</f>
        <v>5</v>
      </c>
      <c r="TM32">
        <f>SUMPRODUCT(--('Данные 2st'!$Q$2:$Q$317=$A32),--ISNUMBER('Данные 2st'!$QE$2:$QE$317))</f>
        <v>5</v>
      </c>
      <c r="TN32">
        <f>SUMPRODUCT(--('Данные 2st'!$Q$2:$Q$317=$A32),--ISNUMBER('Данные 2st'!$QF$2:$QF$317))</f>
        <v>5</v>
      </c>
      <c r="TO32">
        <f>SUMPRODUCT(--('Данные 2st'!$Q$2:$Q$317=$A32),--ISNUMBER('Данные 2st'!$QG$2:$QG$317))</f>
        <v>5</v>
      </c>
      <c r="TP32">
        <f>SUMPRODUCT(--('Данные 2st'!$Q$2:$Q$317=$A32),--ISNUMBER('Данные 2st'!$QH$2:$QH$317))</f>
        <v>5</v>
      </c>
      <c r="TQ32">
        <f>SUMPRODUCT(--('Данные 2st'!$Q$2:$Q$317=$A32),--ISNUMBER('Данные 2st'!$QI$2:$QI$317))</f>
        <v>5</v>
      </c>
      <c r="TR32">
        <f>SUMPRODUCT(--('Данные 2st'!$Q$2:$Q$317=$A32),--ISNUMBER('Данные 2st'!$QJ$2:$QJ$317))</f>
        <v>5</v>
      </c>
      <c r="TS32">
        <f>SUMPRODUCT(--('Данные 2st'!$Q$2:$Q$317=$A32),--ISNUMBER('Данные 2st'!$QK$2:$QK$317))</f>
        <v>5</v>
      </c>
      <c r="TT32">
        <f>SUMPRODUCT(--('Данные 2st'!$Q$2:$Q$317=$A32),--ISNUMBER('Данные 2st'!$QL$2:$QL$317))</f>
        <v>5</v>
      </c>
      <c r="TU32">
        <f>SUMPRODUCT(--('Данные 2st'!$Q$2:$Q$317=$A32),--ISNUMBER('Данные 2st'!$QM$2:$QM$317))</f>
        <v>5</v>
      </c>
      <c r="TV32">
        <f>SUMPRODUCT(--('Данные 2st'!$Q$2:$Q$317=$A32),--ISNUMBER('Данные 2st'!$QN$2:$QN$317))</f>
        <v>5</v>
      </c>
      <c r="TW32">
        <f>SUMPRODUCT(--('Данные 2st'!$Q$2:$Q$317=$A32),--ISNUMBER('Данные 2st'!$QQ$2:$QQ$317))</f>
        <v>5</v>
      </c>
      <c r="TX32">
        <f>SUMPRODUCT(--('Данные 2st'!$Q$2:$Q$317=$A32),--ISNUMBER('Данные 2st'!$QS$2:$QS$317))</f>
        <v>5</v>
      </c>
      <c r="TY32">
        <f>SUMPRODUCT(--('Данные 2st'!$Q$2:$Q$317=$A32),--ISNUMBER('Данные 2st'!$QT$2:$QT$317))</f>
        <v>5</v>
      </c>
    </row>
    <row r="33" spans="1:545" ht="32" customHeight="1">
      <c r="A33" s="11" t="str">
        <f>'По размерам'!A33</f>
        <v>225/45R19</v>
      </c>
      <c r="G33">
        <f>SUMPRODUCT(--('Данные 1st'!$S$2:$S$317=$A33),--ISNUMBER('Данные 1st'!$AE$2:$AE$317))</f>
        <v>7</v>
      </c>
      <c r="H33">
        <f>SUMPRODUCT(--('Данные 1st'!$S$2:$S$317=$A33),--ISNUMBER('Данные 1st'!$AF$2:$AF$317))</f>
        <v>7</v>
      </c>
      <c r="I33">
        <f>SUMPRODUCT(--('Данные 1st'!$S$2:$S$317=$A33),--ISNUMBER('Данные 1st'!$AJ$2:$AJ$317))</f>
        <v>7</v>
      </c>
      <c r="J33">
        <f>SUMPRODUCT(--('Данные 1st'!$S$2:$S$317=$A33),--ISNUMBER('Данные 1st'!$AL$2:$AL$317))</f>
        <v>7</v>
      </c>
      <c r="K33">
        <f>SUMPRODUCT(--('Данные 1st'!$S$2:$S$317=$A33),--ISNUMBER('Данные 1st'!$AR$2:$AR$317))</f>
        <v>7</v>
      </c>
      <c r="L33">
        <f>SUMPRODUCT(--('Данные 1st'!$S$2:$S$317=$A33),--ISNUMBER('Данные 1st'!$AS$2:$AS$317))</f>
        <v>7</v>
      </c>
      <c r="M33">
        <f>SUMPRODUCT(--('Данные 1st'!$S$2:$S$317=$A33),--ISNUMBER('Данные 1st'!$AY$2:$AY$317))</f>
        <v>7</v>
      </c>
      <c r="N33">
        <f>SUMPRODUCT(--('Данные 1st'!$S$2:$S$317=$A33),--ISNUMBER('Данные 1st'!$AZ$2:$AZ$317))</f>
        <v>7</v>
      </c>
      <c r="O33">
        <f>SUMPRODUCT(--('Данные 1st'!$S$2:$S$317=$A33),--ISNUMBER('Данные 1st'!$BF$2:$BF$317))</f>
        <v>0</v>
      </c>
      <c r="P33">
        <f>SUMPRODUCT(--('Данные 1st'!$S$2:$S$317=$A33),--ISNUMBER('Данные 1st'!$BG$2:$BG$317))</f>
        <v>7</v>
      </c>
      <c r="Q33">
        <f>SUMPRODUCT(--('Данные 1st'!$S$2:$S$317=$A33),--ISNUMBER('Данные 1st'!$BM$2:$BM$317))</f>
        <v>0</v>
      </c>
      <c r="R33">
        <f>SUMPRODUCT(--('Данные 1st'!$S$2:$S$317=$A33),--ISNUMBER('Данные 1st'!$BN$2:$BN$317))</f>
        <v>7</v>
      </c>
      <c r="S33">
        <f>SUMPRODUCT(--('Данные 1st'!$S$2:$S$317=$A33),--ISNUMBER('Данные 1st'!$BT$2:$BT$317))</f>
        <v>7</v>
      </c>
      <c r="T33">
        <f>SUMPRODUCT(--('Данные 1st'!$S$2:$S$317=$A33),--ISNUMBER('Данные 1st'!$BU$2:$BU$317))</f>
        <v>7</v>
      </c>
      <c r="U33">
        <f>SUMPRODUCT(--('Данные 1st'!$S$2:$S$317=$A33),--ISNUMBER('Данные 1st'!$BW$2:$BW$317))</f>
        <v>7</v>
      </c>
      <c r="V33">
        <f>SUMPRODUCT(--('Данные 1st'!$S$2:$S$317=$A33),--ISNUMBER('Данные 1st'!$BX$2:$BX$317))</f>
        <v>7</v>
      </c>
      <c r="W33">
        <f>SUMPRODUCT(--('Данные 1st'!$S$2:$S$317=$A33),--ISNUMBER('Данные 1st'!$BZ$2:$BZ$317))</f>
        <v>7</v>
      </c>
      <c r="X33">
        <f>SUMPRODUCT(--('Данные 1st'!$S$2:$S$317=$A33),--ISNUMBER('Данные 1st'!$CA$2:$CA$317))</f>
        <v>7</v>
      </c>
      <c r="Y33">
        <f>SUMPRODUCT(--('Данные 1st'!$S$2:$S$317=$A33),--ISNUMBER('Данные 1st'!$CD$2:$CD$317))</f>
        <v>7</v>
      </c>
      <c r="Z33">
        <f>SUMPRODUCT(--('Данные 1st'!$S$2:$S$317=$A33),--ISNUMBER('Данные 1st'!$CF$2:$CF$317))</f>
        <v>7</v>
      </c>
      <c r="AA33">
        <f>SUMPRODUCT(--('Данные 1st'!$S$2:$S$317=$A33),--ISNUMBER('Данные 1st'!$CI$2:$CI$317))</f>
        <v>7</v>
      </c>
      <c r="AB33">
        <f>SUMPRODUCT(--('Данные 1st'!$S$2:$S$317=$A33),--ISNUMBER('Данные 1st'!$CJ$2:$CJ$317))</f>
        <v>7</v>
      </c>
      <c r="AC33">
        <f>SUMPRODUCT(--('Данные 1st'!$S$2:$S$317=$A33),--ISNUMBER('Данные 1st'!$CK$2:$CK$317))</f>
        <v>7</v>
      </c>
      <c r="AD33">
        <f>SUMPRODUCT(--('Данные 1st'!$S$2:$S$317=$A33),--ISNUMBER('Данные 1st'!$CL$2:$CL$317))</f>
        <v>7</v>
      </c>
      <c r="AE33">
        <f>SUMPRODUCT(--('Данные 1st'!$S$2:$S$317=$A33),--ISNUMBER('Данные 1st'!$CM$2:$CM$317))</f>
        <v>7</v>
      </c>
      <c r="AF33">
        <f>SUMPRODUCT(--('Данные 1st'!$S$2:$S$317=$A33),--ISNUMBER('Данные 1st'!$CT$2:$CT$317))</f>
        <v>7</v>
      </c>
      <c r="AG33">
        <f>SUMPRODUCT(--('Данные 1st'!$S$2:$S$317=$A33),--ISNUMBER('Данные 1st'!$CU$2:$CU$317))</f>
        <v>7</v>
      </c>
      <c r="AH33">
        <f>SUMPRODUCT(--('Данные 1st'!$S$2:$S$317=$A33),--ISNUMBER('Данные 1st'!$CV$2:$CV$317))</f>
        <v>7</v>
      </c>
      <c r="AI33">
        <f>SUMPRODUCT(--('Данные 1st'!$S$2:$S$317=$A33),--ISNUMBER('Данные 1st'!$CW$2:$CW$317))</f>
        <v>7</v>
      </c>
      <c r="AJ33">
        <f>SUMPRODUCT(--('Данные 1st'!$S$2:$S$317=$A33),--ISNUMBER('Данные 1st'!$CX$2:$CX$317))</f>
        <v>7</v>
      </c>
      <c r="AK33">
        <f>SUMPRODUCT(--('Данные 1st'!$S$2:$S$317=$A33),--ISNUMBER('Данные 1st'!$CZ$2:$CZ$317))</f>
        <v>7</v>
      </c>
      <c r="AL33">
        <f>SUMPRODUCT(--('Данные 1st'!$S$2:$S$317=$A33),--ISNUMBER('Данные 1st'!$DA$2:$DA$317))</f>
        <v>7</v>
      </c>
      <c r="AM33">
        <f>SUMPRODUCT(--('Данные 1st'!$S$2:$S$317=$A33),--ISNUMBER('Данные 1st'!$DB$2:$DB$317))</f>
        <v>7</v>
      </c>
      <c r="AN33">
        <f>SUMPRODUCT(--('Данные 1st'!$S$2:$S$317=$A33),--ISNUMBER('Данные 1st'!$DC$2:$DC$317))</f>
        <v>7</v>
      </c>
      <c r="AO33">
        <f>SUMPRODUCT(--('Данные 1st'!$S$2:$S$317=$A33),--ISNUMBER('Данные 1st'!$DD$2:$DD$317))</f>
        <v>7</v>
      </c>
      <c r="AP33">
        <f>SUMPRODUCT(--('Данные 1st'!$S$2:$S$317=$A33),--ISNUMBER('Данные 1st'!$DF$2:$DF$317))</f>
        <v>7</v>
      </c>
      <c r="AQ33">
        <f>SUMPRODUCT(--('Данные 1st'!$S$2:$S$317=$A33),--ISNUMBER('Данные 1st'!$DG$2:$DG$317))</f>
        <v>7</v>
      </c>
      <c r="AR33">
        <f>SUMPRODUCT(--('Данные 1st'!$S$2:$S$317=$A33),--ISNUMBER('Данные 1st'!$DH$2:$DH$317))</f>
        <v>7</v>
      </c>
      <c r="AS33">
        <f>SUMPRODUCT(--('Данные 1st'!$S$2:$S$317=$A33),--ISNUMBER('Данные 1st'!$DI$2:$DI$317))</f>
        <v>7</v>
      </c>
      <c r="AT33">
        <f>SUMPRODUCT(--('Данные 1st'!$S$2:$S$317=$A33),--ISNUMBER('Данные 1st'!$DJ$2:$DJ$317))</f>
        <v>7</v>
      </c>
      <c r="AU33">
        <f>SUMPRODUCT(--('Данные 1st'!$S$2:$S$317=$A33),--ISNUMBER('Данные 1st'!$DL$2:$DL$317))</f>
        <v>0</v>
      </c>
      <c r="AV33">
        <f>SUMPRODUCT(--('Данные 1st'!$S$2:$S$317=$A33),--ISNUMBER('Данные 1st'!$DM$2:$DM$317))</f>
        <v>0</v>
      </c>
      <c r="AW33">
        <f>SUMPRODUCT(--('Данные 1st'!$S$2:$S$317=$A33),--ISNUMBER('Данные 1st'!$DN$2:$DN$317))</f>
        <v>0</v>
      </c>
      <c r="AX33">
        <f>SUMPRODUCT(--('Данные 1st'!$S$2:$S$317=$A33),--ISNUMBER('Данные 1st'!$DO$2:$DO$317))</f>
        <v>0</v>
      </c>
      <c r="AY33">
        <f>SUMPRODUCT(--('Данные 1st'!$S$2:$S$317=$A33),--ISNUMBER('Данные 1st'!$DP$2:$DP$317))</f>
        <v>0</v>
      </c>
      <c r="AZ33">
        <f>SUMPRODUCT(--('Данные 1st'!$S$2:$S$317=$A33),--ISNUMBER('Данные 1st'!$DR$2:$DR$317))</f>
        <v>0</v>
      </c>
      <c r="BA33">
        <f>SUMPRODUCT(--('Данные 1st'!$S$2:$S$317=$A33),--ISNUMBER('Данные 1st'!$DS$2:$DS$317))</f>
        <v>0</v>
      </c>
      <c r="BB33">
        <f>SUMPRODUCT(--('Данные 1st'!$S$2:$S$317=$A33),--ISNUMBER('Данные 1st'!$DT$2:$DT$317))</f>
        <v>0</v>
      </c>
      <c r="BC33">
        <f>SUMPRODUCT(--('Данные 1st'!$S$2:$S$317=$A33),--ISNUMBER('Данные 1st'!$DU$2:$DU$317))</f>
        <v>0</v>
      </c>
      <c r="BD33">
        <f>SUMPRODUCT(--('Данные 1st'!$S$2:$S$317=$A33),--ISNUMBER('Данные 1st'!$DV$2:$DV$317))</f>
        <v>0</v>
      </c>
      <c r="BE33">
        <f>SUMPRODUCT(--('Данные 1st'!$S$2:$S$317=$A33),--ISNUMBER('Данные 1st'!$DX$2:$DX$317))</f>
        <v>7</v>
      </c>
      <c r="BF33">
        <f>SUMPRODUCT(--('Данные 1st'!$S$2:$S$317=$A33),--ISNUMBER('Данные 1st'!$EA$2:$EA$317))</f>
        <v>7</v>
      </c>
      <c r="BG33">
        <f>SUMPRODUCT(--('Данные 1st'!$S$2:$S$317=$A33),--ISNUMBER('Данные 1st'!$EB$2:$EB$317))</f>
        <v>7</v>
      </c>
      <c r="BH33">
        <f>SUMPRODUCT(--('Данные 1st'!$S$2:$S$317=$A33),--ISNUMBER('Данные 1st'!$ED$2:$ED$317))</f>
        <v>7</v>
      </c>
      <c r="BI33">
        <f>SUMPRODUCT(--('Данные 1st'!$S$2:$S$317=$A33),--ISNUMBER('Данные 1st'!$EE$2:$EE$317))</f>
        <v>7</v>
      </c>
      <c r="BJ33">
        <f>SUMPRODUCT(--('Данные 1st'!$S$2:$S$317=$A33),--ISNUMBER('Данные 1st'!$EG$2:$EG$317))</f>
        <v>7</v>
      </c>
      <c r="BK33">
        <f>SUMPRODUCT(--('Данные 1st'!$S$2:$S$317=$A33),--ISNUMBER('Данные 1st'!$EH$2:$EH$317))</f>
        <v>7</v>
      </c>
      <c r="BL33">
        <f>SUMPRODUCT(--('Данные 1st'!$S$2:$S$317=$A33),--ISNUMBER('Данные 1st'!$EJ$2:$EJ$317))</f>
        <v>7</v>
      </c>
      <c r="BM33">
        <f>SUMPRODUCT(--('Данные 1st'!$S$2:$S$317=$A33),--ISNUMBER('Данные 1st'!$EK$2:$EK$317))</f>
        <v>7</v>
      </c>
      <c r="BN33">
        <f>SUMPRODUCT(--('Данные 1st'!$S$2:$S$317=$A33),--ISNUMBER('Данные 1st'!$EN$2:$EN$317))</f>
        <v>7</v>
      </c>
      <c r="BO33">
        <f>SUMPRODUCT(--('Данные 1st'!$S$2:$S$317=$A33),--ISNUMBER('Данные 1st'!$EQ$2:$EQ$317))</f>
        <v>7</v>
      </c>
      <c r="BP33">
        <f>SUMPRODUCT(--('Данные 1st'!$S$2:$S$317=$A33),--ISNUMBER('Данные 1st'!$ER$2:$ER$317))</f>
        <v>7</v>
      </c>
      <c r="BQ33">
        <f>SUMPRODUCT(--('Данные 1st'!$S$2:$S$317=$A33),--ISNUMBER('Данные 1st'!$ES$2:$ES$317))</f>
        <v>7</v>
      </c>
      <c r="BR33">
        <f>SUMPRODUCT(--('Данные 1st'!$S$2:$S$317=$A33),--ISNUMBER('Данные 1st'!$ET$2:$ET$317))</f>
        <v>7</v>
      </c>
      <c r="BS33">
        <f>SUMPRODUCT(--('Данные 1st'!$S$2:$S$317=$A33),--ISNUMBER('Данные 1st'!$EU$2:$EU$317))</f>
        <v>7</v>
      </c>
      <c r="BT33">
        <f>SUMPRODUCT(--('Данные 1st'!$S$2:$S$317=$A33),--ISNUMBER('Данные 1st'!$EV$2:$EV$317))</f>
        <v>7</v>
      </c>
      <c r="BU33">
        <f>SUMPRODUCT(--('Данные 1st'!$S$2:$S$317=$A33),--ISNUMBER('Данные 1st'!$EX$2:$EX$317))</f>
        <v>7</v>
      </c>
      <c r="BV33">
        <f>SUMPRODUCT(--('Данные 1st'!$S$2:$S$317=$A33),--ISNUMBER('Данные 1st'!$EY$2:$EY$317))</f>
        <v>7</v>
      </c>
      <c r="BW33">
        <f>SUMPRODUCT(--('Данные 1st'!$S$2:$S$317=$A33),--ISNUMBER('Данные 1st'!$EZ$2:$EZ$317))</f>
        <v>7</v>
      </c>
      <c r="BX33">
        <f>SUMPRODUCT(--('Данные 1st'!$S$2:$S$317=$A33),--ISNUMBER('Данные 1st'!$FA$2:$FA$317))</f>
        <v>7</v>
      </c>
      <c r="BY33">
        <f>SUMPRODUCT(--('Данные 1st'!$S$2:$S$317=$A33),--ISNUMBER('Данные 1st'!$FB$2:$FB$317))</f>
        <v>7</v>
      </c>
      <c r="BZ33">
        <f>SUMPRODUCT(--('Данные 1st'!$S$2:$S$317=$A33),--ISNUMBER('Данные 1st'!$FC$2:$FC$317))</f>
        <v>7</v>
      </c>
      <c r="CA33">
        <f>SUMPRODUCT(--('Данные 1st'!$S$2:$S$317=$A33),--ISNUMBER('Данные 1st'!$FE$2:$FE$317))</f>
        <v>7</v>
      </c>
      <c r="CB33">
        <f>SUMPRODUCT(--('Данные 1st'!$S$2:$S$317=$A33),--ISNUMBER('Данные 1st'!$FF$2:$FF$317))</f>
        <v>7</v>
      </c>
      <c r="CC33">
        <f>SUMPRODUCT(--('Данные 1st'!$S$2:$S$317=$A33),--ISNUMBER('Данные 1st'!$FI$2:$FI$317))</f>
        <v>7</v>
      </c>
      <c r="CD33">
        <f>SUMPRODUCT(--('Данные 1st'!$S$2:$S$317=$A33),--ISNUMBER('Данные 1st'!$FL$2:$FL$317))</f>
        <v>7</v>
      </c>
      <c r="CE33">
        <f>SUMPRODUCT(--('Данные 1st'!$S$2:$S$317=$A33),--ISNUMBER('Данные 1st'!$FM$2:$FM$317))</f>
        <v>7</v>
      </c>
      <c r="CF33">
        <f>SUMPRODUCT(--('Данные 1st'!$S$2:$S$317=$A33),--ISNUMBER('Данные 1st'!$FN$2:$FN$317))</f>
        <v>7</v>
      </c>
      <c r="CG33">
        <f>SUMPRODUCT(--('Данные 1st'!$S$2:$S$317=$A33),--ISNUMBER('Данные 1st'!$FO$2:$FO$317))</f>
        <v>7</v>
      </c>
      <c r="CH33">
        <f>SUMPRODUCT(--('Данные 1st'!$S$2:$S$317=$A33),--ISNUMBER('Данные 1st'!$FP$2:$FP$317))</f>
        <v>7</v>
      </c>
      <c r="CI33">
        <f>SUMPRODUCT(--('Данные 1st'!$S$2:$S$317=$A33),--ISNUMBER('Данные 1st'!$FS$2:$FS$317))</f>
        <v>5</v>
      </c>
      <c r="CJ33">
        <f>SUMPRODUCT(--('Данные 1st'!$S$2:$S$317=$A33),--ISNUMBER('Данные 1st'!$FT$2:$FT$317))</f>
        <v>5</v>
      </c>
      <c r="CK33">
        <f>SUMPRODUCT(--('Данные 1st'!$S$2:$S$317=$A33),--ISNUMBER('Данные 1st'!$FU$2:$FU$317))</f>
        <v>5</v>
      </c>
      <c r="CL33">
        <f>SUMPRODUCT(--('Данные 1st'!$S$2:$S$317=$A33),--ISNUMBER('Данные 1st'!$FV$2:$FV$317))</f>
        <v>0</v>
      </c>
      <c r="CM33">
        <f>SUMPRODUCT(--('Данные 1st'!$S$2:$S$317=$A33),--ISNUMBER('Данные 1st'!$FW$2:$FW$317))</f>
        <v>0</v>
      </c>
      <c r="CN33">
        <f>SUMPRODUCT(--('Данные 1st'!$S$2:$S$317=$A33),--ISNUMBER('Данные 1st'!$FZ$2:$FZ$317))</f>
        <v>4</v>
      </c>
      <c r="CO33">
        <f>SUMPRODUCT(--('Данные 1st'!$S$2:$S$317=$A33),--ISNUMBER('Данные 1st'!$GA$2:$GA$317))</f>
        <v>4</v>
      </c>
      <c r="CP33">
        <f>SUMPRODUCT(--('Данные 1st'!$S$2:$S$317=$A33),--ISNUMBER('Данные 1st'!$GB$2:$GB$317))</f>
        <v>4</v>
      </c>
      <c r="CQ33">
        <f>SUMPRODUCT(--('Данные 1st'!$S$2:$S$317=$A33),--ISNUMBER('Данные 1st'!$GH$2:$GH$317))</f>
        <v>4</v>
      </c>
      <c r="CR33">
        <f>SUMPRODUCT(--('Данные 1st'!$S$2:$S$317=$A33),--ISNUMBER('Данные 1st'!$GI$2:$GI$317))</f>
        <v>4</v>
      </c>
      <c r="CS33">
        <f>SUMPRODUCT(--('Данные 1st'!$S$2:$S$317=$A33),--ISNUMBER('Данные 1st'!$GJ$2:$GJ$317))</f>
        <v>4</v>
      </c>
      <c r="CT33">
        <f>SUMPRODUCT(--('Данные 1st'!$S$2:$S$317=$A33),--ISNUMBER('Данные 1st'!$GS$2:$GS$317))</f>
        <v>0</v>
      </c>
      <c r="CU33">
        <f>SUMPRODUCT(--('Данные 1st'!$S$2:$S$317=$A33),--ISNUMBER('Данные 1st'!$GT$2:$GT$317))</f>
        <v>0</v>
      </c>
      <c r="CV33">
        <f>SUMPRODUCT(--('Данные 1st'!$S$2:$S$317=$A33),--ISNUMBER('Данные 1st'!$GU$2:$GU$317))</f>
        <v>0</v>
      </c>
      <c r="CW33">
        <f>SUMPRODUCT(--('Данные 1st'!$S$2:$S$317=$A33),--ISNUMBER('Данные 1st'!$GV$2:$GV$317))</f>
        <v>0</v>
      </c>
      <c r="CX33">
        <f>SUMPRODUCT(--('Данные 1st'!$S$2:$S$317=$A33),--ISNUMBER('Данные 1st'!$GW$2:$GW$317))</f>
        <v>0</v>
      </c>
      <c r="CY33">
        <f>SUMPRODUCT(--('Данные 1st'!$S$2:$S$317=$A33),--ISNUMBER('Данные 1st'!$GZ$2:$GZ$317))</f>
        <v>0</v>
      </c>
      <c r="CZ33">
        <f>SUMPRODUCT(--('Данные 1st'!$S$2:$S$317=$A33),--ISNUMBER('Данные 1st'!$HA$2:$HA$317))</f>
        <v>0</v>
      </c>
      <c r="DA33">
        <f>SUMPRODUCT(--('Данные 1st'!$S$2:$S$317=$A33),--ISNUMBER('Данные 1st'!$HB$2:$HB$317))</f>
        <v>0</v>
      </c>
      <c r="DB33">
        <f>SUMPRODUCT(--('Данные 1st'!$S$2:$S$317=$A33),--ISNUMBER('Данные 1st'!$HC$2:$HC$317))</f>
        <v>7</v>
      </c>
      <c r="DC33">
        <f>SUMPRODUCT(--('Данные 1st'!$S$2:$S$317=$A33),--ISNUMBER('Данные 1st'!$HD$2:$HD$317))</f>
        <v>7</v>
      </c>
      <c r="DD33">
        <f>SUMPRODUCT(--('Данные 1st'!$S$2:$S$317=$A33),--ISNUMBER('Данные 1st'!$HE$2:$HE$317))</f>
        <v>7</v>
      </c>
      <c r="DE33">
        <f>SUMPRODUCT(--('Данные 1st'!$S$2:$S$317=$A33),--ISNUMBER('Данные 1st'!$HF$2:$HF$317))</f>
        <v>7</v>
      </c>
      <c r="DF33">
        <f>SUMPRODUCT(--('Данные 1st'!$S$2:$S$317=$A33),--ISNUMBER('Данные 1st'!$HG$2:$HG$317))</f>
        <v>7</v>
      </c>
      <c r="DG33">
        <f>SUMPRODUCT(--('Данные 1st'!$S$2:$S$317=$A33),--ISNUMBER('Данные 1st'!$HH$2:$HH$317))</f>
        <v>7</v>
      </c>
      <c r="DH33">
        <f>SUMPRODUCT(--('Данные 1st'!$S$2:$S$317=$A33),--ISNUMBER('Данные 1st'!$HI$2:$HI$317))</f>
        <v>7</v>
      </c>
      <c r="DI33">
        <f>SUMPRODUCT(--('Данные 1st'!$S$2:$S$317=$A33),--ISNUMBER('Данные 1st'!$HJ$2:$HJ$317))</f>
        <v>7</v>
      </c>
      <c r="DJ33">
        <f>SUMPRODUCT(--('Данные 1st'!$S$2:$S$317=$A33),--ISNUMBER('Данные 1st'!$HK$2:$HK$317))</f>
        <v>7</v>
      </c>
      <c r="DK33">
        <f>SUMPRODUCT(--('Данные 1st'!$S$2:$S$317=$A33),--ISNUMBER('Данные 1st'!$HL$2:$HL$317))</f>
        <v>7</v>
      </c>
      <c r="DL33">
        <f>SUMPRODUCT(--('Данные 1st'!$S$2:$S$317=$A33),--ISNUMBER('Данные 1st'!$HM$2:$HM$317))</f>
        <v>7</v>
      </c>
      <c r="DM33">
        <f>SUMPRODUCT(--('Данные 1st'!$S$2:$S$317=$A33),--ISNUMBER('Данные 1st'!$HN$2:$HN$317))</f>
        <v>7</v>
      </c>
      <c r="DN33">
        <f>SUMPRODUCT(--('Данные 1st'!$S$2:$S$317=$A33),--ISNUMBER('Данные 1st'!$HO$2:$HO$317))</f>
        <v>7</v>
      </c>
      <c r="DO33">
        <f>SUMPRODUCT(--('Данные 1st'!$S$2:$S$317=$A33),--ISNUMBER('Данные 1st'!$HP$2:$HP$317))</f>
        <v>7</v>
      </c>
      <c r="DP33">
        <f>SUMPRODUCT(--('Данные 1st'!$S$2:$S$317=$A33),--ISNUMBER('Данные 1st'!$HQ$2:$HQ$317))</f>
        <v>7</v>
      </c>
      <c r="DQ33">
        <f>SUMPRODUCT(--('Данные 1st'!$S$2:$S$317=$A33),--ISNUMBER('Данные 1st'!$HR$2:$HR$317))</f>
        <v>7</v>
      </c>
      <c r="DR33">
        <f>SUMPRODUCT(--('Данные 1st'!$S$2:$S$317=$A33),--ISNUMBER('Данные 1st'!$HS$2:$HS$317))</f>
        <v>7</v>
      </c>
      <c r="DS33">
        <f>SUMPRODUCT(--('Данные 1st'!$S$2:$S$317=$A33),--ISNUMBER('Данные 1st'!$HT$2:$HT$317))</f>
        <v>7</v>
      </c>
      <c r="DT33">
        <f>SUMPRODUCT(--('Данные 1st'!$S$2:$S$317=$A33),--ISNUMBER('Данные 1st'!$HU$2:$HU$317))</f>
        <v>7</v>
      </c>
      <c r="DU33">
        <f>SUMPRODUCT(--('Данные 1st'!$S$2:$S$317=$A33),--ISNUMBER('Данные 1st'!$HW$2:$HW$317))</f>
        <v>7</v>
      </c>
      <c r="DV33">
        <f>SUMPRODUCT(--('Данные 1st'!$S$2:$S$317=$A33),--ISNUMBER('Данные 1st'!$HX$2:$HX$317))</f>
        <v>7</v>
      </c>
      <c r="DW33">
        <f>SUMPRODUCT(--('Данные 1st'!$S$2:$S$317=$A33),--ISNUMBER('Данные 1st'!$HY$2:$HY$317))</f>
        <v>7</v>
      </c>
      <c r="DX33">
        <f>SUMPRODUCT(--('Данные 1st'!$S$2:$S$317=$A33),--ISNUMBER('Данные 1st'!$IA$2:$IA$317))</f>
        <v>7</v>
      </c>
      <c r="DY33">
        <f>SUMPRODUCT(--('Данные 1st'!$S$2:$S$317=$A33),--ISNUMBER('Данные 1st'!$IB$2:$IB$317))</f>
        <v>7</v>
      </c>
      <c r="DZ33">
        <f>SUMPRODUCT(--('Данные 1st'!$S$2:$S$317=$A33),--ISNUMBER('Данные 1st'!$IC$2:$IC$317))</f>
        <v>7</v>
      </c>
      <c r="EA33">
        <f>SUMPRODUCT(--('Данные 1st'!$S$2:$S$317=$A33),--ISNUMBER('Данные 1st'!$ID$2:$ID$317))</f>
        <v>7</v>
      </c>
      <c r="EB33">
        <f>SUMPRODUCT(--('Данные 1st'!$S$2:$S$317=$A33),--ISNUMBER('Данные 1st'!$IE$2:$IE$317))</f>
        <v>7</v>
      </c>
      <c r="EC33">
        <f>SUMPRODUCT(--('Данные 1st'!$S$2:$S$317=$A33),--ISNUMBER('Данные 1st'!$IF$2:$IF$317))</f>
        <v>7</v>
      </c>
      <c r="ED33">
        <f>SUMPRODUCT(--('Данные 1st'!$S$2:$S$317=$A33),--ISNUMBER('Данные 1st'!$IP$2:$IP$317))</f>
        <v>7</v>
      </c>
      <c r="EE33">
        <f>SUMPRODUCT(--('Данные 1st'!$S$2:$S$317=$A33),--ISNUMBER('Данные 1st'!$IV$2:$IV$317))</f>
        <v>7</v>
      </c>
      <c r="EF33">
        <f>SUMPRODUCT(--('Данные 1st'!$S$2:$S$317=$A33),--ISNUMBER('Данные 1st'!$IW$2:$IW$317))</f>
        <v>7</v>
      </c>
      <c r="EG33">
        <f>SUMPRODUCT(--('Данные 1st'!$S$2:$S$317=$A33),--ISNUMBER('Данные 1st'!$IX$2:$IX$317))</f>
        <v>0</v>
      </c>
      <c r="EH33">
        <f>SUMPRODUCT(--('Данные 1st'!$S$2:$S$317=$A33),--ISNUMBER('Данные 1st'!$IY$2:$IY$317))</f>
        <v>0</v>
      </c>
      <c r="EI33">
        <f>SUMPRODUCT(--('Данные 1st'!$S$2:$S$317=$A33),--ISNUMBER('Данные 1st'!$JD$2:$JD$317))</f>
        <v>7</v>
      </c>
      <c r="EJ33">
        <f>SUMPRODUCT(--('Данные 1st'!$S$2:$S$317=$A33),--ISNUMBER('Данные 1st'!$JE$2:$JE$317))</f>
        <v>7</v>
      </c>
      <c r="EK33">
        <f>SUMPRODUCT(--('Данные 1st'!$S$2:$S$317=$A33),--ISNUMBER('Данные 1st'!$JF$2:$JF$317))</f>
        <v>7</v>
      </c>
      <c r="EL33">
        <f>SUMPRODUCT(--('Данные 1st'!$S$2:$S$317=$A33),--ISNUMBER('Данные 1st'!$JG$2:$JG$317))</f>
        <v>7</v>
      </c>
      <c r="EM33">
        <f>SUMPRODUCT(--('Данные 1st'!$S$2:$S$317=$A33),--ISNUMBER('Данные 1st'!$JH$2:$JH$317))</f>
        <v>7</v>
      </c>
      <c r="EN33">
        <f>SUMPRODUCT(--('Данные 1st'!$S$2:$S$317=$A33),--ISNUMBER('Данные 1st'!$JJ$2:$JJ$317))</f>
        <v>7</v>
      </c>
      <c r="EO33">
        <f>SUMPRODUCT(--('Данные 1st'!$S$2:$S$317=$A33),--ISNUMBER('Данные 1st'!$JK$2:$JK$317))</f>
        <v>7</v>
      </c>
      <c r="EP33">
        <f>SUMPRODUCT(--('Данные 1st'!$S$2:$S$317=$A33),--ISNUMBER('Данные 1st'!$JL$2:$JL$317))</f>
        <v>0</v>
      </c>
      <c r="EQ33">
        <f>SUMPRODUCT(--('Данные 1st'!$S$2:$S$317=$A33),--ISNUMBER('Данные 1st'!$JM$2:$JM$317))</f>
        <v>0</v>
      </c>
      <c r="ER33">
        <f>SUMPRODUCT(--('Данные 1st'!$S$2:$S$317=$A33),--ISNUMBER('Данные 1st'!$JN$2:$JN$317))</f>
        <v>7</v>
      </c>
      <c r="ES33">
        <f>SUMPRODUCT(--('Данные 1st'!$S$2:$S$317=$A33),--ISNUMBER('Данные 1st'!$JO$2:$JO$317))</f>
        <v>7</v>
      </c>
      <c r="ET33">
        <f>SUMPRODUCT(--('Данные 1st'!$S$2:$S$317=$A33),--ISNUMBER('Данные 1st'!$JP$2:$JP$317))</f>
        <v>7</v>
      </c>
      <c r="EU33">
        <f>SUMPRODUCT(--('Данные 1st'!$S$2:$S$317=$A33),--ISNUMBER('Данные 1st'!$JQ$2:$JQ$317))</f>
        <v>7</v>
      </c>
      <c r="EV33">
        <f>SUMPRODUCT(--('Данные 1st'!$S$2:$S$317=$A33),--ISNUMBER('Данные 1st'!$JR$2:$JR$317))</f>
        <v>7</v>
      </c>
      <c r="EW33">
        <f>SUMPRODUCT(--('Данные 1st'!$S$2:$S$317=$A33),--ISNUMBER('Данные 1st'!$JS$2:$JS$317))</f>
        <v>7</v>
      </c>
      <c r="EX33">
        <f>SUMPRODUCT(--('Данные 1st'!$S$2:$S$317=$A33),--ISNUMBER('Данные 1st'!$JT$2:$JT$317))</f>
        <v>0</v>
      </c>
      <c r="EY33">
        <f>SUMPRODUCT(--('Данные 1st'!$S$2:$S$317=$A33),--ISNUMBER('Данные 1st'!$JU$2:$JU$317))</f>
        <v>0</v>
      </c>
      <c r="EZ33">
        <f>SUMPRODUCT(--('Данные 1st'!$S$2:$S$317=$A33),--ISNUMBER('Данные 1st'!$JV$2:$JV$317))</f>
        <v>7</v>
      </c>
      <c r="FA33">
        <f>SUMPRODUCT(--('Данные 1st'!$S$2:$S$317=$A33),--ISNUMBER('Данные 1st'!$JW$2:$JW$317))</f>
        <v>0</v>
      </c>
      <c r="FB33">
        <f>SUMPRODUCT(--('Данные 1st'!$S$2:$S$317=$A33),--ISNUMBER('Данные 1st'!$JX$2:$JX$317))</f>
        <v>7</v>
      </c>
      <c r="FC33">
        <f>SUMPRODUCT(--('Данные 1st'!$S$2:$S$317=$A33),--ISNUMBER('Данные 1st'!$JY$2:$JY$317))</f>
        <v>0</v>
      </c>
      <c r="FD33">
        <f>SUMPRODUCT(--('Данные 1st'!$S$2:$S$317=$A33),--ISNUMBER('Данные 1st'!$JZ$2:$JZ$317))</f>
        <v>0</v>
      </c>
      <c r="FE33">
        <f>SUMPRODUCT(--('Данные 1st'!$S$2:$S$317=$A33),--ISNUMBER('Данные 1st'!$KA$2:$KA$317))</f>
        <v>7</v>
      </c>
      <c r="FF33">
        <f>SUMPRODUCT(--('Данные 1st'!$S$2:$S$317=$A33),--ISNUMBER('Данные 1st'!$KB$2:$KB$317))</f>
        <v>7</v>
      </c>
      <c r="FG33">
        <f>SUMPRODUCT(--('Данные 1st'!$S$2:$S$317=$A33),--ISNUMBER('Данные 1st'!$KC$2:$KC$317))</f>
        <v>7</v>
      </c>
      <c r="FH33">
        <f>SUMPRODUCT(--('Данные 1st'!$S$2:$S$317=$A33),--ISNUMBER('Данные 1st'!$KD$2:$KD$317))</f>
        <v>7</v>
      </c>
      <c r="FI33">
        <f>SUMPRODUCT(--('Данные 1st'!$S$2:$S$317=$A33),--ISNUMBER('Данные 1st'!$KE$2:$KE$317))</f>
        <v>0</v>
      </c>
      <c r="FJ33">
        <f>SUMPRODUCT(--('Данные 1st'!$S$2:$S$317=$A33),--ISNUMBER('Данные 1st'!$KF$2:$KF$317))</f>
        <v>7</v>
      </c>
      <c r="FK33">
        <f>SUMPRODUCT(--('Данные 1st'!$S$2:$S$317=$A33),--ISNUMBER('Данные 1st'!$KG$2:$KG$317))</f>
        <v>7</v>
      </c>
      <c r="FL33">
        <f>SUMPRODUCT(--('Данные 1st'!$S$2:$S$317=$A33),--ISNUMBER('Данные 1st'!$KH$2:$KH$317))</f>
        <v>7</v>
      </c>
      <c r="FM33">
        <f>SUMPRODUCT(--('Данные 1st'!$S$2:$S$317=$A33),--ISNUMBER('Данные 1st'!$KI$2:$KI$317))</f>
        <v>7</v>
      </c>
      <c r="FN33">
        <f>SUMPRODUCT(--('Данные 1st'!$S$2:$S$317=$A33),--ISNUMBER('Данные 1st'!$KJ$2:$KJ$317))</f>
        <v>7</v>
      </c>
      <c r="FO33">
        <f>SUMPRODUCT(--('Данные 1st'!$S$2:$S$317=$A33),--ISNUMBER('Данные 1st'!$KK$2:$KK$317))</f>
        <v>7</v>
      </c>
      <c r="FP33">
        <f>SUMPRODUCT(--('Данные 1st'!$S$2:$S$317=$A33),--ISNUMBER('Данные 1st'!$KL$2:$KL$317))</f>
        <v>7</v>
      </c>
      <c r="FQ33">
        <f>SUMPRODUCT(--('Данные 1st'!$S$2:$S$317=$A33),--ISNUMBER('Данные 1st'!$KM$2:$KM$317))</f>
        <v>7</v>
      </c>
      <c r="FR33">
        <f>SUMPRODUCT(--('Данные 1st'!$S$2:$S$317=$A33),--ISNUMBER('Данные 1st'!$KN$2:$KN$317))</f>
        <v>7</v>
      </c>
      <c r="FS33">
        <f>SUMPRODUCT(--('Данные 1st'!$S$2:$S$317=$A33),--ISNUMBER('Данные 1st'!$KR$2:$KR$317))</f>
        <v>7</v>
      </c>
      <c r="FT33">
        <f>SUMPRODUCT(--('Данные 1st'!$S$2:$S$317=$A33),--ISNUMBER('Данные 1st'!$KS$2:$KS$317))</f>
        <v>7</v>
      </c>
      <c r="FU33">
        <f>SUMPRODUCT(--('Данные 1st'!$S$2:$S$317=$A33),--ISNUMBER('Данные 1st'!$KT$2:$KT$317))</f>
        <v>7</v>
      </c>
      <c r="FV33">
        <f>SUMPRODUCT(--('Данные 1st'!$S$2:$S$317=$A33),--ISNUMBER('Данные 1st'!$KV$2:$KV$317))</f>
        <v>0</v>
      </c>
      <c r="FW33">
        <f>SUMPRODUCT(--('Данные 1st'!$S$2:$S$317=$A33),--ISNUMBER('Данные 1st'!$KW$2:$KW$317))</f>
        <v>0</v>
      </c>
      <c r="FX33">
        <f>SUMPRODUCT(--('Данные 1st'!$S$2:$S$317=$A33),--ISNUMBER('Данные 1st'!$KX$2:$KX$317))</f>
        <v>0</v>
      </c>
      <c r="FY33">
        <f>SUMPRODUCT(--('Данные 1st'!$S$2:$S$317=$A33),--ISNUMBER('Данные 1st'!$KY$2:$KY$317))</f>
        <v>0</v>
      </c>
      <c r="FZ33">
        <f>SUMPRODUCT(--('Данные 1st'!$S$2:$S$317=$A33),--ISNUMBER('Данные 1st'!$KZ$2:$KZ$317))</f>
        <v>0</v>
      </c>
      <c r="GA33">
        <f>SUMPRODUCT(--('Данные 1st'!$S$2:$S$317=$A33),--ISNUMBER('Данные 1st'!$LA$2:$LA$317))</f>
        <v>0</v>
      </c>
      <c r="GB33">
        <f>SUMPRODUCT(--('Данные 1st'!$S$2:$S$317=$A33),--ISNUMBER('Данные 1st'!$LB$2:$LB$317))</f>
        <v>0</v>
      </c>
      <c r="GC33">
        <f>SUMPRODUCT(--('Данные 1st'!$S$2:$S$317=$A33),--ISNUMBER('Данные 1st'!$LC$2:$LC$317))</f>
        <v>0</v>
      </c>
      <c r="GD33">
        <f>SUMPRODUCT(--('Данные 1st'!$S$2:$S$317=$A33),--ISNUMBER('Данные 1st'!$LD$2:$LD$317))</f>
        <v>0</v>
      </c>
      <c r="GE33">
        <f>SUMPRODUCT(--('Данные 1st'!$S$2:$S$317=$A33),--ISNUMBER('Данные 1st'!$LE$2:$LE$317))</f>
        <v>0</v>
      </c>
      <c r="GF33">
        <f>SUMPRODUCT(--('Данные 1st'!$S$2:$S$317=$A33),--ISNUMBER('Данные 1st'!$LF$2:$LF$317))</f>
        <v>0</v>
      </c>
      <c r="GG33">
        <f>SUMPRODUCT(--('Данные 1st'!$S$2:$S$317=$A33),--ISNUMBER('Данные 1st'!$LG$2:$LG$317))</f>
        <v>0</v>
      </c>
      <c r="GH33">
        <f>SUMPRODUCT(--('Данные 1st'!$S$2:$S$317=$A33),--ISNUMBER('Данные 1st'!$LH$2:$LH$317))</f>
        <v>0</v>
      </c>
      <c r="GI33">
        <f>SUMPRODUCT(--('Данные 1st'!$S$2:$S$317=$A33),--ISNUMBER('Данные 1st'!$LI$2:$LI$317))</f>
        <v>0</v>
      </c>
      <c r="GJ33">
        <f>SUMPRODUCT(--('Данные 1st'!$S$2:$S$317=$A33),--ISNUMBER('Данные 1st'!$LJ$2:$LJ$317))</f>
        <v>0</v>
      </c>
      <c r="GK33">
        <f>SUMPRODUCT(--('Данные 1st'!$S$2:$S$317=$A33),--ISNUMBER('Данные 1st'!$LK$2:$LK$317))</f>
        <v>7</v>
      </c>
      <c r="GL33">
        <f>SUMPRODUCT(--('Данные 1st'!$S$2:$S$317=$A33),--ISNUMBER('Данные 1st'!$LV$2:$LV$317))</f>
        <v>0</v>
      </c>
      <c r="GM33">
        <f>SUMPRODUCT(--('Данные 1st'!$S$2:$S$317=$A33),--ISNUMBER('Данные 1st'!$LW$2:$LW$317))</f>
        <v>0</v>
      </c>
      <c r="GN33">
        <f>SUMPRODUCT(--('Данные 1st'!$S$2:$S$317=$A33),--ISNUMBER('Данные 1st'!$LX$2:$LX$317))</f>
        <v>0</v>
      </c>
      <c r="GO33">
        <f>SUMPRODUCT(--('Данные 1st'!$S$2:$S$317=$A33),--ISNUMBER('Данные 1st'!$LY$2:$LY$317))</f>
        <v>0</v>
      </c>
      <c r="GP33">
        <f>SUMPRODUCT(--('Данные 1st'!$S$2:$S$317=$A33),--ISNUMBER('Данные 1st'!$LZ$2:$LZ$317))</f>
        <v>0</v>
      </c>
      <c r="GQ33">
        <f>SUMPRODUCT(--('Данные 1st'!$S$2:$S$317=$A33),--ISNUMBER('Данные 1st'!$PG$2:$PG$317))</f>
        <v>7</v>
      </c>
      <c r="GR33">
        <f>SUMPRODUCT(--('Данные 1st'!$S$2:$S$317=$A33),--ISNUMBER('Данные 1st'!$PX$2:$PX$317))</f>
        <v>7</v>
      </c>
      <c r="GS33">
        <f>SUMPRODUCT(--('Данные 1st'!$S$2:$S$317=$A33),--ISNUMBER('Данные 1st'!$PY$2:$PY$317))</f>
        <v>7</v>
      </c>
      <c r="GT33">
        <f>SUMPRODUCT(--('Данные 1st'!$S$2:$S$317=$A33),--ISNUMBER('Данные 1st'!$QA$2:$QA$317))</f>
        <v>7</v>
      </c>
      <c r="GU33">
        <f>SUMPRODUCT(--('Данные 1st'!$S$2:$S$317=$A33),--ISNUMBER('Данные 1st'!$QB$2:$QB$317))</f>
        <v>7</v>
      </c>
      <c r="GV33">
        <f>SUMPRODUCT(--('Данные 1st'!$S$2:$S$317=$A33),--ISNUMBER('Данные 1st'!$QC$2:$QC$317))</f>
        <v>7</v>
      </c>
      <c r="GW33">
        <f>SUMPRODUCT(--('Данные 1st'!$S$2:$S$317=$A33),--ISNUMBER('Данные 1st'!$QD$2:$QD$317))</f>
        <v>7</v>
      </c>
      <c r="GX33">
        <f>SUMPRODUCT(--('Данные 1st'!$S$2:$S$317=$A33),--ISNUMBER('Данные 1st'!$QF$2:$QF$317))</f>
        <v>7</v>
      </c>
      <c r="GY33">
        <f>SUMPRODUCT(--('Данные 1st'!$S$2:$S$317=$A33),--ISNUMBER('Данные 1st'!$QG$2:$QG$317))</f>
        <v>7</v>
      </c>
      <c r="GZ33">
        <f>SUMPRODUCT(--('Данные 1st'!$S$2:$S$317=$A33),--ISNUMBER('Данные 1st'!$QH$2:$QH$317))</f>
        <v>7</v>
      </c>
      <c r="HA33">
        <f>SUMPRODUCT(--('Данные 1st'!$S$2:$S$317=$A33),--ISNUMBER('Данные 1st'!$QI$2:$QI$317))</f>
        <v>7</v>
      </c>
      <c r="HB33">
        <f>SUMPRODUCT(--('Данные 1st'!$S$2:$S$317=$A33),--ISNUMBER('Данные 1st'!$QK$2:$QK$317))</f>
        <v>7</v>
      </c>
      <c r="HC33">
        <f>SUMPRODUCT(--('Данные 1st'!$S$2:$S$317=$A33),--ISNUMBER('Данные 1st'!$QL$2:$QL$317))</f>
        <v>7</v>
      </c>
      <c r="HD33">
        <f>SUMPRODUCT(--('Данные 1st'!$S$2:$S$317=$A33),--ISNUMBER('Данные 1st'!$QM$2:$QM$317))</f>
        <v>7</v>
      </c>
      <c r="HE33">
        <f>SUMPRODUCT(--('Данные 1st'!$S$2:$S$317=$A33),--ISNUMBER('Данные 1st'!$QN$2:$QN$317))</f>
        <v>7</v>
      </c>
      <c r="HF33">
        <f>SUMPRODUCT(--('Данные 1st'!$S$2:$S$317=$A33),--ISNUMBER('Данные 1st'!$QP$2:$QP$317))</f>
        <v>7</v>
      </c>
      <c r="HG33">
        <f>SUMPRODUCT(--('Данные 1st'!$S$2:$S$317=$A33),--ISNUMBER('Данные 1st'!$QQ$2:$QQ$317))</f>
        <v>7</v>
      </c>
      <c r="HH33">
        <f>SUMPRODUCT(--('Данные 1st'!$S$2:$S$317=$A33),--ISNUMBER('Данные 1st'!$QR$2:$QR$317))</f>
        <v>0</v>
      </c>
      <c r="HI33">
        <f>SUMPRODUCT(--('Данные 1st'!$S$2:$S$317=$A33),--ISNUMBER('Данные 1st'!$QS$2:$QS$317))</f>
        <v>0</v>
      </c>
      <c r="HJ33">
        <f>SUMPRODUCT(--('Данные 1st'!$S$2:$S$317=$A33),--ISNUMBER('Данные 1st'!$QU$2:$QU$317))</f>
        <v>0</v>
      </c>
      <c r="HK33">
        <f>SUMPRODUCT(--('Данные 1st'!$S$2:$S$317=$A33),--ISNUMBER('Данные 1st'!$QV$2:$QV$317))</f>
        <v>0</v>
      </c>
      <c r="HL33">
        <f>SUMPRODUCT(--('Данные 1st'!$S$2:$S$317=$A33),--ISNUMBER('Данные 1st'!$QW$2:$QW$317))</f>
        <v>7</v>
      </c>
      <c r="HM33">
        <f>SUMPRODUCT(--('Данные 1st'!$S$2:$S$317=$A33),--ISNUMBER('Данные 1st'!$QX$2:$QX$317))</f>
        <v>7</v>
      </c>
      <c r="HN33">
        <f>SUMPRODUCT(--('Данные 1st'!$S$2:$S$317=$A33),--ISNUMBER('Данные 1st'!$QZ$2:$QZ$317))</f>
        <v>7</v>
      </c>
      <c r="HO33">
        <f>SUMPRODUCT(--('Данные 1st'!$S$2:$S$317=$A33),--ISNUMBER('Данные 1st'!$RA$2:$RA$317))</f>
        <v>7</v>
      </c>
      <c r="HP33">
        <f>SUMPRODUCT(--('Данные 1st'!$S$2:$S$317=$A33),--ISNUMBER('Данные 1st'!$RB$2:$RB$317))</f>
        <v>7</v>
      </c>
      <c r="HQ33">
        <f>SUMPRODUCT(--('Данные 1st'!$S$2:$S$317=$A33),--ISNUMBER('Данные 1st'!$RD$2:$RD$317))</f>
        <v>0</v>
      </c>
      <c r="HR33">
        <f>SUMPRODUCT(--('Данные 1st'!$S$2:$S$317=$A33),--ISNUMBER('Данные 1st'!$RE$2:$RE$317))</f>
        <v>7</v>
      </c>
      <c r="HS33">
        <f>SUMPRODUCT(--('Данные 1st'!$S$2:$S$317=$A33),--ISNUMBER('Данные 1st'!$RF$2:$RF$317))</f>
        <v>3</v>
      </c>
      <c r="HT33">
        <f>SUMPRODUCT(--('Данные 1st'!$S$2:$S$317=$A33),--ISNUMBER('Данные 1st'!$RG$2:$RG$317))</f>
        <v>4</v>
      </c>
      <c r="HU33">
        <f>SUMPRODUCT(--('Данные 1st'!$S$2:$S$317=$A33),--ISNUMBER('Данные 1st'!$RH$2:$RH$317))</f>
        <v>0</v>
      </c>
      <c r="HV33">
        <f>SUMPRODUCT(--('Данные 1st'!$S$2:$S$317=$A33),--ISNUMBER('Данные 1st'!$RI$2:$RI$317))</f>
        <v>0</v>
      </c>
      <c r="HW33">
        <f>SUMPRODUCT(--('Данные 1st'!$S$2:$S$317=$A33),--ISNUMBER('Данные 1st'!$RJ$2:$RJ$317))</f>
        <v>7</v>
      </c>
      <c r="HX33">
        <f>SUMPRODUCT(--('Данные 1st'!$S$2:$S$317=$A33),--ISNUMBER('Данные 1st'!$RK$2:$RK$317))</f>
        <v>7</v>
      </c>
      <c r="HY33">
        <f>SUMPRODUCT(--('Данные 1st'!$S$2:$S$317=$A33),--ISNUMBER('Данные 1st'!$RL$2:$RL$317))</f>
        <v>7</v>
      </c>
      <c r="HZ33">
        <f>SUMPRODUCT(--('Данные 1st'!$S$2:$S$317=$A33),--ISNUMBER('Данные 1st'!$RM$2:$RM$317))</f>
        <v>0</v>
      </c>
      <c r="IA33">
        <f>SUMPRODUCT(--('Данные 1st'!$S$2:$S$317=$A33),--ISNUMBER('Данные 1st'!$RN$2:$RN$317))</f>
        <v>0</v>
      </c>
      <c r="IB33">
        <f>SUMPRODUCT(--('Данные 1st'!$S$2:$S$317=$A33),--ISNUMBER('Данные 1st'!$RO$2:$RO$317))</f>
        <v>7</v>
      </c>
      <c r="IC33">
        <f>SUMPRODUCT(--('Данные 1st'!$S$2:$S$317=$A33),--ISNUMBER('Данные 1st'!$RP$2:$RP$317))</f>
        <v>7</v>
      </c>
      <c r="ID33">
        <f>SUMPRODUCT(--('Данные 1st'!$S$2:$S$317=$A33),--ISNUMBER('Данные 1st'!$RQ$2:$RQ$317))</f>
        <v>7</v>
      </c>
      <c r="IE33">
        <f>SUMPRODUCT(--('Данные 1st'!$S$2:$S$317=$A33),--ISNUMBER('Данные 1st'!$RR$2:$RR$317))</f>
        <v>0</v>
      </c>
      <c r="IF33">
        <f>SUMPRODUCT(--('Данные 1st'!$S$2:$S$317=$A33),--ISNUMBER('Данные 1st'!$RS$2:$RS$317))</f>
        <v>0</v>
      </c>
      <c r="IG33">
        <f>SUMPRODUCT(--('Данные 1st'!$S$2:$S$317=$A33),--ISNUMBER('Данные 1st'!$RT$2:$RT$317))</f>
        <v>7</v>
      </c>
      <c r="IH33">
        <f>SUMPRODUCT(--('Данные 1st'!$S$2:$S$317=$A33),--ISNUMBER('Данные 1st'!$RU$2:$RU$317))</f>
        <v>7</v>
      </c>
      <c r="II33">
        <f>SUMPRODUCT(--('Данные 1st'!$S$2:$S$317=$A33),--ISNUMBER('Данные 1st'!$RX$2:$RX$317))</f>
        <v>7</v>
      </c>
      <c r="IJ33">
        <f>SUMPRODUCT(--('Данные 1st'!$S$2:$S$317=$A33),--ISNUMBER('Данные 1st'!$RY$2:$RY$317))</f>
        <v>7</v>
      </c>
      <c r="IK33">
        <f>SUMPRODUCT(--('Данные 1st'!$S$2:$S$317=$A33),--ISNUMBER('Данные 1st'!$SA$2:$SA$317))</f>
        <v>7</v>
      </c>
      <c r="IL33">
        <f>SUMPRODUCT(--('Данные 1st'!$S$2:$S$317=$A33),--ISNUMBER('Данные 1st'!$SD$2:$SD$317))</f>
        <v>7</v>
      </c>
      <c r="IM33">
        <f>SUMPRODUCT(--('Данные 1st'!$S$2:$S$317=$A33),--ISNUMBER('Данные 1st'!$SG$2:$SG$317))</f>
        <v>0</v>
      </c>
      <c r="IN33">
        <f>SUMPRODUCT(--('Данные 1st'!$S$2:$S$317=$A33),--ISNUMBER('Данные 1st'!$SH$2:$SH$317))</f>
        <v>7</v>
      </c>
      <c r="IO33">
        <f>SUMPRODUCT(--('Данные 1st'!$S$2:$S$317=$A33),--ISNUMBER('Данные 1st'!$SI$2:$SI$317))</f>
        <v>7</v>
      </c>
      <c r="IP33">
        <f>SUMPRODUCT(--('Данные 1st'!$S$2:$S$317=$A33),--ISNUMBER('Данные 1st'!$SJ$2:$SJ$317))</f>
        <v>7</v>
      </c>
      <c r="IQ33">
        <f>SUMPRODUCT(--('Данные 1st'!$S$2:$S$317=$A33),--ISNUMBER('Данные 1st'!$SK$2:$SK$317))</f>
        <v>7</v>
      </c>
      <c r="IR33">
        <f>SUMPRODUCT(--('Данные 1st'!$S$2:$S$317=$A33),--ISNUMBER('Данные 1st'!$SL$2:$SL$317))</f>
        <v>7</v>
      </c>
      <c r="IS33">
        <f>SUMPRODUCT(--('Данные 1st'!$S$2:$S$317=$A33),--ISNUMBER('Данные 1st'!$SM$2:$SM$317))</f>
        <v>7</v>
      </c>
      <c r="IT33">
        <f>SUMPRODUCT(--('Данные 1st'!$S$2:$S$317=$A33),--ISNUMBER('Данные 1st'!$SN$2:$SN$317))</f>
        <v>7</v>
      </c>
      <c r="IU33">
        <f>SUMPRODUCT(--('Данные 1st'!$S$2:$S$317=$A33),--ISNUMBER('Данные 1st'!$SO$2:$SO$317))</f>
        <v>7</v>
      </c>
      <c r="IV33">
        <f>SUMPRODUCT(--('Данные 1st'!$S$2:$S$317=$A33),--ISNUMBER('Данные 1st'!$SP$2:$SP$317))</f>
        <v>7</v>
      </c>
      <c r="IW33">
        <f>SUMPRODUCT(--('Данные 1st'!$S$2:$S$317=$A33),--ISNUMBER('Данные 1st'!$SQ$2:$SQ$317))</f>
        <v>7</v>
      </c>
      <c r="IX33">
        <f>SUMPRODUCT(--('Данные 1st'!$S$2:$S$317=$A33),--ISNUMBER('Данные 1st'!$SR$2:$SR$317))</f>
        <v>7</v>
      </c>
      <c r="IY33">
        <f>SUMPRODUCT(--('Данные 1st'!$S$2:$S$317=$A33),--ISNUMBER('Данные 1st'!$SS$2:$SS$317))</f>
        <v>7</v>
      </c>
      <c r="IZ33">
        <f>SUMPRODUCT(--('Данные 1st'!$S$2:$S$317=$A33),--ISNUMBER('Данные 1st'!$ST$2:$ST$317))</f>
        <v>7</v>
      </c>
      <c r="JA33">
        <f>SUMPRODUCT(--('Данные 1st'!$S$2:$S$317=$A33),--ISNUMBER('Данные 1st'!$SU$2:$SU$317))</f>
        <v>7</v>
      </c>
      <c r="JB33">
        <f>SUMPRODUCT(--('Данные 1st'!$S$2:$S$317=$A33),--ISNUMBER('Данные 1st'!$SV$2:$SV$317))</f>
        <v>7</v>
      </c>
      <c r="JC33">
        <f>SUMPRODUCT(--('Данные 1st'!$S$2:$S$317=$A33),--ISNUMBER('Данные 1st'!$SW$2:$SW$317))</f>
        <v>7</v>
      </c>
      <c r="JD33">
        <f>SUMPRODUCT(--('Данные 1st'!$S$2:$S$317=$A33),--ISNUMBER('Данные 1st'!$SX$2:$SX$317))</f>
        <v>7</v>
      </c>
      <c r="JE33">
        <f>SUMPRODUCT(--('Данные 1st'!$S$2:$S$317=$A33),--ISNUMBER('Данные 1st'!$SY$2:$SY$317))</f>
        <v>7</v>
      </c>
      <c r="JF33">
        <f>SUMPRODUCT(--('Данные 1st'!$S$2:$S$317=$A33),--ISNUMBER('Данные 1st'!$SZ$2:$SZ$317))</f>
        <v>0</v>
      </c>
      <c r="JG33">
        <f>SUMPRODUCT(--('Данные 1st'!$S$2:$S$317=$A33),--ISNUMBER('Данные 1st'!$TA$2:$TA$317))</f>
        <v>0</v>
      </c>
      <c r="JH33">
        <f>SUMPRODUCT(--('Данные 1st'!$S$2:$S$317=$A33),--ISNUMBER('Данные 1st'!$TB$2:$TB$317))</f>
        <v>7</v>
      </c>
      <c r="JI33">
        <f>SUMPRODUCT(--('Данные 1st'!$S$2:$S$317=$A33),--ISNUMBER('Данные 1st'!$TC$2:$TC$317))</f>
        <v>7</v>
      </c>
      <c r="JJ33">
        <f>SUMPRODUCT(--('Данные 1st'!$S$2:$S$317=$A33),--ISNUMBER('Данные 1st'!$TD$2:$TD$317))</f>
        <v>7</v>
      </c>
      <c r="JK33">
        <f>SUMPRODUCT(--('Данные 1st'!$S$2:$S$317=$A33),--ISNUMBER('Данные 1st'!$TN$2:$TN$317))</f>
        <v>7</v>
      </c>
      <c r="JQ33">
        <f>SUMPRODUCT(--('Данные 2st'!$Q$2:$Q$317=$A33),--ISNUMBER('Данные 2st'!$AC$2:$AC$317))</f>
        <v>7</v>
      </c>
      <c r="JR33">
        <f>SUMPRODUCT(--('Данные 2st'!$Q$2:$Q$317=$A33),--ISNUMBER('Данные 2st'!$AF$2:$AF$317))</f>
        <v>7</v>
      </c>
      <c r="JS33">
        <f>SUMPRODUCT(--('Данные 2st'!$Q$2:$Q$317=$A33),--ISNUMBER('Данные 2st'!$AW$2:$AW$317))</f>
        <v>7</v>
      </c>
      <c r="JT33">
        <f>SUMPRODUCT(--('Данные 2st'!$Q$2:$Q$317=$A33),--ISNUMBER('Данные 2st'!$AX$2:$AX$317))</f>
        <v>7</v>
      </c>
      <c r="JU33">
        <f>SUMPRODUCT(--('Данные 2st'!$Q$2:$Q$317=$A33),--ISNUMBER('Данные 2st'!$AY$2:$AY$317))</f>
        <v>7</v>
      </c>
      <c r="JV33">
        <f>SUMPRODUCT(--('Данные 2st'!$Q$2:$Q$317=$A33),--ISNUMBER('Данные 2st'!$AZ$2:$AZ$317))</f>
        <v>7</v>
      </c>
      <c r="JW33">
        <f>SUMPRODUCT(--('Данные 2st'!$Q$2:$Q$317=$A33),--ISNUMBER('Данные 2st'!$BA$2:$BA$317))</f>
        <v>0</v>
      </c>
      <c r="JX33">
        <f>SUMPRODUCT(--('Данные 2st'!$Q$2:$Q$317=$A33),--ISNUMBER('Данные 2st'!$BB$2:$BB$317))</f>
        <v>0</v>
      </c>
      <c r="JY33">
        <f>SUMPRODUCT(--('Данные 2st'!$Q$2:$Q$317=$A33),--ISNUMBER('Данные 2st'!$BC$2:$BC$317))</f>
        <v>0</v>
      </c>
      <c r="JZ33">
        <f>SUMPRODUCT(--('Данные 2st'!$Q$2:$Q$317=$A33),--ISNUMBER('Данные 2st'!$BH$2:$BH$317))</f>
        <v>7</v>
      </c>
      <c r="KA33">
        <f>SUMPRODUCT(--('Данные 2st'!$Q$2:$Q$317=$A33),--ISNUMBER('Данные 2st'!$BI$2:$BI$317))</f>
        <v>7</v>
      </c>
      <c r="KB33">
        <f>SUMPRODUCT(--('Данные 2st'!$Q$2:$Q$317=$A33),--ISNUMBER('Данные 2st'!$BJ$2:$BJ$317))</f>
        <v>7</v>
      </c>
      <c r="KC33">
        <f>SUMPRODUCT(--('Данные 2st'!$Q$2:$Q$317=$A33),--ISNUMBER('Данные 2st'!$BK$2:$BK$317))</f>
        <v>7</v>
      </c>
      <c r="KD33">
        <f>SUMPRODUCT(--('Данные 2st'!$Q$2:$Q$317=$A33),--ISNUMBER('Данные 2st'!$BL$2:$BL$317))</f>
        <v>7</v>
      </c>
      <c r="KE33">
        <f>SUMPRODUCT(--('Данные 2st'!$Q$2:$Q$317=$A33),--ISNUMBER('Данные 2st'!$BM$2:$BM$317))</f>
        <v>7</v>
      </c>
      <c r="KF33">
        <f>SUMPRODUCT(--('Данные 2st'!$Q$2:$Q$317=$A33),--ISNUMBER('Данные 2st'!$BN$2:$BN$317))</f>
        <v>7</v>
      </c>
      <c r="KG33">
        <f>SUMPRODUCT(--('Данные 2st'!$Q$2:$Q$317=$A33),--ISNUMBER('Данные 2st'!$BO$2:$BO$317))</f>
        <v>1</v>
      </c>
      <c r="KH33">
        <f>SUMPRODUCT(--('Данные 2st'!$Q$2:$Q$317=$A33),--ISNUMBER('Данные 2st'!$BP$2:$BP$317))</f>
        <v>7</v>
      </c>
      <c r="KI33">
        <f>SUMPRODUCT(--('Данные 2st'!$Q$2:$Q$317=$A33),--ISNUMBER('Данные 2st'!$BR$2:$BR$317))</f>
        <v>7</v>
      </c>
      <c r="KJ33">
        <f>SUMPRODUCT(--('Данные 2st'!$Q$2:$Q$317=$A33),--ISNUMBER('Данные 2st'!$BS$2:$BS$317))</f>
        <v>7</v>
      </c>
      <c r="KK33">
        <f>SUMPRODUCT(--('Данные 2st'!$Q$2:$Q$317=$A33),--ISNUMBER('Данные 2st'!$BT$2:$BT$317))</f>
        <v>7</v>
      </c>
      <c r="KL33">
        <f>SUMPRODUCT(--('Данные 2st'!$Q$2:$Q$317=$A33),--ISNUMBER('Данные 2st'!$CV$2:$CV$317))</f>
        <v>7</v>
      </c>
      <c r="KM33">
        <f>SUMPRODUCT(--('Данные 2st'!$Q$2:$Q$317=$A33),--ISNUMBER('Данные 2st'!$CW$2:$CW$317))</f>
        <v>7</v>
      </c>
      <c r="KN33">
        <f>SUMPRODUCT(--('Данные 2st'!$Q$2:$Q$317=$A33),--ISNUMBER('Данные 2st'!$CX$2:$CX$317))</f>
        <v>7</v>
      </c>
      <c r="KO33">
        <f>SUMPRODUCT(--('Данные 2st'!$Q$2:$Q$317=$A33),--ISNUMBER('Данные 2st'!$CY$2:$CY$317))</f>
        <v>7</v>
      </c>
      <c r="KP33">
        <f>SUMPRODUCT(--('Данные 2st'!$Q$2:$Q$317=$A33),--ISNUMBER('Данные 2st'!$CZ$2:$CZ$317))</f>
        <v>7</v>
      </c>
      <c r="KQ33">
        <f>SUMPRODUCT(--('Данные 2st'!$Q$2:$Q$317=$A33),--ISNUMBER('Данные 2st'!$DA$2:$DA$317))</f>
        <v>7</v>
      </c>
      <c r="KR33">
        <f>SUMPRODUCT(--('Данные 2st'!$Q$2:$Q$317=$A33),--ISNUMBER('Данные 2st'!$DB$2:$DB$317))</f>
        <v>7</v>
      </c>
      <c r="KS33">
        <f>SUMPRODUCT(--('Данные 2st'!$Q$2:$Q$317=$A33),--ISNUMBER('Данные 2st'!$DC$2:$DC$317))</f>
        <v>7</v>
      </c>
      <c r="KT33">
        <f>SUMPRODUCT(--('Данные 2st'!$Q$2:$Q$317=$A33),--ISNUMBER('Данные 2st'!$DD$2:$DD$317))</f>
        <v>7</v>
      </c>
      <c r="KU33">
        <f>SUMPRODUCT(--('Данные 2st'!$Q$2:$Q$317=$A33),--ISNUMBER('Данные 2st'!$DE$2:$DE$317))</f>
        <v>7</v>
      </c>
      <c r="KV33">
        <f>SUMPRODUCT(--('Данные 2st'!$Q$2:$Q$317=$A33),--ISNUMBER('Данные 2st'!$DF$2:$DF$317))</f>
        <v>7</v>
      </c>
      <c r="KW33">
        <f>SUMPRODUCT(--('Данные 2st'!$Q$2:$Q$317=$A33),--ISNUMBER('Данные 2st'!$DG$2:$DG$317))</f>
        <v>7</v>
      </c>
      <c r="KX33">
        <f>SUMPRODUCT(--('Данные 2st'!$Q$2:$Q$317=$A33),--ISNUMBER('Данные 2st'!$DH$2:$DH$317))</f>
        <v>7</v>
      </c>
      <c r="KY33">
        <f>SUMPRODUCT(--('Данные 2st'!$Q$2:$Q$317=$A33),--ISNUMBER('Данные 2st'!$DI$2:$DI$317))</f>
        <v>0</v>
      </c>
      <c r="KZ33">
        <f>SUMPRODUCT(--('Данные 2st'!$Q$2:$Q$317=$A33),--ISNUMBER('Данные 2st'!$DK$2:$DK$317))</f>
        <v>7</v>
      </c>
      <c r="LA33">
        <f>SUMPRODUCT(--('Данные 2st'!$Q$2:$Q$317=$A33),--ISNUMBER('Данные 2st'!$DM$2:$DM$317))</f>
        <v>7</v>
      </c>
      <c r="LB33">
        <f>SUMPRODUCT(--('Данные 2st'!$Q$2:$Q$317=$A33),--ISNUMBER('Данные 2st'!$DN$2:$DN$317))</f>
        <v>7</v>
      </c>
      <c r="LC33">
        <f>SUMPRODUCT(--('Данные 2st'!$Q$2:$Q$317=$A33),--ISNUMBER('Данные 2st'!$DO$2:$DO$317))</f>
        <v>7</v>
      </c>
      <c r="LD33">
        <f>SUMPRODUCT(--('Данные 2st'!$Q$2:$Q$317=$A33),--ISNUMBER('Данные 2st'!$DP$2:$DP$317))</f>
        <v>7</v>
      </c>
      <c r="LE33">
        <f>SUMPRODUCT(--('Данные 2st'!$Q$2:$Q$317=$A33),--ISNUMBER('Данные 2st'!$DQ$2:$DQ$317))</f>
        <v>7</v>
      </c>
      <c r="LF33">
        <f>SUMPRODUCT(--('Данные 2st'!$Q$2:$Q$317=$A33),--ISNUMBER('Данные 2st'!$DS$2:$DS$317))</f>
        <v>7</v>
      </c>
      <c r="LG33">
        <f>SUMPRODUCT(--('Данные 2st'!$Q$2:$Q$317=$A33),--ISNUMBER('Данные 2st'!$DU$2:$DU$317))</f>
        <v>7</v>
      </c>
      <c r="LH33">
        <f>SUMPRODUCT(--('Данные 2st'!$Q$2:$Q$317=$A33),--ISNUMBER('Данные 2st'!$DV$2:$DV$317))</f>
        <v>7</v>
      </c>
      <c r="LI33">
        <f>SUMPRODUCT(--('Данные 2st'!$Q$2:$Q$317=$A33),--ISNUMBER('Данные 2st'!$DW$2:$DW$317))</f>
        <v>7</v>
      </c>
      <c r="LJ33">
        <f>SUMPRODUCT(--('Данные 2st'!$Q$2:$Q$317=$A33),--ISNUMBER('Данные 2st'!$DX$2:$DX$317))</f>
        <v>7</v>
      </c>
      <c r="LK33">
        <f>SUMPRODUCT(--('Данные 2st'!$Q$2:$Q$317=$A33),--ISNUMBER('Данные 2st'!$DY$2:$DY$317))</f>
        <v>7</v>
      </c>
      <c r="LL33">
        <f>SUMPRODUCT(--('Данные 2st'!$Q$2:$Q$317=$A33),--ISNUMBER('Данные 2st'!$EA$2:$EA$317))</f>
        <v>7</v>
      </c>
      <c r="LM33">
        <f>SUMPRODUCT(--('Данные 2st'!$Q$2:$Q$317=$A33),--ISNUMBER('Данные 2st'!$EC$2:$EC$317))</f>
        <v>7</v>
      </c>
      <c r="LN33">
        <f>SUMPRODUCT(--('Данные 2st'!$Q$2:$Q$317=$A33),--ISNUMBER('Данные 2st'!$ED$2:$ED$317))</f>
        <v>7</v>
      </c>
      <c r="LO33">
        <f>SUMPRODUCT(--('Данные 2st'!$Q$2:$Q$317=$A33),--ISNUMBER('Данные 2st'!$EE$2:$EE$317))</f>
        <v>7</v>
      </c>
      <c r="LP33">
        <f>SUMPRODUCT(--('Данные 2st'!$Q$2:$Q$317=$A33),--ISNUMBER('Данные 2st'!$EG$2:$EG$317))</f>
        <v>7</v>
      </c>
      <c r="LQ33">
        <f>SUMPRODUCT(--('Данные 2st'!$Q$2:$Q$317=$A33),--ISNUMBER('Данные 2st'!$EI$2:$EI$317))</f>
        <v>7</v>
      </c>
      <c r="LR33">
        <f>SUMPRODUCT(--('Данные 2st'!$Q$2:$Q$317=$A33),--ISNUMBER('Данные 2st'!$EJ$2:$EJ$317))</f>
        <v>7</v>
      </c>
      <c r="LS33">
        <f>SUMPRODUCT(--('Данные 2st'!$Q$2:$Q$317=$A33),--ISNUMBER('Данные 2st'!$EK$2:$EK$317))</f>
        <v>7</v>
      </c>
      <c r="LT33">
        <f>SUMPRODUCT(--('Данные 2st'!$Q$2:$Q$317=$A33),--ISNUMBER('Данные 2st'!$EM$2:$EM$317))</f>
        <v>7</v>
      </c>
      <c r="LU33">
        <f>SUMPRODUCT(--('Данные 2st'!$Q$2:$Q$317=$A33),--ISNUMBER('Данные 2st'!$EN$2:$EN$317))</f>
        <v>7</v>
      </c>
      <c r="LV33">
        <f>SUMPRODUCT(--('Данные 2st'!$Q$2:$Q$317=$A33),--ISNUMBER('Данные 2st'!$EO$2:$EO$317))</f>
        <v>7</v>
      </c>
      <c r="LW33">
        <f>SUMPRODUCT(--('Данные 2st'!$Q$2:$Q$317=$A33),--ISNUMBER('Данные 2st'!$EP$2:$EP$317))</f>
        <v>7</v>
      </c>
      <c r="LX33">
        <f>SUMPRODUCT(--('Данные 2st'!$Q$2:$Q$317=$A33),--ISNUMBER('Данные 2st'!$EQ$2:$EQ$317))</f>
        <v>7</v>
      </c>
      <c r="LY33">
        <f>SUMPRODUCT(--('Данные 2st'!$Q$2:$Q$317=$A33),--ISNUMBER('Данные 2st'!$ER$2:$ER$317))</f>
        <v>7</v>
      </c>
      <c r="LZ33">
        <f>SUMPRODUCT(--('Данные 2st'!$Q$2:$Q$317=$A33),--ISNUMBER('Данные 2st'!$ES$2:$ES$317))</f>
        <v>7</v>
      </c>
      <c r="MA33">
        <f>SUMPRODUCT(--('Данные 2st'!$Q$2:$Q$317=$A33),--ISNUMBER('Данные 2st'!$ET$2:$ET$317))</f>
        <v>7</v>
      </c>
      <c r="MB33">
        <f>SUMPRODUCT(--('Данные 2st'!$Q$2:$Q$317=$A33),--ISNUMBER('Данные 2st'!$EU$2:$EU$317))</f>
        <v>7</v>
      </c>
      <c r="MC33">
        <f>SUMPRODUCT(--('Данные 2st'!$Q$2:$Q$317=$A33),--ISNUMBER('Данные 2st'!$EV$2:$EV$317))</f>
        <v>7</v>
      </c>
      <c r="MD33">
        <f>SUMPRODUCT(--('Данные 2st'!$Q$2:$Q$317=$A33),--ISNUMBER('Данные 2st'!$EW$2:$EW$317))</f>
        <v>7</v>
      </c>
      <c r="ME33">
        <f>SUMPRODUCT(--('Данные 2st'!$Q$2:$Q$317=$A33),--ISNUMBER('Данные 2st'!$EY$2:$EY$317))</f>
        <v>7</v>
      </c>
      <c r="MF33">
        <f>SUMPRODUCT(--('Данные 2st'!$Q$2:$Q$317=$A33),--ISNUMBER('Данные 2st'!$FA$2:$FA$317))</f>
        <v>7</v>
      </c>
      <c r="MG33">
        <f>SUMPRODUCT(--('Данные 2st'!$Q$2:$Q$317=$A33),--ISNUMBER('Данные 2st'!$FB$2:$FB$317))</f>
        <v>7</v>
      </c>
      <c r="MH33">
        <f>SUMPRODUCT(--('Данные 2st'!$Q$2:$Q$317=$A33),--ISNUMBER('Данные 2st'!$FC$2:$FC$317))</f>
        <v>7</v>
      </c>
      <c r="MI33">
        <f>SUMPRODUCT(--('Данные 2st'!$Q$2:$Q$317=$A33),--ISNUMBER('Данные 2st'!$FD$2:$FD$317))</f>
        <v>7</v>
      </c>
      <c r="MJ33">
        <f>SUMPRODUCT(--('Данные 2st'!$Q$2:$Q$317=$A33),--ISNUMBER('Данные 2st'!$FE$2:$FE$317))</f>
        <v>7</v>
      </c>
      <c r="MK33">
        <f>SUMPRODUCT(--('Данные 2st'!$Q$2:$Q$317=$A33),--ISNUMBER('Данные 2st'!$FG$2:$FG$317))</f>
        <v>7</v>
      </c>
      <c r="ML33">
        <f>SUMPRODUCT(--('Данные 2st'!$Q$2:$Q$317=$A33),--ISNUMBER('Данные 2st'!$FI$2:$FI$317))</f>
        <v>7</v>
      </c>
      <c r="MM33">
        <f>SUMPRODUCT(--('Данные 2st'!$Q$2:$Q$317=$A33),--ISNUMBER('Данные 2st'!$FJ$2:$FJ$317))</f>
        <v>7</v>
      </c>
      <c r="MN33">
        <f>SUMPRODUCT(--('Данные 2st'!$Q$2:$Q$317=$A33),--ISNUMBER('Данные 2st'!$FK$2:$FK$317))</f>
        <v>7</v>
      </c>
      <c r="MO33">
        <f>SUMPRODUCT(--('Данные 2st'!$Q$2:$Q$317=$A33),--ISNUMBER('Данные 2st'!$FP$2:$FP$317))</f>
        <v>7</v>
      </c>
      <c r="MP33">
        <f>SUMPRODUCT(--('Данные 2st'!$Q$2:$Q$317=$A33),--ISNUMBER('Данные 2st'!$FQ$2:$FQ$317))</f>
        <v>7</v>
      </c>
      <c r="MQ33">
        <f>SUMPRODUCT(--('Данные 2st'!$Q$2:$Q$317=$A33),--ISNUMBER('Данные 2st'!$FS$2:$FS$317))</f>
        <v>7</v>
      </c>
      <c r="MR33">
        <f>SUMPRODUCT(--('Данные 2st'!$Q$2:$Q$317=$A33),--ISNUMBER('Данные 2st'!$FU$2:$FU$317))</f>
        <v>7</v>
      </c>
      <c r="MS33">
        <f>SUMPRODUCT(--('Данные 2st'!$Q$2:$Q$317=$A33),--ISNUMBER('Данные 2st'!$FV$2:$FV$317))</f>
        <v>7</v>
      </c>
      <c r="MT33">
        <f>SUMPRODUCT(--('Данные 2st'!$Q$2:$Q$317=$A33),--ISNUMBER('Данные 2st'!$FW$2:$FW$317))</f>
        <v>7</v>
      </c>
      <c r="MU33">
        <f>SUMPRODUCT(--('Данные 2st'!$Q$2:$Q$317=$A33),--ISNUMBER('Данные 2st'!$FY$2:$FY$317))</f>
        <v>7</v>
      </c>
      <c r="MV33">
        <f>SUMPRODUCT(--('Данные 2st'!$Q$2:$Q$317=$A33),--ISNUMBER('Данные 2st'!$GB$2:$GB$317))</f>
        <v>7</v>
      </c>
      <c r="MW33">
        <f>SUMPRODUCT(--('Данные 2st'!$Q$2:$Q$317=$A33),--ISNUMBER('Данные 2st'!$GC$2:$GC$317))</f>
        <v>7</v>
      </c>
      <c r="MX33">
        <f>SUMPRODUCT(--('Данные 2st'!$Q$2:$Q$317=$A33),--ISNUMBER('Данные 2st'!$GD$2:$GD$317))</f>
        <v>7</v>
      </c>
      <c r="MY33">
        <f>SUMPRODUCT(--('Данные 2st'!$Q$2:$Q$317=$A33),--ISNUMBER('Данные 2st'!$GN$2:$GN$317))</f>
        <v>0</v>
      </c>
      <c r="MZ33">
        <f>SUMPRODUCT(--('Данные 2st'!$Q$2:$Q$317=$A33),--ISNUMBER('Данные 2st'!$GQ$2:$GQ$317))</f>
        <v>7</v>
      </c>
      <c r="NA33">
        <f>SUMPRODUCT(--('Данные 2st'!$Q$2:$Q$317=$A33),--ISNUMBER('Данные 2st'!$GV$2:$GV$317))</f>
        <v>7</v>
      </c>
      <c r="NB33">
        <f>SUMPRODUCT(--('Данные 2st'!$Q$2:$Q$317=$A33),--ISNUMBER('Данные 2st'!$GW$2:$GW$317))</f>
        <v>7</v>
      </c>
      <c r="NC33">
        <f>SUMPRODUCT(--('Данные 2st'!$Q$2:$Q$317=$A33),--ISNUMBER('Данные 2st'!$GX$2:$GX$317))</f>
        <v>7</v>
      </c>
      <c r="ND33">
        <f>SUMPRODUCT(--('Данные 2st'!$Q$2:$Q$317=$A33),--ISNUMBER('Данные 2st'!$GY$2:$GY$317))</f>
        <v>7</v>
      </c>
      <c r="NE33">
        <f>SUMPRODUCT(--('Данные 2st'!$Q$2:$Q$317=$A33),--ISNUMBER('Данные 2st'!$GZ$2:$GZ$317))</f>
        <v>7</v>
      </c>
      <c r="NF33">
        <f>SUMPRODUCT(--('Данные 2st'!$Q$2:$Q$317=$A33),--ISNUMBER('Данные 2st'!$HA$2:$HA$317))</f>
        <v>7</v>
      </c>
      <c r="NG33">
        <f>SUMPRODUCT(--('Данные 2st'!$Q$2:$Q$317=$A33),--ISNUMBER('Данные 2st'!$HB$2:$HB$317))</f>
        <v>7</v>
      </c>
      <c r="NH33">
        <f>SUMPRODUCT(--('Данные 2st'!$Q$2:$Q$317=$A33),--ISNUMBER('Данные 2st'!$HC$2:$HC$317))</f>
        <v>7</v>
      </c>
      <c r="NI33">
        <f>SUMPRODUCT(--('Данные 2st'!$Q$2:$Q$317=$A33),--ISNUMBER('Данные 2st'!$HD$2:$HD$317))</f>
        <v>7</v>
      </c>
      <c r="NJ33">
        <f>SUMPRODUCT(--('Данные 2st'!$Q$2:$Q$317=$A33),--ISNUMBER('Данные 2st'!$HM$2:$HM$317))</f>
        <v>7</v>
      </c>
      <c r="NK33">
        <f>SUMPRODUCT(--('Данные 2st'!$Q$2:$Q$317=$A33),--ISNUMBER('Данные 2st'!$HR$2:$HR$317))</f>
        <v>7</v>
      </c>
      <c r="NL33">
        <f>SUMPRODUCT(--('Данные 2st'!$Q$2:$Q$317=$A33),--ISNUMBER('Данные 2st'!$HS$2:$HS$317))</f>
        <v>7</v>
      </c>
      <c r="NM33">
        <f>SUMPRODUCT(--('Данные 2st'!$Q$2:$Q$317=$A33),--ISNUMBER('Данные 2st'!$HT$2:$HT$317))</f>
        <v>7</v>
      </c>
      <c r="NN33">
        <f>SUMPRODUCT(--('Данные 2st'!$Q$2:$Q$317=$A33),--ISNUMBER('Данные 2st'!$HY$2:$HY$317))</f>
        <v>7</v>
      </c>
      <c r="NO33">
        <f>SUMPRODUCT(--('Данные 2st'!$Q$2:$Q$317=$A33),--ISNUMBER('Данные 2st'!$HZ$2:$HZ$317))</f>
        <v>7</v>
      </c>
      <c r="NP33">
        <f>SUMPRODUCT(--('Данные 2st'!$Q$2:$Q$317=$A33),--ISNUMBER('Данные 2st'!$IA$2:$IA$317))</f>
        <v>7</v>
      </c>
      <c r="NQ33">
        <f>SUMPRODUCT(--('Данные 2st'!$Q$2:$Q$317=$A33),--ISNUMBER('Данные 2st'!$IB$2:$IB$317))</f>
        <v>7</v>
      </c>
      <c r="NR33">
        <f>SUMPRODUCT(--('Данные 2st'!$Q$2:$Q$317=$A33),--ISNUMBER('Данные 2st'!$IC$2:$IC$317))</f>
        <v>0</v>
      </c>
      <c r="NS33">
        <f>SUMPRODUCT(--('Данные 2st'!$Q$2:$Q$317=$A33),--ISNUMBER('Данные 2st'!$ID$2:$ID$317))</f>
        <v>7</v>
      </c>
      <c r="NT33">
        <f>SUMPRODUCT(--('Данные 2st'!$Q$2:$Q$317=$A33),--ISNUMBER('Данные 2st'!$IE$2:$IE$317))</f>
        <v>7</v>
      </c>
      <c r="NU33">
        <f>SUMPRODUCT(--('Данные 2st'!$Q$2:$Q$317=$A33),--ISNUMBER('Данные 2st'!$IF$2:$IF$317))</f>
        <v>7</v>
      </c>
      <c r="NV33">
        <f>SUMPRODUCT(--('Данные 2st'!$Q$2:$Q$317=$A33),--ISNUMBER('Данные 2st'!$IG$2:$IG$317))</f>
        <v>7</v>
      </c>
      <c r="NW33">
        <f>SUMPRODUCT(--('Данные 2st'!$Q$2:$Q$317=$A33),--ISNUMBER('Данные 2st'!$IH$2:$IH$317))</f>
        <v>7</v>
      </c>
      <c r="NX33">
        <f>SUMPRODUCT(--('Данные 2st'!$Q$2:$Q$317=$A33),--ISNUMBER('Данные 2st'!$IJ$2:$IJ$317))</f>
        <v>7</v>
      </c>
      <c r="NY33">
        <f>SUMPRODUCT(--('Данные 2st'!$Q$2:$Q$317=$A33),--ISNUMBER('Данные 2st'!$IM$2:$IM$317))</f>
        <v>7</v>
      </c>
      <c r="NZ33">
        <f>SUMPRODUCT(--('Данные 2st'!$Q$2:$Q$317=$A33),--ISNUMBER('Данные 2st'!$IN$2:$IN$317))</f>
        <v>7</v>
      </c>
      <c r="OA33">
        <f>SUMPRODUCT(--('Данные 2st'!$Q$2:$Q$317=$A33),--ISNUMBER('Данные 2st'!$IO$2:$IO$317))</f>
        <v>7</v>
      </c>
      <c r="OB33">
        <f>SUMPRODUCT(--('Данные 2st'!$Q$2:$Q$317=$A33),--ISNUMBER('Данные 2st'!$IP$2:$IP$317))</f>
        <v>7</v>
      </c>
      <c r="OC33">
        <f>SUMPRODUCT(--('Данные 2st'!$Q$2:$Q$317=$A33),--ISNUMBER('Данные 2st'!$IQ$2:$IQ$317))</f>
        <v>7</v>
      </c>
      <c r="OD33">
        <f>SUMPRODUCT(--('Данные 2st'!$Q$2:$Q$317=$A33),--ISNUMBER('Данные 2st'!$IR$2:$IR$317))</f>
        <v>7</v>
      </c>
      <c r="OE33">
        <f>SUMPRODUCT(--('Данные 2st'!$Q$2:$Q$317=$A33),--ISNUMBER('Данные 2st'!$IT$2:$IT$317))</f>
        <v>7</v>
      </c>
      <c r="OF33">
        <f>SUMPRODUCT(--('Данные 2st'!$Q$2:$Q$317=$A33),--ISNUMBER('Данные 2st'!$IU$2:$IU$317))</f>
        <v>7</v>
      </c>
      <c r="OG33">
        <f>SUMPRODUCT(--('Данные 2st'!$Q$2:$Q$317=$A33),--ISNUMBER('Данные 2st'!$IV$2:$IV$317))</f>
        <v>7</v>
      </c>
      <c r="OH33">
        <f>SUMPRODUCT(--('Данные 2st'!$Q$2:$Q$317=$A33),--ISNUMBER('Данные 2st'!$IW$2:$IW$317))</f>
        <v>7</v>
      </c>
      <c r="OI33">
        <f>SUMPRODUCT(--('Данные 2st'!$Q$2:$Q$317=$A33),--ISNUMBER('Данные 2st'!$IX$2:$IX$317))</f>
        <v>7</v>
      </c>
      <c r="OJ33">
        <f>SUMPRODUCT(--('Данные 2st'!$Q$2:$Q$317=$A33),--ISNUMBER('Данные 2st'!$IY$2:$IY$317))</f>
        <v>7</v>
      </c>
      <c r="OK33">
        <f>SUMPRODUCT(--('Данные 2st'!$Q$2:$Q$317=$A33),--ISNUMBER('Данные 2st'!$IZ$2:$IZ$317))</f>
        <v>7</v>
      </c>
      <c r="OL33">
        <f>SUMPRODUCT(--('Данные 2st'!$Q$2:$Q$317=$A33),--ISNUMBER('Данные 2st'!$JA$2:$JA$317))</f>
        <v>7</v>
      </c>
      <c r="OM33">
        <f>SUMPRODUCT(--('Данные 2st'!$Q$2:$Q$317=$A33),--ISNUMBER('Данные 2st'!$JB$2:$JB$317))</f>
        <v>7</v>
      </c>
      <c r="ON33">
        <f>SUMPRODUCT(--('Данные 2st'!$Q$2:$Q$317=$A33),--ISNUMBER('Данные 2st'!$JC$2:$JC$317))</f>
        <v>7</v>
      </c>
      <c r="OO33">
        <f>SUMPRODUCT(--('Данные 2st'!$Q$2:$Q$317=$A33),--ISNUMBER('Данные 2st'!$JD$2:$JD$317))</f>
        <v>7</v>
      </c>
      <c r="OP33">
        <f>SUMPRODUCT(--('Данные 2st'!$Q$2:$Q$317=$A33),--ISNUMBER('Данные 2st'!$JE$2:$JE$317))</f>
        <v>7</v>
      </c>
      <c r="OQ33">
        <f>SUMPRODUCT(--('Данные 2st'!$Q$2:$Q$317=$A33),--ISNUMBER('Данные 2st'!$JF$2:$JF$317))</f>
        <v>7</v>
      </c>
      <c r="OR33">
        <f>SUMPRODUCT(--('Данные 2st'!$Q$2:$Q$317=$A33),--ISNUMBER('Данные 2st'!$JG$2:$JG$317))</f>
        <v>7</v>
      </c>
      <c r="OS33">
        <f>SUMPRODUCT(--('Данные 2st'!$Q$2:$Q$317=$A33),--ISNUMBER('Данные 2st'!$JH$2:$JH$317))</f>
        <v>7</v>
      </c>
      <c r="OT33">
        <f>SUMPRODUCT(--('Данные 2st'!$Q$2:$Q$317=$A33),--ISNUMBER('Данные 2st'!$JI$2:$JI$317))</f>
        <v>7</v>
      </c>
      <c r="OU33">
        <f>SUMPRODUCT(--('Данные 2st'!$Q$2:$Q$317=$A33),--ISNUMBER('Данные 2st'!$JJ$2:$JJ$317))</f>
        <v>7</v>
      </c>
      <c r="OV33">
        <f>SUMPRODUCT(--('Данные 2st'!$Q$2:$Q$317=$A33),--ISNUMBER('Данные 2st'!$JK$2:$JK$317))</f>
        <v>7</v>
      </c>
      <c r="OW33">
        <f>SUMPRODUCT(--('Данные 2st'!$Q$2:$Q$317=$A33),--ISNUMBER('Данные 2st'!$JL$2:$JL$317))</f>
        <v>7</v>
      </c>
      <c r="OX33">
        <f>SUMPRODUCT(--('Данные 2st'!$Q$2:$Q$317=$A33),--ISNUMBER('Данные 2st'!$JM$2:$JM$317))</f>
        <v>7</v>
      </c>
      <c r="OY33">
        <f>SUMPRODUCT(--('Данные 2st'!$Q$2:$Q$317=$A33),--ISNUMBER('Данные 2st'!$JP$2:$JP$317))</f>
        <v>7</v>
      </c>
      <c r="OZ33">
        <f>SUMPRODUCT(--('Данные 2st'!$Q$2:$Q$317=$A33),--ISNUMBER('Данные 2st'!$JQ$2:$JQ$317))</f>
        <v>7</v>
      </c>
      <c r="PA33">
        <f>SUMPRODUCT(--('Данные 2st'!$Q$2:$Q$317=$A33),--ISNUMBER('Данные 2st'!$JR$2:$JR$317))</f>
        <v>7</v>
      </c>
      <c r="PB33">
        <f>SUMPRODUCT(--('Данные 2st'!$Q$2:$Q$317=$A33),--ISNUMBER('Данные 2st'!$JS$2:$JS$317))</f>
        <v>7</v>
      </c>
      <c r="PC33">
        <f>SUMPRODUCT(--('Данные 2st'!$Q$2:$Q$317=$A33),--ISNUMBER('Данные 2st'!$JT$2:$JT$317))</f>
        <v>7</v>
      </c>
      <c r="PD33">
        <f>SUMPRODUCT(--('Данные 2st'!$Q$2:$Q$317=$A33),--ISNUMBER('Данные 2st'!$JU$2:$JU$317))</f>
        <v>7</v>
      </c>
      <c r="PE33">
        <f>SUMPRODUCT(--('Данные 2st'!$Q$2:$Q$317=$A33),--ISNUMBER('Данные 2st'!$JV$2:$JV$317))</f>
        <v>7</v>
      </c>
      <c r="PF33">
        <f>SUMPRODUCT(--('Данные 2st'!$Q$2:$Q$317=$A33),--ISNUMBER('Данные 2st'!$JW$2:$JW$317))</f>
        <v>7</v>
      </c>
      <c r="PG33">
        <f>SUMPRODUCT(--('Данные 2st'!$Q$2:$Q$317=$A33),--ISNUMBER('Данные 2st'!$KF$2:$KF$317))</f>
        <v>7</v>
      </c>
      <c r="PH33">
        <f>SUMPRODUCT(--('Данные 2st'!$Q$2:$Q$317=$A33),--ISNUMBER('Данные 2st'!$KG$2:$KG$317))</f>
        <v>7</v>
      </c>
      <c r="PI33">
        <f>SUMPRODUCT(--('Данные 2st'!$Q$2:$Q$317=$A33),--ISNUMBER('Данные 2st'!$KM$2:$KM$317))</f>
        <v>7</v>
      </c>
      <c r="PJ33">
        <f>SUMPRODUCT(--('Данные 2st'!$Q$2:$Q$317=$A33),--ISNUMBER('Данные 2st'!$KN$2:$KN$317))</f>
        <v>7</v>
      </c>
      <c r="PK33">
        <f>SUMPRODUCT(--('Данные 2st'!$Q$2:$Q$317=$A33),--ISNUMBER('Данные 2st'!$KO$2:$KO$317))</f>
        <v>7</v>
      </c>
      <c r="PL33">
        <f>SUMPRODUCT(--('Данные 2st'!$Q$2:$Q$317=$A33),--ISNUMBER('Данные 2st'!$KP$2:$KP$317))</f>
        <v>7</v>
      </c>
      <c r="PM33">
        <f>SUMPRODUCT(--('Данные 2st'!$Q$2:$Q$317=$A33),--ISNUMBER('Данные 2st'!$KQ$2:$KQ$317))</f>
        <v>7</v>
      </c>
      <c r="PN33">
        <f>SUMPRODUCT(--('Данные 2st'!$Q$2:$Q$317=$A33),--ISNUMBER('Данные 2st'!$KR$2:$KR$317))</f>
        <v>7</v>
      </c>
      <c r="PO33">
        <f>SUMPRODUCT(--('Данные 2st'!$Q$2:$Q$317=$A33),--ISNUMBER('Данные 2st'!$KS$2:$KS$317))</f>
        <v>7</v>
      </c>
      <c r="PP33">
        <f>SUMPRODUCT(--('Данные 2st'!$Q$2:$Q$317=$A33),--ISNUMBER('Данные 2st'!$KT$2:$KT$317))</f>
        <v>7</v>
      </c>
      <c r="PQ33">
        <f>SUMPRODUCT(--('Данные 2st'!$Q$2:$Q$317=$A33),--ISNUMBER('Данные 2st'!$KU$2:$KU$317))</f>
        <v>7</v>
      </c>
      <c r="PR33">
        <f>SUMPRODUCT(--('Данные 2st'!$Q$2:$Q$317=$A33),--ISNUMBER('Данные 2st'!$KV$2:$KV$317))</f>
        <v>7</v>
      </c>
      <c r="PS33">
        <f>SUMPRODUCT(--('Данные 2st'!$Q$2:$Q$317=$A33),--ISNUMBER('Данные 2st'!$KW$2:$KW$317))</f>
        <v>7</v>
      </c>
      <c r="PT33">
        <f>SUMPRODUCT(--('Данные 2st'!$Q$2:$Q$317=$A33),--ISNUMBER('Данные 2st'!$KX$2:$KX$317))</f>
        <v>7</v>
      </c>
      <c r="PU33">
        <f>SUMPRODUCT(--('Данные 2st'!$Q$2:$Q$317=$A33),--ISNUMBER('Данные 2st'!$KY$2:$KY$317))</f>
        <v>7</v>
      </c>
      <c r="PV33">
        <f>SUMPRODUCT(--('Данные 2st'!$Q$2:$Q$317=$A33),--ISNUMBER('Данные 2st'!$KZ$2:$KZ$317))</f>
        <v>7</v>
      </c>
      <c r="PW33">
        <f>SUMPRODUCT(--('Данные 2st'!$Q$2:$Q$317=$A33),--ISNUMBER('Данные 2st'!$LA$2:$LA$317))</f>
        <v>7</v>
      </c>
      <c r="PX33">
        <f>SUMPRODUCT(--('Данные 2st'!$Q$2:$Q$317=$A33),--ISNUMBER('Данные 2st'!$LB$2:$LB$317))</f>
        <v>7</v>
      </c>
      <c r="PY33">
        <f>SUMPRODUCT(--('Данные 2st'!$Q$2:$Q$317=$A33),--ISNUMBER('Данные 2st'!$LC$2:$LC$317))</f>
        <v>7</v>
      </c>
      <c r="PZ33">
        <f>SUMPRODUCT(--('Данные 2st'!$Q$2:$Q$317=$A33),--ISNUMBER('Данные 2st'!$LD$2:$LD$317))</f>
        <v>7</v>
      </c>
      <c r="QA33">
        <f>SUMPRODUCT(--('Данные 2st'!$Q$2:$Q$317=$A33),--ISNUMBER('Данные 2st'!$LE$2:$LE$317))</f>
        <v>7</v>
      </c>
      <c r="QB33">
        <f>SUMPRODUCT(--('Данные 2st'!$Q$2:$Q$317=$A33),--ISNUMBER('Данные 2st'!$LF$2:$LF$317))</f>
        <v>7</v>
      </c>
      <c r="QC33">
        <f>SUMPRODUCT(--('Данные 2st'!$Q$2:$Q$317=$A33),--ISNUMBER('Данные 2st'!$LG$2:$LG$317))</f>
        <v>7</v>
      </c>
      <c r="QD33">
        <f>SUMPRODUCT(--('Данные 2st'!$Q$2:$Q$317=$A33),--ISNUMBER('Данные 2st'!$LH$2:$LH$317))</f>
        <v>7</v>
      </c>
      <c r="QE33">
        <f>SUMPRODUCT(--('Данные 2st'!$Q$2:$Q$317=$A33),--ISNUMBER('Данные 2st'!$LJ$2:$LJ$317))</f>
        <v>7</v>
      </c>
      <c r="QF33">
        <f>SUMPRODUCT(--('Данные 2st'!$Q$2:$Q$317=$A33),--ISNUMBER('Данные 2st'!$LK$2:$LK$317))</f>
        <v>7</v>
      </c>
      <c r="QG33">
        <f>SUMPRODUCT(--('Данные 2st'!$Q$2:$Q$317=$A33),--ISNUMBER('Данные 2st'!$LL$2:$LL$317))</f>
        <v>7</v>
      </c>
      <c r="QH33">
        <f>SUMPRODUCT(--('Данные 2st'!$Q$2:$Q$317=$A33),--ISNUMBER('Данные 2st'!$LM$2:$LM$317))</f>
        <v>7</v>
      </c>
      <c r="QI33">
        <f>SUMPRODUCT(--('Данные 2st'!$Q$2:$Q$317=$A33),--ISNUMBER('Данные 2st'!$LN$2:$LN$317))</f>
        <v>7</v>
      </c>
      <c r="QJ33">
        <f>SUMPRODUCT(--('Данные 2st'!$Q$2:$Q$317=$A33),--ISNUMBER('Данные 2st'!$LO$2:$LO$317))</f>
        <v>7</v>
      </c>
      <c r="QK33">
        <f>SUMPRODUCT(--('Данные 2st'!$Q$2:$Q$317=$A33),--ISNUMBER('Данные 2st'!$LP$2:$LP$317))</f>
        <v>7</v>
      </c>
      <c r="QL33">
        <f>SUMPRODUCT(--('Данные 2st'!$Q$2:$Q$317=$A33),--ISNUMBER('Данные 2st'!$LQ$2:$LQ$317))</f>
        <v>7</v>
      </c>
      <c r="QM33">
        <f>SUMPRODUCT(--('Данные 2st'!$Q$2:$Q$317=$A33),--ISNUMBER('Данные 2st'!$LW$2:$LW$317))</f>
        <v>7</v>
      </c>
      <c r="QN33">
        <f>SUMPRODUCT(--('Данные 2st'!$Q$2:$Q$317=$A33),--ISNUMBER('Данные 2st'!$LX$2:$LX$317))</f>
        <v>7</v>
      </c>
      <c r="QO33">
        <f>SUMPRODUCT(--('Данные 2st'!$Q$2:$Q$317=$A33),--ISNUMBER('Данные 2st'!$LY$2:$LY$317))</f>
        <v>7</v>
      </c>
      <c r="QP33">
        <f>SUMPRODUCT(--('Данные 2st'!$Q$2:$Q$317=$A33),--ISNUMBER('Данные 2st'!$LZ$2:$LZ$317))</f>
        <v>7</v>
      </c>
      <c r="QQ33">
        <f>SUMPRODUCT(--('Данные 2st'!$Q$2:$Q$317=$A33),--ISNUMBER('Данные 2st'!$MB$2:$MB$317))</f>
        <v>7</v>
      </c>
      <c r="QR33">
        <f>SUMPRODUCT(--('Данные 2st'!$Q$2:$Q$317=$A33),--ISNUMBER('Данные 2st'!$MG$2:$MG$317))</f>
        <v>5</v>
      </c>
      <c r="QS33">
        <f>SUMPRODUCT(--('Данные 2st'!$Q$2:$Q$317=$A33),--ISNUMBER('Данные 2st'!$MH$2:$MH$317))</f>
        <v>5</v>
      </c>
      <c r="QT33">
        <f>SUMPRODUCT(--('Данные 2st'!$Q$2:$Q$317=$A33),--ISNUMBER('Данные 2st'!$MI$2:$MI$317))</f>
        <v>7</v>
      </c>
      <c r="QU33">
        <f>SUMPRODUCT(--('Данные 2st'!$Q$2:$Q$317=$A33),--ISNUMBER('Данные 2st'!$MJ$2:$MJ$317))</f>
        <v>7</v>
      </c>
      <c r="QV33">
        <f>SUMPRODUCT(--('Данные 2st'!$Q$2:$Q$317=$A33),--ISNUMBER('Данные 2st'!$MK$2:$MK$317))</f>
        <v>5</v>
      </c>
      <c r="QW33">
        <f>SUMPRODUCT(--('Данные 2st'!$Q$2:$Q$317=$A33),--ISNUMBER('Данные 2st'!$MM$2:$MM$317))</f>
        <v>7</v>
      </c>
      <c r="QX33">
        <f>SUMPRODUCT(--('Данные 2st'!$Q$2:$Q$317=$A33),--ISNUMBER('Данные 2st'!$MQ$2:$MQ$317))</f>
        <v>0</v>
      </c>
      <c r="QY33">
        <f>SUMPRODUCT(--('Данные 2st'!$Q$2:$Q$317=$A33),--ISNUMBER('Данные 2st'!$MR$2:$MR$317))</f>
        <v>0</v>
      </c>
      <c r="QZ33">
        <f>SUMPRODUCT(--('Данные 2st'!$Q$2:$Q$317=$A33),--ISNUMBER('Данные 2st'!$MS$2:$MS$317))</f>
        <v>0</v>
      </c>
      <c r="RA33">
        <f>SUMPRODUCT(--('Данные 2st'!$Q$2:$Q$317=$A33),--ISNUMBER('Данные 2st'!$MT$2:$MT$317))</f>
        <v>0</v>
      </c>
      <c r="RB33">
        <f>SUMPRODUCT(--('Данные 2st'!$Q$2:$Q$317=$A33),--ISNUMBER('Данные 2st'!$MU$2:$MU$317))</f>
        <v>0</v>
      </c>
      <c r="RC33">
        <f>SUMPRODUCT(--('Данные 2st'!$Q$2:$Q$317=$A33),--ISNUMBER('Данные 2st'!$MV$2:$MV$317))</f>
        <v>0</v>
      </c>
      <c r="RD33">
        <f>SUMPRODUCT(--('Данные 2st'!$Q$2:$Q$317=$A33),--ISNUMBER('Данные 2st'!$MW$2:$MW$317))</f>
        <v>0</v>
      </c>
      <c r="RE33">
        <f>SUMPRODUCT(--('Данные 2st'!$Q$2:$Q$317=$A33),--ISNUMBER('Данные 2st'!$MX$2:$MX$317))</f>
        <v>0</v>
      </c>
      <c r="RF33">
        <f>SUMPRODUCT(--('Данные 2st'!$Q$2:$Q$317=$A33),--ISNUMBER('Данные 2st'!$MY$2:$MY$317))</f>
        <v>0</v>
      </c>
      <c r="RG33">
        <f>SUMPRODUCT(--('Данные 2st'!$Q$2:$Q$317=$A33),--ISNUMBER('Данные 2st'!$MZ$2:$MZ$317))</f>
        <v>0</v>
      </c>
      <c r="RH33">
        <f>SUMPRODUCT(--('Данные 2st'!$Q$2:$Q$317=$A33),--ISNUMBER('Данные 2st'!$NA$2:$NA$317))</f>
        <v>0</v>
      </c>
      <c r="RI33">
        <f>SUMPRODUCT(--('Данные 2st'!$Q$2:$Q$317=$A33),--ISNUMBER('Данные 2st'!$NB$2:$NB$317))</f>
        <v>0</v>
      </c>
      <c r="RJ33">
        <f>SUMPRODUCT(--('Данные 2st'!$Q$2:$Q$317=$A33),--ISNUMBER('Данные 2st'!$NC$2:$NC$317))</f>
        <v>0</v>
      </c>
      <c r="RK33">
        <f>SUMPRODUCT(--('Данные 2st'!$Q$2:$Q$317=$A33),--ISNUMBER('Данные 2st'!$ND$2:$ND$317))</f>
        <v>0</v>
      </c>
      <c r="RL33">
        <f>SUMPRODUCT(--('Данные 2st'!$Q$2:$Q$317=$A33),--ISNUMBER('Данные 2st'!$NE$2:$NE$317))</f>
        <v>0</v>
      </c>
      <c r="RM33">
        <f>SUMPRODUCT(--('Данные 2st'!$Q$2:$Q$317=$A33),--ISNUMBER('Данные 2st'!$NF$2:$NF$317))</f>
        <v>0</v>
      </c>
      <c r="RN33">
        <f>SUMPRODUCT(--('Данные 2st'!$Q$2:$Q$317=$A33),--ISNUMBER('Данные 2st'!$NG$2:$NG$317))</f>
        <v>0</v>
      </c>
      <c r="RO33">
        <f>SUMPRODUCT(--('Данные 2st'!$Q$2:$Q$317=$A33),--ISNUMBER('Данные 2st'!$NH$2:$NH$317))</f>
        <v>0</v>
      </c>
      <c r="RP33">
        <f>SUMPRODUCT(--('Данные 2st'!$Q$2:$Q$317=$A33),--ISNUMBER('Данные 2st'!$NJ$2:$NJ$317))</f>
        <v>0</v>
      </c>
      <c r="RQ33">
        <f>SUMPRODUCT(--('Данные 2st'!$Q$2:$Q$317=$A33),--ISNUMBER('Данные 2st'!$NK$2:$NK$317))</f>
        <v>0</v>
      </c>
      <c r="RR33">
        <f>SUMPRODUCT(--('Данные 2st'!$Q$2:$Q$317=$A33),--ISNUMBER('Данные 2st'!$NM$2:$NM$317))</f>
        <v>0</v>
      </c>
      <c r="RS33">
        <f>SUMPRODUCT(--('Данные 2st'!$Q$2:$Q$317=$A33),--ISNUMBER('Данные 2st'!$NN$2:$NN$317))</f>
        <v>0</v>
      </c>
      <c r="RT33">
        <f>SUMPRODUCT(--('Данные 2st'!$Q$2:$Q$317=$A33),--ISNUMBER('Данные 2st'!$NO$2:$NO$317))</f>
        <v>0</v>
      </c>
      <c r="RU33">
        <f>SUMPRODUCT(--('Данные 2st'!$Q$2:$Q$317=$A33),--ISNUMBER('Данные 2st'!$NP$2:$NP$317))</f>
        <v>0</v>
      </c>
      <c r="RV33">
        <f>SUMPRODUCT(--('Данные 2st'!$Q$2:$Q$317=$A33),--ISNUMBER('Данные 2st'!$NQ$2:$NQ$317))</f>
        <v>0</v>
      </c>
      <c r="RW33">
        <f>SUMPRODUCT(--('Данные 2st'!$Q$2:$Q$317=$A33),--ISNUMBER('Данные 2st'!$NR$2:$NR$317))</f>
        <v>0</v>
      </c>
      <c r="RX33">
        <f>SUMPRODUCT(--('Данные 2st'!$Q$2:$Q$317=$A33),--ISNUMBER('Данные 2st'!$NS$2:$NS$317))</f>
        <v>0</v>
      </c>
      <c r="RY33">
        <f>SUMPRODUCT(--('Данные 2st'!$Q$2:$Q$317=$A33),--ISNUMBER('Данные 2st'!$NT$2:$NT$317))</f>
        <v>0</v>
      </c>
      <c r="RZ33">
        <f>SUMPRODUCT(--('Данные 2st'!$Q$2:$Q$317=$A33),--ISNUMBER('Данные 2st'!$OK$2:$OK$317))</f>
        <v>7</v>
      </c>
      <c r="SA33">
        <f>SUMPRODUCT(--('Данные 2st'!$Q$2:$Q$317=$A33),--ISNUMBER('Данные 2st'!$OL$2:$OL$317))</f>
        <v>7</v>
      </c>
      <c r="SB33">
        <f>SUMPRODUCT(--('Данные 2st'!$Q$2:$Q$317=$A33),--ISNUMBER('Данные 2st'!$ON$2:$ON$317))</f>
        <v>7</v>
      </c>
      <c r="SC33">
        <f>SUMPRODUCT(--('Данные 2st'!$Q$2:$Q$317=$A33),--ISNUMBER('Данные 2st'!$OO$2:$OO$317))</f>
        <v>7</v>
      </c>
      <c r="SD33">
        <f>SUMPRODUCT(--('Данные 2st'!$Q$2:$Q$317=$A33),--ISNUMBER('Данные 2st'!$OP$2:$OP$317))</f>
        <v>7</v>
      </c>
      <c r="SE33">
        <f>SUMPRODUCT(--('Данные 2st'!$Q$2:$Q$317=$A33),--ISNUMBER('Данные 2st'!$OQ$2:$OQ$317))</f>
        <v>7</v>
      </c>
      <c r="SF33">
        <f>SUMPRODUCT(--('Данные 2st'!$Q$2:$Q$317=$A33),--ISNUMBER('Данные 2st'!$OS$2:$OS$317))</f>
        <v>7</v>
      </c>
      <c r="SG33">
        <f>SUMPRODUCT(--('Данные 2st'!$Q$2:$Q$317=$A33),--ISNUMBER('Данные 2st'!$OT$2:$OT$317))</f>
        <v>7</v>
      </c>
      <c r="SH33">
        <f>SUMPRODUCT(--('Данные 2st'!$Q$2:$Q$317=$A33),--ISNUMBER('Данные 2st'!$OU$2:$OU$317))</f>
        <v>7</v>
      </c>
      <c r="SI33">
        <f>SUMPRODUCT(--('Данные 2st'!$Q$2:$Q$317=$A33),--ISNUMBER('Данные 2st'!$OV$2:$OV$317))</f>
        <v>7</v>
      </c>
      <c r="SJ33">
        <f>SUMPRODUCT(--('Данные 2st'!$Q$2:$Q$317=$A33),--ISNUMBER('Данные 2st'!$OX$2:$OX$317))</f>
        <v>7</v>
      </c>
      <c r="SK33">
        <f>SUMPRODUCT(--('Данные 2st'!$Q$2:$Q$317=$A33),--ISNUMBER('Данные 2st'!$OY$2:$OY$317))</f>
        <v>7</v>
      </c>
      <c r="SL33">
        <f>SUMPRODUCT(--('Данные 2st'!$Q$2:$Q$317=$A33),--ISNUMBER('Данные 2st'!$OZ$2:$OZ$317))</f>
        <v>7</v>
      </c>
      <c r="SM33">
        <f>SUMPRODUCT(--('Данные 2st'!$Q$2:$Q$317=$A33),--ISNUMBER('Данные 2st'!$PA$2:$PA$317))</f>
        <v>7</v>
      </c>
      <c r="SN33">
        <f>SUMPRODUCT(--('Данные 2st'!$Q$2:$Q$317=$A33),--ISNUMBER('Данные 2st'!$PC$2:$PC$317))</f>
        <v>7</v>
      </c>
      <c r="SO33">
        <f>SUMPRODUCT(--('Данные 2st'!$Q$2:$Q$317=$A33),--ISNUMBER('Данные 2st'!$PD$2:$PD$317))</f>
        <v>7</v>
      </c>
      <c r="SP33">
        <f>SUMPRODUCT(--('Данные 2st'!$Q$2:$Q$317=$A33),--ISNUMBER('Данные 2st'!$PF$2:$PF$317))</f>
        <v>7</v>
      </c>
      <c r="SQ33">
        <f>SUMPRODUCT(--('Данные 2st'!$Q$2:$Q$317=$A33),--ISNUMBER('Данные 2st'!$PG$2:$PG$317))</f>
        <v>7</v>
      </c>
      <c r="SR33">
        <f>SUMPRODUCT(--('Данные 2st'!$Q$2:$Q$317=$A33),--ISNUMBER('Данные 2st'!$PH$2:$PH$317))</f>
        <v>7</v>
      </c>
      <c r="SS33">
        <f>SUMPRODUCT(--('Данные 2st'!$Q$2:$Q$317=$A33),--ISNUMBER('Данные 2st'!$PI$2:$PI$317))</f>
        <v>7</v>
      </c>
      <c r="ST33">
        <f>SUMPRODUCT(--('Данные 2st'!$Q$2:$Q$317=$A33),--ISNUMBER('Данные 2st'!$PJ$2:$PJ$317))</f>
        <v>7</v>
      </c>
      <c r="SU33">
        <f>SUMPRODUCT(--('Данные 2st'!$Q$2:$Q$317=$A33),--ISNUMBER('Данные 2st'!$PK$2:$PK$317))</f>
        <v>7</v>
      </c>
      <c r="SV33">
        <f>SUMPRODUCT(--('Данные 2st'!$Q$2:$Q$317=$A33),--ISNUMBER('Данные 2st'!$PL$2:$PL$317))</f>
        <v>7</v>
      </c>
      <c r="SW33">
        <f>SUMPRODUCT(--('Данные 2st'!$Q$2:$Q$317=$A33),--ISNUMBER('Данные 2st'!$PM$2:$PM$317))</f>
        <v>7</v>
      </c>
      <c r="SX33">
        <f>SUMPRODUCT(--('Данные 2st'!$Q$2:$Q$317=$A33),--ISNUMBER('Данные 2st'!$PN$2:$PN$317))</f>
        <v>7</v>
      </c>
      <c r="SY33">
        <f>SUMPRODUCT(--('Данные 2st'!$Q$2:$Q$317=$A33),--ISNUMBER('Данные 2st'!$PO$2:$PO$317))</f>
        <v>7</v>
      </c>
      <c r="SZ33">
        <f>SUMPRODUCT(--('Данные 2st'!$Q$2:$Q$317=$A33),--ISNUMBER('Данные 2st'!$PP$2:$PP$317))</f>
        <v>7</v>
      </c>
      <c r="TA33">
        <f>SUMPRODUCT(--('Данные 2st'!$Q$2:$Q$317=$A33),--ISNUMBER('Данные 2st'!$PQ$2:$PQ$317))</f>
        <v>7</v>
      </c>
      <c r="TB33">
        <f>SUMPRODUCT(--('Данные 2st'!$Q$2:$Q$317=$A33),--ISNUMBER('Данные 2st'!$PR$2:$PR$317))</f>
        <v>7</v>
      </c>
      <c r="TC33">
        <f>SUMPRODUCT(--('Данные 2st'!$Q$2:$Q$317=$A33),--ISNUMBER('Данные 2st'!$PS$2:$PS$317))</f>
        <v>7</v>
      </c>
      <c r="TD33">
        <f>SUMPRODUCT(--('Данные 2st'!$Q$2:$Q$317=$A33),--ISNUMBER('Данные 2st'!$PT$2:$PT$317))</f>
        <v>7</v>
      </c>
      <c r="TE33">
        <f>SUMPRODUCT(--('Данные 2st'!$Q$2:$Q$317=$A33),--ISNUMBER('Данные 2st'!$PU$2:$PU$317))</f>
        <v>7</v>
      </c>
      <c r="TF33">
        <f>SUMPRODUCT(--('Данные 2st'!$Q$2:$Q$317=$A33),--ISNUMBER('Данные 2st'!$PX$2:$PX$317))</f>
        <v>7</v>
      </c>
      <c r="TG33">
        <f>SUMPRODUCT(--('Данные 2st'!$Q$2:$Q$317=$A33),--ISNUMBER('Данные 2st'!$PY$2:$PY$317))</f>
        <v>7</v>
      </c>
      <c r="TH33">
        <f>SUMPRODUCT(--('Данные 2st'!$Q$2:$Q$317=$A33),--ISNUMBER('Данные 2st'!$PZ$2:$PZ$317))</f>
        <v>7</v>
      </c>
      <c r="TI33">
        <f>SUMPRODUCT(--('Данные 2st'!$Q$2:$Q$317=$A33),--ISNUMBER('Данные 2st'!$QA$2:$QA$317))</f>
        <v>7</v>
      </c>
      <c r="TJ33">
        <f>SUMPRODUCT(--('Данные 2st'!$Q$2:$Q$317=$A33),--ISNUMBER('Данные 2st'!$QB$2:$QB$317))</f>
        <v>7</v>
      </c>
      <c r="TK33">
        <f>SUMPRODUCT(--('Данные 2st'!$Q$2:$Q$317=$A33),--ISNUMBER('Данные 2st'!$QC$2:$QC$317))</f>
        <v>7</v>
      </c>
      <c r="TL33">
        <f>SUMPRODUCT(--('Данные 2st'!$Q$2:$Q$317=$A33),--ISNUMBER('Данные 2st'!$QD$2:$QD$317))</f>
        <v>7</v>
      </c>
      <c r="TM33">
        <f>SUMPRODUCT(--('Данные 2st'!$Q$2:$Q$317=$A33),--ISNUMBER('Данные 2st'!$QE$2:$QE$317))</f>
        <v>7</v>
      </c>
      <c r="TN33">
        <f>SUMPRODUCT(--('Данные 2st'!$Q$2:$Q$317=$A33),--ISNUMBER('Данные 2st'!$QF$2:$QF$317))</f>
        <v>7</v>
      </c>
      <c r="TO33">
        <f>SUMPRODUCT(--('Данные 2st'!$Q$2:$Q$317=$A33),--ISNUMBER('Данные 2st'!$QG$2:$QG$317))</f>
        <v>7</v>
      </c>
      <c r="TP33">
        <f>SUMPRODUCT(--('Данные 2st'!$Q$2:$Q$317=$A33),--ISNUMBER('Данные 2st'!$QH$2:$QH$317))</f>
        <v>7</v>
      </c>
      <c r="TQ33">
        <f>SUMPRODUCT(--('Данные 2st'!$Q$2:$Q$317=$A33),--ISNUMBER('Данные 2st'!$QI$2:$QI$317))</f>
        <v>7</v>
      </c>
      <c r="TR33">
        <f>SUMPRODUCT(--('Данные 2st'!$Q$2:$Q$317=$A33),--ISNUMBER('Данные 2st'!$QJ$2:$QJ$317))</f>
        <v>7</v>
      </c>
      <c r="TS33">
        <f>SUMPRODUCT(--('Данные 2st'!$Q$2:$Q$317=$A33),--ISNUMBER('Данные 2st'!$QK$2:$QK$317))</f>
        <v>7</v>
      </c>
      <c r="TT33">
        <f>SUMPRODUCT(--('Данные 2st'!$Q$2:$Q$317=$A33),--ISNUMBER('Данные 2st'!$QL$2:$QL$317))</f>
        <v>7</v>
      </c>
      <c r="TU33">
        <f>SUMPRODUCT(--('Данные 2st'!$Q$2:$Q$317=$A33),--ISNUMBER('Данные 2st'!$QM$2:$QM$317))</f>
        <v>7</v>
      </c>
      <c r="TV33">
        <f>SUMPRODUCT(--('Данные 2st'!$Q$2:$Q$317=$A33),--ISNUMBER('Данные 2st'!$QN$2:$QN$317))</f>
        <v>7</v>
      </c>
      <c r="TW33">
        <f>SUMPRODUCT(--('Данные 2st'!$Q$2:$Q$317=$A33),--ISNUMBER('Данные 2st'!$QQ$2:$QQ$317))</f>
        <v>7</v>
      </c>
      <c r="TX33">
        <f>SUMPRODUCT(--('Данные 2st'!$Q$2:$Q$317=$A33),--ISNUMBER('Данные 2st'!$QS$2:$QS$317))</f>
        <v>7</v>
      </c>
      <c r="TY33">
        <f>SUMPRODUCT(--('Данные 2st'!$Q$2:$Q$317=$A33),--ISNUMBER('Данные 2st'!$QT$2:$QT$317))</f>
        <v>7</v>
      </c>
    </row>
    <row r="34" spans="1:545" ht="32" customHeight="1">
      <c r="A34" s="11" t="str">
        <f>'По размерам'!A34</f>
        <v>225/50R17</v>
      </c>
      <c r="G34">
        <f>SUMPRODUCT(--('Данные 1st'!$S$2:$S$317=$A34),--ISNUMBER('Данные 1st'!$AE$2:$AE$317))</f>
        <v>5</v>
      </c>
      <c r="H34">
        <f>SUMPRODUCT(--('Данные 1st'!$S$2:$S$317=$A34),--ISNUMBER('Данные 1st'!$AF$2:$AF$317))</f>
        <v>5</v>
      </c>
      <c r="I34">
        <f>SUMPRODUCT(--('Данные 1st'!$S$2:$S$317=$A34),--ISNUMBER('Данные 1st'!$AJ$2:$AJ$317))</f>
        <v>5</v>
      </c>
      <c r="J34">
        <f>SUMPRODUCT(--('Данные 1st'!$S$2:$S$317=$A34),--ISNUMBER('Данные 1st'!$AL$2:$AL$317))</f>
        <v>5</v>
      </c>
      <c r="K34">
        <f>SUMPRODUCT(--('Данные 1st'!$S$2:$S$317=$A34),--ISNUMBER('Данные 1st'!$AR$2:$AR$317))</f>
        <v>5</v>
      </c>
      <c r="L34">
        <f>SUMPRODUCT(--('Данные 1st'!$S$2:$S$317=$A34),--ISNUMBER('Данные 1st'!$AS$2:$AS$317))</f>
        <v>5</v>
      </c>
      <c r="M34">
        <f>SUMPRODUCT(--('Данные 1st'!$S$2:$S$317=$A34),--ISNUMBER('Данные 1st'!$AY$2:$AY$317))</f>
        <v>5</v>
      </c>
      <c r="N34">
        <f>SUMPRODUCT(--('Данные 1st'!$S$2:$S$317=$A34),--ISNUMBER('Данные 1st'!$AZ$2:$AZ$317))</f>
        <v>5</v>
      </c>
      <c r="O34">
        <f>SUMPRODUCT(--('Данные 1st'!$S$2:$S$317=$A34),--ISNUMBER('Данные 1st'!$BF$2:$BF$317))</f>
        <v>0</v>
      </c>
      <c r="P34">
        <f>SUMPRODUCT(--('Данные 1st'!$S$2:$S$317=$A34),--ISNUMBER('Данные 1st'!$BG$2:$BG$317))</f>
        <v>5</v>
      </c>
      <c r="Q34">
        <f>SUMPRODUCT(--('Данные 1st'!$S$2:$S$317=$A34),--ISNUMBER('Данные 1st'!$BM$2:$BM$317))</f>
        <v>0</v>
      </c>
      <c r="R34">
        <f>SUMPRODUCT(--('Данные 1st'!$S$2:$S$317=$A34),--ISNUMBER('Данные 1st'!$BN$2:$BN$317))</f>
        <v>5</v>
      </c>
      <c r="S34">
        <f>SUMPRODUCT(--('Данные 1st'!$S$2:$S$317=$A34),--ISNUMBER('Данные 1st'!$BT$2:$BT$317))</f>
        <v>5</v>
      </c>
      <c r="T34">
        <f>SUMPRODUCT(--('Данные 1st'!$S$2:$S$317=$A34),--ISNUMBER('Данные 1st'!$BU$2:$BU$317))</f>
        <v>5</v>
      </c>
      <c r="U34">
        <f>SUMPRODUCT(--('Данные 1st'!$S$2:$S$317=$A34),--ISNUMBER('Данные 1st'!$BW$2:$BW$317))</f>
        <v>5</v>
      </c>
      <c r="V34">
        <f>SUMPRODUCT(--('Данные 1st'!$S$2:$S$317=$A34),--ISNUMBER('Данные 1st'!$BX$2:$BX$317))</f>
        <v>5</v>
      </c>
      <c r="W34">
        <f>SUMPRODUCT(--('Данные 1st'!$S$2:$S$317=$A34),--ISNUMBER('Данные 1st'!$BZ$2:$BZ$317))</f>
        <v>5</v>
      </c>
      <c r="X34">
        <f>SUMPRODUCT(--('Данные 1st'!$S$2:$S$317=$A34),--ISNUMBER('Данные 1st'!$CA$2:$CA$317))</f>
        <v>5</v>
      </c>
      <c r="Y34">
        <f>SUMPRODUCT(--('Данные 1st'!$S$2:$S$317=$A34),--ISNUMBER('Данные 1st'!$CD$2:$CD$317))</f>
        <v>5</v>
      </c>
      <c r="Z34">
        <f>SUMPRODUCT(--('Данные 1st'!$S$2:$S$317=$A34),--ISNUMBER('Данные 1st'!$CF$2:$CF$317))</f>
        <v>5</v>
      </c>
      <c r="AA34">
        <f>SUMPRODUCT(--('Данные 1st'!$S$2:$S$317=$A34),--ISNUMBER('Данные 1st'!$CI$2:$CI$317))</f>
        <v>5</v>
      </c>
      <c r="AB34">
        <f>SUMPRODUCT(--('Данные 1st'!$S$2:$S$317=$A34),--ISNUMBER('Данные 1st'!$CJ$2:$CJ$317))</f>
        <v>5</v>
      </c>
      <c r="AC34">
        <f>SUMPRODUCT(--('Данные 1st'!$S$2:$S$317=$A34),--ISNUMBER('Данные 1st'!$CK$2:$CK$317))</f>
        <v>5</v>
      </c>
      <c r="AD34">
        <f>SUMPRODUCT(--('Данные 1st'!$S$2:$S$317=$A34),--ISNUMBER('Данные 1st'!$CL$2:$CL$317))</f>
        <v>5</v>
      </c>
      <c r="AE34">
        <f>SUMPRODUCT(--('Данные 1st'!$S$2:$S$317=$A34),--ISNUMBER('Данные 1st'!$CM$2:$CM$317))</f>
        <v>5</v>
      </c>
      <c r="AF34">
        <f>SUMPRODUCT(--('Данные 1st'!$S$2:$S$317=$A34),--ISNUMBER('Данные 1st'!$CT$2:$CT$317))</f>
        <v>5</v>
      </c>
      <c r="AG34">
        <f>SUMPRODUCT(--('Данные 1st'!$S$2:$S$317=$A34),--ISNUMBER('Данные 1st'!$CU$2:$CU$317))</f>
        <v>5</v>
      </c>
      <c r="AH34">
        <f>SUMPRODUCT(--('Данные 1st'!$S$2:$S$317=$A34),--ISNUMBER('Данные 1st'!$CV$2:$CV$317))</f>
        <v>5</v>
      </c>
      <c r="AI34">
        <f>SUMPRODUCT(--('Данные 1st'!$S$2:$S$317=$A34),--ISNUMBER('Данные 1st'!$CW$2:$CW$317))</f>
        <v>5</v>
      </c>
      <c r="AJ34">
        <f>SUMPRODUCT(--('Данные 1st'!$S$2:$S$317=$A34),--ISNUMBER('Данные 1st'!$CX$2:$CX$317))</f>
        <v>5</v>
      </c>
      <c r="AK34">
        <f>SUMPRODUCT(--('Данные 1st'!$S$2:$S$317=$A34),--ISNUMBER('Данные 1st'!$CZ$2:$CZ$317))</f>
        <v>0</v>
      </c>
      <c r="AL34">
        <f>SUMPRODUCT(--('Данные 1st'!$S$2:$S$317=$A34),--ISNUMBER('Данные 1st'!$DA$2:$DA$317))</f>
        <v>0</v>
      </c>
      <c r="AM34">
        <f>SUMPRODUCT(--('Данные 1st'!$S$2:$S$317=$A34),--ISNUMBER('Данные 1st'!$DB$2:$DB$317))</f>
        <v>0</v>
      </c>
      <c r="AN34">
        <f>SUMPRODUCT(--('Данные 1st'!$S$2:$S$317=$A34),--ISNUMBER('Данные 1st'!$DC$2:$DC$317))</f>
        <v>0</v>
      </c>
      <c r="AO34">
        <f>SUMPRODUCT(--('Данные 1st'!$S$2:$S$317=$A34),--ISNUMBER('Данные 1st'!$DD$2:$DD$317))</f>
        <v>5</v>
      </c>
      <c r="AP34">
        <f>SUMPRODUCT(--('Данные 1st'!$S$2:$S$317=$A34),--ISNUMBER('Данные 1st'!$DF$2:$DF$317))</f>
        <v>5</v>
      </c>
      <c r="AQ34">
        <f>SUMPRODUCT(--('Данные 1st'!$S$2:$S$317=$A34),--ISNUMBER('Данные 1st'!$DG$2:$DG$317))</f>
        <v>5</v>
      </c>
      <c r="AR34">
        <f>SUMPRODUCT(--('Данные 1st'!$S$2:$S$317=$A34),--ISNUMBER('Данные 1st'!$DH$2:$DH$317))</f>
        <v>5</v>
      </c>
      <c r="AS34">
        <f>SUMPRODUCT(--('Данные 1st'!$S$2:$S$317=$A34),--ISNUMBER('Данные 1st'!$DI$2:$DI$317))</f>
        <v>5</v>
      </c>
      <c r="AT34">
        <f>SUMPRODUCT(--('Данные 1st'!$S$2:$S$317=$A34),--ISNUMBER('Данные 1st'!$DJ$2:$DJ$317))</f>
        <v>5</v>
      </c>
      <c r="AU34">
        <f>SUMPRODUCT(--('Данные 1st'!$S$2:$S$317=$A34),--ISNUMBER('Данные 1st'!$DL$2:$DL$317))</f>
        <v>0</v>
      </c>
      <c r="AV34">
        <f>SUMPRODUCT(--('Данные 1st'!$S$2:$S$317=$A34),--ISNUMBER('Данные 1st'!$DM$2:$DM$317))</f>
        <v>0</v>
      </c>
      <c r="AW34">
        <f>SUMPRODUCT(--('Данные 1st'!$S$2:$S$317=$A34),--ISNUMBER('Данные 1st'!$DN$2:$DN$317))</f>
        <v>0</v>
      </c>
      <c r="AX34">
        <f>SUMPRODUCT(--('Данные 1st'!$S$2:$S$317=$A34),--ISNUMBER('Данные 1st'!$DO$2:$DO$317))</f>
        <v>0</v>
      </c>
      <c r="AY34">
        <f>SUMPRODUCT(--('Данные 1st'!$S$2:$S$317=$A34),--ISNUMBER('Данные 1st'!$DP$2:$DP$317))</f>
        <v>0</v>
      </c>
      <c r="AZ34">
        <f>SUMPRODUCT(--('Данные 1st'!$S$2:$S$317=$A34),--ISNUMBER('Данные 1st'!$DR$2:$DR$317))</f>
        <v>0</v>
      </c>
      <c r="BA34">
        <f>SUMPRODUCT(--('Данные 1st'!$S$2:$S$317=$A34),--ISNUMBER('Данные 1st'!$DS$2:$DS$317))</f>
        <v>0</v>
      </c>
      <c r="BB34">
        <f>SUMPRODUCT(--('Данные 1st'!$S$2:$S$317=$A34),--ISNUMBER('Данные 1st'!$DT$2:$DT$317))</f>
        <v>0</v>
      </c>
      <c r="BC34">
        <f>SUMPRODUCT(--('Данные 1st'!$S$2:$S$317=$A34),--ISNUMBER('Данные 1st'!$DU$2:$DU$317))</f>
        <v>0</v>
      </c>
      <c r="BD34">
        <f>SUMPRODUCT(--('Данные 1st'!$S$2:$S$317=$A34),--ISNUMBER('Данные 1st'!$DV$2:$DV$317))</f>
        <v>0</v>
      </c>
      <c r="BE34">
        <f>SUMPRODUCT(--('Данные 1st'!$S$2:$S$317=$A34),--ISNUMBER('Данные 1st'!$DX$2:$DX$317))</f>
        <v>5</v>
      </c>
      <c r="BF34">
        <f>SUMPRODUCT(--('Данные 1st'!$S$2:$S$317=$A34),--ISNUMBER('Данные 1st'!$EA$2:$EA$317))</f>
        <v>5</v>
      </c>
      <c r="BG34">
        <f>SUMPRODUCT(--('Данные 1st'!$S$2:$S$317=$A34),--ISNUMBER('Данные 1st'!$EB$2:$EB$317))</f>
        <v>5</v>
      </c>
      <c r="BH34">
        <f>SUMPRODUCT(--('Данные 1st'!$S$2:$S$317=$A34),--ISNUMBER('Данные 1st'!$ED$2:$ED$317))</f>
        <v>5</v>
      </c>
      <c r="BI34">
        <f>SUMPRODUCT(--('Данные 1st'!$S$2:$S$317=$A34),--ISNUMBER('Данные 1st'!$EE$2:$EE$317))</f>
        <v>5</v>
      </c>
      <c r="BJ34">
        <f>SUMPRODUCT(--('Данные 1st'!$S$2:$S$317=$A34),--ISNUMBER('Данные 1st'!$EG$2:$EG$317))</f>
        <v>5</v>
      </c>
      <c r="BK34">
        <f>SUMPRODUCT(--('Данные 1st'!$S$2:$S$317=$A34),--ISNUMBER('Данные 1st'!$EH$2:$EH$317))</f>
        <v>5</v>
      </c>
      <c r="BL34">
        <f>SUMPRODUCT(--('Данные 1st'!$S$2:$S$317=$A34),--ISNUMBER('Данные 1st'!$EJ$2:$EJ$317))</f>
        <v>5</v>
      </c>
      <c r="BM34">
        <f>SUMPRODUCT(--('Данные 1st'!$S$2:$S$317=$A34),--ISNUMBER('Данные 1st'!$EK$2:$EK$317))</f>
        <v>5</v>
      </c>
      <c r="BN34">
        <f>SUMPRODUCT(--('Данные 1st'!$S$2:$S$317=$A34),--ISNUMBER('Данные 1st'!$EN$2:$EN$317))</f>
        <v>5</v>
      </c>
      <c r="BO34">
        <f>SUMPRODUCT(--('Данные 1st'!$S$2:$S$317=$A34),--ISNUMBER('Данные 1st'!$EQ$2:$EQ$317))</f>
        <v>5</v>
      </c>
      <c r="BP34">
        <f>SUMPRODUCT(--('Данные 1st'!$S$2:$S$317=$A34),--ISNUMBER('Данные 1st'!$ER$2:$ER$317))</f>
        <v>5</v>
      </c>
      <c r="BQ34">
        <f>SUMPRODUCT(--('Данные 1st'!$S$2:$S$317=$A34),--ISNUMBER('Данные 1st'!$ES$2:$ES$317))</f>
        <v>5</v>
      </c>
      <c r="BR34">
        <f>SUMPRODUCT(--('Данные 1st'!$S$2:$S$317=$A34),--ISNUMBER('Данные 1st'!$ET$2:$ET$317))</f>
        <v>5</v>
      </c>
      <c r="BS34">
        <f>SUMPRODUCT(--('Данные 1st'!$S$2:$S$317=$A34),--ISNUMBER('Данные 1st'!$EU$2:$EU$317))</f>
        <v>5</v>
      </c>
      <c r="BT34">
        <f>SUMPRODUCT(--('Данные 1st'!$S$2:$S$317=$A34),--ISNUMBER('Данные 1st'!$EV$2:$EV$317))</f>
        <v>5</v>
      </c>
      <c r="BU34">
        <f>SUMPRODUCT(--('Данные 1st'!$S$2:$S$317=$A34),--ISNUMBER('Данные 1st'!$EX$2:$EX$317))</f>
        <v>5</v>
      </c>
      <c r="BV34">
        <f>SUMPRODUCT(--('Данные 1st'!$S$2:$S$317=$A34),--ISNUMBER('Данные 1st'!$EY$2:$EY$317))</f>
        <v>5</v>
      </c>
      <c r="BW34">
        <f>SUMPRODUCT(--('Данные 1st'!$S$2:$S$317=$A34),--ISNUMBER('Данные 1st'!$EZ$2:$EZ$317))</f>
        <v>5</v>
      </c>
      <c r="BX34">
        <f>SUMPRODUCT(--('Данные 1st'!$S$2:$S$317=$A34),--ISNUMBER('Данные 1st'!$FA$2:$FA$317))</f>
        <v>5</v>
      </c>
      <c r="BY34">
        <f>SUMPRODUCT(--('Данные 1st'!$S$2:$S$317=$A34),--ISNUMBER('Данные 1st'!$FB$2:$FB$317))</f>
        <v>5</v>
      </c>
      <c r="BZ34">
        <f>SUMPRODUCT(--('Данные 1st'!$S$2:$S$317=$A34),--ISNUMBER('Данные 1st'!$FC$2:$FC$317))</f>
        <v>5</v>
      </c>
      <c r="CA34">
        <f>SUMPRODUCT(--('Данные 1st'!$S$2:$S$317=$A34),--ISNUMBER('Данные 1st'!$FE$2:$FE$317))</f>
        <v>5</v>
      </c>
      <c r="CB34">
        <f>SUMPRODUCT(--('Данные 1st'!$S$2:$S$317=$A34),--ISNUMBER('Данные 1st'!$FF$2:$FF$317))</f>
        <v>5</v>
      </c>
      <c r="CC34">
        <f>SUMPRODUCT(--('Данные 1st'!$S$2:$S$317=$A34),--ISNUMBER('Данные 1st'!$FI$2:$FI$317))</f>
        <v>5</v>
      </c>
      <c r="CD34">
        <f>SUMPRODUCT(--('Данные 1st'!$S$2:$S$317=$A34),--ISNUMBER('Данные 1st'!$FL$2:$FL$317))</f>
        <v>5</v>
      </c>
      <c r="CE34">
        <f>SUMPRODUCT(--('Данные 1st'!$S$2:$S$317=$A34),--ISNUMBER('Данные 1st'!$FM$2:$FM$317))</f>
        <v>5</v>
      </c>
      <c r="CF34">
        <f>SUMPRODUCT(--('Данные 1st'!$S$2:$S$317=$A34),--ISNUMBER('Данные 1st'!$FN$2:$FN$317))</f>
        <v>5</v>
      </c>
      <c r="CG34">
        <f>SUMPRODUCT(--('Данные 1st'!$S$2:$S$317=$A34),--ISNUMBER('Данные 1st'!$FO$2:$FO$317))</f>
        <v>0</v>
      </c>
      <c r="CH34">
        <f>SUMPRODUCT(--('Данные 1st'!$S$2:$S$317=$A34),--ISNUMBER('Данные 1st'!$FP$2:$FP$317))</f>
        <v>0</v>
      </c>
      <c r="CI34">
        <f>SUMPRODUCT(--('Данные 1st'!$S$2:$S$317=$A34),--ISNUMBER('Данные 1st'!$FS$2:$FS$317))</f>
        <v>5</v>
      </c>
      <c r="CJ34">
        <f>SUMPRODUCT(--('Данные 1st'!$S$2:$S$317=$A34),--ISNUMBER('Данные 1st'!$FT$2:$FT$317))</f>
        <v>5</v>
      </c>
      <c r="CK34">
        <f>SUMPRODUCT(--('Данные 1st'!$S$2:$S$317=$A34),--ISNUMBER('Данные 1st'!$FU$2:$FU$317))</f>
        <v>5</v>
      </c>
      <c r="CL34">
        <f>SUMPRODUCT(--('Данные 1st'!$S$2:$S$317=$A34),--ISNUMBER('Данные 1st'!$FV$2:$FV$317))</f>
        <v>2</v>
      </c>
      <c r="CM34">
        <f>SUMPRODUCT(--('Данные 1st'!$S$2:$S$317=$A34),--ISNUMBER('Данные 1st'!$FW$2:$FW$317))</f>
        <v>2</v>
      </c>
      <c r="CN34">
        <f>SUMPRODUCT(--('Данные 1st'!$S$2:$S$317=$A34),--ISNUMBER('Данные 1st'!$FZ$2:$FZ$317))</f>
        <v>2</v>
      </c>
      <c r="CO34">
        <f>SUMPRODUCT(--('Данные 1st'!$S$2:$S$317=$A34),--ISNUMBER('Данные 1st'!$GA$2:$GA$317))</f>
        <v>2</v>
      </c>
      <c r="CP34">
        <f>SUMPRODUCT(--('Данные 1st'!$S$2:$S$317=$A34),--ISNUMBER('Данные 1st'!$GB$2:$GB$317))</f>
        <v>2</v>
      </c>
      <c r="CQ34">
        <f>SUMPRODUCT(--('Данные 1st'!$S$2:$S$317=$A34),--ISNUMBER('Данные 1st'!$GH$2:$GH$317))</f>
        <v>2</v>
      </c>
      <c r="CR34">
        <f>SUMPRODUCT(--('Данные 1st'!$S$2:$S$317=$A34),--ISNUMBER('Данные 1st'!$GI$2:$GI$317))</f>
        <v>2</v>
      </c>
      <c r="CS34">
        <f>SUMPRODUCT(--('Данные 1st'!$S$2:$S$317=$A34),--ISNUMBER('Данные 1st'!$GJ$2:$GJ$317))</f>
        <v>2</v>
      </c>
      <c r="CT34">
        <f>SUMPRODUCT(--('Данные 1st'!$S$2:$S$317=$A34),--ISNUMBER('Данные 1st'!$GS$2:$GS$317))</f>
        <v>0</v>
      </c>
      <c r="CU34">
        <f>SUMPRODUCT(--('Данные 1st'!$S$2:$S$317=$A34),--ISNUMBER('Данные 1st'!$GT$2:$GT$317))</f>
        <v>0</v>
      </c>
      <c r="CV34">
        <f>SUMPRODUCT(--('Данные 1st'!$S$2:$S$317=$A34),--ISNUMBER('Данные 1st'!$GU$2:$GU$317))</f>
        <v>0</v>
      </c>
      <c r="CW34">
        <f>SUMPRODUCT(--('Данные 1st'!$S$2:$S$317=$A34),--ISNUMBER('Данные 1st'!$GV$2:$GV$317))</f>
        <v>0</v>
      </c>
      <c r="CX34">
        <f>SUMPRODUCT(--('Данные 1st'!$S$2:$S$317=$A34),--ISNUMBER('Данные 1st'!$GW$2:$GW$317))</f>
        <v>0</v>
      </c>
      <c r="CY34">
        <f>SUMPRODUCT(--('Данные 1st'!$S$2:$S$317=$A34),--ISNUMBER('Данные 1st'!$GZ$2:$GZ$317))</f>
        <v>0</v>
      </c>
      <c r="CZ34">
        <f>SUMPRODUCT(--('Данные 1st'!$S$2:$S$317=$A34),--ISNUMBER('Данные 1st'!$HA$2:$HA$317))</f>
        <v>0</v>
      </c>
      <c r="DA34">
        <f>SUMPRODUCT(--('Данные 1st'!$S$2:$S$317=$A34),--ISNUMBER('Данные 1st'!$HB$2:$HB$317))</f>
        <v>0</v>
      </c>
      <c r="DB34">
        <f>SUMPRODUCT(--('Данные 1st'!$S$2:$S$317=$A34),--ISNUMBER('Данные 1st'!$HC$2:$HC$317))</f>
        <v>5</v>
      </c>
      <c r="DC34">
        <f>SUMPRODUCT(--('Данные 1st'!$S$2:$S$317=$A34),--ISNUMBER('Данные 1st'!$HD$2:$HD$317))</f>
        <v>5</v>
      </c>
      <c r="DD34">
        <f>SUMPRODUCT(--('Данные 1st'!$S$2:$S$317=$A34),--ISNUMBER('Данные 1st'!$HE$2:$HE$317))</f>
        <v>5</v>
      </c>
      <c r="DE34">
        <f>SUMPRODUCT(--('Данные 1st'!$S$2:$S$317=$A34),--ISNUMBER('Данные 1st'!$HF$2:$HF$317))</f>
        <v>5</v>
      </c>
      <c r="DF34">
        <f>SUMPRODUCT(--('Данные 1st'!$S$2:$S$317=$A34),--ISNUMBER('Данные 1st'!$HG$2:$HG$317))</f>
        <v>5</v>
      </c>
      <c r="DG34">
        <f>SUMPRODUCT(--('Данные 1st'!$S$2:$S$317=$A34),--ISNUMBER('Данные 1st'!$HH$2:$HH$317))</f>
        <v>5</v>
      </c>
      <c r="DH34">
        <f>SUMPRODUCT(--('Данные 1st'!$S$2:$S$317=$A34),--ISNUMBER('Данные 1st'!$HI$2:$HI$317))</f>
        <v>5</v>
      </c>
      <c r="DI34">
        <f>SUMPRODUCT(--('Данные 1st'!$S$2:$S$317=$A34),--ISNUMBER('Данные 1st'!$HJ$2:$HJ$317))</f>
        <v>5</v>
      </c>
      <c r="DJ34">
        <f>SUMPRODUCT(--('Данные 1st'!$S$2:$S$317=$A34),--ISNUMBER('Данные 1st'!$HK$2:$HK$317))</f>
        <v>5</v>
      </c>
      <c r="DK34">
        <f>SUMPRODUCT(--('Данные 1st'!$S$2:$S$317=$A34),--ISNUMBER('Данные 1st'!$HL$2:$HL$317))</f>
        <v>5</v>
      </c>
      <c r="DL34">
        <f>SUMPRODUCT(--('Данные 1st'!$S$2:$S$317=$A34),--ISNUMBER('Данные 1st'!$HM$2:$HM$317))</f>
        <v>5</v>
      </c>
      <c r="DM34">
        <f>SUMPRODUCT(--('Данные 1st'!$S$2:$S$317=$A34),--ISNUMBER('Данные 1st'!$HN$2:$HN$317))</f>
        <v>5</v>
      </c>
      <c r="DN34">
        <f>SUMPRODUCT(--('Данные 1st'!$S$2:$S$317=$A34),--ISNUMBER('Данные 1st'!$HO$2:$HO$317))</f>
        <v>5</v>
      </c>
      <c r="DO34">
        <f>SUMPRODUCT(--('Данные 1st'!$S$2:$S$317=$A34),--ISNUMBER('Данные 1st'!$HP$2:$HP$317))</f>
        <v>5</v>
      </c>
      <c r="DP34">
        <f>SUMPRODUCT(--('Данные 1st'!$S$2:$S$317=$A34),--ISNUMBER('Данные 1st'!$HQ$2:$HQ$317))</f>
        <v>5</v>
      </c>
      <c r="DQ34">
        <f>SUMPRODUCT(--('Данные 1st'!$S$2:$S$317=$A34),--ISNUMBER('Данные 1st'!$HR$2:$HR$317))</f>
        <v>5</v>
      </c>
      <c r="DR34">
        <f>SUMPRODUCT(--('Данные 1st'!$S$2:$S$317=$A34),--ISNUMBER('Данные 1st'!$HS$2:$HS$317))</f>
        <v>5</v>
      </c>
      <c r="DS34">
        <f>SUMPRODUCT(--('Данные 1st'!$S$2:$S$317=$A34),--ISNUMBER('Данные 1st'!$HT$2:$HT$317))</f>
        <v>5</v>
      </c>
      <c r="DT34">
        <f>SUMPRODUCT(--('Данные 1st'!$S$2:$S$317=$A34),--ISNUMBER('Данные 1st'!$HU$2:$HU$317))</f>
        <v>5</v>
      </c>
      <c r="DU34">
        <f>SUMPRODUCT(--('Данные 1st'!$S$2:$S$317=$A34),--ISNUMBER('Данные 1st'!$HW$2:$HW$317))</f>
        <v>5</v>
      </c>
      <c r="DV34">
        <f>SUMPRODUCT(--('Данные 1st'!$S$2:$S$317=$A34),--ISNUMBER('Данные 1st'!$HX$2:$HX$317))</f>
        <v>5</v>
      </c>
      <c r="DW34">
        <f>SUMPRODUCT(--('Данные 1st'!$S$2:$S$317=$A34),--ISNUMBER('Данные 1st'!$HY$2:$HY$317))</f>
        <v>5</v>
      </c>
      <c r="DX34">
        <f>SUMPRODUCT(--('Данные 1st'!$S$2:$S$317=$A34),--ISNUMBER('Данные 1st'!$IA$2:$IA$317))</f>
        <v>5</v>
      </c>
      <c r="DY34">
        <f>SUMPRODUCT(--('Данные 1st'!$S$2:$S$317=$A34),--ISNUMBER('Данные 1st'!$IB$2:$IB$317))</f>
        <v>5</v>
      </c>
      <c r="DZ34">
        <f>SUMPRODUCT(--('Данные 1st'!$S$2:$S$317=$A34),--ISNUMBER('Данные 1st'!$IC$2:$IC$317))</f>
        <v>5</v>
      </c>
      <c r="EA34">
        <f>SUMPRODUCT(--('Данные 1st'!$S$2:$S$317=$A34),--ISNUMBER('Данные 1st'!$ID$2:$ID$317))</f>
        <v>5</v>
      </c>
      <c r="EB34">
        <f>SUMPRODUCT(--('Данные 1st'!$S$2:$S$317=$A34),--ISNUMBER('Данные 1st'!$IE$2:$IE$317))</f>
        <v>5</v>
      </c>
      <c r="EC34">
        <f>SUMPRODUCT(--('Данные 1st'!$S$2:$S$317=$A34),--ISNUMBER('Данные 1st'!$IF$2:$IF$317))</f>
        <v>5</v>
      </c>
      <c r="ED34">
        <f>SUMPRODUCT(--('Данные 1st'!$S$2:$S$317=$A34),--ISNUMBER('Данные 1st'!$IP$2:$IP$317))</f>
        <v>5</v>
      </c>
      <c r="EE34">
        <f>SUMPRODUCT(--('Данные 1st'!$S$2:$S$317=$A34),--ISNUMBER('Данные 1st'!$IV$2:$IV$317))</f>
        <v>5</v>
      </c>
      <c r="EF34">
        <f>SUMPRODUCT(--('Данные 1st'!$S$2:$S$317=$A34),--ISNUMBER('Данные 1st'!$IW$2:$IW$317))</f>
        <v>5</v>
      </c>
      <c r="EG34">
        <f>SUMPRODUCT(--('Данные 1st'!$S$2:$S$317=$A34),--ISNUMBER('Данные 1st'!$IX$2:$IX$317))</f>
        <v>0</v>
      </c>
      <c r="EH34">
        <f>SUMPRODUCT(--('Данные 1st'!$S$2:$S$317=$A34),--ISNUMBER('Данные 1st'!$IY$2:$IY$317))</f>
        <v>0</v>
      </c>
      <c r="EI34">
        <f>SUMPRODUCT(--('Данные 1st'!$S$2:$S$317=$A34),--ISNUMBER('Данные 1st'!$JD$2:$JD$317))</f>
        <v>5</v>
      </c>
      <c r="EJ34">
        <f>SUMPRODUCT(--('Данные 1st'!$S$2:$S$317=$A34),--ISNUMBER('Данные 1st'!$JE$2:$JE$317))</f>
        <v>5</v>
      </c>
      <c r="EK34">
        <f>SUMPRODUCT(--('Данные 1st'!$S$2:$S$317=$A34),--ISNUMBER('Данные 1st'!$JF$2:$JF$317))</f>
        <v>5</v>
      </c>
      <c r="EL34">
        <f>SUMPRODUCT(--('Данные 1st'!$S$2:$S$317=$A34),--ISNUMBER('Данные 1st'!$JG$2:$JG$317))</f>
        <v>5</v>
      </c>
      <c r="EM34">
        <f>SUMPRODUCT(--('Данные 1st'!$S$2:$S$317=$A34),--ISNUMBER('Данные 1st'!$JH$2:$JH$317))</f>
        <v>5</v>
      </c>
      <c r="EN34">
        <f>SUMPRODUCT(--('Данные 1st'!$S$2:$S$317=$A34),--ISNUMBER('Данные 1st'!$JJ$2:$JJ$317))</f>
        <v>5</v>
      </c>
      <c r="EO34">
        <f>SUMPRODUCT(--('Данные 1st'!$S$2:$S$317=$A34),--ISNUMBER('Данные 1st'!$JK$2:$JK$317))</f>
        <v>5</v>
      </c>
      <c r="EP34">
        <f>SUMPRODUCT(--('Данные 1st'!$S$2:$S$317=$A34),--ISNUMBER('Данные 1st'!$JL$2:$JL$317))</f>
        <v>0</v>
      </c>
      <c r="EQ34">
        <f>SUMPRODUCT(--('Данные 1st'!$S$2:$S$317=$A34),--ISNUMBER('Данные 1st'!$JM$2:$JM$317))</f>
        <v>0</v>
      </c>
      <c r="ER34">
        <f>SUMPRODUCT(--('Данные 1st'!$S$2:$S$317=$A34),--ISNUMBER('Данные 1st'!$JN$2:$JN$317))</f>
        <v>5</v>
      </c>
      <c r="ES34">
        <f>SUMPRODUCT(--('Данные 1st'!$S$2:$S$317=$A34),--ISNUMBER('Данные 1st'!$JO$2:$JO$317))</f>
        <v>5</v>
      </c>
      <c r="ET34">
        <f>SUMPRODUCT(--('Данные 1st'!$S$2:$S$317=$A34),--ISNUMBER('Данные 1st'!$JP$2:$JP$317))</f>
        <v>5</v>
      </c>
      <c r="EU34">
        <f>SUMPRODUCT(--('Данные 1st'!$S$2:$S$317=$A34),--ISNUMBER('Данные 1st'!$JQ$2:$JQ$317))</f>
        <v>5</v>
      </c>
      <c r="EV34">
        <f>SUMPRODUCT(--('Данные 1st'!$S$2:$S$317=$A34),--ISNUMBER('Данные 1st'!$JR$2:$JR$317))</f>
        <v>5</v>
      </c>
      <c r="EW34">
        <f>SUMPRODUCT(--('Данные 1st'!$S$2:$S$317=$A34),--ISNUMBER('Данные 1st'!$JS$2:$JS$317))</f>
        <v>5</v>
      </c>
      <c r="EX34">
        <f>SUMPRODUCT(--('Данные 1st'!$S$2:$S$317=$A34),--ISNUMBER('Данные 1st'!$JT$2:$JT$317))</f>
        <v>0</v>
      </c>
      <c r="EY34">
        <f>SUMPRODUCT(--('Данные 1st'!$S$2:$S$317=$A34),--ISNUMBER('Данные 1st'!$JU$2:$JU$317))</f>
        <v>0</v>
      </c>
      <c r="EZ34">
        <f>SUMPRODUCT(--('Данные 1st'!$S$2:$S$317=$A34),--ISNUMBER('Данные 1st'!$JV$2:$JV$317))</f>
        <v>5</v>
      </c>
      <c r="FA34">
        <f>SUMPRODUCT(--('Данные 1st'!$S$2:$S$317=$A34),--ISNUMBER('Данные 1st'!$JW$2:$JW$317))</f>
        <v>0</v>
      </c>
      <c r="FB34">
        <f>SUMPRODUCT(--('Данные 1st'!$S$2:$S$317=$A34),--ISNUMBER('Данные 1st'!$JX$2:$JX$317))</f>
        <v>5</v>
      </c>
      <c r="FC34">
        <f>SUMPRODUCT(--('Данные 1st'!$S$2:$S$317=$A34),--ISNUMBER('Данные 1st'!$JY$2:$JY$317))</f>
        <v>0</v>
      </c>
      <c r="FD34">
        <f>SUMPRODUCT(--('Данные 1st'!$S$2:$S$317=$A34),--ISNUMBER('Данные 1st'!$JZ$2:$JZ$317))</f>
        <v>0</v>
      </c>
      <c r="FE34">
        <f>SUMPRODUCT(--('Данные 1st'!$S$2:$S$317=$A34),--ISNUMBER('Данные 1st'!$KA$2:$KA$317))</f>
        <v>5</v>
      </c>
      <c r="FF34">
        <f>SUMPRODUCT(--('Данные 1st'!$S$2:$S$317=$A34),--ISNUMBER('Данные 1st'!$KB$2:$KB$317))</f>
        <v>5</v>
      </c>
      <c r="FG34">
        <f>SUMPRODUCT(--('Данные 1st'!$S$2:$S$317=$A34),--ISNUMBER('Данные 1st'!$KC$2:$KC$317))</f>
        <v>5</v>
      </c>
      <c r="FH34">
        <f>SUMPRODUCT(--('Данные 1st'!$S$2:$S$317=$A34),--ISNUMBER('Данные 1st'!$KD$2:$KD$317))</f>
        <v>5</v>
      </c>
      <c r="FI34">
        <f>SUMPRODUCT(--('Данные 1st'!$S$2:$S$317=$A34),--ISNUMBER('Данные 1st'!$KE$2:$KE$317))</f>
        <v>0</v>
      </c>
      <c r="FJ34">
        <f>SUMPRODUCT(--('Данные 1st'!$S$2:$S$317=$A34),--ISNUMBER('Данные 1st'!$KF$2:$KF$317))</f>
        <v>5</v>
      </c>
      <c r="FK34">
        <f>SUMPRODUCT(--('Данные 1st'!$S$2:$S$317=$A34),--ISNUMBER('Данные 1st'!$KG$2:$KG$317))</f>
        <v>5</v>
      </c>
      <c r="FL34">
        <f>SUMPRODUCT(--('Данные 1st'!$S$2:$S$317=$A34),--ISNUMBER('Данные 1st'!$KH$2:$KH$317))</f>
        <v>5</v>
      </c>
      <c r="FM34">
        <f>SUMPRODUCT(--('Данные 1st'!$S$2:$S$317=$A34),--ISNUMBER('Данные 1st'!$KI$2:$KI$317))</f>
        <v>5</v>
      </c>
      <c r="FN34">
        <f>SUMPRODUCT(--('Данные 1st'!$S$2:$S$317=$A34),--ISNUMBER('Данные 1st'!$KJ$2:$KJ$317))</f>
        <v>5</v>
      </c>
      <c r="FO34">
        <f>SUMPRODUCT(--('Данные 1st'!$S$2:$S$317=$A34),--ISNUMBER('Данные 1st'!$KK$2:$KK$317))</f>
        <v>5</v>
      </c>
      <c r="FP34">
        <f>SUMPRODUCT(--('Данные 1st'!$S$2:$S$317=$A34),--ISNUMBER('Данные 1st'!$KL$2:$KL$317))</f>
        <v>5</v>
      </c>
      <c r="FQ34">
        <f>SUMPRODUCT(--('Данные 1st'!$S$2:$S$317=$A34),--ISNUMBER('Данные 1st'!$KM$2:$KM$317))</f>
        <v>5</v>
      </c>
      <c r="FR34">
        <f>SUMPRODUCT(--('Данные 1st'!$S$2:$S$317=$A34),--ISNUMBER('Данные 1st'!$KN$2:$KN$317))</f>
        <v>5</v>
      </c>
      <c r="FS34">
        <f>SUMPRODUCT(--('Данные 1st'!$S$2:$S$317=$A34),--ISNUMBER('Данные 1st'!$KR$2:$KR$317))</f>
        <v>5</v>
      </c>
      <c r="FT34">
        <f>SUMPRODUCT(--('Данные 1st'!$S$2:$S$317=$A34),--ISNUMBER('Данные 1st'!$KS$2:$KS$317))</f>
        <v>5</v>
      </c>
      <c r="FU34">
        <f>SUMPRODUCT(--('Данные 1st'!$S$2:$S$317=$A34),--ISNUMBER('Данные 1st'!$KT$2:$KT$317))</f>
        <v>5</v>
      </c>
      <c r="FV34">
        <f>SUMPRODUCT(--('Данные 1st'!$S$2:$S$317=$A34),--ISNUMBER('Данные 1st'!$KV$2:$KV$317))</f>
        <v>0</v>
      </c>
      <c r="FW34">
        <f>SUMPRODUCT(--('Данные 1st'!$S$2:$S$317=$A34),--ISNUMBER('Данные 1st'!$KW$2:$KW$317))</f>
        <v>0</v>
      </c>
      <c r="FX34">
        <f>SUMPRODUCT(--('Данные 1st'!$S$2:$S$317=$A34),--ISNUMBER('Данные 1st'!$KX$2:$KX$317))</f>
        <v>0</v>
      </c>
      <c r="FY34">
        <f>SUMPRODUCT(--('Данные 1st'!$S$2:$S$317=$A34),--ISNUMBER('Данные 1st'!$KY$2:$KY$317))</f>
        <v>0</v>
      </c>
      <c r="FZ34">
        <f>SUMPRODUCT(--('Данные 1st'!$S$2:$S$317=$A34),--ISNUMBER('Данные 1st'!$KZ$2:$KZ$317))</f>
        <v>0</v>
      </c>
      <c r="GA34">
        <f>SUMPRODUCT(--('Данные 1st'!$S$2:$S$317=$A34),--ISNUMBER('Данные 1st'!$LA$2:$LA$317))</f>
        <v>0</v>
      </c>
      <c r="GB34">
        <f>SUMPRODUCT(--('Данные 1st'!$S$2:$S$317=$A34),--ISNUMBER('Данные 1st'!$LB$2:$LB$317))</f>
        <v>0</v>
      </c>
      <c r="GC34">
        <f>SUMPRODUCT(--('Данные 1st'!$S$2:$S$317=$A34),--ISNUMBER('Данные 1st'!$LC$2:$LC$317))</f>
        <v>0</v>
      </c>
      <c r="GD34">
        <f>SUMPRODUCT(--('Данные 1st'!$S$2:$S$317=$A34),--ISNUMBER('Данные 1st'!$LD$2:$LD$317))</f>
        <v>0</v>
      </c>
      <c r="GE34">
        <f>SUMPRODUCT(--('Данные 1st'!$S$2:$S$317=$A34),--ISNUMBER('Данные 1st'!$LE$2:$LE$317))</f>
        <v>0</v>
      </c>
      <c r="GF34">
        <f>SUMPRODUCT(--('Данные 1st'!$S$2:$S$317=$A34),--ISNUMBER('Данные 1st'!$LF$2:$LF$317))</f>
        <v>0</v>
      </c>
      <c r="GG34">
        <f>SUMPRODUCT(--('Данные 1st'!$S$2:$S$317=$A34),--ISNUMBER('Данные 1st'!$LG$2:$LG$317))</f>
        <v>0</v>
      </c>
      <c r="GH34">
        <f>SUMPRODUCT(--('Данные 1st'!$S$2:$S$317=$A34),--ISNUMBER('Данные 1st'!$LH$2:$LH$317))</f>
        <v>0</v>
      </c>
      <c r="GI34">
        <f>SUMPRODUCT(--('Данные 1st'!$S$2:$S$317=$A34),--ISNUMBER('Данные 1st'!$LI$2:$LI$317))</f>
        <v>0</v>
      </c>
      <c r="GJ34">
        <f>SUMPRODUCT(--('Данные 1st'!$S$2:$S$317=$A34),--ISNUMBER('Данные 1st'!$LJ$2:$LJ$317))</f>
        <v>0</v>
      </c>
      <c r="GK34">
        <f>SUMPRODUCT(--('Данные 1st'!$S$2:$S$317=$A34),--ISNUMBER('Данные 1st'!$LK$2:$LK$317))</f>
        <v>5</v>
      </c>
      <c r="GL34">
        <f>SUMPRODUCT(--('Данные 1st'!$S$2:$S$317=$A34),--ISNUMBER('Данные 1st'!$LV$2:$LV$317))</f>
        <v>0</v>
      </c>
      <c r="GM34">
        <f>SUMPRODUCT(--('Данные 1st'!$S$2:$S$317=$A34),--ISNUMBER('Данные 1st'!$LW$2:$LW$317))</f>
        <v>0</v>
      </c>
      <c r="GN34">
        <f>SUMPRODUCT(--('Данные 1st'!$S$2:$S$317=$A34),--ISNUMBER('Данные 1st'!$LX$2:$LX$317))</f>
        <v>0</v>
      </c>
      <c r="GO34">
        <f>SUMPRODUCT(--('Данные 1st'!$S$2:$S$317=$A34),--ISNUMBER('Данные 1st'!$LY$2:$LY$317))</f>
        <v>0</v>
      </c>
      <c r="GP34">
        <f>SUMPRODUCT(--('Данные 1st'!$S$2:$S$317=$A34),--ISNUMBER('Данные 1st'!$LZ$2:$LZ$317))</f>
        <v>0</v>
      </c>
      <c r="GQ34">
        <f>SUMPRODUCT(--('Данные 1st'!$S$2:$S$317=$A34),--ISNUMBER('Данные 1st'!$PG$2:$PG$317))</f>
        <v>5</v>
      </c>
      <c r="GR34">
        <f>SUMPRODUCT(--('Данные 1st'!$S$2:$S$317=$A34),--ISNUMBER('Данные 1st'!$PX$2:$PX$317))</f>
        <v>5</v>
      </c>
      <c r="GS34">
        <f>SUMPRODUCT(--('Данные 1st'!$S$2:$S$317=$A34),--ISNUMBER('Данные 1st'!$PY$2:$PY$317))</f>
        <v>5</v>
      </c>
      <c r="GT34">
        <f>SUMPRODUCT(--('Данные 1st'!$S$2:$S$317=$A34),--ISNUMBER('Данные 1st'!$QA$2:$QA$317))</f>
        <v>5</v>
      </c>
      <c r="GU34">
        <f>SUMPRODUCT(--('Данные 1st'!$S$2:$S$317=$A34),--ISNUMBER('Данные 1st'!$QB$2:$QB$317))</f>
        <v>5</v>
      </c>
      <c r="GV34">
        <f>SUMPRODUCT(--('Данные 1st'!$S$2:$S$317=$A34),--ISNUMBER('Данные 1st'!$QC$2:$QC$317))</f>
        <v>5</v>
      </c>
      <c r="GW34">
        <f>SUMPRODUCT(--('Данные 1st'!$S$2:$S$317=$A34),--ISNUMBER('Данные 1st'!$QD$2:$QD$317))</f>
        <v>5</v>
      </c>
      <c r="GX34">
        <f>SUMPRODUCT(--('Данные 1st'!$S$2:$S$317=$A34),--ISNUMBER('Данные 1st'!$QF$2:$QF$317))</f>
        <v>5</v>
      </c>
      <c r="GY34">
        <f>SUMPRODUCT(--('Данные 1st'!$S$2:$S$317=$A34),--ISNUMBER('Данные 1st'!$QG$2:$QG$317))</f>
        <v>5</v>
      </c>
      <c r="GZ34">
        <f>SUMPRODUCT(--('Данные 1st'!$S$2:$S$317=$A34),--ISNUMBER('Данные 1st'!$QH$2:$QH$317))</f>
        <v>5</v>
      </c>
      <c r="HA34">
        <f>SUMPRODUCT(--('Данные 1st'!$S$2:$S$317=$A34),--ISNUMBER('Данные 1st'!$QI$2:$QI$317))</f>
        <v>5</v>
      </c>
      <c r="HB34">
        <f>SUMPRODUCT(--('Данные 1st'!$S$2:$S$317=$A34),--ISNUMBER('Данные 1st'!$QK$2:$QK$317))</f>
        <v>0</v>
      </c>
      <c r="HC34">
        <f>SUMPRODUCT(--('Данные 1st'!$S$2:$S$317=$A34),--ISNUMBER('Данные 1st'!$QL$2:$QL$317))</f>
        <v>5</v>
      </c>
      <c r="HD34">
        <f>SUMPRODUCT(--('Данные 1st'!$S$2:$S$317=$A34),--ISNUMBER('Данные 1st'!$QM$2:$QM$317))</f>
        <v>5</v>
      </c>
      <c r="HE34">
        <f>SUMPRODUCT(--('Данные 1st'!$S$2:$S$317=$A34),--ISNUMBER('Данные 1st'!$QN$2:$QN$317))</f>
        <v>5</v>
      </c>
      <c r="HF34">
        <f>SUMPRODUCT(--('Данные 1st'!$S$2:$S$317=$A34),--ISNUMBER('Данные 1st'!$QP$2:$QP$317))</f>
        <v>5</v>
      </c>
      <c r="HG34">
        <f>SUMPRODUCT(--('Данные 1st'!$S$2:$S$317=$A34),--ISNUMBER('Данные 1st'!$QQ$2:$QQ$317))</f>
        <v>5</v>
      </c>
      <c r="HH34">
        <f>SUMPRODUCT(--('Данные 1st'!$S$2:$S$317=$A34),--ISNUMBER('Данные 1st'!$QR$2:$QR$317))</f>
        <v>0</v>
      </c>
      <c r="HI34">
        <f>SUMPRODUCT(--('Данные 1st'!$S$2:$S$317=$A34),--ISNUMBER('Данные 1st'!$QS$2:$QS$317))</f>
        <v>0</v>
      </c>
      <c r="HJ34">
        <f>SUMPRODUCT(--('Данные 1st'!$S$2:$S$317=$A34),--ISNUMBER('Данные 1st'!$QU$2:$QU$317))</f>
        <v>0</v>
      </c>
      <c r="HK34">
        <f>SUMPRODUCT(--('Данные 1st'!$S$2:$S$317=$A34),--ISNUMBER('Данные 1st'!$QV$2:$QV$317))</f>
        <v>0</v>
      </c>
      <c r="HL34">
        <f>SUMPRODUCT(--('Данные 1st'!$S$2:$S$317=$A34),--ISNUMBER('Данные 1st'!$QW$2:$QW$317))</f>
        <v>5</v>
      </c>
      <c r="HM34">
        <f>SUMPRODUCT(--('Данные 1st'!$S$2:$S$317=$A34),--ISNUMBER('Данные 1st'!$QX$2:$QX$317))</f>
        <v>5</v>
      </c>
      <c r="HN34">
        <f>SUMPRODUCT(--('Данные 1st'!$S$2:$S$317=$A34),--ISNUMBER('Данные 1st'!$QZ$2:$QZ$317))</f>
        <v>5</v>
      </c>
      <c r="HO34">
        <f>SUMPRODUCT(--('Данные 1st'!$S$2:$S$317=$A34),--ISNUMBER('Данные 1st'!$RA$2:$RA$317))</f>
        <v>5</v>
      </c>
      <c r="HP34">
        <f>SUMPRODUCT(--('Данные 1st'!$S$2:$S$317=$A34),--ISNUMBER('Данные 1st'!$RB$2:$RB$317))</f>
        <v>5</v>
      </c>
      <c r="HQ34">
        <f>SUMPRODUCT(--('Данные 1st'!$S$2:$S$317=$A34),--ISNUMBER('Данные 1st'!$RD$2:$RD$317))</f>
        <v>0</v>
      </c>
      <c r="HR34">
        <f>SUMPRODUCT(--('Данные 1st'!$S$2:$S$317=$A34),--ISNUMBER('Данные 1st'!$RE$2:$RE$317))</f>
        <v>5</v>
      </c>
      <c r="HS34">
        <f>SUMPRODUCT(--('Данные 1st'!$S$2:$S$317=$A34),--ISNUMBER('Данные 1st'!$RF$2:$RF$317))</f>
        <v>3</v>
      </c>
      <c r="HT34">
        <f>SUMPRODUCT(--('Данные 1st'!$S$2:$S$317=$A34),--ISNUMBER('Данные 1st'!$RG$2:$RG$317))</f>
        <v>2</v>
      </c>
      <c r="HU34">
        <f>SUMPRODUCT(--('Данные 1st'!$S$2:$S$317=$A34),--ISNUMBER('Данные 1st'!$RH$2:$RH$317))</f>
        <v>0</v>
      </c>
      <c r="HV34">
        <f>SUMPRODUCT(--('Данные 1st'!$S$2:$S$317=$A34),--ISNUMBER('Данные 1st'!$RI$2:$RI$317))</f>
        <v>0</v>
      </c>
      <c r="HW34">
        <f>SUMPRODUCT(--('Данные 1st'!$S$2:$S$317=$A34),--ISNUMBER('Данные 1st'!$RJ$2:$RJ$317))</f>
        <v>5</v>
      </c>
      <c r="HX34">
        <f>SUMPRODUCT(--('Данные 1st'!$S$2:$S$317=$A34),--ISNUMBER('Данные 1st'!$RK$2:$RK$317))</f>
        <v>0</v>
      </c>
      <c r="HY34">
        <f>SUMPRODUCT(--('Данные 1st'!$S$2:$S$317=$A34),--ISNUMBER('Данные 1st'!$RL$2:$RL$317))</f>
        <v>5</v>
      </c>
      <c r="HZ34">
        <f>SUMPRODUCT(--('Данные 1st'!$S$2:$S$317=$A34),--ISNUMBER('Данные 1st'!$RM$2:$RM$317))</f>
        <v>0</v>
      </c>
      <c r="IA34">
        <f>SUMPRODUCT(--('Данные 1st'!$S$2:$S$317=$A34),--ISNUMBER('Данные 1st'!$RN$2:$RN$317))</f>
        <v>0</v>
      </c>
      <c r="IB34">
        <f>SUMPRODUCT(--('Данные 1st'!$S$2:$S$317=$A34),--ISNUMBER('Данные 1st'!$RO$2:$RO$317))</f>
        <v>5</v>
      </c>
      <c r="IC34">
        <f>SUMPRODUCT(--('Данные 1st'!$S$2:$S$317=$A34),--ISNUMBER('Данные 1st'!$RP$2:$RP$317))</f>
        <v>0</v>
      </c>
      <c r="ID34">
        <f>SUMPRODUCT(--('Данные 1st'!$S$2:$S$317=$A34),--ISNUMBER('Данные 1st'!$RQ$2:$RQ$317))</f>
        <v>5</v>
      </c>
      <c r="IE34">
        <f>SUMPRODUCT(--('Данные 1st'!$S$2:$S$317=$A34),--ISNUMBER('Данные 1st'!$RR$2:$RR$317))</f>
        <v>0</v>
      </c>
      <c r="IF34">
        <f>SUMPRODUCT(--('Данные 1st'!$S$2:$S$317=$A34),--ISNUMBER('Данные 1st'!$RS$2:$RS$317))</f>
        <v>0</v>
      </c>
      <c r="IG34">
        <f>SUMPRODUCT(--('Данные 1st'!$S$2:$S$317=$A34),--ISNUMBER('Данные 1st'!$RT$2:$RT$317))</f>
        <v>5</v>
      </c>
      <c r="IH34">
        <f>SUMPRODUCT(--('Данные 1st'!$S$2:$S$317=$A34),--ISNUMBER('Данные 1st'!$RU$2:$RU$317))</f>
        <v>5</v>
      </c>
      <c r="II34">
        <f>SUMPRODUCT(--('Данные 1st'!$S$2:$S$317=$A34),--ISNUMBER('Данные 1st'!$RX$2:$RX$317))</f>
        <v>5</v>
      </c>
      <c r="IJ34">
        <f>SUMPRODUCT(--('Данные 1st'!$S$2:$S$317=$A34),--ISNUMBER('Данные 1st'!$RY$2:$RY$317))</f>
        <v>5</v>
      </c>
      <c r="IK34">
        <f>SUMPRODUCT(--('Данные 1st'!$S$2:$S$317=$A34),--ISNUMBER('Данные 1st'!$SA$2:$SA$317))</f>
        <v>5</v>
      </c>
      <c r="IL34">
        <f>SUMPRODUCT(--('Данные 1st'!$S$2:$S$317=$A34),--ISNUMBER('Данные 1st'!$SD$2:$SD$317))</f>
        <v>5</v>
      </c>
      <c r="IM34">
        <f>SUMPRODUCT(--('Данные 1st'!$S$2:$S$317=$A34),--ISNUMBER('Данные 1st'!$SG$2:$SG$317))</f>
        <v>0</v>
      </c>
      <c r="IN34">
        <f>SUMPRODUCT(--('Данные 1st'!$S$2:$S$317=$A34),--ISNUMBER('Данные 1st'!$SH$2:$SH$317))</f>
        <v>5</v>
      </c>
      <c r="IO34">
        <f>SUMPRODUCT(--('Данные 1st'!$S$2:$S$317=$A34),--ISNUMBER('Данные 1st'!$SI$2:$SI$317))</f>
        <v>5</v>
      </c>
      <c r="IP34">
        <f>SUMPRODUCT(--('Данные 1st'!$S$2:$S$317=$A34),--ISNUMBER('Данные 1st'!$SJ$2:$SJ$317))</f>
        <v>5</v>
      </c>
      <c r="IQ34">
        <f>SUMPRODUCT(--('Данные 1st'!$S$2:$S$317=$A34),--ISNUMBER('Данные 1st'!$SK$2:$SK$317))</f>
        <v>5</v>
      </c>
      <c r="IR34">
        <f>SUMPRODUCT(--('Данные 1st'!$S$2:$S$317=$A34),--ISNUMBER('Данные 1st'!$SL$2:$SL$317))</f>
        <v>5</v>
      </c>
      <c r="IS34">
        <f>SUMPRODUCT(--('Данные 1st'!$S$2:$S$317=$A34),--ISNUMBER('Данные 1st'!$SM$2:$SM$317))</f>
        <v>5</v>
      </c>
      <c r="IT34">
        <f>SUMPRODUCT(--('Данные 1st'!$S$2:$S$317=$A34),--ISNUMBER('Данные 1st'!$SN$2:$SN$317))</f>
        <v>5</v>
      </c>
      <c r="IU34">
        <f>SUMPRODUCT(--('Данные 1st'!$S$2:$S$317=$A34),--ISNUMBER('Данные 1st'!$SO$2:$SO$317))</f>
        <v>5</v>
      </c>
      <c r="IV34">
        <f>SUMPRODUCT(--('Данные 1st'!$S$2:$S$317=$A34),--ISNUMBER('Данные 1st'!$SP$2:$SP$317))</f>
        <v>5</v>
      </c>
      <c r="IW34">
        <f>SUMPRODUCT(--('Данные 1st'!$S$2:$S$317=$A34),--ISNUMBER('Данные 1st'!$SQ$2:$SQ$317))</f>
        <v>5</v>
      </c>
      <c r="IX34">
        <f>SUMPRODUCT(--('Данные 1st'!$S$2:$S$317=$A34),--ISNUMBER('Данные 1st'!$SR$2:$SR$317))</f>
        <v>5</v>
      </c>
      <c r="IY34">
        <f>SUMPRODUCT(--('Данные 1st'!$S$2:$S$317=$A34),--ISNUMBER('Данные 1st'!$SS$2:$SS$317))</f>
        <v>5</v>
      </c>
      <c r="IZ34">
        <f>SUMPRODUCT(--('Данные 1st'!$S$2:$S$317=$A34),--ISNUMBER('Данные 1st'!$ST$2:$ST$317))</f>
        <v>5</v>
      </c>
      <c r="JA34">
        <f>SUMPRODUCT(--('Данные 1st'!$S$2:$S$317=$A34),--ISNUMBER('Данные 1st'!$SU$2:$SU$317))</f>
        <v>5</v>
      </c>
      <c r="JB34">
        <f>SUMPRODUCT(--('Данные 1st'!$S$2:$S$317=$A34),--ISNUMBER('Данные 1st'!$SV$2:$SV$317))</f>
        <v>5</v>
      </c>
      <c r="JC34">
        <f>SUMPRODUCT(--('Данные 1st'!$S$2:$S$317=$A34),--ISNUMBER('Данные 1st'!$SW$2:$SW$317))</f>
        <v>5</v>
      </c>
      <c r="JD34">
        <f>SUMPRODUCT(--('Данные 1st'!$S$2:$S$317=$A34),--ISNUMBER('Данные 1st'!$SX$2:$SX$317))</f>
        <v>5</v>
      </c>
      <c r="JE34">
        <f>SUMPRODUCT(--('Данные 1st'!$S$2:$S$317=$A34),--ISNUMBER('Данные 1st'!$SY$2:$SY$317))</f>
        <v>0</v>
      </c>
      <c r="JF34">
        <f>SUMPRODUCT(--('Данные 1st'!$S$2:$S$317=$A34),--ISNUMBER('Данные 1st'!$SZ$2:$SZ$317))</f>
        <v>0</v>
      </c>
      <c r="JG34">
        <f>SUMPRODUCT(--('Данные 1st'!$S$2:$S$317=$A34),--ISNUMBER('Данные 1st'!$TA$2:$TA$317))</f>
        <v>0</v>
      </c>
      <c r="JH34">
        <f>SUMPRODUCT(--('Данные 1st'!$S$2:$S$317=$A34),--ISNUMBER('Данные 1st'!$TB$2:$TB$317))</f>
        <v>5</v>
      </c>
      <c r="JI34">
        <f>SUMPRODUCT(--('Данные 1st'!$S$2:$S$317=$A34),--ISNUMBER('Данные 1st'!$TC$2:$TC$317))</f>
        <v>5</v>
      </c>
      <c r="JJ34">
        <f>SUMPRODUCT(--('Данные 1st'!$S$2:$S$317=$A34),--ISNUMBER('Данные 1st'!$TD$2:$TD$317))</f>
        <v>5</v>
      </c>
      <c r="JK34">
        <f>SUMPRODUCT(--('Данные 1st'!$S$2:$S$317=$A34),--ISNUMBER('Данные 1st'!$TN$2:$TN$317))</f>
        <v>5</v>
      </c>
      <c r="JQ34">
        <f>SUMPRODUCT(--('Данные 2st'!$Q$2:$Q$317=$A34),--ISNUMBER('Данные 2st'!$AC$2:$AC$317))</f>
        <v>5</v>
      </c>
      <c r="JR34">
        <f>SUMPRODUCT(--('Данные 2st'!$Q$2:$Q$317=$A34),--ISNUMBER('Данные 2st'!$AF$2:$AF$317))</f>
        <v>5</v>
      </c>
      <c r="JS34">
        <f>SUMPRODUCT(--('Данные 2st'!$Q$2:$Q$317=$A34),--ISNUMBER('Данные 2st'!$AW$2:$AW$317))</f>
        <v>5</v>
      </c>
      <c r="JT34">
        <f>SUMPRODUCT(--('Данные 2st'!$Q$2:$Q$317=$A34),--ISNUMBER('Данные 2st'!$AX$2:$AX$317))</f>
        <v>5</v>
      </c>
      <c r="JU34">
        <f>SUMPRODUCT(--('Данные 2st'!$Q$2:$Q$317=$A34),--ISNUMBER('Данные 2st'!$AY$2:$AY$317))</f>
        <v>5</v>
      </c>
      <c r="JV34">
        <f>SUMPRODUCT(--('Данные 2st'!$Q$2:$Q$317=$A34),--ISNUMBER('Данные 2st'!$AZ$2:$AZ$317))</f>
        <v>5</v>
      </c>
      <c r="JW34">
        <f>SUMPRODUCT(--('Данные 2st'!$Q$2:$Q$317=$A34),--ISNUMBER('Данные 2st'!$BA$2:$BA$317))</f>
        <v>0</v>
      </c>
      <c r="JX34">
        <f>SUMPRODUCT(--('Данные 2st'!$Q$2:$Q$317=$A34),--ISNUMBER('Данные 2st'!$BB$2:$BB$317))</f>
        <v>0</v>
      </c>
      <c r="JY34">
        <f>SUMPRODUCT(--('Данные 2st'!$Q$2:$Q$317=$A34),--ISNUMBER('Данные 2st'!$BC$2:$BC$317))</f>
        <v>0</v>
      </c>
      <c r="JZ34">
        <f>SUMPRODUCT(--('Данные 2st'!$Q$2:$Q$317=$A34),--ISNUMBER('Данные 2st'!$BH$2:$BH$317))</f>
        <v>5</v>
      </c>
      <c r="KA34">
        <f>SUMPRODUCT(--('Данные 2st'!$Q$2:$Q$317=$A34),--ISNUMBER('Данные 2st'!$BI$2:$BI$317))</f>
        <v>5</v>
      </c>
      <c r="KB34">
        <f>SUMPRODUCT(--('Данные 2st'!$Q$2:$Q$317=$A34),--ISNUMBER('Данные 2st'!$BJ$2:$BJ$317))</f>
        <v>5</v>
      </c>
      <c r="KC34">
        <f>SUMPRODUCT(--('Данные 2st'!$Q$2:$Q$317=$A34),--ISNUMBER('Данные 2st'!$BK$2:$BK$317))</f>
        <v>5</v>
      </c>
      <c r="KD34">
        <f>SUMPRODUCT(--('Данные 2st'!$Q$2:$Q$317=$A34),--ISNUMBER('Данные 2st'!$BL$2:$BL$317))</f>
        <v>5</v>
      </c>
      <c r="KE34">
        <f>SUMPRODUCT(--('Данные 2st'!$Q$2:$Q$317=$A34),--ISNUMBER('Данные 2st'!$BM$2:$BM$317))</f>
        <v>5</v>
      </c>
      <c r="KF34">
        <f>SUMPRODUCT(--('Данные 2st'!$Q$2:$Q$317=$A34),--ISNUMBER('Данные 2st'!$BN$2:$BN$317))</f>
        <v>5</v>
      </c>
      <c r="KG34">
        <f>SUMPRODUCT(--('Данные 2st'!$Q$2:$Q$317=$A34),--ISNUMBER('Данные 2st'!$BO$2:$BO$317))</f>
        <v>3</v>
      </c>
      <c r="KH34">
        <f>SUMPRODUCT(--('Данные 2st'!$Q$2:$Q$317=$A34),--ISNUMBER('Данные 2st'!$BP$2:$BP$317))</f>
        <v>5</v>
      </c>
      <c r="KI34">
        <f>SUMPRODUCT(--('Данные 2st'!$Q$2:$Q$317=$A34),--ISNUMBER('Данные 2st'!$BR$2:$BR$317))</f>
        <v>5</v>
      </c>
      <c r="KJ34">
        <f>SUMPRODUCT(--('Данные 2st'!$Q$2:$Q$317=$A34),--ISNUMBER('Данные 2st'!$BS$2:$BS$317))</f>
        <v>5</v>
      </c>
      <c r="KK34">
        <f>SUMPRODUCT(--('Данные 2st'!$Q$2:$Q$317=$A34),--ISNUMBER('Данные 2st'!$BT$2:$BT$317))</f>
        <v>5</v>
      </c>
      <c r="KL34">
        <f>SUMPRODUCT(--('Данные 2st'!$Q$2:$Q$317=$A34),--ISNUMBER('Данные 2st'!$CV$2:$CV$317))</f>
        <v>5</v>
      </c>
      <c r="KM34">
        <f>SUMPRODUCT(--('Данные 2st'!$Q$2:$Q$317=$A34),--ISNUMBER('Данные 2st'!$CW$2:$CW$317))</f>
        <v>5</v>
      </c>
      <c r="KN34">
        <f>SUMPRODUCT(--('Данные 2st'!$Q$2:$Q$317=$A34),--ISNUMBER('Данные 2st'!$CX$2:$CX$317))</f>
        <v>5</v>
      </c>
      <c r="KO34">
        <f>SUMPRODUCT(--('Данные 2st'!$Q$2:$Q$317=$A34),--ISNUMBER('Данные 2st'!$CY$2:$CY$317))</f>
        <v>5</v>
      </c>
      <c r="KP34">
        <f>SUMPRODUCT(--('Данные 2st'!$Q$2:$Q$317=$A34),--ISNUMBER('Данные 2st'!$CZ$2:$CZ$317))</f>
        <v>5</v>
      </c>
      <c r="KQ34">
        <f>SUMPRODUCT(--('Данные 2st'!$Q$2:$Q$317=$A34),--ISNUMBER('Данные 2st'!$DA$2:$DA$317))</f>
        <v>5</v>
      </c>
      <c r="KR34">
        <f>SUMPRODUCT(--('Данные 2st'!$Q$2:$Q$317=$A34),--ISNUMBER('Данные 2st'!$DB$2:$DB$317))</f>
        <v>5</v>
      </c>
      <c r="KS34">
        <f>SUMPRODUCT(--('Данные 2st'!$Q$2:$Q$317=$A34),--ISNUMBER('Данные 2st'!$DC$2:$DC$317))</f>
        <v>5</v>
      </c>
      <c r="KT34">
        <f>SUMPRODUCT(--('Данные 2st'!$Q$2:$Q$317=$A34),--ISNUMBER('Данные 2st'!$DD$2:$DD$317))</f>
        <v>5</v>
      </c>
      <c r="KU34">
        <f>SUMPRODUCT(--('Данные 2st'!$Q$2:$Q$317=$A34),--ISNUMBER('Данные 2st'!$DE$2:$DE$317))</f>
        <v>5</v>
      </c>
      <c r="KV34">
        <f>SUMPRODUCT(--('Данные 2st'!$Q$2:$Q$317=$A34),--ISNUMBER('Данные 2st'!$DF$2:$DF$317))</f>
        <v>5</v>
      </c>
      <c r="KW34">
        <f>SUMPRODUCT(--('Данные 2st'!$Q$2:$Q$317=$A34),--ISNUMBER('Данные 2st'!$DG$2:$DG$317))</f>
        <v>5</v>
      </c>
      <c r="KX34">
        <f>SUMPRODUCT(--('Данные 2st'!$Q$2:$Q$317=$A34),--ISNUMBER('Данные 2st'!$DH$2:$DH$317))</f>
        <v>0</v>
      </c>
      <c r="KY34">
        <f>SUMPRODUCT(--('Данные 2st'!$Q$2:$Q$317=$A34),--ISNUMBER('Данные 2st'!$DI$2:$DI$317))</f>
        <v>0</v>
      </c>
      <c r="KZ34">
        <f>SUMPRODUCT(--('Данные 2st'!$Q$2:$Q$317=$A34),--ISNUMBER('Данные 2st'!$DK$2:$DK$317))</f>
        <v>5</v>
      </c>
      <c r="LA34">
        <f>SUMPRODUCT(--('Данные 2st'!$Q$2:$Q$317=$A34),--ISNUMBER('Данные 2st'!$DM$2:$DM$317))</f>
        <v>5</v>
      </c>
      <c r="LB34">
        <f>SUMPRODUCT(--('Данные 2st'!$Q$2:$Q$317=$A34),--ISNUMBER('Данные 2st'!$DN$2:$DN$317))</f>
        <v>5</v>
      </c>
      <c r="LC34">
        <f>SUMPRODUCT(--('Данные 2st'!$Q$2:$Q$317=$A34),--ISNUMBER('Данные 2st'!$DO$2:$DO$317))</f>
        <v>5</v>
      </c>
      <c r="LD34">
        <f>SUMPRODUCT(--('Данные 2st'!$Q$2:$Q$317=$A34),--ISNUMBER('Данные 2st'!$DP$2:$DP$317))</f>
        <v>5</v>
      </c>
      <c r="LE34">
        <f>SUMPRODUCT(--('Данные 2st'!$Q$2:$Q$317=$A34),--ISNUMBER('Данные 2st'!$DQ$2:$DQ$317))</f>
        <v>5</v>
      </c>
      <c r="LF34">
        <f>SUMPRODUCT(--('Данные 2st'!$Q$2:$Q$317=$A34),--ISNUMBER('Данные 2st'!$DS$2:$DS$317))</f>
        <v>5</v>
      </c>
      <c r="LG34">
        <f>SUMPRODUCT(--('Данные 2st'!$Q$2:$Q$317=$A34),--ISNUMBER('Данные 2st'!$DU$2:$DU$317))</f>
        <v>5</v>
      </c>
      <c r="LH34">
        <f>SUMPRODUCT(--('Данные 2st'!$Q$2:$Q$317=$A34),--ISNUMBER('Данные 2st'!$DV$2:$DV$317))</f>
        <v>5</v>
      </c>
      <c r="LI34">
        <f>SUMPRODUCT(--('Данные 2st'!$Q$2:$Q$317=$A34),--ISNUMBER('Данные 2st'!$DW$2:$DW$317))</f>
        <v>5</v>
      </c>
      <c r="LJ34">
        <f>SUMPRODUCT(--('Данные 2st'!$Q$2:$Q$317=$A34),--ISNUMBER('Данные 2st'!$DX$2:$DX$317))</f>
        <v>5</v>
      </c>
      <c r="LK34">
        <f>SUMPRODUCT(--('Данные 2st'!$Q$2:$Q$317=$A34),--ISNUMBER('Данные 2st'!$DY$2:$DY$317))</f>
        <v>5</v>
      </c>
      <c r="LL34">
        <f>SUMPRODUCT(--('Данные 2st'!$Q$2:$Q$317=$A34),--ISNUMBER('Данные 2st'!$EA$2:$EA$317))</f>
        <v>5</v>
      </c>
      <c r="LM34">
        <f>SUMPRODUCT(--('Данные 2st'!$Q$2:$Q$317=$A34),--ISNUMBER('Данные 2st'!$EC$2:$EC$317))</f>
        <v>5</v>
      </c>
      <c r="LN34">
        <f>SUMPRODUCT(--('Данные 2st'!$Q$2:$Q$317=$A34),--ISNUMBER('Данные 2st'!$ED$2:$ED$317))</f>
        <v>5</v>
      </c>
      <c r="LO34">
        <f>SUMPRODUCT(--('Данные 2st'!$Q$2:$Q$317=$A34),--ISNUMBER('Данные 2st'!$EE$2:$EE$317))</f>
        <v>5</v>
      </c>
      <c r="LP34">
        <f>SUMPRODUCT(--('Данные 2st'!$Q$2:$Q$317=$A34),--ISNUMBER('Данные 2st'!$EG$2:$EG$317))</f>
        <v>5</v>
      </c>
      <c r="LQ34">
        <f>SUMPRODUCT(--('Данные 2st'!$Q$2:$Q$317=$A34),--ISNUMBER('Данные 2st'!$EI$2:$EI$317))</f>
        <v>5</v>
      </c>
      <c r="LR34">
        <f>SUMPRODUCT(--('Данные 2st'!$Q$2:$Q$317=$A34),--ISNUMBER('Данные 2st'!$EJ$2:$EJ$317))</f>
        <v>1</v>
      </c>
      <c r="LS34">
        <f>SUMPRODUCT(--('Данные 2st'!$Q$2:$Q$317=$A34),--ISNUMBER('Данные 2st'!$EK$2:$EK$317))</f>
        <v>1</v>
      </c>
      <c r="LT34">
        <f>SUMPRODUCT(--('Данные 2st'!$Q$2:$Q$317=$A34),--ISNUMBER('Данные 2st'!$EM$2:$EM$317))</f>
        <v>5</v>
      </c>
      <c r="LU34">
        <f>SUMPRODUCT(--('Данные 2st'!$Q$2:$Q$317=$A34),--ISNUMBER('Данные 2st'!$EN$2:$EN$317))</f>
        <v>5</v>
      </c>
      <c r="LV34">
        <f>SUMPRODUCT(--('Данные 2st'!$Q$2:$Q$317=$A34),--ISNUMBER('Данные 2st'!$EO$2:$EO$317))</f>
        <v>5</v>
      </c>
      <c r="LW34">
        <f>SUMPRODUCT(--('Данные 2st'!$Q$2:$Q$317=$A34),--ISNUMBER('Данные 2st'!$EP$2:$EP$317))</f>
        <v>5</v>
      </c>
      <c r="LX34">
        <f>SUMPRODUCT(--('Данные 2st'!$Q$2:$Q$317=$A34),--ISNUMBER('Данные 2st'!$EQ$2:$EQ$317))</f>
        <v>5</v>
      </c>
      <c r="LY34">
        <f>SUMPRODUCT(--('Данные 2st'!$Q$2:$Q$317=$A34),--ISNUMBER('Данные 2st'!$ER$2:$ER$317))</f>
        <v>5</v>
      </c>
      <c r="LZ34">
        <f>SUMPRODUCT(--('Данные 2st'!$Q$2:$Q$317=$A34),--ISNUMBER('Данные 2st'!$ES$2:$ES$317))</f>
        <v>5</v>
      </c>
      <c r="MA34">
        <f>SUMPRODUCT(--('Данные 2st'!$Q$2:$Q$317=$A34),--ISNUMBER('Данные 2st'!$ET$2:$ET$317))</f>
        <v>5</v>
      </c>
      <c r="MB34">
        <f>SUMPRODUCT(--('Данные 2st'!$Q$2:$Q$317=$A34),--ISNUMBER('Данные 2st'!$EU$2:$EU$317))</f>
        <v>5</v>
      </c>
      <c r="MC34">
        <f>SUMPRODUCT(--('Данные 2st'!$Q$2:$Q$317=$A34),--ISNUMBER('Данные 2st'!$EV$2:$EV$317))</f>
        <v>5</v>
      </c>
      <c r="MD34">
        <f>SUMPRODUCT(--('Данные 2st'!$Q$2:$Q$317=$A34),--ISNUMBER('Данные 2st'!$EW$2:$EW$317))</f>
        <v>5</v>
      </c>
      <c r="ME34">
        <f>SUMPRODUCT(--('Данные 2st'!$Q$2:$Q$317=$A34),--ISNUMBER('Данные 2st'!$EY$2:$EY$317))</f>
        <v>5</v>
      </c>
      <c r="MF34">
        <f>SUMPRODUCT(--('Данные 2st'!$Q$2:$Q$317=$A34),--ISNUMBER('Данные 2st'!$FA$2:$FA$317))</f>
        <v>5</v>
      </c>
      <c r="MG34">
        <f>SUMPRODUCT(--('Данные 2st'!$Q$2:$Q$317=$A34),--ISNUMBER('Данные 2st'!$FB$2:$FB$317))</f>
        <v>5</v>
      </c>
      <c r="MH34">
        <f>SUMPRODUCT(--('Данные 2st'!$Q$2:$Q$317=$A34),--ISNUMBER('Данные 2st'!$FC$2:$FC$317))</f>
        <v>5</v>
      </c>
      <c r="MI34">
        <f>SUMPRODUCT(--('Данные 2st'!$Q$2:$Q$317=$A34),--ISNUMBER('Данные 2st'!$FD$2:$FD$317))</f>
        <v>5</v>
      </c>
      <c r="MJ34">
        <f>SUMPRODUCT(--('Данные 2st'!$Q$2:$Q$317=$A34),--ISNUMBER('Данные 2st'!$FE$2:$FE$317))</f>
        <v>5</v>
      </c>
      <c r="MK34">
        <f>SUMPRODUCT(--('Данные 2st'!$Q$2:$Q$317=$A34),--ISNUMBER('Данные 2st'!$FG$2:$FG$317))</f>
        <v>5</v>
      </c>
      <c r="ML34">
        <f>SUMPRODUCT(--('Данные 2st'!$Q$2:$Q$317=$A34),--ISNUMBER('Данные 2st'!$FI$2:$FI$317))</f>
        <v>5</v>
      </c>
      <c r="MM34">
        <f>SUMPRODUCT(--('Данные 2st'!$Q$2:$Q$317=$A34),--ISNUMBER('Данные 2st'!$FJ$2:$FJ$317))</f>
        <v>5</v>
      </c>
      <c r="MN34">
        <f>SUMPRODUCT(--('Данные 2st'!$Q$2:$Q$317=$A34),--ISNUMBER('Данные 2st'!$FK$2:$FK$317))</f>
        <v>5</v>
      </c>
      <c r="MO34">
        <f>SUMPRODUCT(--('Данные 2st'!$Q$2:$Q$317=$A34),--ISNUMBER('Данные 2st'!$FP$2:$FP$317))</f>
        <v>5</v>
      </c>
      <c r="MP34">
        <f>SUMPRODUCT(--('Данные 2st'!$Q$2:$Q$317=$A34),--ISNUMBER('Данные 2st'!$FQ$2:$FQ$317))</f>
        <v>5</v>
      </c>
      <c r="MQ34">
        <f>SUMPRODUCT(--('Данные 2st'!$Q$2:$Q$317=$A34),--ISNUMBER('Данные 2st'!$FS$2:$FS$317))</f>
        <v>5</v>
      </c>
      <c r="MR34">
        <f>SUMPRODUCT(--('Данные 2st'!$Q$2:$Q$317=$A34),--ISNUMBER('Данные 2st'!$FU$2:$FU$317))</f>
        <v>5</v>
      </c>
      <c r="MS34">
        <f>SUMPRODUCT(--('Данные 2st'!$Q$2:$Q$317=$A34),--ISNUMBER('Данные 2st'!$FV$2:$FV$317))</f>
        <v>5</v>
      </c>
      <c r="MT34">
        <f>SUMPRODUCT(--('Данные 2st'!$Q$2:$Q$317=$A34),--ISNUMBER('Данные 2st'!$FW$2:$FW$317))</f>
        <v>5</v>
      </c>
      <c r="MU34">
        <f>SUMPRODUCT(--('Данные 2st'!$Q$2:$Q$317=$A34),--ISNUMBER('Данные 2st'!$FY$2:$FY$317))</f>
        <v>4</v>
      </c>
      <c r="MV34">
        <f>SUMPRODUCT(--('Данные 2st'!$Q$2:$Q$317=$A34),--ISNUMBER('Данные 2st'!$GB$2:$GB$317))</f>
        <v>4</v>
      </c>
      <c r="MW34">
        <f>SUMPRODUCT(--('Данные 2st'!$Q$2:$Q$317=$A34),--ISNUMBER('Данные 2st'!$GC$2:$GC$317))</f>
        <v>4</v>
      </c>
      <c r="MX34">
        <f>SUMPRODUCT(--('Данные 2st'!$Q$2:$Q$317=$A34),--ISNUMBER('Данные 2st'!$GD$2:$GD$317))</f>
        <v>5</v>
      </c>
      <c r="MY34">
        <f>SUMPRODUCT(--('Данные 2st'!$Q$2:$Q$317=$A34),--ISNUMBER('Данные 2st'!$GN$2:$GN$317))</f>
        <v>0</v>
      </c>
      <c r="MZ34">
        <f>SUMPRODUCT(--('Данные 2st'!$Q$2:$Q$317=$A34),--ISNUMBER('Данные 2st'!$GQ$2:$GQ$317))</f>
        <v>5</v>
      </c>
      <c r="NA34">
        <f>SUMPRODUCT(--('Данные 2st'!$Q$2:$Q$317=$A34),--ISNUMBER('Данные 2st'!$GV$2:$GV$317))</f>
        <v>5</v>
      </c>
      <c r="NB34">
        <f>SUMPRODUCT(--('Данные 2st'!$Q$2:$Q$317=$A34),--ISNUMBER('Данные 2st'!$GW$2:$GW$317))</f>
        <v>5</v>
      </c>
      <c r="NC34">
        <f>SUMPRODUCT(--('Данные 2st'!$Q$2:$Q$317=$A34),--ISNUMBER('Данные 2st'!$GX$2:$GX$317))</f>
        <v>5</v>
      </c>
      <c r="ND34">
        <f>SUMPRODUCT(--('Данные 2st'!$Q$2:$Q$317=$A34),--ISNUMBER('Данные 2st'!$GY$2:$GY$317))</f>
        <v>5</v>
      </c>
      <c r="NE34">
        <f>SUMPRODUCT(--('Данные 2st'!$Q$2:$Q$317=$A34),--ISNUMBER('Данные 2st'!$GZ$2:$GZ$317))</f>
        <v>5</v>
      </c>
      <c r="NF34">
        <f>SUMPRODUCT(--('Данные 2st'!$Q$2:$Q$317=$A34),--ISNUMBER('Данные 2st'!$HA$2:$HA$317))</f>
        <v>5</v>
      </c>
      <c r="NG34">
        <f>SUMPRODUCT(--('Данные 2st'!$Q$2:$Q$317=$A34),--ISNUMBER('Данные 2st'!$HB$2:$HB$317))</f>
        <v>5</v>
      </c>
      <c r="NH34">
        <f>SUMPRODUCT(--('Данные 2st'!$Q$2:$Q$317=$A34),--ISNUMBER('Данные 2st'!$HC$2:$HC$317))</f>
        <v>5</v>
      </c>
      <c r="NI34">
        <f>SUMPRODUCT(--('Данные 2st'!$Q$2:$Q$317=$A34),--ISNUMBER('Данные 2st'!$HD$2:$HD$317))</f>
        <v>5</v>
      </c>
      <c r="NJ34">
        <f>SUMPRODUCT(--('Данные 2st'!$Q$2:$Q$317=$A34),--ISNUMBER('Данные 2st'!$HM$2:$HM$317))</f>
        <v>5</v>
      </c>
      <c r="NK34">
        <f>SUMPRODUCT(--('Данные 2st'!$Q$2:$Q$317=$A34),--ISNUMBER('Данные 2st'!$HR$2:$HR$317))</f>
        <v>5</v>
      </c>
      <c r="NL34">
        <f>SUMPRODUCT(--('Данные 2st'!$Q$2:$Q$317=$A34),--ISNUMBER('Данные 2st'!$HS$2:$HS$317))</f>
        <v>5</v>
      </c>
      <c r="NM34">
        <f>SUMPRODUCT(--('Данные 2st'!$Q$2:$Q$317=$A34),--ISNUMBER('Данные 2st'!$HT$2:$HT$317))</f>
        <v>5</v>
      </c>
      <c r="NN34">
        <f>SUMPRODUCT(--('Данные 2st'!$Q$2:$Q$317=$A34),--ISNUMBER('Данные 2st'!$HY$2:$HY$317))</f>
        <v>5</v>
      </c>
      <c r="NO34">
        <f>SUMPRODUCT(--('Данные 2st'!$Q$2:$Q$317=$A34),--ISNUMBER('Данные 2st'!$HZ$2:$HZ$317))</f>
        <v>5</v>
      </c>
      <c r="NP34">
        <f>SUMPRODUCT(--('Данные 2st'!$Q$2:$Q$317=$A34),--ISNUMBER('Данные 2st'!$IA$2:$IA$317))</f>
        <v>5</v>
      </c>
      <c r="NQ34">
        <f>SUMPRODUCT(--('Данные 2st'!$Q$2:$Q$317=$A34),--ISNUMBER('Данные 2st'!$IB$2:$IB$317))</f>
        <v>5</v>
      </c>
      <c r="NR34">
        <f>SUMPRODUCT(--('Данные 2st'!$Q$2:$Q$317=$A34),--ISNUMBER('Данные 2st'!$IC$2:$IC$317))</f>
        <v>0</v>
      </c>
      <c r="NS34">
        <f>SUMPRODUCT(--('Данные 2st'!$Q$2:$Q$317=$A34),--ISNUMBER('Данные 2st'!$ID$2:$ID$317))</f>
        <v>5</v>
      </c>
      <c r="NT34">
        <f>SUMPRODUCT(--('Данные 2st'!$Q$2:$Q$317=$A34),--ISNUMBER('Данные 2st'!$IE$2:$IE$317))</f>
        <v>5</v>
      </c>
      <c r="NU34">
        <f>SUMPRODUCT(--('Данные 2st'!$Q$2:$Q$317=$A34),--ISNUMBER('Данные 2st'!$IF$2:$IF$317))</f>
        <v>5</v>
      </c>
      <c r="NV34">
        <f>SUMPRODUCT(--('Данные 2st'!$Q$2:$Q$317=$A34),--ISNUMBER('Данные 2st'!$IG$2:$IG$317))</f>
        <v>5</v>
      </c>
      <c r="NW34">
        <f>SUMPRODUCT(--('Данные 2st'!$Q$2:$Q$317=$A34),--ISNUMBER('Данные 2st'!$IH$2:$IH$317))</f>
        <v>5</v>
      </c>
      <c r="NX34">
        <f>SUMPRODUCT(--('Данные 2st'!$Q$2:$Q$317=$A34),--ISNUMBER('Данные 2st'!$IJ$2:$IJ$317))</f>
        <v>5</v>
      </c>
      <c r="NY34">
        <f>SUMPRODUCT(--('Данные 2st'!$Q$2:$Q$317=$A34),--ISNUMBER('Данные 2st'!$IM$2:$IM$317))</f>
        <v>5</v>
      </c>
      <c r="NZ34">
        <f>SUMPRODUCT(--('Данные 2st'!$Q$2:$Q$317=$A34),--ISNUMBER('Данные 2st'!$IN$2:$IN$317))</f>
        <v>5</v>
      </c>
      <c r="OA34">
        <f>SUMPRODUCT(--('Данные 2st'!$Q$2:$Q$317=$A34),--ISNUMBER('Данные 2st'!$IO$2:$IO$317))</f>
        <v>5</v>
      </c>
      <c r="OB34">
        <f>SUMPRODUCT(--('Данные 2st'!$Q$2:$Q$317=$A34),--ISNUMBER('Данные 2st'!$IP$2:$IP$317))</f>
        <v>5</v>
      </c>
      <c r="OC34">
        <f>SUMPRODUCT(--('Данные 2st'!$Q$2:$Q$317=$A34),--ISNUMBER('Данные 2st'!$IQ$2:$IQ$317))</f>
        <v>5</v>
      </c>
      <c r="OD34">
        <f>SUMPRODUCT(--('Данные 2st'!$Q$2:$Q$317=$A34),--ISNUMBER('Данные 2st'!$IR$2:$IR$317))</f>
        <v>5</v>
      </c>
      <c r="OE34">
        <f>SUMPRODUCT(--('Данные 2st'!$Q$2:$Q$317=$A34),--ISNUMBER('Данные 2st'!$IT$2:$IT$317))</f>
        <v>5</v>
      </c>
      <c r="OF34">
        <f>SUMPRODUCT(--('Данные 2st'!$Q$2:$Q$317=$A34),--ISNUMBER('Данные 2st'!$IU$2:$IU$317))</f>
        <v>5</v>
      </c>
      <c r="OG34">
        <f>SUMPRODUCT(--('Данные 2st'!$Q$2:$Q$317=$A34),--ISNUMBER('Данные 2st'!$IV$2:$IV$317))</f>
        <v>5</v>
      </c>
      <c r="OH34">
        <f>SUMPRODUCT(--('Данные 2st'!$Q$2:$Q$317=$A34),--ISNUMBER('Данные 2st'!$IW$2:$IW$317))</f>
        <v>5</v>
      </c>
      <c r="OI34">
        <f>SUMPRODUCT(--('Данные 2st'!$Q$2:$Q$317=$A34),--ISNUMBER('Данные 2st'!$IX$2:$IX$317))</f>
        <v>5</v>
      </c>
      <c r="OJ34">
        <f>SUMPRODUCT(--('Данные 2st'!$Q$2:$Q$317=$A34),--ISNUMBER('Данные 2st'!$IY$2:$IY$317))</f>
        <v>5</v>
      </c>
      <c r="OK34">
        <f>SUMPRODUCT(--('Данные 2st'!$Q$2:$Q$317=$A34),--ISNUMBER('Данные 2st'!$IZ$2:$IZ$317))</f>
        <v>5</v>
      </c>
      <c r="OL34">
        <f>SUMPRODUCT(--('Данные 2st'!$Q$2:$Q$317=$A34),--ISNUMBER('Данные 2st'!$JA$2:$JA$317))</f>
        <v>5</v>
      </c>
      <c r="OM34">
        <f>SUMPRODUCT(--('Данные 2st'!$Q$2:$Q$317=$A34),--ISNUMBER('Данные 2st'!$JB$2:$JB$317))</f>
        <v>5</v>
      </c>
      <c r="ON34">
        <f>SUMPRODUCT(--('Данные 2st'!$Q$2:$Q$317=$A34),--ISNUMBER('Данные 2st'!$JC$2:$JC$317))</f>
        <v>5</v>
      </c>
      <c r="OO34">
        <f>SUMPRODUCT(--('Данные 2st'!$Q$2:$Q$317=$A34),--ISNUMBER('Данные 2st'!$JD$2:$JD$317))</f>
        <v>5</v>
      </c>
      <c r="OP34">
        <f>SUMPRODUCT(--('Данные 2st'!$Q$2:$Q$317=$A34),--ISNUMBER('Данные 2st'!$JE$2:$JE$317))</f>
        <v>5</v>
      </c>
      <c r="OQ34">
        <f>SUMPRODUCT(--('Данные 2st'!$Q$2:$Q$317=$A34),--ISNUMBER('Данные 2st'!$JF$2:$JF$317))</f>
        <v>5</v>
      </c>
      <c r="OR34">
        <f>SUMPRODUCT(--('Данные 2st'!$Q$2:$Q$317=$A34),--ISNUMBER('Данные 2st'!$JG$2:$JG$317))</f>
        <v>5</v>
      </c>
      <c r="OS34">
        <f>SUMPRODUCT(--('Данные 2st'!$Q$2:$Q$317=$A34),--ISNUMBER('Данные 2st'!$JH$2:$JH$317))</f>
        <v>5</v>
      </c>
      <c r="OT34">
        <f>SUMPRODUCT(--('Данные 2st'!$Q$2:$Q$317=$A34),--ISNUMBER('Данные 2st'!$JI$2:$JI$317))</f>
        <v>5</v>
      </c>
      <c r="OU34">
        <f>SUMPRODUCT(--('Данные 2st'!$Q$2:$Q$317=$A34),--ISNUMBER('Данные 2st'!$JJ$2:$JJ$317))</f>
        <v>5</v>
      </c>
      <c r="OV34">
        <f>SUMPRODUCT(--('Данные 2st'!$Q$2:$Q$317=$A34),--ISNUMBER('Данные 2st'!$JK$2:$JK$317))</f>
        <v>5</v>
      </c>
      <c r="OW34">
        <f>SUMPRODUCT(--('Данные 2st'!$Q$2:$Q$317=$A34),--ISNUMBER('Данные 2st'!$JL$2:$JL$317))</f>
        <v>5</v>
      </c>
      <c r="OX34">
        <f>SUMPRODUCT(--('Данные 2st'!$Q$2:$Q$317=$A34),--ISNUMBER('Данные 2st'!$JM$2:$JM$317))</f>
        <v>5</v>
      </c>
      <c r="OY34">
        <f>SUMPRODUCT(--('Данные 2st'!$Q$2:$Q$317=$A34),--ISNUMBER('Данные 2st'!$JP$2:$JP$317))</f>
        <v>5</v>
      </c>
      <c r="OZ34">
        <f>SUMPRODUCT(--('Данные 2st'!$Q$2:$Q$317=$A34),--ISNUMBER('Данные 2st'!$JQ$2:$JQ$317))</f>
        <v>5</v>
      </c>
      <c r="PA34">
        <f>SUMPRODUCT(--('Данные 2st'!$Q$2:$Q$317=$A34),--ISNUMBER('Данные 2st'!$JR$2:$JR$317))</f>
        <v>5</v>
      </c>
      <c r="PB34">
        <f>SUMPRODUCT(--('Данные 2st'!$Q$2:$Q$317=$A34),--ISNUMBER('Данные 2st'!$JS$2:$JS$317))</f>
        <v>5</v>
      </c>
      <c r="PC34">
        <f>SUMPRODUCT(--('Данные 2st'!$Q$2:$Q$317=$A34),--ISNUMBER('Данные 2st'!$JT$2:$JT$317))</f>
        <v>5</v>
      </c>
      <c r="PD34">
        <f>SUMPRODUCT(--('Данные 2st'!$Q$2:$Q$317=$A34),--ISNUMBER('Данные 2st'!$JU$2:$JU$317))</f>
        <v>5</v>
      </c>
      <c r="PE34">
        <f>SUMPRODUCT(--('Данные 2st'!$Q$2:$Q$317=$A34),--ISNUMBER('Данные 2st'!$JV$2:$JV$317))</f>
        <v>5</v>
      </c>
      <c r="PF34">
        <f>SUMPRODUCT(--('Данные 2st'!$Q$2:$Q$317=$A34),--ISNUMBER('Данные 2st'!$JW$2:$JW$317))</f>
        <v>5</v>
      </c>
      <c r="PG34">
        <f>SUMPRODUCT(--('Данные 2st'!$Q$2:$Q$317=$A34),--ISNUMBER('Данные 2st'!$KF$2:$KF$317))</f>
        <v>5</v>
      </c>
      <c r="PH34">
        <f>SUMPRODUCT(--('Данные 2st'!$Q$2:$Q$317=$A34),--ISNUMBER('Данные 2st'!$KG$2:$KG$317))</f>
        <v>5</v>
      </c>
      <c r="PI34">
        <f>SUMPRODUCT(--('Данные 2st'!$Q$2:$Q$317=$A34),--ISNUMBER('Данные 2st'!$KM$2:$KM$317))</f>
        <v>5</v>
      </c>
      <c r="PJ34">
        <f>SUMPRODUCT(--('Данные 2st'!$Q$2:$Q$317=$A34),--ISNUMBER('Данные 2st'!$KN$2:$KN$317))</f>
        <v>5</v>
      </c>
      <c r="PK34">
        <f>SUMPRODUCT(--('Данные 2st'!$Q$2:$Q$317=$A34),--ISNUMBER('Данные 2st'!$KO$2:$KO$317))</f>
        <v>5</v>
      </c>
      <c r="PL34">
        <f>SUMPRODUCT(--('Данные 2st'!$Q$2:$Q$317=$A34),--ISNUMBER('Данные 2st'!$KP$2:$KP$317))</f>
        <v>5</v>
      </c>
      <c r="PM34">
        <f>SUMPRODUCT(--('Данные 2st'!$Q$2:$Q$317=$A34),--ISNUMBER('Данные 2st'!$KQ$2:$KQ$317))</f>
        <v>5</v>
      </c>
      <c r="PN34">
        <f>SUMPRODUCT(--('Данные 2st'!$Q$2:$Q$317=$A34),--ISNUMBER('Данные 2st'!$KR$2:$KR$317))</f>
        <v>5</v>
      </c>
      <c r="PO34">
        <f>SUMPRODUCT(--('Данные 2st'!$Q$2:$Q$317=$A34),--ISNUMBER('Данные 2st'!$KS$2:$KS$317))</f>
        <v>5</v>
      </c>
      <c r="PP34">
        <f>SUMPRODUCT(--('Данные 2st'!$Q$2:$Q$317=$A34),--ISNUMBER('Данные 2st'!$KT$2:$KT$317))</f>
        <v>5</v>
      </c>
      <c r="PQ34">
        <f>SUMPRODUCT(--('Данные 2st'!$Q$2:$Q$317=$A34),--ISNUMBER('Данные 2st'!$KU$2:$KU$317))</f>
        <v>5</v>
      </c>
      <c r="PR34">
        <f>SUMPRODUCT(--('Данные 2st'!$Q$2:$Q$317=$A34),--ISNUMBER('Данные 2st'!$KV$2:$KV$317))</f>
        <v>5</v>
      </c>
      <c r="PS34">
        <f>SUMPRODUCT(--('Данные 2st'!$Q$2:$Q$317=$A34),--ISNUMBER('Данные 2st'!$KW$2:$KW$317))</f>
        <v>5</v>
      </c>
      <c r="PT34">
        <f>SUMPRODUCT(--('Данные 2st'!$Q$2:$Q$317=$A34),--ISNUMBER('Данные 2st'!$KX$2:$KX$317))</f>
        <v>5</v>
      </c>
      <c r="PU34">
        <f>SUMPRODUCT(--('Данные 2st'!$Q$2:$Q$317=$A34),--ISNUMBER('Данные 2st'!$KY$2:$KY$317))</f>
        <v>5</v>
      </c>
      <c r="PV34">
        <f>SUMPRODUCT(--('Данные 2st'!$Q$2:$Q$317=$A34),--ISNUMBER('Данные 2st'!$KZ$2:$KZ$317))</f>
        <v>5</v>
      </c>
      <c r="PW34">
        <f>SUMPRODUCT(--('Данные 2st'!$Q$2:$Q$317=$A34),--ISNUMBER('Данные 2st'!$LA$2:$LA$317))</f>
        <v>5</v>
      </c>
      <c r="PX34">
        <f>SUMPRODUCT(--('Данные 2st'!$Q$2:$Q$317=$A34),--ISNUMBER('Данные 2st'!$LB$2:$LB$317))</f>
        <v>5</v>
      </c>
      <c r="PY34">
        <f>SUMPRODUCT(--('Данные 2st'!$Q$2:$Q$317=$A34),--ISNUMBER('Данные 2st'!$LC$2:$LC$317))</f>
        <v>5</v>
      </c>
      <c r="PZ34">
        <f>SUMPRODUCT(--('Данные 2st'!$Q$2:$Q$317=$A34),--ISNUMBER('Данные 2st'!$LD$2:$LD$317))</f>
        <v>5</v>
      </c>
      <c r="QA34">
        <f>SUMPRODUCT(--('Данные 2st'!$Q$2:$Q$317=$A34),--ISNUMBER('Данные 2st'!$LE$2:$LE$317))</f>
        <v>5</v>
      </c>
      <c r="QB34">
        <f>SUMPRODUCT(--('Данные 2st'!$Q$2:$Q$317=$A34),--ISNUMBER('Данные 2st'!$LF$2:$LF$317))</f>
        <v>5</v>
      </c>
      <c r="QC34">
        <f>SUMPRODUCT(--('Данные 2st'!$Q$2:$Q$317=$A34),--ISNUMBER('Данные 2st'!$LG$2:$LG$317))</f>
        <v>5</v>
      </c>
      <c r="QD34">
        <f>SUMPRODUCT(--('Данные 2st'!$Q$2:$Q$317=$A34),--ISNUMBER('Данные 2st'!$LH$2:$LH$317))</f>
        <v>5</v>
      </c>
      <c r="QE34">
        <f>SUMPRODUCT(--('Данные 2st'!$Q$2:$Q$317=$A34),--ISNUMBER('Данные 2st'!$LJ$2:$LJ$317))</f>
        <v>5</v>
      </c>
      <c r="QF34">
        <f>SUMPRODUCT(--('Данные 2st'!$Q$2:$Q$317=$A34),--ISNUMBER('Данные 2st'!$LK$2:$LK$317))</f>
        <v>5</v>
      </c>
      <c r="QG34">
        <f>SUMPRODUCT(--('Данные 2st'!$Q$2:$Q$317=$A34),--ISNUMBER('Данные 2st'!$LL$2:$LL$317))</f>
        <v>5</v>
      </c>
      <c r="QH34">
        <f>SUMPRODUCT(--('Данные 2st'!$Q$2:$Q$317=$A34),--ISNUMBER('Данные 2st'!$LM$2:$LM$317))</f>
        <v>5</v>
      </c>
      <c r="QI34">
        <f>SUMPRODUCT(--('Данные 2st'!$Q$2:$Q$317=$A34),--ISNUMBER('Данные 2st'!$LN$2:$LN$317))</f>
        <v>5</v>
      </c>
      <c r="QJ34">
        <f>SUMPRODUCT(--('Данные 2st'!$Q$2:$Q$317=$A34),--ISNUMBER('Данные 2st'!$LO$2:$LO$317))</f>
        <v>5</v>
      </c>
      <c r="QK34">
        <f>SUMPRODUCT(--('Данные 2st'!$Q$2:$Q$317=$A34),--ISNUMBER('Данные 2st'!$LP$2:$LP$317))</f>
        <v>5</v>
      </c>
      <c r="QL34">
        <f>SUMPRODUCT(--('Данные 2st'!$Q$2:$Q$317=$A34),--ISNUMBER('Данные 2st'!$LQ$2:$LQ$317))</f>
        <v>5</v>
      </c>
      <c r="QM34">
        <f>SUMPRODUCT(--('Данные 2st'!$Q$2:$Q$317=$A34),--ISNUMBER('Данные 2st'!$LW$2:$LW$317))</f>
        <v>5</v>
      </c>
      <c r="QN34">
        <f>SUMPRODUCT(--('Данные 2st'!$Q$2:$Q$317=$A34),--ISNUMBER('Данные 2st'!$LX$2:$LX$317))</f>
        <v>5</v>
      </c>
      <c r="QO34">
        <f>SUMPRODUCT(--('Данные 2st'!$Q$2:$Q$317=$A34),--ISNUMBER('Данные 2st'!$LY$2:$LY$317))</f>
        <v>5</v>
      </c>
      <c r="QP34">
        <f>SUMPRODUCT(--('Данные 2st'!$Q$2:$Q$317=$A34),--ISNUMBER('Данные 2st'!$LZ$2:$LZ$317))</f>
        <v>5</v>
      </c>
      <c r="QQ34">
        <f>SUMPRODUCT(--('Данные 2st'!$Q$2:$Q$317=$A34),--ISNUMBER('Данные 2st'!$MB$2:$MB$317))</f>
        <v>5</v>
      </c>
      <c r="QR34">
        <f>SUMPRODUCT(--('Данные 2st'!$Q$2:$Q$317=$A34),--ISNUMBER('Данные 2st'!$MG$2:$MG$317))</f>
        <v>5</v>
      </c>
      <c r="QS34">
        <f>SUMPRODUCT(--('Данные 2st'!$Q$2:$Q$317=$A34),--ISNUMBER('Данные 2st'!$MH$2:$MH$317))</f>
        <v>5</v>
      </c>
      <c r="QT34">
        <f>SUMPRODUCT(--('Данные 2st'!$Q$2:$Q$317=$A34),--ISNUMBER('Данные 2st'!$MI$2:$MI$317))</f>
        <v>5</v>
      </c>
      <c r="QU34">
        <f>SUMPRODUCT(--('Данные 2st'!$Q$2:$Q$317=$A34),--ISNUMBER('Данные 2st'!$MJ$2:$MJ$317))</f>
        <v>5</v>
      </c>
      <c r="QV34">
        <f>SUMPRODUCT(--('Данные 2st'!$Q$2:$Q$317=$A34),--ISNUMBER('Данные 2st'!$MK$2:$MK$317))</f>
        <v>5</v>
      </c>
      <c r="QW34">
        <f>SUMPRODUCT(--('Данные 2st'!$Q$2:$Q$317=$A34),--ISNUMBER('Данные 2st'!$MM$2:$MM$317))</f>
        <v>5</v>
      </c>
      <c r="QX34">
        <f>SUMPRODUCT(--('Данные 2st'!$Q$2:$Q$317=$A34),--ISNUMBER('Данные 2st'!$MQ$2:$MQ$317))</f>
        <v>0</v>
      </c>
      <c r="QY34">
        <f>SUMPRODUCT(--('Данные 2st'!$Q$2:$Q$317=$A34),--ISNUMBER('Данные 2st'!$MR$2:$MR$317))</f>
        <v>0</v>
      </c>
      <c r="QZ34">
        <f>SUMPRODUCT(--('Данные 2st'!$Q$2:$Q$317=$A34),--ISNUMBER('Данные 2st'!$MS$2:$MS$317))</f>
        <v>0</v>
      </c>
      <c r="RA34">
        <f>SUMPRODUCT(--('Данные 2st'!$Q$2:$Q$317=$A34),--ISNUMBER('Данные 2st'!$MT$2:$MT$317))</f>
        <v>0</v>
      </c>
      <c r="RB34">
        <f>SUMPRODUCT(--('Данные 2st'!$Q$2:$Q$317=$A34),--ISNUMBER('Данные 2st'!$MU$2:$MU$317))</f>
        <v>0</v>
      </c>
      <c r="RC34">
        <f>SUMPRODUCT(--('Данные 2st'!$Q$2:$Q$317=$A34),--ISNUMBER('Данные 2st'!$MV$2:$MV$317))</f>
        <v>0</v>
      </c>
      <c r="RD34">
        <f>SUMPRODUCT(--('Данные 2st'!$Q$2:$Q$317=$A34),--ISNUMBER('Данные 2st'!$MW$2:$MW$317))</f>
        <v>0</v>
      </c>
      <c r="RE34">
        <f>SUMPRODUCT(--('Данные 2st'!$Q$2:$Q$317=$A34),--ISNUMBER('Данные 2st'!$MX$2:$MX$317))</f>
        <v>0</v>
      </c>
      <c r="RF34">
        <f>SUMPRODUCT(--('Данные 2st'!$Q$2:$Q$317=$A34),--ISNUMBER('Данные 2st'!$MY$2:$MY$317))</f>
        <v>0</v>
      </c>
      <c r="RG34">
        <f>SUMPRODUCT(--('Данные 2st'!$Q$2:$Q$317=$A34),--ISNUMBER('Данные 2st'!$MZ$2:$MZ$317))</f>
        <v>0</v>
      </c>
      <c r="RH34">
        <f>SUMPRODUCT(--('Данные 2st'!$Q$2:$Q$317=$A34),--ISNUMBER('Данные 2st'!$NA$2:$NA$317))</f>
        <v>0</v>
      </c>
      <c r="RI34">
        <f>SUMPRODUCT(--('Данные 2st'!$Q$2:$Q$317=$A34),--ISNUMBER('Данные 2st'!$NB$2:$NB$317))</f>
        <v>0</v>
      </c>
      <c r="RJ34">
        <f>SUMPRODUCT(--('Данные 2st'!$Q$2:$Q$317=$A34),--ISNUMBER('Данные 2st'!$NC$2:$NC$317))</f>
        <v>0</v>
      </c>
      <c r="RK34">
        <f>SUMPRODUCT(--('Данные 2st'!$Q$2:$Q$317=$A34),--ISNUMBER('Данные 2st'!$ND$2:$ND$317))</f>
        <v>0</v>
      </c>
      <c r="RL34">
        <f>SUMPRODUCT(--('Данные 2st'!$Q$2:$Q$317=$A34),--ISNUMBER('Данные 2st'!$NE$2:$NE$317))</f>
        <v>0</v>
      </c>
      <c r="RM34">
        <f>SUMPRODUCT(--('Данные 2st'!$Q$2:$Q$317=$A34),--ISNUMBER('Данные 2st'!$NF$2:$NF$317))</f>
        <v>0</v>
      </c>
      <c r="RN34">
        <f>SUMPRODUCT(--('Данные 2st'!$Q$2:$Q$317=$A34),--ISNUMBER('Данные 2st'!$NG$2:$NG$317))</f>
        <v>0</v>
      </c>
      <c r="RO34">
        <f>SUMPRODUCT(--('Данные 2st'!$Q$2:$Q$317=$A34),--ISNUMBER('Данные 2st'!$NH$2:$NH$317))</f>
        <v>0</v>
      </c>
      <c r="RP34">
        <f>SUMPRODUCT(--('Данные 2st'!$Q$2:$Q$317=$A34),--ISNUMBER('Данные 2st'!$NJ$2:$NJ$317))</f>
        <v>0</v>
      </c>
      <c r="RQ34">
        <f>SUMPRODUCT(--('Данные 2st'!$Q$2:$Q$317=$A34),--ISNUMBER('Данные 2st'!$NK$2:$NK$317))</f>
        <v>0</v>
      </c>
      <c r="RR34">
        <f>SUMPRODUCT(--('Данные 2st'!$Q$2:$Q$317=$A34),--ISNUMBER('Данные 2st'!$NM$2:$NM$317))</f>
        <v>0</v>
      </c>
      <c r="RS34">
        <f>SUMPRODUCT(--('Данные 2st'!$Q$2:$Q$317=$A34),--ISNUMBER('Данные 2st'!$NN$2:$NN$317))</f>
        <v>0</v>
      </c>
      <c r="RT34">
        <f>SUMPRODUCT(--('Данные 2st'!$Q$2:$Q$317=$A34),--ISNUMBER('Данные 2st'!$NO$2:$NO$317))</f>
        <v>0</v>
      </c>
      <c r="RU34">
        <f>SUMPRODUCT(--('Данные 2st'!$Q$2:$Q$317=$A34),--ISNUMBER('Данные 2st'!$NP$2:$NP$317))</f>
        <v>0</v>
      </c>
      <c r="RV34">
        <f>SUMPRODUCT(--('Данные 2st'!$Q$2:$Q$317=$A34),--ISNUMBER('Данные 2st'!$NQ$2:$NQ$317))</f>
        <v>0</v>
      </c>
      <c r="RW34">
        <f>SUMPRODUCT(--('Данные 2st'!$Q$2:$Q$317=$A34),--ISNUMBER('Данные 2st'!$NR$2:$NR$317))</f>
        <v>0</v>
      </c>
      <c r="RX34">
        <f>SUMPRODUCT(--('Данные 2st'!$Q$2:$Q$317=$A34),--ISNUMBER('Данные 2st'!$NS$2:$NS$317))</f>
        <v>0</v>
      </c>
      <c r="RY34">
        <f>SUMPRODUCT(--('Данные 2st'!$Q$2:$Q$317=$A34),--ISNUMBER('Данные 2st'!$NT$2:$NT$317))</f>
        <v>0</v>
      </c>
      <c r="RZ34">
        <f>SUMPRODUCT(--('Данные 2st'!$Q$2:$Q$317=$A34),--ISNUMBER('Данные 2st'!$OK$2:$OK$317))</f>
        <v>5</v>
      </c>
      <c r="SA34">
        <f>SUMPRODUCT(--('Данные 2st'!$Q$2:$Q$317=$A34),--ISNUMBER('Данные 2st'!$OL$2:$OL$317))</f>
        <v>5</v>
      </c>
      <c r="SB34">
        <f>SUMPRODUCT(--('Данные 2st'!$Q$2:$Q$317=$A34),--ISNUMBER('Данные 2st'!$ON$2:$ON$317))</f>
        <v>5</v>
      </c>
      <c r="SC34">
        <f>SUMPRODUCT(--('Данные 2st'!$Q$2:$Q$317=$A34),--ISNUMBER('Данные 2st'!$OO$2:$OO$317))</f>
        <v>5</v>
      </c>
      <c r="SD34">
        <f>SUMPRODUCT(--('Данные 2st'!$Q$2:$Q$317=$A34),--ISNUMBER('Данные 2st'!$OP$2:$OP$317))</f>
        <v>5</v>
      </c>
      <c r="SE34">
        <f>SUMPRODUCT(--('Данные 2st'!$Q$2:$Q$317=$A34),--ISNUMBER('Данные 2st'!$OQ$2:$OQ$317))</f>
        <v>5</v>
      </c>
      <c r="SF34">
        <f>SUMPRODUCT(--('Данные 2st'!$Q$2:$Q$317=$A34),--ISNUMBER('Данные 2st'!$OS$2:$OS$317))</f>
        <v>5</v>
      </c>
      <c r="SG34">
        <f>SUMPRODUCT(--('Данные 2st'!$Q$2:$Q$317=$A34),--ISNUMBER('Данные 2st'!$OT$2:$OT$317))</f>
        <v>5</v>
      </c>
      <c r="SH34">
        <f>SUMPRODUCT(--('Данные 2st'!$Q$2:$Q$317=$A34),--ISNUMBER('Данные 2st'!$OU$2:$OU$317))</f>
        <v>5</v>
      </c>
      <c r="SI34">
        <f>SUMPRODUCT(--('Данные 2st'!$Q$2:$Q$317=$A34),--ISNUMBER('Данные 2st'!$OV$2:$OV$317))</f>
        <v>5</v>
      </c>
      <c r="SJ34">
        <f>SUMPRODUCT(--('Данные 2st'!$Q$2:$Q$317=$A34),--ISNUMBER('Данные 2st'!$OX$2:$OX$317))</f>
        <v>5</v>
      </c>
      <c r="SK34">
        <f>SUMPRODUCT(--('Данные 2st'!$Q$2:$Q$317=$A34),--ISNUMBER('Данные 2st'!$OY$2:$OY$317))</f>
        <v>5</v>
      </c>
      <c r="SL34">
        <f>SUMPRODUCT(--('Данные 2st'!$Q$2:$Q$317=$A34),--ISNUMBER('Данные 2st'!$OZ$2:$OZ$317))</f>
        <v>5</v>
      </c>
      <c r="SM34">
        <f>SUMPRODUCT(--('Данные 2st'!$Q$2:$Q$317=$A34),--ISNUMBER('Данные 2st'!$PA$2:$PA$317))</f>
        <v>5</v>
      </c>
      <c r="SN34">
        <f>SUMPRODUCT(--('Данные 2st'!$Q$2:$Q$317=$A34),--ISNUMBER('Данные 2st'!$PC$2:$PC$317))</f>
        <v>5</v>
      </c>
      <c r="SO34">
        <f>SUMPRODUCT(--('Данные 2st'!$Q$2:$Q$317=$A34),--ISNUMBER('Данные 2st'!$PD$2:$PD$317))</f>
        <v>5</v>
      </c>
      <c r="SP34">
        <f>SUMPRODUCT(--('Данные 2st'!$Q$2:$Q$317=$A34),--ISNUMBER('Данные 2st'!$PF$2:$PF$317))</f>
        <v>5</v>
      </c>
      <c r="SQ34">
        <f>SUMPRODUCT(--('Данные 2st'!$Q$2:$Q$317=$A34),--ISNUMBER('Данные 2st'!$PG$2:$PG$317))</f>
        <v>5</v>
      </c>
      <c r="SR34">
        <f>SUMPRODUCT(--('Данные 2st'!$Q$2:$Q$317=$A34),--ISNUMBER('Данные 2st'!$PH$2:$PH$317))</f>
        <v>5</v>
      </c>
      <c r="SS34">
        <f>SUMPRODUCT(--('Данные 2st'!$Q$2:$Q$317=$A34),--ISNUMBER('Данные 2st'!$PI$2:$PI$317))</f>
        <v>5</v>
      </c>
      <c r="ST34">
        <f>SUMPRODUCT(--('Данные 2st'!$Q$2:$Q$317=$A34),--ISNUMBER('Данные 2st'!$PJ$2:$PJ$317))</f>
        <v>5</v>
      </c>
      <c r="SU34">
        <f>SUMPRODUCT(--('Данные 2st'!$Q$2:$Q$317=$A34),--ISNUMBER('Данные 2st'!$PK$2:$PK$317))</f>
        <v>3</v>
      </c>
      <c r="SV34">
        <f>SUMPRODUCT(--('Данные 2st'!$Q$2:$Q$317=$A34),--ISNUMBER('Данные 2st'!$PL$2:$PL$317))</f>
        <v>5</v>
      </c>
      <c r="SW34">
        <f>SUMPRODUCT(--('Данные 2st'!$Q$2:$Q$317=$A34),--ISNUMBER('Данные 2st'!$PM$2:$PM$317))</f>
        <v>5</v>
      </c>
      <c r="SX34">
        <f>SUMPRODUCT(--('Данные 2st'!$Q$2:$Q$317=$A34),--ISNUMBER('Данные 2st'!$PN$2:$PN$317))</f>
        <v>5</v>
      </c>
      <c r="SY34">
        <f>SUMPRODUCT(--('Данные 2st'!$Q$2:$Q$317=$A34),--ISNUMBER('Данные 2st'!$PO$2:$PO$317))</f>
        <v>4</v>
      </c>
      <c r="SZ34">
        <f>SUMPRODUCT(--('Данные 2st'!$Q$2:$Q$317=$A34),--ISNUMBER('Данные 2st'!$PP$2:$PP$317))</f>
        <v>5</v>
      </c>
      <c r="TA34">
        <f>SUMPRODUCT(--('Данные 2st'!$Q$2:$Q$317=$A34),--ISNUMBER('Данные 2st'!$PQ$2:$PQ$317))</f>
        <v>5</v>
      </c>
      <c r="TB34">
        <f>SUMPRODUCT(--('Данные 2st'!$Q$2:$Q$317=$A34),--ISNUMBER('Данные 2st'!$PR$2:$PR$317))</f>
        <v>5</v>
      </c>
      <c r="TC34">
        <f>SUMPRODUCT(--('Данные 2st'!$Q$2:$Q$317=$A34),--ISNUMBER('Данные 2st'!$PS$2:$PS$317))</f>
        <v>5</v>
      </c>
      <c r="TD34">
        <f>SUMPRODUCT(--('Данные 2st'!$Q$2:$Q$317=$A34),--ISNUMBER('Данные 2st'!$PT$2:$PT$317))</f>
        <v>5</v>
      </c>
      <c r="TE34">
        <f>SUMPRODUCT(--('Данные 2st'!$Q$2:$Q$317=$A34),--ISNUMBER('Данные 2st'!$PU$2:$PU$317))</f>
        <v>5</v>
      </c>
      <c r="TF34">
        <f>SUMPRODUCT(--('Данные 2st'!$Q$2:$Q$317=$A34),--ISNUMBER('Данные 2st'!$PX$2:$PX$317))</f>
        <v>5</v>
      </c>
      <c r="TG34">
        <f>SUMPRODUCT(--('Данные 2st'!$Q$2:$Q$317=$A34),--ISNUMBER('Данные 2st'!$PY$2:$PY$317))</f>
        <v>5</v>
      </c>
      <c r="TH34">
        <f>SUMPRODUCT(--('Данные 2st'!$Q$2:$Q$317=$A34),--ISNUMBER('Данные 2st'!$PZ$2:$PZ$317))</f>
        <v>5</v>
      </c>
      <c r="TI34">
        <f>SUMPRODUCT(--('Данные 2st'!$Q$2:$Q$317=$A34),--ISNUMBER('Данные 2st'!$QA$2:$QA$317))</f>
        <v>5</v>
      </c>
      <c r="TJ34">
        <f>SUMPRODUCT(--('Данные 2st'!$Q$2:$Q$317=$A34),--ISNUMBER('Данные 2st'!$QB$2:$QB$317))</f>
        <v>5</v>
      </c>
      <c r="TK34">
        <f>SUMPRODUCT(--('Данные 2st'!$Q$2:$Q$317=$A34),--ISNUMBER('Данные 2st'!$QC$2:$QC$317))</f>
        <v>5</v>
      </c>
      <c r="TL34">
        <f>SUMPRODUCT(--('Данные 2st'!$Q$2:$Q$317=$A34),--ISNUMBER('Данные 2st'!$QD$2:$QD$317))</f>
        <v>5</v>
      </c>
      <c r="TM34">
        <f>SUMPRODUCT(--('Данные 2st'!$Q$2:$Q$317=$A34),--ISNUMBER('Данные 2st'!$QE$2:$QE$317))</f>
        <v>5</v>
      </c>
      <c r="TN34">
        <f>SUMPRODUCT(--('Данные 2st'!$Q$2:$Q$317=$A34),--ISNUMBER('Данные 2st'!$QF$2:$QF$317))</f>
        <v>5</v>
      </c>
      <c r="TO34">
        <f>SUMPRODUCT(--('Данные 2st'!$Q$2:$Q$317=$A34),--ISNUMBER('Данные 2st'!$QG$2:$QG$317))</f>
        <v>5</v>
      </c>
      <c r="TP34">
        <f>SUMPRODUCT(--('Данные 2st'!$Q$2:$Q$317=$A34),--ISNUMBER('Данные 2st'!$QH$2:$QH$317))</f>
        <v>5</v>
      </c>
      <c r="TQ34">
        <f>SUMPRODUCT(--('Данные 2st'!$Q$2:$Q$317=$A34),--ISNUMBER('Данные 2st'!$QI$2:$QI$317))</f>
        <v>5</v>
      </c>
      <c r="TR34">
        <f>SUMPRODUCT(--('Данные 2st'!$Q$2:$Q$317=$A34),--ISNUMBER('Данные 2st'!$QJ$2:$QJ$317))</f>
        <v>5</v>
      </c>
      <c r="TS34">
        <f>SUMPRODUCT(--('Данные 2st'!$Q$2:$Q$317=$A34),--ISNUMBER('Данные 2st'!$QK$2:$QK$317))</f>
        <v>5</v>
      </c>
      <c r="TT34">
        <f>SUMPRODUCT(--('Данные 2st'!$Q$2:$Q$317=$A34),--ISNUMBER('Данные 2st'!$QL$2:$QL$317))</f>
        <v>5</v>
      </c>
      <c r="TU34">
        <f>SUMPRODUCT(--('Данные 2st'!$Q$2:$Q$317=$A34),--ISNUMBER('Данные 2st'!$QM$2:$QM$317))</f>
        <v>5</v>
      </c>
      <c r="TV34">
        <f>SUMPRODUCT(--('Данные 2st'!$Q$2:$Q$317=$A34),--ISNUMBER('Данные 2st'!$QN$2:$QN$317))</f>
        <v>5</v>
      </c>
      <c r="TW34">
        <f>SUMPRODUCT(--('Данные 2st'!$Q$2:$Q$317=$A34),--ISNUMBER('Данные 2st'!$QQ$2:$QQ$317))</f>
        <v>5</v>
      </c>
      <c r="TX34">
        <f>SUMPRODUCT(--('Данные 2st'!$Q$2:$Q$317=$A34),--ISNUMBER('Данные 2st'!$QS$2:$QS$317))</f>
        <v>5</v>
      </c>
      <c r="TY34">
        <f>SUMPRODUCT(--('Данные 2st'!$Q$2:$Q$317=$A34),--ISNUMBER('Данные 2st'!$QT$2:$QT$317))</f>
        <v>5</v>
      </c>
    </row>
    <row r="35" spans="1:545" ht="32" customHeight="1">
      <c r="A35" s="11" t="str">
        <f>'По размерам'!A35</f>
        <v>225/50R18</v>
      </c>
      <c r="G35">
        <f>SUMPRODUCT(--('Данные 1st'!$S$2:$S$317=$A35),--ISNUMBER('Данные 1st'!$AE$2:$AE$317))</f>
        <v>4</v>
      </c>
      <c r="H35">
        <f>SUMPRODUCT(--('Данные 1st'!$S$2:$S$317=$A35),--ISNUMBER('Данные 1st'!$AF$2:$AF$317))</f>
        <v>4</v>
      </c>
      <c r="I35">
        <f>SUMPRODUCT(--('Данные 1st'!$S$2:$S$317=$A35),--ISNUMBER('Данные 1st'!$AJ$2:$AJ$317))</f>
        <v>4</v>
      </c>
      <c r="J35">
        <f>SUMPRODUCT(--('Данные 1st'!$S$2:$S$317=$A35),--ISNUMBER('Данные 1st'!$AL$2:$AL$317))</f>
        <v>4</v>
      </c>
      <c r="K35">
        <f>SUMPRODUCT(--('Данные 1st'!$S$2:$S$317=$A35),--ISNUMBER('Данные 1st'!$AR$2:$AR$317))</f>
        <v>4</v>
      </c>
      <c r="L35">
        <f>SUMPRODUCT(--('Данные 1st'!$S$2:$S$317=$A35),--ISNUMBER('Данные 1st'!$AS$2:$AS$317))</f>
        <v>4</v>
      </c>
      <c r="M35">
        <f>SUMPRODUCT(--('Данные 1st'!$S$2:$S$317=$A35),--ISNUMBER('Данные 1st'!$AY$2:$AY$317))</f>
        <v>4</v>
      </c>
      <c r="N35">
        <f>SUMPRODUCT(--('Данные 1st'!$S$2:$S$317=$A35),--ISNUMBER('Данные 1st'!$AZ$2:$AZ$317))</f>
        <v>4</v>
      </c>
      <c r="O35">
        <f>SUMPRODUCT(--('Данные 1st'!$S$2:$S$317=$A35),--ISNUMBER('Данные 1st'!$BF$2:$BF$317))</f>
        <v>1</v>
      </c>
      <c r="P35">
        <f>SUMPRODUCT(--('Данные 1st'!$S$2:$S$317=$A35),--ISNUMBER('Данные 1st'!$BG$2:$BG$317))</f>
        <v>4</v>
      </c>
      <c r="Q35">
        <f>SUMPRODUCT(--('Данные 1st'!$S$2:$S$317=$A35),--ISNUMBER('Данные 1st'!$BM$2:$BM$317))</f>
        <v>0</v>
      </c>
      <c r="R35">
        <f>SUMPRODUCT(--('Данные 1st'!$S$2:$S$317=$A35),--ISNUMBER('Данные 1st'!$BN$2:$BN$317))</f>
        <v>4</v>
      </c>
      <c r="S35">
        <f>SUMPRODUCT(--('Данные 1st'!$S$2:$S$317=$A35),--ISNUMBER('Данные 1st'!$BT$2:$BT$317))</f>
        <v>4</v>
      </c>
      <c r="T35">
        <f>SUMPRODUCT(--('Данные 1st'!$S$2:$S$317=$A35),--ISNUMBER('Данные 1st'!$BU$2:$BU$317))</f>
        <v>4</v>
      </c>
      <c r="U35">
        <f>SUMPRODUCT(--('Данные 1st'!$S$2:$S$317=$A35),--ISNUMBER('Данные 1st'!$BW$2:$BW$317))</f>
        <v>4</v>
      </c>
      <c r="V35">
        <f>SUMPRODUCT(--('Данные 1st'!$S$2:$S$317=$A35),--ISNUMBER('Данные 1st'!$BX$2:$BX$317))</f>
        <v>4</v>
      </c>
      <c r="W35">
        <f>SUMPRODUCT(--('Данные 1st'!$S$2:$S$317=$A35),--ISNUMBER('Данные 1st'!$BZ$2:$BZ$317))</f>
        <v>4</v>
      </c>
      <c r="X35">
        <f>SUMPRODUCT(--('Данные 1st'!$S$2:$S$317=$A35),--ISNUMBER('Данные 1st'!$CA$2:$CA$317))</f>
        <v>4</v>
      </c>
      <c r="Y35">
        <f>SUMPRODUCT(--('Данные 1st'!$S$2:$S$317=$A35),--ISNUMBER('Данные 1st'!$CD$2:$CD$317))</f>
        <v>4</v>
      </c>
      <c r="Z35">
        <f>SUMPRODUCT(--('Данные 1st'!$S$2:$S$317=$A35),--ISNUMBER('Данные 1st'!$CF$2:$CF$317))</f>
        <v>4</v>
      </c>
      <c r="AA35">
        <f>SUMPRODUCT(--('Данные 1st'!$S$2:$S$317=$A35),--ISNUMBER('Данные 1st'!$CI$2:$CI$317))</f>
        <v>4</v>
      </c>
      <c r="AB35">
        <f>SUMPRODUCT(--('Данные 1st'!$S$2:$S$317=$A35),--ISNUMBER('Данные 1st'!$CJ$2:$CJ$317))</f>
        <v>4</v>
      </c>
      <c r="AC35">
        <f>SUMPRODUCT(--('Данные 1st'!$S$2:$S$317=$A35),--ISNUMBER('Данные 1st'!$CK$2:$CK$317))</f>
        <v>4</v>
      </c>
      <c r="AD35">
        <f>SUMPRODUCT(--('Данные 1st'!$S$2:$S$317=$A35),--ISNUMBER('Данные 1st'!$CL$2:$CL$317))</f>
        <v>4</v>
      </c>
      <c r="AE35">
        <f>SUMPRODUCT(--('Данные 1st'!$S$2:$S$317=$A35),--ISNUMBER('Данные 1st'!$CM$2:$CM$317))</f>
        <v>4</v>
      </c>
      <c r="AF35">
        <f>SUMPRODUCT(--('Данные 1st'!$S$2:$S$317=$A35),--ISNUMBER('Данные 1st'!$CT$2:$CT$317))</f>
        <v>4</v>
      </c>
      <c r="AG35">
        <f>SUMPRODUCT(--('Данные 1st'!$S$2:$S$317=$A35),--ISNUMBER('Данные 1st'!$CU$2:$CU$317))</f>
        <v>4</v>
      </c>
      <c r="AH35">
        <f>SUMPRODUCT(--('Данные 1st'!$S$2:$S$317=$A35),--ISNUMBER('Данные 1st'!$CV$2:$CV$317))</f>
        <v>4</v>
      </c>
      <c r="AI35">
        <f>SUMPRODUCT(--('Данные 1st'!$S$2:$S$317=$A35),--ISNUMBER('Данные 1st'!$CW$2:$CW$317))</f>
        <v>4</v>
      </c>
      <c r="AJ35">
        <f>SUMPRODUCT(--('Данные 1st'!$S$2:$S$317=$A35),--ISNUMBER('Данные 1st'!$CX$2:$CX$317))</f>
        <v>4</v>
      </c>
      <c r="AK35">
        <f>SUMPRODUCT(--('Данные 1st'!$S$2:$S$317=$A35),--ISNUMBER('Данные 1st'!$CZ$2:$CZ$317))</f>
        <v>0</v>
      </c>
      <c r="AL35">
        <f>SUMPRODUCT(--('Данные 1st'!$S$2:$S$317=$A35),--ISNUMBER('Данные 1st'!$DA$2:$DA$317))</f>
        <v>0</v>
      </c>
      <c r="AM35">
        <f>SUMPRODUCT(--('Данные 1st'!$S$2:$S$317=$A35),--ISNUMBER('Данные 1st'!$DB$2:$DB$317))</f>
        <v>0</v>
      </c>
      <c r="AN35">
        <f>SUMPRODUCT(--('Данные 1st'!$S$2:$S$317=$A35),--ISNUMBER('Данные 1st'!$DC$2:$DC$317))</f>
        <v>0</v>
      </c>
      <c r="AO35">
        <f>SUMPRODUCT(--('Данные 1st'!$S$2:$S$317=$A35),--ISNUMBER('Данные 1st'!$DD$2:$DD$317))</f>
        <v>4</v>
      </c>
      <c r="AP35">
        <f>SUMPRODUCT(--('Данные 1st'!$S$2:$S$317=$A35),--ISNUMBER('Данные 1st'!$DF$2:$DF$317))</f>
        <v>4</v>
      </c>
      <c r="AQ35">
        <f>SUMPRODUCT(--('Данные 1st'!$S$2:$S$317=$A35),--ISNUMBER('Данные 1st'!$DG$2:$DG$317))</f>
        <v>4</v>
      </c>
      <c r="AR35">
        <f>SUMPRODUCT(--('Данные 1st'!$S$2:$S$317=$A35),--ISNUMBER('Данные 1st'!$DH$2:$DH$317))</f>
        <v>4</v>
      </c>
      <c r="AS35">
        <f>SUMPRODUCT(--('Данные 1st'!$S$2:$S$317=$A35),--ISNUMBER('Данные 1st'!$DI$2:$DI$317))</f>
        <v>4</v>
      </c>
      <c r="AT35">
        <f>SUMPRODUCT(--('Данные 1st'!$S$2:$S$317=$A35),--ISNUMBER('Данные 1st'!$DJ$2:$DJ$317))</f>
        <v>4</v>
      </c>
      <c r="AU35">
        <f>SUMPRODUCT(--('Данные 1st'!$S$2:$S$317=$A35),--ISNUMBER('Данные 1st'!$DL$2:$DL$317))</f>
        <v>1</v>
      </c>
      <c r="AV35">
        <f>SUMPRODUCT(--('Данные 1st'!$S$2:$S$317=$A35),--ISNUMBER('Данные 1st'!$DM$2:$DM$317))</f>
        <v>1</v>
      </c>
      <c r="AW35">
        <f>SUMPRODUCT(--('Данные 1st'!$S$2:$S$317=$A35),--ISNUMBER('Данные 1st'!$DN$2:$DN$317))</f>
        <v>1</v>
      </c>
      <c r="AX35">
        <f>SUMPRODUCT(--('Данные 1st'!$S$2:$S$317=$A35),--ISNUMBER('Данные 1st'!$DO$2:$DO$317))</f>
        <v>1</v>
      </c>
      <c r="AY35">
        <f>SUMPRODUCT(--('Данные 1st'!$S$2:$S$317=$A35),--ISNUMBER('Данные 1st'!$DP$2:$DP$317))</f>
        <v>1</v>
      </c>
      <c r="AZ35">
        <f>SUMPRODUCT(--('Данные 1st'!$S$2:$S$317=$A35),--ISNUMBER('Данные 1st'!$DR$2:$DR$317))</f>
        <v>0</v>
      </c>
      <c r="BA35">
        <f>SUMPRODUCT(--('Данные 1st'!$S$2:$S$317=$A35),--ISNUMBER('Данные 1st'!$DS$2:$DS$317))</f>
        <v>0</v>
      </c>
      <c r="BB35">
        <f>SUMPRODUCT(--('Данные 1st'!$S$2:$S$317=$A35),--ISNUMBER('Данные 1st'!$DT$2:$DT$317))</f>
        <v>0</v>
      </c>
      <c r="BC35">
        <f>SUMPRODUCT(--('Данные 1st'!$S$2:$S$317=$A35),--ISNUMBER('Данные 1st'!$DU$2:$DU$317))</f>
        <v>0</v>
      </c>
      <c r="BD35">
        <f>SUMPRODUCT(--('Данные 1st'!$S$2:$S$317=$A35),--ISNUMBER('Данные 1st'!$DV$2:$DV$317))</f>
        <v>0</v>
      </c>
      <c r="BE35">
        <f>SUMPRODUCT(--('Данные 1st'!$S$2:$S$317=$A35),--ISNUMBER('Данные 1st'!$DX$2:$DX$317))</f>
        <v>4</v>
      </c>
      <c r="BF35">
        <f>SUMPRODUCT(--('Данные 1st'!$S$2:$S$317=$A35),--ISNUMBER('Данные 1st'!$EA$2:$EA$317))</f>
        <v>4</v>
      </c>
      <c r="BG35">
        <f>SUMPRODUCT(--('Данные 1st'!$S$2:$S$317=$A35),--ISNUMBER('Данные 1st'!$EB$2:$EB$317))</f>
        <v>4</v>
      </c>
      <c r="BH35">
        <f>SUMPRODUCT(--('Данные 1st'!$S$2:$S$317=$A35),--ISNUMBER('Данные 1st'!$ED$2:$ED$317))</f>
        <v>4</v>
      </c>
      <c r="BI35">
        <f>SUMPRODUCT(--('Данные 1st'!$S$2:$S$317=$A35),--ISNUMBER('Данные 1st'!$EE$2:$EE$317))</f>
        <v>4</v>
      </c>
      <c r="BJ35">
        <f>SUMPRODUCT(--('Данные 1st'!$S$2:$S$317=$A35),--ISNUMBER('Данные 1st'!$EG$2:$EG$317))</f>
        <v>4</v>
      </c>
      <c r="BK35">
        <f>SUMPRODUCT(--('Данные 1st'!$S$2:$S$317=$A35),--ISNUMBER('Данные 1st'!$EH$2:$EH$317))</f>
        <v>4</v>
      </c>
      <c r="BL35">
        <f>SUMPRODUCT(--('Данные 1st'!$S$2:$S$317=$A35),--ISNUMBER('Данные 1st'!$EJ$2:$EJ$317))</f>
        <v>4</v>
      </c>
      <c r="BM35">
        <f>SUMPRODUCT(--('Данные 1st'!$S$2:$S$317=$A35),--ISNUMBER('Данные 1st'!$EK$2:$EK$317))</f>
        <v>4</v>
      </c>
      <c r="BN35">
        <f>SUMPRODUCT(--('Данные 1st'!$S$2:$S$317=$A35),--ISNUMBER('Данные 1st'!$EN$2:$EN$317))</f>
        <v>4</v>
      </c>
      <c r="BO35">
        <f>SUMPRODUCT(--('Данные 1st'!$S$2:$S$317=$A35),--ISNUMBER('Данные 1st'!$EQ$2:$EQ$317))</f>
        <v>4</v>
      </c>
      <c r="BP35">
        <f>SUMPRODUCT(--('Данные 1st'!$S$2:$S$317=$A35),--ISNUMBER('Данные 1st'!$ER$2:$ER$317))</f>
        <v>4</v>
      </c>
      <c r="BQ35">
        <f>SUMPRODUCT(--('Данные 1st'!$S$2:$S$317=$A35),--ISNUMBER('Данные 1st'!$ES$2:$ES$317))</f>
        <v>4</v>
      </c>
      <c r="BR35">
        <f>SUMPRODUCT(--('Данные 1st'!$S$2:$S$317=$A35),--ISNUMBER('Данные 1st'!$ET$2:$ET$317))</f>
        <v>4</v>
      </c>
      <c r="BS35">
        <f>SUMPRODUCT(--('Данные 1st'!$S$2:$S$317=$A35),--ISNUMBER('Данные 1st'!$EU$2:$EU$317))</f>
        <v>4</v>
      </c>
      <c r="BT35">
        <f>SUMPRODUCT(--('Данные 1st'!$S$2:$S$317=$A35),--ISNUMBER('Данные 1st'!$EV$2:$EV$317))</f>
        <v>4</v>
      </c>
      <c r="BU35">
        <f>SUMPRODUCT(--('Данные 1st'!$S$2:$S$317=$A35),--ISNUMBER('Данные 1st'!$EX$2:$EX$317))</f>
        <v>4</v>
      </c>
      <c r="BV35">
        <f>SUMPRODUCT(--('Данные 1st'!$S$2:$S$317=$A35),--ISNUMBER('Данные 1st'!$EY$2:$EY$317))</f>
        <v>4</v>
      </c>
      <c r="BW35">
        <f>SUMPRODUCT(--('Данные 1st'!$S$2:$S$317=$A35),--ISNUMBER('Данные 1st'!$EZ$2:$EZ$317))</f>
        <v>4</v>
      </c>
      <c r="BX35">
        <f>SUMPRODUCT(--('Данные 1st'!$S$2:$S$317=$A35),--ISNUMBER('Данные 1st'!$FA$2:$FA$317))</f>
        <v>4</v>
      </c>
      <c r="BY35">
        <f>SUMPRODUCT(--('Данные 1st'!$S$2:$S$317=$A35),--ISNUMBER('Данные 1st'!$FB$2:$FB$317))</f>
        <v>4</v>
      </c>
      <c r="BZ35">
        <f>SUMPRODUCT(--('Данные 1st'!$S$2:$S$317=$A35),--ISNUMBER('Данные 1st'!$FC$2:$FC$317))</f>
        <v>4</v>
      </c>
      <c r="CA35">
        <f>SUMPRODUCT(--('Данные 1st'!$S$2:$S$317=$A35),--ISNUMBER('Данные 1st'!$FE$2:$FE$317))</f>
        <v>4</v>
      </c>
      <c r="CB35">
        <f>SUMPRODUCT(--('Данные 1st'!$S$2:$S$317=$A35),--ISNUMBER('Данные 1st'!$FF$2:$FF$317))</f>
        <v>4</v>
      </c>
      <c r="CC35">
        <f>SUMPRODUCT(--('Данные 1st'!$S$2:$S$317=$A35),--ISNUMBER('Данные 1st'!$FI$2:$FI$317))</f>
        <v>4</v>
      </c>
      <c r="CD35">
        <f>SUMPRODUCT(--('Данные 1st'!$S$2:$S$317=$A35),--ISNUMBER('Данные 1st'!$FL$2:$FL$317))</f>
        <v>4</v>
      </c>
      <c r="CE35">
        <f>SUMPRODUCT(--('Данные 1st'!$S$2:$S$317=$A35),--ISNUMBER('Данные 1st'!$FM$2:$FM$317))</f>
        <v>4</v>
      </c>
      <c r="CF35">
        <f>SUMPRODUCT(--('Данные 1st'!$S$2:$S$317=$A35),--ISNUMBER('Данные 1st'!$FN$2:$FN$317))</f>
        <v>4</v>
      </c>
      <c r="CG35">
        <f>SUMPRODUCT(--('Данные 1st'!$S$2:$S$317=$A35),--ISNUMBER('Данные 1st'!$FO$2:$FO$317))</f>
        <v>0</v>
      </c>
      <c r="CH35">
        <f>SUMPRODUCT(--('Данные 1st'!$S$2:$S$317=$A35),--ISNUMBER('Данные 1st'!$FP$2:$FP$317))</f>
        <v>0</v>
      </c>
      <c r="CI35">
        <f>SUMPRODUCT(--('Данные 1st'!$S$2:$S$317=$A35),--ISNUMBER('Данные 1st'!$FS$2:$FS$317))</f>
        <v>3</v>
      </c>
      <c r="CJ35">
        <f>SUMPRODUCT(--('Данные 1st'!$S$2:$S$317=$A35),--ISNUMBER('Данные 1st'!$FT$2:$FT$317))</f>
        <v>3</v>
      </c>
      <c r="CK35">
        <f>SUMPRODUCT(--('Данные 1st'!$S$2:$S$317=$A35),--ISNUMBER('Данные 1st'!$FU$2:$FU$317))</f>
        <v>3</v>
      </c>
      <c r="CL35">
        <f>SUMPRODUCT(--('Данные 1st'!$S$2:$S$317=$A35),--ISNUMBER('Данные 1st'!$FV$2:$FV$317))</f>
        <v>1</v>
      </c>
      <c r="CM35">
        <f>SUMPRODUCT(--('Данные 1st'!$S$2:$S$317=$A35),--ISNUMBER('Данные 1st'!$FW$2:$FW$317))</f>
        <v>1</v>
      </c>
      <c r="CN35">
        <f>SUMPRODUCT(--('Данные 1st'!$S$2:$S$317=$A35),--ISNUMBER('Данные 1st'!$FZ$2:$FZ$317))</f>
        <v>1</v>
      </c>
      <c r="CO35">
        <f>SUMPRODUCT(--('Данные 1st'!$S$2:$S$317=$A35),--ISNUMBER('Данные 1st'!$GA$2:$GA$317))</f>
        <v>1</v>
      </c>
      <c r="CP35">
        <f>SUMPRODUCT(--('Данные 1st'!$S$2:$S$317=$A35),--ISNUMBER('Данные 1st'!$GB$2:$GB$317))</f>
        <v>1</v>
      </c>
      <c r="CQ35">
        <f>SUMPRODUCT(--('Данные 1st'!$S$2:$S$317=$A35),--ISNUMBER('Данные 1st'!$GH$2:$GH$317))</f>
        <v>1</v>
      </c>
      <c r="CR35">
        <f>SUMPRODUCT(--('Данные 1st'!$S$2:$S$317=$A35),--ISNUMBER('Данные 1st'!$GI$2:$GI$317))</f>
        <v>1</v>
      </c>
      <c r="CS35">
        <f>SUMPRODUCT(--('Данные 1st'!$S$2:$S$317=$A35),--ISNUMBER('Данные 1st'!$GJ$2:$GJ$317))</f>
        <v>1</v>
      </c>
      <c r="CT35">
        <f>SUMPRODUCT(--('Данные 1st'!$S$2:$S$317=$A35),--ISNUMBER('Данные 1st'!$GS$2:$GS$317))</f>
        <v>1</v>
      </c>
      <c r="CU35">
        <f>SUMPRODUCT(--('Данные 1st'!$S$2:$S$317=$A35),--ISNUMBER('Данные 1st'!$GT$2:$GT$317))</f>
        <v>1</v>
      </c>
      <c r="CV35">
        <f>SUMPRODUCT(--('Данные 1st'!$S$2:$S$317=$A35),--ISNUMBER('Данные 1st'!$GU$2:$GU$317))</f>
        <v>1</v>
      </c>
      <c r="CW35">
        <f>SUMPRODUCT(--('Данные 1st'!$S$2:$S$317=$A35),--ISNUMBER('Данные 1st'!$GV$2:$GV$317))</f>
        <v>0</v>
      </c>
      <c r="CX35">
        <f>SUMPRODUCT(--('Данные 1st'!$S$2:$S$317=$A35),--ISNUMBER('Данные 1st'!$GW$2:$GW$317))</f>
        <v>0</v>
      </c>
      <c r="CY35">
        <f>SUMPRODUCT(--('Данные 1st'!$S$2:$S$317=$A35),--ISNUMBER('Данные 1st'!$GZ$2:$GZ$317))</f>
        <v>0</v>
      </c>
      <c r="CZ35">
        <f>SUMPRODUCT(--('Данные 1st'!$S$2:$S$317=$A35),--ISNUMBER('Данные 1st'!$HA$2:$HA$317))</f>
        <v>0</v>
      </c>
      <c r="DA35">
        <f>SUMPRODUCT(--('Данные 1st'!$S$2:$S$317=$A35),--ISNUMBER('Данные 1st'!$HB$2:$HB$317))</f>
        <v>0</v>
      </c>
      <c r="DB35">
        <f>SUMPRODUCT(--('Данные 1st'!$S$2:$S$317=$A35),--ISNUMBER('Данные 1st'!$HC$2:$HC$317))</f>
        <v>4</v>
      </c>
      <c r="DC35">
        <f>SUMPRODUCT(--('Данные 1st'!$S$2:$S$317=$A35),--ISNUMBER('Данные 1st'!$HD$2:$HD$317))</f>
        <v>4</v>
      </c>
      <c r="DD35">
        <f>SUMPRODUCT(--('Данные 1st'!$S$2:$S$317=$A35),--ISNUMBER('Данные 1st'!$HE$2:$HE$317))</f>
        <v>4</v>
      </c>
      <c r="DE35">
        <f>SUMPRODUCT(--('Данные 1st'!$S$2:$S$317=$A35),--ISNUMBER('Данные 1st'!$HF$2:$HF$317))</f>
        <v>4</v>
      </c>
      <c r="DF35">
        <f>SUMPRODUCT(--('Данные 1st'!$S$2:$S$317=$A35),--ISNUMBER('Данные 1st'!$HG$2:$HG$317))</f>
        <v>4</v>
      </c>
      <c r="DG35">
        <f>SUMPRODUCT(--('Данные 1st'!$S$2:$S$317=$A35),--ISNUMBER('Данные 1st'!$HH$2:$HH$317))</f>
        <v>4</v>
      </c>
      <c r="DH35">
        <f>SUMPRODUCT(--('Данные 1st'!$S$2:$S$317=$A35),--ISNUMBER('Данные 1st'!$HI$2:$HI$317))</f>
        <v>4</v>
      </c>
      <c r="DI35">
        <f>SUMPRODUCT(--('Данные 1st'!$S$2:$S$317=$A35),--ISNUMBER('Данные 1st'!$HJ$2:$HJ$317))</f>
        <v>4</v>
      </c>
      <c r="DJ35">
        <f>SUMPRODUCT(--('Данные 1st'!$S$2:$S$317=$A35),--ISNUMBER('Данные 1st'!$HK$2:$HK$317))</f>
        <v>4</v>
      </c>
      <c r="DK35">
        <f>SUMPRODUCT(--('Данные 1st'!$S$2:$S$317=$A35),--ISNUMBER('Данные 1st'!$HL$2:$HL$317))</f>
        <v>4</v>
      </c>
      <c r="DL35">
        <f>SUMPRODUCT(--('Данные 1st'!$S$2:$S$317=$A35),--ISNUMBER('Данные 1st'!$HM$2:$HM$317))</f>
        <v>4</v>
      </c>
      <c r="DM35">
        <f>SUMPRODUCT(--('Данные 1st'!$S$2:$S$317=$A35),--ISNUMBER('Данные 1st'!$HN$2:$HN$317))</f>
        <v>4</v>
      </c>
      <c r="DN35">
        <f>SUMPRODUCT(--('Данные 1st'!$S$2:$S$317=$A35),--ISNUMBER('Данные 1st'!$HO$2:$HO$317))</f>
        <v>4</v>
      </c>
      <c r="DO35">
        <f>SUMPRODUCT(--('Данные 1st'!$S$2:$S$317=$A35),--ISNUMBER('Данные 1st'!$HP$2:$HP$317))</f>
        <v>4</v>
      </c>
      <c r="DP35">
        <f>SUMPRODUCT(--('Данные 1st'!$S$2:$S$317=$A35),--ISNUMBER('Данные 1st'!$HQ$2:$HQ$317))</f>
        <v>4</v>
      </c>
      <c r="DQ35">
        <f>SUMPRODUCT(--('Данные 1st'!$S$2:$S$317=$A35),--ISNUMBER('Данные 1st'!$HR$2:$HR$317))</f>
        <v>4</v>
      </c>
      <c r="DR35">
        <f>SUMPRODUCT(--('Данные 1st'!$S$2:$S$317=$A35),--ISNUMBER('Данные 1st'!$HS$2:$HS$317))</f>
        <v>4</v>
      </c>
      <c r="DS35">
        <f>SUMPRODUCT(--('Данные 1st'!$S$2:$S$317=$A35),--ISNUMBER('Данные 1st'!$HT$2:$HT$317))</f>
        <v>4</v>
      </c>
      <c r="DT35">
        <f>SUMPRODUCT(--('Данные 1st'!$S$2:$S$317=$A35),--ISNUMBER('Данные 1st'!$HU$2:$HU$317))</f>
        <v>4</v>
      </c>
      <c r="DU35">
        <f>SUMPRODUCT(--('Данные 1st'!$S$2:$S$317=$A35),--ISNUMBER('Данные 1st'!$HW$2:$HW$317))</f>
        <v>4</v>
      </c>
      <c r="DV35">
        <f>SUMPRODUCT(--('Данные 1st'!$S$2:$S$317=$A35),--ISNUMBER('Данные 1st'!$HX$2:$HX$317))</f>
        <v>4</v>
      </c>
      <c r="DW35">
        <f>SUMPRODUCT(--('Данные 1st'!$S$2:$S$317=$A35),--ISNUMBER('Данные 1st'!$HY$2:$HY$317))</f>
        <v>4</v>
      </c>
      <c r="DX35">
        <f>SUMPRODUCT(--('Данные 1st'!$S$2:$S$317=$A35),--ISNUMBER('Данные 1st'!$IA$2:$IA$317))</f>
        <v>4</v>
      </c>
      <c r="DY35">
        <f>SUMPRODUCT(--('Данные 1st'!$S$2:$S$317=$A35),--ISNUMBER('Данные 1st'!$IB$2:$IB$317))</f>
        <v>4</v>
      </c>
      <c r="DZ35">
        <f>SUMPRODUCT(--('Данные 1st'!$S$2:$S$317=$A35),--ISNUMBER('Данные 1st'!$IC$2:$IC$317))</f>
        <v>4</v>
      </c>
      <c r="EA35">
        <f>SUMPRODUCT(--('Данные 1st'!$S$2:$S$317=$A35),--ISNUMBER('Данные 1st'!$ID$2:$ID$317))</f>
        <v>4</v>
      </c>
      <c r="EB35">
        <f>SUMPRODUCT(--('Данные 1st'!$S$2:$S$317=$A35),--ISNUMBER('Данные 1st'!$IE$2:$IE$317))</f>
        <v>4</v>
      </c>
      <c r="EC35">
        <f>SUMPRODUCT(--('Данные 1st'!$S$2:$S$317=$A35),--ISNUMBER('Данные 1st'!$IF$2:$IF$317))</f>
        <v>4</v>
      </c>
      <c r="ED35">
        <f>SUMPRODUCT(--('Данные 1st'!$S$2:$S$317=$A35),--ISNUMBER('Данные 1st'!$IP$2:$IP$317))</f>
        <v>4</v>
      </c>
      <c r="EE35">
        <f>SUMPRODUCT(--('Данные 1st'!$S$2:$S$317=$A35),--ISNUMBER('Данные 1st'!$IV$2:$IV$317))</f>
        <v>4</v>
      </c>
      <c r="EF35">
        <f>SUMPRODUCT(--('Данные 1st'!$S$2:$S$317=$A35),--ISNUMBER('Данные 1st'!$IW$2:$IW$317))</f>
        <v>4</v>
      </c>
      <c r="EG35">
        <f>SUMPRODUCT(--('Данные 1st'!$S$2:$S$317=$A35),--ISNUMBER('Данные 1st'!$IX$2:$IX$317))</f>
        <v>0</v>
      </c>
      <c r="EH35">
        <f>SUMPRODUCT(--('Данные 1st'!$S$2:$S$317=$A35),--ISNUMBER('Данные 1st'!$IY$2:$IY$317))</f>
        <v>0</v>
      </c>
      <c r="EI35">
        <f>SUMPRODUCT(--('Данные 1st'!$S$2:$S$317=$A35),--ISNUMBER('Данные 1st'!$JD$2:$JD$317))</f>
        <v>4</v>
      </c>
      <c r="EJ35">
        <f>SUMPRODUCT(--('Данные 1st'!$S$2:$S$317=$A35),--ISNUMBER('Данные 1st'!$JE$2:$JE$317))</f>
        <v>4</v>
      </c>
      <c r="EK35">
        <f>SUMPRODUCT(--('Данные 1st'!$S$2:$S$317=$A35),--ISNUMBER('Данные 1st'!$JF$2:$JF$317))</f>
        <v>4</v>
      </c>
      <c r="EL35">
        <f>SUMPRODUCT(--('Данные 1st'!$S$2:$S$317=$A35),--ISNUMBER('Данные 1st'!$JG$2:$JG$317))</f>
        <v>4</v>
      </c>
      <c r="EM35">
        <f>SUMPRODUCT(--('Данные 1st'!$S$2:$S$317=$A35),--ISNUMBER('Данные 1st'!$JH$2:$JH$317))</f>
        <v>4</v>
      </c>
      <c r="EN35">
        <f>SUMPRODUCT(--('Данные 1st'!$S$2:$S$317=$A35),--ISNUMBER('Данные 1st'!$JJ$2:$JJ$317))</f>
        <v>4</v>
      </c>
      <c r="EO35">
        <f>SUMPRODUCT(--('Данные 1st'!$S$2:$S$317=$A35),--ISNUMBER('Данные 1st'!$JK$2:$JK$317))</f>
        <v>4</v>
      </c>
      <c r="EP35">
        <f>SUMPRODUCT(--('Данные 1st'!$S$2:$S$317=$A35),--ISNUMBER('Данные 1st'!$JL$2:$JL$317))</f>
        <v>0</v>
      </c>
      <c r="EQ35">
        <f>SUMPRODUCT(--('Данные 1st'!$S$2:$S$317=$A35),--ISNUMBER('Данные 1st'!$JM$2:$JM$317))</f>
        <v>0</v>
      </c>
      <c r="ER35">
        <f>SUMPRODUCT(--('Данные 1st'!$S$2:$S$317=$A35),--ISNUMBER('Данные 1st'!$JN$2:$JN$317))</f>
        <v>4</v>
      </c>
      <c r="ES35">
        <f>SUMPRODUCT(--('Данные 1st'!$S$2:$S$317=$A35),--ISNUMBER('Данные 1st'!$JO$2:$JO$317))</f>
        <v>4</v>
      </c>
      <c r="ET35">
        <f>SUMPRODUCT(--('Данные 1st'!$S$2:$S$317=$A35),--ISNUMBER('Данные 1st'!$JP$2:$JP$317))</f>
        <v>4</v>
      </c>
      <c r="EU35">
        <f>SUMPRODUCT(--('Данные 1st'!$S$2:$S$317=$A35),--ISNUMBER('Данные 1st'!$JQ$2:$JQ$317))</f>
        <v>4</v>
      </c>
      <c r="EV35">
        <f>SUMPRODUCT(--('Данные 1st'!$S$2:$S$317=$A35),--ISNUMBER('Данные 1st'!$JR$2:$JR$317))</f>
        <v>4</v>
      </c>
      <c r="EW35">
        <f>SUMPRODUCT(--('Данные 1st'!$S$2:$S$317=$A35),--ISNUMBER('Данные 1st'!$JS$2:$JS$317))</f>
        <v>4</v>
      </c>
      <c r="EX35">
        <f>SUMPRODUCT(--('Данные 1st'!$S$2:$S$317=$A35),--ISNUMBER('Данные 1st'!$JT$2:$JT$317))</f>
        <v>0</v>
      </c>
      <c r="EY35">
        <f>SUMPRODUCT(--('Данные 1st'!$S$2:$S$317=$A35),--ISNUMBER('Данные 1st'!$JU$2:$JU$317))</f>
        <v>0</v>
      </c>
      <c r="EZ35">
        <f>SUMPRODUCT(--('Данные 1st'!$S$2:$S$317=$A35),--ISNUMBER('Данные 1st'!$JV$2:$JV$317))</f>
        <v>4</v>
      </c>
      <c r="FA35">
        <f>SUMPRODUCT(--('Данные 1st'!$S$2:$S$317=$A35),--ISNUMBER('Данные 1st'!$JW$2:$JW$317))</f>
        <v>0</v>
      </c>
      <c r="FB35">
        <f>SUMPRODUCT(--('Данные 1st'!$S$2:$S$317=$A35),--ISNUMBER('Данные 1st'!$JX$2:$JX$317))</f>
        <v>4</v>
      </c>
      <c r="FC35">
        <f>SUMPRODUCT(--('Данные 1st'!$S$2:$S$317=$A35),--ISNUMBER('Данные 1st'!$JY$2:$JY$317))</f>
        <v>0</v>
      </c>
      <c r="FD35">
        <f>SUMPRODUCT(--('Данные 1st'!$S$2:$S$317=$A35),--ISNUMBER('Данные 1st'!$JZ$2:$JZ$317))</f>
        <v>0</v>
      </c>
      <c r="FE35">
        <f>SUMPRODUCT(--('Данные 1st'!$S$2:$S$317=$A35),--ISNUMBER('Данные 1st'!$KA$2:$KA$317))</f>
        <v>4</v>
      </c>
      <c r="FF35">
        <f>SUMPRODUCT(--('Данные 1st'!$S$2:$S$317=$A35),--ISNUMBER('Данные 1st'!$KB$2:$KB$317))</f>
        <v>4</v>
      </c>
      <c r="FG35">
        <f>SUMPRODUCT(--('Данные 1st'!$S$2:$S$317=$A35),--ISNUMBER('Данные 1st'!$KC$2:$KC$317))</f>
        <v>4</v>
      </c>
      <c r="FH35">
        <f>SUMPRODUCT(--('Данные 1st'!$S$2:$S$317=$A35),--ISNUMBER('Данные 1st'!$KD$2:$KD$317))</f>
        <v>4</v>
      </c>
      <c r="FI35">
        <f>SUMPRODUCT(--('Данные 1st'!$S$2:$S$317=$A35),--ISNUMBER('Данные 1st'!$KE$2:$KE$317))</f>
        <v>0</v>
      </c>
      <c r="FJ35">
        <f>SUMPRODUCT(--('Данные 1st'!$S$2:$S$317=$A35),--ISNUMBER('Данные 1st'!$KF$2:$KF$317))</f>
        <v>4</v>
      </c>
      <c r="FK35">
        <f>SUMPRODUCT(--('Данные 1st'!$S$2:$S$317=$A35),--ISNUMBER('Данные 1st'!$KG$2:$KG$317))</f>
        <v>4</v>
      </c>
      <c r="FL35">
        <f>SUMPRODUCT(--('Данные 1st'!$S$2:$S$317=$A35),--ISNUMBER('Данные 1st'!$KH$2:$KH$317))</f>
        <v>4</v>
      </c>
      <c r="FM35">
        <f>SUMPRODUCT(--('Данные 1st'!$S$2:$S$317=$A35),--ISNUMBER('Данные 1st'!$KI$2:$KI$317))</f>
        <v>4</v>
      </c>
      <c r="FN35">
        <f>SUMPRODUCT(--('Данные 1st'!$S$2:$S$317=$A35),--ISNUMBER('Данные 1st'!$KJ$2:$KJ$317))</f>
        <v>4</v>
      </c>
      <c r="FO35">
        <f>SUMPRODUCT(--('Данные 1st'!$S$2:$S$317=$A35),--ISNUMBER('Данные 1st'!$KK$2:$KK$317))</f>
        <v>4</v>
      </c>
      <c r="FP35">
        <f>SUMPRODUCT(--('Данные 1st'!$S$2:$S$317=$A35),--ISNUMBER('Данные 1st'!$KL$2:$KL$317))</f>
        <v>4</v>
      </c>
      <c r="FQ35">
        <f>SUMPRODUCT(--('Данные 1st'!$S$2:$S$317=$A35),--ISNUMBER('Данные 1st'!$KM$2:$KM$317))</f>
        <v>4</v>
      </c>
      <c r="FR35">
        <f>SUMPRODUCT(--('Данные 1st'!$S$2:$S$317=$A35),--ISNUMBER('Данные 1st'!$KN$2:$KN$317))</f>
        <v>4</v>
      </c>
      <c r="FS35">
        <f>SUMPRODUCT(--('Данные 1st'!$S$2:$S$317=$A35),--ISNUMBER('Данные 1st'!$KR$2:$KR$317))</f>
        <v>4</v>
      </c>
      <c r="FT35">
        <f>SUMPRODUCT(--('Данные 1st'!$S$2:$S$317=$A35),--ISNUMBER('Данные 1st'!$KS$2:$KS$317))</f>
        <v>4</v>
      </c>
      <c r="FU35">
        <f>SUMPRODUCT(--('Данные 1st'!$S$2:$S$317=$A35),--ISNUMBER('Данные 1st'!$KT$2:$KT$317))</f>
        <v>4</v>
      </c>
      <c r="FV35">
        <f>SUMPRODUCT(--('Данные 1st'!$S$2:$S$317=$A35),--ISNUMBER('Данные 1st'!$KV$2:$KV$317))</f>
        <v>0</v>
      </c>
      <c r="FW35">
        <f>SUMPRODUCT(--('Данные 1st'!$S$2:$S$317=$A35),--ISNUMBER('Данные 1st'!$KW$2:$KW$317))</f>
        <v>0</v>
      </c>
      <c r="FX35">
        <f>SUMPRODUCT(--('Данные 1st'!$S$2:$S$317=$A35),--ISNUMBER('Данные 1st'!$KX$2:$KX$317))</f>
        <v>0</v>
      </c>
      <c r="FY35">
        <f>SUMPRODUCT(--('Данные 1st'!$S$2:$S$317=$A35),--ISNUMBER('Данные 1st'!$KY$2:$KY$317))</f>
        <v>0</v>
      </c>
      <c r="FZ35">
        <f>SUMPRODUCT(--('Данные 1st'!$S$2:$S$317=$A35),--ISNUMBER('Данные 1st'!$KZ$2:$KZ$317))</f>
        <v>0</v>
      </c>
      <c r="GA35">
        <f>SUMPRODUCT(--('Данные 1st'!$S$2:$S$317=$A35),--ISNUMBER('Данные 1st'!$LA$2:$LA$317))</f>
        <v>0</v>
      </c>
      <c r="GB35">
        <f>SUMPRODUCT(--('Данные 1st'!$S$2:$S$317=$A35),--ISNUMBER('Данные 1st'!$LB$2:$LB$317))</f>
        <v>0</v>
      </c>
      <c r="GC35">
        <f>SUMPRODUCT(--('Данные 1st'!$S$2:$S$317=$A35),--ISNUMBER('Данные 1st'!$LC$2:$LC$317))</f>
        <v>0</v>
      </c>
      <c r="GD35">
        <f>SUMPRODUCT(--('Данные 1st'!$S$2:$S$317=$A35),--ISNUMBER('Данные 1st'!$LD$2:$LD$317))</f>
        <v>0</v>
      </c>
      <c r="GE35">
        <f>SUMPRODUCT(--('Данные 1st'!$S$2:$S$317=$A35),--ISNUMBER('Данные 1st'!$LE$2:$LE$317))</f>
        <v>0</v>
      </c>
      <c r="GF35">
        <f>SUMPRODUCT(--('Данные 1st'!$S$2:$S$317=$A35),--ISNUMBER('Данные 1st'!$LF$2:$LF$317))</f>
        <v>0</v>
      </c>
      <c r="GG35">
        <f>SUMPRODUCT(--('Данные 1st'!$S$2:$S$317=$A35),--ISNUMBER('Данные 1st'!$LG$2:$LG$317))</f>
        <v>0</v>
      </c>
      <c r="GH35">
        <f>SUMPRODUCT(--('Данные 1st'!$S$2:$S$317=$A35),--ISNUMBER('Данные 1st'!$LH$2:$LH$317))</f>
        <v>0</v>
      </c>
      <c r="GI35">
        <f>SUMPRODUCT(--('Данные 1st'!$S$2:$S$317=$A35),--ISNUMBER('Данные 1st'!$LI$2:$LI$317))</f>
        <v>0</v>
      </c>
      <c r="GJ35">
        <f>SUMPRODUCT(--('Данные 1st'!$S$2:$S$317=$A35),--ISNUMBER('Данные 1st'!$LJ$2:$LJ$317))</f>
        <v>0</v>
      </c>
      <c r="GK35">
        <f>SUMPRODUCT(--('Данные 1st'!$S$2:$S$317=$A35),--ISNUMBER('Данные 1st'!$LK$2:$LK$317))</f>
        <v>4</v>
      </c>
      <c r="GL35">
        <f>SUMPRODUCT(--('Данные 1st'!$S$2:$S$317=$A35),--ISNUMBER('Данные 1st'!$LV$2:$LV$317))</f>
        <v>0</v>
      </c>
      <c r="GM35">
        <f>SUMPRODUCT(--('Данные 1st'!$S$2:$S$317=$A35),--ISNUMBER('Данные 1st'!$LW$2:$LW$317))</f>
        <v>0</v>
      </c>
      <c r="GN35">
        <f>SUMPRODUCT(--('Данные 1st'!$S$2:$S$317=$A35),--ISNUMBER('Данные 1st'!$LX$2:$LX$317))</f>
        <v>0</v>
      </c>
      <c r="GO35">
        <f>SUMPRODUCT(--('Данные 1st'!$S$2:$S$317=$A35),--ISNUMBER('Данные 1st'!$LY$2:$LY$317))</f>
        <v>0</v>
      </c>
      <c r="GP35">
        <f>SUMPRODUCT(--('Данные 1st'!$S$2:$S$317=$A35),--ISNUMBER('Данные 1st'!$LZ$2:$LZ$317))</f>
        <v>0</v>
      </c>
      <c r="GQ35">
        <f>SUMPRODUCT(--('Данные 1st'!$S$2:$S$317=$A35),--ISNUMBER('Данные 1st'!$PG$2:$PG$317))</f>
        <v>4</v>
      </c>
      <c r="GR35">
        <f>SUMPRODUCT(--('Данные 1st'!$S$2:$S$317=$A35),--ISNUMBER('Данные 1st'!$PX$2:$PX$317))</f>
        <v>4</v>
      </c>
      <c r="GS35">
        <f>SUMPRODUCT(--('Данные 1st'!$S$2:$S$317=$A35),--ISNUMBER('Данные 1st'!$PY$2:$PY$317))</f>
        <v>4</v>
      </c>
      <c r="GT35">
        <f>SUMPRODUCT(--('Данные 1st'!$S$2:$S$317=$A35),--ISNUMBER('Данные 1st'!$QA$2:$QA$317))</f>
        <v>4</v>
      </c>
      <c r="GU35">
        <f>SUMPRODUCT(--('Данные 1st'!$S$2:$S$317=$A35),--ISNUMBER('Данные 1st'!$QB$2:$QB$317))</f>
        <v>4</v>
      </c>
      <c r="GV35">
        <f>SUMPRODUCT(--('Данные 1st'!$S$2:$S$317=$A35),--ISNUMBER('Данные 1st'!$QC$2:$QC$317))</f>
        <v>4</v>
      </c>
      <c r="GW35">
        <f>SUMPRODUCT(--('Данные 1st'!$S$2:$S$317=$A35),--ISNUMBER('Данные 1st'!$QD$2:$QD$317))</f>
        <v>4</v>
      </c>
      <c r="GX35">
        <f>SUMPRODUCT(--('Данные 1st'!$S$2:$S$317=$A35),--ISNUMBER('Данные 1st'!$QF$2:$QF$317))</f>
        <v>4</v>
      </c>
      <c r="GY35">
        <f>SUMPRODUCT(--('Данные 1st'!$S$2:$S$317=$A35),--ISNUMBER('Данные 1st'!$QG$2:$QG$317))</f>
        <v>4</v>
      </c>
      <c r="GZ35">
        <f>SUMPRODUCT(--('Данные 1st'!$S$2:$S$317=$A35),--ISNUMBER('Данные 1st'!$QH$2:$QH$317))</f>
        <v>4</v>
      </c>
      <c r="HA35">
        <f>SUMPRODUCT(--('Данные 1st'!$S$2:$S$317=$A35),--ISNUMBER('Данные 1st'!$QI$2:$QI$317))</f>
        <v>4</v>
      </c>
      <c r="HB35">
        <f>SUMPRODUCT(--('Данные 1st'!$S$2:$S$317=$A35),--ISNUMBER('Данные 1st'!$QK$2:$QK$317))</f>
        <v>0</v>
      </c>
      <c r="HC35">
        <f>SUMPRODUCT(--('Данные 1st'!$S$2:$S$317=$A35),--ISNUMBER('Данные 1st'!$QL$2:$QL$317))</f>
        <v>4</v>
      </c>
      <c r="HD35">
        <f>SUMPRODUCT(--('Данные 1st'!$S$2:$S$317=$A35),--ISNUMBER('Данные 1st'!$QM$2:$QM$317))</f>
        <v>4</v>
      </c>
      <c r="HE35">
        <f>SUMPRODUCT(--('Данные 1st'!$S$2:$S$317=$A35),--ISNUMBER('Данные 1st'!$QN$2:$QN$317))</f>
        <v>4</v>
      </c>
      <c r="HF35">
        <f>SUMPRODUCT(--('Данные 1st'!$S$2:$S$317=$A35),--ISNUMBER('Данные 1st'!$QP$2:$QP$317))</f>
        <v>4</v>
      </c>
      <c r="HG35">
        <f>SUMPRODUCT(--('Данные 1st'!$S$2:$S$317=$A35),--ISNUMBER('Данные 1st'!$QQ$2:$QQ$317))</f>
        <v>4</v>
      </c>
      <c r="HH35">
        <f>SUMPRODUCT(--('Данные 1st'!$S$2:$S$317=$A35),--ISNUMBER('Данные 1st'!$QR$2:$QR$317))</f>
        <v>1</v>
      </c>
      <c r="HI35">
        <f>SUMPRODUCT(--('Данные 1st'!$S$2:$S$317=$A35),--ISNUMBER('Данные 1st'!$QS$2:$QS$317))</f>
        <v>1</v>
      </c>
      <c r="HJ35">
        <f>SUMPRODUCT(--('Данные 1st'!$S$2:$S$317=$A35),--ISNUMBER('Данные 1st'!$QU$2:$QU$317))</f>
        <v>1</v>
      </c>
      <c r="HK35">
        <f>SUMPRODUCT(--('Данные 1st'!$S$2:$S$317=$A35),--ISNUMBER('Данные 1st'!$QV$2:$QV$317))</f>
        <v>1</v>
      </c>
      <c r="HL35">
        <f>SUMPRODUCT(--('Данные 1st'!$S$2:$S$317=$A35),--ISNUMBER('Данные 1st'!$QW$2:$QW$317))</f>
        <v>4</v>
      </c>
      <c r="HM35">
        <f>SUMPRODUCT(--('Данные 1st'!$S$2:$S$317=$A35),--ISNUMBER('Данные 1st'!$QX$2:$QX$317))</f>
        <v>4</v>
      </c>
      <c r="HN35">
        <f>SUMPRODUCT(--('Данные 1st'!$S$2:$S$317=$A35),--ISNUMBER('Данные 1st'!$QZ$2:$QZ$317))</f>
        <v>4</v>
      </c>
      <c r="HO35">
        <f>SUMPRODUCT(--('Данные 1st'!$S$2:$S$317=$A35),--ISNUMBER('Данные 1st'!$RA$2:$RA$317))</f>
        <v>4</v>
      </c>
      <c r="HP35">
        <f>SUMPRODUCT(--('Данные 1st'!$S$2:$S$317=$A35),--ISNUMBER('Данные 1st'!$RB$2:$RB$317))</f>
        <v>4</v>
      </c>
      <c r="HQ35">
        <f>SUMPRODUCT(--('Данные 1st'!$S$2:$S$317=$A35),--ISNUMBER('Данные 1st'!$RD$2:$RD$317))</f>
        <v>0</v>
      </c>
      <c r="HR35">
        <f>SUMPRODUCT(--('Данные 1st'!$S$2:$S$317=$A35),--ISNUMBER('Данные 1st'!$RE$2:$RE$317))</f>
        <v>4</v>
      </c>
      <c r="HS35">
        <f>SUMPRODUCT(--('Данные 1st'!$S$2:$S$317=$A35),--ISNUMBER('Данные 1st'!$RF$2:$RF$317))</f>
        <v>3</v>
      </c>
      <c r="HT35">
        <f>SUMPRODUCT(--('Данные 1st'!$S$2:$S$317=$A35),--ISNUMBER('Данные 1st'!$RG$2:$RG$317))</f>
        <v>1</v>
      </c>
      <c r="HU35">
        <f>SUMPRODUCT(--('Данные 1st'!$S$2:$S$317=$A35),--ISNUMBER('Данные 1st'!$RH$2:$RH$317))</f>
        <v>1</v>
      </c>
      <c r="HV35">
        <f>SUMPRODUCT(--('Данные 1st'!$S$2:$S$317=$A35),--ISNUMBER('Данные 1st'!$RI$2:$RI$317))</f>
        <v>0</v>
      </c>
      <c r="HW35">
        <f>SUMPRODUCT(--('Данные 1st'!$S$2:$S$317=$A35),--ISNUMBER('Данные 1st'!$RJ$2:$RJ$317))</f>
        <v>4</v>
      </c>
      <c r="HX35">
        <f>SUMPRODUCT(--('Данные 1st'!$S$2:$S$317=$A35),--ISNUMBER('Данные 1st'!$RK$2:$RK$317))</f>
        <v>0</v>
      </c>
      <c r="HY35">
        <f>SUMPRODUCT(--('Данные 1st'!$S$2:$S$317=$A35),--ISNUMBER('Данные 1st'!$RL$2:$RL$317))</f>
        <v>4</v>
      </c>
      <c r="HZ35">
        <f>SUMPRODUCT(--('Данные 1st'!$S$2:$S$317=$A35),--ISNUMBER('Данные 1st'!$RM$2:$RM$317))</f>
        <v>1</v>
      </c>
      <c r="IA35">
        <f>SUMPRODUCT(--('Данные 1st'!$S$2:$S$317=$A35),--ISNUMBER('Данные 1st'!$RN$2:$RN$317))</f>
        <v>0</v>
      </c>
      <c r="IB35">
        <f>SUMPRODUCT(--('Данные 1st'!$S$2:$S$317=$A35),--ISNUMBER('Данные 1st'!$RO$2:$RO$317))</f>
        <v>4</v>
      </c>
      <c r="IC35">
        <f>SUMPRODUCT(--('Данные 1st'!$S$2:$S$317=$A35),--ISNUMBER('Данные 1st'!$RP$2:$RP$317))</f>
        <v>0</v>
      </c>
      <c r="ID35">
        <f>SUMPRODUCT(--('Данные 1st'!$S$2:$S$317=$A35),--ISNUMBER('Данные 1st'!$RQ$2:$RQ$317))</f>
        <v>4</v>
      </c>
      <c r="IE35">
        <f>SUMPRODUCT(--('Данные 1st'!$S$2:$S$317=$A35),--ISNUMBER('Данные 1st'!$RR$2:$RR$317))</f>
        <v>1</v>
      </c>
      <c r="IF35">
        <f>SUMPRODUCT(--('Данные 1st'!$S$2:$S$317=$A35),--ISNUMBER('Данные 1st'!$RS$2:$RS$317))</f>
        <v>0</v>
      </c>
      <c r="IG35">
        <f>SUMPRODUCT(--('Данные 1st'!$S$2:$S$317=$A35),--ISNUMBER('Данные 1st'!$RT$2:$RT$317))</f>
        <v>4</v>
      </c>
      <c r="IH35">
        <f>SUMPRODUCT(--('Данные 1st'!$S$2:$S$317=$A35),--ISNUMBER('Данные 1st'!$RU$2:$RU$317))</f>
        <v>4</v>
      </c>
      <c r="II35">
        <f>SUMPRODUCT(--('Данные 1st'!$S$2:$S$317=$A35),--ISNUMBER('Данные 1st'!$RX$2:$RX$317))</f>
        <v>4</v>
      </c>
      <c r="IJ35">
        <f>SUMPRODUCT(--('Данные 1st'!$S$2:$S$317=$A35),--ISNUMBER('Данные 1st'!$RY$2:$RY$317))</f>
        <v>4</v>
      </c>
      <c r="IK35">
        <f>SUMPRODUCT(--('Данные 1st'!$S$2:$S$317=$A35),--ISNUMBER('Данные 1st'!$SA$2:$SA$317))</f>
        <v>4</v>
      </c>
      <c r="IL35">
        <f>SUMPRODUCT(--('Данные 1st'!$S$2:$S$317=$A35),--ISNUMBER('Данные 1st'!$SD$2:$SD$317))</f>
        <v>4</v>
      </c>
      <c r="IM35">
        <f>SUMPRODUCT(--('Данные 1st'!$S$2:$S$317=$A35),--ISNUMBER('Данные 1st'!$SG$2:$SG$317))</f>
        <v>1</v>
      </c>
      <c r="IN35">
        <f>SUMPRODUCT(--('Данные 1st'!$S$2:$S$317=$A35),--ISNUMBER('Данные 1st'!$SH$2:$SH$317))</f>
        <v>4</v>
      </c>
      <c r="IO35">
        <f>SUMPRODUCT(--('Данные 1st'!$S$2:$S$317=$A35),--ISNUMBER('Данные 1st'!$SI$2:$SI$317))</f>
        <v>4</v>
      </c>
      <c r="IP35">
        <f>SUMPRODUCT(--('Данные 1st'!$S$2:$S$317=$A35),--ISNUMBER('Данные 1st'!$SJ$2:$SJ$317))</f>
        <v>4</v>
      </c>
      <c r="IQ35">
        <f>SUMPRODUCT(--('Данные 1st'!$S$2:$S$317=$A35),--ISNUMBER('Данные 1st'!$SK$2:$SK$317))</f>
        <v>4</v>
      </c>
      <c r="IR35">
        <f>SUMPRODUCT(--('Данные 1st'!$S$2:$S$317=$A35),--ISNUMBER('Данные 1st'!$SL$2:$SL$317))</f>
        <v>4</v>
      </c>
      <c r="IS35">
        <f>SUMPRODUCT(--('Данные 1st'!$S$2:$S$317=$A35),--ISNUMBER('Данные 1st'!$SM$2:$SM$317))</f>
        <v>4</v>
      </c>
      <c r="IT35">
        <f>SUMPRODUCT(--('Данные 1st'!$S$2:$S$317=$A35),--ISNUMBER('Данные 1st'!$SN$2:$SN$317))</f>
        <v>4</v>
      </c>
      <c r="IU35">
        <f>SUMPRODUCT(--('Данные 1st'!$S$2:$S$317=$A35),--ISNUMBER('Данные 1st'!$SO$2:$SO$317))</f>
        <v>4</v>
      </c>
      <c r="IV35">
        <f>SUMPRODUCT(--('Данные 1st'!$S$2:$S$317=$A35),--ISNUMBER('Данные 1st'!$SP$2:$SP$317))</f>
        <v>4</v>
      </c>
      <c r="IW35">
        <f>SUMPRODUCT(--('Данные 1st'!$S$2:$S$317=$A35),--ISNUMBER('Данные 1st'!$SQ$2:$SQ$317))</f>
        <v>4</v>
      </c>
      <c r="IX35">
        <f>SUMPRODUCT(--('Данные 1st'!$S$2:$S$317=$A35),--ISNUMBER('Данные 1st'!$SR$2:$SR$317))</f>
        <v>4</v>
      </c>
      <c r="IY35">
        <f>SUMPRODUCT(--('Данные 1st'!$S$2:$S$317=$A35),--ISNUMBER('Данные 1st'!$SS$2:$SS$317))</f>
        <v>4</v>
      </c>
      <c r="IZ35">
        <f>SUMPRODUCT(--('Данные 1st'!$S$2:$S$317=$A35),--ISNUMBER('Данные 1st'!$ST$2:$ST$317))</f>
        <v>4</v>
      </c>
      <c r="JA35">
        <f>SUMPRODUCT(--('Данные 1st'!$S$2:$S$317=$A35),--ISNUMBER('Данные 1st'!$SU$2:$SU$317))</f>
        <v>4</v>
      </c>
      <c r="JB35">
        <f>SUMPRODUCT(--('Данные 1st'!$S$2:$S$317=$A35),--ISNUMBER('Данные 1st'!$SV$2:$SV$317))</f>
        <v>4</v>
      </c>
      <c r="JC35">
        <f>SUMPRODUCT(--('Данные 1st'!$S$2:$S$317=$A35),--ISNUMBER('Данные 1st'!$SW$2:$SW$317))</f>
        <v>4</v>
      </c>
      <c r="JD35">
        <f>SUMPRODUCT(--('Данные 1st'!$S$2:$S$317=$A35),--ISNUMBER('Данные 1st'!$SX$2:$SX$317))</f>
        <v>4</v>
      </c>
      <c r="JE35">
        <f>SUMPRODUCT(--('Данные 1st'!$S$2:$S$317=$A35),--ISNUMBER('Данные 1st'!$SY$2:$SY$317))</f>
        <v>0</v>
      </c>
      <c r="JF35">
        <f>SUMPRODUCT(--('Данные 1st'!$S$2:$S$317=$A35),--ISNUMBER('Данные 1st'!$SZ$2:$SZ$317))</f>
        <v>1</v>
      </c>
      <c r="JG35">
        <f>SUMPRODUCT(--('Данные 1st'!$S$2:$S$317=$A35),--ISNUMBER('Данные 1st'!$TA$2:$TA$317))</f>
        <v>0</v>
      </c>
      <c r="JH35">
        <f>SUMPRODUCT(--('Данные 1st'!$S$2:$S$317=$A35),--ISNUMBER('Данные 1st'!$TB$2:$TB$317))</f>
        <v>4</v>
      </c>
      <c r="JI35">
        <f>SUMPRODUCT(--('Данные 1st'!$S$2:$S$317=$A35),--ISNUMBER('Данные 1st'!$TC$2:$TC$317))</f>
        <v>4</v>
      </c>
      <c r="JJ35">
        <f>SUMPRODUCT(--('Данные 1st'!$S$2:$S$317=$A35),--ISNUMBER('Данные 1st'!$TD$2:$TD$317))</f>
        <v>4</v>
      </c>
      <c r="JK35">
        <f>SUMPRODUCT(--('Данные 1st'!$S$2:$S$317=$A35),--ISNUMBER('Данные 1st'!$TN$2:$TN$317))</f>
        <v>4</v>
      </c>
      <c r="JQ35">
        <f>SUMPRODUCT(--('Данные 2st'!$Q$2:$Q$317=$A35),--ISNUMBER('Данные 2st'!$AC$2:$AC$317))</f>
        <v>4</v>
      </c>
      <c r="JR35">
        <f>SUMPRODUCT(--('Данные 2st'!$Q$2:$Q$317=$A35),--ISNUMBER('Данные 2st'!$AF$2:$AF$317))</f>
        <v>4</v>
      </c>
      <c r="JS35">
        <f>SUMPRODUCT(--('Данные 2st'!$Q$2:$Q$317=$A35),--ISNUMBER('Данные 2st'!$AW$2:$AW$317))</f>
        <v>4</v>
      </c>
      <c r="JT35">
        <f>SUMPRODUCT(--('Данные 2st'!$Q$2:$Q$317=$A35),--ISNUMBER('Данные 2st'!$AX$2:$AX$317))</f>
        <v>4</v>
      </c>
      <c r="JU35">
        <f>SUMPRODUCT(--('Данные 2st'!$Q$2:$Q$317=$A35),--ISNUMBER('Данные 2st'!$AY$2:$AY$317))</f>
        <v>4</v>
      </c>
      <c r="JV35">
        <f>SUMPRODUCT(--('Данные 2st'!$Q$2:$Q$317=$A35),--ISNUMBER('Данные 2st'!$AZ$2:$AZ$317))</f>
        <v>4</v>
      </c>
      <c r="JW35">
        <f>SUMPRODUCT(--('Данные 2st'!$Q$2:$Q$317=$A35),--ISNUMBER('Данные 2st'!$BA$2:$BA$317))</f>
        <v>0</v>
      </c>
      <c r="JX35">
        <f>SUMPRODUCT(--('Данные 2st'!$Q$2:$Q$317=$A35),--ISNUMBER('Данные 2st'!$BB$2:$BB$317))</f>
        <v>0</v>
      </c>
      <c r="JY35">
        <f>SUMPRODUCT(--('Данные 2st'!$Q$2:$Q$317=$A35),--ISNUMBER('Данные 2st'!$BC$2:$BC$317))</f>
        <v>0</v>
      </c>
      <c r="JZ35">
        <f>SUMPRODUCT(--('Данные 2st'!$Q$2:$Q$317=$A35),--ISNUMBER('Данные 2st'!$BH$2:$BH$317))</f>
        <v>4</v>
      </c>
      <c r="KA35">
        <f>SUMPRODUCT(--('Данные 2st'!$Q$2:$Q$317=$A35),--ISNUMBER('Данные 2st'!$BI$2:$BI$317))</f>
        <v>4</v>
      </c>
      <c r="KB35">
        <f>SUMPRODUCT(--('Данные 2st'!$Q$2:$Q$317=$A35),--ISNUMBER('Данные 2st'!$BJ$2:$BJ$317))</f>
        <v>4</v>
      </c>
      <c r="KC35">
        <f>SUMPRODUCT(--('Данные 2st'!$Q$2:$Q$317=$A35),--ISNUMBER('Данные 2st'!$BK$2:$BK$317))</f>
        <v>4</v>
      </c>
      <c r="KD35">
        <f>SUMPRODUCT(--('Данные 2st'!$Q$2:$Q$317=$A35),--ISNUMBER('Данные 2st'!$BL$2:$BL$317))</f>
        <v>4</v>
      </c>
      <c r="KE35">
        <f>SUMPRODUCT(--('Данные 2st'!$Q$2:$Q$317=$A35),--ISNUMBER('Данные 2st'!$BM$2:$BM$317))</f>
        <v>4</v>
      </c>
      <c r="KF35">
        <f>SUMPRODUCT(--('Данные 2st'!$Q$2:$Q$317=$A35),--ISNUMBER('Данные 2st'!$BN$2:$BN$317))</f>
        <v>4</v>
      </c>
      <c r="KG35">
        <f>SUMPRODUCT(--('Данные 2st'!$Q$2:$Q$317=$A35),--ISNUMBER('Данные 2st'!$BO$2:$BO$317))</f>
        <v>2</v>
      </c>
      <c r="KH35">
        <f>SUMPRODUCT(--('Данные 2st'!$Q$2:$Q$317=$A35),--ISNUMBER('Данные 2st'!$BP$2:$BP$317))</f>
        <v>4</v>
      </c>
      <c r="KI35">
        <f>SUMPRODUCT(--('Данные 2st'!$Q$2:$Q$317=$A35),--ISNUMBER('Данные 2st'!$BR$2:$BR$317))</f>
        <v>4</v>
      </c>
      <c r="KJ35">
        <f>SUMPRODUCT(--('Данные 2st'!$Q$2:$Q$317=$A35),--ISNUMBER('Данные 2st'!$BS$2:$BS$317))</f>
        <v>4</v>
      </c>
      <c r="KK35">
        <f>SUMPRODUCT(--('Данные 2st'!$Q$2:$Q$317=$A35),--ISNUMBER('Данные 2st'!$BT$2:$BT$317))</f>
        <v>4</v>
      </c>
      <c r="KL35">
        <f>SUMPRODUCT(--('Данные 2st'!$Q$2:$Q$317=$A35),--ISNUMBER('Данные 2st'!$CV$2:$CV$317))</f>
        <v>4</v>
      </c>
      <c r="KM35">
        <f>SUMPRODUCT(--('Данные 2st'!$Q$2:$Q$317=$A35),--ISNUMBER('Данные 2st'!$CW$2:$CW$317))</f>
        <v>4</v>
      </c>
      <c r="KN35">
        <f>SUMPRODUCT(--('Данные 2st'!$Q$2:$Q$317=$A35),--ISNUMBER('Данные 2st'!$CX$2:$CX$317))</f>
        <v>4</v>
      </c>
      <c r="KO35">
        <f>SUMPRODUCT(--('Данные 2st'!$Q$2:$Q$317=$A35),--ISNUMBER('Данные 2st'!$CY$2:$CY$317))</f>
        <v>4</v>
      </c>
      <c r="KP35">
        <f>SUMPRODUCT(--('Данные 2st'!$Q$2:$Q$317=$A35),--ISNUMBER('Данные 2st'!$CZ$2:$CZ$317))</f>
        <v>4</v>
      </c>
      <c r="KQ35">
        <f>SUMPRODUCT(--('Данные 2st'!$Q$2:$Q$317=$A35),--ISNUMBER('Данные 2st'!$DA$2:$DA$317))</f>
        <v>4</v>
      </c>
      <c r="KR35">
        <f>SUMPRODUCT(--('Данные 2st'!$Q$2:$Q$317=$A35),--ISNUMBER('Данные 2st'!$DB$2:$DB$317))</f>
        <v>4</v>
      </c>
      <c r="KS35">
        <f>SUMPRODUCT(--('Данные 2st'!$Q$2:$Q$317=$A35),--ISNUMBER('Данные 2st'!$DC$2:$DC$317))</f>
        <v>4</v>
      </c>
      <c r="KT35">
        <f>SUMPRODUCT(--('Данные 2st'!$Q$2:$Q$317=$A35),--ISNUMBER('Данные 2st'!$DD$2:$DD$317))</f>
        <v>4</v>
      </c>
      <c r="KU35">
        <f>SUMPRODUCT(--('Данные 2st'!$Q$2:$Q$317=$A35),--ISNUMBER('Данные 2st'!$DE$2:$DE$317))</f>
        <v>4</v>
      </c>
      <c r="KV35">
        <f>SUMPRODUCT(--('Данные 2st'!$Q$2:$Q$317=$A35),--ISNUMBER('Данные 2st'!$DF$2:$DF$317))</f>
        <v>4</v>
      </c>
      <c r="KW35">
        <f>SUMPRODUCT(--('Данные 2st'!$Q$2:$Q$317=$A35),--ISNUMBER('Данные 2st'!$DG$2:$DG$317))</f>
        <v>4</v>
      </c>
      <c r="KX35">
        <f>SUMPRODUCT(--('Данные 2st'!$Q$2:$Q$317=$A35),--ISNUMBER('Данные 2st'!$DH$2:$DH$317))</f>
        <v>0</v>
      </c>
      <c r="KY35">
        <f>SUMPRODUCT(--('Данные 2st'!$Q$2:$Q$317=$A35),--ISNUMBER('Данные 2st'!$DI$2:$DI$317))</f>
        <v>0</v>
      </c>
      <c r="KZ35">
        <f>SUMPRODUCT(--('Данные 2st'!$Q$2:$Q$317=$A35),--ISNUMBER('Данные 2st'!$DK$2:$DK$317))</f>
        <v>4</v>
      </c>
      <c r="LA35">
        <f>SUMPRODUCT(--('Данные 2st'!$Q$2:$Q$317=$A35),--ISNUMBER('Данные 2st'!$DM$2:$DM$317))</f>
        <v>4</v>
      </c>
      <c r="LB35">
        <f>SUMPRODUCT(--('Данные 2st'!$Q$2:$Q$317=$A35),--ISNUMBER('Данные 2st'!$DN$2:$DN$317))</f>
        <v>4</v>
      </c>
      <c r="LC35">
        <f>SUMPRODUCT(--('Данные 2st'!$Q$2:$Q$317=$A35),--ISNUMBER('Данные 2st'!$DO$2:$DO$317))</f>
        <v>4</v>
      </c>
      <c r="LD35">
        <f>SUMPRODUCT(--('Данные 2st'!$Q$2:$Q$317=$A35),--ISNUMBER('Данные 2st'!$DP$2:$DP$317))</f>
        <v>4</v>
      </c>
      <c r="LE35">
        <f>SUMPRODUCT(--('Данные 2st'!$Q$2:$Q$317=$A35),--ISNUMBER('Данные 2st'!$DQ$2:$DQ$317))</f>
        <v>4</v>
      </c>
      <c r="LF35">
        <f>SUMPRODUCT(--('Данные 2st'!$Q$2:$Q$317=$A35),--ISNUMBER('Данные 2st'!$DS$2:$DS$317))</f>
        <v>4</v>
      </c>
      <c r="LG35">
        <f>SUMPRODUCT(--('Данные 2st'!$Q$2:$Q$317=$A35),--ISNUMBER('Данные 2st'!$DU$2:$DU$317))</f>
        <v>4</v>
      </c>
      <c r="LH35">
        <f>SUMPRODUCT(--('Данные 2st'!$Q$2:$Q$317=$A35),--ISNUMBER('Данные 2st'!$DV$2:$DV$317))</f>
        <v>4</v>
      </c>
      <c r="LI35">
        <f>SUMPRODUCT(--('Данные 2st'!$Q$2:$Q$317=$A35),--ISNUMBER('Данные 2st'!$DW$2:$DW$317))</f>
        <v>4</v>
      </c>
      <c r="LJ35">
        <f>SUMPRODUCT(--('Данные 2st'!$Q$2:$Q$317=$A35),--ISNUMBER('Данные 2st'!$DX$2:$DX$317))</f>
        <v>4</v>
      </c>
      <c r="LK35">
        <f>SUMPRODUCT(--('Данные 2st'!$Q$2:$Q$317=$A35),--ISNUMBER('Данные 2st'!$DY$2:$DY$317))</f>
        <v>4</v>
      </c>
      <c r="LL35">
        <f>SUMPRODUCT(--('Данные 2st'!$Q$2:$Q$317=$A35),--ISNUMBER('Данные 2st'!$EA$2:$EA$317))</f>
        <v>4</v>
      </c>
      <c r="LM35">
        <f>SUMPRODUCT(--('Данные 2st'!$Q$2:$Q$317=$A35),--ISNUMBER('Данные 2st'!$EC$2:$EC$317))</f>
        <v>4</v>
      </c>
      <c r="LN35">
        <f>SUMPRODUCT(--('Данные 2st'!$Q$2:$Q$317=$A35),--ISNUMBER('Данные 2st'!$ED$2:$ED$317))</f>
        <v>4</v>
      </c>
      <c r="LO35">
        <f>SUMPRODUCT(--('Данные 2st'!$Q$2:$Q$317=$A35),--ISNUMBER('Данные 2st'!$EE$2:$EE$317))</f>
        <v>4</v>
      </c>
      <c r="LP35">
        <f>SUMPRODUCT(--('Данные 2st'!$Q$2:$Q$317=$A35),--ISNUMBER('Данные 2st'!$EG$2:$EG$317))</f>
        <v>4</v>
      </c>
      <c r="LQ35">
        <f>SUMPRODUCT(--('Данные 2st'!$Q$2:$Q$317=$A35),--ISNUMBER('Данные 2st'!$EI$2:$EI$317))</f>
        <v>4</v>
      </c>
      <c r="LR35">
        <f>SUMPRODUCT(--('Данные 2st'!$Q$2:$Q$317=$A35),--ISNUMBER('Данные 2st'!$EJ$2:$EJ$317))</f>
        <v>0</v>
      </c>
      <c r="LS35">
        <f>SUMPRODUCT(--('Данные 2st'!$Q$2:$Q$317=$A35),--ISNUMBER('Данные 2st'!$EK$2:$EK$317))</f>
        <v>0</v>
      </c>
      <c r="LT35">
        <f>SUMPRODUCT(--('Данные 2st'!$Q$2:$Q$317=$A35),--ISNUMBER('Данные 2st'!$EM$2:$EM$317))</f>
        <v>4</v>
      </c>
      <c r="LU35">
        <f>SUMPRODUCT(--('Данные 2st'!$Q$2:$Q$317=$A35),--ISNUMBER('Данные 2st'!$EN$2:$EN$317))</f>
        <v>4</v>
      </c>
      <c r="LV35">
        <f>SUMPRODUCT(--('Данные 2st'!$Q$2:$Q$317=$A35),--ISNUMBER('Данные 2st'!$EO$2:$EO$317))</f>
        <v>4</v>
      </c>
      <c r="LW35">
        <f>SUMPRODUCT(--('Данные 2st'!$Q$2:$Q$317=$A35),--ISNUMBER('Данные 2st'!$EP$2:$EP$317))</f>
        <v>4</v>
      </c>
      <c r="LX35">
        <f>SUMPRODUCT(--('Данные 2st'!$Q$2:$Q$317=$A35),--ISNUMBER('Данные 2st'!$EQ$2:$EQ$317))</f>
        <v>4</v>
      </c>
      <c r="LY35">
        <f>SUMPRODUCT(--('Данные 2st'!$Q$2:$Q$317=$A35),--ISNUMBER('Данные 2st'!$ER$2:$ER$317))</f>
        <v>4</v>
      </c>
      <c r="LZ35">
        <f>SUMPRODUCT(--('Данные 2st'!$Q$2:$Q$317=$A35),--ISNUMBER('Данные 2st'!$ES$2:$ES$317))</f>
        <v>4</v>
      </c>
      <c r="MA35">
        <f>SUMPRODUCT(--('Данные 2st'!$Q$2:$Q$317=$A35),--ISNUMBER('Данные 2st'!$ET$2:$ET$317))</f>
        <v>4</v>
      </c>
      <c r="MB35">
        <f>SUMPRODUCT(--('Данные 2st'!$Q$2:$Q$317=$A35),--ISNUMBER('Данные 2st'!$EU$2:$EU$317))</f>
        <v>4</v>
      </c>
      <c r="MC35">
        <f>SUMPRODUCT(--('Данные 2st'!$Q$2:$Q$317=$A35),--ISNUMBER('Данные 2st'!$EV$2:$EV$317))</f>
        <v>4</v>
      </c>
      <c r="MD35">
        <f>SUMPRODUCT(--('Данные 2st'!$Q$2:$Q$317=$A35),--ISNUMBER('Данные 2st'!$EW$2:$EW$317))</f>
        <v>4</v>
      </c>
      <c r="ME35">
        <f>SUMPRODUCT(--('Данные 2st'!$Q$2:$Q$317=$A35),--ISNUMBER('Данные 2st'!$EY$2:$EY$317))</f>
        <v>4</v>
      </c>
      <c r="MF35">
        <f>SUMPRODUCT(--('Данные 2st'!$Q$2:$Q$317=$A35),--ISNUMBER('Данные 2st'!$FA$2:$FA$317))</f>
        <v>4</v>
      </c>
      <c r="MG35">
        <f>SUMPRODUCT(--('Данные 2st'!$Q$2:$Q$317=$A35),--ISNUMBER('Данные 2st'!$FB$2:$FB$317))</f>
        <v>4</v>
      </c>
      <c r="MH35">
        <f>SUMPRODUCT(--('Данные 2st'!$Q$2:$Q$317=$A35),--ISNUMBER('Данные 2st'!$FC$2:$FC$317))</f>
        <v>4</v>
      </c>
      <c r="MI35">
        <f>SUMPRODUCT(--('Данные 2st'!$Q$2:$Q$317=$A35),--ISNUMBER('Данные 2st'!$FD$2:$FD$317))</f>
        <v>4</v>
      </c>
      <c r="MJ35">
        <f>SUMPRODUCT(--('Данные 2st'!$Q$2:$Q$317=$A35),--ISNUMBER('Данные 2st'!$FE$2:$FE$317))</f>
        <v>4</v>
      </c>
      <c r="MK35">
        <f>SUMPRODUCT(--('Данные 2st'!$Q$2:$Q$317=$A35),--ISNUMBER('Данные 2st'!$FG$2:$FG$317))</f>
        <v>4</v>
      </c>
      <c r="ML35">
        <f>SUMPRODUCT(--('Данные 2st'!$Q$2:$Q$317=$A35),--ISNUMBER('Данные 2st'!$FI$2:$FI$317))</f>
        <v>4</v>
      </c>
      <c r="MM35">
        <f>SUMPRODUCT(--('Данные 2st'!$Q$2:$Q$317=$A35),--ISNUMBER('Данные 2st'!$FJ$2:$FJ$317))</f>
        <v>4</v>
      </c>
      <c r="MN35">
        <f>SUMPRODUCT(--('Данные 2st'!$Q$2:$Q$317=$A35),--ISNUMBER('Данные 2st'!$FK$2:$FK$317))</f>
        <v>4</v>
      </c>
      <c r="MO35">
        <f>SUMPRODUCT(--('Данные 2st'!$Q$2:$Q$317=$A35),--ISNUMBER('Данные 2st'!$FP$2:$FP$317))</f>
        <v>4</v>
      </c>
      <c r="MP35">
        <f>SUMPRODUCT(--('Данные 2st'!$Q$2:$Q$317=$A35),--ISNUMBER('Данные 2st'!$FQ$2:$FQ$317))</f>
        <v>4</v>
      </c>
      <c r="MQ35">
        <f>SUMPRODUCT(--('Данные 2st'!$Q$2:$Q$317=$A35),--ISNUMBER('Данные 2st'!$FS$2:$FS$317))</f>
        <v>4</v>
      </c>
      <c r="MR35">
        <f>SUMPRODUCT(--('Данные 2st'!$Q$2:$Q$317=$A35),--ISNUMBER('Данные 2st'!$FU$2:$FU$317))</f>
        <v>4</v>
      </c>
      <c r="MS35">
        <f>SUMPRODUCT(--('Данные 2st'!$Q$2:$Q$317=$A35),--ISNUMBER('Данные 2st'!$FV$2:$FV$317))</f>
        <v>4</v>
      </c>
      <c r="MT35">
        <f>SUMPRODUCT(--('Данные 2st'!$Q$2:$Q$317=$A35),--ISNUMBER('Данные 2st'!$FW$2:$FW$317))</f>
        <v>4</v>
      </c>
      <c r="MU35">
        <f>SUMPRODUCT(--('Данные 2st'!$Q$2:$Q$317=$A35),--ISNUMBER('Данные 2st'!$FY$2:$FY$317))</f>
        <v>4</v>
      </c>
      <c r="MV35">
        <f>SUMPRODUCT(--('Данные 2st'!$Q$2:$Q$317=$A35),--ISNUMBER('Данные 2st'!$GB$2:$GB$317))</f>
        <v>4</v>
      </c>
      <c r="MW35">
        <f>SUMPRODUCT(--('Данные 2st'!$Q$2:$Q$317=$A35),--ISNUMBER('Данные 2st'!$GC$2:$GC$317))</f>
        <v>4</v>
      </c>
      <c r="MX35">
        <f>SUMPRODUCT(--('Данные 2st'!$Q$2:$Q$317=$A35),--ISNUMBER('Данные 2st'!$GD$2:$GD$317))</f>
        <v>4</v>
      </c>
      <c r="MY35">
        <f>SUMPRODUCT(--('Данные 2st'!$Q$2:$Q$317=$A35),--ISNUMBER('Данные 2st'!$GN$2:$GN$317))</f>
        <v>0</v>
      </c>
      <c r="MZ35">
        <f>SUMPRODUCT(--('Данные 2st'!$Q$2:$Q$317=$A35),--ISNUMBER('Данные 2st'!$GQ$2:$GQ$317))</f>
        <v>4</v>
      </c>
      <c r="NA35">
        <f>SUMPRODUCT(--('Данные 2st'!$Q$2:$Q$317=$A35),--ISNUMBER('Данные 2st'!$GV$2:$GV$317))</f>
        <v>4</v>
      </c>
      <c r="NB35">
        <f>SUMPRODUCT(--('Данные 2st'!$Q$2:$Q$317=$A35),--ISNUMBER('Данные 2st'!$GW$2:$GW$317))</f>
        <v>4</v>
      </c>
      <c r="NC35">
        <f>SUMPRODUCT(--('Данные 2st'!$Q$2:$Q$317=$A35),--ISNUMBER('Данные 2st'!$GX$2:$GX$317))</f>
        <v>4</v>
      </c>
      <c r="ND35">
        <f>SUMPRODUCT(--('Данные 2st'!$Q$2:$Q$317=$A35),--ISNUMBER('Данные 2st'!$GY$2:$GY$317))</f>
        <v>4</v>
      </c>
      <c r="NE35">
        <f>SUMPRODUCT(--('Данные 2st'!$Q$2:$Q$317=$A35),--ISNUMBER('Данные 2st'!$GZ$2:$GZ$317))</f>
        <v>4</v>
      </c>
      <c r="NF35">
        <f>SUMPRODUCT(--('Данные 2st'!$Q$2:$Q$317=$A35),--ISNUMBER('Данные 2st'!$HA$2:$HA$317))</f>
        <v>4</v>
      </c>
      <c r="NG35">
        <f>SUMPRODUCT(--('Данные 2st'!$Q$2:$Q$317=$A35),--ISNUMBER('Данные 2st'!$HB$2:$HB$317))</f>
        <v>4</v>
      </c>
      <c r="NH35">
        <f>SUMPRODUCT(--('Данные 2st'!$Q$2:$Q$317=$A35),--ISNUMBER('Данные 2st'!$HC$2:$HC$317))</f>
        <v>4</v>
      </c>
      <c r="NI35">
        <f>SUMPRODUCT(--('Данные 2st'!$Q$2:$Q$317=$A35),--ISNUMBER('Данные 2st'!$HD$2:$HD$317))</f>
        <v>4</v>
      </c>
      <c r="NJ35">
        <f>SUMPRODUCT(--('Данные 2st'!$Q$2:$Q$317=$A35),--ISNUMBER('Данные 2st'!$HM$2:$HM$317))</f>
        <v>4</v>
      </c>
      <c r="NK35">
        <f>SUMPRODUCT(--('Данные 2st'!$Q$2:$Q$317=$A35),--ISNUMBER('Данные 2st'!$HR$2:$HR$317))</f>
        <v>4</v>
      </c>
      <c r="NL35">
        <f>SUMPRODUCT(--('Данные 2st'!$Q$2:$Q$317=$A35),--ISNUMBER('Данные 2st'!$HS$2:$HS$317))</f>
        <v>4</v>
      </c>
      <c r="NM35">
        <f>SUMPRODUCT(--('Данные 2st'!$Q$2:$Q$317=$A35),--ISNUMBER('Данные 2st'!$HT$2:$HT$317))</f>
        <v>4</v>
      </c>
      <c r="NN35">
        <f>SUMPRODUCT(--('Данные 2st'!$Q$2:$Q$317=$A35),--ISNUMBER('Данные 2st'!$HY$2:$HY$317))</f>
        <v>4</v>
      </c>
      <c r="NO35">
        <f>SUMPRODUCT(--('Данные 2st'!$Q$2:$Q$317=$A35),--ISNUMBER('Данные 2st'!$HZ$2:$HZ$317))</f>
        <v>4</v>
      </c>
      <c r="NP35">
        <f>SUMPRODUCT(--('Данные 2st'!$Q$2:$Q$317=$A35),--ISNUMBER('Данные 2st'!$IA$2:$IA$317))</f>
        <v>4</v>
      </c>
      <c r="NQ35">
        <f>SUMPRODUCT(--('Данные 2st'!$Q$2:$Q$317=$A35),--ISNUMBER('Данные 2st'!$IB$2:$IB$317))</f>
        <v>4</v>
      </c>
      <c r="NR35">
        <f>SUMPRODUCT(--('Данные 2st'!$Q$2:$Q$317=$A35),--ISNUMBER('Данные 2st'!$IC$2:$IC$317))</f>
        <v>0</v>
      </c>
      <c r="NS35">
        <f>SUMPRODUCT(--('Данные 2st'!$Q$2:$Q$317=$A35),--ISNUMBER('Данные 2st'!$ID$2:$ID$317))</f>
        <v>4</v>
      </c>
      <c r="NT35">
        <f>SUMPRODUCT(--('Данные 2st'!$Q$2:$Q$317=$A35),--ISNUMBER('Данные 2st'!$IE$2:$IE$317))</f>
        <v>4</v>
      </c>
      <c r="NU35">
        <f>SUMPRODUCT(--('Данные 2st'!$Q$2:$Q$317=$A35),--ISNUMBER('Данные 2st'!$IF$2:$IF$317))</f>
        <v>4</v>
      </c>
      <c r="NV35">
        <f>SUMPRODUCT(--('Данные 2st'!$Q$2:$Q$317=$A35),--ISNUMBER('Данные 2st'!$IG$2:$IG$317))</f>
        <v>4</v>
      </c>
      <c r="NW35">
        <f>SUMPRODUCT(--('Данные 2st'!$Q$2:$Q$317=$A35),--ISNUMBER('Данные 2st'!$IH$2:$IH$317))</f>
        <v>4</v>
      </c>
      <c r="NX35">
        <f>SUMPRODUCT(--('Данные 2st'!$Q$2:$Q$317=$A35),--ISNUMBER('Данные 2st'!$IJ$2:$IJ$317))</f>
        <v>4</v>
      </c>
      <c r="NY35">
        <f>SUMPRODUCT(--('Данные 2st'!$Q$2:$Q$317=$A35),--ISNUMBER('Данные 2st'!$IM$2:$IM$317))</f>
        <v>4</v>
      </c>
      <c r="NZ35">
        <f>SUMPRODUCT(--('Данные 2st'!$Q$2:$Q$317=$A35),--ISNUMBER('Данные 2st'!$IN$2:$IN$317))</f>
        <v>4</v>
      </c>
      <c r="OA35">
        <f>SUMPRODUCT(--('Данные 2st'!$Q$2:$Q$317=$A35),--ISNUMBER('Данные 2st'!$IO$2:$IO$317))</f>
        <v>4</v>
      </c>
      <c r="OB35">
        <f>SUMPRODUCT(--('Данные 2st'!$Q$2:$Q$317=$A35),--ISNUMBER('Данные 2st'!$IP$2:$IP$317))</f>
        <v>4</v>
      </c>
      <c r="OC35">
        <f>SUMPRODUCT(--('Данные 2st'!$Q$2:$Q$317=$A35),--ISNUMBER('Данные 2st'!$IQ$2:$IQ$317))</f>
        <v>4</v>
      </c>
      <c r="OD35">
        <f>SUMPRODUCT(--('Данные 2st'!$Q$2:$Q$317=$A35),--ISNUMBER('Данные 2st'!$IR$2:$IR$317))</f>
        <v>4</v>
      </c>
      <c r="OE35">
        <f>SUMPRODUCT(--('Данные 2st'!$Q$2:$Q$317=$A35),--ISNUMBER('Данные 2st'!$IT$2:$IT$317))</f>
        <v>4</v>
      </c>
      <c r="OF35">
        <f>SUMPRODUCT(--('Данные 2st'!$Q$2:$Q$317=$A35),--ISNUMBER('Данные 2st'!$IU$2:$IU$317))</f>
        <v>4</v>
      </c>
      <c r="OG35">
        <f>SUMPRODUCT(--('Данные 2st'!$Q$2:$Q$317=$A35),--ISNUMBER('Данные 2st'!$IV$2:$IV$317))</f>
        <v>4</v>
      </c>
      <c r="OH35">
        <f>SUMPRODUCT(--('Данные 2st'!$Q$2:$Q$317=$A35),--ISNUMBER('Данные 2st'!$IW$2:$IW$317))</f>
        <v>4</v>
      </c>
      <c r="OI35">
        <f>SUMPRODUCT(--('Данные 2st'!$Q$2:$Q$317=$A35),--ISNUMBER('Данные 2st'!$IX$2:$IX$317))</f>
        <v>4</v>
      </c>
      <c r="OJ35">
        <f>SUMPRODUCT(--('Данные 2st'!$Q$2:$Q$317=$A35),--ISNUMBER('Данные 2st'!$IY$2:$IY$317))</f>
        <v>4</v>
      </c>
      <c r="OK35">
        <f>SUMPRODUCT(--('Данные 2st'!$Q$2:$Q$317=$A35),--ISNUMBER('Данные 2st'!$IZ$2:$IZ$317))</f>
        <v>4</v>
      </c>
      <c r="OL35">
        <f>SUMPRODUCT(--('Данные 2st'!$Q$2:$Q$317=$A35),--ISNUMBER('Данные 2st'!$JA$2:$JA$317))</f>
        <v>4</v>
      </c>
      <c r="OM35">
        <f>SUMPRODUCT(--('Данные 2st'!$Q$2:$Q$317=$A35),--ISNUMBER('Данные 2st'!$JB$2:$JB$317))</f>
        <v>4</v>
      </c>
      <c r="ON35">
        <f>SUMPRODUCT(--('Данные 2st'!$Q$2:$Q$317=$A35),--ISNUMBER('Данные 2st'!$JC$2:$JC$317))</f>
        <v>4</v>
      </c>
      <c r="OO35">
        <f>SUMPRODUCT(--('Данные 2st'!$Q$2:$Q$317=$A35),--ISNUMBER('Данные 2st'!$JD$2:$JD$317))</f>
        <v>4</v>
      </c>
      <c r="OP35">
        <f>SUMPRODUCT(--('Данные 2st'!$Q$2:$Q$317=$A35),--ISNUMBER('Данные 2st'!$JE$2:$JE$317))</f>
        <v>4</v>
      </c>
      <c r="OQ35">
        <f>SUMPRODUCT(--('Данные 2st'!$Q$2:$Q$317=$A35),--ISNUMBER('Данные 2st'!$JF$2:$JF$317))</f>
        <v>4</v>
      </c>
      <c r="OR35">
        <f>SUMPRODUCT(--('Данные 2st'!$Q$2:$Q$317=$A35),--ISNUMBER('Данные 2st'!$JG$2:$JG$317))</f>
        <v>4</v>
      </c>
      <c r="OS35">
        <f>SUMPRODUCT(--('Данные 2st'!$Q$2:$Q$317=$A35),--ISNUMBER('Данные 2st'!$JH$2:$JH$317))</f>
        <v>4</v>
      </c>
      <c r="OT35">
        <f>SUMPRODUCT(--('Данные 2st'!$Q$2:$Q$317=$A35),--ISNUMBER('Данные 2st'!$JI$2:$JI$317))</f>
        <v>4</v>
      </c>
      <c r="OU35">
        <f>SUMPRODUCT(--('Данные 2st'!$Q$2:$Q$317=$A35),--ISNUMBER('Данные 2st'!$JJ$2:$JJ$317))</f>
        <v>4</v>
      </c>
      <c r="OV35">
        <f>SUMPRODUCT(--('Данные 2st'!$Q$2:$Q$317=$A35),--ISNUMBER('Данные 2st'!$JK$2:$JK$317))</f>
        <v>4</v>
      </c>
      <c r="OW35">
        <f>SUMPRODUCT(--('Данные 2st'!$Q$2:$Q$317=$A35),--ISNUMBER('Данные 2st'!$JL$2:$JL$317))</f>
        <v>4</v>
      </c>
      <c r="OX35">
        <f>SUMPRODUCT(--('Данные 2st'!$Q$2:$Q$317=$A35),--ISNUMBER('Данные 2st'!$JM$2:$JM$317))</f>
        <v>4</v>
      </c>
      <c r="OY35">
        <f>SUMPRODUCT(--('Данные 2st'!$Q$2:$Q$317=$A35),--ISNUMBER('Данные 2st'!$JP$2:$JP$317))</f>
        <v>4</v>
      </c>
      <c r="OZ35">
        <f>SUMPRODUCT(--('Данные 2st'!$Q$2:$Q$317=$A35),--ISNUMBER('Данные 2st'!$JQ$2:$JQ$317))</f>
        <v>4</v>
      </c>
      <c r="PA35">
        <f>SUMPRODUCT(--('Данные 2st'!$Q$2:$Q$317=$A35),--ISNUMBER('Данные 2st'!$JR$2:$JR$317))</f>
        <v>4</v>
      </c>
      <c r="PB35">
        <f>SUMPRODUCT(--('Данные 2st'!$Q$2:$Q$317=$A35),--ISNUMBER('Данные 2st'!$JS$2:$JS$317))</f>
        <v>4</v>
      </c>
      <c r="PC35">
        <f>SUMPRODUCT(--('Данные 2st'!$Q$2:$Q$317=$A35),--ISNUMBER('Данные 2st'!$JT$2:$JT$317))</f>
        <v>4</v>
      </c>
      <c r="PD35">
        <f>SUMPRODUCT(--('Данные 2st'!$Q$2:$Q$317=$A35),--ISNUMBER('Данные 2st'!$JU$2:$JU$317))</f>
        <v>4</v>
      </c>
      <c r="PE35">
        <f>SUMPRODUCT(--('Данные 2st'!$Q$2:$Q$317=$A35),--ISNUMBER('Данные 2st'!$JV$2:$JV$317))</f>
        <v>4</v>
      </c>
      <c r="PF35">
        <f>SUMPRODUCT(--('Данные 2st'!$Q$2:$Q$317=$A35),--ISNUMBER('Данные 2st'!$JW$2:$JW$317))</f>
        <v>4</v>
      </c>
      <c r="PG35">
        <f>SUMPRODUCT(--('Данные 2st'!$Q$2:$Q$317=$A35),--ISNUMBER('Данные 2st'!$KF$2:$KF$317))</f>
        <v>4</v>
      </c>
      <c r="PH35">
        <f>SUMPRODUCT(--('Данные 2st'!$Q$2:$Q$317=$A35),--ISNUMBER('Данные 2st'!$KG$2:$KG$317))</f>
        <v>4</v>
      </c>
      <c r="PI35">
        <f>SUMPRODUCT(--('Данные 2st'!$Q$2:$Q$317=$A35),--ISNUMBER('Данные 2st'!$KM$2:$KM$317))</f>
        <v>4</v>
      </c>
      <c r="PJ35">
        <f>SUMPRODUCT(--('Данные 2st'!$Q$2:$Q$317=$A35),--ISNUMBER('Данные 2st'!$KN$2:$KN$317))</f>
        <v>4</v>
      </c>
      <c r="PK35">
        <f>SUMPRODUCT(--('Данные 2st'!$Q$2:$Q$317=$A35),--ISNUMBER('Данные 2st'!$KO$2:$KO$317))</f>
        <v>4</v>
      </c>
      <c r="PL35">
        <f>SUMPRODUCT(--('Данные 2st'!$Q$2:$Q$317=$A35),--ISNUMBER('Данные 2st'!$KP$2:$KP$317))</f>
        <v>4</v>
      </c>
      <c r="PM35">
        <f>SUMPRODUCT(--('Данные 2st'!$Q$2:$Q$317=$A35),--ISNUMBER('Данные 2st'!$KQ$2:$KQ$317))</f>
        <v>4</v>
      </c>
      <c r="PN35">
        <f>SUMPRODUCT(--('Данные 2st'!$Q$2:$Q$317=$A35),--ISNUMBER('Данные 2st'!$KR$2:$KR$317))</f>
        <v>4</v>
      </c>
      <c r="PO35">
        <f>SUMPRODUCT(--('Данные 2st'!$Q$2:$Q$317=$A35),--ISNUMBER('Данные 2st'!$KS$2:$KS$317))</f>
        <v>4</v>
      </c>
      <c r="PP35">
        <f>SUMPRODUCT(--('Данные 2st'!$Q$2:$Q$317=$A35),--ISNUMBER('Данные 2st'!$KT$2:$KT$317))</f>
        <v>4</v>
      </c>
      <c r="PQ35">
        <f>SUMPRODUCT(--('Данные 2st'!$Q$2:$Q$317=$A35),--ISNUMBER('Данные 2st'!$KU$2:$KU$317))</f>
        <v>4</v>
      </c>
      <c r="PR35">
        <f>SUMPRODUCT(--('Данные 2st'!$Q$2:$Q$317=$A35),--ISNUMBER('Данные 2st'!$KV$2:$KV$317))</f>
        <v>4</v>
      </c>
      <c r="PS35">
        <f>SUMPRODUCT(--('Данные 2st'!$Q$2:$Q$317=$A35),--ISNUMBER('Данные 2st'!$KW$2:$KW$317))</f>
        <v>4</v>
      </c>
      <c r="PT35">
        <f>SUMPRODUCT(--('Данные 2st'!$Q$2:$Q$317=$A35),--ISNUMBER('Данные 2st'!$KX$2:$KX$317))</f>
        <v>4</v>
      </c>
      <c r="PU35">
        <f>SUMPRODUCT(--('Данные 2st'!$Q$2:$Q$317=$A35),--ISNUMBER('Данные 2st'!$KY$2:$KY$317))</f>
        <v>4</v>
      </c>
      <c r="PV35">
        <f>SUMPRODUCT(--('Данные 2st'!$Q$2:$Q$317=$A35),--ISNUMBER('Данные 2st'!$KZ$2:$KZ$317))</f>
        <v>4</v>
      </c>
      <c r="PW35">
        <f>SUMPRODUCT(--('Данные 2st'!$Q$2:$Q$317=$A35),--ISNUMBER('Данные 2st'!$LA$2:$LA$317))</f>
        <v>4</v>
      </c>
      <c r="PX35">
        <f>SUMPRODUCT(--('Данные 2st'!$Q$2:$Q$317=$A35),--ISNUMBER('Данные 2st'!$LB$2:$LB$317))</f>
        <v>4</v>
      </c>
      <c r="PY35">
        <f>SUMPRODUCT(--('Данные 2st'!$Q$2:$Q$317=$A35),--ISNUMBER('Данные 2st'!$LC$2:$LC$317))</f>
        <v>4</v>
      </c>
      <c r="PZ35">
        <f>SUMPRODUCT(--('Данные 2st'!$Q$2:$Q$317=$A35),--ISNUMBER('Данные 2st'!$LD$2:$LD$317))</f>
        <v>4</v>
      </c>
      <c r="QA35">
        <f>SUMPRODUCT(--('Данные 2st'!$Q$2:$Q$317=$A35),--ISNUMBER('Данные 2st'!$LE$2:$LE$317))</f>
        <v>4</v>
      </c>
      <c r="QB35">
        <f>SUMPRODUCT(--('Данные 2st'!$Q$2:$Q$317=$A35),--ISNUMBER('Данные 2st'!$LF$2:$LF$317))</f>
        <v>4</v>
      </c>
      <c r="QC35">
        <f>SUMPRODUCT(--('Данные 2st'!$Q$2:$Q$317=$A35),--ISNUMBER('Данные 2st'!$LG$2:$LG$317))</f>
        <v>4</v>
      </c>
      <c r="QD35">
        <f>SUMPRODUCT(--('Данные 2st'!$Q$2:$Q$317=$A35),--ISNUMBER('Данные 2st'!$LH$2:$LH$317))</f>
        <v>4</v>
      </c>
      <c r="QE35">
        <f>SUMPRODUCT(--('Данные 2st'!$Q$2:$Q$317=$A35),--ISNUMBER('Данные 2st'!$LJ$2:$LJ$317))</f>
        <v>4</v>
      </c>
      <c r="QF35">
        <f>SUMPRODUCT(--('Данные 2st'!$Q$2:$Q$317=$A35),--ISNUMBER('Данные 2st'!$LK$2:$LK$317))</f>
        <v>4</v>
      </c>
      <c r="QG35">
        <f>SUMPRODUCT(--('Данные 2st'!$Q$2:$Q$317=$A35),--ISNUMBER('Данные 2st'!$LL$2:$LL$317))</f>
        <v>4</v>
      </c>
      <c r="QH35">
        <f>SUMPRODUCT(--('Данные 2st'!$Q$2:$Q$317=$A35),--ISNUMBER('Данные 2st'!$LM$2:$LM$317))</f>
        <v>4</v>
      </c>
      <c r="QI35">
        <f>SUMPRODUCT(--('Данные 2st'!$Q$2:$Q$317=$A35),--ISNUMBER('Данные 2st'!$LN$2:$LN$317))</f>
        <v>4</v>
      </c>
      <c r="QJ35">
        <f>SUMPRODUCT(--('Данные 2st'!$Q$2:$Q$317=$A35),--ISNUMBER('Данные 2st'!$LO$2:$LO$317))</f>
        <v>4</v>
      </c>
      <c r="QK35">
        <f>SUMPRODUCT(--('Данные 2st'!$Q$2:$Q$317=$A35),--ISNUMBER('Данные 2st'!$LP$2:$LP$317))</f>
        <v>4</v>
      </c>
      <c r="QL35">
        <f>SUMPRODUCT(--('Данные 2st'!$Q$2:$Q$317=$A35),--ISNUMBER('Данные 2st'!$LQ$2:$LQ$317))</f>
        <v>4</v>
      </c>
      <c r="QM35">
        <f>SUMPRODUCT(--('Данные 2st'!$Q$2:$Q$317=$A35),--ISNUMBER('Данные 2st'!$LW$2:$LW$317))</f>
        <v>4</v>
      </c>
      <c r="QN35">
        <f>SUMPRODUCT(--('Данные 2st'!$Q$2:$Q$317=$A35),--ISNUMBER('Данные 2st'!$LX$2:$LX$317))</f>
        <v>4</v>
      </c>
      <c r="QO35">
        <f>SUMPRODUCT(--('Данные 2st'!$Q$2:$Q$317=$A35),--ISNUMBER('Данные 2st'!$LY$2:$LY$317))</f>
        <v>4</v>
      </c>
      <c r="QP35">
        <f>SUMPRODUCT(--('Данные 2st'!$Q$2:$Q$317=$A35),--ISNUMBER('Данные 2st'!$LZ$2:$LZ$317))</f>
        <v>4</v>
      </c>
      <c r="QQ35">
        <f>SUMPRODUCT(--('Данные 2st'!$Q$2:$Q$317=$A35),--ISNUMBER('Данные 2st'!$MB$2:$MB$317))</f>
        <v>4</v>
      </c>
      <c r="QR35">
        <f>SUMPRODUCT(--('Данные 2st'!$Q$2:$Q$317=$A35),--ISNUMBER('Данные 2st'!$MG$2:$MG$317))</f>
        <v>4</v>
      </c>
      <c r="QS35">
        <f>SUMPRODUCT(--('Данные 2st'!$Q$2:$Q$317=$A35),--ISNUMBER('Данные 2st'!$MH$2:$MH$317))</f>
        <v>4</v>
      </c>
      <c r="QT35">
        <f>SUMPRODUCT(--('Данные 2st'!$Q$2:$Q$317=$A35),--ISNUMBER('Данные 2st'!$MI$2:$MI$317))</f>
        <v>4</v>
      </c>
      <c r="QU35">
        <f>SUMPRODUCT(--('Данные 2st'!$Q$2:$Q$317=$A35),--ISNUMBER('Данные 2st'!$MJ$2:$MJ$317))</f>
        <v>4</v>
      </c>
      <c r="QV35">
        <f>SUMPRODUCT(--('Данные 2st'!$Q$2:$Q$317=$A35),--ISNUMBER('Данные 2st'!$MK$2:$MK$317))</f>
        <v>4</v>
      </c>
      <c r="QW35">
        <f>SUMPRODUCT(--('Данные 2st'!$Q$2:$Q$317=$A35),--ISNUMBER('Данные 2st'!$MM$2:$MM$317))</f>
        <v>4</v>
      </c>
      <c r="QX35">
        <f>SUMPRODUCT(--('Данные 2st'!$Q$2:$Q$317=$A35),--ISNUMBER('Данные 2st'!$MQ$2:$MQ$317))</f>
        <v>0</v>
      </c>
      <c r="QY35">
        <f>SUMPRODUCT(--('Данные 2st'!$Q$2:$Q$317=$A35),--ISNUMBER('Данные 2st'!$MR$2:$MR$317))</f>
        <v>0</v>
      </c>
      <c r="QZ35">
        <f>SUMPRODUCT(--('Данные 2st'!$Q$2:$Q$317=$A35),--ISNUMBER('Данные 2st'!$MS$2:$MS$317))</f>
        <v>0</v>
      </c>
      <c r="RA35">
        <f>SUMPRODUCT(--('Данные 2st'!$Q$2:$Q$317=$A35),--ISNUMBER('Данные 2st'!$MT$2:$MT$317))</f>
        <v>0</v>
      </c>
      <c r="RB35">
        <f>SUMPRODUCT(--('Данные 2st'!$Q$2:$Q$317=$A35),--ISNUMBER('Данные 2st'!$MU$2:$MU$317))</f>
        <v>0</v>
      </c>
      <c r="RC35">
        <f>SUMPRODUCT(--('Данные 2st'!$Q$2:$Q$317=$A35),--ISNUMBER('Данные 2st'!$MV$2:$MV$317))</f>
        <v>0</v>
      </c>
      <c r="RD35">
        <f>SUMPRODUCT(--('Данные 2st'!$Q$2:$Q$317=$A35),--ISNUMBER('Данные 2st'!$MW$2:$MW$317))</f>
        <v>0</v>
      </c>
      <c r="RE35">
        <f>SUMPRODUCT(--('Данные 2st'!$Q$2:$Q$317=$A35),--ISNUMBER('Данные 2st'!$MX$2:$MX$317))</f>
        <v>0</v>
      </c>
      <c r="RF35">
        <f>SUMPRODUCT(--('Данные 2st'!$Q$2:$Q$317=$A35),--ISNUMBER('Данные 2st'!$MY$2:$MY$317))</f>
        <v>0</v>
      </c>
      <c r="RG35">
        <f>SUMPRODUCT(--('Данные 2st'!$Q$2:$Q$317=$A35),--ISNUMBER('Данные 2st'!$MZ$2:$MZ$317))</f>
        <v>0</v>
      </c>
      <c r="RH35">
        <f>SUMPRODUCT(--('Данные 2st'!$Q$2:$Q$317=$A35),--ISNUMBER('Данные 2st'!$NA$2:$NA$317))</f>
        <v>0</v>
      </c>
      <c r="RI35">
        <f>SUMPRODUCT(--('Данные 2st'!$Q$2:$Q$317=$A35),--ISNUMBER('Данные 2st'!$NB$2:$NB$317))</f>
        <v>0</v>
      </c>
      <c r="RJ35">
        <f>SUMPRODUCT(--('Данные 2st'!$Q$2:$Q$317=$A35),--ISNUMBER('Данные 2st'!$NC$2:$NC$317))</f>
        <v>0</v>
      </c>
      <c r="RK35">
        <f>SUMPRODUCT(--('Данные 2st'!$Q$2:$Q$317=$A35),--ISNUMBER('Данные 2st'!$ND$2:$ND$317))</f>
        <v>0</v>
      </c>
      <c r="RL35">
        <f>SUMPRODUCT(--('Данные 2st'!$Q$2:$Q$317=$A35),--ISNUMBER('Данные 2st'!$NE$2:$NE$317))</f>
        <v>0</v>
      </c>
      <c r="RM35">
        <f>SUMPRODUCT(--('Данные 2st'!$Q$2:$Q$317=$A35),--ISNUMBER('Данные 2st'!$NF$2:$NF$317))</f>
        <v>0</v>
      </c>
      <c r="RN35">
        <f>SUMPRODUCT(--('Данные 2st'!$Q$2:$Q$317=$A35),--ISNUMBER('Данные 2st'!$NG$2:$NG$317))</f>
        <v>0</v>
      </c>
      <c r="RO35">
        <f>SUMPRODUCT(--('Данные 2st'!$Q$2:$Q$317=$A35),--ISNUMBER('Данные 2st'!$NH$2:$NH$317))</f>
        <v>0</v>
      </c>
      <c r="RP35">
        <f>SUMPRODUCT(--('Данные 2st'!$Q$2:$Q$317=$A35),--ISNUMBER('Данные 2st'!$NJ$2:$NJ$317))</f>
        <v>0</v>
      </c>
      <c r="RQ35">
        <f>SUMPRODUCT(--('Данные 2st'!$Q$2:$Q$317=$A35),--ISNUMBER('Данные 2st'!$NK$2:$NK$317))</f>
        <v>0</v>
      </c>
      <c r="RR35">
        <f>SUMPRODUCT(--('Данные 2st'!$Q$2:$Q$317=$A35),--ISNUMBER('Данные 2st'!$NM$2:$NM$317))</f>
        <v>0</v>
      </c>
      <c r="RS35">
        <f>SUMPRODUCT(--('Данные 2st'!$Q$2:$Q$317=$A35),--ISNUMBER('Данные 2st'!$NN$2:$NN$317))</f>
        <v>0</v>
      </c>
      <c r="RT35">
        <f>SUMPRODUCT(--('Данные 2st'!$Q$2:$Q$317=$A35),--ISNUMBER('Данные 2st'!$NO$2:$NO$317))</f>
        <v>0</v>
      </c>
      <c r="RU35">
        <f>SUMPRODUCT(--('Данные 2st'!$Q$2:$Q$317=$A35),--ISNUMBER('Данные 2st'!$NP$2:$NP$317))</f>
        <v>0</v>
      </c>
      <c r="RV35">
        <f>SUMPRODUCT(--('Данные 2st'!$Q$2:$Q$317=$A35),--ISNUMBER('Данные 2st'!$NQ$2:$NQ$317))</f>
        <v>0</v>
      </c>
      <c r="RW35">
        <f>SUMPRODUCT(--('Данные 2st'!$Q$2:$Q$317=$A35),--ISNUMBER('Данные 2st'!$NR$2:$NR$317))</f>
        <v>0</v>
      </c>
      <c r="RX35">
        <f>SUMPRODUCT(--('Данные 2st'!$Q$2:$Q$317=$A35),--ISNUMBER('Данные 2st'!$NS$2:$NS$317))</f>
        <v>0</v>
      </c>
      <c r="RY35">
        <f>SUMPRODUCT(--('Данные 2st'!$Q$2:$Q$317=$A35),--ISNUMBER('Данные 2st'!$NT$2:$NT$317))</f>
        <v>0</v>
      </c>
      <c r="RZ35">
        <f>SUMPRODUCT(--('Данные 2st'!$Q$2:$Q$317=$A35),--ISNUMBER('Данные 2st'!$OK$2:$OK$317))</f>
        <v>4</v>
      </c>
      <c r="SA35">
        <f>SUMPRODUCT(--('Данные 2st'!$Q$2:$Q$317=$A35),--ISNUMBER('Данные 2st'!$OL$2:$OL$317))</f>
        <v>4</v>
      </c>
      <c r="SB35">
        <f>SUMPRODUCT(--('Данные 2st'!$Q$2:$Q$317=$A35),--ISNUMBER('Данные 2st'!$ON$2:$ON$317))</f>
        <v>4</v>
      </c>
      <c r="SC35">
        <f>SUMPRODUCT(--('Данные 2st'!$Q$2:$Q$317=$A35),--ISNUMBER('Данные 2st'!$OO$2:$OO$317))</f>
        <v>4</v>
      </c>
      <c r="SD35">
        <f>SUMPRODUCT(--('Данные 2st'!$Q$2:$Q$317=$A35),--ISNUMBER('Данные 2st'!$OP$2:$OP$317))</f>
        <v>4</v>
      </c>
      <c r="SE35">
        <f>SUMPRODUCT(--('Данные 2st'!$Q$2:$Q$317=$A35),--ISNUMBER('Данные 2st'!$OQ$2:$OQ$317))</f>
        <v>4</v>
      </c>
      <c r="SF35">
        <f>SUMPRODUCT(--('Данные 2st'!$Q$2:$Q$317=$A35),--ISNUMBER('Данные 2st'!$OS$2:$OS$317))</f>
        <v>4</v>
      </c>
      <c r="SG35">
        <f>SUMPRODUCT(--('Данные 2st'!$Q$2:$Q$317=$A35),--ISNUMBER('Данные 2st'!$OT$2:$OT$317))</f>
        <v>4</v>
      </c>
      <c r="SH35">
        <f>SUMPRODUCT(--('Данные 2st'!$Q$2:$Q$317=$A35),--ISNUMBER('Данные 2st'!$OU$2:$OU$317))</f>
        <v>4</v>
      </c>
      <c r="SI35">
        <f>SUMPRODUCT(--('Данные 2st'!$Q$2:$Q$317=$A35),--ISNUMBER('Данные 2st'!$OV$2:$OV$317))</f>
        <v>4</v>
      </c>
      <c r="SJ35">
        <f>SUMPRODUCT(--('Данные 2st'!$Q$2:$Q$317=$A35),--ISNUMBER('Данные 2st'!$OX$2:$OX$317))</f>
        <v>4</v>
      </c>
      <c r="SK35">
        <f>SUMPRODUCT(--('Данные 2st'!$Q$2:$Q$317=$A35),--ISNUMBER('Данные 2st'!$OY$2:$OY$317))</f>
        <v>4</v>
      </c>
      <c r="SL35">
        <f>SUMPRODUCT(--('Данные 2st'!$Q$2:$Q$317=$A35),--ISNUMBER('Данные 2st'!$OZ$2:$OZ$317))</f>
        <v>4</v>
      </c>
      <c r="SM35">
        <f>SUMPRODUCT(--('Данные 2st'!$Q$2:$Q$317=$A35),--ISNUMBER('Данные 2st'!$PA$2:$PA$317))</f>
        <v>4</v>
      </c>
      <c r="SN35">
        <f>SUMPRODUCT(--('Данные 2st'!$Q$2:$Q$317=$A35),--ISNUMBER('Данные 2st'!$PC$2:$PC$317))</f>
        <v>4</v>
      </c>
      <c r="SO35">
        <f>SUMPRODUCT(--('Данные 2st'!$Q$2:$Q$317=$A35),--ISNUMBER('Данные 2st'!$PD$2:$PD$317))</f>
        <v>4</v>
      </c>
      <c r="SP35">
        <f>SUMPRODUCT(--('Данные 2st'!$Q$2:$Q$317=$A35),--ISNUMBER('Данные 2st'!$PF$2:$PF$317))</f>
        <v>4</v>
      </c>
      <c r="SQ35">
        <f>SUMPRODUCT(--('Данные 2st'!$Q$2:$Q$317=$A35),--ISNUMBER('Данные 2st'!$PG$2:$PG$317))</f>
        <v>4</v>
      </c>
      <c r="SR35">
        <f>SUMPRODUCT(--('Данные 2st'!$Q$2:$Q$317=$A35),--ISNUMBER('Данные 2st'!$PH$2:$PH$317))</f>
        <v>4</v>
      </c>
      <c r="SS35">
        <f>SUMPRODUCT(--('Данные 2st'!$Q$2:$Q$317=$A35),--ISNUMBER('Данные 2st'!$PI$2:$PI$317))</f>
        <v>4</v>
      </c>
      <c r="ST35">
        <f>SUMPRODUCT(--('Данные 2st'!$Q$2:$Q$317=$A35),--ISNUMBER('Данные 2st'!$PJ$2:$PJ$317))</f>
        <v>4</v>
      </c>
      <c r="SU35">
        <f>SUMPRODUCT(--('Данные 2st'!$Q$2:$Q$317=$A35),--ISNUMBER('Данные 2st'!$PK$2:$PK$317))</f>
        <v>4</v>
      </c>
      <c r="SV35">
        <f>SUMPRODUCT(--('Данные 2st'!$Q$2:$Q$317=$A35),--ISNUMBER('Данные 2st'!$PL$2:$PL$317))</f>
        <v>4</v>
      </c>
      <c r="SW35">
        <f>SUMPRODUCT(--('Данные 2st'!$Q$2:$Q$317=$A35),--ISNUMBER('Данные 2st'!$PM$2:$PM$317))</f>
        <v>4</v>
      </c>
      <c r="SX35">
        <f>SUMPRODUCT(--('Данные 2st'!$Q$2:$Q$317=$A35),--ISNUMBER('Данные 2st'!$PN$2:$PN$317))</f>
        <v>4</v>
      </c>
      <c r="SY35">
        <f>SUMPRODUCT(--('Данные 2st'!$Q$2:$Q$317=$A35),--ISNUMBER('Данные 2st'!$PO$2:$PO$317))</f>
        <v>4</v>
      </c>
      <c r="SZ35">
        <f>SUMPRODUCT(--('Данные 2st'!$Q$2:$Q$317=$A35),--ISNUMBER('Данные 2st'!$PP$2:$PP$317))</f>
        <v>4</v>
      </c>
      <c r="TA35">
        <f>SUMPRODUCT(--('Данные 2st'!$Q$2:$Q$317=$A35),--ISNUMBER('Данные 2st'!$PQ$2:$PQ$317))</f>
        <v>4</v>
      </c>
      <c r="TB35">
        <f>SUMPRODUCT(--('Данные 2st'!$Q$2:$Q$317=$A35),--ISNUMBER('Данные 2st'!$PR$2:$PR$317))</f>
        <v>4</v>
      </c>
      <c r="TC35">
        <f>SUMPRODUCT(--('Данные 2st'!$Q$2:$Q$317=$A35),--ISNUMBER('Данные 2st'!$PS$2:$PS$317))</f>
        <v>4</v>
      </c>
      <c r="TD35">
        <f>SUMPRODUCT(--('Данные 2st'!$Q$2:$Q$317=$A35),--ISNUMBER('Данные 2st'!$PT$2:$PT$317))</f>
        <v>4</v>
      </c>
      <c r="TE35">
        <f>SUMPRODUCT(--('Данные 2st'!$Q$2:$Q$317=$A35),--ISNUMBER('Данные 2st'!$PU$2:$PU$317))</f>
        <v>4</v>
      </c>
      <c r="TF35">
        <f>SUMPRODUCT(--('Данные 2st'!$Q$2:$Q$317=$A35),--ISNUMBER('Данные 2st'!$PX$2:$PX$317))</f>
        <v>4</v>
      </c>
      <c r="TG35">
        <f>SUMPRODUCT(--('Данные 2st'!$Q$2:$Q$317=$A35),--ISNUMBER('Данные 2st'!$PY$2:$PY$317))</f>
        <v>4</v>
      </c>
      <c r="TH35">
        <f>SUMPRODUCT(--('Данные 2st'!$Q$2:$Q$317=$A35),--ISNUMBER('Данные 2st'!$PZ$2:$PZ$317))</f>
        <v>4</v>
      </c>
      <c r="TI35">
        <f>SUMPRODUCT(--('Данные 2st'!$Q$2:$Q$317=$A35),--ISNUMBER('Данные 2st'!$QA$2:$QA$317))</f>
        <v>4</v>
      </c>
      <c r="TJ35">
        <f>SUMPRODUCT(--('Данные 2st'!$Q$2:$Q$317=$A35),--ISNUMBER('Данные 2st'!$QB$2:$QB$317))</f>
        <v>4</v>
      </c>
      <c r="TK35">
        <f>SUMPRODUCT(--('Данные 2st'!$Q$2:$Q$317=$A35),--ISNUMBER('Данные 2st'!$QC$2:$QC$317))</f>
        <v>4</v>
      </c>
      <c r="TL35">
        <f>SUMPRODUCT(--('Данные 2st'!$Q$2:$Q$317=$A35),--ISNUMBER('Данные 2st'!$QD$2:$QD$317))</f>
        <v>4</v>
      </c>
      <c r="TM35">
        <f>SUMPRODUCT(--('Данные 2st'!$Q$2:$Q$317=$A35),--ISNUMBER('Данные 2st'!$QE$2:$QE$317))</f>
        <v>4</v>
      </c>
      <c r="TN35">
        <f>SUMPRODUCT(--('Данные 2st'!$Q$2:$Q$317=$A35),--ISNUMBER('Данные 2st'!$QF$2:$QF$317))</f>
        <v>4</v>
      </c>
      <c r="TO35">
        <f>SUMPRODUCT(--('Данные 2st'!$Q$2:$Q$317=$A35),--ISNUMBER('Данные 2st'!$QG$2:$QG$317))</f>
        <v>4</v>
      </c>
      <c r="TP35">
        <f>SUMPRODUCT(--('Данные 2st'!$Q$2:$Q$317=$A35),--ISNUMBER('Данные 2st'!$QH$2:$QH$317))</f>
        <v>4</v>
      </c>
      <c r="TQ35">
        <f>SUMPRODUCT(--('Данные 2st'!$Q$2:$Q$317=$A35),--ISNUMBER('Данные 2st'!$QI$2:$QI$317))</f>
        <v>4</v>
      </c>
      <c r="TR35">
        <f>SUMPRODUCT(--('Данные 2st'!$Q$2:$Q$317=$A35),--ISNUMBER('Данные 2st'!$QJ$2:$QJ$317))</f>
        <v>4</v>
      </c>
      <c r="TS35">
        <f>SUMPRODUCT(--('Данные 2st'!$Q$2:$Q$317=$A35),--ISNUMBER('Данные 2st'!$QK$2:$QK$317))</f>
        <v>4</v>
      </c>
      <c r="TT35">
        <f>SUMPRODUCT(--('Данные 2st'!$Q$2:$Q$317=$A35),--ISNUMBER('Данные 2st'!$QL$2:$QL$317))</f>
        <v>4</v>
      </c>
      <c r="TU35">
        <f>SUMPRODUCT(--('Данные 2st'!$Q$2:$Q$317=$A35),--ISNUMBER('Данные 2st'!$QM$2:$QM$317))</f>
        <v>4</v>
      </c>
      <c r="TV35">
        <f>SUMPRODUCT(--('Данные 2st'!$Q$2:$Q$317=$A35),--ISNUMBER('Данные 2st'!$QN$2:$QN$317))</f>
        <v>4</v>
      </c>
      <c r="TW35">
        <f>SUMPRODUCT(--('Данные 2st'!$Q$2:$Q$317=$A35),--ISNUMBER('Данные 2st'!$QQ$2:$QQ$317))</f>
        <v>4</v>
      </c>
      <c r="TX35">
        <f>SUMPRODUCT(--('Данные 2st'!$Q$2:$Q$317=$A35),--ISNUMBER('Данные 2st'!$QS$2:$QS$317))</f>
        <v>4</v>
      </c>
      <c r="TY35">
        <f>SUMPRODUCT(--('Данные 2st'!$Q$2:$Q$317=$A35),--ISNUMBER('Данные 2st'!$QT$2:$QT$317))</f>
        <v>4</v>
      </c>
    </row>
    <row r="36" spans="1:545" ht="32" customHeight="1">
      <c r="A36" s="11" t="str">
        <f>'По размерам'!A36</f>
        <v>225/55R17</v>
      </c>
      <c r="G36">
        <f>SUMPRODUCT(--('Данные 1st'!$S$2:$S$317=$A36),--ISNUMBER('Данные 1st'!$AE$2:$AE$317))</f>
        <v>5</v>
      </c>
      <c r="H36">
        <f>SUMPRODUCT(--('Данные 1st'!$S$2:$S$317=$A36),--ISNUMBER('Данные 1st'!$AF$2:$AF$317))</f>
        <v>5</v>
      </c>
      <c r="I36">
        <f>SUMPRODUCT(--('Данные 1st'!$S$2:$S$317=$A36),--ISNUMBER('Данные 1st'!$AJ$2:$AJ$317))</f>
        <v>5</v>
      </c>
      <c r="J36">
        <f>SUMPRODUCT(--('Данные 1st'!$S$2:$S$317=$A36),--ISNUMBER('Данные 1st'!$AL$2:$AL$317))</f>
        <v>5</v>
      </c>
      <c r="K36">
        <f>SUMPRODUCT(--('Данные 1st'!$S$2:$S$317=$A36),--ISNUMBER('Данные 1st'!$AR$2:$AR$317))</f>
        <v>5</v>
      </c>
      <c r="L36">
        <f>SUMPRODUCT(--('Данные 1st'!$S$2:$S$317=$A36),--ISNUMBER('Данные 1st'!$AS$2:$AS$317))</f>
        <v>5</v>
      </c>
      <c r="M36">
        <f>SUMPRODUCT(--('Данные 1st'!$S$2:$S$317=$A36),--ISNUMBER('Данные 1st'!$AY$2:$AY$317))</f>
        <v>5</v>
      </c>
      <c r="N36">
        <f>SUMPRODUCT(--('Данные 1st'!$S$2:$S$317=$A36),--ISNUMBER('Данные 1st'!$AZ$2:$AZ$317))</f>
        <v>5</v>
      </c>
      <c r="O36">
        <f>SUMPRODUCT(--('Данные 1st'!$S$2:$S$317=$A36),--ISNUMBER('Данные 1st'!$BF$2:$BF$317))</f>
        <v>1</v>
      </c>
      <c r="P36">
        <f>SUMPRODUCT(--('Данные 1st'!$S$2:$S$317=$A36),--ISNUMBER('Данные 1st'!$BG$2:$BG$317))</f>
        <v>5</v>
      </c>
      <c r="Q36">
        <f>SUMPRODUCT(--('Данные 1st'!$S$2:$S$317=$A36),--ISNUMBER('Данные 1st'!$BM$2:$BM$317))</f>
        <v>0</v>
      </c>
      <c r="R36">
        <f>SUMPRODUCT(--('Данные 1st'!$S$2:$S$317=$A36),--ISNUMBER('Данные 1st'!$BN$2:$BN$317))</f>
        <v>5</v>
      </c>
      <c r="S36">
        <f>SUMPRODUCT(--('Данные 1st'!$S$2:$S$317=$A36),--ISNUMBER('Данные 1st'!$BT$2:$BT$317))</f>
        <v>5</v>
      </c>
      <c r="T36">
        <f>SUMPRODUCT(--('Данные 1st'!$S$2:$S$317=$A36),--ISNUMBER('Данные 1st'!$BU$2:$BU$317))</f>
        <v>5</v>
      </c>
      <c r="U36">
        <f>SUMPRODUCT(--('Данные 1st'!$S$2:$S$317=$A36),--ISNUMBER('Данные 1st'!$BW$2:$BW$317))</f>
        <v>5</v>
      </c>
      <c r="V36">
        <f>SUMPRODUCT(--('Данные 1st'!$S$2:$S$317=$A36),--ISNUMBER('Данные 1st'!$BX$2:$BX$317))</f>
        <v>5</v>
      </c>
      <c r="W36">
        <f>SUMPRODUCT(--('Данные 1st'!$S$2:$S$317=$A36),--ISNUMBER('Данные 1st'!$BZ$2:$BZ$317))</f>
        <v>5</v>
      </c>
      <c r="X36">
        <f>SUMPRODUCT(--('Данные 1st'!$S$2:$S$317=$A36),--ISNUMBER('Данные 1st'!$CA$2:$CA$317))</f>
        <v>5</v>
      </c>
      <c r="Y36">
        <f>SUMPRODUCT(--('Данные 1st'!$S$2:$S$317=$A36),--ISNUMBER('Данные 1st'!$CD$2:$CD$317))</f>
        <v>5</v>
      </c>
      <c r="Z36">
        <f>SUMPRODUCT(--('Данные 1st'!$S$2:$S$317=$A36),--ISNUMBER('Данные 1st'!$CF$2:$CF$317))</f>
        <v>5</v>
      </c>
      <c r="AA36">
        <f>SUMPRODUCT(--('Данные 1st'!$S$2:$S$317=$A36),--ISNUMBER('Данные 1st'!$CI$2:$CI$317))</f>
        <v>5</v>
      </c>
      <c r="AB36">
        <f>SUMPRODUCT(--('Данные 1st'!$S$2:$S$317=$A36),--ISNUMBER('Данные 1st'!$CJ$2:$CJ$317))</f>
        <v>5</v>
      </c>
      <c r="AC36">
        <f>SUMPRODUCT(--('Данные 1st'!$S$2:$S$317=$A36),--ISNUMBER('Данные 1st'!$CK$2:$CK$317))</f>
        <v>5</v>
      </c>
      <c r="AD36">
        <f>SUMPRODUCT(--('Данные 1st'!$S$2:$S$317=$A36),--ISNUMBER('Данные 1st'!$CL$2:$CL$317))</f>
        <v>5</v>
      </c>
      <c r="AE36">
        <f>SUMPRODUCT(--('Данные 1st'!$S$2:$S$317=$A36),--ISNUMBER('Данные 1st'!$CM$2:$CM$317))</f>
        <v>5</v>
      </c>
      <c r="AF36">
        <f>SUMPRODUCT(--('Данные 1st'!$S$2:$S$317=$A36),--ISNUMBER('Данные 1st'!$CT$2:$CT$317))</f>
        <v>5</v>
      </c>
      <c r="AG36">
        <f>SUMPRODUCT(--('Данные 1st'!$S$2:$S$317=$A36),--ISNUMBER('Данные 1st'!$CU$2:$CU$317))</f>
        <v>5</v>
      </c>
      <c r="AH36">
        <f>SUMPRODUCT(--('Данные 1st'!$S$2:$S$317=$A36),--ISNUMBER('Данные 1st'!$CV$2:$CV$317))</f>
        <v>5</v>
      </c>
      <c r="AI36">
        <f>SUMPRODUCT(--('Данные 1st'!$S$2:$S$317=$A36),--ISNUMBER('Данные 1st'!$CW$2:$CW$317))</f>
        <v>5</v>
      </c>
      <c r="AJ36">
        <f>SUMPRODUCT(--('Данные 1st'!$S$2:$S$317=$A36),--ISNUMBER('Данные 1st'!$CX$2:$CX$317))</f>
        <v>5</v>
      </c>
      <c r="AK36">
        <f>SUMPRODUCT(--('Данные 1st'!$S$2:$S$317=$A36),--ISNUMBER('Данные 1st'!$CZ$2:$CZ$317))</f>
        <v>0</v>
      </c>
      <c r="AL36">
        <f>SUMPRODUCT(--('Данные 1st'!$S$2:$S$317=$A36),--ISNUMBER('Данные 1st'!$DA$2:$DA$317))</f>
        <v>0</v>
      </c>
      <c r="AM36">
        <f>SUMPRODUCT(--('Данные 1st'!$S$2:$S$317=$A36),--ISNUMBER('Данные 1st'!$DB$2:$DB$317))</f>
        <v>0</v>
      </c>
      <c r="AN36">
        <f>SUMPRODUCT(--('Данные 1st'!$S$2:$S$317=$A36),--ISNUMBER('Данные 1st'!$DC$2:$DC$317))</f>
        <v>0</v>
      </c>
      <c r="AO36">
        <f>SUMPRODUCT(--('Данные 1st'!$S$2:$S$317=$A36),--ISNUMBER('Данные 1st'!$DD$2:$DD$317))</f>
        <v>5</v>
      </c>
      <c r="AP36">
        <f>SUMPRODUCT(--('Данные 1st'!$S$2:$S$317=$A36),--ISNUMBER('Данные 1st'!$DF$2:$DF$317))</f>
        <v>5</v>
      </c>
      <c r="AQ36">
        <f>SUMPRODUCT(--('Данные 1st'!$S$2:$S$317=$A36),--ISNUMBER('Данные 1st'!$DG$2:$DG$317))</f>
        <v>5</v>
      </c>
      <c r="AR36">
        <f>SUMPRODUCT(--('Данные 1st'!$S$2:$S$317=$A36),--ISNUMBER('Данные 1st'!$DH$2:$DH$317))</f>
        <v>5</v>
      </c>
      <c r="AS36">
        <f>SUMPRODUCT(--('Данные 1st'!$S$2:$S$317=$A36),--ISNUMBER('Данные 1st'!$DI$2:$DI$317))</f>
        <v>5</v>
      </c>
      <c r="AT36">
        <f>SUMPRODUCT(--('Данные 1st'!$S$2:$S$317=$A36),--ISNUMBER('Данные 1st'!$DJ$2:$DJ$317))</f>
        <v>5</v>
      </c>
      <c r="AU36">
        <f>SUMPRODUCT(--('Данные 1st'!$S$2:$S$317=$A36),--ISNUMBER('Данные 1st'!$DL$2:$DL$317))</f>
        <v>1</v>
      </c>
      <c r="AV36">
        <f>SUMPRODUCT(--('Данные 1st'!$S$2:$S$317=$A36),--ISNUMBER('Данные 1st'!$DM$2:$DM$317))</f>
        <v>1</v>
      </c>
      <c r="AW36">
        <f>SUMPRODUCT(--('Данные 1st'!$S$2:$S$317=$A36),--ISNUMBER('Данные 1st'!$DN$2:$DN$317))</f>
        <v>1</v>
      </c>
      <c r="AX36">
        <f>SUMPRODUCT(--('Данные 1st'!$S$2:$S$317=$A36),--ISNUMBER('Данные 1st'!$DO$2:$DO$317))</f>
        <v>1</v>
      </c>
      <c r="AY36">
        <f>SUMPRODUCT(--('Данные 1st'!$S$2:$S$317=$A36),--ISNUMBER('Данные 1st'!$DP$2:$DP$317))</f>
        <v>1</v>
      </c>
      <c r="AZ36">
        <f>SUMPRODUCT(--('Данные 1st'!$S$2:$S$317=$A36),--ISNUMBER('Данные 1st'!$DR$2:$DR$317))</f>
        <v>0</v>
      </c>
      <c r="BA36">
        <f>SUMPRODUCT(--('Данные 1st'!$S$2:$S$317=$A36),--ISNUMBER('Данные 1st'!$DS$2:$DS$317))</f>
        <v>0</v>
      </c>
      <c r="BB36">
        <f>SUMPRODUCT(--('Данные 1st'!$S$2:$S$317=$A36),--ISNUMBER('Данные 1st'!$DT$2:$DT$317))</f>
        <v>0</v>
      </c>
      <c r="BC36">
        <f>SUMPRODUCT(--('Данные 1st'!$S$2:$S$317=$A36),--ISNUMBER('Данные 1st'!$DU$2:$DU$317))</f>
        <v>0</v>
      </c>
      <c r="BD36">
        <f>SUMPRODUCT(--('Данные 1st'!$S$2:$S$317=$A36),--ISNUMBER('Данные 1st'!$DV$2:$DV$317))</f>
        <v>0</v>
      </c>
      <c r="BE36">
        <f>SUMPRODUCT(--('Данные 1st'!$S$2:$S$317=$A36),--ISNUMBER('Данные 1st'!$DX$2:$DX$317))</f>
        <v>5</v>
      </c>
      <c r="BF36">
        <f>SUMPRODUCT(--('Данные 1st'!$S$2:$S$317=$A36),--ISNUMBER('Данные 1st'!$EA$2:$EA$317))</f>
        <v>5</v>
      </c>
      <c r="BG36">
        <f>SUMPRODUCT(--('Данные 1st'!$S$2:$S$317=$A36),--ISNUMBER('Данные 1st'!$EB$2:$EB$317))</f>
        <v>5</v>
      </c>
      <c r="BH36">
        <f>SUMPRODUCT(--('Данные 1st'!$S$2:$S$317=$A36),--ISNUMBER('Данные 1st'!$ED$2:$ED$317))</f>
        <v>5</v>
      </c>
      <c r="BI36">
        <f>SUMPRODUCT(--('Данные 1st'!$S$2:$S$317=$A36),--ISNUMBER('Данные 1st'!$EE$2:$EE$317))</f>
        <v>5</v>
      </c>
      <c r="BJ36">
        <f>SUMPRODUCT(--('Данные 1st'!$S$2:$S$317=$A36),--ISNUMBER('Данные 1st'!$EG$2:$EG$317))</f>
        <v>5</v>
      </c>
      <c r="BK36">
        <f>SUMPRODUCT(--('Данные 1st'!$S$2:$S$317=$A36),--ISNUMBER('Данные 1st'!$EH$2:$EH$317))</f>
        <v>5</v>
      </c>
      <c r="BL36">
        <f>SUMPRODUCT(--('Данные 1st'!$S$2:$S$317=$A36),--ISNUMBER('Данные 1st'!$EJ$2:$EJ$317))</f>
        <v>5</v>
      </c>
      <c r="BM36">
        <f>SUMPRODUCT(--('Данные 1st'!$S$2:$S$317=$A36),--ISNUMBER('Данные 1st'!$EK$2:$EK$317))</f>
        <v>5</v>
      </c>
      <c r="BN36">
        <f>SUMPRODUCT(--('Данные 1st'!$S$2:$S$317=$A36),--ISNUMBER('Данные 1st'!$EN$2:$EN$317))</f>
        <v>5</v>
      </c>
      <c r="BO36">
        <f>SUMPRODUCT(--('Данные 1st'!$S$2:$S$317=$A36),--ISNUMBER('Данные 1st'!$EQ$2:$EQ$317))</f>
        <v>5</v>
      </c>
      <c r="BP36">
        <f>SUMPRODUCT(--('Данные 1st'!$S$2:$S$317=$A36),--ISNUMBER('Данные 1st'!$ER$2:$ER$317))</f>
        <v>5</v>
      </c>
      <c r="BQ36">
        <f>SUMPRODUCT(--('Данные 1st'!$S$2:$S$317=$A36),--ISNUMBER('Данные 1st'!$ES$2:$ES$317))</f>
        <v>5</v>
      </c>
      <c r="BR36">
        <f>SUMPRODUCT(--('Данные 1st'!$S$2:$S$317=$A36),--ISNUMBER('Данные 1st'!$ET$2:$ET$317))</f>
        <v>5</v>
      </c>
      <c r="BS36">
        <f>SUMPRODUCT(--('Данные 1st'!$S$2:$S$317=$A36),--ISNUMBER('Данные 1st'!$EU$2:$EU$317))</f>
        <v>5</v>
      </c>
      <c r="BT36">
        <f>SUMPRODUCT(--('Данные 1st'!$S$2:$S$317=$A36),--ISNUMBER('Данные 1st'!$EV$2:$EV$317))</f>
        <v>5</v>
      </c>
      <c r="BU36">
        <f>SUMPRODUCT(--('Данные 1st'!$S$2:$S$317=$A36),--ISNUMBER('Данные 1st'!$EX$2:$EX$317))</f>
        <v>5</v>
      </c>
      <c r="BV36">
        <f>SUMPRODUCT(--('Данные 1st'!$S$2:$S$317=$A36),--ISNUMBER('Данные 1st'!$EY$2:$EY$317))</f>
        <v>5</v>
      </c>
      <c r="BW36">
        <f>SUMPRODUCT(--('Данные 1st'!$S$2:$S$317=$A36),--ISNUMBER('Данные 1st'!$EZ$2:$EZ$317))</f>
        <v>5</v>
      </c>
      <c r="BX36">
        <f>SUMPRODUCT(--('Данные 1st'!$S$2:$S$317=$A36),--ISNUMBER('Данные 1st'!$FA$2:$FA$317))</f>
        <v>5</v>
      </c>
      <c r="BY36">
        <f>SUMPRODUCT(--('Данные 1st'!$S$2:$S$317=$A36),--ISNUMBER('Данные 1st'!$FB$2:$FB$317))</f>
        <v>5</v>
      </c>
      <c r="BZ36">
        <f>SUMPRODUCT(--('Данные 1st'!$S$2:$S$317=$A36),--ISNUMBER('Данные 1st'!$FC$2:$FC$317))</f>
        <v>5</v>
      </c>
      <c r="CA36">
        <f>SUMPRODUCT(--('Данные 1st'!$S$2:$S$317=$A36),--ISNUMBER('Данные 1st'!$FE$2:$FE$317))</f>
        <v>5</v>
      </c>
      <c r="CB36">
        <f>SUMPRODUCT(--('Данные 1st'!$S$2:$S$317=$A36),--ISNUMBER('Данные 1st'!$FF$2:$FF$317))</f>
        <v>5</v>
      </c>
      <c r="CC36">
        <f>SUMPRODUCT(--('Данные 1st'!$S$2:$S$317=$A36),--ISNUMBER('Данные 1st'!$FI$2:$FI$317))</f>
        <v>5</v>
      </c>
      <c r="CD36">
        <f>SUMPRODUCT(--('Данные 1st'!$S$2:$S$317=$A36),--ISNUMBER('Данные 1st'!$FL$2:$FL$317))</f>
        <v>5</v>
      </c>
      <c r="CE36">
        <f>SUMPRODUCT(--('Данные 1st'!$S$2:$S$317=$A36),--ISNUMBER('Данные 1st'!$FM$2:$FM$317))</f>
        <v>5</v>
      </c>
      <c r="CF36">
        <f>SUMPRODUCT(--('Данные 1st'!$S$2:$S$317=$A36),--ISNUMBER('Данные 1st'!$FN$2:$FN$317))</f>
        <v>5</v>
      </c>
      <c r="CG36">
        <f>SUMPRODUCT(--('Данные 1st'!$S$2:$S$317=$A36),--ISNUMBER('Данные 1st'!$FO$2:$FO$317))</f>
        <v>0</v>
      </c>
      <c r="CH36">
        <f>SUMPRODUCT(--('Данные 1st'!$S$2:$S$317=$A36),--ISNUMBER('Данные 1st'!$FP$2:$FP$317))</f>
        <v>0</v>
      </c>
      <c r="CI36">
        <f>SUMPRODUCT(--('Данные 1st'!$S$2:$S$317=$A36),--ISNUMBER('Данные 1st'!$FS$2:$FS$317))</f>
        <v>4</v>
      </c>
      <c r="CJ36">
        <f>SUMPRODUCT(--('Данные 1st'!$S$2:$S$317=$A36),--ISNUMBER('Данные 1st'!$FT$2:$FT$317))</f>
        <v>4</v>
      </c>
      <c r="CK36">
        <f>SUMPRODUCT(--('Данные 1st'!$S$2:$S$317=$A36),--ISNUMBER('Данные 1st'!$FU$2:$FU$317))</f>
        <v>4</v>
      </c>
      <c r="CL36">
        <f>SUMPRODUCT(--('Данные 1st'!$S$2:$S$317=$A36),--ISNUMBER('Данные 1st'!$FV$2:$FV$317))</f>
        <v>1</v>
      </c>
      <c r="CM36">
        <f>SUMPRODUCT(--('Данные 1st'!$S$2:$S$317=$A36),--ISNUMBER('Данные 1st'!$FW$2:$FW$317))</f>
        <v>1</v>
      </c>
      <c r="CN36">
        <f>SUMPRODUCT(--('Данные 1st'!$S$2:$S$317=$A36),--ISNUMBER('Данные 1st'!$FZ$2:$FZ$317))</f>
        <v>2</v>
      </c>
      <c r="CO36">
        <f>SUMPRODUCT(--('Данные 1st'!$S$2:$S$317=$A36),--ISNUMBER('Данные 1st'!$GA$2:$GA$317))</f>
        <v>2</v>
      </c>
      <c r="CP36">
        <f>SUMPRODUCT(--('Данные 1st'!$S$2:$S$317=$A36),--ISNUMBER('Данные 1st'!$GB$2:$GB$317))</f>
        <v>2</v>
      </c>
      <c r="CQ36">
        <f>SUMPRODUCT(--('Данные 1st'!$S$2:$S$317=$A36),--ISNUMBER('Данные 1st'!$GH$2:$GH$317))</f>
        <v>2</v>
      </c>
      <c r="CR36">
        <f>SUMPRODUCT(--('Данные 1st'!$S$2:$S$317=$A36),--ISNUMBER('Данные 1st'!$GI$2:$GI$317))</f>
        <v>2</v>
      </c>
      <c r="CS36">
        <f>SUMPRODUCT(--('Данные 1st'!$S$2:$S$317=$A36),--ISNUMBER('Данные 1st'!$GJ$2:$GJ$317))</f>
        <v>2</v>
      </c>
      <c r="CT36">
        <f>SUMPRODUCT(--('Данные 1st'!$S$2:$S$317=$A36),--ISNUMBER('Данные 1st'!$GS$2:$GS$317))</f>
        <v>1</v>
      </c>
      <c r="CU36">
        <f>SUMPRODUCT(--('Данные 1st'!$S$2:$S$317=$A36),--ISNUMBER('Данные 1st'!$GT$2:$GT$317))</f>
        <v>1</v>
      </c>
      <c r="CV36">
        <f>SUMPRODUCT(--('Данные 1st'!$S$2:$S$317=$A36),--ISNUMBER('Данные 1st'!$GU$2:$GU$317))</f>
        <v>1</v>
      </c>
      <c r="CW36">
        <f>SUMPRODUCT(--('Данные 1st'!$S$2:$S$317=$A36),--ISNUMBER('Данные 1st'!$GV$2:$GV$317))</f>
        <v>0</v>
      </c>
      <c r="CX36">
        <f>SUMPRODUCT(--('Данные 1st'!$S$2:$S$317=$A36),--ISNUMBER('Данные 1st'!$GW$2:$GW$317))</f>
        <v>0</v>
      </c>
      <c r="CY36">
        <f>SUMPRODUCT(--('Данные 1st'!$S$2:$S$317=$A36),--ISNUMBER('Данные 1st'!$GZ$2:$GZ$317))</f>
        <v>1</v>
      </c>
      <c r="CZ36">
        <f>SUMPRODUCT(--('Данные 1st'!$S$2:$S$317=$A36),--ISNUMBER('Данные 1st'!$HA$2:$HA$317))</f>
        <v>1</v>
      </c>
      <c r="DA36">
        <f>SUMPRODUCT(--('Данные 1st'!$S$2:$S$317=$A36),--ISNUMBER('Данные 1st'!$HB$2:$HB$317))</f>
        <v>1</v>
      </c>
      <c r="DB36">
        <f>SUMPRODUCT(--('Данные 1st'!$S$2:$S$317=$A36),--ISNUMBER('Данные 1st'!$HC$2:$HC$317))</f>
        <v>5</v>
      </c>
      <c r="DC36">
        <f>SUMPRODUCT(--('Данные 1st'!$S$2:$S$317=$A36),--ISNUMBER('Данные 1st'!$HD$2:$HD$317))</f>
        <v>5</v>
      </c>
      <c r="DD36">
        <f>SUMPRODUCT(--('Данные 1st'!$S$2:$S$317=$A36),--ISNUMBER('Данные 1st'!$HE$2:$HE$317))</f>
        <v>5</v>
      </c>
      <c r="DE36">
        <f>SUMPRODUCT(--('Данные 1st'!$S$2:$S$317=$A36),--ISNUMBER('Данные 1st'!$HF$2:$HF$317))</f>
        <v>5</v>
      </c>
      <c r="DF36">
        <f>SUMPRODUCT(--('Данные 1st'!$S$2:$S$317=$A36),--ISNUMBER('Данные 1st'!$HG$2:$HG$317))</f>
        <v>5</v>
      </c>
      <c r="DG36">
        <f>SUMPRODUCT(--('Данные 1st'!$S$2:$S$317=$A36),--ISNUMBER('Данные 1st'!$HH$2:$HH$317))</f>
        <v>5</v>
      </c>
      <c r="DH36">
        <f>SUMPRODUCT(--('Данные 1st'!$S$2:$S$317=$A36),--ISNUMBER('Данные 1st'!$HI$2:$HI$317))</f>
        <v>5</v>
      </c>
      <c r="DI36">
        <f>SUMPRODUCT(--('Данные 1st'!$S$2:$S$317=$A36),--ISNUMBER('Данные 1st'!$HJ$2:$HJ$317))</f>
        <v>5</v>
      </c>
      <c r="DJ36">
        <f>SUMPRODUCT(--('Данные 1st'!$S$2:$S$317=$A36),--ISNUMBER('Данные 1st'!$HK$2:$HK$317))</f>
        <v>5</v>
      </c>
      <c r="DK36">
        <f>SUMPRODUCT(--('Данные 1st'!$S$2:$S$317=$A36),--ISNUMBER('Данные 1st'!$HL$2:$HL$317))</f>
        <v>5</v>
      </c>
      <c r="DL36">
        <f>SUMPRODUCT(--('Данные 1st'!$S$2:$S$317=$A36),--ISNUMBER('Данные 1st'!$HM$2:$HM$317))</f>
        <v>5</v>
      </c>
      <c r="DM36">
        <f>SUMPRODUCT(--('Данные 1st'!$S$2:$S$317=$A36),--ISNUMBER('Данные 1st'!$HN$2:$HN$317))</f>
        <v>5</v>
      </c>
      <c r="DN36">
        <f>SUMPRODUCT(--('Данные 1st'!$S$2:$S$317=$A36),--ISNUMBER('Данные 1st'!$HO$2:$HO$317))</f>
        <v>5</v>
      </c>
      <c r="DO36">
        <f>SUMPRODUCT(--('Данные 1st'!$S$2:$S$317=$A36),--ISNUMBER('Данные 1st'!$HP$2:$HP$317))</f>
        <v>5</v>
      </c>
      <c r="DP36">
        <f>SUMPRODUCT(--('Данные 1st'!$S$2:$S$317=$A36),--ISNUMBER('Данные 1st'!$HQ$2:$HQ$317))</f>
        <v>5</v>
      </c>
      <c r="DQ36">
        <f>SUMPRODUCT(--('Данные 1st'!$S$2:$S$317=$A36),--ISNUMBER('Данные 1st'!$HR$2:$HR$317))</f>
        <v>5</v>
      </c>
      <c r="DR36">
        <f>SUMPRODUCT(--('Данные 1st'!$S$2:$S$317=$A36),--ISNUMBER('Данные 1st'!$HS$2:$HS$317))</f>
        <v>5</v>
      </c>
      <c r="DS36">
        <f>SUMPRODUCT(--('Данные 1st'!$S$2:$S$317=$A36),--ISNUMBER('Данные 1st'!$HT$2:$HT$317))</f>
        <v>5</v>
      </c>
      <c r="DT36">
        <f>SUMPRODUCT(--('Данные 1st'!$S$2:$S$317=$A36),--ISNUMBER('Данные 1st'!$HU$2:$HU$317))</f>
        <v>5</v>
      </c>
      <c r="DU36">
        <f>SUMPRODUCT(--('Данные 1st'!$S$2:$S$317=$A36),--ISNUMBER('Данные 1st'!$HW$2:$HW$317))</f>
        <v>5</v>
      </c>
      <c r="DV36">
        <f>SUMPRODUCT(--('Данные 1st'!$S$2:$S$317=$A36),--ISNUMBER('Данные 1st'!$HX$2:$HX$317))</f>
        <v>5</v>
      </c>
      <c r="DW36">
        <f>SUMPRODUCT(--('Данные 1st'!$S$2:$S$317=$A36),--ISNUMBER('Данные 1st'!$HY$2:$HY$317))</f>
        <v>5</v>
      </c>
      <c r="DX36">
        <f>SUMPRODUCT(--('Данные 1st'!$S$2:$S$317=$A36),--ISNUMBER('Данные 1st'!$IA$2:$IA$317))</f>
        <v>5</v>
      </c>
      <c r="DY36">
        <f>SUMPRODUCT(--('Данные 1st'!$S$2:$S$317=$A36),--ISNUMBER('Данные 1st'!$IB$2:$IB$317))</f>
        <v>5</v>
      </c>
      <c r="DZ36">
        <f>SUMPRODUCT(--('Данные 1st'!$S$2:$S$317=$A36),--ISNUMBER('Данные 1st'!$IC$2:$IC$317))</f>
        <v>5</v>
      </c>
      <c r="EA36">
        <f>SUMPRODUCT(--('Данные 1st'!$S$2:$S$317=$A36),--ISNUMBER('Данные 1st'!$ID$2:$ID$317))</f>
        <v>5</v>
      </c>
      <c r="EB36">
        <f>SUMPRODUCT(--('Данные 1st'!$S$2:$S$317=$A36),--ISNUMBER('Данные 1st'!$IE$2:$IE$317))</f>
        <v>5</v>
      </c>
      <c r="EC36">
        <f>SUMPRODUCT(--('Данные 1st'!$S$2:$S$317=$A36),--ISNUMBER('Данные 1st'!$IF$2:$IF$317))</f>
        <v>5</v>
      </c>
      <c r="ED36">
        <f>SUMPRODUCT(--('Данные 1st'!$S$2:$S$317=$A36),--ISNUMBER('Данные 1st'!$IP$2:$IP$317))</f>
        <v>5</v>
      </c>
      <c r="EE36">
        <f>SUMPRODUCT(--('Данные 1st'!$S$2:$S$317=$A36),--ISNUMBER('Данные 1st'!$IV$2:$IV$317))</f>
        <v>5</v>
      </c>
      <c r="EF36">
        <f>SUMPRODUCT(--('Данные 1st'!$S$2:$S$317=$A36),--ISNUMBER('Данные 1st'!$IW$2:$IW$317))</f>
        <v>5</v>
      </c>
      <c r="EG36">
        <f>SUMPRODUCT(--('Данные 1st'!$S$2:$S$317=$A36),--ISNUMBER('Данные 1st'!$IX$2:$IX$317))</f>
        <v>0</v>
      </c>
      <c r="EH36">
        <f>SUMPRODUCT(--('Данные 1st'!$S$2:$S$317=$A36),--ISNUMBER('Данные 1st'!$IY$2:$IY$317))</f>
        <v>1</v>
      </c>
      <c r="EI36">
        <f>SUMPRODUCT(--('Данные 1st'!$S$2:$S$317=$A36),--ISNUMBER('Данные 1st'!$JD$2:$JD$317))</f>
        <v>5</v>
      </c>
      <c r="EJ36">
        <f>SUMPRODUCT(--('Данные 1st'!$S$2:$S$317=$A36),--ISNUMBER('Данные 1st'!$JE$2:$JE$317))</f>
        <v>5</v>
      </c>
      <c r="EK36">
        <f>SUMPRODUCT(--('Данные 1st'!$S$2:$S$317=$A36),--ISNUMBER('Данные 1st'!$JF$2:$JF$317))</f>
        <v>5</v>
      </c>
      <c r="EL36">
        <f>SUMPRODUCT(--('Данные 1st'!$S$2:$S$317=$A36),--ISNUMBER('Данные 1st'!$JG$2:$JG$317))</f>
        <v>5</v>
      </c>
      <c r="EM36">
        <f>SUMPRODUCT(--('Данные 1st'!$S$2:$S$317=$A36),--ISNUMBER('Данные 1st'!$JH$2:$JH$317))</f>
        <v>5</v>
      </c>
      <c r="EN36">
        <f>SUMPRODUCT(--('Данные 1st'!$S$2:$S$317=$A36),--ISNUMBER('Данные 1st'!$JJ$2:$JJ$317))</f>
        <v>5</v>
      </c>
      <c r="EO36">
        <f>SUMPRODUCT(--('Данные 1st'!$S$2:$S$317=$A36),--ISNUMBER('Данные 1st'!$JK$2:$JK$317))</f>
        <v>5</v>
      </c>
      <c r="EP36">
        <f>SUMPRODUCT(--('Данные 1st'!$S$2:$S$317=$A36),--ISNUMBER('Данные 1st'!$JL$2:$JL$317))</f>
        <v>0</v>
      </c>
      <c r="EQ36">
        <f>SUMPRODUCT(--('Данные 1st'!$S$2:$S$317=$A36),--ISNUMBER('Данные 1st'!$JM$2:$JM$317))</f>
        <v>0</v>
      </c>
      <c r="ER36">
        <f>SUMPRODUCT(--('Данные 1st'!$S$2:$S$317=$A36),--ISNUMBER('Данные 1st'!$JN$2:$JN$317))</f>
        <v>5</v>
      </c>
      <c r="ES36">
        <f>SUMPRODUCT(--('Данные 1st'!$S$2:$S$317=$A36),--ISNUMBER('Данные 1st'!$JO$2:$JO$317))</f>
        <v>5</v>
      </c>
      <c r="ET36">
        <f>SUMPRODUCT(--('Данные 1st'!$S$2:$S$317=$A36),--ISNUMBER('Данные 1st'!$JP$2:$JP$317))</f>
        <v>5</v>
      </c>
      <c r="EU36">
        <f>SUMPRODUCT(--('Данные 1st'!$S$2:$S$317=$A36),--ISNUMBER('Данные 1st'!$JQ$2:$JQ$317))</f>
        <v>5</v>
      </c>
      <c r="EV36">
        <f>SUMPRODUCT(--('Данные 1st'!$S$2:$S$317=$A36),--ISNUMBER('Данные 1st'!$JR$2:$JR$317))</f>
        <v>5</v>
      </c>
      <c r="EW36">
        <f>SUMPRODUCT(--('Данные 1st'!$S$2:$S$317=$A36),--ISNUMBER('Данные 1st'!$JS$2:$JS$317))</f>
        <v>5</v>
      </c>
      <c r="EX36">
        <f>SUMPRODUCT(--('Данные 1st'!$S$2:$S$317=$A36),--ISNUMBER('Данные 1st'!$JT$2:$JT$317))</f>
        <v>0</v>
      </c>
      <c r="EY36">
        <f>SUMPRODUCT(--('Данные 1st'!$S$2:$S$317=$A36),--ISNUMBER('Данные 1st'!$JU$2:$JU$317))</f>
        <v>0</v>
      </c>
      <c r="EZ36">
        <f>SUMPRODUCT(--('Данные 1st'!$S$2:$S$317=$A36),--ISNUMBER('Данные 1st'!$JV$2:$JV$317))</f>
        <v>5</v>
      </c>
      <c r="FA36">
        <f>SUMPRODUCT(--('Данные 1st'!$S$2:$S$317=$A36),--ISNUMBER('Данные 1st'!$JW$2:$JW$317))</f>
        <v>0</v>
      </c>
      <c r="FB36">
        <f>SUMPRODUCT(--('Данные 1st'!$S$2:$S$317=$A36),--ISNUMBER('Данные 1st'!$JX$2:$JX$317))</f>
        <v>5</v>
      </c>
      <c r="FC36">
        <f>SUMPRODUCT(--('Данные 1st'!$S$2:$S$317=$A36),--ISNUMBER('Данные 1st'!$JY$2:$JY$317))</f>
        <v>0</v>
      </c>
      <c r="FD36">
        <f>SUMPRODUCT(--('Данные 1st'!$S$2:$S$317=$A36),--ISNUMBER('Данные 1st'!$JZ$2:$JZ$317))</f>
        <v>0</v>
      </c>
      <c r="FE36">
        <f>SUMPRODUCT(--('Данные 1st'!$S$2:$S$317=$A36),--ISNUMBER('Данные 1st'!$KA$2:$KA$317))</f>
        <v>5</v>
      </c>
      <c r="FF36">
        <f>SUMPRODUCT(--('Данные 1st'!$S$2:$S$317=$A36),--ISNUMBER('Данные 1st'!$KB$2:$KB$317))</f>
        <v>5</v>
      </c>
      <c r="FG36">
        <f>SUMPRODUCT(--('Данные 1st'!$S$2:$S$317=$A36),--ISNUMBER('Данные 1st'!$KC$2:$KC$317))</f>
        <v>5</v>
      </c>
      <c r="FH36">
        <f>SUMPRODUCT(--('Данные 1st'!$S$2:$S$317=$A36),--ISNUMBER('Данные 1st'!$KD$2:$KD$317))</f>
        <v>5</v>
      </c>
      <c r="FI36">
        <f>SUMPRODUCT(--('Данные 1st'!$S$2:$S$317=$A36),--ISNUMBER('Данные 1st'!$KE$2:$KE$317))</f>
        <v>0</v>
      </c>
      <c r="FJ36">
        <f>SUMPRODUCT(--('Данные 1st'!$S$2:$S$317=$A36),--ISNUMBER('Данные 1st'!$KF$2:$KF$317))</f>
        <v>5</v>
      </c>
      <c r="FK36">
        <f>SUMPRODUCT(--('Данные 1st'!$S$2:$S$317=$A36),--ISNUMBER('Данные 1st'!$KG$2:$KG$317))</f>
        <v>5</v>
      </c>
      <c r="FL36">
        <f>SUMPRODUCT(--('Данные 1st'!$S$2:$S$317=$A36),--ISNUMBER('Данные 1st'!$KH$2:$KH$317))</f>
        <v>5</v>
      </c>
      <c r="FM36">
        <f>SUMPRODUCT(--('Данные 1st'!$S$2:$S$317=$A36),--ISNUMBER('Данные 1st'!$KI$2:$KI$317))</f>
        <v>5</v>
      </c>
      <c r="FN36">
        <f>SUMPRODUCT(--('Данные 1st'!$S$2:$S$317=$A36),--ISNUMBER('Данные 1st'!$KJ$2:$KJ$317))</f>
        <v>5</v>
      </c>
      <c r="FO36">
        <f>SUMPRODUCT(--('Данные 1st'!$S$2:$S$317=$A36),--ISNUMBER('Данные 1st'!$KK$2:$KK$317))</f>
        <v>5</v>
      </c>
      <c r="FP36">
        <f>SUMPRODUCT(--('Данные 1st'!$S$2:$S$317=$A36),--ISNUMBER('Данные 1st'!$KL$2:$KL$317))</f>
        <v>5</v>
      </c>
      <c r="FQ36">
        <f>SUMPRODUCT(--('Данные 1st'!$S$2:$S$317=$A36),--ISNUMBER('Данные 1st'!$KM$2:$KM$317))</f>
        <v>5</v>
      </c>
      <c r="FR36">
        <f>SUMPRODUCT(--('Данные 1st'!$S$2:$S$317=$A36),--ISNUMBER('Данные 1st'!$KN$2:$KN$317))</f>
        <v>5</v>
      </c>
      <c r="FS36">
        <f>SUMPRODUCT(--('Данные 1st'!$S$2:$S$317=$A36),--ISNUMBER('Данные 1st'!$KR$2:$KR$317))</f>
        <v>5</v>
      </c>
      <c r="FT36">
        <f>SUMPRODUCT(--('Данные 1st'!$S$2:$S$317=$A36),--ISNUMBER('Данные 1st'!$KS$2:$KS$317))</f>
        <v>5</v>
      </c>
      <c r="FU36">
        <f>SUMPRODUCT(--('Данные 1st'!$S$2:$S$317=$A36),--ISNUMBER('Данные 1st'!$KT$2:$KT$317))</f>
        <v>5</v>
      </c>
      <c r="FV36">
        <f>SUMPRODUCT(--('Данные 1st'!$S$2:$S$317=$A36),--ISNUMBER('Данные 1st'!$KV$2:$KV$317))</f>
        <v>0</v>
      </c>
      <c r="FW36">
        <f>SUMPRODUCT(--('Данные 1st'!$S$2:$S$317=$A36),--ISNUMBER('Данные 1st'!$KW$2:$KW$317))</f>
        <v>0</v>
      </c>
      <c r="FX36">
        <f>SUMPRODUCT(--('Данные 1st'!$S$2:$S$317=$A36),--ISNUMBER('Данные 1st'!$KX$2:$KX$317))</f>
        <v>0</v>
      </c>
      <c r="FY36">
        <f>SUMPRODUCT(--('Данные 1st'!$S$2:$S$317=$A36),--ISNUMBER('Данные 1st'!$KY$2:$KY$317))</f>
        <v>0</v>
      </c>
      <c r="FZ36">
        <f>SUMPRODUCT(--('Данные 1st'!$S$2:$S$317=$A36),--ISNUMBER('Данные 1st'!$KZ$2:$KZ$317))</f>
        <v>0</v>
      </c>
      <c r="GA36">
        <f>SUMPRODUCT(--('Данные 1st'!$S$2:$S$317=$A36),--ISNUMBER('Данные 1st'!$LA$2:$LA$317))</f>
        <v>0</v>
      </c>
      <c r="GB36">
        <f>SUMPRODUCT(--('Данные 1st'!$S$2:$S$317=$A36),--ISNUMBER('Данные 1st'!$LB$2:$LB$317))</f>
        <v>0</v>
      </c>
      <c r="GC36">
        <f>SUMPRODUCT(--('Данные 1st'!$S$2:$S$317=$A36),--ISNUMBER('Данные 1st'!$LC$2:$LC$317))</f>
        <v>0</v>
      </c>
      <c r="GD36">
        <f>SUMPRODUCT(--('Данные 1st'!$S$2:$S$317=$A36),--ISNUMBER('Данные 1st'!$LD$2:$LD$317))</f>
        <v>0</v>
      </c>
      <c r="GE36">
        <f>SUMPRODUCT(--('Данные 1st'!$S$2:$S$317=$A36),--ISNUMBER('Данные 1st'!$LE$2:$LE$317))</f>
        <v>0</v>
      </c>
      <c r="GF36">
        <f>SUMPRODUCT(--('Данные 1st'!$S$2:$S$317=$A36),--ISNUMBER('Данные 1st'!$LF$2:$LF$317))</f>
        <v>0</v>
      </c>
      <c r="GG36">
        <f>SUMPRODUCT(--('Данные 1st'!$S$2:$S$317=$A36),--ISNUMBER('Данные 1st'!$LG$2:$LG$317))</f>
        <v>0</v>
      </c>
      <c r="GH36">
        <f>SUMPRODUCT(--('Данные 1st'!$S$2:$S$317=$A36),--ISNUMBER('Данные 1st'!$LH$2:$LH$317))</f>
        <v>0</v>
      </c>
      <c r="GI36">
        <f>SUMPRODUCT(--('Данные 1st'!$S$2:$S$317=$A36),--ISNUMBER('Данные 1st'!$LI$2:$LI$317))</f>
        <v>0</v>
      </c>
      <c r="GJ36">
        <f>SUMPRODUCT(--('Данные 1st'!$S$2:$S$317=$A36),--ISNUMBER('Данные 1st'!$LJ$2:$LJ$317))</f>
        <v>0</v>
      </c>
      <c r="GK36">
        <f>SUMPRODUCT(--('Данные 1st'!$S$2:$S$317=$A36),--ISNUMBER('Данные 1st'!$LK$2:$LK$317))</f>
        <v>5</v>
      </c>
      <c r="GL36">
        <f>SUMPRODUCT(--('Данные 1st'!$S$2:$S$317=$A36),--ISNUMBER('Данные 1st'!$LV$2:$LV$317))</f>
        <v>0</v>
      </c>
      <c r="GM36">
        <f>SUMPRODUCT(--('Данные 1st'!$S$2:$S$317=$A36),--ISNUMBER('Данные 1st'!$LW$2:$LW$317))</f>
        <v>0</v>
      </c>
      <c r="GN36">
        <f>SUMPRODUCT(--('Данные 1st'!$S$2:$S$317=$A36),--ISNUMBER('Данные 1st'!$LX$2:$LX$317))</f>
        <v>0</v>
      </c>
      <c r="GO36">
        <f>SUMPRODUCT(--('Данные 1st'!$S$2:$S$317=$A36),--ISNUMBER('Данные 1st'!$LY$2:$LY$317))</f>
        <v>0</v>
      </c>
      <c r="GP36">
        <f>SUMPRODUCT(--('Данные 1st'!$S$2:$S$317=$A36),--ISNUMBER('Данные 1st'!$LZ$2:$LZ$317))</f>
        <v>0</v>
      </c>
      <c r="GQ36">
        <f>SUMPRODUCT(--('Данные 1st'!$S$2:$S$317=$A36),--ISNUMBER('Данные 1st'!$PG$2:$PG$317))</f>
        <v>5</v>
      </c>
      <c r="GR36">
        <f>SUMPRODUCT(--('Данные 1st'!$S$2:$S$317=$A36),--ISNUMBER('Данные 1st'!$PX$2:$PX$317))</f>
        <v>5</v>
      </c>
      <c r="GS36">
        <f>SUMPRODUCT(--('Данные 1st'!$S$2:$S$317=$A36),--ISNUMBER('Данные 1st'!$PY$2:$PY$317))</f>
        <v>5</v>
      </c>
      <c r="GT36">
        <f>SUMPRODUCT(--('Данные 1st'!$S$2:$S$317=$A36),--ISNUMBER('Данные 1st'!$QA$2:$QA$317))</f>
        <v>5</v>
      </c>
      <c r="GU36">
        <f>SUMPRODUCT(--('Данные 1st'!$S$2:$S$317=$A36),--ISNUMBER('Данные 1st'!$QB$2:$QB$317))</f>
        <v>5</v>
      </c>
      <c r="GV36">
        <f>SUMPRODUCT(--('Данные 1st'!$S$2:$S$317=$A36),--ISNUMBER('Данные 1st'!$QC$2:$QC$317))</f>
        <v>5</v>
      </c>
      <c r="GW36">
        <f>SUMPRODUCT(--('Данные 1st'!$S$2:$S$317=$A36),--ISNUMBER('Данные 1st'!$QD$2:$QD$317))</f>
        <v>5</v>
      </c>
      <c r="GX36">
        <f>SUMPRODUCT(--('Данные 1st'!$S$2:$S$317=$A36),--ISNUMBER('Данные 1st'!$QF$2:$QF$317))</f>
        <v>5</v>
      </c>
      <c r="GY36">
        <f>SUMPRODUCT(--('Данные 1st'!$S$2:$S$317=$A36),--ISNUMBER('Данные 1st'!$QG$2:$QG$317))</f>
        <v>5</v>
      </c>
      <c r="GZ36">
        <f>SUMPRODUCT(--('Данные 1st'!$S$2:$S$317=$A36),--ISNUMBER('Данные 1st'!$QH$2:$QH$317))</f>
        <v>5</v>
      </c>
      <c r="HA36">
        <f>SUMPRODUCT(--('Данные 1st'!$S$2:$S$317=$A36),--ISNUMBER('Данные 1st'!$QI$2:$QI$317))</f>
        <v>5</v>
      </c>
      <c r="HB36">
        <f>SUMPRODUCT(--('Данные 1st'!$S$2:$S$317=$A36),--ISNUMBER('Данные 1st'!$QK$2:$QK$317))</f>
        <v>0</v>
      </c>
      <c r="HC36">
        <f>SUMPRODUCT(--('Данные 1st'!$S$2:$S$317=$A36),--ISNUMBER('Данные 1st'!$QL$2:$QL$317))</f>
        <v>5</v>
      </c>
      <c r="HD36">
        <f>SUMPRODUCT(--('Данные 1st'!$S$2:$S$317=$A36),--ISNUMBER('Данные 1st'!$QM$2:$QM$317))</f>
        <v>5</v>
      </c>
      <c r="HE36">
        <f>SUMPRODUCT(--('Данные 1st'!$S$2:$S$317=$A36),--ISNUMBER('Данные 1st'!$QN$2:$QN$317))</f>
        <v>5</v>
      </c>
      <c r="HF36">
        <f>SUMPRODUCT(--('Данные 1st'!$S$2:$S$317=$A36),--ISNUMBER('Данные 1st'!$QP$2:$QP$317))</f>
        <v>5</v>
      </c>
      <c r="HG36">
        <f>SUMPRODUCT(--('Данные 1st'!$S$2:$S$317=$A36),--ISNUMBER('Данные 1st'!$QQ$2:$QQ$317))</f>
        <v>5</v>
      </c>
      <c r="HH36">
        <f>SUMPRODUCT(--('Данные 1st'!$S$2:$S$317=$A36),--ISNUMBER('Данные 1st'!$QR$2:$QR$317))</f>
        <v>1</v>
      </c>
      <c r="HI36">
        <f>SUMPRODUCT(--('Данные 1st'!$S$2:$S$317=$A36),--ISNUMBER('Данные 1st'!$QS$2:$QS$317))</f>
        <v>1</v>
      </c>
      <c r="HJ36">
        <f>SUMPRODUCT(--('Данные 1st'!$S$2:$S$317=$A36),--ISNUMBER('Данные 1st'!$QU$2:$QU$317))</f>
        <v>1</v>
      </c>
      <c r="HK36">
        <f>SUMPRODUCT(--('Данные 1st'!$S$2:$S$317=$A36),--ISNUMBER('Данные 1st'!$QV$2:$QV$317))</f>
        <v>1</v>
      </c>
      <c r="HL36">
        <f>SUMPRODUCT(--('Данные 1st'!$S$2:$S$317=$A36),--ISNUMBER('Данные 1st'!$QW$2:$QW$317))</f>
        <v>5</v>
      </c>
      <c r="HM36">
        <f>SUMPRODUCT(--('Данные 1st'!$S$2:$S$317=$A36),--ISNUMBER('Данные 1st'!$QX$2:$QX$317))</f>
        <v>5</v>
      </c>
      <c r="HN36">
        <f>SUMPRODUCT(--('Данные 1st'!$S$2:$S$317=$A36),--ISNUMBER('Данные 1st'!$QZ$2:$QZ$317))</f>
        <v>5</v>
      </c>
      <c r="HO36">
        <f>SUMPRODUCT(--('Данные 1st'!$S$2:$S$317=$A36),--ISNUMBER('Данные 1st'!$RA$2:$RA$317))</f>
        <v>5</v>
      </c>
      <c r="HP36">
        <f>SUMPRODUCT(--('Данные 1st'!$S$2:$S$317=$A36),--ISNUMBER('Данные 1st'!$RB$2:$RB$317))</f>
        <v>5</v>
      </c>
      <c r="HQ36">
        <f>SUMPRODUCT(--('Данные 1st'!$S$2:$S$317=$A36),--ISNUMBER('Данные 1st'!$RD$2:$RD$317))</f>
        <v>0</v>
      </c>
      <c r="HR36">
        <f>SUMPRODUCT(--('Данные 1st'!$S$2:$S$317=$A36),--ISNUMBER('Данные 1st'!$RE$2:$RE$317))</f>
        <v>5</v>
      </c>
      <c r="HS36">
        <f>SUMPRODUCT(--('Данные 1st'!$S$2:$S$317=$A36),--ISNUMBER('Данные 1st'!$RF$2:$RF$317))</f>
        <v>3</v>
      </c>
      <c r="HT36">
        <f>SUMPRODUCT(--('Данные 1st'!$S$2:$S$317=$A36),--ISNUMBER('Данные 1st'!$RG$2:$RG$317))</f>
        <v>2</v>
      </c>
      <c r="HU36">
        <f>SUMPRODUCT(--('Данные 1st'!$S$2:$S$317=$A36),--ISNUMBER('Данные 1st'!$RH$2:$RH$317))</f>
        <v>0</v>
      </c>
      <c r="HV36">
        <f>SUMPRODUCT(--('Данные 1st'!$S$2:$S$317=$A36),--ISNUMBER('Данные 1st'!$RI$2:$RI$317))</f>
        <v>1</v>
      </c>
      <c r="HW36">
        <f>SUMPRODUCT(--('Данные 1st'!$S$2:$S$317=$A36),--ISNUMBER('Данные 1st'!$RJ$2:$RJ$317))</f>
        <v>5</v>
      </c>
      <c r="HX36">
        <f>SUMPRODUCT(--('Данные 1st'!$S$2:$S$317=$A36),--ISNUMBER('Данные 1st'!$RK$2:$RK$317))</f>
        <v>0</v>
      </c>
      <c r="HY36">
        <f>SUMPRODUCT(--('Данные 1st'!$S$2:$S$317=$A36),--ISNUMBER('Данные 1st'!$RL$2:$RL$317))</f>
        <v>5</v>
      </c>
      <c r="HZ36">
        <f>SUMPRODUCT(--('Данные 1st'!$S$2:$S$317=$A36),--ISNUMBER('Данные 1st'!$RM$2:$RM$317))</f>
        <v>1</v>
      </c>
      <c r="IA36">
        <f>SUMPRODUCT(--('Данные 1st'!$S$2:$S$317=$A36),--ISNUMBER('Данные 1st'!$RN$2:$RN$317))</f>
        <v>0</v>
      </c>
      <c r="IB36">
        <f>SUMPRODUCT(--('Данные 1st'!$S$2:$S$317=$A36),--ISNUMBER('Данные 1st'!$RO$2:$RO$317))</f>
        <v>5</v>
      </c>
      <c r="IC36">
        <f>SUMPRODUCT(--('Данные 1st'!$S$2:$S$317=$A36),--ISNUMBER('Данные 1st'!$RP$2:$RP$317))</f>
        <v>0</v>
      </c>
      <c r="ID36">
        <f>SUMPRODUCT(--('Данные 1st'!$S$2:$S$317=$A36),--ISNUMBER('Данные 1st'!$RQ$2:$RQ$317))</f>
        <v>5</v>
      </c>
      <c r="IE36">
        <f>SUMPRODUCT(--('Данные 1st'!$S$2:$S$317=$A36),--ISNUMBER('Данные 1st'!$RR$2:$RR$317))</f>
        <v>1</v>
      </c>
      <c r="IF36">
        <f>SUMPRODUCT(--('Данные 1st'!$S$2:$S$317=$A36),--ISNUMBER('Данные 1st'!$RS$2:$RS$317))</f>
        <v>0</v>
      </c>
      <c r="IG36">
        <f>SUMPRODUCT(--('Данные 1st'!$S$2:$S$317=$A36),--ISNUMBER('Данные 1st'!$RT$2:$RT$317))</f>
        <v>5</v>
      </c>
      <c r="IH36">
        <f>SUMPRODUCT(--('Данные 1st'!$S$2:$S$317=$A36),--ISNUMBER('Данные 1st'!$RU$2:$RU$317))</f>
        <v>5</v>
      </c>
      <c r="II36">
        <f>SUMPRODUCT(--('Данные 1st'!$S$2:$S$317=$A36),--ISNUMBER('Данные 1st'!$RX$2:$RX$317))</f>
        <v>5</v>
      </c>
      <c r="IJ36">
        <f>SUMPRODUCT(--('Данные 1st'!$S$2:$S$317=$A36),--ISNUMBER('Данные 1st'!$RY$2:$RY$317))</f>
        <v>5</v>
      </c>
      <c r="IK36">
        <f>SUMPRODUCT(--('Данные 1st'!$S$2:$S$317=$A36),--ISNUMBER('Данные 1st'!$SA$2:$SA$317))</f>
        <v>5</v>
      </c>
      <c r="IL36">
        <f>SUMPRODUCT(--('Данные 1st'!$S$2:$S$317=$A36),--ISNUMBER('Данные 1st'!$SD$2:$SD$317))</f>
        <v>5</v>
      </c>
      <c r="IM36">
        <f>SUMPRODUCT(--('Данные 1st'!$S$2:$S$317=$A36),--ISNUMBER('Данные 1st'!$SG$2:$SG$317))</f>
        <v>1</v>
      </c>
      <c r="IN36">
        <f>SUMPRODUCT(--('Данные 1st'!$S$2:$S$317=$A36),--ISNUMBER('Данные 1st'!$SH$2:$SH$317))</f>
        <v>5</v>
      </c>
      <c r="IO36">
        <f>SUMPRODUCT(--('Данные 1st'!$S$2:$S$317=$A36),--ISNUMBER('Данные 1st'!$SI$2:$SI$317))</f>
        <v>5</v>
      </c>
      <c r="IP36">
        <f>SUMPRODUCT(--('Данные 1st'!$S$2:$S$317=$A36),--ISNUMBER('Данные 1st'!$SJ$2:$SJ$317))</f>
        <v>5</v>
      </c>
      <c r="IQ36">
        <f>SUMPRODUCT(--('Данные 1st'!$S$2:$S$317=$A36),--ISNUMBER('Данные 1st'!$SK$2:$SK$317))</f>
        <v>5</v>
      </c>
      <c r="IR36">
        <f>SUMPRODUCT(--('Данные 1st'!$S$2:$S$317=$A36),--ISNUMBER('Данные 1st'!$SL$2:$SL$317))</f>
        <v>5</v>
      </c>
      <c r="IS36">
        <f>SUMPRODUCT(--('Данные 1st'!$S$2:$S$317=$A36),--ISNUMBER('Данные 1st'!$SM$2:$SM$317))</f>
        <v>5</v>
      </c>
      <c r="IT36">
        <f>SUMPRODUCT(--('Данные 1st'!$S$2:$S$317=$A36),--ISNUMBER('Данные 1st'!$SN$2:$SN$317))</f>
        <v>5</v>
      </c>
      <c r="IU36">
        <f>SUMPRODUCT(--('Данные 1st'!$S$2:$S$317=$A36),--ISNUMBER('Данные 1st'!$SO$2:$SO$317))</f>
        <v>5</v>
      </c>
      <c r="IV36">
        <f>SUMPRODUCT(--('Данные 1st'!$S$2:$S$317=$A36),--ISNUMBER('Данные 1st'!$SP$2:$SP$317))</f>
        <v>5</v>
      </c>
      <c r="IW36">
        <f>SUMPRODUCT(--('Данные 1st'!$S$2:$S$317=$A36),--ISNUMBER('Данные 1st'!$SQ$2:$SQ$317))</f>
        <v>5</v>
      </c>
      <c r="IX36">
        <f>SUMPRODUCT(--('Данные 1st'!$S$2:$S$317=$A36),--ISNUMBER('Данные 1st'!$SR$2:$SR$317))</f>
        <v>5</v>
      </c>
      <c r="IY36">
        <f>SUMPRODUCT(--('Данные 1st'!$S$2:$S$317=$A36),--ISNUMBER('Данные 1st'!$SS$2:$SS$317))</f>
        <v>5</v>
      </c>
      <c r="IZ36">
        <f>SUMPRODUCT(--('Данные 1st'!$S$2:$S$317=$A36),--ISNUMBER('Данные 1st'!$ST$2:$ST$317))</f>
        <v>5</v>
      </c>
      <c r="JA36">
        <f>SUMPRODUCT(--('Данные 1st'!$S$2:$S$317=$A36),--ISNUMBER('Данные 1st'!$SU$2:$SU$317))</f>
        <v>5</v>
      </c>
      <c r="JB36">
        <f>SUMPRODUCT(--('Данные 1st'!$S$2:$S$317=$A36),--ISNUMBER('Данные 1st'!$SV$2:$SV$317))</f>
        <v>5</v>
      </c>
      <c r="JC36">
        <f>SUMPRODUCT(--('Данные 1st'!$S$2:$S$317=$A36),--ISNUMBER('Данные 1st'!$SW$2:$SW$317))</f>
        <v>5</v>
      </c>
      <c r="JD36">
        <f>SUMPRODUCT(--('Данные 1st'!$S$2:$S$317=$A36),--ISNUMBER('Данные 1st'!$SX$2:$SX$317))</f>
        <v>5</v>
      </c>
      <c r="JE36">
        <f>SUMPRODUCT(--('Данные 1st'!$S$2:$S$317=$A36),--ISNUMBER('Данные 1st'!$SY$2:$SY$317))</f>
        <v>0</v>
      </c>
      <c r="JF36">
        <f>SUMPRODUCT(--('Данные 1st'!$S$2:$S$317=$A36),--ISNUMBER('Данные 1st'!$SZ$2:$SZ$317))</f>
        <v>1</v>
      </c>
      <c r="JG36">
        <f>SUMPRODUCT(--('Данные 1st'!$S$2:$S$317=$A36),--ISNUMBER('Данные 1st'!$TA$2:$TA$317))</f>
        <v>0</v>
      </c>
      <c r="JH36">
        <f>SUMPRODUCT(--('Данные 1st'!$S$2:$S$317=$A36),--ISNUMBER('Данные 1st'!$TB$2:$TB$317))</f>
        <v>5</v>
      </c>
      <c r="JI36">
        <f>SUMPRODUCT(--('Данные 1st'!$S$2:$S$317=$A36),--ISNUMBER('Данные 1st'!$TC$2:$TC$317))</f>
        <v>5</v>
      </c>
      <c r="JJ36">
        <f>SUMPRODUCT(--('Данные 1st'!$S$2:$S$317=$A36),--ISNUMBER('Данные 1st'!$TD$2:$TD$317))</f>
        <v>5</v>
      </c>
      <c r="JK36">
        <f>SUMPRODUCT(--('Данные 1st'!$S$2:$S$317=$A36),--ISNUMBER('Данные 1st'!$TN$2:$TN$317))</f>
        <v>5</v>
      </c>
      <c r="JQ36">
        <f>SUMPRODUCT(--('Данные 2st'!$Q$2:$Q$317=$A36),--ISNUMBER('Данные 2st'!$AC$2:$AC$317))</f>
        <v>5</v>
      </c>
      <c r="JR36">
        <f>SUMPRODUCT(--('Данные 2st'!$Q$2:$Q$317=$A36),--ISNUMBER('Данные 2st'!$AF$2:$AF$317))</f>
        <v>5</v>
      </c>
      <c r="JS36">
        <f>SUMPRODUCT(--('Данные 2st'!$Q$2:$Q$317=$A36),--ISNUMBER('Данные 2st'!$AW$2:$AW$317))</f>
        <v>5</v>
      </c>
      <c r="JT36">
        <f>SUMPRODUCT(--('Данные 2st'!$Q$2:$Q$317=$A36),--ISNUMBER('Данные 2st'!$AX$2:$AX$317))</f>
        <v>5</v>
      </c>
      <c r="JU36">
        <f>SUMPRODUCT(--('Данные 2st'!$Q$2:$Q$317=$A36),--ISNUMBER('Данные 2st'!$AY$2:$AY$317))</f>
        <v>5</v>
      </c>
      <c r="JV36">
        <f>SUMPRODUCT(--('Данные 2st'!$Q$2:$Q$317=$A36),--ISNUMBER('Данные 2st'!$AZ$2:$AZ$317))</f>
        <v>5</v>
      </c>
      <c r="JW36">
        <f>SUMPRODUCT(--('Данные 2st'!$Q$2:$Q$317=$A36),--ISNUMBER('Данные 2st'!$BA$2:$BA$317))</f>
        <v>0</v>
      </c>
      <c r="JX36">
        <f>SUMPRODUCT(--('Данные 2st'!$Q$2:$Q$317=$A36),--ISNUMBER('Данные 2st'!$BB$2:$BB$317))</f>
        <v>0</v>
      </c>
      <c r="JY36">
        <f>SUMPRODUCT(--('Данные 2st'!$Q$2:$Q$317=$A36),--ISNUMBER('Данные 2st'!$BC$2:$BC$317))</f>
        <v>0</v>
      </c>
      <c r="JZ36">
        <f>SUMPRODUCT(--('Данные 2st'!$Q$2:$Q$317=$A36),--ISNUMBER('Данные 2st'!$BH$2:$BH$317))</f>
        <v>5</v>
      </c>
      <c r="KA36">
        <f>SUMPRODUCT(--('Данные 2st'!$Q$2:$Q$317=$A36),--ISNUMBER('Данные 2st'!$BI$2:$BI$317))</f>
        <v>5</v>
      </c>
      <c r="KB36">
        <f>SUMPRODUCT(--('Данные 2st'!$Q$2:$Q$317=$A36),--ISNUMBER('Данные 2st'!$BJ$2:$BJ$317))</f>
        <v>5</v>
      </c>
      <c r="KC36">
        <f>SUMPRODUCT(--('Данные 2st'!$Q$2:$Q$317=$A36),--ISNUMBER('Данные 2st'!$BK$2:$BK$317))</f>
        <v>5</v>
      </c>
      <c r="KD36">
        <f>SUMPRODUCT(--('Данные 2st'!$Q$2:$Q$317=$A36),--ISNUMBER('Данные 2st'!$BL$2:$BL$317))</f>
        <v>5</v>
      </c>
      <c r="KE36">
        <f>SUMPRODUCT(--('Данные 2st'!$Q$2:$Q$317=$A36),--ISNUMBER('Данные 2st'!$BM$2:$BM$317))</f>
        <v>5</v>
      </c>
      <c r="KF36">
        <f>SUMPRODUCT(--('Данные 2st'!$Q$2:$Q$317=$A36),--ISNUMBER('Данные 2st'!$BN$2:$BN$317))</f>
        <v>5</v>
      </c>
      <c r="KG36">
        <f>SUMPRODUCT(--('Данные 2st'!$Q$2:$Q$317=$A36),--ISNUMBER('Данные 2st'!$BO$2:$BO$317))</f>
        <v>1</v>
      </c>
      <c r="KH36">
        <f>SUMPRODUCT(--('Данные 2st'!$Q$2:$Q$317=$A36),--ISNUMBER('Данные 2st'!$BP$2:$BP$317))</f>
        <v>5</v>
      </c>
      <c r="KI36">
        <f>SUMPRODUCT(--('Данные 2st'!$Q$2:$Q$317=$A36),--ISNUMBER('Данные 2st'!$BR$2:$BR$317))</f>
        <v>5</v>
      </c>
      <c r="KJ36">
        <f>SUMPRODUCT(--('Данные 2st'!$Q$2:$Q$317=$A36),--ISNUMBER('Данные 2st'!$BS$2:$BS$317))</f>
        <v>5</v>
      </c>
      <c r="KK36">
        <f>SUMPRODUCT(--('Данные 2st'!$Q$2:$Q$317=$A36),--ISNUMBER('Данные 2st'!$BT$2:$BT$317))</f>
        <v>5</v>
      </c>
      <c r="KL36">
        <f>SUMPRODUCT(--('Данные 2st'!$Q$2:$Q$317=$A36),--ISNUMBER('Данные 2st'!$CV$2:$CV$317))</f>
        <v>5</v>
      </c>
      <c r="KM36">
        <f>SUMPRODUCT(--('Данные 2st'!$Q$2:$Q$317=$A36),--ISNUMBER('Данные 2st'!$CW$2:$CW$317))</f>
        <v>5</v>
      </c>
      <c r="KN36">
        <f>SUMPRODUCT(--('Данные 2st'!$Q$2:$Q$317=$A36),--ISNUMBER('Данные 2st'!$CX$2:$CX$317))</f>
        <v>5</v>
      </c>
      <c r="KO36">
        <f>SUMPRODUCT(--('Данные 2st'!$Q$2:$Q$317=$A36),--ISNUMBER('Данные 2st'!$CY$2:$CY$317))</f>
        <v>5</v>
      </c>
      <c r="KP36">
        <f>SUMPRODUCT(--('Данные 2st'!$Q$2:$Q$317=$A36),--ISNUMBER('Данные 2st'!$CZ$2:$CZ$317))</f>
        <v>5</v>
      </c>
      <c r="KQ36">
        <f>SUMPRODUCT(--('Данные 2st'!$Q$2:$Q$317=$A36),--ISNUMBER('Данные 2st'!$DA$2:$DA$317))</f>
        <v>5</v>
      </c>
      <c r="KR36">
        <f>SUMPRODUCT(--('Данные 2st'!$Q$2:$Q$317=$A36),--ISNUMBER('Данные 2st'!$DB$2:$DB$317))</f>
        <v>5</v>
      </c>
      <c r="KS36">
        <f>SUMPRODUCT(--('Данные 2st'!$Q$2:$Q$317=$A36),--ISNUMBER('Данные 2st'!$DC$2:$DC$317))</f>
        <v>5</v>
      </c>
      <c r="KT36">
        <f>SUMPRODUCT(--('Данные 2st'!$Q$2:$Q$317=$A36),--ISNUMBER('Данные 2st'!$DD$2:$DD$317))</f>
        <v>5</v>
      </c>
      <c r="KU36">
        <f>SUMPRODUCT(--('Данные 2st'!$Q$2:$Q$317=$A36),--ISNUMBER('Данные 2st'!$DE$2:$DE$317))</f>
        <v>5</v>
      </c>
      <c r="KV36">
        <f>SUMPRODUCT(--('Данные 2st'!$Q$2:$Q$317=$A36),--ISNUMBER('Данные 2st'!$DF$2:$DF$317))</f>
        <v>5</v>
      </c>
      <c r="KW36">
        <f>SUMPRODUCT(--('Данные 2st'!$Q$2:$Q$317=$A36),--ISNUMBER('Данные 2st'!$DG$2:$DG$317))</f>
        <v>5</v>
      </c>
      <c r="KX36">
        <f>SUMPRODUCT(--('Данные 2st'!$Q$2:$Q$317=$A36),--ISNUMBER('Данные 2st'!$DH$2:$DH$317))</f>
        <v>0</v>
      </c>
      <c r="KY36">
        <f>SUMPRODUCT(--('Данные 2st'!$Q$2:$Q$317=$A36),--ISNUMBER('Данные 2st'!$DI$2:$DI$317))</f>
        <v>0</v>
      </c>
      <c r="KZ36">
        <f>SUMPRODUCT(--('Данные 2st'!$Q$2:$Q$317=$A36),--ISNUMBER('Данные 2st'!$DK$2:$DK$317))</f>
        <v>5</v>
      </c>
      <c r="LA36">
        <f>SUMPRODUCT(--('Данные 2st'!$Q$2:$Q$317=$A36),--ISNUMBER('Данные 2st'!$DM$2:$DM$317))</f>
        <v>5</v>
      </c>
      <c r="LB36">
        <f>SUMPRODUCT(--('Данные 2st'!$Q$2:$Q$317=$A36),--ISNUMBER('Данные 2st'!$DN$2:$DN$317))</f>
        <v>5</v>
      </c>
      <c r="LC36">
        <f>SUMPRODUCT(--('Данные 2st'!$Q$2:$Q$317=$A36),--ISNUMBER('Данные 2st'!$DO$2:$DO$317))</f>
        <v>5</v>
      </c>
      <c r="LD36">
        <f>SUMPRODUCT(--('Данные 2st'!$Q$2:$Q$317=$A36),--ISNUMBER('Данные 2st'!$DP$2:$DP$317))</f>
        <v>5</v>
      </c>
      <c r="LE36">
        <f>SUMPRODUCT(--('Данные 2st'!$Q$2:$Q$317=$A36),--ISNUMBER('Данные 2st'!$DQ$2:$DQ$317))</f>
        <v>5</v>
      </c>
      <c r="LF36">
        <f>SUMPRODUCT(--('Данные 2st'!$Q$2:$Q$317=$A36),--ISNUMBER('Данные 2st'!$DS$2:$DS$317))</f>
        <v>5</v>
      </c>
      <c r="LG36">
        <f>SUMPRODUCT(--('Данные 2st'!$Q$2:$Q$317=$A36),--ISNUMBER('Данные 2st'!$DU$2:$DU$317))</f>
        <v>5</v>
      </c>
      <c r="LH36">
        <f>SUMPRODUCT(--('Данные 2st'!$Q$2:$Q$317=$A36),--ISNUMBER('Данные 2st'!$DV$2:$DV$317))</f>
        <v>5</v>
      </c>
      <c r="LI36">
        <f>SUMPRODUCT(--('Данные 2st'!$Q$2:$Q$317=$A36),--ISNUMBER('Данные 2st'!$DW$2:$DW$317))</f>
        <v>5</v>
      </c>
      <c r="LJ36">
        <f>SUMPRODUCT(--('Данные 2st'!$Q$2:$Q$317=$A36),--ISNUMBER('Данные 2st'!$DX$2:$DX$317))</f>
        <v>5</v>
      </c>
      <c r="LK36">
        <f>SUMPRODUCT(--('Данные 2st'!$Q$2:$Q$317=$A36),--ISNUMBER('Данные 2st'!$DY$2:$DY$317))</f>
        <v>5</v>
      </c>
      <c r="LL36">
        <f>SUMPRODUCT(--('Данные 2st'!$Q$2:$Q$317=$A36),--ISNUMBER('Данные 2st'!$EA$2:$EA$317))</f>
        <v>5</v>
      </c>
      <c r="LM36">
        <f>SUMPRODUCT(--('Данные 2st'!$Q$2:$Q$317=$A36),--ISNUMBER('Данные 2st'!$EC$2:$EC$317))</f>
        <v>5</v>
      </c>
      <c r="LN36">
        <f>SUMPRODUCT(--('Данные 2st'!$Q$2:$Q$317=$A36),--ISNUMBER('Данные 2st'!$ED$2:$ED$317))</f>
        <v>5</v>
      </c>
      <c r="LO36">
        <f>SUMPRODUCT(--('Данные 2st'!$Q$2:$Q$317=$A36),--ISNUMBER('Данные 2st'!$EE$2:$EE$317))</f>
        <v>5</v>
      </c>
      <c r="LP36">
        <f>SUMPRODUCT(--('Данные 2st'!$Q$2:$Q$317=$A36),--ISNUMBER('Данные 2st'!$EG$2:$EG$317))</f>
        <v>5</v>
      </c>
      <c r="LQ36">
        <f>SUMPRODUCT(--('Данные 2st'!$Q$2:$Q$317=$A36),--ISNUMBER('Данные 2st'!$EI$2:$EI$317))</f>
        <v>5</v>
      </c>
      <c r="LR36">
        <f>SUMPRODUCT(--('Данные 2st'!$Q$2:$Q$317=$A36),--ISNUMBER('Данные 2st'!$EJ$2:$EJ$317))</f>
        <v>1</v>
      </c>
      <c r="LS36">
        <f>SUMPRODUCT(--('Данные 2st'!$Q$2:$Q$317=$A36),--ISNUMBER('Данные 2st'!$EK$2:$EK$317))</f>
        <v>1</v>
      </c>
      <c r="LT36">
        <f>SUMPRODUCT(--('Данные 2st'!$Q$2:$Q$317=$A36),--ISNUMBER('Данные 2st'!$EM$2:$EM$317))</f>
        <v>5</v>
      </c>
      <c r="LU36">
        <f>SUMPRODUCT(--('Данные 2st'!$Q$2:$Q$317=$A36),--ISNUMBER('Данные 2st'!$EN$2:$EN$317))</f>
        <v>5</v>
      </c>
      <c r="LV36">
        <f>SUMPRODUCT(--('Данные 2st'!$Q$2:$Q$317=$A36),--ISNUMBER('Данные 2st'!$EO$2:$EO$317))</f>
        <v>5</v>
      </c>
      <c r="LW36">
        <f>SUMPRODUCT(--('Данные 2st'!$Q$2:$Q$317=$A36),--ISNUMBER('Данные 2st'!$EP$2:$EP$317))</f>
        <v>5</v>
      </c>
      <c r="LX36">
        <f>SUMPRODUCT(--('Данные 2st'!$Q$2:$Q$317=$A36),--ISNUMBER('Данные 2st'!$EQ$2:$EQ$317))</f>
        <v>5</v>
      </c>
      <c r="LY36">
        <f>SUMPRODUCT(--('Данные 2st'!$Q$2:$Q$317=$A36),--ISNUMBER('Данные 2st'!$ER$2:$ER$317))</f>
        <v>5</v>
      </c>
      <c r="LZ36">
        <f>SUMPRODUCT(--('Данные 2st'!$Q$2:$Q$317=$A36),--ISNUMBER('Данные 2st'!$ES$2:$ES$317))</f>
        <v>5</v>
      </c>
      <c r="MA36">
        <f>SUMPRODUCT(--('Данные 2st'!$Q$2:$Q$317=$A36),--ISNUMBER('Данные 2st'!$ET$2:$ET$317))</f>
        <v>5</v>
      </c>
      <c r="MB36">
        <f>SUMPRODUCT(--('Данные 2st'!$Q$2:$Q$317=$A36),--ISNUMBER('Данные 2st'!$EU$2:$EU$317))</f>
        <v>5</v>
      </c>
      <c r="MC36">
        <f>SUMPRODUCT(--('Данные 2st'!$Q$2:$Q$317=$A36),--ISNUMBER('Данные 2st'!$EV$2:$EV$317))</f>
        <v>5</v>
      </c>
      <c r="MD36">
        <f>SUMPRODUCT(--('Данные 2st'!$Q$2:$Q$317=$A36),--ISNUMBER('Данные 2st'!$EW$2:$EW$317))</f>
        <v>5</v>
      </c>
      <c r="ME36">
        <f>SUMPRODUCT(--('Данные 2st'!$Q$2:$Q$317=$A36),--ISNUMBER('Данные 2st'!$EY$2:$EY$317))</f>
        <v>5</v>
      </c>
      <c r="MF36">
        <f>SUMPRODUCT(--('Данные 2st'!$Q$2:$Q$317=$A36),--ISNUMBER('Данные 2st'!$FA$2:$FA$317))</f>
        <v>5</v>
      </c>
      <c r="MG36">
        <f>SUMPRODUCT(--('Данные 2st'!$Q$2:$Q$317=$A36),--ISNUMBER('Данные 2st'!$FB$2:$FB$317))</f>
        <v>5</v>
      </c>
      <c r="MH36">
        <f>SUMPRODUCT(--('Данные 2st'!$Q$2:$Q$317=$A36),--ISNUMBER('Данные 2st'!$FC$2:$FC$317))</f>
        <v>5</v>
      </c>
      <c r="MI36">
        <f>SUMPRODUCT(--('Данные 2st'!$Q$2:$Q$317=$A36),--ISNUMBER('Данные 2st'!$FD$2:$FD$317))</f>
        <v>5</v>
      </c>
      <c r="MJ36">
        <f>SUMPRODUCT(--('Данные 2st'!$Q$2:$Q$317=$A36),--ISNUMBER('Данные 2st'!$FE$2:$FE$317))</f>
        <v>5</v>
      </c>
      <c r="MK36">
        <f>SUMPRODUCT(--('Данные 2st'!$Q$2:$Q$317=$A36),--ISNUMBER('Данные 2st'!$FG$2:$FG$317))</f>
        <v>5</v>
      </c>
      <c r="ML36">
        <f>SUMPRODUCT(--('Данные 2st'!$Q$2:$Q$317=$A36),--ISNUMBER('Данные 2st'!$FI$2:$FI$317))</f>
        <v>5</v>
      </c>
      <c r="MM36">
        <f>SUMPRODUCT(--('Данные 2st'!$Q$2:$Q$317=$A36),--ISNUMBER('Данные 2st'!$FJ$2:$FJ$317))</f>
        <v>5</v>
      </c>
      <c r="MN36">
        <f>SUMPRODUCT(--('Данные 2st'!$Q$2:$Q$317=$A36),--ISNUMBER('Данные 2st'!$FK$2:$FK$317))</f>
        <v>5</v>
      </c>
      <c r="MO36">
        <f>SUMPRODUCT(--('Данные 2st'!$Q$2:$Q$317=$A36),--ISNUMBER('Данные 2st'!$FP$2:$FP$317))</f>
        <v>5</v>
      </c>
      <c r="MP36">
        <f>SUMPRODUCT(--('Данные 2st'!$Q$2:$Q$317=$A36),--ISNUMBER('Данные 2st'!$FQ$2:$FQ$317))</f>
        <v>5</v>
      </c>
      <c r="MQ36">
        <f>SUMPRODUCT(--('Данные 2st'!$Q$2:$Q$317=$A36),--ISNUMBER('Данные 2st'!$FS$2:$FS$317))</f>
        <v>5</v>
      </c>
      <c r="MR36">
        <f>SUMPRODUCT(--('Данные 2st'!$Q$2:$Q$317=$A36),--ISNUMBER('Данные 2st'!$FU$2:$FU$317))</f>
        <v>5</v>
      </c>
      <c r="MS36">
        <f>SUMPRODUCT(--('Данные 2st'!$Q$2:$Q$317=$A36),--ISNUMBER('Данные 2st'!$FV$2:$FV$317))</f>
        <v>5</v>
      </c>
      <c r="MT36">
        <f>SUMPRODUCT(--('Данные 2st'!$Q$2:$Q$317=$A36),--ISNUMBER('Данные 2st'!$FW$2:$FW$317))</f>
        <v>5</v>
      </c>
      <c r="MU36">
        <f>SUMPRODUCT(--('Данные 2st'!$Q$2:$Q$317=$A36),--ISNUMBER('Данные 2st'!$FY$2:$FY$317))</f>
        <v>4</v>
      </c>
      <c r="MV36">
        <f>SUMPRODUCT(--('Данные 2st'!$Q$2:$Q$317=$A36),--ISNUMBER('Данные 2st'!$GB$2:$GB$317))</f>
        <v>4</v>
      </c>
      <c r="MW36">
        <f>SUMPRODUCT(--('Данные 2st'!$Q$2:$Q$317=$A36),--ISNUMBER('Данные 2st'!$GC$2:$GC$317))</f>
        <v>4</v>
      </c>
      <c r="MX36">
        <f>SUMPRODUCT(--('Данные 2st'!$Q$2:$Q$317=$A36),--ISNUMBER('Данные 2st'!$GD$2:$GD$317))</f>
        <v>5</v>
      </c>
      <c r="MY36">
        <f>SUMPRODUCT(--('Данные 2st'!$Q$2:$Q$317=$A36),--ISNUMBER('Данные 2st'!$GN$2:$GN$317))</f>
        <v>0</v>
      </c>
      <c r="MZ36">
        <f>SUMPRODUCT(--('Данные 2st'!$Q$2:$Q$317=$A36),--ISNUMBER('Данные 2st'!$GQ$2:$GQ$317))</f>
        <v>5</v>
      </c>
      <c r="NA36">
        <f>SUMPRODUCT(--('Данные 2st'!$Q$2:$Q$317=$A36),--ISNUMBER('Данные 2st'!$GV$2:$GV$317))</f>
        <v>5</v>
      </c>
      <c r="NB36">
        <f>SUMPRODUCT(--('Данные 2st'!$Q$2:$Q$317=$A36),--ISNUMBER('Данные 2st'!$GW$2:$GW$317))</f>
        <v>5</v>
      </c>
      <c r="NC36">
        <f>SUMPRODUCT(--('Данные 2st'!$Q$2:$Q$317=$A36),--ISNUMBER('Данные 2st'!$GX$2:$GX$317))</f>
        <v>5</v>
      </c>
      <c r="ND36">
        <f>SUMPRODUCT(--('Данные 2st'!$Q$2:$Q$317=$A36),--ISNUMBER('Данные 2st'!$GY$2:$GY$317))</f>
        <v>5</v>
      </c>
      <c r="NE36">
        <f>SUMPRODUCT(--('Данные 2st'!$Q$2:$Q$317=$A36),--ISNUMBER('Данные 2st'!$GZ$2:$GZ$317))</f>
        <v>5</v>
      </c>
      <c r="NF36">
        <f>SUMPRODUCT(--('Данные 2st'!$Q$2:$Q$317=$A36),--ISNUMBER('Данные 2st'!$HA$2:$HA$317))</f>
        <v>5</v>
      </c>
      <c r="NG36">
        <f>SUMPRODUCT(--('Данные 2st'!$Q$2:$Q$317=$A36),--ISNUMBER('Данные 2st'!$HB$2:$HB$317))</f>
        <v>5</v>
      </c>
      <c r="NH36">
        <f>SUMPRODUCT(--('Данные 2st'!$Q$2:$Q$317=$A36),--ISNUMBER('Данные 2st'!$HC$2:$HC$317))</f>
        <v>5</v>
      </c>
      <c r="NI36">
        <f>SUMPRODUCT(--('Данные 2st'!$Q$2:$Q$317=$A36),--ISNUMBER('Данные 2st'!$HD$2:$HD$317))</f>
        <v>5</v>
      </c>
      <c r="NJ36">
        <f>SUMPRODUCT(--('Данные 2st'!$Q$2:$Q$317=$A36),--ISNUMBER('Данные 2st'!$HM$2:$HM$317))</f>
        <v>5</v>
      </c>
      <c r="NK36">
        <f>SUMPRODUCT(--('Данные 2st'!$Q$2:$Q$317=$A36),--ISNUMBER('Данные 2st'!$HR$2:$HR$317))</f>
        <v>5</v>
      </c>
      <c r="NL36">
        <f>SUMPRODUCT(--('Данные 2st'!$Q$2:$Q$317=$A36),--ISNUMBER('Данные 2st'!$HS$2:$HS$317))</f>
        <v>5</v>
      </c>
      <c r="NM36">
        <f>SUMPRODUCT(--('Данные 2st'!$Q$2:$Q$317=$A36),--ISNUMBER('Данные 2st'!$HT$2:$HT$317))</f>
        <v>5</v>
      </c>
      <c r="NN36">
        <f>SUMPRODUCT(--('Данные 2st'!$Q$2:$Q$317=$A36),--ISNUMBER('Данные 2st'!$HY$2:$HY$317))</f>
        <v>5</v>
      </c>
      <c r="NO36">
        <f>SUMPRODUCT(--('Данные 2st'!$Q$2:$Q$317=$A36),--ISNUMBER('Данные 2st'!$HZ$2:$HZ$317))</f>
        <v>5</v>
      </c>
      <c r="NP36">
        <f>SUMPRODUCT(--('Данные 2st'!$Q$2:$Q$317=$A36),--ISNUMBER('Данные 2st'!$IA$2:$IA$317))</f>
        <v>5</v>
      </c>
      <c r="NQ36">
        <f>SUMPRODUCT(--('Данные 2st'!$Q$2:$Q$317=$A36),--ISNUMBER('Данные 2st'!$IB$2:$IB$317))</f>
        <v>5</v>
      </c>
      <c r="NR36">
        <f>SUMPRODUCT(--('Данные 2st'!$Q$2:$Q$317=$A36),--ISNUMBER('Данные 2st'!$IC$2:$IC$317))</f>
        <v>0</v>
      </c>
      <c r="NS36">
        <f>SUMPRODUCT(--('Данные 2st'!$Q$2:$Q$317=$A36),--ISNUMBER('Данные 2st'!$ID$2:$ID$317))</f>
        <v>5</v>
      </c>
      <c r="NT36">
        <f>SUMPRODUCT(--('Данные 2st'!$Q$2:$Q$317=$A36),--ISNUMBER('Данные 2st'!$IE$2:$IE$317))</f>
        <v>5</v>
      </c>
      <c r="NU36">
        <f>SUMPRODUCT(--('Данные 2st'!$Q$2:$Q$317=$A36),--ISNUMBER('Данные 2st'!$IF$2:$IF$317))</f>
        <v>5</v>
      </c>
      <c r="NV36">
        <f>SUMPRODUCT(--('Данные 2st'!$Q$2:$Q$317=$A36),--ISNUMBER('Данные 2st'!$IG$2:$IG$317))</f>
        <v>5</v>
      </c>
      <c r="NW36">
        <f>SUMPRODUCT(--('Данные 2st'!$Q$2:$Q$317=$A36),--ISNUMBER('Данные 2st'!$IH$2:$IH$317))</f>
        <v>5</v>
      </c>
      <c r="NX36">
        <f>SUMPRODUCT(--('Данные 2st'!$Q$2:$Q$317=$A36),--ISNUMBER('Данные 2st'!$IJ$2:$IJ$317))</f>
        <v>5</v>
      </c>
      <c r="NY36">
        <f>SUMPRODUCT(--('Данные 2st'!$Q$2:$Q$317=$A36),--ISNUMBER('Данные 2st'!$IM$2:$IM$317))</f>
        <v>5</v>
      </c>
      <c r="NZ36">
        <f>SUMPRODUCT(--('Данные 2st'!$Q$2:$Q$317=$A36),--ISNUMBER('Данные 2st'!$IN$2:$IN$317))</f>
        <v>5</v>
      </c>
      <c r="OA36">
        <f>SUMPRODUCT(--('Данные 2st'!$Q$2:$Q$317=$A36),--ISNUMBER('Данные 2st'!$IO$2:$IO$317))</f>
        <v>5</v>
      </c>
      <c r="OB36">
        <f>SUMPRODUCT(--('Данные 2st'!$Q$2:$Q$317=$A36),--ISNUMBER('Данные 2st'!$IP$2:$IP$317))</f>
        <v>5</v>
      </c>
      <c r="OC36">
        <f>SUMPRODUCT(--('Данные 2st'!$Q$2:$Q$317=$A36),--ISNUMBER('Данные 2st'!$IQ$2:$IQ$317))</f>
        <v>5</v>
      </c>
      <c r="OD36">
        <f>SUMPRODUCT(--('Данные 2st'!$Q$2:$Q$317=$A36),--ISNUMBER('Данные 2st'!$IR$2:$IR$317))</f>
        <v>5</v>
      </c>
      <c r="OE36">
        <f>SUMPRODUCT(--('Данные 2st'!$Q$2:$Q$317=$A36),--ISNUMBER('Данные 2st'!$IT$2:$IT$317))</f>
        <v>5</v>
      </c>
      <c r="OF36">
        <f>SUMPRODUCT(--('Данные 2st'!$Q$2:$Q$317=$A36),--ISNUMBER('Данные 2st'!$IU$2:$IU$317))</f>
        <v>5</v>
      </c>
      <c r="OG36">
        <f>SUMPRODUCT(--('Данные 2st'!$Q$2:$Q$317=$A36),--ISNUMBER('Данные 2st'!$IV$2:$IV$317))</f>
        <v>5</v>
      </c>
      <c r="OH36">
        <f>SUMPRODUCT(--('Данные 2st'!$Q$2:$Q$317=$A36),--ISNUMBER('Данные 2st'!$IW$2:$IW$317))</f>
        <v>5</v>
      </c>
      <c r="OI36">
        <f>SUMPRODUCT(--('Данные 2st'!$Q$2:$Q$317=$A36),--ISNUMBER('Данные 2st'!$IX$2:$IX$317))</f>
        <v>5</v>
      </c>
      <c r="OJ36">
        <f>SUMPRODUCT(--('Данные 2st'!$Q$2:$Q$317=$A36),--ISNUMBER('Данные 2st'!$IY$2:$IY$317))</f>
        <v>5</v>
      </c>
      <c r="OK36">
        <f>SUMPRODUCT(--('Данные 2st'!$Q$2:$Q$317=$A36),--ISNUMBER('Данные 2st'!$IZ$2:$IZ$317))</f>
        <v>5</v>
      </c>
      <c r="OL36">
        <f>SUMPRODUCT(--('Данные 2st'!$Q$2:$Q$317=$A36),--ISNUMBER('Данные 2st'!$JA$2:$JA$317))</f>
        <v>5</v>
      </c>
      <c r="OM36">
        <f>SUMPRODUCT(--('Данные 2st'!$Q$2:$Q$317=$A36),--ISNUMBER('Данные 2st'!$JB$2:$JB$317))</f>
        <v>5</v>
      </c>
      <c r="ON36">
        <f>SUMPRODUCT(--('Данные 2st'!$Q$2:$Q$317=$A36),--ISNUMBER('Данные 2st'!$JC$2:$JC$317))</f>
        <v>5</v>
      </c>
      <c r="OO36">
        <f>SUMPRODUCT(--('Данные 2st'!$Q$2:$Q$317=$A36),--ISNUMBER('Данные 2st'!$JD$2:$JD$317))</f>
        <v>5</v>
      </c>
      <c r="OP36">
        <f>SUMPRODUCT(--('Данные 2st'!$Q$2:$Q$317=$A36),--ISNUMBER('Данные 2st'!$JE$2:$JE$317))</f>
        <v>5</v>
      </c>
      <c r="OQ36">
        <f>SUMPRODUCT(--('Данные 2st'!$Q$2:$Q$317=$A36),--ISNUMBER('Данные 2st'!$JF$2:$JF$317))</f>
        <v>5</v>
      </c>
      <c r="OR36">
        <f>SUMPRODUCT(--('Данные 2st'!$Q$2:$Q$317=$A36),--ISNUMBER('Данные 2st'!$JG$2:$JG$317))</f>
        <v>5</v>
      </c>
      <c r="OS36">
        <f>SUMPRODUCT(--('Данные 2st'!$Q$2:$Q$317=$A36),--ISNUMBER('Данные 2st'!$JH$2:$JH$317))</f>
        <v>5</v>
      </c>
      <c r="OT36">
        <f>SUMPRODUCT(--('Данные 2st'!$Q$2:$Q$317=$A36),--ISNUMBER('Данные 2st'!$JI$2:$JI$317))</f>
        <v>5</v>
      </c>
      <c r="OU36">
        <f>SUMPRODUCT(--('Данные 2st'!$Q$2:$Q$317=$A36),--ISNUMBER('Данные 2st'!$JJ$2:$JJ$317))</f>
        <v>5</v>
      </c>
      <c r="OV36">
        <f>SUMPRODUCT(--('Данные 2st'!$Q$2:$Q$317=$A36),--ISNUMBER('Данные 2st'!$JK$2:$JK$317))</f>
        <v>5</v>
      </c>
      <c r="OW36">
        <f>SUMPRODUCT(--('Данные 2st'!$Q$2:$Q$317=$A36),--ISNUMBER('Данные 2st'!$JL$2:$JL$317))</f>
        <v>5</v>
      </c>
      <c r="OX36">
        <f>SUMPRODUCT(--('Данные 2st'!$Q$2:$Q$317=$A36),--ISNUMBER('Данные 2st'!$JM$2:$JM$317))</f>
        <v>5</v>
      </c>
      <c r="OY36">
        <f>SUMPRODUCT(--('Данные 2st'!$Q$2:$Q$317=$A36),--ISNUMBER('Данные 2st'!$JP$2:$JP$317))</f>
        <v>5</v>
      </c>
      <c r="OZ36">
        <f>SUMPRODUCT(--('Данные 2st'!$Q$2:$Q$317=$A36),--ISNUMBER('Данные 2st'!$JQ$2:$JQ$317))</f>
        <v>5</v>
      </c>
      <c r="PA36">
        <f>SUMPRODUCT(--('Данные 2st'!$Q$2:$Q$317=$A36),--ISNUMBER('Данные 2st'!$JR$2:$JR$317))</f>
        <v>5</v>
      </c>
      <c r="PB36">
        <f>SUMPRODUCT(--('Данные 2st'!$Q$2:$Q$317=$A36),--ISNUMBER('Данные 2st'!$JS$2:$JS$317))</f>
        <v>5</v>
      </c>
      <c r="PC36">
        <f>SUMPRODUCT(--('Данные 2st'!$Q$2:$Q$317=$A36),--ISNUMBER('Данные 2st'!$JT$2:$JT$317))</f>
        <v>5</v>
      </c>
      <c r="PD36">
        <f>SUMPRODUCT(--('Данные 2st'!$Q$2:$Q$317=$A36),--ISNUMBER('Данные 2st'!$JU$2:$JU$317))</f>
        <v>5</v>
      </c>
      <c r="PE36">
        <f>SUMPRODUCT(--('Данные 2st'!$Q$2:$Q$317=$A36),--ISNUMBER('Данные 2st'!$JV$2:$JV$317))</f>
        <v>5</v>
      </c>
      <c r="PF36">
        <f>SUMPRODUCT(--('Данные 2st'!$Q$2:$Q$317=$A36),--ISNUMBER('Данные 2st'!$JW$2:$JW$317))</f>
        <v>5</v>
      </c>
      <c r="PG36">
        <f>SUMPRODUCT(--('Данные 2st'!$Q$2:$Q$317=$A36),--ISNUMBER('Данные 2st'!$KF$2:$KF$317))</f>
        <v>5</v>
      </c>
      <c r="PH36">
        <f>SUMPRODUCT(--('Данные 2st'!$Q$2:$Q$317=$A36),--ISNUMBER('Данные 2st'!$KG$2:$KG$317))</f>
        <v>5</v>
      </c>
      <c r="PI36">
        <f>SUMPRODUCT(--('Данные 2st'!$Q$2:$Q$317=$A36),--ISNUMBER('Данные 2st'!$KM$2:$KM$317))</f>
        <v>5</v>
      </c>
      <c r="PJ36">
        <f>SUMPRODUCT(--('Данные 2st'!$Q$2:$Q$317=$A36),--ISNUMBER('Данные 2st'!$KN$2:$KN$317))</f>
        <v>5</v>
      </c>
      <c r="PK36">
        <f>SUMPRODUCT(--('Данные 2st'!$Q$2:$Q$317=$A36),--ISNUMBER('Данные 2st'!$KO$2:$KO$317))</f>
        <v>5</v>
      </c>
      <c r="PL36">
        <f>SUMPRODUCT(--('Данные 2st'!$Q$2:$Q$317=$A36),--ISNUMBER('Данные 2st'!$KP$2:$KP$317))</f>
        <v>5</v>
      </c>
      <c r="PM36">
        <f>SUMPRODUCT(--('Данные 2st'!$Q$2:$Q$317=$A36),--ISNUMBER('Данные 2st'!$KQ$2:$KQ$317))</f>
        <v>5</v>
      </c>
      <c r="PN36">
        <f>SUMPRODUCT(--('Данные 2st'!$Q$2:$Q$317=$A36),--ISNUMBER('Данные 2st'!$KR$2:$KR$317))</f>
        <v>5</v>
      </c>
      <c r="PO36">
        <f>SUMPRODUCT(--('Данные 2st'!$Q$2:$Q$317=$A36),--ISNUMBER('Данные 2st'!$KS$2:$KS$317))</f>
        <v>5</v>
      </c>
      <c r="PP36">
        <f>SUMPRODUCT(--('Данные 2st'!$Q$2:$Q$317=$A36),--ISNUMBER('Данные 2st'!$KT$2:$KT$317))</f>
        <v>5</v>
      </c>
      <c r="PQ36">
        <f>SUMPRODUCT(--('Данные 2st'!$Q$2:$Q$317=$A36),--ISNUMBER('Данные 2st'!$KU$2:$KU$317))</f>
        <v>5</v>
      </c>
      <c r="PR36">
        <f>SUMPRODUCT(--('Данные 2st'!$Q$2:$Q$317=$A36),--ISNUMBER('Данные 2st'!$KV$2:$KV$317))</f>
        <v>5</v>
      </c>
      <c r="PS36">
        <f>SUMPRODUCT(--('Данные 2st'!$Q$2:$Q$317=$A36),--ISNUMBER('Данные 2st'!$KW$2:$KW$317))</f>
        <v>5</v>
      </c>
      <c r="PT36">
        <f>SUMPRODUCT(--('Данные 2st'!$Q$2:$Q$317=$A36),--ISNUMBER('Данные 2st'!$KX$2:$KX$317))</f>
        <v>5</v>
      </c>
      <c r="PU36">
        <f>SUMPRODUCT(--('Данные 2st'!$Q$2:$Q$317=$A36),--ISNUMBER('Данные 2st'!$KY$2:$KY$317))</f>
        <v>5</v>
      </c>
      <c r="PV36">
        <f>SUMPRODUCT(--('Данные 2st'!$Q$2:$Q$317=$A36),--ISNUMBER('Данные 2st'!$KZ$2:$KZ$317))</f>
        <v>5</v>
      </c>
      <c r="PW36">
        <f>SUMPRODUCT(--('Данные 2st'!$Q$2:$Q$317=$A36),--ISNUMBER('Данные 2st'!$LA$2:$LA$317))</f>
        <v>5</v>
      </c>
      <c r="PX36">
        <f>SUMPRODUCT(--('Данные 2st'!$Q$2:$Q$317=$A36),--ISNUMBER('Данные 2st'!$LB$2:$LB$317))</f>
        <v>5</v>
      </c>
      <c r="PY36">
        <f>SUMPRODUCT(--('Данные 2st'!$Q$2:$Q$317=$A36),--ISNUMBER('Данные 2st'!$LC$2:$LC$317))</f>
        <v>5</v>
      </c>
      <c r="PZ36">
        <f>SUMPRODUCT(--('Данные 2st'!$Q$2:$Q$317=$A36),--ISNUMBER('Данные 2st'!$LD$2:$LD$317))</f>
        <v>5</v>
      </c>
      <c r="QA36">
        <f>SUMPRODUCT(--('Данные 2st'!$Q$2:$Q$317=$A36),--ISNUMBER('Данные 2st'!$LE$2:$LE$317))</f>
        <v>5</v>
      </c>
      <c r="QB36">
        <f>SUMPRODUCT(--('Данные 2st'!$Q$2:$Q$317=$A36),--ISNUMBER('Данные 2st'!$LF$2:$LF$317))</f>
        <v>5</v>
      </c>
      <c r="QC36">
        <f>SUMPRODUCT(--('Данные 2st'!$Q$2:$Q$317=$A36),--ISNUMBER('Данные 2st'!$LG$2:$LG$317))</f>
        <v>5</v>
      </c>
      <c r="QD36">
        <f>SUMPRODUCT(--('Данные 2st'!$Q$2:$Q$317=$A36),--ISNUMBER('Данные 2st'!$LH$2:$LH$317))</f>
        <v>5</v>
      </c>
      <c r="QE36">
        <f>SUMPRODUCT(--('Данные 2st'!$Q$2:$Q$317=$A36),--ISNUMBER('Данные 2st'!$LJ$2:$LJ$317))</f>
        <v>5</v>
      </c>
      <c r="QF36">
        <f>SUMPRODUCT(--('Данные 2st'!$Q$2:$Q$317=$A36),--ISNUMBER('Данные 2st'!$LK$2:$LK$317))</f>
        <v>5</v>
      </c>
      <c r="QG36">
        <f>SUMPRODUCT(--('Данные 2st'!$Q$2:$Q$317=$A36),--ISNUMBER('Данные 2st'!$LL$2:$LL$317))</f>
        <v>5</v>
      </c>
      <c r="QH36">
        <f>SUMPRODUCT(--('Данные 2st'!$Q$2:$Q$317=$A36),--ISNUMBER('Данные 2st'!$LM$2:$LM$317))</f>
        <v>5</v>
      </c>
      <c r="QI36">
        <f>SUMPRODUCT(--('Данные 2st'!$Q$2:$Q$317=$A36),--ISNUMBER('Данные 2st'!$LN$2:$LN$317))</f>
        <v>5</v>
      </c>
      <c r="QJ36">
        <f>SUMPRODUCT(--('Данные 2st'!$Q$2:$Q$317=$A36),--ISNUMBER('Данные 2st'!$LO$2:$LO$317))</f>
        <v>5</v>
      </c>
      <c r="QK36">
        <f>SUMPRODUCT(--('Данные 2st'!$Q$2:$Q$317=$A36),--ISNUMBER('Данные 2st'!$LP$2:$LP$317))</f>
        <v>5</v>
      </c>
      <c r="QL36">
        <f>SUMPRODUCT(--('Данные 2st'!$Q$2:$Q$317=$A36),--ISNUMBER('Данные 2st'!$LQ$2:$LQ$317))</f>
        <v>5</v>
      </c>
      <c r="QM36">
        <f>SUMPRODUCT(--('Данные 2st'!$Q$2:$Q$317=$A36),--ISNUMBER('Данные 2st'!$LW$2:$LW$317))</f>
        <v>5</v>
      </c>
      <c r="QN36">
        <f>SUMPRODUCT(--('Данные 2st'!$Q$2:$Q$317=$A36),--ISNUMBER('Данные 2st'!$LX$2:$LX$317))</f>
        <v>5</v>
      </c>
      <c r="QO36">
        <f>SUMPRODUCT(--('Данные 2st'!$Q$2:$Q$317=$A36),--ISNUMBER('Данные 2st'!$LY$2:$LY$317))</f>
        <v>5</v>
      </c>
      <c r="QP36">
        <f>SUMPRODUCT(--('Данные 2st'!$Q$2:$Q$317=$A36),--ISNUMBER('Данные 2st'!$LZ$2:$LZ$317))</f>
        <v>5</v>
      </c>
      <c r="QQ36">
        <f>SUMPRODUCT(--('Данные 2st'!$Q$2:$Q$317=$A36),--ISNUMBER('Данные 2st'!$MB$2:$MB$317))</f>
        <v>5</v>
      </c>
      <c r="QR36">
        <f>SUMPRODUCT(--('Данные 2st'!$Q$2:$Q$317=$A36),--ISNUMBER('Данные 2st'!$MG$2:$MG$317))</f>
        <v>4</v>
      </c>
      <c r="QS36">
        <f>SUMPRODUCT(--('Данные 2st'!$Q$2:$Q$317=$A36),--ISNUMBER('Данные 2st'!$MH$2:$MH$317))</f>
        <v>4</v>
      </c>
      <c r="QT36">
        <f>SUMPRODUCT(--('Данные 2st'!$Q$2:$Q$317=$A36),--ISNUMBER('Данные 2st'!$MI$2:$MI$317))</f>
        <v>5</v>
      </c>
      <c r="QU36">
        <f>SUMPRODUCT(--('Данные 2st'!$Q$2:$Q$317=$A36),--ISNUMBER('Данные 2st'!$MJ$2:$MJ$317))</f>
        <v>5</v>
      </c>
      <c r="QV36">
        <f>SUMPRODUCT(--('Данные 2st'!$Q$2:$Q$317=$A36),--ISNUMBER('Данные 2st'!$MK$2:$MK$317))</f>
        <v>4</v>
      </c>
      <c r="QW36">
        <f>SUMPRODUCT(--('Данные 2st'!$Q$2:$Q$317=$A36),--ISNUMBER('Данные 2st'!$MM$2:$MM$317))</f>
        <v>4</v>
      </c>
      <c r="QX36">
        <f>SUMPRODUCT(--('Данные 2st'!$Q$2:$Q$317=$A36),--ISNUMBER('Данные 2st'!$MQ$2:$MQ$317))</f>
        <v>0</v>
      </c>
      <c r="QY36">
        <f>SUMPRODUCT(--('Данные 2st'!$Q$2:$Q$317=$A36),--ISNUMBER('Данные 2st'!$MR$2:$MR$317))</f>
        <v>0</v>
      </c>
      <c r="QZ36">
        <f>SUMPRODUCT(--('Данные 2st'!$Q$2:$Q$317=$A36),--ISNUMBER('Данные 2st'!$MS$2:$MS$317))</f>
        <v>0</v>
      </c>
      <c r="RA36">
        <f>SUMPRODUCT(--('Данные 2st'!$Q$2:$Q$317=$A36),--ISNUMBER('Данные 2st'!$MT$2:$MT$317))</f>
        <v>0</v>
      </c>
      <c r="RB36">
        <f>SUMPRODUCT(--('Данные 2st'!$Q$2:$Q$317=$A36),--ISNUMBER('Данные 2st'!$MU$2:$MU$317))</f>
        <v>0</v>
      </c>
      <c r="RC36">
        <f>SUMPRODUCT(--('Данные 2st'!$Q$2:$Q$317=$A36),--ISNUMBER('Данные 2st'!$MV$2:$MV$317))</f>
        <v>0</v>
      </c>
      <c r="RD36">
        <f>SUMPRODUCT(--('Данные 2st'!$Q$2:$Q$317=$A36),--ISNUMBER('Данные 2st'!$MW$2:$MW$317))</f>
        <v>0</v>
      </c>
      <c r="RE36">
        <f>SUMPRODUCT(--('Данные 2st'!$Q$2:$Q$317=$A36),--ISNUMBER('Данные 2st'!$MX$2:$MX$317))</f>
        <v>0</v>
      </c>
      <c r="RF36">
        <f>SUMPRODUCT(--('Данные 2st'!$Q$2:$Q$317=$A36),--ISNUMBER('Данные 2st'!$MY$2:$MY$317))</f>
        <v>0</v>
      </c>
      <c r="RG36">
        <f>SUMPRODUCT(--('Данные 2st'!$Q$2:$Q$317=$A36),--ISNUMBER('Данные 2st'!$MZ$2:$MZ$317))</f>
        <v>0</v>
      </c>
      <c r="RH36">
        <f>SUMPRODUCT(--('Данные 2st'!$Q$2:$Q$317=$A36),--ISNUMBER('Данные 2st'!$NA$2:$NA$317))</f>
        <v>0</v>
      </c>
      <c r="RI36">
        <f>SUMPRODUCT(--('Данные 2st'!$Q$2:$Q$317=$A36),--ISNUMBER('Данные 2st'!$NB$2:$NB$317))</f>
        <v>0</v>
      </c>
      <c r="RJ36">
        <f>SUMPRODUCT(--('Данные 2st'!$Q$2:$Q$317=$A36),--ISNUMBER('Данные 2st'!$NC$2:$NC$317))</f>
        <v>0</v>
      </c>
      <c r="RK36">
        <f>SUMPRODUCT(--('Данные 2st'!$Q$2:$Q$317=$A36),--ISNUMBER('Данные 2st'!$ND$2:$ND$317))</f>
        <v>0</v>
      </c>
      <c r="RL36">
        <f>SUMPRODUCT(--('Данные 2st'!$Q$2:$Q$317=$A36),--ISNUMBER('Данные 2st'!$NE$2:$NE$317))</f>
        <v>0</v>
      </c>
      <c r="RM36">
        <f>SUMPRODUCT(--('Данные 2st'!$Q$2:$Q$317=$A36),--ISNUMBER('Данные 2st'!$NF$2:$NF$317))</f>
        <v>0</v>
      </c>
      <c r="RN36">
        <f>SUMPRODUCT(--('Данные 2st'!$Q$2:$Q$317=$A36),--ISNUMBER('Данные 2st'!$NG$2:$NG$317))</f>
        <v>0</v>
      </c>
      <c r="RO36">
        <f>SUMPRODUCT(--('Данные 2st'!$Q$2:$Q$317=$A36),--ISNUMBER('Данные 2st'!$NH$2:$NH$317))</f>
        <v>0</v>
      </c>
      <c r="RP36">
        <f>SUMPRODUCT(--('Данные 2st'!$Q$2:$Q$317=$A36),--ISNUMBER('Данные 2st'!$NJ$2:$NJ$317))</f>
        <v>0</v>
      </c>
      <c r="RQ36">
        <f>SUMPRODUCT(--('Данные 2st'!$Q$2:$Q$317=$A36),--ISNUMBER('Данные 2st'!$NK$2:$NK$317))</f>
        <v>0</v>
      </c>
      <c r="RR36">
        <f>SUMPRODUCT(--('Данные 2st'!$Q$2:$Q$317=$A36),--ISNUMBER('Данные 2st'!$NM$2:$NM$317))</f>
        <v>0</v>
      </c>
      <c r="RS36">
        <f>SUMPRODUCT(--('Данные 2st'!$Q$2:$Q$317=$A36),--ISNUMBER('Данные 2st'!$NN$2:$NN$317))</f>
        <v>0</v>
      </c>
      <c r="RT36">
        <f>SUMPRODUCT(--('Данные 2st'!$Q$2:$Q$317=$A36),--ISNUMBER('Данные 2st'!$NO$2:$NO$317))</f>
        <v>0</v>
      </c>
      <c r="RU36">
        <f>SUMPRODUCT(--('Данные 2st'!$Q$2:$Q$317=$A36),--ISNUMBER('Данные 2st'!$NP$2:$NP$317))</f>
        <v>0</v>
      </c>
      <c r="RV36">
        <f>SUMPRODUCT(--('Данные 2st'!$Q$2:$Q$317=$A36),--ISNUMBER('Данные 2st'!$NQ$2:$NQ$317))</f>
        <v>0</v>
      </c>
      <c r="RW36">
        <f>SUMPRODUCT(--('Данные 2st'!$Q$2:$Q$317=$A36),--ISNUMBER('Данные 2st'!$NR$2:$NR$317))</f>
        <v>0</v>
      </c>
      <c r="RX36">
        <f>SUMPRODUCT(--('Данные 2st'!$Q$2:$Q$317=$A36),--ISNUMBER('Данные 2st'!$NS$2:$NS$317))</f>
        <v>0</v>
      </c>
      <c r="RY36">
        <f>SUMPRODUCT(--('Данные 2st'!$Q$2:$Q$317=$A36),--ISNUMBER('Данные 2st'!$NT$2:$NT$317))</f>
        <v>0</v>
      </c>
      <c r="RZ36">
        <f>SUMPRODUCT(--('Данные 2st'!$Q$2:$Q$317=$A36),--ISNUMBER('Данные 2st'!$OK$2:$OK$317))</f>
        <v>5</v>
      </c>
      <c r="SA36">
        <f>SUMPRODUCT(--('Данные 2st'!$Q$2:$Q$317=$A36),--ISNUMBER('Данные 2st'!$OL$2:$OL$317))</f>
        <v>5</v>
      </c>
      <c r="SB36">
        <f>SUMPRODUCT(--('Данные 2st'!$Q$2:$Q$317=$A36),--ISNUMBER('Данные 2st'!$ON$2:$ON$317))</f>
        <v>5</v>
      </c>
      <c r="SC36">
        <f>SUMPRODUCT(--('Данные 2st'!$Q$2:$Q$317=$A36),--ISNUMBER('Данные 2st'!$OO$2:$OO$317))</f>
        <v>5</v>
      </c>
      <c r="SD36">
        <f>SUMPRODUCT(--('Данные 2st'!$Q$2:$Q$317=$A36),--ISNUMBER('Данные 2st'!$OP$2:$OP$317))</f>
        <v>5</v>
      </c>
      <c r="SE36">
        <f>SUMPRODUCT(--('Данные 2st'!$Q$2:$Q$317=$A36),--ISNUMBER('Данные 2st'!$OQ$2:$OQ$317))</f>
        <v>5</v>
      </c>
      <c r="SF36">
        <f>SUMPRODUCT(--('Данные 2st'!$Q$2:$Q$317=$A36),--ISNUMBER('Данные 2st'!$OS$2:$OS$317))</f>
        <v>5</v>
      </c>
      <c r="SG36">
        <f>SUMPRODUCT(--('Данные 2st'!$Q$2:$Q$317=$A36),--ISNUMBER('Данные 2st'!$OT$2:$OT$317))</f>
        <v>5</v>
      </c>
      <c r="SH36">
        <f>SUMPRODUCT(--('Данные 2st'!$Q$2:$Q$317=$A36),--ISNUMBER('Данные 2st'!$OU$2:$OU$317))</f>
        <v>5</v>
      </c>
      <c r="SI36">
        <f>SUMPRODUCT(--('Данные 2st'!$Q$2:$Q$317=$A36),--ISNUMBER('Данные 2st'!$OV$2:$OV$317))</f>
        <v>5</v>
      </c>
      <c r="SJ36">
        <f>SUMPRODUCT(--('Данные 2st'!$Q$2:$Q$317=$A36),--ISNUMBER('Данные 2st'!$OX$2:$OX$317))</f>
        <v>5</v>
      </c>
      <c r="SK36">
        <f>SUMPRODUCT(--('Данные 2st'!$Q$2:$Q$317=$A36),--ISNUMBER('Данные 2st'!$OY$2:$OY$317))</f>
        <v>5</v>
      </c>
      <c r="SL36">
        <f>SUMPRODUCT(--('Данные 2st'!$Q$2:$Q$317=$A36),--ISNUMBER('Данные 2st'!$OZ$2:$OZ$317))</f>
        <v>5</v>
      </c>
      <c r="SM36">
        <f>SUMPRODUCT(--('Данные 2st'!$Q$2:$Q$317=$A36),--ISNUMBER('Данные 2st'!$PA$2:$PA$317))</f>
        <v>5</v>
      </c>
      <c r="SN36">
        <f>SUMPRODUCT(--('Данные 2st'!$Q$2:$Q$317=$A36),--ISNUMBER('Данные 2st'!$PC$2:$PC$317))</f>
        <v>5</v>
      </c>
      <c r="SO36">
        <f>SUMPRODUCT(--('Данные 2st'!$Q$2:$Q$317=$A36),--ISNUMBER('Данные 2st'!$PD$2:$PD$317))</f>
        <v>5</v>
      </c>
      <c r="SP36">
        <f>SUMPRODUCT(--('Данные 2st'!$Q$2:$Q$317=$A36),--ISNUMBER('Данные 2st'!$PF$2:$PF$317))</f>
        <v>5</v>
      </c>
      <c r="SQ36">
        <f>SUMPRODUCT(--('Данные 2st'!$Q$2:$Q$317=$A36),--ISNUMBER('Данные 2st'!$PG$2:$PG$317))</f>
        <v>5</v>
      </c>
      <c r="SR36">
        <f>SUMPRODUCT(--('Данные 2st'!$Q$2:$Q$317=$A36),--ISNUMBER('Данные 2st'!$PH$2:$PH$317))</f>
        <v>5</v>
      </c>
      <c r="SS36">
        <f>SUMPRODUCT(--('Данные 2st'!$Q$2:$Q$317=$A36),--ISNUMBER('Данные 2st'!$PI$2:$PI$317))</f>
        <v>5</v>
      </c>
      <c r="ST36">
        <f>SUMPRODUCT(--('Данные 2st'!$Q$2:$Q$317=$A36),--ISNUMBER('Данные 2st'!$PJ$2:$PJ$317))</f>
        <v>5</v>
      </c>
      <c r="SU36">
        <f>SUMPRODUCT(--('Данные 2st'!$Q$2:$Q$317=$A36),--ISNUMBER('Данные 2st'!$PK$2:$PK$317))</f>
        <v>3</v>
      </c>
      <c r="SV36">
        <f>SUMPRODUCT(--('Данные 2st'!$Q$2:$Q$317=$A36),--ISNUMBER('Данные 2st'!$PL$2:$PL$317))</f>
        <v>5</v>
      </c>
      <c r="SW36">
        <f>SUMPRODUCT(--('Данные 2st'!$Q$2:$Q$317=$A36),--ISNUMBER('Данные 2st'!$PM$2:$PM$317))</f>
        <v>5</v>
      </c>
      <c r="SX36">
        <f>SUMPRODUCT(--('Данные 2st'!$Q$2:$Q$317=$A36),--ISNUMBER('Данные 2st'!$PN$2:$PN$317))</f>
        <v>5</v>
      </c>
      <c r="SY36">
        <f>SUMPRODUCT(--('Данные 2st'!$Q$2:$Q$317=$A36),--ISNUMBER('Данные 2st'!$PO$2:$PO$317))</f>
        <v>4</v>
      </c>
      <c r="SZ36">
        <f>SUMPRODUCT(--('Данные 2st'!$Q$2:$Q$317=$A36),--ISNUMBER('Данные 2st'!$PP$2:$PP$317))</f>
        <v>5</v>
      </c>
      <c r="TA36">
        <f>SUMPRODUCT(--('Данные 2st'!$Q$2:$Q$317=$A36),--ISNUMBER('Данные 2st'!$PQ$2:$PQ$317))</f>
        <v>5</v>
      </c>
      <c r="TB36">
        <f>SUMPRODUCT(--('Данные 2st'!$Q$2:$Q$317=$A36),--ISNUMBER('Данные 2st'!$PR$2:$PR$317))</f>
        <v>5</v>
      </c>
      <c r="TC36">
        <f>SUMPRODUCT(--('Данные 2st'!$Q$2:$Q$317=$A36),--ISNUMBER('Данные 2st'!$PS$2:$PS$317))</f>
        <v>5</v>
      </c>
      <c r="TD36">
        <f>SUMPRODUCT(--('Данные 2st'!$Q$2:$Q$317=$A36),--ISNUMBER('Данные 2st'!$PT$2:$PT$317))</f>
        <v>5</v>
      </c>
      <c r="TE36">
        <f>SUMPRODUCT(--('Данные 2st'!$Q$2:$Q$317=$A36),--ISNUMBER('Данные 2st'!$PU$2:$PU$317))</f>
        <v>5</v>
      </c>
      <c r="TF36">
        <f>SUMPRODUCT(--('Данные 2st'!$Q$2:$Q$317=$A36),--ISNUMBER('Данные 2st'!$PX$2:$PX$317))</f>
        <v>5</v>
      </c>
      <c r="TG36">
        <f>SUMPRODUCT(--('Данные 2st'!$Q$2:$Q$317=$A36),--ISNUMBER('Данные 2st'!$PY$2:$PY$317))</f>
        <v>5</v>
      </c>
      <c r="TH36">
        <f>SUMPRODUCT(--('Данные 2st'!$Q$2:$Q$317=$A36),--ISNUMBER('Данные 2st'!$PZ$2:$PZ$317))</f>
        <v>5</v>
      </c>
      <c r="TI36">
        <f>SUMPRODUCT(--('Данные 2st'!$Q$2:$Q$317=$A36),--ISNUMBER('Данные 2st'!$QA$2:$QA$317))</f>
        <v>5</v>
      </c>
      <c r="TJ36">
        <f>SUMPRODUCT(--('Данные 2st'!$Q$2:$Q$317=$A36),--ISNUMBER('Данные 2st'!$QB$2:$QB$317))</f>
        <v>5</v>
      </c>
      <c r="TK36">
        <f>SUMPRODUCT(--('Данные 2st'!$Q$2:$Q$317=$A36),--ISNUMBER('Данные 2st'!$QC$2:$QC$317))</f>
        <v>5</v>
      </c>
      <c r="TL36">
        <f>SUMPRODUCT(--('Данные 2st'!$Q$2:$Q$317=$A36),--ISNUMBER('Данные 2st'!$QD$2:$QD$317))</f>
        <v>5</v>
      </c>
      <c r="TM36">
        <f>SUMPRODUCT(--('Данные 2st'!$Q$2:$Q$317=$A36),--ISNUMBER('Данные 2st'!$QE$2:$QE$317))</f>
        <v>5</v>
      </c>
      <c r="TN36">
        <f>SUMPRODUCT(--('Данные 2st'!$Q$2:$Q$317=$A36),--ISNUMBER('Данные 2st'!$QF$2:$QF$317))</f>
        <v>5</v>
      </c>
      <c r="TO36">
        <f>SUMPRODUCT(--('Данные 2st'!$Q$2:$Q$317=$A36),--ISNUMBER('Данные 2st'!$QG$2:$QG$317))</f>
        <v>5</v>
      </c>
      <c r="TP36">
        <f>SUMPRODUCT(--('Данные 2st'!$Q$2:$Q$317=$A36),--ISNUMBER('Данные 2st'!$QH$2:$QH$317))</f>
        <v>5</v>
      </c>
      <c r="TQ36">
        <f>SUMPRODUCT(--('Данные 2st'!$Q$2:$Q$317=$A36),--ISNUMBER('Данные 2st'!$QI$2:$QI$317))</f>
        <v>5</v>
      </c>
      <c r="TR36">
        <f>SUMPRODUCT(--('Данные 2st'!$Q$2:$Q$317=$A36),--ISNUMBER('Данные 2st'!$QJ$2:$QJ$317))</f>
        <v>5</v>
      </c>
      <c r="TS36">
        <f>SUMPRODUCT(--('Данные 2st'!$Q$2:$Q$317=$A36),--ISNUMBER('Данные 2st'!$QK$2:$QK$317))</f>
        <v>5</v>
      </c>
      <c r="TT36">
        <f>SUMPRODUCT(--('Данные 2st'!$Q$2:$Q$317=$A36),--ISNUMBER('Данные 2st'!$QL$2:$QL$317))</f>
        <v>5</v>
      </c>
      <c r="TU36">
        <f>SUMPRODUCT(--('Данные 2st'!$Q$2:$Q$317=$A36),--ISNUMBER('Данные 2st'!$QM$2:$QM$317))</f>
        <v>5</v>
      </c>
      <c r="TV36">
        <f>SUMPRODUCT(--('Данные 2st'!$Q$2:$Q$317=$A36),--ISNUMBER('Данные 2st'!$QN$2:$QN$317))</f>
        <v>5</v>
      </c>
      <c r="TW36">
        <f>SUMPRODUCT(--('Данные 2st'!$Q$2:$Q$317=$A36),--ISNUMBER('Данные 2st'!$QQ$2:$QQ$317))</f>
        <v>5</v>
      </c>
      <c r="TX36">
        <f>SUMPRODUCT(--('Данные 2st'!$Q$2:$Q$317=$A36),--ISNUMBER('Данные 2st'!$QS$2:$QS$317))</f>
        <v>4</v>
      </c>
      <c r="TY36">
        <f>SUMPRODUCT(--('Данные 2st'!$Q$2:$Q$317=$A36),--ISNUMBER('Данные 2st'!$QT$2:$QT$317))</f>
        <v>4</v>
      </c>
    </row>
    <row r="37" spans="1:545" ht="32" customHeight="1">
      <c r="A37" s="11" t="str">
        <f>'По размерам'!A37</f>
        <v>225/55R18</v>
      </c>
      <c r="G37">
        <f>SUMPRODUCT(--('Данные 1st'!$S$2:$S$317=$A37),--ISNUMBER('Данные 1st'!$AE$2:$AE$317))</f>
        <v>5</v>
      </c>
      <c r="H37">
        <f>SUMPRODUCT(--('Данные 1st'!$S$2:$S$317=$A37),--ISNUMBER('Данные 1st'!$AF$2:$AF$317))</f>
        <v>5</v>
      </c>
      <c r="I37">
        <f>SUMPRODUCT(--('Данные 1st'!$S$2:$S$317=$A37),--ISNUMBER('Данные 1st'!$AJ$2:$AJ$317))</f>
        <v>5</v>
      </c>
      <c r="J37">
        <f>SUMPRODUCT(--('Данные 1st'!$S$2:$S$317=$A37),--ISNUMBER('Данные 1st'!$AL$2:$AL$317))</f>
        <v>5</v>
      </c>
      <c r="K37">
        <f>SUMPRODUCT(--('Данные 1st'!$S$2:$S$317=$A37),--ISNUMBER('Данные 1st'!$AR$2:$AR$317))</f>
        <v>5</v>
      </c>
      <c r="L37">
        <f>SUMPRODUCT(--('Данные 1st'!$S$2:$S$317=$A37),--ISNUMBER('Данные 1st'!$AS$2:$AS$317))</f>
        <v>5</v>
      </c>
      <c r="M37">
        <f>SUMPRODUCT(--('Данные 1st'!$S$2:$S$317=$A37),--ISNUMBER('Данные 1st'!$AY$2:$AY$317))</f>
        <v>5</v>
      </c>
      <c r="N37">
        <f>SUMPRODUCT(--('Данные 1st'!$S$2:$S$317=$A37),--ISNUMBER('Данные 1st'!$AZ$2:$AZ$317))</f>
        <v>5</v>
      </c>
      <c r="O37">
        <f>SUMPRODUCT(--('Данные 1st'!$S$2:$S$317=$A37),--ISNUMBER('Данные 1st'!$BF$2:$BF$317))</f>
        <v>2</v>
      </c>
      <c r="P37">
        <f>SUMPRODUCT(--('Данные 1st'!$S$2:$S$317=$A37),--ISNUMBER('Данные 1st'!$BG$2:$BG$317))</f>
        <v>5</v>
      </c>
      <c r="Q37">
        <f>SUMPRODUCT(--('Данные 1st'!$S$2:$S$317=$A37),--ISNUMBER('Данные 1st'!$BM$2:$BM$317))</f>
        <v>0</v>
      </c>
      <c r="R37">
        <f>SUMPRODUCT(--('Данные 1st'!$S$2:$S$317=$A37),--ISNUMBER('Данные 1st'!$BN$2:$BN$317))</f>
        <v>5</v>
      </c>
      <c r="S37">
        <f>SUMPRODUCT(--('Данные 1st'!$S$2:$S$317=$A37),--ISNUMBER('Данные 1st'!$BT$2:$BT$317))</f>
        <v>5</v>
      </c>
      <c r="T37">
        <f>SUMPRODUCT(--('Данные 1st'!$S$2:$S$317=$A37),--ISNUMBER('Данные 1st'!$BU$2:$BU$317))</f>
        <v>5</v>
      </c>
      <c r="U37">
        <f>SUMPRODUCT(--('Данные 1st'!$S$2:$S$317=$A37),--ISNUMBER('Данные 1st'!$BW$2:$BW$317))</f>
        <v>5</v>
      </c>
      <c r="V37">
        <f>SUMPRODUCT(--('Данные 1st'!$S$2:$S$317=$A37),--ISNUMBER('Данные 1st'!$BX$2:$BX$317))</f>
        <v>5</v>
      </c>
      <c r="W37">
        <f>SUMPRODUCT(--('Данные 1st'!$S$2:$S$317=$A37),--ISNUMBER('Данные 1st'!$BZ$2:$BZ$317))</f>
        <v>5</v>
      </c>
      <c r="X37">
        <f>SUMPRODUCT(--('Данные 1st'!$S$2:$S$317=$A37),--ISNUMBER('Данные 1st'!$CA$2:$CA$317))</f>
        <v>5</v>
      </c>
      <c r="Y37">
        <f>SUMPRODUCT(--('Данные 1st'!$S$2:$S$317=$A37),--ISNUMBER('Данные 1st'!$CD$2:$CD$317))</f>
        <v>5</v>
      </c>
      <c r="Z37">
        <f>SUMPRODUCT(--('Данные 1st'!$S$2:$S$317=$A37),--ISNUMBER('Данные 1st'!$CF$2:$CF$317))</f>
        <v>5</v>
      </c>
      <c r="AA37">
        <f>SUMPRODUCT(--('Данные 1st'!$S$2:$S$317=$A37),--ISNUMBER('Данные 1st'!$CI$2:$CI$317))</f>
        <v>5</v>
      </c>
      <c r="AB37">
        <f>SUMPRODUCT(--('Данные 1st'!$S$2:$S$317=$A37),--ISNUMBER('Данные 1st'!$CJ$2:$CJ$317))</f>
        <v>5</v>
      </c>
      <c r="AC37">
        <f>SUMPRODUCT(--('Данные 1st'!$S$2:$S$317=$A37),--ISNUMBER('Данные 1st'!$CK$2:$CK$317))</f>
        <v>5</v>
      </c>
      <c r="AD37">
        <f>SUMPRODUCT(--('Данные 1st'!$S$2:$S$317=$A37),--ISNUMBER('Данные 1st'!$CL$2:$CL$317))</f>
        <v>5</v>
      </c>
      <c r="AE37">
        <f>SUMPRODUCT(--('Данные 1st'!$S$2:$S$317=$A37),--ISNUMBER('Данные 1st'!$CM$2:$CM$317))</f>
        <v>5</v>
      </c>
      <c r="AF37">
        <f>SUMPRODUCT(--('Данные 1st'!$S$2:$S$317=$A37),--ISNUMBER('Данные 1st'!$CT$2:$CT$317))</f>
        <v>5</v>
      </c>
      <c r="AG37">
        <f>SUMPRODUCT(--('Данные 1st'!$S$2:$S$317=$A37),--ISNUMBER('Данные 1st'!$CU$2:$CU$317))</f>
        <v>5</v>
      </c>
      <c r="AH37">
        <f>SUMPRODUCT(--('Данные 1st'!$S$2:$S$317=$A37),--ISNUMBER('Данные 1st'!$CV$2:$CV$317))</f>
        <v>5</v>
      </c>
      <c r="AI37">
        <f>SUMPRODUCT(--('Данные 1st'!$S$2:$S$317=$A37),--ISNUMBER('Данные 1st'!$CW$2:$CW$317))</f>
        <v>5</v>
      </c>
      <c r="AJ37">
        <f>SUMPRODUCT(--('Данные 1st'!$S$2:$S$317=$A37),--ISNUMBER('Данные 1st'!$CX$2:$CX$317))</f>
        <v>5</v>
      </c>
      <c r="AK37">
        <f>SUMPRODUCT(--('Данные 1st'!$S$2:$S$317=$A37),--ISNUMBER('Данные 1st'!$CZ$2:$CZ$317))</f>
        <v>0</v>
      </c>
      <c r="AL37">
        <f>SUMPRODUCT(--('Данные 1st'!$S$2:$S$317=$A37),--ISNUMBER('Данные 1st'!$DA$2:$DA$317))</f>
        <v>0</v>
      </c>
      <c r="AM37">
        <f>SUMPRODUCT(--('Данные 1st'!$S$2:$S$317=$A37),--ISNUMBER('Данные 1st'!$DB$2:$DB$317))</f>
        <v>0</v>
      </c>
      <c r="AN37">
        <f>SUMPRODUCT(--('Данные 1st'!$S$2:$S$317=$A37),--ISNUMBER('Данные 1st'!$DC$2:$DC$317))</f>
        <v>0</v>
      </c>
      <c r="AO37">
        <f>SUMPRODUCT(--('Данные 1st'!$S$2:$S$317=$A37),--ISNUMBER('Данные 1st'!$DD$2:$DD$317))</f>
        <v>5</v>
      </c>
      <c r="AP37">
        <f>SUMPRODUCT(--('Данные 1st'!$S$2:$S$317=$A37),--ISNUMBER('Данные 1st'!$DF$2:$DF$317))</f>
        <v>5</v>
      </c>
      <c r="AQ37">
        <f>SUMPRODUCT(--('Данные 1st'!$S$2:$S$317=$A37),--ISNUMBER('Данные 1st'!$DG$2:$DG$317))</f>
        <v>5</v>
      </c>
      <c r="AR37">
        <f>SUMPRODUCT(--('Данные 1st'!$S$2:$S$317=$A37),--ISNUMBER('Данные 1st'!$DH$2:$DH$317))</f>
        <v>5</v>
      </c>
      <c r="AS37">
        <f>SUMPRODUCT(--('Данные 1st'!$S$2:$S$317=$A37),--ISNUMBER('Данные 1st'!$DI$2:$DI$317))</f>
        <v>5</v>
      </c>
      <c r="AT37">
        <f>SUMPRODUCT(--('Данные 1st'!$S$2:$S$317=$A37),--ISNUMBER('Данные 1st'!$DJ$2:$DJ$317))</f>
        <v>5</v>
      </c>
      <c r="AU37">
        <f>SUMPRODUCT(--('Данные 1st'!$S$2:$S$317=$A37),--ISNUMBER('Данные 1st'!$DL$2:$DL$317))</f>
        <v>2</v>
      </c>
      <c r="AV37">
        <f>SUMPRODUCT(--('Данные 1st'!$S$2:$S$317=$A37),--ISNUMBER('Данные 1st'!$DM$2:$DM$317))</f>
        <v>2</v>
      </c>
      <c r="AW37">
        <f>SUMPRODUCT(--('Данные 1st'!$S$2:$S$317=$A37),--ISNUMBER('Данные 1st'!$DN$2:$DN$317))</f>
        <v>2</v>
      </c>
      <c r="AX37">
        <f>SUMPRODUCT(--('Данные 1st'!$S$2:$S$317=$A37),--ISNUMBER('Данные 1st'!$DO$2:$DO$317))</f>
        <v>2</v>
      </c>
      <c r="AY37">
        <f>SUMPRODUCT(--('Данные 1st'!$S$2:$S$317=$A37),--ISNUMBER('Данные 1st'!$DP$2:$DP$317))</f>
        <v>2</v>
      </c>
      <c r="AZ37">
        <f>SUMPRODUCT(--('Данные 1st'!$S$2:$S$317=$A37),--ISNUMBER('Данные 1st'!$DR$2:$DR$317))</f>
        <v>0</v>
      </c>
      <c r="BA37">
        <f>SUMPRODUCT(--('Данные 1st'!$S$2:$S$317=$A37),--ISNUMBER('Данные 1st'!$DS$2:$DS$317))</f>
        <v>0</v>
      </c>
      <c r="BB37">
        <f>SUMPRODUCT(--('Данные 1st'!$S$2:$S$317=$A37),--ISNUMBER('Данные 1st'!$DT$2:$DT$317))</f>
        <v>0</v>
      </c>
      <c r="BC37">
        <f>SUMPRODUCT(--('Данные 1st'!$S$2:$S$317=$A37),--ISNUMBER('Данные 1st'!$DU$2:$DU$317))</f>
        <v>0</v>
      </c>
      <c r="BD37">
        <f>SUMPRODUCT(--('Данные 1st'!$S$2:$S$317=$A37),--ISNUMBER('Данные 1st'!$DV$2:$DV$317))</f>
        <v>0</v>
      </c>
      <c r="BE37">
        <f>SUMPRODUCT(--('Данные 1st'!$S$2:$S$317=$A37),--ISNUMBER('Данные 1st'!$DX$2:$DX$317))</f>
        <v>5</v>
      </c>
      <c r="BF37">
        <f>SUMPRODUCT(--('Данные 1st'!$S$2:$S$317=$A37),--ISNUMBER('Данные 1st'!$EA$2:$EA$317))</f>
        <v>5</v>
      </c>
      <c r="BG37">
        <f>SUMPRODUCT(--('Данные 1st'!$S$2:$S$317=$A37),--ISNUMBER('Данные 1st'!$EB$2:$EB$317))</f>
        <v>5</v>
      </c>
      <c r="BH37">
        <f>SUMPRODUCT(--('Данные 1st'!$S$2:$S$317=$A37),--ISNUMBER('Данные 1st'!$ED$2:$ED$317))</f>
        <v>5</v>
      </c>
      <c r="BI37">
        <f>SUMPRODUCT(--('Данные 1st'!$S$2:$S$317=$A37),--ISNUMBER('Данные 1st'!$EE$2:$EE$317))</f>
        <v>5</v>
      </c>
      <c r="BJ37">
        <f>SUMPRODUCT(--('Данные 1st'!$S$2:$S$317=$A37),--ISNUMBER('Данные 1st'!$EG$2:$EG$317))</f>
        <v>5</v>
      </c>
      <c r="BK37">
        <f>SUMPRODUCT(--('Данные 1st'!$S$2:$S$317=$A37),--ISNUMBER('Данные 1st'!$EH$2:$EH$317))</f>
        <v>5</v>
      </c>
      <c r="BL37">
        <f>SUMPRODUCT(--('Данные 1st'!$S$2:$S$317=$A37),--ISNUMBER('Данные 1st'!$EJ$2:$EJ$317))</f>
        <v>5</v>
      </c>
      <c r="BM37">
        <f>SUMPRODUCT(--('Данные 1st'!$S$2:$S$317=$A37),--ISNUMBER('Данные 1st'!$EK$2:$EK$317))</f>
        <v>5</v>
      </c>
      <c r="BN37">
        <f>SUMPRODUCT(--('Данные 1st'!$S$2:$S$317=$A37),--ISNUMBER('Данные 1st'!$EN$2:$EN$317))</f>
        <v>5</v>
      </c>
      <c r="BO37">
        <f>SUMPRODUCT(--('Данные 1st'!$S$2:$S$317=$A37),--ISNUMBER('Данные 1st'!$EQ$2:$EQ$317))</f>
        <v>5</v>
      </c>
      <c r="BP37">
        <f>SUMPRODUCT(--('Данные 1st'!$S$2:$S$317=$A37),--ISNUMBER('Данные 1st'!$ER$2:$ER$317))</f>
        <v>5</v>
      </c>
      <c r="BQ37">
        <f>SUMPRODUCT(--('Данные 1st'!$S$2:$S$317=$A37),--ISNUMBER('Данные 1st'!$ES$2:$ES$317))</f>
        <v>5</v>
      </c>
      <c r="BR37">
        <f>SUMPRODUCT(--('Данные 1st'!$S$2:$S$317=$A37),--ISNUMBER('Данные 1st'!$ET$2:$ET$317))</f>
        <v>5</v>
      </c>
      <c r="BS37">
        <f>SUMPRODUCT(--('Данные 1st'!$S$2:$S$317=$A37),--ISNUMBER('Данные 1st'!$EU$2:$EU$317))</f>
        <v>5</v>
      </c>
      <c r="BT37">
        <f>SUMPRODUCT(--('Данные 1st'!$S$2:$S$317=$A37),--ISNUMBER('Данные 1st'!$EV$2:$EV$317))</f>
        <v>5</v>
      </c>
      <c r="BU37">
        <f>SUMPRODUCT(--('Данные 1st'!$S$2:$S$317=$A37),--ISNUMBER('Данные 1st'!$EX$2:$EX$317))</f>
        <v>5</v>
      </c>
      <c r="BV37">
        <f>SUMPRODUCT(--('Данные 1st'!$S$2:$S$317=$A37),--ISNUMBER('Данные 1st'!$EY$2:$EY$317))</f>
        <v>5</v>
      </c>
      <c r="BW37">
        <f>SUMPRODUCT(--('Данные 1st'!$S$2:$S$317=$A37),--ISNUMBER('Данные 1st'!$EZ$2:$EZ$317))</f>
        <v>5</v>
      </c>
      <c r="BX37">
        <f>SUMPRODUCT(--('Данные 1st'!$S$2:$S$317=$A37),--ISNUMBER('Данные 1st'!$FA$2:$FA$317))</f>
        <v>5</v>
      </c>
      <c r="BY37">
        <f>SUMPRODUCT(--('Данные 1st'!$S$2:$S$317=$A37),--ISNUMBER('Данные 1st'!$FB$2:$FB$317))</f>
        <v>5</v>
      </c>
      <c r="BZ37">
        <f>SUMPRODUCT(--('Данные 1st'!$S$2:$S$317=$A37),--ISNUMBER('Данные 1st'!$FC$2:$FC$317))</f>
        <v>5</v>
      </c>
      <c r="CA37">
        <f>SUMPRODUCT(--('Данные 1st'!$S$2:$S$317=$A37),--ISNUMBER('Данные 1st'!$FE$2:$FE$317))</f>
        <v>5</v>
      </c>
      <c r="CB37">
        <f>SUMPRODUCT(--('Данные 1st'!$S$2:$S$317=$A37),--ISNUMBER('Данные 1st'!$FF$2:$FF$317))</f>
        <v>5</v>
      </c>
      <c r="CC37">
        <f>SUMPRODUCT(--('Данные 1st'!$S$2:$S$317=$A37),--ISNUMBER('Данные 1st'!$FI$2:$FI$317))</f>
        <v>5</v>
      </c>
      <c r="CD37">
        <f>SUMPRODUCT(--('Данные 1st'!$S$2:$S$317=$A37),--ISNUMBER('Данные 1st'!$FL$2:$FL$317))</f>
        <v>5</v>
      </c>
      <c r="CE37">
        <f>SUMPRODUCT(--('Данные 1st'!$S$2:$S$317=$A37),--ISNUMBER('Данные 1st'!$FM$2:$FM$317))</f>
        <v>5</v>
      </c>
      <c r="CF37">
        <f>SUMPRODUCT(--('Данные 1st'!$S$2:$S$317=$A37),--ISNUMBER('Данные 1st'!$FN$2:$FN$317))</f>
        <v>5</v>
      </c>
      <c r="CG37">
        <f>SUMPRODUCT(--('Данные 1st'!$S$2:$S$317=$A37),--ISNUMBER('Данные 1st'!$FO$2:$FO$317))</f>
        <v>0</v>
      </c>
      <c r="CH37">
        <f>SUMPRODUCT(--('Данные 1st'!$S$2:$S$317=$A37),--ISNUMBER('Данные 1st'!$FP$2:$FP$317))</f>
        <v>0</v>
      </c>
      <c r="CI37">
        <f>SUMPRODUCT(--('Данные 1st'!$S$2:$S$317=$A37),--ISNUMBER('Данные 1st'!$FS$2:$FS$317))</f>
        <v>3</v>
      </c>
      <c r="CJ37">
        <f>SUMPRODUCT(--('Данные 1st'!$S$2:$S$317=$A37),--ISNUMBER('Данные 1st'!$FT$2:$FT$317))</f>
        <v>3</v>
      </c>
      <c r="CK37">
        <f>SUMPRODUCT(--('Данные 1st'!$S$2:$S$317=$A37),--ISNUMBER('Данные 1st'!$FU$2:$FU$317))</f>
        <v>3</v>
      </c>
      <c r="CL37">
        <f>SUMPRODUCT(--('Данные 1st'!$S$2:$S$317=$A37),--ISNUMBER('Данные 1st'!$FV$2:$FV$317))</f>
        <v>1</v>
      </c>
      <c r="CM37">
        <f>SUMPRODUCT(--('Данные 1st'!$S$2:$S$317=$A37),--ISNUMBER('Данные 1st'!$FW$2:$FW$317))</f>
        <v>1</v>
      </c>
      <c r="CN37">
        <f>SUMPRODUCT(--('Данные 1st'!$S$2:$S$317=$A37),--ISNUMBER('Данные 1st'!$FZ$2:$FZ$317))</f>
        <v>2</v>
      </c>
      <c r="CO37">
        <f>SUMPRODUCT(--('Данные 1st'!$S$2:$S$317=$A37),--ISNUMBER('Данные 1st'!$GA$2:$GA$317))</f>
        <v>2</v>
      </c>
      <c r="CP37">
        <f>SUMPRODUCT(--('Данные 1st'!$S$2:$S$317=$A37),--ISNUMBER('Данные 1st'!$GB$2:$GB$317))</f>
        <v>2</v>
      </c>
      <c r="CQ37">
        <f>SUMPRODUCT(--('Данные 1st'!$S$2:$S$317=$A37),--ISNUMBER('Данные 1st'!$GH$2:$GH$317))</f>
        <v>2</v>
      </c>
      <c r="CR37">
        <f>SUMPRODUCT(--('Данные 1st'!$S$2:$S$317=$A37),--ISNUMBER('Данные 1st'!$GI$2:$GI$317))</f>
        <v>2</v>
      </c>
      <c r="CS37">
        <f>SUMPRODUCT(--('Данные 1st'!$S$2:$S$317=$A37),--ISNUMBER('Данные 1st'!$GJ$2:$GJ$317))</f>
        <v>2</v>
      </c>
      <c r="CT37">
        <f>SUMPRODUCT(--('Данные 1st'!$S$2:$S$317=$A37),--ISNUMBER('Данные 1st'!$GS$2:$GS$317))</f>
        <v>2</v>
      </c>
      <c r="CU37">
        <f>SUMPRODUCT(--('Данные 1st'!$S$2:$S$317=$A37),--ISNUMBER('Данные 1st'!$GT$2:$GT$317))</f>
        <v>2</v>
      </c>
      <c r="CV37">
        <f>SUMPRODUCT(--('Данные 1st'!$S$2:$S$317=$A37),--ISNUMBER('Данные 1st'!$GU$2:$GU$317))</f>
        <v>2</v>
      </c>
      <c r="CW37">
        <f>SUMPRODUCT(--('Данные 1st'!$S$2:$S$317=$A37),--ISNUMBER('Данные 1st'!$GV$2:$GV$317))</f>
        <v>1</v>
      </c>
      <c r="CX37">
        <f>SUMPRODUCT(--('Данные 1st'!$S$2:$S$317=$A37),--ISNUMBER('Данные 1st'!$GW$2:$GW$317))</f>
        <v>1</v>
      </c>
      <c r="CY37">
        <f>SUMPRODUCT(--('Данные 1st'!$S$2:$S$317=$A37),--ISNUMBER('Данные 1st'!$GZ$2:$GZ$317))</f>
        <v>1</v>
      </c>
      <c r="CZ37">
        <f>SUMPRODUCT(--('Данные 1st'!$S$2:$S$317=$A37),--ISNUMBER('Данные 1st'!$HA$2:$HA$317))</f>
        <v>1</v>
      </c>
      <c r="DA37">
        <f>SUMPRODUCT(--('Данные 1st'!$S$2:$S$317=$A37),--ISNUMBER('Данные 1st'!$HB$2:$HB$317))</f>
        <v>1</v>
      </c>
      <c r="DB37">
        <f>SUMPRODUCT(--('Данные 1st'!$S$2:$S$317=$A37),--ISNUMBER('Данные 1st'!$HC$2:$HC$317))</f>
        <v>5</v>
      </c>
      <c r="DC37">
        <f>SUMPRODUCT(--('Данные 1st'!$S$2:$S$317=$A37),--ISNUMBER('Данные 1st'!$HD$2:$HD$317))</f>
        <v>5</v>
      </c>
      <c r="DD37">
        <f>SUMPRODUCT(--('Данные 1st'!$S$2:$S$317=$A37),--ISNUMBER('Данные 1st'!$HE$2:$HE$317))</f>
        <v>5</v>
      </c>
      <c r="DE37">
        <f>SUMPRODUCT(--('Данные 1st'!$S$2:$S$317=$A37),--ISNUMBER('Данные 1st'!$HF$2:$HF$317))</f>
        <v>5</v>
      </c>
      <c r="DF37">
        <f>SUMPRODUCT(--('Данные 1st'!$S$2:$S$317=$A37),--ISNUMBER('Данные 1st'!$HG$2:$HG$317))</f>
        <v>5</v>
      </c>
      <c r="DG37">
        <f>SUMPRODUCT(--('Данные 1st'!$S$2:$S$317=$A37),--ISNUMBER('Данные 1st'!$HH$2:$HH$317))</f>
        <v>5</v>
      </c>
      <c r="DH37">
        <f>SUMPRODUCT(--('Данные 1st'!$S$2:$S$317=$A37),--ISNUMBER('Данные 1st'!$HI$2:$HI$317))</f>
        <v>5</v>
      </c>
      <c r="DI37">
        <f>SUMPRODUCT(--('Данные 1st'!$S$2:$S$317=$A37),--ISNUMBER('Данные 1st'!$HJ$2:$HJ$317))</f>
        <v>5</v>
      </c>
      <c r="DJ37">
        <f>SUMPRODUCT(--('Данные 1st'!$S$2:$S$317=$A37),--ISNUMBER('Данные 1st'!$HK$2:$HK$317))</f>
        <v>5</v>
      </c>
      <c r="DK37">
        <f>SUMPRODUCT(--('Данные 1st'!$S$2:$S$317=$A37),--ISNUMBER('Данные 1st'!$HL$2:$HL$317))</f>
        <v>5</v>
      </c>
      <c r="DL37">
        <f>SUMPRODUCT(--('Данные 1st'!$S$2:$S$317=$A37),--ISNUMBER('Данные 1st'!$HM$2:$HM$317))</f>
        <v>5</v>
      </c>
      <c r="DM37">
        <f>SUMPRODUCT(--('Данные 1st'!$S$2:$S$317=$A37),--ISNUMBER('Данные 1st'!$HN$2:$HN$317))</f>
        <v>5</v>
      </c>
      <c r="DN37">
        <f>SUMPRODUCT(--('Данные 1st'!$S$2:$S$317=$A37),--ISNUMBER('Данные 1st'!$HO$2:$HO$317))</f>
        <v>5</v>
      </c>
      <c r="DO37">
        <f>SUMPRODUCT(--('Данные 1st'!$S$2:$S$317=$A37),--ISNUMBER('Данные 1st'!$HP$2:$HP$317))</f>
        <v>5</v>
      </c>
      <c r="DP37">
        <f>SUMPRODUCT(--('Данные 1st'!$S$2:$S$317=$A37),--ISNUMBER('Данные 1st'!$HQ$2:$HQ$317))</f>
        <v>5</v>
      </c>
      <c r="DQ37">
        <f>SUMPRODUCT(--('Данные 1st'!$S$2:$S$317=$A37),--ISNUMBER('Данные 1st'!$HR$2:$HR$317))</f>
        <v>5</v>
      </c>
      <c r="DR37">
        <f>SUMPRODUCT(--('Данные 1st'!$S$2:$S$317=$A37),--ISNUMBER('Данные 1st'!$HS$2:$HS$317))</f>
        <v>5</v>
      </c>
      <c r="DS37">
        <f>SUMPRODUCT(--('Данные 1st'!$S$2:$S$317=$A37),--ISNUMBER('Данные 1st'!$HT$2:$HT$317))</f>
        <v>5</v>
      </c>
      <c r="DT37">
        <f>SUMPRODUCT(--('Данные 1st'!$S$2:$S$317=$A37),--ISNUMBER('Данные 1st'!$HU$2:$HU$317))</f>
        <v>5</v>
      </c>
      <c r="DU37">
        <f>SUMPRODUCT(--('Данные 1st'!$S$2:$S$317=$A37),--ISNUMBER('Данные 1st'!$HW$2:$HW$317))</f>
        <v>5</v>
      </c>
      <c r="DV37">
        <f>SUMPRODUCT(--('Данные 1st'!$S$2:$S$317=$A37),--ISNUMBER('Данные 1st'!$HX$2:$HX$317))</f>
        <v>5</v>
      </c>
      <c r="DW37">
        <f>SUMPRODUCT(--('Данные 1st'!$S$2:$S$317=$A37),--ISNUMBER('Данные 1st'!$HY$2:$HY$317))</f>
        <v>5</v>
      </c>
      <c r="DX37">
        <f>SUMPRODUCT(--('Данные 1st'!$S$2:$S$317=$A37),--ISNUMBER('Данные 1st'!$IA$2:$IA$317))</f>
        <v>5</v>
      </c>
      <c r="DY37">
        <f>SUMPRODUCT(--('Данные 1st'!$S$2:$S$317=$A37),--ISNUMBER('Данные 1st'!$IB$2:$IB$317))</f>
        <v>5</v>
      </c>
      <c r="DZ37">
        <f>SUMPRODUCT(--('Данные 1st'!$S$2:$S$317=$A37),--ISNUMBER('Данные 1st'!$IC$2:$IC$317))</f>
        <v>5</v>
      </c>
      <c r="EA37">
        <f>SUMPRODUCT(--('Данные 1st'!$S$2:$S$317=$A37),--ISNUMBER('Данные 1st'!$ID$2:$ID$317))</f>
        <v>5</v>
      </c>
      <c r="EB37">
        <f>SUMPRODUCT(--('Данные 1st'!$S$2:$S$317=$A37),--ISNUMBER('Данные 1st'!$IE$2:$IE$317))</f>
        <v>5</v>
      </c>
      <c r="EC37">
        <f>SUMPRODUCT(--('Данные 1st'!$S$2:$S$317=$A37),--ISNUMBER('Данные 1st'!$IF$2:$IF$317))</f>
        <v>5</v>
      </c>
      <c r="ED37">
        <f>SUMPRODUCT(--('Данные 1st'!$S$2:$S$317=$A37),--ISNUMBER('Данные 1st'!$IP$2:$IP$317))</f>
        <v>5</v>
      </c>
      <c r="EE37">
        <f>SUMPRODUCT(--('Данные 1st'!$S$2:$S$317=$A37),--ISNUMBER('Данные 1st'!$IV$2:$IV$317))</f>
        <v>5</v>
      </c>
      <c r="EF37">
        <f>SUMPRODUCT(--('Данные 1st'!$S$2:$S$317=$A37),--ISNUMBER('Данные 1st'!$IW$2:$IW$317))</f>
        <v>5</v>
      </c>
      <c r="EG37">
        <f>SUMPRODUCT(--('Данные 1st'!$S$2:$S$317=$A37),--ISNUMBER('Данные 1st'!$IX$2:$IX$317))</f>
        <v>0</v>
      </c>
      <c r="EH37">
        <f>SUMPRODUCT(--('Данные 1st'!$S$2:$S$317=$A37),--ISNUMBER('Данные 1st'!$IY$2:$IY$317))</f>
        <v>4</v>
      </c>
      <c r="EI37">
        <f>SUMPRODUCT(--('Данные 1st'!$S$2:$S$317=$A37),--ISNUMBER('Данные 1st'!$JD$2:$JD$317))</f>
        <v>5</v>
      </c>
      <c r="EJ37">
        <f>SUMPRODUCT(--('Данные 1st'!$S$2:$S$317=$A37),--ISNUMBER('Данные 1st'!$JE$2:$JE$317))</f>
        <v>5</v>
      </c>
      <c r="EK37">
        <f>SUMPRODUCT(--('Данные 1st'!$S$2:$S$317=$A37),--ISNUMBER('Данные 1st'!$JF$2:$JF$317))</f>
        <v>5</v>
      </c>
      <c r="EL37">
        <f>SUMPRODUCT(--('Данные 1st'!$S$2:$S$317=$A37),--ISNUMBER('Данные 1st'!$JG$2:$JG$317))</f>
        <v>5</v>
      </c>
      <c r="EM37">
        <f>SUMPRODUCT(--('Данные 1st'!$S$2:$S$317=$A37),--ISNUMBER('Данные 1st'!$JH$2:$JH$317))</f>
        <v>5</v>
      </c>
      <c r="EN37">
        <f>SUMPRODUCT(--('Данные 1st'!$S$2:$S$317=$A37),--ISNUMBER('Данные 1st'!$JJ$2:$JJ$317))</f>
        <v>5</v>
      </c>
      <c r="EO37">
        <f>SUMPRODUCT(--('Данные 1st'!$S$2:$S$317=$A37),--ISNUMBER('Данные 1st'!$JK$2:$JK$317))</f>
        <v>5</v>
      </c>
      <c r="EP37">
        <f>SUMPRODUCT(--('Данные 1st'!$S$2:$S$317=$A37),--ISNUMBER('Данные 1st'!$JL$2:$JL$317))</f>
        <v>0</v>
      </c>
      <c r="EQ37">
        <f>SUMPRODUCT(--('Данные 1st'!$S$2:$S$317=$A37),--ISNUMBER('Данные 1st'!$JM$2:$JM$317))</f>
        <v>0</v>
      </c>
      <c r="ER37">
        <f>SUMPRODUCT(--('Данные 1st'!$S$2:$S$317=$A37),--ISNUMBER('Данные 1st'!$JN$2:$JN$317))</f>
        <v>5</v>
      </c>
      <c r="ES37">
        <f>SUMPRODUCT(--('Данные 1st'!$S$2:$S$317=$A37),--ISNUMBER('Данные 1st'!$JO$2:$JO$317))</f>
        <v>5</v>
      </c>
      <c r="ET37">
        <f>SUMPRODUCT(--('Данные 1st'!$S$2:$S$317=$A37),--ISNUMBER('Данные 1st'!$JP$2:$JP$317))</f>
        <v>5</v>
      </c>
      <c r="EU37">
        <f>SUMPRODUCT(--('Данные 1st'!$S$2:$S$317=$A37),--ISNUMBER('Данные 1st'!$JQ$2:$JQ$317))</f>
        <v>5</v>
      </c>
      <c r="EV37">
        <f>SUMPRODUCT(--('Данные 1st'!$S$2:$S$317=$A37),--ISNUMBER('Данные 1st'!$JR$2:$JR$317))</f>
        <v>5</v>
      </c>
      <c r="EW37">
        <f>SUMPRODUCT(--('Данные 1st'!$S$2:$S$317=$A37),--ISNUMBER('Данные 1st'!$JS$2:$JS$317))</f>
        <v>5</v>
      </c>
      <c r="EX37">
        <f>SUMPRODUCT(--('Данные 1st'!$S$2:$S$317=$A37),--ISNUMBER('Данные 1st'!$JT$2:$JT$317))</f>
        <v>0</v>
      </c>
      <c r="EY37">
        <f>SUMPRODUCT(--('Данные 1st'!$S$2:$S$317=$A37),--ISNUMBER('Данные 1st'!$JU$2:$JU$317))</f>
        <v>0</v>
      </c>
      <c r="EZ37">
        <f>SUMPRODUCT(--('Данные 1st'!$S$2:$S$317=$A37),--ISNUMBER('Данные 1st'!$JV$2:$JV$317))</f>
        <v>5</v>
      </c>
      <c r="FA37">
        <f>SUMPRODUCT(--('Данные 1st'!$S$2:$S$317=$A37),--ISNUMBER('Данные 1st'!$JW$2:$JW$317))</f>
        <v>0</v>
      </c>
      <c r="FB37">
        <f>SUMPRODUCT(--('Данные 1st'!$S$2:$S$317=$A37),--ISNUMBER('Данные 1st'!$JX$2:$JX$317))</f>
        <v>5</v>
      </c>
      <c r="FC37">
        <f>SUMPRODUCT(--('Данные 1st'!$S$2:$S$317=$A37),--ISNUMBER('Данные 1st'!$JY$2:$JY$317))</f>
        <v>0</v>
      </c>
      <c r="FD37">
        <f>SUMPRODUCT(--('Данные 1st'!$S$2:$S$317=$A37),--ISNUMBER('Данные 1st'!$JZ$2:$JZ$317))</f>
        <v>0</v>
      </c>
      <c r="FE37">
        <f>SUMPRODUCT(--('Данные 1st'!$S$2:$S$317=$A37),--ISNUMBER('Данные 1st'!$KA$2:$KA$317))</f>
        <v>5</v>
      </c>
      <c r="FF37">
        <f>SUMPRODUCT(--('Данные 1st'!$S$2:$S$317=$A37),--ISNUMBER('Данные 1st'!$KB$2:$KB$317))</f>
        <v>5</v>
      </c>
      <c r="FG37">
        <f>SUMPRODUCT(--('Данные 1st'!$S$2:$S$317=$A37),--ISNUMBER('Данные 1st'!$KC$2:$KC$317))</f>
        <v>5</v>
      </c>
      <c r="FH37">
        <f>SUMPRODUCT(--('Данные 1st'!$S$2:$S$317=$A37),--ISNUMBER('Данные 1st'!$KD$2:$KD$317))</f>
        <v>5</v>
      </c>
      <c r="FI37">
        <f>SUMPRODUCT(--('Данные 1st'!$S$2:$S$317=$A37),--ISNUMBER('Данные 1st'!$KE$2:$KE$317))</f>
        <v>0</v>
      </c>
      <c r="FJ37">
        <f>SUMPRODUCT(--('Данные 1st'!$S$2:$S$317=$A37),--ISNUMBER('Данные 1st'!$KF$2:$KF$317))</f>
        <v>5</v>
      </c>
      <c r="FK37">
        <f>SUMPRODUCT(--('Данные 1st'!$S$2:$S$317=$A37),--ISNUMBER('Данные 1st'!$KG$2:$KG$317))</f>
        <v>5</v>
      </c>
      <c r="FL37">
        <f>SUMPRODUCT(--('Данные 1st'!$S$2:$S$317=$A37),--ISNUMBER('Данные 1st'!$KH$2:$KH$317))</f>
        <v>5</v>
      </c>
      <c r="FM37">
        <f>SUMPRODUCT(--('Данные 1st'!$S$2:$S$317=$A37),--ISNUMBER('Данные 1st'!$KI$2:$KI$317))</f>
        <v>5</v>
      </c>
      <c r="FN37">
        <f>SUMPRODUCT(--('Данные 1st'!$S$2:$S$317=$A37),--ISNUMBER('Данные 1st'!$KJ$2:$KJ$317))</f>
        <v>5</v>
      </c>
      <c r="FO37">
        <f>SUMPRODUCT(--('Данные 1st'!$S$2:$S$317=$A37),--ISNUMBER('Данные 1st'!$KK$2:$KK$317))</f>
        <v>5</v>
      </c>
      <c r="FP37">
        <f>SUMPRODUCT(--('Данные 1st'!$S$2:$S$317=$A37),--ISNUMBER('Данные 1st'!$KL$2:$KL$317))</f>
        <v>5</v>
      </c>
      <c r="FQ37">
        <f>SUMPRODUCT(--('Данные 1st'!$S$2:$S$317=$A37),--ISNUMBER('Данные 1st'!$KM$2:$KM$317))</f>
        <v>5</v>
      </c>
      <c r="FR37">
        <f>SUMPRODUCT(--('Данные 1st'!$S$2:$S$317=$A37),--ISNUMBER('Данные 1st'!$KN$2:$KN$317))</f>
        <v>5</v>
      </c>
      <c r="FS37">
        <f>SUMPRODUCT(--('Данные 1st'!$S$2:$S$317=$A37),--ISNUMBER('Данные 1st'!$KR$2:$KR$317))</f>
        <v>5</v>
      </c>
      <c r="FT37">
        <f>SUMPRODUCT(--('Данные 1st'!$S$2:$S$317=$A37),--ISNUMBER('Данные 1st'!$KS$2:$KS$317))</f>
        <v>5</v>
      </c>
      <c r="FU37">
        <f>SUMPRODUCT(--('Данные 1st'!$S$2:$S$317=$A37),--ISNUMBER('Данные 1st'!$KT$2:$KT$317))</f>
        <v>5</v>
      </c>
      <c r="FV37">
        <f>SUMPRODUCT(--('Данные 1st'!$S$2:$S$317=$A37),--ISNUMBER('Данные 1st'!$KV$2:$KV$317))</f>
        <v>0</v>
      </c>
      <c r="FW37">
        <f>SUMPRODUCT(--('Данные 1st'!$S$2:$S$317=$A37),--ISNUMBER('Данные 1st'!$KW$2:$KW$317))</f>
        <v>0</v>
      </c>
      <c r="FX37">
        <f>SUMPRODUCT(--('Данные 1st'!$S$2:$S$317=$A37),--ISNUMBER('Данные 1st'!$KX$2:$KX$317))</f>
        <v>0</v>
      </c>
      <c r="FY37">
        <f>SUMPRODUCT(--('Данные 1st'!$S$2:$S$317=$A37),--ISNUMBER('Данные 1st'!$KY$2:$KY$317))</f>
        <v>0</v>
      </c>
      <c r="FZ37">
        <f>SUMPRODUCT(--('Данные 1st'!$S$2:$S$317=$A37),--ISNUMBER('Данные 1st'!$KZ$2:$KZ$317))</f>
        <v>0</v>
      </c>
      <c r="GA37">
        <f>SUMPRODUCT(--('Данные 1st'!$S$2:$S$317=$A37),--ISNUMBER('Данные 1st'!$LA$2:$LA$317))</f>
        <v>0</v>
      </c>
      <c r="GB37">
        <f>SUMPRODUCT(--('Данные 1st'!$S$2:$S$317=$A37),--ISNUMBER('Данные 1st'!$LB$2:$LB$317))</f>
        <v>0</v>
      </c>
      <c r="GC37">
        <f>SUMPRODUCT(--('Данные 1st'!$S$2:$S$317=$A37),--ISNUMBER('Данные 1st'!$LC$2:$LC$317))</f>
        <v>0</v>
      </c>
      <c r="GD37">
        <f>SUMPRODUCT(--('Данные 1st'!$S$2:$S$317=$A37),--ISNUMBER('Данные 1st'!$LD$2:$LD$317))</f>
        <v>0</v>
      </c>
      <c r="GE37">
        <f>SUMPRODUCT(--('Данные 1st'!$S$2:$S$317=$A37),--ISNUMBER('Данные 1st'!$LE$2:$LE$317))</f>
        <v>0</v>
      </c>
      <c r="GF37">
        <f>SUMPRODUCT(--('Данные 1st'!$S$2:$S$317=$A37),--ISNUMBER('Данные 1st'!$LF$2:$LF$317))</f>
        <v>0</v>
      </c>
      <c r="GG37">
        <f>SUMPRODUCT(--('Данные 1st'!$S$2:$S$317=$A37),--ISNUMBER('Данные 1st'!$LG$2:$LG$317))</f>
        <v>0</v>
      </c>
      <c r="GH37">
        <f>SUMPRODUCT(--('Данные 1st'!$S$2:$S$317=$A37),--ISNUMBER('Данные 1st'!$LH$2:$LH$317))</f>
        <v>0</v>
      </c>
      <c r="GI37">
        <f>SUMPRODUCT(--('Данные 1st'!$S$2:$S$317=$A37),--ISNUMBER('Данные 1st'!$LI$2:$LI$317))</f>
        <v>0</v>
      </c>
      <c r="GJ37">
        <f>SUMPRODUCT(--('Данные 1st'!$S$2:$S$317=$A37),--ISNUMBER('Данные 1st'!$LJ$2:$LJ$317))</f>
        <v>0</v>
      </c>
      <c r="GK37">
        <f>SUMPRODUCT(--('Данные 1st'!$S$2:$S$317=$A37),--ISNUMBER('Данные 1st'!$LK$2:$LK$317))</f>
        <v>5</v>
      </c>
      <c r="GL37">
        <f>SUMPRODUCT(--('Данные 1st'!$S$2:$S$317=$A37),--ISNUMBER('Данные 1st'!$LV$2:$LV$317))</f>
        <v>0</v>
      </c>
      <c r="GM37">
        <f>SUMPRODUCT(--('Данные 1st'!$S$2:$S$317=$A37),--ISNUMBER('Данные 1st'!$LW$2:$LW$317))</f>
        <v>0</v>
      </c>
      <c r="GN37">
        <f>SUMPRODUCT(--('Данные 1st'!$S$2:$S$317=$A37),--ISNUMBER('Данные 1st'!$LX$2:$LX$317))</f>
        <v>0</v>
      </c>
      <c r="GO37">
        <f>SUMPRODUCT(--('Данные 1st'!$S$2:$S$317=$A37),--ISNUMBER('Данные 1st'!$LY$2:$LY$317))</f>
        <v>0</v>
      </c>
      <c r="GP37">
        <f>SUMPRODUCT(--('Данные 1st'!$S$2:$S$317=$A37),--ISNUMBER('Данные 1st'!$LZ$2:$LZ$317))</f>
        <v>0</v>
      </c>
      <c r="GQ37">
        <f>SUMPRODUCT(--('Данные 1st'!$S$2:$S$317=$A37),--ISNUMBER('Данные 1st'!$PG$2:$PG$317))</f>
        <v>5</v>
      </c>
      <c r="GR37">
        <f>SUMPRODUCT(--('Данные 1st'!$S$2:$S$317=$A37),--ISNUMBER('Данные 1st'!$PX$2:$PX$317))</f>
        <v>5</v>
      </c>
      <c r="GS37">
        <f>SUMPRODUCT(--('Данные 1st'!$S$2:$S$317=$A37),--ISNUMBER('Данные 1st'!$PY$2:$PY$317))</f>
        <v>5</v>
      </c>
      <c r="GT37">
        <f>SUMPRODUCT(--('Данные 1st'!$S$2:$S$317=$A37),--ISNUMBER('Данные 1st'!$QA$2:$QA$317))</f>
        <v>5</v>
      </c>
      <c r="GU37">
        <f>SUMPRODUCT(--('Данные 1st'!$S$2:$S$317=$A37),--ISNUMBER('Данные 1st'!$QB$2:$QB$317))</f>
        <v>5</v>
      </c>
      <c r="GV37">
        <f>SUMPRODUCT(--('Данные 1st'!$S$2:$S$317=$A37),--ISNUMBER('Данные 1st'!$QC$2:$QC$317))</f>
        <v>5</v>
      </c>
      <c r="GW37">
        <f>SUMPRODUCT(--('Данные 1st'!$S$2:$S$317=$A37),--ISNUMBER('Данные 1st'!$QD$2:$QD$317))</f>
        <v>5</v>
      </c>
      <c r="GX37">
        <f>SUMPRODUCT(--('Данные 1st'!$S$2:$S$317=$A37),--ISNUMBER('Данные 1st'!$QF$2:$QF$317))</f>
        <v>5</v>
      </c>
      <c r="GY37">
        <f>SUMPRODUCT(--('Данные 1st'!$S$2:$S$317=$A37),--ISNUMBER('Данные 1st'!$QG$2:$QG$317))</f>
        <v>5</v>
      </c>
      <c r="GZ37">
        <f>SUMPRODUCT(--('Данные 1st'!$S$2:$S$317=$A37),--ISNUMBER('Данные 1st'!$QH$2:$QH$317))</f>
        <v>5</v>
      </c>
      <c r="HA37">
        <f>SUMPRODUCT(--('Данные 1st'!$S$2:$S$317=$A37),--ISNUMBER('Данные 1st'!$QI$2:$QI$317))</f>
        <v>5</v>
      </c>
      <c r="HB37">
        <f>SUMPRODUCT(--('Данные 1st'!$S$2:$S$317=$A37),--ISNUMBER('Данные 1st'!$QK$2:$QK$317))</f>
        <v>0</v>
      </c>
      <c r="HC37">
        <f>SUMPRODUCT(--('Данные 1st'!$S$2:$S$317=$A37),--ISNUMBER('Данные 1st'!$QL$2:$QL$317))</f>
        <v>5</v>
      </c>
      <c r="HD37">
        <f>SUMPRODUCT(--('Данные 1st'!$S$2:$S$317=$A37),--ISNUMBER('Данные 1st'!$QM$2:$QM$317))</f>
        <v>5</v>
      </c>
      <c r="HE37">
        <f>SUMPRODUCT(--('Данные 1st'!$S$2:$S$317=$A37),--ISNUMBER('Данные 1st'!$QN$2:$QN$317))</f>
        <v>5</v>
      </c>
      <c r="HF37">
        <f>SUMPRODUCT(--('Данные 1st'!$S$2:$S$317=$A37),--ISNUMBER('Данные 1st'!$QP$2:$QP$317))</f>
        <v>5</v>
      </c>
      <c r="HG37">
        <f>SUMPRODUCT(--('Данные 1st'!$S$2:$S$317=$A37),--ISNUMBER('Данные 1st'!$QQ$2:$QQ$317))</f>
        <v>5</v>
      </c>
      <c r="HH37">
        <f>SUMPRODUCT(--('Данные 1st'!$S$2:$S$317=$A37),--ISNUMBER('Данные 1st'!$QR$2:$QR$317))</f>
        <v>2</v>
      </c>
      <c r="HI37">
        <f>SUMPRODUCT(--('Данные 1st'!$S$2:$S$317=$A37),--ISNUMBER('Данные 1st'!$QS$2:$QS$317))</f>
        <v>2</v>
      </c>
      <c r="HJ37">
        <f>SUMPRODUCT(--('Данные 1st'!$S$2:$S$317=$A37),--ISNUMBER('Данные 1st'!$QU$2:$QU$317))</f>
        <v>2</v>
      </c>
      <c r="HK37">
        <f>SUMPRODUCT(--('Данные 1st'!$S$2:$S$317=$A37),--ISNUMBER('Данные 1st'!$QV$2:$QV$317))</f>
        <v>2</v>
      </c>
      <c r="HL37">
        <f>SUMPRODUCT(--('Данные 1st'!$S$2:$S$317=$A37),--ISNUMBER('Данные 1st'!$QW$2:$QW$317))</f>
        <v>5</v>
      </c>
      <c r="HM37">
        <f>SUMPRODUCT(--('Данные 1st'!$S$2:$S$317=$A37),--ISNUMBER('Данные 1st'!$QX$2:$QX$317))</f>
        <v>5</v>
      </c>
      <c r="HN37">
        <f>SUMPRODUCT(--('Данные 1st'!$S$2:$S$317=$A37),--ISNUMBER('Данные 1st'!$QZ$2:$QZ$317))</f>
        <v>5</v>
      </c>
      <c r="HO37">
        <f>SUMPRODUCT(--('Данные 1st'!$S$2:$S$317=$A37),--ISNUMBER('Данные 1st'!$RA$2:$RA$317))</f>
        <v>5</v>
      </c>
      <c r="HP37">
        <f>SUMPRODUCT(--('Данные 1st'!$S$2:$S$317=$A37),--ISNUMBER('Данные 1st'!$RB$2:$RB$317))</f>
        <v>5</v>
      </c>
      <c r="HQ37">
        <f>SUMPRODUCT(--('Данные 1st'!$S$2:$S$317=$A37),--ISNUMBER('Данные 1st'!$RD$2:$RD$317))</f>
        <v>0</v>
      </c>
      <c r="HR37">
        <f>SUMPRODUCT(--('Данные 1st'!$S$2:$S$317=$A37),--ISNUMBER('Данные 1st'!$RE$2:$RE$317))</f>
        <v>5</v>
      </c>
      <c r="HS37">
        <f>SUMPRODUCT(--('Данные 1st'!$S$2:$S$317=$A37),--ISNUMBER('Данные 1st'!$RF$2:$RF$317))</f>
        <v>3</v>
      </c>
      <c r="HT37">
        <f>SUMPRODUCT(--('Данные 1st'!$S$2:$S$317=$A37),--ISNUMBER('Данные 1st'!$RG$2:$RG$317))</f>
        <v>2</v>
      </c>
      <c r="HU37">
        <f>SUMPRODUCT(--('Данные 1st'!$S$2:$S$317=$A37),--ISNUMBER('Данные 1st'!$RH$2:$RH$317))</f>
        <v>1</v>
      </c>
      <c r="HV37">
        <f>SUMPRODUCT(--('Данные 1st'!$S$2:$S$317=$A37),--ISNUMBER('Данные 1st'!$RI$2:$RI$317))</f>
        <v>1</v>
      </c>
      <c r="HW37">
        <f>SUMPRODUCT(--('Данные 1st'!$S$2:$S$317=$A37),--ISNUMBER('Данные 1st'!$RJ$2:$RJ$317))</f>
        <v>5</v>
      </c>
      <c r="HX37">
        <f>SUMPRODUCT(--('Данные 1st'!$S$2:$S$317=$A37),--ISNUMBER('Данные 1st'!$RK$2:$RK$317))</f>
        <v>0</v>
      </c>
      <c r="HY37">
        <f>SUMPRODUCT(--('Данные 1st'!$S$2:$S$317=$A37),--ISNUMBER('Данные 1st'!$RL$2:$RL$317))</f>
        <v>5</v>
      </c>
      <c r="HZ37">
        <f>SUMPRODUCT(--('Данные 1st'!$S$2:$S$317=$A37),--ISNUMBER('Данные 1st'!$RM$2:$RM$317))</f>
        <v>2</v>
      </c>
      <c r="IA37">
        <f>SUMPRODUCT(--('Данные 1st'!$S$2:$S$317=$A37),--ISNUMBER('Данные 1st'!$RN$2:$RN$317))</f>
        <v>0</v>
      </c>
      <c r="IB37">
        <f>SUMPRODUCT(--('Данные 1st'!$S$2:$S$317=$A37),--ISNUMBER('Данные 1st'!$RO$2:$RO$317))</f>
        <v>5</v>
      </c>
      <c r="IC37">
        <f>SUMPRODUCT(--('Данные 1st'!$S$2:$S$317=$A37),--ISNUMBER('Данные 1st'!$RP$2:$RP$317))</f>
        <v>0</v>
      </c>
      <c r="ID37">
        <f>SUMPRODUCT(--('Данные 1st'!$S$2:$S$317=$A37),--ISNUMBER('Данные 1st'!$RQ$2:$RQ$317))</f>
        <v>5</v>
      </c>
      <c r="IE37">
        <f>SUMPRODUCT(--('Данные 1st'!$S$2:$S$317=$A37),--ISNUMBER('Данные 1st'!$RR$2:$RR$317))</f>
        <v>2</v>
      </c>
      <c r="IF37">
        <f>SUMPRODUCT(--('Данные 1st'!$S$2:$S$317=$A37),--ISNUMBER('Данные 1st'!$RS$2:$RS$317))</f>
        <v>0</v>
      </c>
      <c r="IG37">
        <f>SUMPRODUCT(--('Данные 1st'!$S$2:$S$317=$A37),--ISNUMBER('Данные 1st'!$RT$2:$RT$317))</f>
        <v>5</v>
      </c>
      <c r="IH37">
        <f>SUMPRODUCT(--('Данные 1st'!$S$2:$S$317=$A37),--ISNUMBER('Данные 1st'!$RU$2:$RU$317))</f>
        <v>5</v>
      </c>
      <c r="II37">
        <f>SUMPRODUCT(--('Данные 1st'!$S$2:$S$317=$A37),--ISNUMBER('Данные 1st'!$RX$2:$RX$317))</f>
        <v>5</v>
      </c>
      <c r="IJ37">
        <f>SUMPRODUCT(--('Данные 1st'!$S$2:$S$317=$A37),--ISNUMBER('Данные 1st'!$RY$2:$RY$317))</f>
        <v>5</v>
      </c>
      <c r="IK37">
        <f>SUMPRODUCT(--('Данные 1st'!$S$2:$S$317=$A37),--ISNUMBER('Данные 1st'!$SA$2:$SA$317))</f>
        <v>5</v>
      </c>
      <c r="IL37">
        <f>SUMPRODUCT(--('Данные 1st'!$S$2:$S$317=$A37),--ISNUMBER('Данные 1st'!$SD$2:$SD$317))</f>
        <v>5</v>
      </c>
      <c r="IM37">
        <f>SUMPRODUCT(--('Данные 1st'!$S$2:$S$317=$A37),--ISNUMBER('Данные 1st'!$SG$2:$SG$317))</f>
        <v>2</v>
      </c>
      <c r="IN37">
        <f>SUMPRODUCT(--('Данные 1st'!$S$2:$S$317=$A37),--ISNUMBER('Данные 1st'!$SH$2:$SH$317))</f>
        <v>5</v>
      </c>
      <c r="IO37">
        <f>SUMPRODUCT(--('Данные 1st'!$S$2:$S$317=$A37),--ISNUMBER('Данные 1st'!$SI$2:$SI$317))</f>
        <v>5</v>
      </c>
      <c r="IP37">
        <f>SUMPRODUCT(--('Данные 1st'!$S$2:$S$317=$A37),--ISNUMBER('Данные 1st'!$SJ$2:$SJ$317))</f>
        <v>5</v>
      </c>
      <c r="IQ37">
        <f>SUMPRODUCT(--('Данные 1st'!$S$2:$S$317=$A37),--ISNUMBER('Данные 1st'!$SK$2:$SK$317))</f>
        <v>5</v>
      </c>
      <c r="IR37">
        <f>SUMPRODUCT(--('Данные 1st'!$S$2:$S$317=$A37),--ISNUMBER('Данные 1st'!$SL$2:$SL$317))</f>
        <v>5</v>
      </c>
      <c r="IS37">
        <f>SUMPRODUCT(--('Данные 1st'!$S$2:$S$317=$A37),--ISNUMBER('Данные 1st'!$SM$2:$SM$317))</f>
        <v>5</v>
      </c>
      <c r="IT37">
        <f>SUMPRODUCT(--('Данные 1st'!$S$2:$S$317=$A37),--ISNUMBER('Данные 1st'!$SN$2:$SN$317))</f>
        <v>5</v>
      </c>
      <c r="IU37">
        <f>SUMPRODUCT(--('Данные 1st'!$S$2:$S$317=$A37),--ISNUMBER('Данные 1st'!$SO$2:$SO$317))</f>
        <v>5</v>
      </c>
      <c r="IV37">
        <f>SUMPRODUCT(--('Данные 1st'!$S$2:$S$317=$A37),--ISNUMBER('Данные 1st'!$SP$2:$SP$317))</f>
        <v>5</v>
      </c>
      <c r="IW37">
        <f>SUMPRODUCT(--('Данные 1st'!$S$2:$S$317=$A37),--ISNUMBER('Данные 1st'!$SQ$2:$SQ$317))</f>
        <v>5</v>
      </c>
      <c r="IX37">
        <f>SUMPRODUCT(--('Данные 1st'!$S$2:$S$317=$A37),--ISNUMBER('Данные 1st'!$SR$2:$SR$317))</f>
        <v>5</v>
      </c>
      <c r="IY37">
        <f>SUMPRODUCT(--('Данные 1st'!$S$2:$S$317=$A37),--ISNUMBER('Данные 1st'!$SS$2:$SS$317))</f>
        <v>5</v>
      </c>
      <c r="IZ37">
        <f>SUMPRODUCT(--('Данные 1st'!$S$2:$S$317=$A37),--ISNUMBER('Данные 1st'!$ST$2:$ST$317))</f>
        <v>5</v>
      </c>
      <c r="JA37">
        <f>SUMPRODUCT(--('Данные 1st'!$S$2:$S$317=$A37),--ISNUMBER('Данные 1st'!$SU$2:$SU$317))</f>
        <v>5</v>
      </c>
      <c r="JB37">
        <f>SUMPRODUCT(--('Данные 1st'!$S$2:$S$317=$A37),--ISNUMBER('Данные 1st'!$SV$2:$SV$317))</f>
        <v>5</v>
      </c>
      <c r="JC37">
        <f>SUMPRODUCT(--('Данные 1st'!$S$2:$S$317=$A37),--ISNUMBER('Данные 1st'!$SW$2:$SW$317))</f>
        <v>5</v>
      </c>
      <c r="JD37">
        <f>SUMPRODUCT(--('Данные 1st'!$S$2:$S$317=$A37),--ISNUMBER('Данные 1st'!$SX$2:$SX$317))</f>
        <v>5</v>
      </c>
      <c r="JE37">
        <f>SUMPRODUCT(--('Данные 1st'!$S$2:$S$317=$A37),--ISNUMBER('Данные 1st'!$SY$2:$SY$317))</f>
        <v>0</v>
      </c>
      <c r="JF37">
        <f>SUMPRODUCT(--('Данные 1st'!$S$2:$S$317=$A37),--ISNUMBER('Данные 1st'!$SZ$2:$SZ$317))</f>
        <v>2</v>
      </c>
      <c r="JG37">
        <f>SUMPRODUCT(--('Данные 1st'!$S$2:$S$317=$A37),--ISNUMBER('Данные 1st'!$TA$2:$TA$317))</f>
        <v>0</v>
      </c>
      <c r="JH37">
        <f>SUMPRODUCT(--('Данные 1st'!$S$2:$S$317=$A37),--ISNUMBER('Данные 1st'!$TB$2:$TB$317))</f>
        <v>5</v>
      </c>
      <c r="JI37">
        <f>SUMPRODUCT(--('Данные 1st'!$S$2:$S$317=$A37),--ISNUMBER('Данные 1st'!$TC$2:$TC$317))</f>
        <v>5</v>
      </c>
      <c r="JJ37">
        <f>SUMPRODUCT(--('Данные 1st'!$S$2:$S$317=$A37),--ISNUMBER('Данные 1st'!$TD$2:$TD$317))</f>
        <v>5</v>
      </c>
      <c r="JK37">
        <f>SUMPRODUCT(--('Данные 1st'!$S$2:$S$317=$A37),--ISNUMBER('Данные 1st'!$TN$2:$TN$317))</f>
        <v>5</v>
      </c>
      <c r="JQ37">
        <f>SUMPRODUCT(--('Данные 2st'!$Q$2:$Q$317=$A37),--ISNUMBER('Данные 2st'!$AC$2:$AC$317))</f>
        <v>5</v>
      </c>
      <c r="JR37">
        <f>SUMPRODUCT(--('Данные 2st'!$Q$2:$Q$317=$A37),--ISNUMBER('Данные 2st'!$AF$2:$AF$317))</f>
        <v>5</v>
      </c>
      <c r="JS37">
        <f>SUMPRODUCT(--('Данные 2st'!$Q$2:$Q$317=$A37),--ISNUMBER('Данные 2st'!$AW$2:$AW$317))</f>
        <v>5</v>
      </c>
      <c r="JT37">
        <f>SUMPRODUCT(--('Данные 2st'!$Q$2:$Q$317=$A37),--ISNUMBER('Данные 2st'!$AX$2:$AX$317))</f>
        <v>5</v>
      </c>
      <c r="JU37">
        <f>SUMPRODUCT(--('Данные 2st'!$Q$2:$Q$317=$A37),--ISNUMBER('Данные 2st'!$AY$2:$AY$317))</f>
        <v>5</v>
      </c>
      <c r="JV37">
        <f>SUMPRODUCT(--('Данные 2st'!$Q$2:$Q$317=$A37),--ISNUMBER('Данные 2st'!$AZ$2:$AZ$317))</f>
        <v>5</v>
      </c>
      <c r="JW37">
        <f>SUMPRODUCT(--('Данные 2st'!$Q$2:$Q$317=$A37),--ISNUMBER('Данные 2st'!$BA$2:$BA$317))</f>
        <v>2</v>
      </c>
      <c r="JX37">
        <f>SUMPRODUCT(--('Данные 2st'!$Q$2:$Q$317=$A37),--ISNUMBER('Данные 2st'!$BB$2:$BB$317))</f>
        <v>2</v>
      </c>
      <c r="JY37">
        <f>SUMPRODUCT(--('Данные 2st'!$Q$2:$Q$317=$A37),--ISNUMBER('Данные 2st'!$BC$2:$BC$317))</f>
        <v>2</v>
      </c>
      <c r="JZ37">
        <f>SUMPRODUCT(--('Данные 2st'!$Q$2:$Q$317=$A37),--ISNUMBER('Данные 2st'!$BH$2:$BH$317))</f>
        <v>5</v>
      </c>
      <c r="KA37">
        <f>SUMPRODUCT(--('Данные 2st'!$Q$2:$Q$317=$A37),--ISNUMBER('Данные 2st'!$BI$2:$BI$317))</f>
        <v>5</v>
      </c>
      <c r="KB37">
        <f>SUMPRODUCT(--('Данные 2st'!$Q$2:$Q$317=$A37),--ISNUMBER('Данные 2st'!$BJ$2:$BJ$317))</f>
        <v>5</v>
      </c>
      <c r="KC37">
        <f>SUMPRODUCT(--('Данные 2st'!$Q$2:$Q$317=$A37),--ISNUMBER('Данные 2st'!$BK$2:$BK$317))</f>
        <v>5</v>
      </c>
      <c r="KD37">
        <f>SUMPRODUCT(--('Данные 2st'!$Q$2:$Q$317=$A37),--ISNUMBER('Данные 2st'!$BL$2:$BL$317))</f>
        <v>5</v>
      </c>
      <c r="KE37">
        <f>SUMPRODUCT(--('Данные 2st'!$Q$2:$Q$317=$A37),--ISNUMBER('Данные 2st'!$BM$2:$BM$317))</f>
        <v>5</v>
      </c>
      <c r="KF37">
        <f>SUMPRODUCT(--('Данные 2st'!$Q$2:$Q$317=$A37),--ISNUMBER('Данные 2st'!$BN$2:$BN$317))</f>
        <v>5</v>
      </c>
      <c r="KG37">
        <f>SUMPRODUCT(--('Данные 2st'!$Q$2:$Q$317=$A37),--ISNUMBER('Данные 2st'!$BO$2:$BO$317))</f>
        <v>2</v>
      </c>
      <c r="KH37">
        <f>SUMPRODUCT(--('Данные 2st'!$Q$2:$Q$317=$A37),--ISNUMBER('Данные 2st'!$BP$2:$BP$317))</f>
        <v>5</v>
      </c>
      <c r="KI37">
        <f>SUMPRODUCT(--('Данные 2st'!$Q$2:$Q$317=$A37),--ISNUMBER('Данные 2st'!$BR$2:$BR$317))</f>
        <v>5</v>
      </c>
      <c r="KJ37">
        <f>SUMPRODUCT(--('Данные 2st'!$Q$2:$Q$317=$A37),--ISNUMBER('Данные 2st'!$BS$2:$BS$317))</f>
        <v>5</v>
      </c>
      <c r="KK37">
        <f>SUMPRODUCT(--('Данные 2st'!$Q$2:$Q$317=$A37),--ISNUMBER('Данные 2st'!$BT$2:$BT$317))</f>
        <v>5</v>
      </c>
      <c r="KL37">
        <f>SUMPRODUCT(--('Данные 2st'!$Q$2:$Q$317=$A37),--ISNUMBER('Данные 2st'!$CV$2:$CV$317))</f>
        <v>5</v>
      </c>
      <c r="KM37">
        <f>SUMPRODUCT(--('Данные 2st'!$Q$2:$Q$317=$A37),--ISNUMBER('Данные 2st'!$CW$2:$CW$317))</f>
        <v>5</v>
      </c>
      <c r="KN37">
        <f>SUMPRODUCT(--('Данные 2st'!$Q$2:$Q$317=$A37),--ISNUMBER('Данные 2st'!$CX$2:$CX$317))</f>
        <v>5</v>
      </c>
      <c r="KO37">
        <f>SUMPRODUCT(--('Данные 2st'!$Q$2:$Q$317=$A37),--ISNUMBER('Данные 2st'!$CY$2:$CY$317))</f>
        <v>5</v>
      </c>
      <c r="KP37">
        <f>SUMPRODUCT(--('Данные 2st'!$Q$2:$Q$317=$A37),--ISNUMBER('Данные 2st'!$CZ$2:$CZ$317))</f>
        <v>5</v>
      </c>
      <c r="KQ37">
        <f>SUMPRODUCT(--('Данные 2st'!$Q$2:$Q$317=$A37),--ISNUMBER('Данные 2st'!$DA$2:$DA$317))</f>
        <v>5</v>
      </c>
      <c r="KR37">
        <f>SUMPRODUCT(--('Данные 2st'!$Q$2:$Q$317=$A37),--ISNUMBER('Данные 2st'!$DB$2:$DB$317))</f>
        <v>5</v>
      </c>
      <c r="KS37">
        <f>SUMPRODUCT(--('Данные 2st'!$Q$2:$Q$317=$A37),--ISNUMBER('Данные 2st'!$DC$2:$DC$317))</f>
        <v>5</v>
      </c>
      <c r="KT37">
        <f>SUMPRODUCT(--('Данные 2st'!$Q$2:$Q$317=$A37),--ISNUMBER('Данные 2st'!$DD$2:$DD$317))</f>
        <v>5</v>
      </c>
      <c r="KU37">
        <f>SUMPRODUCT(--('Данные 2st'!$Q$2:$Q$317=$A37),--ISNUMBER('Данные 2st'!$DE$2:$DE$317))</f>
        <v>5</v>
      </c>
      <c r="KV37">
        <f>SUMPRODUCT(--('Данные 2st'!$Q$2:$Q$317=$A37),--ISNUMBER('Данные 2st'!$DF$2:$DF$317))</f>
        <v>5</v>
      </c>
      <c r="KW37">
        <f>SUMPRODUCT(--('Данные 2st'!$Q$2:$Q$317=$A37),--ISNUMBER('Данные 2st'!$DG$2:$DG$317))</f>
        <v>5</v>
      </c>
      <c r="KX37">
        <f>SUMPRODUCT(--('Данные 2st'!$Q$2:$Q$317=$A37),--ISNUMBER('Данные 2st'!$DH$2:$DH$317))</f>
        <v>0</v>
      </c>
      <c r="KY37">
        <f>SUMPRODUCT(--('Данные 2st'!$Q$2:$Q$317=$A37),--ISNUMBER('Данные 2st'!$DI$2:$DI$317))</f>
        <v>0</v>
      </c>
      <c r="KZ37">
        <f>SUMPRODUCT(--('Данные 2st'!$Q$2:$Q$317=$A37),--ISNUMBER('Данные 2st'!$DK$2:$DK$317))</f>
        <v>5</v>
      </c>
      <c r="LA37">
        <f>SUMPRODUCT(--('Данные 2st'!$Q$2:$Q$317=$A37),--ISNUMBER('Данные 2st'!$DM$2:$DM$317))</f>
        <v>5</v>
      </c>
      <c r="LB37">
        <f>SUMPRODUCT(--('Данные 2st'!$Q$2:$Q$317=$A37),--ISNUMBER('Данные 2st'!$DN$2:$DN$317))</f>
        <v>5</v>
      </c>
      <c r="LC37">
        <f>SUMPRODUCT(--('Данные 2st'!$Q$2:$Q$317=$A37),--ISNUMBER('Данные 2st'!$DO$2:$DO$317))</f>
        <v>5</v>
      </c>
      <c r="LD37">
        <f>SUMPRODUCT(--('Данные 2st'!$Q$2:$Q$317=$A37),--ISNUMBER('Данные 2st'!$DP$2:$DP$317))</f>
        <v>5</v>
      </c>
      <c r="LE37">
        <f>SUMPRODUCT(--('Данные 2st'!$Q$2:$Q$317=$A37),--ISNUMBER('Данные 2st'!$DQ$2:$DQ$317))</f>
        <v>5</v>
      </c>
      <c r="LF37">
        <f>SUMPRODUCT(--('Данные 2st'!$Q$2:$Q$317=$A37),--ISNUMBER('Данные 2st'!$DS$2:$DS$317))</f>
        <v>5</v>
      </c>
      <c r="LG37">
        <f>SUMPRODUCT(--('Данные 2st'!$Q$2:$Q$317=$A37),--ISNUMBER('Данные 2st'!$DU$2:$DU$317))</f>
        <v>5</v>
      </c>
      <c r="LH37">
        <f>SUMPRODUCT(--('Данные 2st'!$Q$2:$Q$317=$A37),--ISNUMBER('Данные 2st'!$DV$2:$DV$317))</f>
        <v>5</v>
      </c>
      <c r="LI37">
        <f>SUMPRODUCT(--('Данные 2st'!$Q$2:$Q$317=$A37),--ISNUMBER('Данные 2st'!$DW$2:$DW$317))</f>
        <v>5</v>
      </c>
      <c r="LJ37">
        <f>SUMPRODUCT(--('Данные 2st'!$Q$2:$Q$317=$A37),--ISNUMBER('Данные 2st'!$DX$2:$DX$317))</f>
        <v>5</v>
      </c>
      <c r="LK37">
        <f>SUMPRODUCT(--('Данные 2st'!$Q$2:$Q$317=$A37),--ISNUMBER('Данные 2st'!$DY$2:$DY$317))</f>
        <v>5</v>
      </c>
      <c r="LL37">
        <f>SUMPRODUCT(--('Данные 2st'!$Q$2:$Q$317=$A37),--ISNUMBER('Данные 2st'!$EA$2:$EA$317))</f>
        <v>5</v>
      </c>
      <c r="LM37">
        <f>SUMPRODUCT(--('Данные 2st'!$Q$2:$Q$317=$A37),--ISNUMBER('Данные 2st'!$EC$2:$EC$317))</f>
        <v>5</v>
      </c>
      <c r="LN37">
        <f>SUMPRODUCT(--('Данные 2st'!$Q$2:$Q$317=$A37),--ISNUMBER('Данные 2st'!$ED$2:$ED$317))</f>
        <v>5</v>
      </c>
      <c r="LO37">
        <f>SUMPRODUCT(--('Данные 2st'!$Q$2:$Q$317=$A37),--ISNUMBER('Данные 2st'!$EE$2:$EE$317))</f>
        <v>5</v>
      </c>
      <c r="LP37">
        <f>SUMPRODUCT(--('Данные 2st'!$Q$2:$Q$317=$A37),--ISNUMBER('Данные 2st'!$EG$2:$EG$317))</f>
        <v>5</v>
      </c>
      <c r="LQ37">
        <f>SUMPRODUCT(--('Данные 2st'!$Q$2:$Q$317=$A37),--ISNUMBER('Данные 2st'!$EI$2:$EI$317))</f>
        <v>5</v>
      </c>
      <c r="LR37">
        <f>SUMPRODUCT(--('Данные 2st'!$Q$2:$Q$317=$A37),--ISNUMBER('Данные 2st'!$EJ$2:$EJ$317))</f>
        <v>1</v>
      </c>
      <c r="LS37">
        <f>SUMPRODUCT(--('Данные 2st'!$Q$2:$Q$317=$A37),--ISNUMBER('Данные 2st'!$EK$2:$EK$317))</f>
        <v>1</v>
      </c>
      <c r="LT37">
        <f>SUMPRODUCT(--('Данные 2st'!$Q$2:$Q$317=$A37),--ISNUMBER('Данные 2st'!$EM$2:$EM$317))</f>
        <v>5</v>
      </c>
      <c r="LU37">
        <f>SUMPRODUCT(--('Данные 2st'!$Q$2:$Q$317=$A37),--ISNUMBER('Данные 2st'!$EN$2:$EN$317))</f>
        <v>5</v>
      </c>
      <c r="LV37">
        <f>SUMPRODUCT(--('Данные 2st'!$Q$2:$Q$317=$A37),--ISNUMBER('Данные 2st'!$EO$2:$EO$317))</f>
        <v>5</v>
      </c>
      <c r="LW37">
        <f>SUMPRODUCT(--('Данные 2st'!$Q$2:$Q$317=$A37),--ISNUMBER('Данные 2st'!$EP$2:$EP$317))</f>
        <v>5</v>
      </c>
      <c r="LX37">
        <f>SUMPRODUCT(--('Данные 2st'!$Q$2:$Q$317=$A37),--ISNUMBER('Данные 2st'!$EQ$2:$EQ$317))</f>
        <v>5</v>
      </c>
      <c r="LY37">
        <f>SUMPRODUCT(--('Данные 2st'!$Q$2:$Q$317=$A37),--ISNUMBER('Данные 2st'!$ER$2:$ER$317))</f>
        <v>5</v>
      </c>
      <c r="LZ37">
        <f>SUMPRODUCT(--('Данные 2st'!$Q$2:$Q$317=$A37),--ISNUMBER('Данные 2st'!$ES$2:$ES$317))</f>
        <v>5</v>
      </c>
      <c r="MA37">
        <f>SUMPRODUCT(--('Данные 2st'!$Q$2:$Q$317=$A37),--ISNUMBER('Данные 2st'!$ET$2:$ET$317))</f>
        <v>5</v>
      </c>
      <c r="MB37">
        <f>SUMPRODUCT(--('Данные 2st'!$Q$2:$Q$317=$A37),--ISNUMBER('Данные 2st'!$EU$2:$EU$317))</f>
        <v>5</v>
      </c>
      <c r="MC37">
        <f>SUMPRODUCT(--('Данные 2st'!$Q$2:$Q$317=$A37),--ISNUMBER('Данные 2st'!$EV$2:$EV$317))</f>
        <v>5</v>
      </c>
      <c r="MD37">
        <f>SUMPRODUCT(--('Данные 2st'!$Q$2:$Q$317=$A37),--ISNUMBER('Данные 2st'!$EW$2:$EW$317))</f>
        <v>5</v>
      </c>
      <c r="ME37">
        <f>SUMPRODUCT(--('Данные 2st'!$Q$2:$Q$317=$A37),--ISNUMBER('Данные 2st'!$EY$2:$EY$317))</f>
        <v>5</v>
      </c>
      <c r="MF37">
        <f>SUMPRODUCT(--('Данные 2st'!$Q$2:$Q$317=$A37),--ISNUMBER('Данные 2st'!$FA$2:$FA$317))</f>
        <v>5</v>
      </c>
      <c r="MG37">
        <f>SUMPRODUCT(--('Данные 2st'!$Q$2:$Q$317=$A37),--ISNUMBER('Данные 2st'!$FB$2:$FB$317))</f>
        <v>5</v>
      </c>
      <c r="MH37">
        <f>SUMPRODUCT(--('Данные 2st'!$Q$2:$Q$317=$A37),--ISNUMBER('Данные 2st'!$FC$2:$FC$317))</f>
        <v>5</v>
      </c>
      <c r="MI37">
        <f>SUMPRODUCT(--('Данные 2st'!$Q$2:$Q$317=$A37),--ISNUMBER('Данные 2st'!$FD$2:$FD$317))</f>
        <v>5</v>
      </c>
      <c r="MJ37">
        <f>SUMPRODUCT(--('Данные 2st'!$Q$2:$Q$317=$A37),--ISNUMBER('Данные 2st'!$FE$2:$FE$317))</f>
        <v>5</v>
      </c>
      <c r="MK37">
        <f>SUMPRODUCT(--('Данные 2st'!$Q$2:$Q$317=$A37),--ISNUMBER('Данные 2st'!$FG$2:$FG$317))</f>
        <v>5</v>
      </c>
      <c r="ML37">
        <f>SUMPRODUCT(--('Данные 2st'!$Q$2:$Q$317=$A37),--ISNUMBER('Данные 2st'!$FI$2:$FI$317))</f>
        <v>5</v>
      </c>
      <c r="MM37">
        <f>SUMPRODUCT(--('Данные 2st'!$Q$2:$Q$317=$A37),--ISNUMBER('Данные 2st'!$FJ$2:$FJ$317))</f>
        <v>5</v>
      </c>
      <c r="MN37">
        <f>SUMPRODUCT(--('Данные 2st'!$Q$2:$Q$317=$A37),--ISNUMBER('Данные 2st'!$FK$2:$FK$317))</f>
        <v>5</v>
      </c>
      <c r="MO37">
        <f>SUMPRODUCT(--('Данные 2st'!$Q$2:$Q$317=$A37),--ISNUMBER('Данные 2st'!$FP$2:$FP$317))</f>
        <v>5</v>
      </c>
      <c r="MP37">
        <f>SUMPRODUCT(--('Данные 2st'!$Q$2:$Q$317=$A37),--ISNUMBER('Данные 2st'!$FQ$2:$FQ$317))</f>
        <v>5</v>
      </c>
      <c r="MQ37">
        <f>SUMPRODUCT(--('Данные 2st'!$Q$2:$Q$317=$A37),--ISNUMBER('Данные 2st'!$FS$2:$FS$317))</f>
        <v>5</v>
      </c>
      <c r="MR37">
        <f>SUMPRODUCT(--('Данные 2st'!$Q$2:$Q$317=$A37),--ISNUMBER('Данные 2st'!$FU$2:$FU$317))</f>
        <v>5</v>
      </c>
      <c r="MS37">
        <f>SUMPRODUCT(--('Данные 2st'!$Q$2:$Q$317=$A37),--ISNUMBER('Данные 2st'!$FV$2:$FV$317))</f>
        <v>5</v>
      </c>
      <c r="MT37">
        <f>SUMPRODUCT(--('Данные 2st'!$Q$2:$Q$317=$A37),--ISNUMBER('Данные 2st'!$FW$2:$FW$317))</f>
        <v>5</v>
      </c>
      <c r="MU37">
        <f>SUMPRODUCT(--('Данные 2st'!$Q$2:$Q$317=$A37),--ISNUMBER('Данные 2st'!$FY$2:$FY$317))</f>
        <v>4</v>
      </c>
      <c r="MV37">
        <f>SUMPRODUCT(--('Данные 2st'!$Q$2:$Q$317=$A37),--ISNUMBER('Данные 2st'!$GB$2:$GB$317))</f>
        <v>4</v>
      </c>
      <c r="MW37">
        <f>SUMPRODUCT(--('Данные 2st'!$Q$2:$Q$317=$A37),--ISNUMBER('Данные 2st'!$GC$2:$GC$317))</f>
        <v>4</v>
      </c>
      <c r="MX37">
        <f>SUMPRODUCT(--('Данные 2st'!$Q$2:$Q$317=$A37),--ISNUMBER('Данные 2st'!$GD$2:$GD$317))</f>
        <v>5</v>
      </c>
      <c r="MY37">
        <f>SUMPRODUCT(--('Данные 2st'!$Q$2:$Q$317=$A37),--ISNUMBER('Данные 2st'!$GN$2:$GN$317))</f>
        <v>0</v>
      </c>
      <c r="MZ37">
        <f>SUMPRODUCT(--('Данные 2st'!$Q$2:$Q$317=$A37),--ISNUMBER('Данные 2st'!$GQ$2:$GQ$317))</f>
        <v>5</v>
      </c>
      <c r="NA37">
        <f>SUMPRODUCT(--('Данные 2st'!$Q$2:$Q$317=$A37),--ISNUMBER('Данные 2st'!$GV$2:$GV$317))</f>
        <v>5</v>
      </c>
      <c r="NB37">
        <f>SUMPRODUCT(--('Данные 2st'!$Q$2:$Q$317=$A37),--ISNUMBER('Данные 2st'!$GW$2:$GW$317))</f>
        <v>5</v>
      </c>
      <c r="NC37">
        <f>SUMPRODUCT(--('Данные 2st'!$Q$2:$Q$317=$A37),--ISNUMBER('Данные 2st'!$GX$2:$GX$317))</f>
        <v>5</v>
      </c>
      <c r="ND37">
        <f>SUMPRODUCT(--('Данные 2st'!$Q$2:$Q$317=$A37),--ISNUMBER('Данные 2st'!$GY$2:$GY$317))</f>
        <v>5</v>
      </c>
      <c r="NE37">
        <f>SUMPRODUCT(--('Данные 2st'!$Q$2:$Q$317=$A37),--ISNUMBER('Данные 2st'!$GZ$2:$GZ$317))</f>
        <v>5</v>
      </c>
      <c r="NF37">
        <f>SUMPRODUCT(--('Данные 2st'!$Q$2:$Q$317=$A37),--ISNUMBER('Данные 2st'!$HA$2:$HA$317))</f>
        <v>5</v>
      </c>
      <c r="NG37">
        <f>SUMPRODUCT(--('Данные 2st'!$Q$2:$Q$317=$A37),--ISNUMBER('Данные 2st'!$HB$2:$HB$317))</f>
        <v>5</v>
      </c>
      <c r="NH37">
        <f>SUMPRODUCT(--('Данные 2st'!$Q$2:$Q$317=$A37),--ISNUMBER('Данные 2st'!$HC$2:$HC$317))</f>
        <v>5</v>
      </c>
      <c r="NI37">
        <f>SUMPRODUCT(--('Данные 2st'!$Q$2:$Q$317=$A37),--ISNUMBER('Данные 2st'!$HD$2:$HD$317))</f>
        <v>5</v>
      </c>
      <c r="NJ37">
        <f>SUMPRODUCT(--('Данные 2st'!$Q$2:$Q$317=$A37),--ISNUMBER('Данные 2st'!$HM$2:$HM$317))</f>
        <v>5</v>
      </c>
      <c r="NK37">
        <f>SUMPRODUCT(--('Данные 2st'!$Q$2:$Q$317=$A37),--ISNUMBER('Данные 2st'!$HR$2:$HR$317))</f>
        <v>5</v>
      </c>
      <c r="NL37">
        <f>SUMPRODUCT(--('Данные 2st'!$Q$2:$Q$317=$A37),--ISNUMBER('Данные 2st'!$HS$2:$HS$317))</f>
        <v>5</v>
      </c>
      <c r="NM37">
        <f>SUMPRODUCT(--('Данные 2st'!$Q$2:$Q$317=$A37),--ISNUMBER('Данные 2st'!$HT$2:$HT$317))</f>
        <v>5</v>
      </c>
      <c r="NN37">
        <f>SUMPRODUCT(--('Данные 2st'!$Q$2:$Q$317=$A37),--ISNUMBER('Данные 2st'!$HY$2:$HY$317))</f>
        <v>5</v>
      </c>
      <c r="NO37">
        <f>SUMPRODUCT(--('Данные 2st'!$Q$2:$Q$317=$A37),--ISNUMBER('Данные 2st'!$HZ$2:$HZ$317))</f>
        <v>5</v>
      </c>
      <c r="NP37">
        <f>SUMPRODUCT(--('Данные 2st'!$Q$2:$Q$317=$A37),--ISNUMBER('Данные 2st'!$IA$2:$IA$317))</f>
        <v>5</v>
      </c>
      <c r="NQ37">
        <f>SUMPRODUCT(--('Данные 2st'!$Q$2:$Q$317=$A37),--ISNUMBER('Данные 2st'!$IB$2:$IB$317))</f>
        <v>5</v>
      </c>
      <c r="NR37">
        <f>SUMPRODUCT(--('Данные 2st'!$Q$2:$Q$317=$A37),--ISNUMBER('Данные 2st'!$IC$2:$IC$317))</f>
        <v>0</v>
      </c>
      <c r="NS37">
        <f>SUMPRODUCT(--('Данные 2st'!$Q$2:$Q$317=$A37),--ISNUMBER('Данные 2st'!$ID$2:$ID$317))</f>
        <v>5</v>
      </c>
      <c r="NT37">
        <f>SUMPRODUCT(--('Данные 2st'!$Q$2:$Q$317=$A37),--ISNUMBER('Данные 2st'!$IE$2:$IE$317))</f>
        <v>5</v>
      </c>
      <c r="NU37">
        <f>SUMPRODUCT(--('Данные 2st'!$Q$2:$Q$317=$A37),--ISNUMBER('Данные 2st'!$IF$2:$IF$317))</f>
        <v>5</v>
      </c>
      <c r="NV37">
        <f>SUMPRODUCT(--('Данные 2st'!$Q$2:$Q$317=$A37),--ISNUMBER('Данные 2st'!$IG$2:$IG$317))</f>
        <v>5</v>
      </c>
      <c r="NW37">
        <f>SUMPRODUCT(--('Данные 2st'!$Q$2:$Q$317=$A37),--ISNUMBER('Данные 2st'!$IH$2:$IH$317))</f>
        <v>5</v>
      </c>
      <c r="NX37">
        <f>SUMPRODUCT(--('Данные 2st'!$Q$2:$Q$317=$A37),--ISNUMBER('Данные 2st'!$IJ$2:$IJ$317))</f>
        <v>5</v>
      </c>
      <c r="NY37">
        <f>SUMPRODUCT(--('Данные 2st'!$Q$2:$Q$317=$A37),--ISNUMBER('Данные 2st'!$IM$2:$IM$317))</f>
        <v>5</v>
      </c>
      <c r="NZ37">
        <f>SUMPRODUCT(--('Данные 2st'!$Q$2:$Q$317=$A37),--ISNUMBER('Данные 2st'!$IN$2:$IN$317))</f>
        <v>5</v>
      </c>
      <c r="OA37">
        <f>SUMPRODUCT(--('Данные 2st'!$Q$2:$Q$317=$A37),--ISNUMBER('Данные 2st'!$IO$2:$IO$317))</f>
        <v>5</v>
      </c>
      <c r="OB37">
        <f>SUMPRODUCT(--('Данные 2st'!$Q$2:$Q$317=$A37),--ISNUMBER('Данные 2st'!$IP$2:$IP$317))</f>
        <v>5</v>
      </c>
      <c r="OC37">
        <f>SUMPRODUCT(--('Данные 2st'!$Q$2:$Q$317=$A37),--ISNUMBER('Данные 2st'!$IQ$2:$IQ$317))</f>
        <v>5</v>
      </c>
      <c r="OD37">
        <f>SUMPRODUCT(--('Данные 2st'!$Q$2:$Q$317=$A37),--ISNUMBER('Данные 2st'!$IR$2:$IR$317))</f>
        <v>5</v>
      </c>
      <c r="OE37">
        <f>SUMPRODUCT(--('Данные 2st'!$Q$2:$Q$317=$A37),--ISNUMBER('Данные 2st'!$IT$2:$IT$317))</f>
        <v>5</v>
      </c>
      <c r="OF37">
        <f>SUMPRODUCT(--('Данные 2st'!$Q$2:$Q$317=$A37),--ISNUMBER('Данные 2st'!$IU$2:$IU$317))</f>
        <v>5</v>
      </c>
      <c r="OG37">
        <f>SUMPRODUCT(--('Данные 2st'!$Q$2:$Q$317=$A37),--ISNUMBER('Данные 2st'!$IV$2:$IV$317))</f>
        <v>5</v>
      </c>
      <c r="OH37">
        <f>SUMPRODUCT(--('Данные 2st'!$Q$2:$Q$317=$A37),--ISNUMBER('Данные 2st'!$IW$2:$IW$317))</f>
        <v>5</v>
      </c>
      <c r="OI37">
        <f>SUMPRODUCT(--('Данные 2st'!$Q$2:$Q$317=$A37),--ISNUMBER('Данные 2st'!$IX$2:$IX$317))</f>
        <v>5</v>
      </c>
      <c r="OJ37">
        <f>SUMPRODUCT(--('Данные 2st'!$Q$2:$Q$317=$A37),--ISNUMBER('Данные 2st'!$IY$2:$IY$317))</f>
        <v>5</v>
      </c>
      <c r="OK37">
        <f>SUMPRODUCT(--('Данные 2st'!$Q$2:$Q$317=$A37),--ISNUMBER('Данные 2st'!$IZ$2:$IZ$317))</f>
        <v>5</v>
      </c>
      <c r="OL37">
        <f>SUMPRODUCT(--('Данные 2st'!$Q$2:$Q$317=$A37),--ISNUMBER('Данные 2st'!$JA$2:$JA$317))</f>
        <v>5</v>
      </c>
      <c r="OM37">
        <f>SUMPRODUCT(--('Данные 2st'!$Q$2:$Q$317=$A37),--ISNUMBER('Данные 2st'!$JB$2:$JB$317))</f>
        <v>5</v>
      </c>
      <c r="ON37">
        <f>SUMPRODUCT(--('Данные 2st'!$Q$2:$Q$317=$A37),--ISNUMBER('Данные 2st'!$JC$2:$JC$317))</f>
        <v>5</v>
      </c>
      <c r="OO37">
        <f>SUMPRODUCT(--('Данные 2st'!$Q$2:$Q$317=$A37),--ISNUMBER('Данные 2st'!$JD$2:$JD$317))</f>
        <v>5</v>
      </c>
      <c r="OP37">
        <f>SUMPRODUCT(--('Данные 2st'!$Q$2:$Q$317=$A37),--ISNUMBER('Данные 2st'!$JE$2:$JE$317))</f>
        <v>5</v>
      </c>
      <c r="OQ37">
        <f>SUMPRODUCT(--('Данные 2st'!$Q$2:$Q$317=$A37),--ISNUMBER('Данные 2st'!$JF$2:$JF$317))</f>
        <v>5</v>
      </c>
      <c r="OR37">
        <f>SUMPRODUCT(--('Данные 2st'!$Q$2:$Q$317=$A37),--ISNUMBER('Данные 2st'!$JG$2:$JG$317))</f>
        <v>5</v>
      </c>
      <c r="OS37">
        <f>SUMPRODUCT(--('Данные 2st'!$Q$2:$Q$317=$A37),--ISNUMBER('Данные 2st'!$JH$2:$JH$317))</f>
        <v>5</v>
      </c>
      <c r="OT37">
        <f>SUMPRODUCT(--('Данные 2st'!$Q$2:$Q$317=$A37),--ISNUMBER('Данные 2st'!$JI$2:$JI$317))</f>
        <v>5</v>
      </c>
      <c r="OU37">
        <f>SUMPRODUCT(--('Данные 2st'!$Q$2:$Q$317=$A37),--ISNUMBER('Данные 2st'!$JJ$2:$JJ$317))</f>
        <v>5</v>
      </c>
      <c r="OV37">
        <f>SUMPRODUCT(--('Данные 2st'!$Q$2:$Q$317=$A37),--ISNUMBER('Данные 2st'!$JK$2:$JK$317))</f>
        <v>5</v>
      </c>
      <c r="OW37">
        <f>SUMPRODUCT(--('Данные 2st'!$Q$2:$Q$317=$A37),--ISNUMBER('Данные 2st'!$JL$2:$JL$317))</f>
        <v>5</v>
      </c>
      <c r="OX37">
        <f>SUMPRODUCT(--('Данные 2st'!$Q$2:$Q$317=$A37),--ISNUMBER('Данные 2st'!$JM$2:$JM$317))</f>
        <v>5</v>
      </c>
      <c r="OY37">
        <f>SUMPRODUCT(--('Данные 2st'!$Q$2:$Q$317=$A37),--ISNUMBER('Данные 2st'!$JP$2:$JP$317))</f>
        <v>5</v>
      </c>
      <c r="OZ37">
        <f>SUMPRODUCT(--('Данные 2st'!$Q$2:$Q$317=$A37),--ISNUMBER('Данные 2st'!$JQ$2:$JQ$317))</f>
        <v>5</v>
      </c>
      <c r="PA37">
        <f>SUMPRODUCT(--('Данные 2st'!$Q$2:$Q$317=$A37),--ISNUMBER('Данные 2st'!$JR$2:$JR$317))</f>
        <v>5</v>
      </c>
      <c r="PB37">
        <f>SUMPRODUCT(--('Данные 2st'!$Q$2:$Q$317=$A37),--ISNUMBER('Данные 2st'!$JS$2:$JS$317))</f>
        <v>5</v>
      </c>
      <c r="PC37">
        <f>SUMPRODUCT(--('Данные 2st'!$Q$2:$Q$317=$A37),--ISNUMBER('Данные 2st'!$JT$2:$JT$317))</f>
        <v>5</v>
      </c>
      <c r="PD37">
        <f>SUMPRODUCT(--('Данные 2st'!$Q$2:$Q$317=$A37),--ISNUMBER('Данные 2st'!$JU$2:$JU$317))</f>
        <v>5</v>
      </c>
      <c r="PE37">
        <f>SUMPRODUCT(--('Данные 2st'!$Q$2:$Q$317=$A37),--ISNUMBER('Данные 2st'!$JV$2:$JV$317))</f>
        <v>5</v>
      </c>
      <c r="PF37">
        <f>SUMPRODUCT(--('Данные 2st'!$Q$2:$Q$317=$A37),--ISNUMBER('Данные 2st'!$JW$2:$JW$317))</f>
        <v>5</v>
      </c>
      <c r="PG37">
        <f>SUMPRODUCT(--('Данные 2st'!$Q$2:$Q$317=$A37),--ISNUMBER('Данные 2st'!$KF$2:$KF$317))</f>
        <v>5</v>
      </c>
      <c r="PH37">
        <f>SUMPRODUCT(--('Данные 2st'!$Q$2:$Q$317=$A37),--ISNUMBER('Данные 2st'!$KG$2:$KG$317))</f>
        <v>5</v>
      </c>
      <c r="PI37">
        <f>SUMPRODUCT(--('Данные 2st'!$Q$2:$Q$317=$A37),--ISNUMBER('Данные 2st'!$KM$2:$KM$317))</f>
        <v>5</v>
      </c>
      <c r="PJ37">
        <f>SUMPRODUCT(--('Данные 2st'!$Q$2:$Q$317=$A37),--ISNUMBER('Данные 2st'!$KN$2:$KN$317))</f>
        <v>5</v>
      </c>
      <c r="PK37">
        <f>SUMPRODUCT(--('Данные 2st'!$Q$2:$Q$317=$A37),--ISNUMBER('Данные 2st'!$KO$2:$KO$317))</f>
        <v>5</v>
      </c>
      <c r="PL37">
        <f>SUMPRODUCT(--('Данные 2st'!$Q$2:$Q$317=$A37),--ISNUMBER('Данные 2st'!$KP$2:$KP$317))</f>
        <v>5</v>
      </c>
      <c r="PM37">
        <f>SUMPRODUCT(--('Данные 2st'!$Q$2:$Q$317=$A37),--ISNUMBER('Данные 2st'!$KQ$2:$KQ$317))</f>
        <v>5</v>
      </c>
      <c r="PN37">
        <f>SUMPRODUCT(--('Данные 2st'!$Q$2:$Q$317=$A37),--ISNUMBER('Данные 2st'!$KR$2:$KR$317))</f>
        <v>5</v>
      </c>
      <c r="PO37">
        <f>SUMPRODUCT(--('Данные 2st'!$Q$2:$Q$317=$A37),--ISNUMBER('Данные 2st'!$KS$2:$KS$317))</f>
        <v>5</v>
      </c>
      <c r="PP37">
        <f>SUMPRODUCT(--('Данные 2st'!$Q$2:$Q$317=$A37),--ISNUMBER('Данные 2st'!$KT$2:$KT$317))</f>
        <v>5</v>
      </c>
      <c r="PQ37">
        <f>SUMPRODUCT(--('Данные 2st'!$Q$2:$Q$317=$A37),--ISNUMBER('Данные 2st'!$KU$2:$KU$317))</f>
        <v>5</v>
      </c>
      <c r="PR37">
        <f>SUMPRODUCT(--('Данные 2st'!$Q$2:$Q$317=$A37),--ISNUMBER('Данные 2st'!$KV$2:$KV$317))</f>
        <v>5</v>
      </c>
      <c r="PS37">
        <f>SUMPRODUCT(--('Данные 2st'!$Q$2:$Q$317=$A37),--ISNUMBER('Данные 2st'!$KW$2:$KW$317))</f>
        <v>5</v>
      </c>
      <c r="PT37">
        <f>SUMPRODUCT(--('Данные 2st'!$Q$2:$Q$317=$A37),--ISNUMBER('Данные 2st'!$KX$2:$KX$317))</f>
        <v>5</v>
      </c>
      <c r="PU37">
        <f>SUMPRODUCT(--('Данные 2st'!$Q$2:$Q$317=$A37),--ISNUMBER('Данные 2st'!$KY$2:$KY$317))</f>
        <v>5</v>
      </c>
      <c r="PV37">
        <f>SUMPRODUCT(--('Данные 2st'!$Q$2:$Q$317=$A37),--ISNUMBER('Данные 2st'!$KZ$2:$KZ$317))</f>
        <v>5</v>
      </c>
      <c r="PW37">
        <f>SUMPRODUCT(--('Данные 2st'!$Q$2:$Q$317=$A37),--ISNUMBER('Данные 2st'!$LA$2:$LA$317))</f>
        <v>5</v>
      </c>
      <c r="PX37">
        <f>SUMPRODUCT(--('Данные 2st'!$Q$2:$Q$317=$A37),--ISNUMBER('Данные 2st'!$LB$2:$LB$317))</f>
        <v>5</v>
      </c>
      <c r="PY37">
        <f>SUMPRODUCT(--('Данные 2st'!$Q$2:$Q$317=$A37),--ISNUMBER('Данные 2st'!$LC$2:$LC$317))</f>
        <v>5</v>
      </c>
      <c r="PZ37">
        <f>SUMPRODUCT(--('Данные 2st'!$Q$2:$Q$317=$A37),--ISNUMBER('Данные 2st'!$LD$2:$LD$317))</f>
        <v>5</v>
      </c>
      <c r="QA37">
        <f>SUMPRODUCT(--('Данные 2st'!$Q$2:$Q$317=$A37),--ISNUMBER('Данные 2st'!$LE$2:$LE$317))</f>
        <v>5</v>
      </c>
      <c r="QB37">
        <f>SUMPRODUCT(--('Данные 2st'!$Q$2:$Q$317=$A37),--ISNUMBER('Данные 2st'!$LF$2:$LF$317))</f>
        <v>5</v>
      </c>
      <c r="QC37">
        <f>SUMPRODUCT(--('Данные 2st'!$Q$2:$Q$317=$A37),--ISNUMBER('Данные 2st'!$LG$2:$LG$317))</f>
        <v>5</v>
      </c>
      <c r="QD37">
        <f>SUMPRODUCT(--('Данные 2st'!$Q$2:$Q$317=$A37),--ISNUMBER('Данные 2st'!$LH$2:$LH$317))</f>
        <v>5</v>
      </c>
      <c r="QE37">
        <f>SUMPRODUCT(--('Данные 2st'!$Q$2:$Q$317=$A37),--ISNUMBER('Данные 2st'!$LJ$2:$LJ$317))</f>
        <v>5</v>
      </c>
      <c r="QF37">
        <f>SUMPRODUCT(--('Данные 2st'!$Q$2:$Q$317=$A37),--ISNUMBER('Данные 2st'!$LK$2:$LK$317))</f>
        <v>5</v>
      </c>
      <c r="QG37">
        <f>SUMPRODUCT(--('Данные 2st'!$Q$2:$Q$317=$A37),--ISNUMBER('Данные 2st'!$LL$2:$LL$317))</f>
        <v>5</v>
      </c>
      <c r="QH37">
        <f>SUMPRODUCT(--('Данные 2st'!$Q$2:$Q$317=$A37),--ISNUMBER('Данные 2st'!$LM$2:$LM$317))</f>
        <v>5</v>
      </c>
      <c r="QI37">
        <f>SUMPRODUCT(--('Данные 2st'!$Q$2:$Q$317=$A37),--ISNUMBER('Данные 2st'!$LN$2:$LN$317))</f>
        <v>5</v>
      </c>
      <c r="QJ37">
        <f>SUMPRODUCT(--('Данные 2st'!$Q$2:$Q$317=$A37),--ISNUMBER('Данные 2st'!$LO$2:$LO$317))</f>
        <v>5</v>
      </c>
      <c r="QK37">
        <f>SUMPRODUCT(--('Данные 2st'!$Q$2:$Q$317=$A37),--ISNUMBER('Данные 2st'!$LP$2:$LP$317))</f>
        <v>5</v>
      </c>
      <c r="QL37">
        <f>SUMPRODUCT(--('Данные 2st'!$Q$2:$Q$317=$A37),--ISNUMBER('Данные 2st'!$LQ$2:$LQ$317))</f>
        <v>5</v>
      </c>
      <c r="QM37">
        <f>SUMPRODUCT(--('Данные 2st'!$Q$2:$Q$317=$A37),--ISNUMBER('Данные 2st'!$LW$2:$LW$317))</f>
        <v>5</v>
      </c>
      <c r="QN37">
        <f>SUMPRODUCT(--('Данные 2st'!$Q$2:$Q$317=$A37),--ISNUMBER('Данные 2st'!$LX$2:$LX$317))</f>
        <v>5</v>
      </c>
      <c r="QO37">
        <f>SUMPRODUCT(--('Данные 2st'!$Q$2:$Q$317=$A37),--ISNUMBER('Данные 2st'!$LY$2:$LY$317))</f>
        <v>5</v>
      </c>
      <c r="QP37">
        <f>SUMPRODUCT(--('Данные 2st'!$Q$2:$Q$317=$A37),--ISNUMBER('Данные 2st'!$LZ$2:$LZ$317))</f>
        <v>5</v>
      </c>
      <c r="QQ37">
        <f>SUMPRODUCT(--('Данные 2st'!$Q$2:$Q$317=$A37),--ISNUMBER('Данные 2st'!$MB$2:$MB$317))</f>
        <v>5</v>
      </c>
      <c r="QR37">
        <f>SUMPRODUCT(--('Данные 2st'!$Q$2:$Q$317=$A37),--ISNUMBER('Данные 2st'!$MG$2:$MG$317))</f>
        <v>3</v>
      </c>
      <c r="QS37">
        <f>SUMPRODUCT(--('Данные 2st'!$Q$2:$Q$317=$A37),--ISNUMBER('Данные 2st'!$MH$2:$MH$317))</f>
        <v>3</v>
      </c>
      <c r="QT37">
        <f>SUMPRODUCT(--('Данные 2st'!$Q$2:$Q$317=$A37),--ISNUMBER('Данные 2st'!$MI$2:$MI$317))</f>
        <v>5</v>
      </c>
      <c r="QU37">
        <f>SUMPRODUCT(--('Данные 2st'!$Q$2:$Q$317=$A37),--ISNUMBER('Данные 2st'!$MJ$2:$MJ$317))</f>
        <v>5</v>
      </c>
      <c r="QV37">
        <f>SUMPRODUCT(--('Данные 2st'!$Q$2:$Q$317=$A37),--ISNUMBER('Данные 2st'!$MK$2:$MK$317))</f>
        <v>3</v>
      </c>
      <c r="QW37">
        <f>SUMPRODUCT(--('Данные 2st'!$Q$2:$Q$317=$A37),--ISNUMBER('Данные 2st'!$MM$2:$MM$317))</f>
        <v>5</v>
      </c>
      <c r="QX37">
        <f>SUMPRODUCT(--('Данные 2st'!$Q$2:$Q$317=$A37),--ISNUMBER('Данные 2st'!$MQ$2:$MQ$317))</f>
        <v>0</v>
      </c>
      <c r="QY37">
        <f>SUMPRODUCT(--('Данные 2st'!$Q$2:$Q$317=$A37),--ISNUMBER('Данные 2st'!$MR$2:$MR$317))</f>
        <v>0</v>
      </c>
      <c r="QZ37">
        <f>SUMPRODUCT(--('Данные 2st'!$Q$2:$Q$317=$A37),--ISNUMBER('Данные 2st'!$MS$2:$MS$317))</f>
        <v>0</v>
      </c>
      <c r="RA37">
        <f>SUMPRODUCT(--('Данные 2st'!$Q$2:$Q$317=$A37),--ISNUMBER('Данные 2st'!$MT$2:$MT$317))</f>
        <v>0</v>
      </c>
      <c r="RB37">
        <f>SUMPRODUCT(--('Данные 2st'!$Q$2:$Q$317=$A37),--ISNUMBER('Данные 2st'!$MU$2:$MU$317))</f>
        <v>0</v>
      </c>
      <c r="RC37">
        <f>SUMPRODUCT(--('Данные 2st'!$Q$2:$Q$317=$A37),--ISNUMBER('Данные 2st'!$MV$2:$MV$317))</f>
        <v>0</v>
      </c>
      <c r="RD37">
        <f>SUMPRODUCT(--('Данные 2st'!$Q$2:$Q$317=$A37),--ISNUMBER('Данные 2st'!$MW$2:$MW$317))</f>
        <v>0</v>
      </c>
      <c r="RE37">
        <f>SUMPRODUCT(--('Данные 2st'!$Q$2:$Q$317=$A37),--ISNUMBER('Данные 2st'!$MX$2:$MX$317))</f>
        <v>0</v>
      </c>
      <c r="RF37">
        <f>SUMPRODUCT(--('Данные 2st'!$Q$2:$Q$317=$A37),--ISNUMBER('Данные 2st'!$MY$2:$MY$317))</f>
        <v>0</v>
      </c>
      <c r="RG37">
        <f>SUMPRODUCT(--('Данные 2st'!$Q$2:$Q$317=$A37),--ISNUMBER('Данные 2st'!$MZ$2:$MZ$317))</f>
        <v>0</v>
      </c>
      <c r="RH37">
        <f>SUMPRODUCT(--('Данные 2st'!$Q$2:$Q$317=$A37),--ISNUMBER('Данные 2st'!$NA$2:$NA$317))</f>
        <v>0</v>
      </c>
      <c r="RI37">
        <f>SUMPRODUCT(--('Данные 2st'!$Q$2:$Q$317=$A37),--ISNUMBER('Данные 2st'!$NB$2:$NB$317))</f>
        <v>0</v>
      </c>
      <c r="RJ37">
        <f>SUMPRODUCT(--('Данные 2st'!$Q$2:$Q$317=$A37),--ISNUMBER('Данные 2st'!$NC$2:$NC$317))</f>
        <v>0</v>
      </c>
      <c r="RK37">
        <f>SUMPRODUCT(--('Данные 2st'!$Q$2:$Q$317=$A37),--ISNUMBER('Данные 2st'!$ND$2:$ND$317))</f>
        <v>0</v>
      </c>
      <c r="RL37">
        <f>SUMPRODUCT(--('Данные 2st'!$Q$2:$Q$317=$A37),--ISNUMBER('Данные 2st'!$NE$2:$NE$317))</f>
        <v>0</v>
      </c>
      <c r="RM37">
        <f>SUMPRODUCT(--('Данные 2st'!$Q$2:$Q$317=$A37),--ISNUMBER('Данные 2st'!$NF$2:$NF$317))</f>
        <v>0</v>
      </c>
      <c r="RN37">
        <f>SUMPRODUCT(--('Данные 2st'!$Q$2:$Q$317=$A37),--ISNUMBER('Данные 2st'!$NG$2:$NG$317))</f>
        <v>0</v>
      </c>
      <c r="RO37">
        <f>SUMPRODUCT(--('Данные 2st'!$Q$2:$Q$317=$A37),--ISNUMBER('Данные 2st'!$NH$2:$NH$317))</f>
        <v>0</v>
      </c>
      <c r="RP37">
        <f>SUMPRODUCT(--('Данные 2st'!$Q$2:$Q$317=$A37),--ISNUMBER('Данные 2st'!$NJ$2:$NJ$317))</f>
        <v>0</v>
      </c>
      <c r="RQ37">
        <f>SUMPRODUCT(--('Данные 2st'!$Q$2:$Q$317=$A37),--ISNUMBER('Данные 2st'!$NK$2:$NK$317))</f>
        <v>0</v>
      </c>
      <c r="RR37">
        <f>SUMPRODUCT(--('Данные 2st'!$Q$2:$Q$317=$A37),--ISNUMBER('Данные 2st'!$NM$2:$NM$317))</f>
        <v>0</v>
      </c>
      <c r="RS37">
        <f>SUMPRODUCT(--('Данные 2st'!$Q$2:$Q$317=$A37),--ISNUMBER('Данные 2st'!$NN$2:$NN$317))</f>
        <v>0</v>
      </c>
      <c r="RT37">
        <f>SUMPRODUCT(--('Данные 2st'!$Q$2:$Q$317=$A37),--ISNUMBER('Данные 2st'!$NO$2:$NO$317))</f>
        <v>0</v>
      </c>
      <c r="RU37">
        <f>SUMPRODUCT(--('Данные 2st'!$Q$2:$Q$317=$A37),--ISNUMBER('Данные 2st'!$NP$2:$NP$317))</f>
        <v>0</v>
      </c>
      <c r="RV37">
        <f>SUMPRODUCT(--('Данные 2st'!$Q$2:$Q$317=$A37),--ISNUMBER('Данные 2st'!$NQ$2:$NQ$317))</f>
        <v>0</v>
      </c>
      <c r="RW37">
        <f>SUMPRODUCT(--('Данные 2st'!$Q$2:$Q$317=$A37),--ISNUMBER('Данные 2st'!$NR$2:$NR$317))</f>
        <v>0</v>
      </c>
      <c r="RX37">
        <f>SUMPRODUCT(--('Данные 2st'!$Q$2:$Q$317=$A37),--ISNUMBER('Данные 2st'!$NS$2:$NS$317))</f>
        <v>0</v>
      </c>
      <c r="RY37">
        <f>SUMPRODUCT(--('Данные 2st'!$Q$2:$Q$317=$A37),--ISNUMBER('Данные 2st'!$NT$2:$NT$317))</f>
        <v>0</v>
      </c>
      <c r="RZ37">
        <f>SUMPRODUCT(--('Данные 2st'!$Q$2:$Q$317=$A37),--ISNUMBER('Данные 2st'!$OK$2:$OK$317))</f>
        <v>5</v>
      </c>
      <c r="SA37">
        <f>SUMPRODUCT(--('Данные 2st'!$Q$2:$Q$317=$A37),--ISNUMBER('Данные 2st'!$OL$2:$OL$317))</f>
        <v>5</v>
      </c>
      <c r="SB37">
        <f>SUMPRODUCT(--('Данные 2st'!$Q$2:$Q$317=$A37),--ISNUMBER('Данные 2st'!$ON$2:$ON$317))</f>
        <v>5</v>
      </c>
      <c r="SC37">
        <f>SUMPRODUCT(--('Данные 2st'!$Q$2:$Q$317=$A37),--ISNUMBER('Данные 2st'!$OO$2:$OO$317))</f>
        <v>5</v>
      </c>
      <c r="SD37">
        <f>SUMPRODUCT(--('Данные 2st'!$Q$2:$Q$317=$A37),--ISNUMBER('Данные 2st'!$OP$2:$OP$317))</f>
        <v>5</v>
      </c>
      <c r="SE37">
        <f>SUMPRODUCT(--('Данные 2st'!$Q$2:$Q$317=$A37),--ISNUMBER('Данные 2st'!$OQ$2:$OQ$317))</f>
        <v>5</v>
      </c>
      <c r="SF37">
        <f>SUMPRODUCT(--('Данные 2st'!$Q$2:$Q$317=$A37),--ISNUMBER('Данные 2st'!$OS$2:$OS$317))</f>
        <v>5</v>
      </c>
      <c r="SG37">
        <f>SUMPRODUCT(--('Данные 2st'!$Q$2:$Q$317=$A37),--ISNUMBER('Данные 2st'!$OT$2:$OT$317))</f>
        <v>5</v>
      </c>
      <c r="SH37">
        <f>SUMPRODUCT(--('Данные 2st'!$Q$2:$Q$317=$A37),--ISNUMBER('Данные 2st'!$OU$2:$OU$317))</f>
        <v>5</v>
      </c>
      <c r="SI37">
        <f>SUMPRODUCT(--('Данные 2st'!$Q$2:$Q$317=$A37),--ISNUMBER('Данные 2st'!$OV$2:$OV$317))</f>
        <v>5</v>
      </c>
      <c r="SJ37">
        <f>SUMPRODUCT(--('Данные 2st'!$Q$2:$Q$317=$A37),--ISNUMBER('Данные 2st'!$OX$2:$OX$317))</f>
        <v>5</v>
      </c>
      <c r="SK37">
        <f>SUMPRODUCT(--('Данные 2st'!$Q$2:$Q$317=$A37),--ISNUMBER('Данные 2st'!$OY$2:$OY$317))</f>
        <v>5</v>
      </c>
      <c r="SL37">
        <f>SUMPRODUCT(--('Данные 2st'!$Q$2:$Q$317=$A37),--ISNUMBER('Данные 2st'!$OZ$2:$OZ$317))</f>
        <v>5</v>
      </c>
      <c r="SM37">
        <f>SUMPRODUCT(--('Данные 2st'!$Q$2:$Q$317=$A37),--ISNUMBER('Данные 2st'!$PA$2:$PA$317))</f>
        <v>5</v>
      </c>
      <c r="SN37">
        <f>SUMPRODUCT(--('Данные 2st'!$Q$2:$Q$317=$A37),--ISNUMBER('Данные 2st'!$PC$2:$PC$317))</f>
        <v>5</v>
      </c>
      <c r="SO37">
        <f>SUMPRODUCT(--('Данные 2st'!$Q$2:$Q$317=$A37),--ISNUMBER('Данные 2st'!$PD$2:$PD$317))</f>
        <v>5</v>
      </c>
      <c r="SP37">
        <f>SUMPRODUCT(--('Данные 2st'!$Q$2:$Q$317=$A37),--ISNUMBER('Данные 2st'!$PF$2:$PF$317))</f>
        <v>5</v>
      </c>
      <c r="SQ37">
        <f>SUMPRODUCT(--('Данные 2st'!$Q$2:$Q$317=$A37),--ISNUMBER('Данные 2st'!$PG$2:$PG$317))</f>
        <v>5</v>
      </c>
      <c r="SR37">
        <f>SUMPRODUCT(--('Данные 2st'!$Q$2:$Q$317=$A37),--ISNUMBER('Данные 2st'!$PH$2:$PH$317))</f>
        <v>5</v>
      </c>
      <c r="SS37">
        <f>SUMPRODUCT(--('Данные 2st'!$Q$2:$Q$317=$A37),--ISNUMBER('Данные 2st'!$PI$2:$PI$317))</f>
        <v>5</v>
      </c>
      <c r="ST37">
        <f>SUMPRODUCT(--('Данные 2st'!$Q$2:$Q$317=$A37),--ISNUMBER('Данные 2st'!$PJ$2:$PJ$317))</f>
        <v>5</v>
      </c>
      <c r="SU37">
        <f>SUMPRODUCT(--('Данные 2st'!$Q$2:$Q$317=$A37),--ISNUMBER('Данные 2st'!$PK$2:$PK$317))</f>
        <v>5</v>
      </c>
      <c r="SV37">
        <f>SUMPRODUCT(--('Данные 2st'!$Q$2:$Q$317=$A37),--ISNUMBER('Данные 2st'!$PL$2:$PL$317))</f>
        <v>5</v>
      </c>
      <c r="SW37">
        <f>SUMPRODUCT(--('Данные 2st'!$Q$2:$Q$317=$A37),--ISNUMBER('Данные 2st'!$PM$2:$PM$317))</f>
        <v>5</v>
      </c>
      <c r="SX37">
        <f>SUMPRODUCT(--('Данные 2st'!$Q$2:$Q$317=$A37),--ISNUMBER('Данные 2st'!$PN$2:$PN$317))</f>
        <v>5</v>
      </c>
      <c r="SY37">
        <f>SUMPRODUCT(--('Данные 2st'!$Q$2:$Q$317=$A37),--ISNUMBER('Данные 2st'!$PO$2:$PO$317))</f>
        <v>4</v>
      </c>
      <c r="SZ37">
        <f>SUMPRODUCT(--('Данные 2st'!$Q$2:$Q$317=$A37),--ISNUMBER('Данные 2st'!$PP$2:$PP$317))</f>
        <v>5</v>
      </c>
      <c r="TA37">
        <f>SUMPRODUCT(--('Данные 2st'!$Q$2:$Q$317=$A37),--ISNUMBER('Данные 2st'!$PQ$2:$PQ$317))</f>
        <v>5</v>
      </c>
      <c r="TB37">
        <f>SUMPRODUCT(--('Данные 2st'!$Q$2:$Q$317=$A37),--ISNUMBER('Данные 2st'!$PR$2:$PR$317))</f>
        <v>5</v>
      </c>
      <c r="TC37">
        <f>SUMPRODUCT(--('Данные 2st'!$Q$2:$Q$317=$A37),--ISNUMBER('Данные 2st'!$PS$2:$PS$317))</f>
        <v>5</v>
      </c>
      <c r="TD37">
        <f>SUMPRODUCT(--('Данные 2st'!$Q$2:$Q$317=$A37),--ISNUMBER('Данные 2st'!$PT$2:$PT$317))</f>
        <v>5</v>
      </c>
      <c r="TE37">
        <f>SUMPRODUCT(--('Данные 2st'!$Q$2:$Q$317=$A37),--ISNUMBER('Данные 2st'!$PU$2:$PU$317))</f>
        <v>5</v>
      </c>
      <c r="TF37">
        <f>SUMPRODUCT(--('Данные 2st'!$Q$2:$Q$317=$A37),--ISNUMBER('Данные 2st'!$PX$2:$PX$317))</f>
        <v>5</v>
      </c>
      <c r="TG37">
        <f>SUMPRODUCT(--('Данные 2st'!$Q$2:$Q$317=$A37),--ISNUMBER('Данные 2st'!$PY$2:$PY$317))</f>
        <v>5</v>
      </c>
      <c r="TH37">
        <f>SUMPRODUCT(--('Данные 2st'!$Q$2:$Q$317=$A37),--ISNUMBER('Данные 2st'!$PZ$2:$PZ$317))</f>
        <v>5</v>
      </c>
      <c r="TI37">
        <f>SUMPRODUCT(--('Данные 2st'!$Q$2:$Q$317=$A37),--ISNUMBER('Данные 2st'!$QA$2:$QA$317))</f>
        <v>5</v>
      </c>
      <c r="TJ37">
        <f>SUMPRODUCT(--('Данные 2st'!$Q$2:$Q$317=$A37),--ISNUMBER('Данные 2st'!$QB$2:$QB$317))</f>
        <v>5</v>
      </c>
      <c r="TK37">
        <f>SUMPRODUCT(--('Данные 2st'!$Q$2:$Q$317=$A37),--ISNUMBER('Данные 2st'!$QC$2:$QC$317))</f>
        <v>5</v>
      </c>
      <c r="TL37">
        <f>SUMPRODUCT(--('Данные 2st'!$Q$2:$Q$317=$A37),--ISNUMBER('Данные 2st'!$QD$2:$QD$317))</f>
        <v>5</v>
      </c>
      <c r="TM37">
        <f>SUMPRODUCT(--('Данные 2st'!$Q$2:$Q$317=$A37),--ISNUMBER('Данные 2st'!$QE$2:$QE$317))</f>
        <v>5</v>
      </c>
      <c r="TN37">
        <f>SUMPRODUCT(--('Данные 2st'!$Q$2:$Q$317=$A37),--ISNUMBER('Данные 2st'!$QF$2:$QF$317))</f>
        <v>5</v>
      </c>
      <c r="TO37">
        <f>SUMPRODUCT(--('Данные 2st'!$Q$2:$Q$317=$A37),--ISNUMBER('Данные 2st'!$QG$2:$QG$317))</f>
        <v>5</v>
      </c>
      <c r="TP37">
        <f>SUMPRODUCT(--('Данные 2st'!$Q$2:$Q$317=$A37),--ISNUMBER('Данные 2st'!$QH$2:$QH$317))</f>
        <v>5</v>
      </c>
      <c r="TQ37">
        <f>SUMPRODUCT(--('Данные 2st'!$Q$2:$Q$317=$A37),--ISNUMBER('Данные 2st'!$QI$2:$QI$317))</f>
        <v>5</v>
      </c>
      <c r="TR37">
        <f>SUMPRODUCT(--('Данные 2st'!$Q$2:$Q$317=$A37),--ISNUMBER('Данные 2st'!$QJ$2:$QJ$317))</f>
        <v>5</v>
      </c>
      <c r="TS37">
        <f>SUMPRODUCT(--('Данные 2st'!$Q$2:$Q$317=$A37),--ISNUMBER('Данные 2st'!$QK$2:$QK$317))</f>
        <v>5</v>
      </c>
      <c r="TT37">
        <f>SUMPRODUCT(--('Данные 2st'!$Q$2:$Q$317=$A37),--ISNUMBER('Данные 2st'!$QL$2:$QL$317))</f>
        <v>5</v>
      </c>
      <c r="TU37">
        <f>SUMPRODUCT(--('Данные 2st'!$Q$2:$Q$317=$A37),--ISNUMBER('Данные 2st'!$QM$2:$QM$317))</f>
        <v>5</v>
      </c>
      <c r="TV37">
        <f>SUMPRODUCT(--('Данные 2st'!$Q$2:$Q$317=$A37),--ISNUMBER('Данные 2st'!$QN$2:$QN$317))</f>
        <v>5</v>
      </c>
      <c r="TW37">
        <f>SUMPRODUCT(--('Данные 2st'!$Q$2:$Q$317=$A37),--ISNUMBER('Данные 2st'!$QQ$2:$QQ$317))</f>
        <v>5</v>
      </c>
      <c r="TX37">
        <f>SUMPRODUCT(--('Данные 2st'!$Q$2:$Q$317=$A37),--ISNUMBER('Данные 2st'!$QS$2:$QS$317))</f>
        <v>5</v>
      </c>
      <c r="TY37">
        <f>SUMPRODUCT(--('Данные 2st'!$Q$2:$Q$317=$A37),--ISNUMBER('Данные 2st'!$QT$2:$QT$317))</f>
        <v>5</v>
      </c>
    </row>
    <row r="38" spans="1:545" ht="32" customHeight="1">
      <c r="A38" s="11" t="str">
        <f>'По размерам'!A38</f>
        <v>225/55R19</v>
      </c>
      <c r="G38">
        <f>SUMPRODUCT(--('Данные 1st'!$S$2:$S$317=$A38),--ISNUMBER('Данные 1st'!$AE$2:$AE$317))</f>
        <v>7</v>
      </c>
      <c r="H38">
        <f>SUMPRODUCT(--('Данные 1st'!$S$2:$S$317=$A38),--ISNUMBER('Данные 1st'!$AF$2:$AF$317))</f>
        <v>7</v>
      </c>
      <c r="I38">
        <f>SUMPRODUCT(--('Данные 1st'!$S$2:$S$317=$A38),--ISNUMBER('Данные 1st'!$AJ$2:$AJ$317))</f>
        <v>7</v>
      </c>
      <c r="J38">
        <f>SUMPRODUCT(--('Данные 1st'!$S$2:$S$317=$A38),--ISNUMBER('Данные 1st'!$AL$2:$AL$317))</f>
        <v>7</v>
      </c>
      <c r="K38">
        <f>SUMPRODUCT(--('Данные 1st'!$S$2:$S$317=$A38),--ISNUMBER('Данные 1st'!$AR$2:$AR$317))</f>
        <v>7</v>
      </c>
      <c r="L38">
        <f>SUMPRODUCT(--('Данные 1st'!$S$2:$S$317=$A38),--ISNUMBER('Данные 1st'!$AS$2:$AS$317))</f>
        <v>7</v>
      </c>
      <c r="M38">
        <f>SUMPRODUCT(--('Данные 1st'!$S$2:$S$317=$A38),--ISNUMBER('Данные 1st'!$AY$2:$AY$317))</f>
        <v>7</v>
      </c>
      <c r="N38">
        <f>SUMPRODUCT(--('Данные 1st'!$S$2:$S$317=$A38),--ISNUMBER('Данные 1st'!$AZ$2:$AZ$317))</f>
        <v>7</v>
      </c>
      <c r="O38">
        <f>SUMPRODUCT(--('Данные 1st'!$S$2:$S$317=$A38),--ISNUMBER('Данные 1st'!$BF$2:$BF$317))</f>
        <v>3</v>
      </c>
      <c r="P38">
        <f>SUMPRODUCT(--('Данные 1st'!$S$2:$S$317=$A38),--ISNUMBER('Данные 1st'!$BG$2:$BG$317))</f>
        <v>7</v>
      </c>
      <c r="Q38">
        <f>SUMPRODUCT(--('Данные 1st'!$S$2:$S$317=$A38),--ISNUMBER('Данные 1st'!$BM$2:$BM$317))</f>
        <v>0</v>
      </c>
      <c r="R38">
        <f>SUMPRODUCT(--('Данные 1st'!$S$2:$S$317=$A38),--ISNUMBER('Данные 1st'!$BN$2:$BN$317))</f>
        <v>7</v>
      </c>
      <c r="S38">
        <f>SUMPRODUCT(--('Данные 1st'!$S$2:$S$317=$A38),--ISNUMBER('Данные 1st'!$BT$2:$BT$317))</f>
        <v>7</v>
      </c>
      <c r="T38">
        <f>SUMPRODUCT(--('Данные 1st'!$S$2:$S$317=$A38),--ISNUMBER('Данные 1st'!$BU$2:$BU$317))</f>
        <v>7</v>
      </c>
      <c r="U38">
        <f>SUMPRODUCT(--('Данные 1st'!$S$2:$S$317=$A38),--ISNUMBER('Данные 1st'!$BW$2:$BW$317))</f>
        <v>7</v>
      </c>
      <c r="V38">
        <f>SUMPRODUCT(--('Данные 1st'!$S$2:$S$317=$A38),--ISNUMBER('Данные 1st'!$BX$2:$BX$317))</f>
        <v>7</v>
      </c>
      <c r="W38">
        <f>SUMPRODUCT(--('Данные 1st'!$S$2:$S$317=$A38),--ISNUMBER('Данные 1st'!$BZ$2:$BZ$317))</f>
        <v>7</v>
      </c>
      <c r="X38">
        <f>SUMPRODUCT(--('Данные 1st'!$S$2:$S$317=$A38),--ISNUMBER('Данные 1st'!$CA$2:$CA$317))</f>
        <v>7</v>
      </c>
      <c r="Y38">
        <f>SUMPRODUCT(--('Данные 1st'!$S$2:$S$317=$A38),--ISNUMBER('Данные 1st'!$CD$2:$CD$317))</f>
        <v>7</v>
      </c>
      <c r="Z38">
        <f>SUMPRODUCT(--('Данные 1st'!$S$2:$S$317=$A38),--ISNUMBER('Данные 1st'!$CF$2:$CF$317))</f>
        <v>7</v>
      </c>
      <c r="AA38">
        <f>SUMPRODUCT(--('Данные 1st'!$S$2:$S$317=$A38),--ISNUMBER('Данные 1st'!$CI$2:$CI$317))</f>
        <v>7</v>
      </c>
      <c r="AB38">
        <f>SUMPRODUCT(--('Данные 1st'!$S$2:$S$317=$A38),--ISNUMBER('Данные 1st'!$CJ$2:$CJ$317))</f>
        <v>7</v>
      </c>
      <c r="AC38">
        <f>SUMPRODUCT(--('Данные 1st'!$S$2:$S$317=$A38),--ISNUMBER('Данные 1st'!$CK$2:$CK$317))</f>
        <v>7</v>
      </c>
      <c r="AD38">
        <f>SUMPRODUCT(--('Данные 1st'!$S$2:$S$317=$A38),--ISNUMBER('Данные 1st'!$CL$2:$CL$317))</f>
        <v>7</v>
      </c>
      <c r="AE38">
        <f>SUMPRODUCT(--('Данные 1st'!$S$2:$S$317=$A38),--ISNUMBER('Данные 1st'!$CM$2:$CM$317))</f>
        <v>7</v>
      </c>
      <c r="AF38">
        <f>SUMPRODUCT(--('Данные 1st'!$S$2:$S$317=$A38),--ISNUMBER('Данные 1st'!$CT$2:$CT$317))</f>
        <v>7</v>
      </c>
      <c r="AG38">
        <f>SUMPRODUCT(--('Данные 1st'!$S$2:$S$317=$A38),--ISNUMBER('Данные 1st'!$CU$2:$CU$317))</f>
        <v>7</v>
      </c>
      <c r="AH38">
        <f>SUMPRODUCT(--('Данные 1st'!$S$2:$S$317=$A38),--ISNUMBER('Данные 1st'!$CV$2:$CV$317))</f>
        <v>7</v>
      </c>
      <c r="AI38">
        <f>SUMPRODUCT(--('Данные 1st'!$S$2:$S$317=$A38),--ISNUMBER('Данные 1st'!$CW$2:$CW$317))</f>
        <v>7</v>
      </c>
      <c r="AJ38">
        <f>SUMPRODUCT(--('Данные 1st'!$S$2:$S$317=$A38),--ISNUMBER('Данные 1st'!$CX$2:$CX$317))</f>
        <v>7</v>
      </c>
      <c r="AK38">
        <f>SUMPRODUCT(--('Данные 1st'!$S$2:$S$317=$A38),--ISNUMBER('Данные 1st'!$CZ$2:$CZ$317))</f>
        <v>7</v>
      </c>
      <c r="AL38">
        <f>SUMPRODUCT(--('Данные 1st'!$S$2:$S$317=$A38),--ISNUMBER('Данные 1st'!$DA$2:$DA$317))</f>
        <v>7</v>
      </c>
      <c r="AM38">
        <f>SUMPRODUCT(--('Данные 1st'!$S$2:$S$317=$A38),--ISNUMBER('Данные 1st'!$DB$2:$DB$317))</f>
        <v>7</v>
      </c>
      <c r="AN38">
        <f>SUMPRODUCT(--('Данные 1st'!$S$2:$S$317=$A38),--ISNUMBER('Данные 1st'!$DC$2:$DC$317))</f>
        <v>7</v>
      </c>
      <c r="AO38">
        <f>SUMPRODUCT(--('Данные 1st'!$S$2:$S$317=$A38),--ISNUMBER('Данные 1st'!$DD$2:$DD$317))</f>
        <v>7</v>
      </c>
      <c r="AP38">
        <f>SUMPRODUCT(--('Данные 1st'!$S$2:$S$317=$A38),--ISNUMBER('Данные 1st'!$DF$2:$DF$317))</f>
        <v>7</v>
      </c>
      <c r="AQ38">
        <f>SUMPRODUCT(--('Данные 1st'!$S$2:$S$317=$A38),--ISNUMBER('Данные 1st'!$DG$2:$DG$317))</f>
        <v>7</v>
      </c>
      <c r="AR38">
        <f>SUMPRODUCT(--('Данные 1st'!$S$2:$S$317=$A38),--ISNUMBER('Данные 1st'!$DH$2:$DH$317))</f>
        <v>7</v>
      </c>
      <c r="AS38">
        <f>SUMPRODUCT(--('Данные 1st'!$S$2:$S$317=$A38),--ISNUMBER('Данные 1st'!$DI$2:$DI$317))</f>
        <v>7</v>
      </c>
      <c r="AT38">
        <f>SUMPRODUCT(--('Данные 1st'!$S$2:$S$317=$A38),--ISNUMBER('Данные 1st'!$DJ$2:$DJ$317))</f>
        <v>7</v>
      </c>
      <c r="AU38">
        <f>SUMPRODUCT(--('Данные 1st'!$S$2:$S$317=$A38),--ISNUMBER('Данные 1st'!$DL$2:$DL$317))</f>
        <v>3</v>
      </c>
      <c r="AV38">
        <f>SUMPRODUCT(--('Данные 1st'!$S$2:$S$317=$A38),--ISNUMBER('Данные 1st'!$DM$2:$DM$317))</f>
        <v>3</v>
      </c>
      <c r="AW38">
        <f>SUMPRODUCT(--('Данные 1st'!$S$2:$S$317=$A38),--ISNUMBER('Данные 1st'!$DN$2:$DN$317))</f>
        <v>3</v>
      </c>
      <c r="AX38">
        <f>SUMPRODUCT(--('Данные 1st'!$S$2:$S$317=$A38),--ISNUMBER('Данные 1st'!$DO$2:$DO$317))</f>
        <v>3</v>
      </c>
      <c r="AY38">
        <f>SUMPRODUCT(--('Данные 1st'!$S$2:$S$317=$A38),--ISNUMBER('Данные 1st'!$DP$2:$DP$317))</f>
        <v>3</v>
      </c>
      <c r="AZ38">
        <f>SUMPRODUCT(--('Данные 1st'!$S$2:$S$317=$A38),--ISNUMBER('Данные 1st'!$DR$2:$DR$317))</f>
        <v>0</v>
      </c>
      <c r="BA38">
        <f>SUMPRODUCT(--('Данные 1st'!$S$2:$S$317=$A38),--ISNUMBER('Данные 1st'!$DS$2:$DS$317))</f>
        <v>0</v>
      </c>
      <c r="BB38">
        <f>SUMPRODUCT(--('Данные 1st'!$S$2:$S$317=$A38),--ISNUMBER('Данные 1st'!$DT$2:$DT$317))</f>
        <v>0</v>
      </c>
      <c r="BC38">
        <f>SUMPRODUCT(--('Данные 1st'!$S$2:$S$317=$A38),--ISNUMBER('Данные 1st'!$DU$2:$DU$317))</f>
        <v>0</v>
      </c>
      <c r="BD38">
        <f>SUMPRODUCT(--('Данные 1st'!$S$2:$S$317=$A38),--ISNUMBER('Данные 1st'!$DV$2:$DV$317))</f>
        <v>0</v>
      </c>
      <c r="BE38">
        <f>SUMPRODUCT(--('Данные 1st'!$S$2:$S$317=$A38),--ISNUMBER('Данные 1st'!$DX$2:$DX$317))</f>
        <v>7</v>
      </c>
      <c r="BF38">
        <f>SUMPRODUCT(--('Данные 1st'!$S$2:$S$317=$A38),--ISNUMBER('Данные 1st'!$EA$2:$EA$317))</f>
        <v>7</v>
      </c>
      <c r="BG38">
        <f>SUMPRODUCT(--('Данные 1st'!$S$2:$S$317=$A38),--ISNUMBER('Данные 1st'!$EB$2:$EB$317))</f>
        <v>7</v>
      </c>
      <c r="BH38">
        <f>SUMPRODUCT(--('Данные 1st'!$S$2:$S$317=$A38),--ISNUMBER('Данные 1st'!$ED$2:$ED$317))</f>
        <v>7</v>
      </c>
      <c r="BI38">
        <f>SUMPRODUCT(--('Данные 1st'!$S$2:$S$317=$A38),--ISNUMBER('Данные 1st'!$EE$2:$EE$317))</f>
        <v>7</v>
      </c>
      <c r="BJ38">
        <f>SUMPRODUCT(--('Данные 1st'!$S$2:$S$317=$A38),--ISNUMBER('Данные 1st'!$EG$2:$EG$317))</f>
        <v>7</v>
      </c>
      <c r="BK38">
        <f>SUMPRODUCT(--('Данные 1st'!$S$2:$S$317=$A38),--ISNUMBER('Данные 1st'!$EH$2:$EH$317))</f>
        <v>7</v>
      </c>
      <c r="BL38">
        <f>SUMPRODUCT(--('Данные 1st'!$S$2:$S$317=$A38),--ISNUMBER('Данные 1st'!$EJ$2:$EJ$317))</f>
        <v>7</v>
      </c>
      <c r="BM38">
        <f>SUMPRODUCT(--('Данные 1st'!$S$2:$S$317=$A38),--ISNUMBER('Данные 1st'!$EK$2:$EK$317))</f>
        <v>7</v>
      </c>
      <c r="BN38">
        <f>SUMPRODUCT(--('Данные 1st'!$S$2:$S$317=$A38),--ISNUMBER('Данные 1st'!$EN$2:$EN$317))</f>
        <v>7</v>
      </c>
      <c r="BO38">
        <f>SUMPRODUCT(--('Данные 1st'!$S$2:$S$317=$A38),--ISNUMBER('Данные 1st'!$EQ$2:$EQ$317))</f>
        <v>7</v>
      </c>
      <c r="BP38">
        <f>SUMPRODUCT(--('Данные 1st'!$S$2:$S$317=$A38),--ISNUMBER('Данные 1st'!$ER$2:$ER$317))</f>
        <v>7</v>
      </c>
      <c r="BQ38">
        <f>SUMPRODUCT(--('Данные 1st'!$S$2:$S$317=$A38),--ISNUMBER('Данные 1st'!$ES$2:$ES$317))</f>
        <v>7</v>
      </c>
      <c r="BR38">
        <f>SUMPRODUCT(--('Данные 1st'!$S$2:$S$317=$A38),--ISNUMBER('Данные 1st'!$ET$2:$ET$317))</f>
        <v>7</v>
      </c>
      <c r="BS38">
        <f>SUMPRODUCT(--('Данные 1st'!$S$2:$S$317=$A38),--ISNUMBER('Данные 1st'!$EU$2:$EU$317))</f>
        <v>7</v>
      </c>
      <c r="BT38">
        <f>SUMPRODUCT(--('Данные 1st'!$S$2:$S$317=$A38),--ISNUMBER('Данные 1st'!$EV$2:$EV$317))</f>
        <v>7</v>
      </c>
      <c r="BU38">
        <f>SUMPRODUCT(--('Данные 1st'!$S$2:$S$317=$A38),--ISNUMBER('Данные 1st'!$EX$2:$EX$317))</f>
        <v>7</v>
      </c>
      <c r="BV38">
        <f>SUMPRODUCT(--('Данные 1st'!$S$2:$S$317=$A38),--ISNUMBER('Данные 1st'!$EY$2:$EY$317))</f>
        <v>7</v>
      </c>
      <c r="BW38">
        <f>SUMPRODUCT(--('Данные 1st'!$S$2:$S$317=$A38),--ISNUMBER('Данные 1st'!$EZ$2:$EZ$317))</f>
        <v>7</v>
      </c>
      <c r="BX38">
        <f>SUMPRODUCT(--('Данные 1st'!$S$2:$S$317=$A38),--ISNUMBER('Данные 1st'!$FA$2:$FA$317))</f>
        <v>7</v>
      </c>
      <c r="BY38">
        <f>SUMPRODUCT(--('Данные 1st'!$S$2:$S$317=$A38),--ISNUMBER('Данные 1st'!$FB$2:$FB$317))</f>
        <v>7</v>
      </c>
      <c r="BZ38">
        <f>SUMPRODUCT(--('Данные 1st'!$S$2:$S$317=$A38),--ISNUMBER('Данные 1st'!$FC$2:$FC$317))</f>
        <v>7</v>
      </c>
      <c r="CA38">
        <f>SUMPRODUCT(--('Данные 1st'!$S$2:$S$317=$A38),--ISNUMBER('Данные 1st'!$FE$2:$FE$317))</f>
        <v>7</v>
      </c>
      <c r="CB38">
        <f>SUMPRODUCT(--('Данные 1st'!$S$2:$S$317=$A38),--ISNUMBER('Данные 1st'!$FF$2:$FF$317))</f>
        <v>7</v>
      </c>
      <c r="CC38">
        <f>SUMPRODUCT(--('Данные 1st'!$S$2:$S$317=$A38),--ISNUMBER('Данные 1st'!$FI$2:$FI$317))</f>
        <v>7</v>
      </c>
      <c r="CD38">
        <f>SUMPRODUCT(--('Данные 1st'!$S$2:$S$317=$A38),--ISNUMBER('Данные 1st'!$FL$2:$FL$317))</f>
        <v>7</v>
      </c>
      <c r="CE38">
        <f>SUMPRODUCT(--('Данные 1st'!$S$2:$S$317=$A38),--ISNUMBER('Данные 1st'!$FM$2:$FM$317))</f>
        <v>7</v>
      </c>
      <c r="CF38">
        <f>SUMPRODUCT(--('Данные 1st'!$S$2:$S$317=$A38),--ISNUMBER('Данные 1st'!$FN$2:$FN$317))</f>
        <v>7</v>
      </c>
      <c r="CG38">
        <f>SUMPRODUCT(--('Данные 1st'!$S$2:$S$317=$A38),--ISNUMBER('Данные 1st'!$FO$2:$FO$317))</f>
        <v>7</v>
      </c>
      <c r="CH38">
        <f>SUMPRODUCT(--('Данные 1st'!$S$2:$S$317=$A38),--ISNUMBER('Данные 1st'!$FP$2:$FP$317))</f>
        <v>7</v>
      </c>
      <c r="CI38">
        <f>SUMPRODUCT(--('Данные 1st'!$S$2:$S$317=$A38),--ISNUMBER('Данные 1st'!$FS$2:$FS$317))</f>
        <v>3</v>
      </c>
      <c r="CJ38">
        <f>SUMPRODUCT(--('Данные 1st'!$S$2:$S$317=$A38),--ISNUMBER('Данные 1st'!$FT$2:$FT$317))</f>
        <v>3</v>
      </c>
      <c r="CK38">
        <f>SUMPRODUCT(--('Данные 1st'!$S$2:$S$317=$A38),--ISNUMBER('Данные 1st'!$FU$2:$FU$317))</f>
        <v>3</v>
      </c>
      <c r="CL38">
        <f>SUMPRODUCT(--('Данные 1st'!$S$2:$S$317=$A38),--ISNUMBER('Данные 1st'!$FV$2:$FV$317))</f>
        <v>0</v>
      </c>
      <c r="CM38">
        <f>SUMPRODUCT(--('Данные 1st'!$S$2:$S$317=$A38),--ISNUMBER('Данные 1st'!$FW$2:$FW$317))</f>
        <v>0</v>
      </c>
      <c r="CN38">
        <f>SUMPRODUCT(--('Данные 1st'!$S$2:$S$317=$A38),--ISNUMBER('Данные 1st'!$FZ$2:$FZ$317))</f>
        <v>1</v>
      </c>
      <c r="CO38">
        <f>SUMPRODUCT(--('Данные 1st'!$S$2:$S$317=$A38),--ISNUMBER('Данные 1st'!$GA$2:$GA$317))</f>
        <v>1</v>
      </c>
      <c r="CP38">
        <f>SUMPRODUCT(--('Данные 1st'!$S$2:$S$317=$A38),--ISNUMBER('Данные 1st'!$GB$2:$GB$317))</f>
        <v>1</v>
      </c>
      <c r="CQ38">
        <f>SUMPRODUCT(--('Данные 1st'!$S$2:$S$317=$A38),--ISNUMBER('Данные 1st'!$GH$2:$GH$317))</f>
        <v>1</v>
      </c>
      <c r="CR38">
        <f>SUMPRODUCT(--('Данные 1st'!$S$2:$S$317=$A38),--ISNUMBER('Данные 1st'!$GI$2:$GI$317))</f>
        <v>1</v>
      </c>
      <c r="CS38">
        <f>SUMPRODUCT(--('Данные 1st'!$S$2:$S$317=$A38),--ISNUMBER('Данные 1st'!$GJ$2:$GJ$317))</f>
        <v>1</v>
      </c>
      <c r="CT38">
        <f>SUMPRODUCT(--('Данные 1st'!$S$2:$S$317=$A38),--ISNUMBER('Данные 1st'!$GS$2:$GS$317))</f>
        <v>3</v>
      </c>
      <c r="CU38">
        <f>SUMPRODUCT(--('Данные 1st'!$S$2:$S$317=$A38),--ISNUMBER('Данные 1st'!$GT$2:$GT$317))</f>
        <v>3</v>
      </c>
      <c r="CV38">
        <f>SUMPRODUCT(--('Данные 1st'!$S$2:$S$317=$A38),--ISNUMBER('Данные 1st'!$GU$2:$GU$317))</f>
        <v>3</v>
      </c>
      <c r="CW38">
        <f>SUMPRODUCT(--('Данные 1st'!$S$2:$S$317=$A38),--ISNUMBER('Данные 1st'!$GV$2:$GV$317))</f>
        <v>3</v>
      </c>
      <c r="CX38">
        <f>SUMPRODUCT(--('Данные 1st'!$S$2:$S$317=$A38),--ISNUMBER('Данные 1st'!$GW$2:$GW$317))</f>
        <v>3</v>
      </c>
      <c r="CY38">
        <f>SUMPRODUCT(--('Данные 1st'!$S$2:$S$317=$A38),--ISNUMBER('Данные 1st'!$GZ$2:$GZ$317))</f>
        <v>1</v>
      </c>
      <c r="CZ38">
        <f>SUMPRODUCT(--('Данные 1st'!$S$2:$S$317=$A38),--ISNUMBER('Данные 1st'!$HA$2:$HA$317))</f>
        <v>1</v>
      </c>
      <c r="DA38">
        <f>SUMPRODUCT(--('Данные 1st'!$S$2:$S$317=$A38),--ISNUMBER('Данные 1st'!$HB$2:$HB$317))</f>
        <v>1</v>
      </c>
      <c r="DB38">
        <f>SUMPRODUCT(--('Данные 1st'!$S$2:$S$317=$A38),--ISNUMBER('Данные 1st'!$HC$2:$HC$317))</f>
        <v>7</v>
      </c>
      <c r="DC38">
        <f>SUMPRODUCT(--('Данные 1st'!$S$2:$S$317=$A38),--ISNUMBER('Данные 1st'!$HD$2:$HD$317))</f>
        <v>7</v>
      </c>
      <c r="DD38">
        <f>SUMPRODUCT(--('Данные 1st'!$S$2:$S$317=$A38),--ISNUMBER('Данные 1st'!$HE$2:$HE$317))</f>
        <v>7</v>
      </c>
      <c r="DE38">
        <f>SUMPRODUCT(--('Данные 1st'!$S$2:$S$317=$A38),--ISNUMBER('Данные 1st'!$HF$2:$HF$317))</f>
        <v>7</v>
      </c>
      <c r="DF38">
        <f>SUMPRODUCT(--('Данные 1st'!$S$2:$S$317=$A38),--ISNUMBER('Данные 1st'!$HG$2:$HG$317))</f>
        <v>7</v>
      </c>
      <c r="DG38">
        <f>SUMPRODUCT(--('Данные 1st'!$S$2:$S$317=$A38),--ISNUMBER('Данные 1st'!$HH$2:$HH$317))</f>
        <v>7</v>
      </c>
      <c r="DH38">
        <f>SUMPRODUCT(--('Данные 1st'!$S$2:$S$317=$A38),--ISNUMBER('Данные 1st'!$HI$2:$HI$317))</f>
        <v>7</v>
      </c>
      <c r="DI38">
        <f>SUMPRODUCT(--('Данные 1st'!$S$2:$S$317=$A38),--ISNUMBER('Данные 1st'!$HJ$2:$HJ$317))</f>
        <v>7</v>
      </c>
      <c r="DJ38">
        <f>SUMPRODUCT(--('Данные 1st'!$S$2:$S$317=$A38),--ISNUMBER('Данные 1st'!$HK$2:$HK$317))</f>
        <v>7</v>
      </c>
      <c r="DK38">
        <f>SUMPRODUCT(--('Данные 1st'!$S$2:$S$317=$A38),--ISNUMBER('Данные 1st'!$HL$2:$HL$317))</f>
        <v>7</v>
      </c>
      <c r="DL38">
        <f>SUMPRODUCT(--('Данные 1st'!$S$2:$S$317=$A38),--ISNUMBER('Данные 1st'!$HM$2:$HM$317))</f>
        <v>7</v>
      </c>
      <c r="DM38">
        <f>SUMPRODUCT(--('Данные 1st'!$S$2:$S$317=$A38),--ISNUMBER('Данные 1st'!$HN$2:$HN$317))</f>
        <v>7</v>
      </c>
      <c r="DN38">
        <f>SUMPRODUCT(--('Данные 1st'!$S$2:$S$317=$A38),--ISNUMBER('Данные 1st'!$HO$2:$HO$317))</f>
        <v>7</v>
      </c>
      <c r="DO38">
        <f>SUMPRODUCT(--('Данные 1st'!$S$2:$S$317=$A38),--ISNUMBER('Данные 1st'!$HP$2:$HP$317))</f>
        <v>7</v>
      </c>
      <c r="DP38">
        <f>SUMPRODUCT(--('Данные 1st'!$S$2:$S$317=$A38),--ISNUMBER('Данные 1st'!$HQ$2:$HQ$317))</f>
        <v>7</v>
      </c>
      <c r="DQ38">
        <f>SUMPRODUCT(--('Данные 1st'!$S$2:$S$317=$A38),--ISNUMBER('Данные 1st'!$HR$2:$HR$317))</f>
        <v>7</v>
      </c>
      <c r="DR38">
        <f>SUMPRODUCT(--('Данные 1st'!$S$2:$S$317=$A38),--ISNUMBER('Данные 1st'!$HS$2:$HS$317))</f>
        <v>7</v>
      </c>
      <c r="DS38">
        <f>SUMPRODUCT(--('Данные 1st'!$S$2:$S$317=$A38),--ISNUMBER('Данные 1st'!$HT$2:$HT$317))</f>
        <v>7</v>
      </c>
      <c r="DT38">
        <f>SUMPRODUCT(--('Данные 1st'!$S$2:$S$317=$A38),--ISNUMBER('Данные 1st'!$HU$2:$HU$317))</f>
        <v>7</v>
      </c>
      <c r="DU38">
        <f>SUMPRODUCT(--('Данные 1st'!$S$2:$S$317=$A38),--ISNUMBER('Данные 1st'!$HW$2:$HW$317))</f>
        <v>7</v>
      </c>
      <c r="DV38">
        <f>SUMPRODUCT(--('Данные 1st'!$S$2:$S$317=$A38),--ISNUMBER('Данные 1st'!$HX$2:$HX$317))</f>
        <v>7</v>
      </c>
      <c r="DW38">
        <f>SUMPRODUCT(--('Данные 1st'!$S$2:$S$317=$A38),--ISNUMBER('Данные 1st'!$HY$2:$HY$317))</f>
        <v>7</v>
      </c>
      <c r="DX38">
        <f>SUMPRODUCT(--('Данные 1st'!$S$2:$S$317=$A38),--ISNUMBER('Данные 1st'!$IA$2:$IA$317))</f>
        <v>7</v>
      </c>
      <c r="DY38">
        <f>SUMPRODUCT(--('Данные 1st'!$S$2:$S$317=$A38),--ISNUMBER('Данные 1st'!$IB$2:$IB$317))</f>
        <v>7</v>
      </c>
      <c r="DZ38">
        <f>SUMPRODUCT(--('Данные 1st'!$S$2:$S$317=$A38),--ISNUMBER('Данные 1st'!$IC$2:$IC$317))</f>
        <v>7</v>
      </c>
      <c r="EA38">
        <f>SUMPRODUCT(--('Данные 1st'!$S$2:$S$317=$A38),--ISNUMBER('Данные 1st'!$ID$2:$ID$317))</f>
        <v>7</v>
      </c>
      <c r="EB38">
        <f>SUMPRODUCT(--('Данные 1st'!$S$2:$S$317=$A38),--ISNUMBER('Данные 1st'!$IE$2:$IE$317))</f>
        <v>7</v>
      </c>
      <c r="EC38">
        <f>SUMPRODUCT(--('Данные 1st'!$S$2:$S$317=$A38),--ISNUMBER('Данные 1st'!$IF$2:$IF$317))</f>
        <v>7</v>
      </c>
      <c r="ED38">
        <f>SUMPRODUCT(--('Данные 1st'!$S$2:$S$317=$A38),--ISNUMBER('Данные 1st'!$IP$2:$IP$317))</f>
        <v>7</v>
      </c>
      <c r="EE38">
        <f>SUMPRODUCT(--('Данные 1st'!$S$2:$S$317=$A38),--ISNUMBER('Данные 1st'!$IV$2:$IV$317))</f>
        <v>7</v>
      </c>
      <c r="EF38">
        <f>SUMPRODUCT(--('Данные 1st'!$S$2:$S$317=$A38),--ISNUMBER('Данные 1st'!$IW$2:$IW$317))</f>
        <v>7</v>
      </c>
      <c r="EG38">
        <f>SUMPRODUCT(--('Данные 1st'!$S$2:$S$317=$A38),--ISNUMBER('Данные 1st'!$IX$2:$IX$317))</f>
        <v>0</v>
      </c>
      <c r="EH38">
        <f>SUMPRODUCT(--('Данные 1st'!$S$2:$S$317=$A38),--ISNUMBER('Данные 1st'!$IY$2:$IY$317))</f>
        <v>0</v>
      </c>
      <c r="EI38">
        <f>SUMPRODUCT(--('Данные 1st'!$S$2:$S$317=$A38),--ISNUMBER('Данные 1st'!$JD$2:$JD$317))</f>
        <v>7</v>
      </c>
      <c r="EJ38">
        <f>SUMPRODUCT(--('Данные 1st'!$S$2:$S$317=$A38),--ISNUMBER('Данные 1st'!$JE$2:$JE$317))</f>
        <v>7</v>
      </c>
      <c r="EK38">
        <f>SUMPRODUCT(--('Данные 1st'!$S$2:$S$317=$A38),--ISNUMBER('Данные 1st'!$JF$2:$JF$317))</f>
        <v>7</v>
      </c>
      <c r="EL38">
        <f>SUMPRODUCT(--('Данные 1st'!$S$2:$S$317=$A38),--ISNUMBER('Данные 1st'!$JG$2:$JG$317))</f>
        <v>7</v>
      </c>
      <c r="EM38">
        <f>SUMPRODUCT(--('Данные 1st'!$S$2:$S$317=$A38),--ISNUMBER('Данные 1st'!$JH$2:$JH$317))</f>
        <v>7</v>
      </c>
      <c r="EN38">
        <f>SUMPRODUCT(--('Данные 1st'!$S$2:$S$317=$A38),--ISNUMBER('Данные 1st'!$JJ$2:$JJ$317))</f>
        <v>7</v>
      </c>
      <c r="EO38">
        <f>SUMPRODUCT(--('Данные 1st'!$S$2:$S$317=$A38),--ISNUMBER('Данные 1st'!$JK$2:$JK$317))</f>
        <v>7</v>
      </c>
      <c r="EP38">
        <f>SUMPRODUCT(--('Данные 1st'!$S$2:$S$317=$A38),--ISNUMBER('Данные 1st'!$JL$2:$JL$317))</f>
        <v>0</v>
      </c>
      <c r="EQ38">
        <f>SUMPRODUCT(--('Данные 1st'!$S$2:$S$317=$A38),--ISNUMBER('Данные 1st'!$JM$2:$JM$317))</f>
        <v>0</v>
      </c>
      <c r="ER38">
        <f>SUMPRODUCT(--('Данные 1st'!$S$2:$S$317=$A38),--ISNUMBER('Данные 1st'!$JN$2:$JN$317))</f>
        <v>7</v>
      </c>
      <c r="ES38">
        <f>SUMPRODUCT(--('Данные 1st'!$S$2:$S$317=$A38),--ISNUMBER('Данные 1st'!$JO$2:$JO$317))</f>
        <v>7</v>
      </c>
      <c r="ET38">
        <f>SUMPRODUCT(--('Данные 1st'!$S$2:$S$317=$A38),--ISNUMBER('Данные 1st'!$JP$2:$JP$317))</f>
        <v>7</v>
      </c>
      <c r="EU38">
        <f>SUMPRODUCT(--('Данные 1st'!$S$2:$S$317=$A38),--ISNUMBER('Данные 1st'!$JQ$2:$JQ$317))</f>
        <v>7</v>
      </c>
      <c r="EV38">
        <f>SUMPRODUCT(--('Данные 1st'!$S$2:$S$317=$A38),--ISNUMBER('Данные 1st'!$JR$2:$JR$317))</f>
        <v>7</v>
      </c>
      <c r="EW38">
        <f>SUMPRODUCT(--('Данные 1st'!$S$2:$S$317=$A38),--ISNUMBER('Данные 1st'!$JS$2:$JS$317))</f>
        <v>7</v>
      </c>
      <c r="EX38">
        <f>SUMPRODUCT(--('Данные 1st'!$S$2:$S$317=$A38),--ISNUMBER('Данные 1st'!$JT$2:$JT$317))</f>
        <v>0</v>
      </c>
      <c r="EY38">
        <f>SUMPRODUCT(--('Данные 1st'!$S$2:$S$317=$A38),--ISNUMBER('Данные 1st'!$JU$2:$JU$317))</f>
        <v>0</v>
      </c>
      <c r="EZ38">
        <f>SUMPRODUCT(--('Данные 1st'!$S$2:$S$317=$A38),--ISNUMBER('Данные 1st'!$JV$2:$JV$317))</f>
        <v>7</v>
      </c>
      <c r="FA38">
        <f>SUMPRODUCT(--('Данные 1st'!$S$2:$S$317=$A38),--ISNUMBER('Данные 1st'!$JW$2:$JW$317))</f>
        <v>0</v>
      </c>
      <c r="FB38">
        <f>SUMPRODUCT(--('Данные 1st'!$S$2:$S$317=$A38),--ISNUMBER('Данные 1st'!$JX$2:$JX$317))</f>
        <v>7</v>
      </c>
      <c r="FC38">
        <f>SUMPRODUCT(--('Данные 1st'!$S$2:$S$317=$A38),--ISNUMBER('Данные 1st'!$JY$2:$JY$317))</f>
        <v>0</v>
      </c>
      <c r="FD38">
        <f>SUMPRODUCT(--('Данные 1st'!$S$2:$S$317=$A38),--ISNUMBER('Данные 1st'!$JZ$2:$JZ$317))</f>
        <v>0</v>
      </c>
      <c r="FE38">
        <f>SUMPRODUCT(--('Данные 1st'!$S$2:$S$317=$A38),--ISNUMBER('Данные 1st'!$KA$2:$KA$317))</f>
        <v>7</v>
      </c>
      <c r="FF38">
        <f>SUMPRODUCT(--('Данные 1st'!$S$2:$S$317=$A38),--ISNUMBER('Данные 1st'!$KB$2:$KB$317))</f>
        <v>7</v>
      </c>
      <c r="FG38">
        <f>SUMPRODUCT(--('Данные 1st'!$S$2:$S$317=$A38),--ISNUMBER('Данные 1st'!$KC$2:$KC$317))</f>
        <v>7</v>
      </c>
      <c r="FH38">
        <f>SUMPRODUCT(--('Данные 1st'!$S$2:$S$317=$A38),--ISNUMBER('Данные 1st'!$KD$2:$KD$317))</f>
        <v>7</v>
      </c>
      <c r="FI38">
        <f>SUMPRODUCT(--('Данные 1st'!$S$2:$S$317=$A38),--ISNUMBER('Данные 1st'!$KE$2:$KE$317))</f>
        <v>0</v>
      </c>
      <c r="FJ38">
        <f>SUMPRODUCT(--('Данные 1st'!$S$2:$S$317=$A38),--ISNUMBER('Данные 1st'!$KF$2:$KF$317))</f>
        <v>7</v>
      </c>
      <c r="FK38">
        <f>SUMPRODUCT(--('Данные 1st'!$S$2:$S$317=$A38),--ISNUMBER('Данные 1st'!$KG$2:$KG$317))</f>
        <v>7</v>
      </c>
      <c r="FL38">
        <f>SUMPRODUCT(--('Данные 1st'!$S$2:$S$317=$A38),--ISNUMBER('Данные 1st'!$KH$2:$KH$317))</f>
        <v>7</v>
      </c>
      <c r="FM38">
        <f>SUMPRODUCT(--('Данные 1st'!$S$2:$S$317=$A38),--ISNUMBER('Данные 1st'!$KI$2:$KI$317))</f>
        <v>7</v>
      </c>
      <c r="FN38">
        <f>SUMPRODUCT(--('Данные 1st'!$S$2:$S$317=$A38),--ISNUMBER('Данные 1st'!$KJ$2:$KJ$317))</f>
        <v>7</v>
      </c>
      <c r="FO38">
        <f>SUMPRODUCT(--('Данные 1st'!$S$2:$S$317=$A38),--ISNUMBER('Данные 1st'!$KK$2:$KK$317))</f>
        <v>7</v>
      </c>
      <c r="FP38">
        <f>SUMPRODUCT(--('Данные 1st'!$S$2:$S$317=$A38),--ISNUMBER('Данные 1st'!$KL$2:$KL$317))</f>
        <v>7</v>
      </c>
      <c r="FQ38">
        <f>SUMPRODUCT(--('Данные 1st'!$S$2:$S$317=$A38),--ISNUMBER('Данные 1st'!$KM$2:$KM$317))</f>
        <v>7</v>
      </c>
      <c r="FR38">
        <f>SUMPRODUCT(--('Данные 1st'!$S$2:$S$317=$A38),--ISNUMBER('Данные 1st'!$KN$2:$KN$317))</f>
        <v>7</v>
      </c>
      <c r="FS38">
        <f>SUMPRODUCT(--('Данные 1st'!$S$2:$S$317=$A38),--ISNUMBER('Данные 1st'!$KR$2:$KR$317))</f>
        <v>7</v>
      </c>
      <c r="FT38">
        <f>SUMPRODUCT(--('Данные 1st'!$S$2:$S$317=$A38),--ISNUMBER('Данные 1st'!$KS$2:$KS$317))</f>
        <v>7</v>
      </c>
      <c r="FU38">
        <f>SUMPRODUCT(--('Данные 1st'!$S$2:$S$317=$A38),--ISNUMBER('Данные 1st'!$KT$2:$KT$317))</f>
        <v>7</v>
      </c>
      <c r="FV38">
        <f>SUMPRODUCT(--('Данные 1st'!$S$2:$S$317=$A38),--ISNUMBER('Данные 1st'!$KV$2:$KV$317))</f>
        <v>0</v>
      </c>
      <c r="FW38">
        <f>SUMPRODUCT(--('Данные 1st'!$S$2:$S$317=$A38),--ISNUMBER('Данные 1st'!$KW$2:$KW$317))</f>
        <v>0</v>
      </c>
      <c r="FX38">
        <f>SUMPRODUCT(--('Данные 1st'!$S$2:$S$317=$A38),--ISNUMBER('Данные 1st'!$KX$2:$KX$317))</f>
        <v>0</v>
      </c>
      <c r="FY38">
        <f>SUMPRODUCT(--('Данные 1st'!$S$2:$S$317=$A38),--ISNUMBER('Данные 1st'!$KY$2:$KY$317))</f>
        <v>0</v>
      </c>
      <c r="FZ38">
        <f>SUMPRODUCT(--('Данные 1st'!$S$2:$S$317=$A38),--ISNUMBER('Данные 1st'!$KZ$2:$KZ$317))</f>
        <v>0</v>
      </c>
      <c r="GA38">
        <f>SUMPRODUCT(--('Данные 1st'!$S$2:$S$317=$A38),--ISNUMBER('Данные 1st'!$LA$2:$LA$317))</f>
        <v>0</v>
      </c>
      <c r="GB38">
        <f>SUMPRODUCT(--('Данные 1st'!$S$2:$S$317=$A38),--ISNUMBER('Данные 1st'!$LB$2:$LB$317))</f>
        <v>0</v>
      </c>
      <c r="GC38">
        <f>SUMPRODUCT(--('Данные 1st'!$S$2:$S$317=$A38),--ISNUMBER('Данные 1st'!$LC$2:$LC$317))</f>
        <v>0</v>
      </c>
      <c r="GD38">
        <f>SUMPRODUCT(--('Данные 1st'!$S$2:$S$317=$A38),--ISNUMBER('Данные 1st'!$LD$2:$LD$317))</f>
        <v>0</v>
      </c>
      <c r="GE38">
        <f>SUMPRODUCT(--('Данные 1st'!$S$2:$S$317=$A38),--ISNUMBER('Данные 1st'!$LE$2:$LE$317))</f>
        <v>0</v>
      </c>
      <c r="GF38">
        <f>SUMPRODUCT(--('Данные 1st'!$S$2:$S$317=$A38),--ISNUMBER('Данные 1st'!$LF$2:$LF$317))</f>
        <v>0</v>
      </c>
      <c r="GG38">
        <f>SUMPRODUCT(--('Данные 1st'!$S$2:$S$317=$A38),--ISNUMBER('Данные 1st'!$LG$2:$LG$317))</f>
        <v>0</v>
      </c>
      <c r="GH38">
        <f>SUMPRODUCT(--('Данные 1st'!$S$2:$S$317=$A38),--ISNUMBER('Данные 1st'!$LH$2:$LH$317))</f>
        <v>0</v>
      </c>
      <c r="GI38">
        <f>SUMPRODUCT(--('Данные 1st'!$S$2:$S$317=$A38),--ISNUMBER('Данные 1st'!$LI$2:$LI$317))</f>
        <v>0</v>
      </c>
      <c r="GJ38">
        <f>SUMPRODUCT(--('Данные 1st'!$S$2:$S$317=$A38),--ISNUMBER('Данные 1st'!$LJ$2:$LJ$317))</f>
        <v>0</v>
      </c>
      <c r="GK38">
        <f>SUMPRODUCT(--('Данные 1st'!$S$2:$S$317=$A38),--ISNUMBER('Данные 1st'!$LK$2:$LK$317))</f>
        <v>7</v>
      </c>
      <c r="GL38">
        <f>SUMPRODUCT(--('Данные 1st'!$S$2:$S$317=$A38),--ISNUMBER('Данные 1st'!$LV$2:$LV$317))</f>
        <v>0</v>
      </c>
      <c r="GM38">
        <f>SUMPRODUCT(--('Данные 1st'!$S$2:$S$317=$A38),--ISNUMBER('Данные 1st'!$LW$2:$LW$317))</f>
        <v>0</v>
      </c>
      <c r="GN38">
        <f>SUMPRODUCT(--('Данные 1st'!$S$2:$S$317=$A38),--ISNUMBER('Данные 1st'!$LX$2:$LX$317))</f>
        <v>3</v>
      </c>
      <c r="GO38">
        <f>SUMPRODUCT(--('Данные 1st'!$S$2:$S$317=$A38),--ISNUMBER('Данные 1st'!$LY$2:$LY$317))</f>
        <v>3</v>
      </c>
      <c r="GP38">
        <f>SUMPRODUCT(--('Данные 1st'!$S$2:$S$317=$A38),--ISNUMBER('Данные 1st'!$LZ$2:$LZ$317))</f>
        <v>3</v>
      </c>
      <c r="GQ38">
        <f>SUMPRODUCT(--('Данные 1st'!$S$2:$S$317=$A38),--ISNUMBER('Данные 1st'!$PG$2:$PG$317))</f>
        <v>7</v>
      </c>
      <c r="GR38">
        <f>SUMPRODUCT(--('Данные 1st'!$S$2:$S$317=$A38),--ISNUMBER('Данные 1st'!$PX$2:$PX$317))</f>
        <v>7</v>
      </c>
      <c r="GS38">
        <f>SUMPRODUCT(--('Данные 1st'!$S$2:$S$317=$A38),--ISNUMBER('Данные 1st'!$PY$2:$PY$317))</f>
        <v>7</v>
      </c>
      <c r="GT38">
        <f>SUMPRODUCT(--('Данные 1st'!$S$2:$S$317=$A38),--ISNUMBER('Данные 1st'!$QA$2:$QA$317))</f>
        <v>7</v>
      </c>
      <c r="GU38">
        <f>SUMPRODUCT(--('Данные 1st'!$S$2:$S$317=$A38),--ISNUMBER('Данные 1st'!$QB$2:$QB$317))</f>
        <v>7</v>
      </c>
      <c r="GV38">
        <f>SUMPRODUCT(--('Данные 1st'!$S$2:$S$317=$A38),--ISNUMBER('Данные 1st'!$QC$2:$QC$317))</f>
        <v>7</v>
      </c>
      <c r="GW38">
        <f>SUMPRODUCT(--('Данные 1st'!$S$2:$S$317=$A38),--ISNUMBER('Данные 1st'!$QD$2:$QD$317))</f>
        <v>7</v>
      </c>
      <c r="GX38">
        <f>SUMPRODUCT(--('Данные 1st'!$S$2:$S$317=$A38),--ISNUMBER('Данные 1st'!$QF$2:$QF$317))</f>
        <v>7</v>
      </c>
      <c r="GY38">
        <f>SUMPRODUCT(--('Данные 1st'!$S$2:$S$317=$A38),--ISNUMBER('Данные 1st'!$QG$2:$QG$317))</f>
        <v>7</v>
      </c>
      <c r="GZ38">
        <f>SUMPRODUCT(--('Данные 1st'!$S$2:$S$317=$A38),--ISNUMBER('Данные 1st'!$QH$2:$QH$317))</f>
        <v>7</v>
      </c>
      <c r="HA38">
        <f>SUMPRODUCT(--('Данные 1st'!$S$2:$S$317=$A38),--ISNUMBER('Данные 1st'!$QI$2:$QI$317))</f>
        <v>7</v>
      </c>
      <c r="HB38">
        <f>SUMPRODUCT(--('Данные 1st'!$S$2:$S$317=$A38),--ISNUMBER('Данные 1st'!$QK$2:$QK$317))</f>
        <v>7</v>
      </c>
      <c r="HC38">
        <f>SUMPRODUCT(--('Данные 1st'!$S$2:$S$317=$A38),--ISNUMBER('Данные 1st'!$QL$2:$QL$317))</f>
        <v>7</v>
      </c>
      <c r="HD38">
        <f>SUMPRODUCT(--('Данные 1st'!$S$2:$S$317=$A38),--ISNUMBER('Данные 1st'!$QM$2:$QM$317))</f>
        <v>7</v>
      </c>
      <c r="HE38">
        <f>SUMPRODUCT(--('Данные 1st'!$S$2:$S$317=$A38),--ISNUMBER('Данные 1st'!$QN$2:$QN$317))</f>
        <v>7</v>
      </c>
      <c r="HF38">
        <f>SUMPRODUCT(--('Данные 1st'!$S$2:$S$317=$A38),--ISNUMBER('Данные 1st'!$QP$2:$QP$317))</f>
        <v>7</v>
      </c>
      <c r="HG38">
        <f>SUMPRODUCT(--('Данные 1st'!$S$2:$S$317=$A38),--ISNUMBER('Данные 1st'!$QQ$2:$QQ$317))</f>
        <v>7</v>
      </c>
      <c r="HH38">
        <f>SUMPRODUCT(--('Данные 1st'!$S$2:$S$317=$A38),--ISNUMBER('Данные 1st'!$QR$2:$QR$317))</f>
        <v>3</v>
      </c>
      <c r="HI38">
        <f>SUMPRODUCT(--('Данные 1st'!$S$2:$S$317=$A38),--ISNUMBER('Данные 1st'!$QS$2:$QS$317))</f>
        <v>3</v>
      </c>
      <c r="HJ38">
        <f>SUMPRODUCT(--('Данные 1st'!$S$2:$S$317=$A38),--ISNUMBER('Данные 1st'!$QU$2:$QU$317))</f>
        <v>3</v>
      </c>
      <c r="HK38">
        <f>SUMPRODUCT(--('Данные 1st'!$S$2:$S$317=$A38),--ISNUMBER('Данные 1st'!$QV$2:$QV$317))</f>
        <v>3</v>
      </c>
      <c r="HL38">
        <f>SUMPRODUCT(--('Данные 1st'!$S$2:$S$317=$A38),--ISNUMBER('Данные 1st'!$QW$2:$QW$317))</f>
        <v>7</v>
      </c>
      <c r="HM38">
        <f>SUMPRODUCT(--('Данные 1st'!$S$2:$S$317=$A38),--ISNUMBER('Данные 1st'!$QX$2:$QX$317))</f>
        <v>7</v>
      </c>
      <c r="HN38">
        <f>SUMPRODUCT(--('Данные 1st'!$S$2:$S$317=$A38),--ISNUMBER('Данные 1st'!$QZ$2:$QZ$317))</f>
        <v>7</v>
      </c>
      <c r="HO38">
        <f>SUMPRODUCT(--('Данные 1st'!$S$2:$S$317=$A38),--ISNUMBER('Данные 1st'!$RA$2:$RA$317))</f>
        <v>7</v>
      </c>
      <c r="HP38">
        <f>SUMPRODUCT(--('Данные 1st'!$S$2:$S$317=$A38),--ISNUMBER('Данные 1st'!$RB$2:$RB$317))</f>
        <v>7</v>
      </c>
      <c r="HQ38">
        <f>SUMPRODUCT(--('Данные 1st'!$S$2:$S$317=$A38),--ISNUMBER('Данные 1st'!$RD$2:$RD$317))</f>
        <v>0</v>
      </c>
      <c r="HR38">
        <f>SUMPRODUCT(--('Данные 1st'!$S$2:$S$317=$A38),--ISNUMBER('Данные 1st'!$RE$2:$RE$317))</f>
        <v>7</v>
      </c>
      <c r="HS38">
        <f>SUMPRODUCT(--('Данные 1st'!$S$2:$S$317=$A38),--ISNUMBER('Данные 1st'!$RF$2:$RF$317))</f>
        <v>6</v>
      </c>
      <c r="HT38">
        <f>SUMPRODUCT(--('Данные 1st'!$S$2:$S$317=$A38),--ISNUMBER('Данные 1st'!$RG$2:$RG$317))</f>
        <v>1</v>
      </c>
      <c r="HU38">
        <f>SUMPRODUCT(--('Данные 1st'!$S$2:$S$317=$A38),--ISNUMBER('Данные 1st'!$RH$2:$RH$317))</f>
        <v>2</v>
      </c>
      <c r="HV38">
        <f>SUMPRODUCT(--('Данные 1st'!$S$2:$S$317=$A38),--ISNUMBER('Данные 1st'!$RI$2:$RI$317))</f>
        <v>1</v>
      </c>
      <c r="HW38">
        <f>SUMPRODUCT(--('Данные 1st'!$S$2:$S$317=$A38),--ISNUMBER('Данные 1st'!$RJ$2:$RJ$317))</f>
        <v>7</v>
      </c>
      <c r="HX38">
        <f>SUMPRODUCT(--('Данные 1st'!$S$2:$S$317=$A38),--ISNUMBER('Данные 1st'!$RK$2:$RK$317))</f>
        <v>7</v>
      </c>
      <c r="HY38">
        <f>SUMPRODUCT(--('Данные 1st'!$S$2:$S$317=$A38),--ISNUMBER('Данные 1st'!$RL$2:$RL$317))</f>
        <v>7</v>
      </c>
      <c r="HZ38">
        <f>SUMPRODUCT(--('Данные 1st'!$S$2:$S$317=$A38),--ISNUMBER('Данные 1st'!$RM$2:$RM$317))</f>
        <v>3</v>
      </c>
      <c r="IA38">
        <f>SUMPRODUCT(--('Данные 1st'!$S$2:$S$317=$A38),--ISNUMBER('Данные 1st'!$RN$2:$RN$317))</f>
        <v>0</v>
      </c>
      <c r="IB38">
        <f>SUMPRODUCT(--('Данные 1st'!$S$2:$S$317=$A38),--ISNUMBER('Данные 1st'!$RO$2:$RO$317))</f>
        <v>7</v>
      </c>
      <c r="IC38">
        <f>SUMPRODUCT(--('Данные 1st'!$S$2:$S$317=$A38),--ISNUMBER('Данные 1st'!$RP$2:$RP$317))</f>
        <v>7</v>
      </c>
      <c r="ID38">
        <f>SUMPRODUCT(--('Данные 1st'!$S$2:$S$317=$A38),--ISNUMBER('Данные 1st'!$RQ$2:$RQ$317))</f>
        <v>7</v>
      </c>
      <c r="IE38">
        <f>SUMPRODUCT(--('Данные 1st'!$S$2:$S$317=$A38),--ISNUMBER('Данные 1st'!$RR$2:$RR$317))</f>
        <v>3</v>
      </c>
      <c r="IF38">
        <f>SUMPRODUCT(--('Данные 1st'!$S$2:$S$317=$A38),--ISNUMBER('Данные 1st'!$RS$2:$RS$317))</f>
        <v>0</v>
      </c>
      <c r="IG38">
        <f>SUMPRODUCT(--('Данные 1st'!$S$2:$S$317=$A38),--ISNUMBER('Данные 1st'!$RT$2:$RT$317))</f>
        <v>7</v>
      </c>
      <c r="IH38">
        <f>SUMPRODUCT(--('Данные 1st'!$S$2:$S$317=$A38),--ISNUMBER('Данные 1st'!$RU$2:$RU$317))</f>
        <v>7</v>
      </c>
      <c r="II38">
        <f>SUMPRODUCT(--('Данные 1st'!$S$2:$S$317=$A38),--ISNUMBER('Данные 1st'!$RX$2:$RX$317))</f>
        <v>7</v>
      </c>
      <c r="IJ38">
        <f>SUMPRODUCT(--('Данные 1st'!$S$2:$S$317=$A38),--ISNUMBER('Данные 1st'!$RY$2:$RY$317))</f>
        <v>7</v>
      </c>
      <c r="IK38">
        <f>SUMPRODUCT(--('Данные 1st'!$S$2:$S$317=$A38),--ISNUMBER('Данные 1st'!$SA$2:$SA$317))</f>
        <v>7</v>
      </c>
      <c r="IL38">
        <f>SUMPRODUCT(--('Данные 1st'!$S$2:$S$317=$A38),--ISNUMBER('Данные 1st'!$SD$2:$SD$317))</f>
        <v>7</v>
      </c>
      <c r="IM38">
        <f>SUMPRODUCT(--('Данные 1st'!$S$2:$S$317=$A38),--ISNUMBER('Данные 1st'!$SG$2:$SG$317))</f>
        <v>3</v>
      </c>
      <c r="IN38">
        <f>SUMPRODUCT(--('Данные 1st'!$S$2:$S$317=$A38),--ISNUMBER('Данные 1st'!$SH$2:$SH$317))</f>
        <v>7</v>
      </c>
      <c r="IO38">
        <f>SUMPRODUCT(--('Данные 1st'!$S$2:$S$317=$A38),--ISNUMBER('Данные 1st'!$SI$2:$SI$317))</f>
        <v>7</v>
      </c>
      <c r="IP38">
        <f>SUMPRODUCT(--('Данные 1st'!$S$2:$S$317=$A38),--ISNUMBER('Данные 1st'!$SJ$2:$SJ$317))</f>
        <v>7</v>
      </c>
      <c r="IQ38">
        <f>SUMPRODUCT(--('Данные 1st'!$S$2:$S$317=$A38),--ISNUMBER('Данные 1st'!$SK$2:$SK$317))</f>
        <v>7</v>
      </c>
      <c r="IR38">
        <f>SUMPRODUCT(--('Данные 1st'!$S$2:$S$317=$A38),--ISNUMBER('Данные 1st'!$SL$2:$SL$317))</f>
        <v>7</v>
      </c>
      <c r="IS38">
        <f>SUMPRODUCT(--('Данные 1st'!$S$2:$S$317=$A38),--ISNUMBER('Данные 1st'!$SM$2:$SM$317))</f>
        <v>7</v>
      </c>
      <c r="IT38">
        <f>SUMPRODUCT(--('Данные 1st'!$S$2:$S$317=$A38),--ISNUMBER('Данные 1st'!$SN$2:$SN$317))</f>
        <v>7</v>
      </c>
      <c r="IU38">
        <f>SUMPRODUCT(--('Данные 1st'!$S$2:$S$317=$A38),--ISNUMBER('Данные 1st'!$SO$2:$SO$317))</f>
        <v>7</v>
      </c>
      <c r="IV38">
        <f>SUMPRODUCT(--('Данные 1st'!$S$2:$S$317=$A38),--ISNUMBER('Данные 1st'!$SP$2:$SP$317))</f>
        <v>7</v>
      </c>
      <c r="IW38">
        <f>SUMPRODUCT(--('Данные 1st'!$S$2:$S$317=$A38),--ISNUMBER('Данные 1st'!$SQ$2:$SQ$317))</f>
        <v>7</v>
      </c>
      <c r="IX38">
        <f>SUMPRODUCT(--('Данные 1st'!$S$2:$S$317=$A38),--ISNUMBER('Данные 1st'!$SR$2:$SR$317))</f>
        <v>7</v>
      </c>
      <c r="IY38">
        <f>SUMPRODUCT(--('Данные 1st'!$S$2:$S$317=$A38),--ISNUMBER('Данные 1st'!$SS$2:$SS$317))</f>
        <v>7</v>
      </c>
      <c r="IZ38">
        <f>SUMPRODUCT(--('Данные 1st'!$S$2:$S$317=$A38),--ISNUMBER('Данные 1st'!$ST$2:$ST$317))</f>
        <v>7</v>
      </c>
      <c r="JA38">
        <f>SUMPRODUCT(--('Данные 1st'!$S$2:$S$317=$A38),--ISNUMBER('Данные 1st'!$SU$2:$SU$317))</f>
        <v>7</v>
      </c>
      <c r="JB38">
        <f>SUMPRODUCT(--('Данные 1st'!$S$2:$S$317=$A38),--ISNUMBER('Данные 1st'!$SV$2:$SV$317))</f>
        <v>7</v>
      </c>
      <c r="JC38">
        <f>SUMPRODUCT(--('Данные 1st'!$S$2:$S$317=$A38),--ISNUMBER('Данные 1st'!$SW$2:$SW$317))</f>
        <v>7</v>
      </c>
      <c r="JD38">
        <f>SUMPRODUCT(--('Данные 1st'!$S$2:$S$317=$A38),--ISNUMBER('Данные 1st'!$SX$2:$SX$317))</f>
        <v>7</v>
      </c>
      <c r="JE38">
        <f>SUMPRODUCT(--('Данные 1st'!$S$2:$S$317=$A38),--ISNUMBER('Данные 1st'!$SY$2:$SY$317))</f>
        <v>7</v>
      </c>
      <c r="JF38">
        <f>SUMPRODUCT(--('Данные 1st'!$S$2:$S$317=$A38),--ISNUMBER('Данные 1st'!$SZ$2:$SZ$317))</f>
        <v>3</v>
      </c>
      <c r="JG38">
        <f>SUMPRODUCT(--('Данные 1st'!$S$2:$S$317=$A38),--ISNUMBER('Данные 1st'!$TA$2:$TA$317))</f>
        <v>0</v>
      </c>
      <c r="JH38">
        <f>SUMPRODUCT(--('Данные 1st'!$S$2:$S$317=$A38),--ISNUMBER('Данные 1st'!$TB$2:$TB$317))</f>
        <v>7</v>
      </c>
      <c r="JI38">
        <f>SUMPRODUCT(--('Данные 1st'!$S$2:$S$317=$A38),--ISNUMBER('Данные 1st'!$TC$2:$TC$317))</f>
        <v>7</v>
      </c>
      <c r="JJ38">
        <f>SUMPRODUCT(--('Данные 1st'!$S$2:$S$317=$A38),--ISNUMBER('Данные 1st'!$TD$2:$TD$317))</f>
        <v>7</v>
      </c>
      <c r="JK38">
        <f>SUMPRODUCT(--('Данные 1st'!$S$2:$S$317=$A38),--ISNUMBER('Данные 1st'!$TN$2:$TN$317))</f>
        <v>7</v>
      </c>
      <c r="JQ38">
        <f>SUMPRODUCT(--('Данные 2st'!$Q$2:$Q$317=$A38),--ISNUMBER('Данные 2st'!$AC$2:$AC$317))</f>
        <v>7</v>
      </c>
      <c r="JR38">
        <f>SUMPRODUCT(--('Данные 2st'!$Q$2:$Q$317=$A38),--ISNUMBER('Данные 2st'!$AF$2:$AF$317))</f>
        <v>7</v>
      </c>
      <c r="JS38">
        <f>SUMPRODUCT(--('Данные 2st'!$Q$2:$Q$317=$A38),--ISNUMBER('Данные 2st'!$AW$2:$AW$317))</f>
        <v>7</v>
      </c>
      <c r="JT38">
        <f>SUMPRODUCT(--('Данные 2st'!$Q$2:$Q$317=$A38),--ISNUMBER('Данные 2st'!$AX$2:$AX$317))</f>
        <v>7</v>
      </c>
      <c r="JU38">
        <f>SUMPRODUCT(--('Данные 2st'!$Q$2:$Q$317=$A38),--ISNUMBER('Данные 2st'!$AY$2:$AY$317))</f>
        <v>7</v>
      </c>
      <c r="JV38">
        <f>SUMPRODUCT(--('Данные 2st'!$Q$2:$Q$317=$A38),--ISNUMBER('Данные 2st'!$AZ$2:$AZ$317))</f>
        <v>7</v>
      </c>
      <c r="JW38">
        <f>SUMPRODUCT(--('Данные 2st'!$Q$2:$Q$317=$A38),--ISNUMBER('Данные 2st'!$BA$2:$BA$317))</f>
        <v>0</v>
      </c>
      <c r="JX38">
        <f>SUMPRODUCT(--('Данные 2st'!$Q$2:$Q$317=$A38),--ISNUMBER('Данные 2st'!$BB$2:$BB$317))</f>
        <v>0</v>
      </c>
      <c r="JY38">
        <f>SUMPRODUCT(--('Данные 2st'!$Q$2:$Q$317=$A38),--ISNUMBER('Данные 2st'!$BC$2:$BC$317))</f>
        <v>0</v>
      </c>
      <c r="JZ38">
        <f>SUMPRODUCT(--('Данные 2st'!$Q$2:$Q$317=$A38),--ISNUMBER('Данные 2st'!$BH$2:$BH$317))</f>
        <v>7</v>
      </c>
      <c r="KA38">
        <f>SUMPRODUCT(--('Данные 2st'!$Q$2:$Q$317=$A38),--ISNUMBER('Данные 2st'!$BI$2:$BI$317))</f>
        <v>7</v>
      </c>
      <c r="KB38">
        <f>SUMPRODUCT(--('Данные 2st'!$Q$2:$Q$317=$A38),--ISNUMBER('Данные 2st'!$BJ$2:$BJ$317))</f>
        <v>7</v>
      </c>
      <c r="KC38">
        <f>SUMPRODUCT(--('Данные 2st'!$Q$2:$Q$317=$A38),--ISNUMBER('Данные 2st'!$BK$2:$BK$317))</f>
        <v>7</v>
      </c>
      <c r="KD38">
        <f>SUMPRODUCT(--('Данные 2st'!$Q$2:$Q$317=$A38),--ISNUMBER('Данные 2st'!$BL$2:$BL$317))</f>
        <v>7</v>
      </c>
      <c r="KE38">
        <f>SUMPRODUCT(--('Данные 2st'!$Q$2:$Q$317=$A38),--ISNUMBER('Данные 2st'!$BM$2:$BM$317))</f>
        <v>7</v>
      </c>
      <c r="KF38">
        <f>SUMPRODUCT(--('Данные 2st'!$Q$2:$Q$317=$A38),--ISNUMBER('Данные 2st'!$BN$2:$BN$317))</f>
        <v>7</v>
      </c>
      <c r="KG38">
        <f>SUMPRODUCT(--('Данные 2st'!$Q$2:$Q$317=$A38),--ISNUMBER('Данные 2st'!$BO$2:$BO$317))</f>
        <v>2</v>
      </c>
      <c r="KH38">
        <f>SUMPRODUCT(--('Данные 2st'!$Q$2:$Q$317=$A38),--ISNUMBER('Данные 2st'!$BP$2:$BP$317))</f>
        <v>7</v>
      </c>
      <c r="KI38">
        <f>SUMPRODUCT(--('Данные 2st'!$Q$2:$Q$317=$A38),--ISNUMBER('Данные 2st'!$BR$2:$BR$317))</f>
        <v>7</v>
      </c>
      <c r="KJ38">
        <f>SUMPRODUCT(--('Данные 2st'!$Q$2:$Q$317=$A38),--ISNUMBER('Данные 2st'!$BS$2:$BS$317))</f>
        <v>7</v>
      </c>
      <c r="KK38">
        <f>SUMPRODUCT(--('Данные 2st'!$Q$2:$Q$317=$A38),--ISNUMBER('Данные 2st'!$BT$2:$BT$317))</f>
        <v>7</v>
      </c>
      <c r="KL38">
        <f>SUMPRODUCT(--('Данные 2st'!$Q$2:$Q$317=$A38),--ISNUMBER('Данные 2st'!$CV$2:$CV$317))</f>
        <v>7</v>
      </c>
      <c r="KM38">
        <f>SUMPRODUCT(--('Данные 2st'!$Q$2:$Q$317=$A38),--ISNUMBER('Данные 2st'!$CW$2:$CW$317))</f>
        <v>7</v>
      </c>
      <c r="KN38">
        <f>SUMPRODUCT(--('Данные 2st'!$Q$2:$Q$317=$A38),--ISNUMBER('Данные 2st'!$CX$2:$CX$317))</f>
        <v>7</v>
      </c>
      <c r="KO38">
        <f>SUMPRODUCT(--('Данные 2st'!$Q$2:$Q$317=$A38),--ISNUMBER('Данные 2st'!$CY$2:$CY$317))</f>
        <v>7</v>
      </c>
      <c r="KP38">
        <f>SUMPRODUCT(--('Данные 2st'!$Q$2:$Q$317=$A38),--ISNUMBER('Данные 2st'!$CZ$2:$CZ$317))</f>
        <v>7</v>
      </c>
      <c r="KQ38">
        <f>SUMPRODUCT(--('Данные 2st'!$Q$2:$Q$317=$A38),--ISNUMBER('Данные 2st'!$DA$2:$DA$317))</f>
        <v>7</v>
      </c>
      <c r="KR38">
        <f>SUMPRODUCT(--('Данные 2st'!$Q$2:$Q$317=$A38),--ISNUMBER('Данные 2st'!$DB$2:$DB$317))</f>
        <v>7</v>
      </c>
      <c r="KS38">
        <f>SUMPRODUCT(--('Данные 2st'!$Q$2:$Q$317=$A38),--ISNUMBER('Данные 2st'!$DC$2:$DC$317))</f>
        <v>7</v>
      </c>
      <c r="KT38">
        <f>SUMPRODUCT(--('Данные 2st'!$Q$2:$Q$317=$A38),--ISNUMBER('Данные 2st'!$DD$2:$DD$317))</f>
        <v>7</v>
      </c>
      <c r="KU38">
        <f>SUMPRODUCT(--('Данные 2st'!$Q$2:$Q$317=$A38),--ISNUMBER('Данные 2st'!$DE$2:$DE$317))</f>
        <v>7</v>
      </c>
      <c r="KV38">
        <f>SUMPRODUCT(--('Данные 2st'!$Q$2:$Q$317=$A38),--ISNUMBER('Данные 2st'!$DF$2:$DF$317))</f>
        <v>7</v>
      </c>
      <c r="KW38">
        <f>SUMPRODUCT(--('Данные 2st'!$Q$2:$Q$317=$A38),--ISNUMBER('Данные 2st'!$DG$2:$DG$317))</f>
        <v>7</v>
      </c>
      <c r="KX38">
        <f>SUMPRODUCT(--('Данные 2st'!$Q$2:$Q$317=$A38),--ISNUMBER('Данные 2st'!$DH$2:$DH$317))</f>
        <v>7</v>
      </c>
      <c r="KY38">
        <f>SUMPRODUCT(--('Данные 2st'!$Q$2:$Q$317=$A38),--ISNUMBER('Данные 2st'!$DI$2:$DI$317))</f>
        <v>0</v>
      </c>
      <c r="KZ38">
        <f>SUMPRODUCT(--('Данные 2st'!$Q$2:$Q$317=$A38),--ISNUMBER('Данные 2st'!$DK$2:$DK$317))</f>
        <v>7</v>
      </c>
      <c r="LA38">
        <f>SUMPRODUCT(--('Данные 2st'!$Q$2:$Q$317=$A38),--ISNUMBER('Данные 2st'!$DM$2:$DM$317))</f>
        <v>7</v>
      </c>
      <c r="LB38">
        <f>SUMPRODUCT(--('Данные 2st'!$Q$2:$Q$317=$A38),--ISNUMBER('Данные 2st'!$DN$2:$DN$317))</f>
        <v>7</v>
      </c>
      <c r="LC38">
        <f>SUMPRODUCT(--('Данные 2st'!$Q$2:$Q$317=$A38),--ISNUMBER('Данные 2st'!$DO$2:$DO$317))</f>
        <v>7</v>
      </c>
      <c r="LD38">
        <f>SUMPRODUCT(--('Данные 2st'!$Q$2:$Q$317=$A38),--ISNUMBER('Данные 2st'!$DP$2:$DP$317))</f>
        <v>7</v>
      </c>
      <c r="LE38">
        <f>SUMPRODUCT(--('Данные 2st'!$Q$2:$Q$317=$A38),--ISNUMBER('Данные 2st'!$DQ$2:$DQ$317))</f>
        <v>7</v>
      </c>
      <c r="LF38">
        <f>SUMPRODUCT(--('Данные 2st'!$Q$2:$Q$317=$A38),--ISNUMBER('Данные 2st'!$DS$2:$DS$317))</f>
        <v>7</v>
      </c>
      <c r="LG38">
        <f>SUMPRODUCT(--('Данные 2st'!$Q$2:$Q$317=$A38),--ISNUMBER('Данные 2st'!$DU$2:$DU$317))</f>
        <v>7</v>
      </c>
      <c r="LH38">
        <f>SUMPRODUCT(--('Данные 2st'!$Q$2:$Q$317=$A38),--ISNUMBER('Данные 2st'!$DV$2:$DV$317))</f>
        <v>7</v>
      </c>
      <c r="LI38">
        <f>SUMPRODUCT(--('Данные 2st'!$Q$2:$Q$317=$A38),--ISNUMBER('Данные 2st'!$DW$2:$DW$317))</f>
        <v>7</v>
      </c>
      <c r="LJ38">
        <f>SUMPRODUCT(--('Данные 2st'!$Q$2:$Q$317=$A38),--ISNUMBER('Данные 2st'!$DX$2:$DX$317))</f>
        <v>7</v>
      </c>
      <c r="LK38">
        <f>SUMPRODUCT(--('Данные 2st'!$Q$2:$Q$317=$A38),--ISNUMBER('Данные 2st'!$DY$2:$DY$317))</f>
        <v>7</v>
      </c>
      <c r="LL38">
        <f>SUMPRODUCT(--('Данные 2st'!$Q$2:$Q$317=$A38),--ISNUMBER('Данные 2st'!$EA$2:$EA$317))</f>
        <v>7</v>
      </c>
      <c r="LM38">
        <f>SUMPRODUCT(--('Данные 2st'!$Q$2:$Q$317=$A38),--ISNUMBER('Данные 2st'!$EC$2:$EC$317))</f>
        <v>7</v>
      </c>
      <c r="LN38">
        <f>SUMPRODUCT(--('Данные 2st'!$Q$2:$Q$317=$A38),--ISNUMBER('Данные 2st'!$ED$2:$ED$317))</f>
        <v>7</v>
      </c>
      <c r="LO38">
        <f>SUMPRODUCT(--('Данные 2st'!$Q$2:$Q$317=$A38),--ISNUMBER('Данные 2st'!$EE$2:$EE$317))</f>
        <v>7</v>
      </c>
      <c r="LP38">
        <f>SUMPRODUCT(--('Данные 2st'!$Q$2:$Q$317=$A38),--ISNUMBER('Данные 2st'!$EG$2:$EG$317))</f>
        <v>7</v>
      </c>
      <c r="LQ38">
        <f>SUMPRODUCT(--('Данные 2st'!$Q$2:$Q$317=$A38),--ISNUMBER('Данные 2st'!$EI$2:$EI$317))</f>
        <v>7</v>
      </c>
      <c r="LR38">
        <f>SUMPRODUCT(--('Данные 2st'!$Q$2:$Q$317=$A38),--ISNUMBER('Данные 2st'!$EJ$2:$EJ$317))</f>
        <v>2</v>
      </c>
      <c r="LS38">
        <f>SUMPRODUCT(--('Данные 2st'!$Q$2:$Q$317=$A38),--ISNUMBER('Данные 2st'!$EK$2:$EK$317))</f>
        <v>2</v>
      </c>
      <c r="LT38">
        <f>SUMPRODUCT(--('Данные 2st'!$Q$2:$Q$317=$A38),--ISNUMBER('Данные 2st'!$EM$2:$EM$317))</f>
        <v>7</v>
      </c>
      <c r="LU38">
        <f>SUMPRODUCT(--('Данные 2st'!$Q$2:$Q$317=$A38),--ISNUMBER('Данные 2st'!$EN$2:$EN$317))</f>
        <v>7</v>
      </c>
      <c r="LV38">
        <f>SUMPRODUCT(--('Данные 2st'!$Q$2:$Q$317=$A38),--ISNUMBER('Данные 2st'!$EO$2:$EO$317))</f>
        <v>7</v>
      </c>
      <c r="LW38">
        <f>SUMPRODUCT(--('Данные 2st'!$Q$2:$Q$317=$A38),--ISNUMBER('Данные 2st'!$EP$2:$EP$317))</f>
        <v>7</v>
      </c>
      <c r="LX38">
        <f>SUMPRODUCT(--('Данные 2st'!$Q$2:$Q$317=$A38),--ISNUMBER('Данные 2st'!$EQ$2:$EQ$317))</f>
        <v>7</v>
      </c>
      <c r="LY38">
        <f>SUMPRODUCT(--('Данные 2st'!$Q$2:$Q$317=$A38),--ISNUMBER('Данные 2st'!$ER$2:$ER$317))</f>
        <v>7</v>
      </c>
      <c r="LZ38">
        <f>SUMPRODUCT(--('Данные 2st'!$Q$2:$Q$317=$A38),--ISNUMBER('Данные 2st'!$ES$2:$ES$317))</f>
        <v>7</v>
      </c>
      <c r="MA38">
        <f>SUMPRODUCT(--('Данные 2st'!$Q$2:$Q$317=$A38),--ISNUMBER('Данные 2st'!$ET$2:$ET$317))</f>
        <v>7</v>
      </c>
      <c r="MB38">
        <f>SUMPRODUCT(--('Данные 2st'!$Q$2:$Q$317=$A38),--ISNUMBER('Данные 2st'!$EU$2:$EU$317))</f>
        <v>7</v>
      </c>
      <c r="MC38">
        <f>SUMPRODUCT(--('Данные 2st'!$Q$2:$Q$317=$A38),--ISNUMBER('Данные 2st'!$EV$2:$EV$317))</f>
        <v>7</v>
      </c>
      <c r="MD38">
        <f>SUMPRODUCT(--('Данные 2st'!$Q$2:$Q$317=$A38),--ISNUMBER('Данные 2st'!$EW$2:$EW$317))</f>
        <v>7</v>
      </c>
      <c r="ME38">
        <f>SUMPRODUCT(--('Данные 2st'!$Q$2:$Q$317=$A38),--ISNUMBER('Данные 2st'!$EY$2:$EY$317))</f>
        <v>7</v>
      </c>
      <c r="MF38">
        <f>SUMPRODUCT(--('Данные 2st'!$Q$2:$Q$317=$A38),--ISNUMBER('Данные 2st'!$FA$2:$FA$317))</f>
        <v>7</v>
      </c>
      <c r="MG38">
        <f>SUMPRODUCT(--('Данные 2st'!$Q$2:$Q$317=$A38),--ISNUMBER('Данные 2st'!$FB$2:$FB$317))</f>
        <v>7</v>
      </c>
      <c r="MH38">
        <f>SUMPRODUCT(--('Данные 2st'!$Q$2:$Q$317=$A38),--ISNUMBER('Данные 2st'!$FC$2:$FC$317))</f>
        <v>7</v>
      </c>
      <c r="MI38">
        <f>SUMPRODUCT(--('Данные 2st'!$Q$2:$Q$317=$A38),--ISNUMBER('Данные 2st'!$FD$2:$FD$317))</f>
        <v>7</v>
      </c>
      <c r="MJ38">
        <f>SUMPRODUCT(--('Данные 2st'!$Q$2:$Q$317=$A38),--ISNUMBER('Данные 2st'!$FE$2:$FE$317))</f>
        <v>7</v>
      </c>
      <c r="MK38">
        <f>SUMPRODUCT(--('Данные 2st'!$Q$2:$Q$317=$A38),--ISNUMBER('Данные 2st'!$FG$2:$FG$317))</f>
        <v>7</v>
      </c>
      <c r="ML38">
        <f>SUMPRODUCT(--('Данные 2st'!$Q$2:$Q$317=$A38),--ISNUMBER('Данные 2st'!$FI$2:$FI$317))</f>
        <v>7</v>
      </c>
      <c r="MM38">
        <f>SUMPRODUCT(--('Данные 2st'!$Q$2:$Q$317=$A38),--ISNUMBER('Данные 2st'!$FJ$2:$FJ$317))</f>
        <v>7</v>
      </c>
      <c r="MN38">
        <f>SUMPRODUCT(--('Данные 2st'!$Q$2:$Q$317=$A38),--ISNUMBER('Данные 2st'!$FK$2:$FK$317))</f>
        <v>7</v>
      </c>
      <c r="MO38">
        <f>SUMPRODUCT(--('Данные 2st'!$Q$2:$Q$317=$A38),--ISNUMBER('Данные 2st'!$FP$2:$FP$317))</f>
        <v>7</v>
      </c>
      <c r="MP38">
        <f>SUMPRODUCT(--('Данные 2st'!$Q$2:$Q$317=$A38),--ISNUMBER('Данные 2st'!$FQ$2:$FQ$317))</f>
        <v>7</v>
      </c>
      <c r="MQ38">
        <f>SUMPRODUCT(--('Данные 2st'!$Q$2:$Q$317=$A38),--ISNUMBER('Данные 2st'!$FS$2:$FS$317))</f>
        <v>7</v>
      </c>
      <c r="MR38">
        <f>SUMPRODUCT(--('Данные 2st'!$Q$2:$Q$317=$A38),--ISNUMBER('Данные 2st'!$FU$2:$FU$317))</f>
        <v>7</v>
      </c>
      <c r="MS38">
        <f>SUMPRODUCT(--('Данные 2st'!$Q$2:$Q$317=$A38),--ISNUMBER('Данные 2st'!$FV$2:$FV$317))</f>
        <v>7</v>
      </c>
      <c r="MT38">
        <f>SUMPRODUCT(--('Данные 2st'!$Q$2:$Q$317=$A38),--ISNUMBER('Данные 2st'!$FW$2:$FW$317))</f>
        <v>7</v>
      </c>
      <c r="MU38">
        <f>SUMPRODUCT(--('Данные 2st'!$Q$2:$Q$317=$A38),--ISNUMBER('Данные 2st'!$FY$2:$FY$317))</f>
        <v>7</v>
      </c>
      <c r="MV38">
        <f>SUMPRODUCT(--('Данные 2st'!$Q$2:$Q$317=$A38),--ISNUMBER('Данные 2st'!$GB$2:$GB$317))</f>
        <v>7</v>
      </c>
      <c r="MW38">
        <f>SUMPRODUCT(--('Данные 2st'!$Q$2:$Q$317=$A38),--ISNUMBER('Данные 2st'!$GC$2:$GC$317))</f>
        <v>7</v>
      </c>
      <c r="MX38">
        <f>SUMPRODUCT(--('Данные 2st'!$Q$2:$Q$317=$A38),--ISNUMBER('Данные 2st'!$GD$2:$GD$317))</f>
        <v>7</v>
      </c>
      <c r="MY38">
        <f>SUMPRODUCT(--('Данные 2st'!$Q$2:$Q$317=$A38),--ISNUMBER('Данные 2st'!$GN$2:$GN$317))</f>
        <v>0</v>
      </c>
      <c r="MZ38">
        <f>SUMPRODUCT(--('Данные 2st'!$Q$2:$Q$317=$A38),--ISNUMBER('Данные 2st'!$GQ$2:$GQ$317))</f>
        <v>7</v>
      </c>
      <c r="NA38">
        <f>SUMPRODUCT(--('Данные 2st'!$Q$2:$Q$317=$A38),--ISNUMBER('Данные 2st'!$GV$2:$GV$317))</f>
        <v>7</v>
      </c>
      <c r="NB38">
        <f>SUMPRODUCT(--('Данные 2st'!$Q$2:$Q$317=$A38),--ISNUMBER('Данные 2st'!$GW$2:$GW$317))</f>
        <v>7</v>
      </c>
      <c r="NC38">
        <f>SUMPRODUCT(--('Данные 2st'!$Q$2:$Q$317=$A38),--ISNUMBER('Данные 2st'!$GX$2:$GX$317))</f>
        <v>7</v>
      </c>
      <c r="ND38">
        <f>SUMPRODUCT(--('Данные 2st'!$Q$2:$Q$317=$A38),--ISNUMBER('Данные 2st'!$GY$2:$GY$317))</f>
        <v>7</v>
      </c>
      <c r="NE38">
        <f>SUMPRODUCT(--('Данные 2st'!$Q$2:$Q$317=$A38),--ISNUMBER('Данные 2st'!$GZ$2:$GZ$317))</f>
        <v>7</v>
      </c>
      <c r="NF38">
        <f>SUMPRODUCT(--('Данные 2st'!$Q$2:$Q$317=$A38),--ISNUMBER('Данные 2st'!$HA$2:$HA$317))</f>
        <v>7</v>
      </c>
      <c r="NG38">
        <f>SUMPRODUCT(--('Данные 2st'!$Q$2:$Q$317=$A38),--ISNUMBER('Данные 2st'!$HB$2:$HB$317))</f>
        <v>7</v>
      </c>
      <c r="NH38">
        <f>SUMPRODUCT(--('Данные 2st'!$Q$2:$Q$317=$A38),--ISNUMBER('Данные 2st'!$HC$2:$HC$317))</f>
        <v>7</v>
      </c>
      <c r="NI38">
        <f>SUMPRODUCT(--('Данные 2st'!$Q$2:$Q$317=$A38),--ISNUMBER('Данные 2st'!$HD$2:$HD$317))</f>
        <v>7</v>
      </c>
      <c r="NJ38">
        <f>SUMPRODUCT(--('Данные 2st'!$Q$2:$Q$317=$A38),--ISNUMBER('Данные 2st'!$HM$2:$HM$317))</f>
        <v>7</v>
      </c>
      <c r="NK38">
        <f>SUMPRODUCT(--('Данные 2st'!$Q$2:$Q$317=$A38),--ISNUMBER('Данные 2st'!$HR$2:$HR$317))</f>
        <v>7</v>
      </c>
      <c r="NL38">
        <f>SUMPRODUCT(--('Данные 2st'!$Q$2:$Q$317=$A38),--ISNUMBER('Данные 2st'!$HS$2:$HS$317))</f>
        <v>7</v>
      </c>
      <c r="NM38">
        <f>SUMPRODUCT(--('Данные 2st'!$Q$2:$Q$317=$A38),--ISNUMBER('Данные 2st'!$HT$2:$HT$317))</f>
        <v>7</v>
      </c>
      <c r="NN38">
        <f>SUMPRODUCT(--('Данные 2st'!$Q$2:$Q$317=$A38),--ISNUMBER('Данные 2st'!$HY$2:$HY$317))</f>
        <v>7</v>
      </c>
      <c r="NO38">
        <f>SUMPRODUCT(--('Данные 2st'!$Q$2:$Q$317=$A38),--ISNUMBER('Данные 2st'!$HZ$2:$HZ$317))</f>
        <v>7</v>
      </c>
      <c r="NP38">
        <f>SUMPRODUCT(--('Данные 2st'!$Q$2:$Q$317=$A38),--ISNUMBER('Данные 2st'!$IA$2:$IA$317))</f>
        <v>7</v>
      </c>
      <c r="NQ38">
        <f>SUMPRODUCT(--('Данные 2st'!$Q$2:$Q$317=$A38),--ISNUMBER('Данные 2st'!$IB$2:$IB$317))</f>
        <v>7</v>
      </c>
      <c r="NR38">
        <f>SUMPRODUCT(--('Данные 2st'!$Q$2:$Q$317=$A38),--ISNUMBER('Данные 2st'!$IC$2:$IC$317))</f>
        <v>0</v>
      </c>
      <c r="NS38">
        <f>SUMPRODUCT(--('Данные 2st'!$Q$2:$Q$317=$A38),--ISNUMBER('Данные 2st'!$ID$2:$ID$317))</f>
        <v>7</v>
      </c>
      <c r="NT38">
        <f>SUMPRODUCT(--('Данные 2st'!$Q$2:$Q$317=$A38),--ISNUMBER('Данные 2st'!$IE$2:$IE$317))</f>
        <v>7</v>
      </c>
      <c r="NU38">
        <f>SUMPRODUCT(--('Данные 2st'!$Q$2:$Q$317=$A38),--ISNUMBER('Данные 2st'!$IF$2:$IF$317))</f>
        <v>7</v>
      </c>
      <c r="NV38">
        <f>SUMPRODUCT(--('Данные 2st'!$Q$2:$Q$317=$A38),--ISNUMBER('Данные 2st'!$IG$2:$IG$317))</f>
        <v>7</v>
      </c>
      <c r="NW38">
        <f>SUMPRODUCT(--('Данные 2st'!$Q$2:$Q$317=$A38),--ISNUMBER('Данные 2st'!$IH$2:$IH$317))</f>
        <v>7</v>
      </c>
      <c r="NX38">
        <f>SUMPRODUCT(--('Данные 2st'!$Q$2:$Q$317=$A38),--ISNUMBER('Данные 2st'!$IJ$2:$IJ$317))</f>
        <v>7</v>
      </c>
      <c r="NY38">
        <f>SUMPRODUCT(--('Данные 2st'!$Q$2:$Q$317=$A38),--ISNUMBER('Данные 2st'!$IM$2:$IM$317))</f>
        <v>7</v>
      </c>
      <c r="NZ38">
        <f>SUMPRODUCT(--('Данные 2st'!$Q$2:$Q$317=$A38),--ISNUMBER('Данные 2st'!$IN$2:$IN$317))</f>
        <v>7</v>
      </c>
      <c r="OA38">
        <f>SUMPRODUCT(--('Данные 2st'!$Q$2:$Q$317=$A38),--ISNUMBER('Данные 2st'!$IO$2:$IO$317))</f>
        <v>7</v>
      </c>
      <c r="OB38">
        <f>SUMPRODUCT(--('Данные 2st'!$Q$2:$Q$317=$A38),--ISNUMBER('Данные 2st'!$IP$2:$IP$317))</f>
        <v>7</v>
      </c>
      <c r="OC38">
        <f>SUMPRODUCT(--('Данные 2st'!$Q$2:$Q$317=$A38),--ISNUMBER('Данные 2st'!$IQ$2:$IQ$317))</f>
        <v>7</v>
      </c>
      <c r="OD38">
        <f>SUMPRODUCT(--('Данные 2st'!$Q$2:$Q$317=$A38),--ISNUMBER('Данные 2st'!$IR$2:$IR$317))</f>
        <v>7</v>
      </c>
      <c r="OE38">
        <f>SUMPRODUCT(--('Данные 2st'!$Q$2:$Q$317=$A38),--ISNUMBER('Данные 2st'!$IT$2:$IT$317))</f>
        <v>7</v>
      </c>
      <c r="OF38">
        <f>SUMPRODUCT(--('Данные 2st'!$Q$2:$Q$317=$A38),--ISNUMBER('Данные 2st'!$IU$2:$IU$317))</f>
        <v>7</v>
      </c>
      <c r="OG38">
        <f>SUMPRODUCT(--('Данные 2st'!$Q$2:$Q$317=$A38),--ISNUMBER('Данные 2st'!$IV$2:$IV$317))</f>
        <v>7</v>
      </c>
      <c r="OH38">
        <f>SUMPRODUCT(--('Данные 2st'!$Q$2:$Q$317=$A38),--ISNUMBER('Данные 2st'!$IW$2:$IW$317))</f>
        <v>7</v>
      </c>
      <c r="OI38">
        <f>SUMPRODUCT(--('Данные 2st'!$Q$2:$Q$317=$A38),--ISNUMBER('Данные 2st'!$IX$2:$IX$317))</f>
        <v>7</v>
      </c>
      <c r="OJ38">
        <f>SUMPRODUCT(--('Данные 2st'!$Q$2:$Q$317=$A38),--ISNUMBER('Данные 2st'!$IY$2:$IY$317))</f>
        <v>7</v>
      </c>
      <c r="OK38">
        <f>SUMPRODUCT(--('Данные 2st'!$Q$2:$Q$317=$A38),--ISNUMBER('Данные 2st'!$IZ$2:$IZ$317))</f>
        <v>7</v>
      </c>
      <c r="OL38">
        <f>SUMPRODUCT(--('Данные 2st'!$Q$2:$Q$317=$A38),--ISNUMBER('Данные 2st'!$JA$2:$JA$317))</f>
        <v>7</v>
      </c>
      <c r="OM38">
        <f>SUMPRODUCT(--('Данные 2st'!$Q$2:$Q$317=$A38),--ISNUMBER('Данные 2st'!$JB$2:$JB$317))</f>
        <v>7</v>
      </c>
      <c r="ON38">
        <f>SUMPRODUCT(--('Данные 2st'!$Q$2:$Q$317=$A38),--ISNUMBER('Данные 2st'!$JC$2:$JC$317))</f>
        <v>7</v>
      </c>
      <c r="OO38">
        <f>SUMPRODUCT(--('Данные 2st'!$Q$2:$Q$317=$A38),--ISNUMBER('Данные 2st'!$JD$2:$JD$317))</f>
        <v>7</v>
      </c>
      <c r="OP38">
        <f>SUMPRODUCT(--('Данные 2st'!$Q$2:$Q$317=$A38),--ISNUMBER('Данные 2st'!$JE$2:$JE$317))</f>
        <v>7</v>
      </c>
      <c r="OQ38">
        <f>SUMPRODUCT(--('Данные 2st'!$Q$2:$Q$317=$A38),--ISNUMBER('Данные 2st'!$JF$2:$JF$317))</f>
        <v>7</v>
      </c>
      <c r="OR38">
        <f>SUMPRODUCT(--('Данные 2st'!$Q$2:$Q$317=$A38),--ISNUMBER('Данные 2st'!$JG$2:$JG$317))</f>
        <v>7</v>
      </c>
      <c r="OS38">
        <f>SUMPRODUCT(--('Данные 2st'!$Q$2:$Q$317=$A38),--ISNUMBER('Данные 2st'!$JH$2:$JH$317))</f>
        <v>7</v>
      </c>
      <c r="OT38">
        <f>SUMPRODUCT(--('Данные 2st'!$Q$2:$Q$317=$A38),--ISNUMBER('Данные 2st'!$JI$2:$JI$317))</f>
        <v>7</v>
      </c>
      <c r="OU38">
        <f>SUMPRODUCT(--('Данные 2st'!$Q$2:$Q$317=$A38),--ISNUMBER('Данные 2st'!$JJ$2:$JJ$317))</f>
        <v>7</v>
      </c>
      <c r="OV38">
        <f>SUMPRODUCT(--('Данные 2st'!$Q$2:$Q$317=$A38),--ISNUMBER('Данные 2st'!$JK$2:$JK$317))</f>
        <v>7</v>
      </c>
      <c r="OW38">
        <f>SUMPRODUCT(--('Данные 2st'!$Q$2:$Q$317=$A38),--ISNUMBER('Данные 2st'!$JL$2:$JL$317))</f>
        <v>7</v>
      </c>
      <c r="OX38">
        <f>SUMPRODUCT(--('Данные 2st'!$Q$2:$Q$317=$A38),--ISNUMBER('Данные 2st'!$JM$2:$JM$317))</f>
        <v>7</v>
      </c>
      <c r="OY38">
        <f>SUMPRODUCT(--('Данные 2st'!$Q$2:$Q$317=$A38),--ISNUMBER('Данные 2st'!$JP$2:$JP$317))</f>
        <v>7</v>
      </c>
      <c r="OZ38">
        <f>SUMPRODUCT(--('Данные 2st'!$Q$2:$Q$317=$A38),--ISNUMBER('Данные 2st'!$JQ$2:$JQ$317))</f>
        <v>7</v>
      </c>
      <c r="PA38">
        <f>SUMPRODUCT(--('Данные 2st'!$Q$2:$Q$317=$A38),--ISNUMBER('Данные 2st'!$JR$2:$JR$317))</f>
        <v>7</v>
      </c>
      <c r="PB38">
        <f>SUMPRODUCT(--('Данные 2st'!$Q$2:$Q$317=$A38),--ISNUMBER('Данные 2st'!$JS$2:$JS$317))</f>
        <v>7</v>
      </c>
      <c r="PC38">
        <f>SUMPRODUCT(--('Данные 2st'!$Q$2:$Q$317=$A38),--ISNUMBER('Данные 2st'!$JT$2:$JT$317))</f>
        <v>7</v>
      </c>
      <c r="PD38">
        <f>SUMPRODUCT(--('Данные 2st'!$Q$2:$Q$317=$A38),--ISNUMBER('Данные 2st'!$JU$2:$JU$317))</f>
        <v>7</v>
      </c>
      <c r="PE38">
        <f>SUMPRODUCT(--('Данные 2st'!$Q$2:$Q$317=$A38),--ISNUMBER('Данные 2st'!$JV$2:$JV$317))</f>
        <v>7</v>
      </c>
      <c r="PF38">
        <f>SUMPRODUCT(--('Данные 2st'!$Q$2:$Q$317=$A38),--ISNUMBER('Данные 2st'!$JW$2:$JW$317))</f>
        <v>7</v>
      </c>
      <c r="PG38">
        <f>SUMPRODUCT(--('Данные 2st'!$Q$2:$Q$317=$A38),--ISNUMBER('Данные 2st'!$KF$2:$KF$317))</f>
        <v>7</v>
      </c>
      <c r="PH38">
        <f>SUMPRODUCT(--('Данные 2st'!$Q$2:$Q$317=$A38),--ISNUMBER('Данные 2st'!$KG$2:$KG$317))</f>
        <v>7</v>
      </c>
      <c r="PI38">
        <f>SUMPRODUCT(--('Данные 2st'!$Q$2:$Q$317=$A38),--ISNUMBER('Данные 2st'!$KM$2:$KM$317))</f>
        <v>7</v>
      </c>
      <c r="PJ38">
        <f>SUMPRODUCT(--('Данные 2st'!$Q$2:$Q$317=$A38),--ISNUMBER('Данные 2st'!$KN$2:$KN$317))</f>
        <v>7</v>
      </c>
      <c r="PK38">
        <f>SUMPRODUCT(--('Данные 2st'!$Q$2:$Q$317=$A38),--ISNUMBER('Данные 2st'!$KO$2:$KO$317))</f>
        <v>7</v>
      </c>
      <c r="PL38">
        <f>SUMPRODUCT(--('Данные 2st'!$Q$2:$Q$317=$A38),--ISNUMBER('Данные 2st'!$KP$2:$KP$317))</f>
        <v>7</v>
      </c>
      <c r="PM38">
        <f>SUMPRODUCT(--('Данные 2st'!$Q$2:$Q$317=$A38),--ISNUMBER('Данные 2st'!$KQ$2:$KQ$317))</f>
        <v>7</v>
      </c>
      <c r="PN38">
        <f>SUMPRODUCT(--('Данные 2st'!$Q$2:$Q$317=$A38),--ISNUMBER('Данные 2st'!$KR$2:$KR$317))</f>
        <v>7</v>
      </c>
      <c r="PO38">
        <f>SUMPRODUCT(--('Данные 2st'!$Q$2:$Q$317=$A38),--ISNUMBER('Данные 2st'!$KS$2:$KS$317))</f>
        <v>7</v>
      </c>
      <c r="PP38">
        <f>SUMPRODUCT(--('Данные 2st'!$Q$2:$Q$317=$A38),--ISNUMBER('Данные 2st'!$KT$2:$KT$317))</f>
        <v>7</v>
      </c>
      <c r="PQ38">
        <f>SUMPRODUCT(--('Данные 2st'!$Q$2:$Q$317=$A38),--ISNUMBER('Данные 2st'!$KU$2:$KU$317))</f>
        <v>7</v>
      </c>
      <c r="PR38">
        <f>SUMPRODUCT(--('Данные 2st'!$Q$2:$Q$317=$A38),--ISNUMBER('Данные 2st'!$KV$2:$KV$317))</f>
        <v>7</v>
      </c>
      <c r="PS38">
        <f>SUMPRODUCT(--('Данные 2st'!$Q$2:$Q$317=$A38),--ISNUMBER('Данные 2st'!$KW$2:$KW$317))</f>
        <v>7</v>
      </c>
      <c r="PT38">
        <f>SUMPRODUCT(--('Данные 2st'!$Q$2:$Q$317=$A38),--ISNUMBER('Данные 2st'!$KX$2:$KX$317))</f>
        <v>7</v>
      </c>
      <c r="PU38">
        <f>SUMPRODUCT(--('Данные 2st'!$Q$2:$Q$317=$A38),--ISNUMBER('Данные 2st'!$KY$2:$KY$317))</f>
        <v>7</v>
      </c>
      <c r="PV38">
        <f>SUMPRODUCT(--('Данные 2st'!$Q$2:$Q$317=$A38),--ISNUMBER('Данные 2st'!$KZ$2:$KZ$317))</f>
        <v>7</v>
      </c>
      <c r="PW38">
        <f>SUMPRODUCT(--('Данные 2st'!$Q$2:$Q$317=$A38),--ISNUMBER('Данные 2st'!$LA$2:$LA$317))</f>
        <v>7</v>
      </c>
      <c r="PX38">
        <f>SUMPRODUCT(--('Данные 2st'!$Q$2:$Q$317=$A38),--ISNUMBER('Данные 2st'!$LB$2:$LB$317))</f>
        <v>7</v>
      </c>
      <c r="PY38">
        <f>SUMPRODUCT(--('Данные 2st'!$Q$2:$Q$317=$A38),--ISNUMBER('Данные 2st'!$LC$2:$LC$317))</f>
        <v>7</v>
      </c>
      <c r="PZ38">
        <f>SUMPRODUCT(--('Данные 2st'!$Q$2:$Q$317=$A38),--ISNUMBER('Данные 2st'!$LD$2:$LD$317))</f>
        <v>7</v>
      </c>
      <c r="QA38">
        <f>SUMPRODUCT(--('Данные 2st'!$Q$2:$Q$317=$A38),--ISNUMBER('Данные 2st'!$LE$2:$LE$317))</f>
        <v>7</v>
      </c>
      <c r="QB38">
        <f>SUMPRODUCT(--('Данные 2st'!$Q$2:$Q$317=$A38),--ISNUMBER('Данные 2st'!$LF$2:$LF$317))</f>
        <v>7</v>
      </c>
      <c r="QC38">
        <f>SUMPRODUCT(--('Данные 2st'!$Q$2:$Q$317=$A38),--ISNUMBER('Данные 2st'!$LG$2:$LG$317))</f>
        <v>7</v>
      </c>
      <c r="QD38">
        <f>SUMPRODUCT(--('Данные 2st'!$Q$2:$Q$317=$A38),--ISNUMBER('Данные 2st'!$LH$2:$LH$317))</f>
        <v>7</v>
      </c>
      <c r="QE38">
        <f>SUMPRODUCT(--('Данные 2st'!$Q$2:$Q$317=$A38),--ISNUMBER('Данные 2st'!$LJ$2:$LJ$317))</f>
        <v>7</v>
      </c>
      <c r="QF38">
        <f>SUMPRODUCT(--('Данные 2st'!$Q$2:$Q$317=$A38),--ISNUMBER('Данные 2st'!$LK$2:$LK$317))</f>
        <v>7</v>
      </c>
      <c r="QG38">
        <f>SUMPRODUCT(--('Данные 2st'!$Q$2:$Q$317=$A38),--ISNUMBER('Данные 2st'!$LL$2:$LL$317))</f>
        <v>7</v>
      </c>
      <c r="QH38">
        <f>SUMPRODUCT(--('Данные 2st'!$Q$2:$Q$317=$A38),--ISNUMBER('Данные 2st'!$LM$2:$LM$317))</f>
        <v>7</v>
      </c>
      <c r="QI38">
        <f>SUMPRODUCT(--('Данные 2st'!$Q$2:$Q$317=$A38),--ISNUMBER('Данные 2st'!$LN$2:$LN$317))</f>
        <v>7</v>
      </c>
      <c r="QJ38">
        <f>SUMPRODUCT(--('Данные 2st'!$Q$2:$Q$317=$A38),--ISNUMBER('Данные 2st'!$LO$2:$LO$317))</f>
        <v>7</v>
      </c>
      <c r="QK38">
        <f>SUMPRODUCT(--('Данные 2st'!$Q$2:$Q$317=$A38),--ISNUMBER('Данные 2st'!$LP$2:$LP$317))</f>
        <v>7</v>
      </c>
      <c r="QL38">
        <f>SUMPRODUCT(--('Данные 2st'!$Q$2:$Q$317=$A38),--ISNUMBER('Данные 2st'!$LQ$2:$LQ$317))</f>
        <v>7</v>
      </c>
      <c r="QM38">
        <f>SUMPRODUCT(--('Данные 2st'!$Q$2:$Q$317=$A38),--ISNUMBER('Данные 2st'!$LW$2:$LW$317))</f>
        <v>7</v>
      </c>
      <c r="QN38">
        <f>SUMPRODUCT(--('Данные 2st'!$Q$2:$Q$317=$A38),--ISNUMBER('Данные 2st'!$LX$2:$LX$317))</f>
        <v>7</v>
      </c>
      <c r="QO38">
        <f>SUMPRODUCT(--('Данные 2st'!$Q$2:$Q$317=$A38),--ISNUMBER('Данные 2st'!$LY$2:$LY$317))</f>
        <v>7</v>
      </c>
      <c r="QP38">
        <f>SUMPRODUCT(--('Данные 2st'!$Q$2:$Q$317=$A38),--ISNUMBER('Данные 2st'!$LZ$2:$LZ$317))</f>
        <v>7</v>
      </c>
      <c r="QQ38">
        <f>SUMPRODUCT(--('Данные 2st'!$Q$2:$Q$317=$A38),--ISNUMBER('Данные 2st'!$MB$2:$MB$317))</f>
        <v>7</v>
      </c>
      <c r="QR38">
        <f>SUMPRODUCT(--('Данные 2st'!$Q$2:$Q$317=$A38),--ISNUMBER('Данные 2st'!$MG$2:$MG$317))</f>
        <v>5</v>
      </c>
      <c r="QS38">
        <f>SUMPRODUCT(--('Данные 2st'!$Q$2:$Q$317=$A38),--ISNUMBER('Данные 2st'!$MH$2:$MH$317))</f>
        <v>5</v>
      </c>
      <c r="QT38">
        <f>SUMPRODUCT(--('Данные 2st'!$Q$2:$Q$317=$A38),--ISNUMBER('Данные 2st'!$MI$2:$MI$317))</f>
        <v>7</v>
      </c>
      <c r="QU38">
        <f>SUMPRODUCT(--('Данные 2st'!$Q$2:$Q$317=$A38),--ISNUMBER('Данные 2st'!$MJ$2:$MJ$317))</f>
        <v>7</v>
      </c>
      <c r="QV38">
        <f>SUMPRODUCT(--('Данные 2st'!$Q$2:$Q$317=$A38),--ISNUMBER('Данные 2st'!$MK$2:$MK$317))</f>
        <v>5</v>
      </c>
      <c r="QW38">
        <f>SUMPRODUCT(--('Данные 2st'!$Q$2:$Q$317=$A38),--ISNUMBER('Данные 2st'!$MM$2:$MM$317))</f>
        <v>7</v>
      </c>
      <c r="QX38">
        <f>SUMPRODUCT(--('Данные 2st'!$Q$2:$Q$317=$A38),--ISNUMBER('Данные 2st'!$MQ$2:$MQ$317))</f>
        <v>0</v>
      </c>
      <c r="QY38">
        <f>SUMPRODUCT(--('Данные 2st'!$Q$2:$Q$317=$A38),--ISNUMBER('Данные 2st'!$MR$2:$MR$317))</f>
        <v>0</v>
      </c>
      <c r="QZ38">
        <f>SUMPRODUCT(--('Данные 2st'!$Q$2:$Q$317=$A38),--ISNUMBER('Данные 2st'!$MS$2:$MS$317))</f>
        <v>0</v>
      </c>
      <c r="RA38">
        <f>SUMPRODUCT(--('Данные 2st'!$Q$2:$Q$317=$A38),--ISNUMBER('Данные 2st'!$MT$2:$MT$317))</f>
        <v>0</v>
      </c>
      <c r="RB38">
        <f>SUMPRODUCT(--('Данные 2st'!$Q$2:$Q$317=$A38),--ISNUMBER('Данные 2st'!$MU$2:$MU$317))</f>
        <v>0</v>
      </c>
      <c r="RC38">
        <f>SUMPRODUCT(--('Данные 2st'!$Q$2:$Q$317=$A38),--ISNUMBER('Данные 2st'!$MV$2:$MV$317))</f>
        <v>0</v>
      </c>
      <c r="RD38">
        <f>SUMPRODUCT(--('Данные 2st'!$Q$2:$Q$317=$A38),--ISNUMBER('Данные 2st'!$MW$2:$MW$317))</f>
        <v>0</v>
      </c>
      <c r="RE38">
        <f>SUMPRODUCT(--('Данные 2st'!$Q$2:$Q$317=$A38),--ISNUMBER('Данные 2st'!$MX$2:$MX$317))</f>
        <v>0</v>
      </c>
      <c r="RF38">
        <f>SUMPRODUCT(--('Данные 2st'!$Q$2:$Q$317=$A38),--ISNUMBER('Данные 2st'!$MY$2:$MY$317))</f>
        <v>0</v>
      </c>
      <c r="RG38">
        <f>SUMPRODUCT(--('Данные 2st'!$Q$2:$Q$317=$A38),--ISNUMBER('Данные 2st'!$MZ$2:$MZ$317))</f>
        <v>0</v>
      </c>
      <c r="RH38">
        <f>SUMPRODUCT(--('Данные 2st'!$Q$2:$Q$317=$A38),--ISNUMBER('Данные 2st'!$NA$2:$NA$317))</f>
        <v>0</v>
      </c>
      <c r="RI38">
        <f>SUMPRODUCT(--('Данные 2st'!$Q$2:$Q$317=$A38),--ISNUMBER('Данные 2st'!$NB$2:$NB$317))</f>
        <v>0</v>
      </c>
      <c r="RJ38">
        <f>SUMPRODUCT(--('Данные 2st'!$Q$2:$Q$317=$A38),--ISNUMBER('Данные 2st'!$NC$2:$NC$317))</f>
        <v>0</v>
      </c>
      <c r="RK38">
        <f>SUMPRODUCT(--('Данные 2st'!$Q$2:$Q$317=$A38),--ISNUMBER('Данные 2st'!$ND$2:$ND$317))</f>
        <v>0</v>
      </c>
      <c r="RL38">
        <f>SUMPRODUCT(--('Данные 2st'!$Q$2:$Q$317=$A38),--ISNUMBER('Данные 2st'!$NE$2:$NE$317))</f>
        <v>0</v>
      </c>
      <c r="RM38">
        <f>SUMPRODUCT(--('Данные 2st'!$Q$2:$Q$317=$A38),--ISNUMBER('Данные 2st'!$NF$2:$NF$317))</f>
        <v>0</v>
      </c>
      <c r="RN38">
        <f>SUMPRODUCT(--('Данные 2st'!$Q$2:$Q$317=$A38),--ISNUMBER('Данные 2st'!$NG$2:$NG$317))</f>
        <v>0</v>
      </c>
      <c r="RO38">
        <f>SUMPRODUCT(--('Данные 2st'!$Q$2:$Q$317=$A38),--ISNUMBER('Данные 2st'!$NH$2:$NH$317))</f>
        <v>0</v>
      </c>
      <c r="RP38">
        <f>SUMPRODUCT(--('Данные 2st'!$Q$2:$Q$317=$A38),--ISNUMBER('Данные 2st'!$NJ$2:$NJ$317))</f>
        <v>0</v>
      </c>
      <c r="RQ38">
        <f>SUMPRODUCT(--('Данные 2st'!$Q$2:$Q$317=$A38),--ISNUMBER('Данные 2st'!$NK$2:$NK$317))</f>
        <v>0</v>
      </c>
      <c r="RR38">
        <f>SUMPRODUCT(--('Данные 2st'!$Q$2:$Q$317=$A38),--ISNUMBER('Данные 2st'!$NM$2:$NM$317))</f>
        <v>0</v>
      </c>
      <c r="RS38">
        <f>SUMPRODUCT(--('Данные 2st'!$Q$2:$Q$317=$A38),--ISNUMBER('Данные 2st'!$NN$2:$NN$317))</f>
        <v>0</v>
      </c>
      <c r="RT38">
        <f>SUMPRODUCT(--('Данные 2st'!$Q$2:$Q$317=$A38),--ISNUMBER('Данные 2st'!$NO$2:$NO$317))</f>
        <v>0</v>
      </c>
      <c r="RU38">
        <f>SUMPRODUCT(--('Данные 2st'!$Q$2:$Q$317=$A38),--ISNUMBER('Данные 2st'!$NP$2:$NP$317))</f>
        <v>0</v>
      </c>
      <c r="RV38">
        <f>SUMPRODUCT(--('Данные 2st'!$Q$2:$Q$317=$A38),--ISNUMBER('Данные 2st'!$NQ$2:$NQ$317))</f>
        <v>0</v>
      </c>
      <c r="RW38">
        <f>SUMPRODUCT(--('Данные 2st'!$Q$2:$Q$317=$A38),--ISNUMBER('Данные 2st'!$NR$2:$NR$317))</f>
        <v>0</v>
      </c>
      <c r="RX38">
        <f>SUMPRODUCT(--('Данные 2st'!$Q$2:$Q$317=$A38),--ISNUMBER('Данные 2st'!$NS$2:$NS$317))</f>
        <v>0</v>
      </c>
      <c r="RY38">
        <f>SUMPRODUCT(--('Данные 2st'!$Q$2:$Q$317=$A38),--ISNUMBER('Данные 2st'!$NT$2:$NT$317))</f>
        <v>0</v>
      </c>
      <c r="RZ38">
        <f>SUMPRODUCT(--('Данные 2st'!$Q$2:$Q$317=$A38),--ISNUMBER('Данные 2st'!$OK$2:$OK$317))</f>
        <v>7</v>
      </c>
      <c r="SA38">
        <f>SUMPRODUCT(--('Данные 2st'!$Q$2:$Q$317=$A38),--ISNUMBER('Данные 2st'!$OL$2:$OL$317))</f>
        <v>7</v>
      </c>
      <c r="SB38">
        <f>SUMPRODUCT(--('Данные 2st'!$Q$2:$Q$317=$A38),--ISNUMBER('Данные 2st'!$ON$2:$ON$317))</f>
        <v>7</v>
      </c>
      <c r="SC38">
        <f>SUMPRODUCT(--('Данные 2st'!$Q$2:$Q$317=$A38),--ISNUMBER('Данные 2st'!$OO$2:$OO$317))</f>
        <v>7</v>
      </c>
      <c r="SD38">
        <f>SUMPRODUCT(--('Данные 2st'!$Q$2:$Q$317=$A38),--ISNUMBER('Данные 2st'!$OP$2:$OP$317))</f>
        <v>7</v>
      </c>
      <c r="SE38">
        <f>SUMPRODUCT(--('Данные 2st'!$Q$2:$Q$317=$A38),--ISNUMBER('Данные 2st'!$OQ$2:$OQ$317))</f>
        <v>7</v>
      </c>
      <c r="SF38">
        <f>SUMPRODUCT(--('Данные 2st'!$Q$2:$Q$317=$A38),--ISNUMBER('Данные 2st'!$OS$2:$OS$317))</f>
        <v>7</v>
      </c>
      <c r="SG38">
        <f>SUMPRODUCT(--('Данные 2st'!$Q$2:$Q$317=$A38),--ISNUMBER('Данные 2st'!$OT$2:$OT$317))</f>
        <v>7</v>
      </c>
      <c r="SH38">
        <f>SUMPRODUCT(--('Данные 2st'!$Q$2:$Q$317=$A38),--ISNUMBER('Данные 2st'!$OU$2:$OU$317))</f>
        <v>7</v>
      </c>
      <c r="SI38">
        <f>SUMPRODUCT(--('Данные 2st'!$Q$2:$Q$317=$A38),--ISNUMBER('Данные 2st'!$OV$2:$OV$317))</f>
        <v>7</v>
      </c>
      <c r="SJ38">
        <f>SUMPRODUCT(--('Данные 2st'!$Q$2:$Q$317=$A38),--ISNUMBER('Данные 2st'!$OX$2:$OX$317))</f>
        <v>7</v>
      </c>
      <c r="SK38">
        <f>SUMPRODUCT(--('Данные 2st'!$Q$2:$Q$317=$A38),--ISNUMBER('Данные 2st'!$OY$2:$OY$317))</f>
        <v>7</v>
      </c>
      <c r="SL38">
        <f>SUMPRODUCT(--('Данные 2st'!$Q$2:$Q$317=$A38),--ISNUMBER('Данные 2st'!$OZ$2:$OZ$317))</f>
        <v>7</v>
      </c>
      <c r="SM38">
        <f>SUMPRODUCT(--('Данные 2st'!$Q$2:$Q$317=$A38),--ISNUMBER('Данные 2st'!$PA$2:$PA$317))</f>
        <v>7</v>
      </c>
      <c r="SN38">
        <f>SUMPRODUCT(--('Данные 2st'!$Q$2:$Q$317=$A38),--ISNUMBER('Данные 2st'!$PC$2:$PC$317))</f>
        <v>7</v>
      </c>
      <c r="SO38">
        <f>SUMPRODUCT(--('Данные 2st'!$Q$2:$Q$317=$A38),--ISNUMBER('Данные 2st'!$PD$2:$PD$317))</f>
        <v>7</v>
      </c>
      <c r="SP38">
        <f>SUMPRODUCT(--('Данные 2st'!$Q$2:$Q$317=$A38),--ISNUMBER('Данные 2st'!$PF$2:$PF$317))</f>
        <v>7</v>
      </c>
      <c r="SQ38">
        <f>SUMPRODUCT(--('Данные 2st'!$Q$2:$Q$317=$A38),--ISNUMBER('Данные 2st'!$PG$2:$PG$317))</f>
        <v>7</v>
      </c>
      <c r="SR38">
        <f>SUMPRODUCT(--('Данные 2st'!$Q$2:$Q$317=$A38),--ISNUMBER('Данные 2st'!$PH$2:$PH$317))</f>
        <v>7</v>
      </c>
      <c r="SS38">
        <f>SUMPRODUCT(--('Данные 2st'!$Q$2:$Q$317=$A38),--ISNUMBER('Данные 2st'!$PI$2:$PI$317))</f>
        <v>7</v>
      </c>
      <c r="ST38">
        <f>SUMPRODUCT(--('Данные 2st'!$Q$2:$Q$317=$A38),--ISNUMBER('Данные 2st'!$PJ$2:$PJ$317))</f>
        <v>7</v>
      </c>
      <c r="SU38">
        <f>SUMPRODUCT(--('Данные 2st'!$Q$2:$Q$317=$A38),--ISNUMBER('Данные 2st'!$PK$2:$PK$317))</f>
        <v>7</v>
      </c>
      <c r="SV38">
        <f>SUMPRODUCT(--('Данные 2st'!$Q$2:$Q$317=$A38),--ISNUMBER('Данные 2st'!$PL$2:$PL$317))</f>
        <v>7</v>
      </c>
      <c r="SW38">
        <f>SUMPRODUCT(--('Данные 2st'!$Q$2:$Q$317=$A38),--ISNUMBER('Данные 2st'!$PM$2:$PM$317))</f>
        <v>7</v>
      </c>
      <c r="SX38">
        <f>SUMPRODUCT(--('Данные 2st'!$Q$2:$Q$317=$A38),--ISNUMBER('Данные 2st'!$PN$2:$PN$317))</f>
        <v>7</v>
      </c>
      <c r="SY38">
        <f>SUMPRODUCT(--('Данные 2st'!$Q$2:$Q$317=$A38),--ISNUMBER('Данные 2st'!$PO$2:$PO$317))</f>
        <v>7</v>
      </c>
      <c r="SZ38">
        <f>SUMPRODUCT(--('Данные 2st'!$Q$2:$Q$317=$A38),--ISNUMBER('Данные 2st'!$PP$2:$PP$317))</f>
        <v>7</v>
      </c>
      <c r="TA38">
        <f>SUMPRODUCT(--('Данные 2st'!$Q$2:$Q$317=$A38),--ISNUMBER('Данные 2st'!$PQ$2:$PQ$317))</f>
        <v>7</v>
      </c>
      <c r="TB38">
        <f>SUMPRODUCT(--('Данные 2st'!$Q$2:$Q$317=$A38),--ISNUMBER('Данные 2st'!$PR$2:$PR$317))</f>
        <v>7</v>
      </c>
      <c r="TC38">
        <f>SUMPRODUCT(--('Данные 2st'!$Q$2:$Q$317=$A38),--ISNUMBER('Данные 2st'!$PS$2:$PS$317))</f>
        <v>7</v>
      </c>
      <c r="TD38">
        <f>SUMPRODUCT(--('Данные 2st'!$Q$2:$Q$317=$A38),--ISNUMBER('Данные 2st'!$PT$2:$PT$317))</f>
        <v>7</v>
      </c>
      <c r="TE38">
        <f>SUMPRODUCT(--('Данные 2st'!$Q$2:$Q$317=$A38),--ISNUMBER('Данные 2st'!$PU$2:$PU$317))</f>
        <v>7</v>
      </c>
      <c r="TF38">
        <f>SUMPRODUCT(--('Данные 2st'!$Q$2:$Q$317=$A38),--ISNUMBER('Данные 2st'!$PX$2:$PX$317))</f>
        <v>7</v>
      </c>
      <c r="TG38">
        <f>SUMPRODUCT(--('Данные 2st'!$Q$2:$Q$317=$A38),--ISNUMBER('Данные 2st'!$PY$2:$PY$317))</f>
        <v>7</v>
      </c>
      <c r="TH38">
        <f>SUMPRODUCT(--('Данные 2st'!$Q$2:$Q$317=$A38),--ISNUMBER('Данные 2st'!$PZ$2:$PZ$317))</f>
        <v>7</v>
      </c>
      <c r="TI38">
        <f>SUMPRODUCT(--('Данные 2st'!$Q$2:$Q$317=$A38),--ISNUMBER('Данные 2st'!$QA$2:$QA$317))</f>
        <v>7</v>
      </c>
      <c r="TJ38">
        <f>SUMPRODUCT(--('Данные 2st'!$Q$2:$Q$317=$A38),--ISNUMBER('Данные 2st'!$QB$2:$QB$317))</f>
        <v>7</v>
      </c>
      <c r="TK38">
        <f>SUMPRODUCT(--('Данные 2st'!$Q$2:$Q$317=$A38),--ISNUMBER('Данные 2st'!$QC$2:$QC$317))</f>
        <v>7</v>
      </c>
      <c r="TL38">
        <f>SUMPRODUCT(--('Данные 2st'!$Q$2:$Q$317=$A38),--ISNUMBER('Данные 2st'!$QD$2:$QD$317))</f>
        <v>7</v>
      </c>
      <c r="TM38">
        <f>SUMPRODUCT(--('Данные 2st'!$Q$2:$Q$317=$A38),--ISNUMBER('Данные 2st'!$QE$2:$QE$317))</f>
        <v>7</v>
      </c>
      <c r="TN38">
        <f>SUMPRODUCT(--('Данные 2st'!$Q$2:$Q$317=$A38),--ISNUMBER('Данные 2st'!$QF$2:$QF$317))</f>
        <v>7</v>
      </c>
      <c r="TO38">
        <f>SUMPRODUCT(--('Данные 2st'!$Q$2:$Q$317=$A38),--ISNUMBER('Данные 2st'!$QG$2:$QG$317))</f>
        <v>7</v>
      </c>
      <c r="TP38">
        <f>SUMPRODUCT(--('Данные 2st'!$Q$2:$Q$317=$A38),--ISNUMBER('Данные 2st'!$QH$2:$QH$317))</f>
        <v>7</v>
      </c>
      <c r="TQ38">
        <f>SUMPRODUCT(--('Данные 2st'!$Q$2:$Q$317=$A38),--ISNUMBER('Данные 2st'!$QI$2:$QI$317))</f>
        <v>7</v>
      </c>
      <c r="TR38">
        <f>SUMPRODUCT(--('Данные 2st'!$Q$2:$Q$317=$A38),--ISNUMBER('Данные 2st'!$QJ$2:$QJ$317))</f>
        <v>7</v>
      </c>
      <c r="TS38">
        <f>SUMPRODUCT(--('Данные 2st'!$Q$2:$Q$317=$A38),--ISNUMBER('Данные 2st'!$QK$2:$QK$317))</f>
        <v>7</v>
      </c>
      <c r="TT38">
        <f>SUMPRODUCT(--('Данные 2st'!$Q$2:$Q$317=$A38),--ISNUMBER('Данные 2st'!$QL$2:$QL$317))</f>
        <v>7</v>
      </c>
      <c r="TU38">
        <f>SUMPRODUCT(--('Данные 2st'!$Q$2:$Q$317=$A38),--ISNUMBER('Данные 2st'!$QM$2:$QM$317))</f>
        <v>7</v>
      </c>
      <c r="TV38">
        <f>SUMPRODUCT(--('Данные 2st'!$Q$2:$Q$317=$A38),--ISNUMBER('Данные 2st'!$QN$2:$QN$317))</f>
        <v>7</v>
      </c>
      <c r="TW38">
        <f>SUMPRODUCT(--('Данные 2st'!$Q$2:$Q$317=$A38),--ISNUMBER('Данные 2st'!$QQ$2:$QQ$317))</f>
        <v>7</v>
      </c>
      <c r="TX38">
        <f>SUMPRODUCT(--('Данные 2st'!$Q$2:$Q$317=$A38),--ISNUMBER('Данные 2st'!$QS$2:$QS$317))</f>
        <v>7</v>
      </c>
      <c r="TY38">
        <f>SUMPRODUCT(--('Данные 2st'!$Q$2:$Q$317=$A38),--ISNUMBER('Данные 2st'!$QT$2:$QT$317))</f>
        <v>7</v>
      </c>
    </row>
    <row r="39" spans="1:545" ht="32" customHeight="1">
      <c r="A39" s="11" t="str">
        <f>'По размерам'!A39</f>
        <v>225/60R17</v>
      </c>
      <c r="G39">
        <f>SUMPRODUCT(--('Данные 1st'!$S$2:$S$317=$A39),--ISNUMBER('Данные 1st'!$AE$2:$AE$317))</f>
        <v>3</v>
      </c>
      <c r="H39">
        <f>SUMPRODUCT(--('Данные 1st'!$S$2:$S$317=$A39),--ISNUMBER('Данные 1st'!$AF$2:$AF$317))</f>
        <v>3</v>
      </c>
      <c r="I39">
        <f>SUMPRODUCT(--('Данные 1st'!$S$2:$S$317=$A39),--ISNUMBER('Данные 1st'!$AJ$2:$AJ$317))</f>
        <v>3</v>
      </c>
      <c r="J39">
        <f>SUMPRODUCT(--('Данные 1st'!$S$2:$S$317=$A39),--ISNUMBER('Данные 1st'!$AL$2:$AL$317))</f>
        <v>3</v>
      </c>
      <c r="K39">
        <f>SUMPRODUCT(--('Данные 1st'!$S$2:$S$317=$A39),--ISNUMBER('Данные 1st'!$AR$2:$AR$317))</f>
        <v>3</v>
      </c>
      <c r="L39">
        <f>SUMPRODUCT(--('Данные 1st'!$S$2:$S$317=$A39),--ISNUMBER('Данные 1st'!$AS$2:$AS$317))</f>
        <v>3</v>
      </c>
      <c r="M39">
        <f>SUMPRODUCT(--('Данные 1st'!$S$2:$S$317=$A39),--ISNUMBER('Данные 1st'!$AY$2:$AY$317))</f>
        <v>3</v>
      </c>
      <c r="N39">
        <f>SUMPRODUCT(--('Данные 1st'!$S$2:$S$317=$A39),--ISNUMBER('Данные 1st'!$AZ$2:$AZ$317))</f>
        <v>3</v>
      </c>
      <c r="O39">
        <f>SUMPRODUCT(--('Данные 1st'!$S$2:$S$317=$A39),--ISNUMBER('Данные 1st'!$BF$2:$BF$317))</f>
        <v>3</v>
      </c>
      <c r="P39">
        <f>SUMPRODUCT(--('Данные 1st'!$S$2:$S$317=$A39),--ISNUMBER('Данные 1st'!$BG$2:$BG$317))</f>
        <v>3</v>
      </c>
      <c r="Q39">
        <f>SUMPRODUCT(--('Данные 1st'!$S$2:$S$317=$A39),--ISNUMBER('Данные 1st'!$BM$2:$BM$317))</f>
        <v>0</v>
      </c>
      <c r="R39">
        <f>SUMPRODUCT(--('Данные 1st'!$S$2:$S$317=$A39),--ISNUMBER('Данные 1st'!$BN$2:$BN$317))</f>
        <v>3</v>
      </c>
      <c r="S39">
        <f>SUMPRODUCT(--('Данные 1st'!$S$2:$S$317=$A39),--ISNUMBER('Данные 1st'!$BT$2:$BT$317))</f>
        <v>3</v>
      </c>
      <c r="T39">
        <f>SUMPRODUCT(--('Данные 1st'!$S$2:$S$317=$A39),--ISNUMBER('Данные 1st'!$BU$2:$BU$317))</f>
        <v>3</v>
      </c>
      <c r="U39">
        <f>SUMPRODUCT(--('Данные 1st'!$S$2:$S$317=$A39),--ISNUMBER('Данные 1st'!$BW$2:$BW$317))</f>
        <v>3</v>
      </c>
      <c r="V39">
        <f>SUMPRODUCT(--('Данные 1st'!$S$2:$S$317=$A39),--ISNUMBER('Данные 1st'!$BX$2:$BX$317))</f>
        <v>3</v>
      </c>
      <c r="W39">
        <f>SUMPRODUCT(--('Данные 1st'!$S$2:$S$317=$A39),--ISNUMBER('Данные 1st'!$BZ$2:$BZ$317))</f>
        <v>3</v>
      </c>
      <c r="X39">
        <f>SUMPRODUCT(--('Данные 1st'!$S$2:$S$317=$A39),--ISNUMBER('Данные 1st'!$CA$2:$CA$317))</f>
        <v>3</v>
      </c>
      <c r="Y39">
        <f>SUMPRODUCT(--('Данные 1st'!$S$2:$S$317=$A39),--ISNUMBER('Данные 1st'!$CD$2:$CD$317))</f>
        <v>3</v>
      </c>
      <c r="Z39">
        <f>SUMPRODUCT(--('Данные 1st'!$S$2:$S$317=$A39),--ISNUMBER('Данные 1st'!$CF$2:$CF$317))</f>
        <v>3</v>
      </c>
      <c r="AA39">
        <f>SUMPRODUCT(--('Данные 1st'!$S$2:$S$317=$A39),--ISNUMBER('Данные 1st'!$CI$2:$CI$317))</f>
        <v>3</v>
      </c>
      <c r="AB39">
        <f>SUMPRODUCT(--('Данные 1st'!$S$2:$S$317=$A39),--ISNUMBER('Данные 1st'!$CJ$2:$CJ$317))</f>
        <v>3</v>
      </c>
      <c r="AC39">
        <f>SUMPRODUCT(--('Данные 1st'!$S$2:$S$317=$A39),--ISNUMBER('Данные 1st'!$CK$2:$CK$317))</f>
        <v>3</v>
      </c>
      <c r="AD39">
        <f>SUMPRODUCT(--('Данные 1st'!$S$2:$S$317=$A39),--ISNUMBER('Данные 1st'!$CL$2:$CL$317))</f>
        <v>3</v>
      </c>
      <c r="AE39">
        <f>SUMPRODUCT(--('Данные 1st'!$S$2:$S$317=$A39),--ISNUMBER('Данные 1st'!$CM$2:$CM$317))</f>
        <v>3</v>
      </c>
      <c r="AF39">
        <f>SUMPRODUCT(--('Данные 1st'!$S$2:$S$317=$A39),--ISNUMBER('Данные 1st'!$CT$2:$CT$317))</f>
        <v>3</v>
      </c>
      <c r="AG39">
        <f>SUMPRODUCT(--('Данные 1st'!$S$2:$S$317=$A39),--ISNUMBER('Данные 1st'!$CU$2:$CU$317))</f>
        <v>3</v>
      </c>
      <c r="AH39">
        <f>SUMPRODUCT(--('Данные 1st'!$S$2:$S$317=$A39),--ISNUMBER('Данные 1st'!$CV$2:$CV$317))</f>
        <v>3</v>
      </c>
      <c r="AI39">
        <f>SUMPRODUCT(--('Данные 1st'!$S$2:$S$317=$A39),--ISNUMBER('Данные 1st'!$CW$2:$CW$317))</f>
        <v>3</v>
      </c>
      <c r="AJ39">
        <f>SUMPRODUCT(--('Данные 1st'!$S$2:$S$317=$A39),--ISNUMBER('Данные 1st'!$CX$2:$CX$317))</f>
        <v>3</v>
      </c>
      <c r="AK39">
        <f>SUMPRODUCT(--('Данные 1st'!$S$2:$S$317=$A39),--ISNUMBER('Данные 1st'!$CZ$2:$CZ$317))</f>
        <v>1</v>
      </c>
      <c r="AL39">
        <f>SUMPRODUCT(--('Данные 1st'!$S$2:$S$317=$A39),--ISNUMBER('Данные 1st'!$DA$2:$DA$317))</f>
        <v>1</v>
      </c>
      <c r="AM39">
        <f>SUMPRODUCT(--('Данные 1st'!$S$2:$S$317=$A39),--ISNUMBER('Данные 1st'!$DB$2:$DB$317))</f>
        <v>1</v>
      </c>
      <c r="AN39">
        <f>SUMPRODUCT(--('Данные 1st'!$S$2:$S$317=$A39),--ISNUMBER('Данные 1st'!$DC$2:$DC$317))</f>
        <v>1</v>
      </c>
      <c r="AO39">
        <f>SUMPRODUCT(--('Данные 1st'!$S$2:$S$317=$A39),--ISNUMBER('Данные 1st'!$DD$2:$DD$317))</f>
        <v>3</v>
      </c>
      <c r="AP39">
        <f>SUMPRODUCT(--('Данные 1st'!$S$2:$S$317=$A39),--ISNUMBER('Данные 1st'!$DF$2:$DF$317))</f>
        <v>3</v>
      </c>
      <c r="AQ39">
        <f>SUMPRODUCT(--('Данные 1st'!$S$2:$S$317=$A39),--ISNUMBER('Данные 1st'!$DG$2:$DG$317))</f>
        <v>3</v>
      </c>
      <c r="AR39">
        <f>SUMPRODUCT(--('Данные 1st'!$S$2:$S$317=$A39),--ISNUMBER('Данные 1st'!$DH$2:$DH$317))</f>
        <v>3</v>
      </c>
      <c r="AS39">
        <f>SUMPRODUCT(--('Данные 1st'!$S$2:$S$317=$A39),--ISNUMBER('Данные 1st'!$DI$2:$DI$317))</f>
        <v>3</v>
      </c>
      <c r="AT39">
        <f>SUMPRODUCT(--('Данные 1st'!$S$2:$S$317=$A39),--ISNUMBER('Данные 1st'!$DJ$2:$DJ$317))</f>
        <v>3</v>
      </c>
      <c r="AU39">
        <f>SUMPRODUCT(--('Данные 1st'!$S$2:$S$317=$A39),--ISNUMBER('Данные 1st'!$DL$2:$DL$317))</f>
        <v>3</v>
      </c>
      <c r="AV39">
        <f>SUMPRODUCT(--('Данные 1st'!$S$2:$S$317=$A39),--ISNUMBER('Данные 1st'!$DM$2:$DM$317))</f>
        <v>3</v>
      </c>
      <c r="AW39">
        <f>SUMPRODUCT(--('Данные 1st'!$S$2:$S$317=$A39),--ISNUMBER('Данные 1st'!$DN$2:$DN$317))</f>
        <v>3</v>
      </c>
      <c r="AX39">
        <f>SUMPRODUCT(--('Данные 1st'!$S$2:$S$317=$A39),--ISNUMBER('Данные 1st'!$DO$2:$DO$317))</f>
        <v>3</v>
      </c>
      <c r="AY39">
        <f>SUMPRODUCT(--('Данные 1st'!$S$2:$S$317=$A39),--ISNUMBER('Данные 1st'!$DP$2:$DP$317))</f>
        <v>3</v>
      </c>
      <c r="AZ39">
        <f>SUMPRODUCT(--('Данные 1st'!$S$2:$S$317=$A39),--ISNUMBER('Данные 1st'!$DR$2:$DR$317))</f>
        <v>0</v>
      </c>
      <c r="BA39">
        <f>SUMPRODUCT(--('Данные 1st'!$S$2:$S$317=$A39),--ISNUMBER('Данные 1st'!$DS$2:$DS$317))</f>
        <v>0</v>
      </c>
      <c r="BB39">
        <f>SUMPRODUCT(--('Данные 1st'!$S$2:$S$317=$A39),--ISNUMBER('Данные 1st'!$DT$2:$DT$317))</f>
        <v>0</v>
      </c>
      <c r="BC39">
        <f>SUMPRODUCT(--('Данные 1st'!$S$2:$S$317=$A39),--ISNUMBER('Данные 1st'!$DU$2:$DU$317))</f>
        <v>0</v>
      </c>
      <c r="BD39">
        <f>SUMPRODUCT(--('Данные 1st'!$S$2:$S$317=$A39),--ISNUMBER('Данные 1st'!$DV$2:$DV$317))</f>
        <v>0</v>
      </c>
      <c r="BE39">
        <f>SUMPRODUCT(--('Данные 1st'!$S$2:$S$317=$A39),--ISNUMBER('Данные 1st'!$DX$2:$DX$317))</f>
        <v>3</v>
      </c>
      <c r="BF39">
        <f>SUMPRODUCT(--('Данные 1st'!$S$2:$S$317=$A39),--ISNUMBER('Данные 1st'!$EA$2:$EA$317))</f>
        <v>3</v>
      </c>
      <c r="BG39">
        <f>SUMPRODUCT(--('Данные 1st'!$S$2:$S$317=$A39),--ISNUMBER('Данные 1st'!$EB$2:$EB$317))</f>
        <v>3</v>
      </c>
      <c r="BH39">
        <f>SUMPRODUCT(--('Данные 1st'!$S$2:$S$317=$A39),--ISNUMBER('Данные 1st'!$ED$2:$ED$317))</f>
        <v>3</v>
      </c>
      <c r="BI39">
        <f>SUMPRODUCT(--('Данные 1st'!$S$2:$S$317=$A39),--ISNUMBER('Данные 1st'!$EE$2:$EE$317))</f>
        <v>3</v>
      </c>
      <c r="BJ39">
        <f>SUMPRODUCT(--('Данные 1st'!$S$2:$S$317=$A39),--ISNUMBER('Данные 1st'!$EG$2:$EG$317))</f>
        <v>3</v>
      </c>
      <c r="BK39">
        <f>SUMPRODUCT(--('Данные 1st'!$S$2:$S$317=$A39),--ISNUMBER('Данные 1st'!$EH$2:$EH$317))</f>
        <v>3</v>
      </c>
      <c r="BL39">
        <f>SUMPRODUCT(--('Данные 1st'!$S$2:$S$317=$A39),--ISNUMBER('Данные 1st'!$EJ$2:$EJ$317))</f>
        <v>3</v>
      </c>
      <c r="BM39">
        <f>SUMPRODUCT(--('Данные 1st'!$S$2:$S$317=$A39),--ISNUMBER('Данные 1st'!$EK$2:$EK$317))</f>
        <v>3</v>
      </c>
      <c r="BN39">
        <f>SUMPRODUCT(--('Данные 1st'!$S$2:$S$317=$A39),--ISNUMBER('Данные 1st'!$EN$2:$EN$317))</f>
        <v>3</v>
      </c>
      <c r="BO39">
        <f>SUMPRODUCT(--('Данные 1st'!$S$2:$S$317=$A39),--ISNUMBER('Данные 1st'!$EQ$2:$EQ$317))</f>
        <v>3</v>
      </c>
      <c r="BP39">
        <f>SUMPRODUCT(--('Данные 1st'!$S$2:$S$317=$A39),--ISNUMBER('Данные 1st'!$ER$2:$ER$317))</f>
        <v>3</v>
      </c>
      <c r="BQ39">
        <f>SUMPRODUCT(--('Данные 1st'!$S$2:$S$317=$A39),--ISNUMBER('Данные 1st'!$ES$2:$ES$317))</f>
        <v>3</v>
      </c>
      <c r="BR39">
        <f>SUMPRODUCT(--('Данные 1st'!$S$2:$S$317=$A39),--ISNUMBER('Данные 1st'!$ET$2:$ET$317))</f>
        <v>3</v>
      </c>
      <c r="BS39">
        <f>SUMPRODUCT(--('Данные 1st'!$S$2:$S$317=$A39),--ISNUMBER('Данные 1st'!$EU$2:$EU$317))</f>
        <v>3</v>
      </c>
      <c r="BT39">
        <f>SUMPRODUCT(--('Данные 1st'!$S$2:$S$317=$A39),--ISNUMBER('Данные 1st'!$EV$2:$EV$317))</f>
        <v>3</v>
      </c>
      <c r="BU39">
        <f>SUMPRODUCT(--('Данные 1st'!$S$2:$S$317=$A39),--ISNUMBER('Данные 1st'!$EX$2:$EX$317))</f>
        <v>3</v>
      </c>
      <c r="BV39">
        <f>SUMPRODUCT(--('Данные 1st'!$S$2:$S$317=$A39),--ISNUMBER('Данные 1st'!$EY$2:$EY$317))</f>
        <v>3</v>
      </c>
      <c r="BW39">
        <f>SUMPRODUCT(--('Данные 1st'!$S$2:$S$317=$A39),--ISNUMBER('Данные 1st'!$EZ$2:$EZ$317))</f>
        <v>3</v>
      </c>
      <c r="BX39">
        <f>SUMPRODUCT(--('Данные 1st'!$S$2:$S$317=$A39),--ISNUMBER('Данные 1st'!$FA$2:$FA$317))</f>
        <v>3</v>
      </c>
      <c r="BY39">
        <f>SUMPRODUCT(--('Данные 1st'!$S$2:$S$317=$A39),--ISNUMBER('Данные 1st'!$FB$2:$FB$317))</f>
        <v>3</v>
      </c>
      <c r="BZ39">
        <f>SUMPRODUCT(--('Данные 1st'!$S$2:$S$317=$A39),--ISNUMBER('Данные 1st'!$FC$2:$FC$317))</f>
        <v>3</v>
      </c>
      <c r="CA39">
        <f>SUMPRODUCT(--('Данные 1st'!$S$2:$S$317=$A39),--ISNUMBER('Данные 1st'!$FE$2:$FE$317))</f>
        <v>3</v>
      </c>
      <c r="CB39">
        <f>SUMPRODUCT(--('Данные 1st'!$S$2:$S$317=$A39),--ISNUMBER('Данные 1st'!$FF$2:$FF$317))</f>
        <v>3</v>
      </c>
      <c r="CC39">
        <f>SUMPRODUCT(--('Данные 1st'!$S$2:$S$317=$A39),--ISNUMBER('Данные 1st'!$FI$2:$FI$317))</f>
        <v>3</v>
      </c>
      <c r="CD39">
        <f>SUMPRODUCT(--('Данные 1st'!$S$2:$S$317=$A39),--ISNUMBER('Данные 1st'!$FL$2:$FL$317))</f>
        <v>3</v>
      </c>
      <c r="CE39">
        <f>SUMPRODUCT(--('Данные 1st'!$S$2:$S$317=$A39),--ISNUMBER('Данные 1st'!$FM$2:$FM$317))</f>
        <v>3</v>
      </c>
      <c r="CF39">
        <f>SUMPRODUCT(--('Данные 1st'!$S$2:$S$317=$A39),--ISNUMBER('Данные 1st'!$FN$2:$FN$317))</f>
        <v>3</v>
      </c>
      <c r="CG39">
        <f>SUMPRODUCT(--('Данные 1st'!$S$2:$S$317=$A39),--ISNUMBER('Данные 1st'!$FO$2:$FO$317))</f>
        <v>1</v>
      </c>
      <c r="CH39">
        <f>SUMPRODUCT(--('Данные 1st'!$S$2:$S$317=$A39),--ISNUMBER('Данные 1st'!$FP$2:$FP$317))</f>
        <v>1</v>
      </c>
      <c r="CI39">
        <f>SUMPRODUCT(--('Данные 1st'!$S$2:$S$317=$A39),--ISNUMBER('Данные 1st'!$FS$2:$FS$317))</f>
        <v>2</v>
      </c>
      <c r="CJ39">
        <f>SUMPRODUCT(--('Данные 1st'!$S$2:$S$317=$A39),--ISNUMBER('Данные 1st'!$FT$2:$FT$317))</f>
        <v>2</v>
      </c>
      <c r="CK39">
        <f>SUMPRODUCT(--('Данные 1st'!$S$2:$S$317=$A39),--ISNUMBER('Данные 1st'!$FU$2:$FU$317))</f>
        <v>2</v>
      </c>
      <c r="CL39">
        <f>SUMPRODUCT(--('Данные 1st'!$S$2:$S$317=$A39),--ISNUMBER('Данные 1st'!$FV$2:$FV$317))</f>
        <v>0</v>
      </c>
      <c r="CM39">
        <f>SUMPRODUCT(--('Данные 1st'!$S$2:$S$317=$A39),--ISNUMBER('Данные 1st'!$FW$2:$FW$317))</f>
        <v>0</v>
      </c>
      <c r="CN39">
        <f>SUMPRODUCT(--('Данные 1st'!$S$2:$S$317=$A39),--ISNUMBER('Данные 1st'!$FZ$2:$FZ$317))</f>
        <v>0</v>
      </c>
      <c r="CO39">
        <f>SUMPRODUCT(--('Данные 1st'!$S$2:$S$317=$A39),--ISNUMBER('Данные 1st'!$GA$2:$GA$317))</f>
        <v>0</v>
      </c>
      <c r="CP39">
        <f>SUMPRODUCT(--('Данные 1st'!$S$2:$S$317=$A39),--ISNUMBER('Данные 1st'!$GB$2:$GB$317))</f>
        <v>0</v>
      </c>
      <c r="CQ39">
        <f>SUMPRODUCT(--('Данные 1st'!$S$2:$S$317=$A39),--ISNUMBER('Данные 1st'!$GH$2:$GH$317))</f>
        <v>0</v>
      </c>
      <c r="CR39">
        <f>SUMPRODUCT(--('Данные 1st'!$S$2:$S$317=$A39),--ISNUMBER('Данные 1st'!$GI$2:$GI$317))</f>
        <v>0</v>
      </c>
      <c r="CS39">
        <f>SUMPRODUCT(--('Данные 1st'!$S$2:$S$317=$A39),--ISNUMBER('Данные 1st'!$GJ$2:$GJ$317))</f>
        <v>0</v>
      </c>
      <c r="CT39">
        <f>SUMPRODUCT(--('Данные 1st'!$S$2:$S$317=$A39),--ISNUMBER('Данные 1st'!$GS$2:$GS$317))</f>
        <v>3</v>
      </c>
      <c r="CU39">
        <f>SUMPRODUCT(--('Данные 1st'!$S$2:$S$317=$A39),--ISNUMBER('Данные 1st'!$GT$2:$GT$317))</f>
        <v>3</v>
      </c>
      <c r="CV39">
        <f>SUMPRODUCT(--('Данные 1st'!$S$2:$S$317=$A39),--ISNUMBER('Данные 1st'!$GU$2:$GU$317))</f>
        <v>3</v>
      </c>
      <c r="CW39">
        <f>SUMPRODUCT(--('Данные 1st'!$S$2:$S$317=$A39),--ISNUMBER('Данные 1st'!$GV$2:$GV$317))</f>
        <v>0</v>
      </c>
      <c r="CX39">
        <f>SUMPRODUCT(--('Данные 1st'!$S$2:$S$317=$A39),--ISNUMBER('Данные 1st'!$GW$2:$GW$317))</f>
        <v>0</v>
      </c>
      <c r="CY39">
        <f>SUMPRODUCT(--('Данные 1st'!$S$2:$S$317=$A39),--ISNUMBER('Данные 1st'!$GZ$2:$GZ$317))</f>
        <v>1</v>
      </c>
      <c r="CZ39">
        <f>SUMPRODUCT(--('Данные 1st'!$S$2:$S$317=$A39),--ISNUMBER('Данные 1st'!$HA$2:$HA$317))</f>
        <v>1</v>
      </c>
      <c r="DA39">
        <f>SUMPRODUCT(--('Данные 1st'!$S$2:$S$317=$A39),--ISNUMBER('Данные 1st'!$HB$2:$HB$317))</f>
        <v>1</v>
      </c>
      <c r="DB39">
        <f>SUMPRODUCT(--('Данные 1st'!$S$2:$S$317=$A39),--ISNUMBER('Данные 1st'!$HC$2:$HC$317))</f>
        <v>3</v>
      </c>
      <c r="DC39">
        <f>SUMPRODUCT(--('Данные 1st'!$S$2:$S$317=$A39),--ISNUMBER('Данные 1st'!$HD$2:$HD$317))</f>
        <v>3</v>
      </c>
      <c r="DD39">
        <f>SUMPRODUCT(--('Данные 1st'!$S$2:$S$317=$A39),--ISNUMBER('Данные 1st'!$HE$2:$HE$317))</f>
        <v>3</v>
      </c>
      <c r="DE39">
        <f>SUMPRODUCT(--('Данные 1st'!$S$2:$S$317=$A39),--ISNUMBER('Данные 1st'!$HF$2:$HF$317))</f>
        <v>3</v>
      </c>
      <c r="DF39">
        <f>SUMPRODUCT(--('Данные 1st'!$S$2:$S$317=$A39),--ISNUMBER('Данные 1st'!$HG$2:$HG$317))</f>
        <v>3</v>
      </c>
      <c r="DG39">
        <f>SUMPRODUCT(--('Данные 1st'!$S$2:$S$317=$A39),--ISNUMBER('Данные 1st'!$HH$2:$HH$317))</f>
        <v>3</v>
      </c>
      <c r="DH39">
        <f>SUMPRODUCT(--('Данные 1st'!$S$2:$S$317=$A39),--ISNUMBER('Данные 1st'!$HI$2:$HI$317))</f>
        <v>3</v>
      </c>
      <c r="DI39">
        <f>SUMPRODUCT(--('Данные 1st'!$S$2:$S$317=$A39),--ISNUMBER('Данные 1st'!$HJ$2:$HJ$317))</f>
        <v>3</v>
      </c>
      <c r="DJ39">
        <f>SUMPRODUCT(--('Данные 1st'!$S$2:$S$317=$A39),--ISNUMBER('Данные 1st'!$HK$2:$HK$317))</f>
        <v>3</v>
      </c>
      <c r="DK39">
        <f>SUMPRODUCT(--('Данные 1st'!$S$2:$S$317=$A39),--ISNUMBER('Данные 1st'!$HL$2:$HL$317))</f>
        <v>3</v>
      </c>
      <c r="DL39">
        <f>SUMPRODUCT(--('Данные 1st'!$S$2:$S$317=$A39),--ISNUMBER('Данные 1st'!$HM$2:$HM$317))</f>
        <v>3</v>
      </c>
      <c r="DM39">
        <f>SUMPRODUCT(--('Данные 1st'!$S$2:$S$317=$A39),--ISNUMBER('Данные 1st'!$HN$2:$HN$317))</f>
        <v>3</v>
      </c>
      <c r="DN39">
        <f>SUMPRODUCT(--('Данные 1st'!$S$2:$S$317=$A39),--ISNUMBER('Данные 1st'!$HO$2:$HO$317))</f>
        <v>3</v>
      </c>
      <c r="DO39">
        <f>SUMPRODUCT(--('Данные 1st'!$S$2:$S$317=$A39),--ISNUMBER('Данные 1st'!$HP$2:$HP$317))</f>
        <v>3</v>
      </c>
      <c r="DP39">
        <f>SUMPRODUCT(--('Данные 1st'!$S$2:$S$317=$A39),--ISNUMBER('Данные 1st'!$HQ$2:$HQ$317))</f>
        <v>3</v>
      </c>
      <c r="DQ39">
        <f>SUMPRODUCT(--('Данные 1st'!$S$2:$S$317=$A39),--ISNUMBER('Данные 1st'!$HR$2:$HR$317))</f>
        <v>3</v>
      </c>
      <c r="DR39">
        <f>SUMPRODUCT(--('Данные 1st'!$S$2:$S$317=$A39),--ISNUMBER('Данные 1st'!$HS$2:$HS$317))</f>
        <v>3</v>
      </c>
      <c r="DS39">
        <f>SUMPRODUCT(--('Данные 1st'!$S$2:$S$317=$A39),--ISNUMBER('Данные 1st'!$HT$2:$HT$317))</f>
        <v>3</v>
      </c>
      <c r="DT39">
        <f>SUMPRODUCT(--('Данные 1st'!$S$2:$S$317=$A39),--ISNUMBER('Данные 1st'!$HU$2:$HU$317))</f>
        <v>3</v>
      </c>
      <c r="DU39">
        <f>SUMPRODUCT(--('Данные 1st'!$S$2:$S$317=$A39),--ISNUMBER('Данные 1st'!$HW$2:$HW$317))</f>
        <v>3</v>
      </c>
      <c r="DV39">
        <f>SUMPRODUCT(--('Данные 1st'!$S$2:$S$317=$A39),--ISNUMBER('Данные 1st'!$HX$2:$HX$317))</f>
        <v>3</v>
      </c>
      <c r="DW39">
        <f>SUMPRODUCT(--('Данные 1st'!$S$2:$S$317=$A39),--ISNUMBER('Данные 1st'!$HY$2:$HY$317))</f>
        <v>3</v>
      </c>
      <c r="DX39">
        <f>SUMPRODUCT(--('Данные 1st'!$S$2:$S$317=$A39),--ISNUMBER('Данные 1st'!$IA$2:$IA$317))</f>
        <v>3</v>
      </c>
      <c r="DY39">
        <f>SUMPRODUCT(--('Данные 1st'!$S$2:$S$317=$A39),--ISNUMBER('Данные 1st'!$IB$2:$IB$317))</f>
        <v>3</v>
      </c>
      <c r="DZ39">
        <f>SUMPRODUCT(--('Данные 1st'!$S$2:$S$317=$A39),--ISNUMBER('Данные 1st'!$IC$2:$IC$317))</f>
        <v>3</v>
      </c>
      <c r="EA39">
        <f>SUMPRODUCT(--('Данные 1st'!$S$2:$S$317=$A39),--ISNUMBER('Данные 1st'!$ID$2:$ID$317))</f>
        <v>3</v>
      </c>
      <c r="EB39">
        <f>SUMPRODUCT(--('Данные 1st'!$S$2:$S$317=$A39),--ISNUMBER('Данные 1st'!$IE$2:$IE$317))</f>
        <v>3</v>
      </c>
      <c r="EC39">
        <f>SUMPRODUCT(--('Данные 1st'!$S$2:$S$317=$A39),--ISNUMBER('Данные 1st'!$IF$2:$IF$317))</f>
        <v>3</v>
      </c>
      <c r="ED39">
        <f>SUMPRODUCT(--('Данные 1st'!$S$2:$S$317=$A39),--ISNUMBER('Данные 1st'!$IP$2:$IP$317))</f>
        <v>3</v>
      </c>
      <c r="EE39">
        <f>SUMPRODUCT(--('Данные 1st'!$S$2:$S$317=$A39),--ISNUMBER('Данные 1st'!$IV$2:$IV$317))</f>
        <v>3</v>
      </c>
      <c r="EF39">
        <f>SUMPRODUCT(--('Данные 1st'!$S$2:$S$317=$A39),--ISNUMBER('Данные 1st'!$IW$2:$IW$317))</f>
        <v>3</v>
      </c>
      <c r="EG39">
        <f>SUMPRODUCT(--('Данные 1st'!$S$2:$S$317=$A39),--ISNUMBER('Данные 1st'!$IX$2:$IX$317))</f>
        <v>0</v>
      </c>
      <c r="EH39">
        <f>SUMPRODUCT(--('Данные 1st'!$S$2:$S$317=$A39),--ISNUMBER('Данные 1st'!$IY$2:$IY$317))</f>
        <v>0</v>
      </c>
      <c r="EI39">
        <f>SUMPRODUCT(--('Данные 1st'!$S$2:$S$317=$A39),--ISNUMBER('Данные 1st'!$JD$2:$JD$317))</f>
        <v>3</v>
      </c>
      <c r="EJ39">
        <f>SUMPRODUCT(--('Данные 1st'!$S$2:$S$317=$A39),--ISNUMBER('Данные 1st'!$JE$2:$JE$317))</f>
        <v>3</v>
      </c>
      <c r="EK39">
        <f>SUMPRODUCT(--('Данные 1st'!$S$2:$S$317=$A39),--ISNUMBER('Данные 1st'!$JF$2:$JF$317))</f>
        <v>3</v>
      </c>
      <c r="EL39">
        <f>SUMPRODUCT(--('Данные 1st'!$S$2:$S$317=$A39),--ISNUMBER('Данные 1st'!$JG$2:$JG$317))</f>
        <v>3</v>
      </c>
      <c r="EM39">
        <f>SUMPRODUCT(--('Данные 1st'!$S$2:$S$317=$A39),--ISNUMBER('Данные 1st'!$JH$2:$JH$317))</f>
        <v>3</v>
      </c>
      <c r="EN39">
        <f>SUMPRODUCT(--('Данные 1st'!$S$2:$S$317=$A39),--ISNUMBER('Данные 1st'!$JJ$2:$JJ$317))</f>
        <v>3</v>
      </c>
      <c r="EO39">
        <f>SUMPRODUCT(--('Данные 1st'!$S$2:$S$317=$A39),--ISNUMBER('Данные 1st'!$JK$2:$JK$317))</f>
        <v>3</v>
      </c>
      <c r="EP39">
        <f>SUMPRODUCT(--('Данные 1st'!$S$2:$S$317=$A39),--ISNUMBER('Данные 1st'!$JL$2:$JL$317))</f>
        <v>0</v>
      </c>
      <c r="EQ39">
        <f>SUMPRODUCT(--('Данные 1st'!$S$2:$S$317=$A39),--ISNUMBER('Данные 1st'!$JM$2:$JM$317))</f>
        <v>0</v>
      </c>
      <c r="ER39">
        <f>SUMPRODUCT(--('Данные 1st'!$S$2:$S$317=$A39),--ISNUMBER('Данные 1st'!$JN$2:$JN$317))</f>
        <v>3</v>
      </c>
      <c r="ES39">
        <f>SUMPRODUCT(--('Данные 1st'!$S$2:$S$317=$A39),--ISNUMBER('Данные 1st'!$JO$2:$JO$317))</f>
        <v>3</v>
      </c>
      <c r="ET39">
        <f>SUMPRODUCT(--('Данные 1st'!$S$2:$S$317=$A39),--ISNUMBER('Данные 1st'!$JP$2:$JP$317))</f>
        <v>3</v>
      </c>
      <c r="EU39">
        <f>SUMPRODUCT(--('Данные 1st'!$S$2:$S$317=$A39),--ISNUMBER('Данные 1st'!$JQ$2:$JQ$317))</f>
        <v>3</v>
      </c>
      <c r="EV39">
        <f>SUMPRODUCT(--('Данные 1st'!$S$2:$S$317=$A39),--ISNUMBER('Данные 1st'!$JR$2:$JR$317))</f>
        <v>3</v>
      </c>
      <c r="EW39">
        <f>SUMPRODUCT(--('Данные 1st'!$S$2:$S$317=$A39),--ISNUMBER('Данные 1st'!$JS$2:$JS$317))</f>
        <v>3</v>
      </c>
      <c r="EX39">
        <f>SUMPRODUCT(--('Данные 1st'!$S$2:$S$317=$A39),--ISNUMBER('Данные 1st'!$JT$2:$JT$317))</f>
        <v>0</v>
      </c>
      <c r="EY39">
        <f>SUMPRODUCT(--('Данные 1st'!$S$2:$S$317=$A39),--ISNUMBER('Данные 1st'!$JU$2:$JU$317))</f>
        <v>0</v>
      </c>
      <c r="EZ39">
        <f>SUMPRODUCT(--('Данные 1st'!$S$2:$S$317=$A39),--ISNUMBER('Данные 1st'!$JV$2:$JV$317))</f>
        <v>3</v>
      </c>
      <c r="FA39">
        <f>SUMPRODUCT(--('Данные 1st'!$S$2:$S$317=$A39),--ISNUMBER('Данные 1st'!$JW$2:$JW$317))</f>
        <v>0</v>
      </c>
      <c r="FB39">
        <f>SUMPRODUCT(--('Данные 1st'!$S$2:$S$317=$A39),--ISNUMBER('Данные 1st'!$JX$2:$JX$317))</f>
        <v>3</v>
      </c>
      <c r="FC39">
        <f>SUMPRODUCT(--('Данные 1st'!$S$2:$S$317=$A39),--ISNUMBER('Данные 1st'!$JY$2:$JY$317))</f>
        <v>0</v>
      </c>
      <c r="FD39">
        <f>SUMPRODUCT(--('Данные 1st'!$S$2:$S$317=$A39),--ISNUMBER('Данные 1st'!$JZ$2:$JZ$317))</f>
        <v>0</v>
      </c>
      <c r="FE39">
        <f>SUMPRODUCT(--('Данные 1st'!$S$2:$S$317=$A39),--ISNUMBER('Данные 1st'!$KA$2:$KA$317))</f>
        <v>3</v>
      </c>
      <c r="FF39">
        <f>SUMPRODUCT(--('Данные 1st'!$S$2:$S$317=$A39),--ISNUMBER('Данные 1st'!$KB$2:$KB$317))</f>
        <v>3</v>
      </c>
      <c r="FG39">
        <f>SUMPRODUCT(--('Данные 1st'!$S$2:$S$317=$A39),--ISNUMBER('Данные 1st'!$KC$2:$KC$317))</f>
        <v>3</v>
      </c>
      <c r="FH39">
        <f>SUMPRODUCT(--('Данные 1st'!$S$2:$S$317=$A39),--ISNUMBER('Данные 1st'!$KD$2:$KD$317))</f>
        <v>3</v>
      </c>
      <c r="FI39">
        <f>SUMPRODUCT(--('Данные 1st'!$S$2:$S$317=$A39),--ISNUMBER('Данные 1st'!$KE$2:$KE$317))</f>
        <v>0</v>
      </c>
      <c r="FJ39">
        <f>SUMPRODUCT(--('Данные 1st'!$S$2:$S$317=$A39),--ISNUMBER('Данные 1st'!$KF$2:$KF$317))</f>
        <v>3</v>
      </c>
      <c r="FK39">
        <f>SUMPRODUCT(--('Данные 1st'!$S$2:$S$317=$A39),--ISNUMBER('Данные 1st'!$KG$2:$KG$317))</f>
        <v>3</v>
      </c>
      <c r="FL39">
        <f>SUMPRODUCT(--('Данные 1st'!$S$2:$S$317=$A39),--ISNUMBER('Данные 1st'!$KH$2:$KH$317))</f>
        <v>3</v>
      </c>
      <c r="FM39">
        <f>SUMPRODUCT(--('Данные 1st'!$S$2:$S$317=$A39),--ISNUMBER('Данные 1st'!$KI$2:$KI$317))</f>
        <v>3</v>
      </c>
      <c r="FN39">
        <f>SUMPRODUCT(--('Данные 1st'!$S$2:$S$317=$A39),--ISNUMBER('Данные 1st'!$KJ$2:$KJ$317))</f>
        <v>3</v>
      </c>
      <c r="FO39">
        <f>SUMPRODUCT(--('Данные 1st'!$S$2:$S$317=$A39),--ISNUMBER('Данные 1st'!$KK$2:$KK$317))</f>
        <v>3</v>
      </c>
      <c r="FP39">
        <f>SUMPRODUCT(--('Данные 1st'!$S$2:$S$317=$A39),--ISNUMBER('Данные 1st'!$KL$2:$KL$317))</f>
        <v>3</v>
      </c>
      <c r="FQ39">
        <f>SUMPRODUCT(--('Данные 1st'!$S$2:$S$317=$A39),--ISNUMBER('Данные 1st'!$KM$2:$KM$317))</f>
        <v>3</v>
      </c>
      <c r="FR39">
        <f>SUMPRODUCT(--('Данные 1st'!$S$2:$S$317=$A39),--ISNUMBER('Данные 1st'!$KN$2:$KN$317))</f>
        <v>3</v>
      </c>
      <c r="FS39">
        <f>SUMPRODUCT(--('Данные 1st'!$S$2:$S$317=$A39),--ISNUMBER('Данные 1st'!$KR$2:$KR$317))</f>
        <v>3</v>
      </c>
      <c r="FT39">
        <f>SUMPRODUCT(--('Данные 1st'!$S$2:$S$317=$A39),--ISNUMBER('Данные 1st'!$KS$2:$KS$317))</f>
        <v>3</v>
      </c>
      <c r="FU39">
        <f>SUMPRODUCT(--('Данные 1st'!$S$2:$S$317=$A39),--ISNUMBER('Данные 1st'!$KT$2:$KT$317))</f>
        <v>3</v>
      </c>
      <c r="FV39">
        <f>SUMPRODUCT(--('Данные 1st'!$S$2:$S$317=$A39),--ISNUMBER('Данные 1st'!$KV$2:$KV$317))</f>
        <v>0</v>
      </c>
      <c r="FW39">
        <f>SUMPRODUCT(--('Данные 1st'!$S$2:$S$317=$A39),--ISNUMBER('Данные 1st'!$KW$2:$KW$317))</f>
        <v>0</v>
      </c>
      <c r="FX39">
        <f>SUMPRODUCT(--('Данные 1st'!$S$2:$S$317=$A39),--ISNUMBER('Данные 1st'!$KX$2:$KX$317))</f>
        <v>0</v>
      </c>
      <c r="FY39">
        <f>SUMPRODUCT(--('Данные 1st'!$S$2:$S$317=$A39),--ISNUMBER('Данные 1st'!$KY$2:$KY$317))</f>
        <v>0</v>
      </c>
      <c r="FZ39">
        <f>SUMPRODUCT(--('Данные 1st'!$S$2:$S$317=$A39),--ISNUMBER('Данные 1st'!$KZ$2:$KZ$317))</f>
        <v>0</v>
      </c>
      <c r="GA39">
        <f>SUMPRODUCT(--('Данные 1st'!$S$2:$S$317=$A39),--ISNUMBER('Данные 1st'!$LA$2:$LA$317))</f>
        <v>0</v>
      </c>
      <c r="GB39">
        <f>SUMPRODUCT(--('Данные 1st'!$S$2:$S$317=$A39),--ISNUMBER('Данные 1st'!$LB$2:$LB$317))</f>
        <v>0</v>
      </c>
      <c r="GC39">
        <f>SUMPRODUCT(--('Данные 1st'!$S$2:$S$317=$A39),--ISNUMBER('Данные 1st'!$LC$2:$LC$317))</f>
        <v>0</v>
      </c>
      <c r="GD39">
        <f>SUMPRODUCT(--('Данные 1st'!$S$2:$S$317=$A39),--ISNUMBER('Данные 1st'!$LD$2:$LD$317))</f>
        <v>0</v>
      </c>
      <c r="GE39">
        <f>SUMPRODUCT(--('Данные 1st'!$S$2:$S$317=$A39),--ISNUMBER('Данные 1st'!$LE$2:$LE$317))</f>
        <v>0</v>
      </c>
      <c r="GF39">
        <f>SUMPRODUCT(--('Данные 1st'!$S$2:$S$317=$A39),--ISNUMBER('Данные 1st'!$LF$2:$LF$317))</f>
        <v>0</v>
      </c>
      <c r="GG39">
        <f>SUMPRODUCT(--('Данные 1st'!$S$2:$S$317=$A39),--ISNUMBER('Данные 1st'!$LG$2:$LG$317))</f>
        <v>0</v>
      </c>
      <c r="GH39">
        <f>SUMPRODUCT(--('Данные 1st'!$S$2:$S$317=$A39),--ISNUMBER('Данные 1st'!$LH$2:$LH$317))</f>
        <v>0</v>
      </c>
      <c r="GI39">
        <f>SUMPRODUCT(--('Данные 1st'!$S$2:$S$317=$A39),--ISNUMBER('Данные 1st'!$LI$2:$LI$317))</f>
        <v>0</v>
      </c>
      <c r="GJ39">
        <f>SUMPRODUCT(--('Данные 1st'!$S$2:$S$317=$A39),--ISNUMBER('Данные 1st'!$LJ$2:$LJ$317))</f>
        <v>0</v>
      </c>
      <c r="GK39">
        <f>SUMPRODUCT(--('Данные 1st'!$S$2:$S$317=$A39),--ISNUMBER('Данные 1st'!$LK$2:$LK$317))</f>
        <v>3</v>
      </c>
      <c r="GL39">
        <f>SUMPRODUCT(--('Данные 1st'!$S$2:$S$317=$A39),--ISNUMBER('Данные 1st'!$LV$2:$LV$317))</f>
        <v>0</v>
      </c>
      <c r="GM39">
        <f>SUMPRODUCT(--('Данные 1st'!$S$2:$S$317=$A39),--ISNUMBER('Данные 1st'!$LW$2:$LW$317))</f>
        <v>0</v>
      </c>
      <c r="GN39">
        <f>SUMPRODUCT(--('Данные 1st'!$S$2:$S$317=$A39),--ISNUMBER('Данные 1st'!$LX$2:$LX$317))</f>
        <v>0</v>
      </c>
      <c r="GO39">
        <f>SUMPRODUCT(--('Данные 1st'!$S$2:$S$317=$A39),--ISNUMBER('Данные 1st'!$LY$2:$LY$317))</f>
        <v>0</v>
      </c>
      <c r="GP39">
        <f>SUMPRODUCT(--('Данные 1st'!$S$2:$S$317=$A39),--ISNUMBER('Данные 1st'!$LZ$2:$LZ$317))</f>
        <v>0</v>
      </c>
      <c r="GQ39">
        <f>SUMPRODUCT(--('Данные 1st'!$S$2:$S$317=$A39),--ISNUMBER('Данные 1st'!$PG$2:$PG$317))</f>
        <v>3</v>
      </c>
      <c r="GR39">
        <f>SUMPRODUCT(--('Данные 1st'!$S$2:$S$317=$A39),--ISNUMBER('Данные 1st'!$PX$2:$PX$317))</f>
        <v>3</v>
      </c>
      <c r="GS39">
        <f>SUMPRODUCT(--('Данные 1st'!$S$2:$S$317=$A39),--ISNUMBER('Данные 1st'!$PY$2:$PY$317))</f>
        <v>3</v>
      </c>
      <c r="GT39">
        <f>SUMPRODUCT(--('Данные 1st'!$S$2:$S$317=$A39),--ISNUMBER('Данные 1st'!$QA$2:$QA$317))</f>
        <v>3</v>
      </c>
      <c r="GU39">
        <f>SUMPRODUCT(--('Данные 1st'!$S$2:$S$317=$A39),--ISNUMBER('Данные 1st'!$QB$2:$QB$317))</f>
        <v>3</v>
      </c>
      <c r="GV39">
        <f>SUMPRODUCT(--('Данные 1st'!$S$2:$S$317=$A39),--ISNUMBER('Данные 1st'!$QC$2:$QC$317))</f>
        <v>3</v>
      </c>
      <c r="GW39">
        <f>SUMPRODUCT(--('Данные 1st'!$S$2:$S$317=$A39),--ISNUMBER('Данные 1st'!$QD$2:$QD$317))</f>
        <v>3</v>
      </c>
      <c r="GX39">
        <f>SUMPRODUCT(--('Данные 1st'!$S$2:$S$317=$A39),--ISNUMBER('Данные 1st'!$QF$2:$QF$317))</f>
        <v>3</v>
      </c>
      <c r="GY39">
        <f>SUMPRODUCT(--('Данные 1st'!$S$2:$S$317=$A39),--ISNUMBER('Данные 1st'!$QG$2:$QG$317))</f>
        <v>3</v>
      </c>
      <c r="GZ39">
        <f>SUMPRODUCT(--('Данные 1st'!$S$2:$S$317=$A39),--ISNUMBER('Данные 1st'!$QH$2:$QH$317))</f>
        <v>3</v>
      </c>
      <c r="HA39">
        <f>SUMPRODUCT(--('Данные 1st'!$S$2:$S$317=$A39),--ISNUMBER('Данные 1st'!$QI$2:$QI$317))</f>
        <v>3</v>
      </c>
      <c r="HB39">
        <f>SUMPRODUCT(--('Данные 1st'!$S$2:$S$317=$A39),--ISNUMBER('Данные 1st'!$QK$2:$QK$317))</f>
        <v>1</v>
      </c>
      <c r="HC39">
        <f>SUMPRODUCT(--('Данные 1st'!$S$2:$S$317=$A39),--ISNUMBER('Данные 1st'!$QL$2:$QL$317))</f>
        <v>3</v>
      </c>
      <c r="HD39">
        <f>SUMPRODUCT(--('Данные 1st'!$S$2:$S$317=$A39),--ISNUMBER('Данные 1st'!$QM$2:$QM$317))</f>
        <v>3</v>
      </c>
      <c r="HE39">
        <f>SUMPRODUCT(--('Данные 1st'!$S$2:$S$317=$A39),--ISNUMBER('Данные 1st'!$QN$2:$QN$317))</f>
        <v>3</v>
      </c>
      <c r="HF39">
        <f>SUMPRODUCT(--('Данные 1st'!$S$2:$S$317=$A39),--ISNUMBER('Данные 1st'!$QP$2:$QP$317))</f>
        <v>3</v>
      </c>
      <c r="HG39">
        <f>SUMPRODUCT(--('Данные 1st'!$S$2:$S$317=$A39),--ISNUMBER('Данные 1st'!$QQ$2:$QQ$317))</f>
        <v>3</v>
      </c>
      <c r="HH39">
        <f>SUMPRODUCT(--('Данные 1st'!$S$2:$S$317=$A39),--ISNUMBER('Данные 1st'!$QR$2:$QR$317))</f>
        <v>3</v>
      </c>
      <c r="HI39">
        <f>SUMPRODUCT(--('Данные 1st'!$S$2:$S$317=$A39),--ISNUMBER('Данные 1st'!$QS$2:$QS$317))</f>
        <v>3</v>
      </c>
      <c r="HJ39">
        <f>SUMPRODUCT(--('Данные 1st'!$S$2:$S$317=$A39),--ISNUMBER('Данные 1st'!$QU$2:$QU$317))</f>
        <v>3</v>
      </c>
      <c r="HK39">
        <f>SUMPRODUCT(--('Данные 1st'!$S$2:$S$317=$A39),--ISNUMBER('Данные 1st'!$QV$2:$QV$317))</f>
        <v>3</v>
      </c>
      <c r="HL39">
        <f>SUMPRODUCT(--('Данные 1st'!$S$2:$S$317=$A39),--ISNUMBER('Данные 1st'!$QW$2:$QW$317))</f>
        <v>3</v>
      </c>
      <c r="HM39">
        <f>SUMPRODUCT(--('Данные 1st'!$S$2:$S$317=$A39),--ISNUMBER('Данные 1st'!$QX$2:$QX$317))</f>
        <v>3</v>
      </c>
      <c r="HN39">
        <f>SUMPRODUCT(--('Данные 1st'!$S$2:$S$317=$A39),--ISNUMBER('Данные 1st'!$QZ$2:$QZ$317))</f>
        <v>3</v>
      </c>
      <c r="HO39">
        <f>SUMPRODUCT(--('Данные 1st'!$S$2:$S$317=$A39),--ISNUMBER('Данные 1st'!$RA$2:$RA$317))</f>
        <v>3</v>
      </c>
      <c r="HP39">
        <f>SUMPRODUCT(--('Данные 1st'!$S$2:$S$317=$A39),--ISNUMBER('Данные 1st'!$RB$2:$RB$317))</f>
        <v>3</v>
      </c>
      <c r="HQ39">
        <f>SUMPRODUCT(--('Данные 1st'!$S$2:$S$317=$A39),--ISNUMBER('Данные 1st'!$RD$2:$RD$317))</f>
        <v>0</v>
      </c>
      <c r="HR39">
        <f>SUMPRODUCT(--('Данные 1st'!$S$2:$S$317=$A39),--ISNUMBER('Данные 1st'!$RE$2:$RE$317))</f>
        <v>3</v>
      </c>
      <c r="HS39">
        <f>SUMPRODUCT(--('Данные 1st'!$S$2:$S$317=$A39),--ISNUMBER('Данные 1st'!$RF$2:$RF$317))</f>
        <v>3</v>
      </c>
      <c r="HT39">
        <f>SUMPRODUCT(--('Данные 1st'!$S$2:$S$317=$A39),--ISNUMBER('Данные 1st'!$RG$2:$RG$317))</f>
        <v>0</v>
      </c>
      <c r="HU39">
        <f>SUMPRODUCT(--('Данные 1st'!$S$2:$S$317=$A39),--ISNUMBER('Данные 1st'!$RH$2:$RH$317))</f>
        <v>2</v>
      </c>
      <c r="HV39">
        <f>SUMPRODUCT(--('Данные 1st'!$S$2:$S$317=$A39),--ISNUMBER('Данные 1st'!$RI$2:$RI$317))</f>
        <v>1</v>
      </c>
      <c r="HW39">
        <f>SUMPRODUCT(--('Данные 1st'!$S$2:$S$317=$A39),--ISNUMBER('Данные 1st'!$RJ$2:$RJ$317))</f>
        <v>3</v>
      </c>
      <c r="HX39">
        <f>SUMPRODUCT(--('Данные 1st'!$S$2:$S$317=$A39),--ISNUMBER('Данные 1st'!$RK$2:$RK$317))</f>
        <v>1</v>
      </c>
      <c r="HY39">
        <f>SUMPRODUCT(--('Данные 1st'!$S$2:$S$317=$A39),--ISNUMBER('Данные 1st'!$RL$2:$RL$317))</f>
        <v>3</v>
      </c>
      <c r="HZ39">
        <f>SUMPRODUCT(--('Данные 1st'!$S$2:$S$317=$A39),--ISNUMBER('Данные 1st'!$RM$2:$RM$317))</f>
        <v>3</v>
      </c>
      <c r="IA39">
        <f>SUMPRODUCT(--('Данные 1st'!$S$2:$S$317=$A39),--ISNUMBER('Данные 1st'!$RN$2:$RN$317))</f>
        <v>0</v>
      </c>
      <c r="IB39">
        <f>SUMPRODUCT(--('Данные 1st'!$S$2:$S$317=$A39),--ISNUMBER('Данные 1st'!$RO$2:$RO$317))</f>
        <v>3</v>
      </c>
      <c r="IC39">
        <f>SUMPRODUCT(--('Данные 1st'!$S$2:$S$317=$A39),--ISNUMBER('Данные 1st'!$RP$2:$RP$317))</f>
        <v>1</v>
      </c>
      <c r="ID39">
        <f>SUMPRODUCT(--('Данные 1st'!$S$2:$S$317=$A39),--ISNUMBER('Данные 1st'!$RQ$2:$RQ$317))</f>
        <v>3</v>
      </c>
      <c r="IE39">
        <f>SUMPRODUCT(--('Данные 1st'!$S$2:$S$317=$A39),--ISNUMBER('Данные 1st'!$RR$2:$RR$317))</f>
        <v>3</v>
      </c>
      <c r="IF39">
        <f>SUMPRODUCT(--('Данные 1st'!$S$2:$S$317=$A39),--ISNUMBER('Данные 1st'!$RS$2:$RS$317))</f>
        <v>0</v>
      </c>
      <c r="IG39">
        <f>SUMPRODUCT(--('Данные 1st'!$S$2:$S$317=$A39),--ISNUMBER('Данные 1st'!$RT$2:$RT$317))</f>
        <v>3</v>
      </c>
      <c r="IH39">
        <f>SUMPRODUCT(--('Данные 1st'!$S$2:$S$317=$A39),--ISNUMBER('Данные 1st'!$RU$2:$RU$317))</f>
        <v>3</v>
      </c>
      <c r="II39">
        <f>SUMPRODUCT(--('Данные 1st'!$S$2:$S$317=$A39),--ISNUMBER('Данные 1st'!$RX$2:$RX$317))</f>
        <v>3</v>
      </c>
      <c r="IJ39">
        <f>SUMPRODUCT(--('Данные 1st'!$S$2:$S$317=$A39),--ISNUMBER('Данные 1st'!$RY$2:$RY$317))</f>
        <v>3</v>
      </c>
      <c r="IK39">
        <f>SUMPRODUCT(--('Данные 1st'!$S$2:$S$317=$A39),--ISNUMBER('Данные 1st'!$SA$2:$SA$317))</f>
        <v>3</v>
      </c>
      <c r="IL39">
        <f>SUMPRODUCT(--('Данные 1st'!$S$2:$S$317=$A39),--ISNUMBER('Данные 1st'!$SD$2:$SD$317))</f>
        <v>3</v>
      </c>
      <c r="IM39">
        <f>SUMPRODUCT(--('Данные 1st'!$S$2:$S$317=$A39),--ISNUMBER('Данные 1st'!$SG$2:$SG$317))</f>
        <v>3</v>
      </c>
      <c r="IN39">
        <f>SUMPRODUCT(--('Данные 1st'!$S$2:$S$317=$A39),--ISNUMBER('Данные 1st'!$SH$2:$SH$317))</f>
        <v>3</v>
      </c>
      <c r="IO39">
        <f>SUMPRODUCT(--('Данные 1st'!$S$2:$S$317=$A39),--ISNUMBER('Данные 1st'!$SI$2:$SI$317))</f>
        <v>3</v>
      </c>
      <c r="IP39">
        <f>SUMPRODUCT(--('Данные 1st'!$S$2:$S$317=$A39),--ISNUMBER('Данные 1st'!$SJ$2:$SJ$317))</f>
        <v>3</v>
      </c>
      <c r="IQ39">
        <f>SUMPRODUCT(--('Данные 1st'!$S$2:$S$317=$A39),--ISNUMBER('Данные 1st'!$SK$2:$SK$317))</f>
        <v>3</v>
      </c>
      <c r="IR39">
        <f>SUMPRODUCT(--('Данные 1st'!$S$2:$S$317=$A39),--ISNUMBER('Данные 1st'!$SL$2:$SL$317))</f>
        <v>3</v>
      </c>
      <c r="IS39">
        <f>SUMPRODUCT(--('Данные 1st'!$S$2:$S$317=$A39),--ISNUMBER('Данные 1st'!$SM$2:$SM$317))</f>
        <v>3</v>
      </c>
      <c r="IT39">
        <f>SUMPRODUCT(--('Данные 1st'!$S$2:$S$317=$A39),--ISNUMBER('Данные 1st'!$SN$2:$SN$317))</f>
        <v>3</v>
      </c>
      <c r="IU39">
        <f>SUMPRODUCT(--('Данные 1st'!$S$2:$S$317=$A39),--ISNUMBER('Данные 1st'!$SO$2:$SO$317))</f>
        <v>3</v>
      </c>
      <c r="IV39">
        <f>SUMPRODUCT(--('Данные 1st'!$S$2:$S$317=$A39),--ISNUMBER('Данные 1st'!$SP$2:$SP$317))</f>
        <v>3</v>
      </c>
      <c r="IW39">
        <f>SUMPRODUCT(--('Данные 1st'!$S$2:$S$317=$A39),--ISNUMBER('Данные 1st'!$SQ$2:$SQ$317))</f>
        <v>3</v>
      </c>
      <c r="IX39">
        <f>SUMPRODUCT(--('Данные 1st'!$S$2:$S$317=$A39),--ISNUMBER('Данные 1st'!$SR$2:$SR$317))</f>
        <v>3</v>
      </c>
      <c r="IY39">
        <f>SUMPRODUCT(--('Данные 1st'!$S$2:$S$317=$A39),--ISNUMBER('Данные 1st'!$SS$2:$SS$317))</f>
        <v>3</v>
      </c>
      <c r="IZ39">
        <f>SUMPRODUCT(--('Данные 1st'!$S$2:$S$317=$A39),--ISNUMBER('Данные 1st'!$ST$2:$ST$317))</f>
        <v>3</v>
      </c>
      <c r="JA39">
        <f>SUMPRODUCT(--('Данные 1st'!$S$2:$S$317=$A39),--ISNUMBER('Данные 1st'!$SU$2:$SU$317))</f>
        <v>3</v>
      </c>
      <c r="JB39">
        <f>SUMPRODUCT(--('Данные 1st'!$S$2:$S$317=$A39),--ISNUMBER('Данные 1st'!$SV$2:$SV$317))</f>
        <v>3</v>
      </c>
      <c r="JC39">
        <f>SUMPRODUCT(--('Данные 1st'!$S$2:$S$317=$A39),--ISNUMBER('Данные 1st'!$SW$2:$SW$317))</f>
        <v>3</v>
      </c>
      <c r="JD39">
        <f>SUMPRODUCT(--('Данные 1st'!$S$2:$S$317=$A39),--ISNUMBER('Данные 1st'!$SX$2:$SX$317))</f>
        <v>3</v>
      </c>
      <c r="JE39">
        <f>SUMPRODUCT(--('Данные 1st'!$S$2:$S$317=$A39),--ISNUMBER('Данные 1st'!$SY$2:$SY$317))</f>
        <v>1</v>
      </c>
      <c r="JF39">
        <f>SUMPRODUCT(--('Данные 1st'!$S$2:$S$317=$A39),--ISNUMBER('Данные 1st'!$SZ$2:$SZ$317))</f>
        <v>3</v>
      </c>
      <c r="JG39">
        <f>SUMPRODUCT(--('Данные 1st'!$S$2:$S$317=$A39),--ISNUMBER('Данные 1st'!$TA$2:$TA$317))</f>
        <v>0</v>
      </c>
      <c r="JH39">
        <f>SUMPRODUCT(--('Данные 1st'!$S$2:$S$317=$A39),--ISNUMBER('Данные 1st'!$TB$2:$TB$317))</f>
        <v>3</v>
      </c>
      <c r="JI39">
        <f>SUMPRODUCT(--('Данные 1st'!$S$2:$S$317=$A39),--ISNUMBER('Данные 1st'!$TC$2:$TC$317))</f>
        <v>3</v>
      </c>
      <c r="JJ39">
        <f>SUMPRODUCT(--('Данные 1st'!$S$2:$S$317=$A39),--ISNUMBER('Данные 1st'!$TD$2:$TD$317))</f>
        <v>3</v>
      </c>
      <c r="JK39">
        <f>SUMPRODUCT(--('Данные 1st'!$S$2:$S$317=$A39),--ISNUMBER('Данные 1st'!$TN$2:$TN$317))</f>
        <v>3</v>
      </c>
      <c r="JQ39">
        <f>SUMPRODUCT(--('Данные 2st'!$Q$2:$Q$317=$A39),--ISNUMBER('Данные 2st'!$AC$2:$AC$317))</f>
        <v>3</v>
      </c>
      <c r="JR39">
        <f>SUMPRODUCT(--('Данные 2st'!$Q$2:$Q$317=$A39),--ISNUMBER('Данные 2st'!$AF$2:$AF$317))</f>
        <v>3</v>
      </c>
      <c r="JS39">
        <f>SUMPRODUCT(--('Данные 2st'!$Q$2:$Q$317=$A39),--ISNUMBER('Данные 2st'!$AW$2:$AW$317))</f>
        <v>3</v>
      </c>
      <c r="JT39">
        <f>SUMPRODUCT(--('Данные 2st'!$Q$2:$Q$317=$A39),--ISNUMBER('Данные 2st'!$AX$2:$AX$317))</f>
        <v>3</v>
      </c>
      <c r="JU39">
        <f>SUMPRODUCT(--('Данные 2st'!$Q$2:$Q$317=$A39),--ISNUMBER('Данные 2st'!$AY$2:$AY$317))</f>
        <v>3</v>
      </c>
      <c r="JV39">
        <f>SUMPRODUCT(--('Данные 2st'!$Q$2:$Q$317=$A39),--ISNUMBER('Данные 2st'!$AZ$2:$AZ$317))</f>
        <v>3</v>
      </c>
      <c r="JW39">
        <f>SUMPRODUCT(--('Данные 2st'!$Q$2:$Q$317=$A39),--ISNUMBER('Данные 2st'!$BA$2:$BA$317))</f>
        <v>0</v>
      </c>
      <c r="JX39">
        <f>SUMPRODUCT(--('Данные 2st'!$Q$2:$Q$317=$A39),--ISNUMBER('Данные 2st'!$BB$2:$BB$317))</f>
        <v>0</v>
      </c>
      <c r="JY39">
        <f>SUMPRODUCT(--('Данные 2st'!$Q$2:$Q$317=$A39),--ISNUMBER('Данные 2st'!$BC$2:$BC$317))</f>
        <v>0</v>
      </c>
      <c r="JZ39">
        <f>SUMPRODUCT(--('Данные 2st'!$Q$2:$Q$317=$A39),--ISNUMBER('Данные 2st'!$BH$2:$BH$317))</f>
        <v>3</v>
      </c>
      <c r="KA39">
        <f>SUMPRODUCT(--('Данные 2st'!$Q$2:$Q$317=$A39),--ISNUMBER('Данные 2st'!$BI$2:$BI$317))</f>
        <v>3</v>
      </c>
      <c r="KB39">
        <f>SUMPRODUCT(--('Данные 2st'!$Q$2:$Q$317=$A39),--ISNUMBER('Данные 2st'!$BJ$2:$BJ$317))</f>
        <v>3</v>
      </c>
      <c r="KC39">
        <f>SUMPRODUCT(--('Данные 2st'!$Q$2:$Q$317=$A39),--ISNUMBER('Данные 2st'!$BK$2:$BK$317))</f>
        <v>3</v>
      </c>
      <c r="KD39">
        <f>SUMPRODUCT(--('Данные 2st'!$Q$2:$Q$317=$A39),--ISNUMBER('Данные 2st'!$BL$2:$BL$317))</f>
        <v>3</v>
      </c>
      <c r="KE39">
        <f>SUMPRODUCT(--('Данные 2st'!$Q$2:$Q$317=$A39),--ISNUMBER('Данные 2st'!$BM$2:$BM$317))</f>
        <v>3</v>
      </c>
      <c r="KF39">
        <f>SUMPRODUCT(--('Данные 2st'!$Q$2:$Q$317=$A39),--ISNUMBER('Данные 2st'!$BN$2:$BN$317))</f>
        <v>3</v>
      </c>
      <c r="KG39">
        <f>SUMPRODUCT(--('Данные 2st'!$Q$2:$Q$317=$A39),--ISNUMBER('Данные 2st'!$BO$2:$BO$317))</f>
        <v>2</v>
      </c>
      <c r="KH39">
        <f>SUMPRODUCT(--('Данные 2st'!$Q$2:$Q$317=$A39),--ISNUMBER('Данные 2st'!$BP$2:$BP$317))</f>
        <v>3</v>
      </c>
      <c r="KI39">
        <f>SUMPRODUCT(--('Данные 2st'!$Q$2:$Q$317=$A39),--ISNUMBER('Данные 2st'!$BR$2:$BR$317))</f>
        <v>3</v>
      </c>
      <c r="KJ39">
        <f>SUMPRODUCT(--('Данные 2st'!$Q$2:$Q$317=$A39),--ISNUMBER('Данные 2st'!$BS$2:$BS$317))</f>
        <v>3</v>
      </c>
      <c r="KK39">
        <f>SUMPRODUCT(--('Данные 2st'!$Q$2:$Q$317=$A39),--ISNUMBER('Данные 2st'!$BT$2:$BT$317))</f>
        <v>3</v>
      </c>
      <c r="KL39">
        <f>SUMPRODUCT(--('Данные 2st'!$Q$2:$Q$317=$A39),--ISNUMBER('Данные 2st'!$CV$2:$CV$317))</f>
        <v>3</v>
      </c>
      <c r="KM39">
        <f>SUMPRODUCT(--('Данные 2st'!$Q$2:$Q$317=$A39),--ISNUMBER('Данные 2st'!$CW$2:$CW$317))</f>
        <v>3</v>
      </c>
      <c r="KN39">
        <f>SUMPRODUCT(--('Данные 2st'!$Q$2:$Q$317=$A39),--ISNUMBER('Данные 2st'!$CX$2:$CX$317))</f>
        <v>3</v>
      </c>
      <c r="KO39">
        <f>SUMPRODUCT(--('Данные 2st'!$Q$2:$Q$317=$A39),--ISNUMBER('Данные 2st'!$CY$2:$CY$317))</f>
        <v>3</v>
      </c>
      <c r="KP39">
        <f>SUMPRODUCT(--('Данные 2st'!$Q$2:$Q$317=$A39),--ISNUMBER('Данные 2st'!$CZ$2:$CZ$317))</f>
        <v>3</v>
      </c>
      <c r="KQ39">
        <f>SUMPRODUCT(--('Данные 2st'!$Q$2:$Q$317=$A39),--ISNUMBER('Данные 2st'!$DA$2:$DA$317))</f>
        <v>3</v>
      </c>
      <c r="KR39">
        <f>SUMPRODUCT(--('Данные 2st'!$Q$2:$Q$317=$A39),--ISNUMBER('Данные 2st'!$DB$2:$DB$317))</f>
        <v>3</v>
      </c>
      <c r="KS39">
        <f>SUMPRODUCT(--('Данные 2st'!$Q$2:$Q$317=$A39),--ISNUMBER('Данные 2st'!$DC$2:$DC$317))</f>
        <v>3</v>
      </c>
      <c r="KT39">
        <f>SUMPRODUCT(--('Данные 2st'!$Q$2:$Q$317=$A39),--ISNUMBER('Данные 2st'!$DD$2:$DD$317))</f>
        <v>3</v>
      </c>
      <c r="KU39">
        <f>SUMPRODUCT(--('Данные 2st'!$Q$2:$Q$317=$A39),--ISNUMBER('Данные 2st'!$DE$2:$DE$317))</f>
        <v>3</v>
      </c>
      <c r="KV39">
        <f>SUMPRODUCT(--('Данные 2st'!$Q$2:$Q$317=$A39),--ISNUMBER('Данные 2st'!$DF$2:$DF$317))</f>
        <v>3</v>
      </c>
      <c r="KW39">
        <f>SUMPRODUCT(--('Данные 2st'!$Q$2:$Q$317=$A39),--ISNUMBER('Данные 2st'!$DG$2:$DG$317))</f>
        <v>3</v>
      </c>
      <c r="KX39">
        <f>SUMPRODUCT(--('Данные 2st'!$Q$2:$Q$317=$A39),--ISNUMBER('Данные 2st'!$DH$2:$DH$317))</f>
        <v>1</v>
      </c>
      <c r="KY39">
        <f>SUMPRODUCT(--('Данные 2st'!$Q$2:$Q$317=$A39),--ISNUMBER('Данные 2st'!$DI$2:$DI$317))</f>
        <v>0</v>
      </c>
      <c r="KZ39">
        <f>SUMPRODUCT(--('Данные 2st'!$Q$2:$Q$317=$A39),--ISNUMBER('Данные 2st'!$DK$2:$DK$317))</f>
        <v>3</v>
      </c>
      <c r="LA39">
        <f>SUMPRODUCT(--('Данные 2st'!$Q$2:$Q$317=$A39),--ISNUMBER('Данные 2st'!$DM$2:$DM$317))</f>
        <v>3</v>
      </c>
      <c r="LB39">
        <f>SUMPRODUCT(--('Данные 2st'!$Q$2:$Q$317=$A39),--ISNUMBER('Данные 2st'!$DN$2:$DN$317))</f>
        <v>3</v>
      </c>
      <c r="LC39">
        <f>SUMPRODUCT(--('Данные 2st'!$Q$2:$Q$317=$A39),--ISNUMBER('Данные 2st'!$DO$2:$DO$317))</f>
        <v>3</v>
      </c>
      <c r="LD39">
        <f>SUMPRODUCT(--('Данные 2st'!$Q$2:$Q$317=$A39),--ISNUMBER('Данные 2st'!$DP$2:$DP$317))</f>
        <v>3</v>
      </c>
      <c r="LE39">
        <f>SUMPRODUCT(--('Данные 2st'!$Q$2:$Q$317=$A39),--ISNUMBER('Данные 2st'!$DQ$2:$DQ$317))</f>
        <v>3</v>
      </c>
      <c r="LF39">
        <f>SUMPRODUCT(--('Данные 2st'!$Q$2:$Q$317=$A39),--ISNUMBER('Данные 2st'!$DS$2:$DS$317))</f>
        <v>3</v>
      </c>
      <c r="LG39">
        <f>SUMPRODUCT(--('Данные 2st'!$Q$2:$Q$317=$A39),--ISNUMBER('Данные 2st'!$DU$2:$DU$317))</f>
        <v>3</v>
      </c>
      <c r="LH39">
        <f>SUMPRODUCT(--('Данные 2st'!$Q$2:$Q$317=$A39),--ISNUMBER('Данные 2st'!$DV$2:$DV$317))</f>
        <v>3</v>
      </c>
      <c r="LI39">
        <f>SUMPRODUCT(--('Данные 2st'!$Q$2:$Q$317=$A39),--ISNUMBER('Данные 2st'!$DW$2:$DW$317))</f>
        <v>3</v>
      </c>
      <c r="LJ39">
        <f>SUMPRODUCT(--('Данные 2st'!$Q$2:$Q$317=$A39),--ISNUMBER('Данные 2st'!$DX$2:$DX$317))</f>
        <v>3</v>
      </c>
      <c r="LK39">
        <f>SUMPRODUCT(--('Данные 2st'!$Q$2:$Q$317=$A39),--ISNUMBER('Данные 2st'!$DY$2:$DY$317))</f>
        <v>3</v>
      </c>
      <c r="LL39">
        <f>SUMPRODUCT(--('Данные 2st'!$Q$2:$Q$317=$A39),--ISNUMBER('Данные 2st'!$EA$2:$EA$317))</f>
        <v>3</v>
      </c>
      <c r="LM39">
        <f>SUMPRODUCT(--('Данные 2st'!$Q$2:$Q$317=$A39),--ISNUMBER('Данные 2st'!$EC$2:$EC$317))</f>
        <v>3</v>
      </c>
      <c r="LN39">
        <f>SUMPRODUCT(--('Данные 2st'!$Q$2:$Q$317=$A39),--ISNUMBER('Данные 2st'!$ED$2:$ED$317))</f>
        <v>3</v>
      </c>
      <c r="LO39">
        <f>SUMPRODUCT(--('Данные 2st'!$Q$2:$Q$317=$A39),--ISNUMBER('Данные 2st'!$EE$2:$EE$317))</f>
        <v>3</v>
      </c>
      <c r="LP39">
        <f>SUMPRODUCT(--('Данные 2st'!$Q$2:$Q$317=$A39),--ISNUMBER('Данные 2st'!$EG$2:$EG$317))</f>
        <v>3</v>
      </c>
      <c r="LQ39">
        <f>SUMPRODUCT(--('Данные 2st'!$Q$2:$Q$317=$A39),--ISNUMBER('Данные 2st'!$EI$2:$EI$317))</f>
        <v>3</v>
      </c>
      <c r="LR39">
        <f>SUMPRODUCT(--('Данные 2st'!$Q$2:$Q$317=$A39),--ISNUMBER('Данные 2st'!$EJ$2:$EJ$317))</f>
        <v>0</v>
      </c>
      <c r="LS39">
        <f>SUMPRODUCT(--('Данные 2st'!$Q$2:$Q$317=$A39),--ISNUMBER('Данные 2st'!$EK$2:$EK$317))</f>
        <v>0</v>
      </c>
      <c r="LT39">
        <f>SUMPRODUCT(--('Данные 2st'!$Q$2:$Q$317=$A39),--ISNUMBER('Данные 2st'!$EM$2:$EM$317))</f>
        <v>3</v>
      </c>
      <c r="LU39">
        <f>SUMPRODUCT(--('Данные 2st'!$Q$2:$Q$317=$A39),--ISNUMBER('Данные 2st'!$EN$2:$EN$317))</f>
        <v>3</v>
      </c>
      <c r="LV39">
        <f>SUMPRODUCT(--('Данные 2st'!$Q$2:$Q$317=$A39),--ISNUMBER('Данные 2st'!$EO$2:$EO$317))</f>
        <v>3</v>
      </c>
      <c r="LW39">
        <f>SUMPRODUCT(--('Данные 2st'!$Q$2:$Q$317=$A39),--ISNUMBER('Данные 2st'!$EP$2:$EP$317))</f>
        <v>3</v>
      </c>
      <c r="LX39">
        <f>SUMPRODUCT(--('Данные 2st'!$Q$2:$Q$317=$A39),--ISNUMBER('Данные 2st'!$EQ$2:$EQ$317))</f>
        <v>3</v>
      </c>
      <c r="LY39">
        <f>SUMPRODUCT(--('Данные 2st'!$Q$2:$Q$317=$A39),--ISNUMBER('Данные 2st'!$ER$2:$ER$317))</f>
        <v>3</v>
      </c>
      <c r="LZ39">
        <f>SUMPRODUCT(--('Данные 2st'!$Q$2:$Q$317=$A39),--ISNUMBER('Данные 2st'!$ES$2:$ES$317))</f>
        <v>3</v>
      </c>
      <c r="MA39">
        <f>SUMPRODUCT(--('Данные 2st'!$Q$2:$Q$317=$A39),--ISNUMBER('Данные 2st'!$ET$2:$ET$317))</f>
        <v>3</v>
      </c>
      <c r="MB39">
        <f>SUMPRODUCT(--('Данные 2st'!$Q$2:$Q$317=$A39),--ISNUMBER('Данные 2st'!$EU$2:$EU$317))</f>
        <v>3</v>
      </c>
      <c r="MC39">
        <f>SUMPRODUCT(--('Данные 2st'!$Q$2:$Q$317=$A39),--ISNUMBER('Данные 2st'!$EV$2:$EV$317))</f>
        <v>3</v>
      </c>
      <c r="MD39">
        <f>SUMPRODUCT(--('Данные 2st'!$Q$2:$Q$317=$A39),--ISNUMBER('Данные 2st'!$EW$2:$EW$317))</f>
        <v>3</v>
      </c>
      <c r="ME39">
        <f>SUMPRODUCT(--('Данные 2st'!$Q$2:$Q$317=$A39),--ISNUMBER('Данные 2st'!$EY$2:$EY$317))</f>
        <v>3</v>
      </c>
      <c r="MF39">
        <f>SUMPRODUCT(--('Данные 2st'!$Q$2:$Q$317=$A39),--ISNUMBER('Данные 2st'!$FA$2:$FA$317))</f>
        <v>3</v>
      </c>
      <c r="MG39">
        <f>SUMPRODUCT(--('Данные 2st'!$Q$2:$Q$317=$A39),--ISNUMBER('Данные 2st'!$FB$2:$FB$317))</f>
        <v>3</v>
      </c>
      <c r="MH39">
        <f>SUMPRODUCT(--('Данные 2st'!$Q$2:$Q$317=$A39),--ISNUMBER('Данные 2st'!$FC$2:$FC$317))</f>
        <v>3</v>
      </c>
      <c r="MI39">
        <f>SUMPRODUCT(--('Данные 2st'!$Q$2:$Q$317=$A39),--ISNUMBER('Данные 2st'!$FD$2:$FD$317))</f>
        <v>3</v>
      </c>
      <c r="MJ39">
        <f>SUMPRODUCT(--('Данные 2st'!$Q$2:$Q$317=$A39),--ISNUMBER('Данные 2st'!$FE$2:$FE$317))</f>
        <v>3</v>
      </c>
      <c r="MK39">
        <f>SUMPRODUCT(--('Данные 2st'!$Q$2:$Q$317=$A39),--ISNUMBER('Данные 2st'!$FG$2:$FG$317))</f>
        <v>3</v>
      </c>
      <c r="ML39">
        <f>SUMPRODUCT(--('Данные 2st'!$Q$2:$Q$317=$A39),--ISNUMBER('Данные 2st'!$FI$2:$FI$317))</f>
        <v>3</v>
      </c>
      <c r="MM39">
        <f>SUMPRODUCT(--('Данные 2st'!$Q$2:$Q$317=$A39),--ISNUMBER('Данные 2st'!$FJ$2:$FJ$317))</f>
        <v>3</v>
      </c>
      <c r="MN39">
        <f>SUMPRODUCT(--('Данные 2st'!$Q$2:$Q$317=$A39),--ISNUMBER('Данные 2st'!$FK$2:$FK$317))</f>
        <v>3</v>
      </c>
      <c r="MO39">
        <f>SUMPRODUCT(--('Данные 2st'!$Q$2:$Q$317=$A39),--ISNUMBER('Данные 2st'!$FP$2:$FP$317))</f>
        <v>3</v>
      </c>
      <c r="MP39">
        <f>SUMPRODUCT(--('Данные 2st'!$Q$2:$Q$317=$A39),--ISNUMBER('Данные 2st'!$FQ$2:$FQ$317))</f>
        <v>3</v>
      </c>
      <c r="MQ39">
        <f>SUMPRODUCT(--('Данные 2st'!$Q$2:$Q$317=$A39),--ISNUMBER('Данные 2st'!$FS$2:$FS$317))</f>
        <v>3</v>
      </c>
      <c r="MR39">
        <f>SUMPRODUCT(--('Данные 2st'!$Q$2:$Q$317=$A39),--ISNUMBER('Данные 2st'!$FU$2:$FU$317))</f>
        <v>3</v>
      </c>
      <c r="MS39">
        <f>SUMPRODUCT(--('Данные 2st'!$Q$2:$Q$317=$A39),--ISNUMBER('Данные 2st'!$FV$2:$FV$317))</f>
        <v>3</v>
      </c>
      <c r="MT39">
        <f>SUMPRODUCT(--('Данные 2st'!$Q$2:$Q$317=$A39),--ISNUMBER('Данные 2st'!$FW$2:$FW$317))</f>
        <v>3</v>
      </c>
      <c r="MU39">
        <f>SUMPRODUCT(--('Данные 2st'!$Q$2:$Q$317=$A39),--ISNUMBER('Данные 2st'!$FY$2:$FY$317))</f>
        <v>2</v>
      </c>
      <c r="MV39">
        <f>SUMPRODUCT(--('Данные 2st'!$Q$2:$Q$317=$A39),--ISNUMBER('Данные 2st'!$GB$2:$GB$317))</f>
        <v>2</v>
      </c>
      <c r="MW39">
        <f>SUMPRODUCT(--('Данные 2st'!$Q$2:$Q$317=$A39),--ISNUMBER('Данные 2st'!$GC$2:$GC$317))</f>
        <v>2</v>
      </c>
      <c r="MX39">
        <f>SUMPRODUCT(--('Данные 2st'!$Q$2:$Q$317=$A39),--ISNUMBER('Данные 2st'!$GD$2:$GD$317))</f>
        <v>3</v>
      </c>
      <c r="MY39">
        <f>SUMPRODUCT(--('Данные 2st'!$Q$2:$Q$317=$A39),--ISNUMBER('Данные 2st'!$GN$2:$GN$317))</f>
        <v>0</v>
      </c>
      <c r="MZ39">
        <f>SUMPRODUCT(--('Данные 2st'!$Q$2:$Q$317=$A39),--ISNUMBER('Данные 2st'!$GQ$2:$GQ$317))</f>
        <v>3</v>
      </c>
      <c r="NA39">
        <f>SUMPRODUCT(--('Данные 2st'!$Q$2:$Q$317=$A39),--ISNUMBER('Данные 2st'!$GV$2:$GV$317))</f>
        <v>3</v>
      </c>
      <c r="NB39">
        <f>SUMPRODUCT(--('Данные 2st'!$Q$2:$Q$317=$A39),--ISNUMBER('Данные 2st'!$GW$2:$GW$317))</f>
        <v>3</v>
      </c>
      <c r="NC39">
        <f>SUMPRODUCT(--('Данные 2st'!$Q$2:$Q$317=$A39),--ISNUMBER('Данные 2st'!$GX$2:$GX$317))</f>
        <v>3</v>
      </c>
      <c r="ND39">
        <f>SUMPRODUCT(--('Данные 2st'!$Q$2:$Q$317=$A39),--ISNUMBER('Данные 2st'!$GY$2:$GY$317))</f>
        <v>3</v>
      </c>
      <c r="NE39">
        <f>SUMPRODUCT(--('Данные 2st'!$Q$2:$Q$317=$A39),--ISNUMBER('Данные 2st'!$GZ$2:$GZ$317))</f>
        <v>3</v>
      </c>
      <c r="NF39">
        <f>SUMPRODUCT(--('Данные 2st'!$Q$2:$Q$317=$A39),--ISNUMBER('Данные 2st'!$HA$2:$HA$317))</f>
        <v>3</v>
      </c>
      <c r="NG39">
        <f>SUMPRODUCT(--('Данные 2st'!$Q$2:$Q$317=$A39),--ISNUMBER('Данные 2st'!$HB$2:$HB$317))</f>
        <v>3</v>
      </c>
      <c r="NH39">
        <f>SUMPRODUCT(--('Данные 2st'!$Q$2:$Q$317=$A39),--ISNUMBER('Данные 2st'!$HC$2:$HC$317))</f>
        <v>3</v>
      </c>
      <c r="NI39">
        <f>SUMPRODUCT(--('Данные 2st'!$Q$2:$Q$317=$A39),--ISNUMBER('Данные 2st'!$HD$2:$HD$317))</f>
        <v>3</v>
      </c>
      <c r="NJ39">
        <f>SUMPRODUCT(--('Данные 2st'!$Q$2:$Q$317=$A39),--ISNUMBER('Данные 2st'!$HM$2:$HM$317))</f>
        <v>3</v>
      </c>
      <c r="NK39">
        <f>SUMPRODUCT(--('Данные 2st'!$Q$2:$Q$317=$A39),--ISNUMBER('Данные 2st'!$HR$2:$HR$317))</f>
        <v>3</v>
      </c>
      <c r="NL39">
        <f>SUMPRODUCT(--('Данные 2st'!$Q$2:$Q$317=$A39),--ISNUMBER('Данные 2st'!$HS$2:$HS$317))</f>
        <v>3</v>
      </c>
      <c r="NM39">
        <f>SUMPRODUCT(--('Данные 2st'!$Q$2:$Q$317=$A39),--ISNUMBER('Данные 2st'!$HT$2:$HT$317))</f>
        <v>3</v>
      </c>
      <c r="NN39">
        <f>SUMPRODUCT(--('Данные 2st'!$Q$2:$Q$317=$A39),--ISNUMBER('Данные 2st'!$HY$2:$HY$317))</f>
        <v>3</v>
      </c>
      <c r="NO39">
        <f>SUMPRODUCT(--('Данные 2st'!$Q$2:$Q$317=$A39),--ISNUMBER('Данные 2st'!$HZ$2:$HZ$317))</f>
        <v>3</v>
      </c>
      <c r="NP39">
        <f>SUMPRODUCT(--('Данные 2st'!$Q$2:$Q$317=$A39),--ISNUMBER('Данные 2st'!$IA$2:$IA$317))</f>
        <v>3</v>
      </c>
      <c r="NQ39">
        <f>SUMPRODUCT(--('Данные 2st'!$Q$2:$Q$317=$A39),--ISNUMBER('Данные 2st'!$IB$2:$IB$317))</f>
        <v>3</v>
      </c>
      <c r="NR39">
        <f>SUMPRODUCT(--('Данные 2st'!$Q$2:$Q$317=$A39),--ISNUMBER('Данные 2st'!$IC$2:$IC$317))</f>
        <v>0</v>
      </c>
      <c r="NS39">
        <f>SUMPRODUCT(--('Данные 2st'!$Q$2:$Q$317=$A39),--ISNUMBER('Данные 2st'!$ID$2:$ID$317))</f>
        <v>3</v>
      </c>
      <c r="NT39">
        <f>SUMPRODUCT(--('Данные 2st'!$Q$2:$Q$317=$A39),--ISNUMBER('Данные 2st'!$IE$2:$IE$317))</f>
        <v>3</v>
      </c>
      <c r="NU39">
        <f>SUMPRODUCT(--('Данные 2st'!$Q$2:$Q$317=$A39),--ISNUMBER('Данные 2st'!$IF$2:$IF$317))</f>
        <v>3</v>
      </c>
      <c r="NV39">
        <f>SUMPRODUCT(--('Данные 2st'!$Q$2:$Q$317=$A39),--ISNUMBER('Данные 2st'!$IG$2:$IG$317))</f>
        <v>3</v>
      </c>
      <c r="NW39">
        <f>SUMPRODUCT(--('Данные 2st'!$Q$2:$Q$317=$A39),--ISNUMBER('Данные 2st'!$IH$2:$IH$317))</f>
        <v>3</v>
      </c>
      <c r="NX39">
        <f>SUMPRODUCT(--('Данные 2st'!$Q$2:$Q$317=$A39),--ISNUMBER('Данные 2st'!$IJ$2:$IJ$317))</f>
        <v>3</v>
      </c>
      <c r="NY39">
        <f>SUMPRODUCT(--('Данные 2st'!$Q$2:$Q$317=$A39),--ISNUMBER('Данные 2st'!$IM$2:$IM$317))</f>
        <v>3</v>
      </c>
      <c r="NZ39">
        <f>SUMPRODUCT(--('Данные 2st'!$Q$2:$Q$317=$A39),--ISNUMBER('Данные 2st'!$IN$2:$IN$317))</f>
        <v>3</v>
      </c>
      <c r="OA39">
        <f>SUMPRODUCT(--('Данные 2st'!$Q$2:$Q$317=$A39),--ISNUMBER('Данные 2st'!$IO$2:$IO$317))</f>
        <v>3</v>
      </c>
      <c r="OB39">
        <f>SUMPRODUCT(--('Данные 2st'!$Q$2:$Q$317=$A39),--ISNUMBER('Данные 2st'!$IP$2:$IP$317))</f>
        <v>3</v>
      </c>
      <c r="OC39">
        <f>SUMPRODUCT(--('Данные 2st'!$Q$2:$Q$317=$A39),--ISNUMBER('Данные 2st'!$IQ$2:$IQ$317))</f>
        <v>3</v>
      </c>
      <c r="OD39">
        <f>SUMPRODUCT(--('Данные 2st'!$Q$2:$Q$317=$A39),--ISNUMBER('Данные 2st'!$IR$2:$IR$317))</f>
        <v>3</v>
      </c>
      <c r="OE39">
        <f>SUMPRODUCT(--('Данные 2st'!$Q$2:$Q$317=$A39),--ISNUMBER('Данные 2st'!$IT$2:$IT$317))</f>
        <v>3</v>
      </c>
      <c r="OF39">
        <f>SUMPRODUCT(--('Данные 2st'!$Q$2:$Q$317=$A39),--ISNUMBER('Данные 2st'!$IU$2:$IU$317))</f>
        <v>3</v>
      </c>
      <c r="OG39">
        <f>SUMPRODUCT(--('Данные 2st'!$Q$2:$Q$317=$A39),--ISNUMBER('Данные 2st'!$IV$2:$IV$317))</f>
        <v>3</v>
      </c>
      <c r="OH39">
        <f>SUMPRODUCT(--('Данные 2st'!$Q$2:$Q$317=$A39),--ISNUMBER('Данные 2st'!$IW$2:$IW$317))</f>
        <v>3</v>
      </c>
      <c r="OI39">
        <f>SUMPRODUCT(--('Данные 2st'!$Q$2:$Q$317=$A39),--ISNUMBER('Данные 2st'!$IX$2:$IX$317))</f>
        <v>3</v>
      </c>
      <c r="OJ39">
        <f>SUMPRODUCT(--('Данные 2st'!$Q$2:$Q$317=$A39),--ISNUMBER('Данные 2st'!$IY$2:$IY$317))</f>
        <v>3</v>
      </c>
      <c r="OK39">
        <f>SUMPRODUCT(--('Данные 2st'!$Q$2:$Q$317=$A39),--ISNUMBER('Данные 2st'!$IZ$2:$IZ$317))</f>
        <v>3</v>
      </c>
      <c r="OL39">
        <f>SUMPRODUCT(--('Данные 2st'!$Q$2:$Q$317=$A39),--ISNUMBER('Данные 2st'!$JA$2:$JA$317))</f>
        <v>3</v>
      </c>
      <c r="OM39">
        <f>SUMPRODUCT(--('Данные 2st'!$Q$2:$Q$317=$A39),--ISNUMBER('Данные 2st'!$JB$2:$JB$317))</f>
        <v>3</v>
      </c>
      <c r="ON39">
        <f>SUMPRODUCT(--('Данные 2st'!$Q$2:$Q$317=$A39),--ISNUMBER('Данные 2st'!$JC$2:$JC$317))</f>
        <v>3</v>
      </c>
      <c r="OO39">
        <f>SUMPRODUCT(--('Данные 2st'!$Q$2:$Q$317=$A39),--ISNUMBER('Данные 2st'!$JD$2:$JD$317))</f>
        <v>3</v>
      </c>
      <c r="OP39">
        <f>SUMPRODUCT(--('Данные 2st'!$Q$2:$Q$317=$A39),--ISNUMBER('Данные 2st'!$JE$2:$JE$317))</f>
        <v>3</v>
      </c>
      <c r="OQ39">
        <f>SUMPRODUCT(--('Данные 2st'!$Q$2:$Q$317=$A39),--ISNUMBER('Данные 2st'!$JF$2:$JF$317))</f>
        <v>3</v>
      </c>
      <c r="OR39">
        <f>SUMPRODUCT(--('Данные 2st'!$Q$2:$Q$317=$A39),--ISNUMBER('Данные 2st'!$JG$2:$JG$317))</f>
        <v>3</v>
      </c>
      <c r="OS39">
        <f>SUMPRODUCT(--('Данные 2st'!$Q$2:$Q$317=$A39),--ISNUMBER('Данные 2st'!$JH$2:$JH$317))</f>
        <v>3</v>
      </c>
      <c r="OT39">
        <f>SUMPRODUCT(--('Данные 2st'!$Q$2:$Q$317=$A39),--ISNUMBER('Данные 2st'!$JI$2:$JI$317))</f>
        <v>3</v>
      </c>
      <c r="OU39">
        <f>SUMPRODUCT(--('Данные 2st'!$Q$2:$Q$317=$A39),--ISNUMBER('Данные 2st'!$JJ$2:$JJ$317))</f>
        <v>3</v>
      </c>
      <c r="OV39">
        <f>SUMPRODUCT(--('Данные 2st'!$Q$2:$Q$317=$A39),--ISNUMBER('Данные 2st'!$JK$2:$JK$317))</f>
        <v>3</v>
      </c>
      <c r="OW39">
        <f>SUMPRODUCT(--('Данные 2st'!$Q$2:$Q$317=$A39),--ISNUMBER('Данные 2st'!$JL$2:$JL$317))</f>
        <v>3</v>
      </c>
      <c r="OX39">
        <f>SUMPRODUCT(--('Данные 2st'!$Q$2:$Q$317=$A39),--ISNUMBER('Данные 2st'!$JM$2:$JM$317))</f>
        <v>3</v>
      </c>
      <c r="OY39">
        <f>SUMPRODUCT(--('Данные 2st'!$Q$2:$Q$317=$A39),--ISNUMBER('Данные 2st'!$JP$2:$JP$317))</f>
        <v>3</v>
      </c>
      <c r="OZ39">
        <f>SUMPRODUCT(--('Данные 2st'!$Q$2:$Q$317=$A39),--ISNUMBER('Данные 2st'!$JQ$2:$JQ$317))</f>
        <v>3</v>
      </c>
      <c r="PA39">
        <f>SUMPRODUCT(--('Данные 2st'!$Q$2:$Q$317=$A39),--ISNUMBER('Данные 2st'!$JR$2:$JR$317))</f>
        <v>3</v>
      </c>
      <c r="PB39">
        <f>SUMPRODUCT(--('Данные 2st'!$Q$2:$Q$317=$A39),--ISNUMBER('Данные 2st'!$JS$2:$JS$317))</f>
        <v>3</v>
      </c>
      <c r="PC39">
        <f>SUMPRODUCT(--('Данные 2st'!$Q$2:$Q$317=$A39),--ISNUMBER('Данные 2st'!$JT$2:$JT$317))</f>
        <v>3</v>
      </c>
      <c r="PD39">
        <f>SUMPRODUCT(--('Данные 2st'!$Q$2:$Q$317=$A39),--ISNUMBER('Данные 2st'!$JU$2:$JU$317))</f>
        <v>3</v>
      </c>
      <c r="PE39">
        <f>SUMPRODUCT(--('Данные 2st'!$Q$2:$Q$317=$A39),--ISNUMBER('Данные 2st'!$JV$2:$JV$317))</f>
        <v>3</v>
      </c>
      <c r="PF39">
        <f>SUMPRODUCT(--('Данные 2st'!$Q$2:$Q$317=$A39),--ISNUMBER('Данные 2st'!$JW$2:$JW$317))</f>
        <v>3</v>
      </c>
      <c r="PG39">
        <f>SUMPRODUCT(--('Данные 2st'!$Q$2:$Q$317=$A39),--ISNUMBER('Данные 2st'!$KF$2:$KF$317))</f>
        <v>3</v>
      </c>
      <c r="PH39">
        <f>SUMPRODUCT(--('Данные 2st'!$Q$2:$Q$317=$A39),--ISNUMBER('Данные 2st'!$KG$2:$KG$317))</f>
        <v>3</v>
      </c>
      <c r="PI39">
        <f>SUMPRODUCT(--('Данные 2st'!$Q$2:$Q$317=$A39),--ISNUMBER('Данные 2st'!$KM$2:$KM$317))</f>
        <v>3</v>
      </c>
      <c r="PJ39">
        <f>SUMPRODUCT(--('Данные 2st'!$Q$2:$Q$317=$A39),--ISNUMBER('Данные 2st'!$KN$2:$KN$317))</f>
        <v>3</v>
      </c>
      <c r="PK39">
        <f>SUMPRODUCT(--('Данные 2st'!$Q$2:$Q$317=$A39),--ISNUMBER('Данные 2st'!$KO$2:$KO$317))</f>
        <v>3</v>
      </c>
      <c r="PL39">
        <f>SUMPRODUCT(--('Данные 2st'!$Q$2:$Q$317=$A39),--ISNUMBER('Данные 2st'!$KP$2:$KP$317))</f>
        <v>3</v>
      </c>
      <c r="PM39">
        <f>SUMPRODUCT(--('Данные 2st'!$Q$2:$Q$317=$A39),--ISNUMBER('Данные 2st'!$KQ$2:$KQ$317))</f>
        <v>3</v>
      </c>
      <c r="PN39">
        <f>SUMPRODUCT(--('Данные 2st'!$Q$2:$Q$317=$A39),--ISNUMBER('Данные 2st'!$KR$2:$KR$317))</f>
        <v>3</v>
      </c>
      <c r="PO39">
        <f>SUMPRODUCT(--('Данные 2st'!$Q$2:$Q$317=$A39),--ISNUMBER('Данные 2st'!$KS$2:$KS$317))</f>
        <v>3</v>
      </c>
      <c r="PP39">
        <f>SUMPRODUCT(--('Данные 2st'!$Q$2:$Q$317=$A39),--ISNUMBER('Данные 2st'!$KT$2:$KT$317))</f>
        <v>3</v>
      </c>
      <c r="PQ39">
        <f>SUMPRODUCT(--('Данные 2st'!$Q$2:$Q$317=$A39),--ISNUMBER('Данные 2st'!$KU$2:$KU$317))</f>
        <v>3</v>
      </c>
      <c r="PR39">
        <f>SUMPRODUCT(--('Данные 2st'!$Q$2:$Q$317=$A39),--ISNUMBER('Данные 2st'!$KV$2:$KV$317))</f>
        <v>3</v>
      </c>
      <c r="PS39">
        <f>SUMPRODUCT(--('Данные 2st'!$Q$2:$Q$317=$A39),--ISNUMBER('Данные 2st'!$KW$2:$KW$317))</f>
        <v>3</v>
      </c>
      <c r="PT39">
        <f>SUMPRODUCT(--('Данные 2st'!$Q$2:$Q$317=$A39),--ISNUMBER('Данные 2st'!$KX$2:$KX$317))</f>
        <v>3</v>
      </c>
      <c r="PU39">
        <f>SUMPRODUCT(--('Данные 2st'!$Q$2:$Q$317=$A39),--ISNUMBER('Данные 2st'!$KY$2:$KY$317))</f>
        <v>3</v>
      </c>
      <c r="PV39">
        <f>SUMPRODUCT(--('Данные 2st'!$Q$2:$Q$317=$A39),--ISNUMBER('Данные 2st'!$KZ$2:$KZ$317))</f>
        <v>3</v>
      </c>
      <c r="PW39">
        <f>SUMPRODUCT(--('Данные 2st'!$Q$2:$Q$317=$A39),--ISNUMBER('Данные 2st'!$LA$2:$LA$317))</f>
        <v>3</v>
      </c>
      <c r="PX39">
        <f>SUMPRODUCT(--('Данные 2st'!$Q$2:$Q$317=$A39),--ISNUMBER('Данные 2st'!$LB$2:$LB$317))</f>
        <v>3</v>
      </c>
      <c r="PY39">
        <f>SUMPRODUCT(--('Данные 2st'!$Q$2:$Q$317=$A39),--ISNUMBER('Данные 2st'!$LC$2:$LC$317))</f>
        <v>3</v>
      </c>
      <c r="PZ39">
        <f>SUMPRODUCT(--('Данные 2st'!$Q$2:$Q$317=$A39),--ISNUMBER('Данные 2st'!$LD$2:$LD$317))</f>
        <v>3</v>
      </c>
      <c r="QA39">
        <f>SUMPRODUCT(--('Данные 2st'!$Q$2:$Q$317=$A39),--ISNUMBER('Данные 2st'!$LE$2:$LE$317))</f>
        <v>3</v>
      </c>
      <c r="QB39">
        <f>SUMPRODUCT(--('Данные 2st'!$Q$2:$Q$317=$A39),--ISNUMBER('Данные 2st'!$LF$2:$LF$317))</f>
        <v>3</v>
      </c>
      <c r="QC39">
        <f>SUMPRODUCT(--('Данные 2st'!$Q$2:$Q$317=$A39),--ISNUMBER('Данные 2st'!$LG$2:$LG$317))</f>
        <v>3</v>
      </c>
      <c r="QD39">
        <f>SUMPRODUCT(--('Данные 2st'!$Q$2:$Q$317=$A39),--ISNUMBER('Данные 2st'!$LH$2:$LH$317))</f>
        <v>3</v>
      </c>
      <c r="QE39">
        <f>SUMPRODUCT(--('Данные 2st'!$Q$2:$Q$317=$A39),--ISNUMBER('Данные 2st'!$LJ$2:$LJ$317))</f>
        <v>3</v>
      </c>
      <c r="QF39">
        <f>SUMPRODUCT(--('Данные 2st'!$Q$2:$Q$317=$A39),--ISNUMBER('Данные 2st'!$LK$2:$LK$317))</f>
        <v>3</v>
      </c>
      <c r="QG39">
        <f>SUMPRODUCT(--('Данные 2st'!$Q$2:$Q$317=$A39),--ISNUMBER('Данные 2st'!$LL$2:$LL$317))</f>
        <v>3</v>
      </c>
      <c r="QH39">
        <f>SUMPRODUCT(--('Данные 2st'!$Q$2:$Q$317=$A39),--ISNUMBER('Данные 2st'!$LM$2:$LM$317))</f>
        <v>3</v>
      </c>
      <c r="QI39">
        <f>SUMPRODUCT(--('Данные 2st'!$Q$2:$Q$317=$A39),--ISNUMBER('Данные 2st'!$LN$2:$LN$317))</f>
        <v>3</v>
      </c>
      <c r="QJ39">
        <f>SUMPRODUCT(--('Данные 2st'!$Q$2:$Q$317=$A39),--ISNUMBER('Данные 2st'!$LO$2:$LO$317))</f>
        <v>3</v>
      </c>
      <c r="QK39">
        <f>SUMPRODUCT(--('Данные 2st'!$Q$2:$Q$317=$A39),--ISNUMBER('Данные 2st'!$LP$2:$LP$317))</f>
        <v>3</v>
      </c>
      <c r="QL39">
        <f>SUMPRODUCT(--('Данные 2st'!$Q$2:$Q$317=$A39),--ISNUMBER('Данные 2st'!$LQ$2:$LQ$317))</f>
        <v>3</v>
      </c>
      <c r="QM39">
        <f>SUMPRODUCT(--('Данные 2st'!$Q$2:$Q$317=$A39),--ISNUMBER('Данные 2st'!$LW$2:$LW$317))</f>
        <v>3</v>
      </c>
      <c r="QN39">
        <f>SUMPRODUCT(--('Данные 2st'!$Q$2:$Q$317=$A39),--ISNUMBER('Данные 2st'!$LX$2:$LX$317))</f>
        <v>3</v>
      </c>
      <c r="QO39">
        <f>SUMPRODUCT(--('Данные 2st'!$Q$2:$Q$317=$A39),--ISNUMBER('Данные 2st'!$LY$2:$LY$317))</f>
        <v>3</v>
      </c>
      <c r="QP39">
        <f>SUMPRODUCT(--('Данные 2st'!$Q$2:$Q$317=$A39),--ISNUMBER('Данные 2st'!$LZ$2:$LZ$317))</f>
        <v>3</v>
      </c>
      <c r="QQ39">
        <f>SUMPRODUCT(--('Данные 2st'!$Q$2:$Q$317=$A39),--ISNUMBER('Данные 2st'!$MB$2:$MB$317))</f>
        <v>3</v>
      </c>
      <c r="QR39">
        <f>SUMPRODUCT(--('Данные 2st'!$Q$2:$Q$317=$A39),--ISNUMBER('Данные 2st'!$MG$2:$MG$317))</f>
        <v>3</v>
      </c>
      <c r="QS39">
        <f>SUMPRODUCT(--('Данные 2st'!$Q$2:$Q$317=$A39),--ISNUMBER('Данные 2st'!$MH$2:$MH$317))</f>
        <v>3</v>
      </c>
      <c r="QT39">
        <f>SUMPRODUCT(--('Данные 2st'!$Q$2:$Q$317=$A39),--ISNUMBER('Данные 2st'!$MI$2:$MI$317))</f>
        <v>3</v>
      </c>
      <c r="QU39">
        <f>SUMPRODUCT(--('Данные 2st'!$Q$2:$Q$317=$A39),--ISNUMBER('Данные 2st'!$MJ$2:$MJ$317))</f>
        <v>3</v>
      </c>
      <c r="QV39">
        <f>SUMPRODUCT(--('Данные 2st'!$Q$2:$Q$317=$A39),--ISNUMBER('Данные 2st'!$MK$2:$MK$317))</f>
        <v>3</v>
      </c>
      <c r="QW39">
        <f>SUMPRODUCT(--('Данные 2st'!$Q$2:$Q$317=$A39),--ISNUMBER('Данные 2st'!$MM$2:$MM$317))</f>
        <v>3</v>
      </c>
      <c r="QX39">
        <f>SUMPRODUCT(--('Данные 2st'!$Q$2:$Q$317=$A39),--ISNUMBER('Данные 2st'!$MQ$2:$MQ$317))</f>
        <v>0</v>
      </c>
      <c r="QY39">
        <f>SUMPRODUCT(--('Данные 2st'!$Q$2:$Q$317=$A39),--ISNUMBER('Данные 2st'!$MR$2:$MR$317))</f>
        <v>0</v>
      </c>
      <c r="QZ39">
        <f>SUMPRODUCT(--('Данные 2st'!$Q$2:$Q$317=$A39),--ISNUMBER('Данные 2st'!$MS$2:$MS$317))</f>
        <v>0</v>
      </c>
      <c r="RA39">
        <f>SUMPRODUCT(--('Данные 2st'!$Q$2:$Q$317=$A39),--ISNUMBER('Данные 2st'!$MT$2:$MT$317))</f>
        <v>0</v>
      </c>
      <c r="RB39">
        <f>SUMPRODUCT(--('Данные 2st'!$Q$2:$Q$317=$A39),--ISNUMBER('Данные 2st'!$MU$2:$MU$317))</f>
        <v>0</v>
      </c>
      <c r="RC39">
        <f>SUMPRODUCT(--('Данные 2st'!$Q$2:$Q$317=$A39),--ISNUMBER('Данные 2st'!$MV$2:$MV$317))</f>
        <v>0</v>
      </c>
      <c r="RD39">
        <f>SUMPRODUCT(--('Данные 2st'!$Q$2:$Q$317=$A39),--ISNUMBER('Данные 2st'!$MW$2:$MW$317))</f>
        <v>0</v>
      </c>
      <c r="RE39">
        <f>SUMPRODUCT(--('Данные 2st'!$Q$2:$Q$317=$A39),--ISNUMBER('Данные 2st'!$MX$2:$MX$317))</f>
        <v>0</v>
      </c>
      <c r="RF39">
        <f>SUMPRODUCT(--('Данные 2st'!$Q$2:$Q$317=$A39),--ISNUMBER('Данные 2st'!$MY$2:$MY$317))</f>
        <v>0</v>
      </c>
      <c r="RG39">
        <f>SUMPRODUCT(--('Данные 2st'!$Q$2:$Q$317=$A39),--ISNUMBER('Данные 2st'!$MZ$2:$MZ$317))</f>
        <v>0</v>
      </c>
      <c r="RH39">
        <f>SUMPRODUCT(--('Данные 2st'!$Q$2:$Q$317=$A39),--ISNUMBER('Данные 2st'!$NA$2:$NA$317))</f>
        <v>0</v>
      </c>
      <c r="RI39">
        <f>SUMPRODUCT(--('Данные 2st'!$Q$2:$Q$317=$A39),--ISNUMBER('Данные 2st'!$NB$2:$NB$317))</f>
        <v>0</v>
      </c>
      <c r="RJ39">
        <f>SUMPRODUCT(--('Данные 2st'!$Q$2:$Q$317=$A39),--ISNUMBER('Данные 2st'!$NC$2:$NC$317))</f>
        <v>0</v>
      </c>
      <c r="RK39">
        <f>SUMPRODUCT(--('Данные 2st'!$Q$2:$Q$317=$A39),--ISNUMBER('Данные 2st'!$ND$2:$ND$317))</f>
        <v>0</v>
      </c>
      <c r="RL39">
        <f>SUMPRODUCT(--('Данные 2st'!$Q$2:$Q$317=$A39),--ISNUMBER('Данные 2st'!$NE$2:$NE$317))</f>
        <v>0</v>
      </c>
      <c r="RM39">
        <f>SUMPRODUCT(--('Данные 2st'!$Q$2:$Q$317=$A39),--ISNUMBER('Данные 2st'!$NF$2:$NF$317))</f>
        <v>0</v>
      </c>
      <c r="RN39">
        <f>SUMPRODUCT(--('Данные 2st'!$Q$2:$Q$317=$A39),--ISNUMBER('Данные 2st'!$NG$2:$NG$317))</f>
        <v>0</v>
      </c>
      <c r="RO39">
        <f>SUMPRODUCT(--('Данные 2st'!$Q$2:$Q$317=$A39),--ISNUMBER('Данные 2st'!$NH$2:$NH$317))</f>
        <v>0</v>
      </c>
      <c r="RP39">
        <f>SUMPRODUCT(--('Данные 2st'!$Q$2:$Q$317=$A39),--ISNUMBER('Данные 2st'!$NJ$2:$NJ$317))</f>
        <v>0</v>
      </c>
      <c r="RQ39">
        <f>SUMPRODUCT(--('Данные 2st'!$Q$2:$Q$317=$A39),--ISNUMBER('Данные 2st'!$NK$2:$NK$317))</f>
        <v>0</v>
      </c>
      <c r="RR39">
        <f>SUMPRODUCT(--('Данные 2st'!$Q$2:$Q$317=$A39),--ISNUMBER('Данные 2st'!$NM$2:$NM$317))</f>
        <v>0</v>
      </c>
      <c r="RS39">
        <f>SUMPRODUCT(--('Данные 2st'!$Q$2:$Q$317=$A39),--ISNUMBER('Данные 2st'!$NN$2:$NN$317))</f>
        <v>0</v>
      </c>
      <c r="RT39">
        <f>SUMPRODUCT(--('Данные 2st'!$Q$2:$Q$317=$A39),--ISNUMBER('Данные 2st'!$NO$2:$NO$317))</f>
        <v>0</v>
      </c>
      <c r="RU39">
        <f>SUMPRODUCT(--('Данные 2st'!$Q$2:$Q$317=$A39),--ISNUMBER('Данные 2st'!$NP$2:$NP$317))</f>
        <v>0</v>
      </c>
      <c r="RV39">
        <f>SUMPRODUCT(--('Данные 2st'!$Q$2:$Q$317=$A39),--ISNUMBER('Данные 2st'!$NQ$2:$NQ$317))</f>
        <v>0</v>
      </c>
      <c r="RW39">
        <f>SUMPRODUCT(--('Данные 2st'!$Q$2:$Q$317=$A39),--ISNUMBER('Данные 2st'!$NR$2:$NR$317))</f>
        <v>0</v>
      </c>
      <c r="RX39">
        <f>SUMPRODUCT(--('Данные 2st'!$Q$2:$Q$317=$A39),--ISNUMBER('Данные 2st'!$NS$2:$NS$317))</f>
        <v>0</v>
      </c>
      <c r="RY39">
        <f>SUMPRODUCT(--('Данные 2st'!$Q$2:$Q$317=$A39),--ISNUMBER('Данные 2st'!$NT$2:$NT$317))</f>
        <v>0</v>
      </c>
      <c r="RZ39">
        <f>SUMPRODUCT(--('Данные 2st'!$Q$2:$Q$317=$A39),--ISNUMBER('Данные 2st'!$OK$2:$OK$317))</f>
        <v>3</v>
      </c>
      <c r="SA39">
        <f>SUMPRODUCT(--('Данные 2st'!$Q$2:$Q$317=$A39),--ISNUMBER('Данные 2st'!$OL$2:$OL$317))</f>
        <v>3</v>
      </c>
      <c r="SB39">
        <f>SUMPRODUCT(--('Данные 2st'!$Q$2:$Q$317=$A39),--ISNUMBER('Данные 2st'!$ON$2:$ON$317))</f>
        <v>3</v>
      </c>
      <c r="SC39">
        <f>SUMPRODUCT(--('Данные 2st'!$Q$2:$Q$317=$A39),--ISNUMBER('Данные 2st'!$OO$2:$OO$317))</f>
        <v>3</v>
      </c>
      <c r="SD39">
        <f>SUMPRODUCT(--('Данные 2st'!$Q$2:$Q$317=$A39),--ISNUMBER('Данные 2st'!$OP$2:$OP$317))</f>
        <v>3</v>
      </c>
      <c r="SE39">
        <f>SUMPRODUCT(--('Данные 2st'!$Q$2:$Q$317=$A39),--ISNUMBER('Данные 2st'!$OQ$2:$OQ$317))</f>
        <v>3</v>
      </c>
      <c r="SF39">
        <f>SUMPRODUCT(--('Данные 2st'!$Q$2:$Q$317=$A39),--ISNUMBER('Данные 2st'!$OS$2:$OS$317))</f>
        <v>3</v>
      </c>
      <c r="SG39">
        <f>SUMPRODUCT(--('Данные 2st'!$Q$2:$Q$317=$A39),--ISNUMBER('Данные 2st'!$OT$2:$OT$317))</f>
        <v>3</v>
      </c>
      <c r="SH39">
        <f>SUMPRODUCT(--('Данные 2st'!$Q$2:$Q$317=$A39),--ISNUMBER('Данные 2st'!$OU$2:$OU$317))</f>
        <v>3</v>
      </c>
      <c r="SI39">
        <f>SUMPRODUCT(--('Данные 2st'!$Q$2:$Q$317=$A39),--ISNUMBER('Данные 2st'!$OV$2:$OV$317))</f>
        <v>3</v>
      </c>
      <c r="SJ39">
        <f>SUMPRODUCT(--('Данные 2st'!$Q$2:$Q$317=$A39),--ISNUMBER('Данные 2st'!$OX$2:$OX$317))</f>
        <v>3</v>
      </c>
      <c r="SK39">
        <f>SUMPRODUCT(--('Данные 2st'!$Q$2:$Q$317=$A39),--ISNUMBER('Данные 2st'!$OY$2:$OY$317))</f>
        <v>3</v>
      </c>
      <c r="SL39">
        <f>SUMPRODUCT(--('Данные 2st'!$Q$2:$Q$317=$A39),--ISNUMBER('Данные 2st'!$OZ$2:$OZ$317))</f>
        <v>3</v>
      </c>
      <c r="SM39">
        <f>SUMPRODUCT(--('Данные 2st'!$Q$2:$Q$317=$A39),--ISNUMBER('Данные 2st'!$PA$2:$PA$317))</f>
        <v>3</v>
      </c>
      <c r="SN39">
        <f>SUMPRODUCT(--('Данные 2st'!$Q$2:$Q$317=$A39),--ISNUMBER('Данные 2st'!$PC$2:$PC$317))</f>
        <v>3</v>
      </c>
      <c r="SO39">
        <f>SUMPRODUCT(--('Данные 2st'!$Q$2:$Q$317=$A39),--ISNUMBER('Данные 2st'!$PD$2:$PD$317))</f>
        <v>3</v>
      </c>
      <c r="SP39">
        <f>SUMPRODUCT(--('Данные 2st'!$Q$2:$Q$317=$A39),--ISNUMBER('Данные 2st'!$PF$2:$PF$317))</f>
        <v>3</v>
      </c>
      <c r="SQ39">
        <f>SUMPRODUCT(--('Данные 2st'!$Q$2:$Q$317=$A39),--ISNUMBER('Данные 2st'!$PG$2:$PG$317))</f>
        <v>3</v>
      </c>
      <c r="SR39">
        <f>SUMPRODUCT(--('Данные 2st'!$Q$2:$Q$317=$A39),--ISNUMBER('Данные 2st'!$PH$2:$PH$317))</f>
        <v>3</v>
      </c>
      <c r="SS39">
        <f>SUMPRODUCT(--('Данные 2st'!$Q$2:$Q$317=$A39),--ISNUMBER('Данные 2st'!$PI$2:$PI$317))</f>
        <v>3</v>
      </c>
      <c r="ST39">
        <f>SUMPRODUCT(--('Данные 2st'!$Q$2:$Q$317=$A39),--ISNUMBER('Данные 2st'!$PJ$2:$PJ$317))</f>
        <v>3</v>
      </c>
      <c r="SU39">
        <f>SUMPRODUCT(--('Данные 2st'!$Q$2:$Q$317=$A39),--ISNUMBER('Данные 2st'!$PK$2:$PK$317))</f>
        <v>3</v>
      </c>
      <c r="SV39">
        <f>SUMPRODUCT(--('Данные 2st'!$Q$2:$Q$317=$A39),--ISNUMBER('Данные 2st'!$PL$2:$PL$317))</f>
        <v>3</v>
      </c>
      <c r="SW39">
        <f>SUMPRODUCT(--('Данные 2st'!$Q$2:$Q$317=$A39),--ISNUMBER('Данные 2st'!$PM$2:$PM$317))</f>
        <v>3</v>
      </c>
      <c r="SX39">
        <f>SUMPRODUCT(--('Данные 2st'!$Q$2:$Q$317=$A39),--ISNUMBER('Данные 2st'!$PN$2:$PN$317))</f>
        <v>3</v>
      </c>
      <c r="SY39">
        <f>SUMPRODUCT(--('Данные 2st'!$Q$2:$Q$317=$A39),--ISNUMBER('Данные 2st'!$PO$2:$PO$317))</f>
        <v>2</v>
      </c>
      <c r="SZ39">
        <f>SUMPRODUCT(--('Данные 2st'!$Q$2:$Q$317=$A39),--ISNUMBER('Данные 2st'!$PP$2:$PP$317))</f>
        <v>3</v>
      </c>
      <c r="TA39">
        <f>SUMPRODUCT(--('Данные 2st'!$Q$2:$Q$317=$A39),--ISNUMBER('Данные 2st'!$PQ$2:$PQ$317))</f>
        <v>3</v>
      </c>
      <c r="TB39">
        <f>SUMPRODUCT(--('Данные 2st'!$Q$2:$Q$317=$A39),--ISNUMBER('Данные 2st'!$PR$2:$PR$317))</f>
        <v>3</v>
      </c>
      <c r="TC39">
        <f>SUMPRODUCT(--('Данные 2st'!$Q$2:$Q$317=$A39),--ISNUMBER('Данные 2st'!$PS$2:$PS$317))</f>
        <v>3</v>
      </c>
      <c r="TD39">
        <f>SUMPRODUCT(--('Данные 2st'!$Q$2:$Q$317=$A39),--ISNUMBER('Данные 2st'!$PT$2:$PT$317))</f>
        <v>3</v>
      </c>
      <c r="TE39">
        <f>SUMPRODUCT(--('Данные 2st'!$Q$2:$Q$317=$A39),--ISNUMBER('Данные 2st'!$PU$2:$PU$317))</f>
        <v>3</v>
      </c>
      <c r="TF39">
        <f>SUMPRODUCT(--('Данные 2st'!$Q$2:$Q$317=$A39),--ISNUMBER('Данные 2st'!$PX$2:$PX$317))</f>
        <v>3</v>
      </c>
      <c r="TG39">
        <f>SUMPRODUCT(--('Данные 2st'!$Q$2:$Q$317=$A39),--ISNUMBER('Данные 2st'!$PY$2:$PY$317))</f>
        <v>3</v>
      </c>
      <c r="TH39">
        <f>SUMPRODUCT(--('Данные 2st'!$Q$2:$Q$317=$A39),--ISNUMBER('Данные 2st'!$PZ$2:$PZ$317))</f>
        <v>3</v>
      </c>
      <c r="TI39">
        <f>SUMPRODUCT(--('Данные 2st'!$Q$2:$Q$317=$A39),--ISNUMBER('Данные 2st'!$QA$2:$QA$317))</f>
        <v>3</v>
      </c>
      <c r="TJ39">
        <f>SUMPRODUCT(--('Данные 2st'!$Q$2:$Q$317=$A39),--ISNUMBER('Данные 2st'!$QB$2:$QB$317))</f>
        <v>3</v>
      </c>
      <c r="TK39">
        <f>SUMPRODUCT(--('Данные 2st'!$Q$2:$Q$317=$A39),--ISNUMBER('Данные 2st'!$QC$2:$QC$317))</f>
        <v>3</v>
      </c>
      <c r="TL39">
        <f>SUMPRODUCT(--('Данные 2st'!$Q$2:$Q$317=$A39),--ISNUMBER('Данные 2st'!$QD$2:$QD$317))</f>
        <v>3</v>
      </c>
      <c r="TM39">
        <f>SUMPRODUCT(--('Данные 2st'!$Q$2:$Q$317=$A39),--ISNUMBER('Данные 2st'!$QE$2:$QE$317))</f>
        <v>3</v>
      </c>
      <c r="TN39">
        <f>SUMPRODUCT(--('Данные 2st'!$Q$2:$Q$317=$A39),--ISNUMBER('Данные 2st'!$QF$2:$QF$317))</f>
        <v>3</v>
      </c>
      <c r="TO39">
        <f>SUMPRODUCT(--('Данные 2st'!$Q$2:$Q$317=$A39),--ISNUMBER('Данные 2st'!$QG$2:$QG$317))</f>
        <v>3</v>
      </c>
      <c r="TP39">
        <f>SUMPRODUCT(--('Данные 2st'!$Q$2:$Q$317=$A39),--ISNUMBER('Данные 2st'!$QH$2:$QH$317))</f>
        <v>3</v>
      </c>
      <c r="TQ39">
        <f>SUMPRODUCT(--('Данные 2st'!$Q$2:$Q$317=$A39),--ISNUMBER('Данные 2st'!$QI$2:$QI$317))</f>
        <v>3</v>
      </c>
      <c r="TR39">
        <f>SUMPRODUCT(--('Данные 2st'!$Q$2:$Q$317=$A39),--ISNUMBER('Данные 2st'!$QJ$2:$QJ$317))</f>
        <v>3</v>
      </c>
      <c r="TS39">
        <f>SUMPRODUCT(--('Данные 2st'!$Q$2:$Q$317=$A39),--ISNUMBER('Данные 2st'!$QK$2:$QK$317))</f>
        <v>3</v>
      </c>
      <c r="TT39">
        <f>SUMPRODUCT(--('Данные 2st'!$Q$2:$Q$317=$A39),--ISNUMBER('Данные 2st'!$QL$2:$QL$317))</f>
        <v>3</v>
      </c>
      <c r="TU39">
        <f>SUMPRODUCT(--('Данные 2st'!$Q$2:$Q$317=$A39),--ISNUMBER('Данные 2st'!$QM$2:$QM$317))</f>
        <v>3</v>
      </c>
      <c r="TV39">
        <f>SUMPRODUCT(--('Данные 2st'!$Q$2:$Q$317=$A39),--ISNUMBER('Данные 2st'!$QN$2:$QN$317))</f>
        <v>3</v>
      </c>
      <c r="TW39">
        <f>SUMPRODUCT(--('Данные 2st'!$Q$2:$Q$317=$A39),--ISNUMBER('Данные 2st'!$QQ$2:$QQ$317))</f>
        <v>3</v>
      </c>
      <c r="TX39">
        <f>SUMPRODUCT(--('Данные 2st'!$Q$2:$Q$317=$A39),--ISNUMBER('Данные 2st'!$QS$2:$QS$317))</f>
        <v>3</v>
      </c>
      <c r="TY39">
        <f>SUMPRODUCT(--('Данные 2st'!$Q$2:$Q$317=$A39),--ISNUMBER('Данные 2st'!$QT$2:$QT$317))</f>
        <v>3</v>
      </c>
    </row>
    <row r="40" spans="1:545" ht="32" customHeight="1">
      <c r="A40" s="11" t="str">
        <f>'По размерам'!A40</f>
        <v>225/60R18</v>
      </c>
      <c r="G40">
        <f>SUMPRODUCT(--('Данные 1st'!$S$2:$S$317=$A40),--ISNUMBER('Данные 1st'!$AE$2:$AE$317))</f>
        <v>4</v>
      </c>
      <c r="H40">
        <f>SUMPRODUCT(--('Данные 1st'!$S$2:$S$317=$A40),--ISNUMBER('Данные 1st'!$AF$2:$AF$317))</f>
        <v>4</v>
      </c>
      <c r="I40">
        <f>SUMPRODUCT(--('Данные 1st'!$S$2:$S$317=$A40),--ISNUMBER('Данные 1st'!$AJ$2:$AJ$317))</f>
        <v>4</v>
      </c>
      <c r="J40">
        <f>SUMPRODUCT(--('Данные 1st'!$S$2:$S$317=$A40),--ISNUMBER('Данные 1st'!$AL$2:$AL$317))</f>
        <v>4</v>
      </c>
      <c r="K40">
        <f>SUMPRODUCT(--('Данные 1st'!$S$2:$S$317=$A40),--ISNUMBER('Данные 1st'!$AR$2:$AR$317))</f>
        <v>4</v>
      </c>
      <c r="L40">
        <f>SUMPRODUCT(--('Данные 1st'!$S$2:$S$317=$A40),--ISNUMBER('Данные 1st'!$AS$2:$AS$317))</f>
        <v>4</v>
      </c>
      <c r="M40">
        <f>SUMPRODUCT(--('Данные 1st'!$S$2:$S$317=$A40),--ISNUMBER('Данные 1st'!$AY$2:$AY$317))</f>
        <v>4</v>
      </c>
      <c r="N40">
        <f>SUMPRODUCT(--('Данные 1st'!$S$2:$S$317=$A40),--ISNUMBER('Данные 1st'!$AZ$2:$AZ$317))</f>
        <v>4</v>
      </c>
      <c r="O40">
        <f>SUMPRODUCT(--('Данные 1st'!$S$2:$S$317=$A40),--ISNUMBER('Данные 1st'!$BF$2:$BF$317))</f>
        <v>3</v>
      </c>
      <c r="P40">
        <f>SUMPRODUCT(--('Данные 1st'!$S$2:$S$317=$A40),--ISNUMBER('Данные 1st'!$BG$2:$BG$317))</f>
        <v>4</v>
      </c>
      <c r="Q40">
        <f>SUMPRODUCT(--('Данные 1st'!$S$2:$S$317=$A40),--ISNUMBER('Данные 1st'!$BM$2:$BM$317))</f>
        <v>0</v>
      </c>
      <c r="R40">
        <f>SUMPRODUCT(--('Данные 1st'!$S$2:$S$317=$A40),--ISNUMBER('Данные 1st'!$BN$2:$BN$317))</f>
        <v>4</v>
      </c>
      <c r="S40">
        <f>SUMPRODUCT(--('Данные 1st'!$S$2:$S$317=$A40),--ISNUMBER('Данные 1st'!$BT$2:$BT$317))</f>
        <v>4</v>
      </c>
      <c r="T40">
        <f>SUMPRODUCT(--('Данные 1st'!$S$2:$S$317=$A40),--ISNUMBER('Данные 1st'!$BU$2:$BU$317))</f>
        <v>4</v>
      </c>
      <c r="U40">
        <f>SUMPRODUCT(--('Данные 1st'!$S$2:$S$317=$A40),--ISNUMBER('Данные 1st'!$BW$2:$BW$317))</f>
        <v>4</v>
      </c>
      <c r="V40">
        <f>SUMPRODUCT(--('Данные 1st'!$S$2:$S$317=$A40),--ISNUMBER('Данные 1st'!$BX$2:$BX$317))</f>
        <v>4</v>
      </c>
      <c r="W40">
        <f>SUMPRODUCT(--('Данные 1st'!$S$2:$S$317=$A40),--ISNUMBER('Данные 1st'!$BZ$2:$BZ$317))</f>
        <v>4</v>
      </c>
      <c r="X40">
        <f>SUMPRODUCT(--('Данные 1st'!$S$2:$S$317=$A40),--ISNUMBER('Данные 1st'!$CA$2:$CA$317))</f>
        <v>4</v>
      </c>
      <c r="Y40">
        <f>SUMPRODUCT(--('Данные 1st'!$S$2:$S$317=$A40),--ISNUMBER('Данные 1st'!$CD$2:$CD$317))</f>
        <v>4</v>
      </c>
      <c r="Z40">
        <f>SUMPRODUCT(--('Данные 1st'!$S$2:$S$317=$A40),--ISNUMBER('Данные 1st'!$CF$2:$CF$317))</f>
        <v>4</v>
      </c>
      <c r="AA40">
        <f>SUMPRODUCT(--('Данные 1st'!$S$2:$S$317=$A40),--ISNUMBER('Данные 1st'!$CI$2:$CI$317))</f>
        <v>4</v>
      </c>
      <c r="AB40">
        <f>SUMPRODUCT(--('Данные 1st'!$S$2:$S$317=$A40),--ISNUMBER('Данные 1st'!$CJ$2:$CJ$317))</f>
        <v>4</v>
      </c>
      <c r="AC40">
        <f>SUMPRODUCT(--('Данные 1st'!$S$2:$S$317=$A40),--ISNUMBER('Данные 1st'!$CK$2:$CK$317))</f>
        <v>4</v>
      </c>
      <c r="AD40">
        <f>SUMPRODUCT(--('Данные 1st'!$S$2:$S$317=$A40),--ISNUMBER('Данные 1st'!$CL$2:$CL$317))</f>
        <v>4</v>
      </c>
      <c r="AE40">
        <f>SUMPRODUCT(--('Данные 1st'!$S$2:$S$317=$A40),--ISNUMBER('Данные 1st'!$CM$2:$CM$317))</f>
        <v>4</v>
      </c>
      <c r="AF40">
        <f>SUMPRODUCT(--('Данные 1st'!$S$2:$S$317=$A40),--ISNUMBER('Данные 1st'!$CT$2:$CT$317))</f>
        <v>4</v>
      </c>
      <c r="AG40">
        <f>SUMPRODUCT(--('Данные 1st'!$S$2:$S$317=$A40),--ISNUMBER('Данные 1st'!$CU$2:$CU$317))</f>
        <v>4</v>
      </c>
      <c r="AH40">
        <f>SUMPRODUCT(--('Данные 1st'!$S$2:$S$317=$A40),--ISNUMBER('Данные 1st'!$CV$2:$CV$317))</f>
        <v>4</v>
      </c>
      <c r="AI40">
        <f>SUMPRODUCT(--('Данные 1st'!$S$2:$S$317=$A40),--ISNUMBER('Данные 1st'!$CW$2:$CW$317))</f>
        <v>4</v>
      </c>
      <c r="AJ40">
        <f>SUMPRODUCT(--('Данные 1st'!$S$2:$S$317=$A40),--ISNUMBER('Данные 1st'!$CX$2:$CX$317))</f>
        <v>4</v>
      </c>
      <c r="AK40">
        <f>SUMPRODUCT(--('Данные 1st'!$S$2:$S$317=$A40),--ISNUMBER('Данные 1st'!$CZ$2:$CZ$317))</f>
        <v>0</v>
      </c>
      <c r="AL40">
        <f>SUMPRODUCT(--('Данные 1st'!$S$2:$S$317=$A40),--ISNUMBER('Данные 1st'!$DA$2:$DA$317))</f>
        <v>0</v>
      </c>
      <c r="AM40">
        <f>SUMPRODUCT(--('Данные 1st'!$S$2:$S$317=$A40),--ISNUMBER('Данные 1st'!$DB$2:$DB$317))</f>
        <v>0</v>
      </c>
      <c r="AN40">
        <f>SUMPRODUCT(--('Данные 1st'!$S$2:$S$317=$A40),--ISNUMBER('Данные 1st'!$DC$2:$DC$317))</f>
        <v>0</v>
      </c>
      <c r="AO40">
        <f>SUMPRODUCT(--('Данные 1st'!$S$2:$S$317=$A40),--ISNUMBER('Данные 1st'!$DD$2:$DD$317))</f>
        <v>4</v>
      </c>
      <c r="AP40">
        <f>SUMPRODUCT(--('Данные 1st'!$S$2:$S$317=$A40),--ISNUMBER('Данные 1st'!$DF$2:$DF$317))</f>
        <v>4</v>
      </c>
      <c r="AQ40">
        <f>SUMPRODUCT(--('Данные 1st'!$S$2:$S$317=$A40),--ISNUMBER('Данные 1st'!$DG$2:$DG$317))</f>
        <v>4</v>
      </c>
      <c r="AR40">
        <f>SUMPRODUCT(--('Данные 1st'!$S$2:$S$317=$A40),--ISNUMBER('Данные 1st'!$DH$2:$DH$317))</f>
        <v>4</v>
      </c>
      <c r="AS40">
        <f>SUMPRODUCT(--('Данные 1st'!$S$2:$S$317=$A40),--ISNUMBER('Данные 1st'!$DI$2:$DI$317))</f>
        <v>4</v>
      </c>
      <c r="AT40">
        <f>SUMPRODUCT(--('Данные 1st'!$S$2:$S$317=$A40),--ISNUMBER('Данные 1st'!$DJ$2:$DJ$317))</f>
        <v>4</v>
      </c>
      <c r="AU40">
        <f>SUMPRODUCT(--('Данные 1st'!$S$2:$S$317=$A40),--ISNUMBER('Данные 1st'!$DL$2:$DL$317))</f>
        <v>3</v>
      </c>
      <c r="AV40">
        <f>SUMPRODUCT(--('Данные 1st'!$S$2:$S$317=$A40),--ISNUMBER('Данные 1st'!$DM$2:$DM$317))</f>
        <v>3</v>
      </c>
      <c r="AW40">
        <f>SUMPRODUCT(--('Данные 1st'!$S$2:$S$317=$A40),--ISNUMBER('Данные 1st'!$DN$2:$DN$317))</f>
        <v>3</v>
      </c>
      <c r="AX40">
        <f>SUMPRODUCT(--('Данные 1st'!$S$2:$S$317=$A40),--ISNUMBER('Данные 1st'!$DO$2:$DO$317))</f>
        <v>3</v>
      </c>
      <c r="AY40">
        <f>SUMPRODUCT(--('Данные 1st'!$S$2:$S$317=$A40),--ISNUMBER('Данные 1st'!$DP$2:$DP$317))</f>
        <v>3</v>
      </c>
      <c r="AZ40">
        <f>SUMPRODUCT(--('Данные 1st'!$S$2:$S$317=$A40),--ISNUMBER('Данные 1st'!$DR$2:$DR$317))</f>
        <v>0</v>
      </c>
      <c r="BA40">
        <f>SUMPRODUCT(--('Данные 1st'!$S$2:$S$317=$A40),--ISNUMBER('Данные 1st'!$DS$2:$DS$317))</f>
        <v>0</v>
      </c>
      <c r="BB40">
        <f>SUMPRODUCT(--('Данные 1st'!$S$2:$S$317=$A40),--ISNUMBER('Данные 1st'!$DT$2:$DT$317))</f>
        <v>0</v>
      </c>
      <c r="BC40">
        <f>SUMPRODUCT(--('Данные 1st'!$S$2:$S$317=$A40),--ISNUMBER('Данные 1st'!$DU$2:$DU$317))</f>
        <v>0</v>
      </c>
      <c r="BD40">
        <f>SUMPRODUCT(--('Данные 1st'!$S$2:$S$317=$A40),--ISNUMBER('Данные 1st'!$DV$2:$DV$317))</f>
        <v>0</v>
      </c>
      <c r="BE40">
        <f>SUMPRODUCT(--('Данные 1st'!$S$2:$S$317=$A40),--ISNUMBER('Данные 1st'!$DX$2:$DX$317))</f>
        <v>4</v>
      </c>
      <c r="BF40">
        <f>SUMPRODUCT(--('Данные 1st'!$S$2:$S$317=$A40),--ISNUMBER('Данные 1st'!$EA$2:$EA$317))</f>
        <v>4</v>
      </c>
      <c r="BG40">
        <f>SUMPRODUCT(--('Данные 1st'!$S$2:$S$317=$A40),--ISNUMBER('Данные 1st'!$EB$2:$EB$317))</f>
        <v>4</v>
      </c>
      <c r="BH40">
        <f>SUMPRODUCT(--('Данные 1st'!$S$2:$S$317=$A40),--ISNUMBER('Данные 1st'!$ED$2:$ED$317))</f>
        <v>4</v>
      </c>
      <c r="BI40">
        <f>SUMPRODUCT(--('Данные 1st'!$S$2:$S$317=$A40),--ISNUMBER('Данные 1st'!$EE$2:$EE$317))</f>
        <v>4</v>
      </c>
      <c r="BJ40">
        <f>SUMPRODUCT(--('Данные 1st'!$S$2:$S$317=$A40),--ISNUMBER('Данные 1st'!$EG$2:$EG$317))</f>
        <v>4</v>
      </c>
      <c r="BK40">
        <f>SUMPRODUCT(--('Данные 1st'!$S$2:$S$317=$A40),--ISNUMBER('Данные 1st'!$EH$2:$EH$317))</f>
        <v>4</v>
      </c>
      <c r="BL40">
        <f>SUMPRODUCT(--('Данные 1st'!$S$2:$S$317=$A40),--ISNUMBER('Данные 1st'!$EJ$2:$EJ$317))</f>
        <v>4</v>
      </c>
      <c r="BM40">
        <f>SUMPRODUCT(--('Данные 1st'!$S$2:$S$317=$A40),--ISNUMBER('Данные 1st'!$EK$2:$EK$317))</f>
        <v>4</v>
      </c>
      <c r="BN40">
        <f>SUMPRODUCT(--('Данные 1st'!$S$2:$S$317=$A40),--ISNUMBER('Данные 1st'!$EN$2:$EN$317))</f>
        <v>4</v>
      </c>
      <c r="BO40">
        <f>SUMPRODUCT(--('Данные 1st'!$S$2:$S$317=$A40),--ISNUMBER('Данные 1st'!$EQ$2:$EQ$317))</f>
        <v>4</v>
      </c>
      <c r="BP40">
        <f>SUMPRODUCT(--('Данные 1st'!$S$2:$S$317=$A40),--ISNUMBER('Данные 1st'!$ER$2:$ER$317))</f>
        <v>4</v>
      </c>
      <c r="BQ40">
        <f>SUMPRODUCT(--('Данные 1st'!$S$2:$S$317=$A40),--ISNUMBER('Данные 1st'!$ES$2:$ES$317))</f>
        <v>4</v>
      </c>
      <c r="BR40">
        <f>SUMPRODUCT(--('Данные 1st'!$S$2:$S$317=$A40),--ISNUMBER('Данные 1st'!$ET$2:$ET$317))</f>
        <v>4</v>
      </c>
      <c r="BS40">
        <f>SUMPRODUCT(--('Данные 1st'!$S$2:$S$317=$A40),--ISNUMBER('Данные 1st'!$EU$2:$EU$317))</f>
        <v>4</v>
      </c>
      <c r="BT40">
        <f>SUMPRODUCT(--('Данные 1st'!$S$2:$S$317=$A40),--ISNUMBER('Данные 1st'!$EV$2:$EV$317))</f>
        <v>4</v>
      </c>
      <c r="BU40">
        <f>SUMPRODUCT(--('Данные 1st'!$S$2:$S$317=$A40),--ISNUMBER('Данные 1st'!$EX$2:$EX$317))</f>
        <v>4</v>
      </c>
      <c r="BV40">
        <f>SUMPRODUCT(--('Данные 1st'!$S$2:$S$317=$A40),--ISNUMBER('Данные 1st'!$EY$2:$EY$317))</f>
        <v>4</v>
      </c>
      <c r="BW40">
        <f>SUMPRODUCT(--('Данные 1st'!$S$2:$S$317=$A40),--ISNUMBER('Данные 1st'!$EZ$2:$EZ$317))</f>
        <v>4</v>
      </c>
      <c r="BX40">
        <f>SUMPRODUCT(--('Данные 1st'!$S$2:$S$317=$A40),--ISNUMBER('Данные 1st'!$FA$2:$FA$317))</f>
        <v>4</v>
      </c>
      <c r="BY40">
        <f>SUMPRODUCT(--('Данные 1st'!$S$2:$S$317=$A40),--ISNUMBER('Данные 1st'!$FB$2:$FB$317))</f>
        <v>4</v>
      </c>
      <c r="BZ40">
        <f>SUMPRODUCT(--('Данные 1st'!$S$2:$S$317=$A40),--ISNUMBER('Данные 1st'!$FC$2:$FC$317))</f>
        <v>4</v>
      </c>
      <c r="CA40">
        <f>SUMPRODUCT(--('Данные 1st'!$S$2:$S$317=$A40),--ISNUMBER('Данные 1st'!$FE$2:$FE$317))</f>
        <v>4</v>
      </c>
      <c r="CB40">
        <f>SUMPRODUCT(--('Данные 1st'!$S$2:$S$317=$A40),--ISNUMBER('Данные 1st'!$FF$2:$FF$317))</f>
        <v>4</v>
      </c>
      <c r="CC40">
        <f>SUMPRODUCT(--('Данные 1st'!$S$2:$S$317=$A40),--ISNUMBER('Данные 1st'!$FI$2:$FI$317))</f>
        <v>4</v>
      </c>
      <c r="CD40">
        <f>SUMPRODUCT(--('Данные 1st'!$S$2:$S$317=$A40),--ISNUMBER('Данные 1st'!$FL$2:$FL$317))</f>
        <v>4</v>
      </c>
      <c r="CE40">
        <f>SUMPRODUCT(--('Данные 1st'!$S$2:$S$317=$A40),--ISNUMBER('Данные 1st'!$FM$2:$FM$317))</f>
        <v>4</v>
      </c>
      <c r="CF40">
        <f>SUMPRODUCT(--('Данные 1st'!$S$2:$S$317=$A40),--ISNUMBER('Данные 1st'!$FN$2:$FN$317))</f>
        <v>4</v>
      </c>
      <c r="CG40">
        <f>SUMPRODUCT(--('Данные 1st'!$S$2:$S$317=$A40),--ISNUMBER('Данные 1st'!$FO$2:$FO$317))</f>
        <v>0</v>
      </c>
      <c r="CH40">
        <f>SUMPRODUCT(--('Данные 1st'!$S$2:$S$317=$A40),--ISNUMBER('Данные 1st'!$FP$2:$FP$317))</f>
        <v>0</v>
      </c>
      <c r="CI40">
        <f>SUMPRODUCT(--('Данные 1st'!$S$2:$S$317=$A40),--ISNUMBER('Данные 1st'!$FS$2:$FS$317))</f>
        <v>0</v>
      </c>
      <c r="CJ40">
        <f>SUMPRODUCT(--('Данные 1st'!$S$2:$S$317=$A40),--ISNUMBER('Данные 1st'!$FT$2:$FT$317))</f>
        <v>0</v>
      </c>
      <c r="CK40">
        <f>SUMPRODUCT(--('Данные 1st'!$S$2:$S$317=$A40),--ISNUMBER('Данные 1st'!$FU$2:$FU$317))</f>
        <v>0</v>
      </c>
      <c r="CL40">
        <f>SUMPRODUCT(--('Данные 1st'!$S$2:$S$317=$A40),--ISNUMBER('Данные 1st'!$FV$2:$FV$317))</f>
        <v>0</v>
      </c>
      <c r="CM40">
        <f>SUMPRODUCT(--('Данные 1st'!$S$2:$S$317=$A40),--ISNUMBER('Данные 1st'!$FW$2:$FW$317))</f>
        <v>0</v>
      </c>
      <c r="CN40">
        <f>SUMPRODUCT(--('Данные 1st'!$S$2:$S$317=$A40),--ISNUMBER('Данные 1st'!$FZ$2:$FZ$317))</f>
        <v>0</v>
      </c>
      <c r="CO40">
        <f>SUMPRODUCT(--('Данные 1st'!$S$2:$S$317=$A40),--ISNUMBER('Данные 1st'!$GA$2:$GA$317))</f>
        <v>0</v>
      </c>
      <c r="CP40">
        <f>SUMPRODUCT(--('Данные 1st'!$S$2:$S$317=$A40),--ISNUMBER('Данные 1st'!$GB$2:$GB$317))</f>
        <v>0</v>
      </c>
      <c r="CQ40">
        <f>SUMPRODUCT(--('Данные 1st'!$S$2:$S$317=$A40),--ISNUMBER('Данные 1st'!$GH$2:$GH$317))</f>
        <v>0</v>
      </c>
      <c r="CR40">
        <f>SUMPRODUCT(--('Данные 1st'!$S$2:$S$317=$A40),--ISNUMBER('Данные 1st'!$GI$2:$GI$317))</f>
        <v>0</v>
      </c>
      <c r="CS40">
        <f>SUMPRODUCT(--('Данные 1st'!$S$2:$S$317=$A40),--ISNUMBER('Данные 1st'!$GJ$2:$GJ$317))</f>
        <v>0</v>
      </c>
      <c r="CT40">
        <f>SUMPRODUCT(--('Данные 1st'!$S$2:$S$317=$A40),--ISNUMBER('Данные 1st'!$GS$2:$GS$317))</f>
        <v>3</v>
      </c>
      <c r="CU40">
        <f>SUMPRODUCT(--('Данные 1st'!$S$2:$S$317=$A40),--ISNUMBER('Данные 1st'!$GT$2:$GT$317))</f>
        <v>3</v>
      </c>
      <c r="CV40">
        <f>SUMPRODUCT(--('Данные 1st'!$S$2:$S$317=$A40),--ISNUMBER('Данные 1st'!$GU$2:$GU$317))</f>
        <v>3</v>
      </c>
      <c r="CW40">
        <f>SUMPRODUCT(--('Данные 1st'!$S$2:$S$317=$A40),--ISNUMBER('Данные 1st'!$GV$2:$GV$317))</f>
        <v>2</v>
      </c>
      <c r="CX40">
        <f>SUMPRODUCT(--('Данные 1st'!$S$2:$S$317=$A40),--ISNUMBER('Данные 1st'!$GW$2:$GW$317))</f>
        <v>2</v>
      </c>
      <c r="CY40">
        <f>SUMPRODUCT(--('Данные 1st'!$S$2:$S$317=$A40),--ISNUMBER('Данные 1st'!$GZ$2:$GZ$317))</f>
        <v>0</v>
      </c>
      <c r="CZ40">
        <f>SUMPRODUCT(--('Данные 1st'!$S$2:$S$317=$A40),--ISNUMBER('Данные 1st'!$HA$2:$HA$317))</f>
        <v>0</v>
      </c>
      <c r="DA40">
        <f>SUMPRODUCT(--('Данные 1st'!$S$2:$S$317=$A40),--ISNUMBER('Данные 1st'!$HB$2:$HB$317))</f>
        <v>0</v>
      </c>
      <c r="DB40">
        <f>SUMPRODUCT(--('Данные 1st'!$S$2:$S$317=$A40),--ISNUMBER('Данные 1st'!$HC$2:$HC$317))</f>
        <v>4</v>
      </c>
      <c r="DC40">
        <f>SUMPRODUCT(--('Данные 1st'!$S$2:$S$317=$A40),--ISNUMBER('Данные 1st'!$HD$2:$HD$317))</f>
        <v>4</v>
      </c>
      <c r="DD40">
        <f>SUMPRODUCT(--('Данные 1st'!$S$2:$S$317=$A40),--ISNUMBER('Данные 1st'!$HE$2:$HE$317))</f>
        <v>4</v>
      </c>
      <c r="DE40">
        <f>SUMPRODUCT(--('Данные 1st'!$S$2:$S$317=$A40),--ISNUMBER('Данные 1st'!$HF$2:$HF$317))</f>
        <v>4</v>
      </c>
      <c r="DF40">
        <f>SUMPRODUCT(--('Данные 1st'!$S$2:$S$317=$A40),--ISNUMBER('Данные 1st'!$HG$2:$HG$317))</f>
        <v>4</v>
      </c>
      <c r="DG40">
        <f>SUMPRODUCT(--('Данные 1st'!$S$2:$S$317=$A40),--ISNUMBER('Данные 1st'!$HH$2:$HH$317))</f>
        <v>4</v>
      </c>
      <c r="DH40">
        <f>SUMPRODUCT(--('Данные 1st'!$S$2:$S$317=$A40),--ISNUMBER('Данные 1st'!$HI$2:$HI$317))</f>
        <v>4</v>
      </c>
      <c r="DI40">
        <f>SUMPRODUCT(--('Данные 1st'!$S$2:$S$317=$A40),--ISNUMBER('Данные 1st'!$HJ$2:$HJ$317))</f>
        <v>4</v>
      </c>
      <c r="DJ40">
        <f>SUMPRODUCT(--('Данные 1st'!$S$2:$S$317=$A40),--ISNUMBER('Данные 1st'!$HK$2:$HK$317))</f>
        <v>4</v>
      </c>
      <c r="DK40">
        <f>SUMPRODUCT(--('Данные 1st'!$S$2:$S$317=$A40),--ISNUMBER('Данные 1st'!$HL$2:$HL$317))</f>
        <v>4</v>
      </c>
      <c r="DL40">
        <f>SUMPRODUCT(--('Данные 1st'!$S$2:$S$317=$A40),--ISNUMBER('Данные 1st'!$HM$2:$HM$317))</f>
        <v>4</v>
      </c>
      <c r="DM40">
        <f>SUMPRODUCT(--('Данные 1st'!$S$2:$S$317=$A40),--ISNUMBER('Данные 1st'!$HN$2:$HN$317))</f>
        <v>4</v>
      </c>
      <c r="DN40">
        <f>SUMPRODUCT(--('Данные 1st'!$S$2:$S$317=$A40),--ISNUMBER('Данные 1st'!$HO$2:$HO$317))</f>
        <v>4</v>
      </c>
      <c r="DO40">
        <f>SUMPRODUCT(--('Данные 1st'!$S$2:$S$317=$A40),--ISNUMBER('Данные 1st'!$HP$2:$HP$317))</f>
        <v>4</v>
      </c>
      <c r="DP40">
        <f>SUMPRODUCT(--('Данные 1st'!$S$2:$S$317=$A40),--ISNUMBER('Данные 1st'!$HQ$2:$HQ$317))</f>
        <v>4</v>
      </c>
      <c r="DQ40">
        <f>SUMPRODUCT(--('Данные 1st'!$S$2:$S$317=$A40),--ISNUMBER('Данные 1st'!$HR$2:$HR$317))</f>
        <v>4</v>
      </c>
      <c r="DR40">
        <f>SUMPRODUCT(--('Данные 1st'!$S$2:$S$317=$A40),--ISNUMBER('Данные 1st'!$HS$2:$HS$317))</f>
        <v>4</v>
      </c>
      <c r="DS40">
        <f>SUMPRODUCT(--('Данные 1st'!$S$2:$S$317=$A40),--ISNUMBER('Данные 1st'!$HT$2:$HT$317))</f>
        <v>4</v>
      </c>
      <c r="DT40">
        <f>SUMPRODUCT(--('Данные 1st'!$S$2:$S$317=$A40),--ISNUMBER('Данные 1st'!$HU$2:$HU$317))</f>
        <v>4</v>
      </c>
      <c r="DU40">
        <f>SUMPRODUCT(--('Данные 1st'!$S$2:$S$317=$A40),--ISNUMBER('Данные 1st'!$HW$2:$HW$317))</f>
        <v>4</v>
      </c>
      <c r="DV40">
        <f>SUMPRODUCT(--('Данные 1st'!$S$2:$S$317=$A40),--ISNUMBER('Данные 1st'!$HX$2:$HX$317))</f>
        <v>4</v>
      </c>
      <c r="DW40">
        <f>SUMPRODUCT(--('Данные 1st'!$S$2:$S$317=$A40),--ISNUMBER('Данные 1st'!$HY$2:$HY$317))</f>
        <v>4</v>
      </c>
      <c r="DX40">
        <f>SUMPRODUCT(--('Данные 1st'!$S$2:$S$317=$A40),--ISNUMBER('Данные 1st'!$IA$2:$IA$317))</f>
        <v>4</v>
      </c>
      <c r="DY40">
        <f>SUMPRODUCT(--('Данные 1st'!$S$2:$S$317=$A40),--ISNUMBER('Данные 1st'!$IB$2:$IB$317))</f>
        <v>4</v>
      </c>
      <c r="DZ40">
        <f>SUMPRODUCT(--('Данные 1st'!$S$2:$S$317=$A40),--ISNUMBER('Данные 1st'!$IC$2:$IC$317))</f>
        <v>4</v>
      </c>
      <c r="EA40">
        <f>SUMPRODUCT(--('Данные 1st'!$S$2:$S$317=$A40),--ISNUMBER('Данные 1st'!$ID$2:$ID$317))</f>
        <v>4</v>
      </c>
      <c r="EB40">
        <f>SUMPRODUCT(--('Данные 1st'!$S$2:$S$317=$A40),--ISNUMBER('Данные 1st'!$IE$2:$IE$317))</f>
        <v>4</v>
      </c>
      <c r="EC40">
        <f>SUMPRODUCT(--('Данные 1st'!$S$2:$S$317=$A40),--ISNUMBER('Данные 1st'!$IF$2:$IF$317))</f>
        <v>4</v>
      </c>
      <c r="ED40">
        <f>SUMPRODUCT(--('Данные 1st'!$S$2:$S$317=$A40),--ISNUMBER('Данные 1st'!$IP$2:$IP$317))</f>
        <v>4</v>
      </c>
      <c r="EE40">
        <f>SUMPRODUCT(--('Данные 1st'!$S$2:$S$317=$A40),--ISNUMBER('Данные 1st'!$IV$2:$IV$317))</f>
        <v>4</v>
      </c>
      <c r="EF40">
        <f>SUMPRODUCT(--('Данные 1st'!$S$2:$S$317=$A40),--ISNUMBER('Данные 1st'!$IW$2:$IW$317))</f>
        <v>4</v>
      </c>
      <c r="EG40">
        <f>SUMPRODUCT(--('Данные 1st'!$S$2:$S$317=$A40),--ISNUMBER('Данные 1st'!$IX$2:$IX$317))</f>
        <v>0</v>
      </c>
      <c r="EH40">
        <f>SUMPRODUCT(--('Данные 1st'!$S$2:$S$317=$A40),--ISNUMBER('Данные 1st'!$IY$2:$IY$317))</f>
        <v>0</v>
      </c>
      <c r="EI40">
        <f>SUMPRODUCT(--('Данные 1st'!$S$2:$S$317=$A40),--ISNUMBER('Данные 1st'!$JD$2:$JD$317))</f>
        <v>4</v>
      </c>
      <c r="EJ40">
        <f>SUMPRODUCT(--('Данные 1st'!$S$2:$S$317=$A40),--ISNUMBER('Данные 1st'!$JE$2:$JE$317))</f>
        <v>4</v>
      </c>
      <c r="EK40">
        <f>SUMPRODUCT(--('Данные 1st'!$S$2:$S$317=$A40),--ISNUMBER('Данные 1st'!$JF$2:$JF$317))</f>
        <v>4</v>
      </c>
      <c r="EL40">
        <f>SUMPRODUCT(--('Данные 1st'!$S$2:$S$317=$A40),--ISNUMBER('Данные 1st'!$JG$2:$JG$317))</f>
        <v>4</v>
      </c>
      <c r="EM40">
        <f>SUMPRODUCT(--('Данные 1st'!$S$2:$S$317=$A40),--ISNUMBER('Данные 1st'!$JH$2:$JH$317))</f>
        <v>4</v>
      </c>
      <c r="EN40">
        <f>SUMPRODUCT(--('Данные 1st'!$S$2:$S$317=$A40),--ISNUMBER('Данные 1st'!$JJ$2:$JJ$317))</f>
        <v>4</v>
      </c>
      <c r="EO40">
        <f>SUMPRODUCT(--('Данные 1st'!$S$2:$S$317=$A40),--ISNUMBER('Данные 1st'!$JK$2:$JK$317))</f>
        <v>4</v>
      </c>
      <c r="EP40">
        <f>SUMPRODUCT(--('Данные 1st'!$S$2:$S$317=$A40),--ISNUMBER('Данные 1st'!$JL$2:$JL$317))</f>
        <v>0</v>
      </c>
      <c r="EQ40">
        <f>SUMPRODUCT(--('Данные 1st'!$S$2:$S$317=$A40),--ISNUMBER('Данные 1st'!$JM$2:$JM$317))</f>
        <v>0</v>
      </c>
      <c r="ER40">
        <f>SUMPRODUCT(--('Данные 1st'!$S$2:$S$317=$A40),--ISNUMBER('Данные 1st'!$JN$2:$JN$317))</f>
        <v>4</v>
      </c>
      <c r="ES40">
        <f>SUMPRODUCT(--('Данные 1st'!$S$2:$S$317=$A40),--ISNUMBER('Данные 1st'!$JO$2:$JO$317))</f>
        <v>4</v>
      </c>
      <c r="ET40">
        <f>SUMPRODUCT(--('Данные 1st'!$S$2:$S$317=$A40),--ISNUMBER('Данные 1st'!$JP$2:$JP$317))</f>
        <v>4</v>
      </c>
      <c r="EU40">
        <f>SUMPRODUCT(--('Данные 1st'!$S$2:$S$317=$A40),--ISNUMBER('Данные 1st'!$JQ$2:$JQ$317))</f>
        <v>4</v>
      </c>
      <c r="EV40">
        <f>SUMPRODUCT(--('Данные 1st'!$S$2:$S$317=$A40),--ISNUMBER('Данные 1st'!$JR$2:$JR$317))</f>
        <v>4</v>
      </c>
      <c r="EW40">
        <f>SUMPRODUCT(--('Данные 1st'!$S$2:$S$317=$A40),--ISNUMBER('Данные 1st'!$JS$2:$JS$317))</f>
        <v>4</v>
      </c>
      <c r="EX40">
        <f>SUMPRODUCT(--('Данные 1st'!$S$2:$S$317=$A40),--ISNUMBER('Данные 1st'!$JT$2:$JT$317))</f>
        <v>0</v>
      </c>
      <c r="EY40">
        <f>SUMPRODUCT(--('Данные 1st'!$S$2:$S$317=$A40),--ISNUMBER('Данные 1st'!$JU$2:$JU$317))</f>
        <v>0</v>
      </c>
      <c r="EZ40">
        <f>SUMPRODUCT(--('Данные 1st'!$S$2:$S$317=$A40),--ISNUMBER('Данные 1st'!$JV$2:$JV$317))</f>
        <v>4</v>
      </c>
      <c r="FA40">
        <f>SUMPRODUCT(--('Данные 1st'!$S$2:$S$317=$A40),--ISNUMBER('Данные 1st'!$JW$2:$JW$317))</f>
        <v>0</v>
      </c>
      <c r="FB40">
        <f>SUMPRODUCT(--('Данные 1st'!$S$2:$S$317=$A40),--ISNUMBER('Данные 1st'!$JX$2:$JX$317))</f>
        <v>4</v>
      </c>
      <c r="FC40">
        <f>SUMPRODUCT(--('Данные 1st'!$S$2:$S$317=$A40),--ISNUMBER('Данные 1st'!$JY$2:$JY$317))</f>
        <v>0</v>
      </c>
      <c r="FD40">
        <f>SUMPRODUCT(--('Данные 1st'!$S$2:$S$317=$A40),--ISNUMBER('Данные 1st'!$JZ$2:$JZ$317))</f>
        <v>0</v>
      </c>
      <c r="FE40">
        <f>SUMPRODUCT(--('Данные 1st'!$S$2:$S$317=$A40),--ISNUMBER('Данные 1st'!$KA$2:$KA$317))</f>
        <v>4</v>
      </c>
      <c r="FF40">
        <f>SUMPRODUCT(--('Данные 1st'!$S$2:$S$317=$A40),--ISNUMBER('Данные 1st'!$KB$2:$KB$317))</f>
        <v>4</v>
      </c>
      <c r="FG40">
        <f>SUMPRODUCT(--('Данные 1st'!$S$2:$S$317=$A40),--ISNUMBER('Данные 1st'!$KC$2:$KC$317))</f>
        <v>4</v>
      </c>
      <c r="FH40">
        <f>SUMPRODUCT(--('Данные 1st'!$S$2:$S$317=$A40),--ISNUMBER('Данные 1st'!$KD$2:$KD$317))</f>
        <v>4</v>
      </c>
      <c r="FI40">
        <f>SUMPRODUCT(--('Данные 1st'!$S$2:$S$317=$A40),--ISNUMBER('Данные 1st'!$KE$2:$KE$317))</f>
        <v>0</v>
      </c>
      <c r="FJ40">
        <f>SUMPRODUCT(--('Данные 1st'!$S$2:$S$317=$A40),--ISNUMBER('Данные 1st'!$KF$2:$KF$317))</f>
        <v>4</v>
      </c>
      <c r="FK40">
        <f>SUMPRODUCT(--('Данные 1st'!$S$2:$S$317=$A40),--ISNUMBER('Данные 1st'!$KG$2:$KG$317))</f>
        <v>4</v>
      </c>
      <c r="FL40">
        <f>SUMPRODUCT(--('Данные 1st'!$S$2:$S$317=$A40),--ISNUMBER('Данные 1st'!$KH$2:$KH$317))</f>
        <v>4</v>
      </c>
      <c r="FM40">
        <f>SUMPRODUCT(--('Данные 1st'!$S$2:$S$317=$A40),--ISNUMBER('Данные 1st'!$KI$2:$KI$317))</f>
        <v>4</v>
      </c>
      <c r="FN40">
        <f>SUMPRODUCT(--('Данные 1st'!$S$2:$S$317=$A40),--ISNUMBER('Данные 1st'!$KJ$2:$KJ$317))</f>
        <v>4</v>
      </c>
      <c r="FO40">
        <f>SUMPRODUCT(--('Данные 1st'!$S$2:$S$317=$A40),--ISNUMBER('Данные 1st'!$KK$2:$KK$317))</f>
        <v>4</v>
      </c>
      <c r="FP40">
        <f>SUMPRODUCT(--('Данные 1st'!$S$2:$S$317=$A40),--ISNUMBER('Данные 1st'!$KL$2:$KL$317))</f>
        <v>4</v>
      </c>
      <c r="FQ40">
        <f>SUMPRODUCT(--('Данные 1st'!$S$2:$S$317=$A40),--ISNUMBER('Данные 1st'!$KM$2:$KM$317))</f>
        <v>4</v>
      </c>
      <c r="FR40">
        <f>SUMPRODUCT(--('Данные 1st'!$S$2:$S$317=$A40),--ISNUMBER('Данные 1st'!$KN$2:$KN$317))</f>
        <v>4</v>
      </c>
      <c r="FS40">
        <f>SUMPRODUCT(--('Данные 1st'!$S$2:$S$317=$A40),--ISNUMBER('Данные 1st'!$KR$2:$KR$317))</f>
        <v>4</v>
      </c>
      <c r="FT40">
        <f>SUMPRODUCT(--('Данные 1st'!$S$2:$S$317=$A40),--ISNUMBER('Данные 1st'!$KS$2:$KS$317))</f>
        <v>4</v>
      </c>
      <c r="FU40">
        <f>SUMPRODUCT(--('Данные 1st'!$S$2:$S$317=$A40),--ISNUMBER('Данные 1st'!$KT$2:$KT$317))</f>
        <v>4</v>
      </c>
      <c r="FV40">
        <f>SUMPRODUCT(--('Данные 1st'!$S$2:$S$317=$A40),--ISNUMBER('Данные 1st'!$KV$2:$KV$317))</f>
        <v>0</v>
      </c>
      <c r="FW40">
        <f>SUMPRODUCT(--('Данные 1st'!$S$2:$S$317=$A40),--ISNUMBER('Данные 1st'!$KW$2:$KW$317))</f>
        <v>0</v>
      </c>
      <c r="FX40">
        <f>SUMPRODUCT(--('Данные 1st'!$S$2:$S$317=$A40),--ISNUMBER('Данные 1st'!$KX$2:$KX$317))</f>
        <v>0</v>
      </c>
      <c r="FY40">
        <f>SUMPRODUCT(--('Данные 1st'!$S$2:$S$317=$A40),--ISNUMBER('Данные 1st'!$KY$2:$KY$317))</f>
        <v>0</v>
      </c>
      <c r="FZ40">
        <f>SUMPRODUCT(--('Данные 1st'!$S$2:$S$317=$A40),--ISNUMBER('Данные 1st'!$KZ$2:$KZ$317))</f>
        <v>0</v>
      </c>
      <c r="GA40">
        <f>SUMPRODUCT(--('Данные 1st'!$S$2:$S$317=$A40),--ISNUMBER('Данные 1st'!$LA$2:$LA$317))</f>
        <v>0</v>
      </c>
      <c r="GB40">
        <f>SUMPRODUCT(--('Данные 1st'!$S$2:$S$317=$A40),--ISNUMBER('Данные 1st'!$LB$2:$LB$317))</f>
        <v>0</v>
      </c>
      <c r="GC40">
        <f>SUMPRODUCT(--('Данные 1st'!$S$2:$S$317=$A40),--ISNUMBER('Данные 1st'!$LC$2:$LC$317))</f>
        <v>0</v>
      </c>
      <c r="GD40">
        <f>SUMPRODUCT(--('Данные 1st'!$S$2:$S$317=$A40),--ISNUMBER('Данные 1st'!$LD$2:$LD$317))</f>
        <v>0</v>
      </c>
      <c r="GE40">
        <f>SUMPRODUCT(--('Данные 1st'!$S$2:$S$317=$A40),--ISNUMBER('Данные 1st'!$LE$2:$LE$317))</f>
        <v>0</v>
      </c>
      <c r="GF40">
        <f>SUMPRODUCT(--('Данные 1st'!$S$2:$S$317=$A40),--ISNUMBER('Данные 1st'!$LF$2:$LF$317))</f>
        <v>0</v>
      </c>
      <c r="GG40">
        <f>SUMPRODUCT(--('Данные 1st'!$S$2:$S$317=$A40),--ISNUMBER('Данные 1st'!$LG$2:$LG$317))</f>
        <v>0</v>
      </c>
      <c r="GH40">
        <f>SUMPRODUCT(--('Данные 1st'!$S$2:$S$317=$A40),--ISNUMBER('Данные 1st'!$LH$2:$LH$317))</f>
        <v>0</v>
      </c>
      <c r="GI40">
        <f>SUMPRODUCT(--('Данные 1st'!$S$2:$S$317=$A40),--ISNUMBER('Данные 1st'!$LI$2:$LI$317))</f>
        <v>0</v>
      </c>
      <c r="GJ40">
        <f>SUMPRODUCT(--('Данные 1st'!$S$2:$S$317=$A40),--ISNUMBER('Данные 1st'!$LJ$2:$LJ$317))</f>
        <v>0</v>
      </c>
      <c r="GK40">
        <f>SUMPRODUCT(--('Данные 1st'!$S$2:$S$317=$A40),--ISNUMBER('Данные 1st'!$LK$2:$LK$317))</f>
        <v>4</v>
      </c>
      <c r="GL40">
        <f>SUMPRODUCT(--('Данные 1st'!$S$2:$S$317=$A40),--ISNUMBER('Данные 1st'!$LV$2:$LV$317))</f>
        <v>0</v>
      </c>
      <c r="GM40">
        <f>SUMPRODUCT(--('Данные 1st'!$S$2:$S$317=$A40),--ISNUMBER('Данные 1st'!$LW$2:$LW$317))</f>
        <v>0</v>
      </c>
      <c r="GN40">
        <f>SUMPRODUCT(--('Данные 1st'!$S$2:$S$317=$A40),--ISNUMBER('Данные 1st'!$LX$2:$LX$317))</f>
        <v>0</v>
      </c>
      <c r="GO40">
        <f>SUMPRODUCT(--('Данные 1st'!$S$2:$S$317=$A40),--ISNUMBER('Данные 1st'!$LY$2:$LY$317))</f>
        <v>0</v>
      </c>
      <c r="GP40">
        <f>SUMPRODUCT(--('Данные 1st'!$S$2:$S$317=$A40),--ISNUMBER('Данные 1st'!$LZ$2:$LZ$317))</f>
        <v>0</v>
      </c>
      <c r="GQ40">
        <f>SUMPRODUCT(--('Данные 1st'!$S$2:$S$317=$A40),--ISNUMBER('Данные 1st'!$PG$2:$PG$317))</f>
        <v>4</v>
      </c>
      <c r="GR40">
        <f>SUMPRODUCT(--('Данные 1st'!$S$2:$S$317=$A40),--ISNUMBER('Данные 1st'!$PX$2:$PX$317))</f>
        <v>4</v>
      </c>
      <c r="GS40">
        <f>SUMPRODUCT(--('Данные 1st'!$S$2:$S$317=$A40),--ISNUMBER('Данные 1st'!$PY$2:$PY$317))</f>
        <v>4</v>
      </c>
      <c r="GT40">
        <f>SUMPRODUCT(--('Данные 1st'!$S$2:$S$317=$A40),--ISNUMBER('Данные 1st'!$QA$2:$QA$317))</f>
        <v>4</v>
      </c>
      <c r="GU40">
        <f>SUMPRODUCT(--('Данные 1st'!$S$2:$S$317=$A40),--ISNUMBER('Данные 1st'!$QB$2:$QB$317))</f>
        <v>4</v>
      </c>
      <c r="GV40">
        <f>SUMPRODUCT(--('Данные 1st'!$S$2:$S$317=$A40),--ISNUMBER('Данные 1st'!$QC$2:$QC$317))</f>
        <v>4</v>
      </c>
      <c r="GW40">
        <f>SUMPRODUCT(--('Данные 1st'!$S$2:$S$317=$A40),--ISNUMBER('Данные 1st'!$QD$2:$QD$317))</f>
        <v>4</v>
      </c>
      <c r="GX40">
        <f>SUMPRODUCT(--('Данные 1st'!$S$2:$S$317=$A40),--ISNUMBER('Данные 1st'!$QF$2:$QF$317))</f>
        <v>4</v>
      </c>
      <c r="GY40">
        <f>SUMPRODUCT(--('Данные 1st'!$S$2:$S$317=$A40),--ISNUMBER('Данные 1st'!$QG$2:$QG$317))</f>
        <v>4</v>
      </c>
      <c r="GZ40">
        <f>SUMPRODUCT(--('Данные 1st'!$S$2:$S$317=$A40),--ISNUMBER('Данные 1st'!$QH$2:$QH$317))</f>
        <v>4</v>
      </c>
      <c r="HA40">
        <f>SUMPRODUCT(--('Данные 1st'!$S$2:$S$317=$A40),--ISNUMBER('Данные 1st'!$QI$2:$QI$317))</f>
        <v>4</v>
      </c>
      <c r="HB40">
        <f>SUMPRODUCT(--('Данные 1st'!$S$2:$S$317=$A40),--ISNUMBER('Данные 1st'!$QK$2:$QK$317))</f>
        <v>0</v>
      </c>
      <c r="HC40">
        <f>SUMPRODUCT(--('Данные 1st'!$S$2:$S$317=$A40),--ISNUMBER('Данные 1st'!$QL$2:$QL$317))</f>
        <v>4</v>
      </c>
      <c r="HD40">
        <f>SUMPRODUCT(--('Данные 1st'!$S$2:$S$317=$A40),--ISNUMBER('Данные 1st'!$QM$2:$QM$317))</f>
        <v>4</v>
      </c>
      <c r="HE40">
        <f>SUMPRODUCT(--('Данные 1st'!$S$2:$S$317=$A40),--ISNUMBER('Данные 1st'!$QN$2:$QN$317))</f>
        <v>4</v>
      </c>
      <c r="HF40">
        <f>SUMPRODUCT(--('Данные 1st'!$S$2:$S$317=$A40),--ISNUMBER('Данные 1st'!$QP$2:$QP$317))</f>
        <v>4</v>
      </c>
      <c r="HG40">
        <f>SUMPRODUCT(--('Данные 1st'!$S$2:$S$317=$A40),--ISNUMBER('Данные 1st'!$QQ$2:$QQ$317))</f>
        <v>4</v>
      </c>
      <c r="HH40">
        <f>SUMPRODUCT(--('Данные 1st'!$S$2:$S$317=$A40),--ISNUMBER('Данные 1st'!$QR$2:$QR$317))</f>
        <v>3</v>
      </c>
      <c r="HI40">
        <f>SUMPRODUCT(--('Данные 1st'!$S$2:$S$317=$A40),--ISNUMBER('Данные 1st'!$QS$2:$QS$317))</f>
        <v>3</v>
      </c>
      <c r="HJ40">
        <f>SUMPRODUCT(--('Данные 1st'!$S$2:$S$317=$A40),--ISNUMBER('Данные 1st'!$QU$2:$QU$317))</f>
        <v>3</v>
      </c>
      <c r="HK40">
        <f>SUMPRODUCT(--('Данные 1st'!$S$2:$S$317=$A40),--ISNUMBER('Данные 1st'!$QV$2:$QV$317))</f>
        <v>3</v>
      </c>
      <c r="HL40">
        <f>SUMPRODUCT(--('Данные 1st'!$S$2:$S$317=$A40),--ISNUMBER('Данные 1st'!$QW$2:$QW$317))</f>
        <v>4</v>
      </c>
      <c r="HM40">
        <f>SUMPRODUCT(--('Данные 1st'!$S$2:$S$317=$A40),--ISNUMBER('Данные 1st'!$QX$2:$QX$317))</f>
        <v>4</v>
      </c>
      <c r="HN40">
        <f>SUMPRODUCT(--('Данные 1st'!$S$2:$S$317=$A40),--ISNUMBER('Данные 1st'!$QZ$2:$QZ$317))</f>
        <v>4</v>
      </c>
      <c r="HO40">
        <f>SUMPRODUCT(--('Данные 1st'!$S$2:$S$317=$A40),--ISNUMBER('Данные 1st'!$RA$2:$RA$317))</f>
        <v>4</v>
      </c>
      <c r="HP40">
        <f>SUMPRODUCT(--('Данные 1st'!$S$2:$S$317=$A40),--ISNUMBER('Данные 1st'!$RB$2:$RB$317))</f>
        <v>4</v>
      </c>
      <c r="HQ40">
        <f>SUMPRODUCT(--('Данные 1st'!$S$2:$S$317=$A40),--ISNUMBER('Данные 1st'!$RD$2:$RD$317))</f>
        <v>0</v>
      </c>
      <c r="HR40">
        <f>SUMPRODUCT(--('Данные 1st'!$S$2:$S$317=$A40),--ISNUMBER('Данные 1st'!$RE$2:$RE$317))</f>
        <v>4</v>
      </c>
      <c r="HS40">
        <f>SUMPRODUCT(--('Данные 1st'!$S$2:$S$317=$A40),--ISNUMBER('Данные 1st'!$RF$2:$RF$317))</f>
        <v>4</v>
      </c>
      <c r="HT40">
        <f>SUMPRODUCT(--('Данные 1st'!$S$2:$S$317=$A40),--ISNUMBER('Данные 1st'!$RG$2:$RG$317))</f>
        <v>0</v>
      </c>
      <c r="HU40">
        <f>SUMPRODUCT(--('Данные 1st'!$S$2:$S$317=$A40),--ISNUMBER('Данные 1st'!$RH$2:$RH$317))</f>
        <v>3</v>
      </c>
      <c r="HV40">
        <f>SUMPRODUCT(--('Данные 1st'!$S$2:$S$317=$A40),--ISNUMBER('Данные 1st'!$RI$2:$RI$317))</f>
        <v>0</v>
      </c>
      <c r="HW40">
        <f>SUMPRODUCT(--('Данные 1st'!$S$2:$S$317=$A40),--ISNUMBER('Данные 1st'!$RJ$2:$RJ$317))</f>
        <v>4</v>
      </c>
      <c r="HX40">
        <f>SUMPRODUCT(--('Данные 1st'!$S$2:$S$317=$A40),--ISNUMBER('Данные 1st'!$RK$2:$RK$317))</f>
        <v>0</v>
      </c>
      <c r="HY40">
        <f>SUMPRODUCT(--('Данные 1st'!$S$2:$S$317=$A40),--ISNUMBER('Данные 1st'!$RL$2:$RL$317))</f>
        <v>4</v>
      </c>
      <c r="HZ40">
        <f>SUMPRODUCT(--('Данные 1st'!$S$2:$S$317=$A40),--ISNUMBER('Данные 1st'!$RM$2:$RM$317))</f>
        <v>3</v>
      </c>
      <c r="IA40">
        <f>SUMPRODUCT(--('Данные 1st'!$S$2:$S$317=$A40),--ISNUMBER('Данные 1st'!$RN$2:$RN$317))</f>
        <v>0</v>
      </c>
      <c r="IB40">
        <f>SUMPRODUCT(--('Данные 1st'!$S$2:$S$317=$A40),--ISNUMBER('Данные 1st'!$RO$2:$RO$317))</f>
        <v>4</v>
      </c>
      <c r="IC40">
        <f>SUMPRODUCT(--('Данные 1st'!$S$2:$S$317=$A40),--ISNUMBER('Данные 1st'!$RP$2:$RP$317))</f>
        <v>0</v>
      </c>
      <c r="ID40">
        <f>SUMPRODUCT(--('Данные 1st'!$S$2:$S$317=$A40),--ISNUMBER('Данные 1st'!$RQ$2:$RQ$317))</f>
        <v>4</v>
      </c>
      <c r="IE40">
        <f>SUMPRODUCT(--('Данные 1st'!$S$2:$S$317=$A40),--ISNUMBER('Данные 1st'!$RR$2:$RR$317))</f>
        <v>3</v>
      </c>
      <c r="IF40">
        <f>SUMPRODUCT(--('Данные 1st'!$S$2:$S$317=$A40),--ISNUMBER('Данные 1st'!$RS$2:$RS$317))</f>
        <v>0</v>
      </c>
      <c r="IG40">
        <f>SUMPRODUCT(--('Данные 1st'!$S$2:$S$317=$A40),--ISNUMBER('Данные 1st'!$RT$2:$RT$317))</f>
        <v>4</v>
      </c>
      <c r="IH40">
        <f>SUMPRODUCT(--('Данные 1st'!$S$2:$S$317=$A40),--ISNUMBER('Данные 1st'!$RU$2:$RU$317))</f>
        <v>4</v>
      </c>
      <c r="II40">
        <f>SUMPRODUCT(--('Данные 1st'!$S$2:$S$317=$A40),--ISNUMBER('Данные 1st'!$RX$2:$RX$317))</f>
        <v>4</v>
      </c>
      <c r="IJ40">
        <f>SUMPRODUCT(--('Данные 1st'!$S$2:$S$317=$A40),--ISNUMBER('Данные 1st'!$RY$2:$RY$317))</f>
        <v>4</v>
      </c>
      <c r="IK40">
        <f>SUMPRODUCT(--('Данные 1st'!$S$2:$S$317=$A40),--ISNUMBER('Данные 1st'!$SA$2:$SA$317))</f>
        <v>4</v>
      </c>
      <c r="IL40">
        <f>SUMPRODUCT(--('Данные 1st'!$S$2:$S$317=$A40),--ISNUMBER('Данные 1st'!$SD$2:$SD$317))</f>
        <v>4</v>
      </c>
      <c r="IM40">
        <f>SUMPRODUCT(--('Данные 1st'!$S$2:$S$317=$A40),--ISNUMBER('Данные 1st'!$SG$2:$SG$317))</f>
        <v>3</v>
      </c>
      <c r="IN40">
        <f>SUMPRODUCT(--('Данные 1st'!$S$2:$S$317=$A40),--ISNUMBER('Данные 1st'!$SH$2:$SH$317))</f>
        <v>4</v>
      </c>
      <c r="IO40">
        <f>SUMPRODUCT(--('Данные 1st'!$S$2:$S$317=$A40),--ISNUMBER('Данные 1st'!$SI$2:$SI$317))</f>
        <v>4</v>
      </c>
      <c r="IP40">
        <f>SUMPRODUCT(--('Данные 1st'!$S$2:$S$317=$A40),--ISNUMBER('Данные 1st'!$SJ$2:$SJ$317))</f>
        <v>4</v>
      </c>
      <c r="IQ40">
        <f>SUMPRODUCT(--('Данные 1st'!$S$2:$S$317=$A40),--ISNUMBER('Данные 1st'!$SK$2:$SK$317))</f>
        <v>4</v>
      </c>
      <c r="IR40">
        <f>SUMPRODUCT(--('Данные 1st'!$S$2:$S$317=$A40),--ISNUMBER('Данные 1st'!$SL$2:$SL$317))</f>
        <v>4</v>
      </c>
      <c r="IS40">
        <f>SUMPRODUCT(--('Данные 1st'!$S$2:$S$317=$A40),--ISNUMBER('Данные 1st'!$SM$2:$SM$317))</f>
        <v>4</v>
      </c>
      <c r="IT40">
        <f>SUMPRODUCT(--('Данные 1st'!$S$2:$S$317=$A40),--ISNUMBER('Данные 1st'!$SN$2:$SN$317))</f>
        <v>4</v>
      </c>
      <c r="IU40">
        <f>SUMPRODUCT(--('Данные 1st'!$S$2:$S$317=$A40),--ISNUMBER('Данные 1st'!$SO$2:$SO$317))</f>
        <v>4</v>
      </c>
      <c r="IV40">
        <f>SUMPRODUCT(--('Данные 1st'!$S$2:$S$317=$A40),--ISNUMBER('Данные 1st'!$SP$2:$SP$317))</f>
        <v>4</v>
      </c>
      <c r="IW40">
        <f>SUMPRODUCT(--('Данные 1st'!$S$2:$S$317=$A40),--ISNUMBER('Данные 1st'!$SQ$2:$SQ$317))</f>
        <v>4</v>
      </c>
      <c r="IX40">
        <f>SUMPRODUCT(--('Данные 1st'!$S$2:$S$317=$A40),--ISNUMBER('Данные 1st'!$SR$2:$SR$317))</f>
        <v>4</v>
      </c>
      <c r="IY40">
        <f>SUMPRODUCT(--('Данные 1st'!$S$2:$S$317=$A40),--ISNUMBER('Данные 1st'!$SS$2:$SS$317))</f>
        <v>4</v>
      </c>
      <c r="IZ40">
        <f>SUMPRODUCT(--('Данные 1st'!$S$2:$S$317=$A40),--ISNUMBER('Данные 1st'!$ST$2:$ST$317))</f>
        <v>4</v>
      </c>
      <c r="JA40">
        <f>SUMPRODUCT(--('Данные 1st'!$S$2:$S$317=$A40),--ISNUMBER('Данные 1st'!$SU$2:$SU$317))</f>
        <v>4</v>
      </c>
      <c r="JB40">
        <f>SUMPRODUCT(--('Данные 1st'!$S$2:$S$317=$A40),--ISNUMBER('Данные 1st'!$SV$2:$SV$317))</f>
        <v>4</v>
      </c>
      <c r="JC40">
        <f>SUMPRODUCT(--('Данные 1st'!$S$2:$S$317=$A40),--ISNUMBER('Данные 1st'!$SW$2:$SW$317))</f>
        <v>4</v>
      </c>
      <c r="JD40">
        <f>SUMPRODUCT(--('Данные 1st'!$S$2:$S$317=$A40),--ISNUMBER('Данные 1st'!$SX$2:$SX$317))</f>
        <v>4</v>
      </c>
      <c r="JE40">
        <f>SUMPRODUCT(--('Данные 1st'!$S$2:$S$317=$A40),--ISNUMBER('Данные 1st'!$SY$2:$SY$317))</f>
        <v>0</v>
      </c>
      <c r="JF40">
        <f>SUMPRODUCT(--('Данные 1st'!$S$2:$S$317=$A40),--ISNUMBER('Данные 1st'!$SZ$2:$SZ$317))</f>
        <v>3</v>
      </c>
      <c r="JG40">
        <f>SUMPRODUCT(--('Данные 1st'!$S$2:$S$317=$A40),--ISNUMBER('Данные 1st'!$TA$2:$TA$317))</f>
        <v>0</v>
      </c>
      <c r="JH40">
        <f>SUMPRODUCT(--('Данные 1st'!$S$2:$S$317=$A40),--ISNUMBER('Данные 1st'!$TB$2:$TB$317))</f>
        <v>4</v>
      </c>
      <c r="JI40">
        <f>SUMPRODUCT(--('Данные 1st'!$S$2:$S$317=$A40),--ISNUMBER('Данные 1st'!$TC$2:$TC$317))</f>
        <v>4</v>
      </c>
      <c r="JJ40">
        <f>SUMPRODUCT(--('Данные 1st'!$S$2:$S$317=$A40),--ISNUMBER('Данные 1st'!$TD$2:$TD$317))</f>
        <v>4</v>
      </c>
      <c r="JK40">
        <f>SUMPRODUCT(--('Данные 1st'!$S$2:$S$317=$A40),--ISNUMBER('Данные 1st'!$TN$2:$TN$317))</f>
        <v>4</v>
      </c>
      <c r="JQ40">
        <f>SUMPRODUCT(--('Данные 2st'!$Q$2:$Q$317=$A40),--ISNUMBER('Данные 2st'!$AC$2:$AC$317))</f>
        <v>4</v>
      </c>
      <c r="JR40">
        <f>SUMPRODUCT(--('Данные 2st'!$Q$2:$Q$317=$A40),--ISNUMBER('Данные 2st'!$AF$2:$AF$317))</f>
        <v>4</v>
      </c>
      <c r="JS40">
        <f>SUMPRODUCT(--('Данные 2st'!$Q$2:$Q$317=$A40),--ISNUMBER('Данные 2st'!$AW$2:$AW$317))</f>
        <v>4</v>
      </c>
      <c r="JT40">
        <f>SUMPRODUCT(--('Данные 2st'!$Q$2:$Q$317=$A40),--ISNUMBER('Данные 2st'!$AX$2:$AX$317))</f>
        <v>4</v>
      </c>
      <c r="JU40">
        <f>SUMPRODUCT(--('Данные 2st'!$Q$2:$Q$317=$A40),--ISNUMBER('Данные 2st'!$AY$2:$AY$317))</f>
        <v>4</v>
      </c>
      <c r="JV40">
        <f>SUMPRODUCT(--('Данные 2st'!$Q$2:$Q$317=$A40),--ISNUMBER('Данные 2st'!$AZ$2:$AZ$317))</f>
        <v>4</v>
      </c>
      <c r="JW40">
        <f>SUMPRODUCT(--('Данные 2st'!$Q$2:$Q$317=$A40),--ISNUMBER('Данные 2st'!$BA$2:$BA$317))</f>
        <v>1</v>
      </c>
      <c r="JX40">
        <f>SUMPRODUCT(--('Данные 2st'!$Q$2:$Q$317=$A40),--ISNUMBER('Данные 2st'!$BB$2:$BB$317))</f>
        <v>1</v>
      </c>
      <c r="JY40">
        <f>SUMPRODUCT(--('Данные 2st'!$Q$2:$Q$317=$A40),--ISNUMBER('Данные 2st'!$BC$2:$BC$317))</f>
        <v>1</v>
      </c>
      <c r="JZ40">
        <f>SUMPRODUCT(--('Данные 2st'!$Q$2:$Q$317=$A40),--ISNUMBER('Данные 2st'!$BH$2:$BH$317))</f>
        <v>4</v>
      </c>
      <c r="KA40">
        <f>SUMPRODUCT(--('Данные 2st'!$Q$2:$Q$317=$A40),--ISNUMBER('Данные 2st'!$BI$2:$BI$317))</f>
        <v>4</v>
      </c>
      <c r="KB40">
        <f>SUMPRODUCT(--('Данные 2st'!$Q$2:$Q$317=$A40),--ISNUMBER('Данные 2st'!$BJ$2:$BJ$317))</f>
        <v>4</v>
      </c>
      <c r="KC40">
        <f>SUMPRODUCT(--('Данные 2st'!$Q$2:$Q$317=$A40),--ISNUMBER('Данные 2st'!$BK$2:$BK$317))</f>
        <v>4</v>
      </c>
      <c r="KD40">
        <f>SUMPRODUCT(--('Данные 2st'!$Q$2:$Q$317=$A40),--ISNUMBER('Данные 2st'!$BL$2:$BL$317))</f>
        <v>4</v>
      </c>
      <c r="KE40">
        <f>SUMPRODUCT(--('Данные 2st'!$Q$2:$Q$317=$A40),--ISNUMBER('Данные 2st'!$BM$2:$BM$317))</f>
        <v>4</v>
      </c>
      <c r="KF40">
        <f>SUMPRODUCT(--('Данные 2st'!$Q$2:$Q$317=$A40),--ISNUMBER('Данные 2st'!$BN$2:$BN$317))</f>
        <v>4</v>
      </c>
      <c r="KG40">
        <f>SUMPRODUCT(--('Данные 2st'!$Q$2:$Q$317=$A40),--ISNUMBER('Данные 2st'!$BO$2:$BO$317))</f>
        <v>1</v>
      </c>
      <c r="KH40">
        <f>SUMPRODUCT(--('Данные 2st'!$Q$2:$Q$317=$A40),--ISNUMBER('Данные 2st'!$BP$2:$BP$317))</f>
        <v>4</v>
      </c>
      <c r="KI40">
        <f>SUMPRODUCT(--('Данные 2st'!$Q$2:$Q$317=$A40),--ISNUMBER('Данные 2st'!$BR$2:$BR$317))</f>
        <v>4</v>
      </c>
      <c r="KJ40">
        <f>SUMPRODUCT(--('Данные 2st'!$Q$2:$Q$317=$A40),--ISNUMBER('Данные 2st'!$BS$2:$BS$317))</f>
        <v>4</v>
      </c>
      <c r="KK40">
        <f>SUMPRODUCT(--('Данные 2st'!$Q$2:$Q$317=$A40),--ISNUMBER('Данные 2st'!$BT$2:$BT$317))</f>
        <v>4</v>
      </c>
      <c r="KL40">
        <f>SUMPRODUCT(--('Данные 2st'!$Q$2:$Q$317=$A40),--ISNUMBER('Данные 2st'!$CV$2:$CV$317))</f>
        <v>4</v>
      </c>
      <c r="KM40">
        <f>SUMPRODUCT(--('Данные 2st'!$Q$2:$Q$317=$A40),--ISNUMBER('Данные 2st'!$CW$2:$CW$317))</f>
        <v>4</v>
      </c>
      <c r="KN40">
        <f>SUMPRODUCT(--('Данные 2st'!$Q$2:$Q$317=$A40),--ISNUMBER('Данные 2st'!$CX$2:$CX$317))</f>
        <v>4</v>
      </c>
      <c r="KO40">
        <f>SUMPRODUCT(--('Данные 2st'!$Q$2:$Q$317=$A40),--ISNUMBER('Данные 2st'!$CY$2:$CY$317))</f>
        <v>4</v>
      </c>
      <c r="KP40">
        <f>SUMPRODUCT(--('Данные 2st'!$Q$2:$Q$317=$A40),--ISNUMBER('Данные 2st'!$CZ$2:$CZ$317))</f>
        <v>4</v>
      </c>
      <c r="KQ40">
        <f>SUMPRODUCT(--('Данные 2st'!$Q$2:$Q$317=$A40),--ISNUMBER('Данные 2st'!$DA$2:$DA$317))</f>
        <v>4</v>
      </c>
      <c r="KR40">
        <f>SUMPRODUCT(--('Данные 2st'!$Q$2:$Q$317=$A40),--ISNUMBER('Данные 2st'!$DB$2:$DB$317))</f>
        <v>4</v>
      </c>
      <c r="KS40">
        <f>SUMPRODUCT(--('Данные 2st'!$Q$2:$Q$317=$A40),--ISNUMBER('Данные 2st'!$DC$2:$DC$317))</f>
        <v>4</v>
      </c>
      <c r="KT40">
        <f>SUMPRODUCT(--('Данные 2st'!$Q$2:$Q$317=$A40),--ISNUMBER('Данные 2st'!$DD$2:$DD$317))</f>
        <v>4</v>
      </c>
      <c r="KU40">
        <f>SUMPRODUCT(--('Данные 2st'!$Q$2:$Q$317=$A40),--ISNUMBER('Данные 2st'!$DE$2:$DE$317))</f>
        <v>4</v>
      </c>
      <c r="KV40">
        <f>SUMPRODUCT(--('Данные 2st'!$Q$2:$Q$317=$A40),--ISNUMBER('Данные 2st'!$DF$2:$DF$317))</f>
        <v>4</v>
      </c>
      <c r="KW40">
        <f>SUMPRODUCT(--('Данные 2st'!$Q$2:$Q$317=$A40),--ISNUMBER('Данные 2st'!$DG$2:$DG$317))</f>
        <v>4</v>
      </c>
      <c r="KX40">
        <f>SUMPRODUCT(--('Данные 2st'!$Q$2:$Q$317=$A40),--ISNUMBER('Данные 2st'!$DH$2:$DH$317))</f>
        <v>0</v>
      </c>
      <c r="KY40">
        <f>SUMPRODUCT(--('Данные 2st'!$Q$2:$Q$317=$A40),--ISNUMBER('Данные 2st'!$DI$2:$DI$317))</f>
        <v>0</v>
      </c>
      <c r="KZ40">
        <f>SUMPRODUCT(--('Данные 2st'!$Q$2:$Q$317=$A40),--ISNUMBER('Данные 2st'!$DK$2:$DK$317))</f>
        <v>4</v>
      </c>
      <c r="LA40">
        <f>SUMPRODUCT(--('Данные 2st'!$Q$2:$Q$317=$A40),--ISNUMBER('Данные 2st'!$DM$2:$DM$317))</f>
        <v>4</v>
      </c>
      <c r="LB40">
        <f>SUMPRODUCT(--('Данные 2st'!$Q$2:$Q$317=$A40),--ISNUMBER('Данные 2st'!$DN$2:$DN$317))</f>
        <v>4</v>
      </c>
      <c r="LC40">
        <f>SUMPRODUCT(--('Данные 2st'!$Q$2:$Q$317=$A40),--ISNUMBER('Данные 2st'!$DO$2:$DO$317))</f>
        <v>4</v>
      </c>
      <c r="LD40">
        <f>SUMPRODUCT(--('Данные 2st'!$Q$2:$Q$317=$A40),--ISNUMBER('Данные 2st'!$DP$2:$DP$317))</f>
        <v>4</v>
      </c>
      <c r="LE40">
        <f>SUMPRODUCT(--('Данные 2st'!$Q$2:$Q$317=$A40),--ISNUMBER('Данные 2st'!$DQ$2:$DQ$317))</f>
        <v>4</v>
      </c>
      <c r="LF40">
        <f>SUMPRODUCT(--('Данные 2st'!$Q$2:$Q$317=$A40),--ISNUMBER('Данные 2st'!$DS$2:$DS$317))</f>
        <v>4</v>
      </c>
      <c r="LG40">
        <f>SUMPRODUCT(--('Данные 2st'!$Q$2:$Q$317=$A40),--ISNUMBER('Данные 2st'!$DU$2:$DU$317))</f>
        <v>4</v>
      </c>
      <c r="LH40">
        <f>SUMPRODUCT(--('Данные 2st'!$Q$2:$Q$317=$A40),--ISNUMBER('Данные 2st'!$DV$2:$DV$317))</f>
        <v>4</v>
      </c>
      <c r="LI40">
        <f>SUMPRODUCT(--('Данные 2st'!$Q$2:$Q$317=$A40),--ISNUMBER('Данные 2st'!$DW$2:$DW$317))</f>
        <v>4</v>
      </c>
      <c r="LJ40">
        <f>SUMPRODUCT(--('Данные 2st'!$Q$2:$Q$317=$A40),--ISNUMBER('Данные 2st'!$DX$2:$DX$317))</f>
        <v>4</v>
      </c>
      <c r="LK40">
        <f>SUMPRODUCT(--('Данные 2st'!$Q$2:$Q$317=$A40),--ISNUMBER('Данные 2st'!$DY$2:$DY$317))</f>
        <v>4</v>
      </c>
      <c r="LL40">
        <f>SUMPRODUCT(--('Данные 2st'!$Q$2:$Q$317=$A40),--ISNUMBER('Данные 2st'!$EA$2:$EA$317))</f>
        <v>4</v>
      </c>
      <c r="LM40">
        <f>SUMPRODUCT(--('Данные 2st'!$Q$2:$Q$317=$A40),--ISNUMBER('Данные 2st'!$EC$2:$EC$317))</f>
        <v>4</v>
      </c>
      <c r="LN40">
        <f>SUMPRODUCT(--('Данные 2st'!$Q$2:$Q$317=$A40),--ISNUMBER('Данные 2st'!$ED$2:$ED$317))</f>
        <v>4</v>
      </c>
      <c r="LO40">
        <f>SUMPRODUCT(--('Данные 2st'!$Q$2:$Q$317=$A40),--ISNUMBER('Данные 2st'!$EE$2:$EE$317))</f>
        <v>4</v>
      </c>
      <c r="LP40">
        <f>SUMPRODUCT(--('Данные 2st'!$Q$2:$Q$317=$A40),--ISNUMBER('Данные 2st'!$EG$2:$EG$317))</f>
        <v>4</v>
      </c>
      <c r="LQ40">
        <f>SUMPRODUCT(--('Данные 2st'!$Q$2:$Q$317=$A40),--ISNUMBER('Данные 2st'!$EI$2:$EI$317))</f>
        <v>4</v>
      </c>
      <c r="LR40">
        <f>SUMPRODUCT(--('Данные 2st'!$Q$2:$Q$317=$A40),--ISNUMBER('Данные 2st'!$EJ$2:$EJ$317))</f>
        <v>0</v>
      </c>
      <c r="LS40">
        <f>SUMPRODUCT(--('Данные 2st'!$Q$2:$Q$317=$A40),--ISNUMBER('Данные 2st'!$EK$2:$EK$317))</f>
        <v>0</v>
      </c>
      <c r="LT40">
        <f>SUMPRODUCT(--('Данные 2st'!$Q$2:$Q$317=$A40),--ISNUMBER('Данные 2st'!$EM$2:$EM$317))</f>
        <v>4</v>
      </c>
      <c r="LU40">
        <f>SUMPRODUCT(--('Данные 2st'!$Q$2:$Q$317=$A40),--ISNUMBER('Данные 2st'!$EN$2:$EN$317))</f>
        <v>4</v>
      </c>
      <c r="LV40">
        <f>SUMPRODUCT(--('Данные 2st'!$Q$2:$Q$317=$A40),--ISNUMBER('Данные 2st'!$EO$2:$EO$317))</f>
        <v>4</v>
      </c>
      <c r="LW40">
        <f>SUMPRODUCT(--('Данные 2st'!$Q$2:$Q$317=$A40),--ISNUMBER('Данные 2st'!$EP$2:$EP$317))</f>
        <v>4</v>
      </c>
      <c r="LX40">
        <f>SUMPRODUCT(--('Данные 2st'!$Q$2:$Q$317=$A40),--ISNUMBER('Данные 2st'!$EQ$2:$EQ$317))</f>
        <v>4</v>
      </c>
      <c r="LY40">
        <f>SUMPRODUCT(--('Данные 2st'!$Q$2:$Q$317=$A40),--ISNUMBER('Данные 2st'!$ER$2:$ER$317))</f>
        <v>4</v>
      </c>
      <c r="LZ40">
        <f>SUMPRODUCT(--('Данные 2st'!$Q$2:$Q$317=$A40),--ISNUMBER('Данные 2st'!$ES$2:$ES$317))</f>
        <v>4</v>
      </c>
      <c r="MA40">
        <f>SUMPRODUCT(--('Данные 2st'!$Q$2:$Q$317=$A40),--ISNUMBER('Данные 2st'!$ET$2:$ET$317))</f>
        <v>4</v>
      </c>
      <c r="MB40">
        <f>SUMPRODUCT(--('Данные 2st'!$Q$2:$Q$317=$A40),--ISNUMBER('Данные 2st'!$EU$2:$EU$317))</f>
        <v>4</v>
      </c>
      <c r="MC40">
        <f>SUMPRODUCT(--('Данные 2st'!$Q$2:$Q$317=$A40),--ISNUMBER('Данные 2st'!$EV$2:$EV$317))</f>
        <v>4</v>
      </c>
      <c r="MD40">
        <f>SUMPRODUCT(--('Данные 2st'!$Q$2:$Q$317=$A40),--ISNUMBER('Данные 2st'!$EW$2:$EW$317))</f>
        <v>4</v>
      </c>
      <c r="ME40">
        <f>SUMPRODUCT(--('Данные 2st'!$Q$2:$Q$317=$A40),--ISNUMBER('Данные 2st'!$EY$2:$EY$317))</f>
        <v>4</v>
      </c>
      <c r="MF40">
        <f>SUMPRODUCT(--('Данные 2st'!$Q$2:$Q$317=$A40),--ISNUMBER('Данные 2st'!$FA$2:$FA$317))</f>
        <v>4</v>
      </c>
      <c r="MG40">
        <f>SUMPRODUCT(--('Данные 2st'!$Q$2:$Q$317=$A40),--ISNUMBER('Данные 2st'!$FB$2:$FB$317))</f>
        <v>4</v>
      </c>
      <c r="MH40">
        <f>SUMPRODUCT(--('Данные 2st'!$Q$2:$Q$317=$A40),--ISNUMBER('Данные 2st'!$FC$2:$FC$317))</f>
        <v>4</v>
      </c>
      <c r="MI40">
        <f>SUMPRODUCT(--('Данные 2st'!$Q$2:$Q$317=$A40),--ISNUMBER('Данные 2st'!$FD$2:$FD$317))</f>
        <v>4</v>
      </c>
      <c r="MJ40">
        <f>SUMPRODUCT(--('Данные 2st'!$Q$2:$Q$317=$A40),--ISNUMBER('Данные 2st'!$FE$2:$FE$317))</f>
        <v>4</v>
      </c>
      <c r="MK40">
        <f>SUMPRODUCT(--('Данные 2st'!$Q$2:$Q$317=$A40),--ISNUMBER('Данные 2st'!$FG$2:$FG$317))</f>
        <v>4</v>
      </c>
      <c r="ML40">
        <f>SUMPRODUCT(--('Данные 2st'!$Q$2:$Q$317=$A40),--ISNUMBER('Данные 2st'!$FI$2:$FI$317))</f>
        <v>4</v>
      </c>
      <c r="MM40">
        <f>SUMPRODUCT(--('Данные 2st'!$Q$2:$Q$317=$A40),--ISNUMBER('Данные 2st'!$FJ$2:$FJ$317))</f>
        <v>4</v>
      </c>
      <c r="MN40">
        <f>SUMPRODUCT(--('Данные 2st'!$Q$2:$Q$317=$A40),--ISNUMBER('Данные 2st'!$FK$2:$FK$317))</f>
        <v>4</v>
      </c>
      <c r="MO40">
        <f>SUMPRODUCT(--('Данные 2st'!$Q$2:$Q$317=$A40),--ISNUMBER('Данные 2st'!$FP$2:$FP$317))</f>
        <v>4</v>
      </c>
      <c r="MP40">
        <f>SUMPRODUCT(--('Данные 2st'!$Q$2:$Q$317=$A40),--ISNUMBER('Данные 2st'!$FQ$2:$FQ$317))</f>
        <v>4</v>
      </c>
      <c r="MQ40">
        <f>SUMPRODUCT(--('Данные 2st'!$Q$2:$Q$317=$A40),--ISNUMBER('Данные 2st'!$FS$2:$FS$317))</f>
        <v>4</v>
      </c>
      <c r="MR40">
        <f>SUMPRODUCT(--('Данные 2st'!$Q$2:$Q$317=$A40),--ISNUMBER('Данные 2st'!$FU$2:$FU$317))</f>
        <v>4</v>
      </c>
      <c r="MS40">
        <f>SUMPRODUCT(--('Данные 2st'!$Q$2:$Q$317=$A40),--ISNUMBER('Данные 2st'!$FV$2:$FV$317))</f>
        <v>4</v>
      </c>
      <c r="MT40">
        <f>SUMPRODUCT(--('Данные 2st'!$Q$2:$Q$317=$A40),--ISNUMBER('Данные 2st'!$FW$2:$FW$317))</f>
        <v>4</v>
      </c>
      <c r="MU40">
        <f>SUMPRODUCT(--('Данные 2st'!$Q$2:$Q$317=$A40),--ISNUMBER('Данные 2st'!$FY$2:$FY$317))</f>
        <v>4</v>
      </c>
      <c r="MV40">
        <f>SUMPRODUCT(--('Данные 2st'!$Q$2:$Q$317=$A40),--ISNUMBER('Данные 2st'!$GB$2:$GB$317))</f>
        <v>4</v>
      </c>
      <c r="MW40">
        <f>SUMPRODUCT(--('Данные 2st'!$Q$2:$Q$317=$A40),--ISNUMBER('Данные 2st'!$GC$2:$GC$317))</f>
        <v>4</v>
      </c>
      <c r="MX40">
        <f>SUMPRODUCT(--('Данные 2st'!$Q$2:$Q$317=$A40),--ISNUMBER('Данные 2st'!$GD$2:$GD$317))</f>
        <v>4</v>
      </c>
      <c r="MY40">
        <f>SUMPRODUCT(--('Данные 2st'!$Q$2:$Q$317=$A40),--ISNUMBER('Данные 2st'!$GN$2:$GN$317))</f>
        <v>0</v>
      </c>
      <c r="MZ40">
        <f>SUMPRODUCT(--('Данные 2st'!$Q$2:$Q$317=$A40),--ISNUMBER('Данные 2st'!$GQ$2:$GQ$317))</f>
        <v>4</v>
      </c>
      <c r="NA40">
        <f>SUMPRODUCT(--('Данные 2st'!$Q$2:$Q$317=$A40),--ISNUMBER('Данные 2st'!$GV$2:$GV$317))</f>
        <v>4</v>
      </c>
      <c r="NB40">
        <f>SUMPRODUCT(--('Данные 2st'!$Q$2:$Q$317=$A40),--ISNUMBER('Данные 2st'!$GW$2:$GW$317))</f>
        <v>4</v>
      </c>
      <c r="NC40">
        <f>SUMPRODUCT(--('Данные 2st'!$Q$2:$Q$317=$A40),--ISNUMBER('Данные 2st'!$GX$2:$GX$317))</f>
        <v>4</v>
      </c>
      <c r="ND40">
        <f>SUMPRODUCT(--('Данные 2st'!$Q$2:$Q$317=$A40),--ISNUMBER('Данные 2st'!$GY$2:$GY$317))</f>
        <v>4</v>
      </c>
      <c r="NE40">
        <f>SUMPRODUCT(--('Данные 2st'!$Q$2:$Q$317=$A40),--ISNUMBER('Данные 2st'!$GZ$2:$GZ$317))</f>
        <v>4</v>
      </c>
      <c r="NF40">
        <f>SUMPRODUCT(--('Данные 2st'!$Q$2:$Q$317=$A40),--ISNUMBER('Данные 2st'!$HA$2:$HA$317))</f>
        <v>4</v>
      </c>
      <c r="NG40">
        <f>SUMPRODUCT(--('Данные 2st'!$Q$2:$Q$317=$A40),--ISNUMBER('Данные 2st'!$HB$2:$HB$317))</f>
        <v>4</v>
      </c>
      <c r="NH40">
        <f>SUMPRODUCT(--('Данные 2st'!$Q$2:$Q$317=$A40),--ISNUMBER('Данные 2st'!$HC$2:$HC$317))</f>
        <v>4</v>
      </c>
      <c r="NI40">
        <f>SUMPRODUCT(--('Данные 2st'!$Q$2:$Q$317=$A40),--ISNUMBER('Данные 2st'!$HD$2:$HD$317))</f>
        <v>4</v>
      </c>
      <c r="NJ40">
        <f>SUMPRODUCT(--('Данные 2st'!$Q$2:$Q$317=$A40),--ISNUMBER('Данные 2st'!$HM$2:$HM$317))</f>
        <v>4</v>
      </c>
      <c r="NK40">
        <f>SUMPRODUCT(--('Данные 2st'!$Q$2:$Q$317=$A40),--ISNUMBER('Данные 2st'!$HR$2:$HR$317))</f>
        <v>4</v>
      </c>
      <c r="NL40">
        <f>SUMPRODUCT(--('Данные 2st'!$Q$2:$Q$317=$A40),--ISNUMBER('Данные 2st'!$HS$2:$HS$317))</f>
        <v>4</v>
      </c>
      <c r="NM40">
        <f>SUMPRODUCT(--('Данные 2st'!$Q$2:$Q$317=$A40),--ISNUMBER('Данные 2st'!$HT$2:$HT$317))</f>
        <v>4</v>
      </c>
      <c r="NN40">
        <f>SUMPRODUCT(--('Данные 2st'!$Q$2:$Q$317=$A40),--ISNUMBER('Данные 2st'!$HY$2:$HY$317))</f>
        <v>4</v>
      </c>
      <c r="NO40">
        <f>SUMPRODUCT(--('Данные 2st'!$Q$2:$Q$317=$A40),--ISNUMBER('Данные 2st'!$HZ$2:$HZ$317))</f>
        <v>4</v>
      </c>
      <c r="NP40">
        <f>SUMPRODUCT(--('Данные 2st'!$Q$2:$Q$317=$A40),--ISNUMBER('Данные 2st'!$IA$2:$IA$317))</f>
        <v>4</v>
      </c>
      <c r="NQ40">
        <f>SUMPRODUCT(--('Данные 2st'!$Q$2:$Q$317=$A40),--ISNUMBER('Данные 2st'!$IB$2:$IB$317))</f>
        <v>4</v>
      </c>
      <c r="NR40">
        <f>SUMPRODUCT(--('Данные 2st'!$Q$2:$Q$317=$A40),--ISNUMBER('Данные 2st'!$IC$2:$IC$317))</f>
        <v>0</v>
      </c>
      <c r="NS40">
        <f>SUMPRODUCT(--('Данные 2st'!$Q$2:$Q$317=$A40),--ISNUMBER('Данные 2st'!$ID$2:$ID$317))</f>
        <v>4</v>
      </c>
      <c r="NT40">
        <f>SUMPRODUCT(--('Данные 2st'!$Q$2:$Q$317=$A40),--ISNUMBER('Данные 2st'!$IE$2:$IE$317))</f>
        <v>4</v>
      </c>
      <c r="NU40">
        <f>SUMPRODUCT(--('Данные 2st'!$Q$2:$Q$317=$A40),--ISNUMBER('Данные 2st'!$IF$2:$IF$317))</f>
        <v>4</v>
      </c>
      <c r="NV40">
        <f>SUMPRODUCT(--('Данные 2st'!$Q$2:$Q$317=$A40),--ISNUMBER('Данные 2st'!$IG$2:$IG$317))</f>
        <v>4</v>
      </c>
      <c r="NW40">
        <f>SUMPRODUCT(--('Данные 2st'!$Q$2:$Q$317=$A40),--ISNUMBER('Данные 2st'!$IH$2:$IH$317))</f>
        <v>4</v>
      </c>
      <c r="NX40">
        <f>SUMPRODUCT(--('Данные 2st'!$Q$2:$Q$317=$A40),--ISNUMBER('Данные 2st'!$IJ$2:$IJ$317))</f>
        <v>4</v>
      </c>
      <c r="NY40">
        <f>SUMPRODUCT(--('Данные 2st'!$Q$2:$Q$317=$A40),--ISNUMBER('Данные 2st'!$IM$2:$IM$317))</f>
        <v>4</v>
      </c>
      <c r="NZ40">
        <f>SUMPRODUCT(--('Данные 2st'!$Q$2:$Q$317=$A40),--ISNUMBER('Данные 2st'!$IN$2:$IN$317))</f>
        <v>4</v>
      </c>
      <c r="OA40">
        <f>SUMPRODUCT(--('Данные 2st'!$Q$2:$Q$317=$A40),--ISNUMBER('Данные 2st'!$IO$2:$IO$317))</f>
        <v>4</v>
      </c>
      <c r="OB40">
        <f>SUMPRODUCT(--('Данные 2st'!$Q$2:$Q$317=$A40),--ISNUMBER('Данные 2st'!$IP$2:$IP$317))</f>
        <v>4</v>
      </c>
      <c r="OC40">
        <f>SUMPRODUCT(--('Данные 2st'!$Q$2:$Q$317=$A40),--ISNUMBER('Данные 2st'!$IQ$2:$IQ$317))</f>
        <v>4</v>
      </c>
      <c r="OD40">
        <f>SUMPRODUCT(--('Данные 2st'!$Q$2:$Q$317=$A40),--ISNUMBER('Данные 2st'!$IR$2:$IR$317))</f>
        <v>4</v>
      </c>
      <c r="OE40">
        <f>SUMPRODUCT(--('Данные 2st'!$Q$2:$Q$317=$A40),--ISNUMBER('Данные 2st'!$IT$2:$IT$317))</f>
        <v>4</v>
      </c>
      <c r="OF40">
        <f>SUMPRODUCT(--('Данные 2st'!$Q$2:$Q$317=$A40),--ISNUMBER('Данные 2st'!$IU$2:$IU$317))</f>
        <v>4</v>
      </c>
      <c r="OG40">
        <f>SUMPRODUCT(--('Данные 2st'!$Q$2:$Q$317=$A40),--ISNUMBER('Данные 2st'!$IV$2:$IV$317))</f>
        <v>4</v>
      </c>
      <c r="OH40">
        <f>SUMPRODUCT(--('Данные 2st'!$Q$2:$Q$317=$A40),--ISNUMBER('Данные 2st'!$IW$2:$IW$317))</f>
        <v>4</v>
      </c>
      <c r="OI40">
        <f>SUMPRODUCT(--('Данные 2st'!$Q$2:$Q$317=$A40),--ISNUMBER('Данные 2st'!$IX$2:$IX$317))</f>
        <v>4</v>
      </c>
      <c r="OJ40">
        <f>SUMPRODUCT(--('Данные 2st'!$Q$2:$Q$317=$A40),--ISNUMBER('Данные 2st'!$IY$2:$IY$317))</f>
        <v>4</v>
      </c>
      <c r="OK40">
        <f>SUMPRODUCT(--('Данные 2st'!$Q$2:$Q$317=$A40),--ISNUMBER('Данные 2st'!$IZ$2:$IZ$317))</f>
        <v>4</v>
      </c>
      <c r="OL40">
        <f>SUMPRODUCT(--('Данные 2st'!$Q$2:$Q$317=$A40),--ISNUMBER('Данные 2st'!$JA$2:$JA$317))</f>
        <v>4</v>
      </c>
      <c r="OM40">
        <f>SUMPRODUCT(--('Данные 2st'!$Q$2:$Q$317=$A40),--ISNUMBER('Данные 2st'!$JB$2:$JB$317))</f>
        <v>4</v>
      </c>
      <c r="ON40">
        <f>SUMPRODUCT(--('Данные 2st'!$Q$2:$Q$317=$A40),--ISNUMBER('Данные 2st'!$JC$2:$JC$317))</f>
        <v>4</v>
      </c>
      <c r="OO40">
        <f>SUMPRODUCT(--('Данные 2st'!$Q$2:$Q$317=$A40),--ISNUMBER('Данные 2st'!$JD$2:$JD$317))</f>
        <v>4</v>
      </c>
      <c r="OP40">
        <f>SUMPRODUCT(--('Данные 2st'!$Q$2:$Q$317=$A40),--ISNUMBER('Данные 2st'!$JE$2:$JE$317))</f>
        <v>4</v>
      </c>
      <c r="OQ40">
        <f>SUMPRODUCT(--('Данные 2st'!$Q$2:$Q$317=$A40),--ISNUMBER('Данные 2st'!$JF$2:$JF$317))</f>
        <v>4</v>
      </c>
      <c r="OR40">
        <f>SUMPRODUCT(--('Данные 2st'!$Q$2:$Q$317=$A40),--ISNUMBER('Данные 2st'!$JG$2:$JG$317))</f>
        <v>4</v>
      </c>
      <c r="OS40">
        <f>SUMPRODUCT(--('Данные 2st'!$Q$2:$Q$317=$A40),--ISNUMBER('Данные 2st'!$JH$2:$JH$317))</f>
        <v>4</v>
      </c>
      <c r="OT40">
        <f>SUMPRODUCT(--('Данные 2st'!$Q$2:$Q$317=$A40),--ISNUMBER('Данные 2st'!$JI$2:$JI$317))</f>
        <v>4</v>
      </c>
      <c r="OU40">
        <f>SUMPRODUCT(--('Данные 2st'!$Q$2:$Q$317=$A40),--ISNUMBER('Данные 2st'!$JJ$2:$JJ$317))</f>
        <v>4</v>
      </c>
      <c r="OV40">
        <f>SUMPRODUCT(--('Данные 2st'!$Q$2:$Q$317=$A40),--ISNUMBER('Данные 2st'!$JK$2:$JK$317))</f>
        <v>4</v>
      </c>
      <c r="OW40">
        <f>SUMPRODUCT(--('Данные 2st'!$Q$2:$Q$317=$A40),--ISNUMBER('Данные 2st'!$JL$2:$JL$317))</f>
        <v>4</v>
      </c>
      <c r="OX40">
        <f>SUMPRODUCT(--('Данные 2st'!$Q$2:$Q$317=$A40),--ISNUMBER('Данные 2st'!$JM$2:$JM$317))</f>
        <v>4</v>
      </c>
      <c r="OY40">
        <f>SUMPRODUCT(--('Данные 2st'!$Q$2:$Q$317=$A40),--ISNUMBER('Данные 2st'!$JP$2:$JP$317))</f>
        <v>4</v>
      </c>
      <c r="OZ40">
        <f>SUMPRODUCT(--('Данные 2st'!$Q$2:$Q$317=$A40),--ISNUMBER('Данные 2st'!$JQ$2:$JQ$317))</f>
        <v>4</v>
      </c>
      <c r="PA40">
        <f>SUMPRODUCT(--('Данные 2st'!$Q$2:$Q$317=$A40),--ISNUMBER('Данные 2st'!$JR$2:$JR$317))</f>
        <v>4</v>
      </c>
      <c r="PB40">
        <f>SUMPRODUCT(--('Данные 2st'!$Q$2:$Q$317=$A40),--ISNUMBER('Данные 2st'!$JS$2:$JS$317))</f>
        <v>4</v>
      </c>
      <c r="PC40">
        <f>SUMPRODUCT(--('Данные 2st'!$Q$2:$Q$317=$A40),--ISNUMBER('Данные 2st'!$JT$2:$JT$317))</f>
        <v>4</v>
      </c>
      <c r="PD40">
        <f>SUMPRODUCT(--('Данные 2st'!$Q$2:$Q$317=$A40),--ISNUMBER('Данные 2st'!$JU$2:$JU$317))</f>
        <v>4</v>
      </c>
      <c r="PE40">
        <f>SUMPRODUCT(--('Данные 2st'!$Q$2:$Q$317=$A40),--ISNUMBER('Данные 2st'!$JV$2:$JV$317))</f>
        <v>4</v>
      </c>
      <c r="PF40">
        <f>SUMPRODUCT(--('Данные 2st'!$Q$2:$Q$317=$A40),--ISNUMBER('Данные 2st'!$JW$2:$JW$317))</f>
        <v>4</v>
      </c>
      <c r="PG40">
        <f>SUMPRODUCT(--('Данные 2st'!$Q$2:$Q$317=$A40),--ISNUMBER('Данные 2st'!$KF$2:$KF$317))</f>
        <v>4</v>
      </c>
      <c r="PH40">
        <f>SUMPRODUCT(--('Данные 2st'!$Q$2:$Q$317=$A40),--ISNUMBER('Данные 2st'!$KG$2:$KG$317))</f>
        <v>4</v>
      </c>
      <c r="PI40">
        <f>SUMPRODUCT(--('Данные 2st'!$Q$2:$Q$317=$A40),--ISNUMBER('Данные 2st'!$KM$2:$KM$317))</f>
        <v>4</v>
      </c>
      <c r="PJ40">
        <f>SUMPRODUCT(--('Данные 2st'!$Q$2:$Q$317=$A40),--ISNUMBER('Данные 2st'!$KN$2:$KN$317))</f>
        <v>4</v>
      </c>
      <c r="PK40">
        <f>SUMPRODUCT(--('Данные 2st'!$Q$2:$Q$317=$A40),--ISNUMBER('Данные 2st'!$KO$2:$KO$317))</f>
        <v>4</v>
      </c>
      <c r="PL40">
        <f>SUMPRODUCT(--('Данные 2st'!$Q$2:$Q$317=$A40),--ISNUMBER('Данные 2st'!$KP$2:$KP$317))</f>
        <v>4</v>
      </c>
      <c r="PM40">
        <f>SUMPRODUCT(--('Данные 2st'!$Q$2:$Q$317=$A40),--ISNUMBER('Данные 2st'!$KQ$2:$KQ$317))</f>
        <v>4</v>
      </c>
      <c r="PN40">
        <f>SUMPRODUCT(--('Данные 2st'!$Q$2:$Q$317=$A40),--ISNUMBER('Данные 2st'!$KR$2:$KR$317))</f>
        <v>4</v>
      </c>
      <c r="PO40">
        <f>SUMPRODUCT(--('Данные 2st'!$Q$2:$Q$317=$A40),--ISNUMBER('Данные 2st'!$KS$2:$KS$317))</f>
        <v>4</v>
      </c>
      <c r="PP40">
        <f>SUMPRODUCT(--('Данные 2st'!$Q$2:$Q$317=$A40),--ISNUMBER('Данные 2st'!$KT$2:$KT$317))</f>
        <v>4</v>
      </c>
      <c r="PQ40">
        <f>SUMPRODUCT(--('Данные 2st'!$Q$2:$Q$317=$A40),--ISNUMBER('Данные 2st'!$KU$2:$KU$317))</f>
        <v>4</v>
      </c>
      <c r="PR40">
        <f>SUMPRODUCT(--('Данные 2st'!$Q$2:$Q$317=$A40),--ISNUMBER('Данные 2st'!$KV$2:$KV$317))</f>
        <v>4</v>
      </c>
      <c r="PS40">
        <f>SUMPRODUCT(--('Данные 2st'!$Q$2:$Q$317=$A40),--ISNUMBER('Данные 2st'!$KW$2:$KW$317))</f>
        <v>4</v>
      </c>
      <c r="PT40">
        <f>SUMPRODUCT(--('Данные 2st'!$Q$2:$Q$317=$A40),--ISNUMBER('Данные 2st'!$KX$2:$KX$317))</f>
        <v>4</v>
      </c>
      <c r="PU40">
        <f>SUMPRODUCT(--('Данные 2st'!$Q$2:$Q$317=$A40),--ISNUMBER('Данные 2st'!$KY$2:$KY$317))</f>
        <v>4</v>
      </c>
      <c r="PV40">
        <f>SUMPRODUCT(--('Данные 2st'!$Q$2:$Q$317=$A40),--ISNUMBER('Данные 2st'!$KZ$2:$KZ$317))</f>
        <v>4</v>
      </c>
      <c r="PW40">
        <f>SUMPRODUCT(--('Данные 2st'!$Q$2:$Q$317=$A40),--ISNUMBER('Данные 2st'!$LA$2:$LA$317))</f>
        <v>4</v>
      </c>
      <c r="PX40">
        <f>SUMPRODUCT(--('Данные 2st'!$Q$2:$Q$317=$A40),--ISNUMBER('Данные 2st'!$LB$2:$LB$317))</f>
        <v>4</v>
      </c>
      <c r="PY40">
        <f>SUMPRODUCT(--('Данные 2st'!$Q$2:$Q$317=$A40),--ISNUMBER('Данные 2st'!$LC$2:$LC$317))</f>
        <v>4</v>
      </c>
      <c r="PZ40">
        <f>SUMPRODUCT(--('Данные 2st'!$Q$2:$Q$317=$A40),--ISNUMBER('Данные 2st'!$LD$2:$LD$317))</f>
        <v>4</v>
      </c>
      <c r="QA40">
        <f>SUMPRODUCT(--('Данные 2st'!$Q$2:$Q$317=$A40),--ISNUMBER('Данные 2st'!$LE$2:$LE$317))</f>
        <v>4</v>
      </c>
      <c r="QB40">
        <f>SUMPRODUCT(--('Данные 2st'!$Q$2:$Q$317=$A40),--ISNUMBER('Данные 2st'!$LF$2:$LF$317))</f>
        <v>4</v>
      </c>
      <c r="QC40">
        <f>SUMPRODUCT(--('Данные 2st'!$Q$2:$Q$317=$A40),--ISNUMBER('Данные 2st'!$LG$2:$LG$317))</f>
        <v>4</v>
      </c>
      <c r="QD40">
        <f>SUMPRODUCT(--('Данные 2st'!$Q$2:$Q$317=$A40),--ISNUMBER('Данные 2st'!$LH$2:$LH$317))</f>
        <v>4</v>
      </c>
      <c r="QE40">
        <f>SUMPRODUCT(--('Данные 2st'!$Q$2:$Q$317=$A40),--ISNUMBER('Данные 2st'!$LJ$2:$LJ$317))</f>
        <v>4</v>
      </c>
      <c r="QF40">
        <f>SUMPRODUCT(--('Данные 2st'!$Q$2:$Q$317=$A40),--ISNUMBER('Данные 2st'!$LK$2:$LK$317))</f>
        <v>4</v>
      </c>
      <c r="QG40">
        <f>SUMPRODUCT(--('Данные 2st'!$Q$2:$Q$317=$A40),--ISNUMBER('Данные 2st'!$LL$2:$LL$317))</f>
        <v>4</v>
      </c>
      <c r="QH40">
        <f>SUMPRODUCT(--('Данные 2st'!$Q$2:$Q$317=$A40),--ISNUMBER('Данные 2st'!$LM$2:$LM$317))</f>
        <v>4</v>
      </c>
      <c r="QI40">
        <f>SUMPRODUCT(--('Данные 2st'!$Q$2:$Q$317=$A40),--ISNUMBER('Данные 2st'!$LN$2:$LN$317))</f>
        <v>4</v>
      </c>
      <c r="QJ40">
        <f>SUMPRODUCT(--('Данные 2st'!$Q$2:$Q$317=$A40),--ISNUMBER('Данные 2st'!$LO$2:$LO$317))</f>
        <v>4</v>
      </c>
      <c r="QK40">
        <f>SUMPRODUCT(--('Данные 2st'!$Q$2:$Q$317=$A40),--ISNUMBER('Данные 2st'!$LP$2:$LP$317))</f>
        <v>4</v>
      </c>
      <c r="QL40">
        <f>SUMPRODUCT(--('Данные 2st'!$Q$2:$Q$317=$A40),--ISNUMBER('Данные 2st'!$LQ$2:$LQ$317))</f>
        <v>4</v>
      </c>
      <c r="QM40">
        <f>SUMPRODUCT(--('Данные 2st'!$Q$2:$Q$317=$A40),--ISNUMBER('Данные 2st'!$LW$2:$LW$317))</f>
        <v>4</v>
      </c>
      <c r="QN40">
        <f>SUMPRODUCT(--('Данные 2st'!$Q$2:$Q$317=$A40),--ISNUMBER('Данные 2st'!$LX$2:$LX$317))</f>
        <v>4</v>
      </c>
      <c r="QO40">
        <f>SUMPRODUCT(--('Данные 2st'!$Q$2:$Q$317=$A40),--ISNUMBER('Данные 2st'!$LY$2:$LY$317))</f>
        <v>4</v>
      </c>
      <c r="QP40">
        <f>SUMPRODUCT(--('Данные 2st'!$Q$2:$Q$317=$A40),--ISNUMBER('Данные 2st'!$LZ$2:$LZ$317))</f>
        <v>4</v>
      </c>
      <c r="QQ40">
        <f>SUMPRODUCT(--('Данные 2st'!$Q$2:$Q$317=$A40),--ISNUMBER('Данные 2st'!$MB$2:$MB$317))</f>
        <v>4</v>
      </c>
      <c r="QR40">
        <f>SUMPRODUCT(--('Данные 2st'!$Q$2:$Q$317=$A40),--ISNUMBER('Данные 2st'!$MG$2:$MG$317))</f>
        <v>3</v>
      </c>
      <c r="QS40">
        <f>SUMPRODUCT(--('Данные 2st'!$Q$2:$Q$317=$A40),--ISNUMBER('Данные 2st'!$MH$2:$MH$317))</f>
        <v>3</v>
      </c>
      <c r="QT40">
        <f>SUMPRODUCT(--('Данные 2st'!$Q$2:$Q$317=$A40),--ISNUMBER('Данные 2st'!$MI$2:$MI$317))</f>
        <v>4</v>
      </c>
      <c r="QU40">
        <f>SUMPRODUCT(--('Данные 2st'!$Q$2:$Q$317=$A40),--ISNUMBER('Данные 2st'!$MJ$2:$MJ$317))</f>
        <v>4</v>
      </c>
      <c r="QV40">
        <f>SUMPRODUCT(--('Данные 2st'!$Q$2:$Q$317=$A40),--ISNUMBER('Данные 2st'!$MK$2:$MK$317))</f>
        <v>3</v>
      </c>
      <c r="QW40">
        <f>SUMPRODUCT(--('Данные 2st'!$Q$2:$Q$317=$A40),--ISNUMBER('Данные 2st'!$MM$2:$MM$317))</f>
        <v>4</v>
      </c>
      <c r="QX40">
        <f>SUMPRODUCT(--('Данные 2st'!$Q$2:$Q$317=$A40),--ISNUMBER('Данные 2st'!$MQ$2:$MQ$317))</f>
        <v>0</v>
      </c>
      <c r="QY40">
        <f>SUMPRODUCT(--('Данные 2st'!$Q$2:$Q$317=$A40),--ISNUMBER('Данные 2st'!$MR$2:$MR$317))</f>
        <v>0</v>
      </c>
      <c r="QZ40">
        <f>SUMPRODUCT(--('Данные 2st'!$Q$2:$Q$317=$A40),--ISNUMBER('Данные 2st'!$MS$2:$MS$317))</f>
        <v>0</v>
      </c>
      <c r="RA40">
        <f>SUMPRODUCT(--('Данные 2st'!$Q$2:$Q$317=$A40),--ISNUMBER('Данные 2st'!$MT$2:$MT$317))</f>
        <v>0</v>
      </c>
      <c r="RB40">
        <f>SUMPRODUCT(--('Данные 2st'!$Q$2:$Q$317=$A40),--ISNUMBER('Данные 2st'!$MU$2:$MU$317))</f>
        <v>0</v>
      </c>
      <c r="RC40">
        <f>SUMPRODUCT(--('Данные 2st'!$Q$2:$Q$317=$A40),--ISNUMBER('Данные 2st'!$MV$2:$MV$317))</f>
        <v>0</v>
      </c>
      <c r="RD40">
        <f>SUMPRODUCT(--('Данные 2st'!$Q$2:$Q$317=$A40),--ISNUMBER('Данные 2st'!$MW$2:$MW$317))</f>
        <v>0</v>
      </c>
      <c r="RE40">
        <f>SUMPRODUCT(--('Данные 2st'!$Q$2:$Q$317=$A40),--ISNUMBER('Данные 2st'!$MX$2:$MX$317))</f>
        <v>0</v>
      </c>
      <c r="RF40">
        <f>SUMPRODUCT(--('Данные 2st'!$Q$2:$Q$317=$A40),--ISNUMBER('Данные 2st'!$MY$2:$MY$317))</f>
        <v>0</v>
      </c>
      <c r="RG40">
        <f>SUMPRODUCT(--('Данные 2st'!$Q$2:$Q$317=$A40),--ISNUMBER('Данные 2st'!$MZ$2:$MZ$317))</f>
        <v>0</v>
      </c>
      <c r="RH40">
        <f>SUMPRODUCT(--('Данные 2st'!$Q$2:$Q$317=$A40),--ISNUMBER('Данные 2st'!$NA$2:$NA$317))</f>
        <v>0</v>
      </c>
      <c r="RI40">
        <f>SUMPRODUCT(--('Данные 2st'!$Q$2:$Q$317=$A40),--ISNUMBER('Данные 2st'!$NB$2:$NB$317))</f>
        <v>0</v>
      </c>
      <c r="RJ40">
        <f>SUMPRODUCT(--('Данные 2st'!$Q$2:$Q$317=$A40),--ISNUMBER('Данные 2st'!$NC$2:$NC$317))</f>
        <v>0</v>
      </c>
      <c r="RK40">
        <f>SUMPRODUCT(--('Данные 2st'!$Q$2:$Q$317=$A40),--ISNUMBER('Данные 2st'!$ND$2:$ND$317))</f>
        <v>0</v>
      </c>
      <c r="RL40">
        <f>SUMPRODUCT(--('Данные 2st'!$Q$2:$Q$317=$A40),--ISNUMBER('Данные 2st'!$NE$2:$NE$317))</f>
        <v>0</v>
      </c>
      <c r="RM40">
        <f>SUMPRODUCT(--('Данные 2st'!$Q$2:$Q$317=$A40),--ISNUMBER('Данные 2st'!$NF$2:$NF$317))</f>
        <v>0</v>
      </c>
      <c r="RN40">
        <f>SUMPRODUCT(--('Данные 2st'!$Q$2:$Q$317=$A40),--ISNUMBER('Данные 2st'!$NG$2:$NG$317))</f>
        <v>0</v>
      </c>
      <c r="RO40">
        <f>SUMPRODUCT(--('Данные 2st'!$Q$2:$Q$317=$A40),--ISNUMBER('Данные 2st'!$NH$2:$NH$317))</f>
        <v>0</v>
      </c>
      <c r="RP40">
        <f>SUMPRODUCT(--('Данные 2st'!$Q$2:$Q$317=$A40),--ISNUMBER('Данные 2st'!$NJ$2:$NJ$317))</f>
        <v>0</v>
      </c>
      <c r="RQ40">
        <f>SUMPRODUCT(--('Данные 2st'!$Q$2:$Q$317=$A40),--ISNUMBER('Данные 2st'!$NK$2:$NK$317))</f>
        <v>0</v>
      </c>
      <c r="RR40">
        <f>SUMPRODUCT(--('Данные 2st'!$Q$2:$Q$317=$A40),--ISNUMBER('Данные 2st'!$NM$2:$NM$317))</f>
        <v>0</v>
      </c>
      <c r="RS40">
        <f>SUMPRODUCT(--('Данные 2st'!$Q$2:$Q$317=$A40),--ISNUMBER('Данные 2st'!$NN$2:$NN$317))</f>
        <v>0</v>
      </c>
      <c r="RT40">
        <f>SUMPRODUCT(--('Данные 2st'!$Q$2:$Q$317=$A40),--ISNUMBER('Данные 2st'!$NO$2:$NO$317))</f>
        <v>0</v>
      </c>
      <c r="RU40">
        <f>SUMPRODUCT(--('Данные 2st'!$Q$2:$Q$317=$A40),--ISNUMBER('Данные 2st'!$NP$2:$NP$317))</f>
        <v>0</v>
      </c>
      <c r="RV40">
        <f>SUMPRODUCT(--('Данные 2st'!$Q$2:$Q$317=$A40),--ISNUMBER('Данные 2st'!$NQ$2:$NQ$317))</f>
        <v>0</v>
      </c>
      <c r="RW40">
        <f>SUMPRODUCT(--('Данные 2st'!$Q$2:$Q$317=$A40),--ISNUMBER('Данные 2st'!$NR$2:$NR$317))</f>
        <v>0</v>
      </c>
      <c r="RX40">
        <f>SUMPRODUCT(--('Данные 2st'!$Q$2:$Q$317=$A40),--ISNUMBER('Данные 2st'!$NS$2:$NS$317))</f>
        <v>0</v>
      </c>
      <c r="RY40">
        <f>SUMPRODUCT(--('Данные 2st'!$Q$2:$Q$317=$A40),--ISNUMBER('Данные 2st'!$NT$2:$NT$317))</f>
        <v>0</v>
      </c>
      <c r="RZ40">
        <f>SUMPRODUCT(--('Данные 2st'!$Q$2:$Q$317=$A40),--ISNUMBER('Данные 2st'!$OK$2:$OK$317))</f>
        <v>4</v>
      </c>
      <c r="SA40">
        <f>SUMPRODUCT(--('Данные 2st'!$Q$2:$Q$317=$A40),--ISNUMBER('Данные 2st'!$OL$2:$OL$317))</f>
        <v>4</v>
      </c>
      <c r="SB40">
        <f>SUMPRODUCT(--('Данные 2st'!$Q$2:$Q$317=$A40),--ISNUMBER('Данные 2st'!$ON$2:$ON$317))</f>
        <v>4</v>
      </c>
      <c r="SC40">
        <f>SUMPRODUCT(--('Данные 2st'!$Q$2:$Q$317=$A40),--ISNUMBER('Данные 2st'!$OO$2:$OO$317))</f>
        <v>4</v>
      </c>
      <c r="SD40">
        <f>SUMPRODUCT(--('Данные 2st'!$Q$2:$Q$317=$A40),--ISNUMBER('Данные 2st'!$OP$2:$OP$317))</f>
        <v>4</v>
      </c>
      <c r="SE40">
        <f>SUMPRODUCT(--('Данные 2st'!$Q$2:$Q$317=$A40),--ISNUMBER('Данные 2st'!$OQ$2:$OQ$317))</f>
        <v>4</v>
      </c>
      <c r="SF40">
        <f>SUMPRODUCT(--('Данные 2st'!$Q$2:$Q$317=$A40),--ISNUMBER('Данные 2st'!$OS$2:$OS$317))</f>
        <v>4</v>
      </c>
      <c r="SG40">
        <f>SUMPRODUCT(--('Данные 2st'!$Q$2:$Q$317=$A40),--ISNUMBER('Данные 2st'!$OT$2:$OT$317))</f>
        <v>4</v>
      </c>
      <c r="SH40">
        <f>SUMPRODUCT(--('Данные 2st'!$Q$2:$Q$317=$A40),--ISNUMBER('Данные 2st'!$OU$2:$OU$317))</f>
        <v>4</v>
      </c>
      <c r="SI40">
        <f>SUMPRODUCT(--('Данные 2st'!$Q$2:$Q$317=$A40),--ISNUMBER('Данные 2st'!$OV$2:$OV$317))</f>
        <v>4</v>
      </c>
      <c r="SJ40">
        <f>SUMPRODUCT(--('Данные 2st'!$Q$2:$Q$317=$A40),--ISNUMBER('Данные 2st'!$OX$2:$OX$317))</f>
        <v>4</v>
      </c>
      <c r="SK40">
        <f>SUMPRODUCT(--('Данные 2st'!$Q$2:$Q$317=$A40),--ISNUMBER('Данные 2st'!$OY$2:$OY$317))</f>
        <v>4</v>
      </c>
      <c r="SL40">
        <f>SUMPRODUCT(--('Данные 2st'!$Q$2:$Q$317=$A40),--ISNUMBER('Данные 2st'!$OZ$2:$OZ$317))</f>
        <v>4</v>
      </c>
      <c r="SM40">
        <f>SUMPRODUCT(--('Данные 2st'!$Q$2:$Q$317=$A40),--ISNUMBER('Данные 2st'!$PA$2:$PA$317))</f>
        <v>4</v>
      </c>
      <c r="SN40">
        <f>SUMPRODUCT(--('Данные 2st'!$Q$2:$Q$317=$A40),--ISNUMBER('Данные 2st'!$PC$2:$PC$317))</f>
        <v>4</v>
      </c>
      <c r="SO40">
        <f>SUMPRODUCT(--('Данные 2st'!$Q$2:$Q$317=$A40),--ISNUMBER('Данные 2st'!$PD$2:$PD$317))</f>
        <v>4</v>
      </c>
      <c r="SP40">
        <f>SUMPRODUCT(--('Данные 2st'!$Q$2:$Q$317=$A40),--ISNUMBER('Данные 2st'!$PF$2:$PF$317))</f>
        <v>4</v>
      </c>
      <c r="SQ40">
        <f>SUMPRODUCT(--('Данные 2st'!$Q$2:$Q$317=$A40),--ISNUMBER('Данные 2st'!$PG$2:$PG$317))</f>
        <v>4</v>
      </c>
      <c r="SR40">
        <f>SUMPRODUCT(--('Данные 2st'!$Q$2:$Q$317=$A40),--ISNUMBER('Данные 2st'!$PH$2:$PH$317))</f>
        <v>4</v>
      </c>
      <c r="SS40">
        <f>SUMPRODUCT(--('Данные 2st'!$Q$2:$Q$317=$A40),--ISNUMBER('Данные 2st'!$PI$2:$PI$317))</f>
        <v>4</v>
      </c>
      <c r="ST40">
        <f>SUMPRODUCT(--('Данные 2st'!$Q$2:$Q$317=$A40),--ISNUMBER('Данные 2st'!$PJ$2:$PJ$317))</f>
        <v>4</v>
      </c>
      <c r="SU40">
        <f>SUMPRODUCT(--('Данные 2st'!$Q$2:$Q$317=$A40),--ISNUMBER('Данные 2st'!$PK$2:$PK$317))</f>
        <v>3</v>
      </c>
      <c r="SV40">
        <f>SUMPRODUCT(--('Данные 2st'!$Q$2:$Q$317=$A40),--ISNUMBER('Данные 2st'!$PL$2:$PL$317))</f>
        <v>4</v>
      </c>
      <c r="SW40">
        <f>SUMPRODUCT(--('Данные 2st'!$Q$2:$Q$317=$A40),--ISNUMBER('Данные 2st'!$PM$2:$PM$317))</f>
        <v>4</v>
      </c>
      <c r="SX40">
        <f>SUMPRODUCT(--('Данные 2st'!$Q$2:$Q$317=$A40),--ISNUMBER('Данные 2st'!$PN$2:$PN$317))</f>
        <v>4</v>
      </c>
      <c r="SY40">
        <f>SUMPRODUCT(--('Данные 2st'!$Q$2:$Q$317=$A40),--ISNUMBER('Данные 2st'!$PO$2:$PO$317))</f>
        <v>4</v>
      </c>
      <c r="SZ40">
        <f>SUMPRODUCT(--('Данные 2st'!$Q$2:$Q$317=$A40),--ISNUMBER('Данные 2st'!$PP$2:$PP$317))</f>
        <v>4</v>
      </c>
      <c r="TA40">
        <f>SUMPRODUCT(--('Данные 2st'!$Q$2:$Q$317=$A40),--ISNUMBER('Данные 2st'!$PQ$2:$PQ$317))</f>
        <v>4</v>
      </c>
      <c r="TB40">
        <f>SUMPRODUCT(--('Данные 2st'!$Q$2:$Q$317=$A40),--ISNUMBER('Данные 2st'!$PR$2:$PR$317))</f>
        <v>4</v>
      </c>
      <c r="TC40">
        <f>SUMPRODUCT(--('Данные 2st'!$Q$2:$Q$317=$A40),--ISNUMBER('Данные 2st'!$PS$2:$PS$317))</f>
        <v>4</v>
      </c>
      <c r="TD40">
        <f>SUMPRODUCT(--('Данные 2st'!$Q$2:$Q$317=$A40),--ISNUMBER('Данные 2st'!$PT$2:$PT$317))</f>
        <v>4</v>
      </c>
      <c r="TE40">
        <f>SUMPRODUCT(--('Данные 2st'!$Q$2:$Q$317=$A40),--ISNUMBER('Данные 2st'!$PU$2:$PU$317))</f>
        <v>4</v>
      </c>
      <c r="TF40">
        <f>SUMPRODUCT(--('Данные 2st'!$Q$2:$Q$317=$A40),--ISNUMBER('Данные 2st'!$PX$2:$PX$317))</f>
        <v>4</v>
      </c>
      <c r="TG40">
        <f>SUMPRODUCT(--('Данные 2st'!$Q$2:$Q$317=$A40),--ISNUMBER('Данные 2st'!$PY$2:$PY$317))</f>
        <v>4</v>
      </c>
      <c r="TH40">
        <f>SUMPRODUCT(--('Данные 2st'!$Q$2:$Q$317=$A40),--ISNUMBER('Данные 2st'!$PZ$2:$PZ$317))</f>
        <v>4</v>
      </c>
      <c r="TI40">
        <f>SUMPRODUCT(--('Данные 2st'!$Q$2:$Q$317=$A40),--ISNUMBER('Данные 2st'!$QA$2:$QA$317))</f>
        <v>4</v>
      </c>
      <c r="TJ40">
        <f>SUMPRODUCT(--('Данные 2st'!$Q$2:$Q$317=$A40),--ISNUMBER('Данные 2st'!$QB$2:$QB$317))</f>
        <v>4</v>
      </c>
      <c r="TK40">
        <f>SUMPRODUCT(--('Данные 2st'!$Q$2:$Q$317=$A40),--ISNUMBER('Данные 2st'!$QC$2:$QC$317))</f>
        <v>4</v>
      </c>
      <c r="TL40">
        <f>SUMPRODUCT(--('Данные 2st'!$Q$2:$Q$317=$A40),--ISNUMBER('Данные 2st'!$QD$2:$QD$317))</f>
        <v>4</v>
      </c>
      <c r="TM40">
        <f>SUMPRODUCT(--('Данные 2st'!$Q$2:$Q$317=$A40),--ISNUMBER('Данные 2st'!$QE$2:$QE$317))</f>
        <v>4</v>
      </c>
      <c r="TN40">
        <f>SUMPRODUCT(--('Данные 2st'!$Q$2:$Q$317=$A40),--ISNUMBER('Данные 2st'!$QF$2:$QF$317))</f>
        <v>4</v>
      </c>
      <c r="TO40">
        <f>SUMPRODUCT(--('Данные 2st'!$Q$2:$Q$317=$A40),--ISNUMBER('Данные 2st'!$QG$2:$QG$317))</f>
        <v>4</v>
      </c>
      <c r="TP40">
        <f>SUMPRODUCT(--('Данные 2st'!$Q$2:$Q$317=$A40),--ISNUMBER('Данные 2st'!$QH$2:$QH$317))</f>
        <v>4</v>
      </c>
      <c r="TQ40">
        <f>SUMPRODUCT(--('Данные 2st'!$Q$2:$Q$317=$A40),--ISNUMBER('Данные 2st'!$QI$2:$QI$317))</f>
        <v>4</v>
      </c>
      <c r="TR40">
        <f>SUMPRODUCT(--('Данные 2st'!$Q$2:$Q$317=$A40),--ISNUMBER('Данные 2st'!$QJ$2:$QJ$317))</f>
        <v>4</v>
      </c>
      <c r="TS40">
        <f>SUMPRODUCT(--('Данные 2st'!$Q$2:$Q$317=$A40),--ISNUMBER('Данные 2st'!$QK$2:$QK$317))</f>
        <v>4</v>
      </c>
      <c r="TT40">
        <f>SUMPRODUCT(--('Данные 2st'!$Q$2:$Q$317=$A40),--ISNUMBER('Данные 2st'!$QL$2:$QL$317))</f>
        <v>4</v>
      </c>
      <c r="TU40">
        <f>SUMPRODUCT(--('Данные 2st'!$Q$2:$Q$317=$A40),--ISNUMBER('Данные 2st'!$QM$2:$QM$317))</f>
        <v>4</v>
      </c>
      <c r="TV40">
        <f>SUMPRODUCT(--('Данные 2st'!$Q$2:$Q$317=$A40),--ISNUMBER('Данные 2st'!$QN$2:$QN$317))</f>
        <v>4</v>
      </c>
      <c r="TW40">
        <f>SUMPRODUCT(--('Данные 2st'!$Q$2:$Q$317=$A40),--ISNUMBER('Данные 2st'!$QQ$2:$QQ$317))</f>
        <v>4</v>
      </c>
      <c r="TX40">
        <f>SUMPRODUCT(--('Данные 2st'!$Q$2:$Q$317=$A40),--ISNUMBER('Данные 2st'!$QS$2:$QS$317))</f>
        <v>4</v>
      </c>
      <c r="TY40">
        <f>SUMPRODUCT(--('Данные 2st'!$Q$2:$Q$317=$A40),--ISNUMBER('Данные 2st'!$QT$2:$QT$317))</f>
        <v>4</v>
      </c>
    </row>
    <row r="41" spans="1:545" ht="32" customHeight="1">
      <c r="A41" s="11" t="str">
        <f>'По размерам'!A41</f>
        <v>225/65R17</v>
      </c>
      <c r="G41">
        <f>SUMPRODUCT(--('Данные 1st'!$S$2:$S$317=$A41),--ISNUMBER('Данные 1st'!$AE$2:$AE$317))</f>
        <v>5</v>
      </c>
      <c r="H41">
        <f>SUMPRODUCT(--('Данные 1st'!$S$2:$S$317=$A41),--ISNUMBER('Данные 1st'!$AF$2:$AF$317))</f>
        <v>5</v>
      </c>
      <c r="I41">
        <f>SUMPRODUCT(--('Данные 1st'!$S$2:$S$317=$A41),--ISNUMBER('Данные 1st'!$AJ$2:$AJ$317))</f>
        <v>5</v>
      </c>
      <c r="J41">
        <f>SUMPRODUCT(--('Данные 1st'!$S$2:$S$317=$A41),--ISNUMBER('Данные 1st'!$AL$2:$AL$317))</f>
        <v>5</v>
      </c>
      <c r="K41">
        <f>SUMPRODUCT(--('Данные 1st'!$S$2:$S$317=$A41),--ISNUMBER('Данные 1st'!$AR$2:$AR$317))</f>
        <v>5</v>
      </c>
      <c r="L41">
        <f>SUMPRODUCT(--('Данные 1st'!$S$2:$S$317=$A41),--ISNUMBER('Данные 1st'!$AS$2:$AS$317))</f>
        <v>5</v>
      </c>
      <c r="M41">
        <f>SUMPRODUCT(--('Данные 1st'!$S$2:$S$317=$A41),--ISNUMBER('Данные 1st'!$AY$2:$AY$317))</f>
        <v>5</v>
      </c>
      <c r="N41">
        <f>SUMPRODUCT(--('Данные 1st'!$S$2:$S$317=$A41),--ISNUMBER('Данные 1st'!$AZ$2:$AZ$317))</f>
        <v>5</v>
      </c>
      <c r="O41">
        <f>SUMPRODUCT(--('Данные 1st'!$S$2:$S$317=$A41),--ISNUMBER('Данные 1st'!$BF$2:$BF$317))</f>
        <v>4</v>
      </c>
      <c r="P41">
        <f>SUMPRODUCT(--('Данные 1st'!$S$2:$S$317=$A41),--ISNUMBER('Данные 1st'!$BG$2:$BG$317))</f>
        <v>5</v>
      </c>
      <c r="Q41">
        <f>SUMPRODUCT(--('Данные 1st'!$S$2:$S$317=$A41),--ISNUMBER('Данные 1st'!$BM$2:$BM$317))</f>
        <v>0</v>
      </c>
      <c r="R41">
        <f>SUMPRODUCT(--('Данные 1st'!$S$2:$S$317=$A41),--ISNUMBER('Данные 1st'!$BN$2:$BN$317))</f>
        <v>5</v>
      </c>
      <c r="S41">
        <f>SUMPRODUCT(--('Данные 1st'!$S$2:$S$317=$A41),--ISNUMBER('Данные 1st'!$BT$2:$BT$317))</f>
        <v>5</v>
      </c>
      <c r="T41">
        <f>SUMPRODUCT(--('Данные 1st'!$S$2:$S$317=$A41),--ISNUMBER('Данные 1st'!$BU$2:$BU$317))</f>
        <v>5</v>
      </c>
      <c r="U41">
        <f>SUMPRODUCT(--('Данные 1st'!$S$2:$S$317=$A41),--ISNUMBER('Данные 1st'!$BW$2:$BW$317))</f>
        <v>5</v>
      </c>
      <c r="V41">
        <f>SUMPRODUCT(--('Данные 1st'!$S$2:$S$317=$A41),--ISNUMBER('Данные 1st'!$BX$2:$BX$317))</f>
        <v>5</v>
      </c>
      <c r="W41">
        <f>SUMPRODUCT(--('Данные 1st'!$S$2:$S$317=$A41),--ISNUMBER('Данные 1st'!$BZ$2:$BZ$317))</f>
        <v>5</v>
      </c>
      <c r="X41">
        <f>SUMPRODUCT(--('Данные 1st'!$S$2:$S$317=$A41),--ISNUMBER('Данные 1st'!$CA$2:$CA$317))</f>
        <v>5</v>
      </c>
      <c r="Y41">
        <f>SUMPRODUCT(--('Данные 1st'!$S$2:$S$317=$A41),--ISNUMBER('Данные 1st'!$CD$2:$CD$317))</f>
        <v>5</v>
      </c>
      <c r="Z41">
        <f>SUMPRODUCT(--('Данные 1st'!$S$2:$S$317=$A41),--ISNUMBER('Данные 1st'!$CF$2:$CF$317))</f>
        <v>5</v>
      </c>
      <c r="AA41">
        <f>SUMPRODUCT(--('Данные 1st'!$S$2:$S$317=$A41),--ISNUMBER('Данные 1st'!$CI$2:$CI$317))</f>
        <v>5</v>
      </c>
      <c r="AB41">
        <f>SUMPRODUCT(--('Данные 1st'!$S$2:$S$317=$A41),--ISNUMBER('Данные 1st'!$CJ$2:$CJ$317))</f>
        <v>5</v>
      </c>
      <c r="AC41">
        <f>SUMPRODUCT(--('Данные 1st'!$S$2:$S$317=$A41),--ISNUMBER('Данные 1st'!$CK$2:$CK$317))</f>
        <v>5</v>
      </c>
      <c r="AD41">
        <f>SUMPRODUCT(--('Данные 1st'!$S$2:$S$317=$A41),--ISNUMBER('Данные 1st'!$CL$2:$CL$317))</f>
        <v>5</v>
      </c>
      <c r="AE41">
        <f>SUMPRODUCT(--('Данные 1st'!$S$2:$S$317=$A41),--ISNUMBER('Данные 1st'!$CM$2:$CM$317))</f>
        <v>5</v>
      </c>
      <c r="AF41">
        <f>SUMPRODUCT(--('Данные 1st'!$S$2:$S$317=$A41),--ISNUMBER('Данные 1st'!$CT$2:$CT$317))</f>
        <v>5</v>
      </c>
      <c r="AG41">
        <f>SUMPRODUCT(--('Данные 1st'!$S$2:$S$317=$A41),--ISNUMBER('Данные 1st'!$CU$2:$CU$317))</f>
        <v>5</v>
      </c>
      <c r="AH41">
        <f>SUMPRODUCT(--('Данные 1st'!$S$2:$S$317=$A41),--ISNUMBER('Данные 1st'!$CV$2:$CV$317))</f>
        <v>5</v>
      </c>
      <c r="AI41">
        <f>SUMPRODUCT(--('Данные 1st'!$S$2:$S$317=$A41),--ISNUMBER('Данные 1st'!$CW$2:$CW$317))</f>
        <v>5</v>
      </c>
      <c r="AJ41">
        <f>SUMPRODUCT(--('Данные 1st'!$S$2:$S$317=$A41),--ISNUMBER('Данные 1st'!$CX$2:$CX$317))</f>
        <v>5</v>
      </c>
      <c r="AK41">
        <f>SUMPRODUCT(--('Данные 1st'!$S$2:$S$317=$A41),--ISNUMBER('Данные 1st'!$CZ$2:$CZ$317))</f>
        <v>0</v>
      </c>
      <c r="AL41">
        <f>SUMPRODUCT(--('Данные 1st'!$S$2:$S$317=$A41),--ISNUMBER('Данные 1st'!$DA$2:$DA$317))</f>
        <v>0</v>
      </c>
      <c r="AM41">
        <f>SUMPRODUCT(--('Данные 1st'!$S$2:$S$317=$A41),--ISNUMBER('Данные 1st'!$DB$2:$DB$317))</f>
        <v>0</v>
      </c>
      <c r="AN41">
        <f>SUMPRODUCT(--('Данные 1st'!$S$2:$S$317=$A41),--ISNUMBER('Данные 1st'!$DC$2:$DC$317))</f>
        <v>0</v>
      </c>
      <c r="AO41">
        <f>SUMPRODUCT(--('Данные 1st'!$S$2:$S$317=$A41),--ISNUMBER('Данные 1st'!$DD$2:$DD$317))</f>
        <v>5</v>
      </c>
      <c r="AP41">
        <f>SUMPRODUCT(--('Данные 1st'!$S$2:$S$317=$A41),--ISNUMBER('Данные 1st'!$DF$2:$DF$317))</f>
        <v>5</v>
      </c>
      <c r="AQ41">
        <f>SUMPRODUCT(--('Данные 1st'!$S$2:$S$317=$A41),--ISNUMBER('Данные 1st'!$DG$2:$DG$317))</f>
        <v>5</v>
      </c>
      <c r="AR41">
        <f>SUMPRODUCT(--('Данные 1st'!$S$2:$S$317=$A41),--ISNUMBER('Данные 1st'!$DH$2:$DH$317))</f>
        <v>5</v>
      </c>
      <c r="AS41">
        <f>SUMPRODUCT(--('Данные 1st'!$S$2:$S$317=$A41),--ISNUMBER('Данные 1st'!$DI$2:$DI$317))</f>
        <v>5</v>
      </c>
      <c r="AT41">
        <f>SUMPRODUCT(--('Данные 1st'!$S$2:$S$317=$A41),--ISNUMBER('Данные 1st'!$DJ$2:$DJ$317))</f>
        <v>5</v>
      </c>
      <c r="AU41">
        <f>SUMPRODUCT(--('Данные 1st'!$S$2:$S$317=$A41),--ISNUMBER('Данные 1st'!$DL$2:$DL$317))</f>
        <v>4</v>
      </c>
      <c r="AV41">
        <f>SUMPRODUCT(--('Данные 1st'!$S$2:$S$317=$A41),--ISNUMBER('Данные 1st'!$DM$2:$DM$317))</f>
        <v>4</v>
      </c>
      <c r="AW41">
        <f>SUMPRODUCT(--('Данные 1st'!$S$2:$S$317=$A41),--ISNUMBER('Данные 1st'!$DN$2:$DN$317))</f>
        <v>4</v>
      </c>
      <c r="AX41">
        <f>SUMPRODUCT(--('Данные 1st'!$S$2:$S$317=$A41),--ISNUMBER('Данные 1st'!$DO$2:$DO$317))</f>
        <v>4</v>
      </c>
      <c r="AY41">
        <f>SUMPRODUCT(--('Данные 1st'!$S$2:$S$317=$A41),--ISNUMBER('Данные 1st'!$DP$2:$DP$317))</f>
        <v>4</v>
      </c>
      <c r="AZ41">
        <f>SUMPRODUCT(--('Данные 1st'!$S$2:$S$317=$A41),--ISNUMBER('Данные 1st'!$DR$2:$DR$317))</f>
        <v>0</v>
      </c>
      <c r="BA41">
        <f>SUMPRODUCT(--('Данные 1st'!$S$2:$S$317=$A41),--ISNUMBER('Данные 1st'!$DS$2:$DS$317))</f>
        <v>0</v>
      </c>
      <c r="BB41">
        <f>SUMPRODUCT(--('Данные 1st'!$S$2:$S$317=$A41),--ISNUMBER('Данные 1st'!$DT$2:$DT$317))</f>
        <v>0</v>
      </c>
      <c r="BC41">
        <f>SUMPRODUCT(--('Данные 1st'!$S$2:$S$317=$A41),--ISNUMBER('Данные 1st'!$DU$2:$DU$317))</f>
        <v>0</v>
      </c>
      <c r="BD41">
        <f>SUMPRODUCT(--('Данные 1st'!$S$2:$S$317=$A41),--ISNUMBER('Данные 1st'!$DV$2:$DV$317))</f>
        <v>0</v>
      </c>
      <c r="BE41">
        <f>SUMPRODUCT(--('Данные 1st'!$S$2:$S$317=$A41),--ISNUMBER('Данные 1st'!$DX$2:$DX$317))</f>
        <v>5</v>
      </c>
      <c r="BF41">
        <f>SUMPRODUCT(--('Данные 1st'!$S$2:$S$317=$A41),--ISNUMBER('Данные 1st'!$EA$2:$EA$317))</f>
        <v>5</v>
      </c>
      <c r="BG41">
        <f>SUMPRODUCT(--('Данные 1st'!$S$2:$S$317=$A41),--ISNUMBER('Данные 1st'!$EB$2:$EB$317))</f>
        <v>5</v>
      </c>
      <c r="BH41">
        <f>SUMPRODUCT(--('Данные 1st'!$S$2:$S$317=$A41),--ISNUMBER('Данные 1st'!$ED$2:$ED$317))</f>
        <v>5</v>
      </c>
      <c r="BI41">
        <f>SUMPRODUCT(--('Данные 1st'!$S$2:$S$317=$A41),--ISNUMBER('Данные 1st'!$EE$2:$EE$317))</f>
        <v>5</v>
      </c>
      <c r="BJ41">
        <f>SUMPRODUCT(--('Данные 1st'!$S$2:$S$317=$A41),--ISNUMBER('Данные 1st'!$EG$2:$EG$317))</f>
        <v>5</v>
      </c>
      <c r="BK41">
        <f>SUMPRODUCT(--('Данные 1st'!$S$2:$S$317=$A41),--ISNUMBER('Данные 1st'!$EH$2:$EH$317))</f>
        <v>5</v>
      </c>
      <c r="BL41">
        <f>SUMPRODUCT(--('Данные 1st'!$S$2:$S$317=$A41),--ISNUMBER('Данные 1st'!$EJ$2:$EJ$317))</f>
        <v>5</v>
      </c>
      <c r="BM41">
        <f>SUMPRODUCT(--('Данные 1st'!$S$2:$S$317=$A41),--ISNUMBER('Данные 1st'!$EK$2:$EK$317))</f>
        <v>5</v>
      </c>
      <c r="BN41">
        <f>SUMPRODUCT(--('Данные 1st'!$S$2:$S$317=$A41),--ISNUMBER('Данные 1st'!$EN$2:$EN$317))</f>
        <v>5</v>
      </c>
      <c r="BO41">
        <f>SUMPRODUCT(--('Данные 1st'!$S$2:$S$317=$A41),--ISNUMBER('Данные 1st'!$EQ$2:$EQ$317))</f>
        <v>5</v>
      </c>
      <c r="BP41">
        <f>SUMPRODUCT(--('Данные 1st'!$S$2:$S$317=$A41),--ISNUMBER('Данные 1st'!$ER$2:$ER$317))</f>
        <v>5</v>
      </c>
      <c r="BQ41">
        <f>SUMPRODUCT(--('Данные 1st'!$S$2:$S$317=$A41),--ISNUMBER('Данные 1st'!$ES$2:$ES$317))</f>
        <v>5</v>
      </c>
      <c r="BR41">
        <f>SUMPRODUCT(--('Данные 1st'!$S$2:$S$317=$A41),--ISNUMBER('Данные 1st'!$ET$2:$ET$317))</f>
        <v>5</v>
      </c>
      <c r="BS41">
        <f>SUMPRODUCT(--('Данные 1st'!$S$2:$S$317=$A41),--ISNUMBER('Данные 1st'!$EU$2:$EU$317))</f>
        <v>5</v>
      </c>
      <c r="BT41">
        <f>SUMPRODUCT(--('Данные 1st'!$S$2:$S$317=$A41),--ISNUMBER('Данные 1st'!$EV$2:$EV$317))</f>
        <v>5</v>
      </c>
      <c r="BU41">
        <f>SUMPRODUCT(--('Данные 1st'!$S$2:$S$317=$A41),--ISNUMBER('Данные 1st'!$EX$2:$EX$317))</f>
        <v>5</v>
      </c>
      <c r="BV41">
        <f>SUMPRODUCT(--('Данные 1st'!$S$2:$S$317=$A41),--ISNUMBER('Данные 1st'!$EY$2:$EY$317))</f>
        <v>5</v>
      </c>
      <c r="BW41">
        <f>SUMPRODUCT(--('Данные 1st'!$S$2:$S$317=$A41),--ISNUMBER('Данные 1st'!$EZ$2:$EZ$317))</f>
        <v>5</v>
      </c>
      <c r="BX41">
        <f>SUMPRODUCT(--('Данные 1st'!$S$2:$S$317=$A41),--ISNUMBER('Данные 1st'!$FA$2:$FA$317))</f>
        <v>5</v>
      </c>
      <c r="BY41">
        <f>SUMPRODUCT(--('Данные 1st'!$S$2:$S$317=$A41),--ISNUMBER('Данные 1st'!$FB$2:$FB$317))</f>
        <v>5</v>
      </c>
      <c r="BZ41">
        <f>SUMPRODUCT(--('Данные 1st'!$S$2:$S$317=$A41),--ISNUMBER('Данные 1st'!$FC$2:$FC$317))</f>
        <v>5</v>
      </c>
      <c r="CA41">
        <f>SUMPRODUCT(--('Данные 1st'!$S$2:$S$317=$A41),--ISNUMBER('Данные 1st'!$FE$2:$FE$317))</f>
        <v>5</v>
      </c>
      <c r="CB41">
        <f>SUMPRODUCT(--('Данные 1st'!$S$2:$S$317=$A41),--ISNUMBER('Данные 1st'!$FF$2:$FF$317))</f>
        <v>5</v>
      </c>
      <c r="CC41">
        <f>SUMPRODUCT(--('Данные 1st'!$S$2:$S$317=$A41),--ISNUMBER('Данные 1st'!$FI$2:$FI$317))</f>
        <v>5</v>
      </c>
      <c r="CD41">
        <f>SUMPRODUCT(--('Данные 1st'!$S$2:$S$317=$A41),--ISNUMBER('Данные 1st'!$FL$2:$FL$317))</f>
        <v>5</v>
      </c>
      <c r="CE41">
        <f>SUMPRODUCT(--('Данные 1st'!$S$2:$S$317=$A41),--ISNUMBER('Данные 1st'!$FM$2:$FM$317))</f>
        <v>5</v>
      </c>
      <c r="CF41">
        <f>SUMPRODUCT(--('Данные 1st'!$S$2:$S$317=$A41),--ISNUMBER('Данные 1st'!$FN$2:$FN$317))</f>
        <v>5</v>
      </c>
      <c r="CG41">
        <f>SUMPRODUCT(--('Данные 1st'!$S$2:$S$317=$A41),--ISNUMBER('Данные 1st'!$FO$2:$FO$317))</f>
        <v>0</v>
      </c>
      <c r="CH41">
        <f>SUMPRODUCT(--('Данные 1st'!$S$2:$S$317=$A41),--ISNUMBER('Данные 1st'!$FP$2:$FP$317))</f>
        <v>0</v>
      </c>
      <c r="CI41">
        <f>SUMPRODUCT(--('Данные 1st'!$S$2:$S$317=$A41),--ISNUMBER('Данные 1st'!$FS$2:$FS$317))</f>
        <v>2</v>
      </c>
      <c r="CJ41">
        <f>SUMPRODUCT(--('Данные 1st'!$S$2:$S$317=$A41),--ISNUMBER('Данные 1st'!$FT$2:$FT$317))</f>
        <v>2</v>
      </c>
      <c r="CK41">
        <f>SUMPRODUCT(--('Данные 1st'!$S$2:$S$317=$A41),--ISNUMBER('Данные 1st'!$FU$2:$FU$317))</f>
        <v>2</v>
      </c>
      <c r="CL41">
        <f>SUMPRODUCT(--('Данные 1st'!$S$2:$S$317=$A41),--ISNUMBER('Данные 1st'!$FV$2:$FV$317))</f>
        <v>0</v>
      </c>
      <c r="CM41">
        <f>SUMPRODUCT(--('Данные 1st'!$S$2:$S$317=$A41),--ISNUMBER('Данные 1st'!$FW$2:$FW$317))</f>
        <v>0</v>
      </c>
      <c r="CN41">
        <f>SUMPRODUCT(--('Данные 1st'!$S$2:$S$317=$A41),--ISNUMBER('Данные 1st'!$FZ$2:$FZ$317))</f>
        <v>0</v>
      </c>
      <c r="CO41">
        <f>SUMPRODUCT(--('Данные 1st'!$S$2:$S$317=$A41),--ISNUMBER('Данные 1st'!$GA$2:$GA$317))</f>
        <v>0</v>
      </c>
      <c r="CP41">
        <f>SUMPRODUCT(--('Данные 1st'!$S$2:$S$317=$A41),--ISNUMBER('Данные 1st'!$GB$2:$GB$317))</f>
        <v>0</v>
      </c>
      <c r="CQ41">
        <f>SUMPRODUCT(--('Данные 1st'!$S$2:$S$317=$A41),--ISNUMBER('Данные 1st'!$GH$2:$GH$317))</f>
        <v>0</v>
      </c>
      <c r="CR41">
        <f>SUMPRODUCT(--('Данные 1st'!$S$2:$S$317=$A41),--ISNUMBER('Данные 1st'!$GI$2:$GI$317))</f>
        <v>0</v>
      </c>
      <c r="CS41">
        <f>SUMPRODUCT(--('Данные 1st'!$S$2:$S$317=$A41),--ISNUMBER('Данные 1st'!$GJ$2:$GJ$317))</f>
        <v>0</v>
      </c>
      <c r="CT41">
        <f>SUMPRODUCT(--('Данные 1st'!$S$2:$S$317=$A41),--ISNUMBER('Данные 1st'!$GS$2:$GS$317))</f>
        <v>4</v>
      </c>
      <c r="CU41">
        <f>SUMPRODUCT(--('Данные 1st'!$S$2:$S$317=$A41),--ISNUMBER('Данные 1st'!$GT$2:$GT$317))</f>
        <v>4</v>
      </c>
      <c r="CV41">
        <f>SUMPRODUCT(--('Данные 1st'!$S$2:$S$317=$A41),--ISNUMBER('Данные 1st'!$GU$2:$GU$317))</f>
        <v>4</v>
      </c>
      <c r="CW41">
        <f>SUMPRODUCT(--('Данные 1st'!$S$2:$S$317=$A41),--ISNUMBER('Данные 1st'!$GV$2:$GV$317))</f>
        <v>1</v>
      </c>
      <c r="CX41">
        <f>SUMPRODUCT(--('Данные 1st'!$S$2:$S$317=$A41),--ISNUMBER('Данные 1st'!$GW$2:$GW$317))</f>
        <v>1</v>
      </c>
      <c r="CY41">
        <f>SUMPRODUCT(--('Данные 1st'!$S$2:$S$317=$A41),--ISNUMBER('Данные 1st'!$GZ$2:$GZ$317))</f>
        <v>0</v>
      </c>
      <c r="CZ41">
        <f>SUMPRODUCT(--('Данные 1st'!$S$2:$S$317=$A41),--ISNUMBER('Данные 1st'!$HA$2:$HA$317))</f>
        <v>0</v>
      </c>
      <c r="DA41">
        <f>SUMPRODUCT(--('Данные 1st'!$S$2:$S$317=$A41),--ISNUMBER('Данные 1st'!$HB$2:$HB$317))</f>
        <v>0</v>
      </c>
      <c r="DB41">
        <f>SUMPRODUCT(--('Данные 1st'!$S$2:$S$317=$A41),--ISNUMBER('Данные 1st'!$HC$2:$HC$317))</f>
        <v>5</v>
      </c>
      <c r="DC41">
        <f>SUMPRODUCT(--('Данные 1st'!$S$2:$S$317=$A41),--ISNUMBER('Данные 1st'!$HD$2:$HD$317))</f>
        <v>5</v>
      </c>
      <c r="DD41">
        <f>SUMPRODUCT(--('Данные 1st'!$S$2:$S$317=$A41),--ISNUMBER('Данные 1st'!$HE$2:$HE$317))</f>
        <v>5</v>
      </c>
      <c r="DE41">
        <f>SUMPRODUCT(--('Данные 1st'!$S$2:$S$317=$A41),--ISNUMBER('Данные 1st'!$HF$2:$HF$317))</f>
        <v>5</v>
      </c>
      <c r="DF41">
        <f>SUMPRODUCT(--('Данные 1st'!$S$2:$S$317=$A41),--ISNUMBER('Данные 1st'!$HG$2:$HG$317))</f>
        <v>5</v>
      </c>
      <c r="DG41">
        <f>SUMPRODUCT(--('Данные 1st'!$S$2:$S$317=$A41),--ISNUMBER('Данные 1st'!$HH$2:$HH$317))</f>
        <v>5</v>
      </c>
      <c r="DH41">
        <f>SUMPRODUCT(--('Данные 1st'!$S$2:$S$317=$A41),--ISNUMBER('Данные 1st'!$HI$2:$HI$317))</f>
        <v>5</v>
      </c>
      <c r="DI41">
        <f>SUMPRODUCT(--('Данные 1st'!$S$2:$S$317=$A41),--ISNUMBER('Данные 1st'!$HJ$2:$HJ$317))</f>
        <v>5</v>
      </c>
      <c r="DJ41">
        <f>SUMPRODUCT(--('Данные 1st'!$S$2:$S$317=$A41),--ISNUMBER('Данные 1st'!$HK$2:$HK$317))</f>
        <v>5</v>
      </c>
      <c r="DK41">
        <f>SUMPRODUCT(--('Данные 1st'!$S$2:$S$317=$A41),--ISNUMBER('Данные 1st'!$HL$2:$HL$317))</f>
        <v>5</v>
      </c>
      <c r="DL41">
        <f>SUMPRODUCT(--('Данные 1st'!$S$2:$S$317=$A41),--ISNUMBER('Данные 1st'!$HM$2:$HM$317))</f>
        <v>5</v>
      </c>
      <c r="DM41">
        <f>SUMPRODUCT(--('Данные 1st'!$S$2:$S$317=$A41),--ISNUMBER('Данные 1st'!$HN$2:$HN$317))</f>
        <v>5</v>
      </c>
      <c r="DN41">
        <f>SUMPRODUCT(--('Данные 1st'!$S$2:$S$317=$A41),--ISNUMBER('Данные 1st'!$HO$2:$HO$317))</f>
        <v>5</v>
      </c>
      <c r="DO41">
        <f>SUMPRODUCT(--('Данные 1st'!$S$2:$S$317=$A41),--ISNUMBER('Данные 1st'!$HP$2:$HP$317))</f>
        <v>5</v>
      </c>
      <c r="DP41">
        <f>SUMPRODUCT(--('Данные 1st'!$S$2:$S$317=$A41),--ISNUMBER('Данные 1st'!$HQ$2:$HQ$317))</f>
        <v>5</v>
      </c>
      <c r="DQ41">
        <f>SUMPRODUCT(--('Данные 1st'!$S$2:$S$317=$A41),--ISNUMBER('Данные 1st'!$HR$2:$HR$317))</f>
        <v>5</v>
      </c>
      <c r="DR41">
        <f>SUMPRODUCT(--('Данные 1st'!$S$2:$S$317=$A41),--ISNUMBER('Данные 1st'!$HS$2:$HS$317))</f>
        <v>5</v>
      </c>
      <c r="DS41">
        <f>SUMPRODUCT(--('Данные 1st'!$S$2:$S$317=$A41),--ISNUMBER('Данные 1st'!$HT$2:$HT$317))</f>
        <v>5</v>
      </c>
      <c r="DT41">
        <f>SUMPRODUCT(--('Данные 1st'!$S$2:$S$317=$A41),--ISNUMBER('Данные 1st'!$HU$2:$HU$317))</f>
        <v>5</v>
      </c>
      <c r="DU41">
        <f>SUMPRODUCT(--('Данные 1st'!$S$2:$S$317=$A41),--ISNUMBER('Данные 1st'!$HW$2:$HW$317))</f>
        <v>5</v>
      </c>
      <c r="DV41">
        <f>SUMPRODUCT(--('Данные 1st'!$S$2:$S$317=$A41),--ISNUMBER('Данные 1st'!$HX$2:$HX$317))</f>
        <v>5</v>
      </c>
      <c r="DW41">
        <f>SUMPRODUCT(--('Данные 1st'!$S$2:$S$317=$A41),--ISNUMBER('Данные 1st'!$HY$2:$HY$317))</f>
        <v>5</v>
      </c>
      <c r="DX41">
        <f>SUMPRODUCT(--('Данные 1st'!$S$2:$S$317=$A41),--ISNUMBER('Данные 1st'!$IA$2:$IA$317))</f>
        <v>5</v>
      </c>
      <c r="DY41">
        <f>SUMPRODUCT(--('Данные 1st'!$S$2:$S$317=$A41),--ISNUMBER('Данные 1st'!$IB$2:$IB$317))</f>
        <v>5</v>
      </c>
      <c r="DZ41">
        <f>SUMPRODUCT(--('Данные 1st'!$S$2:$S$317=$A41),--ISNUMBER('Данные 1st'!$IC$2:$IC$317))</f>
        <v>5</v>
      </c>
      <c r="EA41">
        <f>SUMPRODUCT(--('Данные 1st'!$S$2:$S$317=$A41),--ISNUMBER('Данные 1st'!$ID$2:$ID$317))</f>
        <v>5</v>
      </c>
      <c r="EB41">
        <f>SUMPRODUCT(--('Данные 1st'!$S$2:$S$317=$A41),--ISNUMBER('Данные 1st'!$IE$2:$IE$317))</f>
        <v>5</v>
      </c>
      <c r="EC41">
        <f>SUMPRODUCT(--('Данные 1st'!$S$2:$S$317=$A41),--ISNUMBER('Данные 1st'!$IF$2:$IF$317))</f>
        <v>5</v>
      </c>
      <c r="ED41">
        <f>SUMPRODUCT(--('Данные 1st'!$S$2:$S$317=$A41),--ISNUMBER('Данные 1st'!$IP$2:$IP$317))</f>
        <v>5</v>
      </c>
      <c r="EE41">
        <f>SUMPRODUCT(--('Данные 1st'!$S$2:$S$317=$A41),--ISNUMBER('Данные 1st'!$IV$2:$IV$317))</f>
        <v>5</v>
      </c>
      <c r="EF41">
        <f>SUMPRODUCT(--('Данные 1st'!$S$2:$S$317=$A41),--ISNUMBER('Данные 1st'!$IW$2:$IW$317))</f>
        <v>5</v>
      </c>
      <c r="EG41">
        <f>SUMPRODUCT(--('Данные 1st'!$S$2:$S$317=$A41),--ISNUMBER('Данные 1st'!$IX$2:$IX$317))</f>
        <v>0</v>
      </c>
      <c r="EH41">
        <f>SUMPRODUCT(--('Данные 1st'!$S$2:$S$317=$A41),--ISNUMBER('Данные 1st'!$IY$2:$IY$317))</f>
        <v>0</v>
      </c>
      <c r="EI41">
        <f>SUMPRODUCT(--('Данные 1st'!$S$2:$S$317=$A41),--ISNUMBER('Данные 1st'!$JD$2:$JD$317))</f>
        <v>5</v>
      </c>
      <c r="EJ41">
        <f>SUMPRODUCT(--('Данные 1st'!$S$2:$S$317=$A41),--ISNUMBER('Данные 1st'!$JE$2:$JE$317))</f>
        <v>5</v>
      </c>
      <c r="EK41">
        <f>SUMPRODUCT(--('Данные 1st'!$S$2:$S$317=$A41),--ISNUMBER('Данные 1st'!$JF$2:$JF$317))</f>
        <v>5</v>
      </c>
      <c r="EL41">
        <f>SUMPRODUCT(--('Данные 1st'!$S$2:$S$317=$A41),--ISNUMBER('Данные 1st'!$JG$2:$JG$317))</f>
        <v>5</v>
      </c>
      <c r="EM41">
        <f>SUMPRODUCT(--('Данные 1st'!$S$2:$S$317=$A41),--ISNUMBER('Данные 1st'!$JH$2:$JH$317))</f>
        <v>5</v>
      </c>
      <c r="EN41">
        <f>SUMPRODUCT(--('Данные 1st'!$S$2:$S$317=$A41),--ISNUMBER('Данные 1st'!$JJ$2:$JJ$317))</f>
        <v>5</v>
      </c>
      <c r="EO41">
        <f>SUMPRODUCT(--('Данные 1st'!$S$2:$S$317=$A41),--ISNUMBER('Данные 1st'!$JK$2:$JK$317))</f>
        <v>5</v>
      </c>
      <c r="EP41">
        <f>SUMPRODUCT(--('Данные 1st'!$S$2:$S$317=$A41),--ISNUMBER('Данные 1st'!$JL$2:$JL$317))</f>
        <v>0</v>
      </c>
      <c r="EQ41">
        <f>SUMPRODUCT(--('Данные 1st'!$S$2:$S$317=$A41),--ISNUMBER('Данные 1st'!$JM$2:$JM$317))</f>
        <v>0</v>
      </c>
      <c r="ER41">
        <f>SUMPRODUCT(--('Данные 1st'!$S$2:$S$317=$A41),--ISNUMBER('Данные 1st'!$JN$2:$JN$317))</f>
        <v>5</v>
      </c>
      <c r="ES41">
        <f>SUMPRODUCT(--('Данные 1st'!$S$2:$S$317=$A41),--ISNUMBER('Данные 1st'!$JO$2:$JO$317))</f>
        <v>5</v>
      </c>
      <c r="ET41">
        <f>SUMPRODUCT(--('Данные 1st'!$S$2:$S$317=$A41),--ISNUMBER('Данные 1st'!$JP$2:$JP$317))</f>
        <v>5</v>
      </c>
      <c r="EU41">
        <f>SUMPRODUCT(--('Данные 1st'!$S$2:$S$317=$A41),--ISNUMBER('Данные 1st'!$JQ$2:$JQ$317))</f>
        <v>5</v>
      </c>
      <c r="EV41">
        <f>SUMPRODUCT(--('Данные 1st'!$S$2:$S$317=$A41),--ISNUMBER('Данные 1st'!$JR$2:$JR$317))</f>
        <v>5</v>
      </c>
      <c r="EW41">
        <f>SUMPRODUCT(--('Данные 1st'!$S$2:$S$317=$A41),--ISNUMBER('Данные 1st'!$JS$2:$JS$317))</f>
        <v>5</v>
      </c>
      <c r="EX41">
        <f>SUMPRODUCT(--('Данные 1st'!$S$2:$S$317=$A41),--ISNUMBER('Данные 1st'!$JT$2:$JT$317))</f>
        <v>0</v>
      </c>
      <c r="EY41">
        <f>SUMPRODUCT(--('Данные 1st'!$S$2:$S$317=$A41),--ISNUMBER('Данные 1st'!$JU$2:$JU$317))</f>
        <v>0</v>
      </c>
      <c r="EZ41">
        <f>SUMPRODUCT(--('Данные 1st'!$S$2:$S$317=$A41),--ISNUMBER('Данные 1st'!$JV$2:$JV$317))</f>
        <v>5</v>
      </c>
      <c r="FA41">
        <f>SUMPRODUCT(--('Данные 1st'!$S$2:$S$317=$A41),--ISNUMBER('Данные 1st'!$JW$2:$JW$317))</f>
        <v>0</v>
      </c>
      <c r="FB41">
        <f>SUMPRODUCT(--('Данные 1st'!$S$2:$S$317=$A41),--ISNUMBER('Данные 1st'!$JX$2:$JX$317))</f>
        <v>5</v>
      </c>
      <c r="FC41">
        <f>SUMPRODUCT(--('Данные 1st'!$S$2:$S$317=$A41),--ISNUMBER('Данные 1st'!$JY$2:$JY$317))</f>
        <v>0</v>
      </c>
      <c r="FD41">
        <f>SUMPRODUCT(--('Данные 1st'!$S$2:$S$317=$A41),--ISNUMBER('Данные 1st'!$JZ$2:$JZ$317))</f>
        <v>0</v>
      </c>
      <c r="FE41">
        <f>SUMPRODUCT(--('Данные 1st'!$S$2:$S$317=$A41),--ISNUMBER('Данные 1st'!$KA$2:$KA$317))</f>
        <v>5</v>
      </c>
      <c r="FF41">
        <f>SUMPRODUCT(--('Данные 1st'!$S$2:$S$317=$A41),--ISNUMBER('Данные 1st'!$KB$2:$KB$317))</f>
        <v>5</v>
      </c>
      <c r="FG41">
        <f>SUMPRODUCT(--('Данные 1st'!$S$2:$S$317=$A41),--ISNUMBER('Данные 1st'!$KC$2:$KC$317))</f>
        <v>5</v>
      </c>
      <c r="FH41">
        <f>SUMPRODUCT(--('Данные 1st'!$S$2:$S$317=$A41),--ISNUMBER('Данные 1st'!$KD$2:$KD$317))</f>
        <v>5</v>
      </c>
      <c r="FI41">
        <f>SUMPRODUCT(--('Данные 1st'!$S$2:$S$317=$A41),--ISNUMBER('Данные 1st'!$KE$2:$KE$317))</f>
        <v>0</v>
      </c>
      <c r="FJ41">
        <f>SUMPRODUCT(--('Данные 1st'!$S$2:$S$317=$A41),--ISNUMBER('Данные 1st'!$KF$2:$KF$317))</f>
        <v>5</v>
      </c>
      <c r="FK41">
        <f>SUMPRODUCT(--('Данные 1st'!$S$2:$S$317=$A41),--ISNUMBER('Данные 1st'!$KG$2:$KG$317))</f>
        <v>5</v>
      </c>
      <c r="FL41">
        <f>SUMPRODUCT(--('Данные 1st'!$S$2:$S$317=$A41),--ISNUMBER('Данные 1st'!$KH$2:$KH$317))</f>
        <v>5</v>
      </c>
      <c r="FM41">
        <f>SUMPRODUCT(--('Данные 1st'!$S$2:$S$317=$A41),--ISNUMBER('Данные 1st'!$KI$2:$KI$317))</f>
        <v>5</v>
      </c>
      <c r="FN41">
        <f>SUMPRODUCT(--('Данные 1st'!$S$2:$S$317=$A41),--ISNUMBER('Данные 1st'!$KJ$2:$KJ$317))</f>
        <v>5</v>
      </c>
      <c r="FO41">
        <f>SUMPRODUCT(--('Данные 1st'!$S$2:$S$317=$A41),--ISNUMBER('Данные 1st'!$KK$2:$KK$317))</f>
        <v>5</v>
      </c>
      <c r="FP41">
        <f>SUMPRODUCT(--('Данные 1st'!$S$2:$S$317=$A41),--ISNUMBER('Данные 1st'!$KL$2:$KL$317))</f>
        <v>5</v>
      </c>
      <c r="FQ41">
        <f>SUMPRODUCT(--('Данные 1st'!$S$2:$S$317=$A41),--ISNUMBER('Данные 1st'!$KM$2:$KM$317))</f>
        <v>5</v>
      </c>
      <c r="FR41">
        <f>SUMPRODUCT(--('Данные 1st'!$S$2:$S$317=$A41),--ISNUMBER('Данные 1st'!$KN$2:$KN$317))</f>
        <v>5</v>
      </c>
      <c r="FS41">
        <f>SUMPRODUCT(--('Данные 1st'!$S$2:$S$317=$A41),--ISNUMBER('Данные 1st'!$KR$2:$KR$317))</f>
        <v>5</v>
      </c>
      <c r="FT41">
        <f>SUMPRODUCT(--('Данные 1st'!$S$2:$S$317=$A41),--ISNUMBER('Данные 1st'!$KS$2:$KS$317))</f>
        <v>5</v>
      </c>
      <c r="FU41">
        <f>SUMPRODUCT(--('Данные 1st'!$S$2:$S$317=$A41),--ISNUMBER('Данные 1st'!$KT$2:$KT$317))</f>
        <v>5</v>
      </c>
      <c r="FV41">
        <f>SUMPRODUCT(--('Данные 1st'!$S$2:$S$317=$A41),--ISNUMBER('Данные 1st'!$KV$2:$KV$317))</f>
        <v>0</v>
      </c>
      <c r="FW41">
        <f>SUMPRODUCT(--('Данные 1st'!$S$2:$S$317=$A41),--ISNUMBER('Данные 1st'!$KW$2:$KW$317))</f>
        <v>0</v>
      </c>
      <c r="FX41">
        <f>SUMPRODUCT(--('Данные 1st'!$S$2:$S$317=$A41),--ISNUMBER('Данные 1st'!$KX$2:$KX$317))</f>
        <v>0</v>
      </c>
      <c r="FY41">
        <f>SUMPRODUCT(--('Данные 1st'!$S$2:$S$317=$A41),--ISNUMBER('Данные 1st'!$KY$2:$KY$317))</f>
        <v>0</v>
      </c>
      <c r="FZ41">
        <f>SUMPRODUCT(--('Данные 1st'!$S$2:$S$317=$A41),--ISNUMBER('Данные 1st'!$KZ$2:$KZ$317))</f>
        <v>0</v>
      </c>
      <c r="GA41">
        <f>SUMPRODUCT(--('Данные 1st'!$S$2:$S$317=$A41),--ISNUMBER('Данные 1st'!$LA$2:$LA$317))</f>
        <v>0</v>
      </c>
      <c r="GB41">
        <f>SUMPRODUCT(--('Данные 1st'!$S$2:$S$317=$A41),--ISNUMBER('Данные 1st'!$LB$2:$LB$317))</f>
        <v>0</v>
      </c>
      <c r="GC41">
        <f>SUMPRODUCT(--('Данные 1st'!$S$2:$S$317=$A41),--ISNUMBER('Данные 1st'!$LC$2:$LC$317))</f>
        <v>0</v>
      </c>
      <c r="GD41">
        <f>SUMPRODUCT(--('Данные 1st'!$S$2:$S$317=$A41),--ISNUMBER('Данные 1st'!$LD$2:$LD$317))</f>
        <v>0</v>
      </c>
      <c r="GE41">
        <f>SUMPRODUCT(--('Данные 1st'!$S$2:$S$317=$A41),--ISNUMBER('Данные 1st'!$LE$2:$LE$317))</f>
        <v>0</v>
      </c>
      <c r="GF41">
        <f>SUMPRODUCT(--('Данные 1st'!$S$2:$S$317=$A41),--ISNUMBER('Данные 1st'!$LF$2:$LF$317))</f>
        <v>0</v>
      </c>
      <c r="GG41">
        <f>SUMPRODUCT(--('Данные 1st'!$S$2:$S$317=$A41),--ISNUMBER('Данные 1st'!$LG$2:$LG$317))</f>
        <v>0</v>
      </c>
      <c r="GH41">
        <f>SUMPRODUCT(--('Данные 1st'!$S$2:$S$317=$A41),--ISNUMBER('Данные 1st'!$LH$2:$LH$317))</f>
        <v>0</v>
      </c>
      <c r="GI41">
        <f>SUMPRODUCT(--('Данные 1st'!$S$2:$S$317=$A41),--ISNUMBER('Данные 1st'!$LI$2:$LI$317))</f>
        <v>0</v>
      </c>
      <c r="GJ41">
        <f>SUMPRODUCT(--('Данные 1st'!$S$2:$S$317=$A41),--ISNUMBER('Данные 1st'!$LJ$2:$LJ$317))</f>
        <v>0</v>
      </c>
      <c r="GK41">
        <f>SUMPRODUCT(--('Данные 1st'!$S$2:$S$317=$A41),--ISNUMBER('Данные 1st'!$LK$2:$LK$317))</f>
        <v>5</v>
      </c>
      <c r="GL41">
        <f>SUMPRODUCT(--('Данные 1st'!$S$2:$S$317=$A41),--ISNUMBER('Данные 1st'!$LV$2:$LV$317))</f>
        <v>0</v>
      </c>
      <c r="GM41">
        <f>SUMPRODUCT(--('Данные 1st'!$S$2:$S$317=$A41),--ISNUMBER('Данные 1st'!$LW$2:$LW$317))</f>
        <v>0</v>
      </c>
      <c r="GN41">
        <f>SUMPRODUCT(--('Данные 1st'!$S$2:$S$317=$A41),--ISNUMBER('Данные 1st'!$LX$2:$LX$317))</f>
        <v>0</v>
      </c>
      <c r="GO41">
        <f>SUMPRODUCT(--('Данные 1st'!$S$2:$S$317=$A41),--ISNUMBER('Данные 1st'!$LY$2:$LY$317))</f>
        <v>0</v>
      </c>
      <c r="GP41">
        <f>SUMPRODUCT(--('Данные 1st'!$S$2:$S$317=$A41),--ISNUMBER('Данные 1st'!$LZ$2:$LZ$317))</f>
        <v>0</v>
      </c>
      <c r="GQ41">
        <f>SUMPRODUCT(--('Данные 1st'!$S$2:$S$317=$A41),--ISNUMBER('Данные 1st'!$PG$2:$PG$317))</f>
        <v>5</v>
      </c>
      <c r="GR41">
        <f>SUMPRODUCT(--('Данные 1st'!$S$2:$S$317=$A41),--ISNUMBER('Данные 1st'!$PX$2:$PX$317))</f>
        <v>5</v>
      </c>
      <c r="GS41">
        <f>SUMPRODUCT(--('Данные 1st'!$S$2:$S$317=$A41),--ISNUMBER('Данные 1st'!$PY$2:$PY$317))</f>
        <v>5</v>
      </c>
      <c r="GT41">
        <f>SUMPRODUCT(--('Данные 1st'!$S$2:$S$317=$A41),--ISNUMBER('Данные 1st'!$QA$2:$QA$317))</f>
        <v>5</v>
      </c>
      <c r="GU41">
        <f>SUMPRODUCT(--('Данные 1st'!$S$2:$S$317=$A41),--ISNUMBER('Данные 1st'!$QB$2:$QB$317))</f>
        <v>5</v>
      </c>
      <c r="GV41">
        <f>SUMPRODUCT(--('Данные 1st'!$S$2:$S$317=$A41),--ISNUMBER('Данные 1st'!$QC$2:$QC$317))</f>
        <v>5</v>
      </c>
      <c r="GW41">
        <f>SUMPRODUCT(--('Данные 1st'!$S$2:$S$317=$A41),--ISNUMBER('Данные 1st'!$QD$2:$QD$317))</f>
        <v>5</v>
      </c>
      <c r="GX41">
        <f>SUMPRODUCT(--('Данные 1st'!$S$2:$S$317=$A41),--ISNUMBER('Данные 1st'!$QF$2:$QF$317))</f>
        <v>5</v>
      </c>
      <c r="GY41">
        <f>SUMPRODUCT(--('Данные 1st'!$S$2:$S$317=$A41),--ISNUMBER('Данные 1st'!$QG$2:$QG$317))</f>
        <v>5</v>
      </c>
      <c r="GZ41">
        <f>SUMPRODUCT(--('Данные 1st'!$S$2:$S$317=$A41),--ISNUMBER('Данные 1st'!$QH$2:$QH$317))</f>
        <v>5</v>
      </c>
      <c r="HA41">
        <f>SUMPRODUCT(--('Данные 1st'!$S$2:$S$317=$A41),--ISNUMBER('Данные 1st'!$QI$2:$QI$317))</f>
        <v>5</v>
      </c>
      <c r="HB41">
        <f>SUMPRODUCT(--('Данные 1st'!$S$2:$S$317=$A41),--ISNUMBER('Данные 1st'!$QK$2:$QK$317))</f>
        <v>0</v>
      </c>
      <c r="HC41">
        <f>SUMPRODUCT(--('Данные 1st'!$S$2:$S$317=$A41),--ISNUMBER('Данные 1st'!$QL$2:$QL$317))</f>
        <v>5</v>
      </c>
      <c r="HD41">
        <f>SUMPRODUCT(--('Данные 1st'!$S$2:$S$317=$A41),--ISNUMBER('Данные 1st'!$QM$2:$QM$317))</f>
        <v>5</v>
      </c>
      <c r="HE41">
        <f>SUMPRODUCT(--('Данные 1st'!$S$2:$S$317=$A41),--ISNUMBER('Данные 1st'!$QN$2:$QN$317))</f>
        <v>5</v>
      </c>
      <c r="HF41">
        <f>SUMPRODUCT(--('Данные 1st'!$S$2:$S$317=$A41),--ISNUMBER('Данные 1st'!$QP$2:$QP$317))</f>
        <v>5</v>
      </c>
      <c r="HG41">
        <f>SUMPRODUCT(--('Данные 1st'!$S$2:$S$317=$A41),--ISNUMBER('Данные 1st'!$QQ$2:$QQ$317))</f>
        <v>5</v>
      </c>
      <c r="HH41">
        <f>SUMPRODUCT(--('Данные 1st'!$S$2:$S$317=$A41),--ISNUMBER('Данные 1st'!$QR$2:$QR$317))</f>
        <v>4</v>
      </c>
      <c r="HI41">
        <f>SUMPRODUCT(--('Данные 1st'!$S$2:$S$317=$A41),--ISNUMBER('Данные 1st'!$QS$2:$QS$317))</f>
        <v>4</v>
      </c>
      <c r="HJ41">
        <f>SUMPRODUCT(--('Данные 1st'!$S$2:$S$317=$A41),--ISNUMBER('Данные 1st'!$QU$2:$QU$317))</f>
        <v>4</v>
      </c>
      <c r="HK41">
        <f>SUMPRODUCT(--('Данные 1st'!$S$2:$S$317=$A41),--ISNUMBER('Данные 1st'!$QV$2:$QV$317))</f>
        <v>4</v>
      </c>
      <c r="HL41">
        <f>SUMPRODUCT(--('Данные 1st'!$S$2:$S$317=$A41),--ISNUMBER('Данные 1st'!$QW$2:$QW$317))</f>
        <v>5</v>
      </c>
      <c r="HM41">
        <f>SUMPRODUCT(--('Данные 1st'!$S$2:$S$317=$A41),--ISNUMBER('Данные 1st'!$QX$2:$QX$317))</f>
        <v>5</v>
      </c>
      <c r="HN41">
        <f>SUMPRODUCT(--('Данные 1st'!$S$2:$S$317=$A41),--ISNUMBER('Данные 1st'!$QZ$2:$QZ$317))</f>
        <v>5</v>
      </c>
      <c r="HO41">
        <f>SUMPRODUCT(--('Данные 1st'!$S$2:$S$317=$A41),--ISNUMBER('Данные 1st'!$RA$2:$RA$317))</f>
        <v>5</v>
      </c>
      <c r="HP41">
        <f>SUMPRODUCT(--('Данные 1st'!$S$2:$S$317=$A41),--ISNUMBER('Данные 1st'!$RB$2:$RB$317))</f>
        <v>5</v>
      </c>
      <c r="HQ41">
        <f>SUMPRODUCT(--('Данные 1st'!$S$2:$S$317=$A41),--ISNUMBER('Данные 1st'!$RD$2:$RD$317))</f>
        <v>0</v>
      </c>
      <c r="HR41">
        <f>SUMPRODUCT(--('Данные 1st'!$S$2:$S$317=$A41),--ISNUMBER('Данные 1st'!$RE$2:$RE$317))</f>
        <v>5</v>
      </c>
      <c r="HS41">
        <f>SUMPRODUCT(--('Данные 1st'!$S$2:$S$317=$A41),--ISNUMBER('Данные 1st'!$RF$2:$RF$317))</f>
        <v>5</v>
      </c>
      <c r="HT41">
        <f>SUMPRODUCT(--('Данные 1st'!$S$2:$S$317=$A41),--ISNUMBER('Данные 1st'!$RG$2:$RG$317))</f>
        <v>0</v>
      </c>
      <c r="HU41">
        <f>SUMPRODUCT(--('Данные 1st'!$S$2:$S$317=$A41),--ISNUMBER('Данные 1st'!$RH$2:$RH$317))</f>
        <v>4</v>
      </c>
      <c r="HV41">
        <f>SUMPRODUCT(--('Данные 1st'!$S$2:$S$317=$A41),--ISNUMBER('Данные 1st'!$RI$2:$RI$317))</f>
        <v>0</v>
      </c>
      <c r="HW41">
        <f>SUMPRODUCT(--('Данные 1st'!$S$2:$S$317=$A41),--ISNUMBER('Данные 1st'!$RJ$2:$RJ$317))</f>
        <v>5</v>
      </c>
      <c r="HX41">
        <f>SUMPRODUCT(--('Данные 1st'!$S$2:$S$317=$A41),--ISNUMBER('Данные 1st'!$RK$2:$RK$317))</f>
        <v>0</v>
      </c>
      <c r="HY41">
        <f>SUMPRODUCT(--('Данные 1st'!$S$2:$S$317=$A41),--ISNUMBER('Данные 1st'!$RL$2:$RL$317))</f>
        <v>5</v>
      </c>
      <c r="HZ41">
        <f>SUMPRODUCT(--('Данные 1st'!$S$2:$S$317=$A41),--ISNUMBER('Данные 1st'!$RM$2:$RM$317))</f>
        <v>4</v>
      </c>
      <c r="IA41">
        <f>SUMPRODUCT(--('Данные 1st'!$S$2:$S$317=$A41),--ISNUMBER('Данные 1st'!$RN$2:$RN$317))</f>
        <v>0</v>
      </c>
      <c r="IB41">
        <f>SUMPRODUCT(--('Данные 1st'!$S$2:$S$317=$A41),--ISNUMBER('Данные 1st'!$RO$2:$RO$317))</f>
        <v>5</v>
      </c>
      <c r="IC41">
        <f>SUMPRODUCT(--('Данные 1st'!$S$2:$S$317=$A41),--ISNUMBER('Данные 1st'!$RP$2:$RP$317))</f>
        <v>0</v>
      </c>
      <c r="ID41">
        <f>SUMPRODUCT(--('Данные 1st'!$S$2:$S$317=$A41),--ISNUMBER('Данные 1st'!$RQ$2:$RQ$317))</f>
        <v>5</v>
      </c>
      <c r="IE41">
        <f>SUMPRODUCT(--('Данные 1st'!$S$2:$S$317=$A41),--ISNUMBER('Данные 1st'!$RR$2:$RR$317))</f>
        <v>4</v>
      </c>
      <c r="IF41">
        <f>SUMPRODUCT(--('Данные 1st'!$S$2:$S$317=$A41),--ISNUMBER('Данные 1st'!$RS$2:$RS$317))</f>
        <v>0</v>
      </c>
      <c r="IG41">
        <f>SUMPRODUCT(--('Данные 1st'!$S$2:$S$317=$A41),--ISNUMBER('Данные 1st'!$RT$2:$RT$317))</f>
        <v>5</v>
      </c>
      <c r="IH41">
        <f>SUMPRODUCT(--('Данные 1st'!$S$2:$S$317=$A41),--ISNUMBER('Данные 1st'!$RU$2:$RU$317))</f>
        <v>5</v>
      </c>
      <c r="II41">
        <f>SUMPRODUCT(--('Данные 1st'!$S$2:$S$317=$A41),--ISNUMBER('Данные 1st'!$RX$2:$RX$317))</f>
        <v>5</v>
      </c>
      <c r="IJ41">
        <f>SUMPRODUCT(--('Данные 1st'!$S$2:$S$317=$A41),--ISNUMBER('Данные 1st'!$RY$2:$RY$317))</f>
        <v>5</v>
      </c>
      <c r="IK41">
        <f>SUMPRODUCT(--('Данные 1st'!$S$2:$S$317=$A41),--ISNUMBER('Данные 1st'!$SA$2:$SA$317))</f>
        <v>5</v>
      </c>
      <c r="IL41">
        <f>SUMPRODUCT(--('Данные 1st'!$S$2:$S$317=$A41),--ISNUMBER('Данные 1st'!$SD$2:$SD$317))</f>
        <v>5</v>
      </c>
      <c r="IM41">
        <f>SUMPRODUCT(--('Данные 1st'!$S$2:$S$317=$A41),--ISNUMBER('Данные 1st'!$SG$2:$SG$317))</f>
        <v>4</v>
      </c>
      <c r="IN41">
        <f>SUMPRODUCT(--('Данные 1st'!$S$2:$S$317=$A41),--ISNUMBER('Данные 1st'!$SH$2:$SH$317))</f>
        <v>5</v>
      </c>
      <c r="IO41">
        <f>SUMPRODUCT(--('Данные 1st'!$S$2:$S$317=$A41),--ISNUMBER('Данные 1st'!$SI$2:$SI$317))</f>
        <v>5</v>
      </c>
      <c r="IP41">
        <f>SUMPRODUCT(--('Данные 1st'!$S$2:$S$317=$A41),--ISNUMBER('Данные 1st'!$SJ$2:$SJ$317))</f>
        <v>5</v>
      </c>
      <c r="IQ41">
        <f>SUMPRODUCT(--('Данные 1st'!$S$2:$S$317=$A41),--ISNUMBER('Данные 1st'!$SK$2:$SK$317))</f>
        <v>5</v>
      </c>
      <c r="IR41">
        <f>SUMPRODUCT(--('Данные 1st'!$S$2:$S$317=$A41),--ISNUMBER('Данные 1st'!$SL$2:$SL$317))</f>
        <v>5</v>
      </c>
      <c r="IS41">
        <f>SUMPRODUCT(--('Данные 1st'!$S$2:$S$317=$A41),--ISNUMBER('Данные 1st'!$SM$2:$SM$317))</f>
        <v>5</v>
      </c>
      <c r="IT41">
        <f>SUMPRODUCT(--('Данные 1st'!$S$2:$S$317=$A41),--ISNUMBER('Данные 1st'!$SN$2:$SN$317))</f>
        <v>5</v>
      </c>
      <c r="IU41">
        <f>SUMPRODUCT(--('Данные 1st'!$S$2:$S$317=$A41),--ISNUMBER('Данные 1st'!$SO$2:$SO$317))</f>
        <v>5</v>
      </c>
      <c r="IV41">
        <f>SUMPRODUCT(--('Данные 1st'!$S$2:$S$317=$A41),--ISNUMBER('Данные 1st'!$SP$2:$SP$317))</f>
        <v>5</v>
      </c>
      <c r="IW41">
        <f>SUMPRODUCT(--('Данные 1st'!$S$2:$S$317=$A41),--ISNUMBER('Данные 1st'!$SQ$2:$SQ$317))</f>
        <v>5</v>
      </c>
      <c r="IX41">
        <f>SUMPRODUCT(--('Данные 1st'!$S$2:$S$317=$A41),--ISNUMBER('Данные 1st'!$SR$2:$SR$317))</f>
        <v>5</v>
      </c>
      <c r="IY41">
        <f>SUMPRODUCT(--('Данные 1st'!$S$2:$S$317=$A41),--ISNUMBER('Данные 1st'!$SS$2:$SS$317))</f>
        <v>5</v>
      </c>
      <c r="IZ41">
        <f>SUMPRODUCT(--('Данные 1st'!$S$2:$S$317=$A41),--ISNUMBER('Данные 1st'!$ST$2:$ST$317))</f>
        <v>5</v>
      </c>
      <c r="JA41">
        <f>SUMPRODUCT(--('Данные 1st'!$S$2:$S$317=$A41),--ISNUMBER('Данные 1st'!$SU$2:$SU$317))</f>
        <v>5</v>
      </c>
      <c r="JB41">
        <f>SUMPRODUCT(--('Данные 1st'!$S$2:$S$317=$A41),--ISNUMBER('Данные 1st'!$SV$2:$SV$317))</f>
        <v>5</v>
      </c>
      <c r="JC41">
        <f>SUMPRODUCT(--('Данные 1st'!$S$2:$S$317=$A41),--ISNUMBER('Данные 1st'!$SW$2:$SW$317))</f>
        <v>5</v>
      </c>
      <c r="JD41">
        <f>SUMPRODUCT(--('Данные 1st'!$S$2:$S$317=$A41),--ISNUMBER('Данные 1st'!$SX$2:$SX$317))</f>
        <v>5</v>
      </c>
      <c r="JE41">
        <f>SUMPRODUCT(--('Данные 1st'!$S$2:$S$317=$A41),--ISNUMBER('Данные 1st'!$SY$2:$SY$317))</f>
        <v>0</v>
      </c>
      <c r="JF41">
        <f>SUMPRODUCT(--('Данные 1st'!$S$2:$S$317=$A41),--ISNUMBER('Данные 1st'!$SZ$2:$SZ$317))</f>
        <v>4</v>
      </c>
      <c r="JG41">
        <f>SUMPRODUCT(--('Данные 1st'!$S$2:$S$317=$A41),--ISNUMBER('Данные 1st'!$TA$2:$TA$317))</f>
        <v>0</v>
      </c>
      <c r="JH41">
        <f>SUMPRODUCT(--('Данные 1st'!$S$2:$S$317=$A41),--ISNUMBER('Данные 1st'!$TB$2:$TB$317))</f>
        <v>5</v>
      </c>
      <c r="JI41">
        <f>SUMPRODUCT(--('Данные 1st'!$S$2:$S$317=$A41),--ISNUMBER('Данные 1st'!$TC$2:$TC$317))</f>
        <v>5</v>
      </c>
      <c r="JJ41">
        <f>SUMPRODUCT(--('Данные 1st'!$S$2:$S$317=$A41),--ISNUMBER('Данные 1st'!$TD$2:$TD$317))</f>
        <v>5</v>
      </c>
      <c r="JK41">
        <f>SUMPRODUCT(--('Данные 1st'!$S$2:$S$317=$A41),--ISNUMBER('Данные 1st'!$TN$2:$TN$317))</f>
        <v>5</v>
      </c>
      <c r="JQ41">
        <f>SUMPRODUCT(--('Данные 2st'!$Q$2:$Q$317=$A41),--ISNUMBER('Данные 2st'!$AC$2:$AC$317))</f>
        <v>5</v>
      </c>
      <c r="JR41">
        <f>SUMPRODUCT(--('Данные 2st'!$Q$2:$Q$317=$A41),--ISNUMBER('Данные 2st'!$AF$2:$AF$317))</f>
        <v>5</v>
      </c>
      <c r="JS41">
        <f>SUMPRODUCT(--('Данные 2st'!$Q$2:$Q$317=$A41),--ISNUMBER('Данные 2st'!$AW$2:$AW$317))</f>
        <v>5</v>
      </c>
      <c r="JT41">
        <f>SUMPRODUCT(--('Данные 2st'!$Q$2:$Q$317=$A41),--ISNUMBER('Данные 2st'!$AX$2:$AX$317))</f>
        <v>5</v>
      </c>
      <c r="JU41">
        <f>SUMPRODUCT(--('Данные 2st'!$Q$2:$Q$317=$A41),--ISNUMBER('Данные 2st'!$AY$2:$AY$317))</f>
        <v>5</v>
      </c>
      <c r="JV41">
        <f>SUMPRODUCT(--('Данные 2st'!$Q$2:$Q$317=$A41),--ISNUMBER('Данные 2st'!$AZ$2:$AZ$317))</f>
        <v>5</v>
      </c>
      <c r="JW41">
        <f>SUMPRODUCT(--('Данные 2st'!$Q$2:$Q$317=$A41),--ISNUMBER('Данные 2st'!$BA$2:$BA$317))</f>
        <v>0</v>
      </c>
      <c r="JX41">
        <f>SUMPRODUCT(--('Данные 2st'!$Q$2:$Q$317=$A41),--ISNUMBER('Данные 2st'!$BB$2:$BB$317))</f>
        <v>0</v>
      </c>
      <c r="JY41">
        <f>SUMPRODUCT(--('Данные 2st'!$Q$2:$Q$317=$A41),--ISNUMBER('Данные 2st'!$BC$2:$BC$317))</f>
        <v>0</v>
      </c>
      <c r="JZ41">
        <f>SUMPRODUCT(--('Данные 2st'!$Q$2:$Q$317=$A41),--ISNUMBER('Данные 2st'!$BH$2:$BH$317))</f>
        <v>5</v>
      </c>
      <c r="KA41">
        <f>SUMPRODUCT(--('Данные 2st'!$Q$2:$Q$317=$A41),--ISNUMBER('Данные 2st'!$BI$2:$BI$317))</f>
        <v>5</v>
      </c>
      <c r="KB41">
        <f>SUMPRODUCT(--('Данные 2st'!$Q$2:$Q$317=$A41),--ISNUMBER('Данные 2st'!$BJ$2:$BJ$317))</f>
        <v>5</v>
      </c>
      <c r="KC41">
        <f>SUMPRODUCT(--('Данные 2st'!$Q$2:$Q$317=$A41),--ISNUMBER('Данные 2st'!$BK$2:$BK$317))</f>
        <v>5</v>
      </c>
      <c r="KD41">
        <f>SUMPRODUCT(--('Данные 2st'!$Q$2:$Q$317=$A41),--ISNUMBER('Данные 2st'!$BL$2:$BL$317))</f>
        <v>5</v>
      </c>
      <c r="KE41">
        <f>SUMPRODUCT(--('Данные 2st'!$Q$2:$Q$317=$A41),--ISNUMBER('Данные 2st'!$BM$2:$BM$317))</f>
        <v>5</v>
      </c>
      <c r="KF41">
        <f>SUMPRODUCT(--('Данные 2st'!$Q$2:$Q$317=$A41),--ISNUMBER('Данные 2st'!$BN$2:$BN$317))</f>
        <v>5</v>
      </c>
      <c r="KG41">
        <f>SUMPRODUCT(--('Данные 2st'!$Q$2:$Q$317=$A41),--ISNUMBER('Данные 2st'!$BO$2:$BO$317))</f>
        <v>3</v>
      </c>
      <c r="KH41">
        <f>SUMPRODUCT(--('Данные 2st'!$Q$2:$Q$317=$A41),--ISNUMBER('Данные 2st'!$BP$2:$BP$317))</f>
        <v>5</v>
      </c>
      <c r="KI41">
        <f>SUMPRODUCT(--('Данные 2st'!$Q$2:$Q$317=$A41),--ISNUMBER('Данные 2st'!$BR$2:$BR$317))</f>
        <v>5</v>
      </c>
      <c r="KJ41">
        <f>SUMPRODUCT(--('Данные 2st'!$Q$2:$Q$317=$A41),--ISNUMBER('Данные 2st'!$BS$2:$BS$317))</f>
        <v>5</v>
      </c>
      <c r="KK41">
        <f>SUMPRODUCT(--('Данные 2st'!$Q$2:$Q$317=$A41),--ISNUMBER('Данные 2st'!$BT$2:$BT$317))</f>
        <v>5</v>
      </c>
      <c r="KL41">
        <f>SUMPRODUCT(--('Данные 2st'!$Q$2:$Q$317=$A41),--ISNUMBER('Данные 2st'!$CV$2:$CV$317))</f>
        <v>5</v>
      </c>
      <c r="KM41">
        <f>SUMPRODUCT(--('Данные 2st'!$Q$2:$Q$317=$A41),--ISNUMBER('Данные 2st'!$CW$2:$CW$317))</f>
        <v>5</v>
      </c>
      <c r="KN41">
        <f>SUMPRODUCT(--('Данные 2st'!$Q$2:$Q$317=$A41),--ISNUMBER('Данные 2st'!$CX$2:$CX$317))</f>
        <v>5</v>
      </c>
      <c r="KO41">
        <f>SUMPRODUCT(--('Данные 2st'!$Q$2:$Q$317=$A41),--ISNUMBER('Данные 2st'!$CY$2:$CY$317))</f>
        <v>5</v>
      </c>
      <c r="KP41">
        <f>SUMPRODUCT(--('Данные 2st'!$Q$2:$Q$317=$A41),--ISNUMBER('Данные 2st'!$CZ$2:$CZ$317))</f>
        <v>5</v>
      </c>
      <c r="KQ41">
        <f>SUMPRODUCT(--('Данные 2st'!$Q$2:$Q$317=$A41),--ISNUMBER('Данные 2st'!$DA$2:$DA$317))</f>
        <v>5</v>
      </c>
      <c r="KR41">
        <f>SUMPRODUCT(--('Данные 2st'!$Q$2:$Q$317=$A41),--ISNUMBER('Данные 2st'!$DB$2:$DB$317))</f>
        <v>5</v>
      </c>
      <c r="KS41">
        <f>SUMPRODUCT(--('Данные 2st'!$Q$2:$Q$317=$A41),--ISNUMBER('Данные 2st'!$DC$2:$DC$317))</f>
        <v>5</v>
      </c>
      <c r="KT41">
        <f>SUMPRODUCT(--('Данные 2st'!$Q$2:$Q$317=$A41),--ISNUMBER('Данные 2st'!$DD$2:$DD$317))</f>
        <v>5</v>
      </c>
      <c r="KU41">
        <f>SUMPRODUCT(--('Данные 2st'!$Q$2:$Q$317=$A41),--ISNUMBER('Данные 2st'!$DE$2:$DE$317))</f>
        <v>5</v>
      </c>
      <c r="KV41">
        <f>SUMPRODUCT(--('Данные 2st'!$Q$2:$Q$317=$A41),--ISNUMBER('Данные 2st'!$DF$2:$DF$317))</f>
        <v>5</v>
      </c>
      <c r="KW41">
        <f>SUMPRODUCT(--('Данные 2st'!$Q$2:$Q$317=$A41),--ISNUMBER('Данные 2st'!$DG$2:$DG$317))</f>
        <v>5</v>
      </c>
      <c r="KX41">
        <f>SUMPRODUCT(--('Данные 2st'!$Q$2:$Q$317=$A41),--ISNUMBER('Данные 2st'!$DH$2:$DH$317))</f>
        <v>0</v>
      </c>
      <c r="KY41">
        <f>SUMPRODUCT(--('Данные 2st'!$Q$2:$Q$317=$A41),--ISNUMBER('Данные 2st'!$DI$2:$DI$317))</f>
        <v>0</v>
      </c>
      <c r="KZ41">
        <f>SUMPRODUCT(--('Данные 2st'!$Q$2:$Q$317=$A41),--ISNUMBER('Данные 2st'!$DK$2:$DK$317))</f>
        <v>5</v>
      </c>
      <c r="LA41">
        <f>SUMPRODUCT(--('Данные 2st'!$Q$2:$Q$317=$A41),--ISNUMBER('Данные 2st'!$DM$2:$DM$317))</f>
        <v>5</v>
      </c>
      <c r="LB41">
        <f>SUMPRODUCT(--('Данные 2st'!$Q$2:$Q$317=$A41),--ISNUMBER('Данные 2st'!$DN$2:$DN$317))</f>
        <v>5</v>
      </c>
      <c r="LC41">
        <f>SUMPRODUCT(--('Данные 2st'!$Q$2:$Q$317=$A41),--ISNUMBER('Данные 2st'!$DO$2:$DO$317))</f>
        <v>5</v>
      </c>
      <c r="LD41">
        <f>SUMPRODUCT(--('Данные 2st'!$Q$2:$Q$317=$A41),--ISNUMBER('Данные 2st'!$DP$2:$DP$317))</f>
        <v>5</v>
      </c>
      <c r="LE41">
        <f>SUMPRODUCT(--('Данные 2st'!$Q$2:$Q$317=$A41),--ISNUMBER('Данные 2st'!$DQ$2:$DQ$317))</f>
        <v>5</v>
      </c>
      <c r="LF41">
        <f>SUMPRODUCT(--('Данные 2st'!$Q$2:$Q$317=$A41),--ISNUMBER('Данные 2st'!$DS$2:$DS$317))</f>
        <v>5</v>
      </c>
      <c r="LG41">
        <f>SUMPRODUCT(--('Данные 2st'!$Q$2:$Q$317=$A41),--ISNUMBER('Данные 2st'!$DU$2:$DU$317))</f>
        <v>5</v>
      </c>
      <c r="LH41">
        <f>SUMPRODUCT(--('Данные 2st'!$Q$2:$Q$317=$A41),--ISNUMBER('Данные 2st'!$DV$2:$DV$317))</f>
        <v>5</v>
      </c>
      <c r="LI41">
        <f>SUMPRODUCT(--('Данные 2st'!$Q$2:$Q$317=$A41),--ISNUMBER('Данные 2st'!$DW$2:$DW$317))</f>
        <v>5</v>
      </c>
      <c r="LJ41">
        <f>SUMPRODUCT(--('Данные 2st'!$Q$2:$Q$317=$A41),--ISNUMBER('Данные 2st'!$DX$2:$DX$317))</f>
        <v>5</v>
      </c>
      <c r="LK41">
        <f>SUMPRODUCT(--('Данные 2st'!$Q$2:$Q$317=$A41),--ISNUMBER('Данные 2st'!$DY$2:$DY$317))</f>
        <v>5</v>
      </c>
      <c r="LL41">
        <f>SUMPRODUCT(--('Данные 2st'!$Q$2:$Q$317=$A41),--ISNUMBER('Данные 2st'!$EA$2:$EA$317))</f>
        <v>5</v>
      </c>
      <c r="LM41">
        <f>SUMPRODUCT(--('Данные 2st'!$Q$2:$Q$317=$A41),--ISNUMBER('Данные 2st'!$EC$2:$EC$317))</f>
        <v>5</v>
      </c>
      <c r="LN41">
        <f>SUMPRODUCT(--('Данные 2st'!$Q$2:$Q$317=$A41),--ISNUMBER('Данные 2st'!$ED$2:$ED$317))</f>
        <v>5</v>
      </c>
      <c r="LO41">
        <f>SUMPRODUCT(--('Данные 2st'!$Q$2:$Q$317=$A41),--ISNUMBER('Данные 2st'!$EE$2:$EE$317))</f>
        <v>5</v>
      </c>
      <c r="LP41">
        <f>SUMPRODUCT(--('Данные 2st'!$Q$2:$Q$317=$A41),--ISNUMBER('Данные 2st'!$EG$2:$EG$317))</f>
        <v>5</v>
      </c>
      <c r="LQ41">
        <f>SUMPRODUCT(--('Данные 2st'!$Q$2:$Q$317=$A41),--ISNUMBER('Данные 2st'!$EI$2:$EI$317))</f>
        <v>5</v>
      </c>
      <c r="LR41">
        <f>SUMPRODUCT(--('Данные 2st'!$Q$2:$Q$317=$A41),--ISNUMBER('Данные 2st'!$EJ$2:$EJ$317))</f>
        <v>0</v>
      </c>
      <c r="LS41">
        <f>SUMPRODUCT(--('Данные 2st'!$Q$2:$Q$317=$A41),--ISNUMBER('Данные 2st'!$EK$2:$EK$317))</f>
        <v>0</v>
      </c>
      <c r="LT41">
        <f>SUMPRODUCT(--('Данные 2st'!$Q$2:$Q$317=$A41),--ISNUMBER('Данные 2st'!$EM$2:$EM$317))</f>
        <v>5</v>
      </c>
      <c r="LU41">
        <f>SUMPRODUCT(--('Данные 2st'!$Q$2:$Q$317=$A41),--ISNUMBER('Данные 2st'!$EN$2:$EN$317))</f>
        <v>5</v>
      </c>
      <c r="LV41">
        <f>SUMPRODUCT(--('Данные 2st'!$Q$2:$Q$317=$A41),--ISNUMBER('Данные 2st'!$EO$2:$EO$317))</f>
        <v>5</v>
      </c>
      <c r="LW41">
        <f>SUMPRODUCT(--('Данные 2st'!$Q$2:$Q$317=$A41),--ISNUMBER('Данные 2st'!$EP$2:$EP$317))</f>
        <v>5</v>
      </c>
      <c r="LX41">
        <f>SUMPRODUCT(--('Данные 2st'!$Q$2:$Q$317=$A41),--ISNUMBER('Данные 2st'!$EQ$2:$EQ$317))</f>
        <v>5</v>
      </c>
      <c r="LY41">
        <f>SUMPRODUCT(--('Данные 2st'!$Q$2:$Q$317=$A41),--ISNUMBER('Данные 2st'!$ER$2:$ER$317))</f>
        <v>5</v>
      </c>
      <c r="LZ41">
        <f>SUMPRODUCT(--('Данные 2st'!$Q$2:$Q$317=$A41),--ISNUMBER('Данные 2st'!$ES$2:$ES$317))</f>
        <v>5</v>
      </c>
      <c r="MA41">
        <f>SUMPRODUCT(--('Данные 2st'!$Q$2:$Q$317=$A41),--ISNUMBER('Данные 2st'!$ET$2:$ET$317))</f>
        <v>5</v>
      </c>
      <c r="MB41">
        <f>SUMPRODUCT(--('Данные 2st'!$Q$2:$Q$317=$A41),--ISNUMBER('Данные 2st'!$EU$2:$EU$317))</f>
        <v>5</v>
      </c>
      <c r="MC41">
        <f>SUMPRODUCT(--('Данные 2st'!$Q$2:$Q$317=$A41),--ISNUMBER('Данные 2st'!$EV$2:$EV$317))</f>
        <v>5</v>
      </c>
      <c r="MD41">
        <f>SUMPRODUCT(--('Данные 2st'!$Q$2:$Q$317=$A41),--ISNUMBER('Данные 2st'!$EW$2:$EW$317))</f>
        <v>5</v>
      </c>
      <c r="ME41">
        <f>SUMPRODUCT(--('Данные 2st'!$Q$2:$Q$317=$A41),--ISNUMBER('Данные 2st'!$EY$2:$EY$317))</f>
        <v>5</v>
      </c>
      <c r="MF41">
        <f>SUMPRODUCT(--('Данные 2st'!$Q$2:$Q$317=$A41),--ISNUMBER('Данные 2st'!$FA$2:$FA$317))</f>
        <v>5</v>
      </c>
      <c r="MG41">
        <f>SUMPRODUCT(--('Данные 2st'!$Q$2:$Q$317=$A41),--ISNUMBER('Данные 2st'!$FB$2:$FB$317))</f>
        <v>5</v>
      </c>
      <c r="MH41">
        <f>SUMPRODUCT(--('Данные 2st'!$Q$2:$Q$317=$A41),--ISNUMBER('Данные 2st'!$FC$2:$FC$317))</f>
        <v>5</v>
      </c>
      <c r="MI41">
        <f>SUMPRODUCT(--('Данные 2st'!$Q$2:$Q$317=$A41),--ISNUMBER('Данные 2st'!$FD$2:$FD$317))</f>
        <v>5</v>
      </c>
      <c r="MJ41">
        <f>SUMPRODUCT(--('Данные 2st'!$Q$2:$Q$317=$A41),--ISNUMBER('Данные 2st'!$FE$2:$FE$317))</f>
        <v>5</v>
      </c>
      <c r="MK41">
        <f>SUMPRODUCT(--('Данные 2st'!$Q$2:$Q$317=$A41),--ISNUMBER('Данные 2st'!$FG$2:$FG$317))</f>
        <v>5</v>
      </c>
      <c r="ML41">
        <f>SUMPRODUCT(--('Данные 2st'!$Q$2:$Q$317=$A41),--ISNUMBER('Данные 2st'!$FI$2:$FI$317))</f>
        <v>5</v>
      </c>
      <c r="MM41">
        <f>SUMPRODUCT(--('Данные 2st'!$Q$2:$Q$317=$A41),--ISNUMBER('Данные 2st'!$FJ$2:$FJ$317))</f>
        <v>5</v>
      </c>
      <c r="MN41">
        <f>SUMPRODUCT(--('Данные 2st'!$Q$2:$Q$317=$A41),--ISNUMBER('Данные 2st'!$FK$2:$FK$317))</f>
        <v>5</v>
      </c>
      <c r="MO41">
        <f>SUMPRODUCT(--('Данные 2st'!$Q$2:$Q$317=$A41),--ISNUMBER('Данные 2st'!$FP$2:$FP$317))</f>
        <v>5</v>
      </c>
      <c r="MP41">
        <f>SUMPRODUCT(--('Данные 2st'!$Q$2:$Q$317=$A41),--ISNUMBER('Данные 2st'!$FQ$2:$FQ$317))</f>
        <v>5</v>
      </c>
      <c r="MQ41">
        <f>SUMPRODUCT(--('Данные 2st'!$Q$2:$Q$317=$A41),--ISNUMBER('Данные 2st'!$FS$2:$FS$317))</f>
        <v>5</v>
      </c>
      <c r="MR41">
        <f>SUMPRODUCT(--('Данные 2st'!$Q$2:$Q$317=$A41),--ISNUMBER('Данные 2st'!$FU$2:$FU$317))</f>
        <v>5</v>
      </c>
      <c r="MS41">
        <f>SUMPRODUCT(--('Данные 2st'!$Q$2:$Q$317=$A41),--ISNUMBER('Данные 2st'!$FV$2:$FV$317))</f>
        <v>5</v>
      </c>
      <c r="MT41">
        <f>SUMPRODUCT(--('Данные 2st'!$Q$2:$Q$317=$A41),--ISNUMBER('Данные 2st'!$FW$2:$FW$317))</f>
        <v>5</v>
      </c>
      <c r="MU41">
        <f>SUMPRODUCT(--('Данные 2st'!$Q$2:$Q$317=$A41),--ISNUMBER('Данные 2st'!$FY$2:$FY$317))</f>
        <v>4</v>
      </c>
      <c r="MV41">
        <f>SUMPRODUCT(--('Данные 2st'!$Q$2:$Q$317=$A41),--ISNUMBER('Данные 2st'!$GB$2:$GB$317))</f>
        <v>4</v>
      </c>
      <c r="MW41">
        <f>SUMPRODUCT(--('Данные 2st'!$Q$2:$Q$317=$A41),--ISNUMBER('Данные 2st'!$GC$2:$GC$317))</f>
        <v>4</v>
      </c>
      <c r="MX41">
        <f>SUMPRODUCT(--('Данные 2st'!$Q$2:$Q$317=$A41),--ISNUMBER('Данные 2st'!$GD$2:$GD$317))</f>
        <v>5</v>
      </c>
      <c r="MY41">
        <f>SUMPRODUCT(--('Данные 2st'!$Q$2:$Q$317=$A41),--ISNUMBER('Данные 2st'!$GN$2:$GN$317))</f>
        <v>0</v>
      </c>
      <c r="MZ41">
        <f>SUMPRODUCT(--('Данные 2st'!$Q$2:$Q$317=$A41),--ISNUMBER('Данные 2st'!$GQ$2:$GQ$317))</f>
        <v>5</v>
      </c>
      <c r="NA41">
        <f>SUMPRODUCT(--('Данные 2st'!$Q$2:$Q$317=$A41),--ISNUMBER('Данные 2st'!$GV$2:$GV$317))</f>
        <v>5</v>
      </c>
      <c r="NB41">
        <f>SUMPRODUCT(--('Данные 2st'!$Q$2:$Q$317=$A41),--ISNUMBER('Данные 2st'!$GW$2:$GW$317))</f>
        <v>5</v>
      </c>
      <c r="NC41">
        <f>SUMPRODUCT(--('Данные 2st'!$Q$2:$Q$317=$A41),--ISNUMBER('Данные 2st'!$GX$2:$GX$317))</f>
        <v>5</v>
      </c>
      <c r="ND41">
        <f>SUMPRODUCT(--('Данные 2st'!$Q$2:$Q$317=$A41),--ISNUMBER('Данные 2st'!$GY$2:$GY$317))</f>
        <v>5</v>
      </c>
      <c r="NE41">
        <f>SUMPRODUCT(--('Данные 2st'!$Q$2:$Q$317=$A41),--ISNUMBER('Данные 2st'!$GZ$2:$GZ$317))</f>
        <v>5</v>
      </c>
      <c r="NF41">
        <f>SUMPRODUCT(--('Данные 2st'!$Q$2:$Q$317=$A41),--ISNUMBER('Данные 2st'!$HA$2:$HA$317))</f>
        <v>5</v>
      </c>
      <c r="NG41">
        <f>SUMPRODUCT(--('Данные 2st'!$Q$2:$Q$317=$A41),--ISNUMBER('Данные 2st'!$HB$2:$HB$317))</f>
        <v>5</v>
      </c>
      <c r="NH41">
        <f>SUMPRODUCT(--('Данные 2st'!$Q$2:$Q$317=$A41),--ISNUMBER('Данные 2st'!$HC$2:$HC$317))</f>
        <v>5</v>
      </c>
      <c r="NI41">
        <f>SUMPRODUCT(--('Данные 2st'!$Q$2:$Q$317=$A41),--ISNUMBER('Данные 2st'!$HD$2:$HD$317))</f>
        <v>5</v>
      </c>
      <c r="NJ41">
        <f>SUMPRODUCT(--('Данные 2st'!$Q$2:$Q$317=$A41),--ISNUMBER('Данные 2st'!$HM$2:$HM$317))</f>
        <v>5</v>
      </c>
      <c r="NK41">
        <f>SUMPRODUCT(--('Данные 2st'!$Q$2:$Q$317=$A41),--ISNUMBER('Данные 2st'!$HR$2:$HR$317))</f>
        <v>5</v>
      </c>
      <c r="NL41">
        <f>SUMPRODUCT(--('Данные 2st'!$Q$2:$Q$317=$A41),--ISNUMBER('Данные 2st'!$HS$2:$HS$317))</f>
        <v>5</v>
      </c>
      <c r="NM41">
        <f>SUMPRODUCT(--('Данные 2st'!$Q$2:$Q$317=$A41),--ISNUMBER('Данные 2st'!$HT$2:$HT$317))</f>
        <v>5</v>
      </c>
      <c r="NN41">
        <f>SUMPRODUCT(--('Данные 2st'!$Q$2:$Q$317=$A41),--ISNUMBER('Данные 2st'!$HY$2:$HY$317))</f>
        <v>5</v>
      </c>
      <c r="NO41">
        <f>SUMPRODUCT(--('Данные 2st'!$Q$2:$Q$317=$A41),--ISNUMBER('Данные 2st'!$HZ$2:$HZ$317))</f>
        <v>5</v>
      </c>
      <c r="NP41">
        <f>SUMPRODUCT(--('Данные 2st'!$Q$2:$Q$317=$A41),--ISNUMBER('Данные 2st'!$IA$2:$IA$317))</f>
        <v>5</v>
      </c>
      <c r="NQ41">
        <f>SUMPRODUCT(--('Данные 2st'!$Q$2:$Q$317=$A41),--ISNUMBER('Данные 2st'!$IB$2:$IB$317))</f>
        <v>5</v>
      </c>
      <c r="NR41">
        <f>SUMPRODUCT(--('Данные 2st'!$Q$2:$Q$317=$A41),--ISNUMBER('Данные 2st'!$IC$2:$IC$317))</f>
        <v>0</v>
      </c>
      <c r="NS41">
        <f>SUMPRODUCT(--('Данные 2st'!$Q$2:$Q$317=$A41),--ISNUMBER('Данные 2st'!$ID$2:$ID$317))</f>
        <v>5</v>
      </c>
      <c r="NT41">
        <f>SUMPRODUCT(--('Данные 2st'!$Q$2:$Q$317=$A41),--ISNUMBER('Данные 2st'!$IE$2:$IE$317))</f>
        <v>5</v>
      </c>
      <c r="NU41">
        <f>SUMPRODUCT(--('Данные 2st'!$Q$2:$Q$317=$A41),--ISNUMBER('Данные 2st'!$IF$2:$IF$317))</f>
        <v>5</v>
      </c>
      <c r="NV41">
        <f>SUMPRODUCT(--('Данные 2st'!$Q$2:$Q$317=$A41),--ISNUMBER('Данные 2st'!$IG$2:$IG$317))</f>
        <v>5</v>
      </c>
      <c r="NW41">
        <f>SUMPRODUCT(--('Данные 2st'!$Q$2:$Q$317=$A41),--ISNUMBER('Данные 2st'!$IH$2:$IH$317))</f>
        <v>5</v>
      </c>
      <c r="NX41">
        <f>SUMPRODUCT(--('Данные 2st'!$Q$2:$Q$317=$A41),--ISNUMBER('Данные 2st'!$IJ$2:$IJ$317))</f>
        <v>5</v>
      </c>
      <c r="NY41">
        <f>SUMPRODUCT(--('Данные 2st'!$Q$2:$Q$317=$A41),--ISNUMBER('Данные 2st'!$IM$2:$IM$317))</f>
        <v>5</v>
      </c>
      <c r="NZ41">
        <f>SUMPRODUCT(--('Данные 2st'!$Q$2:$Q$317=$A41),--ISNUMBER('Данные 2st'!$IN$2:$IN$317))</f>
        <v>5</v>
      </c>
      <c r="OA41">
        <f>SUMPRODUCT(--('Данные 2st'!$Q$2:$Q$317=$A41),--ISNUMBER('Данные 2st'!$IO$2:$IO$317))</f>
        <v>5</v>
      </c>
      <c r="OB41">
        <f>SUMPRODUCT(--('Данные 2st'!$Q$2:$Q$317=$A41),--ISNUMBER('Данные 2st'!$IP$2:$IP$317))</f>
        <v>5</v>
      </c>
      <c r="OC41">
        <f>SUMPRODUCT(--('Данные 2st'!$Q$2:$Q$317=$A41),--ISNUMBER('Данные 2st'!$IQ$2:$IQ$317))</f>
        <v>5</v>
      </c>
      <c r="OD41">
        <f>SUMPRODUCT(--('Данные 2st'!$Q$2:$Q$317=$A41),--ISNUMBER('Данные 2st'!$IR$2:$IR$317))</f>
        <v>5</v>
      </c>
      <c r="OE41">
        <f>SUMPRODUCT(--('Данные 2st'!$Q$2:$Q$317=$A41),--ISNUMBER('Данные 2st'!$IT$2:$IT$317))</f>
        <v>5</v>
      </c>
      <c r="OF41">
        <f>SUMPRODUCT(--('Данные 2st'!$Q$2:$Q$317=$A41),--ISNUMBER('Данные 2st'!$IU$2:$IU$317))</f>
        <v>5</v>
      </c>
      <c r="OG41">
        <f>SUMPRODUCT(--('Данные 2st'!$Q$2:$Q$317=$A41),--ISNUMBER('Данные 2st'!$IV$2:$IV$317))</f>
        <v>5</v>
      </c>
      <c r="OH41">
        <f>SUMPRODUCT(--('Данные 2st'!$Q$2:$Q$317=$A41),--ISNUMBER('Данные 2st'!$IW$2:$IW$317))</f>
        <v>5</v>
      </c>
      <c r="OI41">
        <f>SUMPRODUCT(--('Данные 2st'!$Q$2:$Q$317=$A41),--ISNUMBER('Данные 2st'!$IX$2:$IX$317))</f>
        <v>5</v>
      </c>
      <c r="OJ41">
        <f>SUMPRODUCT(--('Данные 2st'!$Q$2:$Q$317=$A41),--ISNUMBER('Данные 2st'!$IY$2:$IY$317))</f>
        <v>5</v>
      </c>
      <c r="OK41">
        <f>SUMPRODUCT(--('Данные 2st'!$Q$2:$Q$317=$A41),--ISNUMBER('Данные 2st'!$IZ$2:$IZ$317))</f>
        <v>5</v>
      </c>
      <c r="OL41">
        <f>SUMPRODUCT(--('Данные 2st'!$Q$2:$Q$317=$A41),--ISNUMBER('Данные 2st'!$JA$2:$JA$317))</f>
        <v>5</v>
      </c>
      <c r="OM41">
        <f>SUMPRODUCT(--('Данные 2st'!$Q$2:$Q$317=$A41),--ISNUMBER('Данные 2st'!$JB$2:$JB$317))</f>
        <v>5</v>
      </c>
      <c r="ON41">
        <f>SUMPRODUCT(--('Данные 2st'!$Q$2:$Q$317=$A41),--ISNUMBER('Данные 2st'!$JC$2:$JC$317))</f>
        <v>5</v>
      </c>
      <c r="OO41">
        <f>SUMPRODUCT(--('Данные 2st'!$Q$2:$Q$317=$A41),--ISNUMBER('Данные 2st'!$JD$2:$JD$317))</f>
        <v>5</v>
      </c>
      <c r="OP41">
        <f>SUMPRODUCT(--('Данные 2st'!$Q$2:$Q$317=$A41),--ISNUMBER('Данные 2st'!$JE$2:$JE$317))</f>
        <v>5</v>
      </c>
      <c r="OQ41">
        <f>SUMPRODUCT(--('Данные 2st'!$Q$2:$Q$317=$A41),--ISNUMBER('Данные 2st'!$JF$2:$JF$317))</f>
        <v>5</v>
      </c>
      <c r="OR41">
        <f>SUMPRODUCT(--('Данные 2st'!$Q$2:$Q$317=$A41),--ISNUMBER('Данные 2st'!$JG$2:$JG$317))</f>
        <v>5</v>
      </c>
      <c r="OS41">
        <f>SUMPRODUCT(--('Данные 2st'!$Q$2:$Q$317=$A41),--ISNUMBER('Данные 2st'!$JH$2:$JH$317))</f>
        <v>5</v>
      </c>
      <c r="OT41">
        <f>SUMPRODUCT(--('Данные 2st'!$Q$2:$Q$317=$A41),--ISNUMBER('Данные 2st'!$JI$2:$JI$317))</f>
        <v>5</v>
      </c>
      <c r="OU41">
        <f>SUMPRODUCT(--('Данные 2st'!$Q$2:$Q$317=$A41),--ISNUMBER('Данные 2st'!$JJ$2:$JJ$317))</f>
        <v>5</v>
      </c>
      <c r="OV41">
        <f>SUMPRODUCT(--('Данные 2st'!$Q$2:$Q$317=$A41),--ISNUMBER('Данные 2st'!$JK$2:$JK$317))</f>
        <v>5</v>
      </c>
      <c r="OW41">
        <f>SUMPRODUCT(--('Данные 2st'!$Q$2:$Q$317=$A41),--ISNUMBER('Данные 2st'!$JL$2:$JL$317))</f>
        <v>5</v>
      </c>
      <c r="OX41">
        <f>SUMPRODUCT(--('Данные 2st'!$Q$2:$Q$317=$A41),--ISNUMBER('Данные 2st'!$JM$2:$JM$317))</f>
        <v>5</v>
      </c>
      <c r="OY41">
        <f>SUMPRODUCT(--('Данные 2st'!$Q$2:$Q$317=$A41),--ISNUMBER('Данные 2st'!$JP$2:$JP$317))</f>
        <v>5</v>
      </c>
      <c r="OZ41">
        <f>SUMPRODUCT(--('Данные 2st'!$Q$2:$Q$317=$A41),--ISNUMBER('Данные 2st'!$JQ$2:$JQ$317))</f>
        <v>5</v>
      </c>
      <c r="PA41">
        <f>SUMPRODUCT(--('Данные 2st'!$Q$2:$Q$317=$A41),--ISNUMBER('Данные 2st'!$JR$2:$JR$317))</f>
        <v>5</v>
      </c>
      <c r="PB41">
        <f>SUMPRODUCT(--('Данные 2st'!$Q$2:$Q$317=$A41),--ISNUMBER('Данные 2st'!$JS$2:$JS$317))</f>
        <v>5</v>
      </c>
      <c r="PC41">
        <f>SUMPRODUCT(--('Данные 2st'!$Q$2:$Q$317=$A41),--ISNUMBER('Данные 2st'!$JT$2:$JT$317))</f>
        <v>5</v>
      </c>
      <c r="PD41">
        <f>SUMPRODUCT(--('Данные 2st'!$Q$2:$Q$317=$A41),--ISNUMBER('Данные 2st'!$JU$2:$JU$317))</f>
        <v>5</v>
      </c>
      <c r="PE41">
        <f>SUMPRODUCT(--('Данные 2st'!$Q$2:$Q$317=$A41),--ISNUMBER('Данные 2st'!$JV$2:$JV$317))</f>
        <v>5</v>
      </c>
      <c r="PF41">
        <f>SUMPRODUCT(--('Данные 2st'!$Q$2:$Q$317=$A41),--ISNUMBER('Данные 2st'!$JW$2:$JW$317))</f>
        <v>5</v>
      </c>
      <c r="PG41">
        <f>SUMPRODUCT(--('Данные 2st'!$Q$2:$Q$317=$A41),--ISNUMBER('Данные 2st'!$KF$2:$KF$317))</f>
        <v>5</v>
      </c>
      <c r="PH41">
        <f>SUMPRODUCT(--('Данные 2st'!$Q$2:$Q$317=$A41),--ISNUMBER('Данные 2st'!$KG$2:$KG$317))</f>
        <v>5</v>
      </c>
      <c r="PI41">
        <f>SUMPRODUCT(--('Данные 2st'!$Q$2:$Q$317=$A41),--ISNUMBER('Данные 2st'!$KM$2:$KM$317))</f>
        <v>5</v>
      </c>
      <c r="PJ41">
        <f>SUMPRODUCT(--('Данные 2st'!$Q$2:$Q$317=$A41),--ISNUMBER('Данные 2st'!$KN$2:$KN$317))</f>
        <v>5</v>
      </c>
      <c r="PK41">
        <f>SUMPRODUCT(--('Данные 2st'!$Q$2:$Q$317=$A41),--ISNUMBER('Данные 2st'!$KO$2:$KO$317))</f>
        <v>5</v>
      </c>
      <c r="PL41">
        <f>SUMPRODUCT(--('Данные 2st'!$Q$2:$Q$317=$A41),--ISNUMBER('Данные 2st'!$KP$2:$KP$317))</f>
        <v>5</v>
      </c>
      <c r="PM41">
        <f>SUMPRODUCT(--('Данные 2st'!$Q$2:$Q$317=$A41),--ISNUMBER('Данные 2st'!$KQ$2:$KQ$317))</f>
        <v>5</v>
      </c>
      <c r="PN41">
        <f>SUMPRODUCT(--('Данные 2st'!$Q$2:$Q$317=$A41),--ISNUMBER('Данные 2st'!$KR$2:$KR$317))</f>
        <v>5</v>
      </c>
      <c r="PO41">
        <f>SUMPRODUCT(--('Данные 2st'!$Q$2:$Q$317=$A41),--ISNUMBER('Данные 2st'!$KS$2:$KS$317))</f>
        <v>5</v>
      </c>
      <c r="PP41">
        <f>SUMPRODUCT(--('Данные 2st'!$Q$2:$Q$317=$A41),--ISNUMBER('Данные 2st'!$KT$2:$KT$317))</f>
        <v>5</v>
      </c>
      <c r="PQ41">
        <f>SUMPRODUCT(--('Данные 2st'!$Q$2:$Q$317=$A41),--ISNUMBER('Данные 2st'!$KU$2:$KU$317))</f>
        <v>5</v>
      </c>
      <c r="PR41">
        <f>SUMPRODUCT(--('Данные 2st'!$Q$2:$Q$317=$A41),--ISNUMBER('Данные 2st'!$KV$2:$KV$317))</f>
        <v>5</v>
      </c>
      <c r="PS41">
        <f>SUMPRODUCT(--('Данные 2st'!$Q$2:$Q$317=$A41),--ISNUMBER('Данные 2st'!$KW$2:$KW$317))</f>
        <v>5</v>
      </c>
      <c r="PT41">
        <f>SUMPRODUCT(--('Данные 2st'!$Q$2:$Q$317=$A41),--ISNUMBER('Данные 2st'!$KX$2:$KX$317))</f>
        <v>5</v>
      </c>
      <c r="PU41">
        <f>SUMPRODUCT(--('Данные 2st'!$Q$2:$Q$317=$A41),--ISNUMBER('Данные 2st'!$KY$2:$KY$317))</f>
        <v>5</v>
      </c>
      <c r="PV41">
        <f>SUMPRODUCT(--('Данные 2st'!$Q$2:$Q$317=$A41),--ISNUMBER('Данные 2st'!$KZ$2:$KZ$317))</f>
        <v>5</v>
      </c>
      <c r="PW41">
        <f>SUMPRODUCT(--('Данные 2st'!$Q$2:$Q$317=$A41),--ISNUMBER('Данные 2st'!$LA$2:$LA$317))</f>
        <v>5</v>
      </c>
      <c r="PX41">
        <f>SUMPRODUCT(--('Данные 2st'!$Q$2:$Q$317=$A41),--ISNUMBER('Данные 2st'!$LB$2:$LB$317))</f>
        <v>5</v>
      </c>
      <c r="PY41">
        <f>SUMPRODUCT(--('Данные 2st'!$Q$2:$Q$317=$A41),--ISNUMBER('Данные 2st'!$LC$2:$LC$317))</f>
        <v>5</v>
      </c>
      <c r="PZ41">
        <f>SUMPRODUCT(--('Данные 2st'!$Q$2:$Q$317=$A41),--ISNUMBER('Данные 2st'!$LD$2:$LD$317))</f>
        <v>5</v>
      </c>
      <c r="QA41">
        <f>SUMPRODUCT(--('Данные 2st'!$Q$2:$Q$317=$A41),--ISNUMBER('Данные 2st'!$LE$2:$LE$317))</f>
        <v>5</v>
      </c>
      <c r="QB41">
        <f>SUMPRODUCT(--('Данные 2st'!$Q$2:$Q$317=$A41),--ISNUMBER('Данные 2st'!$LF$2:$LF$317))</f>
        <v>5</v>
      </c>
      <c r="QC41">
        <f>SUMPRODUCT(--('Данные 2st'!$Q$2:$Q$317=$A41),--ISNUMBER('Данные 2st'!$LG$2:$LG$317))</f>
        <v>5</v>
      </c>
      <c r="QD41">
        <f>SUMPRODUCT(--('Данные 2st'!$Q$2:$Q$317=$A41),--ISNUMBER('Данные 2st'!$LH$2:$LH$317))</f>
        <v>5</v>
      </c>
      <c r="QE41">
        <f>SUMPRODUCT(--('Данные 2st'!$Q$2:$Q$317=$A41),--ISNUMBER('Данные 2st'!$LJ$2:$LJ$317))</f>
        <v>5</v>
      </c>
      <c r="QF41">
        <f>SUMPRODUCT(--('Данные 2st'!$Q$2:$Q$317=$A41),--ISNUMBER('Данные 2st'!$LK$2:$LK$317))</f>
        <v>5</v>
      </c>
      <c r="QG41">
        <f>SUMPRODUCT(--('Данные 2st'!$Q$2:$Q$317=$A41),--ISNUMBER('Данные 2st'!$LL$2:$LL$317))</f>
        <v>5</v>
      </c>
      <c r="QH41">
        <f>SUMPRODUCT(--('Данные 2st'!$Q$2:$Q$317=$A41),--ISNUMBER('Данные 2st'!$LM$2:$LM$317))</f>
        <v>5</v>
      </c>
      <c r="QI41">
        <f>SUMPRODUCT(--('Данные 2st'!$Q$2:$Q$317=$A41),--ISNUMBER('Данные 2st'!$LN$2:$LN$317))</f>
        <v>5</v>
      </c>
      <c r="QJ41">
        <f>SUMPRODUCT(--('Данные 2st'!$Q$2:$Q$317=$A41),--ISNUMBER('Данные 2st'!$LO$2:$LO$317))</f>
        <v>5</v>
      </c>
      <c r="QK41">
        <f>SUMPRODUCT(--('Данные 2st'!$Q$2:$Q$317=$A41),--ISNUMBER('Данные 2st'!$LP$2:$LP$317))</f>
        <v>5</v>
      </c>
      <c r="QL41">
        <f>SUMPRODUCT(--('Данные 2st'!$Q$2:$Q$317=$A41),--ISNUMBER('Данные 2st'!$LQ$2:$LQ$317))</f>
        <v>5</v>
      </c>
      <c r="QM41">
        <f>SUMPRODUCT(--('Данные 2st'!$Q$2:$Q$317=$A41),--ISNUMBER('Данные 2st'!$LW$2:$LW$317))</f>
        <v>5</v>
      </c>
      <c r="QN41">
        <f>SUMPRODUCT(--('Данные 2st'!$Q$2:$Q$317=$A41),--ISNUMBER('Данные 2st'!$LX$2:$LX$317))</f>
        <v>5</v>
      </c>
      <c r="QO41">
        <f>SUMPRODUCT(--('Данные 2st'!$Q$2:$Q$317=$A41),--ISNUMBER('Данные 2st'!$LY$2:$LY$317))</f>
        <v>5</v>
      </c>
      <c r="QP41">
        <f>SUMPRODUCT(--('Данные 2st'!$Q$2:$Q$317=$A41),--ISNUMBER('Данные 2st'!$LZ$2:$LZ$317))</f>
        <v>5</v>
      </c>
      <c r="QQ41">
        <f>SUMPRODUCT(--('Данные 2st'!$Q$2:$Q$317=$A41),--ISNUMBER('Данные 2st'!$MB$2:$MB$317))</f>
        <v>5</v>
      </c>
      <c r="QR41">
        <f>SUMPRODUCT(--('Данные 2st'!$Q$2:$Q$317=$A41),--ISNUMBER('Данные 2st'!$MG$2:$MG$317))</f>
        <v>5</v>
      </c>
      <c r="QS41">
        <f>SUMPRODUCT(--('Данные 2st'!$Q$2:$Q$317=$A41),--ISNUMBER('Данные 2st'!$MH$2:$MH$317))</f>
        <v>5</v>
      </c>
      <c r="QT41">
        <f>SUMPRODUCT(--('Данные 2st'!$Q$2:$Q$317=$A41),--ISNUMBER('Данные 2st'!$MI$2:$MI$317))</f>
        <v>5</v>
      </c>
      <c r="QU41">
        <f>SUMPRODUCT(--('Данные 2st'!$Q$2:$Q$317=$A41),--ISNUMBER('Данные 2st'!$MJ$2:$MJ$317))</f>
        <v>5</v>
      </c>
      <c r="QV41">
        <f>SUMPRODUCT(--('Данные 2st'!$Q$2:$Q$317=$A41),--ISNUMBER('Данные 2st'!$MK$2:$MK$317))</f>
        <v>5</v>
      </c>
      <c r="QW41">
        <f>SUMPRODUCT(--('Данные 2st'!$Q$2:$Q$317=$A41),--ISNUMBER('Данные 2st'!$MM$2:$MM$317))</f>
        <v>5</v>
      </c>
      <c r="QX41">
        <f>SUMPRODUCT(--('Данные 2st'!$Q$2:$Q$317=$A41),--ISNUMBER('Данные 2st'!$MQ$2:$MQ$317))</f>
        <v>0</v>
      </c>
      <c r="QY41">
        <f>SUMPRODUCT(--('Данные 2st'!$Q$2:$Q$317=$A41),--ISNUMBER('Данные 2st'!$MR$2:$MR$317))</f>
        <v>0</v>
      </c>
      <c r="QZ41">
        <f>SUMPRODUCT(--('Данные 2st'!$Q$2:$Q$317=$A41),--ISNUMBER('Данные 2st'!$MS$2:$MS$317))</f>
        <v>0</v>
      </c>
      <c r="RA41">
        <f>SUMPRODUCT(--('Данные 2st'!$Q$2:$Q$317=$A41),--ISNUMBER('Данные 2st'!$MT$2:$MT$317))</f>
        <v>0</v>
      </c>
      <c r="RB41">
        <f>SUMPRODUCT(--('Данные 2st'!$Q$2:$Q$317=$A41),--ISNUMBER('Данные 2st'!$MU$2:$MU$317))</f>
        <v>0</v>
      </c>
      <c r="RC41">
        <f>SUMPRODUCT(--('Данные 2st'!$Q$2:$Q$317=$A41),--ISNUMBER('Данные 2st'!$MV$2:$MV$317))</f>
        <v>0</v>
      </c>
      <c r="RD41">
        <f>SUMPRODUCT(--('Данные 2st'!$Q$2:$Q$317=$A41),--ISNUMBER('Данные 2st'!$MW$2:$MW$317))</f>
        <v>0</v>
      </c>
      <c r="RE41">
        <f>SUMPRODUCT(--('Данные 2st'!$Q$2:$Q$317=$A41),--ISNUMBER('Данные 2st'!$MX$2:$MX$317))</f>
        <v>0</v>
      </c>
      <c r="RF41">
        <f>SUMPRODUCT(--('Данные 2st'!$Q$2:$Q$317=$A41),--ISNUMBER('Данные 2st'!$MY$2:$MY$317))</f>
        <v>0</v>
      </c>
      <c r="RG41">
        <f>SUMPRODUCT(--('Данные 2st'!$Q$2:$Q$317=$A41),--ISNUMBER('Данные 2st'!$MZ$2:$MZ$317))</f>
        <v>0</v>
      </c>
      <c r="RH41">
        <f>SUMPRODUCT(--('Данные 2st'!$Q$2:$Q$317=$A41),--ISNUMBER('Данные 2st'!$NA$2:$NA$317))</f>
        <v>0</v>
      </c>
      <c r="RI41">
        <f>SUMPRODUCT(--('Данные 2st'!$Q$2:$Q$317=$A41),--ISNUMBER('Данные 2st'!$NB$2:$NB$317))</f>
        <v>0</v>
      </c>
      <c r="RJ41">
        <f>SUMPRODUCT(--('Данные 2st'!$Q$2:$Q$317=$A41),--ISNUMBER('Данные 2st'!$NC$2:$NC$317))</f>
        <v>0</v>
      </c>
      <c r="RK41">
        <f>SUMPRODUCT(--('Данные 2st'!$Q$2:$Q$317=$A41),--ISNUMBER('Данные 2st'!$ND$2:$ND$317))</f>
        <v>0</v>
      </c>
      <c r="RL41">
        <f>SUMPRODUCT(--('Данные 2st'!$Q$2:$Q$317=$A41),--ISNUMBER('Данные 2st'!$NE$2:$NE$317))</f>
        <v>0</v>
      </c>
      <c r="RM41">
        <f>SUMPRODUCT(--('Данные 2st'!$Q$2:$Q$317=$A41),--ISNUMBER('Данные 2st'!$NF$2:$NF$317))</f>
        <v>0</v>
      </c>
      <c r="RN41">
        <f>SUMPRODUCT(--('Данные 2st'!$Q$2:$Q$317=$A41),--ISNUMBER('Данные 2st'!$NG$2:$NG$317))</f>
        <v>0</v>
      </c>
      <c r="RO41">
        <f>SUMPRODUCT(--('Данные 2st'!$Q$2:$Q$317=$A41),--ISNUMBER('Данные 2st'!$NH$2:$NH$317))</f>
        <v>0</v>
      </c>
      <c r="RP41">
        <f>SUMPRODUCT(--('Данные 2st'!$Q$2:$Q$317=$A41),--ISNUMBER('Данные 2st'!$NJ$2:$NJ$317))</f>
        <v>0</v>
      </c>
      <c r="RQ41">
        <f>SUMPRODUCT(--('Данные 2st'!$Q$2:$Q$317=$A41),--ISNUMBER('Данные 2st'!$NK$2:$NK$317))</f>
        <v>0</v>
      </c>
      <c r="RR41">
        <f>SUMPRODUCT(--('Данные 2st'!$Q$2:$Q$317=$A41),--ISNUMBER('Данные 2st'!$NM$2:$NM$317))</f>
        <v>0</v>
      </c>
      <c r="RS41">
        <f>SUMPRODUCT(--('Данные 2st'!$Q$2:$Q$317=$A41),--ISNUMBER('Данные 2st'!$NN$2:$NN$317))</f>
        <v>0</v>
      </c>
      <c r="RT41">
        <f>SUMPRODUCT(--('Данные 2st'!$Q$2:$Q$317=$A41),--ISNUMBER('Данные 2st'!$NO$2:$NO$317))</f>
        <v>0</v>
      </c>
      <c r="RU41">
        <f>SUMPRODUCT(--('Данные 2st'!$Q$2:$Q$317=$A41),--ISNUMBER('Данные 2st'!$NP$2:$NP$317))</f>
        <v>0</v>
      </c>
      <c r="RV41">
        <f>SUMPRODUCT(--('Данные 2st'!$Q$2:$Q$317=$A41),--ISNUMBER('Данные 2st'!$NQ$2:$NQ$317))</f>
        <v>0</v>
      </c>
      <c r="RW41">
        <f>SUMPRODUCT(--('Данные 2st'!$Q$2:$Q$317=$A41),--ISNUMBER('Данные 2st'!$NR$2:$NR$317))</f>
        <v>0</v>
      </c>
      <c r="RX41">
        <f>SUMPRODUCT(--('Данные 2st'!$Q$2:$Q$317=$A41),--ISNUMBER('Данные 2st'!$NS$2:$NS$317))</f>
        <v>0</v>
      </c>
      <c r="RY41">
        <f>SUMPRODUCT(--('Данные 2st'!$Q$2:$Q$317=$A41),--ISNUMBER('Данные 2st'!$NT$2:$NT$317))</f>
        <v>0</v>
      </c>
      <c r="RZ41">
        <f>SUMPRODUCT(--('Данные 2st'!$Q$2:$Q$317=$A41),--ISNUMBER('Данные 2st'!$OK$2:$OK$317))</f>
        <v>5</v>
      </c>
      <c r="SA41">
        <f>SUMPRODUCT(--('Данные 2st'!$Q$2:$Q$317=$A41),--ISNUMBER('Данные 2st'!$OL$2:$OL$317))</f>
        <v>5</v>
      </c>
      <c r="SB41">
        <f>SUMPRODUCT(--('Данные 2st'!$Q$2:$Q$317=$A41),--ISNUMBER('Данные 2st'!$ON$2:$ON$317))</f>
        <v>5</v>
      </c>
      <c r="SC41">
        <f>SUMPRODUCT(--('Данные 2st'!$Q$2:$Q$317=$A41),--ISNUMBER('Данные 2st'!$OO$2:$OO$317))</f>
        <v>5</v>
      </c>
      <c r="SD41">
        <f>SUMPRODUCT(--('Данные 2st'!$Q$2:$Q$317=$A41),--ISNUMBER('Данные 2st'!$OP$2:$OP$317))</f>
        <v>5</v>
      </c>
      <c r="SE41">
        <f>SUMPRODUCT(--('Данные 2st'!$Q$2:$Q$317=$A41),--ISNUMBER('Данные 2st'!$OQ$2:$OQ$317))</f>
        <v>5</v>
      </c>
      <c r="SF41">
        <f>SUMPRODUCT(--('Данные 2st'!$Q$2:$Q$317=$A41),--ISNUMBER('Данные 2st'!$OS$2:$OS$317))</f>
        <v>5</v>
      </c>
      <c r="SG41">
        <f>SUMPRODUCT(--('Данные 2st'!$Q$2:$Q$317=$A41),--ISNUMBER('Данные 2st'!$OT$2:$OT$317))</f>
        <v>5</v>
      </c>
      <c r="SH41">
        <f>SUMPRODUCT(--('Данные 2st'!$Q$2:$Q$317=$A41),--ISNUMBER('Данные 2st'!$OU$2:$OU$317))</f>
        <v>5</v>
      </c>
      <c r="SI41">
        <f>SUMPRODUCT(--('Данные 2st'!$Q$2:$Q$317=$A41),--ISNUMBER('Данные 2st'!$OV$2:$OV$317))</f>
        <v>5</v>
      </c>
      <c r="SJ41">
        <f>SUMPRODUCT(--('Данные 2st'!$Q$2:$Q$317=$A41),--ISNUMBER('Данные 2st'!$OX$2:$OX$317))</f>
        <v>5</v>
      </c>
      <c r="SK41">
        <f>SUMPRODUCT(--('Данные 2st'!$Q$2:$Q$317=$A41),--ISNUMBER('Данные 2st'!$OY$2:$OY$317))</f>
        <v>5</v>
      </c>
      <c r="SL41">
        <f>SUMPRODUCT(--('Данные 2st'!$Q$2:$Q$317=$A41),--ISNUMBER('Данные 2st'!$OZ$2:$OZ$317))</f>
        <v>5</v>
      </c>
      <c r="SM41">
        <f>SUMPRODUCT(--('Данные 2st'!$Q$2:$Q$317=$A41),--ISNUMBER('Данные 2st'!$PA$2:$PA$317))</f>
        <v>5</v>
      </c>
      <c r="SN41">
        <f>SUMPRODUCT(--('Данные 2st'!$Q$2:$Q$317=$A41),--ISNUMBER('Данные 2st'!$PC$2:$PC$317))</f>
        <v>5</v>
      </c>
      <c r="SO41">
        <f>SUMPRODUCT(--('Данные 2st'!$Q$2:$Q$317=$A41),--ISNUMBER('Данные 2st'!$PD$2:$PD$317))</f>
        <v>5</v>
      </c>
      <c r="SP41">
        <f>SUMPRODUCT(--('Данные 2st'!$Q$2:$Q$317=$A41),--ISNUMBER('Данные 2st'!$PF$2:$PF$317))</f>
        <v>5</v>
      </c>
      <c r="SQ41">
        <f>SUMPRODUCT(--('Данные 2st'!$Q$2:$Q$317=$A41),--ISNUMBER('Данные 2st'!$PG$2:$PG$317))</f>
        <v>5</v>
      </c>
      <c r="SR41">
        <f>SUMPRODUCT(--('Данные 2st'!$Q$2:$Q$317=$A41),--ISNUMBER('Данные 2st'!$PH$2:$PH$317))</f>
        <v>5</v>
      </c>
      <c r="SS41">
        <f>SUMPRODUCT(--('Данные 2st'!$Q$2:$Q$317=$A41),--ISNUMBER('Данные 2st'!$PI$2:$PI$317))</f>
        <v>5</v>
      </c>
      <c r="ST41">
        <f>SUMPRODUCT(--('Данные 2st'!$Q$2:$Q$317=$A41),--ISNUMBER('Данные 2st'!$PJ$2:$PJ$317))</f>
        <v>5</v>
      </c>
      <c r="SU41">
        <f>SUMPRODUCT(--('Данные 2st'!$Q$2:$Q$317=$A41),--ISNUMBER('Данные 2st'!$PK$2:$PK$317))</f>
        <v>5</v>
      </c>
      <c r="SV41">
        <f>SUMPRODUCT(--('Данные 2st'!$Q$2:$Q$317=$A41),--ISNUMBER('Данные 2st'!$PL$2:$PL$317))</f>
        <v>5</v>
      </c>
      <c r="SW41">
        <f>SUMPRODUCT(--('Данные 2st'!$Q$2:$Q$317=$A41),--ISNUMBER('Данные 2st'!$PM$2:$PM$317))</f>
        <v>5</v>
      </c>
      <c r="SX41">
        <f>SUMPRODUCT(--('Данные 2st'!$Q$2:$Q$317=$A41),--ISNUMBER('Данные 2st'!$PN$2:$PN$317))</f>
        <v>5</v>
      </c>
      <c r="SY41">
        <f>SUMPRODUCT(--('Данные 2st'!$Q$2:$Q$317=$A41),--ISNUMBER('Данные 2st'!$PO$2:$PO$317))</f>
        <v>4</v>
      </c>
      <c r="SZ41">
        <f>SUMPRODUCT(--('Данные 2st'!$Q$2:$Q$317=$A41),--ISNUMBER('Данные 2st'!$PP$2:$PP$317))</f>
        <v>5</v>
      </c>
      <c r="TA41">
        <f>SUMPRODUCT(--('Данные 2st'!$Q$2:$Q$317=$A41),--ISNUMBER('Данные 2st'!$PQ$2:$PQ$317))</f>
        <v>5</v>
      </c>
      <c r="TB41">
        <f>SUMPRODUCT(--('Данные 2st'!$Q$2:$Q$317=$A41),--ISNUMBER('Данные 2st'!$PR$2:$PR$317))</f>
        <v>5</v>
      </c>
      <c r="TC41">
        <f>SUMPRODUCT(--('Данные 2st'!$Q$2:$Q$317=$A41),--ISNUMBER('Данные 2st'!$PS$2:$PS$317))</f>
        <v>5</v>
      </c>
      <c r="TD41">
        <f>SUMPRODUCT(--('Данные 2st'!$Q$2:$Q$317=$A41),--ISNUMBER('Данные 2st'!$PT$2:$PT$317))</f>
        <v>5</v>
      </c>
      <c r="TE41">
        <f>SUMPRODUCT(--('Данные 2st'!$Q$2:$Q$317=$A41),--ISNUMBER('Данные 2st'!$PU$2:$PU$317))</f>
        <v>5</v>
      </c>
      <c r="TF41">
        <f>SUMPRODUCT(--('Данные 2st'!$Q$2:$Q$317=$A41),--ISNUMBER('Данные 2st'!$PX$2:$PX$317))</f>
        <v>5</v>
      </c>
      <c r="TG41">
        <f>SUMPRODUCT(--('Данные 2st'!$Q$2:$Q$317=$A41),--ISNUMBER('Данные 2st'!$PY$2:$PY$317))</f>
        <v>5</v>
      </c>
      <c r="TH41">
        <f>SUMPRODUCT(--('Данные 2st'!$Q$2:$Q$317=$A41),--ISNUMBER('Данные 2st'!$PZ$2:$PZ$317))</f>
        <v>5</v>
      </c>
      <c r="TI41">
        <f>SUMPRODUCT(--('Данные 2st'!$Q$2:$Q$317=$A41),--ISNUMBER('Данные 2st'!$QA$2:$QA$317))</f>
        <v>5</v>
      </c>
      <c r="TJ41">
        <f>SUMPRODUCT(--('Данные 2st'!$Q$2:$Q$317=$A41),--ISNUMBER('Данные 2st'!$QB$2:$QB$317))</f>
        <v>5</v>
      </c>
      <c r="TK41">
        <f>SUMPRODUCT(--('Данные 2st'!$Q$2:$Q$317=$A41),--ISNUMBER('Данные 2st'!$QC$2:$QC$317))</f>
        <v>5</v>
      </c>
      <c r="TL41">
        <f>SUMPRODUCT(--('Данные 2st'!$Q$2:$Q$317=$A41),--ISNUMBER('Данные 2st'!$QD$2:$QD$317))</f>
        <v>5</v>
      </c>
      <c r="TM41">
        <f>SUMPRODUCT(--('Данные 2st'!$Q$2:$Q$317=$A41),--ISNUMBER('Данные 2st'!$QE$2:$QE$317))</f>
        <v>5</v>
      </c>
      <c r="TN41">
        <f>SUMPRODUCT(--('Данные 2st'!$Q$2:$Q$317=$A41),--ISNUMBER('Данные 2st'!$QF$2:$QF$317))</f>
        <v>5</v>
      </c>
      <c r="TO41">
        <f>SUMPRODUCT(--('Данные 2st'!$Q$2:$Q$317=$A41),--ISNUMBER('Данные 2st'!$QG$2:$QG$317))</f>
        <v>5</v>
      </c>
      <c r="TP41">
        <f>SUMPRODUCT(--('Данные 2st'!$Q$2:$Q$317=$A41),--ISNUMBER('Данные 2st'!$QH$2:$QH$317))</f>
        <v>5</v>
      </c>
      <c r="TQ41">
        <f>SUMPRODUCT(--('Данные 2st'!$Q$2:$Q$317=$A41),--ISNUMBER('Данные 2st'!$QI$2:$QI$317))</f>
        <v>5</v>
      </c>
      <c r="TR41">
        <f>SUMPRODUCT(--('Данные 2st'!$Q$2:$Q$317=$A41),--ISNUMBER('Данные 2st'!$QJ$2:$QJ$317))</f>
        <v>5</v>
      </c>
      <c r="TS41">
        <f>SUMPRODUCT(--('Данные 2st'!$Q$2:$Q$317=$A41),--ISNUMBER('Данные 2st'!$QK$2:$QK$317))</f>
        <v>5</v>
      </c>
      <c r="TT41">
        <f>SUMPRODUCT(--('Данные 2st'!$Q$2:$Q$317=$A41),--ISNUMBER('Данные 2st'!$QL$2:$QL$317))</f>
        <v>5</v>
      </c>
      <c r="TU41">
        <f>SUMPRODUCT(--('Данные 2st'!$Q$2:$Q$317=$A41),--ISNUMBER('Данные 2st'!$QM$2:$QM$317))</f>
        <v>5</v>
      </c>
      <c r="TV41">
        <f>SUMPRODUCT(--('Данные 2st'!$Q$2:$Q$317=$A41),--ISNUMBER('Данные 2st'!$QN$2:$QN$317))</f>
        <v>5</v>
      </c>
      <c r="TW41">
        <f>SUMPRODUCT(--('Данные 2st'!$Q$2:$Q$317=$A41),--ISNUMBER('Данные 2st'!$QQ$2:$QQ$317))</f>
        <v>5</v>
      </c>
      <c r="TX41">
        <f>SUMPRODUCT(--('Данные 2st'!$Q$2:$Q$317=$A41),--ISNUMBER('Данные 2st'!$QS$2:$QS$317))</f>
        <v>5</v>
      </c>
      <c r="TY41">
        <f>SUMPRODUCT(--('Данные 2st'!$Q$2:$Q$317=$A41),--ISNUMBER('Данные 2st'!$QT$2:$QT$317))</f>
        <v>5</v>
      </c>
    </row>
    <row r="42" spans="1:545" ht="32" customHeight="1">
      <c r="A42" s="11" t="str">
        <f>'По размерам'!A42</f>
        <v>225/70R16</v>
      </c>
      <c r="G42">
        <f>SUMPRODUCT(--('Данные 1st'!$S$2:$S$317=$A42),--ISNUMBER('Данные 1st'!$AE$2:$AE$317))</f>
        <v>1</v>
      </c>
      <c r="H42">
        <f>SUMPRODUCT(--('Данные 1st'!$S$2:$S$317=$A42),--ISNUMBER('Данные 1st'!$AF$2:$AF$317))</f>
        <v>1</v>
      </c>
      <c r="I42">
        <f>SUMPRODUCT(--('Данные 1st'!$S$2:$S$317=$A42),--ISNUMBER('Данные 1st'!$AJ$2:$AJ$317))</f>
        <v>1</v>
      </c>
      <c r="J42">
        <f>SUMPRODUCT(--('Данные 1st'!$S$2:$S$317=$A42),--ISNUMBER('Данные 1st'!$AL$2:$AL$317))</f>
        <v>1</v>
      </c>
      <c r="K42">
        <f>SUMPRODUCT(--('Данные 1st'!$S$2:$S$317=$A42),--ISNUMBER('Данные 1st'!$AR$2:$AR$317))</f>
        <v>1</v>
      </c>
      <c r="L42">
        <f>SUMPRODUCT(--('Данные 1st'!$S$2:$S$317=$A42),--ISNUMBER('Данные 1st'!$AS$2:$AS$317))</f>
        <v>1</v>
      </c>
      <c r="M42">
        <f>SUMPRODUCT(--('Данные 1st'!$S$2:$S$317=$A42),--ISNUMBER('Данные 1st'!$AY$2:$AY$317))</f>
        <v>1</v>
      </c>
      <c r="N42">
        <f>SUMPRODUCT(--('Данные 1st'!$S$2:$S$317=$A42),--ISNUMBER('Данные 1st'!$AZ$2:$AZ$317))</f>
        <v>1</v>
      </c>
      <c r="O42">
        <f>SUMPRODUCT(--('Данные 1st'!$S$2:$S$317=$A42),--ISNUMBER('Данные 1st'!$BF$2:$BF$317))</f>
        <v>1</v>
      </c>
      <c r="P42">
        <f>SUMPRODUCT(--('Данные 1st'!$S$2:$S$317=$A42),--ISNUMBER('Данные 1st'!$BG$2:$BG$317))</f>
        <v>1</v>
      </c>
      <c r="Q42">
        <f>SUMPRODUCT(--('Данные 1st'!$S$2:$S$317=$A42),--ISNUMBER('Данные 1st'!$BM$2:$BM$317))</f>
        <v>0</v>
      </c>
      <c r="R42">
        <f>SUMPRODUCT(--('Данные 1st'!$S$2:$S$317=$A42),--ISNUMBER('Данные 1st'!$BN$2:$BN$317))</f>
        <v>1</v>
      </c>
      <c r="S42">
        <f>SUMPRODUCT(--('Данные 1st'!$S$2:$S$317=$A42),--ISNUMBER('Данные 1st'!$BT$2:$BT$317))</f>
        <v>1</v>
      </c>
      <c r="T42">
        <f>SUMPRODUCT(--('Данные 1st'!$S$2:$S$317=$A42),--ISNUMBER('Данные 1st'!$BU$2:$BU$317))</f>
        <v>1</v>
      </c>
      <c r="U42">
        <f>SUMPRODUCT(--('Данные 1st'!$S$2:$S$317=$A42),--ISNUMBER('Данные 1st'!$BW$2:$BW$317))</f>
        <v>1</v>
      </c>
      <c r="V42">
        <f>SUMPRODUCT(--('Данные 1st'!$S$2:$S$317=$A42),--ISNUMBER('Данные 1st'!$BX$2:$BX$317))</f>
        <v>1</v>
      </c>
      <c r="W42">
        <f>SUMPRODUCT(--('Данные 1st'!$S$2:$S$317=$A42),--ISNUMBER('Данные 1st'!$BZ$2:$BZ$317))</f>
        <v>1</v>
      </c>
      <c r="X42">
        <f>SUMPRODUCT(--('Данные 1st'!$S$2:$S$317=$A42),--ISNUMBER('Данные 1st'!$CA$2:$CA$317))</f>
        <v>1</v>
      </c>
      <c r="Y42">
        <f>SUMPRODUCT(--('Данные 1st'!$S$2:$S$317=$A42),--ISNUMBER('Данные 1st'!$CD$2:$CD$317))</f>
        <v>1</v>
      </c>
      <c r="Z42">
        <f>SUMPRODUCT(--('Данные 1st'!$S$2:$S$317=$A42),--ISNUMBER('Данные 1st'!$CF$2:$CF$317))</f>
        <v>1</v>
      </c>
      <c r="AA42">
        <f>SUMPRODUCT(--('Данные 1st'!$S$2:$S$317=$A42),--ISNUMBER('Данные 1st'!$CI$2:$CI$317))</f>
        <v>1</v>
      </c>
      <c r="AB42">
        <f>SUMPRODUCT(--('Данные 1st'!$S$2:$S$317=$A42),--ISNUMBER('Данные 1st'!$CJ$2:$CJ$317))</f>
        <v>1</v>
      </c>
      <c r="AC42">
        <f>SUMPRODUCT(--('Данные 1st'!$S$2:$S$317=$A42),--ISNUMBER('Данные 1st'!$CK$2:$CK$317))</f>
        <v>1</v>
      </c>
      <c r="AD42">
        <f>SUMPRODUCT(--('Данные 1st'!$S$2:$S$317=$A42),--ISNUMBER('Данные 1st'!$CL$2:$CL$317))</f>
        <v>1</v>
      </c>
      <c r="AE42">
        <f>SUMPRODUCT(--('Данные 1st'!$S$2:$S$317=$A42),--ISNUMBER('Данные 1st'!$CM$2:$CM$317))</f>
        <v>1</v>
      </c>
      <c r="AF42">
        <f>SUMPRODUCT(--('Данные 1st'!$S$2:$S$317=$A42),--ISNUMBER('Данные 1st'!$CT$2:$CT$317))</f>
        <v>1</v>
      </c>
      <c r="AG42">
        <f>SUMPRODUCT(--('Данные 1st'!$S$2:$S$317=$A42),--ISNUMBER('Данные 1st'!$CU$2:$CU$317))</f>
        <v>1</v>
      </c>
      <c r="AH42">
        <f>SUMPRODUCT(--('Данные 1st'!$S$2:$S$317=$A42),--ISNUMBER('Данные 1st'!$CV$2:$CV$317))</f>
        <v>1</v>
      </c>
      <c r="AI42">
        <f>SUMPRODUCT(--('Данные 1st'!$S$2:$S$317=$A42),--ISNUMBER('Данные 1st'!$CW$2:$CW$317))</f>
        <v>1</v>
      </c>
      <c r="AJ42">
        <f>SUMPRODUCT(--('Данные 1st'!$S$2:$S$317=$A42),--ISNUMBER('Данные 1st'!$CX$2:$CX$317))</f>
        <v>1</v>
      </c>
      <c r="AK42">
        <f>SUMPRODUCT(--('Данные 1st'!$S$2:$S$317=$A42),--ISNUMBER('Данные 1st'!$CZ$2:$CZ$317))</f>
        <v>1</v>
      </c>
      <c r="AL42">
        <f>SUMPRODUCT(--('Данные 1st'!$S$2:$S$317=$A42),--ISNUMBER('Данные 1st'!$DA$2:$DA$317))</f>
        <v>1</v>
      </c>
      <c r="AM42">
        <f>SUMPRODUCT(--('Данные 1st'!$S$2:$S$317=$A42),--ISNUMBER('Данные 1st'!$DB$2:$DB$317))</f>
        <v>1</v>
      </c>
      <c r="AN42">
        <f>SUMPRODUCT(--('Данные 1st'!$S$2:$S$317=$A42),--ISNUMBER('Данные 1st'!$DC$2:$DC$317))</f>
        <v>1</v>
      </c>
      <c r="AO42">
        <f>SUMPRODUCT(--('Данные 1st'!$S$2:$S$317=$A42),--ISNUMBER('Данные 1st'!$DD$2:$DD$317))</f>
        <v>1</v>
      </c>
      <c r="AP42">
        <f>SUMPRODUCT(--('Данные 1st'!$S$2:$S$317=$A42),--ISNUMBER('Данные 1st'!$DF$2:$DF$317))</f>
        <v>1</v>
      </c>
      <c r="AQ42">
        <f>SUMPRODUCT(--('Данные 1st'!$S$2:$S$317=$A42),--ISNUMBER('Данные 1st'!$DG$2:$DG$317))</f>
        <v>1</v>
      </c>
      <c r="AR42">
        <f>SUMPRODUCT(--('Данные 1st'!$S$2:$S$317=$A42),--ISNUMBER('Данные 1st'!$DH$2:$DH$317))</f>
        <v>1</v>
      </c>
      <c r="AS42">
        <f>SUMPRODUCT(--('Данные 1st'!$S$2:$S$317=$A42),--ISNUMBER('Данные 1st'!$DI$2:$DI$317))</f>
        <v>1</v>
      </c>
      <c r="AT42">
        <f>SUMPRODUCT(--('Данные 1st'!$S$2:$S$317=$A42),--ISNUMBER('Данные 1st'!$DJ$2:$DJ$317))</f>
        <v>1</v>
      </c>
      <c r="AU42">
        <f>SUMPRODUCT(--('Данные 1st'!$S$2:$S$317=$A42),--ISNUMBER('Данные 1st'!$DL$2:$DL$317))</f>
        <v>1</v>
      </c>
      <c r="AV42">
        <f>SUMPRODUCT(--('Данные 1st'!$S$2:$S$317=$A42),--ISNUMBER('Данные 1st'!$DM$2:$DM$317))</f>
        <v>1</v>
      </c>
      <c r="AW42">
        <f>SUMPRODUCT(--('Данные 1st'!$S$2:$S$317=$A42),--ISNUMBER('Данные 1st'!$DN$2:$DN$317))</f>
        <v>1</v>
      </c>
      <c r="AX42">
        <f>SUMPRODUCT(--('Данные 1st'!$S$2:$S$317=$A42),--ISNUMBER('Данные 1st'!$DO$2:$DO$317))</f>
        <v>1</v>
      </c>
      <c r="AY42">
        <f>SUMPRODUCT(--('Данные 1st'!$S$2:$S$317=$A42),--ISNUMBER('Данные 1st'!$DP$2:$DP$317))</f>
        <v>1</v>
      </c>
      <c r="AZ42">
        <f>SUMPRODUCT(--('Данные 1st'!$S$2:$S$317=$A42),--ISNUMBER('Данные 1st'!$DR$2:$DR$317))</f>
        <v>0</v>
      </c>
      <c r="BA42">
        <f>SUMPRODUCT(--('Данные 1st'!$S$2:$S$317=$A42),--ISNUMBER('Данные 1st'!$DS$2:$DS$317))</f>
        <v>0</v>
      </c>
      <c r="BB42">
        <f>SUMPRODUCT(--('Данные 1st'!$S$2:$S$317=$A42),--ISNUMBER('Данные 1st'!$DT$2:$DT$317))</f>
        <v>0</v>
      </c>
      <c r="BC42">
        <f>SUMPRODUCT(--('Данные 1st'!$S$2:$S$317=$A42),--ISNUMBER('Данные 1st'!$DU$2:$DU$317))</f>
        <v>0</v>
      </c>
      <c r="BD42">
        <f>SUMPRODUCT(--('Данные 1st'!$S$2:$S$317=$A42),--ISNUMBER('Данные 1st'!$DV$2:$DV$317))</f>
        <v>0</v>
      </c>
      <c r="BE42">
        <f>SUMPRODUCT(--('Данные 1st'!$S$2:$S$317=$A42),--ISNUMBER('Данные 1st'!$DX$2:$DX$317))</f>
        <v>1</v>
      </c>
      <c r="BF42">
        <f>SUMPRODUCT(--('Данные 1st'!$S$2:$S$317=$A42),--ISNUMBER('Данные 1st'!$EA$2:$EA$317))</f>
        <v>1</v>
      </c>
      <c r="BG42">
        <f>SUMPRODUCT(--('Данные 1st'!$S$2:$S$317=$A42),--ISNUMBER('Данные 1st'!$EB$2:$EB$317))</f>
        <v>1</v>
      </c>
      <c r="BH42">
        <f>SUMPRODUCT(--('Данные 1st'!$S$2:$S$317=$A42),--ISNUMBER('Данные 1st'!$ED$2:$ED$317))</f>
        <v>1</v>
      </c>
      <c r="BI42">
        <f>SUMPRODUCT(--('Данные 1st'!$S$2:$S$317=$A42),--ISNUMBER('Данные 1st'!$EE$2:$EE$317))</f>
        <v>1</v>
      </c>
      <c r="BJ42">
        <f>SUMPRODUCT(--('Данные 1st'!$S$2:$S$317=$A42),--ISNUMBER('Данные 1st'!$EG$2:$EG$317))</f>
        <v>1</v>
      </c>
      <c r="BK42">
        <f>SUMPRODUCT(--('Данные 1st'!$S$2:$S$317=$A42),--ISNUMBER('Данные 1st'!$EH$2:$EH$317))</f>
        <v>1</v>
      </c>
      <c r="BL42">
        <f>SUMPRODUCT(--('Данные 1st'!$S$2:$S$317=$A42),--ISNUMBER('Данные 1st'!$EJ$2:$EJ$317))</f>
        <v>1</v>
      </c>
      <c r="BM42">
        <f>SUMPRODUCT(--('Данные 1st'!$S$2:$S$317=$A42),--ISNUMBER('Данные 1st'!$EK$2:$EK$317))</f>
        <v>1</v>
      </c>
      <c r="BN42">
        <f>SUMPRODUCT(--('Данные 1st'!$S$2:$S$317=$A42),--ISNUMBER('Данные 1st'!$EN$2:$EN$317))</f>
        <v>1</v>
      </c>
      <c r="BO42">
        <f>SUMPRODUCT(--('Данные 1st'!$S$2:$S$317=$A42),--ISNUMBER('Данные 1st'!$EQ$2:$EQ$317))</f>
        <v>1</v>
      </c>
      <c r="BP42">
        <f>SUMPRODUCT(--('Данные 1st'!$S$2:$S$317=$A42),--ISNUMBER('Данные 1st'!$ER$2:$ER$317))</f>
        <v>1</v>
      </c>
      <c r="BQ42">
        <f>SUMPRODUCT(--('Данные 1st'!$S$2:$S$317=$A42),--ISNUMBER('Данные 1st'!$ES$2:$ES$317))</f>
        <v>1</v>
      </c>
      <c r="BR42">
        <f>SUMPRODUCT(--('Данные 1st'!$S$2:$S$317=$A42),--ISNUMBER('Данные 1st'!$ET$2:$ET$317))</f>
        <v>1</v>
      </c>
      <c r="BS42">
        <f>SUMPRODUCT(--('Данные 1st'!$S$2:$S$317=$A42),--ISNUMBER('Данные 1st'!$EU$2:$EU$317))</f>
        <v>1</v>
      </c>
      <c r="BT42">
        <f>SUMPRODUCT(--('Данные 1st'!$S$2:$S$317=$A42),--ISNUMBER('Данные 1st'!$EV$2:$EV$317))</f>
        <v>1</v>
      </c>
      <c r="BU42">
        <f>SUMPRODUCT(--('Данные 1st'!$S$2:$S$317=$A42),--ISNUMBER('Данные 1st'!$EX$2:$EX$317))</f>
        <v>1</v>
      </c>
      <c r="BV42">
        <f>SUMPRODUCT(--('Данные 1st'!$S$2:$S$317=$A42),--ISNUMBER('Данные 1st'!$EY$2:$EY$317))</f>
        <v>1</v>
      </c>
      <c r="BW42">
        <f>SUMPRODUCT(--('Данные 1st'!$S$2:$S$317=$A42),--ISNUMBER('Данные 1st'!$EZ$2:$EZ$317))</f>
        <v>1</v>
      </c>
      <c r="BX42">
        <f>SUMPRODUCT(--('Данные 1st'!$S$2:$S$317=$A42),--ISNUMBER('Данные 1st'!$FA$2:$FA$317))</f>
        <v>1</v>
      </c>
      <c r="BY42">
        <f>SUMPRODUCT(--('Данные 1st'!$S$2:$S$317=$A42),--ISNUMBER('Данные 1st'!$FB$2:$FB$317))</f>
        <v>1</v>
      </c>
      <c r="BZ42">
        <f>SUMPRODUCT(--('Данные 1st'!$S$2:$S$317=$A42),--ISNUMBER('Данные 1st'!$FC$2:$FC$317))</f>
        <v>1</v>
      </c>
      <c r="CA42">
        <f>SUMPRODUCT(--('Данные 1st'!$S$2:$S$317=$A42),--ISNUMBER('Данные 1st'!$FE$2:$FE$317))</f>
        <v>1</v>
      </c>
      <c r="CB42">
        <f>SUMPRODUCT(--('Данные 1st'!$S$2:$S$317=$A42),--ISNUMBER('Данные 1st'!$FF$2:$FF$317))</f>
        <v>1</v>
      </c>
      <c r="CC42">
        <f>SUMPRODUCT(--('Данные 1st'!$S$2:$S$317=$A42),--ISNUMBER('Данные 1st'!$FI$2:$FI$317))</f>
        <v>1</v>
      </c>
      <c r="CD42">
        <f>SUMPRODUCT(--('Данные 1st'!$S$2:$S$317=$A42),--ISNUMBER('Данные 1st'!$FL$2:$FL$317))</f>
        <v>1</v>
      </c>
      <c r="CE42">
        <f>SUMPRODUCT(--('Данные 1st'!$S$2:$S$317=$A42),--ISNUMBER('Данные 1st'!$FM$2:$FM$317))</f>
        <v>1</v>
      </c>
      <c r="CF42">
        <f>SUMPRODUCT(--('Данные 1st'!$S$2:$S$317=$A42),--ISNUMBER('Данные 1st'!$FN$2:$FN$317))</f>
        <v>1</v>
      </c>
      <c r="CG42">
        <f>SUMPRODUCT(--('Данные 1st'!$S$2:$S$317=$A42),--ISNUMBER('Данные 1st'!$FO$2:$FO$317))</f>
        <v>1</v>
      </c>
      <c r="CH42">
        <f>SUMPRODUCT(--('Данные 1st'!$S$2:$S$317=$A42),--ISNUMBER('Данные 1st'!$FP$2:$FP$317))</f>
        <v>1</v>
      </c>
      <c r="CI42">
        <f>SUMPRODUCT(--('Данные 1st'!$S$2:$S$317=$A42),--ISNUMBER('Данные 1st'!$FS$2:$FS$317))</f>
        <v>0</v>
      </c>
      <c r="CJ42">
        <f>SUMPRODUCT(--('Данные 1st'!$S$2:$S$317=$A42),--ISNUMBER('Данные 1st'!$FT$2:$FT$317))</f>
        <v>0</v>
      </c>
      <c r="CK42">
        <f>SUMPRODUCT(--('Данные 1st'!$S$2:$S$317=$A42),--ISNUMBER('Данные 1st'!$FU$2:$FU$317))</f>
        <v>0</v>
      </c>
      <c r="CL42">
        <f>SUMPRODUCT(--('Данные 1st'!$S$2:$S$317=$A42),--ISNUMBER('Данные 1st'!$FV$2:$FV$317))</f>
        <v>0</v>
      </c>
      <c r="CM42">
        <f>SUMPRODUCT(--('Данные 1st'!$S$2:$S$317=$A42),--ISNUMBER('Данные 1st'!$FW$2:$FW$317))</f>
        <v>0</v>
      </c>
      <c r="CN42">
        <f>SUMPRODUCT(--('Данные 1st'!$S$2:$S$317=$A42),--ISNUMBER('Данные 1st'!$FZ$2:$FZ$317))</f>
        <v>0</v>
      </c>
      <c r="CO42">
        <f>SUMPRODUCT(--('Данные 1st'!$S$2:$S$317=$A42),--ISNUMBER('Данные 1st'!$GA$2:$GA$317))</f>
        <v>0</v>
      </c>
      <c r="CP42">
        <f>SUMPRODUCT(--('Данные 1st'!$S$2:$S$317=$A42),--ISNUMBER('Данные 1st'!$GB$2:$GB$317))</f>
        <v>0</v>
      </c>
      <c r="CQ42">
        <f>SUMPRODUCT(--('Данные 1st'!$S$2:$S$317=$A42),--ISNUMBER('Данные 1st'!$GH$2:$GH$317))</f>
        <v>0</v>
      </c>
      <c r="CR42">
        <f>SUMPRODUCT(--('Данные 1st'!$S$2:$S$317=$A42),--ISNUMBER('Данные 1st'!$GI$2:$GI$317))</f>
        <v>0</v>
      </c>
      <c r="CS42">
        <f>SUMPRODUCT(--('Данные 1st'!$S$2:$S$317=$A42),--ISNUMBER('Данные 1st'!$GJ$2:$GJ$317))</f>
        <v>0</v>
      </c>
      <c r="CT42">
        <f>SUMPRODUCT(--('Данные 1st'!$S$2:$S$317=$A42),--ISNUMBER('Данные 1st'!$GS$2:$GS$317))</f>
        <v>1</v>
      </c>
      <c r="CU42">
        <f>SUMPRODUCT(--('Данные 1st'!$S$2:$S$317=$A42),--ISNUMBER('Данные 1st'!$GT$2:$GT$317))</f>
        <v>1</v>
      </c>
      <c r="CV42">
        <f>SUMPRODUCT(--('Данные 1st'!$S$2:$S$317=$A42),--ISNUMBER('Данные 1st'!$GU$2:$GU$317))</f>
        <v>1</v>
      </c>
      <c r="CW42">
        <f>SUMPRODUCT(--('Данные 1st'!$S$2:$S$317=$A42),--ISNUMBER('Данные 1st'!$GV$2:$GV$317))</f>
        <v>0</v>
      </c>
      <c r="CX42">
        <f>SUMPRODUCT(--('Данные 1st'!$S$2:$S$317=$A42),--ISNUMBER('Данные 1st'!$GW$2:$GW$317))</f>
        <v>0</v>
      </c>
      <c r="CY42">
        <f>SUMPRODUCT(--('Данные 1st'!$S$2:$S$317=$A42),--ISNUMBER('Данные 1st'!$GZ$2:$GZ$317))</f>
        <v>0</v>
      </c>
      <c r="CZ42">
        <f>SUMPRODUCT(--('Данные 1st'!$S$2:$S$317=$A42),--ISNUMBER('Данные 1st'!$HA$2:$HA$317))</f>
        <v>0</v>
      </c>
      <c r="DA42">
        <f>SUMPRODUCT(--('Данные 1st'!$S$2:$S$317=$A42),--ISNUMBER('Данные 1st'!$HB$2:$HB$317))</f>
        <v>0</v>
      </c>
      <c r="DB42">
        <f>SUMPRODUCT(--('Данные 1st'!$S$2:$S$317=$A42),--ISNUMBER('Данные 1st'!$HC$2:$HC$317))</f>
        <v>1</v>
      </c>
      <c r="DC42">
        <f>SUMPRODUCT(--('Данные 1st'!$S$2:$S$317=$A42),--ISNUMBER('Данные 1st'!$HD$2:$HD$317))</f>
        <v>1</v>
      </c>
      <c r="DD42">
        <f>SUMPRODUCT(--('Данные 1st'!$S$2:$S$317=$A42),--ISNUMBER('Данные 1st'!$HE$2:$HE$317))</f>
        <v>1</v>
      </c>
      <c r="DE42">
        <f>SUMPRODUCT(--('Данные 1st'!$S$2:$S$317=$A42),--ISNUMBER('Данные 1st'!$HF$2:$HF$317))</f>
        <v>1</v>
      </c>
      <c r="DF42">
        <f>SUMPRODUCT(--('Данные 1st'!$S$2:$S$317=$A42),--ISNUMBER('Данные 1st'!$HG$2:$HG$317))</f>
        <v>1</v>
      </c>
      <c r="DG42">
        <f>SUMPRODUCT(--('Данные 1st'!$S$2:$S$317=$A42),--ISNUMBER('Данные 1st'!$HH$2:$HH$317))</f>
        <v>1</v>
      </c>
      <c r="DH42">
        <f>SUMPRODUCT(--('Данные 1st'!$S$2:$S$317=$A42),--ISNUMBER('Данные 1st'!$HI$2:$HI$317))</f>
        <v>1</v>
      </c>
      <c r="DI42">
        <f>SUMPRODUCT(--('Данные 1st'!$S$2:$S$317=$A42),--ISNUMBER('Данные 1st'!$HJ$2:$HJ$317))</f>
        <v>1</v>
      </c>
      <c r="DJ42">
        <f>SUMPRODUCT(--('Данные 1st'!$S$2:$S$317=$A42),--ISNUMBER('Данные 1st'!$HK$2:$HK$317))</f>
        <v>1</v>
      </c>
      <c r="DK42">
        <f>SUMPRODUCT(--('Данные 1st'!$S$2:$S$317=$A42),--ISNUMBER('Данные 1st'!$HL$2:$HL$317))</f>
        <v>1</v>
      </c>
      <c r="DL42">
        <f>SUMPRODUCT(--('Данные 1st'!$S$2:$S$317=$A42),--ISNUMBER('Данные 1st'!$HM$2:$HM$317))</f>
        <v>1</v>
      </c>
      <c r="DM42">
        <f>SUMPRODUCT(--('Данные 1st'!$S$2:$S$317=$A42),--ISNUMBER('Данные 1st'!$HN$2:$HN$317))</f>
        <v>1</v>
      </c>
      <c r="DN42">
        <f>SUMPRODUCT(--('Данные 1st'!$S$2:$S$317=$A42),--ISNUMBER('Данные 1st'!$HO$2:$HO$317))</f>
        <v>1</v>
      </c>
      <c r="DO42">
        <f>SUMPRODUCT(--('Данные 1st'!$S$2:$S$317=$A42),--ISNUMBER('Данные 1st'!$HP$2:$HP$317))</f>
        <v>1</v>
      </c>
      <c r="DP42">
        <f>SUMPRODUCT(--('Данные 1st'!$S$2:$S$317=$A42),--ISNUMBER('Данные 1st'!$HQ$2:$HQ$317))</f>
        <v>1</v>
      </c>
      <c r="DQ42">
        <f>SUMPRODUCT(--('Данные 1st'!$S$2:$S$317=$A42),--ISNUMBER('Данные 1st'!$HR$2:$HR$317))</f>
        <v>1</v>
      </c>
      <c r="DR42">
        <f>SUMPRODUCT(--('Данные 1st'!$S$2:$S$317=$A42),--ISNUMBER('Данные 1st'!$HS$2:$HS$317))</f>
        <v>1</v>
      </c>
      <c r="DS42">
        <f>SUMPRODUCT(--('Данные 1st'!$S$2:$S$317=$A42),--ISNUMBER('Данные 1st'!$HT$2:$HT$317))</f>
        <v>1</v>
      </c>
      <c r="DT42">
        <f>SUMPRODUCT(--('Данные 1st'!$S$2:$S$317=$A42),--ISNUMBER('Данные 1st'!$HU$2:$HU$317))</f>
        <v>1</v>
      </c>
      <c r="DU42">
        <f>SUMPRODUCT(--('Данные 1st'!$S$2:$S$317=$A42),--ISNUMBER('Данные 1st'!$HW$2:$HW$317))</f>
        <v>1</v>
      </c>
      <c r="DV42">
        <f>SUMPRODUCT(--('Данные 1st'!$S$2:$S$317=$A42),--ISNUMBER('Данные 1st'!$HX$2:$HX$317))</f>
        <v>1</v>
      </c>
      <c r="DW42">
        <f>SUMPRODUCT(--('Данные 1st'!$S$2:$S$317=$A42),--ISNUMBER('Данные 1st'!$HY$2:$HY$317))</f>
        <v>1</v>
      </c>
      <c r="DX42">
        <f>SUMPRODUCT(--('Данные 1st'!$S$2:$S$317=$A42),--ISNUMBER('Данные 1st'!$IA$2:$IA$317))</f>
        <v>1</v>
      </c>
      <c r="DY42">
        <f>SUMPRODUCT(--('Данные 1st'!$S$2:$S$317=$A42),--ISNUMBER('Данные 1st'!$IB$2:$IB$317))</f>
        <v>1</v>
      </c>
      <c r="DZ42">
        <f>SUMPRODUCT(--('Данные 1st'!$S$2:$S$317=$A42),--ISNUMBER('Данные 1st'!$IC$2:$IC$317))</f>
        <v>1</v>
      </c>
      <c r="EA42">
        <f>SUMPRODUCT(--('Данные 1st'!$S$2:$S$317=$A42),--ISNUMBER('Данные 1st'!$ID$2:$ID$317))</f>
        <v>1</v>
      </c>
      <c r="EB42">
        <f>SUMPRODUCT(--('Данные 1st'!$S$2:$S$317=$A42),--ISNUMBER('Данные 1st'!$IE$2:$IE$317))</f>
        <v>1</v>
      </c>
      <c r="EC42">
        <f>SUMPRODUCT(--('Данные 1st'!$S$2:$S$317=$A42),--ISNUMBER('Данные 1st'!$IF$2:$IF$317))</f>
        <v>1</v>
      </c>
      <c r="ED42">
        <f>SUMPRODUCT(--('Данные 1st'!$S$2:$S$317=$A42),--ISNUMBER('Данные 1st'!$IP$2:$IP$317))</f>
        <v>1</v>
      </c>
      <c r="EE42">
        <f>SUMPRODUCT(--('Данные 1st'!$S$2:$S$317=$A42),--ISNUMBER('Данные 1st'!$IV$2:$IV$317))</f>
        <v>1</v>
      </c>
      <c r="EF42">
        <f>SUMPRODUCT(--('Данные 1st'!$S$2:$S$317=$A42),--ISNUMBER('Данные 1st'!$IW$2:$IW$317))</f>
        <v>1</v>
      </c>
      <c r="EG42">
        <f>SUMPRODUCT(--('Данные 1st'!$S$2:$S$317=$A42),--ISNUMBER('Данные 1st'!$IX$2:$IX$317))</f>
        <v>0</v>
      </c>
      <c r="EH42">
        <f>SUMPRODUCT(--('Данные 1st'!$S$2:$S$317=$A42),--ISNUMBER('Данные 1st'!$IY$2:$IY$317))</f>
        <v>0</v>
      </c>
      <c r="EI42">
        <f>SUMPRODUCT(--('Данные 1st'!$S$2:$S$317=$A42),--ISNUMBER('Данные 1st'!$JD$2:$JD$317))</f>
        <v>1</v>
      </c>
      <c r="EJ42">
        <f>SUMPRODUCT(--('Данные 1st'!$S$2:$S$317=$A42),--ISNUMBER('Данные 1st'!$JE$2:$JE$317))</f>
        <v>1</v>
      </c>
      <c r="EK42">
        <f>SUMPRODUCT(--('Данные 1st'!$S$2:$S$317=$A42),--ISNUMBER('Данные 1st'!$JF$2:$JF$317))</f>
        <v>1</v>
      </c>
      <c r="EL42">
        <f>SUMPRODUCT(--('Данные 1st'!$S$2:$S$317=$A42),--ISNUMBER('Данные 1st'!$JG$2:$JG$317))</f>
        <v>1</v>
      </c>
      <c r="EM42">
        <f>SUMPRODUCT(--('Данные 1st'!$S$2:$S$317=$A42),--ISNUMBER('Данные 1st'!$JH$2:$JH$317))</f>
        <v>1</v>
      </c>
      <c r="EN42">
        <f>SUMPRODUCT(--('Данные 1st'!$S$2:$S$317=$A42),--ISNUMBER('Данные 1st'!$JJ$2:$JJ$317))</f>
        <v>1</v>
      </c>
      <c r="EO42">
        <f>SUMPRODUCT(--('Данные 1st'!$S$2:$S$317=$A42),--ISNUMBER('Данные 1st'!$JK$2:$JK$317))</f>
        <v>1</v>
      </c>
      <c r="EP42">
        <f>SUMPRODUCT(--('Данные 1st'!$S$2:$S$317=$A42),--ISNUMBER('Данные 1st'!$JL$2:$JL$317))</f>
        <v>0</v>
      </c>
      <c r="EQ42">
        <f>SUMPRODUCT(--('Данные 1st'!$S$2:$S$317=$A42),--ISNUMBER('Данные 1st'!$JM$2:$JM$317))</f>
        <v>0</v>
      </c>
      <c r="ER42">
        <f>SUMPRODUCT(--('Данные 1st'!$S$2:$S$317=$A42),--ISNUMBER('Данные 1st'!$JN$2:$JN$317))</f>
        <v>1</v>
      </c>
      <c r="ES42">
        <f>SUMPRODUCT(--('Данные 1st'!$S$2:$S$317=$A42),--ISNUMBER('Данные 1st'!$JO$2:$JO$317))</f>
        <v>1</v>
      </c>
      <c r="ET42">
        <f>SUMPRODUCT(--('Данные 1st'!$S$2:$S$317=$A42),--ISNUMBER('Данные 1st'!$JP$2:$JP$317))</f>
        <v>1</v>
      </c>
      <c r="EU42">
        <f>SUMPRODUCT(--('Данные 1st'!$S$2:$S$317=$A42),--ISNUMBER('Данные 1st'!$JQ$2:$JQ$317))</f>
        <v>1</v>
      </c>
      <c r="EV42">
        <f>SUMPRODUCT(--('Данные 1st'!$S$2:$S$317=$A42),--ISNUMBER('Данные 1st'!$JR$2:$JR$317))</f>
        <v>1</v>
      </c>
      <c r="EW42">
        <f>SUMPRODUCT(--('Данные 1st'!$S$2:$S$317=$A42),--ISNUMBER('Данные 1st'!$JS$2:$JS$317))</f>
        <v>1</v>
      </c>
      <c r="EX42">
        <f>SUMPRODUCT(--('Данные 1st'!$S$2:$S$317=$A42),--ISNUMBER('Данные 1st'!$JT$2:$JT$317))</f>
        <v>0</v>
      </c>
      <c r="EY42">
        <f>SUMPRODUCT(--('Данные 1st'!$S$2:$S$317=$A42),--ISNUMBER('Данные 1st'!$JU$2:$JU$317))</f>
        <v>0</v>
      </c>
      <c r="EZ42">
        <f>SUMPRODUCT(--('Данные 1st'!$S$2:$S$317=$A42),--ISNUMBER('Данные 1st'!$JV$2:$JV$317))</f>
        <v>1</v>
      </c>
      <c r="FA42">
        <f>SUMPRODUCT(--('Данные 1st'!$S$2:$S$317=$A42),--ISNUMBER('Данные 1st'!$JW$2:$JW$317))</f>
        <v>0</v>
      </c>
      <c r="FB42">
        <f>SUMPRODUCT(--('Данные 1st'!$S$2:$S$317=$A42),--ISNUMBER('Данные 1st'!$JX$2:$JX$317))</f>
        <v>1</v>
      </c>
      <c r="FC42">
        <f>SUMPRODUCT(--('Данные 1st'!$S$2:$S$317=$A42),--ISNUMBER('Данные 1st'!$JY$2:$JY$317))</f>
        <v>0</v>
      </c>
      <c r="FD42">
        <f>SUMPRODUCT(--('Данные 1st'!$S$2:$S$317=$A42),--ISNUMBER('Данные 1st'!$JZ$2:$JZ$317))</f>
        <v>0</v>
      </c>
      <c r="FE42">
        <f>SUMPRODUCT(--('Данные 1st'!$S$2:$S$317=$A42),--ISNUMBER('Данные 1st'!$KA$2:$KA$317))</f>
        <v>1</v>
      </c>
      <c r="FF42">
        <f>SUMPRODUCT(--('Данные 1st'!$S$2:$S$317=$A42),--ISNUMBER('Данные 1st'!$KB$2:$KB$317))</f>
        <v>1</v>
      </c>
      <c r="FG42">
        <f>SUMPRODUCT(--('Данные 1st'!$S$2:$S$317=$A42),--ISNUMBER('Данные 1st'!$KC$2:$KC$317))</f>
        <v>1</v>
      </c>
      <c r="FH42">
        <f>SUMPRODUCT(--('Данные 1st'!$S$2:$S$317=$A42),--ISNUMBER('Данные 1st'!$KD$2:$KD$317))</f>
        <v>1</v>
      </c>
      <c r="FI42">
        <f>SUMPRODUCT(--('Данные 1st'!$S$2:$S$317=$A42),--ISNUMBER('Данные 1st'!$KE$2:$KE$317))</f>
        <v>0</v>
      </c>
      <c r="FJ42">
        <f>SUMPRODUCT(--('Данные 1st'!$S$2:$S$317=$A42),--ISNUMBER('Данные 1st'!$KF$2:$KF$317))</f>
        <v>1</v>
      </c>
      <c r="FK42">
        <f>SUMPRODUCT(--('Данные 1st'!$S$2:$S$317=$A42),--ISNUMBER('Данные 1st'!$KG$2:$KG$317))</f>
        <v>1</v>
      </c>
      <c r="FL42">
        <f>SUMPRODUCT(--('Данные 1st'!$S$2:$S$317=$A42),--ISNUMBER('Данные 1st'!$KH$2:$KH$317))</f>
        <v>1</v>
      </c>
      <c r="FM42">
        <f>SUMPRODUCT(--('Данные 1st'!$S$2:$S$317=$A42),--ISNUMBER('Данные 1st'!$KI$2:$KI$317))</f>
        <v>1</v>
      </c>
      <c r="FN42">
        <f>SUMPRODUCT(--('Данные 1st'!$S$2:$S$317=$A42),--ISNUMBER('Данные 1st'!$KJ$2:$KJ$317))</f>
        <v>1</v>
      </c>
      <c r="FO42">
        <f>SUMPRODUCT(--('Данные 1st'!$S$2:$S$317=$A42),--ISNUMBER('Данные 1st'!$KK$2:$KK$317))</f>
        <v>1</v>
      </c>
      <c r="FP42">
        <f>SUMPRODUCT(--('Данные 1st'!$S$2:$S$317=$A42),--ISNUMBER('Данные 1st'!$KL$2:$KL$317))</f>
        <v>1</v>
      </c>
      <c r="FQ42">
        <f>SUMPRODUCT(--('Данные 1st'!$S$2:$S$317=$A42),--ISNUMBER('Данные 1st'!$KM$2:$KM$317))</f>
        <v>1</v>
      </c>
      <c r="FR42">
        <f>SUMPRODUCT(--('Данные 1st'!$S$2:$S$317=$A42),--ISNUMBER('Данные 1st'!$KN$2:$KN$317))</f>
        <v>1</v>
      </c>
      <c r="FS42">
        <f>SUMPRODUCT(--('Данные 1st'!$S$2:$S$317=$A42),--ISNUMBER('Данные 1st'!$KR$2:$KR$317))</f>
        <v>1</v>
      </c>
      <c r="FT42">
        <f>SUMPRODUCT(--('Данные 1st'!$S$2:$S$317=$A42),--ISNUMBER('Данные 1st'!$KS$2:$KS$317))</f>
        <v>1</v>
      </c>
      <c r="FU42">
        <f>SUMPRODUCT(--('Данные 1st'!$S$2:$S$317=$A42),--ISNUMBER('Данные 1st'!$KT$2:$KT$317))</f>
        <v>1</v>
      </c>
      <c r="FV42">
        <f>SUMPRODUCT(--('Данные 1st'!$S$2:$S$317=$A42),--ISNUMBER('Данные 1st'!$KV$2:$KV$317))</f>
        <v>0</v>
      </c>
      <c r="FW42">
        <f>SUMPRODUCT(--('Данные 1st'!$S$2:$S$317=$A42),--ISNUMBER('Данные 1st'!$KW$2:$KW$317))</f>
        <v>0</v>
      </c>
      <c r="FX42">
        <f>SUMPRODUCT(--('Данные 1st'!$S$2:$S$317=$A42),--ISNUMBER('Данные 1st'!$KX$2:$KX$317))</f>
        <v>0</v>
      </c>
      <c r="FY42">
        <f>SUMPRODUCT(--('Данные 1st'!$S$2:$S$317=$A42),--ISNUMBER('Данные 1st'!$KY$2:$KY$317))</f>
        <v>0</v>
      </c>
      <c r="FZ42">
        <f>SUMPRODUCT(--('Данные 1st'!$S$2:$S$317=$A42),--ISNUMBER('Данные 1st'!$KZ$2:$KZ$317))</f>
        <v>0</v>
      </c>
      <c r="GA42">
        <f>SUMPRODUCT(--('Данные 1st'!$S$2:$S$317=$A42),--ISNUMBER('Данные 1st'!$LA$2:$LA$317))</f>
        <v>0</v>
      </c>
      <c r="GB42">
        <f>SUMPRODUCT(--('Данные 1st'!$S$2:$S$317=$A42),--ISNUMBER('Данные 1st'!$LB$2:$LB$317))</f>
        <v>0</v>
      </c>
      <c r="GC42">
        <f>SUMPRODUCT(--('Данные 1st'!$S$2:$S$317=$A42),--ISNUMBER('Данные 1st'!$LC$2:$LC$317))</f>
        <v>0</v>
      </c>
      <c r="GD42">
        <f>SUMPRODUCT(--('Данные 1st'!$S$2:$S$317=$A42),--ISNUMBER('Данные 1st'!$LD$2:$LD$317))</f>
        <v>0</v>
      </c>
      <c r="GE42">
        <f>SUMPRODUCT(--('Данные 1st'!$S$2:$S$317=$A42),--ISNUMBER('Данные 1st'!$LE$2:$LE$317))</f>
        <v>0</v>
      </c>
      <c r="GF42">
        <f>SUMPRODUCT(--('Данные 1st'!$S$2:$S$317=$A42),--ISNUMBER('Данные 1st'!$LF$2:$LF$317))</f>
        <v>0</v>
      </c>
      <c r="GG42">
        <f>SUMPRODUCT(--('Данные 1st'!$S$2:$S$317=$A42),--ISNUMBER('Данные 1st'!$LG$2:$LG$317))</f>
        <v>0</v>
      </c>
      <c r="GH42">
        <f>SUMPRODUCT(--('Данные 1st'!$S$2:$S$317=$A42),--ISNUMBER('Данные 1st'!$LH$2:$LH$317))</f>
        <v>0</v>
      </c>
      <c r="GI42">
        <f>SUMPRODUCT(--('Данные 1st'!$S$2:$S$317=$A42),--ISNUMBER('Данные 1st'!$LI$2:$LI$317))</f>
        <v>0</v>
      </c>
      <c r="GJ42">
        <f>SUMPRODUCT(--('Данные 1st'!$S$2:$S$317=$A42),--ISNUMBER('Данные 1st'!$LJ$2:$LJ$317))</f>
        <v>0</v>
      </c>
      <c r="GK42">
        <f>SUMPRODUCT(--('Данные 1st'!$S$2:$S$317=$A42),--ISNUMBER('Данные 1st'!$LK$2:$LK$317))</f>
        <v>1</v>
      </c>
      <c r="GL42">
        <f>SUMPRODUCT(--('Данные 1st'!$S$2:$S$317=$A42),--ISNUMBER('Данные 1st'!$LV$2:$LV$317))</f>
        <v>0</v>
      </c>
      <c r="GM42">
        <f>SUMPRODUCT(--('Данные 1st'!$S$2:$S$317=$A42),--ISNUMBER('Данные 1st'!$LW$2:$LW$317))</f>
        <v>0</v>
      </c>
      <c r="GN42">
        <f>SUMPRODUCT(--('Данные 1st'!$S$2:$S$317=$A42),--ISNUMBER('Данные 1st'!$LX$2:$LX$317))</f>
        <v>0</v>
      </c>
      <c r="GO42">
        <f>SUMPRODUCT(--('Данные 1st'!$S$2:$S$317=$A42),--ISNUMBER('Данные 1st'!$LY$2:$LY$317))</f>
        <v>0</v>
      </c>
      <c r="GP42">
        <f>SUMPRODUCT(--('Данные 1st'!$S$2:$S$317=$A42),--ISNUMBER('Данные 1st'!$LZ$2:$LZ$317))</f>
        <v>0</v>
      </c>
      <c r="GQ42">
        <f>SUMPRODUCT(--('Данные 1st'!$S$2:$S$317=$A42),--ISNUMBER('Данные 1st'!$PG$2:$PG$317))</f>
        <v>1</v>
      </c>
      <c r="GR42">
        <f>SUMPRODUCT(--('Данные 1st'!$S$2:$S$317=$A42),--ISNUMBER('Данные 1st'!$PX$2:$PX$317))</f>
        <v>1</v>
      </c>
      <c r="GS42">
        <f>SUMPRODUCT(--('Данные 1st'!$S$2:$S$317=$A42),--ISNUMBER('Данные 1st'!$PY$2:$PY$317))</f>
        <v>1</v>
      </c>
      <c r="GT42">
        <f>SUMPRODUCT(--('Данные 1st'!$S$2:$S$317=$A42),--ISNUMBER('Данные 1st'!$QA$2:$QA$317))</f>
        <v>1</v>
      </c>
      <c r="GU42">
        <f>SUMPRODUCT(--('Данные 1st'!$S$2:$S$317=$A42),--ISNUMBER('Данные 1st'!$QB$2:$QB$317))</f>
        <v>1</v>
      </c>
      <c r="GV42">
        <f>SUMPRODUCT(--('Данные 1st'!$S$2:$S$317=$A42),--ISNUMBER('Данные 1st'!$QC$2:$QC$317))</f>
        <v>1</v>
      </c>
      <c r="GW42">
        <f>SUMPRODUCT(--('Данные 1st'!$S$2:$S$317=$A42),--ISNUMBER('Данные 1st'!$QD$2:$QD$317))</f>
        <v>1</v>
      </c>
      <c r="GX42">
        <f>SUMPRODUCT(--('Данные 1st'!$S$2:$S$317=$A42),--ISNUMBER('Данные 1st'!$QF$2:$QF$317))</f>
        <v>1</v>
      </c>
      <c r="GY42">
        <f>SUMPRODUCT(--('Данные 1st'!$S$2:$S$317=$A42),--ISNUMBER('Данные 1st'!$QG$2:$QG$317))</f>
        <v>1</v>
      </c>
      <c r="GZ42">
        <f>SUMPRODUCT(--('Данные 1st'!$S$2:$S$317=$A42),--ISNUMBER('Данные 1st'!$QH$2:$QH$317))</f>
        <v>1</v>
      </c>
      <c r="HA42">
        <f>SUMPRODUCT(--('Данные 1st'!$S$2:$S$317=$A42),--ISNUMBER('Данные 1st'!$QI$2:$QI$317))</f>
        <v>1</v>
      </c>
      <c r="HB42">
        <f>SUMPRODUCT(--('Данные 1st'!$S$2:$S$317=$A42),--ISNUMBER('Данные 1st'!$QK$2:$QK$317))</f>
        <v>1</v>
      </c>
      <c r="HC42">
        <f>SUMPRODUCT(--('Данные 1st'!$S$2:$S$317=$A42),--ISNUMBER('Данные 1st'!$QL$2:$QL$317))</f>
        <v>1</v>
      </c>
      <c r="HD42">
        <f>SUMPRODUCT(--('Данные 1st'!$S$2:$S$317=$A42),--ISNUMBER('Данные 1st'!$QM$2:$QM$317))</f>
        <v>1</v>
      </c>
      <c r="HE42">
        <f>SUMPRODUCT(--('Данные 1st'!$S$2:$S$317=$A42),--ISNUMBER('Данные 1st'!$QN$2:$QN$317))</f>
        <v>1</v>
      </c>
      <c r="HF42">
        <f>SUMPRODUCT(--('Данные 1st'!$S$2:$S$317=$A42),--ISNUMBER('Данные 1st'!$QP$2:$QP$317))</f>
        <v>1</v>
      </c>
      <c r="HG42">
        <f>SUMPRODUCT(--('Данные 1st'!$S$2:$S$317=$A42),--ISNUMBER('Данные 1st'!$QQ$2:$QQ$317))</f>
        <v>1</v>
      </c>
      <c r="HH42">
        <f>SUMPRODUCT(--('Данные 1st'!$S$2:$S$317=$A42),--ISNUMBER('Данные 1st'!$QR$2:$QR$317))</f>
        <v>1</v>
      </c>
      <c r="HI42">
        <f>SUMPRODUCT(--('Данные 1st'!$S$2:$S$317=$A42),--ISNUMBER('Данные 1st'!$QS$2:$QS$317))</f>
        <v>1</v>
      </c>
      <c r="HJ42">
        <f>SUMPRODUCT(--('Данные 1st'!$S$2:$S$317=$A42),--ISNUMBER('Данные 1st'!$QU$2:$QU$317))</f>
        <v>1</v>
      </c>
      <c r="HK42">
        <f>SUMPRODUCT(--('Данные 1st'!$S$2:$S$317=$A42),--ISNUMBER('Данные 1st'!$QV$2:$QV$317))</f>
        <v>1</v>
      </c>
      <c r="HL42">
        <f>SUMPRODUCT(--('Данные 1st'!$S$2:$S$317=$A42),--ISNUMBER('Данные 1st'!$QW$2:$QW$317))</f>
        <v>1</v>
      </c>
      <c r="HM42">
        <f>SUMPRODUCT(--('Данные 1st'!$S$2:$S$317=$A42),--ISNUMBER('Данные 1st'!$QX$2:$QX$317))</f>
        <v>1</v>
      </c>
      <c r="HN42">
        <f>SUMPRODUCT(--('Данные 1st'!$S$2:$S$317=$A42),--ISNUMBER('Данные 1st'!$QZ$2:$QZ$317))</f>
        <v>1</v>
      </c>
      <c r="HO42">
        <f>SUMPRODUCT(--('Данные 1st'!$S$2:$S$317=$A42),--ISNUMBER('Данные 1st'!$RA$2:$RA$317))</f>
        <v>1</v>
      </c>
      <c r="HP42">
        <f>SUMPRODUCT(--('Данные 1st'!$S$2:$S$317=$A42),--ISNUMBER('Данные 1st'!$RB$2:$RB$317))</f>
        <v>1</v>
      </c>
      <c r="HQ42">
        <f>SUMPRODUCT(--('Данные 1st'!$S$2:$S$317=$A42),--ISNUMBER('Данные 1st'!$RD$2:$RD$317))</f>
        <v>0</v>
      </c>
      <c r="HR42">
        <f>SUMPRODUCT(--('Данные 1st'!$S$2:$S$317=$A42),--ISNUMBER('Данные 1st'!$RE$2:$RE$317))</f>
        <v>1</v>
      </c>
      <c r="HS42">
        <f>SUMPRODUCT(--('Данные 1st'!$S$2:$S$317=$A42),--ISNUMBER('Данные 1st'!$RF$2:$RF$317))</f>
        <v>1</v>
      </c>
      <c r="HT42">
        <f>SUMPRODUCT(--('Данные 1st'!$S$2:$S$317=$A42),--ISNUMBER('Данные 1st'!$RG$2:$RG$317))</f>
        <v>0</v>
      </c>
      <c r="HU42">
        <f>SUMPRODUCT(--('Данные 1st'!$S$2:$S$317=$A42),--ISNUMBER('Данные 1st'!$RH$2:$RH$317))</f>
        <v>1</v>
      </c>
      <c r="HV42">
        <f>SUMPRODUCT(--('Данные 1st'!$S$2:$S$317=$A42),--ISNUMBER('Данные 1st'!$RI$2:$RI$317))</f>
        <v>0</v>
      </c>
      <c r="HW42">
        <f>SUMPRODUCT(--('Данные 1st'!$S$2:$S$317=$A42),--ISNUMBER('Данные 1st'!$RJ$2:$RJ$317))</f>
        <v>1</v>
      </c>
      <c r="HX42">
        <f>SUMPRODUCT(--('Данные 1st'!$S$2:$S$317=$A42),--ISNUMBER('Данные 1st'!$RK$2:$RK$317))</f>
        <v>1</v>
      </c>
      <c r="HY42">
        <f>SUMPRODUCT(--('Данные 1st'!$S$2:$S$317=$A42),--ISNUMBER('Данные 1st'!$RL$2:$RL$317))</f>
        <v>1</v>
      </c>
      <c r="HZ42">
        <f>SUMPRODUCT(--('Данные 1st'!$S$2:$S$317=$A42),--ISNUMBER('Данные 1st'!$RM$2:$RM$317))</f>
        <v>1</v>
      </c>
      <c r="IA42">
        <f>SUMPRODUCT(--('Данные 1st'!$S$2:$S$317=$A42),--ISNUMBER('Данные 1st'!$RN$2:$RN$317))</f>
        <v>0</v>
      </c>
      <c r="IB42">
        <f>SUMPRODUCT(--('Данные 1st'!$S$2:$S$317=$A42),--ISNUMBER('Данные 1st'!$RO$2:$RO$317))</f>
        <v>1</v>
      </c>
      <c r="IC42">
        <f>SUMPRODUCT(--('Данные 1st'!$S$2:$S$317=$A42),--ISNUMBER('Данные 1st'!$RP$2:$RP$317))</f>
        <v>1</v>
      </c>
      <c r="ID42">
        <f>SUMPRODUCT(--('Данные 1st'!$S$2:$S$317=$A42),--ISNUMBER('Данные 1st'!$RQ$2:$RQ$317))</f>
        <v>1</v>
      </c>
      <c r="IE42">
        <f>SUMPRODUCT(--('Данные 1st'!$S$2:$S$317=$A42),--ISNUMBER('Данные 1st'!$RR$2:$RR$317))</f>
        <v>1</v>
      </c>
      <c r="IF42">
        <f>SUMPRODUCT(--('Данные 1st'!$S$2:$S$317=$A42),--ISNUMBER('Данные 1st'!$RS$2:$RS$317))</f>
        <v>0</v>
      </c>
      <c r="IG42">
        <f>SUMPRODUCT(--('Данные 1st'!$S$2:$S$317=$A42),--ISNUMBER('Данные 1st'!$RT$2:$RT$317))</f>
        <v>1</v>
      </c>
      <c r="IH42">
        <f>SUMPRODUCT(--('Данные 1st'!$S$2:$S$317=$A42),--ISNUMBER('Данные 1st'!$RU$2:$RU$317))</f>
        <v>1</v>
      </c>
      <c r="II42">
        <f>SUMPRODUCT(--('Данные 1st'!$S$2:$S$317=$A42),--ISNUMBER('Данные 1st'!$RX$2:$RX$317))</f>
        <v>1</v>
      </c>
      <c r="IJ42">
        <f>SUMPRODUCT(--('Данные 1st'!$S$2:$S$317=$A42),--ISNUMBER('Данные 1st'!$RY$2:$RY$317))</f>
        <v>1</v>
      </c>
      <c r="IK42">
        <f>SUMPRODUCT(--('Данные 1st'!$S$2:$S$317=$A42),--ISNUMBER('Данные 1st'!$SA$2:$SA$317))</f>
        <v>1</v>
      </c>
      <c r="IL42">
        <f>SUMPRODUCT(--('Данные 1st'!$S$2:$S$317=$A42),--ISNUMBER('Данные 1st'!$SD$2:$SD$317))</f>
        <v>1</v>
      </c>
      <c r="IM42">
        <f>SUMPRODUCT(--('Данные 1st'!$S$2:$S$317=$A42),--ISNUMBER('Данные 1st'!$SG$2:$SG$317))</f>
        <v>1</v>
      </c>
      <c r="IN42">
        <f>SUMPRODUCT(--('Данные 1st'!$S$2:$S$317=$A42),--ISNUMBER('Данные 1st'!$SH$2:$SH$317))</f>
        <v>1</v>
      </c>
      <c r="IO42">
        <f>SUMPRODUCT(--('Данные 1st'!$S$2:$S$317=$A42),--ISNUMBER('Данные 1st'!$SI$2:$SI$317))</f>
        <v>1</v>
      </c>
      <c r="IP42">
        <f>SUMPRODUCT(--('Данные 1st'!$S$2:$S$317=$A42),--ISNUMBER('Данные 1st'!$SJ$2:$SJ$317))</f>
        <v>1</v>
      </c>
      <c r="IQ42">
        <f>SUMPRODUCT(--('Данные 1st'!$S$2:$S$317=$A42),--ISNUMBER('Данные 1st'!$SK$2:$SK$317))</f>
        <v>1</v>
      </c>
      <c r="IR42">
        <f>SUMPRODUCT(--('Данные 1st'!$S$2:$S$317=$A42),--ISNUMBER('Данные 1st'!$SL$2:$SL$317))</f>
        <v>1</v>
      </c>
      <c r="IS42">
        <f>SUMPRODUCT(--('Данные 1st'!$S$2:$S$317=$A42),--ISNUMBER('Данные 1st'!$SM$2:$SM$317))</f>
        <v>1</v>
      </c>
      <c r="IT42">
        <f>SUMPRODUCT(--('Данные 1st'!$S$2:$S$317=$A42),--ISNUMBER('Данные 1st'!$SN$2:$SN$317))</f>
        <v>1</v>
      </c>
      <c r="IU42">
        <f>SUMPRODUCT(--('Данные 1st'!$S$2:$S$317=$A42),--ISNUMBER('Данные 1st'!$SO$2:$SO$317))</f>
        <v>1</v>
      </c>
      <c r="IV42">
        <f>SUMPRODUCT(--('Данные 1st'!$S$2:$S$317=$A42),--ISNUMBER('Данные 1st'!$SP$2:$SP$317))</f>
        <v>1</v>
      </c>
      <c r="IW42">
        <f>SUMPRODUCT(--('Данные 1st'!$S$2:$S$317=$A42),--ISNUMBER('Данные 1st'!$SQ$2:$SQ$317))</f>
        <v>1</v>
      </c>
      <c r="IX42">
        <f>SUMPRODUCT(--('Данные 1st'!$S$2:$S$317=$A42),--ISNUMBER('Данные 1st'!$SR$2:$SR$317))</f>
        <v>1</v>
      </c>
      <c r="IY42">
        <f>SUMPRODUCT(--('Данные 1st'!$S$2:$S$317=$A42),--ISNUMBER('Данные 1st'!$SS$2:$SS$317))</f>
        <v>1</v>
      </c>
      <c r="IZ42">
        <f>SUMPRODUCT(--('Данные 1st'!$S$2:$S$317=$A42),--ISNUMBER('Данные 1st'!$ST$2:$ST$317))</f>
        <v>1</v>
      </c>
      <c r="JA42">
        <f>SUMPRODUCT(--('Данные 1st'!$S$2:$S$317=$A42),--ISNUMBER('Данные 1st'!$SU$2:$SU$317))</f>
        <v>1</v>
      </c>
      <c r="JB42">
        <f>SUMPRODUCT(--('Данные 1st'!$S$2:$S$317=$A42),--ISNUMBER('Данные 1st'!$SV$2:$SV$317))</f>
        <v>1</v>
      </c>
      <c r="JC42">
        <f>SUMPRODUCT(--('Данные 1st'!$S$2:$S$317=$A42),--ISNUMBER('Данные 1st'!$SW$2:$SW$317))</f>
        <v>1</v>
      </c>
      <c r="JD42">
        <f>SUMPRODUCT(--('Данные 1st'!$S$2:$S$317=$A42),--ISNUMBER('Данные 1st'!$SX$2:$SX$317))</f>
        <v>1</v>
      </c>
      <c r="JE42">
        <f>SUMPRODUCT(--('Данные 1st'!$S$2:$S$317=$A42),--ISNUMBER('Данные 1st'!$SY$2:$SY$317))</f>
        <v>1</v>
      </c>
      <c r="JF42">
        <f>SUMPRODUCT(--('Данные 1st'!$S$2:$S$317=$A42),--ISNUMBER('Данные 1st'!$SZ$2:$SZ$317))</f>
        <v>1</v>
      </c>
      <c r="JG42">
        <f>SUMPRODUCT(--('Данные 1st'!$S$2:$S$317=$A42),--ISNUMBER('Данные 1st'!$TA$2:$TA$317))</f>
        <v>0</v>
      </c>
      <c r="JH42">
        <f>SUMPRODUCT(--('Данные 1st'!$S$2:$S$317=$A42),--ISNUMBER('Данные 1st'!$TB$2:$TB$317))</f>
        <v>1</v>
      </c>
      <c r="JI42">
        <f>SUMPRODUCT(--('Данные 1st'!$S$2:$S$317=$A42),--ISNUMBER('Данные 1st'!$TC$2:$TC$317))</f>
        <v>1</v>
      </c>
      <c r="JJ42">
        <f>SUMPRODUCT(--('Данные 1st'!$S$2:$S$317=$A42),--ISNUMBER('Данные 1st'!$TD$2:$TD$317))</f>
        <v>1</v>
      </c>
      <c r="JK42">
        <f>SUMPRODUCT(--('Данные 1st'!$S$2:$S$317=$A42),--ISNUMBER('Данные 1st'!$TN$2:$TN$317))</f>
        <v>1</v>
      </c>
      <c r="JQ42">
        <f>SUMPRODUCT(--('Данные 2st'!$Q$2:$Q$317=$A42),--ISNUMBER('Данные 2st'!$AC$2:$AC$317))</f>
        <v>1</v>
      </c>
      <c r="JR42">
        <f>SUMPRODUCT(--('Данные 2st'!$Q$2:$Q$317=$A42),--ISNUMBER('Данные 2st'!$AF$2:$AF$317))</f>
        <v>1</v>
      </c>
      <c r="JS42">
        <f>SUMPRODUCT(--('Данные 2st'!$Q$2:$Q$317=$A42),--ISNUMBER('Данные 2st'!$AW$2:$AW$317))</f>
        <v>1</v>
      </c>
      <c r="JT42">
        <f>SUMPRODUCT(--('Данные 2st'!$Q$2:$Q$317=$A42),--ISNUMBER('Данные 2st'!$AX$2:$AX$317))</f>
        <v>1</v>
      </c>
      <c r="JU42">
        <f>SUMPRODUCT(--('Данные 2st'!$Q$2:$Q$317=$A42),--ISNUMBER('Данные 2st'!$AY$2:$AY$317))</f>
        <v>1</v>
      </c>
      <c r="JV42">
        <f>SUMPRODUCT(--('Данные 2st'!$Q$2:$Q$317=$A42),--ISNUMBER('Данные 2st'!$AZ$2:$AZ$317))</f>
        <v>1</v>
      </c>
      <c r="JW42">
        <f>SUMPRODUCT(--('Данные 2st'!$Q$2:$Q$317=$A42),--ISNUMBER('Данные 2st'!$BA$2:$BA$317))</f>
        <v>0</v>
      </c>
      <c r="JX42">
        <f>SUMPRODUCT(--('Данные 2st'!$Q$2:$Q$317=$A42),--ISNUMBER('Данные 2st'!$BB$2:$BB$317))</f>
        <v>0</v>
      </c>
      <c r="JY42">
        <f>SUMPRODUCT(--('Данные 2st'!$Q$2:$Q$317=$A42),--ISNUMBER('Данные 2st'!$BC$2:$BC$317))</f>
        <v>0</v>
      </c>
      <c r="JZ42">
        <f>SUMPRODUCT(--('Данные 2st'!$Q$2:$Q$317=$A42),--ISNUMBER('Данные 2st'!$BH$2:$BH$317))</f>
        <v>1</v>
      </c>
      <c r="KA42">
        <f>SUMPRODUCT(--('Данные 2st'!$Q$2:$Q$317=$A42),--ISNUMBER('Данные 2st'!$BI$2:$BI$317))</f>
        <v>1</v>
      </c>
      <c r="KB42">
        <f>SUMPRODUCT(--('Данные 2st'!$Q$2:$Q$317=$A42),--ISNUMBER('Данные 2st'!$BJ$2:$BJ$317))</f>
        <v>1</v>
      </c>
      <c r="KC42">
        <f>SUMPRODUCT(--('Данные 2st'!$Q$2:$Q$317=$A42),--ISNUMBER('Данные 2st'!$BK$2:$BK$317))</f>
        <v>1</v>
      </c>
      <c r="KD42">
        <f>SUMPRODUCT(--('Данные 2st'!$Q$2:$Q$317=$A42),--ISNUMBER('Данные 2st'!$BL$2:$BL$317))</f>
        <v>1</v>
      </c>
      <c r="KE42">
        <f>SUMPRODUCT(--('Данные 2st'!$Q$2:$Q$317=$A42),--ISNUMBER('Данные 2st'!$BM$2:$BM$317))</f>
        <v>1</v>
      </c>
      <c r="KF42">
        <f>SUMPRODUCT(--('Данные 2st'!$Q$2:$Q$317=$A42),--ISNUMBER('Данные 2st'!$BN$2:$BN$317))</f>
        <v>1</v>
      </c>
      <c r="KG42">
        <f>SUMPRODUCT(--('Данные 2st'!$Q$2:$Q$317=$A42),--ISNUMBER('Данные 2st'!$BO$2:$BO$317))</f>
        <v>0</v>
      </c>
      <c r="KH42">
        <f>SUMPRODUCT(--('Данные 2st'!$Q$2:$Q$317=$A42),--ISNUMBER('Данные 2st'!$BP$2:$BP$317))</f>
        <v>1</v>
      </c>
      <c r="KI42">
        <f>SUMPRODUCT(--('Данные 2st'!$Q$2:$Q$317=$A42),--ISNUMBER('Данные 2st'!$BR$2:$BR$317))</f>
        <v>1</v>
      </c>
      <c r="KJ42">
        <f>SUMPRODUCT(--('Данные 2st'!$Q$2:$Q$317=$A42),--ISNUMBER('Данные 2st'!$BS$2:$BS$317))</f>
        <v>1</v>
      </c>
      <c r="KK42">
        <f>SUMPRODUCT(--('Данные 2st'!$Q$2:$Q$317=$A42),--ISNUMBER('Данные 2st'!$BT$2:$BT$317))</f>
        <v>1</v>
      </c>
      <c r="KL42">
        <f>SUMPRODUCT(--('Данные 2st'!$Q$2:$Q$317=$A42),--ISNUMBER('Данные 2st'!$CV$2:$CV$317))</f>
        <v>1</v>
      </c>
      <c r="KM42">
        <f>SUMPRODUCT(--('Данные 2st'!$Q$2:$Q$317=$A42),--ISNUMBER('Данные 2st'!$CW$2:$CW$317))</f>
        <v>1</v>
      </c>
      <c r="KN42">
        <f>SUMPRODUCT(--('Данные 2st'!$Q$2:$Q$317=$A42),--ISNUMBER('Данные 2st'!$CX$2:$CX$317))</f>
        <v>1</v>
      </c>
      <c r="KO42">
        <f>SUMPRODUCT(--('Данные 2st'!$Q$2:$Q$317=$A42),--ISNUMBER('Данные 2st'!$CY$2:$CY$317))</f>
        <v>1</v>
      </c>
      <c r="KP42">
        <f>SUMPRODUCT(--('Данные 2st'!$Q$2:$Q$317=$A42),--ISNUMBER('Данные 2st'!$CZ$2:$CZ$317))</f>
        <v>1</v>
      </c>
      <c r="KQ42">
        <f>SUMPRODUCT(--('Данные 2st'!$Q$2:$Q$317=$A42),--ISNUMBER('Данные 2st'!$DA$2:$DA$317))</f>
        <v>1</v>
      </c>
      <c r="KR42">
        <f>SUMPRODUCT(--('Данные 2st'!$Q$2:$Q$317=$A42),--ISNUMBER('Данные 2st'!$DB$2:$DB$317))</f>
        <v>1</v>
      </c>
      <c r="KS42">
        <f>SUMPRODUCT(--('Данные 2st'!$Q$2:$Q$317=$A42),--ISNUMBER('Данные 2st'!$DC$2:$DC$317))</f>
        <v>1</v>
      </c>
      <c r="KT42">
        <f>SUMPRODUCT(--('Данные 2st'!$Q$2:$Q$317=$A42),--ISNUMBER('Данные 2st'!$DD$2:$DD$317))</f>
        <v>1</v>
      </c>
      <c r="KU42">
        <f>SUMPRODUCT(--('Данные 2st'!$Q$2:$Q$317=$A42),--ISNUMBER('Данные 2st'!$DE$2:$DE$317))</f>
        <v>1</v>
      </c>
      <c r="KV42">
        <f>SUMPRODUCT(--('Данные 2st'!$Q$2:$Q$317=$A42),--ISNUMBER('Данные 2st'!$DF$2:$DF$317))</f>
        <v>1</v>
      </c>
      <c r="KW42">
        <f>SUMPRODUCT(--('Данные 2st'!$Q$2:$Q$317=$A42),--ISNUMBER('Данные 2st'!$DG$2:$DG$317))</f>
        <v>1</v>
      </c>
      <c r="KX42">
        <f>SUMPRODUCT(--('Данные 2st'!$Q$2:$Q$317=$A42),--ISNUMBER('Данные 2st'!$DH$2:$DH$317))</f>
        <v>1</v>
      </c>
      <c r="KY42">
        <f>SUMPRODUCT(--('Данные 2st'!$Q$2:$Q$317=$A42),--ISNUMBER('Данные 2st'!$DI$2:$DI$317))</f>
        <v>0</v>
      </c>
      <c r="KZ42">
        <f>SUMPRODUCT(--('Данные 2st'!$Q$2:$Q$317=$A42),--ISNUMBER('Данные 2st'!$DK$2:$DK$317))</f>
        <v>1</v>
      </c>
      <c r="LA42">
        <f>SUMPRODUCT(--('Данные 2st'!$Q$2:$Q$317=$A42),--ISNUMBER('Данные 2st'!$DM$2:$DM$317))</f>
        <v>1</v>
      </c>
      <c r="LB42">
        <f>SUMPRODUCT(--('Данные 2st'!$Q$2:$Q$317=$A42),--ISNUMBER('Данные 2st'!$DN$2:$DN$317))</f>
        <v>1</v>
      </c>
      <c r="LC42">
        <f>SUMPRODUCT(--('Данные 2st'!$Q$2:$Q$317=$A42),--ISNUMBER('Данные 2st'!$DO$2:$DO$317))</f>
        <v>1</v>
      </c>
      <c r="LD42">
        <f>SUMPRODUCT(--('Данные 2st'!$Q$2:$Q$317=$A42),--ISNUMBER('Данные 2st'!$DP$2:$DP$317))</f>
        <v>1</v>
      </c>
      <c r="LE42">
        <f>SUMPRODUCT(--('Данные 2st'!$Q$2:$Q$317=$A42),--ISNUMBER('Данные 2st'!$DQ$2:$DQ$317))</f>
        <v>1</v>
      </c>
      <c r="LF42">
        <f>SUMPRODUCT(--('Данные 2st'!$Q$2:$Q$317=$A42),--ISNUMBER('Данные 2st'!$DS$2:$DS$317))</f>
        <v>1</v>
      </c>
      <c r="LG42">
        <f>SUMPRODUCT(--('Данные 2st'!$Q$2:$Q$317=$A42),--ISNUMBER('Данные 2st'!$DU$2:$DU$317))</f>
        <v>1</v>
      </c>
      <c r="LH42">
        <f>SUMPRODUCT(--('Данные 2st'!$Q$2:$Q$317=$A42),--ISNUMBER('Данные 2st'!$DV$2:$DV$317))</f>
        <v>1</v>
      </c>
      <c r="LI42">
        <f>SUMPRODUCT(--('Данные 2st'!$Q$2:$Q$317=$A42),--ISNUMBER('Данные 2st'!$DW$2:$DW$317))</f>
        <v>1</v>
      </c>
      <c r="LJ42">
        <f>SUMPRODUCT(--('Данные 2st'!$Q$2:$Q$317=$A42),--ISNUMBER('Данные 2st'!$DX$2:$DX$317))</f>
        <v>1</v>
      </c>
      <c r="LK42">
        <f>SUMPRODUCT(--('Данные 2st'!$Q$2:$Q$317=$A42),--ISNUMBER('Данные 2st'!$DY$2:$DY$317))</f>
        <v>1</v>
      </c>
      <c r="LL42">
        <f>SUMPRODUCT(--('Данные 2st'!$Q$2:$Q$317=$A42),--ISNUMBER('Данные 2st'!$EA$2:$EA$317))</f>
        <v>1</v>
      </c>
      <c r="LM42">
        <f>SUMPRODUCT(--('Данные 2st'!$Q$2:$Q$317=$A42),--ISNUMBER('Данные 2st'!$EC$2:$EC$317))</f>
        <v>1</v>
      </c>
      <c r="LN42">
        <f>SUMPRODUCT(--('Данные 2st'!$Q$2:$Q$317=$A42),--ISNUMBER('Данные 2st'!$ED$2:$ED$317))</f>
        <v>1</v>
      </c>
      <c r="LO42">
        <f>SUMPRODUCT(--('Данные 2st'!$Q$2:$Q$317=$A42),--ISNUMBER('Данные 2st'!$EE$2:$EE$317))</f>
        <v>1</v>
      </c>
      <c r="LP42">
        <f>SUMPRODUCT(--('Данные 2st'!$Q$2:$Q$317=$A42),--ISNUMBER('Данные 2st'!$EG$2:$EG$317))</f>
        <v>1</v>
      </c>
      <c r="LQ42">
        <f>SUMPRODUCT(--('Данные 2st'!$Q$2:$Q$317=$A42),--ISNUMBER('Данные 2st'!$EI$2:$EI$317))</f>
        <v>1</v>
      </c>
      <c r="LR42">
        <f>SUMPRODUCT(--('Данные 2st'!$Q$2:$Q$317=$A42),--ISNUMBER('Данные 2st'!$EJ$2:$EJ$317))</f>
        <v>0</v>
      </c>
      <c r="LS42">
        <f>SUMPRODUCT(--('Данные 2st'!$Q$2:$Q$317=$A42),--ISNUMBER('Данные 2st'!$EK$2:$EK$317))</f>
        <v>0</v>
      </c>
      <c r="LT42">
        <f>SUMPRODUCT(--('Данные 2st'!$Q$2:$Q$317=$A42),--ISNUMBER('Данные 2st'!$EM$2:$EM$317))</f>
        <v>1</v>
      </c>
      <c r="LU42">
        <f>SUMPRODUCT(--('Данные 2st'!$Q$2:$Q$317=$A42),--ISNUMBER('Данные 2st'!$EN$2:$EN$317))</f>
        <v>1</v>
      </c>
      <c r="LV42">
        <f>SUMPRODUCT(--('Данные 2st'!$Q$2:$Q$317=$A42),--ISNUMBER('Данные 2st'!$EO$2:$EO$317))</f>
        <v>1</v>
      </c>
      <c r="LW42">
        <f>SUMPRODUCT(--('Данные 2st'!$Q$2:$Q$317=$A42),--ISNUMBER('Данные 2st'!$EP$2:$EP$317))</f>
        <v>1</v>
      </c>
      <c r="LX42">
        <f>SUMPRODUCT(--('Данные 2st'!$Q$2:$Q$317=$A42),--ISNUMBER('Данные 2st'!$EQ$2:$EQ$317))</f>
        <v>1</v>
      </c>
      <c r="LY42">
        <f>SUMPRODUCT(--('Данные 2st'!$Q$2:$Q$317=$A42),--ISNUMBER('Данные 2st'!$ER$2:$ER$317))</f>
        <v>1</v>
      </c>
      <c r="LZ42">
        <f>SUMPRODUCT(--('Данные 2st'!$Q$2:$Q$317=$A42),--ISNUMBER('Данные 2st'!$ES$2:$ES$317))</f>
        <v>1</v>
      </c>
      <c r="MA42">
        <f>SUMPRODUCT(--('Данные 2st'!$Q$2:$Q$317=$A42),--ISNUMBER('Данные 2st'!$ET$2:$ET$317))</f>
        <v>1</v>
      </c>
      <c r="MB42">
        <f>SUMPRODUCT(--('Данные 2st'!$Q$2:$Q$317=$A42),--ISNUMBER('Данные 2st'!$EU$2:$EU$317))</f>
        <v>1</v>
      </c>
      <c r="MC42">
        <f>SUMPRODUCT(--('Данные 2st'!$Q$2:$Q$317=$A42),--ISNUMBER('Данные 2st'!$EV$2:$EV$317))</f>
        <v>1</v>
      </c>
      <c r="MD42">
        <f>SUMPRODUCT(--('Данные 2st'!$Q$2:$Q$317=$A42),--ISNUMBER('Данные 2st'!$EW$2:$EW$317))</f>
        <v>1</v>
      </c>
      <c r="ME42">
        <f>SUMPRODUCT(--('Данные 2st'!$Q$2:$Q$317=$A42),--ISNUMBER('Данные 2st'!$EY$2:$EY$317))</f>
        <v>1</v>
      </c>
      <c r="MF42">
        <f>SUMPRODUCT(--('Данные 2st'!$Q$2:$Q$317=$A42),--ISNUMBER('Данные 2st'!$FA$2:$FA$317))</f>
        <v>1</v>
      </c>
      <c r="MG42">
        <f>SUMPRODUCT(--('Данные 2st'!$Q$2:$Q$317=$A42),--ISNUMBER('Данные 2st'!$FB$2:$FB$317))</f>
        <v>1</v>
      </c>
      <c r="MH42">
        <f>SUMPRODUCT(--('Данные 2st'!$Q$2:$Q$317=$A42),--ISNUMBER('Данные 2st'!$FC$2:$FC$317))</f>
        <v>1</v>
      </c>
      <c r="MI42">
        <f>SUMPRODUCT(--('Данные 2st'!$Q$2:$Q$317=$A42),--ISNUMBER('Данные 2st'!$FD$2:$FD$317))</f>
        <v>1</v>
      </c>
      <c r="MJ42">
        <f>SUMPRODUCT(--('Данные 2st'!$Q$2:$Q$317=$A42),--ISNUMBER('Данные 2st'!$FE$2:$FE$317))</f>
        <v>1</v>
      </c>
      <c r="MK42">
        <f>SUMPRODUCT(--('Данные 2st'!$Q$2:$Q$317=$A42),--ISNUMBER('Данные 2st'!$FG$2:$FG$317))</f>
        <v>1</v>
      </c>
      <c r="ML42">
        <f>SUMPRODUCT(--('Данные 2st'!$Q$2:$Q$317=$A42),--ISNUMBER('Данные 2st'!$FI$2:$FI$317))</f>
        <v>1</v>
      </c>
      <c r="MM42">
        <f>SUMPRODUCT(--('Данные 2st'!$Q$2:$Q$317=$A42),--ISNUMBER('Данные 2st'!$FJ$2:$FJ$317))</f>
        <v>1</v>
      </c>
      <c r="MN42">
        <f>SUMPRODUCT(--('Данные 2st'!$Q$2:$Q$317=$A42),--ISNUMBER('Данные 2st'!$FK$2:$FK$317))</f>
        <v>1</v>
      </c>
      <c r="MO42">
        <f>SUMPRODUCT(--('Данные 2st'!$Q$2:$Q$317=$A42),--ISNUMBER('Данные 2st'!$FP$2:$FP$317))</f>
        <v>1</v>
      </c>
      <c r="MP42">
        <f>SUMPRODUCT(--('Данные 2st'!$Q$2:$Q$317=$A42),--ISNUMBER('Данные 2st'!$FQ$2:$FQ$317))</f>
        <v>1</v>
      </c>
      <c r="MQ42">
        <f>SUMPRODUCT(--('Данные 2st'!$Q$2:$Q$317=$A42),--ISNUMBER('Данные 2st'!$FS$2:$FS$317))</f>
        <v>1</v>
      </c>
      <c r="MR42">
        <f>SUMPRODUCT(--('Данные 2st'!$Q$2:$Q$317=$A42),--ISNUMBER('Данные 2st'!$FU$2:$FU$317))</f>
        <v>1</v>
      </c>
      <c r="MS42">
        <f>SUMPRODUCT(--('Данные 2st'!$Q$2:$Q$317=$A42),--ISNUMBER('Данные 2st'!$FV$2:$FV$317))</f>
        <v>1</v>
      </c>
      <c r="MT42">
        <f>SUMPRODUCT(--('Данные 2st'!$Q$2:$Q$317=$A42),--ISNUMBER('Данные 2st'!$FW$2:$FW$317))</f>
        <v>1</v>
      </c>
      <c r="MU42">
        <f>SUMPRODUCT(--('Данные 2st'!$Q$2:$Q$317=$A42),--ISNUMBER('Данные 2st'!$FY$2:$FY$317))</f>
        <v>1</v>
      </c>
      <c r="MV42">
        <f>SUMPRODUCT(--('Данные 2st'!$Q$2:$Q$317=$A42),--ISNUMBER('Данные 2st'!$GB$2:$GB$317))</f>
        <v>1</v>
      </c>
      <c r="MW42">
        <f>SUMPRODUCT(--('Данные 2st'!$Q$2:$Q$317=$A42),--ISNUMBER('Данные 2st'!$GC$2:$GC$317))</f>
        <v>1</v>
      </c>
      <c r="MX42">
        <f>SUMPRODUCT(--('Данные 2st'!$Q$2:$Q$317=$A42),--ISNUMBER('Данные 2st'!$GD$2:$GD$317))</f>
        <v>1</v>
      </c>
      <c r="MY42">
        <f>SUMPRODUCT(--('Данные 2st'!$Q$2:$Q$317=$A42),--ISNUMBER('Данные 2st'!$GN$2:$GN$317))</f>
        <v>0</v>
      </c>
      <c r="MZ42">
        <f>SUMPRODUCT(--('Данные 2st'!$Q$2:$Q$317=$A42),--ISNUMBER('Данные 2st'!$GQ$2:$GQ$317))</f>
        <v>1</v>
      </c>
      <c r="NA42">
        <f>SUMPRODUCT(--('Данные 2st'!$Q$2:$Q$317=$A42),--ISNUMBER('Данные 2st'!$GV$2:$GV$317))</f>
        <v>1</v>
      </c>
      <c r="NB42">
        <f>SUMPRODUCT(--('Данные 2st'!$Q$2:$Q$317=$A42),--ISNUMBER('Данные 2st'!$GW$2:$GW$317))</f>
        <v>1</v>
      </c>
      <c r="NC42">
        <f>SUMPRODUCT(--('Данные 2st'!$Q$2:$Q$317=$A42),--ISNUMBER('Данные 2st'!$GX$2:$GX$317))</f>
        <v>1</v>
      </c>
      <c r="ND42">
        <f>SUMPRODUCT(--('Данные 2st'!$Q$2:$Q$317=$A42),--ISNUMBER('Данные 2st'!$GY$2:$GY$317))</f>
        <v>1</v>
      </c>
      <c r="NE42">
        <f>SUMPRODUCT(--('Данные 2st'!$Q$2:$Q$317=$A42),--ISNUMBER('Данные 2st'!$GZ$2:$GZ$317))</f>
        <v>1</v>
      </c>
      <c r="NF42">
        <f>SUMPRODUCT(--('Данные 2st'!$Q$2:$Q$317=$A42),--ISNUMBER('Данные 2st'!$HA$2:$HA$317))</f>
        <v>1</v>
      </c>
      <c r="NG42">
        <f>SUMPRODUCT(--('Данные 2st'!$Q$2:$Q$317=$A42),--ISNUMBER('Данные 2st'!$HB$2:$HB$317))</f>
        <v>1</v>
      </c>
      <c r="NH42">
        <f>SUMPRODUCT(--('Данные 2st'!$Q$2:$Q$317=$A42),--ISNUMBER('Данные 2st'!$HC$2:$HC$317))</f>
        <v>1</v>
      </c>
      <c r="NI42">
        <f>SUMPRODUCT(--('Данные 2st'!$Q$2:$Q$317=$A42),--ISNUMBER('Данные 2st'!$HD$2:$HD$317))</f>
        <v>1</v>
      </c>
      <c r="NJ42">
        <f>SUMPRODUCT(--('Данные 2st'!$Q$2:$Q$317=$A42),--ISNUMBER('Данные 2st'!$HM$2:$HM$317))</f>
        <v>1</v>
      </c>
      <c r="NK42">
        <f>SUMPRODUCT(--('Данные 2st'!$Q$2:$Q$317=$A42),--ISNUMBER('Данные 2st'!$HR$2:$HR$317))</f>
        <v>1</v>
      </c>
      <c r="NL42">
        <f>SUMPRODUCT(--('Данные 2st'!$Q$2:$Q$317=$A42),--ISNUMBER('Данные 2st'!$HS$2:$HS$317))</f>
        <v>1</v>
      </c>
      <c r="NM42">
        <f>SUMPRODUCT(--('Данные 2st'!$Q$2:$Q$317=$A42),--ISNUMBER('Данные 2st'!$HT$2:$HT$317))</f>
        <v>1</v>
      </c>
      <c r="NN42">
        <f>SUMPRODUCT(--('Данные 2st'!$Q$2:$Q$317=$A42),--ISNUMBER('Данные 2st'!$HY$2:$HY$317))</f>
        <v>1</v>
      </c>
      <c r="NO42">
        <f>SUMPRODUCT(--('Данные 2st'!$Q$2:$Q$317=$A42),--ISNUMBER('Данные 2st'!$HZ$2:$HZ$317))</f>
        <v>1</v>
      </c>
      <c r="NP42">
        <f>SUMPRODUCT(--('Данные 2st'!$Q$2:$Q$317=$A42),--ISNUMBER('Данные 2st'!$IA$2:$IA$317))</f>
        <v>1</v>
      </c>
      <c r="NQ42">
        <f>SUMPRODUCT(--('Данные 2st'!$Q$2:$Q$317=$A42),--ISNUMBER('Данные 2st'!$IB$2:$IB$317))</f>
        <v>1</v>
      </c>
      <c r="NR42">
        <f>SUMPRODUCT(--('Данные 2st'!$Q$2:$Q$317=$A42),--ISNUMBER('Данные 2st'!$IC$2:$IC$317))</f>
        <v>0</v>
      </c>
      <c r="NS42">
        <f>SUMPRODUCT(--('Данные 2st'!$Q$2:$Q$317=$A42),--ISNUMBER('Данные 2st'!$ID$2:$ID$317))</f>
        <v>1</v>
      </c>
      <c r="NT42">
        <f>SUMPRODUCT(--('Данные 2st'!$Q$2:$Q$317=$A42),--ISNUMBER('Данные 2st'!$IE$2:$IE$317))</f>
        <v>1</v>
      </c>
      <c r="NU42">
        <f>SUMPRODUCT(--('Данные 2st'!$Q$2:$Q$317=$A42),--ISNUMBER('Данные 2st'!$IF$2:$IF$317))</f>
        <v>1</v>
      </c>
      <c r="NV42">
        <f>SUMPRODUCT(--('Данные 2st'!$Q$2:$Q$317=$A42),--ISNUMBER('Данные 2st'!$IG$2:$IG$317))</f>
        <v>1</v>
      </c>
      <c r="NW42">
        <f>SUMPRODUCT(--('Данные 2st'!$Q$2:$Q$317=$A42),--ISNUMBER('Данные 2st'!$IH$2:$IH$317))</f>
        <v>1</v>
      </c>
      <c r="NX42">
        <f>SUMPRODUCT(--('Данные 2st'!$Q$2:$Q$317=$A42),--ISNUMBER('Данные 2st'!$IJ$2:$IJ$317))</f>
        <v>1</v>
      </c>
      <c r="NY42">
        <f>SUMPRODUCT(--('Данные 2st'!$Q$2:$Q$317=$A42),--ISNUMBER('Данные 2st'!$IM$2:$IM$317))</f>
        <v>1</v>
      </c>
      <c r="NZ42">
        <f>SUMPRODUCT(--('Данные 2st'!$Q$2:$Q$317=$A42),--ISNUMBER('Данные 2st'!$IN$2:$IN$317))</f>
        <v>1</v>
      </c>
      <c r="OA42">
        <f>SUMPRODUCT(--('Данные 2st'!$Q$2:$Q$317=$A42),--ISNUMBER('Данные 2st'!$IO$2:$IO$317))</f>
        <v>1</v>
      </c>
      <c r="OB42">
        <f>SUMPRODUCT(--('Данные 2st'!$Q$2:$Q$317=$A42),--ISNUMBER('Данные 2st'!$IP$2:$IP$317))</f>
        <v>1</v>
      </c>
      <c r="OC42">
        <f>SUMPRODUCT(--('Данные 2st'!$Q$2:$Q$317=$A42),--ISNUMBER('Данные 2st'!$IQ$2:$IQ$317))</f>
        <v>1</v>
      </c>
      <c r="OD42">
        <f>SUMPRODUCT(--('Данные 2st'!$Q$2:$Q$317=$A42),--ISNUMBER('Данные 2st'!$IR$2:$IR$317))</f>
        <v>1</v>
      </c>
      <c r="OE42">
        <f>SUMPRODUCT(--('Данные 2st'!$Q$2:$Q$317=$A42),--ISNUMBER('Данные 2st'!$IT$2:$IT$317))</f>
        <v>1</v>
      </c>
      <c r="OF42">
        <f>SUMPRODUCT(--('Данные 2st'!$Q$2:$Q$317=$A42),--ISNUMBER('Данные 2st'!$IU$2:$IU$317))</f>
        <v>1</v>
      </c>
      <c r="OG42">
        <f>SUMPRODUCT(--('Данные 2st'!$Q$2:$Q$317=$A42),--ISNUMBER('Данные 2st'!$IV$2:$IV$317))</f>
        <v>1</v>
      </c>
      <c r="OH42">
        <f>SUMPRODUCT(--('Данные 2st'!$Q$2:$Q$317=$A42),--ISNUMBER('Данные 2st'!$IW$2:$IW$317))</f>
        <v>1</v>
      </c>
      <c r="OI42">
        <f>SUMPRODUCT(--('Данные 2st'!$Q$2:$Q$317=$A42),--ISNUMBER('Данные 2st'!$IX$2:$IX$317))</f>
        <v>1</v>
      </c>
      <c r="OJ42">
        <f>SUMPRODUCT(--('Данные 2st'!$Q$2:$Q$317=$A42),--ISNUMBER('Данные 2st'!$IY$2:$IY$317))</f>
        <v>1</v>
      </c>
      <c r="OK42">
        <f>SUMPRODUCT(--('Данные 2st'!$Q$2:$Q$317=$A42),--ISNUMBER('Данные 2st'!$IZ$2:$IZ$317))</f>
        <v>1</v>
      </c>
      <c r="OL42">
        <f>SUMPRODUCT(--('Данные 2st'!$Q$2:$Q$317=$A42),--ISNUMBER('Данные 2st'!$JA$2:$JA$317))</f>
        <v>1</v>
      </c>
      <c r="OM42">
        <f>SUMPRODUCT(--('Данные 2st'!$Q$2:$Q$317=$A42),--ISNUMBER('Данные 2st'!$JB$2:$JB$317))</f>
        <v>1</v>
      </c>
      <c r="ON42">
        <f>SUMPRODUCT(--('Данные 2st'!$Q$2:$Q$317=$A42),--ISNUMBER('Данные 2st'!$JC$2:$JC$317))</f>
        <v>1</v>
      </c>
      <c r="OO42">
        <f>SUMPRODUCT(--('Данные 2st'!$Q$2:$Q$317=$A42),--ISNUMBER('Данные 2st'!$JD$2:$JD$317))</f>
        <v>1</v>
      </c>
      <c r="OP42">
        <f>SUMPRODUCT(--('Данные 2st'!$Q$2:$Q$317=$A42),--ISNUMBER('Данные 2st'!$JE$2:$JE$317))</f>
        <v>1</v>
      </c>
      <c r="OQ42">
        <f>SUMPRODUCT(--('Данные 2st'!$Q$2:$Q$317=$A42),--ISNUMBER('Данные 2st'!$JF$2:$JF$317))</f>
        <v>1</v>
      </c>
      <c r="OR42">
        <f>SUMPRODUCT(--('Данные 2st'!$Q$2:$Q$317=$A42),--ISNUMBER('Данные 2st'!$JG$2:$JG$317))</f>
        <v>1</v>
      </c>
      <c r="OS42">
        <f>SUMPRODUCT(--('Данные 2st'!$Q$2:$Q$317=$A42),--ISNUMBER('Данные 2st'!$JH$2:$JH$317))</f>
        <v>1</v>
      </c>
      <c r="OT42">
        <f>SUMPRODUCT(--('Данные 2st'!$Q$2:$Q$317=$A42),--ISNUMBER('Данные 2st'!$JI$2:$JI$317))</f>
        <v>1</v>
      </c>
      <c r="OU42">
        <f>SUMPRODUCT(--('Данные 2st'!$Q$2:$Q$317=$A42),--ISNUMBER('Данные 2st'!$JJ$2:$JJ$317))</f>
        <v>1</v>
      </c>
      <c r="OV42">
        <f>SUMPRODUCT(--('Данные 2st'!$Q$2:$Q$317=$A42),--ISNUMBER('Данные 2st'!$JK$2:$JK$317))</f>
        <v>1</v>
      </c>
      <c r="OW42">
        <f>SUMPRODUCT(--('Данные 2st'!$Q$2:$Q$317=$A42),--ISNUMBER('Данные 2st'!$JL$2:$JL$317))</f>
        <v>1</v>
      </c>
      <c r="OX42">
        <f>SUMPRODUCT(--('Данные 2st'!$Q$2:$Q$317=$A42),--ISNUMBER('Данные 2st'!$JM$2:$JM$317))</f>
        <v>1</v>
      </c>
      <c r="OY42">
        <f>SUMPRODUCT(--('Данные 2st'!$Q$2:$Q$317=$A42),--ISNUMBER('Данные 2st'!$JP$2:$JP$317))</f>
        <v>1</v>
      </c>
      <c r="OZ42">
        <f>SUMPRODUCT(--('Данные 2st'!$Q$2:$Q$317=$A42),--ISNUMBER('Данные 2st'!$JQ$2:$JQ$317))</f>
        <v>1</v>
      </c>
      <c r="PA42">
        <f>SUMPRODUCT(--('Данные 2st'!$Q$2:$Q$317=$A42),--ISNUMBER('Данные 2st'!$JR$2:$JR$317))</f>
        <v>1</v>
      </c>
      <c r="PB42">
        <f>SUMPRODUCT(--('Данные 2st'!$Q$2:$Q$317=$A42),--ISNUMBER('Данные 2st'!$JS$2:$JS$317))</f>
        <v>1</v>
      </c>
      <c r="PC42">
        <f>SUMPRODUCT(--('Данные 2st'!$Q$2:$Q$317=$A42),--ISNUMBER('Данные 2st'!$JT$2:$JT$317))</f>
        <v>1</v>
      </c>
      <c r="PD42">
        <f>SUMPRODUCT(--('Данные 2st'!$Q$2:$Q$317=$A42),--ISNUMBER('Данные 2st'!$JU$2:$JU$317))</f>
        <v>1</v>
      </c>
      <c r="PE42">
        <f>SUMPRODUCT(--('Данные 2st'!$Q$2:$Q$317=$A42),--ISNUMBER('Данные 2st'!$JV$2:$JV$317))</f>
        <v>1</v>
      </c>
      <c r="PF42">
        <f>SUMPRODUCT(--('Данные 2st'!$Q$2:$Q$317=$A42),--ISNUMBER('Данные 2st'!$JW$2:$JW$317))</f>
        <v>1</v>
      </c>
      <c r="PG42">
        <f>SUMPRODUCT(--('Данные 2st'!$Q$2:$Q$317=$A42),--ISNUMBER('Данные 2st'!$KF$2:$KF$317))</f>
        <v>1</v>
      </c>
      <c r="PH42">
        <f>SUMPRODUCT(--('Данные 2st'!$Q$2:$Q$317=$A42),--ISNUMBER('Данные 2st'!$KG$2:$KG$317))</f>
        <v>1</v>
      </c>
      <c r="PI42">
        <f>SUMPRODUCT(--('Данные 2st'!$Q$2:$Q$317=$A42),--ISNUMBER('Данные 2st'!$KM$2:$KM$317))</f>
        <v>1</v>
      </c>
      <c r="PJ42">
        <f>SUMPRODUCT(--('Данные 2st'!$Q$2:$Q$317=$A42),--ISNUMBER('Данные 2st'!$KN$2:$KN$317))</f>
        <v>1</v>
      </c>
      <c r="PK42">
        <f>SUMPRODUCT(--('Данные 2st'!$Q$2:$Q$317=$A42),--ISNUMBER('Данные 2st'!$KO$2:$KO$317))</f>
        <v>1</v>
      </c>
      <c r="PL42">
        <f>SUMPRODUCT(--('Данные 2st'!$Q$2:$Q$317=$A42),--ISNUMBER('Данные 2st'!$KP$2:$KP$317))</f>
        <v>1</v>
      </c>
      <c r="PM42">
        <f>SUMPRODUCT(--('Данные 2st'!$Q$2:$Q$317=$A42),--ISNUMBER('Данные 2st'!$KQ$2:$KQ$317))</f>
        <v>1</v>
      </c>
      <c r="PN42">
        <f>SUMPRODUCT(--('Данные 2st'!$Q$2:$Q$317=$A42),--ISNUMBER('Данные 2st'!$KR$2:$KR$317))</f>
        <v>1</v>
      </c>
      <c r="PO42">
        <f>SUMPRODUCT(--('Данные 2st'!$Q$2:$Q$317=$A42),--ISNUMBER('Данные 2st'!$KS$2:$KS$317))</f>
        <v>1</v>
      </c>
      <c r="PP42">
        <f>SUMPRODUCT(--('Данные 2st'!$Q$2:$Q$317=$A42),--ISNUMBER('Данные 2st'!$KT$2:$KT$317))</f>
        <v>1</v>
      </c>
      <c r="PQ42">
        <f>SUMPRODUCT(--('Данные 2st'!$Q$2:$Q$317=$A42),--ISNUMBER('Данные 2st'!$KU$2:$KU$317))</f>
        <v>1</v>
      </c>
      <c r="PR42">
        <f>SUMPRODUCT(--('Данные 2st'!$Q$2:$Q$317=$A42),--ISNUMBER('Данные 2st'!$KV$2:$KV$317))</f>
        <v>1</v>
      </c>
      <c r="PS42">
        <f>SUMPRODUCT(--('Данные 2st'!$Q$2:$Q$317=$A42),--ISNUMBER('Данные 2st'!$KW$2:$KW$317))</f>
        <v>1</v>
      </c>
      <c r="PT42">
        <f>SUMPRODUCT(--('Данные 2st'!$Q$2:$Q$317=$A42),--ISNUMBER('Данные 2st'!$KX$2:$KX$317))</f>
        <v>1</v>
      </c>
      <c r="PU42">
        <f>SUMPRODUCT(--('Данные 2st'!$Q$2:$Q$317=$A42),--ISNUMBER('Данные 2st'!$KY$2:$KY$317))</f>
        <v>1</v>
      </c>
      <c r="PV42">
        <f>SUMPRODUCT(--('Данные 2st'!$Q$2:$Q$317=$A42),--ISNUMBER('Данные 2st'!$KZ$2:$KZ$317))</f>
        <v>1</v>
      </c>
      <c r="PW42">
        <f>SUMPRODUCT(--('Данные 2st'!$Q$2:$Q$317=$A42),--ISNUMBER('Данные 2st'!$LA$2:$LA$317))</f>
        <v>1</v>
      </c>
      <c r="PX42">
        <f>SUMPRODUCT(--('Данные 2st'!$Q$2:$Q$317=$A42),--ISNUMBER('Данные 2st'!$LB$2:$LB$317))</f>
        <v>1</v>
      </c>
      <c r="PY42">
        <f>SUMPRODUCT(--('Данные 2st'!$Q$2:$Q$317=$A42),--ISNUMBER('Данные 2st'!$LC$2:$LC$317))</f>
        <v>1</v>
      </c>
      <c r="PZ42">
        <f>SUMPRODUCT(--('Данные 2st'!$Q$2:$Q$317=$A42),--ISNUMBER('Данные 2st'!$LD$2:$LD$317))</f>
        <v>1</v>
      </c>
      <c r="QA42">
        <f>SUMPRODUCT(--('Данные 2st'!$Q$2:$Q$317=$A42),--ISNUMBER('Данные 2st'!$LE$2:$LE$317))</f>
        <v>1</v>
      </c>
      <c r="QB42">
        <f>SUMPRODUCT(--('Данные 2st'!$Q$2:$Q$317=$A42),--ISNUMBER('Данные 2st'!$LF$2:$LF$317))</f>
        <v>1</v>
      </c>
      <c r="QC42">
        <f>SUMPRODUCT(--('Данные 2st'!$Q$2:$Q$317=$A42),--ISNUMBER('Данные 2st'!$LG$2:$LG$317))</f>
        <v>1</v>
      </c>
      <c r="QD42">
        <f>SUMPRODUCT(--('Данные 2st'!$Q$2:$Q$317=$A42),--ISNUMBER('Данные 2st'!$LH$2:$LH$317))</f>
        <v>1</v>
      </c>
      <c r="QE42">
        <f>SUMPRODUCT(--('Данные 2st'!$Q$2:$Q$317=$A42),--ISNUMBER('Данные 2st'!$LJ$2:$LJ$317))</f>
        <v>1</v>
      </c>
      <c r="QF42">
        <f>SUMPRODUCT(--('Данные 2st'!$Q$2:$Q$317=$A42),--ISNUMBER('Данные 2st'!$LK$2:$LK$317))</f>
        <v>1</v>
      </c>
      <c r="QG42">
        <f>SUMPRODUCT(--('Данные 2st'!$Q$2:$Q$317=$A42),--ISNUMBER('Данные 2st'!$LL$2:$LL$317))</f>
        <v>1</v>
      </c>
      <c r="QH42">
        <f>SUMPRODUCT(--('Данные 2st'!$Q$2:$Q$317=$A42),--ISNUMBER('Данные 2st'!$LM$2:$LM$317))</f>
        <v>1</v>
      </c>
      <c r="QI42">
        <f>SUMPRODUCT(--('Данные 2st'!$Q$2:$Q$317=$A42),--ISNUMBER('Данные 2st'!$LN$2:$LN$317))</f>
        <v>1</v>
      </c>
      <c r="QJ42">
        <f>SUMPRODUCT(--('Данные 2st'!$Q$2:$Q$317=$A42),--ISNUMBER('Данные 2st'!$LO$2:$LO$317))</f>
        <v>1</v>
      </c>
      <c r="QK42">
        <f>SUMPRODUCT(--('Данные 2st'!$Q$2:$Q$317=$A42),--ISNUMBER('Данные 2st'!$LP$2:$LP$317))</f>
        <v>1</v>
      </c>
      <c r="QL42">
        <f>SUMPRODUCT(--('Данные 2st'!$Q$2:$Q$317=$A42),--ISNUMBER('Данные 2st'!$LQ$2:$LQ$317))</f>
        <v>1</v>
      </c>
      <c r="QM42">
        <f>SUMPRODUCT(--('Данные 2st'!$Q$2:$Q$317=$A42),--ISNUMBER('Данные 2st'!$LW$2:$LW$317))</f>
        <v>1</v>
      </c>
      <c r="QN42">
        <f>SUMPRODUCT(--('Данные 2st'!$Q$2:$Q$317=$A42),--ISNUMBER('Данные 2st'!$LX$2:$LX$317))</f>
        <v>1</v>
      </c>
      <c r="QO42">
        <f>SUMPRODUCT(--('Данные 2st'!$Q$2:$Q$317=$A42),--ISNUMBER('Данные 2st'!$LY$2:$LY$317))</f>
        <v>1</v>
      </c>
      <c r="QP42">
        <f>SUMPRODUCT(--('Данные 2st'!$Q$2:$Q$317=$A42),--ISNUMBER('Данные 2st'!$LZ$2:$LZ$317))</f>
        <v>1</v>
      </c>
      <c r="QQ42">
        <f>SUMPRODUCT(--('Данные 2st'!$Q$2:$Q$317=$A42),--ISNUMBER('Данные 2st'!$MB$2:$MB$317))</f>
        <v>1</v>
      </c>
      <c r="QR42">
        <f>SUMPRODUCT(--('Данные 2st'!$Q$2:$Q$317=$A42),--ISNUMBER('Данные 2st'!$MG$2:$MG$317))</f>
        <v>0</v>
      </c>
      <c r="QS42">
        <f>SUMPRODUCT(--('Данные 2st'!$Q$2:$Q$317=$A42),--ISNUMBER('Данные 2st'!$MH$2:$MH$317))</f>
        <v>0</v>
      </c>
      <c r="QT42">
        <f>SUMPRODUCT(--('Данные 2st'!$Q$2:$Q$317=$A42),--ISNUMBER('Данные 2st'!$MI$2:$MI$317))</f>
        <v>1</v>
      </c>
      <c r="QU42">
        <f>SUMPRODUCT(--('Данные 2st'!$Q$2:$Q$317=$A42),--ISNUMBER('Данные 2st'!$MJ$2:$MJ$317))</f>
        <v>1</v>
      </c>
      <c r="QV42">
        <f>SUMPRODUCT(--('Данные 2st'!$Q$2:$Q$317=$A42),--ISNUMBER('Данные 2st'!$MK$2:$MK$317))</f>
        <v>0</v>
      </c>
      <c r="QW42">
        <f>SUMPRODUCT(--('Данные 2st'!$Q$2:$Q$317=$A42),--ISNUMBER('Данные 2st'!$MM$2:$MM$317))</f>
        <v>1</v>
      </c>
      <c r="QX42">
        <f>SUMPRODUCT(--('Данные 2st'!$Q$2:$Q$317=$A42),--ISNUMBER('Данные 2st'!$MQ$2:$MQ$317))</f>
        <v>0</v>
      </c>
      <c r="QY42">
        <f>SUMPRODUCT(--('Данные 2st'!$Q$2:$Q$317=$A42),--ISNUMBER('Данные 2st'!$MR$2:$MR$317))</f>
        <v>0</v>
      </c>
      <c r="QZ42">
        <f>SUMPRODUCT(--('Данные 2st'!$Q$2:$Q$317=$A42),--ISNUMBER('Данные 2st'!$MS$2:$MS$317))</f>
        <v>0</v>
      </c>
      <c r="RA42">
        <f>SUMPRODUCT(--('Данные 2st'!$Q$2:$Q$317=$A42),--ISNUMBER('Данные 2st'!$MT$2:$MT$317))</f>
        <v>0</v>
      </c>
      <c r="RB42">
        <f>SUMPRODUCT(--('Данные 2st'!$Q$2:$Q$317=$A42),--ISNUMBER('Данные 2st'!$MU$2:$MU$317))</f>
        <v>0</v>
      </c>
      <c r="RC42">
        <f>SUMPRODUCT(--('Данные 2st'!$Q$2:$Q$317=$A42),--ISNUMBER('Данные 2st'!$MV$2:$MV$317))</f>
        <v>0</v>
      </c>
      <c r="RD42">
        <f>SUMPRODUCT(--('Данные 2st'!$Q$2:$Q$317=$A42),--ISNUMBER('Данные 2st'!$MW$2:$MW$317))</f>
        <v>0</v>
      </c>
      <c r="RE42">
        <f>SUMPRODUCT(--('Данные 2st'!$Q$2:$Q$317=$A42),--ISNUMBER('Данные 2st'!$MX$2:$MX$317))</f>
        <v>0</v>
      </c>
      <c r="RF42">
        <f>SUMPRODUCT(--('Данные 2st'!$Q$2:$Q$317=$A42),--ISNUMBER('Данные 2st'!$MY$2:$MY$317))</f>
        <v>0</v>
      </c>
      <c r="RG42">
        <f>SUMPRODUCT(--('Данные 2st'!$Q$2:$Q$317=$A42),--ISNUMBER('Данные 2st'!$MZ$2:$MZ$317))</f>
        <v>0</v>
      </c>
      <c r="RH42">
        <f>SUMPRODUCT(--('Данные 2st'!$Q$2:$Q$317=$A42),--ISNUMBER('Данные 2st'!$NA$2:$NA$317))</f>
        <v>0</v>
      </c>
      <c r="RI42">
        <f>SUMPRODUCT(--('Данные 2st'!$Q$2:$Q$317=$A42),--ISNUMBER('Данные 2st'!$NB$2:$NB$317))</f>
        <v>0</v>
      </c>
      <c r="RJ42">
        <f>SUMPRODUCT(--('Данные 2st'!$Q$2:$Q$317=$A42),--ISNUMBER('Данные 2st'!$NC$2:$NC$317))</f>
        <v>0</v>
      </c>
      <c r="RK42">
        <f>SUMPRODUCT(--('Данные 2st'!$Q$2:$Q$317=$A42),--ISNUMBER('Данные 2st'!$ND$2:$ND$317))</f>
        <v>0</v>
      </c>
      <c r="RL42">
        <f>SUMPRODUCT(--('Данные 2st'!$Q$2:$Q$317=$A42),--ISNUMBER('Данные 2st'!$NE$2:$NE$317))</f>
        <v>0</v>
      </c>
      <c r="RM42">
        <f>SUMPRODUCT(--('Данные 2st'!$Q$2:$Q$317=$A42),--ISNUMBER('Данные 2st'!$NF$2:$NF$317))</f>
        <v>0</v>
      </c>
      <c r="RN42">
        <f>SUMPRODUCT(--('Данные 2st'!$Q$2:$Q$317=$A42),--ISNUMBER('Данные 2st'!$NG$2:$NG$317))</f>
        <v>0</v>
      </c>
      <c r="RO42">
        <f>SUMPRODUCT(--('Данные 2st'!$Q$2:$Q$317=$A42),--ISNUMBER('Данные 2st'!$NH$2:$NH$317))</f>
        <v>1</v>
      </c>
      <c r="RP42">
        <f>SUMPRODUCT(--('Данные 2st'!$Q$2:$Q$317=$A42),--ISNUMBER('Данные 2st'!$NJ$2:$NJ$317))</f>
        <v>1</v>
      </c>
      <c r="RQ42">
        <f>SUMPRODUCT(--('Данные 2st'!$Q$2:$Q$317=$A42),--ISNUMBER('Данные 2st'!$NK$2:$NK$317))</f>
        <v>1</v>
      </c>
      <c r="RR42">
        <f>SUMPRODUCT(--('Данные 2st'!$Q$2:$Q$317=$A42),--ISNUMBER('Данные 2st'!$NM$2:$NM$317))</f>
        <v>1</v>
      </c>
      <c r="RS42">
        <f>SUMPRODUCT(--('Данные 2st'!$Q$2:$Q$317=$A42),--ISNUMBER('Данные 2st'!$NN$2:$NN$317))</f>
        <v>0</v>
      </c>
      <c r="RT42">
        <f>SUMPRODUCT(--('Данные 2st'!$Q$2:$Q$317=$A42),--ISNUMBER('Данные 2st'!$NO$2:$NO$317))</f>
        <v>0</v>
      </c>
      <c r="RU42">
        <f>SUMPRODUCT(--('Данные 2st'!$Q$2:$Q$317=$A42),--ISNUMBER('Данные 2st'!$NP$2:$NP$317))</f>
        <v>0</v>
      </c>
      <c r="RV42">
        <f>SUMPRODUCT(--('Данные 2st'!$Q$2:$Q$317=$A42),--ISNUMBER('Данные 2st'!$NQ$2:$NQ$317))</f>
        <v>0</v>
      </c>
      <c r="RW42">
        <f>SUMPRODUCT(--('Данные 2st'!$Q$2:$Q$317=$A42),--ISNUMBER('Данные 2st'!$NR$2:$NR$317))</f>
        <v>0</v>
      </c>
      <c r="RX42">
        <f>SUMPRODUCT(--('Данные 2st'!$Q$2:$Q$317=$A42),--ISNUMBER('Данные 2st'!$NS$2:$NS$317))</f>
        <v>0</v>
      </c>
      <c r="RY42">
        <f>SUMPRODUCT(--('Данные 2st'!$Q$2:$Q$317=$A42),--ISNUMBER('Данные 2st'!$NT$2:$NT$317))</f>
        <v>0</v>
      </c>
      <c r="RZ42">
        <f>SUMPRODUCT(--('Данные 2st'!$Q$2:$Q$317=$A42),--ISNUMBER('Данные 2st'!$OK$2:$OK$317))</f>
        <v>1</v>
      </c>
      <c r="SA42">
        <f>SUMPRODUCT(--('Данные 2st'!$Q$2:$Q$317=$A42),--ISNUMBER('Данные 2st'!$OL$2:$OL$317))</f>
        <v>1</v>
      </c>
      <c r="SB42">
        <f>SUMPRODUCT(--('Данные 2st'!$Q$2:$Q$317=$A42),--ISNUMBER('Данные 2st'!$ON$2:$ON$317))</f>
        <v>1</v>
      </c>
      <c r="SC42">
        <f>SUMPRODUCT(--('Данные 2st'!$Q$2:$Q$317=$A42),--ISNUMBER('Данные 2st'!$OO$2:$OO$317))</f>
        <v>1</v>
      </c>
      <c r="SD42">
        <f>SUMPRODUCT(--('Данные 2st'!$Q$2:$Q$317=$A42),--ISNUMBER('Данные 2st'!$OP$2:$OP$317))</f>
        <v>1</v>
      </c>
      <c r="SE42">
        <f>SUMPRODUCT(--('Данные 2st'!$Q$2:$Q$317=$A42),--ISNUMBER('Данные 2st'!$OQ$2:$OQ$317))</f>
        <v>1</v>
      </c>
      <c r="SF42">
        <f>SUMPRODUCT(--('Данные 2st'!$Q$2:$Q$317=$A42),--ISNUMBER('Данные 2st'!$OS$2:$OS$317))</f>
        <v>1</v>
      </c>
      <c r="SG42">
        <f>SUMPRODUCT(--('Данные 2st'!$Q$2:$Q$317=$A42),--ISNUMBER('Данные 2st'!$OT$2:$OT$317))</f>
        <v>1</v>
      </c>
      <c r="SH42">
        <f>SUMPRODUCT(--('Данные 2st'!$Q$2:$Q$317=$A42),--ISNUMBER('Данные 2st'!$OU$2:$OU$317))</f>
        <v>1</v>
      </c>
      <c r="SI42">
        <f>SUMPRODUCT(--('Данные 2st'!$Q$2:$Q$317=$A42),--ISNUMBER('Данные 2st'!$OV$2:$OV$317))</f>
        <v>1</v>
      </c>
      <c r="SJ42">
        <f>SUMPRODUCT(--('Данные 2st'!$Q$2:$Q$317=$A42),--ISNUMBER('Данные 2st'!$OX$2:$OX$317))</f>
        <v>1</v>
      </c>
      <c r="SK42">
        <f>SUMPRODUCT(--('Данные 2st'!$Q$2:$Q$317=$A42),--ISNUMBER('Данные 2st'!$OY$2:$OY$317))</f>
        <v>1</v>
      </c>
      <c r="SL42">
        <f>SUMPRODUCT(--('Данные 2st'!$Q$2:$Q$317=$A42),--ISNUMBER('Данные 2st'!$OZ$2:$OZ$317))</f>
        <v>1</v>
      </c>
      <c r="SM42">
        <f>SUMPRODUCT(--('Данные 2st'!$Q$2:$Q$317=$A42),--ISNUMBER('Данные 2st'!$PA$2:$PA$317))</f>
        <v>1</v>
      </c>
      <c r="SN42">
        <f>SUMPRODUCT(--('Данные 2st'!$Q$2:$Q$317=$A42),--ISNUMBER('Данные 2st'!$PC$2:$PC$317))</f>
        <v>1</v>
      </c>
      <c r="SO42">
        <f>SUMPRODUCT(--('Данные 2st'!$Q$2:$Q$317=$A42),--ISNUMBER('Данные 2st'!$PD$2:$PD$317))</f>
        <v>1</v>
      </c>
      <c r="SP42">
        <f>SUMPRODUCT(--('Данные 2st'!$Q$2:$Q$317=$A42),--ISNUMBER('Данные 2st'!$PF$2:$PF$317))</f>
        <v>1</v>
      </c>
      <c r="SQ42">
        <f>SUMPRODUCT(--('Данные 2st'!$Q$2:$Q$317=$A42),--ISNUMBER('Данные 2st'!$PG$2:$PG$317))</f>
        <v>1</v>
      </c>
      <c r="SR42">
        <f>SUMPRODUCT(--('Данные 2st'!$Q$2:$Q$317=$A42),--ISNUMBER('Данные 2st'!$PH$2:$PH$317))</f>
        <v>1</v>
      </c>
      <c r="SS42">
        <f>SUMPRODUCT(--('Данные 2st'!$Q$2:$Q$317=$A42),--ISNUMBER('Данные 2st'!$PI$2:$PI$317))</f>
        <v>1</v>
      </c>
      <c r="ST42">
        <f>SUMPRODUCT(--('Данные 2st'!$Q$2:$Q$317=$A42),--ISNUMBER('Данные 2st'!$PJ$2:$PJ$317))</f>
        <v>1</v>
      </c>
      <c r="SU42">
        <f>SUMPRODUCT(--('Данные 2st'!$Q$2:$Q$317=$A42),--ISNUMBER('Данные 2st'!$PK$2:$PK$317))</f>
        <v>1</v>
      </c>
      <c r="SV42">
        <f>SUMPRODUCT(--('Данные 2st'!$Q$2:$Q$317=$A42),--ISNUMBER('Данные 2st'!$PL$2:$PL$317))</f>
        <v>1</v>
      </c>
      <c r="SW42">
        <f>SUMPRODUCT(--('Данные 2st'!$Q$2:$Q$317=$A42),--ISNUMBER('Данные 2st'!$PM$2:$PM$317))</f>
        <v>1</v>
      </c>
      <c r="SX42">
        <f>SUMPRODUCT(--('Данные 2st'!$Q$2:$Q$317=$A42),--ISNUMBER('Данные 2st'!$PN$2:$PN$317))</f>
        <v>1</v>
      </c>
      <c r="SY42">
        <f>SUMPRODUCT(--('Данные 2st'!$Q$2:$Q$317=$A42),--ISNUMBER('Данные 2st'!$PO$2:$PO$317))</f>
        <v>1</v>
      </c>
      <c r="SZ42">
        <f>SUMPRODUCT(--('Данные 2st'!$Q$2:$Q$317=$A42),--ISNUMBER('Данные 2st'!$PP$2:$PP$317))</f>
        <v>1</v>
      </c>
      <c r="TA42">
        <f>SUMPRODUCT(--('Данные 2st'!$Q$2:$Q$317=$A42),--ISNUMBER('Данные 2st'!$PQ$2:$PQ$317))</f>
        <v>1</v>
      </c>
      <c r="TB42">
        <f>SUMPRODUCT(--('Данные 2st'!$Q$2:$Q$317=$A42),--ISNUMBER('Данные 2st'!$PR$2:$PR$317))</f>
        <v>1</v>
      </c>
      <c r="TC42">
        <f>SUMPRODUCT(--('Данные 2st'!$Q$2:$Q$317=$A42),--ISNUMBER('Данные 2st'!$PS$2:$PS$317))</f>
        <v>1</v>
      </c>
      <c r="TD42">
        <f>SUMPRODUCT(--('Данные 2st'!$Q$2:$Q$317=$A42),--ISNUMBER('Данные 2st'!$PT$2:$PT$317))</f>
        <v>1</v>
      </c>
      <c r="TE42">
        <f>SUMPRODUCT(--('Данные 2st'!$Q$2:$Q$317=$A42),--ISNUMBER('Данные 2st'!$PU$2:$PU$317))</f>
        <v>1</v>
      </c>
      <c r="TF42">
        <f>SUMPRODUCT(--('Данные 2st'!$Q$2:$Q$317=$A42),--ISNUMBER('Данные 2st'!$PX$2:$PX$317))</f>
        <v>1</v>
      </c>
      <c r="TG42">
        <f>SUMPRODUCT(--('Данные 2st'!$Q$2:$Q$317=$A42),--ISNUMBER('Данные 2st'!$PY$2:$PY$317))</f>
        <v>1</v>
      </c>
      <c r="TH42">
        <f>SUMPRODUCT(--('Данные 2st'!$Q$2:$Q$317=$A42),--ISNUMBER('Данные 2st'!$PZ$2:$PZ$317))</f>
        <v>1</v>
      </c>
      <c r="TI42">
        <f>SUMPRODUCT(--('Данные 2st'!$Q$2:$Q$317=$A42),--ISNUMBER('Данные 2st'!$QA$2:$QA$317))</f>
        <v>1</v>
      </c>
      <c r="TJ42">
        <f>SUMPRODUCT(--('Данные 2st'!$Q$2:$Q$317=$A42),--ISNUMBER('Данные 2st'!$QB$2:$QB$317))</f>
        <v>1</v>
      </c>
      <c r="TK42">
        <f>SUMPRODUCT(--('Данные 2st'!$Q$2:$Q$317=$A42),--ISNUMBER('Данные 2st'!$QC$2:$QC$317))</f>
        <v>1</v>
      </c>
      <c r="TL42">
        <f>SUMPRODUCT(--('Данные 2st'!$Q$2:$Q$317=$A42),--ISNUMBER('Данные 2st'!$QD$2:$QD$317))</f>
        <v>1</v>
      </c>
      <c r="TM42">
        <f>SUMPRODUCT(--('Данные 2st'!$Q$2:$Q$317=$A42),--ISNUMBER('Данные 2st'!$QE$2:$QE$317))</f>
        <v>1</v>
      </c>
      <c r="TN42">
        <f>SUMPRODUCT(--('Данные 2st'!$Q$2:$Q$317=$A42),--ISNUMBER('Данные 2st'!$QF$2:$QF$317))</f>
        <v>1</v>
      </c>
      <c r="TO42">
        <f>SUMPRODUCT(--('Данные 2st'!$Q$2:$Q$317=$A42),--ISNUMBER('Данные 2st'!$QG$2:$QG$317))</f>
        <v>1</v>
      </c>
      <c r="TP42">
        <f>SUMPRODUCT(--('Данные 2st'!$Q$2:$Q$317=$A42),--ISNUMBER('Данные 2st'!$QH$2:$QH$317))</f>
        <v>1</v>
      </c>
      <c r="TQ42">
        <f>SUMPRODUCT(--('Данные 2st'!$Q$2:$Q$317=$A42),--ISNUMBER('Данные 2st'!$QI$2:$QI$317))</f>
        <v>1</v>
      </c>
      <c r="TR42">
        <f>SUMPRODUCT(--('Данные 2st'!$Q$2:$Q$317=$A42),--ISNUMBER('Данные 2st'!$QJ$2:$QJ$317))</f>
        <v>1</v>
      </c>
      <c r="TS42">
        <f>SUMPRODUCT(--('Данные 2st'!$Q$2:$Q$317=$A42),--ISNUMBER('Данные 2st'!$QK$2:$QK$317))</f>
        <v>1</v>
      </c>
      <c r="TT42">
        <f>SUMPRODUCT(--('Данные 2st'!$Q$2:$Q$317=$A42),--ISNUMBER('Данные 2st'!$QL$2:$QL$317))</f>
        <v>1</v>
      </c>
      <c r="TU42">
        <f>SUMPRODUCT(--('Данные 2st'!$Q$2:$Q$317=$A42),--ISNUMBER('Данные 2st'!$QM$2:$QM$317))</f>
        <v>1</v>
      </c>
      <c r="TV42">
        <f>SUMPRODUCT(--('Данные 2st'!$Q$2:$Q$317=$A42),--ISNUMBER('Данные 2st'!$QN$2:$QN$317))</f>
        <v>1</v>
      </c>
      <c r="TW42">
        <f>SUMPRODUCT(--('Данные 2st'!$Q$2:$Q$317=$A42),--ISNUMBER('Данные 2st'!$QQ$2:$QQ$317))</f>
        <v>1</v>
      </c>
      <c r="TX42">
        <f>SUMPRODUCT(--('Данные 2st'!$Q$2:$Q$317=$A42),--ISNUMBER('Данные 2st'!$QS$2:$QS$317))</f>
        <v>1</v>
      </c>
      <c r="TY42">
        <f>SUMPRODUCT(--('Данные 2st'!$Q$2:$Q$317=$A42),--ISNUMBER('Данные 2st'!$QT$2:$QT$317))</f>
        <v>1</v>
      </c>
    </row>
    <row r="43" spans="1:545" ht="32" customHeight="1">
      <c r="A43" s="11" t="str">
        <f>'По размерам'!A43</f>
        <v>225/75R16</v>
      </c>
      <c r="G43">
        <f>SUMPRODUCT(--('Данные 1st'!$S$2:$S$317=$A43),--ISNUMBER('Данные 1st'!$AE$2:$AE$317))</f>
        <v>1</v>
      </c>
      <c r="H43">
        <f>SUMPRODUCT(--('Данные 1st'!$S$2:$S$317=$A43),--ISNUMBER('Данные 1st'!$AF$2:$AF$317))</f>
        <v>1</v>
      </c>
      <c r="I43">
        <f>SUMPRODUCT(--('Данные 1st'!$S$2:$S$317=$A43),--ISNUMBER('Данные 1st'!$AJ$2:$AJ$317))</f>
        <v>1</v>
      </c>
      <c r="J43">
        <f>SUMPRODUCT(--('Данные 1st'!$S$2:$S$317=$A43),--ISNUMBER('Данные 1st'!$AL$2:$AL$317))</f>
        <v>1</v>
      </c>
      <c r="K43">
        <f>SUMPRODUCT(--('Данные 1st'!$S$2:$S$317=$A43),--ISNUMBER('Данные 1st'!$AR$2:$AR$317))</f>
        <v>1</v>
      </c>
      <c r="L43">
        <f>SUMPRODUCT(--('Данные 1st'!$S$2:$S$317=$A43),--ISNUMBER('Данные 1st'!$AS$2:$AS$317))</f>
        <v>1</v>
      </c>
      <c r="M43">
        <f>SUMPRODUCT(--('Данные 1st'!$S$2:$S$317=$A43),--ISNUMBER('Данные 1st'!$AY$2:$AY$317))</f>
        <v>1</v>
      </c>
      <c r="N43">
        <f>SUMPRODUCT(--('Данные 1st'!$S$2:$S$317=$A43),--ISNUMBER('Данные 1st'!$AZ$2:$AZ$317))</f>
        <v>1</v>
      </c>
      <c r="O43">
        <f>SUMPRODUCT(--('Данные 1st'!$S$2:$S$317=$A43),--ISNUMBER('Данные 1st'!$BF$2:$BF$317))</f>
        <v>1</v>
      </c>
      <c r="P43">
        <f>SUMPRODUCT(--('Данные 1st'!$S$2:$S$317=$A43),--ISNUMBER('Данные 1st'!$BG$2:$BG$317))</f>
        <v>1</v>
      </c>
      <c r="Q43">
        <f>SUMPRODUCT(--('Данные 1st'!$S$2:$S$317=$A43),--ISNUMBER('Данные 1st'!$BM$2:$BM$317))</f>
        <v>0</v>
      </c>
      <c r="R43">
        <f>SUMPRODUCT(--('Данные 1st'!$S$2:$S$317=$A43),--ISNUMBER('Данные 1st'!$BN$2:$BN$317))</f>
        <v>1</v>
      </c>
      <c r="S43">
        <f>SUMPRODUCT(--('Данные 1st'!$S$2:$S$317=$A43),--ISNUMBER('Данные 1st'!$BT$2:$BT$317))</f>
        <v>1</v>
      </c>
      <c r="T43">
        <f>SUMPRODUCT(--('Данные 1st'!$S$2:$S$317=$A43),--ISNUMBER('Данные 1st'!$BU$2:$BU$317))</f>
        <v>1</v>
      </c>
      <c r="U43">
        <f>SUMPRODUCT(--('Данные 1st'!$S$2:$S$317=$A43),--ISNUMBER('Данные 1st'!$BW$2:$BW$317))</f>
        <v>1</v>
      </c>
      <c r="V43">
        <f>SUMPRODUCT(--('Данные 1st'!$S$2:$S$317=$A43),--ISNUMBER('Данные 1st'!$BX$2:$BX$317))</f>
        <v>1</v>
      </c>
      <c r="W43">
        <f>SUMPRODUCT(--('Данные 1st'!$S$2:$S$317=$A43),--ISNUMBER('Данные 1st'!$BZ$2:$BZ$317))</f>
        <v>1</v>
      </c>
      <c r="X43">
        <f>SUMPRODUCT(--('Данные 1st'!$S$2:$S$317=$A43),--ISNUMBER('Данные 1st'!$CA$2:$CA$317))</f>
        <v>1</v>
      </c>
      <c r="Y43">
        <f>SUMPRODUCT(--('Данные 1st'!$S$2:$S$317=$A43),--ISNUMBER('Данные 1st'!$CD$2:$CD$317))</f>
        <v>1</v>
      </c>
      <c r="Z43">
        <f>SUMPRODUCT(--('Данные 1st'!$S$2:$S$317=$A43),--ISNUMBER('Данные 1st'!$CF$2:$CF$317))</f>
        <v>1</v>
      </c>
      <c r="AA43">
        <f>SUMPRODUCT(--('Данные 1st'!$S$2:$S$317=$A43),--ISNUMBER('Данные 1st'!$CI$2:$CI$317))</f>
        <v>1</v>
      </c>
      <c r="AB43">
        <f>SUMPRODUCT(--('Данные 1st'!$S$2:$S$317=$A43),--ISNUMBER('Данные 1st'!$CJ$2:$CJ$317))</f>
        <v>1</v>
      </c>
      <c r="AC43">
        <f>SUMPRODUCT(--('Данные 1st'!$S$2:$S$317=$A43),--ISNUMBER('Данные 1st'!$CK$2:$CK$317))</f>
        <v>1</v>
      </c>
      <c r="AD43">
        <f>SUMPRODUCT(--('Данные 1st'!$S$2:$S$317=$A43),--ISNUMBER('Данные 1st'!$CL$2:$CL$317))</f>
        <v>1</v>
      </c>
      <c r="AE43">
        <f>SUMPRODUCT(--('Данные 1st'!$S$2:$S$317=$A43),--ISNUMBER('Данные 1st'!$CM$2:$CM$317))</f>
        <v>1</v>
      </c>
      <c r="AF43">
        <f>SUMPRODUCT(--('Данные 1st'!$S$2:$S$317=$A43),--ISNUMBER('Данные 1st'!$CT$2:$CT$317))</f>
        <v>1</v>
      </c>
      <c r="AG43">
        <f>SUMPRODUCT(--('Данные 1st'!$S$2:$S$317=$A43),--ISNUMBER('Данные 1st'!$CU$2:$CU$317))</f>
        <v>1</v>
      </c>
      <c r="AH43">
        <f>SUMPRODUCT(--('Данные 1st'!$S$2:$S$317=$A43),--ISNUMBER('Данные 1st'!$CV$2:$CV$317))</f>
        <v>1</v>
      </c>
      <c r="AI43">
        <f>SUMPRODUCT(--('Данные 1st'!$S$2:$S$317=$A43),--ISNUMBER('Данные 1st'!$CW$2:$CW$317))</f>
        <v>1</v>
      </c>
      <c r="AJ43">
        <f>SUMPRODUCT(--('Данные 1st'!$S$2:$S$317=$A43),--ISNUMBER('Данные 1st'!$CX$2:$CX$317))</f>
        <v>1</v>
      </c>
      <c r="AK43">
        <f>SUMPRODUCT(--('Данные 1st'!$S$2:$S$317=$A43),--ISNUMBER('Данные 1st'!$CZ$2:$CZ$317))</f>
        <v>1</v>
      </c>
      <c r="AL43">
        <f>SUMPRODUCT(--('Данные 1st'!$S$2:$S$317=$A43),--ISNUMBER('Данные 1st'!$DA$2:$DA$317))</f>
        <v>1</v>
      </c>
      <c r="AM43">
        <f>SUMPRODUCT(--('Данные 1st'!$S$2:$S$317=$A43),--ISNUMBER('Данные 1st'!$DB$2:$DB$317))</f>
        <v>1</v>
      </c>
      <c r="AN43">
        <f>SUMPRODUCT(--('Данные 1st'!$S$2:$S$317=$A43),--ISNUMBER('Данные 1st'!$DC$2:$DC$317))</f>
        <v>1</v>
      </c>
      <c r="AO43">
        <f>SUMPRODUCT(--('Данные 1st'!$S$2:$S$317=$A43),--ISNUMBER('Данные 1st'!$DD$2:$DD$317))</f>
        <v>1</v>
      </c>
      <c r="AP43">
        <f>SUMPRODUCT(--('Данные 1st'!$S$2:$S$317=$A43),--ISNUMBER('Данные 1st'!$DF$2:$DF$317))</f>
        <v>1</v>
      </c>
      <c r="AQ43">
        <f>SUMPRODUCT(--('Данные 1st'!$S$2:$S$317=$A43),--ISNUMBER('Данные 1st'!$DG$2:$DG$317))</f>
        <v>1</v>
      </c>
      <c r="AR43">
        <f>SUMPRODUCT(--('Данные 1st'!$S$2:$S$317=$A43),--ISNUMBER('Данные 1st'!$DH$2:$DH$317))</f>
        <v>1</v>
      </c>
      <c r="AS43">
        <f>SUMPRODUCT(--('Данные 1st'!$S$2:$S$317=$A43),--ISNUMBER('Данные 1st'!$DI$2:$DI$317))</f>
        <v>1</v>
      </c>
      <c r="AT43">
        <f>SUMPRODUCT(--('Данные 1st'!$S$2:$S$317=$A43),--ISNUMBER('Данные 1st'!$DJ$2:$DJ$317))</f>
        <v>1</v>
      </c>
      <c r="AU43">
        <f>SUMPRODUCT(--('Данные 1st'!$S$2:$S$317=$A43),--ISNUMBER('Данные 1st'!$DL$2:$DL$317))</f>
        <v>1</v>
      </c>
      <c r="AV43">
        <f>SUMPRODUCT(--('Данные 1st'!$S$2:$S$317=$A43),--ISNUMBER('Данные 1st'!$DM$2:$DM$317))</f>
        <v>1</v>
      </c>
      <c r="AW43">
        <f>SUMPRODUCT(--('Данные 1st'!$S$2:$S$317=$A43),--ISNUMBER('Данные 1st'!$DN$2:$DN$317))</f>
        <v>1</v>
      </c>
      <c r="AX43">
        <f>SUMPRODUCT(--('Данные 1st'!$S$2:$S$317=$A43),--ISNUMBER('Данные 1st'!$DO$2:$DO$317))</f>
        <v>1</v>
      </c>
      <c r="AY43">
        <f>SUMPRODUCT(--('Данные 1st'!$S$2:$S$317=$A43),--ISNUMBER('Данные 1st'!$DP$2:$DP$317))</f>
        <v>1</v>
      </c>
      <c r="AZ43">
        <f>SUMPRODUCT(--('Данные 1st'!$S$2:$S$317=$A43),--ISNUMBER('Данные 1st'!$DR$2:$DR$317))</f>
        <v>0</v>
      </c>
      <c r="BA43">
        <f>SUMPRODUCT(--('Данные 1st'!$S$2:$S$317=$A43),--ISNUMBER('Данные 1st'!$DS$2:$DS$317))</f>
        <v>0</v>
      </c>
      <c r="BB43">
        <f>SUMPRODUCT(--('Данные 1st'!$S$2:$S$317=$A43),--ISNUMBER('Данные 1st'!$DT$2:$DT$317))</f>
        <v>0</v>
      </c>
      <c r="BC43">
        <f>SUMPRODUCT(--('Данные 1st'!$S$2:$S$317=$A43),--ISNUMBER('Данные 1st'!$DU$2:$DU$317))</f>
        <v>0</v>
      </c>
      <c r="BD43">
        <f>SUMPRODUCT(--('Данные 1st'!$S$2:$S$317=$A43),--ISNUMBER('Данные 1st'!$DV$2:$DV$317))</f>
        <v>0</v>
      </c>
      <c r="BE43">
        <f>SUMPRODUCT(--('Данные 1st'!$S$2:$S$317=$A43),--ISNUMBER('Данные 1st'!$DX$2:$DX$317))</f>
        <v>1</v>
      </c>
      <c r="BF43">
        <f>SUMPRODUCT(--('Данные 1st'!$S$2:$S$317=$A43),--ISNUMBER('Данные 1st'!$EA$2:$EA$317))</f>
        <v>1</v>
      </c>
      <c r="BG43">
        <f>SUMPRODUCT(--('Данные 1st'!$S$2:$S$317=$A43),--ISNUMBER('Данные 1st'!$EB$2:$EB$317))</f>
        <v>1</v>
      </c>
      <c r="BH43">
        <f>SUMPRODUCT(--('Данные 1st'!$S$2:$S$317=$A43),--ISNUMBER('Данные 1st'!$ED$2:$ED$317))</f>
        <v>1</v>
      </c>
      <c r="BI43">
        <f>SUMPRODUCT(--('Данные 1st'!$S$2:$S$317=$A43),--ISNUMBER('Данные 1st'!$EE$2:$EE$317))</f>
        <v>1</v>
      </c>
      <c r="BJ43">
        <f>SUMPRODUCT(--('Данные 1st'!$S$2:$S$317=$A43),--ISNUMBER('Данные 1st'!$EG$2:$EG$317))</f>
        <v>1</v>
      </c>
      <c r="BK43">
        <f>SUMPRODUCT(--('Данные 1st'!$S$2:$S$317=$A43),--ISNUMBER('Данные 1st'!$EH$2:$EH$317))</f>
        <v>1</v>
      </c>
      <c r="BL43">
        <f>SUMPRODUCT(--('Данные 1st'!$S$2:$S$317=$A43),--ISNUMBER('Данные 1st'!$EJ$2:$EJ$317))</f>
        <v>1</v>
      </c>
      <c r="BM43">
        <f>SUMPRODUCT(--('Данные 1st'!$S$2:$S$317=$A43),--ISNUMBER('Данные 1st'!$EK$2:$EK$317))</f>
        <v>1</v>
      </c>
      <c r="BN43">
        <f>SUMPRODUCT(--('Данные 1st'!$S$2:$S$317=$A43),--ISNUMBER('Данные 1st'!$EN$2:$EN$317))</f>
        <v>1</v>
      </c>
      <c r="BO43">
        <f>SUMPRODUCT(--('Данные 1st'!$S$2:$S$317=$A43),--ISNUMBER('Данные 1st'!$EQ$2:$EQ$317))</f>
        <v>1</v>
      </c>
      <c r="BP43">
        <f>SUMPRODUCT(--('Данные 1st'!$S$2:$S$317=$A43),--ISNUMBER('Данные 1st'!$ER$2:$ER$317))</f>
        <v>1</v>
      </c>
      <c r="BQ43">
        <f>SUMPRODUCT(--('Данные 1st'!$S$2:$S$317=$A43),--ISNUMBER('Данные 1st'!$ES$2:$ES$317))</f>
        <v>1</v>
      </c>
      <c r="BR43">
        <f>SUMPRODUCT(--('Данные 1st'!$S$2:$S$317=$A43),--ISNUMBER('Данные 1st'!$ET$2:$ET$317))</f>
        <v>1</v>
      </c>
      <c r="BS43">
        <f>SUMPRODUCT(--('Данные 1st'!$S$2:$S$317=$A43),--ISNUMBER('Данные 1st'!$EU$2:$EU$317))</f>
        <v>1</v>
      </c>
      <c r="BT43">
        <f>SUMPRODUCT(--('Данные 1st'!$S$2:$S$317=$A43),--ISNUMBER('Данные 1st'!$EV$2:$EV$317))</f>
        <v>1</v>
      </c>
      <c r="BU43">
        <f>SUMPRODUCT(--('Данные 1st'!$S$2:$S$317=$A43),--ISNUMBER('Данные 1st'!$EX$2:$EX$317))</f>
        <v>1</v>
      </c>
      <c r="BV43">
        <f>SUMPRODUCT(--('Данные 1st'!$S$2:$S$317=$A43),--ISNUMBER('Данные 1st'!$EY$2:$EY$317))</f>
        <v>1</v>
      </c>
      <c r="BW43">
        <f>SUMPRODUCT(--('Данные 1st'!$S$2:$S$317=$A43),--ISNUMBER('Данные 1st'!$EZ$2:$EZ$317))</f>
        <v>1</v>
      </c>
      <c r="BX43">
        <f>SUMPRODUCT(--('Данные 1st'!$S$2:$S$317=$A43),--ISNUMBER('Данные 1st'!$FA$2:$FA$317))</f>
        <v>1</v>
      </c>
      <c r="BY43">
        <f>SUMPRODUCT(--('Данные 1st'!$S$2:$S$317=$A43),--ISNUMBER('Данные 1st'!$FB$2:$FB$317))</f>
        <v>1</v>
      </c>
      <c r="BZ43">
        <f>SUMPRODUCT(--('Данные 1st'!$S$2:$S$317=$A43),--ISNUMBER('Данные 1st'!$FC$2:$FC$317))</f>
        <v>1</v>
      </c>
      <c r="CA43">
        <f>SUMPRODUCT(--('Данные 1st'!$S$2:$S$317=$A43),--ISNUMBER('Данные 1st'!$FE$2:$FE$317))</f>
        <v>1</v>
      </c>
      <c r="CB43">
        <f>SUMPRODUCT(--('Данные 1st'!$S$2:$S$317=$A43),--ISNUMBER('Данные 1st'!$FF$2:$FF$317))</f>
        <v>1</v>
      </c>
      <c r="CC43">
        <f>SUMPRODUCT(--('Данные 1st'!$S$2:$S$317=$A43),--ISNUMBER('Данные 1st'!$FI$2:$FI$317))</f>
        <v>1</v>
      </c>
      <c r="CD43">
        <f>SUMPRODUCT(--('Данные 1st'!$S$2:$S$317=$A43),--ISNUMBER('Данные 1st'!$FL$2:$FL$317))</f>
        <v>1</v>
      </c>
      <c r="CE43">
        <f>SUMPRODUCT(--('Данные 1st'!$S$2:$S$317=$A43),--ISNUMBER('Данные 1st'!$FM$2:$FM$317))</f>
        <v>1</v>
      </c>
      <c r="CF43">
        <f>SUMPRODUCT(--('Данные 1st'!$S$2:$S$317=$A43),--ISNUMBER('Данные 1st'!$FN$2:$FN$317))</f>
        <v>1</v>
      </c>
      <c r="CG43">
        <f>SUMPRODUCT(--('Данные 1st'!$S$2:$S$317=$A43),--ISNUMBER('Данные 1st'!$FO$2:$FO$317))</f>
        <v>1</v>
      </c>
      <c r="CH43">
        <f>SUMPRODUCT(--('Данные 1st'!$S$2:$S$317=$A43),--ISNUMBER('Данные 1st'!$FP$2:$FP$317))</f>
        <v>1</v>
      </c>
      <c r="CI43">
        <f>SUMPRODUCT(--('Данные 1st'!$S$2:$S$317=$A43),--ISNUMBER('Данные 1st'!$FS$2:$FS$317))</f>
        <v>1</v>
      </c>
      <c r="CJ43">
        <f>SUMPRODUCT(--('Данные 1st'!$S$2:$S$317=$A43),--ISNUMBER('Данные 1st'!$FT$2:$FT$317))</f>
        <v>1</v>
      </c>
      <c r="CK43">
        <f>SUMPRODUCT(--('Данные 1st'!$S$2:$S$317=$A43),--ISNUMBER('Данные 1st'!$FU$2:$FU$317))</f>
        <v>1</v>
      </c>
      <c r="CL43">
        <f>SUMPRODUCT(--('Данные 1st'!$S$2:$S$317=$A43),--ISNUMBER('Данные 1st'!$FV$2:$FV$317))</f>
        <v>0</v>
      </c>
      <c r="CM43">
        <f>SUMPRODUCT(--('Данные 1st'!$S$2:$S$317=$A43),--ISNUMBER('Данные 1st'!$FW$2:$FW$317))</f>
        <v>0</v>
      </c>
      <c r="CN43">
        <f>SUMPRODUCT(--('Данные 1st'!$S$2:$S$317=$A43),--ISNUMBER('Данные 1st'!$FZ$2:$FZ$317))</f>
        <v>0</v>
      </c>
      <c r="CO43">
        <f>SUMPRODUCT(--('Данные 1st'!$S$2:$S$317=$A43),--ISNUMBER('Данные 1st'!$GA$2:$GA$317))</f>
        <v>0</v>
      </c>
      <c r="CP43">
        <f>SUMPRODUCT(--('Данные 1st'!$S$2:$S$317=$A43),--ISNUMBER('Данные 1st'!$GB$2:$GB$317))</f>
        <v>0</v>
      </c>
      <c r="CQ43">
        <f>SUMPRODUCT(--('Данные 1st'!$S$2:$S$317=$A43),--ISNUMBER('Данные 1st'!$GH$2:$GH$317))</f>
        <v>0</v>
      </c>
      <c r="CR43">
        <f>SUMPRODUCT(--('Данные 1st'!$S$2:$S$317=$A43),--ISNUMBER('Данные 1st'!$GI$2:$GI$317))</f>
        <v>0</v>
      </c>
      <c r="CS43">
        <f>SUMPRODUCT(--('Данные 1st'!$S$2:$S$317=$A43),--ISNUMBER('Данные 1st'!$GJ$2:$GJ$317))</f>
        <v>0</v>
      </c>
      <c r="CT43">
        <f>SUMPRODUCT(--('Данные 1st'!$S$2:$S$317=$A43),--ISNUMBER('Данные 1st'!$GS$2:$GS$317))</f>
        <v>1</v>
      </c>
      <c r="CU43">
        <f>SUMPRODUCT(--('Данные 1st'!$S$2:$S$317=$A43),--ISNUMBER('Данные 1st'!$GT$2:$GT$317))</f>
        <v>1</v>
      </c>
      <c r="CV43">
        <f>SUMPRODUCT(--('Данные 1st'!$S$2:$S$317=$A43),--ISNUMBER('Данные 1st'!$GU$2:$GU$317))</f>
        <v>1</v>
      </c>
      <c r="CW43">
        <f>SUMPRODUCT(--('Данные 1st'!$S$2:$S$317=$A43),--ISNUMBER('Данные 1st'!$GV$2:$GV$317))</f>
        <v>0</v>
      </c>
      <c r="CX43">
        <f>SUMPRODUCT(--('Данные 1st'!$S$2:$S$317=$A43),--ISNUMBER('Данные 1st'!$GW$2:$GW$317))</f>
        <v>0</v>
      </c>
      <c r="CY43">
        <f>SUMPRODUCT(--('Данные 1st'!$S$2:$S$317=$A43),--ISNUMBER('Данные 1st'!$GZ$2:$GZ$317))</f>
        <v>0</v>
      </c>
      <c r="CZ43">
        <f>SUMPRODUCT(--('Данные 1st'!$S$2:$S$317=$A43),--ISNUMBER('Данные 1st'!$HA$2:$HA$317))</f>
        <v>0</v>
      </c>
      <c r="DA43">
        <f>SUMPRODUCT(--('Данные 1st'!$S$2:$S$317=$A43),--ISNUMBER('Данные 1st'!$HB$2:$HB$317))</f>
        <v>0</v>
      </c>
      <c r="DB43">
        <f>SUMPRODUCT(--('Данные 1st'!$S$2:$S$317=$A43),--ISNUMBER('Данные 1st'!$HC$2:$HC$317))</f>
        <v>1</v>
      </c>
      <c r="DC43">
        <f>SUMPRODUCT(--('Данные 1st'!$S$2:$S$317=$A43),--ISNUMBER('Данные 1st'!$HD$2:$HD$317))</f>
        <v>1</v>
      </c>
      <c r="DD43">
        <f>SUMPRODUCT(--('Данные 1st'!$S$2:$S$317=$A43),--ISNUMBER('Данные 1st'!$HE$2:$HE$317))</f>
        <v>1</v>
      </c>
      <c r="DE43">
        <f>SUMPRODUCT(--('Данные 1st'!$S$2:$S$317=$A43),--ISNUMBER('Данные 1st'!$HF$2:$HF$317))</f>
        <v>1</v>
      </c>
      <c r="DF43">
        <f>SUMPRODUCT(--('Данные 1st'!$S$2:$S$317=$A43),--ISNUMBER('Данные 1st'!$HG$2:$HG$317))</f>
        <v>1</v>
      </c>
      <c r="DG43">
        <f>SUMPRODUCT(--('Данные 1st'!$S$2:$S$317=$A43),--ISNUMBER('Данные 1st'!$HH$2:$HH$317))</f>
        <v>1</v>
      </c>
      <c r="DH43">
        <f>SUMPRODUCT(--('Данные 1st'!$S$2:$S$317=$A43),--ISNUMBER('Данные 1st'!$HI$2:$HI$317))</f>
        <v>1</v>
      </c>
      <c r="DI43">
        <f>SUMPRODUCT(--('Данные 1st'!$S$2:$S$317=$A43),--ISNUMBER('Данные 1st'!$HJ$2:$HJ$317))</f>
        <v>1</v>
      </c>
      <c r="DJ43">
        <f>SUMPRODUCT(--('Данные 1st'!$S$2:$S$317=$A43),--ISNUMBER('Данные 1st'!$HK$2:$HK$317))</f>
        <v>1</v>
      </c>
      <c r="DK43">
        <f>SUMPRODUCT(--('Данные 1st'!$S$2:$S$317=$A43),--ISNUMBER('Данные 1st'!$HL$2:$HL$317))</f>
        <v>1</v>
      </c>
      <c r="DL43">
        <f>SUMPRODUCT(--('Данные 1st'!$S$2:$S$317=$A43),--ISNUMBER('Данные 1st'!$HM$2:$HM$317))</f>
        <v>1</v>
      </c>
      <c r="DM43">
        <f>SUMPRODUCT(--('Данные 1st'!$S$2:$S$317=$A43),--ISNUMBER('Данные 1st'!$HN$2:$HN$317))</f>
        <v>1</v>
      </c>
      <c r="DN43">
        <f>SUMPRODUCT(--('Данные 1st'!$S$2:$S$317=$A43),--ISNUMBER('Данные 1st'!$HO$2:$HO$317))</f>
        <v>1</v>
      </c>
      <c r="DO43">
        <f>SUMPRODUCT(--('Данные 1st'!$S$2:$S$317=$A43),--ISNUMBER('Данные 1st'!$HP$2:$HP$317))</f>
        <v>1</v>
      </c>
      <c r="DP43">
        <f>SUMPRODUCT(--('Данные 1st'!$S$2:$S$317=$A43),--ISNUMBER('Данные 1st'!$HQ$2:$HQ$317))</f>
        <v>1</v>
      </c>
      <c r="DQ43">
        <f>SUMPRODUCT(--('Данные 1st'!$S$2:$S$317=$A43),--ISNUMBER('Данные 1st'!$HR$2:$HR$317))</f>
        <v>1</v>
      </c>
      <c r="DR43">
        <f>SUMPRODUCT(--('Данные 1st'!$S$2:$S$317=$A43),--ISNUMBER('Данные 1st'!$HS$2:$HS$317))</f>
        <v>1</v>
      </c>
      <c r="DS43">
        <f>SUMPRODUCT(--('Данные 1st'!$S$2:$S$317=$A43),--ISNUMBER('Данные 1st'!$HT$2:$HT$317))</f>
        <v>1</v>
      </c>
      <c r="DT43">
        <f>SUMPRODUCT(--('Данные 1st'!$S$2:$S$317=$A43),--ISNUMBER('Данные 1st'!$HU$2:$HU$317))</f>
        <v>1</v>
      </c>
      <c r="DU43">
        <f>SUMPRODUCT(--('Данные 1st'!$S$2:$S$317=$A43),--ISNUMBER('Данные 1st'!$HW$2:$HW$317))</f>
        <v>1</v>
      </c>
      <c r="DV43">
        <f>SUMPRODUCT(--('Данные 1st'!$S$2:$S$317=$A43),--ISNUMBER('Данные 1st'!$HX$2:$HX$317))</f>
        <v>1</v>
      </c>
      <c r="DW43">
        <f>SUMPRODUCT(--('Данные 1st'!$S$2:$S$317=$A43),--ISNUMBER('Данные 1st'!$HY$2:$HY$317))</f>
        <v>1</v>
      </c>
      <c r="DX43">
        <f>SUMPRODUCT(--('Данные 1st'!$S$2:$S$317=$A43),--ISNUMBER('Данные 1st'!$IA$2:$IA$317))</f>
        <v>1</v>
      </c>
      <c r="DY43">
        <f>SUMPRODUCT(--('Данные 1st'!$S$2:$S$317=$A43),--ISNUMBER('Данные 1st'!$IB$2:$IB$317))</f>
        <v>1</v>
      </c>
      <c r="DZ43">
        <f>SUMPRODUCT(--('Данные 1st'!$S$2:$S$317=$A43),--ISNUMBER('Данные 1st'!$IC$2:$IC$317))</f>
        <v>1</v>
      </c>
      <c r="EA43">
        <f>SUMPRODUCT(--('Данные 1st'!$S$2:$S$317=$A43),--ISNUMBER('Данные 1st'!$ID$2:$ID$317))</f>
        <v>1</v>
      </c>
      <c r="EB43">
        <f>SUMPRODUCT(--('Данные 1st'!$S$2:$S$317=$A43),--ISNUMBER('Данные 1st'!$IE$2:$IE$317))</f>
        <v>1</v>
      </c>
      <c r="EC43">
        <f>SUMPRODUCT(--('Данные 1st'!$S$2:$S$317=$A43),--ISNUMBER('Данные 1st'!$IF$2:$IF$317))</f>
        <v>1</v>
      </c>
      <c r="ED43">
        <f>SUMPRODUCT(--('Данные 1st'!$S$2:$S$317=$A43),--ISNUMBER('Данные 1st'!$IP$2:$IP$317))</f>
        <v>1</v>
      </c>
      <c r="EE43">
        <f>SUMPRODUCT(--('Данные 1st'!$S$2:$S$317=$A43),--ISNUMBER('Данные 1st'!$IV$2:$IV$317))</f>
        <v>1</v>
      </c>
      <c r="EF43">
        <f>SUMPRODUCT(--('Данные 1st'!$S$2:$S$317=$A43),--ISNUMBER('Данные 1st'!$IW$2:$IW$317))</f>
        <v>1</v>
      </c>
      <c r="EG43">
        <f>SUMPRODUCT(--('Данные 1st'!$S$2:$S$317=$A43),--ISNUMBER('Данные 1st'!$IX$2:$IX$317))</f>
        <v>0</v>
      </c>
      <c r="EH43">
        <f>SUMPRODUCT(--('Данные 1st'!$S$2:$S$317=$A43),--ISNUMBER('Данные 1st'!$IY$2:$IY$317))</f>
        <v>0</v>
      </c>
      <c r="EI43">
        <f>SUMPRODUCT(--('Данные 1st'!$S$2:$S$317=$A43),--ISNUMBER('Данные 1st'!$JD$2:$JD$317))</f>
        <v>1</v>
      </c>
      <c r="EJ43">
        <f>SUMPRODUCT(--('Данные 1st'!$S$2:$S$317=$A43),--ISNUMBER('Данные 1st'!$JE$2:$JE$317))</f>
        <v>1</v>
      </c>
      <c r="EK43">
        <f>SUMPRODUCT(--('Данные 1st'!$S$2:$S$317=$A43),--ISNUMBER('Данные 1st'!$JF$2:$JF$317))</f>
        <v>1</v>
      </c>
      <c r="EL43">
        <f>SUMPRODUCT(--('Данные 1st'!$S$2:$S$317=$A43),--ISNUMBER('Данные 1st'!$JG$2:$JG$317))</f>
        <v>1</v>
      </c>
      <c r="EM43">
        <f>SUMPRODUCT(--('Данные 1st'!$S$2:$S$317=$A43),--ISNUMBER('Данные 1st'!$JH$2:$JH$317))</f>
        <v>1</v>
      </c>
      <c r="EN43">
        <f>SUMPRODUCT(--('Данные 1st'!$S$2:$S$317=$A43),--ISNUMBER('Данные 1st'!$JJ$2:$JJ$317))</f>
        <v>1</v>
      </c>
      <c r="EO43">
        <f>SUMPRODUCT(--('Данные 1st'!$S$2:$S$317=$A43),--ISNUMBER('Данные 1st'!$JK$2:$JK$317))</f>
        <v>1</v>
      </c>
      <c r="EP43">
        <f>SUMPRODUCT(--('Данные 1st'!$S$2:$S$317=$A43),--ISNUMBER('Данные 1st'!$JL$2:$JL$317))</f>
        <v>0</v>
      </c>
      <c r="EQ43">
        <f>SUMPRODUCT(--('Данные 1st'!$S$2:$S$317=$A43),--ISNUMBER('Данные 1st'!$JM$2:$JM$317))</f>
        <v>0</v>
      </c>
      <c r="ER43">
        <f>SUMPRODUCT(--('Данные 1st'!$S$2:$S$317=$A43),--ISNUMBER('Данные 1st'!$JN$2:$JN$317))</f>
        <v>1</v>
      </c>
      <c r="ES43">
        <f>SUMPRODUCT(--('Данные 1st'!$S$2:$S$317=$A43),--ISNUMBER('Данные 1st'!$JO$2:$JO$317))</f>
        <v>1</v>
      </c>
      <c r="ET43">
        <f>SUMPRODUCT(--('Данные 1st'!$S$2:$S$317=$A43),--ISNUMBER('Данные 1st'!$JP$2:$JP$317))</f>
        <v>1</v>
      </c>
      <c r="EU43">
        <f>SUMPRODUCT(--('Данные 1st'!$S$2:$S$317=$A43),--ISNUMBER('Данные 1st'!$JQ$2:$JQ$317))</f>
        <v>1</v>
      </c>
      <c r="EV43">
        <f>SUMPRODUCT(--('Данные 1st'!$S$2:$S$317=$A43),--ISNUMBER('Данные 1st'!$JR$2:$JR$317))</f>
        <v>1</v>
      </c>
      <c r="EW43">
        <f>SUMPRODUCT(--('Данные 1st'!$S$2:$S$317=$A43),--ISNUMBER('Данные 1st'!$JS$2:$JS$317))</f>
        <v>1</v>
      </c>
      <c r="EX43">
        <f>SUMPRODUCT(--('Данные 1st'!$S$2:$S$317=$A43),--ISNUMBER('Данные 1st'!$JT$2:$JT$317))</f>
        <v>0</v>
      </c>
      <c r="EY43">
        <f>SUMPRODUCT(--('Данные 1st'!$S$2:$S$317=$A43),--ISNUMBER('Данные 1st'!$JU$2:$JU$317))</f>
        <v>0</v>
      </c>
      <c r="EZ43">
        <f>SUMPRODUCT(--('Данные 1st'!$S$2:$S$317=$A43),--ISNUMBER('Данные 1st'!$JV$2:$JV$317))</f>
        <v>1</v>
      </c>
      <c r="FA43">
        <f>SUMPRODUCT(--('Данные 1st'!$S$2:$S$317=$A43),--ISNUMBER('Данные 1st'!$JW$2:$JW$317))</f>
        <v>0</v>
      </c>
      <c r="FB43">
        <f>SUMPRODUCT(--('Данные 1st'!$S$2:$S$317=$A43),--ISNUMBER('Данные 1st'!$JX$2:$JX$317))</f>
        <v>1</v>
      </c>
      <c r="FC43">
        <f>SUMPRODUCT(--('Данные 1st'!$S$2:$S$317=$A43),--ISNUMBER('Данные 1st'!$JY$2:$JY$317))</f>
        <v>0</v>
      </c>
      <c r="FD43">
        <f>SUMPRODUCT(--('Данные 1st'!$S$2:$S$317=$A43),--ISNUMBER('Данные 1st'!$JZ$2:$JZ$317))</f>
        <v>0</v>
      </c>
      <c r="FE43">
        <f>SUMPRODUCT(--('Данные 1st'!$S$2:$S$317=$A43),--ISNUMBER('Данные 1st'!$KA$2:$KA$317))</f>
        <v>1</v>
      </c>
      <c r="FF43">
        <f>SUMPRODUCT(--('Данные 1st'!$S$2:$S$317=$A43),--ISNUMBER('Данные 1st'!$KB$2:$KB$317))</f>
        <v>1</v>
      </c>
      <c r="FG43">
        <f>SUMPRODUCT(--('Данные 1st'!$S$2:$S$317=$A43),--ISNUMBER('Данные 1st'!$KC$2:$KC$317))</f>
        <v>1</v>
      </c>
      <c r="FH43">
        <f>SUMPRODUCT(--('Данные 1st'!$S$2:$S$317=$A43),--ISNUMBER('Данные 1st'!$KD$2:$KD$317))</f>
        <v>1</v>
      </c>
      <c r="FI43">
        <f>SUMPRODUCT(--('Данные 1st'!$S$2:$S$317=$A43),--ISNUMBER('Данные 1st'!$KE$2:$KE$317))</f>
        <v>0</v>
      </c>
      <c r="FJ43">
        <f>SUMPRODUCT(--('Данные 1st'!$S$2:$S$317=$A43),--ISNUMBER('Данные 1st'!$KF$2:$KF$317))</f>
        <v>1</v>
      </c>
      <c r="FK43">
        <f>SUMPRODUCT(--('Данные 1st'!$S$2:$S$317=$A43),--ISNUMBER('Данные 1st'!$KG$2:$KG$317))</f>
        <v>1</v>
      </c>
      <c r="FL43">
        <f>SUMPRODUCT(--('Данные 1st'!$S$2:$S$317=$A43),--ISNUMBER('Данные 1st'!$KH$2:$KH$317))</f>
        <v>1</v>
      </c>
      <c r="FM43">
        <f>SUMPRODUCT(--('Данные 1st'!$S$2:$S$317=$A43),--ISNUMBER('Данные 1st'!$KI$2:$KI$317))</f>
        <v>1</v>
      </c>
      <c r="FN43">
        <f>SUMPRODUCT(--('Данные 1st'!$S$2:$S$317=$A43),--ISNUMBER('Данные 1st'!$KJ$2:$KJ$317))</f>
        <v>1</v>
      </c>
      <c r="FO43">
        <f>SUMPRODUCT(--('Данные 1st'!$S$2:$S$317=$A43),--ISNUMBER('Данные 1st'!$KK$2:$KK$317))</f>
        <v>1</v>
      </c>
      <c r="FP43">
        <f>SUMPRODUCT(--('Данные 1st'!$S$2:$S$317=$A43),--ISNUMBER('Данные 1st'!$KL$2:$KL$317))</f>
        <v>1</v>
      </c>
      <c r="FQ43">
        <f>SUMPRODUCT(--('Данные 1st'!$S$2:$S$317=$A43),--ISNUMBER('Данные 1st'!$KM$2:$KM$317))</f>
        <v>1</v>
      </c>
      <c r="FR43">
        <f>SUMPRODUCT(--('Данные 1st'!$S$2:$S$317=$A43),--ISNUMBER('Данные 1st'!$KN$2:$KN$317))</f>
        <v>1</v>
      </c>
      <c r="FS43">
        <f>SUMPRODUCT(--('Данные 1st'!$S$2:$S$317=$A43),--ISNUMBER('Данные 1st'!$KR$2:$KR$317))</f>
        <v>1</v>
      </c>
      <c r="FT43">
        <f>SUMPRODUCT(--('Данные 1st'!$S$2:$S$317=$A43),--ISNUMBER('Данные 1st'!$KS$2:$KS$317))</f>
        <v>1</v>
      </c>
      <c r="FU43">
        <f>SUMPRODUCT(--('Данные 1st'!$S$2:$S$317=$A43),--ISNUMBER('Данные 1st'!$KT$2:$KT$317))</f>
        <v>1</v>
      </c>
      <c r="FV43">
        <f>SUMPRODUCT(--('Данные 1st'!$S$2:$S$317=$A43),--ISNUMBER('Данные 1st'!$KV$2:$KV$317))</f>
        <v>0</v>
      </c>
      <c r="FW43">
        <f>SUMPRODUCT(--('Данные 1st'!$S$2:$S$317=$A43),--ISNUMBER('Данные 1st'!$KW$2:$KW$317))</f>
        <v>0</v>
      </c>
      <c r="FX43">
        <f>SUMPRODUCT(--('Данные 1st'!$S$2:$S$317=$A43),--ISNUMBER('Данные 1st'!$KX$2:$KX$317))</f>
        <v>0</v>
      </c>
      <c r="FY43">
        <f>SUMPRODUCT(--('Данные 1st'!$S$2:$S$317=$A43),--ISNUMBER('Данные 1st'!$KY$2:$KY$317))</f>
        <v>0</v>
      </c>
      <c r="FZ43">
        <f>SUMPRODUCT(--('Данные 1st'!$S$2:$S$317=$A43),--ISNUMBER('Данные 1st'!$KZ$2:$KZ$317))</f>
        <v>0</v>
      </c>
      <c r="GA43">
        <f>SUMPRODUCT(--('Данные 1st'!$S$2:$S$317=$A43),--ISNUMBER('Данные 1st'!$LA$2:$LA$317))</f>
        <v>0</v>
      </c>
      <c r="GB43">
        <f>SUMPRODUCT(--('Данные 1st'!$S$2:$S$317=$A43),--ISNUMBER('Данные 1st'!$LB$2:$LB$317))</f>
        <v>0</v>
      </c>
      <c r="GC43">
        <f>SUMPRODUCT(--('Данные 1st'!$S$2:$S$317=$A43),--ISNUMBER('Данные 1st'!$LC$2:$LC$317))</f>
        <v>0</v>
      </c>
      <c r="GD43">
        <f>SUMPRODUCT(--('Данные 1st'!$S$2:$S$317=$A43),--ISNUMBER('Данные 1st'!$LD$2:$LD$317))</f>
        <v>0</v>
      </c>
      <c r="GE43">
        <f>SUMPRODUCT(--('Данные 1st'!$S$2:$S$317=$A43),--ISNUMBER('Данные 1st'!$LE$2:$LE$317))</f>
        <v>0</v>
      </c>
      <c r="GF43">
        <f>SUMPRODUCT(--('Данные 1st'!$S$2:$S$317=$A43),--ISNUMBER('Данные 1st'!$LF$2:$LF$317))</f>
        <v>0</v>
      </c>
      <c r="GG43">
        <f>SUMPRODUCT(--('Данные 1st'!$S$2:$S$317=$A43),--ISNUMBER('Данные 1st'!$LG$2:$LG$317))</f>
        <v>0</v>
      </c>
      <c r="GH43">
        <f>SUMPRODUCT(--('Данные 1st'!$S$2:$S$317=$A43),--ISNUMBER('Данные 1st'!$LH$2:$LH$317))</f>
        <v>0</v>
      </c>
      <c r="GI43">
        <f>SUMPRODUCT(--('Данные 1st'!$S$2:$S$317=$A43),--ISNUMBER('Данные 1st'!$LI$2:$LI$317))</f>
        <v>0</v>
      </c>
      <c r="GJ43">
        <f>SUMPRODUCT(--('Данные 1st'!$S$2:$S$317=$A43),--ISNUMBER('Данные 1st'!$LJ$2:$LJ$317))</f>
        <v>0</v>
      </c>
      <c r="GK43">
        <f>SUMPRODUCT(--('Данные 1st'!$S$2:$S$317=$A43),--ISNUMBER('Данные 1st'!$LK$2:$LK$317))</f>
        <v>1</v>
      </c>
      <c r="GL43">
        <f>SUMPRODUCT(--('Данные 1st'!$S$2:$S$317=$A43),--ISNUMBER('Данные 1st'!$LV$2:$LV$317))</f>
        <v>0</v>
      </c>
      <c r="GM43">
        <f>SUMPRODUCT(--('Данные 1st'!$S$2:$S$317=$A43),--ISNUMBER('Данные 1st'!$LW$2:$LW$317))</f>
        <v>0</v>
      </c>
      <c r="GN43">
        <f>SUMPRODUCT(--('Данные 1st'!$S$2:$S$317=$A43),--ISNUMBER('Данные 1st'!$LX$2:$LX$317))</f>
        <v>0</v>
      </c>
      <c r="GO43">
        <f>SUMPRODUCT(--('Данные 1st'!$S$2:$S$317=$A43),--ISNUMBER('Данные 1st'!$LY$2:$LY$317))</f>
        <v>0</v>
      </c>
      <c r="GP43">
        <f>SUMPRODUCT(--('Данные 1st'!$S$2:$S$317=$A43),--ISNUMBER('Данные 1st'!$LZ$2:$LZ$317))</f>
        <v>0</v>
      </c>
      <c r="GQ43">
        <f>SUMPRODUCT(--('Данные 1st'!$S$2:$S$317=$A43),--ISNUMBER('Данные 1st'!$PG$2:$PG$317))</f>
        <v>1</v>
      </c>
      <c r="GR43">
        <f>SUMPRODUCT(--('Данные 1st'!$S$2:$S$317=$A43),--ISNUMBER('Данные 1st'!$PX$2:$PX$317))</f>
        <v>1</v>
      </c>
      <c r="GS43">
        <f>SUMPRODUCT(--('Данные 1st'!$S$2:$S$317=$A43),--ISNUMBER('Данные 1st'!$PY$2:$PY$317))</f>
        <v>1</v>
      </c>
      <c r="GT43">
        <f>SUMPRODUCT(--('Данные 1st'!$S$2:$S$317=$A43),--ISNUMBER('Данные 1st'!$QA$2:$QA$317))</f>
        <v>1</v>
      </c>
      <c r="GU43">
        <f>SUMPRODUCT(--('Данные 1st'!$S$2:$S$317=$A43),--ISNUMBER('Данные 1st'!$QB$2:$QB$317))</f>
        <v>1</v>
      </c>
      <c r="GV43">
        <f>SUMPRODUCT(--('Данные 1st'!$S$2:$S$317=$A43),--ISNUMBER('Данные 1st'!$QC$2:$QC$317))</f>
        <v>1</v>
      </c>
      <c r="GW43">
        <f>SUMPRODUCT(--('Данные 1st'!$S$2:$S$317=$A43),--ISNUMBER('Данные 1st'!$QD$2:$QD$317))</f>
        <v>1</v>
      </c>
      <c r="GX43">
        <f>SUMPRODUCT(--('Данные 1st'!$S$2:$S$317=$A43),--ISNUMBER('Данные 1st'!$QF$2:$QF$317))</f>
        <v>1</v>
      </c>
      <c r="GY43">
        <f>SUMPRODUCT(--('Данные 1st'!$S$2:$S$317=$A43),--ISNUMBER('Данные 1st'!$QG$2:$QG$317))</f>
        <v>1</v>
      </c>
      <c r="GZ43">
        <f>SUMPRODUCT(--('Данные 1st'!$S$2:$S$317=$A43),--ISNUMBER('Данные 1st'!$QH$2:$QH$317))</f>
        <v>1</v>
      </c>
      <c r="HA43">
        <f>SUMPRODUCT(--('Данные 1st'!$S$2:$S$317=$A43),--ISNUMBER('Данные 1st'!$QI$2:$QI$317))</f>
        <v>1</v>
      </c>
      <c r="HB43">
        <f>SUMPRODUCT(--('Данные 1st'!$S$2:$S$317=$A43),--ISNUMBER('Данные 1st'!$QK$2:$QK$317))</f>
        <v>1</v>
      </c>
      <c r="HC43">
        <f>SUMPRODUCT(--('Данные 1st'!$S$2:$S$317=$A43),--ISNUMBER('Данные 1st'!$QL$2:$QL$317))</f>
        <v>1</v>
      </c>
      <c r="HD43">
        <f>SUMPRODUCT(--('Данные 1st'!$S$2:$S$317=$A43),--ISNUMBER('Данные 1st'!$QM$2:$QM$317))</f>
        <v>1</v>
      </c>
      <c r="HE43">
        <f>SUMPRODUCT(--('Данные 1st'!$S$2:$S$317=$A43),--ISNUMBER('Данные 1st'!$QN$2:$QN$317))</f>
        <v>1</v>
      </c>
      <c r="HF43">
        <f>SUMPRODUCT(--('Данные 1st'!$S$2:$S$317=$A43),--ISNUMBER('Данные 1st'!$QP$2:$QP$317))</f>
        <v>1</v>
      </c>
      <c r="HG43">
        <f>SUMPRODUCT(--('Данные 1st'!$S$2:$S$317=$A43),--ISNUMBER('Данные 1st'!$QQ$2:$QQ$317))</f>
        <v>1</v>
      </c>
      <c r="HH43">
        <f>SUMPRODUCT(--('Данные 1st'!$S$2:$S$317=$A43),--ISNUMBER('Данные 1st'!$QR$2:$QR$317))</f>
        <v>1</v>
      </c>
      <c r="HI43">
        <f>SUMPRODUCT(--('Данные 1st'!$S$2:$S$317=$A43),--ISNUMBER('Данные 1st'!$QS$2:$QS$317))</f>
        <v>1</v>
      </c>
      <c r="HJ43">
        <f>SUMPRODUCT(--('Данные 1st'!$S$2:$S$317=$A43),--ISNUMBER('Данные 1st'!$QU$2:$QU$317))</f>
        <v>1</v>
      </c>
      <c r="HK43">
        <f>SUMPRODUCT(--('Данные 1st'!$S$2:$S$317=$A43),--ISNUMBER('Данные 1st'!$QV$2:$QV$317))</f>
        <v>1</v>
      </c>
      <c r="HL43">
        <f>SUMPRODUCT(--('Данные 1st'!$S$2:$S$317=$A43),--ISNUMBER('Данные 1st'!$QW$2:$QW$317))</f>
        <v>1</v>
      </c>
      <c r="HM43">
        <f>SUMPRODUCT(--('Данные 1st'!$S$2:$S$317=$A43),--ISNUMBER('Данные 1st'!$QX$2:$QX$317))</f>
        <v>1</v>
      </c>
      <c r="HN43">
        <f>SUMPRODUCT(--('Данные 1st'!$S$2:$S$317=$A43),--ISNUMBER('Данные 1st'!$QZ$2:$QZ$317))</f>
        <v>1</v>
      </c>
      <c r="HO43">
        <f>SUMPRODUCT(--('Данные 1st'!$S$2:$S$317=$A43),--ISNUMBER('Данные 1st'!$RA$2:$RA$317))</f>
        <v>1</v>
      </c>
      <c r="HP43">
        <f>SUMPRODUCT(--('Данные 1st'!$S$2:$S$317=$A43),--ISNUMBER('Данные 1st'!$RB$2:$RB$317))</f>
        <v>1</v>
      </c>
      <c r="HQ43">
        <f>SUMPRODUCT(--('Данные 1st'!$S$2:$S$317=$A43),--ISNUMBER('Данные 1st'!$RD$2:$RD$317))</f>
        <v>0</v>
      </c>
      <c r="HR43">
        <f>SUMPRODUCT(--('Данные 1st'!$S$2:$S$317=$A43),--ISNUMBER('Данные 1st'!$RE$2:$RE$317))</f>
        <v>1</v>
      </c>
      <c r="HS43">
        <f>SUMPRODUCT(--('Данные 1st'!$S$2:$S$317=$A43),--ISNUMBER('Данные 1st'!$RF$2:$RF$317))</f>
        <v>1</v>
      </c>
      <c r="HT43">
        <f>SUMPRODUCT(--('Данные 1st'!$S$2:$S$317=$A43),--ISNUMBER('Данные 1st'!$RG$2:$RG$317))</f>
        <v>0</v>
      </c>
      <c r="HU43">
        <f>SUMPRODUCT(--('Данные 1st'!$S$2:$S$317=$A43),--ISNUMBER('Данные 1st'!$RH$2:$RH$317))</f>
        <v>1</v>
      </c>
      <c r="HV43">
        <f>SUMPRODUCT(--('Данные 1st'!$S$2:$S$317=$A43),--ISNUMBER('Данные 1st'!$RI$2:$RI$317))</f>
        <v>0</v>
      </c>
      <c r="HW43">
        <f>SUMPRODUCT(--('Данные 1st'!$S$2:$S$317=$A43),--ISNUMBER('Данные 1st'!$RJ$2:$RJ$317))</f>
        <v>1</v>
      </c>
      <c r="HX43">
        <f>SUMPRODUCT(--('Данные 1st'!$S$2:$S$317=$A43),--ISNUMBER('Данные 1st'!$RK$2:$RK$317))</f>
        <v>1</v>
      </c>
      <c r="HY43">
        <f>SUMPRODUCT(--('Данные 1st'!$S$2:$S$317=$A43),--ISNUMBER('Данные 1st'!$RL$2:$RL$317))</f>
        <v>1</v>
      </c>
      <c r="HZ43">
        <f>SUMPRODUCT(--('Данные 1st'!$S$2:$S$317=$A43),--ISNUMBER('Данные 1st'!$RM$2:$RM$317))</f>
        <v>1</v>
      </c>
      <c r="IA43">
        <f>SUMPRODUCT(--('Данные 1st'!$S$2:$S$317=$A43),--ISNUMBER('Данные 1st'!$RN$2:$RN$317))</f>
        <v>0</v>
      </c>
      <c r="IB43">
        <f>SUMPRODUCT(--('Данные 1st'!$S$2:$S$317=$A43),--ISNUMBER('Данные 1st'!$RO$2:$RO$317))</f>
        <v>1</v>
      </c>
      <c r="IC43">
        <f>SUMPRODUCT(--('Данные 1st'!$S$2:$S$317=$A43),--ISNUMBER('Данные 1st'!$RP$2:$RP$317))</f>
        <v>1</v>
      </c>
      <c r="ID43">
        <f>SUMPRODUCT(--('Данные 1st'!$S$2:$S$317=$A43),--ISNUMBER('Данные 1st'!$RQ$2:$RQ$317))</f>
        <v>1</v>
      </c>
      <c r="IE43">
        <f>SUMPRODUCT(--('Данные 1st'!$S$2:$S$317=$A43),--ISNUMBER('Данные 1st'!$RR$2:$RR$317))</f>
        <v>1</v>
      </c>
      <c r="IF43">
        <f>SUMPRODUCT(--('Данные 1st'!$S$2:$S$317=$A43),--ISNUMBER('Данные 1st'!$RS$2:$RS$317))</f>
        <v>0</v>
      </c>
      <c r="IG43">
        <f>SUMPRODUCT(--('Данные 1st'!$S$2:$S$317=$A43),--ISNUMBER('Данные 1st'!$RT$2:$RT$317))</f>
        <v>1</v>
      </c>
      <c r="IH43">
        <f>SUMPRODUCT(--('Данные 1st'!$S$2:$S$317=$A43),--ISNUMBER('Данные 1st'!$RU$2:$RU$317))</f>
        <v>1</v>
      </c>
      <c r="II43">
        <f>SUMPRODUCT(--('Данные 1st'!$S$2:$S$317=$A43),--ISNUMBER('Данные 1st'!$RX$2:$RX$317))</f>
        <v>1</v>
      </c>
      <c r="IJ43">
        <f>SUMPRODUCT(--('Данные 1st'!$S$2:$S$317=$A43),--ISNUMBER('Данные 1st'!$RY$2:$RY$317))</f>
        <v>1</v>
      </c>
      <c r="IK43">
        <f>SUMPRODUCT(--('Данные 1st'!$S$2:$S$317=$A43),--ISNUMBER('Данные 1st'!$SA$2:$SA$317))</f>
        <v>1</v>
      </c>
      <c r="IL43">
        <f>SUMPRODUCT(--('Данные 1st'!$S$2:$S$317=$A43),--ISNUMBER('Данные 1st'!$SD$2:$SD$317))</f>
        <v>1</v>
      </c>
      <c r="IM43">
        <f>SUMPRODUCT(--('Данные 1st'!$S$2:$S$317=$A43),--ISNUMBER('Данные 1st'!$SG$2:$SG$317))</f>
        <v>1</v>
      </c>
      <c r="IN43">
        <f>SUMPRODUCT(--('Данные 1st'!$S$2:$S$317=$A43),--ISNUMBER('Данные 1st'!$SH$2:$SH$317))</f>
        <v>1</v>
      </c>
      <c r="IO43">
        <f>SUMPRODUCT(--('Данные 1st'!$S$2:$S$317=$A43),--ISNUMBER('Данные 1st'!$SI$2:$SI$317))</f>
        <v>1</v>
      </c>
      <c r="IP43">
        <f>SUMPRODUCT(--('Данные 1st'!$S$2:$S$317=$A43),--ISNUMBER('Данные 1st'!$SJ$2:$SJ$317))</f>
        <v>1</v>
      </c>
      <c r="IQ43">
        <f>SUMPRODUCT(--('Данные 1st'!$S$2:$S$317=$A43),--ISNUMBER('Данные 1st'!$SK$2:$SK$317))</f>
        <v>1</v>
      </c>
      <c r="IR43">
        <f>SUMPRODUCT(--('Данные 1st'!$S$2:$S$317=$A43),--ISNUMBER('Данные 1st'!$SL$2:$SL$317))</f>
        <v>1</v>
      </c>
      <c r="IS43">
        <f>SUMPRODUCT(--('Данные 1st'!$S$2:$S$317=$A43),--ISNUMBER('Данные 1st'!$SM$2:$SM$317))</f>
        <v>1</v>
      </c>
      <c r="IT43">
        <f>SUMPRODUCT(--('Данные 1st'!$S$2:$S$317=$A43),--ISNUMBER('Данные 1st'!$SN$2:$SN$317))</f>
        <v>1</v>
      </c>
      <c r="IU43">
        <f>SUMPRODUCT(--('Данные 1st'!$S$2:$S$317=$A43),--ISNUMBER('Данные 1st'!$SO$2:$SO$317))</f>
        <v>1</v>
      </c>
      <c r="IV43">
        <f>SUMPRODUCT(--('Данные 1st'!$S$2:$S$317=$A43),--ISNUMBER('Данные 1st'!$SP$2:$SP$317))</f>
        <v>1</v>
      </c>
      <c r="IW43">
        <f>SUMPRODUCT(--('Данные 1st'!$S$2:$S$317=$A43),--ISNUMBER('Данные 1st'!$SQ$2:$SQ$317))</f>
        <v>1</v>
      </c>
      <c r="IX43">
        <f>SUMPRODUCT(--('Данные 1st'!$S$2:$S$317=$A43),--ISNUMBER('Данные 1st'!$SR$2:$SR$317))</f>
        <v>1</v>
      </c>
      <c r="IY43">
        <f>SUMPRODUCT(--('Данные 1st'!$S$2:$S$317=$A43),--ISNUMBER('Данные 1st'!$SS$2:$SS$317))</f>
        <v>1</v>
      </c>
      <c r="IZ43">
        <f>SUMPRODUCT(--('Данные 1st'!$S$2:$S$317=$A43),--ISNUMBER('Данные 1st'!$ST$2:$ST$317))</f>
        <v>1</v>
      </c>
      <c r="JA43">
        <f>SUMPRODUCT(--('Данные 1st'!$S$2:$S$317=$A43),--ISNUMBER('Данные 1st'!$SU$2:$SU$317))</f>
        <v>1</v>
      </c>
      <c r="JB43">
        <f>SUMPRODUCT(--('Данные 1st'!$S$2:$S$317=$A43),--ISNUMBER('Данные 1st'!$SV$2:$SV$317))</f>
        <v>1</v>
      </c>
      <c r="JC43">
        <f>SUMPRODUCT(--('Данные 1st'!$S$2:$S$317=$A43),--ISNUMBER('Данные 1st'!$SW$2:$SW$317))</f>
        <v>1</v>
      </c>
      <c r="JD43">
        <f>SUMPRODUCT(--('Данные 1st'!$S$2:$S$317=$A43),--ISNUMBER('Данные 1st'!$SX$2:$SX$317))</f>
        <v>1</v>
      </c>
      <c r="JE43">
        <f>SUMPRODUCT(--('Данные 1st'!$S$2:$S$317=$A43),--ISNUMBER('Данные 1st'!$SY$2:$SY$317))</f>
        <v>1</v>
      </c>
      <c r="JF43">
        <f>SUMPRODUCT(--('Данные 1st'!$S$2:$S$317=$A43),--ISNUMBER('Данные 1st'!$SZ$2:$SZ$317))</f>
        <v>1</v>
      </c>
      <c r="JG43">
        <f>SUMPRODUCT(--('Данные 1st'!$S$2:$S$317=$A43),--ISNUMBER('Данные 1st'!$TA$2:$TA$317))</f>
        <v>0</v>
      </c>
      <c r="JH43">
        <f>SUMPRODUCT(--('Данные 1st'!$S$2:$S$317=$A43),--ISNUMBER('Данные 1st'!$TB$2:$TB$317))</f>
        <v>1</v>
      </c>
      <c r="JI43">
        <f>SUMPRODUCT(--('Данные 1st'!$S$2:$S$317=$A43),--ISNUMBER('Данные 1st'!$TC$2:$TC$317))</f>
        <v>1</v>
      </c>
      <c r="JJ43">
        <f>SUMPRODUCT(--('Данные 1st'!$S$2:$S$317=$A43),--ISNUMBER('Данные 1st'!$TD$2:$TD$317))</f>
        <v>1</v>
      </c>
      <c r="JK43">
        <f>SUMPRODUCT(--('Данные 1st'!$S$2:$S$317=$A43),--ISNUMBER('Данные 1st'!$TN$2:$TN$317))</f>
        <v>1</v>
      </c>
      <c r="JQ43">
        <f>SUMPRODUCT(--('Данные 2st'!$Q$2:$Q$317=$A43),--ISNUMBER('Данные 2st'!$AC$2:$AC$317))</f>
        <v>1</v>
      </c>
      <c r="JR43">
        <f>SUMPRODUCT(--('Данные 2st'!$Q$2:$Q$317=$A43),--ISNUMBER('Данные 2st'!$AF$2:$AF$317))</f>
        <v>1</v>
      </c>
      <c r="JS43">
        <f>SUMPRODUCT(--('Данные 2st'!$Q$2:$Q$317=$A43),--ISNUMBER('Данные 2st'!$AW$2:$AW$317))</f>
        <v>1</v>
      </c>
      <c r="JT43">
        <f>SUMPRODUCT(--('Данные 2st'!$Q$2:$Q$317=$A43),--ISNUMBER('Данные 2st'!$AX$2:$AX$317))</f>
        <v>1</v>
      </c>
      <c r="JU43">
        <f>SUMPRODUCT(--('Данные 2st'!$Q$2:$Q$317=$A43),--ISNUMBER('Данные 2st'!$AY$2:$AY$317))</f>
        <v>1</v>
      </c>
      <c r="JV43">
        <f>SUMPRODUCT(--('Данные 2st'!$Q$2:$Q$317=$A43),--ISNUMBER('Данные 2st'!$AZ$2:$AZ$317))</f>
        <v>1</v>
      </c>
      <c r="JW43">
        <f>SUMPRODUCT(--('Данные 2st'!$Q$2:$Q$317=$A43),--ISNUMBER('Данные 2st'!$BA$2:$BA$317))</f>
        <v>0</v>
      </c>
      <c r="JX43">
        <f>SUMPRODUCT(--('Данные 2st'!$Q$2:$Q$317=$A43),--ISNUMBER('Данные 2st'!$BB$2:$BB$317))</f>
        <v>0</v>
      </c>
      <c r="JY43">
        <f>SUMPRODUCT(--('Данные 2st'!$Q$2:$Q$317=$A43),--ISNUMBER('Данные 2st'!$BC$2:$BC$317))</f>
        <v>0</v>
      </c>
      <c r="JZ43">
        <f>SUMPRODUCT(--('Данные 2st'!$Q$2:$Q$317=$A43),--ISNUMBER('Данные 2st'!$BH$2:$BH$317))</f>
        <v>1</v>
      </c>
      <c r="KA43">
        <f>SUMPRODUCT(--('Данные 2st'!$Q$2:$Q$317=$A43),--ISNUMBER('Данные 2st'!$BI$2:$BI$317))</f>
        <v>1</v>
      </c>
      <c r="KB43">
        <f>SUMPRODUCT(--('Данные 2st'!$Q$2:$Q$317=$A43),--ISNUMBER('Данные 2st'!$BJ$2:$BJ$317))</f>
        <v>1</v>
      </c>
      <c r="KC43">
        <f>SUMPRODUCT(--('Данные 2st'!$Q$2:$Q$317=$A43),--ISNUMBER('Данные 2st'!$BK$2:$BK$317))</f>
        <v>1</v>
      </c>
      <c r="KD43">
        <f>SUMPRODUCT(--('Данные 2st'!$Q$2:$Q$317=$A43),--ISNUMBER('Данные 2st'!$BL$2:$BL$317))</f>
        <v>1</v>
      </c>
      <c r="KE43">
        <f>SUMPRODUCT(--('Данные 2st'!$Q$2:$Q$317=$A43),--ISNUMBER('Данные 2st'!$BM$2:$BM$317))</f>
        <v>1</v>
      </c>
      <c r="KF43">
        <f>SUMPRODUCT(--('Данные 2st'!$Q$2:$Q$317=$A43),--ISNUMBER('Данные 2st'!$BN$2:$BN$317))</f>
        <v>1</v>
      </c>
      <c r="KG43">
        <f>SUMPRODUCT(--('Данные 2st'!$Q$2:$Q$317=$A43),--ISNUMBER('Данные 2st'!$BO$2:$BO$317))</f>
        <v>0</v>
      </c>
      <c r="KH43">
        <f>SUMPRODUCT(--('Данные 2st'!$Q$2:$Q$317=$A43),--ISNUMBER('Данные 2st'!$BP$2:$BP$317))</f>
        <v>1</v>
      </c>
      <c r="KI43">
        <f>SUMPRODUCT(--('Данные 2st'!$Q$2:$Q$317=$A43),--ISNUMBER('Данные 2st'!$BR$2:$BR$317))</f>
        <v>1</v>
      </c>
      <c r="KJ43">
        <f>SUMPRODUCT(--('Данные 2st'!$Q$2:$Q$317=$A43),--ISNUMBER('Данные 2st'!$BS$2:$BS$317))</f>
        <v>1</v>
      </c>
      <c r="KK43">
        <f>SUMPRODUCT(--('Данные 2st'!$Q$2:$Q$317=$A43),--ISNUMBER('Данные 2st'!$BT$2:$BT$317))</f>
        <v>1</v>
      </c>
      <c r="KL43">
        <f>SUMPRODUCT(--('Данные 2st'!$Q$2:$Q$317=$A43),--ISNUMBER('Данные 2st'!$CV$2:$CV$317))</f>
        <v>1</v>
      </c>
      <c r="KM43">
        <f>SUMPRODUCT(--('Данные 2st'!$Q$2:$Q$317=$A43),--ISNUMBER('Данные 2st'!$CW$2:$CW$317))</f>
        <v>1</v>
      </c>
      <c r="KN43">
        <f>SUMPRODUCT(--('Данные 2st'!$Q$2:$Q$317=$A43),--ISNUMBER('Данные 2st'!$CX$2:$CX$317))</f>
        <v>1</v>
      </c>
      <c r="KO43">
        <f>SUMPRODUCT(--('Данные 2st'!$Q$2:$Q$317=$A43),--ISNUMBER('Данные 2st'!$CY$2:$CY$317))</f>
        <v>1</v>
      </c>
      <c r="KP43">
        <f>SUMPRODUCT(--('Данные 2st'!$Q$2:$Q$317=$A43),--ISNUMBER('Данные 2st'!$CZ$2:$CZ$317))</f>
        <v>1</v>
      </c>
      <c r="KQ43">
        <f>SUMPRODUCT(--('Данные 2st'!$Q$2:$Q$317=$A43),--ISNUMBER('Данные 2st'!$DA$2:$DA$317))</f>
        <v>1</v>
      </c>
      <c r="KR43">
        <f>SUMPRODUCT(--('Данные 2st'!$Q$2:$Q$317=$A43),--ISNUMBER('Данные 2st'!$DB$2:$DB$317))</f>
        <v>1</v>
      </c>
      <c r="KS43">
        <f>SUMPRODUCT(--('Данные 2st'!$Q$2:$Q$317=$A43),--ISNUMBER('Данные 2st'!$DC$2:$DC$317))</f>
        <v>1</v>
      </c>
      <c r="KT43">
        <f>SUMPRODUCT(--('Данные 2st'!$Q$2:$Q$317=$A43),--ISNUMBER('Данные 2st'!$DD$2:$DD$317))</f>
        <v>1</v>
      </c>
      <c r="KU43">
        <f>SUMPRODUCT(--('Данные 2st'!$Q$2:$Q$317=$A43),--ISNUMBER('Данные 2st'!$DE$2:$DE$317))</f>
        <v>1</v>
      </c>
      <c r="KV43">
        <f>SUMPRODUCT(--('Данные 2st'!$Q$2:$Q$317=$A43),--ISNUMBER('Данные 2st'!$DF$2:$DF$317))</f>
        <v>1</v>
      </c>
      <c r="KW43">
        <f>SUMPRODUCT(--('Данные 2st'!$Q$2:$Q$317=$A43),--ISNUMBER('Данные 2st'!$DG$2:$DG$317))</f>
        <v>1</v>
      </c>
      <c r="KX43">
        <f>SUMPRODUCT(--('Данные 2st'!$Q$2:$Q$317=$A43),--ISNUMBER('Данные 2st'!$DH$2:$DH$317))</f>
        <v>1</v>
      </c>
      <c r="KY43">
        <f>SUMPRODUCT(--('Данные 2st'!$Q$2:$Q$317=$A43),--ISNUMBER('Данные 2st'!$DI$2:$DI$317))</f>
        <v>0</v>
      </c>
      <c r="KZ43">
        <f>SUMPRODUCT(--('Данные 2st'!$Q$2:$Q$317=$A43),--ISNUMBER('Данные 2st'!$DK$2:$DK$317))</f>
        <v>1</v>
      </c>
      <c r="LA43">
        <f>SUMPRODUCT(--('Данные 2st'!$Q$2:$Q$317=$A43),--ISNUMBER('Данные 2st'!$DM$2:$DM$317))</f>
        <v>1</v>
      </c>
      <c r="LB43">
        <f>SUMPRODUCT(--('Данные 2st'!$Q$2:$Q$317=$A43),--ISNUMBER('Данные 2st'!$DN$2:$DN$317))</f>
        <v>1</v>
      </c>
      <c r="LC43">
        <f>SUMPRODUCT(--('Данные 2st'!$Q$2:$Q$317=$A43),--ISNUMBER('Данные 2st'!$DO$2:$DO$317))</f>
        <v>1</v>
      </c>
      <c r="LD43">
        <f>SUMPRODUCT(--('Данные 2st'!$Q$2:$Q$317=$A43),--ISNUMBER('Данные 2st'!$DP$2:$DP$317))</f>
        <v>1</v>
      </c>
      <c r="LE43">
        <f>SUMPRODUCT(--('Данные 2st'!$Q$2:$Q$317=$A43),--ISNUMBER('Данные 2st'!$DQ$2:$DQ$317))</f>
        <v>1</v>
      </c>
      <c r="LF43">
        <f>SUMPRODUCT(--('Данные 2st'!$Q$2:$Q$317=$A43),--ISNUMBER('Данные 2st'!$DS$2:$DS$317))</f>
        <v>1</v>
      </c>
      <c r="LG43">
        <f>SUMPRODUCT(--('Данные 2st'!$Q$2:$Q$317=$A43),--ISNUMBER('Данные 2st'!$DU$2:$DU$317))</f>
        <v>1</v>
      </c>
      <c r="LH43">
        <f>SUMPRODUCT(--('Данные 2st'!$Q$2:$Q$317=$A43),--ISNUMBER('Данные 2st'!$DV$2:$DV$317))</f>
        <v>1</v>
      </c>
      <c r="LI43">
        <f>SUMPRODUCT(--('Данные 2st'!$Q$2:$Q$317=$A43),--ISNUMBER('Данные 2st'!$DW$2:$DW$317))</f>
        <v>1</v>
      </c>
      <c r="LJ43">
        <f>SUMPRODUCT(--('Данные 2st'!$Q$2:$Q$317=$A43),--ISNUMBER('Данные 2st'!$DX$2:$DX$317))</f>
        <v>1</v>
      </c>
      <c r="LK43">
        <f>SUMPRODUCT(--('Данные 2st'!$Q$2:$Q$317=$A43),--ISNUMBER('Данные 2st'!$DY$2:$DY$317))</f>
        <v>1</v>
      </c>
      <c r="LL43">
        <f>SUMPRODUCT(--('Данные 2st'!$Q$2:$Q$317=$A43),--ISNUMBER('Данные 2st'!$EA$2:$EA$317))</f>
        <v>1</v>
      </c>
      <c r="LM43">
        <f>SUMPRODUCT(--('Данные 2st'!$Q$2:$Q$317=$A43),--ISNUMBER('Данные 2st'!$EC$2:$EC$317))</f>
        <v>1</v>
      </c>
      <c r="LN43">
        <f>SUMPRODUCT(--('Данные 2st'!$Q$2:$Q$317=$A43),--ISNUMBER('Данные 2st'!$ED$2:$ED$317))</f>
        <v>1</v>
      </c>
      <c r="LO43">
        <f>SUMPRODUCT(--('Данные 2st'!$Q$2:$Q$317=$A43),--ISNUMBER('Данные 2st'!$EE$2:$EE$317))</f>
        <v>1</v>
      </c>
      <c r="LP43">
        <f>SUMPRODUCT(--('Данные 2st'!$Q$2:$Q$317=$A43),--ISNUMBER('Данные 2st'!$EG$2:$EG$317))</f>
        <v>1</v>
      </c>
      <c r="LQ43">
        <f>SUMPRODUCT(--('Данные 2st'!$Q$2:$Q$317=$A43),--ISNUMBER('Данные 2st'!$EI$2:$EI$317))</f>
        <v>1</v>
      </c>
      <c r="LR43">
        <f>SUMPRODUCT(--('Данные 2st'!$Q$2:$Q$317=$A43),--ISNUMBER('Данные 2st'!$EJ$2:$EJ$317))</f>
        <v>0</v>
      </c>
      <c r="LS43">
        <f>SUMPRODUCT(--('Данные 2st'!$Q$2:$Q$317=$A43),--ISNUMBER('Данные 2st'!$EK$2:$EK$317))</f>
        <v>0</v>
      </c>
      <c r="LT43">
        <f>SUMPRODUCT(--('Данные 2st'!$Q$2:$Q$317=$A43),--ISNUMBER('Данные 2st'!$EM$2:$EM$317))</f>
        <v>1</v>
      </c>
      <c r="LU43">
        <f>SUMPRODUCT(--('Данные 2st'!$Q$2:$Q$317=$A43),--ISNUMBER('Данные 2st'!$EN$2:$EN$317))</f>
        <v>1</v>
      </c>
      <c r="LV43">
        <f>SUMPRODUCT(--('Данные 2st'!$Q$2:$Q$317=$A43),--ISNUMBER('Данные 2st'!$EO$2:$EO$317))</f>
        <v>1</v>
      </c>
      <c r="LW43">
        <f>SUMPRODUCT(--('Данные 2st'!$Q$2:$Q$317=$A43),--ISNUMBER('Данные 2st'!$EP$2:$EP$317))</f>
        <v>1</v>
      </c>
      <c r="LX43">
        <f>SUMPRODUCT(--('Данные 2st'!$Q$2:$Q$317=$A43),--ISNUMBER('Данные 2st'!$EQ$2:$EQ$317))</f>
        <v>1</v>
      </c>
      <c r="LY43">
        <f>SUMPRODUCT(--('Данные 2st'!$Q$2:$Q$317=$A43),--ISNUMBER('Данные 2st'!$ER$2:$ER$317))</f>
        <v>1</v>
      </c>
      <c r="LZ43">
        <f>SUMPRODUCT(--('Данные 2st'!$Q$2:$Q$317=$A43),--ISNUMBER('Данные 2st'!$ES$2:$ES$317))</f>
        <v>1</v>
      </c>
      <c r="MA43">
        <f>SUMPRODUCT(--('Данные 2st'!$Q$2:$Q$317=$A43),--ISNUMBER('Данные 2st'!$ET$2:$ET$317))</f>
        <v>1</v>
      </c>
      <c r="MB43">
        <f>SUMPRODUCT(--('Данные 2st'!$Q$2:$Q$317=$A43),--ISNUMBER('Данные 2st'!$EU$2:$EU$317))</f>
        <v>1</v>
      </c>
      <c r="MC43">
        <f>SUMPRODUCT(--('Данные 2st'!$Q$2:$Q$317=$A43),--ISNUMBER('Данные 2st'!$EV$2:$EV$317))</f>
        <v>1</v>
      </c>
      <c r="MD43">
        <f>SUMPRODUCT(--('Данные 2st'!$Q$2:$Q$317=$A43),--ISNUMBER('Данные 2st'!$EW$2:$EW$317))</f>
        <v>1</v>
      </c>
      <c r="ME43">
        <f>SUMPRODUCT(--('Данные 2st'!$Q$2:$Q$317=$A43),--ISNUMBER('Данные 2st'!$EY$2:$EY$317))</f>
        <v>1</v>
      </c>
      <c r="MF43">
        <f>SUMPRODUCT(--('Данные 2st'!$Q$2:$Q$317=$A43),--ISNUMBER('Данные 2st'!$FA$2:$FA$317))</f>
        <v>1</v>
      </c>
      <c r="MG43">
        <f>SUMPRODUCT(--('Данные 2st'!$Q$2:$Q$317=$A43),--ISNUMBER('Данные 2st'!$FB$2:$FB$317))</f>
        <v>1</v>
      </c>
      <c r="MH43">
        <f>SUMPRODUCT(--('Данные 2st'!$Q$2:$Q$317=$A43),--ISNUMBER('Данные 2st'!$FC$2:$FC$317))</f>
        <v>1</v>
      </c>
      <c r="MI43">
        <f>SUMPRODUCT(--('Данные 2st'!$Q$2:$Q$317=$A43),--ISNUMBER('Данные 2st'!$FD$2:$FD$317))</f>
        <v>1</v>
      </c>
      <c r="MJ43">
        <f>SUMPRODUCT(--('Данные 2st'!$Q$2:$Q$317=$A43),--ISNUMBER('Данные 2st'!$FE$2:$FE$317))</f>
        <v>1</v>
      </c>
      <c r="MK43">
        <f>SUMPRODUCT(--('Данные 2st'!$Q$2:$Q$317=$A43),--ISNUMBER('Данные 2st'!$FG$2:$FG$317))</f>
        <v>1</v>
      </c>
      <c r="ML43">
        <f>SUMPRODUCT(--('Данные 2st'!$Q$2:$Q$317=$A43),--ISNUMBER('Данные 2st'!$FI$2:$FI$317))</f>
        <v>1</v>
      </c>
      <c r="MM43">
        <f>SUMPRODUCT(--('Данные 2st'!$Q$2:$Q$317=$A43),--ISNUMBER('Данные 2st'!$FJ$2:$FJ$317))</f>
        <v>1</v>
      </c>
      <c r="MN43">
        <f>SUMPRODUCT(--('Данные 2st'!$Q$2:$Q$317=$A43),--ISNUMBER('Данные 2st'!$FK$2:$FK$317))</f>
        <v>1</v>
      </c>
      <c r="MO43">
        <f>SUMPRODUCT(--('Данные 2st'!$Q$2:$Q$317=$A43),--ISNUMBER('Данные 2st'!$FP$2:$FP$317))</f>
        <v>1</v>
      </c>
      <c r="MP43">
        <f>SUMPRODUCT(--('Данные 2st'!$Q$2:$Q$317=$A43),--ISNUMBER('Данные 2st'!$FQ$2:$FQ$317))</f>
        <v>1</v>
      </c>
      <c r="MQ43">
        <f>SUMPRODUCT(--('Данные 2st'!$Q$2:$Q$317=$A43),--ISNUMBER('Данные 2st'!$FS$2:$FS$317))</f>
        <v>1</v>
      </c>
      <c r="MR43">
        <f>SUMPRODUCT(--('Данные 2st'!$Q$2:$Q$317=$A43),--ISNUMBER('Данные 2st'!$FU$2:$FU$317))</f>
        <v>1</v>
      </c>
      <c r="MS43">
        <f>SUMPRODUCT(--('Данные 2st'!$Q$2:$Q$317=$A43),--ISNUMBER('Данные 2st'!$FV$2:$FV$317))</f>
        <v>1</v>
      </c>
      <c r="MT43">
        <f>SUMPRODUCT(--('Данные 2st'!$Q$2:$Q$317=$A43),--ISNUMBER('Данные 2st'!$FW$2:$FW$317))</f>
        <v>1</v>
      </c>
      <c r="MU43">
        <f>SUMPRODUCT(--('Данные 2st'!$Q$2:$Q$317=$A43),--ISNUMBER('Данные 2st'!$FY$2:$FY$317))</f>
        <v>1</v>
      </c>
      <c r="MV43">
        <f>SUMPRODUCT(--('Данные 2st'!$Q$2:$Q$317=$A43),--ISNUMBER('Данные 2st'!$GB$2:$GB$317))</f>
        <v>1</v>
      </c>
      <c r="MW43">
        <f>SUMPRODUCT(--('Данные 2st'!$Q$2:$Q$317=$A43),--ISNUMBER('Данные 2st'!$GC$2:$GC$317))</f>
        <v>1</v>
      </c>
      <c r="MX43">
        <f>SUMPRODUCT(--('Данные 2st'!$Q$2:$Q$317=$A43),--ISNUMBER('Данные 2st'!$GD$2:$GD$317))</f>
        <v>1</v>
      </c>
      <c r="MY43">
        <f>SUMPRODUCT(--('Данные 2st'!$Q$2:$Q$317=$A43),--ISNUMBER('Данные 2st'!$GN$2:$GN$317))</f>
        <v>0</v>
      </c>
      <c r="MZ43">
        <f>SUMPRODUCT(--('Данные 2st'!$Q$2:$Q$317=$A43),--ISNUMBER('Данные 2st'!$GQ$2:$GQ$317))</f>
        <v>1</v>
      </c>
      <c r="NA43">
        <f>SUMPRODUCT(--('Данные 2st'!$Q$2:$Q$317=$A43),--ISNUMBER('Данные 2st'!$GV$2:$GV$317))</f>
        <v>1</v>
      </c>
      <c r="NB43">
        <f>SUMPRODUCT(--('Данные 2st'!$Q$2:$Q$317=$A43),--ISNUMBER('Данные 2st'!$GW$2:$GW$317))</f>
        <v>1</v>
      </c>
      <c r="NC43">
        <f>SUMPRODUCT(--('Данные 2st'!$Q$2:$Q$317=$A43),--ISNUMBER('Данные 2st'!$GX$2:$GX$317))</f>
        <v>1</v>
      </c>
      <c r="ND43">
        <f>SUMPRODUCT(--('Данные 2st'!$Q$2:$Q$317=$A43),--ISNUMBER('Данные 2st'!$GY$2:$GY$317))</f>
        <v>1</v>
      </c>
      <c r="NE43">
        <f>SUMPRODUCT(--('Данные 2st'!$Q$2:$Q$317=$A43),--ISNUMBER('Данные 2st'!$GZ$2:$GZ$317))</f>
        <v>1</v>
      </c>
      <c r="NF43">
        <f>SUMPRODUCT(--('Данные 2st'!$Q$2:$Q$317=$A43),--ISNUMBER('Данные 2st'!$HA$2:$HA$317))</f>
        <v>1</v>
      </c>
      <c r="NG43">
        <f>SUMPRODUCT(--('Данные 2st'!$Q$2:$Q$317=$A43),--ISNUMBER('Данные 2st'!$HB$2:$HB$317))</f>
        <v>1</v>
      </c>
      <c r="NH43">
        <f>SUMPRODUCT(--('Данные 2st'!$Q$2:$Q$317=$A43),--ISNUMBER('Данные 2st'!$HC$2:$HC$317))</f>
        <v>1</v>
      </c>
      <c r="NI43">
        <f>SUMPRODUCT(--('Данные 2st'!$Q$2:$Q$317=$A43),--ISNUMBER('Данные 2st'!$HD$2:$HD$317))</f>
        <v>1</v>
      </c>
      <c r="NJ43">
        <f>SUMPRODUCT(--('Данные 2st'!$Q$2:$Q$317=$A43),--ISNUMBER('Данные 2st'!$HM$2:$HM$317))</f>
        <v>1</v>
      </c>
      <c r="NK43">
        <f>SUMPRODUCT(--('Данные 2st'!$Q$2:$Q$317=$A43),--ISNUMBER('Данные 2st'!$HR$2:$HR$317))</f>
        <v>1</v>
      </c>
      <c r="NL43">
        <f>SUMPRODUCT(--('Данные 2st'!$Q$2:$Q$317=$A43),--ISNUMBER('Данные 2st'!$HS$2:$HS$317))</f>
        <v>1</v>
      </c>
      <c r="NM43">
        <f>SUMPRODUCT(--('Данные 2st'!$Q$2:$Q$317=$A43),--ISNUMBER('Данные 2st'!$HT$2:$HT$317))</f>
        <v>1</v>
      </c>
      <c r="NN43">
        <f>SUMPRODUCT(--('Данные 2st'!$Q$2:$Q$317=$A43),--ISNUMBER('Данные 2st'!$HY$2:$HY$317))</f>
        <v>1</v>
      </c>
      <c r="NO43">
        <f>SUMPRODUCT(--('Данные 2st'!$Q$2:$Q$317=$A43),--ISNUMBER('Данные 2st'!$HZ$2:$HZ$317))</f>
        <v>1</v>
      </c>
      <c r="NP43">
        <f>SUMPRODUCT(--('Данные 2st'!$Q$2:$Q$317=$A43),--ISNUMBER('Данные 2st'!$IA$2:$IA$317))</f>
        <v>1</v>
      </c>
      <c r="NQ43">
        <f>SUMPRODUCT(--('Данные 2st'!$Q$2:$Q$317=$A43),--ISNUMBER('Данные 2st'!$IB$2:$IB$317))</f>
        <v>1</v>
      </c>
      <c r="NR43">
        <f>SUMPRODUCT(--('Данные 2st'!$Q$2:$Q$317=$A43),--ISNUMBER('Данные 2st'!$IC$2:$IC$317))</f>
        <v>0</v>
      </c>
      <c r="NS43">
        <f>SUMPRODUCT(--('Данные 2st'!$Q$2:$Q$317=$A43),--ISNUMBER('Данные 2st'!$ID$2:$ID$317))</f>
        <v>1</v>
      </c>
      <c r="NT43">
        <f>SUMPRODUCT(--('Данные 2st'!$Q$2:$Q$317=$A43),--ISNUMBER('Данные 2st'!$IE$2:$IE$317))</f>
        <v>1</v>
      </c>
      <c r="NU43">
        <f>SUMPRODUCT(--('Данные 2st'!$Q$2:$Q$317=$A43),--ISNUMBER('Данные 2st'!$IF$2:$IF$317))</f>
        <v>1</v>
      </c>
      <c r="NV43">
        <f>SUMPRODUCT(--('Данные 2st'!$Q$2:$Q$317=$A43),--ISNUMBER('Данные 2st'!$IG$2:$IG$317))</f>
        <v>1</v>
      </c>
      <c r="NW43">
        <f>SUMPRODUCT(--('Данные 2st'!$Q$2:$Q$317=$A43),--ISNUMBER('Данные 2st'!$IH$2:$IH$317))</f>
        <v>1</v>
      </c>
      <c r="NX43">
        <f>SUMPRODUCT(--('Данные 2st'!$Q$2:$Q$317=$A43),--ISNUMBER('Данные 2st'!$IJ$2:$IJ$317))</f>
        <v>1</v>
      </c>
      <c r="NY43">
        <f>SUMPRODUCT(--('Данные 2st'!$Q$2:$Q$317=$A43),--ISNUMBER('Данные 2st'!$IM$2:$IM$317))</f>
        <v>1</v>
      </c>
      <c r="NZ43">
        <f>SUMPRODUCT(--('Данные 2st'!$Q$2:$Q$317=$A43),--ISNUMBER('Данные 2st'!$IN$2:$IN$317))</f>
        <v>1</v>
      </c>
      <c r="OA43">
        <f>SUMPRODUCT(--('Данные 2st'!$Q$2:$Q$317=$A43),--ISNUMBER('Данные 2st'!$IO$2:$IO$317))</f>
        <v>1</v>
      </c>
      <c r="OB43">
        <f>SUMPRODUCT(--('Данные 2st'!$Q$2:$Q$317=$A43),--ISNUMBER('Данные 2st'!$IP$2:$IP$317))</f>
        <v>1</v>
      </c>
      <c r="OC43">
        <f>SUMPRODUCT(--('Данные 2st'!$Q$2:$Q$317=$A43),--ISNUMBER('Данные 2st'!$IQ$2:$IQ$317))</f>
        <v>1</v>
      </c>
      <c r="OD43">
        <f>SUMPRODUCT(--('Данные 2st'!$Q$2:$Q$317=$A43),--ISNUMBER('Данные 2st'!$IR$2:$IR$317))</f>
        <v>1</v>
      </c>
      <c r="OE43">
        <f>SUMPRODUCT(--('Данные 2st'!$Q$2:$Q$317=$A43),--ISNUMBER('Данные 2st'!$IT$2:$IT$317))</f>
        <v>1</v>
      </c>
      <c r="OF43">
        <f>SUMPRODUCT(--('Данные 2st'!$Q$2:$Q$317=$A43),--ISNUMBER('Данные 2st'!$IU$2:$IU$317))</f>
        <v>1</v>
      </c>
      <c r="OG43">
        <f>SUMPRODUCT(--('Данные 2st'!$Q$2:$Q$317=$A43),--ISNUMBER('Данные 2st'!$IV$2:$IV$317))</f>
        <v>1</v>
      </c>
      <c r="OH43">
        <f>SUMPRODUCT(--('Данные 2st'!$Q$2:$Q$317=$A43),--ISNUMBER('Данные 2st'!$IW$2:$IW$317))</f>
        <v>1</v>
      </c>
      <c r="OI43">
        <f>SUMPRODUCT(--('Данные 2st'!$Q$2:$Q$317=$A43),--ISNUMBER('Данные 2st'!$IX$2:$IX$317))</f>
        <v>1</v>
      </c>
      <c r="OJ43">
        <f>SUMPRODUCT(--('Данные 2st'!$Q$2:$Q$317=$A43),--ISNUMBER('Данные 2st'!$IY$2:$IY$317))</f>
        <v>1</v>
      </c>
      <c r="OK43">
        <f>SUMPRODUCT(--('Данные 2st'!$Q$2:$Q$317=$A43),--ISNUMBER('Данные 2st'!$IZ$2:$IZ$317))</f>
        <v>1</v>
      </c>
      <c r="OL43">
        <f>SUMPRODUCT(--('Данные 2st'!$Q$2:$Q$317=$A43),--ISNUMBER('Данные 2st'!$JA$2:$JA$317))</f>
        <v>1</v>
      </c>
      <c r="OM43">
        <f>SUMPRODUCT(--('Данные 2st'!$Q$2:$Q$317=$A43),--ISNUMBER('Данные 2st'!$JB$2:$JB$317))</f>
        <v>1</v>
      </c>
      <c r="ON43">
        <f>SUMPRODUCT(--('Данные 2st'!$Q$2:$Q$317=$A43),--ISNUMBER('Данные 2st'!$JC$2:$JC$317))</f>
        <v>1</v>
      </c>
      <c r="OO43">
        <f>SUMPRODUCT(--('Данные 2st'!$Q$2:$Q$317=$A43),--ISNUMBER('Данные 2st'!$JD$2:$JD$317))</f>
        <v>1</v>
      </c>
      <c r="OP43">
        <f>SUMPRODUCT(--('Данные 2st'!$Q$2:$Q$317=$A43),--ISNUMBER('Данные 2st'!$JE$2:$JE$317))</f>
        <v>1</v>
      </c>
      <c r="OQ43">
        <f>SUMPRODUCT(--('Данные 2st'!$Q$2:$Q$317=$A43),--ISNUMBER('Данные 2st'!$JF$2:$JF$317))</f>
        <v>1</v>
      </c>
      <c r="OR43">
        <f>SUMPRODUCT(--('Данные 2st'!$Q$2:$Q$317=$A43),--ISNUMBER('Данные 2st'!$JG$2:$JG$317))</f>
        <v>1</v>
      </c>
      <c r="OS43">
        <f>SUMPRODUCT(--('Данные 2st'!$Q$2:$Q$317=$A43),--ISNUMBER('Данные 2st'!$JH$2:$JH$317))</f>
        <v>1</v>
      </c>
      <c r="OT43">
        <f>SUMPRODUCT(--('Данные 2st'!$Q$2:$Q$317=$A43),--ISNUMBER('Данные 2st'!$JI$2:$JI$317))</f>
        <v>1</v>
      </c>
      <c r="OU43">
        <f>SUMPRODUCT(--('Данные 2st'!$Q$2:$Q$317=$A43),--ISNUMBER('Данные 2st'!$JJ$2:$JJ$317))</f>
        <v>1</v>
      </c>
      <c r="OV43">
        <f>SUMPRODUCT(--('Данные 2st'!$Q$2:$Q$317=$A43),--ISNUMBER('Данные 2st'!$JK$2:$JK$317))</f>
        <v>1</v>
      </c>
      <c r="OW43">
        <f>SUMPRODUCT(--('Данные 2st'!$Q$2:$Q$317=$A43),--ISNUMBER('Данные 2st'!$JL$2:$JL$317))</f>
        <v>1</v>
      </c>
      <c r="OX43">
        <f>SUMPRODUCT(--('Данные 2st'!$Q$2:$Q$317=$A43),--ISNUMBER('Данные 2st'!$JM$2:$JM$317))</f>
        <v>1</v>
      </c>
      <c r="OY43">
        <f>SUMPRODUCT(--('Данные 2st'!$Q$2:$Q$317=$A43),--ISNUMBER('Данные 2st'!$JP$2:$JP$317))</f>
        <v>1</v>
      </c>
      <c r="OZ43">
        <f>SUMPRODUCT(--('Данные 2st'!$Q$2:$Q$317=$A43),--ISNUMBER('Данные 2st'!$JQ$2:$JQ$317))</f>
        <v>1</v>
      </c>
      <c r="PA43">
        <f>SUMPRODUCT(--('Данные 2st'!$Q$2:$Q$317=$A43),--ISNUMBER('Данные 2st'!$JR$2:$JR$317))</f>
        <v>1</v>
      </c>
      <c r="PB43">
        <f>SUMPRODUCT(--('Данные 2st'!$Q$2:$Q$317=$A43),--ISNUMBER('Данные 2st'!$JS$2:$JS$317))</f>
        <v>1</v>
      </c>
      <c r="PC43">
        <f>SUMPRODUCT(--('Данные 2st'!$Q$2:$Q$317=$A43),--ISNUMBER('Данные 2st'!$JT$2:$JT$317))</f>
        <v>1</v>
      </c>
      <c r="PD43">
        <f>SUMPRODUCT(--('Данные 2st'!$Q$2:$Q$317=$A43),--ISNUMBER('Данные 2st'!$JU$2:$JU$317))</f>
        <v>1</v>
      </c>
      <c r="PE43">
        <f>SUMPRODUCT(--('Данные 2st'!$Q$2:$Q$317=$A43),--ISNUMBER('Данные 2st'!$JV$2:$JV$317))</f>
        <v>1</v>
      </c>
      <c r="PF43">
        <f>SUMPRODUCT(--('Данные 2st'!$Q$2:$Q$317=$A43),--ISNUMBER('Данные 2st'!$JW$2:$JW$317))</f>
        <v>1</v>
      </c>
      <c r="PG43">
        <f>SUMPRODUCT(--('Данные 2st'!$Q$2:$Q$317=$A43),--ISNUMBER('Данные 2st'!$KF$2:$KF$317))</f>
        <v>1</v>
      </c>
      <c r="PH43">
        <f>SUMPRODUCT(--('Данные 2st'!$Q$2:$Q$317=$A43),--ISNUMBER('Данные 2st'!$KG$2:$KG$317))</f>
        <v>1</v>
      </c>
      <c r="PI43">
        <f>SUMPRODUCT(--('Данные 2st'!$Q$2:$Q$317=$A43),--ISNUMBER('Данные 2st'!$KM$2:$KM$317))</f>
        <v>1</v>
      </c>
      <c r="PJ43">
        <f>SUMPRODUCT(--('Данные 2st'!$Q$2:$Q$317=$A43),--ISNUMBER('Данные 2st'!$KN$2:$KN$317))</f>
        <v>1</v>
      </c>
      <c r="PK43">
        <f>SUMPRODUCT(--('Данные 2st'!$Q$2:$Q$317=$A43),--ISNUMBER('Данные 2st'!$KO$2:$KO$317))</f>
        <v>1</v>
      </c>
      <c r="PL43">
        <f>SUMPRODUCT(--('Данные 2st'!$Q$2:$Q$317=$A43),--ISNUMBER('Данные 2st'!$KP$2:$KP$317))</f>
        <v>1</v>
      </c>
      <c r="PM43">
        <f>SUMPRODUCT(--('Данные 2st'!$Q$2:$Q$317=$A43),--ISNUMBER('Данные 2st'!$KQ$2:$KQ$317))</f>
        <v>1</v>
      </c>
      <c r="PN43">
        <f>SUMPRODUCT(--('Данные 2st'!$Q$2:$Q$317=$A43),--ISNUMBER('Данные 2st'!$KR$2:$KR$317))</f>
        <v>1</v>
      </c>
      <c r="PO43">
        <f>SUMPRODUCT(--('Данные 2st'!$Q$2:$Q$317=$A43),--ISNUMBER('Данные 2st'!$KS$2:$KS$317))</f>
        <v>1</v>
      </c>
      <c r="PP43">
        <f>SUMPRODUCT(--('Данные 2st'!$Q$2:$Q$317=$A43),--ISNUMBER('Данные 2st'!$KT$2:$KT$317))</f>
        <v>1</v>
      </c>
      <c r="PQ43">
        <f>SUMPRODUCT(--('Данные 2st'!$Q$2:$Q$317=$A43),--ISNUMBER('Данные 2st'!$KU$2:$KU$317))</f>
        <v>1</v>
      </c>
      <c r="PR43">
        <f>SUMPRODUCT(--('Данные 2st'!$Q$2:$Q$317=$A43),--ISNUMBER('Данные 2st'!$KV$2:$KV$317))</f>
        <v>1</v>
      </c>
      <c r="PS43">
        <f>SUMPRODUCT(--('Данные 2st'!$Q$2:$Q$317=$A43),--ISNUMBER('Данные 2st'!$KW$2:$KW$317))</f>
        <v>1</v>
      </c>
      <c r="PT43">
        <f>SUMPRODUCT(--('Данные 2st'!$Q$2:$Q$317=$A43),--ISNUMBER('Данные 2st'!$KX$2:$KX$317))</f>
        <v>1</v>
      </c>
      <c r="PU43">
        <f>SUMPRODUCT(--('Данные 2st'!$Q$2:$Q$317=$A43),--ISNUMBER('Данные 2st'!$KY$2:$KY$317))</f>
        <v>1</v>
      </c>
      <c r="PV43">
        <f>SUMPRODUCT(--('Данные 2st'!$Q$2:$Q$317=$A43),--ISNUMBER('Данные 2st'!$KZ$2:$KZ$317))</f>
        <v>1</v>
      </c>
      <c r="PW43">
        <f>SUMPRODUCT(--('Данные 2st'!$Q$2:$Q$317=$A43),--ISNUMBER('Данные 2st'!$LA$2:$LA$317))</f>
        <v>1</v>
      </c>
      <c r="PX43">
        <f>SUMPRODUCT(--('Данные 2st'!$Q$2:$Q$317=$A43),--ISNUMBER('Данные 2st'!$LB$2:$LB$317))</f>
        <v>1</v>
      </c>
      <c r="PY43">
        <f>SUMPRODUCT(--('Данные 2st'!$Q$2:$Q$317=$A43),--ISNUMBER('Данные 2st'!$LC$2:$LC$317))</f>
        <v>1</v>
      </c>
      <c r="PZ43">
        <f>SUMPRODUCT(--('Данные 2st'!$Q$2:$Q$317=$A43),--ISNUMBER('Данные 2st'!$LD$2:$LD$317))</f>
        <v>1</v>
      </c>
      <c r="QA43">
        <f>SUMPRODUCT(--('Данные 2st'!$Q$2:$Q$317=$A43),--ISNUMBER('Данные 2st'!$LE$2:$LE$317))</f>
        <v>1</v>
      </c>
      <c r="QB43">
        <f>SUMPRODUCT(--('Данные 2st'!$Q$2:$Q$317=$A43),--ISNUMBER('Данные 2st'!$LF$2:$LF$317))</f>
        <v>1</v>
      </c>
      <c r="QC43">
        <f>SUMPRODUCT(--('Данные 2st'!$Q$2:$Q$317=$A43),--ISNUMBER('Данные 2st'!$LG$2:$LG$317))</f>
        <v>1</v>
      </c>
      <c r="QD43">
        <f>SUMPRODUCT(--('Данные 2st'!$Q$2:$Q$317=$A43),--ISNUMBER('Данные 2st'!$LH$2:$LH$317))</f>
        <v>1</v>
      </c>
      <c r="QE43">
        <f>SUMPRODUCT(--('Данные 2st'!$Q$2:$Q$317=$A43),--ISNUMBER('Данные 2st'!$LJ$2:$LJ$317))</f>
        <v>1</v>
      </c>
      <c r="QF43">
        <f>SUMPRODUCT(--('Данные 2st'!$Q$2:$Q$317=$A43),--ISNUMBER('Данные 2st'!$LK$2:$LK$317))</f>
        <v>1</v>
      </c>
      <c r="QG43">
        <f>SUMPRODUCT(--('Данные 2st'!$Q$2:$Q$317=$A43),--ISNUMBER('Данные 2st'!$LL$2:$LL$317))</f>
        <v>1</v>
      </c>
      <c r="QH43">
        <f>SUMPRODUCT(--('Данные 2st'!$Q$2:$Q$317=$A43),--ISNUMBER('Данные 2st'!$LM$2:$LM$317))</f>
        <v>1</v>
      </c>
      <c r="QI43">
        <f>SUMPRODUCT(--('Данные 2st'!$Q$2:$Q$317=$A43),--ISNUMBER('Данные 2st'!$LN$2:$LN$317))</f>
        <v>1</v>
      </c>
      <c r="QJ43">
        <f>SUMPRODUCT(--('Данные 2st'!$Q$2:$Q$317=$A43),--ISNUMBER('Данные 2st'!$LO$2:$LO$317))</f>
        <v>1</v>
      </c>
      <c r="QK43">
        <f>SUMPRODUCT(--('Данные 2st'!$Q$2:$Q$317=$A43),--ISNUMBER('Данные 2st'!$LP$2:$LP$317))</f>
        <v>1</v>
      </c>
      <c r="QL43">
        <f>SUMPRODUCT(--('Данные 2st'!$Q$2:$Q$317=$A43),--ISNUMBER('Данные 2st'!$LQ$2:$LQ$317))</f>
        <v>1</v>
      </c>
      <c r="QM43">
        <f>SUMPRODUCT(--('Данные 2st'!$Q$2:$Q$317=$A43),--ISNUMBER('Данные 2st'!$LW$2:$LW$317))</f>
        <v>1</v>
      </c>
      <c r="QN43">
        <f>SUMPRODUCT(--('Данные 2st'!$Q$2:$Q$317=$A43),--ISNUMBER('Данные 2st'!$LX$2:$LX$317))</f>
        <v>1</v>
      </c>
      <c r="QO43">
        <f>SUMPRODUCT(--('Данные 2st'!$Q$2:$Q$317=$A43),--ISNUMBER('Данные 2st'!$LY$2:$LY$317))</f>
        <v>1</v>
      </c>
      <c r="QP43">
        <f>SUMPRODUCT(--('Данные 2st'!$Q$2:$Q$317=$A43),--ISNUMBER('Данные 2st'!$LZ$2:$LZ$317))</f>
        <v>1</v>
      </c>
      <c r="QQ43">
        <f>SUMPRODUCT(--('Данные 2st'!$Q$2:$Q$317=$A43),--ISNUMBER('Данные 2st'!$MB$2:$MB$317))</f>
        <v>1</v>
      </c>
      <c r="QR43">
        <f>SUMPRODUCT(--('Данные 2st'!$Q$2:$Q$317=$A43),--ISNUMBER('Данные 2st'!$MG$2:$MG$317))</f>
        <v>1</v>
      </c>
      <c r="QS43">
        <f>SUMPRODUCT(--('Данные 2st'!$Q$2:$Q$317=$A43),--ISNUMBER('Данные 2st'!$MH$2:$MH$317))</f>
        <v>1</v>
      </c>
      <c r="QT43">
        <f>SUMPRODUCT(--('Данные 2st'!$Q$2:$Q$317=$A43),--ISNUMBER('Данные 2st'!$MI$2:$MI$317))</f>
        <v>1</v>
      </c>
      <c r="QU43">
        <f>SUMPRODUCT(--('Данные 2st'!$Q$2:$Q$317=$A43),--ISNUMBER('Данные 2st'!$MJ$2:$MJ$317))</f>
        <v>1</v>
      </c>
      <c r="QV43">
        <f>SUMPRODUCT(--('Данные 2st'!$Q$2:$Q$317=$A43),--ISNUMBER('Данные 2st'!$MK$2:$MK$317))</f>
        <v>1</v>
      </c>
      <c r="QW43">
        <f>SUMPRODUCT(--('Данные 2st'!$Q$2:$Q$317=$A43),--ISNUMBER('Данные 2st'!$MM$2:$MM$317))</f>
        <v>1</v>
      </c>
      <c r="QX43">
        <f>SUMPRODUCT(--('Данные 2st'!$Q$2:$Q$317=$A43),--ISNUMBER('Данные 2st'!$MQ$2:$MQ$317))</f>
        <v>0</v>
      </c>
      <c r="QY43">
        <f>SUMPRODUCT(--('Данные 2st'!$Q$2:$Q$317=$A43),--ISNUMBER('Данные 2st'!$MR$2:$MR$317))</f>
        <v>0</v>
      </c>
      <c r="QZ43">
        <f>SUMPRODUCT(--('Данные 2st'!$Q$2:$Q$317=$A43),--ISNUMBER('Данные 2st'!$MS$2:$MS$317))</f>
        <v>0</v>
      </c>
      <c r="RA43">
        <f>SUMPRODUCT(--('Данные 2st'!$Q$2:$Q$317=$A43),--ISNUMBER('Данные 2st'!$MT$2:$MT$317))</f>
        <v>0</v>
      </c>
      <c r="RB43">
        <f>SUMPRODUCT(--('Данные 2st'!$Q$2:$Q$317=$A43),--ISNUMBER('Данные 2st'!$MU$2:$MU$317))</f>
        <v>0</v>
      </c>
      <c r="RC43">
        <f>SUMPRODUCT(--('Данные 2st'!$Q$2:$Q$317=$A43),--ISNUMBER('Данные 2st'!$MV$2:$MV$317))</f>
        <v>0</v>
      </c>
      <c r="RD43">
        <f>SUMPRODUCT(--('Данные 2st'!$Q$2:$Q$317=$A43),--ISNUMBER('Данные 2st'!$MW$2:$MW$317))</f>
        <v>0</v>
      </c>
      <c r="RE43">
        <f>SUMPRODUCT(--('Данные 2st'!$Q$2:$Q$317=$A43),--ISNUMBER('Данные 2st'!$MX$2:$MX$317))</f>
        <v>0</v>
      </c>
      <c r="RF43">
        <f>SUMPRODUCT(--('Данные 2st'!$Q$2:$Q$317=$A43),--ISNUMBER('Данные 2st'!$MY$2:$MY$317))</f>
        <v>0</v>
      </c>
      <c r="RG43">
        <f>SUMPRODUCT(--('Данные 2st'!$Q$2:$Q$317=$A43),--ISNUMBER('Данные 2st'!$MZ$2:$MZ$317))</f>
        <v>0</v>
      </c>
      <c r="RH43">
        <f>SUMPRODUCT(--('Данные 2st'!$Q$2:$Q$317=$A43),--ISNUMBER('Данные 2st'!$NA$2:$NA$317))</f>
        <v>0</v>
      </c>
      <c r="RI43">
        <f>SUMPRODUCT(--('Данные 2st'!$Q$2:$Q$317=$A43),--ISNUMBER('Данные 2st'!$NB$2:$NB$317))</f>
        <v>0</v>
      </c>
      <c r="RJ43">
        <f>SUMPRODUCT(--('Данные 2st'!$Q$2:$Q$317=$A43),--ISNUMBER('Данные 2st'!$NC$2:$NC$317))</f>
        <v>0</v>
      </c>
      <c r="RK43">
        <f>SUMPRODUCT(--('Данные 2st'!$Q$2:$Q$317=$A43),--ISNUMBER('Данные 2st'!$ND$2:$ND$317))</f>
        <v>0</v>
      </c>
      <c r="RL43">
        <f>SUMPRODUCT(--('Данные 2st'!$Q$2:$Q$317=$A43),--ISNUMBER('Данные 2st'!$NE$2:$NE$317))</f>
        <v>0</v>
      </c>
      <c r="RM43">
        <f>SUMPRODUCT(--('Данные 2st'!$Q$2:$Q$317=$A43),--ISNUMBER('Данные 2st'!$NF$2:$NF$317))</f>
        <v>0</v>
      </c>
      <c r="RN43">
        <f>SUMPRODUCT(--('Данные 2st'!$Q$2:$Q$317=$A43),--ISNUMBER('Данные 2st'!$NG$2:$NG$317))</f>
        <v>0</v>
      </c>
      <c r="RO43">
        <f>SUMPRODUCT(--('Данные 2st'!$Q$2:$Q$317=$A43),--ISNUMBER('Данные 2st'!$NH$2:$NH$317))</f>
        <v>0</v>
      </c>
      <c r="RP43">
        <f>SUMPRODUCT(--('Данные 2st'!$Q$2:$Q$317=$A43),--ISNUMBER('Данные 2st'!$NJ$2:$NJ$317))</f>
        <v>0</v>
      </c>
      <c r="RQ43">
        <f>SUMPRODUCT(--('Данные 2st'!$Q$2:$Q$317=$A43),--ISNUMBER('Данные 2st'!$NK$2:$NK$317))</f>
        <v>0</v>
      </c>
      <c r="RR43">
        <f>SUMPRODUCT(--('Данные 2st'!$Q$2:$Q$317=$A43),--ISNUMBER('Данные 2st'!$NM$2:$NM$317))</f>
        <v>0</v>
      </c>
      <c r="RS43">
        <f>SUMPRODUCT(--('Данные 2st'!$Q$2:$Q$317=$A43),--ISNUMBER('Данные 2st'!$NN$2:$NN$317))</f>
        <v>0</v>
      </c>
      <c r="RT43">
        <f>SUMPRODUCT(--('Данные 2st'!$Q$2:$Q$317=$A43),--ISNUMBER('Данные 2st'!$NO$2:$NO$317))</f>
        <v>0</v>
      </c>
      <c r="RU43">
        <f>SUMPRODUCT(--('Данные 2st'!$Q$2:$Q$317=$A43),--ISNUMBER('Данные 2st'!$NP$2:$NP$317))</f>
        <v>0</v>
      </c>
      <c r="RV43">
        <f>SUMPRODUCT(--('Данные 2st'!$Q$2:$Q$317=$A43),--ISNUMBER('Данные 2st'!$NQ$2:$NQ$317))</f>
        <v>0</v>
      </c>
      <c r="RW43">
        <f>SUMPRODUCT(--('Данные 2st'!$Q$2:$Q$317=$A43),--ISNUMBER('Данные 2st'!$NR$2:$NR$317))</f>
        <v>0</v>
      </c>
      <c r="RX43">
        <f>SUMPRODUCT(--('Данные 2st'!$Q$2:$Q$317=$A43),--ISNUMBER('Данные 2st'!$NS$2:$NS$317))</f>
        <v>0</v>
      </c>
      <c r="RY43">
        <f>SUMPRODUCT(--('Данные 2st'!$Q$2:$Q$317=$A43),--ISNUMBER('Данные 2st'!$NT$2:$NT$317))</f>
        <v>0</v>
      </c>
      <c r="RZ43">
        <f>SUMPRODUCT(--('Данные 2st'!$Q$2:$Q$317=$A43),--ISNUMBER('Данные 2st'!$OK$2:$OK$317))</f>
        <v>1</v>
      </c>
      <c r="SA43">
        <f>SUMPRODUCT(--('Данные 2st'!$Q$2:$Q$317=$A43),--ISNUMBER('Данные 2st'!$OL$2:$OL$317))</f>
        <v>1</v>
      </c>
      <c r="SB43">
        <f>SUMPRODUCT(--('Данные 2st'!$Q$2:$Q$317=$A43),--ISNUMBER('Данные 2st'!$ON$2:$ON$317))</f>
        <v>1</v>
      </c>
      <c r="SC43">
        <f>SUMPRODUCT(--('Данные 2st'!$Q$2:$Q$317=$A43),--ISNUMBER('Данные 2st'!$OO$2:$OO$317))</f>
        <v>1</v>
      </c>
      <c r="SD43">
        <f>SUMPRODUCT(--('Данные 2st'!$Q$2:$Q$317=$A43),--ISNUMBER('Данные 2st'!$OP$2:$OP$317))</f>
        <v>1</v>
      </c>
      <c r="SE43">
        <f>SUMPRODUCT(--('Данные 2st'!$Q$2:$Q$317=$A43),--ISNUMBER('Данные 2st'!$OQ$2:$OQ$317))</f>
        <v>1</v>
      </c>
      <c r="SF43">
        <f>SUMPRODUCT(--('Данные 2st'!$Q$2:$Q$317=$A43),--ISNUMBER('Данные 2st'!$OS$2:$OS$317))</f>
        <v>1</v>
      </c>
      <c r="SG43">
        <f>SUMPRODUCT(--('Данные 2st'!$Q$2:$Q$317=$A43),--ISNUMBER('Данные 2st'!$OT$2:$OT$317))</f>
        <v>1</v>
      </c>
      <c r="SH43">
        <f>SUMPRODUCT(--('Данные 2st'!$Q$2:$Q$317=$A43),--ISNUMBER('Данные 2st'!$OU$2:$OU$317))</f>
        <v>1</v>
      </c>
      <c r="SI43">
        <f>SUMPRODUCT(--('Данные 2st'!$Q$2:$Q$317=$A43),--ISNUMBER('Данные 2st'!$OV$2:$OV$317))</f>
        <v>1</v>
      </c>
      <c r="SJ43">
        <f>SUMPRODUCT(--('Данные 2st'!$Q$2:$Q$317=$A43),--ISNUMBER('Данные 2st'!$OX$2:$OX$317))</f>
        <v>1</v>
      </c>
      <c r="SK43">
        <f>SUMPRODUCT(--('Данные 2st'!$Q$2:$Q$317=$A43),--ISNUMBER('Данные 2st'!$OY$2:$OY$317))</f>
        <v>1</v>
      </c>
      <c r="SL43">
        <f>SUMPRODUCT(--('Данные 2st'!$Q$2:$Q$317=$A43),--ISNUMBER('Данные 2st'!$OZ$2:$OZ$317))</f>
        <v>1</v>
      </c>
      <c r="SM43">
        <f>SUMPRODUCT(--('Данные 2st'!$Q$2:$Q$317=$A43),--ISNUMBER('Данные 2st'!$PA$2:$PA$317))</f>
        <v>1</v>
      </c>
      <c r="SN43">
        <f>SUMPRODUCT(--('Данные 2st'!$Q$2:$Q$317=$A43),--ISNUMBER('Данные 2st'!$PC$2:$PC$317))</f>
        <v>1</v>
      </c>
      <c r="SO43">
        <f>SUMPRODUCT(--('Данные 2st'!$Q$2:$Q$317=$A43),--ISNUMBER('Данные 2st'!$PD$2:$PD$317))</f>
        <v>1</v>
      </c>
      <c r="SP43">
        <f>SUMPRODUCT(--('Данные 2st'!$Q$2:$Q$317=$A43),--ISNUMBER('Данные 2st'!$PF$2:$PF$317))</f>
        <v>1</v>
      </c>
      <c r="SQ43">
        <f>SUMPRODUCT(--('Данные 2st'!$Q$2:$Q$317=$A43),--ISNUMBER('Данные 2st'!$PG$2:$PG$317))</f>
        <v>1</v>
      </c>
      <c r="SR43">
        <f>SUMPRODUCT(--('Данные 2st'!$Q$2:$Q$317=$A43),--ISNUMBER('Данные 2st'!$PH$2:$PH$317))</f>
        <v>1</v>
      </c>
      <c r="SS43">
        <f>SUMPRODUCT(--('Данные 2st'!$Q$2:$Q$317=$A43),--ISNUMBER('Данные 2st'!$PI$2:$PI$317))</f>
        <v>1</v>
      </c>
      <c r="ST43">
        <f>SUMPRODUCT(--('Данные 2st'!$Q$2:$Q$317=$A43),--ISNUMBER('Данные 2st'!$PJ$2:$PJ$317))</f>
        <v>1</v>
      </c>
      <c r="SU43">
        <f>SUMPRODUCT(--('Данные 2st'!$Q$2:$Q$317=$A43),--ISNUMBER('Данные 2st'!$PK$2:$PK$317))</f>
        <v>1</v>
      </c>
      <c r="SV43">
        <f>SUMPRODUCT(--('Данные 2st'!$Q$2:$Q$317=$A43),--ISNUMBER('Данные 2st'!$PL$2:$PL$317))</f>
        <v>1</v>
      </c>
      <c r="SW43">
        <f>SUMPRODUCT(--('Данные 2st'!$Q$2:$Q$317=$A43),--ISNUMBER('Данные 2st'!$PM$2:$PM$317))</f>
        <v>1</v>
      </c>
      <c r="SX43">
        <f>SUMPRODUCT(--('Данные 2st'!$Q$2:$Q$317=$A43),--ISNUMBER('Данные 2st'!$PN$2:$PN$317))</f>
        <v>1</v>
      </c>
      <c r="SY43">
        <f>SUMPRODUCT(--('Данные 2st'!$Q$2:$Q$317=$A43),--ISNUMBER('Данные 2st'!$PO$2:$PO$317))</f>
        <v>1</v>
      </c>
      <c r="SZ43">
        <f>SUMPRODUCT(--('Данные 2st'!$Q$2:$Q$317=$A43),--ISNUMBER('Данные 2st'!$PP$2:$PP$317))</f>
        <v>1</v>
      </c>
      <c r="TA43">
        <f>SUMPRODUCT(--('Данные 2st'!$Q$2:$Q$317=$A43),--ISNUMBER('Данные 2st'!$PQ$2:$PQ$317))</f>
        <v>1</v>
      </c>
      <c r="TB43">
        <f>SUMPRODUCT(--('Данные 2st'!$Q$2:$Q$317=$A43),--ISNUMBER('Данные 2st'!$PR$2:$PR$317))</f>
        <v>1</v>
      </c>
      <c r="TC43">
        <f>SUMPRODUCT(--('Данные 2st'!$Q$2:$Q$317=$A43),--ISNUMBER('Данные 2st'!$PS$2:$PS$317))</f>
        <v>1</v>
      </c>
      <c r="TD43">
        <f>SUMPRODUCT(--('Данные 2st'!$Q$2:$Q$317=$A43),--ISNUMBER('Данные 2st'!$PT$2:$PT$317))</f>
        <v>1</v>
      </c>
      <c r="TE43">
        <f>SUMPRODUCT(--('Данные 2st'!$Q$2:$Q$317=$A43),--ISNUMBER('Данные 2st'!$PU$2:$PU$317))</f>
        <v>1</v>
      </c>
      <c r="TF43">
        <f>SUMPRODUCT(--('Данные 2st'!$Q$2:$Q$317=$A43),--ISNUMBER('Данные 2st'!$PX$2:$PX$317))</f>
        <v>1</v>
      </c>
      <c r="TG43">
        <f>SUMPRODUCT(--('Данные 2st'!$Q$2:$Q$317=$A43),--ISNUMBER('Данные 2st'!$PY$2:$PY$317))</f>
        <v>1</v>
      </c>
      <c r="TH43">
        <f>SUMPRODUCT(--('Данные 2st'!$Q$2:$Q$317=$A43),--ISNUMBER('Данные 2st'!$PZ$2:$PZ$317))</f>
        <v>1</v>
      </c>
      <c r="TI43">
        <f>SUMPRODUCT(--('Данные 2st'!$Q$2:$Q$317=$A43),--ISNUMBER('Данные 2st'!$QA$2:$QA$317))</f>
        <v>1</v>
      </c>
      <c r="TJ43">
        <f>SUMPRODUCT(--('Данные 2st'!$Q$2:$Q$317=$A43),--ISNUMBER('Данные 2st'!$QB$2:$QB$317))</f>
        <v>1</v>
      </c>
      <c r="TK43">
        <f>SUMPRODUCT(--('Данные 2st'!$Q$2:$Q$317=$A43),--ISNUMBER('Данные 2st'!$QC$2:$QC$317))</f>
        <v>1</v>
      </c>
      <c r="TL43">
        <f>SUMPRODUCT(--('Данные 2st'!$Q$2:$Q$317=$A43),--ISNUMBER('Данные 2st'!$QD$2:$QD$317))</f>
        <v>1</v>
      </c>
      <c r="TM43">
        <f>SUMPRODUCT(--('Данные 2st'!$Q$2:$Q$317=$A43),--ISNUMBER('Данные 2st'!$QE$2:$QE$317))</f>
        <v>1</v>
      </c>
      <c r="TN43">
        <f>SUMPRODUCT(--('Данные 2st'!$Q$2:$Q$317=$A43),--ISNUMBER('Данные 2st'!$QF$2:$QF$317))</f>
        <v>1</v>
      </c>
      <c r="TO43">
        <f>SUMPRODUCT(--('Данные 2st'!$Q$2:$Q$317=$A43),--ISNUMBER('Данные 2st'!$QG$2:$QG$317))</f>
        <v>1</v>
      </c>
      <c r="TP43">
        <f>SUMPRODUCT(--('Данные 2st'!$Q$2:$Q$317=$A43),--ISNUMBER('Данные 2st'!$QH$2:$QH$317))</f>
        <v>1</v>
      </c>
      <c r="TQ43">
        <f>SUMPRODUCT(--('Данные 2st'!$Q$2:$Q$317=$A43),--ISNUMBER('Данные 2st'!$QI$2:$QI$317))</f>
        <v>1</v>
      </c>
      <c r="TR43">
        <f>SUMPRODUCT(--('Данные 2st'!$Q$2:$Q$317=$A43),--ISNUMBER('Данные 2st'!$QJ$2:$QJ$317))</f>
        <v>1</v>
      </c>
      <c r="TS43">
        <f>SUMPRODUCT(--('Данные 2st'!$Q$2:$Q$317=$A43),--ISNUMBER('Данные 2st'!$QK$2:$QK$317))</f>
        <v>1</v>
      </c>
      <c r="TT43">
        <f>SUMPRODUCT(--('Данные 2st'!$Q$2:$Q$317=$A43),--ISNUMBER('Данные 2st'!$QL$2:$QL$317))</f>
        <v>1</v>
      </c>
      <c r="TU43">
        <f>SUMPRODUCT(--('Данные 2st'!$Q$2:$Q$317=$A43),--ISNUMBER('Данные 2st'!$QM$2:$QM$317))</f>
        <v>1</v>
      </c>
      <c r="TV43">
        <f>SUMPRODUCT(--('Данные 2st'!$Q$2:$Q$317=$A43),--ISNUMBER('Данные 2st'!$QN$2:$QN$317))</f>
        <v>1</v>
      </c>
      <c r="TW43">
        <f>SUMPRODUCT(--('Данные 2st'!$Q$2:$Q$317=$A43),--ISNUMBER('Данные 2st'!$QQ$2:$QQ$317))</f>
        <v>1</v>
      </c>
      <c r="TX43">
        <f>SUMPRODUCT(--('Данные 2st'!$Q$2:$Q$317=$A43),--ISNUMBER('Данные 2st'!$QS$2:$QS$317))</f>
        <v>1</v>
      </c>
      <c r="TY43">
        <f>SUMPRODUCT(--('Данные 2st'!$Q$2:$Q$317=$A43),--ISNUMBER('Данные 2st'!$QT$2:$QT$317))</f>
        <v>1</v>
      </c>
    </row>
    <row r="44" spans="1:545" ht="32" customHeight="1">
      <c r="A44" s="11" t="str">
        <f>'По размерам'!A44</f>
        <v>235/45R18</v>
      </c>
      <c r="G44">
        <f>SUMPRODUCT(--('Данные 1st'!$S$2:$S$317=$A44),--ISNUMBER('Данные 1st'!$AE$2:$AE$317))</f>
        <v>4</v>
      </c>
      <c r="H44">
        <f>SUMPRODUCT(--('Данные 1st'!$S$2:$S$317=$A44),--ISNUMBER('Данные 1st'!$AF$2:$AF$317))</f>
        <v>4</v>
      </c>
      <c r="I44">
        <f>SUMPRODUCT(--('Данные 1st'!$S$2:$S$317=$A44),--ISNUMBER('Данные 1st'!$AJ$2:$AJ$317))</f>
        <v>4</v>
      </c>
      <c r="J44">
        <f>SUMPRODUCT(--('Данные 1st'!$S$2:$S$317=$A44),--ISNUMBER('Данные 1st'!$AL$2:$AL$317))</f>
        <v>4</v>
      </c>
      <c r="K44">
        <f>SUMPRODUCT(--('Данные 1st'!$S$2:$S$317=$A44),--ISNUMBER('Данные 1st'!$AR$2:$AR$317))</f>
        <v>4</v>
      </c>
      <c r="L44">
        <f>SUMPRODUCT(--('Данные 1st'!$S$2:$S$317=$A44),--ISNUMBER('Данные 1st'!$AS$2:$AS$317))</f>
        <v>4</v>
      </c>
      <c r="M44">
        <f>SUMPRODUCT(--('Данные 1st'!$S$2:$S$317=$A44),--ISNUMBER('Данные 1st'!$AY$2:$AY$317))</f>
        <v>4</v>
      </c>
      <c r="N44">
        <f>SUMPRODUCT(--('Данные 1st'!$S$2:$S$317=$A44),--ISNUMBER('Данные 1st'!$AZ$2:$AZ$317))</f>
        <v>4</v>
      </c>
      <c r="O44">
        <f>SUMPRODUCT(--('Данные 1st'!$S$2:$S$317=$A44),--ISNUMBER('Данные 1st'!$BF$2:$BF$317))</f>
        <v>0</v>
      </c>
      <c r="P44">
        <f>SUMPRODUCT(--('Данные 1st'!$S$2:$S$317=$A44),--ISNUMBER('Данные 1st'!$BG$2:$BG$317))</f>
        <v>4</v>
      </c>
      <c r="Q44">
        <f>SUMPRODUCT(--('Данные 1st'!$S$2:$S$317=$A44),--ISNUMBER('Данные 1st'!$BM$2:$BM$317))</f>
        <v>0</v>
      </c>
      <c r="R44">
        <f>SUMPRODUCT(--('Данные 1st'!$S$2:$S$317=$A44),--ISNUMBER('Данные 1st'!$BN$2:$BN$317))</f>
        <v>4</v>
      </c>
      <c r="S44">
        <f>SUMPRODUCT(--('Данные 1st'!$S$2:$S$317=$A44),--ISNUMBER('Данные 1st'!$BT$2:$BT$317))</f>
        <v>4</v>
      </c>
      <c r="T44">
        <f>SUMPRODUCT(--('Данные 1st'!$S$2:$S$317=$A44),--ISNUMBER('Данные 1st'!$BU$2:$BU$317))</f>
        <v>4</v>
      </c>
      <c r="U44">
        <f>SUMPRODUCT(--('Данные 1st'!$S$2:$S$317=$A44),--ISNUMBER('Данные 1st'!$BW$2:$BW$317))</f>
        <v>4</v>
      </c>
      <c r="V44">
        <f>SUMPRODUCT(--('Данные 1st'!$S$2:$S$317=$A44),--ISNUMBER('Данные 1st'!$BX$2:$BX$317))</f>
        <v>4</v>
      </c>
      <c r="W44">
        <f>SUMPRODUCT(--('Данные 1st'!$S$2:$S$317=$A44),--ISNUMBER('Данные 1st'!$BZ$2:$BZ$317))</f>
        <v>4</v>
      </c>
      <c r="X44">
        <f>SUMPRODUCT(--('Данные 1st'!$S$2:$S$317=$A44),--ISNUMBER('Данные 1st'!$CA$2:$CA$317))</f>
        <v>4</v>
      </c>
      <c r="Y44">
        <f>SUMPRODUCT(--('Данные 1st'!$S$2:$S$317=$A44),--ISNUMBER('Данные 1st'!$CD$2:$CD$317))</f>
        <v>4</v>
      </c>
      <c r="Z44">
        <f>SUMPRODUCT(--('Данные 1st'!$S$2:$S$317=$A44),--ISNUMBER('Данные 1st'!$CF$2:$CF$317))</f>
        <v>4</v>
      </c>
      <c r="AA44">
        <f>SUMPRODUCT(--('Данные 1st'!$S$2:$S$317=$A44),--ISNUMBER('Данные 1st'!$CI$2:$CI$317))</f>
        <v>4</v>
      </c>
      <c r="AB44">
        <f>SUMPRODUCT(--('Данные 1st'!$S$2:$S$317=$A44),--ISNUMBER('Данные 1st'!$CJ$2:$CJ$317))</f>
        <v>4</v>
      </c>
      <c r="AC44">
        <f>SUMPRODUCT(--('Данные 1st'!$S$2:$S$317=$A44),--ISNUMBER('Данные 1st'!$CK$2:$CK$317))</f>
        <v>4</v>
      </c>
      <c r="AD44">
        <f>SUMPRODUCT(--('Данные 1st'!$S$2:$S$317=$A44),--ISNUMBER('Данные 1st'!$CL$2:$CL$317))</f>
        <v>4</v>
      </c>
      <c r="AE44">
        <f>SUMPRODUCT(--('Данные 1st'!$S$2:$S$317=$A44),--ISNUMBER('Данные 1st'!$CM$2:$CM$317))</f>
        <v>4</v>
      </c>
      <c r="AF44">
        <f>SUMPRODUCT(--('Данные 1st'!$S$2:$S$317=$A44),--ISNUMBER('Данные 1st'!$CT$2:$CT$317))</f>
        <v>4</v>
      </c>
      <c r="AG44">
        <f>SUMPRODUCT(--('Данные 1st'!$S$2:$S$317=$A44),--ISNUMBER('Данные 1st'!$CU$2:$CU$317))</f>
        <v>4</v>
      </c>
      <c r="AH44">
        <f>SUMPRODUCT(--('Данные 1st'!$S$2:$S$317=$A44),--ISNUMBER('Данные 1st'!$CV$2:$CV$317))</f>
        <v>4</v>
      </c>
      <c r="AI44">
        <f>SUMPRODUCT(--('Данные 1st'!$S$2:$S$317=$A44),--ISNUMBER('Данные 1st'!$CW$2:$CW$317))</f>
        <v>4</v>
      </c>
      <c r="AJ44">
        <f>SUMPRODUCT(--('Данные 1st'!$S$2:$S$317=$A44),--ISNUMBER('Данные 1st'!$CX$2:$CX$317))</f>
        <v>4</v>
      </c>
      <c r="AK44">
        <f>SUMPRODUCT(--('Данные 1st'!$S$2:$S$317=$A44),--ISNUMBER('Данные 1st'!$CZ$2:$CZ$317))</f>
        <v>0</v>
      </c>
      <c r="AL44">
        <f>SUMPRODUCT(--('Данные 1st'!$S$2:$S$317=$A44),--ISNUMBER('Данные 1st'!$DA$2:$DA$317))</f>
        <v>0</v>
      </c>
      <c r="AM44">
        <f>SUMPRODUCT(--('Данные 1st'!$S$2:$S$317=$A44),--ISNUMBER('Данные 1st'!$DB$2:$DB$317))</f>
        <v>0</v>
      </c>
      <c r="AN44">
        <f>SUMPRODUCT(--('Данные 1st'!$S$2:$S$317=$A44),--ISNUMBER('Данные 1st'!$DC$2:$DC$317))</f>
        <v>0</v>
      </c>
      <c r="AO44">
        <f>SUMPRODUCT(--('Данные 1st'!$S$2:$S$317=$A44),--ISNUMBER('Данные 1st'!$DD$2:$DD$317))</f>
        <v>4</v>
      </c>
      <c r="AP44">
        <f>SUMPRODUCT(--('Данные 1st'!$S$2:$S$317=$A44),--ISNUMBER('Данные 1st'!$DF$2:$DF$317))</f>
        <v>4</v>
      </c>
      <c r="AQ44">
        <f>SUMPRODUCT(--('Данные 1st'!$S$2:$S$317=$A44),--ISNUMBER('Данные 1st'!$DG$2:$DG$317))</f>
        <v>4</v>
      </c>
      <c r="AR44">
        <f>SUMPRODUCT(--('Данные 1st'!$S$2:$S$317=$A44),--ISNUMBER('Данные 1st'!$DH$2:$DH$317))</f>
        <v>4</v>
      </c>
      <c r="AS44">
        <f>SUMPRODUCT(--('Данные 1st'!$S$2:$S$317=$A44),--ISNUMBER('Данные 1st'!$DI$2:$DI$317))</f>
        <v>4</v>
      </c>
      <c r="AT44">
        <f>SUMPRODUCT(--('Данные 1st'!$S$2:$S$317=$A44),--ISNUMBER('Данные 1st'!$DJ$2:$DJ$317))</f>
        <v>4</v>
      </c>
      <c r="AU44">
        <f>SUMPRODUCT(--('Данные 1st'!$S$2:$S$317=$A44),--ISNUMBER('Данные 1st'!$DL$2:$DL$317))</f>
        <v>0</v>
      </c>
      <c r="AV44">
        <f>SUMPRODUCT(--('Данные 1st'!$S$2:$S$317=$A44),--ISNUMBER('Данные 1st'!$DM$2:$DM$317))</f>
        <v>0</v>
      </c>
      <c r="AW44">
        <f>SUMPRODUCT(--('Данные 1st'!$S$2:$S$317=$A44),--ISNUMBER('Данные 1st'!$DN$2:$DN$317))</f>
        <v>0</v>
      </c>
      <c r="AX44">
        <f>SUMPRODUCT(--('Данные 1st'!$S$2:$S$317=$A44),--ISNUMBER('Данные 1st'!$DO$2:$DO$317))</f>
        <v>0</v>
      </c>
      <c r="AY44">
        <f>SUMPRODUCT(--('Данные 1st'!$S$2:$S$317=$A44),--ISNUMBER('Данные 1st'!$DP$2:$DP$317))</f>
        <v>0</v>
      </c>
      <c r="AZ44">
        <f>SUMPRODUCT(--('Данные 1st'!$S$2:$S$317=$A44),--ISNUMBER('Данные 1st'!$DR$2:$DR$317))</f>
        <v>0</v>
      </c>
      <c r="BA44">
        <f>SUMPRODUCT(--('Данные 1st'!$S$2:$S$317=$A44),--ISNUMBER('Данные 1st'!$DS$2:$DS$317))</f>
        <v>0</v>
      </c>
      <c r="BB44">
        <f>SUMPRODUCT(--('Данные 1st'!$S$2:$S$317=$A44),--ISNUMBER('Данные 1st'!$DT$2:$DT$317))</f>
        <v>0</v>
      </c>
      <c r="BC44">
        <f>SUMPRODUCT(--('Данные 1st'!$S$2:$S$317=$A44),--ISNUMBER('Данные 1st'!$DU$2:$DU$317))</f>
        <v>0</v>
      </c>
      <c r="BD44">
        <f>SUMPRODUCT(--('Данные 1st'!$S$2:$S$317=$A44),--ISNUMBER('Данные 1st'!$DV$2:$DV$317))</f>
        <v>0</v>
      </c>
      <c r="BE44">
        <f>SUMPRODUCT(--('Данные 1st'!$S$2:$S$317=$A44),--ISNUMBER('Данные 1st'!$DX$2:$DX$317))</f>
        <v>4</v>
      </c>
      <c r="BF44">
        <f>SUMPRODUCT(--('Данные 1st'!$S$2:$S$317=$A44),--ISNUMBER('Данные 1st'!$EA$2:$EA$317))</f>
        <v>4</v>
      </c>
      <c r="BG44">
        <f>SUMPRODUCT(--('Данные 1st'!$S$2:$S$317=$A44),--ISNUMBER('Данные 1st'!$EB$2:$EB$317))</f>
        <v>4</v>
      </c>
      <c r="BH44">
        <f>SUMPRODUCT(--('Данные 1st'!$S$2:$S$317=$A44),--ISNUMBER('Данные 1st'!$ED$2:$ED$317))</f>
        <v>4</v>
      </c>
      <c r="BI44">
        <f>SUMPRODUCT(--('Данные 1st'!$S$2:$S$317=$A44),--ISNUMBER('Данные 1st'!$EE$2:$EE$317))</f>
        <v>4</v>
      </c>
      <c r="BJ44">
        <f>SUMPRODUCT(--('Данные 1st'!$S$2:$S$317=$A44),--ISNUMBER('Данные 1st'!$EG$2:$EG$317))</f>
        <v>4</v>
      </c>
      <c r="BK44">
        <f>SUMPRODUCT(--('Данные 1st'!$S$2:$S$317=$A44),--ISNUMBER('Данные 1st'!$EH$2:$EH$317))</f>
        <v>4</v>
      </c>
      <c r="BL44">
        <f>SUMPRODUCT(--('Данные 1st'!$S$2:$S$317=$A44),--ISNUMBER('Данные 1st'!$EJ$2:$EJ$317))</f>
        <v>4</v>
      </c>
      <c r="BM44">
        <f>SUMPRODUCT(--('Данные 1st'!$S$2:$S$317=$A44),--ISNUMBER('Данные 1st'!$EK$2:$EK$317))</f>
        <v>4</v>
      </c>
      <c r="BN44">
        <f>SUMPRODUCT(--('Данные 1st'!$S$2:$S$317=$A44),--ISNUMBER('Данные 1st'!$EN$2:$EN$317))</f>
        <v>4</v>
      </c>
      <c r="BO44">
        <f>SUMPRODUCT(--('Данные 1st'!$S$2:$S$317=$A44),--ISNUMBER('Данные 1st'!$EQ$2:$EQ$317))</f>
        <v>4</v>
      </c>
      <c r="BP44">
        <f>SUMPRODUCT(--('Данные 1st'!$S$2:$S$317=$A44),--ISNUMBER('Данные 1st'!$ER$2:$ER$317))</f>
        <v>4</v>
      </c>
      <c r="BQ44">
        <f>SUMPRODUCT(--('Данные 1st'!$S$2:$S$317=$A44),--ISNUMBER('Данные 1st'!$ES$2:$ES$317))</f>
        <v>4</v>
      </c>
      <c r="BR44">
        <f>SUMPRODUCT(--('Данные 1st'!$S$2:$S$317=$A44),--ISNUMBER('Данные 1st'!$ET$2:$ET$317))</f>
        <v>4</v>
      </c>
      <c r="BS44">
        <f>SUMPRODUCT(--('Данные 1st'!$S$2:$S$317=$A44),--ISNUMBER('Данные 1st'!$EU$2:$EU$317))</f>
        <v>4</v>
      </c>
      <c r="BT44">
        <f>SUMPRODUCT(--('Данные 1st'!$S$2:$S$317=$A44),--ISNUMBER('Данные 1st'!$EV$2:$EV$317))</f>
        <v>4</v>
      </c>
      <c r="BU44">
        <f>SUMPRODUCT(--('Данные 1st'!$S$2:$S$317=$A44),--ISNUMBER('Данные 1st'!$EX$2:$EX$317))</f>
        <v>4</v>
      </c>
      <c r="BV44">
        <f>SUMPRODUCT(--('Данные 1st'!$S$2:$S$317=$A44),--ISNUMBER('Данные 1st'!$EY$2:$EY$317))</f>
        <v>4</v>
      </c>
      <c r="BW44">
        <f>SUMPRODUCT(--('Данные 1st'!$S$2:$S$317=$A44),--ISNUMBER('Данные 1st'!$EZ$2:$EZ$317))</f>
        <v>4</v>
      </c>
      <c r="BX44">
        <f>SUMPRODUCT(--('Данные 1st'!$S$2:$S$317=$A44),--ISNUMBER('Данные 1st'!$FA$2:$FA$317))</f>
        <v>4</v>
      </c>
      <c r="BY44">
        <f>SUMPRODUCT(--('Данные 1st'!$S$2:$S$317=$A44),--ISNUMBER('Данные 1st'!$FB$2:$FB$317))</f>
        <v>4</v>
      </c>
      <c r="BZ44">
        <f>SUMPRODUCT(--('Данные 1st'!$S$2:$S$317=$A44),--ISNUMBER('Данные 1st'!$FC$2:$FC$317))</f>
        <v>4</v>
      </c>
      <c r="CA44">
        <f>SUMPRODUCT(--('Данные 1st'!$S$2:$S$317=$A44),--ISNUMBER('Данные 1st'!$FE$2:$FE$317))</f>
        <v>4</v>
      </c>
      <c r="CB44">
        <f>SUMPRODUCT(--('Данные 1st'!$S$2:$S$317=$A44),--ISNUMBER('Данные 1st'!$FF$2:$FF$317))</f>
        <v>4</v>
      </c>
      <c r="CC44">
        <f>SUMPRODUCT(--('Данные 1st'!$S$2:$S$317=$A44),--ISNUMBER('Данные 1st'!$FI$2:$FI$317))</f>
        <v>4</v>
      </c>
      <c r="CD44">
        <f>SUMPRODUCT(--('Данные 1st'!$S$2:$S$317=$A44),--ISNUMBER('Данные 1st'!$FL$2:$FL$317))</f>
        <v>4</v>
      </c>
      <c r="CE44">
        <f>SUMPRODUCT(--('Данные 1st'!$S$2:$S$317=$A44),--ISNUMBER('Данные 1st'!$FM$2:$FM$317))</f>
        <v>4</v>
      </c>
      <c r="CF44">
        <f>SUMPRODUCT(--('Данные 1st'!$S$2:$S$317=$A44),--ISNUMBER('Данные 1st'!$FN$2:$FN$317))</f>
        <v>4</v>
      </c>
      <c r="CG44">
        <f>SUMPRODUCT(--('Данные 1st'!$S$2:$S$317=$A44),--ISNUMBER('Данные 1st'!$FO$2:$FO$317))</f>
        <v>0</v>
      </c>
      <c r="CH44">
        <f>SUMPRODUCT(--('Данные 1st'!$S$2:$S$317=$A44),--ISNUMBER('Данные 1st'!$FP$2:$FP$317))</f>
        <v>0</v>
      </c>
      <c r="CI44">
        <f>SUMPRODUCT(--('Данные 1st'!$S$2:$S$317=$A44),--ISNUMBER('Данные 1st'!$FS$2:$FS$317))</f>
        <v>4</v>
      </c>
      <c r="CJ44">
        <f>SUMPRODUCT(--('Данные 1st'!$S$2:$S$317=$A44),--ISNUMBER('Данные 1st'!$FT$2:$FT$317))</f>
        <v>4</v>
      </c>
      <c r="CK44">
        <f>SUMPRODUCT(--('Данные 1st'!$S$2:$S$317=$A44),--ISNUMBER('Данные 1st'!$FU$2:$FU$317))</f>
        <v>4</v>
      </c>
      <c r="CL44">
        <f>SUMPRODUCT(--('Данные 1st'!$S$2:$S$317=$A44),--ISNUMBER('Данные 1st'!$FV$2:$FV$317))</f>
        <v>2</v>
      </c>
      <c r="CM44">
        <f>SUMPRODUCT(--('Данные 1st'!$S$2:$S$317=$A44),--ISNUMBER('Данные 1st'!$FW$2:$FW$317))</f>
        <v>2</v>
      </c>
      <c r="CN44">
        <f>SUMPRODUCT(--('Данные 1st'!$S$2:$S$317=$A44),--ISNUMBER('Данные 1st'!$FZ$2:$FZ$317))</f>
        <v>3</v>
      </c>
      <c r="CO44">
        <f>SUMPRODUCT(--('Данные 1st'!$S$2:$S$317=$A44),--ISNUMBER('Данные 1st'!$GA$2:$GA$317))</f>
        <v>3</v>
      </c>
      <c r="CP44">
        <f>SUMPRODUCT(--('Данные 1st'!$S$2:$S$317=$A44),--ISNUMBER('Данные 1st'!$GB$2:$GB$317))</f>
        <v>3</v>
      </c>
      <c r="CQ44">
        <f>SUMPRODUCT(--('Данные 1st'!$S$2:$S$317=$A44),--ISNUMBER('Данные 1st'!$GH$2:$GH$317))</f>
        <v>3</v>
      </c>
      <c r="CR44">
        <f>SUMPRODUCT(--('Данные 1st'!$S$2:$S$317=$A44),--ISNUMBER('Данные 1st'!$GI$2:$GI$317))</f>
        <v>3</v>
      </c>
      <c r="CS44">
        <f>SUMPRODUCT(--('Данные 1st'!$S$2:$S$317=$A44),--ISNUMBER('Данные 1st'!$GJ$2:$GJ$317))</f>
        <v>3</v>
      </c>
      <c r="CT44">
        <f>SUMPRODUCT(--('Данные 1st'!$S$2:$S$317=$A44),--ISNUMBER('Данные 1st'!$GS$2:$GS$317))</f>
        <v>0</v>
      </c>
      <c r="CU44">
        <f>SUMPRODUCT(--('Данные 1st'!$S$2:$S$317=$A44),--ISNUMBER('Данные 1st'!$GT$2:$GT$317))</f>
        <v>0</v>
      </c>
      <c r="CV44">
        <f>SUMPRODUCT(--('Данные 1st'!$S$2:$S$317=$A44),--ISNUMBER('Данные 1st'!$GU$2:$GU$317))</f>
        <v>0</v>
      </c>
      <c r="CW44">
        <f>SUMPRODUCT(--('Данные 1st'!$S$2:$S$317=$A44),--ISNUMBER('Данные 1st'!$GV$2:$GV$317))</f>
        <v>0</v>
      </c>
      <c r="CX44">
        <f>SUMPRODUCT(--('Данные 1st'!$S$2:$S$317=$A44),--ISNUMBER('Данные 1st'!$GW$2:$GW$317))</f>
        <v>0</v>
      </c>
      <c r="CY44">
        <f>SUMPRODUCT(--('Данные 1st'!$S$2:$S$317=$A44),--ISNUMBER('Данные 1st'!$GZ$2:$GZ$317))</f>
        <v>0</v>
      </c>
      <c r="CZ44">
        <f>SUMPRODUCT(--('Данные 1st'!$S$2:$S$317=$A44),--ISNUMBER('Данные 1st'!$HA$2:$HA$317))</f>
        <v>0</v>
      </c>
      <c r="DA44">
        <f>SUMPRODUCT(--('Данные 1st'!$S$2:$S$317=$A44),--ISNUMBER('Данные 1st'!$HB$2:$HB$317))</f>
        <v>0</v>
      </c>
      <c r="DB44">
        <f>SUMPRODUCT(--('Данные 1st'!$S$2:$S$317=$A44),--ISNUMBER('Данные 1st'!$HC$2:$HC$317))</f>
        <v>4</v>
      </c>
      <c r="DC44">
        <f>SUMPRODUCT(--('Данные 1st'!$S$2:$S$317=$A44),--ISNUMBER('Данные 1st'!$HD$2:$HD$317))</f>
        <v>4</v>
      </c>
      <c r="DD44">
        <f>SUMPRODUCT(--('Данные 1st'!$S$2:$S$317=$A44),--ISNUMBER('Данные 1st'!$HE$2:$HE$317))</f>
        <v>4</v>
      </c>
      <c r="DE44">
        <f>SUMPRODUCT(--('Данные 1st'!$S$2:$S$317=$A44),--ISNUMBER('Данные 1st'!$HF$2:$HF$317))</f>
        <v>4</v>
      </c>
      <c r="DF44">
        <f>SUMPRODUCT(--('Данные 1st'!$S$2:$S$317=$A44),--ISNUMBER('Данные 1st'!$HG$2:$HG$317))</f>
        <v>4</v>
      </c>
      <c r="DG44">
        <f>SUMPRODUCT(--('Данные 1st'!$S$2:$S$317=$A44),--ISNUMBER('Данные 1st'!$HH$2:$HH$317))</f>
        <v>4</v>
      </c>
      <c r="DH44">
        <f>SUMPRODUCT(--('Данные 1st'!$S$2:$S$317=$A44),--ISNUMBER('Данные 1st'!$HI$2:$HI$317))</f>
        <v>4</v>
      </c>
      <c r="DI44">
        <f>SUMPRODUCT(--('Данные 1st'!$S$2:$S$317=$A44),--ISNUMBER('Данные 1st'!$HJ$2:$HJ$317))</f>
        <v>4</v>
      </c>
      <c r="DJ44">
        <f>SUMPRODUCT(--('Данные 1st'!$S$2:$S$317=$A44),--ISNUMBER('Данные 1st'!$HK$2:$HK$317))</f>
        <v>4</v>
      </c>
      <c r="DK44">
        <f>SUMPRODUCT(--('Данные 1st'!$S$2:$S$317=$A44),--ISNUMBER('Данные 1st'!$HL$2:$HL$317))</f>
        <v>4</v>
      </c>
      <c r="DL44">
        <f>SUMPRODUCT(--('Данные 1st'!$S$2:$S$317=$A44),--ISNUMBER('Данные 1st'!$HM$2:$HM$317))</f>
        <v>4</v>
      </c>
      <c r="DM44">
        <f>SUMPRODUCT(--('Данные 1st'!$S$2:$S$317=$A44),--ISNUMBER('Данные 1st'!$HN$2:$HN$317))</f>
        <v>4</v>
      </c>
      <c r="DN44">
        <f>SUMPRODUCT(--('Данные 1st'!$S$2:$S$317=$A44),--ISNUMBER('Данные 1st'!$HO$2:$HO$317))</f>
        <v>4</v>
      </c>
      <c r="DO44">
        <f>SUMPRODUCT(--('Данные 1st'!$S$2:$S$317=$A44),--ISNUMBER('Данные 1st'!$HP$2:$HP$317))</f>
        <v>4</v>
      </c>
      <c r="DP44">
        <f>SUMPRODUCT(--('Данные 1st'!$S$2:$S$317=$A44),--ISNUMBER('Данные 1st'!$HQ$2:$HQ$317))</f>
        <v>4</v>
      </c>
      <c r="DQ44">
        <f>SUMPRODUCT(--('Данные 1st'!$S$2:$S$317=$A44),--ISNUMBER('Данные 1st'!$HR$2:$HR$317))</f>
        <v>4</v>
      </c>
      <c r="DR44">
        <f>SUMPRODUCT(--('Данные 1st'!$S$2:$S$317=$A44),--ISNUMBER('Данные 1st'!$HS$2:$HS$317))</f>
        <v>4</v>
      </c>
      <c r="DS44">
        <f>SUMPRODUCT(--('Данные 1st'!$S$2:$S$317=$A44),--ISNUMBER('Данные 1st'!$HT$2:$HT$317))</f>
        <v>4</v>
      </c>
      <c r="DT44">
        <f>SUMPRODUCT(--('Данные 1st'!$S$2:$S$317=$A44),--ISNUMBER('Данные 1st'!$HU$2:$HU$317))</f>
        <v>4</v>
      </c>
      <c r="DU44">
        <f>SUMPRODUCT(--('Данные 1st'!$S$2:$S$317=$A44),--ISNUMBER('Данные 1st'!$HW$2:$HW$317))</f>
        <v>4</v>
      </c>
      <c r="DV44">
        <f>SUMPRODUCT(--('Данные 1st'!$S$2:$S$317=$A44),--ISNUMBER('Данные 1st'!$HX$2:$HX$317))</f>
        <v>4</v>
      </c>
      <c r="DW44">
        <f>SUMPRODUCT(--('Данные 1st'!$S$2:$S$317=$A44),--ISNUMBER('Данные 1st'!$HY$2:$HY$317))</f>
        <v>4</v>
      </c>
      <c r="DX44">
        <f>SUMPRODUCT(--('Данные 1st'!$S$2:$S$317=$A44),--ISNUMBER('Данные 1st'!$IA$2:$IA$317))</f>
        <v>4</v>
      </c>
      <c r="DY44">
        <f>SUMPRODUCT(--('Данные 1st'!$S$2:$S$317=$A44),--ISNUMBER('Данные 1st'!$IB$2:$IB$317))</f>
        <v>4</v>
      </c>
      <c r="DZ44">
        <f>SUMPRODUCT(--('Данные 1st'!$S$2:$S$317=$A44),--ISNUMBER('Данные 1st'!$IC$2:$IC$317))</f>
        <v>4</v>
      </c>
      <c r="EA44">
        <f>SUMPRODUCT(--('Данные 1st'!$S$2:$S$317=$A44),--ISNUMBER('Данные 1st'!$ID$2:$ID$317))</f>
        <v>4</v>
      </c>
      <c r="EB44">
        <f>SUMPRODUCT(--('Данные 1st'!$S$2:$S$317=$A44),--ISNUMBER('Данные 1st'!$IE$2:$IE$317))</f>
        <v>4</v>
      </c>
      <c r="EC44">
        <f>SUMPRODUCT(--('Данные 1st'!$S$2:$S$317=$A44),--ISNUMBER('Данные 1st'!$IF$2:$IF$317))</f>
        <v>4</v>
      </c>
      <c r="ED44">
        <f>SUMPRODUCT(--('Данные 1st'!$S$2:$S$317=$A44),--ISNUMBER('Данные 1st'!$IP$2:$IP$317))</f>
        <v>4</v>
      </c>
      <c r="EE44">
        <f>SUMPRODUCT(--('Данные 1st'!$S$2:$S$317=$A44),--ISNUMBER('Данные 1st'!$IV$2:$IV$317))</f>
        <v>4</v>
      </c>
      <c r="EF44">
        <f>SUMPRODUCT(--('Данные 1st'!$S$2:$S$317=$A44),--ISNUMBER('Данные 1st'!$IW$2:$IW$317))</f>
        <v>4</v>
      </c>
      <c r="EG44">
        <f>SUMPRODUCT(--('Данные 1st'!$S$2:$S$317=$A44),--ISNUMBER('Данные 1st'!$IX$2:$IX$317))</f>
        <v>0</v>
      </c>
      <c r="EH44">
        <f>SUMPRODUCT(--('Данные 1st'!$S$2:$S$317=$A44),--ISNUMBER('Данные 1st'!$IY$2:$IY$317))</f>
        <v>4</v>
      </c>
      <c r="EI44">
        <f>SUMPRODUCT(--('Данные 1st'!$S$2:$S$317=$A44),--ISNUMBER('Данные 1st'!$JD$2:$JD$317))</f>
        <v>4</v>
      </c>
      <c r="EJ44">
        <f>SUMPRODUCT(--('Данные 1st'!$S$2:$S$317=$A44),--ISNUMBER('Данные 1st'!$JE$2:$JE$317))</f>
        <v>4</v>
      </c>
      <c r="EK44">
        <f>SUMPRODUCT(--('Данные 1st'!$S$2:$S$317=$A44),--ISNUMBER('Данные 1st'!$JF$2:$JF$317))</f>
        <v>4</v>
      </c>
      <c r="EL44">
        <f>SUMPRODUCT(--('Данные 1st'!$S$2:$S$317=$A44),--ISNUMBER('Данные 1st'!$JG$2:$JG$317))</f>
        <v>4</v>
      </c>
      <c r="EM44">
        <f>SUMPRODUCT(--('Данные 1st'!$S$2:$S$317=$A44),--ISNUMBER('Данные 1st'!$JH$2:$JH$317))</f>
        <v>4</v>
      </c>
      <c r="EN44">
        <f>SUMPRODUCT(--('Данные 1st'!$S$2:$S$317=$A44),--ISNUMBER('Данные 1st'!$JJ$2:$JJ$317))</f>
        <v>4</v>
      </c>
      <c r="EO44">
        <f>SUMPRODUCT(--('Данные 1st'!$S$2:$S$317=$A44),--ISNUMBER('Данные 1st'!$JK$2:$JK$317))</f>
        <v>4</v>
      </c>
      <c r="EP44">
        <f>SUMPRODUCT(--('Данные 1st'!$S$2:$S$317=$A44),--ISNUMBER('Данные 1st'!$JL$2:$JL$317))</f>
        <v>0</v>
      </c>
      <c r="EQ44">
        <f>SUMPRODUCT(--('Данные 1st'!$S$2:$S$317=$A44),--ISNUMBER('Данные 1st'!$JM$2:$JM$317))</f>
        <v>0</v>
      </c>
      <c r="ER44">
        <f>SUMPRODUCT(--('Данные 1st'!$S$2:$S$317=$A44),--ISNUMBER('Данные 1st'!$JN$2:$JN$317))</f>
        <v>4</v>
      </c>
      <c r="ES44">
        <f>SUMPRODUCT(--('Данные 1st'!$S$2:$S$317=$A44),--ISNUMBER('Данные 1st'!$JO$2:$JO$317))</f>
        <v>4</v>
      </c>
      <c r="ET44">
        <f>SUMPRODUCT(--('Данные 1st'!$S$2:$S$317=$A44),--ISNUMBER('Данные 1st'!$JP$2:$JP$317))</f>
        <v>4</v>
      </c>
      <c r="EU44">
        <f>SUMPRODUCT(--('Данные 1st'!$S$2:$S$317=$A44),--ISNUMBER('Данные 1st'!$JQ$2:$JQ$317))</f>
        <v>4</v>
      </c>
      <c r="EV44">
        <f>SUMPRODUCT(--('Данные 1st'!$S$2:$S$317=$A44),--ISNUMBER('Данные 1st'!$JR$2:$JR$317))</f>
        <v>4</v>
      </c>
      <c r="EW44">
        <f>SUMPRODUCT(--('Данные 1st'!$S$2:$S$317=$A44),--ISNUMBER('Данные 1st'!$JS$2:$JS$317))</f>
        <v>4</v>
      </c>
      <c r="EX44">
        <f>SUMPRODUCT(--('Данные 1st'!$S$2:$S$317=$A44),--ISNUMBER('Данные 1st'!$JT$2:$JT$317))</f>
        <v>0</v>
      </c>
      <c r="EY44">
        <f>SUMPRODUCT(--('Данные 1st'!$S$2:$S$317=$A44),--ISNUMBER('Данные 1st'!$JU$2:$JU$317))</f>
        <v>0</v>
      </c>
      <c r="EZ44">
        <f>SUMPRODUCT(--('Данные 1st'!$S$2:$S$317=$A44),--ISNUMBER('Данные 1st'!$JV$2:$JV$317))</f>
        <v>4</v>
      </c>
      <c r="FA44">
        <f>SUMPRODUCT(--('Данные 1st'!$S$2:$S$317=$A44),--ISNUMBER('Данные 1st'!$JW$2:$JW$317))</f>
        <v>0</v>
      </c>
      <c r="FB44">
        <f>SUMPRODUCT(--('Данные 1st'!$S$2:$S$317=$A44),--ISNUMBER('Данные 1st'!$JX$2:$JX$317))</f>
        <v>4</v>
      </c>
      <c r="FC44">
        <f>SUMPRODUCT(--('Данные 1st'!$S$2:$S$317=$A44),--ISNUMBER('Данные 1st'!$JY$2:$JY$317))</f>
        <v>0</v>
      </c>
      <c r="FD44">
        <f>SUMPRODUCT(--('Данные 1st'!$S$2:$S$317=$A44),--ISNUMBER('Данные 1st'!$JZ$2:$JZ$317))</f>
        <v>0</v>
      </c>
      <c r="FE44">
        <f>SUMPRODUCT(--('Данные 1st'!$S$2:$S$317=$A44),--ISNUMBER('Данные 1st'!$KA$2:$KA$317))</f>
        <v>4</v>
      </c>
      <c r="FF44">
        <f>SUMPRODUCT(--('Данные 1st'!$S$2:$S$317=$A44),--ISNUMBER('Данные 1st'!$KB$2:$KB$317))</f>
        <v>4</v>
      </c>
      <c r="FG44">
        <f>SUMPRODUCT(--('Данные 1st'!$S$2:$S$317=$A44),--ISNUMBER('Данные 1st'!$KC$2:$KC$317))</f>
        <v>4</v>
      </c>
      <c r="FH44">
        <f>SUMPRODUCT(--('Данные 1st'!$S$2:$S$317=$A44),--ISNUMBER('Данные 1st'!$KD$2:$KD$317))</f>
        <v>4</v>
      </c>
      <c r="FI44">
        <f>SUMPRODUCT(--('Данные 1st'!$S$2:$S$317=$A44),--ISNUMBER('Данные 1st'!$KE$2:$KE$317))</f>
        <v>0</v>
      </c>
      <c r="FJ44">
        <f>SUMPRODUCT(--('Данные 1st'!$S$2:$S$317=$A44),--ISNUMBER('Данные 1st'!$KF$2:$KF$317))</f>
        <v>4</v>
      </c>
      <c r="FK44">
        <f>SUMPRODUCT(--('Данные 1st'!$S$2:$S$317=$A44),--ISNUMBER('Данные 1st'!$KG$2:$KG$317))</f>
        <v>4</v>
      </c>
      <c r="FL44">
        <f>SUMPRODUCT(--('Данные 1st'!$S$2:$S$317=$A44),--ISNUMBER('Данные 1st'!$KH$2:$KH$317))</f>
        <v>4</v>
      </c>
      <c r="FM44">
        <f>SUMPRODUCT(--('Данные 1st'!$S$2:$S$317=$A44),--ISNUMBER('Данные 1st'!$KI$2:$KI$317))</f>
        <v>4</v>
      </c>
      <c r="FN44">
        <f>SUMPRODUCT(--('Данные 1st'!$S$2:$S$317=$A44),--ISNUMBER('Данные 1st'!$KJ$2:$KJ$317))</f>
        <v>4</v>
      </c>
      <c r="FO44">
        <f>SUMPRODUCT(--('Данные 1st'!$S$2:$S$317=$A44),--ISNUMBER('Данные 1st'!$KK$2:$KK$317))</f>
        <v>4</v>
      </c>
      <c r="FP44">
        <f>SUMPRODUCT(--('Данные 1st'!$S$2:$S$317=$A44),--ISNUMBER('Данные 1st'!$KL$2:$KL$317))</f>
        <v>4</v>
      </c>
      <c r="FQ44">
        <f>SUMPRODUCT(--('Данные 1st'!$S$2:$S$317=$A44),--ISNUMBER('Данные 1st'!$KM$2:$KM$317))</f>
        <v>4</v>
      </c>
      <c r="FR44">
        <f>SUMPRODUCT(--('Данные 1st'!$S$2:$S$317=$A44),--ISNUMBER('Данные 1st'!$KN$2:$KN$317))</f>
        <v>4</v>
      </c>
      <c r="FS44">
        <f>SUMPRODUCT(--('Данные 1st'!$S$2:$S$317=$A44),--ISNUMBER('Данные 1st'!$KR$2:$KR$317))</f>
        <v>4</v>
      </c>
      <c r="FT44">
        <f>SUMPRODUCT(--('Данные 1st'!$S$2:$S$317=$A44),--ISNUMBER('Данные 1st'!$KS$2:$KS$317))</f>
        <v>4</v>
      </c>
      <c r="FU44">
        <f>SUMPRODUCT(--('Данные 1st'!$S$2:$S$317=$A44),--ISNUMBER('Данные 1st'!$KT$2:$KT$317))</f>
        <v>4</v>
      </c>
      <c r="FV44">
        <f>SUMPRODUCT(--('Данные 1st'!$S$2:$S$317=$A44),--ISNUMBER('Данные 1st'!$KV$2:$KV$317))</f>
        <v>0</v>
      </c>
      <c r="FW44">
        <f>SUMPRODUCT(--('Данные 1st'!$S$2:$S$317=$A44),--ISNUMBER('Данные 1st'!$KW$2:$KW$317))</f>
        <v>0</v>
      </c>
      <c r="FX44">
        <f>SUMPRODUCT(--('Данные 1st'!$S$2:$S$317=$A44),--ISNUMBER('Данные 1st'!$KX$2:$KX$317))</f>
        <v>0</v>
      </c>
      <c r="FY44">
        <f>SUMPRODUCT(--('Данные 1st'!$S$2:$S$317=$A44),--ISNUMBER('Данные 1st'!$KY$2:$KY$317))</f>
        <v>0</v>
      </c>
      <c r="FZ44">
        <f>SUMPRODUCT(--('Данные 1st'!$S$2:$S$317=$A44),--ISNUMBER('Данные 1st'!$KZ$2:$KZ$317))</f>
        <v>0</v>
      </c>
      <c r="GA44">
        <f>SUMPRODUCT(--('Данные 1st'!$S$2:$S$317=$A44),--ISNUMBER('Данные 1st'!$LA$2:$LA$317))</f>
        <v>0</v>
      </c>
      <c r="GB44">
        <f>SUMPRODUCT(--('Данные 1st'!$S$2:$S$317=$A44),--ISNUMBER('Данные 1st'!$LB$2:$LB$317))</f>
        <v>0</v>
      </c>
      <c r="GC44">
        <f>SUMPRODUCT(--('Данные 1st'!$S$2:$S$317=$A44),--ISNUMBER('Данные 1st'!$LC$2:$LC$317))</f>
        <v>0</v>
      </c>
      <c r="GD44">
        <f>SUMPRODUCT(--('Данные 1st'!$S$2:$S$317=$A44),--ISNUMBER('Данные 1st'!$LD$2:$LD$317))</f>
        <v>0</v>
      </c>
      <c r="GE44">
        <f>SUMPRODUCT(--('Данные 1st'!$S$2:$S$317=$A44),--ISNUMBER('Данные 1st'!$LE$2:$LE$317))</f>
        <v>0</v>
      </c>
      <c r="GF44">
        <f>SUMPRODUCT(--('Данные 1st'!$S$2:$S$317=$A44),--ISNUMBER('Данные 1st'!$LF$2:$LF$317))</f>
        <v>0</v>
      </c>
      <c r="GG44">
        <f>SUMPRODUCT(--('Данные 1st'!$S$2:$S$317=$A44),--ISNUMBER('Данные 1st'!$LG$2:$LG$317))</f>
        <v>0</v>
      </c>
      <c r="GH44">
        <f>SUMPRODUCT(--('Данные 1st'!$S$2:$S$317=$A44),--ISNUMBER('Данные 1st'!$LH$2:$LH$317))</f>
        <v>0</v>
      </c>
      <c r="GI44">
        <f>SUMPRODUCT(--('Данные 1st'!$S$2:$S$317=$A44),--ISNUMBER('Данные 1st'!$LI$2:$LI$317))</f>
        <v>0</v>
      </c>
      <c r="GJ44">
        <f>SUMPRODUCT(--('Данные 1st'!$S$2:$S$317=$A44),--ISNUMBER('Данные 1st'!$LJ$2:$LJ$317))</f>
        <v>0</v>
      </c>
      <c r="GK44">
        <f>SUMPRODUCT(--('Данные 1st'!$S$2:$S$317=$A44),--ISNUMBER('Данные 1st'!$LK$2:$LK$317))</f>
        <v>4</v>
      </c>
      <c r="GL44">
        <f>SUMPRODUCT(--('Данные 1st'!$S$2:$S$317=$A44),--ISNUMBER('Данные 1st'!$LV$2:$LV$317))</f>
        <v>0</v>
      </c>
      <c r="GM44">
        <f>SUMPRODUCT(--('Данные 1st'!$S$2:$S$317=$A44),--ISNUMBER('Данные 1st'!$LW$2:$LW$317))</f>
        <v>0</v>
      </c>
      <c r="GN44">
        <f>SUMPRODUCT(--('Данные 1st'!$S$2:$S$317=$A44),--ISNUMBER('Данные 1st'!$LX$2:$LX$317))</f>
        <v>0</v>
      </c>
      <c r="GO44">
        <f>SUMPRODUCT(--('Данные 1st'!$S$2:$S$317=$A44),--ISNUMBER('Данные 1st'!$LY$2:$LY$317))</f>
        <v>0</v>
      </c>
      <c r="GP44">
        <f>SUMPRODUCT(--('Данные 1st'!$S$2:$S$317=$A44),--ISNUMBER('Данные 1st'!$LZ$2:$LZ$317))</f>
        <v>0</v>
      </c>
      <c r="GQ44">
        <f>SUMPRODUCT(--('Данные 1st'!$S$2:$S$317=$A44),--ISNUMBER('Данные 1st'!$PG$2:$PG$317))</f>
        <v>4</v>
      </c>
      <c r="GR44">
        <f>SUMPRODUCT(--('Данные 1st'!$S$2:$S$317=$A44),--ISNUMBER('Данные 1st'!$PX$2:$PX$317))</f>
        <v>4</v>
      </c>
      <c r="GS44">
        <f>SUMPRODUCT(--('Данные 1st'!$S$2:$S$317=$A44),--ISNUMBER('Данные 1st'!$PY$2:$PY$317))</f>
        <v>4</v>
      </c>
      <c r="GT44">
        <f>SUMPRODUCT(--('Данные 1st'!$S$2:$S$317=$A44),--ISNUMBER('Данные 1st'!$QA$2:$QA$317))</f>
        <v>4</v>
      </c>
      <c r="GU44">
        <f>SUMPRODUCT(--('Данные 1st'!$S$2:$S$317=$A44),--ISNUMBER('Данные 1st'!$QB$2:$QB$317))</f>
        <v>4</v>
      </c>
      <c r="GV44">
        <f>SUMPRODUCT(--('Данные 1st'!$S$2:$S$317=$A44),--ISNUMBER('Данные 1st'!$QC$2:$QC$317))</f>
        <v>4</v>
      </c>
      <c r="GW44">
        <f>SUMPRODUCT(--('Данные 1st'!$S$2:$S$317=$A44),--ISNUMBER('Данные 1st'!$QD$2:$QD$317))</f>
        <v>4</v>
      </c>
      <c r="GX44">
        <f>SUMPRODUCT(--('Данные 1st'!$S$2:$S$317=$A44),--ISNUMBER('Данные 1st'!$QF$2:$QF$317))</f>
        <v>4</v>
      </c>
      <c r="GY44">
        <f>SUMPRODUCT(--('Данные 1st'!$S$2:$S$317=$A44),--ISNUMBER('Данные 1st'!$QG$2:$QG$317))</f>
        <v>4</v>
      </c>
      <c r="GZ44">
        <f>SUMPRODUCT(--('Данные 1st'!$S$2:$S$317=$A44),--ISNUMBER('Данные 1st'!$QH$2:$QH$317))</f>
        <v>4</v>
      </c>
      <c r="HA44">
        <f>SUMPRODUCT(--('Данные 1st'!$S$2:$S$317=$A44),--ISNUMBER('Данные 1st'!$QI$2:$QI$317))</f>
        <v>4</v>
      </c>
      <c r="HB44">
        <f>SUMPRODUCT(--('Данные 1st'!$S$2:$S$317=$A44),--ISNUMBER('Данные 1st'!$QK$2:$QK$317))</f>
        <v>0</v>
      </c>
      <c r="HC44">
        <f>SUMPRODUCT(--('Данные 1st'!$S$2:$S$317=$A44),--ISNUMBER('Данные 1st'!$QL$2:$QL$317))</f>
        <v>4</v>
      </c>
      <c r="HD44">
        <f>SUMPRODUCT(--('Данные 1st'!$S$2:$S$317=$A44),--ISNUMBER('Данные 1st'!$QM$2:$QM$317))</f>
        <v>4</v>
      </c>
      <c r="HE44">
        <f>SUMPRODUCT(--('Данные 1st'!$S$2:$S$317=$A44),--ISNUMBER('Данные 1st'!$QN$2:$QN$317))</f>
        <v>4</v>
      </c>
      <c r="HF44">
        <f>SUMPRODUCT(--('Данные 1st'!$S$2:$S$317=$A44),--ISNUMBER('Данные 1st'!$QP$2:$QP$317))</f>
        <v>4</v>
      </c>
      <c r="HG44">
        <f>SUMPRODUCT(--('Данные 1st'!$S$2:$S$317=$A44),--ISNUMBER('Данные 1st'!$QQ$2:$QQ$317))</f>
        <v>4</v>
      </c>
      <c r="HH44">
        <f>SUMPRODUCT(--('Данные 1st'!$S$2:$S$317=$A44),--ISNUMBER('Данные 1st'!$QR$2:$QR$317))</f>
        <v>0</v>
      </c>
      <c r="HI44">
        <f>SUMPRODUCT(--('Данные 1st'!$S$2:$S$317=$A44),--ISNUMBER('Данные 1st'!$QS$2:$QS$317))</f>
        <v>0</v>
      </c>
      <c r="HJ44">
        <f>SUMPRODUCT(--('Данные 1st'!$S$2:$S$317=$A44),--ISNUMBER('Данные 1st'!$QU$2:$QU$317))</f>
        <v>0</v>
      </c>
      <c r="HK44">
        <f>SUMPRODUCT(--('Данные 1st'!$S$2:$S$317=$A44),--ISNUMBER('Данные 1st'!$QV$2:$QV$317))</f>
        <v>0</v>
      </c>
      <c r="HL44">
        <f>SUMPRODUCT(--('Данные 1st'!$S$2:$S$317=$A44),--ISNUMBER('Данные 1st'!$QW$2:$QW$317))</f>
        <v>4</v>
      </c>
      <c r="HM44">
        <f>SUMPRODUCT(--('Данные 1st'!$S$2:$S$317=$A44),--ISNUMBER('Данные 1st'!$QX$2:$QX$317))</f>
        <v>4</v>
      </c>
      <c r="HN44">
        <f>SUMPRODUCT(--('Данные 1st'!$S$2:$S$317=$A44),--ISNUMBER('Данные 1st'!$QZ$2:$QZ$317))</f>
        <v>4</v>
      </c>
      <c r="HO44">
        <f>SUMPRODUCT(--('Данные 1st'!$S$2:$S$317=$A44),--ISNUMBER('Данные 1st'!$RA$2:$RA$317))</f>
        <v>4</v>
      </c>
      <c r="HP44">
        <f>SUMPRODUCT(--('Данные 1st'!$S$2:$S$317=$A44),--ISNUMBER('Данные 1st'!$RB$2:$RB$317))</f>
        <v>4</v>
      </c>
      <c r="HQ44">
        <f>SUMPRODUCT(--('Данные 1st'!$S$2:$S$317=$A44),--ISNUMBER('Данные 1st'!$RD$2:$RD$317))</f>
        <v>0</v>
      </c>
      <c r="HR44">
        <f>SUMPRODUCT(--('Данные 1st'!$S$2:$S$317=$A44),--ISNUMBER('Данные 1st'!$RE$2:$RE$317))</f>
        <v>4</v>
      </c>
      <c r="HS44">
        <f>SUMPRODUCT(--('Данные 1st'!$S$2:$S$317=$A44),--ISNUMBER('Данные 1st'!$RF$2:$RF$317))</f>
        <v>1</v>
      </c>
      <c r="HT44">
        <f>SUMPRODUCT(--('Данные 1st'!$S$2:$S$317=$A44),--ISNUMBER('Данные 1st'!$RG$2:$RG$317))</f>
        <v>3</v>
      </c>
      <c r="HU44">
        <f>SUMPRODUCT(--('Данные 1st'!$S$2:$S$317=$A44),--ISNUMBER('Данные 1st'!$RH$2:$RH$317))</f>
        <v>0</v>
      </c>
      <c r="HV44">
        <f>SUMPRODUCT(--('Данные 1st'!$S$2:$S$317=$A44),--ISNUMBER('Данные 1st'!$RI$2:$RI$317))</f>
        <v>0</v>
      </c>
      <c r="HW44">
        <f>SUMPRODUCT(--('Данные 1st'!$S$2:$S$317=$A44),--ISNUMBER('Данные 1st'!$RJ$2:$RJ$317))</f>
        <v>4</v>
      </c>
      <c r="HX44">
        <f>SUMPRODUCT(--('Данные 1st'!$S$2:$S$317=$A44),--ISNUMBER('Данные 1st'!$RK$2:$RK$317))</f>
        <v>0</v>
      </c>
      <c r="HY44">
        <f>SUMPRODUCT(--('Данные 1st'!$S$2:$S$317=$A44),--ISNUMBER('Данные 1st'!$RL$2:$RL$317))</f>
        <v>4</v>
      </c>
      <c r="HZ44">
        <f>SUMPRODUCT(--('Данные 1st'!$S$2:$S$317=$A44),--ISNUMBER('Данные 1st'!$RM$2:$RM$317))</f>
        <v>0</v>
      </c>
      <c r="IA44">
        <f>SUMPRODUCT(--('Данные 1st'!$S$2:$S$317=$A44),--ISNUMBER('Данные 1st'!$RN$2:$RN$317))</f>
        <v>0</v>
      </c>
      <c r="IB44">
        <f>SUMPRODUCT(--('Данные 1st'!$S$2:$S$317=$A44),--ISNUMBER('Данные 1st'!$RO$2:$RO$317))</f>
        <v>4</v>
      </c>
      <c r="IC44">
        <f>SUMPRODUCT(--('Данные 1st'!$S$2:$S$317=$A44),--ISNUMBER('Данные 1st'!$RP$2:$RP$317))</f>
        <v>0</v>
      </c>
      <c r="ID44">
        <f>SUMPRODUCT(--('Данные 1st'!$S$2:$S$317=$A44),--ISNUMBER('Данные 1st'!$RQ$2:$RQ$317))</f>
        <v>4</v>
      </c>
      <c r="IE44">
        <f>SUMPRODUCT(--('Данные 1st'!$S$2:$S$317=$A44),--ISNUMBER('Данные 1st'!$RR$2:$RR$317))</f>
        <v>0</v>
      </c>
      <c r="IF44">
        <f>SUMPRODUCT(--('Данные 1st'!$S$2:$S$317=$A44),--ISNUMBER('Данные 1st'!$RS$2:$RS$317))</f>
        <v>0</v>
      </c>
      <c r="IG44">
        <f>SUMPRODUCT(--('Данные 1st'!$S$2:$S$317=$A44),--ISNUMBER('Данные 1st'!$RT$2:$RT$317))</f>
        <v>4</v>
      </c>
      <c r="IH44">
        <f>SUMPRODUCT(--('Данные 1st'!$S$2:$S$317=$A44),--ISNUMBER('Данные 1st'!$RU$2:$RU$317))</f>
        <v>4</v>
      </c>
      <c r="II44">
        <f>SUMPRODUCT(--('Данные 1st'!$S$2:$S$317=$A44),--ISNUMBER('Данные 1st'!$RX$2:$RX$317))</f>
        <v>4</v>
      </c>
      <c r="IJ44">
        <f>SUMPRODUCT(--('Данные 1st'!$S$2:$S$317=$A44),--ISNUMBER('Данные 1st'!$RY$2:$RY$317))</f>
        <v>4</v>
      </c>
      <c r="IK44">
        <f>SUMPRODUCT(--('Данные 1st'!$S$2:$S$317=$A44),--ISNUMBER('Данные 1st'!$SA$2:$SA$317))</f>
        <v>4</v>
      </c>
      <c r="IL44">
        <f>SUMPRODUCT(--('Данные 1st'!$S$2:$S$317=$A44),--ISNUMBER('Данные 1st'!$SD$2:$SD$317))</f>
        <v>4</v>
      </c>
      <c r="IM44">
        <f>SUMPRODUCT(--('Данные 1st'!$S$2:$S$317=$A44),--ISNUMBER('Данные 1st'!$SG$2:$SG$317))</f>
        <v>0</v>
      </c>
      <c r="IN44">
        <f>SUMPRODUCT(--('Данные 1st'!$S$2:$S$317=$A44),--ISNUMBER('Данные 1st'!$SH$2:$SH$317))</f>
        <v>4</v>
      </c>
      <c r="IO44">
        <f>SUMPRODUCT(--('Данные 1st'!$S$2:$S$317=$A44),--ISNUMBER('Данные 1st'!$SI$2:$SI$317))</f>
        <v>4</v>
      </c>
      <c r="IP44">
        <f>SUMPRODUCT(--('Данные 1st'!$S$2:$S$317=$A44),--ISNUMBER('Данные 1st'!$SJ$2:$SJ$317))</f>
        <v>4</v>
      </c>
      <c r="IQ44">
        <f>SUMPRODUCT(--('Данные 1st'!$S$2:$S$317=$A44),--ISNUMBER('Данные 1st'!$SK$2:$SK$317))</f>
        <v>4</v>
      </c>
      <c r="IR44">
        <f>SUMPRODUCT(--('Данные 1st'!$S$2:$S$317=$A44),--ISNUMBER('Данные 1st'!$SL$2:$SL$317))</f>
        <v>4</v>
      </c>
      <c r="IS44">
        <f>SUMPRODUCT(--('Данные 1st'!$S$2:$S$317=$A44),--ISNUMBER('Данные 1st'!$SM$2:$SM$317))</f>
        <v>4</v>
      </c>
      <c r="IT44">
        <f>SUMPRODUCT(--('Данные 1st'!$S$2:$S$317=$A44),--ISNUMBER('Данные 1st'!$SN$2:$SN$317))</f>
        <v>4</v>
      </c>
      <c r="IU44">
        <f>SUMPRODUCT(--('Данные 1st'!$S$2:$S$317=$A44),--ISNUMBER('Данные 1st'!$SO$2:$SO$317))</f>
        <v>4</v>
      </c>
      <c r="IV44">
        <f>SUMPRODUCT(--('Данные 1st'!$S$2:$S$317=$A44),--ISNUMBER('Данные 1st'!$SP$2:$SP$317))</f>
        <v>4</v>
      </c>
      <c r="IW44">
        <f>SUMPRODUCT(--('Данные 1st'!$S$2:$S$317=$A44),--ISNUMBER('Данные 1st'!$SQ$2:$SQ$317))</f>
        <v>4</v>
      </c>
      <c r="IX44">
        <f>SUMPRODUCT(--('Данные 1st'!$S$2:$S$317=$A44),--ISNUMBER('Данные 1st'!$SR$2:$SR$317))</f>
        <v>4</v>
      </c>
      <c r="IY44">
        <f>SUMPRODUCT(--('Данные 1st'!$S$2:$S$317=$A44),--ISNUMBER('Данные 1st'!$SS$2:$SS$317))</f>
        <v>4</v>
      </c>
      <c r="IZ44">
        <f>SUMPRODUCT(--('Данные 1st'!$S$2:$S$317=$A44),--ISNUMBER('Данные 1st'!$ST$2:$ST$317))</f>
        <v>4</v>
      </c>
      <c r="JA44">
        <f>SUMPRODUCT(--('Данные 1st'!$S$2:$S$317=$A44),--ISNUMBER('Данные 1st'!$SU$2:$SU$317))</f>
        <v>4</v>
      </c>
      <c r="JB44">
        <f>SUMPRODUCT(--('Данные 1st'!$S$2:$S$317=$A44),--ISNUMBER('Данные 1st'!$SV$2:$SV$317))</f>
        <v>4</v>
      </c>
      <c r="JC44">
        <f>SUMPRODUCT(--('Данные 1st'!$S$2:$S$317=$A44),--ISNUMBER('Данные 1st'!$SW$2:$SW$317))</f>
        <v>4</v>
      </c>
      <c r="JD44">
        <f>SUMPRODUCT(--('Данные 1st'!$S$2:$S$317=$A44),--ISNUMBER('Данные 1st'!$SX$2:$SX$317))</f>
        <v>4</v>
      </c>
      <c r="JE44">
        <f>SUMPRODUCT(--('Данные 1st'!$S$2:$S$317=$A44),--ISNUMBER('Данные 1st'!$SY$2:$SY$317))</f>
        <v>0</v>
      </c>
      <c r="JF44">
        <f>SUMPRODUCT(--('Данные 1st'!$S$2:$S$317=$A44),--ISNUMBER('Данные 1st'!$SZ$2:$SZ$317))</f>
        <v>0</v>
      </c>
      <c r="JG44">
        <f>SUMPRODUCT(--('Данные 1st'!$S$2:$S$317=$A44),--ISNUMBER('Данные 1st'!$TA$2:$TA$317))</f>
        <v>0</v>
      </c>
      <c r="JH44">
        <f>SUMPRODUCT(--('Данные 1st'!$S$2:$S$317=$A44),--ISNUMBER('Данные 1st'!$TB$2:$TB$317))</f>
        <v>4</v>
      </c>
      <c r="JI44">
        <f>SUMPRODUCT(--('Данные 1st'!$S$2:$S$317=$A44),--ISNUMBER('Данные 1st'!$TC$2:$TC$317))</f>
        <v>4</v>
      </c>
      <c r="JJ44">
        <f>SUMPRODUCT(--('Данные 1st'!$S$2:$S$317=$A44),--ISNUMBER('Данные 1st'!$TD$2:$TD$317))</f>
        <v>4</v>
      </c>
      <c r="JK44">
        <f>SUMPRODUCT(--('Данные 1st'!$S$2:$S$317=$A44),--ISNUMBER('Данные 1st'!$TN$2:$TN$317))</f>
        <v>4</v>
      </c>
      <c r="JQ44">
        <f>SUMPRODUCT(--('Данные 2st'!$Q$2:$Q$317=$A44),--ISNUMBER('Данные 2st'!$AC$2:$AC$317))</f>
        <v>4</v>
      </c>
      <c r="JR44">
        <f>SUMPRODUCT(--('Данные 2st'!$Q$2:$Q$317=$A44),--ISNUMBER('Данные 2st'!$AF$2:$AF$317))</f>
        <v>4</v>
      </c>
      <c r="JS44">
        <f>SUMPRODUCT(--('Данные 2st'!$Q$2:$Q$317=$A44),--ISNUMBER('Данные 2st'!$AW$2:$AW$317))</f>
        <v>4</v>
      </c>
      <c r="JT44">
        <f>SUMPRODUCT(--('Данные 2st'!$Q$2:$Q$317=$A44),--ISNUMBER('Данные 2st'!$AX$2:$AX$317))</f>
        <v>4</v>
      </c>
      <c r="JU44">
        <f>SUMPRODUCT(--('Данные 2st'!$Q$2:$Q$317=$A44),--ISNUMBER('Данные 2st'!$AY$2:$AY$317))</f>
        <v>4</v>
      </c>
      <c r="JV44">
        <f>SUMPRODUCT(--('Данные 2st'!$Q$2:$Q$317=$A44),--ISNUMBER('Данные 2st'!$AZ$2:$AZ$317))</f>
        <v>4</v>
      </c>
      <c r="JW44">
        <f>SUMPRODUCT(--('Данные 2st'!$Q$2:$Q$317=$A44),--ISNUMBER('Данные 2st'!$BA$2:$BA$317))</f>
        <v>4</v>
      </c>
      <c r="JX44">
        <f>SUMPRODUCT(--('Данные 2st'!$Q$2:$Q$317=$A44),--ISNUMBER('Данные 2st'!$BB$2:$BB$317))</f>
        <v>4</v>
      </c>
      <c r="JY44">
        <f>SUMPRODUCT(--('Данные 2st'!$Q$2:$Q$317=$A44),--ISNUMBER('Данные 2st'!$BC$2:$BC$317))</f>
        <v>4</v>
      </c>
      <c r="JZ44">
        <f>SUMPRODUCT(--('Данные 2st'!$Q$2:$Q$317=$A44),--ISNUMBER('Данные 2st'!$BH$2:$BH$317))</f>
        <v>4</v>
      </c>
      <c r="KA44">
        <f>SUMPRODUCT(--('Данные 2st'!$Q$2:$Q$317=$A44),--ISNUMBER('Данные 2st'!$BI$2:$BI$317))</f>
        <v>4</v>
      </c>
      <c r="KB44">
        <f>SUMPRODUCT(--('Данные 2st'!$Q$2:$Q$317=$A44),--ISNUMBER('Данные 2st'!$BJ$2:$BJ$317))</f>
        <v>4</v>
      </c>
      <c r="KC44">
        <f>SUMPRODUCT(--('Данные 2st'!$Q$2:$Q$317=$A44),--ISNUMBER('Данные 2st'!$BK$2:$BK$317))</f>
        <v>4</v>
      </c>
      <c r="KD44">
        <f>SUMPRODUCT(--('Данные 2st'!$Q$2:$Q$317=$A44),--ISNUMBER('Данные 2st'!$BL$2:$BL$317))</f>
        <v>4</v>
      </c>
      <c r="KE44">
        <f>SUMPRODUCT(--('Данные 2st'!$Q$2:$Q$317=$A44),--ISNUMBER('Данные 2st'!$BM$2:$BM$317))</f>
        <v>4</v>
      </c>
      <c r="KF44">
        <f>SUMPRODUCT(--('Данные 2st'!$Q$2:$Q$317=$A44),--ISNUMBER('Данные 2st'!$BN$2:$BN$317))</f>
        <v>4</v>
      </c>
      <c r="KG44">
        <f>SUMPRODUCT(--('Данные 2st'!$Q$2:$Q$317=$A44),--ISNUMBER('Данные 2st'!$BO$2:$BO$317))</f>
        <v>2</v>
      </c>
      <c r="KH44">
        <f>SUMPRODUCT(--('Данные 2st'!$Q$2:$Q$317=$A44),--ISNUMBER('Данные 2st'!$BP$2:$BP$317))</f>
        <v>4</v>
      </c>
      <c r="KI44">
        <f>SUMPRODUCT(--('Данные 2st'!$Q$2:$Q$317=$A44),--ISNUMBER('Данные 2st'!$BR$2:$BR$317))</f>
        <v>4</v>
      </c>
      <c r="KJ44">
        <f>SUMPRODUCT(--('Данные 2st'!$Q$2:$Q$317=$A44),--ISNUMBER('Данные 2st'!$BS$2:$BS$317))</f>
        <v>4</v>
      </c>
      <c r="KK44">
        <f>SUMPRODUCT(--('Данные 2st'!$Q$2:$Q$317=$A44),--ISNUMBER('Данные 2st'!$BT$2:$BT$317))</f>
        <v>4</v>
      </c>
      <c r="KL44">
        <f>SUMPRODUCT(--('Данные 2st'!$Q$2:$Q$317=$A44),--ISNUMBER('Данные 2st'!$CV$2:$CV$317))</f>
        <v>4</v>
      </c>
      <c r="KM44">
        <f>SUMPRODUCT(--('Данные 2st'!$Q$2:$Q$317=$A44),--ISNUMBER('Данные 2st'!$CW$2:$CW$317))</f>
        <v>4</v>
      </c>
      <c r="KN44">
        <f>SUMPRODUCT(--('Данные 2st'!$Q$2:$Q$317=$A44),--ISNUMBER('Данные 2st'!$CX$2:$CX$317))</f>
        <v>4</v>
      </c>
      <c r="KO44">
        <f>SUMPRODUCT(--('Данные 2st'!$Q$2:$Q$317=$A44),--ISNUMBER('Данные 2st'!$CY$2:$CY$317))</f>
        <v>4</v>
      </c>
      <c r="KP44">
        <f>SUMPRODUCT(--('Данные 2st'!$Q$2:$Q$317=$A44),--ISNUMBER('Данные 2st'!$CZ$2:$CZ$317))</f>
        <v>4</v>
      </c>
      <c r="KQ44">
        <f>SUMPRODUCT(--('Данные 2st'!$Q$2:$Q$317=$A44),--ISNUMBER('Данные 2st'!$DA$2:$DA$317))</f>
        <v>4</v>
      </c>
      <c r="KR44">
        <f>SUMPRODUCT(--('Данные 2st'!$Q$2:$Q$317=$A44),--ISNUMBER('Данные 2st'!$DB$2:$DB$317))</f>
        <v>4</v>
      </c>
      <c r="KS44">
        <f>SUMPRODUCT(--('Данные 2st'!$Q$2:$Q$317=$A44),--ISNUMBER('Данные 2st'!$DC$2:$DC$317))</f>
        <v>4</v>
      </c>
      <c r="KT44">
        <f>SUMPRODUCT(--('Данные 2st'!$Q$2:$Q$317=$A44),--ISNUMBER('Данные 2st'!$DD$2:$DD$317))</f>
        <v>4</v>
      </c>
      <c r="KU44">
        <f>SUMPRODUCT(--('Данные 2st'!$Q$2:$Q$317=$A44),--ISNUMBER('Данные 2st'!$DE$2:$DE$317))</f>
        <v>4</v>
      </c>
      <c r="KV44">
        <f>SUMPRODUCT(--('Данные 2st'!$Q$2:$Q$317=$A44),--ISNUMBER('Данные 2st'!$DF$2:$DF$317))</f>
        <v>4</v>
      </c>
      <c r="KW44">
        <f>SUMPRODUCT(--('Данные 2st'!$Q$2:$Q$317=$A44),--ISNUMBER('Данные 2st'!$DG$2:$DG$317))</f>
        <v>4</v>
      </c>
      <c r="KX44">
        <f>SUMPRODUCT(--('Данные 2st'!$Q$2:$Q$317=$A44),--ISNUMBER('Данные 2st'!$DH$2:$DH$317))</f>
        <v>0</v>
      </c>
      <c r="KY44">
        <f>SUMPRODUCT(--('Данные 2st'!$Q$2:$Q$317=$A44),--ISNUMBER('Данные 2st'!$DI$2:$DI$317))</f>
        <v>0</v>
      </c>
      <c r="KZ44">
        <f>SUMPRODUCT(--('Данные 2st'!$Q$2:$Q$317=$A44),--ISNUMBER('Данные 2st'!$DK$2:$DK$317))</f>
        <v>4</v>
      </c>
      <c r="LA44">
        <f>SUMPRODUCT(--('Данные 2st'!$Q$2:$Q$317=$A44),--ISNUMBER('Данные 2st'!$DM$2:$DM$317))</f>
        <v>4</v>
      </c>
      <c r="LB44">
        <f>SUMPRODUCT(--('Данные 2st'!$Q$2:$Q$317=$A44),--ISNUMBER('Данные 2st'!$DN$2:$DN$317))</f>
        <v>4</v>
      </c>
      <c r="LC44">
        <f>SUMPRODUCT(--('Данные 2st'!$Q$2:$Q$317=$A44),--ISNUMBER('Данные 2st'!$DO$2:$DO$317))</f>
        <v>4</v>
      </c>
      <c r="LD44">
        <f>SUMPRODUCT(--('Данные 2st'!$Q$2:$Q$317=$A44),--ISNUMBER('Данные 2st'!$DP$2:$DP$317))</f>
        <v>4</v>
      </c>
      <c r="LE44">
        <f>SUMPRODUCT(--('Данные 2st'!$Q$2:$Q$317=$A44),--ISNUMBER('Данные 2st'!$DQ$2:$DQ$317))</f>
        <v>4</v>
      </c>
      <c r="LF44">
        <f>SUMPRODUCT(--('Данные 2st'!$Q$2:$Q$317=$A44),--ISNUMBER('Данные 2st'!$DS$2:$DS$317))</f>
        <v>4</v>
      </c>
      <c r="LG44">
        <f>SUMPRODUCT(--('Данные 2st'!$Q$2:$Q$317=$A44),--ISNUMBER('Данные 2st'!$DU$2:$DU$317))</f>
        <v>4</v>
      </c>
      <c r="LH44">
        <f>SUMPRODUCT(--('Данные 2st'!$Q$2:$Q$317=$A44),--ISNUMBER('Данные 2st'!$DV$2:$DV$317))</f>
        <v>4</v>
      </c>
      <c r="LI44">
        <f>SUMPRODUCT(--('Данные 2st'!$Q$2:$Q$317=$A44),--ISNUMBER('Данные 2st'!$DW$2:$DW$317))</f>
        <v>4</v>
      </c>
      <c r="LJ44">
        <f>SUMPRODUCT(--('Данные 2st'!$Q$2:$Q$317=$A44),--ISNUMBER('Данные 2st'!$DX$2:$DX$317))</f>
        <v>4</v>
      </c>
      <c r="LK44">
        <f>SUMPRODUCT(--('Данные 2st'!$Q$2:$Q$317=$A44),--ISNUMBER('Данные 2st'!$DY$2:$DY$317))</f>
        <v>4</v>
      </c>
      <c r="LL44">
        <f>SUMPRODUCT(--('Данные 2st'!$Q$2:$Q$317=$A44),--ISNUMBER('Данные 2st'!$EA$2:$EA$317))</f>
        <v>4</v>
      </c>
      <c r="LM44">
        <f>SUMPRODUCT(--('Данные 2st'!$Q$2:$Q$317=$A44),--ISNUMBER('Данные 2st'!$EC$2:$EC$317))</f>
        <v>4</v>
      </c>
      <c r="LN44">
        <f>SUMPRODUCT(--('Данные 2st'!$Q$2:$Q$317=$A44),--ISNUMBER('Данные 2st'!$ED$2:$ED$317))</f>
        <v>4</v>
      </c>
      <c r="LO44">
        <f>SUMPRODUCT(--('Данные 2st'!$Q$2:$Q$317=$A44),--ISNUMBER('Данные 2st'!$EE$2:$EE$317))</f>
        <v>4</v>
      </c>
      <c r="LP44">
        <f>SUMPRODUCT(--('Данные 2st'!$Q$2:$Q$317=$A44),--ISNUMBER('Данные 2st'!$EG$2:$EG$317))</f>
        <v>4</v>
      </c>
      <c r="LQ44">
        <f>SUMPRODUCT(--('Данные 2st'!$Q$2:$Q$317=$A44),--ISNUMBER('Данные 2st'!$EI$2:$EI$317))</f>
        <v>4</v>
      </c>
      <c r="LR44">
        <f>SUMPRODUCT(--('Данные 2st'!$Q$2:$Q$317=$A44),--ISNUMBER('Данные 2st'!$EJ$2:$EJ$317))</f>
        <v>1</v>
      </c>
      <c r="LS44">
        <f>SUMPRODUCT(--('Данные 2st'!$Q$2:$Q$317=$A44),--ISNUMBER('Данные 2st'!$EK$2:$EK$317))</f>
        <v>1</v>
      </c>
      <c r="LT44">
        <f>SUMPRODUCT(--('Данные 2st'!$Q$2:$Q$317=$A44),--ISNUMBER('Данные 2st'!$EM$2:$EM$317))</f>
        <v>4</v>
      </c>
      <c r="LU44">
        <f>SUMPRODUCT(--('Данные 2st'!$Q$2:$Q$317=$A44),--ISNUMBER('Данные 2st'!$EN$2:$EN$317))</f>
        <v>4</v>
      </c>
      <c r="LV44">
        <f>SUMPRODUCT(--('Данные 2st'!$Q$2:$Q$317=$A44),--ISNUMBER('Данные 2st'!$EO$2:$EO$317))</f>
        <v>4</v>
      </c>
      <c r="LW44">
        <f>SUMPRODUCT(--('Данные 2st'!$Q$2:$Q$317=$A44),--ISNUMBER('Данные 2st'!$EP$2:$EP$317))</f>
        <v>4</v>
      </c>
      <c r="LX44">
        <f>SUMPRODUCT(--('Данные 2st'!$Q$2:$Q$317=$A44),--ISNUMBER('Данные 2st'!$EQ$2:$EQ$317))</f>
        <v>4</v>
      </c>
      <c r="LY44">
        <f>SUMPRODUCT(--('Данные 2st'!$Q$2:$Q$317=$A44),--ISNUMBER('Данные 2st'!$ER$2:$ER$317))</f>
        <v>4</v>
      </c>
      <c r="LZ44">
        <f>SUMPRODUCT(--('Данные 2st'!$Q$2:$Q$317=$A44),--ISNUMBER('Данные 2st'!$ES$2:$ES$317))</f>
        <v>4</v>
      </c>
      <c r="MA44">
        <f>SUMPRODUCT(--('Данные 2st'!$Q$2:$Q$317=$A44),--ISNUMBER('Данные 2st'!$ET$2:$ET$317))</f>
        <v>4</v>
      </c>
      <c r="MB44">
        <f>SUMPRODUCT(--('Данные 2st'!$Q$2:$Q$317=$A44),--ISNUMBER('Данные 2st'!$EU$2:$EU$317))</f>
        <v>4</v>
      </c>
      <c r="MC44">
        <f>SUMPRODUCT(--('Данные 2st'!$Q$2:$Q$317=$A44),--ISNUMBER('Данные 2st'!$EV$2:$EV$317))</f>
        <v>4</v>
      </c>
      <c r="MD44">
        <f>SUMPRODUCT(--('Данные 2st'!$Q$2:$Q$317=$A44),--ISNUMBER('Данные 2st'!$EW$2:$EW$317))</f>
        <v>4</v>
      </c>
      <c r="ME44">
        <f>SUMPRODUCT(--('Данные 2st'!$Q$2:$Q$317=$A44),--ISNUMBER('Данные 2st'!$EY$2:$EY$317))</f>
        <v>4</v>
      </c>
      <c r="MF44">
        <f>SUMPRODUCT(--('Данные 2st'!$Q$2:$Q$317=$A44),--ISNUMBER('Данные 2st'!$FA$2:$FA$317))</f>
        <v>4</v>
      </c>
      <c r="MG44">
        <f>SUMPRODUCT(--('Данные 2st'!$Q$2:$Q$317=$A44),--ISNUMBER('Данные 2st'!$FB$2:$FB$317))</f>
        <v>4</v>
      </c>
      <c r="MH44">
        <f>SUMPRODUCT(--('Данные 2st'!$Q$2:$Q$317=$A44),--ISNUMBER('Данные 2st'!$FC$2:$FC$317))</f>
        <v>4</v>
      </c>
      <c r="MI44">
        <f>SUMPRODUCT(--('Данные 2st'!$Q$2:$Q$317=$A44),--ISNUMBER('Данные 2st'!$FD$2:$FD$317))</f>
        <v>4</v>
      </c>
      <c r="MJ44">
        <f>SUMPRODUCT(--('Данные 2st'!$Q$2:$Q$317=$A44),--ISNUMBER('Данные 2st'!$FE$2:$FE$317))</f>
        <v>4</v>
      </c>
      <c r="MK44">
        <f>SUMPRODUCT(--('Данные 2st'!$Q$2:$Q$317=$A44),--ISNUMBER('Данные 2st'!$FG$2:$FG$317))</f>
        <v>4</v>
      </c>
      <c r="ML44">
        <f>SUMPRODUCT(--('Данные 2st'!$Q$2:$Q$317=$A44),--ISNUMBER('Данные 2st'!$FI$2:$FI$317))</f>
        <v>4</v>
      </c>
      <c r="MM44">
        <f>SUMPRODUCT(--('Данные 2st'!$Q$2:$Q$317=$A44),--ISNUMBER('Данные 2st'!$FJ$2:$FJ$317))</f>
        <v>4</v>
      </c>
      <c r="MN44">
        <f>SUMPRODUCT(--('Данные 2st'!$Q$2:$Q$317=$A44),--ISNUMBER('Данные 2st'!$FK$2:$FK$317))</f>
        <v>4</v>
      </c>
      <c r="MO44">
        <f>SUMPRODUCT(--('Данные 2st'!$Q$2:$Q$317=$A44),--ISNUMBER('Данные 2st'!$FP$2:$FP$317))</f>
        <v>4</v>
      </c>
      <c r="MP44">
        <f>SUMPRODUCT(--('Данные 2st'!$Q$2:$Q$317=$A44),--ISNUMBER('Данные 2st'!$FQ$2:$FQ$317))</f>
        <v>4</v>
      </c>
      <c r="MQ44">
        <f>SUMPRODUCT(--('Данные 2st'!$Q$2:$Q$317=$A44),--ISNUMBER('Данные 2st'!$FS$2:$FS$317))</f>
        <v>4</v>
      </c>
      <c r="MR44">
        <f>SUMPRODUCT(--('Данные 2st'!$Q$2:$Q$317=$A44),--ISNUMBER('Данные 2st'!$FU$2:$FU$317))</f>
        <v>4</v>
      </c>
      <c r="MS44">
        <f>SUMPRODUCT(--('Данные 2st'!$Q$2:$Q$317=$A44),--ISNUMBER('Данные 2st'!$FV$2:$FV$317))</f>
        <v>4</v>
      </c>
      <c r="MT44">
        <f>SUMPRODUCT(--('Данные 2st'!$Q$2:$Q$317=$A44),--ISNUMBER('Данные 2st'!$FW$2:$FW$317))</f>
        <v>4</v>
      </c>
      <c r="MU44">
        <f>SUMPRODUCT(--('Данные 2st'!$Q$2:$Q$317=$A44),--ISNUMBER('Данные 2st'!$FY$2:$FY$317))</f>
        <v>4</v>
      </c>
      <c r="MV44">
        <f>SUMPRODUCT(--('Данные 2st'!$Q$2:$Q$317=$A44),--ISNUMBER('Данные 2st'!$GB$2:$GB$317))</f>
        <v>4</v>
      </c>
      <c r="MW44">
        <f>SUMPRODUCT(--('Данные 2st'!$Q$2:$Q$317=$A44),--ISNUMBER('Данные 2st'!$GC$2:$GC$317))</f>
        <v>4</v>
      </c>
      <c r="MX44">
        <f>SUMPRODUCT(--('Данные 2st'!$Q$2:$Q$317=$A44),--ISNUMBER('Данные 2st'!$GD$2:$GD$317))</f>
        <v>4</v>
      </c>
      <c r="MY44">
        <f>SUMPRODUCT(--('Данные 2st'!$Q$2:$Q$317=$A44),--ISNUMBER('Данные 2st'!$GN$2:$GN$317))</f>
        <v>0</v>
      </c>
      <c r="MZ44">
        <f>SUMPRODUCT(--('Данные 2st'!$Q$2:$Q$317=$A44),--ISNUMBER('Данные 2st'!$GQ$2:$GQ$317))</f>
        <v>4</v>
      </c>
      <c r="NA44">
        <f>SUMPRODUCT(--('Данные 2st'!$Q$2:$Q$317=$A44),--ISNUMBER('Данные 2st'!$GV$2:$GV$317))</f>
        <v>4</v>
      </c>
      <c r="NB44">
        <f>SUMPRODUCT(--('Данные 2st'!$Q$2:$Q$317=$A44),--ISNUMBER('Данные 2st'!$GW$2:$GW$317))</f>
        <v>4</v>
      </c>
      <c r="NC44">
        <f>SUMPRODUCT(--('Данные 2st'!$Q$2:$Q$317=$A44),--ISNUMBER('Данные 2st'!$GX$2:$GX$317))</f>
        <v>4</v>
      </c>
      <c r="ND44">
        <f>SUMPRODUCT(--('Данные 2st'!$Q$2:$Q$317=$A44),--ISNUMBER('Данные 2st'!$GY$2:$GY$317))</f>
        <v>4</v>
      </c>
      <c r="NE44">
        <f>SUMPRODUCT(--('Данные 2st'!$Q$2:$Q$317=$A44),--ISNUMBER('Данные 2st'!$GZ$2:$GZ$317))</f>
        <v>4</v>
      </c>
      <c r="NF44">
        <f>SUMPRODUCT(--('Данные 2st'!$Q$2:$Q$317=$A44),--ISNUMBER('Данные 2st'!$HA$2:$HA$317))</f>
        <v>4</v>
      </c>
      <c r="NG44">
        <f>SUMPRODUCT(--('Данные 2st'!$Q$2:$Q$317=$A44),--ISNUMBER('Данные 2st'!$HB$2:$HB$317))</f>
        <v>4</v>
      </c>
      <c r="NH44">
        <f>SUMPRODUCT(--('Данные 2st'!$Q$2:$Q$317=$A44),--ISNUMBER('Данные 2st'!$HC$2:$HC$317))</f>
        <v>4</v>
      </c>
      <c r="NI44">
        <f>SUMPRODUCT(--('Данные 2st'!$Q$2:$Q$317=$A44),--ISNUMBER('Данные 2st'!$HD$2:$HD$317))</f>
        <v>4</v>
      </c>
      <c r="NJ44">
        <f>SUMPRODUCT(--('Данные 2st'!$Q$2:$Q$317=$A44),--ISNUMBER('Данные 2st'!$HM$2:$HM$317))</f>
        <v>4</v>
      </c>
      <c r="NK44">
        <f>SUMPRODUCT(--('Данные 2st'!$Q$2:$Q$317=$A44),--ISNUMBER('Данные 2st'!$HR$2:$HR$317))</f>
        <v>4</v>
      </c>
      <c r="NL44">
        <f>SUMPRODUCT(--('Данные 2st'!$Q$2:$Q$317=$A44),--ISNUMBER('Данные 2st'!$HS$2:$HS$317))</f>
        <v>4</v>
      </c>
      <c r="NM44">
        <f>SUMPRODUCT(--('Данные 2st'!$Q$2:$Q$317=$A44),--ISNUMBER('Данные 2st'!$HT$2:$HT$317))</f>
        <v>4</v>
      </c>
      <c r="NN44">
        <f>SUMPRODUCT(--('Данные 2st'!$Q$2:$Q$317=$A44),--ISNUMBER('Данные 2st'!$HY$2:$HY$317))</f>
        <v>4</v>
      </c>
      <c r="NO44">
        <f>SUMPRODUCT(--('Данные 2st'!$Q$2:$Q$317=$A44),--ISNUMBER('Данные 2st'!$HZ$2:$HZ$317))</f>
        <v>4</v>
      </c>
      <c r="NP44">
        <f>SUMPRODUCT(--('Данные 2st'!$Q$2:$Q$317=$A44),--ISNUMBER('Данные 2st'!$IA$2:$IA$317))</f>
        <v>4</v>
      </c>
      <c r="NQ44">
        <f>SUMPRODUCT(--('Данные 2st'!$Q$2:$Q$317=$A44),--ISNUMBER('Данные 2st'!$IB$2:$IB$317))</f>
        <v>4</v>
      </c>
      <c r="NR44">
        <f>SUMPRODUCT(--('Данные 2st'!$Q$2:$Q$317=$A44),--ISNUMBER('Данные 2st'!$IC$2:$IC$317))</f>
        <v>0</v>
      </c>
      <c r="NS44">
        <f>SUMPRODUCT(--('Данные 2st'!$Q$2:$Q$317=$A44),--ISNUMBER('Данные 2st'!$ID$2:$ID$317))</f>
        <v>4</v>
      </c>
      <c r="NT44">
        <f>SUMPRODUCT(--('Данные 2st'!$Q$2:$Q$317=$A44),--ISNUMBER('Данные 2st'!$IE$2:$IE$317))</f>
        <v>4</v>
      </c>
      <c r="NU44">
        <f>SUMPRODUCT(--('Данные 2st'!$Q$2:$Q$317=$A44),--ISNUMBER('Данные 2st'!$IF$2:$IF$317))</f>
        <v>4</v>
      </c>
      <c r="NV44">
        <f>SUMPRODUCT(--('Данные 2st'!$Q$2:$Q$317=$A44),--ISNUMBER('Данные 2st'!$IG$2:$IG$317))</f>
        <v>4</v>
      </c>
      <c r="NW44">
        <f>SUMPRODUCT(--('Данные 2st'!$Q$2:$Q$317=$A44),--ISNUMBER('Данные 2st'!$IH$2:$IH$317))</f>
        <v>4</v>
      </c>
      <c r="NX44">
        <f>SUMPRODUCT(--('Данные 2st'!$Q$2:$Q$317=$A44),--ISNUMBER('Данные 2st'!$IJ$2:$IJ$317))</f>
        <v>4</v>
      </c>
      <c r="NY44">
        <f>SUMPRODUCT(--('Данные 2st'!$Q$2:$Q$317=$A44),--ISNUMBER('Данные 2st'!$IM$2:$IM$317))</f>
        <v>4</v>
      </c>
      <c r="NZ44">
        <f>SUMPRODUCT(--('Данные 2st'!$Q$2:$Q$317=$A44),--ISNUMBER('Данные 2st'!$IN$2:$IN$317))</f>
        <v>4</v>
      </c>
      <c r="OA44">
        <f>SUMPRODUCT(--('Данные 2st'!$Q$2:$Q$317=$A44),--ISNUMBER('Данные 2st'!$IO$2:$IO$317))</f>
        <v>4</v>
      </c>
      <c r="OB44">
        <f>SUMPRODUCT(--('Данные 2st'!$Q$2:$Q$317=$A44),--ISNUMBER('Данные 2st'!$IP$2:$IP$317))</f>
        <v>4</v>
      </c>
      <c r="OC44">
        <f>SUMPRODUCT(--('Данные 2st'!$Q$2:$Q$317=$A44),--ISNUMBER('Данные 2st'!$IQ$2:$IQ$317))</f>
        <v>4</v>
      </c>
      <c r="OD44">
        <f>SUMPRODUCT(--('Данные 2st'!$Q$2:$Q$317=$A44),--ISNUMBER('Данные 2st'!$IR$2:$IR$317))</f>
        <v>4</v>
      </c>
      <c r="OE44">
        <f>SUMPRODUCT(--('Данные 2st'!$Q$2:$Q$317=$A44),--ISNUMBER('Данные 2st'!$IT$2:$IT$317))</f>
        <v>4</v>
      </c>
      <c r="OF44">
        <f>SUMPRODUCT(--('Данные 2st'!$Q$2:$Q$317=$A44),--ISNUMBER('Данные 2st'!$IU$2:$IU$317))</f>
        <v>4</v>
      </c>
      <c r="OG44">
        <f>SUMPRODUCT(--('Данные 2st'!$Q$2:$Q$317=$A44),--ISNUMBER('Данные 2st'!$IV$2:$IV$317))</f>
        <v>4</v>
      </c>
      <c r="OH44">
        <f>SUMPRODUCT(--('Данные 2st'!$Q$2:$Q$317=$A44),--ISNUMBER('Данные 2st'!$IW$2:$IW$317))</f>
        <v>4</v>
      </c>
      <c r="OI44">
        <f>SUMPRODUCT(--('Данные 2st'!$Q$2:$Q$317=$A44),--ISNUMBER('Данные 2st'!$IX$2:$IX$317))</f>
        <v>4</v>
      </c>
      <c r="OJ44">
        <f>SUMPRODUCT(--('Данные 2st'!$Q$2:$Q$317=$A44),--ISNUMBER('Данные 2st'!$IY$2:$IY$317))</f>
        <v>4</v>
      </c>
      <c r="OK44">
        <f>SUMPRODUCT(--('Данные 2st'!$Q$2:$Q$317=$A44),--ISNUMBER('Данные 2st'!$IZ$2:$IZ$317))</f>
        <v>4</v>
      </c>
      <c r="OL44">
        <f>SUMPRODUCT(--('Данные 2st'!$Q$2:$Q$317=$A44),--ISNUMBER('Данные 2st'!$JA$2:$JA$317))</f>
        <v>4</v>
      </c>
      <c r="OM44">
        <f>SUMPRODUCT(--('Данные 2st'!$Q$2:$Q$317=$A44),--ISNUMBER('Данные 2st'!$JB$2:$JB$317))</f>
        <v>4</v>
      </c>
      <c r="ON44">
        <f>SUMPRODUCT(--('Данные 2st'!$Q$2:$Q$317=$A44),--ISNUMBER('Данные 2st'!$JC$2:$JC$317))</f>
        <v>4</v>
      </c>
      <c r="OO44">
        <f>SUMPRODUCT(--('Данные 2st'!$Q$2:$Q$317=$A44),--ISNUMBER('Данные 2st'!$JD$2:$JD$317))</f>
        <v>4</v>
      </c>
      <c r="OP44">
        <f>SUMPRODUCT(--('Данные 2st'!$Q$2:$Q$317=$A44),--ISNUMBER('Данные 2st'!$JE$2:$JE$317))</f>
        <v>4</v>
      </c>
      <c r="OQ44">
        <f>SUMPRODUCT(--('Данные 2st'!$Q$2:$Q$317=$A44),--ISNUMBER('Данные 2st'!$JF$2:$JF$317))</f>
        <v>4</v>
      </c>
      <c r="OR44">
        <f>SUMPRODUCT(--('Данные 2st'!$Q$2:$Q$317=$A44),--ISNUMBER('Данные 2st'!$JG$2:$JG$317))</f>
        <v>4</v>
      </c>
      <c r="OS44">
        <f>SUMPRODUCT(--('Данные 2st'!$Q$2:$Q$317=$A44),--ISNUMBER('Данные 2st'!$JH$2:$JH$317))</f>
        <v>4</v>
      </c>
      <c r="OT44">
        <f>SUMPRODUCT(--('Данные 2st'!$Q$2:$Q$317=$A44),--ISNUMBER('Данные 2st'!$JI$2:$JI$317))</f>
        <v>4</v>
      </c>
      <c r="OU44">
        <f>SUMPRODUCT(--('Данные 2st'!$Q$2:$Q$317=$A44),--ISNUMBER('Данные 2st'!$JJ$2:$JJ$317))</f>
        <v>4</v>
      </c>
      <c r="OV44">
        <f>SUMPRODUCT(--('Данные 2st'!$Q$2:$Q$317=$A44),--ISNUMBER('Данные 2st'!$JK$2:$JK$317))</f>
        <v>4</v>
      </c>
      <c r="OW44">
        <f>SUMPRODUCT(--('Данные 2st'!$Q$2:$Q$317=$A44),--ISNUMBER('Данные 2st'!$JL$2:$JL$317))</f>
        <v>4</v>
      </c>
      <c r="OX44">
        <f>SUMPRODUCT(--('Данные 2st'!$Q$2:$Q$317=$A44),--ISNUMBER('Данные 2st'!$JM$2:$JM$317))</f>
        <v>4</v>
      </c>
      <c r="OY44">
        <f>SUMPRODUCT(--('Данные 2st'!$Q$2:$Q$317=$A44),--ISNUMBER('Данные 2st'!$JP$2:$JP$317))</f>
        <v>4</v>
      </c>
      <c r="OZ44">
        <f>SUMPRODUCT(--('Данные 2st'!$Q$2:$Q$317=$A44),--ISNUMBER('Данные 2st'!$JQ$2:$JQ$317))</f>
        <v>4</v>
      </c>
      <c r="PA44">
        <f>SUMPRODUCT(--('Данные 2st'!$Q$2:$Q$317=$A44),--ISNUMBER('Данные 2st'!$JR$2:$JR$317))</f>
        <v>4</v>
      </c>
      <c r="PB44">
        <f>SUMPRODUCT(--('Данные 2st'!$Q$2:$Q$317=$A44),--ISNUMBER('Данные 2st'!$JS$2:$JS$317))</f>
        <v>4</v>
      </c>
      <c r="PC44">
        <f>SUMPRODUCT(--('Данные 2st'!$Q$2:$Q$317=$A44),--ISNUMBER('Данные 2st'!$JT$2:$JT$317))</f>
        <v>4</v>
      </c>
      <c r="PD44">
        <f>SUMPRODUCT(--('Данные 2st'!$Q$2:$Q$317=$A44),--ISNUMBER('Данные 2st'!$JU$2:$JU$317))</f>
        <v>4</v>
      </c>
      <c r="PE44">
        <f>SUMPRODUCT(--('Данные 2st'!$Q$2:$Q$317=$A44),--ISNUMBER('Данные 2st'!$JV$2:$JV$317))</f>
        <v>4</v>
      </c>
      <c r="PF44">
        <f>SUMPRODUCT(--('Данные 2st'!$Q$2:$Q$317=$A44),--ISNUMBER('Данные 2st'!$JW$2:$JW$317))</f>
        <v>4</v>
      </c>
      <c r="PG44">
        <f>SUMPRODUCT(--('Данные 2st'!$Q$2:$Q$317=$A44),--ISNUMBER('Данные 2st'!$KF$2:$KF$317))</f>
        <v>4</v>
      </c>
      <c r="PH44">
        <f>SUMPRODUCT(--('Данные 2st'!$Q$2:$Q$317=$A44),--ISNUMBER('Данные 2st'!$KG$2:$KG$317))</f>
        <v>4</v>
      </c>
      <c r="PI44">
        <f>SUMPRODUCT(--('Данные 2st'!$Q$2:$Q$317=$A44),--ISNUMBER('Данные 2st'!$KM$2:$KM$317))</f>
        <v>4</v>
      </c>
      <c r="PJ44">
        <f>SUMPRODUCT(--('Данные 2st'!$Q$2:$Q$317=$A44),--ISNUMBER('Данные 2st'!$KN$2:$KN$317))</f>
        <v>4</v>
      </c>
      <c r="PK44">
        <f>SUMPRODUCT(--('Данные 2st'!$Q$2:$Q$317=$A44),--ISNUMBER('Данные 2st'!$KO$2:$KO$317))</f>
        <v>4</v>
      </c>
      <c r="PL44">
        <f>SUMPRODUCT(--('Данные 2st'!$Q$2:$Q$317=$A44),--ISNUMBER('Данные 2st'!$KP$2:$KP$317))</f>
        <v>4</v>
      </c>
      <c r="PM44">
        <f>SUMPRODUCT(--('Данные 2st'!$Q$2:$Q$317=$A44),--ISNUMBER('Данные 2st'!$KQ$2:$KQ$317))</f>
        <v>4</v>
      </c>
      <c r="PN44">
        <f>SUMPRODUCT(--('Данные 2st'!$Q$2:$Q$317=$A44),--ISNUMBER('Данные 2st'!$KR$2:$KR$317))</f>
        <v>4</v>
      </c>
      <c r="PO44">
        <f>SUMPRODUCT(--('Данные 2st'!$Q$2:$Q$317=$A44),--ISNUMBER('Данные 2st'!$KS$2:$KS$317))</f>
        <v>4</v>
      </c>
      <c r="PP44">
        <f>SUMPRODUCT(--('Данные 2st'!$Q$2:$Q$317=$A44),--ISNUMBER('Данные 2st'!$KT$2:$KT$317))</f>
        <v>4</v>
      </c>
      <c r="PQ44">
        <f>SUMPRODUCT(--('Данные 2st'!$Q$2:$Q$317=$A44),--ISNUMBER('Данные 2st'!$KU$2:$KU$317))</f>
        <v>4</v>
      </c>
      <c r="PR44">
        <f>SUMPRODUCT(--('Данные 2st'!$Q$2:$Q$317=$A44),--ISNUMBER('Данные 2st'!$KV$2:$KV$317))</f>
        <v>4</v>
      </c>
      <c r="PS44">
        <f>SUMPRODUCT(--('Данные 2st'!$Q$2:$Q$317=$A44),--ISNUMBER('Данные 2st'!$KW$2:$KW$317))</f>
        <v>4</v>
      </c>
      <c r="PT44">
        <f>SUMPRODUCT(--('Данные 2st'!$Q$2:$Q$317=$A44),--ISNUMBER('Данные 2st'!$KX$2:$KX$317))</f>
        <v>4</v>
      </c>
      <c r="PU44">
        <f>SUMPRODUCT(--('Данные 2st'!$Q$2:$Q$317=$A44),--ISNUMBER('Данные 2st'!$KY$2:$KY$317))</f>
        <v>4</v>
      </c>
      <c r="PV44">
        <f>SUMPRODUCT(--('Данные 2st'!$Q$2:$Q$317=$A44),--ISNUMBER('Данные 2st'!$KZ$2:$KZ$317))</f>
        <v>4</v>
      </c>
      <c r="PW44">
        <f>SUMPRODUCT(--('Данные 2st'!$Q$2:$Q$317=$A44),--ISNUMBER('Данные 2st'!$LA$2:$LA$317))</f>
        <v>4</v>
      </c>
      <c r="PX44">
        <f>SUMPRODUCT(--('Данные 2st'!$Q$2:$Q$317=$A44),--ISNUMBER('Данные 2st'!$LB$2:$LB$317))</f>
        <v>4</v>
      </c>
      <c r="PY44">
        <f>SUMPRODUCT(--('Данные 2st'!$Q$2:$Q$317=$A44),--ISNUMBER('Данные 2st'!$LC$2:$LC$317))</f>
        <v>4</v>
      </c>
      <c r="PZ44">
        <f>SUMPRODUCT(--('Данные 2st'!$Q$2:$Q$317=$A44),--ISNUMBER('Данные 2st'!$LD$2:$LD$317))</f>
        <v>4</v>
      </c>
      <c r="QA44">
        <f>SUMPRODUCT(--('Данные 2st'!$Q$2:$Q$317=$A44),--ISNUMBER('Данные 2st'!$LE$2:$LE$317))</f>
        <v>4</v>
      </c>
      <c r="QB44">
        <f>SUMPRODUCT(--('Данные 2st'!$Q$2:$Q$317=$A44),--ISNUMBER('Данные 2st'!$LF$2:$LF$317))</f>
        <v>4</v>
      </c>
      <c r="QC44">
        <f>SUMPRODUCT(--('Данные 2st'!$Q$2:$Q$317=$A44),--ISNUMBER('Данные 2st'!$LG$2:$LG$317))</f>
        <v>4</v>
      </c>
      <c r="QD44">
        <f>SUMPRODUCT(--('Данные 2st'!$Q$2:$Q$317=$A44),--ISNUMBER('Данные 2st'!$LH$2:$LH$317))</f>
        <v>4</v>
      </c>
      <c r="QE44">
        <f>SUMPRODUCT(--('Данные 2st'!$Q$2:$Q$317=$A44),--ISNUMBER('Данные 2st'!$LJ$2:$LJ$317))</f>
        <v>4</v>
      </c>
      <c r="QF44">
        <f>SUMPRODUCT(--('Данные 2st'!$Q$2:$Q$317=$A44),--ISNUMBER('Данные 2st'!$LK$2:$LK$317))</f>
        <v>4</v>
      </c>
      <c r="QG44">
        <f>SUMPRODUCT(--('Данные 2st'!$Q$2:$Q$317=$A44),--ISNUMBER('Данные 2st'!$LL$2:$LL$317))</f>
        <v>4</v>
      </c>
      <c r="QH44">
        <f>SUMPRODUCT(--('Данные 2st'!$Q$2:$Q$317=$A44),--ISNUMBER('Данные 2st'!$LM$2:$LM$317))</f>
        <v>4</v>
      </c>
      <c r="QI44">
        <f>SUMPRODUCT(--('Данные 2st'!$Q$2:$Q$317=$A44),--ISNUMBER('Данные 2st'!$LN$2:$LN$317))</f>
        <v>4</v>
      </c>
      <c r="QJ44">
        <f>SUMPRODUCT(--('Данные 2st'!$Q$2:$Q$317=$A44),--ISNUMBER('Данные 2st'!$LO$2:$LO$317))</f>
        <v>4</v>
      </c>
      <c r="QK44">
        <f>SUMPRODUCT(--('Данные 2st'!$Q$2:$Q$317=$A44),--ISNUMBER('Данные 2st'!$LP$2:$LP$317))</f>
        <v>4</v>
      </c>
      <c r="QL44">
        <f>SUMPRODUCT(--('Данные 2st'!$Q$2:$Q$317=$A44),--ISNUMBER('Данные 2st'!$LQ$2:$LQ$317))</f>
        <v>4</v>
      </c>
      <c r="QM44">
        <f>SUMPRODUCT(--('Данные 2st'!$Q$2:$Q$317=$A44),--ISNUMBER('Данные 2st'!$LW$2:$LW$317))</f>
        <v>4</v>
      </c>
      <c r="QN44">
        <f>SUMPRODUCT(--('Данные 2st'!$Q$2:$Q$317=$A44),--ISNUMBER('Данные 2st'!$LX$2:$LX$317))</f>
        <v>4</v>
      </c>
      <c r="QO44">
        <f>SUMPRODUCT(--('Данные 2st'!$Q$2:$Q$317=$A44),--ISNUMBER('Данные 2st'!$LY$2:$LY$317))</f>
        <v>4</v>
      </c>
      <c r="QP44">
        <f>SUMPRODUCT(--('Данные 2st'!$Q$2:$Q$317=$A44),--ISNUMBER('Данные 2st'!$LZ$2:$LZ$317))</f>
        <v>4</v>
      </c>
      <c r="QQ44">
        <f>SUMPRODUCT(--('Данные 2st'!$Q$2:$Q$317=$A44),--ISNUMBER('Данные 2st'!$MB$2:$MB$317))</f>
        <v>4</v>
      </c>
      <c r="QR44">
        <f>SUMPRODUCT(--('Данные 2st'!$Q$2:$Q$317=$A44),--ISNUMBER('Данные 2st'!$MG$2:$MG$317))</f>
        <v>0</v>
      </c>
      <c r="QS44">
        <f>SUMPRODUCT(--('Данные 2st'!$Q$2:$Q$317=$A44),--ISNUMBER('Данные 2st'!$MH$2:$MH$317))</f>
        <v>0</v>
      </c>
      <c r="QT44">
        <f>SUMPRODUCT(--('Данные 2st'!$Q$2:$Q$317=$A44),--ISNUMBER('Данные 2st'!$MI$2:$MI$317))</f>
        <v>4</v>
      </c>
      <c r="QU44">
        <f>SUMPRODUCT(--('Данные 2st'!$Q$2:$Q$317=$A44),--ISNUMBER('Данные 2st'!$MJ$2:$MJ$317))</f>
        <v>4</v>
      </c>
      <c r="QV44">
        <f>SUMPRODUCT(--('Данные 2st'!$Q$2:$Q$317=$A44),--ISNUMBER('Данные 2st'!$MK$2:$MK$317))</f>
        <v>0</v>
      </c>
      <c r="QW44">
        <f>SUMPRODUCT(--('Данные 2st'!$Q$2:$Q$317=$A44),--ISNUMBER('Данные 2st'!$MM$2:$MM$317))</f>
        <v>4</v>
      </c>
      <c r="QX44">
        <f>SUMPRODUCT(--('Данные 2st'!$Q$2:$Q$317=$A44),--ISNUMBER('Данные 2st'!$MQ$2:$MQ$317))</f>
        <v>0</v>
      </c>
      <c r="QY44">
        <f>SUMPRODUCT(--('Данные 2st'!$Q$2:$Q$317=$A44),--ISNUMBER('Данные 2st'!$MR$2:$MR$317))</f>
        <v>0</v>
      </c>
      <c r="QZ44">
        <f>SUMPRODUCT(--('Данные 2st'!$Q$2:$Q$317=$A44),--ISNUMBER('Данные 2st'!$MS$2:$MS$317))</f>
        <v>0</v>
      </c>
      <c r="RA44">
        <f>SUMPRODUCT(--('Данные 2st'!$Q$2:$Q$317=$A44),--ISNUMBER('Данные 2st'!$MT$2:$MT$317))</f>
        <v>0</v>
      </c>
      <c r="RB44">
        <f>SUMPRODUCT(--('Данные 2st'!$Q$2:$Q$317=$A44),--ISNUMBER('Данные 2st'!$MU$2:$MU$317))</f>
        <v>0</v>
      </c>
      <c r="RC44">
        <f>SUMPRODUCT(--('Данные 2st'!$Q$2:$Q$317=$A44),--ISNUMBER('Данные 2st'!$MV$2:$MV$317))</f>
        <v>0</v>
      </c>
      <c r="RD44">
        <f>SUMPRODUCT(--('Данные 2st'!$Q$2:$Q$317=$A44),--ISNUMBER('Данные 2st'!$MW$2:$MW$317))</f>
        <v>0</v>
      </c>
      <c r="RE44">
        <f>SUMPRODUCT(--('Данные 2st'!$Q$2:$Q$317=$A44),--ISNUMBER('Данные 2st'!$MX$2:$MX$317))</f>
        <v>0</v>
      </c>
      <c r="RF44">
        <f>SUMPRODUCT(--('Данные 2st'!$Q$2:$Q$317=$A44),--ISNUMBER('Данные 2st'!$MY$2:$MY$317))</f>
        <v>0</v>
      </c>
      <c r="RG44">
        <f>SUMPRODUCT(--('Данные 2st'!$Q$2:$Q$317=$A44),--ISNUMBER('Данные 2st'!$MZ$2:$MZ$317))</f>
        <v>0</v>
      </c>
      <c r="RH44">
        <f>SUMPRODUCT(--('Данные 2st'!$Q$2:$Q$317=$A44),--ISNUMBER('Данные 2st'!$NA$2:$NA$317))</f>
        <v>0</v>
      </c>
      <c r="RI44">
        <f>SUMPRODUCT(--('Данные 2st'!$Q$2:$Q$317=$A44),--ISNUMBER('Данные 2st'!$NB$2:$NB$317))</f>
        <v>0</v>
      </c>
      <c r="RJ44">
        <f>SUMPRODUCT(--('Данные 2st'!$Q$2:$Q$317=$A44),--ISNUMBER('Данные 2st'!$NC$2:$NC$317))</f>
        <v>0</v>
      </c>
      <c r="RK44">
        <f>SUMPRODUCT(--('Данные 2st'!$Q$2:$Q$317=$A44),--ISNUMBER('Данные 2st'!$ND$2:$ND$317))</f>
        <v>0</v>
      </c>
      <c r="RL44">
        <f>SUMPRODUCT(--('Данные 2st'!$Q$2:$Q$317=$A44),--ISNUMBER('Данные 2st'!$NE$2:$NE$317))</f>
        <v>0</v>
      </c>
      <c r="RM44">
        <f>SUMPRODUCT(--('Данные 2st'!$Q$2:$Q$317=$A44),--ISNUMBER('Данные 2st'!$NF$2:$NF$317))</f>
        <v>0</v>
      </c>
      <c r="RN44">
        <f>SUMPRODUCT(--('Данные 2st'!$Q$2:$Q$317=$A44),--ISNUMBER('Данные 2st'!$NG$2:$NG$317))</f>
        <v>0</v>
      </c>
      <c r="RO44">
        <f>SUMPRODUCT(--('Данные 2st'!$Q$2:$Q$317=$A44),--ISNUMBER('Данные 2st'!$NH$2:$NH$317))</f>
        <v>0</v>
      </c>
      <c r="RP44">
        <f>SUMPRODUCT(--('Данные 2st'!$Q$2:$Q$317=$A44),--ISNUMBER('Данные 2st'!$NJ$2:$NJ$317))</f>
        <v>0</v>
      </c>
      <c r="RQ44">
        <f>SUMPRODUCT(--('Данные 2st'!$Q$2:$Q$317=$A44),--ISNUMBER('Данные 2st'!$NK$2:$NK$317))</f>
        <v>0</v>
      </c>
      <c r="RR44">
        <f>SUMPRODUCT(--('Данные 2st'!$Q$2:$Q$317=$A44),--ISNUMBER('Данные 2st'!$NM$2:$NM$317))</f>
        <v>0</v>
      </c>
      <c r="RS44">
        <f>SUMPRODUCT(--('Данные 2st'!$Q$2:$Q$317=$A44),--ISNUMBER('Данные 2st'!$NN$2:$NN$317))</f>
        <v>0</v>
      </c>
      <c r="RT44">
        <f>SUMPRODUCT(--('Данные 2st'!$Q$2:$Q$317=$A44),--ISNUMBER('Данные 2st'!$NO$2:$NO$317))</f>
        <v>0</v>
      </c>
      <c r="RU44">
        <f>SUMPRODUCT(--('Данные 2st'!$Q$2:$Q$317=$A44),--ISNUMBER('Данные 2st'!$NP$2:$NP$317))</f>
        <v>0</v>
      </c>
      <c r="RV44">
        <f>SUMPRODUCT(--('Данные 2st'!$Q$2:$Q$317=$A44),--ISNUMBER('Данные 2st'!$NQ$2:$NQ$317))</f>
        <v>0</v>
      </c>
      <c r="RW44">
        <f>SUMPRODUCT(--('Данные 2st'!$Q$2:$Q$317=$A44),--ISNUMBER('Данные 2st'!$NR$2:$NR$317))</f>
        <v>0</v>
      </c>
      <c r="RX44">
        <f>SUMPRODUCT(--('Данные 2st'!$Q$2:$Q$317=$A44),--ISNUMBER('Данные 2st'!$NS$2:$NS$317))</f>
        <v>0</v>
      </c>
      <c r="RY44">
        <f>SUMPRODUCT(--('Данные 2st'!$Q$2:$Q$317=$A44),--ISNUMBER('Данные 2st'!$NT$2:$NT$317))</f>
        <v>0</v>
      </c>
      <c r="RZ44">
        <f>SUMPRODUCT(--('Данные 2st'!$Q$2:$Q$317=$A44),--ISNUMBER('Данные 2st'!$OK$2:$OK$317))</f>
        <v>4</v>
      </c>
      <c r="SA44">
        <f>SUMPRODUCT(--('Данные 2st'!$Q$2:$Q$317=$A44),--ISNUMBER('Данные 2st'!$OL$2:$OL$317))</f>
        <v>4</v>
      </c>
      <c r="SB44">
        <f>SUMPRODUCT(--('Данные 2st'!$Q$2:$Q$317=$A44),--ISNUMBER('Данные 2st'!$ON$2:$ON$317))</f>
        <v>4</v>
      </c>
      <c r="SC44">
        <f>SUMPRODUCT(--('Данные 2st'!$Q$2:$Q$317=$A44),--ISNUMBER('Данные 2st'!$OO$2:$OO$317))</f>
        <v>4</v>
      </c>
      <c r="SD44">
        <f>SUMPRODUCT(--('Данные 2st'!$Q$2:$Q$317=$A44),--ISNUMBER('Данные 2st'!$OP$2:$OP$317))</f>
        <v>4</v>
      </c>
      <c r="SE44">
        <f>SUMPRODUCT(--('Данные 2st'!$Q$2:$Q$317=$A44),--ISNUMBER('Данные 2st'!$OQ$2:$OQ$317))</f>
        <v>4</v>
      </c>
      <c r="SF44">
        <f>SUMPRODUCT(--('Данные 2st'!$Q$2:$Q$317=$A44),--ISNUMBER('Данные 2st'!$OS$2:$OS$317))</f>
        <v>4</v>
      </c>
      <c r="SG44">
        <f>SUMPRODUCT(--('Данные 2st'!$Q$2:$Q$317=$A44),--ISNUMBER('Данные 2st'!$OT$2:$OT$317))</f>
        <v>4</v>
      </c>
      <c r="SH44">
        <f>SUMPRODUCT(--('Данные 2st'!$Q$2:$Q$317=$A44),--ISNUMBER('Данные 2st'!$OU$2:$OU$317))</f>
        <v>4</v>
      </c>
      <c r="SI44">
        <f>SUMPRODUCT(--('Данные 2st'!$Q$2:$Q$317=$A44),--ISNUMBER('Данные 2st'!$OV$2:$OV$317))</f>
        <v>4</v>
      </c>
      <c r="SJ44">
        <f>SUMPRODUCT(--('Данные 2st'!$Q$2:$Q$317=$A44),--ISNUMBER('Данные 2st'!$OX$2:$OX$317))</f>
        <v>4</v>
      </c>
      <c r="SK44">
        <f>SUMPRODUCT(--('Данные 2st'!$Q$2:$Q$317=$A44),--ISNUMBER('Данные 2st'!$OY$2:$OY$317))</f>
        <v>4</v>
      </c>
      <c r="SL44">
        <f>SUMPRODUCT(--('Данные 2st'!$Q$2:$Q$317=$A44),--ISNUMBER('Данные 2st'!$OZ$2:$OZ$317))</f>
        <v>4</v>
      </c>
      <c r="SM44">
        <f>SUMPRODUCT(--('Данные 2st'!$Q$2:$Q$317=$A44),--ISNUMBER('Данные 2st'!$PA$2:$PA$317))</f>
        <v>4</v>
      </c>
      <c r="SN44">
        <f>SUMPRODUCT(--('Данные 2st'!$Q$2:$Q$317=$A44),--ISNUMBER('Данные 2st'!$PC$2:$PC$317))</f>
        <v>4</v>
      </c>
      <c r="SO44">
        <f>SUMPRODUCT(--('Данные 2st'!$Q$2:$Q$317=$A44),--ISNUMBER('Данные 2st'!$PD$2:$PD$317))</f>
        <v>4</v>
      </c>
      <c r="SP44">
        <f>SUMPRODUCT(--('Данные 2st'!$Q$2:$Q$317=$A44),--ISNUMBER('Данные 2st'!$PF$2:$PF$317))</f>
        <v>4</v>
      </c>
      <c r="SQ44">
        <f>SUMPRODUCT(--('Данные 2st'!$Q$2:$Q$317=$A44),--ISNUMBER('Данные 2st'!$PG$2:$PG$317))</f>
        <v>4</v>
      </c>
      <c r="SR44">
        <f>SUMPRODUCT(--('Данные 2st'!$Q$2:$Q$317=$A44),--ISNUMBER('Данные 2st'!$PH$2:$PH$317))</f>
        <v>4</v>
      </c>
      <c r="SS44">
        <f>SUMPRODUCT(--('Данные 2st'!$Q$2:$Q$317=$A44),--ISNUMBER('Данные 2st'!$PI$2:$PI$317))</f>
        <v>4</v>
      </c>
      <c r="ST44">
        <f>SUMPRODUCT(--('Данные 2st'!$Q$2:$Q$317=$A44),--ISNUMBER('Данные 2st'!$PJ$2:$PJ$317))</f>
        <v>4</v>
      </c>
      <c r="SU44">
        <f>SUMPRODUCT(--('Данные 2st'!$Q$2:$Q$317=$A44),--ISNUMBER('Данные 2st'!$PK$2:$PK$317))</f>
        <v>4</v>
      </c>
      <c r="SV44">
        <f>SUMPRODUCT(--('Данные 2st'!$Q$2:$Q$317=$A44),--ISNUMBER('Данные 2st'!$PL$2:$PL$317))</f>
        <v>4</v>
      </c>
      <c r="SW44">
        <f>SUMPRODUCT(--('Данные 2st'!$Q$2:$Q$317=$A44),--ISNUMBER('Данные 2st'!$PM$2:$PM$317))</f>
        <v>4</v>
      </c>
      <c r="SX44">
        <f>SUMPRODUCT(--('Данные 2st'!$Q$2:$Q$317=$A44),--ISNUMBER('Данные 2st'!$PN$2:$PN$317))</f>
        <v>4</v>
      </c>
      <c r="SY44">
        <f>SUMPRODUCT(--('Данные 2st'!$Q$2:$Q$317=$A44),--ISNUMBER('Данные 2st'!$PO$2:$PO$317))</f>
        <v>4</v>
      </c>
      <c r="SZ44">
        <f>SUMPRODUCT(--('Данные 2st'!$Q$2:$Q$317=$A44),--ISNUMBER('Данные 2st'!$PP$2:$PP$317))</f>
        <v>4</v>
      </c>
      <c r="TA44">
        <f>SUMPRODUCT(--('Данные 2st'!$Q$2:$Q$317=$A44),--ISNUMBER('Данные 2st'!$PQ$2:$PQ$317))</f>
        <v>4</v>
      </c>
      <c r="TB44">
        <f>SUMPRODUCT(--('Данные 2st'!$Q$2:$Q$317=$A44),--ISNUMBER('Данные 2st'!$PR$2:$PR$317))</f>
        <v>4</v>
      </c>
      <c r="TC44">
        <f>SUMPRODUCT(--('Данные 2st'!$Q$2:$Q$317=$A44),--ISNUMBER('Данные 2st'!$PS$2:$PS$317))</f>
        <v>4</v>
      </c>
      <c r="TD44">
        <f>SUMPRODUCT(--('Данные 2st'!$Q$2:$Q$317=$A44),--ISNUMBER('Данные 2st'!$PT$2:$PT$317))</f>
        <v>4</v>
      </c>
      <c r="TE44">
        <f>SUMPRODUCT(--('Данные 2st'!$Q$2:$Q$317=$A44),--ISNUMBER('Данные 2st'!$PU$2:$PU$317))</f>
        <v>4</v>
      </c>
      <c r="TF44">
        <f>SUMPRODUCT(--('Данные 2st'!$Q$2:$Q$317=$A44),--ISNUMBER('Данные 2st'!$PX$2:$PX$317))</f>
        <v>4</v>
      </c>
      <c r="TG44">
        <f>SUMPRODUCT(--('Данные 2st'!$Q$2:$Q$317=$A44),--ISNUMBER('Данные 2st'!$PY$2:$PY$317))</f>
        <v>4</v>
      </c>
      <c r="TH44">
        <f>SUMPRODUCT(--('Данные 2st'!$Q$2:$Q$317=$A44),--ISNUMBER('Данные 2st'!$PZ$2:$PZ$317))</f>
        <v>4</v>
      </c>
      <c r="TI44">
        <f>SUMPRODUCT(--('Данные 2st'!$Q$2:$Q$317=$A44),--ISNUMBER('Данные 2st'!$QA$2:$QA$317))</f>
        <v>4</v>
      </c>
      <c r="TJ44">
        <f>SUMPRODUCT(--('Данные 2st'!$Q$2:$Q$317=$A44),--ISNUMBER('Данные 2st'!$QB$2:$QB$317))</f>
        <v>4</v>
      </c>
      <c r="TK44">
        <f>SUMPRODUCT(--('Данные 2st'!$Q$2:$Q$317=$A44),--ISNUMBER('Данные 2st'!$QC$2:$QC$317))</f>
        <v>4</v>
      </c>
      <c r="TL44">
        <f>SUMPRODUCT(--('Данные 2st'!$Q$2:$Q$317=$A44),--ISNUMBER('Данные 2st'!$QD$2:$QD$317))</f>
        <v>4</v>
      </c>
      <c r="TM44">
        <f>SUMPRODUCT(--('Данные 2st'!$Q$2:$Q$317=$A44),--ISNUMBER('Данные 2st'!$QE$2:$QE$317))</f>
        <v>4</v>
      </c>
      <c r="TN44">
        <f>SUMPRODUCT(--('Данные 2st'!$Q$2:$Q$317=$A44),--ISNUMBER('Данные 2st'!$QF$2:$QF$317))</f>
        <v>4</v>
      </c>
      <c r="TO44">
        <f>SUMPRODUCT(--('Данные 2st'!$Q$2:$Q$317=$A44),--ISNUMBER('Данные 2st'!$QG$2:$QG$317))</f>
        <v>4</v>
      </c>
      <c r="TP44">
        <f>SUMPRODUCT(--('Данные 2st'!$Q$2:$Q$317=$A44),--ISNUMBER('Данные 2st'!$QH$2:$QH$317))</f>
        <v>4</v>
      </c>
      <c r="TQ44">
        <f>SUMPRODUCT(--('Данные 2st'!$Q$2:$Q$317=$A44),--ISNUMBER('Данные 2st'!$QI$2:$QI$317))</f>
        <v>4</v>
      </c>
      <c r="TR44">
        <f>SUMPRODUCT(--('Данные 2st'!$Q$2:$Q$317=$A44),--ISNUMBER('Данные 2st'!$QJ$2:$QJ$317))</f>
        <v>4</v>
      </c>
      <c r="TS44">
        <f>SUMPRODUCT(--('Данные 2st'!$Q$2:$Q$317=$A44),--ISNUMBER('Данные 2st'!$QK$2:$QK$317))</f>
        <v>4</v>
      </c>
      <c r="TT44">
        <f>SUMPRODUCT(--('Данные 2st'!$Q$2:$Q$317=$A44),--ISNUMBER('Данные 2st'!$QL$2:$QL$317))</f>
        <v>4</v>
      </c>
      <c r="TU44">
        <f>SUMPRODUCT(--('Данные 2st'!$Q$2:$Q$317=$A44),--ISNUMBER('Данные 2st'!$QM$2:$QM$317))</f>
        <v>4</v>
      </c>
      <c r="TV44">
        <f>SUMPRODUCT(--('Данные 2st'!$Q$2:$Q$317=$A44),--ISNUMBER('Данные 2st'!$QN$2:$QN$317))</f>
        <v>4</v>
      </c>
      <c r="TW44">
        <f>SUMPRODUCT(--('Данные 2st'!$Q$2:$Q$317=$A44),--ISNUMBER('Данные 2st'!$QQ$2:$QQ$317))</f>
        <v>4</v>
      </c>
      <c r="TX44">
        <f>SUMPRODUCT(--('Данные 2st'!$Q$2:$Q$317=$A44),--ISNUMBER('Данные 2st'!$QS$2:$QS$317))</f>
        <v>4</v>
      </c>
      <c r="TY44">
        <f>SUMPRODUCT(--('Данные 2st'!$Q$2:$Q$317=$A44),--ISNUMBER('Данные 2st'!$QT$2:$QT$317))</f>
        <v>4</v>
      </c>
    </row>
    <row r="45" spans="1:545" ht="32" customHeight="1">
      <c r="A45" s="11" t="str">
        <f>'По размерам'!A45</f>
        <v>235/50R18</v>
      </c>
      <c r="G45">
        <f>SUMPRODUCT(--('Данные 1st'!$S$2:$S$317=$A45),--ISNUMBER('Данные 1st'!$AE$2:$AE$317))</f>
        <v>3</v>
      </c>
      <c r="H45">
        <f>SUMPRODUCT(--('Данные 1st'!$S$2:$S$317=$A45),--ISNUMBER('Данные 1st'!$AF$2:$AF$317))</f>
        <v>3</v>
      </c>
      <c r="I45">
        <f>SUMPRODUCT(--('Данные 1st'!$S$2:$S$317=$A45),--ISNUMBER('Данные 1st'!$AJ$2:$AJ$317))</f>
        <v>3</v>
      </c>
      <c r="J45">
        <f>SUMPRODUCT(--('Данные 1st'!$S$2:$S$317=$A45),--ISNUMBER('Данные 1st'!$AL$2:$AL$317))</f>
        <v>3</v>
      </c>
      <c r="K45">
        <f>SUMPRODUCT(--('Данные 1st'!$S$2:$S$317=$A45),--ISNUMBER('Данные 1st'!$AR$2:$AR$317))</f>
        <v>3</v>
      </c>
      <c r="L45">
        <f>SUMPRODUCT(--('Данные 1st'!$S$2:$S$317=$A45),--ISNUMBER('Данные 1st'!$AS$2:$AS$317))</f>
        <v>3</v>
      </c>
      <c r="M45">
        <f>SUMPRODUCT(--('Данные 1st'!$S$2:$S$317=$A45),--ISNUMBER('Данные 1st'!$AY$2:$AY$317))</f>
        <v>3</v>
      </c>
      <c r="N45">
        <f>SUMPRODUCT(--('Данные 1st'!$S$2:$S$317=$A45),--ISNUMBER('Данные 1st'!$AZ$2:$AZ$317))</f>
        <v>3</v>
      </c>
      <c r="O45">
        <f>SUMPRODUCT(--('Данные 1st'!$S$2:$S$317=$A45),--ISNUMBER('Данные 1st'!$BF$2:$BF$317))</f>
        <v>3</v>
      </c>
      <c r="P45">
        <f>SUMPRODUCT(--('Данные 1st'!$S$2:$S$317=$A45),--ISNUMBER('Данные 1st'!$BG$2:$BG$317))</f>
        <v>3</v>
      </c>
      <c r="Q45">
        <f>SUMPRODUCT(--('Данные 1st'!$S$2:$S$317=$A45),--ISNUMBER('Данные 1st'!$BM$2:$BM$317))</f>
        <v>0</v>
      </c>
      <c r="R45">
        <f>SUMPRODUCT(--('Данные 1st'!$S$2:$S$317=$A45),--ISNUMBER('Данные 1st'!$BN$2:$BN$317))</f>
        <v>3</v>
      </c>
      <c r="S45">
        <f>SUMPRODUCT(--('Данные 1st'!$S$2:$S$317=$A45),--ISNUMBER('Данные 1st'!$BT$2:$BT$317))</f>
        <v>3</v>
      </c>
      <c r="T45">
        <f>SUMPRODUCT(--('Данные 1st'!$S$2:$S$317=$A45),--ISNUMBER('Данные 1st'!$BU$2:$BU$317))</f>
        <v>3</v>
      </c>
      <c r="U45">
        <f>SUMPRODUCT(--('Данные 1st'!$S$2:$S$317=$A45),--ISNUMBER('Данные 1st'!$BW$2:$BW$317))</f>
        <v>3</v>
      </c>
      <c r="V45">
        <f>SUMPRODUCT(--('Данные 1st'!$S$2:$S$317=$A45),--ISNUMBER('Данные 1st'!$BX$2:$BX$317))</f>
        <v>3</v>
      </c>
      <c r="W45">
        <f>SUMPRODUCT(--('Данные 1st'!$S$2:$S$317=$A45),--ISNUMBER('Данные 1st'!$BZ$2:$BZ$317))</f>
        <v>3</v>
      </c>
      <c r="X45">
        <f>SUMPRODUCT(--('Данные 1st'!$S$2:$S$317=$A45),--ISNUMBER('Данные 1st'!$CA$2:$CA$317))</f>
        <v>3</v>
      </c>
      <c r="Y45">
        <f>SUMPRODUCT(--('Данные 1st'!$S$2:$S$317=$A45),--ISNUMBER('Данные 1st'!$CD$2:$CD$317))</f>
        <v>3</v>
      </c>
      <c r="Z45">
        <f>SUMPRODUCT(--('Данные 1st'!$S$2:$S$317=$A45),--ISNUMBER('Данные 1st'!$CF$2:$CF$317))</f>
        <v>3</v>
      </c>
      <c r="AA45">
        <f>SUMPRODUCT(--('Данные 1st'!$S$2:$S$317=$A45),--ISNUMBER('Данные 1st'!$CI$2:$CI$317))</f>
        <v>3</v>
      </c>
      <c r="AB45">
        <f>SUMPRODUCT(--('Данные 1st'!$S$2:$S$317=$A45),--ISNUMBER('Данные 1st'!$CJ$2:$CJ$317))</f>
        <v>3</v>
      </c>
      <c r="AC45">
        <f>SUMPRODUCT(--('Данные 1st'!$S$2:$S$317=$A45),--ISNUMBER('Данные 1st'!$CK$2:$CK$317))</f>
        <v>3</v>
      </c>
      <c r="AD45">
        <f>SUMPRODUCT(--('Данные 1st'!$S$2:$S$317=$A45),--ISNUMBER('Данные 1st'!$CL$2:$CL$317))</f>
        <v>3</v>
      </c>
      <c r="AE45">
        <f>SUMPRODUCT(--('Данные 1st'!$S$2:$S$317=$A45),--ISNUMBER('Данные 1st'!$CM$2:$CM$317))</f>
        <v>3</v>
      </c>
      <c r="AF45">
        <f>SUMPRODUCT(--('Данные 1st'!$S$2:$S$317=$A45),--ISNUMBER('Данные 1st'!$CT$2:$CT$317))</f>
        <v>3</v>
      </c>
      <c r="AG45">
        <f>SUMPRODUCT(--('Данные 1st'!$S$2:$S$317=$A45),--ISNUMBER('Данные 1st'!$CU$2:$CU$317))</f>
        <v>3</v>
      </c>
      <c r="AH45">
        <f>SUMPRODUCT(--('Данные 1st'!$S$2:$S$317=$A45),--ISNUMBER('Данные 1st'!$CV$2:$CV$317))</f>
        <v>3</v>
      </c>
      <c r="AI45">
        <f>SUMPRODUCT(--('Данные 1st'!$S$2:$S$317=$A45),--ISNUMBER('Данные 1st'!$CW$2:$CW$317))</f>
        <v>3</v>
      </c>
      <c r="AJ45">
        <f>SUMPRODUCT(--('Данные 1st'!$S$2:$S$317=$A45),--ISNUMBER('Данные 1st'!$CX$2:$CX$317))</f>
        <v>3</v>
      </c>
      <c r="AK45">
        <f>SUMPRODUCT(--('Данные 1st'!$S$2:$S$317=$A45),--ISNUMBER('Данные 1st'!$CZ$2:$CZ$317))</f>
        <v>0</v>
      </c>
      <c r="AL45">
        <f>SUMPRODUCT(--('Данные 1st'!$S$2:$S$317=$A45),--ISNUMBER('Данные 1st'!$DA$2:$DA$317))</f>
        <v>0</v>
      </c>
      <c r="AM45">
        <f>SUMPRODUCT(--('Данные 1st'!$S$2:$S$317=$A45),--ISNUMBER('Данные 1st'!$DB$2:$DB$317))</f>
        <v>0</v>
      </c>
      <c r="AN45">
        <f>SUMPRODUCT(--('Данные 1st'!$S$2:$S$317=$A45),--ISNUMBER('Данные 1st'!$DC$2:$DC$317))</f>
        <v>0</v>
      </c>
      <c r="AO45">
        <f>SUMPRODUCT(--('Данные 1st'!$S$2:$S$317=$A45),--ISNUMBER('Данные 1st'!$DD$2:$DD$317))</f>
        <v>3</v>
      </c>
      <c r="AP45">
        <f>SUMPRODUCT(--('Данные 1st'!$S$2:$S$317=$A45),--ISNUMBER('Данные 1st'!$DF$2:$DF$317))</f>
        <v>3</v>
      </c>
      <c r="AQ45">
        <f>SUMPRODUCT(--('Данные 1st'!$S$2:$S$317=$A45),--ISNUMBER('Данные 1st'!$DG$2:$DG$317))</f>
        <v>3</v>
      </c>
      <c r="AR45">
        <f>SUMPRODUCT(--('Данные 1st'!$S$2:$S$317=$A45),--ISNUMBER('Данные 1st'!$DH$2:$DH$317))</f>
        <v>3</v>
      </c>
      <c r="AS45">
        <f>SUMPRODUCT(--('Данные 1st'!$S$2:$S$317=$A45),--ISNUMBER('Данные 1st'!$DI$2:$DI$317))</f>
        <v>3</v>
      </c>
      <c r="AT45">
        <f>SUMPRODUCT(--('Данные 1st'!$S$2:$S$317=$A45),--ISNUMBER('Данные 1st'!$DJ$2:$DJ$317))</f>
        <v>3</v>
      </c>
      <c r="AU45">
        <f>SUMPRODUCT(--('Данные 1st'!$S$2:$S$317=$A45),--ISNUMBER('Данные 1st'!$DL$2:$DL$317))</f>
        <v>3</v>
      </c>
      <c r="AV45">
        <f>SUMPRODUCT(--('Данные 1st'!$S$2:$S$317=$A45),--ISNUMBER('Данные 1st'!$DM$2:$DM$317))</f>
        <v>3</v>
      </c>
      <c r="AW45">
        <f>SUMPRODUCT(--('Данные 1st'!$S$2:$S$317=$A45),--ISNUMBER('Данные 1st'!$DN$2:$DN$317))</f>
        <v>3</v>
      </c>
      <c r="AX45">
        <f>SUMPRODUCT(--('Данные 1st'!$S$2:$S$317=$A45),--ISNUMBER('Данные 1st'!$DO$2:$DO$317))</f>
        <v>3</v>
      </c>
      <c r="AY45">
        <f>SUMPRODUCT(--('Данные 1st'!$S$2:$S$317=$A45),--ISNUMBER('Данные 1st'!$DP$2:$DP$317))</f>
        <v>3</v>
      </c>
      <c r="AZ45">
        <f>SUMPRODUCT(--('Данные 1st'!$S$2:$S$317=$A45),--ISNUMBER('Данные 1st'!$DR$2:$DR$317))</f>
        <v>0</v>
      </c>
      <c r="BA45">
        <f>SUMPRODUCT(--('Данные 1st'!$S$2:$S$317=$A45),--ISNUMBER('Данные 1st'!$DS$2:$DS$317))</f>
        <v>0</v>
      </c>
      <c r="BB45">
        <f>SUMPRODUCT(--('Данные 1st'!$S$2:$S$317=$A45),--ISNUMBER('Данные 1st'!$DT$2:$DT$317))</f>
        <v>0</v>
      </c>
      <c r="BC45">
        <f>SUMPRODUCT(--('Данные 1st'!$S$2:$S$317=$A45),--ISNUMBER('Данные 1st'!$DU$2:$DU$317))</f>
        <v>0</v>
      </c>
      <c r="BD45">
        <f>SUMPRODUCT(--('Данные 1st'!$S$2:$S$317=$A45),--ISNUMBER('Данные 1st'!$DV$2:$DV$317))</f>
        <v>0</v>
      </c>
      <c r="BE45">
        <f>SUMPRODUCT(--('Данные 1st'!$S$2:$S$317=$A45),--ISNUMBER('Данные 1st'!$DX$2:$DX$317))</f>
        <v>3</v>
      </c>
      <c r="BF45">
        <f>SUMPRODUCT(--('Данные 1st'!$S$2:$S$317=$A45),--ISNUMBER('Данные 1st'!$EA$2:$EA$317))</f>
        <v>3</v>
      </c>
      <c r="BG45">
        <f>SUMPRODUCT(--('Данные 1st'!$S$2:$S$317=$A45),--ISNUMBER('Данные 1st'!$EB$2:$EB$317))</f>
        <v>3</v>
      </c>
      <c r="BH45">
        <f>SUMPRODUCT(--('Данные 1st'!$S$2:$S$317=$A45),--ISNUMBER('Данные 1st'!$ED$2:$ED$317))</f>
        <v>3</v>
      </c>
      <c r="BI45">
        <f>SUMPRODUCT(--('Данные 1st'!$S$2:$S$317=$A45),--ISNUMBER('Данные 1st'!$EE$2:$EE$317))</f>
        <v>3</v>
      </c>
      <c r="BJ45">
        <f>SUMPRODUCT(--('Данные 1st'!$S$2:$S$317=$A45),--ISNUMBER('Данные 1st'!$EG$2:$EG$317))</f>
        <v>3</v>
      </c>
      <c r="BK45">
        <f>SUMPRODUCT(--('Данные 1st'!$S$2:$S$317=$A45),--ISNUMBER('Данные 1st'!$EH$2:$EH$317))</f>
        <v>3</v>
      </c>
      <c r="BL45">
        <f>SUMPRODUCT(--('Данные 1st'!$S$2:$S$317=$A45),--ISNUMBER('Данные 1st'!$EJ$2:$EJ$317))</f>
        <v>3</v>
      </c>
      <c r="BM45">
        <f>SUMPRODUCT(--('Данные 1st'!$S$2:$S$317=$A45),--ISNUMBER('Данные 1st'!$EK$2:$EK$317))</f>
        <v>3</v>
      </c>
      <c r="BN45">
        <f>SUMPRODUCT(--('Данные 1st'!$S$2:$S$317=$A45),--ISNUMBER('Данные 1st'!$EN$2:$EN$317))</f>
        <v>3</v>
      </c>
      <c r="BO45">
        <f>SUMPRODUCT(--('Данные 1st'!$S$2:$S$317=$A45),--ISNUMBER('Данные 1st'!$EQ$2:$EQ$317))</f>
        <v>3</v>
      </c>
      <c r="BP45">
        <f>SUMPRODUCT(--('Данные 1st'!$S$2:$S$317=$A45),--ISNUMBER('Данные 1st'!$ER$2:$ER$317))</f>
        <v>3</v>
      </c>
      <c r="BQ45">
        <f>SUMPRODUCT(--('Данные 1st'!$S$2:$S$317=$A45),--ISNUMBER('Данные 1st'!$ES$2:$ES$317))</f>
        <v>3</v>
      </c>
      <c r="BR45">
        <f>SUMPRODUCT(--('Данные 1st'!$S$2:$S$317=$A45),--ISNUMBER('Данные 1st'!$ET$2:$ET$317))</f>
        <v>3</v>
      </c>
      <c r="BS45">
        <f>SUMPRODUCT(--('Данные 1st'!$S$2:$S$317=$A45),--ISNUMBER('Данные 1st'!$EU$2:$EU$317))</f>
        <v>3</v>
      </c>
      <c r="BT45">
        <f>SUMPRODUCT(--('Данные 1st'!$S$2:$S$317=$A45),--ISNUMBER('Данные 1st'!$EV$2:$EV$317))</f>
        <v>3</v>
      </c>
      <c r="BU45">
        <f>SUMPRODUCT(--('Данные 1st'!$S$2:$S$317=$A45),--ISNUMBER('Данные 1st'!$EX$2:$EX$317))</f>
        <v>3</v>
      </c>
      <c r="BV45">
        <f>SUMPRODUCT(--('Данные 1st'!$S$2:$S$317=$A45),--ISNUMBER('Данные 1st'!$EY$2:$EY$317))</f>
        <v>3</v>
      </c>
      <c r="BW45">
        <f>SUMPRODUCT(--('Данные 1st'!$S$2:$S$317=$A45),--ISNUMBER('Данные 1st'!$EZ$2:$EZ$317))</f>
        <v>3</v>
      </c>
      <c r="BX45">
        <f>SUMPRODUCT(--('Данные 1st'!$S$2:$S$317=$A45),--ISNUMBER('Данные 1st'!$FA$2:$FA$317))</f>
        <v>3</v>
      </c>
      <c r="BY45">
        <f>SUMPRODUCT(--('Данные 1st'!$S$2:$S$317=$A45),--ISNUMBER('Данные 1st'!$FB$2:$FB$317))</f>
        <v>3</v>
      </c>
      <c r="BZ45">
        <f>SUMPRODUCT(--('Данные 1st'!$S$2:$S$317=$A45),--ISNUMBER('Данные 1st'!$FC$2:$FC$317))</f>
        <v>3</v>
      </c>
      <c r="CA45">
        <f>SUMPRODUCT(--('Данные 1st'!$S$2:$S$317=$A45),--ISNUMBER('Данные 1st'!$FE$2:$FE$317))</f>
        <v>3</v>
      </c>
      <c r="CB45">
        <f>SUMPRODUCT(--('Данные 1st'!$S$2:$S$317=$A45),--ISNUMBER('Данные 1st'!$FF$2:$FF$317))</f>
        <v>3</v>
      </c>
      <c r="CC45">
        <f>SUMPRODUCT(--('Данные 1st'!$S$2:$S$317=$A45),--ISNUMBER('Данные 1st'!$FI$2:$FI$317))</f>
        <v>3</v>
      </c>
      <c r="CD45">
        <f>SUMPRODUCT(--('Данные 1st'!$S$2:$S$317=$A45),--ISNUMBER('Данные 1st'!$FL$2:$FL$317))</f>
        <v>3</v>
      </c>
      <c r="CE45">
        <f>SUMPRODUCT(--('Данные 1st'!$S$2:$S$317=$A45),--ISNUMBER('Данные 1st'!$FM$2:$FM$317))</f>
        <v>3</v>
      </c>
      <c r="CF45">
        <f>SUMPRODUCT(--('Данные 1st'!$S$2:$S$317=$A45),--ISNUMBER('Данные 1st'!$FN$2:$FN$317))</f>
        <v>3</v>
      </c>
      <c r="CG45">
        <f>SUMPRODUCT(--('Данные 1st'!$S$2:$S$317=$A45),--ISNUMBER('Данные 1st'!$FO$2:$FO$317))</f>
        <v>0</v>
      </c>
      <c r="CH45">
        <f>SUMPRODUCT(--('Данные 1st'!$S$2:$S$317=$A45),--ISNUMBER('Данные 1st'!$FP$2:$FP$317))</f>
        <v>0</v>
      </c>
      <c r="CI45">
        <f>SUMPRODUCT(--('Данные 1st'!$S$2:$S$317=$A45),--ISNUMBER('Данные 1st'!$FS$2:$FS$317))</f>
        <v>0</v>
      </c>
      <c r="CJ45">
        <f>SUMPRODUCT(--('Данные 1st'!$S$2:$S$317=$A45),--ISNUMBER('Данные 1st'!$FT$2:$FT$317))</f>
        <v>0</v>
      </c>
      <c r="CK45">
        <f>SUMPRODUCT(--('Данные 1st'!$S$2:$S$317=$A45),--ISNUMBER('Данные 1st'!$FU$2:$FU$317))</f>
        <v>0</v>
      </c>
      <c r="CL45">
        <f>SUMPRODUCT(--('Данные 1st'!$S$2:$S$317=$A45),--ISNUMBER('Данные 1st'!$FV$2:$FV$317))</f>
        <v>0</v>
      </c>
      <c r="CM45">
        <f>SUMPRODUCT(--('Данные 1st'!$S$2:$S$317=$A45),--ISNUMBER('Данные 1st'!$FW$2:$FW$317))</f>
        <v>0</v>
      </c>
      <c r="CN45">
        <f>SUMPRODUCT(--('Данные 1st'!$S$2:$S$317=$A45),--ISNUMBER('Данные 1st'!$FZ$2:$FZ$317))</f>
        <v>0</v>
      </c>
      <c r="CO45">
        <f>SUMPRODUCT(--('Данные 1st'!$S$2:$S$317=$A45),--ISNUMBER('Данные 1st'!$GA$2:$GA$317))</f>
        <v>0</v>
      </c>
      <c r="CP45">
        <f>SUMPRODUCT(--('Данные 1st'!$S$2:$S$317=$A45),--ISNUMBER('Данные 1st'!$GB$2:$GB$317))</f>
        <v>0</v>
      </c>
      <c r="CQ45">
        <f>SUMPRODUCT(--('Данные 1st'!$S$2:$S$317=$A45),--ISNUMBER('Данные 1st'!$GH$2:$GH$317))</f>
        <v>0</v>
      </c>
      <c r="CR45">
        <f>SUMPRODUCT(--('Данные 1st'!$S$2:$S$317=$A45),--ISNUMBER('Данные 1st'!$GI$2:$GI$317))</f>
        <v>0</v>
      </c>
      <c r="CS45">
        <f>SUMPRODUCT(--('Данные 1st'!$S$2:$S$317=$A45),--ISNUMBER('Данные 1st'!$GJ$2:$GJ$317))</f>
        <v>0</v>
      </c>
      <c r="CT45">
        <f>SUMPRODUCT(--('Данные 1st'!$S$2:$S$317=$A45),--ISNUMBER('Данные 1st'!$GS$2:$GS$317))</f>
        <v>3</v>
      </c>
      <c r="CU45">
        <f>SUMPRODUCT(--('Данные 1st'!$S$2:$S$317=$A45),--ISNUMBER('Данные 1st'!$GT$2:$GT$317))</f>
        <v>3</v>
      </c>
      <c r="CV45">
        <f>SUMPRODUCT(--('Данные 1st'!$S$2:$S$317=$A45),--ISNUMBER('Данные 1st'!$GU$2:$GU$317))</f>
        <v>3</v>
      </c>
      <c r="CW45">
        <f>SUMPRODUCT(--('Данные 1st'!$S$2:$S$317=$A45),--ISNUMBER('Данные 1st'!$GV$2:$GV$317))</f>
        <v>1</v>
      </c>
      <c r="CX45">
        <f>SUMPRODUCT(--('Данные 1st'!$S$2:$S$317=$A45),--ISNUMBER('Данные 1st'!$GW$2:$GW$317))</f>
        <v>1</v>
      </c>
      <c r="CY45">
        <f>SUMPRODUCT(--('Данные 1st'!$S$2:$S$317=$A45),--ISNUMBER('Данные 1st'!$GZ$2:$GZ$317))</f>
        <v>1</v>
      </c>
      <c r="CZ45">
        <f>SUMPRODUCT(--('Данные 1st'!$S$2:$S$317=$A45),--ISNUMBER('Данные 1st'!$HA$2:$HA$317))</f>
        <v>1</v>
      </c>
      <c r="DA45">
        <f>SUMPRODUCT(--('Данные 1st'!$S$2:$S$317=$A45),--ISNUMBER('Данные 1st'!$HB$2:$HB$317))</f>
        <v>1</v>
      </c>
      <c r="DB45">
        <f>SUMPRODUCT(--('Данные 1st'!$S$2:$S$317=$A45),--ISNUMBER('Данные 1st'!$HC$2:$HC$317))</f>
        <v>3</v>
      </c>
      <c r="DC45">
        <f>SUMPRODUCT(--('Данные 1st'!$S$2:$S$317=$A45),--ISNUMBER('Данные 1st'!$HD$2:$HD$317))</f>
        <v>3</v>
      </c>
      <c r="DD45">
        <f>SUMPRODUCT(--('Данные 1st'!$S$2:$S$317=$A45),--ISNUMBER('Данные 1st'!$HE$2:$HE$317))</f>
        <v>3</v>
      </c>
      <c r="DE45">
        <f>SUMPRODUCT(--('Данные 1st'!$S$2:$S$317=$A45),--ISNUMBER('Данные 1st'!$HF$2:$HF$317))</f>
        <v>3</v>
      </c>
      <c r="DF45">
        <f>SUMPRODUCT(--('Данные 1st'!$S$2:$S$317=$A45),--ISNUMBER('Данные 1st'!$HG$2:$HG$317))</f>
        <v>3</v>
      </c>
      <c r="DG45">
        <f>SUMPRODUCT(--('Данные 1st'!$S$2:$S$317=$A45),--ISNUMBER('Данные 1st'!$HH$2:$HH$317))</f>
        <v>3</v>
      </c>
      <c r="DH45">
        <f>SUMPRODUCT(--('Данные 1st'!$S$2:$S$317=$A45),--ISNUMBER('Данные 1st'!$HI$2:$HI$317))</f>
        <v>3</v>
      </c>
      <c r="DI45">
        <f>SUMPRODUCT(--('Данные 1st'!$S$2:$S$317=$A45),--ISNUMBER('Данные 1st'!$HJ$2:$HJ$317))</f>
        <v>3</v>
      </c>
      <c r="DJ45">
        <f>SUMPRODUCT(--('Данные 1st'!$S$2:$S$317=$A45),--ISNUMBER('Данные 1st'!$HK$2:$HK$317))</f>
        <v>3</v>
      </c>
      <c r="DK45">
        <f>SUMPRODUCT(--('Данные 1st'!$S$2:$S$317=$A45),--ISNUMBER('Данные 1st'!$HL$2:$HL$317))</f>
        <v>3</v>
      </c>
      <c r="DL45">
        <f>SUMPRODUCT(--('Данные 1st'!$S$2:$S$317=$A45),--ISNUMBER('Данные 1st'!$HM$2:$HM$317))</f>
        <v>3</v>
      </c>
      <c r="DM45">
        <f>SUMPRODUCT(--('Данные 1st'!$S$2:$S$317=$A45),--ISNUMBER('Данные 1st'!$HN$2:$HN$317))</f>
        <v>3</v>
      </c>
      <c r="DN45">
        <f>SUMPRODUCT(--('Данные 1st'!$S$2:$S$317=$A45),--ISNUMBER('Данные 1st'!$HO$2:$HO$317))</f>
        <v>3</v>
      </c>
      <c r="DO45">
        <f>SUMPRODUCT(--('Данные 1st'!$S$2:$S$317=$A45),--ISNUMBER('Данные 1st'!$HP$2:$HP$317))</f>
        <v>3</v>
      </c>
      <c r="DP45">
        <f>SUMPRODUCT(--('Данные 1st'!$S$2:$S$317=$A45),--ISNUMBER('Данные 1st'!$HQ$2:$HQ$317))</f>
        <v>3</v>
      </c>
      <c r="DQ45">
        <f>SUMPRODUCT(--('Данные 1st'!$S$2:$S$317=$A45),--ISNUMBER('Данные 1st'!$HR$2:$HR$317))</f>
        <v>3</v>
      </c>
      <c r="DR45">
        <f>SUMPRODUCT(--('Данные 1st'!$S$2:$S$317=$A45),--ISNUMBER('Данные 1st'!$HS$2:$HS$317))</f>
        <v>3</v>
      </c>
      <c r="DS45">
        <f>SUMPRODUCT(--('Данные 1st'!$S$2:$S$317=$A45),--ISNUMBER('Данные 1st'!$HT$2:$HT$317))</f>
        <v>3</v>
      </c>
      <c r="DT45">
        <f>SUMPRODUCT(--('Данные 1st'!$S$2:$S$317=$A45),--ISNUMBER('Данные 1st'!$HU$2:$HU$317))</f>
        <v>3</v>
      </c>
      <c r="DU45">
        <f>SUMPRODUCT(--('Данные 1st'!$S$2:$S$317=$A45),--ISNUMBER('Данные 1st'!$HW$2:$HW$317))</f>
        <v>3</v>
      </c>
      <c r="DV45">
        <f>SUMPRODUCT(--('Данные 1st'!$S$2:$S$317=$A45),--ISNUMBER('Данные 1st'!$HX$2:$HX$317))</f>
        <v>3</v>
      </c>
      <c r="DW45">
        <f>SUMPRODUCT(--('Данные 1st'!$S$2:$S$317=$A45),--ISNUMBER('Данные 1st'!$HY$2:$HY$317))</f>
        <v>3</v>
      </c>
      <c r="DX45">
        <f>SUMPRODUCT(--('Данные 1st'!$S$2:$S$317=$A45),--ISNUMBER('Данные 1st'!$IA$2:$IA$317))</f>
        <v>3</v>
      </c>
      <c r="DY45">
        <f>SUMPRODUCT(--('Данные 1st'!$S$2:$S$317=$A45),--ISNUMBER('Данные 1st'!$IB$2:$IB$317))</f>
        <v>3</v>
      </c>
      <c r="DZ45">
        <f>SUMPRODUCT(--('Данные 1st'!$S$2:$S$317=$A45),--ISNUMBER('Данные 1st'!$IC$2:$IC$317))</f>
        <v>3</v>
      </c>
      <c r="EA45">
        <f>SUMPRODUCT(--('Данные 1st'!$S$2:$S$317=$A45),--ISNUMBER('Данные 1st'!$ID$2:$ID$317))</f>
        <v>3</v>
      </c>
      <c r="EB45">
        <f>SUMPRODUCT(--('Данные 1st'!$S$2:$S$317=$A45),--ISNUMBER('Данные 1st'!$IE$2:$IE$317))</f>
        <v>3</v>
      </c>
      <c r="EC45">
        <f>SUMPRODUCT(--('Данные 1st'!$S$2:$S$317=$A45),--ISNUMBER('Данные 1st'!$IF$2:$IF$317))</f>
        <v>3</v>
      </c>
      <c r="ED45">
        <f>SUMPRODUCT(--('Данные 1st'!$S$2:$S$317=$A45),--ISNUMBER('Данные 1st'!$IP$2:$IP$317))</f>
        <v>3</v>
      </c>
      <c r="EE45">
        <f>SUMPRODUCT(--('Данные 1st'!$S$2:$S$317=$A45),--ISNUMBER('Данные 1st'!$IV$2:$IV$317))</f>
        <v>3</v>
      </c>
      <c r="EF45">
        <f>SUMPRODUCT(--('Данные 1st'!$S$2:$S$317=$A45),--ISNUMBER('Данные 1st'!$IW$2:$IW$317))</f>
        <v>3</v>
      </c>
      <c r="EG45">
        <f>SUMPRODUCT(--('Данные 1st'!$S$2:$S$317=$A45),--ISNUMBER('Данные 1st'!$IX$2:$IX$317))</f>
        <v>0</v>
      </c>
      <c r="EH45">
        <f>SUMPRODUCT(--('Данные 1st'!$S$2:$S$317=$A45),--ISNUMBER('Данные 1st'!$IY$2:$IY$317))</f>
        <v>0</v>
      </c>
      <c r="EI45">
        <f>SUMPRODUCT(--('Данные 1st'!$S$2:$S$317=$A45),--ISNUMBER('Данные 1st'!$JD$2:$JD$317))</f>
        <v>3</v>
      </c>
      <c r="EJ45">
        <f>SUMPRODUCT(--('Данные 1st'!$S$2:$S$317=$A45),--ISNUMBER('Данные 1st'!$JE$2:$JE$317))</f>
        <v>3</v>
      </c>
      <c r="EK45">
        <f>SUMPRODUCT(--('Данные 1st'!$S$2:$S$317=$A45),--ISNUMBER('Данные 1st'!$JF$2:$JF$317))</f>
        <v>3</v>
      </c>
      <c r="EL45">
        <f>SUMPRODUCT(--('Данные 1st'!$S$2:$S$317=$A45),--ISNUMBER('Данные 1st'!$JG$2:$JG$317))</f>
        <v>3</v>
      </c>
      <c r="EM45">
        <f>SUMPRODUCT(--('Данные 1st'!$S$2:$S$317=$A45),--ISNUMBER('Данные 1st'!$JH$2:$JH$317))</f>
        <v>3</v>
      </c>
      <c r="EN45">
        <f>SUMPRODUCT(--('Данные 1st'!$S$2:$S$317=$A45),--ISNUMBER('Данные 1st'!$JJ$2:$JJ$317))</f>
        <v>3</v>
      </c>
      <c r="EO45">
        <f>SUMPRODUCT(--('Данные 1st'!$S$2:$S$317=$A45),--ISNUMBER('Данные 1st'!$JK$2:$JK$317))</f>
        <v>3</v>
      </c>
      <c r="EP45">
        <f>SUMPRODUCT(--('Данные 1st'!$S$2:$S$317=$A45),--ISNUMBER('Данные 1st'!$JL$2:$JL$317))</f>
        <v>0</v>
      </c>
      <c r="EQ45">
        <f>SUMPRODUCT(--('Данные 1st'!$S$2:$S$317=$A45),--ISNUMBER('Данные 1st'!$JM$2:$JM$317))</f>
        <v>0</v>
      </c>
      <c r="ER45">
        <f>SUMPRODUCT(--('Данные 1st'!$S$2:$S$317=$A45),--ISNUMBER('Данные 1st'!$JN$2:$JN$317))</f>
        <v>3</v>
      </c>
      <c r="ES45">
        <f>SUMPRODUCT(--('Данные 1st'!$S$2:$S$317=$A45),--ISNUMBER('Данные 1st'!$JO$2:$JO$317))</f>
        <v>3</v>
      </c>
      <c r="ET45">
        <f>SUMPRODUCT(--('Данные 1st'!$S$2:$S$317=$A45),--ISNUMBER('Данные 1st'!$JP$2:$JP$317))</f>
        <v>3</v>
      </c>
      <c r="EU45">
        <f>SUMPRODUCT(--('Данные 1st'!$S$2:$S$317=$A45),--ISNUMBER('Данные 1st'!$JQ$2:$JQ$317))</f>
        <v>3</v>
      </c>
      <c r="EV45">
        <f>SUMPRODUCT(--('Данные 1st'!$S$2:$S$317=$A45),--ISNUMBER('Данные 1st'!$JR$2:$JR$317))</f>
        <v>3</v>
      </c>
      <c r="EW45">
        <f>SUMPRODUCT(--('Данные 1st'!$S$2:$S$317=$A45),--ISNUMBER('Данные 1st'!$JS$2:$JS$317))</f>
        <v>3</v>
      </c>
      <c r="EX45">
        <f>SUMPRODUCT(--('Данные 1st'!$S$2:$S$317=$A45),--ISNUMBER('Данные 1st'!$JT$2:$JT$317))</f>
        <v>0</v>
      </c>
      <c r="EY45">
        <f>SUMPRODUCT(--('Данные 1st'!$S$2:$S$317=$A45),--ISNUMBER('Данные 1st'!$JU$2:$JU$317))</f>
        <v>0</v>
      </c>
      <c r="EZ45">
        <f>SUMPRODUCT(--('Данные 1st'!$S$2:$S$317=$A45),--ISNUMBER('Данные 1st'!$JV$2:$JV$317))</f>
        <v>3</v>
      </c>
      <c r="FA45">
        <f>SUMPRODUCT(--('Данные 1st'!$S$2:$S$317=$A45),--ISNUMBER('Данные 1st'!$JW$2:$JW$317))</f>
        <v>0</v>
      </c>
      <c r="FB45">
        <f>SUMPRODUCT(--('Данные 1st'!$S$2:$S$317=$A45),--ISNUMBER('Данные 1st'!$JX$2:$JX$317))</f>
        <v>3</v>
      </c>
      <c r="FC45">
        <f>SUMPRODUCT(--('Данные 1st'!$S$2:$S$317=$A45),--ISNUMBER('Данные 1st'!$JY$2:$JY$317))</f>
        <v>0</v>
      </c>
      <c r="FD45">
        <f>SUMPRODUCT(--('Данные 1st'!$S$2:$S$317=$A45),--ISNUMBER('Данные 1st'!$JZ$2:$JZ$317))</f>
        <v>0</v>
      </c>
      <c r="FE45">
        <f>SUMPRODUCT(--('Данные 1st'!$S$2:$S$317=$A45),--ISNUMBER('Данные 1st'!$KA$2:$KA$317))</f>
        <v>3</v>
      </c>
      <c r="FF45">
        <f>SUMPRODUCT(--('Данные 1st'!$S$2:$S$317=$A45),--ISNUMBER('Данные 1st'!$KB$2:$KB$317))</f>
        <v>3</v>
      </c>
      <c r="FG45">
        <f>SUMPRODUCT(--('Данные 1st'!$S$2:$S$317=$A45),--ISNUMBER('Данные 1st'!$KC$2:$KC$317))</f>
        <v>3</v>
      </c>
      <c r="FH45">
        <f>SUMPRODUCT(--('Данные 1st'!$S$2:$S$317=$A45),--ISNUMBER('Данные 1st'!$KD$2:$KD$317))</f>
        <v>3</v>
      </c>
      <c r="FI45">
        <f>SUMPRODUCT(--('Данные 1st'!$S$2:$S$317=$A45),--ISNUMBER('Данные 1st'!$KE$2:$KE$317))</f>
        <v>0</v>
      </c>
      <c r="FJ45">
        <f>SUMPRODUCT(--('Данные 1st'!$S$2:$S$317=$A45),--ISNUMBER('Данные 1st'!$KF$2:$KF$317))</f>
        <v>3</v>
      </c>
      <c r="FK45">
        <f>SUMPRODUCT(--('Данные 1st'!$S$2:$S$317=$A45),--ISNUMBER('Данные 1st'!$KG$2:$KG$317))</f>
        <v>3</v>
      </c>
      <c r="FL45">
        <f>SUMPRODUCT(--('Данные 1st'!$S$2:$S$317=$A45),--ISNUMBER('Данные 1st'!$KH$2:$KH$317))</f>
        <v>3</v>
      </c>
      <c r="FM45">
        <f>SUMPRODUCT(--('Данные 1st'!$S$2:$S$317=$A45),--ISNUMBER('Данные 1st'!$KI$2:$KI$317))</f>
        <v>3</v>
      </c>
      <c r="FN45">
        <f>SUMPRODUCT(--('Данные 1st'!$S$2:$S$317=$A45),--ISNUMBER('Данные 1st'!$KJ$2:$KJ$317))</f>
        <v>3</v>
      </c>
      <c r="FO45">
        <f>SUMPRODUCT(--('Данные 1st'!$S$2:$S$317=$A45),--ISNUMBER('Данные 1st'!$KK$2:$KK$317))</f>
        <v>3</v>
      </c>
      <c r="FP45">
        <f>SUMPRODUCT(--('Данные 1st'!$S$2:$S$317=$A45),--ISNUMBER('Данные 1st'!$KL$2:$KL$317))</f>
        <v>3</v>
      </c>
      <c r="FQ45">
        <f>SUMPRODUCT(--('Данные 1st'!$S$2:$S$317=$A45),--ISNUMBER('Данные 1st'!$KM$2:$KM$317))</f>
        <v>3</v>
      </c>
      <c r="FR45">
        <f>SUMPRODUCT(--('Данные 1st'!$S$2:$S$317=$A45),--ISNUMBER('Данные 1st'!$KN$2:$KN$317))</f>
        <v>3</v>
      </c>
      <c r="FS45">
        <f>SUMPRODUCT(--('Данные 1st'!$S$2:$S$317=$A45),--ISNUMBER('Данные 1st'!$KR$2:$KR$317))</f>
        <v>3</v>
      </c>
      <c r="FT45">
        <f>SUMPRODUCT(--('Данные 1st'!$S$2:$S$317=$A45),--ISNUMBER('Данные 1st'!$KS$2:$KS$317))</f>
        <v>3</v>
      </c>
      <c r="FU45">
        <f>SUMPRODUCT(--('Данные 1st'!$S$2:$S$317=$A45),--ISNUMBER('Данные 1st'!$KT$2:$KT$317))</f>
        <v>3</v>
      </c>
      <c r="FV45">
        <f>SUMPRODUCT(--('Данные 1st'!$S$2:$S$317=$A45),--ISNUMBER('Данные 1st'!$KV$2:$KV$317))</f>
        <v>0</v>
      </c>
      <c r="FW45">
        <f>SUMPRODUCT(--('Данные 1st'!$S$2:$S$317=$A45),--ISNUMBER('Данные 1st'!$KW$2:$KW$317))</f>
        <v>0</v>
      </c>
      <c r="FX45">
        <f>SUMPRODUCT(--('Данные 1st'!$S$2:$S$317=$A45),--ISNUMBER('Данные 1st'!$KX$2:$KX$317))</f>
        <v>0</v>
      </c>
      <c r="FY45">
        <f>SUMPRODUCT(--('Данные 1st'!$S$2:$S$317=$A45),--ISNUMBER('Данные 1st'!$KY$2:$KY$317))</f>
        <v>0</v>
      </c>
      <c r="FZ45">
        <f>SUMPRODUCT(--('Данные 1st'!$S$2:$S$317=$A45),--ISNUMBER('Данные 1st'!$KZ$2:$KZ$317))</f>
        <v>0</v>
      </c>
      <c r="GA45">
        <f>SUMPRODUCT(--('Данные 1st'!$S$2:$S$317=$A45),--ISNUMBER('Данные 1st'!$LA$2:$LA$317))</f>
        <v>0</v>
      </c>
      <c r="GB45">
        <f>SUMPRODUCT(--('Данные 1st'!$S$2:$S$317=$A45),--ISNUMBER('Данные 1st'!$LB$2:$LB$317))</f>
        <v>0</v>
      </c>
      <c r="GC45">
        <f>SUMPRODUCT(--('Данные 1st'!$S$2:$S$317=$A45),--ISNUMBER('Данные 1st'!$LC$2:$LC$317))</f>
        <v>0</v>
      </c>
      <c r="GD45">
        <f>SUMPRODUCT(--('Данные 1st'!$S$2:$S$317=$A45),--ISNUMBER('Данные 1st'!$LD$2:$LD$317))</f>
        <v>0</v>
      </c>
      <c r="GE45">
        <f>SUMPRODUCT(--('Данные 1st'!$S$2:$S$317=$A45),--ISNUMBER('Данные 1st'!$LE$2:$LE$317))</f>
        <v>0</v>
      </c>
      <c r="GF45">
        <f>SUMPRODUCT(--('Данные 1st'!$S$2:$S$317=$A45),--ISNUMBER('Данные 1st'!$LF$2:$LF$317))</f>
        <v>0</v>
      </c>
      <c r="GG45">
        <f>SUMPRODUCT(--('Данные 1st'!$S$2:$S$317=$A45),--ISNUMBER('Данные 1st'!$LG$2:$LG$317))</f>
        <v>0</v>
      </c>
      <c r="GH45">
        <f>SUMPRODUCT(--('Данные 1st'!$S$2:$S$317=$A45),--ISNUMBER('Данные 1st'!$LH$2:$LH$317))</f>
        <v>0</v>
      </c>
      <c r="GI45">
        <f>SUMPRODUCT(--('Данные 1st'!$S$2:$S$317=$A45),--ISNUMBER('Данные 1st'!$LI$2:$LI$317))</f>
        <v>0</v>
      </c>
      <c r="GJ45">
        <f>SUMPRODUCT(--('Данные 1st'!$S$2:$S$317=$A45),--ISNUMBER('Данные 1st'!$LJ$2:$LJ$317))</f>
        <v>0</v>
      </c>
      <c r="GK45">
        <f>SUMPRODUCT(--('Данные 1st'!$S$2:$S$317=$A45),--ISNUMBER('Данные 1st'!$LK$2:$LK$317))</f>
        <v>3</v>
      </c>
      <c r="GL45">
        <f>SUMPRODUCT(--('Данные 1st'!$S$2:$S$317=$A45),--ISNUMBER('Данные 1st'!$LV$2:$LV$317))</f>
        <v>0</v>
      </c>
      <c r="GM45">
        <f>SUMPRODUCT(--('Данные 1st'!$S$2:$S$317=$A45),--ISNUMBER('Данные 1st'!$LW$2:$LW$317))</f>
        <v>0</v>
      </c>
      <c r="GN45">
        <f>SUMPRODUCT(--('Данные 1st'!$S$2:$S$317=$A45),--ISNUMBER('Данные 1st'!$LX$2:$LX$317))</f>
        <v>0</v>
      </c>
      <c r="GO45">
        <f>SUMPRODUCT(--('Данные 1st'!$S$2:$S$317=$A45),--ISNUMBER('Данные 1st'!$LY$2:$LY$317))</f>
        <v>0</v>
      </c>
      <c r="GP45">
        <f>SUMPRODUCT(--('Данные 1st'!$S$2:$S$317=$A45),--ISNUMBER('Данные 1st'!$LZ$2:$LZ$317))</f>
        <v>0</v>
      </c>
      <c r="GQ45">
        <f>SUMPRODUCT(--('Данные 1st'!$S$2:$S$317=$A45),--ISNUMBER('Данные 1st'!$PG$2:$PG$317))</f>
        <v>3</v>
      </c>
      <c r="GR45">
        <f>SUMPRODUCT(--('Данные 1st'!$S$2:$S$317=$A45),--ISNUMBER('Данные 1st'!$PX$2:$PX$317))</f>
        <v>3</v>
      </c>
      <c r="GS45">
        <f>SUMPRODUCT(--('Данные 1st'!$S$2:$S$317=$A45),--ISNUMBER('Данные 1st'!$PY$2:$PY$317))</f>
        <v>3</v>
      </c>
      <c r="GT45">
        <f>SUMPRODUCT(--('Данные 1st'!$S$2:$S$317=$A45),--ISNUMBER('Данные 1st'!$QA$2:$QA$317))</f>
        <v>3</v>
      </c>
      <c r="GU45">
        <f>SUMPRODUCT(--('Данные 1st'!$S$2:$S$317=$A45),--ISNUMBER('Данные 1st'!$QB$2:$QB$317))</f>
        <v>3</v>
      </c>
      <c r="GV45">
        <f>SUMPRODUCT(--('Данные 1st'!$S$2:$S$317=$A45),--ISNUMBER('Данные 1st'!$QC$2:$QC$317))</f>
        <v>3</v>
      </c>
      <c r="GW45">
        <f>SUMPRODUCT(--('Данные 1st'!$S$2:$S$317=$A45),--ISNUMBER('Данные 1st'!$QD$2:$QD$317))</f>
        <v>3</v>
      </c>
      <c r="GX45">
        <f>SUMPRODUCT(--('Данные 1st'!$S$2:$S$317=$A45),--ISNUMBER('Данные 1st'!$QF$2:$QF$317))</f>
        <v>3</v>
      </c>
      <c r="GY45">
        <f>SUMPRODUCT(--('Данные 1st'!$S$2:$S$317=$A45),--ISNUMBER('Данные 1st'!$QG$2:$QG$317))</f>
        <v>3</v>
      </c>
      <c r="GZ45">
        <f>SUMPRODUCT(--('Данные 1st'!$S$2:$S$317=$A45),--ISNUMBER('Данные 1st'!$QH$2:$QH$317))</f>
        <v>3</v>
      </c>
      <c r="HA45">
        <f>SUMPRODUCT(--('Данные 1st'!$S$2:$S$317=$A45),--ISNUMBER('Данные 1st'!$QI$2:$QI$317))</f>
        <v>3</v>
      </c>
      <c r="HB45">
        <f>SUMPRODUCT(--('Данные 1st'!$S$2:$S$317=$A45),--ISNUMBER('Данные 1st'!$QK$2:$QK$317))</f>
        <v>0</v>
      </c>
      <c r="HC45">
        <f>SUMPRODUCT(--('Данные 1st'!$S$2:$S$317=$A45),--ISNUMBER('Данные 1st'!$QL$2:$QL$317))</f>
        <v>3</v>
      </c>
      <c r="HD45">
        <f>SUMPRODUCT(--('Данные 1st'!$S$2:$S$317=$A45),--ISNUMBER('Данные 1st'!$QM$2:$QM$317))</f>
        <v>3</v>
      </c>
      <c r="HE45">
        <f>SUMPRODUCT(--('Данные 1st'!$S$2:$S$317=$A45),--ISNUMBER('Данные 1st'!$QN$2:$QN$317))</f>
        <v>3</v>
      </c>
      <c r="HF45">
        <f>SUMPRODUCT(--('Данные 1st'!$S$2:$S$317=$A45),--ISNUMBER('Данные 1st'!$QP$2:$QP$317))</f>
        <v>3</v>
      </c>
      <c r="HG45">
        <f>SUMPRODUCT(--('Данные 1st'!$S$2:$S$317=$A45),--ISNUMBER('Данные 1st'!$QQ$2:$QQ$317))</f>
        <v>3</v>
      </c>
      <c r="HH45">
        <f>SUMPRODUCT(--('Данные 1st'!$S$2:$S$317=$A45),--ISNUMBER('Данные 1st'!$QR$2:$QR$317))</f>
        <v>3</v>
      </c>
      <c r="HI45">
        <f>SUMPRODUCT(--('Данные 1st'!$S$2:$S$317=$A45),--ISNUMBER('Данные 1st'!$QS$2:$QS$317))</f>
        <v>3</v>
      </c>
      <c r="HJ45">
        <f>SUMPRODUCT(--('Данные 1st'!$S$2:$S$317=$A45),--ISNUMBER('Данные 1st'!$QU$2:$QU$317))</f>
        <v>3</v>
      </c>
      <c r="HK45">
        <f>SUMPRODUCT(--('Данные 1st'!$S$2:$S$317=$A45),--ISNUMBER('Данные 1st'!$QV$2:$QV$317))</f>
        <v>3</v>
      </c>
      <c r="HL45">
        <f>SUMPRODUCT(--('Данные 1st'!$S$2:$S$317=$A45),--ISNUMBER('Данные 1st'!$QW$2:$QW$317))</f>
        <v>3</v>
      </c>
      <c r="HM45">
        <f>SUMPRODUCT(--('Данные 1st'!$S$2:$S$317=$A45),--ISNUMBER('Данные 1st'!$QX$2:$QX$317))</f>
        <v>3</v>
      </c>
      <c r="HN45">
        <f>SUMPRODUCT(--('Данные 1st'!$S$2:$S$317=$A45),--ISNUMBER('Данные 1st'!$QZ$2:$QZ$317))</f>
        <v>3</v>
      </c>
      <c r="HO45">
        <f>SUMPRODUCT(--('Данные 1st'!$S$2:$S$317=$A45),--ISNUMBER('Данные 1st'!$RA$2:$RA$317))</f>
        <v>3</v>
      </c>
      <c r="HP45">
        <f>SUMPRODUCT(--('Данные 1st'!$S$2:$S$317=$A45),--ISNUMBER('Данные 1st'!$RB$2:$RB$317))</f>
        <v>3</v>
      </c>
      <c r="HQ45">
        <f>SUMPRODUCT(--('Данные 1st'!$S$2:$S$317=$A45),--ISNUMBER('Данные 1st'!$RD$2:$RD$317))</f>
        <v>0</v>
      </c>
      <c r="HR45">
        <f>SUMPRODUCT(--('Данные 1st'!$S$2:$S$317=$A45),--ISNUMBER('Данные 1st'!$RE$2:$RE$317))</f>
        <v>3</v>
      </c>
      <c r="HS45">
        <f>SUMPRODUCT(--('Данные 1st'!$S$2:$S$317=$A45),--ISNUMBER('Данные 1st'!$RF$2:$RF$317))</f>
        <v>3</v>
      </c>
      <c r="HT45">
        <f>SUMPRODUCT(--('Данные 1st'!$S$2:$S$317=$A45),--ISNUMBER('Данные 1st'!$RG$2:$RG$317))</f>
        <v>0</v>
      </c>
      <c r="HU45">
        <f>SUMPRODUCT(--('Данные 1st'!$S$2:$S$317=$A45),--ISNUMBER('Данные 1st'!$RH$2:$RH$317))</f>
        <v>2</v>
      </c>
      <c r="HV45">
        <f>SUMPRODUCT(--('Данные 1st'!$S$2:$S$317=$A45),--ISNUMBER('Данные 1st'!$RI$2:$RI$317))</f>
        <v>1</v>
      </c>
      <c r="HW45">
        <f>SUMPRODUCT(--('Данные 1st'!$S$2:$S$317=$A45),--ISNUMBER('Данные 1st'!$RJ$2:$RJ$317))</f>
        <v>3</v>
      </c>
      <c r="HX45">
        <f>SUMPRODUCT(--('Данные 1st'!$S$2:$S$317=$A45),--ISNUMBER('Данные 1st'!$RK$2:$RK$317))</f>
        <v>0</v>
      </c>
      <c r="HY45">
        <f>SUMPRODUCT(--('Данные 1st'!$S$2:$S$317=$A45),--ISNUMBER('Данные 1st'!$RL$2:$RL$317))</f>
        <v>3</v>
      </c>
      <c r="HZ45">
        <f>SUMPRODUCT(--('Данные 1st'!$S$2:$S$317=$A45),--ISNUMBER('Данные 1st'!$RM$2:$RM$317))</f>
        <v>3</v>
      </c>
      <c r="IA45">
        <f>SUMPRODUCT(--('Данные 1st'!$S$2:$S$317=$A45),--ISNUMBER('Данные 1st'!$RN$2:$RN$317))</f>
        <v>0</v>
      </c>
      <c r="IB45">
        <f>SUMPRODUCT(--('Данные 1st'!$S$2:$S$317=$A45),--ISNUMBER('Данные 1st'!$RO$2:$RO$317))</f>
        <v>3</v>
      </c>
      <c r="IC45">
        <f>SUMPRODUCT(--('Данные 1st'!$S$2:$S$317=$A45),--ISNUMBER('Данные 1st'!$RP$2:$RP$317))</f>
        <v>0</v>
      </c>
      <c r="ID45">
        <f>SUMPRODUCT(--('Данные 1st'!$S$2:$S$317=$A45),--ISNUMBER('Данные 1st'!$RQ$2:$RQ$317))</f>
        <v>3</v>
      </c>
      <c r="IE45">
        <f>SUMPRODUCT(--('Данные 1st'!$S$2:$S$317=$A45),--ISNUMBER('Данные 1st'!$RR$2:$RR$317))</f>
        <v>3</v>
      </c>
      <c r="IF45">
        <f>SUMPRODUCT(--('Данные 1st'!$S$2:$S$317=$A45),--ISNUMBER('Данные 1st'!$RS$2:$RS$317))</f>
        <v>0</v>
      </c>
      <c r="IG45">
        <f>SUMPRODUCT(--('Данные 1st'!$S$2:$S$317=$A45),--ISNUMBER('Данные 1st'!$RT$2:$RT$317))</f>
        <v>3</v>
      </c>
      <c r="IH45">
        <f>SUMPRODUCT(--('Данные 1st'!$S$2:$S$317=$A45),--ISNUMBER('Данные 1st'!$RU$2:$RU$317))</f>
        <v>3</v>
      </c>
      <c r="II45">
        <f>SUMPRODUCT(--('Данные 1st'!$S$2:$S$317=$A45),--ISNUMBER('Данные 1st'!$RX$2:$RX$317))</f>
        <v>3</v>
      </c>
      <c r="IJ45">
        <f>SUMPRODUCT(--('Данные 1st'!$S$2:$S$317=$A45),--ISNUMBER('Данные 1st'!$RY$2:$RY$317))</f>
        <v>3</v>
      </c>
      <c r="IK45">
        <f>SUMPRODUCT(--('Данные 1st'!$S$2:$S$317=$A45),--ISNUMBER('Данные 1st'!$SA$2:$SA$317))</f>
        <v>3</v>
      </c>
      <c r="IL45">
        <f>SUMPRODUCT(--('Данные 1st'!$S$2:$S$317=$A45),--ISNUMBER('Данные 1st'!$SD$2:$SD$317))</f>
        <v>3</v>
      </c>
      <c r="IM45">
        <f>SUMPRODUCT(--('Данные 1st'!$S$2:$S$317=$A45),--ISNUMBER('Данные 1st'!$SG$2:$SG$317))</f>
        <v>3</v>
      </c>
      <c r="IN45">
        <f>SUMPRODUCT(--('Данные 1st'!$S$2:$S$317=$A45),--ISNUMBER('Данные 1st'!$SH$2:$SH$317))</f>
        <v>3</v>
      </c>
      <c r="IO45">
        <f>SUMPRODUCT(--('Данные 1st'!$S$2:$S$317=$A45),--ISNUMBER('Данные 1st'!$SI$2:$SI$317))</f>
        <v>3</v>
      </c>
      <c r="IP45">
        <f>SUMPRODUCT(--('Данные 1st'!$S$2:$S$317=$A45),--ISNUMBER('Данные 1st'!$SJ$2:$SJ$317))</f>
        <v>3</v>
      </c>
      <c r="IQ45">
        <f>SUMPRODUCT(--('Данные 1st'!$S$2:$S$317=$A45),--ISNUMBER('Данные 1st'!$SK$2:$SK$317))</f>
        <v>3</v>
      </c>
      <c r="IR45">
        <f>SUMPRODUCT(--('Данные 1st'!$S$2:$S$317=$A45),--ISNUMBER('Данные 1st'!$SL$2:$SL$317))</f>
        <v>3</v>
      </c>
      <c r="IS45">
        <f>SUMPRODUCT(--('Данные 1st'!$S$2:$S$317=$A45),--ISNUMBER('Данные 1st'!$SM$2:$SM$317))</f>
        <v>3</v>
      </c>
      <c r="IT45">
        <f>SUMPRODUCT(--('Данные 1st'!$S$2:$S$317=$A45),--ISNUMBER('Данные 1st'!$SN$2:$SN$317))</f>
        <v>3</v>
      </c>
      <c r="IU45">
        <f>SUMPRODUCT(--('Данные 1st'!$S$2:$S$317=$A45),--ISNUMBER('Данные 1st'!$SO$2:$SO$317))</f>
        <v>3</v>
      </c>
      <c r="IV45">
        <f>SUMPRODUCT(--('Данные 1st'!$S$2:$S$317=$A45),--ISNUMBER('Данные 1st'!$SP$2:$SP$317))</f>
        <v>3</v>
      </c>
      <c r="IW45">
        <f>SUMPRODUCT(--('Данные 1st'!$S$2:$S$317=$A45),--ISNUMBER('Данные 1st'!$SQ$2:$SQ$317))</f>
        <v>3</v>
      </c>
      <c r="IX45">
        <f>SUMPRODUCT(--('Данные 1st'!$S$2:$S$317=$A45),--ISNUMBER('Данные 1st'!$SR$2:$SR$317))</f>
        <v>3</v>
      </c>
      <c r="IY45">
        <f>SUMPRODUCT(--('Данные 1st'!$S$2:$S$317=$A45),--ISNUMBER('Данные 1st'!$SS$2:$SS$317))</f>
        <v>3</v>
      </c>
      <c r="IZ45">
        <f>SUMPRODUCT(--('Данные 1st'!$S$2:$S$317=$A45),--ISNUMBER('Данные 1st'!$ST$2:$ST$317))</f>
        <v>3</v>
      </c>
      <c r="JA45">
        <f>SUMPRODUCT(--('Данные 1st'!$S$2:$S$317=$A45),--ISNUMBER('Данные 1st'!$SU$2:$SU$317))</f>
        <v>3</v>
      </c>
      <c r="JB45">
        <f>SUMPRODUCT(--('Данные 1st'!$S$2:$S$317=$A45),--ISNUMBER('Данные 1st'!$SV$2:$SV$317))</f>
        <v>3</v>
      </c>
      <c r="JC45">
        <f>SUMPRODUCT(--('Данные 1st'!$S$2:$S$317=$A45),--ISNUMBER('Данные 1st'!$SW$2:$SW$317))</f>
        <v>3</v>
      </c>
      <c r="JD45">
        <f>SUMPRODUCT(--('Данные 1st'!$S$2:$S$317=$A45),--ISNUMBER('Данные 1st'!$SX$2:$SX$317))</f>
        <v>3</v>
      </c>
      <c r="JE45">
        <f>SUMPRODUCT(--('Данные 1st'!$S$2:$S$317=$A45),--ISNUMBER('Данные 1st'!$SY$2:$SY$317))</f>
        <v>0</v>
      </c>
      <c r="JF45">
        <f>SUMPRODUCT(--('Данные 1st'!$S$2:$S$317=$A45),--ISNUMBER('Данные 1st'!$SZ$2:$SZ$317))</f>
        <v>3</v>
      </c>
      <c r="JG45">
        <f>SUMPRODUCT(--('Данные 1st'!$S$2:$S$317=$A45),--ISNUMBER('Данные 1st'!$TA$2:$TA$317))</f>
        <v>0</v>
      </c>
      <c r="JH45">
        <f>SUMPRODUCT(--('Данные 1st'!$S$2:$S$317=$A45),--ISNUMBER('Данные 1st'!$TB$2:$TB$317))</f>
        <v>3</v>
      </c>
      <c r="JI45">
        <f>SUMPRODUCT(--('Данные 1st'!$S$2:$S$317=$A45),--ISNUMBER('Данные 1st'!$TC$2:$TC$317))</f>
        <v>3</v>
      </c>
      <c r="JJ45">
        <f>SUMPRODUCT(--('Данные 1st'!$S$2:$S$317=$A45),--ISNUMBER('Данные 1st'!$TD$2:$TD$317))</f>
        <v>3</v>
      </c>
      <c r="JK45">
        <f>SUMPRODUCT(--('Данные 1st'!$S$2:$S$317=$A45),--ISNUMBER('Данные 1st'!$TN$2:$TN$317))</f>
        <v>3</v>
      </c>
      <c r="JQ45">
        <f>SUMPRODUCT(--('Данные 2st'!$Q$2:$Q$317=$A45),--ISNUMBER('Данные 2st'!$AC$2:$AC$317))</f>
        <v>3</v>
      </c>
      <c r="JR45">
        <f>SUMPRODUCT(--('Данные 2st'!$Q$2:$Q$317=$A45),--ISNUMBER('Данные 2st'!$AF$2:$AF$317))</f>
        <v>3</v>
      </c>
      <c r="JS45">
        <f>SUMPRODUCT(--('Данные 2st'!$Q$2:$Q$317=$A45),--ISNUMBER('Данные 2st'!$AW$2:$AW$317))</f>
        <v>3</v>
      </c>
      <c r="JT45">
        <f>SUMPRODUCT(--('Данные 2st'!$Q$2:$Q$317=$A45),--ISNUMBER('Данные 2st'!$AX$2:$AX$317))</f>
        <v>3</v>
      </c>
      <c r="JU45">
        <f>SUMPRODUCT(--('Данные 2st'!$Q$2:$Q$317=$A45),--ISNUMBER('Данные 2st'!$AY$2:$AY$317))</f>
        <v>3</v>
      </c>
      <c r="JV45">
        <f>SUMPRODUCT(--('Данные 2st'!$Q$2:$Q$317=$A45),--ISNUMBER('Данные 2st'!$AZ$2:$AZ$317))</f>
        <v>3</v>
      </c>
      <c r="JW45">
        <f>SUMPRODUCT(--('Данные 2st'!$Q$2:$Q$317=$A45),--ISNUMBER('Данные 2st'!$BA$2:$BA$317))</f>
        <v>0</v>
      </c>
      <c r="JX45">
        <f>SUMPRODUCT(--('Данные 2st'!$Q$2:$Q$317=$A45),--ISNUMBER('Данные 2st'!$BB$2:$BB$317))</f>
        <v>0</v>
      </c>
      <c r="JY45">
        <f>SUMPRODUCT(--('Данные 2st'!$Q$2:$Q$317=$A45),--ISNUMBER('Данные 2st'!$BC$2:$BC$317))</f>
        <v>0</v>
      </c>
      <c r="JZ45">
        <f>SUMPRODUCT(--('Данные 2st'!$Q$2:$Q$317=$A45),--ISNUMBER('Данные 2st'!$BH$2:$BH$317))</f>
        <v>3</v>
      </c>
      <c r="KA45">
        <f>SUMPRODUCT(--('Данные 2st'!$Q$2:$Q$317=$A45),--ISNUMBER('Данные 2st'!$BI$2:$BI$317))</f>
        <v>3</v>
      </c>
      <c r="KB45">
        <f>SUMPRODUCT(--('Данные 2st'!$Q$2:$Q$317=$A45),--ISNUMBER('Данные 2st'!$BJ$2:$BJ$317))</f>
        <v>3</v>
      </c>
      <c r="KC45">
        <f>SUMPRODUCT(--('Данные 2st'!$Q$2:$Q$317=$A45),--ISNUMBER('Данные 2st'!$BK$2:$BK$317))</f>
        <v>3</v>
      </c>
      <c r="KD45">
        <f>SUMPRODUCT(--('Данные 2st'!$Q$2:$Q$317=$A45),--ISNUMBER('Данные 2st'!$BL$2:$BL$317))</f>
        <v>3</v>
      </c>
      <c r="KE45">
        <f>SUMPRODUCT(--('Данные 2st'!$Q$2:$Q$317=$A45),--ISNUMBER('Данные 2st'!$BM$2:$BM$317))</f>
        <v>3</v>
      </c>
      <c r="KF45">
        <f>SUMPRODUCT(--('Данные 2st'!$Q$2:$Q$317=$A45),--ISNUMBER('Данные 2st'!$BN$2:$BN$317))</f>
        <v>3</v>
      </c>
      <c r="KG45">
        <f>SUMPRODUCT(--('Данные 2st'!$Q$2:$Q$317=$A45),--ISNUMBER('Данные 2st'!$BO$2:$BO$317))</f>
        <v>0</v>
      </c>
      <c r="KH45">
        <f>SUMPRODUCT(--('Данные 2st'!$Q$2:$Q$317=$A45),--ISNUMBER('Данные 2st'!$BP$2:$BP$317))</f>
        <v>3</v>
      </c>
      <c r="KI45">
        <f>SUMPRODUCT(--('Данные 2st'!$Q$2:$Q$317=$A45),--ISNUMBER('Данные 2st'!$BR$2:$BR$317))</f>
        <v>3</v>
      </c>
      <c r="KJ45">
        <f>SUMPRODUCT(--('Данные 2st'!$Q$2:$Q$317=$A45),--ISNUMBER('Данные 2st'!$BS$2:$BS$317))</f>
        <v>3</v>
      </c>
      <c r="KK45">
        <f>SUMPRODUCT(--('Данные 2st'!$Q$2:$Q$317=$A45),--ISNUMBER('Данные 2st'!$BT$2:$BT$317))</f>
        <v>3</v>
      </c>
      <c r="KL45">
        <f>SUMPRODUCT(--('Данные 2st'!$Q$2:$Q$317=$A45),--ISNUMBER('Данные 2st'!$CV$2:$CV$317))</f>
        <v>3</v>
      </c>
      <c r="KM45">
        <f>SUMPRODUCT(--('Данные 2st'!$Q$2:$Q$317=$A45),--ISNUMBER('Данные 2st'!$CW$2:$CW$317))</f>
        <v>3</v>
      </c>
      <c r="KN45">
        <f>SUMPRODUCT(--('Данные 2st'!$Q$2:$Q$317=$A45),--ISNUMBER('Данные 2st'!$CX$2:$CX$317))</f>
        <v>3</v>
      </c>
      <c r="KO45">
        <f>SUMPRODUCT(--('Данные 2st'!$Q$2:$Q$317=$A45),--ISNUMBER('Данные 2st'!$CY$2:$CY$317))</f>
        <v>3</v>
      </c>
      <c r="KP45">
        <f>SUMPRODUCT(--('Данные 2st'!$Q$2:$Q$317=$A45),--ISNUMBER('Данные 2st'!$CZ$2:$CZ$317))</f>
        <v>3</v>
      </c>
      <c r="KQ45">
        <f>SUMPRODUCT(--('Данные 2st'!$Q$2:$Q$317=$A45),--ISNUMBER('Данные 2st'!$DA$2:$DA$317))</f>
        <v>3</v>
      </c>
      <c r="KR45">
        <f>SUMPRODUCT(--('Данные 2st'!$Q$2:$Q$317=$A45),--ISNUMBER('Данные 2st'!$DB$2:$DB$317))</f>
        <v>3</v>
      </c>
      <c r="KS45">
        <f>SUMPRODUCT(--('Данные 2st'!$Q$2:$Q$317=$A45),--ISNUMBER('Данные 2st'!$DC$2:$DC$317))</f>
        <v>3</v>
      </c>
      <c r="KT45">
        <f>SUMPRODUCT(--('Данные 2st'!$Q$2:$Q$317=$A45),--ISNUMBER('Данные 2st'!$DD$2:$DD$317))</f>
        <v>3</v>
      </c>
      <c r="KU45">
        <f>SUMPRODUCT(--('Данные 2st'!$Q$2:$Q$317=$A45),--ISNUMBER('Данные 2st'!$DE$2:$DE$317))</f>
        <v>3</v>
      </c>
      <c r="KV45">
        <f>SUMPRODUCT(--('Данные 2st'!$Q$2:$Q$317=$A45),--ISNUMBER('Данные 2st'!$DF$2:$DF$317))</f>
        <v>3</v>
      </c>
      <c r="KW45">
        <f>SUMPRODUCT(--('Данные 2st'!$Q$2:$Q$317=$A45),--ISNUMBER('Данные 2st'!$DG$2:$DG$317))</f>
        <v>3</v>
      </c>
      <c r="KX45">
        <f>SUMPRODUCT(--('Данные 2st'!$Q$2:$Q$317=$A45),--ISNUMBER('Данные 2st'!$DH$2:$DH$317))</f>
        <v>0</v>
      </c>
      <c r="KY45">
        <f>SUMPRODUCT(--('Данные 2st'!$Q$2:$Q$317=$A45),--ISNUMBER('Данные 2st'!$DI$2:$DI$317))</f>
        <v>0</v>
      </c>
      <c r="KZ45">
        <f>SUMPRODUCT(--('Данные 2st'!$Q$2:$Q$317=$A45),--ISNUMBER('Данные 2st'!$DK$2:$DK$317))</f>
        <v>3</v>
      </c>
      <c r="LA45">
        <f>SUMPRODUCT(--('Данные 2st'!$Q$2:$Q$317=$A45),--ISNUMBER('Данные 2st'!$DM$2:$DM$317))</f>
        <v>3</v>
      </c>
      <c r="LB45">
        <f>SUMPRODUCT(--('Данные 2st'!$Q$2:$Q$317=$A45),--ISNUMBER('Данные 2st'!$DN$2:$DN$317))</f>
        <v>3</v>
      </c>
      <c r="LC45">
        <f>SUMPRODUCT(--('Данные 2st'!$Q$2:$Q$317=$A45),--ISNUMBER('Данные 2st'!$DO$2:$DO$317))</f>
        <v>3</v>
      </c>
      <c r="LD45">
        <f>SUMPRODUCT(--('Данные 2st'!$Q$2:$Q$317=$A45),--ISNUMBER('Данные 2st'!$DP$2:$DP$317))</f>
        <v>3</v>
      </c>
      <c r="LE45">
        <f>SUMPRODUCT(--('Данные 2st'!$Q$2:$Q$317=$A45),--ISNUMBER('Данные 2st'!$DQ$2:$DQ$317))</f>
        <v>3</v>
      </c>
      <c r="LF45">
        <f>SUMPRODUCT(--('Данные 2st'!$Q$2:$Q$317=$A45),--ISNUMBER('Данные 2st'!$DS$2:$DS$317))</f>
        <v>3</v>
      </c>
      <c r="LG45">
        <f>SUMPRODUCT(--('Данные 2st'!$Q$2:$Q$317=$A45),--ISNUMBER('Данные 2st'!$DU$2:$DU$317))</f>
        <v>3</v>
      </c>
      <c r="LH45">
        <f>SUMPRODUCT(--('Данные 2st'!$Q$2:$Q$317=$A45),--ISNUMBER('Данные 2st'!$DV$2:$DV$317))</f>
        <v>3</v>
      </c>
      <c r="LI45">
        <f>SUMPRODUCT(--('Данные 2st'!$Q$2:$Q$317=$A45),--ISNUMBER('Данные 2st'!$DW$2:$DW$317))</f>
        <v>3</v>
      </c>
      <c r="LJ45">
        <f>SUMPRODUCT(--('Данные 2st'!$Q$2:$Q$317=$A45),--ISNUMBER('Данные 2st'!$DX$2:$DX$317))</f>
        <v>3</v>
      </c>
      <c r="LK45">
        <f>SUMPRODUCT(--('Данные 2st'!$Q$2:$Q$317=$A45),--ISNUMBER('Данные 2st'!$DY$2:$DY$317))</f>
        <v>3</v>
      </c>
      <c r="LL45">
        <f>SUMPRODUCT(--('Данные 2st'!$Q$2:$Q$317=$A45),--ISNUMBER('Данные 2st'!$EA$2:$EA$317))</f>
        <v>3</v>
      </c>
      <c r="LM45">
        <f>SUMPRODUCT(--('Данные 2st'!$Q$2:$Q$317=$A45),--ISNUMBER('Данные 2st'!$EC$2:$EC$317))</f>
        <v>3</v>
      </c>
      <c r="LN45">
        <f>SUMPRODUCT(--('Данные 2st'!$Q$2:$Q$317=$A45),--ISNUMBER('Данные 2st'!$ED$2:$ED$317))</f>
        <v>3</v>
      </c>
      <c r="LO45">
        <f>SUMPRODUCT(--('Данные 2st'!$Q$2:$Q$317=$A45),--ISNUMBER('Данные 2st'!$EE$2:$EE$317))</f>
        <v>3</v>
      </c>
      <c r="LP45">
        <f>SUMPRODUCT(--('Данные 2st'!$Q$2:$Q$317=$A45),--ISNUMBER('Данные 2st'!$EG$2:$EG$317))</f>
        <v>3</v>
      </c>
      <c r="LQ45">
        <f>SUMPRODUCT(--('Данные 2st'!$Q$2:$Q$317=$A45),--ISNUMBER('Данные 2st'!$EI$2:$EI$317))</f>
        <v>3</v>
      </c>
      <c r="LR45">
        <f>SUMPRODUCT(--('Данные 2st'!$Q$2:$Q$317=$A45),--ISNUMBER('Данные 2st'!$EJ$2:$EJ$317))</f>
        <v>0</v>
      </c>
      <c r="LS45">
        <f>SUMPRODUCT(--('Данные 2st'!$Q$2:$Q$317=$A45),--ISNUMBER('Данные 2st'!$EK$2:$EK$317))</f>
        <v>0</v>
      </c>
      <c r="LT45">
        <f>SUMPRODUCT(--('Данные 2st'!$Q$2:$Q$317=$A45),--ISNUMBER('Данные 2st'!$EM$2:$EM$317))</f>
        <v>3</v>
      </c>
      <c r="LU45">
        <f>SUMPRODUCT(--('Данные 2st'!$Q$2:$Q$317=$A45),--ISNUMBER('Данные 2st'!$EN$2:$EN$317))</f>
        <v>3</v>
      </c>
      <c r="LV45">
        <f>SUMPRODUCT(--('Данные 2st'!$Q$2:$Q$317=$A45),--ISNUMBER('Данные 2st'!$EO$2:$EO$317))</f>
        <v>3</v>
      </c>
      <c r="LW45">
        <f>SUMPRODUCT(--('Данные 2st'!$Q$2:$Q$317=$A45),--ISNUMBER('Данные 2st'!$EP$2:$EP$317))</f>
        <v>3</v>
      </c>
      <c r="LX45">
        <f>SUMPRODUCT(--('Данные 2st'!$Q$2:$Q$317=$A45),--ISNUMBER('Данные 2st'!$EQ$2:$EQ$317))</f>
        <v>3</v>
      </c>
      <c r="LY45">
        <f>SUMPRODUCT(--('Данные 2st'!$Q$2:$Q$317=$A45),--ISNUMBER('Данные 2st'!$ER$2:$ER$317))</f>
        <v>3</v>
      </c>
      <c r="LZ45">
        <f>SUMPRODUCT(--('Данные 2st'!$Q$2:$Q$317=$A45),--ISNUMBER('Данные 2st'!$ES$2:$ES$317))</f>
        <v>3</v>
      </c>
      <c r="MA45">
        <f>SUMPRODUCT(--('Данные 2st'!$Q$2:$Q$317=$A45),--ISNUMBER('Данные 2st'!$ET$2:$ET$317))</f>
        <v>3</v>
      </c>
      <c r="MB45">
        <f>SUMPRODUCT(--('Данные 2st'!$Q$2:$Q$317=$A45),--ISNUMBER('Данные 2st'!$EU$2:$EU$317))</f>
        <v>3</v>
      </c>
      <c r="MC45">
        <f>SUMPRODUCT(--('Данные 2st'!$Q$2:$Q$317=$A45),--ISNUMBER('Данные 2st'!$EV$2:$EV$317))</f>
        <v>3</v>
      </c>
      <c r="MD45">
        <f>SUMPRODUCT(--('Данные 2st'!$Q$2:$Q$317=$A45),--ISNUMBER('Данные 2st'!$EW$2:$EW$317))</f>
        <v>3</v>
      </c>
      <c r="ME45">
        <f>SUMPRODUCT(--('Данные 2st'!$Q$2:$Q$317=$A45),--ISNUMBER('Данные 2st'!$EY$2:$EY$317))</f>
        <v>3</v>
      </c>
      <c r="MF45">
        <f>SUMPRODUCT(--('Данные 2st'!$Q$2:$Q$317=$A45),--ISNUMBER('Данные 2st'!$FA$2:$FA$317))</f>
        <v>3</v>
      </c>
      <c r="MG45">
        <f>SUMPRODUCT(--('Данные 2st'!$Q$2:$Q$317=$A45),--ISNUMBER('Данные 2st'!$FB$2:$FB$317))</f>
        <v>3</v>
      </c>
      <c r="MH45">
        <f>SUMPRODUCT(--('Данные 2st'!$Q$2:$Q$317=$A45),--ISNUMBER('Данные 2st'!$FC$2:$FC$317))</f>
        <v>3</v>
      </c>
      <c r="MI45">
        <f>SUMPRODUCT(--('Данные 2st'!$Q$2:$Q$317=$A45),--ISNUMBER('Данные 2st'!$FD$2:$FD$317))</f>
        <v>3</v>
      </c>
      <c r="MJ45">
        <f>SUMPRODUCT(--('Данные 2st'!$Q$2:$Q$317=$A45),--ISNUMBER('Данные 2st'!$FE$2:$FE$317))</f>
        <v>3</v>
      </c>
      <c r="MK45">
        <f>SUMPRODUCT(--('Данные 2st'!$Q$2:$Q$317=$A45),--ISNUMBER('Данные 2st'!$FG$2:$FG$317))</f>
        <v>3</v>
      </c>
      <c r="ML45">
        <f>SUMPRODUCT(--('Данные 2st'!$Q$2:$Q$317=$A45),--ISNUMBER('Данные 2st'!$FI$2:$FI$317))</f>
        <v>3</v>
      </c>
      <c r="MM45">
        <f>SUMPRODUCT(--('Данные 2st'!$Q$2:$Q$317=$A45),--ISNUMBER('Данные 2st'!$FJ$2:$FJ$317))</f>
        <v>3</v>
      </c>
      <c r="MN45">
        <f>SUMPRODUCT(--('Данные 2st'!$Q$2:$Q$317=$A45),--ISNUMBER('Данные 2st'!$FK$2:$FK$317))</f>
        <v>3</v>
      </c>
      <c r="MO45">
        <f>SUMPRODUCT(--('Данные 2st'!$Q$2:$Q$317=$A45),--ISNUMBER('Данные 2st'!$FP$2:$FP$317))</f>
        <v>3</v>
      </c>
      <c r="MP45">
        <f>SUMPRODUCT(--('Данные 2st'!$Q$2:$Q$317=$A45),--ISNUMBER('Данные 2st'!$FQ$2:$FQ$317))</f>
        <v>3</v>
      </c>
      <c r="MQ45">
        <f>SUMPRODUCT(--('Данные 2st'!$Q$2:$Q$317=$A45),--ISNUMBER('Данные 2st'!$FS$2:$FS$317))</f>
        <v>3</v>
      </c>
      <c r="MR45">
        <f>SUMPRODUCT(--('Данные 2st'!$Q$2:$Q$317=$A45),--ISNUMBER('Данные 2st'!$FU$2:$FU$317))</f>
        <v>3</v>
      </c>
      <c r="MS45">
        <f>SUMPRODUCT(--('Данные 2st'!$Q$2:$Q$317=$A45),--ISNUMBER('Данные 2st'!$FV$2:$FV$317))</f>
        <v>3</v>
      </c>
      <c r="MT45">
        <f>SUMPRODUCT(--('Данные 2st'!$Q$2:$Q$317=$A45),--ISNUMBER('Данные 2st'!$FW$2:$FW$317))</f>
        <v>3</v>
      </c>
      <c r="MU45">
        <f>SUMPRODUCT(--('Данные 2st'!$Q$2:$Q$317=$A45),--ISNUMBER('Данные 2st'!$FY$2:$FY$317))</f>
        <v>3</v>
      </c>
      <c r="MV45">
        <f>SUMPRODUCT(--('Данные 2st'!$Q$2:$Q$317=$A45),--ISNUMBER('Данные 2st'!$GB$2:$GB$317))</f>
        <v>3</v>
      </c>
      <c r="MW45">
        <f>SUMPRODUCT(--('Данные 2st'!$Q$2:$Q$317=$A45),--ISNUMBER('Данные 2st'!$GC$2:$GC$317))</f>
        <v>3</v>
      </c>
      <c r="MX45">
        <f>SUMPRODUCT(--('Данные 2st'!$Q$2:$Q$317=$A45),--ISNUMBER('Данные 2st'!$GD$2:$GD$317))</f>
        <v>3</v>
      </c>
      <c r="MY45">
        <f>SUMPRODUCT(--('Данные 2st'!$Q$2:$Q$317=$A45),--ISNUMBER('Данные 2st'!$GN$2:$GN$317))</f>
        <v>0</v>
      </c>
      <c r="MZ45">
        <f>SUMPRODUCT(--('Данные 2st'!$Q$2:$Q$317=$A45),--ISNUMBER('Данные 2st'!$GQ$2:$GQ$317))</f>
        <v>3</v>
      </c>
      <c r="NA45">
        <f>SUMPRODUCT(--('Данные 2st'!$Q$2:$Q$317=$A45),--ISNUMBER('Данные 2st'!$GV$2:$GV$317))</f>
        <v>3</v>
      </c>
      <c r="NB45">
        <f>SUMPRODUCT(--('Данные 2st'!$Q$2:$Q$317=$A45),--ISNUMBER('Данные 2st'!$GW$2:$GW$317))</f>
        <v>3</v>
      </c>
      <c r="NC45">
        <f>SUMPRODUCT(--('Данные 2st'!$Q$2:$Q$317=$A45),--ISNUMBER('Данные 2st'!$GX$2:$GX$317))</f>
        <v>3</v>
      </c>
      <c r="ND45">
        <f>SUMPRODUCT(--('Данные 2st'!$Q$2:$Q$317=$A45),--ISNUMBER('Данные 2st'!$GY$2:$GY$317))</f>
        <v>3</v>
      </c>
      <c r="NE45">
        <f>SUMPRODUCT(--('Данные 2st'!$Q$2:$Q$317=$A45),--ISNUMBER('Данные 2st'!$GZ$2:$GZ$317))</f>
        <v>3</v>
      </c>
      <c r="NF45">
        <f>SUMPRODUCT(--('Данные 2st'!$Q$2:$Q$317=$A45),--ISNUMBER('Данные 2st'!$HA$2:$HA$317))</f>
        <v>3</v>
      </c>
      <c r="NG45">
        <f>SUMPRODUCT(--('Данные 2st'!$Q$2:$Q$317=$A45),--ISNUMBER('Данные 2st'!$HB$2:$HB$317))</f>
        <v>3</v>
      </c>
      <c r="NH45">
        <f>SUMPRODUCT(--('Данные 2st'!$Q$2:$Q$317=$A45),--ISNUMBER('Данные 2st'!$HC$2:$HC$317))</f>
        <v>3</v>
      </c>
      <c r="NI45">
        <f>SUMPRODUCT(--('Данные 2st'!$Q$2:$Q$317=$A45),--ISNUMBER('Данные 2st'!$HD$2:$HD$317))</f>
        <v>3</v>
      </c>
      <c r="NJ45">
        <f>SUMPRODUCT(--('Данные 2st'!$Q$2:$Q$317=$A45),--ISNUMBER('Данные 2st'!$HM$2:$HM$317))</f>
        <v>3</v>
      </c>
      <c r="NK45">
        <f>SUMPRODUCT(--('Данные 2st'!$Q$2:$Q$317=$A45),--ISNUMBER('Данные 2st'!$HR$2:$HR$317))</f>
        <v>3</v>
      </c>
      <c r="NL45">
        <f>SUMPRODUCT(--('Данные 2st'!$Q$2:$Q$317=$A45),--ISNUMBER('Данные 2st'!$HS$2:$HS$317))</f>
        <v>3</v>
      </c>
      <c r="NM45">
        <f>SUMPRODUCT(--('Данные 2st'!$Q$2:$Q$317=$A45),--ISNUMBER('Данные 2st'!$HT$2:$HT$317))</f>
        <v>3</v>
      </c>
      <c r="NN45">
        <f>SUMPRODUCT(--('Данные 2st'!$Q$2:$Q$317=$A45),--ISNUMBER('Данные 2st'!$HY$2:$HY$317))</f>
        <v>3</v>
      </c>
      <c r="NO45">
        <f>SUMPRODUCT(--('Данные 2st'!$Q$2:$Q$317=$A45),--ISNUMBER('Данные 2st'!$HZ$2:$HZ$317))</f>
        <v>3</v>
      </c>
      <c r="NP45">
        <f>SUMPRODUCT(--('Данные 2st'!$Q$2:$Q$317=$A45),--ISNUMBER('Данные 2st'!$IA$2:$IA$317))</f>
        <v>3</v>
      </c>
      <c r="NQ45">
        <f>SUMPRODUCT(--('Данные 2st'!$Q$2:$Q$317=$A45),--ISNUMBER('Данные 2st'!$IB$2:$IB$317))</f>
        <v>3</v>
      </c>
      <c r="NR45">
        <f>SUMPRODUCT(--('Данные 2st'!$Q$2:$Q$317=$A45),--ISNUMBER('Данные 2st'!$IC$2:$IC$317))</f>
        <v>0</v>
      </c>
      <c r="NS45">
        <f>SUMPRODUCT(--('Данные 2st'!$Q$2:$Q$317=$A45),--ISNUMBER('Данные 2st'!$ID$2:$ID$317))</f>
        <v>3</v>
      </c>
      <c r="NT45">
        <f>SUMPRODUCT(--('Данные 2st'!$Q$2:$Q$317=$A45),--ISNUMBER('Данные 2st'!$IE$2:$IE$317))</f>
        <v>3</v>
      </c>
      <c r="NU45">
        <f>SUMPRODUCT(--('Данные 2st'!$Q$2:$Q$317=$A45),--ISNUMBER('Данные 2st'!$IF$2:$IF$317))</f>
        <v>3</v>
      </c>
      <c r="NV45">
        <f>SUMPRODUCT(--('Данные 2st'!$Q$2:$Q$317=$A45),--ISNUMBER('Данные 2st'!$IG$2:$IG$317))</f>
        <v>3</v>
      </c>
      <c r="NW45">
        <f>SUMPRODUCT(--('Данные 2st'!$Q$2:$Q$317=$A45),--ISNUMBER('Данные 2st'!$IH$2:$IH$317))</f>
        <v>3</v>
      </c>
      <c r="NX45">
        <f>SUMPRODUCT(--('Данные 2st'!$Q$2:$Q$317=$A45),--ISNUMBER('Данные 2st'!$IJ$2:$IJ$317))</f>
        <v>3</v>
      </c>
      <c r="NY45">
        <f>SUMPRODUCT(--('Данные 2st'!$Q$2:$Q$317=$A45),--ISNUMBER('Данные 2st'!$IM$2:$IM$317))</f>
        <v>3</v>
      </c>
      <c r="NZ45">
        <f>SUMPRODUCT(--('Данные 2st'!$Q$2:$Q$317=$A45),--ISNUMBER('Данные 2st'!$IN$2:$IN$317))</f>
        <v>3</v>
      </c>
      <c r="OA45">
        <f>SUMPRODUCT(--('Данные 2st'!$Q$2:$Q$317=$A45),--ISNUMBER('Данные 2st'!$IO$2:$IO$317))</f>
        <v>3</v>
      </c>
      <c r="OB45">
        <f>SUMPRODUCT(--('Данные 2st'!$Q$2:$Q$317=$A45),--ISNUMBER('Данные 2st'!$IP$2:$IP$317))</f>
        <v>3</v>
      </c>
      <c r="OC45">
        <f>SUMPRODUCT(--('Данные 2st'!$Q$2:$Q$317=$A45),--ISNUMBER('Данные 2st'!$IQ$2:$IQ$317))</f>
        <v>3</v>
      </c>
      <c r="OD45">
        <f>SUMPRODUCT(--('Данные 2st'!$Q$2:$Q$317=$A45),--ISNUMBER('Данные 2st'!$IR$2:$IR$317))</f>
        <v>3</v>
      </c>
      <c r="OE45">
        <f>SUMPRODUCT(--('Данные 2st'!$Q$2:$Q$317=$A45),--ISNUMBER('Данные 2st'!$IT$2:$IT$317))</f>
        <v>3</v>
      </c>
      <c r="OF45">
        <f>SUMPRODUCT(--('Данные 2st'!$Q$2:$Q$317=$A45),--ISNUMBER('Данные 2st'!$IU$2:$IU$317))</f>
        <v>3</v>
      </c>
      <c r="OG45">
        <f>SUMPRODUCT(--('Данные 2st'!$Q$2:$Q$317=$A45),--ISNUMBER('Данные 2st'!$IV$2:$IV$317))</f>
        <v>3</v>
      </c>
      <c r="OH45">
        <f>SUMPRODUCT(--('Данные 2st'!$Q$2:$Q$317=$A45),--ISNUMBER('Данные 2st'!$IW$2:$IW$317))</f>
        <v>3</v>
      </c>
      <c r="OI45">
        <f>SUMPRODUCT(--('Данные 2st'!$Q$2:$Q$317=$A45),--ISNUMBER('Данные 2st'!$IX$2:$IX$317))</f>
        <v>3</v>
      </c>
      <c r="OJ45">
        <f>SUMPRODUCT(--('Данные 2st'!$Q$2:$Q$317=$A45),--ISNUMBER('Данные 2st'!$IY$2:$IY$317))</f>
        <v>3</v>
      </c>
      <c r="OK45">
        <f>SUMPRODUCT(--('Данные 2st'!$Q$2:$Q$317=$A45),--ISNUMBER('Данные 2st'!$IZ$2:$IZ$317))</f>
        <v>3</v>
      </c>
      <c r="OL45">
        <f>SUMPRODUCT(--('Данные 2st'!$Q$2:$Q$317=$A45),--ISNUMBER('Данные 2st'!$JA$2:$JA$317))</f>
        <v>3</v>
      </c>
      <c r="OM45">
        <f>SUMPRODUCT(--('Данные 2st'!$Q$2:$Q$317=$A45),--ISNUMBER('Данные 2st'!$JB$2:$JB$317))</f>
        <v>3</v>
      </c>
      <c r="ON45">
        <f>SUMPRODUCT(--('Данные 2st'!$Q$2:$Q$317=$A45),--ISNUMBER('Данные 2st'!$JC$2:$JC$317))</f>
        <v>3</v>
      </c>
      <c r="OO45">
        <f>SUMPRODUCT(--('Данные 2st'!$Q$2:$Q$317=$A45),--ISNUMBER('Данные 2st'!$JD$2:$JD$317))</f>
        <v>3</v>
      </c>
      <c r="OP45">
        <f>SUMPRODUCT(--('Данные 2st'!$Q$2:$Q$317=$A45),--ISNUMBER('Данные 2st'!$JE$2:$JE$317))</f>
        <v>3</v>
      </c>
      <c r="OQ45">
        <f>SUMPRODUCT(--('Данные 2st'!$Q$2:$Q$317=$A45),--ISNUMBER('Данные 2st'!$JF$2:$JF$317))</f>
        <v>3</v>
      </c>
      <c r="OR45">
        <f>SUMPRODUCT(--('Данные 2st'!$Q$2:$Q$317=$A45),--ISNUMBER('Данные 2st'!$JG$2:$JG$317))</f>
        <v>3</v>
      </c>
      <c r="OS45">
        <f>SUMPRODUCT(--('Данные 2st'!$Q$2:$Q$317=$A45),--ISNUMBER('Данные 2st'!$JH$2:$JH$317))</f>
        <v>3</v>
      </c>
      <c r="OT45">
        <f>SUMPRODUCT(--('Данные 2st'!$Q$2:$Q$317=$A45),--ISNUMBER('Данные 2st'!$JI$2:$JI$317))</f>
        <v>3</v>
      </c>
      <c r="OU45">
        <f>SUMPRODUCT(--('Данные 2st'!$Q$2:$Q$317=$A45),--ISNUMBER('Данные 2st'!$JJ$2:$JJ$317))</f>
        <v>3</v>
      </c>
      <c r="OV45">
        <f>SUMPRODUCT(--('Данные 2st'!$Q$2:$Q$317=$A45),--ISNUMBER('Данные 2st'!$JK$2:$JK$317))</f>
        <v>3</v>
      </c>
      <c r="OW45">
        <f>SUMPRODUCT(--('Данные 2st'!$Q$2:$Q$317=$A45),--ISNUMBER('Данные 2st'!$JL$2:$JL$317))</f>
        <v>3</v>
      </c>
      <c r="OX45">
        <f>SUMPRODUCT(--('Данные 2st'!$Q$2:$Q$317=$A45),--ISNUMBER('Данные 2st'!$JM$2:$JM$317))</f>
        <v>3</v>
      </c>
      <c r="OY45">
        <f>SUMPRODUCT(--('Данные 2st'!$Q$2:$Q$317=$A45),--ISNUMBER('Данные 2st'!$JP$2:$JP$317))</f>
        <v>3</v>
      </c>
      <c r="OZ45">
        <f>SUMPRODUCT(--('Данные 2st'!$Q$2:$Q$317=$A45),--ISNUMBER('Данные 2st'!$JQ$2:$JQ$317))</f>
        <v>3</v>
      </c>
      <c r="PA45">
        <f>SUMPRODUCT(--('Данные 2st'!$Q$2:$Q$317=$A45),--ISNUMBER('Данные 2st'!$JR$2:$JR$317))</f>
        <v>3</v>
      </c>
      <c r="PB45">
        <f>SUMPRODUCT(--('Данные 2st'!$Q$2:$Q$317=$A45),--ISNUMBER('Данные 2st'!$JS$2:$JS$317))</f>
        <v>3</v>
      </c>
      <c r="PC45">
        <f>SUMPRODUCT(--('Данные 2st'!$Q$2:$Q$317=$A45),--ISNUMBER('Данные 2st'!$JT$2:$JT$317))</f>
        <v>3</v>
      </c>
      <c r="PD45">
        <f>SUMPRODUCT(--('Данные 2st'!$Q$2:$Q$317=$A45),--ISNUMBER('Данные 2st'!$JU$2:$JU$317))</f>
        <v>3</v>
      </c>
      <c r="PE45">
        <f>SUMPRODUCT(--('Данные 2st'!$Q$2:$Q$317=$A45),--ISNUMBER('Данные 2st'!$JV$2:$JV$317))</f>
        <v>3</v>
      </c>
      <c r="PF45">
        <f>SUMPRODUCT(--('Данные 2st'!$Q$2:$Q$317=$A45),--ISNUMBER('Данные 2st'!$JW$2:$JW$317))</f>
        <v>3</v>
      </c>
      <c r="PG45">
        <f>SUMPRODUCT(--('Данные 2st'!$Q$2:$Q$317=$A45),--ISNUMBER('Данные 2st'!$KF$2:$KF$317))</f>
        <v>3</v>
      </c>
      <c r="PH45">
        <f>SUMPRODUCT(--('Данные 2st'!$Q$2:$Q$317=$A45),--ISNUMBER('Данные 2st'!$KG$2:$KG$317))</f>
        <v>3</v>
      </c>
      <c r="PI45">
        <f>SUMPRODUCT(--('Данные 2st'!$Q$2:$Q$317=$A45),--ISNUMBER('Данные 2st'!$KM$2:$KM$317))</f>
        <v>3</v>
      </c>
      <c r="PJ45">
        <f>SUMPRODUCT(--('Данные 2st'!$Q$2:$Q$317=$A45),--ISNUMBER('Данные 2st'!$KN$2:$KN$317))</f>
        <v>3</v>
      </c>
      <c r="PK45">
        <f>SUMPRODUCT(--('Данные 2st'!$Q$2:$Q$317=$A45),--ISNUMBER('Данные 2st'!$KO$2:$KO$317))</f>
        <v>3</v>
      </c>
      <c r="PL45">
        <f>SUMPRODUCT(--('Данные 2st'!$Q$2:$Q$317=$A45),--ISNUMBER('Данные 2st'!$KP$2:$KP$317))</f>
        <v>3</v>
      </c>
      <c r="PM45">
        <f>SUMPRODUCT(--('Данные 2st'!$Q$2:$Q$317=$A45),--ISNUMBER('Данные 2st'!$KQ$2:$KQ$317))</f>
        <v>3</v>
      </c>
      <c r="PN45">
        <f>SUMPRODUCT(--('Данные 2st'!$Q$2:$Q$317=$A45),--ISNUMBER('Данные 2st'!$KR$2:$KR$317))</f>
        <v>3</v>
      </c>
      <c r="PO45">
        <f>SUMPRODUCT(--('Данные 2st'!$Q$2:$Q$317=$A45),--ISNUMBER('Данные 2st'!$KS$2:$KS$317))</f>
        <v>3</v>
      </c>
      <c r="PP45">
        <f>SUMPRODUCT(--('Данные 2st'!$Q$2:$Q$317=$A45),--ISNUMBER('Данные 2st'!$KT$2:$KT$317))</f>
        <v>3</v>
      </c>
      <c r="PQ45">
        <f>SUMPRODUCT(--('Данные 2st'!$Q$2:$Q$317=$A45),--ISNUMBER('Данные 2st'!$KU$2:$KU$317))</f>
        <v>3</v>
      </c>
      <c r="PR45">
        <f>SUMPRODUCT(--('Данные 2st'!$Q$2:$Q$317=$A45),--ISNUMBER('Данные 2st'!$KV$2:$KV$317))</f>
        <v>3</v>
      </c>
      <c r="PS45">
        <f>SUMPRODUCT(--('Данные 2st'!$Q$2:$Q$317=$A45),--ISNUMBER('Данные 2st'!$KW$2:$KW$317))</f>
        <v>3</v>
      </c>
      <c r="PT45">
        <f>SUMPRODUCT(--('Данные 2st'!$Q$2:$Q$317=$A45),--ISNUMBER('Данные 2st'!$KX$2:$KX$317))</f>
        <v>3</v>
      </c>
      <c r="PU45">
        <f>SUMPRODUCT(--('Данные 2st'!$Q$2:$Q$317=$A45),--ISNUMBER('Данные 2st'!$KY$2:$KY$317))</f>
        <v>3</v>
      </c>
      <c r="PV45">
        <f>SUMPRODUCT(--('Данные 2st'!$Q$2:$Q$317=$A45),--ISNUMBER('Данные 2st'!$KZ$2:$KZ$317))</f>
        <v>3</v>
      </c>
      <c r="PW45">
        <f>SUMPRODUCT(--('Данные 2st'!$Q$2:$Q$317=$A45),--ISNUMBER('Данные 2st'!$LA$2:$LA$317))</f>
        <v>3</v>
      </c>
      <c r="PX45">
        <f>SUMPRODUCT(--('Данные 2st'!$Q$2:$Q$317=$A45),--ISNUMBER('Данные 2st'!$LB$2:$LB$317))</f>
        <v>3</v>
      </c>
      <c r="PY45">
        <f>SUMPRODUCT(--('Данные 2st'!$Q$2:$Q$317=$A45),--ISNUMBER('Данные 2st'!$LC$2:$LC$317))</f>
        <v>3</v>
      </c>
      <c r="PZ45">
        <f>SUMPRODUCT(--('Данные 2st'!$Q$2:$Q$317=$A45),--ISNUMBER('Данные 2st'!$LD$2:$LD$317))</f>
        <v>3</v>
      </c>
      <c r="QA45">
        <f>SUMPRODUCT(--('Данные 2st'!$Q$2:$Q$317=$A45),--ISNUMBER('Данные 2st'!$LE$2:$LE$317))</f>
        <v>3</v>
      </c>
      <c r="QB45">
        <f>SUMPRODUCT(--('Данные 2st'!$Q$2:$Q$317=$A45),--ISNUMBER('Данные 2st'!$LF$2:$LF$317))</f>
        <v>3</v>
      </c>
      <c r="QC45">
        <f>SUMPRODUCT(--('Данные 2st'!$Q$2:$Q$317=$A45),--ISNUMBER('Данные 2st'!$LG$2:$LG$317))</f>
        <v>3</v>
      </c>
      <c r="QD45">
        <f>SUMPRODUCT(--('Данные 2st'!$Q$2:$Q$317=$A45),--ISNUMBER('Данные 2st'!$LH$2:$LH$317))</f>
        <v>3</v>
      </c>
      <c r="QE45">
        <f>SUMPRODUCT(--('Данные 2st'!$Q$2:$Q$317=$A45),--ISNUMBER('Данные 2st'!$LJ$2:$LJ$317))</f>
        <v>3</v>
      </c>
      <c r="QF45">
        <f>SUMPRODUCT(--('Данные 2st'!$Q$2:$Q$317=$A45),--ISNUMBER('Данные 2st'!$LK$2:$LK$317))</f>
        <v>3</v>
      </c>
      <c r="QG45">
        <f>SUMPRODUCT(--('Данные 2st'!$Q$2:$Q$317=$A45),--ISNUMBER('Данные 2st'!$LL$2:$LL$317))</f>
        <v>3</v>
      </c>
      <c r="QH45">
        <f>SUMPRODUCT(--('Данные 2st'!$Q$2:$Q$317=$A45),--ISNUMBER('Данные 2st'!$LM$2:$LM$317))</f>
        <v>3</v>
      </c>
      <c r="QI45">
        <f>SUMPRODUCT(--('Данные 2st'!$Q$2:$Q$317=$A45),--ISNUMBER('Данные 2st'!$LN$2:$LN$317))</f>
        <v>3</v>
      </c>
      <c r="QJ45">
        <f>SUMPRODUCT(--('Данные 2st'!$Q$2:$Q$317=$A45),--ISNUMBER('Данные 2st'!$LO$2:$LO$317))</f>
        <v>3</v>
      </c>
      <c r="QK45">
        <f>SUMPRODUCT(--('Данные 2st'!$Q$2:$Q$317=$A45),--ISNUMBER('Данные 2st'!$LP$2:$LP$317))</f>
        <v>3</v>
      </c>
      <c r="QL45">
        <f>SUMPRODUCT(--('Данные 2st'!$Q$2:$Q$317=$A45),--ISNUMBER('Данные 2st'!$LQ$2:$LQ$317))</f>
        <v>3</v>
      </c>
      <c r="QM45">
        <f>SUMPRODUCT(--('Данные 2st'!$Q$2:$Q$317=$A45),--ISNUMBER('Данные 2st'!$LW$2:$LW$317))</f>
        <v>3</v>
      </c>
      <c r="QN45">
        <f>SUMPRODUCT(--('Данные 2st'!$Q$2:$Q$317=$A45),--ISNUMBER('Данные 2st'!$LX$2:$LX$317))</f>
        <v>3</v>
      </c>
      <c r="QO45">
        <f>SUMPRODUCT(--('Данные 2st'!$Q$2:$Q$317=$A45),--ISNUMBER('Данные 2st'!$LY$2:$LY$317))</f>
        <v>3</v>
      </c>
      <c r="QP45">
        <f>SUMPRODUCT(--('Данные 2st'!$Q$2:$Q$317=$A45),--ISNUMBER('Данные 2st'!$LZ$2:$LZ$317))</f>
        <v>3</v>
      </c>
      <c r="QQ45">
        <f>SUMPRODUCT(--('Данные 2st'!$Q$2:$Q$317=$A45),--ISNUMBER('Данные 2st'!$MB$2:$MB$317))</f>
        <v>3</v>
      </c>
      <c r="QR45">
        <f>SUMPRODUCT(--('Данные 2st'!$Q$2:$Q$317=$A45),--ISNUMBER('Данные 2st'!$MG$2:$MG$317))</f>
        <v>3</v>
      </c>
      <c r="QS45">
        <f>SUMPRODUCT(--('Данные 2st'!$Q$2:$Q$317=$A45),--ISNUMBER('Данные 2st'!$MH$2:$MH$317))</f>
        <v>3</v>
      </c>
      <c r="QT45">
        <f>SUMPRODUCT(--('Данные 2st'!$Q$2:$Q$317=$A45),--ISNUMBER('Данные 2st'!$MI$2:$MI$317))</f>
        <v>3</v>
      </c>
      <c r="QU45">
        <f>SUMPRODUCT(--('Данные 2st'!$Q$2:$Q$317=$A45),--ISNUMBER('Данные 2st'!$MJ$2:$MJ$317))</f>
        <v>3</v>
      </c>
      <c r="QV45">
        <f>SUMPRODUCT(--('Данные 2st'!$Q$2:$Q$317=$A45),--ISNUMBER('Данные 2st'!$MK$2:$MK$317))</f>
        <v>3</v>
      </c>
      <c r="QW45">
        <f>SUMPRODUCT(--('Данные 2st'!$Q$2:$Q$317=$A45),--ISNUMBER('Данные 2st'!$MM$2:$MM$317))</f>
        <v>3</v>
      </c>
      <c r="QX45">
        <f>SUMPRODUCT(--('Данные 2st'!$Q$2:$Q$317=$A45),--ISNUMBER('Данные 2st'!$MQ$2:$MQ$317))</f>
        <v>0</v>
      </c>
      <c r="QY45">
        <f>SUMPRODUCT(--('Данные 2st'!$Q$2:$Q$317=$A45),--ISNUMBER('Данные 2st'!$MR$2:$MR$317))</f>
        <v>0</v>
      </c>
      <c r="QZ45">
        <f>SUMPRODUCT(--('Данные 2st'!$Q$2:$Q$317=$A45),--ISNUMBER('Данные 2st'!$MS$2:$MS$317))</f>
        <v>0</v>
      </c>
      <c r="RA45">
        <f>SUMPRODUCT(--('Данные 2st'!$Q$2:$Q$317=$A45),--ISNUMBER('Данные 2st'!$MT$2:$MT$317))</f>
        <v>0</v>
      </c>
      <c r="RB45">
        <f>SUMPRODUCT(--('Данные 2st'!$Q$2:$Q$317=$A45),--ISNUMBER('Данные 2st'!$MU$2:$MU$317))</f>
        <v>0</v>
      </c>
      <c r="RC45">
        <f>SUMPRODUCT(--('Данные 2st'!$Q$2:$Q$317=$A45),--ISNUMBER('Данные 2st'!$MV$2:$MV$317))</f>
        <v>0</v>
      </c>
      <c r="RD45">
        <f>SUMPRODUCT(--('Данные 2st'!$Q$2:$Q$317=$A45),--ISNUMBER('Данные 2st'!$MW$2:$MW$317))</f>
        <v>0</v>
      </c>
      <c r="RE45">
        <f>SUMPRODUCT(--('Данные 2st'!$Q$2:$Q$317=$A45),--ISNUMBER('Данные 2st'!$MX$2:$MX$317))</f>
        <v>0</v>
      </c>
      <c r="RF45">
        <f>SUMPRODUCT(--('Данные 2st'!$Q$2:$Q$317=$A45),--ISNUMBER('Данные 2st'!$MY$2:$MY$317))</f>
        <v>0</v>
      </c>
      <c r="RG45">
        <f>SUMPRODUCT(--('Данные 2st'!$Q$2:$Q$317=$A45),--ISNUMBER('Данные 2st'!$MZ$2:$MZ$317))</f>
        <v>0</v>
      </c>
      <c r="RH45">
        <f>SUMPRODUCT(--('Данные 2st'!$Q$2:$Q$317=$A45),--ISNUMBER('Данные 2st'!$NA$2:$NA$317))</f>
        <v>0</v>
      </c>
      <c r="RI45">
        <f>SUMPRODUCT(--('Данные 2st'!$Q$2:$Q$317=$A45),--ISNUMBER('Данные 2st'!$NB$2:$NB$317))</f>
        <v>0</v>
      </c>
      <c r="RJ45">
        <f>SUMPRODUCT(--('Данные 2st'!$Q$2:$Q$317=$A45),--ISNUMBER('Данные 2st'!$NC$2:$NC$317))</f>
        <v>0</v>
      </c>
      <c r="RK45">
        <f>SUMPRODUCT(--('Данные 2st'!$Q$2:$Q$317=$A45),--ISNUMBER('Данные 2st'!$ND$2:$ND$317))</f>
        <v>0</v>
      </c>
      <c r="RL45">
        <f>SUMPRODUCT(--('Данные 2st'!$Q$2:$Q$317=$A45),--ISNUMBER('Данные 2st'!$NE$2:$NE$317))</f>
        <v>0</v>
      </c>
      <c r="RM45">
        <f>SUMPRODUCT(--('Данные 2st'!$Q$2:$Q$317=$A45),--ISNUMBER('Данные 2st'!$NF$2:$NF$317))</f>
        <v>0</v>
      </c>
      <c r="RN45">
        <f>SUMPRODUCT(--('Данные 2st'!$Q$2:$Q$317=$A45),--ISNUMBER('Данные 2st'!$NG$2:$NG$317))</f>
        <v>0</v>
      </c>
      <c r="RO45">
        <f>SUMPRODUCT(--('Данные 2st'!$Q$2:$Q$317=$A45),--ISNUMBER('Данные 2st'!$NH$2:$NH$317))</f>
        <v>0</v>
      </c>
      <c r="RP45">
        <f>SUMPRODUCT(--('Данные 2st'!$Q$2:$Q$317=$A45),--ISNUMBER('Данные 2st'!$NJ$2:$NJ$317))</f>
        <v>0</v>
      </c>
      <c r="RQ45">
        <f>SUMPRODUCT(--('Данные 2st'!$Q$2:$Q$317=$A45),--ISNUMBER('Данные 2st'!$NK$2:$NK$317))</f>
        <v>0</v>
      </c>
      <c r="RR45">
        <f>SUMPRODUCT(--('Данные 2st'!$Q$2:$Q$317=$A45),--ISNUMBER('Данные 2st'!$NM$2:$NM$317))</f>
        <v>0</v>
      </c>
      <c r="RS45">
        <f>SUMPRODUCT(--('Данные 2st'!$Q$2:$Q$317=$A45),--ISNUMBER('Данные 2st'!$NN$2:$NN$317))</f>
        <v>0</v>
      </c>
      <c r="RT45">
        <f>SUMPRODUCT(--('Данные 2st'!$Q$2:$Q$317=$A45),--ISNUMBER('Данные 2st'!$NO$2:$NO$317))</f>
        <v>0</v>
      </c>
      <c r="RU45">
        <f>SUMPRODUCT(--('Данные 2st'!$Q$2:$Q$317=$A45),--ISNUMBER('Данные 2st'!$NP$2:$NP$317))</f>
        <v>0</v>
      </c>
      <c r="RV45">
        <f>SUMPRODUCT(--('Данные 2st'!$Q$2:$Q$317=$A45),--ISNUMBER('Данные 2st'!$NQ$2:$NQ$317))</f>
        <v>0</v>
      </c>
      <c r="RW45">
        <f>SUMPRODUCT(--('Данные 2st'!$Q$2:$Q$317=$A45),--ISNUMBER('Данные 2st'!$NR$2:$NR$317))</f>
        <v>0</v>
      </c>
      <c r="RX45">
        <f>SUMPRODUCT(--('Данные 2st'!$Q$2:$Q$317=$A45),--ISNUMBER('Данные 2st'!$NS$2:$NS$317))</f>
        <v>0</v>
      </c>
      <c r="RY45">
        <f>SUMPRODUCT(--('Данные 2st'!$Q$2:$Q$317=$A45),--ISNUMBER('Данные 2st'!$NT$2:$NT$317))</f>
        <v>0</v>
      </c>
      <c r="RZ45">
        <f>SUMPRODUCT(--('Данные 2st'!$Q$2:$Q$317=$A45),--ISNUMBER('Данные 2st'!$OK$2:$OK$317))</f>
        <v>3</v>
      </c>
      <c r="SA45">
        <f>SUMPRODUCT(--('Данные 2st'!$Q$2:$Q$317=$A45),--ISNUMBER('Данные 2st'!$OL$2:$OL$317))</f>
        <v>3</v>
      </c>
      <c r="SB45">
        <f>SUMPRODUCT(--('Данные 2st'!$Q$2:$Q$317=$A45),--ISNUMBER('Данные 2st'!$ON$2:$ON$317))</f>
        <v>3</v>
      </c>
      <c r="SC45">
        <f>SUMPRODUCT(--('Данные 2st'!$Q$2:$Q$317=$A45),--ISNUMBER('Данные 2st'!$OO$2:$OO$317))</f>
        <v>3</v>
      </c>
      <c r="SD45">
        <f>SUMPRODUCT(--('Данные 2st'!$Q$2:$Q$317=$A45),--ISNUMBER('Данные 2st'!$OP$2:$OP$317))</f>
        <v>3</v>
      </c>
      <c r="SE45">
        <f>SUMPRODUCT(--('Данные 2st'!$Q$2:$Q$317=$A45),--ISNUMBER('Данные 2st'!$OQ$2:$OQ$317))</f>
        <v>3</v>
      </c>
      <c r="SF45">
        <f>SUMPRODUCT(--('Данные 2st'!$Q$2:$Q$317=$A45),--ISNUMBER('Данные 2st'!$OS$2:$OS$317))</f>
        <v>3</v>
      </c>
      <c r="SG45">
        <f>SUMPRODUCT(--('Данные 2st'!$Q$2:$Q$317=$A45),--ISNUMBER('Данные 2st'!$OT$2:$OT$317))</f>
        <v>3</v>
      </c>
      <c r="SH45">
        <f>SUMPRODUCT(--('Данные 2st'!$Q$2:$Q$317=$A45),--ISNUMBER('Данные 2st'!$OU$2:$OU$317))</f>
        <v>3</v>
      </c>
      <c r="SI45">
        <f>SUMPRODUCT(--('Данные 2st'!$Q$2:$Q$317=$A45),--ISNUMBER('Данные 2st'!$OV$2:$OV$317))</f>
        <v>3</v>
      </c>
      <c r="SJ45">
        <f>SUMPRODUCT(--('Данные 2st'!$Q$2:$Q$317=$A45),--ISNUMBER('Данные 2st'!$OX$2:$OX$317))</f>
        <v>3</v>
      </c>
      <c r="SK45">
        <f>SUMPRODUCT(--('Данные 2st'!$Q$2:$Q$317=$A45),--ISNUMBER('Данные 2st'!$OY$2:$OY$317))</f>
        <v>3</v>
      </c>
      <c r="SL45">
        <f>SUMPRODUCT(--('Данные 2st'!$Q$2:$Q$317=$A45),--ISNUMBER('Данные 2st'!$OZ$2:$OZ$317))</f>
        <v>3</v>
      </c>
      <c r="SM45">
        <f>SUMPRODUCT(--('Данные 2st'!$Q$2:$Q$317=$A45),--ISNUMBER('Данные 2st'!$PA$2:$PA$317))</f>
        <v>3</v>
      </c>
      <c r="SN45">
        <f>SUMPRODUCT(--('Данные 2st'!$Q$2:$Q$317=$A45),--ISNUMBER('Данные 2st'!$PC$2:$PC$317))</f>
        <v>3</v>
      </c>
      <c r="SO45">
        <f>SUMPRODUCT(--('Данные 2st'!$Q$2:$Q$317=$A45),--ISNUMBER('Данные 2st'!$PD$2:$PD$317))</f>
        <v>3</v>
      </c>
      <c r="SP45">
        <f>SUMPRODUCT(--('Данные 2st'!$Q$2:$Q$317=$A45),--ISNUMBER('Данные 2st'!$PF$2:$PF$317))</f>
        <v>3</v>
      </c>
      <c r="SQ45">
        <f>SUMPRODUCT(--('Данные 2st'!$Q$2:$Q$317=$A45),--ISNUMBER('Данные 2st'!$PG$2:$PG$317))</f>
        <v>3</v>
      </c>
      <c r="SR45">
        <f>SUMPRODUCT(--('Данные 2st'!$Q$2:$Q$317=$A45),--ISNUMBER('Данные 2st'!$PH$2:$PH$317))</f>
        <v>3</v>
      </c>
      <c r="SS45">
        <f>SUMPRODUCT(--('Данные 2st'!$Q$2:$Q$317=$A45),--ISNUMBER('Данные 2st'!$PI$2:$PI$317))</f>
        <v>3</v>
      </c>
      <c r="ST45">
        <f>SUMPRODUCT(--('Данные 2st'!$Q$2:$Q$317=$A45),--ISNUMBER('Данные 2st'!$PJ$2:$PJ$317))</f>
        <v>3</v>
      </c>
      <c r="SU45">
        <f>SUMPRODUCT(--('Данные 2st'!$Q$2:$Q$317=$A45),--ISNUMBER('Данные 2st'!$PK$2:$PK$317))</f>
        <v>3</v>
      </c>
      <c r="SV45">
        <f>SUMPRODUCT(--('Данные 2st'!$Q$2:$Q$317=$A45),--ISNUMBER('Данные 2st'!$PL$2:$PL$317))</f>
        <v>3</v>
      </c>
      <c r="SW45">
        <f>SUMPRODUCT(--('Данные 2st'!$Q$2:$Q$317=$A45),--ISNUMBER('Данные 2st'!$PM$2:$PM$317))</f>
        <v>3</v>
      </c>
      <c r="SX45">
        <f>SUMPRODUCT(--('Данные 2st'!$Q$2:$Q$317=$A45),--ISNUMBER('Данные 2st'!$PN$2:$PN$317))</f>
        <v>3</v>
      </c>
      <c r="SY45">
        <f>SUMPRODUCT(--('Данные 2st'!$Q$2:$Q$317=$A45),--ISNUMBER('Данные 2st'!$PO$2:$PO$317))</f>
        <v>3</v>
      </c>
      <c r="SZ45">
        <f>SUMPRODUCT(--('Данные 2st'!$Q$2:$Q$317=$A45),--ISNUMBER('Данные 2st'!$PP$2:$PP$317))</f>
        <v>3</v>
      </c>
      <c r="TA45">
        <f>SUMPRODUCT(--('Данные 2st'!$Q$2:$Q$317=$A45),--ISNUMBER('Данные 2st'!$PQ$2:$PQ$317))</f>
        <v>3</v>
      </c>
      <c r="TB45">
        <f>SUMPRODUCT(--('Данные 2st'!$Q$2:$Q$317=$A45),--ISNUMBER('Данные 2st'!$PR$2:$PR$317))</f>
        <v>3</v>
      </c>
      <c r="TC45">
        <f>SUMPRODUCT(--('Данные 2st'!$Q$2:$Q$317=$A45),--ISNUMBER('Данные 2st'!$PS$2:$PS$317))</f>
        <v>3</v>
      </c>
      <c r="TD45">
        <f>SUMPRODUCT(--('Данные 2st'!$Q$2:$Q$317=$A45),--ISNUMBER('Данные 2st'!$PT$2:$PT$317))</f>
        <v>3</v>
      </c>
      <c r="TE45">
        <f>SUMPRODUCT(--('Данные 2st'!$Q$2:$Q$317=$A45),--ISNUMBER('Данные 2st'!$PU$2:$PU$317))</f>
        <v>3</v>
      </c>
      <c r="TF45">
        <f>SUMPRODUCT(--('Данные 2st'!$Q$2:$Q$317=$A45),--ISNUMBER('Данные 2st'!$PX$2:$PX$317))</f>
        <v>3</v>
      </c>
      <c r="TG45">
        <f>SUMPRODUCT(--('Данные 2st'!$Q$2:$Q$317=$A45),--ISNUMBER('Данные 2st'!$PY$2:$PY$317))</f>
        <v>3</v>
      </c>
      <c r="TH45">
        <f>SUMPRODUCT(--('Данные 2st'!$Q$2:$Q$317=$A45),--ISNUMBER('Данные 2st'!$PZ$2:$PZ$317))</f>
        <v>3</v>
      </c>
      <c r="TI45">
        <f>SUMPRODUCT(--('Данные 2st'!$Q$2:$Q$317=$A45),--ISNUMBER('Данные 2st'!$QA$2:$QA$317))</f>
        <v>3</v>
      </c>
      <c r="TJ45">
        <f>SUMPRODUCT(--('Данные 2st'!$Q$2:$Q$317=$A45),--ISNUMBER('Данные 2st'!$QB$2:$QB$317))</f>
        <v>3</v>
      </c>
      <c r="TK45">
        <f>SUMPRODUCT(--('Данные 2st'!$Q$2:$Q$317=$A45),--ISNUMBER('Данные 2st'!$QC$2:$QC$317))</f>
        <v>3</v>
      </c>
      <c r="TL45">
        <f>SUMPRODUCT(--('Данные 2st'!$Q$2:$Q$317=$A45),--ISNUMBER('Данные 2st'!$QD$2:$QD$317))</f>
        <v>3</v>
      </c>
      <c r="TM45">
        <f>SUMPRODUCT(--('Данные 2st'!$Q$2:$Q$317=$A45),--ISNUMBER('Данные 2st'!$QE$2:$QE$317))</f>
        <v>3</v>
      </c>
      <c r="TN45">
        <f>SUMPRODUCT(--('Данные 2st'!$Q$2:$Q$317=$A45),--ISNUMBER('Данные 2st'!$QF$2:$QF$317))</f>
        <v>3</v>
      </c>
      <c r="TO45">
        <f>SUMPRODUCT(--('Данные 2st'!$Q$2:$Q$317=$A45),--ISNUMBER('Данные 2st'!$QG$2:$QG$317))</f>
        <v>3</v>
      </c>
      <c r="TP45">
        <f>SUMPRODUCT(--('Данные 2st'!$Q$2:$Q$317=$A45),--ISNUMBER('Данные 2st'!$QH$2:$QH$317))</f>
        <v>3</v>
      </c>
      <c r="TQ45">
        <f>SUMPRODUCT(--('Данные 2st'!$Q$2:$Q$317=$A45),--ISNUMBER('Данные 2st'!$QI$2:$QI$317))</f>
        <v>3</v>
      </c>
      <c r="TR45">
        <f>SUMPRODUCT(--('Данные 2st'!$Q$2:$Q$317=$A45),--ISNUMBER('Данные 2st'!$QJ$2:$QJ$317))</f>
        <v>3</v>
      </c>
      <c r="TS45">
        <f>SUMPRODUCT(--('Данные 2st'!$Q$2:$Q$317=$A45),--ISNUMBER('Данные 2st'!$QK$2:$QK$317))</f>
        <v>3</v>
      </c>
      <c r="TT45">
        <f>SUMPRODUCT(--('Данные 2st'!$Q$2:$Q$317=$A45),--ISNUMBER('Данные 2st'!$QL$2:$QL$317))</f>
        <v>3</v>
      </c>
      <c r="TU45">
        <f>SUMPRODUCT(--('Данные 2st'!$Q$2:$Q$317=$A45),--ISNUMBER('Данные 2st'!$QM$2:$QM$317))</f>
        <v>3</v>
      </c>
      <c r="TV45">
        <f>SUMPRODUCT(--('Данные 2st'!$Q$2:$Q$317=$A45),--ISNUMBER('Данные 2st'!$QN$2:$QN$317))</f>
        <v>3</v>
      </c>
      <c r="TW45">
        <f>SUMPRODUCT(--('Данные 2st'!$Q$2:$Q$317=$A45),--ISNUMBER('Данные 2st'!$QQ$2:$QQ$317))</f>
        <v>3</v>
      </c>
      <c r="TX45">
        <f>SUMPRODUCT(--('Данные 2st'!$Q$2:$Q$317=$A45),--ISNUMBER('Данные 2st'!$QS$2:$QS$317))</f>
        <v>3</v>
      </c>
      <c r="TY45">
        <f>SUMPRODUCT(--('Данные 2st'!$Q$2:$Q$317=$A45),--ISNUMBER('Данные 2st'!$QT$2:$QT$317))</f>
        <v>3</v>
      </c>
    </row>
    <row r="46" spans="1:545" ht="32" customHeight="1">
      <c r="A46" s="11" t="str">
        <f>'По размерам'!A46</f>
        <v>235/50R19</v>
      </c>
      <c r="G46">
        <f>SUMPRODUCT(--('Данные 1st'!$S$2:$S$317=$A46),--ISNUMBER('Данные 1st'!$AE$2:$AE$317))</f>
        <v>7</v>
      </c>
      <c r="H46">
        <f>SUMPRODUCT(--('Данные 1st'!$S$2:$S$317=$A46),--ISNUMBER('Данные 1st'!$AF$2:$AF$317))</f>
        <v>7</v>
      </c>
      <c r="I46">
        <f>SUMPRODUCT(--('Данные 1st'!$S$2:$S$317=$A46),--ISNUMBER('Данные 1st'!$AJ$2:$AJ$317))</f>
        <v>7</v>
      </c>
      <c r="J46">
        <f>SUMPRODUCT(--('Данные 1st'!$S$2:$S$317=$A46),--ISNUMBER('Данные 1st'!$AL$2:$AL$317))</f>
        <v>7</v>
      </c>
      <c r="K46">
        <f>SUMPRODUCT(--('Данные 1st'!$S$2:$S$317=$A46),--ISNUMBER('Данные 1st'!$AR$2:$AR$317))</f>
        <v>7</v>
      </c>
      <c r="L46">
        <f>SUMPRODUCT(--('Данные 1st'!$S$2:$S$317=$A46),--ISNUMBER('Данные 1st'!$AS$2:$AS$317))</f>
        <v>7</v>
      </c>
      <c r="M46">
        <f>SUMPRODUCT(--('Данные 1st'!$S$2:$S$317=$A46),--ISNUMBER('Данные 1st'!$AY$2:$AY$317))</f>
        <v>7</v>
      </c>
      <c r="N46">
        <f>SUMPRODUCT(--('Данные 1st'!$S$2:$S$317=$A46),--ISNUMBER('Данные 1st'!$AZ$2:$AZ$317))</f>
        <v>7</v>
      </c>
      <c r="O46">
        <f>SUMPRODUCT(--('Данные 1st'!$S$2:$S$317=$A46),--ISNUMBER('Данные 1st'!$BF$2:$BF$317))</f>
        <v>3</v>
      </c>
      <c r="P46">
        <f>SUMPRODUCT(--('Данные 1st'!$S$2:$S$317=$A46),--ISNUMBER('Данные 1st'!$BG$2:$BG$317))</f>
        <v>7</v>
      </c>
      <c r="Q46">
        <f>SUMPRODUCT(--('Данные 1st'!$S$2:$S$317=$A46),--ISNUMBER('Данные 1st'!$BM$2:$BM$317))</f>
        <v>0</v>
      </c>
      <c r="R46">
        <f>SUMPRODUCT(--('Данные 1st'!$S$2:$S$317=$A46),--ISNUMBER('Данные 1st'!$BN$2:$BN$317))</f>
        <v>7</v>
      </c>
      <c r="S46">
        <f>SUMPRODUCT(--('Данные 1st'!$S$2:$S$317=$A46),--ISNUMBER('Данные 1st'!$BT$2:$BT$317))</f>
        <v>7</v>
      </c>
      <c r="T46">
        <f>SUMPRODUCT(--('Данные 1st'!$S$2:$S$317=$A46),--ISNUMBER('Данные 1st'!$BU$2:$BU$317))</f>
        <v>7</v>
      </c>
      <c r="U46">
        <f>SUMPRODUCT(--('Данные 1st'!$S$2:$S$317=$A46),--ISNUMBER('Данные 1st'!$BW$2:$BW$317))</f>
        <v>7</v>
      </c>
      <c r="V46">
        <f>SUMPRODUCT(--('Данные 1st'!$S$2:$S$317=$A46),--ISNUMBER('Данные 1st'!$BX$2:$BX$317))</f>
        <v>7</v>
      </c>
      <c r="W46">
        <f>SUMPRODUCT(--('Данные 1st'!$S$2:$S$317=$A46),--ISNUMBER('Данные 1st'!$BZ$2:$BZ$317))</f>
        <v>7</v>
      </c>
      <c r="X46">
        <f>SUMPRODUCT(--('Данные 1st'!$S$2:$S$317=$A46),--ISNUMBER('Данные 1st'!$CA$2:$CA$317))</f>
        <v>7</v>
      </c>
      <c r="Y46">
        <f>SUMPRODUCT(--('Данные 1st'!$S$2:$S$317=$A46),--ISNUMBER('Данные 1st'!$CD$2:$CD$317))</f>
        <v>7</v>
      </c>
      <c r="Z46">
        <f>SUMPRODUCT(--('Данные 1st'!$S$2:$S$317=$A46),--ISNUMBER('Данные 1st'!$CF$2:$CF$317))</f>
        <v>7</v>
      </c>
      <c r="AA46">
        <f>SUMPRODUCT(--('Данные 1st'!$S$2:$S$317=$A46),--ISNUMBER('Данные 1st'!$CI$2:$CI$317))</f>
        <v>7</v>
      </c>
      <c r="AB46">
        <f>SUMPRODUCT(--('Данные 1st'!$S$2:$S$317=$A46),--ISNUMBER('Данные 1st'!$CJ$2:$CJ$317))</f>
        <v>7</v>
      </c>
      <c r="AC46">
        <f>SUMPRODUCT(--('Данные 1st'!$S$2:$S$317=$A46),--ISNUMBER('Данные 1st'!$CK$2:$CK$317))</f>
        <v>7</v>
      </c>
      <c r="AD46">
        <f>SUMPRODUCT(--('Данные 1st'!$S$2:$S$317=$A46),--ISNUMBER('Данные 1st'!$CL$2:$CL$317))</f>
        <v>7</v>
      </c>
      <c r="AE46">
        <f>SUMPRODUCT(--('Данные 1st'!$S$2:$S$317=$A46),--ISNUMBER('Данные 1st'!$CM$2:$CM$317))</f>
        <v>7</v>
      </c>
      <c r="AF46">
        <f>SUMPRODUCT(--('Данные 1st'!$S$2:$S$317=$A46),--ISNUMBER('Данные 1st'!$CT$2:$CT$317))</f>
        <v>7</v>
      </c>
      <c r="AG46">
        <f>SUMPRODUCT(--('Данные 1st'!$S$2:$S$317=$A46),--ISNUMBER('Данные 1st'!$CU$2:$CU$317))</f>
        <v>7</v>
      </c>
      <c r="AH46">
        <f>SUMPRODUCT(--('Данные 1st'!$S$2:$S$317=$A46),--ISNUMBER('Данные 1st'!$CV$2:$CV$317))</f>
        <v>7</v>
      </c>
      <c r="AI46">
        <f>SUMPRODUCT(--('Данные 1st'!$S$2:$S$317=$A46),--ISNUMBER('Данные 1st'!$CW$2:$CW$317))</f>
        <v>7</v>
      </c>
      <c r="AJ46">
        <f>SUMPRODUCT(--('Данные 1st'!$S$2:$S$317=$A46),--ISNUMBER('Данные 1st'!$CX$2:$CX$317))</f>
        <v>7</v>
      </c>
      <c r="AK46">
        <f>SUMPRODUCT(--('Данные 1st'!$S$2:$S$317=$A46),--ISNUMBER('Данные 1st'!$CZ$2:$CZ$317))</f>
        <v>7</v>
      </c>
      <c r="AL46">
        <f>SUMPRODUCT(--('Данные 1st'!$S$2:$S$317=$A46),--ISNUMBER('Данные 1st'!$DA$2:$DA$317))</f>
        <v>7</v>
      </c>
      <c r="AM46">
        <f>SUMPRODUCT(--('Данные 1st'!$S$2:$S$317=$A46),--ISNUMBER('Данные 1st'!$DB$2:$DB$317))</f>
        <v>7</v>
      </c>
      <c r="AN46">
        <f>SUMPRODUCT(--('Данные 1st'!$S$2:$S$317=$A46),--ISNUMBER('Данные 1st'!$DC$2:$DC$317))</f>
        <v>7</v>
      </c>
      <c r="AO46">
        <f>SUMPRODUCT(--('Данные 1st'!$S$2:$S$317=$A46),--ISNUMBER('Данные 1st'!$DD$2:$DD$317))</f>
        <v>7</v>
      </c>
      <c r="AP46">
        <f>SUMPRODUCT(--('Данные 1st'!$S$2:$S$317=$A46),--ISNUMBER('Данные 1st'!$DF$2:$DF$317))</f>
        <v>7</v>
      </c>
      <c r="AQ46">
        <f>SUMPRODUCT(--('Данные 1st'!$S$2:$S$317=$A46),--ISNUMBER('Данные 1st'!$DG$2:$DG$317))</f>
        <v>7</v>
      </c>
      <c r="AR46">
        <f>SUMPRODUCT(--('Данные 1st'!$S$2:$S$317=$A46),--ISNUMBER('Данные 1st'!$DH$2:$DH$317))</f>
        <v>7</v>
      </c>
      <c r="AS46">
        <f>SUMPRODUCT(--('Данные 1st'!$S$2:$S$317=$A46),--ISNUMBER('Данные 1st'!$DI$2:$DI$317))</f>
        <v>7</v>
      </c>
      <c r="AT46">
        <f>SUMPRODUCT(--('Данные 1st'!$S$2:$S$317=$A46),--ISNUMBER('Данные 1st'!$DJ$2:$DJ$317))</f>
        <v>7</v>
      </c>
      <c r="AU46">
        <f>SUMPRODUCT(--('Данные 1st'!$S$2:$S$317=$A46),--ISNUMBER('Данные 1st'!$DL$2:$DL$317))</f>
        <v>3</v>
      </c>
      <c r="AV46">
        <f>SUMPRODUCT(--('Данные 1st'!$S$2:$S$317=$A46),--ISNUMBER('Данные 1st'!$DM$2:$DM$317))</f>
        <v>3</v>
      </c>
      <c r="AW46">
        <f>SUMPRODUCT(--('Данные 1st'!$S$2:$S$317=$A46),--ISNUMBER('Данные 1st'!$DN$2:$DN$317))</f>
        <v>3</v>
      </c>
      <c r="AX46">
        <f>SUMPRODUCT(--('Данные 1st'!$S$2:$S$317=$A46),--ISNUMBER('Данные 1st'!$DO$2:$DO$317))</f>
        <v>3</v>
      </c>
      <c r="AY46">
        <f>SUMPRODUCT(--('Данные 1st'!$S$2:$S$317=$A46),--ISNUMBER('Данные 1st'!$DP$2:$DP$317))</f>
        <v>3</v>
      </c>
      <c r="AZ46">
        <f>SUMPRODUCT(--('Данные 1st'!$S$2:$S$317=$A46),--ISNUMBER('Данные 1st'!$DR$2:$DR$317))</f>
        <v>0</v>
      </c>
      <c r="BA46">
        <f>SUMPRODUCT(--('Данные 1st'!$S$2:$S$317=$A46),--ISNUMBER('Данные 1st'!$DS$2:$DS$317))</f>
        <v>0</v>
      </c>
      <c r="BB46">
        <f>SUMPRODUCT(--('Данные 1st'!$S$2:$S$317=$A46),--ISNUMBER('Данные 1st'!$DT$2:$DT$317))</f>
        <v>0</v>
      </c>
      <c r="BC46">
        <f>SUMPRODUCT(--('Данные 1st'!$S$2:$S$317=$A46),--ISNUMBER('Данные 1st'!$DU$2:$DU$317))</f>
        <v>0</v>
      </c>
      <c r="BD46">
        <f>SUMPRODUCT(--('Данные 1st'!$S$2:$S$317=$A46),--ISNUMBER('Данные 1st'!$DV$2:$DV$317))</f>
        <v>0</v>
      </c>
      <c r="BE46">
        <f>SUMPRODUCT(--('Данные 1st'!$S$2:$S$317=$A46),--ISNUMBER('Данные 1st'!$DX$2:$DX$317))</f>
        <v>7</v>
      </c>
      <c r="BF46">
        <f>SUMPRODUCT(--('Данные 1st'!$S$2:$S$317=$A46),--ISNUMBER('Данные 1st'!$EA$2:$EA$317))</f>
        <v>7</v>
      </c>
      <c r="BG46">
        <f>SUMPRODUCT(--('Данные 1st'!$S$2:$S$317=$A46),--ISNUMBER('Данные 1st'!$EB$2:$EB$317))</f>
        <v>7</v>
      </c>
      <c r="BH46">
        <f>SUMPRODUCT(--('Данные 1st'!$S$2:$S$317=$A46),--ISNUMBER('Данные 1st'!$ED$2:$ED$317))</f>
        <v>7</v>
      </c>
      <c r="BI46">
        <f>SUMPRODUCT(--('Данные 1st'!$S$2:$S$317=$A46),--ISNUMBER('Данные 1st'!$EE$2:$EE$317))</f>
        <v>7</v>
      </c>
      <c r="BJ46">
        <f>SUMPRODUCT(--('Данные 1st'!$S$2:$S$317=$A46),--ISNUMBER('Данные 1st'!$EG$2:$EG$317))</f>
        <v>7</v>
      </c>
      <c r="BK46">
        <f>SUMPRODUCT(--('Данные 1st'!$S$2:$S$317=$A46),--ISNUMBER('Данные 1st'!$EH$2:$EH$317))</f>
        <v>7</v>
      </c>
      <c r="BL46">
        <f>SUMPRODUCT(--('Данные 1st'!$S$2:$S$317=$A46),--ISNUMBER('Данные 1st'!$EJ$2:$EJ$317))</f>
        <v>7</v>
      </c>
      <c r="BM46">
        <f>SUMPRODUCT(--('Данные 1st'!$S$2:$S$317=$A46),--ISNUMBER('Данные 1st'!$EK$2:$EK$317))</f>
        <v>7</v>
      </c>
      <c r="BN46">
        <f>SUMPRODUCT(--('Данные 1st'!$S$2:$S$317=$A46),--ISNUMBER('Данные 1st'!$EN$2:$EN$317))</f>
        <v>7</v>
      </c>
      <c r="BO46">
        <f>SUMPRODUCT(--('Данные 1st'!$S$2:$S$317=$A46),--ISNUMBER('Данные 1st'!$EQ$2:$EQ$317))</f>
        <v>7</v>
      </c>
      <c r="BP46">
        <f>SUMPRODUCT(--('Данные 1st'!$S$2:$S$317=$A46),--ISNUMBER('Данные 1st'!$ER$2:$ER$317))</f>
        <v>7</v>
      </c>
      <c r="BQ46">
        <f>SUMPRODUCT(--('Данные 1st'!$S$2:$S$317=$A46),--ISNUMBER('Данные 1st'!$ES$2:$ES$317))</f>
        <v>7</v>
      </c>
      <c r="BR46">
        <f>SUMPRODUCT(--('Данные 1st'!$S$2:$S$317=$A46),--ISNUMBER('Данные 1st'!$ET$2:$ET$317))</f>
        <v>7</v>
      </c>
      <c r="BS46">
        <f>SUMPRODUCT(--('Данные 1st'!$S$2:$S$317=$A46),--ISNUMBER('Данные 1st'!$EU$2:$EU$317))</f>
        <v>7</v>
      </c>
      <c r="BT46">
        <f>SUMPRODUCT(--('Данные 1st'!$S$2:$S$317=$A46),--ISNUMBER('Данные 1st'!$EV$2:$EV$317))</f>
        <v>7</v>
      </c>
      <c r="BU46">
        <f>SUMPRODUCT(--('Данные 1st'!$S$2:$S$317=$A46),--ISNUMBER('Данные 1st'!$EX$2:$EX$317))</f>
        <v>7</v>
      </c>
      <c r="BV46">
        <f>SUMPRODUCT(--('Данные 1st'!$S$2:$S$317=$A46),--ISNUMBER('Данные 1st'!$EY$2:$EY$317))</f>
        <v>7</v>
      </c>
      <c r="BW46">
        <f>SUMPRODUCT(--('Данные 1st'!$S$2:$S$317=$A46),--ISNUMBER('Данные 1st'!$EZ$2:$EZ$317))</f>
        <v>7</v>
      </c>
      <c r="BX46">
        <f>SUMPRODUCT(--('Данные 1st'!$S$2:$S$317=$A46),--ISNUMBER('Данные 1st'!$FA$2:$FA$317))</f>
        <v>7</v>
      </c>
      <c r="BY46">
        <f>SUMPRODUCT(--('Данные 1st'!$S$2:$S$317=$A46),--ISNUMBER('Данные 1st'!$FB$2:$FB$317))</f>
        <v>7</v>
      </c>
      <c r="BZ46">
        <f>SUMPRODUCT(--('Данные 1st'!$S$2:$S$317=$A46),--ISNUMBER('Данные 1st'!$FC$2:$FC$317))</f>
        <v>7</v>
      </c>
      <c r="CA46">
        <f>SUMPRODUCT(--('Данные 1st'!$S$2:$S$317=$A46),--ISNUMBER('Данные 1st'!$FE$2:$FE$317))</f>
        <v>7</v>
      </c>
      <c r="CB46">
        <f>SUMPRODUCT(--('Данные 1st'!$S$2:$S$317=$A46),--ISNUMBER('Данные 1st'!$FF$2:$FF$317))</f>
        <v>7</v>
      </c>
      <c r="CC46">
        <f>SUMPRODUCT(--('Данные 1st'!$S$2:$S$317=$A46),--ISNUMBER('Данные 1st'!$FI$2:$FI$317))</f>
        <v>7</v>
      </c>
      <c r="CD46">
        <f>SUMPRODUCT(--('Данные 1st'!$S$2:$S$317=$A46),--ISNUMBER('Данные 1st'!$FL$2:$FL$317))</f>
        <v>7</v>
      </c>
      <c r="CE46">
        <f>SUMPRODUCT(--('Данные 1st'!$S$2:$S$317=$A46),--ISNUMBER('Данные 1st'!$FM$2:$FM$317))</f>
        <v>7</v>
      </c>
      <c r="CF46">
        <f>SUMPRODUCT(--('Данные 1st'!$S$2:$S$317=$A46),--ISNUMBER('Данные 1st'!$FN$2:$FN$317))</f>
        <v>7</v>
      </c>
      <c r="CG46">
        <f>SUMPRODUCT(--('Данные 1st'!$S$2:$S$317=$A46),--ISNUMBER('Данные 1st'!$FO$2:$FO$317))</f>
        <v>7</v>
      </c>
      <c r="CH46">
        <f>SUMPRODUCT(--('Данные 1st'!$S$2:$S$317=$A46),--ISNUMBER('Данные 1st'!$FP$2:$FP$317))</f>
        <v>7</v>
      </c>
      <c r="CI46">
        <f>SUMPRODUCT(--('Данные 1st'!$S$2:$S$317=$A46),--ISNUMBER('Данные 1st'!$FS$2:$FS$317))</f>
        <v>3</v>
      </c>
      <c r="CJ46">
        <f>SUMPRODUCT(--('Данные 1st'!$S$2:$S$317=$A46),--ISNUMBER('Данные 1st'!$FT$2:$FT$317))</f>
        <v>3</v>
      </c>
      <c r="CK46">
        <f>SUMPRODUCT(--('Данные 1st'!$S$2:$S$317=$A46),--ISNUMBER('Данные 1st'!$FU$2:$FU$317))</f>
        <v>3</v>
      </c>
      <c r="CL46">
        <f>SUMPRODUCT(--('Данные 1st'!$S$2:$S$317=$A46),--ISNUMBER('Данные 1st'!$FV$2:$FV$317))</f>
        <v>0</v>
      </c>
      <c r="CM46">
        <f>SUMPRODUCT(--('Данные 1st'!$S$2:$S$317=$A46),--ISNUMBER('Данные 1st'!$FW$2:$FW$317))</f>
        <v>0</v>
      </c>
      <c r="CN46">
        <f>SUMPRODUCT(--('Данные 1st'!$S$2:$S$317=$A46),--ISNUMBER('Данные 1st'!$FZ$2:$FZ$317))</f>
        <v>1</v>
      </c>
      <c r="CO46">
        <f>SUMPRODUCT(--('Данные 1st'!$S$2:$S$317=$A46),--ISNUMBER('Данные 1st'!$GA$2:$GA$317))</f>
        <v>1</v>
      </c>
      <c r="CP46">
        <f>SUMPRODUCT(--('Данные 1st'!$S$2:$S$317=$A46),--ISNUMBER('Данные 1st'!$GB$2:$GB$317))</f>
        <v>1</v>
      </c>
      <c r="CQ46">
        <f>SUMPRODUCT(--('Данные 1st'!$S$2:$S$317=$A46),--ISNUMBER('Данные 1st'!$GH$2:$GH$317))</f>
        <v>1</v>
      </c>
      <c r="CR46">
        <f>SUMPRODUCT(--('Данные 1st'!$S$2:$S$317=$A46),--ISNUMBER('Данные 1st'!$GI$2:$GI$317))</f>
        <v>1</v>
      </c>
      <c r="CS46">
        <f>SUMPRODUCT(--('Данные 1st'!$S$2:$S$317=$A46),--ISNUMBER('Данные 1st'!$GJ$2:$GJ$317))</f>
        <v>1</v>
      </c>
      <c r="CT46">
        <f>SUMPRODUCT(--('Данные 1st'!$S$2:$S$317=$A46),--ISNUMBER('Данные 1st'!$GS$2:$GS$317))</f>
        <v>3</v>
      </c>
      <c r="CU46">
        <f>SUMPRODUCT(--('Данные 1st'!$S$2:$S$317=$A46),--ISNUMBER('Данные 1st'!$GT$2:$GT$317))</f>
        <v>3</v>
      </c>
      <c r="CV46">
        <f>SUMPRODUCT(--('Данные 1st'!$S$2:$S$317=$A46),--ISNUMBER('Данные 1st'!$GU$2:$GU$317))</f>
        <v>3</v>
      </c>
      <c r="CW46">
        <f>SUMPRODUCT(--('Данные 1st'!$S$2:$S$317=$A46),--ISNUMBER('Данные 1st'!$GV$2:$GV$317))</f>
        <v>2</v>
      </c>
      <c r="CX46">
        <f>SUMPRODUCT(--('Данные 1st'!$S$2:$S$317=$A46),--ISNUMBER('Данные 1st'!$GW$2:$GW$317))</f>
        <v>2</v>
      </c>
      <c r="CY46">
        <f>SUMPRODUCT(--('Данные 1st'!$S$2:$S$317=$A46),--ISNUMBER('Данные 1st'!$GZ$2:$GZ$317))</f>
        <v>1</v>
      </c>
      <c r="CZ46">
        <f>SUMPRODUCT(--('Данные 1st'!$S$2:$S$317=$A46),--ISNUMBER('Данные 1st'!$HA$2:$HA$317))</f>
        <v>1</v>
      </c>
      <c r="DA46">
        <f>SUMPRODUCT(--('Данные 1st'!$S$2:$S$317=$A46),--ISNUMBER('Данные 1st'!$HB$2:$HB$317))</f>
        <v>1</v>
      </c>
      <c r="DB46">
        <f>SUMPRODUCT(--('Данные 1st'!$S$2:$S$317=$A46),--ISNUMBER('Данные 1st'!$HC$2:$HC$317))</f>
        <v>7</v>
      </c>
      <c r="DC46">
        <f>SUMPRODUCT(--('Данные 1st'!$S$2:$S$317=$A46),--ISNUMBER('Данные 1st'!$HD$2:$HD$317))</f>
        <v>7</v>
      </c>
      <c r="DD46">
        <f>SUMPRODUCT(--('Данные 1st'!$S$2:$S$317=$A46),--ISNUMBER('Данные 1st'!$HE$2:$HE$317))</f>
        <v>7</v>
      </c>
      <c r="DE46">
        <f>SUMPRODUCT(--('Данные 1st'!$S$2:$S$317=$A46),--ISNUMBER('Данные 1st'!$HF$2:$HF$317))</f>
        <v>7</v>
      </c>
      <c r="DF46">
        <f>SUMPRODUCT(--('Данные 1st'!$S$2:$S$317=$A46),--ISNUMBER('Данные 1st'!$HG$2:$HG$317))</f>
        <v>7</v>
      </c>
      <c r="DG46">
        <f>SUMPRODUCT(--('Данные 1st'!$S$2:$S$317=$A46),--ISNUMBER('Данные 1st'!$HH$2:$HH$317))</f>
        <v>7</v>
      </c>
      <c r="DH46">
        <f>SUMPRODUCT(--('Данные 1st'!$S$2:$S$317=$A46),--ISNUMBER('Данные 1st'!$HI$2:$HI$317))</f>
        <v>7</v>
      </c>
      <c r="DI46">
        <f>SUMPRODUCT(--('Данные 1st'!$S$2:$S$317=$A46),--ISNUMBER('Данные 1st'!$HJ$2:$HJ$317))</f>
        <v>7</v>
      </c>
      <c r="DJ46">
        <f>SUMPRODUCT(--('Данные 1st'!$S$2:$S$317=$A46),--ISNUMBER('Данные 1st'!$HK$2:$HK$317))</f>
        <v>7</v>
      </c>
      <c r="DK46">
        <f>SUMPRODUCT(--('Данные 1st'!$S$2:$S$317=$A46),--ISNUMBER('Данные 1st'!$HL$2:$HL$317))</f>
        <v>7</v>
      </c>
      <c r="DL46">
        <f>SUMPRODUCT(--('Данные 1st'!$S$2:$S$317=$A46),--ISNUMBER('Данные 1st'!$HM$2:$HM$317))</f>
        <v>7</v>
      </c>
      <c r="DM46">
        <f>SUMPRODUCT(--('Данные 1st'!$S$2:$S$317=$A46),--ISNUMBER('Данные 1st'!$HN$2:$HN$317))</f>
        <v>7</v>
      </c>
      <c r="DN46">
        <f>SUMPRODUCT(--('Данные 1st'!$S$2:$S$317=$A46),--ISNUMBER('Данные 1st'!$HO$2:$HO$317))</f>
        <v>7</v>
      </c>
      <c r="DO46">
        <f>SUMPRODUCT(--('Данные 1st'!$S$2:$S$317=$A46),--ISNUMBER('Данные 1st'!$HP$2:$HP$317))</f>
        <v>7</v>
      </c>
      <c r="DP46">
        <f>SUMPRODUCT(--('Данные 1st'!$S$2:$S$317=$A46),--ISNUMBER('Данные 1st'!$HQ$2:$HQ$317))</f>
        <v>7</v>
      </c>
      <c r="DQ46">
        <f>SUMPRODUCT(--('Данные 1st'!$S$2:$S$317=$A46),--ISNUMBER('Данные 1st'!$HR$2:$HR$317))</f>
        <v>7</v>
      </c>
      <c r="DR46">
        <f>SUMPRODUCT(--('Данные 1st'!$S$2:$S$317=$A46),--ISNUMBER('Данные 1st'!$HS$2:$HS$317))</f>
        <v>7</v>
      </c>
      <c r="DS46">
        <f>SUMPRODUCT(--('Данные 1st'!$S$2:$S$317=$A46),--ISNUMBER('Данные 1st'!$HT$2:$HT$317))</f>
        <v>7</v>
      </c>
      <c r="DT46">
        <f>SUMPRODUCT(--('Данные 1st'!$S$2:$S$317=$A46),--ISNUMBER('Данные 1st'!$HU$2:$HU$317))</f>
        <v>7</v>
      </c>
      <c r="DU46">
        <f>SUMPRODUCT(--('Данные 1st'!$S$2:$S$317=$A46),--ISNUMBER('Данные 1st'!$HW$2:$HW$317))</f>
        <v>7</v>
      </c>
      <c r="DV46">
        <f>SUMPRODUCT(--('Данные 1st'!$S$2:$S$317=$A46),--ISNUMBER('Данные 1st'!$HX$2:$HX$317))</f>
        <v>7</v>
      </c>
      <c r="DW46">
        <f>SUMPRODUCT(--('Данные 1st'!$S$2:$S$317=$A46),--ISNUMBER('Данные 1st'!$HY$2:$HY$317))</f>
        <v>7</v>
      </c>
      <c r="DX46">
        <f>SUMPRODUCT(--('Данные 1st'!$S$2:$S$317=$A46),--ISNUMBER('Данные 1st'!$IA$2:$IA$317))</f>
        <v>7</v>
      </c>
      <c r="DY46">
        <f>SUMPRODUCT(--('Данные 1st'!$S$2:$S$317=$A46),--ISNUMBER('Данные 1st'!$IB$2:$IB$317))</f>
        <v>7</v>
      </c>
      <c r="DZ46">
        <f>SUMPRODUCT(--('Данные 1st'!$S$2:$S$317=$A46),--ISNUMBER('Данные 1st'!$IC$2:$IC$317))</f>
        <v>7</v>
      </c>
      <c r="EA46">
        <f>SUMPRODUCT(--('Данные 1st'!$S$2:$S$317=$A46),--ISNUMBER('Данные 1st'!$ID$2:$ID$317))</f>
        <v>7</v>
      </c>
      <c r="EB46">
        <f>SUMPRODUCT(--('Данные 1st'!$S$2:$S$317=$A46),--ISNUMBER('Данные 1st'!$IE$2:$IE$317))</f>
        <v>7</v>
      </c>
      <c r="EC46">
        <f>SUMPRODUCT(--('Данные 1st'!$S$2:$S$317=$A46),--ISNUMBER('Данные 1st'!$IF$2:$IF$317))</f>
        <v>7</v>
      </c>
      <c r="ED46">
        <f>SUMPRODUCT(--('Данные 1st'!$S$2:$S$317=$A46),--ISNUMBER('Данные 1st'!$IP$2:$IP$317))</f>
        <v>7</v>
      </c>
      <c r="EE46">
        <f>SUMPRODUCT(--('Данные 1st'!$S$2:$S$317=$A46),--ISNUMBER('Данные 1st'!$IV$2:$IV$317))</f>
        <v>7</v>
      </c>
      <c r="EF46">
        <f>SUMPRODUCT(--('Данные 1st'!$S$2:$S$317=$A46),--ISNUMBER('Данные 1st'!$IW$2:$IW$317))</f>
        <v>7</v>
      </c>
      <c r="EG46">
        <f>SUMPRODUCT(--('Данные 1st'!$S$2:$S$317=$A46),--ISNUMBER('Данные 1st'!$IX$2:$IX$317))</f>
        <v>0</v>
      </c>
      <c r="EH46">
        <f>SUMPRODUCT(--('Данные 1st'!$S$2:$S$317=$A46),--ISNUMBER('Данные 1st'!$IY$2:$IY$317))</f>
        <v>0</v>
      </c>
      <c r="EI46">
        <f>SUMPRODUCT(--('Данные 1st'!$S$2:$S$317=$A46),--ISNUMBER('Данные 1st'!$JD$2:$JD$317))</f>
        <v>7</v>
      </c>
      <c r="EJ46">
        <f>SUMPRODUCT(--('Данные 1st'!$S$2:$S$317=$A46),--ISNUMBER('Данные 1st'!$JE$2:$JE$317))</f>
        <v>7</v>
      </c>
      <c r="EK46">
        <f>SUMPRODUCT(--('Данные 1st'!$S$2:$S$317=$A46),--ISNUMBER('Данные 1st'!$JF$2:$JF$317))</f>
        <v>7</v>
      </c>
      <c r="EL46">
        <f>SUMPRODUCT(--('Данные 1st'!$S$2:$S$317=$A46),--ISNUMBER('Данные 1st'!$JG$2:$JG$317))</f>
        <v>7</v>
      </c>
      <c r="EM46">
        <f>SUMPRODUCT(--('Данные 1st'!$S$2:$S$317=$A46),--ISNUMBER('Данные 1st'!$JH$2:$JH$317))</f>
        <v>7</v>
      </c>
      <c r="EN46">
        <f>SUMPRODUCT(--('Данные 1st'!$S$2:$S$317=$A46),--ISNUMBER('Данные 1st'!$JJ$2:$JJ$317))</f>
        <v>7</v>
      </c>
      <c r="EO46">
        <f>SUMPRODUCT(--('Данные 1st'!$S$2:$S$317=$A46),--ISNUMBER('Данные 1st'!$JK$2:$JK$317))</f>
        <v>7</v>
      </c>
      <c r="EP46">
        <f>SUMPRODUCT(--('Данные 1st'!$S$2:$S$317=$A46),--ISNUMBER('Данные 1st'!$JL$2:$JL$317))</f>
        <v>0</v>
      </c>
      <c r="EQ46">
        <f>SUMPRODUCT(--('Данные 1st'!$S$2:$S$317=$A46),--ISNUMBER('Данные 1st'!$JM$2:$JM$317))</f>
        <v>0</v>
      </c>
      <c r="ER46">
        <f>SUMPRODUCT(--('Данные 1st'!$S$2:$S$317=$A46),--ISNUMBER('Данные 1st'!$JN$2:$JN$317))</f>
        <v>7</v>
      </c>
      <c r="ES46">
        <f>SUMPRODUCT(--('Данные 1st'!$S$2:$S$317=$A46),--ISNUMBER('Данные 1st'!$JO$2:$JO$317))</f>
        <v>7</v>
      </c>
      <c r="ET46">
        <f>SUMPRODUCT(--('Данные 1st'!$S$2:$S$317=$A46),--ISNUMBER('Данные 1st'!$JP$2:$JP$317))</f>
        <v>7</v>
      </c>
      <c r="EU46">
        <f>SUMPRODUCT(--('Данные 1st'!$S$2:$S$317=$A46),--ISNUMBER('Данные 1st'!$JQ$2:$JQ$317))</f>
        <v>7</v>
      </c>
      <c r="EV46">
        <f>SUMPRODUCT(--('Данные 1st'!$S$2:$S$317=$A46),--ISNUMBER('Данные 1st'!$JR$2:$JR$317))</f>
        <v>7</v>
      </c>
      <c r="EW46">
        <f>SUMPRODUCT(--('Данные 1st'!$S$2:$S$317=$A46),--ISNUMBER('Данные 1st'!$JS$2:$JS$317))</f>
        <v>7</v>
      </c>
      <c r="EX46">
        <f>SUMPRODUCT(--('Данные 1st'!$S$2:$S$317=$A46),--ISNUMBER('Данные 1st'!$JT$2:$JT$317))</f>
        <v>0</v>
      </c>
      <c r="EY46">
        <f>SUMPRODUCT(--('Данные 1st'!$S$2:$S$317=$A46),--ISNUMBER('Данные 1st'!$JU$2:$JU$317))</f>
        <v>0</v>
      </c>
      <c r="EZ46">
        <f>SUMPRODUCT(--('Данные 1st'!$S$2:$S$317=$A46),--ISNUMBER('Данные 1st'!$JV$2:$JV$317))</f>
        <v>7</v>
      </c>
      <c r="FA46">
        <f>SUMPRODUCT(--('Данные 1st'!$S$2:$S$317=$A46),--ISNUMBER('Данные 1st'!$JW$2:$JW$317))</f>
        <v>0</v>
      </c>
      <c r="FB46">
        <f>SUMPRODUCT(--('Данные 1st'!$S$2:$S$317=$A46),--ISNUMBER('Данные 1st'!$JX$2:$JX$317))</f>
        <v>7</v>
      </c>
      <c r="FC46">
        <f>SUMPRODUCT(--('Данные 1st'!$S$2:$S$317=$A46),--ISNUMBER('Данные 1st'!$JY$2:$JY$317))</f>
        <v>0</v>
      </c>
      <c r="FD46">
        <f>SUMPRODUCT(--('Данные 1st'!$S$2:$S$317=$A46),--ISNUMBER('Данные 1st'!$JZ$2:$JZ$317))</f>
        <v>0</v>
      </c>
      <c r="FE46">
        <f>SUMPRODUCT(--('Данные 1st'!$S$2:$S$317=$A46),--ISNUMBER('Данные 1st'!$KA$2:$KA$317))</f>
        <v>7</v>
      </c>
      <c r="FF46">
        <f>SUMPRODUCT(--('Данные 1st'!$S$2:$S$317=$A46),--ISNUMBER('Данные 1st'!$KB$2:$KB$317))</f>
        <v>7</v>
      </c>
      <c r="FG46">
        <f>SUMPRODUCT(--('Данные 1st'!$S$2:$S$317=$A46),--ISNUMBER('Данные 1st'!$KC$2:$KC$317))</f>
        <v>7</v>
      </c>
      <c r="FH46">
        <f>SUMPRODUCT(--('Данные 1st'!$S$2:$S$317=$A46),--ISNUMBER('Данные 1st'!$KD$2:$KD$317))</f>
        <v>7</v>
      </c>
      <c r="FI46">
        <f>SUMPRODUCT(--('Данные 1st'!$S$2:$S$317=$A46),--ISNUMBER('Данные 1st'!$KE$2:$KE$317))</f>
        <v>0</v>
      </c>
      <c r="FJ46">
        <f>SUMPRODUCT(--('Данные 1st'!$S$2:$S$317=$A46),--ISNUMBER('Данные 1st'!$KF$2:$KF$317))</f>
        <v>7</v>
      </c>
      <c r="FK46">
        <f>SUMPRODUCT(--('Данные 1st'!$S$2:$S$317=$A46),--ISNUMBER('Данные 1st'!$KG$2:$KG$317))</f>
        <v>7</v>
      </c>
      <c r="FL46">
        <f>SUMPRODUCT(--('Данные 1st'!$S$2:$S$317=$A46),--ISNUMBER('Данные 1st'!$KH$2:$KH$317))</f>
        <v>7</v>
      </c>
      <c r="FM46">
        <f>SUMPRODUCT(--('Данные 1st'!$S$2:$S$317=$A46),--ISNUMBER('Данные 1st'!$KI$2:$KI$317))</f>
        <v>7</v>
      </c>
      <c r="FN46">
        <f>SUMPRODUCT(--('Данные 1st'!$S$2:$S$317=$A46),--ISNUMBER('Данные 1st'!$KJ$2:$KJ$317))</f>
        <v>7</v>
      </c>
      <c r="FO46">
        <f>SUMPRODUCT(--('Данные 1st'!$S$2:$S$317=$A46),--ISNUMBER('Данные 1st'!$KK$2:$KK$317))</f>
        <v>7</v>
      </c>
      <c r="FP46">
        <f>SUMPRODUCT(--('Данные 1st'!$S$2:$S$317=$A46),--ISNUMBER('Данные 1st'!$KL$2:$KL$317))</f>
        <v>7</v>
      </c>
      <c r="FQ46">
        <f>SUMPRODUCT(--('Данные 1st'!$S$2:$S$317=$A46),--ISNUMBER('Данные 1st'!$KM$2:$KM$317))</f>
        <v>7</v>
      </c>
      <c r="FR46">
        <f>SUMPRODUCT(--('Данные 1st'!$S$2:$S$317=$A46),--ISNUMBER('Данные 1st'!$KN$2:$KN$317))</f>
        <v>7</v>
      </c>
      <c r="FS46">
        <f>SUMPRODUCT(--('Данные 1st'!$S$2:$S$317=$A46),--ISNUMBER('Данные 1st'!$KR$2:$KR$317))</f>
        <v>7</v>
      </c>
      <c r="FT46">
        <f>SUMPRODUCT(--('Данные 1st'!$S$2:$S$317=$A46),--ISNUMBER('Данные 1st'!$KS$2:$KS$317))</f>
        <v>7</v>
      </c>
      <c r="FU46">
        <f>SUMPRODUCT(--('Данные 1st'!$S$2:$S$317=$A46),--ISNUMBER('Данные 1st'!$KT$2:$KT$317))</f>
        <v>7</v>
      </c>
      <c r="FV46">
        <f>SUMPRODUCT(--('Данные 1st'!$S$2:$S$317=$A46),--ISNUMBER('Данные 1st'!$KV$2:$KV$317))</f>
        <v>0</v>
      </c>
      <c r="FW46">
        <f>SUMPRODUCT(--('Данные 1st'!$S$2:$S$317=$A46),--ISNUMBER('Данные 1st'!$KW$2:$KW$317))</f>
        <v>0</v>
      </c>
      <c r="FX46">
        <f>SUMPRODUCT(--('Данные 1st'!$S$2:$S$317=$A46),--ISNUMBER('Данные 1st'!$KX$2:$KX$317))</f>
        <v>0</v>
      </c>
      <c r="FY46">
        <f>SUMPRODUCT(--('Данные 1st'!$S$2:$S$317=$A46),--ISNUMBER('Данные 1st'!$KY$2:$KY$317))</f>
        <v>0</v>
      </c>
      <c r="FZ46">
        <f>SUMPRODUCT(--('Данные 1st'!$S$2:$S$317=$A46),--ISNUMBER('Данные 1st'!$KZ$2:$KZ$317))</f>
        <v>0</v>
      </c>
      <c r="GA46">
        <f>SUMPRODUCT(--('Данные 1st'!$S$2:$S$317=$A46),--ISNUMBER('Данные 1st'!$LA$2:$LA$317))</f>
        <v>0</v>
      </c>
      <c r="GB46">
        <f>SUMPRODUCT(--('Данные 1st'!$S$2:$S$317=$A46),--ISNUMBER('Данные 1st'!$LB$2:$LB$317))</f>
        <v>0</v>
      </c>
      <c r="GC46">
        <f>SUMPRODUCT(--('Данные 1st'!$S$2:$S$317=$A46),--ISNUMBER('Данные 1st'!$LC$2:$LC$317))</f>
        <v>0</v>
      </c>
      <c r="GD46">
        <f>SUMPRODUCT(--('Данные 1st'!$S$2:$S$317=$A46),--ISNUMBER('Данные 1st'!$LD$2:$LD$317))</f>
        <v>0</v>
      </c>
      <c r="GE46">
        <f>SUMPRODUCT(--('Данные 1st'!$S$2:$S$317=$A46),--ISNUMBER('Данные 1st'!$LE$2:$LE$317))</f>
        <v>0</v>
      </c>
      <c r="GF46">
        <f>SUMPRODUCT(--('Данные 1st'!$S$2:$S$317=$A46),--ISNUMBER('Данные 1st'!$LF$2:$LF$317))</f>
        <v>0</v>
      </c>
      <c r="GG46">
        <f>SUMPRODUCT(--('Данные 1st'!$S$2:$S$317=$A46),--ISNUMBER('Данные 1st'!$LG$2:$LG$317))</f>
        <v>0</v>
      </c>
      <c r="GH46">
        <f>SUMPRODUCT(--('Данные 1st'!$S$2:$S$317=$A46),--ISNUMBER('Данные 1st'!$LH$2:$LH$317))</f>
        <v>0</v>
      </c>
      <c r="GI46">
        <f>SUMPRODUCT(--('Данные 1st'!$S$2:$S$317=$A46),--ISNUMBER('Данные 1st'!$LI$2:$LI$317))</f>
        <v>0</v>
      </c>
      <c r="GJ46">
        <f>SUMPRODUCT(--('Данные 1st'!$S$2:$S$317=$A46),--ISNUMBER('Данные 1st'!$LJ$2:$LJ$317))</f>
        <v>0</v>
      </c>
      <c r="GK46">
        <f>SUMPRODUCT(--('Данные 1st'!$S$2:$S$317=$A46),--ISNUMBER('Данные 1st'!$LK$2:$LK$317))</f>
        <v>7</v>
      </c>
      <c r="GL46">
        <f>SUMPRODUCT(--('Данные 1st'!$S$2:$S$317=$A46),--ISNUMBER('Данные 1st'!$LV$2:$LV$317))</f>
        <v>0</v>
      </c>
      <c r="GM46">
        <f>SUMPRODUCT(--('Данные 1st'!$S$2:$S$317=$A46),--ISNUMBER('Данные 1st'!$LW$2:$LW$317))</f>
        <v>0</v>
      </c>
      <c r="GN46">
        <f>SUMPRODUCT(--('Данные 1st'!$S$2:$S$317=$A46),--ISNUMBER('Данные 1st'!$LX$2:$LX$317))</f>
        <v>0</v>
      </c>
      <c r="GO46">
        <f>SUMPRODUCT(--('Данные 1st'!$S$2:$S$317=$A46),--ISNUMBER('Данные 1st'!$LY$2:$LY$317))</f>
        <v>0</v>
      </c>
      <c r="GP46">
        <f>SUMPRODUCT(--('Данные 1st'!$S$2:$S$317=$A46),--ISNUMBER('Данные 1st'!$LZ$2:$LZ$317))</f>
        <v>0</v>
      </c>
      <c r="GQ46">
        <f>SUMPRODUCT(--('Данные 1st'!$S$2:$S$317=$A46),--ISNUMBER('Данные 1st'!$PG$2:$PG$317))</f>
        <v>7</v>
      </c>
      <c r="GR46">
        <f>SUMPRODUCT(--('Данные 1st'!$S$2:$S$317=$A46),--ISNUMBER('Данные 1st'!$PX$2:$PX$317))</f>
        <v>7</v>
      </c>
      <c r="GS46">
        <f>SUMPRODUCT(--('Данные 1st'!$S$2:$S$317=$A46),--ISNUMBER('Данные 1st'!$PY$2:$PY$317))</f>
        <v>7</v>
      </c>
      <c r="GT46">
        <f>SUMPRODUCT(--('Данные 1st'!$S$2:$S$317=$A46),--ISNUMBER('Данные 1st'!$QA$2:$QA$317))</f>
        <v>7</v>
      </c>
      <c r="GU46">
        <f>SUMPRODUCT(--('Данные 1st'!$S$2:$S$317=$A46),--ISNUMBER('Данные 1st'!$QB$2:$QB$317))</f>
        <v>7</v>
      </c>
      <c r="GV46">
        <f>SUMPRODUCT(--('Данные 1st'!$S$2:$S$317=$A46),--ISNUMBER('Данные 1st'!$QC$2:$QC$317))</f>
        <v>7</v>
      </c>
      <c r="GW46">
        <f>SUMPRODUCT(--('Данные 1st'!$S$2:$S$317=$A46),--ISNUMBER('Данные 1st'!$QD$2:$QD$317))</f>
        <v>7</v>
      </c>
      <c r="GX46">
        <f>SUMPRODUCT(--('Данные 1st'!$S$2:$S$317=$A46),--ISNUMBER('Данные 1st'!$QF$2:$QF$317))</f>
        <v>7</v>
      </c>
      <c r="GY46">
        <f>SUMPRODUCT(--('Данные 1st'!$S$2:$S$317=$A46),--ISNUMBER('Данные 1st'!$QG$2:$QG$317))</f>
        <v>7</v>
      </c>
      <c r="GZ46">
        <f>SUMPRODUCT(--('Данные 1st'!$S$2:$S$317=$A46),--ISNUMBER('Данные 1st'!$QH$2:$QH$317))</f>
        <v>7</v>
      </c>
      <c r="HA46">
        <f>SUMPRODUCT(--('Данные 1st'!$S$2:$S$317=$A46),--ISNUMBER('Данные 1st'!$QI$2:$QI$317))</f>
        <v>7</v>
      </c>
      <c r="HB46">
        <f>SUMPRODUCT(--('Данные 1st'!$S$2:$S$317=$A46),--ISNUMBER('Данные 1st'!$QK$2:$QK$317))</f>
        <v>7</v>
      </c>
      <c r="HC46">
        <f>SUMPRODUCT(--('Данные 1st'!$S$2:$S$317=$A46),--ISNUMBER('Данные 1st'!$QL$2:$QL$317))</f>
        <v>7</v>
      </c>
      <c r="HD46">
        <f>SUMPRODUCT(--('Данные 1st'!$S$2:$S$317=$A46),--ISNUMBER('Данные 1st'!$QM$2:$QM$317))</f>
        <v>7</v>
      </c>
      <c r="HE46">
        <f>SUMPRODUCT(--('Данные 1st'!$S$2:$S$317=$A46),--ISNUMBER('Данные 1st'!$QN$2:$QN$317))</f>
        <v>7</v>
      </c>
      <c r="HF46">
        <f>SUMPRODUCT(--('Данные 1st'!$S$2:$S$317=$A46),--ISNUMBER('Данные 1st'!$QP$2:$QP$317))</f>
        <v>7</v>
      </c>
      <c r="HG46">
        <f>SUMPRODUCT(--('Данные 1st'!$S$2:$S$317=$A46),--ISNUMBER('Данные 1st'!$QQ$2:$QQ$317))</f>
        <v>7</v>
      </c>
      <c r="HH46">
        <f>SUMPRODUCT(--('Данные 1st'!$S$2:$S$317=$A46),--ISNUMBER('Данные 1st'!$QR$2:$QR$317))</f>
        <v>3</v>
      </c>
      <c r="HI46">
        <f>SUMPRODUCT(--('Данные 1st'!$S$2:$S$317=$A46),--ISNUMBER('Данные 1st'!$QS$2:$QS$317))</f>
        <v>3</v>
      </c>
      <c r="HJ46">
        <f>SUMPRODUCT(--('Данные 1st'!$S$2:$S$317=$A46),--ISNUMBER('Данные 1st'!$QU$2:$QU$317))</f>
        <v>3</v>
      </c>
      <c r="HK46">
        <f>SUMPRODUCT(--('Данные 1st'!$S$2:$S$317=$A46),--ISNUMBER('Данные 1st'!$QV$2:$QV$317))</f>
        <v>3</v>
      </c>
      <c r="HL46">
        <f>SUMPRODUCT(--('Данные 1st'!$S$2:$S$317=$A46),--ISNUMBER('Данные 1st'!$QW$2:$QW$317))</f>
        <v>7</v>
      </c>
      <c r="HM46">
        <f>SUMPRODUCT(--('Данные 1st'!$S$2:$S$317=$A46),--ISNUMBER('Данные 1st'!$QX$2:$QX$317))</f>
        <v>7</v>
      </c>
      <c r="HN46">
        <f>SUMPRODUCT(--('Данные 1st'!$S$2:$S$317=$A46),--ISNUMBER('Данные 1st'!$QZ$2:$QZ$317))</f>
        <v>7</v>
      </c>
      <c r="HO46">
        <f>SUMPRODUCT(--('Данные 1st'!$S$2:$S$317=$A46),--ISNUMBER('Данные 1st'!$RA$2:$RA$317))</f>
        <v>7</v>
      </c>
      <c r="HP46">
        <f>SUMPRODUCT(--('Данные 1st'!$S$2:$S$317=$A46),--ISNUMBER('Данные 1st'!$RB$2:$RB$317))</f>
        <v>7</v>
      </c>
      <c r="HQ46">
        <f>SUMPRODUCT(--('Данные 1st'!$S$2:$S$317=$A46),--ISNUMBER('Данные 1st'!$RD$2:$RD$317))</f>
        <v>0</v>
      </c>
      <c r="HR46">
        <f>SUMPRODUCT(--('Данные 1st'!$S$2:$S$317=$A46),--ISNUMBER('Данные 1st'!$RE$2:$RE$317))</f>
        <v>7</v>
      </c>
      <c r="HS46">
        <f>SUMPRODUCT(--('Данные 1st'!$S$2:$S$317=$A46),--ISNUMBER('Данные 1st'!$RF$2:$RF$317))</f>
        <v>6</v>
      </c>
      <c r="HT46">
        <f>SUMPRODUCT(--('Данные 1st'!$S$2:$S$317=$A46),--ISNUMBER('Данные 1st'!$RG$2:$RG$317))</f>
        <v>1</v>
      </c>
      <c r="HU46">
        <f>SUMPRODUCT(--('Данные 1st'!$S$2:$S$317=$A46),--ISNUMBER('Данные 1st'!$RH$2:$RH$317))</f>
        <v>2</v>
      </c>
      <c r="HV46">
        <f>SUMPRODUCT(--('Данные 1st'!$S$2:$S$317=$A46),--ISNUMBER('Данные 1st'!$RI$2:$RI$317))</f>
        <v>1</v>
      </c>
      <c r="HW46">
        <f>SUMPRODUCT(--('Данные 1st'!$S$2:$S$317=$A46),--ISNUMBER('Данные 1st'!$RJ$2:$RJ$317))</f>
        <v>7</v>
      </c>
      <c r="HX46">
        <f>SUMPRODUCT(--('Данные 1st'!$S$2:$S$317=$A46),--ISNUMBER('Данные 1st'!$RK$2:$RK$317))</f>
        <v>7</v>
      </c>
      <c r="HY46">
        <f>SUMPRODUCT(--('Данные 1st'!$S$2:$S$317=$A46),--ISNUMBER('Данные 1st'!$RL$2:$RL$317))</f>
        <v>7</v>
      </c>
      <c r="HZ46">
        <f>SUMPRODUCT(--('Данные 1st'!$S$2:$S$317=$A46),--ISNUMBER('Данные 1st'!$RM$2:$RM$317))</f>
        <v>3</v>
      </c>
      <c r="IA46">
        <f>SUMPRODUCT(--('Данные 1st'!$S$2:$S$317=$A46),--ISNUMBER('Данные 1st'!$RN$2:$RN$317))</f>
        <v>0</v>
      </c>
      <c r="IB46">
        <f>SUMPRODUCT(--('Данные 1st'!$S$2:$S$317=$A46),--ISNUMBER('Данные 1st'!$RO$2:$RO$317))</f>
        <v>7</v>
      </c>
      <c r="IC46">
        <f>SUMPRODUCT(--('Данные 1st'!$S$2:$S$317=$A46),--ISNUMBER('Данные 1st'!$RP$2:$RP$317))</f>
        <v>7</v>
      </c>
      <c r="ID46">
        <f>SUMPRODUCT(--('Данные 1st'!$S$2:$S$317=$A46),--ISNUMBER('Данные 1st'!$RQ$2:$RQ$317))</f>
        <v>7</v>
      </c>
      <c r="IE46">
        <f>SUMPRODUCT(--('Данные 1st'!$S$2:$S$317=$A46),--ISNUMBER('Данные 1st'!$RR$2:$RR$317))</f>
        <v>3</v>
      </c>
      <c r="IF46">
        <f>SUMPRODUCT(--('Данные 1st'!$S$2:$S$317=$A46),--ISNUMBER('Данные 1st'!$RS$2:$RS$317))</f>
        <v>0</v>
      </c>
      <c r="IG46">
        <f>SUMPRODUCT(--('Данные 1st'!$S$2:$S$317=$A46),--ISNUMBER('Данные 1st'!$RT$2:$RT$317))</f>
        <v>7</v>
      </c>
      <c r="IH46">
        <f>SUMPRODUCT(--('Данные 1st'!$S$2:$S$317=$A46),--ISNUMBER('Данные 1st'!$RU$2:$RU$317))</f>
        <v>7</v>
      </c>
      <c r="II46">
        <f>SUMPRODUCT(--('Данные 1st'!$S$2:$S$317=$A46),--ISNUMBER('Данные 1st'!$RX$2:$RX$317))</f>
        <v>7</v>
      </c>
      <c r="IJ46">
        <f>SUMPRODUCT(--('Данные 1st'!$S$2:$S$317=$A46),--ISNUMBER('Данные 1st'!$RY$2:$RY$317))</f>
        <v>7</v>
      </c>
      <c r="IK46">
        <f>SUMPRODUCT(--('Данные 1st'!$S$2:$S$317=$A46),--ISNUMBER('Данные 1st'!$SA$2:$SA$317))</f>
        <v>7</v>
      </c>
      <c r="IL46">
        <f>SUMPRODUCT(--('Данные 1st'!$S$2:$S$317=$A46),--ISNUMBER('Данные 1st'!$SD$2:$SD$317))</f>
        <v>7</v>
      </c>
      <c r="IM46">
        <f>SUMPRODUCT(--('Данные 1st'!$S$2:$S$317=$A46),--ISNUMBER('Данные 1st'!$SG$2:$SG$317))</f>
        <v>3</v>
      </c>
      <c r="IN46">
        <f>SUMPRODUCT(--('Данные 1st'!$S$2:$S$317=$A46),--ISNUMBER('Данные 1st'!$SH$2:$SH$317))</f>
        <v>7</v>
      </c>
      <c r="IO46">
        <f>SUMPRODUCT(--('Данные 1st'!$S$2:$S$317=$A46),--ISNUMBER('Данные 1st'!$SI$2:$SI$317))</f>
        <v>7</v>
      </c>
      <c r="IP46">
        <f>SUMPRODUCT(--('Данные 1st'!$S$2:$S$317=$A46),--ISNUMBER('Данные 1st'!$SJ$2:$SJ$317))</f>
        <v>7</v>
      </c>
      <c r="IQ46">
        <f>SUMPRODUCT(--('Данные 1st'!$S$2:$S$317=$A46),--ISNUMBER('Данные 1st'!$SK$2:$SK$317))</f>
        <v>7</v>
      </c>
      <c r="IR46">
        <f>SUMPRODUCT(--('Данные 1st'!$S$2:$S$317=$A46),--ISNUMBER('Данные 1st'!$SL$2:$SL$317))</f>
        <v>7</v>
      </c>
      <c r="IS46">
        <f>SUMPRODUCT(--('Данные 1st'!$S$2:$S$317=$A46),--ISNUMBER('Данные 1st'!$SM$2:$SM$317))</f>
        <v>7</v>
      </c>
      <c r="IT46">
        <f>SUMPRODUCT(--('Данные 1st'!$S$2:$S$317=$A46),--ISNUMBER('Данные 1st'!$SN$2:$SN$317))</f>
        <v>7</v>
      </c>
      <c r="IU46">
        <f>SUMPRODUCT(--('Данные 1st'!$S$2:$S$317=$A46),--ISNUMBER('Данные 1st'!$SO$2:$SO$317))</f>
        <v>7</v>
      </c>
      <c r="IV46">
        <f>SUMPRODUCT(--('Данные 1st'!$S$2:$S$317=$A46),--ISNUMBER('Данные 1st'!$SP$2:$SP$317))</f>
        <v>7</v>
      </c>
      <c r="IW46">
        <f>SUMPRODUCT(--('Данные 1st'!$S$2:$S$317=$A46),--ISNUMBER('Данные 1st'!$SQ$2:$SQ$317))</f>
        <v>7</v>
      </c>
      <c r="IX46">
        <f>SUMPRODUCT(--('Данные 1st'!$S$2:$S$317=$A46),--ISNUMBER('Данные 1st'!$SR$2:$SR$317))</f>
        <v>7</v>
      </c>
      <c r="IY46">
        <f>SUMPRODUCT(--('Данные 1st'!$S$2:$S$317=$A46),--ISNUMBER('Данные 1st'!$SS$2:$SS$317))</f>
        <v>7</v>
      </c>
      <c r="IZ46">
        <f>SUMPRODUCT(--('Данные 1st'!$S$2:$S$317=$A46),--ISNUMBER('Данные 1st'!$ST$2:$ST$317))</f>
        <v>7</v>
      </c>
      <c r="JA46">
        <f>SUMPRODUCT(--('Данные 1st'!$S$2:$S$317=$A46),--ISNUMBER('Данные 1st'!$SU$2:$SU$317))</f>
        <v>7</v>
      </c>
      <c r="JB46">
        <f>SUMPRODUCT(--('Данные 1st'!$S$2:$S$317=$A46),--ISNUMBER('Данные 1st'!$SV$2:$SV$317))</f>
        <v>7</v>
      </c>
      <c r="JC46">
        <f>SUMPRODUCT(--('Данные 1st'!$S$2:$S$317=$A46),--ISNUMBER('Данные 1st'!$SW$2:$SW$317))</f>
        <v>7</v>
      </c>
      <c r="JD46">
        <f>SUMPRODUCT(--('Данные 1st'!$S$2:$S$317=$A46),--ISNUMBER('Данные 1st'!$SX$2:$SX$317))</f>
        <v>7</v>
      </c>
      <c r="JE46">
        <f>SUMPRODUCT(--('Данные 1st'!$S$2:$S$317=$A46),--ISNUMBER('Данные 1st'!$SY$2:$SY$317))</f>
        <v>7</v>
      </c>
      <c r="JF46">
        <f>SUMPRODUCT(--('Данные 1st'!$S$2:$S$317=$A46),--ISNUMBER('Данные 1st'!$SZ$2:$SZ$317))</f>
        <v>3</v>
      </c>
      <c r="JG46">
        <f>SUMPRODUCT(--('Данные 1st'!$S$2:$S$317=$A46),--ISNUMBER('Данные 1st'!$TA$2:$TA$317))</f>
        <v>0</v>
      </c>
      <c r="JH46">
        <f>SUMPRODUCT(--('Данные 1st'!$S$2:$S$317=$A46),--ISNUMBER('Данные 1st'!$TB$2:$TB$317))</f>
        <v>7</v>
      </c>
      <c r="JI46">
        <f>SUMPRODUCT(--('Данные 1st'!$S$2:$S$317=$A46),--ISNUMBER('Данные 1st'!$TC$2:$TC$317))</f>
        <v>7</v>
      </c>
      <c r="JJ46">
        <f>SUMPRODUCT(--('Данные 1st'!$S$2:$S$317=$A46),--ISNUMBER('Данные 1st'!$TD$2:$TD$317))</f>
        <v>7</v>
      </c>
      <c r="JK46">
        <f>SUMPRODUCT(--('Данные 1st'!$S$2:$S$317=$A46),--ISNUMBER('Данные 1st'!$TN$2:$TN$317))</f>
        <v>7</v>
      </c>
      <c r="JQ46">
        <f>SUMPRODUCT(--('Данные 2st'!$Q$2:$Q$317=$A46),--ISNUMBER('Данные 2st'!$AC$2:$AC$317))</f>
        <v>7</v>
      </c>
      <c r="JR46">
        <f>SUMPRODUCT(--('Данные 2st'!$Q$2:$Q$317=$A46),--ISNUMBER('Данные 2st'!$AF$2:$AF$317))</f>
        <v>7</v>
      </c>
      <c r="JS46">
        <f>SUMPRODUCT(--('Данные 2st'!$Q$2:$Q$317=$A46),--ISNUMBER('Данные 2st'!$AW$2:$AW$317))</f>
        <v>7</v>
      </c>
      <c r="JT46">
        <f>SUMPRODUCT(--('Данные 2st'!$Q$2:$Q$317=$A46),--ISNUMBER('Данные 2st'!$AX$2:$AX$317))</f>
        <v>7</v>
      </c>
      <c r="JU46">
        <f>SUMPRODUCT(--('Данные 2st'!$Q$2:$Q$317=$A46),--ISNUMBER('Данные 2st'!$AY$2:$AY$317))</f>
        <v>7</v>
      </c>
      <c r="JV46">
        <f>SUMPRODUCT(--('Данные 2st'!$Q$2:$Q$317=$A46),--ISNUMBER('Данные 2st'!$AZ$2:$AZ$317))</f>
        <v>7</v>
      </c>
      <c r="JW46">
        <f>SUMPRODUCT(--('Данные 2st'!$Q$2:$Q$317=$A46),--ISNUMBER('Данные 2st'!$BA$2:$BA$317))</f>
        <v>0</v>
      </c>
      <c r="JX46">
        <f>SUMPRODUCT(--('Данные 2st'!$Q$2:$Q$317=$A46),--ISNUMBER('Данные 2st'!$BB$2:$BB$317))</f>
        <v>0</v>
      </c>
      <c r="JY46">
        <f>SUMPRODUCT(--('Данные 2st'!$Q$2:$Q$317=$A46),--ISNUMBER('Данные 2st'!$BC$2:$BC$317))</f>
        <v>0</v>
      </c>
      <c r="JZ46">
        <f>SUMPRODUCT(--('Данные 2st'!$Q$2:$Q$317=$A46),--ISNUMBER('Данные 2st'!$BH$2:$BH$317))</f>
        <v>7</v>
      </c>
      <c r="KA46">
        <f>SUMPRODUCT(--('Данные 2st'!$Q$2:$Q$317=$A46),--ISNUMBER('Данные 2st'!$BI$2:$BI$317))</f>
        <v>7</v>
      </c>
      <c r="KB46">
        <f>SUMPRODUCT(--('Данные 2st'!$Q$2:$Q$317=$A46),--ISNUMBER('Данные 2st'!$BJ$2:$BJ$317))</f>
        <v>7</v>
      </c>
      <c r="KC46">
        <f>SUMPRODUCT(--('Данные 2st'!$Q$2:$Q$317=$A46),--ISNUMBER('Данные 2st'!$BK$2:$BK$317))</f>
        <v>7</v>
      </c>
      <c r="KD46">
        <f>SUMPRODUCT(--('Данные 2st'!$Q$2:$Q$317=$A46),--ISNUMBER('Данные 2st'!$BL$2:$BL$317))</f>
        <v>7</v>
      </c>
      <c r="KE46">
        <f>SUMPRODUCT(--('Данные 2st'!$Q$2:$Q$317=$A46),--ISNUMBER('Данные 2st'!$BM$2:$BM$317))</f>
        <v>7</v>
      </c>
      <c r="KF46">
        <f>SUMPRODUCT(--('Данные 2st'!$Q$2:$Q$317=$A46),--ISNUMBER('Данные 2st'!$BN$2:$BN$317))</f>
        <v>7</v>
      </c>
      <c r="KG46">
        <f>SUMPRODUCT(--('Данные 2st'!$Q$2:$Q$317=$A46),--ISNUMBER('Данные 2st'!$BO$2:$BO$317))</f>
        <v>3</v>
      </c>
      <c r="KH46">
        <f>SUMPRODUCT(--('Данные 2st'!$Q$2:$Q$317=$A46),--ISNUMBER('Данные 2st'!$BP$2:$BP$317))</f>
        <v>7</v>
      </c>
      <c r="KI46">
        <f>SUMPRODUCT(--('Данные 2st'!$Q$2:$Q$317=$A46),--ISNUMBER('Данные 2st'!$BR$2:$BR$317))</f>
        <v>7</v>
      </c>
      <c r="KJ46">
        <f>SUMPRODUCT(--('Данные 2st'!$Q$2:$Q$317=$A46),--ISNUMBER('Данные 2st'!$BS$2:$BS$317))</f>
        <v>7</v>
      </c>
      <c r="KK46">
        <f>SUMPRODUCT(--('Данные 2st'!$Q$2:$Q$317=$A46),--ISNUMBER('Данные 2st'!$BT$2:$BT$317))</f>
        <v>7</v>
      </c>
      <c r="KL46">
        <f>SUMPRODUCT(--('Данные 2st'!$Q$2:$Q$317=$A46),--ISNUMBER('Данные 2st'!$CV$2:$CV$317))</f>
        <v>7</v>
      </c>
      <c r="KM46">
        <f>SUMPRODUCT(--('Данные 2st'!$Q$2:$Q$317=$A46),--ISNUMBER('Данные 2st'!$CW$2:$CW$317))</f>
        <v>7</v>
      </c>
      <c r="KN46">
        <f>SUMPRODUCT(--('Данные 2st'!$Q$2:$Q$317=$A46),--ISNUMBER('Данные 2st'!$CX$2:$CX$317))</f>
        <v>7</v>
      </c>
      <c r="KO46">
        <f>SUMPRODUCT(--('Данные 2st'!$Q$2:$Q$317=$A46),--ISNUMBER('Данные 2st'!$CY$2:$CY$317))</f>
        <v>7</v>
      </c>
      <c r="KP46">
        <f>SUMPRODUCT(--('Данные 2st'!$Q$2:$Q$317=$A46),--ISNUMBER('Данные 2st'!$CZ$2:$CZ$317))</f>
        <v>7</v>
      </c>
      <c r="KQ46">
        <f>SUMPRODUCT(--('Данные 2st'!$Q$2:$Q$317=$A46),--ISNUMBER('Данные 2st'!$DA$2:$DA$317))</f>
        <v>7</v>
      </c>
      <c r="KR46">
        <f>SUMPRODUCT(--('Данные 2st'!$Q$2:$Q$317=$A46),--ISNUMBER('Данные 2st'!$DB$2:$DB$317))</f>
        <v>7</v>
      </c>
      <c r="KS46">
        <f>SUMPRODUCT(--('Данные 2st'!$Q$2:$Q$317=$A46),--ISNUMBER('Данные 2st'!$DC$2:$DC$317))</f>
        <v>7</v>
      </c>
      <c r="KT46">
        <f>SUMPRODUCT(--('Данные 2st'!$Q$2:$Q$317=$A46),--ISNUMBER('Данные 2st'!$DD$2:$DD$317))</f>
        <v>7</v>
      </c>
      <c r="KU46">
        <f>SUMPRODUCT(--('Данные 2st'!$Q$2:$Q$317=$A46),--ISNUMBER('Данные 2st'!$DE$2:$DE$317))</f>
        <v>7</v>
      </c>
      <c r="KV46">
        <f>SUMPRODUCT(--('Данные 2st'!$Q$2:$Q$317=$A46),--ISNUMBER('Данные 2st'!$DF$2:$DF$317))</f>
        <v>7</v>
      </c>
      <c r="KW46">
        <f>SUMPRODUCT(--('Данные 2st'!$Q$2:$Q$317=$A46),--ISNUMBER('Данные 2st'!$DG$2:$DG$317))</f>
        <v>7</v>
      </c>
      <c r="KX46">
        <f>SUMPRODUCT(--('Данные 2st'!$Q$2:$Q$317=$A46),--ISNUMBER('Данные 2st'!$DH$2:$DH$317))</f>
        <v>7</v>
      </c>
      <c r="KY46">
        <f>SUMPRODUCT(--('Данные 2st'!$Q$2:$Q$317=$A46),--ISNUMBER('Данные 2st'!$DI$2:$DI$317))</f>
        <v>0</v>
      </c>
      <c r="KZ46">
        <f>SUMPRODUCT(--('Данные 2st'!$Q$2:$Q$317=$A46),--ISNUMBER('Данные 2st'!$DK$2:$DK$317))</f>
        <v>7</v>
      </c>
      <c r="LA46">
        <f>SUMPRODUCT(--('Данные 2st'!$Q$2:$Q$317=$A46),--ISNUMBER('Данные 2st'!$DM$2:$DM$317))</f>
        <v>7</v>
      </c>
      <c r="LB46">
        <f>SUMPRODUCT(--('Данные 2st'!$Q$2:$Q$317=$A46),--ISNUMBER('Данные 2st'!$DN$2:$DN$317))</f>
        <v>7</v>
      </c>
      <c r="LC46">
        <f>SUMPRODUCT(--('Данные 2st'!$Q$2:$Q$317=$A46),--ISNUMBER('Данные 2st'!$DO$2:$DO$317))</f>
        <v>7</v>
      </c>
      <c r="LD46">
        <f>SUMPRODUCT(--('Данные 2st'!$Q$2:$Q$317=$A46),--ISNUMBER('Данные 2st'!$DP$2:$DP$317))</f>
        <v>7</v>
      </c>
      <c r="LE46">
        <f>SUMPRODUCT(--('Данные 2st'!$Q$2:$Q$317=$A46),--ISNUMBER('Данные 2st'!$DQ$2:$DQ$317))</f>
        <v>7</v>
      </c>
      <c r="LF46">
        <f>SUMPRODUCT(--('Данные 2st'!$Q$2:$Q$317=$A46),--ISNUMBER('Данные 2st'!$DS$2:$DS$317))</f>
        <v>7</v>
      </c>
      <c r="LG46">
        <f>SUMPRODUCT(--('Данные 2st'!$Q$2:$Q$317=$A46),--ISNUMBER('Данные 2st'!$DU$2:$DU$317))</f>
        <v>7</v>
      </c>
      <c r="LH46">
        <f>SUMPRODUCT(--('Данные 2st'!$Q$2:$Q$317=$A46),--ISNUMBER('Данные 2st'!$DV$2:$DV$317))</f>
        <v>7</v>
      </c>
      <c r="LI46">
        <f>SUMPRODUCT(--('Данные 2st'!$Q$2:$Q$317=$A46),--ISNUMBER('Данные 2st'!$DW$2:$DW$317))</f>
        <v>7</v>
      </c>
      <c r="LJ46">
        <f>SUMPRODUCT(--('Данные 2st'!$Q$2:$Q$317=$A46),--ISNUMBER('Данные 2st'!$DX$2:$DX$317))</f>
        <v>7</v>
      </c>
      <c r="LK46">
        <f>SUMPRODUCT(--('Данные 2st'!$Q$2:$Q$317=$A46),--ISNUMBER('Данные 2st'!$DY$2:$DY$317))</f>
        <v>7</v>
      </c>
      <c r="LL46">
        <f>SUMPRODUCT(--('Данные 2st'!$Q$2:$Q$317=$A46),--ISNUMBER('Данные 2st'!$EA$2:$EA$317))</f>
        <v>7</v>
      </c>
      <c r="LM46">
        <f>SUMPRODUCT(--('Данные 2st'!$Q$2:$Q$317=$A46),--ISNUMBER('Данные 2st'!$EC$2:$EC$317))</f>
        <v>7</v>
      </c>
      <c r="LN46">
        <f>SUMPRODUCT(--('Данные 2st'!$Q$2:$Q$317=$A46),--ISNUMBER('Данные 2st'!$ED$2:$ED$317))</f>
        <v>7</v>
      </c>
      <c r="LO46">
        <f>SUMPRODUCT(--('Данные 2st'!$Q$2:$Q$317=$A46),--ISNUMBER('Данные 2st'!$EE$2:$EE$317))</f>
        <v>7</v>
      </c>
      <c r="LP46">
        <f>SUMPRODUCT(--('Данные 2st'!$Q$2:$Q$317=$A46),--ISNUMBER('Данные 2st'!$EG$2:$EG$317))</f>
        <v>7</v>
      </c>
      <c r="LQ46">
        <f>SUMPRODUCT(--('Данные 2st'!$Q$2:$Q$317=$A46),--ISNUMBER('Данные 2st'!$EI$2:$EI$317))</f>
        <v>7</v>
      </c>
      <c r="LR46">
        <f>SUMPRODUCT(--('Данные 2st'!$Q$2:$Q$317=$A46),--ISNUMBER('Данные 2st'!$EJ$2:$EJ$317))</f>
        <v>1</v>
      </c>
      <c r="LS46">
        <f>SUMPRODUCT(--('Данные 2st'!$Q$2:$Q$317=$A46),--ISNUMBER('Данные 2st'!$EK$2:$EK$317))</f>
        <v>1</v>
      </c>
      <c r="LT46">
        <f>SUMPRODUCT(--('Данные 2st'!$Q$2:$Q$317=$A46),--ISNUMBER('Данные 2st'!$EM$2:$EM$317))</f>
        <v>7</v>
      </c>
      <c r="LU46">
        <f>SUMPRODUCT(--('Данные 2st'!$Q$2:$Q$317=$A46),--ISNUMBER('Данные 2st'!$EN$2:$EN$317))</f>
        <v>7</v>
      </c>
      <c r="LV46">
        <f>SUMPRODUCT(--('Данные 2st'!$Q$2:$Q$317=$A46),--ISNUMBER('Данные 2st'!$EO$2:$EO$317))</f>
        <v>7</v>
      </c>
      <c r="LW46">
        <f>SUMPRODUCT(--('Данные 2st'!$Q$2:$Q$317=$A46),--ISNUMBER('Данные 2st'!$EP$2:$EP$317))</f>
        <v>7</v>
      </c>
      <c r="LX46">
        <f>SUMPRODUCT(--('Данные 2st'!$Q$2:$Q$317=$A46),--ISNUMBER('Данные 2st'!$EQ$2:$EQ$317))</f>
        <v>7</v>
      </c>
      <c r="LY46">
        <f>SUMPRODUCT(--('Данные 2st'!$Q$2:$Q$317=$A46),--ISNUMBER('Данные 2st'!$ER$2:$ER$317))</f>
        <v>7</v>
      </c>
      <c r="LZ46">
        <f>SUMPRODUCT(--('Данные 2st'!$Q$2:$Q$317=$A46),--ISNUMBER('Данные 2st'!$ES$2:$ES$317))</f>
        <v>7</v>
      </c>
      <c r="MA46">
        <f>SUMPRODUCT(--('Данные 2st'!$Q$2:$Q$317=$A46),--ISNUMBER('Данные 2st'!$ET$2:$ET$317))</f>
        <v>7</v>
      </c>
      <c r="MB46">
        <f>SUMPRODUCT(--('Данные 2st'!$Q$2:$Q$317=$A46),--ISNUMBER('Данные 2st'!$EU$2:$EU$317))</f>
        <v>7</v>
      </c>
      <c r="MC46">
        <f>SUMPRODUCT(--('Данные 2st'!$Q$2:$Q$317=$A46),--ISNUMBER('Данные 2st'!$EV$2:$EV$317))</f>
        <v>7</v>
      </c>
      <c r="MD46">
        <f>SUMPRODUCT(--('Данные 2st'!$Q$2:$Q$317=$A46),--ISNUMBER('Данные 2st'!$EW$2:$EW$317))</f>
        <v>7</v>
      </c>
      <c r="ME46">
        <f>SUMPRODUCT(--('Данные 2st'!$Q$2:$Q$317=$A46),--ISNUMBER('Данные 2st'!$EY$2:$EY$317))</f>
        <v>7</v>
      </c>
      <c r="MF46">
        <f>SUMPRODUCT(--('Данные 2st'!$Q$2:$Q$317=$A46),--ISNUMBER('Данные 2st'!$FA$2:$FA$317))</f>
        <v>7</v>
      </c>
      <c r="MG46">
        <f>SUMPRODUCT(--('Данные 2st'!$Q$2:$Q$317=$A46),--ISNUMBER('Данные 2st'!$FB$2:$FB$317))</f>
        <v>7</v>
      </c>
      <c r="MH46">
        <f>SUMPRODUCT(--('Данные 2st'!$Q$2:$Q$317=$A46),--ISNUMBER('Данные 2st'!$FC$2:$FC$317))</f>
        <v>7</v>
      </c>
      <c r="MI46">
        <f>SUMPRODUCT(--('Данные 2st'!$Q$2:$Q$317=$A46),--ISNUMBER('Данные 2st'!$FD$2:$FD$317))</f>
        <v>7</v>
      </c>
      <c r="MJ46">
        <f>SUMPRODUCT(--('Данные 2st'!$Q$2:$Q$317=$A46),--ISNUMBER('Данные 2st'!$FE$2:$FE$317))</f>
        <v>7</v>
      </c>
      <c r="MK46">
        <f>SUMPRODUCT(--('Данные 2st'!$Q$2:$Q$317=$A46),--ISNUMBER('Данные 2st'!$FG$2:$FG$317))</f>
        <v>7</v>
      </c>
      <c r="ML46">
        <f>SUMPRODUCT(--('Данные 2st'!$Q$2:$Q$317=$A46),--ISNUMBER('Данные 2st'!$FI$2:$FI$317))</f>
        <v>7</v>
      </c>
      <c r="MM46">
        <f>SUMPRODUCT(--('Данные 2st'!$Q$2:$Q$317=$A46),--ISNUMBER('Данные 2st'!$FJ$2:$FJ$317))</f>
        <v>7</v>
      </c>
      <c r="MN46">
        <f>SUMPRODUCT(--('Данные 2st'!$Q$2:$Q$317=$A46),--ISNUMBER('Данные 2st'!$FK$2:$FK$317))</f>
        <v>7</v>
      </c>
      <c r="MO46">
        <f>SUMPRODUCT(--('Данные 2st'!$Q$2:$Q$317=$A46),--ISNUMBER('Данные 2st'!$FP$2:$FP$317))</f>
        <v>7</v>
      </c>
      <c r="MP46">
        <f>SUMPRODUCT(--('Данные 2st'!$Q$2:$Q$317=$A46),--ISNUMBER('Данные 2st'!$FQ$2:$FQ$317))</f>
        <v>7</v>
      </c>
      <c r="MQ46">
        <f>SUMPRODUCT(--('Данные 2st'!$Q$2:$Q$317=$A46),--ISNUMBER('Данные 2st'!$FS$2:$FS$317))</f>
        <v>7</v>
      </c>
      <c r="MR46">
        <f>SUMPRODUCT(--('Данные 2st'!$Q$2:$Q$317=$A46),--ISNUMBER('Данные 2st'!$FU$2:$FU$317))</f>
        <v>7</v>
      </c>
      <c r="MS46">
        <f>SUMPRODUCT(--('Данные 2st'!$Q$2:$Q$317=$A46),--ISNUMBER('Данные 2st'!$FV$2:$FV$317))</f>
        <v>7</v>
      </c>
      <c r="MT46">
        <f>SUMPRODUCT(--('Данные 2st'!$Q$2:$Q$317=$A46),--ISNUMBER('Данные 2st'!$FW$2:$FW$317))</f>
        <v>7</v>
      </c>
      <c r="MU46">
        <f>SUMPRODUCT(--('Данные 2st'!$Q$2:$Q$317=$A46),--ISNUMBER('Данные 2st'!$FY$2:$FY$317))</f>
        <v>7</v>
      </c>
      <c r="MV46">
        <f>SUMPRODUCT(--('Данные 2st'!$Q$2:$Q$317=$A46),--ISNUMBER('Данные 2st'!$GB$2:$GB$317))</f>
        <v>7</v>
      </c>
      <c r="MW46">
        <f>SUMPRODUCT(--('Данные 2st'!$Q$2:$Q$317=$A46),--ISNUMBER('Данные 2st'!$GC$2:$GC$317))</f>
        <v>7</v>
      </c>
      <c r="MX46">
        <f>SUMPRODUCT(--('Данные 2st'!$Q$2:$Q$317=$A46),--ISNUMBER('Данные 2st'!$GD$2:$GD$317))</f>
        <v>7</v>
      </c>
      <c r="MY46">
        <f>SUMPRODUCT(--('Данные 2st'!$Q$2:$Q$317=$A46),--ISNUMBER('Данные 2st'!$GN$2:$GN$317))</f>
        <v>0</v>
      </c>
      <c r="MZ46">
        <f>SUMPRODUCT(--('Данные 2st'!$Q$2:$Q$317=$A46),--ISNUMBER('Данные 2st'!$GQ$2:$GQ$317))</f>
        <v>7</v>
      </c>
      <c r="NA46">
        <f>SUMPRODUCT(--('Данные 2st'!$Q$2:$Q$317=$A46),--ISNUMBER('Данные 2st'!$GV$2:$GV$317))</f>
        <v>7</v>
      </c>
      <c r="NB46">
        <f>SUMPRODUCT(--('Данные 2st'!$Q$2:$Q$317=$A46),--ISNUMBER('Данные 2st'!$GW$2:$GW$317))</f>
        <v>7</v>
      </c>
      <c r="NC46">
        <f>SUMPRODUCT(--('Данные 2st'!$Q$2:$Q$317=$A46),--ISNUMBER('Данные 2st'!$GX$2:$GX$317))</f>
        <v>7</v>
      </c>
      <c r="ND46">
        <f>SUMPRODUCT(--('Данные 2st'!$Q$2:$Q$317=$A46),--ISNUMBER('Данные 2st'!$GY$2:$GY$317))</f>
        <v>7</v>
      </c>
      <c r="NE46">
        <f>SUMPRODUCT(--('Данные 2st'!$Q$2:$Q$317=$A46),--ISNUMBER('Данные 2st'!$GZ$2:$GZ$317))</f>
        <v>7</v>
      </c>
      <c r="NF46">
        <f>SUMPRODUCT(--('Данные 2st'!$Q$2:$Q$317=$A46),--ISNUMBER('Данные 2st'!$HA$2:$HA$317))</f>
        <v>7</v>
      </c>
      <c r="NG46">
        <f>SUMPRODUCT(--('Данные 2st'!$Q$2:$Q$317=$A46),--ISNUMBER('Данные 2st'!$HB$2:$HB$317))</f>
        <v>7</v>
      </c>
      <c r="NH46">
        <f>SUMPRODUCT(--('Данные 2st'!$Q$2:$Q$317=$A46),--ISNUMBER('Данные 2st'!$HC$2:$HC$317))</f>
        <v>7</v>
      </c>
      <c r="NI46">
        <f>SUMPRODUCT(--('Данные 2st'!$Q$2:$Q$317=$A46),--ISNUMBER('Данные 2st'!$HD$2:$HD$317))</f>
        <v>7</v>
      </c>
      <c r="NJ46">
        <f>SUMPRODUCT(--('Данные 2st'!$Q$2:$Q$317=$A46),--ISNUMBER('Данные 2st'!$HM$2:$HM$317))</f>
        <v>7</v>
      </c>
      <c r="NK46">
        <f>SUMPRODUCT(--('Данные 2st'!$Q$2:$Q$317=$A46),--ISNUMBER('Данные 2st'!$HR$2:$HR$317))</f>
        <v>7</v>
      </c>
      <c r="NL46">
        <f>SUMPRODUCT(--('Данные 2st'!$Q$2:$Q$317=$A46),--ISNUMBER('Данные 2st'!$HS$2:$HS$317))</f>
        <v>7</v>
      </c>
      <c r="NM46">
        <f>SUMPRODUCT(--('Данные 2st'!$Q$2:$Q$317=$A46),--ISNUMBER('Данные 2st'!$HT$2:$HT$317))</f>
        <v>7</v>
      </c>
      <c r="NN46">
        <f>SUMPRODUCT(--('Данные 2st'!$Q$2:$Q$317=$A46),--ISNUMBER('Данные 2st'!$HY$2:$HY$317))</f>
        <v>7</v>
      </c>
      <c r="NO46">
        <f>SUMPRODUCT(--('Данные 2st'!$Q$2:$Q$317=$A46),--ISNUMBER('Данные 2st'!$HZ$2:$HZ$317))</f>
        <v>7</v>
      </c>
      <c r="NP46">
        <f>SUMPRODUCT(--('Данные 2st'!$Q$2:$Q$317=$A46),--ISNUMBER('Данные 2st'!$IA$2:$IA$317))</f>
        <v>7</v>
      </c>
      <c r="NQ46">
        <f>SUMPRODUCT(--('Данные 2st'!$Q$2:$Q$317=$A46),--ISNUMBER('Данные 2st'!$IB$2:$IB$317))</f>
        <v>7</v>
      </c>
      <c r="NR46">
        <f>SUMPRODUCT(--('Данные 2st'!$Q$2:$Q$317=$A46),--ISNUMBER('Данные 2st'!$IC$2:$IC$317))</f>
        <v>0</v>
      </c>
      <c r="NS46">
        <f>SUMPRODUCT(--('Данные 2st'!$Q$2:$Q$317=$A46),--ISNUMBER('Данные 2st'!$ID$2:$ID$317))</f>
        <v>7</v>
      </c>
      <c r="NT46">
        <f>SUMPRODUCT(--('Данные 2st'!$Q$2:$Q$317=$A46),--ISNUMBER('Данные 2st'!$IE$2:$IE$317))</f>
        <v>7</v>
      </c>
      <c r="NU46">
        <f>SUMPRODUCT(--('Данные 2st'!$Q$2:$Q$317=$A46),--ISNUMBER('Данные 2st'!$IF$2:$IF$317))</f>
        <v>7</v>
      </c>
      <c r="NV46">
        <f>SUMPRODUCT(--('Данные 2st'!$Q$2:$Q$317=$A46),--ISNUMBER('Данные 2st'!$IG$2:$IG$317))</f>
        <v>7</v>
      </c>
      <c r="NW46">
        <f>SUMPRODUCT(--('Данные 2st'!$Q$2:$Q$317=$A46),--ISNUMBER('Данные 2st'!$IH$2:$IH$317))</f>
        <v>7</v>
      </c>
      <c r="NX46">
        <f>SUMPRODUCT(--('Данные 2st'!$Q$2:$Q$317=$A46),--ISNUMBER('Данные 2st'!$IJ$2:$IJ$317))</f>
        <v>7</v>
      </c>
      <c r="NY46">
        <f>SUMPRODUCT(--('Данные 2st'!$Q$2:$Q$317=$A46),--ISNUMBER('Данные 2st'!$IM$2:$IM$317))</f>
        <v>7</v>
      </c>
      <c r="NZ46">
        <f>SUMPRODUCT(--('Данные 2st'!$Q$2:$Q$317=$A46),--ISNUMBER('Данные 2st'!$IN$2:$IN$317))</f>
        <v>7</v>
      </c>
      <c r="OA46">
        <f>SUMPRODUCT(--('Данные 2st'!$Q$2:$Q$317=$A46),--ISNUMBER('Данные 2st'!$IO$2:$IO$317))</f>
        <v>7</v>
      </c>
      <c r="OB46">
        <f>SUMPRODUCT(--('Данные 2st'!$Q$2:$Q$317=$A46),--ISNUMBER('Данные 2st'!$IP$2:$IP$317))</f>
        <v>7</v>
      </c>
      <c r="OC46">
        <f>SUMPRODUCT(--('Данные 2st'!$Q$2:$Q$317=$A46),--ISNUMBER('Данные 2st'!$IQ$2:$IQ$317))</f>
        <v>7</v>
      </c>
      <c r="OD46">
        <f>SUMPRODUCT(--('Данные 2st'!$Q$2:$Q$317=$A46),--ISNUMBER('Данные 2st'!$IR$2:$IR$317))</f>
        <v>7</v>
      </c>
      <c r="OE46">
        <f>SUMPRODUCT(--('Данные 2st'!$Q$2:$Q$317=$A46),--ISNUMBER('Данные 2st'!$IT$2:$IT$317))</f>
        <v>7</v>
      </c>
      <c r="OF46">
        <f>SUMPRODUCT(--('Данные 2st'!$Q$2:$Q$317=$A46),--ISNUMBER('Данные 2st'!$IU$2:$IU$317))</f>
        <v>7</v>
      </c>
      <c r="OG46">
        <f>SUMPRODUCT(--('Данные 2st'!$Q$2:$Q$317=$A46),--ISNUMBER('Данные 2st'!$IV$2:$IV$317))</f>
        <v>7</v>
      </c>
      <c r="OH46">
        <f>SUMPRODUCT(--('Данные 2st'!$Q$2:$Q$317=$A46),--ISNUMBER('Данные 2st'!$IW$2:$IW$317))</f>
        <v>7</v>
      </c>
      <c r="OI46">
        <f>SUMPRODUCT(--('Данные 2st'!$Q$2:$Q$317=$A46),--ISNUMBER('Данные 2st'!$IX$2:$IX$317))</f>
        <v>7</v>
      </c>
      <c r="OJ46">
        <f>SUMPRODUCT(--('Данные 2st'!$Q$2:$Q$317=$A46),--ISNUMBER('Данные 2st'!$IY$2:$IY$317))</f>
        <v>7</v>
      </c>
      <c r="OK46">
        <f>SUMPRODUCT(--('Данные 2st'!$Q$2:$Q$317=$A46),--ISNUMBER('Данные 2st'!$IZ$2:$IZ$317))</f>
        <v>7</v>
      </c>
      <c r="OL46">
        <f>SUMPRODUCT(--('Данные 2st'!$Q$2:$Q$317=$A46),--ISNUMBER('Данные 2st'!$JA$2:$JA$317))</f>
        <v>7</v>
      </c>
      <c r="OM46">
        <f>SUMPRODUCT(--('Данные 2st'!$Q$2:$Q$317=$A46),--ISNUMBER('Данные 2st'!$JB$2:$JB$317))</f>
        <v>7</v>
      </c>
      <c r="ON46">
        <f>SUMPRODUCT(--('Данные 2st'!$Q$2:$Q$317=$A46),--ISNUMBER('Данные 2st'!$JC$2:$JC$317))</f>
        <v>7</v>
      </c>
      <c r="OO46">
        <f>SUMPRODUCT(--('Данные 2st'!$Q$2:$Q$317=$A46),--ISNUMBER('Данные 2st'!$JD$2:$JD$317))</f>
        <v>7</v>
      </c>
      <c r="OP46">
        <f>SUMPRODUCT(--('Данные 2st'!$Q$2:$Q$317=$A46),--ISNUMBER('Данные 2st'!$JE$2:$JE$317))</f>
        <v>7</v>
      </c>
      <c r="OQ46">
        <f>SUMPRODUCT(--('Данные 2st'!$Q$2:$Q$317=$A46),--ISNUMBER('Данные 2st'!$JF$2:$JF$317))</f>
        <v>7</v>
      </c>
      <c r="OR46">
        <f>SUMPRODUCT(--('Данные 2st'!$Q$2:$Q$317=$A46),--ISNUMBER('Данные 2st'!$JG$2:$JG$317))</f>
        <v>7</v>
      </c>
      <c r="OS46">
        <f>SUMPRODUCT(--('Данные 2st'!$Q$2:$Q$317=$A46),--ISNUMBER('Данные 2st'!$JH$2:$JH$317))</f>
        <v>7</v>
      </c>
      <c r="OT46">
        <f>SUMPRODUCT(--('Данные 2st'!$Q$2:$Q$317=$A46),--ISNUMBER('Данные 2st'!$JI$2:$JI$317))</f>
        <v>7</v>
      </c>
      <c r="OU46">
        <f>SUMPRODUCT(--('Данные 2st'!$Q$2:$Q$317=$A46),--ISNUMBER('Данные 2st'!$JJ$2:$JJ$317))</f>
        <v>7</v>
      </c>
      <c r="OV46">
        <f>SUMPRODUCT(--('Данные 2st'!$Q$2:$Q$317=$A46),--ISNUMBER('Данные 2st'!$JK$2:$JK$317))</f>
        <v>7</v>
      </c>
      <c r="OW46">
        <f>SUMPRODUCT(--('Данные 2st'!$Q$2:$Q$317=$A46),--ISNUMBER('Данные 2st'!$JL$2:$JL$317))</f>
        <v>7</v>
      </c>
      <c r="OX46">
        <f>SUMPRODUCT(--('Данные 2st'!$Q$2:$Q$317=$A46),--ISNUMBER('Данные 2st'!$JM$2:$JM$317))</f>
        <v>7</v>
      </c>
      <c r="OY46">
        <f>SUMPRODUCT(--('Данные 2st'!$Q$2:$Q$317=$A46),--ISNUMBER('Данные 2st'!$JP$2:$JP$317))</f>
        <v>7</v>
      </c>
      <c r="OZ46">
        <f>SUMPRODUCT(--('Данные 2st'!$Q$2:$Q$317=$A46),--ISNUMBER('Данные 2st'!$JQ$2:$JQ$317))</f>
        <v>7</v>
      </c>
      <c r="PA46">
        <f>SUMPRODUCT(--('Данные 2st'!$Q$2:$Q$317=$A46),--ISNUMBER('Данные 2st'!$JR$2:$JR$317))</f>
        <v>7</v>
      </c>
      <c r="PB46">
        <f>SUMPRODUCT(--('Данные 2st'!$Q$2:$Q$317=$A46),--ISNUMBER('Данные 2st'!$JS$2:$JS$317))</f>
        <v>7</v>
      </c>
      <c r="PC46">
        <f>SUMPRODUCT(--('Данные 2st'!$Q$2:$Q$317=$A46),--ISNUMBER('Данные 2st'!$JT$2:$JT$317))</f>
        <v>7</v>
      </c>
      <c r="PD46">
        <f>SUMPRODUCT(--('Данные 2st'!$Q$2:$Q$317=$A46),--ISNUMBER('Данные 2st'!$JU$2:$JU$317))</f>
        <v>7</v>
      </c>
      <c r="PE46">
        <f>SUMPRODUCT(--('Данные 2st'!$Q$2:$Q$317=$A46),--ISNUMBER('Данные 2st'!$JV$2:$JV$317))</f>
        <v>7</v>
      </c>
      <c r="PF46">
        <f>SUMPRODUCT(--('Данные 2st'!$Q$2:$Q$317=$A46),--ISNUMBER('Данные 2st'!$JW$2:$JW$317))</f>
        <v>7</v>
      </c>
      <c r="PG46">
        <f>SUMPRODUCT(--('Данные 2st'!$Q$2:$Q$317=$A46),--ISNUMBER('Данные 2st'!$KF$2:$KF$317))</f>
        <v>7</v>
      </c>
      <c r="PH46">
        <f>SUMPRODUCT(--('Данные 2st'!$Q$2:$Q$317=$A46),--ISNUMBER('Данные 2st'!$KG$2:$KG$317))</f>
        <v>7</v>
      </c>
      <c r="PI46">
        <f>SUMPRODUCT(--('Данные 2st'!$Q$2:$Q$317=$A46),--ISNUMBER('Данные 2st'!$KM$2:$KM$317))</f>
        <v>7</v>
      </c>
      <c r="PJ46">
        <f>SUMPRODUCT(--('Данные 2st'!$Q$2:$Q$317=$A46),--ISNUMBER('Данные 2st'!$KN$2:$KN$317))</f>
        <v>7</v>
      </c>
      <c r="PK46">
        <f>SUMPRODUCT(--('Данные 2st'!$Q$2:$Q$317=$A46),--ISNUMBER('Данные 2st'!$KO$2:$KO$317))</f>
        <v>7</v>
      </c>
      <c r="PL46">
        <f>SUMPRODUCT(--('Данные 2st'!$Q$2:$Q$317=$A46),--ISNUMBER('Данные 2st'!$KP$2:$KP$317))</f>
        <v>7</v>
      </c>
      <c r="PM46">
        <f>SUMPRODUCT(--('Данные 2st'!$Q$2:$Q$317=$A46),--ISNUMBER('Данные 2st'!$KQ$2:$KQ$317))</f>
        <v>7</v>
      </c>
      <c r="PN46">
        <f>SUMPRODUCT(--('Данные 2st'!$Q$2:$Q$317=$A46),--ISNUMBER('Данные 2st'!$KR$2:$KR$317))</f>
        <v>7</v>
      </c>
      <c r="PO46">
        <f>SUMPRODUCT(--('Данные 2st'!$Q$2:$Q$317=$A46),--ISNUMBER('Данные 2st'!$KS$2:$KS$317))</f>
        <v>7</v>
      </c>
      <c r="PP46">
        <f>SUMPRODUCT(--('Данные 2st'!$Q$2:$Q$317=$A46),--ISNUMBER('Данные 2st'!$KT$2:$KT$317))</f>
        <v>7</v>
      </c>
      <c r="PQ46">
        <f>SUMPRODUCT(--('Данные 2st'!$Q$2:$Q$317=$A46),--ISNUMBER('Данные 2st'!$KU$2:$KU$317))</f>
        <v>7</v>
      </c>
      <c r="PR46">
        <f>SUMPRODUCT(--('Данные 2st'!$Q$2:$Q$317=$A46),--ISNUMBER('Данные 2st'!$KV$2:$KV$317))</f>
        <v>7</v>
      </c>
      <c r="PS46">
        <f>SUMPRODUCT(--('Данные 2st'!$Q$2:$Q$317=$A46),--ISNUMBER('Данные 2st'!$KW$2:$KW$317))</f>
        <v>7</v>
      </c>
      <c r="PT46">
        <f>SUMPRODUCT(--('Данные 2st'!$Q$2:$Q$317=$A46),--ISNUMBER('Данные 2st'!$KX$2:$KX$317))</f>
        <v>7</v>
      </c>
      <c r="PU46">
        <f>SUMPRODUCT(--('Данные 2st'!$Q$2:$Q$317=$A46),--ISNUMBER('Данные 2st'!$KY$2:$KY$317))</f>
        <v>7</v>
      </c>
      <c r="PV46">
        <f>SUMPRODUCT(--('Данные 2st'!$Q$2:$Q$317=$A46),--ISNUMBER('Данные 2st'!$KZ$2:$KZ$317))</f>
        <v>7</v>
      </c>
      <c r="PW46">
        <f>SUMPRODUCT(--('Данные 2st'!$Q$2:$Q$317=$A46),--ISNUMBER('Данные 2st'!$LA$2:$LA$317))</f>
        <v>7</v>
      </c>
      <c r="PX46">
        <f>SUMPRODUCT(--('Данные 2st'!$Q$2:$Q$317=$A46),--ISNUMBER('Данные 2st'!$LB$2:$LB$317))</f>
        <v>7</v>
      </c>
      <c r="PY46">
        <f>SUMPRODUCT(--('Данные 2st'!$Q$2:$Q$317=$A46),--ISNUMBER('Данные 2st'!$LC$2:$LC$317))</f>
        <v>7</v>
      </c>
      <c r="PZ46">
        <f>SUMPRODUCT(--('Данные 2st'!$Q$2:$Q$317=$A46),--ISNUMBER('Данные 2st'!$LD$2:$LD$317))</f>
        <v>7</v>
      </c>
      <c r="QA46">
        <f>SUMPRODUCT(--('Данные 2st'!$Q$2:$Q$317=$A46),--ISNUMBER('Данные 2st'!$LE$2:$LE$317))</f>
        <v>7</v>
      </c>
      <c r="QB46">
        <f>SUMPRODUCT(--('Данные 2st'!$Q$2:$Q$317=$A46),--ISNUMBER('Данные 2st'!$LF$2:$LF$317))</f>
        <v>7</v>
      </c>
      <c r="QC46">
        <f>SUMPRODUCT(--('Данные 2st'!$Q$2:$Q$317=$A46),--ISNUMBER('Данные 2st'!$LG$2:$LG$317))</f>
        <v>7</v>
      </c>
      <c r="QD46">
        <f>SUMPRODUCT(--('Данные 2st'!$Q$2:$Q$317=$A46),--ISNUMBER('Данные 2st'!$LH$2:$LH$317))</f>
        <v>7</v>
      </c>
      <c r="QE46">
        <f>SUMPRODUCT(--('Данные 2st'!$Q$2:$Q$317=$A46),--ISNUMBER('Данные 2st'!$LJ$2:$LJ$317))</f>
        <v>7</v>
      </c>
      <c r="QF46">
        <f>SUMPRODUCT(--('Данные 2st'!$Q$2:$Q$317=$A46),--ISNUMBER('Данные 2st'!$LK$2:$LK$317))</f>
        <v>7</v>
      </c>
      <c r="QG46">
        <f>SUMPRODUCT(--('Данные 2st'!$Q$2:$Q$317=$A46),--ISNUMBER('Данные 2st'!$LL$2:$LL$317))</f>
        <v>7</v>
      </c>
      <c r="QH46">
        <f>SUMPRODUCT(--('Данные 2st'!$Q$2:$Q$317=$A46),--ISNUMBER('Данные 2st'!$LM$2:$LM$317))</f>
        <v>7</v>
      </c>
      <c r="QI46">
        <f>SUMPRODUCT(--('Данные 2st'!$Q$2:$Q$317=$A46),--ISNUMBER('Данные 2st'!$LN$2:$LN$317))</f>
        <v>7</v>
      </c>
      <c r="QJ46">
        <f>SUMPRODUCT(--('Данные 2st'!$Q$2:$Q$317=$A46),--ISNUMBER('Данные 2st'!$LO$2:$LO$317))</f>
        <v>7</v>
      </c>
      <c r="QK46">
        <f>SUMPRODUCT(--('Данные 2st'!$Q$2:$Q$317=$A46),--ISNUMBER('Данные 2st'!$LP$2:$LP$317))</f>
        <v>7</v>
      </c>
      <c r="QL46">
        <f>SUMPRODUCT(--('Данные 2st'!$Q$2:$Q$317=$A46),--ISNUMBER('Данные 2st'!$LQ$2:$LQ$317))</f>
        <v>7</v>
      </c>
      <c r="QM46">
        <f>SUMPRODUCT(--('Данные 2st'!$Q$2:$Q$317=$A46),--ISNUMBER('Данные 2st'!$LW$2:$LW$317))</f>
        <v>7</v>
      </c>
      <c r="QN46">
        <f>SUMPRODUCT(--('Данные 2st'!$Q$2:$Q$317=$A46),--ISNUMBER('Данные 2st'!$LX$2:$LX$317))</f>
        <v>7</v>
      </c>
      <c r="QO46">
        <f>SUMPRODUCT(--('Данные 2st'!$Q$2:$Q$317=$A46),--ISNUMBER('Данные 2st'!$LY$2:$LY$317))</f>
        <v>7</v>
      </c>
      <c r="QP46">
        <f>SUMPRODUCT(--('Данные 2st'!$Q$2:$Q$317=$A46),--ISNUMBER('Данные 2st'!$LZ$2:$LZ$317))</f>
        <v>7</v>
      </c>
      <c r="QQ46">
        <f>SUMPRODUCT(--('Данные 2st'!$Q$2:$Q$317=$A46),--ISNUMBER('Данные 2st'!$MB$2:$MB$317))</f>
        <v>7</v>
      </c>
      <c r="QR46">
        <f>SUMPRODUCT(--('Данные 2st'!$Q$2:$Q$317=$A46),--ISNUMBER('Данные 2st'!$MG$2:$MG$317))</f>
        <v>3</v>
      </c>
      <c r="QS46">
        <f>SUMPRODUCT(--('Данные 2st'!$Q$2:$Q$317=$A46),--ISNUMBER('Данные 2st'!$MH$2:$MH$317))</f>
        <v>3</v>
      </c>
      <c r="QT46">
        <f>SUMPRODUCT(--('Данные 2st'!$Q$2:$Q$317=$A46),--ISNUMBER('Данные 2st'!$MI$2:$MI$317))</f>
        <v>7</v>
      </c>
      <c r="QU46">
        <f>SUMPRODUCT(--('Данные 2st'!$Q$2:$Q$317=$A46),--ISNUMBER('Данные 2st'!$MJ$2:$MJ$317))</f>
        <v>7</v>
      </c>
      <c r="QV46">
        <f>SUMPRODUCT(--('Данные 2st'!$Q$2:$Q$317=$A46),--ISNUMBER('Данные 2st'!$MK$2:$MK$317))</f>
        <v>3</v>
      </c>
      <c r="QW46">
        <f>SUMPRODUCT(--('Данные 2st'!$Q$2:$Q$317=$A46),--ISNUMBER('Данные 2st'!$MM$2:$MM$317))</f>
        <v>7</v>
      </c>
      <c r="QX46">
        <f>SUMPRODUCT(--('Данные 2st'!$Q$2:$Q$317=$A46),--ISNUMBER('Данные 2st'!$MQ$2:$MQ$317))</f>
        <v>0</v>
      </c>
      <c r="QY46">
        <f>SUMPRODUCT(--('Данные 2st'!$Q$2:$Q$317=$A46),--ISNUMBER('Данные 2st'!$MR$2:$MR$317))</f>
        <v>0</v>
      </c>
      <c r="QZ46">
        <f>SUMPRODUCT(--('Данные 2st'!$Q$2:$Q$317=$A46),--ISNUMBER('Данные 2st'!$MS$2:$MS$317))</f>
        <v>0</v>
      </c>
      <c r="RA46">
        <f>SUMPRODUCT(--('Данные 2st'!$Q$2:$Q$317=$A46),--ISNUMBER('Данные 2st'!$MT$2:$MT$317))</f>
        <v>0</v>
      </c>
      <c r="RB46">
        <f>SUMPRODUCT(--('Данные 2st'!$Q$2:$Q$317=$A46),--ISNUMBER('Данные 2st'!$MU$2:$MU$317))</f>
        <v>0</v>
      </c>
      <c r="RC46">
        <f>SUMPRODUCT(--('Данные 2st'!$Q$2:$Q$317=$A46),--ISNUMBER('Данные 2st'!$MV$2:$MV$317))</f>
        <v>0</v>
      </c>
      <c r="RD46">
        <f>SUMPRODUCT(--('Данные 2st'!$Q$2:$Q$317=$A46),--ISNUMBER('Данные 2st'!$MW$2:$MW$317))</f>
        <v>0</v>
      </c>
      <c r="RE46">
        <f>SUMPRODUCT(--('Данные 2st'!$Q$2:$Q$317=$A46),--ISNUMBER('Данные 2st'!$MX$2:$MX$317))</f>
        <v>0</v>
      </c>
      <c r="RF46">
        <f>SUMPRODUCT(--('Данные 2st'!$Q$2:$Q$317=$A46),--ISNUMBER('Данные 2st'!$MY$2:$MY$317))</f>
        <v>0</v>
      </c>
      <c r="RG46">
        <f>SUMPRODUCT(--('Данные 2st'!$Q$2:$Q$317=$A46),--ISNUMBER('Данные 2st'!$MZ$2:$MZ$317))</f>
        <v>0</v>
      </c>
      <c r="RH46">
        <f>SUMPRODUCT(--('Данные 2st'!$Q$2:$Q$317=$A46),--ISNUMBER('Данные 2st'!$NA$2:$NA$317))</f>
        <v>0</v>
      </c>
      <c r="RI46">
        <f>SUMPRODUCT(--('Данные 2st'!$Q$2:$Q$317=$A46),--ISNUMBER('Данные 2st'!$NB$2:$NB$317))</f>
        <v>0</v>
      </c>
      <c r="RJ46">
        <f>SUMPRODUCT(--('Данные 2st'!$Q$2:$Q$317=$A46),--ISNUMBER('Данные 2st'!$NC$2:$NC$317))</f>
        <v>0</v>
      </c>
      <c r="RK46">
        <f>SUMPRODUCT(--('Данные 2st'!$Q$2:$Q$317=$A46),--ISNUMBER('Данные 2st'!$ND$2:$ND$317))</f>
        <v>0</v>
      </c>
      <c r="RL46">
        <f>SUMPRODUCT(--('Данные 2st'!$Q$2:$Q$317=$A46),--ISNUMBER('Данные 2st'!$NE$2:$NE$317))</f>
        <v>0</v>
      </c>
      <c r="RM46">
        <f>SUMPRODUCT(--('Данные 2st'!$Q$2:$Q$317=$A46),--ISNUMBER('Данные 2st'!$NF$2:$NF$317))</f>
        <v>0</v>
      </c>
      <c r="RN46">
        <f>SUMPRODUCT(--('Данные 2st'!$Q$2:$Q$317=$A46),--ISNUMBER('Данные 2st'!$NG$2:$NG$317))</f>
        <v>0</v>
      </c>
      <c r="RO46">
        <f>SUMPRODUCT(--('Данные 2st'!$Q$2:$Q$317=$A46),--ISNUMBER('Данные 2st'!$NH$2:$NH$317))</f>
        <v>0</v>
      </c>
      <c r="RP46">
        <f>SUMPRODUCT(--('Данные 2st'!$Q$2:$Q$317=$A46),--ISNUMBER('Данные 2st'!$NJ$2:$NJ$317))</f>
        <v>0</v>
      </c>
      <c r="RQ46">
        <f>SUMPRODUCT(--('Данные 2st'!$Q$2:$Q$317=$A46),--ISNUMBER('Данные 2st'!$NK$2:$NK$317))</f>
        <v>0</v>
      </c>
      <c r="RR46">
        <f>SUMPRODUCT(--('Данные 2st'!$Q$2:$Q$317=$A46),--ISNUMBER('Данные 2st'!$NM$2:$NM$317))</f>
        <v>0</v>
      </c>
      <c r="RS46">
        <f>SUMPRODUCT(--('Данные 2st'!$Q$2:$Q$317=$A46),--ISNUMBER('Данные 2st'!$NN$2:$NN$317))</f>
        <v>0</v>
      </c>
      <c r="RT46">
        <f>SUMPRODUCT(--('Данные 2st'!$Q$2:$Q$317=$A46),--ISNUMBER('Данные 2st'!$NO$2:$NO$317))</f>
        <v>0</v>
      </c>
      <c r="RU46">
        <f>SUMPRODUCT(--('Данные 2st'!$Q$2:$Q$317=$A46),--ISNUMBER('Данные 2st'!$NP$2:$NP$317))</f>
        <v>0</v>
      </c>
      <c r="RV46">
        <f>SUMPRODUCT(--('Данные 2st'!$Q$2:$Q$317=$A46),--ISNUMBER('Данные 2st'!$NQ$2:$NQ$317))</f>
        <v>0</v>
      </c>
      <c r="RW46">
        <f>SUMPRODUCT(--('Данные 2st'!$Q$2:$Q$317=$A46),--ISNUMBER('Данные 2st'!$NR$2:$NR$317))</f>
        <v>0</v>
      </c>
      <c r="RX46">
        <f>SUMPRODUCT(--('Данные 2st'!$Q$2:$Q$317=$A46),--ISNUMBER('Данные 2st'!$NS$2:$NS$317))</f>
        <v>0</v>
      </c>
      <c r="RY46">
        <f>SUMPRODUCT(--('Данные 2st'!$Q$2:$Q$317=$A46),--ISNUMBER('Данные 2st'!$NT$2:$NT$317))</f>
        <v>0</v>
      </c>
      <c r="RZ46">
        <f>SUMPRODUCT(--('Данные 2st'!$Q$2:$Q$317=$A46),--ISNUMBER('Данные 2st'!$OK$2:$OK$317))</f>
        <v>7</v>
      </c>
      <c r="SA46">
        <f>SUMPRODUCT(--('Данные 2st'!$Q$2:$Q$317=$A46),--ISNUMBER('Данные 2st'!$OL$2:$OL$317))</f>
        <v>7</v>
      </c>
      <c r="SB46">
        <f>SUMPRODUCT(--('Данные 2st'!$Q$2:$Q$317=$A46),--ISNUMBER('Данные 2st'!$ON$2:$ON$317))</f>
        <v>7</v>
      </c>
      <c r="SC46">
        <f>SUMPRODUCT(--('Данные 2st'!$Q$2:$Q$317=$A46),--ISNUMBER('Данные 2st'!$OO$2:$OO$317))</f>
        <v>7</v>
      </c>
      <c r="SD46">
        <f>SUMPRODUCT(--('Данные 2st'!$Q$2:$Q$317=$A46),--ISNUMBER('Данные 2st'!$OP$2:$OP$317))</f>
        <v>7</v>
      </c>
      <c r="SE46">
        <f>SUMPRODUCT(--('Данные 2st'!$Q$2:$Q$317=$A46),--ISNUMBER('Данные 2st'!$OQ$2:$OQ$317))</f>
        <v>7</v>
      </c>
      <c r="SF46">
        <f>SUMPRODUCT(--('Данные 2st'!$Q$2:$Q$317=$A46),--ISNUMBER('Данные 2st'!$OS$2:$OS$317))</f>
        <v>7</v>
      </c>
      <c r="SG46">
        <f>SUMPRODUCT(--('Данные 2st'!$Q$2:$Q$317=$A46),--ISNUMBER('Данные 2st'!$OT$2:$OT$317))</f>
        <v>7</v>
      </c>
      <c r="SH46">
        <f>SUMPRODUCT(--('Данные 2st'!$Q$2:$Q$317=$A46),--ISNUMBER('Данные 2st'!$OU$2:$OU$317))</f>
        <v>7</v>
      </c>
      <c r="SI46">
        <f>SUMPRODUCT(--('Данные 2st'!$Q$2:$Q$317=$A46),--ISNUMBER('Данные 2st'!$OV$2:$OV$317))</f>
        <v>7</v>
      </c>
      <c r="SJ46">
        <f>SUMPRODUCT(--('Данные 2st'!$Q$2:$Q$317=$A46),--ISNUMBER('Данные 2st'!$OX$2:$OX$317))</f>
        <v>7</v>
      </c>
      <c r="SK46">
        <f>SUMPRODUCT(--('Данные 2st'!$Q$2:$Q$317=$A46),--ISNUMBER('Данные 2st'!$OY$2:$OY$317))</f>
        <v>7</v>
      </c>
      <c r="SL46">
        <f>SUMPRODUCT(--('Данные 2st'!$Q$2:$Q$317=$A46),--ISNUMBER('Данные 2st'!$OZ$2:$OZ$317))</f>
        <v>7</v>
      </c>
      <c r="SM46">
        <f>SUMPRODUCT(--('Данные 2st'!$Q$2:$Q$317=$A46),--ISNUMBER('Данные 2st'!$PA$2:$PA$317))</f>
        <v>7</v>
      </c>
      <c r="SN46">
        <f>SUMPRODUCT(--('Данные 2st'!$Q$2:$Q$317=$A46),--ISNUMBER('Данные 2st'!$PC$2:$PC$317))</f>
        <v>7</v>
      </c>
      <c r="SO46">
        <f>SUMPRODUCT(--('Данные 2st'!$Q$2:$Q$317=$A46),--ISNUMBER('Данные 2st'!$PD$2:$PD$317))</f>
        <v>7</v>
      </c>
      <c r="SP46">
        <f>SUMPRODUCT(--('Данные 2st'!$Q$2:$Q$317=$A46),--ISNUMBER('Данные 2st'!$PF$2:$PF$317))</f>
        <v>7</v>
      </c>
      <c r="SQ46">
        <f>SUMPRODUCT(--('Данные 2st'!$Q$2:$Q$317=$A46),--ISNUMBER('Данные 2st'!$PG$2:$PG$317))</f>
        <v>7</v>
      </c>
      <c r="SR46">
        <f>SUMPRODUCT(--('Данные 2st'!$Q$2:$Q$317=$A46),--ISNUMBER('Данные 2st'!$PH$2:$PH$317))</f>
        <v>7</v>
      </c>
      <c r="SS46">
        <f>SUMPRODUCT(--('Данные 2st'!$Q$2:$Q$317=$A46),--ISNUMBER('Данные 2st'!$PI$2:$PI$317))</f>
        <v>7</v>
      </c>
      <c r="ST46">
        <f>SUMPRODUCT(--('Данные 2st'!$Q$2:$Q$317=$A46),--ISNUMBER('Данные 2st'!$PJ$2:$PJ$317))</f>
        <v>7</v>
      </c>
      <c r="SU46">
        <f>SUMPRODUCT(--('Данные 2st'!$Q$2:$Q$317=$A46),--ISNUMBER('Данные 2st'!$PK$2:$PK$317))</f>
        <v>6</v>
      </c>
      <c r="SV46">
        <f>SUMPRODUCT(--('Данные 2st'!$Q$2:$Q$317=$A46),--ISNUMBER('Данные 2st'!$PL$2:$PL$317))</f>
        <v>7</v>
      </c>
      <c r="SW46">
        <f>SUMPRODUCT(--('Данные 2st'!$Q$2:$Q$317=$A46),--ISNUMBER('Данные 2st'!$PM$2:$PM$317))</f>
        <v>7</v>
      </c>
      <c r="SX46">
        <f>SUMPRODUCT(--('Данные 2st'!$Q$2:$Q$317=$A46),--ISNUMBER('Данные 2st'!$PN$2:$PN$317))</f>
        <v>7</v>
      </c>
      <c r="SY46">
        <f>SUMPRODUCT(--('Данные 2st'!$Q$2:$Q$317=$A46),--ISNUMBER('Данные 2st'!$PO$2:$PO$317))</f>
        <v>7</v>
      </c>
      <c r="SZ46">
        <f>SUMPRODUCT(--('Данные 2st'!$Q$2:$Q$317=$A46),--ISNUMBER('Данные 2st'!$PP$2:$PP$317))</f>
        <v>7</v>
      </c>
      <c r="TA46">
        <f>SUMPRODUCT(--('Данные 2st'!$Q$2:$Q$317=$A46),--ISNUMBER('Данные 2st'!$PQ$2:$PQ$317))</f>
        <v>7</v>
      </c>
      <c r="TB46">
        <f>SUMPRODUCT(--('Данные 2st'!$Q$2:$Q$317=$A46),--ISNUMBER('Данные 2st'!$PR$2:$PR$317))</f>
        <v>7</v>
      </c>
      <c r="TC46">
        <f>SUMPRODUCT(--('Данные 2st'!$Q$2:$Q$317=$A46),--ISNUMBER('Данные 2st'!$PS$2:$PS$317))</f>
        <v>7</v>
      </c>
      <c r="TD46">
        <f>SUMPRODUCT(--('Данные 2st'!$Q$2:$Q$317=$A46),--ISNUMBER('Данные 2st'!$PT$2:$PT$317))</f>
        <v>7</v>
      </c>
      <c r="TE46">
        <f>SUMPRODUCT(--('Данные 2st'!$Q$2:$Q$317=$A46),--ISNUMBER('Данные 2st'!$PU$2:$PU$317))</f>
        <v>7</v>
      </c>
      <c r="TF46">
        <f>SUMPRODUCT(--('Данные 2st'!$Q$2:$Q$317=$A46),--ISNUMBER('Данные 2st'!$PX$2:$PX$317))</f>
        <v>7</v>
      </c>
      <c r="TG46">
        <f>SUMPRODUCT(--('Данные 2st'!$Q$2:$Q$317=$A46),--ISNUMBER('Данные 2st'!$PY$2:$PY$317))</f>
        <v>7</v>
      </c>
      <c r="TH46">
        <f>SUMPRODUCT(--('Данные 2st'!$Q$2:$Q$317=$A46),--ISNUMBER('Данные 2st'!$PZ$2:$PZ$317))</f>
        <v>7</v>
      </c>
      <c r="TI46">
        <f>SUMPRODUCT(--('Данные 2st'!$Q$2:$Q$317=$A46),--ISNUMBER('Данные 2st'!$QA$2:$QA$317))</f>
        <v>7</v>
      </c>
      <c r="TJ46">
        <f>SUMPRODUCT(--('Данные 2st'!$Q$2:$Q$317=$A46),--ISNUMBER('Данные 2st'!$QB$2:$QB$317))</f>
        <v>7</v>
      </c>
      <c r="TK46">
        <f>SUMPRODUCT(--('Данные 2st'!$Q$2:$Q$317=$A46),--ISNUMBER('Данные 2st'!$QC$2:$QC$317))</f>
        <v>7</v>
      </c>
      <c r="TL46">
        <f>SUMPRODUCT(--('Данные 2st'!$Q$2:$Q$317=$A46),--ISNUMBER('Данные 2st'!$QD$2:$QD$317))</f>
        <v>7</v>
      </c>
      <c r="TM46">
        <f>SUMPRODUCT(--('Данные 2st'!$Q$2:$Q$317=$A46),--ISNUMBER('Данные 2st'!$QE$2:$QE$317))</f>
        <v>7</v>
      </c>
      <c r="TN46">
        <f>SUMPRODUCT(--('Данные 2st'!$Q$2:$Q$317=$A46),--ISNUMBER('Данные 2st'!$QF$2:$QF$317))</f>
        <v>7</v>
      </c>
      <c r="TO46">
        <f>SUMPRODUCT(--('Данные 2st'!$Q$2:$Q$317=$A46),--ISNUMBER('Данные 2st'!$QG$2:$QG$317))</f>
        <v>7</v>
      </c>
      <c r="TP46">
        <f>SUMPRODUCT(--('Данные 2st'!$Q$2:$Q$317=$A46),--ISNUMBER('Данные 2st'!$QH$2:$QH$317))</f>
        <v>7</v>
      </c>
      <c r="TQ46">
        <f>SUMPRODUCT(--('Данные 2st'!$Q$2:$Q$317=$A46),--ISNUMBER('Данные 2st'!$QI$2:$QI$317))</f>
        <v>7</v>
      </c>
      <c r="TR46">
        <f>SUMPRODUCT(--('Данные 2st'!$Q$2:$Q$317=$A46),--ISNUMBER('Данные 2st'!$QJ$2:$QJ$317))</f>
        <v>7</v>
      </c>
      <c r="TS46">
        <f>SUMPRODUCT(--('Данные 2st'!$Q$2:$Q$317=$A46),--ISNUMBER('Данные 2st'!$QK$2:$QK$317))</f>
        <v>7</v>
      </c>
      <c r="TT46">
        <f>SUMPRODUCT(--('Данные 2st'!$Q$2:$Q$317=$A46),--ISNUMBER('Данные 2st'!$QL$2:$QL$317))</f>
        <v>7</v>
      </c>
      <c r="TU46">
        <f>SUMPRODUCT(--('Данные 2st'!$Q$2:$Q$317=$A46),--ISNUMBER('Данные 2st'!$QM$2:$QM$317))</f>
        <v>7</v>
      </c>
      <c r="TV46">
        <f>SUMPRODUCT(--('Данные 2st'!$Q$2:$Q$317=$A46),--ISNUMBER('Данные 2st'!$QN$2:$QN$317))</f>
        <v>7</v>
      </c>
      <c r="TW46">
        <f>SUMPRODUCT(--('Данные 2st'!$Q$2:$Q$317=$A46),--ISNUMBER('Данные 2st'!$QQ$2:$QQ$317))</f>
        <v>7</v>
      </c>
      <c r="TX46">
        <f>SUMPRODUCT(--('Данные 2st'!$Q$2:$Q$317=$A46),--ISNUMBER('Данные 2st'!$QS$2:$QS$317))</f>
        <v>7</v>
      </c>
      <c r="TY46">
        <f>SUMPRODUCT(--('Данные 2st'!$Q$2:$Q$317=$A46),--ISNUMBER('Данные 2st'!$QT$2:$QT$317))</f>
        <v>7</v>
      </c>
    </row>
    <row r="47" spans="1:545" ht="32" customHeight="1">
      <c r="A47" s="11" t="str">
        <f>'По размерам'!A47</f>
        <v>235/55R17</v>
      </c>
      <c r="G47">
        <f>SUMPRODUCT(--('Данные 1st'!$S$2:$S$317=$A47),--ISNUMBER('Данные 1st'!$AE$2:$AE$317))</f>
        <v>3</v>
      </c>
      <c r="H47">
        <f>SUMPRODUCT(--('Данные 1st'!$S$2:$S$317=$A47),--ISNUMBER('Данные 1st'!$AF$2:$AF$317))</f>
        <v>3</v>
      </c>
      <c r="I47">
        <f>SUMPRODUCT(--('Данные 1st'!$S$2:$S$317=$A47),--ISNUMBER('Данные 1st'!$AJ$2:$AJ$317))</f>
        <v>3</v>
      </c>
      <c r="J47">
        <f>SUMPRODUCT(--('Данные 1st'!$S$2:$S$317=$A47),--ISNUMBER('Данные 1st'!$AL$2:$AL$317))</f>
        <v>3</v>
      </c>
      <c r="K47">
        <f>SUMPRODUCT(--('Данные 1st'!$S$2:$S$317=$A47),--ISNUMBER('Данные 1st'!$AR$2:$AR$317))</f>
        <v>3</v>
      </c>
      <c r="L47">
        <f>SUMPRODUCT(--('Данные 1st'!$S$2:$S$317=$A47),--ISNUMBER('Данные 1st'!$AS$2:$AS$317))</f>
        <v>3</v>
      </c>
      <c r="M47">
        <f>SUMPRODUCT(--('Данные 1st'!$S$2:$S$317=$A47),--ISNUMBER('Данные 1st'!$AY$2:$AY$317))</f>
        <v>3</v>
      </c>
      <c r="N47">
        <f>SUMPRODUCT(--('Данные 1st'!$S$2:$S$317=$A47),--ISNUMBER('Данные 1st'!$AZ$2:$AZ$317))</f>
        <v>3</v>
      </c>
      <c r="O47">
        <f>SUMPRODUCT(--('Данные 1st'!$S$2:$S$317=$A47),--ISNUMBER('Данные 1st'!$BF$2:$BF$317))</f>
        <v>3</v>
      </c>
      <c r="P47">
        <f>SUMPRODUCT(--('Данные 1st'!$S$2:$S$317=$A47),--ISNUMBER('Данные 1st'!$BG$2:$BG$317))</f>
        <v>3</v>
      </c>
      <c r="Q47">
        <f>SUMPRODUCT(--('Данные 1st'!$S$2:$S$317=$A47),--ISNUMBER('Данные 1st'!$BM$2:$BM$317))</f>
        <v>0</v>
      </c>
      <c r="R47">
        <f>SUMPRODUCT(--('Данные 1st'!$S$2:$S$317=$A47),--ISNUMBER('Данные 1st'!$BN$2:$BN$317))</f>
        <v>3</v>
      </c>
      <c r="S47">
        <f>SUMPRODUCT(--('Данные 1st'!$S$2:$S$317=$A47),--ISNUMBER('Данные 1st'!$BT$2:$BT$317))</f>
        <v>3</v>
      </c>
      <c r="T47">
        <f>SUMPRODUCT(--('Данные 1st'!$S$2:$S$317=$A47),--ISNUMBER('Данные 1st'!$BU$2:$BU$317))</f>
        <v>3</v>
      </c>
      <c r="U47">
        <f>SUMPRODUCT(--('Данные 1st'!$S$2:$S$317=$A47),--ISNUMBER('Данные 1st'!$BW$2:$BW$317))</f>
        <v>3</v>
      </c>
      <c r="V47">
        <f>SUMPRODUCT(--('Данные 1st'!$S$2:$S$317=$A47),--ISNUMBER('Данные 1st'!$BX$2:$BX$317))</f>
        <v>3</v>
      </c>
      <c r="W47">
        <f>SUMPRODUCT(--('Данные 1st'!$S$2:$S$317=$A47),--ISNUMBER('Данные 1st'!$BZ$2:$BZ$317))</f>
        <v>3</v>
      </c>
      <c r="X47">
        <f>SUMPRODUCT(--('Данные 1st'!$S$2:$S$317=$A47),--ISNUMBER('Данные 1st'!$CA$2:$CA$317))</f>
        <v>3</v>
      </c>
      <c r="Y47">
        <f>SUMPRODUCT(--('Данные 1st'!$S$2:$S$317=$A47),--ISNUMBER('Данные 1st'!$CD$2:$CD$317))</f>
        <v>3</v>
      </c>
      <c r="Z47">
        <f>SUMPRODUCT(--('Данные 1st'!$S$2:$S$317=$A47),--ISNUMBER('Данные 1st'!$CF$2:$CF$317))</f>
        <v>3</v>
      </c>
      <c r="AA47">
        <f>SUMPRODUCT(--('Данные 1st'!$S$2:$S$317=$A47),--ISNUMBER('Данные 1st'!$CI$2:$CI$317))</f>
        <v>3</v>
      </c>
      <c r="AB47">
        <f>SUMPRODUCT(--('Данные 1st'!$S$2:$S$317=$A47),--ISNUMBER('Данные 1st'!$CJ$2:$CJ$317))</f>
        <v>3</v>
      </c>
      <c r="AC47">
        <f>SUMPRODUCT(--('Данные 1st'!$S$2:$S$317=$A47),--ISNUMBER('Данные 1st'!$CK$2:$CK$317))</f>
        <v>3</v>
      </c>
      <c r="AD47">
        <f>SUMPRODUCT(--('Данные 1st'!$S$2:$S$317=$A47),--ISNUMBER('Данные 1st'!$CL$2:$CL$317))</f>
        <v>3</v>
      </c>
      <c r="AE47">
        <f>SUMPRODUCT(--('Данные 1st'!$S$2:$S$317=$A47),--ISNUMBER('Данные 1st'!$CM$2:$CM$317))</f>
        <v>3</v>
      </c>
      <c r="AF47">
        <f>SUMPRODUCT(--('Данные 1st'!$S$2:$S$317=$A47),--ISNUMBER('Данные 1st'!$CT$2:$CT$317))</f>
        <v>3</v>
      </c>
      <c r="AG47">
        <f>SUMPRODUCT(--('Данные 1st'!$S$2:$S$317=$A47),--ISNUMBER('Данные 1st'!$CU$2:$CU$317))</f>
        <v>3</v>
      </c>
      <c r="AH47">
        <f>SUMPRODUCT(--('Данные 1st'!$S$2:$S$317=$A47),--ISNUMBER('Данные 1st'!$CV$2:$CV$317))</f>
        <v>3</v>
      </c>
      <c r="AI47">
        <f>SUMPRODUCT(--('Данные 1st'!$S$2:$S$317=$A47),--ISNUMBER('Данные 1st'!$CW$2:$CW$317))</f>
        <v>3</v>
      </c>
      <c r="AJ47">
        <f>SUMPRODUCT(--('Данные 1st'!$S$2:$S$317=$A47),--ISNUMBER('Данные 1st'!$CX$2:$CX$317))</f>
        <v>3</v>
      </c>
      <c r="AK47">
        <f>SUMPRODUCT(--('Данные 1st'!$S$2:$S$317=$A47),--ISNUMBER('Данные 1st'!$CZ$2:$CZ$317))</f>
        <v>1</v>
      </c>
      <c r="AL47">
        <f>SUMPRODUCT(--('Данные 1st'!$S$2:$S$317=$A47),--ISNUMBER('Данные 1st'!$DA$2:$DA$317))</f>
        <v>1</v>
      </c>
      <c r="AM47">
        <f>SUMPRODUCT(--('Данные 1st'!$S$2:$S$317=$A47),--ISNUMBER('Данные 1st'!$DB$2:$DB$317))</f>
        <v>1</v>
      </c>
      <c r="AN47">
        <f>SUMPRODUCT(--('Данные 1st'!$S$2:$S$317=$A47),--ISNUMBER('Данные 1st'!$DC$2:$DC$317))</f>
        <v>1</v>
      </c>
      <c r="AO47">
        <f>SUMPRODUCT(--('Данные 1st'!$S$2:$S$317=$A47),--ISNUMBER('Данные 1st'!$DD$2:$DD$317))</f>
        <v>3</v>
      </c>
      <c r="AP47">
        <f>SUMPRODUCT(--('Данные 1st'!$S$2:$S$317=$A47),--ISNUMBER('Данные 1st'!$DF$2:$DF$317))</f>
        <v>3</v>
      </c>
      <c r="AQ47">
        <f>SUMPRODUCT(--('Данные 1st'!$S$2:$S$317=$A47),--ISNUMBER('Данные 1st'!$DG$2:$DG$317))</f>
        <v>3</v>
      </c>
      <c r="AR47">
        <f>SUMPRODUCT(--('Данные 1st'!$S$2:$S$317=$A47),--ISNUMBER('Данные 1st'!$DH$2:$DH$317))</f>
        <v>3</v>
      </c>
      <c r="AS47">
        <f>SUMPRODUCT(--('Данные 1st'!$S$2:$S$317=$A47),--ISNUMBER('Данные 1st'!$DI$2:$DI$317))</f>
        <v>3</v>
      </c>
      <c r="AT47">
        <f>SUMPRODUCT(--('Данные 1st'!$S$2:$S$317=$A47),--ISNUMBER('Данные 1st'!$DJ$2:$DJ$317))</f>
        <v>3</v>
      </c>
      <c r="AU47">
        <f>SUMPRODUCT(--('Данные 1st'!$S$2:$S$317=$A47),--ISNUMBER('Данные 1st'!$DL$2:$DL$317))</f>
        <v>3</v>
      </c>
      <c r="AV47">
        <f>SUMPRODUCT(--('Данные 1st'!$S$2:$S$317=$A47),--ISNUMBER('Данные 1st'!$DM$2:$DM$317))</f>
        <v>3</v>
      </c>
      <c r="AW47">
        <f>SUMPRODUCT(--('Данные 1st'!$S$2:$S$317=$A47),--ISNUMBER('Данные 1st'!$DN$2:$DN$317))</f>
        <v>3</v>
      </c>
      <c r="AX47">
        <f>SUMPRODUCT(--('Данные 1st'!$S$2:$S$317=$A47),--ISNUMBER('Данные 1st'!$DO$2:$DO$317))</f>
        <v>3</v>
      </c>
      <c r="AY47">
        <f>SUMPRODUCT(--('Данные 1st'!$S$2:$S$317=$A47),--ISNUMBER('Данные 1st'!$DP$2:$DP$317))</f>
        <v>3</v>
      </c>
      <c r="AZ47">
        <f>SUMPRODUCT(--('Данные 1st'!$S$2:$S$317=$A47),--ISNUMBER('Данные 1st'!$DR$2:$DR$317))</f>
        <v>0</v>
      </c>
      <c r="BA47">
        <f>SUMPRODUCT(--('Данные 1st'!$S$2:$S$317=$A47),--ISNUMBER('Данные 1st'!$DS$2:$DS$317))</f>
        <v>0</v>
      </c>
      <c r="BB47">
        <f>SUMPRODUCT(--('Данные 1st'!$S$2:$S$317=$A47),--ISNUMBER('Данные 1st'!$DT$2:$DT$317))</f>
        <v>0</v>
      </c>
      <c r="BC47">
        <f>SUMPRODUCT(--('Данные 1st'!$S$2:$S$317=$A47),--ISNUMBER('Данные 1st'!$DU$2:$DU$317))</f>
        <v>0</v>
      </c>
      <c r="BD47">
        <f>SUMPRODUCT(--('Данные 1st'!$S$2:$S$317=$A47),--ISNUMBER('Данные 1st'!$DV$2:$DV$317))</f>
        <v>0</v>
      </c>
      <c r="BE47">
        <f>SUMPRODUCT(--('Данные 1st'!$S$2:$S$317=$A47),--ISNUMBER('Данные 1st'!$DX$2:$DX$317))</f>
        <v>3</v>
      </c>
      <c r="BF47">
        <f>SUMPRODUCT(--('Данные 1st'!$S$2:$S$317=$A47),--ISNUMBER('Данные 1st'!$EA$2:$EA$317))</f>
        <v>3</v>
      </c>
      <c r="BG47">
        <f>SUMPRODUCT(--('Данные 1st'!$S$2:$S$317=$A47),--ISNUMBER('Данные 1st'!$EB$2:$EB$317))</f>
        <v>3</v>
      </c>
      <c r="BH47">
        <f>SUMPRODUCT(--('Данные 1st'!$S$2:$S$317=$A47),--ISNUMBER('Данные 1st'!$ED$2:$ED$317))</f>
        <v>3</v>
      </c>
      <c r="BI47">
        <f>SUMPRODUCT(--('Данные 1st'!$S$2:$S$317=$A47),--ISNUMBER('Данные 1st'!$EE$2:$EE$317))</f>
        <v>3</v>
      </c>
      <c r="BJ47">
        <f>SUMPRODUCT(--('Данные 1st'!$S$2:$S$317=$A47),--ISNUMBER('Данные 1st'!$EG$2:$EG$317))</f>
        <v>3</v>
      </c>
      <c r="BK47">
        <f>SUMPRODUCT(--('Данные 1st'!$S$2:$S$317=$A47),--ISNUMBER('Данные 1st'!$EH$2:$EH$317))</f>
        <v>3</v>
      </c>
      <c r="BL47">
        <f>SUMPRODUCT(--('Данные 1st'!$S$2:$S$317=$A47),--ISNUMBER('Данные 1st'!$EJ$2:$EJ$317))</f>
        <v>3</v>
      </c>
      <c r="BM47">
        <f>SUMPRODUCT(--('Данные 1st'!$S$2:$S$317=$A47),--ISNUMBER('Данные 1st'!$EK$2:$EK$317))</f>
        <v>3</v>
      </c>
      <c r="BN47">
        <f>SUMPRODUCT(--('Данные 1st'!$S$2:$S$317=$A47),--ISNUMBER('Данные 1st'!$EN$2:$EN$317))</f>
        <v>3</v>
      </c>
      <c r="BO47">
        <f>SUMPRODUCT(--('Данные 1st'!$S$2:$S$317=$A47),--ISNUMBER('Данные 1st'!$EQ$2:$EQ$317))</f>
        <v>3</v>
      </c>
      <c r="BP47">
        <f>SUMPRODUCT(--('Данные 1st'!$S$2:$S$317=$A47),--ISNUMBER('Данные 1st'!$ER$2:$ER$317))</f>
        <v>3</v>
      </c>
      <c r="BQ47">
        <f>SUMPRODUCT(--('Данные 1st'!$S$2:$S$317=$A47),--ISNUMBER('Данные 1st'!$ES$2:$ES$317))</f>
        <v>3</v>
      </c>
      <c r="BR47">
        <f>SUMPRODUCT(--('Данные 1st'!$S$2:$S$317=$A47),--ISNUMBER('Данные 1st'!$ET$2:$ET$317))</f>
        <v>3</v>
      </c>
      <c r="BS47">
        <f>SUMPRODUCT(--('Данные 1st'!$S$2:$S$317=$A47),--ISNUMBER('Данные 1st'!$EU$2:$EU$317))</f>
        <v>3</v>
      </c>
      <c r="BT47">
        <f>SUMPRODUCT(--('Данные 1st'!$S$2:$S$317=$A47),--ISNUMBER('Данные 1st'!$EV$2:$EV$317))</f>
        <v>3</v>
      </c>
      <c r="BU47">
        <f>SUMPRODUCT(--('Данные 1st'!$S$2:$S$317=$A47),--ISNUMBER('Данные 1st'!$EX$2:$EX$317))</f>
        <v>3</v>
      </c>
      <c r="BV47">
        <f>SUMPRODUCT(--('Данные 1st'!$S$2:$S$317=$A47),--ISNUMBER('Данные 1st'!$EY$2:$EY$317))</f>
        <v>3</v>
      </c>
      <c r="BW47">
        <f>SUMPRODUCT(--('Данные 1st'!$S$2:$S$317=$A47),--ISNUMBER('Данные 1st'!$EZ$2:$EZ$317))</f>
        <v>3</v>
      </c>
      <c r="BX47">
        <f>SUMPRODUCT(--('Данные 1st'!$S$2:$S$317=$A47),--ISNUMBER('Данные 1st'!$FA$2:$FA$317))</f>
        <v>3</v>
      </c>
      <c r="BY47">
        <f>SUMPRODUCT(--('Данные 1st'!$S$2:$S$317=$A47),--ISNUMBER('Данные 1st'!$FB$2:$FB$317))</f>
        <v>3</v>
      </c>
      <c r="BZ47">
        <f>SUMPRODUCT(--('Данные 1st'!$S$2:$S$317=$A47),--ISNUMBER('Данные 1st'!$FC$2:$FC$317))</f>
        <v>3</v>
      </c>
      <c r="CA47">
        <f>SUMPRODUCT(--('Данные 1st'!$S$2:$S$317=$A47),--ISNUMBER('Данные 1st'!$FE$2:$FE$317))</f>
        <v>3</v>
      </c>
      <c r="CB47">
        <f>SUMPRODUCT(--('Данные 1st'!$S$2:$S$317=$A47),--ISNUMBER('Данные 1st'!$FF$2:$FF$317))</f>
        <v>3</v>
      </c>
      <c r="CC47">
        <f>SUMPRODUCT(--('Данные 1st'!$S$2:$S$317=$A47),--ISNUMBER('Данные 1st'!$FI$2:$FI$317))</f>
        <v>3</v>
      </c>
      <c r="CD47">
        <f>SUMPRODUCT(--('Данные 1st'!$S$2:$S$317=$A47),--ISNUMBER('Данные 1st'!$FL$2:$FL$317))</f>
        <v>3</v>
      </c>
      <c r="CE47">
        <f>SUMPRODUCT(--('Данные 1st'!$S$2:$S$317=$A47),--ISNUMBER('Данные 1st'!$FM$2:$FM$317))</f>
        <v>3</v>
      </c>
      <c r="CF47">
        <f>SUMPRODUCT(--('Данные 1st'!$S$2:$S$317=$A47),--ISNUMBER('Данные 1st'!$FN$2:$FN$317))</f>
        <v>3</v>
      </c>
      <c r="CG47">
        <f>SUMPRODUCT(--('Данные 1st'!$S$2:$S$317=$A47),--ISNUMBER('Данные 1st'!$FO$2:$FO$317))</f>
        <v>1</v>
      </c>
      <c r="CH47">
        <f>SUMPRODUCT(--('Данные 1st'!$S$2:$S$317=$A47),--ISNUMBER('Данные 1st'!$FP$2:$FP$317))</f>
        <v>1</v>
      </c>
      <c r="CI47">
        <f>SUMPRODUCT(--('Данные 1st'!$S$2:$S$317=$A47),--ISNUMBER('Данные 1st'!$FS$2:$FS$317))</f>
        <v>0</v>
      </c>
      <c r="CJ47">
        <f>SUMPRODUCT(--('Данные 1st'!$S$2:$S$317=$A47),--ISNUMBER('Данные 1st'!$FT$2:$FT$317))</f>
        <v>0</v>
      </c>
      <c r="CK47">
        <f>SUMPRODUCT(--('Данные 1st'!$S$2:$S$317=$A47),--ISNUMBER('Данные 1st'!$FU$2:$FU$317))</f>
        <v>0</v>
      </c>
      <c r="CL47">
        <f>SUMPRODUCT(--('Данные 1st'!$S$2:$S$317=$A47),--ISNUMBER('Данные 1st'!$FV$2:$FV$317))</f>
        <v>0</v>
      </c>
      <c r="CM47">
        <f>SUMPRODUCT(--('Данные 1st'!$S$2:$S$317=$A47),--ISNUMBER('Данные 1st'!$FW$2:$FW$317))</f>
        <v>0</v>
      </c>
      <c r="CN47">
        <f>SUMPRODUCT(--('Данные 1st'!$S$2:$S$317=$A47),--ISNUMBER('Данные 1st'!$FZ$2:$FZ$317))</f>
        <v>0</v>
      </c>
      <c r="CO47">
        <f>SUMPRODUCT(--('Данные 1st'!$S$2:$S$317=$A47),--ISNUMBER('Данные 1st'!$GA$2:$GA$317))</f>
        <v>0</v>
      </c>
      <c r="CP47">
        <f>SUMPRODUCT(--('Данные 1st'!$S$2:$S$317=$A47),--ISNUMBER('Данные 1st'!$GB$2:$GB$317))</f>
        <v>0</v>
      </c>
      <c r="CQ47">
        <f>SUMPRODUCT(--('Данные 1st'!$S$2:$S$317=$A47),--ISNUMBER('Данные 1st'!$GH$2:$GH$317))</f>
        <v>0</v>
      </c>
      <c r="CR47">
        <f>SUMPRODUCT(--('Данные 1st'!$S$2:$S$317=$A47),--ISNUMBER('Данные 1st'!$GI$2:$GI$317))</f>
        <v>0</v>
      </c>
      <c r="CS47">
        <f>SUMPRODUCT(--('Данные 1st'!$S$2:$S$317=$A47),--ISNUMBER('Данные 1st'!$GJ$2:$GJ$317))</f>
        <v>0</v>
      </c>
      <c r="CT47">
        <f>SUMPRODUCT(--('Данные 1st'!$S$2:$S$317=$A47),--ISNUMBER('Данные 1st'!$GS$2:$GS$317))</f>
        <v>3</v>
      </c>
      <c r="CU47">
        <f>SUMPRODUCT(--('Данные 1st'!$S$2:$S$317=$A47),--ISNUMBER('Данные 1st'!$GT$2:$GT$317))</f>
        <v>3</v>
      </c>
      <c r="CV47">
        <f>SUMPRODUCT(--('Данные 1st'!$S$2:$S$317=$A47),--ISNUMBER('Данные 1st'!$GU$2:$GU$317))</f>
        <v>3</v>
      </c>
      <c r="CW47">
        <f>SUMPRODUCT(--('Данные 1st'!$S$2:$S$317=$A47),--ISNUMBER('Данные 1st'!$GV$2:$GV$317))</f>
        <v>1</v>
      </c>
      <c r="CX47">
        <f>SUMPRODUCT(--('Данные 1st'!$S$2:$S$317=$A47),--ISNUMBER('Данные 1st'!$GW$2:$GW$317))</f>
        <v>1</v>
      </c>
      <c r="CY47">
        <f>SUMPRODUCT(--('Данные 1st'!$S$2:$S$317=$A47),--ISNUMBER('Данные 1st'!$GZ$2:$GZ$317))</f>
        <v>3</v>
      </c>
      <c r="CZ47">
        <f>SUMPRODUCT(--('Данные 1st'!$S$2:$S$317=$A47),--ISNUMBER('Данные 1st'!$HA$2:$HA$317))</f>
        <v>3</v>
      </c>
      <c r="DA47">
        <f>SUMPRODUCT(--('Данные 1st'!$S$2:$S$317=$A47),--ISNUMBER('Данные 1st'!$HB$2:$HB$317))</f>
        <v>3</v>
      </c>
      <c r="DB47">
        <f>SUMPRODUCT(--('Данные 1st'!$S$2:$S$317=$A47),--ISNUMBER('Данные 1st'!$HC$2:$HC$317))</f>
        <v>3</v>
      </c>
      <c r="DC47">
        <f>SUMPRODUCT(--('Данные 1st'!$S$2:$S$317=$A47),--ISNUMBER('Данные 1st'!$HD$2:$HD$317))</f>
        <v>3</v>
      </c>
      <c r="DD47">
        <f>SUMPRODUCT(--('Данные 1st'!$S$2:$S$317=$A47),--ISNUMBER('Данные 1st'!$HE$2:$HE$317))</f>
        <v>3</v>
      </c>
      <c r="DE47">
        <f>SUMPRODUCT(--('Данные 1st'!$S$2:$S$317=$A47),--ISNUMBER('Данные 1st'!$HF$2:$HF$317))</f>
        <v>3</v>
      </c>
      <c r="DF47">
        <f>SUMPRODUCT(--('Данные 1st'!$S$2:$S$317=$A47),--ISNUMBER('Данные 1st'!$HG$2:$HG$317))</f>
        <v>3</v>
      </c>
      <c r="DG47">
        <f>SUMPRODUCT(--('Данные 1st'!$S$2:$S$317=$A47),--ISNUMBER('Данные 1st'!$HH$2:$HH$317))</f>
        <v>3</v>
      </c>
      <c r="DH47">
        <f>SUMPRODUCT(--('Данные 1st'!$S$2:$S$317=$A47),--ISNUMBER('Данные 1st'!$HI$2:$HI$317))</f>
        <v>3</v>
      </c>
      <c r="DI47">
        <f>SUMPRODUCT(--('Данные 1st'!$S$2:$S$317=$A47),--ISNUMBER('Данные 1st'!$HJ$2:$HJ$317))</f>
        <v>3</v>
      </c>
      <c r="DJ47">
        <f>SUMPRODUCT(--('Данные 1st'!$S$2:$S$317=$A47),--ISNUMBER('Данные 1st'!$HK$2:$HK$317))</f>
        <v>3</v>
      </c>
      <c r="DK47">
        <f>SUMPRODUCT(--('Данные 1st'!$S$2:$S$317=$A47),--ISNUMBER('Данные 1st'!$HL$2:$HL$317))</f>
        <v>3</v>
      </c>
      <c r="DL47">
        <f>SUMPRODUCT(--('Данные 1st'!$S$2:$S$317=$A47),--ISNUMBER('Данные 1st'!$HM$2:$HM$317))</f>
        <v>3</v>
      </c>
      <c r="DM47">
        <f>SUMPRODUCT(--('Данные 1st'!$S$2:$S$317=$A47),--ISNUMBER('Данные 1st'!$HN$2:$HN$317))</f>
        <v>3</v>
      </c>
      <c r="DN47">
        <f>SUMPRODUCT(--('Данные 1st'!$S$2:$S$317=$A47),--ISNUMBER('Данные 1st'!$HO$2:$HO$317))</f>
        <v>3</v>
      </c>
      <c r="DO47">
        <f>SUMPRODUCT(--('Данные 1st'!$S$2:$S$317=$A47),--ISNUMBER('Данные 1st'!$HP$2:$HP$317))</f>
        <v>3</v>
      </c>
      <c r="DP47">
        <f>SUMPRODUCT(--('Данные 1st'!$S$2:$S$317=$A47),--ISNUMBER('Данные 1st'!$HQ$2:$HQ$317))</f>
        <v>3</v>
      </c>
      <c r="DQ47">
        <f>SUMPRODUCT(--('Данные 1st'!$S$2:$S$317=$A47),--ISNUMBER('Данные 1st'!$HR$2:$HR$317))</f>
        <v>3</v>
      </c>
      <c r="DR47">
        <f>SUMPRODUCT(--('Данные 1st'!$S$2:$S$317=$A47),--ISNUMBER('Данные 1st'!$HS$2:$HS$317))</f>
        <v>3</v>
      </c>
      <c r="DS47">
        <f>SUMPRODUCT(--('Данные 1st'!$S$2:$S$317=$A47),--ISNUMBER('Данные 1st'!$HT$2:$HT$317))</f>
        <v>3</v>
      </c>
      <c r="DT47">
        <f>SUMPRODUCT(--('Данные 1st'!$S$2:$S$317=$A47),--ISNUMBER('Данные 1st'!$HU$2:$HU$317))</f>
        <v>3</v>
      </c>
      <c r="DU47">
        <f>SUMPRODUCT(--('Данные 1st'!$S$2:$S$317=$A47),--ISNUMBER('Данные 1st'!$HW$2:$HW$317))</f>
        <v>3</v>
      </c>
      <c r="DV47">
        <f>SUMPRODUCT(--('Данные 1st'!$S$2:$S$317=$A47),--ISNUMBER('Данные 1st'!$HX$2:$HX$317))</f>
        <v>3</v>
      </c>
      <c r="DW47">
        <f>SUMPRODUCT(--('Данные 1st'!$S$2:$S$317=$A47),--ISNUMBER('Данные 1st'!$HY$2:$HY$317))</f>
        <v>3</v>
      </c>
      <c r="DX47">
        <f>SUMPRODUCT(--('Данные 1st'!$S$2:$S$317=$A47),--ISNUMBER('Данные 1st'!$IA$2:$IA$317))</f>
        <v>3</v>
      </c>
      <c r="DY47">
        <f>SUMPRODUCT(--('Данные 1st'!$S$2:$S$317=$A47),--ISNUMBER('Данные 1st'!$IB$2:$IB$317))</f>
        <v>3</v>
      </c>
      <c r="DZ47">
        <f>SUMPRODUCT(--('Данные 1st'!$S$2:$S$317=$A47),--ISNUMBER('Данные 1st'!$IC$2:$IC$317))</f>
        <v>3</v>
      </c>
      <c r="EA47">
        <f>SUMPRODUCT(--('Данные 1st'!$S$2:$S$317=$A47),--ISNUMBER('Данные 1st'!$ID$2:$ID$317))</f>
        <v>3</v>
      </c>
      <c r="EB47">
        <f>SUMPRODUCT(--('Данные 1st'!$S$2:$S$317=$A47),--ISNUMBER('Данные 1st'!$IE$2:$IE$317))</f>
        <v>3</v>
      </c>
      <c r="EC47">
        <f>SUMPRODUCT(--('Данные 1st'!$S$2:$S$317=$A47),--ISNUMBER('Данные 1st'!$IF$2:$IF$317))</f>
        <v>3</v>
      </c>
      <c r="ED47">
        <f>SUMPRODUCT(--('Данные 1st'!$S$2:$S$317=$A47),--ISNUMBER('Данные 1st'!$IP$2:$IP$317))</f>
        <v>3</v>
      </c>
      <c r="EE47">
        <f>SUMPRODUCT(--('Данные 1st'!$S$2:$S$317=$A47),--ISNUMBER('Данные 1st'!$IV$2:$IV$317))</f>
        <v>3</v>
      </c>
      <c r="EF47">
        <f>SUMPRODUCT(--('Данные 1st'!$S$2:$S$317=$A47),--ISNUMBER('Данные 1st'!$IW$2:$IW$317))</f>
        <v>3</v>
      </c>
      <c r="EG47">
        <f>SUMPRODUCT(--('Данные 1st'!$S$2:$S$317=$A47),--ISNUMBER('Данные 1st'!$IX$2:$IX$317))</f>
        <v>0</v>
      </c>
      <c r="EH47">
        <f>SUMPRODUCT(--('Данные 1st'!$S$2:$S$317=$A47),--ISNUMBER('Данные 1st'!$IY$2:$IY$317))</f>
        <v>0</v>
      </c>
      <c r="EI47">
        <f>SUMPRODUCT(--('Данные 1st'!$S$2:$S$317=$A47),--ISNUMBER('Данные 1st'!$JD$2:$JD$317))</f>
        <v>3</v>
      </c>
      <c r="EJ47">
        <f>SUMPRODUCT(--('Данные 1st'!$S$2:$S$317=$A47),--ISNUMBER('Данные 1st'!$JE$2:$JE$317))</f>
        <v>3</v>
      </c>
      <c r="EK47">
        <f>SUMPRODUCT(--('Данные 1st'!$S$2:$S$317=$A47),--ISNUMBER('Данные 1st'!$JF$2:$JF$317))</f>
        <v>3</v>
      </c>
      <c r="EL47">
        <f>SUMPRODUCT(--('Данные 1st'!$S$2:$S$317=$A47),--ISNUMBER('Данные 1st'!$JG$2:$JG$317))</f>
        <v>3</v>
      </c>
      <c r="EM47">
        <f>SUMPRODUCT(--('Данные 1st'!$S$2:$S$317=$A47),--ISNUMBER('Данные 1st'!$JH$2:$JH$317))</f>
        <v>3</v>
      </c>
      <c r="EN47">
        <f>SUMPRODUCT(--('Данные 1st'!$S$2:$S$317=$A47),--ISNUMBER('Данные 1st'!$JJ$2:$JJ$317))</f>
        <v>3</v>
      </c>
      <c r="EO47">
        <f>SUMPRODUCT(--('Данные 1st'!$S$2:$S$317=$A47),--ISNUMBER('Данные 1st'!$JK$2:$JK$317))</f>
        <v>3</v>
      </c>
      <c r="EP47">
        <f>SUMPRODUCT(--('Данные 1st'!$S$2:$S$317=$A47),--ISNUMBER('Данные 1st'!$JL$2:$JL$317))</f>
        <v>0</v>
      </c>
      <c r="EQ47">
        <f>SUMPRODUCT(--('Данные 1st'!$S$2:$S$317=$A47),--ISNUMBER('Данные 1st'!$JM$2:$JM$317))</f>
        <v>0</v>
      </c>
      <c r="ER47">
        <f>SUMPRODUCT(--('Данные 1st'!$S$2:$S$317=$A47),--ISNUMBER('Данные 1st'!$JN$2:$JN$317))</f>
        <v>3</v>
      </c>
      <c r="ES47">
        <f>SUMPRODUCT(--('Данные 1st'!$S$2:$S$317=$A47),--ISNUMBER('Данные 1st'!$JO$2:$JO$317))</f>
        <v>3</v>
      </c>
      <c r="ET47">
        <f>SUMPRODUCT(--('Данные 1st'!$S$2:$S$317=$A47),--ISNUMBER('Данные 1st'!$JP$2:$JP$317))</f>
        <v>3</v>
      </c>
      <c r="EU47">
        <f>SUMPRODUCT(--('Данные 1st'!$S$2:$S$317=$A47),--ISNUMBER('Данные 1st'!$JQ$2:$JQ$317))</f>
        <v>3</v>
      </c>
      <c r="EV47">
        <f>SUMPRODUCT(--('Данные 1st'!$S$2:$S$317=$A47),--ISNUMBER('Данные 1st'!$JR$2:$JR$317))</f>
        <v>3</v>
      </c>
      <c r="EW47">
        <f>SUMPRODUCT(--('Данные 1st'!$S$2:$S$317=$A47),--ISNUMBER('Данные 1st'!$JS$2:$JS$317))</f>
        <v>3</v>
      </c>
      <c r="EX47">
        <f>SUMPRODUCT(--('Данные 1st'!$S$2:$S$317=$A47),--ISNUMBER('Данные 1st'!$JT$2:$JT$317))</f>
        <v>0</v>
      </c>
      <c r="EY47">
        <f>SUMPRODUCT(--('Данные 1st'!$S$2:$S$317=$A47),--ISNUMBER('Данные 1st'!$JU$2:$JU$317))</f>
        <v>0</v>
      </c>
      <c r="EZ47">
        <f>SUMPRODUCT(--('Данные 1st'!$S$2:$S$317=$A47),--ISNUMBER('Данные 1st'!$JV$2:$JV$317))</f>
        <v>3</v>
      </c>
      <c r="FA47">
        <f>SUMPRODUCT(--('Данные 1st'!$S$2:$S$317=$A47),--ISNUMBER('Данные 1st'!$JW$2:$JW$317))</f>
        <v>0</v>
      </c>
      <c r="FB47">
        <f>SUMPRODUCT(--('Данные 1st'!$S$2:$S$317=$A47),--ISNUMBER('Данные 1st'!$JX$2:$JX$317))</f>
        <v>3</v>
      </c>
      <c r="FC47">
        <f>SUMPRODUCT(--('Данные 1st'!$S$2:$S$317=$A47),--ISNUMBER('Данные 1st'!$JY$2:$JY$317))</f>
        <v>0</v>
      </c>
      <c r="FD47">
        <f>SUMPRODUCT(--('Данные 1st'!$S$2:$S$317=$A47),--ISNUMBER('Данные 1st'!$JZ$2:$JZ$317))</f>
        <v>0</v>
      </c>
      <c r="FE47">
        <f>SUMPRODUCT(--('Данные 1st'!$S$2:$S$317=$A47),--ISNUMBER('Данные 1st'!$KA$2:$KA$317))</f>
        <v>3</v>
      </c>
      <c r="FF47">
        <f>SUMPRODUCT(--('Данные 1st'!$S$2:$S$317=$A47),--ISNUMBER('Данные 1st'!$KB$2:$KB$317))</f>
        <v>3</v>
      </c>
      <c r="FG47">
        <f>SUMPRODUCT(--('Данные 1st'!$S$2:$S$317=$A47),--ISNUMBER('Данные 1st'!$KC$2:$KC$317))</f>
        <v>3</v>
      </c>
      <c r="FH47">
        <f>SUMPRODUCT(--('Данные 1st'!$S$2:$S$317=$A47),--ISNUMBER('Данные 1st'!$KD$2:$KD$317))</f>
        <v>3</v>
      </c>
      <c r="FI47">
        <f>SUMPRODUCT(--('Данные 1st'!$S$2:$S$317=$A47),--ISNUMBER('Данные 1st'!$KE$2:$KE$317))</f>
        <v>0</v>
      </c>
      <c r="FJ47">
        <f>SUMPRODUCT(--('Данные 1st'!$S$2:$S$317=$A47),--ISNUMBER('Данные 1st'!$KF$2:$KF$317))</f>
        <v>3</v>
      </c>
      <c r="FK47">
        <f>SUMPRODUCT(--('Данные 1st'!$S$2:$S$317=$A47),--ISNUMBER('Данные 1st'!$KG$2:$KG$317))</f>
        <v>3</v>
      </c>
      <c r="FL47">
        <f>SUMPRODUCT(--('Данные 1st'!$S$2:$S$317=$A47),--ISNUMBER('Данные 1st'!$KH$2:$KH$317))</f>
        <v>3</v>
      </c>
      <c r="FM47">
        <f>SUMPRODUCT(--('Данные 1st'!$S$2:$S$317=$A47),--ISNUMBER('Данные 1st'!$KI$2:$KI$317))</f>
        <v>3</v>
      </c>
      <c r="FN47">
        <f>SUMPRODUCT(--('Данные 1st'!$S$2:$S$317=$A47),--ISNUMBER('Данные 1st'!$KJ$2:$KJ$317))</f>
        <v>3</v>
      </c>
      <c r="FO47">
        <f>SUMPRODUCT(--('Данные 1st'!$S$2:$S$317=$A47),--ISNUMBER('Данные 1st'!$KK$2:$KK$317))</f>
        <v>3</v>
      </c>
      <c r="FP47">
        <f>SUMPRODUCT(--('Данные 1st'!$S$2:$S$317=$A47),--ISNUMBER('Данные 1st'!$KL$2:$KL$317))</f>
        <v>3</v>
      </c>
      <c r="FQ47">
        <f>SUMPRODUCT(--('Данные 1st'!$S$2:$S$317=$A47),--ISNUMBER('Данные 1st'!$KM$2:$KM$317))</f>
        <v>3</v>
      </c>
      <c r="FR47">
        <f>SUMPRODUCT(--('Данные 1st'!$S$2:$S$317=$A47),--ISNUMBER('Данные 1st'!$KN$2:$KN$317))</f>
        <v>3</v>
      </c>
      <c r="FS47">
        <f>SUMPRODUCT(--('Данные 1st'!$S$2:$S$317=$A47),--ISNUMBER('Данные 1st'!$KR$2:$KR$317))</f>
        <v>3</v>
      </c>
      <c r="FT47">
        <f>SUMPRODUCT(--('Данные 1st'!$S$2:$S$317=$A47),--ISNUMBER('Данные 1st'!$KS$2:$KS$317))</f>
        <v>3</v>
      </c>
      <c r="FU47">
        <f>SUMPRODUCT(--('Данные 1st'!$S$2:$S$317=$A47),--ISNUMBER('Данные 1st'!$KT$2:$KT$317))</f>
        <v>3</v>
      </c>
      <c r="FV47">
        <f>SUMPRODUCT(--('Данные 1st'!$S$2:$S$317=$A47),--ISNUMBER('Данные 1st'!$KV$2:$KV$317))</f>
        <v>0</v>
      </c>
      <c r="FW47">
        <f>SUMPRODUCT(--('Данные 1st'!$S$2:$S$317=$A47),--ISNUMBER('Данные 1st'!$KW$2:$KW$317))</f>
        <v>0</v>
      </c>
      <c r="FX47">
        <f>SUMPRODUCT(--('Данные 1st'!$S$2:$S$317=$A47),--ISNUMBER('Данные 1st'!$KX$2:$KX$317))</f>
        <v>0</v>
      </c>
      <c r="FY47">
        <f>SUMPRODUCT(--('Данные 1st'!$S$2:$S$317=$A47),--ISNUMBER('Данные 1st'!$KY$2:$KY$317))</f>
        <v>0</v>
      </c>
      <c r="FZ47">
        <f>SUMPRODUCT(--('Данные 1st'!$S$2:$S$317=$A47),--ISNUMBER('Данные 1st'!$KZ$2:$KZ$317))</f>
        <v>0</v>
      </c>
      <c r="GA47">
        <f>SUMPRODUCT(--('Данные 1st'!$S$2:$S$317=$A47),--ISNUMBER('Данные 1st'!$LA$2:$LA$317))</f>
        <v>0</v>
      </c>
      <c r="GB47">
        <f>SUMPRODUCT(--('Данные 1st'!$S$2:$S$317=$A47),--ISNUMBER('Данные 1st'!$LB$2:$LB$317))</f>
        <v>0</v>
      </c>
      <c r="GC47">
        <f>SUMPRODUCT(--('Данные 1st'!$S$2:$S$317=$A47),--ISNUMBER('Данные 1st'!$LC$2:$LC$317))</f>
        <v>0</v>
      </c>
      <c r="GD47">
        <f>SUMPRODUCT(--('Данные 1st'!$S$2:$S$317=$A47),--ISNUMBER('Данные 1st'!$LD$2:$LD$317))</f>
        <v>0</v>
      </c>
      <c r="GE47">
        <f>SUMPRODUCT(--('Данные 1st'!$S$2:$S$317=$A47),--ISNUMBER('Данные 1st'!$LE$2:$LE$317))</f>
        <v>0</v>
      </c>
      <c r="GF47">
        <f>SUMPRODUCT(--('Данные 1st'!$S$2:$S$317=$A47),--ISNUMBER('Данные 1st'!$LF$2:$LF$317))</f>
        <v>0</v>
      </c>
      <c r="GG47">
        <f>SUMPRODUCT(--('Данные 1st'!$S$2:$S$317=$A47),--ISNUMBER('Данные 1st'!$LG$2:$LG$317))</f>
        <v>0</v>
      </c>
      <c r="GH47">
        <f>SUMPRODUCT(--('Данные 1st'!$S$2:$S$317=$A47),--ISNUMBER('Данные 1st'!$LH$2:$LH$317))</f>
        <v>0</v>
      </c>
      <c r="GI47">
        <f>SUMPRODUCT(--('Данные 1st'!$S$2:$S$317=$A47),--ISNUMBER('Данные 1st'!$LI$2:$LI$317))</f>
        <v>0</v>
      </c>
      <c r="GJ47">
        <f>SUMPRODUCT(--('Данные 1st'!$S$2:$S$317=$A47),--ISNUMBER('Данные 1st'!$LJ$2:$LJ$317))</f>
        <v>0</v>
      </c>
      <c r="GK47">
        <f>SUMPRODUCT(--('Данные 1st'!$S$2:$S$317=$A47),--ISNUMBER('Данные 1st'!$LK$2:$LK$317))</f>
        <v>3</v>
      </c>
      <c r="GL47">
        <f>SUMPRODUCT(--('Данные 1st'!$S$2:$S$317=$A47),--ISNUMBER('Данные 1st'!$LV$2:$LV$317))</f>
        <v>0</v>
      </c>
      <c r="GM47">
        <f>SUMPRODUCT(--('Данные 1st'!$S$2:$S$317=$A47),--ISNUMBER('Данные 1st'!$LW$2:$LW$317))</f>
        <v>0</v>
      </c>
      <c r="GN47">
        <f>SUMPRODUCT(--('Данные 1st'!$S$2:$S$317=$A47),--ISNUMBER('Данные 1st'!$LX$2:$LX$317))</f>
        <v>0</v>
      </c>
      <c r="GO47">
        <f>SUMPRODUCT(--('Данные 1st'!$S$2:$S$317=$A47),--ISNUMBER('Данные 1st'!$LY$2:$LY$317))</f>
        <v>0</v>
      </c>
      <c r="GP47">
        <f>SUMPRODUCT(--('Данные 1st'!$S$2:$S$317=$A47),--ISNUMBER('Данные 1st'!$LZ$2:$LZ$317))</f>
        <v>0</v>
      </c>
      <c r="GQ47">
        <f>SUMPRODUCT(--('Данные 1st'!$S$2:$S$317=$A47),--ISNUMBER('Данные 1st'!$PG$2:$PG$317))</f>
        <v>3</v>
      </c>
      <c r="GR47">
        <f>SUMPRODUCT(--('Данные 1st'!$S$2:$S$317=$A47),--ISNUMBER('Данные 1st'!$PX$2:$PX$317))</f>
        <v>3</v>
      </c>
      <c r="GS47">
        <f>SUMPRODUCT(--('Данные 1st'!$S$2:$S$317=$A47),--ISNUMBER('Данные 1st'!$PY$2:$PY$317))</f>
        <v>3</v>
      </c>
      <c r="GT47">
        <f>SUMPRODUCT(--('Данные 1st'!$S$2:$S$317=$A47),--ISNUMBER('Данные 1st'!$QA$2:$QA$317))</f>
        <v>3</v>
      </c>
      <c r="GU47">
        <f>SUMPRODUCT(--('Данные 1st'!$S$2:$S$317=$A47),--ISNUMBER('Данные 1st'!$QB$2:$QB$317))</f>
        <v>3</v>
      </c>
      <c r="GV47">
        <f>SUMPRODUCT(--('Данные 1st'!$S$2:$S$317=$A47),--ISNUMBER('Данные 1st'!$QC$2:$QC$317))</f>
        <v>3</v>
      </c>
      <c r="GW47">
        <f>SUMPRODUCT(--('Данные 1st'!$S$2:$S$317=$A47),--ISNUMBER('Данные 1st'!$QD$2:$QD$317))</f>
        <v>3</v>
      </c>
      <c r="GX47">
        <f>SUMPRODUCT(--('Данные 1st'!$S$2:$S$317=$A47),--ISNUMBER('Данные 1st'!$QF$2:$QF$317))</f>
        <v>3</v>
      </c>
      <c r="GY47">
        <f>SUMPRODUCT(--('Данные 1st'!$S$2:$S$317=$A47),--ISNUMBER('Данные 1st'!$QG$2:$QG$317))</f>
        <v>3</v>
      </c>
      <c r="GZ47">
        <f>SUMPRODUCT(--('Данные 1st'!$S$2:$S$317=$A47),--ISNUMBER('Данные 1st'!$QH$2:$QH$317))</f>
        <v>3</v>
      </c>
      <c r="HA47">
        <f>SUMPRODUCT(--('Данные 1st'!$S$2:$S$317=$A47),--ISNUMBER('Данные 1st'!$QI$2:$QI$317))</f>
        <v>3</v>
      </c>
      <c r="HB47">
        <f>SUMPRODUCT(--('Данные 1st'!$S$2:$S$317=$A47),--ISNUMBER('Данные 1st'!$QK$2:$QK$317))</f>
        <v>1</v>
      </c>
      <c r="HC47">
        <f>SUMPRODUCT(--('Данные 1st'!$S$2:$S$317=$A47),--ISNUMBER('Данные 1st'!$QL$2:$QL$317))</f>
        <v>3</v>
      </c>
      <c r="HD47">
        <f>SUMPRODUCT(--('Данные 1st'!$S$2:$S$317=$A47),--ISNUMBER('Данные 1st'!$QM$2:$QM$317))</f>
        <v>3</v>
      </c>
      <c r="HE47">
        <f>SUMPRODUCT(--('Данные 1st'!$S$2:$S$317=$A47),--ISNUMBER('Данные 1st'!$QN$2:$QN$317))</f>
        <v>3</v>
      </c>
      <c r="HF47">
        <f>SUMPRODUCT(--('Данные 1st'!$S$2:$S$317=$A47),--ISNUMBER('Данные 1st'!$QP$2:$QP$317))</f>
        <v>3</v>
      </c>
      <c r="HG47">
        <f>SUMPRODUCT(--('Данные 1st'!$S$2:$S$317=$A47),--ISNUMBER('Данные 1st'!$QQ$2:$QQ$317))</f>
        <v>3</v>
      </c>
      <c r="HH47">
        <f>SUMPRODUCT(--('Данные 1st'!$S$2:$S$317=$A47),--ISNUMBER('Данные 1st'!$QR$2:$QR$317))</f>
        <v>3</v>
      </c>
      <c r="HI47">
        <f>SUMPRODUCT(--('Данные 1st'!$S$2:$S$317=$A47),--ISNUMBER('Данные 1st'!$QS$2:$QS$317))</f>
        <v>3</v>
      </c>
      <c r="HJ47">
        <f>SUMPRODUCT(--('Данные 1st'!$S$2:$S$317=$A47),--ISNUMBER('Данные 1st'!$QU$2:$QU$317))</f>
        <v>3</v>
      </c>
      <c r="HK47">
        <f>SUMPRODUCT(--('Данные 1st'!$S$2:$S$317=$A47),--ISNUMBER('Данные 1st'!$QV$2:$QV$317))</f>
        <v>3</v>
      </c>
      <c r="HL47">
        <f>SUMPRODUCT(--('Данные 1st'!$S$2:$S$317=$A47),--ISNUMBER('Данные 1st'!$QW$2:$QW$317))</f>
        <v>3</v>
      </c>
      <c r="HM47">
        <f>SUMPRODUCT(--('Данные 1st'!$S$2:$S$317=$A47),--ISNUMBER('Данные 1st'!$QX$2:$QX$317))</f>
        <v>3</v>
      </c>
      <c r="HN47">
        <f>SUMPRODUCT(--('Данные 1st'!$S$2:$S$317=$A47),--ISNUMBER('Данные 1st'!$QZ$2:$QZ$317))</f>
        <v>3</v>
      </c>
      <c r="HO47">
        <f>SUMPRODUCT(--('Данные 1st'!$S$2:$S$317=$A47),--ISNUMBER('Данные 1st'!$RA$2:$RA$317))</f>
        <v>3</v>
      </c>
      <c r="HP47">
        <f>SUMPRODUCT(--('Данные 1st'!$S$2:$S$317=$A47),--ISNUMBER('Данные 1st'!$RB$2:$RB$317))</f>
        <v>3</v>
      </c>
      <c r="HQ47">
        <f>SUMPRODUCT(--('Данные 1st'!$S$2:$S$317=$A47),--ISNUMBER('Данные 1st'!$RD$2:$RD$317))</f>
        <v>0</v>
      </c>
      <c r="HR47">
        <f>SUMPRODUCT(--('Данные 1st'!$S$2:$S$317=$A47),--ISNUMBER('Данные 1st'!$RE$2:$RE$317))</f>
        <v>3</v>
      </c>
      <c r="HS47">
        <f>SUMPRODUCT(--('Данные 1st'!$S$2:$S$317=$A47),--ISNUMBER('Данные 1st'!$RF$2:$RF$317))</f>
        <v>3</v>
      </c>
      <c r="HT47">
        <f>SUMPRODUCT(--('Данные 1st'!$S$2:$S$317=$A47),--ISNUMBER('Данные 1st'!$RG$2:$RG$317))</f>
        <v>0</v>
      </c>
      <c r="HU47">
        <f>SUMPRODUCT(--('Данные 1st'!$S$2:$S$317=$A47),--ISNUMBER('Данные 1st'!$RH$2:$RH$317))</f>
        <v>0</v>
      </c>
      <c r="HV47">
        <f>SUMPRODUCT(--('Данные 1st'!$S$2:$S$317=$A47),--ISNUMBER('Данные 1st'!$RI$2:$RI$317))</f>
        <v>3</v>
      </c>
      <c r="HW47">
        <f>SUMPRODUCT(--('Данные 1st'!$S$2:$S$317=$A47),--ISNUMBER('Данные 1st'!$RJ$2:$RJ$317))</f>
        <v>3</v>
      </c>
      <c r="HX47">
        <f>SUMPRODUCT(--('Данные 1st'!$S$2:$S$317=$A47),--ISNUMBER('Данные 1st'!$RK$2:$RK$317))</f>
        <v>1</v>
      </c>
      <c r="HY47">
        <f>SUMPRODUCT(--('Данные 1st'!$S$2:$S$317=$A47),--ISNUMBER('Данные 1st'!$RL$2:$RL$317))</f>
        <v>3</v>
      </c>
      <c r="HZ47">
        <f>SUMPRODUCT(--('Данные 1st'!$S$2:$S$317=$A47),--ISNUMBER('Данные 1st'!$RM$2:$RM$317))</f>
        <v>3</v>
      </c>
      <c r="IA47">
        <f>SUMPRODUCT(--('Данные 1st'!$S$2:$S$317=$A47),--ISNUMBER('Данные 1st'!$RN$2:$RN$317))</f>
        <v>0</v>
      </c>
      <c r="IB47">
        <f>SUMPRODUCT(--('Данные 1st'!$S$2:$S$317=$A47),--ISNUMBER('Данные 1st'!$RO$2:$RO$317))</f>
        <v>3</v>
      </c>
      <c r="IC47">
        <f>SUMPRODUCT(--('Данные 1st'!$S$2:$S$317=$A47),--ISNUMBER('Данные 1st'!$RP$2:$RP$317))</f>
        <v>1</v>
      </c>
      <c r="ID47">
        <f>SUMPRODUCT(--('Данные 1st'!$S$2:$S$317=$A47),--ISNUMBER('Данные 1st'!$RQ$2:$RQ$317))</f>
        <v>3</v>
      </c>
      <c r="IE47">
        <f>SUMPRODUCT(--('Данные 1st'!$S$2:$S$317=$A47),--ISNUMBER('Данные 1st'!$RR$2:$RR$317))</f>
        <v>3</v>
      </c>
      <c r="IF47">
        <f>SUMPRODUCT(--('Данные 1st'!$S$2:$S$317=$A47),--ISNUMBER('Данные 1st'!$RS$2:$RS$317))</f>
        <v>0</v>
      </c>
      <c r="IG47">
        <f>SUMPRODUCT(--('Данные 1st'!$S$2:$S$317=$A47),--ISNUMBER('Данные 1st'!$RT$2:$RT$317))</f>
        <v>3</v>
      </c>
      <c r="IH47">
        <f>SUMPRODUCT(--('Данные 1st'!$S$2:$S$317=$A47),--ISNUMBER('Данные 1st'!$RU$2:$RU$317))</f>
        <v>3</v>
      </c>
      <c r="II47">
        <f>SUMPRODUCT(--('Данные 1st'!$S$2:$S$317=$A47),--ISNUMBER('Данные 1st'!$RX$2:$RX$317))</f>
        <v>3</v>
      </c>
      <c r="IJ47">
        <f>SUMPRODUCT(--('Данные 1st'!$S$2:$S$317=$A47),--ISNUMBER('Данные 1st'!$RY$2:$RY$317))</f>
        <v>3</v>
      </c>
      <c r="IK47">
        <f>SUMPRODUCT(--('Данные 1st'!$S$2:$S$317=$A47),--ISNUMBER('Данные 1st'!$SA$2:$SA$317))</f>
        <v>3</v>
      </c>
      <c r="IL47">
        <f>SUMPRODUCT(--('Данные 1st'!$S$2:$S$317=$A47),--ISNUMBER('Данные 1st'!$SD$2:$SD$317))</f>
        <v>3</v>
      </c>
      <c r="IM47">
        <f>SUMPRODUCT(--('Данные 1st'!$S$2:$S$317=$A47),--ISNUMBER('Данные 1st'!$SG$2:$SG$317))</f>
        <v>3</v>
      </c>
      <c r="IN47">
        <f>SUMPRODUCT(--('Данные 1st'!$S$2:$S$317=$A47),--ISNUMBER('Данные 1st'!$SH$2:$SH$317))</f>
        <v>3</v>
      </c>
      <c r="IO47">
        <f>SUMPRODUCT(--('Данные 1st'!$S$2:$S$317=$A47),--ISNUMBER('Данные 1st'!$SI$2:$SI$317))</f>
        <v>3</v>
      </c>
      <c r="IP47">
        <f>SUMPRODUCT(--('Данные 1st'!$S$2:$S$317=$A47),--ISNUMBER('Данные 1st'!$SJ$2:$SJ$317))</f>
        <v>3</v>
      </c>
      <c r="IQ47">
        <f>SUMPRODUCT(--('Данные 1st'!$S$2:$S$317=$A47),--ISNUMBER('Данные 1st'!$SK$2:$SK$317))</f>
        <v>3</v>
      </c>
      <c r="IR47">
        <f>SUMPRODUCT(--('Данные 1st'!$S$2:$S$317=$A47),--ISNUMBER('Данные 1st'!$SL$2:$SL$317))</f>
        <v>3</v>
      </c>
      <c r="IS47">
        <f>SUMPRODUCT(--('Данные 1st'!$S$2:$S$317=$A47),--ISNUMBER('Данные 1st'!$SM$2:$SM$317))</f>
        <v>3</v>
      </c>
      <c r="IT47">
        <f>SUMPRODUCT(--('Данные 1st'!$S$2:$S$317=$A47),--ISNUMBER('Данные 1st'!$SN$2:$SN$317))</f>
        <v>3</v>
      </c>
      <c r="IU47">
        <f>SUMPRODUCT(--('Данные 1st'!$S$2:$S$317=$A47),--ISNUMBER('Данные 1st'!$SO$2:$SO$317))</f>
        <v>3</v>
      </c>
      <c r="IV47">
        <f>SUMPRODUCT(--('Данные 1st'!$S$2:$S$317=$A47),--ISNUMBER('Данные 1st'!$SP$2:$SP$317))</f>
        <v>3</v>
      </c>
      <c r="IW47">
        <f>SUMPRODUCT(--('Данные 1st'!$S$2:$S$317=$A47),--ISNUMBER('Данные 1st'!$SQ$2:$SQ$317))</f>
        <v>3</v>
      </c>
      <c r="IX47">
        <f>SUMPRODUCT(--('Данные 1st'!$S$2:$S$317=$A47),--ISNUMBER('Данные 1st'!$SR$2:$SR$317))</f>
        <v>3</v>
      </c>
      <c r="IY47">
        <f>SUMPRODUCT(--('Данные 1st'!$S$2:$S$317=$A47),--ISNUMBER('Данные 1st'!$SS$2:$SS$317))</f>
        <v>3</v>
      </c>
      <c r="IZ47">
        <f>SUMPRODUCT(--('Данные 1st'!$S$2:$S$317=$A47),--ISNUMBER('Данные 1st'!$ST$2:$ST$317))</f>
        <v>3</v>
      </c>
      <c r="JA47">
        <f>SUMPRODUCT(--('Данные 1st'!$S$2:$S$317=$A47),--ISNUMBER('Данные 1st'!$SU$2:$SU$317))</f>
        <v>3</v>
      </c>
      <c r="JB47">
        <f>SUMPRODUCT(--('Данные 1st'!$S$2:$S$317=$A47),--ISNUMBER('Данные 1st'!$SV$2:$SV$317))</f>
        <v>3</v>
      </c>
      <c r="JC47">
        <f>SUMPRODUCT(--('Данные 1st'!$S$2:$S$317=$A47),--ISNUMBER('Данные 1st'!$SW$2:$SW$317))</f>
        <v>3</v>
      </c>
      <c r="JD47">
        <f>SUMPRODUCT(--('Данные 1st'!$S$2:$S$317=$A47),--ISNUMBER('Данные 1st'!$SX$2:$SX$317))</f>
        <v>3</v>
      </c>
      <c r="JE47">
        <f>SUMPRODUCT(--('Данные 1st'!$S$2:$S$317=$A47),--ISNUMBER('Данные 1st'!$SY$2:$SY$317))</f>
        <v>1</v>
      </c>
      <c r="JF47">
        <f>SUMPRODUCT(--('Данные 1st'!$S$2:$S$317=$A47),--ISNUMBER('Данные 1st'!$SZ$2:$SZ$317))</f>
        <v>3</v>
      </c>
      <c r="JG47">
        <f>SUMPRODUCT(--('Данные 1st'!$S$2:$S$317=$A47),--ISNUMBER('Данные 1st'!$TA$2:$TA$317))</f>
        <v>0</v>
      </c>
      <c r="JH47">
        <f>SUMPRODUCT(--('Данные 1st'!$S$2:$S$317=$A47),--ISNUMBER('Данные 1st'!$TB$2:$TB$317))</f>
        <v>3</v>
      </c>
      <c r="JI47">
        <f>SUMPRODUCT(--('Данные 1st'!$S$2:$S$317=$A47),--ISNUMBER('Данные 1st'!$TC$2:$TC$317))</f>
        <v>3</v>
      </c>
      <c r="JJ47">
        <f>SUMPRODUCT(--('Данные 1st'!$S$2:$S$317=$A47),--ISNUMBER('Данные 1st'!$TD$2:$TD$317))</f>
        <v>3</v>
      </c>
      <c r="JK47">
        <f>SUMPRODUCT(--('Данные 1st'!$S$2:$S$317=$A47),--ISNUMBER('Данные 1st'!$TN$2:$TN$317))</f>
        <v>3</v>
      </c>
      <c r="JQ47">
        <f>SUMPRODUCT(--('Данные 2st'!$Q$2:$Q$317=$A47),--ISNUMBER('Данные 2st'!$AC$2:$AC$317))</f>
        <v>3</v>
      </c>
      <c r="JR47">
        <f>SUMPRODUCT(--('Данные 2st'!$Q$2:$Q$317=$A47),--ISNUMBER('Данные 2st'!$AF$2:$AF$317))</f>
        <v>3</v>
      </c>
      <c r="JS47">
        <f>SUMPRODUCT(--('Данные 2st'!$Q$2:$Q$317=$A47),--ISNUMBER('Данные 2st'!$AW$2:$AW$317))</f>
        <v>3</v>
      </c>
      <c r="JT47">
        <f>SUMPRODUCT(--('Данные 2st'!$Q$2:$Q$317=$A47),--ISNUMBER('Данные 2st'!$AX$2:$AX$317))</f>
        <v>3</v>
      </c>
      <c r="JU47">
        <f>SUMPRODUCT(--('Данные 2st'!$Q$2:$Q$317=$A47),--ISNUMBER('Данные 2st'!$AY$2:$AY$317))</f>
        <v>3</v>
      </c>
      <c r="JV47">
        <f>SUMPRODUCT(--('Данные 2st'!$Q$2:$Q$317=$A47),--ISNUMBER('Данные 2st'!$AZ$2:$AZ$317))</f>
        <v>3</v>
      </c>
      <c r="JW47">
        <f>SUMPRODUCT(--('Данные 2st'!$Q$2:$Q$317=$A47),--ISNUMBER('Данные 2st'!$BA$2:$BA$317))</f>
        <v>0</v>
      </c>
      <c r="JX47">
        <f>SUMPRODUCT(--('Данные 2st'!$Q$2:$Q$317=$A47),--ISNUMBER('Данные 2st'!$BB$2:$BB$317))</f>
        <v>0</v>
      </c>
      <c r="JY47">
        <f>SUMPRODUCT(--('Данные 2st'!$Q$2:$Q$317=$A47),--ISNUMBER('Данные 2st'!$BC$2:$BC$317))</f>
        <v>0</v>
      </c>
      <c r="JZ47">
        <f>SUMPRODUCT(--('Данные 2st'!$Q$2:$Q$317=$A47),--ISNUMBER('Данные 2st'!$BH$2:$BH$317))</f>
        <v>3</v>
      </c>
      <c r="KA47">
        <f>SUMPRODUCT(--('Данные 2st'!$Q$2:$Q$317=$A47),--ISNUMBER('Данные 2st'!$BI$2:$BI$317))</f>
        <v>3</v>
      </c>
      <c r="KB47">
        <f>SUMPRODUCT(--('Данные 2st'!$Q$2:$Q$317=$A47),--ISNUMBER('Данные 2st'!$BJ$2:$BJ$317))</f>
        <v>3</v>
      </c>
      <c r="KC47">
        <f>SUMPRODUCT(--('Данные 2st'!$Q$2:$Q$317=$A47),--ISNUMBER('Данные 2st'!$BK$2:$BK$317))</f>
        <v>3</v>
      </c>
      <c r="KD47">
        <f>SUMPRODUCT(--('Данные 2st'!$Q$2:$Q$317=$A47),--ISNUMBER('Данные 2st'!$BL$2:$BL$317))</f>
        <v>3</v>
      </c>
      <c r="KE47">
        <f>SUMPRODUCT(--('Данные 2st'!$Q$2:$Q$317=$A47),--ISNUMBER('Данные 2st'!$BM$2:$BM$317))</f>
        <v>3</v>
      </c>
      <c r="KF47">
        <f>SUMPRODUCT(--('Данные 2st'!$Q$2:$Q$317=$A47),--ISNUMBER('Данные 2st'!$BN$2:$BN$317))</f>
        <v>3</v>
      </c>
      <c r="KG47">
        <f>SUMPRODUCT(--('Данные 2st'!$Q$2:$Q$317=$A47),--ISNUMBER('Данные 2st'!$BO$2:$BO$317))</f>
        <v>0</v>
      </c>
      <c r="KH47">
        <f>SUMPRODUCT(--('Данные 2st'!$Q$2:$Q$317=$A47),--ISNUMBER('Данные 2st'!$BP$2:$BP$317))</f>
        <v>3</v>
      </c>
      <c r="KI47">
        <f>SUMPRODUCT(--('Данные 2st'!$Q$2:$Q$317=$A47),--ISNUMBER('Данные 2st'!$BR$2:$BR$317))</f>
        <v>3</v>
      </c>
      <c r="KJ47">
        <f>SUMPRODUCT(--('Данные 2st'!$Q$2:$Q$317=$A47),--ISNUMBER('Данные 2st'!$BS$2:$BS$317))</f>
        <v>3</v>
      </c>
      <c r="KK47">
        <f>SUMPRODUCT(--('Данные 2st'!$Q$2:$Q$317=$A47),--ISNUMBER('Данные 2st'!$BT$2:$BT$317))</f>
        <v>3</v>
      </c>
      <c r="KL47">
        <f>SUMPRODUCT(--('Данные 2st'!$Q$2:$Q$317=$A47),--ISNUMBER('Данные 2st'!$CV$2:$CV$317))</f>
        <v>3</v>
      </c>
      <c r="KM47">
        <f>SUMPRODUCT(--('Данные 2st'!$Q$2:$Q$317=$A47),--ISNUMBER('Данные 2st'!$CW$2:$CW$317))</f>
        <v>3</v>
      </c>
      <c r="KN47">
        <f>SUMPRODUCT(--('Данные 2st'!$Q$2:$Q$317=$A47),--ISNUMBER('Данные 2st'!$CX$2:$CX$317))</f>
        <v>3</v>
      </c>
      <c r="KO47">
        <f>SUMPRODUCT(--('Данные 2st'!$Q$2:$Q$317=$A47),--ISNUMBER('Данные 2st'!$CY$2:$CY$317))</f>
        <v>3</v>
      </c>
      <c r="KP47">
        <f>SUMPRODUCT(--('Данные 2st'!$Q$2:$Q$317=$A47),--ISNUMBER('Данные 2st'!$CZ$2:$CZ$317))</f>
        <v>3</v>
      </c>
      <c r="KQ47">
        <f>SUMPRODUCT(--('Данные 2st'!$Q$2:$Q$317=$A47),--ISNUMBER('Данные 2st'!$DA$2:$DA$317))</f>
        <v>3</v>
      </c>
      <c r="KR47">
        <f>SUMPRODUCT(--('Данные 2st'!$Q$2:$Q$317=$A47),--ISNUMBER('Данные 2st'!$DB$2:$DB$317))</f>
        <v>3</v>
      </c>
      <c r="KS47">
        <f>SUMPRODUCT(--('Данные 2st'!$Q$2:$Q$317=$A47),--ISNUMBER('Данные 2st'!$DC$2:$DC$317))</f>
        <v>3</v>
      </c>
      <c r="KT47">
        <f>SUMPRODUCT(--('Данные 2st'!$Q$2:$Q$317=$A47),--ISNUMBER('Данные 2st'!$DD$2:$DD$317))</f>
        <v>3</v>
      </c>
      <c r="KU47">
        <f>SUMPRODUCT(--('Данные 2st'!$Q$2:$Q$317=$A47),--ISNUMBER('Данные 2st'!$DE$2:$DE$317))</f>
        <v>3</v>
      </c>
      <c r="KV47">
        <f>SUMPRODUCT(--('Данные 2st'!$Q$2:$Q$317=$A47),--ISNUMBER('Данные 2st'!$DF$2:$DF$317))</f>
        <v>3</v>
      </c>
      <c r="KW47">
        <f>SUMPRODUCT(--('Данные 2st'!$Q$2:$Q$317=$A47),--ISNUMBER('Данные 2st'!$DG$2:$DG$317))</f>
        <v>3</v>
      </c>
      <c r="KX47">
        <f>SUMPRODUCT(--('Данные 2st'!$Q$2:$Q$317=$A47),--ISNUMBER('Данные 2st'!$DH$2:$DH$317))</f>
        <v>1</v>
      </c>
      <c r="KY47">
        <f>SUMPRODUCT(--('Данные 2st'!$Q$2:$Q$317=$A47),--ISNUMBER('Данные 2st'!$DI$2:$DI$317))</f>
        <v>0</v>
      </c>
      <c r="KZ47">
        <f>SUMPRODUCT(--('Данные 2st'!$Q$2:$Q$317=$A47),--ISNUMBER('Данные 2st'!$DK$2:$DK$317))</f>
        <v>3</v>
      </c>
      <c r="LA47">
        <f>SUMPRODUCT(--('Данные 2st'!$Q$2:$Q$317=$A47),--ISNUMBER('Данные 2st'!$DM$2:$DM$317))</f>
        <v>3</v>
      </c>
      <c r="LB47">
        <f>SUMPRODUCT(--('Данные 2st'!$Q$2:$Q$317=$A47),--ISNUMBER('Данные 2st'!$DN$2:$DN$317))</f>
        <v>3</v>
      </c>
      <c r="LC47">
        <f>SUMPRODUCT(--('Данные 2st'!$Q$2:$Q$317=$A47),--ISNUMBER('Данные 2st'!$DO$2:$DO$317))</f>
        <v>3</v>
      </c>
      <c r="LD47">
        <f>SUMPRODUCT(--('Данные 2st'!$Q$2:$Q$317=$A47),--ISNUMBER('Данные 2st'!$DP$2:$DP$317))</f>
        <v>3</v>
      </c>
      <c r="LE47">
        <f>SUMPRODUCT(--('Данные 2st'!$Q$2:$Q$317=$A47),--ISNUMBER('Данные 2st'!$DQ$2:$DQ$317))</f>
        <v>3</v>
      </c>
      <c r="LF47">
        <f>SUMPRODUCT(--('Данные 2st'!$Q$2:$Q$317=$A47),--ISNUMBER('Данные 2st'!$DS$2:$DS$317))</f>
        <v>3</v>
      </c>
      <c r="LG47">
        <f>SUMPRODUCT(--('Данные 2st'!$Q$2:$Q$317=$A47),--ISNUMBER('Данные 2st'!$DU$2:$DU$317))</f>
        <v>3</v>
      </c>
      <c r="LH47">
        <f>SUMPRODUCT(--('Данные 2st'!$Q$2:$Q$317=$A47),--ISNUMBER('Данные 2st'!$DV$2:$DV$317))</f>
        <v>3</v>
      </c>
      <c r="LI47">
        <f>SUMPRODUCT(--('Данные 2st'!$Q$2:$Q$317=$A47),--ISNUMBER('Данные 2st'!$DW$2:$DW$317))</f>
        <v>3</v>
      </c>
      <c r="LJ47">
        <f>SUMPRODUCT(--('Данные 2st'!$Q$2:$Q$317=$A47),--ISNUMBER('Данные 2st'!$DX$2:$DX$317))</f>
        <v>3</v>
      </c>
      <c r="LK47">
        <f>SUMPRODUCT(--('Данные 2st'!$Q$2:$Q$317=$A47),--ISNUMBER('Данные 2st'!$DY$2:$DY$317))</f>
        <v>3</v>
      </c>
      <c r="LL47">
        <f>SUMPRODUCT(--('Данные 2st'!$Q$2:$Q$317=$A47),--ISNUMBER('Данные 2st'!$EA$2:$EA$317))</f>
        <v>3</v>
      </c>
      <c r="LM47">
        <f>SUMPRODUCT(--('Данные 2st'!$Q$2:$Q$317=$A47),--ISNUMBER('Данные 2st'!$EC$2:$EC$317))</f>
        <v>3</v>
      </c>
      <c r="LN47">
        <f>SUMPRODUCT(--('Данные 2st'!$Q$2:$Q$317=$A47),--ISNUMBER('Данные 2st'!$ED$2:$ED$317))</f>
        <v>3</v>
      </c>
      <c r="LO47">
        <f>SUMPRODUCT(--('Данные 2st'!$Q$2:$Q$317=$A47),--ISNUMBER('Данные 2st'!$EE$2:$EE$317))</f>
        <v>3</v>
      </c>
      <c r="LP47">
        <f>SUMPRODUCT(--('Данные 2st'!$Q$2:$Q$317=$A47),--ISNUMBER('Данные 2st'!$EG$2:$EG$317))</f>
        <v>3</v>
      </c>
      <c r="LQ47">
        <f>SUMPRODUCT(--('Данные 2st'!$Q$2:$Q$317=$A47),--ISNUMBER('Данные 2st'!$EI$2:$EI$317))</f>
        <v>3</v>
      </c>
      <c r="LR47">
        <f>SUMPRODUCT(--('Данные 2st'!$Q$2:$Q$317=$A47),--ISNUMBER('Данные 2st'!$EJ$2:$EJ$317))</f>
        <v>1</v>
      </c>
      <c r="LS47">
        <f>SUMPRODUCT(--('Данные 2st'!$Q$2:$Q$317=$A47),--ISNUMBER('Данные 2st'!$EK$2:$EK$317))</f>
        <v>1</v>
      </c>
      <c r="LT47">
        <f>SUMPRODUCT(--('Данные 2st'!$Q$2:$Q$317=$A47),--ISNUMBER('Данные 2st'!$EM$2:$EM$317))</f>
        <v>3</v>
      </c>
      <c r="LU47">
        <f>SUMPRODUCT(--('Данные 2st'!$Q$2:$Q$317=$A47),--ISNUMBER('Данные 2st'!$EN$2:$EN$317))</f>
        <v>3</v>
      </c>
      <c r="LV47">
        <f>SUMPRODUCT(--('Данные 2st'!$Q$2:$Q$317=$A47),--ISNUMBER('Данные 2st'!$EO$2:$EO$317))</f>
        <v>3</v>
      </c>
      <c r="LW47">
        <f>SUMPRODUCT(--('Данные 2st'!$Q$2:$Q$317=$A47),--ISNUMBER('Данные 2st'!$EP$2:$EP$317))</f>
        <v>3</v>
      </c>
      <c r="LX47">
        <f>SUMPRODUCT(--('Данные 2st'!$Q$2:$Q$317=$A47),--ISNUMBER('Данные 2st'!$EQ$2:$EQ$317))</f>
        <v>3</v>
      </c>
      <c r="LY47">
        <f>SUMPRODUCT(--('Данные 2st'!$Q$2:$Q$317=$A47),--ISNUMBER('Данные 2st'!$ER$2:$ER$317))</f>
        <v>3</v>
      </c>
      <c r="LZ47">
        <f>SUMPRODUCT(--('Данные 2st'!$Q$2:$Q$317=$A47),--ISNUMBER('Данные 2st'!$ES$2:$ES$317))</f>
        <v>3</v>
      </c>
      <c r="MA47">
        <f>SUMPRODUCT(--('Данные 2st'!$Q$2:$Q$317=$A47),--ISNUMBER('Данные 2st'!$ET$2:$ET$317))</f>
        <v>3</v>
      </c>
      <c r="MB47">
        <f>SUMPRODUCT(--('Данные 2st'!$Q$2:$Q$317=$A47),--ISNUMBER('Данные 2st'!$EU$2:$EU$317))</f>
        <v>3</v>
      </c>
      <c r="MC47">
        <f>SUMPRODUCT(--('Данные 2st'!$Q$2:$Q$317=$A47),--ISNUMBER('Данные 2st'!$EV$2:$EV$317))</f>
        <v>3</v>
      </c>
      <c r="MD47">
        <f>SUMPRODUCT(--('Данные 2st'!$Q$2:$Q$317=$A47),--ISNUMBER('Данные 2st'!$EW$2:$EW$317))</f>
        <v>3</v>
      </c>
      <c r="ME47">
        <f>SUMPRODUCT(--('Данные 2st'!$Q$2:$Q$317=$A47),--ISNUMBER('Данные 2st'!$EY$2:$EY$317))</f>
        <v>3</v>
      </c>
      <c r="MF47">
        <f>SUMPRODUCT(--('Данные 2st'!$Q$2:$Q$317=$A47),--ISNUMBER('Данные 2st'!$FA$2:$FA$317))</f>
        <v>3</v>
      </c>
      <c r="MG47">
        <f>SUMPRODUCT(--('Данные 2st'!$Q$2:$Q$317=$A47),--ISNUMBER('Данные 2st'!$FB$2:$FB$317))</f>
        <v>3</v>
      </c>
      <c r="MH47">
        <f>SUMPRODUCT(--('Данные 2st'!$Q$2:$Q$317=$A47),--ISNUMBER('Данные 2st'!$FC$2:$FC$317))</f>
        <v>3</v>
      </c>
      <c r="MI47">
        <f>SUMPRODUCT(--('Данные 2st'!$Q$2:$Q$317=$A47),--ISNUMBER('Данные 2st'!$FD$2:$FD$317))</f>
        <v>3</v>
      </c>
      <c r="MJ47">
        <f>SUMPRODUCT(--('Данные 2st'!$Q$2:$Q$317=$A47),--ISNUMBER('Данные 2st'!$FE$2:$FE$317))</f>
        <v>3</v>
      </c>
      <c r="MK47">
        <f>SUMPRODUCT(--('Данные 2st'!$Q$2:$Q$317=$A47),--ISNUMBER('Данные 2st'!$FG$2:$FG$317))</f>
        <v>3</v>
      </c>
      <c r="ML47">
        <f>SUMPRODUCT(--('Данные 2st'!$Q$2:$Q$317=$A47),--ISNUMBER('Данные 2st'!$FI$2:$FI$317))</f>
        <v>3</v>
      </c>
      <c r="MM47">
        <f>SUMPRODUCT(--('Данные 2st'!$Q$2:$Q$317=$A47),--ISNUMBER('Данные 2st'!$FJ$2:$FJ$317))</f>
        <v>3</v>
      </c>
      <c r="MN47">
        <f>SUMPRODUCT(--('Данные 2st'!$Q$2:$Q$317=$A47),--ISNUMBER('Данные 2st'!$FK$2:$FK$317))</f>
        <v>3</v>
      </c>
      <c r="MO47">
        <f>SUMPRODUCT(--('Данные 2st'!$Q$2:$Q$317=$A47),--ISNUMBER('Данные 2st'!$FP$2:$FP$317))</f>
        <v>3</v>
      </c>
      <c r="MP47">
        <f>SUMPRODUCT(--('Данные 2st'!$Q$2:$Q$317=$A47),--ISNUMBER('Данные 2st'!$FQ$2:$FQ$317))</f>
        <v>3</v>
      </c>
      <c r="MQ47">
        <f>SUMPRODUCT(--('Данные 2st'!$Q$2:$Q$317=$A47),--ISNUMBER('Данные 2st'!$FS$2:$FS$317))</f>
        <v>3</v>
      </c>
      <c r="MR47">
        <f>SUMPRODUCT(--('Данные 2st'!$Q$2:$Q$317=$A47),--ISNUMBER('Данные 2st'!$FU$2:$FU$317))</f>
        <v>3</v>
      </c>
      <c r="MS47">
        <f>SUMPRODUCT(--('Данные 2st'!$Q$2:$Q$317=$A47),--ISNUMBER('Данные 2st'!$FV$2:$FV$317))</f>
        <v>3</v>
      </c>
      <c r="MT47">
        <f>SUMPRODUCT(--('Данные 2st'!$Q$2:$Q$317=$A47),--ISNUMBER('Данные 2st'!$FW$2:$FW$317))</f>
        <v>3</v>
      </c>
      <c r="MU47">
        <f>SUMPRODUCT(--('Данные 2st'!$Q$2:$Q$317=$A47),--ISNUMBER('Данные 2st'!$FY$2:$FY$317))</f>
        <v>2</v>
      </c>
      <c r="MV47">
        <f>SUMPRODUCT(--('Данные 2st'!$Q$2:$Q$317=$A47),--ISNUMBER('Данные 2st'!$GB$2:$GB$317))</f>
        <v>2</v>
      </c>
      <c r="MW47">
        <f>SUMPRODUCT(--('Данные 2st'!$Q$2:$Q$317=$A47),--ISNUMBER('Данные 2st'!$GC$2:$GC$317))</f>
        <v>2</v>
      </c>
      <c r="MX47">
        <f>SUMPRODUCT(--('Данные 2st'!$Q$2:$Q$317=$A47),--ISNUMBER('Данные 2st'!$GD$2:$GD$317))</f>
        <v>3</v>
      </c>
      <c r="MY47">
        <f>SUMPRODUCT(--('Данные 2st'!$Q$2:$Q$317=$A47),--ISNUMBER('Данные 2st'!$GN$2:$GN$317))</f>
        <v>0</v>
      </c>
      <c r="MZ47">
        <f>SUMPRODUCT(--('Данные 2st'!$Q$2:$Q$317=$A47),--ISNUMBER('Данные 2st'!$GQ$2:$GQ$317))</f>
        <v>3</v>
      </c>
      <c r="NA47">
        <f>SUMPRODUCT(--('Данные 2st'!$Q$2:$Q$317=$A47),--ISNUMBER('Данные 2st'!$GV$2:$GV$317))</f>
        <v>3</v>
      </c>
      <c r="NB47">
        <f>SUMPRODUCT(--('Данные 2st'!$Q$2:$Q$317=$A47),--ISNUMBER('Данные 2st'!$GW$2:$GW$317))</f>
        <v>3</v>
      </c>
      <c r="NC47">
        <f>SUMPRODUCT(--('Данные 2st'!$Q$2:$Q$317=$A47),--ISNUMBER('Данные 2st'!$GX$2:$GX$317))</f>
        <v>3</v>
      </c>
      <c r="ND47">
        <f>SUMPRODUCT(--('Данные 2st'!$Q$2:$Q$317=$A47),--ISNUMBER('Данные 2st'!$GY$2:$GY$317))</f>
        <v>3</v>
      </c>
      <c r="NE47">
        <f>SUMPRODUCT(--('Данные 2st'!$Q$2:$Q$317=$A47),--ISNUMBER('Данные 2st'!$GZ$2:$GZ$317))</f>
        <v>3</v>
      </c>
      <c r="NF47">
        <f>SUMPRODUCT(--('Данные 2st'!$Q$2:$Q$317=$A47),--ISNUMBER('Данные 2st'!$HA$2:$HA$317))</f>
        <v>3</v>
      </c>
      <c r="NG47">
        <f>SUMPRODUCT(--('Данные 2st'!$Q$2:$Q$317=$A47),--ISNUMBER('Данные 2st'!$HB$2:$HB$317))</f>
        <v>3</v>
      </c>
      <c r="NH47">
        <f>SUMPRODUCT(--('Данные 2st'!$Q$2:$Q$317=$A47),--ISNUMBER('Данные 2st'!$HC$2:$HC$317))</f>
        <v>3</v>
      </c>
      <c r="NI47">
        <f>SUMPRODUCT(--('Данные 2st'!$Q$2:$Q$317=$A47),--ISNUMBER('Данные 2st'!$HD$2:$HD$317))</f>
        <v>3</v>
      </c>
      <c r="NJ47">
        <f>SUMPRODUCT(--('Данные 2st'!$Q$2:$Q$317=$A47),--ISNUMBER('Данные 2st'!$HM$2:$HM$317))</f>
        <v>3</v>
      </c>
      <c r="NK47">
        <f>SUMPRODUCT(--('Данные 2st'!$Q$2:$Q$317=$A47),--ISNUMBER('Данные 2st'!$HR$2:$HR$317))</f>
        <v>3</v>
      </c>
      <c r="NL47">
        <f>SUMPRODUCT(--('Данные 2st'!$Q$2:$Q$317=$A47),--ISNUMBER('Данные 2st'!$HS$2:$HS$317))</f>
        <v>3</v>
      </c>
      <c r="NM47">
        <f>SUMPRODUCT(--('Данные 2st'!$Q$2:$Q$317=$A47),--ISNUMBER('Данные 2st'!$HT$2:$HT$317))</f>
        <v>3</v>
      </c>
      <c r="NN47">
        <f>SUMPRODUCT(--('Данные 2st'!$Q$2:$Q$317=$A47),--ISNUMBER('Данные 2st'!$HY$2:$HY$317))</f>
        <v>3</v>
      </c>
      <c r="NO47">
        <f>SUMPRODUCT(--('Данные 2st'!$Q$2:$Q$317=$A47),--ISNUMBER('Данные 2st'!$HZ$2:$HZ$317))</f>
        <v>3</v>
      </c>
      <c r="NP47">
        <f>SUMPRODUCT(--('Данные 2st'!$Q$2:$Q$317=$A47),--ISNUMBER('Данные 2st'!$IA$2:$IA$317))</f>
        <v>3</v>
      </c>
      <c r="NQ47">
        <f>SUMPRODUCT(--('Данные 2st'!$Q$2:$Q$317=$A47),--ISNUMBER('Данные 2st'!$IB$2:$IB$317))</f>
        <v>3</v>
      </c>
      <c r="NR47">
        <f>SUMPRODUCT(--('Данные 2st'!$Q$2:$Q$317=$A47),--ISNUMBER('Данные 2st'!$IC$2:$IC$317))</f>
        <v>0</v>
      </c>
      <c r="NS47">
        <f>SUMPRODUCT(--('Данные 2st'!$Q$2:$Q$317=$A47),--ISNUMBER('Данные 2st'!$ID$2:$ID$317))</f>
        <v>3</v>
      </c>
      <c r="NT47">
        <f>SUMPRODUCT(--('Данные 2st'!$Q$2:$Q$317=$A47),--ISNUMBER('Данные 2st'!$IE$2:$IE$317))</f>
        <v>3</v>
      </c>
      <c r="NU47">
        <f>SUMPRODUCT(--('Данные 2st'!$Q$2:$Q$317=$A47),--ISNUMBER('Данные 2st'!$IF$2:$IF$317))</f>
        <v>3</v>
      </c>
      <c r="NV47">
        <f>SUMPRODUCT(--('Данные 2st'!$Q$2:$Q$317=$A47),--ISNUMBER('Данные 2st'!$IG$2:$IG$317))</f>
        <v>3</v>
      </c>
      <c r="NW47">
        <f>SUMPRODUCT(--('Данные 2st'!$Q$2:$Q$317=$A47),--ISNUMBER('Данные 2st'!$IH$2:$IH$317))</f>
        <v>3</v>
      </c>
      <c r="NX47">
        <f>SUMPRODUCT(--('Данные 2st'!$Q$2:$Q$317=$A47),--ISNUMBER('Данные 2st'!$IJ$2:$IJ$317))</f>
        <v>3</v>
      </c>
      <c r="NY47">
        <f>SUMPRODUCT(--('Данные 2st'!$Q$2:$Q$317=$A47),--ISNUMBER('Данные 2st'!$IM$2:$IM$317))</f>
        <v>3</v>
      </c>
      <c r="NZ47">
        <f>SUMPRODUCT(--('Данные 2st'!$Q$2:$Q$317=$A47),--ISNUMBER('Данные 2st'!$IN$2:$IN$317))</f>
        <v>3</v>
      </c>
      <c r="OA47">
        <f>SUMPRODUCT(--('Данные 2st'!$Q$2:$Q$317=$A47),--ISNUMBER('Данные 2st'!$IO$2:$IO$317))</f>
        <v>3</v>
      </c>
      <c r="OB47">
        <f>SUMPRODUCT(--('Данные 2st'!$Q$2:$Q$317=$A47),--ISNUMBER('Данные 2st'!$IP$2:$IP$317))</f>
        <v>3</v>
      </c>
      <c r="OC47">
        <f>SUMPRODUCT(--('Данные 2st'!$Q$2:$Q$317=$A47),--ISNUMBER('Данные 2st'!$IQ$2:$IQ$317))</f>
        <v>3</v>
      </c>
      <c r="OD47">
        <f>SUMPRODUCT(--('Данные 2st'!$Q$2:$Q$317=$A47),--ISNUMBER('Данные 2st'!$IR$2:$IR$317))</f>
        <v>3</v>
      </c>
      <c r="OE47">
        <f>SUMPRODUCT(--('Данные 2st'!$Q$2:$Q$317=$A47),--ISNUMBER('Данные 2st'!$IT$2:$IT$317))</f>
        <v>3</v>
      </c>
      <c r="OF47">
        <f>SUMPRODUCT(--('Данные 2st'!$Q$2:$Q$317=$A47),--ISNUMBER('Данные 2st'!$IU$2:$IU$317))</f>
        <v>3</v>
      </c>
      <c r="OG47">
        <f>SUMPRODUCT(--('Данные 2st'!$Q$2:$Q$317=$A47),--ISNUMBER('Данные 2st'!$IV$2:$IV$317))</f>
        <v>3</v>
      </c>
      <c r="OH47">
        <f>SUMPRODUCT(--('Данные 2st'!$Q$2:$Q$317=$A47),--ISNUMBER('Данные 2st'!$IW$2:$IW$317))</f>
        <v>3</v>
      </c>
      <c r="OI47">
        <f>SUMPRODUCT(--('Данные 2st'!$Q$2:$Q$317=$A47),--ISNUMBER('Данные 2st'!$IX$2:$IX$317))</f>
        <v>3</v>
      </c>
      <c r="OJ47">
        <f>SUMPRODUCT(--('Данные 2st'!$Q$2:$Q$317=$A47),--ISNUMBER('Данные 2st'!$IY$2:$IY$317))</f>
        <v>3</v>
      </c>
      <c r="OK47">
        <f>SUMPRODUCT(--('Данные 2st'!$Q$2:$Q$317=$A47),--ISNUMBER('Данные 2st'!$IZ$2:$IZ$317))</f>
        <v>3</v>
      </c>
      <c r="OL47">
        <f>SUMPRODUCT(--('Данные 2st'!$Q$2:$Q$317=$A47),--ISNUMBER('Данные 2st'!$JA$2:$JA$317))</f>
        <v>3</v>
      </c>
      <c r="OM47">
        <f>SUMPRODUCT(--('Данные 2st'!$Q$2:$Q$317=$A47),--ISNUMBER('Данные 2st'!$JB$2:$JB$317))</f>
        <v>3</v>
      </c>
      <c r="ON47">
        <f>SUMPRODUCT(--('Данные 2st'!$Q$2:$Q$317=$A47),--ISNUMBER('Данные 2st'!$JC$2:$JC$317))</f>
        <v>3</v>
      </c>
      <c r="OO47">
        <f>SUMPRODUCT(--('Данные 2st'!$Q$2:$Q$317=$A47),--ISNUMBER('Данные 2st'!$JD$2:$JD$317))</f>
        <v>3</v>
      </c>
      <c r="OP47">
        <f>SUMPRODUCT(--('Данные 2st'!$Q$2:$Q$317=$A47),--ISNUMBER('Данные 2st'!$JE$2:$JE$317))</f>
        <v>3</v>
      </c>
      <c r="OQ47">
        <f>SUMPRODUCT(--('Данные 2st'!$Q$2:$Q$317=$A47),--ISNUMBER('Данные 2st'!$JF$2:$JF$317))</f>
        <v>3</v>
      </c>
      <c r="OR47">
        <f>SUMPRODUCT(--('Данные 2st'!$Q$2:$Q$317=$A47),--ISNUMBER('Данные 2st'!$JG$2:$JG$317))</f>
        <v>3</v>
      </c>
      <c r="OS47">
        <f>SUMPRODUCT(--('Данные 2st'!$Q$2:$Q$317=$A47),--ISNUMBER('Данные 2st'!$JH$2:$JH$317))</f>
        <v>3</v>
      </c>
      <c r="OT47">
        <f>SUMPRODUCT(--('Данные 2st'!$Q$2:$Q$317=$A47),--ISNUMBER('Данные 2st'!$JI$2:$JI$317))</f>
        <v>3</v>
      </c>
      <c r="OU47">
        <f>SUMPRODUCT(--('Данные 2st'!$Q$2:$Q$317=$A47),--ISNUMBER('Данные 2st'!$JJ$2:$JJ$317))</f>
        <v>3</v>
      </c>
      <c r="OV47">
        <f>SUMPRODUCT(--('Данные 2st'!$Q$2:$Q$317=$A47),--ISNUMBER('Данные 2st'!$JK$2:$JK$317))</f>
        <v>3</v>
      </c>
      <c r="OW47">
        <f>SUMPRODUCT(--('Данные 2st'!$Q$2:$Q$317=$A47),--ISNUMBER('Данные 2st'!$JL$2:$JL$317))</f>
        <v>3</v>
      </c>
      <c r="OX47">
        <f>SUMPRODUCT(--('Данные 2st'!$Q$2:$Q$317=$A47),--ISNUMBER('Данные 2st'!$JM$2:$JM$317))</f>
        <v>3</v>
      </c>
      <c r="OY47">
        <f>SUMPRODUCT(--('Данные 2st'!$Q$2:$Q$317=$A47),--ISNUMBER('Данные 2st'!$JP$2:$JP$317))</f>
        <v>3</v>
      </c>
      <c r="OZ47">
        <f>SUMPRODUCT(--('Данные 2st'!$Q$2:$Q$317=$A47),--ISNUMBER('Данные 2st'!$JQ$2:$JQ$317))</f>
        <v>3</v>
      </c>
      <c r="PA47">
        <f>SUMPRODUCT(--('Данные 2st'!$Q$2:$Q$317=$A47),--ISNUMBER('Данные 2st'!$JR$2:$JR$317))</f>
        <v>3</v>
      </c>
      <c r="PB47">
        <f>SUMPRODUCT(--('Данные 2st'!$Q$2:$Q$317=$A47),--ISNUMBER('Данные 2st'!$JS$2:$JS$317))</f>
        <v>3</v>
      </c>
      <c r="PC47">
        <f>SUMPRODUCT(--('Данные 2st'!$Q$2:$Q$317=$A47),--ISNUMBER('Данные 2st'!$JT$2:$JT$317))</f>
        <v>3</v>
      </c>
      <c r="PD47">
        <f>SUMPRODUCT(--('Данные 2st'!$Q$2:$Q$317=$A47),--ISNUMBER('Данные 2st'!$JU$2:$JU$317))</f>
        <v>3</v>
      </c>
      <c r="PE47">
        <f>SUMPRODUCT(--('Данные 2st'!$Q$2:$Q$317=$A47),--ISNUMBER('Данные 2st'!$JV$2:$JV$317))</f>
        <v>3</v>
      </c>
      <c r="PF47">
        <f>SUMPRODUCT(--('Данные 2st'!$Q$2:$Q$317=$A47),--ISNUMBER('Данные 2st'!$JW$2:$JW$317))</f>
        <v>3</v>
      </c>
      <c r="PG47">
        <f>SUMPRODUCT(--('Данные 2st'!$Q$2:$Q$317=$A47),--ISNUMBER('Данные 2st'!$KF$2:$KF$317))</f>
        <v>3</v>
      </c>
      <c r="PH47">
        <f>SUMPRODUCT(--('Данные 2st'!$Q$2:$Q$317=$A47),--ISNUMBER('Данные 2st'!$KG$2:$KG$317))</f>
        <v>3</v>
      </c>
      <c r="PI47">
        <f>SUMPRODUCT(--('Данные 2st'!$Q$2:$Q$317=$A47),--ISNUMBER('Данные 2st'!$KM$2:$KM$317))</f>
        <v>3</v>
      </c>
      <c r="PJ47">
        <f>SUMPRODUCT(--('Данные 2st'!$Q$2:$Q$317=$A47),--ISNUMBER('Данные 2st'!$KN$2:$KN$317))</f>
        <v>3</v>
      </c>
      <c r="PK47">
        <f>SUMPRODUCT(--('Данные 2st'!$Q$2:$Q$317=$A47),--ISNUMBER('Данные 2st'!$KO$2:$KO$317))</f>
        <v>3</v>
      </c>
      <c r="PL47">
        <f>SUMPRODUCT(--('Данные 2st'!$Q$2:$Q$317=$A47),--ISNUMBER('Данные 2st'!$KP$2:$KP$317))</f>
        <v>3</v>
      </c>
      <c r="PM47">
        <f>SUMPRODUCT(--('Данные 2st'!$Q$2:$Q$317=$A47),--ISNUMBER('Данные 2st'!$KQ$2:$KQ$317))</f>
        <v>3</v>
      </c>
      <c r="PN47">
        <f>SUMPRODUCT(--('Данные 2st'!$Q$2:$Q$317=$A47),--ISNUMBER('Данные 2st'!$KR$2:$KR$317))</f>
        <v>3</v>
      </c>
      <c r="PO47">
        <f>SUMPRODUCT(--('Данные 2st'!$Q$2:$Q$317=$A47),--ISNUMBER('Данные 2st'!$KS$2:$KS$317))</f>
        <v>3</v>
      </c>
      <c r="PP47">
        <f>SUMPRODUCT(--('Данные 2st'!$Q$2:$Q$317=$A47),--ISNUMBER('Данные 2st'!$KT$2:$KT$317))</f>
        <v>3</v>
      </c>
      <c r="PQ47">
        <f>SUMPRODUCT(--('Данные 2st'!$Q$2:$Q$317=$A47),--ISNUMBER('Данные 2st'!$KU$2:$KU$317))</f>
        <v>3</v>
      </c>
      <c r="PR47">
        <f>SUMPRODUCT(--('Данные 2st'!$Q$2:$Q$317=$A47),--ISNUMBER('Данные 2st'!$KV$2:$KV$317))</f>
        <v>3</v>
      </c>
      <c r="PS47">
        <f>SUMPRODUCT(--('Данные 2st'!$Q$2:$Q$317=$A47),--ISNUMBER('Данные 2st'!$KW$2:$KW$317))</f>
        <v>3</v>
      </c>
      <c r="PT47">
        <f>SUMPRODUCT(--('Данные 2st'!$Q$2:$Q$317=$A47),--ISNUMBER('Данные 2st'!$KX$2:$KX$317))</f>
        <v>3</v>
      </c>
      <c r="PU47">
        <f>SUMPRODUCT(--('Данные 2st'!$Q$2:$Q$317=$A47),--ISNUMBER('Данные 2st'!$KY$2:$KY$317))</f>
        <v>3</v>
      </c>
      <c r="PV47">
        <f>SUMPRODUCT(--('Данные 2st'!$Q$2:$Q$317=$A47),--ISNUMBER('Данные 2st'!$KZ$2:$KZ$317))</f>
        <v>3</v>
      </c>
      <c r="PW47">
        <f>SUMPRODUCT(--('Данные 2st'!$Q$2:$Q$317=$A47),--ISNUMBER('Данные 2st'!$LA$2:$LA$317))</f>
        <v>3</v>
      </c>
      <c r="PX47">
        <f>SUMPRODUCT(--('Данные 2st'!$Q$2:$Q$317=$A47),--ISNUMBER('Данные 2st'!$LB$2:$LB$317))</f>
        <v>3</v>
      </c>
      <c r="PY47">
        <f>SUMPRODUCT(--('Данные 2st'!$Q$2:$Q$317=$A47),--ISNUMBER('Данные 2st'!$LC$2:$LC$317))</f>
        <v>3</v>
      </c>
      <c r="PZ47">
        <f>SUMPRODUCT(--('Данные 2st'!$Q$2:$Q$317=$A47),--ISNUMBER('Данные 2st'!$LD$2:$LD$317))</f>
        <v>3</v>
      </c>
      <c r="QA47">
        <f>SUMPRODUCT(--('Данные 2st'!$Q$2:$Q$317=$A47),--ISNUMBER('Данные 2st'!$LE$2:$LE$317))</f>
        <v>3</v>
      </c>
      <c r="QB47">
        <f>SUMPRODUCT(--('Данные 2st'!$Q$2:$Q$317=$A47),--ISNUMBER('Данные 2st'!$LF$2:$LF$317))</f>
        <v>3</v>
      </c>
      <c r="QC47">
        <f>SUMPRODUCT(--('Данные 2st'!$Q$2:$Q$317=$A47),--ISNUMBER('Данные 2st'!$LG$2:$LG$317))</f>
        <v>3</v>
      </c>
      <c r="QD47">
        <f>SUMPRODUCT(--('Данные 2st'!$Q$2:$Q$317=$A47),--ISNUMBER('Данные 2st'!$LH$2:$LH$317))</f>
        <v>3</v>
      </c>
      <c r="QE47">
        <f>SUMPRODUCT(--('Данные 2st'!$Q$2:$Q$317=$A47),--ISNUMBER('Данные 2st'!$LJ$2:$LJ$317))</f>
        <v>3</v>
      </c>
      <c r="QF47">
        <f>SUMPRODUCT(--('Данные 2st'!$Q$2:$Q$317=$A47),--ISNUMBER('Данные 2st'!$LK$2:$LK$317))</f>
        <v>3</v>
      </c>
      <c r="QG47">
        <f>SUMPRODUCT(--('Данные 2st'!$Q$2:$Q$317=$A47),--ISNUMBER('Данные 2st'!$LL$2:$LL$317))</f>
        <v>3</v>
      </c>
      <c r="QH47">
        <f>SUMPRODUCT(--('Данные 2st'!$Q$2:$Q$317=$A47),--ISNUMBER('Данные 2st'!$LM$2:$LM$317))</f>
        <v>3</v>
      </c>
      <c r="QI47">
        <f>SUMPRODUCT(--('Данные 2st'!$Q$2:$Q$317=$A47),--ISNUMBER('Данные 2st'!$LN$2:$LN$317))</f>
        <v>3</v>
      </c>
      <c r="QJ47">
        <f>SUMPRODUCT(--('Данные 2st'!$Q$2:$Q$317=$A47),--ISNUMBER('Данные 2st'!$LO$2:$LO$317))</f>
        <v>3</v>
      </c>
      <c r="QK47">
        <f>SUMPRODUCT(--('Данные 2st'!$Q$2:$Q$317=$A47),--ISNUMBER('Данные 2st'!$LP$2:$LP$317))</f>
        <v>3</v>
      </c>
      <c r="QL47">
        <f>SUMPRODUCT(--('Данные 2st'!$Q$2:$Q$317=$A47),--ISNUMBER('Данные 2st'!$LQ$2:$LQ$317))</f>
        <v>3</v>
      </c>
      <c r="QM47">
        <f>SUMPRODUCT(--('Данные 2st'!$Q$2:$Q$317=$A47),--ISNUMBER('Данные 2st'!$LW$2:$LW$317))</f>
        <v>3</v>
      </c>
      <c r="QN47">
        <f>SUMPRODUCT(--('Данные 2st'!$Q$2:$Q$317=$A47),--ISNUMBER('Данные 2st'!$LX$2:$LX$317))</f>
        <v>3</v>
      </c>
      <c r="QO47">
        <f>SUMPRODUCT(--('Данные 2st'!$Q$2:$Q$317=$A47),--ISNUMBER('Данные 2st'!$LY$2:$LY$317))</f>
        <v>3</v>
      </c>
      <c r="QP47">
        <f>SUMPRODUCT(--('Данные 2st'!$Q$2:$Q$317=$A47),--ISNUMBER('Данные 2st'!$LZ$2:$LZ$317))</f>
        <v>3</v>
      </c>
      <c r="QQ47">
        <f>SUMPRODUCT(--('Данные 2st'!$Q$2:$Q$317=$A47),--ISNUMBER('Данные 2st'!$MB$2:$MB$317))</f>
        <v>3</v>
      </c>
      <c r="QR47">
        <f>SUMPRODUCT(--('Данные 2st'!$Q$2:$Q$317=$A47),--ISNUMBER('Данные 2st'!$MG$2:$MG$317))</f>
        <v>2</v>
      </c>
      <c r="QS47">
        <f>SUMPRODUCT(--('Данные 2st'!$Q$2:$Q$317=$A47),--ISNUMBER('Данные 2st'!$MH$2:$MH$317))</f>
        <v>2</v>
      </c>
      <c r="QT47">
        <f>SUMPRODUCT(--('Данные 2st'!$Q$2:$Q$317=$A47),--ISNUMBER('Данные 2st'!$MI$2:$MI$317))</f>
        <v>3</v>
      </c>
      <c r="QU47">
        <f>SUMPRODUCT(--('Данные 2st'!$Q$2:$Q$317=$A47),--ISNUMBER('Данные 2st'!$MJ$2:$MJ$317))</f>
        <v>3</v>
      </c>
      <c r="QV47">
        <f>SUMPRODUCT(--('Данные 2st'!$Q$2:$Q$317=$A47),--ISNUMBER('Данные 2st'!$MK$2:$MK$317))</f>
        <v>2</v>
      </c>
      <c r="QW47">
        <f>SUMPRODUCT(--('Данные 2st'!$Q$2:$Q$317=$A47),--ISNUMBER('Данные 2st'!$MM$2:$MM$317))</f>
        <v>3</v>
      </c>
      <c r="QX47">
        <f>SUMPRODUCT(--('Данные 2st'!$Q$2:$Q$317=$A47),--ISNUMBER('Данные 2st'!$MQ$2:$MQ$317))</f>
        <v>0</v>
      </c>
      <c r="QY47">
        <f>SUMPRODUCT(--('Данные 2st'!$Q$2:$Q$317=$A47),--ISNUMBER('Данные 2st'!$MR$2:$MR$317))</f>
        <v>0</v>
      </c>
      <c r="QZ47">
        <f>SUMPRODUCT(--('Данные 2st'!$Q$2:$Q$317=$A47),--ISNUMBER('Данные 2st'!$MS$2:$MS$317))</f>
        <v>0</v>
      </c>
      <c r="RA47">
        <f>SUMPRODUCT(--('Данные 2st'!$Q$2:$Q$317=$A47),--ISNUMBER('Данные 2st'!$MT$2:$MT$317))</f>
        <v>0</v>
      </c>
      <c r="RB47">
        <f>SUMPRODUCT(--('Данные 2st'!$Q$2:$Q$317=$A47),--ISNUMBER('Данные 2st'!$MU$2:$MU$317))</f>
        <v>0</v>
      </c>
      <c r="RC47">
        <f>SUMPRODUCT(--('Данные 2st'!$Q$2:$Q$317=$A47),--ISNUMBER('Данные 2st'!$MV$2:$MV$317))</f>
        <v>0</v>
      </c>
      <c r="RD47">
        <f>SUMPRODUCT(--('Данные 2st'!$Q$2:$Q$317=$A47),--ISNUMBER('Данные 2st'!$MW$2:$MW$317))</f>
        <v>0</v>
      </c>
      <c r="RE47">
        <f>SUMPRODUCT(--('Данные 2st'!$Q$2:$Q$317=$A47),--ISNUMBER('Данные 2st'!$MX$2:$MX$317))</f>
        <v>0</v>
      </c>
      <c r="RF47">
        <f>SUMPRODUCT(--('Данные 2st'!$Q$2:$Q$317=$A47),--ISNUMBER('Данные 2st'!$MY$2:$MY$317))</f>
        <v>0</v>
      </c>
      <c r="RG47">
        <f>SUMPRODUCT(--('Данные 2st'!$Q$2:$Q$317=$A47),--ISNUMBER('Данные 2st'!$MZ$2:$MZ$317))</f>
        <v>0</v>
      </c>
      <c r="RH47">
        <f>SUMPRODUCT(--('Данные 2st'!$Q$2:$Q$317=$A47),--ISNUMBER('Данные 2st'!$NA$2:$NA$317))</f>
        <v>0</v>
      </c>
      <c r="RI47">
        <f>SUMPRODUCT(--('Данные 2st'!$Q$2:$Q$317=$A47),--ISNUMBER('Данные 2st'!$NB$2:$NB$317))</f>
        <v>0</v>
      </c>
      <c r="RJ47">
        <f>SUMPRODUCT(--('Данные 2st'!$Q$2:$Q$317=$A47),--ISNUMBER('Данные 2st'!$NC$2:$NC$317))</f>
        <v>0</v>
      </c>
      <c r="RK47">
        <f>SUMPRODUCT(--('Данные 2st'!$Q$2:$Q$317=$A47),--ISNUMBER('Данные 2st'!$ND$2:$ND$317))</f>
        <v>0</v>
      </c>
      <c r="RL47">
        <f>SUMPRODUCT(--('Данные 2st'!$Q$2:$Q$317=$A47),--ISNUMBER('Данные 2st'!$NE$2:$NE$317))</f>
        <v>0</v>
      </c>
      <c r="RM47">
        <f>SUMPRODUCT(--('Данные 2st'!$Q$2:$Q$317=$A47),--ISNUMBER('Данные 2st'!$NF$2:$NF$317))</f>
        <v>0</v>
      </c>
      <c r="RN47">
        <f>SUMPRODUCT(--('Данные 2st'!$Q$2:$Q$317=$A47),--ISNUMBER('Данные 2st'!$NG$2:$NG$317))</f>
        <v>0</v>
      </c>
      <c r="RO47">
        <f>SUMPRODUCT(--('Данные 2st'!$Q$2:$Q$317=$A47),--ISNUMBER('Данные 2st'!$NH$2:$NH$317))</f>
        <v>0</v>
      </c>
      <c r="RP47">
        <f>SUMPRODUCT(--('Данные 2st'!$Q$2:$Q$317=$A47),--ISNUMBER('Данные 2st'!$NJ$2:$NJ$317))</f>
        <v>0</v>
      </c>
      <c r="RQ47">
        <f>SUMPRODUCT(--('Данные 2st'!$Q$2:$Q$317=$A47),--ISNUMBER('Данные 2st'!$NK$2:$NK$317))</f>
        <v>0</v>
      </c>
      <c r="RR47">
        <f>SUMPRODUCT(--('Данные 2st'!$Q$2:$Q$317=$A47),--ISNUMBER('Данные 2st'!$NM$2:$NM$317))</f>
        <v>0</v>
      </c>
      <c r="RS47">
        <f>SUMPRODUCT(--('Данные 2st'!$Q$2:$Q$317=$A47),--ISNUMBER('Данные 2st'!$NN$2:$NN$317))</f>
        <v>0</v>
      </c>
      <c r="RT47">
        <f>SUMPRODUCT(--('Данные 2st'!$Q$2:$Q$317=$A47),--ISNUMBER('Данные 2st'!$NO$2:$NO$317))</f>
        <v>0</v>
      </c>
      <c r="RU47">
        <f>SUMPRODUCT(--('Данные 2st'!$Q$2:$Q$317=$A47),--ISNUMBER('Данные 2st'!$NP$2:$NP$317))</f>
        <v>0</v>
      </c>
      <c r="RV47">
        <f>SUMPRODUCT(--('Данные 2st'!$Q$2:$Q$317=$A47),--ISNUMBER('Данные 2st'!$NQ$2:$NQ$317))</f>
        <v>0</v>
      </c>
      <c r="RW47">
        <f>SUMPRODUCT(--('Данные 2st'!$Q$2:$Q$317=$A47),--ISNUMBER('Данные 2st'!$NR$2:$NR$317))</f>
        <v>0</v>
      </c>
      <c r="RX47">
        <f>SUMPRODUCT(--('Данные 2st'!$Q$2:$Q$317=$A47),--ISNUMBER('Данные 2st'!$NS$2:$NS$317))</f>
        <v>0</v>
      </c>
      <c r="RY47">
        <f>SUMPRODUCT(--('Данные 2st'!$Q$2:$Q$317=$A47),--ISNUMBER('Данные 2st'!$NT$2:$NT$317))</f>
        <v>0</v>
      </c>
      <c r="RZ47">
        <f>SUMPRODUCT(--('Данные 2st'!$Q$2:$Q$317=$A47),--ISNUMBER('Данные 2st'!$OK$2:$OK$317))</f>
        <v>3</v>
      </c>
      <c r="SA47">
        <f>SUMPRODUCT(--('Данные 2st'!$Q$2:$Q$317=$A47),--ISNUMBER('Данные 2st'!$OL$2:$OL$317))</f>
        <v>3</v>
      </c>
      <c r="SB47">
        <f>SUMPRODUCT(--('Данные 2st'!$Q$2:$Q$317=$A47),--ISNUMBER('Данные 2st'!$ON$2:$ON$317))</f>
        <v>3</v>
      </c>
      <c r="SC47">
        <f>SUMPRODUCT(--('Данные 2st'!$Q$2:$Q$317=$A47),--ISNUMBER('Данные 2st'!$OO$2:$OO$317))</f>
        <v>3</v>
      </c>
      <c r="SD47">
        <f>SUMPRODUCT(--('Данные 2st'!$Q$2:$Q$317=$A47),--ISNUMBER('Данные 2st'!$OP$2:$OP$317))</f>
        <v>3</v>
      </c>
      <c r="SE47">
        <f>SUMPRODUCT(--('Данные 2st'!$Q$2:$Q$317=$A47),--ISNUMBER('Данные 2st'!$OQ$2:$OQ$317))</f>
        <v>3</v>
      </c>
      <c r="SF47">
        <f>SUMPRODUCT(--('Данные 2st'!$Q$2:$Q$317=$A47),--ISNUMBER('Данные 2st'!$OS$2:$OS$317))</f>
        <v>3</v>
      </c>
      <c r="SG47">
        <f>SUMPRODUCT(--('Данные 2st'!$Q$2:$Q$317=$A47),--ISNUMBER('Данные 2st'!$OT$2:$OT$317))</f>
        <v>3</v>
      </c>
      <c r="SH47">
        <f>SUMPRODUCT(--('Данные 2st'!$Q$2:$Q$317=$A47),--ISNUMBER('Данные 2st'!$OU$2:$OU$317))</f>
        <v>3</v>
      </c>
      <c r="SI47">
        <f>SUMPRODUCT(--('Данные 2st'!$Q$2:$Q$317=$A47),--ISNUMBER('Данные 2st'!$OV$2:$OV$317))</f>
        <v>3</v>
      </c>
      <c r="SJ47">
        <f>SUMPRODUCT(--('Данные 2st'!$Q$2:$Q$317=$A47),--ISNUMBER('Данные 2st'!$OX$2:$OX$317))</f>
        <v>3</v>
      </c>
      <c r="SK47">
        <f>SUMPRODUCT(--('Данные 2st'!$Q$2:$Q$317=$A47),--ISNUMBER('Данные 2st'!$OY$2:$OY$317))</f>
        <v>3</v>
      </c>
      <c r="SL47">
        <f>SUMPRODUCT(--('Данные 2st'!$Q$2:$Q$317=$A47),--ISNUMBER('Данные 2st'!$OZ$2:$OZ$317))</f>
        <v>3</v>
      </c>
      <c r="SM47">
        <f>SUMPRODUCT(--('Данные 2st'!$Q$2:$Q$317=$A47),--ISNUMBER('Данные 2st'!$PA$2:$PA$317))</f>
        <v>3</v>
      </c>
      <c r="SN47">
        <f>SUMPRODUCT(--('Данные 2st'!$Q$2:$Q$317=$A47),--ISNUMBER('Данные 2st'!$PC$2:$PC$317))</f>
        <v>3</v>
      </c>
      <c r="SO47">
        <f>SUMPRODUCT(--('Данные 2st'!$Q$2:$Q$317=$A47),--ISNUMBER('Данные 2st'!$PD$2:$PD$317))</f>
        <v>3</v>
      </c>
      <c r="SP47">
        <f>SUMPRODUCT(--('Данные 2st'!$Q$2:$Q$317=$A47),--ISNUMBER('Данные 2st'!$PF$2:$PF$317))</f>
        <v>3</v>
      </c>
      <c r="SQ47">
        <f>SUMPRODUCT(--('Данные 2st'!$Q$2:$Q$317=$A47),--ISNUMBER('Данные 2st'!$PG$2:$PG$317))</f>
        <v>3</v>
      </c>
      <c r="SR47">
        <f>SUMPRODUCT(--('Данные 2st'!$Q$2:$Q$317=$A47),--ISNUMBER('Данные 2st'!$PH$2:$PH$317))</f>
        <v>3</v>
      </c>
      <c r="SS47">
        <f>SUMPRODUCT(--('Данные 2st'!$Q$2:$Q$317=$A47),--ISNUMBER('Данные 2st'!$PI$2:$PI$317))</f>
        <v>3</v>
      </c>
      <c r="ST47">
        <f>SUMPRODUCT(--('Данные 2st'!$Q$2:$Q$317=$A47),--ISNUMBER('Данные 2st'!$PJ$2:$PJ$317))</f>
        <v>3</v>
      </c>
      <c r="SU47">
        <f>SUMPRODUCT(--('Данные 2st'!$Q$2:$Q$317=$A47),--ISNUMBER('Данные 2st'!$PK$2:$PK$317))</f>
        <v>3</v>
      </c>
      <c r="SV47">
        <f>SUMPRODUCT(--('Данные 2st'!$Q$2:$Q$317=$A47),--ISNUMBER('Данные 2st'!$PL$2:$PL$317))</f>
        <v>3</v>
      </c>
      <c r="SW47">
        <f>SUMPRODUCT(--('Данные 2st'!$Q$2:$Q$317=$A47),--ISNUMBER('Данные 2st'!$PM$2:$PM$317))</f>
        <v>3</v>
      </c>
      <c r="SX47">
        <f>SUMPRODUCT(--('Данные 2st'!$Q$2:$Q$317=$A47),--ISNUMBER('Данные 2st'!$PN$2:$PN$317))</f>
        <v>3</v>
      </c>
      <c r="SY47">
        <f>SUMPRODUCT(--('Данные 2st'!$Q$2:$Q$317=$A47),--ISNUMBER('Данные 2st'!$PO$2:$PO$317))</f>
        <v>2</v>
      </c>
      <c r="SZ47">
        <f>SUMPRODUCT(--('Данные 2st'!$Q$2:$Q$317=$A47),--ISNUMBER('Данные 2st'!$PP$2:$PP$317))</f>
        <v>3</v>
      </c>
      <c r="TA47">
        <f>SUMPRODUCT(--('Данные 2st'!$Q$2:$Q$317=$A47),--ISNUMBER('Данные 2st'!$PQ$2:$PQ$317))</f>
        <v>3</v>
      </c>
      <c r="TB47">
        <f>SUMPRODUCT(--('Данные 2st'!$Q$2:$Q$317=$A47),--ISNUMBER('Данные 2st'!$PR$2:$PR$317))</f>
        <v>3</v>
      </c>
      <c r="TC47">
        <f>SUMPRODUCT(--('Данные 2st'!$Q$2:$Q$317=$A47),--ISNUMBER('Данные 2st'!$PS$2:$PS$317))</f>
        <v>3</v>
      </c>
      <c r="TD47">
        <f>SUMPRODUCT(--('Данные 2st'!$Q$2:$Q$317=$A47),--ISNUMBER('Данные 2st'!$PT$2:$PT$317))</f>
        <v>3</v>
      </c>
      <c r="TE47">
        <f>SUMPRODUCT(--('Данные 2st'!$Q$2:$Q$317=$A47),--ISNUMBER('Данные 2st'!$PU$2:$PU$317))</f>
        <v>3</v>
      </c>
      <c r="TF47">
        <f>SUMPRODUCT(--('Данные 2st'!$Q$2:$Q$317=$A47),--ISNUMBER('Данные 2st'!$PX$2:$PX$317))</f>
        <v>3</v>
      </c>
      <c r="TG47">
        <f>SUMPRODUCT(--('Данные 2st'!$Q$2:$Q$317=$A47),--ISNUMBER('Данные 2st'!$PY$2:$PY$317))</f>
        <v>3</v>
      </c>
      <c r="TH47">
        <f>SUMPRODUCT(--('Данные 2st'!$Q$2:$Q$317=$A47),--ISNUMBER('Данные 2st'!$PZ$2:$PZ$317))</f>
        <v>3</v>
      </c>
      <c r="TI47">
        <f>SUMPRODUCT(--('Данные 2st'!$Q$2:$Q$317=$A47),--ISNUMBER('Данные 2st'!$QA$2:$QA$317))</f>
        <v>3</v>
      </c>
      <c r="TJ47">
        <f>SUMPRODUCT(--('Данные 2st'!$Q$2:$Q$317=$A47),--ISNUMBER('Данные 2st'!$QB$2:$QB$317))</f>
        <v>3</v>
      </c>
      <c r="TK47">
        <f>SUMPRODUCT(--('Данные 2st'!$Q$2:$Q$317=$A47),--ISNUMBER('Данные 2st'!$QC$2:$QC$317))</f>
        <v>3</v>
      </c>
      <c r="TL47">
        <f>SUMPRODUCT(--('Данные 2st'!$Q$2:$Q$317=$A47),--ISNUMBER('Данные 2st'!$QD$2:$QD$317))</f>
        <v>3</v>
      </c>
      <c r="TM47">
        <f>SUMPRODUCT(--('Данные 2st'!$Q$2:$Q$317=$A47),--ISNUMBER('Данные 2st'!$QE$2:$QE$317))</f>
        <v>3</v>
      </c>
      <c r="TN47">
        <f>SUMPRODUCT(--('Данные 2st'!$Q$2:$Q$317=$A47),--ISNUMBER('Данные 2st'!$QF$2:$QF$317))</f>
        <v>3</v>
      </c>
      <c r="TO47">
        <f>SUMPRODUCT(--('Данные 2st'!$Q$2:$Q$317=$A47),--ISNUMBER('Данные 2st'!$QG$2:$QG$317))</f>
        <v>3</v>
      </c>
      <c r="TP47">
        <f>SUMPRODUCT(--('Данные 2st'!$Q$2:$Q$317=$A47),--ISNUMBER('Данные 2st'!$QH$2:$QH$317))</f>
        <v>3</v>
      </c>
      <c r="TQ47">
        <f>SUMPRODUCT(--('Данные 2st'!$Q$2:$Q$317=$A47),--ISNUMBER('Данные 2st'!$QI$2:$QI$317))</f>
        <v>3</v>
      </c>
      <c r="TR47">
        <f>SUMPRODUCT(--('Данные 2st'!$Q$2:$Q$317=$A47),--ISNUMBER('Данные 2st'!$QJ$2:$QJ$317))</f>
        <v>3</v>
      </c>
      <c r="TS47">
        <f>SUMPRODUCT(--('Данные 2st'!$Q$2:$Q$317=$A47),--ISNUMBER('Данные 2st'!$QK$2:$QK$317))</f>
        <v>3</v>
      </c>
      <c r="TT47">
        <f>SUMPRODUCT(--('Данные 2st'!$Q$2:$Q$317=$A47),--ISNUMBER('Данные 2st'!$QL$2:$QL$317))</f>
        <v>3</v>
      </c>
      <c r="TU47">
        <f>SUMPRODUCT(--('Данные 2st'!$Q$2:$Q$317=$A47),--ISNUMBER('Данные 2st'!$QM$2:$QM$317))</f>
        <v>3</v>
      </c>
      <c r="TV47">
        <f>SUMPRODUCT(--('Данные 2st'!$Q$2:$Q$317=$A47),--ISNUMBER('Данные 2st'!$QN$2:$QN$317))</f>
        <v>3</v>
      </c>
      <c r="TW47">
        <f>SUMPRODUCT(--('Данные 2st'!$Q$2:$Q$317=$A47),--ISNUMBER('Данные 2st'!$QQ$2:$QQ$317))</f>
        <v>3</v>
      </c>
      <c r="TX47">
        <f>SUMPRODUCT(--('Данные 2st'!$Q$2:$Q$317=$A47),--ISNUMBER('Данные 2st'!$QS$2:$QS$317))</f>
        <v>3</v>
      </c>
      <c r="TY47">
        <f>SUMPRODUCT(--('Данные 2st'!$Q$2:$Q$317=$A47),--ISNUMBER('Данные 2st'!$QT$2:$QT$317))</f>
        <v>3</v>
      </c>
    </row>
    <row r="48" spans="1:545" ht="32" customHeight="1">
      <c r="A48" s="11" t="str">
        <f>'По размерам'!A48</f>
        <v>235/55R18</v>
      </c>
      <c r="G48">
        <f>SUMPRODUCT(--('Данные 1st'!$S$2:$S$317=$A48),--ISNUMBER('Данные 1st'!$AE$2:$AE$317))</f>
        <v>3</v>
      </c>
      <c r="H48">
        <f>SUMPRODUCT(--('Данные 1st'!$S$2:$S$317=$A48),--ISNUMBER('Данные 1st'!$AF$2:$AF$317))</f>
        <v>3</v>
      </c>
      <c r="I48">
        <f>SUMPRODUCT(--('Данные 1st'!$S$2:$S$317=$A48),--ISNUMBER('Данные 1st'!$AJ$2:$AJ$317))</f>
        <v>3</v>
      </c>
      <c r="J48">
        <f>SUMPRODUCT(--('Данные 1st'!$S$2:$S$317=$A48),--ISNUMBER('Данные 1st'!$AL$2:$AL$317))</f>
        <v>3</v>
      </c>
      <c r="K48">
        <f>SUMPRODUCT(--('Данные 1st'!$S$2:$S$317=$A48),--ISNUMBER('Данные 1st'!$AR$2:$AR$317))</f>
        <v>3</v>
      </c>
      <c r="L48">
        <f>SUMPRODUCT(--('Данные 1st'!$S$2:$S$317=$A48),--ISNUMBER('Данные 1st'!$AS$2:$AS$317))</f>
        <v>3</v>
      </c>
      <c r="M48">
        <f>SUMPRODUCT(--('Данные 1st'!$S$2:$S$317=$A48),--ISNUMBER('Данные 1st'!$AY$2:$AY$317))</f>
        <v>3</v>
      </c>
      <c r="N48">
        <f>SUMPRODUCT(--('Данные 1st'!$S$2:$S$317=$A48),--ISNUMBER('Данные 1st'!$AZ$2:$AZ$317))</f>
        <v>3</v>
      </c>
      <c r="O48">
        <f>SUMPRODUCT(--('Данные 1st'!$S$2:$S$317=$A48),--ISNUMBER('Данные 1st'!$BF$2:$BF$317))</f>
        <v>2</v>
      </c>
      <c r="P48">
        <f>SUMPRODUCT(--('Данные 1st'!$S$2:$S$317=$A48),--ISNUMBER('Данные 1st'!$BG$2:$BG$317))</f>
        <v>3</v>
      </c>
      <c r="Q48">
        <f>SUMPRODUCT(--('Данные 1st'!$S$2:$S$317=$A48),--ISNUMBER('Данные 1st'!$BM$2:$BM$317))</f>
        <v>0</v>
      </c>
      <c r="R48">
        <f>SUMPRODUCT(--('Данные 1st'!$S$2:$S$317=$A48),--ISNUMBER('Данные 1st'!$BN$2:$BN$317))</f>
        <v>3</v>
      </c>
      <c r="S48">
        <f>SUMPRODUCT(--('Данные 1st'!$S$2:$S$317=$A48),--ISNUMBER('Данные 1st'!$BT$2:$BT$317))</f>
        <v>3</v>
      </c>
      <c r="T48">
        <f>SUMPRODUCT(--('Данные 1st'!$S$2:$S$317=$A48),--ISNUMBER('Данные 1st'!$BU$2:$BU$317))</f>
        <v>3</v>
      </c>
      <c r="U48">
        <f>SUMPRODUCT(--('Данные 1st'!$S$2:$S$317=$A48),--ISNUMBER('Данные 1st'!$BW$2:$BW$317))</f>
        <v>3</v>
      </c>
      <c r="V48">
        <f>SUMPRODUCT(--('Данные 1st'!$S$2:$S$317=$A48),--ISNUMBER('Данные 1st'!$BX$2:$BX$317))</f>
        <v>3</v>
      </c>
      <c r="W48">
        <f>SUMPRODUCT(--('Данные 1st'!$S$2:$S$317=$A48),--ISNUMBER('Данные 1st'!$BZ$2:$BZ$317))</f>
        <v>3</v>
      </c>
      <c r="X48">
        <f>SUMPRODUCT(--('Данные 1st'!$S$2:$S$317=$A48),--ISNUMBER('Данные 1st'!$CA$2:$CA$317))</f>
        <v>3</v>
      </c>
      <c r="Y48">
        <f>SUMPRODUCT(--('Данные 1st'!$S$2:$S$317=$A48),--ISNUMBER('Данные 1st'!$CD$2:$CD$317))</f>
        <v>3</v>
      </c>
      <c r="Z48">
        <f>SUMPRODUCT(--('Данные 1st'!$S$2:$S$317=$A48),--ISNUMBER('Данные 1st'!$CF$2:$CF$317))</f>
        <v>3</v>
      </c>
      <c r="AA48">
        <f>SUMPRODUCT(--('Данные 1st'!$S$2:$S$317=$A48),--ISNUMBER('Данные 1st'!$CI$2:$CI$317))</f>
        <v>3</v>
      </c>
      <c r="AB48">
        <f>SUMPRODUCT(--('Данные 1st'!$S$2:$S$317=$A48),--ISNUMBER('Данные 1st'!$CJ$2:$CJ$317))</f>
        <v>3</v>
      </c>
      <c r="AC48">
        <f>SUMPRODUCT(--('Данные 1st'!$S$2:$S$317=$A48),--ISNUMBER('Данные 1st'!$CK$2:$CK$317))</f>
        <v>3</v>
      </c>
      <c r="AD48">
        <f>SUMPRODUCT(--('Данные 1st'!$S$2:$S$317=$A48),--ISNUMBER('Данные 1st'!$CL$2:$CL$317))</f>
        <v>3</v>
      </c>
      <c r="AE48">
        <f>SUMPRODUCT(--('Данные 1st'!$S$2:$S$317=$A48),--ISNUMBER('Данные 1st'!$CM$2:$CM$317))</f>
        <v>3</v>
      </c>
      <c r="AF48">
        <f>SUMPRODUCT(--('Данные 1st'!$S$2:$S$317=$A48),--ISNUMBER('Данные 1st'!$CT$2:$CT$317))</f>
        <v>3</v>
      </c>
      <c r="AG48">
        <f>SUMPRODUCT(--('Данные 1st'!$S$2:$S$317=$A48),--ISNUMBER('Данные 1st'!$CU$2:$CU$317))</f>
        <v>3</v>
      </c>
      <c r="AH48">
        <f>SUMPRODUCT(--('Данные 1st'!$S$2:$S$317=$A48),--ISNUMBER('Данные 1st'!$CV$2:$CV$317))</f>
        <v>3</v>
      </c>
      <c r="AI48">
        <f>SUMPRODUCT(--('Данные 1st'!$S$2:$S$317=$A48),--ISNUMBER('Данные 1st'!$CW$2:$CW$317))</f>
        <v>3</v>
      </c>
      <c r="AJ48">
        <f>SUMPRODUCT(--('Данные 1st'!$S$2:$S$317=$A48),--ISNUMBER('Данные 1st'!$CX$2:$CX$317))</f>
        <v>3</v>
      </c>
      <c r="AK48">
        <f>SUMPRODUCT(--('Данные 1st'!$S$2:$S$317=$A48),--ISNUMBER('Данные 1st'!$CZ$2:$CZ$317))</f>
        <v>0</v>
      </c>
      <c r="AL48">
        <f>SUMPRODUCT(--('Данные 1st'!$S$2:$S$317=$A48),--ISNUMBER('Данные 1st'!$DA$2:$DA$317))</f>
        <v>0</v>
      </c>
      <c r="AM48">
        <f>SUMPRODUCT(--('Данные 1st'!$S$2:$S$317=$A48),--ISNUMBER('Данные 1st'!$DB$2:$DB$317))</f>
        <v>0</v>
      </c>
      <c r="AN48">
        <f>SUMPRODUCT(--('Данные 1st'!$S$2:$S$317=$A48),--ISNUMBER('Данные 1st'!$DC$2:$DC$317))</f>
        <v>0</v>
      </c>
      <c r="AO48">
        <f>SUMPRODUCT(--('Данные 1st'!$S$2:$S$317=$A48),--ISNUMBER('Данные 1st'!$DD$2:$DD$317))</f>
        <v>3</v>
      </c>
      <c r="AP48">
        <f>SUMPRODUCT(--('Данные 1st'!$S$2:$S$317=$A48),--ISNUMBER('Данные 1st'!$DF$2:$DF$317))</f>
        <v>3</v>
      </c>
      <c r="AQ48">
        <f>SUMPRODUCT(--('Данные 1st'!$S$2:$S$317=$A48),--ISNUMBER('Данные 1st'!$DG$2:$DG$317))</f>
        <v>3</v>
      </c>
      <c r="AR48">
        <f>SUMPRODUCT(--('Данные 1st'!$S$2:$S$317=$A48),--ISNUMBER('Данные 1st'!$DH$2:$DH$317))</f>
        <v>3</v>
      </c>
      <c r="AS48">
        <f>SUMPRODUCT(--('Данные 1st'!$S$2:$S$317=$A48),--ISNUMBER('Данные 1st'!$DI$2:$DI$317))</f>
        <v>3</v>
      </c>
      <c r="AT48">
        <f>SUMPRODUCT(--('Данные 1st'!$S$2:$S$317=$A48),--ISNUMBER('Данные 1st'!$DJ$2:$DJ$317))</f>
        <v>3</v>
      </c>
      <c r="AU48">
        <f>SUMPRODUCT(--('Данные 1st'!$S$2:$S$317=$A48),--ISNUMBER('Данные 1st'!$DL$2:$DL$317))</f>
        <v>2</v>
      </c>
      <c r="AV48">
        <f>SUMPRODUCT(--('Данные 1st'!$S$2:$S$317=$A48),--ISNUMBER('Данные 1st'!$DM$2:$DM$317))</f>
        <v>2</v>
      </c>
      <c r="AW48">
        <f>SUMPRODUCT(--('Данные 1st'!$S$2:$S$317=$A48),--ISNUMBER('Данные 1st'!$DN$2:$DN$317))</f>
        <v>2</v>
      </c>
      <c r="AX48">
        <f>SUMPRODUCT(--('Данные 1st'!$S$2:$S$317=$A48),--ISNUMBER('Данные 1st'!$DO$2:$DO$317))</f>
        <v>2</v>
      </c>
      <c r="AY48">
        <f>SUMPRODUCT(--('Данные 1st'!$S$2:$S$317=$A48),--ISNUMBER('Данные 1st'!$DP$2:$DP$317))</f>
        <v>2</v>
      </c>
      <c r="AZ48">
        <f>SUMPRODUCT(--('Данные 1st'!$S$2:$S$317=$A48),--ISNUMBER('Данные 1st'!$DR$2:$DR$317))</f>
        <v>0</v>
      </c>
      <c r="BA48">
        <f>SUMPRODUCT(--('Данные 1st'!$S$2:$S$317=$A48),--ISNUMBER('Данные 1st'!$DS$2:$DS$317))</f>
        <v>0</v>
      </c>
      <c r="BB48">
        <f>SUMPRODUCT(--('Данные 1st'!$S$2:$S$317=$A48),--ISNUMBER('Данные 1st'!$DT$2:$DT$317))</f>
        <v>0</v>
      </c>
      <c r="BC48">
        <f>SUMPRODUCT(--('Данные 1st'!$S$2:$S$317=$A48),--ISNUMBER('Данные 1st'!$DU$2:$DU$317))</f>
        <v>0</v>
      </c>
      <c r="BD48">
        <f>SUMPRODUCT(--('Данные 1st'!$S$2:$S$317=$A48),--ISNUMBER('Данные 1st'!$DV$2:$DV$317))</f>
        <v>0</v>
      </c>
      <c r="BE48">
        <f>SUMPRODUCT(--('Данные 1st'!$S$2:$S$317=$A48),--ISNUMBER('Данные 1st'!$DX$2:$DX$317))</f>
        <v>3</v>
      </c>
      <c r="BF48">
        <f>SUMPRODUCT(--('Данные 1st'!$S$2:$S$317=$A48),--ISNUMBER('Данные 1st'!$EA$2:$EA$317))</f>
        <v>3</v>
      </c>
      <c r="BG48">
        <f>SUMPRODUCT(--('Данные 1st'!$S$2:$S$317=$A48),--ISNUMBER('Данные 1st'!$EB$2:$EB$317))</f>
        <v>3</v>
      </c>
      <c r="BH48">
        <f>SUMPRODUCT(--('Данные 1st'!$S$2:$S$317=$A48),--ISNUMBER('Данные 1st'!$ED$2:$ED$317))</f>
        <v>3</v>
      </c>
      <c r="BI48">
        <f>SUMPRODUCT(--('Данные 1st'!$S$2:$S$317=$A48),--ISNUMBER('Данные 1st'!$EE$2:$EE$317))</f>
        <v>3</v>
      </c>
      <c r="BJ48">
        <f>SUMPRODUCT(--('Данные 1st'!$S$2:$S$317=$A48),--ISNUMBER('Данные 1st'!$EG$2:$EG$317))</f>
        <v>3</v>
      </c>
      <c r="BK48">
        <f>SUMPRODUCT(--('Данные 1st'!$S$2:$S$317=$A48),--ISNUMBER('Данные 1st'!$EH$2:$EH$317))</f>
        <v>3</v>
      </c>
      <c r="BL48">
        <f>SUMPRODUCT(--('Данные 1st'!$S$2:$S$317=$A48),--ISNUMBER('Данные 1st'!$EJ$2:$EJ$317))</f>
        <v>3</v>
      </c>
      <c r="BM48">
        <f>SUMPRODUCT(--('Данные 1st'!$S$2:$S$317=$A48),--ISNUMBER('Данные 1st'!$EK$2:$EK$317))</f>
        <v>3</v>
      </c>
      <c r="BN48">
        <f>SUMPRODUCT(--('Данные 1st'!$S$2:$S$317=$A48),--ISNUMBER('Данные 1st'!$EN$2:$EN$317))</f>
        <v>3</v>
      </c>
      <c r="BO48">
        <f>SUMPRODUCT(--('Данные 1st'!$S$2:$S$317=$A48),--ISNUMBER('Данные 1st'!$EQ$2:$EQ$317))</f>
        <v>3</v>
      </c>
      <c r="BP48">
        <f>SUMPRODUCT(--('Данные 1st'!$S$2:$S$317=$A48),--ISNUMBER('Данные 1st'!$ER$2:$ER$317))</f>
        <v>3</v>
      </c>
      <c r="BQ48">
        <f>SUMPRODUCT(--('Данные 1st'!$S$2:$S$317=$A48),--ISNUMBER('Данные 1st'!$ES$2:$ES$317))</f>
        <v>3</v>
      </c>
      <c r="BR48">
        <f>SUMPRODUCT(--('Данные 1st'!$S$2:$S$317=$A48),--ISNUMBER('Данные 1st'!$ET$2:$ET$317))</f>
        <v>3</v>
      </c>
      <c r="BS48">
        <f>SUMPRODUCT(--('Данные 1st'!$S$2:$S$317=$A48),--ISNUMBER('Данные 1st'!$EU$2:$EU$317))</f>
        <v>3</v>
      </c>
      <c r="BT48">
        <f>SUMPRODUCT(--('Данные 1st'!$S$2:$S$317=$A48),--ISNUMBER('Данные 1st'!$EV$2:$EV$317))</f>
        <v>3</v>
      </c>
      <c r="BU48">
        <f>SUMPRODUCT(--('Данные 1st'!$S$2:$S$317=$A48),--ISNUMBER('Данные 1st'!$EX$2:$EX$317))</f>
        <v>3</v>
      </c>
      <c r="BV48">
        <f>SUMPRODUCT(--('Данные 1st'!$S$2:$S$317=$A48),--ISNUMBER('Данные 1st'!$EY$2:$EY$317))</f>
        <v>3</v>
      </c>
      <c r="BW48">
        <f>SUMPRODUCT(--('Данные 1st'!$S$2:$S$317=$A48),--ISNUMBER('Данные 1st'!$EZ$2:$EZ$317))</f>
        <v>3</v>
      </c>
      <c r="BX48">
        <f>SUMPRODUCT(--('Данные 1st'!$S$2:$S$317=$A48),--ISNUMBER('Данные 1st'!$FA$2:$FA$317))</f>
        <v>3</v>
      </c>
      <c r="BY48">
        <f>SUMPRODUCT(--('Данные 1st'!$S$2:$S$317=$A48),--ISNUMBER('Данные 1st'!$FB$2:$FB$317))</f>
        <v>3</v>
      </c>
      <c r="BZ48">
        <f>SUMPRODUCT(--('Данные 1st'!$S$2:$S$317=$A48),--ISNUMBER('Данные 1st'!$FC$2:$FC$317))</f>
        <v>3</v>
      </c>
      <c r="CA48">
        <f>SUMPRODUCT(--('Данные 1st'!$S$2:$S$317=$A48),--ISNUMBER('Данные 1st'!$FE$2:$FE$317))</f>
        <v>3</v>
      </c>
      <c r="CB48">
        <f>SUMPRODUCT(--('Данные 1st'!$S$2:$S$317=$A48),--ISNUMBER('Данные 1st'!$FF$2:$FF$317))</f>
        <v>3</v>
      </c>
      <c r="CC48">
        <f>SUMPRODUCT(--('Данные 1st'!$S$2:$S$317=$A48),--ISNUMBER('Данные 1st'!$FI$2:$FI$317))</f>
        <v>3</v>
      </c>
      <c r="CD48">
        <f>SUMPRODUCT(--('Данные 1st'!$S$2:$S$317=$A48),--ISNUMBER('Данные 1st'!$FL$2:$FL$317))</f>
        <v>3</v>
      </c>
      <c r="CE48">
        <f>SUMPRODUCT(--('Данные 1st'!$S$2:$S$317=$A48),--ISNUMBER('Данные 1st'!$FM$2:$FM$317))</f>
        <v>3</v>
      </c>
      <c r="CF48">
        <f>SUMPRODUCT(--('Данные 1st'!$S$2:$S$317=$A48),--ISNUMBER('Данные 1st'!$FN$2:$FN$317))</f>
        <v>3</v>
      </c>
      <c r="CG48">
        <f>SUMPRODUCT(--('Данные 1st'!$S$2:$S$317=$A48),--ISNUMBER('Данные 1st'!$FO$2:$FO$317))</f>
        <v>0</v>
      </c>
      <c r="CH48">
        <f>SUMPRODUCT(--('Данные 1st'!$S$2:$S$317=$A48),--ISNUMBER('Данные 1st'!$FP$2:$FP$317))</f>
        <v>0</v>
      </c>
      <c r="CI48">
        <f>SUMPRODUCT(--('Данные 1st'!$S$2:$S$317=$A48),--ISNUMBER('Данные 1st'!$FS$2:$FS$317))</f>
        <v>0</v>
      </c>
      <c r="CJ48">
        <f>SUMPRODUCT(--('Данные 1st'!$S$2:$S$317=$A48),--ISNUMBER('Данные 1st'!$FT$2:$FT$317))</f>
        <v>0</v>
      </c>
      <c r="CK48">
        <f>SUMPRODUCT(--('Данные 1st'!$S$2:$S$317=$A48),--ISNUMBER('Данные 1st'!$FU$2:$FU$317))</f>
        <v>0</v>
      </c>
      <c r="CL48">
        <f>SUMPRODUCT(--('Данные 1st'!$S$2:$S$317=$A48),--ISNUMBER('Данные 1st'!$FV$2:$FV$317))</f>
        <v>0</v>
      </c>
      <c r="CM48">
        <f>SUMPRODUCT(--('Данные 1st'!$S$2:$S$317=$A48),--ISNUMBER('Данные 1st'!$FW$2:$FW$317))</f>
        <v>0</v>
      </c>
      <c r="CN48">
        <f>SUMPRODUCT(--('Данные 1st'!$S$2:$S$317=$A48),--ISNUMBER('Данные 1st'!$FZ$2:$FZ$317))</f>
        <v>0</v>
      </c>
      <c r="CO48">
        <f>SUMPRODUCT(--('Данные 1st'!$S$2:$S$317=$A48),--ISNUMBER('Данные 1st'!$GA$2:$GA$317))</f>
        <v>0</v>
      </c>
      <c r="CP48">
        <f>SUMPRODUCT(--('Данные 1st'!$S$2:$S$317=$A48),--ISNUMBER('Данные 1st'!$GB$2:$GB$317))</f>
        <v>0</v>
      </c>
      <c r="CQ48">
        <f>SUMPRODUCT(--('Данные 1st'!$S$2:$S$317=$A48),--ISNUMBER('Данные 1st'!$GH$2:$GH$317))</f>
        <v>0</v>
      </c>
      <c r="CR48">
        <f>SUMPRODUCT(--('Данные 1st'!$S$2:$S$317=$A48),--ISNUMBER('Данные 1st'!$GI$2:$GI$317))</f>
        <v>0</v>
      </c>
      <c r="CS48">
        <f>SUMPRODUCT(--('Данные 1st'!$S$2:$S$317=$A48),--ISNUMBER('Данные 1st'!$GJ$2:$GJ$317))</f>
        <v>0</v>
      </c>
      <c r="CT48">
        <f>SUMPRODUCT(--('Данные 1st'!$S$2:$S$317=$A48),--ISNUMBER('Данные 1st'!$GS$2:$GS$317))</f>
        <v>2</v>
      </c>
      <c r="CU48">
        <f>SUMPRODUCT(--('Данные 1st'!$S$2:$S$317=$A48),--ISNUMBER('Данные 1st'!$GT$2:$GT$317))</f>
        <v>2</v>
      </c>
      <c r="CV48">
        <f>SUMPRODUCT(--('Данные 1st'!$S$2:$S$317=$A48),--ISNUMBER('Данные 1st'!$GU$2:$GU$317))</f>
        <v>2</v>
      </c>
      <c r="CW48">
        <f>SUMPRODUCT(--('Данные 1st'!$S$2:$S$317=$A48),--ISNUMBER('Данные 1st'!$GV$2:$GV$317))</f>
        <v>2</v>
      </c>
      <c r="CX48">
        <f>SUMPRODUCT(--('Данные 1st'!$S$2:$S$317=$A48),--ISNUMBER('Данные 1st'!$GW$2:$GW$317))</f>
        <v>2</v>
      </c>
      <c r="CY48">
        <f>SUMPRODUCT(--('Данные 1st'!$S$2:$S$317=$A48),--ISNUMBER('Данные 1st'!$GZ$2:$GZ$317))</f>
        <v>1</v>
      </c>
      <c r="CZ48">
        <f>SUMPRODUCT(--('Данные 1st'!$S$2:$S$317=$A48),--ISNUMBER('Данные 1st'!$HA$2:$HA$317))</f>
        <v>1</v>
      </c>
      <c r="DA48">
        <f>SUMPRODUCT(--('Данные 1st'!$S$2:$S$317=$A48),--ISNUMBER('Данные 1st'!$HB$2:$HB$317))</f>
        <v>1</v>
      </c>
      <c r="DB48">
        <f>SUMPRODUCT(--('Данные 1st'!$S$2:$S$317=$A48),--ISNUMBER('Данные 1st'!$HC$2:$HC$317))</f>
        <v>3</v>
      </c>
      <c r="DC48">
        <f>SUMPRODUCT(--('Данные 1st'!$S$2:$S$317=$A48),--ISNUMBER('Данные 1st'!$HD$2:$HD$317))</f>
        <v>3</v>
      </c>
      <c r="DD48">
        <f>SUMPRODUCT(--('Данные 1st'!$S$2:$S$317=$A48),--ISNUMBER('Данные 1st'!$HE$2:$HE$317))</f>
        <v>3</v>
      </c>
      <c r="DE48">
        <f>SUMPRODUCT(--('Данные 1st'!$S$2:$S$317=$A48),--ISNUMBER('Данные 1st'!$HF$2:$HF$317))</f>
        <v>3</v>
      </c>
      <c r="DF48">
        <f>SUMPRODUCT(--('Данные 1st'!$S$2:$S$317=$A48),--ISNUMBER('Данные 1st'!$HG$2:$HG$317))</f>
        <v>3</v>
      </c>
      <c r="DG48">
        <f>SUMPRODUCT(--('Данные 1st'!$S$2:$S$317=$A48),--ISNUMBER('Данные 1st'!$HH$2:$HH$317))</f>
        <v>3</v>
      </c>
      <c r="DH48">
        <f>SUMPRODUCT(--('Данные 1st'!$S$2:$S$317=$A48),--ISNUMBER('Данные 1st'!$HI$2:$HI$317))</f>
        <v>3</v>
      </c>
      <c r="DI48">
        <f>SUMPRODUCT(--('Данные 1st'!$S$2:$S$317=$A48),--ISNUMBER('Данные 1st'!$HJ$2:$HJ$317))</f>
        <v>3</v>
      </c>
      <c r="DJ48">
        <f>SUMPRODUCT(--('Данные 1st'!$S$2:$S$317=$A48),--ISNUMBER('Данные 1st'!$HK$2:$HK$317))</f>
        <v>3</v>
      </c>
      <c r="DK48">
        <f>SUMPRODUCT(--('Данные 1st'!$S$2:$S$317=$A48),--ISNUMBER('Данные 1st'!$HL$2:$HL$317))</f>
        <v>3</v>
      </c>
      <c r="DL48">
        <f>SUMPRODUCT(--('Данные 1st'!$S$2:$S$317=$A48),--ISNUMBER('Данные 1st'!$HM$2:$HM$317))</f>
        <v>3</v>
      </c>
      <c r="DM48">
        <f>SUMPRODUCT(--('Данные 1st'!$S$2:$S$317=$A48),--ISNUMBER('Данные 1st'!$HN$2:$HN$317))</f>
        <v>3</v>
      </c>
      <c r="DN48">
        <f>SUMPRODUCT(--('Данные 1st'!$S$2:$S$317=$A48),--ISNUMBER('Данные 1st'!$HO$2:$HO$317))</f>
        <v>3</v>
      </c>
      <c r="DO48">
        <f>SUMPRODUCT(--('Данные 1st'!$S$2:$S$317=$A48),--ISNUMBER('Данные 1st'!$HP$2:$HP$317))</f>
        <v>3</v>
      </c>
      <c r="DP48">
        <f>SUMPRODUCT(--('Данные 1st'!$S$2:$S$317=$A48),--ISNUMBER('Данные 1st'!$HQ$2:$HQ$317))</f>
        <v>3</v>
      </c>
      <c r="DQ48">
        <f>SUMPRODUCT(--('Данные 1st'!$S$2:$S$317=$A48),--ISNUMBER('Данные 1st'!$HR$2:$HR$317))</f>
        <v>3</v>
      </c>
      <c r="DR48">
        <f>SUMPRODUCT(--('Данные 1st'!$S$2:$S$317=$A48),--ISNUMBER('Данные 1st'!$HS$2:$HS$317))</f>
        <v>3</v>
      </c>
      <c r="DS48">
        <f>SUMPRODUCT(--('Данные 1st'!$S$2:$S$317=$A48),--ISNUMBER('Данные 1st'!$HT$2:$HT$317))</f>
        <v>3</v>
      </c>
      <c r="DT48">
        <f>SUMPRODUCT(--('Данные 1st'!$S$2:$S$317=$A48),--ISNUMBER('Данные 1st'!$HU$2:$HU$317))</f>
        <v>3</v>
      </c>
      <c r="DU48">
        <f>SUMPRODUCT(--('Данные 1st'!$S$2:$S$317=$A48),--ISNUMBER('Данные 1st'!$HW$2:$HW$317))</f>
        <v>3</v>
      </c>
      <c r="DV48">
        <f>SUMPRODUCT(--('Данные 1st'!$S$2:$S$317=$A48),--ISNUMBER('Данные 1st'!$HX$2:$HX$317))</f>
        <v>3</v>
      </c>
      <c r="DW48">
        <f>SUMPRODUCT(--('Данные 1st'!$S$2:$S$317=$A48),--ISNUMBER('Данные 1st'!$HY$2:$HY$317))</f>
        <v>3</v>
      </c>
      <c r="DX48">
        <f>SUMPRODUCT(--('Данные 1st'!$S$2:$S$317=$A48),--ISNUMBER('Данные 1st'!$IA$2:$IA$317))</f>
        <v>3</v>
      </c>
      <c r="DY48">
        <f>SUMPRODUCT(--('Данные 1st'!$S$2:$S$317=$A48),--ISNUMBER('Данные 1st'!$IB$2:$IB$317))</f>
        <v>3</v>
      </c>
      <c r="DZ48">
        <f>SUMPRODUCT(--('Данные 1st'!$S$2:$S$317=$A48),--ISNUMBER('Данные 1st'!$IC$2:$IC$317))</f>
        <v>3</v>
      </c>
      <c r="EA48">
        <f>SUMPRODUCT(--('Данные 1st'!$S$2:$S$317=$A48),--ISNUMBER('Данные 1st'!$ID$2:$ID$317))</f>
        <v>3</v>
      </c>
      <c r="EB48">
        <f>SUMPRODUCT(--('Данные 1st'!$S$2:$S$317=$A48),--ISNUMBER('Данные 1st'!$IE$2:$IE$317))</f>
        <v>3</v>
      </c>
      <c r="EC48">
        <f>SUMPRODUCT(--('Данные 1st'!$S$2:$S$317=$A48),--ISNUMBER('Данные 1st'!$IF$2:$IF$317))</f>
        <v>3</v>
      </c>
      <c r="ED48">
        <f>SUMPRODUCT(--('Данные 1st'!$S$2:$S$317=$A48),--ISNUMBER('Данные 1st'!$IP$2:$IP$317))</f>
        <v>3</v>
      </c>
      <c r="EE48">
        <f>SUMPRODUCT(--('Данные 1st'!$S$2:$S$317=$A48),--ISNUMBER('Данные 1st'!$IV$2:$IV$317))</f>
        <v>3</v>
      </c>
      <c r="EF48">
        <f>SUMPRODUCT(--('Данные 1st'!$S$2:$S$317=$A48),--ISNUMBER('Данные 1st'!$IW$2:$IW$317))</f>
        <v>3</v>
      </c>
      <c r="EG48">
        <f>SUMPRODUCT(--('Данные 1st'!$S$2:$S$317=$A48),--ISNUMBER('Данные 1st'!$IX$2:$IX$317))</f>
        <v>0</v>
      </c>
      <c r="EH48">
        <f>SUMPRODUCT(--('Данные 1st'!$S$2:$S$317=$A48),--ISNUMBER('Данные 1st'!$IY$2:$IY$317))</f>
        <v>0</v>
      </c>
      <c r="EI48">
        <f>SUMPRODUCT(--('Данные 1st'!$S$2:$S$317=$A48),--ISNUMBER('Данные 1st'!$JD$2:$JD$317))</f>
        <v>3</v>
      </c>
      <c r="EJ48">
        <f>SUMPRODUCT(--('Данные 1st'!$S$2:$S$317=$A48),--ISNUMBER('Данные 1st'!$JE$2:$JE$317))</f>
        <v>3</v>
      </c>
      <c r="EK48">
        <f>SUMPRODUCT(--('Данные 1st'!$S$2:$S$317=$A48),--ISNUMBER('Данные 1st'!$JF$2:$JF$317))</f>
        <v>3</v>
      </c>
      <c r="EL48">
        <f>SUMPRODUCT(--('Данные 1st'!$S$2:$S$317=$A48),--ISNUMBER('Данные 1st'!$JG$2:$JG$317))</f>
        <v>3</v>
      </c>
      <c r="EM48">
        <f>SUMPRODUCT(--('Данные 1st'!$S$2:$S$317=$A48),--ISNUMBER('Данные 1st'!$JH$2:$JH$317))</f>
        <v>3</v>
      </c>
      <c r="EN48">
        <f>SUMPRODUCT(--('Данные 1st'!$S$2:$S$317=$A48),--ISNUMBER('Данные 1st'!$JJ$2:$JJ$317))</f>
        <v>3</v>
      </c>
      <c r="EO48">
        <f>SUMPRODUCT(--('Данные 1st'!$S$2:$S$317=$A48),--ISNUMBER('Данные 1st'!$JK$2:$JK$317))</f>
        <v>3</v>
      </c>
      <c r="EP48">
        <f>SUMPRODUCT(--('Данные 1st'!$S$2:$S$317=$A48),--ISNUMBER('Данные 1st'!$JL$2:$JL$317))</f>
        <v>0</v>
      </c>
      <c r="EQ48">
        <f>SUMPRODUCT(--('Данные 1st'!$S$2:$S$317=$A48),--ISNUMBER('Данные 1st'!$JM$2:$JM$317))</f>
        <v>0</v>
      </c>
      <c r="ER48">
        <f>SUMPRODUCT(--('Данные 1st'!$S$2:$S$317=$A48),--ISNUMBER('Данные 1st'!$JN$2:$JN$317))</f>
        <v>3</v>
      </c>
      <c r="ES48">
        <f>SUMPRODUCT(--('Данные 1st'!$S$2:$S$317=$A48),--ISNUMBER('Данные 1st'!$JO$2:$JO$317))</f>
        <v>3</v>
      </c>
      <c r="ET48">
        <f>SUMPRODUCT(--('Данные 1st'!$S$2:$S$317=$A48),--ISNUMBER('Данные 1st'!$JP$2:$JP$317))</f>
        <v>3</v>
      </c>
      <c r="EU48">
        <f>SUMPRODUCT(--('Данные 1st'!$S$2:$S$317=$A48),--ISNUMBER('Данные 1st'!$JQ$2:$JQ$317))</f>
        <v>3</v>
      </c>
      <c r="EV48">
        <f>SUMPRODUCT(--('Данные 1st'!$S$2:$S$317=$A48),--ISNUMBER('Данные 1st'!$JR$2:$JR$317))</f>
        <v>3</v>
      </c>
      <c r="EW48">
        <f>SUMPRODUCT(--('Данные 1st'!$S$2:$S$317=$A48),--ISNUMBER('Данные 1st'!$JS$2:$JS$317))</f>
        <v>3</v>
      </c>
      <c r="EX48">
        <f>SUMPRODUCT(--('Данные 1st'!$S$2:$S$317=$A48),--ISNUMBER('Данные 1st'!$JT$2:$JT$317))</f>
        <v>0</v>
      </c>
      <c r="EY48">
        <f>SUMPRODUCT(--('Данные 1st'!$S$2:$S$317=$A48),--ISNUMBER('Данные 1st'!$JU$2:$JU$317))</f>
        <v>0</v>
      </c>
      <c r="EZ48">
        <f>SUMPRODUCT(--('Данные 1st'!$S$2:$S$317=$A48),--ISNUMBER('Данные 1st'!$JV$2:$JV$317))</f>
        <v>3</v>
      </c>
      <c r="FA48">
        <f>SUMPRODUCT(--('Данные 1st'!$S$2:$S$317=$A48),--ISNUMBER('Данные 1st'!$JW$2:$JW$317))</f>
        <v>0</v>
      </c>
      <c r="FB48">
        <f>SUMPRODUCT(--('Данные 1st'!$S$2:$S$317=$A48),--ISNUMBER('Данные 1st'!$JX$2:$JX$317))</f>
        <v>3</v>
      </c>
      <c r="FC48">
        <f>SUMPRODUCT(--('Данные 1st'!$S$2:$S$317=$A48),--ISNUMBER('Данные 1st'!$JY$2:$JY$317))</f>
        <v>0</v>
      </c>
      <c r="FD48">
        <f>SUMPRODUCT(--('Данные 1st'!$S$2:$S$317=$A48),--ISNUMBER('Данные 1st'!$JZ$2:$JZ$317))</f>
        <v>0</v>
      </c>
      <c r="FE48">
        <f>SUMPRODUCT(--('Данные 1st'!$S$2:$S$317=$A48),--ISNUMBER('Данные 1st'!$KA$2:$KA$317))</f>
        <v>3</v>
      </c>
      <c r="FF48">
        <f>SUMPRODUCT(--('Данные 1st'!$S$2:$S$317=$A48),--ISNUMBER('Данные 1st'!$KB$2:$KB$317))</f>
        <v>3</v>
      </c>
      <c r="FG48">
        <f>SUMPRODUCT(--('Данные 1st'!$S$2:$S$317=$A48),--ISNUMBER('Данные 1st'!$KC$2:$KC$317))</f>
        <v>3</v>
      </c>
      <c r="FH48">
        <f>SUMPRODUCT(--('Данные 1st'!$S$2:$S$317=$A48),--ISNUMBER('Данные 1st'!$KD$2:$KD$317))</f>
        <v>3</v>
      </c>
      <c r="FI48">
        <f>SUMPRODUCT(--('Данные 1st'!$S$2:$S$317=$A48),--ISNUMBER('Данные 1st'!$KE$2:$KE$317))</f>
        <v>0</v>
      </c>
      <c r="FJ48">
        <f>SUMPRODUCT(--('Данные 1st'!$S$2:$S$317=$A48),--ISNUMBER('Данные 1st'!$KF$2:$KF$317))</f>
        <v>3</v>
      </c>
      <c r="FK48">
        <f>SUMPRODUCT(--('Данные 1st'!$S$2:$S$317=$A48),--ISNUMBER('Данные 1st'!$KG$2:$KG$317))</f>
        <v>3</v>
      </c>
      <c r="FL48">
        <f>SUMPRODUCT(--('Данные 1st'!$S$2:$S$317=$A48),--ISNUMBER('Данные 1st'!$KH$2:$KH$317))</f>
        <v>3</v>
      </c>
      <c r="FM48">
        <f>SUMPRODUCT(--('Данные 1st'!$S$2:$S$317=$A48),--ISNUMBER('Данные 1st'!$KI$2:$KI$317))</f>
        <v>3</v>
      </c>
      <c r="FN48">
        <f>SUMPRODUCT(--('Данные 1st'!$S$2:$S$317=$A48),--ISNUMBER('Данные 1st'!$KJ$2:$KJ$317))</f>
        <v>3</v>
      </c>
      <c r="FO48">
        <f>SUMPRODUCT(--('Данные 1st'!$S$2:$S$317=$A48),--ISNUMBER('Данные 1st'!$KK$2:$KK$317))</f>
        <v>3</v>
      </c>
      <c r="FP48">
        <f>SUMPRODUCT(--('Данные 1st'!$S$2:$S$317=$A48),--ISNUMBER('Данные 1st'!$KL$2:$KL$317))</f>
        <v>3</v>
      </c>
      <c r="FQ48">
        <f>SUMPRODUCT(--('Данные 1st'!$S$2:$S$317=$A48),--ISNUMBER('Данные 1st'!$KM$2:$KM$317))</f>
        <v>3</v>
      </c>
      <c r="FR48">
        <f>SUMPRODUCT(--('Данные 1st'!$S$2:$S$317=$A48),--ISNUMBER('Данные 1st'!$KN$2:$KN$317))</f>
        <v>3</v>
      </c>
      <c r="FS48">
        <f>SUMPRODUCT(--('Данные 1st'!$S$2:$S$317=$A48),--ISNUMBER('Данные 1st'!$KR$2:$KR$317))</f>
        <v>3</v>
      </c>
      <c r="FT48">
        <f>SUMPRODUCT(--('Данные 1st'!$S$2:$S$317=$A48),--ISNUMBER('Данные 1st'!$KS$2:$KS$317))</f>
        <v>3</v>
      </c>
      <c r="FU48">
        <f>SUMPRODUCT(--('Данные 1st'!$S$2:$S$317=$A48),--ISNUMBER('Данные 1st'!$KT$2:$KT$317))</f>
        <v>3</v>
      </c>
      <c r="FV48">
        <f>SUMPRODUCT(--('Данные 1st'!$S$2:$S$317=$A48),--ISNUMBER('Данные 1st'!$KV$2:$KV$317))</f>
        <v>0</v>
      </c>
      <c r="FW48">
        <f>SUMPRODUCT(--('Данные 1st'!$S$2:$S$317=$A48),--ISNUMBER('Данные 1st'!$KW$2:$KW$317))</f>
        <v>0</v>
      </c>
      <c r="FX48">
        <f>SUMPRODUCT(--('Данные 1st'!$S$2:$S$317=$A48),--ISNUMBER('Данные 1st'!$KX$2:$KX$317))</f>
        <v>0</v>
      </c>
      <c r="FY48">
        <f>SUMPRODUCT(--('Данные 1st'!$S$2:$S$317=$A48),--ISNUMBER('Данные 1st'!$KY$2:$KY$317))</f>
        <v>0</v>
      </c>
      <c r="FZ48">
        <f>SUMPRODUCT(--('Данные 1st'!$S$2:$S$317=$A48),--ISNUMBER('Данные 1st'!$KZ$2:$KZ$317))</f>
        <v>0</v>
      </c>
      <c r="GA48">
        <f>SUMPRODUCT(--('Данные 1st'!$S$2:$S$317=$A48),--ISNUMBER('Данные 1st'!$LA$2:$LA$317))</f>
        <v>0</v>
      </c>
      <c r="GB48">
        <f>SUMPRODUCT(--('Данные 1st'!$S$2:$S$317=$A48),--ISNUMBER('Данные 1st'!$LB$2:$LB$317))</f>
        <v>0</v>
      </c>
      <c r="GC48">
        <f>SUMPRODUCT(--('Данные 1st'!$S$2:$S$317=$A48),--ISNUMBER('Данные 1st'!$LC$2:$LC$317))</f>
        <v>0</v>
      </c>
      <c r="GD48">
        <f>SUMPRODUCT(--('Данные 1st'!$S$2:$S$317=$A48),--ISNUMBER('Данные 1st'!$LD$2:$LD$317))</f>
        <v>0</v>
      </c>
      <c r="GE48">
        <f>SUMPRODUCT(--('Данные 1st'!$S$2:$S$317=$A48),--ISNUMBER('Данные 1st'!$LE$2:$LE$317))</f>
        <v>0</v>
      </c>
      <c r="GF48">
        <f>SUMPRODUCT(--('Данные 1st'!$S$2:$S$317=$A48),--ISNUMBER('Данные 1st'!$LF$2:$LF$317))</f>
        <v>0</v>
      </c>
      <c r="GG48">
        <f>SUMPRODUCT(--('Данные 1st'!$S$2:$S$317=$A48),--ISNUMBER('Данные 1st'!$LG$2:$LG$317))</f>
        <v>0</v>
      </c>
      <c r="GH48">
        <f>SUMPRODUCT(--('Данные 1st'!$S$2:$S$317=$A48),--ISNUMBER('Данные 1st'!$LH$2:$LH$317))</f>
        <v>0</v>
      </c>
      <c r="GI48">
        <f>SUMPRODUCT(--('Данные 1st'!$S$2:$S$317=$A48),--ISNUMBER('Данные 1st'!$LI$2:$LI$317))</f>
        <v>0</v>
      </c>
      <c r="GJ48">
        <f>SUMPRODUCT(--('Данные 1st'!$S$2:$S$317=$A48),--ISNUMBER('Данные 1st'!$LJ$2:$LJ$317))</f>
        <v>0</v>
      </c>
      <c r="GK48">
        <f>SUMPRODUCT(--('Данные 1st'!$S$2:$S$317=$A48),--ISNUMBER('Данные 1st'!$LK$2:$LK$317))</f>
        <v>3</v>
      </c>
      <c r="GL48">
        <f>SUMPRODUCT(--('Данные 1st'!$S$2:$S$317=$A48),--ISNUMBER('Данные 1st'!$LV$2:$LV$317))</f>
        <v>0</v>
      </c>
      <c r="GM48">
        <f>SUMPRODUCT(--('Данные 1st'!$S$2:$S$317=$A48),--ISNUMBER('Данные 1st'!$LW$2:$LW$317))</f>
        <v>0</v>
      </c>
      <c r="GN48">
        <f>SUMPRODUCT(--('Данные 1st'!$S$2:$S$317=$A48),--ISNUMBER('Данные 1st'!$LX$2:$LX$317))</f>
        <v>0</v>
      </c>
      <c r="GO48">
        <f>SUMPRODUCT(--('Данные 1st'!$S$2:$S$317=$A48),--ISNUMBER('Данные 1st'!$LY$2:$LY$317))</f>
        <v>0</v>
      </c>
      <c r="GP48">
        <f>SUMPRODUCT(--('Данные 1st'!$S$2:$S$317=$A48),--ISNUMBER('Данные 1st'!$LZ$2:$LZ$317))</f>
        <v>0</v>
      </c>
      <c r="GQ48">
        <f>SUMPRODUCT(--('Данные 1st'!$S$2:$S$317=$A48),--ISNUMBER('Данные 1st'!$PG$2:$PG$317))</f>
        <v>3</v>
      </c>
      <c r="GR48">
        <f>SUMPRODUCT(--('Данные 1st'!$S$2:$S$317=$A48),--ISNUMBER('Данные 1st'!$PX$2:$PX$317))</f>
        <v>3</v>
      </c>
      <c r="GS48">
        <f>SUMPRODUCT(--('Данные 1st'!$S$2:$S$317=$A48),--ISNUMBER('Данные 1st'!$PY$2:$PY$317))</f>
        <v>3</v>
      </c>
      <c r="GT48">
        <f>SUMPRODUCT(--('Данные 1st'!$S$2:$S$317=$A48),--ISNUMBER('Данные 1st'!$QA$2:$QA$317))</f>
        <v>3</v>
      </c>
      <c r="GU48">
        <f>SUMPRODUCT(--('Данные 1st'!$S$2:$S$317=$A48),--ISNUMBER('Данные 1st'!$QB$2:$QB$317))</f>
        <v>3</v>
      </c>
      <c r="GV48">
        <f>SUMPRODUCT(--('Данные 1st'!$S$2:$S$317=$A48),--ISNUMBER('Данные 1st'!$QC$2:$QC$317))</f>
        <v>3</v>
      </c>
      <c r="GW48">
        <f>SUMPRODUCT(--('Данные 1st'!$S$2:$S$317=$A48),--ISNUMBER('Данные 1st'!$QD$2:$QD$317))</f>
        <v>3</v>
      </c>
      <c r="GX48">
        <f>SUMPRODUCT(--('Данные 1st'!$S$2:$S$317=$A48),--ISNUMBER('Данные 1st'!$QF$2:$QF$317))</f>
        <v>3</v>
      </c>
      <c r="GY48">
        <f>SUMPRODUCT(--('Данные 1st'!$S$2:$S$317=$A48),--ISNUMBER('Данные 1st'!$QG$2:$QG$317))</f>
        <v>3</v>
      </c>
      <c r="GZ48">
        <f>SUMPRODUCT(--('Данные 1st'!$S$2:$S$317=$A48),--ISNUMBER('Данные 1st'!$QH$2:$QH$317))</f>
        <v>3</v>
      </c>
      <c r="HA48">
        <f>SUMPRODUCT(--('Данные 1st'!$S$2:$S$317=$A48),--ISNUMBER('Данные 1st'!$QI$2:$QI$317))</f>
        <v>3</v>
      </c>
      <c r="HB48">
        <f>SUMPRODUCT(--('Данные 1st'!$S$2:$S$317=$A48),--ISNUMBER('Данные 1st'!$QK$2:$QK$317))</f>
        <v>0</v>
      </c>
      <c r="HC48">
        <f>SUMPRODUCT(--('Данные 1st'!$S$2:$S$317=$A48),--ISNUMBER('Данные 1st'!$QL$2:$QL$317))</f>
        <v>3</v>
      </c>
      <c r="HD48">
        <f>SUMPRODUCT(--('Данные 1st'!$S$2:$S$317=$A48),--ISNUMBER('Данные 1st'!$QM$2:$QM$317))</f>
        <v>3</v>
      </c>
      <c r="HE48">
        <f>SUMPRODUCT(--('Данные 1st'!$S$2:$S$317=$A48),--ISNUMBER('Данные 1st'!$QN$2:$QN$317))</f>
        <v>3</v>
      </c>
      <c r="HF48">
        <f>SUMPRODUCT(--('Данные 1st'!$S$2:$S$317=$A48),--ISNUMBER('Данные 1st'!$QP$2:$QP$317))</f>
        <v>3</v>
      </c>
      <c r="HG48">
        <f>SUMPRODUCT(--('Данные 1st'!$S$2:$S$317=$A48),--ISNUMBER('Данные 1st'!$QQ$2:$QQ$317))</f>
        <v>3</v>
      </c>
      <c r="HH48">
        <f>SUMPRODUCT(--('Данные 1st'!$S$2:$S$317=$A48),--ISNUMBER('Данные 1st'!$QR$2:$QR$317))</f>
        <v>2</v>
      </c>
      <c r="HI48">
        <f>SUMPRODUCT(--('Данные 1st'!$S$2:$S$317=$A48),--ISNUMBER('Данные 1st'!$QS$2:$QS$317))</f>
        <v>2</v>
      </c>
      <c r="HJ48">
        <f>SUMPRODUCT(--('Данные 1st'!$S$2:$S$317=$A48),--ISNUMBER('Данные 1st'!$QU$2:$QU$317))</f>
        <v>2</v>
      </c>
      <c r="HK48">
        <f>SUMPRODUCT(--('Данные 1st'!$S$2:$S$317=$A48),--ISNUMBER('Данные 1st'!$QV$2:$QV$317))</f>
        <v>2</v>
      </c>
      <c r="HL48">
        <f>SUMPRODUCT(--('Данные 1st'!$S$2:$S$317=$A48),--ISNUMBER('Данные 1st'!$QW$2:$QW$317))</f>
        <v>3</v>
      </c>
      <c r="HM48">
        <f>SUMPRODUCT(--('Данные 1st'!$S$2:$S$317=$A48),--ISNUMBER('Данные 1st'!$QX$2:$QX$317))</f>
        <v>3</v>
      </c>
      <c r="HN48">
        <f>SUMPRODUCT(--('Данные 1st'!$S$2:$S$317=$A48),--ISNUMBER('Данные 1st'!$QZ$2:$QZ$317))</f>
        <v>3</v>
      </c>
      <c r="HO48">
        <f>SUMPRODUCT(--('Данные 1st'!$S$2:$S$317=$A48),--ISNUMBER('Данные 1st'!$RA$2:$RA$317))</f>
        <v>3</v>
      </c>
      <c r="HP48">
        <f>SUMPRODUCT(--('Данные 1st'!$S$2:$S$317=$A48),--ISNUMBER('Данные 1st'!$RB$2:$RB$317))</f>
        <v>3</v>
      </c>
      <c r="HQ48">
        <f>SUMPRODUCT(--('Данные 1st'!$S$2:$S$317=$A48),--ISNUMBER('Данные 1st'!$RD$2:$RD$317))</f>
        <v>0</v>
      </c>
      <c r="HR48">
        <f>SUMPRODUCT(--('Данные 1st'!$S$2:$S$317=$A48),--ISNUMBER('Данные 1st'!$RE$2:$RE$317))</f>
        <v>3</v>
      </c>
      <c r="HS48">
        <f>SUMPRODUCT(--('Данные 1st'!$S$2:$S$317=$A48),--ISNUMBER('Данные 1st'!$RF$2:$RF$317))</f>
        <v>3</v>
      </c>
      <c r="HT48">
        <f>SUMPRODUCT(--('Данные 1st'!$S$2:$S$317=$A48),--ISNUMBER('Данные 1st'!$RG$2:$RG$317))</f>
        <v>0</v>
      </c>
      <c r="HU48">
        <f>SUMPRODUCT(--('Данные 1st'!$S$2:$S$317=$A48),--ISNUMBER('Данные 1st'!$RH$2:$RH$317))</f>
        <v>1</v>
      </c>
      <c r="HV48">
        <f>SUMPRODUCT(--('Данные 1st'!$S$2:$S$317=$A48),--ISNUMBER('Данные 1st'!$RI$2:$RI$317))</f>
        <v>1</v>
      </c>
      <c r="HW48">
        <f>SUMPRODUCT(--('Данные 1st'!$S$2:$S$317=$A48),--ISNUMBER('Данные 1st'!$RJ$2:$RJ$317))</f>
        <v>3</v>
      </c>
      <c r="HX48">
        <f>SUMPRODUCT(--('Данные 1st'!$S$2:$S$317=$A48),--ISNUMBER('Данные 1st'!$RK$2:$RK$317))</f>
        <v>0</v>
      </c>
      <c r="HY48">
        <f>SUMPRODUCT(--('Данные 1st'!$S$2:$S$317=$A48),--ISNUMBER('Данные 1st'!$RL$2:$RL$317))</f>
        <v>3</v>
      </c>
      <c r="HZ48">
        <f>SUMPRODUCT(--('Данные 1st'!$S$2:$S$317=$A48),--ISNUMBER('Данные 1st'!$RM$2:$RM$317))</f>
        <v>2</v>
      </c>
      <c r="IA48">
        <f>SUMPRODUCT(--('Данные 1st'!$S$2:$S$317=$A48),--ISNUMBER('Данные 1st'!$RN$2:$RN$317))</f>
        <v>0</v>
      </c>
      <c r="IB48">
        <f>SUMPRODUCT(--('Данные 1st'!$S$2:$S$317=$A48),--ISNUMBER('Данные 1st'!$RO$2:$RO$317))</f>
        <v>3</v>
      </c>
      <c r="IC48">
        <f>SUMPRODUCT(--('Данные 1st'!$S$2:$S$317=$A48),--ISNUMBER('Данные 1st'!$RP$2:$RP$317))</f>
        <v>0</v>
      </c>
      <c r="ID48">
        <f>SUMPRODUCT(--('Данные 1st'!$S$2:$S$317=$A48),--ISNUMBER('Данные 1st'!$RQ$2:$RQ$317))</f>
        <v>3</v>
      </c>
      <c r="IE48">
        <f>SUMPRODUCT(--('Данные 1st'!$S$2:$S$317=$A48),--ISNUMBER('Данные 1st'!$RR$2:$RR$317))</f>
        <v>2</v>
      </c>
      <c r="IF48">
        <f>SUMPRODUCT(--('Данные 1st'!$S$2:$S$317=$A48),--ISNUMBER('Данные 1st'!$RS$2:$RS$317))</f>
        <v>0</v>
      </c>
      <c r="IG48">
        <f>SUMPRODUCT(--('Данные 1st'!$S$2:$S$317=$A48),--ISNUMBER('Данные 1st'!$RT$2:$RT$317))</f>
        <v>3</v>
      </c>
      <c r="IH48">
        <f>SUMPRODUCT(--('Данные 1st'!$S$2:$S$317=$A48),--ISNUMBER('Данные 1st'!$RU$2:$RU$317))</f>
        <v>3</v>
      </c>
      <c r="II48">
        <f>SUMPRODUCT(--('Данные 1st'!$S$2:$S$317=$A48),--ISNUMBER('Данные 1st'!$RX$2:$RX$317))</f>
        <v>3</v>
      </c>
      <c r="IJ48">
        <f>SUMPRODUCT(--('Данные 1st'!$S$2:$S$317=$A48),--ISNUMBER('Данные 1st'!$RY$2:$RY$317))</f>
        <v>3</v>
      </c>
      <c r="IK48">
        <f>SUMPRODUCT(--('Данные 1st'!$S$2:$S$317=$A48),--ISNUMBER('Данные 1st'!$SA$2:$SA$317))</f>
        <v>3</v>
      </c>
      <c r="IL48">
        <f>SUMPRODUCT(--('Данные 1st'!$S$2:$S$317=$A48),--ISNUMBER('Данные 1st'!$SD$2:$SD$317))</f>
        <v>3</v>
      </c>
      <c r="IM48">
        <f>SUMPRODUCT(--('Данные 1st'!$S$2:$S$317=$A48),--ISNUMBER('Данные 1st'!$SG$2:$SG$317))</f>
        <v>2</v>
      </c>
      <c r="IN48">
        <f>SUMPRODUCT(--('Данные 1st'!$S$2:$S$317=$A48),--ISNUMBER('Данные 1st'!$SH$2:$SH$317))</f>
        <v>3</v>
      </c>
      <c r="IO48">
        <f>SUMPRODUCT(--('Данные 1st'!$S$2:$S$317=$A48),--ISNUMBER('Данные 1st'!$SI$2:$SI$317))</f>
        <v>3</v>
      </c>
      <c r="IP48">
        <f>SUMPRODUCT(--('Данные 1st'!$S$2:$S$317=$A48),--ISNUMBER('Данные 1st'!$SJ$2:$SJ$317))</f>
        <v>3</v>
      </c>
      <c r="IQ48">
        <f>SUMPRODUCT(--('Данные 1st'!$S$2:$S$317=$A48),--ISNUMBER('Данные 1st'!$SK$2:$SK$317))</f>
        <v>3</v>
      </c>
      <c r="IR48">
        <f>SUMPRODUCT(--('Данные 1st'!$S$2:$S$317=$A48),--ISNUMBER('Данные 1st'!$SL$2:$SL$317))</f>
        <v>3</v>
      </c>
      <c r="IS48">
        <f>SUMPRODUCT(--('Данные 1st'!$S$2:$S$317=$A48),--ISNUMBER('Данные 1st'!$SM$2:$SM$317))</f>
        <v>3</v>
      </c>
      <c r="IT48">
        <f>SUMPRODUCT(--('Данные 1st'!$S$2:$S$317=$A48),--ISNUMBER('Данные 1st'!$SN$2:$SN$317))</f>
        <v>3</v>
      </c>
      <c r="IU48">
        <f>SUMPRODUCT(--('Данные 1st'!$S$2:$S$317=$A48),--ISNUMBER('Данные 1st'!$SO$2:$SO$317))</f>
        <v>3</v>
      </c>
      <c r="IV48">
        <f>SUMPRODUCT(--('Данные 1st'!$S$2:$S$317=$A48),--ISNUMBER('Данные 1st'!$SP$2:$SP$317))</f>
        <v>3</v>
      </c>
      <c r="IW48">
        <f>SUMPRODUCT(--('Данные 1st'!$S$2:$S$317=$A48),--ISNUMBER('Данные 1st'!$SQ$2:$SQ$317))</f>
        <v>3</v>
      </c>
      <c r="IX48">
        <f>SUMPRODUCT(--('Данные 1st'!$S$2:$S$317=$A48),--ISNUMBER('Данные 1st'!$SR$2:$SR$317))</f>
        <v>3</v>
      </c>
      <c r="IY48">
        <f>SUMPRODUCT(--('Данные 1st'!$S$2:$S$317=$A48),--ISNUMBER('Данные 1st'!$SS$2:$SS$317))</f>
        <v>3</v>
      </c>
      <c r="IZ48">
        <f>SUMPRODUCT(--('Данные 1st'!$S$2:$S$317=$A48),--ISNUMBER('Данные 1st'!$ST$2:$ST$317))</f>
        <v>3</v>
      </c>
      <c r="JA48">
        <f>SUMPRODUCT(--('Данные 1st'!$S$2:$S$317=$A48),--ISNUMBER('Данные 1st'!$SU$2:$SU$317))</f>
        <v>3</v>
      </c>
      <c r="JB48">
        <f>SUMPRODUCT(--('Данные 1st'!$S$2:$S$317=$A48),--ISNUMBER('Данные 1st'!$SV$2:$SV$317))</f>
        <v>3</v>
      </c>
      <c r="JC48">
        <f>SUMPRODUCT(--('Данные 1st'!$S$2:$S$317=$A48),--ISNUMBER('Данные 1st'!$SW$2:$SW$317))</f>
        <v>3</v>
      </c>
      <c r="JD48">
        <f>SUMPRODUCT(--('Данные 1st'!$S$2:$S$317=$A48),--ISNUMBER('Данные 1st'!$SX$2:$SX$317))</f>
        <v>3</v>
      </c>
      <c r="JE48">
        <f>SUMPRODUCT(--('Данные 1st'!$S$2:$S$317=$A48),--ISNUMBER('Данные 1st'!$SY$2:$SY$317))</f>
        <v>0</v>
      </c>
      <c r="JF48">
        <f>SUMPRODUCT(--('Данные 1st'!$S$2:$S$317=$A48),--ISNUMBER('Данные 1st'!$SZ$2:$SZ$317))</f>
        <v>2</v>
      </c>
      <c r="JG48">
        <f>SUMPRODUCT(--('Данные 1st'!$S$2:$S$317=$A48),--ISNUMBER('Данные 1st'!$TA$2:$TA$317))</f>
        <v>0</v>
      </c>
      <c r="JH48">
        <f>SUMPRODUCT(--('Данные 1st'!$S$2:$S$317=$A48),--ISNUMBER('Данные 1st'!$TB$2:$TB$317))</f>
        <v>3</v>
      </c>
      <c r="JI48">
        <f>SUMPRODUCT(--('Данные 1st'!$S$2:$S$317=$A48),--ISNUMBER('Данные 1st'!$TC$2:$TC$317))</f>
        <v>3</v>
      </c>
      <c r="JJ48">
        <f>SUMPRODUCT(--('Данные 1st'!$S$2:$S$317=$A48),--ISNUMBER('Данные 1st'!$TD$2:$TD$317))</f>
        <v>3</v>
      </c>
      <c r="JK48">
        <f>SUMPRODUCT(--('Данные 1st'!$S$2:$S$317=$A48),--ISNUMBER('Данные 1st'!$TN$2:$TN$317))</f>
        <v>3</v>
      </c>
      <c r="JQ48">
        <f>SUMPRODUCT(--('Данные 2st'!$Q$2:$Q$317=$A48),--ISNUMBER('Данные 2st'!$AC$2:$AC$317))</f>
        <v>3</v>
      </c>
      <c r="JR48">
        <f>SUMPRODUCT(--('Данные 2st'!$Q$2:$Q$317=$A48),--ISNUMBER('Данные 2st'!$AF$2:$AF$317))</f>
        <v>3</v>
      </c>
      <c r="JS48">
        <f>SUMPRODUCT(--('Данные 2st'!$Q$2:$Q$317=$A48),--ISNUMBER('Данные 2st'!$AW$2:$AW$317))</f>
        <v>3</v>
      </c>
      <c r="JT48">
        <f>SUMPRODUCT(--('Данные 2st'!$Q$2:$Q$317=$A48),--ISNUMBER('Данные 2st'!$AX$2:$AX$317))</f>
        <v>3</v>
      </c>
      <c r="JU48">
        <f>SUMPRODUCT(--('Данные 2st'!$Q$2:$Q$317=$A48),--ISNUMBER('Данные 2st'!$AY$2:$AY$317))</f>
        <v>3</v>
      </c>
      <c r="JV48">
        <f>SUMPRODUCT(--('Данные 2st'!$Q$2:$Q$317=$A48),--ISNUMBER('Данные 2st'!$AZ$2:$AZ$317))</f>
        <v>3</v>
      </c>
      <c r="JW48">
        <f>SUMPRODUCT(--('Данные 2st'!$Q$2:$Q$317=$A48),--ISNUMBER('Данные 2st'!$BA$2:$BA$317))</f>
        <v>1</v>
      </c>
      <c r="JX48">
        <f>SUMPRODUCT(--('Данные 2st'!$Q$2:$Q$317=$A48),--ISNUMBER('Данные 2st'!$BB$2:$BB$317))</f>
        <v>1</v>
      </c>
      <c r="JY48">
        <f>SUMPRODUCT(--('Данные 2st'!$Q$2:$Q$317=$A48),--ISNUMBER('Данные 2st'!$BC$2:$BC$317))</f>
        <v>1</v>
      </c>
      <c r="JZ48">
        <f>SUMPRODUCT(--('Данные 2st'!$Q$2:$Q$317=$A48),--ISNUMBER('Данные 2st'!$BH$2:$BH$317))</f>
        <v>3</v>
      </c>
      <c r="KA48">
        <f>SUMPRODUCT(--('Данные 2st'!$Q$2:$Q$317=$A48),--ISNUMBER('Данные 2st'!$BI$2:$BI$317))</f>
        <v>3</v>
      </c>
      <c r="KB48">
        <f>SUMPRODUCT(--('Данные 2st'!$Q$2:$Q$317=$A48),--ISNUMBER('Данные 2st'!$BJ$2:$BJ$317))</f>
        <v>3</v>
      </c>
      <c r="KC48">
        <f>SUMPRODUCT(--('Данные 2st'!$Q$2:$Q$317=$A48),--ISNUMBER('Данные 2st'!$BK$2:$BK$317))</f>
        <v>3</v>
      </c>
      <c r="KD48">
        <f>SUMPRODUCT(--('Данные 2st'!$Q$2:$Q$317=$A48),--ISNUMBER('Данные 2st'!$BL$2:$BL$317))</f>
        <v>3</v>
      </c>
      <c r="KE48">
        <f>SUMPRODUCT(--('Данные 2st'!$Q$2:$Q$317=$A48),--ISNUMBER('Данные 2st'!$BM$2:$BM$317))</f>
        <v>3</v>
      </c>
      <c r="KF48">
        <f>SUMPRODUCT(--('Данные 2st'!$Q$2:$Q$317=$A48),--ISNUMBER('Данные 2st'!$BN$2:$BN$317))</f>
        <v>3</v>
      </c>
      <c r="KG48">
        <f>SUMPRODUCT(--('Данные 2st'!$Q$2:$Q$317=$A48),--ISNUMBER('Данные 2st'!$BO$2:$BO$317))</f>
        <v>0</v>
      </c>
      <c r="KH48">
        <f>SUMPRODUCT(--('Данные 2st'!$Q$2:$Q$317=$A48),--ISNUMBER('Данные 2st'!$BP$2:$BP$317))</f>
        <v>3</v>
      </c>
      <c r="KI48">
        <f>SUMPRODUCT(--('Данные 2st'!$Q$2:$Q$317=$A48),--ISNUMBER('Данные 2st'!$BR$2:$BR$317))</f>
        <v>3</v>
      </c>
      <c r="KJ48">
        <f>SUMPRODUCT(--('Данные 2st'!$Q$2:$Q$317=$A48),--ISNUMBER('Данные 2st'!$BS$2:$BS$317))</f>
        <v>3</v>
      </c>
      <c r="KK48">
        <f>SUMPRODUCT(--('Данные 2st'!$Q$2:$Q$317=$A48),--ISNUMBER('Данные 2st'!$BT$2:$BT$317))</f>
        <v>3</v>
      </c>
      <c r="KL48">
        <f>SUMPRODUCT(--('Данные 2st'!$Q$2:$Q$317=$A48),--ISNUMBER('Данные 2st'!$CV$2:$CV$317))</f>
        <v>3</v>
      </c>
      <c r="KM48">
        <f>SUMPRODUCT(--('Данные 2st'!$Q$2:$Q$317=$A48),--ISNUMBER('Данные 2st'!$CW$2:$CW$317))</f>
        <v>3</v>
      </c>
      <c r="KN48">
        <f>SUMPRODUCT(--('Данные 2st'!$Q$2:$Q$317=$A48),--ISNUMBER('Данные 2st'!$CX$2:$CX$317))</f>
        <v>3</v>
      </c>
      <c r="KO48">
        <f>SUMPRODUCT(--('Данные 2st'!$Q$2:$Q$317=$A48),--ISNUMBER('Данные 2st'!$CY$2:$CY$317))</f>
        <v>3</v>
      </c>
      <c r="KP48">
        <f>SUMPRODUCT(--('Данные 2st'!$Q$2:$Q$317=$A48),--ISNUMBER('Данные 2st'!$CZ$2:$CZ$317))</f>
        <v>3</v>
      </c>
      <c r="KQ48">
        <f>SUMPRODUCT(--('Данные 2st'!$Q$2:$Q$317=$A48),--ISNUMBER('Данные 2st'!$DA$2:$DA$317))</f>
        <v>3</v>
      </c>
      <c r="KR48">
        <f>SUMPRODUCT(--('Данные 2st'!$Q$2:$Q$317=$A48),--ISNUMBER('Данные 2st'!$DB$2:$DB$317))</f>
        <v>3</v>
      </c>
      <c r="KS48">
        <f>SUMPRODUCT(--('Данные 2st'!$Q$2:$Q$317=$A48),--ISNUMBER('Данные 2st'!$DC$2:$DC$317))</f>
        <v>3</v>
      </c>
      <c r="KT48">
        <f>SUMPRODUCT(--('Данные 2st'!$Q$2:$Q$317=$A48),--ISNUMBER('Данные 2st'!$DD$2:$DD$317))</f>
        <v>3</v>
      </c>
      <c r="KU48">
        <f>SUMPRODUCT(--('Данные 2st'!$Q$2:$Q$317=$A48),--ISNUMBER('Данные 2st'!$DE$2:$DE$317))</f>
        <v>3</v>
      </c>
      <c r="KV48">
        <f>SUMPRODUCT(--('Данные 2st'!$Q$2:$Q$317=$A48),--ISNUMBER('Данные 2st'!$DF$2:$DF$317))</f>
        <v>3</v>
      </c>
      <c r="KW48">
        <f>SUMPRODUCT(--('Данные 2st'!$Q$2:$Q$317=$A48),--ISNUMBER('Данные 2st'!$DG$2:$DG$317))</f>
        <v>3</v>
      </c>
      <c r="KX48">
        <f>SUMPRODUCT(--('Данные 2st'!$Q$2:$Q$317=$A48),--ISNUMBER('Данные 2st'!$DH$2:$DH$317))</f>
        <v>0</v>
      </c>
      <c r="KY48">
        <f>SUMPRODUCT(--('Данные 2st'!$Q$2:$Q$317=$A48),--ISNUMBER('Данные 2st'!$DI$2:$DI$317))</f>
        <v>0</v>
      </c>
      <c r="KZ48">
        <f>SUMPRODUCT(--('Данные 2st'!$Q$2:$Q$317=$A48),--ISNUMBER('Данные 2st'!$DK$2:$DK$317))</f>
        <v>3</v>
      </c>
      <c r="LA48">
        <f>SUMPRODUCT(--('Данные 2st'!$Q$2:$Q$317=$A48),--ISNUMBER('Данные 2st'!$DM$2:$DM$317))</f>
        <v>3</v>
      </c>
      <c r="LB48">
        <f>SUMPRODUCT(--('Данные 2st'!$Q$2:$Q$317=$A48),--ISNUMBER('Данные 2st'!$DN$2:$DN$317))</f>
        <v>3</v>
      </c>
      <c r="LC48">
        <f>SUMPRODUCT(--('Данные 2st'!$Q$2:$Q$317=$A48),--ISNUMBER('Данные 2st'!$DO$2:$DO$317))</f>
        <v>3</v>
      </c>
      <c r="LD48">
        <f>SUMPRODUCT(--('Данные 2st'!$Q$2:$Q$317=$A48),--ISNUMBER('Данные 2st'!$DP$2:$DP$317))</f>
        <v>3</v>
      </c>
      <c r="LE48">
        <f>SUMPRODUCT(--('Данные 2st'!$Q$2:$Q$317=$A48),--ISNUMBER('Данные 2st'!$DQ$2:$DQ$317))</f>
        <v>3</v>
      </c>
      <c r="LF48">
        <f>SUMPRODUCT(--('Данные 2st'!$Q$2:$Q$317=$A48),--ISNUMBER('Данные 2st'!$DS$2:$DS$317))</f>
        <v>3</v>
      </c>
      <c r="LG48">
        <f>SUMPRODUCT(--('Данные 2st'!$Q$2:$Q$317=$A48),--ISNUMBER('Данные 2st'!$DU$2:$DU$317))</f>
        <v>3</v>
      </c>
      <c r="LH48">
        <f>SUMPRODUCT(--('Данные 2st'!$Q$2:$Q$317=$A48),--ISNUMBER('Данные 2st'!$DV$2:$DV$317))</f>
        <v>3</v>
      </c>
      <c r="LI48">
        <f>SUMPRODUCT(--('Данные 2st'!$Q$2:$Q$317=$A48),--ISNUMBER('Данные 2st'!$DW$2:$DW$317))</f>
        <v>3</v>
      </c>
      <c r="LJ48">
        <f>SUMPRODUCT(--('Данные 2st'!$Q$2:$Q$317=$A48),--ISNUMBER('Данные 2st'!$DX$2:$DX$317))</f>
        <v>3</v>
      </c>
      <c r="LK48">
        <f>SUMPRODUCT(--('Данные 2st'!$Q$2:$Q$317=$A48),--ISNUMBER('Данные 2st'!$DY$2:$DY$317))</f>
        <v>3</v>
      </c>
      <c r="LL48">
        <f>SUMPRODUCT(--('Данные 2st'!$Q$2:$Q$317=$A48),--ISNUMBER('Данные 2st'!$EA$2:$EA$317))</f>
        <v>3</v>
      </c>
      <c r="LM48">
        <f>SUMPRODUCT(--('Данные 2st'!$Q$2:$Q$317=$A48),--ISNUMBER('Данные 2st'!$EC$2:$EC$317))</f>
        <v>3</v>
      </c>
      <c r="LN48">
        <f>SUMPRODUCT(--('Данные 2st'!$Q$2:$Q$317=$A48),--ISNUMBER('Данные 2st'!$ED$2:$ED$317))</f>
        <v>3</v>
      </c>
      <c r="LO48">
        <f>SUMPRODUCT(--('Данные 2st'!$Q$2:$Q$317=$A48),--ISNUMBER('Данные 2st'!$EE$2:$EE$317))</f>
        <v>3</v>
      </c>
      <c r="LP48">
        <f>SUMPRODUCT(--('Данные 2st'!$Q$2:$Q$317=$A48),--ISNUMBER('Данные 2st'!$EG$2:$EG$317))</f>
        <v>3</v>
      </c>
      <c r="LQ48">
        <f>SUMPRODUCT(--('Данные 2st'!$Q$2:$Q$317=$A48),--ISNUMBER('Данные 2st'!$EI$2:$EI$317))</f>
        <v>3</v>
      </c>
      <c r="LR48">
        <f>SUMPRODUCT(--('Данные 2st'!$Q$2:$Q$317=$A48),--ISNUMBER('Данные 2st'!$EJ$2:$EJ$317))</f>
        <v>0</v>
      </c>
      <c r="LS48">
        <f>SUMPRODUCT(--('Данные 2st'!$Q$2:$Q$317=$A48),--ISNUMBER('Данные 2st'!$EK$2:$EK$317))</f>
        <v>0</v>
      </c>
      <c r="LT48">
        <f>SUMPRODUCT(--('Данные 2st'!$Q$2:$Q$317=$A48),--ISNUMBER('Данные 2st'!$EM$2:$EM$317))</f>
        <v>3</v>
      </c>
      <c r="LU48">
        <f>SUMPRODUCT(--('Данные 2st'!$Q$2:$Q$317=$A48),--ISNUMBER('Данные 2st'!$EN$2:$EN$317))</f>
        <v>3</v>
      </c>
      <c r="LV48">
        <f>SUMPRODUCT(--('Данные 2st'!$Q$2:$Q$317=$A48),--ISNUMBER('Данные 2st'!$EO$2:$EO$317))</f>
        <v>3</v>
      </c>
      <c r="LW48">
        <f>SUMPRODUCT(--('Данные 2st'!$Q$2:$Q$317=$A48),--ISNUMBER('Данные 2st'!$EP$2:$EP$317))</f>
        <v>3</v>
      </c>
      <c r="LX48">
        <f>SUMPRODUCT(--('Данные 2st'!$Q$2:$Q$317=$A48),--ISNUMBER('Данные 2st'!$EQ$2:$EQ$317))</f>
        <v>3</v>
      </c>
      <c r="LY48">
        <f>SUMPRODUCT(--('Данные 2st'!$Q$2:$Q$317=$A48),--ISNUMBER('Данные 2st'!$ER$2:$ER$317))</f>
        <v>3</v>
      </c>
      <c r="LZ48">
        <f>SUMPRODUCT(--('Данные 2st'!$Q$2:$Q$317=$A48),--ISNUMBER('Данные 2st'!$ES$2:$ES$317))</f>
        <v>3</v>
      </c>
      <c r="MA48">
        <f>SUMPRODUCT(--('Данные 2st'!$Q$2:$Q$317=$A48),--ISNUMBER('Данные 2st'!$ET$2:$ET$317))</f>
        <v>3</v>
      </c>
      <c r="MB48">
        <f>SUMPRODUCT(--('Данные 2st'!$Q$2:$Q$317=$A48),--ISNUMBER('Данные 2st'!$EU$2:$EU$317))</f>
        <v>3</v>
      </c>
      <c r="MC48">
        <f>SUMPRODUCT(--('Данные 2st'!$Q$2:$Q$317=$A48),--ISNUMBER('Данные 2st'!$EV$2:$EV$317))</f>
        <v>3</v>
      </c>
      <c r="MD48">
        <f>SUMPRODUCT(--('Данные 2st'!$Q$2:$Q$317=$A48),--ISNUMBER('Данные 2st'!$EW$2:$EW$317))</f>
        <v>3</v>
      </c>
      <c r="ME48">
        <f>SUMPRODUCT(--('Данные 2st'!$Q$2:$Q$317=$A48),--ISNUMBER('Данные 2st'!$EY$2:$EY$317))</f>
        <v>3</v>
      </c>
      <c r="MF48">
        <f>SUMPRODUCT(--('Данные 2st'!$Q$2:$Q$317=$A48),--ISNUMBER('Данные 2st'!$FA$2:$FA$317))</f>
        <v>3</v>
      </c>
      <c r="MG48">
        <f>SUMPRODUCT(--('Данные 2st'!$Q$2:$Q$317=$A48),--ISNUMBER('Данные 2st'!$FB$2:$FB$317))</f>
        <v>3</v>
      </c>
      <c r="MH48">
        <f>SUMPRODUCT(--('Данные 2st'!$Q$2:$Q$317=$A48),--ISNUMBER('Данные 2st'!$FC$2:$FC$317))</f>
        <v>3</v>
      </c>
      <c r="MI48">
        <f>SUMPRODUCT(--('Данные 2st'!$Q$2:$Q$317=$A48),--ISNUMBER('Данные 2st'!$FD$2:$FD$317))</f>
        <v>3</v>
      </c>
      <c r="MJ48">
        <f>SUMPRODUCT(--('Данные 2st'!$Q$2:$Q$317=$A48),--ISNUMBER('Данные 2st'!$FE$2:$FE$317))</f>
        <v>3</v>
      </c>
      <c r="MK48">
        <f>SUMPRODUCT(--('Данные 2st'!$Q$2:$Q$317=$A48),--ISNUMBER('Данные 2st'!$FG$2:$FG$317))</f>
        <v>3</v>
      </c>
      <c r="ML48">
        <f>SUMPRODUCT(--('Данные 2st'!$Q$2:$Q$317=$A48),--ISNUMBER('Данные 2st'!$FI$2:$FI$317))</f>
        <v>3</v>
      </c>
      <c r="MM48">
        <f>SUMPRODUCT(--('Данные 2st'!$Q$2:$Q$317=$A48),--ISNUMBER('Данные 2st'!$FJ$2:$FJ$317))</f>
        <v>3</v>
      </c>
      <c r="MN48">
        <f>SUMPRODUCT(--('Данные 2st'!$Q$2:$Q$317=$A48),--ISNUMBER('Данные 2st'!$FK$2:$FK$317))</f>
        <v>3</v>
      </c>
      <c r="MO48">
        <f>SUMPRODUCT(--('Данные 2st'!$Q$2:$Q$317=$A48),--ISNUMBER('Данные 2st'!$FP$2:$FP$317))</f>
        <v>3</v>
      </c>
      <c r="MP48">
        <f>SUMPRODUCT(--('Данные 2st'!$Q$2:$Q$317=$A48),--ISNUMBER('Данные 2st'!$FQ$2:$FQ$317))</f>
        <v>3</v>
      </c>
      <c r="MQ48">
        <f>SUMPRODUCT(--('Данные 2st'!$Q$2:$Q$317=$A48),--ISNUMBER('Данные 2st'!$FS$2:$FS$317))</f>
        <v>3</v>
      </c>
      <c r="MR48">
        <f>SUMPRODUCT(--('Данные 2st'!$Q$2:$Q$317=$A48),--ISNUMBER('Данные 2st'!$FU$2:$FU$317))</f>
        <v>3</v>
      </c>
      <c r="MS48">
        <f>SUMPRODUCT(--('Данные 2st'!$Q$2:$Q$317=$A48),--ISNUMBER('Данные 2st'!$FV$2:$FV$317))</f>
        <v>3</v>
      </c>
      <c r="MT48">
        <f>SUMPRODUCT(--('Данные 2st'!$Q$2:$Q$317=$A48),--ISNUMBER('Данные 2st'!$FW$2:$FW$317))</f>
        <v>3</v>
      </c>
      <c r="MU48">
        <f>SUMPRODUCT(--('Данные 2st'!$Q$2:$Q$317=$A48),--ISNUMBER('Данные 2st'!$FY$2:$FY$317))</f>
        <v>3</v>
      </c>
      <c r="MV48">
        <f>SUMPRODUCT(--('Данные 2st'!$Q$2:$Q$317=$A48),--ISNUMBER('Данные 2st'!$GB$2:$GB$317))</f>
        <v>3</v>
      </c>
      <c r="MW48">
        <f>SUMPRODUCT(--('Данные 2st'!$Q$2:$Q$317=$A48),--ISNUMBER('Данные 2st'!$GC$2:$GC$317))</f>
        <v>3</v>
      </c>
      <c r="MX48">
        <f>SUMPRODUCT(--('Данные 2st'!$Q$2:$Q$317=$A48),--ISNUMBER('Данные 2st'!$GD$2:$GD$317))</f>
        <v>3</v>
      </c>
      <c r="MY48">
        <f>SUMPRODUCT(--('Данные 2st'!$Q$2:$Q$317=$A48),--ISNUMBER('Данные 2st'!$GN$2:$GN$317))</f>
        <v>0</v>
      </c>
      <c r="MZ48">
        <f>SUMPRODUCT(--('Данные 2st'!$Q$2:$Q$317=$A48),--ISNUMBER('Данные 2st'!$GQ$2:$GQ$317))</f>
        <v>3</v>
      </c>
      <c r="NA48">
        <f>SUMPRODUCT(--('Данные 2st'!$Q$2:$Q$317=$A48),--ISNUMBER('Данные 2st'!$GV$2:$GV$317))</f>
        <v>3</v>
      </c>
      <c r="NB48">
        <f>SUMPRODUCT(--('Данные 2st'!$Q$2:$Q$317=$A48),--ISNUMBER('Данные 2st'!$GW$2:$GW$317))</f>
        <v>3</v>
      </c>
      <c r="NC48">
        <f>SUMPRODUCT(--('Данные 2st'!$Q$2:$Q$317=$A48),--ISNUMBER('Данные 2st'!$GX$2:$GX$317))</f>
        <v>3</v>
      </c>
      <c r="ND48">
        <f>SUMPRODUCT(--('Данные 2st'!$Q$2:$Q$317=$A48),--ISNUMBER('Данные 2st'!$GY$2:$GY$317))</f>
        <v>3</v>
      </c>
      <c r="NE48">
        <f>SUMPRODUCT(--('Данные 2st'!$Q$2:$Q$317=$A48),--ISNUMBER('Данные 2st'!$GZ$2:$GZ$317))</f>
        <v>3</v>
      </c>
      <c r="NF48">
        <f>SUMPRODUCT(--('Данные 2st'!$Q$2:$Q$317=$A48),--ISNUMBER('Данные 2st'!$HA$2:$HA$317))</f>
        <v>3</v>
      </c>
      <c r="NG48">
        <f>SUMPRODUCT(--('Данные 2st'!$Q$2:$Q$317=$A48),--ISNUMBER('Данные 2st'!$HB$2:$HB$317))</f>
        <v>3</v>
      </c>
      <c r="NH48">
        <f>SUMPRODUCT(--('Данные 2st'!$Q$2:$Q$317=$A48),--ISNUMBER('Данные 2st'!$HC$2:$HC$317))</f>
        <v>3</v>
      </c>
      <c r="NI48">
        <f>SUMPRODUCT(--('Данные 2st'!$Q$2:$Q$317=$A48),--ISNUMBER('Данные 2st'!$HD$2:$HD$317))</f>
        <v>3</v>
      </c>
      <c r="NJ48">
        <f>SUMPRODUCT(--('Данные 2st'!$Q$2:$Q$317=$A48),--ISNUMBER('Данные 2st'!$HM$2:$HM$317))</f>
        <v>3</v>
      </c>
      <c r="NK48">
        <f>SUMPRODUCT(--('Данные 2st'!$Q$2:$Q$317=$A48),--ISNUMBER('Данные 2st'!$HR$2:$HR$317))</f>
        <v>3</v>
      </c>
      <c r="NL48">
        <f>SUMPRODUCT(--('Данные 2st'!$Q$2:$Q$317=$A48),--ISNUMBER('Данные 2st'!$HS$2:$HS$317))</f>
        <v>3</v>
      </c>
      <c r="NM48">
        <f>SUMPRODUCT(--('Данные 2st'!$Q$2:$Q$317=$A48),--ISNUMBER('Данные 2st'!$HT$2:$HT$317))</f>
        <v>3</v>
      </c>
      <c r="NN48">
        <f>SUMPRODUCT(--('Данные 2st'!$Q$2:$Q$317=$A48),--ISNUMBER('Данные 2st'!$HY$2:$HY$317))</f>
        <v>3</v>
      </c>
      <c r="NO48">
        <f>SUMPRODUCT(--('Данные 2st'!$Q$2:$Q$317=$A48),--ISNUMBER('Данные 2st'!$HZ$2:$HZ$317))</f>
        <v>3</v>
      </c>
      <c r="NP48">
        <f>SUMPRODUCT(--('Данные 2st'!$Q$2:$Q$317=$A48),--ISNUMBER('Данные 2st'!$IA$2:$IA$317))</f>
        <v>3</v>
      </c>
      <c r="NQ48">
        <f>SUMPRODUCT(--('Данные 2st'!$Q$2:$Q$317=$A48),--ISNUMBER('Данные 2st'!$IB$2:$IB$317))</f>
        <v>3</v>
      </c>
      <c r="NR48">
        <f>SUMPRODUCT(--('Данные 2st'!$Q$2:$Q$317=$A48),--ISNUMBER('Данные 2st'!$IC$2:$IC$317))</f>
        <v>0</v>
      </c>
      <c r="NS48">
        <f>SUMPRODUCT(--('Данные 2st'!$Q$2:$Q$317=$A48),--ISNUMBER('Данные 2st'!$ID$2:$ID$317))</f>
        <v>3</v>
      </c>
      <c r="NT48">
        <f>SUMPRODUCT(--('Данные 2st'!$Q$2:$Q$317=$A48),--ISNUMBER('Данные 2st'!$IE$2:$IE$317))</f>
        <v>3</v>
      </c>
      <c r="NU48">
        <f>SUMPRODUCT(--('Данные 2st'!$Q$2:$Q$317=$A48),--ISNUMBER('Данные 2st'!$IF$2:$IF$317))</f>
        <v>3</v>
      </c>
      <c r="NV48">
        <f>SUMPRODUCT(--('Данные 2st'!$Q$2:$Q$317=$A48),--ISNUMBER('Данные 2st'!$IG$2:$IG$317))</f>
        <v>3</v>
      </c>
      <c r="NW48">
        <f>SUMPRODUCT(--('Данные 2st'!$Q$2:$Q$317=$A48),--ISNUMBER('Данные 2st'!$IH$2:$IH$317))</f>
        <v>3</v>
      </c>
      <c r="NX48">
        <f>SUMPRODUCT(--('Данные 2st'!$Q$2:$Q$317=$A48),--ISNUMBER('Данные 2st'!$IJ$2:$IJ$317))</f>
        <v>3</v>
      </c>
      <c r="NY48">
        <f>SUMPRODUCT(--('Данные 2st'!$Q$2:$Q$317=$A48),--ISNUMBER('Данные 2st'!$IM$2:$IM$317))</f>
        <v>3</v>
      </c>
      <c r="NZ48">
        <f>SUMPRODUCT(--('Данные 2st'!$Q$2:$Q$317=$A48),--ISNUMBER('Данные 2st'!$IN$2:$IN$317))</f>
        <v>3</v>
      </c>
      <c r="OA48">
        <f>SUMPRODUCT(--('Данные 2st'!$Q$2:$Q$317=$A48),--ISNUMBER('Данные 2st'!$IO$2:$IO$317))</f>
        <v>3</v>
      </c>
      <c r="OB48">
        <f>SUMPRODUCT(--('Данные 2st'!$Q$2:$Q$317=$A48),--ISNUMBER('Данные 2st'!$IP$2:$IP$317))</f>
        <v>3</v>
      </c>
      <c r="OC48">
        <f>SUMPRODUCT(--('Данные 2st'!$Q$2:$Q$317=$A48),--ISNUMBER('Данные 2st'!$IQ$2:$IQ$317))</f>
        <v>3</v>
      </c>
      <c r="OD48">
        <f>SUMPRODUCT(--('Данные 2st'!$Q$2:$Q$317=$A48),--ISNUMBER('Данные 2st'!$IR$2:$IR$317))</f>
        <v>3</v>
      </c>
      <c r="OE48">
        <f>SUMPRODUCT(--('Данные 2st'!$Q$2:$Q$317=$A48),--ISNUMBER('Данные 2st'!$IT$2:$IT$317))</f>
        <v>3</v>
      </c>
      <c r="OF48">
        <f>SUMPRODUCT(--('Данные 2st'!$Q$2:$Q$317=$A48),--ISNUMBER('Данные 2st'!$IU$2:$IU$317))</f>
        <v>3</v>
      </c>
      <c r="OG48">
        <f>SUMPRODUCT(--('Данные 2st'!$Q$2:$Q$317=$A48),--ISNUMBER('Данные 2st'!$IV$2:$IV$317))</f>
        <v>3</v>
      </c>
      <c r="OH48">
        <f>SUMPRODUCT(--('Данные 2st'!$Q$2:$Q$317=$A48),--ISNUMBER('Данные 2st'!$IW$2:$IW$317))</f>
        <v>3</v>
      </c>
      <c r="OI48">
        <f>SUMPRODUCT(--('Данные 2st'!$Q$2:$Q$317=$A48),--ISNUMBER('Данные 2st'!$IX$2:$IX$317))</f>
        <v>3</v>
      </c>
      <c r="OJ48">
        <f>SUMPRODUCT(--('Данные 2st'!$Q$2:$Q$317=$A48),--ISNUMBER('Данные 2st'!$IY$2:$IY$317))</f>
        <v>3</v>
      </c>
      <c r="OK48">
        <f>SUMPRODUCT(--('Данные 2st'!$Q$2:$Q$317=$A48),--ISNUMBER('Данные 2st'!$IZ$2:$IZ$317))</f>
        <v>3</v>
      </c>
      <c r="OL48">
        <f>SUMPRODUCT(--('Данные 2st'!$Q$2:$Q$317=$A48),--ISNUMBER('Данные 2st'!$JA$2:$JA$317))</f>
        <v>3</v>
      </c>
      <c r="OM48">
        <f>SUMPRODUCT(--('Данные 2st'!$Q$2:$Q$317=$A48),--ISNUMBER('Данные 2st'!$JB$2:$JB$317))</f>
        <v>3</v>
      </c>
      <c r="ON48">
        <f>SUMPRODUCT(--('Данные 2st'!$Q$2:$Q$317=$A48),--ISNUMBER('Данные 2st'!$JC$2:$JC$317))</f>
        <v>3</v>
      </c>
      <c r="OO48">
        <f>SUMPRODUCT(--('Данные 2st'!$Q$2:$Q$317=$A48),--ISNUMBER('Данные 2st'!$JD$2:$JD$317))</f>
        <v>3</v>
      </c>
      <c r="OP48">
        <f>SUMPRODUCT(--('Данные 2st'!$Q$2:$Q$317=$A48),--ISNUMBER('Данные 2st'!$JE$2:$JE$317))</f>
        <v>3</v>
      </c>
      <c r="OQ48">
        <f>SUMPRODUCT(--('Данные 2st'!$Q$2:$Q$317=$A48),--ISNUMBER('Данные 2st'!$JF$2:$JF$317))</f>
        <v>3</v>
      </c>
      <c r="OR48">
        <f>SUMPRODUCT(--('Данные 2st'!$Q$2:$Q$317=$A48),--ISNUMBER('Данные 2st'!$JG$2:$JG$317))</f>
        <v>3</v>
      </c>
      <c r="OS48">
        <f>SUMPRODUCT(--('Данные 2st'!$Q$2:$Q$317=$A48),--ISNUMBER('Данные 2st'!$JH$2:$JH$317))</f>
        <v>3</v>
      </c>
      <c r="OT48">
        <f>SUMPRODUCT(--('Данные 2st'!$Q$2:$Q$317=$A48),--ISNUMBER('Данные 2st'!$JI$2:$JI$317))</f>
        <v>3</v>
      </c>
      <c r="OU48">
        <f>SUMPRODUCT(--('Данные 2st'!$Q$2:$Q$317=$A48),--ISNUMBER('Данные 2st'!$JJ$2:$JJ$317))</f>
        <v>3</v>
      </c>
      <c r="OV48">
        <f>SUMPRODUCT(--('Данные 2st'!$Q$2:$Q$317=$A48),--ISNUMBER('Данные 2st'!$JK$2:$JK$317))</f>
        <v>3</v>
      </c>
      <c r="OW48">
        <f>SUMPRODUCT(--('Данные 2st'!$Q$2:$Q$317=$A48),--ISNUMBER('Данные 2st'!$JL$2:$JL$317))</f>
        <v>3</v>
      </c>
      <c r="OX48">
        <f>SUMPRODUCT(--('Данные 2st'!$Q$2:$Q$317=$A48),--ISNUMBER('Данные 2st'!$JM$2:$JM$317))</f>
        <v>3</v>
      </c>
      <c r="OY48">
        <f>SUMPRODUCT(--('Данные 2st'!$Q$2:$Q$317=$A48),--ISNUMBER('Данные 2st'!$JP$2:$JP$317))</f>
        <v>3</v>
      </c>
      <c r="OZ48">
        <f>SUMPRODUCT(--('Данные 2st'!$Q$2:$Q$317=$A48),--ISNUMBER('Данные 2st'!$JQ$2:$JQ$317))</f>
        <v>3</v>
      </c>
      <c r="PA48">
        <f>SUMPRODUCT(--('Данные 2st'!$Q$2:$Q$317=$A48),--ISNUMBER('Данные 2st'!$JR$2:$JR$317))</f>
        <v>3</v>
      </c>
      <c r="PB48">
        <f>SUMPRODUCT(--('Данные 2st'!$Q$2:$Q$317=$A48),--ISNUMBER('Данные 2st'!$JS$2:$JS$317))</f>
        <v>3</v>
      </c>
      <c r="PC48">
        <f>SUMPRODUCT(--('Данные 2st'!$Q$2:$Q$317=$A48),--ISNUMBER('Данные 2st'!$JT$2:$JT$317))</f>
        <v>3</v>
      </c>
      <c r="PD48">
        <f>SUMPRODUCT(--('Данные 2st'!$Q$2:$Q$317=$A48),--ISNUMBER('Данные 2st'!$JU$2:$JU$317))</f>
        <v>3</v>
      </c>
      <c r="PE48">
        <f>SUMPRODUCT(--('Данные 2st'!$Q$2:$Q$317=$A48),--ISNUMBER('Данные 2st'!$JV$2:$JV$317))</f>
        <v>3</v>
      </c>
      <c r="PF48">
        <f>SUMPRODUCT(--('Данные 2st'!$Q$2:$Q$317=$A48),--ISNUMBER('Данные 2st'!$JW$2:$JW$317))</f>
        <v>3</v>
      </c>
      <c r="PG48">
        <f>SUMPRODUCT(--('Данные 2st'!$Q$2:$Q$317=$A48),--ISNUMBER('Данные 2st'!$KF$2:$KF$317))</f>
        <v>3</v>
      </c>
      <c r="PH48">
        <f>SUMPRODUCT(--('Данные 2st'!$Q$2:$Q$317=$A48),--ISNUMBER('Данные 2st'!$KG$2:$KG$317))</f>
        <v>3</v>
      </c>
      <c r="PI48">
        <f>SUMPRODUCT(--('Данные 2st'!$Q$2:$Q$317=$A48),--ISNUMBER('Данные 2st'!$KM$2:$KM$317))</f>
        <v>3</v>
      </c>
      <c r="PJ48">
        <f>SUMPRODUCT(--('Данные 2st'!$Q$2:$Q$317=$A48),--ISNUMBER('Данные 2st'!$KN$2:$KN$317))</f>
        <v>3</v>
      </c>
      <c r="PK48">
        <f>SUMPRODUCT(--('Данные 2st'!$Q$2:$Q$317=$A48),--ISNUMBER('Данные 2st'!$KO$2:$KO$317))</f>
        <v>3</v>
      </c>
      <c r="PL48">
        <f>SUMPRODUCT(--('Данные 2st'!$Q$2:$Q$317=$A48),--ISNUMBER('Данные 2st'!$KP$2:$KP$317))</f>
        <v>3</v>
      </c>
      <c r="PM48">
        <f>SUMPRODUCT(--('Данные 2st'!$Q$2:$Q$317=$A48),--ISNUMBER('Данные 2st'!$KQ$2:$KQ$317))</f>
        <v>3</v>
      </c>
      <c r="PN48">
        <f>SUMPRODUCT(--('Данные 2st'!$Q$2:$Q$317=$A48),--ISNUMBER('Данные 2st'!$KR$2:$KR$317))</f>
        <v>3</v>
      </c>
      <c r="PO48">
        <f>SUMPRODUCT(--('Данные 2st'!$Q$2:$Q$317=$A48),--ISNUMBER('Данные 2st'!$KS$2:$KS$317))</f>
        <v>3</v>
      </c>
      <c r="PP48">
        <f>SUMPRODUCT(--('Данные 2st'!$Q$2:$Q$317=$A48),--ISNUMBER('Данные 2st'!$KT$2:$KT$317))</f>
        <v>3</v>
      </c>
      <c r="PQ48">
        <f>SUMPRODUCT(--('Данные 2st'!$Q$2:$Q$317=$A48),--ISNUMBER('Данные 2st'!$KU$2:$KU$317))</f>
        <v>3</v>
      </c>
      <c r="PR48">
        <f>SUMPRODUCT(--('Данные 2st'!$Q$2:$Q$317=$A48),--ISNUMBER('Данные 2st'!$KV$2:$KV$317))</f>
        <v>3</v>
      </c>
      <c r="PS48">
        <f>SUMPRODUCT(--('Данные 2st'!$Q$2:$Q$317=$A48),--ISNUMBER('Данные 2st'!$KW$2:$KW$317))</f>
        <v>3</v>
      </c>
      <c r="PT48">
        <f>SUMPRODUCT(--('Данные 2st'!$Q$2:$Q$317=$A48),--ISNUMBER('Данные 2st'!$KX$2:$KX$317))</f>
        <v>3</v>
      </c>
      <c r="PU48">
        <f>SUMPRODUCT(--('Данные 2st'!$Q$2:$Q$317=$A48),--ISNUMBER('Данные 2st'!$KY$2:$KY$317))</f>
        <v>3</v>
      </c>
      <c r="PV48">
        <f>SUMPRODUCT(--('Данные 2st'!$Q$2:$Q$317=$A48),--ISNUMBER('Данные 2st'!$KZ$2:$KZ$317))</f>
        <v>3</v>
      </c>
      <c r="PW48">
        <f>SUMPRODUCT(--('Данные 2st'!$Q$2:$Q$317=$A48),--ISNUMBER('Данные 2st'!$LA$2:$LA$317))</f>
        <v>3</v>
      </c>
      <c r="PX48">
        <f>SUMPRODUCT(--('Данные 2st'!$Q$2:$Q$317=$A48),--ISNUMBER('Данные 2st'!$LB$2:$LB$317))</f>
        <v>3</v>
      </c>
      <c r="PY48">
        <f>SUMPRODUCT(--('Данные 2st'!$Q$2:$Q$317=$A48),--ISNUMBER('Данные 2st'!$LC$2:$LC$317))</f>
        <v>3</v>
      </c>
      <c r="PZ48">
        <f>SUMPRODUCT(--('Данные 2st'!$Q$2:$Q$317=$A48),--ISNUMBER('Данные 2st'!$LD$2:$LD$317))</f>
        <v>3</v>
      </c>
      <c r="QA48">
        <f>SUMPRODUCT(--('Данные 2st'!$Q$2:$Q$317=$A48),--ISNUMBER('Данные 2st'!$LE$2:$LE$317))</f>
        <v>3</v>
      </c>
      <c r="QB48">
        <f>SUMPRODUCT(--('Данные 2st'!$Q$2:$Q$317=$A48),--ISNUMBER('Данные 2st'!$LF$2:$LF$317))</f>
        <v>3</v>
      </c>
      <c r="QC48">
        <f>SUMPRODUCT(--('Данные 2st'!$Q$2:$Q$317=$A48),--ISNUMBER('Данные 2st'!$LG$2:$LG$317))</f>
        <v>3</v>
      </c>
      <c r="QD48">
        <f>SUMPRODUCT(--('Данные 2st'!$Q$2:$Q$317=$A48),--ISNUMBER('Данные 2st'!$LH$2:$LH$317))</f>
        <v>3</v>
      </c>
      <c r="QE48">
        <f>SUMPRODUCT(--('Данные 2st'!$Q$2:$Q$317=$A48),--ISNUMBER('Данные 2st'!$LJ$2:$LJ$317))</f>
        <v>3</v>
      </c>
      <c r="QF48">
        <f>SUMPRODUCT(--('Данные 2st'!$Q$2:$Q$317=$A48),--ISNUMBER('Данные 2st'!$LK$2:$LK$317))</f>
        <v>3</v>
      </c>
      <c r="QG48">
        <f>SUMPRODUCT(--('Данные 2st'!$Q$2:$Q$317=$A48),--ISNUMBER('Данные 2st'!$LL$2:$LL$317))</f>
        <v>3</v>
      </c>
      <c r="QH48">
        <f>SUMPRODUCT(--('Данные 2st'!$Q$2:$Q$317=$A48),--ISNUMBER('Данные 2st'!$LM$2:$LM$317))</f>
        <v>3</v>
      </c>
      <c r="QI48">
        <f>SUMPRODUCT(--('Данные 2st'!$Q$2:$Q$317=$A48),--ISNUMBER('Данные 2st'!$LN$2:$LN$317))</f>
        <v>3</v>
      </c>
      <c r="QJ48">
        <f>SUMPRODUCT(--('Данные 2st'!$Q$2:$Q$317=$A48),--ISNUMBER('Данные 2st'!$LO$2:$LO$317))</f>
        <v>3</v>
      </c>
      <c r="QK48">
        <f>SUMPRODUCT(--('Данные 2st'!$Q$2:$Q$317=$A48),--ISNUMBER('Данные 2st'!$LP$2:$LP$317))</f>
        <v>3</v>
      </c>
      <c r="QL48">
        <f>SUMPRODUCT(--('Данные 2st'!$Q$2:$Q$317=$A48),--ISNUMBER('Данные 2st'!$LQ$2:$LQ$317))</f>
        <v>3</v>
      </c>
      <c r="QM48">
        <f>SUMPRODUCT(--('Данные 2st'!$Q$2:$Q$317=$A48),--ISNUMBER('Данные 2st'!$LW$2:$LW$317))</f>
        <v>3</v>
      </c>
      <c r="QN48">
        <f>SUMPRODUCT(--('Данные 2st'!$Q$2:$Q$317=$A48),--ISNUMBER('Данные 2st'!$LX$2:$LX$317))</f>
        <v>3</v>
      </c>
      <c r="QO48">
        <f>SUMPRODUCT(--('Данные 2st'!$Q$2:$Q$317=$A48),--ISNUMBER('Данные 2st'!$LY$2:$LY$317))</f>
        <v>3</v>
      </c>
      <c r="QP48">
        <f>SUMPRODUCT(--('Данные 2st'!$Q$2:$Q$317=$A48),--ISNUMBER('Данные 2st'!$LZ$2:$LZ$317))</f>
        <v>3</v>
      </c>
      <c r="QQ48">
        <f>SUMPRODUCT(--('Данные 2st'!$Q$2:$Q$317=$A48),--ISNUMBER('Данные 2st'!$MB$2:$MB$317))</f>
        <v>3</v>
      </c>
      <c r="QR48">
        <f>SUMPRODUCT(--('Данные 2st'!$Q$2:$Q$317=$A48),--ISNUMBER('Данные 2st'!$MG$2:$MG$317))</f>
        <v>2</v>
      </c>
      <c r="QS48">
        <f>SUMPRODUCT(--('Данные 2st'!$Q$2:$Q$317=$A48),--ISNUMBER('Данные 2st'!$MH$2:$MH$317))</f>
        <v>2</v>
      </c>
      <c r="QT48">
        <f>SUMPRODUCT(--('Данные 2st'!$Q$2:$Q$317=$A48),--ISNUMBER('Данные 2st'!$MI$2:$MI$317))</f>
        <v>3</v>
      </c>
      <c r="QU48">
        <f>SUMPRODUCT(--('Данные 2st'!$Q$2:$Q$317=$A48),--ISNUMBER('Данные 2st'!$MJ$2:$MJ$317))</f>
        <v>3</v>
      </c>
      <c r="QV48">
        <f>SUMPRODUCT(--('Данные 2st'!$Q$2:$Q$317=$A48),--ISNUMBER('Данные 2st'!$MK$2:$MK$317))</f>
        <v>2</v>
      </c>
      <c r="QW48">
        <f>SUMPRODUCT(--('Данные 2st'!$Q$2:$Q$317=$A48),--ISNUMBER('Данные 2st'!$MM$2:$MM$317))</f>
        <v>3</v>
      </c>
      <c r="QX48">
        <f>SUMPRODUCT(--('Данные 2st'!$Q$2:$Q$317=$A48),--ISNUMBER('Данные 2st'!$MQ$2:$MQ$317))</f>
        <v>0</v>
      </c>
      <c r="QY48">
        <f>SUMPRODUCT(--('Данные 2st'!$Q$2:$Q$317=$A48),--ISNUMBER('Данные 2st'!$MR$2:$MR$317))</f>
        <v>0</v>
      </c>
      <c r="QZ48">
        <f>SUMPRODUCT(--('Данные 2st'!$Q$2:$Q$317=$A48),--ISNUMBER('Данные 2st'!$MS$2:$MS$317))</f>
        <v>0</v>
      </c>
      <c r="RA48">
        <f>SUMPRODUCT(--('Данные 2st'!$Q$2:$Q$317=$A48),--ISNUMBER('Данные 2st'!$MT$2:$MT$317))</f>
        <v>0</v>
      </c>
      <c r="RB48">
        <f>SUMPRODUCT(--('Данные 2st'!$Q$2:$Q$317=$A48),--ISNUMBER('Данные 2st'!$MU$2:$MU$317))</f>
        <v>0</v>
      </c>
      <c r="RC48">
        <f>SUMPRODUCT(--('Данные 2st'!$Q$2:$Q$317=$A48),--ISNUMBER('Данные 2st'!$MV$2:$MV$317))</f>
        <v>0</v>
      </c>
      <c r="RD48">
        <f>SUMPRODUCT(--('Данные 2st'!$Q$2:$Q$317=$A48),--ISNUMBER('Данные 2st'!$MW$2:$MW$317))</f>
        <v>0</v>
      </c>
      <c r="RE48">
        <f>SUMPRODUCT(--('Данные 2st'!$Q$2:$Q$317=$A48),--ISNUMBER('Данные 2st'!$MX$2:$MX$317))</f>
        <v>0</v>
      </c>
      <c r="RF48">
        <f>SUMPRODUCT(--('Данные 2st'!$Q$2:$Q$317=$A48),--ISNUMBER('Данные 2st'!$MY$2:$MY$317))</f>
        <v>0</v>
      </c>
      <c r="RG48">
        <f>SUMPRODUCT(--('Данные 2st'!$Q$2:$Q$317=$A48),--ISNUMBER('Данные 2st'!$MZ$2:$MZ$317))</f>
        <v>0</v>
      </c>
      <c r="RH48">
        <f>SUMPRODUCT(--('Данные 2st'!$Q$2:$Q$317=$A48),--ISNUMBER('Данные 2st'!$NA$2:$NA$317))</f>
        <v>0</v>
      </c>
      <c r="RI48">
        <f>SUMPRODUCT(--('Данные 2st'!$Q$2:$Q$317=$A48),--ISNUMBER('Данные 2st'!$NB$2:$NB$317))</f>
        <v>0</v>
      </c>
      <c r="RJ48">
        <f>SUMPRODUCT(--('Данные 2st'!$Q$2:$Q$317=$A48),--ISNUMBER('Данные 2st'!$NC$2:$NC$317))</f>
        <v>0</v>
      </c>
      <c r="RK48">
        <f>SUMPRODUCT(--('Данные 2st'!$Q$2:$Q$317=$A48),--ISNUMBER('Данные 2st'!$ND$2:$ND$317))</f>
        <v>0</v>
      </c>
      <c r="RL48">
        <f>SUMPRODUCT(--('Данные 2st'!$Q$2:$Q$317=$A48),--ISNUMBER('Данные 2st'!$NE$2:$NE$317))</f>
        <v>0</v>
      </c>
      <c r="RM48">
        <f>SUMPRODUCT(--('Данные 2st'!$Q$2:$Q$317=$A48),--ISNUMBER('Данные 2st'!$NF$2:$NF$317))</f>
        <v>0</v>
      </c>
      <c r="RN48">
        <f>SUMPRODUCT(--('Данные 2st'!$Q$2:$Q$317=$A48),--ISNUMBER('Данные 2st'!$NG$2:$NG$317))</f>
        <v>0</v>
      </c>
      <c r="RO48">
        <f>SUMPRODUCT(--('Данные 2st'!$Q$2:$Q$317=$A48),--ISNUMBER('Данные 2st'!$NH$2:$NH$317))</f>
        <v>0</v>
      </c>
      <c r="RP48">
        <f>SUMPRODUCT(--('Данные 2st'!$Q$2:$Q$317=$A48),--ISNUMBER('Данные 2st'!$NJ$2:$NJ$317))</f>
        <v>0</v>
      </c>
      <c r="RQ48">
        <f>SUMPRODUCT(--('Данные 2st'!$Q$2:$Q$317=$A48),--ISNUMBER('Данные 2st'!$NK$2:$NK$317))</f>
        <v>0</v>
      </c>
      <c r="RR48">
        <f>SUMPRODUCT(--('Данные 2st'!$Q$2:$Q$317=$A48),--ISNUMBER('Данные 2st'!$NM$2:$NM$317))</f>
        <v>0</v>
      </c>
      <c r="RS48">
        <f>SUMPRODUCT(--('Данные 2st'!$Q$2:$Q$317=$A48),--ISNUMBER('Данные 2st'!$NN$2:$NN$317))</f>
        <v>0</v>
      </c>
      <c r="RT48">
        <f>SUMPRODUCT(--('Данные 2st'!$Q$2:$Q$317=$A48),--ISNUMBER('Данные 2st'!$NO$2:$NO$317))</f>
        <v>0</v>
      </c>
      <c r="RU48">
        <f>SUMPRODUCT(--('Данные 2st'!$Q$2:$Q$317=$A48),--ISNUMBER('Данные 2st'!$NP$2:$NP$317))</f>
        <v>0</v>
      </c>
      <c r="RV48">
        <f>SUMPRODUCT(--('Данные 2st'!$Q$2:$Q$317=$A48),--ISNUMBER('Данные 2st'!$NQ$2:$NQ$317))</f>
        <v>0</v>
      </c>
      <c r="RW48">
        <f>SUMPRODUCT(--('Данные 2st'!$Q$2:$Q$317=$A48),--ISNUMBER('Данные 2st'!$NR$2:$NR$317))</f>
        <v>0</v>
      </c>
      <c r="RX48">
        <f>SUMPRODUCT(--('Данные 2st'!$Q$2:$Q$317=$A48),--ISNUMBER('Данные 2st'!$NS$2:$NS$317))</f>
        <v>0</v>
      </c>
      <c r="RY48">
        <f>SUMPRODUCT(--('Данные 2st'!$Q$2:$Q$317=$A48),--ISNUMBER('Данные 2st'!$NT$2:$NT$317))</f>
        <v>0</v>
      </c>
      <c r="RZ48">
        <f>SUMPRODUCT(--('Данные 2st'!$Q$2:$Q$317=$A48),--ISNUMBER('Данные 2st'!$OK$2:$OK$317))</f>
        <v>3</v>
      </c>
      <c r="SA48">
        <f>SUMPRODUCT(--('Данные 2st'!$Q$2:$Q$317=$A48),--ISNUMBER('Данные 2st'!$OL$2:$OL$317))</f>
        <v>3</v>
      </c>
      <c r="SB48">
        <f>SUMPRODUCT(--('Данные 2st'!$Q$2:$Q$317=$A48),--ISNUMBER('Данные 2st'!$ON$2:$ON$317))</f>
        <v>3</v>
      </c>
      <c r="SC48">
        <f>SUMPRODUCT(--('Данные 2st'!$Q$2:$Q$317=$A48),--ISNUMBER('Данные 2st'!$OO$2:$OO$317))</f>
        <v>3</v>
      </c>
      <c r="SD48">
        <f>SUMPRODUCT(--('Данные 2st'!$Q$2:$Q$317=$A48),--ISNUMBER('Данные 2st'!$OP$2:$OP$317))</f>
        <v>3</v>
      </c>
      <c r="SE48">
        <f>SUMPRODUCT(--('Данные 2st'!$Q$2:$Q$317=$A48),--ISNUMBER('Данные 2st'!$OQ$2:$OQ$317))</f>
        <v>3</v>
      </c>
      <c r="SF48">
        <f>SUMPRODUCT(--('Данные 2st'!$Q$2:$Q$317=$A48),--ISNUMBER('Данные 2st'!$OS$2:$OS$317))</f>
        <v>3</v>
      </c>
      <c r="SG48">
        <f>SUMPRODUCT(--('Данные 2st'!$Q$2:$Q$317=$A48),--ISNUMBER('Данные 2st'!$OT$2:$OT$317))</f>
        <v>3</v>
      </c>
      <c r="SH48">
        <f>SUMPRODUCT(--('Данные 2st'!$Q$2:$Q$317=$A48),--ISNUMBER('Данные 2st'!$OU$2:$OU$317))</f>
        <v>3</v>
      </c>
      <c r="SI48">
        <f>SUMPRODUCT(--('Данные 2st'!$Q$2:$Q$317=$A48),--ISNUMBER('Данные 2st'!$OV$2:$OV$317))</f>
        <v>3</v>
      </c>
      <c r="SJ48">
        <f>SUMPRODUCT(--('Данные 2st'!$Q$2:$Q$317=$A48),--ISNUMBER('Данные 2st'!$OX$2:$OX$317))</f>
        <v>3</v>
      </c>
      <c r="SK48">
        <f>SUMPRODUCT(--('Данные 2st'!$Q$2:$Q$317=$A48),--ISNUMBER('Данные 2st'!$OY$2:$OY$317))</f>
        <v>3</v>
      </c>
      <c r="SL48">
        <f>SUMPRODUCT(--('Данные 2st'!$Q$2:$Q$317=$A48),--ISNUMBER('Данные 2st'!$OZ$2:$OZ$317))</f>
        <v>3</v>
      </c>
      <c r="SM48">
        <f>SUMPRODUCT(--('Данные 2st'!$Q$2:$Q$317=$A48),--ISNUMBER('Данные 2st'!$PA$2:$PA$317))</f>
        <v>3</v>
      </c>
      <c r="SN48">
        <f>SUMPRODUCT(--('Данные 2st'!$Q$2:$Q$317=$A48),--ISNUMBER('Данные 2st'!$PC$2:$PC$317))</f>
        <v>3</v>
      </c>
      <c r="SO48">
        <f>SUMPRODUCT(--('Данные 2st'!$Q$2:$Q$317=$A48),--ISNUMBER('Данные 2st'!$PD$2:$PD$317))</f>
        <v>3</v>
      </c>
      <c r="SP48">
        <f>SUMPRODUCT(--('Данные 2st'!$Q$2:$Q$317=$A48),--ISNUMBER('Данные 2st'!$PF$2:$PF$317))</f>
        <v>3</v>
      </c>
      <c r="SQ48">
        <f>SUMPRODUCT(--('Данные 2st'!$Q$2:$Q$317=$A48),--ISNUMBER('Данные 2st'!$PG$2:$PG$317))</f>
        <v>3</v>
      </c>
      <c r="SR48">
        <f>SUMPRODUCT(--('Данные 2st'!$Q$2:$Q$317=$A48),--ISNUMBER('Данные 2st'!$PH$2:$PH$317))</f>
        <v>3</v>
      </c>
      <c r="SS48">
        <f>SUMPRODUCT(--('Данные 2st'!$Q$2:$Q$317=$A48),--ISNUMBER('Данные 2st'!$PI$2:$PI$317))</f>
        <v>3</v>
      </c>
      <c r="ST48">
        <f>SUMPRODUCT(--('Данные 2st'!$Q$2:$Q$317=$A48),--ISNUMBER('Данные 2st'!$PJ$2:$PJ$317))</f>
        <v>3</v>
      </c>
      <c r="SU48">
        <f>SUMPRODUCT(--('Данные 2st'!$Q$2:$Q$317=$A48),--ISNUMBER('Данные 2st'!$PK$2:$PK$317))</f>
        <v>3</v>
      </c>
      <c r="SV48">
        <f>SUMPRODUCT(--('Данные 2st'!$Q$2:$Q$317=$A48),--ISNUMBER('Данные 2st'!$PL$2:$PL$317))</f>
        <v>3</v>
      </c>
      <c r="SW48">
        <f>SUMPRODUCT(--('Данные 2st'!$Q$2:$Q$317=$A48),--ISNUMBER('Данные 2st'!$PM$2:$PM$317))</f>
        <v>3</v>
      </c>
      <c r="SX48">
        <f>SUMPRODUCT(--('Данные 2st'!$Q$2:$Q$317=$A48),--ISNUMBER('Данные 2st'!$PN$2:$PN$317))</f>
        <v>3</v>
      </c>
      <c r="SY48">
        <f>SUMPRODUCT(--('Данные 2st'!$Q$2:$Q$317=$A48),--ISNUMBER('Данные 2st'!$PO$2:$PO$317))</f>
        <v>3</v>
      </c>
      <c r="SZ48">
        <f>SUMPRODUCT(--('Данные 2st'!$Q$2:$Q$317=$A48),--ISNUMBER('Данные 2st'!$PP$2:$PP$317))</f>
        <v>3</v>
      </c>
      <c r="TA48">
        <f>SUMPRODUCT(--('Данные 2st'!$Q$2:$Q$317=$A48),--ISNUMBER('Данные 2st'!$PQ$2:$PQ$317))</f>
        <v>3</v>
      </c>
      <c r="TB48">
        <f>SUMPRODUCT(--('Данные 2st'!$Q$2:$Q$317=$A48),--ISNUMBER('Данные 2st'!$PR$2:$PR$317))</f>
        <v>3</v>
      </c>
      <c r="TC48">
        <f>SUMPRODUCT(--('Данные 2st'!$Q$2:$Q$317=$A48),--ISNUMBER('Данные 2st'!$PS$2:$PS$317))</f>
        <v>3</v>
      </c>
      <c r="TD48">
        <f>SUMPRODUCT(--('Данные 2st'!$Q$2:$Q$317=$A48),--ISNUMBER('Данные 2st'!$PT$2:$PT$317))</f>
        <v>3</v>
      </c>
      <c r="TE48">
        <f>SUMPRODUCT(--('Данные 2st'!$Q$2:$Q$317=$A48),--ISNUMBER('Данные 2st'!$PU$2:$PU$317))</f>
        <v>3</v>
      </c>
      <c r="TF48">
        <f>SUMPRODUCT(--('Данные 2st'!$Q$2:$Q$317=$A48),--ISNUMBER('Данные 2st'!$PX$2:$PX$317))</f>
        <v>3</v>
      </c>
      <c r="TG48">
        <f>SUMPRODUCT(--('Данные 2st'!$Q$2:$Q$317=$A48),--ISNUMBER('Данные 2st'!$PY$2:$PY$317))</f>
        <v>3</v>
      </c>
      <c r="TH48">
        <f>SUMPRODUCT(--('Данные 2st'!$Q$2:$Q$317=$A48),--ISNUMBER('Данные 2st'!$PZ$2:$PZ$317))</f>
        <v>3</v>
      </c>
      <c r="TI48">
        <f>SUMPRODUCT(--('Данные 2st'!$Q$2:$Q$317=$A48),--ISNUMBER('Данные 2st'!$QA$2:$QA$317))</f>
        <v>3</v>
      </c>
      <c r="TJ48">
        <f>SUMPRODUCT(--('Данные 2st'!$Q$2:$Q$317=$A48),--ISNUMBER('Данные 2st'!$QB$2:$QB$317))</f>
        <v>3</v>
      </c>
      <c r="TK48">
        <f>SUMPRODUCT(--('Данные 2st'!$Q$2:$Q$317=$A48),--ISNUMBER('Данные 2st'!$QC$2:$QC$317))</f>
        <v>3</v>
      </c>
      <c r="TL48">
        <f>SUMPRODUCT(--('Данные 2st'!$Q$2:$Q$317=$A48),--ISNUMBER('Данные 2st'!$QD$2:$QD$317))</f>
        <v>3</v>
      </c>
      <c r="TM48">
        <f>SUMPRODUCT(--('Данные 2st'!$Q$2:$Q$317=$A48),--ISNUMBER('Данные 2st'!$QE$2:$QE$317))</f>
        <v>3</v>
      </c>
      <c r="TN48">
        <f>SUMPRODUCT(--('Данные 2st'!$Q$2:$Q$317=$A48),--ISNUMBER('Данные 2st'!$QF$2:$QF$317))</f>
        <v>3</v>
      </c>
      <c r="TO48">
        <f>SUMPRODUCT(--('Данные 2st'!$Q$2:$Q$317=$A48),--ISNUMBER('Данные 2st'!$QG$2:$QG$317))</f>
        <v>3</v>
      </c>
      <c r="TP48">
        <f>SUMPRODUCT(--('Данные 2st'!$Q$2:$Q$317=$A48),--ISNUMBER('Данные 2st'!$QH$2:$QH$317))</f>
        <v>3</v>
      </c>
      <c r="TQ48">
        <f>SUMPRODUCT(--('Данные 2st'!$Q$2:$Q$317=$A48),--ISNUMBER('Данные 2st'!$QI$2:$QI$317))</f>
        <v>3</v>
      </c>
      <c r="TR48">
        <f>SUMPRODUCT(--('Данные 2st'!$Q$2:$Q$317=$A48),--ISNUMBER('Данные 2st'!$QJ$2:$QJ$317))</f>
        <v>3</v>
      </c>
      <c r="TS48">
        <f>SUMPRODUCT(--('Данные 2st'!$Q$2:$Q$317=$A48),--ISNUMBER('Данные 2st'!$QK$2:$QK$317))</f>
        <v>3</v>
      </c>
      <c r="TT48">
        <f>SUMPRODUCT(--('Данные 2st'!$Q$2:$Q$317=$A48),--ISNUMBER('Данные 2st'!$QL$2:$QL$317))</f>
        <v>3</v>
      </c>
      <c r="TU48">
        <f>SUMPRODUCT(--('Данные 2st'!$Q$2:$Q$317=$A48),--ISNUMBER('Данные 2st'!$QM$2:$QM$317))</f>
        <v>3</v>
      </c>
      <c r="TV48">
        <f>SUMPRODUCT(--('Данные 2st'!$Q$2:$Q$317=$A48),--ISNUMBER('Данные 2st'!$QN$2:$QN$317))</f>
        <v>3</v>
      </c>
      <c r="TW48">
        <f>SUMPRODUCT(--('Данные 2st'!$Q$2:$Q$317=$A48),--ISNUMBER('Данные 2st'!$QQ$2:$QQ$317))</f>
        <v>3</v>
      </c>
      <c r="TX48">
        <f>SUMPRODUCT(--('Данные 2st'!$Q$2:$Q$317=$A48),--ISNUMBER('Данные 2st'!$QS$2:$QS$317))</f>
        <v>3</v>
      </c>
      <c r="TY48">
        <f>SUMPRODUCT(--('Данные 2st'!$Q$2:$Q$317=$A48),--ISNUMBER('Данные 2st'!$QT$2:$QT$317))</f>
        <v>3</v>
      </c>
    </row>
    <row r="49" spans="1:545" ht="32" customHeight="1">
      <c r="A49" s="11" t="str">
        <f>'По размерам'!A49</f>
        <v>235/55R19</v>
      </c>
      <c r="G49">
        <f>SUMPRODUCT(--('Данные 1st'!$S$2:$S$317=$A49),--ISNUMBER('Данные 1st'!$AE$2:$AE$317))</f>
        <v>7</v>
      </c>
      <c r="H49">
        <f>SUMPRODUCT(--('Данные 1st'!$S$2:$S$317=$A49),--ISNUMBER('Данные 1st'!$AF$2:$AF$317))</f>
        <v>7</v>
      </c>
      <c r="I49">
        <f>SUMPRODUCT(--('Данные 1st'!$S$2:$S$317=$A49),--ISNUMBER('Данные 1st'!$AJ$2:$AJ$317))</f>
        <v>7</v>
      </c>
      <c r="J49">
        <f>SUMPRODUCT(--('Данные 1st'!$S$2:$S$317=$A49),--ISNUMBER('Данные 1st'!$AL$2:$AL$317))</f>
        <v>7</v>
      </c>
      <c r="K49">
        <f>SUMPRODUCT(--('Данные 1st'!$S$2:$S$317=$A49),--ISNUMBER('Данные 1st'!$AR$2:$AR$317))</f>
        <v>7</v>
      </c>
      <c r="L49">
        <f>SUMPRODUCT(--('Данные 1st'!$S$2:$S$317=$A49),--ISNUMBER('Данные 1st'!$AS$2:$AS$317))</f>
        <v>7</v>
      </c>
      <c r="M49">
        <f>SUMPRODUCT(--('Данные 1st'!$S$2:$S$317=$A49),--ISNUMBER('Данные 1st'!$AY$2:$AY$317))</f>
        <v>7</v>
      </c>
      <c r="N49">
        <f>SUMPRODUCT(--('Данные 1st'!$S$2:$S$317=$A49),--ISNUMBER('Данные 1st'!$AZ$2:$AZ$317))</f>
        <v>7</v>
      </c>
      <c r="O49">
        <f>SUMPRODUCT(--('Данные 1st'!$S$2:$S$317=$A49),--ISNUMBER('Данные 1st'!$BF$2:$BF$317))</f>
        <v>5</v>
      </c>
      <c r="P49">
        <f>SUMPRODUCT(--('Данные 1st'!$S$2:$S$317=$A49),--ISNUMBER('Данные 1st'!$BG$2:$BG$317))</f>
        <v>7</v>
      </c>
      <c r="Q49">
        <f>SUMPRODUCT(--('Данные 1st'!$S$2:$S$317=$A49),--ISNUMBER('Данные 1st'!$BM$2:$BM$317))</f>
        <v>0</v>
      </c>
      <c r="R49">
        <f>SUMPRODUCT(--('Данные 1st'!$S$2:$S$317=$A49),--ISNUMBER('Данные 1st'!$BN$2:$BN$317))</f>
        <v>7</v>
      </c>
      <c r="S49">
        <f>SUMPRODUCT(--('Данные 1st'!$S$2:$S$317=$A49),--ISNUMBER('Данные 1st'!$BT$2:$BT$317))</f>
        <v>7</v>
      </c>
      <c r="T49">
        <f>SUMPRODUCT(--('Данные 1st'!$S$2:$S$317=$A49),--ISNUMBER('Данные 1st'!$BU$2:$BU$317))</f>
        <v>7</v>
      </c>
      <c r="U49">
        <f>SUMPRODUCT(--('Данные 1st'!$S$2:$S$317=$A49),--ISNUMBER('Данные 1st'!$BW$2:$BW$317))</f>
        <v>7</v>
      </c>
      <c r="V49">
        <f>SUMPRODUCT(--('Данные 1st'!$S$2:$S$317=$A49),--ISNUMBER('Данные 1st'!$BX$2:$BX$317))</f>
        <v>7</v>
      </c>
      <c r="W49">
        <f>SUMPRODUCT(--('Данные 1st'!$S$2:$S$317=$A49),--ISNUMBER('Данные 1st'!$BZ$2:$BZ$317))</f>
        <v>7</v>
      </c>
      <c r="X49">
        <f>SUMPRODUCT(--('Данные 1st'!$S$2:$S$317=$A49),--ISNUMBER('Данные 1st'!$CA$2:$CA$317))</f>
        <v>7</v>
      </c>
      <c r="Y49">
        <f>SUMPRODUCT(--('Данные 1st'!$S$2:$S$317=$A49),--ISNUMBER('Данные 1st'!$CD$2:$CD$317))</f>
        <v>7</v>
      </c>
      <c r="Z49">
        <f>SUMPRODUCT(--('Данные 1st'!$S$2:$S$317=$A49),--ISNUMBER('Данные 1st'!$CF$2:$CF$317))</f>
        <v>7</v>
      </c>
      <c r="AA49">
        <f>SUMPRODUCT(--('Данные 1st'!$S$2:$S$317=$A49),--ISNUMBER('Данные 1st'!$CI$2:$CI$317))</f>
        <v>7</v>
      </c>
      <c r="AB49">
        <f>SUMPRODUCT(--('Данные 1st'!$S$2:$S$317=$A49),--ISNUMBER('Данные 1st'!$CJ$2:$CJ$317))</f>
        <v>7</v>
      </c>
      <c r="AC49">
        <f>SUMPRODUCT(--('Данные 1st'!$S$2:$S$317=$A49),--ISNUMBER('Данные 1st'!$CK$2:$CK$317))</f>
        <v>7</v>
      </c>
      <c r="AD49">
        <f>SUMPRODUCT(--('Данные 1st'!$S$2:$S$317=$A49),--ISNUMBER('Данные 1st'!$CL$2:$CL$317))</f>
        <v>7</v>
      </c>
      <c r="AE49">
        <f>SUMPRODUCT(--('Данные 1st'!$S$2:$S$317=$A49),--ISNUMBER('Данные 1st'!$CM$2:$CM$317))</f>
        <v>7</v>
      </c>
      <c r="AF49">
        <f>SUMPRODUCT(--('Данные 1st'!$S$2:$S$317=$A49),--ISNUMBER('Данные 1st'!$CT$2:$CT$317))</f>
        <v>7</v>
      </c>
      <c r="AG49">
        <f>SUMPRODUCT(--('Данные 1st'!$S$2:$S$317=$A49),--ISNUMBER('Данные 1st'!$CU$2:$CU$317))</f>
        <v>7</v>
      </c>
      <c r="AH49">
        <f>SUMPRODUCT(--('Данные 1st'!$S$2:$S$317=$A49),--ISNUMBER('Данные 1st'!$CV$2:$CV$317))</f>
        <v>7</v>
      </c>
      <c r="AI49">
        <f>SUMPRODUCT(--('Данные 1st'!$S$2:$S$317=$A49),--ISNUMBER('Данные 1st'!$CW$2:$CW$317))</f>
        <v>7</v>
      </c>
      <c r="AJ49">
        <f>SUMPRODUCT(--('Данные 1st'!$S$2:$S$317=$A49),--ISNUMBER('Данные 1st'!$CX$2:$CX$317))</f>
        <v>7</v>
      </c>
      <c r="AK49">
        <f>SUMPRODUCT(--('Данные 1st'!$S$2:$S$317=$A49),--ISNUMBER('Данные 1st'!$CZ$2:$CZ$317))</f>
        <v>7</v>
      </c>
      <c r="AL49">
        <f>SUMPRODUCT(--('Данные 1st'!$S$2:$S$317=$A49),--ISNUMBER('Данные 1st'!$DA$2:$DA$317))</f>
        <v>7</v>
      </c>
      <c r="AM49">
        <f>SUMPRODUCT(--('Данные 1st'!$S$2:$S$317=$A49),--ISNUMBER('Данные 1st'!$DB$2:$DB$317))</f>
        <v>7</v>
      </c>
      <c r="AN49">
        <f>SUMPRODUCT(--('Данные 1st'!$S$2:$S$317=$A49),--ISNUMBER('Данные 1st'!$DC$2:$DC$317))</f>
        <v>7</v>
      </c>
      <c r="AO49">
        <f>SUMPRODUCT(--('Данные 1st'!$S$2:$S$317=$A49),--ISNUMBER('Данные 1st'!$DD$2:$DD$317))</f>
        <v>7</v>
      </c>
      <c r="AP49">
        <f>SUMPRODUCT(--('Данные 1st'!$S$2:$S$317=$A49),--ISNUMBER('Данные 1st'!$DF$2:$DF$317))</f>
        <v>7</v>
      </c>
      <c r="AQ49">
        <f>SUMPRODUCT(--('Данные 1st'!$S$2:$S$317=$A49),--ISNUMBER('Данные 1st'!$DG$2:$DG$317))</f>
        <v>7</v>
      </c>
      <c r="AR49">
        <f>SUMPRODUCT(--('Данные 1st'!$S$2:$S$317=$A49),--ISNUMBER('Данные 1st'!$DH$2:$DH$317))</f>
        <v>7</v>
      </c>
      <c r="AS49">
        <f>SUMPRODUCT(--('Данные 1st'!$S$2:$S$317=$A49),--ISNUMBER('Данные 1st'!$DI$2:$DI$317))</f>
        <v>7</v>
      </c>
      <c r="AT49">
        <f>SUMPRODUCT(--('Данные 1st'!$S$2:$S$317=$A49),--ISNUMBER('Данные 1st'!$DJ$2:$DJ$317))</f>
        <v>7</v>
      </c>
      <c r="AU49">
        <f>SUMPRODUCT(--('Данные 1st'!$S$2:$S$317=$A49),--ISNUMBER('Данные 1st'!$DL$2:$DL$317))</f>
        <v>5</v>
      </c>
      <c r="AV49">
        <f>SUMPRODUCT(--('Данные 1st'!$S$2:$S$317=$A49),--ISNUMBER('Данные 1st'!$DM$2:$DM$317))</f>
        <v>5</v>
      </c>
      <c r="AW49">
        <f>SUMPRODUCT(--('Данные 1st'!$S$2:$S$317=$A49),--ISNUMBER('Данные 1st'!$DN$2:$DN$317))</f>
        <v>5</v>
      </c>
      <c r="AX49">
        <f>SUMPRODUCT(--('Данные 1st'!$S$2:$S$317=$A49),--ISNUMBER('Данные 1st'!$DO$2:$DO$317))</f>
        <v>5</v>
      </c>
      <c r="AY49">
        <f>SUMPRODUCT(--('Данные 1st'!$S$2:$S$317=$A49),--ISNUMBER('Данные 1st'!$DP$2:$DP$317))</f>
        <v>5</v>
      </c>
      <c r="AZ49">
        <f>SUMPRODUCT(--('Данные 1st'!$S$2:$S$317=$A49),--ISNUMBER('Данные 1st'!$DR$2:$DR$317))</f>
        <v>0</v>
      </c>
      <c r="BA49">
        <f>SUMPRODUCT(--('Данные 1st'!$S$2:$S$317=$A49),--ISNUMBER('Данные 1st'!$DS$2:$DS$317))</f>
        <v>0</v>
      </c>
      <c r="BB49">
        <f>SUMPRODUCT(--('Данные 1st'!$S$2:$S$317=$A49),--ISNUMBER('Данные 1st'!$DT$2:$DT$317))</f>
        <v>0</v>
      </c>
      <c r="BC49">
        <f>SUMPRODUCT(--('Данные 1st'!$S$2:$S$317=$A49),--ISNUMBER('Данные 1st'!$DU$2:$DU$317))</f>
        <v>0</v>
      </c>
      <c r="BD49">
        <f>SUMPRODUCT(--('Данные 1st'!$S$2:$S$317=$A49),--ISNUMBER('Данные 1st'!$DV$2:$DV$317))</f>
        <v>0</v>
      </c>
      <c r="BE49">
        <f>SUMPRODUCT(--('Данные 1st'!$S$2:$S$317=$A49),--ISNUMBER('Данные 1st'!$DX$2:$DX$317))</f>
        <v>7</v>
      </c>
      <c r="BF49">
        <f>SUMPRODUCT(--('Данные 1st'!$S$2:$S$317=$A49),--ISNUMBER('Данные 1st'!$EA$2:$EA$317))</f>
        <v>7</v>
      </c>
      <c r="BG49">
        <f>SUMPRODUCT(--('Данные 1st'!$S$2:$S$317=$A49),--ISNUMBER('Данные 1st'!$EB$2:$EB$317))</f>
        <v>7</v>
      </c>
      <c r="BH49">
        <f>SUMPRODUCT(--('Данные 1st'!$S$2:$S$317=$A49),--ISNUMBER('Данные 1st'!$ED$2:$ED$317))</f>
        <v>7</v>
      </c>
      <c r="BI49">
        <f>SUMPRODUCT(--('Данные 1st'!$S$2:$S$317=$A49),--ISNUMBER('Данные 1st'!$EE$2:$EE$317))</f>
        <v>7</v>
      </c>
      <c r="BJ49">
        <f>SUMPRODUCT(--('Данные 1st'!$S$2:$S$317=$A49),--ISNUMBER('Данные 1st'!$EG$2:$EG$317))</f>
        <v>7</v>
      </c>
      <c r="BK49">
        <f>SUMPRODUCT(--('Данные 1st'!$S$2:$S$317=$A49),--ISNUMBER('Данные 1st'!$EH$2:$EH$317))</f>
        <v>7</v>
      </c>
      <c r="BL49">
        <f>SUMPRODUCT(--('Данные 1st'!$S$2:$S$317=$A49),--ISNUMBER('Данные 1st'!$EJ$2:$EJ$317))</f>
        <v>7</v>
      </c>
      <c r="BM49">
        <f>SUMPRODUCT(--('Данные 1st'!$S$2:$S$317=$A49),--ISNUMBER('Данные 1st'!$EK$2:$EK$317))</f>
        <v>7</v>
      </c>
      <c r="BN49">
        <f>SUMPRODUCT(--('Данные 1st'!$S$2:$S$317=$A49),--ISNUMBER('Данные 1st'!$EN$2:$EN$317))</f>
        <v>7</v>
      </c>
      <c r="BO49">
        <f>SUMPRODUCT(--('Данные 1st'!$S$2:$S$317=$A49),--ISNUMBER('Данные 1st'!$EQ$2:$EQ$317))</f>
        <v>7</v>
      </c>
      <c r="BP49">
        <f>SUMPRODUCT(--('Данные 1st'!$S$2:$S$317=$A49),--ISNUMBER('Данные 1st'!$ER$2:$ER$317))</f>
        <v>7</v>
      </c>
      <c r="BQ49">
        <f>SUMPRODUCT(--('Данные 1st'!$S$2:$S$317=$A49),--ISNUMBER('Данные 1st'!$ES$2:$ES$317))</f>
        <v>7</v>
      </c>
      <c r="BR49">
        <f>SUMPRODUCT(--('Данные 1st'!$S$2:$S$317=$A49),--ISNUMBER('Данные 1st'!$ET$2:$ET$317))</f>
        <v>7</v>
      </c>
      <c r="BS49">
        <f>SUMPRODUCT(--('Данные 1st'!$S$2:$S$317=$A49),--ISNUMBER('Данные 1st'!$EU$2:$EU$317))</f>
        <v>7</v>
      </c>
      <c r="BT49">
        <f>SUMPRODUCT(--('Данные 1st'!$S$2:$S$317=$A49),--ISNUMBER('Данные 1st'!$EV$2:$EV$317))</f>
        <v>7</v>
      </c>
      <c r="BU49">
        <f>SUMPRODUCT(--('Данные 1st'!$S$2:$S$317=$A49),--ISNUMBER('Данные 1st'!$EX$2:$EX$317))</f>
        <v>7</v>
      </c>
      <c r="BV49">
        <f>SUMPRODUCT(--('Данные 1st'!$S$2:$S$317=$A49),--ISNUMBER('Данные 1st'!$EY$2:$EY$317))</f>
        <v>7</v>
      </c>
      <c r="BW49">
        <f>SUMPRODUCT(--('Данные 1st'!$S$2:$S$317=$A49),--ISNUMBER('Данные 1st'!$EZ$2:$EZ$317))</f>
        <v>7</v>
      </c>
      <c r="BX49">
        <f>SUMPRODUCT(--('Данные 1st'!$S$2:$S$317=$A49),--ISNUMBER('Данные 1st'!$FA$2:$FA$317))</f>
        <v>7</v>
      </c>
      <c r="BY49">
        <f>SUMPRODUCT(--('Данные 1st'!$S$2:$S$317=$A49),--ISNUMBER('Данные 1st'!$FB$2:$FB$317))</f>
        <v>7</v>
      </c>
      <c r="BZ49">
        <f>SUMPRODUCT(--('Данные 1st'!$S$2:$S$317=$A49),--ISNUMBER('Данные 1st'!$FC$2:$FC$317))</f>
        <v>7</v>
      </c>
      <c r="CA49">
        <f>SUMPRODUCT(--('Данные 1st'!$S$2:$S$317=$A49),--ISNUMBER('Данные 1st'!$FE$2:$FE$317))</f>
        <v>7</v>
      </c>
      <c r="CB49">
        <f>SUMPRODUCT(--('Данные 1st'!$S$2:$S$317=$A49),--ISNUMBER('Данные 1st'!$FF$2:$FF$317))</f>
        <v>7</v>
      </c>
      <c r="CC49">
        <f>SUMPRODUCT(--('Данные 1st'!$S$2:$S$317=$A49),--ISNUMBER('Данные 1st'!$FI$2:$FI$317))</f>
        <v>7</v>
      </c>
      <c r="CD49">
        <f>SUMPRODUCT(--('Данные 1st'!$S$2:$S$317=$A49),--ISNUMBER('Данные 1st'!$FL$2:$FL$317))</f>
        <v>7</v>
      </c>
      <c r="CE49">
        <f>SUMPRODUCT(--('Данные 1st'!$S$2:$S$317=$A49),--ISNUMBER('Данные 1st'!$FM$2:$FM$317))</f>
        <v>7</v>
      </c>
      <c r="CF49">
        <f>SUMPRODUCT(--('Данные 1st'!$S$2:$S$317=$A49),--ISNUMBER('Данные 1st'!$FN$2:$FN$317))</f>
        <v>7</v>
      </c>
      <c r="CG49">
        <f>SUMPRODUCT(--('Данные 1st'!$S$2:$S$317=$A49),--ISNUMBER('Данные 1st'!$FO$2:$FO$317))</f>
        <v>7</v>
      </c>
      <c r="CH49">
        <f>SUMPRODUCT(--('Данные 1st'!$S$2:$S$317=$A49),--ISNUMBER('Данные 1st'!$FP$2:$FP$317))</f>
        <v>7</v>
      </c>
      <c r="CI49">
        <f>SUMPRODUCT(--('Данные 1st'!$S$2:$S$317=$A49),--ISNUMBER('Данные 1st'!$FS$2:$FS$317))</f>
        <v>2</v>
      </c>
      <c r="CJ49">
        <f>SUMPRODUCT(--('Данные 1st'!$S$2:$S$317=$A49),--ISNUMBER('Данные 1st'!$FT$2:$FT$317))</f>
        <v>2</v>
      </c>
      <c r="CK49">
        <f>SUMPRODUCT(--('Данные 1st'!$S$2:$S$317=$A49),--ISNUMBER('Данные 1st'!$FU$2:$FU$317))</f>
        <v>2</v>
      </c>
      <c r="CL49">
        <f>SUMPRODUCT(--('Данные 1st'!$S$2:$S$317=$A49),--ISNUMBER('Данные 1st'!$FV$2:$FV$317))</f>
        <v>0</v>
      </c>
      <c r="CM49">
        <f>SUMPRODUCT(--('Данные 1st'!$S$2:$S$317=$A49),--ISNUMBER('Данные 1st'!$FW$2:$FW$317))</f>
        <v>0</v>
      </c>
      <c r="CN49">
        <f>SUMPRODUCT(--('Данные 1st'!$S$2:$S$317=$A49),--ISNUMBER('Данные 1st'!$FZ$2:$FZ$317))</f>
        <v>0</v>
      </c>
      <c r="CO49">
        <f>SUMPRODUCT(--('Данные 1st'!$S$2:$S$317=$A49),--ISNUMBER('Данные 1st'!$GA$2:$GA$317))</f>
        <v>0</v>
      </c>
      <c r="CP49">
        <f>SUMPRODUCT(--('Данные 1st'!$S$2:$S$317=$A49),--ISNUMBER('Данные 1st'!$GB$2:$GB$317))</f>
        <v>0</v>
      </c>
      <c r="CQ49">
        <f>SUMPRODUCT(--('Данные 1st'!$S$2:$S$317=$A49),--ISNUMBER('Данные 1st'!$GH$2:$GH$317))</f>
        <v>0</v>
      </c>
      <c r="CR49">
        <f>SUMPRODUCT(--('Данные 1st'!$S$2:$S$317=$A49),--ISNUMBER('Данные 1st'!$GI$2:$GI$317))</f>
        <v>0</v>
      </c>
      <c r="CS49">
        <f>SUMPRODUCT(--('Данные 1st'!$S$2:$S$317=$A49),--ISNUMBER('Данные 1st'!$GJ$2:$GJ$317))</f>
        <v>0</v>
      </c>
      <c r="CT49">
        <f>SUMPRODUCT(--('Данные 1st'!$S$2:$S$317=$A49),--ISNUMBER('Данные 1st'!$GS$2:$GS$317))</f>
        <v>5</v>
      </c>
      <c r="CU49">
        <f>SUMPRODUCT(--('Данные 1st'!$S$2:$S$317=$A49),--ISNUMBER('Данные 1st'!$GT$2:$GT$317))</f>
        <v>5</v>
      </c>
      <c r="CV49">
        <f>SUMPRODUCT(--('Данные 1st'!$S$2:$S$317=$A49),--ISNUMBER('Данные 1st'!$GU$2:$GU$317))</f>
        <v>5</v>
      </c>
      <c r="CW49">
        <f>SUMPRODUCT(--('Данные 1st'!$S$2:$S$317=$A49),--ISNUMBER('Данные 1st'!$GV$2:$GV$317))</f>
        <v>3</v>
      </c>
      <c r="CX49">
        <f>SUMPRODUCT(--('Данные 1st'!$S$2:$S$317=$A49),--ISNUMBER('Данные 1st'!$GW$2:$GW$317))</f>
        <v>3</v>
      </c>
      <c r="CY49">
        <f>SUMPRODUCT(--('Данные 1st'!$S$2:$S$317=$A49),--ISNUMBER('Данные 1st'!$GZ$2:$GZ$317))</f>
        <v>2</v>
      </c>
      <c r="CZ49">
        <f>SUMPRODUCT(--('Данные 1st'!$S$2:$S$317=$A49),--ISNUMBER('Данные 1st'!$HA$2:$HA$317))</f>
        <v>2</v>
      </c>
      <c r="DA49">
        <f>SUMPRODUCT(--('Данные 1st'!$S$2:$S$317=$A49),--ISNUMBER('Данные 1st'!$HB$2:$HB$317))</f>
        <v>2</v>
      </c>
      <c r="DB49">
        <f>SUMPRODUCT(--('Данные 1st'!$S$2:$S$317=$A49),--ISNUMBER('Данные 1st'!$HC$2:$HC$317))</f>
        <v>7</v>
      </c>
      <c r="DC49">
        <f>SUMPRODUCT(--('Данные 1st'!$S$2:$S$317=$A49),--ISNUMBER('Данные 1st'!$HD$2:$HD$317))</f>
        <v>7</v>
      </c>
      <c r="DD49">
        <f>SUMPRODUCT(--('Данные 1st'!$S$2:$S$317=$A49),--ISNUMBER('Данные 1st'!$HE$2:$HE$317))</f>
        <v>7</v>
      </c>
      <c r="DE49">
        <f>SUMPRODUCT(--('Данные 1st'!$S$2:$S$317=$A49),--ISNUMBER('Данные 1st'!$HF$2:$HF$317))</f>
        <v>7</v>
      </c>
      <c r="DF49">
        <f>SUMPRODUCT(--('Данные 1st'!$S$2:$S$317=$A49),--ISNUMBER('Данные 1st'!$HG$2:$HG$317))</f>
        <v>7</v>
      </c>
      <c r="DG49">
        <f>SUMPRODUCT(--('Данные 1st'!$S$2:$S$317=$A49),--ISNUMBER('Данные 1st'!$HH$2:$HH$317))</f>
        <v>7</v>
      </c>
      <c r="DH49">
        <f>SUMPRODUCT(--('Данные 1st'!$S$2:$S$317=$A49),--ISNUMBER('Данные 1st'!$HI$2:$HI$317))</f>
        <v>7</v>
      </c>
      <c r="DI49">
        <f>SUMPRODUCT(--('Данные 1st'!$S$2:$S$317=$A49),--ISNUMBER('Данные 1st'!$HJ$2:$HJ$317))</f>
        <v>7</v>
      </c>
      <c r="DJ49">
        <f>SUMPRODUCT(--('Данные 1st'!$S$2:$S$317=$A49),--ISNUMBER('Данные 1st'!$HK$2:$HK$317))</f>
        <v>7</v>
      </c>
      <c r="DK49">
        <f>SUMPRODUCT(--('Данные 1st'!$S$2:$S$317=$A49),--ISNUMBER('Данные 1st'!$HL$2:$HL$317))</f>
        <v>7</v>
      </c>
      <c r="DL49">
        <f>SUMPRODUCT(--('Данные 1st'!$S$2:$S$317=$A49),--ISNUMBER('Данные 1st'!$HM$2:$HM$317))</f>
        <v>7</v>
      </c>
      <c r="DM49">
        <f>SUMPRODUCT(--('Данные 1st'!$S$2:$S$317=$A49),--ISNUMBER('Данные 1st'!$HN$2:$HN$317))</f>
        <v>7</v>
      </c>
      <c r="DN49">
        <f>SUMPRODUCT(--('Данные 1st'!$S$2:$S$317=$A49),--ISNUMBER('Данные 1st'!$HO$2:$HO$317))</f>
        <v>7</v>
      </c>
      <c r="DO49">
        <f>SUMPRODUCT(--('Данные 1st'!$S$2:$S$317=$A49),--ISNUMBER('Данные 1st'!$HP$2:$HP$317))</f>
        <v>7</v>
      </c>
      <c r="DP49">
        <f>SUMPRODUCT(--('Данные 1st'!$S$2:$S$317=$A49),--ISNUMBER('Данные 1st'!$HQ$2:$HQ$317))</f>
        <v>7</v>
      </c>
      <c r="DQ49">
        <f>SUMPRODUCT(--('Данные 1st'!$S$2:$S$317=$A49),--ISNUMBER('Данные 1st'!$HR$2:$HR$317))</f>
        <v>7</v>
      </c>
      <c r="DR49">
        <f>SUMPRODUCT(--('Данные 1st'!$S$2:$S$317=$A49),--ISNUMBER('Данные 1st'!$HS$2:$HS$317))</f>
        <v>7</v>
      </c>
      <c r="DS49">
        <f>SUMPRODUCT(--('Данные 1st'!$S$2:$S$317=$A49),--ISNUMBER('Данные 1st'!$HT$2:$HT$317))</f>
        <v>7</v>
      </c>
      <c r="DT49">
        <f>SUMPRODUCT(--('Данные 1st'!$S$2:$S$317=$A49),--ISNUMBER('Данные 1st'!$HU$2:$HU$317))</f>
        <v>7</v>
      </c>
      <c r="DU49">
        <f>SUMPRODUCT(--('Данные 1st'!$S$2:$S$317=$A49),--ISNUMBER('Данные 1st'!$HW$2:$HW$317))</f>
        <v>7</v>
      </c>
      <c r="DV49">
        <f>SUMPRODUCT(--('Данные 1st'!$S$2:$S$317=$A49),--ISNUMBER('Данные 1st'!$HX$2:$HX$317))</f>
        <v>7</v>
      </c>
      <c r="DW49">
        <f>SUMPRODUCT(--('Данные 1st'!$S$2:$S$317=$A49),--ISNUMBER('Данные 1st'!$HY$2:$HY$317))</f>
        <v>7</v>
      </c>
      <c r="DX49">
        <f>SUMPRODUCT(--('Данные 1st'!$S$2:$S$317=$A49),--ISNUMBER('Данные 1st'!$IA$2:$IA$317))</f>
        <v>7</v>
      </c>
      <c r="DY49">
        <f>SUMPRODUCT(--('Данные 1st'!$S$2:$S$317=$A49),--ISNUMBER('Данные 1st'!$IB$2:$IB$317))</f>
        <v>7</v>
      </c>
      <c r="DZ49">
        <f>SUMPRODUCT(--('Данные 1st'!$S$2:$S$317=$A49),--ISNUMBER('Данные 1st'!$IC$2:$IC$317))</f>
        <v>7</v>
      </c>
      <c r="EA49">
        <f>SUMPRODUCT(--('Данные 1st'!$S$2:$S$317=$A49),--ISNUMBER('Данные 1st'!$ID$2:$ID$317))</f>
        <v>7</v>
      </c>
      <c r="EB49">
        <f>SUMPRODUCT(--('Данные 1st'!$S$2:$S$317=$A49),--ISNUMBER('Данные 1st'!$IE$2:$IE$317))</f>
        <v>7</v>
      </c>
      <c r="EC49">
        <f>SUMPRODUCT(--('Данные 1st'!$S$2:$S$317=$A49),--ISNUMBER('Данные 1st'!$IF$2:$IF$317))</f>
        <v>7</v>
      </c>
      <c r="ED49">
        <f>SUMPRODUCT(--('Данные 1st'!$S$2:$S$317=$A49),--ISNUMBER('Данные 1st'!$IP$2:$IP$317))</f>
        <v>7</v>
      </c>
      <c r="EE49">
        <f>SUMPRODUCT(--('Данные 1st'!$S$2:$S$317=$A49),--ISNUMBER('Данные 1st'!$IV$2:$IV$317))</f>
        <v>7</v>
      </c>
      <c r="EF49">
        <f>SUMPRODUCT(--('Данные 1st'!$S$2:$S$317=$A49),--ISNUMBER('Данные 1st'!$IW$2:$IW$317))</f>
        <v>7</v>
      </c>
      <c r="EG49">
        <f>SUMPRODUCT(--('Данные 1st'!$S$2:$S$317=$A49),--ISNUMBER('Данные 1st'!$IX$2:$IX$317))</f>
        <v>0</v>
      </c>
      <c r="EH49">
        <f>SUMPRODUCT(--('Данные 1st'!$S$2:$S$317=$A49),--ISNUMBER('Данные 1st'!$IY$2:$IY$317))</f>
        <v>1</v>
      </c>
      <c r="EI49">
        <f>SUMPRODUCT(--('Данные 1st'!$S$2:$S$317=$A49),--ISNUMBER('Данные 1st'!$JD$2:$JD$317))</f>
        <v>7</v>
      </c>
      <c r="EJ49">
        <f>SUMPRODUCT(--('Данные 1st'!$S$2:$S$317=$A49),--ISNUMBER('Данные 1st'!$JE$2:$JE$317))</f>
        <v>7</v>
      </c>
      <c r="EK49">
        <f>SUMPRODUCT(--('Данные 1st'!$S$2:$S$317=$A49),--ISNUMBER('Данные 1st'!$JF$2:$JF$317))</f>
        <v>7</v>
      </c>
      <c r="EL49">
        <f>SUMPRODUCT(--('Данные 1st'!$S$2:$S$317=$A49),--ISNUMBER('Данные 1st'!$JG$2:$JG$317))</f>
        <v>7</v>
      </c>
      <c r="EM49">
        <f>SUMPRODUCT(--('Данные 1st'!$S$2:$S$317=$A49),--ISNUMBER('Данные 1st'!$JH$2:$JH$317))</f>
        <v>7</v>
      </c>
      <c r="EN49">
        <f>SUMPRODUCT(--('Данные 1st'!$S$2:$S$317=$A49),--ISNUMBER('Данные 1st'!$JJ$2:$JJ$317))</f>
        <v>7</v>
      </c>
      <c r="EO49">
        <f>SUMPRODUCT(--('Данные 1st'!$S$2:$S$317=$A49),--ISNUMBER('Данные 1st'!$JK$2:$JK$317))</f>
        <v>7</v>
      </c>
      <c r="EP49">
        <f>SUMPRODUCT(--('Данные 1st'!$S$2:$S$317=$A49),--ISNUMBER('Данные 1st'!$JL$2:$JL$317))</f>
        <v>0</v>
      </c>
      <c r="EQ49">
        <f>SUMPRODUCT(--('Данные 1st'!$S$2:$S$317=$A49),--ISNUMBER('Данные 1st'!$JM$2:$JM$317))</f>
        <v>0</v>
      </c>
      <c r="ER49">
        <f>SUMPRODUCT(--('Данные 1st'!$S$2:$S$317=$A49),--ISNUMBER('Данные 1st'!$JN$2:$JN$317))</f>
        <v>7</v>
      </c>
      <c r="ES49">
        <f>SUMPRODUCT(--('Данные 1st'!$S$2:$S$317=$A49),--ISNUMBER('Данные 1st'!$JO$2:$JO$317))</f>
        <v>7</v>
      </c>
      <c r="ET49">
        <f>SUMPRODUCT(--('Данные 1st'!$S$2:$S$317=$A49),--ISNUMBER('Данные 1st'!$JP$2:$JP$317))</f>
        <v>7</v>
      </c>
      <c r="EU49">
        <f>SUMPRODUCT(--('Данные 1st'!$S$2:$S$317=$A49),--ISNUMBER('Данные 1st'!$JQ$2:$JQ$317))</f>
        <v>7</v>
      </c>
      <c r="EV49">
        <f>SUMPRODUCT(--('Данные 1st'!$S$2:$S$317=$A49),--ISNUMBER('Данные 1st'!$JR$2:$JR$317))</f>
        <v>7</v>
      </c>
      <c r="EW49">
        <f>SUMPRODUCT(--('Данные 1st'!$S$2:$S$317=$A49),--ISNUMBER('Данные 1st'!$JS$2:$JS$317))</f>
        <v>7</v>
      </c>
      <c r="EX49">
        <f>SUMPRODUCT(--('Данные 1st'!$S$2:$S$317=$A49),--ISNUMBER('Данные 1st'!$JT$2:$JT$317))</f>
        <v>0</v>
      </c>
      <c r="EY49">
        <f>SUMPRODUCT(--('Данные 1st'!$S$2:$S$317=$A49),--ISNUMBER('Данные 1st'!$JU$2:$JU$317))</f>
        <v>0</v>
      </c>
      <c r="EZ49">
        <f>SUMPRODUCT(--('Данные 1st'!$S$2:$S$317=$A49),--ISNUMBER('Данные 1st'!$JV$2:$JV$317))</f>
        <v>7</v>
      </c>
      <c r="FA49">
        <f>SUMPRODUCT(--('Данные 1st'!$S$2:$S$317=$A49),--ISNUMBER('Данные 1st'!$JW$2:$JW$317))</f>
        <v>0</v>
      </c>
      <c r="FB49">
        <f>SUMPRODUCT(--('Данные 1st'!$S$2:$S$317=$A49),--ISNUMBER('Данные 1st'!$JX$2:$JX$317))</f>
        <v>7</v>
      </c>
      <c r="FC49">
        <f>SUMPRODUCT(--('Данные 1st'!$S$2:$S$317=$A49),--ISNUMBER('Данные 1st'!$JY$2:$JY$317))</f>
        <v>0</v>
      </c>
      <c r="FD49">
        <f>SUMPRODUCT(--('Данные 1st'!$S$2:$S$317=$A49),--ISNUMBER('Данные 1st'!$JZ$2:$JZ$317))</f>
        <v>0</v>
      </c>
      <c r="FE49">
        <f>SUMPRODUCT(--('Данные 1st'!$S$2:$S$317=$A49),--ISNUMBER('Данные 1st'!$KA$2:$KA$317))</f>
        <v>7</v>
      </c>
      <c r="FF49">
        <f>SUMPRODUCT(--('Данные 1st'!$S$2:$S$317=$A49),--ISNUMBER('Данные 1st'!$KB$2:$KB$317))</f>
        <v>7</v>
      </c>
      <c r="FG49">
        <f>SUMPRODUCT(--('Данные 1st'!$S$2:$S$317=$A49),--ISNUMBER('Данные 1st'!$KC$2:$KC$317))</f>
        <v>7</v>
      </c>
      <c r="FH49">
        <f>SUMPRODUCT(--('Данные 1st'!$S$2:$S$317=$A49),--ISNUMBER('Данные 1st'!$KD$2:$KD$317))</f>
        <v>7</v>
      </c>
      <c r="FI49">
        <f>SUMPRODUCT(--('Данные 1st'!$S$2:$S$317=$A49),--ISNUMBER('Данные 1st'!$KE$2:$KE$317))</f>
        <v>0</v>
      </c>
      <c r="FJ49">
        <f>SUMPRODUCT(--('Данные 1st'!$S$2:$S$317=$A49),--ISNUMBER('Данные 1st'!$KF$2:$KF$317))</f>
        <v>7</v>
      </c>
      <c r="FK49">
        <f>SUMPRODUCT(--('Данные 1st'!$S$2:$S$317=$A49),--ISNUMBER('Данные 1st'!$KG$2:$KG$317))</f>
        <v>7</v>
      </c>
      <c r="FL49">
        <f>SUMPRODUCT(--('Данные 1st'!$S$2:$S$317=$A49),--ISNUMBER('Данные 1st'!$KH$2:$KH$317))</f>
        <v>7</v>
      </c>
      <c r="FM49">
        <f>SUMPRODUCT(--('Данные 1st'!$S$2:$S$317=$A49),--ISNUMBER('Данные 1st'!$KI$2:$KI$317))</f>
        <v>7</v>
      </c>
      <c r="FN49">
        <f>SUMPRODUCT(--('Данные 1st'!$S$2:$S$317=$A49),--ISNUMBER('Данные 1st'!$KJ$2:$KJ$317))</f>
        <v>7</v>
      </c>
      <c r="FO49">
        <f>SUMPRODUCT(--('Данные 1st'!$S$2:$S$317=$A49),--ISNUMBER('Данные 1st'!$KK$2:$KK$317))</f>
        <v>7</v>
      </c>
      <c r="FP49">
        <f>SUMPRODUCT(--('Данные 1st'!$S$2:$S$317=$A49),--ISNUMBER('Данные 1st'!$KL$2:$KL$317))</f>
        <v>7</v>
      </c>
      <c r="FQ49">
        <f>SUMPRODUCT(--('Данные 1st'!$S$2:$S$317=$A49),--ISNUMBER('Данные 1st'!$KM$2:$KM$317))</f>
        <v>7</v>
      </c>
      <c r="FR49">
        <f>SUMPRODUCT(--('Данные 1st'!$S$2:$S$317=$A49),--ISNUMBER('Данные 1st'!$KN$2:$KN$317))</f>
        <v>7</v>
      </c>
      <c r="FS49">
        <f>SUMPRODUCT(--('Данные 1st'!$S$2:$S$317=$A49),--ISNUMBER('Данные 1st'!$KR$2:$KR$317))</f>
        <v>7</v>
      </c>
      <c r="FT49">
        <f>SUMPRODUCT(--('Данные 1st'!$S$2:$S$317=$A49),--ISNUMBER('Данные 1st'!$KS$2:$KS$317))</f>
        <v>7</v>
      </c>
      <c r="FU49">
        <f>SUMPRODUCT(--('Данные 1st'!$S$2:$S$317=$A49),--ISNUMBER('Данные 1st'!$KT$2:$KT$317))</f>
        <v>7</v>
      </c>
      <c r="FV49">
        <f>SUMPRODUCT(--('Данные 1st'!$S$2:$S$317=$A49),--ISNUMBER('Данные 1st'!$KV$2:$KV$317))</f>
        <v>0</v>
      </c>
      <c r="FW49">
        <f>SUMPRODUCT(--('Данные 1st'!$S$2:$S$317=$A49),--ISNUMBER('Данные 1st'!$KW$2:$KW$317))</f>
        <v>0</v>
      </c>
      <c r="FX49">
        <f>SUMPRODUCT(--('Данные 1st'!$S$2:$S$317=$A49),--ISNUMBER('Данные 1st'!$KX$2:$KX$317))</f>
        <v>0</v>
      </c>
      <c r="FY49">
        <f>SUMPRODUCT(--('Данные 1st'!$S$2:$S$317=$A49),--ISNUMBER('Данные 1st'!$KY$2:$KY$317))</f>
        <v>0</v>
      </c>
      <c r="FZ49">
        <f>SUMPRODUCT(--('Данные 1st'!$S$2:$S$317=$A49),--ISNUMBER('Данные 1st'!$KZ$2:$KZ$317))</f>
        <v>0</v>
      </c>
      <c r="GA49">
        <f>SUMPRODUCT(--('Данные 1st'!$S$2:$S$317=$A49),--ISNUMBER('Данные 1st'!$LA$2:$LA$317))</f>
        <v>0</v>
      </c>
      <c r="GB49">
        <f>SUMPRODUCT(--('Данные 1st'!$S$2:$S$317=$A49),--ISNUMBER('Данные 1st'!$LB$2:$LB$317))</f>
        <v>0</v>
      </c>
      <c r="GC49">
        <f>SUMPRODUCT(--('Данные 1st'!$S$2:$S$317=$A49),--ISNUMBER('Данные 1st'!$LC$2:$LC$317))</f>
        <v>0</v>
      </c>
      <c r="GD49">
        <f>SUMPRODUCT(--('Данные 1st'!$S$2:$S$317=$A49),--ISNUMBER('Данные 1st'!$LD$2:$LD$317))</f>
        <v>0</v>
      </c>
      <c r="GE49">
        <f>SUMPRODUCT(--('Данные 1st'!$S$2:$S$317=$A49),--ISNUMBER('Данные 1st'!$LE$2:$LE$317))</f>
        <v>0</v>
      </c>
      <c r="GF49">
        <f>SUMPRODUCT(--('Данные 1st'!$S$2:$S$317=$A49),--ISNUMBER('Данные 1st'!$LF$2:$LF$317))</f>
        <v>0</v>
      </c>
      <c r="GG49">
        <f>SUMPRODUCT(--('Данные 1st'!$S$2:$S$317=$A49),--ISNUMBER('Данные 1st'!$LG$2:$LG$317))</f>
        <v>0</v>
      </c>
      <c r="GH49">
        <f>SUMPRODUCT(--('Данные 1st'!$S$2:$S$317=$A49),--ISNUMBER('Данные 1st'!$LH$2:$LH$317))</f>
        <v>0</v>
      </c>
      <c r="GI49">
        <f>SUMPRODUCT(--('Данные 1st'!$S$2:$S$317=$A49),--ISNUMBER('Данные 1st'!$LI$2:$LI$317))</f>
        <v>0</v>
      </c>
      <c r="GJ49">
        <f>SUMPRODUCT(--('Данные 1st'!$S$2:$S$317=$A49),--ISNUMBER('Данные 1st'!$LJ$2:$LJ$317))</f>
        <v>0</v>
      </c>
      <c r="GK49">
        <f>SUMPRODUCT(--('Данные 1st'!$S$2:$S$317=$A49),--ISNUMBER('Данные 1st'!$LK$2:$LK$317))</f>
        <v>7</v>
      </c>
      <c r="GL49">
        <f>SUMPRODUCT(--('Данные 1st'!$S$2:$S$317=$A49),--ISNUMBER('Данные 1st'!$LV$2:$LV$317))</f>
        <v>0</v>
      </c>
      <c r="GM49">
        <f>SUMPRODUCT(--('Данные 1st'!$S$2:$S$317=$A49),--ISNUMBER('Данные 1st'!$LW$2:$LW$317))</f>
        <v>0</v>
      </c>
      <c r="GN49">
        <f>SUMPRODUCT(--('Данные 1st'!$S$2:$S$317=$A49),--ISNUMBER('Данные 1st'!$LX$2:$LX$317))</f>
        <v>2</v>
      </c>
      <c r="GO49">
        <f>SUMPRODUCT(--('Данные 1st'!$S$2:$S$317=$A49),--ISNUMBER('Данные 1st'!$LY$2:$LY$317))</f>
        <v>1</v>
      </c>
      <c r="GP49">
        <f>SUMPRODUCT(--('Данные 1st'!$S$2:$S$317=$A49),--ISNUMBER('Данные 1st'!$LZ$2:$LZ$317))</f>
        <v>1</v>
      </c>
      <c r="GQ49">
        <f>SUMPRODUCT(--('Данные 1st'!$S$2:$S$317=$A49),--ISNUMBER('Данные 1st'!$PG$2:$PG$317))</f>
        <v>7</v>
      </c>
      <c r="GR49">
        <f>SUMPRODUCT(--('Данные 1st'!$S$2:$S$317=$A49),--ISNUMBER('Данные 1st'!$PX$2:$PX$317))</f>
        <v>7</v>
      </c>
      <c r="GS49">
        <f>SUMPRODUCT(--('Данные 1st'!$S$2:$S$317=$A49),--ISNUMBER('Данные 1st'!$PY$2:$PY$317))</f>
        <v>7</v>
      </c>
      <c r="GT49">
        <f>SUMPRODUCT(--('Данные 1st'!$S$2:$S$317=$A49),--ISNUMBER('Данные 1st'!$QA$2:$QA$317))</f>
        <v>7</v>
      </c>
      <c r="GU49">
        <f>SUMPRODUCT(--('Данные 1st'!$S$2:$S$317=$A49),--ISNUMBER('Данные 1st'!$QB$2:$QB$317))</f>
        <v>7</v>
      </c>
      <c r="GV49">
        <f>SUMPRODUCT(--('Данные 1st'!$S$2:$S$317=$A49),--ISNUMBER('Данные 1st'!$QC$2:$QC$317))</f>
        <v>7</v>
      </c>
      <c r="GW49">
        <f>SUMPRODUCT(--('Данные 1st'!$S$2:$S$317=$A49),--ISNUMBER('Данные 1st'!$QD$2:$QD$317))</f>
        <v>7</v>
      </c>
      <c r="GX49">
        <f>SUMPRODUCT(--('Данные 1st'!$S$2:$S$317=$A49),--ISNUMBER('Данные 1st'!$QF$2:$QF$317))</f>
        <v>7</v>
      </c>
      <c r="GY49">
        <f>SUMPRODUCT(--('Данные 1st'!$S$2:$S$317=$A49),--ISNUMBER('Данные 1st'!$QG$2:$QG$317))</f>
        <v>7</v>
      </c>
      <c r="GZ49">
        <f>SUMPRODUCT(--('Данные 1st'!$S$2:$S$317=$A49),--ISNUMBER('Данные 1st'!$QH$2:$QH$317))</f>
        <v>7</v>
      </c>
      <c r="HA49">
        <f>SUMPRODUCT(--('Данные 1st'!$S$2:$S$317=$A49),--ISNUMBER('Данные 1st'!$QI$2:$QI$317))</f>
        <v>7</v>
      </c>
      <c r="HB49">
        <f>SUMPRODUCT(--('Данные 1st'!$S$2:$S$317=$A49),--ISNUMBER('Данные 1st'!$QK$2:$QK$317))</f>
        <v>7</v>
      </c>
      <c r="HC49">
        <f>SUMPRODUCT(--('Данные 1st'!$S$2:$S$317=$A49),--ISNUMBER('Данные 1st'!$QL$2:$QL$317))</f>
        <v>7</v>
      </c>
      <c r="HD49">
        <f>SUMPRODUCT(--('Данные 1st'!$S$2:$S$317=$A49),--ISNUMBER('Данные 1st'!$QM$2:$QM$317))</f>
        <v>7</v>
      </c>
      <c r="HE49">
        <f>SUMPRODUCT(--('Данные 1st'!$S$2:$S$317=$A49),--ISNUMBER('Данные 1st'!$QN$2:$QN$317))</f>
        <v>7</v>
      </c>
      <c r="HF49">
        <f>SUMPRODUCT(--('Данные 1st'!$S$2:$S$317=$A49),--ISNUMBER('Данные 1st'!$QP$2:$QP$317))</f>
        <v>7</v>
      </c>
      <c r="HG49">
        <f>SUMPRODUCT(--('Данные 1st'!$S$2:$S$317=$A49),--ISNUMBER('Данные 1st'!$QQ$2:$QQ$317))</f>
        <v>7</v>
      </c>
      <c r="HH49">
        <f>SUMPRODUCT(--('Данные 1st'!$S$2:$S$317=$A49),--ISNUMBER('Данные 1st'!$QR$2:$QR$317))</f>
        <v>5</v>
      </c>
      <c r="HI49">
        <f>SUMPRODUCT(--('Данные 1st'!$S$2:$S$317=$A49),--ISNUMBER('Данные 1st'!$QS$2:$QS$317))</f>
        <v>5</v>
      </c>
      <c r="HJ49">
        <f>SUMPRODUCT(--('Данные 1st'!$S$2:$S$317=$A49),--ISNUMBER('Данные 1st'!$QU$2:$QU$317))</f>
        <v>5</v>
      </c>
      <c r="HK49">
        <f>SUMPRODUCT(--('Данные 1st'!$S$2:$S$317=$A49),--ISNUMBER('Данные 1st'!$QV$2:$QV$317))</f>
        <v>5</v>
      </c>
      <c r="HL49">
        <f>SUMPRODUCT(--('Данные 1st'!$S$2:$S$317=$A49),--ISNUMBER('Данные 1st'!$QW$2:$QW$317))</f>
        <v>7</v>
      </c>
      <c r="HM49">
        <f>SUMPRODUCT(--('Данные 1st'!$S$2:$S$317=$A49),--ISNUMBER('Данные 1st'!$QX$2:$QX$317))</f>
        <v>7</v>
      </c>
      <c r="HN49">
        <f>SUMPRODUCT(--('Данные 1st'!$S$2:$S$317=$A49),--ISNUMBER('Данные 1st'!$QZ$2:$QZ$317))</f>
        <v>7</v>
      </c>
      <c r="HO49">
        <f>SUMPRODUCT(--('Данные 1st'!$S$2:$S$317=$A49),--ISNUMBER('Данные 1st'!$RA$2:$RA$317))</f>
        <v>7</v>
      </c>
      <c r="HP49">
        <f>SUMPRODUCT(--('Данные 1st'!$S$2:$S$317=$A49),--ISNUMBER('Данные 1st'!$RB$2:$RB$317))</f>
        <v>7</v>
      </c>
      <c r="HQ49">
        <f>SUMPRODUCT(--('Данные 1st'!$S$2:$S$317=$A49),--ISNUMBER('Данные 1st'!$RD$2:$RD$317))</f>
        <v>0</v>
      </c>
      <c r="HR49">
        <f>SUMPRODUCT(--('Данные 1st'!$S$2:$S$317=$A49),--ISNUMBER('Данные 1st'!$RE$2:$RE$317))</f>
        <v>7</v>
      </c>
      <c r="HS49">
        <f>SUMPRODUCT(--('Данные 1st'!$S$2:$S$317=$A49),--ISNUMBER('Данные 1st'!$RF$2:$RF$317))</f>
        <v>7</v>
      </c>
      <c r="HT49">
        <f>SUMPRODUCT(--('Данные 1st'!$S$2:$S$317=$A49),--ISNUMBER('Данные 1st'!$RG$2:$RG$317))</f>
        <v>0</v>
      </c>
      <c r="HU49">
        <f>SUMPRODUCT(--('Данные 1st'!$S$2:$S$317=$A49),--ISNUMBER('Данные 1st'!$RH$2:$RH$317))</f>
        <v>3</v>
      </c>
      <c r="HV49">
        <f>SUMPRODUCT(--('Данные 1st'!$S$2:$S$317=$A49),--ISNUMBER('Данные 1st'!$RI$2:$RI$317))</f>
        <v>2</v>
      </c>
      <c r="HW49">
        <f>SUMPRODUCT(--('Данные 1st'!$S$2:$S$317=$A49),--ISNUMBER('Данные 1st'!$RJ$2:$RJ$317))</f>
        <v>7</v>
      </c>
      <c r="HX49">
        <f>SUMPRODUCT(--('Данные 1st'!$S$2:$S$317=$A49),--ISNUMBER('Данные 1st'!$RK$2:$RK$317))</f>
        <v>7</v>
      </c>
      <c r="HY49">
        <f>SUMPRODUCT(--('Данные 1st'!$S$2:$S$317=$A49),--ISNUMBER('Данные 1st'!$RL$2:$RL$317))</f>
        <v>7</v>
      </c>
      <c r="HZ49">
        <f>SUMPRODUCT(--('Данные 1st'!$S$2:$S$317=$A49),--ISNUMBER('Данные 1st'!$RM$2:$RM$317))</f>
        <v>5</v>
      </c>
      <c r="IA49">
        <f>SUMPRODUCT(--('Данные 1st'!$S$2:$S$317=$A49),--ISNUMBER('Данные 1st'!$RN$2:$RN$317))</f>
        <v>0</v>
      </c>
      <c r="IB49">
        <f>SUMPRODUCT(--('Данные 1st'!$S$2:$S$317=$A49),--ISNUMBER('Данные 1st'!$RO$2:$RO$317))</f>
        <v>7</v>
      </c>
      <c r="IC49">
        <f>SUMPRODUCT(--('Данные 1st'!$S$2:$S$317=$A49),--ISNUMBER('Данные 1st'!$RP$2:$RP$317))</f>
        <v>7</v>
      </c>
      <c r="ID49">
        <f>SUMPRODUCT(--('Данные 1st'!$S$2:$S$317=$A49),--ISNUMBER('Данные 1st'!$RQ$2:$RQ$317))</f>
        <v>7</v>
      </c>
      <c r="IE49">
        <f>SUMPRODUCT(--('Данные 1st'!$S$2:$S$317=$A49),--ISNUMBER('Данные 1st'!$RR$2:$RR$317))</f>
        <v>5</v>
      </c>
      <c r="IF49">
        <f>SUMPRODUCT(--('Данные 1st'!$S$2:$S$317=$A49),--ISNUMBER('Данные 1st'!$RS$2:$RS$317))</f>
        <v>0</v>
      </c>
      <c r="IG49">
        <f>SUMPRODUCT(--('Данные 1st'!$S$2:$S$317=$A49),--ISNUMBER('Данные 1st'!$RT$2:$RT$317))</f>
        <v>7</v>
      </c>
      <c r="IH49">
        <f>SUMPRODUCT(--('Данные 1st'!$S$2:$S$317=$A49),--ISNUMBER('Данные 1st'!$RU$2:$RU$317))</f>
        <v>7</v>
      </c>
      <c r="II49">
        <f>SUMPRODUCT(--('Данные 1st'!$S$2:$S$317=$A49),--ISNUMBER('Данные 1st'!$RX$2:$RX$317))</f>
        <v>7</v>
      </c>
      <c r="IJ49">
        <f>SUMPRODUCT(--('Данные 1st'!$S$2:$S$317=$A49),--ISNUMBER('Данные 1st'!$RY$2:$RY$317))</f>
        <v>7</v>
      </c>
      <c r="IK49">
        <f>SUMPRODUCT(--('Данные 1st'!$S$2:$S$317=$A49),--ISNUMBER('Данные 1st'!$SA$2:$SA$317))</f>
        <v>7</v>
      </c>
      <c r="IL49">
        <f>SUMPRODUCT(--('Данные 1st'!$S$2:$S$317=$A49),--ISNUMBER('Данные 1st'!$SD$2:$SD$317))</f>
        <v>7</v>
      </c>
      <c r="IM49">
        <f>SUMPRODUCT(--('Данные 1st'!$S$2:$S$317=$A49),--ISNUMBER('Данные 1st'!$SG$2:$SG$317))</f>
        <v>5</v>
      </c>
      <c r="IN49">
        <f>SUMPRODUCT(--('Данные 1st'!$S$2:$S$317=$A49),--ISNUMBER('Данные 1st'!$SH$2:$SH$317))</f>
        <v>7</v>
      </c>
      <c r="IO49">
        <f>SUMPRODUCT(--('Данные 1st'!$S$2:$S$317=$A49),--ISNUMBER('Данные 1st'!$SI$2:$SI$317))</f>
        <v>7</v>
      </c>
      <c r="IP49">
        <f>SUMPRODUCT(--('Данные 1st'!$S$2:$S$317=$A49),--ISNUMBER('Данные 1st'!$SJ$2:$SJ$317))</f>
        <v>7</v>
      </c>
      <c r="IQ49">
        <f>SUMPRODUCT(--('Данные 1st'!$S$2:$S$317=$A49),--ISNUMBER('Данные 1st'!$SK$2:$SK$317))</f>
        <v>7</v>
      </c>
      <c r="IR49">
        <f>SUMPRODUCT(--('Данные 1st'!$S$2:$S$317=$A49),--ISNUMBER('Данные 1st'!$SL$2:$SL$317))</f>
        <v>7</v>
      </c>
      <c r="IS49">
        <f>SUMPRODUCT(--('Данные 1st'!$S$2:$S$317=$A49),--ISNUMBER('Данные 1st'!$SM$2:$SM$317))</f>
        <v>7</v>
      </c>
      <c r="IT49">
        <f>SUMPRODUCT(--('Данные 1st'!$S$2:$S$317=$A49),--ISNUMBER('Данные 1st'!$SN$2:$SN$317))</f>
        <v>7</v>
      </c>
      <c r="IU49">
        <f>SUMPRODUCT(--('Данные 1st'!$S$2:$S$317=$A49),--ISNUMBER('Данные 1st'!$SO$2:$SO$317))</f>
        <v>7</v>
      </c>
      <c r="IV49">
        <f>SUMPRODUCT(--('Данные 1st'!$S$2:$S$317=$A49),--ISNUMBER('Данные 1st'!$SP$2:$SP$317))</f>
        <v>7</v>
      </c>
      <c r="IW49">
        <f>SUMPRODUCT(--('Данные 1st'!$S$2:$S$317=$A49),--ISNUMBER('Данные 1st'!$SQ$2:$SQ$317))</f>
        <v>7</v>
      </c>
      <c r="IX49">
        <f>SUMPRODUCT(--('Данные 1st'!$S$2:$S$317=$A49),--ISNUMBER('Данные 1st'!$SR$2:$SR$317))</f>
        <v>7</v>
      </c>
      <c r="IY49">
        <f>SUMPRODUCT(--('Данные 1st'!$S$2:$S$317=$A49),--ISNUMBER('Данные 1st'!$SS$2:$SS$317))</f>
        <v>7</v>
      </c>
      <c r="IZ49">
        <f>SUMPRODUCT(--('Данные 1st'!$S$2:$S$317=$A49),--ISNUMBER('Данные 1st'!$ST$2:$ST$317))</f>
        <v>7</v>
      </c>
      <c r="JA49">
        <f>SUMPRODUCT(--('Данные 1st'!$S$2:$S$317=$A49),--ISNUMBER('Данные 1st'!$SU$2:$SU$317))</f>
        <v>7</v>
      </c>
      <c r="JB49">
        <f>SUMPRODUCT(--('Данные 1st'!$S$2:$S$317=$A49),--ISNUMBER('Данные 1st'!$SV$2:$SV$317))</f>
        <v>7</v>
      </c>
      <c r="JC49">
        <f>SUMPRODUCT(--('Данные 1st'!$S$2:$S$317=$A49),--ISNUMBER('Данные 1st'!$SW$2:$SW$317))</f>
        <v>7</v>
      </c>
      <c r="JD49">
        <f>SUMPRODUCT(--('Данные 1st'!$S$2:$S$317=$A49),--ISNUMBER('Данные 1st'!$SX$2:$SX$317))</f>
        <v>7</v>
      </c>
      <c r="JE49">
        <f>SUMPRODUCT(--('Данные 1st'!$S$2:$S$317=$A49),--ISNUMBER('Данные 1st'!$SY$2:$SY$317))</f>
        <v>7</v>
      </c>
      <c r="JF49">
        <f>SUMPRODUCT(--('Данные 1st'!$S$2:$S$317=$A49),--ISNUMBER('Данные 1st'!$SZ$2:$SZ$317))</f>
        <v>5</v>
      </c>
      <c r="JG49">
        <f>SUMPRODUCT(--('Данные 1st'!$S$2:$S$317=$A49),--ISNUMBER('Данные 1st'!$TA$2:$TA$317))</f>
        <v>0</v>
      </c>
      <c r="JH49">
        <f>SUMPRODUCT(--('Данные 1st'!$S$2:$S$317=$A49),--ISNUMBER('Данные 1st'!$TB$2:$TB$317))</f>
        <v>7</v>
      </c>
      <c r="JI49">
        <f>SUMPRODUCT(--('Данные 1st'!$S$2:$S$317=$A49),--ISNUMBER('Данные 1st'!$TC$2:$TC$317))</f>
        <v>7</v>
      </c>
      <c r="JJ49">
        <f>SUMPRODUCT(--('Данные 1st'!$S$2:$S$317=$A49),--ISNUMBER('Данные 1st'!$TD$2:$TD$317))</f>
        <v>7</v>
      </c>
      <c r="JK49">
        <f>SUMPRODUCT(--('Данные 1st'!$S$2:$S$317=$A49),--ISNUMBER('Данные 1st'!$TN$2:$TN$317))</f>
        <v>7</v>
      </c>
      <c r="JQ49">
        <f>SUMPRODUCT(--('Данные 2st'!$Q$2:$Q$317=$A49),--ISNUMBER('Данные 2st'!$AC$2:$AC$317))</f>
        <v>7</v>
      </c>
      <c r="JR49">
        <f>SUMPRODUCT(--('Данные 2st'!$Q$2:$Q$317=$A49),--ISNUMBER('Данные 2st'!$AF$2:$AF$317))</f>
        <v>7</v>
      </c>
      <c r="JS49">
        <f>SUMPRODUCT(--('Данные 2st'!$Q$2:$Q$317=$A49),--ISNUMBER('Данные 2st'!$AW$2:$AW$317))</f>
        <v>7</v>
      </c>
      <c r="JT49">
        <f>SUMPRODUCT(--('Данные 2st'!$Q$2:$Q$317=$A49),--ISNUMBER('Данные 2st'!$AX$2:$AX$317))</f>
        <v>7</v>
      </c>
      <c r="JU49">
        <f>SUMPRODUCT(--('Данные 2st'!$Q$2:$Q$317=$A49),--ISNUMBER('Данные 2st'!$AY$2:$AY$317))</f>
        <v>7</v>
      </c>
      <c r="JV49">
        <f>SUMPRODUCT(--('Данные 2st'!$Q$2:$Q$317=$A49),--ISNUMBER('Данные 2st'!$AZ$2:$AZ$317))</f>
        <v>7</v>
      </c>
      <c r="JW49">
        <f>SUMPRODUCT(--('Данные 2st'!$Q$2:$Q$317=$A49),--ISNUMBER('Данные 2st'!$BA$2:$BA$317))</f>
        <v>2</v>
      </c>
      <c r="JX49">
        <f>SUMPRODUCT(--('Данные 2st'!$Q$2:$Q$317=$A49),--ISNUMBER('Данные 2st'!$BB$2:$BB$317))</f>
        <v>3</v>
      </c>
      <c r="JY49">
        <f>SUMPRODUCT(--('Данные 2st'!$Q$2:$Q$317=$A49),--ISNUMBER('Данные 2st'!$BC$2:$BC$317))</f>
        <v>2</v>
      </c>
      <c r="JZ49">
        <f>SUMPRODUCT(--('Данные 2st'!$Q$2:$Q$317=$A49),--ISNUMBER('Данные 2st'!$BH$2:$BH$317))</f>
        <v>7</v>
      </c>
      <c r="KA49">
        <f>SUMPRODUCT(--('Данные 2st'!$Q$2:$Q$317=$A49),--ISNUMBER('Данные 2st'!$BI$2:$BI$317))</f>
        <v>7</v>
      </c>
      <c r="KB49">
        <f>SUMPRODUCT(--('Данные 2st'!$Q$2:$Q$317=$A49),--ISNUMBER('Данные 2st'!$BJ$2:$BJ$317))</f>
        <v>7</v>
      </c>
      <c r="KC49">
        <f>SUMPRODUCT(--('Данные 2st'!$Q$2:$Q$317=$A49),--ISNUMBER('Данные 2st'!$BK$2:$BK$317))</f>
        <v>7</v>
      </c>
      <c r="KD49">
        <f>SUMPRODUCT(--('Данные 2st'!$Q$2:$Q$317=$A49),--ISNUMBER('Данные 2st'!$BL$2:$BL$317))</f>
        <v>7</v>
      </c>
      <c r="KE49">
        <f>SUMPRODUCT(--('Данные 2st'!$Q$2:$Q$317=$A49),--ISNUMBER('Данные 2st'!$BM$2:$BM$317))</f>
        <v>7</v>
      </c>
      <c r="KF49">
        <f>SUMPRODUCT(--('Данные 2st'!$Q$2:$Q$317=$A49),--ISNUMBER('Данные 2st'!$BN$2:$BN$317))</f>
        <v>7</v>
      </c>
      <c r="KG49">
        <f>SUMPRODUCT(--('Данные 2st'!$Q$2:$Q$317=$A49),--ISNUMBER('Данные 2st'!$BO$2:$BO$317))</f>
        <v>3</v>
      </c>
      <c r="KH49">
        <f>SUMPRODUCT(--('Данные 2st'!$Q$2:$Q$317=$A49),--ISNUMBER('Данные 2st'!$BP$2:$BP$317))</f>
        <v>7</v>
      </c>
      <c r="KI49">
        <f>SUMPRODUCT(--('Данные 2st'!$Q$2:$Q$317=$A49),--ISNUMBER('Данные 2st'!$BR$2:$BR$317))</f>
        <v>7</v>
      </c>
      <c r="KJ49">
        <f>SUMPRODUCT(--('Данные 2st'!$Q$2:$Q$317=$A49),--ISNUMBER('Данные 2st'!$BS$2:$BS$317))</f>
        <v>7</v>
      </c>
      <c r="KK49">
        <f>SUMPRODUCT(--('Данные 2st'!$Q$2:$Q$317=$A49),--ISNUMBER('Данные 2st'!$BT$2:$BT$317))</f>
        <v>7</v>
      </c>
      <c r="KL49">
        <f>SUMPRODUCT(--('Данные 2st'!$Q$2:$Q$317=$A49),--ISNUMBER('Данные 2st'!$CV$2:$CV$317))</f>
        <v>7</v>
      </c>
      <c r="KM49">
        <f>SUMPRODUCT(--('Данные 2st'!$Q$2:$Q$317=$A49),--ISNUMBER('Данные 2st'!$CW$2:$CW$317))</f>
        <v>7</v>
      </c>
      <c r="KN49">
        <f>SUMPRODUCT(--('Данные 2st'!$Q$2:$Q$317=$A49),--ISNUMBER('Данные 2st'!$CX$2:$CX$317))</f>
        <v>7</v>
      </c>
      <c r="KO49">
        <f>SUMPRODUCT(--('Данные 2st'!$Q$2:$Q$317=$A49),--ISNUMBER('Данные 2st'!$CY$2:$CY$317))</f>
        <v>7</v>
      </c>
      <c r="KP49">
        <f>SUMPRODUCT(--('Данные 2st'!$Q$2:$Q$317=$A49),--ISNUMBER('Данные 2st'!$CZ$2:$CZ$317))</f>
        <v>7</v>
      </c>
      <c r="KQ49">
        <f>SUMPRODUCT(--('Данные 2st'!$Q$2:$Q$317=$A49),--ISNUMBER('Данные 2st'!$DA$2:$DA$317))</f>
        <v>7</v>
      </c>
      <c r="KR49">
        <f>SUMPRODUCT(--('Данные 2st'!$Q$2:$Q$317=$A49),--ISNUMBER('Данные 2st'!$DB$2:$DB$317))</f>
        <v>7</v>
      </c>
      <c r="KS49">
        <f>SUMPRODUCT(--('Данные 2st'!$Q$2:$Q$317=$A49),--ISNUMBER('Данные 2st'!$DC$2:$DC$317))</f>
        <v>7</v>
      </c>
      <c r="KT49">
        <f>SUMPRODUCT(--('Данные 2st'!$Q$2:$Q$317=$A49),--ISNUMBER('Данные 2st'!$DD$2:$DD$317))</f>
        <v>7</v>
      </c>
      <c r="KU49">
        <f>SUMPRODUCT(--('Данные 2st'!$Q$2:$Q$317=$A49),--ISNUMBER('Данные 2st'!$DE$2:$DE$317))</f>
        <v>7</v>
      </c>
      <c r="KV49">
        <f>SUMPRODUCT(--('Данные 2st'!$Q$2:$Q$317=$A49),--ISNUMBER('Данные 2st'!$DF$2:$DF$317))</f>
        <v>7</v>
      </c>
      <c r="KW49">
        <f>SUMPRODUCT(--('Данные 2st'!$Q$2:$Q$317=$A49),--ISNUMBER('Данные 2st'!$DG$2:$DG$317))</f>
        <v>7</v>
      </c>
      <c r="KX49">
        <f>SUMPRODUCT(--('Данные 2st'!$Q$2:$Q$317=$A49),--ISNUMBER('Данные 2st'!$DH$2:$DH$317))</f>
        <v>7</v>
      </c>
      <c r="KY49">
        <f>SUMPRODUCT(--('Данные 2st'!$Q$2:$Q$317=$A49),--ISNUMBER('Данные 2st'!$DI$2:$DI$317))</f>
        <v>0</v>
      </c>
      <c r="KZ49">
        <f>SUMPRODUCT(--('Данные 2st'!$Q$2:$Q$317=$A49),--ISNUMBER('Данные 2st'!$DK$2:$DK$317))</f>
        <v>7</v>
      </c>
      <c r="LA49">
        <f>SUMPRODUCT(--('Данные 2st'!$Q$2:$Q$317=$A49),--ISNUMBER('Данные 2st'!$DM$2:$DM$317))</f>
        <v>7</v>
      </c>
      <c r="LB49">
        <f>SUMPRODUCT(--('Данные 2st'!$Q$2:$Q$317=$A49),--ISNUMBER('Данные 2st'!$DN$2:$DN$317))</f>
        <v>7</v>
      </c>
      <c r="LC49">
        <f>SUMPRODUCT(--('Данные 2st'!$Q$2:$Q$317=$A49),--ISNUMBER('Данные 2st'!$DO$2:$DO$317))</f>
        <v>7</v>
      </c>
      <c r="LD49">
        <f>SUMPRODUCT(--('Данные 2st'!$Q$2:$Q$317=$A49),--ISNUMBER('Данные 2st'!$DP$2:$DP$317))</f>
        <v>7</v>
      </c>
      <c r="LE49">
        <f>SUMPRODUCT(--('Данные 2st'!$Q$2:$Q$317=$A49),--ISNUMBER('Данные 2st'!$DQ$2:$DQ$317))</f>
        <v>7</v>
      </c>
      <c r="LF49">
        <f>SUMPRODUCT(--('Данные 2st'!$Q$2:$Q$317=$A49),--ISNUMBER('Данные 2st'!$DS$2:$DS$317))</f>
        <v>7</v>
      </c>
      <c r="LG49">
        <f>SUMPRODUCT(--('Данные 2st'!$Q$2:$Q$317=$A49),--ISNUMBER('Данные 2st'!$DU$2:$DU$317))</f>
        <v>7</v>
      </c>
      <c r="LH49">
        <f>SUMPRODUCT(--('Данные 2st'!$Q$2:$Q$317=$A49),--ISNUMBER('Данные 2st'!$DV$2:$DV$317))</f>
        <v>7</v>
      </c>
      <c r="LI49">
        <f>SUMPRODUCT(--('Данные 2st'!$Q$2:$Q$317=$A49),--ISNUMBER('Данные 2st'!$DW$2:$DW$317))</f>
        <v>7</v>
      </c>
      <c r="LJ49">
        <f>SUMPRODUCT(--('Данные 2st'!$Q$2:$Q$317=$A49),--ISNUMBER('Данные 2st'!$DX$2:$DX$317))</f>
        <v>7</v>
      </c>
      <c r="LK49">
        <f>SUMPRODUCT(--('Данные 2st'!$Q$2:$Q$317=$A49),--ISNUMBER('Данные 2st'!$DY$2:$DY$317))</f>
        <v>7</v>
      </c>
      <c r="LL49">
        <f>SUMPRODUCT(--('Данные 2st'!$Q$2:$Q$317=$A49),--ISNUMBER('Данные 2st'!$EA$2:$EA$317))</f>
        <v>7</v>
      </c>
      <c r="LM49">
        <f>SUMPRODUCT(--('Данные 2st'!$Q$2:$Q$317=$A49),--ISNUMBER('Данные 2st'!$EC$2:$EC$317))</f>
        <v>7</v>
      </c>
      <c r="LN49">
        <f>SUMPRODUCT(--('Данные 2st'!$Q$2:$Q$317=$A49),--ISNUMBER('Данные 2st'!$ED$2:$ED$317))</f>
        <v>7</v>
      </c>
      <c r="LO49">
        <f>SUMPRODUCT(--('Данные 2st'!$Q$2:$Q$317=$A49),--ISNUMBER('Данные 2st'!$EE$2:$EE$317))</f>
        <v>7</v>
      </c>
      <c r="LP49">
        <f>SUMPRODUCT(--('Данные 2st'!$Q$2:$Q$317=$A49),--ISNUMBER('Данные 2st'!$EG$2:$EG$317))</f>
        <v>7</v>
      </c>
      <c r="LQ49">
        <f>SUMPRODUCT(--('Данные 2st'!$Q$2:$Q$317=$A49),--ISNUMBER('Данные 2st'!$EI$2:$EI$317))</f>
        <v>7</v>
      </c>
      <c r="LR49">
        <f>SUMPRODUCT(--('Данные 2st'!$Q$2:$Q$317=$A49),--ISNUMBER('Данные 2st'!$EJ$2:$EJ$317))</f>
        <v>0</v>
      </c>
      <c r="LS49">
        <f>SUMPRODUCT(--('Данные 2st'!$Q$2:$Q$317=$A49),--ISNUMBER('Данные 2st'!$EK$2:$EK$317))</f>
        <v>0</v>
      </c>
      <c r="LT49">
        <f>SUMPRODUCT(--('Данные 2st'!$Q$2:$Q$317=$A49),--ISNUMBER('Данные 2st'!$EM$2:$EM$317))</f>
        <v>7</v>
      </c>
      <c r="LU49">
        <f>SUMPRODUCT(--('Данные 2st'!$Q$2:$Q$317=$A49),--ISNUMBER('Данные 2st'!$EN$2:$EN$317))</f>
        <v>7</v>
      </c>
      <c r="LV49">
        <f>SUMPRODUCT(--('Данные 2st'!$Q$2:$Q$317=$A49),--ISNUMBER('Данные 2st'!$EO$2:$EO$317))</f>
        <v>7</v>
      </c>
      <c r="LW49">
        <f>SUMPRODUCT(--('Данные 2st'!$Q$2:$Q$317=$A49),--ISNUMBER('Данные 2st'!$EP$2:$EP$317))</f>
        <v>7</v>
      </c>
      <c r="LX49">
        <f>SUMPRODUCT(--('Данные 2st'!$Q$2:$Q$317=$A49),--ISNUMBER('Данные 2st'!$EQ$2:$EQ$317))</f>
        <v>7</v>
      </c>
      <c r="LY49">
        <f>SUMPRODUCT(--('Данные 2st'!$Q$2:$Q$317=$A49),--ISNUMBER('Данные 2st'!$ER$2:$ER$317))</f>
        <v>7</v>
      </c>
      <c r="LZ49">
        <f>SUMPRODUCT(--('Данные 2st'!$Q$2:$Q$317=$A49),--ISNUMBER('Данные 2st'!$ES$2:$ES$317))</f>
        <v>7</v>
      </c>
      <c r="MA49">
        <f>SUMPRODUCT(--('Данные 2st'!$Q$2:$Q$317=$A49),--ISNUMBER('Данные 2st'!$ET$2:$ET$317))</f>
        <v>7</v>
      </c>
      <c r="MB49">
        <f>SUMPRODUCT(--('Данные 2st'!$Q$2:$Q$317=$A49),--ISNUMBER('Данные 2st'!$EU$2:$EU$317))</f>
        <v>7</v>
      </c>
      <c r="MC49">
        <f>SUMPRODUCT(--('Данные 2st'!$Q$2:$Q$317=$A49),--ISNUMBER('Данные 2st'!$EV$2:$EV$317))</f>
        <v>7</v>
      </c>
      <c r="MD49">
        <f>SUMPRODUCT(--('Данные 2st'!$Q$2:$Q$317=$A49),--ISNUMBER('Данные 2st'!$EW$2:$EW$317))</f>
        <v>7</v>
      </c>
      <c r="ME49">
        <f>SUMPRODUCT(--('Данные 2st'!$Q$2:$Q$317=$A49),--ISNUMBER('Данные 2st'!$EY$2:$EY$317))</f>
        <v>7</v>
      </c>
      <c r="MF49">
        <f>SUMPRODUCT(--('Данные 2st'!$Q$2:$Q$317=$A49),--ISNUMBER('Данные 2st'!$FA$2:$FA$317))</f>
        <v>7</v>
      </c>
      <c r="MG49">
        <f>SUMPRODUCT(--('Данные 2st'!$Q$2:$Q$317=$A49),--ISNUMBER('Данные 2st'!$FB$2:$FB$317))</f>
        <v>7</v>
      </c>
      <c r="MH49">
        <f>SUMPRODUCT(--('Данные 2st'!$Q$2:$Q$317=$A49),--ISNUMBER('Данные 2st'!$FC$2:$FC$317))</f>
        <v>7</v>
      </c>
      <c r="MI49">
        <f>SUMPRODUCT(--('Данные 2st'!$Q$2:$Q$317=$A49),--ISNUMBER('Данные 2st'!$FD$2:$FD$317))</f>
        <v>7</v>
      </c>
      <c r="MJ49">
        <f>SUMPRODUCT(--('Данные 2st'!$Q$2:$Q$317=$A49),--ISNUMBER('Данные 2st'!$FE$2:$FE$317))</f>
        <v>7</v>
      </c>
      <c r="MK49">
        <f>SUMPRODUCT(--('Данные 2st'!$Q$2:$Q$317=$A49),--ISNUMBER('Данные 2st'!$FG$2:$FG$317))</f>
        <v>7</v>
      </c>
      <c r="ML49">
        <f>SUMPRODUCT(--('Данные 2st'!$Q$2:$Q$317=$A49),--ISNUMBER('Данные 2st'!$FI$2:$FI$317))</f>
        <v>7</v>
      </c>
      <c r="MM49">
        <f>SUMPRODUCT(--('Данные 2st'!$Q$2:$Q$317=$A49),--ISNUMBER('Данные 2st'!$FJ$2:$FJ$317))</f>
        <v>7</v>
      </c>
      <c r="MN49">
        <f>SUMPRODUCT(--('Данные 2st'!$Q$2:$Q$317=$A49),--ISNUMBER('Данные 2st'!$FK$2:$FK$317))</f>
        <v>7</v>
      </c>
      <c r="MO49">
        <f>SUMPRODUCT(--('Данные 2st'!$Q$2:$Q$317=$A49),--ISNUMBER('Данные 2st'!$FP$2:$FP$317))</f>
        <v>7</v>
      </c>
      <c r="MP49">
        <f>SUMPRODUCT(--('Данные 2st'!$Q$2:$Q$317=$A49),--ISNUMBER('Данные 2st'!$FQ$2:$FQ$317))</f>
        <v>7</v>
      </c>
      <c r="MQ49">
        <f>SUMPRODUCT(--('Данные 2st'!$Q$2:$Q$317=$A49),--ISNUMBER('Данные 2st'!$FS$2:$FS$317))</f>
        <v>7</v>
      </c>
      <c r="MR49">
        <f>SUMPRODUCT(--('Данные 2st'!$Q$2:$Q$317=$A49),--ISNUMBER('Данные 2st'!$FU$2:$FU$317))</f>
        <v>7</v>
      </c>
      <c r="MS49">
        <f>SUMPRODUCT(--('Данные 2st'!$Q$2:$Q$317=$A49),--ISNUMBER('Данные 2st'!$FV$2:$FV$317))</f>
        <v>7</v>
      </c>
      <c r="MT49">
        <f>SUMPRODUCT(--('Данные 2st'!$Q$2:$Q$317=$A49),--ISNUMBER('Данные 2st'!$FW$2:$FW$317))</f>
        <v>7</v>
      </c>
      <c r="MU49">
        <f>SUMPRODUCT(--('Данные 2st'!$Q$2:$Q$317=$A49),--ISNUMBER('Данные 2st'!$FY$2:$FY$317))</f>
        <v>7</v>
      </c>
      <c r="MV49">
        <f>SUMPRODUCT(--('Данные 2st'!$Q$2:$Q$317=$A49),--ISNUMBER('Данные 2st'!$GB$2:$GB$317))</f>
        <v>7</v>
      </c>
      <c r="MW49">
        <f>SUMPRODUCT(--('Данные 2st'!$Q$2:$Q$317=$A49),--ISNUMBER('Данные 2st'!$GC$2:$GC$317))</f>
        <v>7</v>
      </c>
      <c r="MX49">
        <f>SUMPRODUCT(--('Данные 2st'!$Q$2:$Q$317=$A49),--ISNUMBER('Данные 2st'!$GD$2:$GD$317))</f>
        <v>7</v>
      </c>
      <c r="MY49">
        <f>SUMPRODUCT(--('Данные 2st'!$Q$2:$Q$317=$A49),--ISNUMBER('Данные 2st'!$GN$2:$GN$317))</f>
        <v>0</v>
      </c>
      <c r="MZ49">
        <f>SUMPRODUCT(--('Данные 2st'!$Q$2:$Q$317=$A49),--ISNUMBER('Данные 2st'!$GQ$2:$GQ$317))</f>
        <v>7</v>
      </c>
      <c r="NA49">
        <f>SUMPRODUCT(--('Данные 2st'!$Q$2:$Q$317=$A49),--ISNUMBER('Данные 2st'!$GV$2:$GV$317))</f>
        <v>7</v>
      </c>
      <c r="NB49">
        <f>SUMPRODUCT(--('Данные 2st'!$Q$2:$Q$317=$A49),--ISNUMBER('Данные 2st'!$GW$2:$GW$317))</f>
        <v>7</v>
      </c>
      <c r="NC49">
        <f>SUMPRODUCT(--('Данные 2st'!$Q$2:$Q$317=$A49),--ISNUMBER('Данные 2st'!$GX$2:$GX$317))</f>
        <v>7</v>
      </c>
      <c r="ND49">
        <f>SUMPRODUCT(--('Данные 2st'!$Q$2:$Q$317=$A49),--ISNUMBER('Данные 2st'!$GY$2:$GY$317))</f>
        <v>7</v>
      </c>
      <c r="NE49">
        <f>SUMPRODUCT(--('Данные 2st'!$Q$2:$Q$317=$A49),--ISNUMBER('Данные 2st'!$GZ$2:$GZ$317))</f>
        <v>7</v>
      </c>
      <c r="NF49">
        <f>SUMPRODUCT(--('Данные 2st'!$Q$2:$Q$317=$A49),--ISNUMBER('Данные 2st'!$HA$2:$HA$317))</f>
        <v>7</v>
      </c>
      <c r="NG49">
        <f>SUMPRODUCT(--('Данные 2st'!$Q$2:$Q$317=$A49),--ISNUMBER('Данные 2st'!$HB$2:$HB$317))</f>
        <v>7</v>
      </c>
      <c r="NH49">
        <f>SUMPRODUCT(--('Данные 2st'!$Q$2:$Q$317=$A49),--ISNUMBER('Данные 2st'!$HC$2:$HC$317))</f>
        <v>7</v>
      </c>
      <c r="NI49">
        <f>SUMPRODUCT(--('Данные 2st'!$Q$2:$Q$317=$A49),--ISNUMBER('Данные 2st'!$HD$2:$HD$317))</f>
        <v>7</v>
      </c>
      <c r="NJ49">
        <f>SUMPRODUCT(--('Данные 2st'!$Q$2:$Q$317=$A49),--ISNUMBER('Данные 2st'!$HM$2:$HM$317))</f>
        <v>7</v>
      </c>
      <c r="NK49">
        <f>SUMPRODUCT(--('Данные 2st'!$Q$2:$Q$317=$A49),--ISNUMBER('Данные 2st'!$HR$2:$HR$317))</f>
        <v>7</v>
      </c>
      <c r="NL49">
        <f>SUMPRODUCT(--('Данные 2st'!$Q$2:$Q$317=$A49),--ISNUMBER('Данные 2st'!$HS$2:$HS$317))</f>
        <v>7</v>
      </c>
      <c r="NM49">
        <f>SUMPRODUCT(--('Данные 2st'!$Q$2:$Q$317=$A49),--ISNUMBER('Данные 2st'!$HT$2:$HT$317))</f>
        <v>7</v>
      </c>
      <c r="NN49">
        <f>SUMPRODUCT(--('Данные 2st'!$Q$2:$Q$317=$A49),--ISNUMBER('Данные 2st'!$HY$2:$HY$317))</f>
        <v>7</v>
      </c>
      <c r="NO49">
        <f>SUMPRODUCT(--('Данные 2st'!$Q$2:$Q$317=$A49),--ISNUMBER('Данные 2st'!$HZ$2:$HZ$317))</f>
        <v>7</v>
      </c>
      <c r="NP49">
        <f>SUMPRODUCT(--('Данные 2st'!$Q$2:$Q$317=$A49),--ISNUMBER('Данные 2st'!$IA$2:$IA$317))</f>
        <v>7</v>
      </c>
      <c r="NQ49">
        <f>SUMPRODUCT(--('Данные 2st'!$Q$2:$Q$317=$A49),--ISNUMBER('Данные 2st'!$IB$2:$IB$317))</f>
        <v>7</v>
      </c>
      <c r="NR49">
        <f>SUMPRODUCT(--('Данные 2st'!$Q$2:$Q$317=$A49),--ISNUMBER('Данные 2st'!$IC$2:$IC$317))</f>
        <v>0</v>
      </c>
      <c r="NS49">
        <f>SUMPRODUCT(--('Данные 2st'!$Q$2:$Q$317=$A49),--ISNUMBER('Данные 2st'!$ID$2:$ID$317))</f>
        <v>7</v>
      </c>
      <c r="NT49">
        <f>SUMPRODUCT(--('Данные 2st'!$Q$2:$Q$317=$A49),--ISNUMBER('Данные 2st'!$IE$2:$IE$317))</f>
        <v>7</v>
      </c>
      <c r="NU49">
        <f>SUMPRODUCT(--('Данные 2st'!$Q$2:$Q$317=$A49),--ISNUMBER('Данные 2st'!$IF$2:$IF$317))</f>
        <v>7</v>
      </c>
      <c r="NV49">
        <f>SUMPRODUCT(--('Данные 2st'!$Q$2:$Q$317=$A49),--ISNUMBER('Данные 2st'!$IG$2:$IG$317))</f>
        <v>7</v>
      </c>
      <c r="NW49">
        <f>SUMPRODUCT(--('Данные 2st'!$Q$2:$Q$317=$A49),--ISNUMBER('Данные 2st'!$IH$2:$IH$317))</f>
        <v>7</v>
      </c>
      <c r="NX49">
        <f>SUMPRODUCT(--('Данные 2st'!$Q$2:$Q$317=$A49),--ISNUMBER('Данные 2st'!$IJ$2:$IJ$317))</f>
        <v>7</v>
      </c>
      <c r="NY49">
        <f>SUMPRODUCT(--('Данные 2st'!$Q$2:$Q$317=$A49),--ISNUMBER('Данные 2st'!$IM$2:$IM$317))</f>
        <v>7</v>
      </c>
      <c r="NZ49">
        <f>SUMPRODUCT(--('Данные 2st'!$Q$2:$Q$317=$A49),--ISNUMBER('Данные 2st'!$IN$2:$IN$317))</f>
        <v>7</v>
      </c>
      <c r="OA49">
        <f>SUMPRODUCT(--('Данные 2st'!$Q$2:$Q$317=$A49),--ISNUMBER('Данные 2st'!$IO$2:$IO$317))</f>
        <v>7</v>
      </c>
      <c r="OB49">
        <f>SUMPRODUCT(--('Данные 2st'!$Q$2:$Q$317=$A49),--ISNUMBER('Данные 2st'!$IP$2:$IP$317))</f>
        <v>7</v>
      </c>
      <c r="OC49">
        <f>SUMPRODUCT(--('Данные 2st'!$Q$2:$Q$317=$A49),--ISNUMBER('Данные 2st'!$IQ$2:$IQ$317))</f>
        <v>7</v>
      </c>
      <c r="OD49">
        <f>SUMPRODUCT(--('Данные 2st'!$Q$2:$Q$317=$A49),--ISNUMBER('Данные 2st'!$IR$2:$IR$317))</f>
        <v>7</v>
      </c>
      <c r="OE49">
        <f>SUMPRODUCT(--('Данные 2st'!$Q$2:$Q$317=$A49),--ISNUMBER('Данные 2st'!$IT$2:$IT$317))</f>
        <v>7</v>
      </c>
      <c r="OF49">
        <f>SUMPRODUCT(--('Данные 2st'!$Q$2:$Q$317=$A49),--ISNUMBER('Данные 2st'!$IU$2:$IU$317))</f>
        <v>7</v>
      </c>
      <c r="OG49">
        <f>SUMPRODUCT(--('Данные 2st'!$Q$2:$Q$317=$A49),--ISNUMBER('Данные 2st'!$IV$2:$IV$317))</f>
        <v>7</v>
      </c>
      <c r="OH49">
        <f>SUMPRODUCT(--('Данные 2st'!$Q$2:$Q$317=$A49),--ISNUMBER('Данные 2st'!$IW$2:$IW$317))</f>
        <v>7</v>
      </c>
      <c r="OI49">
        <f>SUMPRODUCT(--('Данные 2st'!$Q$2:$Q$317=$A49),--ISNUMBER('Данные 2st'!$IX$2:$IX$317))</f>
        <v>7</v>
      </c>
      <c r="OJ49">
        <f>SUMPRODUCT(--('Данные 2st'!$Q$2:$Q$317=$A49),--ISNUMBER('Данные 2st'!$IY$2:$IY$317))</f>
        <v>7</v>
      </c>
      <c r="OK49">
        <f>SUMPRODUCT(--('Данные 2st'!$Q$2:$Q$317=$A49),--ISNUMBER('Данные 2st'!$IZ$2:$IZ$317))</f>
        <v>7</v>
      </c>
      <c r="OL49">
        <f>SUMPRODUCT(--('Данные 2st'!$Q$2:$Q$317=$A49),--ISNUMBER('Данные 2st'!$JA$2:$JA$317))</f>
        <v>7</v>
      </c>
      <c r="OM49">
        <f>SUMPRODUCT(--('Данные 2st'!$Q$2:$Q$317=$A49),--ISNUMBER('Данные 2st'!$JB$2:$JB$317))</f>
        <v>7</v>
      </c>
      <c r="ON49">
        <f>SUMPRODUCT(--('Данные 2st'!$Q$2:$Q$317=$A49),--ISNUMBER('Данные 2st'!$JC$2:$JC$317))</f>
        <v>7</v>
      </c>
      <c r="OO49">
        <f>SUMPRODUCT(--('Данные 2st'!$Q$2:$Q$317=$A49),--ISNUMBER('Данные 2st'!$JD$2:$JD$317))</f>
        <v>7</v>
      </c>
      <c r="OP49">
        <f>SUMPRODUCT(--('Данные 2st'!$Q$2:$Q$317=$A49),--ISNUMBER('Данные 2st'!$JE$2:$JE$317))</f>
        <v>7</v>
      </c>
      <c r="OQ49">
        <f>SUMPRODUCT(--('Данные 2st'!$Q$2:$Q$317=$A49),--ISNUMBER('Данные 2st'!$JF$2:$JF$317))</f>
        <v>7</v>
      </c>
      <c r="OR49">
        <f>SUMPRODUCT(--('Данные 2st'!$Q$2:$Q$317=$A49),--ISNUMBER('Данные 2st'!$JG$2:$JG$317))</f>
        <v>7</v>
      </c>
      <c r="OS49">
        <f>SUMPRODUCT(--('Данные 2st'!$Q$2:$Q$317=$A49),--ISNUMBER('Данные 2st'!$JH$2:$JH$317))</f>
        <v>7</v>
      </c>
      <c r="OT49">
        <f>SUMPRODUCT(--('Данные 2st'!$Q$2:$Q$317=$A49),--ISNUMBER('Данные 2st'!$JI$2:$JI$317))</f>
        <v>7</v>
      </c>
      <c r="OU49">
        <f>SUMPRODUCT(--('Данные 2st'!$Q$2:$Q$317=$A49),--ISNUMBER('Данные 2st'!$JJ$2:$JJ$317))</f>
        <v>7</v>
      </c>
      <c r="OV49">
        <f>SUMPRODUCT(--('Данные 2st'!$Q$2:$Q$317=$A49),--ISNUMBER('Данные 2st'!$JK$2:$JK$317))</f>
        <v>7</v>
      </c>
      <c r="OW49">
        <f>SUMPRODUCT(--('Данные 2st'!$Q$2:$Q$317=$A49),--ISNUMBER('Данные 2st'!$JL$2:$JL$317))</f>
        <v>7</v>
      </c>
      <c r="OX49">
        <f>SUMPRODUCT(--('Данные 2st'!$Q$2:$Q$317=$A49),--ISNUMBER('Данные 2st'!$JM$2:$JM$317))</f>
        <v>7</v>
      </c>
      <c r="OY49">
        <f>SUMPRODUCT(--('Данные 2st'!$Q$2:$Q$317=$A49),--ISNUMBER('Данные 2st'!$JP$2:$JP$317))</f>
        <v>7</v>
      </c>
      <c r="OZ49">
        <f>SUMPRODUCT(--('Данные 2st'!$Q$2:$Q$317=$A49),--ISNUMBER('Данные 2st'!$JQ$2:$JQ$317))</f>
        <v>7</v>
      </c>
      <c r="PA49">
        <f>SUMPRODUCT(--('Данные 2st'!$Q$2:$Q$317=$A49),--ISNUMBER('Данные 2st'!$JR$2:$JR$317))</f>
        <v>7</v>
      </c>
      <c r="PB49">
        <f>SUMPRODUCT(--('Данные 2st'!$Q$2:$Q$317=$A49),--ISNUMBER('Данные 2st'!$JS$2:$JS$317))</f>
        <v>7</v>
      </c>
      <c r="PC49">
        <f>SUMPRODUCT(--('Данные 2st'!$Q$2:$Q$317=$A49),--ISNUMBER('Данные 2st'!$JT$2:$JT$317))</f>
        <v>7</v>
      </c>
      <c r="PD49">
        <f>SUMPRODUCT(--('Данные 2st'!$Q$2:$Q$317=$A49),--ISNUMBER('Данные 2st'!$JU$2:$JU$317))</f>
        <v>7</v>
      </c>
      <c r="PE49">
        <f>SUMPRODUCT(--('Данные 2st'!$Q$2:$Q$317=$A49),--ISNUMBER('Данные 2st'!$JV$2:$JV$317))</f>
        <v>7</v>
      </c>
      <c r="PF49">
        <f>SUMPRODUCT(--('Данные 2st'!$Q$2:$Q$317=$A49),--ISNUMBER('Данные 2st'!$JW$2:$JW$317))</f>
        <v>7</v>
      </c>
      <c r="PG49">
        <f>SUMPRODUCT(--('Данные 2st'!$Q$2:$Q$317=$A49),--ISNUMBER('Данные 2st'!$KF$2:$KF$317))</f>
        <v>7</v>
      </c>
      <c r="PH49">
        <f>SUMPRODUCT(--('Данные 2st'!$Q$2:$Q$317=$A49),--ISNUMBER('Данные 2st'!$KG$2:$KG$317))</f>
        <v>7</v>
      </c>
      <c r="PI49">
        <f>SUMPRODUCT(--('Данные 2st'!$Q$2:$Q$317=$A49),--ISNUMBER('Данные 2st'!$KM$2:$KM$317))</f>
        <v>7</v>
      </c>
      <c r="PJ49">
        <f>SUMPRODUCT(--('Данные 2st'!$Q$2:$Q$317=$A49),--ISNUMBER('Данные 2st'!$KN$2:$KN$317))</f>
        <v>7</v>
      </c>
      <c r="PK49">
        <f>SUMPRODUCT(--('Данные 2st'!$Q$2:$Q$317=$A49),--ISNUMBER('Данные 2st'!$KO$2:$KO$317))</f>
        <v>7</v>
      </c>
      <c r="PL49">
        <f>SUMPRODUCT(--('Данные 2st'!$Q$2:$Q$317=$A49),--ISNUMBER('Данные 2st'!$KP$2:$KP$317))</f>
        <v>7</v>
      </c>
      <c r="PM49">
        <f>SUMPRODUCT(--('Данные 2st'!$Q$2:$Q$317=$A49),--ISNUMBER('Данные 2st'!$KQ$2:$KQ$317))</f>
        <v>7</v>
      </c>
      <c r="PN49">
        <f>SUMPRODUCT(--('Данные 2st'!$Q$2:$Q$317=$A49),--ISNUMBER('Данные 2st'!$KR$2:$KR$317))</f>
        <v>7</v>
      </c>
      <c r="PO49">
        <f>SUMPRODUCT(--('Данные 2st'!$Q$2:$Q$317=$A49),--ISNUMBER('Данные 2st'!$KS$2:$KS$317))</f>
        <v>7</v>
      </c>
      <c r="PP49">
        <f>SUMPRODUCT(--('Данные 2st'!$Q$2:$Q$317=$A49),--ISNUMBER('Данные 2st'!$KT$2:$KT$317))</f>
        <v>7</v>
      </c>
      <c r="PQ49">
        <f>SUMPRODUCT(--('Данные 2st'!$Q$2:$Q$317=$A49),--ISNUMBER('Данные 2st'!$KU$2:$KU$317))</f>
        <v>7</v>
      </c>
      <c r="PR49">
        <f>SUMPRODUCT(--('Данные 2st'!$Q$2:$Q$317=$A49),--ISNUMBER('Данные 2st'!$KV$2:$KV$317))</f>
        <v>7</v>
      </c>
      <c r="PS49">
        <f>SUMPRODUCT(--('Данные 2st'!$Q$2:$Q$317=$A49),--ISNUMBER('Данные 2st'!$KW$2:$KW$317))</f>
        <v>7</v>
      </c>
      <c r="PT49">
        <f>SUMPRODUCT(--('Данные 2st'!$Q$2:$Q$317=$A49),--ISNUMBER('Данные 2st'!$KX$2:$KX$317))</f>
        <v>7</v>
      </c>
      <c r="PU49">
        <f>SUMPRODUCT(--('Данные 2st'!$Q$2:$Q$317=$A49),--ISNUMBER('Данные 2st'!$KY$2:$KY$317))</f>
        <v>7</v>
      </c>
      <c r="PV49">
        <f>SUMPRODUCT(--('Данные 2st'!$Q$2:$Q$317=$A49),--ISNUMBER('Данные 2st'!$KZ$2:$KZ$317))</f>
        <v>7</v>
      </c>
      <c r="PW49">
        <f>SUMPRODUCT(--('Данные 2st'!$Q$2:$Q$317=$A49),--ISNUMBER('Данные 2st'!$LA$2:$LA$317))</f>
        <v>7</v>
      </c>
      <c r="PX49">
        <f>SUMPRODUCT(--('Данные 2st'!$Q$2:$Q$317=$A49),--ISNUMBER('Данные 2st'!$LB$2:$LB$317))</f>
        <v>7</v>
      </c>
      <c r="PY49">
        <f>SUMPRODUCT(--('Данные 2st'!$Q$2:$Q$317=$A49),--ISNUMBER('Данные 2st'!$LC$2:$LC$317))</f>
        <v>7</v>
      </c>
      <c r="PZ49">
        <f>SUMPRODUCT(--('Данные 2st'!$Q$2:$Q$317=$A49),--ISNUMBER('Данные 2st'!$LD$2:$LD$317))</f>
        <v>7</v>
      </c>
      <c r="QA49">
        <f>SUMPRODUCT(--('Данные 2st'!$Q$2:$Q$317=$A49),--ISNUMBER('Данные 2st'!$LE$2:$LE$317))</f>
        <v>7</v>
      </c>
      <c r="QB49">
        <f>SUMPRODUCT(--('Данные 2st'!$Q$2:$Q$317=$A49),--ISNUMBER('Данные 2st'!$LF$2:$LF$317))</f>
        <v>7</v>
      </c>
      <c r="QC49">
        <f>SUMPRODUCT(--('Данные 2st'!$Q$2:$Q$317=$A49),--ISNUMBER('Данные 2st'!$LG$2:$LG$317))</f>
        <v>7</v>
      </c>
      <c r="QD49">
        <f>SUMPRODUCT(--('Данные 2st'!$Q$2:$Q$317=$A49),--ISNUMBER('Данные 2st'!$LH$2:$LH$317))</f>
        <v>7</v>
      </c>
      <c r="QE49">
        <f>SUMPRODUCT(--('Данные 2st'!$Q$2:$Q$317=$A49),--ISNUMBER('Данные 2st'!$LJ$2:$LJ$317))</f>
        <v>7</v>
      </c>
      <c r="QF49">
        <f>SUMPRODUCT(--('Данные 2st'!$Q$2:$Q$317=$A49),--ISNUMBER('Данные 2st'!$LK$2:$LK$317))</f>
        <v>7</v>
      </c>
      <c r="QG49">
        <f>SUMPRODUCT(--('Данные 2st'!$Q$2:$Q$317=$A49),--ISNUMBER('Данные 2st'!$LL$2:$LL$317))</f>
        <v>7</v>
      </c>
      <c r="QH49">
        <f>SUMPRODUCT(--('Данные 2st'!$Q$2:$Q$317=$A49),--ISNUMBER('Данные 2st'!$LM$2:$LM$317))</f>
        <v>7</v>
      </c>
      <c r="QI49">
        <f>SUMPRODUCT(--('Данные 2st'!$Q$2:$Q$317=$A49),--ISNUMBER('Данные 2st'!$LN$2:$LN$317))</f>
        <v>7</v>
      </c>
      <c r="QJ49">
        <f>SUMPRODUCT(--('Данные 2st'!$Q$2:$Q$317=$A49),--ISNUMBER('Данные 2st'!$LO$2:$LO$317))</f>
        <v>7</v>
      </c>
      <c r="QK49">
        <f>SUMPRODUCT(--('Данные 2st'!$Q$2:$Q$317=$A49),--ISNUMBER('Данные 2st'!$LP$2:$LP$317))</f>
        <v>7</v>
      </c>
      <c r="QL49">
        <f>SUMPRODUCT(--('Данные 2st'!$Q$2:$Q$317=$A49),--ISNUMBER('Данные 2st'!$LQ$2:$LQ$317))</f>
        <v>7</v>
      </c>
      <c r="QM49">
        <f>SUMPRODUCT(--('Данные 2st'!$Q$2:$Q$317=$A49),--ISNUMBER('Данные 2st'!$LW$2:$LW$317))</f>
        <v>7</v>
      </c>
      <c r="QN49">
        <f>SUMPRODUCT(--('Данные 2st'!$Q$2:$Q$317=$A49),--ISNUMBER('Данные 2st'!$LX$2:$LX$317))</f>
        <v>7</v>
      </c>
      <c r="QO49">
        <f>SUMPRODUCT(--('Данные 2st'!$Q$2:$Q$317=$A49),--ISNUMBER('Данные 2st'!$LY$2:$LY$317))</f>
        <v>7</v>
      </c>
      <c r="QP49">
        <f>SUMPRODUCT(--('Данные 2st'!$Q$2:$Q$317=$A49),--ISNUMBER('Данные 2st'!$LZ$2:$LZ$317))</f>
        <v>7</v>
      </c>
      <c r="QQ49">
        <f>SUMPRODUCT(--('Данные 2st'!$Q$2:$Q$317=$A49),--ISNUMBER('Данные 2st'!$MB$2:$MB$317))</f>
        <v>7</v>
      </c>
      <c r="QR49">
        <f>SUMPRODUCT(--('Данные 2st'!$Q$2:$Q$317=$A49),--ISNUMBER('Данные 2st'!$MG$2:$MG$317))</f>
        <v>2</v>
      </c>
      <c r="QS49">
        <f>SUMPRODUCT(--('Данные 2st'!$Q$2:$Q$317=$A49),--ISNUMBER('Данные 2st'!$MH$2:$MH$317))</f>
        <v>2</v>
      </c>
      <c r="QT49">
        <f>SUMPRODUCT(--('Данные 2st'!$Q$2:$Q$317=$A49),--ISNUMBER('Данные 2st'!$MI$2:$MI$317))</f>
        <v>7</v>
      </c>
      <c r="QU49">
        <f>SUMPRODUCT(--('Данные 2st'!$Q$2:$Q$317=$A49),--ISNUMBER('Данные 2st'!$MJ$2:$MJ$317))</f>
        <v>7</v>
      </c>
      <c r="QV49">
        <f>SUMPRODUCT(--('Данные 2st'!$Q$2:$Q$317=$A49),--ISNUMBER('Данные 2st'!$MK$2:$MK$317))</f>
        <v>2</v>
      </c>
      <c r="QW49">
        <f>SUMPRODUCT(--('Данные 2st'!$Q$2:$Q$317=$A49),--ISNUMBER('Данные 2st'!$MM$2:$MM$317))</f>
        <v>7</v>
      </c>
      <c r="QX49">
        <f>SUMPRODUCT(--('Данные 2st'!$Q$2:$Q$317=$A49),--ISNUMBER('Данные 2st'!$MQ$2:$MQ$317))</f>
        <v>0</v>
      </c>
      <c r="QY49">
        <f>SUMPRODUCT(--('Данные 2st'!$Q$2:$Q$317=$A49),--ISNUMBER('Данные 2st'!$MR$2:$MR$317))</f>
        <v>0</v>
      </c>
      <c r="QZ49">
        <f>SUMPRODUCT(--('Данные 2st'!$Q$2:$Q$317=$A49),--ISNUMBER('Данные 2st'!$MS$2:$MS$317))</f>
        <v>0</v>
      </c>
      <c r="RA49">
        <f>SUMPRODUCT(--('Данные 2st'!$Q$2:$Q$317=$A49),--ISNUMBER('Данные 2st'!$MT$2:$MT$317))</f>
        <v>0</v>
      </c>
      <c r="RB49">
        <f>SUMPRODUCT(--('Данные 2st'!$Q$2:$Q$317=$A49),--ISNUMBER('Данные 2st'!$MU$2:$MU$317))</f>
        <v>0</v>
      </c>
      <c r="RC49">
        <f>SUMPRODUCT(--('Данные 2st'!$Q$2:$Q$317=$A49),--ISNUMBER('Данные 2st'!$MV$2:$MV$317))</f>
        <v>0</v>
      </c>
      <c r="RD49">
        <f>SUMPRODUCT(--('Данные 2st'!$Q$2:$Q$317=$A49),--ISNUMBER('Данные 2st'!$MW$2:$MW$317))</f>
        <v>0</v>
      </c>
      <c r="RE49">
        <f>SUMPRODUCT(--('Данные 2st'!$Q$2:$Q$317=$A49),--ISNUMBER('Данные 2st'!$MX$2:$MX$317))</f>
        <v>0</v>
      </c>
      <c r="RF49">
        <f>SUMPRODUCT(--('Данные 2st'!$Q$2:$Q$317=$A49),--ISNUMBER('Данные 2st'!$MY$2:$MY$317))</f>
        <v>0</v>
      </c>
      <c r="RG49">
        <f>SUMPRODUCT(--('Данные 2st'!$Q$2:$Q$317=$A49),--ISNUMBER('Данные 2st'!$MZ$2:$MZ$317))</f>
        <v>0</v>
      </c>
      <c r="RH49">
        <f>SUMPRODUCT(--('Данные 2st'!$Q$2:$Q$317=$A49),--ISNUMBER('Данные 2st'!$NA$2:$NA$317))</f>
        <v>0</v>
      </c>
      <c r="RI49">
        <f>SUMPRODUCT(--('Данные 2st'!$Q$2:$Q$317=$A49),--ISNUMBER('Данные 2st'!$NB$2:$NB$317))</f>
        <v>0</v>
      </c>
      <c r="RJ49">
        <f>SUMPRODUCT(--('Данные 2st'!$Q$2:$Q$317=$A49),--ISNUMBER('Данные 2st'!$NC$2:$NC$317))</f>
        <v>0</v>
      </c>
      <c r="RK49">
        <f>SUMPRODUCT(--('Данные 2st'!$Q$2:$Q$317=$A49),--ISNUMBER('Данные 2st'!$ND$2:$ND$317))</f>
        <v>0</v>
      </c>
      <c r="RL49">
        <f>SUMPRODUCT(--('Данные 2st'!$Q$2:$Q$317=$A49),--ISNUMBER('Данные 2st'!$NE$2:$NE$317))</f>
        <v>0</v>
      </c>
      <c r="RM49">
        <f>SUMPRODUCT(--('Данные 2st'!$Q$2:$Q$317=$A49),--ISNUMBER('Данные 2st'!$NF$2:$NF$317))</f>
        <v>0</v>
      </c>
      <c r="RN49">
        <f>SUMPRODUCT(--('Данные 2st'!$Q$2:$Q$317=$A49),--ISNUMBER('Данные 2st'!$NG$2:$NG$317))</f>
        <v>0</v>
      </c>
      <c r="RO49">
        <f>SUMPRODUCT(--('Данные 2st'!$Q$2:$Q$317=$A49),--ISNUMBER('Данные 2st'!$NH$2:$NH$317))</f>
        <v>0</v>
      </c>
      <c r="RP49">
        <f>SUMPRODUCT(--('Данные 2st'!$Q$2:$Q$317=$A49),--ISNUMBER('Данные 2st'!$NJ$2:$NJ$317))</f>
        <v>0</v>
      </c>
      <c r="RQ49">
        <f>SUMPRODUCT(--('Данные 2st'!$Q$2:$Q$317=$A49),--ISNUMBER('Данные 2st'!$NK$2:$NK$317))</f>
        <v>0</v>
      </c>
      <c r="RR49">
        <f>SUMPRODUCT(--('Данные 2st'!$Q$2:$Q$317=$A49),--ISNUMBER('Данные 2st'!$NM$2:$NM$317))</f>
        <v>0</v>
      </c>
      <c r="RS49">
        <f>SUMPRODUCT(--('Данные 2st'!$Q$2:$Q$317=$A49),--ISNUMBER('Данные 2st'!$NN$2:$NN$317))</f>
        <v>0</v>
      </c>
      <c r="RT49">
        <f>SUMPRODUCT(--('Данные 2st'!$Q$2:$Q$317=$A49),--ISNUMBER('Данные 2st'!$NO$2:$NO$317))</f>
        <v>0</v>
      </c>
      <c r="RU49">
        <f>SUMPRODUCT(--('Данные 2st'!$Q$2:$Q$317=$A49),--ISNUMBER('Данные 2st'!$NP$2:$NP$317))</f>
        <v>0</v>
      </c>
      <c r="RV49">
        <f>SUMPRODUCT(--('Данные 2st'!$Q$2:$Q$317=$A49),--ISNUMBER('Данные 2st'!$NQ$2:$NQ$317))</f>
        <v>0</v>
      </c>
      <c r="RW49">
        <f>SUMPRODUCT(--('Данные 2st'!$Q$2:$Q$317=$A49),--ISNUMBER('Данные 2st'!$NR$2:$NR$317))</f>
        <v>0</v>
      </c>
      <c r="RX49">
        <f>SUMPRODUCT(--('Данные 2st'!$Q$2:$Q$317=$A49),--ISNUMBER('Данные 2st'!$NS$2:$NS$317))</f>
        <v>0</v>
      </c>
      <c r="RY49">
        <f>SUMPRODUCT(--('Данные 2st'!$Q$2:$Q$317=$A49),--ISNUMBER('Данные 2st'!$NT$2:$NT$317))</f>
        <v>0</v>
      </c>
      <c r="RZ49">
        <f>SUMPRODUCT(--('Данные 2st'!$Q$2:$Q$317=$A49),--ISNUMBER('Данные 2st'!$OK$2:$OK$317))</f>
        <v>7</v>
      </c>
      <c r="SA49">
        <f>SUMPRODUCT(--('Данные 2st'!$Q$2:$Q$317=$A49),--ISNUMBER('Данные 2st'!$OL$2:$OL$317))</f>
        <v>7</v>
      </c>
      <c r="SB49">
        <f>SUMPRODUCT(--('Данные 2st'!$Q$2:$Q$317=$A49),--ISNUMBER('Данные 2st'!$ON$2:$ON$317))</f>
        <v>7</v>
      </c>
      <c r="SC49">
        <f>SUMPRODUCT(--('Данные 2st'!$Q$2:$Q$317=$A49),--ISNUMBER('Данные 2st'!$OO$2:$OO$317))</f>
        <v>7</v>
      </c>
      <c r="SD49">
        <f>SUMPRODUCT(--('Данные 2st'!$Q$2:$Q$317=$A49),--ISNUMBER('Данные 2st'!$OP$2:$OP$317))</f>
        <v>7</v>
      </c>
      <c r="SE49">
        <f>SUMPRODUCT(--('Данные 2st'!$Q$2:$Q$317=$A49),--ISNUMBER('Данные 2st'!$OQ$2:$OQ$317))</f>
        <v>7</v>
      </c>
      <c r="SF49">
        <f>SUMPRODUCT(--('Данные 2st'!$Q$2:$Q$317=$A49),--ISNUMBER('Данные 2st'!$OS$2:$OS$317))</f>
        <v>7</v>
      </c>
      <c r="SG49">
        <f>SUMPRODUCT(--('Данные 2st'!$Q$2:$Q$317=$A49),--ISNUMBER('Данные 2st'!$OT$2:$OT$317))</f>
        <v>7</v>
      </c>
      <c r="SH49">
        <f>SUMPRODUCT(--('Данные 2st'!$Q$2:$Q$317=$A49),--ISNUMBER('Данные 2st'!$OU$2:$OU$317))</f>
        <v>7</v>
      </c>
      <c r="SI49">
        <f>SUMPRODUCT(--('Данные 2st'!$Q$2:$Q$317=$A49),--ISNUMBER('Данные 2st'!$OV$2:$OV$317))</f>
        <v>7</v>
      </c>
      <c r="SJ49">
        <f>SUMPRODUCT(--('Данные 2st'!$Q$2:$Q$317=$A49),--ISNUMBER('Данные 2st'!$OX$2:$OX$317))</f>
        <v>7</v>
      </c>
      <c r="SK49">
        <f>SUMPRODUCT(--('Данные 2st'!$Q$2:$Q$317=$A49),--ISNUMBER('Данные 2st'!$OY$2:$OY$317))</f>
        <v>7</v>
      </c>
      <c r="SL49">
        <f>SUMPRODUCT(--('Данные 2st'!$Q$2:$Q$317=$A49),--ISNUMBER('Данные 2st'!$OZ$2:$OZ$317))</f>
        <v>7</v>
      </c>
      <c r="SM49">
        <f>SUMPRODUCT(--('Данные 2st'!$Q$2:$Q$317=$A49),--ISNUMBER('Данные 2st'!$PA$2:$PA$317))</f>
        <v>7</v>
      </c>
      <c r="SN49">
        <f>SUMPRODUCT(--('Данные 2st'!$Q$2:$Q$317=$A49),--ISNUMBER('Данные 2st'!$PC$2:$PC$317))</f>
        <v>7</v>
      </c>
      <c r="SO49">
        <f>SUMPRODUCT(--('Данные 2st'!$Q$2:$Q$317=$A49),--ISNUMBER('Данные 2st'!$PD$2:$PD$317))</f>
        <v>7</v>
      </c>
      <c r="SP49">
        <f>SUMPRODUCT(--('Данные 2st'!$Q$2:$Q$317=$A49),--ISNUMBER('Данные 2st'!$PF$2:$PF$317))</f>
        <v>7</v>
      </c>
      <c r="SQ49">
        <f>SUMPRODUCT(--('Данные 2st'!$Q$2:$Q$317=$A49),--ISNUMBER('Данные 2st'!$PG$2:$PG$317))</f>
        <v>7</v>
      </c>
      <c r="SR49">
        <f>SUMPRODUCT(--('Данные 2st'!$Q$2:$Q$317=$A49),--ISNUMBER('Данные 2st'!$PH$2:$PH$317))</f>
        <v>7</v>
      </c>
      <c r="SS49">
        <f>SUMPRODUCT(--('Данные 2st'!$Q$2:$Q$317=$A49),--ISNUMBER('Данные 2st'!$PI$2:$PI$317))</f>
        <v>7</v>
      </c>
      <c r="ST49">
        <f>SUMPRODUCT(--('Данные 2st'!$Q$2:$Q$317=$A49),--ISNUMBER('Данные 2st'!$PJ$2:$PJ$317))</f>
        <v>7</v>
      </c>
      <c r="SU49">
        <f>SUMPRODUCT(--('Данные 2st'!$Q$2:$Q$317=$A49),--ISNUMBER('Данные 2st'!$PK$2:$PK$317))</f>
        <v>6</v>
      </c>
      <c r="SV49">
        <f>SUMPRODUCT(--('Данные 2st'!$Q$2:$Q$317=$A49),--ISNUMBER('Данные 2st'!$PL$2:$PL$317))</f>
        <v>7</v>
      </c>
      <c r="SW49">
        <f>SUMPRODUCT(--('Данные 2st'!$Q$2:$Q$317=$A49),--ISNUMBER('Данные 2st'!$PM$2:$PM$317))</f>
        <v>7</v>
      </c>
      <c r="SX49">
        <f>SUMPRODUCT(--('Данные 2st'!$Q$2:$Q$317=$A49),--ISNUMBER('Данные 2st'!$PN$2:$PN$317))</f>
        <v>7</v>
      </c>
      <c r="SY49">
        <f>SUMPRODUCT(--('Данные 2st'!$Q$2:$Q$317=$A49),--ISNUMBER('Данные 2st'!$PO$2:$PO$317))</f>
        <v>7</v>
      </c>
      <c r="SZ49">
        <f>SUMPRODUCT(--('Данные 2st'!$Q$2:$Q$317=$A49),--ISNUMBER('Данные 2st'!$PP$2:$PP$317))</f>
        <v>7</v>
      </c>
      <c r="TA49">
        <f>SUMPRODUCT(--('Данные 2st'!$Q$2:$Q$317=$A49),--ISNUMBER('Данные 2st'!$PQ$2:$PQ$317))</f>
        <v>7</v>
      </c>
      <c r="TB49">
        <f>SUMPRODUCT(--('Данные 2st'!$Q$2:$Q$317=$A49),--ISNUMBER('Данные 2st'!$PR$2:$PR$317))</f>
        <v>7</v>
      </c>
      <c r="TC49">
        <f>SUMPRODUCT(--('Данные 2st'!$Q$2:$Q$317=$A49),--ISNUMBER('Данные 2st'!$PS$2:$PS$317))</f>
        <v>7</v>
      </c>
      <c r="TD49">
        <f>SUMPRODUCT(--('Данные 2st'!$Q$2:$Q$317=$A49),--ISNUMBER('Данные 2st'!$PT$2:$PT$317))</f>
        <v>7</v>
      </c>
      <c r="TE49">
        <f>SUMPRODUCT(--('Данные 2st'!$Q$2:$Q$317=$A49),--ISNUMBER('Данные 2st'!$PU$2:$PU$317))</f>
        <v>7</v>
      </c>
      <c r="TF49">
        <f>SUMPRODUCT(--('Данные 2st'!$Q$2:$Q$317=$A49),--ISNUMBER('Данные 2st'!$PX$2:$PX$317))</f>
        <v>7</v>
      </c>
      <c r="TG49">
        <f>SUMPRODUCT(--('Данные 2st'!$Q$2:$Q$317=$A49),--ISNUMBER('Данные 2st'!$PY$2:$PY$317))</f>
        <v>7</v>
      </c>
      <c r="TH49">
        <f>SUMPRODUCT(--('Данные 2st'!$Q$2:$Q$317=$A49),--ISNUMBER('Данные 2st'!$PZ$2:$PZ$317))</f>
        <v>7</v>
      </c>
      <c r="TI49">
        <f>SUMPRODUCT(--('Данные 2st'!$Q$2:$Q$317=$A49),--ISNUMBER('Данные 2st'!$QA$2:$QA$317))</f>
        <v>7</v>
      </c>
      <c r="TJ49">
        <f>SUMPRODUCT(--('Данные 2st'!$Q$2:$Q$317=$A49),--ISNUMBER('Данные 2st'!$QB$2:$QB$317))</f>
        <v>7</v>
      </c>
      <c r="TK49">
        <f>SUMPRODUCT(--('Данные 2st'!$Q$2:$Q$317=$A49),--ISNUMBER('Данные 2st'!$QC$2:$QC$317))</f>
        <v>7</v>
      </c>
      <c r="TL49">
        <f>SUMPRODUCT(--('Данные 2st'!$Q$2:$Q$317=$A49),--ISNUMBER('Данные 2st'!$QD$2:$QD$317))</f>
        <v>7</v>
      </c>
      <c r="TM49">
        <f>SUMPRODUCT(--('Данные 2st'!$Q$2:$Q$317=$A49),--ISNUMBER('Данные 2st'!$QE$2:$QE$317))</f>
        <v>7</v>
      </c>
      <c r="TN49">
        <f>SUMPRODUCT(--('Данные 2st'!$Q$2:$Q$317=$A49),--ISNUMBER('Данные 2st'!$QF$2:$QF$317))</f>
        <v>7</v>
      </c>
      <c r="TO49">
        <f>SUMPRODUCT(--('Данные 2st'!$Q$2:$Q$317=$A49),--ISNUMBER('Данные 2st'!$QG$2:$QG$317))</f>
        <v>7</v>
      </c>
      <c r="TP49">
        <f>SUMPRODUCT(--('Данные 2st'!$Q$2:$Q$317=$A49),--ISNUMBER('Данные 2st'!$QH$2:$QH$317))</f>
        <v>7</v>
      </c>
      <c r="TQ49">
        <f>SUMPRODUCT(--('Данные 2st'!$Q$2:$Q$317=$A49),--ISNUMBER('Данные 2st'!$QI$2:$QI$317))</f>
        <v>7</v>
      </c>
      <c r="TR49">
        <f>SUMPRODUCT(--('Данные 2st'!$Q$2:$Q$317=$A49),--ISNUMBER('Данные 2st'!$QJ$2:$QJ$317))</f>
        <v>7</v>
      </c>
      <c r="TS49">
        <f>SUMPRODUCT(--('Данные 2st'!$Q$2:$Q$317=$A49),--ISNUMBER('Данные 2st'!$QK$2:$QK$317))</f>
        <v>7</v>
      </c>
      <c r="TT49">
        <f>SUMPRODUCT(--('Данные 2st'!$Q$2:$Q$317=$A49),--ISNUMBER('Данные 2st'!$QL$2:$QL$317))</f>
        <v>7</v>
      </c>
      <c r="TU49">
        <f>SUMPRODUCT(--('Данные 2st'!$Q$2:$Q$317=$A49),--ISNUMBER('Данные 2st'!$QM$2:$QM$317))</f>
        <v>7</v>
      </c>
      <c r="TV49">
        <f>SUMPRODUCT(--('Данные 2st'!$Q$2:$Q$317=$A49),--ISNUMBER('Данные 2st'!$QN$2:$QN$317))</f>
        <v>7</v>
      </c>
      <c r="TW49">
        <f>SUMPRODUCT(--('Данные 2st'!$Q$2:$Q$317=$A49),--ISNUMBER('Данные 2st'!$QQ$2:$QQ$317))</f>
        <v>7</v>
      </c>
      <c r="TX49">
        <f>SUMPRODUCT(--('Данные 2st'!$Q$2:$Q$317=$A49),--ISNUMBER('Данные 2st'!$QS$2:$QS$317))</f>
        <v>7</v>
      </c>
      <c r="TY49">
        <f>SUMPRODUCT(--('Данные 2st'!$Q$2:$Q$317=$A49),--ISNUMBER('Данные 2st'!$QT$2:$QT$317))</f>
        <v>7</v>
      </c>
    </row>
    <row r="50" spans="1:545" ht="32" customHeight="1">
      <c r="A50" s="11" t="str">
        <f>'По размерам'!A50</f>
        <v>235/55R20</v>
      </c>
      <c r="G50">
        <f>SUMPRODUCT(--('Данные 1st'!$S$2:$S$317=$A50),--ISNUMBER('Данные 1st'!$AE$2:$AE$317))</f>
        <v>1</v>
      </c>
      <c r="H50">
        <f>SUMPRODUCT(--('Данные 1st'!$S$2:$S$317=$A50),--ISNUMBER('Данные 1st'!$AF$2:$AF$317))</f>
        <v>1</v>
      </c>
      <c r="I50">
        <f>SUMPRODUCT(--('Данные 1st'!$S$2:$S$317=$A50),--ISNUMBER('Данные 1st'!$AJ$2:$AJ$317))</f>
        <v>1</v>
      </c>
      <c r="J50">
        <f>SUMPRODUCT(--('Данные 1st'!$S$2:$S$317=$A50),--ISNUMBER('Данные 1st'!$AL$2:$AL$317))</f>
        <v>1</v>
      </c>
      <c r="K50">
        <f>SUMPRODUCT(--('Данные 1st'!$S$2:$S$317=$A50),--ISNUMBER('Данные 1st'!$AR$2:$AR$317))</f>
        <v>1</v>
      </c>
      <c r="L50">
        <f>SUMPRODUCT(--('Данные 1st'!$S$2:$S$317=$A50),--ISNUMBER('Данные 1st'!$AS$2:$AS$317))</f>
        <v>1</v>
      </c>
      <c r="M50">
        <f>SUMPRODUCT(--('Данные 1st'!$S$2:$S$317=$A50),--ISNUMBER('Данные 1st'!$AY$2:$AY$317))</f>
        <v>1</v>
      </c>
      <c r="N50">
        <f>SUMPRODUCT(--('Данные 1st'!$S$2:$S$317=$A50),--ISNUMBER('Данные 1st'!$AZ$2:$AZ$317))</f>
        <v>1</v>
      </c>
      <c r="O50">
        <f>SUMPRODUCT(--('Данные 1st'!$S$2:$S$317=$A50),--ISNUMBER('Данные 1st'!$BF$2:$BF$317))</f>
        <v>1</v>
      </c>
      <c r="P50">
        <f>SUMPRODUCT(--('Данные 1st'!$S$2:$S$317=$A50),--ISNUMBER('Данные 1st'!$BG$2:$BG$317))</f>
        <v>1</v>
      </c>
      <c r="Q50">
        <f>SUMPRODUCT(--('Данные 1st'!$S$2:$S$317=$A50),--ISNUMBER('Данные 1st'!$BM$2:$BM$317))</f>
        <v>0</v>
      </c>
      <c r="R50">
        <f>SUMPRODUCT(--('Данные 1st'!$S$2:$S$317=$A50),--ISNUMBER('Данные 1st'!$BN$2:$BN$317))</f>
        <v>1</v>
      </c>
      <c r="S50">
        <f>SUMPRODUCT(--('Данные 1st'!$S$2:$S$317=$A50),--ISNUMBER('Данные 1st'!$BT$2:$BT$317))</f>
        <v>1</v>
      </c>
      <c r="T50">
        <f>SUMPRODUCT(--('Данные 1st'!$S$2:$S$317=$A50),--ISNUMBER('Данные 1st'!$BU$2:$BU$317))</f>
        <v>1</v>
      </c>
      <c r="U50">
        <f>SUMPRODUCT(--('Данные 1st'!$S$2:$S$317=$A50),--ISNUMBER('Данные 1st'!$BW$2:$BW$317))</f>
        <v>1</v>
      </c>
      <c r="V50">
        <f>SUMPRODUCT(--('Данные 1st'!$S$2:$S$317=$A50),--ISNUMBER('Данные 1st'!$BX$2:$BX$317))</f>
        <v>1</v>
      </c>
      <c r="W50">
        <f>SUMPRODUCT(--('Данные 1st'!$S$2:$S$317=$A50),--ISNUMBER('Данные 1st'!$BZ$2:$BZ$317))</f>
        <v>1</v>
      </c>
      <c r="X50">
        <f>SUMPRODUCT(--('Данные 1st'!$S$2:$S$317=$A50),--ISNUMBER('Данные 1st'!$CA$2:$CA$317))</f>
        <v>1</v>
      </c>
      <c r="Y50">
        <f>SUMPRODUCT(--('Данные 1st'!$S$2:$S$317=$A50),--ISNUMBER('Данные 1st'!$CD$2:$CD$317))</f>
        <v>1</v>
      </c>
      <c r="Z50">
        <f>SUMPRODUCT(--('Данные 1st'!$S$2:$S$317=$A50),--ISNUMBER('Данные 1st'!$CF$2:$CF$317))</f>
        <v>1</v>
      </c>
      <c r="AA50">
        <f>SUMPRODUCT(--('Данные 1st'!$S$2:$S$317=$A50),--ISNUMBER('Данные 1st'!$CI$2:$CI$317))</f>
        <v>1</v>
      </c>
      <c r="AB50">
        <f>SUMPRODUCT(--('Данные 1st'!$S$2:$S$317=$A50),--ISNUMBER('Данные 1st'!$CJ$2:$CJ$317))</f>
        <v>1</v>
      </c>
      <c r="AC50">
        <f>SUMPRODUCT(--('Данные 1st'!$S$2:$S$317=$A50),--ISNUMBER('Данные 1st'!$CK$2:$CK$317))</f>
        <v>1</v>
      </c>
      <c r="AD50">
        <f>SUMPRODUCT(--('Данные 1st'!$S$2:$S$317=$A50),--ISNUMBER('Данные 1st'!$CL$2:$CL$317))</f>
        <v>1</v>
      </c>
      <c r="AE50">
        <f>SUMPRODUCT(--('Данные 1st'!$S$2:$S$317=$A50),--ISNUMBER('Данные 1st'!$CM$2:$CM$317))</f>
        <v>1</v>
      </c>
      <c r="AF50">
        <f>SUMPRODUCT(--('Данные 1st'!$S$2:$S$317=$A50),--ISNUMBER('Данные 1st'!$CT$2:$CT$317))</f>
        <v>1</v>
      </c>
      <c r="AG50">
        <f>SUMPRODUCT(--('Данные 1st'!$S$2:$S$317=$A50),--ISNUMBER('Данные 1st'!$CU$2:$CU$317))</f>
        <v>1</v>
      </c>
      <c r="AH50">
        <f>SUMPRODUCT(--('Данные 1st'!$S$2:$S$317=$A50),--ISNUMBER('Данные 1st'!$CV$2:$CV$317))</f>
        <v>1</v>
      </c>
      <c r="AI50">
        <f>SUMPRODUCT(--('Данные 1st'!$S$2:$S$317=$A50),--ISNUMBER('Данные 1st'!$CW$2:$CW$317))</f>
        <v>1</v>
      </c>
      <c r="AJ50">
        <f>SUMPRODUCT(--('Данные 1st'!$S$2:$S$317=$A50),--ISNUMBER('Данные 1st'!$CX$2:$CX$317))</f>
        <v>1</v>
      </c>
      <c r="AK50">
        <f>SUMPRODUCT(--('Данные 1st'!$S$2:$S$317=$A50),--ISNUMBER('Данные 1st'!$CZ$2:$CZ$317))</f>
        <v>1</v>
      </c>
      <c r="AL50">
        <f>SUMPRODUCT(--('Данные 1st'!$S$2:$S$317=$A50),--ISNUMBER('Данные 1st'!$DA$2:$DA$317))</f>
        <v>1</v>
      </c>
      <c r="AM50">
        <f>SUMPRODUCT(--('Данные 1st'!$S$2:$S$317=$A50),--ISNUMBER('Данные 1st'!$DB$2:$DB$317))</f>
        <v>1</v>
      </c>
      <c r="AN50">
        <f>SUMPRODUCT(--('Данные 1st'!$S$2:$S$317=$A50),--ISNUMBER('Данные 1st'!$DC$2:$DC$317))</f>
        <v>1</v>
      </c>
      <c r="AO50">
        <f>SUMPRODUCT(--('Данные 1st'!$S$2:$S$317=$A50),--ISNUMBER('Данные 1st'!$DD$2:$DD$317))</f>
        <v>1</v>
      </c>
      <c r="AP50">
        <f>SUMPRODUCT(--('Данные 1st'!$S$2:$S$317=$A50),--ISNUMBER('Данные 1st'!$DF$2:$DF$317))</f>
        <v>1</v>
      </c>
      <c r="AQ50">
        <f>SUMPRODUCT(--('Данные 1st'!$S$2:$S$317=$A50),--ISNUMBER('Данные 1st'!$DG$2:$DG$317))</f>
        <v>1</v>
      </c>
      <c r="AR50">
        <f>SUMPRODUCT(--('Данные 1st'!$S$2:$S$317=$A50),--ISNUMBER('Данные 1st'!$DH$2:$DH$317))</f>
        <v>1</v>
      </c>
      <c r="AS50">
        <f>SUMPRODUCT(--('Данные 1st'!$S$2:$S$317=$A50),--ISNUMBER('Данные 1st'!$DI$2:$DI$317))</f>
        <v>1</v>
      </c>
      <c r="AT50">
        <f>SUMPRODUCT(--('Данные 1st'!$S$2:$S$317=$A50),--ISNUMBER('Данные 1st'!$DJ$2:$DJ$317))</f>
        <v>1</v>
      </c>
      <c r="AU50">
        <f>SUMPRODUCT(--('Данные 1st'!$S$2:$S$317=$A50),--ISNUMBER('Данные 1st'!$DL$2:$DL$317))</f>
        <v>1</v>
      </c>
      <c r="AV50">
        <f>SUMPRODUCT(--('Данные 1st'!$S$2:$S$317=$A50),--ISNUMBER('Данные 1st'!$DM$2:$DM$317))</f>
        <v>1</v>
      </c>
      <c r="AW50">
        <f>SUMPRODUCT(--('Данные 1st'!$S$2:$S$317=$A50),--ISNUMBER('Данные 1st'!$DN$2:$DN$317))</f>
        <v>1</v>
      </c>
      <c r="AX50">
        <f>SUMPRODUCT(--('Данные 1st'!$S$2:$S$317=$A50),--ISNUMBER('Данные 1st'!$DO$2:$DO$317))</f>
        <v>1</v>
      </c>
      <c r="AY50">
        <f>SUMPRODUCT(--('Данные 1st'!$S$2:$S$317=$A50),--ISNUMBER('Данные 1st'!$DP$2:$DP$317))</f>
        <v>1</v>
      </c>
      <c r="AZ50">
        <f>SUMPRODUCT(--('Данные 1st'!$S$2:$S$317=$A50),--ISNUMBER('Данные 1st'!$DR$2:$DR$317))</f>
        <v>0</v>
      </c>
      <c r="BA50">
        <f>SUMPRODUCT(--('Данные 1st'!$S$2:$S$317=$A50),--ISNUMBER('Данные 1st'!$DS$2:$DS$317))</f>
        <v>0</v>
      </c>
      <c r="BB50">
        <f>SUMPRODUCT(--('Данные 1st'!$S$2:$S$317=$A50),--ISNUMBER('Данные 1st'!$DT$2:$DT$317))</f>
        <v>0</v>
      </c>
      <c r="BC50">
        <f>SUMPRODUCT(--('Данные 1st'!$S$2:$S$317=$A50),--ISNUMBER('Данные 1st'!$DU$2:$DU$317))</f>
        <v>0</v>
      </c>
      <c r="BD50">
        <f>SUMPRODUCT(--('Данные 1st'!$S$2:$S$317=$A50),--ISNUMBER('Данные 1st'!$DV$2:$DV$317))</f>
        <v>0</v>
      </c>
      <c r="BE50">
        <f>SUMPRODUCT(--('Данные 1st'!$S$2:$S$317=$A50),--ISNUMBER('Данные 1st'!$DX$2:$DX$317))</f>
        <v>1</v>
      </c>
      <c r="BF50">
        <f>SUMPRODUCT(--('Данные 1st'!$S$2:$S$317=$A50),--ISNUMBER('Данные 1st'!$EA$2:$EA$317))</f>
        <v>1</v>
      </c>
      <c r="BG50">
        <f>SUMPRODUCT(--('Данные 1st'!$S$2:$S$317=$A50),--ISNUMBER('Данные 1st'!$EB$2:$EB$317))</f>
        <v>1</v>
      </c>
      <c r="BH50">
        <f>SUMPRODUCT(--('Данные 1st'!$S$2:$S$317=$A50),--ISNUMBER('Данные 1st'!$ED$2:$ED$317))</f>
        <v>1</v>
      </c>
      <c r="BI50">
        <f>SUMPRODUCT(--('Данные 1st'!$S$2:$S$317=$A50),--ISNUMBER('Данные 1st'!$EE$2:$EE$317))</f>
        <v>1</v>
      </c>
      <c r="BJ50">
        <f>SUMPRODUCT(--('Данные 1st'!$S$2:$S$317=$A50),--ISNUMBER('Данные 1st'!$EG$2:$EG$317))</f>
        <v>1</v>
      </c>
      <c r="BK50">
        <f>SUMPRODUCT(--('Данные 1st'!$S$2:$S$317=$A50),--ISNUMBER('Данные 1st'!$EH$2:$EH$317))</f>
        <v>1</v>
      </c>
      <c r="BL50">
        <f>SUMPRODUCT(--('Данные 1st'!$S$2:$S$317=$A50),--ISNUMBER('Данные 1st'!$EJ$2:$EJ$317))</f>
        <v>1</v>
      </c>
      <c r="BM50">
        <f>SUMPRODUCT(--('Данные 1st'!$S$2:$S$317=$A50),--ISNUMBER('Данные 1st'!$EK$2:$EK$317))</f>
        <v>1</v>
      </c>
      <c r="BN50">
        <f>SUMPRODUCT(--('Данные 1st'!$S$2:$S$317=$A50),--ISNUMBER('Данные 1st'!$EN$2:$EN$317))</f>
        <v>1</v>
      </c>
      <c r="BO50">
        <f>SUMPRODUCT(--('Данные 1st'!$S$2:$S$317=$A50),--ISNUMBER('Данные 1st'!$EQ$2:$EQ$317))</f>
        <v>1</v>
      </c>
      <c r="BP50">
        <f>SUMPRODUCT(--('Данные 1st'!$S$2:$S$317=$A50),--ISNUMBER('Данные 1st'!$ER$2:$ER$317))</f>
        <v>1</v>
      </c>
      <c r="BQ50">
        <f>SUMPRODUCT(--('Данные 1st'!$S$2:$S$317=$A50),--ISNUMBER('Данные 1st'!$ES$2:$ES$317))</f>
        <v>1</v>
      </c>
      <c r="BR50">
        <f>SUMPRODUCT(--('Данные 1st'!$S$2:$S$317=$A50),--ISNUMBER('Данные 1st'!$ET$2:$ET$317))</f>
        <v>1</v>
      </c>
      <c r="BS50">
        <f>SUMPRODUCT(--('Данные 1st'!$S$2:$S$317=$A50),--ISNUMBER('Данные 1st'!$EU$2:$EU$317))</f>
        <v>1</v>
      </c>
      <c r="BT50">
        <f>SUMPRODUCT(--('Данные 1st'!$S$2:$S$317=$A50),--ISNUMBER('Данные 1st'!$EV$2:$EV$317))</f>
        <v>1</v>
      </c>
      <c r="BU50">
        <f>SUMPRODUCT(--('Данные 1st'!$S$2:$S$317=$A50),--ISNUMBER('Данные 1st'!$EX$2:$EX$317))</f>
        <v>1</v>
      </c>
      <c r="BV50">
        <f>SUMPRODUCT(--('Данные 1st'!$S$2:$S$317=$A50),--ISNUMBER('Данные 1st'!$EY$2:$EY$317))</f>
        <v>1</v>
      </c>
      <c r="BW50">
        <f>SUMPRODUCT(--('Данные 1st'!$S$2:$S$317=$A50),--ISNUMBER('Данные 1st'!$EZ$2:$EZ$317))</f>
        <v>1</v>
      </c>
      <c r="BX50">
        <f>SUMPRODUCT(--('Данные 1st'!$S$2:$S$317=$A50),--ISNUMBER('Данные 1st'!$FA$2:$FA$317))</f>
        <v>1</v>
      </c>
      <c r="BY50">
        <f>SUMPRODUCT(--('Данные 1st'!$S$2:$S$317=$A50),--ISNUMBER('Данные 1st'!$FB$2:$FB$317))</f>
        <v>1</v>
      </c>
      <c r="BZ50">
        <f>SUMPRODUCT(--('Данные 1st'!$S$2:$S$317=$A50),--ISNUMBER('Данные 1st'!$FC$2:$FC$317))</f>
        <v>1</v>
      </c>
      <c r="CA50">
        <f>SUMPRODUCT(--('Данные 1st'!$S$2:$S$317=$A50),--ISNUMBER('Данные 1st'!$FE$2:$FE$317))</f>
        <v>1</v>
      </c>
      <c r="CB50">
        <f>SUMPRODUCT(--('Данные 1st'!$S$2:$S$317=$A50),--ISNUMBER('Данные 1st'!$FF$2:$FF$317))</f>
        <v>1</v>
      </c>
      <c r="CC50">
        <f>SUMPRODUCT(--('Данные 1st'!$S$2:$S$317=$A50),--ISNUMBER('Данные 1st'!$FI$2:$FI$317))</f>
        <v>1</v>
      </c>
      <c r="CD50">
        <f>SUMPRODUCT(--('Данные 1st'!$S$2:$S$317=$A50),--ISNUMBER('Данные 1st'!$FL$2:$FL$317))</f>
        <v>1</v>
      </c>
      <c r="CE50">
        <f>SUMPRODUCT(--('Данные 1st'!$S$2:$S$317=$A50),--ISNUMBER('Данные 1st'!$FM$2:$FM$317))</f>
        <v>1</v>
      </c>
      <c r="CF50">
        <f>SUMPRODUCT(--('Данные 1st'!$S$2:$S$317=$A50),--ISNUMBER('Данные 1st'!$FN$2:$FN$317))</f>
        <v>1</v>
      </c>
      <c r="CG50">
        <f>SUMPRODUCT(--('Данные 1st'!$S$2:$S$317=$A50),--ISNUMBER('Данные 1st'!$FO$2:$FO$317))</f>
        <v>1</v>
      </c>
      <c r="CH50">
        <f>SUMPRODUCT(--('Данные 1st'!$S$2:$S$317=$A50),--ISNUMBER('Данные 1st'!$FP$2:$FP$317))</f>
        <v>1</v>
      </c>
      <c r="CI50">
        <f>SUMPRODUCT(--('Данные 1st'!$S$2:$S$317=$A50),--ISNUMBER('Данные 1st'!$FS$2:$FS$317))</f>
        <v>0</v>
      </c>
      <c r="CJ50">
        <f>SUMPRODUCT(--('Данные 1st'!$S$2:$S$317=$A50),--ISNUMBER('Данные 1st'!$FT$2:$FT$317))</f>
        <v>0</v>
      </c>
      <c r="CK50">
        <f>SUMPRODUCT(--('Данные 1st'!$S$2:$S$317=$A50),--ISNUMBER('Данные 1st'!$FU$2:$FU$317))</f>
        <v>0</v>
      </c>
      <c r="CL50">
        <f>SUMPRODUCT(--('Данные 1st'!$S$2:$S$317=$A50),--ISNUMBER('Данные 1st'!$FV$2:$FV$317))</f>
        <v>0</v>
      </c>
      <c r="CM50">
        <f>SUMPRODUCT(--('Данные 1st'!$S$2:$S$317=$A50),--ISNUMBER('Данные 1st'!$FW$2:$FW$317))</f>
        <v>0</v>
      </c>
      <c r="CN50">
        <f>SUMPRODUCT(--('Данные 1st'!$S$2:$S$317=$A50),--ISNUMBER('Данные 1st'!$FZ$2:$FZ$317))</f>
        <v>0</v>
      </c>
      <c r="CO50">
        <f>SUMPRODUCT(--('Данные 1st'!$S$2:$S$317=$A50),--ISNUMBER('Данные 1st'!$GA$2:$GA$317))</f>
        <v>0</v>
      </c>
      <c r="CP50">
        <f>SUMPRODUCT(--('Данные 1st'!$S$2:$S$317=$A50),--ISNUMBER('Данные 1st'!$GB$2:$GB$317))</f>
        <v>0</v>
      </c>
      <c r="CQ50">
        <f>SUMPRODUCT(--('Данные 1st'!$S$2:$S$317=$A50),--ISNUMBER('Данные 1st'!$GH$2:$GH$317))</f>
        <v>0</v>
      </c>
      <c r="CR50">
        <f>SUMPRODUCT(--('Данные 1st'!$S$2:$S$317=$A50),--ISNUMBER('Данные 1st'!$GI$2:$GI$317))</f>
        <v>0</v>
      </c>
      <c r="CS50">
        <f>SUMPRODUCT(--('Данные 1st'!$S$2:$S$317=$A50),--ISNUMBER('Данные 1st'!$GJ$2:$GJ$317))</f>
        <v>0</v>
      </c>
      <c r="CT50">
        <f>SUMPRODUCT(--('Данные 1st'!$S$2:$S$317=$A50),--ISNUMBER('Данные 1st'!$GS$2:$GS$317))</f>
        <v>1</v>
      </c>
      <c r="CU50">
        <f>SUMPRODUCT(--('Данные 1st'!$S$2:$S$317=$A50),--ISNUMBER('Данные 1st'!$GT$2:$GT$317))</f>
        <v>1</v>
      </c>
      <c r="CV50">
        <f>SUMPRODUCT(--('Данные 1st'!$S$2:$S$317=$A50),--ISNUMBER('Данные 1st'!$GU$2:$GU$317))</f>
        <v>1</v>
      </c>
      <c r="CW50">
        <f>SUMPRODUCT(--('Данные 1st'!$S$2:$S$317=$A50),--ISNUMBER('Данные 1st'!$GV$2:$GV$317))</f>
        <v>0</v>
      </c>
      <c r="CX50">
        <f>SUMPRODUCT(--('Данные 1st'!$S$2:$S$317=$A50),--ISNUMBER('Данные 1st'!$GW$2:$GW$317))</f>
        <v>0</v>
      </c>
      <c r="CY50">
        <f>SUMPRODUCT(--('Данные 1st'!$S$2:$S$317=$A50),--ISNUMBER('Данные 1st'!$GZ$2:$GZ$317))</f>
        <v>0</v>
      </c>
      <c r="CZ50">
        <f>SUMPRODUCT(--('Данные 1st'!$S$2:$S$317=$A50),--ISNUMBER('Данные 1st'!$HA$2:$HA$317))</f>
        <v>0</v>
      </c>
      <c r="DA50">
        <f>SUMPRODUCT(--('Данные 1st'!$S$2:$S$317=$A50),--ISNUMBER('Данные 1st'!$HB$2:$HB$317))</f>
        <v>0</v>
      </c>
      <c r="DB50">
        <f>SUMPRODUCT(--('Данные 1st'!$S$2:$S$317=$A50),--ISNUMBER('Данные 1st'!$HC$2:$HC$317))</f>
        <v>1</v>
      </c>
      <c r="DC50">
        <f>SUMPRODUCT(--('Данные 1st'!$S$2:$S$317=$A50),--ISNUMBER('Данные 1st'!$HD$2:$HD$317))</f>
        <v>1</v>
      </c>
      <c r="DD50">
        <f>SUMPRODUCT(--('Данные 1st'!$S$2:$S$317=$A50),--ISNUMBER('Данные 1st'!$HE$2:$HE$317))</f>
        <v>1</v>
      </c>
      <c r="DE50">
        <f>SUMPRODUCT(--('Данные 1st'!$S$2:$S$317=$A50),--ISNUMBER('Данные 1st'!$HF$2:$HF$317))</f>
        <v>1</v>
      </c>
      <c r="DF50">
        <f>SUMPRODUCT(--('Данные 1st'!$S$2:$S$317=$A50),--ISNUMBER('Данные 1st'!$HG$2:$HG$317))</f>
        <v>1</v>
      </c>
      <c r="DG50">
        <f>SUMPRODUCT(--('Данные 1st'!$S$2:$S$317=$A50),--ISNUMBER('Данные 1st'!$HH$2:$HH$317))</f>
        <v>1</v>
      </c>
      <c r="DH50">
        <f>SUMPRODUCT(--('Данные 1st'!$S$2:$S$317=$A50),--ISNUMBER('Данные 1st'!$HI$2:$HI$317))</f>
        <v>1</v>
      </c>
      <c r="DI50">
        <f>SUMPRODUCT(--('Данные 1st'!$S$2:$S$317=$A50),--ISNUMBER('Данные 1st'!$HJ$2:$HJ$317))</f>
        <v>1</v>
      </c>
      <c r="DJ50">
        <f>SUMPRODUCT(--('Данные 1st'!$S$2:$S$317=$A50),--ISNUMBER('Данные 1st'!$HK$2:$HK$317))</f>
        <v>1</v>
      </c>
      <c r="DK50">
        <f>SUMPRODUCT(--('Данные 1st'!$S$2:$S$317=$A50),--ISNUMBER('Данные 1st'!$HL$2:$HL$317))</f>
        <v>1</v>
      </c>
      <c r="DL50">
        <f>SUMPRODUCT(--('Данные 1st'!$S$2:$S$317=$A50),--ISNUMBER('Данные 1st'!$HM$2:$HM$317))</f>
        <v>1</v>
      </c>
      <c r="DM50">
        <f>SUMPRODUCT(--('Данные 1st'!$S$2:$S$317=$A50),--ISNUMBER('Данные 1st'!$HN$2:$HN$317))</f>
        <v>1</v>
      </c>
      <c r="DN50">
        <f>SUMPRODUCT(--('Данные 1st'!$S$2:$S$317=$A50),--ISNUMBER('Данные 1st'!$HO$2:$HO$317))</f>
        <v>1</v>
      </c>
      <c r="DO50">
        <f>SUMPRODUCT(--('Данные 1st'!$S$2:$S$317=$A50),--ISNUMBER('Данные 1st'!$HP$2:$HP$317))</f>
        <v>1</v>
      </c>
      <c r="DP50">
        <f>SUMPRODUCT(--('Данные 1st'!$S$2:$S$317=$A50),--ISNUMBER('Данные 1st'!$HQ$2:$HQ$317))</f>
        <v>1</v>
      </c>
      <c r="DQ50">
        <f>SUMPRODUCT(--('Данные 1st'!$S$2:$S$317=$A50),--ISNUMBER('Данные 1st'!$HR$2:$HR$317))</f>
        <v>1</v>
      </c>
      <c r="DR50">
        <f>SUMPRODUCT(--('Данные 1st'!$S$2:$S$317=$A50),--ISNUMBER('Данные 1st'!$HS$2:$HS$317))</f>
        <v>1</v>
      </c>
      <c r="DS50">
        <f>SUMPRODUCT(--('Данные 1st'!$S$2:$S$317=$A50),--ISNUMBER('Данные 1st'!$HT$2:$HT$317))</f>
        <v>1</v>
      </c>
      <c r="DT50">
        <f>SUMPRODUCT(--('Данные 1st'!$S$2:$S$317=$A50),--ISNUMBER('Данные 1st'!$HU$2:$HU$317))</f>
        <v>1</v>
      </c>
      <c r="DU50">
        <f>SUMPRODUCT(--('Данные 1st'!$S$2:$S$317=$A50),--ISNUMBER('Данные 1st'!$HW$2:$HW$317))</f>
        <v>1</v>
      </c>
      <c r="DV50">
        <f>SUMPRODUCT(--('Данные 1st'!$S$2:$S$317=$A50),--ISNUMBER('Данные 1st'!$HX$2:$HX$317))</f>
        <v>1</v>
      </c>
      <c r="DW50">
        <f>SUMPRODUCT(--('Данные 1st'!$S$2:$S$317=$A50),--ISNUMBER('Данные 1st'!$HY$2:$HY$317))</f>
        <v>1</v>
      </c>
      <c r="DX50">
        <f>SUMPRODUCT(--('Данные 1st'!$S$2:$S$317=$A50),--ISNUMBER('Данные 1st'!$IA$2:$IA$317))</f>
        <v>1</v>
      </c>
      <c r="DY50">
        <f>SUMPRODUCT(--('Данные 1st'!$S$2:$S$317=$A50),--ISNUMBER('Данные 1st'!$IB$2:$IB$317))</f>
        <v>1</v>
      </c>
      <c r="DZ50">
        <f>SUMPRODUCT(--('Данные 1st'!$S$2:$S$317=$A50),--ISNUMBER('Данные 1st'!$IC$2:$IC$317))</f>
        <v>1</v>
      </c>
      <c r="EA50">
        <f>SUMPRODUCT(--('Данные 1st'!$S$2:$S$317=$A50),--ISNUMBER('Данные 1st'!$ID$2:$ID$317))</f>
        <v>1</v>
      </c>
      <c r="EB50">
        <f>SUMPRODUCT(--('Данные 1st'!$S$2:$S$317=$A50),--ISNUMBER('Данные 1st'!$IE$2:$IE$317))</f>
        <v>1</v>
      </c>
      <c r="EC50">
        <f>SUMPRODUCT(--('Данные 1st'!$S$2:$S$317=$A50),--ISNUMBER('Данные 1st'!$IF$2:$IF$317))</f>
        <v>1</v>
      </c>
      <c r="ED50">
        <f>SUMPRODUCT(--('Данные 1st'!$S$2:$S$317=$A50),--ISNUMBER('Данные 1st'!$IP$2:$IP$317))</f>
        <v>1</v>
      </c>
      <c r="EE50">
        <f>SUMPRODUCT(--('Данные 1st'!$S$2:$S$317=$A50),--ISNUMBER('Данные 1st'!$IV$2:$IV$317))</f>
        <v>1</v>
      </c>
      <c r="EF50">
        <f>SUMPRODUCT(--('Данные 1st'!$S$2:$S$317=$A50),--ISNUMBER('Данные 1st'!$IW$2:$IW$317))</f>
        <v>1</v>
      </c>
      <c r="EG50">
        <f>SUMPRODUCT(--('Данные 1st'!$S$2:$S$317=$A50),--ISNUMBER('Данные 1st'!$IX$2:$IX$317))</f>
        <v>0</v>
      </c>
      <c r="EH50">
        <f>SUMPRODUCT(--('Данные 1st'!$S$2:$S$317=$A50),--ISNUMBER('Данные 1st'!$IY$2:$IY$317))</f>
        <v>0</v>
      </c>
      <c r="EI50">
        <f>SUMPRODUCT(--('Данные 1st'!$S$2:$S$317=$A50),--ISNUMBER('Данные 1st'!$JD$2:$JD$317))</f>
        <v>1</v>
      </c>
      <c r="EJ50">
        <f>SUMPRODUCT(--('Данные 1st'!$S$2:$S$317=$A50),--ISNUMBER('Данные 1st'!$JE$2:$JE$317))</f>
        <v>1</v>
      </c>
      <c r="EK50">
        <f>SUMPRODUCT(--('Данные 1st'!$S$2:$S$317=$A50),--ISNUMBER('Данные 1st'!$JF$2:$JF$317))</f>
        <v>1</v>
      </c>
      <c r="EL50">
        <f>SUMPRODUCT(--('Данные 1st'!$S$2:$S$317=$A50),--ISNUMBER('Данные 1st'!$JG$2:$JG$317))</f>
        <v>1</v>
      </c>
      <c r="EM50">
        <f>SUMPRODUCT(--('Данные 1st'!$S$2:$S$317=$A50),--ISNUMBER('Данные 1st'!$JH$2:$JH$317))</f>
        <v>1</v>
      </c>
      <c r="EN50">
        <f>SUMPRODUCT(--('Данные 1st'!$S$2:$S$317=$A50),--ISNUMBER('Данные 1st'!$JJ$2:$JJ$317))</f>
        <v>1</v>
      </c>
      <c r="EO50">
        <f>SUMPRODUCT(--('Данные 1st'!$S$2:$S$317=$A50),--ISNUMBER('Данные 1st'!$JK$2:$JK$317))</f>
        <v>1</v>
      </c>
      <c r="EP50">
        <f>SUMPRODUCT(--('Данные 1st'!$S$2:$S$317=$A50),--ISNUMBER('Данные 1st'!$JL$2:$JL$317))</f>
        <v>0</v>
      </c>
      <c r="EQ50">
        <f>SUMPRODUCT(--('Данные 1st'!$S$2:$S$317=$A50),--ISNUMBER('Данные 1st'!$JM$2:$JM$317))</f>
        <v>0</v>
      </c>
      <c r="ER50">
        <f>SUMPRODUCT(--('Данные 1st'!$S$2:$S$317=$A50),--ISNUMBER('Данные 1st'!$JN$2:$JN$317))</f>
        <v>1</v>
      </c>
      <c r="ES50">
        <f>SUMPRODUCT(--('Данные 1st'!$S$2:$S$317=$A50),--ISNUMBER('Данные 1st'!$JO$2:$JO$317))</f>
        <v>1</v>
      </c>
      <c r="ET50">
        <f>SUMPRODUCT(--('Данные 1st'!$S$2:$S$317=$A50),--ISNUMBER('Данные 1st'!$JP$2:$JP$317))</f>
        <v>1</v>
      </c>
      <c r="EU50">
        <f>SUMPRODUCT(--('Данные 1st'!$S$2:$S$317=$A50),--ISNUMBER('Данные 1st'!$JQ$2:$JQ$317))</f>
        <v>1</v>
      </c>
      <c r="EV50">
        <f>SUMPRODUCT(--('Данные 1st'!$S$2:$S$317=$A50),--ISNUMBER('Данные 1st'!$JR$2:$JR$317))</f>
        <v>1</v>
      </c>
      <c r="EW50">
        <f>SUMPRODUCT(--('Данные 1st'!$S$2:$S$317=$A50),--ISNUMBER('Данные 1st'!$JS$2:$JS$317))</f>
        <v>1</v>
      </c>
      <c r="EX50">
        <f>SUMPRODUCT(--('Данные 1st'!$S$2:$S$317=$A50),--ISNUMBER('Данные 1st'!$JT$2:$JT$317))</f>
        <v>0</v>
      </c>
      <c r="EY50">
        <f>SUMPRODUCT(--('Данные 1st'!$S$2:$S$317=$A50),--ISNUMBER('Данные 1st'!$JU$2:$JU$317))</f>
        <v>0</v>
      </c>
      <c r="EZ50">
        <f>SUMPRODUCT(--('Данные 1st'!$S$2:$S$317=$A50),--ISNUMBER('Данные 1st'!$JV$2:$JV$317))</f>
        <v>1</v>
      </c>
      <c r="FA50">
        <f>SUMPRODUCT(--('Данные 1st'!$S$2:$S$317=$A50),--ISNUMBER('Данные 1st'!$JW$2:$JW$317))</f>
        <v>0</v>
      </c>
      <c r="FB50">
        <f>SUMPRODUCT(--('Данные 1st'!$S$2:$S$317=$A50),--ISNUMBER('Данные 1st'!$JX$2:$JX$317))</f>
        <v>1</v>
      </c>
      <c r="FC50">
        <f>SUMPRODUCT(--('Данные 1st'!$S$2:$S$317=$A50),--ISNUMBER('Данные 1st'!$JY$2:$JY$317))</f>
        <v>0</v>
      </c>
      <c r="FD50">
        <f>SUMPRODUCT(--('Данные 1st'!$S$2:$S$317=$A50),--ISNUMBER('Данные 1st'!$JZ$2:$JZ$317))</f>
        <v>0</v>
      </c>
      <c r="FE50">
        <f>SUMPRODUCT(--('Данные 1st'!$S$2:$S$317=$A50),--ISNUMBER('Данные 1st'!$KA$2:$KA$317))</f>
        <v>1</v>
      </c>
      <c r="FF50">
        <f>SUMPRODUCT(--('Данные 1st'!$S$2:$S$317=$A50),--ISNUMBER('Данные 1st'!$KB$2:$KB$317))</f>
        <v>1</v>
      </c>
      <c r="FG50">
        <f>SUMPRODUCT(--('Данные 1st'!$S$2:$S$317=$A50),--ISNUMBER('Данные 1st'!$KC$2:$KC$317))</f>
        <v>1</v>
      </c>
      <c r="FH50">
        <f>SUMPRODUCT(--('Данные 1st'!$S$2:$S$317=$A50),--ISNUMBER('Данные 1st'!$KD$2:$KD$317))</f>
        <v>1</v>
      </c>
      <c r="FI50">
        <f>SUMPRODUCT(--('Данные 1st'!$S$2:$S$317=$A50),--ISNUMBER('Данные 1st'!$KE$2:$KE$317))</f>
        <v>0</v>
      </c>
      <c r="FJ50">
        <f>SUMPRODUCT(--('Данные 1st'!$S$2:$S$317=$A50),--ISNUMBER('Данные 1st'!$KF$2:$KF$317))</f>
        <v>1</v>
      </c>
      <c r="FK50">
        <f>SUMPRODUCT(--('Данные 1st'!$S$2:$S$317=$A50),--ISNUMBER('Данные 1st'!$KG$2:$KG$317))</f>
        <v>1</v>
      </c>
      <c r="FL50">
        <f>SUMPRODUCT(--('Данные 1st'!$S$2:$S$317=$A50),--ISNUMBER('Данные 1st'!$KH$2:$KH$317))</f>
        <v>1</v>
      </c>
      <c r="FM50">
        <f>SUMPRODUCT(--('Данные 1st'!$S$2:$S$317=$A50),--ISNUMBER('Данные 1st'!$KI$2:$KI$317))</f>
        <v>1</v>
      </c>
      <c r="FN50">
        <f>SUMPRODUCT(--('Данные 1st'!$S$2:$S$317=$A50),--ISNUMBER('Данные 1st'!$KJ$2:$KJ$317))</f>
        <v>1</v>
      </c>
      <c r="FO50">
        <f>SUMPRODUCT(--('Данные 1st'!$S$2:$S$317=$A50),--ISNUMBER('Данные 1st'!$KK$2:$KK$317))</f>
        <v>1</v>
      </c>
      <c r="FP50">
        <f>SUMPRODUCT(--('Данные 1st'!$S$2:$S$317=$A50),--ISNUMBER('Данные 1st'!$KL$2:$KL$317))</f>
        <v>1</v>
      </c>
      <c r="FQ50">
        <f>SUMPRODUCT(--('Данные 1st'!$S$2:$S$317=$A50),--ISNUMBER('Данные 1st'!$KM$2:$KM$317))</f>
        <v>1</v>
      </c>
      <c r="FR50">
        <f>SUMPRODUCT(--('Данные 1st'!$S$2:$S$317=$A50),--ISNUMBER('Данные 1st'!$KN$2:$KN$317))</f>
        <v>1</v>
      </c>
      <c r="FS50">
        <f>SUMPRODUCT(--('Данные 1st'!$S$2:$S$317=$A50),--ISNUMBER('Данные 1st'!$KR$2:$KR$317))</f>
        <v>1</v>
      </c>
      <c r="FT50">
        <f>SUMPRODUCT(--('Данные 1st'!$S$2:$S$317=$A50),--ISNUMBER('Данные 1st'!$KS$2:$KS$317))</f>
        <v>1</v>
      </c>
      <c r="FU50">
        <f>SUMPRODUCT(--('Данные 1st'!$S$2:$S$317=$A50),--ISNUMBER('Данные 1st'!$KT$2:$KT$317))</f>
        <v>1</v>
      </c>
      <c r="FV50">
        <f>SUMPRODUCT(--('Данные 1st'!$S$2:$S$317=$A50),--ISNUMBER('Данные 1st'!$KV$2:$KV$317))</f>
        <v>0</v>
      </c>
      <c r="FW50">
        <f>SUMPRODUCT(--('Данные 1st'!$S$2:$S$317=$A50),--ISNUMBER('Данные 1st'!$KW$2:$KW$317))</f>
        <v>0</v>
      </c>
      <c r="FX50">
        <f>SUMPRODUCT(--('Данные 1st'!$S$2:$S$317=$A50),--ISNUMBER('Данные 1st'!$KX$2:$KX$317))</f>
        <v>0</v>
      </c>
      <c r="FY50">
        <f>SUMPRODUCT(--('Данные 1st'!$S$2:$S$317=$A50),--ISNUMBER('Данные 1st'!$KY$2:$KY$317))</f>
        <v>0</v>
      </c>
      <c r="FZ50">
        <f>SUMPRODUCT(--('Данные 1st'!$S$2:$S$317=$A50),--ISNUMBER('Данные 1st'!$KZ$2:$KZ$317))</f>
        <v>0</v>
      </c>
      <c r="GA50">
        <f>SUMPRODUCT(--('Данные 1st'!$S$2:$S$317=$A50),--ISNUMBER('Данные 1st'!$LA$2:$LA$317))</f>
        <v>0</v>
      </c>
      <c r="GB50">
        <f>SUMPRODUCT(--('Данные 1st'!$S$2:$S$317=$A50),--ISNUMBER('Данные 1st'!$LB$2:$LB$317))</f>
        <v>0</v>
      </c>
      <c r="GC50">
        <f>SUMPRODUCT(--('Данные 1st'!$S$2:$S$317=$A50),--ISNUMBER('Данные 1st'!$LC$2:$LC$317))</f>
        <v>0</v>
      </c>
      <c r="GD50">
        <f>SUMPRODUCT(--('Данные 1st'!$S$2:$S$317=$A50),--ISNUMBER('Данные 1st'!$LD$2:$LD$317))</f>
        <v>0</v>
      </c>
      <c r="GE50">
        <f>SUMPRODUCT(--('Данные 1st'!$S$2:$S$317=$A50),--ISNUMBER('Данные 1st'!$LE$2:$LE$317))</f>
        <v>0</v>
      </c>
      <c r="GF50">
        <f>SUMPRODUCT(--('Данные 1st'!$S$2:$S$317=$A50),--ISNUMBER('Данные 1st'!$LF$2:$LF$317))</f>
        <v>0</v>
      </c>
      <c r="GG50">
        <f>SUMPRODUCT(--('Данные 1st'!$S$2:$S$317=$A50),--ISNUMBER('Данные 1st'!$LG$2:$LG$317))</f>
        <v>0</v>
      </c>
      <c r="GH50">
        <f>SUMPRODUCT(--('Данные 1st'!$S$2:$S$317=$A50),--ISNUMBER('Данные 1st'!$LH$2:$LH$317))</f>
        <v>0</v>
      </c>
      <c r="GI50">
        <f>SUMPRODUCT(--('Данные 1st'!$S$2:$S$317=$A50),--ISNUMBER('Данные 1st'!$LI$2:$LI$317))</f>
        <v>0</v>
      </c>
      <c r="GJ50">
        <f>SUMPRODUCT(--('Данные 1st'!$S$2:$S$317=$A50),--ISNUMBER('Данные 1st'!$LJ$2:$LJ$317))</f>
        <v>0</v>
      </c>
      <c r="GK50">
        <f>SUMPRODUCT(--('Данные 1st'!$S$2:$S$317=$A50),--ISNUMBER('Данные 1st'!$LK$2:$LK$317))</f>
        <v>1</v>
      </c>
      <c r="GL50">
        <f>SUMPRODUCT(--('Данные 1st'!$S$2:$S$317=$A50),--ISNUMBER('Данные 1st'!$LV$2:$LV$317))</f>
        <v>0</v>
      </c>
      <c r="GM50">
        <f>SUMPRODUCT(--('Данные 1st'!$S$2:$S$317=$A50),--ISNUMBER('Данные 1st'!$LW$2:$LW$317))</f>
        <v>0</v>
      </c>
      <c r="GN50">
        <f>SUMPRODUCT(--('Данные 1st'!$S$2:$S$317=$A50),--ISNUMBER('Данные 1st'!$LX$2:$LX$317))</f>
        <v>0</v>
      </c>
      <c r="GO50">
        <f>SUMPRODUCT(--('Данные 1st'!$S$2:$S$317=$A50),--ISNUMBER('Данные 1st'!$LY$2:$LY$317))</f>
        <v>0</v>
      </c>
      <c r="GP50">
        <f>SUMPRODUCT(--('Данные 1st'!$S$2:$S$317=$A50),--ISNUMBER('Данные 1st'!$LZ$2:$LZ$317))</f>
        <v>0</v>
      </c>
      <c r="GQ50">
        <f>SUMPRODUCT(--('Данные 1st'!$S$2:$S$317=$A50),--ISNUMBER('Данные 1st'!$PG$2:$PG$317))</f>
        <v>1</v>
      </c>
      <c r="GR50">
        <f>SUMPRODUCT(--('Данные 1st'!$S$2:$S$317=$A50),--ISNUMBER('Данные 1st'!$PX$2:$PX$317))</f>
        <v>1</v>
      </c>
      <c r="GS50">
        <f>SUMPRODUCT(--('Данные 1st'!$S$2:$S$317=$A50),--ISNUMBER('Данные 1st'!$PY$2:$PY$317))</f>
        <v>1</v>
      </c>
      <c r="GT50">
        <f>SUMPRODUCT(--('Данные 1st'!$S$2:$S$317=$A50),--ISNUMBER('Данные 1st'!$QA$2:$QA$317))</f>
        <v>1</v>
      </c>
      <c r="GU50">
        <f>SUMPRODUCT(--('Данные 1st'!$S$2:$S$317=$A50),--ISNUMBER('Данные 1st'!$QB$2:$QB$317))</f>
        <v>1</v>
      </c>
      <c r="GV50">
        <f>SUMPRODUCT(--('Данные 1st'!$S$2:$S$317=$A50),--ISNUMBER('Данные 1st'!$QC$2:$QC$317))</f>
        <v>1</v>
      </c>
      <c r="GW50">
        <f>SUMPRODUCT(--('Данные 1st'!$S$2:$S$317=$A50),--ISNUMBER('Данные 1st'!$QD$2:$QD$317))</f>
        <v>1</v>
      </c>
      <c r="GX50">
        <f>SUMPRODUCT(--('Данные 1st'!$S$2:$S$317=$A50),--ISNUMBER('Данные 1st'!$QF$2:$QF$317))</f>
        <v>1</v>
      </c>
      <c r="GY50">
        <f>SUMPRODUCT(--('Данные 1st'!$S$2:$S$317=$A50),--ISNUMBER('Данные 1st'!$QG$2:$QG$317))</f>
        <v>1</v>
      </c>
      <c r="GZ50">
        <f>SUMPRODUCT(--('Данные 1st'!$S$2:$S$317=$A50),--ISNUMBER('Данные 1st'!$QH$2:$QH$317))</f>
        <v>1</v>
      </c>
      <c r="HA50">
        <f>SUMPRODUCT(--('Данные 1st'!$S$2:$S$317=$A50),--ISNUMBER('Данные 1st'!$QI$2:$QI$317))</f>
        <v>1</v>
      </c>
      <c r="HB50">
        <f>SUMPRODUCT(--('Данные 1st'!$S$2:$S$317=$A50),--ISNUMBER('Данные 1st'!$QK$2:$QK$317))</f>
        <v>1</v>
      </c>
      <c r="HC50">
        <f>SUMPRODUCT(--('Данные 1st'!$S$2:$S$317=$A50),--ISNUMBER('Данные 1st'!$QL$2:$QL$317))</f>
        <v>1</v>
      </c>
      <c r="HD50">
        <f>SUMPRODUCT(--('Данные 1st'!$S$2:$S$317=$A50),--ISNUMBER('Данные 1st'!$QM$2:$QM$317))</f>
        <v>1</v>
      </c>
      <c r="HE50">
        <f>SUMPRODUCT(--('Данные 1st'!$S$2:$S$317=$A50),--ISNUMBER('Данные 1st'!$QN$2:$QN$317))</f>
        <v>1</v>
      </c>
      <c r="HF50">
        <f>SUMPRODUCT(--('Данные 1st'!$S$2:$S$317=$A50),--ISNUMBER('Данные 1st'!$QP$2:$QP$317))</f>
        <v>1</v>
      </c>
      <c r="HG50">
        <f>SUMPRODUCT(--('Данные 1st'!$S$2:$S$317=$A50),--ISNUMBER('Данные 1st'!$QQ$2:$QQ$317))</f>
        <v>1</v>
      </c>
      <c r="HH50">
        <f>SUMPRODUCT(--('Данные 1st'!$S$2:$S$317=$A50),--ISNUMBER('Данные 1st'!$QR$2:$QR$317))</f>
        <v>1</v>
      </c>
      <c r="HI50">
        <f>SUMPRODUCT(--('Данные 1st'!$S$2:$S$317=$A50),--ISNUMBER('Данные 1st'!$QS$2:$QS$317))</f>
        <v>1</v>
      </c>
      <c r="HJ50">
        <f>SUMPRODUCT(--('Данные 1st'!$S$2:$S$317=$A50),--ISNUMBER('Данные 1st'!$QU$2:$QU$317))</f>
        <v>1</v>
      </c>
      <c r="HK50">
        <f>SUMPRODUCT(--('Данные 1st'!$S$2:$S$317=$A50),--ISNUMBER('Данные 1st'!$QV$2:$QV$317))</f>
        <v>1</v>
      </c>
      <c r="HL50">
        <f>SUMPRODUCT(--('Данные 1st'!$S$2:$S$317=$A50),--ISNUMBER('Данные 1st'!$QW$2:$QW$317))</f>
        <v>1</v>
      </c>
      <c r="HM50">
        <f>SUMPRODUCT(--('Данные 1st'!$S$2:$S$317=$A50),--ISNUMBER('Данные 1st'!$QX$2:$QX$317))</f>
        <v>0</v>
      </c>
      <c r="HN50">
        <f>SUMPRODUCT(--('Данные 1st'!$S$2:$S$317=$A50),--ISNUMBER('Данные 1st'!$QZ$2:$QZ$317))</f>
        <v>1</v>
      </c>
      <c r="HO50">
        <f>SUMPRODUCT(--('Данные 1st'!$S$2:$S$317=$A50),--ISNUMBER('Данные 1st'!$RA$2:$RA$317))</f>
        <v>1</v>
      </c>
      <c r="HP50">
        <f>SUMPRODUCT(--('Данные 1st'!$S$2:$S$317=$A50),--ISNUMBER('Данные 1st'!$RB$2:$RB$317))</f>
        <v>1</v>
      </c>
      <c r="HQ50">
        <f>SUMPRODUCT(--('Данные 1st'!$S$2:$S$317=$A50),--ISNUMBER('Данные 1st'!$RD$2:$RD$317))</f>
        <v>0</v>
      </c>
      <c r="HR50">
        <f>SUMPRODUCT(--('Данные 1st'!$S$2:$S$317=$A50),--ISNUMBER('Данные 1st'!$RE$2:$RE$317))</f>
        <v>1</v>
      </c>
      <c r="HS50">
        <f>SUMPRODUCT(--('Данные 1st'!$S$2:$S$317=$A50),--ISNUMBER('Данные 1st'!$RF$2:$RF$317))</f>
        <v>1</v>
      </c>
      <c r="HT50">
        <f>SUMPRODUCT(--('Данные 1st'!$S$2:$S$317=$A50),--ISNUMBER('Данные 1st'!$RG$2:$RG$317))</f>
        <v>0</v>
      </c>
      <c r="HU50">
        <f>SUMPRODUCT(--('Данные 1st'!$S$2:$S$317=$A50),--ISNUMBER('Данные 1st'!$RH$2:$RH$317))</f>
        <v>1</v>
      </c>
      <c r="HV50">
        <f>SUMPRODUCT(--('Данные 1st'!$S$2:$S$317=$A50),--ISNUMBER('Данные 1st'!$RI$2:$RI$317))</f>
        <v>0</v>
      </c>
      <c r="HW50">
        <f>SUMPRODUCT(--('Данные 1st'!$S$2:$S$317=$A50),--ISNUMBER('Данные 1st'!$RJ$2:$RJ$317))</f>
        <v>1</v>
      </c>
      <c r="HX50">
        <f>SUMPRODUCT(--('Данные 1st'!$S$2:$S$317=$A50),--ISNUMBER('Данные 1st'!$RK$2:$RK$317))</f>
        <v>1</v>
      </c>
      <c r="HY50">
        <f>SUMPRODUCT(--('Данные 1st'!$S$2:$S$317=$A50),--ISNUMBER('Данные 1st'!$RL$2:$RL$317))</f>
        <v>1</v>
      </c>
      <c r="HZ50">
        <f>SUMPRODUCT(--('Данные 1st'!$S$2:$S$317=$A50),--ISNUMBER('Данные 1st'!$RM$2:$RM$317))</f>
        <v>1</v>
      </c>
      <c r="IA50">
        <f>SUMPRODUCT(--('Данные 1st'!$S$2:$S$317=$A50),--ISNUMBER('Данные 1st'!$RN$2:$RN$317))</f>
        <v>0</v>
      </c>
      <c r="IB50">
        <f>SUMPRODUCT(--('Данные 1st'!$S$2:$S$317=$A50),--ISNUMBER('Данные 1st'!$RO$2:$RO$317))</f>
        <v>1</v>
      </c>
      <c r="IC50">
        <f>SUMPRODUCT(--('Данные 1st'!$S$2:$S$317=$A50),--ISNUMBER('Данные 1st'!$RP$2:$RP$317))</f>
        <v>1</v>
      </c>
      <c r="ID50">
        <f>SUMPRODUCT(--('Данные 1st'!$S$2:$S$317=$A50),--ISNUMBER('Данные 1st'!$RQ$2:$RQ$317))</f>
        <v>1</v>
      </c>
      <c r="IE50">
        <f>SUMPRODUCT(--('Данные 1st'!$S$2:$S$317=$A50),--ISNUMBER('Данные 1st'!$RR$2:$RR$317))</f>
        <v>1</v>
      </c>
      <c r="IF50">
        <f>SUMPRODUCT(--('Данные 1st'!$S$2:$S$317=$A50),--ISNUMBER('Данные 1st'!$RS$2:$RS$317))</f>
        <v>0</v>
      </c>
      <c r="IG50">
        <f>SUMPRODUCT(--('Данные 1st'!$S$2:$S$317=$A50),--ISNUMBER('Данные 1st'!$RT$2:$RT$317))</f>
        <v>1</v>
      </c>
      <c r="IH50">
        <f>SUMPRODUCT(--('Данные 1st'!$S$2:$S$317=$A50),--ISNUMBER('Данные 1st'!$RU$2:$RU$317))</f>
        <v>1</v>
      </c>
      <c r="II50">
        <f>SUMPRODUCT(--('Данные 1st'!$S$2:$S$317=$A50),--ISNUMBER('Данные 1st'!$RX$2:$RX$317))</f>
        <v>1</v>
      </c>
      <c r="IJ50">
        <f>SUMPRODUCT(--('Данные 1st'!$S$2:$S$317=$A50),--ISNUMBER('Данные 1st'!$RY$2:$RY$317))</f>
        <v>1</v>
      </c>
      <c r="IK50">
        <f>SUMPRODUCT(--('Данные 1st'!$S$2:$S$317=$A50),--ISNUMBER('Данные 1st'!$SA$2:$SA$317))</f>
        <v>1</v>
      </c>
      <c r="IL50">
        <f>SUMPRODUCT(--('Данные 1st'!$S$2:$S$317=$A50),--ISNUMBER('Данные 1st'!$SD$2:$SD$317))</f>
        <v>1</v>
      </c>
      <c r="IM50">
        <f>SUMPRODUCT(--('Данные 1st'!$S$2:$S$317=$A50),--ISNUMBER('Данные 1st'!$SG$2:$SG$317))</f>
        <v>1</v>
      </c>
      <c r="IN50">
        <f>SUMPRODUCT(--('Данные 1st'!$S$2:$S$317=$A50),--ISNUMBER('Данные 1st'!$SH$2:$SH$317))</f>
        <v>1</v>
      </c>
      <c r="IO50">
        <f>SUMPRODUCT(--('Данные 1st'!$S$2:$S$317=$A50),--ISNUMBER('Данные 1st'!$SI$2:$SI$317))</f>
        <v>1</v>
      </c>
      <c r="IP50">
        <f>SUMPRODUCT(--('Данные 1st'!$S$2:$S$317=$A50),--ISNUMBER('Данные 1st'!$SJ$2:$SJ$317))</f>
        <v>1</v>
      </c>
      <c r="IQ50">
        <f>SUMPRODUCT(--('Данные 1st'!$S$2:$S$317=$A50),--ISNUMBER('Данные 1st'!$SK$2:$SK$317))</f>
        <v>1</v>
      </c>
      <c r="IR50">
        <f>SUMPRODUCT(--('Данные 1st'!$S$2:$S$317=$A50),--ISNUMBER('Данные 1st'!$SL$2:$SL$317))</f>
        <v>1</v>
      </c>
      <c r="IS50">
        <f>SUMPRODUCT(--('Данные 1st'!$S$2:$S$317=$A50),--ISNUMBER('Данные 1st'!$SM$2:$SM$317))</f>
        <v>1</v>
      </c>
      <c r="IT50">
        <f>SUMPRODUCT(--('Данные 1st'!$S$2:$S$317=$A50),--ISNUMBER('Данные 1st'!$SN$2:$SN$317))</f>
        <v>1</v>
      </c>
      <c r="IU50">
        <f>SUMPRODUCT(--('Данные 1st'!$S$2:$S$317=$A50),--ISNUMBER('Данные 1st'!$SO$2:$SO$317))</f>
        <v>1</v>
      </c>
      <c r="IV50">
        <f>SUMPRODUCT(--('Данные 1st'!$S$2:$S$317=$A50),--ISNUMBER('Данные 1st'!$SP$2:$SP$317))</f>
        <v>1</v>
      </c>
      <c r="IW50">
        <f>SUMPRODUCT(--('Данные 1st'!$S$2:$S$317=$A50),--ISNUMBER('Данные 1st'!$SQ$2:$SQ$317))</f>
        <v>1</v>
      </c>
      <c r="IX50">
        <f>SUMPRODUCT(--('Данные 1st'!$S$2:$S$317=$A50),--ISNUMBER('Данные 1st'!$SR$2:$SR$317))</f>
        <v>1</v>
      </c>
      <c r="IY50">
        <f>SUMPRODUCT(--('Данные 1st'!$S$2:$S$317=$A50),--ISNUMBER('Данные 1st'!$SS$2:$SS$317))</f>
        <v>1</v>
      </c>
      <c r="IZ50">
        <f>SUMPRODUCT(--('Данные 1st'!$S$2:$S$317=$A50),--ISNUMBER('Данные 1st'!$ST$2:$ST$317))</f>
        <v>1</v>
      </c>
      <c r="JA50">
        <f>SUMPRODUCT(--('Данные 1st'!$S$2:$S$317=$A50),--ISNUMBER('Данные 1st'!$SU$2:$SU$317))</f>
        <v>1</v>
      </c>
      <c r="JB50">
        <f>SUMPRODUCT(--('Данные 1st'!$S$2:$S$317=$A50),--ISNUMBER('Данные 1st'!$SV$2:$SV$317))</f>
        <v>1</v>
      </c>
      <c r="JC50">
        <f>SUMPRODUCT(--('Данные 1st'!$S$2:$S$317=$A50),--ISNUMBER('Данные 1st'!$SW$2:$SW$317))</f>
        <v>1</v>
      </c>
      <c r="JD50">
        <f>SUMPRODUCT(--('Данные 1st'!$S$2:$S$317=$A50),--ISNUMBER('Данные 1st'!$SX$2:$SX$317))</f>
        <v>1</v>
      </c>
      <c r="JE50">
        <f>SUMPRODUCT(--('Данные 1st'!$S$2:$S$317=$A50),--ISNUMBER('Данные 1st'!$SY$2:$SY$317))</f>
        <v>1</v>
      </c>
      <c r="JF50">
        <f>SUMPRODUCT(--('Данные 1st'!$S$2:$S$317=$A50),--ISNUMBER('Данные 1st'!$SZ$2:$SZ$317))</f>
        <v>1</v>
      </c>
      <c r="JG50">
        <f>SUMPRODUCT(--('Данные 1st'!$S$2:$S$317=$A50),--ISNUMBER('Данные 1st'!$TA$2:$TA$317))</f>
        <v>0</v>
      </c>
      <c r="JH50">
        <f>SUMPRODUCT(--('Данные 1st'!$S$2:$S$317=$A50),--ISNUMBER('Данные 1st'!$TB$2:$TB$317))</f>
        <v>1</v>
      </c>
      <c r="JI50">
        <f>SUMPRODUCT(--('Данные 1st'!$S$2:$S$317=$A50),--ISNUMBER('Данные 1st'!$TC$2:$TC$317))</f>
        <v>1</v>
      </c>
      <c r="JJ50">
        <f>SUMPRODUCT(--('Данные 1st'!$S$2:$S$317=$A50),--ISNUMBER('Данные 1st'!$TD$2:$TD$317))</f>
        <v>1</v>
      </c>
      <c r="JK50">
        <f>SUMPRODUCT(--('Данные 1st'!$S$2:$S$317=$A50),--ISNUMBER('Данные 1st'!$TN$2:$TN$317))</f>
        <v>1</v>
      </c>
      <c r="JQ50">
        <f>SUMPRODUCT(--('Данные 2st'!$Q$2:$Q$317=$A50),--ISNUMBER('Данные 2st'!$AC$2:$AC$317))</f>
        <v>1</v>
      </c>
      <c r="JR50">
        <f>SUMPRODUCT(--('Данные 2st'!$Q$2:$Q$317=$A50),--ISNUMBER('Данные 2st'!$AF$2:$AF$317))</f>
        <v>1</v>
      </c>
      <c r="JS50">
        <f>SUMPRODUCT(--('Данные 2st'!$Q$2:$Q$317=$A50),--ISNUMBER('Данные 2st'!$AW$2:$AW$317))</f>
        <v>1</v>
      </c>
      <c r="JT50">
        <f>SUMPRODUCT(--('Данные 2st'!$Q$2:$Q$317=$A50),--ISNUMBER('Данные 2st'!$AX$2:$AX$317))</f>
        <v>1</v>
      </c>
      <c r="JU50">
        <f>SUMPRODUCT(--('Данные 2st'!$Q$2:$Q$317=$A50),--ISNUMBER('Данные 2st'!$AY$2:$AY$317))</f>
        <v>1</v>
      </c>
      <c r="JV50">
        <f>SUMPRODUCT(--('Данные 2st'!$Q$2:$Q$317=$A50),--ISNUMBER('Данные 2st'!$AZ$2:$AZ$317))</f>
        <v>1</v>
      </c>
      <c r="JW50">
        <f>SUMPRODUCT(--('Данные 2st'!$Q$2:$Q$317=$A50),--ISNUMBER('Данные 2st'!$BA$2:$BA$317))</f>
        <v>0</v>
      </c>
      <c r="JX50">
        <f>SUMPRODUCT(--('Данные 2st'!$Q$2:$Q$317=$A50),--ISNUMBER('Данные 2st'!$BB$2:$BB$317))</f>
        <v>0</v>
      </c>
      <c r="JY50">
        <f>SUMPRODUCT(--('Данные 2st'!$Q$2:$Q$317=$A50),--ISNUMBER('Данные 2st'!$BC$2:$BC$317))</f>
        <v>0</v>
      </c>
      <c r="JZ50">
        <f>SUMPRODUCT(--('Данные 2st'!$Q$2:$Q$317=$A50),--ISNUMBER('Данные 2st'!$BH$2:$BH$317))</f>
        <v>1</v>
      </c>
      <c r="KA50">
        <f>SUMPRODUCT(--('Данные 2st'!$Q$2:$Q$317=$A50),--ISNUMBER('Данные 2st'!$BI$2:$BI$317))</f>
        <v>1</v>
      </c>
      <c r="KB50">
        <f>SUMPRODUCT(--('Данные 2st'!$Q$2:$Q$317=$A50),--ISNUMBER('Данные 2st'!$BJ$2:$BJ$317))</f>
        <v>1</v>
      </c>
      <c r="KC50">
        <f>SUMPRODUCT(--('Данные 2st'!$Q$2:$Q$317=$A50),--ISNUMBER('Данные 2st'!$BK$2:$BK$317))</f>
        <v>1</v>
      </c>
      <c r="KD50">
        <f>SUMPRODUCT(--('Данные 2st'!$Q$2:$Q$317=$A50),--ISNUMBER('Данные 2st'!$BL$2:$BL$317))</f>
        <v>1</v>
      </c>
      <c r="KE50">
        <f>SUMPRODUCT(--('Данные 2st'!$Q$2:$Q$317=$A50),--ISNUMBER('Данные 2st'!$BM$2:$BM$317))</f>
        <v>1</v>
      </c>
      <c r="KF50">
        <f>SUMPRODUCT(--('Данные 2st'!$Q$2:$Q$317=$A50),--ISNUMBER('Данные 2st'!$BN$2:$BN$317))</f>
        <v>1</v>
      </c>
      <c r="KG50">
        <f>SUMPRODUCT(--('Данные 2st'!$Q$2:$Q$317=$A50),--ISNUMBER('Данные 2st'!$BO$2:$BO$317))</f>
        <v>0</v>
      </c>
      <c r="KH50">
        <f>SUMPRODUCT(--('Данные 2st'!$Q$2:$Q$317=$A50),--ISNUMBER('Данные 2st'!$BP$2:$BP$317))</f>
        <v>1</v>
      </c>
      <c r="KI50">
        <f>SUMPRODUCT(--('Данные 2st'!$Q$2:$Q$317=$A50),--ISNUMBER('Данные 2st'!$BR$2:$BR$317))</f>
        <v>1</v>
      </c>
      <c r="KJ50">
        <f>SUMPRODUCT(--('Данные 2st'!$Q$2:$Q$317=$A50),--ISNUMBER('Данные 2st'!$BS$2:$BS$317))</f>
        <v>1</v>
      </c>
      <c r="KK50">
        <f>SUMPRODUCT(--('Данные 2st'!$Q$2:$Q$317=$A50),--ISNUMBER('Данные 2st'!$BT$2:$BT$317))</f>
        <v>1</v>
      </c>
      <c r="KL50">
        <f>SUMPRODUCT(--('Данные 2st'!$Q$2:$Q$317=$A50),--ISNUMBER('Данные 2st'!$CV$2:$CV$317))</f>
        <v>1</v>
      </c>
      <c r="KM50">
        <f>SUMPRODUCT(--('Данные 2st'!$Q$2:$Q$317=$A50),--ISNUMBER('Данные 2st'!$CW$2:$CW$317))</f>
        <v>1</v>
      </c>
      <c r="KN50">
        <f>SUMPRODUCT(--('Данные 2st'!$Q$2:$Q$317=$A50),--ISNUMBER('Данные 2st'!$CX$2:$CX$317))</f>
        <v>1</v>
      </c>
      <c r="KO50">
        <f>SUMPRODUCT(--('Данные 2st'!$Q$2:$Q$317=$A50),--ISNUMBER('Данные 2st'!$CY$2:$CY$317))</f>
        <v>1</v>
      </c>
      <c r="KP50">
        <f>SUMPRODUCT(--('Данные 2st'!$Q$2:$Q$317=$A50),--ISNUMBER('Данные 2st'!$CZ$2:$CZ$317))</f>
        <v>1</v>
      </c>
      <c r="KQ50">
        <f>SUMPRODUCT(--('Данные 2st'!$Q$2:$Q$317=$A50),--ISNUMBER('Данные 2st'!$DA$2:$DA$317))</f>
        <v>1</v>
      </c>
      <c r="KR50">
        <f>SUMPRODUCT(--('Данные 2st'!$Q$2:$Q$317=$A50),--ISNUMBER('Данные 2st'!$DB$2:$DB$317))</f>
        <v>1</v>
      </c>
      <c r="KS50">
        <f>SUMPRODUCT(--('Данные 2st'!$Q$2:$Q$317=$A50),--ISNUMBER('Данные 2st'!$DC$2:$DC$317))</f>
        <v>1</v>
      </c>
      <c r="KT50">
        <f>SUMPRODUCT(--('Данные 2st'!$Q$2:$Q$317=$A50),--ISNUMBER('Данные 2st'!$DD$2:$DD$317))</f>
        <v>1</v>
      </c>
      <c r="KU50">
        <f>SUMPRODUCT(--('Данные 2st'!$Q$2:$Q$317=$A50),--ISNUMBER('Данные 2st'!$DE$2:$DE$317))</f>
        <v>1</v>
      </c>
      <c r="KV50">
        <f>SUMPRODUCT(--('Данные 2st'!$Q$2:$Q$317=$A50),--ISNUMBER('Данные 2st'!$DF$2:$DF$317))</f>
        <v>1</v>
      </c>
      <c r="KW50">
        <f>SUMPRODUCT(--('Данные 2st'!$Q$2:$Q$317=$A50),--ISNUMBER('Данные 2st'!$DG$2:$DG$317))</f>
        <v>1</v>
      </c>
      <c r="KX50">
        <f>SUMPRODUCT(--('Данные 2st'!$Q$2:$Q$317=$A50),--ISNUMBER('Данные 2st'!$DH$2:$DH$317))</f>
        <v>1</v>
      </c>
      <c r="KY50">
        <f>SUMPRODUCT(--('Данные 2st'!$Q$2:$Q$317=$A50),--ISNUMBER('Данные 2st'!$DI$2:$DI$317))</f>
        <v>0</v>
      </c>
      <c r="KZ50">
        <f>SUMPRODUCT(--('Данные 2st'!$Q$2:$Q$317=$A50),--ISNUMBER('Данные 2st'!$DK$2:$DK$317))</f>
        <v>1</v>
      </c>
      <c r="LA50">
        <f>SUMPRODUCT(--('Данные 2st'!$Q$2:$Q$317=$A50),--ISNUMBER('Данные 2st'!$DM$2:$DM$317))</f>
        <v>1</v>
      </c>
      <c r="LB50">
        <f>SUMPRODUCT(--('Данные 2st'!$Q$2:$Q$317=$A50),--ISNUMBER('Данные 2st'!$DN$2:$DN$317))</f>
        <v>1</v>
      </c>
      <c r="LC50">
        <f>SUMPRODUCT(--('Данные 2st'!$Q$2:$Q$317=$A50),--ISNUMBER('Данные 2st'!$DO$2:$DO$317))</f>
        <v>1</v>
      </c>
      <c r="LD50">
        <f>SUMPRODUCT(--('Данные 2st'!$Q$2:$Q$317=$A50),--ISNUMBER('Данные 2st'!$DP$2:$DP$317))</f>
        <v>1</v>
      </c>
      <c r="LE50">
        <f>SUMPRODUCT(--('Данные 2st'!$Q$2:$Q$317=$A50),--ISNUMBER('Данные 2st'!$DQ$2:$DQ$317))</f>
        <v>1</v>
      </c>
      <c r="LF50">
        <f>SUMPRODUCT(--('Данные 2st'!$Q$2:$Q$317=$A50),--ISNUMBER('Данные 2st'!$DS$2:$DS$317))</f>
        <v>1</v>
      </c>
      <c r="LG50">
        <f>SUMPRODUCT(--('Данные 2st'!$Q$2:$Q$317=$A50),--ISNUMBER('Данные 2st'!$DU$2:$DU$317))</f>
        <v>1</v>
      </c>
      <c r="LH50">
        <f>SUMPRODUCT(--('Данные 2st'!$Q$2:$Q$317=$A50),--ISNUMBER('Данные 2st'!$DV$2:$DV$317))</f>
        <v>1</v>
      </c>
      <c r="LI50">
        <f>SUMPRODUCT(--('Данные 2st'!$Q$2:$Q$317=$A50),--ISNUMBER('Данные 2st'!$DW$2:$DW$317))</f>
        <v>1</v>
      </c>
      <c r="LJ50">
        <f>SUMPRODUCT(--('Данные 2st'!$Q$2:$Q$317=$A50),--ISNUMBER('Данные 2st'!$DX$2:$DX$317))</f>
        <v>1</v>
      </c>
      <c r="LK50">
        <f>SUMPRODUCT(--('Данные 2st'!$Q$2:$Q$317=$A50),--ISNUMBER('Данные 2st'!$DY$2:$DY$317))</f>
        <v>1</v>
      </c>
      <c r="LL50">
        <f>SUMPRODUCT(--('Данные 2st'!$Q$2:$Q$317=$A50),--ISNUMBER('Данные 2st'!$EA$2:$EA$317))</f>
        <v>1</v>
      </c>
      <c r="LM50">
        <f>SUMPRODUCT(--('Данные 2st'!$Q$2:$Q$317=$A50),--ISNUMBER('Данные 2st'!$EC$2:$EC$317))</f>
        <v>1</v>
      </c>
      <c r="LN50">
        <f>SUMPRODUCT(--('Данные 2st'!$Q$2:$Q$317=$A50),--ISNUMBER('Данные 2st'!$ED$2:$ED$317))</f>
        <v>1</v>
      </c>
      <c r="LO50">
        <f>SUMPRODUCT(--('Данные 2st'!$Q$2:$Q$317=$A50),--ISNUMBER('Данные 2st'!$EE$2:$EE$317))</f>
        <v>1</v>
      </c>
      <c r="LP50">
        <f>SUMPRODUCT(--('Данные 2st'!$Q$2:$Q$317=$A50),--ISNUMBER('Данные 2st'!$EG$2:$EG$317))</f>
        <v>1</v>
      </c>
      <c r="LQ50">
        <f>SUMPRODUCT(--('Данные 2st'!$Q$2:$Q$317=$A50),--ISNUMBER('Данные 2st'!$EI$2:$EI$317))</f>
        <v>1</v>
      </c>
      <c r="LR50">
        <f>SUMPRODUCT(--('Данные 2st'!$Q$2:$Q$317=$A50),--ISNUMBER('Данные 2st'!$EJ$2:$EJ$317))</f>
        <v>0</v>
      </c>
      <c r="LS50">
        <f>SUMPRODUCT(--('Данные 2st'!$Q$2:$Q$317=$A50),--ISNUMBER('Данные 2st'!$EK$2:$EK$317))</f>
        <v>0</v>
      </c>
      <c r="LT50">
        <f>SUMPRODUCT(--('Данные 2st'!$Q$2:$Q$317=$A50),--ISNUMBER('Данные 2st'!$EM$2:$EM$317))</f>
        <v>1</v>
      </c>
      <c r="LU50">
        <f>SUMPRODUCT(--('Данные 2st'!$Q$2:$Q$317=$A50),--ISNUMBER('Данные 2st'!$EN$2:$EN$317))</f>
        <v>1</v>
      </c>
      <c r="LV50">
        <f>SUMPRODUCT(--('Данные 2st'!$Q$2:$Q$317=$A50),--ISNUMBER('Данные 2st'!$EO$2:$EO$317))</f>
        <v>1</v>
      </c>
      <c r="LW50">
        <f>SUMPRODUCT(--('Данные 2st'!$Q$2:$Q$317=$A50),--ISNUMBER('Данные 2st'!$EP$2:$EP$317))</f>
        <v>1</v>
      </c>
      <c r="LX50">
        <f>SUMPRODUCT(--('Данные 2st'!$Q$2:$Q$317=$A50),--ISNUMBER('Данные 2st'!$EQ$2:$EQ$317))</f>
        <v>1</v>
      </c>
      <c r="LY50">
        <f>SUMPRODUCT(--('Данные 2st'!$Q$2:$Q$317=$A50),--ISNUMBER('Данные 2st'!$ER$2:$ER$317))</f>
        <v>1</v>
      </c>
      <c r="LZ50">
        <f>SUMPRODUCT(--('Данные 2st'!$Q$2:$Q$317=$A50),--ISNUMBER('Данные 2st'!$ES$2:$ES$317))</f>
        <v>1</v>
      </c>
      <c r="MA50">
        <f>SUMPRODUCT(--('Данные 2st'!$Q$2:$Q$317=$A50),--ISNUMBER('Данные 2st'!$ET$2:$ET$317))</f>
        <v>1</v>
      </c>
      <c r="MB50">
        <f>SUMPRODUCT(--('Данные 2st'!$Q$2:$Q$317=$A50),--ISNUMBER('Данные 2st'!$EU$2:$EU$317))</f>
        <v>1</v>
      </c>
      <c r="MC50">
        <f>SUMPRODUCT(--('Данные 2st'!$Q$2:$Q$317=$A50),--ISNUMBER('Данные 2st'!$EV$2:$EV$317))</f>
        <v>1</v>
      </c>
      <c r="MD50">
        <f>SUMPRODUCT(--('Данные 2st'!$Q$2:$Q$317=$A50),--ISNUMBER('Данные 2st'!$EW$2:$EW$317))</f>
        <v>1</v>
      </c>
      <c r="ME50">
        <f>SUMPRODUCT(--('Данные 2st'!$Q$2:$Q$317=$A50),--ISNUMBER('Данные 2st'!$EY$2:$EY$317))</f>
        <v>1</v>
      </c>
      <c r="MF50">
        <f>SUMPRODUCT(--('Данные 2st'!$Q$2:$Q$317=$A50),--ISNUMBER('Данные 2st'!$FA$2:$FA$317))</f>
        <v>1</v>
      </c>
      <c r="MG50">
        <f>SUMPRODUCT(--('Данные 2st'!$Q$2:$Q$317=$A50),--ISNUMBER('Данные 2st'!$FB$2:$FB$317))</f>
        <v>1</v>
      </c>
      <c r="MH50">
        <f>SUMPRODUCT(--('Данные 2st'!$Q$2:$Q$317=$A50),--ISNUMBER('Данные 2st'!$FC$2:$FC$317))</f>
        <v>1</v>
      </c>
      <c r="MI50">
        <f>SUMPRODUCT(--('Данные 2st'!$Q$2:$Q$317=$A50),--ISNUMBER('Данные 2st'!$FD$2:$FD$317))</f>
        <v>1</v>
      </c>
      <c r="MJ50">
        <f>SUMPRODUCT(--('Данные 2st'!$Q$2:$Q$317=$A50),--ISNUMBER('Данные 2st'!$FE$2:$FE$317))</f>
        <v>1</v>
      </c>
      <c r="MK50">
        <f>SUMPRODUCT(--('Данные 2st'!$Q$2:$Q$317=$A50),--ISNUMBER('Данные 2st'!$FG$2:$FG$317))</f>
        <v>1</v>
      </c>
      <c r="ML50">
        <f>SUMPRODUCT(--('Данные 2st'!$Q$2:$Q$317=$A50),--ISNUMBER('Данные 2st'!$FI$2:$FI$317))</f>
        <v>1</v>
      </c>
      <c r="MM50">
        <f>SUMPRODUCT(--('Данные 2st'!$Q$2:$Q$317=$A50),--ISNUMBER('Данные 2st'!$FJ$2:$FJ$317))</f>
        <v>1</v>
      </c>
      <c r="MN50">
        <f>SUMPRODUCT(--('Данные 2st'!$Q$2:$Q$317=$A50),--ISNUMBER('Данные 2st'!$FK$2:$FK$317))</f>
        <v>1</v>
      </c>
      <c r="MO50">
        <f>SUMPRODUCT(--('Данные 2st'!$Q$2:$Q$317=$A50),--ISNUMBER('Данные 2st'!$FP$2:$FP$317))</f>
        <v>1</v>
      </c>
      <c r="MP50">
        <f>SUMPRODUCT(--('Данные 2st'!$Q$2:$Q$317=$A50),--ISNUMBER('Данные 2st'!$FQ$2:$FQ$317))</f>
        <v>1</v>
      </c>
      <c r="MQ50">
        <f>SUMPRODUCT(--('Данные 2st'!$Q$2:$Q$317=$A50),--ISNUMBER('Данные 2st'!$FS$2:$FS$317))</f>
        <v>1</v>
      </c>
      <c r="MR50">
        <f>SUMPRODUCT(--('Данные 2st'!$Q$2:$Q$317=$A50),--ISNUMBER('Данные 2st'!$FU$2:$FU$317))</f>
        <v>1</v>
      </c>
      <c r="MS50">
        <f>SUMPRODUCT(--('Данные 2st'!$Q$2:$Q$317=$A50),--ISNUMBER('Данные 2st'!$FV$2:$FV$317))</f>
        <v>1</v>
      </c>
      <c r="MT50">
        <f>SUMPRODUCT(--('Данные 2st'!$Q$2:$Q$317=$A50),--ISNUMBER('Данные 2st'!$FW$2:$FW$317))</f>
        <v>1</v>
      </c>
      <c r="MU50">
        <f>SUMPRODUCT(--('Данные 2st'!$Q$2:$Q$317=$A50),--ISNUMBER('Данные 2st'!$FY$2:$FY$317))</f>
        <v>1</v>
      </c>
      <c r="MV50">
        <f>SUMPRODUCT(--('Данные 2st'!$Q$2:$Q$317=$A50),--ISNUMBER('Данные 2st'!$GB$2:$GB$317))</f>
        <v>1</v>
      </c>
      <c r="MW50">
        <f>SUMPRODUCT(--('Данные 2st'!$Q$2:$Q$317=$A50),--ISNUMBER('Данные 2st'!$GC$2:$GC$317))</f>
        <v>1</v>
      </c>
      <c r="MX50">
        <f>SUMPRODUCT(--('Данные 2st'!$Q$2:$Q$317=$A50),--ISNUMBER('Данные 2st'!$GD$2:$GD$317))</f>
        <v>1</v>
      </c>
      <c r="MY50">
        <f>SUMPRODUCT(--('Данные 2st'!$Q$2:$Q$317=$A50),--ISNUMBER('Данные 2st'!$GN$2:$GN$317))</f>
        <v>0</v>
      </c>
      <c r="MZ50">
        <f>SUMPRODUCT(--('Данные 2st'!$Q$2:$Q$317=$A50),--ISNUMBER('Данные 2st'!$GQ$2:$GQ$317))</f>
        <v>1</v>
      </c>
      <c r="NA50">
        <f>SUMPRODUCT(--('Данные 2st'!$Q$2:$Q$317=$A50),--ISNUMBER('Данные 2st'!$GV$2:$GV$317))</f>
        <v>1</v>
      </c>
      <c r="NB50">
        <f>SUMPRODUCT(--('Данные 2st'!$Q$2:$Q$317=$A50),--ISNUMBER('Данные 2st'!$GW$2:$GW$317))</f>
        <v>1</v>
      </c>
      <c r="NC50">
        <f>SUMPRODUCT(--('Данные 2st'!$Q$2:$Q$317=$A50),--ISNUMBER('Данные 2st'!$GX$2:$GX$317))</f>
        <v>1</v>
      </c>
      <c r="ND50">
        <f>SUMPRODUCT(--('Данные 2st'!$Q$2:$Q$317=$A50),--ISNUMBER('Данные 2st'!$GY$2:$GY$317))</f>
        <v>1</v>
      </c>
      <c r="NE50">
        <f>SUMPRODUCT(--('Данные 2st'!$Q$2:$Q$317=$A50),--ISNUMBER('Данные 2st'!$GZ$2:$GZ$317))</f>
        <v>1</v>
      </c>
      <c r="NF50">
        <f>SUMPRODUCT(--('Данные 2st'!$Q$2:$Q$317=$A50),--ISNUMBER('Данные 2st'!$HA$2:$HA$317))</f>
        <v>1</v>
      </c>
      <c r="NG50">
        <f>SUMPRODUCT(--('Данные 2st'!$Q$2:$Q$317=$A50),--ISNUMBER('Данные 2st'!$HB$2:$HB$317))</f>
        <v>1</v>
      </c>
      <c r="NH50">
        <f>SUMPRODUCT(--('Данные 2st'!$Q$2:$Q$317=$A50),--ISNUMBER('Данные 2st'!$HC$2:$HC$317))</f>
        <v>1</v>
      </c>
      <c r="NI50">
        <f>SUMPRODUCT(--('Данные 2st'!$Q$2:$Q$317=$A50),--ISNUMBER('Данные 2st'!$HD$2:$HD$317))</f>
        <v>1</v>
      </c>
      <c r="NJ50">
        <f>SUMPRODUCT(--('Данные 2st'!$Q$2:$Q$317=$A50),--ISNUMBER('Данные 2st'!$HM$2:$HM$317))</f>
        <v>1</v>
      </c>
      <c r="NK50">
        <f>SUMPRODUCT(--('Данные 2st'!$Q$2:$Q$317=$A50),--ISNUMBER('Данные 2st'!$HR$2:$HR$317))</f>
        <v>1</v>
      </c>
      <c r="NL50">
        <f>SUMPRODUCT(--('Данные 2st'!$Q$2:$Q$317=$A50),--ISNUMBER('Данные 2st'!$HS$2:$HS$317))</f>
        <v>1</v>
      </c>
      <c r="NM50">
        <f>SUMPRODUCT(--('Данные 2st'!$Q$2:$Q$317=$A50),--ISNUMBER('Данные 2st'!$HT$2:$HT$317))</f>
        <v>1</v>
      </c>
      <c r="NN50">
        <f>SUMPRODUCT(--('Данные 2st'!$Q$2:$Q$317=$A50),--ISNUMBER('Данные 2st'!$HY$2:$HY$317))</f>
        <v>1</v>
      </c>
      <c r="NO50">
        <f>SUMPRODUCT(--('Данные 2st'!$Q$2:$Q$317=$A50),--ISNUMBER('Данные 2st'!$HZ$2:$HZ$317))</f>
        <v>1</v>
      </c>
      <c r="NP50">
        <f>SUMPRODUCT(--('Данные 2st'!$Q$2:$Q$317=$A50),--ISNUMBER('Данные 2st'!$IA$2:$IA$317))</f>
        <v>1</v>
      </c>
      <c r="NQ50">
        <f>SUMPRODUCT(--('Данные 2st'!$Q$2:$Q$317=$A50),--ISNUMBER('Данные 2st'!$IB$2:$IB$317))</f>
        <v>1</v>
      </c>
      <c r="NR50">
        <f>SUMPRODUCT(--('Данные 2st'!$Q$2:$Q$317=$A50),--ISNUMBER('Данные 2st'!$IC$2:$IC$317))</f>
        <v>0</v>
      </c>
      <c r="NS50">
        <f>SUMPRODUCT(--('Данные 2st'!$Q$2:$Q$317=$A50),--ISNUMBER('Данные 2st'!$ID$2:$ID$317))</f>
        <v>1</v>
      </c>
      <c r="NT50">
        <f>SUMPRODUCT(--('Данные 2st'!$Q$2:$Q$317=$A50),--ISNUMBER('Данные 2st'!$IE$2:$IE$317))</f>
        <v>1</v>
      </c>
      <c r="NU50">
        <f>SUMPRODUCT(--('Данные 2st'!$Q$2:$Q$317=$A50),--ISNUMBER('Данные 2st'!$IF$2:$IF$317))</f>
        <v>1</v>
      </c>
      <c r="NV50">
        <f>SUMPRODUCT(--('Данные 2st'!$Q$2:$Q$317=$A50),--ISNUMBER('Данные 2st'!$IG$2:$IG$317))</f>
        <v>1</v>
      </c>
      <c r="NW50">
        <f>SUMPRODUCT(--('Данные 2st'!$Q$2:$Q$317=$A50),--ISNUMBER('Данные 2st'!$IH$2:$IH$317))</f>
        <v>1</v>
      </c>
      <c r="NX50">
        <f>SUMPRODUCT(--('Данные 2st'!$Q$2:$Q$317=$A50),--ISNUMBER('Данные 2st'!$IJ$2:$IJ$317))</f>
        <v>1</v>
      </c>
      <c r="NY50">
        <f>SUMPRODUCT(--('Данные 2st'!$Q$2:$Q$317=$A50),--ISNUMBER('Данные 2st'!$IM$2:$IM$317))</f>
        <v>1</v>
      </c>
      <c r="NZ50">
        <f>SUMPRODUCT(--('Данные 2st'!$Q$2:$Q$317=$A50),--ISNUMBER('Данные 2st'!$IN$2:$IN$317))</f>
        <v>1</v>
      </c>
      <c r="OA50">
        <f>SUMPRODUCT(--('Данные 2st'!$Q$2:$Q$317=$A50),--ISNUMBER('Данные 2st'!$IO$2:$IO$317))</f>
        <v>1</v>
      </c>
      <c r="OB50">
        <f>SUMPRODUCT(--('Данные 2st'!$Q$2:$Q$317=$A50),--ISNUMBER('Данные 2st'!$IP$2:$IP$317))</f>
        <v>1</v>
      </c>
      <c r="OC50">
        <f>SUMPRODUCT(--('Данные 2st'!$Q$2:$Q$317=$A50),--ISNUMBER('Данные 2st'!$IQ$2:$IQ$317))</f>
        <v>1</v>
      </c>
      <c r="OD50">
        <f>SUMPRODUCT(--('Данные 2st'!$Q$2:$Q$317=$A50),--ISNUMBER('Данные 2st'!$IR$2:$IR$317))</f>
        <v>1</v>
      </c>
      <c r="OE50">
        <f>SUMPRODUCT(--('Данные 2st'!$Q$2:$Q$317=$A50),--ISNUMBER('Данные 2st'!$IT$2:$IT$317))</f>
        <v>1</v>
      </c>
      <c r="OF50">
        <f>SUMPRODUCT(--('Данные 2st'!$Q$2:$Q$317=$A50),--ISNUMBER('Данные 2st'!$IU$2:$IU$317))</f>
        <v>1</v>
      </c>
      <c r="OG50">
        <f>SUMPRODUCT(--('Данные 2st'!$Q$2:$Q$317=$A50),--ISNUMBER('Данные 2st'!$IV$2:$IV$317))</f>
        <v>1</v>
      </c>
      <c r="OH50">
        <f>SUMPRODUCT(--('Данные 2st'!$Q$2:$Q$317=$A50),--ISNUMBER('Данные 2st'!$IW$2:$IW$317))</f>
        <v>1</v>
      </c>
      <c r="OI50">
        <f>SUMPRODUCT(--('Данные 2st'!$Q$2:$Q$317=$A50),--ISNUMBER('Данные 2st'!$IX$2:$IX$317))</f>
        <v>1</v>
      </c>
      <c r="OJ50">
        <f>SUMPRODUCT(--('Данные 2st'!$Q$2:$Q$317=$A50),--ISNUMBER('Данные 2st'!$IY$2:$IY$317))</f>
        <v>1</v>
      </c>
      <c r="OK50">
        <f>SUMPRODUCT(--('Данные 2st'!$Q$2:$Q$317=$A50),--ISNUMBER('Данные 2st'!$IZ$2:$IZ$317))</f>
        <v>1</v>
      </c>
      <c r="OL50">
        <f>SUMPRODUCT(--('Данные 2st'!$Q$2:$Q$317=$A50),--ISNUMBER('Данные 2st'!$JA$2:$JA$317))</f>
        <v>1</v>
      </c>
      <c r="OM50">
        <f>SUMPRODUCT(--('Данные 2st'!$Q$2:$Q$317=$A50),--ISNUMBER('Данные 2st'!$JB$2:$JB$317))</f>
        <v>1</v>
      </c>
      <c r="ON50">
        <f>SUMPRODUCT(--('Данные 2st'!$Q$2:$Q$317=$A50),--ISNUMBER('Данные 2st'!$JC$2:$JC$317))</f>
        <v>1</v>
      </c>
      <c r="OO50">
        <f>SUMPRODUCT(--('Данные 2st'!$Q$2:$Q$317=$A50),--ISNUMBER('Данные 2st'!$JD$2:$JD$317))</f>
        <v>1</v>
      </c>
      <c r="OP50">
        <f>SUMPRODUCT(--('Данные 2st'!$Q$2:$Q$317=$A50),--ISNUMBER('Данные 2st'!$JE$2:$JE$317))</f>
        <v>1</v>
      </c>
      <c r="OQ50">
        <f>SUMPRODUCT(--('Данные 2st'!$Q$2:$Q$317=$A50),--ISNUMBER('Данные 2st'!$JF$2:$JF$317))</f>
        <v>1</v>
      </c>
      <c r="OR50">
        <f>SUMPRODUCT(--('Данные 2st'!$Q$2:$Q$317=$A50),--ISNUMBER('Данные 2st'!$JG$2:$JG$317))</f>
        <v>1</v>
      </c>
      <c r="OS50">
        <f>SUMPRODUCT(--('Данные 2st'!$Q$2:$Q$317=$A50),--ISNUMBER('Данные 2st'!$JH$2:$JH$317))</f>
        <v>1</v>
      </c>
      <c r="OT50">
        <f>SUMPRODUCT(--('Данные 2st'!$Q$2:$Q$317=$A50),--ISNUMBER('Данные 2st'!$JI$2:$JI$317))</f>
        <v>1</v>
      </c>
      <c r="OU50">
        <f>SUMPRODUCT(--('Данные 2st'!$Q$2:$Q$317=$A50),--ISNUMBER('Данные 2st'!$JJ$2:$JJ$317))</f>
        <v>1</v>
      </c>
      <c r="OV50">
        <f>SUMPRODUCT(--('Данные 2st'!$Q$2:$Q$317=$A50),--ISNUMBER('Данные 2st'!$JK$2:$JK$317))</f>
        <v>1</v>
      </c>
      <c r="OW50">
        <f>SUMPRODUCT(--('Данные 2st'!$Q$2:$Q$317=$A50),--ISNUMBER('Данные 2st'!$JL$2:$JL$317))</f>
        <v>1</v>
      </c>
      <c r="OX50">
        <f>SUMPRODUCT(--('Данные 2st'!$Q$2:$Q$317=$A50),--ISNUMBER('Данные 2st'!$JM$2:$JM$317))</f>
        <v>1</v>
      </c>
      <c r="OY50">
        <f>SUMPRODUCT(--('Данные 2st'!$Q$2:$Q$317=$A50),--ISNUMBER('Данные 2st'!$JP$2:$JP$317))</f>
        <v>1</v>
      </c>
      <c r="OZ50">
        <f>SUMPRODUCT(--('Данные 2st'!$Q$2:$Q$317=$A50),--ISNUMBER('Данные 2st'!$JQ$2:$JQ$317))</f>
        <v>1</v>
      </c>
      <c r="PA50">
        <f>SUMPRODUCT(--('Данные 2st'!$Q$2:$Q$317=$A50),--ISNUMBER('Данные 2st'!$JR$2:$JR$317))</f>
        <v>1</v>
      </c>
      <c r="PB50">
        <f>SUMPRODUCT(--('Данные 2st'!$Q$2:$Q$317=$A50),--ISNUMBER('Данные 2st'!$JS$2:$JS$317))</f>
        <v>1</v>
      </c>
      <c r="PC50">
        <f>SUMPRODUCT(--('Данные 2st'!$Q$2:$Q$317=$A50),--ISNUMBER('Данные 2st'!$JT$2:$JT$317))</f>
        <v>1</v>
      </c>
      <c r="PD50">
        <f>SUMPRODUCT(--('Данные 2st'!$Q$2:$Q$317=$A50),--ISNUMBER('Данные 2st'!$JU$2:$JU$317))</f>
        <v>1</v>
      </c>
      <c r="PE50">
        <f>SUMPRODUCT(--('Данные 2st'!$Q$2:$Q$317=$A50),--ISNUMBER('Данные 2st'!$JV$2:$JV$317))</f>
        <v>1</v>
      </c>
      <c r="PF50">
        <f>SUMPRODUCT(--('Данные 2st'!$Q$2:$Q$317=$A50),--ISNUMBER('Данные 2st'!$JW$2:$JW$317))</f>
        <v>1</v>
      </c>
      <c r="PG50">
        <f>SUMPRODUCT(--('Данные 2st'!$Q$2:$Q$317=$A50),--ISNUMBER('Данные 2st'!$KF$2:$KF$317))</f>
        <v>1</v>
      </c>
      <c r="PH50">
        <f>SUMPRODUCT(--('Данные 2st'!$Q$2:$Q$317=$A50),--ISNUMBER('Данные 2st'!$KG$2:$KG$317))</f>
        <v>1</v>
      </c>
      <c r="PI50">
        <f>SUMPRODUCT(--('Данные 2st'!$Q$2:$Q$317=$A50),--ISNUMBER('Данные 2st'!$KM$2:$KM$317))</f>
        <v>1</v>
      </c>
      <c r="PJ50">
        <f>SUMPRODUCT(--('Данные 2st'!$Q$2:$Q$317=$A50),--ISNUMBER('Данные 2st'!$KN$2:$KN$317))</f>
        <v>1</v>
      </c>
      <c r="PK50">
        <f>SUMPRODUCT(--('Данные 2st'!$Q$2:$Q$317=$A50),--ISNUMBER('Данные 2st'!$KO$2:$KO$317))</f>
        <v>1</v>
      </c>
      <c r="PL50">
        <f>SUMPRODUCT(--('Данные 2st'!$Q$2:$Q$317=$A50),--ISNUMBER('Данные 2st'!$KP$2:$KP$317))</f>
        <v>1</v>
      </c>
      <c r="PM50">
        <f>SUMPRODUCT(--('Данные 2st'!$Q$2:$Q$317=$A50),--ISNUMBER('Данные 2st'!$KQ$2:$KQ$317))</f>
        <v>1</v>
      </c>
      <c r="PN50">
        <f>SUMPRODUCT(--('Данные 2st'!$Q$2:$Q$317=$A50),--ISNUMBER('Данные 2st'!$KR$2:$KR$317))</f>
        <v>1</v>
      </c>
      <c r="PO50">
        <f>SUMPRODUCT(--('Данные 2st'!$Q$2:$Q$317=$A50),--ISNUMBER('Данные 2st'!$KS$2:$KS$317))</f>
        <v>1</v>
      </c>
      <c r="PP50">
        <f>SUMPRODUCT(--('Данные 2st'!$Q$2:$Q$317=$A50),--ISNUMBER('Данные 2st'!$KT$2:$KT$317))</f>
        <v>1</v>
      </c>
      <c r="PQ50">
        <f>SUMPRODUCT(--('Данные 2st'!$Q$2:$Q$317=$A50),--ISNUMBER('Данные 2st'!$KU$2:$KU$317))</f>
        <v>1</v>
      </c>
      <c r="PR50">
        <f>SUMPRODUCT(--('Данные 2st'!$Q$2:$Q$317=$A50),--ISNUMBER('Данные 2st'!$KV$2:$KV$317))</f>
        <v>1</v>
      </c>
      <c r="PS50">
        <f>SUMPRODUCT(--('Данные 2st'!$Q$2:$Q$317=$A50),--ISNUMBER('Данные 2st'!$KW$2:$KW$317))</f>
        <v>1</v>
      </c>
      <c r="PT50">
        <f>SUMPRODUCT(--('Данные 2st'!$Q$2:$Q$317=$A50),--ISNUMBER('Данные 2st'!$KX$2:$KX$317))</f>
        <v>1</v>
      </c>
      <c r="PU50">
        <f>SUMPRODUCT(--('Данные 2st'!$Q$2:$Q$317=$A50),--ISNUMBER('Данные 2st'!$KY$2:$KY$317))</f>
        <v>1</v>
      </c>
      <c r="PV50">
        <f>SUMPRODUCT(--('Данные 2st'!$Q$2:$Q$317=$A50),--ISNUMBER('Данные 2st'!$KZ$2:$KZ$317))</f>
        <v>1</v>
      </c>
      <c r="PW50">
        <f>SUMPRODUCT(--('Данные 2st'!$Q$2:$Q$317=$A50),--ISNUMBER('Данные 2st'!$LA$2:$LA$317))</f>
        <v>1</v>
      </c>
      <c r="PX50">
        <f>SUMPRODUCT(--('Данные 2st'!$Q$2:$Q$317=$A50),--ISNUMBER('Данные 2st'!$LB$2:$LB$317))</f>
        <v>1</v>
      </c>
      <c r="PY50">
        <f>SUMPRODUCT(--('Данные 2st'!$Q$2:$Q$317=$A50),--ISNUMBER('Данные 2st'!$LC$2:$LC$317))</f>
        <v>1</v>
      </c>
      <c r="PZ50">
        <f>SUMPRODUCT(--('Данные 2st'!$Q$2:$Q$317=$A50),--ISNUMBER('Данные 2st'!$LD$2:$LD$317))</f>
        <v>1</v>
      </c>
      <c r="QA50">
        <f>SUMPRODUCT(--('Данные 2st'!$Q$2:$Q$317=$A50),--ISNUMBER('Данные 2st'!$LE$2:$LE$317))</f>
        <v>1</v>
      </c>
      <c r="QB50">
        <f>SUMPRODUCT(--('Данные 2st'!$Q$2:$Q$317=$A50),--ISNUMBER('Данные 2st'!$LF$2:$LF$317))</f>
        <v>1</v>
      </c>
      <c r="QC50">
        <f>SUMPRODUCT(--('Данные 2st'!$Q$2:$Q$317=$A50),--ISNUMBER('Данные 2st'!$LG$2:$LG$317))</f>
        <v>1</v>
      </c>
      <c r="QD50">
        <f>SUMPRODUCT(--('Данные 2st'!$Q$2:$Q$317=$A50),--ISNUMBER('Данные 2st'!$LH$2:$LH$317))</f>
        <v>1</v>
      </c>
      <c r="QE50">
        <f>SUMPRODUCT(--('Данные 2st'!$Q$2:$Q$317=$A50),--ISNUMBER('Данные 2st'!$LJ$2:$LJ$317))</f>
        <v>1</v>
      </c>
      <c r="QF50">
        <f>SUMPRODUCT(--('Данные 2st'!$Q$2:$Q$317=$A50),--ISNUMBER('Данные 2st'!$LK$2:$LK$317))</f>
        <v>1</v>
      </c>
      <c r="QG50">
        <f>SUMPRODUCT(--('Данные 2st'!$Q$2:$Q$317=$A50),--ISNUMBER('Данные 2st'!$LL$2:$LL$317))</f>
        <v>1</v>
      </c>
      <c r="QH50">
        <f>SUMPRODUCT(--('Данные 2st'!$Q$2:$Q$317=$A50),--ISNUMBER('Данные 2st'!$LM$2:$LM$317))</f>
        <v>1</v>
      </c>
      <c r="QI50">
        <f>SUMPRODUCT(--('Данные 2st'!$Q$2:$Q$317=$A50),--ISNUMBER('Данные 2st'!$LN$2:$LN$317))</f>
        <v>1</v>
      </c>
      <c r="QJ50">
        <f>SUMPRODUCT(--('Данные 2st'!$Q$2:$Q$317=$A50),--ISNUMBER('Данные 2st'!$LO$2:$LO$317))</f>
        <v>1</v>
      </c>
      <c r="QK50">
        <f>SUMPRODUCT(--('Данные 2st'!$Q$2:$Q$317=$A50),--ISNUMBER('Данные 2st'!$LP$2:$LP$317))</f>
        <v>1</v>
      </c>
      <c r="QL50">
        <f>SUMPRODUCT(--('Данные 2st'!$Q$2:$Q$317=$A50),--ISNUMBER('Данные 2st'!$LQ$2:$LQ$317))</f>
        <v>1</v>
      </c>
      <c r="QM50">
        <f>SUMPRODUCT(--('Данные 2st'!$Q$2:$Q$317=$A50),--ISNUMBER('Данные 2st'!$LW$2:$LW$317))</f>
        <v>1</v>
      </c>
      <c r="QN50">
        <f>SUMPRODUCT(--('Данные 2st'!$Q$2:$Q$317=$A50),--ISNUMBER('Данные 2st'!$LX$2:$LX$317))</f>
        <v>1</v>
      </c>
      <c r="QO50">
        <f>SUMPRODUCT(--('Данные 2st'!$Q$2:$Q$317=$A50),--ISNUMBER('Данные 2st'!$LY$2:$LY$317))</f>
        <v>1</v>
      </c>
      <c r="QP50">
        <f>SUMPRODUCT(--('Данные 2st'!$Q$2:$Q$317=$A50),--ISNUMBER('Данные 2st'!$LZ$2:$LZ$317))</f>
        <v>1</v>
      </c>
      <c r="QQ50">
        <f>SUMPRODUCT(--('Данные 2st'!$Q$2:$Q$317=$A50),--ISNUMBER('Данные 2st'!$MB$2:$MB$317))</f>
        <v>1</v>
      </c>
      <c r="QR50">
        <f>SUMPRODUCT(--('Данные 2st'!$Q$2:$Q$317=$A50),--ISNUMBER('Данные 2st'!$MG$2:$MG$317))</f>
        <v>1</v>
      </c>
      <c r="QS50">
        <f>SUMPRODUCT(--('Данные 2st'!$Q$2:$Q$317=$A50),--ISNUMBER('Данные 2st'!$MH$2:$MH$317))</f>
        <v>1</v>
      </c>
      <c r="QT50">
        <f>SUMPRODUCT(--('Данные 2st'!$Q$2:$Q$317=$A50),--ISNUMBER('Данные 2st'!$MI$2:$MI$317))</f>
        <v>1</v>
      </c>
      <c r="QU50">
        <f>SUMPRODUCT(--('Данные 2st'!$Q$2:$Q$317=$A50),--ISNUMBER('Данные 2st'!$MJ$2:$MJ$317))</f>
        <v>1</v>
      </c>
      <c r="QV50">
        <f>SUMPRODUCT(--('Данные 2st'!$Q$2:$Q$317=$A50),--ISNUMBER('Данные 2st'!$MK$2:$MK$317))</f>
        <v>1</v>
      </c>
      <c r="QW50">
        <f>SUMPRODUCT(--('Данные 2st'!$Q$2:$Q$317=$A50),--ISNUMBER('Данные 2st'!$MM$2:$MM$317))</f>
        <v>1</v>
      </c>
      <c r="QX50">
        <f>SUMPRODUCT(--('Данные 2st'!$Q$2:$Q$317=$A50),--ISNUMBER('Данные 2st'!$MQ$2:$MQ$317))</f>
        <v>0</v>
      </c>
      <c r="QY50">
        <f>SUMPRODUCT(--('Данные 2st'!$Q$2:$Q$317=$A50),--ISNUMBER('Данные 2st'!$MR$2:$MR$317))</f>
        <v>0</v>
      </c>
      <c r="QZ50">
        <f>SUMPRODUCT(--('Данные 2st'!$Q$2:$Q$317=$A50),--ISNUMBER('Данные 2st'!$MS$2:$MS$317))</f>
        <v>0</v>
      </c>
      <c r="RA50">
        <f>SUMPRODUCT(--('Данные 2st'!$Q$2:$Q$317=$A50),--ISNUMBER('Данные 2st'!$MT$2:$MT$317))</f>
        <v>0</v>
      </c>
      <c r="RB50">
        <f>SUMPRODUCT(--('Данные 2st'!$Q$2:$Q$317=$A50),--ISNUMBER('Данные 2st'!$MU$2:$MU$317))</f>
        <v>0</v>
      </c>
      <c r="RC50">
        <f>SUMPRODUCT(--('Данные 2st'!$Q$2:$Q$317=$A50),--ISNUMBER('Данные 2st'!$MV$2:$MV$317))</f>
        <v>0</v>
      </c>
      <c r="RD50">
        <f>SUMPRODUCT(--('Данные 2st'!$Q$2:$Q$317=$A50),--ISNUMBER('Данные 2st'!$MW$2:$MW$317))</f>
        <v>0</v>
      </c>
      <c r="RE50">
        <f>SUMPRODUCT(--('Данные 2st'!$Q$2:$Q$317=$A50),--ISNUMBER('Данные 2st'!$MX$2:$MX$317))</f>
        <v>0</v>
      </c>
      <c r="RF50">
        <f>SUMPRODUCT(--('Данные 2st'!$Q$2:$Q$317=$A50),--ISNUMBER('Данные 2st'!$MY$2:$MY$317))</f>
        <v>0</v>
      </c>
      <c r="RG50">
        <f>SUMPRODUCT(--('Данные 2st'!$Q$2:$Q$317=$A50),--ISNUMBER('Данные 2st'!$MZ$2:$MZ$317))</f>
        <v>0</v>
      </c>
      <c r="RH50">
        <f>SUMPRODUCT(--('Данные 2st'!$Q$2:$Q$317=$A50),--ISNUMBER('Данные 2st'!$NA$2:$NA$317))</f>
        <v>0</v>
      </c>
      <c r="RI50">
        <f>SUMPRODUCT(--('Данные 2st'!$Q$2:$Q$317=$A50),--ISNUMBER('Данные 2st'!$NB$2:$NB$317))</f>
        <v>0</v>
      </c>
      <c r="RJ50">
        <f>SUMPRODUCT(--('Данные 2st'!$Q$2:$Q$317=$A50),--ISNUMBER('Данные 2st'!$NC$2:$NC$317))</f>
        <v>0</v>
      </c>
      <c r="RK50">
        <f>SUMPRODUCT(--('Данные 2st'!$Q$2:$Q$317=$A50),--ISNUMBER('Данные 2st'!$ND$2:$ND$317))</f>
        <v>0</v>
      </c>
      <c r="RL50">
        <f>SUMPRODUCT(--('Данные 2st'!$Q$2:$Q$317=$A50),--ISNUMBER('Данные 2st'!$NE$2:$NE$317))</f>
        <v>0</v>
      </c>
      <c r="RM50">
        <f>SUMPRODUCT(--('Данные 2st'!$Q$2:$Q$317=$A50),--ISNUMBER('Данные 2st'!$NF$2:$NF$317))</f>
        <v>0</v>
      </c>
      <c r="RN50">
        <f>SUMPRODUCT(--('Данные 2st'!$Q$2:$Q$317=$A50),--ISNUMBER('Данные 2st'!$NG$2:$NG$317))</f>
        <v>0</v>
      </c>
      <c r="RO50">
        <f>SUMPRODUCT(--('Данные 2st'!$Q$2:$Q$317=$A50),--ISNUMBER('Данные 2st'!$NH$2:$NH$317))</f>
        <v>0</v>
      </c>
      <c r="RP50">
        <f>SUMPRODUCT(--('Данные 2st'!$Q$2:$Q$317=$A50),--ISNUMBER('Данные 2st'!$NJ$2:$NJ$317))</f>
        <v>0</v>
      </c>
      <c r="RQ50">
        <f>SUMPRODUCT(--('Данные 2st'!$Q$2:$Q$317=$A50),--ISNUMBER('Данные 2st'!$NK$2:$NK$317))</f>
        <v>0</v>
      </c>
      <c r="RR50">
        <f>SUMPRODUCT(--('Данные 2st'!$Q$2:$Q$317=$A50),--ISNUMBER('Данные 2st'!$NM$2:$NM$317))</f>
        <v>0</v>
      </c>
      <c r="RS50">
        <f>SUMPRODUCT(--('Данные 2st'!$Q$2:$Q$317=$A50),--ISNUMBER('Данные 2st'!$NN$2:$NN$317))</f>
        <v>0</v>
      </c>
      <c r="RT50">
        <f>SUMPRODUCT(--('Данные 2st'!$Q$2:$Q$317=$A50),--ISNUMBER('Данные 2st'!$NO$2:$NO$317))</f>
        <v>0</v>
      </c>
      <c r="RU50">
        <f>SUMPRODUCT(--('Данные 2st'!$Q$2:$Q$317=$A50),--ISNUMBER('Данные 2st'!$NP$2:$NP$317))</f>
        <v>0</v>
      </c>
      <c r="RV50">
        <f>SUMPRODUCT(--('Данные 2st'!$Q$2:$Q$317=$A50),--ISNUMBER('Данные 2st'!$NQ$2:$NQ$317))</f>
        <v>0</v>
      </c>
      <c r="RW50">
        <f>SUMPRODUCT(--('Данные 2st'!$Q$2:$Q$317=$A50),--ISNUMBER('Данные 2st'!$NR$2:$NR$317))</f>
        <v>0</v>
      </c>
      <c r="RX50">
        <f>SUMPRODUCT(--('Данные 2st'!$Q$2:$Q$317=$A50),--ISNUMBER('Данные 2st'!$NS$2:$NS$317))</f>
        <v>0</v>
      </c>
      <c r="RY50">
        <f>SUMPRODUCT(--('Данные 2st'!$Q$2:$Q$317=$A50),--ISNUMBER('Данные 2st'!$NT$2:$NT$317))</f>
        <v>0</v>
      </c>
      <c r="RZ50">
        <f>SUMPRODUCT(--('Данные 2st'!$Q$2:$Q$317=$A50),--ISNUMBER('Данные 2st'!$OK$2:$OK$317))</f>
        <v>1</v>
      </c>
      <c r="SA50">
        <f>SUMPRODUCT(--('Данные 2st'!$Q$2:$Q$317=$A50),--ISNUMBER('Данные 2st'!$OL$2:$OL$317))</f>
        <v>1</v>
      </c>
      <c r="SB50">
        <f>SUMPRODUCT(--('Данные 2st'!$Q$2:$Q$317=$A50),--ISNUMBER('Данные 2st'!$ON$2:$ON$317))</f>
        <v>1</v>
      </c>
      <c r="SC50">
        <f>SUMPRODUCT(--('Данные 2st'!$Q$2:$Q$317=$A50),--ISNUMBER('Данные 2st'!$OO$2:$OO$317))</f>
        <v>1</v>
      </c>
      <c r="SD50">
        <f>SUMPRODUCT(--('Данные 2st'!$Q$2:$Q$317=$A50),--ISNUMBER('Данные 2st'!$OP$2:$OP$317))</f>
        <v>1</v>
      </c>
      <c r="SE50">
        <f>SUMPRODUCT(--('Данные 2st'!$Q$2:$Q$317=$A50),--ISNUMBER('Данные 2st'!$OQ$2:$OQ$317))</f>
        <v>1</v>
      </c>
      <c r="SF50">
        <f>SUMPRODUCT(--('Данные 2st'!$Q$2:$Q$317=$A50),--ISNUMBER('Данные 2st'!$OS$2:$OS$317))</f>
        <v>1</v>
      </c>
      <c r="SG50">
        <f>SUMPRODUCT(--('Данные 2st'!$Q$2:$Q$317=$A50),--ISNUMBER('Данные 2st'!$OT$2:$OT$317))</f>
        <v>1</v>
      </c>
      <c r="SH50">
        <f>SUMPRODUCT(--('Данные 2st'!$Q$2:$Q$317=$A50),--ISNUMBER('Данные 2st'!$OU$2:$OU$317))</f>
        <v>1</v>
      </c>
      <c r="SI50">
        <f>SUMPRODUCT(--('Данные 2st'!$Q$2:$Q$317=$A50),--ISNUMBER('Данные 2st'!$OV$2:$OV$317))</f>
        <v>1</v>
      </c>
      <c r="SJ50">
        <f>SUMPRODUCT(--('Данные 2st'!$Q$2:$Q$317=$A50),--ISNUMBER('Данные 2st'!$OX$2:$OX$317))</f>
        <v>1</v>
      </c>
      <c r="SK50">
        <f>SUMPRODUCT(--('Данные 2st'!$Q$2:$Q$317=$A50),--ISNUMBER('Данные 2st'!$OY$2:$OY$317))</f>
        <v>1</v>
      </c>
      <c r="SL50">
        <f>SUMPRODUCT(--('Данные 2st'!$Q$2:$Q$317=$A50),--ISNUMBER('Данные 2st'!$OZ$2:$OZ$317))</f>
        <v>1</v>
      </c>
      <c r="SM50">
        <f>SUMPRODUCT(--('Данные 2st'!$Q$2:$Q$317=$A50),--ISNUMBER('Данные 2st'!$PA$2:$PA$317))</f>
        <v>1</v>
      </c>
      <c r="SN50">
        <f>SUMPRODUCT(--('Данные 2st'!$Q$2:$Q$317=$A50),--ISNUMBER('Данные 2st'!$PC$2:$PC$317))</f>
        <v>1</v>
      </c>
      <c r="SO50">
        <f>SUMPRODUCT(--('Данные 2st'!$Q$2:$Q$317=$A50),--ISNUMBER('Данные 2st'!$PD$2:$PD$317))</f>
        <v>1</v>
      </c>
      <c r="SP50">
        <f>SUMPRODUCT(--('Данные 2st'!$Q$2:$Q$317=$A50),--ISNUMBER('Данные 2st'!$PF$2:$PF$317))</f>
        <v>1</v>
      </c>
      <c r="SQ50">
        <f>SUMPRODUCT(--('Данные 2st'!$Q$2:$Q$317=$A50),--ISNUMBER('Данные 2st'!$PG$2:$PG$317))</f>
        <v>1</v>
      </c>
      <c r="SR50">
        <f>SUMPRODUCT(--('Данные 2st'!$Q$2:$Q$317=$A50),--ISNUMBER('Данные 2st'!$PH$2:$PH$317))</f>
        <v>1</v>
      </c>
      <c r="SS50">
        <f>SUMPRODUCT(--('Данные 2st'!$Q$2:$Q$317=$A50),--ISNUMBER('Данные 2st'!$PI$2:$PI$317))</f>
        <v>1</v>
      </c>
      <c r="ST50">
        <f>SUMPRODUCT(--('Данные 2st'!$Q$2:$Q$317=$A50),--ISNUMBER('Данные 2st'!$PJ$2:$PJ$317))</f>
        <v>1</v>
      </c>
      <c r="SU50">
        <f>SUMPRODUCT(--('Данные 2st'!$Q$2:$Q$317=$A50),--ISNUMBER('Данные 2st'!$PK$2:$PK$317))</f>
        <v>1</v>
      </c>
      <c r="SV50">
        <f>SUMPRODUCT(--('Данные 2st'!$Q$2:$Q$317=$A50),--ISNUMBER('Данные 2st'!$PL$2:$PL$317))</f>
        <v>1</v>
      </c>
      <c r="SW50">
        <f>SUMPRODUCT(--('Данные 2st'!$Q$2:$Q$317=$A50),--ISNUMBER('Данные 2st'!$PM$2:$PM$317))</f>
        <v>1</v>
      </c>
      <c r="SX50">
        <f>SUMPRODUCT(--('Данные 2st'!$Q$2:$Q$317=$A50),--ISNUMBER('Данные 2st'!$PN$2:$PN$317))</f>
        <v>1</v>
      </c>
      <c r="SY50">
        <f>SUMPRODUCT(--('Данные 2st'!$Q$2:$Q$317=$A50),--ISNUMBER('Данные 2st'!$PO$2:$PO$317))</f>
        <v>1</v>
      </c>
      <c r="SZ50">
        <f>SUMPRODUCT(--('Данные 2st'!$Q$2:$Q$317=$A50),--ISNUMBER('Данные 2st'!$PP$2:$PP$317))</f>
        <v>1</v>
      </c>
      <c r="TA50">
        <f>SUMPRODUCT(--('Данные 2st'!$Q$2:$Q$317=$A50),--ISNUMBER('Данные 2st'!$PQ$2:$PQ$317))</f>
        <v>1</v>
      </c>
      <c r="TB50">
        <f>SUMPRODUCT(--('Данные 2st'!$Q$2:$Q$317=$A50),--ISNUMBER('Данные 2st'!$PR$2:$PR$317))</f>
        <v>1</v>
      </c>
      <c r="TC50">
        <f>SUMPRODUCT(--('Данные 2st'!$Q$2:$Q$317=$A50),--ISNUMBER('Данные 2st'!$PS$2:$PS$317))</f>
        <v>1</v>
      </c>
      <c r="TD50">
        <f>SUMPRODUCT(--('Данные 2st'!$Q$2:$Q$317=$A50),--ISNUMBER('Данные 2st'!$PT$2:$PT$317))</f>
        <v>1</v>
      </c>
      <c r="TE50">
        <f>SUMPRODUCT(--('Данные 2st'!$Q$2:$Q$317=$A50),--ISNUMBER('Данные 2st'!$PU$2:$PU$317))</f>
        <v>1</v>
      </c>
      <c r="TF50">
        <f>SUMPRODUCT(--('Данные 2st'!$Q$2:$Q$317=$A50),--ISNUMBER('Данные 2st'!$PX$2:$PX$317))</f>
        <v>1</v>
      </c>
      <c r="TG50">
        <f>SUMPRODUCT(--('Данные 2st'!$Q$2:$Q$317=$A50),--ISNUMBER('Данные 2st'!$PY$2:$PY$317))</f>
        <v>1</v>
      </c>
      <c r="TH50">
        <f>SUMPRODUCT(--('Данные 2st'!$Q$2:$Q$317=$A50),--ISNUMBER('Данные 2st'!$PZ$2:$PZ$317))</f>
        <v>1</v>
      </c>
      <c r="TI50">
        <f>SUMPRODUCT(--('Данные 2st'!$Q$2:$Q$317=$A50),--ISNUMBER('Данные 2st'!$QA$2:$QA$317))</f>
        <v>1</v>
      </c>
      <c r="TJ50">
        <f>SUMPRODUCT(--('Данные 2st'!$Q$2:$Q$317=$A50),--ISNUMBER('Данные 2st'!$QB$2:$QB$317))</f>
        <v>1</v>
      </c>
      <c r="TK50">
        <f>SUMPRODUCT(--('Данные 2st'!$Q$2:$Q$317=$A50),--ISNUMBER('Данные 2st'!$QC$2:$QC$317))</f>
        <v>1</v>
      </c>
      <c r="TL50">
        <f>SUMPRODUCT(--('Данные 2st'!$Q$2:$Q$317=$A50),--ISNUMBER('Данные 2st'!$QD$2:$QD$317))</f>
        <v>1</v>
      </c>
      <c r="TM50">
        <f>SUMPRODUCT(--('Данные 2st'!$Q$2:$Q$317=$A50),--ISNUMBER('Данные 2st'!$QE$2:$QE$317))</f>
        <v>1</v>
      </c>
      <c r="TN50">
        <f>SUMPRODUCT(--('Данные 2st'!$Q$2:$Q$317=$A50),--ISNUMBER('Данные 2st'!$QF$2:$QF$317))</f>
        <v>1</v>
      </c>
      <c r="TO50">
        <f>SUMPRODUCT(--('Данные 2st'!$Q$2:$Q$317=$A50),--ISNUMBER('Данные 2st'!$QG$2:$QG$317))</f>
        <v>1</v>
      </c>
      <c r="TP50">
        <f>SUMPRODUCT(--('Данные 2st'!$Q$2:$Q$317=$A50),--ISNUMBER('Данные 2st'!$QH$2:$QH$317))</f>
        <v>1</v>
      </c>
      <c r="TQ50">
        <f>SUMPRODUCT(--('Данные 2st'!$Q$2:$Q$317=$A50),--ISNUMBER('Данные 2st'!$QI$2:$QI$317))</f>
        <v>1</v>
      </c>
      <c r="TR50">
        <f>SUMPRODUCT(--('Данные 2st'!$Q$2:$Q$317=$A50),--ISNUMBER('Данные 2st'!$QJ$2:$QJ$317))</f>
        <v>1</v>
      </c>
      <c r="TS50">
        <f>SUMPRODUCT(--('Данные 2st'!$Q$2:$Q$317=$A50),--ISNUMBER('Данные 2st'!$QK$2:$QK$317))</f>
        <v>1</v>
      </c>
      <c r="TT50">
        <f>SUMPRODUCT(--('Данные 2st'!$Q$2:$Q$317=$A50),--ISNUMBER('Данные 2st'!$QL$2:$QL$317))</f>
        <v>1</v>
      </c>
      <c r="TU50">
        <f>SUMPRODUCT(--('Данные 2st'!$Q$2:$Q$317=$A50),--ISNUMBER('Данные 2st'!$QM$2:$QM$317))</f>
        <v>1</v>
      </c>
      <c r="TV50">
        <f>SUMPRODUCT(--('Данные 2st'!$Q$2:$Q$317=$A50),--ISNUMBER('Данные 2st'!$QN$2:$QN$317))</f>
        <v>1</v>
      </c>
      <c r="TW50">
        <f>SUMPRODUCT(--('Данные 2st'!$Q$2:$Q$317=$A50),--ISNUMBER('Данные 2st'!$QQ$2:$QQ$317))</f>
        <v>1</v>
      </c>
      <c r="TX50">
        <f>SUMPRODUCT(--('Данные 2st'!$Q$2:$Q$317=$A50),--ISNUMBER('Данные 2st'!$QS$2:$QS$317))</f>
        <v>1</v>
      </c>
      <c r="TY50">
        <f>SUMPRODUCT(--('Данные 2st'!$Q$2:$Q$317=$A50),--ISNUMBER('Данные 2st'!$QT$2:$QT$317))</f>
        <v>1</v>
      </c>
    </row>
    <row r="51" spans="1:545" ht="32" customHeight="1">
      <c r="A51" s="11" t="str">
        <f>'По размерам'!A51</f>
        <v>235/60R18</v>
      </c>
      <c r="G51">
        <f>SUMPRODUCT(--('Данные 1st'!$S$2:$S$317=$A51),--ISNUMBER('Данные 1st'!$AE$2:$AE$317))</f>
        <v>4</v>
      </c>
      <c r="H51">
        <f>SUMPRODUCT(--('Данные 1st'!$S$2:$S$317=$A51),--ISNUMBER('Данные 1st'!$AF$2:$AF$317))</f>
        <v>4</v>
      </c>
      <c r="I51">
        <f>SUMPRODUCT(--('Данные 1st'!$S$2:$S$317=$A51),--ISNUMBER('Данные 1st'!$AJ$2:$AJ$317))</f>
        <v>4</v>
      </c>
      <c r="J51">
        <f>SUMPRODUCT(--('Данные 1st'!$S$2:$S$317=$A51),--ISNUMBER('Данные 1st'!$AL$2:$AL$317))</f>
        <v>4</v>
      </c>
      <c r="K51">
        <f>SUMPRODUCT(--('Данные 1st'!$S$2:$S$317=$A51),--ISNUMBER('Данные 1st'!$AR$2:$AR$317))</f>
        <v>4</v>
      </c>
      <c r="L51">
        <f>SUMPRODUCT(--('Данные 1st'!$S$2:$S$317=$A51),--ISNUMBER('Данные 1st'!$AS$2:$AS$317))</f>
        <v>4</v>
      </c>
      <c r="M51">
        <f>SUMPRODUCT(--('Данные 1st'!$S$2:$S$317=$A51),--ISNUMBER('Данные 1st'!$AY$2:$AY$317))</f>
        <v>4</v>
      </c>
      <c r="N51">
        <f>SUMPRODUCT(--('Данные 1st'!$S$2:$S$317=$A51),--ISNUMBER('Данные 1st'!$AZ$2:$AZ$317))</f>
        <v>4</v>
      </c>
      <c r="O51">
        <f>SUMPRODUCT(--('Данные 1st'!$S$2:$S$317=$A51),--ISNUMBER('Данные 1st'!$BF$2:$BF$317))</f>
        <v>3</v>
      </c>
      <c r="P51">
        <f>SUMPRODUCT(--('Данные 1st'!$S$2:$S$317=$A51),--ISNUMBER('Данные 1st'!$BG$2:$BG$317))</f>
        <v>4</v>
      </c>
      <c r="Q51">
        <f>SUMPRODUCT(--('Данные 1st'!$S$2:$S$317=$A51),--ISNUMBER('Данные 1st'!$BM$2:$BM$317))</f>
        <v>0</v>
      </c>
      <c r="R51">
        <f>SUMPRODUCT(--('Данные 1st'!$S$2:$S$317=$A51),--ISNUMBER('Данные 1st'!$BN$2:$BN$317))</f>
        <v>4</v>
      </c>
      <c r="S51">
        <f>SUMPRODUCT(--('Данные 1st'!$S$2:$S$317=$A51),--ISNUMBER('Данные 1st'!$BT$2:$BT$317))</f>
        <v>4</v>
      </c>
      <c r="T51">
        <f>SUMPRODUCT(--('Данные 1st'!$S$2:$S$317=$A51),--ISNUMBER('Данные 1st'!$BU$2:$BU$317))</f>
        <v>4</v>
      </c>
      <c r="U51">
        <f>SUMPRODUCT(--('Данные 1st'!$S$2:$S$317=$A51),--ISNUMBER('Данные 1st'!$BW$2:$BW$317))</f>
        <v>4</v>
      </c>
      <c r="V51">
        <f>SUMPRODUCT(--('Данные 1st'!$S$2:$S$317=$A51),--ISNUMBER('Данные 1st'!$BX$2:$BX$317))</f>
        <v>4</v>
      </c>
      <c r="W51">
        <f>SUMPRODUCT(--('Данные 1st'!$S$2:$S$317=$A51),--ISNUMBER('Данные 1st'!$BZ$2:$BZ$317))</f>
        <v>4</v>
      </c>
      <c r="X51">
        <f>SUMPRODUCT(--('Данные 1st'!$S$2:$S$317=$A51),--ISNUMBER('Данные 1st'!$CA$2:$CA$317))</f>
        <v>4</v>
      </c>
      <c r="Y51">
        <f>SUMPRODUCT(--('Данные 1st'!$S$2:$S$317=$A51),--ISNUMBER('Данные 1st'!$CD$2:$CD$317))</f>
        <v>4</v>
      </c>
      <c r="Z51">
        <f>SUMPRODUCT(--('Данные 1st'!$S$2:$S$317=$A51),--ISNUMBER('Данные 1st'!$CF$2:$CF$317))</f>
        <v>4</v>
      </c>
      <c r="AA51">
        <f>SUMPRODUCT(--('Данные 1st'!$S$2:$S$317=$A51),--ISNUMBER('Данные 1st'!$CI$2:$CI$317))</f>
        <v>4</v>
      </c>
      <c r="AB51">
        <f>SUMPRODUCT(--('Данные 1st'!$S$2:$S$317=$A51),--ISNUMBER('Данные 1st'!$CJ$2:$CJ$317))</f>
        <v>4</v>
      </c>
      <c r="AC51">
        <f>SUMPRODUCT(--('Данные 1st'!$S$2:$S$317=$A51),--ISNUMBER('Данные 1st'!$CK$2:$CK$317))</f>
        <v>4</v>
      </c>
      <c r="AD51">
        <f>SUMPRODUCT(--('Данные 1st'!$S$2:$S$317=$A51),--ISNUMBER('Данные 1st'!$CL$2:$CL$317))</f>
        <v>4</v>
      </c>
      <c r="AE51">
        <f>SUMPRODUCT(--('Данные 1st'!$S$2:$S$317=$A51),--ISNUMBER('Данные 1st'!$CM$2:$CM$317))</f>
        <v>4</v>
      </c>
      <c r="AF51">
        <f>SUMPRODUCT(--('Данные 1st'!$S$2:$S$317=$A51),--ISNUMBER('Данные 1st'!$CT$2:$CT$317))</f>
        <v>4</v>
      </c>
      <c r="AG51">
        <f>SUMPRODUCT(--('Данные 1st'!$S$2:$S$317=$A51),--ISNUMBER('Данные 1st'!$CU$2:$CU$317))</f>
        <v>4</v>
      </c>
      <c r="AH51">
        <f>SUMPRODUCT(--('Данные 1st'!$S$2:$S$317=$A51),--ISNUMBER('Данные 1st'!$CV$2:$CV$317))</f>
        <v>4</v>
      </c>
      <c r="AI51">
        <f>SUMPRODUCT(--('Данные 1st'!$S$2:$S$317=$A51),--ISNUMBER('Данные 1st'!$CW$2:$CW$317))</f>
        <v>4</v>
      </c>
      <c r="AJ51">
        <f>SUMPRODUCT(--('Данные 1st'!$S$2:$S$317=$A51),--ISNUMBER('Данные 1st'!$CX$2:$CX$317))</f>
        <v>4</v>
      </c>
      <c r="AK51">
        <f>SUMPRODUCT(--('Данные 1st'!$S$2:$S$317=$A51),--ISNUMBER('Данные 1st'!$CZ$2:$CZ$317))</f>
        <v>0</v>
      </c>
      <c r="AL51">
        <f>SUMPRODUCT(--('Данные 1st'!$S$2:$S$317=$A51),--ISNUMBER('Данные 1st'!$DA$2:$DA$317))</f>
        <v>0</v>
      </c>
      <c r="AM51">
        <f>SUMPRODUCT(--('Данные 1st'!$S$2:$S$317=$A51),--ISNUMBER('Данные 1st'!$DB$2:$DB$317))</f>
        <v>0</v>
      </c>
      <c r="AN51">
        <f>SUMPRODUCT(--('Данные 1st'!$S$2:$S$317=$A51),--ISNUMBER('Данные 1st'!$DC$2:$DC$317))</f>
        <v>0</v>
      </c>
      <c r="AO51">
        <f>SUMPRODUCT(--('Данные 1st'!$S$2:$S$317=$A51),--ISNUMBER('Данные 1st'!$DD$2:$DD$317))</f>
        <v>4</v>
      </c>
      <c r="AP51">
        <f>SUMPRODUCT(--('Данные 1st'!$S$2:$S$317=$A51),--ISNUMBER('Данные 1st'!$DF$2:$DF$317))</f>
        <v>4</v>
      </c>
      <c r="AQ51">
        <f>SUMPRODUCT(--('Данные 1st'!$S$2:$S$317=$A51),--ISNUMBER('Данные 1st'!$DG$2:$DG$317))</f>
        <v>4</v>
      </c>
      <c r="AR51">
        <f>SUMPRODUCT(--('Данные 1st'!$S$2:$S$317=$A51),--ISNUMBER('Данные 1st'!$DH$2:$DH$317))</f>
        <v>4</v>
      </c>
      <c r="AS51">
        <f>SUMPRODUCT(--('Данные 1st'!$S$2:$S$317=$A51),--ISNUMBER('Данные 1st'!$DI$2:$DI$317))</f>
        <v>4</v>
      </c>
      <c r="AT51">
        <f>SUMPRODUCT(--('Данные 1st'!$S$2:$S$317=$A51),--ISNUMBER('Данные 1st'!$DJ$2:$DJ$317))</f>
        <v>4</v>
      </c>
      <c r="AU51">
        <f>SUMPRODUCT(--('Данные 1st'!$S$2:$S$317=$A51),--ISNUMBER('Данные 1st'!$DL$2:$DL$317))</f>
        <v>3</v>
      </c>
      <c r="AV51">
        <f>SUMPRODUCT(--('Данные 1st'!$S$2:$S$317=$A51),--ISNUMBER('Данные 1st'!$DM$2:$DM$317))</f>
        <v>3</v>
      </c>
      <c r="AW51">
        <f>SUMPRODUCT(--('Данные 1st'!$S$2:$S$317=$A51),--ISNUMBER('Данные 1st'!$DN$2:$DN$317))</f>
        <v>3</v>
      </c>
      <c r="AX51">
        <f>SUMPRODUCT(--('Данные 1st'!$S$2:$S$317=$A51),--ISNUMBER('Данные 1st'!$DO$2:$DO$317))</f>
        <v>3</v>
      </c>
      <c r="AY51">
        <f>SUMPRODUCT(--('Данные 1st'!$S$2:$S$317=$A51),--ISNUMBER('Данные 1st'!$DP$2:$DP$317))</f>
        <v>3</v>
      </c>
      <c r="AZ51">
        <f>SUMPRODUCT(--('Данные 1st'!$S$2:$S$317=$A51),--ISNUMBER('Данные 1st'!$DR$2:$DR$317))</f>
        <v>0</v>
      </c>
      <c r="BA51">
        <f>SUMPRODUCT(--('Данные 1st'!$S$2:$S$317=$A51),--ISNUMBER('Данные 1st'!$DS$2:$DS$317))</f>
        <v>0</v>
      </c>
      <c r="BB51">
        <f>SUMPRODUCT(--('Данные 1st'!$S$2:$S$317=$A51),--ISNUMBER('Данные 1st'!$DT$2:$DT$317))</f>
        <v>0</v>
      </c>
      <c r="BC51">
        <f>SUMPRODUCT(--('Данные 1st'!$S$2:$S$317=$A51),--ISNUMBER('Данные 1st'!$DU$2:$DU$317))</f>
        <v>0</v>
      </c>
      <c r="BD51">
        <f>SUMPRODUCT(--('Данные 1st'!$S$2:$S$317=$A51),--ISNUMBER('Данные 1st'!$DV$2:$DV$317))</f>
        <v>0</v>
      </c>
      <c r="BE51">
        <f>SUMPRODUCT(--('Данные 1st'!$S$2:$S$317=$A51),--ISNUMBER('Данные 1st'!$DX$2:$DX$317))</f>
        <v>4</v>
      </c>
      <c r="BF51">
        <f>SUMPRODUCT(--('Данные 1st'!$S$2:$S$317=$A51),--ISNUMBER('Данные 1st'!$EA$2:$EA$317))</f>
        <v>4</v>
      </c>
      <c r="BG51">
        <f>SUMPRODUCT(--('Данные 1st'!$S$2:$S$317=$A51),--ISNUMBER('Данные 1st'!$EB$2:$EB$317))</f>
        <v>4</v>
      </c>
      <c r="BH51">
        <f>SUMPRODUCT(--('Данные 1st'!$S$2:$S$317=$A51),--ISNUMBER('Данные 1st'!$ED$2:$ED$317))</f>
        <v>4</v>
      </c>
      <c r="BI51">
        <f>SUMPRODUCT(--('Данные 1st'!$S$2:$S$317=$A51),--ISNUMBER('Данные 1st'!$EE$2:$EE$317))</f>
        <v>4</v>
      </c>
      <c r="BJ51">
        <f>SUMPRODUCT(--('Данные 1st'!$S$2:$S$317=$A51),--ISNUMBER('Данные 1st'!$EG$2:$EG$317))</f>
        <v>4</v>
      </c>
      <c r="BK51">
        <f>SUMPRODUCT(--('Данные 1st'!$S$2:$S$317=$A51),--ISNUMBER('Данные 1st'!$EH$2:$EH$317))</f>
        <v>4</v>
      </c>
      <c r="BL51">
        <f>SUMPRODUCT(--('Данные 1st'!$S$2:$S$317=$A51),--ISNUMBER('Данные 1st'!$EJ$2:$EJ$317))</f>
        <v>4</v>
      </c>
      <c r="BM51">
        <f>SUMPRODUCT(--('Данные 1st'!$S$2:$S$317=$A51),--ISNUMBER('Данные 1st'!$EK$2:$EK$317))</f>
        <v>4</v>
      </c>
      <c r="BN51">
        <f>SUMPRODUCT(--('Данные 1st'!$S$2:$S$317=$A51),--ISNUMBER('Данные 1st'!$EN$2:$EN$317))</f>
        <v>4</v>
      </c>
      <c r="BO51">
        <f>SUMPRODUCT(--('Данные 1st'!$S$2:$S$317=$A51),--ISNUMBER('Данные 1st'!$EQ$2:$EQ$317))</f>
        <v>4</v>
      </c>
      <c r="BP51">
        <f>SUMPRODUCT(--('Данные 1st'!$S$2:$S$317=$A51),--ISNUMBER('Данные 1st'!$ER$2:$ER$317))</f>
        <v>4</v>
      </c>
      <c r="BQ51">
        <f>SUMPRODUCT(--('Данные 1st'!$S$2:$S$317=$A51),--ISNUMBER('Данные 1st'!$ES$2:$ES$317))</f>
        <v>4</v>
      </c>
      <c r="BR51">
        <f>SUMPRODUCT(--('Данные 1st'!$S$2:$S$317=$A51),--ISNUMBER('Данные 1st'!$ET$2:$ET$317))</f>
        <v>4</v>
      </c>
      <c r="BS51">
        <f>SUMPRODUCT(--('Данные 1st'!$S$2:$S$317=$A51),--ISNUMBER('Данные 1st'!$EU$2:$EU$317))</f>
        <v>4</v>
      </c>
      <c r="BT51">
        <f>SUMPRODUCT(--('Данные 1st'!$S$2:$S$317=$A51),--ISNUMBER('Данные 1st'!$EV$2:$EV$317))</f>
        <v>4</v>
      </c>
      <c r="BU51">
        <f>SUMPRODUCT(--('Данные 1st'!$S$2:$S$317=$A51),--ISNUMBER('Данные 1st'!$EX$2:$EX$317))</f>
        <v>4</v>
      </c>
      <c r="BV51">
        <f>SUMPRODUCT(--('Данные 1st'!$S$2:$S$317=$A51),--ISNUMBER('Данные 1st'!$EY$2:$EY$317))</f>
        <v>4</v>
      </c>
      <c r="BW51">
        <f>SUMPRODUCT(--('Данные 1st'!$S$2:$S$317=$A51),--ISNUMBER('Данные 1st'!$EZ$2:$EZ$317))</f>
        <v>4</v>
      </c>
      <c r="BX51">
        <f>SUMPRODUCT(--('Данные 1st'!$S$2:$S$317=$A51),--ISNUMBER('Данные 1st'!$FA$2:$FA$317))</f>
        <v>4</v>
      </c>
      <c r="BY51">
        <f>SUMPRODUCT(--('Данные 1st'!$S$2:$S$317=$A51),--ISNUMBER('Данные 1st'!$FB$2:$FB$317))</f>
        <v>4</v>
      </c>
      <c r="BZ51">
        <f>SUMPRODUCT(--('Данные 1st'!$S$2:$S$317=$A51),--ISNUMBER('Данные 1st'!$FC$2:$FC$317))</f>
        <v>4</v>
      </c>
      <c r="CA51">
        <f>SUMPRODUCT(--('Данные 1st'!$S$2:$S$317=$A51),--ISNUMBER('Данные 1st'!$FE$2:$FE$317))</f>
        <v>4</v>
      </c>
      <c r="CB51">
        <f>SUMPRODUCT(--('Данные 1st'!$S$2:$S$317=$A51),--ISNUMBER('Данные 1st'!$FF$2:$FF$317))</f>
        <v>4</v>
      </c>
      <c r="CC51">
        <f>SUMPRODUCT(--('Данные 1st'!$S$2:$S$317=$A51),--ISNUMBER('Данные 1st'!$FI$2:$FI$317))</f>
        <v>4</v>
      </c>
      <c r="CD51">
        <f>SUMPRODUCT(--('Данные 1st'!$S$2:$S$317=$A51),--ISNUMBER('Данные 1st'!$FL$2:$FL$317))</f>
        <v>4</v>
      </c>
      <c r="CE51">
        <f>SUMPRODUCT(--('Данные 1st'!$S$2:$S$317=$A51),--ISNUMBER('Данные 1st'!$FM$2:$FM$317))</f>
        <v>4</v>
      </c>
      <c r="CF51">
        <f>SUMPRODUCT(--('Данные 1st'!$S$2:$S$317=$A51),--ISNUMBER('Данные 1st'!$FN$2:$FN$317))</f>
        <v>4</v>
      </c>
      <c r="CG51">
        <f>SUMPRODUCT(--('Данные 1st'!$S$2:$S$317=$A51),--ISNUMBER('Данные 1st'!$FO$2:$FO$317))</f>
        <v>0</v>
      </c>
      <c r="CH51">
        <f>SUMPRODUCT(--('Данные 1st'!$S$2:$S$317=$A51),--ISNUMBER('Данные 1st'!$FP$2:$FP$317))</f>
        <v>0</v>
      </c>
      <c r="CI51">
        <f>SUMPRODUCT(--('Данные 1st'!$S$2:$S$317=$A51),--ISNUMBER('Данные 1st'!$FS$2:$FS$317))</f>
        <v>1</v>
      </c>
      <c r="CJ51">
        <f>SUMPRODUCT(--('Данные 1st'!$S$2:$S$317=$A51),--ISNUMBER('Данные 1st'!$FT$2:$FT$317))</f>
        <v>1</v>
      </c>
      <c r="CK51">
        <f>SUMPRODUCT(--('Данные 1st'!$S$2:$S$317=$A51),--ISNUMBER('Данные 1st'!$FU$2:$FU$317))</f>
        <v>1</v>
      </c>
      <c r="CL51">
        <f>SUMPRODUCT(--('Данные 1st'!$S$2:$S$317=$A51),--ISNUMBER('Данные 1st'!$FV$2:$FV$317))</f>
        <v>0</v>
      </c>
      <c r="CM51">
        <f>SUMPRODUCT(--('Данные 1st'!$S$2:$S$317=$A51),--ISNUMBER('Данные 1st'!$FW$2:$FW$317))</f>
        <v>0</v>
      </c>
      <c r="CN51">
        <f>SUMPRODUCT(--('Данные 1st'!$S$2:$S$317=$A51),--ISNUMBER('Данные 1st'!$FZ$2:$FZ$317))</f>
        <v>0</v>
      </c>
      <c r="CO51">
        <f>SUMPRODUCT(--('Данные 1st'!$S$2:$S$317=$A51),--ISNUMBER('Данные 1st'!$GA$2:$GA$317))</f>
        <v>0</v>
      </c>
      <c r="CP51">
        <f>SUMPRODUCT(--('Данные 1st'!$S$2:$S$317=$A51),--ISNUMBER('Данные 1st'!$GB$2:$GB$317))</f>
        <v>0</v>
      </c>
      <c r="CQ51">
        <f>SUMPRODUCT(--('Данные 1st'!$S$2:$S$317=$A51),--ISNUMBER('Данные 1st'!$GH$2:$GH$317))</f>
        <v>0</v>
      </c>
      <c r="CR51">
        <f>SUMPRODUCT(--('Данные 1st'!$S$2:$S$317=$A51),--ISNUMBER('Данные 1st'!$GI$2:$GI$317))</f>
        <v>0</v>
      </c>
      <c r="CS51">
        <f>SUMPRODUCT(--('Данные 1st'!$S$2:$S$317=$A51),--ISNUMBER('Данные 1st'!$GJ$2:$GJ$317))</f>
        <v>0</v>
      </c>
      <c r="CT51">
        <f>SUMPRODUCT(--('Данные 1st'!$S$2:$S$317=$A51),--ISNUMBER('Данные 1st'!$GS$2:$GS$317))</f>
        <v>3</v>
      </c>
      <c r="CU51">
        <f>SUMPRODUCT(--('Данные 1st'!$S$2:$S$317=$A51),--ISNUMBER('Данные 1st'!$GT$2:$GT$317))</f>
        <v>3</v>
      </c>
      <c r="CV51">
        <f>SUMPRODUCT(--('Данные 1st'!$S$2:$S$317=$A51),--ISNUMBER('Данные 1st'!$GU$2:$GU$317))</f>
        <v>3</v>
      </c>
      <c r="CW51">
        <f>SUMPRODUCT(--('Данные 1st'!$S$2:$S$317=$A51),--ISNUMBER('Данные 1st'!$GV$2:$GV$317))</f>
        <v>3</v>
      </c>
      <c r="CX51">
        <f>SUMPRODUCT(--('Данные 1st'!$S$2:$S$317=$A51),--ISNUMBER('Данные 1st'!$GW$2:$GW$317))</f>
        <v>3</v>
      </c>
      <c r="CY51">
        <f>SUMPRODUCT(--('Данные 1st'!$S$2:$S$317=$A51),--ISNUMBER('Данные 1st'!$GZ$2:$GZ$317))</f>
        <v>0</v>
      </c>
      <c r="CZ51">
        <f>SUMPRODUCT(--('Данные 1st'!$S$2:$S$317=$A51),--ISNUMBER('Данные 1st'!$HA$2:$HA$317))</f>
        <v>0</v>
      </c>
      <c r="DA51">
        <f>SUMPRODUCT(--('Данные 1st'!$S$2:$S$317=$A51),--ISNUMBER('Данные 1st'!$HB$2:$HB$317))</f>
        <v>0</v>
      </c>
      <c r="DB51">
        <f>SUMPRODUCT(--('Данные 1st'!$S$2:$S$317=$A51),--ISNUMBER('Данные 1st'!$HC$2:$HC$317))</f>
        <v>4</v>
      </c>
      <c r="DC51">
        <f>SUMPRODUCT(--('Данные 1st'!$S$2:$S$317=$A51),--ISNUMBER('Данные 1st'!$HD$2:$HD$317))</f>
        <v>4</v>
      </c>
      <c r="DD51">
        <f>SUMPRODUCT(--('Данные 1st'!$S$2:$S$317=$A51),--ISNUMBER('Данные 1st'!$HE$2:$HE$317))</f>
        <v>4</v>
      </c>
      <c r="DE51">
        <f>SUMPRODUCT(--('Данные 1st'!$S$2:$S$317=$A51),--ISNUMBER('Данные 1st'!$HF$2:$HF$317))</f>
        <v>4</v>
      </c>
      <c r="DF51">
        <f>SUMPRODUCT(--('Данные 1st'!$S$2:$S$317=$A51),--ISNUMBER('Данные 1st'!$HG$2:$HG$317))</f>
        <v>4</v>
      </c>
      <c r="DG51">
        <f>SUMPRODUCT(--('Данные 1st'!$S$2:$S$317=$A51),--ISNUMBER('Данные 1st'!$HH$2:$HH$317))</f>
        <v>4</v>
      </c>
      <c r="DH51">
        <f>SUMPRODUCT(--('Данные 1st'!$S$2:$S$317=$A51),--ISNUMBER('Данные 1st'!$HI$2:$HI$317))</f>
        <v>4</v>
      </c>
      <c r="DI51">
        <f>SUMPRODUCT(--('Данные 1st'!$S$2:$S$317=$A51),--ISNUMBER('Данные 1st'!$HJ$2:$HJ$317))</f>
        <v>4</v>
      </c>
      <c r="DJ51">
        <f>SUMPRODUCT(--('Данные 1st'!$S$2:$S$317=$A51),--ISNUMBER('Данные 1st'!$HK$2:$HK$317))</f>
        <v>4</v>
      </c>
      <c r="DK51">
        <f>SUMPRODUCT(--('Данные 1st'!$S$2:$S$317=$A51),--ISNUMBER('Данные 1st'!$HL$2:$HL$317))</f>
        <v>4</v>
      </c>
      <c r="DL51">
        <f>SUMPRODUCT(--('Данные 1st'!$S$2:$S$317=$A51),--ISNUMBER('Данные 1st'!$HM$2:$HM$317))</f>
        <v>4</v>
      </c>
      <c r="DM51">
        <f>SUMPRODUCT(--('Данные 1st'!$S$2:$S$317=$A51),--ISNUMBER('Данные 1st'!$HN$2:$HN$317))</f>
        <v>4</v>
      </c>
      <c r="DN51">
        <f>SUMPRODUCT(--('Данные 1st'!$S$2:$S$317=$A51),--ISNUMBER('Данные 1st'!$HO$2:$HO$317))</f>
        <v>4</v>
      </c>
      <c r="DO51">
        <f>SUMPRODUCT(--('Данные 1st'!$S$2:$S$317=$A51),--ISNUMBER('Данные 1st'!$HP$2:$HP$317))</f>
        <v>4</v>
      </c>
      <c r="DP51">
        <f>SUMPRODUCT(--('Данные 1st'!$S$2:$S$317=$A51),--ISNUMBER('Данные 1st'!$HQ$2:$HQ$317))</f>
        <v>4</v>
      </c>
      <c r="DQ51">
        <f>SUMPRODUCT(--('Данные 1st'!$S$2:$S$317=$A51),--ISNUMBER('Данные 1st'!$HR$2:$HR$317))</f>
        <v>4</v>
      </c>
      <c r="DR51">
        <f>SUMPRODUCT(--('Данные 1st'!$S$2:$S$317=$A51),--ISNUMBER('Данные 1st'!$HS$2:$HS$317))</f>
        <v>4</v>
      </c>
      <c r="DS51">
        <f>SUMPRODUCT(--('Данные 1st'!$S$2:$S$317=$A51),--ISNUMBER('Данные 1st'!$HT$2:$HT$317))</f>
        <v>4</v>
      </c>
      <c r="DT51">
        <f>SUMPRODUCT(--('Данные 1st'!$S$2:$S$317=$A51),--ISNUMBER('Данные 1st'!$HU$2:$HU$317))</f>
        <v>4</v>
      </c>
      <c r="DU51">
        <f>SUMPRODUCT(--('Данные 1st'!$S$2:$S$317=$A51),--ISNUMBER('Данные 1st'!$HW$2:$HW$317))</f>
        <v>4</v>
      </c>
      <c r="DV51">
        <f>SUMPRODUCT(--('Данные 1st'!$S$2:$S$317=$A51),--ISNUMBER('Данные 1st'!$HX$2:$HX$317))</f>
        <v>4</v>
      </c>
      <c r="DW51">
        <f>SUMPRODUCT(--('Данные 1st'!$S$2:$S$317=$A51),--ISNUMBER('Данные 1st'!$HY$2:$HY$317))</f>
        <v>4</v>
      </c>
      <c r="DX51">
        <f>SUMPRODUCT(--('Данные 1st'!$S$2:$S$317=$A51),--ISNUMBER('Данные 1st'!$IA$2:$IA$317))</f>
        <v>4</v>
      </c>
      <c r="DY51">
        <f>SUMPRODUCT(--('Данные 1st'!$S$2:$S$317=$A51),--ISNUMBER('Данные 1st'!$IB$2:$IB$317))</f>
        <v>4</v>
      </c>
      <c r="DZ51">
        <f>SUMPRODUCT(--('Данные 1st'!$S$2:$S$317=$A51),--ISNUMBER('Данные 1st'!$IC$2:$IC$317))</f>
        <v>4</v>
      </c>
      <c r="EA51">
        <f>SUMPRODUCT(--('Данные 1st'!$S$2:$S$317=$A51),--ISNUMBER('Данные 1st'!$ID$2:$ID$317))</f>
        <v>4</v>
      </c>
      <c r="EB51">
        <f>SUMPRODUCT(--('Данные 1st'!$S$2:$S$317=$A51),--ISNUMBER('Данные 1st'!$IE$2:$IE$317))</f>
        <v>4</v>
      </c>
      <c r="EC51">
        <f>SUMPRODUCT(--('Данные 1st'!$S$2:$S$317=$A51),--ISNUMBER('Данные 1st'!$IF$2:$IF$317))</f>
        <v>4</v>
      </c>
      <c r="ED51">
        <f>SUMPRODUCT(--('Данные 1st'!$S$2:$S$317=$A51),--ISNUMBER('Данные 1st'!$IP$2:$IP$317))</f>
        <v>4</v>
      </c>
      <c r="EE51">
        <f>SUMPRODUCT(--('Данные 1st'!$S$2:$S$317=$A51),--ISNUMBER('Данные 1st'!$IV$2:$IV$317))</f>
        <v>4</v>
      </c>
      <c r="EF51">
        <f>SUMPRODUCT(--('Данные 1st'!$S$2:$S$317=$A51),--ISNUMBER('Данные 1st'!$IW$2:$IW$317))</f>
        <v>4</v>
      </c>
      <c r="EG51">
        <f>SUMPRODUCT(--('Данные 1st'!$S$2:$S$317=$A51),--ISNUMBER('Данные 1st'!$IX$2:$IX$317))</f>
        <v>0</v>
      </c>
      <c r="EH51">
        <f>SUMPRODUCT(--('Данные 1st'!$S$2:$S$317=$A51),--ISNUMBER('Данные 1st'!$IY$2:$IY$317))</f>
        <v>0</v>
      </c>
      <c r="EI51">
        <f>SUMPRODUCT(--('Данные 1st'!$S$2:$S$317=$A51),--ISNUMBER('Данные 1st'!$JD$2:$JD$317))</f>
        <v>4</v>
      </c>
      <c r="EJ51">
        <f>SUMPRODUCT(--('Данные 1st'!$S$2:$S$317=$A51),--ISNUMBER('Данные 1st'!$JE$2:$JE$317))</f>
        <v>4</v>
      </c>
      <c r="EK51">
        <f>SUMPRODUCT(--('Данные 1st'!$S$2:$S$317=$A51),--ISNUMBER('Данные 1st'!$JF$2:$JF$317))</f>
        <v>4</v>
      </c>
      <c r="EL51">
        <f>SUMPRODUCT(--('Данные 1st'!$S$2:$S$317=$A51),--ISNUMBER('Данные 1st'!$JG$2:$JG$317))</f>
        <v>4</v>
      </c>
      <c r="EM51">
        <f>SUMPRODUCT(--('Данные 1st'!$S$2:$S$317=$A51),--ISNUMBER('Данные 1st'!$JH$2:$JH$317))</f>
        <v>4</v>
      </c>
      <c r="EN51">
        <f>SUMPRODUCT(--('Данные 1st'!$S$2:$S$317=$A51),--ISNUMBER('Данные 1st'!$JJ$2:$JJ$317))</f>
        <v>4</v>
      </c>
      <c r="EO51">
        <f>SUMPRODUCT(--('Данные 1st'!$S$2:$S$317=$A51),--ISNUMBER('Данные 1st'!$JK$2:$JK$317))</f>
        <v>4</v>
      </c>
      <c r="EP51">
        <f>SUMPRODUCT(--('Данные 1st'!$S$2:$S$317=$A51),--ISNUMBER('Данные 1st'!$JL$2:$JL$317))</f>
        <v>0</v>
      </c>
      <c r="EQ51">
        <f>SUMPRODUCT(--('Данные 1st'!$S$2:$S$317=$A51),--ISNUMBER('Данные 1st'!$JM$2:$JM$317))</f>
        <v>0</v>
      </c>
      <c r="ER51">
        <f>SUMPRODUCT(--('Данные 1st'!$S$2:$S$317=$A51),--ISNUMBER('Данные 1st'!$JN$2:$JN$317))</f>
        <v>4</v>
      </c>
      <c r="ES51">
        <f>SUMPRODUCT(--('Данные 1st'!$S$2:$S$317=$A51),--ISNUMBER('Данные 1st'!$JO$2:$JO$317))</f>
        <v>4</v>
      </c>
      <c r="ET51">
        <f>SUMPRODUCT(--('Данные 1st'!$S$2:$S$317=$A51),--ISNUMBER('Данные 1st'!$JP$2:$JP$317))</f>
        <v>4</v>
      </c>
      <c r="EU51">
        <f>SUMPRODUCT(--('Данные 1st'!$S$2:$S$317=$A51),--ISNUMBER('Данные 1st'!$JQ$2:$JQ$317))</f>
        <v>4</v>
      </c>
      <c r="EV51">
        <f>SUMPRODUCT(--('Данные 1st'!$S$2:$S$317=$A51),--ISNUMBER('Данные 1st'!$JR$2:$JR$317))</f>
        <v>4</v>
      </c>
      <c r="EW51">
        <f>SUMPRODUCT(--('Данные 1st'!$S$2:$S$317=$A51),--ISNUMBER('Данные 1st'!$JS$2:$JS$317))</f>
        <v>4</v>
      </c>
      <c r="EX51">
        <f>SUMPRODUCT(--('Данные 1st'!$S$2:$S$317=$A51),--ISNUMBER('Данные 1st'!$JT$2:$JT$317))</f>
        <v>0</v>
      </c>
      <c r="EY51">
        <f>SUMPRODUCT(--('Данные 1st'!$S$2:$S$317=$A51),--ISNUMBER('Данные 1st'!$JU$2:$JU$317))</f>
        <v>0</v>
      </c>
      <c r="EZ51">
        <f>SUMPRODUCT(--('Данные 1st'!$S$2:$S$317=$A51),--ISNUMBER('Данные 1st'!$JV$2:$JV$317))</f>
        <v>4</v>
      </c>
      <c r="FA51">
        <f>SUMPRODUCT(--('Данные 1st'!$S$2:$S$317=$A51),--ISNUMBER('Данные 1st'!$JW$2:$JW$317))</f>
        <v>0</v>
      </c>
      <c r="FB51">
        <f>SUMPRODUCT(--('Данные 1st'!$S$2:$S$317=$A51),--ISNUMBER('Данные 1st'!$JX$2:$JX$317))</f>
        <v>4</v>
      </c>
      <c r="FC51">
        <f>SUMPRODUCT(--('Данные 1st'!$S$2:$S$317=$A51),--ISNUMBER('Данные 1st'!$JY$2:$JY$317))</f>
        <v>0</v>
      </c>
      <c r="FD51">
        <f>SUMPRODUCT(--('Данные 1st'!$S$2:$S$317=$A51),--ISNUMBER('Данные 1st'!$JZ$2:$JZ$317))</f>
        <v>0</v>
      </c>
      <c r="FE51">
        <f>SUMPRODUCT(--('Данные 1st'!$S$2:$S$317=$A51),--ISNUMBER('Данные 1st'!$KA$2:$KA$317))</f>
        <v>4</v>
      </c>
      <c r="FF51">
        <f>SUMPRODUCT(--('Данные 1st'!$S$2:$S$317=$A51),--ISNUMBER('Данные 1st'!$KB$2:$KB$317))</f>
        <v>4</v>
      </c>
      <c r="FG51">
        <f>SUMPRODUCT(--('Данные 1st'!$S$2:$S$317=$A51),--ISNUMBER('Данные 1st'!$KC$2:$KC$317))</f>
        <v>4</v>
      </c>
      <c r="FH51">
        <f>SUMPRODUCT(--('Данные 1st'!$S$2:$S$317=$A51),--ISNUMBER('Данные 1st'!$KD$2:$KD$317))</f>
        <v>4</v>
      </c>
      <c r="FI51">
        <f>SUMPRODUCT(--('Данные 1st'!$S$2:$S$317=$A51),--ISNUMBER('Данные 1st'!$KE$2:$KE$317))</f>
        <v>0</v>
      </c>
      <c r="FJ51">
        <f>SUMPRODUCT(--('Данные 1st'!$S$2:$S$317=$A51),--ISNUMBER('Данные 1st'!$KF$2:$KF$317))</f>
        <v>4</v>
      </c>
      <c r="FK51">
        <f>SUMPRODUCT(--('Данные 1st'!$S$2:$S$317=$A51),--ISNUMBER('Данные 1st'!$KG$2:$KG$317))</f>
        <v>4</v>
      </c>
      <c r="FL51">
        <f>SUMPRODUCT(--('Данные 1st'!$S$2:$S$317=$A51),--ISNUMBER('Данные 1st'!$KH$2:$KH$317))</f>
        <v>4</v>
      </c>
      <c r="FM51">
        <f>SUMPRODUCT(--('Данные 1st'!$S$2:$S$317=$A51),--ISNUMBER('Данные 1st'!$KI$2:$KI$317))</f>
        <v>4</v>
      </c>
      <c r="FN51">
        <f>SUMPRODUCT(--('Данные 1st'!$S$2:$S$317=$A51),--ISNUMBER('Данные 1st'!$KJ$2:$KJ$317))</f>
        <v>4</v>
      </c>
      <c r="FO51">
        <f>SUMPRODUCT(--('Данные 1st'!$S$2:$S$317=$A51),--ISNUMBER('Данные 1st'!$KK$2:$KK$317))</f>
        <v>4</v>
      </c>
      <c r="FP51">
        <f>SUMPRODUCT(--('Данные 1st'!$S$2:$S$317=$A51),--ISNUMBER('Данные 1st'!$KL$2:$KL$317))</f>
        <v>4</v>
      </c>
      <c r="FQ51">
        <f>SUMPRODUCT(--('Данные 1st'!$S$2:$S$317=$A51),--ISNUMBER('Данные 1st'!$KM$2:$KM$317))</f>
        <v>4</v>
      </c>
      <c r="FR51">
        <f>SUMPRODUCT(--('Данные 1st'!$S$2:$S$317=$A51),--ISNUMBER('Данные 1st'!$KN$2:$KN$317))</f>
        <v>4</v>
      </c>
      <c r="FS51">
        <f>SUMPRODUCT(--('Данные 1st'!$S$2:$S$317=$A51),--ISNUMBER('Данные 1st'!$KR$2:$KR$317))</f>
        <v>4</v>
      </c>
      <c r="FT51">
        <f>SUMPRODUCT(--('Данные 1st'!$S$2:$S$317=$A51),--ISNUMBER('Данные 1st'!$KS$2:$KS$317))</f>
        <v>4</v>
      </c>
      <c r="FU51">
        <f>SUMPRODUCT(--('Данные 1st'!$S$2:$S$317=$A51),--ISNUMBER('Данные 1st'!$KT$2:$KT$317))</f>
        <v>4</v>
      </c>
      <c r="FV51">
        <f>SUMPRODUCT(--('Данные 1st'!$S$2:$S$317=$A51),--ISNUMBER('Данные 1st'!$KV$2:$KV$317))</f>
        <v>0</v>
      </c>
      <c r="FW51">
        <f>SUMPRODUCT(--('Данные 1st'!$S$2:$S$317=$A51),--ISNUMBER('Данные 1st'!$KW$2:$KW$317))</f>
        <v>0</v>
      </c>
      <c r="FX51">
        <f>SUMPRODUCT(--('Данные 1st'!$S$2:$S$317=$A51),--ISNUMBER('Данные 1st'!$KX$2:$KX$317))</f>
        <v>0</v>
      </c>
      <c r="FY51">
        <f>SUMPRODUCT(--('Данные 1st'!$S$2:$S$317=$A51),--ISNUMBER('Данные 1st'!$KY$2:$KY$317))</f>
        <v>0</v>
      </c>
      <c r="FZ51">
        <f>SUMPRODUCT(--('Данные 1st'!$S$2:$S$317=$A51),--ISNUMBER('Данные 1st'!$KZ$2:$KZ$317))</f>
        <v>0</v>
      </c>
      <c r="GA51">
        <f>SUMPRODUCT(--('Данные 1st'!$S$2:$S$317=$A51),--ISNUMBER('Данные 1st'!$LA$2:$LA$317))</f>
        <v>0</v>
      </c>
      <c r="GB51">
        <f>SUMPRODUCT(--('Данные 1st'!$S$2:$S$317=$A51),--ISNUMBER('Данные 1st'!$LB$2:$LB$317))</f>
        <v>0</v>
      </c>
      <c r="GC51">
        <f>SUMPRODUCT(--('Данные 1st'!$S$2:$S$317=$A51),--ISNUMBER('Данные 1st'!$LC$2:$LC$317))</f>
        <v>0</v>
      </c>
      <c r="GD51">
        <f>SUMPRODUCT(--('Данные 1st'!$S$2:$S$317=$A51),--ISNUMBER('Данные 1st'!$LD$2:$LD$317))</f>
        <v>0</v>
      </c>
      <c r="GE51">
        <f>SUMPRODUCT(--('Данные 1st'!$S$2:$S$317=$A51),--ISNUMBER('Данные 1st'!$LE$2:$LE$317))</f>
        <v>0</v>
      </c>
      <c r="GF51">
        <f>SUMPRODUCT(--('Данные 1st'!$S$2:$S$317=$A51),--ISNUMBER('Данные 1st'!$LF$2:$LF$317))</f>
        <v>0</v>
      </c>
      <c r="GG51">
        <f>SUMPRODUCT(--('Данные 1st'!$S$2:$S$317=$A51),--ISNUMBER('Данные 1st'!$LG$2:$LG$317))</f>
        <v>0</v>
      </c>
      <c r="GH51">
        <f>SUMPRODUCT(--('Данные 1st'!$S$2:$S$317=$A51),--ISNUMBER('Данные 1st'!$LH$2:$LH$317))</f>
        <v>0</v>
      </c>
      <c r="GI51">
        <f>SUMPRODUCT(--('Данные 1st'!$S$2:$S$317=$A51),--ISNUMBER('Данные 1st'!$LI$2:$LI$317))</f>
        <v>0</v>
      </c>
      <c r="GJ51">
        <f>SUMPRODUCT(--('Данные 1st'!$S$2:$S$317=$A51),--ISNUMBER('Данные 1st'!$LJ$2:$LJ$317))</f>
        <v>0</v>
      </c>
      <c r="GK51">
        <f>SUMPRODUCT(--('Данные 1st'!$S$2:$S$317=$A51),--ISNUMBER('Данные 1st'!$LK$2:$LK$317))</f>
        <v>4</v>
      </c>
      <c r="GL51">
        <f>SUMPRODUCT(--('Данные 1st'!$S$2:$S$317=$A51),--ISNUMBER('Данные 1st'!$LV$2:$LV$317))</f>
        <v>0</v>
      </c>
      <c r="GM51">
        <f>SUMPRODUCT(--('Данные 1st'!$S$2:$S$317=$A51),--ISNUMBER('Данные 1st'!$LW$2:$LW$317))</f>
        <v>0</v>
      </c>
      <c r="GN51">
        <f>SUMPRODUCT(--('Данные 1st'!$S$2:$S$317=$A51),--ISNUMBER('Данные 1st'!$LX$2:$LX$317))</f>
        <v>0</v>
      </c>
      <c r="GO51">
        <f>SUMPRODUCT(--('Данные 1st'!$S$2:$S$317=$A51),--ISNUMBER('Данные 1st'!$LY$2:$LY$317))</f>
        <v>0</v>
      </c>
      <c r="GP51">
        <f>SUMPRODUCT(--('Данные 1st'!$S$2:$S$317=$A51),--ISNUMBER('Данные 1st'!$LZ$2:$LZ$317))</f>
        <v>0</v>
      </c>
      <c r="GQ51">
        <f>SUMPRODUCT(--('Данные 1st'!$S$2:$S$317=$A51),--ISNUMBER('Данные 1st'!$PG$2:$PG$317))</f>
        <v>4</v>
      </c>
      <c r="GR51">
        <f>SUMPRODUCT(--('Данные 1st'!$S$2:$S$317=$A51),--ISNUMBER('Данные 1st'!$PX$2:$PX$317))</f>
        <v>4</v>
      </c>
      <c r="GS51">
        <f>SUMPRODUCT(--('Данные 1st'!$S$2:$S$317=$A51),--ISNUMBER('Данные 1st'!$PY$2:$PY$317))</f>
        <v>4</v>
      </c>
      <c r="GT51">
        <f>SUMPRODUCT(--('Данные 1st'!$S$2:$S$317=$A51),--ISNUMBER('Данные 1st'!$QA$2:$QA$317))</f>
        <v>4</v>
      </c>
      <c r="GU51">
        <f>SUMPRODUCT(--('Данные 1st'!$S$2:$S$317=$A51),--ISNUMBER('Данные 1st'!$QB$2:$QB$317))</f>
        <v>4</v>
      </c>
      <c r="GV51">
        <f>SUMPRODUCT(--('Данные 1st'!$S$2:$S$317=$A51),--ISNUMBER('Данные 1st'!$QC$2:$QC$317))</f>
        <v>4</v>
      </c>
      <c r="GW51">
        <f>SUMPRODUCT(--('Данные 1st'!$S$2:$S$317=$A51),--ISNUMBER('Данные 1st'!$QD$2:$QD$317))</f>
        <v>4</v>
      </c>
      <c r="GX51">
        <f>SUMPRODUCT(--('Данные 1st'!$S$2:$S$317=$A51),--ISNUMBER('Данные 1st'!$QF$2:$QF$317))</f>
        <v>4</v>
      </c>
      <c r="GY51">
        <f>SUMPRODUCT(--('Данные 1st'!$S$2:$S$317=$A51),--ISNUMBER('Данные 1st'!$QG$2:$QG$317))</f>
        <v>4</v>
      </c>
      <c r="GZ51">
        <f>SUMPRODUCT(--('Данные 1st'!$S$2:$S$317=$A51),--ISNUMBER('Данные 1st'!$QH$2:$QH$317))</f>
        <v>4</v>
      </c>
      <c r="HA51">
        <f>SUMPRODUCT(--('Данные 1st'!$S$2:$S$317=$A51),--ISNUMBER('Данные 1st'!$QI$2:$QI$317))</f>
        <v>4</v>
      </c>
      <c r="HB51">
        <f>SUMPRODUCT(--('Данные 1st'!$S$2:$S$317=$A51),--ISNUMBER('Данные 1st'!$QK$2:$QK$317))</f>
        <v>0</v>
      </c>
      <c r="HC51">
        <f>SUMPRODUCT(--('Данные 1st'!$S$2:$S$317=$A51),--ISNUMBER('Данные 1st'!$QL$2:$QL$317))</f>
        <v>4</v>
      </c>
      <c r="HD51">
        <f>SUMPRODUCT(--('Данные 1st'!$S$2:$S$317=$A51),--ISNUMBER('Данные 1st'!$QM$2:$QM$317))</f>
        <v>4</v>
      </c>
      <c r="HE51">
        <f>SUMPRODUCT(--('Данные 1st'!$S$2:$S$317=$A51),--ISNUMBER('Данные 1st'!$QN$2:$QN$317))</f>
        <v>4</v>
      </c>
      <c r="HF51">
        <f>SUMPRODUCT(--('Данные 1st'!$S$2:$S$317=$A51),--ISNUMBER('Данные 1st'!$QP$2:$QP$317))</f>
        <v>4</v>
      </c>
      <c r="HG51">
        <f>SUMPRODUCT(--('Данные 1st'!$S$2:$S$317=$A51),--ISNUMBER('Данные 1st'!$QQ$2:$QQ$317))</f>
        <v>4</v>
      </c>
      <c r="HH51">
        <f>SUMPRODUCT(--('Данные 1st'!$S$2:$S$317=$A51),--ISNUMBER('Данные 1st'!$QR$2:$QR$317))</f>
        <v>3</v>
      </c>
      <c r="HI51">
        <f>SUMPRODUCT(--('Данные 1st'!$S$2:$S$317=$A51),--ISNUMBER('Данные 1st'!$QS$2:$QS$317))</f>
        <v>3</v>
      </c>
      <c r="HJ51">
        <f>SUMPRODUCT(--('Данные 1st'!$S$2:$S$317=$A51),--ISNUMBER('Данные 1st'!$QU$2:$QU$317))</f>
        <v>3</v>
      </c>
      <c r="HK51">
        <f>SUMPRODUCT(--('Данные 1st'!$S$2:$S$317=$A51),--ISNUMBER('Данные 1st'!$QV$2:$QV$317))</f>
        <v>3</v>
      </c>
      <c r="HL51">
        <f>SUMPRODUCT(--('Данные 1st'!$S$2:$S$317=$A51),--ISNUMBER('Данные 1st'!$QW$2:$QW$317))</f>
        <v>4</v>
      </c>
      <c r="HM51">
        <f>SUMPRODUCT(--('Данные 1st'!$S$2:$S$317=$A51),--ISNUMBER('Данные 1st'!$QX$2:$QX$317))</f>
        <v>4</v>
      </c>
      <c r="HN51">
        <f>SUMPRODUCT(--('Данные 1st'!$S$2:$S$317=$A51),--ISNUMBER('Данные 1st'!$QZ$2:$QZ$317))</f>
        <v>4</v>
      </c>
      <c r="HO51">
        <f>SUMPRODUCT(--('Данные 1st'!$S$2:$S$317=$A51),--ISNUMBER('Данные 1st'!$RA$2:$RA$317))</f>
        <v>4</v>
      </c>
      <c r="HP51">
        <f>SUMPRODUCT(--('Данные 1st'!$S$2:$S$317=$A51),--ISNUMBER('Данные 1st'!$RB$2:$RB$317))</f>
        <v>4</v>
      </c>
      <c r="HQ51">
        <f>SUMPRODUCT(--('Данные 1st'!$S$2:$S$317=$A51),--ISNUMBER('Данные 1st'!$RD$2:$RD$317))</f>
        <v>0</v>
      </c>
      <c r="HR51">
        <f>SUMPRODUCT(--('Данные 1st'!$S$2:$S$317=$A51),--ISNUMBER('Данные 1st'!$RE$2:$RE$317))</f>
        <v>4</v>
      </c>
      <c r="HS51">
        <f>SUMPRODUCT(--('Данные 1st'!$S$2:$S$317=$A51),--ISNUMBER('Данные 1st'!$RF$2:$RF$317))</f>
        <v>4</v>
      </c>
      <c r="HT51">
        <f>SUMPRODUCT(--('Данные 1st'!$S$2:$S$317=$A51),--ISNUMBER('Данные 1st'!$RG$2:$RG$317))</f>
        <v>0</v>
      </c>
      <c r="HU51">
        <f>SUMPRODUCT(--('Данные 1st'!$S$2:$S$317=$A51),--ISNUMBER('Данные 1st'!$RH$2:$RH$317))</f>
        <v>3</v>
      </c>
      <c r="HV51">
        <f>SUMPRODUCT(--('Данные 1st'!$S$2:$S$317=$A51),--ISNUMBER('Данные 1st'!$RI$2:$RI$317))</f>
        <v>0</v>
      </c>
      <c r="HW51">
        <f>SUMPRODUCT(--('Данные 1st'!$S$2:$S$317=$A51),--ISNUMBER('Данные 1st'!$RJ$2:$RJ$317))</f>
        <v>4</v>
      </c>
      <c r="HX51">
        <f>SUMPRODUCT(--('Данные 1st'!$S$2:$S$317=$A51),--ISNUMBER('Данные 1st'!$RK$2:$RK$317))</f>
        <v>0</v>
      </c>
      <c r="HY51">
        <f>SUMPRODUCT(--('Данные 1st'!$S$2:$S$317=$A51),--ISNUMBER('Данные 1st'!$RL$2:$RL$317))</f>
        <v>4</v>
      </c>
      <c r="HZ51">
        <f>SUMPRODUCT(--('Данные 1st'!$S$2:$S$317=$A51),--ISNUMBER('Данные 1st'!$RM$2:$RM$317))</f>
        <v>3</v>
      </c>
      <c r="IA51">
        <f>SUMPRODUCT(--('Данные 1st'!$S$2:$S$317=$A51),--ISNUMBER('Данные 1st'!$RN$2:$RN$317))</f>
        <v>0</v>
      </c>
      <c r="IB51">
        <f>SUMPRODUCT(--('Данные 1st'!$S$2:$S$317=$A51),--ISNUMBER('Данные 1st'!$RO$2:$RO$317))</f>
        <v>4</v>
      </c>
      <c r="IC51">
        <f>SUMPRODUCT(--('Данные 1st'!$S$2:$S$317=$A51),--ISNUMBER('Данные 1st'!$RP$2:$RP$317))</f>
        <v>0</v>
      </c>
      <c r="ID51">
        <f>SUMPRODUCT(--('Данные 1st'!$S$2:$S$317=$A51),--ISNUMBER('Данные 1st'!$RQ$2:$RQ$317))</f>
        <v>4</v>
      </c>
      <c r="IE51">
        <f>SUMPRODUCT(--('Данные 1st'!$S$2:$S$317=$A51),--ISNUMBER('Данные 1st'!$RR$2:$RR$317))</f>
        <v>3</v>
      </c>
      <c r="IF51">
        <f>SUMPRODUCT(--('Данные 1st'!$S$2:$S$317=$A51),--ISNUMBER('Данные 1st'!$RS$2:$RS$317))</f>
        <v>0</v>
      </c>
      <c r="IG51">
        <f>SUMPRODUCT(--('Данные 1st'!$S$2:$S$317=$A51),--ISNUMBER('Данные 1st'!$RT$2:$RT$317))</f>
        <v>4</v>
      </c>
      <c r="IH51">
        <f>SUMPRODUCT(--('Данные 1st'!$S$2:$S$317=$A51),--ISNUMBER('Данные 1st'!$RU$2:$RU$317))</f>
        <v>4</v>
      </c>
      <c r="II51">
        <f>SUMPRODUCT(--('Данные 1st'!$S$2:$S$317=$A51),--ISNUMBER('Данные 1st'!$RX$2:$RX$317))</f>
        <v>4</v>
      </c>
      <c r="IJ51">
        <f>SUMPRODUCT(--('Данные 1st'!$S$2:$S$317=$A51),--ISNUMBER('Данные 1st'!$RY$2:$RY$317))</f>
        <v>4</v>
      </c>
      <c r="IK51">
        <f>SUMPRODUCT(--('Данные 1st'!$S$2:$S$317=$A51),--ISNUMBER('Данные 1st'!$SA$2:$SA$317))</f>
        <v>4</v>
      </c>
      <c r="IL51">
        <f>SUMPRODUCT(--('Данные 1st'!$S$2:$S$317=$A51),--ISNUMBER('Данные 1st'!$SD$2:$SD$317))</f>
        <v>4</v>
      </c>
      <c r="IM51">
        <f>SUMPRODUCT(--('Данные 1st'!$S$2:$S$317=$A51),--ISNUMBER('Данные 1st'!$SG$2:$SG$317))</f>
        <v>3</v>
      </c>
      <c r="IN51">
        <f>SUMPRODUCT(--('Данные 1st'!$S$2:$S$317=$A51),--ISNUMBER('Данные 1st'!$SH$2:$SH$317))</f>
        <v>4</v>
      </c>
      <c r="IO51">
        <f>SUMPRODUCT(--('Данные 1st'!$S$2:$S$317=$A51),--ISNUMBER('Данные 1st'!$SI$2:$SI$317))</f>
        <v>4</v>
      </c>
      <c r="IP51">
        <f>SUMPRODUCT(--('Данные 1st'!$S$2:$S$317=$A51),--ISNUMBER('Данные 1st'!$SJ$2:$SJ$317))</f>
        <v>4</v>
      </c>
      <c r="IQ51">
        <f>SUMPRODUCT(--('Данные 1st'!$S$2:$S$317=$A51),--ISNUMBER('Данные 1st'!$SK$2:$SK$317))</f>
        <v>4</v>
      </c>
      <c r="IR51">
        <f>SUMPRODUCT(--('Данные 1st'!$S$2:$S$317=$A51),--ISNUMBER('Данные 1st'!$SL$2:$SL$317))</f>
        <v>4</v>
      </c>
      <c r="IS51">
        <f>SUMPRODUCT(--('Данные 1st'!$S$2:$S$317=$A51),--ISNUMBER('Данные 1st'!$SM$2:$SM$317))</f>
        <v>4</v>
      </c>
      <c r="IT51">
        <f>SUMPRODUCT(--('Данные 1st'!$S$2:$S$317=$A51),--ISNUMBER('Данные 1st'!$SN$2:$SN$317))</f>
        <v>4</v>
      </c>
      <c r="IU51">
        <f>SUMPRODUCT(--('Данные 1st'!$S$2:$S$317=$A51),--ISNUMBER('Данные 1st'!$SO$2:$SO$317))</f>
        <v>4</v>
      </c>
      <c r="IV51">
        <f>SUMPRODUCT(--('Данные 1st'!$S$2:$S$317=$A51),--ISNUMBER('Данные 1st'!$SP$2:$SP$317))</f>
        <v>4</v>
      </c>
      <c r="IW51">
        <f>SUMPRODUCT(--('Данные 1st'!$S$2:$S$317=$A51),--ISNUMBER('Данные 1st'!$SQ$2:$SQ$317))</f>
        <v>4</v>
      </c>
      <c r="IX51">
        <f>SUMPRODUCT(--('Данные 1st'!$S$2:$S$317=$A51),--ISNUMBER('Данные 1st'!$SR$2:$SR$317))</f>
        <v>4</v>
      </c>
      <c r="IY51">
        <f>SUMPRODUCT(--('Данные 1st'!$S$2:$S$317=$A51),--ISNUMBER('Данные 1st'!$SS$2:$SS$317))</f>
        <v>4</v>
      </c>
      <c r="IZ51">
        <f>SUMPRODUCT(--('Данные 1st'!$S$2:$S$317=$A51),--ISNUMBER('Данные 1st'!$ST$2:$ST$317))</f>
        <v>4</v>
      </c>
      <c r="JA51">
        <f>SUMPRODUCT(--('Данные 1st'!$S$2:$S$317=$A51),--ISNUMBER('Данные 1st'!$SU$2:$SU$317))</f>
        <v>4</v>
      </c>
      <c r="JB51">
        <f>SUMPRODUCT(--('Данные 1st'!$S$2:$S$317=$A51),--ISNUMBER('Данные 1st'!$SV$2:$SV$317))</f>
        <v>4</v>
      </c>
      <c r="JC51">
        <f>SUMPRODUCT(--('Данные 1st'!$S$2:$S$317=$A51),--ISNUMBER('Данные 1st'!$SW$2:$SW$317))</f>
        <v>4</v>
      </c>
      <c r="JD51">
        <f>SUMPRODUCT(--('Данные 1st'!$S$2:$S$317=$A51),--ISNUMBER('Данные 1st'!$SX$2:$SX$317))</f>
        <v>4</v>
      </c>
      <c r="JE51">
        <f>SUMPRODUCT(--('Данные 1st'!$S$2:$S$317=$A51),--ISNUMBER('Данные 1st'!$SY$2:$SY$317))</f>
        <v>0</v>
      </c>
      <c r="JF51">
        <f>SUMPRODUCT(--('Данные 1st'!$S$2:$S$317=$A51),--ISNUMBER('Данные 1st'!$SZ$2:$SZ$317))</f>
        <v>3</v>
      </c>
      <c r="JG51">
        <f>SUMPRODUCT(--('Данные 1st'!$S$2:$S$317=$A51),--ISNUMBER('Данные 1st'!$TA$2:$TA$317))</f>
        <v>0</v>
      </c>
      <c r="JH51">
        <f>SUMPRODUCT(--('Данные 1st'!$S$2:$S$317=$A51),--ISNUMBER('Данные 1st'!$TB$2:$TB$317))</f>
        <v>4</v>
      </c>
      <c r="JI51">
        <f>SUMPRODUCT(--('Данные 1st'!$S$2:$S$317=$A51),--ISNUMBER('Данные 1st'!$TC$2:$TC$317))</f>
        <v>4</v>
      </c>
      <c r="JJ51">
        <f>SUMPRODUCT(--('Данные 1st'!$S$2:$S$317=$A51),--ISNUMBER('Данные 1st'!$TD$2:$TD$317))</f>
        <v>4</v>
      </c>
      <c r="JK51">
        <f>SUMPRODUCT(--('Данные 1st'!$S$2:$S$317=$A51),--ISNUMBER('Данные 1st'!$TN$2:$TN$317))</f>
        <v>4</v>
      </c>
      <c r="JQ51">
        <f>SUMPRODUCT(--('Данные 2st'!$Q$2:$Q$317=$A51),--ISNUMBER('Данные 2st'!$AC$2:$AC$317))</f>
        <v>4</v>
      </c>
      <c r="JR51">
        <f>SUMPRODUCT(--('Данные 2st'!$Q$2:$Q$317=$A51),--ISNUMBER('Данные 2st'!$AF$2:$AF$317))</f>
        <v>4</v>
      </c>
      <c r="JS51">
        <f>SUMPRODUCT(--('Данные 2st'!$Q$2:$Q$317=$A51),--ISNUMBER('Данные 2st'!$AW$2:$AW$317))</f>
        <v>4</v>
      </c>
      <c r="JT51">
        <f>SUMPRODUCT(--('Данные 2st'!$Q$2:$Q$317=$A51),--ISNUMBER('Данные 2st'!$AX$2:$AX$317))</f>
        <v>4</v>
      </c>
      <c r="JU51">
        <f>SUMPRODUCT(--('Данные 2st'!$Q$2:$Q$317=$A51),--ISNUMBER('Данные 2st'!$AY$2:$AY$317))</f>
        <v>4</v>
      </c>
      <c r="JV51">
        <f>SUMPRODUCT(--('Данные 2st'!$Q$2:$Q$317=$A51),--ISNUMBER('Данные 2st'!$AZ$2:$AZ$317))</f>
        <v>4</v>
      </c>
      <c r="JW51">
        <f>SUMPRODUCT(--('Данные 2st'!$Q$2:$Q$317=$A51),--ISNUMBER('Данные 2st'!$BA$2:$BA$317))</f>
        <v>2</v>
      </c>
      <c r="JX51">
        <f>SUMPRODUCT(--('Данные 2st'!$Q$2:$Q$317=$A51),--ISNUMBER('Данные 2st'!$BB$2:$BB$317))</f>
        <v>3</v>
      </c>
      <c r="JY51">
        <f>SUMPRODUCT(--('Данные 2st'!$Q$2:$Q$317=$A51),--ISNUMBER('Данные 2st'!$BC$2:$BC$317))</f>
        <v>2</v>
      </c>
      <c r="JZ51">
        <f>SUMPRODUCT(--('Данные 2st'!$Q$2:$Q$317=$A51),--ISNUMBER('Данные 2st'!$BH$2:$BH$317))</f>
        <v>4</v>
      </c>
      <c r="KA51">
        <f>SUMPRODUCT(--('Данные 2st'!$Q$2:$Q$317=$A51),--ISNUMBER('Данные 2st'!$BI$2:$BI$317))</f>
        <v>4</v>
      </c>
      <c r="KB51">
        <f>SUMPRODUCT(--('Данные 2st'!$Q$2:$Q$317=$A51),--ISNUMBER('Данные 2st'!$BJ$2:$BJ$317))</f>
        <v>4</v>
      </c>
      <c r="KC51">
        <f>SUMPRODUCT(--('Данные 2st'!$Q$2:$Q$317=$A51),--ISNUMBER('Данные 2st'!$BK$2:$BK$317))</f>
        <v>4</v>
      </c>
      <c r="KD51">
        <f>SUMPRODUCT(--('Данные 2st'!$Q$2:$Q$317=$A51),--ISNUMBER('Данные 2st'!$BL$2:$BL$317))</f>
        <v>4</v>
      </c>
      <c r="KE51">
        <f>SUMPRODUCT(--('Данные 2st'!$Q$2:$Q$317=$A51),--ISNUMBER('Данные 2st'!$BM$2:$BM$317))</f>
        <v>4</v>
      </c>
      <c r="KF51">
        <f>SUMPRODUCT(--('Данные 2st'!$Q$2:$Q$317=$A51),--ISNUMBER('Данные 2st'!$BN$2:$BN$317))</f>
        <v>4</v>
      </c>
      <c r="KG51">
        <f>SUMPRODUCT(--('Данные 2st'!$Q$2:$Q$317=$A51),--ISNUMBER('Данные 2st'!$BO$2:$BO$317))</f>
        <v>1</v>
      </c>
      <c r="KH51">
        <f>SUMPRODUCT(--('Данные 2st'!$Q$2:$Q$317=$A51),--ISNUMBER('Данные 2st'!$BP$2:$BP$317))</f>
        <v>4</v>
      </c>
      <c r="KI51">
        <f>SUMPRODUCT(--('Данные 2st'!$Q$2:$Q$317=$A51),--ISNUMBER('Данные 2st'!$BR$2:$BR$317))</f>
        <v>4</v>
      </c>
      <c r="KJ51">
        <f>SUMPRODUCT(--('Данные 2st'!$Q$2:$Q$317=$A51),--ISNUMBER('Данные 2st'!$BS$2:$BS$317))</f>
        <v>4</v>
      </c>
      <c r="KK51">
        <f>SUMPRODUCT(--('Данные 2st'!$Q$2:$Q$317=$A51),--ISNUMBER('Данные 2st'!$BT$2:$BT$317))</f>
        <v>4</v>
      </c>
      <c r="KL51">
        <f>SUMPRODUCT(--('Данные 2st'!$Q$2:$Q$317=$A51),--ISNUMBER('Данные 2st'!$CV$2:$CV$317))</f>
        <v>4</v>
      </c>
      <c r="KM51">
        <f>SUMPRODUCT(--('Данные 2st'!$Q$2:$Q$317=$A51),--ISNUMBER('Данные 2st'!$CW$2:$CW$317))</f>
        <v>4</v>
      </c>
      <c r="KN51">
        <f>SUMPRODUCT(--('Данные 2st'!$Q$2:$Q$317=$A51),--ISNUMBER('Данные 2st'!$CX$2:$CX$317))</f>
        <v>4</v>
      </c>
      <c r="KO51">
        <f>SUMPRODUCT(--('Данные 2st'!$Q$2:$Q$317=$A51),--ISNUMBER('Данные 2st'!$CY$2:$CY$317))</f>
        <v>4</v>
      </c>
      <c r="KP51">
        <f>SUMPRODUCT(--('Данные 2st'!$Q$2:$Q$317=$A51),--ISNUMBER('Данные 2st'!$CZ$2:$CZ$317))</f>
        <v>4</v>
      </c>
      <c r="KQ51">
        <f>SUMPRODUCT(--('Данные 2st'!$Q$2:$Q$317=$A51),--ISNUMBER('Данные 2st'!$DA$2:$DA$317))</f>
        <v>4</v>
      </c>
      <c r="KR51">
        <f>SUMPRODUCT(--('Данные 2st'!$Q$2:$Q$317=$A51),--ISNUMBER('Данные 2st'!$DB$2:$DB$317))</f>
        <v>4</v>
      </c>
      <c r="KS51">
        <f>SUMPRODUCT(--('Данные 2st'!$Q$2:$Q$317=$A51),--ISNUMBER('Данные 2st'!$DC$2:$DC$317))</f>
        <v>4</v>
      </c>
      <c r="KT51">
        <f>SUMPRODUCT(--('Данные 2st'!$Q$2:$Q$317=$A51),--ISNUMBER('Данные 2st'!$DD$2:$DD$317))</f>
        <v>4</v>
      </c>
      <c r="KU51">
        <f>SUMPRODUCT(--('Данные 2st'!$Q$2:$Q$317=$A51),--ISNUMBER('Данные 2st'!$DE$2:$DE$317))</f>
        <v>4</v>
      </c>
      <c r="KV51">
        <f>SUMPRODUCT(--('Данные 2st'!$Q$2:$Q$317=$A51),--ISNUMBER('Данные 2st'!$DF$2:$DF$317))</f>
        <v>4</v>
      </c>
      <c r="KW51">
        <f>SUMPRODUCT(--('Данные 2st'!$Q$2:$Q$317=$A51),--ISNUMBER('Данные 2st'!$DG$2:$DG$317))</f>
        <v>4</v>
      </c>
      <c r="KX51">
        <f>SUMPRODUCT(--('Данные 2st'!$Q$2:$Q$317=$A51),--ISNUMBER('Данные 2st'!$DH$2:$DH$317))</f>
        <v>0</v>
      </c>
      <c r="KY51">
        <f>SUMPRODUCT(--('Данные 2st'!$Q$2:$Q$317=$A51),--ISNUMBER('Данные 2st'!$DI$2:$DI$317))</f>
        <v>0</v>
      </c>
      <c r="KZ51">
        <f>SUMPRODUCT(--('Данные 2st'!$Q$2:$Q$317=$A51),--ISNUMBER('Данные 2st'!$DK$2:$DK$317))</f>
        <v>4</v>
      </c>
      <c r="LA51">
        <f>SUMPRODUCT(--('Данные 2st'!$Q$2:$Q$317=$A51),--ISNUMBER('Данные 2st'!$DM$2:$DM$317))</f>
        <v>4</v>
      </c>
      <c r="LB51">
        <f>SUMPRODUCT(--('Данные 2st'!$Q$2:$Q$317=$A51),--ISNUMBER('Данные 2st'!$DN$2:$DN$317))</f>
        <v>4</v>
      </c>
      <c r="LC51">
        <f>SUMPRODUCT(--('Данные 2st'!$Q$2:$Q$317=$A51),--ISNUMBER('Данные 2st'!$DO$2:$DO$317))</f>
        <v>4</v>
      </c>
      <c r="LD51">
        <f>SUMPRODUCT(--('Данные 2st'!$Q$2:$Q$317=$A51),--ISNUMBER('Данные 2st'!$DP$2:$DP$317))</f>
        <v>4</v>
      </c>
      <c r="LE51">
        <f>SUMPRODUCT(--('Данные 2st'!$Q$2:$Q$317=$A51),--ISNUMBER('Данные 2st'!$DQ$2:$DQ$317))</f>
        <v>4</v>
      </c>
      <c r="LF51">
        <f>SUMPRODUCT(--('Данные 2st'!$Q$2:$Q$317=$A51),--ISNUMBER('Данные 2st'!$DS$2:$DS$317))</f>
        <v>4</v>
      </c>
      <c r="LG51">
        <f>SUMPRODUCT(--('Данные 2st'!$Q$2:$Q$317=$A51),--ISNUMBER('Данные 2st'!$DU$2:$DU$317))</f>
        <v>4</v>
      </c>
      <c r="LH51">
        <f>SUMPRODUCT(--('Данные 2st'!$Q$2:$Q$317=$A51),--ISNUMBER('Данные 2st'!$DV$2:$DV$317))</f>
        <v>4</v>
      </c>
      <c r="LI51">
        <f>SUMPRODUCT(--('Данные 2st'!$Q$2:$Q$317=$A51),--ISNUMBER('Данные 2st'!$DW$2:$DW$317))</f>
        <v>4</v>
      </c>
      <c r="LJ51">
        <f>SUMPRODUCT(--('Данные 2st'!$Q$2:$Q$317=$A51),--ISNUMBER('Данные 2st'!$DX$2:$DX$317))</f>
        <v>4</v>
      </c>
      <c r="LK51">
        <f>SUMPRODUCT(--('Данные 2st'!$Q$2:$Q$317=$A51),--ISNUMBER('Данные 2st'!$DY$2:$DY$317))</f>
        <v>4</v>
      </c>
      <c r="LL51">
        <f>SUMPRODUCT(--('Данные 2st'!$Q$2:$Q$317=$A51),--ISNUMBER('Данные 2st'!$EA$2:$EA$317))</f>
        <v>4</v>
      </c>
      <c r="LM51">
        <f>SUMPRODUCT(--('Данные 2st'!$Q$2:$Q$317=$A51),--ISNUMBER('Данные 2st'!$EC$2:$EC$317))</f>
        <v>4</v>
      </c>
      <c r="LN51">
        <f>SUMPRODUCT(--('Данные 2st'!$Q$2:$Q$317=$A51),--ISNUMBER('Данные 2st'!$ED$2:$ED$317))</f>
        <v>4</v>
      </c>
      <c r="LO51">
        <f>SUMPRODUCT(--('Данные 2st'!$Q$2:$Q$317=$A51),--ISNUMBER('Данные 2st'!$EE$2:$EE$317))</f>
        <v>4</v>
      </c>
      <c r="LP51">
        <f>SUMPRODUCT(--('Данные 2st'!$Q$2:$Q$317=$A51),--ISNUMBER('Данные 2st'!$EG$2:$EG$317))</f>
        <v>4</v>
      </c>
      <c r="LQ51">
        <f>SUMPRODUCT(--('Данные 2st'!$Q$2:$Q$317=$A51),--ISNUMBER('Данные 2st'!$EI$2:$EI$317))</f>
        <v>4</v>
      </c>
      <c r="LR51">
        <f>SUMPRODUCT(--('Данные 2st'!$Q$2:$Q$317=$A51),--ISNUMBER('Данные 2st'!$EJ$2:$EJ$317))</f>
        <v>0</v>
      </c>
      <c r="LS51">
        <f>SUMPRODUCT(--('Данные 2st'!$Q$2:$Q$317=$A51),--ISNUMBER('Данные 2st'!$EK$2:$EK$317))</f>
        <v>0</v>
      </c>
      <c r="LT51">
        <f>SUMPRODUCT(--('Данные 2st'!$Q$2:$Q$317=$A51),--ISNUMBER('Данные 2st'!$EM$2:$EM$317))</f>
        <v>4</v>
      </c>
      <c r="LU51">
        <f>SUMPRODUCT(--('Данные 2st'!$Q$2:$Q$317=$A51),--ISNUMBER('Данные 2st'!$EN$2:$EN$317))</f>
        <v>4</v>
      </c>
      <c r="LV51">
        <f>SUMPRODUCT(--('Данные 2st'!$Q$2:$Q$317=$A51),--ISNUMBER('Данные 2st'!$EO$2:$EO$317))</f>
        <v>4</v>
      </c>
      <c r="LW51">
        <f>SUMPRODUCT(--('Данные 2st'!$Q$2:$Q$317=$A51),--ISNUMBER('Данные 2st'!$EP$2:$EP$317))</f>
        <v>4</v>
      </c>
      <c r="LX51">
        <f>SUMPRODUCT(--('Данные 2st'!$Q$2:$Q$317=$A51),--ISNUMBER('Данные 2st'!$EQ$2:$EQ$317))</f>
        <v>4</v>
      </c>
      <c r="LY51">
        <f>SUMPRODUCT(--('Данные 2st'!$Q$2:$Q$317=$A51),--ISNUMBER('Данные 2st'!$ER$2:$ER$317))</f>
        <v>4</v>
      </c>
      <c r="LZ51">
        <f>SUMPRODUCT(--('Данные 2st'!$Q$2:$Q$317=$A51),--ISNUMBER('Данные 2st'!$ES$2:$ES$317))</f>
        <v>4</v>
      </c>
      <c r="MA51">
        <f>SUMPRODUCT(--('Данные 2st'!$Q$2:$Q$317=$A51),--ISNUMBER('Данные 2st'!$ET$2:$ET$317))</f>
        <v>4</v>
      </c>
      <c r="MB51">
        <f>SUMPRODUCT(--('Данные 2st'!$Q$2:$Q$317=$A51),--ISNUMBER('Данные 2st'!$EU$2:$EU$317))</f>
        <v>4</v>
      </c>
      <c r="MC51">
        <f>SUMPRODUCT(--('Данные 2st'!$Q$2:$Q$317=$A51),--ISNUMBER('Данные 2st'!$EV$2:$EV$317))</f>
        <v>4</v>
      </c>
      <c r="MD51">
        <f>SUMPRODUCT(--('Данные 2st'!$Q$2:$Q$317=$A51),--ISNUMBER('Данные 2st'!$EW$2:$EW$317))</f>
        <v>4</v>
      </c>
      <c r="ME51">
        <f>SUMPRODUCT(--('Данные 2st'!$Q$2:$Q$317=$A51),--ISNUMBER('Данные 2st'!$EY$2:$EY$317))</f>
        <v>4</v>
      </c>
      <c r="MF51">
        <f>SUMPRODUCT(--('Данные 2st'!$Q$2:$Q$317=$A51),--ISNUMBER('Данные 2st'!$FA$2:$FA$317))</f>
        <v>4</v>
      </c>
      <c r="MG51">
        <f>SUMPRODUCT(--('Данные 2st'!$Q$2:$Q$317=$A51),--ISNUMBER('Данные 2st'!$FB$2:$FB$317))</f>
        <v>4</v>
      </c>
      <c r="MH51">
        <f>SUMPRODUCT(--('Данные 2st'!$Q$2:$Q$317=$A51),--ISNUMBER('Данные 2st'!$FC$2:$FC$317))</f>
        <v>4</v>
      </c>
      <c r="MI51">
        <f>SUMPRODUCT(--('Данные 2st'!$Q$2:$Q$317=$A51),--ISNUMBER('Данные 2st'!$FD$2:$FD$317))</f>
        <v>4</v>
      </c>
      <c r="MJ51">
        <f>SUMPRODUCT(--('Данные 2st'!$Q$2:$Q$317=$A51),--ISNUMBER('Данные 2st'!$FE$2:$FE$317))</f>
        <v>4</v>
      </c>
      <c r="MK51">
        <f>SUMPRODUCT(--('Данные 2st'!$Q$2:$Q$317=$A51),--ISNUMBER('Данные 2st'!$FG$2:$FG$317))</f>
        <v>4</v>
      </c>
      <c r="ML51">
        <f>SUMPRODUCT(--('Данные 2st'!$Q$2:$Q$317=$A51),--ISNUMBER('Данные 2st'!$FI$2:$FI$317))</f>
        <v>4</v>
      </c>
      <c r="MM51">
        <f>SUMPRODUCT(--('Данные 2st'!$Q$2:$Q$317=$A51),--ISNUMBER('Данные 2st'!$FJ$2:$FJ$317))</f>
        <v>4</v>
      </c>
      <c r="MN51">
        <f>SUMPRODUCT(--('Данные 2st'!$Q$2:$Q$317=$A51),--ISNUMBER('Данные 2st'!$FK$2:$FK$317))</f>
        <v>4</v>
      </c>
      <c r="MO51">
        <f>SUMPRODUCT(--('Данные 2st'!$Q$2:$Q$317=$A51),--ISNUMBER('Данные 2st'!$FP$2:$FP$317))</f>
        <v>4</v>
      </c>
      <c r="MP51">
        <f>SUMPRODUCT(--('Данные 2st'!$Q$2:$Q$317=$A51),--ISNUMBER('Данные 2st'!$FQ$2:$FQ$317))</f>
        <v>4</v>
      </c>
      <c r="MQ51">
        <f>SUMPRODUCT(--('Данные 2st'!$Q$2:$Q$317=$A51),--ISNUMBER('Данные 2st'!$FS$2:$FS$317))</f>
        <v>4</v>
      </c>
      <c r="MR51">
        <f>SUMPRODUCT(--('Данные 2st'!$Q$2:$Q$317=$A51),--ISNUMBER('Данные 2st'!$FU$2:$FU$317))</f>
        <v>4</v>
      </c>
      <c r="MS51">
        <f>SUMPRODUCT(--('Данные 2st'!$Q$2:$Q$317=$A51),--ISNUMBER('Данные 2st'!$FV$2:$FV$317))</f>
        <v>4</v>
      </c>
      <c r="MT51">
        <f>SUMPRODUCT(--('Данные 2st'!$Q$2:$Q$317=$A51),--ISNUMBER('Данные 2st'!$FW$2:$FW$317))</f>
        <v>4</v>
      </c>
      <c r="MU51">
        <f>SUMPRODUCT(--('Данные 2st'!$Q$2:$Q$317=$A51),--ISNUMBER('Данные 2st'!$FY$2:$FY$317))</f>
        <v>4</v>
      </c>
      <c r="MV51">
        <f>SUMPRODUCT(--('Данные 2st'!$Q$2:$Q$317=$A51),--ISNUMBER('Данные 2st'!$GB$2:$GB$317))</f>
        <v>4</v>
      </c>
      <c r="MW51">
        <f>SUMPRODUCT(--('Данные 2st'!$Q$2:$Q$317=$A51),--ISNUMBER('Данные 2st'!$GC$2:$GC$317))</f>
        <v>4</v>
      </c>
      <c r="MX51">
        <f>SUMPRODUCT(--('Данные 2st'!$Q$2:$Q$317=$A51),--ISNUMBER('Данные 2st'!$GD$2:$GD$317))</f>
        <v>4</v>
      </c>
      <c r="MY51">
        <f>SUMPRODUCT(--('Данные 2st'!$Q$2:$Q$317=$A51),--ISNUMBER('Данные 2st'!$GN$2:$GN$317))</f>
        <v>0</v>
      </c>
      <c r="MZ51">
        <f>SUMPRODUCT(--('Данные 2st'!$Q$2:$Q$317=$A51),--ISNUMBER('Данные 2st'!$GQ$2:$GQ$317))</f>
        <v>4</v>
      </c>
      <c r="NA51">
        <f>SUMPRODUCT(--('Данные 2st'!$Q$2:$Q$317=$A51),--ISNUMBER('Данные 2st'!$GV$2:$GV$317))</f>
        <v>4</v>
      </c>
      <c r="NB51">
        <f>SUMPRODUCT(--('Данные 2st'!$Q$2:$Q$317=$A51),--ISNUMBER('Данные 2st'!$GW$2:$GW$317))</f>
        <v>4</v>
      </c>
      <c r="NC51">
        <f>SUMPRODUCT(--('Данные 2st'!$Q$2:$Q$317=$A51),--ISNUMBER('Данные 2st'!$GX$2:$GX$317))</f>
        <v>4</v>
      </c>
      <c r="ND51">
        <f>SUMPRODUCT(--('Данные 2st'!$Q$2:$Q$317=$A51),--ISNUMBER('Данные 2st'!$GY$2:$GY$317))</f>
        <v>4</v>
      </c>
      <c r="NE51">
        <f>SUMPRODUCT(--('Данные 2st'!$Q$2:$Q$317=$A51),--ISNUMBER('Данные 2st'!$GZ$2:$GZ$317))</f>
        <v>4</v>
      </c>
      <c r="NF51">
        <f>SUMPRODUCT(--('Данные 2st'!$Q$2:$Q$317=$A51),--ISNUMBER('Данные 2st'!$HA$2:$HA$317))</f>
        <v>4</v>
      </c>
      <c r="NG51">
        <f>SUMPRODUCT(--('Данные 2st'!$Q$2:$Q$317=$A51),--ISNUMBER('Данные 2st'!$HB$2:$HB$317))</f>
        <v>4</v>
      </c>
      <c r="NH51">
        <f>SUMPRODUCT(--('Данные 2st'!$Q$2:$Q$317=$A51),--ISNUMBER('Данные 2st'!$HC$2:$HC$317))</f>
        <v>4</v>
      </c>
      <c r="NI51">
        <f>SUMPRODUCT(--('Данные 2st'!$Q$2:$Q$317=$A51),--ISNUMBER('Данные 2st'!$HD$2:$HD$317))</f>
        <v>4</v>
      </c>
      <c r="NJ51">
        <f>SUMPRODUCT(--('Данные 2st'!$Q$2:$Q$317=$A51),--ISNUMBER('Данные 2st'!$HM$2:$HM$317))</f>
        <v>4</v>
      </c>
      <c r="NK51">
        <f>SUMPRODUCT(--('Данные 2st'!$Q$2:$Q$317=$A51),--ISNUMBER('Данные 2st'!$HR$2:$HR$317))</f>
        <v>4</v>
      </c>
      <c r="NL51">
        <f>SUMPRODUCT(--('Данные 2st'!$Q$2:$Q$317=$A51),--ISNUMBER('Данные 2st'!$HS$2:$HS$317))</f>
        <v>4</v>
      </c>
      <c r="NM51">
        <f>SUMPRODUCT(--('Данные 2st'!$Q$2:$Q$317=$A51),--ISNUMBER('Данные 2st'!$HT$2:$HT$317))</f>
        <v>4</v>
      </c>
      <c r="NN51">
        <f>SUMPRODUCT(--('Данные 2st'!$Q$2:$Q$317=$A51),--ISNUMBER('Данные 2st'!$HY$2:$HY$317))</f>
        <v>4</v>
      </c>
      <c r="NO51">
        <f>SUMPRODUCT(--('Данные 2st'!$Q$2:$Q$317=$A51),--ISNUMBER('Данные 2st'!$HZ$2:$HZ$317))</f>
        <v>4</v>
      </c>
      <c r="NP51">
        <f>SUMPRODUCT(--('Данные 2st'!$Q$2:$Q$317=$A51),--ISNUMBER('Данные 2st'!$IA$2:$IA$317))</f>
        <v>4</v>
      </c>
      <c r="NQ51">
        <f>SUMPRODUCT(--('Данные 2st'!$Q$2:$Q$317=$A51),--ISNUMBER('Данные 2st'!$IB$2:$IB$317))</f>
        <v>4</v>
      </c>
      <c r="NR51">
        <f>SUMPRODUCT(--('Данные 2st'!$Q$2:$Q$317=$A51),--ISNUMBER('Данные 2st'!$IC$2:$IC$317))</f>
        <v>0</v>
      </c>
      <c r="NS51">
        <f>SUMPRODUCT(--('Данные 2st'!$Q$2:$Q$317=$A51),--ISNUMBER('Данные 2st'!$ID$2:$ID$317))</f>
        <v>4</v>
      </c>
      <c r="NT51">
        <f>SUMPRODUCT(--('Данные 2st'!$Q$2:$Q$317=$A51),--ISNUMBER('Данные 2st'!$IE$2:$IE$317))</f>
        <v>4</v>
      </c>
      <c r="NU51">
        <f>SUMPRODUCT(--('Данные 2st'!$Q$2:$Q$317=$A51),--ISNUMBER('Данные 2st'!$IF$2:$IF$317))</f>
        <v>4</v>
      </c>
      <c r="NV51">
        <f>SUMPRODUCT(--('Данные 2st'!$Q$2:$Q$317=$A51),--ISNUMBER('Данные 2st'!$IG$2:$IG$317))</f>
        <v>4</v>
      </c>
      <c r="NW51">
        <f>SUMPRODUCT(--('Данные 2st'!$Q$2:$Q$317=$A51),--ISNUMBER('Данные 2st'!$IH$2:$IH$317))</f>
        <v>4</v>
      </c>
      <c r="NX51">
        <f>SUMPRODUCT(--('Данные 2st'!$Q$2:$Q$317=$A51),--ISNUMBER('Данные 2st'!$IJ$2:$IJ$317))</f>
        <v>4</v>
      </c>
      <c r="NY51">
        <f>SUMPRODUCT(--('Данные 2st'!$Q$2:$Q$317=$A51),--ISNUMBER('Данные 2st'!$IM$2:$IM$317))</f>
        <v>4</v>
      </c>
      <c r="NZ51">
        <f>SUMPRODUCT(--('Данные 2st'!$Q$2:$Q$317=$A51),--ISNUMBER('Данные 2st'!$IN$2:$IN$317))</f>
        <v>4</v>
      </c>
      <c r="OA51">
        <f>SUMPRODUCT(--('Данные 2st'!$Q$2:$Q$317=$A51),--ISNUMBER('Данные 2st'!$IO$2:$IO$317))</f>
        <v>4</v>
      </c>
      <c r="OB51">
        <f>SUMPRODUCT(--('Данные 2st'!$Q$2:$Q$317=$A51),--ISNUMBER('Данные 2st'!$IP$2:$IP$317))</f>
        <v>4</v>
      </c>
      <c r="OC51">
        <f>SUMPRODUCT(--('Данные 2st'!$Q$2:$Q$317=$A51),--ISNUMBER('Данные 2st'!$IQ$2:$IQ$317))</f>
        <v>4</v>
      </c>
      <c r="OD51">
        <f>SUMPRODUCT(--('Данные 2st'!$Q$2:$Q$317=$A51),--ISNUMBER('Данные 2st'!$IR$2:$IR$317))</f>
        <v>4</v>
      </c>
      <c r="OE51">
        <f>SUMPRODUCT(--('Данные 2st'!$Q$2:$Q$317=$A51),--ISNUMBER('Данные 2st'!$IT$2:$IT$317))</f>
        <v>4</v>
      </c>
      <c r="OF51">
        <f>SUMPRODUCT(--('Данные 2st'!$Q$2:$Q$317=$A51),--ISNUMBER('Данные 2st'!$IU$2:$IU$317))</f>
        <v>4</v>
      </c>
      <c r="OG51">
        <f>SUMPRODUCT(--('Данные 2st'!$Q$2:$Q$317=$A51),--ISNUMBER('Данные 2st'!$IV$2:$IV$317))</f>
        <v>4</v>
      </c>
      <c r="OH51">
        <f>SUMPRODUCT(--('Данные 2st'!$Q$2:$Q$317=$A51),--ISNUMBER('Данные 2st'!$IW$2:$IW$317))</f>
        <v>4</v>
      </c>
      <c r="OI51">
        <f>SUMPRODUCT(--('Данные 2st'!$Q$2:$Q$317=$A51),--ISNUMBER('Данные 2st'!$IX$2:$IX$317))</f>
        <v>4</v>
      </c>
      <c r="OJ51">
        <f>SUMPRODUCT(--('Данные 2st'!$Q$2:$Q$317=$A51),--ISNUMBER('Данные 2st'!$IY$2:$IY$317))</f>
        <v>4</v>
      </c>
      <c r="OK51">
        <f>SUMPRODUCT(--('Данные 2st'!$Q$2:$Q$317=$A51),--ISNUMBER('Данные 2st'!$IZ$2:$IZ$317))</f>
        <v>4</v>
      </c>
      <c r="OL51">
        <f>SUMPRODUCT(--('Данные 2st'!$Q$2:$Q$317=$A51),--ISNUMBER('Данные 2st'!$JA$2:$JA$317))</f>
        <v>4</v>
      </c>
      <c r="OM51">
        <f>SUMPRODUCT(--('Данные 2st'!$Q$2:$Q$317=$A51),--ISNUMBER('Данные 2st'!$JB$2:$JB$317))</f>
        <v>4</v>
      </c>
      <c r="ON51">
        <f>SUMPRODUCT(--('Данные 2st'!$Q$2:$Q$317=$A51),--ISNUMBER('Данные 2st'!$JC$2:$JC$317))</f>
        <v>4</v>
      </c>
      <c r="OO51">
        <f>SUMPRODUCT(--('Данные 2st'!$Q$2:$Q$317=$A51),--ISNUMBER('Данные 2st'!$JD$2:$JD$317))</f>
        <v>4</v>
      </c>
      <c r="OP51">
        <f>SUMPRODUCT(--('Данные 2st'!$Q$2:$Q$317=$A51),--ISNUMBER('Данные 2st'!$JE$2:$JE$317))</f>
        <v>4</v>
      </c>
      <c r="OQ51">
        <f>SUMPRODUCT(--('Данные 2st'!$Q$2:$Q$317=$A51),--ISNUMBER('Данные 2st'!$JF$2:$JF$317))</f>
        <v>4</v>
      </c>
      <c r="OR51">
        <f>SUMPRODUCT(--('Данные 2st'!$Q$2:$Q$317=$A51),--ISNUMBER('Данные 2st'!$JG$2:$JG$317))</f>
        <v>4</v>
      </c>
      <c r="OS51">
        <f>SUMPRODUCT(--('Данные 2st'!$Q$2:$Q$317=$A51),--ISNUMBER('Данные 2st'!$JH$2:$JH$317))</f>
        <v>4</v>
      </c>
      <c r="OT51">
        <f>SUMPRODUCT(--('Данные 2st'!$Q$2:$Q$317=$A51),--ISNUMBER('Данные 2st'!$JI$2:$JI$317))</f>
        <v>4</v>
      </c>
      <c r="OU51">
        <f>SUMPRODUCT(--('Данные 2st'!$Q$2:$Q$317=$A51),--ISNUMBER('Данные 2st'!$JJ$2:$JJ$317))</f>
        <v>4</v>
      </c>
      <c r="OV51">
        <f>SUMPRODUCT(--('Данные 2st'!$Q$2:$Q$317=$A51),--ISNUMBER('Данные 2st'!$JK$2:$JK$317))</f>
        <v>4</v>
      </c>
      <c r="OW51">
        <f>SUMPRODUCT(--('Данные 2st'!$Q$2:$Q$317=$A51),--ISNUMBER('Данные 2st'!$JL$2:$JL$317))</f>
        <v>4</v>
      </c>
      <c r="OX51">
        <f>SUMPRODUCT(--('Данные 2st'!$Q$2:$Q$317=$A51),--ISNUMBER('Данные 2st'!$JM$2:$JM$317))</f>
        <v>4</v>
      </c>
      <c r="OY51">
        <f>SUMPRODUCT(--('Данные 2st'!$Q$2:$Q$317=$A51),--ISNUMBER('Данные 2st'!$JP$2:$JP$317))</f>
        <v>4</v>
      </c>
      <c r="OZ51">
        <f>SUMPRODUCT(--('Данные 2st'!$Q$2:$Q$317=$A51),--ISNUMBER('Данные 2st'!$JQ$2:$JQ$317))</f>
        <v>4</v>
      </c>
      <c r="PA51">
        <f>SUMPRODUCT(--('Данные 2st'!$Q$2:$Q$317=$A51),--ISNUMBER('Данные 2st'!$JR$2:$JR$317))</f>
        <v>4</v>
      </c>
      <c r="PB51">
        <f>SUMPRODUCT(--('Данные 2st'!$Q$2:$Q$317=$A51),--ISNUMBER('Данные 2st'!$JS$2:$JS$317))</f>
        <v>4</v>
      </c>
      <c r="PC51">
        <f>SUMPRODUCT(--('Данные 2st'!$Q$2:$Q$317=$A51),--ISNUMBER('Данные 2st'!$JT$2:$JT$317))</f>
        <v>4</v>
      </c>
      <c r="PD51">
        <f>SUMPRODUCT(--('Данные 2st'!$Q$2:$Q$317=$A51),--ISNUMBER('Данные 2st'!$JU$2:$JU$317))</f>
        <v>4</v>
      </c>
      <c r="PE51">
        <f>SUMPRODUCT(--('Данные 2st'!$Q$2:$Q$317=$A51),--ISNUMBER('Данные 2st'!$JV$2:$JV$317))</f>
        <v>4</v>
      </c>
      <c r="PF51">
        <f>SUMPRODUCT(--('Данные 2st'!$Q$2:$Q$317=$A51),--ISNUMBER('Данные 2st'!$JW$2:$JW$317))</f>
        <v>4</v>
      </c>
      <c r="PG51">
        <f>SUMPRODUCT(--('Данные 2st'!$Q$2:$Q$317=$A51),--ISNUMBER('Данные 2st'!$KF$2:$KF$317))</f>
        <v>4</v>
      </c>
      <c r="PH51">
        <f>SUMPRODUCT(--('Данные 2st'!$Q$2:$Q$317=$A51),--ISNUMBER('Данные 2st'!$KG$2:$KG$317))</f>
        <v>4</v>
      </c>
      <c r="PI51">
        <f>SUMPRODUCT(--('Данные 2st'!$Q$2:$Q$317=$A51),--ISNUMBER('Данные 2st'!$KM$2:$KM$317))</f>
        <v>4</v>
      </c>
      <c r="PJ51">
        <f>SUMPRODUCT(--('Данные 2st'!$Q$2:$Q$317=$A51),--ISNUMBER('Данные 2st'!$KN$2:$KN$317))</f>
        <v>4</v>
      </c>
      <c r="PK51">
        <f>SUMPRODUCT(--('Данные 2st'!$Q$2:$Q$317=$A51),--ISNUMBER('Данные 2st'!$KO$2:$KO$317))</f>
        <v>4</v>
      </c>
      <c r="PL51">
        <f>SUMPRODUCT(--('Данные 2st'!$Q$2:$Q$317=$A51),--ISNUMBER('Данные 2st'!$KP$2:$KP$317))</f>
        <v>4</v>
      </c>
      <c r="PM51">
        <f>SUMPRODUCT(--('Данные 2st'!$Q$2:$Q$317=$A51),--ISNUMBER('Данные 2st'!$KQ$2:$KQ$317))</f>
        <v>4</v>
      </c>
      <c r="PN51">
        <f>SUMPRODUCT(--('Данные 2st'!$Q$2:$Q$317=$A51),--ISNUMBER('Данные 2st'!$KR$2:$KR$317))</f>
        <v>4</v>
      </c>
      <c r="PO51">
        <f>SUMPRODUCT(--('Данные 2st'!$Q$2:$Q$317=$A51),--ISNUMBER('Данные 2st'!$KS$2:$KS$317))</f>
        <v>4</v>
      </c>
      <c r="PP51">
        <f>SUMPRODUCT(--('Данные 2st'!$Q$2:$Q$317=$A51),--ISNUMBER('Данные 2st'!$KT$2:$KT$317))</f>
        <v>4</v>
      </c>
      <c r="PQ51">
        <f>SUMPRODUCT(--('Данные 2st'!$Q$2:$Q$317=$A51),--ISNUMBER('Данные 2st'!$KU$2:$KU$317))</f>
        <v>4</v>
      </c>
      <c r="PR51">
        <f>SUMPRODUCT(--('Данные 2st'!$Q$2:$Q$317=$A51),--ISNUMBER('Данные 2st'!$KV$2:$KV$317))</f>
        <v>4</v>
      </c>
      <c r="PS51">
        <f>SUMPRODUCT(--('Данные 2st'!$Q$2:$Q$317=$A51),--ISNUMBER('Данные 2st'!$KW$2:$KW$317))</f>
        <v>4</v>
      </c>
      <c r="PT51">
        <f>SUMPRODUCT(--('Данные 2st'!$Q$2:$Q$317=$A51),--ISNUMBER('Данные 2st'!$KX$2:$KX$317))</f>
        <v>4</v>
      </c>
      <c r="PU51">
        <f>SUMPRODUCT(--('Данные 2st'!$Q$2:$Q$317=$A51),--ISNUMBER('Данные 2st'!$KY$2:$KY$317))</f>
        <v>4</v>
      </c>
      <c r="PV51">
        <f>SUMPRODUCT(--('Данные 2st'!$Q$2:$Q$317=$A51),--ISNUMBER('Данные 2st'!$KZ$2:$KZ$317))</f>
        <v>4</v>
      </c>
      <c r="PW51">
        <f>SUMPRODUCT(--('Данные 2st'!$Q$2:$Q$317=$A51),--ISNUMBER('Данные 2st'!$LA$2:$LA$317))</f>
        <v>4</v>
      </c>
      <c r="PX51">
        <f>SUMPRODUCT(--('Данные 2st'!$Q$2:$Q$317=$A51),--ISNUMBER('Данные 2st'!$LB$2:$LB$317))</f>
        <v>4</v>
      </c>
      <c r="PY51">
        <f>SUMPRODUCT(--('Данные 2st'!$Q$2:$Q$317=$A51),--ISNUMBER('Данные 2st'!$LC$2:$LC$317))</f>
        <v>4</v>
      </c>
      <c r="PZ51">
        <f>SUMPRODUCT(--('Данные 2st'!$Q$2:$Q$317=$A51),--ISNUMBER('Данные 2st'!$LD$2:$LD$317))</f>
        <v>4</v>
      </c>
      <c r="QA51">
        <f>SUMPRODUCT(--('Данные 2st'!$Q$2:$Q$317=$A51),--ISNUMBER('Данные 2st'!$LE$2:$LE$317))</f>
        <v>4</v>
      </c>
      <c r="QB51">
        <f>SUMPRODUCT(--('Данные 2st'!$Q$2:$Q$317=$A51),--ISNUMBER('Данные 2st'!$LF$2:$LF$317))</f>
        <v>4</v>
      </c>
      <c r="QC51">
        <f>SUMPRODUCT(--('Данные 2st'!$Q$2:$Q$317=$A51),--ISNUMBER('Данные 2st'!$LG$2:$LG$317))</f>
        <v>4</v>
      </c>
      <c r="QD51">
        <f>SUMPRODUCT(--('Данные 2st'!$Q$2:$Q$317=$A51),--ISNUMBER('Данные 2st'!$LH$2:$LH$317))</f>
        <v>4</v>
      </c>
      <c r="QE51">
        <f>SUMPRODUCT(--('Данные 2st'!$Q$2:$Q$317=$A51),--ISNUMBER('Данные 2st'!$LJ$2:$LJ$317))</f>
        <v>4</v>
      </c>
      <c r="QF51">
        <f>SUMPRODUCT(--('Данные 2st'!$Q$2:$Q$317=$A51),--ISNUMBER('Данные 2st'!$LK$2:$LK$317))</f>
        <v>4</v>
      </c>
      <c r="QG51">
        <f>SUMPRODUCT(--('Данные 2st'!$Q$2:$Q$317=$A51),--ISNUMBER('Данные 2st'!$LL$2:$LL$317))</f>
        <v>4</v>
      </c>
      <c r="QH51">
        <f>SUMPRODUCT(--('Данные 2st'!$Q$2:$Q$317=$A51),--ISNUMBER('Данные 2st'!$LM$2:$LM$317))</f>
        <v>4</v>
      </c>
      <c r="QI51">
        <f>SUMPRODUCT(--('Данные 2st'!$Q$2:$Q$317=$A51),--ISNUMBER('Данные 2st'!$LN$2:$LN$317))</f>
        <v>4</v>
      </c>
      <c r="QJ51">
        <f>SUMPRODUCT(--('Данные 2st'!$Q$2:$Q$317=$A51),--ISNUMBER('Данные 2st'!$LO$2:$LO$317))</f>
        <v>4</v>
      </c>
      <c r="QK51">
        <f>SUMPRODUCT(--('Данные 2st'!$Q$2:$Q$317=$A51),--ISNUMBER('Данные 2st'!$LP$2:$LP$317))</f>
        <v>4</v>
      </c>
      <c r="QL51">
        <f>SUMPRODUCT(--('Данные 2st'!$Q$2:$Q$317=$A51),--ISNUMBER('Данные 2st'!$LQ$2:$LQ$317))</f>
        <v>4</v>
      </c>
      <c r="QM51">
        <f>SUMPRODUCT(--('Данные 2st'!$Q$2:$Q$317=$A51),--ISNUMBER('Данные 2st'!$LW$2:$LW$317))</f>
        <v>4</v>
      </c>
      <c r="QN51">
        <f>SUMPRODUCT(--('Данные 2st'!$Q$2:$Q$317=$A51),--ISNUMBER('Данные 2st'!$LX$2:$LX$317))</f>
        <v>4</v>
      </c>
      <c r="QO51">
        <f>SUMPRODUCT(--('Данные 2st'!$Q$2:$Q$317=$A51),--ISNUMBER('Данные 2st'!$LY$2:$LY$317))</f>
        <v>4</v>
      </c>
      <c r="QP51">
        <f>SUMPRODUCT(--('Данные 2st'!$Q$2:$Q$317=$A51),--ISNUMBER('Данные 2st'!$LZ$2:$LZ$317))</f>
        <v>4</v>
      </c>
      <c r="QQ51">
        <f>SUMPRODUCT(--('Данные 2st'!$Q$2:$Q$317=$A51),--ISNUMBER('Данные 2st'!$MB$2:$MB$317))</f>
        <v>4</v>
      </c>
      <c r="QR51">
        <f>SUMPRODUCT(--('Данные 2st'!$Q$2:$Q$317=$A51),--ISNUMBER('Данные 2st'!$MG$2:$MG$317))</f>
        <v>1</v>
      </c>
      <c r="QS51">
        <f>SUMPRODUCT(--('Данные 2st'!$Q$2:$Q$317=$A51),--ISNUMBER('Данные 2st'!$MH$2:$MH$317))</f>
        <v>1</v>
      </c>
      <c r="QT51">
        <f>SUMPRODUCT(--('Данные 2st'!$Q$2:$Q$317=$A51),--ISNUMBER('Данные 2st'!$MI$2:$MI$317))</f>
        <v>3</v>
      </c>
      <c r="QU51">
        <f>SUMPRODUCT(--('Данные 2st'!$Q$2:$Q$317=$A51),--ISNUMBER('Данные 2st'!$MJ$2:$MJ$317))</f>
        <v>3</v>
      </c>
      <c r="QV51">
        <f>SUMPRODUCT(--('Данные 2st'!$Q$2:$Q$317=$A51),--ISNUMBER('Данные 2st'!$MK$2:$MK$317))</f>
        <v>1</v>
      </c>
      <c r="QW51">
        <f>SUMPRODUCT(--('Данные 2st'!$Q$2:$Q$317=$A51),--ISNUMBER('Данные 2st'!$MM$2:$MM$317))</f>
        <v>4</v>
      </c>
      <c r="QX51">
        <f>SUMPRODUCT(--('Данные 2st'!$Q$2:$Q$317=$A51),--ISNUMBER('Данные 2st'!$MQ$2:$MQ$317))</f>
        <v>0</v>
      </c>
      <c r="QY51">
        <f>SUMPRODUCT(--('Данные 2st'!$Q$2:$Q$317=$A51),--ISNUMBER('Данные 2st'!$MR$2:$MR$317))</f>
        <v>0</v>
      </c>
      <c r="QZ51">
        <f>SUMPRODUCT(--('Данные 2st'!$Q$2:$Q$317=$A51),--ISNUMBER('Данные 2st'!$MS$2:$MS$317))</f>
        <v>0</v>
      </c>
      <c r="RA51">
        <f>SUMPRODUCT(--('Данные 2st'!$Q$2:$Q$317=$A51),--ISNUMBER('Данные 2st'!$MT$2:$MT$317))</f>
        <v>0</v>
      </c>
      <c r="RB51">
        <f>SUMPRODUCT(--('Данные 2st'!$Q$2:$Q$317=$A51),--ISNUMBER('Данные 2st'!$MU$2:$MU$317))</f>
        <v>0</v>
      </c>
      <c r="RC51">
        <f>SUMPRODUCT(--('Данные 2st'!$Q$2:$Q$317=$A51),--ISNUMBER('Данные 2st'!$MV$2:$MV$317))</f>
        <v>0</v>
      </c>
      <c r="RD51">
        <f>SUMPRODUCT(--('Данные 2st'!$Q$2:$Q$317=$A51),--ISNUMBER('Данные 2st'!$MW$2:$MW$317))</f>
        <v>0</v>
      </c>
      <c r="RE51">
        <f>SUMPRODUCT(--('Данные 2st'!$Q$2:$Q$317=$A51),--ISNUMBER('Данные 2st'!$MX$2:$MX$317))</f>
        <v>0</v>
      </c>
      <c r="RF51">
        <f>SUMPRODUCT(--('Данные 2st'!$Q$2:$Q$317=$A51),--ISNUMBER('Данные 2st'!$MY$2:$MY$317))</f>
        <v>0</v>
      </c>
      <c r="RG51">
        <f>SUMPRODUCT(--('Данные 2st'!$Q$2:$Q$317=$A51),--ISNUMBER('Данные 2st'!$MZ$2:$MZ$317))</f>
        <v>0</v>
      </c>
      <c r="RH51">
        <f>SUMPRODUCT(--('Данные 2st'!$Q$2:$Q$317=$A51),--ISNUMBER('Данные 2st'!$NA$2:$NA$317))</f>
        <v>0</v>
      </c>
      <c r="RI51">
        <f>SUMPRODUCT(--('Данные 2st'!$Q$2:$Q$317=$A51),--ISNUMBER('Данные 2st'!$NB$2:$NB$317))</f>
        <v>0</v>
      </c>
      <c r="RJ51">
        <f>SUMPRODUCT(--('Данные 2st'!$Q$2:$Q$317=$A51),--ISNUMBER('Данные 2st'!$NC$2:$NC$317))</f>
        <v>0</v>
      </c>
      <c r="RK51">
        <f>SUMPRODUCT(--('Данные 2st'!$Q$2:$Q$317=$A51),--ISNUMBER('Данные 2st'!$ND$2:$ND$317))</f>
        <v>0</v>
      </c>
      <c r="RL51">
        <f>SUMPRODUCT(--('Данные 2st'!$Q$2:$Q$317=$A51),--ISNUMBER('Данные 2st'!$NE$2:$NE$317))</f>
        <v>0</v>
      </c>
      <c r="RM51">
        <f>SUMPRODUCT(--('Данные 2st'!$Q$2:$Q$317=$A51),--ISNUMBER('Данные 2st'!$NF$2:$NF$317))</f>
        <v>0</v>
      </c>
      <c r="RN51">
        <f>SUMPRODUCT(--('Данные 2st'!$Q$2:$Q$317=$A51),--ISNUMBER('Данные 2st'!$NG$2:$NG$317))</f>
        <v>0</v>
      </c>
      <c r="RO51">
        <f>SUMPRODUCT(--('Данные 2st'!$Q$2:$Q$317=$A51),--ISNUMBER('Данные 2st'!$NH$2:$NH$317))</f>
        <v>0</v>
      </c>
      <c r="RP51">
        <f>SUMPRODUCT(--('Данные 2st'!$Q$2:$Q$317=$A51),--ISNUMBER('Данные 2st'!$NJ$2:$NJ$317))</f>
        <v>0</v>
      </c>
      <c r="RQ51">
        <f>SUMPRODUCT(--('Данные 2st'!$Q$2:$Q$317=$A51),--ISNUMBER('Данные 2st'!$NK$2:$NK$317))</f>
        <v>0</v>
      </c>
      <c r="RR51">
        <f>SUMPRODUCT(--('Данные 2st'!$Q$2:$Q$317=$A51),--ISNUMBER('Данные 2st'!$NM$2:$NM$317))</f>
        <v>0</v>
      </c>
      <c r="RS51">
        <f>SUMPRODUCT(--('Данные 2st'!$Q$2:$Q$317=$A51),--ISNUMBER('Данные 2st'!$NN$2:$NN$317))</f>
        <v>0</v>
      </c>
      <c r="RT51">
        <f>SUMPRODUCT(--('Данные 2st'!$Q$2:$Q$317=$A51),--ISNUMBER('Данные 2st'!$NO$2:$NO$317))</f>
        <v>0</v>
      </c>
      <c r="RU51">
        <f>SUMPRODUCT(--('Данные 2st'!$Q$2:$Q$317=$A51),--ISNUMBER('Данные 2st'!$NP$2:$NP$317))</f>
        <v>0</v>
      </c>
      <c r="RV51">
        <f>SUMPRODUCT(--('Данные 2st'!$Q$2:$Q$317=$A51),--ISNUMBER('Данные 2st'!$NQ$2:$NQ$317))</f>
        <v>0</v>
      </c>
      <c r="RW51">
        <f>SUMPRODUCT(--('Данные 2st'!$Q$2:$Q$317=$A51),--ISNUMBER('Данные 2st'!$NR$2:$NR$317))</f>
        <v>0</v>
      </c>
      <c r="RX51">
        <f>SUMPRODUCT(--('Данные 2st'!$Q$2:$Q$317=$A51),--ISNUMBER('Данные 2st'!$NS$2:$NS$317))</f>
        <v>0</v>
      </c>
      <c r="RY51">
        <f>SUMPRODUCT(--('Данные 2st'!$Q$2:$Q$317=$A51),--ISNUMBER('Данные 2st'!$NT$2:$NT$317))</f>
        <v>0</v>
      </c>
      <c r="RZ51">
        <f>SUMPRODUCT(--('Данные 2st'!$Q$2:$Q$317=$A51),--ISNUMBER('Данные 2st'!$OK$2:$OK$317))</f>
        <v>4</v>
      </c>
      <c r="SA51">
        <f>SUMPRODUCT(--('Данные 2st'!$Q$2:$Q$317=$A51),--ISNUMBER('Данные 2st'!$OL$2:$OL$317))</f>
        <v>4</v>
      </c>
      <c r="SB51">
        <f>SUMPRODUCT(--('Данные 2st'!$Q$2:$Q$317=$A51),--ISNUMBER('Данные 2st'!$ON$2:$ON$317))</f>
        <v>4</v>
      </c>
      <c r="SC51">
        <f>SUMPRODUCT(--('Данные 2st'!$Q$2:$Q$317=$A51),--ISNUMBER('Данные 2st'!$OO$2:$OO$317))</f>
        <v>4</v>
      </c>
      <c r="SD51">
        <f>SUMPRODUCT(--('Данные 2st'!$Q$2:$Q$317=$A51),--ISNUMBER('Данные 2st'!$OP$2:$OP$317))</f>
        <v>4</v>
      </c>
      <c r="SE51">
        <f>SUMPRODUCT(--('Данные 2st'!$Q$2:$Q$317=$A51),--ISNUMBER('Данные 2st'!$OQ$2:$OQ$317))</f>
        <v>4</v>
      </c>
      <c r="SF51">
        <f>SUMPRODUCT(--('Данные 2st'!$Q$2:$Q$317=$A51),--ISNUMBER('Данные 2st'!$OS$2:$OS$317))</f>
        <v>4</v>
      </c>
      <c r="SG51">
        <f>SUMPRODUCT(--('Данные 2st'!$Q$2:$Q$317=$A51),--ISNUMBER('Данные 2st'!$OT$2:$OT$317))</f>
        <v>4</v>
      </c>
      <c r="SH51">
        <f>SUMPRODUCT(--('Данные 2st'!$Q$2:$Q$317=$A51),--ISNUMBER('Данные 2st'!$OU$2:$OU$317))</f>
        <v>4</v>
      </c>
      <c r="SI51">
        <f>SUMPRODUCT(--('Данные 2st'!$Q$2:$Q$317=$A51),--ISNUMBER('Данные 2st'!$OV$2:$OV$317))</f>
        <v>4</v>
      </c>
      <c r="SJ51">
        <f>SUMPRODUCT(--('Данные 2st'!$Q$2:$Q$317=$A51),--ISNUMBER('Данные 2st'!$OX$2:$OX$317))</f>
        <v>4</v>
      </c>
      <c r="SK51">
        <f>SUMPRODUCT(--('Данные 2st'!$Q$2:$Q$317=$A51),--ISNUMBER('Данные 2st'!$OY$2:$OY$317))</f>
        <v>4</v>
      </c>
      <c r="SL51">
        <f>SUMPRODUCT(--('Данные 2st'!$Q$2:$Q$317=$A51),--ISNUMBER('Данные 2st'!$OZ$2:$OZ$317))</f>
        <v>4</v>
      </c>
      <c r="SM51">
        <f>SUMPRODUCT(--('Данные 2st'!$Q$2:$Q$317=$A51),--ISNUMBER('Данные 2st'!$PA$2:$PA$317))</f>
        <v>4</v>
      </c>
      <c r="SN51">
        <f>SUMPRODUCT(--('Данные 2st'!$Q$2:$Q$317=$A51),--ISNUMBER('Данные 2st'!$PC$2:$PC$317))</f>
        <v>4</v>
      </c>
      <c r="SO51">
        <f>SUMPRODUCT(--('Данные 2st'!$Q$2:$Q$317=$A51),--ISNUMBER('Данные 2st'!$PD$2:$PD$317))</f>
        <v>4</v>
      </c>
      <c r="SP51">
        <f>SUMPRODUCT(--('Данные 2st'!$Q$2:$Q$317=$A51),--ISNUMBER('Данные 2st'!$PF$2:$PF$317))</f>
        <v>4</v>
      </c>
      <c r="SQ51">
        <f>SUMPRODUCT(--('Данные 2st'!$Q$2:$Q$317=$A51),--ISNUMBER('Данные 2st'!$PG$2:$PG$317))</f>
        <v>4</v>
      </c>
      <c r="SR51">
        <f>SUMPRODUCT(--('Данные 2st'!$Q$2:$Q$317=$A51),--ISNUMBER('Данные 2st'!$PH$2:$PH$317))</f>
        <v>4</v>
      </c>
      <c r="SS51">
        <f>SUMPRODUCT(--('Данные 2st'!$Q$2:$Q$317=$A51),--ISNUMBER('Данные 2st'!$PI$2:$PI$317))</f>
        <v>4</v>
      </c>
      <c r="ST51">
        <f>SUMPRODUCT(--('Данные 2st'!$Q$2:$Q$317=$A51),--ISNUMBER('Данные 2st'!$PJ$2:$PJ$317))</f>
        <v>4</v>
      </c>
      <c r="SU51">
        <f>SUMPRODUCT(--('Данные 2st'!$Q$2:$Q$317=$A51),--ISNUMBER('Данные 2st'!$PK$2:$PK$317))</f>
        <v>3</v>
      </c>
      <c r="SV51">
        <f>SUMPRODUCT(--('Данные 2st'!$Q$2:$Q$317=$A51),--ISNUMBER('Данные 2st'!$PL$2:$PL$317))</f>
        <v>4</v>
      </c>
      <c r="SW51">
        <f>SUMPRODUCT(--('Данные 2st'!$Q$2:$Q$317=$A51),--ISNUMBER('Данные 2st'!$PM$2:$PM$317))</f>
        <v>4</v>
      </c>
      <c r="SX51">
        <f>SUMPRODUCT(--('Данные 2st'!$Q$2:$Q$317=$A51),--ISNUMBER('Данные 2st'!$PN$2:$PN$317))</f>
        <v>4</v>
      </c>
      <c r="SY51">
        <f>SUMPRODUCT(--('Данные 2st'!$Q$2:$Q$317=$A51),--ISNUMBER('Данные 2st'!$PO$2:$PO$317))</f>
        <v>4</v>
      </c>
      <c r="SZ51">
        <f>SUMPRODUCT(--('Данные 2st'!$Q$2:$Q$317=$A51),--ISNUMBER('Данные 2st'!$PP$2:$PP$317))</f>
        <v>4</v>
      </c>
      <c r="TA51">
        <f>SUMPRODUCT(--('Данные 2st'!$Q$2:$Q$317=$A51),--ISNUMBER('Данные 2st'!$PQ$2:$PQ$317))</f>
        <v>4</v>
      </c>
      <c r="TB51">
        <f>SUMPRODUCT(--('Данные 2st'!$Q$2:$Q$317=$A51),--ISNUMBER('Данные 2st'!$PR$2:$PR$317))</f>
        <v>4</v>
      </c>
      <c r="TC51">
        <f>SUMPRODUCT(--('Данные 2st'!$Q$2:$Q$317=$A51),--ISNUMBER('Данные 2st'!$PS$2:$PS$317))</f>
        <v>4</v>
      </c>
      <c r="TD51">
        <f>SUMPRODUCT(--('Данные 2st'!$Q$2:$Q$317=$A51),--ISNUMBER('Данные 2st'!$PT$2:$PT$317))</f>
        <v>4</v>
      </c>
      <c r="TE51">
        <f>SUMPRODUCT(--('Данные 2st'!$Q$2:$Q$317=$A51),--ISNUMBER('Данные 2st'!$PU$2:$PU$317))</f>
        <v>4</v>
      </c>
      <c r="TF51">
        <f>SUMPRODUCT(--('Данные 2st'!$Q$2:$Q$317=$A51),--ISNUMBER('Данные 2st'!$PX$2:$PX$317))</f>
        <v>4</v>
      </c>
      <c r="TG51">
        <f>SUMPRODUCT(--('Данные 2st'!$Q$2:$Q$317=$A51),--ISNUMBER('Данные 2st'!$PY$2:$PY$317))</f>
        <v>4</v>
      </c>
      <c r="TH51">
        <f>SUMPRODUCT(--('Данные 2st'!$Q$2:$Q$317=$A51),--ISNUMBER('Данные 2st'!$PZ$2:$PZ$317))</f>
        <v>4</v>
      </c>
      <c r="TI51">
        <f>SUMPRODUCT(--('Данные 2st'!$Q$2:$Q$317=$A51),--ISNUMBER('Данные 2st'!$QA$2:$QA$317))</f>
        <v>4</v>
      </c>
      <c r="TJ51">
        <f>SUMPRODUCT(--('Данные 2st'!$Q$2:$Q$317=$A51),--ISNUMBER('Данные 2st'!$QB$2:$QB$317))</f>
        <v>4</v>
      </c>
      <c r="TK51">
        <f>SUMPRODUCT(--('Данные 2st'!$Q$2:$Q$317=$A51),--ISNUMBER('Данные 2st'!$QC$2:$QC$317))</f>
        <v>4</v>
      </c>
      <c r="TL51">
        <f>SUMPRODUCT(--('Данные 2st'!$Q$2:$Q$317=$A51),--ISNUMBER('Данные 2st'!$QD$2:$QD$317))</f>
        <v>4</v>
      </c>
      <c r="TM51">
        <f>SUMPRODUCT(--('Данные 2st'!$Q$2:$Q$317=$A51),--ISNUMBER('Данные 2st'!$QE$2:$QE$317))</f>
        <v>4</v>
      </c>
      <c r="TN51">
        <f>SUMPRODUCT(--('Данные 2st'!$Q$2:$Q$317=$A51),--ISNUMBER('Данные 2st'!$QF$2:$QF$317))</f>
        <v>4</v>
      </c>
      <c r="TO51">
        <f>SUMPRODUCT(--('Данные 2st'!$Q$2:$Q$317=$A51),--ISNUMBER('Данные 2st'!$QG$2:$QG$317))</f>
        <v>4</v>
      </c>
      <c r="TP51">
        <f>SUMPRODUCT(--('Данные 2st'!$Q$2:$Q$317=$A51),--ISNUMBER('Данные 2st'!$QH$2:$QH$317))</f>
        <v>4</v>
      </c>
      <c r="TQ51">
        <f>SUMPRODUCT(--('Данные 2st'!$Q$2:$Q$317=$A51),--ISNUMBER('Данные 2st'!$QI$2:$QI$317))</f>
        <v>4</v>
      </c>
      <c r="TR51">
        <f>SUMPRODUCT(--('Данные 2st'!$Q$2:$Q$317=$A51),--ISNUMBER('Данные 2st'!$QJ$2:$QJ$317))</f>
        <v>4</v>
      </c>
      <c r="TS51">
        <f>SUMPRODUCT(--('Данные 2st'!$Q$2:$Q$317=$A51),--ISNUMBER('Данные 2st'!$QK$2:$QK$317))</f>
        <v>4</v>
      </c>
      <c r="TT51">
        <f>SUMPRODUCT(--('Данные 2st'!$Q$2:$Q$317=$A51),--ISNUMBER('Данные 2st'!$QL$2:$QL$317))</f>
        <v>4</v>
      </c>
      <c r="TU51">
        <f>SUMPRODUCT(--('Данные 2st'!$Q$2:$Q$317=$A51),--ISNUMBER('Данные 2st'!$QM$2:$QM$317))</f>
        <v>4</v>
      </c>
      <c r="TV51">
        <f>SUMPRODUCT(--('Данные 2st'!$Q$2:$Q$317=$A51),--ISNUMBER('Данные 2st'!$QN$2:$QN$317))</f>
        <v>4</v>
      </c>
      <c r="TW51">
        <f>SUMPRODUCT(--('Данные 2st'!$Q$2:$Q$317=$A51),--ISNUMBER('Данные 2st'!$QQ$2:$QQ$317))</f>
        <v>4</v>
      </c>
      <c r="TX51">
        <f>SUMPRODUCT(--('Данные 2st'!$Q$2:$Q$317=$A51),--ISNUMBER('Данные 2st'!$QS$2:$QS$317))</f>
        <v>4</v>
      </c>
      <c r="TY51">
        <f>SUMPRODUCT(--('Данные 2st'!$Q$2:$Q$317=$A51),--ISNUMBER('Данные 2st'!$QT$2:$QT$317))</f>
        <v>4</v>
      </c>
    </row>
    <row r="52" spans="1:545" ht="32" customHeight="1">
      <c r="A52" s="11" t="str">
        <f>'По размерам'!A52</f>
        <v>235/65R17</v>
      </c>
      <c r="G52">
        <f>SUMPRODUCT(--('Данные 1st'!$S$2:$S$317=$A52),--ISNUMBER('Данные 1st'!$AE$2:$AE$317))</f>
        <v>4</v>
      </c>
      <c r="H52">
        <f>SUMPRODUCT(--('Данные 1st'!$S$2:$S$317=$A52),--ISNUMBER('Данные 1st'!$AF$2:$AF$317))</f>
        <v>4</v>
      </c>
      <c r="I52">
        <f>SUMPRODUCT(--('Данные 1st'!$S$2:$S$317=$A52),--ISNUMBER('Данные 1st'!$AJ$2:$AJ$317))</f>
        <v>4</v>
      </c>
      <c r="J52">
        <f>SUMPRODUCT(--('Данные 1st'!$S$2:$S$317=$A52),--ISNUMBER('Данные 1st'!$AL$2:$AL$317))</f>
        <v>4</v>
      </c>
      <c r="K52">
        <f>SUMPRODUCT(--('Данные 1st'!$S$2:$S$317=$A52),--ISNUMBER('Данные 1st'!$AR$2:$AR$317))</f>
        <v>4</v>
      </c>
      <c r="L52">
        <f>SUMPRODUCT(--('Данные 1st'!$S$2:$S$317=$A52),--ISNUMBER('Данные 1st'!$AS$2:$AS$317))</f>
        <v>4</v>
      </c>
      <c r="M52">
        <f>SUMPRODUCT(--('Данные 1st'!$S$2:$S$317=$A52),--ISNUMBER('Данные 1st'!$AY$2:$AY$317))</f>
        <v>4</v>
      </c>
      <c r="N52">
        <f>SUMPRODUCT(--('Данные 1st'!$S$2:$S$317=$A52),--ISNUMBER('Данные 1st'!$AZ$2:$AZ$317))</f>
        <v>4</v>
      </c>
      <c r="O52">
        <f>SUMPRODUCT(--('Данные 1st'!$S$2:$S$317=$A52),--ISNUMBER('Данные 1st'!$BF$2:$BF$317))</f>
        <v>4</v>
      </c>
      <c r="P52">
        <f>SUMPRODUCT(--('Данные 1st'!$S$2:$S$317=$A52),--ISNUMBER('Данные 1st'!$BG$2:$BG$317))</f>
        <v>4</v>
      </c>
      <c r="Q52">
        <f>SUMPRODUCT(--('Данные 1st'!$S$2:$S$317=$A52),--ISNUMBER('Данные 1st'!$BM$2:$BM$317))</f>
        <v>0</v>
      </c>
      <c r="R52">
        <f>SUMPRODUCT(--('Данные 1st'!$S$2:$S$317=$A52),--ISNUMBER('Данные 1st'!$BN$2:$BN$317))</f>
        <v>4</v>
      </c>
      <c r="S52">
        <f>SUMPRODUCT(--('Данные 1st'!$S$2:$S$317=$A52),--ISNUMBER('Данные 1st'!$BT$2:$BT$317))</f>
        <v>4</v>
      </c>
      <c r="T52">
        <f>SUMPRODUCT(--('Данные 1st'!$S$2:$S$317=$A52),--ISNUMBER('Данные 1st'!$BU$2:$BU$317))</f>
        <v>4</v>
      </c>
      <c r="U52">
        <f>SUMPRODUCT(--('Данные 1st'!$S$2:$S$317=$A52),--ISNUMBER('Данные 1st'!$BW$2:$BW$317))</f>
        <v>4</v>
      </c>
      <c r="V52">
        <f>SUMPRODUCT(--('Данные 1st'!$S$2:$S$317=$A52),--ISNUMBER('Данные 1st'!$BX$2:$BX$317))</f>
        <v>4</v>
      </c>
      <c r="W52">
        <f>SUMPRODUCT(--('Данные 1st'!$S$2:$S$317=$A52),--ISNUMBER('Данные 1st'!$BZ$2:$BZ$317))</f>
        <v>4</v>
      </c>
      <c r="X52">
        <f>SUMPRODUCT(--('Данные 1st'!$S$2:$S$317=$A52),--ISNUMBER('Данные 1st'!$CA$2:$CA$317))</f>
        <v>4</v>
      </c>
      <c r="Y52">
        <f>SUMPRODUCT(--('Данные 1st'!$S$2:$S$317=$A52),--ISNUMBER('Данные 1st'!$CD$2:$CD$317))</f>
        <v>4</v>
      </c>
      <c r="Z52">
        <f>SUMPRODUCT(--('Данные 1st'!$S$2:$S$317=$A52),--ISNUMBER('Данные 1st'!$CF$2:$CF$317))</f>
        <v>4</v>
      </c>
      <c r="AA52">
        <f>SUMPRODUCT(--('Данные 1st'!$S$2:$S$317=$A52),--ISNUMBER('Данные 1st'!$CI$2:$CI$317))</f>
        <v>4</v>
      </c>
      <c r="AB52">
        <f>SUMPRODUCT(--('Данные 1st'!$S$2:$S$317=$A52),--ISNUMBER('Данные 1st'!$CJ$2:$CJ$317))</f>
        <v>4</v>
      </c>
      <c r="AC52">
        <f>SUMPRODUCT(--('Данные 1st'!$S$2:$S$317=$A52),--ISNUMBER('Данные 1st'!$CK$2:$CK$317))</f>
        <v>4</v>
      </c>
      <c r="AD52">
        <f>SUMPRODUCT(--('Данные 1st'!$S$2:$S$317=$A52),--ISNUMBER('Данные 1st'!$CL$2:$CL$317))</f>
        <v>4</v>
      </c>
      <c r="AE52">
        <f>SUMPRODUCT(--('Данные 1st'!$S$2:$S$317=$A52),--ISNUMBER('Данные 1st'!$CM$2:$CM$317))</f>
        <v>4</v>
      </c>
      <c r="AF52">
        <f>SUMPRODUCT(--('Данные 1st'!$S$2:$S$317=$A52),--ISNUMBER('Данные 1st'!$CT$2:$CT$317))</f>
        <v>4</v>
      </c>
      <c r="AG52">
        <f>SUMPRODUCT(--('Данные 1st'!$S$2:$S$317=$A52),--ISNUMBER('Данные 1st'!$CU$2:$CU$317))</f>
        <v>4</v>
      </c>
      <c r="AH52">
        <f>SUMPRODUCT(--('Данные 1st'!$S$2:$S$317=$A52),--ISNUMBER('Данные 1st'!$CV$2:$CV$317))</f>
        <v>4</v>
      </c>
      <c r="AI52">
        <f>SUMPRODUCT(--('Данные 1st'!$S$2:$S$317=$A52),--ISNUMBER('Данные 1st'!$CW$2:$CW$317))</f>
        <v>4</v>
      </c>
      <c r="AJ52">
        <f>SUMPRODUCT(--('Данные 1st'!$S$2:$S$317=$A52),--ISNUMBER('Данные 1st'!$CX$2:$CX$317))</f>
        <v>4</v>
      </c>
      <c r="AK52">
        <f>SUMPRODUCT(--('Данные 1st'!$S$2:$S$317=$A52),--ISNUMBER('Данные 1st'!$CZ$2:$CZ$317))</f>
        <v>1</v>
      </c>
      <c r="AL52">
        <f>SUMPRODUCT(--('Данные 1st'!$S$2:$S$317=$A52),--ISNUMBER('Данные 1st'!$DA$2:$DA$317))</f>
        <v>1</v>
      </c>
      <c r="AM52">
        <f>SUMPRODUCT(--('Данные 1st'!$S$2:$S$317=$A52),--ISNUMBER('Данные 1st'!$DB$2:$DB$317))</f>
        <v>1</v>
      </c>
      <c r="AN52">
        <f>SUMPRODUCT(--('Данные 1st'!$S$2:$S$317=$A52),--ISNUMBER('Данные 1st'!$DC$2:$DC$317))</f>
        <v>1</v>
      </c>
      <c r="AO52">
        <f>SUMPRODUCT(--('Данные 1st'!$S$2:$S$317=$A52),--ISNUMBER('Данные 1st'!$DD$2:$DD$317))</f>
        <v>4</v>
      </c>
      <c r="AP52">
        <f>SUMPRODUCT(--('Данные 1st'!$S$2:$S$317=$A52),--ISNUMBER('Данные 1st'!$DF$2:$DF$317))</f>
        <v>4</v>
      </c>
      <c r="AQ52">
        <f>SUMPRODUCT(--('Данные 1st'!$S$2:$S$317=$A52),--ISNUMBER('Данные 1st'!$DG$2:$DG$317))</f>
        <v>4</v>
      </c>
      <c r="AR52">
        <f>SUMPRODUCT(--('Данные 1st'!$S$2:$S$317=$A52),--ISNUMBER('Данные 1st'!$DH$2:$DH$317))</f>
        <v>4</v>
      </c>
      <c r="AS52">
        <f>SUMPRODUCT(--('Данные 1st'!$S$2:$S$317=$A52),--ISNUMBER('Данные 1st'!$DI$2:$DI$317))</f>
        <v>4</v>
      </c>
      <c r="AT52">
        <f>SUMPRODUCT(--('Данные 1st'!$S$2:$S$317=$A52),--ISNUMBER('Данные 1st'!$DJ$2:$DJ$317))</f>
        <v>4</v>
      </c>
      <c r="AU52">
        <f>SUMPRODUCT(--('Данные 1st'!$S$2:$S$317=$A52),--ISNUMBER('Данные 1st'!$DL$2:$DL$317))</f>
        <v>4</v>
      </c>
      <c r="AV52">
        <f>SUMPRODUCT(--('Данные 1st'!$S$2:$S$317=$A52),--ISNUMBER('Данные 1st'!$DM$2:$DM$317))</f>
        <v>4</v>
      </c>
      <c r="AW52">
        <f>SUMPRODUCT(--('Данные 1st'!$S$2:$S$317=$A52),--ISNUMBER('Данные 1st'!$DN$2:$DN$317))</f>
        <v>4</v>
      </c>
      <c r="AX52">
        <f>SUMPRODUCT(--('Данные 1st'!$S$2:$S$317=$A52),--ISNUMBER('Данные 1st'!$DO$2:$DO$317))</f>
        <v>4</v>
      </c>
      <c r="AY52">
        <f>SUMPRODUCT(--('Данные 1st'!$S$2:$S$317=$A52),--ISNUMBER('Данные 1st'!$DP$2:$DP$317))</f>
        <v>4</v>
      </c>
      <c r="AZ52">
        <f>SUMPRODUCT(--('Данные 1st'!$S$2:$S$317=$A52),--ISNUMBER('Данные 1st'!$DR$2:$DR$317))</f>
        <v>0</v>
      </c>
      <c r="BA52">
        <f>SUMPRODUCT(--('Данные 1st'!$S$2:$S$317=$A52),--ISNUMBER('Данные 1st'!$DS$2:$DS$317))</f>
        <v>0</v>
      </c>
      <c r="BB52">
        <f>SUMPRODUCT(--('Данные 1st'!$S$2:$S$317=$A52),--ISNUMBER('Данные 1st'!$DT$2:$DT$317))</f>
        <v>0</v>
      </c>
      <c r="BC52">
        <f>SUMPRODUCT(--('Данные 1st'!$S$2:$S$317=$A52),--ISNUMBER('Данные 1st'!$DU$2:$DU$317))</f>
        <v>0</v>
      </c>
      <c r="BD52">
        <f>SUMPRODUCT(--('Данные 1st'!$S$2:$S$317=$A52),--ISNUMBER('Данные 1st'!$DV$2:$DV$317))</f>
        <v>0</v>
      </c>
      <c r="BE52">
        <f>SUMPRODUCT(--('Данные 1st'!$S$2:$S$317=$A52),--ISNUMBER('Данные 1st'!$DX$2:$DX$317))</f>
        <v>4</v>
      </c>
      <c r="BF52">
        <f>SUMPRODUCT(--('Данные 1st'!$S$2:$S$317=$A52),--ISNUMBER('Данные 1st'!$EA$2:$EA$317))</f>
        <v>4</v>
      </c>
      <c r="BG52">
        <f>SUMPRODUCT(--('Данные 1st'!$S$2:$S$317=$A52),--ISNUMBER('Данные 1st'!$EB$2:$EB$317))</f>
        <v>4</v>
      </c>
      <c r="BH52">
        <f>SUMPRODUCT(--('Данные 1st'!$S$2:$S$317=$A52),--ISNUMBER('Данные 1st'!$ED$2:$ED$317))</f>
        <v>4</v>
      </c>
      <c r="BI52">
        <f>SUMPRODUCT(--('Данные 1st'!$S$2:$S$317=$A52),--ISNUMBER('Данные 1st'!$EE$2:$EE$317))</f>
        <v>4</v>
      </c>
      <c r="BJ52">
        <f>SUMPRODUCT(--('Данные 1st'!$S$2:$S$317=$A52),--ISNUMBER('Данные 1st'!$EG$2:$EG$317))</f>
        <v>4</v>
      </c>
      <c r="BK52">
        <f>SUMPRODUCT(--('Данные 1st'!$S$2:$S$317=$A52),--ISNUMBER('Данные 1st'!$EH$2:$EH$317))</f>
        <v>4</v>
      </c>
      <c r="BL52">
        <f>SUMPRODUCT(--('Данные 1st'!$S$2:$S$317=$A52),--ISNUMBER('Данные 1st'!$EJ$2:$EJ$317))</f>
        <v>4</v>
      </c>
      <c r="BM52">
        <f>SUMPRODUCT(--('Данные 1st'!$S$2:$S$317=$A52),--ISNUMBER('Данные 1st'!$EK$2:$EK$317))</f>
        <v>4</v>
      </c>
      <c r="BN52">
        <f>SUMPRODUCT(--('Данные 1st'!$S$2:$S$317=$A52),--ISNUMBER('Данные 1st'!$EN$2:$EN$317))</f>
        <v>4</v>
      </c>
      <c r="BO52">
        <f>SUMPRODUCT(--('Данные 1st'!$S$2:$S$317=$A52),--ISNUMBER('Данные 1st'!$EQ$2:$EQ$317))</f>
        <v>4</v>
      </c>
      <c r="BP52">
        <f>SUMPRODUCT(--('Данные 1st'!$S$2:$S$317=$A52),--ISNUMBER('Данные 1st'!$ER$2:$ER$317))</f>
        <v>4</v>
      </c>
      <c r="BQ52">
        <f>SUMPRODUCT(--('Данные 1st'!$S$2:$S$317=$A52),--ISNUMBER('Данные 1st'!$ES$2:$ES$317))</f>
        <v>4</v>
      </c>
      <c r="BR52">
        <f>SUMPRODUCT(--('Данные 1st'!$S$2:$S$317=$A52),--ISNUMBER('Данные 1st'!$ET$2:$ET$317))</f>
        <v>4</v>
      </c>
      <c r="BS52">
        <f>SUMPRODUCT(--('Данные 1st'!$S$2:$S$317=$A52),--ISNUMBER('Данные 1st'!$EU$2:$EU$317))</f>
        <v>4</v>
      </c>
      <c r="BT52">
        <f>SUMPRODUCT(--('Данные 1st'!$S$2:$S$317=$A52),--ISNUMBER('Данные 1st'!$EV$2:$EV$317))</f>
        <v>4</v>
      </c>
      <c r="BU52">
        <f>SUMPRODUCT(--('Данные 1st'!$S$2:$S$317=$A52),--ISNUMBER('Данные 1st'!$EX$2:$EX$317))</f>
        <v>4</v>
      </c>
      <c r="BV52">
        <f>SUMPRODUCT(--('Данные 1st'!$S$2:$S$317=$A52),--ISNUMBER('Данные 1st'!$EY$2:$EY$317))</f>
        <v>4</v>
      </c>
      <c r="BW52">
        <f>SUMPRODUCT(--('Данные 1st'!$S$2:$S$317=$A52),--ISNUMBER('Данные 1st'!$EZ$2:$EZ$317))</f>
        <v>4</v>
      </c>
      <c r="BX52">
        <f>SUMPRODUCT(--('Данные 1st'!$S$2:$S$317=$A52),--ISNUMBER('Данные 1st'!$FA$2:$FA$317))</f>
        <v>4</v>
      </c>
      <c r="BY52">
        <f>SUMPRODUCT(--('Данные 1st'!$S$2:$S$317=$A52),--ISNUMBER('Данные 1st'!$FB$2:$FB$317))</f>
        <v>4</v>
      </c>
      <c r="BZ52">
        <f>SUMPRODUCT(--('Данные 1st'!$S$2:$S$317=$A52),--ISNUMBER('Данные 1st'!$FC$2:$FC$317))</f>
        <v>4</v>
      </c>
      <c r="CA52">
        <f>SUMPRODUCT(--('Данные 1st'!$S$2:$S$317=$A52),--ISNUMBER('Данные 1st'!$FE$2:$FE$317))</f>
        <v>4</v>
      </c>
      <c r="CB52">
        <f>SUMPRODUCT(--('Данные 1st'!$S$2:$S$317=$A52),--ISNUMBER('Данные 1st'!$FF$2:$FF$317))</f>
        <v>4</v>
      </c>
      <c r="CC52">
        <f>SUMPRODUCT(--('Данные 1st'!$S$2:$S$317=$A52),--ISNUMBER('Данные 1st'!$FI$2:$FI$317))</f>
        <v>4</v>
      </c>
      <c r="CD52">
        <f>SUMPRODUCT(--('Данные 1st'!$S$2:$S$317=$A52),--ISNUMBER('Данные 1st'!$FL$2:$FL$317))</f>
        <v>4</v>
      </c>
      <c r="CE52">
        <f>SUMPRODUCT(--('Данные 1st'!$S$2:$S$317=$A52),--ISNUMBER('Данные 1st'!$FM$2:$FM$317))</f>
        <v>4</v>
      </c>
      <c r="CF52">
        <f>SUMPRODUCT(--('Данные 1st'!$S$2:$S$317=$A52),--ISNUMBER('Данные 1st'!$FN$2:$FN$317))</f>
        <v>4</v>
      </c>
      <c r="CG52">
        <f>SUMPRODUCT(--('Данные 1st'!$S$2:$S$317=$A52),--ISNUMBER('Данные 1st'!$FO$2:$FO$317))</f>
        <v>1</v>
      </c>
      <c r="CH52">
        <f>SUMPRODUCT(--('Данные 1st'!$S$2:$S$317=$A52),--ISNUMBER('Данные 1st'!$FP$2:$FP$317))</f>
        <v>1</v>
      </c>
      <c r="CI52">
        <f>SUMPRODUCT(--('Данные 1st'!$S$2:$S$317=$A52),--ISNUMBER('Данные 1st'!$FS$2:$FS$317))</f>
        <v>2</v>
      </c>
      <c r="CJ52">
        <f>SUMPRODUCT(--('Данные 1st'!$S$2:$S$317=$A52),--ISNUMBER('Данные 1st'!$FT$2:$FT$317))</f>
        <v>2</v>
      </c>
      <c r="CK52">
        <f>SUMPRODUCT(--('Данные 1st'!$S$2:$S$317=$A52),--ISNUMBER('Данные 1st'!$FU$2:$FU$317))</f>
        <v>2</v>
      </c>
      <c r="CL52">
        <f>SUMPRODUCT(--('Данные 1st'!$S$2:$S$317=$A52),--ISNUMBER('Данные 1st'!$FV$2:$FV$317))</f>
        <v>0</v>
      </c>
      <c r="CM52">
        <f>SUMPRODUCT(--('Данные 1st'!$S$2:$S$317=$A52),--ISNUMBER('Данные 1st'!$FW$2:$FW$317))</f>
        <v>0</v>
      </c>
      <c r="CN52">
        <f>SUMPRODUCT(--('Данные 1st'!$S$2:$S$317=$A52),--ISNUMBER('Данные 1st'!$FZ$2:$FZ$317))</f>
        <v>0</v>
      </c>
      <c r="CO52">
        <f>SUMPRODUCT(--('Данные 1st'!$S$2:$S$317=$A52),--ISNUMBER('Данные 1st'!$GA$2:$GA$317))</f>
        <v>0</v>
      </c>
      <c r="CP52">
        <f>SUMPRODUCT(--('Данные 1st'!$S$2:$S$317=$A52),--ISNUMBER('Данные 1st'!$GB$2:$GB$317))</f>
        <v>0</v>
      </c>
      <c r="CQ52">
        <f>SUMPRODUCT(--('Данные 1st'!$S$2:$S$317=$A52),--ISNUMBER('Данные 1st'!$GH$2:$GH$317))</f>
        <v>0</v>
      </c>
      <c r="CR52">
        <f>SUMPRODUCT(--('Данные 1st'!$S$2:$S$317=$A52),--ISNUMBER('Данные 1st'!$GI$2:$GI$317))</f>
        <v>0</v>
      </c>
      <c r="CS52">
        <f>SUMPRODUCT(--('Данные 1st'!$S$2:$S$317=$A52),--ISNUMBER('Данные 1st'!$GJ$2:$GJ$317))</f>
        <v>0</v>
      </c>
      <c r="CT52">
        <f>SUMPRODUCT(--('Данные 1st'!$S$2:$S$317=$A52),--ISNUMBER('Данные 1st'!$GS$2:$GS$317))</f>
        <v>4</v>
      </c>
      <c r="CU52">
        <f>SUMPRODUCT(--('Данные 1st'!$S$2:$S$317=$A52),--ISNUMBER('Данные 1st'!$GT$2:$GT$317))</f>
        <v>4</v>
      </c>
      <c r="CV52">
        <f>SUMPRODUCT(--('Данные 1st'!$S$2:$S$317=$A52),--ISNUMBER('Данные 1st'!$GU$2:$GU$317))</f>
        <v>4</v>
      </c>
      <c r="CW52">
        <f>SUMPRODUCT(--('Данные 1st'!$S$2:$S$317=$A52),--ISNUMBER('Данные 1st'!$GV$2:$GV$317))</f>
        <v>1</v>
      </c>
      <c r="CX52">
        <f>SUMPRODUCT(--('Данные 1st'!$S$2:$S$317=$A52),--ISNUMBER('Данные 1st'!$GW$2:$GW$317))</f>
        <v>1</v>
      </c>
      <c r="CY52">
        <f>SUMPRODUCT(--('Данные 1st'!$S$2:$S$317=$A52),--ISNUMBER('Данные 1st'!$GZ$2:$GZ$317))</f>
        <v>0</v>
      </c>
      <c r="CZ52">
        <f>SUMPRODUCT(--('Данные 1st'!$S$2:$S$317=$A52),--ISNUMBER('Данные 1st'!$HA$2:$HA$317))</f>
        <v>0</v>
      </c>
      <c r="DA52">
        <f>SUMPRODUCT(--('Данные 1st'!$S$2:$S$317=$A52),--ISNUMBER('Данные 1st'!$HB$2:$HB$317))</f>
        <v>0</v>
      </c>
      <c r="DB52">
        <f>SUMPRODUCT(--('Данные 1st'!$S$2:$S$317=$A52),--ISNUMBER('Данные 1st'!$HC$2:$HC$317))</f>
        <v>4</v>
      </c>
      <c r="DC52">
        <f>SUMPRODUCT(--('Данные 1st'!$S$2:$S$317=$A52),--ISNUMBER('Данные 1st'!$HD$2:$HD$317))</f>
        <v>4</v>
      </c>
      <c r="DD52">
        <f>SUMPRODUCT(--('Данные 1st'!$S$2:$S$317=$A52),--ISNUMBER('Данные 1st'!$HE$2:$HE$317))</f>
        <v>4</v>
      </c>
      <c r="DE52">
        <f>SUMPRODUCT(--('Данные 1st'!$S$2:$S$317=$A52),--ISNUMBER('Данные 1st'!$HF$2:$HF$317))</f>
        <v>4</v>
      </c>
      <c r="DF52">
        <f>SUMPRODUCT(--('Данные 1st'!$S$2:$S$317=$A52),--ISNUMBER('Данные 1st'!$HG$2:$HG$317))</f>
        <v>4</v>
      </c>
      <c r="DG52">
        <f>SUMPRODUCT(--('Данные 1st'!$S$2:$S$317=$A52),--ISNUMBER('Данные 1st'!$HH$2:$HH$317))</f>
        <v>4</v>
      </c>
      <c r="DH52">
        <f>SUMPRODUCT(--('Данные 1st'!$S$2:$S$317=$A52),--ISNUMBER('Данные 1st'!$HI$2:$HI$317))</f>
        <v>4</v>
      </c>
      <c r="DI52">
        <f>SUMPRODUCT(--('Данные 1st'!$S$2:$S$317=$A52),--ISNUMBER('Данные 1st'!$HJ$2:$HJ$317))</f>
        <v>4</v>
      </c>
      <c r="DJ52">
        <f>SUMPRODUCT(--('Данные 1st'!$S$2:$S$317=$A52),--ISNUMBER('Данные 1st'!$HK$2:$HK$317))</f>
        <v>4</v>
      </c>
      <c r="DK52">
        <f>SUMPRODUCT(--('Данные 1st'!$S$2:$S$317=$A52),--ISNUMBER('Данные 1st'!$HL$2:$HL$317))</f>
        <v>4</v>
      </c>
      <c r="DL52">
        <f>SUMPRODUCT(--('Данные 1st'!$S$2:$S$317=$A52),--ISNUMBER('Данные 1st'!$HM$2:$HM$317))</f>
        <v>4</v>
      </c>
      <c r="DM52">
        <f>SUMPRODUCT(--('Данные 1st'!$S$2:$S$317=$A52),--ISNUMBER('Данные 1st'!$HN$2:$HN$317))</f>
        <v>4</v>
      </c>
      <c r="DN52">
        <f>SUMPRODUCT(--('Данные 1st'!$S$2:$S$317=$A52),--ISNUMBER('Данные 1st'!$HO$2:$HO$317))</f>
        <v>4</v>
      </c>
      <c r="DO52">
        <f>SUMPRODUCT(--('Данные 1st'!$S$2:$S$317=$A52),--ISNUMBER('Данные 1st'!$HP$2:$HP$317))</f>
        <v>4</v>
      </c>
      <c r="DP52">
        <f>SUMPRODUCT(--('Данные 1st'!$S$2:$S$317=$A52),--ISNUMBER('Данные 1st'!$HQ$2:$HQ$317))</f>
        <v>4</v>
      </c>
      <c r="DQ52">
        <f>SUMPRODUCT(--('Данные 1st'!$S$2:$S$317=$A52),--ISNUMBER('Данные 1st'!$HR$2:$HR$317))</f>
        <v>4</v>
      </c>
      <c r="DR52">
        <f>SUMPRODUCT(--('Данные 1st'!$S$2:$S$317=$A52),--ISNUMBER('Данные 1st'!$HS$2:$HS$317))</f>
        <v>4</v>
      </c>
      <c r="DS52">
        <f>SUMPRODUCT(--('Данные 1st'!$S$2:$S$317=$A52),--ISNUMBER('Данные 1st'!$HT$2:$HT$317))</f>
        <v>4</v>
      </c>
      <c r="DT52">
        <f>SUMPRODUCT(--('Данные 1st'!$S$2:$S$317=$A52),--ISNUMBER('Данные 1st'!$HU$2:$HU$317))</f>
        <v>4</v>
      </c>
      <c r="DU52">
        <f>SUMPRODUCT(--('Данные 1st'!$S$2:$S$317=$A52),--ISNUMBER('Данные 1st'!$HW$2:$HW$317))</f>
        <v>4</v>
      </c>
      <c r="DV52">
        <f>SUMPRODUCT(--('Данные 1st'!$S$2:$S$317=$A52),--ISNUMBER('Данные 1st'!$HX$2:$HX$317))</f>
        <v>4</v>
      </c>
      <c r="DW52">
        <f>SUMPRODUCT(--('Данные 1st'!$S$2:$S$317=$A52),--ISNUMBER('Данные 1st'!$HY$2:$HY$317))</f>
        <v>4</v>
      </c>
      <c r="DX52">
        <f>SUMPRODUCT(--('Данные 1st'!$S$2:$S$317=$A52),--ISNUMBER('Данные 1st'!$IA$2:$IA$317))</f>
        <v>4</v>
      </c>
      <c r="DY52">
        <f>SUMPRODUCT(--('Данные 1st'!$S$2:$S$317=$A52),--ISNUMBER('Данные 1st'!$IB$2:$IB$317))</f>
        <v>4</v>
      </c>
      <c r="DZ52">
        <f>SUMPRODUCT(--('Данные 1st'!$S$2:$S$317=$A52),--ISNUMBER('Данные 1st'!$IC$2:$IC$317))</f>
        <v>4</v>
      </c>
      <c r="EA52">
        <f>SUMPRODUCT(--('Данные 1st'!$S$2:$S$317=$A52),--ISNUMBER('Данные 1st'!$ID$2:$ID$317))</f>
        <v>4</v>
      </c>
      <c r="EB52">
        <f>SUMPRODUCT(--('Данные 1st'!$S$2:$S$317=$A52),--ISNUMBER('Данные 1st'!$IE$2:$IE$317))</f>
        <v>4</v>
      </c>
      <c r="EC52">
        <f>SUMPRODUCT(--('Данные 1st'!$S$2:$S$317=$A52),--ISNUMBER('Данные 1st'!$IF$2:$IF$317))</f>
        <v>4</v>
      </c>
      <c r="ED52">
        <f>SUMPRODUCT(--('Данные 1st'!$S$2:$S$317=$A52),--ISNUMBER('Данные 1st'!$IP$2:$IP$317))</f>
        <v>4</v>
      </c>
      <c r="EE52">
        <f>SUMPRODUCT(--('Данные 1st'!$S$2:$S$317=$A52),--ISNUMBER('Данные 1st'!$IV$2:$IV$317))</f>
        <v>4</v>
      </c>
      <c r="EF52">
        <f>SUMPRODUCT(--('Данные 1st'!$S$2:$S$317=$A52),--ISNUMBER('Данные 1st'!$IW$2:$IW$317))</f>
        <v>4</v>
      </c>
      <c r="EG52">
        <f>SUMPRODUCT(--('Данные 1st'!$S$2:$S$317=$A52),--ISNUMBER('Данные 1st'!$IX$2:$IX$317))</f>
        <v>0</v>
      </c>
      <c r="EH52">
        <f>SUMPRODUCT(--('Данные 1st'!$S$2:$S$317=$A52),--ISNUMBER('Данные 1st'!$IY$2:$IY$317))</f>
        <v>0</v>
      </c>
      <c r="EI52">
        <f>SUMPRODUCT(--('Данные 1st'!$S$2:$S$317=$A52),--ISNUMBER('Данные 1st'!$JD$2:$JD$317))</f>
        <v>4</v>
      </c>
      <c r="EJ52">
        <f>SUMPRODUCT(--('Данные 1st'!$S$2:$S$317=$A52),--ISNUMBER('Данные 1st'!$JE$2:$JE$317))</f>
        <v>4</v>
      </c>
      <c r="EK52">
        <f>SUMPRODUCT(--('Данные 1st'!$S$2:$S$317=$A52),--ISNUMBER('Данные 1st'!$JF$2:$JF$317))</f>
        <v>4</v>
      </c>
      <c r="EL52">
        <f>SUMPRODUCT(--('Данные 1st'!$S$2:$S$317=$A52),--ISNUMBER('Данные 1st'!$JG$2:$JG$317))</f>
        <v>4</v>
      </c>
      <c r="EM52">
        <f>SUMPRODUCT(--('Данные 1st'!$S$2:$S$317=$A52),--ISNUMBER('Данные 1st'!$JH$2:$JH$317))</f>
        <v>4</v>
      </c>
      <c r="EN52">
        <f>SUMPRODUCT(--('Данные 1st'!$S$2:$S$317=$A52),--ISNUMBER('Данные 1st'!$JJ$2:$JJ$317))</f>
        <v>4</v>
      </c>
      <c r="EO52">
        <f>SUMPRODUCT(--('Данные 1st'!$S$2:$S$317=$A52),--ISNUMBER('Данные 1st'!$JK$2:$JK$317))</f>
        <v>4</v>
      </c>
      <c r="EP52">
        <f>SUMPRODUCT(--('Данные 1st'!$S$2:$S$317=$A52),--ISNUMBER('Данные 1st'!$JL$2:$JL$317))</f>
        <v>0</v>
      </c>
      <c r="EQ52">
        <f>SUMPRODUCT(--('Данные 1st'!$S$2:$S$317=$A52),--ISNUMBER('Данные 1st'!$JM$2:$JM$317))</f>
        <v>0</v>
      </c>
      <c r="ER52">
        <f>SUMPRODUCT(--('Данные 1st'!$S$2:$S$317=$A52),--ISNUMBER('Данные 1st'!$JN$2:$JN$317))</f>
        <v>4</v>
      </c>
      <c r="ES52">
        <f>SUMPRODUCT(--('Данные 1st'!$S$2:$S$317=$A52),--ISNUMBER('Данные 1st'!$JO$2:$JO$317))</f>
        <v>4</v>
      </c>
      <c r="ET52">
        <f>SUMPRODUCT(--('Данные 1st'!$S$2:$S$317=$A52),--ISNUMBER('Данные 1st'!$JP$2:$JP$317))</f>
        <v>4</v>
      </c>
      <c r="EU52">
        <f>SUMPRODUCT(--('Данные 1st'!$S$2:$S$317=$A52),--ISNUMBER('Данные 1st'!$JQ$2:$JQ$317))</f>
        <v>4</v>
      </c>
      <c r="EV52">
        <f>SUMPRODUCT(--('Данные 1st'!$S$2:$S$317=$A52),--ISNUMBER('Данные 1st'!$JR$2:$JR$317))</f>
        <v>4</v>
      </c>
      <c r="EW52">
        <f>SUMPRODUCT(--('Данные 1st'!$S$2:$S$317=$A52),--ISNUMBER('Данные 1st'!$JS$2:$JS$317))</f>
        <v>4</v>
      </c>
      <c r="EX52">
        <f>SUMPRODUCT(--('Данные 1st'!$S$2:$S$317=$A52),--ISNUMBER('Данные 1st'!$JT$2:$JT$317))</f>
        <v>0</v>
      </c>
      <c r="EY52">
        <f>SUMPRODUCT(--('Данные 1st'!$S$2:$S$317=$A52),--ISNUMBER('Данные 1st'!$JU$2:$JU$317))</f>
        <v>0</v>
      </c>
      <c r="EZ52">
        <f>SUMPRODUCT(--('Данные 1st'!$S$2:$S$317=$A52),--ISNUMBER('Данные 1st'!$JV$2:$JV$317))</f>
        <v>4</v>
      </c>
      <c r="FA52">
        <f>SUMPRODUCT(--('Данные 1st'!$S$2:$S$317=$A52),--ISNUMBER('Данные 1st'!$JW$2:$JW$317))</f>
        <v>0</v>
      </c>
      <c r="FB52">
        <f>SUMPRODUCT(--('Данные 1st'!$S$2:$S$317=$A52),--ISNUMBER('Данные 1st'!$JX$2:$JX$317))</f>
        <v>4</v>
      </c>
      <c r="FC52">
        <f>SUMPRODUCT(--('Данные 1st'!$S$2:$S$317=$A52),--ISNUMBER('Данные 1st'!$JY$2:$JY$317))</f>
        <v>0</v>
      </c>
      <c r="FD52">
        <f>SUMPRODUCT(--('Данные 1st'!$S$2:$S$317=$A52),--ISNUMBER('Данные 1st'!$JZ$2:$JZ$317))</f>
        <v>0</v>
      </c>
      <c r="FE52">
        <f>SUMPRODUCT(--('Данные 1st'!$S$2:$S$317=$A52),--ISNUMBER('Данные 1st'!$KA$2:$KA$317))</f>
        <v>4</v>
      </c>
      <c r="FF52">
        <f>SUMPRODUCT(--('Данные 1st'!$S$2:$S$317=$A52),--ISNUMBER('Данные 1st'!$KB$2:$KB$317))</f>
        <v>4</v>
      </c>
      <c r="FG52">
        <f>SUMPRODUCT(--('Данные 1st'!$S$2:$S$317=$A52),--ISNUMBER('Данные 1st'!$KC$2:$KC$317))</f>
        <v>4</v>
      </c>
      <c r="FH52">
        <f>SUMPRODUCT(--('Данные 1st'!$S$2:$S$317=$A52),--ISNUMBER('Данные 1st'!$KD$2:$KD$317))</f>
        <v>4</v>
      </c>
      <c r="FI52">
        <f>SUMPRODUCT(--('Данные 1st'!$S$2:$S$317=$A52),--ISNUMBER('Данные 1st'!$KE$2:$KE$317))</f>
        <v>0</v>
      </c>
      <c r="FJ52">
        <f>SUMPRODUCT(--('Данные 1st'!$S$2:$S$317=$A52),--ISNUMBER('Данные 1st'!$KF$2:$KF$317))</f>
        <v>4</v>
      </c>
      <c r="FK52">
        <f>SUMPRODUCT(--('Данные 1st'!$S$2:$S$317=$A52),--ISNUMBER('Данные 1st'!$KG$2:$KG$317))</f>
        <v>4</v>
      </c>
      <c r="FL52">
        <f>SUMPRODUCT(--('Данные 1st'!$S$2:$S$317=$A52),--ISNUMBER('Данные 1st'!$KH$2:$KH$317))</f>
        <v>4</v>
      </c>
      <c r="FM52">
        <f>SUMPRODUCT(--('Данные 1st'!$S$2:$S$317=$A52),--ISNUMBER('Данные 1st'!$KI$2:$KI$317))</f>
        <v>4</v>
      </c>
      <c r="FN52">
        <f>SUMPRODUCT(--('Данные 1st'!$S$2:$S$317=$A52),--ISNUMBER('Данные 1st'!$KJ$2:$KJ$317))</f>
        <v>4</v>
      </c>
      <c r="FO52">
        <f>SUMPRODUCT(--('Данные 1st'!$S$2:$S$317=$A52),--ISNUMBER('Данные 1st'!$KK$2:$KK$317))</f>
        <v>4</v>
      </c>
      <c r="FP52">
        <f>SUMPRODUCT(--('Данные 1st'!$S$2:$S$317=$A52),--ISNUMBER('Данные 1st'!$KL$2:$KL$317))</f>
        <v>4</v>
      </c>
      <c r="FQ52">
        <f>SUMPRODUCT(--('Данные 1st'!$S$2:$S$317=$A52),--ISNUMBER('Данные 1st'!$KM$2:$KM$317))</f>
        <v>4</v>
      </c>
      <c r="FR52">
        <f>SUMPRODUCT(--('Данные 1st'!$S$2:$S$317=$A52),--ISNUMBER('Данные 1st'!$KN$2:$KN$317))</f>
        <v>4</v>
      </c>
      <c r="FS52">
        <f>SUMPRODUCT(--('Данные 1st'!$S$2:$S$317=$A52),--ISNUMBER('Данные 1st'!$KR$2:$KR$317))</f>
        <v>4</v>
      </c>
      <c r="FT52">
        <f>SUMPRODUCT(--('Данные 1st'!$S$2:$S$317=$A52),--ISNUMBER('Данные 1st'!$KS$2:$KS$317))</f>
        <v>4</v>
      </c>
      <c r="FU52">
        <f>SUMPRODUCT(--('Данные 1st'!$S$2:$S$317=$A52),--ISNUMBER('Данные 1st'!$KT$2:$KT$317))</f>
        <v>4</v>
      </c>
      <c r="FV52">
        <f>SUMPRODUCT(--('Данные 1st'!$S$2:$S$317=$A52),--ISNUMBER('Данные 1st'!$KV$2:$KV$317))</f>
        <v>0</v>
      </c>
      <c r="FW52">
        <f>SUMPRODUCT(--('Данные 1st'!$S$2:$S$317=$A52),--ISNUMBER('Данные 1st'!$KW$2:$KW$317))</f>
        <v>0</v>
      </c>
      <c r="FX52">
        <f>SUMPRODUCT(--('Данные 1st'!$S$2:$S$317=$A52),--ISNUMBER('Данные 1st'!$KX$2:$KX$317))</f>
        <v>0</v>
      </c>
      <c r="FY52">
        <f>SUMPRODUCT(--('Данные 1st'!$S$2:$S$317=$A52),--ISNUMBER('Данные 1st'!$KY$2:$KY$317))</f>
        <v>0</v>
      </c>
      <c r="FZ52">
        <f>SUMPRODUCT(--('Данные 1st'!$S$2:$S$317=$A52),--ISNUMBER('Данные 1st'!$KZ$2:$KZ$317))</f>
        <v>0</v>
      </c>
      <c r="GA52">
        <f>SUMPRODUCT(--('Данные 1st'!$S$2:$S$317=$A52),--ISNUMBER('Данные 1st'!$LA$2:$LA$317))</f>
        <v>0</v>
      </c>
      <c r="GB52">
        <f>SUMPRODUCT(--('Данные 1st'!$S$2:$S$317=$A52),--ISNUMBER('Данные 1st'!$LB$2:$LB$317))</f>
        <v>0</v>
      </c>
      <c r="GC52">
        <f>SUMPRODUCT(--('Данные 1st'!$S$2:$S$317=$A52),--ISNUMBER('Данные 1st'!$LC$2:$LC$317))</f>
        <v>0</v>
      </c>
      <c r="GD52">
        <f>SUMPRODUCT(--('Данные 1st'!$S$2:$S$317=$A52),--ISNUMBER('Данные 1st'!$LD$2:$LD$317))</f>
        <v>0</v>
      </c>
      <c r="GE52">
        <f>SUMPRODUCT(--('Данные 1st'!$S$2:$S$317=$A52),--ISNUMBER('Данные 1st'!$LE$2:$LE$317))</f>
        <v>0</v>
      </c>
      <c r="GF52">
        <f>SUMPRODUCT(--('Данные 1st'!$S$2:$S$317=$A52),--ISNUMBER('Данные 1st'!$LF$2:$LF$317))</f>
        <v>0</v>
      </c>
      <c r="GG52">
        <f>SUMPRODUCT(--('Данные 1st'!$S$2:$S$317=$A52),--ISNUMBER('Данные 1st'!$LG$2:$LG$317))</f>
        <v>0</v>
      </c>
      <c r="GH52">
        <f>SUMPRODUCT(--('Данные 1st'!$S$2:$S$317=$A52),--ISNUMBER('Данные 1st'!$LH$2:$LH$317))</f>
        <v>0</v>
      </c>
      <c r="GI52">
        <f>SUMPRODUCT(--('Данные 1st'!$S$2:$S$317=$A52),--ISNUMBER('Данные 1st'!$LI$2:$LI$317))</f>
        <v>0</v>
      </c>
      <c r="GJ52">
        <f>SUMPRODUCT(--('Данные 1st'!$S$2:$S$317=$A52),--ISNUMBER('Данные 1st'!$LJ$2:$LJ$317))</f>
        <v>0</v>
      </c>
      <c r="GK52">
        <f>SUMPRODUCT(--('Данные 1st'!$S$2:$S$317=$A52),--ISNUMBER('Данные 1st'!$LK$2:$LK$317))</f>
        <v>4</v>
      </c>
      <c r="GL52">
        <f>SUMPRODUCT(--('Данные 1st'!$S$2:$S$317=$A52),--ISNUMBER('Данные 1st'!$LV$2:$LV$317))</f>
        <v>0</v>
      </c>
      <c r="GM52">
        <f>SUMPRODUCT(--('Данные 1st'!$S$2:$S$317=$A52),--ISNUMBER('Данные 1st'!$LW$2:$LW$317))</f>
        <v>0</v>
      </c>
      <c r="GN52">
        <f>SUMPRODUCT(--('Данные 1st'!$S$2:$S$317=$A52),--ISNUMBER('Данные 1st'!$LX$2:$LX$317))</f>
        <v>0</v>
      </c>
      <c r="GO52">
        <f>SUMPRODUCT(--('Данные 1st'!$S$2:$S$317=$A52),--ISNUMBER('Данные 1st'!$LY$2:$LY$317))</f>
        <v>0</v>
      </c>
      <c r="GP52">
        <f>SUMPRODUCT(--('Данные 1st'!$S$2:$S$317=$A52),--ISNUMBER('Данные 1st'!$LZ$2:$LZ$317))</f>
        <v>0</v>
      </c>
      <c r="GQ52">
        <f>SUMPRODUCT(--('Данные 1st'!$S$2:$S$317=$A52),--ISNUMBER('Данные 1st'!$PG$2:$PG$317))</f>
        <v>4</v>
      </c>
      <c r="GR52">
        <f>SUMPRODUCT(--('Данные 1st'!$S$2:$S$317=$A52),--ISNUMBER('Данные 1st'!$PX$2:$PX$317))</f>
        <v>4</v>
      </c>
      <c r="GS52">
        <f>SUMPRODUCT(--('Данные 1st'!$S$2:$S$317=$A52),--ISNUMBER('Данные 1st'!$PY$2:$PY$317))</f>
        <v>4</v>
      </c>
      <c r="GT52">
        <f>SUMPRODUCT(--('Данные 1st'!$S$2:$S$317=$A52),--ISNUMBER('Данные 1st'!$QA$2:$QA$317))</f>
        <v>4</v>
      </c>
      <c r="GU52">
        <f>SUMPRODUCT(--('Данные 1st'!$S$2:$S$317=$A52),--ISNUMBER('Данные 1st'!$QB$2:$QB$317))</f>
        <v>4</v>
      </c>
      <c r="GV52">
        <f>SUMPRODUCT(--('Данные 1st'!$S$2:$S$317=$A52),--ISNUMBER('Данные 1st'!$QC$2:$QC$317))</f>
        <v>4</v>
      </c>
      <c r="GW52">
        <f>SUMPRODUCT(--('Данные 1st'!$S$2:$S$317=$A52),--ISNUMBER('Данные 1st'!$QD$2:$QD$317))</f>
        <v>4</v>
      </c>
      <c r="GX52">
        <f>SUMPRODUCT(--('Данные 1st'!$S$2:$S$317=$A52),--ISNUMBER('Данные 1st'!$QF$2:$QF$317))</f>
        <v>4</v>
      </c>
      <c r="GY52">
        <f>SUMPRODUCT(--('Данные 1st'!$S$2:$S$317=$A52),--ISNUMBER('Данные 1st'!$QG$2:$QG$317))</f>
        <v>4</v>
      </c>
      <c r="GZ52">
        <f>SUMPRODUCT(--('Данные 1st'!$S$2:$S$317=$A52),--ISNUMBER('Данные 1st'!$QH$2:$QH$317))</f>
        <v>4</v>
      </c>
      <c r="HA52">
        <f>SUMPRODUCT(--('Данные 1st'!$S$2:$S$317=$A52),--ISNUMBER('Данные 1st'!$QI$2:$QI$317))</f>
        <v>4</v>
      </c>
      <c r="HB52">
        <f>SUMPRODUCT(--('Данные 1st'!$S$2:$S$317=$A52),--ISNUMBER('Данные 1st'!$QK$2:$QK$317))</f>
        <v>1</v>
      </c>
      <c r="HC52">
        <f>SUMPRODUCT(--('Данные 1st'!$S$2:$S$317=$A52),--ISNUMBER('Данные 1st'!$QL$2:$QL$317))</f>
        <v>4</v>
      </c>
      <c r="HD52">
        <f>SUMPRODUCT(--('Данные 1st'!$S$2:$S$317=$A52),--ISNUMBER('Данные 1st'!$QM$2:$QM$317))</f>
        <v>4</v>
      </c>
      <c r="HE52">
        <f>SUMPRODUCT(--('Данные 1st'!$S$2:$S$317=$A52),--ISNUMBER('Данные 1st'!$QN$2:$QN$317))</f>
        <v>4</v>
      </c>
      <c r="HF52">
        <f>SUMPRODUCT(--('Данные 1st'!$S$2:$S$317=$A52),--ISNUMBER('Данные 1st'!$QP$2:$QP$317))</f>
        <v>4</v>
      </c>
      <c r="HG52">
        <f>SUMPRODUCT(--('Данные 1st'!$S$2:$S$317=$A52),--ISNUMBER('Данные 1st'!$QQ$2:$QQ$317))</f>
        <v>4</v>
      </c>
      <c r="HH52">
        <f>SUMPRODUCT(--('Данные 1st'!$S$2:$S$317=$A52),--ISNUMBER('Данные 1st'!$QR$2:$QR$317))</f>
        <v>4</v>
      </c>
      <c r="HI52">
        <f>SUMPRODUCT(--('Данные 1st'!$S$2:$S$317=$A52),--ISNUMBER('Данные 1st'!$QS$2:$QS$317))</f>
        <v>4</v>
      </c>
      <c r="HJ52">
        <f>SUMPRODUCT(--('Данные 1st'!$S$2:$S$317=$A52),--ISNUMBER('Данные 1st'!$QU$2:$QU$317))</f>
        <v>4</v>
      </c>
      <c r="HK52">
        <f>SUMPRODUCT(--('Данные 1st'!$S$2:$S$317=$A52),--ISNUMBER('Данные 1st'!$QV$2:$QV$317))</f>
        <v>4</v>
      </c>
      <c r="HL52">
        <f>SUMPRODUCT(--('Данные 1st'!$S$2:$S$317=$A52),--ISNUMBER('Данные 1st'!$QW$2:$QW$317))</f>
        <v>4</v>
      </c>
      <c r="HM52">
        <f>SUMPRODUCT(--('Данные 1st'!$S$2:$S$317=$A52),--ISNUMBER('Данные 1st'!$QX$2:$QX$317))</f>
        <v>4</v>
      </c>
      <c r="HN52">
        <f>SUMPRODUCT(--('Данные 1st'!$S$2:$S$317=$A52),--ISNUMBER('Данные 1st'!$QZ$2:$QZ$317))</f>
        <v>4</v>
      </c>
      <c r="HO52">
        <f>SUMPRODUCT(--('Данные 1st'!$S$2:$S$317=$A52),--ISNUMBER('Данные 1st'!$RA$2:$RA$317))</f>
        <v>4</v>
      </c>
      <c r="HP52">
        <f>SUMPRODUCT(--('Данные 1st'!$S$2:$S$317=$A52),--ISNUMBER('Данные 1st'!$RB$2:$RB$317))</f>
        <v>4</v>
      </c>
      <c r="HQ52">
        <f>SUMPRODUCT(--('Данные 1st'!$S$2:$S$317=$A52),--ISNUMBER('Данные 1st'!$RD$2:$RD$317))</f>
        <v>0</v>
      </c>
      <c r="HR52">
        <f>SUMPRODUCT(--('Данные 1st'!$S$2:$S$317=$A52),--ISNUMBER('Данные 1st'!$RE$2:$RE$317))</f>
        <v>4</v>
      </c>
      <c r="HS52">
        <f>SUMPRODUCT(--('Данные 1st'!$S$2:$S$317=$A52),--ISNUMBER('Данные 1st'!$RF$2:$RF$317))</f>
        <v>4</v>
      </c>
      <c r="HT52">
        <f>SUMPRODUCT(--('Данные 1st'!$S$2:$S$317=$A52),--ISNUMBER('Данные 1st'!$RG$2:$RG$317))</f>
        <v>0</v>
      </c>
      <c r="HU52">
        <f>SUMPRODUCT(--('Данные 1st'!$S$2:$S$317=$A52),--ISNUMBER('Данные 1st'!$RH$2:$RH$317))</f>
        <v>4</v>
      </c>
      <c r="HV52">
        <f>SUMPRODUCT(--('Данные 1st'!$S$2:$S$317=$A52),--ISNUMBER('Данные 1st'!$RI$2:$RI$317))</f>
        <v>0</v>
      </c>
      <c r="HW52">
        <f>SUMPRODUCT(--('Данные 1st'!$S$2:$S$317=$A52),--ISNUMBER('Данные 1st'!$RJ$2:$RJ$317))</f>
        <v>4</v>
      </c>
      <c r="HX52">
        <f>SUMPRODUCT(--('Данные 1st'!$S$2:$S$317=$A52),--ISNUMBER('Данные 1st'!$RK$2:$RK$317))</f>
        <v>1</v>
      </c>
      <c r="HY52">
        <f>SUMPRODUCT(--('Данные 1st'!$S$2:$S$317=$A52),--ISNUMBER('Данные 1st'!$RL$2:$RL$317))</f>
        <v>4</v>
      </c>
      <c r="HZ52">
        <f>SUMPRODUCT(--('Данные 1st'!$S$2:$S$317=$A52),--ISNUMBER('Данные 1st'!$RM$2:$RM$317))</f>
        <v>4</v>
      </c>
      <c r="IA52">
        <f>SUMPRODUCT(--('Данные 1st'!$S$2:$S$317=$A52),--ISNUMBER('Данные 1st'!$RN$2:$RN$317))</f>
        <v>0</v>
      </c>
      <c r="IB52">
        <f>SUMPRODUCT(--('Данные 1st'!$S$2:$S$317=$A52),--ISNUMBER('Данные 1st'!$RO$2:$RO$317))</f>
        <v>4</v>
      </c>
      <c r="IC52">
        <f>SUMPRODUCT(--('Данные 1st'!$S$2:$S$317=$A52),--ISNUMBER('Данные 1st'!$RP$2:$RP$317))</f>
        <v>1</v>
      </c>
      <c r="ID52">
        <f>SUMPRODUCT(--('Данные 1st'!$S$2:$S$317=$A52),--ISNUMBER('Данные 1st'!$RQ$2:$RQ$317))</f>
        <v>4</v>
      </c>
      <c r="IE52">
        <f>SUMPRODUCT(--('Данные 1st'!$S$2:$S$317=$A52),--ISNUMBER('Данные 1st'!$RR$2:$RR$317))</f>
        <v>4</v>
      </c>
      <c r="IF52">
        <f>SUMPRODUCT(--('Данные 1st'!$S$2:$S$317=$A52),--ISNUMBER('Данные 1st'!$RS$2:$RS$317))</f>
        <v>0</v>
      </c>
      <c r="IG52">
        <f>SUMPRODUCT(--('Данные 1st'!$S$2:$S$317=$A52),--ISNUMBER('Данные 1st'!$RT$2:$RT$317))</f>
        <v>4</v>
      </c>
      <c r="IH52">
        <f>SUMPRODUCT(--('Данные 1st'!$S$2:$S$317=$A52),--ISNUMBER('Данные 1st'!$RU$2:$RU$317))</f>
        <v>4</v>
      </c>
      <c r="II52">
        <f>SUMPRODUCT(--('Данные 1st'!$S$2:$S$317=$A52),--ISNUMBER('Данные 1st'!$RX$2:$RX$317))</f>
        <v>4</v>
      </c>
      <c r="IJ52">
        <f>SUMPRODUCT(--('Данные 1st'!$S$2:$S$317=$A52),--ISNUMBER('Данные 1st'!$RY$2:$RY$317))</f>
        <v>4</v>
      </c>
      <c r="IK52">
        <f>SUMPRODUCT(--('Данные 1st'!$S$2:$S$317=$A52),--ISNUMBER('Данные 1st'!$SA$2:$SA$317))</f>
        <v>4</v>
      </c>
      <c r="IL52">
        <f>SUMPRODUCT(--('Данные 1st'!$S$2:$S$317=$A52),--ISNUMBER('Данные 1st'!$SD$2:$SD$317))</f>
        <v>4</v>
      </c>
      <c r="IM52">
        <f>SUMPRODUCT(--('Данные 1st'!$S$2:$S$317=$A52),--ISNUMBER('Данные 1st'!$SG$2:$SG$317))</f>
        <v>4</v>
      </c>
      <c r="IN52">
        <f>SUMPRODUCT(--('Данные 1st'!$S$2:$S$317=$A52),--ISNUMBER('Данные 1st'!$SH$2:$SH$317))</f>
        <v>4</v>
      </c>
      <c r="IO52">
        <f>SUMPRODUCT(--('Данные 1st'!$S$2:$S$317=$A52),--ISNUMBER('Данные 1st'!$SI$2:$SI$317))</f>
        <v>4</v>
      </c>
      <c r="IP52">
        <f>SUMPRODUCT(--('Данные 1st'!$S$2:$S$317=$A52),--ISNUMBER('Данные 1st'!$SJ$2:$SJ$317))</f>
        <v>4</v>
      </c>
      <c r="IQ52">
        <f>SUMPRODUCT(--('Данные 1st'!$S$2:$S$317=$A52),--ISNUMBER('Данные 1st'!$SK$2:$SK$317))</f>
        <v>4</v>
      </c>
      <c r="IR52">
        <f>SUMPRODUCT(--('Данные 1st'!$S$2:$S$317=$A52),--ISNUMBER('Данные 1st'!$SL$2:$SL$317))</f>
        <v>4</v>
      </c>
      <c r="IS52">
        <f>SUMPRODUCT(--('Данные 1st'!$S$2:$S$317=$A52),--ISNUMBER('Данные 1st'!$SM$2:$SM$317))</f>
        <v>4</v>
      </c>
      <c r="IT52">
        <f>SUMPRODUCT(--('Данные 1st'!$S$2:$S$317=$A52),--ISNUMBER('Данные 1st'!$SN$2:$SN$317))</f>
        <v>4</v>
      </c>
      <c r="IU52">
        <f>SUMPRODUCT(--('Данные 1st'!$S$2:$S$317=$A52),--ISNUMBER('Данные 1st'!$SO$2:$SO$317))</f>
        <v>4</v>
      </c>
      <c r="IV52">
        <f>SUMPRODUCT(--('Данные 1st'!$S$2:$S$317=$A52),--ISNUMBER('Данные 1st'!$SP$2:$SP$317))</f>
        <v>4</v>
      </c>
      <c r="IW52">
        <f>SUMPRODUCT(--('Данные 1st'!$S$2:$S$317=$A52),--ISNUMBER('Данные 1st'!$SQ$2:$SQ$317))</f>
        <v>4</v>
      </c>
      <c r="IX52">
        <f>SUMPRODUCT(--('Данные 1st'!$S$2:$S$317=$A52),--ISNUMBER('Данные 1st'!$SR$2:$SR$317))</f>
        <v>4</v>
      </c>
      <c r="IY52">
        <f>SUMPRODUCT(--('Данные 1st'!$S$2:$S$317=$A52),--ISNUMBER('Данные 1st'!$SS$2:$SS$317))</f>
        <v>4</v>
      </c>
      <c r="IZ52">
        <f>SUMPRODUCT(--('Данные 1st'!$S$2:$S$317=$A52),--ISNUMBER('Данные 1st'!$ST$2:$ST$317))</f>
        <v>4</v>
      </c>
      <c r="JA52">
        <f>SUMPRODUCT(--('Данные 1st'!$S$2:$S$317=$A52),--ISNUMBER('Данные 1st'!$SU$2:$SU$317))</f>
        <v>4</v>
      </c>
      <c r="JB52">
        <f>SUMPRODUCT(--('Данные 1st'!$S$2:$S$317=$A52),--ISNUMBER('Данные 1st'!$SV$2:$SV$317))</f>
        <v>4</v>
      </c>
      <c r="JC52">
        <f>SUMPRODUCT(--('Данные 1st'!$S$2:$S$317=$A52),--ISNUMBER('Данные 1st'!$SW$2:$SW$317))</f>
        <v>4</v>
      </c>
      <c r="JD52">
        <f>SUMPRODUCT(--('Данные 1st'!$S$2:$S$317=$A52),--ISNUMBER('Данные 1st'!$SX$2:$SX$317))</f>
        <v>4</v>
      </c>
      <c r="JE52">
        <f>SUMPRODUCT(--('Данные 1st'!$S$2:$S$317=$A52),--ISNUMBER('Данные 1st'!$SY$2:$SY$317))</f>
        <v>1</v>
      </c>
      <c r="JF52">
        <f>SUMPRODUCT(--('Данные 1st'!$S$2:$S$317=$A52),--ISNUMBER('Данные 1st'!$SZ$2:$SZ$317))</f>
        <v>4</v>
      </c>
      <c r="JG52">
        <f>SUMPRODUCT(--('Данные 1st'!$S$2:$S$317=$A52),--ISNUMBER('Данные 1st'!$TA$2:$TA$317))</f>
        <v>0</v>
      </c>
      <c r="JH52">
        <f>SUMPRODUCT(--('Данные 1st'!$S$2:$S$317=$A52),--ISNUMBER('Данные 1st'!$TB$2:$TB$317))</f>
        <v>4</v>
      </c>
      <c r="JI52">
        <f>SUMPRODUCT(--('Данные 1st'!$S$2:$S$317=$A52),--ISNUMBER('Данные 1st'!$TC$2:$TC$317))</f>
        <v>4</v>
      </c>
      <c r="JJ52">
        <f>SUMPRODUCT(--('Данные 1st'!$S$2:$S$317=$A52),--ISNUMBER('Данные 1st'!$TD$2:$TD$317))</f>
        <v>4</v>
      </c>
      <c r="JK52">
        <f>SUMPRODUCT(--('Данные 1st'!$S$2:$S$317=$A52),--ISNUMBER('Данные 1st'!$TN$2:$TN$317))</f>
        <v>4</v>
      </c>
      <c r="JQ52">
        <f>SUMPRODUCT(--('Данные 2st'!$Q$2:$Q$317=$A52),--ISNUMBER('Данные 2st'!$AC$2:$AC$317))</f>
        <v>4</v>
      </c>
      <c r="JR52">
        <f>SUMPRODUCT(--('Данные 2st'!$Q$2:$Q$317=$A52),--ISNUMBER('Данные 2st'!$AF$2:$AF$317))</f>
        <v>4</v>
      </c>
      <c r="JS52">
        <f>SUMPRODUCT(--('Данные 2st'!$Q$2:$Q$317=$A52),--ISNUMBER('Данные 2st'!$AW$2:$AW$317))</f>
        <v>4</v>
      </c>
      <c r="JT52">
        <f>SUMPRODUCT(--('Данные 2st'!$Q$2:$Q$317=$A52),--ISNUMBER('Данные 2st'!$AX$2:$AX$317))</f>
        <v>4</v>
      </c>
      <c r="JU52">
        <f>SUMPRODUCT(--('Данные 2st'!$Q$2:$Q$317=$A52),--ISNUMBER('Данные 2st'!$AY$2:$AY$317))</f>
        <v>4</v>
      </c>
      <c r="JV52">
        <f>SUMPRODUCT(--('Данные 2st'!$Q$2:$Q$317=$A52),--ISNUMBER('Данные 2st'!$AZ$2:$AZ$317))</f>
        <v>4</v>
      </c>
      <c r="JW52">
        <f>SUMPRODUCT(--('Данные 2st'!$Q$2:$Q$317=$A52),--ISNUMBER('Данные 2st'!$BA$2:$BA$317))</f>
        <v>0</v>
      </c>
      <c r="JX52">
        <f>SUMPRODUCT(--('Данные 2st'!$Q$2:$Q$317=$A52),--ISNUMBER('Данные 2st'!$BB$2:$BB$317))</f>
        <v>1</v>
      </c>
      <c r="JY52">
        <f>SUMPRODUCT(--('Данные 2st'!$Q$2:$Q$317=$A52),--ISNUMBER('Данные 2st'!$BC$2:$BC$317))</f>
        <v>0</v>
      </c>
      <c r="JZ52">
        <f>SUMPRODUCT(--('Данные 2st'!$Q$2:$Q$317=$A52),--ISNUMBER('Данные 2st'!$BH$2:$BH$317))</f>
        <v>4</v>
      </c>
      <c r="KA52">
        <f>SUMPRODUCT(--('Данные 2st'!$Q$2:$Q$317=$A52),--ISNUMBER('Данные 2st'!$BI$2:$BI$317))</f>
        <v>4</v>
      </c>
      <c r="KB52">
        <f>SUMPRODUCT(--('Данные 2st'!$Q$2:$Q$317=$A52),--ISNUMBER('Данные 2st'!$BJ$2:$BJ$317))</f>
        <v>4</v>
      </c>
      <c r="KC52">
        <f>SUMPRODUCT(--('Данные 2st'!$Q$2:$Q$317=$A52),--ISNUMBER('Данные 2st'!$BK$2:$BK$317))</f>
        <v>4</v>
      </c>
      <c r="KD52">
        <f>SUMPRODUCT(--('Данные 2st'!$Q$2:$Q$317=$A52),--ISNUMBER('Данные 2st'!$BL$2:$BL$317))</f>
        <v>4</v>
      </c>
      <c r="KE52">
        <f>SUMPRODUCT(--('Данные 2st'!$Q$2:$Q$317=$A52),--ISNUMBER('Данные 2st'!$BM$2:$BM$317))</f>
        <v>4</v>
      </c>
      <c r="KF52">
        <f>SUMPRODUCT(--('Данные 2st'!$Q$2:$Q$317=$A52),--ISNUMBER('Данные 2st'!$BN$2:$BN$317))</f>
        <v>4</v>
      </c>
      <c r="KG52">
        <f>SUMPRODUCT(--('Данные 2st'!$Q$2:$Q$317=$A52),--ISNUMBER('Данные 2st'!$BO$2:$BO$317))</f>
        <v>1</v>
      </c>
      <c r="KH52">
        <f>SUMPRODUCT(--('Данные 2st'!$Q$2:$Q$317=$A52),--ISNUMBER('Данные 2st'!$BP$2:$BP$317))</f>
        <v>4</v>
      </c>
      <c r="KI52">
        <f>SUMPRODUCT(--('Данные 2st'!$Q$2:$Q$317=$A52),--ISNUMBER('Данные 2st'!$BR$2:$BR$317))</f>
        <v>4</v>
      </c>
      <c r="KJ52">
        <f>SUMPRODUCT(--('Данные 2st'!$Q$2:$Q$317=$A52),--ISNUMBER('Данные 2st'!$BS$2:$BS$317))</f>
        <v>4</v>
      </c>
      <c r="KK52">
        <f>SUMPRODUCT(--('Данные 2st'!$Q$2:$Q$317=$A52),--ISNUMBER('Данные 2st'!$BT$2:$BT$317))</f>
        <v>4</v>
      </c>
      <c r="KL52">
        <f>SUMPRODUCT(--('Данные 2st'!$Q$2:$Q$317=$A52),--ISNUMBER('Данные 2st'!$CV$2:$CV$317))</f>
        <v>4</v>
      </c>
      <c r="KM52">
        <f>SUMPRODUCT(--('Данные 2st'!$Q$2:$Q$317=$A52),--ISNUMBER('Данные 2st'!$CW$2:$CW$317))</f>
        <v>4</v>
      </c>
      <c r="KN52">
        <f>SUMPRODUCT(--('Данные 2st'!$Q$2:$Q$317=$A52),--ISNUMBER('Данные 2st'!$CX$2:$CX$317))</f>
        <v>4</v>
      </c>
      <c r="KO52">
        <f>SUMPRODUCT(--('Данные 2st'!$Q$2:$Q$317=$A52),--ISNUMBER('Данные 2st'!$CY$2:$CY$317))</f>
        <v>4</v>
      </c>
      <c r="KP52">
        <f>SUMPRODUCT(--('Данные 2st'!$Q$2:$Q$317=$A52),--ISNUMBER('Данные 2st'!$CZ$2:$CZ$317))</f>
        <v>4</v>
      </c>
      <c r="KQ52">
        <f>SUMPRODUCT(--('Данные 2st'!$Q$2:$Q$317=$A52),--ISNUMBER('Данные 2st'!$DA$2:$DA$317))</f>
        <v>4</v>
      </c>
      <c r="KR52">
        <f>SUMPRODUCT(--('Данные 2st'!$Q$2:$Q$317=$A52),--ISNUMBER('Данные 2st'!$DB$2:$DB$317))</f>
        <v>4</v>
      </c>
      <c r="KS52">
        <f>SUMPRODUCT(--('Данные 2st'!$Q$2:$Q$317=$A52),--ISNUMBER('Данные 2st'!$DC$2:$DC$317))</f>
        <v>4</v>
      </c>
      <c r="KT52">
        <f>SUMPRODUCT(--('Данные 2st'!$Q$2:$Q$317=$A52),--ISNUMBER('Данные 2st'!$DD$2:$DD$317))</f>
        <v>4</v>
      </c>
      <c r="KU52">
        <f>SUMPRODUCT(--('Данные 2st'!$Q$2:$Q$317=$A52),--ISNUMBER('Данные 2st'!$DE$2:$DE$317))</f>
        <v>4</v>
      </c>
      <c r="KV52">
        <f>SUMPRODUCT(--('Данные 2st'!$Q$2:$Q$317=$A52),--ISNUMBER('Данные 2st'!$DF$2:$DF$317))</f>
        <v>4</v>
      </c>
      <c r="KW52">
        <f>SUMPRODUCT(--('Данные 2st'!$Q$2:$Q$317=$A52),--ISNUMBER('Данные 2st'!$DG$2:$DG$317))</f>
        <v>4</v>
      </c>
      <c r="KX52">
        <f>SUMPRODUCT(--('Данные 2st'!$Q$2:$Q$317=$A52),--ISNUMBER('Данные 2st'!$DH$2:$DH$317))</f>
        <v>1</v>
      </c>
      <c r="KY52">
        <f>SUMPRODUCT(--('Данные 2st'!$Q$2:$Q$317=$A52),--ISNUMBER('Данные 2st'!$DI$2:$DI$317))</f>
        <v>0</v>
      </c>
      <c r="KZ52">
        <f>SUMPRODUCT(--('Данные 2st'!$Q$2:$Q$317=$A52),--ISNUMBER('Данные 2st'!$DK$2:$DK$317))</f>
        <v>4</v>
      </c>
      <c r="LA52">
        <f>SUMPRODUCT(--('Данные 2st'!$Q$2:$Q$317=$A52),--ISNUMBER('Данные 2st'!$DM$2:$DM$317))</f>
        <v>4</v>
      </c>
      <c r="LB52">
        <f>SUMPRODUCT(--('Данные 2st'!$Q$2:$Q$317=$A52),--ISNUMBER('Данные 2st'!$DN$2:$DN$317))</f>
        <v>4</v>
      </c>
      <c r="LC52">
        <f>SUMPRODUCT(--('Данные 2st'!$Q$2:$Q$317=$A52),--ISNUMBER('Данные 2st'!$DO$2:$DO$317))</f>
        <v>4</v>
      </c>
      <c r="LD52">
        <f>SUMPRODUCT(--('Данные 2st'!$Q$2:$Q$317=$A52),--ISNUMBER('Данные 2st'!$DP$2:$DP$317))</f>
        <v>4</v>
      </c>
      <c r="LE52">
        <f>SUMPRODUCT(--('Данные 2st'!$Q$2:$Q$317=$A52),--ISNUMBER('Данные 2st'!$DQ$2:$DQ$317))</f>
        <v>4</v>
      </c>
      <c r="LF52">
        <f>SUMPRODUCT(--('Данные 2st'!$Q$2:$Q$317=$A52),--ISNUMBER('Данные 2st'!$DS$2:$DS$317))</f>
        <v>4</v>
      </c>
      <c r="LG52">
        <f>SUMPRODUCT(--('Данные 2st'!$Q$2:$Q$317=$A52),--ISNUMBER('Данные 2st'!$DU$2:$DU$317))</f>
        <v>4</v>
      </c>
      <c r="LH52">
        <f>SUMPRODUCT(--('Данные 2st'!$Q$2:$Q$317=$A52),--ISNUMBER('Данные 2st'!$DV$2:$DV$317))</f>
        <v>4</v>
      </c>
      <c r="LI52">
        <f>SUMPRODUCT(--('Данные 2st'!$Q$2:$Q$317=$A52),--ISNUMBER('Данные 2st'!$DW$2:$DW$317))</f>
        <v>4</v>
      </c>
      <c r="LJ52">
        <f>SUMPRODUCT(--('Данные 2st'!$Q$2:$Q$317=$A52),--ISNUMBER('Данные 2st'!$DX$2:$DX$317))</f>
        <v>4</v>
      </c>
      <c r="LK52">
        <f>SUMPRODUCT(--('Данные 2st'!$Q$2:$Q$317=$A52),--ISNUMBER('Данные 2st'!$DY$2:$DY$317))</f>
        <v>4</v>
      </c>
      <c r="LL52">
        <f>SUMPRODUCT(--('Данные 2st'!$Q$2:$Q$317=$A52),--ISNUMBER('Данные 2st'!$EA$2:$EA$317))</f>
        <v>4</v>
      </c>
      <c r="LM52">
        <f>SUMPRODUCT(--('Данные 2st'!$Q$2:$Q$317=$A52),--ISNUMBER('Данные 2st'!$EC$2:$EC$317))</f>
        <v>4</v>
      </c>
      <c r="LN52">
        <f>SUMPRODUCT(--('Данные 2st'!$Q$2:$Q$317=$A52),--ISNUMBER('Данные 2st'!$ED$2:$ED$317))</f>
        <v>4</v>
      </c>
      <c r="LO52">
        <f>SUMPRODUCT(--('Данные 2st'!$Q$2:$Q$317=$A52),--ISNUMBER('Данные 2st'!$EE$2:$EE$317))</f>
        <v>4</v>
      </c>
      <c r="LP52">
        <f>SUMPRODUCT(--('Данные 2st'!$Q$2:$Q$317=$A52),--ISNUMBER('Данные 2st'!$EG$2:$EG$317))</f>
        <v>4</v>
      </c>
      <c r="LQ52">
        <f>SUMPRODUCT(--('Данные 2st'!$Q$2:$Q$317=$A52),--ISNUMBER('Данные 2st'!$EI$2:$EI$317))</f>
        <v>4</v>
      </c>
      <c r="LR52">
        <f>SUMPRODUCT(--('Данные 2st'!$Q$2:$Q$317=$A52),--ISNUMBER('Данные 2st'!$EJ$2:$EJ$317))</f>
        <v>0</v>
      </c>
      <c r="LS52">
        <f>SUMPRODUCT(--('Данные 2st'!$Q$2:$Q$317=$A52),--ISNUMBER('Данные 2st'!$EK$2:$EK$317))</f>
        <v>0</v>
      </c>
      <c r="LT52">
        <f>SUMPRODUCT(--('Данные 2st'!$Q$2:$Q$317=$A52),--ISNUMBER('Данные 2st'!$EM$2:$EM$317))</f>
        <v>4</v>
      </c>
      <c r="LU52">
        <f>SUMPRODUCT(--('Данные 2st'!$Q$2:$Q$317=$A52),--ISNUMBER('Данные 2st'!$EN$2:$EN$317))</f>
        <v>4</v>
      </c>
      <c r="LV52">
        <f>SUMPRODUCT(--('Данные 2st'!$Q$2:$Q$317=$A52),--ISNUMBER('Данные 2st'!$EO$2:$EO$317))</f>
        <v>4</v>
      </c>
      <c r="LW52">
        <f>SUMPRODUCT(--('Данные 2st'!$Q$2:$Q$317=$A52),--ISNUMBER('Данные 2st'!$EP$2:$EP$317))</f>
        <v>4</v>
      </c>
      <c r="LX52">
        <f>SUMPRODUCT(--('Данные 2st'!$Q$2:$Q$317=$A52),--ISNUMBER('Данные 2st'!$EQ$2:$EQ$317))</f>
        <v>4</v>
      </c>
      <c r="LY52">
        <f>SUMPRODUCT(--('Данные 2st'!$Q$2:$Q$317=$A52),--ISNUMBER('Данные 2st'!$ER$2:$ER$317))</f>
        <v>4</v>
      </c>
      <c r="LZ52">
        <f>SUMPRODUCT(--('Данные 2st'!$Q$2:$Q$317=$A52),--ISNUMBER('Данные 2st'!$ES$2:$ES$317))</f>
        <v>4</v>
      </c>
      <c r="MA52">
        <f>SUMPRODUCT(--('Данные 2st'!$Q$2:$Q$317=$A52),--ISNUMBER('Данные 2st'!$ET$2:$ET$317))</f>
        <v>4</v>
      </c>
      <c r="MB52">
        <f>SUMPRODUCT(--('Данные 2st'!$Q$2:$Q$317=$A52),--ISNUMBER('Данные 2st'!$EU$2:$EU$317))</f>
        <v>4</v>
      </c>
      <c r="MC52">
        <f>SUMPRODUCT(--('Данные 2st'!$Q$2:$Q$317=$A52),--ISNUMBER('Данные 2st'!$EV$2:$EV$317))</f>
        <v>4</v>
      </c>
      <c r="MD52">
        <f>SUMPRODUCT(--('Данные 2st'!$Q$2:$Q$317=$A52),--ISNUMBER('Данные 2st'!$EW$2:$EW$317))</f>
        <v>4</v>
      </c>
      <c r="ME52">
        <f>SUMPRODUCT(--('Данные 2st'!$Q$2:$Q$317=$A52),--ISNUMBER('Данные 2st'!$EY$2:$EY$317))</f>
        <v>4</v>
      </c>
      <c r="MF52">
        <f>SUMPRODUCT(--('Данные 2st'!$Q$2:$Q$317=$A52),--ISNUMBER('Данные 2st'!$FA$2:$FA$317))</f>
        <v>4</v>
      </c>
      <c r="MG52">
        <f>SUMPRODUCT(--('Данные 2st'!$Q$2:$Q$317=$A52),--ISNUMBER('Данные 2st'!$FB$2:$FB$317))</f>
        <v>4</v>
      </c>
      <c r="MH52">
        <f>SUMPRODUCT(--('Данные 2st'!$Q$2:$Q$317=$A52),--ISNUMBER('Данные 2st'!$FC$2:$FC$317))</f>
        <v>4</v>
      </c>
      <c r="MI52">
        <f>SUMPRODUCT(--('Данные 2st'!$Q$2:$Q$317=$A52),--ISNUMBER('Данные 2st'!$FD$2:$FD$317))</f>
        <v>4</v>
      </c>
      <c r="MJ52">
        <f>SUMPRODUCT(--('Данные 2st'!$Q$2:$Q$317=$A52),--ISNUMBER('Данные 2st'!$FE$2:$FE$317))</f>
        <v>4</v>
      </c>
      <c r="MK52">
        <f>SUMPRODUCT(--('Данные 2st'!$Q$2:$Q$317=$A52),--ISNUMBER('Данные 2st'!$FG$2:$FG$317))</f>
        <v>4</v>
      </c>
      <c r="ML52">
        <f>SUMPRODUCT(--('Данные 2st'!$Q$2:$Q$317=$A52),--ISNUMBER('Данные 2st'!$FI$2:$FI$317))</f>
        <v>4</v>
      </c>
      <c r="MM52">
        <f>SUMPRODUCT(--('Данные 2st'!$Q$2:$Q$317=$A52),--ISNUMBER('Данные 2st'!$FJ$2:$FJ$317))</f>
        <v>4</v>
      </c>
      <c r="MN52">
        <f>SUMPRODUCT(--('Данные 2st'!$Q$2:$Q$317=$A52),--ISNUMBER('Данные 2st'!$FK$2:$FK$317))</f>
        <v>4</v>
      </c>
      <c r="MO52">
        <f>SUMPRODUCT(--('Данные 2st'!$Q$2:$Q$317=$A52),--ISNUMBER('Данные 2st'!$FP$2:$FP$317))</f>
        <v>4</v>
      </c>
      <c r="MP52">
        <f>SUMPRODUCT(--('Данные 2st'!$Q$2:$Q$317=$A52),--ISNUMBER('Данные 2st'!$FQ$2:$FQ$317))</f>
        <v>4</v>
      </c>
      <c r="MQ52">
        <f>SUMPRODUCT(--('Данные 2st'!$Q$2:$Q$317=$A52),--ISNUMBER('Данные 2st'!$FS$2:$FS$317))</f>
        <v>4</v>
      </c>
      <c r="MR52">
        <f>SUMPRODUCT(--('Данные 2st'!$Q$2:$Q$317=$A52),--ISNUMBER('Данные 2st'!$FU$2:$FU$317))</f>
        <v>4</v>
      </c>
      <c r="MS52">
        <f>SUMPRODUCT(--('Данные 2st'!$Q$2:$Q$317=$A52),--ISNUMBER('Данные 2st'!$FV$2:$FV$317))</f>
        <v>4</v>
      </c>
      <c r="MT52">
        <f>SUMPRODUCT(--('Данные 2st'!$Q$2:$Q$317=$A52),--ISNUMBER('Данные 2st'!$FW$2:$FW$317))</f>
        <v>4</v>
      </c>
      <c r="MU52">
        <f>SUMPRODUCT(--('Данные 2st'!$Q$2:$Q$317=$A52),--ISNUMBER('Данные 2st'!$FY$2:$FY$317))</f>
        <v>3</v>
      </c>
      <c r="MV52">
        <f>SUMPRODUCT(--('Данные 2st'!$Q$2:$Q$317=$A52),--ISNUMBER('Данные 2st'!$GB$2:$GB$317))</f>
        <v>3</v>
      </c>
      <c r="MW52">
        <f>SUMPRODUCT(--('Данные 2st'!$Q$2:$Q$317=$A52),--ISNUMBER('Данные 2st'!$GC$2:$GC$317))</f>
        <v>3</v>
      </c>
      <c r="MX52">
        <f>SUMPRODUCT(--('Данные 2st'!$Q$2:$Q$317=$A52),--ISNUMBER('Данные 2st'!$GD$2:$GD$317))</f>
        <v>4</v>
      </c>
      <c r="MY52">
        <f>SUMPRODUCT(--('Данные 2st'!$Q$2:$Q$317=$A52),--ISNUMBER('Данные 2st'!$GN$2:$GN$317))</f>
        <v>0</v>
      </c>
      <c r="MZ52">
        <f>SUMPRODUCT(--('Данные 2st'!$Q$2:$Q$317=$A52),--ISNUMBER('Данные 2st'!$GQ$2:$GQ$317))</f>
        <v>4</v>
      </c>
      <c r="NA52">
        <f>SUMPRODUCT(--('Данные 2st'!$Q$2:$Q$317=$A52),--ISNUMBER('Данные 2st'!$GV$2:$GV$317))</f>
        <v>4</v>
      </c>
      <c r="NB52">
        <f>SUMPRODUCT(--('Данные 2st'!$Q$2:$Q$317=$A52),--ISNUMBER('Данные 2st'!$GW$2:$GW$317))</f>
        <v>4</v>
      </c>
      <c r="NC52">
        <f>SUMPRODUCT(--('Данные 2st'!$Q$2:$Q$317=$A52),--ISNUMBER('Данные 2st'!$GX$2:$GX$317))</f>
        <v>4</v>
      </c>
      <c r="ND52">
        <f>SUMPRODUCT(--('Данные 2st'!$Q$2:$Q$317=$A52),--ISNUMBER('Данные 2st'!$GY$2:$GY$317))</f>
        <v>4</v>
      </c>
      <c r="NE52">
        <f>SUMPRODUCT(--('Данные 2st'!$Q$2:$Q$317=$A52),--ISNUMBER('Данные 2st'!$GZ$2:$GZ$317))</f>
        <v>4</v>
      </c>
      <c r="NF52">
        <f>SUMPRODUCT(--('Данные 2st'!$Q$2:$Q$317=$A52),--ISNUMBER('Данные 2st'!$HA$2:$HA$317))</f>
        <v>4</v>
      </c>
      <c r="NG52">
        <f>SUMPRODUCT(--('Данные 2st'!$Q$2:$Q$317=$A52),--ISNUMBER('Данные 2st'!$HB$2:$HB$317))</f>
        <v>4</v>
      </c>
      <c r="NH52">
        <f>SUMPRODUCT(--('Данные 2st'!$Q$2:$Q$317=$A52),--ISNUMBER('Данные 2st'!$HC$2:$HC$317))</f>
        <v>4</v>
      </c>
      <c r="NI52">
        <f>SUMPRODUCT(--('Данные 2st'!$Q$2:$Q$317=$A52),--ISNUMBER('Данные 2st'!$HD$2:$HD$317))</f>
        <v>4</v>
      </c>
      <c r="NJ52">
        <f>SUMPRODUCT(--('Данные 2st'!$Q$2:$Q$317=$A52),--ISNUMBER('Данные 2st'!$HM$2:$HM$317))</f>
        <v>4</v>
      </c>
      <c r="NK52">
        <f>SUMPRODUCT(--('Данные 2st'!$Q$2:$Q$317=$A52),--ISNUMBER('Данные 2st'!$HR$2:$HR$317))</f>
        <v>4</v>
      </c>
      <c r="NL52">
        <f>SUMPRODUCT(--('Данные 2st'!$Q$2:$Q$317=$A52),--ISNUMBER('Данные 2st'!$HS$2:$HS$317))</f>
        <v>4</v>
      </c>
      <c r="NM52">
        <f>SUMPRODUCT(--('Данные 2st'!$Q$2:$Q$317=$A52),--ISNUMBER('Данные 2st'!$HT$2:$HT$317))</f>
        <v>4</v>
      </c>
      <c r="NN52">
        <f>SUMPRODUCT(--('Данные 2st'!$Q$2:$Q$317=$A52),--ISNUMBER('Данные 2st'!$HY$2:$HY$317))</f>
        <v>4</v>
      </c>
      <c r="NO52">
        <f>SUMPRODUCT(--('Данные 2st'!$Q$2:$Q$317=$A52),--ISNUMBER('Данные 2st'!$HZ$2:$HZ$317))</f>
        <v>4</v>
      </c>
      <c r="NP52">
        <f>SUMPRODUCT(--('Данные 2st'!$Q$2:$Q$317=$A52),--ISNUMBER('Данные 2st'!$IA$2:$IA$317))</f>
        <v>4</v>
      </c>
      <c r="NQ52">
        <f>SUMPRODUCT(--('Данные 2st'!$Q$2:$Q$317=$A52),--ISNUMBER('Данные 2st'!$IB$2:$IB$317))</f>
        <v>4</v>
      </c>
      <c r="NR52">
        <f>SUMPRODUCT(--('Данные 2st'!$Q$2:$Q$317=$A52),--ISNUMBER('Данные 2st'!$IC$2:$IC$317))</f>
        <v>0</v>
      </c>
      <c r="NS52">
        <f>SUMPRODUCT(--('Данные 2st'!$Q$2:$Q$317=$A52),--ISNUMBER('Данные 2st'!$ID$2:$ID$317))</f>
        <v>4</v>
      </c>
      <c r="NT52">
        <f>SUMPRODUCT(--('Данные 2st'!$Q$2:$Q$317=$A52),--ISNUMBER('Данные 2st'!$IE$2:$IE$317))</f>
        <v>4</v>
      </c>
      <c r="NU52">
        <f>SUMPRODUCT(--('Данные 2st'!$Q$2:$Q$317=$A52),--ISNUMBER('Данные 2st'!$IF$2:$IF$317))</f>
        <v>4</v>
      </c>
      <c r="NV52">
        <f>SUMPRODUCT(--('Данные 2st'!$Q$2:$Q$317=$A52),--ISNUMBER('Данные 2st'!$IG$2:$IG$317))</f>
        <v>4</v>
      </c>
      <c r="NW52">
        <f>SUMPRODUCT(--('Данные 2st'!$Q$2:$Q$317=$A52),--ISNUMBER('Данные 2st'!$IH$2:$IH$317))</f>
        <v>4</v>
      </c>
      <c r="NX52">
        <f>SUMPRODUCT(--('Данные 2st'!$Q$2:$Q$317=$A52),--ISNUMBER('Данные 2st'!$IJ$2:$IJ$317))</f>
        <v>4</v>
      </c>
      <c r="NY52">
        <f>SUMPRODUCT(--('Данные 2st'!$Q$2:$Q$317=$A52),--ISNUMBER('Данные 2st'!$IM$2:$IM$317))</f>
        <v>4</v>
      </c>
      <c r="NZ52">
        <f>SUMPRODUCT(--('Данные 2st'!$Q$2:$Q$317=$A52),--ISNUMBER('Данные 2st'!$IN$2:$IN$317))</f>
        <v>4</v>
      </c>
      <c r="OA52">
        <f>SUMPRODUCT(--('Данные 2st'!$Q$2:$Q$317=$A52),--ISNUMBER('Данные 2st'!$IO$2:$IO$317))</f>
        <v>4</v>
      </c>
      <c r="OB52">
        <f>SUMPRODUCT(--('Данные 2st'!$Q$2:$Q$317=$A52),--ISNUMBER('Данные 2st'!$IP$2:$IP$317))</f>
        <v>4</v>
      </c>
      <c r="OC52">
        <f>SUMPRODUCT(--('Данные 2st'!$Q$2:$Q$317=$A52),--ISNUMBER('Данные 2st'!$IQ$2:$IQ$317))</f>
        <v>4</v>
      </c>
      <c r="OD52">
        <f>SUMPRODUCT(--('Данные 2st'!$Q$2:$Q$317=$A52),--ISNUMBER('Данные 2st'!$IR$2:$IR$317))</f>
        <v>4</v>
      </c>
      <c r="OE52">
        <f>SUMPRODUCT(--('Данные 2st'!$Q$2:$Q$317=$A52),--ISNUMBER('Данные 2st'!$IT$2:$IT$317))</f>
        <v>4</v>
      </c>
      <c r="OF52">
        <f>SUMPRODUCT(--('Данные 2st'!$Q$2:$Q$317=$A52),--ISNUMBER('Данные 2st'!$IU$2:$IU$317))</f>
        <v>4</v>
      </c>
      <c r="OG52">
        <f>SUMPRODUCT(--('Данные 2st'!$Q$2:$Q$317=$A52),--ISNUMBER('Данные 2st'!$IV$2:$IV$317))</f>
        <v>4</v>
      </c>
      <c r="OH52">
        <f>SUMPRODUCT(--('Данные 2st'!$Q$2:$Q$317=$A52),--ISNUMBER('Данные 2st'!$IW$2:$IW$317))</f>
        <v>4</v>
      </c>
      <c r="OI52">
        <f>SUMPRODUCT(--('Данные 2st'!$Q$2:$Q$317=$A52),--ISNUMBER('Данные 2st'!$IX$2:$IX$317))</f>
        <v>4</v>
      </c>
      <c r="OJ52">
        <f>SUMPRODUCT(--('Данные 2st'!$Q$2:$Q$317=$A52),--ISNUMBER('Данные 2st'!$IY$2:$IY$317))</f>
        <v>4</v>
      </c>
      <c r="OK52">
        <f>SUMPRODUCT(--('Данные 2st'!$Q$2:$Q$317=$A52),--ISNUMBER('Данные 2st'!$IZ$2:$IZ$317))</f>
        <v>4</v>
      </c>
      <c r="OL52">
        <f>SUMPRODUCT(--('Данные 2st'!$Q$2:$Q$317=$A52),--ISNUMBER('Данные 2st'!$JA$2:$JA$317))</f>
        <v>4</v>
      </c>
      <c r="OM52">
        <f>SUMPRODUCT(--('Данные 2st'!$Q$2:$Q$317=$A52),--ISNUMBER('Данные 2st'!$JB$2:$JB$317))</f>
        <v>4</v>
      </c>
      <c r="ON52">
        <f>SUMPRODUCT(--('Данные 2st'!$Q$2:$Q$317=$A52),--ISNUMBER('Данные 2st'!$JC$2:$JC$317))</f>
        <v>4</v>
      </c>
      <c r="OO52">
        <f>SUMPRODUCT(--('Данные 2st'!$Q$2:$Q$317=$A52),--ISNUMBER('Данные 2st'!$JD$2:$JD$317))</f>
        <v>4</v>
      </c>
      <c r="OP52">
        <f>SUMPRODUCT(--('Данные 2st'!$Q$2:$Q$317=$A52),--ISNUMBER('Данные 2st'!$JE$2:$JE$317))</f>
        <v>4</v>
      </c>
      <c r="OQ52">
        <f>SUMPRODUCT(--('Данные 2st'!$Q$2:$Q$317=$A52),--ISNUMBER('Данные 2st'!$JF$2:$JF$317))</f>
        <v>4</v>
      </c>
      <c r="OR52">
        <f>SUMPRODUCT(--('Данные 2st'!$Q$2:$Q$317=$A52),--ISNUMBER('Данные 2st'!$JG$2:$JG$317))</f>
        <v>4</v>
      </c>
      <c r="OS52">
        <f>SUMPRODUCT(--('Данные 2st'!$Q$2:$Q$317=$A52),--ISNUMBER('Данные 2st'!$JH$2:$JH$317))</f>
        <v>4</v>
      </c>
      <c r="OT52">
        <f>SUMPRODUCT(--('Данные 2st'!$Q$2:$Q$317=$A52),--ISNUMBER('Данные 2st'!$JI$2:$JI$317))</f>
        <v>4</v>
      </c>
      <c r="OU52">
        <f>SUMPRODUCT(--('Данные 2st'!$Q$2:$Q$317=$A52),--ISNUMBER('Данные 2st'!$JJ$2:$JJ$317))</f>
        <v>4</v>
      </c>
      <c r="OV52">
        <f>SUMPRODUCT(--('Данные 2st'!$Q$2:$Q$317=$A52),--ISNUMBER('Данные 2st'!$JK$2:$JK$317))</f>
        <v>4</v>
      </c>
      <c r="OW52">
        <f>SUMPRODUCT(--('Данные 2st'!$Q$2:$Q$317=$A52),--ISNUMBER('Данные 2st'!$JL$2:$JL$317))</f>
        <v>4</v>
      </c>
      <c r="OX52">
        <f>SUMPRODUCT(--('Данные 2st'!$Q$2:$Q$317=$A52),--ISNUMBER('Данные 2st'!$JM$2:$JM$317))</f>
        <v>4</v>
      </c>
      <c r="OY52">
        <f>SUMPRODUCT(--('Данные 2st'!$Q$2:$Q$317=$A52),--ISNUMBER('Данные 2st'!$JP$2:$JP$317))</f>
        <v>4</v>
      </c>
      <c r="OZ52">
        <f>SUMPRODUCT(--('Данные 2st'!$Q$2:$Q$317=$A52),--ISNUMBER('Данные 2st'!$JQ$2:$JQ$317))</f>
        <v>4</v>
      </c>
      <c r="PA52">
        <f>SUMPRODUCT(--('Данные 2st'!$Q$2:$Q$317=$A52),--ISNUMBER('Данные 2st'!$JR$2:$JR$317))</f>
        <v>4</v>
      </c>
      <c r="PB52">
        <f>SUMPRODUCT(--('Данные 2st'!$Q$2:$Q$317=$A52),--ISNUMBER('Данные 2st'!$JS$2:$JS$317))</f>
        <v>4</v>
      </c>
      <c r="PC52">
        <f>SUMPRODUCT(--('Данные 2st'!$Q$2:$Q$317=$A52),--ISNUMBER('Данные 2st'!$JT$2:$JT$317))</f>
        <v>4</v>
      </c>
      <c r="PD52">
        <f>SUMPRODUCT(--('Данные 2st'!$Q$2:$Q$317=$A52),--ISNUMBER('Данные 2st'!$JU$2:$JU$317))</f>
        <v>4</v>
      </c>
      <c r="PE52">
        <f>SUMPRODUCT(--('Данные 2st'!$Q$2:$Q$317=$A52),--ISNUMBER('Данные 2st'!$JV$2:$JV$317))</f>
        <v>4</v>
      </c>
      <c r="PF52">
        <f>SUMPRODUCT(--('Данные 2st'!$Q$2:$Q$317=$A52),--ISNUMBER('Данные 2st'!$JW$2:$JW$317))</f>
        <v>4</v>
      </c>
      <c r="PG52">
        <f>SUMPRODUCT(--('Данные 2st'!$Q$2:$Q$317=$A52),--ISNUMBER('Данные 2st'!$KF$2:$KF$317))</f>
        <v>4</v>
      </c>
      <c r="PH52">
        <f>SUMPRODUCT(--('Данные 2st'!$Q$2:$Q$317=$A52),--ISNUMBER('Данные 2st'!$KG$2:$KG$317))</f>
        <v>4</v>
      </c>
      <c r="PI52">
        <f>SUMPRODUCT(--('Данные 2st'!$Q$2:$Q$317=$A52),--ISNUMBER('Данные 2st'!$KM$2:$KM$317))</f>
        <v>4</v>
      </c>
      <c r="PJ52">
        <f>SUMPRODUCT(--('Данные 2st'!$Q$2:$Q$317=$A52),--ISNUMBER('Данные 2st'!$KN$2:$KN$317))</f>
        <v>4</v>
      </c>
      <c r="PK52">
        <f>SUMPRODUCT(--('Данные 2st'!$Q$2:$Q$317=$A52),--ISNUMBER('Данные 2st'!$KO$2:$KO$317))</f>
        <v>4</v>
      </c>
      <c r="PL52">
        <f>SUMPRODUCT(--('Данные 2st'!$Q$2:$Q$317=$A52),--ISNUMBER('Данные 2st'!$KP$2:$KP$317))</f>
        <v>4</v>
      </c>
      <c r="PM52">
        <f>SUMPRODUCT(--('Данные 2st'!$Q$2:$Q$317=$A52),--ISNUMBER('Данные 2st'!$KQ$2:$KQ$317))</f>
        <v>4</v>
      </c>
      <c r="PN52">
        <f>SUMPRODUCT(--('Данные 2st'!$Q$2:$Q$317=$A52),--ISNUMBER('Данные 2st'!$KR$2:$KR$317))</f>
        <v>4</v>
      </c>
      <c r="PO52">
        <f>SUMPRODUCT(--('Данные 2st'!$Q$2:$Q$317=$A52),--ISNUMBER('Данные 2st'!$KS$2:$KS$317))</f>
        <v>4</v>
      </c>
      <c r="PP52">
        <f>SUMPRODUCT(--('Данные 2st'!$Q$2:$Q$317=$A52),--ISNUMBER('Данные 2st'!$KT$2:$KT$317))</f>
        <v>4</v>
      </c>
      <c r="PQ52">
        <f>SUMPRODUCT(--('Данные 2st'!$Q$2:$Q$317=$A52),--ISNUMBER('Данные 2st'!$KU$2:$KU$317))</f>
        <v>4</v>
      </c>
      <c r="PR52">
        <f>SUMPRODUCT(--('Данные 2st'!$Q$2:$Q$317=$A52),--ISNUMBER('Данные 2st'!$KV$2:$KV$317))</f>
        <v>4</v>
      </c>
      <c r="PS52">
        <f>SUMPRODUCT(--('Данные 2st'!$Q$2:$Q$317=$A52),--ISNUMBER('Данные 2st'!$KW$2:$KW$317))</f>
        <v>4</v>
      </c>
      <c r="PT52">
        <f>SUMPRODUCT(--('Данные 2st'!$Q$2:$Q$317=$A52),--ISNUMBER('Данные 2st'!$KX$2:$KX$317))</f>
        <v>4</v>
      </c>
      <c r="PU52">
        <f>SUMPRODUCT(--('Данные 2st'!$Q$2:$Q$317=$A52),--ISNUMBER('Данные 2st'!$KY$2:$KY$317))</f>
        <v>4</v>
      </c>
      <c r="PV52">
        <f>SUMPRODUCT(--('Данные 2st'!$Q$2:$Q$317=$A52),--ISNUMBER('Данные 2st'!$KZ$2:$KZ$317))</f>
        <v>4</v>
      </c>
      <c r="PW52">
        <f>SUMPRODUCT(--('Данные 2st'!$Q$2:$Q$317=$A52),--ISNUMBER('Данные 2st'!$LA$2:$LA$317))</f>
        <v>4</v>
      </c>
      <c r="PX52">
        <f>SUMPRODUCT(--('Данные 2st'!$Q$2:$Q$317=$A52),--ISNUMBER('Данные 2st'!$LB$2:$LB$317))</f>
        <v>4</v>
      </c>
      <c r="PY52">
        <f>SUMPRODUCT(--('Данные 2st'!$Q$2:$Q$317=$A52),--ISNUMBER('Данные 2st'!$LC$2:$LC$317))</f>
        <v>4</v>
      </c>
      <c r="PZ52">
        <f>SUMPRODUCT(--('Данные 2st'!$Q$2:$Q$317=$A52),--ISNUMBER('Данные 2st'!$LD$2:$LD$317))</f>
        <v>4</v>
      </c>
      <c r="QA52">
        <f>SUMPRODUCT(--('Данные 2st'!$Q$2:$Q$317=$A52),--ISNUMBER('Данные 2st'!$LE$2:$LE$317))</f>
        <v>4</v>
      </c>
      <c r="QB52">
        <f>SUMPRODUCT(--('Данные 2st'!$Q$2:$Q$317=$A52),--ISNUMBER('Данные 2st'!$LF$2:$LF$317))</f>
        <v>4</v>
      </c>
      <c r="QC52">
        <f>SUMPRODUCT(--('Данные 2st'!$Q$2:$Q$317=$A52),--ISNUMBER('Данные 2st'!$LG$2:$LG$317))</f>
        <v>4</v>
      </c>
      <c r="QD52">
        <f>SUMPRODUCT(--('Данные 2st'!$Q$2:$Q$317=$A52),--ISNUMBER('Данные 2st'!$LH$2:$LH$317))</f>
        <v>4</v>
      </c>
      <c r="QE52">
        <f>SUMPRODUCT(--('Данные 2st'!$Q$2:$Q$317=$A52),--ISNUMBER('Данные 2st'!$LJ$2:$LJ$317))</f>
        <v>4</v>
      </c>
      <c r="QF52">
        <f>SUMPRODUCT(--('Данные 2st'!$Q$2:$Q$317=$A52),--ISNUMBER('Данные 2st'!$LK$2:$LK$317))</f>
        <v>4</v>
      </c>
      <c r="QG52">
        <f>SUMPRODUCT(--('Данные 2st'!$Q$2:$Q$317=$A52),--ISNUMBER('Данные 2st'!$LL$2:$LL$317))</f>
        <v>4</v>
      </c>
      <c r="QH52">
        <f>SUMPRODUCT(--('Данные 2st'!$Q$2:$Q$317=$A52),--ISNUMBER('Данные 2st'!$LM$2:$LM$317))</f>
        <v>4</v>
      </c>
      <c r="QI52">
        <f>SUMPRODUCT(--('Данные 2st'!$Q$2:$Q$317=$A52),--ISNUMBER('Данные 2st'!$LN$2:$LN$317))</f>
        <v>4</v>
      </c>
      <c r="QJ52">
        <f>SUMPRODUCT(--('Данные 2st'!$Q$2:$Q$317=$A52),--ISNUMBER('Данные 2st'!$LO$2:$LO$317))</f>
        <v>4</v>
      </c>
      <c r="QK52">
        <f>SUMPRODUCT(--('Данные 2st'!$Q$2:$Q$317=$A52),--ISNUMBER('Данные 2st'!$LP$2:$LP$317))</f>
        <v>4</v>
      </c>
      <c r="QL52">
        <f>SUMPRODUCT(--('Данные 2st'!$Q$2:$Q$317=$A52),--ISNUMBER('Данные 2st'!$LQ$2:$LQ$317))</f>
        <v>4</v>
      </c>
      <c r="QM52">
        <f>SUMPRODUCT(--('Данные 2st'!$Q$2:$Q$317=$A52),--ISNUMBER('Данные 2st'!$LW$2:$LW$317))</f>
        <v>4</v>
      </c>
      <c r="QN52">
        <f>SUMPRODUCT(--('Данные 2st'!$Q$2:$Q$317=$A52),--ISNUMBER('Данные 2st'!$LX$2:$LX$317))</f>
        <v>4</v>
      </c>
      <c r="QO52">
        <f>SUMPRODUCT(--('Данные 2st'!$Q$2:$Q$317=$A52),--ISNUMBER('Данные 2st'!$LY$2:$LY$317))</f>
        <v>4</v>
      </c>
      <c r="QP52">
        <f>SUMPRODUCT(--('Данные 2st'!$Q$2:$Q$317=$A52),--ISNUMBER('Данные 2st'!$LZ$2:$LZ$317))</f>
        <v>4</v>
      </c>
      <c r="QQ52">
        <f>SUMPRODUCT(--('Данные 2st'!$Q$2:$Q$317=$A52),--ISNUMBER('Данные 2st'!$MB$2:$MB$317))</f>
        <v>4</v>
      </c>
      <c r="QR52">
        <f>SUMPRODUCT(--('Данные 2st'!$Q$2:$Q$317=$A52),--ISNUMBER('Данные 2st'!$MG$2:$MG$317))</f>
        <v>3</v>
      </c>
      <c r="QS52">
        <f>SUMPRODUCT(--('Данные 2st'!$Q$2:$Q$317=$A52),--ISNUMBER('Данные 2st'!$MH$2:$MH$317))</f>
        <v>3</v>
      </c>
      <c r="QT52">
        <f>SUMPRODUCT(--('Данные 2st'!$Q$2:$Q$317=$A52),--ISNUMBER('Данные 2st'!$MI$2:$MI$317))</f>
        <v>4</v>
      </c>
      <c r="QU52">
        <f>SUMPRODUCT(--('Данные 2st'!$Q$2:$Q$317=$A52),--ISNUMBER('Данные 2st'!$MJ$2:$MJ$317))</f>
        <v>4</v>
      </c>
      <c r="QV52">
        <f>SUMPRODUCT(--('Данные 2st'!$Q$2:$Q$317=$A52),--ISNUMBER('Данные 2st'!$MK$2:$MK$317))</f>
        <v>3</v>
      </c>
      <c r="QW52">
        <f>SUMPRODUCT(--('Данные 2st'!$Q$2:$Q$317=$A52),--ISNUMBER('Данные 2st'!$MM$2:$MM$317))</f>
        <v>4</v>
      </c>
      <c r="QX52">
        <f>SUMPRODUCT(--('Данные 2st'!$Q$2:$Q$317=$A52),--ISNUMBER('Данные 2st'!$MQ$2:$MQ$317))</f>
        <v>0</v>
      </c>
      <c r="QY52">
        <f>SUMPRODUCT(--('Данные 2st'!$Q$2:$Q$317=$A52),--ISNUMBER('Данные 2st'!$MR$2:$MR$317))</f>
        <v>0</v>
      </c>
      <c r="QZ52">
        <f>SUMPRODUCT(--('Данные 2st'!$Q$2:$Q$317=$A52),--ISNUMBER('Данные 2st'!$MS$2:$MS$317))</f>
        <v>0</v>
      </c>
      <c r="RA52">
        <f>SUMPRODUCT(--('Данные 2st'!$Q$2:$Q$317=$A52),--ISNUMBER('Данные 2st'!$MT$2:$MT$317))</f>
        <v>0</v>
      </c>
      <c r="RB52">
        <f>SUMPRODUCT(--('Данные 2st'!$Q$2:$Q$317=$A52),--ISNUMBER('Данные 2st'!$MU$2:$MU$317))</f>
        <v>0</v>
      </c>
      <c r="RC52">
        <f>SUMPRODUCT(--('Данные 2st'!$Q$2:$Q$317=$A52),--ISNUMBER('Данные 2st'!$MV$2:$MV$317))</f>
        <v>0</v>
      </c>
      <c r="RD52">
        <f>SUMPRODUCT(--('Данные 2st'!$Q$2:$Q$317=$A52),--ISNUMBER('Данные 2st'!$MW$2:$MW$317))</f>
        <v>0</v>
      </c>
      <c r="RE52">
        <f>SUMPRODUCT(--('Данные 2st'!$Q$2:$Q$317=$A52),--ISNUMBER('Данные 2st'!$MX$2:$MX$317))</f>
        <v>0</v>
      </c>
      <c r="RF52">
        <f>SUMPRODUCT(--('Данные 2st'!$Q$2:$Q$317=$A52),--ISNUMBER('Данные 2st'!$MY$2:$MY$317))</f>
        <v>0</v>
      </c>
      <c r="RG52">
        <f>SUMPRODUCT(--('Данные 2st'!$Q$2:$Q$317=$A52),--ISNUMBER('Данные 2st'!$MZ$2:$MZ$317))</f>
        <v>0</v>
      </c>
      <c r="RH52">
        <f>SUMPRODUCT(--('Данные 2st'!$Q$2:$Q$317=$A52),--ISNUMBER('Данные 2st'!$NA$2:$NA$317))</f>
        <v>0</v>
      </c>
      <c r="RI52">
        <f>SUMPRODUCT(--('Данные 2st'!$Q$2:$Q$317=$A52),--ISNUMBER('Данные 2st'!$NB$2:$NB$317))</f>
        <v>0</v>
      </c>
      <c r="RJ52">
        <f>SUMPRODUCT(--('Данные 2st'!$Q$2:$Q$317=$A52),--ISNUMBER('Данные 2st'!$NC$2:$NC$317))</f>
        <v>0</v>
      </c>
      <c r="RK52">
        <f>SUMPRODUCT(--('Данные 2st'!$Q$2:$Q$317=$A52),--ISNUMBER('Данные 2st'!$ND$2:$ND$317))</f>
        <v>0</v>
      </c>
      <c r="RL52">
        <f>SUMPRODUCT(--('Данные 2st'!$Q$2:$Q$317=$A52),--ISNUMBER('Данные 2st'!$NE$2:$NE$317))</f>
        <v>0</v>
      </c>
      <c r="RM52">
        <f>SUMPRODUCT(--('Данные 2st'!$Q$2:$Q$317=$A52),--ISNUMBER('Данные 2st'!$NF$2:$NF$317))</f>
        <v>0</v>
      </c>
      <c r="RN52">
        <f>SUMPRODUCT(--('Данные 2st'!$Q$2:$Q$317=$A52),--ISNUMBER('Данные 2st'!$NG$2:$NG$317))</f>
        <v>0</v>
      </c>
      <c r="RO52">
        <f>SUMPRODUCT(--('Данные 2st'!$Q$2:$Q$317=$A52),--ISNUMBER('Данные 2st'!$NH$2:$NH$317))</f>
        <v>0</v>
      </c>
      <c r="RP52">
        <f>SUMPRODUCT(--('Данные 2st'!$Q$2:$Q$317=$A52),--ISNUMBER('Данные 2st'!$NJ$2:$NJ$317))</f>
        <v>0</v>
      </c>
      <c r="RQ52">
        <f>SUMPRODUCT(--('Данные 2st'!$Q$2:$Q$317=$A52),--ISNUMBER('Данные 2st'!$NK$2:$NK$317))</f>
        <v>0</v>
      </c>
      <c r="RR52">
        <f>SUMPRODUCT(--('Данные 2st'!$Q$2:$Q$317=$A52),--ISNUMBER('Данные 2st'!$NM$2:$NM$317))</f>
        <v>0</v>
      </c>
      <c r="RS52">
        <f>SUMPRODUCT(--('Данные 2st'!$Q$2:$Q$317=$A52),--ISNUMBER('Данные 2st'!$NN$2:$NN$317))</f>
        <v>0</v>
      </c>
      <c r="RT52">
        <f>SUMPRODUCT(--('Данные 2st'!$Q$2:$Q$317=$A52),--ISNUMBER('Данные 2st'!$NO$2:$NO$317))</f>
        <v>0</v>
      </c>
      <c r="RU52">
        <f>SUMPRODUCT(--('Данные 2st'!$Q$2:$Q$317=$A52),--ISNUMBER('Данные 2st'!$NP$2:$NP$317))</f>
        <v>0</v>
      </c>
      <c r="RV52">
        <f>SUMPRODUCT(--('Данные 2st'!$Q$2:$Q$317=$A52),--ISNUMBER('Данные 2st'!$NQ$2:$NQ$317))</f>
        <v>0</v>
      </c>
      <c r="RW52">
        <f>SUMPRODUCT(--('Данные 2st'!$Q$2:$Q$317=$A52),--ISNUMBER('Данные 2st'!$NR$2:$NR$317))</f>
        <v>0</v>
      </c>
      <c r="RX52">
        <f>SUMPRODUCT(--('Данные 2st'!$Q$2:$Q$317=$A52),--ISNUMBER('Данные 2st'!$NS$2:$NS$317))</f>
        <v>0</v>
      </c>
      <c r="RY52">
        <f>SUMPRODUCT(--('Данные 2st'!$Q$2:$Q$317=$A52),--ISNUMBER('Данные 2st'!$NT$2:$NT$317))</f>
        <v>0</v>
      </c>
      <c r="RZ52">
        <f>SUMPRODUCT(--('Данные 2st'!$Q$2:$Q$317=$A52),--ISNUMBER('Данные 2st'!$OK$2:$OK$317))</f>
        <v>4</v>
      </c>
      <c r="SA52">
        <f>SUMPRODUCT(--('Данные 2st'!$Q$2:$Q$317=$A52),--ISNUMBER('Данные 2st'!$OL$2:$OL$317))</f>
        <v>4</v>
      </c>
      <c r="SB52">
        <f>SUMPRODUCT(--('Данные 2st'!$Q$2:$Q$317=$A52),--ISNUMBER('Данные 2st'!$ON$2:$ON$317))</f>
        <v>4</v>
      </c>
      <c r="SC52">
        <f>SUMPRODUCT(--('Данные 2st'!$Q$2:$Q$317=$A52),--ISNUMBER('Данные 2st'!$OO$2:$OO$317))</f>
        <v>4</v>
      </c>
      <c r="SD52">
        <f>SUMPRODUCT(--('Данные 2st'!$Q$2:$Q$317=$A52),--ISNUMBER('Данные 2st'!$OP$2:$OP$317))</f>
        <v>4</v>
      </c>
      <c r="SE52">
        <f>SUMPRODUCT(--('Данные 2st'!$Q$2:$Q$317=$A52),--ISNUMBER('Данные 2st'!$OQ$2:$OQ$317))</f>
        <v>4</v>
      </c>
      <c r="SF52">
        <f>SUMPRODUCT(--('Данные 2st'!$Q$2:$Q$317=$A52),--ISNUMBER('Данные 2st'!$OS$2:$OS$317))</f>
        <v>4</v>
      </c>
      <c r="SG52">
        <f>SUMPRODUCT(--('Данные 2st'!$Q$2:$Q$317=$A52),--ISNUMBER('Данные 2st'!$OT$2:$OT$317))</f>
        <v>4</v>
      </c>
      <c r="SH52">
        <f>SUMPRODUCT(--('Данные 2st'!$Q$2:$Q$317=$A52),--ISNUMBER('Данные 2st'!$OU$2:$OU$317))</f>
        <v>4</v>
      </c>
      <c r="SI52">
        <f>SUMPRODUCT(--('Данные 2st'!$Q$2:$Q$317=$A52),--ISNUMBER('Данные 2st'!$OV$2:$OV$317))</f>
        <v>4</v>
      </c>
      <c r="SJ52">
        <f>SUMPRODUCT(--('Данные 2st'!$Q$2:$Q$317=$A52),--ISNUMBER('Данные 2st'!$OX$2:$OX$317))</f>
        <v>4</v>
      </c>
      <c r="SK52">
        <f>SUMPRODUCT(--('Данные 2st'!$Q$2:$Q$317=$A52),--ISNUMBER('Данные 2st'!$OY$2:$OY$317))</f>
        <v>4</v>
      </c>
      <c r="SL52">
        <f>SUMPRODUCT(--('Данные 2st'!$Q$2:$Q$317=$A52),--ISNUMBER('Данные 2st'!$OZ$2:$OZ$317))</f>
        <v>4</v>
      </c>
      <c r="SM52">
        <f>SUMPRODUCT(--('Данные 2st'!$Q$2:$Q$317=$A52),--ISNUMBER('Данные 2st'!$PA$2:$PA$317))</f>
        <v>4</v>
      </c>
      <c r="SN52">
        <f>SUMPRODUCT(--('Данные 2st'!$Q$2:$Q$317=$A52),--ISNUMBER('Данные 2st'!$PC$2:$PC$317))</f>
        <v>4</v>
      </c>
      <c r="SO52">
        <f>SUMPRODUCT(--('Данные 2st'!$Q$2:$Q$317=$A52),--ISNUMBER('Данные 2st'!$PD$2:$PD$317))</f>
        <v>4</v>
      </c>
      <c r="SP52">
        <f>SUMPRODUCT(--('Данные 2st'!$Q$2:$Q$317=$A52),--ISNUMBER('Данные 2st'!$PF$2:$PF$317))</f>
        <v>4</v>
      </c>
      <c r="SQ52">
        <f>SUMPRODUCT(--('Данные 2st'!$Q$2:$Q$317=$A52),--ISNUMBER('Данные 2st'!$PG$2:$PG$317))</f>
        <v>4</v>
      </c>
      <c r="SR52">
        <f>SUMPRODUCT(--('Данные 2st'!$Q$2:$Q$317=$A52),--ISNUMBER('Данные 2st'!$PH$2:$PH$317))</f>
        <v>4</v>
      </c>
      <c r="SS52">
        <f>SUMPRODUCT(--('Данные 2st'!$Q$2:$Q$317=$A52),--ISNUMBER('Данные 2st'!$PI$2:$PI$317))</f>
        <v>4</v>
      </c>
      <c r="ST52">
        <f>SUMPRODUCT(--('Данные 2st'!$Q$2:$Q$317=$A52),--ISNUMBER('Данные 2st'!$PJ$2:$PJ$317))</f>
        <v>4</v>
      </c>
      <c r="SU52">
        <f>SUMPRODUCT(--('Данные 2st'!$Q$2:$Q$317=$A52),--ISNUMBER('Данные 2st'!$PK$2:$PK$317))</f>
        <v>4</v>
      </c>
      <c r="SV52">
        <f>SUMPRODUCT(--('Данные 2st'!$Q$2:$Q$317=$A52),--ISNUMBER('Данные 2st'!$PL$2:$PL$317))</f>
        <v>4</v>
      </c>
      <c r="SW52">
        <f>SUMPRODUCT(--('Данные 2st'!$Q$2:$Q$317=$A52),--ISNUMBER('Данные 2st'!$PM$2:$PM$317))</f>
        <v>4</v>
      </c>
      <c r="SX52">
        <f>SUMPRODUCT(--('Данные 2st'!$Q$2:$Q$317=$A52),--ISNUMBER('Данные 2st'!$PN$2:$PN$317))</f>
        <v>4</v>
      </c>
      <c r="SY52">
        <f>SUMPRODUCT(--('Данные 2st'!$Q$2:$Q$317=$A52),--ISNUMBER('Данные 2st'!$PO$2:$PO$317))</f>
        <v>3</v>
      </c>
      <c r="SZ52">
        <f>SUMPRODUCT(--('Данные 2st'!$Q$2:$Q$317=$A52),--ISNUMBER('Данные 2st'!$PP$2:$PP$317))</f>
        <v>4</v>
      </c>
      <c r="TA52">
        <f>SUMPRODUCT(--('Данные 2st'!$Q$2:$Q$317=$A52),--ISNUMBER('Данные 2st'!$PQ$2:$PQ$317))</f>
        <v>4</v>
      </c>
      <c r="TB52">
        <f>SUMPRODUCT(--('Данные 2st'!$Q$2:$Q$317=$A52),--ISNUMBER('Данные 2st'!$PR$2:$PR$317))</f>
        <v>4</v>
      </c>
      <c r="TC52">
        <f>SUMPRODUCT(--('Данные 2st'!$Q$2:$Q$317=$A52),--ISNUMBER('Данные 2st'!$PS$2:$PS$317))</f>
        <v>4</v>
      </c>
      <c r="TD52">
        <f>SUMPRODUCT(--('Данные 2st'!$Q$2:$Q$317=$A52),--ISNUMBER('Данные 2st'!$PT$2:$PT$317))</f>
        <v>4</v>
      </c>
      <c r="TE52">
        <f>SUMPRODUCT(--('Данные 2st'!$Q$2:$Q$317=$A52),--ISNUMBER('Данные 2st'!$PU$2:$PU$317))</f>
        <v>4</v>
      </c>
      <c r="TF52">
        <f>SUMPRODUCT(--('Данные 2st'!$Q$2:$Q$317=$A52),--ISNUMBER('Данные 2st'!$PX$2:$PX$317))</f>
        <v>4</v>
      </c>
      <c r="TG52">
        <f>SUMPRODUCT(--('Данные 2st'!$Q$2:$Q$317=$A52),--ISNUMBER('Данные 2st'!$PY$2:$PY$317))</f>
        <v>4</v>
      </c>
      <c r="TH52">
        <f>SUMPRODUCT(--('Данные 2st'!$Q$2:$Q$317=$A52),--ISNUMBER('Данные 2st'!$PZ$2:$PZ$317))</f>
        <v>4</v>
      </c>
      <c r="TI52">
        <f>SUMPRODUCT(--('Данные 2st'!$Q$2:$Q$317=$A52),--ISNUMBER('Данные 2st'!$QA$2:$QA$317))</f>
        <v>4</v>
      </c>
      <c r="TJ52">
        <f>SUMPRODUCT(--('Данные 2st'!$Q$2:$Q$317=$A52),--ISNUMBER('Данные 2st'!$QB$2:$QB$317))</f>
        <v>4</v>
      </c>
      <c r="TK52">
        <f>SUMPRODUCT(--('Данные 2st'!$Q$2:$Q$317=$A52),--ISNUMBER('Данные 2st'!$QC$2:$QC$317))</f>
        <v>4</v>
      </c>
      <c r="TL52">
        <f>SUMPRODUCT(--('Данные 2st'!$Q$2:$Q$317=$A52),--ISNUMBER('Данные 2st'!$QD$2:$QD$317))</f>
        <v>4</v>
      </c>
      <c r="TM52">
        <f>SUMPRODUCT(--('Данные 2st'!$Q$2:$Q$317=$A52),--ISNUMBER('Данные 2st'!$QE$2:$QE$317))</f>
        <v>4</v>
      </c>
      <c r="TN52">
        <f>SUMPRODUCT(--('Данные 2st'!$Q$2:$Q$317=$A52),--ISNUMBER('Данные 2st'!$QF$2:$QF$317))</f>
        <v>4</v>
      </c>
      <c r="TO52">
        <f>SUMPRODUCT(--('Данные 2st'!$Q$2:$Q$317=$A52),--ISNUMBER('Данные 2st'!$QG$2:$QG$317))</f>
        <v>4</v>
      </c>
      <c r="TP52">
        <f>SUMPRODUCT(--('Данные 2st'!$Q$2:$Q$317=$A52),--ISNUMBER('Данные 2st'!$QH$2:$QH$317))</f>
        <v>4</v>
      </c>
      <c r="TQ52">
        <f>SUMPRODUCT(--('Данные 2st'!$Q$2:$Q$317=$A52),--ISNUMBER('Данные 2st'!$QI$2:$QI$317))</f>
        <v>4</v>
      </c>
      <c r="TR52">
        <f>SUMPRODUCT(--('Данные 2st'!$Q$2:$Q$317=$A52),--ISNUMBER('Данные 2st'!$QJ$2:$QJ$317))</f>
        <v>4</v>
      </c>
      <c r="TS52">
        <f>SUMPRODUCT(--('Данные 2st'!$Q$2:$Q$317=$A52),--ISNUMBER('Данные 2st'!$QK$2:$QK$317))</f>
        <v>4</v>
      </c>
      <c r="TT52">
        <f>SUMPRODUCT(--('Данные 2st'!$Q$2:$Q$317=$A52),--ISNUMBER('Данные 2st'!$QL$2:$QL$317))</f>
        <v>4</v>
      </c>
      <c r="TU52">
        <f>SUMPRODUCT(--('Данные 2st'!$Q$2:$Q$317=$A52),--ISNUMBER('Данные 2st'!$QM$2:$QM$317))</f>
        <v>4</v>
      </c>
      <c r="TV52">
        <f>SUMPRODUCT(--('Данные 2st'!$Q$2:$Q$317=$A52),--ISNUMBER('Данные 2st'!$QN$2:$QN$317))</f>
        <v>4</v>
      </c>
      <c r="TW52">
        <f>SUMPRODUCT(--('Данные 2st'!$Q$2:$Q$317=$A52),--ISNUMBER('Данные 2st'!$QQ$2:$QQ$317))</f>
        <v>4</v>
      </c>
      <c r="TX52">
        <f>SUMPRODUCT(--('Данные 2st'!$Q$2:$Q$317=$A52),--ISNUMBER('Данные 2st'!$QS$2:$QS$317))</f>
        <v>4</v>
      </c>
      <c r="TY52">
        <f>SUMPRODUCT(--('Данные 2st'!$Q$2:$Q$317=$A52),--ISNUMBER('Данные 2st'!$QT$2:$QT$317))</f>
        <v>4</v>
      </c>
    </row>
    <row r="53" spans="1:545" ht="32" customHeight="1">
      <c r="A53" s="11" t="str">
        <f>'По размерам'!A53</f>
        <v>235/65R18</v>
      </c>
      <c r="G53">
        <f>SUMPRODUCT(--('Данные 1st'!$S$2:$S$317=$A53),--ISNUMBER('Данные 1st'!$AE$2:$AE$317))</f>
        <v>3</v>
      </c>
      <c r="H53">
        <f>SUMPRODUCT(--('Данные 1st'!$S$2:$S$317=$A53),--ISNUMBER('Данные 1st'!$AF$2:$AF$317))</f>
        <v>3</v>
      </c>
      <c r="I53">
        <f>SUMPRODUCT(--('Данные 1st'!$S$2:$S$317=$A53),--ISNUMBER('Данные 1st'!$AJ$2:$AJ$317))</f>
        <v>3</v>
      </c>
      <c r="J53">
        <f>SUMPRODUCT(--('Данные 1st'!$S$2:$S$317=$A53),--ISNUMBER('Данные 1st'!$AL$2:$AL$317))</f>
        <v>3</v>
      </c>
      <c r="K53">
        <f>SUMPRODUCT(--('Данные 1st'!$S$2:$S$317=$A53),--ISNUMBER('Данные 1st'!$AR$2:$AR$317))</f>
        <v>3</v>
      </c>
      <c r="L53">
        <f>SUMPRODUCT(--('Данные 1st'!$S$2:$S$317=$A53),--ISNUMBER('Данные 1st'!$AS$2:$AS$317))</f>
        <v>3</v>
      </c>
      <c r="M53">
        <f>SUMPRODUCT(--('Данные 1st'!$S$2:$S$317=$A53),--ISNUMBER('Данные 1st'!$AY$2:$AY$317))</f>
        <v>3</v>
      </c>
      <c r="N53">
        <f>SUMPRODUCT(--('Данные 1st'!$S$2:$S$317=$A53),--ISNUMBER('Данные 1st'!$AZ$2:$AZ$317))</f>
        <v>3</v>
      </c>
      <c r="O53">
        <f>SUMPRODUCT(--('Данные 1st'!$S$2:$S$317=$A53),--ISNUMBER('Данные 1st'!$BF$2:$BF$317))</f>
        <v>2</v>
      </c>
      <c r="P53">
        <f>SUMPRODUCT(--('Данные 1st'!$S$2:$S$317=$A53),--ISNUMBER('Данные 1st'!$BG$2:$BG$317))</f>
        <v>3</v>
      </c>
      <c r="Q53">
        <f>SUMPRODUCT(--('Данные 1st'!$S$2:$S$317=$A53),--ISNUMBER('Данные 1st'!$BM$2:$BM$317))</f>
        <v>0</v>
      </c>
      <c r="R53">
        <f>SUMPRODUCT(--('Данные 1st'!$S$2:$S$317=$A53),--ISNUMBER('Данные 1st'!$BN$2:$BN$317))</f>
        <v>3</v>
      </c>
      <c r="S53">
        <f>SUMPRODUCT(--('Данные 1st'!$S$2:$S$317=$A53),--ISNUMBER('Данные 1st'!$BT$2:$BT$317))</f>
        <v>3</v>
      </c>
      <c r="T53">
        <f>SUMPRODUCT(--('Данные 1st'!$S$2:$S$317=$A53),--ISNUMBER('Данные 1st'!$BU$2:$BU$317))</f>
        <v>3</v>
      </c>
      <c r="U53">
        <f>SUMPRODUCT(--('Данные 1st'!$S$2:$S$317=$A53),--ISNUMBER('Данные 1st'!$BW$2:$BW$317))</f>
        <v>3</v>
      </c>
      <c r="V53">
        <f>SUMPRODUCT(--('Данные 1st'!$S$2:$S$317=$A53),--ISNUMBER('Данные 1st'!$BX$2:$BX$317))</f>
        <v>3</v>
      </c>
      <c r="W53">
        <f>SUMPRODUCT(--('Данные 1st'!$S$2:$S$317=$A53),--ISNUMBER('Данные 1st'!$BZ$2:$BZ$317))</f>
        <v>3</v>
      </c>
      <c r="X53">
        <f>SUMPRODUCT(--('Данные 1st'!$S$2:$S$317=$A53),--ISNUMBER('Данные 1st'!$CA$2:$CA$317))</f>
        <v>3</v>
      </c>
      <c r="Y53">
        <f>SUMPRODUCT(--('Данные 1st'!$S$2:$S$317=$A53),--ISNUMBER('Данные 1st'!$CD$2:$CD$317))</f>
        <v>3</v>
      </c>
      <c r="Z53">
        <f>SUMPRODUCT(--('Данные 1st'!$S$2:$S$317=$A53),--ISNUMBER('Данные 1st'!$CF$2:$CF$317))</f>
        <v>3</v>
      </c>
      <c r="AA53">
        <f>SUMPRODUCT(--('Данные 1st'!$S$2:$S$317=$A53),--ISNUMBER('Данные 1st'!$CI$2:$CI$317))</f>
        <v>3</v>
      </c>
      <c r="AB53">
        <f>SUMPRODUCT(--('Данные 1st'!$S$2:$S$317=$A53),--ISNUMBER('Данные 1st'!$CJ$2:$CJ$317))</f>
        <v>3</v>
      </c>
      <c r="AC53">
        <f>SUMPRODUCT(--('Данные 1st'!$S$2:$S$317=$A53),--ISNUMBER('Данные 1st'!$CK$2:$CK$317))</f>
        <v>3</v>
      </c>
      <c r="AD53">
        <f>SUMPRODUCT(--('Данные 1st'!$S$2:$S$317=$A53),--ISNUMBER('Данные 1st'!$CL$2:$CL$317))</f>
        <v>3</v>
      </c>
      <c r="AE53">
        <f>SUMPRODUCT(--('Данные 1st'!$S$2:$S$317=$A53),--ISNUMBER('Данные 1st'!$CM$2:$CM$317))</f>
        <v>3</v>
      </c>
      <c r="AF53">
        <f>SUMPRODUCT(--('Данные 1st'!$S$2:$S$317=$A53),--ISNUMBER('Данные 1st'!$CT$2:$CT$317))</f>
        <v>3</v>
      </c>
      <c r="AG53">
        <f>SUMPRODUCT(--('Данные 1st'!$S$2:$S$317=$A53),--ISNUMBER('Данные 1st'!$CU$2:$CU$317))</f>
        <v>3</v>
      </c>
      <c r="AH53">
        <f>SUMPRODUCT(--('Данные 1st'!$S$2:$S$317=$A53),--ISNUMBER('Данные 1st'!$CV$2:$CV$317))</f>
        <v>3</v>
      </c>
      <c r="AI53">
        <f>SUMPRODUCT(--('Данные 1st'!$S$2:$S$317=$A53),--ISNUMBER('Данные 1st'!$CW$2:$CW$317))</f>
        <v>3</v>
      </c>
      <c r="AJ53">
        <f>SUMPRODUCT(--('Данные 1st'!$S$2:$S$317=$A53),--ISNUMBER('Данные 1st'!$CX$2:$CX$317))</f>
        <v>3</v>
      </c>
      <c r="AK53">
        <f>SUMPRODUCT(--('Данные 1st'!$S$2:$S$317=$A53),--ISNUMBER('Данные 1st'!$CZ$2:$CZ$317))</f>
        <v>0</v>
      </c>
      <c r="AL53">
        <f>SUMPRODUCT(--('Данные 1st'!$S$2:$S$317=$A53),--ISNUMBER('Данные 1st'!$DA$2:$DA$317))</f>
        <v>0</v>
      </c>
      <c r="AM53">
        <f>SUMPRODUCT(--('Данные 1st'!$S$2:$S$317=$A53),--ISNUMBER('Данные 1st'!$DB$2:$DB$317))</f>
        <v>0</v>
      </c>
      <c r="AN53">
        <f>SUMPRODUCT(--('Данные 1st'!$S$2:$S$317=$A53),--ISNUMBER('Данные 1st'!$DC$2:$DC$317))</f>
        <v>0</v>
      </c>
      <c r="AO53">
        <f>SUMPRODUCT(--('Данные 1st'!$S$2:$S$317=$A53),--ISNUMBER('Данные 1st'!$DD$2:$DD$317))</f>
        <v>3</v>
      </c>
      <c r="AP53">
        <f>SUMPRODUCT(--('Данные 1st'!$S$2:$S$317=$A53),--ISNUMBER('Данные 1st'!$DF$2:$DF$317))</f>
        <v>3</v>
      </c>
      <c r="AQ53">
        <f>SUMPRODUCT(--('Данные 1st'!$S$2:$S$317=$A53),--ISNUMBER('Данные 1st'!$DG$2:$DG$317))</f>
        <v>3</v>
      </c>
      <c r="AR53">
        <f>SUMPRODUCT(--('Данные 1st'!$S$2:$S$317=$A53),--ISNUMBER('Данные 1st'!$DH$2:$DH$317))</f>
        <v>3</v>
      </c>
      <c r="AS53">
        <f>SUMPRODUCT(--('Данные 1st'!$S$2:$S$317=$A53),--ISNUMBER('Данные 1st'!$DI$2:$DI$317))</f>
        <v>3</v>
      </c>
      <c r="AT53">
        <f>SUMPRODUCT(--('Данные 1st'!$S$2:$S$317=$A53),--ISNUMBER('Данные 1st'!$DJ$2:$DJ$317))</f>
        <v>3</v>
      </c>
      <c r="AU53">
        <f>SUMPRODUCT(--('Данные 1st'!$S$2:$S$317=$A53),--ISNUMBER('Данные 1st'!$DL$2:$DL$317))</f>
        <v>2</v>
      </c>
      <c r="AV53">
        <f>SUMPRODUCT(--('Данные 1st'!$S$2:$S$317=$A53),--ISNUMBER('Данные 1st'!$DM$2:$DM$317))</f>
        <v>2</v>
      </c>
      <c r="AW53">
        <f>SUMPRODUCT(--('Данные 1st'!$S$2:$S$317=$A53),--ISNUMBER('Данные 1st'!$DN$2:$DN$317))</f>
        <v>2</v>
      </c>
      <c r="AX53">
        <f>SUMPRODUCT(--('Данные 1st'!$S$2:$S$317=$A53),--ISNUMBER('Данные 1st'!$DO$2:$DO$317))</f>
        <v>2</v>
      </c>
      <c r="AY53">
        <f>SUMPRODUCT(--('Данные 1st'!$S$2:$S$317=$A53),--ISNUMBER('Данные 1st'!$DP$2:$DP$317))</f>
        <v>2</v>
      </c>
      <c r="AZ53">
        <f>SUMPRODUCT(--('Данные 1st'!$S$2:$S$317=$A53),--ISNUMBER('Данные 1st'!$DR$2:$DR$317))</f>
        <v>0</v>
      </c>
      <c r="BA53">
        <f>SUMPRODUCT(--('Данные 1st'!$S$2:$S$317=$A53),--ISNUMBER('Данные 1st'!$DS$2:$DS$317))</f>
        <v>0</v>
      </c>
      <c r="BB53">
        <f>SUMPRODUCT(--('Данные 1st'!$S$2:$S$317=$A53),--ISNUMBER('Данные 1st'!$DT$2:$DT$317))</f>
        <v>0</v>
      </c>
      <c r="BC53">
        <f>SUMPRODUCT(--('Данные 1st'!$S$2:$S$317=$A53),--ISNUMBER('Данные 1st'!$DU$2:$DU$317))</f>
        <v>0</v>
      </c>
      <c r="BD53">
        <f>SUMPRODUCT(--('Данные 1st'!$S$2:$S$317=$A53),--ISNUMBER('Данные 1st'!$DV$2:$DV$317))</f>
        <v>0</v>
      </c>
      <c r="BE53">
        <f>SUMPRODUCT(--('Данные 1st'!$S$2:$S$317=$A53),--ISNUMBER('Данные 1st'!$DX$2:$DX$317))</f>
        <v>3</v>
      </c>
      <c r="BF53">
        <f>SUMPRODUCT(--('Данные 1st'!$S$2:$S$317=$A53),--ISNUMBER('Данные 1st'!$EA$2:$EA$317))</f>
        <v>3</v>
      </c>
      <c r="BG53">
        <f>SUMPRODUCT(--('Данные 1st'!$S$2:$S$317=$A53),--ISNUMBER('Данные 1st'!$EB$2:$EB$317))</f>
        <v>3</v>
      </c>
      <c r="BH53">
        <f>SUMPRODUCT(--('Данные 1st'!$S$2:$S$317=$A53),--ISNUMBER('Данные 1st'!$ED$2:$ED$317))</f>
        <v>3</v>
      </c>
      <c r="BI53">
        <f>SUMPRODUCT(--('Данные 1st'!$S$2:$S$317=$A53),--ISNUMBER('Данные 1st'!$EE$2:$EE$317))</f>
        <v>3</v>
      </c>
      <c r="BJ53">
        <f>SUMPRODUCT(--('Данные 1st'!$S$2:$S$317=$A53),--ISNUMBER('Данные 1st'!$EG$2:$EG$317))</f>
        <v>3</v>
      </c>
      <c r="BK53">
        <f>SUMPRODUCT(--('Данные 1st'!$S$2:$S$317=$A53),--ISNUMBER('Данные 1st'!$EH$2:$EH$317))</f>
        <v>3</v>
      </c>
      <c r="BL53">
        <f>SUMPRODUCT(--('Данные 1st'!$S$2:$S$317=$A53),--ISNUMBER('Данные 1st'!$EJ$2:$EJ$317))</f>
        <v>3</v>
      </c>
      <c r="BM53">
        <f>SUMPRODUCT(--('Данные 1st'!$S$2:$S$317=$A53),--ISNUMBER('Данные 1st'!$EK$2:$EK$317))</f>
        <v>3</v>
      </c>
      <c r="BN53">
        <f>SUMPRODUCT(--('Данные 1st'!$S$2:$S$317=$A53),--ISNUMBER('Данные 1st'!$EN$2:$EN$317))</f>
        <v>3</v>
      </c>
      <c r="BO53">
        <f>SUMPRODUCT(--('Данные 1st'!$S$2:$S$317=$A53),--ISNUMBER('Данные 1st'!$EQ$2:$EQ$317))</f>
        <v>3</v>
      </c>
      <c r="BP53">
        <f>SUMPRODUCT(--('Данные 1st'!$S$2:$S$317=$A53),--ISNUMBER('Данные 1st'!$ER$2:$ER$317))</f>
        <v>3</v>
      </c>
      <c r="BQ53">
        <f>SUMPRODUCT(--('Данные 1st'!$S$2:$S$317=$A53),--ISNUMBER('Данные 1st'!$ES$2:$ES$317))</f>
        <v>3</v>
      </c>
      <c r="BR53">
        <f>SUMPRODUCT(--('Данные 1st'!$S$2:$S$317=$A53),--ISNUMBER('Данные 1st'!$ET$2:$ET$317))</f>
        <v>3</v>
      </c>
      <c r="BS53">
        <f>SUMPRODUCT(--('Данные 1st'!$S$2:$S$317=$A53),--ISNUMBER('Данные 1st'!$EU$2:$EU$317))</f>
        <v>3</v>
      </c>
      <c r="BT53">
        <f>SUMPRODUCT(--('Данные 1st'!$S$2:$S$317=$A53),--ISNUMBER('Данные 1st'!$EV$2:$EV$317))</f>
        <v>3</v>
      </c>
      <c r="BU53">
        <f>SUMPRODUCT(--('Данные 1st'!$S$2:$S$317=$A53),--ISNUMBER('Данные 1st'!$EX$2:$EX$317))</f>
        <v>3</v>
      </c>
      <c r="BV53">
        <f>SUMPRODUCT(--('Данные 1st'!$S$2:$S$317=$A53),--ISNUMBER('Данные 1st'!$EY$2:$EY$317))</f>
        <v>3</v>
      </c>
      <c r="BW53">
        <f>SUMPRODUCT(--('Данные 1st'!$S$2:$S$317=$A53),--ISNUMBER('Данные 1st'!$EZ$2:$EZ$317))</f>
        <v>3</v>
      </c>
      <c r="BX53">
        <f>SUMPRODUCT(--('Данные 1st'!$S$2:$S$317=$A53),--ISNUMBER('Данные 1st'!$FA$2:$FA$317))</f>
        <v>3</v>
      </c>
      <c r="BY53">
        <f>SUMPRODUCT(--('Данные 1st'!$S$2:$S$317=$A53),--ISNUMBER('Данные 1st'!$FB$2:$FB$317))</f>
        <v>3</v>
      </c>
      <c r="BZ53">
        <f>SUMPRODUCT(--('Данные 1st'!$S$2:$S$317=$A53),--ISNUMBER('Данные 1st'!$FC$2:$FC$317))</f>
        <v>3</v>
      </c>
      <c r="CA53">
        <f>SUMPRODUCT(--('Данные 1st'!$S$2:$S$317=$A53),--ISNUMBER('Данные 1st'!$FE$2:$FE$317))</f>
        <v>3</v>
      </c>
      <c r="CB53">
        <f>SUMPRODUCT(--('Данные 1st'!$S$2:$S$317=$A53),--ISNUMBER('Данные 1st'!$FF$2:$FF$317))</f>
        <v>3</v>
      </c>
      <c r="CC53">
        <f>SUMPRODUCT(--('Данные 1st'!$S$2:$S$317=$A53),--ISNUMBER('Данные 1st'!$FI$2:$FI$317))</f>
        <v>3</v>
      </c>
      <c r="CD53">
        <f>SUMPRODUCT(--('Данные 1st'!$S$2:$S$317=$A53),--ISNUMBER('Данные 1st'!$FL$2:$FL$317))</f>
        <v>3</v>
      </c>
      <c r="CE53">
        <f>SUMPRODUCT(--('Данные 1st'!$S$2:$S$317=$A53),--ISNUMBER('Данные 1st'!$FM$2:$FM$317))</f>
        <v>3</v>
      </c>
      <c r="CF53">
        <f>SUMPRODUCT(--('Данные 1st'!$S$2:$S$317=$A53),--ISNUMBER('Данные 1st'!$FN$2:$FN$317))</f>
        <v>3</v>
      </c>
      <c r="CG53">
        <f>SUMPRODUCT(--('Данные 1st'!$S$2:$S$317=$A53),--ISNUMBER('Данные 1st'!$FO$2:$FO$317))</f>
        <v>0</v>
      </c>
      <c r="CH53">
        <f>SUMPRODUCT(--('Данные 1st'!$S$2:$S$317=$A53),--ISNUMBER('Данные 1st'!$FP$2:$FP$317))</f>
        <v>0</v>
      </c>
      <c r="CI53">
        <f>SUMPRODUCT(--('Данные 1st'!$S$2:$S$317=$A53),--ISNUMBER('Данные 1st'!$FS$2:$FS$317))</f>
        <v>1</v>
      </c>
      <c r="CJ53">
        <f>SUMPRODUCT(--('Данные 1st'!$S$2:$S$317=$A53),--ISNUMBER('Данные 1st'!$FT$2:$FT$317))</f>
        <v>1</v>
      </c>
      <c r="CK53">
        <f>SUMPRODUCT(--('Данные 1st'!$S$2:$S$317=$A53),--ISNUMBER('Данные 1st'!$FU$2:$FU$317))</f>
        <v>1</v>
      </c>
      <c r="CL53">
        <f>SUMPRODUCT(--('Данные 1st'!$S$2:$S$317=$A53),--ISNUMBER('Данные 1st'!$FV$2:$FV$317))</f>
        <v>0</v>
      </c>
      <c r="CM53">
        <f>SUMPRODUCT(--('Данные 1st'!$S$2:$S$317=$A53),--ISNUMBER('Данные 1st'!$FW$2:$FW$317))</f>
        <v>0</v>
      </c>
      <c r="CN53">
        <f>SUMPRODUCT(--('Данные 1st'!$S$2:$S$317=$A53),--ISNUMBER('Данные 1st'!$FZ$2:$FZ$317))</f>
        <v>0</v>
      </c>
      <c r="CO53">
        <f>SUMPRODUCT(--('Данные 1st'!$S$2:$S$317=$A53),--ISNUMBER('Данные 1st'!$GA$2:$GA$317))</f>
        <v>0</v>
      </c>
      <c r="CP53">
        <f>SUMPRODUCT(--('Данные 1st'!$S$2:$S$317=$A53),--ISNUMBER('Данные 1st'!$GB$2:$GB$317))</f>
        <v>0</v>
      </c>
      <c r="CQ53">
        <f>SUMPRODUCT(--('Данные 1st'!$S$2:$S$317=$A53),--ISNUMBER('Данные 1st'!$GH$2:$GH$317))</f>
        <v>0</v>
      </c>
      <c r="CR53">
        <f>SUMPRODUCT(--('Данные 1st'!$S$2:$S$317=$A53),--ISNUMBER('Данные 1st'!$GI$2:$GI$317))</f>
        <v>0</v>
      </c>
      <c r="CS53">
        <f>SUMPRODUCT(--('Данные 1st'!$S$2:$S$317=$A53),--ISNUMBER('Данные 1st'!$GJ$2:$GJ$317))</f>
        <v>0</v>
      </c>
      <c r="CT53">
        <f>SUMPRODUCT(--('Данные 1st'!$S$2:$S$317=$A53),--ISNUMBER('Данные 1st'!$GS$2:$GS$317))</f>
        <v>2</v>
      </c>
      <c r="CU53">
        <f>SUMPRODUCT(--('Данные 1st'!$S$2:$S$317=$A53),--ISNUMBER('Данные 1st'!$GT$2:$GT$317))</f>
        <v>2</v>
      </c>
      <c r="CV53">
        <f>SUMPRODUCT(--('Данные 1st'!$S$2:$S$317=$A53),--ISNUMBER('Данные 1st'!$GU$2:$GU$317))</f>
        <v>2</v>
      </c>
      <c r="CW53">
        <f>SUMPRODUCT(--('Данные 1st'!$S$2:$S$317=$A53),--ISNUMBER('Данные 1st'!$GV$2:$GV$317))</f>
        <v>1</v>
      </c>
      <c r="CX53">
        <f>SUMPRODUCT(--('Данные 1st'!$S$2:$S$317=$A53),--ISNUMBER('Данные 1st'!$GW$2:$GW$317))</f>
        <v>1</v>
      </c>
      <c r="CY53">
        <f>SUMPRODUCT(--('Данные 1st'!$S$2:$S$317=$A53),--ISNUMBER('Данные 1st'!$GZ$2:$GZ$317))</f>
        <v>0</v>
      </c>
      <c r="CZ53">
        <f>SUMPRODUCT(--('Данные 1st'!$S$2:$S$317=$A53),--ISNUMBER('Данные 1st'!$HA$2:$HA$317))</f>
        <v>0</v>
      </c>
      <c r="DA53">
        <f>SUMPRODUCT(--('Данные 1st'!$S$2:$S$317=$A53),--ISNUMBER('Данные 1st'!$HB$2:$HB$317))</f>
        <v>0</v>
      </c>
      <c r="DB53">
        <f>SUMPRODUCT(--('Данные 1st'!$S$2:$S$317=$A53),--ISNUMBER('Данные 1st'!$HC$2:$HC$317))</f>
        <v>3</v>
      </c>
      <c r="DC53">
        <f>SUMPRODUCT(--('Данные 1st'!$S$2:$S$317=$A53),--ISNUMBER('Данные 1st'!$HD$2:$HD$317))</f>
        <v>3</v>
      </c>
      <c r="DD53">
        <f>SUMPRODUCT(--('Данные 1st'!$S$2:$S$317=$A53),--ISNUMBER('Данные 1st'!$HE$2:$HE$317))</f>
        <v>3</v>
      </c>
      <c r="DE53">
        <f>SUMPRODUCT(--('Данные 1st'!$S$2:$S$317=$A53),--ISNUMBER('Данные 1st'!$HF$2:$HF$317))</f>
        <v>3</v>
      </c>
      <c r="DF53">
        <f>SUMPRODUCT(--('Данные 1st'!$S$2:$S$317=$A53),--ISNUMBER('Данные 1st'!$HG$2:$HG$317))</f>
        <v>3</v>
      </c>
      <c r="DG53">
        <f>SUMPRODUCT(--('Данные 1st'!$S$2:$S$317=$A53),--ISNUMBER('Данные 1st'!$HH$2:$HH$317))</f>
        <v>3</v>
      </c>
      <c r="DH53">
        <f>SUMPRODUCT(--('Данные 1st'!$S$2:$S$317=$A53),--ISNUMBER('Данные 1st'!$HI$2:$HI$317))</f>
        <v>3</v>
      </c>
      <c r="DI53">
        <f>SUMPRODUCT(--('Данные 1st'!$S$2:$S$317=$A53),--ISNUMBER('Данные 1st'!$HJ$2:$HJ$317))</f>
        <v>3</v>
      </c>
      <c r="DJ53">
        <f>SUMPRODUCT(--('Данные 1st'!$S$2:$S$317=$A53),--ISNUMBER('Данные 1st'!$HK$2:$HK$317))</f>
        <v>3</v>
      </c>
      <c r="DK53">
        <f>SUMPRODUCT(--('Данные 1st'!$S$2:$S$317=$A53),--ISNUMBER('Данные 1st'!$HL$2:$HL$317))</f>
        <v>3</v>
      </c>
      <c r="DL53">
        <f>SUMPRODUCT(--('Данные 1st'!$S$2:$S$317=$A53),--ISNUMBER('Данные 1st'!$HM$2:$HM$317))</f>
        <v>3</v>
      </c>
      <c r="DM53">
        <f>SUMPRODUCT(--('Данные 1st'!$S$2:$S$317=$A53),--ISNUMBER('Данные 1st'!$HN$2:$HN$317))</f>
        <v>3</v>
      </c>
      <c r="DN53">
        <f>SUMPRODUCT(--('Данные 1st'!$S$2:$S$317=$A53),--ISNUMBER('Данные 1st'!$HO$2:$HO$317))</f>
        <v>3</v>
      </c>
      <c r="DO53">
        <f>SUMPRODUCT(--('Данные 1st'!$S$2:$S$317=$A53),--ISNUMBER('Данные 1st'!$HP$2:$HP$317))</f>
        <v>3</v>
      </c>
      <c r="DP53">
        <f>SUMPRODUCT(--('Данные 1st'!$S$2:$S$317=$A53),--ISNUMBER('Данные 1st'!$HQ$2:$HQ$317))</f>
        <v>3</v>
      </c>
      <c r="DQ53">
        <f>SUMPRODUCT(--('Данные 1st'!$S$2:$S$317=$A53),--ISNUMBER('Данные 1st'!$HR$2:$HR$317))</f>
        <v>3</v>
      </c>
      <c r="DR53">
        <f>SUMPRODUCT(--('Данные 1st'!$S$2:$S$317=$A53),--ISNUMBER('Данные 1st'!$HS$2:$HS$317))</f>
        <v>3</v>
      </c>
      <c r="DS53">
        <f>SUMPRODUCT(--('Данные 1st'!$S$2:$S$317=$A53),--ISNUMBER('Данные 1st'!$HT$2:$HT$317))</f>
        <v>3</v>
      </c>
      <c r="DT53">
        <f>SUMPRODUCT(--('Данные 1st'!$S$2:$S$317=$A53),--ISNUMBER('Данные 1st'!$HU$2:$HU$317))</f>
        <v>3</v>
      </c>
      <c r="DU53">
        <f>SUMPRODUCT(--('Данные 1st'!$S$2:$S$317=$A53),--ISNUMBER('Данные 1st'!$HW$2:$HW$317))</f>
        <v>3</v>
      </c>
      <c r="DV53">
        <f>SUMPRODUCT(--('Данные 1st'!$S$2:$S$317=$A53),--ISNUMBER('Данные 1st'!$HX$2:$HX$317))</f>
        <v>3</v>
      </c>
      <c r="DW53">
        <f>SUMPRODUCT(--('Данные 1st'!$S$2:$S$317=$A53),--ISNUMBER('Данные 1st'!$HY$2:$HY$317))</f>
        <v>3</v>
      </c>
      <c r="DX53">
        <f>SUMPRODUCT(--('Данные 1st'!$S$2:$S$317=$A53),--ISNUMBER('Данные 1st'!$IA$2:$IA$317))</f>
        <v>3</v>
      </c>
      <c r="DY53">
        <f>SUMPRODUCT(--('Данные 1st'!$S$2:$S$317=$A53),--ISNUMBER('Данные 1st'!$IB$2:$IB$317))</f>
        <v>3</v>
      </c>
      <c r="DZ53">
        <f>SUMPRODUCT(--('Данные 1st'!$S$2:$S$317=$A53),--ISNUMBER('Данные 1st'!$IC$2:$IC$317))</f>
        <v>3</v>
      </c>
      <c r="EA53">
        <f>SUMPRODUCT(--('Данные 1st'!$S$2:$S$317=$A53),--ISNUMBER('Данные 1st'!$ID$2:$ID$317))</f>
        <v>3</v>
      </c>
      <c r="EB53">
        <f>SUMPRODUCT(--('Данные 1st'!$S$2:$S$317=$A53),--ISNUMBER('Данные 1st'!$IE$2:$IE$317))</f>
        <v>3</v>
      </c>
      <c r="EC53">
        <f>SUMPRODUCT(--('Данные 1st'!$S$2:$S$317=$A53),--ISNUMBER('Данные 1st'!$IF$2:$IF$317))</f>
        <v>3</v>
      </c>
      <c r="ED53">
        <f>SUMPRODUCT(--('Данные 1st'!$S$2:$S$317=$A53),--ISNUMBER('Данные 1st'!$IP$2:$IP$317))</f>
        <v>3</v>
      </c>
      <c r="EE53">
        <f>SUMPRODUCT(--('Данные 1st'!$S$2:$S$317=$A53),--ISNUMBER('Данные 1st'!$IV$2:$IV$317))</f>
        <v>3</v>
      </c>
      <c r="EF53">
        <f>SUMPRODUCT(--('Данные 1st'!$S$2:$S$317=$A53),--ISNUMBER('Данные 1st'!$IW$2:$IW$317))</f>
        <v>3</v>
      </c>
      <c r="EG53">
        <f>SUMPRODUCT(--('Данные 1st'!$S$2:$S$317=$A53),--ISNUMBER('Данные 1st'!$IX$2:$IX$317))</f>
        <v>0</v>
      </c>
      <c r="EH53">
        <f>SUMPRODUCT(--('Данные 1st'!$S$2:$S$317=$A53),--ISNUMBER('Данные 1st'!$IY$2:$IY$317))</f>
        <v>0</v>
      </c>
      <c r="EI53">
        <f>SUMPRODUCT(--('Данные 1st'!$S$2:$S$317=$A53),--ISNUMBER('Данные 1st'!$JD$2:$JD$317))</f>
        <v>3</v>
      </c>
      <c r="EJ53">
        <f>SUMPRODUCT(--('Данные 1st'!$S$2:$S$317=$A53),--ISNUMBER('Данные 1st'!$JE$2:$JE$317))</f>
        <v>3</v>
      </c>
      <c r="EK53">
        <f>SUMPRODUCT(--('Данные 1st'!$S$2:$S$317=$A53),--ISNUMBER('Данные 1st'!$JF$2:$JF$317))</f>
        <v>3</v>
      </c>
      <c r="EL53">
        <f>SUMPRODUCT(--('Данные 1st'!$S$2:$S$317=$A53),--ISNUMBER('Данные 1st'!$JG$2:$JG$317))</f>
        <v>3</v>
      </c>
      <c r="EM53">
        <f>SUMPRODUCT(--('Данные 1st'!$S$2:$S$317=$A53),--ISNUMBER('Данные 1st'!$JH$2:$JH$317))</f>
        <v>3</v>
      </c>
      <c r="EN53">
        <f>SUMPRODUCT(--('Данные 1st'!$S$2:$S$317=$A53),--ISNUMBER('Данные 1st'!$JJ$2:$JJ$317))</f>
        <v>3</v>
      </c>
      <c r="EO53">
        <f>SUMPRODUCT(--('Данные 1st'!$S$2:$S$317=$A53),--ISNUMBER('Данные 1st'!$JK$2:$JK$317))</f>
        <v>3</v>
      </c>
      <c r="EP53">
        <f>SUMPRODUCT(--('Данные 1st'!$S$2:$S$317=$A53),--ISNUMBER('Данные 1st'!$JL$2:$JL$317))</f>
        <v>0</v>
      </c>
      <c r="EQ53">
        <f>SUMPRODUCT(--('Данные 1st'!$S$2:$S$317=$A53),--ISNUMBER('Данные 1st'!$JM$2:$JM$317))</f>
        <v>0</v>
      </c>
      <c r="ER53">
        <f>SUMPRODUCT(--('Данные 1st'!$S$2:$S$317=$A53),--ISNUMBER('Данные 1st'!$JN$2:$JN$317))</f>
        <v>3</v>
      </c>
      <c r="ES53">
        <f>SUMPRODUCT(--('Данные 1st'!$S$2:$S$317=$A53),--ISNUMBER('Данные 1st'!$JO$2:$JO$317))</f>
        <v>3</v>
      </c>
      <c r="ET53">
        <f>SUMPRODUCT(--('Данные 1st'!$S$2:$S$317=$A53),--ISNUMBER('Данные 1st'!$JP$2:$JP$317))</f>
        <v>3</v>
      </c>
      <c r="EU53">
        <f>SUMPRODUCT(--('Данные 1st'!$S$2:$S$317=$A53),--ISNUMBER('Данные 1st'!$JQ$2:$JQ$317))</f>
        <v>3</v>
      </c>
      <c r="EV53">
        <f>SUMPRODUCT(--('Данные 1st'!$S$2:$S$317=$A53),--ISNUMBER('Данные 1st'!$JR$2:$JR$317))</f>
        <v>3</v>
      </c>
      <c r="EW53">
        <f>SUMPRODUCT(--('Данные 1st'!$S$2:$S$317=$A53),--ISNUMBER('Данные 1st'!$JS$2:$JS$317))</f>
        <v>3</v>
      </c>
      <c r="EX53">
        <f>SUMPRODUCT(--('Данные 1st'!$S$2:$S$317=$A53),--ISNUMBER('Данные 1st'!$JT$2:$JT$317))</f>
        <v>0</v>
      </c>
      <c r="EY53">
        <f>SUMPRODUCT(--('Данные 1st'!$S$2:$S$317=$A53),--ISNUMBER('Данные 1st'!$JU$2:$JU$317))</f>
        <v>0</v>
      </c>
      <c r="EZ53">
        <f>SUMPRODUCT(--('Данные 1st'!$S$2:$S$317=$A53),--ISNUMBER('Данные 1st'!$JV$2:$JV$317))</f>
        <v>3</v>
      </c>
      <c r="FA53">
        <f>SUMPRODUCT(--('Данные 1st'!$S$2:$S$317=$A53),--ISNUMBER('Данные 1st'!$JW$2:$JW$317))</f>
        <v>0</v>
      </c>
      <c r="FB53">
        <f>SUMPRODUCT(--('Данные 1st'!$S$2:$S$317=$A53),--ISNUMBER('Данные 1st'!$JX$2:$JX$317))</f>
        <v>3</v>
      </c>
      <c r="FC53">
        <f>SUMPRODUCT(--('Данные 1st'!$S$2:$S$317=$A53),--ISNUMBER('Данные 1st'!$JY$2:$JY$317))</f>
        <v>0</v>
      </c>
      <c r="FD53">
        <f>SUMPRODUCT(--('Данные 1st'!$S$2:$S$317=$A53),--ISNUMBER('Данные 1st'!$JZ$2:$JZ$317))</f>
        <v>0</v>
      </c>
      <c r="FE53">
        <f>SUMPRODUCT(--('Данные 1st'!$S$2:$S$317=$A53),--ISNUMBER('Данные 1st'!$KA$2:$KA$317))</f>
        <v>3</v>
      </c>
      <c r="FF53">
        <f>SUMPRODUCT(--('Данные 1st'!$S$2:$S$317=$A53),--ISNUMBER('Данные 1st'!$KB$2:$KB$317))</f>
        <v>3</v>
      </c>
      <c r="FG53">
        <f>SUMPRODUCT(--('Данные 1st'!$S$2:$S$317=$A53),--ISNUMBER('Данные 1st'!$KC$2:$KC$317))</f>
        <v>3</v>
      </c>
      <c r="FH53">
        <f>SUMPRODUCT(--('Данные 1st'!$S$2:$S$317=$A53),--ISNUMBER('Данные 1st'!$KD$2:$KD$317))</f>
        <v>3</v>
      </c>
      <c r="FI53">
        <f>SUMPRODUCT(--('Данные 1st'!$S$2:$S$317=$A53),--ISNUMBER('Данные 1st'!$KE$2:$KE$317))</f>
        <v>0</v>
      </c>
      <c r="FJ53">
        <f>SUMPRODUCT(--('Данные 1st'!$S$2:$S$317=$A53),--ISNUMBER('Данные 1st'!$KF$2:$KF$317))</f>
        <v>3</v>
      </c>
      <c r="FK53">
        <f>SUMPRODUCT(--('Данные 1st'!$S$2:$S$317=$A53),--ISNUMBER('Данные 1st'!$KG$2:$KG$317))</f>
        <v>3</v>
      </c>
      <c r="FL53">
        <f>SUMPRODUCT(--('Данные 1st'!$S$2:$S$317=$A53),--ISNUMBER('Данные 1st'!$KH$2:$KH$317))</f>
        <v>3</v>
      </c>
      <c r="FM53">
        <f>SUMPRODUCT(--('Данные 1st'!$S$2:$S$317=$A53),--ISNUMBER('Данные 1st'!$KI$2:$KI$317))</f>
        <v>3</v>
      </c>
      <c r="FN53">
        <f>SUMPRODUCT(--('Данные 1st'!$S$2:$S$317=$A53),--ISNUMBER('Данные 1st'!$KJ$2:$KJ$317))</f>
        <v>3</v>
      </c>
      <c r="FO53">
        <f>SUMPRODUCT(--('Данные 1st'!$S$2:$S$317=$A53),--ISNUMBER('Данные 1st'!$KK$2:$KK$317))</f>
        <v>3</v>
      </c>
      <c r="FP53">
        <f>SUMPRODUCT(--('Данные 1st'!$S$2:$S$317=$A53),--ISNUMBER('Данные 1st'!$KL$2:$KL$317))</f>
        <v>3</v>
      </c>
      <c r="FQ53">
        <f>SUMPRODUCT(--('Данные 1st'!$S$2:$S$317=$A53),--ISNUMBER('Данные 1st'!$KM$2:$KM$317))</f>
        <v>3</v>
      </c>
      <c r="FR53">
        <f>SUMPRODUCT(--('Данные 1st'!$S$2:$S$317=$A53),--ISNUMBER('Данные 1st'!$KN$2:$KN$317))</f>
        <v>3</v>
      </c>
      <c r="FS53">
        <f>SUMPRODUCT(--('Данные 1st'!$S$2:$S$317=$A53),--ISNUMBER('Данные 1st'!$KR$2:$KR$317))</f>
        <v>3</v>
      </c>
      <c r="FT53">
        <f>SUMPRODUCT(--('Данные 1st'!$S$2:$S$317=$A53),--ISNUMBER('Данные 1st'!$KS$2:$KS$317))</f>
        <v>3</v>
      </c>
      <c r="FU53">
        <f>SUMPRODUCT(--('Данные 1st'!$S$2:$S$317=$A53),--ISNUMBER('Данные 1st'!$KT$2:$KT$317))</f>
        <v>3</v>
      </c>
      <c r="FV53">
        <f>SUMPRODUCT(--('Данные 1st'!$S$2:$S$317=$A53),--ISNUMBER('Данные 1st'!$KV$2:$KV$317))</f>
        <v>0</v>
      </c>
      <c r="FW53">
        <f>SUMPRODUCT(--('Данные 1st'!$S$2:$S$317=$A53),--ISNUMBER('Данные 1st'!$KW$2:$KW$317))</f>
        <v>0</v>
      </c>
      <c r="FX53">
        <f>SUMPRODUCT(--('Данные 1st'!$S$2:$S$317=$A53),--ISNUMBER('Данные 1st'!$KX$2:$KX$317))</f>
        <v>0</v>
      </c>
      <c r="FY53">
        <f>SUMPRODUCT(--('Данные 1st'!$S$2:$S$317=$A53),--ISNUMBER('Данные 1st'!$KY$2:$KY$317))</f>
        <v>0</v>
      </c>
      <c r="FZ53">
        <f>SUMPRODUCT(--('Данные 1st'!$S$2:$S$317=$A53),--ISNUMBER('Данные 1st'!$KZ$2:$KZ$317))</f>
        <v>0</v>
      </c>
      <c r="GA53">
        <f>SUMPRODUCT(--('Данные 1st'!$S$2:$S$317=$A53),--ISNUMBER('Данные 1st'!$LA$2:$LA$317))</f>
        <v>0</v>
      </c>
      <c r="GB53">
        <f>SUMPRODUCT(--('Данные 1st'!$S$2:$S$317=$A53),--ISNUMBER('Данные 1st'!$LB$2:$LB$317))</f>
        <v>0</v>
      </c>
      <c r="GC53">
        <f>SUMPRODUCT(--('Данные 1st'!$S$2:$S$317=$A53),--ISNUMBER('Данные 1st'!$LC$2:$LC$317))</f>
        <v>0</v>
      </c>
      <c r="GD53">
        <f>SUMPRODUCT(--('Данные 1st'!$S$2:$S$317=$A53),--ISNUMBER('Данные 1st'!$LD$2:$LD$317))</f>
        <v>0</v>
      </c>
      <c r="GE53">
        <f>SUMPRODUCT(--('Данные 1st'!$S$2:$S$317=$A53),--ISNUMBER('Данные 1st'!$LE$2:$LE$317))</f>
        <v>0</v>
      </c>
      <c r="GF53">
        <f>SUMPRODUCT(--('Данные 1st'!$S$2:$S$317=$A53),--ISNUMBER('Данные 1st'!$LF$2:$LF$317))</f>
        <v>0</v>
      </c>
      <c r="GG53">
        <f>SUMPRODUCT(--('Данные 1st'!$S$2:$S$317=$A53),--ISNUMBER('Данные 1st'!$LG$2:$LG$317))</f>
        <v>0</v>
      </c>
      <c r="GH53">
        <f>SUMPRODUCT(--('Данные 1st'!$S$2:$S$317=$A53),--ISNUMBER('Данные 1st'!$LH$2:$LH$317))</f>
        <v>0</v>
      </c>
      <c r="GI53">
        <f>SUMPRODUCT(--('Данные 1st'!$S$2:$S$317=$A53),--ISNUMBER('Данные 1st'!$LI$2:$LI$317))</f>
        <v>0</v>
      </c>
      <c r="GJ53">
        <f>SUMPRODUCT(--('Данные 1st'!$S$2:$S$317=$A53),--ISNUMBER('Данные 1st'!$LJ$2:$LJ$317))</f>
        <v>0</v>
      </c>
      <c r="GK53">
        <f>SUMPRODUCT(--('Данные 1st'!$S$2:$S$317=$A53),--ISNUMBER('Данные 1st'!$LK$2:$LK$317))</f>
        <v>3</v>
      </c>
      <c r="GL53">
        <f>SUMPRODUCT(--('Данные 1st'!$S$2:$S$317=$A53),--ISNUMBER('Данные 1st'!$LV$2:$LV$317))</f>
        <v>0</v>
      </c>
      <c r="GM53">
        <f>SUMPRODUCT(--('Данные 1st'!$S$2:$S$317=$A53),--ISNUMBER('Данные 1st'!$LW$2:$LW$317))</f>
        <v>0</v>
      </c>
      <c r="GN53">
        <f>SUMPRODUCT(--('Данные 1st'!$S$2:$S$317=$A53),--ISNUMBER('Данные 1st'!$LX$2:$LX$317))</f>
        <v>0</v>
      </c>
      <c r="GO53">
        <f>SUMPRODUCT(--('Данные 1st'!$S$2:$S$317=$A53),--ISNUMBER('Данные 1st'!$LY$2:$LY$317))</f>
        <v>0</v>
      </c>
      <c r="GP53">
        <f>SUMPRODUCT(--('Данные 1st'!$S$2:$S$317=$A53),--ISNUMBER('Данные 1st'!$LZ$2:$LZ$317))</f>
        <v>0</v>
      </c>
      <c r="GQ53">
        <f>SUMPRODUCT(--('Данные 1st'!$S$2:$S$317=$A53),--ISNUMBER('Данные 1st'!$PG$2:$PG$317))</f>
        <v>3</v>
      </c>
      <c r="GR53">
        <f>SUMPRODUCT(--('Данные 1st'!$S$2:$S$317=$A53),--ISNUMBER('Данные 1st'!$PX$2:$PX$317))</f>
        <v>3</v>
      </c>
      <c r="GS53">
        <f>SUMPRODUCT(--('Данные 1st'!$S$2:$S$317=$A53),--ISNUMBER('Данные 1st'!$PY$2:$PY$317))</f>
        <v>3</v>
      </c>
      <c r="GT53">
        <f>SUMPRODUCT(--('Данные 1st'!$S$2:$S$317=$A53),--ISNUMBER('Данные 1st'!$QA$2:$QA$317))</f>
        <v>3</v>
      </c>
      <c r="GU53">
        <f>SUMPRODUCT(--('Данные 1st'!$S$2:$S$317=$A53),--ISNUMBER('Данные 1st'!$QB$2:$QB$317))</f>
        <v>3</v>
      </c>
      <c r="GV53">
        <f>SUMPRODUCT(--('Данные 1st'!$S$2:$S$317=$A53),--ISNUMBER('Данные 1st'!$QC$2:$QC$317))</f>
        <v>3</v>
      </c>
      <c r="GW53">
        <f>SUMPRODUCT(--('Данные 1st'!$S$2:$S$317=$A53),--ISNUMBER('Данные 1st'!$QD$2:$QD$317))</f>
        <v>3</v>
      </c>
      <c r="GX53">
        <f>SUMPRODUCT(--('Данные 1st'!$S$2:$S$317=$A53),--ISNUMBER('Данные 1st'!$QF$2:$QF$317))</f>
        <v>3</v>
      </c>
      <c r="GY53">
        <f>SUMPRODUCT(--('Данные 1st'!$S$2:$S$317=$A53),--ISNUMBER('Данные 1st'!$QG$2:$QG$317))</f>
        <v>3</v>
      </c>
      <c r="GZ53">
        <f>SUMPRODUCT(--('Данные 1st'!$S$2:$S$317=$A53),--ISNUMBER('Данные 1st'!$QH$2:$QH$317))</f>
        <v>3</v>
      </c>
      <c r="HA53">
        <f>SUMPRODUCT(--('Данные 1st'!$S$2:$S$317=$A53),--ISNUMBER('Данные 1st'!$QI$2:$QI$317))</f>
        <v>3</v>
      </c>
      <c r="HB53">
        <f>SUMPRODUCT(--('Данные 1st'!$S$2:$S$317=$A53),--ISNUMBER('Данные 1st'!$QK$2:$QK$317))</f>
        <v>0</v>
      </c>
      <c r="HC53">
        <f>SUMPRODUCT(--('Данные 1st'!$S$2:$S$317=$A53),--ISNUMBER('Данные 1st'!$QL$2:$QL$317))</f>
        <v>3</v>
      </c>
      <c r="HD53">
        <f>SUMPRODUCT(--('Данные 1st'!$S$2:$S$317=$A53),--ISNUMBER('Данные 1st'!$QM$2:$QM$317))</f>
        <v>3</v>
      </c>
      <c r="HE53">
        <f>SUMPRODUCT(--('Данные 1st'!$S$2:$S$317=$A53),--ISNUMBER('Данные 1st'!$QN$2:$QN$317))</f>
        <v>3</v>
      </c>
      <c r="HF53">
        <f>SUMPRODUCT(--('Данные 1st'!$S$2:$S$317=$A53),--ISNUMBER('Данные 1st'!$QP$2:$QP$317))</f>
        <v>3</v>
      </c>
      <c r="HG53">
        <f>SUMPRODUCT(--('Данные 1st'!$S$2:$S$317=$A53),--ISNUMBER('Данные 1st'!$QQ$2:$QQ$317))</f>
        <v>3</v>
      </c>
      <c r="HH53">
        <f>SUMPRODUCT(--('Данные 1st'!$S$2:$S$317=$A53),--ISNUMBER('Данные 1st'!$QR$2:$QR$317))</f>
        <v>2</v>
      </c>
      <c r="HI53">
        <f>SUMPRODUCT(--('Данные 1st'!$S$2:$S$317=$A53),--ISNUMBER('Данные 1st'!$QS$2:$QS$317))</f>
        <v>2</v>
      </c>
      <c r="HJ53">
        <f>SUMPRODUCT(--('Данные 1st'!$S$2:$S$317=$A53),--ISNUMBER('Данные 1st'!$QU$2:$QU$317))</f>
        <v>2</v>
      </c>
      <c r="HK53">
        <f>SUMPRODUCT(--('Данные 1st'!$S$2:$S$317=$A53),--ISNUMBER('Данные 1st'!$QV$2:$QV$317))</f>
        <v>2</v>
      </c>
      <c r="HL53">
        <f>SUMPRODUCT(--('Данные 1st'!$S$2:$S$317=$A53),--ISNUMBER('Данные 1st'!$QW$2:$QW$317))</f>
        <v>3</v>
      </c>
      <c r="HM53">
        <f>SUMPRODUCT(--('Данные 1st'!$S$2:$S$317=$A53),--ISNUMBER('Данные 1st'!$QX$2:$QX$317))</f>
        <v>3</v>
      </c>
      <c r="HN53">
        <f>SUMPRODUCT(--('Данные 1st'!$S$2:$S$317=$A53),--ISNUMBER('Данные 1st'!$QZ$2:$QZ$317))</f>
        <v>3</v>
      </c>
      <c r="HO53">
        <f>SUMPRODUCT(--('Данные 1st'!$S$2:$S$317=$A53),--ISNUMBER('Данные 1st'!$RA$2:$RA$317))</f>
        <v>3</v>
      </c>
      <c r="HP53">
        <f>SUMPRODUCT(--('Данные 1st'!$S$2:$S$317=$A53),--ISNUMBER('Данные 1st'!$RB$2:$RB$317))</f>
        <v>3</v>
      </c>
      <c r="HQ53">
        <f>SUMPRODUCT(--('Данные 1st'!$S$2:$S$317=$A53),--ISNUMBER('Данные 1st'!$RD$2:$RD$317))</f>
        <v>0</v>
      </c>
      <c r="HR53">
        <f>SUMPRODUCT(--('Данные 1st'!$S$2:$S$317=$A53),--ISNUMBER('Данные 1st'!$RE$2:$RE$317))</f>
        <v>3</v>
      </c>
      <c r="HS53">
        <f>SUMPRODUCT(--('Данные 1st'!$S$2:$S$317=$A53),--ISNUMBER('Данные 1st'!$RF$2:$RF$317))</f>
        <v>3</v>
      </c>
      <c r="HT53">
        <f>SUMPRODUCT(--('Данные 1st'!$S$2:$S$317=$A53),--ISNUMBER('Данные 1st'!$RG$2:$RG$317))</f>
        <v>0</v>
      </c>
      <c r="HU53">
        <f>SUMPRODUCT(--('Данные 1st'!$S$2:$S$317=$A53),--ISNUMBER('Данные 1st'!$RH$2:$RH$317))</f>
        <v>2</v>
      </c>
      <c r="HV53">
        <f>SUMPRODUCT(--('Данные 1st'!$S$2:$S$317=$A53),--ISNUMBER('Данные 1st'!$RI$2:$RI$317))</f>
        <v>0</v>
      </c>
      <c r="HW53">
        <f>SUMPRODUCT(--('Данные 1st'!$S$2:$S$317=$A53),--ISNUMBER('Данные 1st'!$RJ$2:$RJ$317))</f>
        <v>3</v>
      </c>
      <c r="HX53">
        <f>SUMPRODUCT(--('Данные 1st'!$S$2:$S$317=$A53),--ISNUMBER('Данные 1st'!$RK$2:$RK$317))</f>
        <v>0</v>
      </c>
      <c r="HY53">
        <f>SUMPRODUCT(--('Данные 1st'!$S$2:$S$317=$A53),--ISNUMBER('Данные 1st'!$RL$2:$RL$317))</f>
        <v>3</v>
      </c>
      <c r="HZ53">
        <f>SUMPRODUCT(--('Данные 1st'!$S$2:$S$317=$A53),--ISNUMBER('Данные 1st'!$RM$2:$RM$317))</f>
        <v>2</v>
      </c>
      <c r="IA53">
        <f>SUMPRODUCT(--('Данные 1st'!$S$2:$S$317=$A53),--ISNUMBER('Данные 1st'!$RN$2:$RN$317))</f>
        <v>0</v>
      </c>
      <c r="IB53">
        <f>SUMPRODUCT(--('Данные 1st'!$S$2:$S$317=$A53),--ISNUMBER('Данные 1st'!$RO$2:$RO$317))</f>
        <v>3</v>
      </c>
      <c r="IC53">
        <f>SUMPRODUCT(--('Данные 1st'!$S$2:$S$317=$A53),--ISNUMBER('Данные 1st'!$RP$2:$RP$317))</f>
        <v>0</v>
      </c>
      <c r="ID53">
        <f>SUMPRODUCT(--('Данные 1st'!$S$2:$S$317=$A53),--ISNUMBER('Данные 1st'!$RQ$2:$RQ$317))</f>
        <v>3</v>
      </c>
      <c r="IE53">
        <f>SUMPRODUCT(--('Данные 1st'!$S$2:$S$317=$A53),--ISNUMBER('Данные 1st'!$RR$2:$RR$317))</f>
        <v>2</v>
      </c>
      <c r="IF53">
        <f>SUMPRODUCT(--('Данные 1st'!$S$2:$S$317=$A53),--ISNUMBER('Данные 1st'!$RS$2:$RS$317))</f>
        <v>0</v>
      </c>
      <c r="IG53">
        <f>SUMPRODUCT(--('Данные 1st'!$S$2:$S$317=$A53),--ISNUMBER('Данные 1st'!$RT$2:$RT$317))</f>
        <v>3</v>
      </c>
      <c r="IH53">
        <f>SUMPRODUCT(--('Данные 1st'!$S$2:$S$317=$A53),--ISNUMBER('Данные 1st'!$RU$2:$RU$317))</f>
        <v>3</v>
      </c>
      <c r="II53">
        <f>SUMPRODUCT(--('Данные 1st'!$S$2:$S$317=$A53),--ISNUMBER('Данные 1st'!$RX$2:$RX$317))</f>
        <v>3</v>
      </c>
      <c r="IJ53">
        <f>SUMPRODUCT(--('Данные 1st'!$S$2:$S$317=$A53),--ISNUMBER('Данные 1st'!$RY$2:$RY$317))</f>
        <v>3</v>
      </c>
      <c r="IK53">
        <f>SUMPRODUCT(--('Данные 1st'!$S$2:$S$317=$A53),--ISNUMBER('Данные 1st'!$SA$2:$SA$317))</f>
        <v>3</v>
      </c>
      <c r="IL53">
        <f>SUMPRODUCT(--('Данные 1st'!$S$2:$S$317=$A53),--ISNUMBER('Данные 1st'!$SD$2:$SD$317))</f>
        <v>3</v>
      </c>
      <c r="IM53">
        <f>SUMPRODUCT(--('Данные 1st'!$S$2:$S$317=$A53),--ISNUMBER('Данные 1st'!$SG$2:$SG$317))</f>
        <v>2</v>
      </c>
      <c r="IN53">
        <f>SUMPRODUCT(--('Данные 1st'!$S$2:$S$317=$A53),--ISNUMBER('Данные 1st'!$SH$2:$SH$317))</f>
        <v>3</v>
      </c>
      <c r="IO53">
        <f>SUMPRODUCT(--('Данные 1st'!$S$2:$S$317=$A53),--ISNUMBER('Данные 1st'!$SI$2:$SI$317))</f>
        <v>3</v>
      </c>
      <c r="IP53">
        <f>SUMPRODUCT(--('Данные 1st'!$S$2:$S$317=$A53),--ISNUMBER('Данные 1st'!$SJ$2:$SJ$317))</f>
        <v>3</v>
      </c>
      <c r="IQ53">
        <f>SUMPRODUCT(--('Данные 1st'!$S$2:$S$317=$A53),--ISNUMBER('Данные 1st'!$SK$2:$SK$317))</f>
        <v>3</v>
      </c>
      <c r="IR53">
        <f>SUMPRODUCT(--('Данные 1st'!$S$2:$S$317=$A53),--ISNUMBER('Данные 1st'!$SL$2:$SL$317))</f>
        <v>3</v>
      </c>
      <c r="IS53">
        <f>SUMPRODUCT(--('Данные 1st'!$S$2:$S$317=$A53),--ISNUMBER('Данные 1st'!$SM$2:$SM$317))</f>
        <v>3</v>
      </c>
      <c r="IT53">
        <f>SUMPRODUCT(--('Данные 1st'!$S$2:$S$317=$A53),--ISNUMBER('Данные 1st'!$SN$2:$SN$317))</f>
        <v>3</v>
      </c>
      <c r="IU53">
        <f>SUMPRODUCT(--('Данные 1st'!$S$2:$S$317=$A53),--ISNUMBER('Данные 1st'!$SO$2:$SO$317))</f>
        <v>3</v>
      </c>
      <c r="IV53">
        <f>SUMPRODUCT(--('Данные 1st'!$S$2:$S$317=$A53),--ISNUMBER('Данные 1st'!$SP$2:$SP$317))</f>
        <v>3</v>
      </c>
      <c r="IW53">
        <f>SUMPRODUCT(--('Данные 1st'!$S$2:$S$317=$A53),--ISNUMBER('Данные 1st'!$SQ$2:$SQ$317))</f>
        <v>3</v>
      </c>
      <c r="IX53">
        <f>SUMPRODUCT(--('Данные 1st'!$S$2:$S$317=$A53),--ISNUMBER('Данные 1st'!$SR$2:$SR$317))</f>
        <v>3</v>
      </c>
      <c r="IY53">
        <f>SUMPRODUCT(--('Данные 1st'!$S$2:$S$317=$A53),--ISNUMBER('Данные 1st'!$SS$2:$SS$317))</f>
        <v>3</v>
      </c>
      <c r="IZ53">
        <f>SUMPRODUCT(--('Данные 1st'!$S$2:$S$317=$A53),--ISNUMBER('Данные 1st'!$ST$2:$ST$317))</f>
        <v>3</v>
      </c>
      <c r="JA53">
        <f>SUMPRODUCT(--('Данные 1st'!$S$2:$S$317=$A53),--ISNUMBER('Данные 1st'!$SU$2:$SU$317))</f>
        <v>3</v>
      </c>
      <c r="JB53">
        <f>SUMPRODUCT(--('Данные 1st'!$S$2:$S$317=$A53),--ISNUMBER('Данные 1st'!$SV$2:$SV$317))</f>
        <v>3</v>
      </c>
      <c r="JC53">
        <f>SUMPRODUCT(--('Данные 1st'!$S$2:$S$317=$A53),--ISNUMBER('Данные 1st'!$SW$2:$SW$317))</f>
        <v>3</v>
      </c>
      <c r="JD53">
        <f>SUMPRODUCT(--('Данные 1st'!$S$2:$S$317=$A53),--ISNUMBER('Данные 1st'!$SX$2:$SX$317))</f>
        <v>3</v>
      </c>
      <c r="JE53">
        <f>SUMPRODUCT(--('Данные 1st'!$S$2:$S$317=$A53),--ISNUMBER('Данные 1st'!$SY$2:$SY$317))</f>
        <v>0</v>
      </c>
      <c r="JF53">
        <f>SUMPRODUCT(--('Данные 1st'!$S$2:$S$317=$A53),--ISNUMBER('Данные 1st'!$SZ$2:$SZ$317))</f>
        <v>2</v>
      </c>
      <c r="JG53">
        <f>SUMPRODUCT(--('Данные 1st'!$S$2:$S$317=$A53),--ISNUMBER('Данные 1st'!$TA$2:$TA$317))</f>
        <v>0</v>
      </c>
      <c r="JH53">
        <f>SUMPRODUCT(--('Данные 1st'!$S$2:$S$317=$A53),--ISNUMBER('Данные 1st'!$TB$2:$TB$317))</f>
        <v>3</v>
      </c>
      <c r="JI53">
        <f>SUMPRODUCT(--('Данные 1st'!$S$2:$S$317=$A53),--ISNUMBER('Данные 1st'!$TC$2:$TC$317))</f>
        <v>3</v>
      </c>
      <c r="JJ53">
        <f>SUMPRODUCT(--('Данные 1st'!$S$2:$S$317=$A53),--ISNUMBER('Данные 1st'!$TD$2:$TD$317))</f>
        <v>3</v>
      </c>
      <c r="JK53">
        <f>SUMPRODUCT(--('Данные 1st'!$S$2:$S$317=$A53),--ISNUMBER('Данные 1st'!$TN$2:$TN$317))</f>
        <v>3</v>
      </c>
      <c r="JQ53">
        <f>SUMPRODUCT(--('Данные 2st'!$Q$2:$Q$317=$A53),--ISNUMBER('Данные 2st'!$AC$2:$AC$317))</f>
        <v>3</v>
      </c>
      <c r="JR53">
        <f>SUMPRODUCT(--('Данные 2st'!$Q$2:$Q$317=$A53),--ISNUMBER('Данные 2st'!$AF$2:$AF$317))</f>
        <v>3</v>
      </c>
      <c r="JS53">
        <f>SUMPRODUCT(--('Данные 2st'!$Q$2:$Q$317=$A53),--ISNUMBER('Данные 2st'!$AW$2:$AW$317))</f>
        <v>3</v>
      </c>
      <c r="JT53">
        <f>SUMPRODUCT(--('Данные 2st'!$Q$2:$Q$317=$A53),--ISNUMBER('Данные 2st'!$AX$2:$AX$317))</f>
        <v>3</v>
      </c>
      <c r="JU53">
        <f>SUMPRODUCT(--('Данные 2st'!$Q$2:$Q$317=$A53),--ISNUMBER('Данные 2st'!$AY$2:$AY$317))</f>
        <v>3</v>
      </c>
      <c r="JV53">
        <f>SUMPRODUCT(--('Данные 2st'!$Q$2:$Q$317=$A53),--ISNUMBER('Данные 2st'!$AZ$2:$AZ$317))</f>
        <v>3</v>
      </c>
      <c r="JW53">
        <f>SUMPRODUCT(--('Данные 2st'!$Q$2:$Q$317=$A53),--ISNUMBER('Данные 2st'!$BA$2:$BA$317))</f>
        <v>0</v>
      </c>
      <c r="JX53">
        <f>SUMPRODUCT(--('Данные 2st'!$Q$2:$Q$317=$A53),--ISNUMBER('Данные 2st'!$BB$2:$BB$317))</f>
        <v>1</v>
      </c>
      <c r="JY53">
        <f>SUMPRODUCT(--('Данные 2st'!$Q$2:$Q$317=$A53),--ISNUMBER('Данные 2st'!$BC$2:$BC$317))</f>
        <v>0</v>
      </c>
      <c r="JZ53">
        <f>SUMPRODUCT(--('Данные 2st'!$Q$2:$Q$317=$A53),--ISNUMBER('Данные 2st'!$BH$2:$BH$317))</f>
        <v>3</v>
      </c>
      <c r="KA53">
        <f>SUMPRODUCT(--('Данные 2st'!$Q$2:$Q$317=$A53),--ISNUMBER('Данные 2st'!$BI$2:$BI$317))</f>
        <v>3</v>
      </c>
      <c r="KB53">
        <f>SUMPRODUCT(--('Данные 2st'!$Q$2:$Q$317=$A53),--ISNUMBER('Данные 2st'!$BJ$2:$BJ$317))</f>
        <v>3</v>
      </c>
      <c r="KC53">
        <f>SUMPRODUCT(--('Данные 2st'!$Q$2:$Q$317=$A53),--ISNUMBER('Данные 2st'!$BK$2:$BK$317))</f>
        <v>3</v>
      </c>
      <c r="KD53">
        <f>SUMPRODUCT(--('Данные 2st'!$Q$2:$Q$317=$A53),--ISNUMBER('Данные 2st'!$BL$2:$BL$317))</f>
        <v>3</v>
      </c>
      <c r="KE53">
        <f>SUMPRODUCT(--('Данные 2st'!$Q$2:$Q$317=$A53),--ISNUMBER('Данные 2st'!$BM$2:$BM$317))</f>
        <v>3</v>
      </c>
      <c r="KF53">
        <f>SUMPRODUCT(--('Данные 2st'!$Q$2:$Q$317=$A53),--ISNUMBER('Данные 2st'!$BN$2:$BN$317))</f>
        <v>3</v>
      </c>
      <c r="KG53">
        <f>SUMPRODUCT(--('Данные 2st'!$Q$2:$Q$317=$A53),--ISNUMBER('Данные 2st'!$BO$2:$BO$317))</f>
        <v>0</v>
      </c>
      <c r="KH53">
        <f>SUMPRODUCT(--('Данные 2st'!$Q$2:$Q$317=$A53),--ISNUMBER('Данные 2st'!$BP$2:$BP$317))</f>
        <v>3</v>
      </c>
      <c r="KI53">
        <f>SUMPRODUCT(--('Данные 2st'!$Q$2:$Q$317=$A53),--ISNUMBER('Данные 2st'!$BR$2:$BR$317))</f>
        <v>3</v>
      </c>
      <c r="KJ53">
        <f>SUMPRODUCT(--('Данные 2st'!$Q$2:$Q$317=$A53),--ISNUMBER('Данные 2st'!$BS$2:$BS$317))</f>
        <v>3</v>
      </c>
      <c r="KK53">
        <f>SUMPRODUCT(--('Данные 2st'!$Q$2:$Q$317=$A53),--ISNUMBER('Данные 2st'!$BT$2:$BT$317))</f>
        <v>3</v>
      </c>
      <c r="KL53">
        <f>SUMPRODUCT(--('Данные 2st'!$Q$2:$Q$317=$A53),--ISNUMBER('Данные 2st'!$CV$2:$CV$317))</f>
        <v>3</v>
      </c>
      <c r="KM53">
        <f>SUMPRODUCT(--('Данные 2st'!$Q$2:$Q$317=$A53),--ISNUMBER('Данные 2st'!$CW$2:$CW$317))</f>
        <v>3</v>
      </c>
      <c r="KN53">
        <f>SUMPRODUCT(--('Данные 2st'!$Q$2:$Q$317=$A53),--ISNUMBER('Данные 2st'!$CX$2:$CX$317))</f>
        <v>3</v>
      </c>
      <c r="KO53">
        <f>SUMPRODUCT(--('Данные 2st'!$Q$2:$Q$317=$A53),--ISNUMBER('Данные 2st'!$CY$2:$CY$317))</f>
        <v>3</v>
      </c>
      <c r="KP53">
        <f>SUMPRODUCT(--('Данные 2st'!$Q$2:$Q$317=$A53),--ISNUMBER('Данные 2st'!$CZ$2:$CZ$317))</f>
        <v>3</v>
      </c>
      <c r="KQ53">
        <f>SUMPRODUCT(--('Данные 2st'!$Q$2:$Q$317=$A53),--ISNUMBER('Данные 2st'!$DA$2:$DA$317))</f>
        <v>3</v>
      </c>
      <c r="KR53">
        <f>SUMPRODUCT(--('Данные 2st'!$Q$2:$Q$317=$A53),--ISNUMBER('Данные 2st'!$DB$2:$DB$317))</f>
        <v>3</v>
      </c>
      <c r="KS53">
        <f>SUMPRODUCT(--('Данные 2st'!$Q$2:$Q$317=$A53),--ISNUMBER('Данные 2st'!$DC$2:$DC$317))</f>
        <v>3</v>
      </c>
      <c r="KT53">
        <f>SUMPRODUCT(--('Данные 2st'!$Q$2:$Q$317=$A53),--ISNUMBER('Данные 2st'!$DD$2:$DD$317))</f>
        <v>3</v>
      </c>
      <c r="KU53">
        <f>SUMPRODUCT(--('Данные 2st'!$Q$2:$Q$317=$A53),--ISNUMBER('Данные 2st'!$DE$2:$DE$317))</f>
        <v>3</v>
      </c>
      <c r="KV53">
        <f>SUMPRODUCT(--('Данные 2st'!$Q$2:$Q$317=$A53),--ISNUMBER('Данные 2st'!$DF$2:$DF$317))</f>
        <v>3</v>
      </c>
      <c r="KW53">
        <f>SUMPRODUCT(--('Данные 2st'!$Q$2:$Q$317=$A53),--ISNUMBER('Данные 2st'!$DG$2:$DG$317))</f>
        <v>3</v>
      </c>
      <c r="KX53">
        <f>SUMPRODUCT(--('Данные 2st'!$Q$2:$Q$317=$A53),--ISNUMBER('Данные 2st'!$DH$2:$DH$317))</f>
        <v>0</v>
      </c>
      <c r="KY53">
        <f>SUMPRODUCT(--('Данные 2st'!$Q$2:$Q$317=$A53),--ISNUMBER('Данные 2st'!$DI$2:$DI$317))</f>
        <v>0</v>
      </c>
      <c r="KZ53">
        <f>SUMPRODUCT(--('Данные 2st'!$Q$2:$Q$317=$A53),--ISNUMBER('Данные 2st'!$DK$2:$DK$317))</f>
        <v>3</v>
      </c>
      <c r="LA53">
        <f>SUMPRODUCT(--('Данные 2st'!$Q$2:$Q$317=$A53),--ISNUMBER('Данные 2st'!$DM$2:$DM$317))</f>
        <v>3</v>
      </c>
      <c r="LB53">
        <f>SUMPRODUCT(--('Данные 2st'!$Q$2:$Q$317=$A53),--ISNUMBER('Данные 2st'!$DN$2:$DN$317))</f>
        <v>3</v>
      </c>
      <c r="LC53">
        <f>SUMPRODUCT(--('Данные 2st'!$Q$2:$Q$317=$A53),--ISNUMBER('Данные 2st'!$DO$2:$DO$317))</f>
        <v>3</v>
      </c>
      <c r="LD53">
        <f>SUMPRODUCT(--('Данные 2st'!$Q$2:$Q$317=$A53),--ISNUMBER('Данные 2st'!$DP$2:$DP$317))</f>
        <v>3</v>
      </c>
      <c r="LE53">
        <f>SUMPRODUCT(--('Данные 2st'!$Q$2:$Q$317=$A53),--ISNUMBER('Данные 2st'!$DQ$2:$DQ$317))</f>
        <v>3</v>
      </c>
      <c r="LF53">
        <f>SUMPRODUCT(--('Данные 2st'!$Q$2:$Q$317=$A53),--ISNUMBER('Данные 2st'!$DS$2:$DS$317))</f>
        <v>3</v>
      </c>
      <c r="LG53">
        <f>SUMPRODUCT(--('Данные 2st'!$Q$2:$Q$317=$A53),--ISNUMBER('Данные 2st'!$DU$2:$DU$317))</f>
        <v>3</v>
      </c>
      <c r="LH53">
        <f>SUMPRODUCT(--('Данные 2st'!$Q$2:$Q$317=$A53),--ISNUMBER('Данные 2st'!$DV$2:$DV$317))</f>
        <v>3</v>
      </c>
      <c r="LI53">
        <f>SUMPRODUCT(--('Данные 2st'!$Q$2:$Q$317=$A53),--ISNUMBER('Данные 2st'!$DW$2:$DW$317))</f>
        <v>3</v>
      </c>
      <c r="LJ53">
        <f>SUMPRODUCT(--('Данные 2st'!$Q$2:$Q$317=$A53),--ISNUMBER('Данные 2st'!$DX$2:$DX$317))</f>
        <v>3</v>
      </c>
      <c r="LK53">
        <f>SUMPRODUCT(--('Данные 2st'!$Q$2:$Q$317=$A53),--ISNUMBER('Данные 2st'!$DY$2:$DY$317))</f>
        <v>3</v>
      </c>
      <c r="LL53">
        <f>SUMPRODUCT(--('Данные 2st'!$Q$2:$Q$317=$A53),--ISNUMBER('Данные 2st'!$EA$2:$EA$317))</f>
        <v>3</v>
      </c>
      <c r="LM53">
        <f>SUMPRODUCT(--('Данные 2st'!$Q$2:$Q$317=$A53),--ISNUMBER('Данные 2st'!$EC$2:$EC$317))</f>
        <v>3</v>
      </c>
      <c r="LN53">
        <f>SUMPRODUCT(--('Данные 2st'!$Q$2:$Q$317=$A53),--ISNUMBER('Данные 2st'!$ED$2:$ED$317))</f>
        <v>3</v>
      </c>
      <c r="LO53">
        <f>SUMPRODUCT(--('Данные 2st'!$Q$2:$Q$317=$A53),--ISNUMBER('Данные 2st'!$EE$2:$EE$317))</f>
        <v>3</v>
      </c>
      <c r="LP53">
        <f>SUMPRODUCT(--('Данные 2st'!$Q$2:$Q$317=$A53),--ISNUMBER('Данные 2st'!$EG$2:$EG$317))</f>
        <v>3</v>
      </c>
      <c r="LQ53">
        <f>SUMPRODUCT(--('Данные 2st'!$Q$2:$Q$317=$A53),--ISNUMBER('Данные 2st'!$EI$2:$EI$317))</f>
        <v>3</v>
      </c>
      <c r="LR53">
        <f>SUMPRODUCT(--('Данные 2st'!$Q$2:$Q$317=$A53),--ISNUMBER('Данные 2st'!$EJ$2:$EJ$317))</f>
        <v>0</v>
      </c>
      <c r="LS53">
        <f>SUMPRODUCT(--('Данные 2st'!$Q$2:$Q$317=$A53),--ISNUMBER('Данные 2st'!$EK$2:$EK$317))</f>
        <v>0</v>
      </c>
      <c r="LT53">
        <f>SUMPRODUCT(--('Данные 2st'!$Q$2:$Q$317=$A53),--ISNUMBER('Данные 2st'!$EM$2:$EM$317))</f>
        <v>3</v>
      </c>
      <c r="LU53">
        <f>SUMPRODUCT(--('Данные 2st'!$Q$2:$Q$317=$A53),--ISNUMBER('Данные 2st'!$EN$2:$EN$317))</f>
        <v>3</v>
      </c>
      <c r="LV53">
        <f>SUMPRODUCT(--('Данные 2st'!$Q$2:$Q$317=$A53),--ISNUMBER('Данные 2st'!$EO$2:$EO$317))</f>
        <v>3</v>
      </c>
      <c r="LW53">
        <f>SUMPRODUCT(--('Данные 2st'!$Q$2:$Q$317=$A53),--ISNUMBER('Данные 2st'!$EP$2:$EP$317))</f>
        <v>3</v>
      </c>
      <c r="LX53">
        <f>SUMPRODUCT(--('Данные 2st'!$Q$2:$Q$317=$A53),--ISNUMBER('Данные 2st'!$EQ$2:$EQ$317))</f>
        <v>3</v>
      </c>
      <c r="LY53">
        <f>SUMPRODUCT(--('Данные 2st'!$Q$2:$Q$317=$A53),--ISNUMBER('Данные 2st'!$ER$2:$ER$317))</f>
        <v>3</v>
      </c>
      <c r="LZ53">
        <f>SUMPRODUCT(--('Данные 2st'!$Q$2:$Q$317=$A53),--ISNUMBER('Данные 2st'!$ES$2:$ES$317))</f>
        <v>3</v>
      </c>
      <c r="MA53">
        <f>SUMPRODUCT(--('Данные 2st'!$Q$2:$Q$317=$A53),--ISNUMBER('Данные 2st'!$ET$2:$ET$317))</f>
        <v>3</v>
      </c>
      <c r="MB53">
        <f>SUMPRODUCT(--('Данные 2st'!$Q$2:$Q$317=$A53),--ISNUMBER('Данные 2st'!$EU$2:$EU$317))</f>
        <v>3</v>
      </c>
      <c r="MC53">
        <f>SUMPRODUCT(--('Данные 2st'!$Q$2:$Q$317=$A53),--ISNUMBER('Данные 2st'!$EV$2:$EV$317))</f>
        <v>3</v>
      </c>
      <c r="MD53">
        <f>SUMPRODUCT(--('Данные 2st'!$Q$2:$Q$317=$A53),--ISNUMBER('Данные 2st'!$EW$2:$EW$317))</f>
        <v>3</v>
      </c>
      <c r="ME53">
        <f>SUMPRODUCT(--('Данные 2st'!$Q$2:$Q$317=$A53),--ISNUMBER('Данные 2st'!$EY$2:$EY$317))</f>
        <v>3</v>
      </c>
      <c r="MF53">
        <f>SUMPRODUCT(--('Данные 2st'!$Q$2:$Q$317=$A53),--ISNUMBER('Данные 2st'!$FA$2:$FA$317))</f>
        <v>3</v>
      </c>
      <c r="MG53">
        <f>SUMPRODUCT(--('Данные 2st'!$Q$2:$Q$317=$A53),--ISNUMBER('Данные 2st'!$FB$2:$FB$317))</f>
        <v>3</v>
      </c>
      <c r="MH53">
        <f>SUMPRODUCT(--('Данные 2st'!$Q$2:$Q$317=$A53),--ISNUMBER('Данные 2st'!$FC$2:$FC$317))</f>
        <v>3</v>
      </c>
      <c r="MI53">
        <f>SUMPRODUCT(--('Данные 2st'!$Q$2:$Q$317=$A53),--ISNUMBER('Данные 2st'!$FD$2:$FD$317))</f>
        <v>3</v>
      </c>
      <c r="MJ53">
        <f>SUMPRODUCT(--('Данные 2st'!$Q$2:$Q$317=$A53),--ISNUMBER('Данные 2st'!$FE$2:$FE$317))</f>
        <v>3</v>
      </c>
      <c r="MK53">
        <f>SUMPRODUCT(--('Данные 2st'!$Q$2:$Q$317=$A53),--ISNUMBER('Данные 2st'!$FG$2:$FG$317))</f>
        <v>3</v>
      </c>
      <c r="ML53">
        <f>SUMPRODUCT(--('Данные 2st'!$Q$2:$Q$317=$A53),--ISNUMBER('Данные 2st'!$FI$2:$FI$317))</f>
        <v>3</v>
      </c>
      <c r="MM53">
        <f>SUMPRODUCT(--('Данные 2st'!$Q$2:$Q$317=$A53),--ISNUMBER('Данные 2st'!$FJ$2:$FJ$317))</f>
        <v>3</v>
      </c>
      <c r="MN53">
        <f>SUMPRODUCT(--('Данные 2st'!$Q$2:$Q$317=$A53),--ISNUMBER('Данные 2st'!$FK$2:$FK$317))</f>
        <v>3</v>
      </c>
      <c r="MO53">
        <f>SUMPRODUCT(--('Данные 2st'!$Q$2:$Q$317=$A53),--ISNUMBER('Данные 2st'!$FP$2:$FP$317))</f>
        <v>3</v>
      </c>
      <c r="MP53">
        <f>SUMPRODUCT(--('Данные 2st'!$Q$2:$Q$317=$A53),--ISNUMBER('Данные 2st'!$FQ$2:$FQ$317))</f>
        <v>3</v>
      </c>
      <c r="MQ53">
        <f>SUMPRODUCT(--('Данные 2st'!$Q$2:$Q$317=$A53),--ISNUMBER('Данные 2st'!$FS$2:$FS$317))</f>
        <v>3</v>
      </c>
      <c r="MR53">
        <f>SUMPRODUCT(--('Данные 2st'!$Q$2:$Q$317=$A53),--ISNUMBER('Данные 2st'!$FU$2:$FU$317))</f>
        <v>3</v>
      </c>
      <c r="MS53">
        <f>SUMPRODUCT(--('Данные 2st'!$Q$2:$Q$317=$A53),--ISNUMBER('Данные 2st'!$FV$2:$FV$317))</f>
        <v>3</v>
      </c>
      <c r="MT53">
        <f>SUMPRODUCT(--('Данные 2st'!$Q$2:$Q$317=$A53),--ISNUMBER('Данные 2st'!$FW$2:$FW$317))</f>
        <v>3</v>
      </c>
      <c r="MU53">
        <f>SUMPRODUCT(--('Данные 2st'!$Q$2:$Q$317=$A53),--ISNUMBER('Данные 2st'!$FY$2:$FY$317))</f>
        <v>3</v>
      </c>
      <c r="MV53">
        <f>SUMPRODUCT(--('Данные 2st'!$Q$2:$Q$317=$A53),--ISNUMBER('Данные 2st'!$GB$2:$GB$317))</f>
        <v>3</v>
      </c>
      <c r="MW53">
        <f>SUMPRODUCT(--('Данные 2st'!$Q$2:$Q$317=$A53),--ISNUMBER('Данные 2st'!$GC$2:$GC$317))</f>
        <v>3</v>
      </c>
      <c r="MX53">
        <f>SUMPRODUCT(--('Данные 2st'!$Q$2:$Q$317=$A53),--ISNUMBER('Данные 2st'!$GD$2:$GD$317))</f>
        <v>3</v>
      </c>
      <c r="MY53">
        <f>SUMPRODUCT(--('Данные 2st'!$Q$2:$Q$317=$A53),--ISNUMBER('Данные 2st'!$GN$2:$GN$317))</f>
        <v>0</v>
      </c>
      <c r="MZ53">
        <f>SUMPRODUCT(--('Данные 2st'!$Q$2:$Q$317=$A53),--ISNUMBER('Данные 2st'!$GQ$2:$GQ$317))</f>
        <v>3</v>
      </c>
      <c r="NA53">
        <f>SUMPRODUCT(--('Данные 2st'!$Q$2:$Q$317=$A53),--ISNUMBER('Данные 2st'!$GV$2:$GV$317))</f>
        <v>3</v>
      </c>
      <c r="NB53">
        <f>SUMPRODUCT(--('Данные 2st'!$Q$2:$Q$317=$A53),--ISNUMBER('Данные 2st'!$GW$2:$GW$317))</f>
        <v>3</v>
      </c>
      <c r="NC53">
        <f>SUMPRODUCT(--('Данные 2st'!$Q$2:$Q$317=$A53),--ISNUMBER('Данные 2st'!$GX$2:$GX$317))</f>
        <v>3</v>
      </c>
      <c r="ND53">
        <f>SUMPRODUCT(--('Данные 2st'!$Q$2:$Q$317=$A53),--ISNUMBER('Данные 2st'!$GY$2:$GY$317))</f>
        <v>3</v>
      </c>
      <c r="NE53">
        <f>SUMPRODUCT(--('Данные 2st'!$Q$2:$Q$317=$A53),--ISNUMBER('Данные 2st'!$GZ$2:$GZ$317))</f>
        <v>3</v>
      </c>
      <c r="NF53">
        <f>SUMPRODUCT(--('Данные 2st'!$Q$2:$Q$317=$A53),--ISNUMBER('Данные 2st'!$HA$2:$HA$317))</f>
        <v>3</v>
      </c>
      <c r="NG53">
        <f>SUMPRODUCT(--('Данные 2st'!$Q$2:$Q$317=$A53),--ISNUMBER('Данные 2st'!$HB$2:$HB$317))</f>
        <v>3</v>
      </c>
      <c r="NH53">
        <f>SUMPRODUCT(--('Данные 2st'!$Q$2:$Q$317=$A53),--ISNUMBER('Данные 2st'!$HC$2:$HC$317))</f>
        <v>3</v>
      </c>
      <c r="NI53">
        <f>SUMPRODUCT(--('Данные 2st'!$Q$2:$Q$317=$A53),--ISNUMBER('Данные 2st'!$HD$2:$HD$317))</f>
        <v>3</v>
      </c>
      <c r="NJ53">
        <f>SUMPRODUCT(--('Данные 2st'!$Q$2:$Q$317=$A53),--ISNUMBER('Данные 2st'!$HM$2:$HM$317))</f>
        <v>3</v>
      </c>
      <c r="NK53">
        <f>SUMPRODUCT(--('Данные 2st'!$Q$2:$Q$317=$A53),--ISNUMBER('Данные 2st'!$HR$2:$HR$317))</f>
        <v>3</v>
      </c>
      <c r="NL53">
        <f>SUMPRODUCT(--('Данные 2st'!$Q$2:$Q$317=$A53),--ISNUMBER('Данные 2st'!$HS$2:$HS$317))</f>
        <v>3</v>
      </c>
      <c r="NM53">
        <f>SUMPRODUCT(--('Данные 2st'!$Q$2:$Q$317=$A53),--ISNUMBER('Данные 2st'!$HT$2:$HT$317))</f>
        <v>3</v>
      </c>
      <c r="NN53">
        <f>SUMPRODUCT(--('Данные 2st'!$Q$2:$Q$317=$A53),--ISNUMBER('Данные 2st'!$HY$2:$HY$317))</f>
        <v>3</v>
      </c>
      <c r="NO53">
        <f>SUMPRODUCT(--('Данные 2st'!$Q$2:$Q$317=$A53),--ISNUMBER('Данные 2st'!$HZ$2:$HZ$317))</f>
        <v>3</v>
      </c>
      <c r="NP53">
        <f>SUMPRODUCT(--('Данные 2st'!$Q$2:$Q$317=$A53),--ISNUMBER('Данные 2st'!$IA$2:$IA$317))</f>
        <v>3</v>
      </c>
      <c r="NQ53">
        <f>SUMPRODUCT(--('Данные 2st'!$Q$2:$Q$317=$A53),--ISNUMBER('Данные 2st'!$IB$2:$IB$317))</f>
        <v>3</v>
      </c>
      <c r="NR53">
        <f>SUMPRODUCT(--('Данные 2st'!$Q$2:$Q$317=$A53),--ISNUMBER('Данные 2st'!$IC$2:$IC$317))</f>
        <v>0</v>
      </c>
      <c r="NS53">
        <f>SUMPRODUCT(--('Данные 2st'!$Q$2:$Q$317=$A53),--ISNUMBER('Данные 2st'!$ID$2:$ID$317))</f>
        <v>3</v>
      </c>
      <c r="NT53">
        <f>SUMPRODUCT(--('Данные 2st'!$Q$2:$Q$317=$A53),--ISNUMBER('Данные 2st'!$IE$2:$IE$317))</f>
        <v>3</v>
      </c>
      <c r="NU53">
        <f>SUMPRODUCT(--('Данные 2st'!$Q$2:$Q$317=$A53),--ISNUMBER('Данные 2st'!$IF$2:$IF$317))</f>
        <v>3</v>
      </c>
      <c r="NV53">
        <f>SUMPRODUCT(--('Данные 2st'!$Q$2:$Q$317=$A53),--ISNUMBER('Данные 2st'!$IG$2:$IG$317))</f>
        <v>3</v>
      </c>
      <c r="NW53">
        <f>SUMPRODUCT(--('Данные 2st'!$Q$2:$Q$317=$A53),--ISNUMBER('Данные 2st'!$IH$2:$IH$317))</f>
        <v>3</v>
      </c>
      <c r="NX53">
        <f>SUMPRODUCT(--('Данные 2st'!$Q$2:$Q$317=$A53),--ISNUMBER('Данные 2st'!$IJ$2:$IJ$317))</f>
        <v>3</v>
      </c>
      <c r="NY53">
        <f>SUMPRODUCT(--('Данные 2st'!$Q$2:$Q$317=$A53),--ISNUMBER('Данные 2st'!$IM$2:$IM$317))</f>
        <v>3</v>
      </c>
      <c r="NZ53">
        <f>SUMPRODUCT(--('Данные 2st'!$Q$2:$Q$317=$A53),--ISNUMBER('Данные 2st'!$IN$2:$IN$317))</f>
        <v>3</v>
      </c>
      <c r="OA53">
        <f>SUMPRODUCT(--('Данные 2st'!$Q$2:$Q$317=$A53),--ISNUMBER('Данные 2st'!$IO$2:$IO$317))</f>
        <v>3</v>
      </c>
      <c r="OB53">
        <f>SUMPRODUCT(--('Данные 2st'!$Q$2:$Q$317=$A53),--ISNUMBER('Данные 2st'!$IP$2:$IP$317))</f>
        <v>3</v>
      </c>
      <c r="OC53">
        <f>SUMPRODUCT(--('Данные 2st'!$Q$2:$Q$317=$A53),--ISNUMBER('Данные 2st'!$IQ$2:$IQ$317))</f>
        <v>3</v>
      </c>
      <c r="OD53">
        <f>SUMPRODUCT(--('Данные 2st'!$Q$2:$Q$317=$A53),--ISNUMBER('Данные 2st'!$IR$2:$IR$317))</f>
        <v>3</v>
      </c>
      <c r="OE53">
        <f>SUMPRODUCT(--('Данные 2st'!$Q$2:$Q$317=$A53),--ISNUMBER('Данные 2st'!$IT$2:$IT$317))</f>
        <v>3</v>
      </c>
      <c r="OF53">
        <f>SUMPRODUCT(--('Данные 2st'!$Q$2:$Q$317=$A53),--ISNUMBER('Данные 2st'!$IU$2:$IU$317))</f>
        <v>3</v>
      </c>
      <c r="OG53">
        <f>SUMPRODUCT(--('Данные 2st'!$Q$2:$Q$317=$A53),--ISNUMBER('Данные 2st'!$IV$2:$IV$317))</f>
        <v>3</v>
      </c>
      <c r="OH53">
        <f>SUMPRODUCT(--('Данные 2st'!$Q$2:$Q$317=$A53),--ISNUMBER('Данные 2st'!$IW$2:$IW$317))</f>
        <v>3</v>
      </c>
      <c r="OI53">
        <f>SUMPRODUCT(--('Данные 2st'!$Q$2:$Q$317=$A53),--ISNUMBER('Данные 2st'!$IX$2:$IX$317))</f>
        <v>3</v>
      </c>
      <c r="OJ53">
        <f>SUMPRODUCT(--('Данные 2st'!$Q$2:$Q$317=$A53),--ISNUMBER('Данные 2st'!$IY$2:$IY$317))</f>
        <v>3</v>
      </c>
      <c r="OK53">
        <f>SUMPRODUCT(--('Данные 2st'!$Q$2:$Q$317=$A53),--ISNUMBER('Данные 2st'!$IZ$2:$IZ$317))</f>
        <v>3</v>
      </c>
      <c r="OL53">
        <f>SUMPRODUCT(--('Данные 2st'!$Q$2:$Q$317=$A53),--ISNUMBER('Данные 2st'!$JA$2:$JA$317))</f>
        <v>3</v>
      </c>
      <c r="OM53">
        <f>SUMPRODUCT(--('Данные 2st'!$Q$2:$Q$317=$A53),--ISNUMBER('Данные 2st'!$JB$2:$JB$317))</f>
        <v>3</v>
      </c>
      <c r="ON53">
        <f>SUMPRODUCT(--('Данные 2st'!$Q$2:$Q$317=$A53),--ISNUMBER('Данные 2st'!$JC$2:$JC$317))</f>
        <v>3</v>
      </c>
      <c r="OO53">
        <f>SUMPRODUCT(--('Данные 2st'!$Q$2:$Q$317=$A53),--ISNUMBER('Данные 2st'!$JD$2:$JD$317))</f>
        <v>3</v>
      </c>
      <c r="OP53">
        <f>SUMPRODUCT(--('Данные 2st'!$Q$2:$Q$317=$A53),--ISNUMBER('Данные 2st'!$JE$2:$JE$317))</f>
        <v>3</v>
      </c>
      <c r="OQ53">
        <f>SUMPRODUCT(--('Данные 2st'!$Q$2:$Q$317=$A53),--ISNUMBER('Данные 2st'!$JF$2:$JF$317))</f>
        <v>3</v>
      </c>
      <c r="OR53">
        <f>SUMPRODUCT(--('Данные 2st'!$Q$2:$Q$317=$A53),--ISNUMBER('Данные 2st'!$JG$2:$JG$317))</f>
        <v>3</v>
      </c>
      <c r="OS53">
        <f>SUMPRODUCT(--('Данные 2st'!$Q$2:$Q$317=$A53),--ISNUMBER('Данные 2st'!$JH$2:$JH$317))</f>
        <v>3</v>
      </c>
      <c r="OT53">
        <f>SUMPRODUCT(--('Данные 2st'!$Q$2:$Q$317=$A53),--ISNUMBER('Данные 2st'!$JI$2:$JI$317))</f>
        <v>3</v>
      </c>
      <c r="OU53">
        <f>SUMPRODUCT(--('Данные 2st'!$Q$2:$Q$317=$A53),--ISNUMBER('Данные 2st'!$JJ$2:$JJ$317))</f>
        <v>3</v>
      </c>
      <c r="OV53">
        <f>SUMPRODUCT(--('Данные 2st'!$Q$2:$Q$317=$A53),--ISNUMBER('Данные 2st'!$JK$2:$JK$317))</f>
        <v>3</v>
      </c>
      <c r="OW53">
        <f>SUMPRODUCT(--('Данные 2st'!$Q$2:$Q$317=$A53),--ISNUMBER('Данные 2st'!$JL$2:$JL$317))</f>
        <v>3</v>
      </c>
      <c r="OX53">
        <f>SUMPRODUCT(--('Данные 2st'!$Q$2:$Q$317=$A53),--ISNUMBER('Данные 2st'!$JM$2:$JM$317))</f>
        <v>3</v>
      </c>
      <c r="OY53">
        <f>SUMPRODUCT(--('Данные 2st'!$Q$2:$Q$317=$A53),--ISNUMBER('Данные 2st'!$JP$2:$JP$317))</f>
        <v>3</v>
      </c>
      <c r="OZ53">
        <f>SUMPRODUCT(--('Данные 2st'!$Q$2:$Q$317=$A53),--ISNUMBER('Данные 2st'!$JQ$2:$JQ$317))</f>
        <v>3</v>
      </c>
      <c r="PA53">
        <f>SUMPRODUCT(--('Данные 2st'!$Q$2:$Q$317=$A53),--ISNUMBER('Данные 2st'!$JR$2:$JR$317))</f>
        <v>3</v>
      </c>
      <c r="PB53">
        <f>SUMPRODUCT(--('Данные 2st'!$Q$2:$Q$317=$A53),--ISNUMBER('Данные 2st'!$JS$2:$JS$317))</f>
        <v>3</v>
      </c>
      <c r="PC53">
        <f>SUMPRODUCT(--('Данные 2st'!$Q$2:$Q$317=$A53),--ISNUMBER('Данные 2st'!$JT$2:$JT$317))</f>
        <v>3</v>
      </c>
      <c r="PD53">
        <f>SUMPRODUCT(--('Данные 2st'!$Q$2:$Q$317=$A53),--ISNUMBER('Данные 2st'!$JU$2:$JU$317))</f>
        <v>3</v>
      </c>
      <c r="PE53">
        <f>SUMPRODUCT(--('Данные 2st'!$Q$2:$Q$317=$A53),--ISNUMBER('Данные 2st'!$JV$2:$JV$317))</f>
        <v>3</v>
      </c>
      <c r="PF53">
        <f>SUMPRODUCT(--('Данные 2st'!$Q$2:$Q$317=$A53),--ISNUMBER('Данные 2st'!$JW$2:$JW$317))</f>
        <v>3</v>
      </c>
      <c r="PG53">
        <f>SUMPRODUCT(--('Данные 2st'!$Q$2:$Q$317=$A53),--ISNUMBER('Данные 2st'!$KF$2:$KF$317))</f>
        <v>3</v>
      </c>
      <c r="PH53">
        <f>SUMPRODUCT(--('Данные 2st'!$Q$2:$Q$317=$A53),--ISNUMBER('Данные 2st'!$KG$2:$KG$317))</f>
        <v>3</v>
      </c>
      <c r="PI53">
        <f>SUMPRODUCT(--('Данные 2st'!$Q$2:$Q$317=$A53),--ISNUMBER('Данные 2st'!$KM$2:$KM$317))</f>
        <v>3</v>
      </c>
      <c r="PJ53">
        <f>SUMPRODUCT(--('Данные 2st'!$Q$2:$Q$317=$A53),--ISNUMBER('Данные 2st'!$KN$2:$KN$317))</f>
        <v>3</v>
      </c>
      <c r="PK53">
        <f>SUMPRODUCT(--('Данные 2st'!$Q$2:$Q$317=$A53),--ISNUMBER('Данные 2st'!$KO$2:$KO$317))</f>
        <v>3</v>
      </c>
      <c r="PL53">
        <f>SUMPRODUCT(--('Данные 2st'!$Q$2:$Q$317=$A53),--ISNUMBER('Данные 2st'!$KP$2:$KP$317))</f>
        <v>3</v>
      </c>
      <c r="PM53">
        <f>SUMPRODUCT(--('Данные 2st'!$Q$2:$Q$317=$A53),--ISNUMBER('Данные 2st'!$KQ$2:$KQ$317))</f>
        <v>3</v>
      </c>
      <c r="PN53">
        <f>SUMPRODUCT(--('Данные 2st'!$Q$2:$Q$317=$A53),--ISNUMBER('Данные 2st'!$KR$2:$KR$317))</f>
        <v>3</v>
      </c>
      <c r="PO53">
        <f>SUMPRODUCT(--('Данные 2st'!$Q$2:$Q$317=$A53),--ISNUMBER('Данные 2st'!$KS$2:$KS$317))</f>
        <v>3</v>
      </c>
      <c r="PP53">
        <f>SUMPRODUCT(--('Данные 2st'!$Q$2:$Q$317=$A53),--ISNUMBER('Данные 2st'!$KT$2:$KT$317))</f>
        <v>3</v>
      </c>
      <c r="PQ53">
        <f>SUMPRODUCT(--('Данные 2st'!$Q$2:$Q$317=$A53),--ISNUMBER('Данные 2st'!$KU$2:$KU$317))</f>
        <v>3</v>
      </c>
      <c r="PR53">
        <f>SUMPRODUCT(--('Данные 2st'!$Q$2:$Q$317=$A53),--ISNUMBER('Данные 2st'!$KV$2:$KV$317))</f>
        <v>3</v>
      </c>
      <c r="PS53">
        <f>SUMPRODUCT(--('Данные 2st'!$Q$2:$Q$317=$A53),--ISNUMBER('Данные 2st'!$KW$2:$KW$317))</f>
        <v>3</v>
      </c>
      <c r="PT53">
        <f>SUMPRODUCT(--('Данные 2st'!$Q$2:$Q$317=$A53),--ISNUMBER('Данные 2st'!$KX$2:$KX$317))</f>
        <v>3</v>
      </c>
      <c r="PU53">
        <f>SUMPRODUCT(--('Данные 2st'!$Q$2:$Q$317=$A53),--ISNUMBER('Данные 2st'!$KY$2:$KY$317))</f>
        <v>3</v>
      </c>
      <c r="PV53">
        <f>SUMPRODUCT(--('Данные 2st'!$Q$2:$Q$317=$A53),--ISNUMBER('Данные 2st'!$KZ$2:$KZ$317))</f>
        <v>3</v>
      </c>
      <c r="PW53">
        <f>SUMPRODUCT(--('Данные 2st'!$Q$2:$Q$317=$A53),--ISNUMBER('Данные 2st'!$LA$2:$LA$317))</f>
        <v>3</v>
      </c>
      <c r="PX53">
        <f>SUMPRODUCT(--('Данные 2st'!$Q$2:$Q$317=$A53),--ISNUMBER('Данные 2st'!$LB$2:$LB$317))</f>
        <v>3</v>
      </c>
      <c r="PY53">
        <f>SUMPRODUCT(--('Данные 2st'!$Q$2:$Q$317=$A53),--ISNUMBER('Данные 2st'!$LC$2:$LC$317))</f>
        <v>3</v>
      </c>
      <c r="PZ53">
        <f>SUMPRODUCT(--('Данные 2st'!$Q$2:$Q$317=$A53),--ISNUMBER('Данные 2st'!$LD$2:$LD$317))</f>
        <v>3</v>
      </c>
      <c r="QA53">
        <f>SUMPRODUCT(--('Данные 2st'!$Q$2:$Q$317=$A53),--ISNUMBER('Данные 2st'!$LE$2:$LE$317))</f>
        <v>3</v>
      </c>
      <c r="QB53">
        <f>SUMPRODUCT(--('Данные 2st'!$Q$2:$Q$317=$A53),--ISNUMBER('Данные 2st'!$LF$2:$LF$317))</f>
        <v>3</v>
      </c>
      <c r="QC53">
        <f>SUMPRODUCT(--('Данные 2st'!$Q$2:$Q$317=$A53),--ISNUMBER('Данные 2st'!$LG$2:$LG$317))</f>
        <v>3</v>
      </c>
      <c r="QD53">
        <f>SUMPRODUCT(--('Данные 2st'!$Q$2:$Q$317=$A53),--ISNUMBER('Данные 2st'!$LH$2:$LH$317))</f>
        <v>3</v>
      </c>
      <c r="QE53">
        <f>SUMPRODUCT(--('Данные 2st'!$Q$2:$Q$317=$A53),--ISNUMBER('Данные 2st'!$LJ$2:$LJ$317))</f>
        <v>3</v>
      </c>
      <c r="QF53">
        <f>SUMPRODUCT(--('Данные 2st'!$Q$2:$Q$317=$A53),--ISNUMBER('Данные 2st'!$LK$2:$LK$317))</f>
        <v>3</v>
      </c>
      <c r="QG53">
        <f>SUMPRODUCT(--('Данные 2st'!$Q$2:$Q$317=$A53),--ISNUMBER('Данные 2st'!$LL$2:$LL$317))</f>
        <v>3</v>
      </c>
      <c r="QH53">
        <f>SUMPRODUCT(--('Данные 2st'!$Q$2:$Q$317=$A53),--ISNUMBER('Данные 2st'!$LM$2:$LM$317))</f>
        <v>3</v>
      </c>
      <c r="QI53">
        <f>SUMPRODUCT(--('Данные 2st'!$Q$2:$Q$317=$A53),--ISNUMBER('Данные 2st'!$LN$2:$LN$317))</f>
        <v>3</v>
      </c>
      <c r="QJ53">
        <f>SUMPRODUCT(--('Данные 2st'!$Q$2:$Q$317=$A53),--ISNUMBER('Данные 2st'!$LO$2:$LO$317))</f>
        <v>3</v>
      </c>
      <c r="QK53">
        <f>SUMPRODUCT(--('Данные 2st'!$Q$2:$Q$317=$A53),--ISNUMBER('Данные 2st'!$LP$2:$LP$317))</f>
        <v>3</v>
      </c>
      <c r="QL53">
        <f>SUMPRODUCT(--('Данные 2st'!$Q$2:$Q$317=$A53),--ISNUMBER('Данные 2st'!$LQ$2:$LQ$317))</f>
        <v>3</v>
      </c>
      <c r="QM53">
        <f>SUMPRODUCT(--('Данные 2st'!$Q$2:$Q$317=$A53),--ISNUMBER('Данные 2st'!$LW$2:$LW$317))</f>
        <v>3</v>
      </c>
      <c r="QN53">
        <f>SUMPRODUCT(--('Данные 2st'!$Q$2:$Q$317=$A53),--ISNUMBER('Данные 2st'!$LX$2:$LX$317))</f>
        <v>3</v>
      </c>
      <c r="QO53">
        <f>SUMPRODUCT(--('Данные 2st'!$Q$2:$Q$317=$A53),--ISNUMBER('Данные 2st'!$LY$2:$LY$317))</f>
        <v>3</v>
      </c>
      <c r="QP53">
        <f>SUMPRODUCT(--('Данные 2st'!$Q$2:$Q$317=$A53),--ISNUMBER('Данные 2st'!$LZ$2:$LZ$317))</f>
        <v>3</v>
      </c>
      <c r="QQ53">
        <f>SUMPRODUCT(--('Данные 2st'!$Q$2:$Q$317=$A53),--ISNUMBER('Данные 2st'!$MB$2:$MB$317))</f>
        <v>3</v>
      </c>
      <c r="QR53">
        <f>SUMPRODUCT(--('Данные 2st'!$Q$2:$Q$317=$A53),--ISNUMBER('Данные 2st'!$MG$2:$MG$317))</f>
        <v>0</v>
      </c>
      <c r="QS53">
        <f>SUMPRODUCT(--('Данные 2st'!$Q$2:$Q$317=$A53),--ISNUMBER('Данные 2st'!$MH$2:$MH$317))</f>
        <v>0</v>
      </c>
      <c r="QT53">
        <f>SUMPRODUCT(--('Данные 2st'!$Q$2:$Q$317=$A53),--ISNUMBER('Данные 2st'!$MI$2:$MI$317))</f>
        <v>2</v>
      </c>
      <c r="QU53">
        <f>SUMPRODUCT(--('Данные 2st'!$Q$2:$Q$317=$A53),--ISNUMBER('Данные 2st'!$MJ$2:$MJ$317))</f>
        <v>2</v>
      </c>
      <c r="QV53">
        <f>SUMPRODUCT(--('Данные 2st'!$Q$2:$Q$317=$A53),--ISNUMBER('Данные 2st'!$MK$2:$MK$317))</f>
        <v>0</v>
      </c>
      <c r="QW53">
        <f>SUMPRODUCT(--('Данные 2st'!$Q$2:$Q$317=$A53),--ISNUMBER('Данные 2st'!$MM$2:$MM$317))</f>
        <v>3</v>
      </c>
      <c r="QX53">
        <f>SUMPRODUCT(--('Данные 2st'!$Q$2:$Q$317=$A53),--ISNUMBER('Данные 2st'!$MQ$2:$MQ$317))</f>
        <v>0</v>
      </c>
      <c r="QY53">
        <f>SUMPRODUCT(--('Данные 2st'!$Q$2:$Q$317=$A53),--ISNUMBER('Данные 2st'!$MR$2:$MR$317))</f>
        <v>0</v>
      </c>
      <c r="QZ53">
        <f>SUMPRODUCT(--('Данные 2st'!$Q$2:$Q$317=$A53),--ISNUMBER('Данные 2st'!$MS$2:$MS$317))</f>
        <v>0</v>
      </c>
      <c r="RA53">
        <f>SUMPRODUCT(--('Данные 2st'!$Q$2:$Q$317=$A53),--ISNUMBER('Данные 2st'!$MT$2:$MT$317))</f>
        <v>0</v>
      </c>
      <c r="RB53">
        <f>SUMPRODUCT(--('Данные 2st'!$Q$2:$Q$317=$A53),--ISNUMBER('Данные 2st'!$MU$2:$MU$317))</f>
        <v>0</v>
      </c>
      <c r="RC53">
        <f>SUMPRODUCT(--('Данные 2st'!$Q$2:$Q$317=$A53),--ISNUMBER('Данные 2st'!$MV$2:$MV$317))</f>
        <v>0</v>
      </c>
      <c r="RD53">
        <f>SUMPRODUCT(--('Данные 2st'!$Q$2:$Q$317=$A53),--ISNUMBER('Данные 2st'!$MW$2:$MW$317))</f>
        <v>0</v>
      </c>
      <c r="RE53">
        <f>SUMPRODUCT(--('Данные 2st'!$Q$2:$Q$317=$A53),--ISNUMBER('Данные 2st'!$MX$2:$MX$317))</f>
        <v>0</v>
      </c>
      <c r="RF53">
        <f>SUMPRODUCT(--('Данные 2st'!$Q$2:$Q$317=$A53),--ISNUMBER('Данные 2st'!$MY$2:$MY$317))</f>
        <v>0</v>
      </c>
      <c r="RG53">
        <f>SUMPRODUCT(--('Данные 2st'!$Q$2:$Q$317=$A53),--ISNUMBER('Данные 2st'!$MZ$2:$MZ$317))</f>
        <v>0</v>
      </c>
      <c r="RH53">
        <f>SUMPRODUCT(--('Данные 2st'!$Q$2:$Q$317=$A53),--ISNUMBER('Данные 2st'!$NA$2:$NA$317))</f>
        <v>0</v>
      </c>
      <c r="RI53">
        <f>SUMPRODUCT(--('Данные 2st'!$Q$2:$Q$317=$A53),--ISNUMBER('Данные 2st'!$NB$2:$NB$317))</f>
        <v>0</v>
      </c>
      <c r="RJ53">
        <f>SUMPRODUCT(--('Данные 2st'!$Q$2:$Q$317=$A53),--ISNUMBER('Данные 2st'!$NC$2:$NC$317))</f>
        <v>0</v>
      </c>
      <c r="RK53">
        <f>SUMPRODUCT(--('Данные 2st'!$Q$2:$Q$317=$A53),--ISNUMBER('Данные 2st'!$ND$2:$ND$317))</f>
        <v>0</v>
      </c>
      <c r="RL53">
        <f>SUMPRODUCT(--('Данные 2st'!$Q$2:$Q$317=$A53),--ISNUMBER('Данные 2st'!$NE$2:$NE$317))</f>
        <v>0</v>
      </c>
      <c r="RM53">
        <f>SUMPRODUCT(--('Данные 2st'!$Q$2:$Q$317=$A53),--ISNUMBER('Данные 2st'!$NF$2:$NF$317))</f>
        <v>0</v>
      </c>
      <c r="RN53">
        <f>SUMPRODUCT(--('Данные 2st'!$Q$2:$Q$317=$A53),--ISNUMBER('Данные 2st'!$NG$2:$NG$317))</f>
        <v>0</v>
      </c>
      <c r="RO53">
        <f>SUMPRODUCT(--('Данные 2st'!$Q$2:$Q$317=$A53),--ISNUMBER('Данные 2st'!$NH$2:$NH$317))</f>
        <v>0</v>
      </c>
      <c r="RP53">
        <f>SUMPRODUCT(--('Данные 2st'!$Q$2:$Q$317=$A53),--ISNUMBER('Данные 2st'!$NJ$2:$NJ$317))</f>
        <v>0</v>
      </c>
      <c r="RQ53">
        <f>SUMPRODUCT(--('Данные 2st'!$Q$2:$Q$317=$A53),--ISNUMBER('Данные 2st'!$NK$2:$NK$317))</f>
        <v>0</v>
      </c>
      <c r="RR53">
        <f>SUMPRODUCT(--('Данные 2st'!$Q$2:$Q$317=$A53),--ISNUMBER('Данные 2st'!$NM$2:$NM$317))</f>
        <v>0</v>
      </c>
      <c r="RS53">
        <f>SUMPRODUCT(--('Данные 2st'!$Q$2:$Q$317=$A53),--ISNUMBER('Данные 2st'!$NN$2:$NN$317))</f>
        <v>0</v>
      </c>
      <c r="RT53">
        <f>SUMPRODUCT(--('Данные 2st'!$Q$2:$Q$317=$A53),--ISNUMBER('Данные 2st'!$NO$2:$NO$317))</f>
        <v>0</v>
      </c>
      <c r="RU53">
        <f>SUMPRODUCT(--('Данные 2st'!$Q$2:$Q$317=$A53),--ISNUMBER('Данные 2st'!$NP$2:$NP$317))</f>
        <v>0</v>
      </c>
      <c r="RV53">
        <f>SUMPRODUCT(--('Данные 2st'!$Q$2:$Q$317=$A53),--ISNUMBER('Данные 2st'!$NQ$2:$NQ$317))</f>
        <v>0</v>
      </c>
      <c r="RW53">
        <f>SUMPRODUCT(--('Данные 2st'!$Q$2:$Q$317=$A53),--ISNUMBER('Данные 2st'!$NR$2:$NR$317))</f>
        <v>0</v>
      </c>
      <c r="RX53">
        <f>SUMPRODUCT(--('Данные 2st'!$Q$2:$Q$317=$A53),--ISNUMBER('Данные 2st'!$NS$2:$NS$317))</f>
        <v>0</v>
      </c>
      <c r="RY53">
        <f>SUMPRODUCT(--('Данные 2st'!$Q$2:$Q$317=$A53),--ISNUMBER('Данные 2st'!$NT$2:$NT$317))</f>
        <v>0</v>
      </c>
      <c r="RZ53">
        <f>SUMPRODUCT(--('Данные 2st'!$Q$2:$Q$317=$A53),--ISNUMBER('Данные 2st'!$OK$2:$OK$317))</f>
        <v>3</v>
      </c>
      <c r="SA53">
        <f>SUMPRODUCT(--('Данные 2st'!$Q$2:$Q$317=$A53),--ISNUMBER('Данные 2st'!$OL$2:$OL$317))</f>
        <v>3</v>
      </c>
      <c r="SB53">
        <f>SUMPRODUCT(--('Данные 2st'!$Q$2:$Q$317=$A53),--ISNUMBER('Данные 2st'!$ON$2:$ON$317))</f>
        <v>3</v>
      </c>
      <c r="SC53">
        <f>SUMPRODUCT(--('Данные 2st'!$Q$2:$Q$317=$A53),--ISNUMBER('Данные 2st'!$OO$2:$OO$317))</f>
        <v>3</v>
      </c>
      <c r="SD53">
        <f>SUMPRODUCT(--('Данные 2st'!$Q$2:$Q$317=$A53),--ISNUMBER('Данные 2st'!$OP$2:$OP$317))</f>
        <v>3</v>
      </c>
      <c r="SE53">
        <f>SUMPRODUCT(--('Данные 2st'!$Q$2:$Q$317=$A53),--ISNUMBER('Данные 2st'!$OQ$2:$OQ$317))</f>
        <v>3</v>
      </c>
      <c r="SF53">
        <f>SUMPRODUCT(--('Данные 2st'!$Q$2:$Q$317=$A53),--ISNUMBER('Данные 2st'!$OS$2:$OS$317))</f>
        <v>3</v>
      </c>
      <c r="SG53">
        <f>SUMPRODUCT(--('Данные 2st'!$Q$2:$Q$317=$A53),--ISNUMBER('Данные 2st'!$OT$2:$OT$317))</f>
        <v>3</v>
      </c>
      <c r="SH53">
        <f>SUMPRODUCT(--('Данные 2st'!$Q$2:$Q$317=$A53),--ISNUMBER('Данные 2st'!$OU$2:$OU$317))</f>
        <v>3</v>
      </c>
      <c r="SI53">
        <f>SUMPRODUCT(--('Данные 2st'!$Q$2:$Q$317=$A53),--ISNUMBER('Данные 2st'!$OV$2:$OV$317))</f>
        <v>3</v>
      </c>
      <c r="SJ53">
        <f>SUMPRODUCT(--('Данные 2st'!$Q$2:$Q$317=$A53),--ISNUMBER('Данные 2st'!$OX$2:$OX$317))</f>
        <v>3</v>
      </c>
      <c r="SK53">
        <f>SUMPRODUCT(--('Данные 2st'!$Q$2:$Q$317=$A53),--ISNUMBER('Данные 2st'!$OY$2:$OY$317))</f>
        <v>3</v>
      </c>
      <c r="SL53">
        <f>SUMPRODUCT(--('Данные 2st'!$Q$2:$Q$317=$A53),--ISNUMBER('Данные 2st'!$OZ$2:$OZ$317))</f>
        <v>3</v>
      </c>
      <c r="SM53">
        <f>SUMPRODUCT(--('Данные 2st'!$Q$2:$Q$317=$A53),--ISNUMBER('Данные 2st'!$PA$2:$PA$317))</f>
        <v>3</v>
      </c>
      <c r="SN53">
        <f>SUMPRODUCT(--('Данные 2st'!$Q$2:$Q$317=$A53),--ISNUMBER('Данные 2st'!$PC$2:$PC$317))</f>
        <v>3</v>
      </c>
      <c r="SO53">
        <f>SUMPRODUCT(--('Данные 2st'!$Q$2:$Q$317=$A53),--ISNUMBER('Данные 2st'!$PD$2:$PD$317))</f>
        <v>3</v>
      </c>
      <c r="SP53">
        <f>SUMPRODUCT(--('Данные 2st'!$Q$2:$Q$317=$A53),--ISNUMBER('Данные 2st'!$PF$2:$PF$317))</f>
        <v>3</v>
      </c>
      <c r="SQ53">
        <f>SUMPRODUCT(--('Данные 2st'!$Q$2:$Q$317=$A53),--ISNUMBER('Данные 2st'!$PG$2:$PG$317))</f>
        <v>3</v>
      </c>
      <c r="SR53">
        <f>SUMPRODUCT(--('Данные 2st'!$Q$2:$Q$317=$A53),--ISNUMBER('Данные 2st'!$PH$2:$PH$317))</f>
        <v>3</v>
      </c>
      <c r="SS53">
        <f>SUMPRODUCT(--('Данные 2st'!$Q$2:$Q$317=$A53),--ISNUMBER('Данные 2st'!$PI$2:$PI$317))</f>
        <v>3</v>
      </c>
      <c r="ST53">
        <f>SUMPRODUCT(--('Данные 2st'!$Q$2:$Q$317=$A53),--ISNUMBER('Данные 2st'!$PJ$2:$PJ$317))</f>
        <v>3</v>
      </c>
      <c r="SU53">
        <f>SUMPRODUCT(--('Данные 2st'!$Q$2:$Q$317=$A53),--ISNUMBER('Данные 2st'!$PK$2:$PK$317))</f>
        <v>3</v>
      </c>
      <c r="SV53">
        <f>SUMPRODUCT(--('Данные 2st'!$Q$2:$Q$317=$A53),--ISNUMBER('Данные 2st'!$PL$2:$PL$317))</f>
        <v>3</v>
      </c>
      <c r="SW53">
        <f>SUMPRODUCT(--('Данные 2st'!$Q$2:$Q$317=$A53),--ISNUMBER('Данные 2st'!$PM$2:$PM$317))</f>
        <v>3</v>
      </c>
      <c r="SX53">
        <f>SUMPRODUCT(--('Данные 2st'!$Q$2:$Q$317=$A53),--ISNUMBER('Данные 2st'!$PN$2:$PN$317))</f>
        <v>3</v>
      </c>
      <c r="SY53">
        <f>SUMPRODUCT(--('Данные 2st'!$Q$2:$Q$317=$A53),--ISNUMBER('Данные 2st'!$PO$2:$PO$317))</f>
        <v>3</v>
      </c>
      <c r="SZ53">
        <f>SUMPRODUCT(--('Данные 2st'!$Q$2:$Q$317=$A53),--ISNUMBER('Данные 2st'!$PP$2:$PP$317))</f>
        <v>3</v>
      </c>
      <c r="TA53">
        <f>SUMPRODUCT(--('Данные 2st'!$Q$2:$Q$317=$A53),--ISNUMBER('Данные 2st'!$PQ$2:$PQ$317))</f>
        <v>3</v>
      </c>
      <c r="TB53">
        <f>SUMPRODUCT(--('Данные 2st'!$Q$2:$Q$317=$A53),--ISNUMBER('Данные 2st'!$PR$2:$PR$317))</f>
        <v>3</v>
      </c>
      <c r="TC53">
        <f>SUMPRODUCT(--('Данные 2st'!$Q$2:$Q$317=$A53),--ISNUMBER('Данные 2st'!$PS$2:$PS$317))</f>
        <v>3</v>
      </c>
      <c r="TD53">
        <f>SUMPRODUCT(--('Данные 2st'!$Q$2:$Q$317=$A53),--ISNUMBER('Данные 2st'!$PT$2:$PT$317))</f>
        <v>3</v>
      </c>
      <c r="TE53">
        <f>SUMPRODUCT(--('Данные 2st'!$Q$2:$Q$317=$A53),--ISNUMBER('Данные 2st'!$PU$2:$PU$317))</f>
        <v>3</v>
      </c>
      <c r="TF53">
        <f>SUMPRODUCT(--('Данные 2st'!$Q$2:$Q$317=$A53),--ISNUMBER('Данные 2st'!$PX$2:$PX$317))</f>
        <v>3</v>
      </c>
      <c r="TG53">
        <f>SUMPRODUCT(--('Данные 2st'!$Q$2:$Q$317=$A53),--ISNUMBER('Данные 2st'!$PY$2:$PY$317))</f>
        <v>3</v>
      </c>
      <c r="TH53">
        <f>SUMPRODUCT(--('Данные 2st'!$Q$2:$Q$317=$A53),--ISNUMBER('Данные 2st'!$PZ$2:$PZ$317))</f>
        <v>3</v>
      </c>
      <c r="TI53">
        <f>SUMPRODUCT(--('Данные 2st'!$Q$2:$Q$317=$A53),--ISNUMBER('Данные 2st'!$QA$2:$QA$317))</f>
        <v>3</v>
      </c>
      <c r="TJ53">
        <f>SUMPRODUCT(--('Данные 2st'!$Q$2:$Q$317=$A53),--ISNUMBER('Данные 2st'!$QB$2:$QB$317))</f>
        <v>3</v>
      </c>
      <c r="TK53">
        <f>SUMPRODUCT(--('Данные 2st'!$Q$2:$Q$317=$A53),--ISNUMBER('Данные 2st'!$QC$2:$QC$317))</f>
        <v>3</v>
      </c>
      <c r="TL53">
        <f>SUMPRODUCT(--('Данные 2st'!$Q$2:$Q$317=$A53),--ISNUMBER('Данные 2st'!$QD$2:$QD$317))</f>
        <v>3</v>
      </c>
      <c r="TM53">
        <f>SUMPRODUCT(--('Данные 2st'!$Q$2:$Q$317=$A53),--ISNUMBER('Данные 2st'!$QE$2:$QE$317))</f>
        <v>3</v>
      </c>
      <c r="TN53">
        <f>SUMPRODUCT(--('Данные 2st'!$Q$2:$Q$317=$A53),--ISNUMBER('Данные 2st'!$QF$2:$QF$317))</f>
        <v>3</v>
      </c>
      <c r="TO53">
        <f>SUMPRODUCT(--('Данные 2st'!$Q$2:$Q$317=$A53),--ISNUMBER('Данные 2st'!$QG$2:$QG$317))</f>
        <v>3</v>
      </c>
      <c r="TP53">
        <f>SUMPRODUCT(--('Данные 2st'!$Q$2:$Q$317=$A53),--ISNUMBER('Данные 2st'!$QH$2:$QH$317))</f>
        <v>3</v>
      </c>
      <c r="TQ53">
        <f>SUMPRODUCT(--('Данные 2st'!$Q$2:$Q$317=$A53),--ISNUMBER('Данные 2st'!$QI$2:$QI$317))</f>
        <v>3</v>
      </c>
      <c r="TR53">
        <f>SUMPRODUCT(--('Данные 2st'!$Q$2:$Q$317=$A53),--ISNUMBER('Данные 2st'!$QJ$2:$QJ$317))</f>
        <v>3</v>
      </c>
      <c r="TS53">
        <f>SUMPRODUCT(--('Данные 2st'!$Q$2:$Q$317=$A53),--ISNUMBER('Данные 2st'!$QK$2:$QK$317))</f>
        <v>3</v>
      </c>
      <c r="TT53">
        <f>SUMPRODUCT(--('Данные 2st'!$Q$2:$Q$317=$A53),--ISNUMBER('Данные 2st'!$QL$2:$QL$317))</f>
        <v>3</v>
      </c>
      <c r="TU53">
        <f>SUMPRODUCT(--('Данные 2st'!$Q$2:$Q$317=$A53),--ISNUMBER('Данные 2st'!$QM$2:$QM$317))</f>
        <v>3</v>
      </c>
      <c r="TV53">
        <f>SUMPRODUCT(--('Данные 2st'!$Q$2:$Q$317=$A53),--ISNUMBER('Данные 2st'!$QN$2:$QN$317))</f>
        <v>3</v>
      </c>
      <c r="TW53">
        <f>SUMPRODUCT(--('Данные 2st'!$Q$2:$Q$317=$A53),--ISNUMBER('Данные 2st'!$QQ$2:$QQ$317))</f>
        <v>3</v>
      </c>
      <c r="TX53">
        <f>SUMPRODUCT(--('Данные 2st'!$Q$2:$Q$317=$A53),--ISNUMBER('Данные 2st'!$QS$2:$QS$317))</f>
        <v>2</v>
      </c>
      <c r="TY53">
        <f>SUMPRODUCT(--('Данные 2st'!$Q$2:$Q$317=$A53),--ISNUMBER('Данные 2st'!$QT$2:$QT$317))</f>
        <v>2</v>
      </c>
    </row>
    <row r="54" spans="1:545" ht="32" customHeight="1">
      <c r="A54" s="11" t="str">
        <f>'По размерам'!A54</f>
        <v>235/70R16</v>
      </c>
      <c r="G54">
        <f>SUMPRODUCT(--('Данные 1st'!$S$2:$S$317=$A54),--ISNUMBER('Данные 1st'!$AE$2:$AE$317))</f>
        <v>1</v>
      </c>
      <c r="H54">
        <f>SUMPRODUCT(--('Данные 1st'!$S$2:$S$317=$A54),--ISNUMBER('Данные 1st'!$AF$2:$AF$317))</f>
        <v>1</v>
      </c>
      <c r="I54">
        <f>SUMPRODUCT(--('Данные 1st'!$S$2:$S$317=$A54),--ISNUMBER('Данные 1st'!$AJ$2:$AJ$317))</f>
        <v>1</v>
      </c>
      <c r="J54">
        <f>SUMPRODUCT(--('Данные 1st'!$S$2:$S$317=$A54),--ISNUMBER('Данные 1st'!$AL$2:$AL$317))</f>
        <v>1</v>
      </c>
      <c r="K54">
        <f>SUMPRODUCT(--('Данные 1st'!$S$2:$S$317=$A54),--ISNUMBER('Данные 1st'!$AR$2:$AR$317))</f>
        <v>1</v>
      </c>
      <c r="L54">
        <f>SUMPRODUCT(--('Данные 1st'!$S$2:$S$317=$A54),--ISNUMBER('Данные 1st'!$AS$2:$AS$317))</f>
        <v>1</v>
      </c>
      <c r="M54">
        <f>SUMPRODUCT(--('Данные 1st'!$S$2:$S$317=$A54),--ISNUMBER('Данные 1st'!$AY$2:$AY$317))</f>
        <v>1</v>
      </c>
      <c r="N54">
        <f>SUMPRODUCT(--('Данные 1st'!$S$2:$S$317=$A54),--ISNUMBER('Данные 1st'!$AZ$2:$AZ$317))</f>
        <v>1</v>
      </c>
      <c r="O54">
        <f>SUMPRODUCT(--('Данные 1st'!$S$2:$S$317=$A54),--ISNUMBER('Данные 1st'!$BF$2:$BF$317))</f>
        <v>1</v>
      </c>
      <c r="P54">
        <f>SUMPRODUCT(--('Данные 1st'!$S$2:$S$317=$A54),--ISNUMBER('Данные 1st'!$BG$2:$BG$317))</f>
        <v>1</v>
      </c>
      <c r="Q54">
        <f>SUMPRODUCT(--('Данные 1st'!$S$2:$S$317=$A54),--ISNUMBER('Данные 1st'!$BM$2:$BM$317))</f>
        <v>0</v>
      </c>
      <c r="R54">
        <f>SUMPRODUCT(--('Данные 1st'!$S$2:$S$317=$A54),--ISNUMBER('Данные 1st'!$BN$2:$BN$317))</f>
        <v>1</v>
      </c>
      <c r="S54">
        <f>SUMPRODUCT(--('Данные 1st'!$S$2:$S$317=$A54),--ISNUMBER('Данные 1st'!$BT$2:$BT$317))</f>
        <v>1</v>
      </c>
      <c r="T54">
        <f>SUMPRODUCT(--('Данные 1st'!$S$2:$S$317=$A54),--ISNUMBER('Данные 1st'!$BU$2:$BU$317))</f>
        <v>1</v>
      </c>
      <c r="U54">
        <f>SUMPRODUCT(--('Данные 1st'!$S$2:$S$317=$A54),--ISNUMBER('Данные 1st'!$BW$2:$BW$317))</f>
        <v>1</v>
      </c>
      <c r="V54">
        <f>SUMPRODUCT(--('Данные 1st'!$S$2:$S$317=$A54),--ISNUMBER('Данные 1st'!$BX$2:$BX$317))</f>
        <v>1</v>
      </c>
      <c r="W54">
        <f>SUMPRODUCT(--('Данные 1st'!$S$2:$S$317=$A54),--ISNUMBER('Данные 1st'!$BZ$2:$BZ$317))</f>
        <v>1</v>
      </c>
      <c r="X54">
        <f>SUMPRODUCT(--('Данные 1st'!$S$2:$S$317=$A54),--ISNUMBER('Данные 1st'!$CA$2:$CA$317))</f>
        <v>1</v>
      </c>
      <c r="Y54">
        <f>SUMPRODUCT(--('Данные 1st'!$S$2:$S$317=$A54),--ISNUMBER('Данные 1st'!$CD$2:$CD$317))</f>
        <v>1</v>
      </c>
      <c r="Z54">
        <f>SUMPRODUCT(--('Данные 1st'!$S$2:$S$317=$A54),--ISNUMBER('Данные 1st'!$CF$2:$CF$317))</f>
        <v>1</v>
      </c>
      <c r="AA54">
        <f>SUMPRODUCT(--('Данные 1st'!$S$2:$S$317=$A54),--ISNUMBER('Данные 1st'!$CI$2:$CI$317))</f>
        <v>1</v>
      </c>
      <c r="AB54">
        <f>SUMPRODUCT(--('Данные 1st'!$S$2:$S$317=$A54),--ISNUMBER('Данные 1st'!$CJ$2:$CJ$317))</f>
        <v>1</v>
      </c>
      <c r="AC54">
        <f>SUMPRODUCT(--('Данные 1st'!$S$2:$S$317=$A54),--ISNUMBER('Данные 1st'!$CK$2:$CK$317))</f>
        <v>1</v>
      </c>
      <c r="AD54">
        <f>SUMPRODUCT(--('Данные 1st'!$S$2:$S$317=$A54),--ISNUMBER('Данные 1st'!$CL$2:$CL$317))</f>
        <v>1</v>
      </c>
      <c r="AE54">
        <f>SUMPRODUCT(--('Данные 1st'!$S$2:$S$317=$A54),--ISNUMBER('Данные 1st'!$CM$2:$CM$317))</f>
        <v>1</v>
      </c>
      <c r="AF54">
        <f>SUMPRODUCT(--('Данные 1st'!$S$2:$S$317=$A54),--ISNUMBER('Данные 1st'!$CT$2:$CT$317))</f>
        <v>1</v>
      </c>
      <c r="AG54">
        <f>SUMPRODUCT(--('Данные 1st'!$S$2:$S$317=$A54),--ISNUMBER('Данные 1st'!$CU$2:$CU$317))</f>
        <v>1</v>
      </c>
      <c r="AH54">
        <f>SUMPRODUCT(--('Данные 1st'!$S$2:$S$317=$A54),--ISNUMBER('Данные 1st'!$CV$2:$CV$317))</f>
        <v>1</v>
      </c>
      <c r="AI54">
        <f>SUMPRODUCT(--('Данные 1st'!$S$2:$S$317=$A54),--ISNUMBER('Данные 1st'!$CW$2:$CW$317))</f>
        <v>1</v>
      </c>
      <c r="AJ54">
        <f>SUMPRODUCT(--('Данные 1st'!$S$2:$S$317=$A54),--ISNUMBER('Данные 1st'!$CX$2:$CX$317))</f>
        <v>1</v>
      </c>
      <c r="AK54">
        <f>SUMPRODUCT(--('Данные 1st'!$S$2:$S$317=$A54),--ISNUMBER('Данные 1st'!$CZ$2:$CZ$317))</f>
        <v>1</v>
      </c>
      <c r="AL54">
        <f>SUMPRODUCT(--('Данные 1st'!$S$2:$S$317=$A54),--ISNUMBER('Данные 1st'!$DA$2:$DA$317))</f>
        <v>1</v>
      </c>
      <c r="AM54">
        <f>SUMPRODUCT(--('Данные 1st'!$S$2:$S$317=$A54),--ISNUMBER('Данные 1st'!$DB$2:$DB$317))</f>
        <v>1</v>
      </c>
      <c r="AN54">
        <f>SUMPRODUCT(--('Данные 1st'!$S$2:$S$317=$A54),--ISNUMBER('Данные 1st'!$DC$2:$DC$317))</f>
        <v>1</v>
      </c>
      <c r="AO54">
        <f>SUMPRODUCT(--('Данные 1st'!$S$2:$S$317=$A54),--ISNUMBER('Данные 1st'!$DD$2:$DD$317))</f>
        <v>1</v>
      </c>
      <c r="AP54">
        <f>SUMPRODUCT(--('Данные 1st'!$S$2:$S$317=$A54),--ISNUMBER('Данные 1st'!$DF$2:$DF$317))</f>
        <v>1</v>
      </c>
      <c r="AQ54">
        <f>SUMPRODUCT(--('Данные 1st'!$S$2:$S$317=$A54),--ISNUMBER('Данные 1st'!$DG$2:$DG$317))</f>
        <v>1</v>
      </c>
      <c r="AR54">
        <f>SUMPRODUCT(--('Данные 1st'!$S$2:$S$317=$A54),--ISNUMBER('Данные 1st'!$DH$2:$DH$317))</f>
        <v>1</v>
      </c>
      <c r="AS54">
        <f>SUMPRODUCT(--('Данные 1st'!$S$2:$S$317=$A54),--ISNUMBER('Данные 1st'!$DI$2:$DI$317))</f>
        <v>1</v>
      </c>
      <c r="AT54">
        <f>SUMPRODUCT(--('Данные 1st'!$S$2:$S$317=$A54),--ISNUMBER('Данные 1st'!$DJ$2:$DJ$317))</f>
        <v>1</v>
      </c>
      <c r="AU54">
        <f>SUMPRODUCT(--('Данные 1st'!$S$2:$S$317=$A54),--ISNUMBER('Данные 1st'!$DL$2:$DL$317))</f>
        <v>1</v>
      </c>
      <c r="AV54">
        <f>SUMPRODUCT(--('Данные 1st'!$S$2:$S$317=$A54),--ISNUMBER('Данные 1st'!$DM$2:$DM$317))</f>
        <v>1</v>
      </c>
      <c r="AW54">
        <f>SUMPRODUCT(--('Данные 1st'!$S$2:$S$317=$A54),--ISNUMBER('Данные 1st'!$DN$2:$DN$317))</f>
        <v>1</v>
      </c>
      <c r="AX54">
        <f>SUMPRODUCT(--('Данные 1st'!$S$2:$S$317=$A54),--ISNUMBER('Данные 1st'!$DO$2:$DO$317))</f>
        <v>1</v>
      </c>
      <c r="AY54">
        <f>SUMPRODUCT(--('Данные 1st'!$S$2:$S$317=$A54),--ISNUMBER('Данные 1st'!$DP$2:$DP$317))</f>
        <v>1</v>
      </c>
      <c r="AZ54">
        <f>SUMPRODUCT(--('Данные 1st'!$S$2:$S$317=$A54),--ISNUMBER('Данные 1st'!$DR$2:$DR$317))</f>
        <v>0</v>
      </c>
      <c r="BA54">
        <f>SUMPRODUCT(--('Данные 1st'!$S$2:$S$317=$A54),--ISNUMBER('Данные 1st'!$DS$2:$DS$317))</f>
        <v>0</v>
      </c>
      <c r="BB54">
        <f>SUMPRODUCT(--('Данные 1st'!$S$2:$S$317=$A54),--ISNUMBER('Данные 1st'!$DT$2:$DT$317))</f>
        <v>0</v>
      </c>
      <c r="BC54">
        <f>SUMPRODUCT(--('Данные 1st'!$S$2:$S$317=$A54),--ISNUMBER('Данные 1st'!$DU$2:$DU$317))</f>
        <v>0</v>
      </c>
      <c r="BD54">
        <f>SUMPRODUCT(--('Данные 1st'!$S$2:$S$317=$A54),--ISNUMBER('Данные 1st'!$DV$2:$DV$317))</f>
        <v>0</v>
      </c>
      <c r="BE54">
        <f>SUMPRODUCT(--('Данные 1st'!$S$2:$S$317=$A54),--ISNUMBER('Данные 1st'!$DX$2:$DX$317))</f>
        <v>1</v>
      </c>
      <c r="BF54">
        <f>SUMPRODUCT(--('Данные 1st'!$S$2:$S$317=$A54),--ISNUMBER('Данные 1st'!$EA$2:$EA$317))</f>
        <v>1</v>
      </c>
      <c r="BG54">
        <f>SUMPRODUCT(--('Данные 1st'!$S$2:$S$317=$A54),--ISNUMBER('Данные 1st'!$EB$2:$EB$317))</f>
        <v>1</v>
      </c>
      <c r="BH54">
        <f>SUMPRODUCT(--('Данные 1st'!$S$2:$S$317=$A54),--ISNUMBER('Данные 1st'!$ED$2:$ED$317))</f>
        <v>1</v>
      </c>
      <c r="BI54">
        <f>SUMPRODUCT(--('Данные 1st'!$S$2:$S$317=$A54),--ISNUMBER('Данные 1st'!$EE$2:$EE$317))</f>
        <v>1</v>
      </c>
      <c r="BJ54">
        <f>SUMPRODUCT(--('Данные 1st'!$S$2:$S$317=$A54),--ISNUMBER('Данные 1st'!$EG$2:$EG$317))</f>
        <v>1</v>
      </c>
      <c r="BK54">
        <f>SUMPRODUCT(--('Данные 1st'!$S$2:$S$317=$A54),--ISNUMBER('Данные 1st'!$EH$2:$EH$317))</f>
        <v>1</v>
      </c>
      <c r="BL54">
        <f>SUMPRODUCT(--('Данные 1st'!$S$2:$S$317=$A54),--ISNUMBER('Данные 1st'!$EJ$2:$EJ$317))</f>
        <v>1</v>
      </c>
      <c r="BM54">
        <f>SUMPRODUCT(--('Данные 1st'!$S$2:$S$317=$A54),--ISNUMBER('Данные 1st'!$EK$2:$EK$317))</f>
        <v>1</v>
      </c>
      <c r="BN54">
        <f>SUMPRODUCT(--('Данные 1st'!$S$2:$S$317=$A54),--ISNUMBER('Данные 1st'!$EN$2:$EN$317))</f>
        <v>1</v>
      </c>
      <c r="BO54">
        <f>SUMPRODUCT(--('Данные 1st'!$S$2:$S$317=$A54),--ISNUMBER('Данные 1st'!$EQ$2:$EQ$317))</f>
        <v>1</v>
      </c>
      <c r="BP54">
        <f>SUMPRODUCT(--('Данные 1st'!$S$2:$S$317=$A54),--ISNUMBER('Данные 1st'!$ER$2:$ER$317))</f>
        <v>1</v>
      </c>
      <c r="BQ54">
        <f>SUMPRODUCT(--('Данные 1st'!$S$2:$S$317=$A54),--ISNUMBER('Данные 1st'!$ES$2:$ES$317))</f>
        <v>1</v>
      </c>
      <c r="BR54">
        <f>SUMPRODUCT(--('Данные 1st'!$S$2:$S$317=$A54),--ISNUMBER('Данные 1st'!$ET$2:$ET$317))</f>
        <v>1</v>
      </c>
      <c r="BS54">
        <f>SUMPRODUCT(--('Данные 1st'!$S$2:$S$317=$A54),--ISNUMBER('Данные 1st'!$EU$2:$EU$317))</f>
        <v>1</v>
      </c>
      <c r="BT54">
        <f>SUMPRODUCT(--('Данные 1st'!$S$2:$S$317=$A54),--ISNUMBER('Данные 1st'!$EV$2:$EV$317))</f>
        <v>1</v>
      </c>
      <c r="BU54">
        <f>SUMPRODUCT(--('Данные 1st'!$S$2:$S$317=$A54),--ISNUMBER('Данные 1st'!$EX$2:$EX$317))</f>
        <v>1</v>
      </c>
      <c r="BV54">
        <f>SUMPRODUCT(--('Данные 1st'!$S$2:$S$317=$A54),--ISNUMBER('Данные 1st'!$EY$2:$EY$317))</f>
        <v>1</v>
      </c>
      <c r="BW54">
        <f>SUMPRODUCT(--('Данные 1st'!$S$2:$S$317=$A54),--ISNUMBER('Данные 1st'!$EZ$2:$EZ$317))</f>
        <v>1</v>
      </c>
      <c r="BX54">
        <f>SUMPRODUCT(--('Данные 1st'!$S$2:$S$317=$A54),--ISNUMBER('Данные 1st'!$FA$2:$FA$317))</f>
        <v>1</v>
      </c>
      <c r="BY54">
        <f>SUMPRODUCT(--('Данные 1st'!$S$2:$S$317=$A54),--ISNUMBER('Данные 1st'!$FB$2:$FB$317))</f>
        <v>1</v>
      </c>
      <c r="BZ54">
        <f>SUMPRODUCT(--('Данные 1st'!$S$2:$S$317=$A54),--ISNUMBER('Данные 1st'!$FC$2:$FC$317))</f>
        <v>1</v>
      </c>
      <c r="CA54">
        <f>SUMPRODUCT(--('Данные 1st'!$S$2:$S$317=$A54),--ISNUMBER('Данные 1st'!$FE$2:$FE$317))</f>
        <v>1</v>
      </c>
      <c r="CB54">
        <f>SUMPRODUCT(--('Данные 1st'!$S$2:$S$317=$A54),--ISNUMBER('Данные 1st'!$FF$2:$FF$317))</f>
        <v>1</v>
      </c>
      <c r="CC54">
        <f>SUMPRODUCT(--('Данные 1st'!$S$2:$S$317=$A54),--ISNUMBER('Данные 1st'!$FI$2:$FI$317))</f>
        <v>1</v>
      </c>
      <c r="CD54">
        <f>SUMPRODUCT(--('Данные 1st'!$S$2:$S$317=$A54),--ISNUMBER('Данные 1st'!$FL$2:$FL$317))</f>
        <v>1</v>
      </c>
      <c r="CE54">
        <f>SUMPRODUCT(--('Данные 1st'!$S$2:$S$317=$A54),--ISNUMBER('Данные 1st'!$FM$2:$FM$317))</f>
        <v>1</v>
      </c>
      <c r="CF54">
        <f>SUMPRODUCT(--('Данные 1st'!$S$2:$S$317=$A54),--ISNUMBER('Данные 1st'!$FN$2:$FN$317))</f>
        <v>1</v>
      </c>
      <c r="CG54">
        <f>SUMPRODUCT(--('Данные 1st'!$S$2:$S$317=$A54),--ISNUMBER('Данные 1st'!$FO$2:$FO$317))</f>
        <v>1</v>
      </c>
      <c r="CH54">
        <f>SUMPRODUCT(--('Данные 1st'!$S$2:$S$317=$A54),--ISNUMBER('Данные 1st'!$FP$2:$FP$317))</f>
        <v>1</v>
      </c>
      <c r="CI54">
        <f>SUMPRODUCT(--('Данные 1st'!$S$2:$S$317=$A54),--ISNUMBER('Данные 1st'!$FS$2:$FS$317))</f>
        <v>1</v>
      </c>
      <c r="CJ54">
        <f>SUMPRODUCT(--('Данные 1st'!$S$2:$S$317=$A54),--ISNUMBER('Данные 1st'!$FT$2:$FT$317))</f>
        <v>1</v>
      </c>
      <c r="CK54">
        <f>SUMPRODUCT(--('Данные 1st'!$S$2:$S$317=$A54),--ISNUMBER('Данные 1st'!$FU$2:$FU$317))</f>
        <v>1</v>
      </c>
      <c r="CL54">
        <f>SUMPRODUCT(--('Данные 1st'!$S$2:$S$317=$A54),--ISNUMBER('Данные 1st'!$FV$2:$FV$317))</f>
        <v>0</v>
      </c>
      <c r="CM54">
        <f>SUMPRODUCT(--('Данные 1st'!$S$2:$S$317=$A54),--ISNUMBER('Данные 1st'!$FW$2:$FW$317))</f>
        <v>0</v>
      </c>
      <c r="CN54">
        <f>SUMPRODUCT(--('Данные 1st'!$S$2:$S$317=$A54),--ISNUMBER('Данные 1st'!$FZ$2:$FZ$317))</f>
        <v>0</v>
      </c>
      <c r="CO54">
        <f>SUMPRODUCT(--('Данные 1st'!$S$2:$S$317=$A54),--ISNUMBER('Данные 1st'!$GA$2:$GA$317))</f>
        <v>0</v>
      </c>
      <c r="CP54">
        <f>SUMPRODUCT(--('Данные 1st'!$S$2:$S$317=$A54),--ISNUMBER('Данные 1st'!$GB$2:$GB$317))</f>
        <v>0</v>
      </c>
      <c r="CQ54">
        <f>SUMPRODUCT(--('Данные 1st'!$S$2:$S$317=$A54),--ISNUMBER('Данные 1st'!$GH$2:$GH$317))</f>
        <v>0</v>
      </c>
      <c r="CR54">
        <f>SUMPRODUCT(--('Данные 1st'!$S$2:$S$317=$A54),--ISNUMBER('Данные 1st'!$GI$2:$GI$317))</f>
        <v>0</v>
      </c>
      <c r="CS54">
        <f>SUMPRODUCT(--('Данные 1st'!$S$2:$S$317=$A54),--ISNUMBER('Данные 1st'!$GJ$2:$GJ$317))</f>
        <v>0</v>
      </c>
      <c r="CT54">
        <f>SUMPRODUCT(--('Данные 1st'!$S$2:$S$317=$A54),--ISNUMBER('Данные 1st'!$GS$2:$GS$317))</f>
        <v>1</v>
      </c>
      <c r="CU54">
        <f>SUMPRODUCT(--('Данные 1st'!$S$2:$S$317=$A54),--ISNUMBER('Данные 1st'!$GT$2:$GT$317))</f>
        <v>1</v>
      </c>
      <c r="CV54">
        <f>SUMPRODUCT(--('Данные 1st'!$S$2:$S$317=$A54),--ISNUMBER('Данные 1st'!$GU$2:$GU$317))</f>
        <v>1</v>
      </c>
      <c r="CW54">
        <f>SUMPRODUCT(--('Данные 1st'!$S$2:$S$317=$A54),--ISNUMBER('Данные 1st'!$GV$2:$GV$317))</f>
        <v>0</v>
      </c>
      <c r="CX54">
        <f>SUMPRODUCT(--('Данные 1st'!$S$2:$S$317=$A54),--ISNUMBER('Данные 1st'!$GW$2:$GW$317))</f>
        <v>0</v>
      </c>
      <c r="CY54">
        <f>SUMPRODUCT(--('Данные 1st'!$S$2:$S$317=$A54),--ISNUMBER('Данные 1st'!$GZ$2:$GZ$317))</f>
        <v>0</v>
      </c>
      <c r="CZ54">
        <f>SUMPRODUCT(--('Данные 1st'!$S$2:$S$317=$A54),--ISNUMBER('Данные 1st'!$HA$2:$HA$317))</f>
        <v>0</v>
      </c>
      <c r="DA54">
        <f>SUMPRODUCT(--('Данные 1st'!$S$2:$S$317=$A54),--ISNUMBER('Данные 1st'!$HB$2:$HB$317))</f>
        <v>0</v>
      </c>
      <c r="DB54">
        <f>SUMPRODUCT(--('Данные 1st'!$S$2:$S$317=$A54),--ISNUMBER('Данные 1st'!$HC$2:$HC$317))</f>
        <v>1</v>
      </c>
      <c r="DC54">
        <f>SUMPRODUCT(--('Данные 1st'!$S$2:$S$317=$A54),--ISNUMBER('Данные 1st'!$HD$2:$HD$317))</f>
        <v>1</v>
      </c>
      <c r="DD54">
        <f>SUMPRODUCT(--('Данные 1st'!$S$2:$S$317=$A54),--ISNUMBER('Данные 1st'!$HE$2:$HE$317))</f>
        <v>1</v>
      </c>
      <c r="DE54">
        <f>SUMPRODUCT(--('Данные 1st'!$S$2:$S$317=$A54),--ISNUMBER('Данные 1st'!$HF$2:$HF$317))</f>
        <v>1</v>
      </c>
      <c r="DF54">
        <f>SUMPRODUCT(--('Данные 1st'!$S$2:$S$317=$A54),--ISNUMBER('Данные 1st'!$HG$2:$HG$317))</f>
        <v>1</v>
      </c>
      <c r="DG54">
        <f>SUMPRODUCT(--('Данные 1st'!$S$2:$S$317=$A54),--ISNUMBER('Данные 1st'!$HH$2:$HH$317))</f>
        <v>1</v>
      </c>
      <c r="DH54">
        <f>SUMPRODUCT(--('Данные 1st'!$S$2:$S$317=$A54),--ISNUMBER('Данные 1st'!$HI$2:$HI$317))</f>
        <v>1</v>
      </c>
      <c r="DI54">
        <f>SUMPRODUCT(--('Данные 1st'!$S$2:$S$317=$A54),--ISNUMBER('Данные 1st'!$HJ$2:$HJ$317))</f>
        <v>1</v>
      </c>
      <c r="DJ54">
        <f>SUMPRODUCT(--('Данные 1st'!$S$2:$S$317=$A54),--ISNUMBER('Данные 1st'!$HK$2:$HK$317))</f>
        <v>1</v>
      </c>
      <c r="DK54">
        <f>SUMPRODUCT(--('Данные 1st'!$S$2:$S$317=$A54),--ISNUMBER('Данные 1st'!$HL$2:$HL$317))</f>
        <v>1</v>
      </c>
      <c r="DL54">
        <f>SUMPRODUCT(--('Данные 1st'!$S$2:$S$317=$A54),--ISNUMBER('Данные 1st'!$HM$2:$HM$317))</f>
        <v>1</v>
      </c>
      <c r="DM54">
        <f>SUMPRODUCT(--('Данные 1st'!$S$2:$S$317=$A54),--ISNUMBER('Данные 1st'!$HN$2:$HN$317))</f>
        <v>1</v>
      </c>
      <c r="DN54">
        <f>SUMPRODUCT(--('Данные 1st'!$S$2:$S$317=$A54),--ISNUMBER('Данные 1st'!$HO$2:$HO$317))</f>
        <v>1</v>
      </c>
      <c r="DO54">
        <f>SUMPRODUCT(--('Данные 1st'!$S$2:$S$317=$A54),--ISNUMBER('Данные 1st'!$HP$2:$HP$317))</f>
        <v>1</v>
      </c>
      <c r="DP54">
        <f>SUMPRODUCT(--('Данные 1st'!$S$2:$S$317=$A54),--ISNUMBER('Данные 1st'!$HQ$2:$HQ$317))</f>
        <v>1</v>
      </c>
      <c r="DQ54">
        <f>SUMPRODUCT(--('Данные 1st'!$S$2:$S$317=$A54),--ISNUMBER('Данные 1st'!$HR$2:$HR$317))</f>
        <v>1</v>
      </c>
      <c r="DR54">
        <f>SUMPRODUCT(--('Данные 1st'!$S$2:$S$317=$A54),--ISNUMBER('Данные 1st'!$HS$2:$HS$317))</f>
        <v>1</v>
      </c>
      <c r="DS54">
        <f>SUMPRODUCT(--('Данные 1st'!$S$2:$S$317=$A54),--ISNUMBER('Данные 1st'!$HT$2:$HT$317))</f>
        <v>1</v>
      </c>
      <c r="DT54">
        <f>SUMPRODUCT(--('Данные 1st'!$S$2:$S$317=$A54),--ISNUMBER('Данные 1st'!$HU$2:$HU$317))</f>
        <v>1</v>
      </c>
      <c r="DU54">
        <f>SUMPRODUCT(--('Данные 1st'!$S$2:$S$317=$A54),--ISNUMBER('Данные 1st'!$HW$2:$HW$317))</f>
        <v>1</v>
      </c>
      <c r="DV54">
        <f>SUMPRODUCT(--('Данные 1st'!$S$2:$S$317=$A54),--ISNUMBER('Данные 1st'!$HX$2:$HX$317))</f>
        <v>1</v>
      </c>
      <c r="DW54">
        <f>SUMPRODUCT(--('Данные 1st'!$S$2:$S$317=$A54),--ISNUMBER('Данные 1st'!$HY$2:$HY$317))</f>
        <v>1</v>
      </c>
      <c r="DX54">
        <f>SUMPRODUCT(--('Данные 1st'!$S$2:$S$317=$A54),--ISNUMBER('Данные 1st'!$IA$2:$IA$317))</f>
        <v>1</v>
      </c>
      <c r="DY54">
        <f>SUMPRODUCT(--('Данные 1st'!$S$2:$S$317=$A54),--ISNUMBER('Данные 1st'!$IB$2:$IB$317))</f>
        <v>1</v>
      </c>
      <c r="DZ54">
        <f>SUMPRODUCT(--('Данные 1st'!$S$2:$S$317=$A54),--ISNUMBER('Данные 1st'!$IC$2:$IC$317))</f>
        <v>1</v>
      </c>
      <c r="EA54">
        <f>SUMPRODUCT(--('Данные 1st'!$S$2:$S$317=$A54),--ISNUMBER('Данные 1st'!$ID$2:$ID$317))</f>
        <v>1</v>
      </c>
      <c r="EB54">
        <f>SUMPRODUCT(--('Данные 1st'!$S$2:$S$317=$A54),--ISNUMBER('Данные 1st'!$IE$2:$IE$317))</f>
        <v>1</v>
      </c>
      <c r="EC54">
        <f>SUMPRODUCT(--('Данные 1st'!$S$2:$S$317=$A54),--ISNUMBER('Данные 1st'!$IF$2:$IF$317))</f>
        <v>1</v>
      </c>
      <c r="ED54">
        <f>SUMPRODUCT(--('Данные 1st'!$S$2:$S$317=$A54),--ISNUMBER('Данные 1st'!$IP$2:$IP$317))</f>
        <v>1</v>
      </c>
      <c r="EE54">
        <f>SUMPRODUCT(--('Данные 1st'!$S$2:$S$317=$A54),--ISNUMBER('Данные 1st'!$IV$2:$IV$317))</f>
        <v>1</v>
      </c>
      <c r="EF54">
        <f>SUMPRODUCT(--('Данные 1st'!$S$2:$S$317=$A54),--ISNUMBER('Данные 1st'!$IW$2:$IW$317))</f>
        <v>1</v>
      </c>
      <c r="EG54">
        <f>SUMPRODUCT(--('Данные 1st'!$S$2:$S$317=$A54),--ISNUMBER('Данные 1st'!$IX$2:$IX$317))</f>
        <v>0</v>
      </c>
      <c r="EH54">
        <f>SUMPRODUCT(--('Данные 1st'!$S$2:$S$317=$A54),--ISNUMBER('Данные 1st'!$IY$2:$IY$317))</f>
        <v>0</v>
      </c>
      <c r="EI54">
        <f>SUMPRODUCT(--('Данные 1st'!$S$2:$S$317=$A54),--ISNUMBER('Данные 1st'!$JD$2:$JD$317))</f>
        <v>1</v>
      </c>
      <c r="EJ54">
        <f>SUMPRODUCT(--('Данные 1st'!$S$2:$S$317=$A54),--ISNUMBER('Данные 1st'!$JE$2:$JE$317))</f>
        <v>1</v>
      </c>
      <c r="EK54">
        <f>SUMPRODUCT(--('Данные 1st'!$S$2:$S$317=$A54),--ISNUMBER('Данные 1st'!$JF$2:$JF$317))</f>
        <v>1</v>
      </c>
      <c r="EL54">
        <f>SUMPRODUCT(--('Данные 1st'!$S$2:$S$317=$A54),--ISNUMBER('Данные 1st'!$JG$2:$JG$317))</f>
        <v>1</v>
      </c>
      <c r="EM54">
        <f>SUMPRODUCT(--('Данные 1st'!$S$2:$S$317=$A54),--ISNUMBER('Данные 1st'!$JH$2:$JH$317))</f>
        <v>1</v>
      </c>
      <c r="EN54">
        <f>SUMPRODUCT(--('Данные 1st'!$S$2:$S$317=$A54),--ISNUMBER('Данные 1st'!$JJ$2:$JJ$317))</f>
        <v>1</v>
      </c>
      <c r="EO54">
        <f>SUMPRODUCT(--('Данные 1st'!$S$2:$S$317=$A54),--ISNUMBER('Данные 1st'!$JK$2:$JK$317))</f>
        <v>1</v>
      </c>
      <c r="EP54">
        <f>SUMPRODUCT(--('Данные 1st'!$S$2:$S$317=$A54),--ISNUMBER('Данные 1st'!$JL$2:$JL$317))</f>
        <v>0</v>
      </c>
      <c r="EQ54">
        <f>SUMPRODUCT(--('Данные 1st'!$S$2:$S$317=$A54),--ISNUMBER('Данные 1st'!$JM$2:$JM$317))</f>
        <v>0</v>
      </c>
      <c r="ER54">
        <f>SUMPRODUCT(--('Данные 1st'!$S$2:$S$317=$A54),--ISNUMBER('Данные 1st'!$JN$2:$JN$317))</f>
        <v>1</v>
      </c>
      <c r="ES54">
        <f>SUMPRODUCT(--('Данные 1st'!$S$2:$S$317=$A54),--ISNUMBER('Данные 1st'!$JO$2:$JO$317))</f>
        <v>1</v>
      </c>
      <c r="ET54">
        <f>SUMPRODUCT(--('Данные 1st'!$S$2:$S$317=$A54),--ISNUMBER('Данные 1st'!$JP$2:$JP$317))</f>
        <v>1</v>
      </c>
      <c r="EU54">
        <f>SUMPRODUCT(--('Данные 1st'!$S$2:$S$317=$A54),--ISNUMBER('Данные 1st'!$JQ$2:$JQ$317))</f>
        <v>1</v>
      </c>
      <c r="EV54">
        <f>SUMPRODUCT(--('Данные 1st'!$S$2:$S$317=$A54),--ISNUMBER('Данные 1st'!$JR$2:$JR$317))</f>
        <v>1</v>
      </c>
      <c r="EW54">
        <f>SUMPRODUCT(--('Данные 1st'!$S$2:$S$317=$A54),--ISNUMBER('Данные 1st'!$JS$2:$JS$317))</f>
        <v>1</v>
      </c>
      <c r="EX54">
        <f>SUMPRODUCT(--('Данные 1st'!$S$2:$S$317=$A54),--ISNUMBER('Данные 1st'!$JT$2:$JT$317))</f>
        <v>0</v>
      </c>
      <c r="EY54">
        <f>SUMPRODUCT(--('Данные 1st'!$S$2:$S$317=$A54),--ISNUMBER('Данные 1st'!$JU$2:$JU$317))</f>
        <v>0</v>
      </c>
      <c r="EZ54">
        <f>SUMPRODUCT(--('Данные 1st'!$S$2:$S$317=$A54),--ISNUMBER('Данные 1st'!$JV$2:$JV$317))</f>
        <v>1</v>
      </c>
      <c r="FA54">
        <f>SUMPRODUCT(--('Данные 1st'!$S$2:$S$317=$A54),--ISNUMBER('Данные 1st'!$JW$2:$JW$317))</f>
        <v>0</v>
      </c>
      <c r="FB54">
        <f>SUMPRODUCT(--('Данные 1st'!$S$2:$S$317=$A54),--ISNUMBER('Данные 1st'!$JX$2:$JX$317))</f>
        <v>1</v>
      </c>
      <c r="FC54">
        <f>SUMPRODUCT(--('Данные 1st'!$S$2:$S$317=$A54),--ISNUMBER('Данные 1st'!$JY$2:$JY$317))</f>
        <v>0</v>
      </c>
      <c r="FD54">
        <f>SUMPRODUCT(--('Данные 1st'!$S$2:$S$317=$A54),--ISNUMBER('Данные 1st'!$JZ$2:$JZ$317))</f>
        <v>0</v>
      </c>
      <c r="FE54">
        <f>SUMPRODUCT(--('Данные 1st'!$S$2:$S$317=$A54),--ISNUMBER('Данные 1st'!$KA$2:$KA$317))</f>
        <v>1</v>
      </c>
      <c r="FF54">
        <f>SUMPRODUCT(--('Данные 1st'!$S$2:$S$317=$A54),--ISNUMBER('Данные 1st'!$KB$2:$KB$317))</f>
        <v>1</v>
      </c>
      <c r="FG54">
        <f>SUMPRODUCT(--('Данные 1st'!$S$2:$S$317=$A54),--ISNUMBER('Данные 1st'!$KC$2:$KC$317))</f>
        <v>1</v>
      </c>
      <c r="FH54">
        <f>SUMPRODUCT(--('Данные 1st'!$S$2:$S$317=$A54),--ISNUMBER('Данные 1st'!$KD$2:$KD$317))</f>
        <v>1</v>
      </c>
      <c r="FI54">
        <f>SUMPRODUCT(--('Данные 1st'!$S$2:$S$317=$A54),--ISNUMBER('Данные 1st'!$KE$2:$KE$317))</f>
        <v>0</v>
      </c>
      <c r="FJ54">
        <f>SUMPRODUCT(--('Данные 1st'!$S$2:$S$317=$A54),--ISNUMBER('Данные 1st'!$KF$2:$KF$317))</f>
        <v>1</v>
      </c>
      <c r="FK54">
        <f>SUMPRODUCT(--('Данные 1st'!$S$2:$S$317=$A54),--ISNUMBER('Данные 1st'!$KG$2:$KG$317))</f>
        <v>1</v>
      </c>
      <c r="FL54">
        <f>SUMPRODUCT(--('Данные 1st'!$S$2:$S$317=$A54),--ISNUMBER('Данные 1st'!$KH$2:$KH$317))</f>
        <v>1</v>
      </c>
      <c r="FM54">
        <f>SUMPRODUCT(--('Данные 1st'!$S$2:$S$317=$A54),--ISNUMBER('Данные 1st'!$KI$2:$KI$317))</f>
        <v>1</v>
      </c>
      <c r="FN54">
        <f>SUMPRODUCT(--('Данные 1st'!$S$2:$S$317=$A54),--ISNUMBER('Данные 1st'!$KJ$2:$KJ$317))</f>
        <v>1</v>
      </c>
      <c r="FO54">
        <f>SUMPRODUCT(--('Данные 1st'!$S$2:$S$317=$A54),--ISNUMBER('Данные 1st'!$KK$2:$KK$317))</f>
        <v>1</v>
      </c>
      <c r="FP54">
        <f>SUMPRODUCT(--('Данные 1st'!$S$2:$S$317=$A54),--ISNUMBER('Данные 1st'!$KL$2:$KL$317))</f>
        <v>1</v>
      </c>
      <c r="FQ54">
        <f>SUMPRODUCT(--('Данные 1st'!$S$2:$S$317=$A54),--ISNUMBER('Данные 1st'!$KM$2:$KM$317))</f>
        <v>1</v>
      </c>
      <c r="FR54">
        <f>SUMPRODUCT(--('Данные 1st'!$S$2:$S$317=$A54),--ISNUMBER('Данные 1st'!$KN$2:$KN$317))</f>
        <v>1</v>
      </c>
      <c r="FS54">
        <f>SUMPRODUCT(--('Данные 1st'!$S$2:$S$317=$A54),--ISNUMBER('Данные 1st'!$KR$2:$KR$317))</f>
        <v>1</v>
      </c>
      <c r="FT54">
        <f>SUMPRODUCT(--('Данные 1st'!$S$2:$S$317=$A54),--ISNUMBER('Данные 1st'!$KS$2:$KS$317))</f>
        <v>1</v>
      </c>
      <c r="FU54">
        <f>SUMPRODUCT(--('Данные 1st'!$S$2:$S$317=$A54),--ISNUMBER('Данные 1st'!$KT$2:$KT$317))</f>
        <v>1</v>
      </c>
      <c r="FV54">
        <f>SUMPRODUCT(--('Данные 1st'!$S$2:$S$317=$A54),--ISNUMBER('Данные 1st'!$KV$2:$KV$317))</f>
        <v>0</v>
      </c>
      <c r="FW54">
        <f>SUMPRODUCT(--('Данные 1st'!$S$2:$S$317=$A54),--ISNUMBER('Данные 1st'!$KW$2:$KW$317))</f>
        <v>0</v>
      </c>
      <c r="FX54">
        <f>SUMPRODUCT(--('Данные 1st'!$S$2:$S$317=$A54),--ISNUMBER('Данные 1st'!$KX$2:$KX$317))</f>
        <v>0</v>
      </c>
      <c r="FY54">
        <f>SUMPRODUCT(--('Данные 1st'!$S$2:$S$317=$A54),--ISNUMBER('Данные 1st'!$KY$2:$KY$317))</f>
        <v>0</v>
      </c>
      <c r="FZ54">
        <f>SUMPRODUCT(--('Данные 1st'!$S$2:$S$317=$A54),--ISNUMBER('Данные 1st'!$KZ$2:$KZ$317))</f>
        <v>0</v>
      </c>
      <c r="GA54">
        <f>SUMPRODUCT(--('Данные 1st'!$S$2:$S$317=$A54),--ISNUMBER('Данные 1st'!$LA$2:$LA$317))</f>
        <v>0</v>
      </c>
      <c r="GB54">
        <f>SUMPRODUCT(--('Данные 1st'!$S$2:$S$317=$A54),--ISNUMBER('Данные 1st'!$LB$2:$LB$317))</f>
        <v>0</v>
      </c>
      <c r="GC54">
        <f>SUMPRODUCT(--('Данные 1st'!$S$2:$S$317=$A54),--ISNUMBER('Данные 1st'!$LC$2:$LC$317))</f>
        <v>0</v>
      </c>
      <c r="GD54">
        <f>SUMPRODUCT(--('Данные 1st'!$S$2:$S$317=$A54),--ISNUMBER('Данные 1st'!$LD$2:$LD$317))</f>
        <v>0</v>
      </c>
      <c r="GE54">
        <f>SUMPRODUCT(--('Данные 1st'!$S$2:$S$317=$A54),--ISNUMBER('Данные 1st'!$LE$2:$LE$317))</f>
        <v>0</v>
      </c>
      <c r="GF54">
        <f>SUMPRODUCT(--('Данные 1st'!$S$2:$S$317=$A54),--ISNUMBER('Данные 1st'!$LF$2:$LF$317))</f>
        <v>0</v>
      </c>
      <c r="GG54">
        <f>SUMPRODUCT(--('Данные 1st'!$S$2:$S$317=$A54),--ISNUMBER('Данные 1st'!$LG$2:$LG$317))</f>
        <v>0</v>
      </c>
      <c r="GH54">
        <f>SUMPRODUCT(--('Данные 1st'!$S$2:$S$317=$A54),--ISNUMBER('Данные 1st'!$LH$2:$LH$317))</f>
        <v>0</v>
      </c>
      <c r="GI54">
        <f>SUMPRODUCT(--('Данные 1st'!$S$2:$S$317=$A54),--ISNUMBER('Данные 1st'!$LI$2:$LI$317))</f>
        <v>0</v>
      </c>
      <c r="GJ54">
        <f>SUMPRODUCT(--('Данные 1st'!$S$2:$S$317=$A54),--ISNUMBER('Данные 1st'!$LJ$2:$LJ$317))</f>
        <v>0</v>
      </c>
      <c r="GK54">
        <f>SUMPRODUCT(--('Данные 1st'!$S$2:$S$317=$A54),--ISNUMBER('Данные 1st'!$LK$2:$LK$317))</f>
        <v>1</v>
      </c>
      <c r="GL54">
        <f>SUMPRODUCT(--('Данные 1st'!$S$2:$S$317=$A54),--ISNUMBER('Данные 1st'!$LV$2:$LV$317))</f>
        <v>0</v>
      </c>
      <c r="GM54">
        <f>SUMPRODUCT(--('Данные 1st'!$S$2:$S$317=$A54),--ISNUMBER('Данные 1st'!$LW$2:$LW$317))</f>
        <v>0</v>
      </c>
      <c r="GN54">
        <f>SUMPRODUCT(--('Данные 1st'!$S$2:$S$317=$A54),--ISNUMBER('Данные 1st'!$LX$2:$LX$317))</f>
        <v>0</v>
      </c>
      <c r="GO54">
        <f>SUMPRODUCT(--('Данные 1st'!$S$2:$S$317=$A54),--ISNUMBER('Данные 1st'!$LY$2:$LY$317))</f>
        <v>0</v>
      </c>
      <c r="GP54">
        <f>SUMPRODUCT(--('Данные 1st'!$S$2:$S$317=$A54),--ISNUMBER('Данные 1st'!$LZ$2:$LZ$317))</f>
        <v>0</v>
      </c>
      <c r="GQ54">
        <f>SUMPRODUCT(--('Данные 1st'!$S$2:$S$317=$A54),--ISNUMBER('Данные 1st'!$PG$2:$PG$317))</f>
        <v>1</v>
      </c>
      <c r="GR54">
        <f>SUMPRODUCT(--('Данные 1st'!$S$2:$S$317=$A54),--ISNUMBER('Данные 1st'!$PX$2:$PX$317))</f>
        <v>1</v>
      </c>
      <c r="GS54">
        <f>SUMPRODUCT(--('Данные 1st'!$S$2:$S$317=$A54),--ISNUMBER('Данные 1st'!$PY$2:$PY$317))</f>
        <v>1</v>
      </c>
      <c r="GT54">
        <f>SUMPRODUCT(--('Данные 1st'!$S$2:$S$317=$A54),--ISNUMBER('Данные 1st'!$QA$2:$QA$317))</f>
        <v>1</v>
      </c>
      <c r="GU54">
        <f>SUMPRODUCT(--('Данные 1st'!$S$2:$S$317=$A54),--ISNUMBER('Данные 1st'!$QB$2:$QB$317))</f>
        <v>1</v>
      </c>
      <c r="GV54">
        <f>SUMPRODUCT(--('Данные 1st'!$S$2:$S$317=$A54),--ISNUMBER('Данные 1st'!$QC$2:$QC$317))</f>
        <v>1</v>
      </c>
      <c r="GW54">
        <f>SUMPRODUCT(--('Данные 1st'!$S$2:$S$317=$A54),--ISNUMBER('Данные 1st'!$QD$2:$QD$317))</f>
        <v>1</v>
      </c>
      <c r="GX54">
        <f>SUMPRODUCT(--('Данные 1st'!$S$2:$S$317=$A54),--ISNUMBER('Данные 1st'!$QF$2:$QF$317))</f>
        <v>1</v>
      </c>
      <c r="GY54">
        <f>SUMPRODUCT(--('Данные 1st'!$S$2:$S$317=$A54),--ISNUMBER('Данные 1st'!$QG$2:$QG$317))</f>
        <v>1</v>
      </c>
      <c r="GZ54">
        <f>SUMPRODUCT(--('Данные 1st'!$S$2:$S$317=$A54),--ISNUMBER('Данные 1st'!$QH$2:$QH$317))</f>
        <v>1</v>
      </c>
      <c r="HA54">
        <f>SUMPRODUCT(--('Данные 1st'!$S$2:$S$317=$A54),--ISNUMBER('Данные 1st'!$QI$2:$QI$317))</f>
        <v>1</v>
      </c>
      <c r="HB54">
        <f>SUMPRODUCT(--('Данные 1st'!$S$2:$S$317=$A54),--ISNUMBER('Данные 1st'!$QK$2:$QK$317))</f>
        <v>1</v>
      </c>
      <c r="HC54">
        <f>SUMPRODUCT(--('Данные 1st'!$S$2:$S$317=$A54),--ISNUMBER('Данные 1st'!$QL$2:$QL$317))</f>
        <v>1</v>
      </c>
      <c r="HD54">
        <f>SUMPRODUCT(--('Данные 1st'!$S$2:$S$317=$A54),--ISNUMBER('Данные 1st'!$QM$2:$QM$317))</f>
        <v>1</v>
      </c>
      <c r="HE54">
        <f>SUMPRODUCT(--('Данные 1st'!$S$2:$S$317=$A54),--ISNUMBER('Данные 1st'!$QN$2:$QN$317))</f>
        <v>1</v>
      </c>
      <c r="HF54">
        <f>SUMPRODUCT(--('Данные 1st'!$S$2:$S$317=$A54),--ISNUMBER('Данные 1st'!$QP$2:$QP$317))</f>
        <v>1</v>
      </c>
      <c r="HG54">
        <f>SUMPRODUCT(--('Данные 1st'!$S$2:$S$317=$A54),--ISNUMBER('Данные 1st'!$QQ$2:$QQ$317))</f>
        <v>1</v>
      </c>
      <c r="HH54">
        <f>SUMPRODUCT(--('Данные 1st'!$S$2:$S$317=$A54),--ISNUMBER('Данные 1st'!$QR$2:$QR$317))</f>
        <v>1</v>
      </c>
      <c r="HI54">
        <f>SUMPRODUCT(--('Данные 1st'!$S$2:$S$317=$A54),--ISNUMBER('Данные 1st'!$QS$2:$QS$317))</f>
        <v>1</v>
      </c>
      <c r="HJ54">
        <f>SUMPRODUCT(--('Данные 1st'!$S$2:$S$317=$A54),--ISNUMBER('Данные 1st'!$QU$2:$QU$317))</f>
        <v>1</v>
      </c>
      <c r="HK54">
        <f>SUMPRODUCT(--('Данные 1st'!$S$2:$S$317=$A54),--ISNUMBER('Данные 1st'!$QV$2:$QV$317))</f>
        <v>1</v>
      </c>
      <c r="HL54">
        <f>SUMPRODUCT(--('Данные 1st'!$S$2:$S$317=$A54),--ISNUMBER('Данные 1st'!$QW$2:$QW$317))</f>
        <v>1</v>
      </c>
      <c r="HM54">
        <f>SUMPRODUCT(--('Данные 1st'!$S$2:$S$317=$A54),--ISNUMBER('Данные 1st'!$QX$2:$QX$317))</f>
        <v>1</v>
      </c>
      <c r="HN54">
        <f>SUMPRODUCT(--('Данные 1st'!$S$2:$S$317=$A54),--ISNUMBER('Данные 1st'!$QZ$2:$QZ$317))</f>
        <v>1</v>
      </c>
      <c r="HO54">
        <f>SUMPRODUCT(--('Данные 1st'!$S$2:$S$317=$A54),--ISNUMBER('Данные 1st'!$RA$2:$RA$317))</f>
        <v>1</v>
      </c>
      <c r="HP54">
        <f>SUMPRODUCT(--('Данные 1st'!$S$2:$S$317=$A54),--ISNUMBER('Данные 1st'!$RB$2:$RB$317))</f>
        <v>1</v>
      </c>
      <c r="HQ54">
        <f>SUMPRODUCT(--('Данные 1st'!$S$2:$S$317=$A54),--ISNUMBER('Данные 1st'!$RD$2:$RD$317))</f>
        <v>0</v>
      </c>
      <c r="HR54">
        <f>SUMPRODUCT(--('Данные 1st'!$S$2:$S$317=$A54),--ISNUMBER('Данные 1st'!$RE$2:$RE$317))</f>
        <v>1</v>
      </c>
      <c r="HS54">
        <f>SUMPRODUCT(--('Данные 1st'!$S$2:$S$317=$A54),--ISNUMBER('Данные 1st'!$RF$2:$RF$317))</f>
        <v>1</v>
      </c>
      <c r="HT54">
        <f>SUMPRODUCT(--('Данные 1st'!$S$2:$S$317=$A54),--ISNUMBER('Данные 1st'!$RG$2:$RG$317))</f>
        <v>0</v>
      </c>
      <c r="HU54">
        <f>SUMPRODUCT(--('Данные 1st'!$S$2:$S$317=$A54),--ISNUMBER('Данные 1st'!$RH$2:$RH$317))</f>
        <v>1</v>
      </c>
      <c r="HV54">
        <f>SUMPRODUCT(--('Данные 1st'!$S$2:$S$317=$A54),--ISNUMBER('Данные 1st'!$RI$2:$RI$317))</f>
        <v>0</v>
      </c>
      <c r="HW54">
        <f>SUMPRODUCT(--('Данные 1st'!$S$2:$S$317=$A54),--ISNUMBER('Данные 1st'!$RJ$2:$RJ$317))</f>
        <v>1</v>
      </c>
      <c r="HX54">
        <f>SUMPRODUCT(--('Данные 1st'!$S$2:$S$317=$A54),--ISNUMBER('Данные 1st'!$RK$2:$RK$317))</f>
        <v>1</v>
      </c>
      <c r="HY54">
        <f>SUMPRODUCT(--('Данные 1st'!$S$2:$S$317=$A54),--ISNUMBER('Данные 1st'!$RL$2:$RL$317))</f>
        <v>1</v>
      </c>
      <c r="HZ54">
        <f>SUMPRODUCT(--('Данные 1st'!$S$2:$S$317=$A54),--ISNUMBER('Данные 1st'!$RM$2:$RM$317))</f>
        <v>1</v>
      </c>
      <c r="IA54">
        <f>SUMPRODUCT(--('Данные 1st'!$S$2:$S$317=$A54),--ISNUMBER('Данные 1st'!$RN$2:$RN$317))</f>
        <v>0</v>
      </c>
      <c r="IB54">
        <f>SUMPRODUCT(--('Данные 1st'!$S$2:$S$317=$A54),--ISNUMBER('Данные 1st'!$RO$2:$RO$317))</f>
        <v>1</v>
      </c>
      <c r="IC54">
        <f>SUMPRODUCT(--('Данные 1st'!$S$2:$S$317=$A54),--ISNUMBER('Данные 1st'!$RP$2:$RP$317))</f>
        <v>1</v>
      </c>
      <c r="ID54">
        <f>SUMPRODUCT(--('Данные 1st'!$S$2:$S$317=$A54),--ISNUMBER('Данные 1st'!$RQ$2:$RQ$317))</f>
        <v>1</v>
      </c>
      <c r="IE54">
        <f>SUMPRODUCT(--('Данные 1st'!$S$2:$S$317=$A54),--ISNUMBER('Данные 1st'!$RR$2:$RR$317))</f>
        <v>1</v>
      </c>
      <c r="IF54">
        <f>SUMPRODUCT(--('Данные 1st'!$S$2:$S$317=$A54),--ISNUMBER('Данные 1st'!$RS$2:$RS$317))</f>
        <v>0</v>
      </c>
      <c r="IG54">
        <f>SUMPRODUCT(--('Данные 1st'!$S$2:$S$317=$A54),--ISNUMBER('Данные 1st'!$RT$2:$RT$317))</f>
        <v>1</v>
      </c>
      <c r="IH54">
        <f>SUMPRODUCT(--('Данные 1st'!$S$2:$S$317=$A54),--ISNUMBER('Данные 1st'!$RU$2:$RU$317))</f>
        <v>1</v>
      </c>
      <c r="II54">
        <f>SUMPRODUCT(--('Данные 1st'!$S$2:$S$317=$A54),--ISNUMBER('Данные 1st'!$RX$2:$RX$317))</f>
        <v>1</v>
      </c>
      <c r="IJ54">
        <f>SUMPRODUCT(--('Данные 1st'!$S$2:$S$317=$A54),--ISNUMBER('Данные 1st'!$RY$2:$RY$317))</f>
        <v>1</v>
      </c>
      <c r="IK54">
        <f>SUMPRODUCT(--('Данные 1st'!$S$2:$S$317=$A54),--ISNUMBER('Данные 1st'!$SA$2:$SA$317))</f>
        <v>1</v>
      </c>
      <c r="IL54">
        <f>SUMPRODUCT(--('Данные 1st'!$S$2:$S$317=$A54),--ISNUMBER('Данные 1st'!$SD$2:$SD$317))</f>
        <v>1</v>
      </c>
      <c r="IM54">
        <f>SUMPRODUCT(--('Данные 1st'!$S$2:$S$317=$A54),--ISNUMBER('Данные 1st'!$SG$2:$SG$317))</f>
        <v>1</v>
      </c>
      <c r="IN54">
        <f>SUMPRODUCT(--('Данные 1st'!$S$2:$S$317=$A54),--ISNUMBER('Данные 1st'!$SH$2:$SH$317))</f>
        <v>1</v>
      </c>
      <c r="IO54">
        <f>SUMPRODUCT(--('Данные 1st'!$S$2:$S$317=$A54),--ISNUMBER('Данные 1st'!$SI$2:$SI$317))</f>
        <v>1</v>
      </c>
      <c r="IP54">
        <f>SUMPRODUCT(--('Данные 1st'!$S$2:$S$317=$A54),--ISNUMBER('Данные 1st'!$SJ$2:$SJ$317))</f>
        <v>1</v>
      </c>
      <c r="IQ54">
        <f>SUMPRODUCT(--('Данные 1st'!$S$2:$S$317=$A54),--ISNUMBER('Данные 1st'!$SK$2:$SK$317))</f>
        <v>1</v>
      </c>
      <c r="IR54">
        <f>SUMPRODUCT(--('Данные 1st'!$S$2:$S$317=$A54),--ISNUMBER('Данные 1st'!$SL$2:$SL$317))</f>
        <v>1</v>
      </c>
      <c r="IS54">
        <f>SUMPRODUCT(--('Данные 1st'!$S$2:$S$317=$A54),--ISNUMBER('Данные 1st'!$SM$2:$SM$317))</f>
        <v>1</v>
      </c>
      <c r="IT54">
        <f>SUMPRODUCT(--('Данные 1st'!$S$2:$S$317=$A54),--ISNUMBER('Данные 1st'!$SN$2:$SN$317))</f>
        <v>1</v>
      </c>
      <c r="IU54">
        <f>SUMPRODUCT(--('Данные 1st'!$S$2:$S$317=$A54),--ISNUMBER('Данные 1st'!$SO$2:$SO$317))</f>
        <v>1</v>
      </c>
      <c r="IV54">
        <f>SUMPRODUCT(--('Данные 1st'!$S$2:$S$317=$A54),--ISNUMBER('Данные 1st'!$SP$2:$SP$317))</f>
        <v>1</v>
      </c>
      <c r="IW54">
        <f>SUMPRODUCT(--('Данные 1st'!$S$2:$S$317=$A54),--ISNUMBER('Данные 1st'!$SQ$2:$SQ$317))</f>
        <v>1</v>
      </c>
      <c r="IX54">
        <f>SUMPRODUCT(--('Данные 1st'!$S$2:$S$317=$A54),--ISNUMBER('Данные 1st'!$SR$2:$SR$317))</f>
        <v>1</v>
      </c>
      <c r="IY54">
        <f>SUMPRODUCT(--('Данные 1st'!$S$2:$S$317=$A54),--ISNUMBER('Данные 1st'!$SS$2:$SS$317))</f>
        <v>1</v>
      </c>
      <c r="IZ54">
        <f>SUMPRODUCT(--('Данные 1st'!$S$2:$S$317=$A54),--ISNUMBER('Данные 1st'!$ST$2:$ST$317))</f>
        <v>1</v>
      </c>
      <c r="JA54">
        <f>SUMPRODUCT(--('Данные 1st'!$S$2:$S$317=$A54),--ISNUMBER('Данные 1st'!$SU$2:$SU$317))</f>
        <v>1</v>
      </c>
      <c r="JB54">
        <f>SUMPRODUCT(--('Данные 1st'!$S$2:$S$317=$A54),--ISNUMBER('Данные 1st'!$SV$2:$SV$317))</f>
        <v>1</v>
      </c>
      <c r="JC54">
        <f>SUMPRODUCT(--('Данные 1st'!$S$2:$S$317=$A54),--ISNUMBER('Данные 1st'!$SW$2:$SW$317))</f>
        <v>1</v>
      </c>
      <c r="JD54">
        <f>SUMPRODUCT(--('Данные 1st'!$S$2:$S$317=$A54),--ISNUMBER('Данные 1st'!$SX$2:$SX$317))</f>
        <v>1</v>
      </c>
      <c r="JE54">
        <f>SUMPRODUCT(--('Данные 1st'!$S$2:$S$317=$A54),--ISNUMBER('Данные 1st'!$SY$2:$SY$317))</f>
        <v>1</v>
      </c>
      <c r="JF54">
        <f>SUMPRODUCT(--('Данные 1st'!$S$2:$S$317=$A54),--ISNUMBER('Данные 1st'!$SZ$2:$SZ$317))</f>
        <v>1</v>
      </c>
      <c r="JG54">
        <f>SUMPRODUCT(--('Данные 1st'!$S$2:$S$317=$A54),--ISNUMBER('Данные 1st'!$TA$2:$TA$317))</f>
        <v>0</v>
      </c>
      <c r="JH54">
        <f>SUMPRODUCT(--('Данные 1st'!$S$2:$S$317=$A54),--ISNUMBER('Данные 1st'!$TB$2:$TB$317))</f>
        <v>1</v>
      </c>
      <c r="JI54">
        <f>SUMPRODUCT(--('Данные 1st'!$S$2:$S$317=$A54),--ISNUMBER('Данные 1st'!$TC$2:$TC$317))</f>
        <v>1</v>
      </c>
      <c r="JJ54">
        <f>SUMPRODUCT(--('Данные 1st'!$S$2:$S$317=$A54),--ISNUMBER('Данные 1st'!$TD$2:$TD$317))</f>
        <v>1</v>
      </c>
      <c r="JK54">
        <f>SUMPRODUCT(--('Данные 1st'!$S$2:$S$317=$A54),--ISNUMBER('Данные 1st'!$TN$2:$TN$317))</f>
        <v>1</v>
      </c>
      <c r="JQ54">
        <f>SUMPRODUCT(--('Данные 2st'!$Q$2:$Q$317=$A54),--ISNUMBER('Данные 2st'!$AC$2:$AC$317))</f>
        <v>1</v>
      </c>
      <c r="JR54">
        <f>SUMPRODUCT(--('Данные 2st'!$Q$2:$Q$317=$A54),--ISNUMBER('Данные 2st'!$AF$2:$AF$317))</f>
        <v>1</v>
      </c>
      <c r="JS54">
        <f>SUMPRODUCT(--('Данные 2st'!$Q$2:$Q$317=$A54),--ISNUMBER('Данные 2st'!$AW$2:$AW$317))</f>
        <v>1</v>
      </c>
      <c r="JT54">
        <f>SUMPRODUCT(--('Данные 2st'!$Q$2:$Q$317=$A54),--ISNUMBER('Данные 2st'!$AX$2:$AX$317))</f>
        <v>1</v>
      </c>
      <c r="JU54">
        <f>SUMPRODUCT(--('Данные 2st'!$Q$2:$Q$317=$A54),--ISNUMBER('Данные 2st'!$AY$2:$AY$317))</f>
        <v>1</v>
      </c>
      <c r="JV54">
        <f>SUMPRODUCT(--('Данные 2st'!$Q$2:$Q$317=$A54),--ISNUMBER('Данные 2st'!$AZ$2:$AZ$317))</f>
        <v>1</v>
      </c>
      <c r="JW54">
        <f>SUMPRODUCT(--('Данные 2st'!$Q$2:$Q$317=$A54),--ISNUMBER('Данные 2st'!$BA$2:$BA$317))</f>
        <v>0</v>
      </c>
      <c r="JX54">
        <f>SUMPRODUCT(--('Данные 2st'!$Q$2:$Q$317=$A54),--ISNUMBER('Данные 2st'!$BB$2:$BB$317))</f>
        <v>0</v>
      </c>
      <c r="JY54">
        <f>SUMPRODUCT(--('Данные 2st'!$Q$2:$Q$317=$A54),--ISNUMBER('Данные 2st'!$BC$2:$BC$317))</f>
        <v>0</v>
      </c>
      <c r="JZ54">
        <f>SUMPRODUCT(--('Данные 2st'!$Q$2:$Q$317=$A54),--ISNUMBER('Данные 2st'!$BH$2:$BH$317))</f>
        <v>1</v>
      </c>
      <c r="KA54">
        <f>SUMPRODUCT(--('Данные 2st'!$Q$2:$Q$317=$A54),--ISNUMBER('Данные 2st'!$BI$2:$BI$317))</f>
        <v>1</v>
      </c>
      <c r="KB54">
        <f>SUMPRODUCT(--('Данные 2st'!$Q$2:$Q$317=$A54),--ISNUMBER('Данные 2st'!$BJ$2:$BJ$317))</f>
        <v>1</v>
      </c>
      <c r="KC54">
        <f>SUMPRODUCT(--('Данные 2st'!$Q$2:$Q$317=$A54),--ISNUMBER('Данные 2st'!$BK$2:$BK$317))</f>
        <v>1</v>
      </c>
      <c r="KD54">
        <f>SUMPRODUCT(--('Данные 2st'!$Q$2:$Q$317=$A54),--ISNUMBER('Данные 2st'!$BL$2:$BL$317))</f>
        <v>1</v>
      </c>
      <c r="KE54">
        <f>SUMPRODUCT(--('Данные 2st'!$Q$2:$Q$317=$A54),--ISNUMBER('Данные 2st'!$BM$2:$BM$317))</f>
        <v>1</v>
      </c>
      <c r="KF54">
        <f>SUMPRODUCT(--('Данные 2st'!$Q$2:$Q$317=$A54),--ISNUMBER('Данные 2st'!$BN$2:$BN$317))</f>
        <v>1</v>
      </c>
      <c r="KG54">
        <f>SUMPRODUCT(--('Данные 2st'!$Q$2:$Q$317=$A54),--ISNUMBER('Данные 2st'!$BO$2:$BO$317))</f>
        <v>0</v>
      </c>
      <c r="KH54">
        <f>SUMPRODUCT(--('Данные 2st'!$Q$2:$Q$317=$A54),--ISNUMBER('Данные 2st'!$BP$2:$BP$317))</f>
        <v>1</v>
      </c>
      <c r="KI54">
        <f>SUMPRODUCT(--('Данные 2st'!$Q$2:$Q$317=$A54),--ISNUMBER('Данные 2st'!$BR$2:$BR$317))</f>
        <v>1</v>
      </c>
      <c r="KJ54">
        <f>SUMPRODUCT(--('Данные 2st'!$Q$2:$Q$317=$A54),--ISNUMBER('Данные 2st'!$BS$2:$BS$317))</f>
        <v>1</v>
      </c>
      <c r="KK54">
        <f>SUMPRODUCT(--('Данные 2st'!$Q$2:$Q$317=$A54),--ISNUMBER('Данные 2st'!$BT$2:$BT$317))</f>
        <v>1</v>
      </c>
      <c r="KL54">
        <f>SUMPRODUCT(--('Данные 2st'!$Q$2:$Q$317=$A54),--ISNUMBER('Данные 2st'!$CV$2:$CV$317))</f>
        <v>1</v>
      </c>
      <c r="KM54">
        <f>SUMPRODUCT(--('Данные 2st'!$Q$2:$Q$317=$A54),--ISNUMBER('Данные 2st'!$CW$2:$CW$317))</f>
        <v>1</v>
      </c>
      <c r="KN54">
        <f>SUMPRODUCT(--('Данные 2st'!$Q$2:$Q$317=$A54),--ISNUMBER('Данные 2st'!$CX$2:$CX$317))</f>
        <v>1</v>
      </c>
      <c r="KO54">
        <f>SUMPRODUCT(--('Данные 2st'!$Q$2:$Q$317=$A54),--ISNUMBER('Данные 2st'!$CY$2:$CY$317))</f>
        <v>1</v>
      </c>
      <c r="KP54">
        <f>SUMPRODUCT(--('Данные 2st'!$Q$2:$Q$317=$A54),--ISNUMBER('Данные 2st'!$CZ$2:$CZ$317))</f>
        <v>1</v>
      </c>
      <c r="KQ54">
        <f>SUMPRODUCT(--('Данные 2st'!$Q$2:$Q$317=$A54),--ISNUMBER('Данные 2st'!$DA$2:$DA$317))</f>
        <v>1</v>
      </c>
      <c r="KR54">
        <f>SUMPRODUCT(--('Данные 2st'!$Q$2:$Q$317=$A54),--ISNUMBER('Данные 2st'!$DB$2:$DB$317))</f>
        <v>1</v>
      </c>
      <c r="KS54">
        <f>SUMPRODUCT(--('Данные 2st'!$Q$2:$Q$317=$A54),--ISNUMBER('Данные 2st'!$DC$2:$DC$317))</f>
        <v>1</v>
      </c>
      <c r="KT54">
        <f>SUMPRODUCT(--('Данные 2st'!$Q$2:$Q$317=$A54),--ISNUMBER('Данные 2st'!$DD$2:$DD$317))</f>
        <v>1</v>
      </c>
      <c r="KU54">
        <f>SUMPRODUCT(--('Данные 2st'!$Q$2:$Q$317=$A54),--ISNUMBER('Данные 2st'!$DE$2:$DE$317))</f>
        <v>1</v>
      </c>
      <c r="KV54">
        <f>SUMPRODUCT(--('Данные 2st'!$Q$2:$Q$317=$A54),--ISNUMBER('Данные 2st'!$DF$2:$DF$317))</f>
        <v>1</v>
      </c>
      <c r="KW54">
        <f>SUMPRODUCT(--('Данные 2st'!$Q$2:$Q$317=$A54),--ISNUMBER('Данные 2st'!$DG$2:$DG$317))</f>
        <v>1</v>
      </c>
      <c r="KX54">
        <f>SUMPRODUCT(--('Данные 2st'!$Q$2:$Q$317=$A54),--ISNUMBER('Данные 2st'!$DH$2:$DH$317))</f>
        <v>1</v>
      </c>
      <c r="KY54">
        <f>SUMPRODUCT(--('Данные 2st'!$Q$2:$Q$317=$A54),--ISNUMBER('Данные 2st'!$DI$2:$DI$317))</f>
        <v>0</v>
      </c>
      <c r="KZ54">
        <f>SUMPRODUCT(--('Данные 2st'!$Q$2:$Q$317=$A54),--ISNUMBER('Данные 2st'!$DK$2:$DK$317))</f>
        <v>1</v>
      </c>
      <c r="LA54">
        <f>SUMPRODUCT(--('Данные 2st'!$Q$2:$Q$317=$A54),--ISNUMBER('Данные 2st'!$DM$2:$DM$317))</f>
        <v>1</v>
      </c>
      <c r="LB54">
        <f>SUMPRODUCT(--('Данные 2st'!$Q$2:$Q$317=$A54),--ISNUMBER('Данные 2st'!$DN$2:$DN$317))</f>
        <v>1</v>
      </c>
      <c r="LC54">
        <f>SUMPRODUCT(--('Данные 2st'!$Q$2:$Q$317=$A54),--ISNUMBER('Данные 2st'!$DO$2:$DO$317))</f>
        <v>1</v>
      </c>
      <c r="LD54">
        <f>SUMPRODUCT(--('Данные 2st'!$Q$2:$Q$317=$A54),--ISNUMBER('Данные 2st'!$DP$2:$DP$317))</f>
        <v>1</v>
      </c>
      <c r="LE54">
        <f>SUMPRODUCT(--('Данные 2st'!$Q$2:$Q$317=$A54),--ISNUMBER('Данные 2st'!$DQ$2:$DQ$317))</f>
        <v>1</v>
      </c>
      <c r="LF54">
        <f>SUMPRODUCT(--('Данные 2st'!$Q$2:$Q$317=$A54),--ISNUMBER('Данные 2st'!$DS$2:$DS$317))</f>
        <v>1</v>
      </c>
      <c r="LG54">
        <f>SUMPRODUCT(--('Данные 2st'!$Q$2:$Q$317=$A54),--ISNUMBER('Данные 2st'!$DU$2:$DU$317))</f>
        <v>1</v>
      </c>
      <c r="LH54">
        <f>SUMPRODUCT(--('Данные 2st'!$Q$2:$Q$317=$A54),--ISNUMBER('Данные 2st'!$DV$2:$DV$317))</f>
        <v>1</v>
      </c>
      <c r="LI54">
        <f>SUMPRODUCT(--('Данные 2st'!$Q$2:$Q$317=$A54),--ISNUMBER('Данные 2st'!$DW$2:$DW$317))</f>
        <v>1</v>
      </c>
      <c r="LJ54">
        <f>SUMPRODUCT(--('Данные 2st'!$Q$2:$Q$317=$A54),--ISNUMBER('Данные 2st'!$DX$2:$DX$317))</f>
        <v>1</v>
      </c>
      <c r="LK54">
        <f>SUMPRODUCT(--('Данные 2st'!$Q$2:$Q$317=$A54),--ISNUMBER('Данные 2st'!$DY$2:$DY$317))</f>
        <v>1</v>
      </c>
      <c r="LL54">
        <f>SUMPRODUCT(--('Данные 2st'!$Q$2:$Q$317=$A54),--ISNUMBER('Данные 2st'!$EA$2:$EA$317))</f>
        <v>1</v>
      </c>
      <c r="LM54">
        <f>SUMPRODUCT(--('Данные 2st'!$Q$2:$Q$317=$A54),--ISNUMBER('Данные 2st'!$EC$2:$EC$317))</f>
        <v>1</v>
      </c>
      <c r="LN54">
        <f>SUMPRODUCT(--('Данные 2st'!$Q$2:$Q$317=$A54),--ISNUMBER('Данные 2st'!$ED$2:$ED$317))</f>
        <v>1</v>
      </c>
      <c r="LO54">
        <f>SUMPRODUCT(--('Данные 2st'!$Q$2:$Q$317=$A54),--ISNUMBER('Данные 2st'!$EE$2:$EE$317))</f>
        <v>1</v>
      </c>
      <c r="LP54">
        <f>SUMPRODUCT(--('Данные 2st'!$Q$2:$Q$317=$A54),--ISNUMBER('Данные 2st'!$EG$2:$EG$317))</f>
        <v>1</v>
      </c>
      <c r="LQ54">
        <f>SUMPRODUCT(--('Данные 2st'!$Q$2:$Q$317=$A54),--ISNUMBER('Данные 2st'!$EI$2:$EI$317))</f>
        <v>1</v>
      </c>
      <c r="LR54">
        <f>SUMPRODUCT(--('Данные 2st'!$Q$2:$Q$317=$A54),--ISNUMBER('Данные 2st'!$EJ$2:$EJ$317))</f>
        <v>0</v>
      </c>
      <c r="LS54">
        <f>SUMPRODUCT(--('Данные 2st'!$Q$2:$Q$317=$A54),--ISNUMBER('Данные 2st'!$EK$2:$EK$317))</f>
        <v>0</v>
      </c>
      <c r="LT54">
        <f>SUMPRODUCT(--('Данные 2st'!$Q$2:$Q$317=$A54),--ISNUMBER('Данные 2st'!$EM$2:$EM$317))</f>
        <v>1</v>
      </c>
      <c r="LU54">
        <f>SUMPRODUCT(--('Данные 2st'!$Q$2:$Q$317=$A54),--ISNUMBER('Данные 2st'!$EN$2:$EN$317))</f>
        <v>1</v>
      </c>
      <c r="LV54">
        <f>SUMPRODUCT(--('Данные 2st'!$Q$2:$Q$317=$A54),--ISNUMBER('Данные 2st'!$EO$2:$EO$317))</f>
        <v>1</v>
      </c>
      <c r="LW54">
        <f>SUMPRODUCT(--('Данные 2st'!$Q$2:$Q$317=$A54),--ISNUMBER('Данные 2st'!$EP$2:$EP$317))</f>
        <v>1</v>
      </c>
      <c r="LX54">
        <f>SUMPRODUCT(--('Данные 2st'!$Q$2:$Q$317=$A54),--ISNUMBER('Данные 2st'!$EQ$2:$EQ$317))</f>
        <v>1</v>
      </c>
      <c r="LY54">
        <f>SUMPRODUCT(--('Данные 2st'!$Q$2:$Q$317=$A54),--ISNUMBER('Данные 2st'!$ER$2:$ER$317))</f>
        <v>1</v>
      </c>
      <c r="LZ54">
        <f>SUMPRODUCT(--('Данные 2st'!$Q$2:$Q$317=$A54),--ISNUMBER('Данные 2st'!$ES$2:$ES$317))</f>
        <v>1</v>
      </c>
      <c r="MA54">
        <f>SUMPRODUCT(--('Данные 2st'!$Q$2:$Q$317=$A54),--ISNUMBER('Данные 2st'!$ET$2:$ET$317))</f>
        <v>1</v>
      </c>
      <c r="MB54">
        <f>SUMPRODUCT(--('Данные 2st'!$Q$2:$Q$317=$A54),--ISNUMBER('Данные 2st'!$EU$2:$EU$317))</f>
        <v>1</v>
      </c>
      <c r="MC54">
        <f>SUMPRODUCT(--('Данные 2st'!$Q$2:$Q$317=$A54),--ISNUMBER('Данные 2st'!$EV$2:$EV$317))</f>
        <v>1</v>
      </c>
      <c r="MD54">
        <f>SUMPRODUCT(--('Данные 2st'!$Q$2:$Q$317=$A54),--ISNUMBER('Данные 2st'!$EW$2:$EW$317))</f>
        <v>1</v>
      </c>
      <c r="ME54">
        <f>SUMPRODUCT(--('Данные 2st'!$Q$2:$Q$317=$A54),--ISNUMBER('Данные 2st'!$EY$2:$EY$317))</f>
        <v>1</v>
      </c>
      <c r="MF54">
        <f>SUMPRODUCT(--('Данные 2st'!$Q$2:$Q$317=$A54),--ISNUMBER('Данные 2st'!$FA$2:$FA$317))</f>
        <v>1</v>
      </c>
      <c r="MG54">
        <f>SUMPRODUCT(--('Данные 2st'!$Q$2:$Q$317=$A54),--ISNUMBER('Данные 2st'!$FB$2:$FB$317))</f>
        <v>1</v>
      </c>
      <c r="MH54">
        <f>SUMPRODUCT(--('Данные 2st'!$Q$2:$Q$317=$A54),--ISNUMBER('Данные 2st'!$FC$2:$FC$317))</f>
        <v>1</v>
      </c>
      <c r="MI54">
        <f>SUMPRODUCT(--('Данные 2st'!$Q$2:$Q$317=$A54),--ISNUMBER('Данные 2st'!$FD$2:$FD$317))</f>
        <v>1</v>
      </c>
      <c r="MJ54">
        <f>SUMPRODUCT(--('Данные 2st'!$Q$2:$Q$317=$A54),--ISNUMBER('Данные 2st'!$FE$2:$FE$317))</f>
        <v>1</v>
      </c>
      <c r="MK54">
        <f>SUMPRODUCT(--('Данные 2st'!$Q$2:$Q$317=$A54),--ISNUMBER('Данные 2st'!$FG$2:$FG$317))</f>
        <v>1</v>
      </c>
      <c r="ML54">
        <f>SUMPRODUCT(--('Данные 2st'!$Q$2:$Q$317=$A54),--ISNUMBER('Данные 2st'!$FI$2:$FI$317))</f>
        <v>1</v>
      </c>
      <c r="MM54">
        <f>SUMPRODUCT(--('Данные 2st'!$Q$2:$Q$317=$A54),--ISNUMBER('Данные 2st'!$FJ$2:$FJ$317))</f>
        <v>1</v>
      </c>
      <c r="MN54">
        <f>SUMPRODUCT(--('Данные 2st'!$Q$2:$Q$317=$A54),--ISNUMBER('Данные 2st'!$FK$2:$FK$317))</f>
        <v>1</v>
      </c>
      <c r="MO54">
        <f>SUMPRODUCT(--('Данные 2st'!$Q$2:$Q$317=$A54),--ISNUMBER('Данные 2st'!$FP$2:$FP$317))</f>
        <v>1</v>
      </c>
      <c r="MP54">
        <f>SUMPRODUCT(--('Данные 2st'!$Q$2:$Q$317=$A54),--ISNUMBER('Данные 2st'!$FQ$2:$FQ$317))</f>
        <v>1</v>
      </c>
      <c r="MQ54">
        <f>SUMPRODUCT(--('Данные 2st'!$Q$2:$Q$317=$A54),--ISNUMBER('Данные 2st'!$FS$2:$FS$317))</f>
        <v>1</v>
      </c>
      <c r="MR54">
        <f>SUMPRODUCT(--('Данные 2st'!$Q$2:$Q$317=$A54),--ISNUMBER('Данные 2st'!$FU$2:$FU$317))</f>
        <v>1</v>
      </c>
      <c r="MS54">
        <f>SUMPRODUCT(--('Данные 2st'!$Q$2:$Q$317=$A54),--ISNUMBER('Данные 2st'!$FV$2:$FV$317))</f>
        <v>1</v>
      </c>
      <c r="MT54">
        <f>SUMPRODUCT(--('Данные 2st'!$Q$2:$Q$317=$A54),--ISNUMBER('Данные 2st'!$FW$2:$FW$317))</f>
        <v>1</v>
      </c>
      <c r="MU54">
        <f>SUMPRODUCT(--('Данные 2st'!$Q$2:$Q$317=$A54),--ISNUMBER('Данные 2st'!$FY$2:$FY$317))</f>
        <v>0</v>
      </c>
      <c r="MV54">
        <f>SUMPRODUCT(--('Данные 2st'!$Q$2:$Q$317=$A54),--ISNUMBER('Данные 2st'!$GB$2:$GB$317))</f>
        <v>0</v>
      </c>
      <c r="MW54">
        <f>SUMPRODUCT(--('Данные 2st'!$Q$2:$Q$317=$A54),--ISNUMBER('Данные 2st'!$GC$2:$GC$317))</f>
        <v>0</v>
      </c>
      <c r="MX54">
        <f>SUMPRODUCT(--('Данные 2st'!$Q$2:$Q$317=$A54),--ISNUMBER('Данные 2st'!$GD$2:$GD$317))</f>
        <v>1</v>
      </c>
      <c r="MY54">
        <f>SUMPRODUCT(--('Данные 2st'!$Q$2:$Q$317=$A54),--ISNUMBER('Данные 2st'!$GN$2:$GN$317))</f>
        <v>0</v>
      </c>
      <c r="MZ54">
        <f>SUMPRODUCT(--('Данные 2st'!$Q$2:$Q$317=$A54),--ISNUMBER('Данные 2st'!$GQ$2:$GQ$317))</f>
        <v>1</v>
      </c>
      <c r="NA54">
        <f>SUMPRODUCT(--('Данные 2st'!$Q$2:$Q$317=$A54),--ISNUMBER('Данные 2st'!$GV$2:$GV$317))</f>
        <v>1</v>
      </c>
      <c r="NB54">
        <f>SUMPRODUCT(--('Данные 2st'!$Q$2:$Q$317=$A54),--ISNUMBER('Данные 2st'!$GW$2:$GW$317))</f>
        <v>1</v>
      </c>
      <c r="NC54">
        <f>SUMPRODUCT(--('Данные 2st'!$Q$2:$Q$317=$A54),--ISNUMBER('Данные 2st'!$GX$2:$GX$317))</f>
        <v>1</v>
      </c>
      <c r="ND54">
        <f>SUMPRODUCT(--('Данные 2st'!$Q$2:$Q$317=$A54),--ISNUMBER('Данные 2st'!$GY$2:$GY$317))</f>
        <v>1</v>
      </c>
      <c r="NE54">
        <f>SUMPRODUCT(--('Данные 2st'!$Q$2:$Q$317=$A54),--ISNUMBER('Данные 2st'!$GZ$2:$GZ$317))</f>
        <v>1</v>
      </c>
      <c r="NF54">
        <f>SUMPRODUCT(--('Данные 2st'!$Q$2:$Q$317=$A54),--ISNUMBER('Данные 2st'!$HA$2:$HA$317))</f>
        <v>1</v>
      </c>
      <c r="NG54">
        <f>SUMPRODUCT(--('Данные 2st'!$Q$2:$Q$317=$A54),--ISNUMBER('Данные 2st'!$HB$2:$HB$317))</f>
        <v>1</v>
      </c>
      <c r="NH54">
        <f>SUMPRODUCT(--('Данные 2st'!$Q$2:$Q$317=$A54),--ISNUMBER('Данные 2st'!$HC$2:$HC$317))</f>
        <v>1</v>
      </c>
      <c r="NI54">
        <f>SUMPRODUCT(--('Данные 2st'!$Q$2:$Q$317=$A54),--ISNUMBER('Данные 2st'!$HD$2:$HD$317))</f>
        <v>1</v>
      </c>
      <c r="NJ54">
        <f>SUMPRODUCT(--('Данные 2st'!$Q$2:$Q$317=$A54),--ISNUMBER('Данные 2st'!$HM$2:$HM$317))</f>
        <v>1</v>
      </c>
      <c r="NK54">
        <f>SUMPRODUCT(--('Данные 2st'!$Q$2:$Q$317=$A54),--ISNUMBER('Данные 2st'!$HR$2:$HR$317))</f>
        <v>1</v>
      </c>
      <c r="NL54">
        <f>SUMPRODUCT(--('Данные 2st'!$Q$2:$Q$317=$A54),--ISNUMBER('Данные 2st'!$HS$2:$HS$317))</f>
        <v>1</v>
      </c>
      <c r="NM54">
        <f>SUMPRODUCT(--('Данные 2st'!$Q$2:$Q$317=$A54),--ISNUMBER('Данные 2st'!$HT$2:$HT$317))</f>
        <v>1</v>
      </c>
      <c r="NN54">
        <f>SUMPRODUCT(--('Данные 2st'!$Q$2:$Q$317=$A54),--ISNUMBER('Данные 2st'!$HY$2:$HY$317))</f>
        <v>1</v>
      </c>
      <c r="NO54">
        <f>SUMPRODUCT(--('Данные 2st'!$Q$2:$Q$317=$A54),--ISNUMBER('Данные 2st'!$HZ$2:$HZ$317))</f>
        <v>1</v>
      </c>
      <c r="NP54">
        <f>SUMPRODUCT(--('Данные 2st'!$Q$2:$Q$317=$A54),--ISNUMBER('Данные 2st'!$IA$2:$IA$317))</f>
        <v>1</v>
      </c>
      <c r="NQ54">
        <f>SUMPRODUCT(--('Данные 2st'!$Q$2:$Q$317=$A54),--ISNUMBER('Данные 2st'!$IB$2:$IB$317))</f>
        <v>1</v>
      </c>
      <c r="NR54">
        <f>SUMPRODUCT(--('Данные 2st'!$Q$2:$Q$317=$A54),--ISNUMBER('Данные 2st'!$IC$2:$IC$317))</f>
        <v>0</v>
      </c>
      <c r="NS54">
        <f>SUMPRODUCT(--('Данные 2st'!$Q$2:$Q$317=$A54),--ISNUMBER('Данные 2st'!$ID$2:$ID$317))</f>
        <v>1</v>
      </c>
      <c r="NT54">
        <f>SUMPRODUCT(--('Данные 2st'!$Q$2:$Q$317=$A54),--ISNUMBER('Данные 2st'!$IE$2:$IE$317))</f>
        <v>1</v>
      </c>
      <c r="NU54">
        <f>SUMPRODUCT(--('Данные 2st'!$Q$2:$Q$317=$A54),--ISNUMBER('Данные 2st'!$IF$2:$IF$317))</f>
        <v>1</v>
      </c>
      <c r="NV54">
        <f>SUMPRODUCT(--('Данные 2st'!$Q$2:$Q$317=$A54),--ISNUMBER('Данные 2st'!$IG$2:$IG$317))</f>
        <v>1</v>
      </c>
      <c r="NW54">
        <f>SUMPRODUCT(--('Данные 2st'!$Q$2:$Q$317=$A54),--ISNUMBER('Данные 2st'!$IH$2:$IH$317))</f>
        <v>1</v>
      </c>
      <c r="NX54">
        <f>SUMPRODUCT(--('Данные 2st'!$Q$2:$Q$317=$A54),--ISNUMBER('Данные 2st'!$IJ$2:$IJ$317))</f>
        <v>1</v>
      </c>
      <c r="NY54">
        <f>SUMPRODUCT(--('Данные 2st'!$Q$2:$Q$317=$A54),--ISNUMBER('Данные 2st'!$IM$2:$IM$317))</f>
        <v>1</v>
      </c>
      <c r="NZ54">
        <f>SUMPRODUCT(--('Данные 2st'!$Q$2:$Q$317=$A54),--ISNUMBER('Данные 2st'!$IN$2:$IN$317))</f>
        <v>1</v>
      </c>
      <c r="OA54">
        <f>SUMPRODUCT(--('Данные 2st'!$Q$2:$Q$317=$A54),--ISNUMBER('Данные 2st'!$IO$2:$IO$317))</f>
        <v>1</v>
      </c>
      <c r="OB54">
        <f>SUMPRODUCT(--('Данные 2st'!$Q$2:$Q$317=$A54),--ISNUMBER('Данные 2st'!$IP$2:$IP$317))</f>
        <v>1</v>
      </c>
      <c r="OC54">
        <f>SUMPRODUCT(--('Данные 2st'!$Q$2:$Q$317=$A54),--ISNUMBER('Данные 2st'!$IQ$2:$IQ$317))</f>
        <v>1</v>
      </c>
      <c r="OD54">
        <f>SUMPRODUCT(--('Данные 2st'!$Q$2:$Q$317=$A54),--ISNUMBER('Данные 2st'!$IR$2:$IR$317))</f>
        <v>1</v>
      </c>
      <c r="OE54">
        <f>SUMPRODUCT(--('Данные 2st'!$Q$2:$Q$317=$A54),--ISNUMBER('Данные 2st'!$IT$2:$IT$317))</f>
        <v>1</v>
      </c>
      <c r="OF54">
        <f>SUMPRODUCT(--('Данные 2st'!$Q$2:$Q$317=$A54),--ISNUMBER('Данные 2st'!$IU$2:$IU$317))</f>
        <v>1</v>
      </c>
      <c r="OG54">
        <f>SUMPRODUCT(--('Данные 2st'!$Q$2:$Q$317=$A54),--ISNUMBER('Данные 2st'!$IV$2:$IV$317))</f>
        <v>1</v>
      </c>
      <c r="OH54">
        <f>SUMPRODUCT(--('Данные 2st'!$Q$2:$Q$317=$A54),--ISNUMBER('Данные 2st'!$IW$2:$IW$317))</f>
        <v>1</v>
      </c>
      <c r="OI54">
        <f>SUMPRODUCT(--('Данные 2st'!$Q$2:$Q$317=$A54),--ISNUMBER('Данные 2st'!$IX$2:$IX$317))</f>
        <v>1</v>
      </c>
      <c r="OJ54">
        <f>SUMPRODUCT(--('Данные 2st'!$Q$2:$Q$317=$A54),--ISNUMBER('Данные 2st'!$IY$2:$IY$317))</f>
        <v>1</v>
      </c>
      <c r="OK54">
        <f>SUMPRODUCT(--('Данные 2st'!$Q$2:$Q$317=$A54),--ISNUMBER('Данные 2st'!$IZ$2:$IZ$317))</f>
        <v>1</v>
      </c>
      <c r="OL54">
        <f>SUMPRODUCT(--('Данные 2st'!$Q$2:$Q$317=$A54),--ISNUMBER('Данные 2st'!$JA$2:$JA$317))</f>
        <v>1</v>
      </c>
      <c r="OM54">
        <f>SUMPRODUCT(--('Данные 2st'!$Q$2:$Q$317=$A54),--ISNUMBER('Данные 2st'!$JB$2:$JB$317))</f>
        <v>1</v>
      </c>
      <c r="ON54">
        <f>SUMPRODUCT(--('Данные 2st'!$Q$2:$Q$317=$A54),--ISNUMBER('Данные 2st'!$JC$2:$JC$317))</f>
        <v>1</v>
      </c>
      <c r="OO54">
        <f>SUMPRODUCT(--('Данные 2st'!$Q$2:$Q$317=$A54),--ISNUMBER('Данные 2st'!$JD$2:$JD$317))</f>
        <v>1</v>
      </c>
      <c r="OP54">
        <f>SUMPRODUCT(--('Данные 2st'!$Q$2:$Q$317=$A54),--ISNUMBER('Данные 2st'!$JE$2:$JE$317))</f>
        <v>1</v>
      </c>
      <c r="OQ54">
        <f>SUMPRODUCT(--('Данные 2st'!$Q$2:$Q$317=$A54),--ISNUMBER('Данные 2st'!$JF$2:$JF$317))</f>
        <v>1</v>
      </c>
      <c r="OR54">
        <f>SUMPRODUCT(--('Данные 2st'!$Q$2:$Q$317=$A54),--ISNUMBER('Данные 2st'!$JG$2:$JG$317))</f>
        <v>1</v>
      </c>
      <c r="OS54">
        <f>SUMPRODUCT(--('Данные 2st'!$Q$2:$Q$317=$A54),--ISNUMBER('Данные 2st'!$JH$2:$JH$317))</f>
        <v>1</v>
      </c>
      <c r="OT54">
        <f>SUMPRODUCT(--('Данные 2st'!$Q$2:$Q$317=$A54),--ISNUMBER('Данные 2st'!$JI$2:$JI$317))</f>
        <v>1</v>
      </c>
      <c r="OU54">
        <f>SUMPRODUCT(--('Данные 2st'!$Q$2:$Q$317=$A54),--ISNUMBER('Данные 2st'!$JJ$2:$JJ$317))</f>
        <v>1</v>
      </c>
      <c r="OV54">
        <f>SUMPRODUCT(--('Данные 2st'!$Q$2:$Q$317=$A54),--ISNUMBER('Данные 2st'!$JK$2:$JK$317))</f>
        <v>1</v>
      </c>
      <c r="OW54">
        <f>SUMPRODUCT(--('Данные 2st'!$Q$2:$Q$317=$A54),--ISNUMBER('Данные 2st'!$JL$2:$JL$317))</f>
        <v>1</v>
      </c>
      <c r="OX54">
        <f>SUMPRODUCT(--('Данные 2st'!$Q$2:$Q$317=$A54),--ISNUMBER('Данные 2st'!$JM$2:$JM$317))</f>
        <v>1</v>
      </c>
      <c r="OY54">
        <f>SUMPRODUCT(--('Данные 2st'!$Q$2:$Q$317=$A54),--ISNUMBER('Данные 2st'!$JP$2:$JP$317))</f>
        <v>1</v>
      </c>
      <c r="OZ54">
        <f>SUMPRODUCT(--('Данные 2st'!$Q$2:$Q$317=$A54),--ISNUMBER('Данные 2st'!$JQ$2:$JQ$317))</f>
        <v>1</v>
      </c>
      <c r="PA54">
        <f>SUMPRODUCT(--('Данные 2st'!$Q$2:$Q$317=$A54),--ISNUMBER('Данные 2st'!$JR$2:$JR$317))</f>
        <v>1</v>
      </c>
      <c r="PB54">
        <f>SUMPRODUCT(--('Данные 2st'!$Q$2:$Q$317=$A54),--ISNUMBER('Данные 2st'!$JS$2:$JS$317))</f>
        <v>1</v>
      </c>
      <c r="PC54">
        <f>SUMPRODUCT(--('Данные 2st'!$Q$2:$Q$317=$A54),--ISNUMBER('Данные 2st'!$JT$2:$JT$317))</f>
        <v>1</v>
      </c>
      <c r="PD54">
        <f>SUMPRODUCT(--('Данные 2st'!$Q$2:$Q$317=$A54),--ISNUMBER('Данные 2st'!$JU$2:$JU$317))</f>
        <v>1</v>
      </c>
      <c r="PE54">
        <f>SUMPRODUCT(--('Данные 2st'!$Q$2:$Q$317=$A54),--ISNUMBER('Данные 2st'!$JV$2:$JV$317))</f>
        <v>1</v>
      </c>
      <c r="PF54">
        <f>SUMPRODUCT(--('Данные 2st'!$Q$2:$Q$317=$A54),--ISNUMBER('Данные 2st'!$JW$2:$JW$317))</f>
        <v>1</v>
      </c>
      <c r="PG54">
        <f>SUMPRODUCT(--('Данные 2st'!$Q$2:$Q$317=$A54),--ISNUMBER('Данные 2st'!$KF$2:$KF$317))</f>
        <v>1</v>
      </c>
      <c r="PH54">
        <f>SUMPRODUCT(--('Данные 2st'!$Q$2:$Q$317=$A54),--ISNUMBER('Данные 2st'!$KG$2:$KG$317))</f>
        <v>1</v>
      </c>
      <c r="PI54">
        <f>SUMPRODUCT(--('Данные 2st'!$Q$2:$Q$317=$A54),--ISNUMBER('Данные 2st'!$KM$2:$KM$317))</f>
        <v>1</v>
      </c>
      <c r="PJ54">
        <f>SUMPRODUCT(--('Данные 2st'!$Q$2:$Q$317=$A54),--ISNUMBER('Данные 2st'!$KN$2:$KN$317))</f>
        <v>1</v>
      </c>
      <c r="PK54">
        <f>SUMPRODUCT(--('Данные 2st'!$Q$2:$Q$317=$A54),--ISNUMBER('Данные 2st'!$KO$2:$KO$317))</f>
        <v>1</v>
      </c>
      <c r="PL54">
        <f>SUMPRODUCT(--('Данные 2st'!$Q$2:$Q$317=$A54),--ISNUMBER('Данные 2st'!$KP$2:$KP$317))</f>
        <v>1</v>
      </c>
      <c r="PM54">
        <f>SUMPRODUCT(--('Данные 2st'!$Q$2:$Q$317=$A54),--ISNUMBER('Данные 2st'!$KQ$2:$KQ$317))</f>
        <v>1</v>
      </c>
      <c r="PN54">
        <f>SUMPRODUCT(--('Данные 2st'!$Q$2:$Q$317=$A54),--ISNUMBER('Данные 2st'!$KR$2:$KR$317))</f>
        <v>1</v>
      </c>
      <c r="PO54">
        <f>SUMPRODUCT(--('Данные 2st'!$Q$2:$Q$317=$A54),--ISNUMBER('Данные 2st'!$KS$2:$KS$317))</f>
        <v>1</v>
      </c>
      <c r="PP54">
        <f>SUMPRODUCT(--('Данные 2st'!$Q$2:$Q$317=$A54),--ISNUMBER('Данные 2st'!$KT$2:$KT$317))</f>
        <v>1</v>
      </c>
      <c r="PQ54">
        <f>SUMPRODUCT(--('Данные 2st'!$Q$2:$Q$317=$A54),--ISNUMBER('Данные 2st'!$KU$2:$KU$317))</f>
        <v>1</v>
      </c>
      <c r="PR54">
        <f>SUMPRODUCT(--('Данные 2st'!$Q$2:$Q$317=$A54),--ISNUMBER('Данные 2st'!$KV$2:$KV$317))</f>
        <v>1</v>
      </c>
      <c r="PS54">
        <f>SUMPRODUCT(--('Данные 2st'!$Q$2:$Q$317=$A54),--ISNUMBER('Данные 2st'!$KW$2:$KW$317))</f>
        <v>1</v>
      </c>
      <c r="PT54">
        <f>SUMPRODUCT(--('Данные 2st'!$Q$2:$Q$317=$A54),--ISNUMBER('Данные 2st'!$KX$2:$KX$317))</f>
        <v>1</v>
      </c>
      <c r="PU54">
        <f>SUMPRODUCT(--('Данные 2st'!$Q$2:$Q$317=$A54),--ISNUMBER('Данные 2st'!$KY$2:$KY$317))</f>
        <v>1</v>
      </c>
      <c r="PV54">
        <f>SUMPRODUCT(--('Данные 2st'!$Q$2:$Q$317=$A54),--ISNUMBER('Данные 2st'!$KZ$2:$KZ$317))</f>
        <v>1</v>
      </c>
      <c r="PW54">
        <f>SUMPRODUCT(--('Данные 2st'!$Q$2:$Q$317=$A54),--ISNUMBER('Данные 2st'!$LA$2:$LA$317))</f>
        <v>1</v>
      </c>
      <c r="PX54">
        <f>SUMPRODUCT(--('Данные 2st'!$Q$2:$Q$317=$A54),--ISNUMBER('Данные 2st'!$LB$2:$LB$317))</f>
        <v>1</v>
      </c>
      <c r="PY54">
        <f>SUMPRODUCT(--('Данные 2st'!$Q$2:$Q$317=$A54),--ISNUMBER('Данные 2st'!$LC$2:$LC$317))</f>
        <v>1</v>
      </c>
      <c r="PZ54">
        <f>SUMPRODUCT(--('Данные 2st'!$Q$2:$Q$317=$A54),--ISNUMBER('Данные 2st'!$LD$2:$LD$317))</f>
        <v>1</v>
      </c>
      <c r="QA54">
        <f>SUMPRODUCT(--('Данные 2st'!$Q$2:$Q$317=$A54),--ISNUMBER('Данные 2st'!$LE$2:$LE$317))</f>
        <v>1</v>
      </c>
      <c r="QB54">
        <f>SUMPRODUCT(--('Данные 2st'!$Q$2:$Q$317=$A54),--ISNUMBER('Данные 2st'!$LF$2:$LF$317))</f>
        <v>1</v>
      </c>
      <c r="QC54">
        <f>SUMPRODUCT(--('Данные 2st'!$Q$2:$Q$317=$A54),--ISNUMBER('Данные 2st'!$LG$2:$LG$317))</f>
        <v>1</v>
      </c>
      <c r="QD54">
        <f>SUMPRODUCT(--('Данные 2st'!$Q$2:$Q$317=$A54),--ISNUMBER('Данные 2st'!$LH$2:$LH$317))</f>
        <v>1</v>
      </c>
      <c r="QE54">
        <f>SUMPRODUCT(--('Данные 2st'!$Q$2:$Q$317=$A54),--ISNUMBER('Данные 2st'!$LJ$2:$LJ$317))</f>
        <v>1</v>
      </c>
      <c r="QF54">
        <f>SUMPRODUCT(--('Данные 2st'!$Q$2:$Q$317=$A54),--ISNUMBER('Данные 2st'!$LK$2:$LK$317))</f>
        <v>1</v>
      </c>
      <c r="QG54">
        <f>SUMPRODUCT(--('Данные 2st'!$Q$2:$Q$317=$A54),--ISNUMBER('Данные 2st'!$LL$2:$LL$317))</f>
        <v>1</v>
      </c>
      <c r="QH54">
        <f>SUMPRODUCT(--('Данные 2st'!$Q$2:$Q$317=$A54),--ISNUMBER('Данные 2st'!$LM$2:$LM$317))</f>
        <v>1</v>
      </c>
      <c r="QI54">
        <f>SUMPRODUCT(--('Данные 2st'!$Q$2:$Q$317=$A54),--ISNUMBER('Данные 2st'!$LN$2:$LN$317))</f>
        <v>1</v>
      </c>
      <c r="QJ54">
        <f>SUMPRODUCT(--('Данные 2st'!$Q$2:$Q$317=$A54),--ISNUMBER('Данные 2st'!$LO$2:$LO$317))</f>
        <v>1</v>
      </c>
      <c r="QK54">
        <f>SUMPRODUCT(--('Данные 2st'!$Q$2:$Q$317=$A54),--ISNUMBER('Данные 2st'!$LP$2:$LP$317))</f>
        <v>1</v>
      </c>
      <c r="QL54">
        <f>SUMPRODUCT(--('Данные 2st'!$Q$2:$Q$317=$A54),--ISNUMBER('Данные 2st'!$LQ$2:$LQ$317))</f>
        <v>1</v>
      </c>
      <c r="QM54">
        <f>SUMPRODUCT(--('Данные 2st'!$Q$2:$Q$317=$A54),--ISNUMBER('Данные 2st'!$LW$2:$LW$317))</f>
        <v>1</v>
      </c>
      <c r="QN54">
        <f>SUMPRODUCT(--('Данные 2st'!$Q$2:$Q$317=$A54),--ISNUMBER('Данные 2st'!$LX$2:$LX$317))</f>
        <v>1</v>
      </c>
      <c r="QO54">
        <f>SUMPRODUCT(--('Данные 2st'!$Q$2:$Q$317=$A54),--ISNUMBER('Данные 2st'!$LY$2:$LY$317))</f>
        <v>1</v>
      </c>
      <c r="QP54">
        <f>SUMPRODUCT(--('Данные 2st'!$Q$2:$Q$317=$A54),--ISNUMBER('Данные 2st'!$LZ$2:$LZ$317))</f>
        <v>1</v>
      </c>
      <c r="QQ54">
        <f>SUMPRODUCT(--('Данные 2st'!$Q$2:$Q$317=$A54),--ISNUMBER('Данные 2st'!$MB$2:$MB$317))</f>
        <v>1</v>
      </c>
      <c r="QR54">
        <f>SUMPRODUCT(--('Данные 2st'!$Q$2:$Q$317=$A54),--ISNUMBER('Данные 2st'!$MG$2:$MG$317))</f>
        <v>1</v>
      </c>
      <c r="QS54">
        <f>SUMPRODUCT(--('Данные 2st'!$Q$2:$Q$317=$A54),--ISNUMBER('Данные 2st'!$MH$2:$MH$317))</f>
        <v>1</v>
      </c>
      <c r="QT54">
        <f>SUMPRODUCT(--('Данные 2st'!$Q$2:$Q$317=$A54),--ISNUMBER('Данные 2st'!$MI$2:$MI$317))</f>
        <v>1</v>
      </c>
      <c r="QU54">
        <f>SUMPRODUCT(--('Данные 2st'!$Q$2:$Q$317=$A54),--ISNUMBER('Данные 2st'!$MJ$2:$MJ$317))</f>
        <v>1</v>
      </c>
      <c r="QV54">
        <f>SUMPRODUCT(--('Данные 2st'!$Q$2:$Q$317=$A54),--ISNUMBER('Данные 2st'!$MK$2:$MK$317))</f>
        <v>1</v>
      </c>
      <c r="QW54">
        <f>SUMPRODUCT(--('Данные 2st'!$Q$2:$Q$317=$A54),--ISNUMBER('Данные 2st'!$MM$2:$MM$317))</f>
        <v>1</v>
      </c>
      <c r="QX54">
        <f>SUMPRODUCT(--('Данные 2st'!$Q$2:$Q$317=$A54),--ISNUMBER('Данные 2st'!$MQ$2:$MQ$317))</f>
        <v>0</v>
      </c>
      <c r="QY54">
        <f>SUMPRODUCT(--('Данные 2st'!$Q$2:$Q$317=$A54),--ISNUMBER('Данные 2st'!$MR$2:$MR$317))</f>
        <v>0</v>
      </c>
      <c r="QZ54">
        <f>SUMPRODUCT(--('Данные 2st'!$Q$2:$Q$317=$A54),--ISNUMBER('Данные 2st'!$MS$2:$MS$317))</f>
        <v>0</v>
      </c>
      <c r="RA54">
        <f>SUMPRODUCT(--('Данные 2st'!$Q$2:$Q$317=$A54),--ISNUMBER('Данные 2st'!$MT$2:$MT$317))</f>
        <v>0</v>
      </c>
      <c r="RB54">
        <f>SUMPRODUCT(--('Данные 2st'!$Q$2:$Q$317=$A54),--ISNUMBER('Данные 2st'!$MU$2:$MU$317))</f>
        <v>0</v>
      </c>
      <c r="RC54">
        <f>SUMPRODUCT(--('Данные 2st'!$Q$2:$Q$317=$A54),--ISNUMBER('Данные 2st'!$MV$2:$MV$317))</f>
        <v>0</v>
      </c>
      <c r="RD54">
        <f>SUMPRODUCT(--('Данные 2st'!$Q$2:$Q$317=$A54),--ISNUMBER('Данные 2st'!$MW$2:$MW$317))</f>
        <v>0</v>
      </c>
      <c r="RE54">
        <f>SUMPRODUCT(--('Данные 2st'!$Q$2:$Q$317=$A54),--ISNUMBER('Данные 2st'!$MX$2:$MX$317))</f>
        <v>0</v>
      </c>
      <c r="RF54">
        <f>SUMPRODUCT(--('Данные 2st'!$Q$2:$Q$317=$A54),--ISNUMBER('Данные 2st'!$MY$2:$MY$317))</f>
        <v>0</v>
      </c>
      <c r="RG54">
        <f>SUMPRODUCT(--('Данные 2st'!$Q$2:$Q$317=$A54),--ISNUMBER('Данные 2st'!$MZ$2:$MZ$317))</f>
        <v>0</v>
      </c>
      <c r="RH54">
        <f>SUMPRODUCT(--('Данные 2st'!$Q$2:$Q$317=$A54),--ISNUMBER('Данные 2st'!$NA$2:$NA$317))</f>
        <v>0</v>
      </c>
      <c r="RI54">
        <f>SUMPRODUCT(--('Данные 2st'!$Q$2:$Q$317=$A54),--ISNUMBER('Данные 2st'!$NB$2:$NB$317))</f>
        <v>0</v>
      </c>
      <c r="RJ54">
        <f>SUMPRODUCT(--('Данные 2st'!$Q$2:$Q$317=$A54),--ISNUMBER('Данные 2st'!$NC$2:$NC$317))</f>
        <v>0</v>
      </c>
      <c r="RK54">
        <f>SUMPRODUCT(--('Данные 2st'!$Q$2:$Q$317=$A54),--ISNUMBER('Данные 2st'!$ND$2:$ND$317))</f>
        <v>0</v>
      </c>
      <c r="RL54">
        <f>SUMPRODUCT(--('Данные 2st'!$Q$2:$Q$317=$A54),--ISNUMBER('Данные 2st'!$NE$2:$NE$317))</f>
        <v>0</v>
      </c>
      <c r="RM54">
        <f>SUMPRODUCT(--('Данные 2st'!$Q$2:$Q$317=$A54),--ISNUMBER('Данные 2st'!$NF$2:$NF$317))</f>
        <v>0</v>
      </c>
      <c r="RN54">
        <f>SUMPRODUCT(--('Данные 2st'!$Q$2:$Q$317=$A54),--ISNUMBER('Данные 2st'!$NG$2:$NG$317))</f>
        <v>0</v>
      </c>
      <c r="RO54">
        <f>SUMPRODUCT(--('Данные 2st'!$Q$2:$Q$317=$A54),--ISNUMBER('Данные 2st'!$NH$2:$NH$317))</f>
        <v>0</v>
      </c>
      <c r="RP54">
        <f>SUMPRODUCT(--('Данные 2st'!$Q$2:$Q$317=$A54),--ISNUMBER('Данные 2st'!$NJ$2:$NJ$317))</f>
        <v>0</v>
      </c>
      <c r="RQ54">
        <f>SUMPRODUCT(--('Данные 2st'!$Q$2:$Q$317=$A54),--ISNUMBER('Данные 2st'!$NK$2:$NK$317))</f>
        <v>0</v>
      </c>
      <c r="RR54">
        <f>SUMPRODUCT(--('Данные 2st'!$Q$2:$Q$317=$A54),--ISNUMBER('Данные 2st'!$NM$2:$NM$317))</f>
        <v>0</v>
      </c>
      <c r="RS54">
        <f>SUMPRODUCT(--('Данные 2st'!$Q$2:$Q$317=$A54),--ISNUMBER('Данные 2st'!$NN$2:$NN$317))</f>
        <v>0</v>
      </c>
      <c r="RT54">
        <f>SUMPRODUCT(--('Данные 2st'!$Q$2:$Q$317=$A54),--ISNUMBER('Данные 2st'!$NO$2:$NO$317))</f>
        <v>0</v>
      </c>
      <c r="RU54">
        <f>SUMPRODUCT(--('Данные 2st'!$Q$2:$Q$317=$A54),--ISNUMBER('Данные 2st'!$NP$2:$NP$317))</f>
        <v>0</v>
      </c>
      <c r="RV54">
        <f>SUMPRODUCT(--('Данные 2st'!$Q$2:$Q$317=$A54),--ISNUMBER('Данные 2st'!$NQ$2:$NQ$317))</f>
        <v>0</v>
      </c>
      <c r="RW54">
        <f>SUMPRODUCT(--('Данные 2st'!$Q$2:$Q$317=$A54),--ISNUMBER('Данные 2st'!$NR$2:$NR$317))</f>
        <v>0</v>
      </c>
      <c r="RX54">
        <f>SUMPRODUCT(--('Данные 2st'!$Q$2:$Q$317=$A54),--ISNUMBER('Данные 2st'!$NS$2:$NS$317))</f>
        <v>0</v>
      </c>
      <c r="RY54">
        <f>SUMPRODUCT(--('Данные 2st'!$Q$2:$Q$317=$A54),--ISNUMBER('Данные 2st'!$NT$2:$NT$317))</f>
        <v>0</v>
      </c>
      <c r="RZ54">
        <f>SUMPRODUCT(--('Данные 2st'!$Q$2:$Q$317=$A54),--ISNUMBER('Данные 2st'!$OK$2:$OK$317))</f>
        <v>1</v>
      </c>
      <c r="SA54">
        <f>SUMPRODUCT(--('Данные 2st'!$Q$2:$Q$317=$A54),--ISNUMBER('Данные 2st'!$OL$2:$OL$317))</f>
        <v>1</v>
      </c>
      <c r="SB54">
        <f>SUMPRODUCT(--('Данные 2st'!$Q$2:$Q$317=$A54),--ISNUMBER('Данные 2st'!$ON$2:$ON$317))</f>
        <v>1</v>
      </c>
      <c r="SC54">
        <f>SUMPRODUCT(--('Данные 2st'!$Q$2:$Q$317=$A54),--ISNUMBER('Данные 2st'!$OO$2:$OO$317))</f>
        <v>1</v>
      </c>
      <c r="SD54">
        <f>SUMPRODUCT(--('Данные 2st'!$Q$2:$Q$317=$A54),--ISNUMBER('Данные 2st'!$OP$2:$OP$317))</f>
        <v>1</v>
      </c>
      <c r="SE54">
        <f>SUMPRODUCT(--('Данные 2st'!$Q$2:$Q$317=$A54),--ISNUMBER('Данные 2st'!$OQ$2:$OQ$317))</f>
        <v>1</v>
      </c>
      <c r="SF54">
        <f>SUMPRODUCT(--('Данные 2st'!$Q$2:$Q$317=$A54),--ISNUMBER('Данные 2st'!$OS$2:$OS$317))</f>
        <v>1</v>
      </c>
      <c r="SG54">
        <f>SUMPRODUCT(--('Данные 2st'!$Q$2:$Q$317=$A54),--ISNUMBER('Данные 2st'!$OT$2:$OT$317))</f>
        <v>1</v>
      </c>
      <c r="SH54">
        <f>SUMPRODUCT(--('Данные 2st'!$Q$2:$Q$317=$A54),--ISNUMBER('Данные 2st'!$OU$2:$OU$317))</f>
        <v>1</v>
      </c>
      <c r="SI54">
        <f>SUMPRODUCT(--('Данные 2st'!$Q$2:$Q$317=$A54),--ISNUMBER('Данные 2st'!$OV$2:$OV$317))</f>
        <v>1</v>
      </c>
      <c r="SJ54">
        <f>SUMPRODUCT(--('Данные 2st'!$Q$2:$Q$317=$A54),--ISNUMBER('Данные 2st'!$OX$2:$OX$317))</f>
        <v>1</v>
      </c>
      <c r="SK54">
        <f>SUMPRODUCT(--('Данные 2st'!$Q$2:$Q$317=$A54),--ISNUMBER('Данные 2st'!$OY$2:$OY$317))</f>
        <v>1</v>
      </c>
      <c r="SL54">
        <f>SUMPRODUCT(--('Данные 2st'!$Q$2:$Q$317=$A54),--ISNUMBER('Данные 2st'!$OZ$2:$OZ$317))</f>
        <v>1</v>
      </c>
      <c r="SM54">
        <f>SUMPRODUCT(--('Данные 2st'!$Q$2:$Q$317=$A54),--ISNUMBER('Данные 2st'!$PA$2:$PA$317))</f>
        <v>1</v>
      </c>
      <c r="SN54">
        <f>SUMPRODUCT(--('Данные 2st'!$Q$2:$Q$317=$A54),--ISNUMBER('Данные 2st'!$PC$2:$PC$317))</f>
        <v>1</v>
      </c>
      <c r="SO54">
        <f>SUMPRODUCT(--('Данные 2st'!$Q$2:$Q$317=$A54),--ISNUMBER('Данные 2st'!$PD$2:$PD$317))</f>
        <v>1</v>
      </c>
      <c r="SP54">
        <f>SUMPRODUCT(--('Данные 2st'!$Q$2:$Q$317=$A54),--ISNUMBER('Данные 2st'!$PF$2:$PF$317))</f>
        <v>1</v>
      </c>
      <c r="SQ54">
        <f>SUMPRODUCT(--('Данные 2st'!$Q$2:$Q$317=$A54),--ISNUMBER('Данные 2st'!$PG$2:$PG$317))</f>
        <v>1</v>
      </c>
      <c r="SR54">
        <f>SUMPRODUCT(--('Данные 2st'!$Q$2:$Q$317=$A54),--ISNUMBER('Данные 2st'!$PH$2:$PH$317))</f>
        <v>1</v>
      </c>
      <c r="SS54">
        <f>SUMPRODUCT(--('Данные 2st'!$Q$2:$Q$317=$A54),--ISNUMBER('Данные 2st'!$PI$2:$PI$317))</f>
        <v>1</v>
      </c>
      <c r="ST54">
        <f>SUMPRODUCT(--('Данные 2st'!$Q$2:$Q$317=$A54),--ISNUMBER('Данные 2st'!$PJ$2:$PJ$317))</f>
        <v>1</v>
      </c>
      <c r="SU54">
        <f>SUMPRODUCT(--('Данные 2st'!$Q$2:$Q$317=$A54),--ISNUMBER('Данные 2st'!$PK$2:$PK$317))</f>
        <v>1</v>
      </c>
      <c r="SV54">
        <f>SUMPRODUCT(--('Данные 2st'!$Q$2:$Q$317=$A54),--ISNUMBER('Данные 2st'!$PL$2:$PL$317))</f>
        <v>1</v>
      </c>
      <c r="SW54">
        <f>SUMPRODUCT(--('Данные 2st'!$Q$2:$Q$317=$A54),--ISNUMBER('Данные 2st'!$PM$2:$PM$317))</f>
        <v>1</v>
      </c>
      <c r="SX54">
        <f>SUMPRODUCT(--('Данные 2st'!$Q$2:$Q$317=$A54),--ISNUMBER('Данные 2st'!$PN$2:$PN$317))</f>
        <v>1</v>
      </c>
      <c r="SY54">
        <f>SUMPRODUCT(--('Данные 2st'!$Q$2:$Q$317=$A54),--ISNUMBER('Данные 2st'!$PO$2:$PO$317))</f>
        <v>0</v>
      </c>
      <c r="SZ54">
        <f>SUMPRODUCT(--('Данные 2st'!$Q$2:$Q$317=$A54),--ISNUMBER('Данные 2st'!$PP$2:$PP$317))</f>
        <v>1</v>
      </c>
      <c r="TA54">
        <f>SUMPRODUCT(--('Данные 2st'!$Q$2:$Q$317=$A54),--ISNUMBER('Данные 2st'!$PQ$2:$PQ$317))</f>
        <v>1</v>
      </c>
      <c r="TB54">
        <f>SUMPRODUCT(--('Данные 2st'!$Q$2:$Q$317=$A54),--ISNUMBER('Данные 2st'!$PR$2:$PR$317))</f>
        <v>1</v>
      </c>
      <c r="TC54">
        <f>SUMPRODUCT(--('Данные 2st'!$Q$2:$Q$317=$A54),--ISNUMBER('Данные 2st'!$PS$2:$PS$317))</f>
        <v>1</v>
      </c>
      <c r="TD54">
        <f>SUMPRODUCT(--('Данные 2st'!$Q$2:$Q$317=$A54),--ISNUMBER('Данные 2st'!$PT$2:$PT$317))</f>
        <v>1</v>
      </c>
      <c r="TE54">
        <f>SUMPRODUCT(--('Данные 2st'!$Q$2:$Q$317=$A54),--ISNUMBER('Данные 2st'!$PU$2:$PU$317))</f>
        <v>1</v>
      </c>
      <c r="TF54">
        <f>SUMPRODUCT(--('Данные 2st'!$Q$2:$Q$317=$A54),--ISNUMBER('Данные 2st'!$PX$2:$PX$317))</f>
        <v>1</v>
      </c>
      <c r="TG54">
        <f>SUMPRODUCT(--('Данные 2st'!$Q$2:$Q$317=$A54),--ISNUMBER('Данные 2st'!$PY$2:$PY$317))</f>
        <v>1</v>
      </c>
      <c r="TH54">
        <f>SUMPRODUCT(--('Данные 2st'!$Q$2:$Q$317=$A54),--ISNUMBER('Данные 2st'!$PZ$2:$PZ$317))</f>
        <v>1</v>
      </c>
      <c r="TI54">
        <f>SUMPRODUCT(--('Данные 2st'!$Q$2:$Q$317=$A54),--ISNUMBER('Данные 2st'!$QA$2:$QA$317))</f>
        <v>1</v>
      </c>
      <c r="TJ54">
        <f>SUMPRODUCT(--('Данные 2st'!$Q$2:$Q$317=$A54),--ISNUMBER('Данные 2st'!$QB$2:$QB$317))</f>
        <v>1</v>
      </c>
      <c r="TK54">
        <f>SUMPRODUCT(--('Данные 2st'!$Q$2:$Q$317=$A54),--ISNUMBER('Данные 2st'!$QC$2:$QC$317))</f>
        <v>1</v>
      </c>
      <c r="TL54">
        <f>SUMPRODUCT(--('Данные 2st'!$Q$2:$Q$317=$A54),--ISNUMBER('Данные 2st'!$QD$2:$QD$317))</f>
        <v>1</v>
      </c>
      <c r="TM54">
        <f>SUMPRODUCT(--('Данные 2st'!$Q$2:$Q$317=$A54),--ISNUMBER('Данные 2st'!$QE$2:$QE$317))</f>
        <v>1</v>
      </c>
      <c r="TN54">
        <f>SUMPRODUCT(--('Данные 2st'!$Q$2:$Q$317=$A54),--ISNUMBER('Данные 2st'!$QF$2:$QF$317))</f>
        <v>1</v>
      </c>
      <c r="TO54">
        <f>SUMPRODUCT(--('Данные 2st'!$Q$2:$Q$317=$A54),--ISNUMBER('Данные 2st'!$QG$2:$QG$317))</f>
        <v>1</v>
      </c>
      <c r="TP54">
        <f>SUMPRODUCT(--('Данные 2st'!$Q$2:$Q$317=$A54),--ISNUMBER('Данные 2st'!$QH$2:$QH$317))</f>
        <v>1</v>
      </c>
      <c r="TQ54">
        <f>SUMPRODUCT(--('Данные 2st'!$Q$2:$Q$317=$A54),--ISNUMBER('Данные 2st'!$QI$2:$QI$317))</f>
        <v>1</v>
      </c>
      <c r="TR54">
        <f>SUMPRODUCT(--('Данные 2st'!$Q$2:$Q$317=$A54),--ISNUMBER('Данные 2st'!$QJ$2:$QJ$317))</f>
        <v>1</v>
      </c>
      <c r="TS54">
        <f>SUMPRODUCT(--('Данные 2st'!$Q$2:$Q$317=$A54),--ISNUMBER('Данные 2st'!$QK$2:$QK$317))</f>
        <v>1</v>
      </c>
      <c r="TT54">
        <f>SUMPRODUCT(--('Данные 2st'!$Q$2:$Q$317=$A54),--ISNUMBER('Данные 2st'!$QL$2:$QL$317))</f>
        <v>1</v>
      </c>
      <c r="TU54">
        <f>SUMPRODUCT(--('Данные 2st'!$Q$2:$Q$317=$A54),--ISNUMBER('Данные 2st'!$QM$2:$QM$317))</f>
        <v>1</v>
      </c>
      <c r="TV54">
        <f>SUMPRODUCT(--('Данные 2st'!$Q$2:$Q$317=$A54),--ISNUMBER('Данные 2st'!$QN$2:$QN$317))</f>
        <v>1</v>
      </c>
      <c r="TW54">
        <f>SUMPRODUCT(--('Данные 2st'!$Q$2:$Q$317=$A54),--ISNUMBER('Данные 2st'!$QQ$2:$QQ$317))</f>
        <v>1</v>
      </c>
      <c r="TX54">
        <f>SUMPRODUCT(--('Данные 2st'!$Q$2:$Q$317=$A54),--ISNUMBER('Данные 2st'!$QS$2:$QS$317))</f>
        <v>1</v>
      </c>
      <c r="TY54">
        <f>SUMPRODUCT(--('Данные 2st'!$Q$2:$Q$317=$A54),--ISNUMBER('Данные 2st'!$QT$2:$QT$317))</f>
        <v>1</v>
      </c>
    </row>
    <row r="55" spans="1:545" ht="32" customHeight="1">
      <c r="A55" s="11" t="str">
        <f>'По размерам'!A55</f>
        <v>245/40R18</v>
      </c>
      <c r="G55">
        <f>SUMPRODUCT(--('Данные 1st'!$S$2:$S$317=$A55),--ISNUMBER('Данные 1st'!$AE$2:$AE$317))</f>
        <v>2</v>
      </c>
      <c r="H55">
        <f>SUMPRODUCT(--('Данные 1st'!$S$2:$S$317=$A55),--ISNUMBER('Данные 1st'!$AF$2:$AF$317))</f>
        <v>2</v>
      </c>
      <c r="I55">
        <f>SUMPRODUCT(--('Данные 1st'!$S$2:$S$317=$A55),--ISNUMBER('Данные 1st'!$AJ$2:$AJ$317))</f>
        <v>2</v>
      </c>
      <c r="J55">
        <f>SUMPRODUCT(--('Данные 1st'!$S$2:$S$317=$A55),--ISNUMBER('Данные 1st'!$AL$2:$AL$317))</f>
        <v>2</v>
      </c>
      <c r="K55">
        <f>SUMPRODUCT(--('Данные 1st'!$S$2:$S$317=$A55),--ISNUMBER('Данные 1st'!$AR$2:$AR$317))</f>
        <v>2</v>
      </c>
      <c r="L55">
        <f>SUMPRODUCT(--('Данные 1st'!$S$2:$S$317=$A55),--ISNUMBER('Данные 1st'!$AS$2:$AS$317))</f>
        <v>2</v>
      </c>
      <c r="M55">
        <f>SUMPRODUCT(--('Данные 1st'!$S$2:$S$317=$A55),--ISNUMBER('Данные 1st'!$AY$2:$AY$317))</f>
        <v>2</v>
      </c>
      <c r="N55">
        <f>SUMPRODUCT(--('Данные 1st'!$S$2:$S$317=$A55),--ISNUMBER('Данные 1st'!$AZ$2:$AZ$317))</f>
        <v>2</v>
      </c>
      <c r="O55">
        <f>SUMPRODUCT(--('Данные 1st'!$S$2:$S$317=$A55),--ISNUMBER('Данные 1st'!$BF$2:$BF$317))</f>
        <v>0</v>
      </c>
      <c r="P55">
        <f>SUMPRODUCT(--('Данные 1st'!$S$2:$S$317=$A55),--ISNUMBER('Данные 1st'!$BG$2:$BG$317))</f>
        <v>2</v>
      </c>
      <c r="Q55">
        <f>SUMPRODUCT(--('Данные 1st'!$S$2:$S$317=$A55),--ISNUMBER('Данные 1st'!$BM$2:$BM$317))</f>
        <v>0</v>
      </c>
      <c r="R55">
        <f>SUMPRODUCT(--('Данные 1st'!$S$2:$S$317=$A55),--ISNUMBER('Данные 1st'!$BN$2:$BN$317))</f>
        <v>2</v>
      </c>
      <c r="S55">
        <f>SUMPRODUCT(--('Данные 1st'!$S$2:$S$317=$A55),--ISNUMBER('Данные 1st'!$BT$2:$BT$317))</f>
        <v>2</v>
      </c>
      <c r="T55">
        <f>SUMPRODUCT(--('Данные 1st'!$S$2:$S$317=$A55),--ISNUMBER('Данные 1st'!$BU$2:$BU$317))</f>
        <v>2</v>
      </c>
      <c r="U55">
        <f>SUMPRODUCT(--('Данные 1st'!$S$2:$S$317=$A55),--ISNUMBER('Данные 1st'!$BW$2:$BW$317))</f>
        <v>2</v>
      </c>
      <c r="V55">
        <f>SUMPRODUCT(--('Данные 1st'!$S$2:$S$317=$A55),--ISNUMBER('Данные 1st'!$BX$2:$BX$317))</f>
        <v>2</v>
      </c>
      <c r="W55">
        <f>SUMPRODUCT(--('Данные 1st'!$S$2:$S$317=$A55),--ISNUMBER('Данные 1st'!$BZ$2:$BZ$317))</f>
        <v>2</v>
      </c>
      <c r="X55">
        <f>SUMPRODUCT(--('Данные 1st'!$S$2:$S$317=$A55),--ISNUMBER('Данные 1st'!$CA$2:$CA$317))</f>
        <v>2</v>
      </c>
      <c r="Y55">
        <f>SUMPRODUCT(--('Данные 1st'!$S$2:$S$317=$A55),--ISNUMBER('Данные 1st'!$CD$2:$CD$317))</f>
        <v>2</v>
      </c>
      <c r="Z55">
        <f>SUMPRODUCT(--('Данные 1st'!$S$2:$S$317=$A55),--ISNUMBER('Данные 1st'!$CF$2:$CF$317))</f>
        <v>2</v>
      </c>
      <c r="AA55">
        <f>SUMPRODUCT(--('Данные 1st'!$S$2:$S$317=$A55),--ISNUMBER('Данные 1st'!$CI$2:$CI$317))</f>
        <v>2</v>
      </c>
      <c r="AB55">
        <f>SUMPRODUCT(--('Данные 1st'!$S$2:$S$317=$A55),--ISNUMBER('Данные 1st'!$CJ$2:$CJ$317))</f>
        <v>2</v>
      </c>
      <c r="AC55">
        <f>SUMPRODUCT(--('Данные 1st'!$S$2:$S$317=$A55),--ISNUMBER('Данные 1st'!$CK$2:$CK$317))</f>
        <v>2</v>
      </c>
      <c r="AD55">
        <f>SUMPRODUCT(--('Данные 1st'!$S$2:$S$317=$A55),--ISNUMBER('Данные 1st'!$CL$2:$CL$317))</f>
        <v>2</v>
      </c>
      <c r="AE55">
        <f>SUMPRODUCT(--('Данные 1st'!$S$2:$S$317=$A55),--ISNUMBER('Данные 1st'!$CM$2:$CM$317))</f>
        <v>2</v>
      </c>
      <c r="AF55">
        <f>SUMPRODUCT(--('Данные 1st'!$S$2:$S$317=$A55),--ISNUMBER('Данные 1st'!$CT$2:$CT$317))</f>
        <v>2</v>
      </c>
      <c r="AG55">
        <f>SUMPRODUCT(--('Данные 1st'!$S$2:$S$317=$A55),--ISNUMBER('Данные 1st'!$CU$2:$CU$317))</f>
        <v>2</v>
      </c>
      <c r="AH55">
        <f>SUMPRODUCT(--('Данные 1st'!$S$2:$S$317=$A55),--ISNUMBER('Данные 1st'!$CV$2:$CV$317))</f>
        <v>2</v>
      </c>
      <c r="AI55">
        <f>SUMPRODUCT(--('Данные 1st'!$S$2:$S$317=$A55),--ISNUMBER('Данные 1st'!$CW$2:$CW$317))</f>
        <v>2</v>
      </c>
      <c r="AJ55">
        <f>SUMPRODUCT(--('Данные 1st'!$S$2:$S$317=$A55),--ISNUMBER('Данные 1st'!$CX$2:$CX$317))</f>
        <v>2</v>
      </c>
      <c r="AK55">
        <f>SUMPRODUCT(--('Данные 1st'!$S$2:$S$317=$A55),--ISNUMBER('Данные 1st'!$CZ$2:$CZ$317))</f>
        <v>0</v>
      </c>
      <c r="AL55">
        <f>SUMPRODUCT(--('Данные 1st'!$S$2:$S$317=$A55),--ISNUMBER('Данные 1st'!$DA$2:$DA$317))</f>
        <v>0</v>
      </c>
      <c r="AM55">
        <f>SUMPRODUCT(--('Данные 1st'!$S$2:$S$317=$A55),--ISNUMBER('Данные 1st'!$DB$2:$DB$317))</f>
        <v>0</v>
      </c>
      <c r="AN55">
        <f>SUMPRODUCT(--('Данные 1st'!$S$2:$S$317=$A55),--ISNUMBER('Данные 1st'!$DC$2:$DC$317))</f>
        <v>0</v>
      </c>
      <c r="AO55">
        <f>SUMPRODUCT(--('Данные 1st'!$S$2:$S$317=$A55),--ISNUMBER('Данные 1st'!$DD$2:$DD$317))</f>
        <v>2</v>
      </c>
      <c r="AP55">
        <f>SUMPRODUCT(--('Данные 1st'!$S$2:$S$317=$A55),--ISNUMBER('Данные 1st'!$DF$2:$DF$317))</f>
        <v>2</v>
      </c>
      <c r="AQ55">
        <f>SUMPRODUCT(--('Данные 1st'!$S$2:$S$317=$A55),--ISNUMBER('Данные 1st'!$DG$2:$DG$317))</f>
        <v>2</v>
      </c>
      <c r="AR55">
        <f>SUMPRODUCT(--('Данные 1st'!$S$2:$S$317=$A55),--ISNUMBER('Данные 1st'!$DH$2:$DH$317))</f>
        <v>2</v>
      </c>
      <c r="AS55">
        <f>SUMPRODUCT(--('Данные 1st'!$S$2:$S$317=$A55),--ISNUMBER('Данные 1st'!$DI$2:$DI$317))</f>
        <v>2</v>
      </c>
      <c r="AT55">
        <f>SUMPRODUCT(--('Данные 1st'!$S$2:$S$317=$A55),--ISNUMBER('Данные 1st'!$DJ$2:$DJ$317))</f>
        <v>2</v>
      </c>
      <c r="AU55">
        <f>SUMPRODUCT(--('Данные 1st'!$S$2:$S$317=$A55),--ISNUMBER('Данные 1st'!$DL$2:$DL$317))</f>
        <v>0</v>
      </c>
      <c r="AV55">
        <f>SUMPRODUCT(--('Данные 1st'!$S$2:$S$317=$A55),--ISNUMBER('Данные 1st'!$DM$2:$DM$317))</f>
        <v>0</v>
      </c>
      <c r="AW55">
        <f>SUMPRODUCT(--('Данные 1st'!$S$2:$S$317=$A55),--ISNUMBER('Данные 1st'!$DN$2:$DN$317))</f>
        <v>0</v>
      </c>
      <c r="AX55">
        <f>SUMPRODUCT(--('Данные 1st'!$S$2:$S$317=$A55),--ISNUMBER('Данные 1st'!$DO$2:$DO$317))</f>
        <v>0</v>
      </c>
      <c r="AY55">
        <f>SUMPRODUCT(--('Данные 1st'!$S$2:$S$317=$A55),--ISNUMBER('Данные 1st'!$DP$2:$DP$317))</f>
        <v>0</v>
      </c>
      <c r="AZ55">
        <f>SUMPRODUCT(--('Данные 1st'!$S$2:$S$317=$A55),--ISNUMBER('Данные 1st'!$DR$2:$DR$317))</f>
        <v>0</v>
      </c>
      <c r="BA55">
        <f>SUMPRODUCT(--('Данные 1st'!$S$2:$S$317=$A55),--ISNUMBER('Данные 1st'!$DS$2:$DS$317))</f>
        <v>0</v>
      </c>
      <c r="BB55">
        <f>SUMPRODUCT(--('Данные 1st'!$S$2:$S$317=$A55),--ISNUMBER('Данные 1st'!$DT$2:$DT$317))</f>
        <v>0</v>
      </c>
      <c r="BC55">
        <f>SUMPRODUCT(--('Данные 1st'!$S$2:$S$317=$A55),--ISNUMBER('Данные 1st'!$DU$2:$DU$317))</f>
        <v>0</v>
      </c>
      <c r="BD55">
        <f>SUMPRODUCT(--('Данные 1st'!$S$2:$S$317=$A55),--ISNUMBER('Данные 1st'!$DV$2:$DV$317))</f>
        <v>0</v>
      </c>
      <c r="BE55">
        <f>SUMPRODUCT(--('Данные 1st'!$S$2:$S$317=$A55),--ISNUMBER('Данные 1st'!$DX$2:$DX$317))</f>
        <v>2</v>
      </c>
      <c r="BF55">
        <f>SUMPRODUCT(--('Данные 1st'!$S$2:$S$317=$A55),--ISNUMBER('Данные 1st'!$EA$2:$EA$317))</f>
        <v>2</v>
      </c>
      <c r="BG55">
        <f>SUMPRODUCT(--('Данные 1st'!$S$2:$S$317=$A55),--ISNUMBER('Данные 1st'!$EB$2:$EB$317))</f>
        <v>2</v>
      </c>
      <c r="BH55">
        <f>SUMPRODUCT(--('Данные 1st'!$S$2:$S$317=$A55),--ISNUMBER('Данные 1st'!$ED$2:$ED$317))</f>
        <v>2</v>
      </c>
      <c r="BI55">
        <f>SUMPRODUCT(--('Данные 1st'!$S$2:$S$317=$A55),--ISNUMBER('Данные 1st'!$EE$2:$EE$317))</f>
        <v>2</v>
      </c>
      <c r="BJ55">
        <f>SUMPRODUCT(--('Данные 1st'!$S$2:$S$317=$A55),--ISNUMBER('Данные 1st'!$EG$2:$EG$317))</f>
        <v>2</v>
      </c>
      <c r="BK55">
        <f>SUMPRODUCT(--('Данные 1st'!$S$2:$S$317=$A55),--ISNUMBER('Данные 1st'!$EH$2:$EH$317))</f>
        <v>2</v>
      </c>
      <c r="BL55">
        <f>SUMPRODUCT(--('Данные 1st'!$S$2:$S$317=$A55),--ISNUMBER('Данные 1st'!$EJ$2:$EJ$317))</f>
        <v>2</v>
      </c>
      <c r="BM55">
        <f>SUMPRODUCT(--('Данные 1st'!$S$2:$S$317=$A55),--ISNUMBER('Данные 1st'!$EK$2:$EK$317))</f>
        <v>2</v>
      </c>
      <c r="BN55">
        <f>SUMPRODUCT(--('Данные 1st'!$S$2:$S$317=$A55),--ISNUMBER('Данные 1st'!$EN$2:$EN$317))</f>
        <v>2</v>
      </c>
      <c r="BO55">
        <f>SUMPRODUCT(--('Данные 1st'!$S$2:$S$317=$A55),--ISNUMBER('Данные 1st'!$EQ$2:$EQ$317))</f>
        <v>2</v>
      </c>
      <c r="BP55">
        <f>SUMPRODUCT(--('Данные 1st'!$S$2:$S$317=$A55),--ISNUMBER('Данные 1st'!$ER$2:$ER$317))</f>
        <v>2</v>
      </c>
      <c r="BQ55">
        <f>SUMPRODUCT(--('Данные 1st'!$S$2:$S$317=$A55),--ISNUMBER('Данные 1st'!$ES$2:$ES$317))</f>
        <v>2</v>
      </c>
      <c r="BR55">
        <f>SUMPRODUCT(--('Данные 1st'!$S$2:$S$317=$A55),--ISNUMBER('Данные 1st'!$ET$2:$ET$317))</f>
        <v>2</v>
      </c>
      <c r="BS55">
        <f>SUMPRODUCT(--('Данные 1st'!$S$2:$S$317=$A55),--ISNUMBER('Данные 1st'!$EU$2:$EU$317))</f>
        <v>2</v>
      </c>
      <c r="BT55">
        <f>SUMPRODUCT(--('Данные 1st'!$S$2:$S$317=$A55),--ISNUMBER('Данные 1st'!$EV$2:$EV$317))</f>
        <v>2</v>
      </c>
      <c r="BU55">
        <f>SUMPRODUCT(--('Данные 1st'!$S$2:$S$317=$A55),--ISNUMBER('Данные 1st'!$EX$2:$EX$317))</f>
        <v>2</v>
      </c>
      <c r="BV55">
        <f>SUMPRODUCT(--('Данные 1st'!$S$2:$S$317=$A55),--ISNUMBER('Данные 1st'!$EY$2:$EY$317))</f>
        <v>2</v>
      </c>
      <c r="BW55">
        <f>SUMPRODUCT(--('Данные 1st'!$S$2:$S$317=$A55),--ISNUMBER('Данные 1st'!$EZ$2:$EZ$317))</f>
        <v>2</v>
      </c>
      <c r="BX55">
        <f>SUMPRODUCT(--('Данные 1st'!$S$2:$S$317=$A55),--ISNUMBER('Данные 1st'!$FA$2:$FA$317))</f>
        <v>2</v>
      </c>
      <c r="BY55">
        <f>SUMPRODUCT(--('Данные 1st'!$S$2:$S$317=$A55),--ISNUMBER('Данные 1st'!$FB$2:$FB$317))</f>
        <v>2</v>
      </c>
      <c r="BZ55">
        <f>SUMPRODUCT(--('Данные 1st'!$S$2:$S$317=$A55),--ISNUMBER('Данные 1st'!$FC$2:$FC$317))</f>
        <v>2</v>
      </c>
      <c r="CA55">
        <f>SUMPRODUCT(--('Данные 1st'!$S$2:$S$317=$A55),--ISNUMBER('Данные 1st'!$FE$2:$FE$317))</f>
        <v>2</v>
      </c>
      <c r="CB55">
        <f>SUMPRODUCT(--('Данные 1st'!$S$2:$S$317=$A55),--ISNUMBER('Данные 1st'!$FF$2:$FF$317))</f>
        <v>2</v>
      </c>
      <c r="CC55">
        <f>SUMPRODUCT(--('Данные 1st'!$S$2:$S$317=$A55),--ISNUMBER('Данные 1st'!$FI$2:$FI$317))</f>
        <v>2</v>
      </c>
      <c r="CD55">
        <f>SUMPRODUCT(--('Данные 1st'!$S$2:$S$317=$A55),--ISNUMBER('Данные 1st'!$FL$2:$FL$317))</f>
        <v>2</v>
      </c>
      <c r="CE55">
        <f>SUMPRODUCT(--('Данные 1st'!$S$2:$S$317=$A55),--ISNUMBER('Данные 1st'!$FM$2:$FM$317))</f>
        <v>2</v>
      </c>
      <c r="CF55">
        <f>SUMPRODUCT(--('Данные 1st'!$S$2:$S$317=$A55),--ISNUMBER('Данные 1st'!$FN$2:$FN$317))</f>
        <v>2</v>
      </c>
      <c r="CG55">
        <f>SUMPRODUCT(--('Данные 1st'!$S$2:$S$317=$A55),--ISNUMBER('Данные 1st'!$FO$2:$FO$317))</f>
        <v>0</v>
      </c>
      <c r="CH55">
        <f>SUMPRODUCT(--('Данные 1st'!$S$2:$S$317=$A55),--ISNUMBER('Данные 1st'!$FP$2:$FP$317))</f>
        <v>0</v>
      </c>
      <c r="CI55">
        <f>SUMPRODUCT(--('Данные 1st'!$S$2:$S$317=$A55),--ISNUMBER('Данные 1st'!$FS$2:$FS$317))</f>
        <v>2</v>
      </c>
      <c r="CJ55">
        <f>SUMPRODUCT(--('Данные 1st'!$S$2:$S$317=$A55),--ISNUMBER('Данные 1st'!$FT$2:$FT$317))</f>
        <v>2</v>
      </c>
      <c r="CK55">
        <f>SUMPRODUCT(--('Данные 1st'!$S$2:$S$317=$A55),--ISNUMBER('Данные 1st'!$FU$2:$FU$317))</f>
        <v>2</v>
      </c>
      <c r="CL55">
        <f>SUMPRODUCT(--('Данные 1st'!$S$2:$S$317=$A55),--ISNUMBER('Данные 1st'!$FV$2:$FV$317))</f>
        <v>0</v>
      </c>
      <c r="CM55">
        <f>SUMPRODUCT(--('Данные 1st'!$S$2:$S$317=$A55),--ISNUMBER('Данные 1st'!$FW$2:$FW$317))</f>
        <v>0</v>
      </c>
      <c r="CN55">
        <f>SUMPRODUCT(--('Данные 1st'!$S$2:$S$317=$A55),--ISNUMBER('Данные 1st'!$FZ$2:$FZ$317))</f>
        <v>2</v>
      </c>
      <c r="CO55">
        <f>SUMPRODUCT(--('Данные 1st'!$S$2:$S$317=$A55),--ISNUMBER('Данные 1st'!$GA$2:$GA$317))</f>
        <v>2</v>
      </c>
      <c r="CP55">
        <f>SUMPRODUCT(--('Данные 1st'!$S$2:$S$317=$A55),--ISNUMBER('Данные 1st'!$GB$2:$GB$317))</f>
        <v>2</v>
      </c>
      <c r="CQ55">
        <f>SUMPRODUCT(--('Данные 1st'!$S$2:$S$317=$A55),--ISNUMBER('Данные 1st'!$GH$2:$GH$317))</f>
        <v>2</v>
      </c>
      <c r="CR55">
        <f>SUMPRODUCT(--('Данные 1st'!$S$2:$S$317=$A55),--ISNUMBER('Данные 1st'!$GI$2:$GI$317))</f>
        <v>2</v>
      </c>
      <c r="CS55">
        <f>SUMPRODUCT(--('Данные 1st'!$S$2:$S$317=$A55),--ISNUMBER('Данные 1st'!$GJ$2:$GJ$317))</f>
        <v>2</v>
      </c>
      <c r="CT55">
        <f>SUMPRODUCT(--('Данные 1st'!$S$2:$S$317=$A55),--ISNUMBER('Данные 1st'!$GS$2:$GS$317))</f>
        <v>0</v>
      </c>
      <c r="CU55">
        <f>SUMPRODUCT(--('Данные 1st'!$S$2:$S$317=$A55),--ISNUMBER('Данные 1st'!$GT$2:$GT$317))</f>
        <v>0</v>
      </c>
      <c r="CV55">
        <f>SUMPRODUCT(--('Данные 1st'!$S$2:$S$317=$A55),--ISNUMBER('Данные 1st'!$GU$2:$GU$317))</f>
        <v>0</v>
      </c>
      <c r="CW55">
        <f>SUMPRODUCT(--('Данные 1st'!$S$2:$S$317=$A55),--ISNUMBER('Данные 1st'!$GV$2:$GV$317))</f>
        <v>0</v>
      </c>
      <c r="CX55">
        <f>SUMPRODUCT(--('Данные 1st'!$S$2:$S$317=$A55),--ISNUMBER('Данные 1st'!$GW$2:$GW$317))</f>
        <v>0</v>
      </c>
      <c r="CY55">
        <f>SUMPRODUCT(--('Данные 1st'!$S$2:$S$317=$A55),--ISNUMBER('Данные 1st'!$GZ$2:$GZ$317))</f>
        <v>0</v>
      </c>
      <c r="CZ55">
        <f>SUMPRODUCT(--('Данные 1st'!$S$2:$S$317=$A55),--ISNUMBER('Данные 1st'!$HA$2:$HA$317))</f>
        <v>0</v>
      </c>
      <c r="DA55">
        <f>SUMPRODUCT(--('Данные 1st'!$S$2:$S$317=$A55),--ISNUMBER('Данные 1st'!$HB$2:$HB$317))</f>
        <v>0</v>
      </c>
      <c r="DB55">
        <f>SUMPRODUCT(--('Данные 1st'!$S$2:$S$317=$A55),--ISNUMBER('Данные 1st'!$HC$2:$HC$317))</f>
        <v>2</v>
      </c>
      <c r="DC55">
        <f>SUMPRODUCT(--('Данные 1st'!$S$2:$S$317=$A55),--ISNUMBER('Данные 1st'!$HD$2:$HD$317))</f>
        <v>2</v>
      </c>
      <c r="DD55">
        <f>SUMPRODUCT(--('Данные 1st'!$S$2:$S$317=$A55),--ISNUMBER('Данные 1st'!$HE$2:$HE$317))</f>
        <v>2</v>
      </c>
      <c r="DE55">
        <f>SUMPRODUCT(--('Данные 1st'!$S$2:$S$317=$A55),--ISNUMBER('Данные 1st'!$HF$2:$HF$317))</f>
        <v>2</v>
      </c>
      <c r="DF55">
        <f>SUMPRODUCT(--('Данные 1st'!$S$2:$S$317=$A55),--ISNUMBER('Данные 1st'!$HG$2:$HG$317))</f>
        <v>2</v>
      </c>
      <c r="DG55">
        <f>SUMPRODUCT(--('Данные 1st'!$S$2:$S$317=$A55),--ISNUMBER('Данные 1st'!$HH$2:$HH$317))</f>
        <v>2</v>
      </c>
      <c r="DH55">
        <f>SUMPRODUCT(--('Данные 1st'!$S$2:$S$317=$A55),--ISNUMBER('Данные 1st'!$HI$2:$HI$317))</f>
        <v>2</v>
      </c>
      <c r="DI55">
        <f>SUMPRODUCT(--('Данные 1st'!$S$2:$S$317=$A55),--ISNUMBER('Данные 1st'!$HJ$2:$HJ$317))</f>
        <v>2</v>
      </c>
      <c r="DJ55">
        <f>SUMPRODUCT(--('Данные 1st'!$S$2:$S$317=$A55),--ISNUMBER('Данные 1st'!$HK$2:$HK$317))</f>
        <v>2</v>
      </c>
      <c r="DK55">
        <f>SUMPRODUCT(--('Данные 1st'!$S$2:$S$317=$A55),--ISNUMBER('Данные 1st'!$HL$2:$HL$317))</f>
        <v>2</v>
      </c>
      <c r="DL55">
        <f>SUMPRODUCT(--('Данные 1st'!$S$2:$S$317=$A55),--ISNUMBER('Данные 1st'!$HM$2:$HM$317))</f>
        <v>2</v>
      </c>
      <c r="DM55">
        <f>SUMPRODUCT(--('Данные 1st'!$S$2:$S$317=$A55),--ISNUMBER('Данные 1st'!$HN$2:$HN$317))</f>
        <v>2</v>
      </c>
      <c r="DN55">
        <f>SUMPRODUCT(--('Данные 1st'!$S$2:$S$317=$A55),--ISNUMBER('Данные 1st'!$HO$2:$HO$317))</f>
        <v>2</v>
      </c>
      <c r="DO55">
        <f>SUMPRODUCT(--('Данные 1st'!$S$2:$S$317=$A55),--ISNUMBER('Данные 1st'!$HP$2:$HP$317))</f>
        <v>2</v>
      </c>
      <c r="DP55">
        <f>SUMPRODUCT(--('Данные 1st'!$S$2:$S$317=$A55),--ISNUMBER('Данные 1st'!$HQ$2:$HQ$317))</f>
        <v>2</v>
      </c>
      <c r="DQ55">
        <f>SUMPRODUCT(--('Данные 1st'!$S$2:$S$317=$A55),--ISNUMBER('Данные 1st'!$HR$2:$HR$317))</f>
        <v>2</v>
      </c>
      <c r="DR55">
        <f>SUMPRODUCT(--('Данные 1st'!$S$2:$S$317=$A55),--ISNUMBER('Данные 1st'!$HS$2:$HS$317))</f>
        <v>2</v>
      </c>
      <c r="DS55">
        <f>SUMPRODUCT(--('Данные 1st'!$S$2:$S$317=$A55),--ISNUMBER('Данные 1st'!$HT$2:$HT$317))</f>
        <v>2</v>
      </c>
      <c r="DT55">
        <f>SUMPRODUCT(--('Данные 1st'!$S$2:$S$317=$A55),--ISNUMBER('Данные 1st'!$HU$2:$HU$317))</f>
        <v>2</v>
      </c>
      <c r="DU55">
        <f>SUMPRODUCT(--('Данные 1st'!$S$2:$S$317=$A55),--ISNUMBER('Данные 1st'!$HW$2:$HW$317))</f>
        <v>2</v>
      </c>
      <c r="DV55">
        <f>SUMPRODUCT(--('Данные 1st'!$S$2:$S$317=$A55),--ISNUMBER('Данные 1st'!$HX$2:$HX$317))</f>
        <v>2</v>
      </c>
      <c r="DW55">
        <f>SUMPRODUCT(--('Данные 1st'!$S$2:$S$317=$A55),--ISNUMBER('Данные 1st'!$HY$2:$HY$317))</f>
        <v>2</v>
      </c>
      <c r="DX55">
        <f>SUMPRODUCT(--('Данные 1st'!$S$2:$S$317=$A55),--ISNUMBER('Данные 1st'!$IA$2:$IA$317))</f>
        <v>2</v>
      </c>
      <c r="DY55">
        <f>SUMPRODUCT(--('Данные 1st'!$S$2:$S$317=$A55),--ISNUMBER('Данные 1st'!$IB$2:$IB$317))</f>
        <v>2</v>
      </c>
      <c r="DZ55">
        <f>SUMPRODUCT(--('Данные 1st'!$S$2:$S$317=$A55),--ISNUMBER('Данные 1st'!$IC$2:$IC$317))</f>
        <v>2</v>
      </c>
      <c r="EA55">
        <f>SUMPRODUCT(--('Данные 1st'!$S$2:$S$317=$A55),--ISNUMBER('Данные 1st'!$ID$2:$ID$317))</f>
        <v>2</v>
      </c>
      <c r="EB55">
        <f>SUMPRODUCT(--('Данные 1st'!$S$2:$S$317=$A55),--ISNUMBER('Данные 1st'!$IE$2:$IE$317))</f>
        <v>2</v>
      </c>
      <c r="EC55">
        <f>SUMPRODUCT(--('Данные 1st'!$S$2:$S$317=$A55),--ISNUMBER('Данные 1st'!$IF$2:$IF$317))</f>
        <v>2</v>
      </c>
      <c r="ED55">
        <f>SUMPRODUCT(--('Данные 1st'!$S$2:$S$317=$A55),--ISNUMBER('Данные 1st'!$IP$2:$IP$317))</f>
        <v>2</v>
      </c>
      <c r="EE55">
        <f>SUMPRODUCT(--('Данные 1st'!$S$2:$S$317=$A55),--ISNUMBER('Данные 1st'!$IV$2:$IV$317))</f>
        <v>2</v>
      </c>
      <c r="EF55">
        <f>SUMPRODUCT(--('Данные 1st'!$S$2:$S$317=$A55),--ISNUMBER('Данные 1st'!$IW$2:$IW$317))</f>
        <v>2</v>
      </c>
      <c r="EG55">
        <f>SUMPRODUCT(--('Данные 1st'!$S$2:$S$317=$A55),--ISNUMBER('Данные 1st'!$IX$2:$IX$317))</f>
        <v>0</v>
      </c>
      <c r="EH55">
        <f>SUMPRODUCT(--('Данные 1st'!$S$2:$S$317=$A55),--ISNUMBER('Данные 1st'!$IY$2:$IY$317))</f>
        <v>1</v>
      </c>
      <c r="EI55">
        <f>SUMPRODUCT(--('Данные 1st'!$S$2:$S$317=$A55),--ISNUMBER('Данные 1st'!$JD$2:$JD$317))</f>
        <v>2</v>
      </c>
      <c r="EJ55">
        <f>SUMPRODUCT(--('Данные 1st'!$S$2:$S$317=$A55),--ISNUMBER('Данные 1st'!$JE$2:$JE$317))</f>
        <v>2</v>
      </c>
      <c r="EK55">
        <f>SUMPRODUCT(--('Данные 1st'!$S$2:$S$317=$A55),--ISNUMBER('Данные 1st'!$JF$2:$JF$317))</f>
        <v>2</v>
      </c>
      <c r="EL55">
        <f>SUMPRODUCT(--('Данные 1st'!$S$2:$S$317=$A55),--ISNUMBER('Данные 1st'!$JG$2:$JG$317))</f>
        <v>2</v>
      </c>
      <c r="EM55">
        <f>SUMPRODUCT(--('Данные 1st'!$S$2:$S$317=$A55),--ISNUMBER('Данные 1st'!$JH$2:$JH$317))</f>
        <v>2</v>
      </c>
      <c r="EN55">
        <f>SUMPRODUCT(--('Данные 1st'!$S$2:$S$317=$A55),--ISNUMBER('Данные 1st'!$JJ$2:$JJ$317))</f>
        <v>2</v>
      </c>
      <c r="EO55">
        <f>SUMPRODUCT(--('Данные 1st'!$S$2:$S$317=$A55),--ISNUMBER('Данные 1st'!$JK$2:$JK$317))</f>
        <v>2</v>
      </c>
      <c r="EP55">
        <f>SUMPRODUCT(--('Данные 1st'!$S$2:$S$317=$A55),--ISNUMBER('Данные 1st'!$JL$2:$JL$317))</f>
        <v>0</v>
      </c>
      <c r="EQ55">
        <f>SUMPRODUCT(--('Данные 1st'!$S$2:$S$317=$A55),--ISNUMBER('Данные 1st'!$JM$2:$JM$317))</f>
        <v>0</v>
      </c>
      <c r="ER55">
        <f>SUMPRODUCT(--('Данные 1st'!$S$2:$S$317=$A55),--ISNUMBER('Данные 1st'!$JN$2:$JN$317))</f>
        <v>2</v>
      </c>
      <c r="ES55">
        <f>SUMPRODUCT(--('Данные 1st'!$S$2:$S$317=$A55),--ISNUMBER('Данные 1st'!$JO$2:$JO$317))</f>
        <v>2</v>
      </c>
      <c r="ET55">
        <f>SUMPRODUCT(--('Данные 1st'!$S$2:$S$317=$A55),--ISNUMBER('Данные 1st'!$JP$2:$JP$317))</f>
        <v>2</v>
      </c>
      <c r="EU55">
        <f>SUMPRODUCT(--('Данные 1st'!$S$2:$S$317=$A55),--ISNUMBER('Данные 1st'!$JQ$2:$JQ$317))</f>
        <v>2</v>
      </c>
      <c r="EV55">
        <f>SUMPRODUCT(--('Данные 1st'!$S$2:$S$317=$A55),--ISNUMBER('Данные 1st'!$JR$2:$JR$317))</f>
        <v>2</v>
      </c>
      <c r="EW55">
        <f>SUMPRODUCT(--('Данные 1st'!$S$2:$S$317=$A55),--ISNUMBER('Данные 1st'!$JS$2:$JS$317))</f>
        <v>2</v>
      </c>
      <c r="EX55">
        <f>SUMPRODUCT(--('Данные 1st'!$S$2:$S$317=$A55),--ISNUMBER('Данные 1st'!$JT$2:$JT$317))</f>
        <v>0</v>
      </c>
      <c r="EY55">
        <f>SUMPRODUCT(--('Данные 1st'!$S$2:$S$317=$A55),--ISNUMBER('Данные 1st'!$JU$2:$JU$317))</f>
        <v>0</v>
      </c>
      <c r="EZ55">
        <f>SUMPRODUCT(--('Данные 1st'!$S$2:$S$317=$A55),--ISNUMBER('Данные 1st'!$JV$2:$JV$317))</f>
        <v>2</v>
      </c>
      <c r="FA55">
        <f>SUMPRODUCT(--('Данные 1st'!$S$2:$S$317=$A55),--ISNUMBER('Данные 1st'!$JW$2:$JW$317))</f>
        <v>0</v>
      </c>
      <c r="FB55">
        <f>SUMPRODUCT(--('Данные 1st'!$S$2:$S$317=$A55),--ISNUMBER('Данные 1st'!$JX$2:$JX$317))</f>
        <v>2</v>
      </c>
      <c r="FC55">
        <f>SUMPRODUCT(--('Данные 1st'!$S$2:$S$317=$A55),--ISNUMBER('Данные 1st'!$JY$2:$JY$317))</f>
        <v>0</v>
      </c>
      <c r="FD55">
        <f>SUMPRODUCT(--('Данные 1st'!$S$2:$S$317=$A55),--ISNUMBER('Данные 1st'!$JZ$2:$JZ$317))</f>
        <v>0</v>
      </c>
      <c r="FE55">
        <f>SUMPRODUCT(--('Данные 1st'!$S$2:$S$317=$A55),--ISNUMBER('Данные 1st'!$KA$2:$KA$317))</f>
        <v>2</v>
      </c>
      <c r="FF55">
        <f>SUMPRODUCT(--('Данные 1st'!$S$2:$S$317=$A55),--ISNUMBER('Данные 1st'!$KB$2:$KB$317))</f>
        <v>2</v>
      </c>
      <c r="FG55">
        <f>SUMPRODUCT(--('Данные 1st'!$S$2:$S$317=$A55),--ISNUMBER('Данные 1st'!$KC$2:$KC$317))</f>
        <v>2</v>
      </c>
      <c r="FH55">
        <f>SUMPRODUCT(--('Данные 1st'!$S$2:$S$317=$A55),--ISNUMBER('Данные 1st'!$KD$2:$KD$317))</f>
        <v>2</v>
      </c>
      <c r="FI55">
        <f>SUMPRODUCT(--('Данные 1st'!$S$2:$S$317=$A55),--ISNUMBER('Данные 1st'!$KE$2:$KE$317))</f>
        <v>0</v>
      </c>
      <c r="FJ55">
        <f>SUMPRODUCT(--('Данные 1st'!$S$2:$S$317=$A55),--ISNUMBER('Данные 1st'!$KF$2:$KF$317))</f>
        <v>2</v>
      </c>
      <c r="FK55">
        <f>SUMPRODUCT(--('Данные 1st'!$S$2:$S$317=$A55),--ISNUMBER('Данные 1st'!$KG$2:$KG$317))</f>
        <v>2</v>
      </c>
      <c r="FL55">
        <f>SUMPRODUCT(--('Данные 1st'!$S$2:$S$317=$A55),--ISNUMBER('Данные 1st'!$KH$2:$KH$317))</f>
        <v>2</v>
      </c>
      <c r="FM55">
        <f>SUMPRODUCT(--('Данные 1st'!$S$2:$S$317=$A55),--ISNUMBER('Данные 1st'!$KI$2:$KI$317))</f>
        <v>2</v>
      </c>
      <c r="FN55">
        <f>SUMPRODUCT(--('Данные 1st'!$S$2:$S$317=$A55),--ISNUMBER('Данные 1st'!$KJ$2:$KJ$317))</f>
        <v>2</v>
      </c>
      <c r="FO55">
        <f>SUMPRODUCT(--('Данные 1st'!$S$2:$S$317=$A55),--ISNUMBER('Данные 1st'!$KK$2:$KK$317))</f>
        <v>2</v>
      </c>
      <c r="FP55">
        <f>SUMPRODUCT(--('Данные 1st'!$S$2:$S$317=$A55),--ISNUMBER('Данные 1st'!$KL$2:$KL$317))</f>
        <v>2</v>
      </c>
      <c r="FQ55">
        <f>SUMPRODUCT(--('Данные 1st'!$S$2:$S$317=$A55),--ISNUMBER('Данные 1st'!$KM$2:$KM$317))</f>
        <v>2</v>
      </c>
      <c r="FR55">
        <f>SUMPRODUCT(--('Данные 1st'!$S$2:$S$317=$A55),--ISNUMBER('Данные 1st'!$KN$2:$KN$317))</f>
        <v>2</v>
      </c>
      <c r="FS55">
        <f>SUMPRODUCT(--('Данные 1st'!$S$2:$S$317=$A55),--ISNUMBER('Данные 1st'!$KR$2:$KR$317))</f>
        <v>2</v>
      </c>
      <c r="FT55">
        <f>SUMPRODUCT(--('Данные 1st'!$S$2:$S$317=$A55),--ISNUMBER('Данные 1st'!$KS$2:$KS$317))</f>
        <v>2</v>
      </c>
      <c r="FU55">
        <f>SUMPRODUCT(--('Данные 1st'!$S$2:$S$317=$A55),--ISNUMBER('Данные 1st'!$KT$2:$KT$317))</f>
        <v>2</v>
      </c>
      <c r="FV55">
        <f>SUMPRODUCT(--('Данные 1st'!$S$2:$S$317=$A55),--ISNUMBER('Данные 1st'!$KV$2:$KV$317))</f>
        <v>0</v>
      </c>
      <c r="FW55">
        <f>SUMPRODUCT(--('Данные 1st'!$S$2:$S$317=$A55),--ISNUMBER('Данные 1st'!$KW$2:$KW$317))</f>
        <v>0</v>
      </c>
      <c r="FX55">
        <f>SUMPRODUCT(--('Данные 1st'!$S$2:$S$317=$A55),--ISNUMBER('Данные 1st'!$KX$2:$KX$317))</f>
        <v>0</v>
      </c>
      <c r="FY55">
        <f>SUMPRODUCT(--('Данные 1st'!$S$2:$S$317=$A55),--ISNUMBER('Данные 1st'!$KY$2:$KY$317))</f>
        <v>0</v>
      </c>
      <c r="FZ55">
        <f>SUMPRODUCT(--('Данные 1st'!$S$2:$S$317=$A55),--ISNUMBER('Данные 1st'!$KZ$2:$KZ$317))</f>
        <v>0</v>
      </c>
      <c r="GA55">
        <f>SUMPRODUCT(--('Данные 1st'!$S$2:$S$317=$A55),--ISNUMBER('Данные 1st'!$LA$2:$LA$317))</f>
        <v>0</v>
      </c>
      <c r="GB55">
        <f>SUMPRODUCT(--('Данные 1st'!$S$2:$S$317=$A55),--ISNUMBER('Данные 1st'!$LB$2:$LB$317))</f>
        <v>0</v>
      </c>
      <c r="GC55">
        <f>SUMPRODUCT(--('Данные 1st'!$S$2:$S$317=$A55),--ISNUMBER('Данные 1st'!$LC$2:$LC$317))</f>
        <v>0</v>
      </c>
      <c r="GD55">
        <f>SUMPRODUCT(--('Данные 1st'!$S$2:$S$317=$A55),--ISNUMBER('Данные 1st'!$LD$2:$LD$317))</f>
        <v>0</v>
      </c>
      <c r="GE55">
        <f>SUMPRODUCT(--('Данные 1st'!$S$2:$S$317=$A55),--ISNUMBER('Данные 1st'!$LE$2:$LE$317))</f>
        <v>0</v>
      </c>
      <c r="GF55">
        <f>SUMPRODUCT(--('Данные 1st'!$S$2:$S$317=$A55),--ISNUMBER('Данные 1st'!$LF$2:$LF$317))</f>
        <v>0</v>
      </c>
      <c r="GG55">
        <f>SUMPRODUCT(--('Данные 1st'!$S$2:$S$317=$A55),--ISNUMBER('Данные 1st'!$LG$2:$LG$317))</f>
        <v>0</v>
      </c>
      <c r="GH55">
        <f>SUMPRODUCT(--('Данные 1st'!$S$2:$S$317=$A55),--ISNUMBER('Данные 1st'!$LH$2:$LH$317))</f>
        <v>0</v>
      </c>
      <c r="GI55">
        <f>SUMPRODUCT(--('Данные 1st'!$S$2:$S$317=$A55),--ISNUMBER('Данные 1st'!$LI$2:$LI$317))</f>
        <v>0</v>
      </c>
      <c r="GJ55">
        <f>SUMPRODUCT(--('Данные 1st'!$S$2:$S$317=$A55),--ISNUMBER('Данные 1st'!$LJ$2:$LJ$317))</f>
        <v>0</v>
      </c>
      <c r="GK55">
        <f>SUMPRODUCT(--('Данные 1st'!$S$2:$S$317=$A55),--ISNUMBER('Данные 1st'!$LK$2:$LK$317))</f>
        <v>2</v>
      </c>
      <c r="GL55">
        <f>SUMPRODUCT(--('Данные 1st'!$S$2:$S$317=$A55),--ISNUMBER('Данные 1st'!$LV$2:$LV$317))</f>
        <v>0</v>
      </c>
      <c r="GM55">
        <f>SUMPRODUCT(--('Данные 1st'!$S$2:$S$317=$A55),--ISNUMBER('Данные 1st'!$LW$2:$LW$317))</f>
        <v>0</v>
      </c>
      <c r="GN55">
        <f>SUMPRODUCT(--('Данные 1st'!$S$2:$S$317=$A55),--ISNUMBER('Данные 1st'!$LX$2:$LX$317))</f>
        <v>0</v>
      </c>
      <c r="GO55">
        <f>SUMPRODUCT(--('Данные 1st'!$S$2:$S$317=$A55),--ISNUMBER('Данные 1st'!$LY$2:$LY$317))</f>
        <v>0</v>
      </c>
      <c r="GP55">
        <f>SUMPRODUCT(--('Данные 1st'!$S$2:$S$317=$A55),--ISNUMBER('Данные 1st'!$LZ$2:$LZ$317))</f>
        <v>0</v>
      </c>
      <c r="GQ55">
        <f>SUMPRODUCT(--('Данные 1st'!$S$2:$S$317=$A55),--ISNUMBER('Данные 1st'!$PG$2:$PG$317))</f>
        <v>2</v>
      </c>
      <c r="GR55">
        <f>SUMPRODUCT(--('Данные 1st'!$S$2:$S$317=$A55),--ISNUMBER('Данные 1st'!$PX$2:$PX$317))</f>
        <v>2</v>
      </c>
      <c r="GS55">
        <f>SUMPRODUCT(--('Данные 1st'!$S$2:$S$317=$A55),--ISNUMBER('Данные 1st'!$PY$2:$PY$317))</f>
        <v>2</v>
      </c>
      <c r="GT55">
        <f>SUMPRODUCT(--('Данные 1st'!$S$2:$S$317=$A55),--ISNUMBER('Данные 1st'!$QA$2:$QA$317))</f>
        <v>2</v>
      </c>
      <c r="GU55">
        <f>SUMPRODUCT(--('Данные 1st'!$S$2:$S$317=$A55),--ISNUMBER('Данные 1st'!$QB$2:$QB$317))</f>
        <v>2</v>
      </c>
      <c r="GV55">
        <f>SUMPRODUCT(--('Данные 1st'!$S$2:$S$317=$A55),--ISNUMBER('Данные 1st'!$QC$2:$QC$317))</f>
        <v>2</v>
      </c>
      <c r="GW55">
        <f>SUMPRODUCT(--('Данные 1st'!$S$2:$S$317=$A55),--ISNUMBER('Данные 1st'!$QD$2:$QD$317))</f>
        <v>2</v>
      </c>
      <c r="GX55">
        <f>SUMPRODUCT(--('Данные 1st'!$S$2:$S$317=$A55),--ISNUMBER('Данные 1st'!$QF$2:$QF$317))</f>
        <v>2</v>
      </c>
      <c r="GY55">
        <f>SUMPRODUCT(--('Данные 1st'!$S$2:$S$317=$A55),--ISNUMBER('Данные 1st'!$QG$2:$QG$317))</f>
        <v>2</v>
      </c>
      <c r="GZ55">
        <f>SUMPRODUCT(--('Данные 1st'!$S$2:$S$317=$A55),--ISNUMBER('Данные 1st'!$QH$2:$QH$317))</f>
        <v>2</v>
      </c>
      <c r="HA55">
        <f>SUMPRODUCT(--('Данные 1st'!$S$2:$S$317=$A55),--ISNUMBER('Данные 1st'!$QI$2:$QI$317))</f>
        <v>2</v>
      </c>
      <c r="HB55">
        <f>SUMPRODUCT(--('Данные 1st'!$S$2:$S$317=$A55),--ISNUMBER('Данные 1st'!$QK$2:$QK$317))</f>
        <v>0</v>
      </c>
      <c r="HC55">
        <f>SUMPRODUCT(--('Данные 1st'!$S$2:$S$317=$A55),--ISNUMBER('Данные 1st'!$QL$2:$QL$317))</f>
        <v>2</v>
      </c>
      <c r="HD55">
        <f>SUMPRODUCT(--('Данные 1st'!$S$2:$S$317=$A55),--ISNUMBER('Данные 1st'!$QM$2:$QM$317))</f>
        <v>2</v>
      </c>
      <c r="HE55">
        <f>SUMPRODUCT(--('Данные 1st'!$S$2:$S$317=$A55),--ISNUMBER('Данные 1st'!$QN$2:$QN$317))</f>
        <v>2</v>
      </c>
      <c r="HF55">
        <f>SUMPRODUCT(--('Данные 1st'!$S$2:$S$317=$A55),--ISNUMBER('Данные 1st'!$QP$2:$QP$317))</f>
        <v>2</v>
      </c>
      <c r="HG55">
        <f>SUMPRODUCT(--('Данные 1st'!$S$2:$S$317=$A55),--ISNUMBER('Данные 1st'!$QQ$2:$QQ$317))</f>
        <v>2</v>
      </c>
      <c r="HH55">
        <f>SUMPRODUCT(--('Данные 1st'!$S$2:$S$317=$A55),--ISNUMBER('Данные 1st'!$QR$2:$QR$317))</f>
        <v>0</v>
      </c>
      <c r="HI55">
        <f>SUMPRODUCT(--('Данные 1st'!$S$2:$S$317=$A55),--ISNUMBER('Данные 1st'!$QS$2:$QS$317))</f>
        <v>0</v>
      </c>
      <c r="HJ55">
        <f>SUMPRODUCT(--('Данные 1st'!$S$2:$S$317=$A55),--ISNUMBER('Данные 1st'!$QU$2:$QU$317))</f>
        <v>0</v>
      </c>
      <c r="HK55">
        <f>SUMPRODUCT(--('Данные 1st'!$S$2:$S$317=$A55),--ISNUMBER('Данные 1st'!$QV$2:$QV$317))</f>
        <v>0</v>
      </c>
      <c r="HL55">
        <f>SUMPRODUCT(--('Данные 1st'!$S$2:$S$317=$A55),--ISNUMBER('Данные 1st'!$QW$2:$QW$317))</f>
        <v>2</v>
      </c>
      <c r="HM55">
        <f>SUMPRODUCT(--('Данные 1st'!$S$2:$S$317=$A55),--ISNUMBER('Данные 1st'!$QX$2:$QX$317))</f>
        <v>2</v>
      </c>
      <c r="HN55">
        <f>SUMPRODUCT(--('Данные 1st'!$S$2:$S$317=$A55),--ISNUMBER('Данные 1st'!$QZ$2:$QZ$317))</f>
        <v>2</v>
      </c>
      <c r="HO55">
        <f>SUMPRODUCT(--('Данные 1st'!$S$2:$S$317=$A55),--ISNUMBER('Данные 1st'!$RA$2:$RA$317))</f>
        <v>2</v>
      </c>
      <c r="HP55">
        <f>SUMPRODUCT(--('Данные 1st'!$S$2:$S$317=$A55),--ISNUMBER('Данные 1st'!$RB$2:$RB$317))</f>
        <v>2</v>
      </c>
      <c r="HQ55">
        <f>SUMPRODUCT(--('Данные 1st'!$S$2:$S$317=$A55),--ISNUMBER('Данные 1st'!$RD$2:$RD$317))</f>
        <v>0</v>
      </c>
      <c r="HR55">
        <f>SUMPRODUCT(--('Данные 1st'!$S$2:$S$317=$A55),--ISNUMBER('Данные 1st'!$RE$2:$RE$317))</f>
        <v>2</v>
      </c>
      <c r="HS55">
        <f>SUMPRODUCT(--('Данные 1st'!$S$2:$S$317=$A55),--ISNUMBER('Данные 1st'!$RF$2:$RF$317))</f>
        <v>0</v>
      </c>
      <c r="HT55">
        <f>SUMPRODUCT(--('Данные 1st'!$S$2:$S$317=$A55),--ISNUMBER('Данные 1st'!$RG$2:$RG$317))</f>
        <v>2</v>
      </c>
      <c r="HU55">
        <f>SUMPRODUCT(--('Данные 1st'!$S$2:$S$317=$A55),--ISNUMBER('Данные 1st'!$RH$2:$RH$317))</f>
        <v>0</v>
      </c>
      <c r="HV55">
        <f>SUMPRODUCT(--('Данные 1st'!$S$2:$S$317=$A55),--ISNUMBER('Данные 1st'!$RI$2:$RI$317))</f>
        <v>0</v>
      </c>
      <c r="HW55">
        <f>SUMPRODUCT(--('Данные 1st'!$S$2:$S$317=$A55),--ISNUMBER('Данные 1st'!$RJ$2:$RJ$317))</f>
        <v>2</v>
      </c>
      <c r="HX55">
        <f>SUMPRODUCT(--('Данные 1st'!$S$2:$S$317=$A55),--ISNUMBER('Данные 1st'!$RK$2:$RK$317))</f>
        <v>0</v>
      </c>
      <c r="HY55">
        <f>SUMPRODUCT(--('Данные 1st'!$S$2:$S$317=$A55),--ISNUMBER('Данные 1st'!$RL$2:$RL$317))</f>
        <v>2</v>
      </c>
      <c r="HZ55">
        <f>SUMPRODUCT(--('Данные 1st'!$S$2:$S$317=$A55),--ISNUMBER('Данные 1st'!$RM$2:$RM$317))</f>
        <v>0</v>
      </c>
      <c r="IA55">
        <f>SUMPRODUCT(--('Данные 1st'!$S$2:$S$317=$A55),--ISNUMBER('Данные 1st'!$RN$2:$RN$317))</f>
        <v>0</v>
      </c>
      <c r="IB55">
        <f>SUMPRODUCT(--('Данные 1st'!$S$2:$S$317=$A55),--ISNUMBER('Данные 1st'!$RO$2:$RO$317))</f>
        <v>2</v>
      </c>
      <c r="IC55">
        <f>SUMPRODUCT(--('Данные 1st'!$S$2:$S$317=$A55),--ISNUMBER('Данные 1st'!$RP$2:$RP$317))</f>
        <v>0</v>
      </c>
      <c r="ID55">
        <f>SUMPRODUCT(--('Данные 1st'!$S$2:$S$317=$A55),--ISNUMBER('Данные 1st'!$RQ$2:$RQ$317))</f>
        <v>2</v>
      </c>
      <c r="IE55">
        <f>SUMPRODUCT(--('Данные 1st'!$S$2:$S$317=$A55),--ISNUMBER('Данные 1st'!$RR$2:$RR$317))</f>
        <v>0</v>
      </c>
      <c r="IF55">
        <f>SUMPRODUCT(--('Данные 1st'!$S$2:$S$317=$A55),--ISNUMBER('Данные 1st'!$RS$2:$RS$317))</f>
        <v>0</v>
      </c>
      <c r="IG55">
        <f>SUMPRODUCT(--('Данные 1st'!$S$2:$S$317=$A55),--ISNUMBER('Данные 1st'!$RT$2:$RT$317))</f>
        <v>2</v>
      </c>
      <c r="IH55">
        <f>SUMPRODUCT(--('Данные 1st'!$S$2:$S$317=$A55),--ISNUMBER('Данные 1st'!$RU$2:$RU$317))</f>
        <v>2</v>
      </c>
      <c r="II55">
        <f>SUMPRODUCT(--('Данные 1st'!$S$2:$S$317=$A55),--ISNUMBER('Данные 1st'!$RX$2:$RX$317))</f>
        <v>2</v>
      </c>
      <c r="IJ55">
        <f>SUMPRODUCT(--('Данные 1st'!$S$2:$S$317=$A55),--ISNUMBER('Данные 1st'!$RY$2:$RY$317))</f>
        <v>2</v>
      </c>
      <c r="IK55">
        <f>SUMPRODUCT(--('Данные 1st'!$S$2:$S$317=$A55),--ISNUMBER('Данные 1st'!$SA$2:$SA$317))</f>
        <v>2</v>
      </c>
      <c r="IL55">
        <f>SUMPRODUCT(--('Данные 1st'!$S$2:$S$317=$A55),--ISNUMBER('Данные 1st'!$SD$2:$SD$317))</f>
        <v>2</v>
      </c>
      <c r="IM55">
        <f>SUMPRODUCT(--('Данные 1st'!$S$2:$S$317=$A55),--ISNUMBER('Данные 1st'!$SG$2:$SG$317))</f>
        <v>0</v>
      </c>
      <c r="IN55">
        <f>SUMPRODUCT(--('Данные 1st'!$S$2:$S$317=$A55),--ISNUMBER('Данные 1st'!$SH$2:$SH$317))</f>
        <v>2</v>
      </c>
      <c r="IO55">
        <f>SUMPRODUCT(--('Данные 1st'!$S$2:$S$317=$A55),--ISNUMBER('Данные 1st'!$SI$2:$SI$317))</f>
        <v>2</v>
      </c>
      <c r="IP55">
        <f>SUMPRODUCT(--('Данные 1st'!$S$2:$S$317=$A55),--ISNUMBER('Данные 1st'!$SJ$2:$SJ$317))</f>
        <v>2</v>
      </c>
      <c r="IQ55">
        <f>SUMPRODUCT(--('Данные 1st'!$S$2:$S$317=$A55),--ISNUMBER('Данные 1st'!$SK$2:$SK$317))</f>
        <v>2</v>
      </c>
      <c r="IR55">
        <f>SUMPRODUCT(--('Данные 1st'!$S$2:$S$317=$A55),--ISNUMBER('Данные 1st'!$SL$2:$SL$317))</f>
        <v>2</v>
      </c>
      <c r="IS55">
        <f>SUMPRODUCT(--('Данные 1st'!$S$2:$S$317=$A55),--ISNUMBER('Данные 1st'!$SM$2:$SM$317))</f>
        <v>2</v>
      </c>
      <c r="IT55">
        <f>SUMPRODUCT(--('Данные 1st'!$S$2:$S$317=$A55),--ISNUMBER('Данные 1st'!$SN$2:$SN$317))</f>
        <v>2</v>
      </c>
      <c r="IU55">
        <f>SUMPRODUCT(--('Данные 1st'!$S$2:$S$317=$A55),--ISNUMBER('Данные 1st'!$SO$2:$SO$317))</f>
        <v>2</v>
      </c>
      <c r="IV55">
        <f>SUMPRODUCT(--('Данные 1st'!$S$2:$S$317=$A55),--ISNUMBER('Данные 1st'!$SP$2:$SP$317))</f>
        <v>2</v>
      </c>
      <c r="IW55">
        <f>SUMPRODUCT(--('Данные 1st'!$S$2:$S$317=$A55),--ISNUMBER('Данные 1st'!$SQ$2:$SQ$317))</f>
        <v>2</v>
      </c>
      <c r="IX55">
        <f>SUMPRODUCT(--('Данные 1st'!$S$2:$S$317=$A55),--ISNUMBER('Данные 1st'!$SR$2:$SR$317))</f>
        <v>2</v>
      </c>
      <c r="IY55">
        <f>SUMPRODUCT(--('Данные 1st'!$S$2:$S$317=$A55),--ISNUMBER('Данные 1st'!$SS$2:$SS$317))</f>
        <v>2</v>
      </c>
      <c r="IZ55">
        <f>SUMPRODUCT(--('Данные 1st'!$S$2:$S$317=$A55),--ISNUMBER('Данные 1st'!$ST$2:$ST$317))</f>
        <v>2</v>
      </c>
      <c r="JA55">
        <f>SUMPRODUCT(--('Данные 1st'!$S$2:$S$317=$A55),--ISNUMBER('Данные 1st'!$SU$2:$SU$317))</f>
        <v>2</v>
      </c>
      <c r="JB55">
        <f>SUMPRODUCT(--('Данные 1st'!$S$2:$S$317=$A55),--ISNUMBER('Данные 1st'!$SV$2:$SV$317))</f>
        <v>2</v>
      </c>
      <c r="JC55">
        <f>SUMPRODUCT(--('Данные 1st'!$S$2:$S$317=$A55),--ISNUMBER('Данные 1st'!$SW$2:$SW$317))</f>
        <v>2</v>
      </c>
      <c r="JD55">
        <f>SUMPRODUCT(--('Данные 1st'!$S$2:$S$317=$A55),--ISNUMBER('Данные 1st'!$SX$2:$SX$317))</f>
        <v>2</v>
      </c>
      <c r="JE55">
        <f>SUMPRODUCT(--('Данные 1st'!$S$2:$S$317=$A55),--ISNUMBER('Данные 1st'!$SY$2:$SY$317))</f>
        <v>0</v>
      </c>
      <c r="JF55">
        <f>SUMPRODUCT(--('Данные 1st'!$S$2:$S$317=$A55),--ISNUMBER('Данные 1st'!$SZ$2:$SZ$317))</f>
        <v>0</v>
      </c>
      <c r="JG55">
        <f>SUMPRODUCT(--('Данные 1st'!$S$2:$S$317=$A55),--ISNUMBER('Данные 1st'!$TA$2:$TA$317))</f>
        <v>0</v>
      </c>
      <c r="JH55">
        <f>SUMPRODUCT(--('Данные 1st'!$S$2:$S$317=$A55),--ISNUMBER('Данные 1st'!$TB$2:$TB$317))</f>
        <v>2</v>
      </c>
      <c r="JI55">
        <f>SUMPRODUCT(--('Данные 1st'!$S$2:$S$317=$A55),--ISNUMBER('Данные 1st'!$TC$2:$TC$317))</f>
        <v>2</v>
      </c>
      <c r="JJ55">
        <f>SUMPRODUCT(--('Данные 1st'!$S$2:$S$317=$A55),--ISNUMBER('Данные 1st'!$TD$2:$TD$317))</f>
        <v>2</v>
      </c>
      <c r="JK55">
        <f>SUMPRODUCT(--('Данные 1st'!$S$2:$S$317=$A55),--ISNUMBER('Данные 1st'!$TN$2:$TN$317))</f>
        <v>2</v>
      </c>
      <c r="JQ55">
        <f>SUMPRODUCT(--('Данные 2st'!$Q$2:$Q$317=$A55),--ISNUMBER('Данные 2st'!$AC$2:$AC$317))</f>
        <v>2</v>
      </c>
      <c r="JR55">
        <f>SUMPRODUCT(--('Данные 2st'!$Q$2:$Q$317=$A55),--ISNUMBER('Данные 2st'!$AF$2:$AF$317))</f>
        <v>2</v>
      </c>
      <c r="JS55">
        <f>SUMPRODUCT(--('Данные 2st'!$Q$2:$Q$317=$A55),--ISNUMBER('Данные 2st'!$AW$2:$AW$317))</f>
        <v>2</v>
      </c>
      <c r="JT55">
        <f>SUMPRODUCT(--('Данные 2st'!$Q$2:$Q$317=$A55),--ISNUMBER('Данные 2st'!$AX$2:$AX$317))</f>
        <v>2</v>
      </c>
      <c r="JU55">
        <f>SUMPRODUCT(--('Данные 2st'!$Q$2:$Q$317=$A55),--ISNUMBER('Данные 2st'!$AY$2:$AY$317))</f>
        <v>2</v>
      </c>
      <c r="JV55">
        <f>SUMPRODUCT(--('Данные 2st'!$Q$2:$Q$317=$A55),--ISNUMBER('Данные 2st'!$AZ$2:$AZ$317))</f>
        <v>2</v>
      </c>
      <c r="JW55">
        <f>SUMPRODUCT(--('Данные 2st'!$Q$2:$Q$317=$A55),--ISNUMBER('Данные 2st'!$BA$2:$BA$317))</f>
        <v>1</v>
      </c>
      <c r="JX55">
        <f>SUMPRODUCT(--('Данные 2st'!$Q$2:$Q$317=$A55),--ISNUMBER('Данные 2st'!$BB$2:$BB$317))</f>
        <v>1</v>
      </c>
      <c r="JY55">
        <f>SUMPRODUCT(--('Данные 2st'!$Q$2:$Q$317=$A55),--ISNUMBER('Данные 2st'!$BC$2:$BC$317))</f>
        <v>1</v>
      </c>
      <c r="JZ55">
        <f>SUMPRODUCT(--('Данные 2st'!$Q$2:$Q$317=$A55),--ISNUMBER('Данные 2st'!$BH$2:$BH$317))</f>
        <v>2</v>
      </c>
      <c r="KA55">
        <f>SUMPRODUCT(--('Данные 2st'!$Q$2:$Q$317=$A55),--ISNUMBER('Данные 2st'!$BI$2:$BI$317))</f>
        <v>2</v>
      </c>
      <c r="KB55">
        <f>SUMPRODUCT(--('Данные 2st'!$Q$2:$Q$317=$A55),--ISNUMBER('Данные 2st'!$BJ$2:$BJ$317))</f>
        <v>2</v>
      </c>
      <c r="KC55">
        <f>SUMPRODUCT(--('Данные 2st'!$Q$2:$Q$317=$A55),--ISNUMBER('Данные 2st'!$BK$2:$BK$317))</f>
        <v>2</v>
      </c>
      <c r="KD55">
        <f>SUMPRODUCT(--('Данные 2st'!$Q$2:$Q$317=$A55),--ISNUMBER('Данные 2st'!$BL$2:$BL$317))</f>
        <v>2</v>
      </c>
      <c r="KE55">
        <f>SUMPRODUCT(--('Данные 2st'!$Q$2:$Q$317=$A55),--ISNUMBER('Данные 2st'!$BM$2:$BM$317))</f>
        <v>2</v>
      </c>
      <c r="KF55">
        <f>SUMPRODUCT(--('Данные 2st'!$Q$2:$Q$317=$A55),--ISNUMBER('Данные 2st'!$BN$2:$BN$317))</f>
        <v>2</v>
      </c>
      <c r="KG55">
        <f>SUMPRODUCT(--('Данные 2st'!$Q$2:$Q$317=$A55),--ISNUMBER('Данные 2st'!$BO$2:$BO$317))</f>
        <v>1</v>
      </c>
      <c r="KH55">
        <f>SUMPRODUCT(--('Данные 2st'!$Q$2:$Q$317=$A55),--ISNUMBER('Данные 2st'!$BP$2:$BP$317))</f>
        <v>2</v>
      </c>
      <c r="KI55">
        <f>SUMPRODUCT(--('Данные 2st'!$Q$2:$Q$317=$A55),--ISNUMBER('Данные 2st'!$BR$2:$BR$317))</f>
        <v>2</v>
      </c>
      <c r="KJ55">
        <f>SUMPRODUCT(--('Данные 2st'!$Q$2:$Q$317=$A55),--ISNUMBER('Данные 2st'!$BS$2:$BS$317))</f>
        <v>2</v>
      </c>
      <c r="KK55">
        <f>SUMPRODUCT(--('Данные 2st'!$Q$2:$Q$317=$A55),--ISNUMBER('Данные 2st'!$BT$2:$BT$317))</f>
        <v>2</v>
      </c>
      <c r="KL55">
        <f>SUMPRODUCT(--('Данные 2st'!$Q$2:$Q$317=$A55),--ISNUMBER('Данные 2st'!$CV$2:$CV$317))</f>
        <v>2</v>
      </c>
      <c r="KM55">
        <f>SUMPRODUCT(--('Данные 2st'!$Q$2:$Q$317=$A55),--ISNUMBER('Данные 2st'!$CW$2:$CW$317))</f>
        <v>2</v>
      </c>
      <c r="KN55">
        <f>SUMPRODUCT(--('Данные 2st'!$Q$2:$Q$317=$A55),--ISNUMBER('Данные 2st'!$CX$2:$CX$317))</f>
        <v>2</v>
      </c>
      <c r="KO55">
        <f>SUMPRODUCT(--('Данные 2st'!$Q$2:$Q$317=$A55),--ISNUMBER('Данные 2st'!$CY$2:$CY$317))</f>
        <v>2</v>
      </c>
      <c r="KP55">
        <f>SUMPRODUCT(--('Данные 2st'!$Q$2:$Q$317=$A55),--ISNUMBER('Данные 2st'!$CZ$2:$CZ$317))</f>
        <v>2</v>
      </c>
      <c r="KQ55">
        <f>SUMPRODUCT(--('Данные 2st'!$Q$2:$Q$317=$A55),--ISNUMBER('Данные 2st'!$DA$2:$DA$317))</f>
        <v>2</v>
      </c>
      <c r="KR55">
        <f>SUMPRODUCT(--('Данные 2st'!$Q$2:$Q$317=$A55),--ISNUMBER('Данные 2st'!$DB$2:$DB$317))</f>
        <v>2</v>
      </c>
      <c r="KS55">
        <f>SUMPRODUCT(--('Данные 2st'!$Q$2:$Q$317=$A55),--ISNUMBER('Данные 2st'!$DC$2:$DC$317))</f>
        <v>2</v>
      </c>
      <c r="KT55">
        <f>SUMPRODUCT(--('Данные 2st'!$Q$2:$Q$317=$A55),--ISNUMBER('Данные 2st'!$DD$2:$DD$317))</f>
        <v>2</v>
      </c>
      <c r="KU55">
        <f>SUMPRODUCT(--('Данные 2st'!$Q$2:$Q$317=$A55),--ISNUMBER('Данные 2st'!$DE$2:$DE$317))</f>
        <v>2</v>
      </c>
      <c r="KV55">
        <f>SUMPRODUCT(--('Данные 2st'!$Q$2:$Q$317=$A55),--ISNUMBER('Данные 2st'!$DF$2:$DF$317))</f>
        <v>2</v>
      </c>
      <c r="KW55">
        <f>SUMPRODUCT(--('Данные 2st'!$Q$2:$Q$317=$A55),--ISNUMBER('Данные 2st'!$DG$2:$DG$317))</f>
        <v>2</v>
      </c>
      <c r="KX55">
        <f>SUMPRODUCT(--('Данные 2st'!$Q$2:$Q$317=$A55),--ISNUMBER('Данные 2st'!$DH$2:$DH$317))</f>
        <v>0</v>
      </c>
      <c r="KY55">
        <f>SUMPRODUCT(--('Данные 2st'!$Q$2:$Q$317=$A55),--ISNUMBER('Данные 2st'!$DI$2:$DI$317))</f>
        <v>0</v>
      </c>
      <c r="KZ55">
        <f>SUMPRODUCT(--('Данные 2st'!$Q$2:$Q$317=$A55),--ISNUMBER('Данные 2st'!$DK$2:$DK$317))</f>
        <v>2</v>
      </c>
      <c r="LA55">
        <f>SUMPRODUCT(--('Данные 2st'!$Q$2:$Q$317=$A55),--ISNUMBER('Данные 2st'!$DM$2:$DM$317))</f>
        <v>2</v>
      </c>
      <c r="LB55">
        <f>SUMPRODUCT(--('Данные 2st'!$Q$2:$Q$317=$A55),--ISNUMBER('Данные 2st'!$DN$2:$DN$317))</f>
        <v>2</v>
      </c>
      <c r="LC55">
        <f>SUMPRODUCT(--('Данные 2st'!$Q$2:$Q$317=$A55),--ISNUMBER('Данные 2st'!$DO$2:$DO$317))</f>
        <v>2</v>
      </c>
      <c r="LD55">
        <f>SUMPRODUCT(--('Данные 2st'!$Q$2:$Q$317=$A55),--ISNUMBER('Данные 2st'!$DP$2:$DP$317))</f>
        <v>2</v>
      </c>
      <c r="LE55">
        <f>SUMPRODUCT(--('Данные 2st'!$Q$2:$Q$317=$A55),--ISNUMBER('Данные 2st'!$DQ$2:$DQ$317))</f>
        <v>2</v>
      </c>
      <c r="LF55">
        <f>SUMPRODUCT(--('Данные 2st'!$Q$2:$Q$317=$A55),--ISNUMBER('Данные 2st'!$DS$2:$DS$317))</f>
        <v>2</v>
      </c>
      <c r="LG55">
        <f>SUMPRODUCT(--('Данные 2st'!$Q$2:$Q$317=$A55),--ISNUMBER('Данные 2st'!$DU$2:$DU$317))</f>
        <v>2</v>
      </c>
      <c r="LH55">
        <f>SUMPRODUCT(--('Данные 2st'!$Q$2:$Q$317=$A55),--ISNUMBER('Данные 2st'!$DV$2:$DV$317))</f>
        <v>2</v>
      </c>
      <c r="LI55">
        <f>SUMPRODUCT(--('Данные 2st'!$Q$2:$Q$317=$A55),--ISNUMBER('Данные 2st'!$DW$2:$DW$317))</f>
        <v>2</v>
      </c>
      <c r="LJ55">
        <f>SUMPRODUCT(--('Данные 2st'!$Q$2:$Q$317=$A55),--ISNUMBER('Данные 2st'!$DX$2:$DX$317))</f>
        <v>2</v>
      </c>
      <c r="LK55">
        <f>SUMPRODUCT(--('Данные 2st'!$Q$2:$Q$317=$A55),--ISNUMBER('Данные 2st'!$DY$2:$DY$317))</f>
        <v>2</v>
      </c>
      <c r="LL55">
        <f>SUMPRODUCT(--('Данные 2st'!$Q$2:$Q$317=$A55),--ISNUMBER('Данные 2st'!$EA$2:$EA$317))</f>
        <v>2</v>
      </c>
      <c r="LM55">
        <f>SUMPRODUCT(--('Данные 2st'!$Q$2:$Q$317=$A55),--ISNUMBER('Данные 2st'!$EC$2:$EC$317))</f>
        <v>2</v>
      </c>
      <c r="LN55">
        <f>SUMPRODUCT(--('Данные 2st'!$Q$2:$Q$317=$A55),--ISNUMBER('Данные 2st'!$ED$2:$ED$317))</f>
        <v>2</v>
      </c>
      <c r="LO55">
        <f>SUMPRODUCT(--('Данные 2st'!$Q$2:$Q$317=$A55),--ISNUMBER('Данные 2st'!$EE$2:$EE$317))</f>
        <v>2</v>
      </c>
      <c r="LP55">
        <f>SUMPRODUCT(--('Данные 2st'!$Q$2:$Q$317=$A55),--ISNUMBER('Данные 2st'!$EG$2:$EG$317))</f>
        <v>2</v>
      </c>
      <c r="LQ55">
        <f>SUMPRODUCT(--('Данные 2st'!$Q$2:$Q$317=$A55),--ISNUMBER('Данные 2st'!$EI$2:$EI$317))</f>
        <v>2</v>
      </c>
      <c r="LR55">
        <f>SUMPRODUCT(--('Данные 2st'!$Q$2:$Q$317=$A55),--ISNUMBER('Данные 2st'!$EJ$2:$EJ$317))</f>
        <v>0</v>
      </c>
      <c r="LS55">
        <f>SUMPRODUCT(--('Данные 2st'!$Q$2:$Q$317=$A55),--ISNUMBER('Данные 2st'!$EK$2:$EK$317))</f>
        <v>0</v>
      </c>
      <c r="LT55">
        <f>SUMPRODUCT(--('Данные 2st'!$Q$2:$Q$317=$A55),--ISNUMBER('Данные 2st'!$EM$2:$EM$317))</f>
        <v>2</v>
      </c>
      <c r="LU55">
        <f>SUMPRODUCT(--('Данные 2st'!$Q$2:$Q$317=$A55),--ISNUMBER('Данные 2st'!$EN$2:$EN$317))</f>
        <v>2</v>
      </c>
      <c r="LV55">
        <f>SUMPRODUCT(--('Данные 2st'!$Q$2:$Q$317=$A55),--ISNUMBER('Данные 2st'!$EO$2:$EO$317))</f>
        <v>2</v>
      </c>
      <c r="LW55">
        <f>SUMPRODUCT(--('Данные 2st'!$Q$2:$Q$317=$A55),--ISNUMBER('Данные 2st'!$EP$2:$EP$317))</f>
        <v>2</v>
      </c>
      <c r="LX55">
        <f>SUMPRODUCT(--('Данные 2st'!$Q$2:$Q$317=$A55),--ISNUMBER('Данные 2st'!$EQ$2:$EQ$317))</f>
        <v>2</v>
      </c>
      <c r="LY55">
        <f>SUMPRODUCT(--('Данные 2st'!$Q$2:$Q$317=$A55),--ISNUMBER('Данные 2st'!$ER$2:$ER$317))</f>
        <v>2</v>
      </c>
      <c r="LZ55">
        <f>SUMPRODUCT(--('Данные 2st'!$Q$2:$Q$317=$A55),--ISNUMBER('Данные 2st'!$ES$2:$ES$317))</f>
        <v>2</v>
      </c>
      <c r="MA55">
        <f>SUMPRODUCT(--('Данные 2st'!$Q$2:$Q$317=$A55),--ISNUMBER('Данные 2st'!$ET$2:$ET$317))</f>
        <v>2</v>
      </c>
      <c r="MB55">
        <f>SUMPRODUCT(--('Данные 2st'!$Q$2:$Q$317=$A55),--ISNUMBER('Данные 2st'!$EU$2:$EU$317))</f>
        <v>2</v>
      </c>
      <c r="MC55">
        <f>SUMPRODUCT(--('Данные 2st'!$Q$2:$Q$317=$A55),--ISNUMBER('Данные 2st'!$EV$2:$EV$317))</f>
        <v>2</v>
      </c>
      <c r="MD55">
        <f>SUMPRODUCT(--('Данные 2st'!$Q$2:$Q$317=$A55),--ISNUMBER('Данные 2st'!$EW$2:$EW$317))</f>
        <v>2</v>
      </c>
      <c r="ME55">
        <f>SUMPRODUCT(--('Данные 2st'!$Q$2:$Q$317=$A55),--ISNUMBER('Данные 2st'!$EY$2:$EY$317))</f>
        <v>2</v>
      </c>
      <c r="MF55">
        <f>SUMPRODUCT(--('Данные 2st'!$Q$2:$Q$317=$A55),--ISNUMBER('Данные 2st'!$FA$2:$FA$317))</f>
        <v>2</v>
      </c>
      <c r="MG55">
        <f>SUMPRODUCT(--('Данные 2st'!$Q$2:$Q$317=$A55),--ISNUMBER('Данные 2st'!$FB$2:$FB$317))</f>
        <v>2</v>
      </c>
      <c r="MH55">
        <f>SUMPRODUCT(--('Данные 2st'!$Q$2:$Q$317=$A55),--ISNUMBER('Данные 2st'!$FC$2:$FC$317))</f>
        <v>2</v>
      </c>
      <c r="MI55">
        <f>SUMPRODUCT(--('Данные 2st'!$Q$2:$Q$317=$A55),--ISNUMBER('Данные 2st'!$FD$2:$FD$317))</f>
        <v>2</v>
      </c>
      <c r="MJ55">
        <f>SUMPRODUCT(--('Данные 2st'!$Q$2:$Q$317=$A55),--ISNUMBER('Данные 2st'!$FE$2:$FE$317))</f>
        <v>2</v>
      </c>
      <c r="MK55">
        <f>SUMPRODUCT(--('Данные 2st'!$Q$2:$Q$317=$A55),--ISNUMBER('Данные 2st'!$FG$2:$FG$317))</f>
        <v>2</v>
      </c>
      <c r="ML55">
        <f>SUMPRODUCT(--('Данные 2st'!$Q$2:$Q$317=$A55),--ISNUMBER('Данные 2st'!$FI$2:$FI$317))</f>
        <v>2</v>
      </c>
      <c r="MM55">
        <f>SUMPRODUCT(--('Данные 2st'!$Q$2:$Q$317=$A55),--ISNUMBER('Данные 2st'!$FJ$2:$FJ$317))</f>
        <v>2</v>
      </c>
      <c r="MN55">
        <f>SUMPRODUCT(--('Данные 2st'!$Q$2:$Q$317=$A55),--ISNUMBER('Данные 2st'!$FK$2:$FK$317))</f>
        <v>2</v>
      </c>
      <c r="MO55">
        <f>SUMPRODUCT(--('Данные 2st'!$Q$2:$Q$317=$A55),--ISNUMBER('Данные 2st'!$FP$2:$FP$317))</f>
        <v>2</v>
      </c>
      <c r="MP55">
        <f>SUMPRODUCT(--('Данные 2st'!$Q$2:$Q$317=$A55),--ISNUMBER('Данные 2st'!$FQ$2:$FQ$317))</f>
        <v>2</v>
      </c>
      <c r="MQ55">
        <f>SUMPRODUCT(--('Данные 2st'!$Q$2:$Q$317=$A55),--ISNUMBER('Данные 2st'!$FS$2:$FS$317))</f>
        <v>2</v>
      </c>
      <c r="MR55">
        <f>SUMPRODUCT(--('Данные 2st'!$Q$2:$Q$317=$A55),--ISNUMBER('Данные 2st'!$FU$2:$FU$317))</f>
        <v>2</v>
      </c>
      <c r="MS55">
        <f>SUMPRODUCT(--('Данные 2st'!$Q$2:$Q$317=$A55),--ISNUMBER('Данные 2st'!$FV$2:$FV$317))</f>
        <v>2</v>
      </c>
      <c r="MT55">
        <f>SUMPRODUCT(--('Данные 2st'!$Q$2:$Q$317=$A55),--ISNUMBER('Данные 2st'!$FW$2:$FW$317))</f>
        <v>2</v>
      </c>
      <c r="MU55">
        <f>SUMPRODUCT(--('Данные 2st'!$Q$2:$Q$317=$A55),--ISNUMBER('Данные 2st'!$FY$2:$FY$317))</f>
        <v>2</v>
      </c>
      <c r="MV55">
        <f>SUMPRODUCT(--('Данные 2st'!$Q$2:$Q$317=$A55),--ISNUMBER('Данные 2st'!$GB$2:$GB$317))</f>
        <v>2</v>
      </c>
      <c r="MW55">
        <f>SUMPRODUCT(--('Данные 2st'!$Q$2:$Q$317=$A55),--ISNUMBER('Данные 2st'!$GC$2:$GC$317))</f>
        <v>2</v>
      </c>
      <c r="MX55">
        <f>SUMPRODUCT(--('Данные 2st'!$Q$2:$Q$317=$A55),--ISNUMBER('Данные 2st'!$GD$2:$GD$317))</f>
        <v>2</v>
      </c>
      <c r="MY55">
        <f>SUMPRODUCT(--('Данные 2st'!$Q$2:$Q$317=$A55),--ISNUMBER('Данные 2st'!$GN$2:$GN$317))</f>
        <v>0</v>
      </c>
      <c r="MZ55">
        <f>SUMPRODUCT(--('Данные 2st'!$Q$2:$Q$317=$A55),--ISNUMBER('Данные 2st'!$GQ$2:$GQ$317))</f>
        <v>2</v>
      </c>
      <c r="NA55">
        <f>SUMPRODUCT(--('Данные 2st'!$Q$2:$Q$317=$A55),--ISNUMBER('Данные 2st'!$GV$2:$GV$317))</f>
        <v>2</v>
      </c>
      <c r="NB55">
        <f>SUMPRODUCT(--('Данные 2st'!$Q$2:$Q$317=$A55),--ISNUMBER('Данные 2st'!$GW$2:$GW$317))</f>
        <v>2</v>
      </c>
      <c r="NC55">
        <f>SUMPRODUCT(--('Данные 2st'!$Q$2:$Q$317=$A55),--ISNUMBER('Данные 2st'!$GX$2:$GX$317))</f>
        <v>2</v>
      </c>
      <c r="ND55">
        <f>SUMPRODUCT(--('Данные 2st'!$Q$2:$Q$317=$A55),--ISNUMBER('Данные 2st'!$GY$2:$GY$317))</f>
        <v>2</v>
      </c>
      <c r="NE55">
        <f>SUMPRODUCT(--('Данные 2st'!$Q$2:$Q$317=$A55),--ISNUMBER('Данные 2st'!$GZ$2:$GZ$317))</f>
        <v>2</v>
      </c>
      <c r="NF55">
        <f>SUMPRODUCT(--('Данные 2st'!$Q$2:$Q$317=$A55),--ISNUMBER('Данные 2st'!$HA$2:$HA$317))</f>
        <v>2</v>
      </c>
      <c r="NG55">
        <f>SUMPRODUCT(--('Данные 2st'!$Q$2:$Q$317=$A55),--ISNUMBER('Данные 2st'!$HB$2:$HB$317))</f>
        <v>2</v>
      </c>
      <c r="NH55">
        <f>SUMPRODUCT(--('Данные 2st'!$Q$2:$Q$317=$A55),--ISNUMBER('Данные 2st'!$HC$2:$HC$317))</f>
        <v>2</v>
      </c>
      <c r="NI55">
        <f>SUMPRODUCT(--('Данные 2st'!$Q$2:$Q$317=$A55),--ISNUMBER('Данные 2st'!$HD$2:$HD$317))</f>
        <v>2</v>
      </c>
      <c r="NJ55">
        <f>SUMPRODUCT(--('Данные 2st'!$Q$2:$Q$317=$A55),--ISNUMBER('Данные 2st'!$HM$2:$HM$317))</f>
        <v>2</v>
      </c>
      <c r="NK55">
        <f>SUMPRODUCT(--('Данные 2st'!$Q$2:$Q$317=$A55),--ISNUMBER('Данные 2st'!$HR$2:$HR$317))</f>
        <v>2</v>
      </c>
      <c r="NL55">
        <f>SUMPRODUCT(--('Данные 2st'!$Q$2:$Q$317=$A55),--ISNUMBER('Данные 2st'!$HS$2:$HS$317))</f>
        <v>2</v>
      </c>
      <c r="NM55">
        <f>SUMPRODUCT(--('Данные 2st'!$Q$2:$Q$317=$A55),--ISNUMBER('Данные 2st'!$HT$2:$HT$317))</f>
        <v>2</v>
      </c>
      <c r="NN55">
        <f>SUMPRODUCT(--('Данные 2st'!$Q$2:$Q$317=$A55),--ISNUMBER('Данные 2st'!$HY$2:$HY$317))</f>
        <v>2</v>
      </c>
      <c r="NO55">
        <f>SUMPRODUCT(--('Данные 2st'!$Q$2:$Q$317=$A55),--ISNUMBER('Данные 2st'!$HZ$2:$HZ$317))</f>
        <v>2</v>
      </c>
      <c r="NP55">
        <f>SUMPRODUCT(--('Данные 2st'!$Q$2:$Q$317=$A55),--ISNUMBER('Данные 2st'!$IA$2:$IA$317))</f>
        <v>2</v>
      </c>
      <c r="NQ55">
        <f>SUMPRODUCT(--('Данные 2st'!$Q$2:$Q$317=$A55),--ISNUMBER('Данные 2st'!$IB$2:$IB$317))</f>
        <v>2</v>
      </c>
      <c r="NR55">
        <f>SUMPRODUCT(--('Данные 2st'!$Q$2:$Q$317=$A55),--ISNUMBER('Данные 2st'!$IC$2:$IC$317))</f>
        <v>0</v>
      </c>
      <c r="NS55">
        <f>SUMPRODUCT(--('Данные 2st'!$Q$2:$Q$317=$A55),--ISNUMBER('Данные 2st'!$ID$2:$ID$317))</f>
        <v>2</v>
      </c>
      <c r="NT55">
        <f>SUMPRODUCT(--('Данные 2st'!$Q$2:$Q$317=$A55),--ISNUMBER('Данные 2st'!$IE$2:$IE$317))</f>
        <v>2</v>
      </c>
      <c r="NU55">
        <f>SUMPRODUCT(--('Данные 2st'!$Q$2:$Q$317=$A55),--ISNUMBER('Данные 2st'!$IF$2:$IF$317))</f>
        <v>2</v>
      </c>
      <c r="NV55">
        <f>SUMPRODUCT(--('Данные 2st'!$Q$2:$Q$317=$A55),--ISNUMBER('Данные 2st'!$IG$2:$IG$317))</f>
        <v>2</v>
      </c>
      <c r="NW55">
        <f>SUMPRODUCT(--('Данные 2st'!$Q$2:$Q$317=$A55),--ISNUMBER('Данные 2st'!$IH$2:$IH$317))</f>
        <v>2</v>
      </c>
      <c r="NX55">
        <f>SUMPRODUCT(--('Данные 2st'!$Q$2:$Q$317=$A55),--ISNUMBER('Данные 2st'!$IJ$2:$IJ$317))</f>
        <v>2</v>
      </c>
      <c r="NY55">
        <f>SUMPRODUCT(--('Данные 2st'!$Q$2:$Q$317=$A55),--ISNUMBER('Данные 2st'!$IM$2:$IM$317))</f>
        <v>2</v>
      </c>
      <c r="NZ55">
        <f>SUMPRODUCT(--('Данные 2st'!$Q$2:$Q$317=$A55),--ISNUMBER('Данные 2st'!$IN$2:$IN$317))</f>
        <v>2</v>
      </c>
      <c r="OA55">
        <f>SUMPRODUCT(--('Данные 2st'!$Q$2:$Q$317=$A55),--ISNUMBER('Данные 2st'!$IO$2:$IO$317))</f>
        <v>2</v>
      </c>
      <c r="OB55">
        <f>SUMPRODUCT(--('Данные 2st'!$Q$2:$Q$317=$A55),--ISNUMBER('Данные 2st'!$IP$2:$IP$317))</f>
        <v>2</v>
      </c>
      <c r="OC55">
        <f>SUMPRODUCT(--('Данные 2st'!$Q$2:$Q$317=$A55),--ISNUMBER('Данные 2st'!$IQ$2:$IQ$317))</f>
        <v>2</v>
      </c>
      <c r="OD55">
        <f>SUMPRODUCT(--('Данные 2st'!$Q$2:$Q$317=$A55),--ISNUMBER('Данные 2st'!$IR$2:$IR$317))</f>
        <v>2</v>
      </c>
      <c r="OE55">
        <f>SUMPRODUCT(--('Данные 2st'!$Q$2:$Q$317=$A55),--ISNUMBER('Данные 2st'!$IT$2:$IT$317))</f>
        <v>2</v>
      </c>
      <c r="OF55">
        <f>SUMPRODUCT(--('Данные 2st'!$Q$2:$Q$317=$A55),--ISNUMBER('Данные 2st'!$IU$2:$IU$317))</f>
        <v>2</v>
      </c>
      <c r="OG55">
        <f>SUMPRODUCT(--('Данные 2st'!$Q$2:$Q$317=$A55),--ISNUMBER('Данные 2st'!$IV$2:$IV$317))</f>
        <v>2</v>
      </c>
      <c r="OH55">
        <f>SUMPRODUCT(--('Данные 2st'!$Q$2:$Q$317=$A55),--ISNUMBER('Данные 2st'!$IW$2:$IW$317))</f>
        <v>2</v>
      </c>
      <c r="OI55">
        <f>SUMPRODUCT(--('Данные 2st'!$Q$2:$Q$317=$A55),--ISNUMBER('Данные 2st'!$IX$2:$IX$317))</f>
        <v>2</v>
      </c>
      <c r="OJ55">
        <f>SUMPRODUCT(--('Данные 2st'!$Q$2:$Q$317=$A55),--ISNUMBER('Данные 2st'!$IY$2:$IY$317))</f>
        <v>2</v>
      </c>
      <c r="OK55">
        <f>SUMPRODUCT(--('Данные 2st'!$Q$2:$Q$317=$A55),--ISNUMBER('Данные 2st'!$IZ$2:$IZ$317))</f>
        <v>2</v>
      </c>
      <c r="OL55">
        <f>SUMPRODUCT(--('Данные 2st'!$Q$2:$Q$317=$A55),--ISNUMBER('Данные 2st'!$JA$2:$JA$317))</f>
        <v>2</v>
      </c>
      <c r="OM55">
        <f>SUMPRODUCT(--('Данные 2st'!$Q$2:$Q$317=$A55),--ISNUMBER('Данные 2st'!$JB$2:$JB$317))</f>
        <v>2</v>
      </c>
      <c r="ON55">
        <f>SUMPRODUCT(--('Данные 2st'!$Q$2:$Q$317=$A55),--ISNUMBER('Данные 2st'!$JC$2:$JC$317))</f>
        <v>2</v>
      </c>
      <c r="OO55">
        <f>SUMPRODUCT(--('Данные 2st'!$Q$2:$Q$317=$A55),--ISNUMBER('Данные 2st'!$JD$2:$JD$317))</f>
        <v>2</v>
      </c>
      <c r="OP55">
        <f>SUMPRODUCT(--('Данные 2st'!$Q$2:$Q$317=$A55),--ISNUMBER('Данные 2st'!$JE$2:$JE$317))</f>
        <v>2</v>
      </c>
      <c r="OQ55">
        <f>SUMPRODUCT(--('Данные 2st'!$Q$2:$Q$317=$A55),--ISNUMBER('Данные 2st'!$JF$2:$JF$317))</f>
        <v>2</v>
      </c>
      <c r="OR55">
        <f>SUMPRODUCT(--('Данные 2st'!$Q$2:$Q$317=$A55),--ISNUMBER('Данные 2st'!$JG$2:$JG$317))</f>
        <v>2</v>
      </c>
      <c r="OS55">
        <f>SUMPRODUCT(--('Данные 2st'!$Q$2:$Q$317=$A55),--ISNUMBER('Данные 2st'!$JH$2:$JH$317))</f>
        <v>2</v>
      </c>
      <c r="OT55">
        <f>SUMPRODUCT(--('Данные 2st'!$Q$2:$Q$317=$A55),--ISNUMBER('Данные 2st'!$JI$2:$JI$317))</f>
        <v>2</v>
      </c>
      <c r="OU55">
        <f>SUMPRODUCT(--('Данные 2st'!$Q$2:$Q$317=$A55),--ISNUMBER('Данные 2st'!$JJ$2:$JJ$317))</f>
        <v>2</v>
      </c>
      <c r="OV55">
        <f>SUMPRODUCT(--('Данные 2st'!$Q$2:$Q$317=$A55),--ISNUMBER('Данные 2st'!$JK$2:$JK$317))</f>
        <v>2</v>
      </c>
      <c r="OW55">
        <f>SUMPRODUCT(--('Данные 2st'!$Q$2:$Q$317=$A55),--ISNUMBER('Данные 2st'!$JL$2:$JL$317))</f>
        <v>2</v>
      </c>
      <c r="OX55">
        <f>SUMPRODUCT(--('Данные 2st'!$Q$2:$Q$317=$A55),--ISNUMBER('Данные 2st'!$JM$2:$JM$317))</f>
        <v>2</v>
      </c>
      <c r="OY55">
        <f>SUMPRODUCT(--('Данные 2st'!$Q$2:$Q$317=$A55),--ISNUMBER('Данные 2st'!$JP$2:$JP$317))</f>
        <v>2</v>
      </c>
      <c r="OZ55">
        <f>SUMPRODUCT(--('Данные 2st'!$Q$2:$Q$317=$A55),--ISNUMBER('Данные 2st'!$JQ$2:$JQ$317))</f>
        <v>2</v>
      </c>
      <c r="PA55">
        <f>SUMPRODUCT(--('Данные 2st'!$Q$2:$Q$317=$A55),--ISNUMBER('Данные 2st'!$JR$2:$JR$317))</f>
        <v>2</v>
      </c>
      <c r="PB55">
        <f>SUMPRODUCT(--('Данные 2st'!$Q$2:$Q$317=$A55),--ISNUMBER('Данные 2st'!$JS$2:$JS$317))</f>
        <v>2</v>
      </c>
      <c r="PC55">
        <f>SUMPRODUCT(--('Данные 2st'!$Q$2:$Q$317=$A55),--ISNUMBER('Данные 2st'!$JT$2:$JT$317))</f>
        <v>2</v>
      </c>
      <c r="PD55">
        <f>SUMPRODUCT(--('Данные 2st'!$Q$2:$Q$317=$A55),--ISNUMBER('Данные 2st'!$JU$2:$JU$317))</f>
        <v>2</v>
      </c>
      <c r="PE55">
        <f>SUMPRODUCT(--('Данные 2st'!$Q$2:$Q$317=$A55),--ISNUMBER('Данные 2st'!$JV$2:$JV$317))</f>
        <v>2</v>
      </c>
      <c r="PF55">
        <f>SUMPRODUCT(--('Данные 2st'!$Q$2:$Q$317=$A55),--ISNUMBER('Данные 2st'!$JW$2:$JW$317))</f>
        <v>2</v>
      </c>
      <c r="PG55">
        <f>SUMPRODUCT(--('Данные 2st'!$Q$2:$Q$317=$A55),--ISNUMBER('Данные 2st'!$KF$2:$KF$317))</f>
        <v>2</v>
      </c>
      <c r="PH55">
        <f>SUMPRODUCT(--('Данные 2st'!$Q$2:$Q$317=$A55),--ISNUMBER('Данные 2st'!$KG$2:$KG$317))</f>
        <v>2</v>
      </c>
      <c r="PI55">
        <f>SUMPRODUCT(--('Данные 2st'!$Q$2:$Q$317=$A55),--ISNUMBER('Данные 2st'!$KM$2:$KM$317))</f>
        <v>2</v>
      </c>
      <c r="PJ55">
        <f>SUMPRODUCT(--('Данные 2st'!$Q$2:$Q$317=$A55),--ISNUMBER('Данные 2st'!$KN$2:$KN$317))</f>
        <v>2</v>
      </c>
      <c r="PK55">
        <f>SUMPRODUCT(--('Данные 2st'!$Q$2:$Q$317=$A55),--ISNUMBER('Данные 2st'!$KO$2:$KO$317))</f>
        <v>2</v>
      </c>
      <c r="PL55">
        <f>SUMPRODUCT(--('Данные 2st'!$Q$2:$Q$317=$A55),--ISNUMBER('Данные 2st'!$KP$2:$KP$317))</f>
        <v>2</v>
      </c>
      <c r="PM55">
        <f>SUMPRODUCT(--('Данные 2st'!$Q$2:$Q$317=$A55),--ISNUMBER('Данные 2st'!$KQ$2:$KQ$317))</f>
        <v>2</v>
      </c>
      <c r="PN55">
        <f>SUMPRODUCT(--('Данные 2st'!$Q$2:$Q$317=$A55),--ISNUMBER('Данные 2st'!$KR$2:$KR$317))</f>
        <v>2</v>
      </c>
      <c r="PO55">
        <f>SUMPRODUCT(--('Данные 2st'!$Q$2:$Q$317=$A55),--ISNUMBER('Данные 2st'!$KS$2:$KS$317))</f>
        <v>2</v>
      </c>
      <c r="PP55">
        <f>SUMPRODUCT(--('Данные 2st'!$Q$2:$Q$317=$A55),--ISNUMBER('Данные 2st'!$KT$2:$KT$317))</f>
        <v>2</v>
      </c>
      <c r="PQ55">
        <f>SUMPRODUCT(--('Данные 2st'!$Q$2:$Q$317=$A55),--ISNUMBER('Данные 2st'!$KU$2:$KU$317))</f>
        <v>2</v>
      </c>
      <c r="PR55">
        <f>SUMPRODUCT(--('Данные 2st'!$Q$2:$Q$317=$A55),--ISNUMBER('Данные 2st'!$KV$2:$KV$317))</f>
        <v>2</v>
      </c>
      <c r="PS55">
        <f>SUMPRODUCT(--('Данные 2st'!$Q$2:$Q$317=$A55),--ISNUMBER('Данные 2st'!$KW$2:$KW$317))</f>
        <v>2</v>
      </c>
      <c r="PT55">
        <f>SUMPRODUCT(--('Данные 2st'!$Q$2:$Q$317=$A55),--ISNUMBER('Данные 2st'!$KX$2:$KX$317))</f>
        <v>2</v>
      </c>
      <c r="PU55">
        <f>SUMPRODUCT(--('Данные 2st'!$Q$2:$Q$317=$A55),--ISNUMBER('Данные 2st'!$KY$2:$KY$317))</f>
        <v>2</v>
      </c>
      <c r="PV55">
        <f>SUMPRODUCT(--('Данные 2st'!$Q$2:$Q$317=$A55),--ISNUMBER('Данные 2st'!$KZ$2:$KZ$317))</f>
        <v>2</v>
      </c>
      <c r="PW55">
        <f>SUMPRODUCT(--('Данные 2st'!$Q$2:$Q$317=$A55),--ISNUMBER('Данные 2st'!$LA$2:$LA$317))</f>
        <v>2</v>
      </c>
      <c r="PX55">
        <f>SUMPRODUCT(--('Данные 2st'!$Q$2:$Q$317=$A55),--ISNUMBER('Данные 2st'!$LB$2:$LB$317))</f>
        <v>2</v>
      </c>
      <c r="PY55">
        <f>SUMPRODUCT(--('Данные 2st'!$Q$2:$Q$317=$A55),--ISNUMBER('Данные 2st'!$LC$2:$LC$317))</f>
        <v>2</v>
      </c>
      <c r="PZ55">
        <f>SUMPRODUCT(--('Данные 2st'!$Q$2:$Q$317=$A55),--ISNUMBER('Данные 2st'!$LD$2:$LD$317))</f>
        <v>2</v>
      </c>
      <c r="QA55">
        <f>SUMPRODUCT(--('Данные 2st'!$Q$2:$Q$317=$A55),--ISNUMBER('Данные 2st'!$LE$2:$LE$317))</f>
        <v>2</v>
      </c>
      <c r="QB55">
        <f>SUMPRODUCT(--('Данные 2st'!$Q$2:$Q$317=$A55),--ISNUMBER('Данные 2st'!$LF$2:$LF$317))</f>
        <v>2</v>
      </c>
      <c r="QC55">
        <f>SUMPRODUCT(--('Данные 2st'!$Q$2:$Q$317=$A55),--ISNUMBER('Данные 2st'!$LG$2:$LG$317))</f>
        <v>2</v>
      </c>
      <c r="QD55">
        <f>SUMPRODUCT(--('Данные 2st'!$Q$2:$Q$317=$A55),--ISNUMBER('Данные 2st'!$LH$2:$LH$317))</f>
        <v>2</v>
      </c>
      <c r="QE55">
        <f>SUMPRODUCT(--('Данные 2st'!$Q$2:$Q$317=$A55),--ISNUMBER('Данные 2st'!$LJ$2:$LJ$317))</f>
        <v>2</v>
      </c>
      <c r="QF55">
        <f>SUMPRODUCT(--('Данные 2st'!$Q$2:$Q$317=$A55),--ISNUMBER('Данные 2st'!$LK$2:$LK$317))</f>
        <v>2</v>
      </c>
      <c r="QG55">
        <f>SUMPRODUCT(--('Данные 2st'!$Q$2:$Q$317=$A55),--ISNUMBER('Данные 2st'!$LL$2:$LL$317))</f>
        <v>2</v>
      </c>
      <c r="QH55">
        <f>SUMPRODUCT(--('Данные 2st'!$Q$2:$Q$317=$A55),--ISNUMBER('Данные 2st'!$LM$2:$LM$317))</f>
        <v>2</v>
      </c>
      <c r="QI55">
        <f>SUMPRODUCT(--('Данные 2st'!$Q$2:$Q$317=$A55),--ISNUMBER('Данные 2st'!$LN$2:$LN$317))</f>
        <v>2</v>
      </c>
      <c r="QJ55">
        <f>SUMPRODUCT(--('Данные 2st'!$Q$2:$Q$317=$A55),--ISNUMBER('Данные 2st'!$LO$2:$LO$317))</f>
        <v>2</v>
      </c>
      <c r="QK55">
        <f>SUMPRODUCT(--('Данные 2st'!$Q$2:$Q$317=$A55),--ISNUMBER('Данные 2st'!$LP$2:$LP$317))</f>
        <v>2</v>
      </c>
      <c r="QL55">
        <f>SUMPRODUCT(--('Данные 2st'!$Q$2:$Q$317=$A55),--ISNUMBER('Данные 2st'!$LQ$2:$LQ$317))</f>
        <v>2</v>
      </c>
      <c r="QM55">
        <f>SUMPRODUCT(--('Данные 2st'!$Q$2:$Q$317=$A55),--ISNUMBER('Данные 2st'!$LW$2:$LW$317))</f>
        <v>2</v>
      </c>
      <c r="QN55">
        <f>SUMPRODUCT(--('Данные 2st'!$Q$2:$Q$317=$A55),--ISNUMBER('Данные 2st'!$LX$2:$LX$317))</f>
        <v>2</v>
      </c>
      <c r="QO55">
        <f>SUMPRODUCT(--('Данные 2st'!$Q$2:$Q$317=$A55),--ISNUMBER('Данные 2st'!$LY$2:$LY$317))</f>
        <v>2</v>
      </c>
      <c r="QP55">
        <f>SUMPRODUCT(--('Данные 2st'!$Q$2:$Q$317=$A55),--ISNUMBER('Данные 2st'!$LZ$2:$LZ$317))</f>
        <v>2</v>
      </c>
      <c r="QQ55">
        <f>SUMPRODUCT(--('Данные 2st'!$Q$2:$Q$317=$A55),--ISNUMBER('Данные 2st'!$MB$2:$MB$317))</f>
        <v>2</v>
      </c>
      <c r="QR55">
        <f>SUMPRODUCT(--('Данные 2st'!$Q$2:$Q$317=$A55),--ISNUMBER('Данные 2st'!$MG$2:$MG$317))</f>
        <v>1</v>
      </c>
      <c r="QS55">
        <f>SUMPRODUCT(--('Данные 2st'!$Q$2:$Q$317=$A55),--ISNUMBER('Данные 2st'!$MH$2:$MH$317))</f>
        <v>1</v>
      </c>
      <c r="QT55">
        <f>SUMPRODUCT(--('Данные 2st'!$Q$2:$Q$317=$A55),--ISNUMBER('Данные 2st'!$MI$2:$MI$317))</f>
        <v>2</v>
      </c>
      <c r="QU55">
        <f>SUMPRODUCT(--('Данные 2st'!$Q$2:$Q$317=$A55),--ISNUMBER('Данные 2st'!$MJ$2:$MJ$317))</f>
        <v>2</v>
      </c>
      <c r="QV55">
        <f>SUMPRODUCT(--('Данные 2st'!$Q$2:$Q$317=$A55),--ISNUMBER('Данные 2st'!$MK$2:$MK$317))</f>
        <v>1</v>
      </c>
      <c r="QW55">
        <f>SUMPRODUCT(--('Данные 2st'!$Q$2:$Q$317=$A55),--ISNUMBER('Данные 2st'!$MM$2:$MM$317))</f>
        <v>2</v>
      </c>
      <c r="QX55">
        <f>SUMPRODUCT(--('Данные 2st'!$Q$2:$Q$317=$A55),--ISNUMBER('Данные 2st'!$MQ$2:$MQ$317))</f>
        <v>0</v>
      </c>
      <c r="QY55">
        <f>SUMPRODUCT(--('Данные 2st'!$Q$2:$Q$317=$A55),--ISNUMBER('Данные 2st'!$MR$2:$MR$317))</f>
        <v>0</v>
      </c>
      <c r="QZ55">
        <f>SUMPRODUCT(--('Данные 2st'!$Q$2:$Q$317=$A55),--ISNUMBER('Данные 2st'!$MS$2:$MS$317))</f>
        <v>0</v>
      </c>
      <c r="RA55">
        <f>SUMPRODUCT(--('Данные 2st'!$Q$2:$Q$317=$A55),--ISNUMBER('Данные 2st'!$MT$2:$MT$317))</f>
        <v>0</v>
      </c>
      <c r="RB55">
        <f>SUMPRODUCT(--('Данные 2st'!$Q$2:$Q$317=$A55),--ISNUMBER('Данные 2st'!$MU$2:$MU$317))</f>
        <v>0</v>
      </c>
      <c r="RC55">
        <f>SUMPRODUCT(--('Данные 2st'!$Q$2:$Q$317=$A55),--ISNUMBER('Данные 2st'!$MV$2:$MV$317))</f>
        <v>0</v>
      </c>
      <c r="RD55">
        <f>SUMPRODUCT(--('Данные 2st'!$Q$2:$Q$317=$A55),--ISNUMBER('Данные 2st'!$MW$2:$MW$317))</f>
        <v>0</v>
      </c>
      <c r="RE55">
        <f>SUMPRODUCT(--('Данные 2st'!$Q$2:$Q$317=$A55),--ISNUMBER('Данные 2st'!$MX$2:$MX$317))</f>
        <v>0</v>
      </c>
      <c r="RF55">
        <f>SUMPRODUCT(--('Данные 2st'!$Q$2:$Q$317=$A55),--ISNUMBER('Данные 2st'!$MY$2:$MY$317))</f>
        <v>0</v>
      </c>
      <c r="RG55">
        <f>SUMPRODUCT(--('Данные 2st'!$Q$2:$Q$317=$A55),--ISNUMBER('Данные 2st'!$MZ$2:$MZ$317))</f>
        <v>0</v>
      </c>
      <c r="RH55">
        <f>SUMPRODUCT(--('Данные 2st'!$Q$2:$Q$317=$A55),--ISNUMBER('Данные 2st'!$NA$2:$NA$317))</f>
        <v>0</v>
      </c>
      <c r="RI55">
        <f>SUMPRODUCT(--('Данные 2st'!$Q$2:$Q$317=$A55),--ISNUMBER('Данные 2st'!$NB$2:$NB$317))</f>
        <v>0</v>
      </c>
      <c r="RJ55">
        <f>SUMPRODUCT(--('Данные 2st'!$Q$2:$Q$317=$A55),--ISNUMBER('Данные 2st'!$NC$2:$NC$317))</f>
        <v>0</v>
      </c>
      <c r="RK55">
        <f>SUMPRODUCT(--('Данные 2st'!$Q$2:$Q$317=$A55),--ISNUMBER('Данные 2st'!$ND$2:$ND$317))</f>
        <v>0</v>
      </c>
      <c r="RL55">
        <f>SUMPRODUCT(--('Данные 2st'!$Q$2:$Q$317=$A55),--ISNUMBER('Данные 2st'!$NE$2:$NE$317))</f>
        <v>0</v>
      </c>
      <c r="RM55">
        <f>SUMPRODUCT(--('Данные 2st'!$Q$2:$Q$317=$A55),--ISNUMBER('Данные 2st'!$NF$2:$NF$317))</f>
        <v>0</v>
      </c>
      <c r="RN55">
        <f>SUMPRODUCT(--('Данные 2st'!$Q$2:$Q$317=$A55),--ISNUMBER('Данные 2st'!$NG$2:$NG$317))</f>
        <v>0</v>
      </c>
      <c r="RO55">
        <f>SUMPRODUCT(--('Данные 2st'!$Q$2:$Q$317=$A55),--ISNUMBER('Данные 2st'!$NH$2:$NH$317))</f>
        <v>0</v>
      </c>
      <c r="RP55">
        <f>SUMPRODUCT(--('Данные 2st'!$Q$2:$Q$317=$A55),--ISNUMBER('Данные 2st'!$NJ$2:$NJ$317))</f>
        <v>0</v>
      </c>
      <c r="RQ55">
        <f>SUMPRODUCT(--('Данные 2st'!$Q$2:$Q$317=$A55),--ISNUMBER('Данные 2st'!$NK$2:$NK$317))</f>
        <v>0</v>
      </c>
      <c r="RR55">
        <f>SUMPRODUCT(--('Данные 2st'!$Q$2:$Q$317=$A55),--ISNUMBER('Данные 2st'!$NM$2:$NM$317))</f>
        <v>0</v>
      </c>
      <c r="RS55">
        <f>SUMPRODUCT(--('Данные 2st'!$Q$2:$Q$317=$A55),--ISNUMBER('Данные 2st'!$NN$2:$NN$317))</f>
        <v>0</v>
      </c>
      <c r="RT55">
        <f>SUMPRODUCT(--('Данные 2st'!$Q$2:$Q$317=$A55),--ISNUMBER('Данные 2st'!$NO$2:$NO$317))</f>
        <v>0</v>
      </c>
      <c r="RU55">
        <f>SUMPRODUCT(--('Данные 2st'!$Q$2:$Q$317=$A55),--ISNUMBER('Данные 2st'!$NP$2:$NP$317))</f>
        <v>0</v>
      </c>
      <c r="RV55">
        <f>SUMPRODUCT(--('Данные 2st'!$Q$2:$Q$317=$A55),--ISNUMBER('Данные 2st'!$NQ$2:$NQ$317))</f>
        <v>0</v>
      </c>
      <c r="RW55">
        <f>SUMPRODUCT(--('Данные 2st'!$Q$2:$Q$317=$A55),--ISNUMBER('Данные 2st'!$NR$2:$NR$317))</f>
        <v>0</v>
      </c>
      <c r="RX55">
        <f>SUMPRODUCT(--('Данные 2st'!$Q$2:$Q$317=$A55),--ISNUMBER('Данные 2st'!$NS$2:$NS$317))</f>
        <v>0</v>
      </c>
      <c r="RY55">
        <f>SUMPRODUCT(--('Данные 2st'!$Q$2:$Q$317=$A55),--ISNUMBER('Данные 2st'!$NT$2:$NT$317))</f>
        <v>0</v>
      </c>
      <c r="RZ55">
        <f>SUMPRODUCT(--('Данные 2st'!$Q$2:$Q$317=$A55),--ISNUMBER('Данные 2st'!$OK$2:$OK$317))</f>
        <v>2</v>
      </c>
      <c r="SA55">
        <f>SUMPRODUCT(--('Данные 2st'!$Q$2:$Q$317=$A55),--ISNUMBER('Данные 2st'!$OL$2:$OL$317))</f>
        <v>2</v>
      </c>
      <c r="SB55">
        <f>SUMPRODUCT(--('Данные 2st'!$Q$2:$Q$317=$A55),--ISNUMBER('Данные 2st'!$ON$2:$ON$317))</f>
        <v>2</v>
      </c>
      <c r="SC55">
        <f>SUMPRODUCT(--('Данные 2st'!$Q$2:$Q$317=$A55),--ISNUMBER('Данные 2st'!$OO$2:$OO$317))</f>
        <v>2</v>
      </c>
      <c r="SD55">
        <f>SUMPRODUCT(--('Данные 2st'!$Q$2:$Q$317=$A55),--ISNUMBER('Данные 2st'!$OP$2:$OP$317))</f>
        <v>2</v>
      </c>
      <c r="SE55">
        <f>SUMPRODUCT(--('Данные 2st'!$Q$2:$Q$317=$A55),--ISNUMBER('Данные 2st'!$OQ$2:$OQ$317))</f>
        <v>2</v>
      </c>
      <c r="SF55">
        <f>SUMPRODUCT(--('Данные 2st'!$Q$2:$Q$317=$A55),--ISNUMBER('Данные 2st'!$OS$2:$OS$317))</f>
        <v>2</v>
      </c>
      <c r="SG55">
        <f>SUMPRODUCT(--('Данные 2st'!$Q$2:$Q$317=$A55),--ISNUMBER('Данные 2st'!$OT$2:$OT$317))</f>
        <v>2</v>
      </c>
      <c r="SH55">
        <f>SUMPRODUCT(--('Данные 2st'!$Q$2:$Q$317=$A55),--ISNUMBER('Данные 2st'!$OU$2:$OU$317))</f>
        <v>2</v>
      </c>
      <c r="SI55">
        <f>SUMPRODUCT(--('Данные 2st'!$Q$2:$Q$317=$A55),--ISNUMBER('Данные 2st'!$OV$2:$OV$317))</f>
        <v>2</v>
      </c>
      <c r="SJ55">
        <f>SUMPRODUCT(--('Данные 2st'!$Q$2:$Q$317=$A55),--ISNUMBER('Данные 2st'!$OX$2:$OX$317))</f>
        <v>2</v>
      </c>
      <c r="SK55">
        <f>SUMPRODUCT(--('Данные 2st'!$Q$2:$Q$317=$A55),--ISNUMBER('Данные 2st'!$OY$2:$OY$317))</f>
        <v>2</v>
      </c>
      <c r="SL55">
        <f>SUMPRODUCT(--('Данные 2st'!$Q$2:$Q$317=$A55),--ISNUMBER('Данные 2st'!$OZ$2:$OZ$317))</f>
        <v>2</v>
      </c>
      <c r="SM55">
        <f>SUMPRODUCT(--('Данные 2st'!$Q$2:$Q$317=$A55),--ISNUMBER('Данные 2st'!$PA$2:$PA$317))</f>
        <v>2</v>
      </c>
      <c r="SN55">
        <f>SUMPRODUCT(--('Данные 2st'!$Q$2:$Q$317=$A55),--ISNUMBER('Данные 2st'!$PC$2:$PC$317))</f>
        <v>2</v>
      </c>
      <c r="SO55">
        <f>SUMPRODUCT(--('Данные 2st'!$Q$2:$Q$317=$A55),--ISNUMBER('Данные 2st'!$PD$2:$PD$317))</f>
        <v>2</v>
      </c>
      <c r="SP55">
        <f>SUMPRODUCT(--('Данные 2st'!$Q$2:$Q$317=$A55),--ISNUMBER('Данные 2st'!$PF$2:$PF$317))</f>
        <v>2</v>
      </c>
      <c r="SQ55">
        <f>SUMPRODUCT(--('Данные 2st'!$Q$2:$Q$317=$A55),--ISNUMBER('Данные 2st'!$PG$2:$PG$317))</f>
        <v>2</v>
      </c>
      <c r="SR55">
        <f>SUMPRODUCT(--('Данные 2st'!$Q$2:$Q$317=$A55),--ISNUMBER('Данные 2st'!$PH$2:$PH$317))</f>
        <v>2</v>
      </c>
      <c r="SS55">
        <f>SUMPRODUCT(--('Данные 2st'!$Q$2:$Q$317=$A55),--ISNUMBER('Данные 2st'!$PI$2:$PI$317))</f>
        <v>2</v>
      </c>
      <c r="ST55">
        <f>SUMPRODUCT(--('Данные 2st'!$Q$2:$Q$317=$A55),--ISNUMBER('Данные 2st'!$PJ$2:$PJ$317))</f>
        <v>2</v>
      </c>
      <c r="SU55">
        <f>SUMPRODUCT(--('Данные 2st'!$Q$2:$Q$317=$A55),--ISNUMBER('Данные 2st'!$PK$2:$PK$317))</f>
        <v>0</v>
      </c>
      <c r="SV55">
        <f>SUMPRODUCT(--('Данные 2st'!$Q$2:$Q$317=$A55),--ISNUMBER('Данные 2st'!$PL$2:$PL$317))</f>
        <v>2</v>
      </c>
      <c r="SW55">
        <f>SUMPRODUCT(--('Данные 2st'!$Q$2:$Q$317=$A55),--ISNUMBER('Данные 2st'!$PM$2:$PM$317))</f>
        <v>2</v>
      </c>
      <c r="SX55">
        <f>SUMPRODUCT(--('Данные 2st'!$Q$2:$Q$317=$A55),--ISNUMBER('Данные 2st'!$PN$2:$PN$317))</f>
        <v>2</v>
      </c>
      <c r="SY55">
        <f>SUMPRODUCT(--('Данные 2st'!$Q$2:$Q$317=$A55),--ISNUMBER('Данные 2st'!$PO$2:$PO$317))</f>
        <v>2</v>
      </c>
      <c r="SZ55">
        <f>SUMPRODUCT(--('Данные 2st'!$Q$2:$Q$317=$A55),--ISNUMBER('Данные 2st'!$PP$2:$PP$317))</f>
        <v>2</v>
      </c>
      <c r="TA55">
        <f>SUMPRODUCT(--('Данные 2st'!$Q$2:$Q$317=$A55),--ISNUMBER('Данные 2st'!$PQ$2:$PQ$317))</f>
        <v>2</v>
      </c>
      <c r="TB55">
        <f>SUMPRODUCT(--('Данные 2st'!$Q$2:$Q$317=$A55),--ISNUMBER('Данные 2st'!$PR$2:$PR$317))</f>
        <v>2</v>
      </c>
      <c r="TC55">
        <f>SUMPRODUCT(--('Данные 2st'!$Q$2:$Q$317=$A55),--ISNUMBER('Данные 2st'!$PS$2:$PS$317))</f>
        <v>2</v>
      </c>
      <c r="TD55">
        <f>SUMPRODUCT(--('Данные 2st'!$Q$2:$Q$317=$A55),--ISNUMBER('Данные 2st'!$PT$2:$PT$317))</f>
        <v>2</v>
      </c>
      <c r="TE55">
        <f>SUMPRODUCT(--('Данные 2st'!$Q$2:$Q$317=$A55),--ISNUMBER('Данные 2st'!$PU$2:$PU$317))</f>
        <v>2</v>
      </c>
      <c r="TF55">
        <f>SUMPRODUCT(--('Данные 2st'!$Q$2:$Q$317=$A55),--ISNUMBER('Данные 2st'!$PX$2:$PX$317))</f>
        <v>2</v>
      </c>
      <c r="TG55">
        <f>SUMPRODUCT(--('Данные 2st'!$Q$2:$Q$317=$A55),--ISNUMBER('Данные 2st'!$PY$2:$PY$317))</f>
        <v>2</v>
      </c>
      <c r="TH55">
        <f>SUMPRODUCT(--('Данные 2st'!$Q$2:$Q$317=$A55),--ISNUMBER('Данные 2st'!$PZ$2:$PZ$317))</f>
        <v>2</v>
      </c>
      <c r="TI55">
        <f>SUMPRODUCT(--('Данные 2st'!$Q$2:$Q$317=$A55),--ISNUMBER('Данные 2st'!$QA$2:$QA$317))</f>
        <v>2</v>
      </c>
      <c r="TJ55">
        <f>SUMPRODUCT(--('Данные 2st'!$Q$2:$Q$317=$A55),--ISNUMBER('Данные 2st'!$QB$2:$QB$317))</f>
        <v>2</v>
      </c>
      <c r="TK55">
        <f>SUMPRODUCT(--('Данные 2st'!$Q$2:$Q$317=$A55),--ISNUMBER('Данные 2st'!$QC$2:$QC$317))</f>
        <v>2</v>
      </c>
      <c r="TL55">
        <f>SUMPRODUCT(--('Данные 2st'!$Q$2:$Q$317=$A55),--ISNUMBER('Данные 2st'!$QD$2:$QD$317))</f>
        <v>2</v>
      </c>
      <c r="TM55">
        <f>SUMPRODUCT(--('Данные 2st'!$Q$2:$Q$317=$A55),--ISNUMBER('Данные 2st'!$QE$2:$QE$317))</f>
        <v>2</v>
      </c>
      <c r="TN55">
        <f>SUMPRODUCT(--('Данные 2st'!$Q$2:$Q$317=$A55),--ISNUMBER('Данные 2st'!$QF$2:$QF$317))</f>
        <v>2</v>
      </c>
      <c r="TO55">
        <f>SUMPRODUCT(--('Данные 2st'!$Q$2:$Q$317=$A55),--ISNUMBER('Данные 2st'!$QG$2:$QG$317))</f>
        <v>2</v>
      </c>
      <c r="TP55">
        <f>SUMPRODUCT(--('Данные 2st'!$Q$2:$Q$317=$A55),--ISNUMBER('Данные 2st'!$QH$2:$QH$317))</f>
        <v>2</v>
      </c>
      <c r="TQ55">
        <f>SUMPRODUCT(--('Данные 2st'!$Q$2:$Q$317=$A55),--ISNUMBER('Данные 2st'!$QI$2:$QI$317))</f>
        <v>2</v>
      </c>
      <c r="TR55">
        <f>SUMPRODUCT(--('Данные 2st'!$Q$2:$Q$317=$A55),--ISNUMBER('Данные 2st'!$QJ$2:$QJ$317))</f>
        <v>2</v>
      </c>
      <c r="TS55">
        <f>SUMPRODUCT(--('Данные 2st'!$Q$2:$Q$317=$A55),--ISNUMBER('Данные 2st'!$QK$2:$QK$317))</f>
        <v>2</v>
      </c>
      <c r="TT55">
        <f>SUMPRODUCT(--('Данные 2st'!$Q$2:$Q$317=$A55),--ISNUMBER('Данные 2st'!$QL$2:$QL$317))</f>
        <v>2</v>
      </c>
      <c r="TU55">
        <f>SUMPRODUCT(--('Данные 2st'!$Q$2:$Q$317=$A55),--ISNUMBER('Данные 2st'!$QM$2:$QM$317))</f>
        <v>2</v>
      </c>
      <c r="TV55">
        <f>SUMPRODUCT(--('Данные 2st'!$Q$2:$Q$317=$A55),--ISNUMBER('Данные 2st'!$QN$2:$QN$317))</f>
        <v>2</v>
      </c>
      <c r="TW55">
        <f>SUMPRODUCT(--('Данные 2st'!$Q$2:$Q$317=$A55),--ISNUMBER('Данные 2st'!$QQ$2:$QQ$317))</f>
        <v>2</v>
      </c>
      <c r="TX55">
        <f>SUMPRODUCT(--('Данные 2st'!$Q$2:$Q$317=$A55),--ISNUMBER('Данные 2st'!$QS$2:$QS$317))</f>
        <v>2</v>
      </c>
      <c r="TY55">
        <f>SUMPRODUCT(--('Данные 2st'!$Q$2:$Q$317=$A55),--ISNUMBER('Данные 2st'!$QT$2:$QT$317))</f>
        <v>2</v>
      </c>
    </row>
    <row r="56" spans="1:545" ht="32" customHeight="1">
      <c r="A56" s="11" t="str">
        <f>'По размерам'!A56</f>
        <v>245/40R19</v>
      </c>
      <c r="G56">
        <f>SUMPRODUCT(--('Данные 1st'!$S$2:$S$317=$A56),--ISNUMBER('Данные 1st'!$AE$2:$AE$317))</f>
        <v>1</v>
      </c>
      <c r="H56">
        <f>SUMPRODUCT(--('Данные 1st'!$S$2:$S$317=$A56),--ISNUMBER('Данные 1st'!$AF$2:$AF$317))</f>
        <v>1</v>
      </c>
      <c r="I56">
        <f>SUMPRODUCT(--('Данные 1st'!$S$2:$S$317=$A56),--ISNUMBER('Данные 1st'!$AJ$2:$AJ$317))</f>
        <v>1</v>
      </c>
      <c r="J56">
        <f>SUMPRODUCT(--('Данные 1st'!$S$2:$S$317=$A56),--ISNUMBER('Данные 1st'!$AL$2:$AL$317))</f>
        <v>1</v>
      </c>
      <c r="K56">
        <f>SUMPRODUCT(--('Данные 1st'!$S$2:$S$317=$A56),--ISNUMBER('Данные 1st'!$AR$2:$AR$317))</f>
        <v>1</v>
      </c>
      <c r="L56">
        <f>SUMPRODUCT(--('Данные 1st'!$S$2:$S$317=$A56),--ISNUMBER('Данные 1st'!$AS$2:$AS$317))</f>
        <v>1</v>
      </c>
      <c r="M56">
        <f>SUMPRODUCT(--('Данные 1st'!$S$2:$S$317=$A56),--ISNUMBER('Данные 1st'!$AY$2:$AY$317))</f>
        <v>1</v>
      </c>
      <c r="N56">
        <f>SUMPRODUCT(--('Данные 1st'!$S$2:$S$317=$A56),--ISNUMBER('Данные 1st'!$AZ$2:$AZ$317))</f>
        <v>1</v>
      </c>
      <c r="O56">
        <f>SUMPRODUCT(--('Данные 1st'!$S$2:$S$317=$A56),--ISNUMBER('Данные 1st'!$BF$2:$BF$317))</f>
        <v>0</v>
      </c>
      <c r="P56">
        <f>SUMPRODUCT(--('Данные 1st'!$S$2:$S$317=$A56),--ISNUMBER('Данные 1st'!$BG$2:$BG$317))</f>
        <v>1</v>
      </c>
      <c r="Q56">
        <f>SUMPRODUCT(--('Данные 1st'!$S$2:$S$317=$A56),--ISNUMBER('Данные 1st'!$BM$2:$BM$317))</f>
        <v>0</v>
      </c>
      <c r="R56">
        <f>SUMPRODUCT(--('Данные 1st'!$S$2:$S$317=$A56),--ISNUMBER('Данные 1st'!$BN$2:$BN$317))</f>
        <v>1</v>
      </c>
      <c r="S56">
        <f>SUMPRODUCT(--('Данные 1st'!$S$2:$S$317=$A56),--ISNUMBER('Данные 1st'!$BT$2:$BT$317))</f>
        <v>1</v>
      </c>
      <c r="T56">
        <f>SUMPRODUCT(--('Данные 1st'!$S$2:$S$317=$A56),--ISNUMBER('Данные 1st'!$BU$2:$BU$317))</f>
        <v>1</v>
      </c>
      <c r="U56">
        <f>SUMPRODUCT(--('Данные 1st'!$S$2:$S$317=$A56),--ISNUMBER('Данные 1st'!$BW$2:$BW$317))</f>
        <v>1</v>
      </c>
      <c r="V56">
        <f>SUMPRODUCT(--('Данные 1st'!$S$2:$S$317=$A56),--ISNUMBER('Данные 1st'!$BX$2:$BX$317))</f>
        <v>1</v>
      </c>
      <c r="W56">
        <f>SUMPRODUCT(--('Данные 1st'!$S$2:$S$317=$A56),--ISNUMBER('Данные 1st'!$BZ$2:$BZ$317))</f>
        <v>1</v>
      </c>
      <c r="X56">
        <f>SUMPRODUCT(--('Данные 1st'!$S$2:$S$317=$A56),--ISNUMBER('Данные 1st'!$CA$2:$CA$317))</f>
        <v>1</v>
      </c>
      <c r="Y56">
        <f>SUMPRODUCT(--('Данные 1st'!$S$2:$S$317=$A56),--ISNUMBER('Данные 1st'!$CD$2:$CD$317))</f>
        <v>1</v>
      </c>
      <c r="Z56">
        <f>SUMPRODUCT(--('Данные 1st'!$S$2:$S$317=$A56),--ISNUMBER('Данные 1st'!$CF$2:$CF$317))</f>
        <v>1</v>
      </c>
      <c r="AA56">
        <f>SUMPRODUCT(--('Данные 1st'!$S$2:$S$317=$A56),--ISNUMBER('Данные 1st'!$CI$2:$CI$317))</f>
        <v>1</v>
      </c>
      <c r="AB56">
        <f>SUMPRODUCT(--('Данные 1st'!$S$2:$S$317=$A56),--ISNUMBER('Данные 1st'!$CJ$2:$CJ$317))</f>
        <v>1</v>
      </c>
      <c r="AC56">
        <f>SUMPRODUCT(--('Данные 1st'!$S$2:$S$317=$A56),--ISNUMBER('Данные 1st'!$CK$2:$CK$317))</f>
        <v>1</v>
      </c>
      <c r="AD56">
        <f>SUMPRODUCT(--('Данные 1st'!$S$2:$S$317=$A56),--ISNUMBER('Данные 1st'!$CL$2:$CL$317))</f>
        <v>1</v>
      </c>
      <c r="AE56">
        <f>SUMPRODUCT(--('Данные 1st'!$S$2:$S$317=$A56),--ISNUMBER('Данные 1st'!$CM$2:$CM$317))</f>
        <v>1</v>
      </c>
      <c r="AF56">
        <f>SUMPRODUCT(--('Данные 1st'!$S$2:$S$317=$A56),--ISNUMBER('Данные 1st'!$CT$2:$CT$317))</f>
        <v>1</v>
      </c>
      <c r="AG56">
        <f>SUMPRODUCT(--('Данные 1st'!$S$2:$S$317=$A56),--ISNUMBER('Данные 1st'!$CU$2:$CU$317))</f>
        <v>1</v>
      </c>
      <c r="AH56">
        <f>SUMPRODUCT(--('Данные 1st'!$S$2:$S$317=$A56),--ISNUMBER('Данные 1st'!$CV$2:$CV$317))</f>
        <v>1</v>
      </c>
      <c r="AI56">
        <f>SUMPRODUCT(--('Данные 1st'!$S$2:$S$317=$A56),--ISNUMBER('Данные 1st'!$CW$2:$CW$317))</f>
        <v>1</v>
      </c>
      <c r="AJ56">
        <f>SUMPRODUCT(--('Данные 1st'!$S$2:$S$317=$A56),--ISNUMBER('Данные 1st'!$CX$2:$CX$317))</f>
        <v>1</v>
      </c>
      <c r="AK56">
        <f>SUMPRODUCT(--('Данные 1st'!$S$2:$S$317=$A56),--ISNUMBER('Данные 1st'!$CZ$2:$CZ$317))</f>
        <v>1</v>
      </c>
      <c r="AL56">
        <f>SUMPRODUCT(--('Данные 1st'!$S$2:$S$317=$A56),--ISNUMBER('Данные 1st'!$DA$2:$DA$317))</f>
        <v>1</v>
      </c>
      <c r="AM56">
        <f>SUMPRODUCT(--('Данные 1st'!$S$2:$S$317=$A56),--ISNUMBER('Данные 1st'!$DB$2:$DB$317))</f>
        <v>1</v>
      </c>
      <c r="AN56">
        <f>SUMPRODUCT(--('Данные 1st'!$S$2:$S$317=$A56),--ISNUMBER('Данные 1st'!$DC$2:$DC$317))</f>
        <v>1</v>
      </c>
      <c r="AO56">
        <f>SUMPRODUCT(--('Данные 1st'!$S$2:$S$317=$A56),--ISNUMBER('Данные 1st'!$DD$2:$DD$317))</f>
        <v>1</v>
      </c>
      <c r="AP56">
        <f>SUMPRODUCT(--('Данные 1st'!$S$2:$S$317=$A56),--ISNUMBER('Данные 1st'!$DF$2:$DF$317))</f>
        <v>1</v>
      </c>
      <c r="AQ56">
        <f>SUMPRODUCT(--('Данные 1st'!$S$2:$S$317=$A56),--ISNUMBER('Данные 1st'!$DG$2:$DG$317))</f>
        <v>1</v>
      </c>
      <c r="AR56">
        <f>SUMPRODUCT(--('Данные 1st'!$S$2:$S$317=$A56),--ISNUMBER('Данные 1st'!$DH$2:$DH$317))</f>
        <v>1</v>
      </c>
      <c r="AS56">
        <f>SUMPRODUCT(--('Данные 1st'!$S$2:$S$317=$A56),--ISNUMBER('Данные 1st'!$DI$2:$DI$317))</f>
        <v>1</v>
      </c>
      <c r="AT56">
        <f>SUMPRODUCT(--('Данные 1st'!$S$2:$S$317=$A56),--ISNUMBER('Данные 1st'!$DJ$2:$DJ$317))</f>
        <v>1</v>
      </c>
      <c r="AU56">
        <f>SUMPRODUCT(--('Данные 1st'!$S$2:$S$317=$A56),--ISNUMBER('Данные 1st'!$DL$2:$DL$317))</f>
        <v>0</v>
      </c>
      <c r="AV56">
        <f>SUMPRODUCT(--('Данные 1st'!$S$2:$S$317=$A56),--ISNUMBER('Данные 1st'!$DM$2:$DM$317))</f>
        <v>0</v>
      </c>
      <c r="AW56">
        <f>SUMPRODUCT(--('Данные 1st'!$S$2:$S$317=$A56),--ISNUMBER('Данные 1st'!$DN$2:$DN$317))</f>
        <v>0</v>
      </c>
      <c r="AX56">
        <f>SUMPRODUCT(--('Данные 1st'!$S$2:$S$317=$A56),--ISNUMBER('Данные 1st'!$DO$2:$DO$317))</f>
        <v>0</v>
      </c>
      <c r="AY56">
        <f>SUMPRODUCT(--('Данные 1st'!$S$2:$S$317=$A56),--ISNUMBER('Данные 1st'!$DP$2:$DP$317))</f>
        <v>0</v>
      </c>
      <c r="AZ56">
        <f>SUMPRODUCT(--('Данные 1st'!$S$2:$S$317=$A56),--ISNUMBER('Данные 1st'!$DR$2:$DR$317))</f>
        <v>0</v>
      </c>
      <c r="BA56">
        <f>SUMPRODUCT(--('Данные 1st'!$S$2:$S$317=$A56),--ISNUMBER('Данные 1st'!$DS$2:$DS$317))</f>
        <v>0</v>
      </c>
      <c r="BB56">
        <f>SUMPRODUCT(--('Данные 1st'!$S$2:$S$317=$A56),--ISNUMBER('Данные 1st'!$DT$2:$DT$317))</f>
        <v>0</v>
      </c>
      <c r="BC56">
        <f>SUMPRODUCT(--('Данные 1st'!$S$2:$S$317=$A56),--ISNUMBER('Данные 1st'!$DU$2:$DU$317))</f>
        <v>0</v>
      </c>
      <c r="BD56">
        <f>SUMPRODUCT(--('Данные 1st'!$S$2:$S$317=$A56),--ISNUMBER('Данные 1st'!$DV$2:$DV$317))</f>
        <v>0</v>
      </c>
      <c r="BE56">
        <f>SUMPRODUCT(--('Данные 1st'!$S$2:$S$317=$A56),--ISNUMBER('Данные 1st'!$DX$2:$DX$317))</f>
        <v>1</v>
      </c>
      <c r="BF56">
        <f>SUMPRODUCT(--('Данные 1st'!$S$2:$S$317=$A56),--ISNUMBER('Данные 1st'!$EA$2:$EA$317))</f>
        <v>1</v>
      </c>
      <c r="BG56">
        <f>SUMPRODUCT(--('Данные 1st'!$S$2:$S$317=$A56),--ISNUMBER('Данные 1st'!$EB$2:$EB$317))</f>
        <v>1</v>
      </c>
      <c r="BH56">
        <f>SUMPRODUCT(--('Данные 1st'!$S$2:$S$317=$A56),--ISNUMBER('Данные 1st'!$ED$2:$ED$317))</f>
        <v>1</v>
      </c>
      <c r="BI56">
        <f>SUMPRODUCT(--('Данные 1st'!$S$2:$S$317=$A56),--ISNUMBER('Данные 1st'!$EE$2:$EE$317))</f>
        <v>1</v>
      </c>
      <c r="BJ56">
        <f>SUMPRODUCT(--('Данные 1st'!$S$2:$S$317=$A56),--ISNUMBER('Данные 1st'!$EG$2:$EG$317))</f>
        <v>1</v>
      </c>
      <c r="BK56">
        <f>SUMPRODUCT(--('Данные 1st'!$S$2:$S$317=$A56),--ISNUMBER('Данные 1st'!$EH$2:$EH$317))</f>
        <v>1</v>
      </c>
      <c r="BL56">
        <f>SUMPRODUCT(--('Данные 1st'!$S$2:$S$317=$A56),--ISNUMBER('Данные 1st'!$EJ$2:$EJ$317))</f>
        <v>1</v>
      </c>
      <c r="BM56">
        <f>SUMPRODUCT(--('Данные 1st'!$S$2:$S$317=$A56),--ISNUMBER('Данные 1st'!$EK$2:$EK$317))</f>
        <v>1</v>
      </c>
      <c r="BN56">
        <f>SUMPRODUCT(--('Данные 1st'!$S$2:$S$317=$A56),--ISNUMBER('Данные 1st'!$EN$2:$EN$317))</f>
        <v>1</v>
      </c>
      <c r="BO56">
        <f>SUMPRODUCT(--('Данные 1st'!$S$2:$S$317=$A56),--ISNUMBER('Данные 1st'!$EQ$2:$EQ$317))</f>
        <v>1</v>
      </c>
      <c r="BP56">
        <f>SUMPRODUCT(--('Данные 1st'!$S$2:$S$317=$A56),--ISNUMBER('Данные 1st'!$ER$2:$ER$317))</f>
        <v>1</v>
      </c>
      <c r="BQ56">
        <f>SUMPRODUCT(--('Данные 1st'!$S$2:$S$317=$A56),--ISNUMBER('Данные 1st'!$ES$2:$ES$317))</f>
        <v>1</v>
      </c>
      <c r="BR56">
        <f>SUMPRODUCT(--('Данные 1st'!$S$2:$S$317=$A56),--ISNUMBER('Данные 1st'!$ET$2:$ET$317))</f>
        <v>1</v>
      </c>
      <c r="BS56">
        <f>SUMPRODUCT(--('Данные 1st'!$S$2:$S$317=$A56),--ISNUMBER('Данные 1st'!$EU$2:$EU$317))</f>
        <v>1</v>
      </c>
      <c r="BT56">
        <f>SUMPRODUCT(--('Данные 1st'!$S$2:$S$317=$A56),--ISNUMBER('Данные 1st'!$EV$2:$EV$317))</f>
        <v>1</v>
      </c>
      <c r="BU56">
        <f>SUMPRODUCT(--('Данные 1st'!$S$2:$S$317=$A56),--ISNUMBER('Данные 1st'!$EX$2:$EX$317))</f>
        <v>1</v>
      </c>
      <c r="BV56">
        <f>SUMPRODUCT(--('Данные 1st'!$S$2:$S$317=$A56),--ISNUMBER('Данные 1st'!$EY$2:$EY$317))</f>
        <v>1</v>
      </c>
      <c r="BW56">
        <f>SUMPRODUCT(--('Данные 1st'!$S$2:$S$317=$A56),--ISNUMBER('Данные 1st'!$EZ$2:$EZ$317))</f>
        <v>1</v>
      </c>
      <c r="BX56">
        <f>SUMPRODUCT(--('Данные 1st'!$S$2:$S$317=$A56),--ISNUMBER('Данные 1st'!$FA$2:$FA$317))</f>
        <v>1</v>
      </c>
      <c r="BY56">
        <f>SUMPRODUCT(--('Данные 1st'!$S$2:$S$317=$A56),--ISNUMBER('Данные 1st'!$FB$2:$FB$317))</f>
        <v>1</v>
      </c>
      <c r="BZ56">
        <f>SUMPRODUCT(--('Данные 1st'!$S$2:$S$317=$A56),--ISNUMBER('Данные 1st'!$FC$2:$FC$317))</f>
        <v>1</v>
      </c>
      <c r="CA56">
        <f>SUMPRODUCT(--('Данные 1st'!$S$2:$S$317=$A56),--ISNUMBER('Данные 1st'!$FE$2:$FE$317))</f>
        <v>1</v>
      </c>
      <c r="CB56">
        <f>SUMPRODUCT(--('Данные 1st'!$S$2:$S$317=$A56),--ISNUMBER('Данные 1st'!$FF$2:$FF$317))</f>
        <v>1</v>
      </c>
      <c r="CC56">
        <f>SUMPRODUCT(--('Данные 1st'!$S$2:$S$317=$A56),--ISNUMBER('Данные 1st'!$FI$2:$FI$317))</f>
        <v>1</v>
      </c>
      <c r="CD56">
        <f>SUMPRODUCT(--('Данные 1st'!$S$2:$S$317=$A56),--ISNUMBER('Данные 1st'!$FL$2:$FL$317))</f>
        <v>1</v>
      </c>
      <c r="CE56">
        <f>SUMPRODUCT(--('Данные 1st'!$S$2:$S$317=$A56),--ISNUMBER('Данные 1st'!$FM$2:$FM$317))</f>
        <v>1</v>
      </c>
      <c r="CF56">
        <f>SUMPRODUCT(--('Данные 1st'!$S$2:$S$317=$A56),--ISNUMBER('Данные 1st'!$FN$2:$FN$317))</f>
        <v>1</v>
      </c>
      <c r="CG56">
        <f>SUMPRODUCT(--('Данные 1st'!$S$2:$S$317=$A56),--ISNUMBER('Данные 1st'!$FO$2:$FO$317))</f>
        <v>1</v>
      </c>
      <c r="CH56">
        <f>SUMPRODUCT(--('Данные 1st'!$S$2:$S$317=$A56),--ISNUMBER('Данные 1st'!$FP$2:$FP$317))</f>
        <v>1</v>
      </c>
      <c r="CI56">
        <f>SUMPRODUCT(--('Данные 1st'!$S$2:$S$317=$A56),--ISNUMBER('Данные 1st'!$FS$2:$FS$317))</f>
        <v>1</v>
      </c>
      <c r="CJ56">
        <f>SUMPRODUCT(--('Данные 1st'!$S$2:$S$317=$A56),--ISNUMBER('Данные 1st'!$FT$2:$FT$317))</f>
        <v>1</v>
      </c>
      <c r="CK56">
        <f>SUMPRODUCT(--('Данные 1st'!$S$2:$S$317=$A56),--ISNUMBER('Данные 1st'!$FU$2:$FU$317))</f>
        <v>1</v>
      </c>
      <c r="CL56">
        <f>SUMPRODUCT(--('Данные 1st'!$S$2:$S$317=$A56),--ISNUMBER('Данные 1st'!$FV$2:$FV$317))</f>
        <v>0</v>
      </c>
      <c r="CM56">
        <f>SUMPRODUCT(--('Данные 1st'!$S$2:$S$317=$A56),--ISNUMBER('Данные 1st'!$FW$2:$FW$317))</f>
        <v>0</v>
      </c>
      <c r="CN56">
        <f>SUMPRODUCT(--('Данные 1st'!$S$2:$S$317=$A56),--ISNUMBER('Данные 1st'!$FZ$2:$FZ$317))</f>
        <v>1</v>
      </c>
      <c r="CO56">
        <f>SUMPRODUCT(--('Данные 1st'!$S$2:$S$317=$A56),--ISNUMBER('Данные 1st'!$GA$2:$GA$317))</f>
        <v>1</v>
      </c>
      <c r="CP56">
        <f>SUMPRODUCT(--('Данные 1st'!$S$2:$S$317=$A56),--ISNUMBER('Данные 1st'!$GB$2:$GB$317))</f>
        <v>1</v>
      </c>
      <c r="CQ56">
        <f>SUMPRODUCT(--('Данные 1st'!$S$2:$S$317=$A56),--ISNUMBER('Данные 1st'!$GH$2:$GH$317))</f>
        <v>1</v>
      </c>
      <c r="CR56">
        <f>SUMPRODUCT(--('Данные 1st'!$S$2:$S$317=$A56),--ISNUMBER('Данные 1st'!$GI$2:$GI$317))</f>
        <v>1</v>
      </c>
      <c r="CS56">
        <f>SUMPRODUCT(--('Данные 1st'!$S$2:$S$317=$A56),--ISNUMBER('Данные 1st'!$GJ$2:$GJ$317))</f>
        <v>1</v>
      </c>
      <c r="CT56">
        <f>SUMPRODUCT(--('Данные 1st'!$S$2:$S$317=$A56),--ISNUMBER('Данные 1st'!$GS$2:$GS$317))</f>
        <v>0</v>
      </c>
      <c r="CU56">
        <f>SUMPRODUCT(--('Данные 1st'!$S$2:$S$317=$A56),--ISNUMBER('Данные 1st'!$GT$2:$GT$317))</f>
        <v>0</v>
      </c>
      <c r="CV56">
        <f>SUMPRODUCT(--('Данные 1st'!$S$2:$S$317=$A56),--ISNUMBER('Данные 1st'!$GU$2:$GU$317))</f>
        <v>0</v>
      </c>
      <c r="CW56">
        <f>SUMPRODUCT(--('Данные 1st'!$S$2:$S$317=$A56),--ISNUMBER('Данные 1st'!$GV$2:$GV$317))</f>
        <v>0</v>
      </c>
      <c r="CX56">
        <f>SUMPRODUCT(--('Данные 1st'!$S$2:$S$317=$A56),--ISNUMBER('Данные 1st'!$GW$2:$GW$317))</f>
        <v>0</v>
      </c>
      <c r="CY56">
        <f>SUMPRODUCT(--('Данные 1st'!$S$2:$S$317=$A56),--ISNUMBER('Данные 1st'!$GZ$2:$GZ$317))</f>
        <v>0</v>
      </c>
      <c r="CZ56">
        <f>SUMPRODUCT(--('Данные 1st'!$S$2:$S$317=$A56),--ISNUMBER('Данные 1st'!$HA$2:$HA$317))</f>
        <v>0</v>
      </c>
      <c r="DA56">
        <f>SUMPRODUCT(--('Данные 1st'!$S$2:$S$317=$A56),--ISNUMBER('Данные 1st'!$HB$2:$HB$317))</f>
        <v>0</v>
      </c>
      <c r="DB56">
        <f>SUMPRODUCT(--('Данные 1st'!$S$2:$S$317=$A56),--ISNUMBER('Данные 1st'!$HC$2:$HC$317))</f>
        <v>1</v>
      </c>
      <c r="DC56">
        <f>SUMPRODUCT(--('Данные 1st'!$S$2:$S$317=$A56),--ISNUMBER('Данные 1st'!$HD$2:$HD$317))</f>
        <v>1</v>
      </c>
      <c r="DD56">
        <f>SUMPRODUCT(--('Данные 1st'!$S$2:$S$317=$A56),--ISNUMBER('Данные 1st'!$HE$2:$HE$317))</f>
        <v>1</v>
      </c>
      <c r="DE56">
        <f>SUMPRODUCT(--('Данные 1st'!$S$2:$S$317=$A56),--ISNUMBER('Данные 1st'!$HF$2:$HF$317))</f>
        <v>1</v>
      </c>
      <c r="DF56">
        <f>SUMPRODUCT(--('Данные 1st'!$S$2:$S$317=$A56),--ISNUMBER('Данные 1st'!$HG$2:$HG$317))</f>
        <v>1</v>
      </c>
      <c r="DG56">
        <f>SUMPRODUCT(--('Данные 1st'!$S$2:$S$317=$A56),--ISNUMBER('Данные 1st'!$HH$2:$HH$317))</f>
        <v>1</v>
      </c>
      <c r="DH56">
        <f>SUMPRODUCT(--('Данные 1st'!$S$2:$S$317=$A56),--ISNUMBER('Данные 1st'!$HI$2:$HI$317))</f>
        <v>1</v>
      </c>
      <c r="DI56">
        <f>SUMPRODUCT(--('Данные 1st'!$S$2:$S$317=$A56),--ISNUMBER('Данные 1st'!$HJ$2:$HJ$317))</f>
        <v>1</v>
      </c>
      <c r="DJ56">
        <f>SUMPRODUCT(--('Данные 1st'!$S$2:$S$317=$A56),--ISNUMBER('Данные 1st'!$HK$2:$HK$317))</f>
        <v>1</v>
      </c>
      <c r="DK56">
        <f>SUMPRODUCT(--('Данные 1st'!$S$2:$S$317=$A56),--ISNUMBER('Данные 1st'!$HL$2:$HL$317))</f>
        <v>1</v>
      </c>
      <c r="DL56">
        <f>SUMPRODUCT(--('Данные 1st'!$S$2:$S$317=$A56),--ISNUMBER('Данные 1st'!$HM$2:$HM$317))</f>
        <v>1</v>
      </c>
      <c r="DM56">
        <f>SUMPRODUCT(--('Данные 1st'!$S$2:$S$317=$A56),--ISNUMBER('Данные 1st'!$HN$2:$HN$317))</f>
        <v>1</v>
      </c>
      <c r="DN56">
        <f>SUMPRODUCT(--('Данные 1st'!$S$2:$S$317=$A56),--ISNUMBER('Данные 1st'!$HO$2:$HO$317))</f>
        <v>1</v>
      </c>
      <c r="DO56">
        <f>SUMPRODUCT(--('Данные 1st'!$S$2:$S$317=$A56),--ISNUMBER('Данные 1st'!$HP$2:$HP$317))</f>
        <v>1</v>
      </c>
      <c r="DP56">
        <f>SUMPRODUCT(--('Данные 1st'!$S$2:$S$317=$A56),--ISNUMBER('Данные 1st'!$HQ$2:$HQ$317))</f>
        <v>1</v>
      </c>
      <c r="DQ56">
        <f>SUMPRODUCT(--('Данные 1st'!$S$2:$S$317=$A56),--ISNUMBER('Данные 1st'!$HR$2:$HR$317))</f>
        <v>1</v>
      </c>
      <c r="DR56">
        <f>SUMPRODUCT(--('Данные 1st'!$S$2:$S$317=$A56),--ISNUMBER('Данные 1st'!$HS$2:$HS$317))</f>
        <v>1</v>
      </c>
      <c r="DS56">
        <f>SUMPRODUCT(--('Данные 1st'!$S$2:$S$317=$A56),--ISNUMBER('Данные 1st'!$HT$2:$HT$317))</f>
        <v>1</v>
      </c>
      <c r="DT56">
        <f>SUMPRODUCT(--('Данные 1st'!$S$2:$S$317=$A56),--ISNUMBER('Данные 1st'!$HU$2:$HU$317))</f>
        <v>1</v>
      </c>
      <c r="DU56">
        <f>SUMPRODUCT(--('Данные 1st'!$S$2:$S$317=$A56),--ISNUMBER('Данные 1st'!$HW$2:$HW$317))</f>
        <v>1</v>
      </c>
      <c r="DV56">
        <f>SUMPRODUCT(--('Данные 1st'!$S$2:$S$317=$A56),--ISNUMBER('Данные 1st'!$HX$2:$HX$317))</f>
        <v>1</v>
      </c>
      <c r="DW56">
        <f>SUMPRODUCT(--('Данные 1st'!$S$2:$S$317=$A56),--ISNUMBER('Данные 1st'!$HY$2:$HY$317))</f>
        <v>1</v>
      </c>
      <c r="DX56">
        <f>SUMPRODUCT(--('Данные 1st'!$S$2:$S$317=$A56),--ISNUMBER('Данные 1st'!$IA$2:$IA$317))</f>
        <v>1</v>
      </c>
      <c r="DY56">
        <f>SUMPRODUCT(--('Данные 1st'!$S$2:$S$317=$A56),--ISNUMBER('Данные 1st'!$IB$2:$IB$317))</f>
        <v>1</v>
      </c>
      <c r="DZ56">
        <f>SUMPRODUCT(--('Данные 1st'!$S$2:$S$317=$A56),--ISNUMBER('Данные 1st'!$IC$2:$IC$317))</f>
        <v>1</v>
      </c>
      <c r="EA56">
        <f>SUMPRODUCT(--('Данные 1st'!$S$2:$S$317=$A56),--ISNUMBER('Данные 1st'!$ID$2:$ID$317))</f>
        <v>1</v>
      </c>
      <c r="EB56">
        <f>SUMPRODUCT(--('Данные 1st'!$S$2:$S$317=$A56),--ISNUMBER('Данные 1st'!$IE$2:$IE$317))</f>
        <v>1</v>
      </c>
      <c r="EC56">
        <f>SUMPRODUCT(--('Данные 1st'!$S$2:$S$317=$A56),--ISNUMBER('Данные 1st'!$IF$2:$IF$317))</f>
        <v>1</v>
      </c>
      <c r="ED56">
        <f>SUMPRODUCT(--('Данные 1st'!$S$2:$S$317=$A56),--ISNUMBER('Данные 1st'!$IP$2:$IP$317))</f>
        <v>1</v>
      </c>
      <c r="EE56">
        <f>SUMPRODUCT(--('Данные 1st'!$S$2:$S$317=$A56),--ISNUMBER('Данные 1st'!$IV$2:$IV$317))</f>
        <v>1</v>
      </c>
      <c r="EF56">
        <f>SUMPRODUCT(--('Данные 1st'!$S$2:$S$317=$A56),--ISNUMBER('Данные 1st'!$IW$2:$IW$317))</f>
        <v>1</v>
      </c>
      <c r="EG56">
        <f>SUMPRODUCT(--('Данные 1st'!$S$2:$S$317=$A56),--ISNUMBER('Данные 1st'!$IX$2:$IX$317))</f>
        <v>0</v>
      </c>
      <c r="EH56">
        <f>SUMPRODUCT(--('Данные 1st'!$S$2:$S$317=$A56),--ISNUMBER('Данные 1st'!$IY$2:$IY$317))</f>
        <v>1</v>
      </c>
      <c r="EI56">
        <f>SUMPRODUCT(--('Данные 1st'!$S$2:$S$317=$A56),--ISNUMBER('Данные 1st'!$JD$2:$JD$317))</f>
        <v>1</v>
      </c>
      <c r="EJ56">
        <f>SUMPRODUCT(--('Данные 1st'!$S$2:$S$317=$A56),--ISNUMBER('Данные 1st'!$JE$2:$JE$317))</f>
        <v>1</v>
      </c>
      <c r="EK56">
        <f>SUMPRODUCT(--('Данные 1st'!$S$2:$S$317=$A56),--ISNUMBER('Данные 1st'!$JF$2:$JF$317))</f>
        <v>1</v>
      </c>
      <c r="EL56">
        <f>SUMPRODUCT(--('Данные 1st'!$S$2:$S$317=$A56),--ISNUMBER('Данные 1st'!$JG$2:$JG$317))</f>
        <v>1</v>
      </c>
      <c r="EM56">
        <f>SUMPRODUCT(--('Данные 1st'!$S$2:$S$317=$A56),--ISNUMBER('Данные 1st'!$JH$2:$JH$317))</f>
        <v>1</v>
      </c>
      <c r="EN56">
        <f>SUMPRODUCT(--('Данные 1st'!$S$2:$S$317=$A56),--ISNUMBER('Данные 1st'!$JJ$2:$JJ$317))</f>
        <v>1</v>
      </c>
      <c r="EO56">
        <f>SUMPRODUCT(--('Данные 1st'!$S$2:$S$317=$A56),--ISNUMBER('Данные 1st'!$JK$2:$JK$317))</f>
        <v>1</v>
      </c>
      <c r="EP56">
        <f>SUMPRODUCT(--('Данные 1st'!$S$2:$S$317=$A56),--ISNUMBER('Данные 1st'!$JL$2:$JL$317))</f>
        <v>0</v>
      </c>
      <c r="EQ56">
        <f>SUMPRODUCT(--('Данные 1st'!$S$2:$S$317=$A56),--ISNUMBER('Данные 1st'!$JM$2:$JM$317))</f>
        <v>0</v>
      </c>
      <c r="ER56">
        <f>SUMPRODUCT(--('Данные 1st'!$S$2:$S$317=$A56),--ISNUMBER('Данные 1st'!$JN$2:$JN$317))</f>
        <v>1</v>
      </c>
      <c r="ES56">
        <f>SUMPRODUCT(--('Данные 1st'!$S$2:$S$317=$A56),--ISNUMBER('Данные 1st'!$JO$2:$JO$317))</f>
        <v>1</v>
      </c>
      <c r="ET56">
        <f>SUMPRODUCT(--('Данные 1st'!$S$2:$S$317=$A56),--ISNUMBER('Данные 1st'!$JP$2:$JP$317))</f>
        <v>1</v>
      </c>
      <c r="EU56">
        <f>SUMPRODUCT(--('Данные 1st'!$S$2:$S$317=$A56),--ISNUMBER('Данные 1st'!$JQ$2:$JQ$317))</f>
        <v>1</v>
      </c>
      <c r="EV56">
        <f>SUMPRODUCT(--('Данные 1st'!$S$2:$S$317=$A56),--ISNUMBER('Данные 1st'!$JR$2:$JR$317))</f>
        <v>1</v>
      </c>
      <c r="EW56">
        <f>SUMPRODUCT(--('Данные 1st'!$S$2:$S$317=$A56),--ISNUMBER('Данные 1st'!$JS$2:$JS$317))</f>
        <v>1</v>
      </c>
      <c r="EX56">
        <f>SUMPRODUCT(--('Данные 1st'!$S$2:$S$317=$A56),--ISNUMBER('Данные 1st'!$JT$2:$JT$317))</f>
        <v>0</v>
      </c>
      <c r="EY56">
        <f>SUMPRODUCT(--('Данные 1st'!$S$2:$S$317=$A56),--ISNUMBER('Данные 1st'!$JU$2:$JU$317))</f>
        <v>0</v>
      </c>
      <c r="EZ56">
        <f>SUMPRODUCT(--('Данные 1st'!$S$2:$S$317=$A56),--ISNUMBER('Данные 1st'!$JV$2:$JV$317))</f>
        <v>1</v>
      </c>
      <c r="FA56">
        <f>SUMPRODUCT(--('Данные 1st'!$S$2:$S$317=$A56),--ISNUMBER('Данные 1st'!$JW$2:$JW$317))</f>
        <v>0</v>
      </c>
      <c r="FB56">
        <f>SUMPRODUCT(--('Данные 1st'!$S$2:$S$317=$A56),--ISNUMBER('Данные 1st'!$JX$2:$JX$317))</f>
        <v>1</v>
      </c>
      <c r="FC56">
        <f>SUMPRODUCT(--('Данные 1st'!$S$2:$S$317=$A56),--ISNUMBER('Данные 1st'!$JY$2:$JY$317))</f>
        <v>0</v>
      </c>
      <c r="FD56">
        <f>SUMPRODUCT(--('Данные 1st'!$S$2:$S$317=$A56),--ISNUMBER('Данные 1st'!$JZ$2:$JZ$317))</f>
        <v>0</v>
      </c>
      <c r="FE56">
        <f>SUMPRODUCT(--('Данные 1st'!$S$2:$S$317=$A56),--ISNUMBER('Данные 1st'!$KA$2:$KA$317))</f>
        <v>1</v>
      </c>
      <c r="FF56">
        <f>SUMPRODUCT(--('Данные 1st'!$S$2:$S$317=$A56),--ISNUMBER('Данные 1st'!$KB$2:$KB$317))</f>
        <v>1</v>
      </c>
      <c r="FG56">
        <f>SUMPRODUCT(--('Данные 1st'!$S$2:$S$317=$A56),--ISNUMBER('Данные 1st'!$KC$2:$KC$317))</f>
        <v>1</v>
      </c>
      <c r="FH56">
        <f>SUMPRODUCT(--('Данные 1st'!$S$2:$S$317=$A56),--ISNUMBER('Данные 1st'!$KD$2:$KD$317))</f>
        <v>1</v>
      </c>
      <c r="FI56">
        <f>SUMPRODUCT(--('Данные 1st'!$S$2:$S$317=$A56),--ISNUMBER('Данные 1st'!$KE$2:$KE$317))</f>
        <v>0</v>
      </c>
      <c r="FJ56">
        <f>SUMPRODUCT(--('Данные 1st'!$S$2:$S$317=$A56),--ISNUMBER('Данные 1st'!$KF$2:$KF$317))</f>
        <v>1</v>
      </c>
      <c r="FK56">
        <f>SUMPRODUCT(--('Данные 1st'!$S$2:$S$317=$A56),--ISNUMBER('Данные 1st'!$KG$2:$KG$317))</f>
        <v>1</v>
      </c>
      <c r="FL56">
        <f>SUMPRODUCT(--('Данные 1st'!$S$2:$S$317=$A56),--ISNUMBER('Данные 1st'!$KH$2:$KH$317))</f>
        <v>1</v>
      </c>
      <c r="FM56">
        <f>SUMPRODUCT(--('Данные 1st'!$S$2:$S$317=$A56),--ISNUMBER('Данные 1st'!$KI$2:$KI$317))</f>
        <v>1</v>
      </c>
      <c r="FN56">
        <f>SUMPRODUCT(--('Данные 1st'!$S$2:$S$317=$A56),--ISNUMBER('Данные 1st'!$KJ$2:$KJ$317))</f>
        <v>1</v>
      </c>
      <c r="FO56">
        <f>SUMPRODUCT(--('Данные 1st'!$S$2:$S$317=$A56),--ISNUMBER('Данные 1st'!$KK$2:$KK$317))</f>
        <v>1</v>
      </c>
      <c r="FP56">
        <f>SUMPRODUCT(--('Данные 1st'!$S$2:$S$317=$A56),--ISNUMBER('Данные 1st'!$KL$2:$KL$317))</f>
        <v>1</v>
      </c>
      <c r="FQ56">
        <f>SUMPRODUCT(--('Данные 1st'!$S$2:$S$317=$A56),--ISNUMBER('Данные 1st'!$KM$2:$KM$317))</f>
        <v>1</v>
      </c>
      <c r="FR56">
        <f>SUMPRODUCT(--('Данные 1st'!$S$2:$S$317=$A56),--ISNUMBER('Данные 1st'!$KN$2:$KN$317))</f>
        <v>1</v>
      </c>
      <c r="FS56">
        <f>SUMPRODUCT(--('Данные 1st'!$S$2:$S$317=$A56),--ISNUMBER('Данные 1st'!$KR$2:$KR$317))</f>
        <v>1</v>
      </c>
      <c r="FT56">
        <f>SUMPRODUCT(--('Данные 1st'!$S$2:$S$317=$A56),--ISNUMBER('Данные 1st'!$KS$2:$KS$317))</f>
        <v>1</v>
      </c>
      <c r="FU56">
        <f>SUMPRODUCT(--('Данные 1st'!$S$2:$S$317=$A56),--ISNUMBER('Данные 1st'!$KT$2:$KT$317))</f>
        <v>1</v>
      </c>
      <c r="FV56">
        <f>SUMPRODUCT(--('Данные 1st'!$S$2:$S$317=$A56),--ISNUMBER('Данные 1st'!$KV$2:$KV$317))</f>
        <v>0</v>
      </c>
      <c r="FW56">
        <f>SUMPRODUCT(--('Данные 1st'!$S$2:$S$317=$A56),--ISNUMBER('Данные 1st'!$KW$2:$KW$317))</f>
        <v>0</v>
      </c>
      <c r="FX56">
        <f>SUMPRODUCT(--('Данные 1st'!$S$2:$S$317=$A56),--ISNUMBER('Данные 1st'!$KX$2:$KX$317))</f>
        <v>0</v>
      </c>
      <c r="FY56">
        <f>SUMPRODUCT(--('Данные 1st'!$S$2:$S$317=$A56),--ISNUMBER('Данные 1st'!$KY$2:$KY$317))</f>
        <v>0</v>
      </c>
      <c r="FZ56">
        <f>SUMPRODUCT(--('Данные 1st'!$S$2:$S$317=$A56),--ISNUMBER('Данные 1st'!$KZ$2:$KZ$317))</f>
        <v>0</v>
      </c>
      <c r="GA56">
        <f>SUMPRODUCT(--('Данные 1st'!$S$2:$S$317=$A56),--ISNUMBER('Данные 1st'!$LA$2:$LA$317))</f>
        <v>0</v>
      </c>
      <c r="GB56">
        <f>SUMPRODUCT(--('Данные 1st'!$S$2:$S$317=$A56),--ISNUMBER('Данные 1st'!$LB$2:$LB$317))</f>
        <v>0</v>
      </c>
      <c r="GC56">
        <f>SUMPRODUCT(--('Данные 1st'!$S$2:$S$317=$A56),--ISNUMBER('Данные 1st'!$LC$2:$LC$317))</f>
        <v>0</v>
      </c>
      <c r="GD56">
        <f>SUMPRODUCT(--('Данные 1st'!$S$2:$S$317=$A56),--ISNUMBER('Данные 1st'!$LD$2:$LD$317))</f>
        <v>0</v>
      </c>
      <c r="GE56">
        <f>SUMPRODUCT(--('Данные 1st'!$S$2:$S$317=$A56),--ISNUMBER('Данные 1st'!$LE$2:$LE$317))</f>
        <v>0</v>
      </c>
      <c r="GF56">
        <f>SUMPRODUCT(--('Данные 1st'!$S$2:$S$317=$A56),--ISNUMBER('Данные 1st'!$LF$2:$LF$317))</f>
        <v>0</v>
      </c>
      <c r="GG56">
        <f>SUMPRODUCT(--('Данные 1st'!$S$2:$S$317=$A56),--ISNUMBER('Данные 1st'!$LG$2:$LG$317))</f>
        <v>0</v>
      </c>
      <c r="GH56">
        <f>SUMPRODUCT(--('Данные 1st'!$S$2:$S$317=$A56),--ISNUMBER('Данные 1st'!$LH$2:$LH$317))</f>
        <v>0</v>
      </c>
      <c r="GI56">
        <f>SUMPRODUCT(--('Данные 1st'!$S$2:$S$317=$A56),--ISNUMBER('Данные 1st'!$LI$2:$LI$317))</f>
        <v>0</v>
      </c>
      <c r="GJ56">
        <f>SUMPRODUCT(--('Данные 1st'!$S$2:$S$317=$A56),--ISNUMBER('Данные 1st'!$LJ$2:$LJ$317))</f>
        <v>0</v>
      </c>
      <c r="GK56">
        <f>SUMPRODUCT(--('Данные 1st'!$S$2:$S$317=$A56),--ISNUMBER('Данные 1st'!$LK$2:$LK$317))</f>
        <v>1</v>
      </c>
      <c r="GL56">
        <f>SUMPRODUCT(--('Данные 1st'!$S$2:$S$317=$A56),--ISNUMBER('Данные 1st'!$LV$2:$LV$317))</f>
        <v>0</v>
      </c>
      <c r="GM56">
        <f>SUMPRODUCT(--('Данные 1st'!$S$2:$S$317=$A56),--ISNUMBER('Данные 1st'!$LW$2:$LW$317))</f>
        <v>0</v>
      </c>
      <c r="GN56">
        <f>SUMPRODUCT(--('Данные 1st'!$S$2:$S$317=$A56),--ISNUMBER('Данные 1st'!$LX$2:$LX$317))</f>
        <v>0</v>
      </c>
      <c r="GO56">
        <f>SUMPRODUCT(--('Данные 1st'!$S$2:$S$317=$A56),--ISNUMBER('Данные 1st'!$LY$2:$LY$317))</f>
        <v>0</v>
      </c>
      <c r="GP56">
        <f>SUMPRODUCT(--('Данные 1st'!$S$2:$S$317=$A56),--ISNUMBER('Данные 1st'!$LZ$2:$LZ$317))</f>
        <v>0</v>
      </c>
      <c r="GQ56">
        <f>SUMPRODUCT(--('Данные 1st'!$S$2:$S$317=$A56),--ISNUMBER('Данные 1st'!$PG$2:$PG$317))</f>
        <v>1</v>
      </c>
      <c r="GR56">
        <f>SUMPRODUCT(--('Данные 1st'!$S$2:$S$317=$A56),--ISNUMBER('Данные 1st'!$PX$2:$PX$317))</f>
        <v>1</v>
      </c>
      <c r="GS56">
        <f>SUMPRODUCT(--('Данные 1st'!$S$2:$S$317=$A56),--ISNUMBER('Данные 1st'!$PY$2:$PY$317))</f>
        <v>1</v>
      </c>
      <c r="GT56">
        <f>SUMPRODUCT(--('Данные 1st'!$S$2:$S$317=$A56),--ISNUMBER('Данные 1st'!$QA$2:$QA$317))</f>
        <v>1</v>
      </c>
      <c r="GU56">
        <f>SUMPRODUCT(--('Данные 1st'!$S$2:$S$317=$A56),--ISNUMBER('Данные 1st'!$QB$2:$QB$317))</f>
        <v>1</v>
      </c>
      <c r="GV56">
        <f>SUMPRODUCT(--('Данные 1st'!$S$2:$S$317=$A56),--ISNUMBER('Данные 1st'!$QC$2:$QC$317))</f>
        <v>1</v>
      </c>
      <c r="GW56">
        <f>SUMPRODUCT(--('Данные 1st'!$S$2:$S$317=$A56),--ISNUMBER('Данные 1st'!$QD$2:$QD$317))</f>
        <v>1</v>
      </c>
      <c r="GX56">
        <f>SUMPRODUCT(--('Данные 1st'!$S$2:$S$317=$A56),--ISNUMBER('Данные 1st'!$QF$2:$QF$317))</f>
        <v>1</v>
      </c>
      <c r="GY56">
        <f>SUMPRODUCT(--('Данные 1st'!$S$2:$S$317=$A56),--ISNUMBER('Данные 1st'!$QG$2:$QG$317))</f>
        <v>1</v>
      </c>
      <c r="GZ56">
        <f>SUMPRODUCT(--('Данные 1st'!$S$2:$S$317=$A56),--ISNUMBER('Данные 1st'!$QH$2:$QH$317))</f>
        <v>1</v>
      </c>
      <c r="HA56">
        <f>SUMPRODUCT(--('Данные 1st'!$S$2:$S$317=$A56),--ISNUMBER('Данные 1st'!$QI$2:$QI$317))</f>
        <v>1</v>
      </c>
      <c r="HB56">
        <f>SUMPRODUCT(--('Данные 1st'!$S$2:$S$317=$A56),--ISNUMBER('Данные 1st'!$QK$2:$QK$317))</f>
        <v>1</v>
      </c>
      <c r="HC56">
        <f>SUMPRODUCT(--('Данные 1st'!$S$2:$S$317=$A56),--ISNUMBER('Данные 1st'!$QL$2:$QL$317))</f>
        <v>1</v>
      </c>
      <c r="HD56">
        <f>SUMPRODUCT(--('Данные 1st'!$S$2:$S$317=$A56),--ISNUMBER('Данные 1st'!$QM$2:$QM$317))</f>
        <v>1</v>
      </c>
      <c r="HE56">
        <f>SUMPRODUCT(--('Данные 1st'!$S$2:$S$317=$A56),--ISNUMBER('Данные 1st'!$QN$2:$QN$317))</f>
        <v>1</v>
      </c>
      <c r="HF56">
        <f>SUMPRODUCT(--('Данные 1st'!$S$2:$S$317=$A56),--ISNUMBER('Данные 1st'!$QP$2:$QP$317))</f>
        <v>1</v>
      </c>
      <c r="HG56">
        <f>SUMPRODUCT(--('Данные 1st'!$S$2:$S$317=$A56),--ISNUMBER('Данные 1st'!$QQ$2:$QQ$317))</f>
        <v>1</v>
      </c>
      <c r="HH56">
        <f>SUMPRODUCT(--('Данные 1st'!$S$2:$S$317=$A56),--ISNUMBER('Данные 1st'!$QR$2:$QR$317))</f>
        <v>0</v>
      </c>
      <c r="HI56">
        <f>SUMPRODUCT(--('Данные 1st'!$S$2:$S$317=$A56),--ISNUMBER('Данные 1st'!$QS$2:$QS$317))</f>
        <v>0</v>
      </c>
      <c r="HJ56">
        <f>SUMPRODUCT(--('Данные 1st'!$S$2:$S$317=$A56),--ISNUMBER('Данные 1st'!$QU$2:$QU$317))</f>
        <v>0</v>
      </c>
      <c r="HK56">
        <f>SUMPRODUCT(--('Данные 1st'!$S$2:$S$317=$A56),--ISNUMBER('Данные 1st'!$QV$2:$QV$317))</f>
        <v>0</v>
      </c>
      <c r="HL56">
        <f>SUMPRODUCT(--('Данные 1st'!$S$2:$S$317=$A56),--ISNUMBER('Данные 1st'!$QW$2:$QW$317))</f>
        <v>1</v>
      </c>
      <c r="HM56">
        <f>SUMPRODUCT(--('Данные 1st'!$S$2:$S$317=$A56),--ISNUMBER('Данные 1st'!$QX$2:$QX$317))</f>
        <v>1</v>
      </c>
      <c r="HN56">
        <f>SUMPRODUCT(--('Данные 1st'!$S$2:$S$317=$A56),--ISNUMBER('Данные 1st'!$QZ$2:$QZ$317))</f>
        <v>1</v>
      </c>
      <c r="HO56">
        <f>SUMPRODUCT(--('Данные 1st'!$S$2:$S$317=$A56),--ISNUMBER('Данные 1st'!$RA$2:$RA$317))</f>
        <v>1</v>
      </c>
      <c r="HP56">
        <f>SUMPRODUCT(--('Данные 1st'!$S$2:$S$317=$A56),--ISNUMBER('Данные 1st'!$RB$2:$RB$317))</f>
        <v>1</v>
      </c>
      <c r="HQ56">
        <f>SUMPRODUCT(--('Данные 1st'!$S$2:$S$317=$A56),--ISNUMBER('Данные 1st'!$RD$2:$RD$317))</f>
        <v>0</v>
      </c>
      <c r="HR56">
        <f>SUMPRODUCT(--('Данные 1st'!$S$2:$S$317=$A56),--ISNUMBER('Данные 1st'!$RE$2:$RE$317))</f>
        <v>1</v>
      </c>
      <c r="HS56">
        <f>SUMPRODUCT(--('Данные 1st'!$S$2:$S$317=$A56),--ISNUMBER('Данные 1st'!$RF$2:$RF$317))</f>
        <v>0</v>
      </c>
      <c r="HT56">
        <f>SUMPRODUCT(--('Данные 1st'!$S$2:$S$317=$A56),--ISNUMBER('Данные 1st'!$RG$2:$RG$317))</f>
        <v>1</v>
      </c>
      <c r="HU56">
        <f>SUMPRODUCT(--('Данные 1st'!$S$2:$S$317=$A56),--ISNUMBER('Данные 1st'!$RH$2:$RH$317))</f>
        <v>0</v>
      </c>
      <c r="HV56">
        <f>SUMPRODUCT(--('Данные 1st'!$S$2:$S$317=$A56),--ISNUMBER('Данные 1st'!$RI$2:$RI$317))</f>
        <v>0</v>
      </c>
      <c r="HW56">
        <f>SUMPRODUCT(--('Данные 1st'!$S$2:$S$317=$A56),--ISNUMBER('Данные 1st'!$RJ$2:$RJ$317))</f>
        <v>1</v>
      </c>
      <c r="HX56">
        <f>SUMPRODUCT(--('Данные 1st'!$S$2:$S$317=$A56),--ISNUMBER('Данные 1st'!$RK$2:$RK$317))</f>
        <v>1</v>
      </c>
      <c r="HY56">
        <f>SUMPRODUCT(--('Данные 1st'!$S$2:$S$317=$A56),--ISNUMBER('Данные 1st'!$RL$2:$RL$317))</f>
        <v>1</v>
      </c>
      <c r="HZ56">
        <f>SUMPRODUCT(--('Данные 1st'!$S$2:$S$317=$A56),--ISNUMBER('Данные 1st'!$RM$2:$RM$317))</f>
        <v>0</v>
      </c>
      <c r="IA56">
        <f>SUMPRODUCT(--('Данные 1st'!$S$2:$S$317=$A56),--ISNUMBER('Данные 1st'!$RN$2:$RN$317))</f>
        <v>0</v>
      </c>
      <c r="IB56">
        <f>SUMPRODUCT(--('Данные 1st'!$S$2:$S$317=$A56),--ISNUMBER('Данные 1st'!$RO$2:$RO$317))</f>
        <v>1</v>
      </c>
      <c r="IC56">
        <f>SUMPRODUCT(--('Данные 1st'!$S$2:$S$317=$A56),--ISNUMBER('Данные 1st'!$RP$2:$RP$317))</f>
        <v>1</v>
      </c>
      <c r="ID56">
        <f>SUMPRODUCT(--('Данные 1st'!$S$2:$S$317=$A56),--ISNUMBER('Данные 1st'!$RQ$2:$RQ$317))</f>
        <v>1</v>
      </c>
      <c r="IE56">
        <f>SUMPRODUCT(--('Данные 1st'!$S$2:$S$317=$A56),--ISNUMBER('Данные 1st'!$RR$2:$RR$317))</f>
        <v>0</v>
      </c>
      <c r="IF56">
        <f>SUMPRODUCT(--('Данные 1st'!$S$2:$S$317=$A56),--ISNUMBER('Данные 1st'!$RS$2:$RS$317))</f>
        <v>0</v>
      </c>
      <c r="IG56">
        <f>SUMPRODUCT(--('Данные 1st'!$S$2:$S$317=$A56),--ISNUMBER('Данные 1st'!$RT$2:$RT$317))</f>
        <v>1</v>
      </c>
      <c r="IH56">
        <f>SUMPRODUCT(--('Данные 1st'!$S$2:$S$317=$A56),--ISNUMBER('Данные 1st'!$RU$2:$RU$317))</f>
        <v>1</v>
      </c>
      <c r="II56">
        <f>SUMPRODUCT(--('Данные 1st'!$S$2:$S$317=$A56),--ISNUMBER('Данные 1st'!$RX$2:$RX$317))</f>
        <v>1</v>
      </c>
      <c r="IJ56">
        <f>SUMPRODUCT(--('Данные 1st'!$S$2:$S$317=$A56),--ISNUMBER('Данные 1st'!$RY$2:$RY$317))</f>
        <v>1</v>
      </c>
      <c r="IK56">
        <f>SUMPRODUCT(--('Данные 1st'!$S$2:$S$317=$A56),--ISNUMBER('Данные 1st'!$SA$2:$SA$317))</f>
        <v>1</v>
      </c>
      <c r="IL56">
        <f>SUMPRODUCT(--('Данные 1st'!$S$2:$S$317=$A56),--ISNUMBER('Данные 1st'!$SD$2:$SD$317))</f>
        <v>1</v>
      </c>
      <c r="IM56">
        <f>SUMPRODUCT(--('Данные 1st'!$S$2:$S$317=$A56),--ISNUMBER('Данные 1st'!$SG$2:$SG$317))</f>
        <v>0</v>
      </c>
      <c r="IN56">
        <f>SUMPRODUCT(--('Данные 1st'!$S$2:$S$317=$A56),--ISNUMBER('Данные 1st'!$SH$2:$SH$317))</f>
        <v>1</v>
      </c>
      <c r="IO56">
        <f>SUMPRODUCT(--('Данные 1st'!$S$2:$S$317=$A56),--ISNUMBER('Данные 1st'!$SI$2:$SI$317))</f>
        <v>1</v>
      </c>
      <c r="IP56">
        <f>SUMPRODUCT(--('Данные 1st'!$S$2:$S$317=$A56),--ISNUMBER('Данные 1st'!$SJ$2:$SJ$317))</f>
        <v>1</v>
      </c>
      <c r="IQ56">
        <f>SUMPRODUCT(--('Данные 1st'!$S$2:$S$317=$A56),--ISNUMBER('Данные 1st'!$SK$2:$SK$317))</f>
        <v>1</v>
      </c>
      <c r="IR56">
        <f>SUMPRODUCT(--('Данные 1st'!$S$2:$S$317=$A56),--ISNUMBER('Данные 1st'!$SL$2:$SL$317))</f>
        <v>1</v>
      </c>
      <c r="IS56">
        <f>SUMPRODUCT(--('Данные 1st'!$S$2:$S$317=$A56),--ISNUMBER('Данные 1st'!$SM$2:$SM$317))</f>
        <v>1</v>
      </c>
      <c r="IT56">
        <f>SUMPRODUCT(--('Данные 1st'!$S$2:$S$317=$A56),--ISNUMBER('Данные 1st'!$SN$2:$SN$317))</f>
        <v>1</v>
      </c>
      <c r="IU56">
        <f>SUMPRODUCT(--('Данные 1st'!$S$2:$S$317=$A56),--ISNUMBER('Данные 1st'!$SO$2:$SO$317))</f>
        <v>1</v>
      </c>
      <c r="IV56">
        <f>SUMPRODUCT(--('Данные 1st'!$S$2:$S$317=$A56),--ISNUMBER('Данные 1st'!$SP$2:$SP$317))</f>
        <v>1</v>
      </c>
      <c r="IW56">
        <f>SUMPRODUCT(--('Данные 1st'!$S$2:$S$317=$A56),--ISNUMBER('Данные 1st'!$SQ$2:$SQ$317))</f>
        <v>1</v>
      </c>
      <c r="IX56">
        <f>SUMPRODUCT(--('Данные 1st'!$S$2:$S$317=$A56),--ISNUMBER('Данные 1st'!$SR$2:$SR$317))</f>
        <v>1</v>
      </c>
      <c r="IY56">
        <f>SUMPRODUCT(--('Данные 1st'!$S$2:$S$317=$A56),--ISNUMBER('Данные 1st'!$SS$2:$SS$317))</f>
        <v>1</v>
      </c>
      <c r="IZ56">
        <f>SUMPRODUCT(--('Данные 1st'!$S$2:$S$317=$A56),--ISNUMBER('Данные 1st'!$ST$2:$ST$317))</f>
        <v>1</v>
      </c>
      <c r="JA56">
        <f>SUMPRODUCT(--('Данные 1st'!$S$2:$S$317=$A56),--ISNUMBER('Данные 1st'!$SU$2:$SU$317))</f>
        <v>1</v>
      </c>
      <c r="JB56">
        <f>SUMPRODUCT(--('Данные 1st'!$S$2:$S$317=$A56),--ISNUMBER('Данные 1st'!$SV$2:$SV$317))</f>
        <v>1</v>
      </c>
      <c r="JC56">
        <f>SUMPRODUCT(--('Данные 1st'!$S$2:$S$317=$A56),--ISNUMBER('Данные 1st'!$SW$2:$SW$317))</f>
        <v>1</v>
      </c>
      <c r="JD56">
        <f>SUMPRODUCT(--('Данные 1st'!$S$2:$S$317=$A56),--ISNUMBER('Данные 1st'!$SX$2:$SX$317))</f>
        <v>1</v>
      </c>
      <c r="JE56">
        <f>SUMPRODUCT(--('Данные 1st'!$S$2:$S$317=$A56),--ISNUMBER('Данные 1st'!$SY$2:$SY$317))</f>
        <v>1</v>
      </c>
      <c r="JF56">
        <f>SUMPRODUCT(--('Данные 1st'!$S$2:$S$317=$A56),--ISNUMBER('Данные 1st'!$SZ$2:$SZ$317))</f>
        <v>0</v>
      </c>
      <c r="JG56">
        <f>SUMPRODUCT(--('Данные 1st'!$S$2:$S$317=$A56),--ISNUMBER('Данные 1st'!$TA$2:$TA$317))</f>
        <v>0</v>
      </c>
      <c r="JH56">
        <f>SUMPRODUCT(--('Данные 1st'!$S$2:$S$317=$A56),--ISNUMBER('Данные 1st'!$TB$2:$TB$317))</f>
        <v>1</v>
      </c>
      <c r="JI56">
        <f>SUMPRODUCT(--('Данные 1st'!$S$2:$S$317=$A56),--ISNUMBER('Данные 1st'!$TC$2:$TC$317))</f>
        <v>1</v>
      </c>
      <c r="JJ56">
        <f>SUMPRODUCT(--('Данные 1st'!$S$2:$S$317=$A56),--ISNUMBER('Данные 1st'!$TD$2:$TD$317))</f>
        <v>1</v>
      </c>
      <c r="JK56">
        <f>SUMPRODUCT(--('Данные 1st'!$S$2:$S$317=$A56),--ISNUMBER('Данные 1st'!$TN$2:$TN$317))</f>
        <v>1</v>
      </c>
      <c r="JQ56">
        <f>SUMPRODUCT(--('Данные 2st'!$Q$2:$Q$317=$A56),--ISNUMBER('Данные 2st'!$AC$2:$AC$317))</f>
        <v>1</v>
      </c>
      <c r="JR56">
        <f>SUMPRODUCT(--('Данные 2st'!$Q$2:$Q$317=$A56),--ISNUMBER('Данные 2st'!$AF$2:$AF$317))</f>
        <v>1</v>
      </c>
      <c r="JS56">
        <f>SUMPRODUCT(--('Данные 2st'!$Q$2:$Q$317=$A56),--ISNUMBER('Данные 2st'!$AW$2:$AW$317))</f>
        <v>1</v>
      </c>
      <c r="JT56">
        <f>SUMPRODUCT(--('Данные 2st'!$Q$2:$Q$317=$A56),--ISNUMBER('Данные 2st'!$AX$2:$AX$317))</f>
        <v>1</v>
      </c>
      <c r="JU56">
        <f>SUMPRODUCT(--('Данные 2st'!$Q$2:$Q$317=$A56),--ISNUMBER('Данные 2st'!$AY$2:$AY$317))</f>
        <v>1</v>
      </c>
      <c r="JV56">
        <f>SUMPRODUCT(--('Данные 2st'!$Q$2:$Q$317=$A56),--ISNUMBER('Данные 2st'!$AZ$2:$AZ$317))</f>
        <v>1</v>
      </c>
      <c r="JW56">
        <f>SUMPRODUCT(--('Данные 2st'!$Q$2:$Q$317=$A56),--ISNUMBER('Данные 2st'!$BA$2:$BA$317))</f>
        <v>1</v>
      </c>
      <c r="JX56">
        <f>SUMPRODUCT(--('Данные 2st'!$Q$2:$Q$317=$A56),--ISNUMBER('Данные 2st'!$BB$2:$BB$317))</f>
        <v>1</v>
      </c>
      <c r="JY56">
        <f>SUMPRODUCT(--('Данные 2st'!$Q$2:$Q$317=$A56),--ISNUMBER('Данные 2st'!$BC$2:$BC$317))</f>
        <v>1</v>
      </c>
      <c r="JZ56">
        <f>SUMPRODUCT(--('Данные 2st'!$Q$2:$Q$317=$A56),--ISNUMBER('Данные 2st'!$BH$2:$BH$317))</f>
        <v>1</v>
      </c>
      <c r="KA56">
        <f>SUMPRODUCT(--('Данные 2st'!$Q$2:$Q$317=$A56),--ISNUMBER('Данные 2st'!$BI$2:$BI$317))</f>
        <v>1</v>
      </c>
      <c r="KB56">
        <f>SUMPRODUCT(--('Данные 2st'!$Q$2:$Q$317=$A56),--ISNUMBER('Данные 2st'!$BJ$2:$BJ$317))</f>
        <v>1</v>
      </c>
      <c r="KC56">
        <f>SUMPRODUCT(--('Данные 2st'!$Q$2:$Q$317=$A56),--ISNUMBER('Данные 2st'!$BK$2:$BK$317))</f>
        <v>1</v>
      </c>
      <c r="KD56">
        <f>SUMPRODUCT(--('Данные 2st'!$Q$2:$Q$317=$A56),--ISNUMBER('Данные 2st'!$BL$2:$BL$317))</f>
        <v>1</v>
      </c>
      <c r="KE56">
        <f>SUMPRODUCT(--('Данные 2st'!$Q$2:$Q$317=$A56),--ISNUMBER('Данные 2st'!$BM$2:$BM$317))</f>
        <v>1</v>
      </c>
      <c r="KF56">
        <f>SUMPRODUCT(--('Данные 2st'!$Q$2:$Q$317=$A56),--ISNUMBER('Данные 2st'!$BN$2:$BN$317))</f>
        <v>1</v>
      </c>
      <c r="KG56">
        <f>SUMPRODUCT(--('Данные 2st'!$Q$2:$Q$317=$A56),--ISNUMBER('Данные 2st'!$BO$2:$BO$317))</f>
        <v>1</v>
      </c>
      <c r="KH56">
        <f>SUMPRODUCT(--('Данные 2st'!$Q$2:$Q$317=$A56),--ISNUMBER('Данные 2st'!$BP$2:$BP$317))</f>
        <v>1</v>
      </c>
      <c r="KI56">
        <f>SUMPRODUCT(--('Данные 2st'!$Q$2:$Q$317=$A56),--ISNUMBER('Данные 2st'!$BR$2:$BR$317))</f>
        <v>1</v>
      </c>
      <c r="KJ56">
        <f>SUMPRODUCT(--('Данные 2st'!$Q$2:$Q$317=$A56),--ISNUMBER('Данные 2st'!$BS$2:$BS$317))</f>
        <v>1</v>
      </c>
      <c r="KK56">
        <f>SUMPRODUCT(--('Данные 2st'!$Q$2:$Q$317=$A56),--ISNUMBER('Данные 2st'!$BT$2:$BT$317))</f>
        <v>1</v>
      </c>
      <c r="KL56">
        <f>SUMPRODUCT(--('Данные 2st'!$Q$2:$Q$317=$A56),--ISNUMBER('Данные 2st'!$CV$2:$CV$317))</f>
        <v>1</v>
      </c>
      <c r="KM56">
        <f>SUMPRODUCT(--('Данные 2st'!$Q$2:$Q$317=$A56),--ISNUMBER('Данные 2st'!$CW$2:$CW$317))</f>
        <v>1</v>
      </c>
      <c r="KN56">
        <f>SUMPRODUCT(--('Данные 2st'!$Q$2:$Q$317=$A56),--ISNUMBER('Данные 2st'!$CX$2:$CX$317))</f>
        <v>1</v>
      </c>
      <c r="KO56">
        <f>SUMPRODUCT(--('Данные 2st'!$Q$2:$Q$317=$A56),--ISNUMBER('Данные 2st'!$CY$2:$CY$317))</f>
        <v>1</v>
      </c>
      <c r="KP56">
        <f>SUMPRODUCT(--('Данные 2st'!$Q$2:$Q$317=$A56),--ISNUMBER('Данные 2st'!$CZ$2:$CZ$317))</f>
        <v>1</v>
      </c>
      <c r="KQ56">
        <f>SUMPRODUCT(--('Данные 2st'!$Q$2:$Q$317=$A56),--ISNUMBER('Данные 2st'!$DA$2:$DA$317))</f>
        <v>1</v>
      </c>
      <c r="KR56">
        <f>SUMPRODUCT(--('Данные 2st'!$Q$2:$Q$317=$A56),--ISNUMBER('Данные 2st'!$DB$2:$DB$317))</f>
        <v>1</v>
      </c>
      <c r="KS56">
        <f>SUMPRODUCT(--('Данные 2st'!$Q$2:$Q$317=$A56),--ISNUMBER('Данные 2st'!$DC$2:$DC$317))</f>
        <v>1</v>
      </c>
      <c r="KT56">
        <f>SUMPRODUCT(--('Данные 2st'!$Q$2:$Q$317=$A56),--ISNUMBER('Данные 2st'!$DD$2:$DD$317))</f>
        <v>1</v>
      </c>
      <c r="KU56">
        <f>SUMPRODUCT(--('Данные 2st'!$Q$2:$Q$317=$A56),--ISNUMBER('Данные 2st'!$DE$2:$DE$317))</f>
        <v>1</v>
      </c>
      <c r="KV56">
        <f>SUMPRODUCT(--('Данные 2st'!$Q$2:$Q$317=$A56),--ISNUMBER('Данные 2st'!$DF$2:$DF$317))</f>
        <v>1</v>
      </c>
      <c r="KW56">
        <f>SUMPRODUCT(--('Данные 2st'!$Q$2:$Q$317=$A56),--ISNUMBER('Данные 2st'!$DG$2:$DG$317))</f>
        <v>1</v>
      </c>
      <c r="KX56">
        <f>SUMPRODUCT(--('Данные 2st'!$Q$2:$Q$317=$A56),--ISNUMBER('Данные 2st'!$DH$2:$DH$317))</f>
        <v>0</v>
      </c>
      <c r="KY56">
        <f>SUMPRODUCT(--('Данные 2st'!$Q$2:$Q$317=$A56),--ISNUMBER('Данные 2st'!$DI$2:$DI$317))</f>
        <v>0</v>
      </c>
      <c r="KZ56">
        <f>SUMPRODUCT(--('Данные 2st'!$Q$2:$Q$317=$A56),--ISNUMBER('Данные 2st'!$DK$2:$DK$317))</f>
        <v>1</v>
      </c>
      <c r="LA56">
        <f>SUMPRODUCT(--('Данные 2st'!$Q$2:$Q$317=$A56),--ISNUMBER('Данные 2st'!$DM$2:$DM$317))</f>
        <v>1</v>
      </c>
      <c r="LB56">
        <f>SUMPRODUCT(--('Данные 2st'!$Q$2:$Q$317=$A56),--ISNUMBER('Данные 2st'!$DN$2:$DN$317))</f>
        <v>1</v>
      </c>
      <c r="LC56">
        <f>SUMPRODUCT(--('Данные 2st'!$Q$2:$Q$317=$A56),--ISNUMBER('Данные 2st'!$DO$2:$DO$317))</f>
        <v>1</v>
      </c>
      <c r="LD56">
        <f>SUMPRODUCT(--('Данные 2st'!$Q$2:$Q$317=$A56),--ISNUMBER('Данные 2st'!$DP$2:$DP$317))</f>
        <v>1</v>
      </c>
      <c r="LE56">
        <f>SUMPRODUCT(--('Данные 2st'!$Q$2:$Q$317=$A56),--ISNUMBER('Данные 2st'!$DQ$2:$DQ$317))</f>
        <v>1</v>
      </c>
      <c r="LF56">
        <f>SUMPRODUCT(--('Данные 2st'!$Q$2:$Q$317=$A56),--ISNUMBER('Данные 2st'!$DS$2:$DS$317))</f>
        <v>1</v>
      </c>
      <c r="LG56">
        <f>SUMPRODUCT(--('Данные 2st'!$Q$2:$Q$317=$A56),--ISNUMBER('Данные 2st'!$DU$2:$DU$317))</f>
        <v>1</v>
      </c>
      <c r="LH56">
        <f>SUMPRODUCT(--('Данные 2st'!$Q$2:$Q$317=$A56),--ISNUMBER('Данные 2st'!$DV$2:$DV$317))</f>
        <v>1</v>
      </c>
      <c r="LI56">
        <f>SUMPRODUCT(--('Данные 2st'!$Q$2:$Q$317=$A56),--ISNUMBER('Данные 2st'!$DW$2:$DW$317))</f>
        <v>1</v>
      </c>
      <c r="LJ56">
        <f>SUMPRODUCT(--('Данные 2st'!$Q$2:$Q$317=$A56),--ISNUMBER('Данные 2st'!$DX$2:$DX$317))</f>
        <v>1</v>
      </c>
      <c r="LK56">
        <f>SUMPRODUCT(--('Данные 2st'!$Q$2:$Q$317=$A56),--ISNUMBER('Данные 2st'!$DY$2:$DY$317))</f>
        <v>1</v>
      </c>
      <c r="LL56">
        <f>SUMPRODUCT(--('Данные 2st'!$Q$2:$Q$317=$A56),--ISNUMBER('Данные 2st'!$EA$2:$EA$317))</f>
        <v>1</v>
      </c>
      <c r="LM56">
        <f>SUMPRODUCT(--('Данные 2st'!$Q$2:$Q$317=$A56),--ISNUMBER('Данные 2st'!$EC$2:$EC$317))</f>
        <v>1</v>
      </c>
      <c r="LN56">
        <f>SUMPRODUCT(--('Данные 2st'!$Q$2:$Q$317=$A56),--ISNUMBER('Данные 2st'!$ED$2:$ED$317))</f>
        <v>1</v>
      </c>
      <c r="LO56">
        <f>SUMPRODUCT(--('Данные 2st'!$Q$2:$Q$317=$A56),--ISNUMBER('Данные 2st'!$EE$2:$EE$317))</f>
        <v>1</v>
      </c>
      <c r="LP56">
        <f>SUMPRODUCT(--('Данные 2st'!$Q$2:$Q$317=$A56),--ISNUMBER('Данные 2st'!$EG$2:$EG$317))</f>
        <v>1</v>
      </c>
      <c r="LQ56">
        <f>SUMPRODUCT(--('Данные 2st'!$Q$2:$Q$317=$A56),--ISNUMBER('Данные 2st'!$EI$2:$EI$317))</f>
        <v>1</v>
      </c>
      <c r="LR56">
        <f>SUMPRODUCT(--('Данные 2st'!$Q$2:$Q$317=$A56),--ISNUMBER('Данные 2st'!$EJ$2:$EJ$317))</f>
        <v>0</v>
      </c>
      <c r="LS56">
        <f>SUMPRODUCT(--('Данные 2st'!$Q$2:$Q$317=$A56),--ISNUMBER('Данные 2st'!$EK$2:$EK$317))</f>
        <v>0</v>
      </c>
      <c r="LT56">
        <f>SUMPRODUCT(--('Данные 2st'!$Q$2:$Q$317=$A56),--ISNUMBER('Данные 2st'!$EM$2:$EM$317))</f>
        <v>1</v>
      </c>
      <c r="LU56">
        <f>SUMPRODUCT(--('Данные 2st'!$Q$2:$Q$317=$A56),--ISNUMBER('Данные 2st'!$EN$2:$EN$317))</f>
        <v>1</v>
      </c>
      <c r="LV56">
        <f>SUMPRODUCT(--('Данные 2st'!$Q$2:$Q$317=$A56),--ISNUMBER('Данные 2st'!$EO$2:$EO$317))</f>
        <v>1</v>
      </c>
      <c r="LW56">
        <f>SUMPRODUCT(--('Данные 2st'!$Q$2:$Q$317=$A56),--ISNUMBER('Данные 2st'!$EP$2:$EP$317))</f>
        <v>1</v>
      </c>
      <c r="LX56">
        <f>SUMPRODUCT(--('Данные 2st'!$Q$2:$Q$317=$A56),--ISNUMBER('Данные 2st'!$EQ$2:$EQ$317))</f>
        <v>1</v>
      </c>
      <c r="LY56">
        <f>SUMPRODUCT(--('Данные 2st'!$Q$2:$Q$317=$A56),--ISNUMBER('Данные 2st'!$ER$2:$ER$317))</f>
        <v>1</v>
      </c>
      <c r="LZ56">
        <f>SUMPRODUCT(--('Данные 2st'!$Q$2:$Q$317=$A56),--ISNUMBER('Данные 2st'!$ES$2:$ES$317))</f>
        <v>1</v>
      </c>
      <c r="MA56">
        <f>SUMPRODUCT(--('Данные 2st'!$Q$2:$Q$317=$A56),--ISNUMBER('Данные 2st'!$ET$2:$ET$317))</f>
        <v>1</v>
      </c>
      <c r="MB56">
        <f>SUMPRODUCT(--('Данные 2st'!$Q$2:$Q$317=$A56),--ISNUMBER('Данные 2st'!$EU$2:$EU$317))</f>
        <v>1</v>
      </c>
      <c r="MC56">
        <f>SUMPRODUCT(--('Данные 2st'!$Q$2:$Q$317=$A56),--ISNUMBER('Данные 2st'!$EV$2:$EV$317))</f>
        <v>1</v>
      </c>
      <c r="MD56">
        <f>SUMPRODUCT(--('Данные 2st'!$Q$2:$Q$317=$A56),--ISNUMBER('Данные 2st'!$EW$2:$EW$317))</f>
        <v>1</v>
      </c>
      <c r="ME56">
        <f>SUMPRODUCT(--('Данные 2st'!$Q$2:$Q$317=$A56),--ISNUMBER('Данные 2st'!$EY$2:$EY$317))</f>
        <v>1</v>
      </c>
      <c r="MF56">
        <f>SUMPRODUCT(--('Данные 2st'!$Q$2:$Q$317=$A56),--ISNUMBER('Данные 2st'!$FA$2:$FA$317))</f>
        <v>1</v>
      </c>
      <c r="MG56">
        <f>SUMPRODUCT(--('Данные 2st'!$Q$2:$Q$317=$A56),--ISNUMBER('Данные 2st'!$FB$2:$FB$317))</f>
        <v>1</v>
      </c>
      <c r="MH56">
        <f>SUMPRODUCT(--('Данные 2st'!$Q$2:$Q$317=$A56),--ISNUMBER('Данные 2st'!$FC$2:$FC$317))</f>
        <v>1</v>
      </c>
      <c r="MI56">
        <f>SUMPRODUCT(--('Данные 2st'!$Q$2:$Q$317=$A56),--ISNUMBER('Данные 2st'!$FD$2:$FD$317))</f>
        <v>1</v>
      </c>
      <c r="MJ56">
        <f>SUMPRODUCT(--('Данные 2st'!$Q$2:$Q$317=$A56),--ISNUMBER('Данные 2st'!$FE$2:$FE$317))</f>
        <v>1</v>
      </c>
      <c r="MK56">
        <f>SUMPRODUCT(--('Данные 2st'!$Q$2:$Q$317=$A56),--ISNUMBER('Данные 2st'!$FG$2:$FG$317))</f>
        <v>1</v>
      </c>
      <c r="ML56">
        <f>SUMPRODUCT(--('Данные 2st'!$Q$2:$Q$317=$A56),--ISNUMBER('Данные 2st'!$FI$2:$FI$317))</f>
        <v>1</v>
      </c>
      <c r="MM56">
        <f>SUMPRODUCT(--('Данные 2st'!$Q$2:$Q$317=$A56),--ISNUMBER('Данные 2st'!$FJ$2:$FJ$317))</f>
        <v>1</v>
      </c>
      <c r="MN56">
        <f>SUMPRODUCT(--('Данные 2st'!$Q$2:$Q$317=$A56),--ISNUMBER('Данные 2st'!$FK$2:$FK$317))</f>
        <v>1</v>
      </c>
      <c r="MO56">
        <f>SUMPRODUCT(--('Данные 2st'!$Q$2:$Q$317=$A56),--ISNUMBER('Данные 2st'!$FP$2:$FP$317))</f>
        <v>1</v>
      </c>
      <c r="MP56">
        <f>SUMPRODUCT(--('Данные 2st'!$Q$2:$Q$317=$A56),--ISNUMBER('Данные 2st'!$FQ$2:$FQ$317))</f>
        <v>1</v>
      </c>
      <c r="MQ56">
        <f>SUMPRODUCT(--('Данные 2st'!$Q$2:$Q$317=$A56),--ISNUMBER('Данные 2st'!$FS$2:$FS$317))</f>
        <v>1</v>
      </c>
      <c r="MR56">
        <f>SUMPRODUCT(--('Данные 2st'!$Q$2:$Q$317=$A56),--ISNUMBER('Данные 2st'!$FU$2:$FU$317))</f>
        <v>1</v>
      </c>
      <c r="MS56">
        <f>SUMPRODUCT(--('Данные 2st'!$Q$2:$Q$317=$A56),--ISNUMBER('Данные 2st'!$FV$2:$FV$317))</f>
        <v>1</v>
      </c>
      <c r="MT56">
        <f>SUMPRODUCT(--('Данные 2st'!$Q$2:$Q$317=$A56),--ISNUMBER('Данные 2st'!$FW$2:$FW$317))</f>
        <v>1</v>
      </c>
      <c r="MU56">
        <f>SUMPRODUCT(--('Данные 2st'!$Q$2:$Q$317=$A56),--ISNUMBER('Данные 2st'!$FY$2:$FY$317))</f>
        <v>1</v>
      </c>
      <c r="MV56">
        <f>SUMPRODUCT(--('Данные 2st'!$Q$2:$Q$317=$A56),--ISNUMBER('Данные 2st'!$GB$2:$GB$317))</f>
        <v>1</v>
      </c>
      <c r="MW56">
        <f>SUMPRODUCT(--('Данные 2st'!$Q$2:$Q$317=$A56),--ISNUMBER('Данные 2st'!$GC$2:$GC$317))</f>
        <v>1</v>
      </c>
      <c r="MX56">
        <f>SUMPRODUCT(--('Данные 2st'!$Q$2:$Q$317=$A56),--ISNUMBER('Данные 2st'!$GD$2:$GD$317))</f>
        <v>1</v>
      </c>
      <c r="MY56">
        <f>SUMPRODUCT(--('Данные 2st'!$Q$2:$Q$317=$A56),--ISNUMBER('Данные 2st'!$GN$2:$GN$317))</f>
        <v>0</v>
      </c>
      <c r="MZ56">
        <f>SUMPRODUCT(--('Данные 2st'!$Q$2:$Q$317=$A56),--ISNUMBER('Данные 2st'!$GQ$2:$GQ$317))</f>
        <v>1</v>
      </c>
      <c r="NA56">
        <f>SUMPRODUCT(--('Данные 2st'!$Q$2:$Q$317=$A56),--ISNUMBER('Данные 2st'!$GV$2:$GV$317))</f>
        <v>1</v>
      </c>
      <c r="NB56">
        <f>SUMPRODUCT(--('Данные 2st'!$Q$2:$Q$317=$A56),--ISNUMBER('Данные 2st'!$GW$2:$GW$317))</f>
        <v>1</v>
      </c>
      <c r="NC56">
        <f>SUMPRODUCT(--('Данные 2st'!$Q$2:$Q$317=$A56),--ISNUMBER('Данные 2st'!$GX$2:$GX$317))</f>
        <v>1</v>
      </c>
      <c r="ND56">
        <f>SUMPRODUCT(--('Данные 2st'!$Q$2:$Q$317=$A56),--ISNUMBER('Данные 2st'!$GY$2:$GY$317))</f>
        <v>1</v>
      </c>
      <c r="NE56">
        <f>SUMPRODUCT(--('Данные 2st'!$Q$2:$Q$317=$A56),--ISNUMBER('Данные 2st'!$GZ$2:$GZ$317))</f>
        <v>1</v>
      </c>
      <c r="NF56">
        <f>SUMPRODUCT(--('Данные 2st'!$Q$2:$Q$317=$A56),--ISNUMBER('Данные 2st'!$HA$2:$HA$317))</f>
        <v>1</v>
      </c>
      <c r="NG56">
        <f>SUMPRODUCT(--('Данные 2st'!$Q$2:$Q$317=$A56),--ISNUMBER('Данные 2st'!$HB$2:$HB$317))</f>
        <v>1</v>
      </c>
      <c r="NH56">
        <f>SUMPRODUCT(--('Данные 2st'!$Q$2:$Q$317=$A56),--ISNUMBER('Данные 2st'!$HC$2:$HC$317))</f>
        <v>1</v>
      </c>
      <c r="NI56">
        <f>SUMPRODUCT(--('Данные 2st'!$Q$2:$Q$317=$A56),--ISNUMBER('Данные 2st'!$HD$2:$HD$317))</f>
        <v>1</v>
      </c>
      <c r="NJ56">
        <f>SUMPRODUCT(--('Данные 2st'!$Q$2:$Q$317=$A56),--ISNUMBER('Данные 2st'!$HM$2:$HM$317))</f>
        <v>1</v>
      </c>
      <c r="NK56">
        <f>SUMPRODUCT(--('Данные 2st'!$Q$2:$Q$317=$A56),--ISNUMBER('Данные 2st'!$HR$2:$HR$317))</f>
        <v>1</v>
      </c>
      <c r="NL56">
        <f>SUMPRODUCT(--('Данные 2st'!$Q$2:$Q$317=$A56),--ISNUMBER('Данные 2st'!$HS$2:$HS$317))</f>
        <v>1</v>
      </c>
      <c r="NM56">
        <f>SUMPRODUCT(--('Данные 2st'!$Q$2:$Q$317=$A56),--ISNUMBER('Данные 2st'!$HT$2:$HT$317))</f>
        <v>1</v>
      </c>
      <c r="NN56">
        <f>SUMPRODUCT(--('Данные 2st'!$Q$2:$Q$317=$A56),--ISNUMBER('Данные 2st'!$HY$2:$HY$317))</f>
        <v>1</v>
      </c>
      <c r="NO56">
        <f>SUMPRODUCT(--('Данные 2st'!$Q$2:$Q$317=$A56),--ISNUMBER('Данные 2st'!$HZ$2:$HZ$317))</f>
        <v>1</v>
      </c>
      <c r="NP56">
        <f>SUMPRODUCT(--('Данные 2st'!$Q$2:$Q$317=$A56),--ISNUMBER('Данные 2st'!$IA$2:$IA$317))</f>
        <v>1</v>
      </c>
      <c r="NQ56">
        <f>SUMPRODUCT(--('Данные 2st'!$Q$2:$Q$317=$A56),--ISNUMBER('Данные 2st'!$IB$2:$IB$317))</f>
        <v>1</v>
      </c>
      <c r="NR56">
        <f>SUMPRODUCT(--('Данные 2st'!$Q$2:$Q$317=$A56),--ISNUMBER('Данные 2st'!$IC$2:$IC$317))</f>
        <v>0</v>
      </c>
      <c r="NS56">
        <f>SUMPRODUCT(--('Данные 2st'!$Q$2:$Q$317=$A56),--ISNUMBER('Данные 2st'!$ID$2:$ID$317))</f>
        <v>1</v>
      </c>
      <c r="NT56">
        <f>SUMPRODUCT(--('Данные 2st'!$Q$2:$Q$317=$A56),--ISNUMBER('Данные 2st'!$IE$2:$IE$317))</f>
        <v>1</v>
      </c>
      <c r="NU56">
        <f>SUMPRODUCT(--('Данные 2st'!$Q$2:$Q$317=$A56),--ISNUMBER('Данные 2st'!$IF$2:$IF$317))</f>
        <v>1</v>
      </c>
      <c r="NV56">
        <f>SUMPRODUCT(--('Данные 2st'!$Q$2:$Q$317=$A56),--ISNUMBER('Данные 2st'!$IG$2:$IG$317))</f>
        <v>1</v>
      </c>
      <c r="NW56">
        <f>SUMPRODUCT(--('Данные 2st'!$Q$2:$Q$317=$A56),--ISNUMBER('Данные 2st'!$IH$2:$IH$317))</f>
        <v>1</v>
      </c>
      <c r="NX56">
        <f>SUMPRODUCT(--('Данные 2st'!$Q$2:$Q$317=$A56),--ISNUMBER('Данные 2st'!$IJ$2:$IJ$317))</f>
        <v>1</v>
      </c>
      <c r="NY56">
        <f>SUMPRODUCT(--('Данные 2st'!$Q$2:$Q$317=$A56),--ISNUMBER('Данные 2st'!$IM$2:$IM$317))</f>
        <v>1</v>
      </c>
      <c r="NZ56">
        <f>SUMPRODUCT(--('Данные 2st'!$Q$2:$Q$317=$A56),--ISNUMBER('Данные 2st'!$IN$2:$IN$317))</f>
        <v>1</v>
      </c>
      <c r="OA56">
        <f>SUMPRODUCT(--('Данные 2st'!$Q$2:$Q$317=$A56),--ISNUMBER('Данные 2st'!$IO$2:$IO$317))</f>
        <v>1</v>
      </c>
      <c r="OB56">
        <f>SUMPRODUCT(--('Данные 2st'!$Q$2:$Q$317=$A56),--ISNUMBER('Данные 2st'!$IP$2:$IP$317))</f>
        <v>1</v>
      </c>
      <c r="OC56">
        <f>SUMPRODUCT(--('Данные 2st'!$Q$2:$Q$317=$A56),--ISNUMBER('Данные 2st'!$IQ$2:$IQ$317))</f>
        <v>1</v>
      </c>
      <c r="OD56">
        <f>SUMPRODUCT(--('Данные 2st'!$Q$2:$Q$317=$A56),--ISNUMBER('Данные 2st'!$IR$2:$IR$317))</f>
        <v>1</v>
      </c>
      <c r="OE56">
        <f>SUMPRODUCT(--('Данные 2st'!$Q$2:$Q$317=$A56),--ISNUMBER('Данные 2st'!$IT$2:$IT$317))</f>
        <v>1</v>
      </c>
      <c r="OF56">
        <f>SUMPRODUCT(--('Данные 2st'!$Q$2:$Q$317=$A56),--ISNUMBER('Данные 2st'!$IU$2:$IU$317))</f>
        <v>1</v>
      </c>
      <c r="OG56">
        <f>SUMPRODUCT(--('Данные 2st'!$Q$2:$Q$317=$A56),--ISNUMBER('Данные 2st'!$IV$2:$IV$317))</f>
        <v>1</v>
      </c>
      <c r="OH56">
        <f>SUMPRODUCT(--('Данные 2st'!$Q$2:$Q$317=$A56),--ISNUMBER('Данные 2st'!$IW$2:$IW$317))</f>
        <v>1</v>
      </c>
      <c r="OI56">
        <f>SUMPRODUCT(--('Данные 2st'!$Q$2:$Q$317=$A56),--ISNUMBER('Данные 2st'!$IX$2:$IX$317))</f>
        <v>1</v>
      </c>
      <c r="OJ56">
        <f>SUMPRODUCT(--('Данные 2st'!$Q$2:$Q$317=$A56),--ISNUMBER('Данные 2st'!$IY$2:$IY$317))</f>
        <v>1</v>
      </c>
      <c r="OK56">
        <f>SUMPRODUCT(--('Данные 2st'!$Q$2:$Q$317=$A56),--ISNUMBER('Данные 2st'!$IZ$2:$IZ$317))</f>
        <v>1</v>
      </c>
      <c r="OL56">
        <f>SUMPRODUCT(--('Данные 2st'!$Q$2:$Q$317=$A56),--ISNUMBER('Данные 2st'!$JA$2:$JA$317))</f>
        <v>1</v>
      </c>
      <c r="OM56">
        <f>SUMPRODUCT(--('Данные 2st'!$Q$2:$Q$317=$A56),--ISNUMBER('Данные 2st'!$JB$2:$JB$317))</f>
        <v>1</v>
      </c>
      <c r="ON56">
        <f>SUMPRODUCT(--('Данные 2st'!$Q$2:$Q$317=$A56),--ISNUMBER('Данные 2st'!$JC$2:$JC$317))</f>
        <v>1</v>
      </c>
      <c r="OO56">
        <f>SUMPRODUCT(--('Данные 2st'!$Q$2:$Q$317=$A56),--ISNUMBER('Данные 2st'!$JD$2:$JD$317))</f>
        <v>1</v>
      </c>
      <c r="OP56">
        <f>SUMPRODUCT(--('Данные 2st'!$Q$2:$Q$317=$A56),--ISNUMBER('Данные 2st'!$JE$2:$JE$317))</f>
        <v>1</v>
      </c>
      <c r="OQ56">
        <f>SUMPRODUCT(--('Данные 2st'!$Q$2:$Q$317=$A56),--ISNUMBER('Данные 2st'!$JF$2:$JF$317))</f>
        <v>1</v>
      </c>
      <c r="OR56">
        <f>SUMPRODUCT(--('Данные 2st'!$Q$2:$Q$317=$A56),--ISNUMBER('Данные 2st'!$JG$2:$JG$317))</f>
        <v>1</v>
      </c>
      <c r="OS56">
        <f>SUMPRODUCT(--('Данные 2st'!$Q$2:$Q$317=$A56),--ISNUMBER('Данные 2st'!$JH$2:$JH$317))</f>
        <v>1</v>
      </c>
      <c r="OT56">
        <f>SUMPRODUCT(--('Данные 2st'!$Q$2:$Q$317=$A56),--ISNUMBER('Данные 2st'!$JI$2:$JI$317))</f>
        <v>1</v>
      </c>
      <c r="OU56">
        <f>SUMPRODUCT(--('Данные 2st'!$Q$2:$Q$317=$A56),--ISNUMBER('Данные 2st'!$JJ$2:$JJ$317))</f>
        <v>1</v>
      </c>
      <c r="OV56">
        <f>SUMPRODUCT(--('Данные 2st'!$Q$2:$Q$317=$A56),--ISNUMBER('Данные 2st'!$JK$2:$JK$317))</f>
        <v>1</v>
      </c>
      <c r="OW56">
        <f>SUMPRODUCT(--('Данные 2st'!$Q$2:$Q$317=$A56),--ISNUMBER('Данные 2st'!$JL$2:$JL$317))</f>
        <v>1</v>
      </c>
      <c r="OX56">
        <f>SUMPRODUCT(--('Данные 2st'!$Q$2:$Q$317=$A56),--ISNUMBER('Данные 2st'!$JM$2:$JM$317))</f>
        <v>1</v>
      </c>
      <c r="OY56">
        <f>SUMPRODUCT(--('Данные 2st'!$Q$2:$Q$317=$A56),--ISNUMBER('Данные 2st'!$JP$2:$JP$317))</f>
        <v>1</v>
      </c>
      <c r="OZ56">
        <f>SUMPRODUCT(--('Данные 2st'!$Q$2:$Q$317=$A56),--ISNUMBER('Данные 2st'!$JQ$2:$JQ$317))</f>
        <v>1</v>
      </c>
      <c r="PA56">
        <f>SUMPRODUCT(--('Данные 2st'!$Q$2:$Q$317=$A56),--ISNUMBER('Данные 2st'!$JR$2:$JR$317))</f>
        <v>1</v>
      </c>
      <c r="PB56">
        <f>SUMPRODUCT(--('Данные 2st'!$Q$2:$Q$317=$A56),--ISNUMBER('Данные 2st'!$JS$2:$JS$317))</f>
        <v>1</v>
      </c>
      <c r="PC56">
        <f>SUMPRODUCT(--('Данные 2st'!$Q$2:$Q$317=$A56),--ISNUMBER('Данные 2st'!$JT$2:$JT$317))</f>
        <v>1</v>
      </c>
      <c r="PD56">
        <f>SUMPRODUCT(--('Данные 2st'!$Q$2:$Q$317=$A56),--ISNUMBER('Данные 2st'!$JU$2:$JU$317))</f>
        <v>1</v>
      </c>
      <c r="PE56">
        <f>SUMPRODUCT(--('Данные 2st'!$Q$2:$Q$317=$A56),--ISNUMBER('Данные 2st'!$JV$2:$JV$317))</f>
        <v>1</v>
      </c>
      <c r="PF56">
        <f>SUMPRODUCT(--('Данные 2st'!$Q$2:$Q$317=$A56),--ISNUMBER('Данные 2st'!$JW$2:$JW$317))</f>
        <v>1</v>
      </c>
      <c r="PG56">
        <f>SUMPRODUCT(--('Данные 2st'!$Q$2:$Q$317=$A56),--ISNUMBER('Данные 2st'!$KF$2:$KF$317))</f>
        <v>1</v>
      </c>
      <c r="PH56">
        <f>SUMPRODUCT(--('Данные 2st'!$Q$2:$Q$317=$A56),--ISNUMBER('Данные 2st'!$KG$2:$KG$317))</f>
        <v>1</v>
      </c>
      <c r="PI56">
        <f>SUMPRODUCT(--('Данные 2st'!$Q$2:$Q$317=$A56),--ISNUMBER('Данные 2st'!$KM$2:$KM$317))</f>
        <v>1</v>
      </c>
      <c r="PJ56">
        <f>SUMPRODUCT(--('Данные 2st'!$Q$2:$Q$317=$A56),--ISNUMBER('Данные 2st'!$KN$2:$KN$317))</f>
        <v>1</v>
      </c>
      <c r="PK56">
        <f>SUMPRODUCT(--('Данные 2st'!$Q$2:$Q$317=$A56),--ISNUMBER('Данные 2st'!$KO$2:$KO$317))</f>
        <v>1</v>
      </c>
      <c r="PL56">
        <f>SUMPRODUCT(--('Данные 2st'!$Q$2:$Q$317=$A56),--ISNUMBER('Данные 2st'!$KP$2:$KP$317))</f>
        <v>1</v>
      </c>
      <c r="PM56">
        <f>SUMPRODUCT(--('Данные 2st'!$Q$2:$Q$317=$A56),--ISNUMBER('Данные 2st'!$KQ$2:$KQ$317))</f>
        <v>1</v>
      </c>
      <c r="PN56">
        <f>SUMPRODUCT(--('Данные 2st'!$Q$2:$Q$317=$A56),--ISNUMBER('Данные 2st'!$KR$2:$KR$317))</f>
        <v>1</v>
      </c>
      <c r="PO56">
        <f>SUMPRODUCT(--('Данные 2st'!$Q$2:$Q$317=$A56),--ISNUMBER('Данные 2st'!$KS$2:$KS$317))</f>
        <v>1</v>
      </c>
      <c r="PP56">
        <f>SUMPRODUCT(--('Данные 2st'!$Q$2:$Q$317=$A56),--ISNUMBER('Данные 2st'!$KT$2:$KT$317))</f>
        <v>1</v>
      </c>
      <c r="PQ56">
        <f>SUMPRODUCT(--('Данные 2st'!$Q$2:$Q$317=$A56),--ISNUMBER('Данные 2st'!$KU$2:$KU$317))</f>
        <v>1</v>
      </c>
      <c r="PR56">
        <f>SUMPRODUCT(--('Данные 2st'!$Q$2:$Q$317=$A56),--ISNUMBER('Данные 2st'!$KV$2:$KV$317))</f>
        <v>1</v>
      </c>
      <c r="PS56">
        <f>SUMPRODUCT(--('Данные 2st'!$Q$2:$Q$317=$A56),--ISNUMBER('Данные 2st'!$KW$2:$KW$317))</f>
        <v>1</v>
      </c>
      <c r="PT56">
        <f>SUMPRODUCT(--('Данные 2st'!$Q$2:$Q$317=$A56),--ISNUMBER('Данные 2st'!$KX$2:$KX$317))</f>
        <v>1</v>
      </c>
      <c r="PU56">
        <f>SUMPRODUCT(--('Данные 2st'!$Q$2:$Q$317=$A56),--ISNUMBER('Данные 2st'!$KY$2:$KY$317))</f>
        <v>1</v>
      </c>
      <c r="PV56">
        <f>SUMPRODUCT(--('Данные 2st'!$Q$2:$Q$317=$A56),--ISNUMBER('Данные 2st'!$KZ$2:$KZ$317))</f>
        <v>1</v>
      </c>
      <c r="PW56">
        <f>SUMPRODUCT(--('Данные 2st'!$Q$2:$Q$317=$A56),--ISNUMBER('Данные 2st'!$LA$2:$LA$317))</f>
        <v>1</v>
      </c>
      <c r="PX56">
        <f>SUMPRODUCT(--('Данные 2st'!$Q$2:$Q$317=$A56),--ISNUMBER('Данные 2st'!$LB$2:$LB$317))</f>
        <v>1</v>
      </c>
      <c r="PY56">
        <f>SUMPRODUCT(--('Данные 2st'!$Q$2:$Q$317=$A56),--ISNUMBER('Данные 2st'!$LC$2:$LC$317))</f>
        <v>1</v>
      </c>
      <c r="PZ56">
        <f>SUMPRODUCT(--('Данные 2st'!$Q$2:$Q$317=$A56),--ISNUMBER('Данные 2st'!$LD$2:$LD$317))</f>
        <v>1</v>
      </c>
      <c r="QA56">
        <f>SUMPRODUCT(--('Данные 2st'!$Q$2:$Q$317=$A56),--ISNUMBER('Данные 2st'!$LE$2:$LE$317))</f>
        <v>1</v>
      </c>
      <c r="QB56">
        <f>SUMPRODUCT(--('Данные 2st'!$Q$2:$Q$317=$A56),--ISNUMBER('Данные 2st'!$LF$2:$LF$317))</f>
        <v>1</v>
      </c>
      <c r="QC56">
        <f>SUMPRODUCT(--('Данные 2st'!$Q$2:$Q$317=$A56),--ISNUMBER('Данные 2st'!$LG$2:$LG$317))</f>
        <v>1</v>
      </c>
      <c r="QD56">
        <f>SUMPRODUCT(--('Данные 2st'!$Q$2:$Q$317=$A56),--ISNUMBER('Данные 2st'!$LH$2:$LH$317))</f>
        <v>1</v>
      </c>
      <c r="QE56">
        <f>SUMPRODUCT(--('Данные 2st'!$Q$2:$Q$317=$A56),--ISNUMBER('Данные 2st'!$LJ$2:$LJ$317))</f>
        <v>1</v>
      </c>
      <c r="QF56">
        <f>SUMPRODUCT(--('Данные 2st'!$Q$2:$Q$317=$A56),--ISNUMBER('Данные 2st'!$LK$2:$LK$317))</f>
        <v>1</v>
      </c>
      <c r="QG56">
        <f>SUMPRODUCT(--('Данные 2st'!$Q$2:$Q$317=$A56),--ISNUMBER('Данные 2st'!$LL$2:$LL$317))</f>
        <v>1</v>
      </c>
      <c r="QH56">
        <f>SUMPRODUCT(--('Данные 2st'!$Q$2:$Q$317=$A56),--ISNUMBER('Данные 2st'!$LM$2:$LM$317))</f>
        <v>1</v>
      </c>
      <c r="QI56">
        <f>SUMPRODUCT(--('Данные 2st'!$Q$2:$Q$317=$A56),--ISNUMBER('Данные 2st'!$LN$2:$LN$317))</f>
        <v>1</v>
      </c>
      <c r="QJ56">
        <f>SUMPRODUCT(--('Данные 2st'!$Q$2:$Q$317=$A56),--ISNUMBER('Данные 2st'!$LO$2:$LO$317))</f>
        <v>1</v>
      </c>
      <c r="QK56">
        <f>SUMPRODUCT(--('Данные 2st'!$Q$2:$Q$317=$A56),--ISNUMBER('Данные 2st'!$LP$2:$LP$317))</f>
        <v>1</v>
      </c>
      <c r="QL56">
        <f>SUMPRODUCT(--('Данные 2st'!$Q$2:$Q$317=$A56),--ISNUMBER('Данные 2st'!$LQ$2:$LQ$317))</f>
        <v>1</v>
      </c>
      <c r="QM56">
        <f>SUMPRODUCT(--('Данные 2st'!$Q$2:$Q$317=$A56),--ISNUMBER('Данные 2st'!$LW$2:$LW$317))</f>
        <v>1</v>
      </c>
      <c r="QN56">
        <f>SUMPRODUCT(--('Данные 2st'!$Q$2:$Q$317=$A56),--ISNUMBER('Данные 2st'!$LX$2:$LX$317))</f>
        <v>1</v>
      </c>
      <c r="QO56">
        <f>SUMPRODUCT(--('Данные 2st'!$Q$2:$Q$317=$A56),--ISNUMBER('Данные 2st'!$LY$2:$LY$317))</f>
        <v>1</v>
      </c>
      <c r="QP56">
        <f>SUMPRODUCT(--('Данные 2st'!$Q$2:$Q$317=$A56),--ISNUMBER('Данные 2st'!$LZ$2:$LZ$317))</f>
        <v>1</v>
      </c>
      <c r="QQ56">
        <f>SUMPRODUCT(--('Данные 2st'!$Q$2:$Q$317=$A56),--ISNUMBER('Данные 2st'!$MB$2:$MB$317))</f>
        <v>1</v>
      </c>
      <c r="QR56">
        <f>SUMPRODUCT(--('Данные 2st'!$Q$2:$Q$317=$A56),--ISNUMBER('Данные 2st'!$MG$2:$MG$317))</f>
        <v>0</v>
      </c>
      <c r="QS56">
        <f>SUMPRODUCT(--('Данные 2st'!$Q$2:$Q$317=$A56),--ISNUMBER('Данные 2st'!$MH$2:$MH$317))</f>
        <v>0</v>
      </c>
      <c r="QT56">
        <f>SUMPRODUCT(--('Данные 2st'!$Q$2:$Q$317=$A56),--ISNUMBER('Данные 2st'!$MI$2:$MI$317))</f>
        <v>1</v>
      </c>
      <c r="QU56">
        <f>SUMPRODUCT(--('Данные 2st'!$Q$2:$Q$317=$A56),--ISNUMBER('Данные 2st'!$MJ$2:$MJ$317))</f>
        <v>1</v>
      </c>
      <c r="QV56">
        <f>SUMPRODUCT(--('Данные 2st'!$Q$2:$Q$317=$A56),--ISNUMBER('Данные 2st'!$MK$2:$MK$317))</f>
        <v>0</v>
      </c>
      <c r="QW56">
        <f>SUMPRODUCT(--('Данные 2st'!$Q$2:$Q$317=$A56),--ISNUMBER('Данные 2st'!$MM$2:$MM$317))</f>
        <v>1</v>
      </c>
      <c r="QX56">
        <f>SUMPRODUCT(--('Данные 2st'!$Q$2:$Q$317=$A56),--ISNUMBER('Данные 2st'!$MQ$2:$MQ$317))</f>
        <v>0</v>
      </c>
      <c r="QY56">
        <f>SUMPRODUCT(--('Данные 2st'!$Q$2:$Q$317=$A56),--ISNUMBER('Данные 2st'!$MR$2:$MR$317))</f>
        <v>0</v>
      </c>
      <c r="QZ56">
        <f>SUMPRODUCT(--('Данные 2st'!$Q$2:$Q$317=$A56),--ISNUMBER('Данные 2st'!$MS$2:$MS$317))</f>
        <v>0</v>
      </c>
      <c r="RA56">
        <f>SUMPRODUCT(--('Данные 2st'!$Q$2:$Q$317=$A56),--ISNUMBER('Данные 2st'!$MT$2:$MT$317))</f>
        <v>0</v>
      </c>
      <c r="RB56">
        <f>SUMPRODUCT(--('Данные 2st'!$Q$2:$Q$317=$A56),--ISNUMBER('Данные 2st'!$MU$2:$MU$317))</f>
        <v>0</v>
      </c>
      <c r="RC56">
        <f>SUMPRODUCT(--('Данные 2st'!$Q$2:$Q$317=$A56),--ISNUMBER('Данные 2st'!$MV$2:$MV$317))</f>
        <v>0</v>
      </c>
      <c r="RD56">
        <f>SUMPRODUCT(--('Данные 2st'!$Q$2:$Q$317=$A56),--ISNUMBER('Данные 2st'!$MW$2:$MW$317))</f>
        <v>0</v>
      </c>
      <c r="RE56">
        <f>SUMPRODUCT(--('Данные 2st'!$Q$2:$Q$317=$A56),--ISNUMBER('Данные 2st'!$MX$2:$MX$317))</f>
        <v>0</v>
      </c>
      <c r="RF56">
        <f>SUMPRODUCT(--('Данные 2st'!$Q$2:$Q$317=$A56),--ISNUMBER('Данные 2st'!$MY$2:$MY$317))</f>
        <v>0</v>
      </c>
      <c r="RG56">
        <f>SUMPRODUCT(--('Данные 2st'!$Q$2:$Q$317=$A56),--ISNUMBER('Данные 2st'!$MZ$2:$MZ$317))</f>
        <v>0</v>
      </c>
      <c r="RH56">
        <f>SUMPRODUCT(--('Данные 2st'!$Q$2:$Q$317=$A56),--ISNUMBER('Данные 2st'!$NA$2:$NA$317))</f>
        <v>0</v>
      </c>
      <c r="RI56">
        <f>SUMPRODUCT(--('Данные 2st'!$Q$2:$Q$317=$A56),--ISNUMBER('Данные 2st'!$NB$2:$NB$317))</f>
        <v>0</v>
      </c>
      <c r="RJ56">
        <f>SUMPRODUCT(--('Данные 2st'!$Q$2:$Q$317=$A56),--ISNUMBER('Данные 2st'!$NC$2:$NC$317))</f>
        <v>0</v>
      </c>
      <c r="RK56">
        <f>SUMPRODUCT(--('Данные 2st'!$Q$2:$Q$317=$A56),--ISNUMBER('Данные 2st'!$ND$2:$ND$317))</f>
        <v>0</v>
      </c>
      <c r="RL56">
        <f>SUMPRODUCT(--('Данные 2st'!$Q$2:$Q$317=$A56),--ISNUMBER('Данные 2st'!$NE$2:$NE$317))</f>
        <v>0</v>
      </c>
      <c r="RM56">
        <f>SUMPRODUCT(--('Данные 2st'!$Q$2:$Q$317=$A56),--ISNUMBER('Данные 2st'!$NF$2:$NF$317))</f>
        <v>0</v>
      </c>
      <c r="RN56">
        <f>SUMPRODUCT(--('Данные 2st'!$Q$2:$Q$317=$A56),--ISNUMBER('Данные 2st'!$NG$2:$NG$317))</f>
        <v>0</v>
      </c>
      <c r="RO56">
        <f>SUMPRODUCT(--('Данные 2st'!$Q$2:$Q$317=$A56),--ISNUMBER('Данные 2st'!$NH$2:$NH$317))</f>
        <v>0</v>
      </c>
      <c r="RP56">
        <f>SUMPRODUCT(--('Данные 2st'!$Q$2:$Q$317=$A56),--ISNUMBER('Данные 2st'!$NJ$2:$NJ$317))</f>
        <v>0</v>
      </c>
      <c r="RQ56">
        <f>SUMPRODUCT(--('Данные 2st'!$Q$2:$Q$317=$A56),--ISNUMBER('Данные 2st'!$NK$2:$NK$317))</f>
        <v>0</v>
      </c>
      <c r="RR56">
        <f>SUMPRODUCT(--('Данные 2st'!$Q$2:$Q$317=$A56),--ISNUMBER('Данные 2st'!$NM$2:$NM$317))</f>
        <v>0</v>
      </c>
      <c r="RS56">
        <f>SUMPRODUCT(--('Данные 2st'!$Q$2:$Q$317=$A56),--ISNUMBER('Данные 2st'!$NN$2:$NN$317))</f>
        <v>0</v>
      </c>
      <c r="RT56">
        <f>SUMPRODUCT(--('Данные 2st'!$Q$2:$Q$317=$A56),--ISNUMBER('Данные 2st'!$NO$2:$NO$317))</f>
        <v>0</v>
      </c>
      <c r="RU56">
        <f>SUMPRODUCT(--('Данные 2st'!$Q$2:$Q$317=$A56),--ISNUMBER('Данные 2st'!$NP$2:$NP$317))</f>
        <v>0</v>
      </c>
      <c r="RV56">
        <f>SUMPRODUCT(--('Данные 2st'!$Q$2:$Q$317=$A56),--ISNUMBER('Данные 2st'!$NQ$2:$NQ$317))</f>
        <v>0</v>
      </c>
      <c r="RW56">
        <f>SUMPRODUCT(--('Данные 2st'!$Q$2:$Q$317=$A56),--ISNUMBER('Данные 2st'!$NR$2:$NR$317))</f>
        <v>0</v>
      </c>
      <c r="RX56">
        <f>SUMPRODUCT(--('Данные 2st'!$Q$2:$Q$317=$A56),--ISNUMBER('Данные 2st'!$NS$2:$NS$317))</f>
        <v>0</v>
      </c>
      <c r="RY56">
        <f>SUMPRODUCT(--('Данные 2st'!$Q$2:$Q$317=$A56),--ISNUMBER('Данные 2st'!$NT$2:$NT$317))</f>
        <v>0</v>
      </c>
      <c r="RZ56">
        <f>SUMPRODUCT(--('Данные 2st'!$Q$2:$Q$317=$A56),--ISNUMBER('Данные 2st'!$OK$2:$OK$317))</f>
        <v>1</v>
      </c>
      <c r="SA56">
        <f>SUMPRODUCT(--('Данные 2st'!$Q$2:$Q$317=$A56),--ISNUMBER('Данные 2st'!$OL$2:$OL$317))</f>
        <v>1</v>
      </c>
      <c r="SB56">
        <f>SUMPRODUCT(--('Данные 2st'!$Q$2:$Q$317=$A56),--ISNUMBER('Данные 2st'!$ON$2:$ON$317))</f>
        <v>1</v>
      </c>
      <c r="SC56">
        <f>SUMPRODUCT(--('Данные 2st'!$Q$2:$Q$317=$A56),--ISNUMBER('Данные 2st'!$OO$2:$OO$317))</f>
        <v>1</v>
      </c>
      <c r="SD56">
        <f>SUMPRODUCT(--('Данные 2st'!$Q$2:$Q$317=$A56),--ISNUMBER('Данные 2st'!$OP$2:$OP$317))</f>
        <v>1</v>
      </c>
      <c r="SE56">
        <f>SUMPRODUCT(--('Данные 2st'!$Q$2:$Q$317=$A56),--ISNUMBER('Данные 2st'!$OQ$2:$OQ$317))</f>
        <v>1</v>
      </c>
      <c r="SF56">
        <f>SUMPRODUCT(--('Данные 2st'!$Q$2:$Q$317=$A56),--ISNUMBER('Данные 2st'!$OS$2:$OS$317))</f>
        <v>1</v>
      </c>
      <c r="SG56">
        <f>SUMPRODUCT(--('Данные 2st'!$Q$2:$Q$317=$A56),--ISNUMBER('Данные 2st'!$OT$2:$OT$317))</f>
        <v>1</v>
      </c>
      <c r="SH56">
        <f>SUMPRODUCT(--('Данные 2st'!$Q$2:$Q$317=$A56),--ISNUMBER('Данные 2st'!$OU$2:$OU$317))</f>
        <v>1</v>
      </c>
      <c r="SI56">
        <f>SUMPRODUCT(--('Данные 2st'!$Q$2:$Q$317=$A56),--ISNUMBER('Данные 2st'!$OV$2:$OV$317))</f>
        <v>1</v>
      </c>
      <c r="SJ56">
        <f>SUMPRODUCT(--('Данные 2st'!$Q$2:$Q$317=$A56),--ISNUMBER('Данные 2st'!$OX$2:$OX$317))</f>
        <v>1</v>
      </c>
      <c r="SK56">
        <f>SUMPRODUCT(--('Данные 2st'!$Q$2:$Q$317=$A56),--ISNUMBER('Данные 2st'!$OY$2:$OY$317))</f>
        <v>1</v>
      </c>
      <c r="SL56">
        <f>SUMPRODUCT(--('Данные 2st'!$Q$2:$Q$317=$A56),--ISNUMBER('Данные 2st'!$OZ$2:$OZ$317))</f>
        <v>1</v>
      </c>
      <c r="SM56">
        <f>SUMPRODUCT(--('Данные 2st'!$Q$2:$Q$317=$A56),--ISNUMBER('Данные 2st'!$PA$2:$PA$317))</f>
        <v>1</v>
      </c>
      <c r="SN56">
        <f>SUMPRODUCT(--('Данные 2st'!$Q$2:$Q$317=$A56),--ISNUMBER('Данные 2st'!$PC$2:$PC$317))</f>
        <v>1</v>
      </c>
      <c r="SO56">
        <f>SUMPRODUCT(--('Данные 2st'!$Q$2:$Q$317=$A56),--ISNUMBER('Данные 2st'!$PD$2:$PD$317))</f>
        <v>1</v>
      </c>
      <c r="SP56">
        <f>SUMPRODUCT(--('Данные 2st'!$Q$2:$Q$317=$A56),--ISNUMBER('Данные 2st'!$PF$2:$PF$317))</f>
        <v>1</v>
      </c>
      <c r="SQ56">
        <f>SUMPRODUCT(--('Данные 2st'!$Q$2:$Q$317=$A56),--ISNUMBER('Данные 2st'!$PG$2:$PG$317))</f>
        <v>1</v>
      </c>
      <c r="SR56">
        <f>SUMPRODUCT(--('Данные 2st'!$Q$2:$Q$317=$A56),--ISNUMBER('Данные 2st'!$PH$2:$PH$317))</f>
        <v>1</v>
      </c>
      <c r="SS56">
        <f>SUMPRODUCT(--('Данные 2st'!$Q$2:$Q$317=$A56),--ISNUMBER('Данные 2st'!$PI$2:$PI$317))</f>
        <v>1</v>
      </c>
      <c r="ST56">
        <f>SUMPRODUCT(--('Данные 2st'!$Q$2:$Q$317=$A56),--ISNUMBER('Данные 2st'!$PJ$2:$PJ$317))</f>
        <v>1</v>
      </c>
      <c r="SU56">
        <f>SUMPRODUCT(--('Данные 2st'!$Q$2:$Q$317=$A56),--ISNUMBER('Данные 2st'!$PK$2:$PK$317))</f>
        <v>0</v>
      </c>
      <c r="SV56">
        <f>SUMPRODUCT(--('Данные 2st'!$Q$2:$Q$317=$A56),--ISNUMBER('Данные 2st'!$PL$2:$PL$317))</f>
        <v>1</v>
      </c>
      <c r="SW56">
        <f>SUMPRODUCT(--('Данные 2st'!$Q$2:$Q$317=$A56),--ISNUMBER('Данные 2st'!$PM$2:$PM$317))</f>
        <v>1</v>
      </c>
      <c r="SX56">
        <f>SUMPRODUCT(--('Данные 2st'!$Q$2:$Q$317=$A56),--ISNUMBER('Данные 2st'!$PN$2:$PN$317))</f>
        <v>1</v>
      </c>
      <c r="SY56">
        <f>SUMPRODUCT(--('Данные 2st'!$Q$2:$Q$317=$A56),--ISNUMBER('Данные 2st'!$PO$2:$PO$317))</f>
        <v>1</v>
      </c>
      <c r="SZ56">
        <f>SUMPRODUCT(--('Данные 2st'!$Q$2:$Q$317=$A56),--ISNUMBER('Данные 2st'!$PP$2:$PP$317))</f>
        <v>1</v>
      </c>
      <c r="TA56">
        <f>SUMPRODUCT(--('Данные 2st'!$Q$2:$Q$317=$A56),--ISNUMBER('Данные 2st'!$PQ$2:$PQ$317))</f>
        <v>1</v>
      </c>
      <c r="TB56">
        <f>SUMPRODUCT(--('Данные 2st'!$Q$2:$Q$317=$A56),--ISNUMBER('Данные 2st'!$PR$2:$PR$317))</f>
        <v>1</v>
      </c>
      <c r="TC56">
        <f>SUMPRODUCT(--('Данные 2st'!$Q$2:$Q$317=$A56),--ISNUMBER('Данные 2st'!$PS$2:$PS$317))</f>
        <v>1</v>
      </c>
      <c r="TD56">
        <f>SUMPRODUCT(--('Данные 2st'!$Q$2:$Q$317=$A56),--ISNUMBER('Данные 2st'!$PT$2:$PT$317))</f>
        <v>1</v>
      </c>
      <c r="TE56">
        <f>SUMPRODUCT(--('Данные 2st'!$Q$2:$Q$317=$A56),--ISNUMBER('Данные 2st'!$PU$2:$PU$317))</f>
        <v>1</v>
      </c>
      <c r="TF56">
        <f>SUMPRODUCT(--('Данные 2st'!$Q$2:$Q$317=$A56),--ISNUMBER('Данные 2st'!$PX$2:$PX$317))</f>
        <v>1</v>
      </c>
      <c r="TG56">
        <f>SUMPRODUCT(--('Данные 2st'!$Q$2:$Q$317=$A56),--ISNUMBER('Данные 2st'!$PY$2:$PY$317))</f>
        <v>1</v>
      </c>
      <c r="TH56">
        <f>SUMPRODUCT(--('Данные 2st'!$Q$2:$Q$317=$A56),--ISNUMBER('Данные 2st'!$PZ$2:$PZ$317))</f>
        <v>1</v>
      </c>
      <c r="TI56">
        <f>SUMPRODUCT(--('Данные 2st'!$Q$2:$Q$317=$A56),--ISNUMBER('Данные 2st'!$QA$2:$QA$317))</f>
        <v>1</v>
      </c>
      <c r="TJ56">
        <f>SUMPRODUCT(--('Данные 2st'!$Q$2:$Q$317=$A56),--ISNUMBER('Данные 2st'!$QB$2:$QB$317))</f>
        <v>1</v>
      </c>
      <c r="TK56">
        <f>SUMPRODUCT(--('Данные 2st'!$Q$2:$Q$317=$A56),--ISNUMBER('Данные 2st'!$QC$2:$QC$317))</f>
        <v>1</v>
      </c>
      <c r="TL56">
        <f>SUMPRODUCT(--('Данные 2st'!$Q$2:$Q$317=$A56),--ISNUMBER('Данные 2st'!$QD$2:$QD$317))</f>
        <v>1</v>
      </c>
      <c r="TM56">
        <f>SUMPRODUCT(--('Данные 2st'!$Q$2:$Q$317=$A56),--ISNUMBER('Данные 2st'!$QE$2:$QE$317))</f>
        <v>1</v>
      </c>
      <c r="TN56">
        <f>SUMPRODUCT(--('Данные 2st'!$Q$2:$Q$317=$A56),--ISNUMBER('Данные 2st'!$QF$2:$QF$317))</f>
        <v>1</v>
      </c>
      <c r="TO56">
        <f>SUMPRODUCT(--('Данные 2st'!$Q$2:$Q$317=$A56),--ISNUMBER('Данные 2st'!$QG$2:$QG$317))</f>
        <v>1</v>
      </c>
      <c r="TP56">
        <f>SUMPRODUCT(--('Данные 2st'!$Q$2:$Q$317=$A56),--ISNUMBER('Данные 2st'!$QH$2:$QH$317))</f>
        <v>1</v>
      </c>
      <c r="TQ56">
        <f>SUMPRODUCT(--('Данные 2st'!$Q$2:$Q$317=$A56),--ISNUMBER('Данные 2st'!$QI$2:$QI$317))</f>
        <v>1</v>
      </c>
      <c r="TR56">
        <f>SUMPRODUCT(--('Данные 2st'!$Q$2:$Q$317=$A56),--ISNUMBER('Данные 2st'!$QJ$2:$QJ$317))</f>
        <v>1</v>
      </c>
      <c r="TS56">
        <f>SUMPRODUCT(--('Данные 2st'!$Q$2:$Q$317=$A56),--ISNUMBER('Данные 2st'!$QK$2:$QK$317))</f>
        <v>1</v>
      </c>
      <c r="TT56">
        <f>SUMPRODUCT(--('Данные 2st'!$Q$2:$Q$317=$A56),--ISNUMBER('Данные 2st'!$QL$2:$QL$317))</f>
        <v>1</v>
      </c>
      <c r="TU56">
        <f>SUMPRODUCT(--('Данные 2st'!$Q$2:$Q$317=$A56),--ISNUMBER('Данные 2st'!$QM$2:$QM$317))</f>
        <v>1</v>
      </c>
      <c r="TV56">
        <f>SUMPRODUCT(--('Данные 2st'!$Q$2:$Q$317=$A56),--ISNUMBER('Данные 2st'!$QN$2:$QN$317))</f>
        <v>1</v>
      </c>
      <c r="TW56">
        <f>SUMPRODUCT(--('Данные 2st'!$Q$2:$Q$317=$A56),--ISNUMBER('Данные 2st'!$QQ$2:$QQ$317))</f>
        <v>1</v>
      </c>
      <c r="TX56">
        <f>SUMPRODUCT(--('Данные 2st'!$Q$2:$Q$317=$A56),--ISNUMBER('Данные 2st'!$QS$2:$QS$317))</f>
        <v>1</v>
      </c>
      <c r="TY56">
        <f>SUMPRODUCT(--('Данные 2st'!$Q$2:$Q$317=$A56),--ISNUMBER('Данные 2st'!$QT$2:$QT$317))</f>
        <v>1</v>
      </c>
    </row>
    <row r="57" spans="1:545" ht="32" customHeight="1">
      <c r="A57" s="11" t="str">
        <f>'По размерам'!A57</f>
        <v>245/40R20</v>
      </c>
      <c r="G57">
        <f>SUMPRODUCT(--('Данные 1st'!$S$2:$S$317=$A57),--ISNUMBER('Данные 1st'!$AE$2:$AE$317))</f>
        <v>2</v>
      </c>
      <c r="H57">
        <f>SUMPRODUCT(--('Данные 1st'!$S$2:$S$317=$A57),--ISNUMBER('Данные 1st'!$AF$2:$AF$317))</f>
        <v>2</v>
      </c>
      <c r="I57">
        <f>SUMPRODUCT(--('Данные 1st'!$S$2:$S$317=$A57),--ISNUMBER('Данные 1st'!$AJ$2:$AJ$317))</f>
        <v>2</v>
      </c>
      <c r="J57">
        <f>SUMPRODUCT(--('Данные 1st'!$S$2:$S$317=$A57),--ISNUMBER('Данные 1st'!$AL$2:$AL$317))</f>
        <v>2</v>
      </c>
      <c r="K57">
        <f>SUMPRODUCT(--('Данные 1st'!$S$2:$S$317=$A57),--ISNUMBER('Данные 1st'!$AR$2:$AR$317))</f>
        <v>2</v>
      </c>
      <c r="L57">
        <f>SUMPRODUCT(--('Данные 1st'!$S$2:$S$317=$A57),--ISNUMBER('Данные 1st'!$AS$2:$AS$317))</f>
        <v>2</v>
      </c>
      <c r="M57">
        <f>SUMPRODUCT(--('Данные 1st'!$S$2:$S$317=$A57),--ISNUMBER('Данные 1st'!$AY$2:$AY$317))</f>
        <v>2</v>
      </c>
      <c r="N57">
        <f>SUMPRODUCT(--('Данные 1st'!$S$2:$S$317=$A57),--ISNUMBER('Данные 1st'!$AZ$2:$AZ$317))</f>
        <v>2</v>
      </c>
      <c r="O57">
        <f>SUMPRODUCT(--('Данные 1st'!$S$2:$S$317=$A57),--ISNUMBER('Данные 1st'!$BF$2:$BF$317))</f>
        <v>2</v>
      </c>
      <c r="P57">
        <f>SUMPRODUCT(--('Данные 1st'!$S$2:$S$317=$A57),--ISNUMBER('Данные 1st'!$BG$2:$BG$317))</f>
        <v>2</v>
      </c>
      <c r="Q57">
        <f>SUMPRODUCT(--('Данные 1st'!$S$2:$S$317=$A57),--ISNUMBER('Данные 1st'!$BM$2:$BM$317))</f>
        <v>0</v>
      </c>
      <c r="R57">
        <f>SUMPRODUCT(--('Данные 1st'!$S$2:$S$317=$A57),--ISNUMBER('Данные 1st'!$BN$2:$BN$317))</f>
        <v>2</v>
      </c>
      <c r="S57">
        <f>SUMPRODUCT(--('Данные 1st'!$S$2:$S$317=$A57),--ISNUMBER('Данные 1st'!$BT$2:$BT$317))</f>
        <v>2</v>
      </c>
      <c r="T57">
        <f>SUMPRODUCT(--('Данные 1st'!$S$2:$S$317=$A57),--ISNUMBER('Данные 1st'!$BU$2:$BU$317))</f>
        <v>2</v>
      </c>
      <c r="U57">
        <f>SUMPRODUCT(--('Данные 1st'!$S$2:$S$317=$A57),--ISNUMBER('Данные 1st'!$BW$2:$BW$317))</f>
        <v>2</v>
      </c>
      <c r="V57">
        <f>SUMPRODUCT(--('Данные 1st'!$S$2:$S$317=$A57),--ISNUMBER('Данные 1st'!$BX$2:$BX$317))</f>
        <v>2</v>
      </c>
      <c r="W57">
        <f>SUMPRODUCT(--('Данные 1st'!$S$2:$S$317=$A57),--ISNUMBER('Данные 1st'!$BZ$2:$BZ$317))</f>
        <v>2</v>
      </c>
      <c r="X57">
        <f>SUMPRODUCT(--('Данные 1st'!$S$2:$S$317=$A57),--ISNUMBER('Данные 1st'!$CA$2:$CA$317))</f>
        <v>2</v>
      </c>
      <c r="Y57">
        <f>SUMPRODUCT(--('Данные 1st'!$S$2:$S$317=$A57),--ISNUMBER('Данные 1st'!$CD$2:$CD$317))</f>
        <v>2</v>
      </c>
      <c r="Z57">
        <f>SUMPRODUCT(--('Данные 1st'!$S$2:$S$317=$A57),--ISNUMBER('Данные 1st'!$CF$2:$CF$317))</f>
        <v>2</v>
      </c>
      <c r="AA57">
        <f>SUMPRODUCT(--('Данные 1st'!$S$2:$S$317=$A57),--ISNUMBER('Данные 1st'!$CI$2:$CI$317))</f>
        <v>2</v>
      </c>
      <c r="AB57">
        <f>SUMPRODUCT(--('Данные 1st'!$S$2:$S$317=$A57),--ISNUMBER('Данные 1st'!$CJ$2:$CJ$317))</f>
        <v>2</v>
      </c>
      <c r="AC57">
        <f>SUMPRODUCT(--('Данные 1st'!$S$2:$S$317=$A57),--ISNUMBER('Данные 1st'!$CK$2:$CK$317))</f>
        <v>2</v>
      </c>
      <c r="AD57">
        <f>SUMPRODUCT(--('Данные 1st'!$S$2:$S$317=$A57),--ISNUMBER('Данные 1st'!$CL$2:$CL$317))</f>
        <v>2</v>
      </c>
      <c r="AE57">
        <f>SUMPRODUCT(--('Данные 1st'!$S$2:$S$317=$A57),--ISNUMBER('Данные 1st'!$CM$2:$CM$317))</f>
        <v>2</v>
      </c>
      <c r="AF57">
        <f>SUMPRODUCT(--('Данные 1st'!$S$2:$S$317=$A57),--ISNUMBER('Данные 1st'!$CT$2:$CT$317))</f>
        <v>2</v>
      </c>
      <c r="AG57">
        <f>SUMPRODUCT(--('Данные 1st'!$S$2:$S$317=$A57),--ISNUMBER('Данные 1st'!$CU$2:$CU$317))</f>
        <v>2</v>
      </c>
      <c r="AH57">
        <f>SUMPRODUCT(--('Данные 1st'!$S$2:$S$317=$A57),--ISNUMBER('Данные 1st'!$CV$2:$CV$317))</f>
        <v>2</v>
      </c>
      <c r="AI57">
        <f>SUMPRODUCT(--('Данные 1st'!$S$2:$S$317=$A57),--ISNUMBER('Данные 1st'!$CW$2:$CW$317))</f>
        <v>2</v>
      </c>
      <c r="AJ57">
        <f>SUMPRODUCT(--('Данные 1st'!$S$2:$S$317=$A57),--ISNUMBER('Данные 1st'!$CX$2:$CX$317))</f>
        <v>2</v>
      </c>
      <c r="AK57">
        <f>SUMPRODUCT(--('Данные 1st'!$S$2:$S$317=$A57),--ISNUMBER('Данные 1st'!$CZ$2:$CZ$317))</f>
        <v>2</v>
      </c>
      <c r="AL57">
        <f>SUMPRODUCT(--('Данные 1st'!$S$2:$S$317=$A57),--ISNUMBER('Данные 1st'!$DA$2:$DA$317))</f>
        <v>2</v>
      </c>
      <c r="AM57">
        <f>SUMPRODUCT(--('Данные 1st'!$S$2:$S$317=$A57),--ISNUMBER('Данные 1st'!$DB$2:$DB$317))</f>
        <v>2</v>
      </c>
      <c r="AN57">
        <f>SUMPRODUCT(--('Данные 1st'!$S$2:$S$317=$A57),--ISNUMBER('Данные 1st'!$DC$2:$DC$317))</f>
        <v>2</v>
      </c>
      <c r="AO57">
        <f>SUMPRODUCT(--('Данные 1st'!$S$2:$S$317=$A57),--ISNUMBER('Данные 1st'!$DD$2:$DD$317))</f>
        <v>2</v>
      </c>
      <c r="AP57">
        <f>SUMPRODUCT(--('Данные 1st'!$S$2:$S$317=$A57),--ISNUMBER('Данные 1st'!$DF$2:$DF$317))</f>
        <v>2</v>
      </c>
      <c r="AQ57">
        <f>SUMPRODUCT(--('Данные 1st'!$S$2:$S$317=$A57),--ISNUMBER('Данные 1st'!$DG$2:$DG$317))</f>
        <v>2</v>
      </c>
      <c r="AR57">
        <f>SUMPRODUCT(--('Данные 1st'!$S$2:$S$317=$A57),--ISNUMBER('Данные 1st'!$DH$2:$DH$317))</f>
        <v>2</v>
      </c>
      <c r="AS57">
        <f>SUMPRODUCT(--('Данные 1st'!$S$2:$S$317=$A57),--ISNUMBER('Данные 1st'!$DI$2:$DI$317))</f>
        <v>2</v>
      </c>
      <c r="AT57">
        <f>SUMPRODUCT(--('Данные 1st'!$S$2:$S$317=$A57),--ISNUMBER('Данные 1st'!$DJ$2:$DJ$317))</f>
        <v>2</v>
      </c>
      <c r="AU57">
        <f>SUMPRODUCT(--('Данные 1st'!$S$2:$S$317=$A57),--ISNUMBER('Данные 1st'!$DL$2:$DL$317))</f>
        <v>2</v>
      </c>
      <c r="AV57">
        <f>SUMPRODUCT(--('Данные 1st'!$S$2:$S$317=$A57),--ISNUMBER('Данные 1st'!$DM$2:$DM$317))</f>
        <v>2</v>
      </c>
      <c r="AW57">
        <f>SUMPRODUCT(--('Данные 1st'!$S$2:$S$317=$A57),--ISNUMBER('Данные 1st'!$DN$2:$DN$317))</f>
        <v>2</v>
      </c>
      <c r="AX57">
        <f>SUMPRODUCT(--('Данные 1st'!$S$2:$S$317=$A57),--ISNUMBER('Данные 1st'!$DO$2:$DO$317))</f>
        <v>2</v>
      </c>
      <c r="AY57">
        <f>SUMPRODUCT(--('Данные 1st'!$S$2:$S$317=$A57),--ISNUMBER('Данные 1st'!$DP$2:$DP$317))</f>
        <v>2</v>
      </c>
      <c r="AZ57">
        <f>SUMPRODUCT(--('Данные 1st'!$S$2:$S$317=$A57),--ISNUMBER('Данные 1st'!$DR$2:$DR$317))</f>
        <v>0</v>
      </c>
      <c r="BA57">
        <f>SUMPRODUCT(--('Данные 1st'!$S$2:$S$317=$A57),--ISNUMBER('Данные 1st'!$DS$2:$DS$317))</f>
        <v>0</v>
      </c>
      <c r="BB57">
        <f>SUMPRODUCT(--('Данные 1st'!$S$2:$S$317=$A57),--ISNUMBER('Данные 1st'!$DT$2:$DT$317))</f>
        <v>0</v>
      </c>
      <c r="BC57">
        <f>SUMPRODUCT(--('Данные 1st'!$S$2:$S$317=$A57),--ISNUMBER('Данные 1st'!$DU$2:$DU$317))</f>
        <v>0</v>
      </c>
      <c r="BD57">
        <f>SUMPRODUCT(--('Данные 1st'!$S$2:$S$317=$A57),--ISNUMBER('Данные 1st'!$DV$2:$DV$317))</f>
        <v>0</v>
      </c>
      <c r="BE57">
        <f>SUMPRODUCT(--('Данные 1st'!$S$2:$S$317=$A57),--ISNUMBER('Данные 1st'!$DX$2:$DX$317))</f>
        <v>2</v>
      </c>
      <c r="BF57">
        <f>SUMPRODUCT(--('Данные 1st'!$S$2:$S$317=$A57),--ISNUMBER('Данные 1st'!$EA$2:$EA$317))</f>
        <v>2</v>
      </c>
      <c r="BG57">
        <f>SUMPRODUCT(--('Данные 1st'!$S$2:$S$317=$A57),--ISNUMBER('Данные 1st'!$EB$2:$EB$317))</f>
        <v>2</v>
      </c>
      <c r="BH57">
        <f>SUMPRODUCT(--('Данные 1st'!$S$2:$S$317=$A57),--ISNUMBER('Данные 1st'!$ED$2:$ED$317))</f>
        <v>2</v>
      </c>
      <c r="BI57">
        <f>SUMPRODUCT(--('Данные 1st'!$S$2:$S$317=$A57),--ISNUMBER('Данные 1st'!$EE$2:$EE$317))</f>
        <v>0</v>
      </c>
      <c r="BJ57">
        <f>SUMPRODUCT(--('Данные 1st'!$S$2:$S$317=$A57),--ISNUMBER('Данные 1st'!$EG$2:$EG$317))</f>
        <v>2</v>
      </c>
      <c r="BK57">
        <f>SUMPRODUCT(--('Данные 1st'!$S$2:$S$317=$A57),--ISNUMBER('Данные 1st'!$EH$2:$EH$317))</f>
        <v>2</v>
      </c>
      <c r="BL57">
        <f>SUMPRODUCT(--('Данные 1st'!$S$2:$S$317=$A57),--ISNUMBER('Данные 1st'!$EJ$2:$EJ$317))</f>
        <v>2</v>
      </c>
      <c r="BM57">
        <f>SUMPRODUCT(--('Данные 1st'!$S$2:$S$317=$A57),--ISNUMBER('Данные 1st'!$EK$2:$EK$317))</f>
        <v>2</v>
      </c>
      <c r="BN57">
        <f>SUMPRODUCT(--('Данные 1st'!$S$2:$S$317=$A57),--ISNUMBER('Данные 1st'!$EN$2:$EN$317))</f>
        <v>2</v>
      </c>
      <c r="BO57">
        <f>SUMPRODUCT(--('Данные 1st'!$S$2:$S$317=$A57),--ISNUMBER('Данные 1st'!$EQ$2:$EQ$317))</f>
        <v>2</v>
      </c>
      <c r="BP57">
        <f>SUMPRODUCT(--('Данные 1st'!$S$2:$S$317=$A57),--ISNUMBER('Данные 1st'!$ER$2:$ER$317))</f>
        <v>2</v>
      </c>
      <c r="BQ57">
        <f>SUMPRODUCT(--('Данные 1st'!$S$2:$S$317=$A57),--ISNUMBER('Данные 1st'!$ES$2:$ES$317))</f>
        <v>2</v>
      </c>
      <c r="BR57">
        <f>SUMPRODUCT(--('Данные 1st'!$S$2:$S$317=$A57),--ISNUMBER('Данные 1st'!$ET$2:$ET$317))</f>
        <v>2</v>
      </c>
      <c r="BS57">
        <f>SUMPRODUCT(--('Данные 1st'!$S$2:$S$317=$A57),--ISNUMBER('Данные 1st'!$EU$2:$EU$317))</f>
        <v>2</v>
      </c>
      <c r="BT57">
        <f>SUMPRODUCT(--('Данные 1st'!$S$2:$S$317=$A57),--ISNUMBER('Данные 1st'!$EV$2:$EV$317))</f>
        <v>2</v>
      </c>
      <c r="BU57">
        <f>SUMPRODUCT(--('Данные 1st'!$S$2:$S$317=$A57),--ISNUMBER('Данные 1st'!$EX$2:$EX$317))</f>
        <v>2</v>
      </c>
      <c r="BV57">
        <f>SUMPRODUCT(--('Данные 1st'!$S$2:$S$317=$A57),--ISNUMBER('Данные 1st'!$EY$2:$EY$317))</f>
        <v>2</v>
      </c>
      <c r="BW57">
        <f>SUMPRODUCT(--('Данные 1st'!$S$2:$S$317=$A57),--ISNUMBER('Данные 1st'!$EZ$2:$EZ$317))</f>
        <v>2</v>
      </c>
      <c r="BX57">
        <f>SUMPRODUCT(--('Данные 1st'!$S$2:$S$317=$A57),--ISNUMBER('Данные 1st'!$FA$2:$FA$317))</f>
        <v>2</v>
      </c>
      <c r="BY57">
        <f>SUMPRODUCT(--('Данные 1st'!$S$2:$S$317=$A57),--ISNUMBER('Данные 1st'!$FB$2:$FB$317))</f>
        <v>2</v>
      </c>
      <c r="BZ57">
        <f>SUMPRODUCT(--('Данные 1st'!$S$2:$S$317=$A57),--ISNUMBER('Данные 1st'!$FC$2:$FC$317))</f>
        <v>2</v>
      </c>
      <c r="CA57">
        <f>SUMPRODUCT(--('Данные 1st'!$S$2:$S$317=$A57),--ISNUMBER('Данные 1st'!$FE$2:$FE$317))</f>
        <v>2</v>
      </c>
      <c r="CB57">
        <f>SUMPRODUCT(--('Данные 1st'!$S$2:$S$317=$A57),--ISNUMBER('Данные 1st'!$FF$2:$FF$317))</f>
        <v>2</v>
      </c>
      <c r="CC57">
        <f>SUMPRODUCT(--('Данные 1st'!$S$2:$S$317=$A57),--ISNUMBER('Данные 1st'!$FI$2:$FI$317))</f>
        <v>2</v>
      </c>
      <c r="CD57">
        <f>SUMPRODUCT(--('Данные 1st'!$S$2:$S$317=$A57),--ISNUMBER('Данные 1st'!$FL$2:$FL$317))</f>
        <v>2</v>
      </c>
      <c r="CE57">
        <f>SUMPRODUCT(--('Данные 1st'!$S$2:$S$317=$A57),--ISNUMBER('Данные 1st'!$FM$2:$FM$317))</f>
        <v>2</v>
      </c>
      <c r="CF57">
        <f>SUMPRODUCT(--('Данные 1st'!$S$2:$S$317=$A57),--ISNUMBER('Данные 1st'!$FN$2:$FN$317))</f>
        <v>2</v>
      </c>
      <c r="CG57">
        <f>SUMPRODUCT(--('Данные 1st'!$S$2:$S$317=$A57),--ISNUMBER('Данные 1st'!$FO$2:$FO$317))</f>
        <v>2</v>
      </c>
      <c r="CH57">
        <f>SUMPRODUCT(--('Данные 1st'!$S$2:$S$317=$A57),--ISNUMBER('Данные 1st'!$FP$2:$FP$317))</f>
        <v>2</v>
      </c>
      <c r="CI57">
        <f>SUMPRODUCT(--('Данные 1st'!$S$2:$S$317=$A57),--ISNUMBER('Данные 1st'!$FS$2:$FS$317))</f>
        <v>0</v>
      </c>
      <c r="CJ57">
        <f>SUMPRODUCT(--('Данные 1st'!$S$2:$S$317=$A57),--ISNUMBER('Данные 1st'!$FT$2:$FT$317))</f>
        <v>0</v>
      </c>
      <c r="CK57">
        <f>SUMPRODUCT(--('Данные 1st'!$S$2:$S$317=$A57),--ISNUMBER('Данные 1st'!$FU$2:$FU$317))</f>
        <v>0</v>
      </c>
      <c r="CL57">
        <f>SUMPRODUCT(--('Данные 1st'!$S$2:$S$317=$A57),--ISNUMBER('Данные 1st'!$FV$2:$FV$317))</f>
        <v>0</v>
      </c>
      <c r="CM57">
        <f>SUMPRODUCT(--('Данные 1st'!$S$2:$S$317=$A57),--ISNUMBER('Данные 1st'!$FW$2:$FW$317))</f>
        <v>0</v>
      </c>
      <c r="CN57">
        <f>SUMPRODUCT(--('Данные 1st'!$S$2:$S$317=$A57),--ISNUMBER('Данные 1st'!$FZ$2:$FZ$317))</f>
        <v>0</v>
      </c>
      <c r="CO57">
        <f>SUMPRODUCT(--('Данные 1st'!$S$2:$S$317=$A57),--ISNUMBER('Данные 1st'!$GA$2:$GA$317))</f>
        <v>0</v>
      </c>
      <c r="CP57">
        <f>SUMPRODUCT(--('Данные 1st'!$S$2:$S$317=$A57),--ISNUMBER('Данные 1st'!$GB$2:$GB$317))</f>
        <v>0</v>
      </c>
      <c r="CQ57">
        <f>SUMPRODUCT(--('Данные 1st'!$S$2:$S$317=$A57),--ISNUMBER('Данные 1st'!$GH$2:$GH$317))</f>
        <v>0</v>
      </c>
      <c r="CR57">
        <f>SUMPRODUCT(--('Данные 1st'!$S$2:$S$317=$A57),--ISNUMBER('Данные 1st'!$GI$2:$GI$317))</f>
        <v>0</v>
      </c>
      <c r="CS57">
        <f>SUMPRODUCT(--('Данные 1st'!$S$2:$S$317=$A57),--ISNUMBER('Данные 1st'!$GJ$2:$GJ$317))</f>
        <v>0</v>
      </c>
      <c r="CT57">
        <f>SUMPRODUCT(--('Данные 1st'!$S$2:$S$317=$A57),--ISNUMBER('Данные 1st'!$GS$2:$GS$317))</f>
        <v>2</v>
      </c>
      <c r="CU57">
        <f>SUMPRODUCT(--('Данные 1st'!$S$2:$S$317=$A57),--ISNUMBER('Данные 1st'!$GT$2:$GT$317))</f>
        <v>2</v>
      </c>
      <c r="CV57">
        <f>SUMPRODUCT(--('Данные 1st'!$S$2:$S$317=$A57),--ISNUMBER('Данные 1st'!$GU$2:$GU$317))</f>
        <v>2</v>
      </c>
      <c r="CW57">
        <f>SUMPRODUCT(--('Данные 1st'!$S$2:$S$317=$A57),--ISNUMBER('Данные 1st'!$GV$2:$GV$317))</f>
        <v>1</v>
      </c>
      <c r="CX57">
        <f>SUMPRODUCT(--('Данные 1st'!$S$2:$S$317=$A57),--ISNUMBER('Данные 1st'!$GW$2:$GW$317))</f>
        <v>1</v>
      </c>
      <c r="CY57">
        <f>SUMPRODUCT(--('Данные 1st'!$S$2:$S$317=$A57),--ISNUMBER('Данные 1st'!$GZ$2:$GZ$317))</f>
        <v>2</v>
      </c>
      <c r="CZ57">
        <f>SUMPRODUCT(--('Данные 1st'!$S$2:$S$317=$A57),--ISNUMBER('Данные 1st'!$HA$2:$HA$317))</f>
        <v>2</v>
      </c>
      <c r="DA57">
        <f>SUMPRODUCT(--('Данные 1st'!$S$2:$S$317=$A57),--ISNUMBER('Данные 1st'!$HB$2:$HB$317))</f>
        <v>2</v>
      </c>
      <c r="DB57">
        <f>SUMPRODUCT(--('Данные 1st'!$S$2:$S$317=$A57),--ISNUMBER('Данные 1st'!$HC$2:$HC$317))</f>
        <v>2</v>
      </c>
      <c r="DC57">
        <f>SUMPRODUCT(--('Данные 1st'!$S$2:$S$317=$A57),--ISNUMBER('Данные 1st'!$HD$2:$HD$317))</f>
        <v>2</v>
      </c>
      <c r="DD57">
        <f>SUMPRODUCT(--('Данные 1st'!$S$2:$S$317=$A57),--ISNUMBER('Данные 1st'!$HE$2:$HE$317))</f>
        <v>2</v>
      </c>
      <c r="DE57">
        <f>SUMPRODUCT(--('Данные 1st'!$S$2:$S$317=$A57),--ISNUMBER('Данные 1st'!$HF$2:$HF$317))</f>
        <v>2</v>
      </c>
      <c r="DF57">
        <f>SUMPRODUCT(--('Данные 1st'!$S$2:$S$317=$A57),--ISNUMBER('Данные 1st'!$HG$2:$HG$317))</f>
        <v>2</v>
      </c>
      <c r="DG57">
        <f>SUMPRODUCT(--('Данные 1st'!$S$2:$S$317=$A57),--ISNUMBER('Данные 1st'!$HH$2:$HH$317))</f>
        <v>2</v>
      </c>
      <c r="DH57">
        <f>SUMPRODUCT(--('Данные 1st'!$S$2:$S$317=$A57),--ISNUMBER('Данные 1st'!$HI$2:$HI$317))</f>
        <v>2</v>
      </c>
      <c r="DI57">
        <f>SUMPRODUCT(--('Данные 1st'!$S$2:$S$317=$A57),--ISNUMBER('Данные 1st'!$HJ$2:$HJ$317))</f>
        <v>2</v>
      </c>
      <c r="DJ57">
        <f>SUMPRODUCT(--('Данные 1st'!$S$2:$S$317=$A57),--ISNUMBER('Данные 1st'!$HK$2:$HK$317))</f>
        <v>2</v>
      </c>
      <c r="DK57">
        <f>SUMPRODUCT(--('Данные 1st'!$S$2:$S$317=$A57),--ISNUMBER('Данные 1st'!$HL$2:$HL$317))</f>
        <v>2</v>
      </c>
      <c r="DL57">
        <f>SUMPRODUCT(--('Данные 1st'!$S$2:$S$317=$A57),--ISNUMBER('Данные 1st'!$HM$2:$HM$317))</f>
        <v>2</v>
      </c>
      <c r="DM57">
        <f>SUMPRODUCT(--('Данные 1st'!$S$2:$S$317=$A57),--ISNUMBER('Данные 1st'!$HN$2:$HN$317))</f>
        <v>2</v>
      </c>
      <c r="DN57">
        <f>SUMPRODUCT(--('Данные 1st'!$S$2:$S$317=$A57),--ISNUMBER('Данные 1st'!$HO$2:$HO$317))</f>
        <v>2</v>
      </c>
      <c r="DO57">
        <f>SUMPRODUCT(--('Данные 1st'!$S$2:$S$317=$A57),--ISNUMBER('Данные 1st'!$HP$2:$HP$317))</f>
        <v>2</v>
      </c>
      <c r="DP57">
        <f>SUMPRODUCT(--('Данные 1st'!$S$2:$S$317=$A57),--ISNUMBER('Данные 1st'!$HQ$2:$HQ$317))</f>
        <v>2</v>
      </c>
      <c r="DQ57">
        <f>SUMPRODUCT(--('Данные 1st'!$S$2:$S$317=$A57),--ISNUMBER('Данные 1st'!$HR$2:$HR$317))</f>
        <v>2</v>
      </c>
      <c r="DR57">
        <f>SUMPRODUCT(--('Данные 1st'!$S$2:$S$317=$A57),--ISNUMBER('Данные 1st'!$HS$2:$HS$317))</f>
        <v>2</v>
      </c>
      <c r="DS57">
        <f>SUMPRODUCT(--('Данные 1st'!$S$2:$S$317=$A57),--ISNUMBER('Данные 1st'!$HT$2:$HT$317))</f>
        <v>2</v>
      </c>
      <c r="DT57">
        <f>SUMPRODUCT(--('Данные 1st'!$S$2:$S$317=$A57),--ISNUMBER('Данные 1st'!$HU$2:$HU$317))</f>
        <v>2</v>
      </c>
      <c r="DU57">
        <f>SUMPRODUCT(--('Данные 1st'!$S$2:$S$317=$A57),--ISNUMBER('Данные 1st'!$HW$2:$HW$317))</f>
        <v>2</v>
      </c>
      <c r="DV57">
        <f>SUMPRODUCT(--('Данные 1st'!$S$2:$S$317=$A57),--ISNUMBER('Данные 1st'!$HX$2:$HX$317))</f>
        <v>2</v>
      </c>
      <c r="DW57">
        <f>SUMPRODUCT(--('Данные 1st'!$S$2:$S$317=$A57),--ISNUMBER('Данные 1st'!$HY$2:$HY$317))</f>
        <v>2</v>
      </c>
      <c r="DX57">
        <f>SUMPRODUCT(--('Данные 1st'!$S$2:$S$317=$A57),--ISNUMBER('Данные 1st'!$IA$2:$IA$317))</f>
        <v>2</v>
      </c>
      <c r="DY57">
        <f>SUMPRODUCT(--('Данные 1st'!$S$2:$S$317=$A57),--ISNUMBER('Данные 1st'!$IB$2:$IB$317))</f>
        <v>2</v>
      </c>
      <c r="DZ57">
        <f>SUMPRODUCT(--('Данные 1st'!$S$2:$S$317=$A57),--ISNUMBER('Данные 1st'!$IC$2:$IC$317))</f>
        <v>2</v>
      </c>
      <c r="EA57">
        <f>SUMPRODUCT(--('Данные 1st'!$S$2:$S$317=$A57),--ISNUMBER('Данные 1st'!$ID$2:$ID$317))</f>
        <v>2</v>
      </c>
      <c r="EB57">
        <f>SUMPRODUCT(--('Данные 1st'!$S$2:$S$317=$A57),--ISNUMBER('Данные 1st'!$IE$2:$IE$317))</f>
        <v>2</v>
      </c>
      <c r="EC57">
        <f>SUMPRODUCT(--('Данные 1st'!$S$2:$S$317=$A57),--ISNUMBER('Данные 1st'!$IF$2:$IF$317))</f>
        <v>2</v>
      </c>
      <c r="ED57">
        <f>SUMPRODUCT(--('Данные 1st'!$S$2:$S$317=$A57),--ISNUMBER('Данные 1st'!$IP$2:$IP$317))</f>
        <v>2</v>
      </c>
      <c r="EE57">
        <f>SUMPRODUCT(--('Данные 1st'!$S$2:$S$317=$A57),--ISNUMBER('Данные 1st'!$IV$2:$IV$317))</f>
        <v>2</v>
      </c>
      <c r="EF57">
        <f>SUMPRODUCT(--('Данные 1st'!$S$2:$S$317=$A57),--ISNUMBER('Данные 1st'!$IW$2:$IW$317))</f>
        <v>2</v>
      </c>
      <c r="EG57">
        <f>SUMPRODUCT(--('Данные 1st'!$S$2:$S$317=$A57),--ISNUMBER('Данные 1st'!$IX$2:$IX$317))</f>
        <v>0</v>
      </c>
      <c r="EH57">
        <f>SUMPRODUCT(--('Данные 1st'!$S$2:$S$317=$A57),--ISNUMBER('Данные 1st'!$IY$2:$IY$317))</f>
        <v>0</v>
      </c>
      <c r="EI57">
        <f>SUMPRODUCT(--('Данные 1st'!$S$2:$S$317=$A57),--ISNUMBER('Данные 1st'!$JD$2:$JD$317))</f>
        <v>2</v>
      </c>
      <c r="EJ57">
        <f>SUMPRODUCT(--('Данные 1st'!$S$2:$S$317=$A57),--ISNUMBER('Данные 1st'!$JE$2:$JE$317))</f>
        <v>2</v>
      </c>
      <c r="EK57">
        <f>SUMPRODUCT(--('Данные 1st'!$S$2:$S$317=$A57),--ISNUMBER('Данные 1st'!$JF$2:$JF$317))</f>
        <v>2</v>
      </c>
      <c r="EL57">
        <f>SUMPRODUCT(--('Данные 1st'!$S$2:$S$317=$A57),--ISNUMBER('Данные 1st'!$JG$2:$JG$317))</f>
        <v>2</v>
      </c>
      <c r="EM57">
        <f>SUMPRODUCT(--('Данные 1st'!$S$2:$S$317=$A57),--ISNUMBER('Данные 1st'!$JH$2:$JH$317))</f>
        <v>2</v>
      </c>
      <c r="EN57">
        <f>SUMPRODUCT(--('Данные 1st'!$S$2:$S$317=$A57),--ISNUMBER('Данные 1st'!$JJ$2:$JJ$317))</f>
        <v>2</v>
      </c>
      <c r="EO57">
        <f>SUMPRODUCT(--('Данные 1st'!$S$2:$S$317=$A57),--ISNUMBER('Данные 1st'!$JK$2:$JK$317))</f>
        <v>2</v>
      </c>
      <c r="EP57">
        <f>SUMPRODUCT(--('Данные 1st'!$S$2:$S$317=$A57),--ISNUMBER('Данные 1st'!$JL$2:$JL$317))</f>
        <v>0</v>
      </c>
      <c r="EQ57">
        <f>SUMPRODUCT(--('Данные 1st'!$S$2:$S$317=$A57),--ISNUMBER('Данные 1st'!$JM$2:$JM$317))</f>
        <v>0</v>
      </c>
      <c r="ER57">
        <f>SUMPRODUCT(--('Данные 1st'!$S$2:$S$317=$A57),--ISNUMBER('Данные 1st'!$JN$2:$JN$317))</f>
        <v>2</v>
      </c>
      <c r="ES57">
        <f>SUMPRODUCT(--('Данные 1st'!$S$2:$S$317=$A57),--ISNUMBER('Данные 1st'!$JO$2:$JO$317))</f>
        <v>2</v>
      </c>
      <c r="ET57">
        <f>SUMPRODUCT(--('Данные 1st'!$S$2:$S$317=$A57),--ISNUMBER('Данные 1st'!$JP$2:$JP$317))</f>
        <v>2</v>
      </c>
      <c r="EU57">
        <f>SUMPRODUCT(--('Данные 1st'!$S$2:$S$317=$A57),--ISNUMBER('Данные 1st'!$JQ$2:$JQ$317))</f>
        <v>2</v>
      </c>
      <c r="EV57">
        <f>SUMPRODUCT(--('Данные 1st'!$S$2:$S$317=$A57),--ISNUMBER('Данные 1st'!$JR$2:$JR$317))</f>
        <v>2</v>
      </c>
      <c r="EW57">
        <f>SUMPRODUCT(--('Данные 1st'!$S$2:$S$317=$A57),--ISNUMBER('Данные 1st'!$JS$2:$JS$317))</f>
        <v>2</v>
      </c>
      <c r="EX57">
        <f>SUMPRODUCT(--('Данные 1st'!$S$2:$S$317=$A57),--ISNUMBER('Данные 1st'!$JT$2:$JT$317))</f>
        <v>0</v>
      </c>
      <c r="EY57">
        <f>SUMPRODUCT(--('Данные 1st'!$S$2:$S$317=$A57),--ISNUMBER('Данные 1st'!$JU$2:$JU$317))</f>
        <v>0</v>
      </c>
      <c r="EZ57">
        <f>SUMPRODUCT(--('Данные 1st'!$S$2:$S$317=$A57),--ISNUMBER('Данные 1st'!$JV$2:$JV$317))</f>
        <v>2</v>
      </c>
      <c r="FA57">
        <f>SUMPRODUCT(--('Данные 1st'!$S$2:$S$317=$A57),--ISNUMBER('Данные 1st'!$JW$2:$JW$317))</f>
        <v>0</v>
      </c>
      <c r="FB57">
        <f>SUMPRODUCT(--('Данные 1st'!$S$2:$S$317=$A57),--ISNUMBER('Данные 1st'!$JX$2:$JX$317))</f>
        <v>2</v>
      </c>
      <c r="FC57">
        <f>SUMPRODUCT(--('Данные 1st'!$S$2:$S$317=$A57),--ISNUMBER('Данные 1st'!$JY$2:$JY$317))</f>
        <v>0</v>
      </c>
      <c r="FD57">
        <f>SUMPRODUCT(--('Данные 1st'!$S$2:$S$317=$A57),--ISNUMBER('Данные 1st'!$JZ$2:$JZ$317))</f>
        <v>0</v>
      </c>
      <c r="FE57">
        <f>SUMPRODUCT(--('Данные 1st'!$S$2:$S$317=$A57),--ISNUMBER('Данные 1st'!$KA$2:$KA$317))</f>
        <v>2</v>
      </c>
      <c r="FF57">
        <f>SUMPRODUCT(--('Данные 1st'!$S$2:$S$317=$A57),--ISNUMBER('Данные 1st'!$KB$2:$KB$317))</f>
        <v>2</v>
      </c>
      <c r="FG57">
        <f>SUMPRODUCT(--('Данные 1st'!$S$2:$S$317=$A57),--ISNUMBER('Данные 1st'!$KC$2:$KC$317))</f>
        <v>2</v>
      </c>
      <c r="FH57">
        <f>SUMPRODUCT(--('Данные 1st'!$S$2:$S$317=$A57),--ISNUMBER('Данные 1st'!$KD$2:$KD$317))</f>
        <v>2</v>
      </c>
      <c r="FI57">
        <f>SUMPRODUCT(--('Данные 1st'!$S$2:$S$317=$A57),--ISNUMBER('Данные 1st'!$KE$2:$KE$317))</f>
        <v>0</v>
      </c>
      <c r="FJ57">
        <f>SUMPRODUCT(--('Данные 1st'!$S$2:$S$317=$A57),--ISNUMBER('Данные 1st'!$KF$2:$KF$317))</f>
        <v>2</v>
      </c>
      <c r="FK57">
        <f>SUMPRODUCT(--('Данные 1st'!$S$2:$S$317=$A57),--ISNUMBER('Данные 1st'!$KG$2:$KG$317))</f>
        <v>2</v>
      </c>
      <c r="FL57">
        <f>SUMPRODUCT(--('Данные 1st'!$S$2:$S$317=$A57),--ISNUMBER('Данные 1st'!$KH$2:$KH$317))</f>
        <v>2</v>
      </c>
      <c r="FM57">
        <f>SUMPRODUCT(--('Данные 1st'!$S$2:$S$317=$A57),--ISNUMBER('Данные 1st'!$KI$2:$KI$317))</f>
        <v>2</v>
      </c>
      <c r="FN57">
        <f>SUMPRODUCT(--('Данные 1st'!$S$2:$S$317=$A57),--ISNUMBER('Данные 1st'!$KJ$2:$KJ$317))</f>
        <v>2</v>
      </c>
      <c r="FO57">
        <f>SUMPRODUCT(--('Данные 1st'!$S$2:$S$317=$A57),--ISNUMBER('Данные 1st'!$KK$2:$KK$317))</f>
        <v>2</v>
      </c>
      <c r="FP57">
        <f>SUMPRODUCT(--('Данные 1st'!$S$2:$S$317=$A57),--ISNUMBER('Данные 1st'!$KL$2:$KL$317))</f>
        <v>2</v>
      </c>
      <c r="FQ57">
        <f>SUMPRODUCT(--('Данные 1st'!$S$2:$S$317=$A57),--ISNUMBER('Данные 1st'!$KM$2:$KM$317))</f>
        <v>2</v>
      </c>
      <c r="FR57">
        <f>SUMPRODUCT(--('Данные 1st'!$S$2:$S$317=$A57),--ISNUMBER('Данные 1st'!$KN$2:$KN$317))</f>
        <v>2</v>
      </c>
      <c r="FS57">
        <f>SUMPRODUCT(--('Данные 1st'!$S$2:$S$317=$A57),--ISNUMBER('Данные 1st'!$KR$2:$KR$317))</f>
        <v>2</v>
      </c>
      <c r="FT57">
        <f>SUMPRODUCT(--('Данные 1st'!$S$2:$S$317=$A57),--ISNUMBER('Данные 1st'!$KS$2:$KS$317))</f>
        <v>2</v>
      </c>
      <c r="FU57">
        <f>SUMPRODUCT(--('Данные 1st'!$S$2:$S$317=$A57),--ISNUMBER('Данные 1st'!$KT$2:$KT$317))</f>
        <v>2</v>
      </c>
      <c r="FV57">
        <f>SUMPRODUCT(--('Данные 1st'!$S$2:$S$317=$A57),--ISNUMBER('Данные 1st'!$KV$2:$KV$317))</f>
        <v>0</v>
      </c>
      <c r="FW57">
        <f>SUMPRODUCT(--('Данные 1st'!$S$2:$S$317=$A57),--ISNUMBER('Данные 1st'!$KW$2:$KW$317))</f>
        <v>0</v>
      </c>
      <c r="FX57">
        <f>SUMPRODUCT(--('Данные 1st'!$S$2:$S$317=$A57),--ISNUMBER('Данные 1st'!$KX$2:$KX$317))</f>
        <v>0</v>
      </c>
      <c r="FY57">
        <f>SUMPRODUCT(--('Данные 1st'!$S$2:$S$317=$A57),--ISNUMBER('Данные 1st'!$KY$2:$KY$317))</f>
        <v>0</v>
      </c>
      <c r="FZ57">
        <f>SUMPRODUCT(--('Данные 1st'!$S$2:$S$317=$A57),--ISNUMBER('Данные 1st'!$KZ$2:$KZ$317))</f>
        <v>0</v>
      </c>
      <c r="GA57">
        <f>SUMPRODUCT(--('Данные 1st'!$S$2:$S$317=$A57),--ISNUMBER('Данные 1st'!$LA$2:$LA$317))</f>
        <v>0</v>
      </c>
      <c r="GB57">
        <f>SUMPRODUCT(--('Данные 1st'!$S$2:$S$317=$A57),--ISNUMBER('Данные 1st'!$LB$2:$LB$317))</f>
        <v>0</v>
      </c>
      <c r="GC57">
        <f>SUMPRODUCT(--('Данные 1st'!$S$2:$S$317=$A57),--ISNUMBER('Данные 1st'!$LC$2:$LC$317))</f>
        <v>0</v>
      </c>
      <c r="GD57">
        <f>SUMPRODUCT(--('Данные 1st'!$S$2:$S$317=$A57),--ISNUMBER('Данные 1st'!$LD$2:$LD$317))</f>
        <v>0</v>
      </c>
      <c r="GE57">
        <f>SUMPRODUCT(--('Данные 1st'!$S$2:$S$317=$A57),--ISNUMBER('Данные 1st'!$LE$2:$LE$317))</f>
        <v>0</v>
      </c>
      <c r="GF57">
        <f>SUMPRODUCT(--('Данные 1st'!$S$2:$S$317=$A57),--ISNUMBER('Данные 1st'!$LF$2:$LF$317))</f>
        <v>0</v>
      </c>
      <c r="GG57">
        <f>SUMPRODUCT(--('Данные 1st'!$S$2:$S$317=$A57),--ISNUMBER('Данные 1st'!$LG$2:$LG$317))</f>
        <v>0</v>
      </c>
      <c r="GH57">
        <f>SUMPRODUCT(--('Данные 1st'!$S$2:$S$317=$A57),--ISNUMBER('Данные 1st'!$LH$2:$LH$317))</f>
        <v>0</v>
      </c>
      <c r="GI57">
        <f>SUMPRODUCT(--('Данные 1st'!$S$2:$S$317=$A57),--ISNUMBER('Данные 1st'!$LI$2:$LI$317))</f>
        <v>0</v>
      </c>
      <c r="GJ57">
        <f>SUMPRODUCT(--('Данные 1st'!$S$2:$S$317=$A57),--ISNUMBER('Данные 1st'!$LJ$2:$LJ$317))</f>
        <v>0</v>
      </c>
      <c r="GK57">
        <f>SUMPRODUCT(--('Данные 1st'!$S$2:$S$317=$A57),--ISNUMBER('Данные 1st'!$LK$2:$LK$317))</f>
        <v>2</v>
      </c>
      <c r="GL57">
        <f>SUMPRODUCT(--('Данные 1st'!$S$2:$S$317=$A57),--ISNUMBER('Данные 1st'!$LV$2:$LV$317))</f>
        <v>0</v>
      </c>
      <c r="GM57">
        <f>SUMPRODUCT(--('Данные 1st'!$S$2:$S$317=$A57),--ISNUMBER('Данные 1st'!$LW$2:$LW$317))</f>
        <v>0</v>
      </c>
      <c r="GN57">
        <f>SUMPRODUCT(--('Данные 1st'!$S$2:$S$317=$A57),--ISNUMBER('Данные 1st'!$LX$2:$LX$317))</f>
        <v>0</v>
      </c>
      <c r="GO57">
        <f>SUMPRODUCT(--('Данные 1st'!$S$2:$S$317=$A57),--ISNUMBER('Данные 1st'!$LY$2:$LY$317))</f>
        <v>0</v>
      </c>
      <c r="GP57">
        <f>SUMPRODUCT(--('Данные 1st'!$S$2:$S$317=$A57),--ISNUMBER('Данные 1st'!$LZ$2:$LZ$317))</f>
        <v>0</v>
      </c>
      <c r="GQ57">
        <f>SUMPRODUCT(--('Данные 1st'!$S$2:$S$317=$A57),--ISNUMBER('Данные 1st'!$PG$2:$PG$317))</f>
        <v>2</v>
      </c>
      <c r="GR57">
        <f>SUMPRODUCT(--('Данные 1st'!$S$2:$S$317=$A57),--ISNUMBER('Данные 1st'!$PX$2:$PX$317))</f>
        <v>2</v>
      </c>
      <c r="GS57">
        <f>SUMPRODUCT(--('Данные 1st'!$S$2:$S$317=$A57),--ISNUMBER('Данные 1st'!$PY$2:$PY$317))</f>
        <v>2</v>
      </c>
      <c r="GT57">
        <f>SUMPRODUCT(--('Данные 1st'!$S$2:$S$317=$A57),--ISNUMBER('Данные 1st'!$QA$2:$QA$317))</f>
        <v>2</v>
      </c>
      <c r="GU57">
        <f>SUMPRODUCT(--('Данные 1st'!$S$2:$S$317=$A57),--ISNUMBER('Данные 1st'!$QB$2:$QB$317))</f>
        <v>2</v>
      </c>
      <c r="GV57">
        <f>SUMPRODUCT(--('Данные 1st'!$S$2:$S$317=$A57),--ISNUMBER('Данные 1st'!$QC$2:$QC$317))</f>
        <v>2</v>
      </c>
      <c r="GW57">
        <f>SUMPRODUCT(--('Данные 1st'!$S$2:$S$317=$A57),--ISNUMBER('Данные 1st'!$QD$2:$QD$317))</f>
        <v>2</v>
      </c>
      <c r="GX57">
        <f>SUMPRODUCT(--('Данные 1st'!$S$2:$S$317=$A57),--ISNUMBER('Данные 1st'!$QF$2:$QF$317))</f>
        <v>2</v>
      </c>
      <c r="GY57">
        <f>SUMPRODUCT(--('Данные 1st'!$S$2:$S$317=$A57),--ISNUMBER('Данные 1st'!$QG$2:$QG$317))</f>
        <v>2</v>
      </c>
      <c r="GZ57">
        <f>SUMPRODUCT(--('Данные 1st'!$S$2:$S$317=$A57),--ISNUMBER('Данные 1st'!$QH$2:$QH$317))</f>
        <v>2</v>
      </c>
      <c r="HA57">
        <f>SUMPRODUCT(--('Данные 1st'!$S$2:$S$317=$A57),--ISNUMBER('Данные 1st'!$QI$2:$QI$317))</f>
        <v>2</v>
      </c>
      <c r="HB57">
        <f>SUMPRODUCT(--('Данные 1st'!$S$2:$S$317=$A57),--ISNUMBER('Данные 1st'!$QK$2:$QK$317))</f>
        <v>2</v>
      </c>
      <c r="HC57">
        <f>SUMPRODUCT(--('Данные 1st'!$S$2:$S$317=$A57),--ISNUMBER('Данные 1st'!$QL$2:$QL$317))</f>
        <v>2</v>
      </c>
      <c r="HD57">
        <f>SUMPRODUCT(--('Данные 1st'!$S$2:$S$317=$A57),--ISNUMBER('Данные 1st'!$QM$2:$QM$317))</f>
        <v>2</v>
      </c>
      <c r="HE57">
        <f>SUMPRODUCT(--('Данные 1st'!$S$2:$S$317=$A57),--ISNUMBER('Данные 1st'!$QN$2:$QN$317))</f>
        <v>2</v>
      </c>
      <c r="HF57">
        <f>SUMPRODUCT(--('Данные 1st'!$S$2:$S$317=$A57),--ISNUMBER('Данные 1st'!$QP$2:$QP$317))</f>
        <v>2</v>
      </c>
      <c r="HG57">
        <f>SUMPRODUCT(--('Данные 1st'!$S$2:$S$317=$A57),--ISNUMBER('Данные 1st'!$QQ$2:$QQ$317))</f>
        <v>2</v>
      </c>
      <c r="HH57">
        <f>SUMPRODUCT(--('Данные 1st'!$S$2:$S$317=$A57),--ISNUMBER('Данные 1st'!$QR$2:$QR$317))</f>
        <v>2</v>
      </c>
      <c r="HI57">
        <f>SUMPRODUCT(--('Данные 1st'!$S$2:$S$317=$A57),--ISNUMBER('Данные 1st'!$QS$2:$QS$317))</f>
        <v>2</v>
      </c>
      <c r="HJ57">
        <f>SUMPRODUCT(--('Данные 1st'!$S$2:$S$317=$A57),--ISNUMBER('Данные 1st'!$QU$2:$QU$317))</f>
        <v>2</v>
      </c>
      <c r="HK57">
        <f>SUMPRODUCT(--('Данные 1st'!$S$2:$S$317=$A57),--ISNUMBER('Данные 1st'!$QV$2:$QV$317))</f>
        <v>2</v>
      </c>
      <c r="HL57">
        <f>SUMPRODUCT(--('Данные 1st'!$S$2:$S$317=$A57),--ISNUMBER('Данные 1st'!$QW$2:$QW$317))</f>
        <v>2</v>
      </c>
      <c r="HM57">
        <f>SUMPRODUCT(--('Данные 1st'!$S$2:$S$317=$A57),--ISNUMBER('Данные 1st'!$QX$2:$QX$317))</f>
        <v>0</v>
      </c>
      <c r="HN57">
        <f>SUMPRODUCT(--('Данные 1st'!$S$2:$S$317=$A57),--ISNUMBER('Данные 1st'!$QZ$2:$QZ$317))</f>
        <v>2</v>
      </c>
      <c r="HO57">
        <f>SUMPRODUCT(--('Данные 1st'!$S$2:$S$317=$A57),--ISNUMBER('Данные 1st'!$RA$2:$RA$317))</f>
        <v>2</v>
      </c>
      <c r="HP57">
        <f>SUMPRODUCT(--('Данные 1st'!$S$2:$S$317=$A57),--ISNUMBER('Данные 1st'!$RB$2:$RB$317))</f>
        <v>2</v>
      </c>
      <c r="HQ57">
        <f>SUMPRODUCT(--('Данные 1st'!$S$2:$S$317=$A57),--ISNUMBER('Данные 1st'!$RD$2:$RD$317))</f>
        <v>0</v>
      </c>
      <c r="HR57">
        <f>SUMPRODUCT(--('Данные 1st'!$S$2:$S$317=$A57),--ISNUMBER('Данные 1st'!$RE$2:$RE$317))</f>
        <v>2</v>
      </c>
      <c r="HS57">
        <f>SUMPRODUCT(--('Данные 1st'!$S$2:$S$317=$A57),--ISNUMBER('Данные 1st'!$RF$2:$RF$317))</f>
        <v>2</v>
      </c>
      <c r="HT57">
        <f>SUMPRODUCT(--('Данные 1st'!$S$2:$S$317=$A57),--ISNUMBER('Данные 1st'!$RG$2:$RG$317))</f>
        <v>0</v>
      </c>
      <c r="HU57">
        <f>SUMPRODUCT(--('Данные 1st'!$S$2:$S$317=$A57),--ISNUMBER('Данные 1st'!$RH$2:$RH$317))</f>
        <v>0</v>
      </c>
      <c r="HV57">
        <f>SUMPRODUCT(--('Данные 1st'!$S$2:$S$317=$A57),--ISNUMBER('Данные 1st'!$RI$2:$RI$317))</f>
        <v>2</v>
      </c>
      <c r="HW57">
        <f>SUMPRODUCT(--('Данные 1st'!$S$2:$S$317=$A57),--ISNUMBER('Данные 1st'!$RJ$2:$RJ$317))</f>
        <v>2</v>
      </c>
      <c r="HX57">
        <f>SUMPRODUCT(--('Данные 1st'!$S$2:$S$317=$A57),--ISNUMBER('Данные 1st'!$RK$2:$RK$317))</f>
        <v>2</v>
      </c>
      <c r="HY57">
        <f>SUMPRODUCT(--('Данные 1st'!$S$2:$S$317=$A57),--ISNUMBER('Данные 1st'!$RL$2:$RL$317))</f>
        <v>2</v>
      </c>
      <c r="HZ57">
        <f>SUMPRODUCT(--('Данные 1st'!$S$2:$S$317=$A57),--ISNUMBER('Данные 1st'!$RM$2:$RM$317))</f>
        <v>2</v>
      </c>
      <c r="IA57">
        <f>SUMPRODUCT(--('Данные 1st'!$S$2:$S$317=$A57),--ISNUMBER('Данные 1st'!$RN$2:$RN$317))</f>
        <v>0</v>
      </c>
      <c r="IB57">
        <f>SUMPRODUCT(--('Данные 1st'!$S$2:$S$317=$A57),--ISNUMBER('Данные 1st'!$RO$2:$RO$317))</f>
        <v>2</v>
      </c>
      <c r="IC57">
        <f>SUMPRODUCT(--('Данные 1st'!$S$2:$S$317=$A57),--ISNUMBER('Данные 1st'!$RP$2:$RP$317))</f>
        <v>2</v>
      </c>
      <c r="ID57">
        <f>SUMPRODUCT(--('Данные 1st'!$S$2:$S$317=$A57),--ISNUMBER('Данные 1st'!$RQ$2:$RQ$317))</f>
        <v>2</v>
      </c>
      <c r="IE57">
        <f>SUMPRODUCT(--('Данные 1st'!$S$2:$S$317=$A57),--ISNUMBER('Данные 1st'!$RR$2:$RR$317))</f>
        <v>2</v>
      </c>
      <c r="IF57">
        <f>SUMPRODUCT(--('Данные 1st'!$S$2:$S$317=$A57),--ISNUMBER('Данные 1st'!$RS$2:$RS$317))</f>
        <v>0</v>
      </c>
      <c r="IG57">
        <f>SUMPRODUCT(--('Данные 1st'!$S$2:$S$317=$A57),--ISNUMBER('Данные 1st'!$RT$2:$RT$317))</f>
        <v>2</v>
      </c>
      <c r="IH57">
        <f>SUMPRODUCT(--('Данные 1st'!$S$2:$S$317=$A57),--ISNUMBER('Данные 1st'!$RU$2:$RU$317))</f>
        <v>2</v>
      </c>
      <c r="II57">
        <f>SUMPRODUCT(--('Данные 1st'!$S$2:$S$317=$A57),--ISNUMBER('Данные 1st'!$RX$2:$RX$317))</f>
        <v>2</v>
      </c>
      <c r="IJ57">
        <f>SUMPRODUCT(--('Данные 1st'!$S$2:$S$317=$A57),--ISNUMBER('Данные 1st'!$RY$2:$RY$317))</f>
        <v>2</v>
      </c>
      <c r="IK57">
        <f>SUMPRODUCT(--('Данные 1st'!$S$2:$S$317=$A57),--ISNUMBER('Данные 1st'!$SA$2:$SA$317))</f>
        <v>2</v>
      </c>
      <c r="IL57">
        <f>SUMPRODUCT(--('Данные 1st'!$S$2:$S$317=$A57),--ISNUMBER('Данные 1st'!$SD$2:$SD$317))</f>
        <v>2</v>
      </c>
      <c r="IM57">
        <f>SUMPRODUCT(--('Данные 1st'!$S$2:$S$317=$A57),--ISNUMBER('Данные 1st'!$SG$2:$SG$317))</f>
        <v>2</v>
      </c>
      <c r="IN57">
        <f>SUMPRODUCT(--('Данные 1st'!$S$2:$S$317=$A57),--ISNUMBER('Данные 1st'!$SH$2:$SH$317))</f>
        <v>2</v>
      </c>
      <c r="IO57">
        <f>SUMPRODUCT(--('Данные 1st'!$S$2:$S$317=$A57),--ISNUMBER('Данные 1st'!$SI$2:$SI$317))</f>
        <v>2</v>
      </c>
      <c r="IP57">
        <f>SUMPRODUCT(--('Данные 1st'!$S$2:$S$317=$A57),--ISNUMBER('Данные 1st'!$SJ$2:$SJ$317))</f>
        <v>2</v>
      </c>
      <c r="IQ57">
        <f>SUMPRODUCT(--('Данные 1st'!$S$2:$S$317=$A57),--ISNUMBER('Данные 1st'!$SK$2:$SK$317))</f>
        <v>2</v>
      </c>
      <c r="IR57">
        <f>SUMPRODUCT(--('Данные 1st'!$S$2:$S$317=$A57),--ISNUMBER('Данные 1st'!$SL$2:$SL$317))</f>
        <v>2</v>
      </c>
      <c r="IS57">
        <f>SUMPRODUCT(--('Данные 1st'!$S$2:$S$317=$A57),--ISNUMBER('Данные 1st'!$SM$2:$SM$317))</f>
        <v>2</v>
      </c>
      <c r="IT57">
        <f>SUMPRODUCT(--('Данные 1st'!$S$2:$S$317=$A57),--ISNUMBER('Данные 1st'!$SN$2:$SN$317))</f>
        <v>2</v>
      </c>
      <c r="IU57">
        <f>SUMPRODUCT(--('Данные 1st'!$S$2:$S$317=$A57),--ISNUMBER('Данные 1st'!$SO$2:$SO$317))</f>
        <v>2</v>
      </c>
      <c r="IV57">
        <f>SUMPRODUCT(--('Данные 1st'!$S$2:$S$317=$A57),--ISNUMBER('Данные 1st'!$SP$2:$SP$317))</f>
        <v>2</v>
      </c>
      <c r="IW57">
        <f>SUMPRODUCT(--('Данные 1st'!$S$2:$S$317=$A57),--ISNUMBER('Данные 1st'!$SQ$2:$SQ$317))</f>
        <v>2</v>
      </c>
      <c r="IX57">
        <f>SUMPRODUCT(--('Данные 1st'!$S$2:$S$317=$A57),--ISNUMBER('Данные 1st'!$SR$2:$SR$317))</f>
        <v>2</v>
      </c>
      <c r="IY57">
        <f>SUMPRODUCT(--('Данные 1st'!$S$2:$S$317=$A57),--ISNUMBER('Данные 1st'!$SS$2:$SS$317))</f>
        <v>2</v>
      </c>
      <c r="IZ57">
        <f>SUMPRODUCT(--('Данные 1st'!$S$2:$S$317=$A57),--ISNUMBER('Данные 1st'!$ST$2:$ST$317))</f>
        <v>2</v>
      </c>
      <c r="JA57">
        <f>SUMPRODUCT(--('Данные 1st'!$S$2:$S$317=$A57),--ISNUMBER('Данные 1st'!$SU$2:$SU$317))</f>
        <v>2</v>
      </c>
      <c r="JB57">
        <f>SUMPRODUCT(--('Данные 1st'!$S$2:$S$317=$A57),--ISNUMBER('Данные 1st'!$SV$2:$SV$317))</f>
        <v>2</v>
      </c>
      <c r="JC57">
        <f>SUMPRODUCT(--('Данные 1st'!$S$2:$S$317=$A57),--ISNUMBER('Данные 1st'!$SW$2:$SW$317))</f>
        <v>2</v>
      </c>
      <c r="JD57">
        <f>SUMPRODUCT(--('Данные 1st'!$S$2:$S$317=$A57),--ISNUMBER('Данные 1st'!$SX$2:$SX$317))</f>
        <v>2</v>
      </c>
      <c r="JE57">
        <f>SUMPRODUCT(--('Данные 1st'!$S$2:$S$317=$A57),--ISNUMBER('Данные 1st'!$SY$2:$SY$317))</f>
        <v>2</v>
      </c>
      <c r="JF57">
        <f>SUMPRODUCT(--('Данные 1st'!$S$2:$S$317=$A57),--ISNUMBER('Данные 1st'!$SZ$2:$SZ$317))</f>
        <v>2</v>
      </c>
      <c r="JG57">
        <f>SUMPRODUCT(--('Данные 1st'!$S$2:$S$317=$A57),--ISNUMBER('Данные 1st'!$TA$2:$TA$317))</f>
        <v>0</v>
      </c>
      <c r="JH57">
        <f>SUMPRODUCT(--('Данные 1st'!$S$2:$S$317=$A57),--ISNUMBER('Данные 1st'!$TB$2:$TB$317))</f>
        <v>2</v>
      </c>
      <c r="JI57">
        <f>SUMPRODUCT(--('Данные 1st'!$S$2:$S$317=$A57),--ISNUMBER('Данные 1st'!$TC$2:$TC$317))</f>
        <v>2</v>
      </c>
      <c r="JJ57">
        <f>SUMPRODUCT(--('Данные 1st'!$S$2:$S$317=$A57),--ISNUMBER('Данные 1st'!$TD$2:$TD$317))</f>
        <v>2</v>
      </c>
      <c r="JK57">
        <f>SUMPRODUCT(--('Данные 1st'!$S$2:$S$317=$A57),--ISNUMBER('Данные 1st'!$TN$2:$TN$317))</f>
        <v>2</v>
      </c>
      <c r="JQ57">
        <f>SUMPRODUCT(--('Данные 2st'!$Q$2:$Q$317=$A57),--ISNUMBER('Данные 2st'!$AC$2:$AC$317))</f>
        <v>2</v>
      </c>
      <c r="JR57">
        <f>SUMPRODUCT(--('Данные 2st'!$Q$2:$Q$317=$A57),--ISNUMBER('Данные 2st'!$AF$2:$AF$317))</f>
        <v>2</v>
      </c>
      <c r="JS57">
        <f>SUMPRODUCT(--('Данные 2st'!$Q$2:$Q$317=$A57),--ISNUMBER('Данные 2st'!$AW$2:$AW$317))</f>
        <v>2</v>
      </c>
      <c r="JT57">
        <f>SUMPRODUCT(--('Данные 2st'!$Q$2:$Q$317=$A57),--ISNUMBER('Данные 2st'!$AX$2:$AX$317))</f>
        <v>2</v>
      </c>
      <c r="JU57">
        <f>SUMPRODUCT(--('Данные 2st'!$Q$2:$Q$317=$A57),--ISNUMBER('Данные 2st'!$AY$2:$AY$317))</f>
        <v>2</v>
      </c>
      <c r="JV57">
        <f>SUMPRODUCT(--('Данные 2st'!$Q$2:$Q$317=$A57),--ISNUMBER('Данные 2st'!$AZ$2:$AZ$317))</f>
        <v>2</v>
      </c>
      <c r="JW57">
        <f>SUMPRODUCT(--('Данные 2st'!$Q$2:$Q$317=$A57),--ISNUMBER('Данные 2st'!$BA$2:$BA$317))</f>
        <v>1</v>
      </c>
      <c r="JX57">
        <f>SUMPRODUCT(--('Данные 2st'!$Q$2:$Q$317=$A57),--ISNUMBER('Данные 2st'!$BB$2:$BB$317))</f>
        <v>1</v>
      </c>
      <c r="JY57">
        <f>SUMPRODUCT(--('Данные 2st'!$Q$2:$Q$317=$A57),--ISNUMBER('Данные 2st'!$BC$2:$BC$317))</f>
        <v>0</v>
      </c>
      <c r="JZ57">
        <f>SUMPRODUCT(--('Данные 2st'!$Q$2:$Q$317=$A57),--ISNUMBER('Данные 2st'!$BH$2:$BH$317))</f>
        <v>2</v>
      </c>
      <c r="KA57">
        <f>SUMPRODUCT(--('Данные 2st'!$Q$2:$Q$317=$A57),--ISNUMBER('Данные 2st'!$BI$2:$BI$317))</f>
        <v>2</v>
      </c>
      <c r="KB57">
        <f>SUMPRODUCT(--('Данные 2st'!$Q$2:$Q$317=$A57),--ISNUMBER('Данные 2st'!$BJ$2:$BJ$317))</f>
        <v>2</v>
      </c>
      <c r="KC57">
        <f>SUMPRODUCT(--('Данные 2st'!$Q$2:$Q$317=$A57),--ISNUMBER('Данные 2st'!$BK$2:$BK$317))</f>
        <v>2</v>
      </c>
      <c r="KD57">
        <f>SUMPRODUCT(--('Данные 2st'!$Q$2:$Q$317=$A57),--ISNUMBER('Данные 2st'!$BL$2:$BL$317))</f>
        <v>2</v>
      </c>
      <c r="KE57">
        <f>SUMPRODUCT(--('Данные 2st'!$Q$2:$Q$317=$A57),--ISNUMBER('Данные 2st'!$BM$2:$BM$317))</f>
        <v>2</v>
      </c>
      <c r="KF57">
        <f>SUMPRODUCT(--('Данные 2st'!$Q$2:$Q$317=$A57),--ISNUMBER('Данные 2st'!$BN$2:$BN$317))</f>
        <v>2</v>
      </c>
      <c r="KG57">
        <f>SUMPRODUCT(--('Данные 2st'!$Q$2:$Q$317=$A57),--ISNUMBER('Данные 2st'!$BO$2:$BO$317))</f>
        <v>1</v>
      </c>
      <c r="KH57">
        <f>SUMPRODUCT(--('Данные 2st'!$Q$2:$Q$317=$A57),--ISNUMBER('Данные 2st'!$BP$2:$BP$317))</f>
        <v>2</v>
      </c>
      <c r="KI57">
        <f>SUMPRODUCT(--('Данные 2st'!$Q$2:$Q$317=$A57),--ISNUMBER('Данные 2st'!$BR$2:$BR$317))</f>
        <v>2</v>
      </c>
      <c r="KJ57">
        <f>SUMPRODUCT(--('Данные 2st'!$Q$2:$Q$317=$A57),--ISNUMBER('Данные 2st'!$BS$2:$BS$317))</f>
        <v>2</v>
      </c>
      <c r="KK57">
        <f>SUMPRODUCT(--('Данные 2st'!$Q$2:$Q$317=$A57),--ISNUMBER('Данные 2st'!$BT$2:$BT$317))</f>
        <v>2</v>
      </c>
      <c r="KL57">
        <f>SUMPRODUCT(--('Данные 2st'!$Q$2:$Q$317=$A57),--ISNUMBER('Данные 2st'!$CV$2:$CV$317))</f>
        <v>2</v>
      </c>
      <c r="KM57">
        <f>SUMPRODUCT(--('Данные 2st'!$Q$2:$Q$317=$A57),--ISNUMBER('Данные 2st'!$CW$2:$CW$317))</f>
        <v>2</v>
      </c>
      <c r="KN57">
        <f>SUMPRODUCT(--('Данные 2st'!$Q$2:$Q$317=$A57),--ISNUMBER('Данные 2st'!$CX$2:$CX$317))</f>
        <v>2</v>
      </c>
      <c r="KO57">
        <f>SUMPRODUCT(--('Данные 2st'!$Q$2:$Q$317=$A57),--ISNUMBER('Данные 2st'!$CY$2:$CY$317))</f>
        <v>2</v>
      </c>
      <c r="KP57">
        <f>SUMPRODUCT(--('Данные 2st'!$Q$2:$Q$317=$A57),--ISNUMBER('Данные 2st'!$CZ$2:$CZ$317))</f>
        <v>2</v>
      </c>
      <c r="KQ57">
        <f>SUMPRODUCT(--('Данные 2st'!$Q$2:$Q$317=$A57),--ISNUMBER('Данные 2st'!$DA$2:$DA$317))</f>
        <v>2</v>
      </c>
      <c r="KR57">
        <f>SUMPRODUCT(--('Данные 2st'!$Q$2:$Q$317=$A57),--ISNUMBER('Данные 2st'!$DB$2:$DB$317))</f>
        <v>2</v>
      </c>
      <c r="KS57">
        <f>SUMPRODUCT(--('Данные 2st'!$Q$2:$Q$317=$A57),--ISNUMBER('Данные 2st'!$DC$2:$DC$317))</f>
        <v>2</v>
      </c>
      <c r="KT57">
        <f>SUMPRODUCT(--('Данные 2st'!$Q$2:$Q$317=$A57),--ISNUMBER('Данные 2st'!$DD$2:$DD$317))</f>
        <v>2</v>
      </c>
      <c r="KU57">
        <f>SUMPRODUCT(--('Данные 2st'!$Q$2:$Q$317=$A57),--ISNUMBER('Данные 2st'!$DE$2:$DE$317))</f>
        <v>2</v>
      </c>
      <c r="KV57">
        <f>SUMPRODUCT(--('Данные 2st'!$Q$2:$Q$317=$A57),--ISNUMBER('Данные 2st'!$DF$2:$DF$317))</f>
        <v>2</v>
      </c>
      <c r="KW57">
        <f>SUMPRODUCT(--('Данные 2st'!$Q$2:$Q$317=$A57),--ISNUMBER('Данные 2st'!$DG$2:$DG$317))</f>
        <v>2</v>
      </c>
      <c r="KX57">
        <f>SUMPRODUCT(--('Данные 2st'!$Q$2:$Q$317=$A57),--ISNUMBER('Данные 2st'!$DH$2:$DH$317))</f>
        <v>2</v>
      </c>
      <c r="KY57">
        <f>SUMPRODUCT(--('Данные 2st'!$Q$2:$Q$317=$A57),--ISNUMBER('Данные 2st'!$DI$2:$DI$317))</f>
        <v>0</v>
      </c>
      <c r="KZ57">
        <f>SUMPRODUCT(--('Данные 2st'!$Q$2:$Q$317=$A57),--ISNUMBER('Данные 2st'!$DK$2:$DK$317))</f>
        <v>2</v>
      </c>
      <c r="LA57">
        <f>SUMPRODUCT(--('Данные 2st'!$Q$2:$Q$317=$A57),--ISNUMBER('Данные 2st'!$DM$2:$DM$317))</f>
        <v>2</v>
      </c>
      <c r="LB57">
        <f>SUMPRODUCT(--('Данные 2st'!$Q$2:$Q$317=$A57),--ISNUMBER('Данные 2st'!$DN$2:$DN$317))</f>
        <v>2</v>
      </c>
      <c r="LC57">
        <f>SUMPRODUCT(--('Данные 2st'!$Q$2:$Q$317=$A57),--ISNUMBER('Данные 2st'!$DO$2:$DO$317))</f>
        <v>2</v>
      </c>
      <c r="LD57">
        <f>SUMPRODUCT(--('Данные 2st'!$Q$2:$Q$317=$A57),--ISNUMBER('Данные 2st'!$DP$2:$DP$317))</f>
        <v>2</v>
      </c>
      <c r="LE57">
        <f>SUMPRODUCT(--('Данные 2st'!$Q$2:$Q$317=$A57),--ISNUMBER('Данные 2st'!$DQ$2:$DQ$317))</f>
        <v>2</v>
      </c>
      <c r="LF57">
        <f>SUMPRODUCT(--('Данные 2st'!$Q$2:$Q$317=$A57),--ISNUMBER('Данные 2st'!$DS$2:$DS$317))</f>
        <v>2</v>
      </c>
      <c r="LG57">
        <f>SUMPRODUCT(--('Данные 2st'!$Q$2:$Q$317=$A57),--ISNUMBER('Данные 2st'!$DU$2:$DU$317))</f>
        <v>2</v>
      </c>
      <c r="LH57">
        <f>SUMPRODUCT(--('Данные 2st'!$Q$2:$Q$317=$A57),--ISNUMBER('Данные 2st'!$DV$2:$DV$317))</f>
        <v>2</v>
      </c>
      <c r="LI57">
        <f>SUMPRODUCT(--('Данные 2st'!$Q$2:$Q$317=$A57),--ISNUMBER('Данные 2st'!$DW$2:$DW$317))</f>
        <v>2</v>
      </c>
      <c r="LJ57">
        <f>SUMPRODUCT(--('Данные 2st'!$Q$2:$Q$317=$A57),--ISNUMBER('Данные 2st'!$DX$2:$DX$317))</f>
        <v>2</v>
      </c>
      <c r="LK57">
        <f>SUMPRODUCT(--('Данные 2st'!$Q$2:$Q$317=$A57),--ISNUMBER('Данные 2st'!$DY$2:$DY$317))</f>
        <v>2</v>
      </c>
      <c r="LL57">
        <f>SUMPRODUCT(--('Данные 2st'!$Q$2:$Q$317=$A57),--ISNUMBER('Данные 2st'!$EA$2:$EA$317))</f>
        <v>2</v>
      </c>
      <c r="LM57">
        <f>SUMPRODUCT(--('Данные 2st'!$Q$2:$Q$317=$A57),--ISNUMBER('Данные 2st'!$EC$2:$EC$317))</f>
        <v>2</v>
      </c>
      <c r="LN57">
        <f>SUMPRODUCT(--('Данные 2st'!$Q$2:$Q$317=$A57),--ISNUMBER('Данные 2st'!$ED$2:$ED$317))</f>
        <v>2</v>
      </c>
      <c r="LO57">
        <f>SUMPRODUCT(--('Данные 2st'!$Q$2:$Q$317=$A57),--ISNUMBER('Данные 2st'!$EE$2:$EE$317))</f>
        <v>2</v>
      </c>
      <c r="LP57">
        <f>SUMPRODUCT(--('Данные 2st'!$Q$2:$Q$317=$A57),--ISNUMBER('Данные 2st'!$EG$2:$EG$317))</f>
        <v>2</v>
      </c>
      <c r="LQ57">
        <f>SUMPRODUCT(--('Данные 2st'!$Q$2:$Q$317=$A57),--ISNUMBER('Данные 2st'!$EI$2:$EI$317))</f>
        <v>2</v>
      </c>
      <c r="LR57">
        <f>SUMPRODUCT(--('Данные 2st'!$Q$2:$Q$317=$A57),--ISNUMBER('Данные 2st'!$EJ$2:$EJ$317))</f>
        <v>0</v>
      </c>
      <c r="LS57">
        <f>SUMPRODUCT(--('Данные 2st'!$Q$2:$Q$317=$A57),--ISNUMBER('Данные 2st'!$EK$2:$EK$317))</f>
        <v>0</v>
      </c>
      <c r="LT57">
        <f>SUMPRODUCT(--('Данные 2st'!$Q$2:$Q$317=$A57),--ISNUMBER('Данные 2st'!$EM$2:$EM$317))</f>
        <v>2</v>
      </c>
      <c r="LU57">
        <f>SUMPRODUCT(--('Данные 2st'!$Q$2:$Q$317=$A57),--ISNUMBER('Данные 2st'!$EN$2:$EN$317))</f>
        <v>2</v>
      </c>
      <c r="LV57">
        <f>SUMPRODUCT(--('Данные 2st'!$Q$2:$Q$317=$A57),--ISNUMBER('Данные 2st'!$EO$2:$EO$317))</f>
        <v>2</v>
      </c>
      <c r="LW57">
        <f>SUMPRODUCT(--('Данные 2st'!$Q$2:$Q$317=$A57),--ISNUMBER('Данные 2st'!$EP$2:$EP$317))</f>
        <v>2</v>
      </c>
      <c r="LX57">
        <f>SUMPRODUCT(--('Данные 2st'!$Q$2:$Q$317=$A57),--ISNUMBER('Данные 2st'!$EQ$2:$EQ$317))</f>
        <v>2</v>
      </c>
      <c r="LY57">
        <f>SUMPRODUCT(--('Данные 2st'!$Q$2:$Q$317=$A57),--ISNUMBER('Данные 2st'!$ER$2:$ER$317))</f>
        <v>2</v>
      </c>
      <c r="LZ57">
        <f>SUMPRODUCT(--('Данные 2st'!$Q$2:$Q$317=$A57),--ISNUMBER('Данные 2st'!$ES$2:$ES$317))</f>
        <v>2</v>
      </c>
      <c r="MA57">
        <f>SUMPRODUCT(--('Данные 2st'!$Q$2:$Q$317=$A57),--ISNUMBER('Данные 2st'!$ET$2:$ET$317))</f>
        <v>2</v>
      </c>
      <c r="MB57">
        <f>SUMPRODUCT(--('Данные 2st'!$Q$2:$Q$317=$A57),--ISNUMBER('Данные 2st'!$EU$2:$EU$317))</f>
        <v>2</v>
      </c>
      <c r="MC57">
        <f>SUMPRODUCT(--('Данные 2st'!$Q$2:$Q$317=$A57),--ISNUMBER('Данные 2st'!$EV$2:$EV$317))</f>
        <v>2</v>
      </c>
      <c r="MD57">
        <f>SUMPRODUCT(--('Данные 2st'!$Q$2:$Q$317=$A57),--ISNUMBER('Данные 2st'!$EW$2:$EW$317))</f>
        <v>2</v>
      </c>
      <c r="ME57">
        <f>SUMPRODUCT(--('Данные 2st'!$Q$2:$Q$317=$A57),--ISNUMBER('Данные 2st'!$EY$2:$EY$317))</f>
        <v>2</v>
      </c>
      <c r="MF57">
        <f>SUMPRODUCT(--('Данные 2st'!$Q$2:$Q$317=$A57),--ISNUMBER('Данные 2st'!$FA$2:$FA$317))</f>
        <v>2</v>
      </c>
      <c r="MG57">
        <f>SUMPRODUCT(--('Данные 2st'!$Q$2:$Q$317=$A57),--ISNUMBER('Данные 2st'!$FB$2:$FB$317))</f>
        <v>2</v>
      </c>
      <c r="MH57">
        <f>SUMPRODUCT(--('Данные 2st'!$Q$2:$Q$317=$A57),--ISNUMBER('Данные 2st'!$FC$2:$FC$317))</f>
        <v>2</v>
      </c>
      <c r="MI57">
        <f>SUMPRODUCT(--('Данные 2st'!$Q$2:$Q$317=$A57),--ISNUMBER('Данные 2st'!$FD$2:$FD$317))</f>
        <v>2</v>
      </c>
      <c r="MJ57">
        <f>SUMPRODUCT(--('Данные 2st'!$Q$2:$Q$317=$A57),--ISNUMBER('Данные 2st'!$FE$2:$FE$317))</f>
        <v>2</v>
      </c>
      <c r="MK57">
        <f>SUMPRODUCT(--('Данные 2st'!$Q$2:$Q$317=$A57),--ISNUMBER('Данные 2st'!$FG$2:$FG$317))</f>
        <v>2</v>
      </c>
      <c r="ML57">
        <f>SUMPRODUCT(--('Данные 2st'!$Q$2:$Q$317=$A57),--ISNUMBER('Данные 2st'!$FI$2:$FI$317))</f>
        <v>2</v>
      </c>
      <c r="MM57">
        <f>SUMPRODUCT(--('Данные 2st'!$Q$2:$Q$317=$A57),--ISNUMBER('Данные 2st'!$FJ$2:$FJ$317))</f>
        <v>2</v>
      </c>
      <c r="MN57">
        <f>SUMPRODUCT(--('Данные 2st'!$Q$2:$Q$317=$A57),--ISNUMBER('Данные 2st'!$FK$2:$FK$317))</f>
        <v>2</v>
      </c>
      <c r="MO57">
        <f>SUMPRODUCT(--('Данные 2st'!$Q$2:$Q$317=$A57),--ISNUMBER('Данные 2st'!$FP$2:$FP$317))</f>
        <v>2</v>
      </c>
      <c r="MP57">
        <f>SUMPRODUCT(--('Данные 2st'!$Q$2:$Q$317=$A57),--ISNUMBER('Данные 2st'!$FQ$2:$FQ$317))</f>
        <v>2</v>
      </c>
      <c r="MQ57">
        <f>SUMPRODUCT(--('Данные 2st'!$Q$2:$Q$317=$A57),--ISNUMBER('Данные 2st'!$FS$2:$FS$317))</f>
        <v>2</v>
      </c>
      <c r="MR57">
        <f>SUMPRODUCT(--('Данные 2st'!$Q$2:$Q$317=$A57),--ISNUMBER('Данные 2st'!$FU$2:$FU$317))</f>
        <v>2</v>
      </c>
      <c r="MS57">
        <f>SUMPRODUCT(--('Данные 2st'!$Q$2:$Q$317=$A57),--ISNUMBER('Данные 2st'!$FV$2:$FV$317))</f>
        <v>2</v>
      </c>
      <c r="MT57">
        <f>SUMPRODUCT(--('Данные 2st'!$Q$2:$Q$317=$A57),--ISNUMBER('Данные 2st'!$FW$2:$FW$317))</f>
        <v>2</v>
      </c>
      <c r="MU57">
        <f>SUMPRODUCT(--('Данные 2st'!$Q$2:$Q$317=$A57),--ISNUMBER('Данные 2st'!$FY$2:$FY$317))</f>
        <v>2</v>
      </c>
      <c r="MV57">
        <f>SUMPRODUCT(--('Данные 2st'!$Q$2:$Q$317=$A57),--ISNUMBER('Данные 2st'!$GB$2:$GB$317))</f>
        <v>2</v>
      </c>
      <c r="MW57">
        <f>SUMPRODUCT(--('Данные 2st'!$Q$2:$Q$317=$A57),--ISNUMBER('Данные 2st'!$GC$2:$GC$317))</f>
        <v>2</v>
      </c>
      <c r="MX57">
        <f>SUMPRODUCT(--('Данные 2st'!$Q$2:$Q$317=$A57),--ISNUMBER('Данные 2st'!$GD$2:$GD$317))</f>
        <v>2</v>
      </c>
      <c r="MY57">
        <f>SUMPRODUCT(--('Данные 2st'!$Q$2:$Q$317=$A57),--ISNUMBER('Данные 2st'!$GN$2:$GN$317))</f>
        <v>0</v>
      </c>
      <c r="MZ57">
        <f>SUMPRODUCT(--('Данные 2st'!$Q$2:$Q$317=$A57),--ISNUMBER('Данные 2st'!$GQ$2:$GQ$317))</f>
        <v>2</v>
      </c>
      <c r="NA57">
        <f>SUMPRODUCT(--('Данные 2st'!$Q$2:$Q$317=$A57),--ISNUMBER('Данные 2st'!$GV$2:$GV$317))</f>
        <v>2</v>
      </c>
      <c r="NB57">
        <f>SUMPRODUCT(--('Данные 2st'!$Q$2:$Q$317=$A57),--ISNUMBER('Данные 2st'!$GW$2:$GW$317))</f>
        <v>2</v>
      </c>
      <c r="NC57">
        <f>SUMPRODUCT(--('Данные 2st'!$Q$2:$Q$317=$A57),--ISNUMBER('Данные 2st'!$GX$2:$GX$317))</f>
        <v>2</v>
      </c>
      <c r="ND57">
        <f>SUMPRODUCT(--('Данные 2st'!$Q$2:$Q$317=$A57),--ISNUMBER('Данные 2st'!$GY$2:$GY$317))</f>
        <v>2</v>
      </c>
      <c r="NE57">
        <f>SUMPRODUCT(--('Данные 2st'!$Q$2:$Q$317=$A57),--ISNUMBER('Данные 2st'!$GZ$2:$GZ$317))</f>
        <v>2</v>
      </c>
      <c r="NF57">
        <f>SUMPRODUCT(--('Данные 2st'!$Q$2:$Q$317=$A57),--ISNUMBER('Данные 2st'!$HA$2:$HA$317))</f>
        <v>2</v>
      </c>
      <c r="NG57">
        <f>SUMPRODUCT(--('Данные 2st'!$Q$2:$Q$317=$A57),--ISNUMBER('Данные 2st'!$HB$2:$HB$317))</f>
        <v>2</v>
      </c>
      <c r="NH57">
        <f>SUMPRODUCT(--('Данные 2st'!$Q$2:$Q$317=$A57),--ISNUMBER('Данные 2st'!$HC$2:$HC$317))</f>
        <v>2</v>
      </c>
      <c r="NI57">
        <f>SUMPRODUCT(--('Данные 2st'!$Q$2:$Q$317=$A57),--ISNUMBER('Данные 2st'!$HD$2:$HD$317))</f>
        <v>2</v>
      </c>
      <c r="NJ57">
        <f>SUMPRODUCT(--('Данные 2st'!$Q$2:$Q$317=$A57),--ISNUMBER('Данные 2st'!$HM$2:$HM$317))</f>
        <v>2</v>
      </c>
      <c r="NK57">
        <f>SUMPRODUCT(--('Данные 2st'!$Q$2:$Q$317=$A57),--ISNUMBER('Данные 2st'!$HR$2:$HR$317))</f>
        <v>2</v>
      </c>
      <c r="NL57">
        <f>SUMPRODUCT(--('Данные 2st'!$Q$2:$Q$317=$A57),--ISNUMBER('Данные 2st'!$HS$2:$HS$317))</f>
        <v>2</v>
      </c>
      <c r="NM57">
        <f>SUMPRODUCT(--('Данные 2st'!$Q$2:$Q$317=$A57),--ISNUMBER('Данные 2st'!$HT$2:$HT$317))</f>
        <v>2</v>
      </c>
      <c r="NN57">
        <f>SUMPRODUCT(--('Данные 2st'!$Q$2:$Q$317=$A57),--ISNUMBER('Данные 2st'!$HY$2:$HY$317))</f>
        <v>2</v>
      </c>
      <c r="NO57">
        <f>SUMPRODUCT(--('Данные 2st'!$Q$2:$Q$317=$A57),--ISNUMBER('Данные 2st'!$HZ$2:$HZ$317))</f>
        <v>2</v>
      </c>
      <c r="NP57">
        <f>SUMPRODUCT(--('Данные 2st'!$Q$2:$Q$317=$A57),--ISNUMBER('Данные 2st'!$IA$2:$IA$317))</f>
        <v>2</v>
      </c>
      <c r="NQ57">
        <f>SUMPRODUCT(--('Данные 2st'!$Q$2:$Q$317=$A57),--ISNUMBER('Данные 2st'!$IB$2:$IB$317))</f>
        <v>2</v>
      </c>
      <c r="NR57">
        <f>SUMPRODUCT(--('Данные 2st'!$Q$2:$Q$317=$A57),--ISNUMBER('Данные 2st'!$IC$2:$IC$317))</f>
        <v>0</v>
      </c>
      <c r="NS57">
        <f>SUMPRODUCT(--('Данные 2st'!$Q$2:$Q$317=$A57),--ISNUMBER('Данные 2st'!$ID$2:$ID$317))</f>
        <v>2</v>
      </c>
      <c r="NT57">
        <f>SUMPRODUCT(--('Данные 2st'!$Q$2:$Q$317=$A57),--ISNUMBER('Данные 2st'!$IE$2:$IE$317))</f>
        <v>2</v>
      </c>
      <c r="NU57">
        <f>SUMPRODUCT(--('Данные 2st'!$Q$2:$Q$317=$A57),--ISNUMBER('Данные 2st'!$IF$2:$IF$317))</f>
        <v>2</v>
      </c>
      <c r="NV57">
        <f>SUMPRODUCT(--('Данные 2st'!$Q$2:$Q$317=$A57),--ISNUMBER('Данные 2st'!$IG$2:$IG$317))</f>
        <v>2</v>
      </c>
      <c r="NW57">
        <f>SUMPRODUCT(--('Данные 2st'!$Q$2:$Q$317=$A57),--ISNUMBER('Данные 2st'!$IH$2:$IH$317))</f>
        <v>2</v>
      </c>
      <c r="NX57">
        <f>SUMPRODUCT(--('Данные 2st'!$Q$2:$Q$317=$A57),--ISNUMBER('Данные 2st'!$IJ$2:$IJ$317))</f>
        <v>2</v>
      </c>
      <c r="NY57">
        <f>SUMPRODUCT(--('Данные 2st'!$Q$2:$Q$317=$A57),--ISNUMBER('Данные 2st'!$IM$2:$IM$317))</f>
        <v>2</v>
      </c>
      <c r="NZ57">
        <f>SUMPRODUCT(--('Данные 2st'!$Q$2:$Q$317=$A57),--ISNUMBER('Данные 2st'!$IN$2:$IN$317))</f>
        <v>2</v>
      </c>
      <c r="OA57">
        <f>SUMPRODUCT(--('Данные 2st'!$Q$2:$Q$317=$A57),--ISNUMBER('Данные 2st'!$IO$2:$IO$317))</f>
        <v>2</v>
      </c>
      <c r="OB57">
        <f>SUMPRODUCT(--('Данные 2st'!$Q$2:$Q$317=$A57),--ISNUMBER('Данные 2st'!$IP$2:$IP$317))</f>
        <v>2</v>
      </c>
      <c r="OC57">
        <f>SUMPRODUCT(--('Данные 2st'!$Q$2:$Q$317=$A57),--ISNUMBER('Данные 2st'!$IQ$2:$IQ$317))</f>
        <v>2</v>
      </c>
      <c r="OD57">
        <f>SUMPRODUCT(--('Данные 2st'!$Q$2:$Q$317=$A57),--ISNUMBER('Данные 2st'!$IR$2:$IR$317))</f>
        <v>2</v>
      </c>
      <c r="OE57">
        <f>SUMPRODUCT(--('Данные 2st'!$Q$2:$Q$317=$A57),--ISNUMBER('Данные 2st'!$IT$2:$IT$317))</f>
        <v>2</v>
      </c>
      <c r="OF57">
        <f>SUMPRODUCT(--('Данные 2st'!$Q$2:$Q$317=$A57),--ISNUMBER('Данные 2st'!$IU$2:$IU$317))</f>
        <v>2</v>
      </c>
      <c r="OG57">
        <f>SUMPRODUCT(--('Данные 2st'!$Q$2:$Q$317=$A57),--ISNUMBER('Данные 2st'!$IV$2:$IV$317))</f>
        <v>2</v>
      </c>
      <c r="OH57">
        <f>SUMPRODUCT(--('Данные 2st'!$Q$2:$Q$317=$A57),--ISNUMBER('Данные 2st'!$IW$2:$IW$317))</f>
        <v>2</v>
      </c>
      <c r="OI57">
        <f>SUMPRODUCT(--('Данные 2st'!$Q$2:$Q$317=$A57),--ISNUMBER('Данные 2st'!$IX$2:$IX$317))</f>
        <v>2</v>
      </c>
      <c r="OJ57">
        <f>SUMPRODUCT(--('Данные 2st'!$Q$2:$Q$317=$A57),--ISNUMBER('Данные 2st'!$IY$2:$IY$317))</f>
        <v>2</v>
      </c>
      <c r="OK57">
        <f>SUMPRODUCT(--('Данные 2st'!$Q$2:$Q$317=$A57),--ISNUMBER('Данные 2st'!$IZ$2:$IZ$317))</f>
        <v>2</v>
      </c>
      <c r="OL57">
        <f>SUMPRODUCT(--('Данные 2st'!$Q$2:$Q$317=$A57),--ISNUMBER('Данные 2st'!$JA$2:$JA$317))</f>
        <v>2</v>
      </c>
      <c r="OM57">
        <f>SUMPRODUCT(--('Данные 2st'!$Q$2:$Q$317=$A57),--ISNUMBER('Данные 2st'!$JB$2:$JB$317))</f>
        <v>2</v>
      </c>
      <c r="ON57">
        <f>SUMPRODUCT(--('Данные 2st'!$Q$2:$Q$317=$A57),--ISNUMBER('Данные 2st'!$JC$2:$JC$317))</f>
        <v>2</v>
      </c>
      <c r="OO57">
        <f>SUMPRODUCT(--('Данные 2st'!$Q$2:$Q$317=$A57),--ISNUMBER('Данные 2st'!$JD$2:$JD$317))</f>
        <v>2</v>
      </c>
      <c r="OP57">
        <f>SUMPRODUCT(--('Данные 2st'!$Q$2:$Q$317=$A57),--ISNUMBER('Данные 2st'!$JE$2:$JE$317))</f>
        <v>2</v>
      </c>
      <c r="OQ57">
        <f>SUMPRODUCT(--('Данные 2st'!$Q$2:$Q$317=$A57),--ISNUMBER('Данные 2st'!$JF$2:$JF$317))</f>
        <v>2</v>
      </c>
      <c r="OR57">
        <f>SUMPRODUCT(--('Данные 2st'!$Q$2:$Q$317=$A57),--ISNUMBER('Данные 2st'!$JG$2:$JG$317))</f>
        <v>2</v>
      </c>
      <c r="OS57">
        <f>SUMPRODUCT(--('Данные 2st'!$Q$2:$Q$317=$A57),--ISNUMBER('Данные 2st'!$JH$2:$JH$317))</f>
        <v>2</v>
      </c>
      <c r="OT57">
        <f>SUMPRODUCT(--('Данные 2st'!$Q$2:$Q$317=$A57),--ISNUMBER('Данные 2st'!$JI$2:$JI$317))</f>
        <v>2</v>
      </c>
      <c r="OU57">
        <f>SUMPRODUCT(--('Данные 2st'!$Q$2:$Q$317=$A57),--ISNUMBER('Данные 2st'!$JJ$2:$JJ$317))</f>
        <v>2</v>
      </c>
      <c r="OV57">
        <f>SUMPRODUCT(--('Данные 2st'!$Q$2:$Q$317=$A57),--ISNUMBER('Данные 2st'!$JK$2:$JK$317))</f>
        <v>2</v>
      </c>
      <c r="OW57">
        <f>SUMPRODUCT(--('Данные 2st'!$Q$2:$Q$317=$A57),--ISNUMBER('Данные 2st'!$JL$2:$JL$317))</f>
        <v>2</v>
      </c>
      <c r="OX57">
        <f>SUMPRODUCT(--('Данные 2st'!$Q$2:$Q$317=$A57),--ISNUMBER('Данные 2st'!$JM$2:$JM$317))</f>
        <v>2</v>
      </c>
      <c r="OY57">
        <f>SUMPRODUCT(--('Данные 2st'!$Q$2:$Q$317=$A57),--ISNUMBER('Данные 2st'!$JP$2:$JP$317))</f>
        <v>2</v>
      </c>
      <c r="OZ57">
        <f>SUMPRODUCT(--('Данные 2st'!$Q$2:$Q$317=$A57),--ISNUMBER('Данные 2st'!$JQ$2:$JQ$317))</f>
        <v>2</v>
      </c>
      <c r="PA57">
        <f>SUMPRODUCT(--('Данные 2st'!$Q$2:$Q$317=$A57),--ISNUMBER('Данные 2st'!$JR$2:$JR$317))</f>
        <v>2</v>
      </c>
      <c r="PB57">
        <f>SUMPRODUCT(--('Данные 2st'!$Q$2:$Q$317=$A57),--ISNUMBER('Данные 2st'!$JS$2:$JS$317))</f>
        <v>2</v>
      </c>
      <c r="PC57">
        <f>SUMPRODUCT(--('Данные 2st'!$Q$2:$Q$317=$A57),--ISNUMBER('Данные 2st'!$JT$2:$JT$317))</f>
        <v>2</v>
      </c>
      <c r="PD57">
        <f>SUMPRODUCT(--('Данные 2st'!$Q$2:$Q$317=$A57),--ISNUMBER('Данные 2st'!$JU$2:$JU$317))</f>
        <v>2</v>
      </c>
      <c r="PE57">
        <f>SUMPRODUCT(--('Данные 2st'!$Q$2:$Q$317=$A57),--ISNUMBER('Данные 2st'!$JV$2:$JV$317))</f>
        <v>2</v>
      </c>
      <c r="PF57">
        <f>SUMPRODUCT(--('Данные 2st'!$Q$2:$Q$317=$A57),--ISNUMBER('Данные 2st'!$JW$2:$JW$317))</f>
        <v>2</v>
      </c>
      <c r="PG57">
        <f>SUMPRODUCT(--('Данные 2st'!$Q$2:$Q$317=$A57),--ISNUMBER('Данные 2st'!$KF$2:$KF$317))</f>
        <v>2</v>
      </c>
      <c r="PH57">
        <f>SUMPRODUCT(--('Данные 2st'!$Q$2:$Q$317=$A57),--ISNUMBER('Данные 2st'!$KG$2:$KG$317))</f>
        <v>2</v>
      </c>
      <c r="PI57">
        <f>SUMPRODUCT(--('Данные 2st'!$Q$2:$Q$317=$A57),--ISNUMBER('Данные 2st'!$KM$2:$KM$317))</f>
        <v>2</v>
      </c>
      <c r="PJ57">
        <f>SUMPRODUCT(--('Данные 2st'!$Q$2:$Q$317=$A57),--ISNUMBER('Данные 2st'!$KN$2:$KN$317))</f>
        <v>2</v>
      </c>
      <c r="PK57">
        <f>SUMPRODUCT(--('Данные 2st'!$Q$2:$Q$317=$A57),--ISNUMBER('Данные 2st'!$KO$2:$KO$317))</f>
        <v>2</v>
      </c>
      <c r="PL57">
        <f>SUMPRODUCT(--('Данные 2st'!$Q$2:$Q$317=$A57),--ISNUMBER('Данные 2st'!$KP$2:$KP$317))</f>
        <v>2</v>
      </c>
      <c r="PM57">
        <f>SUMPRODUCT(--('Данные 2st'!$Q$2:$Q$317=$A57),--ISNUMBER('Данные 2st'!$KQ$2:$KQ$317))</f>
        <v>2</v>
      </c>
      <c r="PN57">
        <f>SUMPRODUCT(--('Данные 2st'!$Q$2:$Q$317=$A57),--ISNUMBER('Данные 2st'!$KR$2:$KR$317))</f>
        <v>2</v>
      </c>
      <c r="PO57">
        <f>SUMPRODUCT(--('Данные 2st'!$Q$2:$Q$317=$A57),--ISNUMBER('Данные 2st'!$KS$2:$KS$317))</f>
        <v>2</v>
      </c>
      <c r="PP57">
        <f>SUMPRODUCT(--('Данные 2st'!$Q$2:$Q$317=$A57),--ISNUMBER('Данные 2st'!$KT$2:$KT$317))</f>
        <v>2</v>
      </c>
      <c r="PQ57">
        <f>SUMPRODUCT(--('Данные 2st'!$Q$2:$Q$317=$A57),--ISNUMBER('Данные 2st'!$KU$2:$KU$317))</f>
        <v>2</v>
      </c>
      <c r="PR57">
        <f>SUMPRODUCT(--('Данные 2st'!$Q$2:$Q$317=$A57),--ISNUMBER('Данные 2st'!$KV$2:$KV$317))</f>
        <v>2</v>
      </c>
      <c r="PS57">
        <f>SUMPRODUCT(--('Данные 2st'!$Q$2:$Q$317=$A57),--ISNUMBER('Данные 2st'!$KW$2:$KW$317))</f>
        <v>2</v>
      </c>
      <c r="PT57">
        <f>SUMPRODUCT(--('Данные 2st'!$Q$2:$Q$317=$A57),--ISNUMBER('Данные 2st'!$KX$2:$KX$317))</f>
        <v>2</v>
      </c>
      <c r="PU57">
        <f>SUMPRODUCT(--('Данные 2st'!$Q$2:$Q$317=$A57),--ISNUMBER('Данные 2st'!$KY$2:$KY$317))</f>
        <v>2</v>
      </c>
      <c r="PV57">
        <f>SUMPRODUCT(--('Данные 2st'!$Q$2:$Q$317=$A57),--ISNUMBER('Данные 2st'!$KZ$2:$KZ$317))</f>
        <v>2</v>
      </c>
      <c r="PW57">
        <f>SUMPRODUCT(--('Данные 2st'!$Q$2:$Q$317=$A57),--ISNUMBER('Данные 2st'!$LA$2:$LA$317))</f>
        <v>2</v>
      </c>
      <c r="PX57">
        <f>SUMPRODUCT(--('Данные 2st'!$Q$2:$Q$317=$A57),--ISNUMBER('Данные 2st'!$LB$2:$LB$317))</f>
        <v>2</v>
      </c>
      <c r="PY57">
        <f>SUMPRODUCT(--('Данные 2st'!$Q$2:$Q$317=$A57),--ISNUMBER('Данные 2st'!$LC$2:$LC$317))</f>
        <v>2</v>
      </c>
      <c r="PZ57">
        <f>SUMPRODUCT(--('Данные 2st'!$Q$2:$Q$317=$A57),--ISNUMBER('Данные 2st'!$LD$2:$LD$317))</f>
        <v>2</v>
      </c>
      <c r="QA57">
        <f>SUMPRODUCT(--('Данные 2st'!$Q$2:$Q$317=$A57),--ISNUMBER('Данные 2st'!$LE$2:$LE$317))</f>
        <v>2</v>
      </c>
      <c r="QB57">
        <f>SUMPRODUCT(--('Данные 2st'!$Q$2:$Q$317=$A57),--ISNUMBER('Данные 2st'!$LF$2:$LF$317))</f>
        <v>2</v>
      </c>
      <c r="QC57">
        <f>SUMPRODUCT(--('Данные 2st'!$Q$2:$Q$317=$A57),--ISNUMBER('Данные 2st'!$LG$2:$LG$317))</f>
        <v>2</v>
      </c>
      <c r="QD57">
        <f>SUMPRODUCT(--('Данные 2st'!$Q$2:$Q$317=$A57),--ISNUMBER('Данные 2st'!$LH$2:$LH$317))</f>
        <v>2</v>
      </c>
      <c r="QE57">
        <f>SUMPRODUCT(--('Данные 2st'!$Q$2:$Q$317=$A57),--ISNUMBER('Данные 2st'!$LJ$2:$LJ$317))</f>
        <v>2</v>
      </c>
      <c r="QF57">
        <f>SUMPRODUCT(--('Данные 2st'!$Q$2:$Q$317=$A57),--ISNUMBER('Данные 2st'!$LK$2:$LK$317))</f>
        <v>2</v>
      </c>
      <c r="QG57">
        <f>SUMPRODUCT(--('Данные 2st'!$Q$2:$Q$317=$A57),--ISNUMBER('Данные 2st'!$LL$2:$LL$317))</f>
        <v>2</v>
      </c>
      <c r="QH57">
        <f>SUMPRODUCT(--('Данные 2st'!$Q$2:$Q$317=$A57),--ISNUMBER('Данные 2st'!$LM$2:$LM$317))</f>
        <v>2</v>
      </c>
      <c r="QI57">
        <f>SUMPRODUCT(--('Данные 2st'!$Q$2:$Q$317=$A57),--ISNUMBER('Данные 2st'!$LN$2:$LN$317))</f>
        <v>2</v>
      </c>
      <c r="QJ57">
        <f>SUMPRODUCT(--('Данные 2st'!$Q$2:$Q$317=$A57),--ISNUMBER('Данные 2st'!$LO$2:$LO$317))</f>
        <v>2</v>
      </c>
      <c r="QK57">
        <f>SUMPRODUCT(--('Данные 2st'!$Q$2:$Q$317=$A57),--ISNUMBER('Данные 2st'!$LP$2:$LP$317))</f>
        <v>2</v>
      </c>
      <c r="QL57">
        <f>SUMPRODUCT(--('Данные 2st'!$Q$2:$Q$317=$A57),--ISNUMBER('Данные 2st'!$LQ$2:$LQ$317))</f>
        <v>2</v>
      </c>
      <c r="QM57">
        <f>SUMPRODUCT(--('Данные 2st'!$Q$2:$Q$317=$A57),--ISNUMBER('Данные 2st'!$LW$2:$LW$317))</f>
        <v>2</v>
      </c>
      <c r="QN57">
        <f>SUMPRODUCT(--('Данные 2st'!$Q$2:$Q$317=$A57),--ISNUMBER('Данные 2st'!$LX$2:$LX$317))</f>
        <v>2</v>
      </c>
      <c r="QO57">
        <f>SUMPRODUCT(--('Данные 2st'!$Q$2:$Q$317=$A57),--ISNUMBER('Данные 2st'!$LY$2:$LY$317))</f>
        <v>2</v>
      </c>
      <c r="QP57">
        <f>SUMPRODUCT(--('Данные 2st'!$Q$2:$Q$317=$A57),--ISNUMBER('Данные 2st'!$LZ$2:$LZ$317))</f>
        <v>2</v>
      </c>
      <c r="QQ57">
        <f>SUMPRODUCT(--('Данные 2st'!$Q$2:$Q$317=$A57),--ISNUMBER('Данные 2st'!$MB$2:$MB$317))</f>
        <v>2</v>
      </c>
      <c r="QR57">
        <f>SUMPRODUCT(--('Данные 2st'!$Q$2:$Q$317=$A57),--ISNUMBER('Данные 2st'!$MG$2:$MG$317))</f>
        <v>2</v>
      </c>
      <c r="QS57">
        <f>SUMPRODUCT(--('Данные 2st'!$Q$2:$Q$317=$A57),--ISNUMBER('Данные 2st'!$MH$2:$MH$317))</f>
        <v>2</v>
      </c>
      <c r="QT57">
        <f>SUMPRODUCT(--('Данные 2st'!$Q$2:$Q$317=$A57),--ISNUMBER('Данные 2st'!$MI$2:$MI$317))</f>
        <v>2</v>
      </c>
      <c r="QU57">
        <f>SUMPRODUCT(--('Данные 2st'!$Q$2:$Q$317=$A57),--ISNUMBER('Данные 2st'!$MJ$2:$MJ$317))</f>
        <v>2</v>
      </c>
      <c r="QV57">
        <f>SUMPRODUCT(--('Данные 2st'!$Q$2:$Q$317=$A57),--ISNUMBER('Данные 2st'!$MK$2:$MK$317))</f>
        <v>2</v>
      </c>
      <c r="QW57">
        <f>SUMPRODUCT(--('Данные 2st'!$Q$2:$Q$317=$A57),--ISNUMBER('Данные 2st'!$MM$2:$MM$317))</f>
        <v>2</v>
      </c>
      <c r="QX57">
        <f>SUMPRODUCT(--('Данные 2st'!$Q$2:$Q$317=$A57),--ISNUMBER('Данные 2st'!$MQ$2:$MQ$317))</f>
        <v>0</v>
      </c>
      <c r="QY57">
        <f>SUMPRODUCT(--('Данные 2st'!$Q$2:$Q$317=$A57),--ISNUMBER('Данные 2st'!$MR$2:$MR$317))</f>
        <v>0</v>
      </c>
      <c r="QZ57">
        <f>SUMPRODUCT(--('Данные 2st'!$Q$2:$Q$317=$A57),--ISNUMBER('Данные 2st'!$MS$2:$MS$317))</f>
        <v>0</v>
      </c>
      <c r="RA57">
        <f>SUMPRODUCT(--('Данные 2st'!$Q$2:$Q$317=$A57),--ISNUMBER('Данные 2st'!$MT$2:$MT$317))</f>
        <v>0</v>
      </c>
      <c r="RB57">
        <f>SUMPRODUCT(--('Данные 2st'!$Q$2:$Q$317=$A57),--ISNUMBER('Данные 2st'!$MU$2:$MU$317))</f>
        <v>0</v>
      </c>
      <c r="RC57">
        <f>SUMPRODUCT(--('Данные 2st'!$Q$2:$Q$317=$A57),--ISNUMBER('Данные 2st'!$MV$2:$MV$317))</f>
        <v>0</v>
      </c>
      <c r="RD57">
        <f>SUMPRODUCT(--('Данные 2st'!$Q$2:$Q$317=$A57),--ISNUMBER('Данные 2st'!$MW$2:$MW$317))</f>
        <v>0</v>
      </c>
      <c r="RE57">
        <f>SUMPRODUCT(--('Данные 2st'!$Q$2:$Q$317=$A57),--ISNUMBER('Данные 2st'!$MX$2:$MX$317))</f>
        <v>0</v>
      </c>
      <c r="RF57">
        <f>SUMPRODUCT(--('Данные 2st'!$Q$2:$Q$317=$A57),--ISNUMBER('Данные 2st'!$MY$2:$MY$317))</f>
        <v>0</v>
      </c>
      <c r="RG57">
        <f>SUMPRODUCT(--('Данные 2st'!$Q$2:$Q$317=$A57),--ISNUMBER('Данные 2st'!$MZ$2:$MZ$317))</f>
        <v>0</v>
      </c>
      <c r="RH57">
        <f>SUMPRODUCT(--('Данные 2st'!$Q$2:$Q$317=$A57),--ISNUMBER('Данные 2st'!$NA$2:$NA$317))</f>
        <v>0</v>
      </c>
      <c r="RI57">
        <f>SUMPRODUCT(--('Данные 2st'!$Q$2:$Q$317=$A57),--ISNUMBER('Данные 2st'!$NB$2:$NB$317))</f>
        <v>0</v>
      </c>
      <c r="RJ57">
        <f>SUMPRODUCT(--('Данные 2st'!$Q$2:$Q$317=$A57),--ISNUMBER('Данные 2st'!$NC$2:$NC$317))</f>
        <v>0</v>
      </c>
      <c r="RK57">
        <f>SUMPRODUCT(--('Данные 2st'!$Q$2:$Q$317=$A57),--ISNUMBER('Данные 2st'!$ND$2:$ND$317))</f>
        <v>0</v>
      </c>
      <c r="RL57">
        <f>SUMPRODUCT(--('Данные 2st'!$Q$2:$Q$317=$A57),--ISNUMBER('Данные 2st'!$NE$2:$NE$317))</f>
        <v>0</v>
      </c>
      <c r="RM57">
        <f>SUMPRODUCT(--('Данные 2st'!$Q$2:$Q$317=$A57),--ISNUMBER('Данные 2st'!$NF$2:$NF$317))</f>
        <v>0</v>
      </c>
      <c r="RN57">
        <f>SUMPRODUCT(--('Данные 2st'!$Q$2:$Q$317=$A57),--ISNUMBER('Данные 2st'!$NG$2:$NG$317))</f>
        <v>0</v>
      </c>
      <c r="RO57">
        <f>SUMPRODUCT(--('Данные 2st'!$Q$2:$Q$317=$A57),--ISNUMBER('Данные 2st'!$NH$2:$NH$317))</f>
        <v>0</v>
      </c>
      <c r="RP57">
        <f>SUMPRODUCT(--('Данные 2st'!$Q$2:$Q$317=$A57),--ISNUMBER('Данные 2st'!$NJ$2:$NJ$317))</f>
        <v>0</v>
      </c>
      <c r="RQ57">
        <f>SUMPRODUCT(--('Данные 2st'!$Q$2:$Q$317=$A57),--ISNUMBER('Данные 2st'!$NK$2:$NK$317))</f>
        <v>0</v>
      </c>
      <c r="RR57">
        <f>SUMPRODUCT(--('Данные 2st'!$Q$2:$Q$317=$A57),--ISNUMBER('Данные 2st'!$NM$2:$NM$317))</f>
        <v>0</v>
      </c>
      <c r="RS57">
        <f>SUMPRODUCT(--('Данные 2st'!$Q$2:$Q$317=$A57),--ISNUMBER('Данные 2st'!$NN$2:$NN$317))</f>
        <v>0</v>
      </c>
      <c r="RT57">
        <f>SUMPRODUCT(--('Данные 2st'!$Q$2:$Q$317=$A57),--ISNUMBER('Данные 2st'!$NO$2:$NO$317))</f>
        <v>0</v>
      </c>
      <c r="RU57">
        <f>SUMPRODUCT(--('Данные 2st'!$Q$2:$Q$317=$A57),--ISNUMBER('Данные 2st'!$NP$2:$NP$317))</f>
        <v>0</v>
      </c>
      <c r="RV57">
        <f>SUMPRODUCT(--('Данные 2st'!$Q$2:$Q$317=$A57),--ISNUMBER('Данные 2st'!$NQ$2:$NQ$317))</f>
        <v>0</v>
      </c>
      <c r="RW57">
        <f>SUMPRODUCT(--('Данные 2st'!$Q$2:$Q$317=$A57),--ISNUMBER('Данные 2st'!$NR$2:$NR$317))</f>
        <v>0</v>
      </c>
      <c r="RX57">
        <f>SUMPRODUCT(--('Данные 2st'!$Q$2:$Q$317=$A57),--ISNUMBER('Данные 2st'!$NS$2:$NS$317))</f>
        <v>0</v>
      </c>
      <c r="RY57">
        <f>SUMPRODUCT(--('Данные 2st'!$Q$2:$Q$317=$A57),--ISNUMBER('Данные 2st'!$NT$2:$NT$317))</f>
        <v>0</v>
      </c>
      <c r="RZ57">
        <f>SUMPRODUCT(--('Данные 2st'!$Q$2:$Q$317=$A57),--ISNUMBER('Данные 2st'!$OK$2:$OK$317))</f>
        <v>2</v>
      </c>
      <c r="SA57">
        <f>SUMPRODUCT(--('Данные 2st'!$Q$2:$Q$317=$A57),--ISNUMBER('Данные 2st'!$OL$2:$OL$317))</f>
        <v>2</v>
      </c>
      <c r="SB57">
        <f>SUMPRODUCT(--('Данные 2st'!$Q$2:$Q$317=$A57),--ISNUMBER('Данные 2st'!$ON$2:$ON$317))</f>
        <v>2</v>
      </c>
      <c r="SC57">
        <f>SUMPRODUCT(--('Данные 2st'!$Q$2:$Q$317=$A57),--ISNUMBER('Данные 2st'!$OO$2:$OO$317))</f>
        <v>2</v>
      </c>
      <c r="SD57">
        <f>SUMPRODUCT(--('Данные 2st'!$Q$2:$Q$317=$A57),--ISNUMBER('Данные 2st'!$OP$2:$OP$317))</f>
        <v>2</v>
      </c>
      <c r="SE57">
        <f>SUMPRODUCT(--('Данные 2st'!$Q$2:$Q$317=$A57),--ISNUMBER('Данные 2st'!$OQ$2:$OQ$317))</f>
        <v>2</v>
      </c>
      <c r="SF57">
        <f>SUMPRODUCT(--('Данные 2st'!$Q$2:$Q$317=$A57),--ISNUMBER('Данные 2st'!$OS$2:$OS$317))</f>
        <v>2</v>
      </c>
      <c r="SG57">
        <f>SUMPRODUCT(--('Данные 2st'!$Q$2:$Q$317=$A57),--ISNUMBER('Данные 2st'!$OT$2:$OT$317))</f>
        <v>2</v>
      </c>
      <c r="SH57">
        <f>SUMPRODUCT(--('Данные 2st'!$Q$2:$Q$317=$A57),--ISNUMBER('Данные 2st'!$OU$2:$OU$317))</f>
        <v>2</v>
      </c>
      <c r="SI57">
        <f>SUMPRODUCT(--('Данные 2st'!$Q$2:$Q$317=$A57),--ISNUMBER('Данные 2st'!$OV$2:$OV$317))</f>
        <v>2</v>
      </c>
      <c r="SJ57">
        <f>SUMPRODUCT(--('Данные 2st'!$Q$2:$Q$317=$A57),--ISNUMBER('Данные 2st'!$OX$2:$OX$317))</f>
        <v>2</v>
      </c>
      <c r="SK57">
        <f>SUMPRODUCT(--('Данные 2st'!$Q$2:$Q$317=$A57),--ISNUMBER('Данные 2st'!$OY$2:$OY$317))</f>
        <v>2</v>
      </c>
      <c r="SL57">
        <f>SUMPRODUCT(--('Данные 2st'!$Q$2:$Q$317=$A57),--ISNUMBER('Данные 2st'!$OZ$2:$OZ$317))</f>
        <v>2</v>
      </c>
      <c r="SM57">
        <f>SUMPRODUCT(--('Данные 2st'!$Q$2:$Q$317=$A57),--ISNUMBER('Данные 2st'!$PA$2:$PA$317))</f>
        <v>2</v>
      </c>
      <c r="SN57">
        <f>SUMPRODUCT(--('Данные 2st'!$Q$2:$Q$317=$A57),--ISNUMBER('Данные 2st'!$PC$2:$PC$317))</f>
        <v>2</v>
      </c>
      <c r="SO57">
        <f>SUMPRODUCT(--('Данные 2st'!$Q$2:$Q$317=$A57),--ISNUMBER('Данные 2st'!$PD$2:$PD$317))</f>
        <v>2</v>
      </c>
      <c r="SP57">
        <f>SUMPRODUCT(--('Данные 2st'!$Q$2:$Q$317=$A57),--ISNUMBER('Данные 2st'!$PF$2:$PF$317))</f>
        <v>2</v>
      </c>
      <c r="SQ57">
        <f>SUMPRODUCT(--('Данные 2st'!$Q$2:$Q$317=$A57),--ISNUMBER('Данные 2st'!$PG$2:$PG$317))</f>
        <v>2</v>
      </c>
      <c r="SR57">
        <f>SUMPRODUCT(--('Данные 2st'!$Q$2:$Q$317=$A57),--ISNUMBER('Данные 2st'!$PH$2:$PH$317))</f>
        <v>2</v>
      </c>
      <c r="SS57">
        <f>SUMPRODUCT(--('Данные 2st'!$Q$2:$Q$317=$A57),--ISNUMBER('Данные 2st'!$PI$2:$PI$317))</f>
        <v>2</v>
      </c>
      <c r="ST57">
        <f>SUMPRODUCT(--('Данные 2st'!$Q$2:$Q$317=$A57),--ISNUMBER('Данные 2st'!$PJ$2:$PJ$317))</f>
        <v>2</v>
      </c>
      <c r="SU57">
        <f>SUMPRODUCT(--('Данные 2st'!$Q$2:$Q$317=$A57),--ISNUMBER('Данные 2st'!$PK$2:$PK$317))</f>
        <v>2</v>
      </c>
      <c r="SV57">
        <f>SUMPRODUCT(--('Данные 2st'!$Q$2:$Q$317=$A57),--ISNUMBER('Данные 2st'!$PL$2:$PL$317))</f>
        <v>2</v>
      </c>
      <c r="SW57">
        <f>SUMPRODUCT(--('Данные 2st'!$Q$2:$Q$317=$A57),--ISNUMBER('Данные 2st'!$PM$2:$PM$317))</f>
        <v>2</v>
      </c>
      <c r="SX57">
        <f>SUMPRODUCT(--('Данные 2st'!$Q$2:$Q$317=$A57),--ISNUMBER('Данные 2st'!$PN$2:$PN$317))</f>
        <v>2</v>
      </c>
      <c r="SY57">
        <f>SUMPRODUCT(--('Данные 2st'!$Q$2:$Q$317=$A57),--ISNUMBER('Данные 2st'!$PO$2:$PO$317))</f>
        <v>2</v>
      </c>
      <c r="SZ57">
        <f>SUMPRODUCT(--('Данные 2st'!$Q$2:$Q$317=$A57),--ISNUMBER('Данные 2st'!$PP$2:$PP$317))</f>
        <v>2</v>
      </c>
      <c r="TA57">
        <f>SUMPRODUCT(--('Данные 2st'!$Q$2:$Q$317=$A57),--ISNUMBER('Данные 2st'!$PQ$2:$PQ$317))</f>
        <v>2</v>
      </c>
      <c r="TB57">
        <f>SUMPRODUCT(--('Данные 2st'!$Q$2:$Q$317=$A57),--ISNUMBER('Данные 2st'!$PR$2:$PR$317))</f>
        <v>2</v>
      </c>
      <c r="TC57">
        <f>SUMPRODUCT(--('Данные 2st'!$Q$2:$Q$317=$A57),--ISNUMBER('Данные 2st'!$PS$2:$PS$317))</f>
        <v>2</v>
      </c>
      <c r="TD57">
        <f>SUMPRODUCT(--('Данные 2st'!$Q$2:$Q$317=$A57),--ISNUMBER('Данные 2st'!$PT$2:$PT$317))</f>
        <v>2</v>
      </c>
      <c r="TE57">
        <f>SUMPRODUCT(--('Данные 2st'!$Q$2:$Q$317=$A57),--ISNUMBER('Данные 2st'!$PU$2:$PU$317))</f>
        <v>2</v>
      </c>
      <c r="TF57">
        <f>SUMPRODUCT(--('Данные 2st'!$Q$2:$Q$317=$A57),--ISNUMBER('Данные 2st'!$PX$2:$PX$317))</f>
        <v>2</v>
      </c>
      <c r="TG57">
        <f>SUMPRODUCT(--('Данные 2st'!$Q$2:$Q$317=$A57),--ISNUMBER('Данные 2st'!$PY$2:$PY$317))</f>
        <v>2</v>
      </c>
      <c r="TH57">
        <f>SUMPRODUCT(--('Данные 2st'!$Q$2:$Q$317=$A57),--ISNUMBER('Данные 2st'!$PZ$2:$PZ$317))</f>
        <v>2</v>
      </c>
      <c r="TI57">
        <f>SUMPRODUCT(--('Данные 2st'!$Q$2:$Q$317=$A57),--ISNUMBER('Данные 2st'!$QA$2:$QA$317))</f>
        <v>2</v>
      </c>
      <c r="TJ57">
        <f>SUMPRODUCT(--('Данные 2st'!$Q$2:$Q$317=$A57),--ISNUMBER('Данные 2st'!$QB$2:$QB$317))</f>
        <v>2</v>
      </c>
      <c r="TK57">
        <f>SUMPRODUCT(--('Данные 2st'!$Q$2:$Q$317=$A57),--ISNUMBER('Данные 2st'!$QC$2:$QC$317))</f>
        <v>2</v>
      </c>
      <c r="TL57">
        <f>SUMPRODUCT(--('Данные 2st'!$Q$2:$Q$317=$A57),--ISNUMBER('Данные 2st'!$QD$2:$QD$317))</f>
        <v>2</v>
      </c>
      <c r="TM57">
        <f>SUMPRODUCT(--('Данные 2st'!$Q$2:$Q$317=$A57),--ISNUMBER('Данные 2st'!$QE$2:$QE$317))</f>
        <v>2</v>
      </c>
      <c r="TN57">
        <f>SUMPRODUCT(--('Данные 2st'!$Q$2:$Q$317=$A57),--ISNUMBER('Данные 2st'!$QF$2:$QF$317))</f>
        <v>2</v>
      </c>
      <c r="TO57">
        <f>SUMPRODUCT(--('Данные 2st'!$Q$2:$Q$317=$A57),--ISNUMBER('Данные 2st'!$QG$2:$QG$317))</f>
        <v>2</v>
      </c>
      <c r="TP57">
        <f>SUMPRODUCT(--('Данные 2st'!$Q$2:$Q$317=$A57),--ISNUMBER('Данные 2st'!$QH$2:$QH$317))</f>
        <v>2</v>
      </c>
      <c r="TQ57">
        <f>SUMPRODUCT(--('Данные 2st'!$Q$2:$Q$317=$A57),--ISNUMBER('Данные 2st'!$QI$2:$QI$317))</f>
        <v>2</v>
      </c>
      <c r="TR57">
        <f>SUMPRODUCT(--('Данные 2st'!$Q$2:$Q$317=$A57),--ISNUMBER('Данные 2st'!$QJ$2:$QJ$317))</f>
        <v>2</v>
      </c>
      <c r="TS57">
        <f>SUMPRODUCT(--('Данные 2st'!$Q$2:$Q$317=$A57),--ISNUMBER('Данные 2st'!$QK$2:$QK$317))</f>
        <v>2</v>
      </c>
      <c r="TT57">
        <f>SUMPRODUCT(--('Данные 2st'!$Q$2:$Q$317=$A57),--ISNUMBER('Данные 2st'!$QL$2:$QL$317))</f>
        <v>2</v>
      </c>
      <c r="TU57">
        <f>SUMPRODUCT(--('Данные 2st'!$Q$2:$Q$317=$A57),--ISNUMBER('Данные 2st'!$QM$2:$QM$317))</f>
        <v>2</v>
      </c>
      <c r="TV57">
        <f>SUMPRODUCT(--('Данные 2st'!$Q$2:$Q$317=$A57),--ISNUMBER('Данные 2st'!$QN$2:$QN$317))</f>
        <v>2</v>
      </c>
      <c r="TW57">
        <f>SUMPRODUCT(--('Данные 2st'!$Q$2:$Q$317=$A57),--ISNUMBER('Данные 2st'!$QQ$2:$QQ$317))</f>
        <v>2</v>
      </c>
      <c r="TX57">
        <f>SUMPRODUCT(--('Данные 2st'!$Q$2:$Q$317=$A57),--ISNUMBER('Данные 2st'!$QS$2:$QS$317))</f>
        <v>2</v>
      </c>
      <c r="TY57">
        <f>SUMPRODUCT(--('Данные 2st'!$Q$2:$Q$317=$A57),--ISNUMBER('Данные 2st'!$QT$2:$QT$317))</f>
        <v>2</v>
      </c>
    </row>
    <row r="58" spans="1:545" ht="32" customHeight="1">
      <c r="A58" s="11" t="str">
        <f>'По размерам'!A58</f>
        <v>245/45R18</v>
      </c>
      <c r="G58">
        <f>SUMPRODUCT(--('Данные 1st'!$S$2:$S$317=$A58),--ISNUMBER('Данные 1st'!$AE$2:$AE$317))</f>
        <v>3</v>
      </c>
      <c r="H58">
        <f>SUMPRODUCT(--('Данные 1st'!$S$2:$S$317=$A58),--ISNUMBER('Данные 1st'!$AF$2:$AF$317))</f>
        <v>3</v>
      </c>
      <c r="I58">
        <f>SUMPRODUCT(--('Данные 1st'!$S$2:$S$317=$A58),--ISNUMBER('Данные 1st'!$AJ$2:$AJ$317))</f>
        <v>3</v>
      </c>
      <c r="J58">
        <f>SUMPRODUCT(--('Данные 1st'!$S$2:$S$317=$A58),--ISNUMBER('Данные 1st'!$AL$2:$AL$317))</f>
        <v>3</v>
      </c>
      <c r="K58">
        <f>SUMPRODUCT(--('Данные 1st'!$S$2:$S$317=$A58),--ISNUMBER('Данные 1st'!$AR$2:$AR$317))</f>
        <v>3</v>
      </c>
      <c r="L58">
        <f>SUMPRODUCT(--('Данные 1st'!$S$2:$S$317=$A58),--ISNUMBER('Данные 1st'!$AS$2:$AS$317))</f>
        <v>3</v>
      </c>
      <c r="M58">
        <f>SUMPRODUCT(--('Данные 1st'!$S$2:$S$317=$A58),--ISNUMBER('Данные 1st'!$AY$2:$AY$317))</f>
        <v>3</v>
      </c>
      <c r="N58">
        <f>SUMPRODUCT(--('Данные 1st'!$S$2:$S$317=$A58),--ISNUMBER('Данные 1st'!$AZ$2:$AZ$317))</f>
        <v>3</v>
      </c>
      <c r="O58">
        <f>SUMPRODUCT(--('Данные 1st'!$S$2:$S$317=$A58),--ISNUMBER('Данные 1st'!$BF$2:$BF$317))</f>
        <v>0</v>
      </c>
      <c r="P58">
        <f>SUMPRODUCT(--('Данные 1st'!$S$2:$S$317=$A58),--ISNUMBER('Данные 1st'!$BG$2:$BG$317))</f>
        <v>3</v>
      </c>
      <c r="Q58">
        <f>SUMPRODUCT(--('Данные 1st'!$S$2:$S$317=$A58),--ISNUMBER('Данные 1st'!$BM$2:$BM$317))</f>
        <v>0</v>
      </c>
      <c r="R58">
        <f>SUMPRODUCT(--('Данные 1st'!$S$2:$S$317=$A58),--ISNUMBER('Данные 1st'!$BN$2:$BN$317))</f>
        <v>3</v>
      </c>
      <c r="S58">
        <f>SUMPRODUCT(--('Данные 1st'!$S$2:$S$317=$A58),--ISNUMBER('Данные 1st'!$BT$2:$BT$317))</f>
        <v>3</v>
      </c>
      <c r="T58">
        <f>SUMPRODUCT(--('Данные 1st'!$S$2:$S$317=$A58),--ISNUMBER('Данные 1st'!$BU$2:$BU$317))</f>
        <v>3</v>
      </c>
      <c r="U58">
        <f>SUMPRODUCT(--('Данные 1st'!$S$2:$S$317=$A58),--ISNUMBER('Данные 1st'!$BW$2:$BW$317))</f>
        <v>3</v>
      </c>
      <c r="V58">
        <f>SUMPRODUCT(--('Данные 1st'!$S$2:$S$317=$A58),--ISNUMBER('Данные 1st'!$BX$2:$BX$317))</f>
        <v>3</v>
      </c>
      <c r="W58">
        <f>SUMPRODUCT(--('Данные 1st'!$S$2:$S$317=$A58),--ISNUMBER('Данные 1st'!$BZ$2:$BZ$317))</f>
        <v>3</v>
      </c>
      <c r="X58">
        <f>SUMPRODUCT(--('Данные 1st'!$S$2:$S$317=$A58),--ISNUMBER('Данные 1st'!$CA$2:$CA$317))</f>
        <v>3</v>
      </c>
      <c r="Y58">
        <f>SUMPRODUCT(--('Данные 1st'!$S$2:$S$317=$A58),--ISNUMBER('Данные 1st'!$CD$2:$CD$317))</f>
        <v>3</v>
      </c>
      <c r="Z58">
        <f>SUMPRODUCT(--('Данные 1st'!$S$2:$S$317=$A58),--ISNUMBER('Данные 1st'!$CF$2:$CF$317))</f>
        <v>3</v>
      </c>
      <c r="AA58">
        <f>SUMPRODUCT(--('Данные 1st'!$S$2:$S$317=$A58),--ISNUMBER('Данные 1st'!$CI$2:$CI$317))</f>
        <v>3</v>
      </c>
      <c r="AB58">
        <f>SUMPRODUCT(--('Данные 1st'!$S$2:$S$317=$A58),--ISNUMBER('Данные 1st'!$CJ$2:$CJ$317))</f>
        <v>3</v>
      </c>
      <c r="AC58">
        <f>SUMPRODUCT(--('Данные 1st'!$S$2:$S$317=$A58),--ISNUMBER('Данные 1st'!$CK$2:$CK$317))</f>
        <v>3</v>
      </c>
      <c r="AD58">
        <f>SUMPRODUCT(--('Данные 1st'!$S$2:$S$317=$A58),--ISNUMBER('Данные 1st'!$CL$2:$CL$317))</f>
        <v>3</v>
      </c>
      <c r="AE58">
        <f>SUMPRODUCT(--('Данные 1st'!$S$2:$S$317=$A58),--ISNUMBER('Данные 1st'!$CM$2:$CM$317))</f>
        <v>3</v>
      </c>
      <c r="AF58">
        <f>SUMPRODUCT(--('Данные 1st'!$S$2:$S$317=$A58),--ISNUMBER('Данные 1st'!$CT$2:$CT$317))</f>
        <v>3</v>
      </c>
      <c r="AG58">
        <f>SUMPRODUCT(--('Данные 1st'!$S$2:$S$317=$A58),--ISNUMBER('Данные 1st'!$CU$2:$CU$317))</f>
        <v>3</v>
      </c>
      <c r="AH58">
        <f>SUMPRODUCT(--('Данные 1st'!$S$2:$S$317=$A58),--ISNUMBER('Данные 1st'!$CV$2:$CV$317))</f>
        <v>3</v>
      </c>
      <c r="AI58">
        <f>SUMPRODUCT(--('Данные 1st'!$S$2:$S$317=$A58),--ISNUMBER('Данные 1st'!$CW$2:$CW$317))</f>
        <v>3</v>
      </c>
      <c r="AJ58">
        <f>SUMPRODUCT(--('Данные 1st'!$S$2:$S$317=$A58),--ISNUMBER('Данные 1st'!$CX$2:$CX$317))</f>
        <v>3</v>
      </c>
      <c r="AK58">
        <f>SUMPRODUCT(--('Данные 1st'!$S$2:$S$317=$A58),--ISNUMBER('Данные 1st'!$CZ$2:$CZ$317))</f>
        <v>0</v>
      </c>
      <c r="AL58">
        <f>SUMPRODUCT(--('Данные 1st'!$S$2:$S$317=$A58),--ISNUMBER('Данные 1st'!$DA$2:$DA$317))</f>
        <v>0</v>
      </c>
      <c r="AM58">
        <f>SUMPRODUCT(--('Данные 1st'!$S$2:$S$317=$A58),--ISNUMBER('Данные 1st'!$DB$2:$DB$317))</f>
        <v>0</v>
      </c>
      <c r="AN58">
        <f>SUMPRODUCT(--('Данные 1st'!$S$2:$S$317=$A58),--ISNUMBER('Данные 1st'!$DC$2:$DC$317))</f>
        <v>0</v>
      </c>
      <c r="AO58">
        <f>SUMPRODUCT(--('Данные 1st'!$S$2:$S$317=$A58),--ISNUMBER('Данные 1st'!$DD$2:$DD$317))</f>
        <v>3</v>
      </c>
      <c r="AP58">
        <f>SUMPRODUCT(--('Данные 1st'!$S$2:$S$317=$A58),--ISNUMBER('Данные 1st'!$DF$2:$DF$317))</f>
        <v>3</v>
      </c>
      <c r="AQ58">
        <f>SUMPRODUCT(--('Данные 1st'!$S$2:$S$317=$A58),--ISNUMBER('Данные 1st'!$DG$2:$DG$317))</f>
        <v>3</v>
      </c>
      <c r="AR58">
        <f>SUMPRODUCT(--('Данные 1st'!$S$2:$S$317=$A58),--ISNUMBER('Данные 1st'!$DH$2:$DH$317))</f>
        <v>3</v>
      </c>
      <c r="AS58">
        <f>SUMPRODUCT(--('Данные 1st'!$S$2:$S$317=$A58),--ISNUMBER('Данные 1st'!$DI$2:$DI$317))</f>
        <v>3</v>
      </c>
      <c r="AT58">
        <f>SUMPRODUCT(--('Данные 1st'!$S$2:$S$317=$A58),--ISNUMBER('Данные 1st'!$DJ$2:$DJ$317))</f>
        <v>3</v>
      </c>
      <c r="AU58">
        <f>SUMPRODUCT(--('Данные 1st'!$S$2:$S$317=$A58),--ISNUMBER('Данные 1st'!$DL$2:$DL$317))</f>
        <v>0</v>
      </c>
      <c r="AV58">
        <f>SUMPRODUCT(--('Данные 1st'!$S$2:$S$317=$A58),--ISNUMBER('Данные 1st'!$DM$2:$DM$317))</f>
        <v>0</v>
      </c>
      <c r="AW58">
        <f>SUMPRODUCT(--('Данные 1st'!$S$2:$S$317=$A58),--ISNUMBER('Данные 1st'!$DN$2:$DN$317))</f>
        <v>0</v>
      </c>
      <c r="AX58">
        <f>SUMPRODUCT(--('Данные 1st'!$S$2:$S$317=$A58),--ISNUMBER('Данные 1st'!$DO$2:$DO$317))</f>
        <v>0</v>
      </c>
      <c r="AY58">
        <f>SUMPRODUCT(--('Данные 1st'!$S$2:$S$317=$A58),--ISNUMBER('Данные 1st'!$DP$2:$DP$317))</f>
        <v>0</v>
      </c>
      <c r="AZ58">
        <f>SUMPRODUCT(--('Данные 1st'!$S$2:$S$317=$A58),--ISNUMBER('Данные 1st'!$DR$2:$DR$317))</f>
        <v>0</v>
      </c>
      <c r="BA58">
        <f>SUMPRODUCT(--('Данные 1st'!$S$2:$S$317=$A58),--ISNUMBER('Данные 1st'!$DS$2:$DS$317))</f>
        <v>0</v>
      </c>
      <c r="BB58">
        <f>SUMPRODUCT(--('Данные 1st'!$S$2:$S$317=$A58),--ISNUMBER('Данные 1st'!$DT$2:$DT$317))</f>
        <v>0</v>
      </c>
      <c r="BC58">
        <f>SUMPRODUCT(--('Данные 1st'!$S$2:$S$317=$A58),--ISNUMBER('Данные 1st'!$DU$2:$DU$317))</f>
        <v>0</v>
      </c>
      <c r="BD58">
        <f>SUMPRODUCT(--('Данные 1st'!$S$2:$S$317=$A58),--ISNUMBER('Данные 1st'!$DV$2:$DV$317))</f>
        <v>0</v>
      </c>
      <c r="BE58">
        <f>SUMPRODUCT(--('Данные 1st'!$S$2:$S$317=$A58),--ISNUMBER('Данные 1st'!$DX$2:$DX$317))</f>
        <v>3</v>
      </c>
      <c r="BF58">
        <f>SUMPRODUCT(--('Данные 1st'!$S$2:$S$317=$A58),--ISNUMBER('Данные 1st'!$EA$2:$EA$317))</f>
        <v>3</v>
      </c>
      <c r="BG58">
        <f>SUMPRODUCT(--('Данные 1st'!$S$2:$S$317=$A58),--ISNUMBER('Данные 1st'!$EB$2:$EB$317))</f>
        <v>3</v>
      </c>
      <c r="BH58">
        <f>SUMPRODUCT(--('Данные 1st'!$S$2:$S$317=$A58),--ISNUMBER('Данные 1st'!$ED$2:$ED$317))</f>
        <v>3</v>
      </c>
      <c r="BI58">
        <f>SUMPRODUCT(--('Данные 1st'!$S$2:$S$317=$A58),--ISNUMBER('Данные 1st'!$EE$2:$EE$317))</f>
        <v>3</v>
      </c>
      <c r="BJ58">
        <f>SUMPRODUCT(--('Данные 1st'!$S$2:$S$317=$A58),--ISNUMBER('Данные 1st'!$EG$2:$EG$317))</f>
        <v>3</v>
      </c>
      <c r="BK58">
        <f>SUMPRODUCT(--('Данные 1st'!$S$2:$S$317=$A58),--ISNUMBER('Данные 1st'!$EH$2:$EH$317))</f>
        <v>3</v>
      </c>
      <c r="BL58">
        <f>SUMPRODUCT(--('Данные 1st'!$S$2:$S$317=$A58),--ISNUMBER('Данные 1st'!$EJ$2:$EJ$317))</f>
        <v>3</v>
      </c>
      <c r="BM58">
        <f>SUMPRODUCT(--('Данные 1st'!$S$2:$S$317=$A58),--ISNUMBER('Данные 1st'!$EK$2:$EK$317))</f>
        <v>3</v>
      </c>
      <c r="BN58">
        <f>SUMPRODUCT(--('Данные 1st'!$S$2:$S$317=$A58),--ISNUMBER('Данные 1st'!$EN$2:$EN$317))</f>
        <v>3</v>
      </c>
      <c r="BO58">
        <f>SUMPRODUCT(--('Данные 1st'!$S$2:$S$317=$A58),--ISNUMBER('Данные 1st'!$EQ$2:$EQ$317))</f>
        <v>3</v>
      </c>
      <c r="BP58">
        <f>SUMPRODUCT(--('Данные 1st'!$S$2:$S$317=$A58),--ISNUMBER('Данные 1st'!$ER$2:$ER$317))</f>
        <v>3</v>
      </c>
      <c r="BQ58">
        <f>SUMPRODUCT(--('Данные 1st'!$S$2:$S$317=$A58),--ISNUMBER('Данные 1st'!$ES$2:$ES$317))</f>
        <v>3</v>
      </c>
      <c r="BR58">
        <f>SUMPRODUCT(--('Данные 1st'!$S$2:$S$317=$A58),--ISNUMBER('Данные 1st'!$ET$2:$ET$317))</f>
        <v>3</v>
      </c>
      <c r="BS58">
        <f>SUMPRODUCT(--('Данные 1st'!$S$2:$S$317=$A58),--ISNUMBER('Данные 1st'!$EU$2:$EU$317))</f>
        <v>3</v>
      </c>
      <c r="BT58">
        <f>SUMPRODUCT(--('Данные 1st'!$S$2:$S$317=$A58),--ISNUMBER('Данные 1st'!$EV$2:$EV$317))</f>
        <v>3</v>
      </c>
      <c r="BU58">
        <f>SUMPRODUCT(--('Данные 1st'!$S$2:$S$317=$A58),--ISNUMBER('Данные 1st'!$EX$2:$EX$317))</f>
        <v>3</v>
      </c>
      <c r="BV58">
        <f>SUMPRODUCT(--('Данные 1st'!$S$2:$S$317=$A58),--ISNUMBER('Данные 1st'!$EY$2:$EY$317))</f>
        <v>3</v>
      </c>
      <c r="BW58">
        <f>SUMPRODUCT(--('Данные 1st'!$S$2:$S$317=$A58),--ISNUMBER('Данные 1st'!$EZ$2:$EZ$317))</f>
        <v>3</v>
      </c>
      <c r="BX58">
        <f>SUMPRODUCT(--('Данные 1st'!$S$2:$S$317=$A58),--ISNUMBER('Данные 1st'!$FA$2:$FA$317))</f>
        <v>3</v>
      </c>
      <c r="BY58">
        <f>SUMPRODUCT(--('Данные 1st'!$S$2:$S$317=$A58),--ISNUMBER('Данные 1st'!$FB$2:$FB$317))</f>
        <v>3</v>
      </c>
      <c r="BZ58">
        <f>SUMPRODUCT(--('Данные 1st'!$S$2:$S$317=$A58),--ISNUMBER('Данные 1st'!$FC$2:$FC$317))</f>
        <v>3</v>
      </c>
      <c r="CA58">
        <f>SUMPRODUCT(--('Данные 1st'!$S$2:$S$317=$A58),--ISNUMBER('Данные 1st'!$FE$2:$FE$317))</f>
        <v>3</v>
      </c>
      <c r="CB58">
        <f>SUMPRODUCT(--('Данные 1st'!$S$2:$S$317=$A58),--ISNUMBER('Данные 1st'!$FF$2:$FF$317))</f>
        <v>3</v>
      </c>
      <c r="CC58">
        <f>SUMPRODUCT(--('Данные 1st'!$S$2:$S$317=$A58),--ISNUMBER('Данные 1st'!$FI$2:$FI$317))</f>
        <v>3</v>
      </c>
      <c r="CD58">
        <f>SUMPRODUCT(--('Данные 1st'!$S$2:$S$317=$A58),--ISNUMBER('Данные 1st'!$FL$2:$FL$317))</f>
        <v>3</v>
      </c>
      <c r="CE58">
        <f>SUMPRODUCT(--('Данные 1st'!$S$2:$S$317=$A58),--ISNUMBER('Данные 1st'!$FM$2:$FM$317))</f>
        <v>3</v>
      </c>
      <c r="CF58">
        <f>SUMPRODUCT(--('Данные 1st'!$S$2:$S$317=$A58),--ISNUMBER('Данные 1st'!$FN$2:$FN$317))</f>
        <v>3</v>
      </c>
      <c r="CG58">
        <f>SUMPRODUCT(--('Данные 1st'!$S$2:$S$317=$A58),--ISNUMBER('Данные 1st'!$FO$2:$FO$317))</f>
        <v>0</v>
      </c>
      <c r="CH58">
        <f>SUMPRODUCT(--('Данные 1st'!$S$2:$S$317=$A58),--ISNUMBER('Данные 1st'!$FP$2:$FP$317))</f>
        <v>0</v>
      </c>
      <c r="CI58">
        <f>SUMPRODUCT(--('Данные 1st'!$S$2:$S$317=$A58),--ISNUMBER('Данные 1st'!$FS$2:$FS$317))</f>
        <v>3</v>
      </c>
      <c r="CJ58">
        <f>SUMPRODUCT(--('Данные 1st'!$S$2:$S$317=$A58),--ISNUMBER('Данные 1st'!$FT$2:$FT$317))</f>
        <v>3</v>
      </c>
      <c r="CK58">
        <f>SUMPRODUCT(--('Данные 1st'!$S$2:$S$317=$A58),--ISNUMBER('Данные 1st'!$FU$2:$FU$317))</f>
        <v>3</v>
      </c>
      <c r="CL58">
        <f>SUMPRODUCT(--('Данные 1st'!$S$2:$S$317=$A58),--ISNUMBER('Данные 1st'!$FV$2:$FV$317))</f>
        <v>0</v>
      </c>
      <c r="CM58">
        <f>SUMPRODUCT(--('Данные 1st'!$S$2:$S$317=$A58),--ISNUMBER('Данные 1st'!$FW$2:$FW$317))</f>
        <v>0</v>
      </c>
      <c r="CN58">
        <f>SUMPRODUCT(--('Данные 1st'!$S$2:$S$317=$A58),--ISNUMBER('Данные 1st'!$FZ$2:$FZ$317))</f>
        <v>1</v>
      </c>
      <c r="CO58">
        <f>SUMPRODUCT(--('Данные 1st'!$S$2:$S$317=$A58),--ISNUMBER('Данные 1st'!$GA$2:$GA$317))</f>
        <v>1</v>
      </c>
      <c r="CP58">
        <f>SUMPRODUCT(--('Данные 1st'!$S$2:$S$317=$A58),--ISNUMBER('Данные 1st'!$GB$2:$GB$317))</f>
        <v>1</v>
      </c>
      <c r="CQ58">
        <f>SUMPRODUCT(--('Данные 1st'!$S$2:$S$317=$A58),--ISNUMBER('Данные 1st'!$GH$2:$GH$317))</f>
        <v>1</v>
      </c>
      <c r="CR58">
        <f>SUMPRODUCT(--('Данные 1st'!$S$2:$S$317=$A58),--ISNUMBER('Данные 1st'!$GI$2:$GI$317))</f>
        <v>1</v>
      </c>
      <c r="CS58">
        <f>SUMPRODUCT(--('Данные 1st'!$S$2:$S$317=$A58),--ISNUMBER('Данные 1st'!$GJ$2:$GJ$317))</f>
        <v>1</v>
      </c>
      <c r="CT58">
        <f>SUMPRODUCT(--('Данные 1st'!$S$2:$S$317=$A58),--ISNUMBER('Данные 1st'!$GS$2:$GS$317))</f>
        <v>0</v>
      </c>
      <c r="CU58">
        <f>SUMPRODUCT(--('Данные 1st'!$S$2:$S$317=$A58),--ISNUMBER('Данные 1st'!$GT$2:$GT$317))</f>
        <v>0</v>
      </c>
      <c r="CV58">
        <f>SUMPRODUCT(--('Данные 1st'!$S$2:$S$317=$A58),--ISNUMBER('Данные 1st'!$GU$2:$GU$317))</f>
        <v>0</v>
      </c>
      <c r="CW58">
        <f>SUMPRODUCT(--('Данные 1st'!$S$2:$S$317=$A58),--ISNUMBER('Данные 1st'!$GV$2:$GV$317))</f>
        <v>0</v>
      </c>
      <c r="CX58">
        <f>SUMPRODUCT(--('Данные 1st'!$S$2:$S$317=$A58),--ISNUMBER('Данные 1st'!$GW$2:$GW$317))</f>
        <v>0</v>
      </c>
      <c r="CY58">
        <f>SUMPRODUCT(--('Данные 1st'!$S$2:$S$317=$A58),--ISNUMBER('Данные 1st'!$GZ$2:$GZ$317))</f>
        <v>0</v>
      </c>
      <c r="CZ58">
        <f>SUMPRODUCT(--('Данные 1st'!$S$2:$S$317=$A58),--ISNUMBER('Данные 1st'!$HA$2:$HA$317))</f>
        <v>0</v>
      </c>
      <c r="DA58">
        <f>SUMPRODUCT(--('Данные 1st'!$S$2:$S$317=$A58),--ISNUMBER('Данные 1st'!$HB$2:$HB$317))</f>
        <v>0</v>
      </c>
      <c r="DB58">
        <f>SUMPRODUCT(--('Данные 1st'!$S$2:$S$317=$A58),--ISNUMBER('Данные 1st'!$HC$2:$HC$317))</f>
        <v>3</v>
      </c>
      <c r="DC58">
        <f>SUMPRODUCT(--('Данные 1st'!$S$2:$S$317=$A58),--ISNUMBER('Данные 1st'!$HD$2:$HD$317))</f>
        <v>3</v>
      </c>
      <c r="DD58">
        <f>SUMPRODUCT(--('Данные 1st'!$S$2:$S$317=$A58),--ISNUMBER('Данные 1st'!$HE$2:$HE$317))</f>
        <v>3</v>
      </c>
      <c r="DE58">
        <f>SUMPRODUCT(--('Данные 1st'!$S$2:$S$317=$A58),--ISNUMBER('Данные 1st'!$HF$2:$HF$317))</f>
        <v>3</v>
      </c>
      <c r="DF58">
        <f>SUMPRODUCT(--('Данные 1st'!$S$2:$S$317=$A58),--ISNUMBER('Данные 1st'!$HG$2:$HG$317))</f>
        <v>3</v>
      </c>
      <c r="DG58">
        <f>SUMPRODUCT(--('Данные 1st'!$S$2:$S$317=$A58),--ISNUMBER('Данные 1st'!$HH$2:$HH$317))</f>
        <v>3</v>
      </c>
      <c r="DH58">
        <f>SUMPRODUCT(--('Данные 1st'!$S$2:$S$317=$A58),--ISNUMBER('Данные 1st'!$HI$2:$HI$317))</f>
        <v>3</v>
      </c>
      <c r="DI58">
        <f>SUMPRODUCT(--('Данные 1st'!$S$2:$S$317=$A58),--ISNUMBER('Данные 1st'!$HJ$2:$HJ$317))</f>
        <v>3</v>
      </c>
      <c r="DJ58">
        <f>SUMPRODUCT(--('Данные 1st'!$S$2:$S$317=$A58),--ISNUMBER('Данные 1st'!$HK$2:$HK$317))</f>
        <v>3</v>
      </c>
      <c r="DK58">
        <f>SUMPRODUCT(--('Данные 1st'!$S$2:$S$317=$A58),--ISNUMBER('Данные 1st'!$HL$2:$HL$317))</f>
        <v>3</v>
      </c>
      <c r="DL58">
        <f>SUMPRODUCT(--('Данные 1st'!$S$2:$S$317=$A58),--ISNUMBER('Данные 1st'!$HM$2:$HM$317))</f>
        <v>3</v>
      </c>
      <c r="DM58">
        <f>SUMPRODUCT(--('Данные 1st'!$S$2:$S$317=$A58),--ISNUMBER('Данные 1st'!$HN$2:$HN$317))</f>
        <v>3</v>
      </c>
      <c r="DN58">
        <f>SUMPRODUCT(--('Данные 1st'!$S$2:$S$317=$A58),--ISNUMBER('Данные 1st'!$HO$2:$HO$317))</f>
        <v>3</v>
      </c>
      <c r="DO58">
        <f>SUMPRODUCT(--('Данные 1st'!$S$2:$S$317=$A58),--ISNUMBER('Данные 1st'!$HP$2:$HP$317))</f>
        <v>3</v>
      </c>
      <c r="DP58">
        <f>SUMPRODUCT(--('Данные 1st'!$S$2:$S$317=$A58),--ISNUMBER('Данные 1st'!$HQ$2:$HQ$317))</f>
        <v>3</v>
      </c>
      <c r="DQ58">
        <f>SUMPRODUCT(--('Данные 1st'!$S$2:$S$317=$A58),--ISNUMBER('Данные 1st'!$HR$2:$HR$317))</f>
        <v>3</v>
      </c>
      <c r="DR58">
        <f>SUMPRODUCT(--('Данные 1st'!$S$2:$S$317=$A58),--ISNUMBER('Данные 1st'!$HS$2:$HS$317))</f>
        <v>3</v>
      </c>
      <c r="DS58">
        <f>SUMPRODUCT(--('Данные 1st'!$S$2:$S$317=$A58),--ISNUMBER('Данные 1st'!$HT$2:$HT$317))</f>
        <v>3</v>
      </c>
      <c r="DT58">
        <f>SUMPRODUCT(--('Данные 1st'!$S$2:$S$317=$A58),--ISNUMBER('Данные 1st'!$HU$2:$HU$317))</f>
        <v>3</v>
      </c>
      <c r="DU58">
        <f>SUMPRODUCT(--('Данные 1st'!$S$2:$S$317=$A58),--ISNUMBER('Данные 1st'!$HW$2:$HW$317))</f>
        <v>3</v>
      </c>
      <c r="DV58">
        <f>SUMPRODUCT(--('Данные 1st'!$S$2:$S$317=$A58),--ISNUMBER('Данные 1st'!$HX$2:$HX$317))</f>
        <v>3</v>
      </c>
      <c r="DW58">
        <f>SUMPRODUCT(--('Данные 1st'!$S$2:$S$317=$A58),--ISNUMBER('Данные 1st'!$HY$2:$HY$317))</f>
        <v>3</v>
      </c>
      <c r="DX58">
        <f>SUMPRODUCT(--('Данные 1st'!$S$2:$S$317=$A58),--ISNUMBER('Данные 1st'!$IA$2:$IA$317))</f>
        <v>3</v>
      </c>
      <c r="DY58">
        <f>SUMPRODUCT(--('Данные 1st'!$S$2:$S$317=$A58),--ISNUMBER('Данные 1st'!$IB$2:$IB$317))</f>
        <v>3</v>
      </c>
      <c r="DZ58">
        <f>SUMPRODUCT(--('Данные 1st'!$S$2:$S$317=$A58),--ISNUMBER('Данные 1st'!$IC$2:$IC$317))</f>
        <v>3</v>
      </c>
      <c r="EA58">
        <f>SUMPRODUCT(--('Данные 1st'!$S$2:$S$317=$A58),--ISNUMBER('Данные 1st'!$ID$2:$ID$317))</f>
        <v>3</v>
      </c>
      <c r="EB58">
        <f>SUMPRODUCT(--('Данные 1st'!$S$2:$S$317=$A58),--ISNUMBER('Данные 1st'!$IE$2:$IE$317))</f>
        <v>3</v>
      </c>
      <c r="EC58">
        <f>SUMPRODUCT(--('Данные 1st'!$S$2:$S$317=$A58),--ISNUMBER('Данные 1st'!$IF$2:$IF$317))</f>
        <v>3</v>
      </c>
      <c r="ED58">
        <f>SUMPRODUCT(--('Данные 1st'!$S$2:$S$317=$A58),--ISNUMBER('Данные 1st'!$IP$2:$IP$317))</f>
        <v>3</v>
      </c>
      <c r="EE58">
        <f>SUMPRODUCT(--('Данные 1st'!$S$2:$S$317=$A58),--ISNUMBER('Данные 1st'!$IV$2:$IV$317))</f>
        <v>3</v>
      </c>
      <c r="EF58">
        <f>SUMPRODUCT(--('Данные 1st'!$S$2:$S$317=$A58),--ISNUMBER('Данные 1st'!$IW$2:$IW$317))</f>
        <v>3</v>
      </c>
      <c r="EG58">
        <f>SUMPRODUCT(--('Данные 1st'!$S$2:$S$317=$A58),--ISNUMBER('Данные 1st'!$IX$2:$IX$317))</f>
        <v>0</v>
      </c>
      <c r="EH58">
        <f>SUMPRODUCT(--('Данные 1st'!$S$2:$S$317=$A58),--ISNUMBER('Данные 1st'!$IY$2:$IY$317))</f>
        <v>2</v>
      </c>
      <c r="EI58">
        <f>SUMPRODUCT(--('Данные 1st'!$S$2:$S$317=$A58),--ISNUMBER('Данные 1st'!$JD$2:$JD$317))</f>
        <v>3</v>
      </c>
      <c r="EJ58">
        <f>SUMPRODUCT(--('Данные 1st'!$S$2:$S$317=$A58),--ISNUMBER('Данные 1st'!$JE$2:$JE$317))</f>
        <v>3</v>
      </c>
      <c r="EK58">
        <f>SUMPRODUCT(--('Данные 1st'!$S$2:$S$317=$A58),--ISNUMBER('Данные 1st'!$JF$2:$JF$317))</f>
        <v>3</v>
      </c>
      <c r="EL58">
        <f>SUMPRODUCT(--('Данные 1st'!$S$2:$S$317=$A58),--ISNUMBER('Данные 1st'!$JG$2:$JG$317))</f>
        <v>3</v>
      </c>
      <c r="EM58">
        <f>SUMPRODUCT(--('Данные 1st'!$S$2:$S$317=$A58),--ISNUMBER('Данные 1st'!$JH$2:$JH$317))</f>
        <v>3</v>
      </c>
      <c r="EN58">
        <f>SUMPRODUCT(--('Данные 1st'!$S$2:$S$317=$A58),--ISNUMBER('Данные 1st'!$JJ$2:$JJ$317))</f>
        <v>3</v>
      </c>
      <c r="EO58">
        <f>SUMPRODUCT(--('Данные 1st'!$S$2:$S$317=$A58),--ISNUMBER('Данные 1st'!$JK$2:$JK$317))</f>
        <v>3</v>
      </c>
      <c r="EP58">
        <f>SUMPRODUCT(--('Данные 1st'!$S$2:$S$317=$A58),--ISNUMBER('Данные 1st'!$JL$2:$JL$317))</f>
        <v>0</v>
      </c>
      <c r="EQ58">
        <f>SUMPRODUCT(--('Данные 1st'!$S$2:$S$317=$A58),--ISNUMBER('Данные 1st'!$JM$2:$JM$317))</f>
        <v>0</v>
      </c>
      <c r="ER58">
        <f>SUMPRODUCT(--('Данные 1st'!$S$2:$S$317=$A58),--ISNUMBER('Данные 1st'!$JN$2:$JN$317))</f>
        <v>3</v>
      </c>
      <c r="ES58">
        <f>SUMPRODUCT(--('Данные 1st'!$S$2:$S$317=$A58),--ISNUMBER('Данные 1st'!$JO$2:$JO$317))</f>
        <v>3</v>
      </c>
      <c r="ET58">
        <f>SUMPRODUCT(--('Данные 1st'!$S$2:$S$317=$A58),--ISNUMBER('Данные 1st'!$JP$2:$JP$317))</f>
        <v>3</v>
      </c>
      <c r="EU58">
        <f>SUMPRODUCT(--('Данные 1st'!$S$2:$S$317=$A58),--ISNUMBER('Данные 1st'!$JQ$2:$JQ$317))</f>
        <v>3</v>
      </c>
      <c r="EV58">
        <f>SUMPRODUCT(--('Данные 1st'!$S$2:$S$317=$A58),--ISNUMBER('Данные 1st'!$JR$2:$JR$317))</f>
        <v>3</v>
      </c>
      <c r="EW58">
        <f>SUMPRODUCT(--('Данные 1st'!$S$2:$S$317=$A58),--ISNUMBER('Данные 1st'!$JS$2:$JS$317))</f>
        <v>3</v>
      </c>
      <c r="EX58">
        <f>SUMPRODUCT(--('Данные 1st'!$S$2:$S$317=$A58),--ISNUMBER('Данные 1st'!$JT$2:$JT$317))</f>
        <v>0</v>
      </c>
      <c r="EY58">
        <f>SUMPRODUCT(--('Данные 1st'!$S$2:$S$317=$A58),--ISNUMBER('Данные 1st'!$JU$2:$JU$317))</f>
        <v>0</v>
      </c>
      <c r="EZ58">
        <f>SUMPRODUCT(--('Данные 1st'!$S$2:$S$317=$A58),--ISNUMBER('Данные 1st'!$JV$2:$JV$317))</f>
        <v>3</v>
      </c>
      <c r="FA58">
        <f>SUMPRODUCT(--('Данные 1st'!$S$2:$S$317=$A58),--ISNUMBER('Данные 1st'!$JW$2:$JW$317))</f>
        <v>0</v>
      </c>
      <c r="FB58">
        <f>SUMPRODUCT(--('Данные 1st'!$S$2:$S$317=$A58),--ISNUMBER('Данные 1st'!$JX$2:$JX$317))</f>
        <v>3</v>
      </c>
      <c r="FC58">
        <f>SUMPRODUCT(--('Данные 1st'!$S$2:$S$317=$A58),--ISNUMBER('Данные 1st'!$JY$2:$JY$317))</f>
        <v>0</v>
      </c>
      <c r="FD58">
        <f>SUMPRODUCT(--('Данные 1st'!$S$2:$S$317=$A58),--ISNUMBER('Данные 1st'!$JZ$2:$JZ$317))</f>
        <v>0</v>
      </c>
      <c r="FE58">
        <f>SUMPRODUCT(--('Данные 1st'!$S$2:$S$317=$A58),--ISNUMBER('Данные 1st'!$KA$2:$KA$317))</f>
        <v>3</v>
      </c>
      <c r="FF58">
        <f>SUMPRODUCT(--('Данные 1st'!$S$2:$S$317=$A58),--ISNUMBER('Данные 1st'!$KB$2:$KB$317))</f>
        <v>3</v>
      </c>
      <c r="FG58">
        <f>SUMPRODUCT(--('Данные 1st'!$S$2:$S$317=$A58),--ISNUMBER('Данные 1st'!$KC$2:$KC$317))</f>
        <v>3</v>
      </c>
      <c r="FH58">
        <f>SUMPRODUCT(--('Данные 1st'!$S$2:$S$317=$A58),--ISNUMBER('Данные 1st'!$KD$2:$KD$317))</f>
        <v>3</v>
      </c>
      <c r="FI58">
        <f>SUMPRODUCT(--('Данные 1st'!$S$2:$S$317=$A58),--ISNUMBER('Данные 1st'!$KE$2:$KE$317))</f>
        <v>0</v>
      </c>
      <c r="FJ58">
        <f>SUMPRODUCT(--('Данные 1st'!$S$2:$S$317=$A58),--ISNUMBER('Данные 1st'!$KF$2:$KF$317))</f>
        <v>3</v>
      </c>
      <c r="FK58">
        <f>SUMPRODUCT(--('Данные 1st'!$S$2:$S$317=$A58),--ISNUMBER('Данные 1st'!$KG$2:$KG$317))</f>
        <v>3</v>
      </c>
      <c r="FL58">
        <f>SUMPRODUCT(--('Данные 1st'!$S$2:$S$317=$A58),--ISNUMBER('Данные 1st'!$KH$2:$KH$317))</f>
        <v>3</v>
      </c>
      <c r="FM58">
        <f>SUMPRODUCT(--('Данные 1st'!$S$2:$S$317=$A58),--ISNUMBER('Данные 1st'!$KI$2:$KI$317))</f>
        <v>3</v>
      </c>
      <c r="FN58">
        <f>SUMPRODUCT(--('Данные 1st'!$S$2:$S$317=$A58),--ISNUMBER('Данные 1st'!$KJ$2:$KJ$317))</f>
        <v>3</v>
      </c>
      <c r="FO58">
        <f>SUMPRODUCT(--('Данные 1st'!$S$2:$S$317=$A58),--ISNUMBER('Данные 1st'!$KK$2:$KK$317))</f>
        <v>3</v>
      </c>
      <c r="FP58">
        <f>SUMPRODUCT(--('Данные 1st'!$S$2:$S$317=$A58),--ISNUMBER('Данные 1st'!$KL$2:$KL$317))</f>
        <v>3</v>
      </c>
      <c r="FQ58">
        <f>SUMPRODUCT(--('Данные 1st'!$S$2:$S$317=$A58),--ISNUMBER('Данные 1st'!$KM$2:$KM$317))</f>
        <v>3</v>
      </c>
      <c r="FR58">
        <f>SUMPRODUCT(--('Данные 1st'!$S$2:$S$317=$A58),--ISNUMBER('Данные 1st'!$KN$2:$KN$317))</f>
        <v>3</v>
      </c>
      <c r="FS58">
        <f>SUMPRODUCT(--('Данные 1st'!$S$2:$S$317=$A58),--ISNUMBER('Данные 1st'!$KR$2:$KR$317))</f>
        <v>3</v>
      </c>
      <c r="FT58">
        <f>SUMPRODUCT(--('Данные 1st'!$S$2:$S$317=$A58),--ISNUMBER('Данные 1st'!$KS$2:$KS$317))</f>
        <v>3</v>
      </c>
      <c r="FU58">
        <f>SUMPRODUCT(--('Данные 1st'!$S$2:$S$317=$A58),--ISNUMBER('Данные 1st'!$KT$2:$KT$317))</f>
        <v>3</v>
      </c>
      <c r="FV58">
        <f>SUMPRODUCT(--('Данные 1st'!$S$2:$S$317=$A58),--ISNUMBER('Данные 1st'!$KV$2:$KV$317))</f>
        <v>0</v>
      </c>
      <c r="FW58">
        <f>SUMPRODUCT(--('Данные 1st'!$S$2:$S$317=$A58),--ISNUMBER('Данные 1st'!$KW$2:$KW$317))</f>
        <v>0</v>
      </c>
      <c r="FX58">
        <f>SUMPRODUCT(--('Данные 1st'!$S$2:$S$317=$A58),--ISNUMBER('Данные 1st'!$KX$2:$KX$317))</f>
        <v>0</v>
      </c>
      <c r="FY58">
        <f>SUMPRODUCT(--('Данные 1st'!$S$2:$S$317=$A58),--ISNUMBER('Данные 1st'!$KY$2:$KY$317))</f>
        <v>0</v>
      </c>
      <c r="FZ58">
        <f>SUMPRODUCT(--('Данные 1st'!$S$2:$S$317=$A58),--ISNUMBER('Данные 1st'!$KZ$2:$KZ$317))</f>
        <v>0</v>
      </c>
      <c r="GA58">
        <f>SUMPRODUCT(--('Данные 1st'!$S$2:$S$317=$A58),--ISNUMBER('Данные 1st'!$LA$2:$LA$317))</f>
        <v>0</v>
      </c>
      <c r="GB58">
        <f>SUMPRODUCT(--('Данные 1st'!$S$2:$S$317=$A58),--ISNUMBER('Данные 1st'!$LB$2:$LB$317))</f>
        <v>0</v>
      </c>
      <c r="GC58">
        <f>SUMPRODUCT(--('Данные 1st'!$S$2:$S$317=$A58),--ISNUMBER('Данные 1st'!$LC$2:$LC$317))</f>
        <v>0</v>
      </c>
      <c r="GD58">
        <f>SUMPRODUCT(--('Данные 1st'!$S$2:$S$317=$A58),--ISNUMBER('Данные 1st'!$LD$2:$LD$317))</f>
        <v>0</v>
      </c>
      <c r="GE58">
        <f>SUMPRODUCT(--('Данные 1st'!$S$2:$S$317=$A58),--ISNUMBER('Данные 1st'!$LE$2:$LE$317))</f>
        <v>0</v>
      </c>
      <c r="GF58">
        <f>SUMPRODUCT(--('Данные 1st'!$S$2:$S$317=$A58),--ISNUMBER('Данные 1st'!$LF$2:$LF$317))</f>
        <v>0</v>
      </c>
      <c r="GG58">
        <f>SUMPRODUCT(--('Данные 1st'!$S$2:$S$317=$A58),--ISNUMBER('Данные 1st'!$LG$2:$LG$317))</f>
        <v>0</v>
      </c>
      <c r="GH58">
        <f>SUMPRODUCT(--('Данные 1st'!$S$2:$S$317=$A58),--ISNUMBER('Данные 1st'!$LH$2:$LH$317))</f>
        <v>0</v>
      </c>
      <c r="GI58">
        <f>SUMPRODUCT(--('Данные 1st'!$S$2:$S$317=$A58),--ISNUMBER('Данные 1st'!$LI$2:$LI$317))</f>
        <v>0</v>
      </c>
      <c r="GJ58">
        <f>SUMPRODUCT(--('Данные 1st'!$S$2:$S$317=$A58),--ISNUMBER('Данные 1st'!$LJ$2:$LJ$317))</f>
        <v>0</v>
      </c>
      <c r="GK58">
        <f>SUMPRODUCT(--('Данные 1st'!$S$2:$S$317=$A58),--ISNUMBER('Данные 1st'!$LK$2:$LK$317))</f>
        <v>3</v>
      </c>
      <c r="GL58">
        <f>SUMPRODUCT(--('Данные 1st'!$S$2:$S$317=$A58),--ISNUMBER('Данные 1st'!$LV$2:$LV$317))</f>
        <v>0</v>
      </c>
      <c r="GM58">
        <f>SUMPRODUCT(--('Данные 1st'!$S$2:$S$317=$A58),--ISNUMBER('Данные 1st'!$LW$2:$LW$317))</f>
        <v>0</v>
      </c>
      <c r="GN58">
        <f>SUMPRODUCT(--('Данные 1st'!$S$2:$S$317=$A58),--ISNUMBER('Данные 1st'!$LX$2:$LX$317))</f>
        <v>0</v>
      </c>
      <c r="GO58">
        <f>SUMPRODUCT(--('Данные 1st'!$S$2:$S$317=$A58),--ISNUMBER('Данные 1st'!$LY$2:$LY$317))</f>
        <v>0</v>
      </c>
      <c r="GP58">
        <f>SUMPRODUCT(--('Данные 1st'!$S$2:$S$317=$A58),--ISNUMBER('Данные 1st'!$LZ$2:$LZ$317))</f>
        <v>0</v>
      </c>
      <c r="GQ58">
        <f>SUMPRODUCT(--('Данные 1st'!$S$2:$S$317=$A58),--ISNUMBER('Данные 1st'!$PG$2:$PG$317))</f>
        <v>3</v>
      </c>
      <c r="GR58">
        <f>SUMPRODUCT(--('Данные 1st'!$S$2:$S$317=$A58),--ISNUMBER('Данные 1st'!$PX$2:$PX$317))</f>
        <v>3</v>
      </c>
      <c r="GS58">
        <f>SUMPRODUCT(--('Данные 1st'!$S$2:$S$317=$A58),--ISNUMBER('Данные 1st'!$PY$2:$PY$317))</f>
        <v>3</v>
      </c>
      <c r="GT58">
        <f>SUMPRODUCT(--('Данные 1st'!$S$2:$S$317=$A58),--ISNUMBER('Данные 1st'!$QA$2:$QA$317))</f>
        <v>3</v>
      </c>
      <c r="GU58">
        <f>SUMPRODUCT(--('Данные 1st'!$S$2:$S$317=$A58),--ISNUMBER('Данные 1st'!$QB$2:$QB$317))</f>
        <v>3</v>
      </c>
      <c r="GV58">
        <f>SUMPRODUCT(--('Данные 1st'!$S$2:$S$317=$A58),--ISNUMBER('Данные 1st'!$QC$2:$QC$317))</f>
        <v>3</v>
      </c>
      <c r="GW58">
        <f>SUMPRODUCT(--('Данные 1st'!$S$2:$S$317=$A58),--ISNUMBER('Данные 1st'!$QD$2:$QD$317))</f>
        <v>3</v>
      </c>
      <c r="GX58">
        <f>SUMPRODUCT(--('Данные 1st'!$S$2:$S$317=$A58),--ISNUMBER('Данные 1st'!$QF$2:$QF$317))</f>
        <v>3</v>
      </c>
      <c r="GY58">
        <f>SUMPRODUCT(--('Данные 1st'!$S$2:$S$317=$A58),--ISNUMBER('Данные 1st'!$QG$2:$QG$317))</f>
        <v>3</v>
      </c>
      <c r="GZ58">
        <f>SUMPRODUCT(--('Данные 1st'!$S$2:$S$317=$A58),--ISNUMBER('Данные 1st'!$QH$2:$QH$317))</f>
        <v>3</v>
      </c>
      <c r="HA58">
        <f>SUMPRODUCT(--('Данные 1st'!$S$2:$S$317=$A58),--ISNUMBER('Данные 1st'!$QI$2:$QI$317))</f>
        <v>3</v>
      </c>
      <c r="HB58">
        <f>SUMPRODUCT(--('Данные 1st'!$S$2:$S$317=$A58),--ISNUMBER('Данные 1st'!$QK$2:$QK$317))</f>
        <v>0</v>
      </c>
      <c r="HC58">
        <f>SUMPRODUCT(--('Данные 1st'!$S$2:$S$317=$A58),--ISNUMBER('Данные 1st'!$QL$2:$QL$317))</f>
        <v>3</v>
      </c>
      <c r="HD58">
        <f>SUMPRODUCT(--('Данные 1st'!$S$2:$S$317=$A58),--ISNUMBER('Данные 1st'!$QM$2:$QM$317))</f>
        <v>3</v>
      </c>
      <c r="HE58">
        <f>SUMPRODUCT(--('Данные 1st'!$S$2:$S$317=$A58),--ISNUMBER('Данные 1st'!$QN$2:$QN$317))</f>
        <v>3</v>
      </c>
      <c r="HF58">
        <f>SUMPRODUCT(--('Данные 1st'!$S$2:$S$317=$A58),--ISNUMBER('Данные 1st'!$QP$2:$QP$317))</f>
        <v>3</v>
      </c>
      <c r="HG58">
        <f>SUMPRODUCT(--('Данные 1st'!$S$2:$S$317=$A58),--ISNUMBER('Данные 1st'!$QQ$2:$QQ$317))</f>
        <v>3</v>
      </c>
      <c r="HH58">
        <f>SUMPRODUCT(--('Данные 1st'!$S$2:$S$317=$A58),--ISNUMBER('Данные 1st'!$QR$2:$QR$317))</f>
        <v>0</v>
      </c>
      <c r="HI58">
        <f>SUMPRODUCT(--('Данные 1st'!$S$2:$S$317=$A58),--ISNUMBER('Данные 1st'!$QS$2:$QS$317))</f>
        <v>0</v>
      </c>
      <c r="HJ58">
        <f>SUMPRODUCT(--('Данные 1st'!$S$2:$S$317=$A58),--ISNUMBER('Данные 1st'!$QU$2:$QU$317))</f>
        <v>0</v>
      </c>
      <c r="HK58">
        <f>SUMPRODUCT(--('Данные 1st'!$S$2:$S$317=$A58),--ISNUMBER('Данные 1st'!$QV$2:$QV$317))</f>
        <v>0</v>
      </c>
      <c r="HL58">
        <f>SUMPRODUCT(--('Данные 1st'!$S$2:$S$317=$A58),--ISNUMBER('Данные 1st'!$QW$2:$QW$317))</f>
        <v>3</v>
      </c>
      <c r="HM58">
        <f>SUMPRODUCT(--('Данные 1st'!$S$2:$S$317=$A58),--ISNUMBER('Данные 1st'!$QX$2:$QX$317))</f>
        <v>3</v>
      </c>
      <c r="HN58">
        <f>SUMPRODUCT(--('Данные 1st'!$S$2:$S$317=$A58),--ISNUMBER('Данные 1st'!$QZ$2:$QZ$317))</f>
        <v>3</v>
      </c>
      <c r="HO58">
        <f>SUMPRODUCT(--('Данные 1st'!$S$2:$S$317=$A58),--ISNUMBER('Данные 1st'!$RA$2:$RA$317))</f>
        <v>3</v>
      </c>
      <c r="HP58">
        <f>SUMPRODUCT(--('Данные 1st'!$S$2:$S$317=$A58),--ISNUMBER('Данные 1st'!$RB$2:$RB$317))</f>
        <v>3</v>
      </c>
      <c r="HQ58">
        <f>SUMPRODUCT(--('Данные 1st'!$S$2:$S$317=$A58),--ISNUMBER('Данные 1st'!$RD$2:$RD$317))</f>
        <v>0</v>
      </c>
      <c r="HR58">
        <f>SUMPRODUCT(--('Данные 1st'!$S$2:$S$317=$A58),--ISNUMBER('Данные 1st'!$RE$2:$RE$317))</f>
        <v>3</v>
      </c>
      <c r="HS58">
        <f>SUMPRODUCT(--('Данные 1st'!$S$2:$S$317=$A58),--ISNUMBER('Данные 1st'!$RF$2:$RF$317))</f>
        <v>2</v>
      </c>
      <c r="HT58">
        <f>SUMPRODUCT(--('Данные 1st'!$S$2:$S$317=$A58),--ISNUMBER('Данные 1st'!$RG$2:$RG$317))</f>
        <v>1</v>
      </c>
      <c r="HU58">
        <f>SUMPRODUCT(--('Данные 1st'!$S$2:$S$317=$A58),--ISNUMBER('Данные 1st'!$RH$2:$RH$317))</f>
        <v>0</v>
      </c>
      <c r="HV58">
        <f>SUMPRODUCT(--('Данные 1st'!$S$2:$S$317=$A58),--ISNUMBER('Данные 1st'!$RI$2:$RI$317))</f>
        <v>0</v>
      </c>
      <c r="HW58">
        <f>SUMPRODUCT(--('Данные 1st'!$S$2:$S$317=$A58),--ISNUMBER('Данные 1st'!$RJ$2:$RJ$317))</f>
        <v>3</v>
      </c>
      <c r="HX58">
        <f>SUMPRODUCT(--('Данные 1st'!$S$2:$S$317=$A58),--ISNUMBER('Данные 1st'!$RK$2:$RK$317))</f>
        <v>0</v>
      </c>
      <c r="HY58">
        <f>SUMPRODUCT(--('Данные 1st'!$S$2:$S$317=$A58),--ISNUMBER('Данные 1st'!$RL$2:$RL$317))</f>
        <v>3</v>
      </c>
      <c r="HZ58">
        <f>SUMPRODUCT(--('Данные 1st'!$S$2:$S$317=$A58),--ISNUMBER('Данные 1st'!$RM$2:$RM$317))</f>
        <v>0</v>
      </c>
      <c r="IA58">
        <f>SUMPRODUCT(--('Данные 1st'!$S$2:$S$317=$A58),--ISNUMBER('Данные 1st'!$RN$2:$RN$317))</f>
        <v>0</v>
      </c>
      <c r="IB58">
        <f>SUMPRODUCT(--('Данные 1st'!$S$2:$S$317=$A58),--ISNUMBER('Данные 1st'!$RO$2:$RO$317))</f>
        <v>3</v>
      </c>
      <c r="IC58">
        <f>SUMPRODUCT(--('Данные 1st'!$S$2:$S$317=$A58),--ISNUMBER('Данные 1st'!$RP$2:$RP$317))</f>
        <v>0</v>
      </c>
      <c r="ID58">
        <f>SUMPRODUCT(--('Данные 1st'!$S$2:$S$317=$A58),--ISNUMBER('Данные 1st'!$RQ$2:$RQ$317))</f>
        <v>3</v>
      </c>
      <c r="IE58">
        <f>SUMPRODUCT(--('Данные 1st'!$S$2:$S$317=$A58),--ISNUMBER('Данные 1st'!$RR$2:$RR$317))</f>
        <v>0</v>
      </c>
      <c r="IF58">
        <f>SUMPRODUCT(--('Данные 1st'!$S$2:$S$317=$A58),--ISNUMBER('Данные 1st'!$RS$2:$RS$317))</f>
        <v>0</v>
      </c>
      <c r="IG58">
        <f>SUMPRODUCT(--('Данные 1st'!$S$2:$S$317=$A58),--ISNUMBER('Данные 1st'!$RT$2:$RT$317))</f>
        <v>3</v>
      </c>
      <c r="IH58">
        <f>SUMPRODUCT(--('Данные 1st'!$S$2:$S$317=$A58),--ISNUMBER('Данные 1st'!$RU$2:$RU$317))</f>
        <v>3</v>
      </c>
      <c r="II58">
        <f>SUMPRODUCT(--('Данные 1st'!$S$2:$S$317=$A58),--ISNUMBER('Данные 1st'!$RX$2:$RX$317))</f>
        <v>3</v>
      </c>
      <c r="IJ58">
        <f>SUMPRODUCT(--('Данные 1st'!$S$2:$S$317=$A58),--ISNUMBER('Данные 1st'!$RY$2:$RY$317))</f>
        <v>3</v>
      </c>
      <c r="IK58">
        <f>SUMPRODUCT(--('Данные 1st'!$S$2:$S$317=$A58),--ISNUMBER('Данные 1st'!$SA$2:$SA$317))</f>
        <v>3</v>
      </c>
      <c r="IL58">
        <f>SUMPRODUCT(--('Данные 1st'!$S$2:$S$317=$A58),--ISNUMBER('Данные 1st'!$SD$2:$SD$317))</f>
        <v>3</v>
      </c>
      <c r="IM58">
        <f>SUMPRODUCT(--('Данные 1st'!$S$2:$S$317=$A58),--ISNUMBER('Данные 1st'!$SG$2:$SG$317))</f>
        <v>0</v>
      </c>
      <c r="IN58">
        <f>SUMPRODUCT(--('Данные 1st'!$S$2:$S$317=$A58),--ISNUMBER('Данные 1st'!$SH$2:$SH$317))</f>
        <v>3</v>
      </c>
      <c r="IO58">
        <f>SUMPRODUCT(--('Данные 1st'!$S$2:$S$317=$A58),--ISNUMBER('Данные 1st'!$SI$2:$SI$317))</f>
        <v>3</v>
      </c>
      <c r="IP58">
        <f>SUMPRODUCT(--('Данные 1st'!$S$2:$S$317=$A58),--ISNUMBER('Данные 1st'!$SJ$2:$SJ$317))</f>
        <v>3</v>
      </c>
      <c r="IQ58">
        <f>SUMPRODUCT(--('Данные 1st'!$S$2:$S$317=$A58),--ISNUMBER('Данные 1st'!$SK$2:$SK$317))</f>
        <v>3</v>
      </c>
      <c r="IR58">
        <f>SUMPRODUCT(--('Данные 1st'!$S$2:$S$317=$A58),--ISNUMBER('Данные 1st'!$SL$2:$SL$317))</f>
        <v>3</v>
      </c>
      <c r="IS58">
        <f>SUMPRODUCT(--('Данные 1st'!$S$2:$S$317=$A58),--ISNUMBER('Данные 1st'!$SM$2:$SM$317))</f>
        <v>3</v>
      </c>
      <c r="IT58">
        <f>SUMPRODUCT(--('Данные 1st'!$S$2:$S$317=$A58),--ISNUMBER('Данные 1st'!$SN$2:$SN$317))</f>
        <v>3</v>
      </c>
      <c r="IU58">
        <f>SUMPRODUCT(--('Данные 1st'!$S$2:$S$317=$A58),--ISNUMBER('Данные 1st'!$SO$2:$SO$317))</f>
        <v>3</v>
      </c>
      <c r="IV58">
        <f>SUMPRODUCT(--('Данные 1st'!$S$2:$S$317=$A58),--ISNUMBER('Данные 1st'!$SP$2:$SP$317))</f>
        <v>3</v>
      </c>
      <c r="IW58">
        <f>SUMPRODUCT(--('Данные 1st'!$S$2:$S$317=$A58),--ISNUMBER('Данные 1st'!$SQ$2:$SQ$317))</f>
        <v>3</v>
      </c>
      <c r="IX58">
        <f>SUMPRODUCT(--('Данные 1st'!$S$2:$S$317=$A58),--ISNUMBER('Данные 1st'!$SR$2:$SR$317))</f>
        <v>3</v>
      </c>
      <c r="IY58">
        <f>SUMPRODUCT(--('Данные 1st'!$S$2:$S$317=$A58),--ISNUMBER('Данные 1st'!$SS$2:$SS$317))</f>
        <v>3</v>
      </c>
      <c r="IZ58">
        <f>SUMPRODUCT(--('Данные 1st'!$S$2:$S$317=$A58),--ISNUMBER('Данные 1st'!$ST$2:$ST$317))</f>
        <v>3</v>
      </c>
      <c r="JA58">
        <f>SUMPRODUCT(--('Данные 1st'!$S$2:$S$317=$A58),--ISNUMBER('Данные 1st'!$SU$2:$SU$317))</f>
        <v>3</v>
      </c>
      <c r="JB58">
        <f>SUMPRODUCT(--('Данные 1st'!$S$2:$S$317=$A58),--ISNUMBER('Данные 1st'!$SV$2:$SV$317))</f>
        <v>3</v>
      </c>
      <c r="JC58">
        <f>SUMPRODUCT(--('Данные 1st'!$S$2:$S$317=$A58),--ISNUMBER('Данные 1st'!$SW$2:$SW$317))</f>
        <v>3</v>
      </c>
      <c r="JD58">
        <f>SUMPRODUCT(--('Данные 1st'!$S$2:$S$317=$A58),--ISNUMBER('Данные 1st'!$SX$2:$SX$317))</f>
        <v>3</v>
      </c>
      <c r="JE58">
        <f>SUMPRODUCT(--('Данные 1st'!$S$2:$S$317=$A58),--ISNUMBER('Данные 1st'!$SY$2:$SY$317))</f>
        <v>0</v>
      </c>
      <c r="JF58">
        <f>SUMPRODUCT(--('Данные 1st'!$S$2:$S$317=$A58),--ISNUMBER('Данные 1st'!$SZ$2:$SZ$317))</f>
        <v>0</v>
      </c>
      <c r="JG58">
        <f>SUMPRODUCT(--('Данные 1st'!$S$2:$S$317=$A58),--ISNUMBER('Данные 1st'!$TA$2:$TA$317))</f>
        <v>0</v>
      </c>
      <c r="JH58">
        <f>SUMPRODUCT(--('Данные 1st'!$S$2:$S$317=$A58),--ISNUMBER('Данные 1st'!$TB$2:$TB$317))</f>
        <v>3</v>
      </c>
      <c r="JI58">
        <f>SUMPRODUCT(--('Данные 1st'!$S$2:$S$317=$A58),--ISNUMBER('Данные 1st'!$TC$2:$TC$317))</f>
        <v>3</v>
      </c>
      <c r="JJ58">
        <f>SUMPRODUCT(--('Данные 1st'!$S$2:$S$317=$A58),--ISNUMBER('Данные 1st'!$TD$2:$TD$317))</f>
        <v>3</v>
      </c>
      <c r="JK58">
        <f>SUMPRODUCT(--('Данные 1st'!$S$2:$S$317=$A58),--ISNUMBER('Данные 1st'!$TN$2:$TN$317))</f>
        <v>3</v>
      </c>
      <c r="JQ58">
        <f>SUMPRODUCT(--('Данные 2st'!$Q$2:$Q$317=$A58),--ISNUMBER('Данные 2st'!$AC$2:$AC$317))</f>
        <v>3</v>
      </c>
      <c r="JR58">
        <f>SUMPRODUCT(--('Данные 2st'!$Q$2:$Q$317=$A58),--ISNUMBER('Данные 2st'!$AF$2:$AF$317))</f>
        <v>3</v>
      </c>
      <c r="JS58">
        <f>SUMPRODUCT(--('Данные 2st'!$Q$2:$Q$317=$A58),--ISNUMBER('Данные 2st'!$AW$2:$AW$317))</f>
        <v>3</v>
      </c>
      <c r="JT58">
        <f>SUMPRODUCT(--('Данные 2st'!$Q$2:$Q$317=$A58),--ISNUMBER('Данные 2st'!$AX$2:$AX$317))</f>
        <v>3</v>
      </c>
      <c r="JU58">
        <f>SUMPRODUCT(--('Данные 2st'!$Q$2:$Q$317=$A58),--ISNUMBER('Данные 2st'!$AY$2:$AY$317))</f>
        <v>3</v>
      </c>
      <c r="JV58">
        <f>SUMPRODUCT(--('Данные 2st'!$Q$2:$Q$317=$A58),--ISNUMBER('Данные 2st'!$AZ$2:$AZ$317))</f>
        <v>3</v>
      </c>
      <c r="JW58">
        <f>SUMPRODUCT(--('Данные 2st'!$Q$2:$Q$317=$A58),--ISNUMBER('Данные 2st'!$BA$2:$BA$317))</f>
        <v>2</v>
      </c>
      <c r="JX58">
        <f>SUMPRODUCT(--('Данные 2st'!$Q$2:$Q$317=$A58),--ISNUMBER('Данные 2st'!$BB$2:$BB$317))</f>
        <v>2</v>
      </c>
      <c r="JY58">
        <f>SUMPRODUCT(--('Данные 2st'!$Q$2:$Q$317=$A58),--ISNUMBER('Данные 2st'!$BC$2:$BC$317))</f>
        <v>2</v>
      </c>
      <c r="JZ58">
        <f>SUMPRODUCT(--('Данные 2st'!$Q$2:$Q$317=$A58),--ISNUMBER('Данные 2st'!$BH$2:$BH$317))</f>
        <v>3</v>
      </c>
      <c r="KA58">
        <f>SUMPRODUCT(--('Данные 2st'!$Q$2:$Q$317=$A58),--ISNUMBER('Данные 2st'!$BI$2:$BI$317))</f>
        <v>3</v>
      </c>
      <c r="KB58">
        <f>SUMPRODUCT(--('Данные 2st'!$Q$2:$Q$317=$A58),--ISNUMBER('Данные 2st'!$BJ$2:$BJ$317))</f>
        <v>3</v>
      </c>
      <c r="KC58">
        <f>SUMPRODUCT(--('Данные 2st'!$Q$2:$Q$317=$A58),--ISNUMBER('Данные 2st'!$BK$2:$BK$317))</f>
        <v>3</v>
      </c>
      <c r="KD58">
        <f>SUMPRODUCT(--('Данные 2st'!$Q$2:$Q$317=$A58),--ISNUMBER('Данные 2st'!$BL$2:$BL$317))</f>
        <v>3</v>
      </c>
      <c r="KE58">
        <f>SUMPRODUCT(--('Данные 2st'!$Q$2:$Q$317=$A58),--ISNUMBER('Данные 2st'!$BM$2:$BM$317))</f>
        <v>3</v>
      </c>
      <c r="KF58">
        <f>SUMPRODUCT(--('Данные 2st'!$Q$2:$Q$317=$A58),--ISNUMBER('Данные 2st'!$BN$2:$BN$317))</f>
        <v>3</v>
      </c>
      <c r="KG58">
        <f>SUMPRODUCT(--('Данные 2st'!$Q$2:$Q$317=$A58),--ISNUMBER('Данные 2st'!$BO$2:$BO$317))</f>
        <v>1</v>
      </c>
      <c r="KH58">
        <f>SUMPRODUCT(--('Данные 2st'!$Q$2:$Q$317=$A58),--ISNUMBER('Данные 2st'!$BP$2:$BP$317))</f>
        <v>3</v>
      </c>
      <c r="KI58">
        <f>SUMPRODUCT(--('Данные 2st'!$Q$2:$Q$317=$A58),--ISNUMBER('Данные 2st'!$BR$2:$BR$317))</f>
        <v>3</v>
      </c>
      <c r="KJ58">
        <f>SUMPRODUCT(--('Данные 2st'!$Q$2:$Q$317=$A58),--ISNUMBER('Данные 2st'!$BS$2:$BS$317))</f>
        <v>3</v>
      </c>
      <c r="KK58">
        <f>SUMPRODUCT(--('Данные 2st'!$Q$2:$Q$317=$A58),--ISNUMBER('Данные 2st'!$BT$2:$BT$317))</f>
        <v>3</v>
      </c>
      <c r="KL58">
        <f>SUMPRODUCT(--('Данные 2st'!$Q$2:$Q$317=$A58),--ISNUMBER('Данные 2st'!$CV$2:$CV$317))</f>
        <v>3</v>
      </c>
      <c r="KM58">
        <f>SUMPRODUCT(--('Данные 2st'!$Q$2:$Q$317=$A58),--ISNUMBER('Данные 2st'!$CW$2:$CW$317))</f>
        <v>3</v>
      </c>
      <c r="KN58">
        <f>SUMPRODUCT(--('Данные 2st'!$Q$2:$Q$317=$A58),--ISNUMBER('Данные 2st'!$CX$2:$CX$317))</f>
        <v>3</v>
      </c>
      <c r="KO58">
        <f>SUMPRODUCT(--('Данные 2st'!$Q$2:$Q$317=$A58),--ISNUMBER('Данные 2st'!$CY$2:$CY$317))</f>
        <v>3</v>
      </c>
      <c r="KP58">
        <f>SUMPRODUCT(--('Данные 2st'!$Q$2:$Q$317=$A58),--ISNUMBER('Данные 2st'!$CZ$2:$CZ$317))</f>
        <v>3</v>
      </c>
      <c r="KQ58">
        <f>SUMPRODUCT(--('Данные 2st'!$Q$2:$Q$317=$A58),--ISNUMBER('Данные 2st'!$DA$2:$DA$317))</f>
        <v>3</v>
      </c>
      <c r="KR58">
        <f>SUMPRODUCT(--('Данные 2st'!$Q$2:$Q$317=$A58),--ISNUMBER('Данные 2st'!$DB$2:$DB$317))</f>
        <v>3</v>
      </c>
      <c r="KS58">
        <f>SUMPRODUCT(--('Данные 2st'!$Q$2:$Q$317=$A58),--ISNUMBER('Данные 2st'!$DC$2:$DC$317))</f>
        <v>3</v>
      </c>
      <c r="KT58">
        <f>SUMPRODUCT(--('Данные 2st'!$Q$2:$Q$317=$A58),--ISNUMBER('Данные 2st'!$DD$2:$DD$317))</f>
        <v>3</v>
      </c>
      <c r="KU58">
        <f>SUMPRODUCT(--('Данные 2st'!$Q$2:$Q$317=$A58),--ISNUMBER('Данные 2st'!$DE$2:$DE$317))</f>
        <v>3</v>
      </c>
      <c r="KV58">
        <f>SUMPRODUCT(--('Данные 2st'!$Q$2:$Q$317=$A58),--ISNUMBER('Данные 2st'!$DF$2:$DF$317))</f>
        <v>3</v>
      </c>
      <c r="KW58">
        <f>SUMPRODUCT(--('Данные 2st'!$Q$2:$Q$317=$A58),--ISNUMBER('Данные 2st'!$DG$2:$DG$317))</f>
        <v>3</v>
      </c>
      <c r="KX58">
        <f>SUMPRODUCT(--('Данные 2st'!$Q$2:$Q$317=$A58),--ISNUMBER('Данные 2st'!$DH$2:$DH$317))</f>
        <v>0</v>
      </c>
      <c r="KY58">
        <f>SUMPRODUCT(--('Данные 2st'!$Q$2:$Q$317=$A58),--ISNUMBER('Данные 2st'!$DI$2:$DI$317))</f>
        <v>0</v>
      </c>
      <c r="KZ58">
        <f>SUMPRODUCT(--('Данные 2st'!$Q$2:$Q$317=$A58),--ISNUMBER('Данные 2st'!$DK$2:$DK$317))</f>
        <v>3</v>
      </c>
      <c r="LA58">
        <f>SUMPRODUCT(--('Данные 2st'!$Q$2:$Q$317=$A58),--ISNUMBER('Данные 2st'!$DM$2:$DM$317))</f>
        <v>3</v>
      </c>
      <c r="LB58">
        <f>SUMPRODUCT(--('Данные 2st'!$Q$2:$Q$317=$A58),--ISNUMBER('Данные 2st'!$DN$2:$DN$317))</f>
        <v>3</v>
      </c>
      <c r="LC58">
        <f>SUMPRODUCT(--('Данные 2st'!$Q$2:$Q$317=$A58),--ISNUMBER('Данные 2st'!$DO$2:$DO$317))</f>
        <v>3</v>
      </c>
      <c r="LD58">
        <f>SUMPRODUCT(--('Данные 2st'!$Q$2:$Q$317=$A58),--ISNUMBER('Данные 2st'!$DP$2:$DP$317))</f>
        <v>3</v>
      </c>
      <c r="LE58">
        <f>SUMPRODUCT(--('Данные 2st'!$Q$2:$Q$317=$A58),--ISNUMBER('Данные 2st'!$DQ$2:$DQ$317))</f>
        <v>3</v>
      </c>
      <c r="LF58">
        <f>SUMPRODUCT(--('Данные 2st'!$Q$2:$Q$317=$A58),--ISNUMBER('Данные 2st'!$DS$2:$DS$317))</f>
        <v>3</v>
      </c>
      <c r="LG58">
        <f>SUMPRODUCT(--('Данные 2st'!$Q$2:$Q$317=$A58),--ISNUMBER('Данные 2st'!$DU$2:$DU$317))</f>
        <v>3</v>
      </c>
      <c r="LH58">
        <f>SUMPRODUCT(--('Данные 2st'!$Q$2:$Q$317=$A58),--ISNUMBER('Данные 2st'!$DV$2:$DV$317))</f>
        <v>3</v>
      </c>
      <c r="LI58">
        <f>SUMPRODUCT(--('Данные 2st'!$Q$2:$Q$317=$A58),--ISNUMBER('Данные 2st'!$DW$2:$DW$317))</f>
        <v>3</v>
      </c>
      <c r="LJ58">
        <f>SUMPRODUCT(--('Данные 2st'!$Q$2:$Q$317=$A58),--ISNUMBER('Данные 2st'!$DX$2:$DX$317))</f>
        <v>3</v>
      </c>
      <c r="LK58">
        <f>SUMPRODUCT(--('Данные 2st'!$Q$2:$Q$317=$A58),--ISNUMBER('Данные 2st'!$DY$2:$DY$317))</f>
        <v>3</v>
      </c>
      <c r="LL58">
        <f>SUMPRODUCT(--('Данные 2st'!$Q$2:$Q$317=$A58),--ISNUMBER('Данные 2st'!$EA$2:$EA$317))</f>
        <v>3</v>
      </c>
      <c r="LM58">
        <f>SUMPRODUCT(--('Данные 2st'!$Q$2:$Q$317=$A58),--ISNUMBER('Данные 2st'!$EC$2:$EC$317))</f>
        <v>3</v>
      </c>
      <c r="LN58">
        <f>SUMPRODUCT(--('Данные 2st'!$Q$2:$Q$317=$A58),--ISNUMBER('Данные 2st'!$ED$2:$ED$317))</f>
        <v>3</v>
      </c>
      <c r="LO58">
        <f>SUMPRODUCT(--('Данные 2st'!$Q$2:$Q$317=$A58),--ISNUMBER('Данные 2st'!$EE$2:$EE$317))</f>
        <v>3</v>
      </c>
      <c r="LP58">
        <f>SUMPRODUCT(--('Данные 2st'!$Q$2:$Q$317=$A58),--ISNUMBER('Данные 2st'!$EG$2:$EG$317))</f>
        <v>3</v>
      </c>
      <c r="LQ58">
        <f>SUMPRODUCT(--('Данные 2st'!$Q$2:$Q$317=$A58),--ISNUMBER('Данные 2st'!$EI$2:$EI$317))</f>
        <v>3</v>
      </c>
      <c r="LR58">
        <f>SUMPRODUCT(--('Данные 2st'!$Q$2:$Q$317=$A58),--ISNUMBER('Данные 2st'!$EJ$2:$EJ$317))</f>
        <v>0</v>
      </c>
      <c r="LS58">
        <f>SUMPRODUCT(--('Данные 2st'!$Q$2:$Q$317=$A58),--ISNUMBER('Данные 2st'!$EK$2:$EK$317))</f>
        <v>0</v>
      </c>
      <c r="LT58">
        <f>SUMPRODUCT(--('Данные 2st'!$Q$2:$Q$317=$A58),--ISNUMBER('Данные 2st'!$EM$2:$EM$317))</f>
        <v>3</v>
      </c>
      <c r="LU58">
        <f>SUMPRODUCT(--('Данные 2st'!$Q$2:$Q$317=$A58),--ISNUMBER('Данные 2st'!$EN$2:$EN$317))</f>
        <v>3</v>
      </c>
      <c r="LV58">
        <f>SUMPRODUCT(--('Данные 2st'!$Q$2:$Q$317=$A58),--ISNUMBER('Данные 2st'!$EO$2:$EO$317))</f>
        <v>3</v>
      </c>
      <c r="LW58">
        <f>SUMPRODUCT(--('Данные 2st'!$Q$2:$Q$317=$A58),--ISNUMBER('Данные 2st'!$EP$2:$EP$317))</f>
        <v>3</v>
      </c>
      <c r="LX58">
        <f>SUMPRODUCT(--('Данные 2st'!$Q$2:$Q$317=$A58),--ISNUMBER('Данные 2st'!$EQ$2:$EQ$317))</f>
        <v>3</v>
      </c>
      <c r="LY58">
        <f>SUMPRODUCT(--('Данные 2st'!$Q$2:$Q$317=$A58),--ISNUMBER('Данные 2st'!$ER$2:$ER$317))</f>
        <v>3</v>
      </c>
      <c r="LZ58">
        <f>SUMPRODUCT(--('Данные 2st'!$Q$2:$Q$317=$A58),--ISNUMBER('Данные 2st'!$ES$2:$ES$317))</f>
        <v>3</v>
      </c>
      <c r="MA58">
        <f>SUMPRODUCT(--('Данные 2st'!$Q$2:$Q$317=$A58),--ISNUMBER('Данные 2st'!$ET$2:$ET$317))</f>
        <v>3</v>
      </c>
      <c r="MB58">
        <f>SUMPRODUCT(--('Данные 2st'!$Q$2:$Q$317=$A58),--ISNUMBER('Данные 2st'!$EU$2:$EU$317))</f>
        <v>3</v>
      </c>
      <c r="MC58">
        <f>SUMPRODUCT(--('Данные 2st'!$Q$2:$Q$317=$A58),--ISNUMBER('Данные 2st'!$EV$2:$EV$317))</f>
        <v>3</v>
      </c>
      <c r="MD58">
        <f>SUMPRODUCT(--('Данные 2st'!$Q$2:$Q$317=$A58),--ISNUMBER('Данные 2st'!$EW$2:$EW$317))</f>
        <v>3</v>
      </c>
      <c r="ME58">
        <f>SUMPRODUCT(--('Данные 2st'!$Q$2:$Q$317=$A58),--ISNUMBER('Данные 2st'!$EY$2:$EY$317))</f>
        <v>3</v>
      </c>
      <c r="MF58">
        <f>SUMPRODUCT(--('Данные 2st'!$Q$2:$Q$317=$A58),--ISNUMBER('Данные 2st'!$FA$2:$FA$317))</f>
        <v>3</v>
      </c>
      <c r="MG58">
        <f>SUMPRODUCT(--('Данные 2st'!$Q$2:$Q$317=$A58),--ISNUMBER('Данные 2st'!$FB$2:$FB$317))</f>
        <v>3</v>
      </c>
      <c r="MH58">
        <f>SUMPRODUCT(--('Данные 2st'!$Q$2:$Q$317=$A58),--ISNUMBER('Данные 2st'!$FC$2:$FC$317))</f>
        <v>3</v>
      </c>
      <c r="MI58">
        <f>SUMPRODUCT(--('Данные 2st'!$Q$2:$Q$317=$A58),--ISNUMBER('Данные 2st'!$FD$2:$FD$317))</f>
        <v>3</v>
      </c>
      <c r="MJ58">
        <f>SUMPRODUCT(--('Данные 2st'!$Q$2:$Q$317=$A58),--ISNUMBER('Данные 2st'!$FE$2:$FE$317))</f>
        <v>3</v>
      </c>
      <c r="MK58">
        <f>SUMPRODUCT(--('Данные 2st'!$Q$2:$Q$317=$A58),--ISNUMBER('Данные 2st'!$FG$2:$FG$317))</f>
        <v>3</v>
      </c>
      <c r="ML58">
        <f>SUMPRODUCT(--('Данные 2st'!$Q$2:$Q$317=$A58),--ISNUMBER('Данные 2st'!$FI$2:$FI$317))</f>
        <v>3</v>
      </c>
      <c r="MM58">
        <f>SUMPRODUCT(--('Данные 2st'!$Q$2:$Q$317=$A58),--ISNUMBER('Данные 2st'!$FJ$2:$FJ$317))</f>
        <v>3</v>
      </c>
      <c r="MN58">
        <f>SUMPRODUCT(--('Данные 2st'!$Q$2:$Q$317=$A58),--ISNUMBER('Данные 2st'!$FK$2:$FK$317))</f>
        <v>3</v>
      </c>
      <c r="MO58">
        <f>SUMPRODUCT(--('Данные 2st'!$Q$2:$Q$317=$A58),--ISNUMBER('Данные 2st'!$FP$2:$FP$317))</f>
        <v>3</v>
      </c>
      <c r="MP58">
        <f>SUMPRODUCT(--('Данные 2st'!$Q$2:$Q$317=$A58),--ISNUMBER('Данные 2st'!$FQ$2:$FQ$317))</f>
        <v>3</v>
      </c>
      <c r="MQ58">
        <f>SUMPRODUCT(--('Данные 2st'!$Q$2:$Q$317=$A58),--ISNUMBER('Данные 2st'!$FS$2:$FS$317))</f>
        <v>3</v>
      </c>
      <c r="MR58">
        <f>SUMPRODUCT(--('Данные 2st'!$Q$2:$Q$317=$A58),--ISNUMBER('Данные 2st'!$FU$2:$FU$317))</f>
        <v>3</v>
      </c>
      <c r="MS58">
        <f>SUMPRODUCT(--('Данные 2st'!$Q$2:$Q$317=$A58),--ISNUMBER('Данные 2st'!$FV$2:$FV$317))</f>
        <v>3</v>
      </c>
      <c r="MT58">
        <f>SUMPRODUCT(--('Данные 2st'!$Q$2:$Q$317=$A58),--ISNUMBER('Данные 2st'!$FW$2:$FW$317))</f>
        <v>3</v>
      </c>
      <c r="MU58">
        <f>SUMPRODUCT(--('Данные 2st'!$Q$2:$Q$317=$A58),--ISNUMBER('Данные 2st'!$FY$2:$FY$317))</f>
        <v>3</v>
      </c>
      <c r="MV58">
        <f>SUMPRODUCT(--('Данные 2st'!$Q$2:$Q$317=$A58),--ISNUMBER('Данные 2st'!$GB$2:$GB$317))</f>
        <v>3</v>
      </c>
      <c r="MW58">
        <f>SUMPRODUCT(--('Данные 2st'!$Q$2:$Q$317=$A58),--ISNUMBER('Данные 2st'!$GC$2:$GC$317))</f>
        <v>3</v>
      </c>
      <c r="MX58">
        <f>SUMPRODUCT(--('Данные 2st'!$Q$2:$Q$317=$A58),--ISNUMBER('Данные 2st'!$GD$2:$GD$317))</f>
        <v>3</v>
      </c>
      <c r="MY58">
        <f>SUMPRODUCT(--('Данные 2st'!$Q$2:$Q$317=$A58),--ISNUMBER('Данные 2st'!$GN$2:$GN$317))</f>
        <v>0</v>
      </c>
      <c r="MZ58">
        <f>SUMPRODUCT(--('Данные 2st'!$Q$2:$Q$317=$A58),--ISNUMBER('Данные 2st'!$GQ$2:$GQ$317))</f>
        <v>3</v>
      </c>
      <c r="NA58">
        <f>SUMPRODUCT(--('Данные 2st'!$Q$2:$Q$317=$A58),--ISNUMBER('Данные 2st'!$GV$2:$GV$317))</f>
        <v>3</v>
      </c>
      <c r="NB58">
        <f>SUMPRODUCT(--('Данные 2st'!$Q$2:$Q$317=$A58),--ISNUMBER('Данные 2st'!$GW$2:$GW$317))</f>
        <v>3</v>
      </c>
      <c r="NC58">
        <f>SUMPRODUCT(--('Данные 2st'!$Q$2:$Q$317=$A58),--ISNUMBER('Данные 2st'!$GX$2:$GX$317))</f>
        <v>3</v>
      </c>
      <c r="ND58">
        <f>SUMPRODUCT(--('Данные 2st'!$Q$2:$Q$317=$A58),--ISNUMBER('Данные 2st'!$GY$2:$GY$317))</f>
        <v>3</v>
      </c>
      <c r="NE58">
        <f>SUMPRODUCT(--('Данные 2st'!$Q$2:$Q$317=$A58),--ISNUMBER('Данные 2st'!$GZ$2:$GZ$317))</f>
        <v>3</v>
      </c>
      <c r="NF58">
        <f>SUMPRODUCT(--('Данные 2st'!$Q$2:$Q$317=$A58),--ISNUMBER('Данные 2st'!$HA$2:$HA$317))</f>
        <v>3</v>
      </c>
      <c r="NG58">
        <f>SUMPRODUCT(--('Данные 2st'!$Q$2:$Q$317=$A58),--ISNUMBER('Данные 2st'!$HB$2:$HB$317))</f>
        <v>3</v>
      </c>
      <c r="NH58">
        <f>SUMPRODUCT(--('Данные 2st'!$Q$2:$Q$317=$A58),--ISNUMBER('Данные 2st'!$HC$2:$HC$317))</f>
        <v>3</v>
      </c>
      <c r="NI58">
        <f>SUMPRODUCT(--('Данные 2st'!$Q$2:$Q$317=$A58),--ISNUMBER('Данные 2st'!$HD$2:$HD$317))</f>
        <v>3</v>
      </c>
      <c r="NJ58">
        <f>SUMPRODUCT(--('Данные 2st'!$Q$2:$Q$317=$A58),--ISNUMBER('Данные 2st'!$HM$2:$HM$317))</f>
        <v>3</v>
      </c>
      <c r="NK58">
        <f>SUMPRODUCT(--('Данные 2st'!$Q$2:$Q$317=$A58),--ISNUMBER('Данные 2st'!$HR$2:$HR$317))</f>
        <v>3</v>
      </c>
      <c r="NL58">
        <f>SUMPRODUCT(--('Данные 2st'!$Q$2:$Q$317=$A58),--ISNUMBER('Данные 2st'!$HS$2:$HS$317))</f>
        <v>3</v>
      </c>
      <c r="NM58">
        <f>SUMPRODUCT(--('Данные 2st'!$Q$2:$Q$317=$A58),--ISNUMBER('Данные 2st'!$HT$2:$HT$317))</f>
        <v>3</v>
      </c>
      <c r="NN58">
        <f>SUMPRODUCT(--('Данные 2st'!$Q$2:$Q$317=$A58),--ISNUMBER('Данные 2st'!$HY$2:$HY$317))</f>
        <v>3</v>
      </c>
      <c r="NO58">
        <f>SUMPRODUCT(--('Данные 2st'!$Q$2:$Q$317=$A58),--ISNUMBER('Данные 2st'!$HZ$2:$HZ$317))</f>
        <v>3</v>
      </c>
      <c r="NP58">
        <f>SUMPRODUCT(--('Данные 2st'!$Q$2:$Q$317=$A58),--ISNUMBER('Данные 2st'!$IA$2:$IA$317))</f>
        <v>3</v>
      </c>
      <c r="NQ58">
        <f>SUMPRODUCT(--('Данные 2st'!$Q$2:$Q$317=$A58),--ISNUMBER('Данные 2st'!$IB$2:$IB$317))</f>
        <v>3</v>
      </c>
      <c r="NR58">
        <f>SUMPRODUCT(--('Данные 2st'!$Q$2:$Q$317=$A58),--ISNUMBER('Данные 2st'!$IC$2:$IC$317))</f>
        <v>0</v>
      </c>
      <c r="NS58">
        <f>SUMPRODUCT(--('Данные 2st'!$Q$2:$Q$317=$A58),--ISNUMBER('Данные 2st'!$ID$2:$ID$317))</f>
        <v>3</v>
      </c>
      <c r="NT58">
        <f>SUMPRODUCT(--('Данные 2st'!$Q$2:$Q$317=$A58),--ISNUMBER('Данные 2st'!$IE$2:$IE$317))</f>
        <v>3</v>
      </c>
      <c r="NU58">
        <f>SUMPRODUCT(--('Данные 2st'!$Q$2:$Q$317=$A58),--ISNUMBER('Данные 2st'!$IF$2:$IF$317))</f>
        <v>3</v>
      </c>
      <c r="NV58">
        <f>SUMPRODUCT(--('Данные 2st'!$Q$2:$Q$317=$A58),--ISNUMBER('Данные 2st'!$IG$2:$IG$317))</f>
        <v>3</v>
      </c>
      <c r="NW58">
        <f>SUMPRODUCT(--('Данные 2st'!$Q$2:$Q$317=$A58),--ISNUMBER('Данные 2st'!$IH$2:$IH$317))</f>
        <v>3</v>
      </c>
      <c r="NX58">
        <f>SUMPRODUCT(--('Данные 2st'!$Q$2:$Q$317=$A58),--ISNUMBER('Данные 2st'!$IJ$2:$IJ$317))</f>
        <v>3</v>
      </c>
      <c r="NY58">
        <f>SUMPRODUCT(--('Данные 2st'!$Q$2:$Q$317=$A58),--ISNUMBER('Данные 2st'!$IM$2:$IM$317))</f>
        <v>3</v>
      </c>
      <c r="NZ58">
        <f>SUMPRODUCT(--('Данные 2st'!$Q$2:$Q$317=$A58),--ISNUMBER('Данные 2st'!$IN$2:$IN$317))</f>
        <v>3</v>
      </c>
      <c r="OA58">
        <f>SUMPRODUCT(--('Данные 2st'!$Q$2:$Q$317=$A58),--ISNUMBER('Данные 2st'!$IO$2:$IO$317))</f>
        <v>3</v>
      </c>
      <c r="OB58">
        <f>SUMPRODUCT(--('Данные 2st'!$Q$2:$Q$317=$A58),--ISNUMBER('Данные 2st'!$IP$2:$IP$317))</f>
        <v>3</v>
      </c>
      <c r="OC58">
        <f>SUMPRODUCT(--('Данные 2st'!$Q$2:$Q$317=$A58),--ISNUMBER('Данные 2st'!$IQ$2:$IQ$317))</f>
        <v>3</v>
      </c>
      <c r="OD58">
        <f>SUMPRODUCT(--('Данные 2st'!$Q$2:$Q$317=$A58),--ISNUMBER('Данные 2st'!$IR$2:$IR$317))</f>
        <v>3</v>
      </c>
      <c r="OE58">
        <f>SUMPRODUCT(--('Данные 2st'!$Q$2:$Q$317=$A58),--ISNUMBER('Данные 2st'!$IT$2:$IT$317))</f>
        <v>3</v>
      </c>
      <c r="OF58">
        <f>SUMPRODUCT(--('Данные 2st'!$Q$2:$Q$317=$A58),--ISNUMBER('Данные 2st'!$IU$2:$IU$317))</f>
        <v>3</v>
      </c>
      <c r="OG58">
        <f>SUMPRODUCT(--('Данные 2st'!$Q$2:$Q$317=$A58),--ISNUMBER('Данные 2st'!$IV$2:$IV$317))</f>
        <v>3</v>
      </c>
      <c r="OH58">
        <f>SUMPRODUCT(--('Данные 2st'!$Q$2:$Q$317=$A58),--ISNUMBER('Данные 2st'!$IW$2:$IW$317))</f>
        <v>3</v>
      </c>
      <c r="OI58">
        <f>SUMPRODUCT(--('Данные 2st'!$Q$2:$Q$317=$A58),--ISNUMBER('Данные 2st'!$IX$2:$IX$317))</f>
        <v>3</v>
      </c>
      <c r="OJ58">
        <f>SUMPRODUCT(--('Данные 2st'!$Q$2:$Q$317=$A58),--ISNUMBER('Данные 2st'!$IY$2:$IY$317))</f>
        <v>3</v>
      </c>
      <c r="OK58">
        <f>SUMPRODUCT(--('Данные 2st'!$Q$2:$Q$317=$A58),--ISNUMBER('Данные 2st'!$IZ$2:$IZ$317))</f>
        <v>3</v>
      </c>
      <c r="OL58">
        <f>SUMPRODUCT(--('Данные 2st'!$Q$2:$Q$317=$A58),--ISNUMBER('Данные 2st'!$JA$2:$JA$317))</f>
        <v>3</v>
      </c>
      <c r="OM58">
        <f>SUMPRODUCT(--('Данные 2st'!$Q$2:$Q$317=$A58),--ISNUMBER('Данные 2st'!$JB$2:$JB$317))</f>
        <v>3</v>
      </c>
      <c r="ON58">
        <f>SUMPRODUCT(--('Данные 2st'!$Q$2:$Q$317=$A58),--ISNUMBER('Данные 2st'!$JC$2:$JC$317))</f>
        <v>3</v>
      </c>
      <c r="OO58">
        <f>SUMPRODUCT(--('Данные 2st'!$Q$2:$Q$317=$A58),--ISNUMBER('Данные 2st'!$JD$2:$JD$317))</f>
        <v>3</v>
      </c>
      <c r="OP58">
        <f>SUMPRODUCT(--('Данные 2st'!$Q$2:$Q$317=$A58),--ISNUMBER('Данные 2st'!$JE$2:$JE$317))</f>
        <v>3</v>
      </c>
      <c r="OQ58">
        <f>SUMPRODUCT(--('Данные 2st'!$Q$2:$Q$317=$A58),--ISNUMBER('Данные 2st'!$JF$2:$JF$317))</f>
        <v>3</v>
      </c>
      <c r="OR58">
        <f>SUMPRODUCT(--('Данные 2st'!$Q$2:$Q$317=$A58),--ISNUMBER('Данные 2st'!$JG$2:$JG$317))</f>
        <v>3</v>
      </c>
      <c r="OS58">
        <f>SUMPRODUCT(--('Данные 2st'!$Q$2:$Q$317=$A58),--ISNUMBER('Данные 2st'!$JH$2:$JH$317))</f>
        <v>3</v>
      </c>
      <c r="OT58">
        <f>SUMPRODUCT(--('Данные 2st'!$Q$2:$Q$317=$A58),--ISNUMBER('Данные 2st'!$JI$2:$JI$317))</f>
        <v>3</v>
      </c>
      <c r="OU58">
        <f>SUMPRODUCT(--('Данные 2st'!$Q$2:$Q$317=$A58),--ISNUMBER('Данные 2st'!$JJ$2:$JJ$317))</f>
        <v>3</v>
      </c>
      <c r="OV58">
        <f>SUMPRODUCT(--('Данные 2st'!$Q$2:$Q$317=$A58),--ISNUMBER('Данные 2st'!$JK$2:$JK$317))</f>
        <v>3</v>
      </c>
      <c r="OW58">
        <f>SUMPRODUCT(--('Данные 2st'!$Q$2:$Q$317=$A58),--ISNUMBER('Данные 2st'!$JL$2:$JL$317))</f>
        <v>3</v>
      </c>
      <c r="OX58">
        <f>SUMPRODUCT(--('Данные 2st'!$Q$2:$Q$317=$A58),--ISNUMBER('Данные 2st'!$JM$2:$JM$317))</f>
        <v>3</v>
      </c>
      <c r="OY58">
        <f>SUMPRODUCT(--('Данные 2st'!$Q$2:$Q$317=$A58),--ISNUMBER('Данные 2st'!$JP$2:$JP$317))</f>
        <v>3</v>
      </c>
      <c r="OZ58">
        <f>SUMPRODUCT(--('Данные 2st'!$Q$2:$Q$317=$A58),--ISNUMBER('Данные 2st'!$JQ$2:$JQ$317))</f>
        <v>3</v>
      </c>
      <c r="PA58">
        <f>SUMPRODUCT(--('Данные 2st'!$Q$2:$Q$317=$A58),--ISNUMBER('Данные 2st'!$JR$2:$JR$317))</f>
        <v>3</v>
      </c>
      <c r="PB58">
        <f>SUMPRODUCT(--('Данные 2st'!$Q$2:$Q$317=$A58),--ISNUMBER('Данные 2st'!$JS$2:$JS$317))</f>
        <v>3</v>
      </c>
      <c r="PC58">
        <f>SUMPRODUCT(--('Данные 2st'!$Q$2:$Q$317=$A58),--ISNUMBER('Данные 2st'!$JT$2:$JT$317))</f>
        <v>3</v>
      </c>
      <c r="PD58">
        <f>SUMPRODUCT(--('Данные 2st'!$Q$2:$Q$317=$A58),--ISNUMBER('Данные 2st'!$JU$2:$JU$317))</f>
        <v>3</v>
      </c>
      <c r="PE58">
        <f>SUMPRODUCT(--('Данные 2st'!$Q$2:$Q$317=$A58),--ISNUMBER('Данные 2st'!$JV$2:$JV$317))</f>
        <v>3</v>
      </c>
      <c r="PF58">
        <f>SUMPRODUCT(--('Данные 2st'!$Q$2:$Q$317=$A58),--ISNUMBER('Данные 2st'!$JW$2:$JW$317))</f>
        <v>3</v>
      </c>
      <c r="PG58">
        <f>SUMPRODUCT(--('Данные 2st'!$Q$2:$Q$317=$A58),--ISNUMBER('Данные 2st'!$KF$2:$KF$317))</f>
        <v>3</v>
      </c>
      <c r="PH58">
        <f>SUMPRODUCT(--('Данные 2st'!$Q$2:$Q$317=$A58),--ISNUMBER('Данные 2st'!$KG$2:$KG$317))</f>
        <v>3</v>
      </c>
      <c r="PI58">
        <f>SUMPRODUCT(--('Данные 2st'!$Q$2:$Q$317=$A58),--ISNUMBER('Данные 2st'!$KM$2:$KM$317))</f>
        <v>3</v>
      </c>
      <c r="PJ58">
        <f>SUMPRODUCT(--('Данные 2st'!$Q$2:$Q$317=$A58),--ISNUMBER('Данные 2st'!$KN$2:$KN$317))</f>
        <v>3</v>
      </c>
      <c r="PK58">
        <f>SUMPRODUCT(--('Данные 2st'!$Q$2:$Q$317=$A58),--ISNUMBER('Данные 2st'!$KO$2:$KO$317))</f>
        <v>3</v>
      </c>
      <c r="PL58">
        <f>SUMPRODUCT(--('Данные 2st'!$Q$2:$Q$317=$A58),--ISNUMBER('Данные 2st'!$KP$2:$KP$317))</f>
        <v>3</v>
      </c>
      <c r="PM58">
        <f>SUMPRODUCT(--('Данные 2st'!$Q$2:$Q$317=$A58),--ISNUMBER('Данные 2st'!$KQ$2:$KQ$317))</f>
        <v>3</v>
      </c>
      <c r="PN58">
        <f>SUMPRODUCT(--('Данные 2st'!$Q$2:$Q$317=$A58),--ISNUMBER('Данные 2st'!$KR$2:$KR$317))</f>
        <v>3</v>
      </c>
      <c r="PO58">
        <f>SUMPRODUCT(--('Данные 2st'!$Q$2:$Q$317=$A58),--ISNUMBER('Данные 2st'!$KS$2:$KS$317))</f>
        <v>3</v>
      </c>
      <c r="PP58">
        <f>SUMPRODUCT(--('Данные 2st'!$Q$2:$Q$317=$A58),--ISNUMBER('Данные 2st'!$KT$2:$KT$317))</f>
        <v>3</v>
      </c>
      <c r="PQ58">
        <f>SUMPRODUCT(--('Данные 2st'!$Q$2:$Q$317=$A58),--ISNUMBER('Данные 2st'!$KU$2:$KU$317))</f>
        <v>3</v>
      </c>
      <c r="PR58">
        <f>SUMPRODUCT(--('Данные 2st'!$Q$2:$Q$317=$A58),--ISNUMBER('Данные 2st'!$KV$2:$KV$317))</f>
        <v>3</v>
      </c>
      <c r="PS58">
        <f>SUMPRODUCT(--('Данные 2st'!$Q$2:$Q$317=$A58),--ISNUMBER('Данные 2st'!$KW$2:$KW$317))</f>
        <v>3</v>
      </c>
      <c r="PT58">
        <f>SUMPRODUCT(--('Данные 2st'!$Q$2:$Q$317=$A58),--ISNUMBER('Данные 2st'!$KX$2:$KX$317))</f>
        <v>3</v>
      </c>
      <c r="PU58">
        <f>SUMPRODUCT(--('Данные 2st'!$Q$2:$Q$317=$A58),--ISNUMBER('Данные 2st'!$KY$2:$KY$317))</f>
        <v>3</v>
      </c>
      <c r="PV58">
        <f>SUMPRODUCT(--('Данные 2st'!$Q$2:$Q$317=$A58),--ISNUMBER('Данные 2st'!$KZ$2:$KZ$317))</f>
        <v>3</v>
      </c>
      <c r="PW58">
        <f>SUMPRODUCT(--('Данные 2st'!$Q$2:$Q$317=$A58),--ISNUMBER('Данные 2st'!$LA$2:$LA$317))</f>
        <v>3</v>
      </c>
      <c r="PX58">
        <f>SUMPRODUCT(--('Данные 2st'!$Q$2:$Q$317=$A58),--ISNUMBER('Данные 2st'!$LB$2:$LB$317))</f>
        <v>3</v>
      </c>
      <c r="PY58">
        <f>SUMPRODUCT(--('Данные 2st'!$Q$2:$Q$317=$A58),--ISNUMBER('Данные 2st'!$LC$2:$LC$317))</f>
        <v>3</v>
      </c>
      <c r="PZ58">
        <f>SUMPRODUCT(--('Данные 2st'!$Q$2:$Q$317=$A58),--ISNUMBER('Данные 2st'!$LD$2:$LD$317))</f>
        <v>3</v>
      </c>
      <c r="QA58">
        <f>SUMPRODUCT(--('Данные 2st'!$Q$2:$Q$317=$A58),--ISNUMBER('Данные 2st'!$LE$2:$LE$317))</f>
        <v>3</v>
      </c>
      <c r="QB58">
        <f>SUMPRODUCT(--('Данные 2st'!$Q$2:$Q$317=$A58),--ISNUMBER('Данные 2st'!$LF$2:$LF$317))</f>
        <v>3</v>
      </c>
      <c r="QC58">
        <f>SUMPRODUCT(--('Данные 2st'!$Q$2:$Q$317=$A58),--ISNUMBER('Данные 2st'!$LG$2:$LG$317))</f>
        <v>3</v>
      </c>
      <c r="QD58">
        <f>SUMPRODUCT(--('Данные 2st'!$Q$2:$Q$317=$A58),--ISNUMBER('Данные 2st'!$LH$2:$LH$317))</f>
        <v>3</v>
      </c>
      <c r="QE58">
        <f>SUMPRODUCT(--('Данные 2st'!$Q$2:$Q$317=$A58),--ISNUMBER('Данные 2st'!$LJ$2:$LJ$317))</f>
        <v>3</v>
      </c>
      <c r="QF58">
        <f>SUMPRODUCT(--('Данные 2st'!$Q$2:$Q$317=$A58),--ISNUMBER('Данные 2st'!$LK$2:$LK$317))</f>
        <v>3</v>
      </c>
      <c r="QG58">
        <f>SUMPRODUCT(--('Данные 2st'!$Q$2:$Q$317=$A58),--ISNUMBER('Данные 2st'!$LL$2:$LL$317))</f>
        <v>3</v>
      </c>
      <c r="QH58">
        <f>SUMPRODUCT(--('Данные 2st'!$Q$2:$Q$317=$A58),--ISNUMBER('Данные 2st'!$LM$2:$LM$317))</f>
        <v>3</v>
      </c>
      <c r="QI58">
        <f>SUMPRODUCT(--('Данные 2st'!$Q$2:$Q$317=$A58),--ISNUMBER('Данные 2st'!$LN$2:$LN$317))</f>
        <v>3</v>
      </c>
      <c r="QJ58">
        <f>SUMPRODUCT(--('Данные 2st'!$Q$2:$Q$317=$A58),--ISNUMBER('Данные 2st'!$LO$2:$LO$317))</f>
        <v>3</v>
      </c>
      <c r="QK58">
        <f>SUMPRODUCT(--('Данные 2st'!$Q$2:$Q$317=$A58),--ISNUMBER('Данные 2st'!$LP$2:$LP$317))</f>
        <v>3</v>
      </c>
      <c r="QL58">
        <f>SUMPRODUCT(--('Данные 2st'!$Q$2:$Q$317=$A58),--ISNUMBER('Данные 2st'!$LQ$2:$LQ$317))</f>
        <v>3</v>
      </c>
      <c r="QM58">
        <f>SUMPRODUCT(--('Данные 2st'!$Q$2:$Q$317=$A58),--ISNUMBER('Данные 2st'!$LW$2:$LW$317))</f>
        <v>3</v>
      </c>
      <c r="QN58">
        <f>SUMPRODUCT(--('Данные 2st'!$Q$2:$Q$317=$A58),--ISNUMBER('Данные 2st'!$LX$2:$LX$317))</f>
        <v>3</v>
      </c>
      <c r="QO58">
        <f>SUMPRODUCT(--('Данные 2st'!$Q$2:$Q$317=$A58),--ISNUMBER('Данные 2st'!$LY$2:$LY$317))</f>
        <v>3</v>
      </c>
      <c r="QP58">
        <f>SUMPRODUCT(--('Данные 2st'!$Q$2:$Q$317=$A58),--ISNUMBER('Данные 2st'!$LZ$2:$LZ$317))</f>
        <v>3</v>
      </c>
      <c r="QQ58">
        <f>SUMPRODUCT(--('Данные 2st'!$Q$2:$Q$317=$A58),--ISNUMBER('Данные 2st'!$MB$2:$MB$317))</f>
        <v>3</v>
      </c>
      <c r="QR58">
        <f>SUMPRODUCT(--('Данные 2st'!$Q$2:$Q$317=$A58),--ISNUMBER('Данные 2st'!$MG$2:$MG$317))</f>
        <v>1</v>
      </c>
      <c r="QS58">
        <f>SUMPRODUCT(--('Данные 2st'!$Q$2:$Q$317=$A58),--ISNUMBER('Данные 2st'!$MH$2:$MH$317))</f>
        <v>1</v>
      </c>
      <c r="QT58">
        <f>SUMPRODUCT(--('Данные 2st'!$Q$2:$Q$317=$A58),--ISNUMBER('Данные 2st'!$MI$2:$MI$317))</f>
        <v>3</v>
      </c>
      <c r="QU58">
        <f>SUMPRODUCT(--('Данные 2st'!$Q$2:$Q$317=$A58),--ISNUMBER('Данные 2st'!$MJ$2:$MJ$317))</f>
        <v>3</v>
      </c>
      <c r="QV58">
        <f>SUMPRODUCT(--('Данные 2st'!$Q$2:$Q$317=$A58),--ISNUMBER('Данные 2st'!$MK$2:$MK$317))</f>
        <v>1</v>
      </c>
      <c r="QW58">
        <f>SUMPRODUCT(--('Данные 2st'!$Q$2:$Q$317=$A58),--ISNUMBER('Данные 2st'!$MM$2:$MM$317))</f>
        <v>3</v>
      </c>
      <c r="QX58">
        <f>SUMPRODUCT(--('Данные 2st'!$Q$2:$Q$317=$A58),--ISNUMBER('Данные 2st'!$MQ$2:$MQ$317))</f>
        <v>0</v>
      </c>
      <c r="QY58">
        <f>SUMPRODUCT(--('Данные 2st'!$Q$2:$Q$317=$A58),--ISNUMBER('Данные 2st'!$MR$2:$MR$317))</f>
        <v>0</v>
      </c>
      <c r="QZ58">
        <f>SUMPRODUCT(--('Данные 2st'!$Q$2:$Q$317=$A58),--ISNUMBER('Данные 2st'!$MS$2:$MS$317))</f>
        <v>0</v>
      </c>
      <c r="RA58">
        <f>SUMPRODUCT(--('Данные 2st'!$Q$2:$Q$317=$A58),--ISNUMBER('Данные 2st'!$MT$2:$MT$317))</f>
        <v>0</v>
      </c>
      <c r="RB58">
        <f>SUMPRODUCT(--('Данные 2st'!$Q$2:$Q$317=$A58),--ISNUMBER('Данные 2st'!$MU$2:$MU$317))</f>
        <v>0</v>
      </c>
      <c r="RC58">
        <f>SUMPRODUCT(--('Данные 2st'!$Q$2:$Q$317=$A58),--ISNUMBER('Данные 2st'!$MV$2:$MV$317))</f>
        <v>0</v>
      </c>
      <c r="RD58">
        <f>SUMPRODUCT(--('Данные 2st'!$Q$2:$Q$317=$A58),--ISNUMBER('Данные 2st'!$MW$2:$MW$317))</f>
        <v>0</v>
      </c>
      <c r="RE58">
        <f>SUMPRODUCT(--('Данные 2st'!$Q$2:$Q$317=$A58),--ISNUMBER('Данные 2st'!$MX$2:$MX$317))</f>
        <v>0</v>
      </c>
      <c r="RF58">
        <f>SUMPRODUCT(--('Данные 2st'!$Q$2:$Q$317=$A58),--ISNUMBER('Данные 2st'!$MY$2:$MY$317))</f>
        <v>0</v>
      </c>
      <c r="RG58">
        <f>SUMPRODUCT(--('Данные 2st'!$Q$2:$Q$317=$A58),--ISNUMBER('Данные 2st'!$MZ$2:$MZ$317))</f>
        <v>0</v>
      </c>
      <c r="RH58">
        <f>SUMPRODUCT(--('Данные 2st'!$Q$2:$Q$317=$A58),--ISNUMBER('Данные 2st'!$NA$2:$NA$317))</f>
        <v>0</v>
      </c>
      <c r="RI58">
        <f>SUMPRODUCT(--('Данные 2st'!$Q$2:$Q$317=$A58),--ISNUMBER('Данные 2st'!$NB$2:$NB$317))</f>
        <v>0</v>
      </c>
      <c r="RJ58">
        <f>SUMPRODUCT(--('Данные 2st'!$Q$2:$Q$317=$A58),--ISNUMBER('Данные 2st'!$NC$2:$NC$317))</f>
        <v>0</v>
      </c>
      <c r="RK58">
        <f>SUMPRODUCT(--('Данные 2st'!$Q$2:$Q$317=$A58),--ISNUMBER('Данные 2st'!$ND$2:$ND$317))</f>
        <v>0</v>
      </c>
      <c r="RL58">
        <f>SUMPRODUCT(--('Данные 2st'!$Q$2:$Q$317=$A58),--ISNUMBER('Данные 2st'!$NE$2:$NE$317))</f>
        <v>0</v>
      </c>
      <c r="RM58">
        <f>SUMPRODUCT(--('Данные 2st'!$Q$2:$Q$317=$A58),--ISNUMBER('Данные 2st'!$NF$2:$NF$317))</f>
        <v>0</v>
      </c>
      <c r="RN58">
        <f>SUMPRODUCT(--('Данные 2st'!$Q$2:$Q$317=$A58),--ISNUMBER('Данные 2st'!$NG$2:$NG$317))</f>
        <v>0</v>
      </c>
      <c r="RO58">
        <f>SUMPRODUCT(--('Данные 2st'!$Q$2:$Q$317=$A58),--ISNUMBER('Данные 2st'!$NH$2:$NH$317))</f>
        <v>0</v>
      </c>
      <c r="RP58">
        <f>SUMPRODUCT(--('Данные 2st'!$Q$2:$Q$317=$A58),--ISNUMBER('Данные 2st'!$NJ$2:$NJ$317))</f>
        <v>0</v>
      </c>
      <c r="RQ58">
        <f>SUMPRODUCT(--('Данные 2st'!$Q$2:$Q$317=$A58),--ISNUMBER('Данные 2st'!$NK$2:$NK$317))</f>
        <v>0</v>
      </c>
      <c r="RR58">
        <f>SUMPRODUCT(--('Данные 2st'!$Q$2:$Q$317=$A58),--ISNUMBER('Данные 2st'!$NM$2:$NM$317))</f>
        <v>0</v>
      </c>
      <c r="RS58">
        <f>SUMPRODUCT(--('Данные 2st'!$Q$2:$Q$317=$A58),--ISNUMBER('Данные 2st'!$NN$2:$NN$317))</f>
        <v>0</v>
      </c>
      <c r="RT58">
        <f>SUMPRODUCT(--('Данные 2st'!$Q$2:$Q$317=$A58),--ISNUMBER('Данные 2st'!$NO$2:$NO$317))</f>
        <v>0</v>
      </c>
      <c r="RU58">
        <f>SUMPRODUCT(--('Данные 2st'!$Q$2:$Q$317=$A58),--ISNUMBER('Данные 2st'!$NP$2:$NP$317))</f>
        <v>0</v>
      </c>
      <c r="RV58">
        <f>SUMPRODUCT(--('Данные 2st'!$Q$2:$Q$317=$A58),--ISNUMBER('Данные 2st'!$NQ$2:$NQ$317))</f>
        <v>0</v>
      </c>
      <c r="RW58">
        <f>SUMPRODUCT(--('Данные 2st'!$Q$2:$Q$317=$A58),--ISNUMBER('Данные 2st'!$NR$2:$NR$317))</f>
        <v>0</v>
      </c>
      <c r="RX58">
        <f>SUMPRODUCT(--('Данные 2st'!$Q$2:$Q$317=$A58),--ISNUMBER('Данные 2st'!$NS$2:$NS$317))</f>
        <v>0</v>
      </c>
      <c r="RY58">
        <f>SUMPRODUCT(--('Данные 2st'!$Q$2:$Q$317=$A58),--ISNUMBER('Данные 2st'!$NT$2:$NT$317))</f>
        <v>0</v>
      </c>
      <c r="RZ58">
        <f>SUMPRODUCT(--('Данные 2st'!$Q$2:$Q$317=$A58),--ISNUMBER('Данные 2st'!$OK$2:$OK$317))</f>
        <v>3</v>
      </c>
      <c r="SA58">
        <f>SUMPRODUCT(--('Данные 2st'!$Q$2:$Q$317=$A58),--ISNUMBER('Данные 2st'!$OL$2:$OL$317))</f>
        <v>3</v>
      </c>
      <c r="SB58">
        <f>SUMPRODUCT(--('Данные 2st'!$Q$2:$Q$317=$A58),--ISNUMBER('Данные 2st'!$ON$2:$ON$317))</f>
        <v>3</v>
      </c>
      <c r="SC58">
        <f>SUMPRODUCT(--('Данные 2st'!$Q$2:$Q$317=$A58),--ISNUMBER('Данные 2st'!$OO$2:$OO$317))</f>
        <v>3</v>
      </c>
      <c r="SD58">
        <f>SUMPRODUCT(--('Данные 2st'!$Q$2:$Q$317=$A58),--ISNUMBER('Данные 2st'!$OP$2:$OP$317))</f>
        <v>3</v>
      </c>
      <c r="SE58">
        <f>SUMPRODUCT(--('Данные 2st'!$Q$2:$Q$317=$A58),--ISNUMBER('Данные 2st'!$OQ$2:$OQ$317))</f>
        <v>3</v>
      </c>
      <c r="SF58">
        <f>SUMPRODUCT(--('Данные 2st'!$Q$2:$Q$317=$A58),--ISNUMBER('Данные 2st'!$OS$2:$OS$317))</f>
        <v>3</v>
      </c>
      <c r="SG58">
        <f>SUMPRODUCT(--('Данные 2st'!$Q$2:$Q$317=$A58),--ISNUMBER('Данные 2st'!$OT$2:$OT$317))</f>
        <v>3</v>
      </c>
      <c r="SH58">
        <f>SUMPRODUCT(--('Данные 2st'!$Q$2:$Q$317=$A58),--ISNUMBER('Данные 2st'!$OU$2:$OU$317))</f>
        <v>3</v>
      </c>
      <c r="SI58">
        <f>SUMPRODUCT(--('Данные 2st'!$Q$2:$Q$317=$A58),--ISNUMBER('Данные 2st'!$OV$2:$OV$317))</f>
        <v>3</v>
      </c>
      <c r="SJ58">
        <f>SUMPRODUCT(--('Данные 2st'!$Q$2:$Q$317=$A58),--ISNUMBER('Данные 2st'!$OX$2:$OX$317))</f>
        <v>3</v>
      </c>
      <c r="SK58">
        <f>SUMPRODUCT(--('Данные 2st'!$Q$2:$Q$317=$A58),--ISNUMBER('Данные 2st'!$OY$2:$OY$317))</f>
        <v>3</v>
      </c>
      <c r="SL58">
        <f>SUMPRODUCT(--('Данные 2st'!$Q$2:$Q$317=$A58),--ISNUMBER('Данные 2st'!$OZ$2:$OZ$317))</f>
        <v>3</v>
      </c>
      <c r="SM58">
        <f>SUMPRODUCT(--('Данные 2st'!$Q$2:$Q$317=$A58),--ISNUMBER('Данные 2st'!$PA$2:$PA$317))</f>
        <v>3</v>
      </c>
      <c r="SN58">
        <f>SUMPRODUCT(--('Данные 2st'!$Q$2:$Q$317=$A58),--ISNUMBER('Данные 2st'!$PC$2:$PC$317))</f>
        <v>3</v>
      </c>
      <c r="SO58">
        <f>SUMPRODUCT(--('Данные 2st'!$Q$2:$Q$317=$A58),--ISNUMBER('Данные 2st'!$PD$2:$PD$317))</f>
        <v>3</v>
      </c>
      <c r="SP58">
        <f>SUMPRODUCT(--('Данные 2st'!$Q$2:$Q$317=$A58),--ISNUMBER('Данные 2st'!$PF$2:$PF$317))</f>
        <v>3</v>
      </c>
      <c r="SQ58">
        <f>SUMPRODUCT(--('Данные 2st'!$Q$2:$Q$317=$A58),--ISNUMBER('Данные 2st'!$PG$2:$PG$317))</f>
        <v>3</v>
      </c>
      <c r="SR58">
        <f>SUMPRODUCT(--('Данные 2st'!$Q$2:$Q$317=$A58),--ISNUMBER('Данные 2st'!$PH$2:$PH$317))</f>
        <v>3</v>
      </c>
      <c r="SS58">
        <f>SUMPRODUCT(--('Данные 2st'!$Q$2:$Q$317=$A58),--ISNUMBER('Данные 2st'!$PI$2:$PI$317))</f>
        <v>3</v>
      </c>
      <c r="ST58">
        <f>SUMPRODUCT(--('Данные 2st'!$Q$2:$Q$317=$A58),--ISNUMBER('Данные 2st'!$PJ$2:$PJ$317))</f>
        <v>3</v>
      </c>
      <c r="SU58">
        <f>SUMPRODUCT(--('Данные 2st'!$Q$2:$Q$317=$A58),--ISNUMBER('Данные 2st'!$PK$2:$PK$317))</f>
        <v>2</v>
      </c>
      <c r="SV58">
        <f>SUMPRODUCT(--('Данные 2st'!$Q$2:$Q$317=$A58),--ISNUMBER('Данные 2st'!$PL$2:$PL$317))</f>
        <v>3</v>
      </c>
      <c r="SW58">
        <f>SUMPRODUCT(--('Данные 2st'!$Q$2:$Q$317=$A58),--ISNUMBER('Данные 2st'!$PM$2:$PM$317))</f>
        <v>3</v>
      </c>
      <c r="SX58">
        <f>SUMPRODUCT(--('Данные 2st'!$Q$2:$Q$317=$A58),--ISNUMBER('Данные 2st'!$PN$2:$PN$317))</f>
        <v>3</v>
      </c>
      <c r="SY58">
        <f>SUMPRODUCT(--('Данные 2st'!$Q$2:$Q$317=$A58),--ISNUMBER('Данные 2st'!$PO$2:$PO$317))</f>
        <v>3</v>
      </c>
      <c r="SZ58">
        <f>SUMPRODUCT(--('Данные 2st'!$Q$2:$Q$317=$A58),--ISNUMBER('Данные 2st'!$PP$2:$PP$317))</f>
        <v>3</v>
      </c>
      <c r="TA58">
        <f>SUMPRODUCT(--('Данные 2st'!$Q$2:$Q$317=$A58),--ISNUMBER('Данные 2st'!$PQ$2:$PQ$317))</f>
        <v>3</v>
      </c>
      <c r="TB58">
        <f>SUMPRODUCT(--('Данные 2st'!$Q$2:$Q$317=$A58),--ISNUMBER('Данные 2st'!$PR$2:$PR$317))</f>
        <v>3</v>
      </c>
      <c r="TC58">
        <f>SUMPRODUCT(--('Данные 2st'!$Q$2:$Q$317=$A58),--ISNUMBER('Данные 2st'!$PS$2:$PS$317))</f>
        <v>3</v>
      </c>
      <c r="TD58">
        <f>SUMPRODUCT(--('Данные 2st'!$Q$2:$Q$317=$A58),--ISNUMBER('Данные 2st'!$PT$2:$PT$317))</f>
        <v>3</v>
      </c>
      <c r="TE58">
        <f>SUMPRODUCT(--('Данные 2st'!$Q$2:$Q$317=$A58),--ISNUMBER('Данные 2st'!$PU$2:$PU$317))</f>
        <v>3</v>
      </c>
      <c r="TF58">
        <f>SUMPRODUCT(--('Данные 2st'!$Q$2:$Q$317=$A58),--ISNUMBER('Данные 2st'!$PX$2:$PX$317))</f>
        <v>3</v>
      </c>
      <c r="TG58">
        <f>SUMPRODUCT(--('Данные 2st'!$Q$2:$Q$317=$A58),--ISNUMBER('Данные 2st'!$PY$2:$PY$317))</f>
        <v>3</v>
      </c>
      <c r="TH58">
        <f>SUMPRODUCT(--('Данные 2st'!$Q$2:$Q$317=$A58),--ISNUMBER('Данные 2st'!$PZ$2:$PZ$317))</f>
        <v>3</v>
      </c>
      <c r="TI58">
        <f>SUMPRODUCT(--('Данные 2st'!$Q$2:$Q$317=$A58),--ISNUMBER('Данные 2st'!$QA$2:$QA$317))</f>
        <v>3</v>
      </c>
      <c r="TJ58">
        <f>SUMPRODUCT(--('Данные 2st'!$Q$2:$Q$317=$A58),--ISNUMBER('Данные 2st'!$QB$2:$QB$317))</f>
        <v>3</v>
      </c>
      <c r="TK58">
        <f>SUMPRODUCT(--('Данные 2st'!$Q$2:$Q$317=$A58),--ISNUMBER('Данные 2st'!$QC$2:$QC$317))</f>
        <v>3</v>
      </c>
      <c r="TL58">
        <f>SUMPRODUCT(--('Данные 2st'!$Q$2:$Q$317=$A58),--ISNUMBER('Данные 2st'!$QD$2:$QD$317))</f>
        <v>3</v>
      </c>
      <c r="TM58">
        <f>SUMPRODUCT(--('Данные 2st'!$Q$2:$Q$317=$A58),--ISNUMBER('Данные 2st'!$QE$2:$QE$317))</f>
        <v>3</v>
      </c>
      <c r="TN58">
        <f>SUMPRODUCT(--('Данные 2st'!$Q$2:$Q$317=$A58),--ISNUMBER('Данные 2st'!$QF$2:$QF$317))</f>
        <v>3</v>
      </c>
      <c r="TO58">
        <f>SUMPRODUCT(--('Данные 2st'!$Q$2:$Q$317=$A58),--ISNUMBER('Данные 2st'!$QG$2:$QG$317))</f>
        <v>3</v>
      </c>
      <c r="TP58">
        <f>SUMPRODUCT(--('Данные 2st'!$Q$2:$Q$317=$A58),--ISNUMBER('Данные 2st'!$QH$2:$QH$317))</f>
        <v>3</v>
      </c>
      <c r="TQ58">
        <f>SUMPRODUCT(--('Данные 2st'!$Q$2:$Q$317=$A58),--ISNUMBER('Данные 2st'!$QI$2:$QI$317))</f>
        <v>3</v>
      </c>
      <c r="TR58">
        <f>SUMPRODUCT(--('Данные 2st'!$Q$2:$Q$317=$A58),--ISNUMBER('Данные 2st'!$QJ$2:$QJ$317))</f>
        <v>3</v>
      </c>
      <c r="TS58">
        <f>SUMPRODUCT(--('Данные 2st'!$Q$2:$Q$317=$A58),--ISNUMBER('Данные 2st'!$QK$2:$QK$317))</f>
        <v>3</v>
      </c>
      <c r="TT58">
        <f>SUMPRODUCT(--('Данные 2st'!$Q$2:$Q$317=$A58),--ISNUMBER('Данные 2st'!$QL$2:$QL$317))</f>
        <v>3</v>
      </c>
      <c r="TU58">
        <f>SUMPRODUCT(--('Данные 2st'!$Q$2:$Q$317=$A58),--ISNUMBER('Данные 2st'!$QM$2:$QM$317))</f>
        <v>3</v>
      </c>
      <c r="TV58">
        <f>SUMPRODUCT(--('Данные 2st'!$Q$2:$Q$317=$A58),--ISNUMBER('Данные 2st'!$QN$2:$QN$317))</f>
        <v>3</v>
      </c>
      <c r="TW58">
        <f>SUMPRODUCT(--('Данные 2st'!$Q$2:$Q$317=$A58),--ISNUMBER('Данные 2st'!$QQ$2:$QQ$317))</f>
        <v>3</v>
      </c>
      <c r="TX58">
        <f>SUMPRODUCT(--('Данные 2st'!$Q$2:$Q$317=$A58),--ISNUMBER('Данные 2st'!$QS$2:$QS$317))</f>
        <v>3</v>
      </c>
      <c r="TY58">
        <f>SUMPRODUCT(--('Данные 2st'!$Q$2:$Q$317=$A58),--ISNUMBER('Данные 2st'!$QT$2:$QT$317))</f>
        <v>3</v>
      </c>
    </row>
    <row r="59" spans="1:545" ht="32" customHeight="1">
      <c r="A59" s="11" t="str">
        <f>'По размерам'!A59</f>
        <v>245/45R19</v>
      </c>
      <c r="G59">
        <f>SUMPRODUCT(--('Данные 1st'!$S$2:$S$317=$A59),--ISNUMBER('Данные 1st'!$AE$2:$AE$317))</f>
        <v>2</v>
      </c>
      <c r="H59">
        <f>SUMPRODUCT(--('Данные 1st'!$S$2:$S$317=$A59),--ISNUMBER('Данные 1st'!$AF$2:$AF$317))</f>
        <v>2</v>
      </c>
      <c r="I59">
        <f>SUMPRODUCT(--('Данные 1st'!$S$2:$S$317=$A59),--ISNUMBER('Данные 1st'!$AJ$2:$AJ$317))</f>
        <v>2</v>
      </c>
      <c r="J59">
        <f>SUMPRODUCT(--('Данные 1st'!$S$2:$S$317=$A59),--ISNUMBER('Данные 1st'!$AL$2:$AL$317))</f>
        <v>2</v>
      </c>
      <c r="K59">
        <f>SUMPRODUCT(--('Данные 1st'!$S$2:$S$317=$A59),--ISNUMBER('Данные 1st'!$AR$2:$AR$317))</f>
        <v>2</v>
      </c>
      <c r="L59">
        <f>SUMPRODUCT(--('Данные 1st'!$S$2:$S$317=$A59),--ISNUMBER('Данные 1st'!$AS$2:$AS$317))</f>
        <v>2</v>
      </c>
      <c r="M59">
        <f>SUMPRODUCT(--('Данные 1st'!$S$2:$S$317=$A59),--ISNUMBER('Данные 1st'!$AY$2:$AY$317))</f>
        <v>2</v>
      </c>
      <c r="N59">
        <f>SUMPRODUCT(--('Данные 1st'!$S$2:$S$317=$A59),--ISNUMBER('Данные 1st'!$AZ$2:$AZ$317))</f>
        <v>2</v>
      </c>
      <c r="O59">
        <f>SUMPRODUCT(--('Данные 1st'!$S$2:$S$317=$A59),--ISNUMBER('Данные 1st'!$BF$2:$BF$317))</f>
        <v>1</v>
      </c>
      <c r="P59">
        <f>SUMPRODUCT(--('Данные 1st'!$S$2:$S$317=$A59),--ISNUMBER('Данные 1st'!$BG$2:$BG$317))</f>
        <v>2</v>
      </c>
      <c r="Q59">
        <f>SUMPRODUCT(--('Данные 1st'!$S$2:$S$317=$A59),--ISNUMBER('Данные 1st'!$BM$2:$BM$317))</f>
        <v>0</v>
      </c>
      <c r="R59">
        <f>SUMPRODUCT(--('Данные 1st'!$S$2:$S$317=$A59),--ISNUMBER('Данные 1st'!$BN$2:$BN$317))</f>
        <v>2</v>
      </c>
      <c r="S59">
        <f>SUMPRODUCT(--('Данные 1st'!$S$2:$S$317=$A59),--ISNUMBER('Данные 1st'!$BT$2:$BT$317))</f>
        <v>2</v>
      </c>
      <c r="T59">
        <f>SUMPRODUCT(--('Данные 1st'!$S$2:$S$317=$A59),--ISNUMBER('Данные 1st'!$BU$2:$BU$317))</f>
        <v>2</v>
      </c>
      <c r="U59">
        <f>SUMPRODUCT(--('Данные 1st'!$S$2:$S$317=$A59),--ISNUMBER('Данные 1st'!$BW$2:$BW$317))</f>
        <v>2</v>
      </c>
      <c r="V59">
        <f>SUMPRODUCT(--('Данные 1st'!$S$2:$S$317=$A59),--ISNUMBER('Данные 1st'!$BX$2:$BX$317))</f>
        <v>2</v>
      </c>
      <c r="W59">
        <f>SUMPRODUCT(--('Данные 1st'!$S$2:$S$317=$A59),--ISNUMBER('Данные 1st'!$BZ$2:$BZ$317))</f>
        <v>2</v>
      </c>
      <c r="X59">
        <f>SUMPRODUCT(--('Данные 1st'!$S$2:$S$317=$A59),--ISNUMBER('Данные 1st'!$CA$2:$CA$317))</f>
        <v>2</v>
      </c>
      <c r="Y59">
        <f>SUMPRODUCT(--('Данные 1st'!$S$2:$S$317=$A59),--ISNUMBER('Данные 1st'!$CD$2:$CD$317))</f>
        <v>2</v>
      </c>
      <c r="Z59">
        <f>SUMPRODUCT(--('Данные 1st'!$S$2:$S$317=$A59),--ISNUMBER('Данные 1st'!$CF$2:$CF$317))</f>
        <v>2</v>
      </c>
      <c r="AA59">
        <f>SUMPRODUCT(--('Данные 1st'!$S$2:$S$317=$A59),--ISNUMBER('Данные 1st'!$CI$2:$CI$317))</f>
        <v>2</v>
      </c>
      <c r="AB59">
        <f>SUMPRODUCT(--('Данные 1st'!$S$2:$S$317=$A59),--ISNUMBER('Данные 1st'!$CJ$2:$CJ$317))</f>
        <v>2</v>
      </c>
      <c r="AC59">
        <f>SUMPRODUCT(--('Данные 1st'!$S$2:$S$317=$A59),--ISNUMBER('Данные 1st'!$CK$2:$CK$317))</f>
        <v>2</v>
      </c>
      <c r="AD59">
        <f>SUMPRODUCT(--('Данные 1st'!$S$2:$S$317=$A59),--ISNUMBER('Данные 1st'!$CL$2:$CL$317))</f>
        <v>2</v>
      </c>
      <c r="AE59">
        <f>SUMPRODUCT(--('Данные 1st'!$S$2:$S$317=$A59),--ISNUMBER('Данные 1st'!$CM$2:$CM$317))</f>
        <v>2</v>
      </c>
      <c r="AF59">
        <f>SUMPRODUCT(--('Данные 1st'!$S$2:$S$317=$A59),--ISNUMBER('Данные 1st'!$CT$2:$CT$317))</f>
        <v>2</v>
      </c>
      <c r="AG59">
        <f>SUMPRODUCT(--('Данные 1st'!$S$2:$S$317=$A59),--ISNUMBER('Данные 1st'!$CU$2:$CU$317))</f>
        <v>2</v>
      </c>
      <c r="AH59">
        <f>SUMPRODUCT(--('Данные 1st'!$S$2:$S$317=$A59),--ISNUMBER('Данные 1st'!$CV$2:$CV$317))</f>
        <v>2</v>
      </c>
      <c r="AI59">
        <f>SUMPRODUCT(--('Данные 1st'!$S$2:$S$317=$A59),--ISNUMBER('Данные 1st'!$CW$2:$CW$317))</f>
        <v>2</v>
      </c>
      <c r="AJ59">
        <f>SUMPRODUCT(--('Данные 1st'!$S$2:$S$317=$A59),--ISNUMBER('Данные 1st'!$CX$2:$CX$317))</f>
        <v>2</v>
      </c>
      <c r="AK59">
        <f>SUMPRODUCT(--('Данные 1st'!$S$2:$S$317=$A59),--ISNUMBER('Данные 1st'!$CZ$2:$CZ$317))</f>
        <v>2</v>
      </c>
      <c r="AL59">
        <f>SUMPRODUCT(--('Данные 1st'!$S$2:$S$317=$A59),--ISNUMBER('Данные 1st'!$DA$2:$DA$317))</f>
        <v>2</v>
      </c>
      <c r="AM59">
        <f>SUMPRODUCT(--('Данные 1st'!$S$2:$S$317=$A59),--ISNUMBER('Данные 1st'!$DB$2:$DB$317))</f>
        <v>2</v>
      </c>
      <c r="AN59">
        <f>SUMPRODUCT(--('Данные 1st'!$S$2:$S$317=$A59),--ISNUMBER('Данные 1st'!$DC$2:$DC$317))</f>
        <v>2</v>
      </c>
      <c r="AO59">
        <f>SUMPRODUCT(--('Данные 1st'!$S$2:$S$317=$A59),--ISNUMBER('Данные 1st'!$DD$2:$DD$317))</f>
        <v>2</v>
      </c>
      <c r="AP59">
        <f>SUMPRODUCT(--('Данные 1st'!$S$2:$S$317=$A59),--ISNUMBER('Данные 1st'!$DF$2:$DF$317))</f>
        <v>2</v>
      </c>
      <c r="AQ59">
        <f>SUMPRODUCT(--('Данные 1st'!$S$2:$S$317=$A59),--ISNUMBER('Данные 1st'!$DG$2:$DG$317))</f>
        <v>2</v>
      </c>
      <c r="AR59">
        <f>SUMPRODUCT(--('Данные 1st'!$S$2:$S$317=$A59),--ISNUMBER('Данные 1st'!$DH$2:$DH$317))</f>
        <v>2</v>
      </c>
      <c r="AS59">
        <f>SUMPRODUCT(--('Данные 1st'!$S$2:$S$317=$A59),--ISNUMBER('Данные 1st'!$DI$2:$DI$317))</f>
        <v>2</v>
      </c>
      <c r="AT59">
        <f>SUMPRODUCT(--('Данные 1st'!$S$2:$S$317=$A59),--ISNUMBER('Данные 1st'!$DJ$2:$DJ$317))</f>
        <v>2</v>
      </c>
      <c r="AU59">
        <f>SUMPRODUCT(--('Данные 1st'!$S$2:$S$317=$A59),--ISNUMBER('Данные 1st'!$DL$2:$DL$317))</f>
        <v>1</v>
      </c>
      <c r="AV59">
        <f>SUMPRODUCT(--('Данные 1st'!$S$2:$S$317=$A59),--ISNUMBER('Данные 1st'!$DM$2:$DM$317))</f>
        <v>1</v>
      </c>
      <c r="AW59">
        <f>SUMPRODUCT(--('Данные 1st'!$S$2:$S$317=$A59),--ISNUMBER('Данные 1st'!$DN$2:$DN$317))</f>
        <v>1</v>
      </c>
      <c r="AX59">
        <f>SUMPRODUCT(--('Данные 1st'!$S$2:$S$317=$A59),--ISNUMBER('Данные 1st'!$DO$2:$DO$317))</f>
        <v>1</v>
      </c>
      <c r="AY59">
        <f>SUMPRODUCT(--('Данные 1st'!$S$2:$S$317=$A59),--ISNUMBER('Данные 1st'!$DP$2:$DP$317))</f>
        <v>1</v>
      </c>
      <c r="AZ59">
        <f>SUMPRODUCT(--('Данные 1st'!$S$2:$S$317=$A59),--ISNUMBER('Данные 1st'!$DR$2:$DR$317))</f>
        <v>0</v>
      </c>
      <c r="BA59">
        <f>SUMPRODUCT(--('Данные 1st'!$S$2:$S$317=$A59),--ISNUMBER('Данные 1st'!$DS$2:$DS$317))</f>
        <v>0</v>
      </c>
      <c r="BB59">
        <f>SUMPRODUCT(--('Данные 1st'!$S$2:$S$317=$A59),--ISNUMBER('Данные 1st'!$DT$2:$DT$317))</f>
        <v>0</v>
      </c>
      <c r="BC59">
        <f>SUMPRODUCT(--('Данные 1st'!$S$2:$S$317=$A59),--ISNUMBER('Данные 1st'!$DU$2:$DU$317))</f>
        <v>0</v>
      </c>
      <c r="BD59">
        <f>SUMPRODUCT(--('Данные 1st'!$S$2:$S$317=$A59),--ISNUMBER('Данные 1st'!$DV$2:$DV$317))</f>
        <v>0</v>
      </c>
      <c r="BE59">
        <f>SUMPRODUCT(--('Данные 1st'!$S$2:$S$317=$A59),--ISNUMBER('Данные 1st'!$DX$2:$DX$317))</f>
        <v>2</v>
      </c>
      <c r="BF59">
        <f>SUMPRODUCT(--('Данные 1st'!$S$2:$S$317=$A59),--ISNUMBER('Данные 1st'!$EA$2:$EA$317))</f>
        <v>2</v>
      </c>
      <c r="BG59">
        <f>SUMPRODUCT(--('Данные 1st'!$S$2:$S$317=$A59),--ISNUMBER('Данные 1st'!$EB$2:$EB$317))</f>
        <v>2</v>
      </c>
      <c r="BH59">
        <f>SUMPRODUCT(--('Данные 1st'!$S$2:$S$317=$A59),--ISNUMBER('Данные 1st'!$ED$2:$ED$317))</f>
        <v>2</v>
      </c>
      <c r="BI59">
        <f>SUMPRODUCT(--('Данные 1st'!$S$2:$S$317=$A59),--ISNUMBER('Данные 1st'!$EE$2:$EE$317))</f>
        <v>2</v>
      </c>
      <c r="BJ59">
        <f>SUMPRODUCT(--('Данные 1st'!$S$2:$S$317=$A59),--ISNUMBER('Данные 1st'!$EG$2:$EG$317))</f>
        <v>2</v>
      </c>
      <c r="BK59">
        <f>SUMPRODUCT(--('Данные 1st'!$S$2:$S$317=$A59),--ISNUMBER('Данные 1st'!$EH$2:$EH$317))</f>
        <v>2</v>
      </c>
      <c r="BL59">
        <f>SUMPRODUCT(--('Данные 1st'!$S$2:$S$317=$A59),--ISNUMBER('Данные 1st'!$EJ$2:$EJ$317))</f>
        <v>2</v>
      </c>
      <c r="BM59">
        <f>SUMPRODUCT(--('Данные 1st'!$S$2:$S$317=$A59),--ISNUMBER('Данные 1st'!$EK$2:$EK$317))</f>
        <v>2</v>
      </c>
      <c r="BN59">
        <f>SUMPRODUCT(--('Данные 1st'!$S$2:$S$317=$A59),--ISNUMBER('Данные 1st'!$EN$2:$EN$317))</f>
        <v>2</v>
      </c>
      <c r="BO59">
        <f>SUMPRODUCT(--('Данные 1st'!$S$2:$S$317=$A59),--ISNUMBER('Данные 1st'!$EQ$2:$EQ$317))</f>
        <v>2</v>
      </c>
      <c r="BP59">
        <f>SUMPRODUCT(--('Данные 1st'!$S$2:$S$317=$A59),--ISNUMBER('Данные 1st'!$ER$2:$ER$317))</f>
        <v>2</v>
      </c>
      <c r="BQ59">
        <f>SUMPRODUCT(--('Данные 1st'!$S$2:$S$317=$A59),--ISNUMBER('Данные 1st'!$ES$2:$ES$317))</f>
        <v>2</v>
      </c>
      <c r="BR59">
        <f>SUMPRODUCT(--('Данные 1st'!$S$2:$S$317=$A59),--ISNUMBER('Данные 1st'!$ET$2:$ET$317))</f>
        <v>2</v>
      </c>
      <c r="BS59">
        <f>SUMPRODUCT(--('Данные 1st'!$S$2:$S$317=$A59),--ISNUMBER('Данные 1st'!$EU$2:$EU$317))</f>
        <v>2</v>
      </c>
      <c r="BT59">
        <f>SUMPRODUCT(--('Данные 1st'!$S$2:$S$317=$A59),--ISNUMBER('Данные 1st'!$EV$2:$EV$317))</f>
        <v>2</v>
      </c>
      <c r="BU59">
        <f>SUMPRODUCT(--('Данные 1st'!$S$2:$S$317=$A59),--ISNUMBER('Данные 1st'!$EX$2:$EX$317))</f>
        <v>2</v>
      </c>
      <c r="BV59">
        <f>SUMPRODUCT(--('Данные 1st'!$S$2:$S$317=$A59),--ISNUMBER('Данные 1st'!$EY$2:$EY$317))</f>
        <v>2</v>
      </c>
      <c r="BW59">
        <f>SUMPRODUCT(--('Данные 1st'!$S$2:$S$317=$A59),--ISNUMBER('Данные 1st'!$EZ$2:$EZ$317))</f>
        <v>2</v>
      </c>
      <c r="BX59">
        <f>SUMPRODUCT(--('Данные 1st'!$S$2:$S$317=$A59),--ISNUMBER('Данные 1st'!$FA$2:$FA$317))</f>
        <v>2</v>
      </c>
      <c r="BY59">
        <f>SUMPRODUCT(--('Данные 1st'!$S$2:$S$317=$A59),--ISNUMBER('Данные 1st'!$FB$2:$FB$317))</f>
        <v>2</v>
      </c>
      <c r="BZ59">
        <f>SUMPRODUCT(--('Данные 1st'!$S$2:$S$317=$A59),--ISNUMBER('Данные 1st'!$FC$2:$FC$317))</f>
        <v>2</v>
      </c>
      <c r="CA59">
        <f>SUMPRODUCT(--('Данные 1st'!$S$2:$S$317=$A59),--ISNUMBER('Данные 1st'!$FE$2:$FE$317))</f>
        <v>2</v>
      </c>
      <c r="CB59">
        <f>SUMPRODUCT(--('Данные 1st'!$S$2:$S$317=$A59),--ISNUMBER('Данные 1st'!$FF$2:$FF$317))</f>
        <v>2</v>
      </c>
      <c r="CC59">
        <f>SUMPRODUCT(--('Данные 1st'!$S$2:$S$317=$A59),--ISNUMBER('Данные 1st'!$FI$2:$FI$317))</f>
        <v>2</v>
      </c>
      <c r="CD59">
        <f>SUMPRODUCT(--('Данные 1st'!$S$2:$S$317=$A59),--ISNUMBER('Данные 1st'!$FL$2:$FL$317))</f>
        <v>2</v>
      </c>
      <c r="CE59">
        <f>SUMPRODUCT(--('Данные 1st'!$S$2:$S$317=$A59),--ISNUMBER('Данные 1st'!$FM$2:$FM$317))</f>
        <v>2</v>
      </c>
      <c r="CF59">
        <f>SUMPRODUCT(--('Данные 1st'!$S$2:$S$317=$A59),--ISNUMBER('Данные 1st'!$FN$2:$FN$317))</f>
        <v>2</v>
      </c>
      <c r="CG59">
        <f>SUMPRODUCT(--('Данные 1st'!$S$2:$S$317=$A59),--ISNUMBER('Данные 1st'!$FO$2:$FO$317))</f>
        <v>2</v>
      </c>
      <c r="CH59">
        <f>SUMPRODUCT(--('Данные 1st'!$S$2:$S$317=$A59),--ISNUMBER('Данные 1st'!$FP$2:$FP$317))</f>
        <v>2</v>
      </c>
      <c r="CI59">
        <f>SUMPRODUCT(--('Данные 1st'!$S$2:$S$317=$A59),--ISNUMBER('Данные 1st'!$FS$2:$FS$317))</f>
        <v>1</v>
      </c>
      <c r="CJ59">
        <f>SUMPRODUCT(--('Данные 1st'!$S$2:$S$317=$A59),--ISNUMBER('Данные 1st'!$FT$2:$FT$317))</f>
        <v>1</v>
      </c>
      <c r="CK59">
        <f>SUMPRODUCT(--('Данные 1st'!$S$2:$S$317=$A59),--ISNUMBER('Данные 1st'!$FU$2:$FU$317))</f>
        <v>1</v>
      </c>
      <c r="CL59">
        <f>SUMPRODUCT(--('Данные 1st'!$S$2:$S$317=$A59),--ISNUMBER('Данные 1st'!$FV$2:$FV$317))</f>
        <v>0</v>
      </c>
      <c r="CM59">
        <f>SUMPRODUCT(--('Данные 1st'!$S$2:$S$317=$A59),--ISNUMBER('Данные 1st'!$FW$2:$FW$317))</f>
        <v>0</v>
      </c>
      <c r="CN59">
        <f>SUMPRODUCT(--('Данные 1st'!$S$2:$S$317=$A59),--ISNUMBER('Данные 1st'!$FZ$2:$FZ$317))</f>
        <v>0</v>
      </c>
      <c r="CO59">
        <f>SUMPRODUCT(--('Данные 1st'!$S$2:$S$317=$A59),--ISNUMBER('Данные 1st'!$GA$2:$GA$317))</f>
        <v>0</v>
      </c>
      <c r="CP59">
        <f>SUMPRODUCT(--('Данные 1st'!$S$2:$S$317=$A59),--ISNUMBER('Данные 1st'!$GB$2:$GB$317))</f>
        <v>0</v>
      </c>
      <c r="CQ59">
        <f>SUMPRODUCT(--('Данные 1st'!$S$2:$S$317=$A59),--ISNUMBER('Данные 1st'!$GH$2:$GH$317))</f>
        <v>0</v>
      </c>
      <c r="CR59">
        <f>SUMPRODUCT(--('Данные 1st'!$S$2:$S$317=$A59),--ISNUMBER('Данные 1st'!$GI$2:$GI$317))</f>
        <v>0</v>
      </c>
      <c r="CS59">
        <f>SUMPRODUCT(--('Данные 1st'!$S$2:$S$317=$A59),--ISNUMBER('Данные 1st'!$GJ$2:$GJ$317))</f>
        <v>0</v>
      </c>
      <c r="CT59">
        <f>SUMPRODUCT(--('Данные 1st'!$S$2:$S$317=$A59),--ISNUMBER('Данные 1st'!$GS$2:$GS$317))</f>
        <v>1</v>
      </c>
      <c r="CU59">
        <f>SUMPRODUCT(--('Данные 1st'!$S$2:$S$317=$A59),--ISNUMBER('Данные 1st'!$GT$2:$GT$317))</f>
        <v>1</v>
      </c>
      <c r="CV59">
        <f>SUMPRODUCT(--('Данные 1st'!$S$2:$S$317=$A59),--ISNUMBER('Данные 1st'!$GU$2:$GU$317))</f>
        <v>1</v>
      </c>
      <c r="CW59">
        <f>SUMPRODUCT(--('Данные 1st'!$S$2:$S$317=$A59),--ISNUMBER('Данные 1st'!$GV$2:$GV$317))</f>
        <v>0</v>
      </c>
      <c r="CX59">
        <f>SUMPRODUCT(--('Данные 1st'!$S$2:$S$317=$A59),--ISNUMBER('Данные 1st'!$GW$2:$GW$317))</f>
        <v>0</v>
      </c>
      <c r="CY59">
        <f>SUMPRODUCT(--('Данные 1st'!$S$2:$S$317=$A59),--ISNUMBER('Данные 1st'!$GZ$2:$GZ$317))</f>
        <v>0</v>
      </c>
      <c r="CZ59">
        <f>SUMPRODUCT(--('Данные 1st'!$S$2:$S$317=$A59),--ISNUMBER('Данные 1st'!$HA$2:$HA$317))</f>
        <v>0</v>
      </c>
      <c r="DA59">
        <f>SUMPRODUCT(--('Данные 1st'!$S$2:$S$317=$A59),--ISNUMBER('Данные 1st'!$HB$2:$HB$317))</f>
        <v>0</v>
      </c>
      <c r="DB59">
        <f>SUMPRODUCT(--('Данные 1st'!$S$2:$S$317=$A59),--ISNUMBER('Данные 1st'!$HC$2:$HC$317))</f>
        <v>2</v>
      </c>
      <c r="DC59">
        <f>SUMPRODUCT(--('Данные 1st'!$S$2:$S$317=$A59),--ISNUMBER('Данные 1st'!$HD$2:$HD$317))</f>
        <v>2</v>
      </c>
      <c r="DD59">
        <f>SUMPRODUCT(--('Данные 1st'!$S$2:$S$317=$A59),--ISNUMBER('Данные 1st'!$HE$2:$HE$317))</f>
        <v>2</v>
      </c>
      <c r="DE59">
        <f>SUMPRODUCT(--('Данные 1st'!$S$2:$S$317=$A59),--ISNUMBER('Данные 1st'!$HF$2:$HF$317))</f>
        <v>2</v>
      </c>
      <c r="DF59">
        <f>SUMPRODUCT(--('Данные 1st'!$S$2:$S$317=$A59),--ISNUMBER('Данные 1st'!$HG$2:$HG$317))</f>
        <v>2</v>
      </c>
      <c r="DG59">
        <f>SUMPRODUCT(--('Данные 1st'!$S$2:$S$317=$A59),--ISNUMBER('Данные 1st'!$HH$2:$HH$317))</f>
        <v>2</v>
      </c>
      <c r="DH59">
        <f>SUMPRODUCT(--('Данные 1st'!$S$2:$S$317=$A59),--ISNUMBER('Данные 1st'!$HI$2:$HI$317))</f>
        <v>2</v>
      </c>
      <c r="DI59">
        <f>SUMPRODUCT(--('Данные 1st'!$S$2:$S$317=$A59),--ISNUMBER('Данные 1st'!$HJ$2:$HJ$317))</f>
        <v>2</v>
      </c>
      <c r="DJ59">
        <f>SUMPRODUCT(--('Данные 1st'!$S$2:$S$317=$A59),--ISNUMBER('Данные 1st'!$HK$2:$HK$317))</f>
        <v>2</v>
      </c>
      <c r="DK59">
        <f>SUMPRODUCT(--('Данные 1st'!$S$2:$S$317=$A59),--ISNUMBER('Данные 1st'!$HL$2:$HL$317))</f>
        <v>2</v>
      </c>
      <c r="DL59">
        <f>SUMPRODUCT(--('Данные 1st'!$S$2:$S$317=$A59),--ISNUMBER('Данные 1st'!$HM$2:$HM$317))</f>
        <v>2</v>
      </c>
      <c r="DM59">
        <f>SUMPRODUCT(--('Данные 1st'!$S$2:$S$317=$A59),--ISNUMBER('Данные 1st'!$HN$2:$HN$317))</f>
        <v>2</v>
      </c>
      <c r="DN59">
        <f>SUMPRODUCT(--('Данные 1st'!$S$2:$S$317=$A59),--ISNUMBER('Данные 1st'!$HO$2:$HO$317))</f>
        <v>2</v>
      </c>
      <c r="DO59">
        <f>SUMPRODUCT(--('Данные 1st'!$S$2:$S$317=$A59),--ISNUMBER('Данные 1st'!$HP$2:$HP$317))</f>
        <v>2</v>
      </c>
      <c r="DP59">
        <f>SUMPRODUCT(--('Данные 1st'!$S$2:$S$317=$A59),--ISNUMBER('Данные 1st'!$HQ$2:$HQ$317))</f>
        <v>2</v>
      </c>
      <c r="DQ59">
        <f>SUMPRODUCT(--('Данные 1st'!$S$2:$S$317=$A59),--ISNUMBER('Данные 1st'!$HR$2:$HR$317))</f>
        <v>2</v>
      </c>
      <c r="DR59">
        <f>SUMPRODUCT(--('Данные 1st'!$S$2:$S$317=$A59),--ISNUMBER('Данные 1st'!$HS$2:$HS$317))</f>
        <v>2</v>
      </c>
      <c r="DS59">
        <f>SUMPRODUCT(--('Данные 1st'!$S$2:$S$317=$A59),--ISNUMBER('Данные 1st'!$HT$2:$HT$317))</f>
        <v>2</v>
      </c>
      <c r="DT59">
        <f>SUMPRODUCT(--('Данные 1st'!$S$2:$S$317=$A59),--ISNUMBER('Данные 1st'!$HU$2:$HU$317))</f>
        <v>2</v>
      </c>
      <c r="DU59">
        <f>SUMPRODUCT(--('Данные 1st'!$S$2:$S$317=$A59),--ISNUMBER('Данные 1st'!$HW$2:$HW$317))</f>
        <v>2</v>
      </c>
      <c r="DV59">
        <f>SUMPRODUCT(--('Данные 1st'!$S$2:$S$317=$A59),--ISNUMBER('Данные 1st'!$HX$2:$HX$317))</f>
        <v>2</v>
      </c>
      <c r="DW59">
        <f>SUMPRODUCT(--('Данные 1st'!$S$2:$S$317=$A59),--ISNUMBER('Данные 1st'!$HY$2:$HY$317))</f>
        <v>2</v>
      </c>
      <c r="DX59">
        <f>SUMPRODUCT(--('Данные 1st'!$S$2:$S$317=$A59),--ISNUMBER('Данные 1st'!$IA$2:$IA$317))</f>
        <v>2</v>
      </c>
      <c r="DY59">
        <f>SUMPRODUCT(--('Данные 1st'!$S$2:$S$317=$A59),--ISNUMBER('Данные 1st'!$IB$2:$IB$317))</f>
        <v>2</v>
      </c>
      <c r="DZ59">
        <f>SUMPRODUCT(--('Данные 1st'!$S$2:$S$317=$A59),--ISNUMBER('Данные 1st'!$IC$2:$IC$317))</f>
        <v>2</v>
      </c>
      <c r="EA59">
        <f>SUMPRODUCT(--('Данные 1st'!$S$2:$S$317=$A59),--ISNUMBER('Данные 1st'!$ID$2:$ID$317))</f>
        <v>2</v>
      </c>
      <c r="EB59">
        <f>SUMPRODUCT(--('Данные 1st'!$S$2:$S$317=$A59),--ISNUMBER('Данные 1st'!$IE$2:$IE$317))</f>
        <v>2</v>
      </c>
      <c r="EC59">
        <f>SUMPRODUCT(--('Данные 1st'!$S$2:$S$317=$A59),--ISNUMBER('Данные 1st'!$IF$2:$IF$317))</f>
        <v>2</v>
      </c>
      <c r="ED59">
        <f>SUMPRODUCT(--('Данные 1st'!$S$2:$S$317=$A59),--ISNUMBER('Данные 1st'!$IP$2:$IP$317))</f>
        <v>2</v>
      </c>
      <c r="EE59">
        <f>SUMPRODUCT(--('Данные 1st'!$S$2:$S$317=$A59),--ISNUMBER('Данные 1st'!$IV$2:$IV$317))</f>
        <v>2</v>
      </c>
      <c r="EF59">
        <f>SUMPRODUCT(--('Данные 1st'!$S$2:$S$317=$A59),--ISNUMBER('Данные 1st'!$IW$2:$IW$317))</f>
        <v>2</v>
      </c>
      <c r="EG59">
        <f>SUMPRODUCT(--('Данные 1st'!$S$2:$S$317=$A59),--ISNUMBER('Данные 1st'!$IX$2:$IX$317))</f>
        <v>0</v>
      </c>
      <c r="EH59">
        <f>SUMPRODUCT(--('Данные 1st'!$S$2:$S$317=$A59),--ISNUMBER('Данные 1st'!$IY$2:$IY$317))</f>
        <v>1</v>
      </c>
      <c r="EI59">
        <f>SUMPRODUCT(--('Данные 1st'!$S$2:$S$317=$A59),--ISNUMBER('Данные 1st'!$JD$2:$JD$317))</f>
        <v>2</v>
      </c>
      <c r="EJ59">
        <f>SUMPRODUCT(--('Данные 1st'!$S$2:$S$317=$A59),--ISNUMBER('Данные 1st'!$JE$2:$JE$317))</f>
        <v>2</v>
      </c>
      <c r="EK59">
        <f>SUMPRODUCT(--('Данные 1st'!$S$2:$S$317=$A59),--ISNUMBER('Данные 1st'!$JF$2:$JF$317))</f>
        <v>2</v>
      </c>
      <c r="EL59">
        <f>SUMPRODUCT(--('Данные 1st'!$S$2:$S$317=$A59),--ISNUMBER('Данные 1st'!$JG$2:$JG$317))</f>
        <v>2</v>
      </c>
      <c r="EM59">
        <f>SUMPRODUCT(--('Данные 1st'!$S$2:$S$317=$A59),--ISNUMBER('Данные 1st'!$JH$2:$JH$317))</f>
        <v>2</v>
      </c>
      <c r="EN59">
        <f>SUMPRODUCT(--('Данные 1st'!$S$2:$S$317=$A59),--ISNUMBER('Данные 1st'!$JJ$2:$JJ$317))</f>
        <v>2</v>
      </c>
      <c r="EO59">
        <f>SUMPRODUCT(--('Данные 1st'!$S$2:$S$317=$A59),--ISNUMBER('Данные 1st'!$JK$2:$JK$317))</f>
        <v>2</v>
      </c>
      <c r="EP59">
        <f>SUMPRODUCT(--('Данные 1st'!$S$2:$S$317=$A59),--ISNUMBER('Данные 1st'!$JL$2:$JL$317))</f>
        <v>0</v>
      </c>
      <c r="EQ59">
        <f>SUMPRODUCT(--('Данные 1st'!$S$2:$S$317=$A59),--ISNUMBER('Данные 1st'!$JM$2:$JM$317))</f>
        <v>0</v>
      </c>
      <c r="ER59">
        <f>SUMPRODUCT(--('Данные 1st'!$S$2:$S$317=$A59),--ISNUMBER('Данные 1st'!$JN$2:$JN$317))</f>
        <v>2</v>
      </c>
      <c r="ES59">
        <f>SUMPRODUCT(--('Данные 1st'!$S$2:$S$317=$A59),--ISNUMBER('Данные 1st'!$JO$2:$JO$317))</f>
        <v>2</v>
      </c>
      <c r="ET59">
        <f>SUMPRODUCT(--('Данные 1st'!$S$2:$S$317=$A59),--ISNUMBER('Данные 1st'!$JP$2:$JP$317))</f>
        <v>2</v>
      </c>
      <c r="EU59">
        <f>SUMPRODUCT(--('Данные 1st'!$S$2:$S$317=$A59),--ISNUMBER('Данные 1st'!$JQ$2:$JQ$317))</f>
        <v>2</v>
      </c>
      <c r="EV59">
        <f>SUMPRODUCT(--('Данные 1st'!$S$2:$S$317=$A59),--ISNUMBER('Данные 1st'!$JR$2:$JR$317))</f>
        <v>2</v>
      </c>
      <c r="EW59">
        <f>SUMPRODUCT(--('Данные 1st'!$S$2:$S$317=$A59),--ISNUMBER('Данные 1st'!$JS$2:$JS$317))</f>
        <v>2</v>
      </c>
      <c r="EX59">
        <f>SUMPRODUCT(--('Данные 1st'!$S$2:$S$317=$A59),--ISNUMBER('Данные 1st'!$JT$2:$JT$317))</f>
        <v>0</v>
      </c>
      <c r="EY59">
        <f>SUMPRODUCT(--('Данные 1st'!$S$2:$S$317=$A59),--ISNUMBER('Данные 1st'!$JU$2:$JU$317))</f>
        <v>0</v>
      </c>
      <c r="EZ59">
        <f>SUMPRODUCT(--('Данные 1st'!$S$2:$S$317=$A59),--ISNUMBER('Данные 1st'!$JV$2:$JV$317))</f>
        <v>2</v>
      </c>
      <c r="FA59">
        <f>SUMPRODUCT(--('Данные 1st'!$S$2:$S$317=$A59),--ISNUMBER('Данные 1st'!$JW$2:$JW$317))</f>
        <v>0</v>
      </c>
      <c r="FB59">
        <f>SUMPRODUCT(--('Данные 1st'!$S$2:$S$317=$A59),--ISNUMBER('Данные 1st'!$JX$2:$JX$317))</f>
        <v>2</v>
      </c>
      <c r="FC59">
        <f>SUMPRODUCT(--('Данные 1st'!$S$2:$S$317=$A59),--ISNUMBER('Данные 1st'!$JY$2:$JY$317))</f>
        <v>0</v>
      </c>
      <c r="FD59">
        <f>SUMPRODUCT(--('Данные 1st'!$S$2:$S$317=$A59),--ISNUMBER('Данные 1st'!$JZ$2:$JZ$317))</f>
        <v>0</v>
      </c>
      <c r="FE59">
        <f>SUMPRODUCT(--('Данные 1st'!$S$2:$S$317=$A59),--ISNUMBER('Данные 1st'!$KA$2:$KA$317))</f>
        <v>2</v>
      </c>
      <c r="FF59">
        <f>SUMPRODUCT(--('Данные 1st'!$S$2:$S$317=$A59),--ISNUMBER('Данные 1st'!$KB$2:$KB$317))</f>
        <v>2</v>
      </c>
      <c r="FG59">
        <f>SUMPRODUCT(--('Данные 1st'!$S$2:$S$317=$A59),--ISNUMBER('Данные 1st'!$KC$2:$KC$317))</f>
        <v>2</v>
      </c>
      <c r="FH59">
        <f>SUMPRODUCT(--('Данные 1st'!$S$2:$S$317=$A59),--ISNUMBER('Данные 1st'!$KD$2:$KD$317))</f>
        <v>2</v>
      </c>
      <c r="FI59">
        <f>SUMPRODUCT(--('Данные 1st'!$S$2:$S$317=$A59),--ISNUMBER('Данные 1st'!$KE$2:$KE$317))</f>
        <v>0</v>
      </c>
      <c r="FJ59">
        <f>SUMPRODUCT(--('Данные 1st'!$S$2:$S$317=$A59),--ISNUMBER('Данные 1st'!$KF$2:$KF$317))</f>
        <v>2</v>
      </c>
      <c r="FK59">
        <f>SUMPRODUCT(--('Данные 1st'!$S$2:$S$317=$A59),--ISNUMBER('Данные 1st'!$KG$2:$KG$317))</f>
        <v>2</v>
      </c>
      <c r="FL59">
        <f>SUMPRODUCT(--('Данные 1st'!$S$2:$S$317=$A59),--ISNUMBER('Данные 1st'!$KH$2:$KH$317))</f>
        <v>2</v>
      </c>
      <c r="FM59">
        <f>SUMPRODUCT(--('Данные 1st'!$S$2:$S$317=$A59),--ISNUMBER('Данные 1st'!$KI$2:$KI$317))</f>
        <v>2</v>
      </c>
      <c r="FN59">
        <f>SUMPRODUCT(--('Данные 1st'!$S$2:$S$317=$A59),--ISNUMBER('Данные 1st'!$KJ$2:$KJ$317))</f>
        <v>2</v>
      </c>
      <c r="FO59">
        <f>SUMPRODUCT(--('Данные 1st'!$S$2:$S$317=$A59),--ISNUMBER('Данные 1st'!$KK$2:$KK$317))</f>
        <v>2</v>
      </c>
      <c r="FP59">
        <f>SUMPRODUCT(--('Данные 1st'!$S$2:$S$317=$A59),--ISNUMBER('Данные 1st'!$KL$2:$KL$317))</f>
        <v>2</v>
      </c>
      <c r="FQ59">
        <f>SUMPRODUCT(--('Данные 1st'!$S$2:$S$317=$A59),--ISNUMBER('Данные 1st'!$KM$2:$KM$317))</f>
        <v>2</v>
      </c>
      <c r="FR59">
        <f>SUMPRODUCT(--('Данные 1st'!$S$2:$S$317=$A59),--ISNUMBER('Данные 1st'!$KN$2:$KN$317))</f>
        <v>2</v>
      </c>
      <c r="FS59">
        <f>SUMPRODUCT(--('Данные 1st'!$S$2:$S$317=$A59),--ISNUMBER('Данные 1st'!$KR$2:$KR$317))</f>
        <v>2</v>
      </c>
      <c r="FT59">
        <f>SUMPRODUCT(--('Данные 1st'!$S$2:$S$317=$A59),--ISNUMBER('Данные 1st'!$KS$2:$KS$317))</f>
        <v>2</v>
      </c>
      <c r="FU59">
        <f>SUMPRODUCT(--('Данные 1st'!$S$2:$S$317=$A59),--ISNUMBER('Данные 1st'!$KT$2:$KT$317))</f>
        <v>2</v>
      </c>
      <c r="FV59">
        <f>SUMPRODUCT(--('Данные 1st'!$S$2:$S$317=$A59),--ISNUMBER('Данные 1st'!$KV$2:$KV$317))</f>
        <v>0</v>
      </c>
      <c r="FW59">
        <f>SUMPRODUCT(--('Данные 1st'!$S$2:$S$317=$A59),--ISNUMBER('Данные 1st'!$KW$2:$KW$317))</f>
        <v>0</v>
      </c>
      <c r="FX59">
        <f>SUMPRODUCT(--('Данные 1st'!$S$2:$S$317=$A59),--ISNUMBER('Данные 1st'!$KX$2:$KX$317))</f>
        <v>0</v>
      </c>
      <c r="FY59">
        <f>SUMPRODUCT(--('Данные 1st'!$S$2:$S$317=$A59),--ISNUMBER('Данные 1st'!$KY$2:$KY$317))</f>
        <v>0</v>
      </c>
      <c r="FZ59">
        <f>SUMPRODUCT(--('Данные 1st'!$S$2:$S$317=$A59),--ISNUMBER('Данные 1st'!$KZ$2:$KZ$317))</f>
        <v>0</v>
      </c>
      <c r="GA59">
        <f>SUMPRODUCT(--('Данные 1st'!$S$2:$S$317=$A59),--ISNUMBER('Данные 1st'!$LA$2:$LA$317))</f>
        <v>0</v>
      </c>
      <c r="GB59">
        <f>SUMPRODUCT(--('Данные 1st'!$S$2:$S$317=$A59),--ISNUMBER('Данные 1st'!$LB$2:$LB$317))</f>
        <v>0</v>
      </c>
      <c r="GC59">
        <f>SUMPRODUCT(--('Данные 1st'!$S$2:$S$317=$A59),--ISNUMBER('Данные 1st'!$LC$2:$LC$317))</f>
        <v>0</v>
      </c>
      <c r="GD59">
        <f>SUMPRODUCT(--('Данные 1st'!$S$2:$S$317=$A59),--ISNUMBER('Данные 1st'!$LD$2:$LD$317))</f>
        <v>0</v>
      </c>
      <c r="GE59">
        <f>SUMPRODUCT(--('Данные 1st'!$S$2:$S$317=$A59),--ISNUMBER('Данные 1st'!$LE$2:$LE$317))</f>
        <v>0</v>
      </c>
      <c r="GF59">
        <f>SUMPRODUCT(--('Данные 1st'!$S$2:$S$317=$A59),--ISNUMBER('Данные 1st'!$LF$2:$LF$317))</f>
        <v>0</v>
      </c>
      <c r="GG59">
        <f>SUMPRODUCT(--('Данные 1st'!$S$2:$S$317=$A59),--ISNUMBER('Данные 1st'!$LG$2:$LG$317))</f>
        <v>0</v>
      </c>
      <c r="GH59">
        <f>SUMPRODUCT(--('Данные 1st'!$S$2:$S$317=$A59),--ISNUMBER('Данные 1st'!$LH$2:$LH$317))</f>
        <v>0</v>
      </c>
      <c r="GI59">
        <f>SUMPRODUCT(--('Данные 1st'!$S$2:$S$317=$A59),--ISNUMBER('Данные 1st'!$LI$2:$LI$317))</f>
        <v>0</v>
      </c>
      <c r="GJ59">
        <f>SUMPRODUCT(--('Данные 1st'!$S$2:$S$317=$A59),--ISNUMBER('Данные 1st'!$LJ$2:$LJ$317))</f>
        <v>0</v>
      </c>
      <c r="GK59">
        <f>SUMPRODUCT(--('Данные 1st'!$S$2:$S$317=$A59),--ISNUMBER('Данные 1st'!$LK$2:$LK$317))</f>
        <v>2</v>
      </c>
      <c r="GL59">
        <f>SUMPRODUCT(--('Данные 1st'!$S$2:$S$317=$A59),--ISNUMBER('Данные 1st'!$LV$2:$LV$317))</f>
        <v>0</v>
      </c>
      <c r="GM59">
        <f>SUMPRODUCT(--('Данные 1st'!$S$2:$S$317=$A59),--ISNUMBER('Данные 1st'!$LW$2:$LW$317))</f>
        <v>0</v>
      </c>
      <c r="GN59">
        <f>SUMPRODUCT(--('Данные 1st'!$S$2:$S$317=$A59),--ISNUMBER('Данные 1st'!$LX$2:$LX$317))</f>
        <v>0</v>
      </c>
      <c r="GO59">
        <f>SUMPRODUCT(--('Данные 1st'!$S$2:$S$317=$A59),--ISNUMBER('Данные 1st'!$LY$2:$LY$317))</f>
        <v>0</v>
      </c>
      <c r="GP59">
        <f>SUMPRODUCT(--('Данные 1st'!$S$2:$S$317=$A59),--ISNUMBER('Данные 1st'!$LZ$2:$LZ$317))</f>
        <v>0</v>
      </c>
      <c r="GQ59">
        <f>SUMPRODUCT(--('Данные 1st'!$S$2:$S$317=$A59),--ISNUMBER('Данные 1st'!$PG$2:$PG$317))</f>
        <v>2</v>
      </c>
      <c r="GR59">
        <f>SUMPRODUCT(--('Данные 1st'!$S$2:$S$317=$A59),--ISNUMBER('Данные 1st'!$PX$2:$PX$317))</f>
        <v>2</v>
      </c>
      <c r="GS59">
        <f>SUMPRODUCT(--('Данные 1st'!$S$2:$S$317=$A59),--ISNUMBER('Данные 1st'!$PY$2:$PY$317))</f>
        <v>2</v>
      </c>
      <c r="GT59">
        <f>SUMPRODUCT(--('Данные 1st'!$S$2:$S$317=$A59),--ISNUMBER('Данные 1st'!$QA$2:$QA$317))</f>
        <v>2</v>
      </c>
      <c r="GU59">
        <f>SUMPRODUCT(--('Данные 1st'!$S$2:$S$317=$A59),--ISNUMBER('Данные 1st'!$QB$2:$QB$317))</f>
        <v>2</v>
      </c>
      <c r="GV59">
        <f>SUMPRODUCT(--('Данные 1st'!$S$2:$S$317=$A59),--ISNUMBER('Данные 1st'!$QC$2:$QC$317))</f>
        <v>2</v>
      </c>
      <c r="GW59">
        <f>SUMPRODUCT(--('Данные 1st'!$S$2:$S$317=$A59),--ISNUMBER('Данные 1st'!$QD$2:$QD$317))</f>
        <v>2</v>
      </c>
      <c r="GX59">
        <f>SUMPRODUCT(--('Данные 1st'!$S$2:$S$317=$A59),--ISNUMBER('Данные 1st'!$QF$2:$QF$317))</f>
        <v>2</v>
      </c>
      <c r="GY59">
        <f>SUMPRODUCT(--('Данные 1st'!$S$2:$S$317=$A59),--ISNUMBER('Данные 1st'!$QG$2:$QG$317))</f>
        <v>2</v>
      </c>
      <c r="GZ59">
        <f>SUMPRODUCT(--('Данные 1st'!$S$2:$S$317=$A59),--ISNUMBER('Данные 1st'!$QH$2:$QH$317))</f>
        <v>2</v>
      </c>
      <c r="HA59">
        <f>SUMPRODUCT(--('Данные 1st'!$S$2:$S$317=$A59),--ISNUMBER('Данные 1st'!$QI$2:$QI$317))</f>
        <v>2</v>
      </c>
      <c r="HB59">
        <f>SUMPRODUCT(--('Данные 1st'!$S$2:$S$317=$A59),--ISNUMBER('Данные 1st'!$QK$2:$QK$317))</f>
        <v>2</v>
      </c>
      <c r="HC59">
        <f>SUMPRODUCT(--('Данные 1st'!$S$2:$S$317=$A59),--ISNUMBER('Данные 1st'!$QL$2:$QL$317))</f>
        <v>2</v>
      </c>
      <c r="HD59">
        <f>SUMPRODUCT(--('Данные 1st'!$S$2:$S$317=$A59),--ISNUMBER('Данные 1st'!$QM$2:$QM$317))</f>
        <v>2</v>
      </c>
      <c r="HE59">
        <f>SUMPRODUCT(--('Данные 1st'!$S$2:$S$317=$A59),--ISNUMBER('Данные 1st'!$QN$2:$QN$317))</f>
        <v>2</v>
      </c>
      <c r="HF59">
        <f>SUMPRODUCT(--('Данные 1st'!$S$2:$S$317=$A59),--ISNUMBER('Данные 1st'!$QP$2:$QP$317))</f>
        <v>2</v>
      </c>
      <c r="HG59">
        <f>SUMPRODUCT(--('Данные 1st'!$S$2:$S$317=$A59),--ISNUMBER('Данные 1st'!$QQ$2:$QQ$317))</f>
        <v>2</v>
      </c>
      <c r="HH59">
        <f>SUMPRODUCT(--('Данные 1st'!$S$2:$S$317=$A59),--ISNUMBER('Данные 1st'!$QR$2:$QR$317))</f>
        <v>1</v>
      </c>
      <c r="HI59">
        <f>SUMPRODUCT(--('Данные 1st'!$S$2:$S$317=$A59),--ISNUMBER('Данные 1st'!$QS$2:$QS$317))</f>
        <v>1</v>
      </c>
      <c r="HJ59">
        <f>SUMPRODUCT(--('Данные 1st'!$S$2:$S$317=$A59),--ISNUMBER('Данные 1st'!$QU$2:$QU$317))</f>
        <v>1</v>
      </c>
      <c r="HK59">
        <f>SUMPRODUCT(--('Данные 1st'!$S$2:$S$317=$A59),--ISNUMBER('Данные 1st'!$QV$2:$QV$317))</f>
        <v>1</v>
      </c>
      <c r="HL59">
        <f>SUMPRODUCT(--('Данные 1st'!$S$2:$S$317=$A59),--ISNUMBER('Данные 1st'!$QW$2:$QW$317))</f>
        <v>2</v>
      </c>
      <c r="HM59">
        <f>SUMPRODUCT(--('Данные 1st'!$S$2:$S$317=$A59),--ISNUMBER('Данные 1st'!$QX$2:$QX$317))</f>
        <v>2</v>
      </c>
      <c r="HN59">
        <f>SUMPRODUCT(--('Данные 1st'!$S$2:$S$317=$A59),--ISNUMBER('Данные 1st'!$QZ$2:$QZ$317))</f>
        <v>2</v>
      </c>
      <c r="HO59">
        <f>SUMPRODUCT(--('Данные 1st'!$S$2:$S$317=$A59),--ISNUMBER('Данные 1st'!$RA$2:$RA$317))</f>
        <v>2</v>
      </c>
      <c r="HP59">
        <f>SUMPRODUCT(--('Данные 1st'!$S$2:$S$317=$A59),--ISNUMBER('Данные 1st'!$RB$2:$RB$317))</f>
        <v>2</v>
      </c>
      <c r="HQ59">
        <f>SUMPRODUCT(--('Данные 1st'!$S$2:$S$317=$A59),--ISNUMBER('Данные 1st'!$RD$2:$RD$317))</f>
        <v>0</v>
      </c>
      <c r="HR59">
        <f>SUMPRODUCT(--('Данные 1st'!$S$2:$S$317=$A59),--ISNUMBER('Данные 1st'!$RE$2:$RE$317))</f>
        <v>2</v>
      </c>
      <c r="HS59">
        <f>SUMPRODUCT(--('Данные 1st'!$S$2:$S$317=$A59),--ISNUMBER('Данные 1st'!$RF$2:$RF$317))</f>
        <v>2</v>
      </c>
      <c r="HT59">
        <f>SUMPRODUCT(--('Данные 1st'!$S$2:$S$317=$A59),--ISNUMBER('Данные 1st'!$RG$2:$RG$317))</f>
        <v>0</v>
      </c>
      <c r="HU59">
        <f>SUMPRODUCT(--('Данные 1st'!$S$2:$S$317=$A59),--ISNUMBER('Данные 1st'!$RH$2:$RH$317))</f>
        <v>1</v>
      </c>
      <c r="HV59">
        <f>SUMPRODUCT(--('Данные 1st'!$S$2:$S$317=$A59),--ISNUMBER('Данные 1st'!$RI$2:$RI$317))</f>
        <v>0</v>
      </c>
      <c r="HW59">
        <f>SUMPRODUCT(--('Данные 1st'!$S$2:$S$317=$A59),--ISNUMBER('Данные 1st'!$RJ$2:$RJ$317))</f>
        <v>2</v>
      </c>
      <c r="HX59">
        <f>SUMPRODUCT(--('Данные 1st'!$S$2:$S$317=$A59),--ISNUMBER('Данные 1st'!$RK$2:$RK$317))</f>
        <v>2</v>
      </c>
      <c r="HY59">
        <f>SUMPRODUCT(--('Данные 1st'!$S$2:$S$317=$A59),--ISNUMBER('Данные 1st'!$RL$2:$RL$317))</f>
        <v>2</v>
      </c>
      <c r="HZ59">
        <f>SUMPRODUCT(--('Данные 1st'!$S$2:$S$317=$A59),--ISNUMBER('Данные 1st'!$RM$2:$RM$317))</f>
        <v>1</v>
      </c>
      <c r="IA59">
        <f>SUMPRODUCT(--('Данные 1st'!$S$2:$S$317=$A59),--ISNUMBER('Данные 1st'!$RN$2:$RN$317))</f>
        <v>0</v>
      </c>
      <c r="IB59">
        <f>SUMPRODUCT(--('Данные 1st'!$S$2:$S$317=$A59),--ISNUMBER('Данные 1st'!$RO$2:$RO$317))</f>
        <v>2</v>
      </c>
      <c r="IC59">
        <f>SUMPRODUCT(--('Данные 1st'!$S$2:$S$317=$A59),--ISNUMBER('Данные 1st'!$RP$2:$RP$317))</f>
        <v>2</v>
      </c>
      <c r="ID59">
        <f>SUMPRODUCT(--('Данные 1st'!$S$2:$S$317=$A59),--ISNUMBER('Данные 1st'!$RQ$2:$RQ$317))</f>
        <v>2</v>
      </c>
      <c r="IE59">
        <f>SUMPRODUCT(--('Данные 1st'!$S$2:$S$317=$A59),--ISNUMBER('Данные 1st'!$RR$2:$RR$317))</f>
        <v>1</v>
      </c>
      <c r="IF59">
        <f>SUMPRODUCT(--('Данные 1st'!$S$2:$S$317=$A59),--ISNUMBER('Данные 1st'!$RS$2:$RS$317))</f>
        <v>0</v>
      </c>
      <c r="IG59">
        <f>SUMPRODUCT(--('Данные 1st'!$S$2:$S$317=$A59),--ISNUMBER('Данные 1st'!$RT$2:$RT$317))</f>
        <v>2</v>
      </c>
      <c r="IH59">
        <f>SUMPRODUCT(--('Данные 1st'!$S$2:$S$317=$A59),--ISNUMBER('Данные 1st'!$RU$2:$RU$317))</f>
        <v>2</v>
      </c>
      <c r="II59">
        <f>SUMPRODUCT(--('Данные 1st'!$S$2:$S$317=$A59),--ISNUMBER('Данные 1st'!$RX$2:$RX$317))</f>
        <v>2</v>
      </c>
      <c r="IJ59">
        <f>SUMPRODUCT(--('Данные 1st'!$S$2:$S$317=$A59),--ISNUMBER('Данные 1st'!$RY$2:$RY$317))</f>
        <v>2</v>
      </c>
      <c r="IK59">
        <f>SUMPRODUCT(--('Данные 1st'!$S$2:$S$317=$A59),--ISNUMBER('Данные 1st'!$SA$2:$SA$317))</f>
        <v>2</v>
      </c>
      <c r="IL59">
        <f>SUMPRODUCT(--('Данные 1st'!$S$2:$S$317=$A59),--ISNUMBER('Данные 1st'!$SD$2:$SD$317))</f>
        <v>2</v>
      </c>
      <c r="IM59">
        <f>SUMPRODUCT(--('Данные 1st'!$S$2:$S$317=$A59),--ISNUMBER('Данные 1st'!$SG$2:$SG$317))</f>
        <v>1</v>
      </c>
      <c r="IN59">
        <f>SUMPRODUCT(--('Данные 1st'!$S$2:$S$317=$A59),--ISNUMBER('Данные 1st'!$SH$2:$SH$317))</f>
        <v>2</v>
      </c>
      <c r="IO59">
        <f>SUMPRODUCT(--('Данные 1st'!$S$2:$S$317=$A59),--ISNUMBER('Данные 1st'!$SI$2:$SI$317))</f>
        <v>2</v>
      </c>
      <c r="IP59">
        <f>SUMPRODUCT(--('Данные 1st'!$S$2:$S$317=$A59),--ISNUMBER('Данные 1st'!$SJ$2:$SJ$317))</f>
        <v>2</v>
      </c>
      <c r="IQ59">
        <f>SUMPRODUCT(--('Данные 1st'!$S$2:$S$317=$A59),--ISNUMBER('Данные 1st'!$SK$2:$SK$317))</f>
        <v>2</v>
      </c>
      <c r="IR59">
        <f>SUMPRODUCT(--('Данные 1st'!$S$2:$S$317=$A59),--ISNUMBER('Данные 1st'!$SL$2:$SL$317))</f>
        <v>2</v>
      </c>
      <c r="IS59">
        <f>SUMPRODUCT(--('Данные 1st'!$S$2:$S$317=$A59),--ISNUMBER('Данные 1st'!$SM$2:$SM$317))</f>
        <v>2</v>
      </c>
      <c r="IT59">
        <f>SUMPRODUCT(--('Данные 1st'!$S$2:$S$317=$A59),--ISNUMBER('Данные 1st'!$SN$2:$SN$317))</f>
        <v>2</v>
      </c>
      <c r="IU59">
        <f>SUMPRODUCT(--('Данные 1st'!$S$2:$S$317=$A59),--ISNUMBER('Данные 1st'!$SO$2:$SO$317))</f>
        <v>2</v>
      </c>
      <c r="IV59">
        <f>SUMPRODUCT(--('Данные 1st'!$S$2:$S$317=$A59),--ISNUMBER('Данные 1st'!$SP$2:$SP$317))</f>
        <v>2</v>
      </c>
      <c r="IW59">
        <f>SUMPRODUCT(--('Данные 1st'!$S$2:$S$317=$A59),--ISNUMBER('Данные 1st'!$SQ$2:$SQ$317))</f>
        <v>2</v>
      </c>
      <c r="IX59">
        <f>SUMPRODUCT(--('Данные 1st'!$S$2:$S$317=$A59),--ISNUMBER('Данные 1st'!$SR$2:$SR$317))</f>
        <v>2</v>
      </c>
      <c r="IY59">
        <f>SUMPRODUCT(--('Данные 1st'!$S$2:$S$317=$A59),--ISNUMBER('Данные 1st'!$SS$2:$SS$317))</f>
        <v>2</v>
      </c>
      <c r="IZ59">
        <f>SUMPRODUCT(--('Данные 1st'!$S$2:$S$317=$A59),--ISNUMBER('Данные 1st'!$ST$2:$ST$317))</f>
        <v>2</v>
      </c>
      <c r="JA59">
        <f>SUMPRODUCT(--('Данные 1st'!$S$2:$S$317=$A59),--ISNUMBER('Данные 1st'!$SU$2:$SU$317))</f>
        <v>2</v>
      </c>
      <c r="JB59">
        <f>SUMPRODUCT(--('Данные 1st'!$S$2:$S$317=$A59),--ISNUMBER('Данные 1st'!$SV$2:$SV$317))</f>
        <v>2</v>
      </c>
      <c r="JC59">
        <f>SUMPRODUCT(--('Данные 1st'!$S$2:$S$317=$A59),--ISNUMBER('Данные 1st'!$SW$2:$SW$317))</f>
        <v>2</v>
      </c>
      <c r="JD59">
        <f>SUMPRODUCT(--('Данные 1st'!$S$2:$S$317=$A59),--ISNUMBER('Данные 1st'!$SX$2:$SX$317))</f>
        <v>2</v>
      </c>
      <c r="JE59">
        <f>SUMPRODUCT(--('Данные 1st'!$S$2:$S$317=$A59),--ISNUMBER('Данные 1st'!$SY$2:$SY$317))</f>
        <v>2</v>
      </c>
      <c r="JF59">
        <f>SUMPRODUCT(--('Данные 1st'!$S$2:$S$317=$A59),--ISNUMBER('Данные 1st'!$SZ$2:$SZ$317))</f>
        <v>1</v>
      </c>
      <c r="JG59">
        <f>SUMPRODUCT(--('Данные 1st'!$S$2:$S$317=$A59),--ISNUMBER('Данные 1st'!$TA$2:$TA$317))</f>
        <v>0</v>
      </c>
      <c r="JH59">
        <f>SUMPRODUCT(--('Данные 1st'!$S$2:$S$317=$A59),--ISNUMBER('Данные 1st'!$TB$2:$TB$317))</f>
        <v>2</v>
      </c>
      <c r="JI59">
        <f>SUMPRODUCT(--('Данные 1st'!$S$2:$S$317=$A59),--ISNUMBER('Данные 1st'!$TC$2:$TC$317))</f>
        <v>2</v>
      </c>
      <c r="JJ59">
        <f>SUMPRODUCT(--('Данные 1st'!$S$2:$S$317=$A59),--ISNUMBER('Данные 1st'!$TD$2:$TD$317))</f>
        <v>2</v>
      </c>
      <c r="JK59">
        <f>SUMPRODUCT(--('Данные 1st'!$S$2:$S$317=$A59),--ISNUMBER('Данные 1st'!$TN$2:$TN$317))</f>
        <v>2</v>
      </c>
      <c r="JQ59">
        <f>SUMPRODUCT(--('Данные 2st'!$Q$2:$Q$317=$A59),--ISNUMBER('Данные 2st'!$AC$2:$AC$317))</f>
        <v>2</v>
      </c>
      <c r="JR59">
        <f>SUMPRODUCT(--('Данные 2st'!$Q$2:$Q$317=$A59),--ISNUMBER('Данные 2st'!$AF$2:$AF$317))</f>
        <v>2</v>
      </c>
      <c r="JS59">
        <f>SUMPRODUCT(--('Данные 2st'!$Q$2:$Q$317=$A59),--ISNUMBER('Данные 2st'!$AW$2:$AW$317))</f>
        <v>2</v>
      </c>
      <c r="JT59">
        <f>SUMPRODUCT(--('Данные 2st'!$Q$2:$Q$317=$A59),--ISNUMBER('Данные 2st'!$AX$2:$AX$317))</f>
        <v>2</v>
      </c>
      <c r="JU59">
        <f>SUMPRODUCT(--('Данные 2st'!$Q$2:$Q$317=$A59),--ISNUMBER('Данные 2st'!$AY$2:$AY$317))</f>
        <v>2</v>
      </c>
      <c r="JV59">
        <f>SUMPRODUCT(--('Данные 2st'!$Q$2:$Q$317=$A59),--ISNUMBER('Данные 2st'!$AZ$2:$AZ$317))</f>
        <v>2</v>
      </c>
      <c r="JW59">
        <f>SUMPRODUCT(--('Данные 2st'!$Q$2:$Q$317=$A59),--ISNUMBER('Данные 2st'!$BA$2:$BA$317))</f>
        <v>1</v>
      </c>
      <c r="JX59">
        <f>SUMPRODUCT(--('Данные 2st'!$Q$2:$Q$317=$A59),--ISNUMBER('Данные 2st'!$BB$2:$BB$317))</f>
        <v>1</v>
      </c>
      <c r="JY59">
        <f>SUMPRODUCT(--('Данные 2st'!$Q$2:$Q$317=$A59),--ISNUMBER('Данные 2st'!$BC$2:$BC$317))</f>
        <v>1</v>
      </c>
      <c r="JZ59">
        <f>SUMPRODUCT(--('Данные 2st'!$Q$2:$Q$317=$A59),--ISNUMBER('Данные 2st'!$BH$2:$BH$317))</f>
        <v>2</v>
      </c>
      <c r="KA59">
        <f>SUMPRODUCT(--('Данные 2st'!$Q$2:$Q$317=$A59),--ISNUMBER('Данные 2st'!$BI$2:$BI$317))</f>
        <v>2</v>
      </c>
      <c r="KB59">
        <f>SUMPRODUCT(--('Данные 2st'!$Q$2:$Q$317=$A59),--ISNUMBER('Данные 2st'!$BJ$2:$BJ$317))</f>
        <v>2</v>
      </c>
      <c r="KC59">
        <f>SUMPRODUCT(--('Данные 2st'!$Q$2:$Q$317=$A59),--ISNUMBER('Данные 2st'!$BK$2:$BK$317))</f>
        <v>2</v>
      </c>
      <c r="KD59">
        <f>SUMPRODUCT(--('Данные 2st'!$Q$2:$Q$317=$A59),--ISNUMBER('Данные 2st'!$BL$2:$BL$317))</f>
        <v>2</v>
      </c>
      <c r="KE59">
        <f>SUMPRODUCT(--('Данные 2st'!$Q$2:$Q$317=$A59),--ISNUMBER('Данные 2st'!$BM$2:$BM$317))</f>
        <v>2</v>
      </c>
      <c r="KF59">
        <f>SUMPRODUCT(--('Данные 2st'!$Q$2:$Q$317=$A59),--ISNUMBER('Данные 2st'!$BN$2:$BN$317))</f>
        <v>2</v>
      </c>
      <c r="KG59">
        <f>SUMPRODUCT(--('Данные 2st'!$Q$2:$Q$317=$A59),--ISNUMBER('Данные 2st'!$BO$2:$BO$317))</f>
        <v>1</v>
      </c>
      <c r="KH59">
        <f>SUMPRODUCT(--('Данные 2st'!$Q$2:$Q$317=$A59),--ISNUMBER('Данные 2st'!$BP$2:$BP$317))</f>
        <v>2</v>
      </c>
      <c r="KI59">
        <f>SUMPRODUCT(--('Данные 2st'!$Q$2:$Q$317=$A59),--ISNUMBER('Данные 2st'!$BR$2:$BR$317))</f>
        <v>2</v>
      </c>
      <c r="KJ59">
        <f>SUMPRODUCT(--('Данные 2st'!$Q$2:$Q$317=$A59),--ISNUMBER('Данные 2st'!$BS$2:$BS$317))</f>
        <v>2</v>
      </c>
      <c r="KK59">
        <f>SUMPRODUCT(--('Данные 2st'!$Q$2:$Q$317=$A59),--ISNUMBER('Данные 2st'!$BT$2:$BT$317))</f>
        <v>2</v>
      </c>
      <c r="KL59">
        <f>SUMPRODUCT(--('Данные 2st'!$Q$2:$Q$317=$A59),--ISNUMBER('Данные 2st'!$CV$2:$CV$317))</f>
        <v>2</v>
      </c>
      <c r="KM59">
        <f>SUMPRODUCT(--('Данные 2st'!$Q$2:$Q$317=$A59),--ISNUMBER('Данные 2st'!$CW$2:$CW$317))</f>
        <v>2</v>
      </c>
      <c r="KN59">
        <f>SUMPRODUCT(--('Данные 2st'!$Q$2:$Q$317=$A59),--ISNUMBER('Данные 2st'!$CX$2:$CX$317))</f>
        <v>2</v>
      </c>
      <c r="KO59">
        <f>SUMPRODUCT(--('Данные 2st'!$Q$2:$Q$317=$A59),--ISNUMBER('Данные 2st'!$CY$2:$CY$317))</f>
        <v>2</v>
      </c>
      <c r="KP59">
        <f>SUMPRODUCT(--('Данные 2st'!$Q$2:$Q$317=$A59),--ISNUMBER('Данные 2st'!$CZ$2:$CZ$317))</f>
        <v>2</v>
      </c>
      <c r="KQ59">
        <f>SUMPRODUCT(--('Данные 2st'!$Q$2:$Q$317=$A59),--ISNUMBER('Данные 2st'!$DA$2:$DA$317))</f>
        <v>2</v>
      </c>
      <c r="KR59">
        <f>SUMPRODUCT(--('Данные 2st'!$Q$2:$Q$317=$A59),--ISNUMBER('Данные 2st'!$DB$2:$DB$317))</f>
        <v>2</v>
      </c>
      <c r="KS59">
        <f>SUMPRODUCT(--('Данные 2st'!$Q$2:$Q$317=$A59),--ISNUMBER('Данные 2st'!$DC$2:$DC$317))</f>
        <v>2</v>
      </c>
      <c r="KT59">
        <f>SUMPRODUCT(--('Данные 2st'!$Q$2:$Q$317=$A59),--ISNUMBER('Данные 2st'!$DD$2:$DD$317))</f>
        <v>2</v>
      </c>
      <c r="KU59">
        <f>SUMPRODUCT(--('Данные 2st'!$Q$2:$Q$317=$A59),--ISNUMBER('Данные 2st'!$DE$2:$DE$317))</f>
        <v>2</v>
      </c>
      <c r="KV59">
        <f>SUMPRODUCT(--('Данные 2st'!$Q$2:$Q$317=$A59),--ISNUMBER('Данные 2st'!$DF$2:$DF$317))</f>
        <v>2</v>
      </c>
      <c r="KW59">
        <f>SUMPRODUCT(--('Данные 2st'!$Q$2:$Q$317=$A59),--ISNUMBER('Данные 2st'!$DG$2:$DG$317))</f>
        <v>2</v>
      </c>
      <c r="KX59">
        <f>SUMPRODUCT(--('Данные 2st'!$Q$2:$Q$317=$A59),--ISNUMBER('Данные 2st'!$DH$2:$DH$317))</f>
        <v>2</v>
      </c>
      <c r="KY59">
        <f>SUMPRODUCT(--('Данные 2st'!$Q$2:$Q$317=$A59),--ISNUMBER('Данные 2st'!$DI$2:$DI$317))</f>
        <v>0</v>
      </c>
      <c r="KZ59">
        <f>SUMPRODUCT(--('Данные 2st'!$Q$2:$Q$317=$A59),--ISNUMBER('Данные 2st'!$DK$2:$DK$317))</f>
        <v>2</v>
      </c>
      <c r="LA59">
        <f>SUMPRODUCT(--('Данные 2st'!$Q$2:$Q$317=$A59),--ISNUMBER('Данные 2st'!$DM$2:$DM$317))</f>
        <v>2</v>
      </c>
      <c r="LB59">
        <f>SUMPRODUCT(--('Данные 2st'!$Q$2:$Q$317=$A59),--ISNUMBER('Данные 2st'!$DN$2:$DN$317))</f>
        <v>2</v>
      </c>
      <c r="LC59">
        <f>SUMPRODUCT(--('Данные 2st'!$Q$2:$Q$317=$A59),--ISNUMBER('Данные 2st'!$DO$2:$DO$317))</f>
        <v>2</v>
      </c>
      <c r="LD59">
        <f>SUMPRODUCT(--('Данные 2st'!$Q$2:$Q$317=$A59),--ISNUMBER('Данные 2st'!$DP$2:$DP$317))</f>
        <v>2</v>
      </c>
      <c r="LE59">
        <f>SUMPRODUCT(--('Данные 2st'!$Q$2:$Q$317=$A59),--ISNUMBER('Данные 2st'!$DQ$2:$DQ$317))</f>
        <v>2</v>
      </c>
      <c r="LF59">
        <f>SUMPRODUCT(--('Данные 2st'!$Q$2:$Q$317=$A59),--ISNUMBER('Данные 2st'!$DS$2:$DS$317))</f>
        <v>2</v>
      </c>
      <c r="LG59">
        <f>SUMPRODUCT(--('Данные 2st'!$Q$2:$Q$317=$A59),--ISNUMBER('Данные 2st'!$DU$2:$DU$317))</f>
        <v>2</v>
      </c>
      <c r="LH59">
        <f>SUMPRODUCT(--('Данные 2st'!$Q$2:$Q$317=$A59),--ISNUMBER('Данные 2st'!$DV$2:$DV$317))</f>
        <v>2</v>
      </c>
      <c r="LI59">
        <f>SUMPRODUCT(--('Данные 2st'!$Q$2:$Q$317=$A59),--ISNUMBER('Данные 2st'!$DW$2:$DW$317))</f>
        <v>2</v>
      </c>
      <c r="LJ59">
        <f>SUMPRODUCT(--('Данные 2st'!$Q$2:$Q$317=$A59),--ISNUMBER('Данные 2st'!$DX$2:$DX$317))</f>
        <v>2</v>
      </c>
      <c r="LK59">
        <f>SUMPRODUCT(--('Данные 2st'!$Q$2:$Q$317=$A59),--ISNUMBER('Данные 2st'!$DY$2:$DY$317))</f>
        <v>2</v>
      </c>
      <c r="LL59">
        <f>SUMPRODUCT(--('Данные 2st'!$Q$2:$Q$317=$A59),--ISNUMBER('Данные 2st'!$EA$2:$EA$317))</f>
        <v>2</v>
      </c>
      <c r="LM59">
        <f>SUMPRODUCT(--('Данные 2st'!$Q$2:$Q$317=$A59),--ISNUMBER('Данные 2st'!$EC$2:$EC$317))</f>
        <v>2</v>
      </c>
      <c r="LN59">
        <f>SUMPRODUCT(--('Данные 2st'!$Q$2:$Q$317=$A59),--ISNUMBER('Данные 2st'!$ED$2:$ED$317))</f>
        <v>2</v>
      </c>
      <c r="LO59">
        <f>SUMPRODUCT(--('Данные 2st'!$Q$2:$Q$317=$A59),--ISNUMBER('Данные 2st'!$EE$2:$EE$317))</f>
        <v>2</v>
      </c>
      <c r="LP59">
        <f>SUMPRODUCT(--('Данные 2st'!$Q$2:$Q$317=$A59),--ISNUMBER('Данные 2st'!$EG$2:$EG$317))</f>
        <v>2</v>
      </c>
      <c r="LQ59">
        <f>SUMPRODUCT(--('Данные 2st'!$Q$2:$Q$317=$A59),--ISNUMBER('Данные 2st'!$EI$2:$EI$317))</f>
        <v>2</v>
      </c>
      <c r="LR59">
        <f>SUMPRODUCT(--('Данные 2st'!$Q$2:$Q$317=$A59),--ISNUMBER('Данные 2st'!$EJ$2:$EJ$317))</f>
        <v>0</v>
      </c>
      <c r="LS59">
        <f>SUMPRODUCT(--('Данные 2st'!$Q$2:$Q$317=$A59),--ISNUMBER('Данные 2st'!$EK$2:$EK$317))</f>
        <v>0</v>
      </c>
      <c r="LT59">
        <f>SUMPRODUCT(--('Данные 2st'!$Q$2:$Q$317=$A59),--ISNUMBER('Данные 2st'!$EM$2:$EM$317))</f>
        <v>2</v>
      </c>
      <c r="LU59">
        <f>SUMPRODUCT(--('Данные 2st'!$Q$2:$Q$317=$A59),--ISNUMBER('Данные 2st'!$EN$2:$EN$317))</f>
        <v>2</v>
      </c>
      <c r="LV59">
        <f>SUMPRODUCT(--('Данные 2st'!$Q$2:$Q$317=$A59),--ISNUMBER('Данные 2st'!$EO$2:$EO$317))</f>
        <v>2</v>
      </c>
      <c r="LW59">
        <f>SUMPRODUCT(--('Данные 2st'!$Q$2:$Q$317=$A59),--ISNUMBER('Данные 2st'!$EP$2:$EP$317))</f>
        <v>2</v>
      </c>
      <c r="LX59">
        <f>SUMPRODUCT(--('Данные 2st'!$Q$2:$Q$317=$A59),--ISNUMBER('Данные 2st'!$EQ$2:$EQ$317))</f>
        <v>2</v>
      </c>
      <c r="LY59">
        <f>SUMPRODUCT(--('Данные 2st'!$Q$2:$Q$317=$A59),--ISNUMBER('Данные 2st'!$ER$2:$ER$317))</f>
        <v>2</v>
      </c>
      <c r="LZ59">
        <f>SUMPRODUCT(--('Данные 2st'!$Q$2:$Q$317=$A59),--ISNUMBER('Данные 2st'!$ES$2:$ES$317))</f>
        <v>2</v>
      </c>
      <c r="MA59">
        <f>SUMPRODUCT(--('Данные 2st'!$Q$2:$Q$317=$A59),--ISNUMBER('Данные 2st'!$ET$2:$ET$317))</f>
        <v>2</v>
      </c>
      <c r="MB59">
        <f>SUMPRODUCT(--('Данные 2st'!$Q$2:$Q$317=$A59),--ISNUMBER('Данные 2st'!$EU$2:$EU$317))</f>
        <v>2</v>
      </c>
      <c r="MC59">
        <f>SUMPRODUCT(--('Данные 2st'!$Q$2:$Q$317=$A59),--ISNUMBER('Данные 2st'!$EV$2:$EV$317))</f>
        <v>2</v>
      </c>
      <c r="MD59">
        <f>SUMPRODUCT(--('Данные 2st'!$Q$2:$Q$317=$A59),--ISNUMBER('Данные 2st'!$EW$2:$EW$317))</f>
        <v>2</v>
      </c>
      <c r="ME59">
        <f>SUMPRODUCT(--('Данные 2st'!$Q$2:$Q$317=$A59),--ISNUMBER('Данные 2st'!$EY$2:$EY$317))</f>
        <v>2</v>
      </c>
      <c r="MF59">
        <f>SUMPRODUCT(--('Данные 2st'!$Q$2:$Q$317=$A59),--ISNUMBER('Данные 2st'!$FA$2:$FA$317))</f>
        <v>2</v>
      </c>
      <c r="MG59">
        <f>SUMPRODUCT(--('Данные 2st'!$Q$2:$Q$317=$A59),--ISNUMBER('Данные 2st'!$FB$2:$FB$317))</f>
        <v>2</v>
      </c>
      <c r="MH59">
        <f>SUMPRODUCT(--('Данные 2st'!$Q$2:$Q$317=$A59),--ISNUMBER('Данные 2st'!$FC$2:$FC$317))</f>
        <v>2</v>
      </c>
      <c r="MI59">
        <f>SUMPRODUCT(--('Данные 2st'!$Q$2:$Q$317=$A59),--ISNUMBER('Данные 2st'!$FD$2:$FD$317))</f>
        <v>2</v>
      </c>
      <c r="MJ59">
        <f>SUMPRODUCT(--('Данные 2st'!$Q$2:$Q$317=$A59),--ISNUMBER('Данные 2st'!$FE$2:$FE$317))</f>
        <v>2</v>
      </c>
      <c r="MK59">
        <f>SUMPRODUCT(--('Данные 2st'!$Q$2:$Q$317=$A59),--ISNUMBER('Данные 2st'!$FG$2:$FG$317))</f>
        <v>2</v>
      </c>
      <c r="ML59">
        <f>SUMPRODUCT(--('Данные 2st'!$Q$2:$Q$317=$A59),--ISNUMBER('Данные 2st'!$FI$2:$FI$317))</f>
        <v>2</v>
      </c>
      <c r="MM59">
        <f>SUMPRODUCT(--('Данные 2st'!$Q$2:$Q$317=$A59),--ISNUMBER('Данные 2st'!$FJ$2:$FJ$317))</f>
        <v>2</v>
      </c>
      <c r="MN59">
        <f>SUMPRODUCT(--('Данные 2st'!$Q$2:$Q$317=$A59),--ISNUMBER('Данные 2st'!$FK$2:$FK$317))</f>
        <v>2</v>
      </c>
      <c r="MO59">
        <f>SUMPRODUCT(--('Данные 2st'!$Q$2:$Q$317=$A59),--ISNUMBER('Данные 2st'!$FP$2:$FP$317))</f>
        <v>2</v>
      </c>
      <c r="MP59">
        <f>SUMPRODUCT(--('Данные 2st'!$Q$2:$Q$317=$A59),--ISNUMBER('Данные 2st'!$FQ$2:$FQ$317))</f>
        <v>2</v>
      </c>
      <c r="MQ59">
        <f>SUMPRODUCT(--('Данные 2st'!$Q$2:$Q$317=$A59),--ISNUMBER('Данные 2st'!$FS$2:$FS$317))</f>
        <v>2</v>
      </c>
      <c r="MR59">
        <f>SUMPRODUCT(--('Данные 2st'!$Q$2:$Q$317=$A59),--ISNUMBER('Данные 2st'!$FU$2:$FU$317))</f>
        <v>2</v>
      </c>
      <c r="MS59">
        <f>SUMPRODUCT(--('Данные 2st'!$Q$2:$Q$317=$A59),--ISNUMBER('Данные 2st'!$FV$2:$FV$317))</f>
        <v>2</v>
      </c>
      <c r="MT59">
        <f>SUMPRODUCT(--('Данные 2st'!$Q$2:$Q$317=$A59),--ISNUMBER('Данные 2st'!$FW$2:$FW$317))</f>
        <v>2</v>
      </c>
      <c r="MU59">
        <f>SUMPRODUCT(--('Данные 2st'!$Q$2:$Q$317=$A59),--ISNUMBER('Данные 2st'!$FY$2:$FY$317))</f>
        <v>2</v>
      </c>
      <c r="MV59">
        <f>SUMPRODUCT(--('Данные 2st'!$Q$2:$Q$317=$A59),--ISNUMBER('Данные 2st'!$GB$2:$GB$317))</f>
        <v>2</v>
      </c>
      <c r="MW59">
        <f>SUMPRODUCT(--('Данные 2st'!$Q$2:$Q$317=$A59),--ISNUMBER('Данные 2st'!$GC$2:$GC$317))</f>
        <v>2</v>
      </c>
      <c r="MX59">
        <f>SUMPRODUCT(--('Данные 2st'!$Q$2:$Q$317=$A59),--ISNUMBER('Данные 2st'!$GD$2:$GD$317))</f>
        <v>2</v>
      </c>
      <c r="MY59">
        <f>SUMPRODUCT(--('Данные 2st'!$Q$2:$Q$317=$A59),--ISNUMBER('Данные 2st'!$GN$2:$GN$317))</f>
        <v>0</v>
      </c>
      <c r="MZ59">
        <f>SUMPRODUCT(--('Данные 2st'!$Q$2:$Q$317=$A59),--ISNUMBER('Данные 2st'!$GQ$2:$GQ$317))</f>
        <v>2</v>
      </c>
      <c r="NA59">
        <f>SUMPRODUCT(--('Данные 2st'!$Q$2:$Q$317=$A59),--ISNUMBER('Данные 2st'!$GV$2:$GV$317))</f>
        <v>2</v>
      </c>
      <c r="NB59">
        <f>SUMPRODUCT(--('Данные 2st'!$Q$2:$Q$317=$A59),--ISNUMBER('Данные 2st'!$GW$2:$GW$317))</f>
        <v>2</v>
      </c>
      <c r="NC59">
        <f>SUMPRODUCT(--('Данные 2st'!$Q$2:$Q$317=$A59),--ISNUMBER('Данные 2st'!$GX$2:$GX$317))</f>
        <v>2</v>
      </c>
      <c r="ND59">
        <f>SUMPRODUCT(--('Данные 2st'!$Q$2:$Q$317=$A59),--ISNUMBER('Данные 2st'!$GY$2:$GY$317))</f>
        <v>2</v>
      </c>
      <c r="NE59">
        <f>SUMPRODUCT(--('Данные 2st'!$Q$2:$Q$317=$A59),--ISNUMBER('Данные 2st'!$GZ$2:$GZ$317))</f>
        <v>2</v>
      </c>
      <c r="NF59">
        <f>SUMPRODUCT(--('Данные 2st'!$Q$2:$Q$317=$A59),--ISNUMBER('Данные 2st'!$HA$2:$HA$317))</f>
        <v>2</v>
      </c>
      <c r="NG59">
        <f>SUMPRODUCT(--('Данные 2st'!$Q$2:$Q$317=$A59),--ISNUMBER('Данные 2st'!$HB$2:$HB$317))</f>
        <v>2</v>
      </c>
      <c r="NH59">
        <f>SUMPRODUCT(--('Данные 2st'!$Q$2:$Q$317=$A59),--ISNUMBER('Данные 2st'!$HC$2:$HC$317))</f>
        <v>2</v>
      </c>
      <c r="NI59">
        <f>SUMPRODUCT(--('Данные 2st'!$Q$2:$Q$317=$A59),--ISNUMBER('Данные 2st'!$HD$2:$HD$317))</f>
        <v>2</v>
      </c>
      <c r="NJ59">
        <f>SUMPRODUCT(--('Данные 2st'!$Q$2:$Q$317=$A59),--ISNUMBER('Данные 2st'!$HM$2:$HM$317))</f>
        <v>2</v>
      </c>
      <c r="NK59">
        <f>SUMPRODUCT(--('Данные 2st'!$Q$2:$Q$317=$A59),--ISNUMBER('Данные 2st'!$HR$2:$HR$317))</f>
        <v>2</v>
      </c>
      <c r="NL59">
        <f>SUMPRODUCT(--('Данные 2st'!$Q$2:$Q$317=$A59),--ISNUMBER('Данные 2st'!$HS$2:$HS$317))</f>
        <v>2</v>
      </c>
      <c r="NM59">
        <f>SUMPRODUCT(--('Данные 2st'!$Q$2:$Q$317=$A59),--ISNUMBER('Данные 2st'!$HT$2:$HT$317))</f>
        <v>2</v>
      </c>
      <c r="NN59">
        <f>SUMPRODUCT(--('Данные 2st'!$Q$2:$Q$317=$A59),--ISNUMBER('Данные 2st'!$HY$2:$HY$317))</f>
        <v>2</v>
      </c>
      <c r="NO59">
        <f>SUMPRODUCT(--('Данные 2st'!$Q$2:$Q$317=$A59),--ISNUMBER('Данные 2st'!$HZ$2:$HZ$317))</f>
        <v>2</v>
      </c>
      <c r="NP59">
        <f>SUMPRODUCT(--('Данные 2st'!$Q$2:$Q$317=$A59),--ISNUMBER('Данные 2st'!$IA$2:$IA$317))</f>
        <v>2</v>
      </c>
      <c r="NQ59">
        <f>SUMPRODUCT(--('Данные 2st'!$Q$2:$Q$317=$A59),--ISNUMBER('Данные 2st'!$IB$2:$IB$317))</f>
        <v>2</v>
      </c>
      <c r="NR59">
        <f>SUMPRODUCT(--('Данные 2st'!$Q$2:$Q$317=$A59),--ISNUMBER('Данные 2st'!$IC$2:$IC$317))</f>
        <v>0</v>
      </c>
      <c r="NS59">
        <f>SUMPRODUCT(--('Данные 2st'!$Q$2:$Q$317=$A59),--ISNUMBER('Данные 2st'!$ID$2:$ID$317))</f>
        <v>2</v>
      </c>
      <c r="NT59">
        <f>SUMPRODUCT(--('Данные 2st'!$Q$2:$Q$317=$A59),--ISNUMBER('Данные 2st'!$IE$2:$IE$317))</f>
        <v>2</v>
      </c>
      <c r="NU59">
        <f>SUMPRODUCT(--('Данные 2st'!$Q$2:$Q$317=$A59),--ISNUMBER('Данные 2st'!$IF$2:$IF$317))</f>
        <v>2</v>
      </c>
      <c r="NV59">
        <f>SUMPRODUCT(--('Данные 2st'!$Q$2:$Q$317=$A59),--ISNUMBER('Данные 2st'!$IG$2:$IG$317))</f>
        <v>2</v>
      </c>
      <c r="NW59">
        <f>SUMPRODUCT(--('Данные 2st'!$Q$2:$Q$317=$A59),--ISNUMBER('Данные 2st'!$IH$2:$IH$317))</f>
        <v>2</v>
      </c>
      <c r="NX59">
        <f>SUMPRODUCT(--('Данные 2st'!$Q$2:$Q$317=$A59),--ISNUMBER('Данные 2st'!$IJ$2:$IJ$317))</f>
        <v>2</v>
      </c>
      <c r="NY59">
        <f>SUMPRODUCT(--('Данные 2st'!$Q$2:$Q$317=$A59),--ISNUMBER('Данные 2st'!$IM$2:$IM$317))</f>
        <v>2</v>
      </c>
      <c r="NZ59">
        <f>SUMPRODUCT(--('Данные 2st'!$Q$2:$Q$317=$A59),--ISNUMBER('Данные 2st'!$IN$2:$IN$317))</f>
        <v>2</v>
      </c>
      <c r="OA59">
        <f>SUMPRODUCT(--('Данные 2st'!$Q$2:$Q$317=$A59),--ISNUMBER('Данные 2st'!$IO$2:$IO$317))</f>
        <v>2</v>
      </c>
      <c r="OB59">
        <f>SUMPRODUCT(--('Данные 2st'!$Q$2:$Q$317=$A59),--ISNUMBER('Данные 2st'!$IP$2:$IP$317))</f>
        <v>2</v>
      </c>
      <c r="OC59">
        <f>SUMPRODUCT(--('Данные 2st'!$Q$2:$Q$317=$A59),--ISNUMBER('Данные 2st'!$IQ$2:$IQ$317))</f>
        <v>2</v>
      </c>
      <c r="OD59">
        <f>SUMPRODUCT(--('Данные 2st'!$Q$2:$Q$317=$A59),--ISNUMBER('Данные 2st'!$IR$2:$IR$317))</f>
        <v>2</v>
      </c>
      <c r="OE59">
        <f>SUMPRODUCT(--('Данные 2st'!$Q$2:$Q$317=$A59),--ISNUMBER('Данные 2st'!$IT$2:$IT$317))</f>
        <v>2</v>
      </c>
      <c r="OF59">
        <f>SUMPRODUCT(--('Данные 2st'!$Q$2:$Q$317=$A59),--ISNUMBER('Данные 2st'!$IU$2:$IU$317))</f>
        <v>2</v>
      </c>
      <c r="OG59">
        <f>SUMPRODUCT(--('Данные 2st'!$Q$2:$Q$317=$A59),--ISNUMBER('Данные 2st'!$IV$2:$IV$317))</f>
        <v>2</v>
      </c>
      <c r="OH59">
        <f>SUMPRODUCT(--('Данные 2st'!$Q$2:$Q$317=$A59),--ISNUMBER('Данные 2st'!$IW$2:$IW$317))</f>
        <v>2</v>
      </c>
      <c r="OI59">
        <f>SUMPRODUCT(--('Данные 2st'!$Q$2:$Q$317=$A59),--ISNUMBER('Данные 2st'!$IX$2:$IX$317))</f>
        <v>2</v>
      </c>
      <c r="OJ59">
        <f>SUMPRODUCT(--('Данные 2st'!$Q$2:$Q$317=$A59),--ISNUMBER('Данные 2st'!$IY$2:$IY$317))</f>
        <v>2</v>
      </c>
      <c r="OK59">
        <f>SUMPRODUCT(--('Данные 2st'!$Q$2:$Q$317=$A59),--ISNUMBER('Данные 2st'!$IZ$2:$IZ$317))</f>
        <v>2</v>
      </c>
      <c r="OL59">
        <f>SUMPRODUCT(--('Данные 2st'!$Q$2:$Q$317=$A59),--ISNUMBER('Данные 2st'!$JA$2:$JA$317))</f>
        <v>2</v>
      </c>
      <c r="OM59">
        <f>SUMPRODUCT(--('Данные 2st'!$Q$2:$Q$317=$A59),--ISNUMBER('Данные 2st'!$JB$2:$JB$317))</f>
        <v>2</v>
      </c>
      <c r="ON59">
        <f>SUMPRODUCT(--('Данные 2st'!$Q$2:$Q$317=$A59),--ISNUMBER('Данные 2st'!$JC$2:$JC$317))</f>
        <v>2</v>
      </c>
      <c r="OO59">
        <f>SUMPRODUCT(--('Данные 2st'!$Q$2:$Q$317=$A59),--ISNUMBER('Данные 2st'!$JD$2:$JD$317))</f>
        <v>2</v>
      </c>
      <c r="OP59">
        <f>SUMPRODUCT(--('Данные 2st'!$Q$2:$Q$317=$A59),--ISNUMBER('Данные 2st'!$JE$2:$JE$317))</f>
        <v>2</v>
      </c>
      <c r="OQ59">
        <f>SUMPRODUCT(--('Данные 2st'!$Q$2:$Q$317=$A59),--ISNUMBER('Данные 2st'!$JF$2:$JF$317))</f>
        <v>2</v>
      </c>
      <c r="OR59">
        <f>SUMPRODUCT(--('Данные 2st'!$Q$2:$Q$317=$A59),--ISNUMBER('Данные 2st'!$JG$2:$JG$317))</f>
        <v>2</v>
      </c>
      <c r="OS59">
        <f>SUMPRODUCT(--('Данные 2st'!$Q$2:$Q$317=$A59),--ISNUMBER('Данные 2st'!$JH$2:$JH$317))</f>
        <v>2</v>
      </c>
      <c r="OT59">
        <f>SUMPRODUCT(--('Данные 2st'!$Q$2:$Q$317=$A59),--ISNUMBER('Данные 2st'!$JI$2:$JI$317))</f>
        <v>2</v>
      </c>
      <c r="OU59">
        <f>SUMPRODUCT(--('Данные 2st'!$Q$2:$Q$317=$A59),--ISNUMBER('Данные 2st'!$JJ$2:$JJ$317))</f>
        <v>2</v>
      </c>
      <c r="OV59">
        <f>SUMPRODUCT(--('Данные 2st'!$Q$2:$Q$317=$A59),--ISNUMBER('Данные 2st'!$JK$2:$JK$317))</f>
        <v>2</v>
      </c>
      <c r="OW59">
        <f>SUMPRODUCT(--('Данные 2st'!$Q$2:$Q$317=$A59),--ISNUMBER('Данные 2st'!$JL$2:$JL$317))</f>
        <v>2</v>
      </c>
      <c r="OX59">
        <f>SUMPRODUCT(--('Данные 2st'!$Q$2:$Q$317=$A59),--ISNUMBER('Данные 2st'!$JM$2:$JM$317))</f>
        <v>2</v>
      </c>
      <c r="OY59">
        <f>SUMPRODUCT(--('Данные 2st'!$Q$2:$Q$317=$A59),--ISNUMBER('Данные 2st'!$JP$2:$JP$317))</f>
        <v>2</v>
      </c>
      <c r="OZ59">
        <f>SUMPRODUCT(--('Данные 2st'!$Q$2:$Q$317=$A59),--ISNUMBER('Данные 2st'!$JQ$2:$JQ$317))</f>
        <v>2</v>
      </c>
      <c r="PA59">
        <f>SUMPRODUCT(--('Данные 2st'!$Q$2:$Q$317=$A59),--ISNUMBER('Данные 2st'!$JR$2:$JR$317))</f>
        <v>2</v>
      </c>
      <c r="PB59">
        <f>SUMPRODUCT(--('Данные 2st'!$Q$2:$Q$317=$A59),--ISNUMBER('Данные 2st'!$JS$2:$JS$317))</f>
        <v>2</v>
      </c>
      <c r="PC59">
        <f>SUMPRODUCT(--('Данные 2st'!$Q$2:$Q$317=$A59),--ISNUMBER('Данные 2st'!$JT$2:$JT$317))</f>
        <v>2</v>
      </c>
      <c r="PD59">
        <f>SUMPRODUCT(--('Данные 2st'!$Q$2:$Q$317=$A59),--ISNUMBER('Данные 2st'!$JU$2:$JU$317))</f>
        <v>2</v>
      </c>
      <c r="PE59">
        <f>SUMPRODUCT(--('Данные 2st'!$Q$2:$Q$317=$A59),--ISNUMBER('Данные 2st'!$JV$2:$JV$317))</f>
        <v>2</v>
      </c>
      <c r="PF59">
        <f>SUMPRODUCT(--('Данные 2st'!$Q$2:$Q$317=$A59),--ISNUMBER('Данные 2st'!$JW$2:$JW$317))</f>
        <v>2</v>
      </c>
      <c r="PG59">
        <f>SUMPRODUCT(--('Данные 2st'!$Q$2:$Q$317=$A59),--ISNUMBER('Данные 2st'!$KF$2:$KF$317))</f>
        <v>2</v>
      </c>
      <c r="PH59">
        <f>SUMPRODUCT(--('Данные 2st'!$Q$2:$Q$317=$A59),--ISNUMBER('Данные 2st'!$KG$2:$KG$317))</f>
        <v>2</v>
      </c>
      <c r="PI59">
        <f>SUMPRODUCT(--('Данные 2st'!$Q$2:$Q$317=$A59),--ISNUMBER('Данные 2st'!$KM$2:$KM$317))</f>
        <v>2</v>
      </c>
      <c r="PJ59">
        <f>SUMPRODUCT(--('Данные 2st'!$Q$2:$Q$317=$A59),--ISNUMBER('Данные 2st'!$KN$2:$KN$317))</f>
        <v>2</v>
      </c>
      <c r="PK59">
        <f>SUMPRODUCT(--('Данные 2st'!$Q$2:$Q$317=$A59),--ISNUMBER('Данные 2st'!$KO$2:$KO$317))</f>
        <v>2</v>
      </c>
      <c r="PL59">
        <f>SUMPRODUCT(--('Данные 2st'!$Q$2:$Q$317=$A59),--ISNUMBER('Данные 2st'!$KP$2:$KP$317))</f>
        <v>2</v>
      </c>
      <c r="PM59">
        <f>SUMPRODUCT(--('Данные 2st'!$Q$2:$Q$317=$A59),--ISNUMBER('Данные 2st'!$KQ$2:$KQ$317))</f>
        <v>2</v>
      </c>
      <c r="PN59">
        <f>SUMPRODUCT(--('Данные 2st'!$Q$2:$Q$317=$A59),--ISNUMBER('Данные 2st'!$KR$2:$KR$317))</f>
        <v>2</v>
      </c>
      <c r="PO59">
        <f>SUMPRODUCT(--('Данные 2st'!$Q$2:$Q$317=$A59),--ISNUMBER('Данные 2st'!$KS$2:$KS$317))</f>
        <v>2</v>
      </c>
      <c r="PP59">
        <f>SUMPRODUCT(--('Данные 2st'!$Q$2:$Q$317=$A59),--ISNUMBER('Данные 2st'!$KT$2:$KT$317))</f>
        <v>2</v>
      </c>
      <c r="PQ59">
        <f>SUMPRODUCT(--('Данные 2st'!$Q$2:$Q$317=$A59),--ISNUMBER('Данные 2st'!$KU$2:$KU$317))</f>
        <v>2</v>
      </c>
      <c r="PR59">
        <f>SUMPRODUCT(--('Данные 2st'!$Q$2:$Q$317=$A59),--ISNUMBER('Данные 2st'!$KV$2:$KV$317))</f>
        <v>2</v>
      </c>
      <c r="PS59">
        <f>SUMPRODUCT(--('Данные 2st'!$Q$2:$Q$317=$A59),--ISNUMBER('Данные 2st'!$KW$2:$KW$317))</f>
        <v>2</v>
      </c>
      <c r="PT59">
        <f>SUMPRODUCT(--('Данные 2st'!$Q$2:$Q$317=$A59),--ISNUMBER('Данные 2st'!$KX$2:$KX$317))</f>
        <v>2</v>
      </c>
      <c r="PU59">
        <f>SUMPRODUCT(--('Данные 2st'!$Q$2:$Q$317=$A59),--ISNUMBER('Данные 2st'!$KY$2:$KY$317))</f>
        <v>2</v>
      </c>
      <c r="PV59">
        <f>SUMPRODUCT(--('Данные 2st'!$Q$2:$Q$317=$A59),--ISNUMBER('Данные 2st'!$KZ$2:$KZ$317))</f>
        <v>2</v>
      </c>
      <c r="PW59">
        <f>SUMPRODUCT(--('Данные 2st'!$Q$2:$Q$317=$A59),--ISNUMBER('Данные 2st'!$LA$2:$LA$317))</f>
        <v>2</v>
      </c>
      <c r="PX59">
        <f>SUMPRODUCT(--('Данные 2st'!$Q$2:$Q$317=$A59),--ISNUMBER('Данные 2st'!$LB$2:$LB$317))</f>
        <v>2</v>
      </c>
      <c r="PY59">
        <f>SUMPRODUCT(--('Данные 2st'!$Q$2:$Q$317=$A59),--ISNUMBER('Данные 2st'!$LC$2:$LC$317))</f>
        <v>2</v>
      </c>
      <c r="PZ59">
        <f>SUMPRODUCT(--('Данные 2st'!$Q$2:$Q$317=$A59),--ISNUMBER('Данные 2st'!$LD$2:$LD$317))</f>
        <v>2</v>
      </c>
      <c r="QA59">
        <f>SUMPRODUCT(--('Данные 2st'!$Q$2:$Q$317=$A59),--ISNUMBER('Данные 2st'!$LE$2:$LE$317))</f>
        <v>2</v>
      </c>
      <c r="QB59">
        <f>SUMPRODUCT(--('Данные 2st'!$Q$2:$Q$317=$A59),--ISNUMBER('Данные 2st'!$LF$2:$LF$317))</f>
        <v>2</v>
      </c>
      <c r="QC59">
        <f>SUMPRODUCT(--('Данные 2st'!$Q$2:$Q$317=$A59),--ISNUMBER('Данные 2st'!$LG$2:$LG$317))</f>
        <v>2</v>
      </c>
      <c r="QD59">
        <f>SUMPRODUCT(--('Данные 2st'!$Q$2:$Q$317=$A59),--ISNUMBER('Данные 2st'!$LH$2:$LH$317))</f>
        <v>2</v>
      </c>
      <c r="QE59">
        <f>SUMPRODUCT(--('Данные 2st'!$Q$2:$Q$317=$A59),--ISNUMBER('Данные 2st'!$LJ$2:$LJ$317))</f>
        <v>2</v>
      </c>
      <c r="QF59">
        <f>SUMPRODUCT(--('Данные 2st'!$Q$2:$Q$317=$A59),--ISNUMBER('Данные 2st'!$LK$2:$LK$317))</f>
        <v>2</v>
      </c>
      <c r="QG59">
        <f>SUMPRODUCT(--('Данные 2st'!$Q$2:$Q$317=$A59),--ISNUMBER('Данные 2st'!$LL$2:$LL$317))</f>
        <v>2</v>
      </c>
      <c r="QH59">
        <f>SUMPRODUCT(--('Данные 2st'!$Q$2:$Q$317=$A59),--ISNUMBER('Данные 2st'!$LM$2:$LM$317))</f>
        <v>2</v>
      </c>
      <c r="QI59">
        <f>SUMPRODUCT(--('Данные 2st'!$Q$2:$Q$317=$A59),--ISNUMBER('Данные 2st'!$LN$2:$LN$317))</f>
        <v>2</v>
      </c>
      <c r="QJ59">
        <f>SUMPRODUCT(--('Данные 2st'!$Q$2:$Q$317=$A59),--ISNUMBER('Данные 2st'!$LO$2:$LO$317))</f>
        <v>2</v>
      </c>
      <c r="QK59">
        <f>SUMPRODUCT(--('Данные 2st'!$Q$2:$Q$317=$A59),--ISNUMBER('Данные 2st'!$LP$2:$LP$317))</f>
        <v>2</v>
      </c>
      <c r="QL59">
        <f>SUMPRODUCT(--('Данные 2st'!$Q$2:$Q$317=$A59),--ISNUMBER('Данные 2st'!$LQ$2:$LQ$317))</f>
        <v>2</v>
      </c>
      <c r="QM59">
        <f>SUMPRODUCT(--('Данные 2st'!$Q$2:$Q$317=$A59),--ISNUMBER('Данные 2st'!$LW$2:$LW$317))</f>
        <v>2</v>
      </c>
      <c r="QN59">
        <f>SUMPRODUCT(--('Данные 2st'!$Q$2:$Q$317=$A59),--ISNUMBER('Данные 2st'!$LX$2:$LX$317))</f>
        <v>2</v>
      </c>
      <c r="QO59">
        <f>SUMPRODUCT(--('Данные 2st'!$Q$2:$Q$317=$A59),--ISNUMBER('Данные 2st'!$LY$2:$LY$317))</f>
        <v>2</v>
      </c>
      <c r="QP59">
        <f>SUMPRODUCT(--('Данные 2st'!$Q$2:$Q$317=$A59),--ISNUMBER('Данные 2st'!$LZ$2:$LZ$317))</f>
        <v>2</v>
      </c>
      <c r="QQ59">
        <f>SUMPRODUCT(--('Данные 2st'!$Q$2:$Q$317=$A59),--ISNUMBER('Данные 2st'!$MB$2:$MB$317))</f>
        <v>2</v>
      </c>
      <c r="QR59">
        <f>SUMPRODUCT(--('Данные 2st'!$Q$2:$Q$317=$A59),--ISNUMBER('Данные 2st'!$MG$2:$MG$317))</f>
        <v>1</v>
      </c>
      <c r="QS59">
        <f>SUMPRODUCT(--('Данные 2st'!$Q$2:$Q$317=$A59),--ISNUMBER('Данные 2st'!$MH$2:$MH$317))</f>
        <v>1</v>
      </c>
      <c r="QT59">
        <f>SUMPRODUCT(--('Данные 2st'!$Q$2:$Q$317=$A59),--ISNUMBER('Данные 2st'!$MI$2:$MI$317))</f>
        <v>2</v>
      </c>
      <c r="QU59">
        <f>SUMPRODUCT(--('Данные 2st'!$Q$2:$Q$317=$A59),--ISNUMBER('Данные 2st'!$MJ$2:$MJ$317))</f>
        <v>2</v>
      </c>
      <c r="QV59">
        <f>SUMPRODUCT(--('Данные 2st'!$Q$2:$Q$317=$A59),--ISNUMBER('Данные 2st'!$MK$2:$MK$317))</f>
        <v>1</v>
      </c>
      <c r="QW59">
        <f>SUMPRODUCT(--('Данные 2st'!$Q$2:$Q$317=$A59),--ISNUMBER('Данные 2st'!$MM$2:$MM$317))</f>
        <v>2</v>
      </c>
      <c r="QX59">
        <f>SUMPRODUCT(--('Данные 2st'!$Q$2:$Q$317=$A59),--ISNUMBER('Данные 2st'!$MQ$2:$MQ$317))</f>
        <v>0</v>
      </c>
      <c r="QY59">
        <f>SUMPRODUCT(--('Данные 2st'!$Q$2:$Q$317=$A59),--ISNUMBER('Данные 2st'!$MR$2:$MR$317))</f>
        <v>0</v>
      </c>
      <c r="QZ59">
        <f>SUMPRODUCT(--('Данные 2st'!$Q$2:$Q$317=$A59),--ISNUMBER('Данные 2st'!$MS$2:$MS$317))</f>
        <v>0</v>
      </c>
      <c r="RA59">
        <f>SUMPRODUCT(--('Данные 2st'!$Q$2:$Q$317=$A59),--ISNUMBER('Данные 2st'!$MT$2:$MT$317))</f>
        <v>0</v>
      </c>
      <c r="RB59">
        <f>SUMPRODUCT(--('Данные 2st'!$Q$2:$Q$317=$A59),--ISNUMBER('Данные 2st'!$MU$2:$MU$317))</f>
        <v>0</v>
      </c>
      <c r="RC59">
        <f>SUMPRODUCT(--('Данные 2st'!$Q$2:$Q$317=$A59),--ISNUMBER('Данные 2st'!$MV$2:$MV$317))</f>
        <v>0</v>
      </c>
      <c r="RD59">
        <f>SUMPRODUCT(--('Данные 2st'!$Q$2:$Q$317=$A59),--ISNUMBER('Данные 2st'!$MW$2:$MW$317))</f>
        <v>0</v>
      </c>
      <c r="RE59">
        <f>SUMPRODUCT(--('Данные 2st'!$Q$2:$Q$317=$A59),--ISNUMBER('Данные 2st'!$MX$2:$MX$317))</f>
        <v>0</v>
      </c>
      <c r="RF59">
        <f>SUMPRODUCT(--('Данные 2st'!$Q$2:$Q$317=$A59),--ISNUMBER('Данные 2st'!$MY$2:$MY$317))</f>
        <v>0</v>
      </c>
      <c r="RG59">
        <f>SUMPRODUCT(--('Данные 2st'!$Q$2:$Q$317=$A59),--ISNUMBER('Данные 2st'!$MZ$2:$MZ$317))</f>
        <v>0</v>
      </c>
      <c r="RH59">
        <f>SUMPRODUCT(--('Данные 2st'!$Q$2:$Q$317=$A59),--ISNUMBER('Данные 2st'!$NA$2:$NA$317))</f>
        <v>0</v>
      </c>
      <c r="RI59">
        <f>SUMPRODUCT(--('Данные 2st'!$Q$2:$Q$317=$A59),--ISNUMBER('Данные 2st'!$NB$2:$NB$317))</f>
        <v>0</v>
      </c>
      <c r="RJ59">
        <f>SUMPRODUCT(--('Данные 2st'!$Q$2:$Q$317=$A59),--ISNUMBER('Данные 2st'!$NC$2:$NC$317))</f>
        <v>0</v>
      </c>
      <c r="RK59">
        <f>SUMPRODUCT(--('Данные 2st'!$Q$2:$Q$317=$A59),--ISNUMBER('Данные 2st'!$ND$2:$ND$317))</f>
        <v>0</v>
      </c>
      <c r="RL59">
        <f>SUMPRODUCT(--('Данные 2st'!$Q$2:$Q$317=$A59),--ISNUMBER('Данные 2st'!$NE$2:$NE$317))</f>
        <v>0</v>
      </c>
      <c r="RM59">
        <f>SUMPRODUCT(--('Данные 2st'!$Q$2:$Q$317=$A59),--ISNUMBER('Данные 2st'!$NF$2:$NF$317))</f>
        <v>0</v>
      </c>
      <c r="RN59">
        <f>SUMPRODUCT(--('Данные 2st'!$Q$2:$Q$317=$A59),--ISNUMBER('Данные 2st'!$NG$2:$NG$317))</f>
        <v>0</v>
      </c>
      <c r="RO59">
        <f>SUMPRODUCT(--('Данные 2st'!$Q$2:$Q$317=$A59),--ISNUMBER('Данные 2st'!$NH$2:$NH$317))</f>
        <v>0</v>
      </c>
      <c r="RP59">
        <f>SUMPRODUCT(--('Данные 2st'!$Q$2:$Q$317=$A59),--ISNUMBER('Данные 2st'!$NJ$2:$NJ$317))</f>
        <v>0</v>
      </c>
      <c r="RQ59">
        <f>SUMPRODUCT(--('Данные 2st'!$Q$2:$Q$317=$A59),--ISNUMBER('Данные 2st'!$NK$2:$NK$317))</f>
        <v>0</v>
      </c>
      <c r="RR59">
        <f>SUMPRODUCT(--('Данные 2st'!$Q$2:$Q$317=$A59),--ISNUMBER('Данные 2st'!$NM$2:$NM$317))</f>
        <v>0</v>
      </c>
      <c r="RS59">
        <f>SUMPRODUCT(--('Данные 2st'!$Q$2:$Q$317=$A59),--ISNUMBER('Данные 2st'!$NN$2:$NN$317))</f>
        <v>0</v>
      </c>
      <c r="RT59">
        <f>SUMPRODUCT(--('Данные 2st'!$Q$2:$Q$317=$A59),--ISNUMBER('Данные 2st'!$NO$2:$NO$317))</f>
        <v>0</v>
      </c>
      <c r="RU59">
        <f>SUMPRODUCT(--('Данные 2st'!$Q$2:$Q$317=$A59),--ISNUMBER('Данные 2st'!$NP$2:$NP$317))</f>
        <v>0</v>
      </c>
      <c r="RV59">
        <f>SUMPRODUCT(--('Данные 2st'!$Q$2:$Q$317=$A59),--ISNUMBER('Данные 2st'!$NQ$2:$NQ$317))</f>
        <v>0</v>
      </c>
      <c r="RW59">
        <f>SUMPRODUCT(--('Данные 2st'!$Q$2:$Q$317=$A59),--ISNUMBER('Данные 2st'!$NR$2:$NR$317))</f>
        <v>0</v>
      </c>
      <c r="RX59">
        <f>SUMPRODUCT(--('Данные 2st'!$Q$2:$Q$317=$A59),--ISNUMBER('Данные 2st'!$NS$2:$NS$317))</f>
        <v>0</v>
      </c>
      <c r="RY59">
        <f>SUMPRODUCT(--('Данные 2st'!$Q$2:$Q$317=$A59),--ISNUMBER('Данные 2st'!$NT$2:$NT$317))</f>
        <v>0</v>
      </c>
      <c r="RZ59">
        <f>SUMPRODUCT(--('Данные 2st'!$Q$2:$Q$317=$A59),--ISNUMBER('Данные 2st'!$OK$2:$OK$317))</f>
        <v>2</v>
      </c>
      <c r="SA59">
        <f>SUMPRODUCT(--('Данные 2st'!$Q$2:$Q$317=$A59),--ISNUMBER('Данные 2st'!$OL$2:$OL$317))</f>
        <v>2</v>
      </c>
      <c r="SB59">
        <f>SUMPRODUCT(--('Данные 2st'!$Q$2:$Q$317=$A59),--ISNUMBER('Данные 2st'!$ON$2:$ON$317))</f>
        <v>2</v>
      </c>
      <c r="SC59">
        <f>SUMPRODUCT(--('Данные 2st'!$Q$2:$Q$317=$A59),--ISNUMBER('Данные 2st'!$OO$2:$OO$317))</f>
        <v>2</v>
      </c>
      <c r="SD59">
        <f>SUMPRODUCT(--('Данные 2st'!$Q$2:$Q$317=$A59),--ISNUMBER('Данные 2st'!$OP$2:$OP$317))</f>
        <v>2</v>
      </c>
      <c r="SE59">
        <f>SUMPRODUCT(--('Данные 2st'!$Q$2:$Q$317=$A59),--ISNUMBER('Данные 2st'!$OQ$2:$OQ$317))</f>
        <v>2</v>
      </c>
      <c r="SF59">
        <f>SUMPRODUCT(--('Данные 2st'!$Q$2:$Q$317=$A59),--ISNUMBER('Данные 2st'!$OS$2:$OS$317))</f>
        <v>2</v>
      </c>
      <c r="SG59">
        <f>SUMPRODUCT(--('Данные 2st'!$Q$2:$Q$317=$A59),--ISNUMBER('Данные 2st'!$OT$2:$OT$317))</f>
        <v>2</v>
      </c>
      <c r="SH59">
        <f>SUMPRODUCT(--('Данные 2st'!$Q$2:$Q$317=$A59),--ISNUMBER('Данные 2st'!$OU$2:$OU$317))</f>
        <v>2</v>
      </c>
      <c r="SI59">
        <f>SUMPRODUCT(--('Данные 2st'!$Q$2:$Q$317=$A59),--ISNUMBER('Данные 2st'!$OV$2:$OV$317))</f>
        <v>2</v>
      </c>
      <c r="SJ59">
        <f>SUMPRODUCT(--('Данные 2st'!$Q$2:$Q$317=$A59),--ISNUMBER('Данные 2st'!$OX$2:$OX$317))</f>
        <v>2</v>
      </c>
      <c r="SK59">
        <f>SUMPRODUCT(--('Данные 2st'!$Q$2:$Q$317=$A59),--ISNUMBER('Данные 2st'!$OY$2:$OY$317))</f>
        <v>2</v>
      </c>
      <c r="SL59">
        <f>SUMPRODUCT(--('Данные 2st'!$Q$2:$Q$317=$A59),--ISNUMBER('Данные 2st'!$OZ$2:$OZ$317))</f>
        <v>2</v>
      </c>
      <c r="SM59">
        <f>SUMPRODUCT(--('Данные 2st'!$Q$2:$Q$317=$A59),--ISNUMBER('Данные 2st'!$PA$2:$PA$317))</f>
        <v>2</v>
      </c>
      <c r="SN59">
        <f>SUMPRODUCT(--('Данные 2st'!$Q$2:$Q$317=$A59),--ISNUMBER('Данные 2st'!$PC$2:$PC$317))</f>
        <v>2</v>
      </c>
      <c r="SO59">
        <f>SUMPRODUCT(--('Данные 2st'!$Q$2:$Q$317=$A59),--ISNUMBER('Данные 2st'!$PD$2:$PD$317))</f>
        <v>2</v>
      </c>
      <c r="SP59">
        <f>SUMPRODUCT(--('Данные 2st'!$Q$2:$Q$317=$A59),--ISNUMBER('Данные 2st'!$PF$2:$PF$317))</f>
        <v>2</v>
      </c>
      <c r="SQ59">
        <f>SUMPRODUCT(--('Данные 2st'!$Q$2:$Q$317=$A59),--ISNUMBER('Данные 2st'!$PG$2:$PG$317))</f>
        <v>2</v>
      </c>
      <c r="SR59">
        <f>SUMPRODUCT(--('Данные 2st'!$Q$2:$Q$317=$A59),--ISNUMBER('Данные 2st'!$PH$2:$PH$317))</f>
        <v>2</v>
      </c>
      <c r="SS59">
        <f>SUMPRODUCT(--('Данные 2st'!$Q$2:$Q$317=$A59),--ISNUMBER('Данные 2st'!$PI$2:$PI$317))</f>
        <v>2</v>
      </c>
      <c r="ST59">
        <f>SUMPRODUCT(--('Данные 2st'!$Q$2:$Q$317=$A59),--ISNUMBER('Данные 2st'!$PJ$2:$PJ$317))</f>
        <v>2</v>
      </c>
      <c r="SU59">
        <f>SUMPRODUCT(--('Данные 2st'!$Q$2:$Q$317=$A59),--ISNUMBER('Данные 2st'!$PK$2:$PK$317))</f>
        <v>1</v>
      </c>
      <c r="SV59">
        <f>SUMPRODUCT(--('Данные 2st'!$Q$2:$Q$317=$A59),--ISNUMBER('Данные 2st'!$PL$2:$PL$317))</f>
        <v>2</v>
      </c>
      <c r="SW59">
        <f>SUMPRODUCT(--('Данные 2st'!$Q$2:$Q$317=$A59),--ISNUMBER('Данные 2st'!$PM$2:$PM$317))</f>
        <v>2</v>
      </c>
      <c r="SX59">
        <f>SUMPRODUCT(--('Данные 2st'!$Q$2:$Q$317=$A59),--ISNUMBER('Данные 2st'!$PN$2:$PN$317))</f>
        <v>2</v>
      </c>
      <c r="SY59">
        <f>SUMPRODUCT(--('Данные 2st'!$Q$2:$Q$317=$A59),--ISNUMBER('Данные 2st'!$PO$2:$PO$317))</f>
        <v>2</v>
      </c>
      <c r="SZ59">
        <f>SUMPRODUCT(--('Данные 2st'!$Q$2:$Q$317=$A59),--ISNUMBER('Данные 2st'!$PP$2:$PP$317))</f>
        <v>2</v>
      </c>
      <c r="TA59">
        <f>SUMPRODUCT(--('Данные 2st'!$Q$2:$Q$317=$A59),--ISNUMBER('Данные 2st'!$PQ$2:$PQ$317))</f>
        <v>2</v>
      </c>
      <c r="TB59">
        <f>SUMPRODUCT(--('Данные 2st'!$Q$2:$Q$317=$A59),--ISNUMBER('Данные 2st'!$PR$2:$PR$317))</f>
        <v>2</v>
      </c>
      <c r="TC59">
        <f>SUMPRODUCT(--('Данные 2st'!$Q$2:$Q$317=$A59),--ISNUMBER('Данные 2st'!$PS$2:$PS$317))</f>
        <v>2</v>
      </c>
      <c r="TD59">
        <f>SUMPRODUCT(--('Данные 2st'!$Q$2:$Q$317=$A59),--ISNUMBER('Данные 2st'!$PT$2:$PT$317))</f>
        <v>2</v>
      </c>
      <c r="TE59">
        <f>SUMPRODUCT(--('Данные 2st'!$Q$2:$Q$317=$A59),--ISNUMBER('Данные 2st'!$PU$2:$PU$317))</f>
        <v>2</v>
      </c>
      <c r="TF59">
        <f>SUMPRODUCT(--('Данные 2st'!$Q$2:$Q$317=$A59),--ISNUMBER('Данные 2st'!$PX$2:$PX$317))</f>
        <v>2</v>
      </c>
      <c r="TG59">
        <f>SUMPRODUCT(--('Данные 2st'!$Q$2:$Q$317=$A59),--ISNUMBER('Данные 2st'!$PY$2:$PY$317))</f>
        <v>2</v>
      </c>
      <c r="TH59">
        <f>SUMPRODUCT(--('Данные 2st'!$Q$2:$Q$317=$A59),--ISNUMBER('Данные 2st'!$PZ$2:$PZ$317))</f>
        <v>2</v>
      </c>
      <c r="TI59">
        <f>SUMPRODUCT(--('Данные 2st'!$Q$2:$Q$317=$A59),--ISNUMBER('Данные 2st'!$QA$2:$QA$317))</f>
        <v>2</v>
      </c>
      <c r="TJ59">
        <f>SUMPRODUCT(--('Данные 2st'!$Q$2:$Q$317=$A59),--ISNUMBER('Данные 2st'!$QB$2:$QB$317))</f>
        <v>2</v>
      </c>
      <c r="TK59">
        <f>SUMPRODUCT(--('Данные 2st'!$Q$2:$Q$317=$A59),--ISNUMBER('Данные 2st'!$QC$2:$QC$317))</f>
        <v>2</v>
      </c>
      <c r="TL59">
        <f>SUMPRODUCT(--('Данные 2st'!$Q$2:$Q$317=$A59),--ISNUMBER('Данные 2st'!$QD$2:$QD$317))</f>
        <v>2</v>
      </c>
      <c r="TM59">
        <f>SUMPRODUCT(--('Данные 2st'!$Q$2:$Q$317=$A59),--ISNUMBER('Данные 2st'!$QE$2:$QE$317))</f>
        <v>2</v>
      </c>
      <c r="TN59">
        <f>SUMPRODUCT(--('Данные 2st'!$Q$2:$Q$317=$A59),--ISNUMBER('Данные 2st'!$QF$2:$QF$317))</f>
        <v>2</v>
      </c>
      <c r="TO59">
        <f>SUMPRODUCT(--('Данные 2st'!$Q$2:$Q$317=$A59),--ISNUMBER('Данные 2st'!$QG$2:$QG$317))</f>
        <v>2</v>
      </c>
      <c r="TP59">
        <f>SUMPRODUCT(--('Данные 2st'!$Q$2:$Q$317=$A59),--ISNUMBER('Данные 2st'!$QH$2:$QH$317))</f>
        <v>2</v>
      </c>
      <c r="TQ59">
        <f>SUMPRODUCT(--('Данные 2st'!$Q$2:$Q$317=$A59),--ISNUMBER('Данные 2st'!$QI$2:$QI$317))</f>
        <v>2</v>
      </c>
      <c r="TR59">
        <f>SUMPRODUCT(--('Данные 2st'!$Q$2:$Q$317=$A59),--ISNUMBER('Данные 2st'!$QJ$2:$QJ$317))</f>
        <v>2</v>
      </c>
      <c r="TS59">
        <f>SUMPRODUCT(--('Данные 2st'!$Q$2:$Q$317=$A59),--ISNUMBER('Данные 2st'!$QK$2:$QK$317))</f>
        <v>2</v>
      </c>
      <c r="TT59">
        <f>SUMPRODUCT(--('Данные 2st'!$Q$2:$Q$317=$A59),--ISNUMBER('Данные 2st'!$QL$2:$QL$317))</f>
        <v>2</v>
      </c>
      <c r="TU59">
        <f>SUMPRODUCT(--('Данные 2st'!$Q$2:$Q$317=$A59),--ISNUMBER('Данные 2st'!$QM$2:$QM$317))</f>
        <v>2</v>
      </c>
      <c r="TV59">
        <f>SUMPRODUCT(--('Данные 2st'!$Q$2:$Q$317=$A59),--ISNUMBER('Данные 2st'!$QN$2:$QN$317))</f>
        <v>2</v>
      </c>
      <c r="TW59">
        <f>SUMPRODUCT(--('Данные 2st'!$Q$2:$Q$317=$A59),--ISNUMBER('Данные 2st'!$QQ$2:$QQ$317))</f>
        <v>2</v>
      </c>
      <c r="TX59">
        <f>SUMPRODUCT(--('Данные 2st'!$Q$2:$Q$317=$A59),--ISNUMBER('Данные 2st'!$QS$2:$QS$317))</f>
        <v>2</v>
      </c>
      <c r="TY59">
        <f>SUMPRODUCT(--('Данные 2st'!$Q$2:$Q$317=$A59),--ISNUMBER('Данные 2st'!$QT$2:$QT$317))</f>
        <v>2</v>
      </c>
    </row>
    <row r="60" spans="1:545" ht="32" customHeight="1">
      <c r="A60" s="11" t="str">
        <f>'По размерам'!A60</f>
        <v>245/45R20</v>
      </c>
      <c r="G60">
        <f>SUMPRODUCT(--('Данные 1st'!$S$2:$S$317=$A60),--ISNUMBER('Данные 1st'!$AE$2:$AE$317))</f>
        <v>6</v>
      </c>
      <c r="H60">
        <f>SUMPRODUCT(--('Данные 1st'!$S$2:$S$317=$A60),--ISNUMBER('Данные 1st'!$AF$2:$AF$317))</f>
        <v>6</v>
      </c>
      <c r="I60">
        <f>SUMPRODUCT(--('Данные 1st'!$S$2:$S$317=$A60),--ISNUMBER('Данные 1st'!$AJ$2:$AJ$317))</f>
        <v>6</v>
      </c>
      <c r="J60">
        <f>SUMPRODUCT(--('Данные 1st'!$S$2:$S$317=$A60),--ISNUMBER('Данные 1st'!$AL$2:$AL$317))</f>
        <v>6</v>
      </c>
      <c r="K60">
        <f>SUMPRODUCT(--('Данные 1st'!$S$2:$S$317=$A60),--ISNUMBER('Данные 1st'!$AR$2:$AR$317))</f>
        <v>6</v>
      </c>
      <c r="L60">
        <f>SUMPRODUCT(--('Данные 1st'!$S$2:$S$317=$A60),--ISNUMBER('Данные 1st'!$AS$2:$AS$317))</f>
        <v>6</v>
      </c>
      <c r="M60">
        <f>SUMPRODUCT(--('Данные 1st'!$S$2:$S$317=$A60),--ISNUMBER('Данные 1st'!$AY$2:$AY$317))</f>
        <v>6</v>
      </c>
      <c r="N60">
        <f>SUMPRODUCT(--('Данные 1st'!$S$2:$S$317=$A60),--ISNUMBER('Данные 1st'!$AZ$2:$AZ$317))</f>
        <v>6</v>
      </c>
      <c r="O60">
        <f>SUMPRODUCT(--('Данные 1st'!$S$2:$S$317=$A60),--ISNUMBER('Данные 1st'!$BF$2:$BF$317))</f>
        <v>5</v>
      </c>
      <c r="P60">
        <f>SUMPRODUCT(--('Данные 1st'!$S$2:$S$317=$A60),--ISNUMBER('Данные 1st'!$BG$2:$BG$317))</f>
        <v>6</v>
      </c>
      <c r="Q60">
        <f>SUMPRODUCT(--('Данные 1st'!$S$2:$S$317=$A60),--ISNUMBER('Данные 1st'!$BM$2:$BM$317))</f>
        <v>0</v>
      </c>
      <c r="R60">
        <f>SUMPRODUCT(--('Данные 1st'!$S$2:$S$317=$A60),--ISNUMBER('Данные 1st'!$BN$2:$BN$317))</f>
        <v>6</v>
      </c>
      <c r="S60">
        <f>SUMPRODUCT(--('Данные 1st'!$S$2:$S$317=$A60),--ISNUMBER('Данные 1st'!$BT$2:$BT$317))</f>
        <v>6</v>
      </c>
      <c r="T60">
        <f>SUMPRODUCT(--('Данные 1st'!$S$2:$S$317=$A60),--ISNUMBER('Данные 1st'!$BU$2:$BU$317))</f>
        <v>6</v>
      </c>
      <c r="U60">
        <f>SUMPRODUCT(--('Данные 1st'!$S$2:$S$317=$A60),--ISNUMBER('Данные 1st'!$BW$2:$BW$317))</f>
        <v>6</v>
      </c>
      <c r="V60">
        <f>SUMPRODUCT(--('Данные 1st'!$S$2:$S$317=$A60),--ISNUMBER('Данные 1st'!$BX$2:$BX$317))</f>
        <v>6</v>
      </c>
      <c r="W60">
        <f>SUMPRODUCT(--('Данные 1st'!$S$2:$S$317=$A60),--ISNUMBER('Данные 1st'!$BZ$2:$BZ$317))</f>
        <v>6</v>
      </c>
      <c r="X60">
        <f>SUMPRODUCT(--('Данные 1st'!$S$2:$S$317=$A60),--ISNUMBER('Данные 1st'!$CA$2:$CA$317))</f>
        <v>6</v>
      </c>
      <c r="Y60">
        <f>SUMPRODUCT(--('Данные 1st'!$S$2:$S$317=$A60),--ISNUMBER('Данные 1st'!$CD$2:$CD$317))</f>
        <v>6</v>
      </c>
      <c r="Z60">
        <f>SUMPRODUCT(--('Данные 1st'!$S$2:$S$317=$A60),--ISNUMBER('Данные 1st'!$CF$2:$CF$317))</f>
        <v>6</v>
      </c>
      <c r="AA60">
        <f>SUMPRODUCT(--('Данные 1st'!$S$2:$S$317=$A60),--ISNUMBER('Данные 1st'!$CI$2:$CI$317))</f>
        <v>6</v>
      </c>
      <c r="AB60">
        <f>SUMPRODUCT(--('Данные 1st'!$S$2:$S$317=$A60),--ISNUMBER('Данные 1st'!$CJ$2:$CJ$317))</f>
        <v>6</v>
      </c>
      <c r="AC60">
        <f>SUMPRODUCT(--('Данные 1st'!$S$2:$S$317=$A60),--ISNUMBER('Данные 1st'!$CK$2:$CK$317))</f>
        <v>6</v>
      </c>
      <c r="AD60">
        <f>SUMPRODUCT(--('Данные 1st'!$S$2:$S$317=$A60),--ISNUMBER('Данные 1st'!$CL$2:$CL$317))</f>
        <v>6</v>
      </c>
      <c r="AE60">
        <f>SUMPRODUCT(--('Данные 1st'!$S$2:$S$317=$A60),--ISNUMBER('Данные 1st'!$CM$2:$CM$317))</f>
        <v>6</v>
      </c>
      <c r="AF60">
        <f>SUMPRODUCT(--('Данные 1st'!$S$2:$S$317=$A60),--ISNUMBER('Данные 1st'!$CT$2:$CT$317))</f>
        <v>6</v>
      </c>
      <c r="AG60">
        <f>SUMPRODUCT(--('Данные 1st'!$S$2:$S$317=$A60),--ISNUMBER('Данные 1st'!$CU$2:$CU$317))</f>
        <v>6</v>
      </c>
      <c r="AH60">
        <f>SUMPRODUCT(--('Данные 1st'!$S$2:$S$317=$A60),--ISNUMBER('Данные 1st'!$CV$2:$CV$317))</f>
        <v>6</v>
      </c>
      <c r="AI60">
        <f>SUMPRODUCT(--('Данные 1st'!$S$2:$S$317=$A60),--ISNUMBER('Данные 1st'!$CW$2:$CW$317))</f>
        <v>6</v>
      </c>
      <c r="AJ60">
        <f>SUMPRODUCT(--('Данные 1st'!$S$2:$S$317=$A60),--ISNUMBER('Данные 1st'!$CX$2:$CX$317))</f>
        <v>6</v>
      </c>
      <c r="AK60">
        <f>SUMPRODUCT(--('Данные 1st'!$S$2:$S$317=$A60),--ISNUMBER('Данные 1st'!$CZ$2:$CZ$317))</f>
        <v>6</v>
      </c>
      <c r="AL60">
        <f>SUMPRODUCT(--('Данные 1st'!$S$2:$S$317=$A60),--ISNUMBER('Данные 1st'!$DA$2:$DA$317))</f>
        <v>6</v>
      </c>
      <c r="AM60">
        <f>SUMPRODUCT(--('Данные 1st'!$S$2:$S$317=$A60),--ISNUMBER('Данные 1st'!$DB$2:$DB$317))</f>
        <v>6</v>
      </c>
      <c r="AN60">
        <f>SUMPRODUCT(--('Данные 1st'!$S$2:$S$317=$A60),--ISNUMBER('Данные 1st'!$DC$2:$DC$317))</f>
        <v>6</v>
      </c>
      <c r="AO60">
        <f>SUMPRODUCT(--('Данные 1st'!$S$2:$S$317=$A60),--ISNUMBER('Данные 1st'!$DD$2:$DD$317))</f>
        <v>6</v>
      </c>
      <c r="AP60">
        <f>SUMPRODUCT(--('Данные 1st'!$S$2:$S$317=$A60),--ISNUMBER('Данные 1st'!$DF$2:$DF$317))</f>
        <v>6</v>
      </c>
      <c r="AQ60">
        <f>SUMPRODUCT(--('Данные 1st'!$S$2:$S$317=$A60),--ISNUMBER('Данные 1st'!$DG$2:$DG$317))</f>
        <v>6</v>
      </c>
      <c r="AR60">
        <f>SUMPRODUCT(--('Данные 1st'!$S$2:$S$317=$A60),--ISNUMBER('Данные 1st'!$DH$2:$DH$317))</f>
        <v>6</v>
      </c>
      <c r="AS60">
        <f>SUMPRODUCT(--('Данные 1st'!$S$2:$S$317=$A60),--ISNUMBER('Данные 1st'!$DI$2:$DI$317))</f>
        <v>6</v>
      </c>
      <c r="AT60">
        <f>SUMPRODUCT(--('Данные 1st'!$S$2:$S$317=$A60),--ISNUMBER('Данные 1st'!$DJ$2:$DJ$317))</f>
        <v>6</v>
      </c>
      <c r="AU60">
        <f>SUMPRODUCT(--('Данные 1st'!$S$2:$S$317=$A60),--ISNUMBER('Данные 1st'!$DL$2:$DL$317))</f>
        <v>5</v>
      </c>
      <c r="AV60">
        <f>SUMPRODUCT(--('Данные 1st'!$S$2:$S$317=$A60),--ISNUMBER('Данные 1st'!$DM$2:$DM$317))</f>
        <v>5</v>
      </c>
      <c r="AW60">
        <f>SUMPRODUCT(--('Данные 1st'!$S$2:$S$317=$A60),--ISNUMBER('Данные 1st'!$DN$2:$DN$317))</f>
        <v>5</v>
      </c>
      <c r="AX60">
        <f>SUMPRODUCT(--('Данные 1st'!$S$2:$S$317=$A60),--ISNUMBER('Данные 1st'!$DO$2:$DO$317))</f>
        <v>5</v>
      </c>
      <c r="AY60">
        <f>SUMPRODUCT(--('Данные 1st'!$S$2:$S$317=$A60),--ISNUMBER('Данные 1st'!$DP$2:$DP$317))</f>
        <v>5</v>
      </c>
      <c r="AZ60">
        <f>SUMPRODUCT(--('Данные 1st'!$S$2:$S$317=$A60),--ISNUMBER('Данные 1st'!$DR$2:$DR$317))</f>
        <v>0</v>
      </c>
      <c r="BA60">
        <f>SUMPRODUCT(--('Данные 1st'!$S$2:$S$317=$A60),--ISNUMBER('Данные 1st'!$DS$2:$DS$317))</f>
        <v>0</v>
      </c>
      <c r="BB60">
        <f>SUMPRODUCT(--('Данные 1st'!$S$2:$S$317=$A60),--ISNUMBER('Данные 1st'!$DT$2:$DT$317))</f>
        <v>0</v>
      </c>
      <c r="BC60">
        <f>SUMPRODUCT(--('Данные 1st'!$S$2:$S$317=$A60),--ISNUMBER('Данные 1st'!$DU$2:$DU$317))</f>
        <v>0</v>
      </c>
      <c r="BD60">
        <f>SUMPRODUCT(--('Данные 1st'!$S$2:$S$317=$A60),--ISNUMBER('Данные 1st'!$DV$2:$DV$317))</f>
        <v>0</v>
      </c>
      <c r="BE60">
        <f>SUMPRODUCT(--('Данные 1st'!$S$2:$S$317=$A60),--ISNUMBER('Данные 1st'!$DX$2:$DX$317))</f>
        <v>6</v>
      </c>
      <c r="BF60">
        <f>SUMPRODUCT(--('Данные 1st'!$S$2:$S$317=$A60),--ISNUMBER('Данные 1st'!$EA$2:$EA$317))</f>
        <v>6</v>
      </c>
      <c r="BG60">
        <f>SUMPRODUCT(--('Данные 1st'!$S$2:$S$317=$A60),--ISNUMBER('Данные 1st'!$EB$2:$EB$317))</f>
        <v>6</v>
      </c>
      <c r="BH60">
        <f>SUMPRODUCT(--('Данные 1st'!$S$2:$S$317=$A60),--ISNUMBER('Данные 1st'!$ED$2:$ED$317))</f>
        <v>6</v>
      </c>
      <c r="BI60">
        <f>SUMPRODUCT(--('Данные 1st'!$S$2:$S$317=$A60),--ISNUMBER('Данные 1st'!$EE$2:$EE$317))</f>
        <v>6</v>
      </c>
      <c r="BJ60">
        <f>SUMPRODUCT(--('Данные 1st'!$S$2:$S$317=$A60),--ISNUMBER('Данные 1st'!$EG$2:$EG$317))</f>
        <v>6</v>
      </c>
      <c r="BK60">
        <f>SUMPRODUCT(--('Данные 1st'!$S$2:$S$317=$A60),--ISNUMBER('Данные 1st'!$EH$2:$EH$317))</f>
        <v>6</v>
      </c>
      <c r="BL60">
        <f>SUMPRODUCT(--('Данные 1st'!$S$2:$S$317=$A60),--ISNUMBER('Данные 1st'!$EJ$2:$EJ$317))</f>
        <v>6</v>
      </c>
      <c r="BM60">
        <f>SUMPRODUCT(--('Данные 1st'!$S$2:$S$317=$A60),--ISNUMBER('Данные 1st'!$EK$2:$EK$317))</f>
        <v>6</v>
      </c>
      <c r="BN60">
        <f>SUMPRODUCT(--('Данные 1st'!$S$2:$S$317=$A60),--ISNUMBER('Данные 1st'!$EN$2:$EN$317))</f>
        <v>6</v>
      </c>
      <c r="BO60">
        <f>SUMPRODUCT(--('Данные 1st'!$S$2:$S$317=$A60),--ISNUMBER('Данные 1st'!$EQ$2:$EQ$317))</f>
        <v>6</v>
      </c>
      <c r="BP60">
        <f>SUMPRODUCT(--('Данные 1st'!$S$2:$S$317=$A60),--ISNUMBER('Данные 1st'!$ER$2:$ER$317))</f>
        <v>6</v>
      </c>
      <c r="BQ60">
        <f>SUMPRODUCT(--('Данные 1st'!$S$2:$S$317=$A60),--ISNUMBER('Данные 1st'!$ES$2:$ES$317))</f>
        <v>6</v>
      </c>
      <c r="BR60">
        <f>SUMPRODUCT(--('Данные 1st'!$S$2:$S$317=$A60),--ISNUMBER('Данные 1st'!$ET$2:$ET$317))</f>
        <v>6</v>
      </c>
      <c r="BS60">
        <f>SUMPRODUCT(--('Данные 1st'!$S$2:$S$317=$A60),--ISNUMBER('Данные 1st'!$EU$2:$EU$317))</f>
        <v>6</v>
      </c>
      <c r="BT60">
        <f>SUMPRODUCT(--('Данные 1st'!$S$2:$S$317=$A60),--ISNUMBER('Данные 1st'!$EV$2:$EV$317))</f>
        <v>6</v>
      </c>
      <c r="BU60">
        <f>SUMPRODUCT(--('Данные 1st'!$S$2:$S$317=$A60),--ISNUMBER('Данные 1st'!$EX$2:$EX$317))</f>
        <v>6</v>
      </c>
      <c r="BV60">
        <f>SUMPRODUCT(--('Данные 1st'!$S$2:$S$317=$A60),--ISNUMBER('Данные 1st'!$EY$2:$EY$317))</f>
        <v>6</v>
      </c>
      <c r="BW60">
        <f>SUMPRODUCT(--('Данные 1st'!$S$2:$S$317=$A60),--ISNUMBER('Данные 1st'!$EZ$2:$EZ$317))</f>
        <v>6</v>
      </c>
      <c r="BX60">
        <f>SUMPRODUCT(--('Данные 1st'!$S$2:$S$317=$A60),--ISNUMBER('Данные 1st'!$FA$2:$FA$317))</f>
        <v>6</v>
      </c>
      <c r="BY60">
        <f>SUMPRODUCT(--('Данные 1st'!$S$2:$S$317=$A60),--ISNUMBER('Данные 1st'!$FB$2:$FB$317))</f>
        <v>6</v>
      </c>
      <c r="BZ60">
        <f>SUMPRODUCT(--('Данные 1st'!$S$2:$S$317=$A60),--ISNUMBER('Данные 1st'!$FC$2:$FC$317))</f>
        <v>6</v>
      </c>
      <c r="CA60">
        <f>SUMPRODUCT(--('Данные 1st'!$S$2:$S$317=$A60),--ISNUMBER('Данные 1st'!$FE$2:$FE$317))</f>
        <v>6</v>
      </c>
      <c r="CB60">
        <f>SUMPRODUCT(--('Данные 1st'!$S$2:$S$317=$A60),--ISNUMBER('Данные 1st'!$FF$2:$FF$317))</f>
        <v>6</v>
      </c>
      <c r="CC60">
        <f>SUMPRODUCT(--('Данные 1st'!$S$2:$S$317=$A60),--ISNUMBER('Данные 1st'!$FI$2:$FI$317))</f>
        <v>6</v>
      </c>
      <c r="CD60">
        <f>SUMPRODUCT(--('Данные 1st'!$S$2:$S$317=$A60),--ISNUMBER('Данные 1st'!$FL$2:$FL$317))</f>
        <v>6</v>
      </c>
      <c r="CE60">
        <f>SUMPRODUCT(--('Данные 1st'!$S$2:$S$317=$A60),--ISNUMBER('Данные 1st'!$FM$2:$FM$317))</f>
        <v>6</v>
      </c>
      <c r="CF60">
        <f>SUMPRODUCT(--('Данные 1st'!$S$2:$S$317=$A60),--ISNUMBER('Данные 1st'!$FN$2:$FN$317))</f>
        <v>6</v>
      </c>
      <c r="CG60">
        <f>SUMPRODUCT(--('Данные 1st'!$S$2:$S$317=$A60),--ISNUMBER('Данные 1st'!$FO$2:$FO$317))</f>
        <v>6</v>
      </c>
      <c r="CH60">
        <f>SUMPRODUCT(--('Данные 1st'!$S$2:$S$317=$A60),--ISNUMBER('Данные 1st'!$FP$2:$FP$317))</f>
        <v>6</v>
      </c>
      <c r="CI60">
        <f>SUMPRODUCT(--('Данные 1st'!$S$2:$S$317=$A60),--ISNUMBER('Данные 1st'!$FS$2:$FS$317))</f>
        <v>1</v>
      </c>
      <c r="CJ60">
        <f>SUMPRODUCT(--('Данные 1st'!$S$2:$S$317=$A60),--ISNUMBER('Данные 1st'!$FT$2:$FT$317))</f>
        <v>1</v>
      </c>
      <c r="CK60">
        <f>SUMPRODUCT(--('Данные 1st'!$S$2:$S$317=$A60),--ISNUMBER('Данные 1st'!$FU$2:$FU$317))</f>
        <v>1</v>
      </c>
      <c r="CL60">
        <f>SUMPRODUCT(--('Данные 1st'!$S$2:$S$317=$A60),--ISNUMBER('Данные 1st'!$FV$2:$FV$317))</f>
        <v>0</v>
      </c>
      <c r="CM60">
        <f>SUMPRODUCT(--('Данные 1st'!$S$2:$S$317=$A60),--ISNUMBER('Данные 1st'!$FW$2:$FW$317))</f>
        <v>0</v>
      </c>
      <c r="CN60">
        <f>SUMPRODUCT(--('Данные 1st'!$S$2:$S$317=$A60),--ISNUMBER('Данные 1st'!$FZ$2:$FZ$317))</f>
        <v>1</v>
      </c>
      <c r="CO60">
        <f>SUMPRODUCT(--('Данные 1st'!$S$2:$S$317=$A60),--ISNUMBER('Данные 1st'!$GA$2:$GA$317))</f>
        <v>1</v>
      </c>
      <c r="CP60">
        <f>SUMPRODUCT(--('Данные 1st'!$S$2:$S$317=$A60),--ISNUMBER('Данные 1st'!$GB$2:$GB$317))</f>
        <v>1</v>
      </c>
      <c r="CQ60">
        <f>SUMPRODUCT(--('Данные 1st'!$S$2:$S$317=$A60),--ISNUMBER('Данные 1st'!$GH$2:$GH$317))</f>
        <v>1</v>
      </c>
      <c r="CR60">
        <f>SUMPRODUCT(--('Данные 1st'!$S$2:$S$317=$A60),--ISNUMBER('Данные 1st'!$GI$2:$GI$317))</f>
        <v>1</v>
      </c>
      <c r="CS60">
        <f>SUMPRODUCT(--('Данные 1st'!$S$2:$S$317=$A60),--ISNUMBER('Данные 1st'!$GJ$2:$GJ$317))</f>
        <v>1</v>
      </c>
      <c r="CT60">
        <f>SUMPRODUCT(--('Данные 1st'!$S$2:$S$317=$A60),--ISNUMBER('Данные 1st'!$GS$2:$GS$317))</f>
        <v>5</v>
      </c>
      <c r="CU60">
        <f>SUMPRODUCT(--('Данные 1st'!$S$2:$S$317=$A60),--ISNUMBER('Данные 1st'!$GT$2:$GT$317))</f>
        <v>5</v>
      </c>
      <c r="CV60">
        <f>SUMPRODUCT(--('Данные 1st'!$S$2:$S$317=$A60),--ISNUMBER('Данные 1st'!$GU$2:$GU$317))</f>
        <v>5</v>
      </c>
      <c r="CW60">
        <f>SUMPRODUCT(--('Данные 1st'!$S$2:$S$317=$A60),--ISNUMBER('Данные 1st'!$GV$2:$GV$317))</f>
        <v>5</v>
      </c>
      <c r="CX60">
        <f>SUMPRODUCT(--('Данные 1st'!$S$2:$S$317=$A60),--ISNUMBER('Данные 1st'!$GW$2:$GW$317))</f>
        <v>5</v>
      </c>
      <c r="CY60">
        <f>SUMPRODUCT(--('Данные 1st'!$S$2:$S$317=$A60),--ISNUMBER('Данные 1st'!$GZ$2:$GZ$317))</f>
        <v>3</v>
      </c>
      <c r="CZ60">
        <f>SUMPRODUCT(--('Данные 1st'!$S$2:$S$317=$A60),--ISNUMBER('Данные 1st'!$HA$2:$HA$317))</f>
        <v>3</v>
      </c>
      <c r="DA60">
        <f>SUMPRODUCT(--('Данные 1st'!$S$2:$S$317=$A60),--ISNUMBER('Данные 1st'!$HB$2:$HB$317))</f>
        <v>3</v>
      </c>
      <c r="DB60">
        <f>SUMPRODUCT(--('Данные 1st'!$S$2:$S$317=$A60),--ISNUMBER('Данные 1st'!$HC$2:$HC$317))</f>
        <v>6</v>
      </c>
      <c r="DC60">
        <f>SUMPRODUCT(--('Данные 1st'!$S$2:$S$317=$A60),--ISNUMBER('Данные 1st'!$HD$2:$HD$317))</f>
        <v>6</v>
      </c>
      <c r="DD60">
        <f>SUMPRODUCT(--('Данные 1st'!$S$2:$S$317=$A60),--ISNUMBER('Данные 1st'!$HE$2:$HE$317))</f>
        <v>6</v>
      </c>
      <c r="DE60">
        <f>SUMPRODUCT(--('Данные 1st'!$S$2:$S$317=$A60),--ISNUMBER('Данные 1st'!$HF$2:$HF$317))</f>
        <v>6</v>
      </c>
      <c r="DF60">
        <f>SUMPRODUCT(--('Данные 1st'!$S$2:$S$317=$A60),--ISNUMBER('Данные 1st'!$HG$2:$HG$317))</f>
        <v>6</v>
      </c>
      <c r="DG60">
        <f>SUMPRODUCT(--('Данные 1st'!$S$2:$S$317=$A60),--ISNUMBER('Данные 1st'!$HH$2:$HH$317))</f>
        <v>6</v>
      </c>
      <c r="DH60">
        <f>SUMPRODUCT(--('Данные 1st'!$S$2:$S$317=$A60),--ISNUMBER('Данные 1st'!$HI$2:$HI$317))</f>
        <v>6</v>
      </c>
      <c r="DI60">
        <f>SUMPRODUCT(--('Данные 1st'!$S$2:$S$317=$A60),--ISNUMBER('Данные 1st'!$HJ$2:$HJ$317))</f>
        <v>6</v>
      </c>
      <c r="DJ60">
        <f>SUMPRODUCT(--('Данные 1st'!$S$2:$S$317=$A60),--ISNUMBER('Данные 1st'!$HK$2:$HK$317))</f>
        <v>6</v>
      </c>
      <c r="DK60">
        <f>SUMPRODUCT(--('Данные 1st'!$S$2:$S$317=$A60),--ISNUMBER('Данные 1st'!$HL$2:$HL$317))</f>
        <v>6</v>
      </c>
      <c r="DL60">
        <f>SUMPRODUCT(--('Данные 1st'!$S$2:$S$317=$A60),--ISNUMBER('Данные 1st'!$HM$2:$HM$317))</f>
        <v>6</v>
      </c>
      <c r="DM60">
        <f>SUMPRODUCT(--('Данные 1st'!$S$2:$S$317=$A60),--ISNUMBER('Данные 1st'!$HN$2:$HN$317))</f>
        <v>6</v>
      </c>
      <c r="DN60">
        <f>SUMPRODUCT(--('Данные 1st'!$S$2:$S$317=$A60),--ISNUMBER('Данные 1st'!$HO$2:$HO$317))</f>
        <v>6</v>
      </c>
      <c r="DO60">
        <f>SUMPRODUCT(--('Данные 1st'!$S$2:$S$317=$A60),--ISNUMBER('Данные 1st'!$HP$2:$HP$317))</f>
        <v>6</v>
      </c>
      <c r="DP60">
        <f>SUMPRODUCT(--('Данные 1st'!$S$2:$S$317=$A60),--ISNUMBER('Данные 1st'!$HQ$2:$HQ$317))</f>
        <v>6</v>
      </c>
      <c r="DQ60">
        <f>SUMPRODUCT(--('Данные 1st'!$S$2:$S$317=$A60),--ISNUMBER('Данные 1st'!$HR$2:$HR$317))</f>
        <v>6</v>
      </c>
      <c r="DR60">
        <f>SUMPRODUCT(--('Данные 1st'!$S$2:$S$317=$A60),--ISNUMBER('Данные 1st'!$HS$2:$HS$317))</f>
        <v>6</v>
      </c>
      <c r="DS60">
        <f>SUMPRODUCT(--('Данные 1st'!$S$2:$S$317=$A60),--ISNUMBER('Данные 1st'!$HT$2:$HT$317))</f>
        <v>6</v>
      </c>
      <c r="DT60">
        <f>SUMPRODUCT(--('Данные 1st'!$S$2:$S$317=$A60),--ISNUMBER('Данные 1st'!$HU$2:$HU$317))</f>
        <v>6</v>
      </c>
      <c r="DU60">
        <f>SUMPRODUCT(--('Данные 1st'!$S$2:$S$317=$A60),--ISNUMBER('Данные 1st'!$HW$2:$HW$317))</f>
        <v>6</v>
      </c>
      <c r="DV60">
        <f>SUMPRODUCT(--('Данные 1st'!$S$2:$S$317=$A60),--ISNUMBER('Данные 1st'!$HX$2:$HX$317))</f>
        <v>6</v>
      </c>
      <c r="DW60">
        <f>SUMPRODUCT(--('Данные 1st'!$S$2:$S$317=$A60),--ISNUMBER('Данные 1st'!$HY$2:$HY$317))</f>
        <v>6</v>
      </c>
      <c r="DX60">
        <f>SUMPRODUCT(--('Данные 1st'!$S$2:$S$317=$A60),--ISNUMBER('Данные 1st'!$IA$2:$IA$317))</f>
        <v>6</v>
      </c>
      <c r="DY60">
        <f>SUMPRODUCT(--('Данные 1st'!$S$2:$S$317=$A60),--ISNUMBER('Данные 1st'!$IB$2:$IB$317))</f>
        <v>6</v>
      </c>
      <c r="DZ60">
        <f>SUMPRODUCT(--('Данные 1st'!$S$2:$S$317=$A60),--ISNUMBER('Данные 1st'!$IC$2:$IC$317))</f>
        <v>6</v>
      </c>
      <c r="EA60">
        <f>SUMPRODUCT(--('Данные 1st'!$S$2:$S$317=$A60),--ISNUMBER('Данные 1st'!$ID$2:$ID$317))</f>
        <v>6</v>
      </c>
      <c r="EB60">
        <f>SUMPRODUCT(--('Данные 1st'!$S$2:$S$317=$A60),--ISNUMBER('Данные 1st'!$IE$2:$IE$317))</f>
        <v>6</v>
      </c>
      <c r="EC60">
        <f>SUMPRODUCT(--('Данные 1st'!$S$2:$S$317=$A60),--ISNUMBER('Данные 1st'!$IF$2:$IF$317))</f>
        <v>6</v>
      </c>
      <c r="ED60">
        <f>SUMPRODUCT(--('Данные 1st'!$S$2:$S$317=$A60),--ISNUMBER('Данные 1st'!$IP$2:$IP$317))</f>
        <v>6</v>
      </c>
      <c r="EE60">
        <f>SUMPRODUCT(--('Данные 1st'!$S$2:$S$317=$A60),--ISNUMBER('Данные 1st'!$IV$2:$IV$317))</f>
        <v>6</v>
      </c>
      <c r="EF60">
        <f>SUMPRODUCT(--('Данные 1st'!$S$2:$S$317=$A60),--ISNUMBER('Данные 1st'!$IW$2:$IW$317))</f>
        <v>6</v>
      </c>
      <c r="EG60">
        <f>SUMPRODUCT(--('Данные 1st'!$S$2:$S$317=$A60),--ISNUMBER('Данные 1st'!$IX$2:$IX$317))</f>
        <v>0</v>
      </c>
      <c r="EH60">
        <f>SUMPRODUCT(--('Данные 1st'!$S$2:$S$317=$A60),--ISNUMBER('Данные 1st'!$IY$2:$IY$317))</f>
        <v>0</v>
      </c>
      <c r="EI60">
        <f>SUMPRODUCT(--('Данные 1st'!$S$2:$S$317=$A60),--ISNUMBER('Данные 1st'!$JD$2:$JD$317))</f>
        <v>6</v>
      </c>
      <c r="EJ60">
        <f>SUMPRODUCT(--('Данные 1st'!$S$2:$S$317=$A60),--ISNUMBER('Данные 1st'!$JE$2:$JE$317))</f>
        <v>6</v>
      </c>
      <c r="EK60">
        <f>SUMPRODUCT(--('Данные 1st'!$S$2:$S$317=$A60),--ISNUMBER('Данные 1st'!$JF$2:$JF$317))</f>
        <v>6</v>
      </c>
      <c r="EL60">
        <f>SUMPRODUCT(--('Данные 1st'!$S$2:$S$317=$A60),--ISNUMBER('Данные 1st'!$JG$2:$JG$317))</f>
        <v>6</v>
      </c>
      <c r="EM60">
        <f>SUMPRODUCT(--('Данные 1st'!$S$2:$S$317=$A60),--ISNUMBER('Данные 1st'!$JH$2:$JH$317))</f>
        <v>6</v>
      </c>
      <c r="EN60">
        <f>SUMPRODUCT(--('Данные 1st'!$S$2:$S$317=$A60),--ISNUMBER('Данные 1st'!$JJ$2:$JJ$317))</f>
        <v>6</v>
      </c>
      <c r="EO60">
        <f>SUMPRODUCT(--('Данные 1st'!$S$2:$S$317=$A60),--ISNUMBER('Данные 1st'!$JK$2:$JK$317))</f>
        <v>6</v>
      </c>
      <c r="EP60">
        <f>SUMPRODUCT(--('Данные 1st'!$S$2:$S$317=$A60),--ISNUMBER('Данные 1st'!$JL$2:$JL$317))</f>
        <v>0</v>
      </c>
      <c r="EQ60">
        <f>SUMPRODUCT(--('Данные 1st'!$S$2:$S$317=$A60),--ISNUMBER('Данные 1st'!$JM$2:$JM$317))</f>
        <v>0</v>
      </c>
      <c r="ER60">
        <f>SUMPRODUCT(--('Данные 1st'!$S$2:$S$317=$A60),--ISNUMBER('Данные 1st'!$JN$2:$JN$317))</f>
        <v>6</v>
      </c>
      <c r="ES60">
        <f>SUMPRODUCT(--('Данные 1st'!$S$2:$S$317=$A60),--ISNUMBER('Данные 1st'!$JO$2:$JO$317))</f>
        <v>6</v>
      </c>
      <c r="ET60">
        <f>SUMPRODUCT(--('Данные 1st'!$S$2:$S$317=$A60),--ISNUMBER('Данные 1st'!$JP$2:$JP$317))</f>
        <v>6</v>
      </c>
      <c r="EU60">
        <f>SUMPRODUCT(--('Данные 1st'!$S$2:$S$317=$A60),--ISNUMBER('Данные 1st'!$JQ$2:$JQ$317))</f>
        <v>6</v>
      </c>
      <c r="EV60">
        <f>SUMPRODUCT(--('Данные 1st'!$S$2:$S$317=$A60),--ISNUMBER('Данные 1st'!$JR$2:$JR$317))</f>
        <v>6</v>
      </c>
      <c r="EW60">
        <f>SUMPRODUCT(--('Данные 1st'!$S$2:$S$317=$A60),--ISNUMBER('Данные 1st'!$JS$2:$JS$317))</f>
        <v>6</v>
      </c>
      <c r="EX60">
        <f>SUMPRODUCT(--('Данные 1st'!$S$2:$S$317=$A60),--ISNUMBER('Данные 1st'!$JT$2:$JT$317))</f>
        <v>0</v>
      </c>
      <c r="EY60">
        <f>SUMPRODUCT(--('Данные 1st'!$S$2:$S$317=$A60),--ISNUMBER('Данные 1st'!$JU$2:$JU$317))</f>
        <v>0</v>
      </c>
      <c r="EZ60">
        <f>SUMPRODUCT(--('Данные 1st'!$S$2:$S$317=$A60),--ISNUMBER('Данные 1st'!$JV$2:$JV$317))</f>
        <v>6</v>
      </c>
      <c r="FA60">
        <f>SUMPRODUCT(--('Данные 1st'!$S$2:$S$317=$A60),--ISNUMBER('Данные 1st'!$JW$2:$JW$317))</f>
        <v>0</v>
      </c>
      <c r="FB60">
        <f>SUMPRODUCT(--('Данные 1st'!$S$2:$S$317=$A60),--ISNUMBER('Данные 1st'!$JX$2:$JX$317))</f>
        <v>6</v>
      </c>
      <c r="FC60">
        <f>SUMPRODUCT(--('Данные 1st'!$S$2:$S$317=$A60),--ISNUMBER('Данные 1st'!$JY$2:$JY$317))</f>
        <v>0</v>
      </c>
      <c r="FD60">
        <f>SUMPRODUCT(--('Данные 1st'!$S$2:$S$317=$A60),--ISNUMBER('Данные 1st'!$JZ$2:$JZ$317))</f>
        <v>0</v>
      </c>
      <c r="FE60">
        <f>SUMPRODUCT(--('Данные 1st'!$S$2:$S$317=$A60),--ISNUMBER('Данные 1st'!$KA$2:$KA$317))</f>
        <v>6</v>
      </c>
      <c r="FF60">
        <f>SUMPRODUCT(--('Данные 1st'!$S$2:$S$317=$A60),--ISNUMBER('Данные 1st'!$KB$2:$KB$317))</f>
        <v>6</v>
      </c>
      <c r="FG60">
        <f>SUMPRODUCT(--('Данные 1st'!$S$2:$S$317=$A60),--ISNUMBER('Данные 1st'!$KC$2:$KC$317))</f>
        <v>6</v>
      </c>
      <c r="FH60">
        <f>SUMPRODUCT(--('Данные 1st'!$S$2:$S$317=$A60),--ISNUMBER('Данные 1st'!$KD$2:$KD$317))</f>
        <v>6</v>
      </c>
      <c r="FI60">
        <f>SUMPRODUCT(--('Данные 1st'!$S$2:$S$317=$A60),--ISNUMBER('Данные 1st'!$KE$2:$KE$317))</f>
        <v>0</v>
      </c>
      <c r="FJ60">
        <f>SUMPRODUCT(--('Данные 1st'!$S$2:$S$317=$A60),--ISNUMBER('Данные 1st'!$KF$2:$KF$317))</f>
        <v>6</v>
      </c>
      <c r="FK60">
        <f>SUMPRODUCT(--('Данные 1st'!$S$2:$S$317=$A60),--ISNUMBER('Данные 1st'!$KG$2:$KG$317))</f>
        <v>6</v>
      </c>
      <c r="FL60">
        <f>SUMPRODUCT(--('Данные 1st'!$S$2:$S$317=$A60),--ISNUMBER('Данные 1st'!$KH$2:$KH$317))</f>
        <v>6</v>
      </c>
      <c r="FM60">
        <f>SUMPRODUCT(--('Данные 1st'!$S$2:$S$317=$A60),--ISNUMBER('Данные 1st'!$KI$2:$KI$317))</f>
        <v>6</v>
      </c>
      <c r="FN60">
        <f>SUMPRODUCT(--('Данные 1st'!$S$2:$S$317=$A60),--ISNUMBER('Данные 1st'!$KJ$2:$KJ$317))</f>
        <v>6</v>
      </c>
      <c r="FO60">
        <f>SUMPRODUCT(--('Данные 1st'!$S$2:$S$317=$A60),--ISNUMBER('Данные 1st'!$KK$2:$KK$317))</f>
        <v>6</v>
      </c>
      <c r="FP60">
        <f>SUMPRODUCT(--('Данные 1st'!$S$2:$S$317=$A60),--ISNUMBER('Данные 1st'!$KL$2:$KL$317))</f>
        <v>6</v>
      </c>
      <c r="FQ60">
        <f>SUMPRODUCT(--('Данные 1st'!$S$2:$S$317=$A60),--ISNUMBER('Данные 1st'!$KM$2:$KM$317))</f>
        <v>6</v>
      </c>
      <c r="FR60">
        <f>SUMPRODUCT(--('Данные 1st'!$S$2:$S$317=$A60),--ISNUMBER('Данные 1st'!$KN$2:$KN$317))</f>
        <v>6</v>
      </c>
      <c r="FS60">
        <f>SUMPRODUCT(--('Данные 1st'!$S$2:$S$317=$A60),--ISNUMBER('Данные 1st'!$KR$2:$KR$317))</f>
        <v>6</v>
      </c>
      <c r="FT60">
        <f>SUMPRODUCT(--('Данные 1st'!$S$2:$S$317=$A60),--ISNUMBER('Данные 1st'!$KS$2:$KS$317))</f>
        <v>6</v>
      </c>
      <c r="FU60">
        <f>SUMPRODUCT(--('Данные 1st'!$S$2:$S$317=$A60),--ISNUMBER('Данные 1st'!$KT$2:$KT$317))</f>
        <v>6</v>
      </c>
      <c r="FV60">
        <f>SUMPRODUCT(--('Данные 1st'!$S$2:$S$317=$A60),--ISNUMBER('Данные 1st'!$KV$2:$KV$317))</f>
        <v>0</v>
      </c>
      <c r="FW60">
        <f>SUMPRODUCT(--('Данные 1st'!$S$2:$S$317=$A60),--ISNUMBER('Данные 1st'!$KW$2:$KW$317))</f>
        <v>0</v>
      </c>
      <c r="FX60">
        <f>SUMPRODUCT(--('Данные 1st'!$S$2:$S$317=$A60),--ISNUMBER('Данные 1st'!$KX$2:$KX$317))</f>
        <v>0</v>
      </c>
      <c r="FY60">
        <f>SUMPRODUCT(--('Данные 1st'!$S$2:$S$317=$A60),--ISNUMBER('Данные 1st'!$KY$2:$KY$317))</f>
        <v>0</v>
      </c>
      <c r="FZ60">
        <f>SUMPRODUCT(--('Данные 1st'!$S$2:$S$317=$A60),--ISNUMBER('Данные 1st'!$KZ$2:$KZ$317))</f>
        <v>0</v>
      </c>
      <c r="GA60">
        <f>SUMPRODUCT(--('Данные 1st'!$S$2:$S$317=$A60),--ISNUMBER('Данные 1st'!$LA$2:$LA$317))</f>
        <v>0</v>
      </c>
      <c r="GB60">
        <f>SUMPRODUCT(--('Данные 1st'!$S$2:$S$317=$A60),--ISNUMBER('Данные 1st'!$LB$2:$LB$317))</f>
        <v>0</v>
      </c>
      <c r="GC60">
        <f>SUMPRODUCT(--('Данные 1st'!$S$2:$S$317=$A60),--ISNUMBER('Данные 1st'!$LC$2:$LC$317))</f>
        <v>0</v>
      </c>
      <c r="GD60">
        <f>SUMPRODUCT(--('Данные 1st'!$S$2:$S$317=$A60),--ISNUMBER('Данные 1st'!$LD$2:$LD$317))</f>
        <v>0</v>
      </c>
      <c r="GE60">
        <f>SUMPRODUCT(--('Данные 1st'!$S$2:$S$317=$A60),--ISNUMBER('Данные 1st'!$LE$2:$LE$317))</f>
        <v>0</v>
      </c>
      <c r="GF60">
        <f>SUMPRODUCT(--('Данные 1st'!$S$2:$S$317=$A60),--ISNUMBER('Данные 1st'!$LF$2:$LF$317))</f>
        <v>0</v>
      </c>
      <c r="GG60">
        <f>SUMPRODUCT(--('Данные 1st'!$S$2:$S$317=$A60),--ISNUMBER('Данные 1st'!$LG$2:$LG$317))</f>
        <v>0</v>
      </c>
      <c r="GH60">
        <f>SUMPRODUCT(--('Данные 1st'!$S$2:$S$317=$A60),--ISNUMBER('Данные 1st'!$LH$2:$LH$317))</f>
        <v>0</v>
      </c>
      <c r="GI60">
        <f>SUMPRODUCT(--('Данные 1st'!$S$2:$S$317=$A60),--ISNUMBER('Данные 1st'!$LI$2:$LI$317))</f>
        <v>0</v>
      </c>
      <c r="GJ60">
        <f>SUMPRODUCT(--('Данные 1st'!$S$2:$S$317=$A60),--ISNUMBER('Данные 1st'!$LJ$2:$LJ$317))</f>
        <v>0</v>
      </c>
      <c r="GK60">
        <f>SUMPRODUCT(--('Данные 1st'!$S$2:$S$317=$A60),--ISNUMBER('Данные 1st'!$LK$2:$LK$317))</f>
        <v>6</v>
      </c>
      <c r="GL60">
        <f>SUMPRODUCT(--('Данные 1st'!$S$2:$S$317=$A60),--ISNUMBER('Данные 1st'!$LV$2:$LV$317))</f>
        <v>0</v>
      </c>
      <c r="GM60">
        <f>SUMPRODUCT(--('Данные 1st'!$S$2:$S$317=$A60),--ISNUMBER('Данные 1st'!$LW$2:$LW$317))</f>
        <v>0</v>
      </c>
      <c r="GN60">
        <f>SUMPRODUCT(--('Данные 1st'!$S$2:$S$317=$A60),--ISNUMBER('Данные 1st'!$LX$2:$LX$317))</f>
        <v>1</v>
      </c>
      <c r="GO60">
        <f>SUMPRODUCT(--('Данные 1st'!$S$2:$S$317=$A60),--ISNUMBER('Данные 1st'!$LY$2:$LY$317))</f>
        <v>1</v>
      </c>
      <c r="GP60">
        <f>SUMPRODUCT(--('Данные 1st'!$S$2:$S$317=$A60),--ISNUMBER('Данные 1st'!$LZ$2:$LZ$317))</f>
        <v>1</v>
      </c>
      <c r="GQ60">
        <f>SUMPRODUCT(--('Данные 1st'!$S$2:$S$317=$A60),--ISNUMBER('Данные 1st'!$PG$2:$PG$317))</f>
        <v>6</v>
      </c>
      <c r="GR60">
        <f>SUMPRODUCT(--('Данные 1st'!$S$2:$S$317=$A60),--ISNUMBER('Данные 1st'!$PX$2:$PX$317))</f>
        <v>6</v>
      </c>
      <c r="GS60">
        <f>SUMPRODUCT(--('Данные 1st'!$S$2:$S$317=$A60),--ISNUMBER('Данные 1st'!$PY$2:$PY$317))</f>
        <v>6</v>
      </c>
      <c r="GT60">
        <f>SUMPRODUCT(--('Данные 1st'!$S$2:$S$317=$A60),--ISNUMBER('Данные 1st'!$QA$2:$QA$317))</f>
        <v>6</v>
      </c>
      <c r="GU60">
        <f>SUMPRODUCT(--('Данные 1st'!$S$2:$S$317=$A60),--ISNUMBER('Данные 1st'!$QB$2:$QB$317))</f>
        <v>6</v>
      </c>
      <c r="GV60">
        <f>SUMPRODUCT(--('Данные 1st'!$S$2:$S$317=$A60),--ISNUMBER('Данные 1st'!$QC$2:$QC$317))</f>
        <v>6</v>
      </c>
      <c r="GW60">
        <f>SUMPRODUCT(--('Данные 1st'!$S$2:$S$317=$A60),--ISNUMBER('Данные 1st'!$QD$2:$QD$317))</f>
        <v>6</v>
      </c>
      <c r="GX60">
        <f>SUMPRODUCT(--('Данные 1st'!$S$2:$S$317=$A60),--ISNUMBER('Данные 1st'!$QF$2:$QF$317))</f>
        <v>6</v>
      </c>
      <c r="GY60">
        <f>SUMPRODUCT(--('Данные 1st'!$S$2:$S$317=$A60),--ISNUMBER('Данные 1st'!$QG$2:$QG$317))</f>
        <v>6</v>
      </c>
      <c r="GZ60">
        <f>SUMPRODUCT(--('Данные 1st'!$S$2:$S$317=$A60),--ISNUMBER('Данные 1st'!$QH$2:$QH$317))</f>
        <v>6</v>
      </c>
      <c r="HA60">
        <f>SUMPRODUCT(--('Данные 1st'!$S$2:$S$317=$A60),--ISNUMBER('Данные 1st'!$QI$2:$QI$317))</f>
        <v>6</v>
      </c>
      <c r="HB60">
        <f>SUMPRODUCT(--('Данные 1st'!$S$2:$S$317=$A60),--ISNUMBER('Данные 1st'!$QK$2:$QK$317))</f>
        <v>6</v>
      </c>
      <c r="HC60">
        <f>SUMPRODUCT(--('Данные 1st'!$S$2:$S$317=$A60),--ISNUMBER('Данные 1st'!$QL$2:$QL$317))</f>
        <v>6</v>
      </c>
      <c r="HD60">
        <f>SUMPRODUCT(--('Данные 1st'!$S$2:$S$317=$A60),--ISNUMBER('Данные 1st'!$QM$2:$QM$317))</f>
        <v>6</v>
      </c>
      <c r="HE60">
        <f>SUMPRODUCT(--('Данные 1st'!$S$2:$S$317=$A60),--ISNUMBER('Данные 1st'!$QN$2:$QN$317))</f>
        <v>6</v>
      </c>
      <c r="HF60">
        <f>SUMPRODUCT(--('Данные 1st'!$S$2:$S$317=$A60),--ISNUMBER('Данные 1st'!$QP$2:$QP$317))</f>
        <v>6</v>
      </c>
      <c r="HG60">
        <f>SUMPRODUCT(--('Данные 1st'!$S$2:$S$317=$A60),--ISNUMBER('Данные 1st'!$QQ$2:$QQ$317))</f>
        <v>6</v>
      </c>
      <c r="HH60">
        <f>SUMPRODUCT(--('Данные 1st'!$S$2:$S$317=$A60),--ISNUMBER('Данные 1st'!$QR$2:$QR$317))</f>
        <v>5</v>
      </c>
      <c r="HI60">
        <f>SUMPRODUCT(--('Данные 1st'!$S$2:$S$317=$A60),--ISNUMBER('Данные 1st'!$QS$2:$QS$317))</f>
        <v>5</v>
      </c>
      <c r="HJ60">
        <f>SUMPRODUCT(--('Данные 1st'!$S$2:$S$317=$A60),--ISNUMBER('Данные 1st'!$QU$2:$QU$317))</f>
        <v>5</v>
      </c>
      <c r="HK60">
        <f>SUMPRODUCT(--('Данные 1st'!$S$2:$S$317=$A60),--ISNUMBER('Данные 1st'!$QV$2:$QV$317))</f>
        <v>5</v>
      </c>
      <c r="HL60">
        <f>SUMPRODUCT(--('Данные 1st'!$S$2:$S$317=$A60),--ISNUMBER('Данные 1st'!$QW$2:$QW$317))</f>
        <v>6</v>
      </c>
      <c r="HM60">
        <f>SUMPRODUCT(--('Данные 1st'!$S$2:$S$317=$A60),--ISNUMBER('Данные 1st'!$QX$2:$QX$317))</f>
        <v>0</v>
      </c>
      <c r="HN60">
        <f>SUMPRODUCT(--('Данные 1st'!$S$2:$S$317=$A60),--ISNUMBER('Данные 1st'!$QZ$2:$QZ$317))</f>
        <v>6</v>
      </c>
      <c r="HO60">
        <f>SUMPRODUCT(--('Данные 1st'!$S$2:$S$317=$A60),--ISNUMBER('Данные 1st'!$RA$2:$RA$317))</f>
        <v>6</v>
      </c>
      <c r="HP60">
        <f>SUMPRODUCT(--('Данные 1st'!$S$2:$S$317=$A60),--ISNUMBER('Данные 1st'!$RB$2:$RB$317))</f>
        <v>6</v>
      </c>
      <c r="HQ60">
        <f>SUMPRODUCT(--('Данные 1st'!$S$2:$S$317=$A60),--ISNUMBER('Данные 1st'!$RD$2:$RD$317))</f>
        <v>0</v>
      </c>
      <c r="HR60">
        <f>SUMPRODUCT(--('Данные 1st'!$S$2:$S$317=$A60),--ISNUMBER('Данные 1st'!$RE$2:$RE$317))</f>
        <v>6</v>
      </c>
      <c r="HS60">
        <f>SUMPRODUCT(--('Данные 1st'!$S$2:$S$317=$A60),--ISNUMBER('Данные 1st'!$RF$2:$RF$317))</f>
        <v>5</v>
      </c>
      <c r="HT60">
        <f>SUMPRODUCT(--('Данные 1st'!$S$2:$S$317=$A60),--ISNUMBER('Данные 1st'!$RG$2:$RG$317))</f>
        <v>1</v>
      </c>
      <c r="HU60">
        <f>SUMPRODUCT(--('Данные 1st'!$S$2:$S$317=$A60),--ISNUMBER('Данные 1st'!$RH$2:$RH$317))</f>
        <v>2</v>
      </c>
      <c r="HV60">
        <f>SUMPRODUCT(--('Данные 1st'!$S$2:$S$317=$A60),--ISNUMBER('Данные 1st'!$RI$2:$RI$317))</f>
        <v>3</v>
      </c>
      <c r="HW60">
        <f>SUMPRODUCT(--('Данные 1st'!$S$2:$S$317=$A60),--ISNUMBER('Данные 1st'!$RJ$2:$RJ$317))</f>
        <v>6</v>
      </c>
      <c r="HX60">
        <f>SUMPRODUCT(--('Данные 1st'!$S$2:$S$317=$A60),--ISNUMBER('Данные 1st'!$RK$2:$RK$317))</f>
        <v>6</v>
      </c>
      <c r="HY60">
        <f>SUMPRODUCT(--('Данные 1st'!$S$2:$S$317=$A60),--ISNUMBER('Данные 1st'!$RL$2:$RL$317))</f>
        <v>6</v>
      </c>
      <c r="HZ60">
        <f>SUMPRODUCT(--('Данные 1st'!$S$2:$S$317=$A60),--ISNUMBER('Данные 1st'!$RM$2:$RM$317))</f>
        <v>5</v>
      </c>
      <c r="IA60">
        <f>SUMPRODUCT(--('Данные 1st'!$S$2:$S$317=$A60),--ISNUMBER('Данные 1st'!$RN$2:$RN$317))</f>
        <v>0</v>
      </c>
      <c r="IB60">
        <f>SUMPRODUCT(--('Данные 1st'!$S$2:$S$317=$A60),--ISNUMBER('Данные 1st'!$RO$2:$RO$317))</f>
        <v>6</v>
      </c>
      <c r="IC60">
        <f>SUMPRODUCT(--('Данные 1st'!$S$2:$S$317=$A60),--ISNUMBER('Данные 1st'!$RP$2:$RP$317))</f>
        <v>6</v>
      </c>
      <c r="ID60">
        <f>SUMPRODUCT(--('Данные 1st'!$S$2:$S$317=$A60),--ISNUMBER('Данные 1st'!$RQ$2:$RQ$317))</f>
        <v>6</v>
      </c>
      <c r="IE60">
        <f>SUMPRODUCT(--('Данные 1st'!$S$2:$S$317=$A60),--ISNUMBER('Данные 1st'!$RR$2:$RR$317))</f>
        <v>5</v>
      </c>
      <c r="IF60">
        <f>SUMPRODUCT(--('Данные 1st'!$S$2:$S$317=$A60),--ISNUMBER('Данные 1st'!$RS$2:$RS$317))</f>
        <v>0</v>
      </c>
      <c r="IG60">
        <f>SUMPRODUCT(--('Данные 1st'!$S$2:$S$317=$A60),--ISNUMBER('Данные 1st'!$RT$2:$RT$317))</f>
        <v>6</v>
      </c>
      <c r="IH60">
        <f>SUMPRODUCT(--('Данные 1st'!$S$2:$S$317=$A60),--ISNUMBER('Данные 1st'!$RU$2:$RU$317))</f>
        <v>6</v>
      </c>
      <c r="II60">
        <f>SUMPRODUCT(--('Данные 1st'!$S$2:$S$317=$A60),--ISNUMBER('Данные 1st'!$RX$2:$RX$317))</f>
        <v>6</v>
      </c>
      <c r="IJ60">
        <f>SUMPRODUCT(--('Данные 1st'!$S$2:$S$317=$A60),--ISNUMBER('Данные 1st'!$RY$2:$RY$317))</f>
        <v>6</v>
      </c>
      <c r="IK60">
        <f>SUMPRODUCT(--('Данные 1st'!$S$2:$S$317=$A60),--ISNUMBER('Данные 1st'!$SA$2:$SA$317))</f>
        <v>6</v>
      </c>
      <c r="IL60">
        <f>SUMPRODUCT(--('Данные 1st'!$S$2:$S$317=$A60),--ISNUMBER('Данные 1st'!$SD$2:$SD$317))</f>
        <v>6</v>
      </c>
      <c r="IM60">
        <f>SUMPRODUCT(--('Данные 1st'!$S$2:$S$317=$A60),--ISNUMBER('Данные 1st'!$SG$2:$SG$317))</f>
        <v>5</v>
      </c>
      <c r="IN60">
        <f>SUMPRODUCT(--('Данные 1st'!$S$2:$S$317=$A60),--ISNUMBER('Данные 1st'!$SH$2:$SH$317))</f>
        <v>6</v>
      </c>
      <c r="IO60">
        <f>SUMPRODUCT(--('Данные 1st'!$S$2:$S$317=$A60),--ISNUMBER('Данные 1st'!$SI$2:$SI$317))</f>
        <v>6</v>
      </c>
      <c r="IP60">
        <f>SUMPRODUCT(--('Данные 1st'!$S$2:$S$317=$A60),--ISNUMBER('Данные 1st'!$SJ$2:$SJ$317))</f>
        <v>6</v>
      </c>
      <c r="IQ60">
        <f>SUMPRODUCT(--('Данные 1st'!$S$2:$S$317=$A60),--ISNUMBER('Данные 1st'!$SK$2:$SK$317))</f>
        <v>6</v>
      </c>
      <c r="IR60">
        <f>SUMPRODUCT(--('Данные 1st'!$S$2:$S$317=$A60),--ISNUMBER('Данные 1st'!$SL$2:$SL$317))</f>
        <v>6</v>
      </c>
      <c r="IS60">
        <f>SUMPRODUCT(--('Данные 1st'!$S$2:$S$317=$A60),--ISNUMBER('Данные 1st'!$SM$2:$SM$317))</f>
        <v>6</v>
      </c>
      <c r="IT60">
        <f>SUMPRODUCT(--('Данные 1st'!$S$2:$S$317=$A60),--ISNUMBER('Данные 1st'!$SN$2:$SN$317))</f>
        <v>6</v>
      </c>
      <c r="IU60">
        <f>SUMPRODUCT(--('Данные 1st'!$S$2:$S$317=$A60),--ISNUMBER('Данные 1st'!$SO$2:$SO$317))</f>
        <v>6</v>
      </c>
      <c r="IV60">
        <f>SUMPRODUCT(--('Данные 1st'!$S$2:$S$317=$A60),--ISNUMBER('Данные 1st'!$SP$2:$SP$317))</f>
        <v>6</v>
      </c>
      <c r="IW60">
        <f>SUMPRODUCT(--('Данные 1st'!$S$2:$S$317=$A60),--ISNUMBER('Данные 1st'!$SQ$2:$SQ$317))</f>
        <v>6</v>
      </c>
      <c r="IX60">
        <f>SUMPRODUCT(--('Данные 1st'!$S$2:$S$317=$A60),--ISNUMBER('Данные 1st'!$SR$2:$SR$317))</f>
        <v>6</v>
      </c>
      <c r="IY60">
        <f>SUMPRODUCT(--('Данные 1st'!$S$2:$S$317=$A60),--ISNUMBER('Данные 1st'!$SS$2:$SS$317))</f>
        <v>6</v>
      </c>
      <c r="IZ60">
        <f>SUMPRODUCT(--('Данные 1st'!$S$2:$S$317=$A60),--ISNUMBER('Данные 1st'!$ST$2:$ST$317))</f>
        <v>6</v>
      </c>
      <c r="JA60">
        <f>SUMPRODUCT(--('Данные 1st'!$S$2:$S$317=$A60),--ISNUMBER('Данные 1st'!$SU$2:$SU$317))</f>
        <v>6</v>
      </c>
      <c r="JB60">
        <f>SUMPRODUCT(--('Данные 1st'!$S$2:$S$317=$A60),--ISNUMBER('Данные 1st'!$SV$2:$SV$317))</f>
        <v>6</v>
      </c>
      <c r="JC60">
        <f>SUMPRODUCT(--('Данные 1st'!$S$2:$S$317=$A60),--ISNUMBER('Данные 1st'!$SW$2:$SW$317))</f>
        <v>6</v>
      </c>
      <c r="JD60">
        <f>SUMPRODUCT(--('Данные 1st'!$S$2:$S$317=$A60),--ISNUMBER('Данные 1st'!$SX$2:$SX$317))</f>
        <v>6</v>
      </c>
      <c r="JE60">
        <f>SUMPRODUCT(--('Данные 1st'!$S$2:$S$317=$A60),--ISNUMBER('Данные 1st'!$SY$2:$SY$317))</f>
        <v>6</v>
      </c>
      <c r="JF60">
        <f>SUMPRODUCT(--('Данные 1st'!$S$2:$S$317=$A60),--ISNUMBER('Данные 1st'!$SZ$2:$SZ$317))</f>
        <v>5</v>
      </c>
      <c r="JG60">
        <f>SUMPRODUCT(--('Данные 1st'!$S$2:$S$317=$A60),--ISNUMBER('Данные 1st'!$TA$2:$TA$317))</f>
        <v>0</v>
      </c>
      <c r="JH60">
        <f>SUMPRODUCT(--('Данные 1st'!$S$2:$S$317=$A60),--ISNUMBER('Данные 1st'!$TB$2:$TB$317))</f>
        <v>6</v>
      </c>
      <c r="JI60">
        <f>SUMPRODUCT(--('Данные 1st'!$S$2:$S$317=$A60),--ISNUMBER('Данные 1st'!$TC$2:$TC$317))</f>
        <v>6</v>
      </c>
      <c r="JJ60">
        <f>SUMPRODUCT(--('Данные 1st'!$S$2:$S$317=$A60),--ISNUMBER('Данные 1st'!$TD$2:$TD$317))</f>
        <v>6</v>
      </c>
      <c r="JK60">
        <f>SUMPRODUCT(--('Данные 1st'!$S$2:$S$317=$A60),--ISNUMBER('Данные 1st'!$TN$2:$TN$317))</f>
        <v>6</v>
      </c>
      <c r="JQ60">
        <f>SUMPRODUCT(--('Данные 2st'!$Q$2:$Q$317=$A60),--ISNUMBER('Данные 2st'!$AC$2:$AC$317))</f>
        <v>6</v>
      </c>
      <c r="JR60">
        <f>SUMPRODUCT(--('Данные 2st'!$Q$2:$Q$317=$A60),--ISNUMBER('Данные 2st'!$AF$2:$AF$317))</f>
        <v>6</v>
      </c>
      <c r="JS60">
        <f>SUMPRODUCT(--('Данные 2st'!$Q$2:$Q$317=$A60),--ISNUMBER('Данные 2st'!$AW$2:$AW$317))</f>
        <v>6</v>
      </c>
      <c r="JT60">
        <f>SUMPRODUCT(--('Данные 2st'!$Q$2:$Q$317=$A60),--ISNUMBER('Данные 2st'!$AX$2:$AX$317))</f>
        <v>6</v>
      </c>
      <c r="JU60">
        <f>SUMPRODUCT(--('Данные 2st'!$Q$2:$Q$317=$A60),--ISNUMBER('Данные 2st'!$AY$2:$AY$317))</f>
        <v>6</v>
      </c>
      <c r="JV60">
        <f>SUMPRODUCT(--('Данные 2st'!$Q$2:$Q$317=$A60),--ISNUMBER('Данные 2st'!$AZ$2:$AZ$317))</f>
        <v>6</v>
      </c>
      <c r="JW60">
        <f>SUMPRODUCT(--('Данные 2st'!$Q$2:$Q$317=$A60),--ISNUMBER('Данные 2st'!$BA$2:$BA$317))</f>
        <v>0</v>
      </c>
      <c r="JX60">
        <f>SUMPRODUCT(--('Данные 2st'!$Q$2:$Q$317=$A60),--ISNUMBER('Данные 2st'!$BB$2:$BB$317))</f>
        <v>0</v>
      </c>
      <c r="JY60">
        <f>SUMPRODUCT(--('Данные 2st'!$Q$2:$Q$317=$A60),--ISNUMBER('Данные 2st'!$BC$2:$BC$317))</f>
        <v>0</v>
      </c>
      <c r="JZ60">
        <f>SUMPRODUCT(--('Данные 2st'!$Q$2:$Q$317=$A60),--ISNUMBER('Данные 2st'!$BH$2:$BH$317))</f>
        <v>6</v>
      </c>
      <c r="KA60">
        <f>SUMPRODUCT(--('Данные 2st'!$Q$2:$Q$317=$A60),--ISNUMBER('Данные 2st'!$BI$2:$BI$317))</f>
        <v>6</v>
      </c>
      <c r="KB60">
        <f>SUMPRODUCT(--('Данные 2st'!$Q$2:$Q$317=$A60),--ISNUMBER('Данные 2st'!$BJ$2:$BJ$317))</f>
        <v>6</v>
      </c>
      <c r="KC60">
        <f>SUMPRODUCT(--('Данные 2st'!$Q$2:$Q$317=$A60),--ISNUMBER('Данные 2st'!$BK$2:$BK$317))</f>
        <v>6</v>
      </c>
      <c r="KD60">
        <f>SUMPRODUCT(--('Данные 2st'!$Q$2:$Q$317=$A60),--ISNUMBER('Данные 2st'!$BL$2:$BL$317))</f>
        <v>6</v>
      </c>
      <c r="KE60">
        <f>SUMPRODUCT(--('Данные 2st'!$Q$2:$Q$317=$A60),--ISNUMBER('Данные 2st'!$BM$2:$BM$317))</f>
        <v>6</v>
      </c>
      <c r="KF60">
        <f>SUMPRODUCT(--('Данные 2st'!$Q$2:$Q$317=$A60),--ISNUMBER('Данные 2st'!$BN$2:$BN$317))</f>
        <v>6</v>
      </c>
      <c r="KG60">
        <f>SUMPRODUCT(--('Данные 2st'!$Q$2:$Q$317=$A60),--ISNUMBER('Данные 2st'!$BO$2:$BO$317))</f>
        <v>2</v>
      </c>
      <c r="KH60">
        <f>SUMPRODUCT(--('Данные 2st'!$Q$2:$Q$317=$A60),--ISNUMBER('Данные 2st'!$BP$2:$BP$317))</f>
        <v>6</v>
      </c>
      <c r="KI60">
        <f>SUMPRODUCT(--('Данные 2st'!$Q$2:$Q$317=$A60),--ISNUMBER('Данные 2st'!$BR$2:$BR$317))</f>
        <v>6</v>
      </c>
      <c r="KJ60">
        <f>SUMPRODUCT(--('Данные 2st'!$Q$2:$Q$317=$A60),--ISNUMBER('Данные 2st'!$BS$2:$BS$317))</f>
        <v>6</v>
      </c>
      <c r="KK60">
        <f>SUMPRODUCT(--('Данные 2st'!$Q$2:$Q$317=$A60),--ISNUMBER('Данные 2st'!$BT$2:$BT$317))</f>
        <v>6</v>
      </c>
      <c r="KL60">
        <f>SUMPRODUCT(--('Данные 2st'!$Q$2:$Q$317=$A60),--ISNUMBER('Данные 2st'!$CV$2:$CV$317))</f>
        <v>6</v>
      </c>
      <c r="KM60">
        <f>SUMPRODUCT(--('Данные 2st'!$Q$2:$Q$317=$A60),--ISNUMBER('Данные 2st'!$CW$2:$CW$317))</f>
        <v>6</v>
      </c>
      <c r="KN60">
        <f>SUMPRODUCT(--('Данные 2st'!$Q$2:$Q$317=$A60),--ISNUMBER('Данные 2st'!$CX$2:$CX$317))</f>
        <v>6</v>
      </c>
      <c r="KO60">
        <f>SUMPRODUCT(--('Данные 2st'!$Q$2:$Q$317=$A60),--ISNUMBER('Данные 2st'!$CY$2:$CY$317))</f>
        <v>6</v>
      </c>
      <c r="KP60">
        <f>SUMPRODUCT(--('Данные 2st'!$Q$2:$Q$317=$A60),--ISNUMBER('Данные 2st'!$CZ$2:$CZ$317))</f>
        <v>6</v>
      </c>
      <c r="KQ60">
        <f>SUMPRODUCT(--('Данные 2st'!$Q$2:$Q$317=$A60),--ISNUMBER('Данные 2st'!$DA$2:$DA$317))</f>
        <v>6</v>
      </c>
      <c r="KR60">
        <f>SUMPRODUCT(--('Данные 2st'!$Q$2:$Q$317=$A60),--ISNUMBER('Данные 2st'!$DB$2:$DB$317))</f>
        <v>6</v>
      </c>
      <c r="KS60">
        <f>SUMPRODUCT(--('Данные 2st'!$Q$2:$Q$317=$A60),--ISNUMBER('Данные 2st'!$DC$2:$DC$317))</f>
        <v>6</v>
      </c>
      <c r="KT60">
        <f>SUMPRODUCT(--('Данные 2st'!$Q$2:$Q$317=$A60),--ISNUMBER('Данные 2st'!$DD$2:$DD$317))</f>
        <v>6</v>
      </c>
      <c r="KU60">
        <f>SUMPRODUCT(--('Данные 2st'!$Q$2:$Q$317=$A60),--ISNUMBER('Данные 2st'!$DE$2:$DE$317))</f>
        <v>6</v>
      </c>
      <c r="KV60">
        <f>SUMPRODUCT(--('Данные 2st'!$Q$2:$Q$317=$A60),--ISNUMBER('Данные 2st'!$DF$2:$DF$317))</f>
        <v>6</v>
      </c>
      <c r="KW60">
        <f>SUMPRODUCT(--('Данные 2st'!$Q$2:$Q$317=$A60),--ISNUMBER('Данные 2st'!$DG$2:$DG$317))</f>
        <v>6</v>
      </c>
      <c r="KX60">
        <f>SUMPRODUCT(--('Данные 2st'!$Q$2:$Q$317=$A60),--ISNUMBER('Данные 2st'!$DH$2:$DH$317))</f>
        <v>6</v>
      </c>
      <c r="KY60">
        <f>SUMPRODUCT(--('Данные 2st'!$Q$2:$Q$317=$A60),--ISNUMBER('Данные 2st'!$DI$2:$DI$317))</f>
        <v>0</v>
      </c>
      <c r="KZ60">
        <f>SUMPRODUCT(--('Данные 2st'!$Q$2:$Q$317=$A60),--ISNUMBER('Данные 2st'!$DK$2:$DK$317))</f>
        <v>6</v>
      </c>
      <c r="LA60">
        <f>SUMPRODUCT(--('Данные 2st'!$Q$2:$Q$317=$A60),--ISNUMBER('Данные 2st'!$DM$2:$DM$317))</f>
        <v>6</v>
      </c>
      <c r="LB60">
        <f>SUMPRODUCT(--('Данные 2st'!$Q$2:$Q$317=$A60),--ISNUMBER('Данные 2st'!$DN$2:$DN$317))</f>
        <v>6</v>
      </c>
      <c r="LC60">
        <f>SUMPRODUCT(--('Данные 2st'!$Q$2:$Q$317=$A60),--ISNUMBER('Данные 2st'!$DO$2:$DO$317))</f>
        <v>6</v>
      </c>
      <c r="LD60">
        <f>SUMPRODUCT(--('Данные 2st'!$Q$2:$Q$317=$A60),--ISNUMBER('Данные 2st'!$DP$2:$DP$317))</f>
        <v>6</v>
      </c>
      <c r="LE60">
        <f>SUMPRODUCT(--('Данные 2st'!$Q$2:$Q$317=$A60),--ISNUMBER('Данные 2st'!$DQ$2:$DQ$317))</f>
        <v>6</v>
      </c>
      <c r="LF60">
        <f>SUMPRODUCT(--('Данные 2st'!$Q$2:$Q$317=$A60),--ISNUMBER('Данные 2st'!$DS$2:$DS$317))</f>
        <v>6</v>
      </c>
      <c r="LG60">
        <f>SUMPRODUCT(--('Данные 2st'!$Q$2:$Q$317=$A60),--ISNUMBER('Данные 2st'!$DU$2:$DU$317))</f>
        <v>6</v>
      </c>
      <c r="LH60">
        <f>SUMPRODUCT(--('Данные 2st'!$Q$2:$Q$317=$A60),--ISNUMBER('Данные 2st'!$DV$2:$DV$317))</f>
        <v>6</v>
      </c>
      <c r="LI60">
        <f>SUMPRODUCT(--('Данные 2st'!$Q$2:$Q$317=$A60),--ISNUMBER('Данные 2st'!$DW$2:$DW$317))</f>
        <v>6</v>
      </c>
      <c r="LJ60">
        <f>SUMPRODUCT(--('Данные 2st'!$Q$2:$Q$317=$A60),--ISNUMBER('Данные 2st'!$DX$2:$DX$317))</f>
        <v>6</v>
      </c>
      <c r="LK60">
        <f>SUMPRODUCT(--('Данные 2st'!$Q$2:$Q$317=$A60),--ISNUMBER('Данные 2st'!$DY$2:$DY$317))</f>
        <v>6</v>
      </c>
      <c r="LL60">
        <f>SUMPRODUCT(--('Данные 2st'!$Q$2:$Q$317=$A60),--ISNUMBER('Данные 2st'!$EA$2:$EA$317))</f>
        <v>6</v>
      </c>
      <c r="LM60">
        <f>SUMPRODUCT(--('Данные 2st'!$Q$2:$Q$317=$A60),--ISNUMBER('Данные 2st'!$EC$2:$EC$317))</f>
        <v>6</v>
      </c>
      <c r="LN60">
        <f>SUMPRODUCT(--('Данные 2st'!$Q$2:$Q$317=$A60),--ISNUMBER('Данные 2st'!$ED$2:$ED$317))</f>
        <v>6</v>
      </c>
      <c r="LO60">
        <f>SUMPRODUCT(--('Данные 2st'!$Q$2:$Q$317=$A60),--ISNUMBER('Данные 2st'!$EE$2:$EE$317))</f>
        <v>6</v>
      </c>
      <c r="LP60">
        <f>SUMPRODUCT(--('Данные 2st'!$Q$2:$Q$317=$A60),--ISNUMBER('Данные 2st'!$EG$2:$EG$317))</f>
        <v>6</v>
      </c>
      <c r="LQ60">
        <f>SUMPRODUCT(--('Данные 2st'!$Q$2:$Q$317=$A60),--ISNUMBER('Данные 2st'!$EI$2:$EI$317))</f>
        <v>6</v>
      </c>
      <c r="LR60">
        <f>SUMPRODUCT(--('Данные 2st'!$Q$2:$Q$317=$A60),--ISNUMBER('Данные 2st'!$EJ$2:$EJ$317))</f>
        <v>0</v>
      </c>
      <c r="LS60">
        <f>SUMPRODUCT(--('Данные 2st'!$Q$2:$Q$317=$A60),--ISNUMBER('Данные 2st'!$EK$2:$EK$317))</f>
        <v>0</v>
      </c>
      <c r="LT60">
        <f>SUMPRODUCT(--('Данные 2st'!$Q$2:$Q$317=$A60),--ISNUMBER('Данные 2st'!$EM$2:$EM$317))</f>
        <v>6</v>
      </c>
      <c r="LU60">
        <f>SUMPRODUCT(--('Данные 2st'!$Q$2:$Q$317=$A60),--ISNUMBER('Данные 2st'!$EN$2:$EN$317))</f>
        <v>6</v>
      </c>
      <c r="LV60">
        <f>SUMPRODUCT(--('Данные 2st'!$Q$2:$Q$317=$A60),--ISNUMBER('Данные 2st'!$EO$2:$EO$317))</f>
        <v>6</v>
      </c>
      <c r="LW60">
        <f>SUMPRODUCT(--('Данные 2st'!$Q$2:$Q$317=$A60),--ISNUMBER('Данные 2st'!$EP$2:$EP$317))</f>
        <v>6</v>
      </c>
      <c r="LX60">
        <f>SUMPRODUCT(--('Данные 2st'!$Q$2:$Q$317=$A60),--ISNUMBER('Данные 2st'!$EQ$2:$EQ$317))</f>
        <v>6</v>
      </c>
      <c r="LY60">
        <f>SUMPRODUCT(--('Данные 2st'!$Q$2:$Q$317=$A60),--ISNUMBER('Данные 2st'!$ER$2:$ER$317))</f>
        <v>6</v>
      </c>
      <c r="LZ60">
        <f>SUMPRODUCT(--('Данные 2st'!$Q$2:$Q$317=$A60),--ISNUMBER('Данные 2st'!$ES$2:$ES$317))</f>
        <v>6</v>
      </c>
      <c r="MA60">
        <f>SUMPRODUCT(--('Данные 2st'!$Q$2:$Q$317=$A60),--ISNUMBER('Данные 2st'!$ET$2:$ET$317))</f>
        <v>6</v>
      </c>
      <c r="MB60">
        <f>SUMPRODUCT(--('Данные 2st'!$Q$2:$Q$317=$A60),--ISNUMBER('Данные 2st'!$EU$2:$EU$317))</f>
        <v>6</v>
      </c>
      <c r="MC60">
        <f>SUMPRODUCT(--('Данные 2st'!$Q$2:$Q$317=$A60),--ISNUMBER('Данные 2st'!$EV$2:$EV$317))</f>
        <v>6</v>
      </c>
      <c r="MD60">
        <f>SUMPRODUCT(--('Данные 2st'!$Q$2:$Q$317=$A60),--ISNUMBER('Данные 2st'!$EW$2:$EW$317))</f>
        <v>6</v>
      </c>
      <c r="ME60">
        <f>SUMPRODUCT(--('Данные 2st'!$Q$2:$Q$317=$A60),--ISNUMBER('Данные 2st'!$EY$2:$EY$317))</f>
        <v>6</v>
      </c>
      <c r="MF60">
        <f>SUMPRODUCT(--('Данные 2st'!$Q$2:$Q$317=$A60),--ISNUMBER('Данные 2st'!$FA$2:$FA$317))</f>
        <v>6</v>
      </c>
      <c r="MG60">
        <f>SUMPRODUCT(--('Данные 2st'!$Q$2:$Q$317=$A60),--ISNUMBER('Данные 2st'!$FB$2:$FB$317))</f>
        <v>6</v>
      </c>
      <c r="MH60">
        <f>SUMPRODUCT(--('Данные 2st'!$Q$2:$Q$317=$A60),--ISNUMBER('Данные 2st'!$FC$2:$FC$317))</f>
        <v>6</v>
      </c>
      <c r="MI60">
        <f>SUMPRODUCT(--('Данные 2st'!$Q$2:$Q$317=$A60),--ISNUMBER('Данные 2st'!$FD$2:$FD$317))</f>
        <v>6</v>
      </c>
      <c r="MJ60">
        <f>SUMPRODUCT(--('Данные 2st'!$Q$2:$Q$317=$A60),--ISNUMBER('Данные 2st'!$FE$2:$FE$317))</f>
        <v>6</v>
      </c>
      <c r="MK60">
        <f>SUMPRODUCT(--('Данные 2st'!$Q$2:$Q$317=$A60),--ISNUMBER('Данные 2st'!$FG$2:$FG$317))</f>
        <v>6</v>
      </c>
      <c r="ML60">
        <f>SUMPRODUCT(--('Данные 2st'!$Q$2:$Q$317=$A60),--ISNUMBER('Данные 2st'!$FI$2:$FI$317))</f>
        <v>6</v>
      </c>
      <c r="MM60">
        <f>SUMPRODUCT(--('Данные 2st'!$Q$2:$Q$317=$A60),--ISNUMBER('Данные 2st'!$FJ$2:$FJ$317))</f>
        <v>6</v>
      </c>
      <c r="MN60">
        <f>SUMPRODUCT(--('Данные 2st'!$Q$2:$Q$317=$A60),--ISNUMBER('Данные 2st'!$FK$2:$FK$317))</f>
        <v>6</v>
      </c>
      <c r="MO60">
        <f>SUMPRODUCT(--('Данные 2st'!$Q$2:$Q$317=$A60),--ISNUMBER('Данные 2st'!$FP$2:$FP$317))</f>
        <v>6</v>
      </c>
      <c r="MP60">
        <f>SUMPRODUCT(--('Данные 2st'!$Q$2:$Q$317=$A60),--ISNUMBER('Данные 2st'!$FQ$2:$FQ$317))</f>
        <v>6</v>
      </c>
      <c r="MQ60">
        <f>SUMPRODUCT(--('Данные 2st'!$Q$2:$Q$317=$A60),--ISNUMBER('Данные 2st'!$FS$2:$FS$317))</f>
        <v>6</v>
      </c>
      <c r="MR60">
        <f>SUMPRODUCT(--('Данные 2st'!$Q$2:$Q$317=$A60),--ISNUMBER('Данные 2st'!$FU$2:$FU$317))</f>
        <v>6</v>
      </c>
      <c r="MS60">
        <f>SUMPRODUCT(--('Данные 2st'!$Q$2:$Q$317=$A60),--ISNUMBER('Данные 2st'!$FV$2:$FV$317))</f>
        <v>6</v>
      </c>
      <c r="MT60">
        <f>SUMPRODUCT(--('Данные 2st'!$Q$2:$Q$317=$A60),--ISNUMBER('Данные 2st'!$FW$2:$FW$317))</f>
        <v>6</v>
      </c>
      <c r="MU60">
        <f>SUMPRODUCT(--('Данные 2st'!$Q$2:$Q$317=$A60),--ISNUMBER('Данные 2st'!$FY$2:$FY$317))</f>
        <v>6</v>
      </c>
      <c r="MV60">
        <f>SUMPRODUCT(--('Данные 2st'!$Q$2:$Q$317=$A60),--ISNUMBER('Данные 2st'!$GB$2:$GB$317))</f>
        <v>6</v>
      </c>
      <c r="MW60">
        <f>SUMPRODUCT(--('Данные 2st'!$Q$2:$Q$317=$A60),--ISNUMBER('Данные 2st'!$GC$2:$GC$317))</f>
        <v>6</v>
      </c>
      <c r="MX60">
        <f>SUMPRODUCT(--('Данные 2st'!$Q$2:$Q$317=$A60),--ISNUMBER('Данные 2st'!$GD$2:$GD$317))</f>
        <v>6</v>
      </c>
      <c r="MY60">
        <f>SUMPRODUCT(--('Данные 2st'!$Q$2:$Q$317=$A60),--ISNUMBER('Данные 2st'!$GN$2:$GN$317))</f>
        <v>0</v>
      </c>
      <c r="MZ60">
        <f>SUMPRODUCT(--('Данные 2st'!$Q$2:$Q$317=$A60),--ISNUMBER('Данные 2st'!$GQ$2:$GQ$317))</f>
        <v>6</v>
      </c>
      <c r="NA60">
        <f>SUMPRODUCT(--('Данные 2st'!$Q$2:$Q$317=$A60),--ISNUMBER('Данные 2st'!$GV$2:$GV$317))</f>
        <v>6</v>
      </c>
      <c r="NB60">
        <f>SUMPRODUCT(--('Данные 2st'!$Q$2:$Q$317=$A60),--ISNUMBER('Данные 2st'!$GW$2:$GW$317))</f>
        <v>6</v>
      </c>
      <c r="NC60">
        <f>SUMPRODUCT(--('Данные 2st'!$Q$2:$Q$317=$A60),--ISNUMBER('Данные 2st'!$GX$2:$GX$317))</f>
        <v>6</v>
      </c>
      <c r="ND60">
        <f>SUMPRODUCT(--('Данные 2st'!$Q$2:$Q$317=$A60),--ISNUMBER('Данные 2st'!$GY$2:$GY$317))</f>
        <v>6</v>
      </c>
      <c r="NE60">
        <f>SUMPRODUCT(--('Данные 2st'!$Q$2:$Q$317=$A60),--ISNUMBER('Данные 2st'!$GZ$2:$GZ$317))</f>
        <v>6</v>
      </c>
      <c r="NF60">
        <f>SUMPRODUCT(--('Данные 2st'!$Q$2:$Q$317=$A60),--ISNUMBER('Данные 2st'!$HA$2:$HA$317))</f>
        <v>6</v>
      </c>
      <c r="NG60">
        <f>SUMPRODUCT(--('Данные 2st'!$Q$2:$Q$317=$A60),--ISNUMBER('Данные 2st'!$HB$2:$HB$317))</f>
        <v>6</v>
      </c>
      <c r="NH60">
        <f>SUMPRODUCT(--('Данные 2st'!$Q$2:$Q$317=$A60),--ISNUMBER('Данные 2st'!$HC$2:$HC$317))</f>
        <v>6</v>
      </c>
      <c r="NI60">
        <f>SUMPRODUCT(--('Данные 2st'!$Q$2:$Q$317=$A60),--ISNUMBER('Данные 2st'!$HD$2:$HD$317))</f>
        <v>6</v>
      </c>
      <c r="NJ60">
        <f>SUMPRODUCT(--('Данные 2st'!$Q$2:$Q$317=$A60),--ISNUMBER('Данные 2st'!$HM$2:$HM$317))</f>
        <v>6</v>
      </c>
      <c r="NK60">
        <f>SUMPRODUCT(--('Данные 2st'!$Q$2:$Q$317=$A60),--ISNUMBER('Данные 2st'!$HR$2:$HR$317))</f>
        <v>6</v>
      </c>
      <c r="NL60">
        <f>SUMPRODUCT(--('Данные 2st'!$Q$2:$Q$317=$A60),--ISNUMBER('Данные 2st'!$HS$2:$HS$317))</f>
        <v>6</v>
      </c>
      <c r="NM60">
        <f>SUMPRODUCT(--('Данные 2st'!$Q$2:$Q$317=$A60),--ISNUMBER('Данные 2st'!$HT$2:$HT$317))</f>
        <v>6</v>
      </c>
      <c r="NN60">
        <f>SUMPRODUCT(--('Данные 2st'!$Q$2:$Q$317=$A60),--ISNUMBER('Данные 2st'!$HY$2:$HY$317))</f>
        <v>6</v>
      </c>
      <c r="NO60">
        <f>SUMPRODUCT(--('Данные 2st'!$Q$2:$Q$317=$A60),--ISNUMBER('Данные 2st'!$HZ$2:$HZ$317))</f>
        <v>6</v>
      </c>
      <c r="NP60">
        <f>SUMPRODUCT(--('Данные 2st'!$Q$2:$Q$317=$A60),--ISNUMBER('Данные 2st'!$IA$2:$IA$317))</f>
        <v>6</v>
      </c>
      <c r="NQ60">
        <f>SUMPRODUCT(--('Данные 2st'!$Q$2:$Q$317=$A60),--ISNUMBER('Данные 2st'!$IB$2:$IB$317))</f>
        <v>6</v>
      </c>
      <c r="NR60">
        <f>SUMPRODUCT(--('Данные 2st'!$Q$2:$Q$317=$A60),--ISNUMBER('Данные 2st'!$IC$2:$IC$317))</f>
        <v>0</v>
      </c>
      <c r="NS60">
        <f>SUMPRODUCT(--('Данные 2st'!$Q$2:$Q$317=$A60),--ISNUMBER('Данные 2st'!$ID$2:$ID$317))</f>
        <v>6</v>
      </c>
      <c r="NT60">
        <f>SUMPRODUCT(--('Данные 2st'!$Q$2:$Q$317=$A60),--ISNUMBER('Данные 2st'!$IE$2:$IE$317))</f>
        <v>6</v>
      </c>
      <c r="NU60">
        <f>SUMPRODUCT(--('Данные 2st'!$Q$2:$Q$317=$A60),--ISNUMBER('Данные 2st'!$IF$2:$IF$317))</f>
        <v>6</v>
      </c>
      <c r="NV60">
        <f>SUMPRODUCT(--('Данные 2st'!$Q$2:$Q$317=$A60),--ISNUMBER('Данные 2st'!$IG$2:$IG$317))</f>
        <v>6</v>
      </c>
      <c r="NW60">
        <f>SUMPRODUCT(--('Данные 2st'!$Q$2:$Q$317=$A60),--ISNUMBER('Данные 2st'!$IH$2:$IH$317))</f>
        <v>6</v>
      </c>
      <c r="NX60">
        <f>SUMPRODUCT(--('Данные 2st'!$Q$2:$Q$317=$A60),--ISNUMBER('Данные 2st'!$IJ$2:$IJ$317))</f>
        <v>6</v>
      </c>
      <c r="NY60">
        <f>SUMPRODUCT(--('Данные 2st'!$Q$2:$Q$317=$A60),--ISNUMBER('Данные 2st'!$IM$2:$IM$317))</f>
        <v>6</v>
      </c>
      <c r="NZ60">
        <f>SUMPRODUCT(--('Данные 2st'!$Q$2:$Q$317=$A60),--ISNUMBER('Данные 2st'!$IN$2:$IN$317))</f>
        <v>6</v>
      </c>
      <c r="OA60">
        <f>SUMPRODUCT(--('Данные 2st'!$Q$2:$Q$317=$A60),--ISNUMBER('Данные 2st'!$IO$2:$IO$317))</f>
        <v>6</v>
      </c>
      <c r="OB60">
        <f>SUMPRODUCT(--('Данные 2st'!$Q$2:$Q$317=$A60),--ISNUMBER('Данные 2st'!$IP$2:$IP$317))</f>
        <v>6</v>
      </c>
      <c r="OC60">
        <f>SUMPRODUCT(--('Данные 2st'!$Q$2:$Q$317=$A60),--ISNUMBER('Данные 2st'!$IQ$2:$IQ$317))</f>
        <v>6</v>
      </c>
      <c r="OD60">
        <f>SUMPRODUCT(--('Данные 2st'!$Q$2:$Q$317=$A60),--ISNUMBER('Данные 2st'!$IR$2:$IR$317))</f>
        <v>6</v>
      </c>
      <c r="OE60">
        <f>SUMPRODUCT(--('Данные 2st'!$Q$2:$Q$317=$A60),--ISNUMBER('Данные 2st'!$IT$2:$IT$317))</f>
        <v>6</v>
      </c>
      <c r="OF60">
        <f>SUMPRODUCT(--('Данные 2st'!$Q$2:$Q$317=$A60),--ISNUMBER('Данные 2st'!$IU$2:$IU$317))</f>
        <v>6</v>
      </c>
      <c r="OG60">
        <f>SUMPRODUCT(--('Данные 2st'!$Q$2:$Q$317=$A60),--ISNUMBER('Данные 2st'!$IV$2:$IV$317))</f>
        <v>6</v>
      </c>
      <c r="OH60">
        <f>SUMPRODUCT(--('Данные 2st'!$Q$2:$Q$317=$A60),--ISNUMBER('Данные 2st'!$IW$2:$IW$317))</f>
        <v>6</v>
      </c>
      <c r="OI60">
        <f>SUMPRODUCT(--('Данные 2st'!$Q$2:$Q$317=$A60),--ISNUMBER('Данные 2st'!$IX$2:$IX$317))</f>
        <v>6</v>
      </c>
      <c r="OJ60">
        <f>SUMPRODUCT(--('Данные 2st'!$Q$2:$Q$317=$A60),--ISNUMBER('Данные 2st'!$IY$2:$IY$317))</f>
        <v>6</v>
      </c>
      <c r="OK60">
        <f>SUMPRODUCT(--('Данные 2st'!$Q$2:$Q$317=$A60),--ISNUMBER('Данные 2st'!$IZ$2:$IZ$317))</f>
        <v>6</v>
      </c>
      <c r="OL60">
        <f>SUMPRODUCT(--('Данные 2st'!$Q$2:$Q$317=$A60),--ISNUMBER('Данные 2st'!$JA$2:$JA$317))</f>
        <v>6</v>
      </c>
      <c r="OM60">
        <f>SUMPRODUCT(--('Данные 2st'!$Q$2:$Q$317=$A60),--ISNUMBER('Данные 2st'!$JB$2:$JB$317))</f>
        <v>6</v>
      </c>
      <c r="ON60">
        <f>SUMPRODUCT(--('Данные 2st'!$Q$2:$Q$317=$A60),--ISNUMBER('Данные 2st'!$JC$2:$JC$317))</f>
        <v>6</v>
      </c>
      <c r="OO60">
        <f>SUMPRODUCT(--('Данные 2st'!$Q$2:$Q$317=$A60),--ISNUMBER('Данные 2st'!$JD$2:$JD$317))</f>
        <v>6</v>
      </c>
      <c r="OP60">
        <f>SUMPRODUCT(--('Данные 2st'!$Q$2:$Q$317=$A60),--ISNUMBER('Данные 2st'!$JE$2:$JE$317))</f>
        <v>6</v>
      </c>
      <c r="OQ60">
        <f>SUMPRODUCT(--('Данные 2st'!$Q$2:$Q$317=$A60),--ISNUMBER('Данные 2st'!$JF$2:$JF$317))</f>
        <v>6</v>
      </c>
      <c r="OR60">
        <f>SUMPRODUCT(--('Данные 2st'!$Q$2:$Q$317=$A60),--ISNUMBER('Данные 2st'!$JG$2:$JG$317))</f>
        <v>6</v>
      </c>
      <c r="OS60">
        <f>SUMPRODUCT(--('Данные 2st'!$Q$2:$Q$317=$A60),--ISNUMBER('Данные 2st'!$JH$2:$JH$317))</f>
        <v>6</v>
      </c>
      <c r="OT60">
        <f>SUMPRODUCT(--('Данные 2st'!$Q$2:$Q$317=$A60),--ISNUMBER('Данные 2st'!$JI$2:$JI$317))</f>
        <v>6</v>
      </c>
      <c r="OU60">
        <f>SUMPRODUCT(--('Данные 2st'!$Q$2:$Q$317=$A60),--ISNUMBER('Данные 2st'!$JJ$2:$JJ$317))</f>
        <v>6</v>
      </c>
      <c r="OV60">
        <f>SUMPRODUCT(--('Данные 2st'!$Q$2:$Q$317=$A60),--ISNUMBER('Данные 2st'!$JK$2:$JK$317))</f>
        <v>6</v>
      </c>
      <c r="OW60">
        <f>SUMPRODUCT(--('Данные 2st'!$Q$2:$Q$317=$A60),--ISNUMBER('Данные 2st'!$JL$2:$JL$317))</f>
        <v>6</v>
      </c>
      <c r="OX60">
        <f>SUMPRODUCT(--('Данные 2st'!$Q$2:$Q$317=$A60),--ISNUMBER('Данные 2st'!$JM$2:$JM$317))</f>
        <v>6</v>
      </c>
      <c r="OY60">
        <f>SUMPRODUCT(--('Данные 2st'!$Q$2:$Q$317=$A60),--ISNUMBER('Данные 2st'!$JP$2:$JP$317))</f>
        <v>6</v>
      </c>
      <c r="OZ60">
        <f>SUMPRODUCT(--('Данные 2st'!$Q$2:$Q$317=$A60),--ISNUMBER('Данные 2st'!$JQ$2:$JQ$317))</f>
        <v>6</v>
      </c>
      <c r="PA60">
        <f>SUMPRODUCT(--('Данные 2st'!$Q$2:$Q$317=$A60),--ISNUMBER('Данные 2st'!$JR$2:$JR$317))</f>
        <v>6</v>
      </c>
      <c r="PB60">
        <f>SUMPRODUCT(--('Данные 2st'!$Q$2:$Q$317=$A60),--ISNUMBER('Данные 2st'!$JS$2:$JS$317))</f>
        <v>6</v>
      </c>
      <c r="PC60">
        <f>SUMPRODUCT(--('Данные 2st'!$Q$2:$Q$317=$A60),--ISNUMBER('Данные 2st'!$JT$2:$JT$317))</f>
        <v>6</v>
      </c>
      <c r="PD60">
        <f>SUMPRODUCT(--('Данные 2st'!$Q$2:$Q$317=$A60),--ISNUMBER('Данные 2st'!$JU$2:$JU$317))</f>
        <v>6</v>
      </c>
      <c r="PE60">
        <f>SUMPRODUCT(--('Данные 2st'!$Q$2:$Q$317=$A60),--ISNUMBER('Данные 2st'!$JV$2:$JV$317))</f>
        <v>6</v>
      </c>
      <c r="PF60">
        <f>SUMPRODUCT(--('Данные 2st'!$Q$2:$Q$317=$A60),--ISNUMBER('Данные 2st'!$JW$2:$JW$317))</f>
        <v>6</v>
      </c>
      <c r="PG60">
        <f>SUMPRODUCT(--('Данные 2st'!$Q$2:$Q$317=$A60),--ISNUMBER('Данные 2st'!$KF$2:$KF$317))</f>
        <v>6</v>
      </c>
      <c r="PH60">
        <f>SUMPRODUCT(--('Данные 2st'!$Q$2:$Q$317=$A60),--ISNUMBER('Данные 2st'!$KG$2:$KG$317))</f>
        <v>6</v>
      </c>
      <c r="PI60">
        <f>SUMPRODUCT(--('Данные 2st'!$Q$2:$Q$317=$A60),--ISNUMBER('Данные 2st'!$KM$2:$KM$317))</f>
        <v>6</v>
      </c>
      <c r="PJ60">
        <f>SUMPRODUCT(--('Данные 2st'!$Q$2:$Q$317=$A60),--ISNUMBER('Данные 2st'!$KN$2:$KN$317))</f>
        <v>6</v>
      </c>
      <c r="PK60">
        <f>SUMPRODUCT(--('Данные 2st'!$Q$2:$Q$317=$A60),--ISNUMBER('Данные 2st'!$KO$2:$KO$317))</f>
        <v>6</v>
      </c>
      <c r="PL60">
        <f>SUMPRODUCT(--('Данные 2st'!$Q$2:$Q$317=$A60),--ISNUMBER('Данные 2st'!$KP$2:$KP$317))</f>
        <v>6</v>
      </c>
      <c r="PM60">
        <f>SUMPRODUCT(--('Данные 2st'!$Q$2:$Q$317=$A60),--ISNUMBER('Данные 2st'!$KQ$2:$KQ$317))</f>
        <v>6</v>
      </c>
      <c r="PN60">
        <f>SUMPRODUCT(--('Данные 2st'!$Q$2:$Q$317=$A60),--ISNUMBER('Данные 2st'!$KR$2:$KR$317))</f>
        <v>6</v>
      </c>
      <c r="PO60">
        <f>SUMPRODUCT(--('Данные 2st'!$Q$2:$Q$317=$A60),--ISNUMBER('Данные 2st'!$KS$2:$KS$317))</f>
        <v>6</v>
      </c>
      <c r="PP60">
        <f>SUMPRODUCT(--('Данные 2st'!$Q$2:$Q$317=$A60),--ISNUMBER('Данные 2st'!$KT$2:$KT$317))</f>
        <v>6</v>
      </c>
      <c r="PQ60">
        <f>SUMPRODUCT(--('Данные 2st'!$Q$2:$Q$317=$A60),--ISNUMBER('Данные 2st'!$KU$2:$KU$317))</f>
        <v>6</v>
      </c>
      <c r="PR60">
        <f>SUMPRODUCT(--('Данные 2st'!$Q$2:$Q$317=$A60),--ISNUMBER('Данные 2st'!$KV$2:$KV$317))</f>
        <v>6</v>
      </c>
      <c r="PS60">
        <f>SUMPRODUCT(--('Данные 2st'!$Q$2:$Q$317=$A60),--ISNUMBER('Данные 2st'!$KW$2:$KW$317))</f>
        <v>6</v>
      </c>
      <c r="PT60">
        <f>SUMPRODUCT(--('Данные 2st'!$Q$2:$Q$317=$A60),--ISNUMBER('Данные 2st'!$KX$2:$KX$317))</f>
        <v>6</v>
      </c>
      <c r="PU60">
        <f>SUMPRODUCT(--('Данные 2st'!$Q$2:$Q$317=$A60),--ISNUMBER('Данные 2st'!$KY$2:$KY$317))</f>
        <v>6</v>
      </c>
      <c r="PV60">
        <f>SUMPRODUCT(--('Данные 2st'!$Q$2:$Q$317=$A60),--ISNUMBER('Данные 2st'!$KZ$2:$KZ$317))</f>
        <v>6</v>
      </c>
      <c r="PW60">
        <f>SUMPRODUCT(--('Данные 2st'!$Q$2:$Q$317=$A60),--ISNUMBER('Данные 2st'!$LA$2:$LA$317))</f>
        <v>6</v>
      </c>
      <c r="PX60">
        <f>SUMPRODUCT(--('Данные 2st'!$Q$2:$Q$317=$A60),--ISNUMBER('Данные 2st'!$LB$2:$LB$317))</f>
        <v>6</v>
      </c>
      <c r="PY60">
        <f>SUMPRODUCT(--('Данные 2st'!$Q$2:$Q$317=$A60),--ISNUMBER('Данные 2st'!$LC$2:$LC$317))</f>
        <v>6</v>
      </c>
      <c r="PZ60">
        <f>SUMPRODUCT(--('Данные 2st'!$Q$2:$Q$317=$A60),--ISNUMBER('Данные 2st'!$LD$2:$LD$317))</f>
        <v>6</v>
      </c>
      <c r="QA60">
        <f>SUMPRODUCT(--('Данные 2st'!$Q$2:$Q$317=$A60),--ISNUMBER('Данные 2st'!$LE$2:$LE$317))</f>
        <v>6</v>
      </c>
      <c r="QB60">
        <f>SUMPRODUCT(--('Данные 2st'!$Q$2:$Q$317=$A60),--ISNUMBER('Данные 2st'!$LF$2:$LF$317))</f>
        <v>6</v>
      </c>
      <c r="QC60">
        <f>SUMPRODUCT(--('Данные 2st'!$Q$2:$Q$317=$A60),--ISNUMBER('Данные 2st'!$LG$2:$LG$317))</f>
        <v>6</v>
      </c>
      <c r="QD60">
        <f>SUMPRODUCT(--('Данные 2st'!$Q$2:$Q$317=$A60),--ISNUMBER('Данные 2st'!$LH$2:$LH$317))</f>
        <v>6</v>
      </c>
      <c r="QE60">
        <f>SUMPRODUCT(--('Данные 2st'!$Q$2:$Q$317=$A60),--ISNUMBER('Данные 2st'!$LJ$2:$LJ$317))</f>
        <v>6</v>
      </c>
      <c r="QF60">
        <f>SUMPRODUCT(--('Данные 2st'!$Q$2:$Q$317=$A60),--ISNUMBER('Данные 2st'!$LK$2:$LK$317))</f>
        <v>6</v>
      </c>
      <c r="QG60">
        <f>SUMPRODUCT(--('Данные 2st'!$Q$2:$Q$317=$A60),--ISNUMBER('Данные 2st'!$LL$2:$LL$317))</f>
        <v>6</v>
      </c>
      <c r="QH60">
        <f>SUMPRODUCT(--('Данные 2st'!$Q$2:$Q$317=$A60),--ISNUMBER('Данные 2st'!$LM$2:$LM$317))</f>
        <v>6</v>
      </c>
      <c r="QI60">
        <f>SUMPRODUCT(--('Данные 2st'!$Q$2:$Q$317=$A60),--ISNUMBER('Данные 2st'!$LN$2:$LN$317))</f>
        <v>6</v>
      </c>
      <c r="QJ60">
        <f>SUMPRODUCT(--('Данные 2st'!$Q$2:$Q$317=$A60),--ISNUMBER('Данные 2st'!$LO$2:$LO$317))</f>
        <v>6</v>
      </c>
      <c r="QK60">
        <f>SUMPRODUCT(--('Данные 2st'!$Q$2:$Q$317=$A60),--ISNUMBER('Данные 2st'!$LP$2:$LP$317))</f>
        <v>6</v>
      </c>
      <c r="QL60">
        <f>SUMPRODUCT(--('Данные 2st'!$Q$2:$Q$317=$A60),--ISNUMBER('Данные 2st'!$LQ$2:$LQ$317))</f>
        <v>6</v>
      </c>
      <c r="QM60">
        <f>SUMPRODUCT(--('Данные 2st'!$Q$2:$Q$317=$A60),--ISNUMBER('Данные 2st'!$LW$2:$LW$317))</f>
        <v>6</v>
      </c>
      <c r="QN60">
        <f>SUMPRODUCT(--('Данные 2st'!$Q$2:$Q$317=$A60),--ISNUMBER('Данные 2st'!$LX$2:$LX$317))</f>
        <v>6</v>
      </c>
      <c r="QO60">
        <f>SUMPRODUCT(--('Данные 2st'!$Q$2:$Q$317=$A60),--ISNUMBER('Данные 2st'!$LY$2:$LY$317))</f>
        <v>6</v>
      </c>
      <c r="QP60">
        <f>SUMPRODUCT(--('Данные 2st'!$Q$2:$Q$317=$A60),--ISNUMBER('Данные 2st'!$LZ$2:$LZ$317))</f>
        <v>6</v>
      </c>
      <c r="QQ60">
        <f>SUMPRODUCT(--('Данные 2st'!$Q$2:$Q$317=$A60),--ISNUMBER('Данные 2st'!$MB$2:$MB$317))</f>
        <v>6</v>
      </c>
      <c r="QR60">
        <f>SUMPRODUCT(--('Данные 2st'!$Q$2:$Q$317=$A60),--ISNUMBER('Данные 2st'!$MG$2:$MG$317))</f>
        <v>4</v>
      </c>
      <c r="QS60">
        <f>SUMPRODUCT(--('Данные 2st'!$Q$2:$Q$317=$A60),--ISNUMBER('Данные 2st'!$MH$2:$MH$317))</f>
        <v>4</v>
      </c>
      <c r="QT60">
        <f>SUMPRODUCT(--('Данные 2st'!$Q$2:$Q$317=$A60),--ISNUMBER('Данные 2st'!$MI$2:$MI$317))</f>
        <v>6</v>
      </c>
      <c r="QU60">
        <f>SUMPRODUCT(--('Данные 2st'!$Q$2:$Q$317=$A60),--ISNUMBER('Данные 2st'!$MJ$2:$MJ$317))</f>
        <v>6</v>
      </c>
      <c r="QV60">
        <f>SUMPRODUCT(--('Данные 2st'!$Q$2:$Q$317=$A60),--ISNUMBER('Данные 2st'!$MK$2:$MK$317))</f>
        <v>4</v>
      </c>
      <c r="QW60">
        <f>SUMPRODUCT(--('Данные 2st'!$Q$2:$Q$317=$A60),--ISNUMBER('Данные 2st'!$MM$2:$MM$317))</f>
        <v>6</v>
      </c>
      <c r="QX60">
        <f>SUMPRODUCT(--('Данные 2st'!$Q$2:$Q$317=$A60),--ISNUMBER('Данные 2st'!$MQ$2:$MQ$317))</f>
        <v>0</v>
      </c>
      <c r="QY60">
        <f>SUMPRODUCT(--('Данные 2st'!$Q$2:$Q$317=$A60),--ISNUMBER('Данные 2st'!$MR$2:$MR$317))</f>
        <v>0</v>
      </c>
      <c r="QZ60">
        <f>SUMPRODUCT(--('Данные 2st'!$Q$2:$Q$317=$A60),--ISNUMBER('Данные 2st'!$MS$2:$MS$317))</f>
        <v>0</v>
      </c>
      <c r="RA60">
        <f>SUMPRODUCT(--('Данные 2st'!$Q$2:$Q$317=$A60),--ISNUMBER('Данные 2st'!$MT$2:$MT$317))</f>
        <v>0</v>
      </c>
      <c r="RB60">
        <f>SUMPRODUCT(--('Данные 2st'!$Q$2:$Q$317=$A60),--ISNUMBER('Данные 2st'!$MU$2:$MU$317))</f>
        <v>0</v>
      </c>
      <c r="RC60">
        <f>SUMPRODUCT(--('Данные 2st'!$Q$2:$Q$317=$A60),--ISNUMBER('Данные 2st'!$MV$2:$MV$317))</f>
        <v>0</v>
      </c>
      <c r="RD60">
        <f>SUMPRODUCT(--('Данные 2st'!$Q$2:$Q$317=$A60),--ISNUMBER('Данные 2st'!$MW$2:$MW$317))</f>
        <v>0</v>
      </c>
      <c r="RE60">
        <f>SUMPRODUCT(--('Данные 2st'!$Q$2:$Q$317=$A60),--ISNUMBER('Данные 2st'!$MX$2:$MX$317))</f>
        <v>0</v>
      </c>
      <c r="RF60">
        <f>SUMPRODUCT(--('Данные 2st'!$Q$2:$Q$317=$A60),--ISNUMBER('Данные 2st'!$MY$2:$MY$317))</f>
        <v>0</v>
      </c>
      <c r="RG60">
        <f>SUMPRODUCT(--('Данные 2st'!$Q$2:$Q$317=$A60),--ISNUMBER('Данные 2st'!$MZ$2:$MZ$317))</f>
        <v>0</v>
      </c>
      <c r="RH60">
        <f>SUMPRODUCT(--('Данные 2st'!$Q$2:$Q$317=$A60),--ISNUMBER('Данные 2st'!$NA$2:$NA$317))</f>
        <v>0</v>
      </c>
      <c r="RI60">
        <f>SUMPRODUCT(--('Данные 2st'!$Q$2:$Q$317=$A60),--ISNUMBER('Данные 2st'!$NB$2:$NB$317))</f>
        <v>0</v>
      </c>
      <c r="RJ60">
        <f>SUMPRODUCT(--('Данные 2st'!$Q$2:$Q$317=$A60),--ISNUMBER('Данные 2st'!$NC$2:$NC$317))</f>
        <v>0</v>
      </c>
      <c r="RK60">
        <f>SUMPRODUCT(--('Данные 2st'!$Q$2:$Q$317=$A60),--ISNUMBER('Данные 2st'!$ND$2:$ND$317))</f>
        <v>0</v>
      </c>
      <c r="RL60">
        <f>SUMPRODUCT(--('Данные 2st'!$Q$2:$Q$317=$A60),--ISNUMBER('Данные 2st'!$NE$2:$NE$317))</f>
        <v>0</v>
      </c>
      <c r="RM60">
        <f>SUMPRODUCT(--('Данные 2st'!$Q$2:$Q$317=$A60),--ISNUMBER('Данные 2st'!$NF$2:$NF$317))</f>
        <v>0</v>
      </c>
      <c r="RN60">
        <f>SUMPRODUCT(--('Данные 2st'!$Q$2:$Q$317=$A60),--ISNUMBER('Данные 2st'!$NG$2:$NG$317))</f>
        <v>0</v>
      </c>
      <c r="RO60">
        <f>SUMPRODUCT(--('Данные 2st'!$Q$2:$Q$317=$A60),--ISNUMBER('Данные 2st'!$NH$2:$NH$317))</f>
        <v>0</v>
      </c>
      <c r="RP60">
        <f>SUMPRODUCT(--('Данные 2st'!$Q$2:$Q$317=$A60),--ISNUMBER('Данные 2st'!$NJ$2:$NJ$317))</f>
        <v>0</v>
      </c>
      <c r="RQ60">
        <f>SUMPRODUCT(--('Данные 2st'!$Q$2:$Q$317=$A60),--ISNUMBER('Данные 2st'!$NK$2:$NK$317))</f>
        <v>0</v>
      </c>
      <c r="RR60">
        <f>SUMPRODUCT(--('Данные 2st'!$Q$2:$Q$317=$A60),--ISNUMBER('Данные 2st'!$NM$2:$NM$317))</f>
        <v>0</v>
      </c>
      <c r="RS60">
        <f>SUMPRODUCT(--('Данные 2st'!$Q$2:$Q$317=$A60),--ISNUMBER('Данные 2st'!$NN$2:$NN$317))</f>
        <v>0</v>
      </c>
      <c r="RT60">
        <f>SUMPRODUCT(--('Данные 2st'!$Q$2:$Q$317=$A60),--ISNUMBER('Данные 2st'!$NO$2:$NO$317))</f>
        <v>0</v>
      </c>
      <c r="RU60">
        <f>SUMPRODUCT(--('Данные 2st'!$Q$2:$Q$317=$A60),--ISNUMBER('Данные 2st'!$NP$2:$NP$317))</f>
        <v>0</v>
      </c>
      <c r="RV60">
        <f>SUMPRODUCT(--('Данные 2st'!$Q$2:$Q$317=$A60),--ISNUMBER('Данные 2st'!$NQ$2:$NQ$317))</f>
        <v>0</v>
      </c>
      <c r="RW60">
        <f>SUMPRODUCT(--('Данные 2st'!$Q$2:$Q$317=$A60),--ISNUMBER('Данные 2st'!$NR$2:$NR$317))</f>
        <v>0</v>
      </c>
      <c r="RX60">
        <f>SUMPRODUCT(--('Данные 2st'!$Q$2:$Q$317=$A60),--ISNUMBER('Данные 2st'!$NS$2:$NS$317))</f>
        <v>0</v>
      </c>
      <c r="RY60">
        <f>SUMPRODUCT(--('Данные 2st'!$Q$2:$Q$317=$A60),--ISNUMBER('Данные 2st'!$NT$2:$NT$317))</f>
        <v>0</v>
      </c>
      <c r="RZ60">
        <f>SUMPRODUCT(--('Данные 2st'!$Q$2:$Q$317=$A60),--ISNUMBER('Данные 2st'!$OK$2:$OK$317))</f>
        <v>6</v>
      </c>
      <c r="SA60">
        <f>SUMPRODUCT(--('Данные 2st'!$Q$2:$Q$317=$A60),--ISNUMBER('Данные 2st'!$OL$2:$OL$317))</f>
        <v>6</v>
      </c>
      <c r="SB60">
        <f>SUMPRODUCT(--('Данные 2st'!$Q$2:$Q$317=$A60),--ISNUMBER('Данные 2st'!$ON$2:$ON$317))</f>
        <v>6</v>
      </c>
      <c r="SC60">
        <f>SUMPRODUCT(--('Данные 2st'!$Q$2:$Q$317=$A60),--ISNUMBER('Данные 2st'!$OO$2:$OO$317))</f>
        <v>6</v>
      </c>
      <c r="SD60">
        <f>SUMPRODUCT(--('Данные 2st'!$Q$2:$Q$317=$A60),--ISNUMBER('Данные 2st'!$OP$2:$OP$317))</f>
        <v>6</v>
      </c>
      <c r="SE60">
        <f>SUMPRODUCT(--('Данные 2st'!$Q$2:$Q$317=$A60),--ISNUMBER('Данные 2st'!$OQ$2:$OQ$317))</f>
        <v>6</v>
      </c>
      <c r="SF60">
        <f>SUMPRODUCT(--('Данные 2st'!$Q$2:$Q$317=$A60),--ISNUMBER('Данные 2st'!$OS$2:$OS$317))</f>
        <v>6</v>
      </c>
      <c r="SG60">
        <f>SUMPRODUCT(--('Данные 2st'!$Q$2:$Q$317=$A60),--ISNUMBER('Данные 2st'!$OT$2:$OT$317))</f>
        <v>6</v>
      </c>
      <c r="SH60">
        <f>SUMPRODUCT(--('Данные 2st'!$Q$2:$Q$317=$A60),--ISNUMBER('Данные 2st'!$OU$2:$OU$317))</f>
        <v>6</v>
      </c>
      <c r="SI60">
        <f>SUMPRODUCT(--('Данные 2st'!$Q$2:$Q$317=$A60),--ISNUMBER('Данные 2st'!$OV$2:$OV$317))</f>
        <v>6</v>
      </c>
      <c r="SJ60">
        <f>SUMPRODUCT(--('Данные 2st'!$Q$2:$Q$317=$A60),--ISNUMBER('Данные 2st'!$OX$2:$OX$317))</f>
        <v>6</v>
      </c>
      <c r="SK60">
        <f>SUMPRODUCT(--('Данные 2st'!$Q$2:$Q$317=$A60),--ISNUMBER('Данные 2st'!$OY$2:$OY$317))</f>
        <v>6</v>
      </c>
      <c r="SL60">
        <f>SUMPRODUCT(--('Данные 2st'!$Q$2:$Q$317=$A60),--ISNUMBER('Данные 2st'!$OZ$2:$OZ$317))</f>
        <v>6</v>
      </c>
      <c r="SM60">
        <f>SUMPRODUCT(--('Данные 2st'!$Q$2:$Q$317=$A60),--ISNUMBER('Данные 2st'!$PA$2:$PA$317))</f>
        <v>6</v>
      </c>
      <c r="SN60">
        <f>SUMPRODUCT(--('Данные 2st'!$Q$2:$Q$317=$A60),--ISNUMBER('Данные 2st'!$PC$2:$PC$317))</f>
        <v>6</v>
      </c>
      <c r="SO60">
        <f>SUMPRODUCT(--('Данные 2st'!$Q$2:$Q$317=$A60),--ISNUMBER('Данные 2st'!$PD$2:$PD$317))</f>
        <v>6</v>
      </c>
      <c r="SP60">
        <f>SUMPRODUCT(--('Данные 2st'!$Q$2:$Q$317=$A60),--ISNUMBER('Данные 2st'!$PF$2:$PF$317))</f>
        <v>6</v>
      </c>
      <c r="SQ60">
        <f>SUMPRODUCT(--('Данные 2st'!$Q$2:$Q$317=$A60),--ISNUMBER('Данные 2st'!$PG$2:$PG$317))</f>
        <v>6</v>
      </c>
      <c r="SR60">
        <f>SUMPRODUCT(--('Данные 2st'!$Q$2:$Q$317=$A60),--ISNUMBER('Данные 2st'!$PH$2:$PH$317))</f>
        <v>6</v>
      </c>
      <c r="SS60">
        <f>SUMPRODUCT(--('Данные 2st'!$Q$2:$Q$317=$A60),--ISNUMBER('Данные 2st'!$PI$2:$PI$317))</f>
        <v>6</v>
      </c>
      <c r="ST60">
        <f>SUMPRODUCT(--('Данные 2st'!$Q$2:$Q$317=$A60),--ISNUMBER('Данные 2st'!$PJ$2:$PJ$317))</f>
        <v>6</v>
      </c>
      <c r="SU60">
        <f>SUMPRODUCT(--('Данные 2st'!$Q$2:$Q$317=$A60),--ISNUMBER('Данные 2st'!$PK$2:$PK$317))</f>
        <v>6</v>
      </c>
      <c r="SV60">
        <f>SUMPRODUCT(--('Данные 2st'!$Q$2:$Q$317=$A60),--ISNUMBER('Данные 2st'!$PL$2:$PL$317))</f>
        <v>6</v>
      </c>
      <c r="SW60">
        <f>SUMPRODUCT(--('Данные 2st'!$Q$2:$Q$317=$A60),--ISNUMBER('Данные 2st'!$PM$2:$PM$317))</f>
        <v>6</v>
      </c>
      <c r="SX60">
        <f>SUMPRODUCT(--('Данные 2st'!$Q$2:$Q$317=$A60),--ISNUMBER('Данные 2st'!$PN$2:$PN$317))</f>
        <v>6</v>
      </c>
      <c r="SY60">
        <f>SUMPRODUCT(--('Данные 2st'!$Q$2:$Q$317=$A60),--ISNUMBER('Данные 2st'!$PO$2:$PO$317))</f>
        <v>6</v>
      </c>
      <c r="SZ60">
        <f>SUMPRODUCT(--('Данные 2st'!$Q$2:$Q$317=$A60),--ISNUMBER('Данные 2st'!$PP$2:$PP$317))</f>
        <v>6</v>
      </c>
      <c r="TA60">
        <f>SUMPRODUCT(--('Данные 2st'!$Q$2:$Q$317=$A60),--ISNUMBER('Данные 2st'!$PQ$2:$PQ$317))</f>
        <v>6</v>
      </c>
      <c r="TB60">
        <f>SUMPRODUCT(--('Данные 2st'!$Q$2:$Q$317=$A60),--ISNUMBER('Данные 2st'!$PR$2:$PR$317))</f>
        <v>6</v>
      </c>
      <c r="TC60">
        <f>SUMPRODUCT(--('Данные 2st'!$Q$2:$Q$317=$A60),--ISNUMBER('Данные 2st'!$PS$2:$PS$317))</f>
        <v>6</v>
      </c>
      <c r="TD60">
        <f>SUMPRODUCT(--('Данные 2st'!$Q$2:$Q$317=$A60),--ISNUMBER('Данные 2st'!$PT$2:$PT$317))</f>
        <v>6</v>
      </c>
      <c r="TE60">
        <f>SUMPRODUCT(--('Данные 2st'!$Q$2:$Q$317=$A60),--ISNUMBER('Данные 2st'!$PU$2:$PU$317))</f>
        <v>6</v>
      </c>
      <c r="TF60">
        <f>SUMPRODUCT(--('Данные 2st'!$Q$2:$Q$317=$A60),--ISNUMBER('Данные 2st'!$PX$2:$PX$317))</f>
        <v>6</v>
      </c>
      <c r="TG60">
        <f>SUMPRODUCT(--('Данные 2st'!$Q$2:$Q$317=$A60),--ISNUMBER('Данные 2st'!$PY$2:$PY$317))</f>
        <v>6</v>
      </c>
      <c r="TH60">
        <f>SUMPRODUCT(--('Данные 2st'!$Q$2:$Q$317=$A60),--ISNUMBER('Данные 2st'!$PZ$2:$PZ$317))</f>
        <v>6</v>
      </c>
      <c r="TI60">
        <f>SUMPRODUCT(--('Данные 2st'!$Q$2:$Q$317=$A60),--ISNUMBER('Данные 2st'!$QA$2:$QA$317))</f>
        <v>6</v>
      </c>
      <c r="TJ60">
        <f>SUMPRODUCT(--('Данные 2st'!$Q$2:$Q$317=$A60),--ISNUMBER('Данные 2st'!$QB$2:$QB$317))</f>
        <v>6</v>
      </c>
      <c r="TK60">
        <f>SUMPRODUCT(--('Данные 2st'!$Q$2:$Q$317=$A60),--ISNUMBER('Данные 2st'!$QC$2:$QC$317))</f>
        <v>6</v>
      </c>
      <c r="TL60">
        <f>SUMPRODUCT(--('Данные 2st'!$Q$2:$Q$317=$A60),--ISNUMBER('Данные 2st'!$QD$2:$QD$317))</f>
        <v>6</v>
      </c>
      <c r="TM60">
        <f>SUMPRODUCT(--('Данные 2st'!$Q$2:$Q$317=$A60),--ISNUMBER('Данные 2st'!$QE$2:$QE$317))</f>
        <v>6</v>
      </c>
      <c r="TN60">
        <f>SUMPRODUCT(--('Данные 2st'!$Q$2:$Q$317=$A60),--ISNUMBER('Данные 2st'!$QF$2:$QF$317))</f>
        <v>6</v>
      </c>
      <c r="TO60">
        <f>SUMPRODUCT(--('Данные 2st'!$Q$2:$Q$317=$A60),--ISNUMBER('Данные 2st'!$QG$2:$QG$317))</f>
        <v>6</v>
      </c>
      <c r="TP60">
        <f>SUMPRODUCT(--('Данные 2st'!$Q$2:$Q$317=$A60),--ISNUMBER('Данные 2st'!$QH$2:$QH$317))</f>
        <v>6</v>
      </c>
      <c r="TQ60">
        <f>SUMPRODUCT(--('Данные 2st'!$Q$2:$Q$317=$A60),--ISNUMBER('Данные 2st'!$QI$2:$QI$317))</f>
        <v>6</v>
      </c>
      <c r="TR60">
        <f>SUMPRODUCT(--('Данные 2st'!$Q$2:$Q$317=$A60),--ISNUMBER('Данные 2st'!$QJ$2:$QJ$317))</f>
        <v>6</v>
      </c>
      <c r="TS60">
        <f>SUMPRODUCT(--('Данные 2st'!$Q$2:$Q$317=$A60),--ISNUMBER('Данные 2st'!$QK$2:$QK$317))</f>
        <v>6</v>
      </c>
      <c r="TT60">
        <f>SUMPRODUCT(--('Данные 2st'!$Q$2:$Q$317=$A60),--ISNUMBER('Данные 2st'!$QL$2:$QL$317))</f>
        <v>6</v>
      </c>
      <c r="TU60">
        <f>SUMPRODUCT(--('Данные 2st'!$Q$2:$Q$317=$A60),--ISNUMBER('Данные 2st'!$QM$2:$QM$317))</f>
        <v>6</v>
      </c>
      <c r="TV60">
        <f>SUMPRODUCT(--('Данные 2st'!$Q$2:$Q$317=$A60),--ISNUMBER('Данные 2st'!$QN$2:$QN$317))</f>
        <v>6</v>
      </c>
      <c r="TW60">
        <f>SUMPRODUCT(--('Данные 2st'!$Q$2:$Q$317=$A60),--ISNUMBER('Данные 2st'!$QQ$2:$QQ$317))</f>
        <v>6</v>
      </c>
      <c r="TX60">
        <f>SUMPRODUCT(--('Данные 2st'!$Q$2:$Q$317=$A60),--ISNUMBER('Данные 2st'!$QS$2:$QS$317))</f>
        <v>6</v>
      </c>
      <c r="TY60">
        <f>SUMPRODUCT(--('Данные 2st'!$Q$2:$Q$317=$A60),--ISNUMBER('Данные 2st'!$QT$2:$QT$317))</f>
        <v>6</v>
      </c>
    </row>
    <row r="61" spans="1:545" ht="32" customHeight="1">
      <c r="A61" s="11" t="str">
        <f>'По размерам'!A61</f>
        <v>245/50R18</v>
      </c>
      <c r="G61">
        <f>SUMPRODUCT(--('Данные 1st'!$S$2:$S$317=$A61),--ISNUMBER('Данные 1st'!$AE$2:$AE$317))</f>
        <v>2</v>
      </c>
      <c r="H61">
        <f>SUMPRODUCT(--('Данные 1st'!$S$2:$S$317=$A61),--ISNUMBER('Данные 1st'!$AF$2:$AF$317))</f>
        <v>2</v>
      </c>
      <c r="I61">
        <f>SUMPRODUCT(--('Данные 1st'!$S$2:$S$317=$A61),--ISNUMBER('Данные 1st'!$AJ$2:$AJ$317))</f>
        <v>2</v>
      </c>
      <c r="J61">
        <f>SUMPRODUCT(--('Данные 1st'!$S$2:$S$317=$A61),--ISNUMBER('Данные 1st'!$AL$2:$AL$317))</f>
        <v>2</v>
      </c>
      <c r="K61">
        <f>SUMPRODUCT(--('Данные 1st'!$S$2:$S$317=$A61),--ISNUMBER('Данные 1st'!$AR$2:$AR$317))</f>
        <v>2</v>
      </c>
      <c r="L61">
        <f>SUMPRODUCT(--('Данные 1st'!$S$2:$S$317=$A61),--ISNUMBER('Данные 1st'!$AS$2:$AS$317))</f>
        <v>2</v>
      </c>
      <c r="M61">
        <f>SUMPRODUCT(--('Данные 1st'!$S$2:$S$317=$A61),--ISNUMBER('Данные 1st'!$AY$2:$AY$317))</f>
        <v>2</v>
      </c>
      <c r="N61">
        <f>SUMPRODUCT(--('Данные 1st'!$S$2:$S$317=$A61),--ISNUMBER('Данные 1st'!$AZ$2:$AZ$317))</f>
        <v>2</v>
      </c>
      <c r="O61">
        <f>SUMPRODUCT(--('Данные 1st'!$S$2:$S$317=$A61),--ISNUMBER('Данные 1st'!$BF$2:$BF$317))</f>
        <v>2</v>
      </c>
      <c r="P61">
        <f>SUMPRODUCT(--('Данные 1st'!$S$2:$S$317=$A61),--ISNUMBER('Данные 1st'!$BG$2:$BG$317))</f>
        <v>2</v>
      </c>
      <c r="Q61">
        <f>SUMPRODUCT(--('Данные 1st'!$S$2:$S$317=$A61),--ISNUMBER('Данные 1st'!$BM$2:$BM$317))</f>
        <v>0</v>
      </c>
      <c r="R61">
        <f>SUMPRODUCT(--('Данные 1st'!$S$2:$S$317=$A61),--ISNUMBER('Данные 1st'!$BN$2:$BN$317))</f>
        <v>2</v>
      </c>
      <c r="S61">
        <f>SUMPRODUCT(--('Данные 1st'!$S$2:$S$317=$A61),--ISNUMBER('Данные 1st'!$BT$2:$BT$317))</f>
        <v>2</v>
      </c>
      <c r="T61">
        <f>SUMPRODUCT(--('Данные 1st'!$S$2:$S$317=$A61),--ISNUMBER('Данные 1st'!$BU$2:$BU$317))</f>
        <v>2</v>
      </c>
      <c r="U61">
        <f>SUMPRODUCT(--('Данные 1st'!$S$2:$S$317=$A61),--ISNUMBER('Данные 1st'!$BW$2:$BW$317))</f>
        <v>2</v>
      </c>
      <c r="V61">
        <f>SUMPRODUCT(--('Данные 1st'!$S$2:$S$317=$A61),--ISNUMBER('Данные 1st'!$BX$2:$BX$317))</f>
        <v>2</v>
      </c>
      <c r="W61">
        <f>SUMPRODUCT(--('Данные 1st'!$S$2:$S$317=$A61),--ISNUMBER('Данные 1st'!$BZ$2:$BZ$317))</f>
        <v>2</v>
      </c>
      <c r="X61">
        <f>SUMPRODUCT(--('Данные 1st'!$S$2:$S$317=$A61),--ISNUMBER('Данные 1st'!$CA$2:$CA$317))</f>
        <v>2</v>
      </c>
      <c r="Y61">
        <f>SUMPRODUCT(--('Данные 1st'!$S$2:$S$317=$A61),--ISNUMBER('Данные 1st'!$CD$2:$CD$317))</f>
        <v>2</v>
      </c>
      <c r="Z61">
        <f>SUMPRODUCT(--('Данные 1st'!$S$2:$S$317=$A61),--ISNUMBER('Данные 1st'!$CF$2:$CF$317))</f>
        <v>2</v>
      </c>
      <c r="AA61">
        <f>SUMPRODUCT(--('Данные 1st'!$S$2:$S$317=$A61),--ISNUMBER('Данные 1st'!$CI$2:$CI$317))</f>
        <v>2</v>
      </c>
      <c r="AB61">
        <f>SUMPRODUCT(--('Данные 1st'!$S$2:$S$317=$A61),--ISNUMBER('Данные 1st'!$CJ$2:$CJ$317))</f>
        <v>2</v>
      </c>
      <c r="AC61">
        <f>SUMPRODUCT(--('Данные 1st'!$S$2:$S$317=$A61),--ISNUMBER('Данные 1st'!$CK$2:$CK$317))</f>
        <v>2</v>
      </c>
      <c r="AD61">
        <f>SUMPRODUCT(--('Данные 1st'!$S$2:$S$317=$A61),--ISNUMBER('Данные 1st'!$CL$2:$CL$317))</f>
        <v>2</v>
      </c>
      <c r="AE61">
        <f>SUMPRODUCT(--('Данные 1st'!$S$2:$S$317=$A61),--ISNUMBER('Данные 1st'!$CM$2:$CM$317))</f>
        <v>2</v>
      </c>
      <c r="AF61">
        <f>SUMPRODUCT(--('Данные 1st'!$S$2:$S$317=$A61),--ISNUMBER('Данные 1st'!$CT$2:$CT$317))</f>
        <v>2</v>
      </c>
      <c r="AG61">
        <f>SUMPRODUCT(--('Данные 1st'!$S$2:$S$317=$A61),--ISNUMBER('Данные 1st'!$CU$2:$CU$317))</f>
        <v>2</v>
      </c>
      <c r="AH61">
        <f>SUMPRODUCT(--('Данные 1st'!$S$2:$S$317=$A61),--ISNUMBER('Данные 1st'!$CV$2:$CV$317))</f>
        <v>2</v>
      </c>
      <c r="AI61">
        <f>SUMPRODUCT(--('Данные 1st'!$S$2:$S$317=$A61),--ISNUMBER('Данные 1st'!$CW$2:$CW$317))</f>
        <v>2</v>
      </c>
      <c r="AJ61">
        <f>SUMPRODUCT(--('Данные 1st'!$S$2:$S$317=$A61),--ISNUMBER('Данные 1st'!$CX$2:$CX$317))</f>
        <v>2</v>
      </c>
      <c r="AK61">
        <f>SUMPRODUCT(--('Данные 1st'!$S$2:$S$317=$A61),--ISNUMBER('Данные 1st'!$CZ$2:$CZ$317))</f>
        <v>0</v>
      </c>
      <c r="AL61">
        <f>SUMPRODUCT(--('Данные 1st'!$S$2:$S$317=$A61),--ISNUMBER('Данные 1st'!$DA$2:$DA$317))</f>
        <v>0</v>
      </c>
      <c r="AM61">
        <f>SUMPRODUCT(--('Данные 1st'!$S$2:$S$317=$A61),--ISNUMBER('Данные 1st'!$DB$2:$DB$317))</f>
        <v>0</v>
      </c>
      <c r="AN61">
        <f>SUMPRODUCT(--('Данные 1st'!$S$2:$S$317=$A61),--ISNUMBER('Данные 1st'!$DC$2:$DC$317))</f>
        <v>0</v>
      </c>
      <c r="AO61">
        <f>SUMPRODUCT(--('Данные 1st'!$S$2:$S$317=$A61),--ISNUMBER('Данные 1st'!$DD$2:$DD$317))</f>
        <v>2</v>
      </c>
      <c r="AP61">
        <f>SUMPRODUCT(--('Данные 1st'!$S$2:$S$317=$A61),--ISNUMBER('Данные 1st'!$DF$2:$DF$317))</f>
        <v>2</v>
      </c>
      <c r="AQ61">
        <f>SUMPRODUCT(--('Данные 1st'!$S$2:$S$317=$A61),--ISNUMBER('Данные 1st'!$DG$2:$DG$317))</f>
        <v>2</v>
      </c>
      <c r="AR61">
        <f>SUMPRODUCT(--('Данные 1st'!$S$2:$S$317=$A61),--ISNUMBER('Данные 1st'!$DH$2:$DH$317))</f>
        <v>2</v>
      </c>
      <c r="AS61">
        <f>SUMPRODUCT(--('Данные 1st'!$S$2:$S$317=$A61),--ISNUMBER('Данные 1st'!$DI$2:$DI$317))</f>
        <v>2</v>
      </c>
      <c r="AT61">
        <f>SUMPRODUCT(--('Данные 1st'!$S$2:$S$317=$A61),--ISNUMBER('Данные 1st'!$DJ$2:$DJ$317))</f>
        <v>2</v>
      </c>
      <c r="AU61">
        <f>SUMPRODUCT(--('Данные 1st'!$S$2:$S$317=$A61),--ISNUMBER('Данные 1st'!$DL$2:$DL$317))</f>
        <v>2</v>
      </c>
      <c r="AV61">
        <f>SUMPRODUCT(--('Данные 1st'!$S$2:$S$317=$A61),--ISNUMBER('Данные 1st'!$DM$2:$DM$317))</f>
        <v>2</v>
      </c>
      <c r="AW61">
        <f>SUMPRODUCT(--('Данные 1st'!$S$2:$S$317=$A61),--ISNUMBER('Данные 1st'!$DN$2:$DN$317))</f>
        <v>2</v>
      </c>
      <c r="AX61">
        <f>SUMPRODUCT(--('Данные 1st'!$S$2:$S$317=$A61),--ISNUMBER('Данные 1st'!$DO$2:$DO$317))</f>
        <v>2</v>
      </c>
      <c r="AY61">
        <f>SUMPRODUCT(--('Данные 1st'!$S$2:$S$317=$A61),--ISNUMBER('Данные 1st'!$DP$2:$DP$317))</f>
        <v>2</v>
      </c>
      <c r="AZ61">
        <f>SUMPRODUCT(--('Данные 1st'!$S$2:$S$317=$A61),--ISNUMBER('Данные 1st'!$DR$2:$DR$317))</f>
        <v>0</v>
      </c>
      <c r="BA61">
        <f>SUMPRODUCT(--('Данные 1st'!$S$2:$S$317=$A61),--ISNUMBER('Данные 1st'!$DS$2:$DS$317))</f>
        <v>0</v>
      </c>
      <c r="BB61">
        <f>SUMPRODUCT(--('Данные 1st'!$S$2:$S$317=$A61),--ISNUMBER('Данные 1st'!$DT$2:$DT$317))</f>
        <v>0</v>
      </c>
      <c r="BC61">
        <f>SUMPRODUCT(--('Данные 1st'!$S$2:$S$317=$A61),--ISNUMBER('Данные 1st'!$DU$2:$DU$317))</f>
        <v>0</v>
      </c>
      <c r="BD61">
        <f>SUMPRODUCT(--('Данные 1st'!$S$2:$S$317=$A61),--ISNUMBER('Данные 1st'!$DV$2:$DV$317))</f>
        <v>0</v>
      </c>
      <c r="BE61">
        <f>SUMPRODUCT(--('Данные 1st'!$S$2:$S$317=$A61),--ISNUMBER('Данные 1st'!$DX$2:$DX$317))</f>
        <v>2</v>
      </c>
      <c r="BF61">
        <f>SUMPRODUCT(--('Данные 1st'!$S$2:$S$317=$A61),--ISNUMBER('Данные 1st'!$EA$2:$EA$317))</f>
        <v>2</v>
      </c>
      <c r="BG61">
        <f>SUMPRODUCT(--('Данные 1st'!$S$2:$S$317=$A61),--ISNUMBER('Данные 1st'!$EB$2:$EB$317))</f>
        <v>2</v>
      </c>
      <c r="BH61">
        <f>SUMPRODUCT(--('Данные 1st'!$S$2:$S$317=$A61),--ISNUMBER('Данные 1st'!$ED$2:$ED$317))</f>
        <v>2</v>
      </c>
      <c r="BI61">
        <f>SUMPRODUCT(--('Данные 1st'!$S$2:$S$317=$A61),--ISNUMBER('Данные 1st'!$EE$2:$EE$317))</f>
        <v>2</v>
      </c>
      <c r="BJ61">
        <f>SUMPRODUCT(--('Данные 1st'!$S$2:$S$317=$A61),--ISNUMBER('Данные 1st'!$EG$2:$EG$317))</f>
        <v>2</v>
      </c>
      <c r="BK61">
        <f>SUMPRODUCT(--('Данные 1st'!$S$2:$S$317=$A61),--ISNUMBER('Данные 1st'!$EH$2:$EH$317))</f>
        <v>2</v>
      </c>
      <c r="BL61">
        <f>SUMPRODUCT(--('Данные 1st'!$S$2:$S$317=$A61),--ISNUMBER('Данные 1st'!$EJ$2:$EJ$317))</f>
        <v>2</v>
      </c>
      <c r="BM61">
        <f>SUMPRODUCT(--('Данные 1st'!$S$2:$S$317=$A61),--ISNUMBER('Данные 1st'!$EK$2:$EK$317))</f>
        <v>2</v>
      </c>
      <c r="BN61">
        <f>SUMPRODUCT(--('Данные 1st'!$S$2:$S$317=$A61),--ISNUMBER('Данные 1st'!$EN$2:$EN$317))</f>
        <v>2</v>
      </c>
      <c r="BO61">
        <f>SUMPRODUCT(--('Данные 1st'!$S$2:$S$317=$A61),--ISNUMBER('Данные 1st'!$EQ$2:$EQ$317))</f>
        <v>2</v>
      </c>
      <c r="BP61">
        <f>SUMPRODUCT(--('Данные 1st'!$S$2:$S$317=$A61),--ISNUMBER('Данные 1st'!$ER$2:$ER$317))</f>
        <v>2</v>
      </c>
      <c r="BQ61">
        <f>SUMPRODUCT(--('Данные 1st'!$S$2:$S$317=$A61),--ISNUMBER('Данные 1st'!$ES$2:$ES$317))</f>
        <v>2</v>
      </c>
      <c r="BR61">
        <f>SUMPRODUCT(--('Данные 1st'!$S$2:$S$317=$A61),--ISNUMBER('Данные 1st'!$ET$2:$ET$317))</f>
        <v>2</v>
      </c>
      <c r="BS61">
        <f>SUMPRODUCT(--('Данные 1st'!$S$2:$S$317=$A61),--ISNUMBER('Данные 1st'!$EU$2:$EU$317))</f>
        <v>2</v>
      </c>
      <c r="BT61">
        <f>SUMPRODUCT(--('Данные 1st'!$S$2:$S$317=$A61),--ISNUMBER('Данные 1st'!$EV$2:$EV$317))</f>
        <v>2</v>
      </c>
      <c r="BU61">
        <f>SUMPRODUCT(--('Данные 1st'!$S$2:$S$317=$A61),--ISNUMBER('Данные 1st'!$EX$2:$EX$317))</f>
        <v>2</v>
      </c>
      <c r="BV61">
        <f>SUMPRODUCT(--('Данные 1st'!$S$2:$S$317=$A61),--ISNUMBER('Данные 1st'!$EY$2:$EY$317))</f>
        <v>2</v>
      </c>
      <c r="BW61">
        <f>SUMPRODUCT(--('Данные 1st'!$S$2:$S$317=$A61),--ISNUMBER('Данные 1st'!$EZ$2:$EZ$317))</f>
        <v>2</v>
      </c>
      <c r="BX61">
        <f>SUMPRODUCT(--('Данные 1st'!$S$2:$S$317=$A61),--ISNUMBER('Данные 1st'!$FA$2:$FA$317))</f>
        <v>2</v>
      </c>
      <c r="BY61">
        <f>SUMPRODUCT(--('Данные 1st'!$S$2:$S$317=$A61),--ISNUMBER('Данные 1st'!$FB$2:$FB$317))</f>
        <v>2</v>
      </c>
      <c r="BZ61">
        <f>SUMPRODUCT(--('Данные 1st'!$S$2:$S$317=$A61),--ISNUMBER('Данные 1st'!$FC$2:$FC$317))</f>
        <v>2</v>
      </c>
      <c r="CA61">
        <f>SUMPRODUCT(--('Данные 1st'!$S$2:$S$317=$A61),--ISNUMBER('Данные 1st'!$FE$2:$FE$317))</f>
        <v>2</v>
      </c>
      <c r="CB61">
        <f>SUMPRODUCT(--('Данные 1st'!$S$2:$S$317=$A61),--ISNUMBER('Данные 1st'!$FF$2:$FF$317))</f>
        <v>2</v>
      </c>
      <c r="CC61">
        <f>SUMPRODUCT(--('Данные 1st'!$S$2:$S$317=$A61),--ISNUMBER('Данные 1st'!$FI$2:$FI$317))</f>
        <v>2</v>
      </c>
      <c r="CD61">
        <f>SUMPRODUCT(--('Данные 1st'!$S$2:$S$317=$A61),--ISNUMBER('Данные 1st'!$FL$2:$FL$317))</f>
        <v>2</v>
      </c>
      <c r="CE61">
        <f>SUMPRODUCT(--('Данные 1st'!$S$2:$S$317=$A61),--ISNUMBER('Данные 1st'!$FM$2:$FM$317))</f>
        <v>2</v>
      </c>
      <c r="CF61">
        <f>SUMPRODUCT(--('Данные 1st'!$S$2:$S$317=$A61),--ISNUMBER('Данные 1st'!$FN$2:$FN$317))</f>
        <v>2</v>
      </c>
      <c r="CG61">
        <f>SUMPRODUCT(--('Данные 1st'!$S$2:$S$317=$A61),--ISNUMBER('Данные 1st'!$FO$2:$FO$317))</f>
        <v>0</v>
      </c>
      <c r="CH61">
        <f>SUMPRODUCT(--('Данные 1st'!$S$2:$S$317=$A61),--ISNUMBER('Данные 1st'!$FP$2:$FP$317))</f>
        <v>0</v>
      </c>
      <c r="CI61">
        <f>SUMPRODUCT(--('Данные 1st'!$S$2:$S$317=$A61),--ISNUMBER('Данные 1st'!$FS$2:$FS$317))</f>
        <v>1</v>
      </c>
      <c r="CJ61">
        <f>SUMPRODUCT(--('Данные 1st'!$S$2:$S$317=$A61),--ISNUMBER('Данные 1st'!$FT$2:$FT$317))</f>
        <v>1</v>
      </c>
      <c r="CK61">
        <f>SUMPRODUCT(--('Данные 1st'!$S$2:$S$317=$A61),--ISNUMBER('Данные 1st'!$FU$2:$FU$317))</f>
        <v>1</v>
      </c>
      <c r="CL61">
        <f>SUMPRODUCT(--('Данные 1st'!$S$2:$S$317=$A61),--ISNUMBER('Данные 1st'!$FV$2:$FV$317))</f>
        <v>0</v>
      </c>
      <c r="CM61">
        <f>SUMPRODUCT(--('Данные 1st'!$S$2:$S$317=$A61),--ISNUMBER('Данные 1st'!$FW$2:$FW$317))</f>
        <v>0</v>
      </c>
      <c r="CN61">
        <f>SUMPRODUCT(--('Данные 1st'!$S$2:$S$317=$A61),--ISNUMBER('Данные 1st'!$FZ$2:$FZ$317))</f>
        <v>0</v>
      </c>
      <c r="CO61">
        <f>SUMPRODUCT(--('Данные 1st'!$S$2:$S$317=$A61),--ISNUMBER('Данные 1st'!$GA$2:$GA$317))</f>
        <v>0</v>
      </c>
      <c r="CP61">
        <f>SUMPRODUCT(--('Данные 1st'!$S$2:$S$317=$A61),--ISNUMBER('Данные 1st'!$GB$2:$GB$317))</f>
        <v>0</v>
      </c>
      <c r="CQ61">
        <f>SUMPRODUCT(--('Данные 1st'!$S$2:$S$317=$A61),--ISNUMBER('Данные 1st'!$GH$2:$GH$317))</f>
        <v>0</v>
      </c>
      <c r="CR61">
        <f>SUMPRODUCT(--('Данные 1st'!$S$2:$S$317=$A61),--ISNUMBER('Данные 1st'!$GI$2:$GI$317))</f>
        <v>0</v>
      </c>
      <c r="CS61">
        <f>SUMPRODUCT(--('Данные 1st'!$S$2:$S$317=$A61),--ISNUMBER('Данные 1st'!$GJ$2:$GJ$317))</f>
        <v>0</v>
      </c>
      <c r="CT61">
        <f>SUMPRODUCT(--('Данные 1st'!$S$2:$S$317=$A61),--ISNUMBER('Данные 1st'!$GS$2:$GS$317))</f>
        <v>2</v>
      </c>
      <c r="CU61">
        <f>SUMPRODUCT(--('Данные 1st'!$S$2:$S$317=$A61),--ISNUMBER('Данные 1st'!$GT$2:$GT$317))</f>
        <v>2</v>
      </c>
      <c r="CV61">
        <f>SUMPRODUCT(--('Данные 1st'!$S$2:$S$317=$A61),--ISNUMBER('Данные 1st'!$GU$2:$GU$317))</f>
        <v>2</v>
      </c>
      <c r="CW61">
        <f>SUMPRODUCT(--('Данные 1st'!$S$2:$S$317=$A61),--ISNUMBER('Данные 1st'!$GV$2:$GV$317))</f>
        <v>1</v>
      </c>
      <c r="CX61">
        <f>SUMPRODUCT(--('Данные 1st'!$S$2:$S$317=$A61),--ISNUMBER('Данные 1st'!$GW$2:$GW$317))</f>
        <v>1</v>
      </c>
      <c r="CY61">
        <f>SUMPRODUCT(--('Данные 1st'!$S$2:$S$317=$A61),--ISNUMBER('Данные 1st'!$GZ$2:$GZ$317))</f>
        <v>1</v>
      </c>
      <c r="CZ61">
        <f>SUMPRODUCT(--('Данные 1st'!$S$2:$S$317=$A61),--ISNUMBER('Данные 1st'!$HA$2:$HA$317))</f>
        <v>1</v>
      </c>
      <c r="DA61">
        <f>SUMPRODUCT(--('Данные 1st'!$S$2:$S$317=$A61),--ISNUMBER('Данные 1st'!$HB$2:$HB$317))</f>
        <v>1</v>
      </c>
      <c r="DB61">
        <f>SUMPRODUCT(--('Данные 1st'!$S$2:$S$317=$A61),--ISNUMBER('Данные 1st'!$HC$2:$HC$317))</f>
        <v>2</v>
      </c>
      <c r="DC61">
        <f>SUMPRODUCT(--('Данные 1st'!$S$2:$S$317=$A61),--ISNUMBER('Данные 1st'!$HD$2:$HD$317))</f>
        <v>2</v>
      </c>
      <c r="DD61">
        <f>SUMPRODUCT(--('Данные 1st'!$S$2:$S$317=$A61),--ISNUMBER('Данные 1st'!$HE$2:$HE$317))</f>
        <v>2</v>
      </c>
      <c r="DE61">
        <f>SUMPRODUCT(--('Данные 1st'!$S$2:$S$317=$A61),--ISNUMBER('Данные 1st'!$HF$2:$HF$317))</f>
        <v>2</v>
      </c>
      <c r="DF61">
        <f>SUMPRODUCT(--('Данные 1st'!$S$2:$S$317=$A61),--ISNUMBER('Данные 1st'!$HG$2:$HG$317))</f>
        <v>2</v>
      </c>
      <c r="DG61">
        <f>SUMPRODUCT(--('Данные 1st'!$S$2:$S$317=$A61),--ISNUMBER('Данные 1st'!$HH$2:$HH$317))</f>
        <v>2</v>
      </c>
      <c r="DH61">
        <f>SUMPRODUCT(--('Данные 1st'!$S$2:$S$317=$A61),--ISNUMBER('Данные 1st'!$HI$2:$HI$317))</f>
        <v>2</v>
      </c>
      <c r="DI61">
        <f>SUMPRODUCT(--('Данные 1st'!$S$2:$S$317=$A61),--ISNUMBER('Данные 1st'!$HJ$2:$HJ$317))</f>
        <v>2</v>
      </c>
      <c r="DJ61">
        <f>SUMPRODUCT(--('Данные 1st'!$S$2:$S$317=$A61),--ISNUMBER('Данные 1st'!$HK$2:$HK$317))</f>
        <v>2</v>
      </c>
      <c r="DK61">
        <f>SUMPRODUCT(--('Данные 1st'!$S$2:$S$317=$A61),--ISNUMBER('Данные 1st'!$HL$2:$HL$317))</f>
        <v>2</v>
      </c>
      <c r="DL61">
        <f>SUMPRODUCT(--('Данные 1st'!$S$2:$S$317=$A61),--ISNUMBER('Данные 1st'!$HM$2:$HM$317))</f>
        <v>2</v>
      </c>
      <c r="DM61">
        <f>SUMPRODUCT(--('Данные 1st'!$S$2:$S$317=$A61),--ISNUMBER('Данные 1st'!$HN$2:$HN$317))</f>
        <v>2</v>
      </c>
      <c r="DN61">
        <f>SUMPRODUCT(--('Данные 1st'!$S$2:$S$317=$A61),--ISNUMBER('Данные 1st'!$HO$2:$HO$317))</f>
        <v>2</v>
      </c>
      <c r="DO61">
        <f>SUMPRODUCT(--('Данные 1st'!$S$2:$S$317=$A61),--ISNUMBER('Данные 1st'!$HP$2:$HP$317))</f>
        <v>2</v>
      </c>
      <c r="DP61">
        <f>SUMPRODUCT(--('Данные 1st'!$S$2:$S$317=$A61),--ISNUMBER('Данные 1st'!$HQ$2:$HQ$317))</f>
        <v>2</v>
      </c>
      <c r="DQ61">
        <f>SUMPRODUCT(--('Данные 1st'!$S$2:$S$317=$A61),--ISNUMBER('Данные 1st'!$HR$2:$HR$317))</f>
        <v>2</v>
      </c>
      <c r="DR61">
        <f>SUMPRODUCT(--('Данные 1st'!$S$2:$S$317=$A61),--ISNUMBER('Данные 1st'!$HS$2:$HS$317))</f>
        <v>2</v>
      </c>
      <c r="DS61">
        <f>SUMPRODUCT(--('Данные 1st'!$S$2:$S$317=$A61),--ISNUMBER('Данные 1st'!$HT$2:$HT$317))</f>
        <v>2</v>
      </c>
      <c r="DT61">
        <f>SUMPRODUCT(--('Данные 1st'!$S$2:$S$317=$A61),--ISNUMBER('Данные 1st'!$HU$2:$HU$317))</f>
        <v>2</v>
      </c>
      <c r="DU61">
        <f>SUMPRODUCT(--('Данные 1st'!$S$2:$S$317=$A61),--ISNUMBER('Данные 1st'!$HW$2:$HW$317))</f>
        <v>2</v>
      </c>
      <c r="DV61">
        <f>SUMPRODUCT(--('Данные 1st'!$S$2:$S$317=$A61),--ISNUMBER('Данные 1st'!$HX$2:$HX$317))</f>
        <v>2</v>
      </c>
      <c r="DW61">
        <f>SUMPRODUCT(--('Данные 1st'!$S$2:$S$317=$A61),--ISNUMBER('Данные 1st'!$HY$2:$HY$317))</f>
        <v>2</v>
      </c>
      <c r="DX61">
        <f>SUMPRODUCT(--('Данные 1st'!$S$2:$S$317=$A61),--ISNUMBER('Данные 1st'!$IA$2:$IA$317))</f>
        <v>2</v>
      </c>
      <c r="DY61">
        <f>SUMPRODUCT(--('Данные 1st'!$S$2:$S$317=$A61),--ISNUMBER('Данные 1st'!$IB$2:$IB$317))</f>
        <v>2</v>
      </c>
      <c r="DZ61">
        <f>SUMPRODUCT(--('Данные 1st'!$S$2:$S$317=$A61),--ISNUMBER('Данные 1st'!$IC$2:$IC$317))</f>
        <v>2</v>
      </c>
      <c r="EA61">
        <f>SUMPRODUCT(--('Данные 1st'!$S$2:$S$317=$A61),--ISNUMBER('Данные 1st'!$ID$2:$ID$317))</f>
        <v>2</v>
      </c>
      <c r="EB61">
        <f>SUMPRODUCT(--('Данные 1st'!$S$2:$S$317=$A61),--ISNUMBER('Данные 1st'!$IE$2:$IE$317))</f>
        <v>2</v>
      </c>
      <c r="EC61">
        <f>SUMPRODUCT(--('Данные 1st'!$S$2:$S$317=$A61),--ISNUMBER('Данные 1st'!$IF$2:$IF$317))</f>
        <v>2</v>
      </c>
      <c r="ED61">
        <f>SUMPRODUCT(--('Данные 1st'!$S$2:$S$317=$A61),--ISNUMBER('Данные 1st'!$IP$2:$IP$317))</f>
        <v>2</v>
      </c>
      <c r="EE61">
        <f>SUMPRODUCT(--('Данные 1st'!$S$2:$S$317=$A61),--ISNUMBER('Данные 1st'!$IV$2:$IV$317))</f>
        <v>2</v>
      </c>
      <c r="EF61">
        <f>SUMPRODUCT(--('Данные 1st'!$S$2:$S$317=$A61),--ISNUMBER('Данные 1st'!$IW$2:$IW$317))</f>
        <v>2</v>
      </c>
      <c r="EG61">
        <f>SUMPRODUCT(--('Данные 1st'!$S$2:$S$317=$A61),--ISNUMBER('Данные 1st'!$IX$2:$IX$317))</f>
        <v>0</v>
      </c>
      <c r="EH61">
        <f>SUMPRODUCT(--('Данные 1st'!$S$2:$S$317=$A61),--ISNUMBER('Данные 1st'!$IY$2:$IY$317))</f>
        <v>1</v>
      </c>
      <c r="EI61">
        <f>SUMPRODUCT(--('Данные 1st'!$S$2:$S$317=$A61),--ISNUMBER('Данные 1st'!$JD$2:$JD$317))</f>
        <v>2</v>
      </c>
      <c r="EJ61">
        <f>SUMPRODUCT(--('Данные 1st'!$S$2:$S$317=$A61),--ISNUMBER('Данные 1st'!$JE$2:$JE$317))</f>
        <v>2</v>
      </c>
      <c r="EK61">
        <f>SUMPRODUCT(--('Данные 1st'!$S$2:$S$317=$A61),--ISNUMBER('Данные 1st'!$JF$2:$JF$317))</f>
        <v>2</v>
      </c>
      <c r="EL61">
        <f>SUMPRODUCT(--('Данные 1st'!$S$2:$S$317=$A61),--ISNUMBER('Данные 1st'!$JG$2:$JG$317))</f>
        <v>2</v>
      </c>
      <c r="EM61">
        <f>SUMPRODUCT(--('Данные 1st'!$S$2:$S$317=$A61),--ISNUMBER('Данные 1st'!$JH$2:$JH$317))</f>
        <v>2</v>
      </c>
      <c r="EN61">
        <f>SUMPRODUCT(--('Данные 1st'!$S$2:$S$317=$A61),--ISNUMBER('Данные 1st'!$JJ$2:$JJ$317))</f>
        <v>2</v>
      </c>
      <c r="EO61">
        <f>SUMPRODUCT(--('Данные 1st'!$S$2:$S$317=$A61),--ISNUMBER('Данные 1st'!$JK$2:$JK$317))</f>
        <v>2</v>
      </c>
      <c r="EP61">
        <f>SUMPRODUCT(--('Данные 1st'!$S$2:$S$317=$A61),--ISNUMBER('Данные 1st'!$JL$2:$JL$317))</f>
        <v>0</v>
      </c>
      <c r="EQ61">
        <f>SUMPRODUCT(--('Данные 1st'!$S$2:$S$317=$A61),--ISNUMBER('Данные 1st'!$JM$2:$JM$317))</f>
        <v>0</v>
      </c>
      <c r="ER61">
        <f>SUMPRODUCT(--('Данные 1st'!$S$2:$S$317=$A61),--ISNUMBER('Данные 1st'!$JN$2:$JN$317))</f>
        <v>2</v>
      </c>
      <c r="ES61">
        <f>SUMPRODUCT(--('Данные 1st'!$S$2:$S$317=$A61),--ISNUMBER('Данные 1st'!$JO$2:$JO$317))</f>
        <v>2</v>
      </c>
      <c r="ET61">
        <f>SUMPRODUCT(--('Данные 1st'!$S$2:$S$317=$A61),--ISNUMBER('Данные 1st'!$JP$2:$JP$317))</f>
        <v>2</v>
      </c>
      <c r="EU61">
        <f>SUMPRODUCT(--('Данные 1st'!$S$2:$S$317=$A61),--ISNUMBER('Данные 1st'!$JQ$2:$JQ$317))</f>
        <v>2</v>
      </c>
      <c r="EV61">
        <f>SUMPRODUCT(--('Данные 1st'!$S$2:$S$317=$A61),--ISNUMBER('Данные 1st'!$JR$2:$JR$317))</f>
        <v>2</v>
      </c>
      <c r="EW61">
        <f>SUMPRODUCT(--('Данные 1st'!$S$2:$S$317=$A61),--ISNUMBER('Данные 1st'!$JS$2:$JS$317))</f>
        <v>2</v>
      </c>
      <c r="EX61">
        <f>SUMPRODUCT(--('Данные 1st'!$S$2:$S$317=$A61),--ISNUMBER('Данные 1st'!$JT$2:$JT$317))</f>
        <v>0</v>
      </c>
      <c r="EY61">
        <f>SUMPRODUCT(--('Данные 1st'!$S$2:$S$317=$A61),--ISNUMBER('Данные 1st'!$JU$2:$JU$317))</f>
        <v>0</v>
      </c>
      <c r="EZ61">
        <f>SUMPRODUCT(--('Данные 1st'!$S$2:$S$317=$A61),--ISNUMBER('Данные 1st'!$JV$2:$JV$317))</f>
        <v>2</v>
      </c>
      <c r="FA61">
        <f>SUMPRODUCT(--('Данные 1st'!$S$2:$S$317=$A61),--ISNUMBER('Данные 1st'!$JW$2:$JW$317))</f>
        <v>0</v>
      </c>
      <c r="FB61">
        <f>SUMPRODUCT(--('Данные 1st'!$S$2:$S$317=$A61),--ISNUMBER('Данные 1st'!$JX$2:$JX$317))</f>
        <v>2</v>
      </c>
      <c r="FC61">
        <f>SUMPRODUCT(--('Данные 1st'!$S$2:$S$317=$A61),--ISNUMBER('Данные 1st'!$JY$2:$JY$317))</f>
        <v>0</v>
      </c>
      <c r="FD61">
        <f>SUMPRODUCT(--('Данные 1st'!$S$2:$S$317=$A61),--ISNUMBER('Данные 1st'!$JZ$2:$JZ$317))</f>
        <v>0</v>
      </c>
      <c r="FE61">
        <f>SUMPRODUCT(--('Данные 1st'!$S$2:$S$317=$A61),--ISNUMBER('Данные 1st'!$KA$2:$KA$317))</f>
        <v>2</v>
      </c>
      <c r="FF61">
        <f>SUMPRODUCT(--('Данные 1st'!$S$2:$S$317=$A61),--ISNUMBER('Данные 1st'!$KB$2:$KB$317))</f>
        <v>2</v>
      </c>
      <c r="FG61">
        <f>SUMPRODUCT(--('Данные 1st'!$S$2:$S$317=$A61),--ISNUMBER('Данные 1st'!$KC$2:$KC$317))</f>
        <v>2</v>
      </c>
      <c r="FH61">
        <f>SUMPRODUCT(--('Данные 1st'!$S$2:$S$317=$A61),--ISNUMBER('Данные 1st'!$KD$2:$KD$317))</f>
        <v>2</v>
      </c>
      <c r="FI61">
        <f>SUMPRODUCT(--('Данные 1st'!$S$2:$S$317=$A61),--ISNUMBER('Данные 1st'!$KE$2:$KE$317))</f>
        <v>0</v>
      </c>
      <c r="FJ61">
        <f>SUMPRODUCT(--('Данные 1st'!$S$2:$S$317=$A61),--ISNUMBER('Данные 1st'!$KF$2:$KF$317))</f>
        <v>2</v>
      </c>
      <c r="FK61">
        <f>SUMPRODUCT(--('Данные 1st'!$S$2:$S$317=$A61),--ISNUMBER('Данные 1st'!$KG$2:$KG$317))</f>
        <v>2</v>
      </c>
      <c r="FL61">
        <f>SUMPRODUCT(--('Данные 1st'!$S$2:$S$317=$A61),--ISNUMBER('Данные 1st'!$KH$2:$KH$317))</f>
        <v>2</v>
      </c>
      <c r="FM61">
        <f>SUMPRODUCT(--('Данные 1st'!$S$2:$S$317=$A61),--ISNUMBER('Данные 1st'!$KI$2:$KI$317))</f>
        <v>2</v>
      </c>
      <c r="FN61">
        <f>SUMPRODUCT(--('Данные 1st'!$S$2:$S$317=$A61),--ISNUMBER('Данные 1st'!$KJ$2:$KJ$317))</f>
        <v>2</v>
      </c>
      <c r="FO61">
        <f>SUMPRODUCT(--('Данные 1st'!$S$2:$S$317=$A61),--ISNUMBER('Данные 1st'!$KK$2:$KK$317))</f>
        <v>2</v>
      </c>
      <c r="FP61">
        <f>SUMPRODUCT(--('Данные 1st'!$S$2:$S$317=$A61),--ISNUMBER('Данные 1st'!$KL$2:$KL$317))</f>
        <v>2</v>
      </c>
      <c r="FQ61">
        <f>SUMPRODUCT(--('Данные 1st'!$S$2:$S$317=$A61),--ISNUMBER('Данные 1st'!$KM$2:$KM$317))</f>
        <v>2</v>
      </c>
      <c r="FR61">
        <f>SUMPRODUCT(--('Данные 1st'!$S$2:$S$317=$A61),--ISNUMBER('Данные 1st'!$KN$2:$KN$317))</f>
        <v>2</v>
      </c>
      <c r="FS61">
        <f>SUMPRODUCT(--('Данные 1st'!$S$2:$S$317=$A61),--ISNUMBER('Данные 1st'!$KR$2:$KR$317))</f>
        <v>2</v>
      </c>
      <c r="FT61">
        <f>SUMPRODUCT(--('Данные 1st'!$S$2:$S$317=$A61),--ISNUMBER('Данные 1st'!$KS$2:$KS$317))</f>
        <v>2</v>
      </c>
      <c r="FU61">
        <f>SUMPRODUCT(--('Данные 1st'!$S$2:$S$317=$A61),--ISNUMBER('Данные 1st'!$KT$2:$KT$317))</f>
        <v>2</v>
      </c>
      <c r="FV61">
        <f>SUMPRODUCT(--('Данные 1st'!$S$2:$S$317=$A61),--ISNUMBER('Данные 1st'!$KV$2:$KV$317))</f>
        <v>0</v>
      </c>
      <c r="FW61">
        <f>SUMPRODUCT(--('Данные 1st'!$S$2:$S$317=$A61),--ISNUMBER('Данные 1st'!$KW$2:$KW$317))</f>
        <v>0</v>
      </c>
      <c r="FX61">
        <f>SUMPRODUCT(--('Данные 1st'!$S$2:$S$317=$A61),--ISNUMBER('Данные 1st'!$KX$2:$KX$317))</f>
        <v>0</v>
      </c>
      <c r="FY61">
        <f>SUMPRODUCT(--('Данные 1st'!$S$2:$S$317=$A61),--ISNUMBER('Данные 1st'!$KY$2:$KY$317))</f>
        <v>0</v>
      </c>
      <c r="FZ61">
        <f>SUMPRODUCT(--('Данные 1st'!$S$2:$S$317=$A61),--ISNUMBER('Данные 1st'!$KZ$2:$KZ$317))</f>
        <v>0</v>
      </c>
      <c r="GA61">
        <f>SUMPRODUCT(--('Данные 1st'!$S$2:$S$317=$A61),--ISNUMBER('Данные 1st'!$LA$2:$LA$317))</f>
        <v>0</v>
      </c>
      <c r="GB61">
        <f>SUMPRODUCT(--('Данные 1st'!$S$2:$S$317=$A61),--ISNUMBER('Данные 1st'!$LB$2:$LB$317))</f>
        <v>0</v>
      </c>
      <c r="GC61">
        <f>SUMPRODUCT(--('Данные 1st'!$S$2:$S$317=$A61),--ISNUMBER('Данные 1st'!$LC$2:$LC$317))</f>
        <v>0</v>
      </c>
      <c r="GD61">
        <f>SUMPRODUCT(--('Данные 1st'!$S$2:$S$317=$A61),--ISNUMBER('Данные 1st'!$LD$2:$LD$317))</f>
        <v>0</v>
      </c>
      <c r="GE61">
        <f>SUMPRODUCT(--('Данные 1st'!$S$2:$S$317=$A61),--ISNUMBER('Данные 1st'!$LE$2:$LE$317))</f>
        <v>0</v>
      </c>
      <c r="GF61">
        <f>SUMPRODUCT(--('Данные 1st'!$S$2:$S$317=$A61),--ISNUMBER('Данные 1st'!$LF$2:$LF$317))</f>
        <v>0</v>
      </c>
      <c r="GG61">
        <f>SUMPRODUCT(--('Данные 1st'!$S$2:$S$317=$A61),--ISNUMBER('Данные 1st'!$LG$2:$LG$317))</f>
        <v>0</v>
      </c>
      <c r="GH61">
        <f>SUMPRODUCT(--('Данные 1st'!$S$2:$S$317=$A61),--ISNUMBER('Данные 1st'!$LH$2:$LH$317))</f>
        <v>0</v>
      </c>
      <c r="GI61">
        <f>SUMPRODUCT(--('Данные 1st'!$S$2:$S$317=$A61),--ISNUMBER('Данные 1st'!$LI$2:$LI$317))</f>
        <v>0</v>
      </c>
      <c r="GJ61">
        <f>SUMPRODUCT(--('Данные 1st'!$S$2:$S$317=$A61),--ISNUMBER('Данные 1st'!$LJ$2:$LJ$317))</f>
        <v>0</v>
      </c>
      <c r="GK61">
        <f>SUMPRODUCT(--('Данные 1st'!$S$2:$S$317=$A61),--ISNUMBER('Данные 1st'!$LK$2:$LK$317))</f>
        <v>2</v>
      </c>
      <c r="GL61">
        <f>SUMPRODUCT(--('Данные 1st'!$S$2:$S$317=$A61),--ISNUMBER('Данные 1st'!$LV$2:$LV$317))</f>
        <v>0</v>
      </c>
      <c r="GM61">
        <f>SUMPRODUCT(--('Данные 1st'!$S$2:$S$317=$A61),--ISNUMBER('Данные 1st'!$LW$2:$LW$317))</f>
        <v>0</v>
      </c>
      <c r="GN61">
        <f>SUMPRODUCT(--('Данные 1st'!$S$2:$S$317=$A61),--ISNUMBER('Данные 1st'!$LX$2:$LX$317))</f>
        <v>0</v>
      </c>
      <c r="GO61">
        <f>SUMPRODUCT(--('Данные 1st'!$S$2:$S$317=$A61),--ISNUMBER('Данные 1st'!$LY$2:$LY$317))</f>
        <v>0</v>
      </c>
      <c r="GP61">
        <f>SUMPRODUCT(--('Данные 1st'!$S$2:$S$317=$A61),--ISNUMBER('Данные 1st'!$LZ$2:$LZ$317))</f>
        <v>0</v>
      </c>
      <c r="GQ61">
        <f>SUMPRODUCT(--('Данные 1st'!$S$2:$S$317=$A61),--ISNUMBER('Данные 1st'!$PG$2:$PG$317))</f>
        <v>2</v>
      </c>
      <c r="GR61">
        <f>SUMPRODUCT(--('Данные 1st'!$S$2:$S$317=$A61),--ISNUMBER('Данные 1st'!$PX$2:$PX$317))</f>
        <v>2</v>
      </c>
      <c r="GS61">
        <f>SUMPRODUCT(--('Данные 1st'!$S$2:$S$317=$A61),--ISNUMBER('Данные 1st'!$PY$2:$PY$317))</f>
        <v>2</v>
      </c>
      <c r="GT61">
        <f>SUMPRODUCT(--('Данные 1st'!$S$2:$S$317=$A61),--ISNUMBER('Данные 1st'!$QA$2:$QA$317))</f>
        <v>2</v>
      </c>
      <c r="GU61">
        <f>SUMPRODUCT(--('Данные 1st'!$S$2:$S$317=$A61),--ISNUMBER('Данные 1st'!$QB$2:$QB$317))</f>
        <v>2</v>
      </c>
      <c r="GV61">
        <f>SUMPRODUCT(--('Данные 1st'!$S$2:$S$317=$A61),--ISNUMBER('Данные 1st'!$QC$2:$QC$317))</f>
        <v>2</v>
      </c>
      <c r="GW61">
        <f>SUMPRODUCT(--('Данные 1st'!$S$2:$S$317=$A61),--ISNUMBER('Данные 1st'!$QD$2:$QD$317))</f>
        <v>2</v>
      </c>
      <c r="GX61">
        <f>SUMPRODUCT(--('Данные 1st'!$S$2:$S$317=$A61),--ISNUMBER('Данные 1st'!$QF$2:$QF$317))</f>
        <v>2</v>
      </c>
      <c r="GY61">
        <f>SUMPRODUCT(--('Данные 1st'!$S$2:$S$317=$A61),--ISNUMBER('Данные 1st'!$QG$2:$QG$317))</f>
        <v>2</v>
      </c>
      <c r="GZ61">
        <f>SUMPRODUCT(--('Данные 1st'!$S$2:$S$317=$A61),--ISNUMBER('Данные 1st'!$QH$2:$QH$317))</f>
        <v>2</v>
      </c>
      <c r="HA61">
        <f>SUMPRODUCT(--('Данные 1st'!$S$2:$S$317=$A61),--ISNUMBER('Данные 1st'!$QI$2:$QI$317))</f>
        <v>2</v>
      </c>
      <c r="HB61">
        <f>SUMPRODUCT(--('Данные 1st'!$S$2:$S$317=$A61),--ISNUMBER('Данные 1st'!$QK$2:$QK$317))</f>
        <v>0</v>
      </c>
      <c r="HC61">
        <f>SUMPRODUCT(--('Данные 1st'!$S$2:$S$317=$A61),--ISNUMBER('Данные 1st'!$QL$2:$QL$317))</f>
        <v>2</v>
      </c>
      <c r="HD61">
        <f>SUMPRODUCT(--('Данные 1st'!$S$2:$S$317=$A61),--ISNUMBER('Данные 1st'!$QM$2:$QM$317))</f>
        <v>2</v>
      </c>
      <c r="HE61">
        <f>SUMPRODUCT(--('Данные 1st'!$S$2:$S$317=$A61),--ISNUMBER('Данные 1st'!$QN$2:$QN$317))</f>
        <v>2</v>
      </c>
      <c r="HF61">
        <f>SUMPRODUCT(--('Данные 1st'!$S$2:$S$317=$A61),--ISNUMBER('Данные 1st'!$QP$2:$QP$317))</f>
        <v>2</v>
      </c>
      <c r="HG61">
        <f>SUMPRODUCT(--('Данные 1st'!$S$2:$S$317=$A61),--ISNUMBER('Данные 1st'!$QQ$2:$QQ$317))</f>
        <v>2</v>
      </c>
      <c r="HH61">
        <f>SUMPRODUCT(--('Данные 1st'!$S$2:$S$317=$A61),--ISNUMBER('Данные 1st'!$QR$2:$QR$317))</f>
        <v>2</v>
      </c>
      <c r="HI61">
        <f>SUMPRODUCT(--('Данные 1st'!$S$2:$S$317=$A61),--ISNUMBER('Данные 1st'!$QS$2:$QS$317))</f>
        <v>2</v>
      </c>
      <c r="HJ61">
        <f>SUMPRODUCT(--('Данные 1st'!$S$2:$S$317=$A61),--ISNUMBER('Данные 1st'!$QU$2:$QU$317))</f>
        <v>2</v>
      </c>
      <c r="HK61">
        <f>SUMPRODUCT(--('Данные 1st'!$S$2:$S$317=$A61),--ISNUMBER('Данные 1st'!$QV$2:$QV$317))</f>
        <v>2</v>
      </c>
      <c r="HL61">
        <f>SUMPRODUCT(--('Данные 1st'!$S$2:$S$317=$A61),--ISNUMBER('Данные 1st'!$QW$2:$QW$317))</f>
        <v>2</v>
      </c>
      <c r="HM61">
        <f>SUMPRODUCT(--('Данные 1st'!$S$2:$S$317=$A61),--ISNUMBER('Данные 1st'!$QX$2:$QX$317))</f>
        <v>2</v>
      </c>
      <c r="HN61">
        <f>SUMPRODUCT(--('Данные 1st'!$S$2:$S$317=$A61),--ISNUMBER('Данные 1st'!$QZ$2:$QZ$317))</f>
        <v>2</v>
      </c>
      <c r="HO61">
        <f>SUMPRODUCT(--('Данные 1st'!$S$2:$S$317=$A61),--ISNUMBER('Данные 1st'!$RA$2:$RA$317))</f>
        <v>2</v>
      </c>
      <c r="HP61">
        <f>SUMPRODUCT(--('Данные 1st'!$S$2:$S$317=$A61),--ISNUMBER('Данные 1st'!$RB$2:$RB$317))</f>
        <v>2</v>
      </c>
      <c r="HQ61">
        <f>SUMPRODUCT(--('Данные 1st'!$S$2:$S$317=$A61),--ISNUMBER('Данные 1st'!$RD$2:$RD$317))</f>
        <v>0</v>
      </c>
      <c r="HR61">
        <f>SUMPRODUCT(--('Данные 1st'!$S$2:$S$317=$A61),--ISNUMBER('Данные 1st'!$RE$2:$RE$317))</f>
        <v>2</v>
      </c>
      <c r="HS61">
        <f>SUMPRODUCT(--('Данные 1st'!$S$2:$S$317=$A61),--ISNUMBER('Данные 1st'!$RF$2:$RF$317))</f>
        <v>2</v>
      </c>
      <c r="HT61">
        <f>SUMPRODUCT(--('Данные 1st'!$S$2:$S$317=$A61),--ISNUMBER('Данные 1st'!$RG$2:$RG$317))</f>
        <v>0</v>
      </c>
      <c r="HU61">
        <f>SUMPRODUCT(--('Данные 1st'!$S$2:$S$317=$A61),--ISNUMBER('Данные 1st'!$RH$2:$RH$317))</f>
        <v>1</v>
      </c>
      <c r="HV61">
        <f>SUMPRODUCT(--('Данные 1st'!$S$2:$S$317=$A61),--ISNUMBER('Данные 1st'!$RI$2:$RI$317))</f>
        <v>1</v>
      </c>
      <c r="HW61">
        <f>SUMPRODUCT(--('Данные 1st'!$S$2:$S$317=$A61),--ISNUMBER('Данные 1st'!$RJ$2:$RJ$317))</f>
        <v>2</v>
      </c>
      <c r="HX61">
        <f>SUMPRODUCT(--('Данные 1st'!$S$2:$S$317=$A61),--ISNUMBER('Данные 1st'!$RK$2:$RK$317))</f>
        <v>0</v>
      </c>
      <c r="HY61">
        <f>SUMPRODUCT(--('Данные 1st'!$S$2:$S$317=$A61),--ISNUMBER('Данные 1st'!$RL$2:$RL$317))</f>
        <v>2</v>
      </c>
      <c r="HZ61">
        <f>SUMPRODUCT(--('Данные 1st'!$S$2:$S$317=$A61),--ISNUMBER('Данные 1st'!$RM$2:$RM$317))</f>
        <v>2</v>
      </c>
      <c r="IA61">
        <f>SUMPRODUCT(--('Данные 1st'!$S$2:$S$317=$A61),--ISNUMBER('Данные 1st'!$RN$2:$RN$317))</f>
        <v>0</v>
      </c>
      <c r="IB61">
        <f>SUMPRODUCT(--('Данные 1st'!$S$2:$S$317=$A61),--ISNUMBER('Данные 1st'!$RO$2:$RO$317))</f>
        <v>2</v>
      </c>
      <c r="IC61">
        <f>SUMPRODUCT(--('Данные 1st'!$S$2:$S$317=$A61),--ISNUMBER('Данные 1st'!$RP$2:$RP$317))</f>
        <v>0</v>
      </c>
      <c r="ID61">
        <f>SUMPRODUCT(--('Данные 1st'!$S$2:$S$317=$A61),--ISNUMBER('Данные 1st'!$RQ$2:$RQ$317))</f>
        <v>2</v>
      </c>
      <c r="IE61">
        <f>SUMPRODUCT(--('Данные 1st'!$S$2:$S$317=$A61),--ISNUMBER('Данные 1st'!$RR$2:$RR$317))</f>
        <v>2</v>
      </c>
      <c r="IF61">
        <f>SUMPRODUCT(--('Данные 1st'!$S$2:$S$317=$A61),--ISNUMBER('Данные 1st'!$RS$2:$RS$317))</f>
        <v>0</v>
      </c>
      <c r="IG61">
        <f>SUMPRODUCT(--('Данные 1st'!$S$2:$S$317=$A61),--ISNUMBER('Данные 1st'!$RT$2:$RT$317))</f>
        <v>2</v>
      </c>
      <c r="IH61">
        <f>SUMPRODUCT(--('Данные 1st'!$S$2:$S$317=$A61),--ISNUMBER('Данные 1st'!$RU$2:$RU$317))</f>
        <v>2</v>
      </c>
      <c r="II61">
        <f>SUMPRODUCT(--('Данные 1st'!$S$2:$S$317=$A61),--ISNUMBER('Данные 1st'!$RX$2:$RX$317))</f>
        <v>2</v>
      </c>
      <c r="IJ61">
        <f>SUMPRODUCT(--('Данные 1st'!$S$2:$S$317=$A61),--ISNUMBER('Данные 1st'!$RY$2:$RY$317))</f>
        <v>2</v>
      </c>
      <c r="IK61">
        <f>SUMPRODUCT(--('Данные 1st'!$S$2:$S$317=$A61),--ISNUMBER('Данные 1st'!$SA$2:$SA$317))</f>
        <v>2</v>
      </c>
      <c r="IL61">
        <f>SUMPRODUCT(--('Данные 1st'!$S$2:$S$317=$A61),--ISNUMBER('Данные 1st'!$SD$2:$SD$317))</f>
        <v>2</v>
      </c>
      <c r="IM61">
        <f>SUMPRODUCT(--('Данные 1st'!$S$2:$S$317=$A61),--ISNUMBER('Данные 1st'!$SG$2:$SG$317))</f>
        <v>2</v>
      </c>
      <c r="IN61">
        <f>SUMPRODUCT(--('Данные 1st'!$S$2:$S$317=$A61),--ISNUMBER('Данные 1st'!$SH$2:$SH$317))</f>
        <v>2</v>
      </c>
      <c r="IO61">
        <f>SUMPRODUCT(--('Данные 1st'!$S$2:$S$317=$A61),--ISNUMBER('Данные 1st'!$SI$2:$SI$317))</f>
        <v>2</v>
      </c>
      <c r="IP61">
        <f>SUMPRODUCT(--('Данные 1st'!$S$2:$S$317=$A61),--ISNUMBER('Данные 1st'!$SJ$2:$SJ$317))</f>
        <v>2</v>
      </c>
      <c r="IQ61">
        <f>SUMPRODUCT(--('Данные 1st'!$S$2:$S$317=$A61),--ISNUMBER('Данные 1st'!$SK$2:$SK$317))</f>
        <v>2</v>
      </c>
      <c r="IR61">
        <f>SUMPRODUCT(--('Данные 1st'!$S$2:$S$317=$A61),--ISNUMBER('Данные 1st'!$SL$2:$SL$317))</f>
        <v>2</v>
      </c>
      <c r="IS61">
        <f>SUMPRODUCT(--('Данные 1st'!$S$2:$S$317=$A61),--ISNUMBER('Данные 1st'!$SM$2:$SM$317))</f>
        <v>2</v>
      </c>
      <c r="IT61">
        <f>SUMPRODUCT(--('Данные 1st'!$S$2:$S$317=$A61),--ISNUMBER('Данные 1st'!$SN$2:$SN$317))</f>
        <v>2</v>
      </c>
      <c r="IU61">
        <f>SUMPRODUCT(--('Данные 1st'!$S$2:$S$317=$A61),--ISNUMBER('Данные 1st'!$SO$2:$SO$317))</f>
        <v>2</v>
      </c>
      <c r="IV61">
        <f>SUMPRODUCT(--('Данные 1st'!$S$2:$S$317=$A61),--ISNUMBER('Данные 1st'!$SP$2:$SP$317))</f>
        <v>2</v>
      </c>
      <c r="IW61">
        <f>SUMPRODUCT(--('Данные 1st'!$S$2:$S$317=$A61),--ISNUMBER('Данные 1st'!$SQ$2:$SQ$317))</f>
        <v>2</v>
      </c>
      <c r="IX61">
        <f>SUMPRODUCT(--('Данные 1st'!$S$2:$S$317=$A61),--ISNUMBER('Данные 1st'!$SR$2:$SR$317))</f>
        <v>2</v>
      </c>
      <c r="IY61">
        <f>SUMPRODUCT(--('Данные 1st'!$S$2:$S$317=$A61),--ISNUMBER('Данные 1st'!$SS$2:$SS$317))</f>
        <v>2</v>
      </c>
      <c r="IZ61">
        <f>SUMPRODUCT(--('Данные 1st'!$S$2:$S$317=$A61),--ISNUMBER('Данные 1st'!$ST$2:$ST$317))</f>
        <v>2</v>
      </c>
      <c r="JA61">
        <f>SUMPRODUCT(--('Данные 1st'!$S$2:$S$317=$A61),--ISNUMBER('Данные 1st'!$SU$2:$SU$317))</f>
        <v>2</v>
      </c>
      <c r="JB61">
        <f>SUMPRODUCT(--('Данные 1st'!$S$2:$S$317=$A61),--ISNUMBER('Данные 1st'!$SV$2:$SV$317))</f>
        <v>2</v>
      </c>
      <c r="JC61">
        <f>SUMPRODUCT(--('Данные 1st'!$S$2:$S$317=$A61),--ISNUMBER('Данные 1st'!$SW$2:$SW$317))</f>
        <v>2</v>
      </c>
      <c r="JD61">
        <f>SUMPRODUCT(--('Данные 1st'!$S$2:$S$317=$A61),--ISNUMBER('Данные 1st'!$SX$2:$SX$317))</f>
        <v>2</v>
      </c>
      <c r="JE61">
        <f>SUMPRODUCT(--('Данные 1st'!$S$2:$S$317=$A61),--ISNUMBER('Данные 1st'!$SY$2:$SY$317))</f>
        <v>0</v>
      </c>
      <c r="JF61">
        <f>SUMPRODUCT(--('Данные 1st'!$S$2:$S$317=$A61),--ISNUMBER('Данные 1st'!$SZ$2:$SZ$317))</f>
        <v>2</v>
      </c>
      <c r="JG61">
        <f>SUMPRODUCT(--('Данные 1st'!$S$2:$S$317=$A61),--ISNUMBER('Данные 1st'!$TA$2:$TA$317))</f>
        <v>0</v>
      </c>
      <c r="JH61">
        <f>SUMPRODUCT(--('Данные 1st'!$S$2:$S$317=$A61),--ISNUMBER('Данные 1st'!$TB$2:$TB$317))</f>
        <v>2</v>
      </c>
      <c r="JI61">
        <f>SUMPRODUCT(--('Данные 1st'!$S$2:$S$317=$A61),--ISNUMBER('Данные 1st'!$TC$2:$TC$317))</f>
        <v>2</v>
      </c>
      <c r="JJ61">
        <f>SUMPRODUCT(--('Данные 1st'!$S$2:$S$317=$A61),--ISNUMBER('Данные 1st'!$TD$2:$TD$317))</f>
        <v>2</v>
      </c>
      <c r="JK61">
        <f>SUMPRODUCT(--('Данные 1st'!$S$2:$S$317=$A61),--ISNUMBER('Данные 1st'!$TN$2:$TN$317))</f>
        <v>2</v>
      </c>
      <c r="JQ61">
        <f>SUMPRODUCT(--('Данные 2st'!$Q$2:$Q$317=$A61),--ISNUMBER('Данные 2st'!$AC$2:$AC$317))</f>
        <v>2</v>
      </c>
      <c r="JR61">
        <f>SUMPRODUCT(--('Данные 2st'!$Q$2:$Q$317=$A61),--ISNUMBER('Данные 2st'!$AF$2:$AF$317))</f>
        <v>2</v>
      </c>
      <c r="JS61">
        <f>SUMPRODUCT(--('Данные 2st'!$Q$2:$Q$317=$A61),--ISNUMBER('Данные 2st'!$AW$2:$AW$317))</f>
        <v>2</v>
      </c>
      <c r="JT61">
        <f>SUMPRODUCT(--('Данные 2st'!$Q$2:$Q$317=$A61),--ISNUMBER('Данные 2st'!$AX$2:$AX$317))</f>
        <v>2</v>
      </c>
      <c r="JU61">
        <f>SUMPRODUCT(--('Данные 2st'!$Q$2:$Q$317=$A61),--ISNUMBER('Данные 2st'!$AY$2:$AY$317))</f>
        <v>2</v>
      </c>
      <c r="JV61">
        <f>SUMPRODUCT(--('Данные 2st'!$Q$2:$Q$317=$A61),--ISNUMBER('Данные 2st'!$AZ$2:$AZ$317))</f>
        <v>2</v>
      </c>
      <c r="JW61">
        <f>SUMPRODUCT(--('Данные 2st'!$Q$2:$Q$317=$A61),--ISNUMBER('Данные 2st'!$BA$2:$BA$317))</f>
        <v>2</v>
      </c>
      <c r="JX61">
        <f>SUMPRODUCT(--('Данные 2st'!$Q$2:$Q$317=$A61),--ISNUMBER('Данные 2st'!$BB$2:$BB$317))</f>
        <v>2</v>
      </c>
      <c r="JY61">
        <f>SUMPRODUCT(--('Данные 2st'!$Q$2:$Q$317=$A61),--ISNUMBER('Данные 2st'!$BC$2:$BC$317))</f>
        <v>2</v>
      </c>
      <c r="JZ61">
        <f>SUMPRODUCT(--('Данные 2st'!$Q$2:$Q$317=$A61),--ISNUMBER('Данные 2st'!$BH$2:$BH$317))</f>
        <v>2</v>
      </c>
      <c r="KA61">
        <f>SUMPRODUCT(--('Данные 2st'!$Q$2:$Q$317=$A61),--ISNUMBER('Данные 2st'!$BI$2:$BI$317))</f>
        <v>2</v>
      </c>
      <c r="KB61">
        <f>SUMPRODUCT(--('Данные 2st'!$Q$2:$Q$317=$A61),--ISNUMBER('Данные 2st'!$BJ$2:$BJ$317))</f>
        <v>2</v>
      </c>
      <c r="KC61">
        <f>SUMPRODUCT(--('Данные 2st'!$Q$2:$Q$317=$A61),--ISNUMBER('Данные 2st'!$BK$2:$BK$317))</f>
        <v>2</v>
      </c>
      <c r="KD61">
        <f>SUMPRODUCT(--('Данные 2st'!$Q$2:$Q$317=$A61),--ISNUMBER('Данные 2st'!$BL$2:$BL$317))</f>
        <v>2</v>
      </c>
      <c r="KE61">
        <f>SUMPRODUCT(--('Данные 2st'!$Q$2:$Q$317=$A61),--ISNUMBER('Данные 2st'!$BM$2:$BM$317))</f>
        <v>2</v>
      </c>
      <c r="KF61">
        <f>SUMPRODUCT(--('Данные 2st'!$Q$2:$Q$317=$A61),--ISNUMBER('Данные 2st'!$BN$2:$BN$317))</f>
        <v>2</v>
      </c>
      <c r="KG61">
        <f>SUMPRODUCT(--('Данные 2st'!$Q$2:$Q$317=$A61),--ISNUMBER('Данные 2st'!$BO$2:$BO$317))</f>
        <v>0</v>
      </c>
      <c r="KH61">
        <f>SUMPRODUCT(--('Данные 2st'!$Q$2:$Q$317=$A61),--ISNUMBER('Данные 2st'!$BP$2:$BP$317))</f>
        <v>2</v>
      </c>
      <c r="KI61">
        <f>SUMPRODUCT(--('Данные 2st'!$Q$2:$Q$317=$A61),--ISNUMBER('Данные 2st'!$BR$2:$BR$317))</f>
        <v>2</v>
      </c>
      <c r="KJ61">
        <f>SUMPRODUCT(--('Данные 2st'!$Q$2:$Q$317=$A61),--ISNUMBER('Данные 2st'!$BS$2:$BS$317))</f>
        <v>2</v>
      </c>
      <c r="KK61">
        <f>SUMPRODUCT(--('Данные 2st'!$Q$2:$Q$317=$A61),--ISNUMBER('Данные 2st'!$BT$2:$BT$317))</f>
        <v>2</v>
      </c>
      <c r="KL61">
        <f>SUMPRODUCT(--('Данные 2st'!$Q$2:$Q$317=$A61),--ISNUMBER('Данные 2st'!$CV$2:$CV$317))</f>
        <v>2</v>
      </c>
      <c r="KM61">
        <f>SUMPRODUCT(--('Данные 2st'!$Q$2:$Q$317=$A61),--ISNUMBER('Данные 2st'!$CW$2:$CW$317))</f>
        <v>2</v>
      </c>
      <c r="KN61">
        <f>SUMPRODUCT(--('Данные 2st'!$Q$2:$Q$317=$A61),--ISNUMBER('Данные 2st'!$CX$2:$CX$317))</f>
        <v>2</v>
      </c>
      <c r="KO61">
        <f>SUMPRODUCT(--('Данные 2st'!$Q$2:$Q$317=$A61),--ISNUMBER('Данные 2st'!$CY$2:$CY$317))</f>
        <v>2</v>
      </c>
      <c r="KP61">
        <f>SUMPRODUCT(--('Данные 2st'!$Q$2:$Q$317=$A61),--ISNUMBER('Данные 2st'!$CZ$2:$CZ$317))</f>
        <v>2</v>
      </c>
      <c r="KQ61">
        <f>SUMPRODUCT(--('Данные 2st'!$Q$2:$Q$317=$A61),--ISNUMBER('Данные 2st'!$DA$2:$DA$317))</f>
        <v>2</v>
      </c>
      <c r="KR61">
        <f>SUMPRODUCT(--('Данные 2st'!$Q$2:$Q$317=$A61),--ISNUMBER('Данные 2st'!$DB$2:$DB$317))</f>
        <v>2</v>
      </c>
      <c r="KS61">
        <f>SUMPRODUCT(--('Данные 2st'!$Q$2:$Q$317=$A61),--ISNUMBER('Данные 2st'!$DC$2:$DC$317))</f>
        <v>2</v>
      </c>
      <c r="KT61">
        <f>SUMPRODUCT(--('Данные 2st'!$Q$2:$Q$317=$A61),--ISNUMBER('Данные 2st'!$DD$2:$DD$317))</f>
        <v>2</v>
      </c>
      <c r="KU61">
        <f>SUMPRODUCT(--('Данные 2st'!$Q$2:$Q$317=$A61),--ISNUMBER('Данные 2st'!$DE$2:$DE$317))</f>
        <v>2</v>
      </c>
      <c r="KV61">
        <f>SUMPRODUCT(--('Данные 2st'!$Q$2:$Q$317=$A61),--ISNUMBER('Данные 2st'!$DF$2:$DF$317))</f>
        <v>2</v>
      </c>
      <c r="KW61">
        <f>SUMPRODUCT(--('Данные 2st'!$Q$2:$Q$317=$A61),--ISNUMBER('Данные 2st'!$DG$2:$DG$317))</f>
        <v>2</v>
      </c>
      <c r="KX61">
        <f>SUMPRODUCT(--('Данные 2st'!$Q$2:$Q$317=$A61),--ISNUMBER('Данные 2st'!$DH$2:$DH$317))</f>
        <v>0</v>
      </c>
      <c r="KY61">
        <f>SUMPRODUCT(--('Данные 2st'!$Q$2:$Q$317=$A61),--ISNUMBER('Данные 2st'!$DI$2:$DI$317))</f>
        <v>0</v>
      </c>
      <c r="KZ61">
        <f>SUMPRODUCT(--('Данные 2st'!$Q$2:$Q$317=$A61),--ISNUMBER('Данные 2st'!$DK$2:$DK$317))</f>
        <v>2</v>
      </c>
      <c r="LA61">
        <f>SUMPRODUCT(--('Данные 2st'!$Q$2:$Q$317=$A61),--ISNUMBER('Данные 2st'!$DM$2:$DM$317))</f>
        <v>2</v>
      </c>
      <c r="LB61">
        <f>SUMPRODUCT(--('Данные 2st'!$Q$2:$Q$317=$A61),--ISNUMBER('Данные 2st'!$DN$2:$DN$317))</f>
        <v>2</v>
      </c>
      <c r="LC61">
        <f>SUMPRODUCT(--('Данные 2st'!$Q$2:$Q$317=$A61),--ISNUMBER('Данные 2st'!$DO$2:$DO$317))</f>
        <v>2</v>
      </c>
      <c r="LD61">
        <f>SUMPRODUCT(--('Данные 2st'!$Q$2:$Q$317=$A61),--ISNUMBER('Данные 2st'!$DP$2:$DP$317))</f>
        <v>2</v>
      </c>
      <c r="LE61">
        <f>SUMPRODUCT(--('Данные 2st'!$Q$2:$Q$317=$A61),--ISNUMBER('Данные 2st'!$DQ$2:$DQ$317))</f>
        <v>2</v>
      </c>
      <c r="LF61">
        <f>SUMPRODUCT(--('Данные 2st'!$Q$2:$Q$317=$A61),--ISNUMBER('Данные 2st'!$DS$2:$DS$317))</f>
        <v>2</v>
      </c>
      <c r="LG61">
        <f>SUMPRODUCT(--('Данные 2st'!$Q$2:$Q$317=$A61),--ISNUMBER('Данные 2st'!$DU$2:$DU$317))</f>
        <v>2</v>
      </c>
      <c r="LH61">
        <f>SUMPRODUCT(--('Данные 2st'!$Q$2:$Q$317=$A61),--ISNUMBER('Данные 2st'!$DV$2:$DV$317))</f>
        <v>2</v>
      </c>
      <c r="LI61">
        <f>SUMPRODUCT(--('Данные 2st'!$Q$2:$Q$317=$A61),--ISNUMBER('Данные 2st'!$DW$2:$DW$317))</f>
        <v>2</v>
      </c>
      <c r="LJ61">
        <f>SUMPRODUCT(--('Данные 2st'!$Q$2:$Q$317=$A61),--ISNUMBER('Данные 2st'!$DX$2:$DX$317))</f>
        <v>2</v>
      </c>
      <c r="LK61">
        <f>SUMPRODUCT(--('Данные 2st'!$Q$2:$Q$317=$A61),--ISNUMBER('Данные 2st'!$DY$2:$DY$317))</f>
        <v>2</v>
      </c>
      <c r="LL61">
        <f>SUMPRODUCT(--('Данные 2st'!$Q$2:$Q$317=$A61),--ISNUMBER('Данные 2st'!$EA$2:$EA$317))</f>
        <v>2</v>
      </c>
      <c r="LM61">
        <f>SUMPRODUCT(--('Данные 2st'!$Q$2:$Q$317=$A61),--ISNUMBER('Данные 2st'!$EC$2:$EC$317))</f>
        <v>2</v>
      </c>
      <c r="LN61">
        <f>SUMPRODUCT(--('Данные 2st'!$Q$2:$Q$317=$A61),--ISNUMBER('Данные 2st'!$ED$2:$ED$317))</f>
        <v>2</v>
      </c>
      <c r="LO61">
        <f>SUMPRODUCT(--('Данные 2st'!$Q$2:$Q$317=$A61),--ISNUMBER('Данные 2st'!$EE$2:$EE$317))</f>
        <v>2</v>
      </c>
      <c r="LP61">
        <f>SUMPRODUCT(--('Данные 2st'!$Q$2:$Q$317=$A61),--ISNUMBER('Данные 2st'!$EG$2:$EG$317))</f>
        <v>2</v>
      </c>
      <c r="LQ61">
        <f>SUMPRODUCT(--('Данные 2st'!$Q$2:$Q$317=$A61),--ISNUMBER('Данные 2st'!$EI$2:$EI$317))</f>
        <v>2</v>
      </c>
      <c r="LR61">
        <f>SUMPRODUCT(--('Данные 2st'!$Q$2:$Q$317=$A61),--ISNUMBER('Данные 2st'!$EJ$2:$EJ$317))</f>
        <v>0</v>
      </c>
      <c r="LS61">
        <f>SUMPRODUCT(--('Данные 2st'!$Q$2:$Q$317=$A61),--ISNUMBER('Данные 2st'!$EK$2:$EK$317))</f>
        <v>0</v>
      </c>
      <c r="LT61">
        <f>SUMPRODUCT(--('Данные 2st'!$Q$2:$Q$317=$A61),--ISNUMBER('Данные 2st'!$EM$2:$EM$317))</f>
        <v>2</v>
      </c>
      <c r="LU61">
        <f>SUMPRODUCT(--('Данные 2st'!$Q$2:$Q$317=$A61),--ISNUMBER('Данные 2st'!$EN$2:$EN$317))</f>
        <v>2</v>
      </c>
      <c r="LV61">
        <f>SUMPRODUCT(--('Данные 2st'!$Q$2:$Q$317=$A61),--ISNUMBER('Данные 2st'!$EO$2:$EO$317))</f>
        <v>2</v>
      </c>
      <c r="LW61">
        <f>SUMPRODUCT(--('Данные 2st'!$Q$2:$Q$317=$A61),--ISNUMBER('Данные 2st'!$EP$2:$EP$317))</f>
        <v>2</v>
      </c>
      <c r="LX61">
        <f>SUMPRODUCT(--('Данные 2st'!$Q$2:$Q$317=$A61),--ISNUMBER('Данные 2st'!$EQ$2:$EQ$317))</f>
        <v>2</v>
      </c>
      <c r="LY61">
        <f>SUMPRODUCT(--('Данные 2st'!$Q$2:$Q$317=$A61),--ISNUMBER('Данные 2st'!$ER$2:$ER$317))</f>
        <v>2</v>
      </c>
      <c r="LZ61">
        <f>SUMPRODUCT(--('Данные 2st'!$Q$2:$Q$317=$A61),--ISNUMBER('Данные 2st'!$ES$2:$ES$317))</f>
        <v>2</v>
      </c>
      <c r="MA61">
        <f>SUMPRODUCT(--('Данные 2st'!$Q$2:$Q$317=$A61),--ISNUMBER('Данные 2st'!$ET$2:$ET$317))</f>
        <v>2</v>
      </c>
      <c r="MB61">
        <f>SUMPRODUCT(--('Данные 2st'!$Q$2:$Q$317=$A61),--ISNUMBER('Данные 2st'!$EU$2:$EU$317))</f>
        <v>2</v>
      </c>
      <c r="MC61">
        <f>SUMPRODUCT(--('Данные 2st'!$Q$2:$Q$317=$A61),--ISNUMBER('Данные 2st'!$EV$2:$EV$317))</f>
        <v>2</v>
      </c>
      <c r="MD61">
        <f>SUMPRODUCT(--('Данные 2st'!$Q$2:$Q$317=$A61),--ISNUMBER('Данные 2st'!$EW$2:$EW$317))</f>
        <v>2</v>
      </c>
      <c r="ME61">
        <f>SUMPRODUCT(--('Данные 2st'!$Q$2:$Q$317=$A61),--ISNUMBER('Данные 2st'!$EY$2:$EY$317))</f>
        <v>2</v>
      </c>
      <c r="MF61">
        <f>SUMPRODUCT(--('Данные 2st'!$Q$2:$Q$317=$A61),--ISNUMBER('Данные 2st'!$FA$2:$FA$317))</f>
        <v>2</v>
      </c>
      <c r="MG61">
        <f>SUMPRODUCT(--('Данные 2st'!$Q$2:$Q$317=$A61),--ISNUMBER('Данные 2st'!$FB$2:$FB$317))</f>
        <v>2</v>
      </c>
      <c r="MH61">
        <f>SUMPRODUCT(--('Данные 2st'!$Q$2:$Q$317=$A61),--ISNUMBER('Данные 2st'!$FC$2:$FC$317))</f>
        <v>2</v>
      </c>
      <c r="MI61">
        <f>SUMPRODUCT(--('Данные 2st'!$Q$2:$Q$317=$A61),--ISNUMBER('Данные 2st'!$FD$2:$FD$317))</f>
        <v>2</v>
      </c>
      <c r="MJ61">
        <f>SUMPRODUCT(--('Данные 2st'!$Q$2:$Q$317=$A61),--ISNUMBER('Данные 2st'!$FE$2:$FE$317))</f>
        <v>2</v>
      </c>
      <c r="MK61">
        <f>SUMPRODUCT(--('Данные 2st'!$Q$2:$Q$317=$A61),--ISNUMBER('Данные 2st'!$FG$2:$FG$317))</f>
        <v>2</v>
      </c>
      <c r="ML61">
        <f>SUMPRODUCT(--('Данные 2st'!$Q$2:$Q$317=$A61),--ISNUMBER('Данные 2st'!$FI$2:$FI$317))</f>
        <v>2</v>
      </c>
      <c r="MM61">
        <f>SUMPRODUCT(--('Данные 2st'!$Q$2:$Q$317=$A61),--ISNUMBER('Данные 2st'!$FJ$2:$FJ$317))</f>
        <v>2</v>
      </c>
      <c r="MN61">
        <f>SUMPRODUCT(--('Данные 2st'!$Q$2:$Q$317=$A61),--ISNUMBER('Данные 2st'!$FK$2:$FK$317))</f>
        <v>2</v>
      </c>
      <c r="MO61">
        <f>SUMPRODUCT(--('Данные 2st'!$Q$2:$Q$317=$A61),--ISNUMBER('Данные 2st'!$FP$2:$FP$317))</f>
        <v>2</v>
      </c>
      <c r="MP61">
        <f>SUMPRODUCT(--('Данные 2st'!$Q$2:$Q$317=$A61),--ISNUMBER('Данные 2st'!$FQ$2:$FQ$317))</f>
        <v>2</v>
      </c>
      <c r="MQ61">
        <f>SUMPRODUCT(--('Данные 2st'!$Q$2:$Q$317=$A61),--ISNUMBER('Данные 2st'!$FS$2:$FS$317))</f>
        <v>2</v>
      </c>
      <c r="MR61">
        <f>SUMPRODUCT(--('Данные 2st'!$Q$2:$Q$317=$A61),--ISNUMBER('Данные 2st'!$FU$2:$FU$317))</f>
        <v>2</v>
      </c>
      <c r="MS61">
        <f>SUMPRODUCT(--('Данные 2st'!$Q$2:$Q$317=$A61),--ISNUMBER('Данные 2st'!$FV$2:$FV$317))</f>
        <v>2</v>
      </c>
      <c r="MT61">
        <f>SUMPRODUCT(--('Данные 2st'!$Q$2:$Q$317=$A61),--ISNUMBER('Данные 2st'!$FW$2:$FW$317))</f>
        <v>2</v>
      </c>
      <c r="MU61">
        <f>SUMPRODUCT(--('Данные 2st'!$Q$2:$Q$317=$A61),--ISNUMBER('Данные 2st'!$FY$2:$FY$317))</f>
        <v>2</v>
      </c>
      <c r="MV61">
        <f>SUMPRODUCT(--('Данные 2st'!$Q$2:$Q$317=$A61),--ISNUMBER('Данные 2st'!$GB$2:$GB$317))</f>
        <v>2</v>
      </c>
      <c r="MW61">
        <f>SUMPRODUCT(--('Данные 2st'!$Q$2:$Q$317=$A61),--ISNUMBER('Данные 2st'!$GC$2:$GC$317))</f>
        <v>2</v>
      </c>
      <c r="MX61">
        <f>SUMPRODUCT(--('Данные 2st'!$Q$2:$Q$317=$A61),--ISNUMBER('Данные 2st'!$GD$2:$GD$317))</f>
        <v>2</v>
      </c>
      <c r="MY61">
        <f>SUMPRODUCT(--('Данные 2st'!$Q$2:$Q$317=$A61),--ISNUMBER('Данные 2st'!$GN$2:$GN$317))</f>
        <v>0</v>
      </c>
      <c r="MZ61">
        <f>SUMPRODUCT(--('Данные 2st'!$Q$2:$Q$317=$A61),--ISNUMBER('Данные 2st'!$GQ$2:$GQ$317))</f>
        <v>2</v>
      </c>
      <c r="NA61">
        <f>SUMPRODUCT(--('Данные 2st'!$Q$2:$Q$317=$A61),--ISNUMBER('Данные 2st'!$GV$2:$GV$317))</f>
        <v>2</v>
      </c>
      <c r="NB61">
        <f>SUMPRODUCT(--('Данные 2st'!$Q$2:$Q$317=$A61),--ISNUMBER('Данные 2st'!$GW$2:$GW$317))</f>
        <v>2</v>
      </c>
      <c r="NC61">
        <f>SUMPRODUCT(--('Данные 2st'!$Q$2:$Q$317=$A61),--ISNUMBER('Данные 2st'!$GX$2:$GX$317))</f>
        <v>2</v>
      </c>
      <c r="ND61">
        <f>SUMPRODUCT(--('Данные 2st'!$Q$2:$Q$317=$A61),--ISNUMBER('Данные 2st'!$GY$2:$GY$317))</f>
        <v>2</v>
      </c>
      <c r="NE61">
        <f>SUMPRODUCT(--('Данные 2st'!$Q$2:$Q$317=$A61),--ISNUMBER('Данные 2st'!$GZ$2:$GZ$317))</f>
        <v>2</v>
      </c>
      <c r="NF61">
        <f>SUMPRODUCT(--('Данные 2st'!$Q$2:$Q$317=$A61),--ISNUMBER('Данные 2st'!$HA$2:$HA$317))</f>
        <v>2</v>
      </c>
      <c r="NG61">
        <f>SUMPRODUCT(--('Данные 2st'!$Q$2:$Q$317=$A61),--ISNUMBER('Данные 2st'!$HB$2:$HB$317))</f>
        <v>2</v>
      </c>
      <c r="NH61">
        <f>SUMPRODUCT(--('Данные 2st'!$Q$2:$Q$317=$A61),--ISNUMBER('Данные 2st'!$HC$2:$HC$317))</f>
        <v>2</v>
      </c>
      <c r="NI61">
        <f>SUMPRODUCT(--('Данные 2st'!$Q$2:$Q$317=$A61),--ISNUMBER('Данные 2st'!$HD$2:$HD$317))</f>
        <v>2</v>
      </c>
      <c r="NJ61">
        <f>SUMPRODUCT(--('Данные 2st'!$Q$2:$Q$317=$A61),--ISNUMBER('Данные 2st'!$HM$2:$HM$317))</f>
        <v>2</v>
      </c>
      <c r="NK61">
        <f>SUMPRODUCT(--('Данные 2st'!$Q$2:$Q$317=$A61),--ISNUMBER('Данные 2st'!$HR$2:$HR$317))</f>
        <v>2</v>
      </c>
      <c r="NL61">
        <f>SUMPRODUCT(--('Данные 2st'!$Q$2:$Q$317=$A61),--ISNUMBER('Данные 2st'!$HS$2:$HS$317))</f>
        <v>2</v>
      </c>
      <c r="NM61">
        <f>SUMPRODUCT(--('Данные 2st'!$Q$2:$Q$317=$A61),--ISNUMBER('Данные 2st'!$HT$2:$HT$317))</f>
        <v>2</v>
      </c>
      <c r="NN61">
        <f>SUMPRODUCT(--('Данные 2st'!$Q$2:$Q$317=$A61),--ISNUMBER('Данные 2st'!$HY$2:$HY$317))</f>
        <v>2</v>
      </c>
      <c r="NO61">
        <f>SUMPRODUCT(--('Данные 2st'!$Q$2:$Q$317=$A61),--ISNUMBER('Данные 2st'!$HZ$2:$HZ$317))</f>
        <v>2</v>
      </c>
      <c r="NP61">
        <f>SUMPRODUCT(--('Данные 2st'!$Q$2:$Q$317=$A61),--ISNUMBER('Данные 2st'!$IA$2:$IA$317))</f>
        <v>2</v>
      </c>
      <c r="NQ61">
        <f>SUMPRODUCT(--('Данные 2st'!$Q$2:$Q$317=$A61),--ISNUMBER('Данные 2st'!$IB$2:$IB$317))</f>
        <v>2</v>
      </c>
      <c r="NR61">
        <f>SUMPRODUCT(--('Данные 2st'!$Q$2:$Q$317=$A61),--ISNUMBER('Данные 2st'!$IC$2:$IC$317))</f>
        <v>0</v>
      </c>
      <c r="NS61">
        <f>SUMPRODUCT(--('Данные 2st'!$Q$2:$Q$317=$A61),--ISNUMBER('Данные 2st'!$ID$2:$ID$317))</f>
        <v>2</v>
      </c>
      <c r="NT61">
        <f>SUMPRODUCT(--('Данные 2st'!$Q$2:$Q$317=$A61),--ISNUMBER('Данные 2st'!$IE$2:$IE$317))</f>
        <v>2</v>
      </c>
      <c r="NU61">
        <f>SUMPRODUCT(--('Данные 2st'!$Q$2:$Q$317=$A61),--ISNUMBER('Данные 2st'!$IF$2:$IF$317))</f>
        <v>2</v>
      </c>
      <c r="NV61">
        <f>SUMPRODUCT(--('Данные 2st'!$Q$2:$Q$317=$A61),--ISNUMBER('Данные 2st'!$IG$2:$IG$317))</f>
        <v>2</v>
      </c>
      <c r="NW61">
        <f>SUMPRODUCT(--('Данные 2st'!$Q$2:$Q$317=$A61),--ISNUMBER('Данные 2st'!$IH$2:$IH$317))</f>
        <v>2</v>
      </c>
      <c r="NX61">
        <f>SUMPRODUCT(--('Данные 2st'!$Q$2:$Q$317=$A61),--ISNUMBER('Данные 2st'!$IJ$2:$IJ$317))</f>
        <v>2</v>
      </c>
      <c r="NY61">
        <f>SUMPRODUCT(--('Данные 2st'!$Q$2:$Q$317=$A61),--ISNUMBER('Данные 2st'!$IM$2:$IM$317))</f>
        <v>2</v>
      </c>
      <c r="NZ61">
        <f>SUMPRODUCT(--('Данные 2st'!$Q$2:$Q$317=$A61),--ISNUMBER('Данные 2st'!$IN$2:$IN$317))</f>
        <v>2</v>
      </c>
      <c r="OA61">
        <f>SUMPRODUCT(--('Данные 2st'!$Q$2:$Q$317=$A61),--ISNUMBER('Данные 2st'!$IO$2:$IO$317))</f>
        <v>2</v>
      </c>
      <c r="OB61">
        <f>SUMPRODUCT(--('Данные 2st'!$Q$2:$Q$317=$A61),--ISNUMBER('Данные 2st'!$IP$2:$IP$317))</f>
        <v>2</v>
      </c>
      <c r="OC61">
        <f>SUMPRODUCT(--('Данные 2st'!$Q$2:$Q$317=$A61),--ISNUMBER('Данные 2st'!$IQ$2:$IQ$317))</f>
        <v>2</v>
      </c>
      <c r="OD61">
        <f>SUMPRODUCT(--('Данные 2st'!$Q$2:$Q$317=$A61),--ISNUMBER('Данные 2st'!$IR$2:$IR$317))</f>
        <v>2</v>
      </c>
      <c r="OE61">
        <f>SUMPRODUCT(--('Данные 2st'!$Q$2:$Q$317=$A61),--ISNUMBER('Данные 2st'!$IT$2:$IT$317))</f>
        <v>2</v>
      </c>
      <c r="OF61">
        <f>SUMPRODUCT(--('Данные 2st'!$Q$2:$Q$317=$A61),--ISNUMBER('Данные 2st'!$IU$2:$IU$317))</f>
        <v>2</v>
      </c>
      <c r="OG61">
        <f>SUMPRODUCT(--('Данные 2st'!$Q$2:$Q$317=$A61),--ISNUMBER('Данные 2st'!$IV$2:$IV$317))</f>
        <v>2</v>
      </c>
      <c r="OH61">
        <f>SUMPRODUCT(--('Данные 2st'!$Q$2:$Q$317=$A61),--ISNUMBER('Данные 2st'!$IW$2:$IW$317))</f>
        <v>2</v>
      </c>
      <c r="OI61">
        <f>SUMPRODUCT(--('Данные 2st'!$Q$2:$Q$317=$A61),--ISNUMBER('Данные 2st'!$IX$2:$IX$317))</f>
        <v>2</v>
      </c>
      <c r="OJ61">
        <f>SUMPRODUCT(--('Данные 2st'!$Q$2:$Q$317=$A61),--ISNUMBER('Данные 2st'!$IY$2:$IY$317))</f>
        <v>2</v>
      </c>
      <c r="OK61">
        <f>SUMPRODUCT(--('Данные 2st'!$Q$2:$Q$317=$A61),--ISNUMBER('Данные 2st'!$IZ$2:$IZ$317))</f>
        <v>2</v>
      </c>
      <c r="OL61">
        <f>SUMPRODUCT(--('Данные 2st'!$Q$2:$Q$317=$A61),--ISNUMBER('Данные 2st'!$JA$2:$JA$317))</f>
        <v>2</v>
      </c>
      <c r="OM61">
        <f>SUMPRODUCT(--('Данные 2st'!$Q$2:$Q$317=$A61),--ISNUMBER('Данные 2st'!$JB$2:$JB$317))</f>
        <v>2</v>
      </c>
      <c r="ON61">
        <f>SUMPRODUCT(--('Данные 2st'!$Q$2:$Q$317=$A61),--ISNUMBER('Данные 2st'!$JC$2:$JC$317))</f>
        <v>2</v>
      </c>
      <c r="OO61">
        <f>SUMPRODUCT(--('Данные 2st'!$Q$2:$Q$317=$A61),--ISNUMBER('Данные 2st'!$JD$2:$JD$317))</f>
        <v>2</v>
      </c>
      <c r="OP61">
        <f>SUMPRODUCT(--('Данные 2st'!$Q$2:$Q$317=$A61),--ISNUMBER('Данные 2st'!$JE$2:$JE$317))</f>
        <v>2</v>
      </c>
      <c r="OQ61">
        <f>SUMPRODUCT(--('Данные 2st'!$Q$2:$Q$317=$A61),--ISNUMBER('Данные 2st'!$JF$2:$JF$317))</f>
        <v>2</v>
      </c>
      <c r="OR61">
        <f>SUMPRODUCT(--('Данные 2st'!$Q$2:$Q$317=$A61),--ISNUMBER('Данные 2st'!$JG$2:$JG$317))</f>
        <v>2</v>
      </c>
      <c r="OS61">
        <f>SUMPRODUCT(--('Данные 2st'!$Q$2:$Q$317=$A61),--ISNUMBER('Данные 2st'!$JH$2:$JH$317))</f>
        <v>2</v>
      </c>
      <c r="OT61">
        <f>SUMPRODUCT(--('Данные 2st'!$Q$2:$Q$317=$A61),--ISNUMBER('Данные 2st'!$JI$2:$JI$317))</f>
        <v>2</v>
      </c>
      <c r="OU61">
        <f>SUMPRODUCT(--('Данные 2st'!$Q$2:$Q$317=$A61),--ISNUMBER('Данные 2st'!$JJ$2:$JJ$317))</f>
        <v>2</v>
      </c>
      <c r="OV61">
        <f>SUMPRODUCT(--('Данные 2st'!$Q$2:$Q$317=$A61),--ISNUMBER('Данные 2st'!$JK$2:$JK$317))</f>
        <v>2</v>
      </c>
      <c r="OW61">
        <f>SUMPRODUCT(--('Данные 2st'!$Q$2:$Q$317=$A61),--ISNUMBER('Данные 2st'!$JL$2:$JL$317))</f>
        <v>2</v>
      </c>
      <c r="OX61">
        <f>SUMPRODUCT(--('Данные 2st'!$Q$2:$Q$317=$A61),--ISNUMBER('Данные 2st'!$JM$2:$JM$317))</f>
        <v>2</v>
      </c>
      <c r="OY61">
        <f>SUMPRODUCT(--('Данные 2st'!$Q$2:$Q$317=$A61),--ISNUMBER('Данные 2st'!$JP$2:$JP$317))</f>
        <v>2</v>
      </c>
      <c r="OZ61">
        <f>SUMPRODUCT(--('Данные 2st'!$Q$2:$Q$317=$A61),--ISNUMBER('Данные 2st'!$JQ$2:$JQ$317))</f>
        <v>2</v>
      </c>
      <c r="PA61">
        <f>SUMPRODUCT(--('Данные 2st'!$Q$2:$Q$317=$A61),--ISNUMBER('Данные 2st'!$JR$2:$JR$317))</f>
        <v>2</v>
      </c>
      <c r="PB61">
        <f>SUMPRODUCT(--('Данные 2st'!$Q$2:$Q$317=$A61),--ISNUMBER('Данные 2st'!$JS$2:$JS$317))</f>
        <v>2</v>
      </c>
      <c r="PC61">
        <f>SUMPRODUCT(--('Данные 2st'!$Q$2:$Q$317=$A61),--ISNUMBER('Данные 2st'!$JT$2:$JT$317))</f>
        <v>2</v>
      </c>
      <c r="PD61">
        <f>SUMPRODUCT(--('Данные 2st'!$Q$2:$Q$317=$A61),--ISNUMBER('Данные 2st'!$JU$2:$JU$317))</f>
        <v>2</v>
      </c>
      <c r="PE61">
        <f>SUMPRODUCT(--('Данные 2st'!$Q$2:$Q$317=$A61),--ISNUMBER('Данные 2st'!$JV$2:$JV$317))</f>
        <v>2</v>
      </c>
      <c r="PF61">
        <f>SUMPRODUCT(--('Данные 2st'!$Q$2:$Q$317=$A61),--ISNUMBER('Данные 2st'!$JW$2:$JW$317))</f>
        <v>2</v>
      </c>
      <c r="PG61">
        <f>SUMPRODUCT(--('Данные 2st'!$Q$2:$Q$317=$A61),--ISNUMBER('Данные 2st'!$KF$2:$KF$317))</f>
        <v>2</v>
      </c>
      <c r="PH61">
        <f>SUMPRODUCT(--('Данные 2st'!$Q$2:$Q$317=$A61),--ISNUMBER('Данные 2st'!$KG$2:$KG$317))</f>
        <v>2</v>
      </c>
      <c r="PI61">
        <f>SUMPRODUCT(--('Данные 2st'!$Q$2:$Q$317=$A61),--ISNUMBER('Данные 2st'!$KM$2:$KM$317))</f>
        <v>2</v>
      </c>
      <c r="PJ61">
        <f>SUMPRODUCT(--('Данные 2st'!$Q$2:$Q$317=$A61),--ISNUMBER('Данные 2st'!$KN$2:$KN$317))</f>
        <v>2</v>
      </c>
      <c r="PK61">
        <f>SUMPRODUCT(--('Данные 2st'!$Q$2:$Q$317=$A61),--ISNUMBER('Данные 2st'!$KO$2:$KO$317))</f>
        <v>2</v>
      </c>
      <c r="PL61">
        <f>SUMPRODUCT(--('Данные 2st'!$Q$2:$Q$317=$A61),--ISNUMBER('Данные 2st'!$KP$2:$KP$317))</f>
        <v>2</v>
      </c>
      <c r="PM61">
        <f>SUMPRODUCT(--('Данные 2st'!$Q$2:$Q$317=$A61),--ISNUMBER('Данные 2st'!$KQ$2:$KQ$317))</f>
        <v>2</v>
      </c>
      <c r="PN61">
        <f>SUMPRODUCT(--('Данные 2st'!$Q$2:$Q$317=$A61),--ISNUMBER('Данные 2st'!$KR$2:$KR$317))</f>
        <v>2</v>
      </c>
      <c r="PO61">
        <f>SUMPRODUCT(--('Данные 2st'!$Q$2:$Q$317=$A61),--ISNUMBER('Данные 2st'!$KS$2:$KS$317))</f>
        <v>2</v>
      </c>
      <c r="PP61">
        <f>SUMPRODUCT(--('Данные 2st'!$Q$2:$Q$317=$A61),--ISNUMBER('Данные 2st'!$KT$2:$KT$317))</f>
        <v>2</v>
      </c>
      <c r="PQ61">
        <f>SUMPRODUCT(--('Данные 2st'!$Q$2:$Q$317=$A61),--ISNUMBER('Данные 2st'!$KU$2:$KU$317))</f>
        <v>2</v>
      </c>
      <c r="PR61">
        <f>SUMPRODUCT(--('Данные 2st'!$Q$2:$Q$317=$A61),--ISNUMBER('Данные 2st'!$KV$2:$KV$317))</f>
        <v>2</v>
      </c>
      <c r="PS61">
        <f>SUMPRODUCT(--('Данные 2st'!$Q$2:$Q$317=$A61),--ISNUMBER('Данные 2st'!$KW$2:$KW$317))</f>
        <v>2</v>
      </c>
      <c r="PT61">
        <f>SUMPRODUCT(--('Данные 2st'!$Q$2:$Q$317=$A61),--ISNUMBER('Данные 2st'!$KX$2:$KX$317))</f>
        <v>2</v>
      </c>
      <c r="PU61">
        <f>SUMPRODUCT(--('Данные 2st'!$Q$2:$Q$317=$A61),--ISNUMBER('Данные 2st'!$KY$2:$KY$317))</f>
        <v>2</v>
      </c>
      <c r="PV61">
        <f>SUMPRODUCT(--('Данные 2st'!$Q$2:$Q$317=$A61),--ISNUMBER('Данные 2st'!$KZ$2:$KZ$317))</f>
        <v>2</v>
      </c>
      <c r="PW61">
        <f>SUMPRODUCT(--('Данные 2st'!$Q$2:$Q$317=$A61),--ISNUMBER('Данные 2st'!$LA$2:$LA$317))</f>
        <v>2</v>
      </c>
      <c r="PX61">
        <f>SUMPRODUCT(--('Данные 2st'!$Q$2:$Q$317=$A61),--ISNUMBER('Данные 2st'!$LB$2:$LB$317))</f>
        <v>2</v>
      </c>
      <c r="PY61">
        <f>SUMPRODUCT(--('Данные 2st'!$Q$2:$Q$317=$A61),--ISNUMBER('Данные 2st'!$LC$2:$LC$317))</f>
        <v>2</v>
      </c>
      <c r="PZ61">
        <f>SUMPRODUCT(--('Данные 2st'!$Q$2:$Q$317=$A61),--ISNUMBER('Данные 2st'!$LD$2:$LD$317))</f>
        <v>2</v>
      </c>
      <c r="QA61">
        <f>SUMPRODUCT(--('Данные 2st'!$Q$2:$Q$317=$A61),--ISNUMBER('Данные 2st'!$LE$2:$LE$317))</f>
        <v>2</v>
      </c>
      <c r="QB61">
        <f>SUMPRODUCT(--('Данные 2st'!$Q$2:$Q$317=$A61),--ISNUMBER('Данные 2st'!$LF$2:$LF$317))</f>
        <v>2</v>
      </c>
      <c r="QC61">
        <f>SUMPRODUCT(--('Данные 2st'!$Q$2:$Q$317=$A61),--ISNUMBER('Данные 2st'!$LG$2:$LG$317))</f>
        <v>2</v>
      </c>
      <c r="QD61">
        <f>SUMPRODUCT(--('Данные 2st'!$Q$2:$Q$317=$A61),--ISNUMBER('Данные 2st'!$LH$2:$LH$317))</f>
        <v>2</v>
      </c>
      <c r="QE61">
        <f>SUMPRODUCT(--('Данные 2st'!$Q$2:$Q$317=$A61),--ISNUMBER('Данные 2st'!$LJ$2:$LJ$317))</f>
        <v>2</v>
      </c>
      <c r="QF61">
        <f>SUMPRODUCT(--('Данные 2st'!$Q$2:$Q$317=$A61),--ISNUMBER('Данные 2st'!$LK$2:$LK$317))</f>
        <v>2</v>
      </c>
      <c r="QG61">
        <f>SUMPRODUCT(--('Данные 2st'!$Q$2:$Q$317=$A61),--ISNUMBER('Данные 2st'!$LL$2:$LL$317))</f>
        <v>2</v>
      </c>
      <c r="QH61">
        <f>SUMPRODUCT(--('Данные 2st'!$Q$2:$Q$317=$A61),--ISNUMBER('Данные 2st'!$LM$2:$LM$317))</f>
        <v>2</v>
      </c>
      <c r="QI61">
        <f>SUMPRODUCT(--('Данные 2st'!$Q$2:$Q$317=$A61),--ISNUMBER('Данные 2st'!$LN$2:$LN$317))</f>
        <v>2</v>
      </c>
      <c r="QJ61">
        <f>SUMPRODUCT(--('Данные 2st'!$Q$2:$Q$317=$A61),--ISNUMBER('Данные 2st'!$LO$2:$LO$317))</f>
        <v>2</v>
      </c>
      <c r="QK61">
        <f>SUMPRODUCT(--('Данные 2st'!$Q$2:$Q$317=$A61),--ISNUMBER('Данные 2st'!$LP$2:$LP$317))</f>
        <v>2</v>
      </c>
      <c r="QL61">
        <f>SUMPRODUCT(--('Данные 2st'!$Q$2:$Q$317=$A61),--ISNUMBER('Данные 2st'!$LQ$2:$LQ$317))</f>
        <v>2</v>
      </c>
      <c r="QM61">
        <f>SUMPRODUCT(--('Данные 2st'!$Q$2:$Q$317=$A61),--ISNUMBER('Данные 2st'!$LW$2:$LW$317))</f>
        <v>2</v>
      </c>
      <c r="QN61">
        <f>SUMPRODUCT(--('Данные 2st'!$Q$2:$Q$317=$A61),--ISNUMBER('Данные 2st'!$LX$2:$LX$317))</f>
        <v>2</v>
      </c>
      <c r="QO61">
        <f>SUMPRODUCT(--('Данные 2st'!$Q$2:$Q$317=$A61),--ISNUMBER('Данные 2st'!$LY$2:$LY$317))</f>
        <v>2</v>
      </c>
      <c r="QP61">
        <f>SUMPRODUCT(--('Данные 2st'!$Q$2:$Q$317=$A61),--ISNUMBER('Данные 2st'!$LZ$2:$LZ$317))</f>
        <v>2</v>
      </c>
      <c r="QQ61">
        <f>SUMPRODUCT(--('Данные 2st'!$Q$2:$Q$317=$A61),--ISNUMBER('Данные 2st'!$MB$2:$MB$317))</f>
        <v>2</v>
      </c>
      <c r="QR61">
        <f>SUMPRODUCT(--('Данные 2st'!$Q$2:$Q$317=$A61),--ISNUMBER('Данные 2st'!$MG$2:$MG$317))</f>
        <v>0</v>
      </c>
      <c r="QS61">
        <f>SUMPRODUCT(--('Данные 2st'!$Q$2:$Q$317=$A61),--ISNUMBER('Данные 2st'!$MH$2:$MH$317))</f>
        <v>0</v>
      </c>
      <c r="QT61">
        <f>SUMPRODUCT(--('Данные 2st'!$Q$2:$Q$317=$A61),--ISNUMBER('Данные 2st'!$MI$2:$MI$317))</f>
        <v>2</v>
      </c>
      <c r="QU61">
        <f>SUMPRODUCT(--('Данные 2st'!$Q$2:$Q$317=$A61),--ISNUMBER('Данные 2st'!$MJ$2:$MJ$317))</f>
        <v>2</v>
      </c>
      <c r="QV61">
        <f>SUMPRODUCT(--('Данные 2st'!$Q$2:$Q$317=$A61),--ISNUMBER('Данные 2st'!$MK$2:$MK$317))</f>
        <v>0</v>
      </c>
      <c r="QW61">
        <f>SUMPRODUCT(--('Данные 2st'!$Q$2:$Q$317=$A61),--ISNUMBER('Данные 2st'!$MM$2:$MM$317))</f>
        <v>2</v>
      </c>
      <c r="QX61">
        <f>SUMPRODUCT(--('Данные 2st'!$Q$2:$Q$317=$A61),--ISNUMBER('Данные 2st'!$MQ$2:$MQ$317))</f>
        <v>0</v>
      </c>
      <c r="QY61">
        <f>SUMPRODUCT(--('Данные 2st'!$Q$2:$Q$317=$A61),--ISNUMBER('Данные 2st'!$MR$2:$MR$317))</f>
        <v>0</v>
      </c>
      <c r="QZ61">
        <f>SUMPRODUCT(--('Данные 2st'!$Q$2:$Q$317=$A61),--ISNUMBER('Данные 2st'!$MS$2:$MS$317))</f>
        <v>0</v>
      </c>
      <c r="RA61">
        <f>SUMPRODUCT(--('Данные 2st'!$Q$2:$Q$317=$A61),--ISNUMBER('Данные 2st'!$MT$2:$MT$317))</f>
        <v>0</v>
      </c>
      <c r="RB61">
        <f>SUMPRODUCT(--('Данные 2st'!$Q$2:$Q$317=$A61),--ISNUMBER('Данные 2st'!$MU$2:$MU$317))</f>
        <v>0</v>
      </c>
      <c r="RC61">
        <f>SUMPRODUCT(--('Данные 2st'!$Q$2:$Q$317=$A61),--ISNUMBER('Данные 2st'!$MV$2:$MV$317))</f>
        <v>0</v>
      </c>
      <c r="RD61">
        <f>SUMPRODUCT(--('Данные 2st'!$Q$2:$Q$317=$A61),--ISNUMBER('Данные 2st'!$MW$2:$MW$317))</f>
        <v>0</v>
      </c>
      <c r="RE61">
        <f>SUMPRODUCT(--('Данные 2st'!$Q$2:$Q$317=$A61),--ISNUMBER('Данные 2st'!$MX$2:$MX$317))</f>
        <v>0</v>
      </c>
      <c r="RF61">
        <f>SUMPRODUCT(--('Данные 2st'!$Q$2:$Q$317=$A61),--ISNUMBER('Данные 2st'!$MY$2:$MY$317))</f>
        <v>0</v>
      </c>
      <c r="RG61">
        <f>SUMPRODUCT(--('Данные 2st'!$Q$2:$Q$317=$A61),--ISNUMBER('Данные 2st'!$MZ$2:$MZ$317))</f>
        <v>0</v>
      </c>
      <c r="RH61">
        <f>SUMPRODUCT(--('Данные 2st'!$Q$2:$Q$317=$A61),--ISNUMBER('Данные 2st'!$NA$2:$NA$317))</f>
        <v>0</v>
      </c>
      <c r="RI61">
        <f>SUMPRODUCT(--('Данные 2st'!$Q$2:$Q$317=$A61),--ISNUMBER('Данные 2st'!$NB$2:$NB$317))</f>
        <v>0</v>
      </c>
      <c r="RJ61">
        <f>SUMPRODUCT(--('Данные 2st'!$Q$2:$Q$317=$A61),--ISNUMBER('Данные 2st'!$NC$2:$NC$317))</f>
        <v>0</v>
      </c>
      <c r="RK61">
        <f>SUMPRODUCT(--('Данные 2st'!$Q$2:$Q$317=$A61),--ISNUMBER('Данные 2st'!$ND$2:$ND$317))</f>
        <v>0</v>
      </c>
      <c r="RL61">
        <f>SUMPRODUCT(--('Данные 2st'!$Q$2:$Q$317=$A61),--ISNUMBER('Данные 2st'!$NE$2:$NE$317))</f>
        <v>0</v>
      </c>
      <c r="RM61">
        <f>SUMPRODUCT(--('Данные 2st'!$Q$2:$Q$317=$A61),--ISNUMBER('Данные 2st'!$NF$2:$NF$317))</f>
        <v>0</v>
      </c>
      <c r="RN61">
        <f>SUMPRODUCT(--('Данные 2st'!$Q$2:$Q$317=$A61),--ISNUMBER('Данные 2st'!$NG$2:$NG$317))</f>
        <v>0</v>
      </c>
      <c r="RO61">
        <f>SUMPRODUCT(--('Данные 2st'!$Q$2:$Q$317=$A61),--ISNUMBER('Данные 2st'!$NH$2:$NH$317))</f>
        <v>0</v>
      </c>
      <c r="RP61">
        <f>SUMPRODUCT(--('Данные 2st'!$Q$2:$Q$317=$A61),--ISNUMBER('Данные 2st'!$NJ$2:$NJ$317))</f>
        <v>0</v>
      </c>
      <c r="RQ61">
        <f>SUMPRODUCT(--('Данные 2st'!$Q$2:$Q$317=$A61),--ISNUMBER('Данные 2st'!$NK$2:$NK$317))</f>
        <v>0</v>
      </c>
      <c r="RR61">
        <f>SUMPRODUCT(--('Данные 2st'!$Q$2:$Q$317=$A61),--ISNUMBER('Данные 2st'!$NM$2:$NM$317))</f>
        <v>0</v>
      </c>
      <c r="RS61">
        <f>SUMPRODUCT(--('Данные 2st'!$Q$2:$Q$317=$A61),--ISNUMBER('Данные 2st'!$NN$2:$NN$317))</f>
        <v>0</v>
      </c>
      <c r="RT61">
        <f>SUMPRODUCT(--('Данные 2st'!$Q$2:$Q$317=$A61),--ISNUMBER('Данные 2st'!$NO$2:$NO$317))</f>
        <v>0</v>
      </c>
      <c r="RU61">
        <f>SUMPRODUCT(--('Данные 2st'!$Q$2:$Q$317=$A61),--ISNUMBER('Данные 2st'!$NP$2:$NP$317))</f>
        <v>0</v>
      </c>
      <c r="RV61">
        <f>SUMPRODUCT(--('Данные 2st'!$Q$2:$Q$317=$A61),--ISNUMBER('Данные 2st'!$NQ$2:$NQ$317))</f>
        <v>0</v>
      </c>
      <c r="RW61">
        <f>SUMPRODUCT(--('Данные 2st'!$Q$2:$Q$317=$A61),--ISNUMBER('Данные 2st'!$NR$2:$NR$317))</f>
        <v>0</v>
      </c>
      <c r="RX61">
        <f>SUMPRODUCT(--('Данные 2st'!$Q$2:$Q$317=$A61),--ISNUMBER('Данные 2st'!$NS$2:$NS$317))</f>
        <v>0</v>
      </c>
      <c r="RY61">
        <f>SUMPRODUCT(--('Данные 2st'!$Q$2:$Q$317=$A61),--ISNUMBER('Данные 2st'!$NT$2:$NT$317))</f>
        <v>0</v>
      </c>
      <c r="RZ61">
        <f>SUMPRODUCT(--('Данные 2st'!$Q$2:$Q$317=$A61),--ISNUMBER('Данные 2st'!$OK$2:$OK$317))</f>
        <v>2</v>
      </c>
      <c r="SA61">
        <f>SUMPRODUCT(--('Данные 2st'!$Q$2:$Q$317=$A61),--ISNUMBER('Данные 2st'!$OL$2:$OL$317))</f>
        <v>2</v>
      </c>
      <c r="SB61">
        <f>SUMPRODUCT(--('Данные 2st'!$Q$2:$Q$317=$A61),--ISNUMBER('Данные 2st'!$ON$2:$ON$317))</f>
        <v>2</v>
      </c>
      <c r="SC61">
        <f>SUMPRODUCT(--('Данные 2st'!$Q$2:$Q$317=$A61),--ISNUMBER('Данные 2st'!$OO$2:$OO$317))</f>
        <v>2</v>
      </c>
      <c r="SD61">
        <f>SUMPRODUCT(--('Данные 2st'!$Q$2:$Q$317=$A61),--ISNUMBER('Данные 2st'!$OP$2:$OP$317))</f>
        <v>2</v>
      </c>
      <c r="SE61">
        <f>SUMPRODUCT(--('Данные 2st'!$Q$2:$Q$317=$A61),--ISNUMBER('Данные 2st'!$OQ$2:$OQ$317))</f>
        <v>2</v>
      </c>
      <c r="SF61">
        <f>SUMPRODUCT(--('Данные 2st'!$Q$2:$Q$317=$A61),--ISNUMBER('Данные 2st'!$OS$2:$OS$317))</f>
        <v>2</v>
      </c>
      <c r="SG61">
        <f>SUMPRODUCT(--('Данные 2st'!$Q$2:$Q$317=$A61),--ISNUMBER('Данные 2st'!$OT$2:$OT$317))</f>
        <v>2</v>
      </c>
      <c r="SH61">
        <f>SUMPRODUCT(--('Данные 2st'!$Q$2:$Q$317=$A61),--ISNUMBER('Данные 2st'!$OU$2:$OU$317))</f>
        <v>2</v>
      </c>
      <c r="SI61">
        <f>SUMPRODUCT(--('Данные 2st'!$Q$2:$Q$317=$A61),--ISNUMBER('Данные 2st'!$OV$2:$OV$317))</f>
        <v>2</v>
      </c>
      <c r="SJ61">
        <f>SUMPRODUCT(--('Данные 2st'!$Q$2:$Q$317=$A61),--ISNUMBER('Данные 2st'!$OX$2:$OX$317))</f>
        <v>2</v>
      </c>
      <c r="SK61">
        <f>SUMPRODUCT(--('Данные 2st'!$Q$2:$Q$317=$A61),--ISNUMBER('Данные 2st'!$OY$2:$OY$317))</f>
        <v>2</v>
      </c>
      <c r="SL61">
        <f>SUMPRODUCT(--('Данные 2st'!$Q$2:$Q$317=$A61),--ISNUMBER('Данные 2st'!$OZ$2:$OZ$317))</f>
        <v>2</v>
      </c>
      <c r="SM61">
        <f>SUMPRODUCT(--('Данные 2st'!$Q$2:$Q$317=$A61),--ISNUMBER('Данные 2st'!$PA$2:$PA$317))</f>
        <v>2</v>
      </c>
      <c r="SN61">
        <f>SUMPRODUCT(--('Данные 2st'!$Q$2:$Q$317=$A61),--ISNUMBER('Данные 2st'!$PC$2:$PC$317))</f>
        <v>2</v>
      </c>
      <c r="SO61">
        <f>SUMPRODUCT(--('Данные 2st'!$Q$2:$Q$317=$A61),--ISNUMBER('Данные 2st'!$PD$2:$PD$317))</f>
        <v>2</v>
      </c>
      <c r="SP61">
        <f>SUMPRODUCT(--('Данные 2st'!$Q$2:$Q$317=$A61),--ISNUMBER('Данные 2st'!$PF$2:$PF$317))</f>
        <v>2</v>
      </c>
      <c r="SQ61">
        <f>SUMPRODUCT(--('Данные 2st'!$Q$2:$Q$317=$A61),--ISNUMBER('Данные 2st'!$PG$2:$PG$317))</f>
        <v>2</v>
      </c>
      <c r="SR61">
        <f>SUMPRODUCT(--('Данные 2st'!$Q$2:$Q$317=$A61),--ISNUMBER('Данные 2st'!$PH$2:$PH$317))</f>
        <v>2</v>
      </c>
      <c r="SS61">
        <f>SUMPRODUCT(--('Данные 2st'!$Q$2:$Q$317=$A61),--ISNUMBER('Данные 2st'!$PI$2:$PI$317))</f>
        <v>2</v>
      </c>
      <c r="ST61">
        <f>SUMPRODUCT(--('Данные 2st'!$Q$2:$Q$317=$A61),--ISNUMBER('Данные 2st'!$PJ$2:$PJ$317))</f>
        <v>2</v>
      </c>
      <c r="SU61">
        <f>SUMPRODUCT(--('Данные 2st'!$Q$2:$Q$317=$A61),--ISNUMBER('Данные 2st'!$PK$2:$PK$317))</f>
        <v>2</v>
      </c>
      <c r="SV61">
        <f>SUMPRODUCT(--('Данные 2st'!$Q$2:$Q$317=$A61),--ISNUMBER('Данные 2st'!$PL$2:$PL$317))</f>
        <v>2</v>
      </c>
      <c r="SW61">
        <f>SUMPRODUCT(--('Данные 2st'!$Q$2:$Q$317=$A61),--ISNUMBER('Данные 2st'!$PM$2:$PM$317))</f>
        <v>2</v>
      </c>
      <c r="SX61">
        <f>SUMPRODUCT(--('Данные 2st'!$Q$2:$Q$317=$A61),--ISNUMBER('Данные 2st'!$PN$2:$PN$317))</f>
        <v>2</v>
      </c>
      <c r="SY61">
        <f>SUMPRODUCT(--('Данные 2st'!$Q$2:$Q$317=$A61),--ISNUMBER('Данные 2st'!$PO$2:$PO$317))</f>
        <v>2</v>
      </c>
      <c r="SZ61">
        <f>SUMPRODUCT(--('Данные 2st'!$Q$2:$Q$317=$A61),--ISNUMBER('Данные 2st'!$PP$2:$PP$317))</f>
        <v>2</v>
      </c>
      <c r="TA61">
        <f>SUMPRODUCT(--('Данные 2st'!$Q$2:$Q$317=$A61),--ISNUMBER('Данные 2st'!$PQ$2:$PQ$317))</f>
        <v>2</v>
      </c>
      <c r="TB61">
        <f>SUMPRODUCT(--('Данные 2st'!$Q$2:$Q$317=$A61),--ISNUMBER('Данные 2st'!$PR$2:$PR$317))</f>
        <v>2</v>
      </c>
      <c r="TC61">
        <f>SUMPRODUCT(--('Данные 2st'!$Q$2:$Q$317=$A61),--ISNUMBER('Данные 2st'!$PS$2:$PS$317))</f>
        <v>2</v>
      </c>
      <c r="TD61">
        <f>SUMPRODUCT(--('Данные 2st'!$Q$2:$Q$317=$A61),--ISNUMBER('Данные 2st'!$PT$2:$PT$317))</f>
        <v>2</v>
      </c>
      <c r="TE61">
        <f>SUMPRODUCT(--('Данные 2st'!$Q$2:$Q$317=$A61),--ISNUMBER('Данные 2st'!$PU$2:$PU$317))</f>
        <v>2</v>
      </c>
      <c r="TF61">
        <f>SUMPRODUCT(--('Данные 2st'!$Q$2:$Q$317=$A61),--ISNUMBER('Данные 2st'!$PX$2:$PX$317))</f>
        <v>2</v>
      </c>
      <c r="TG61">
        <f>SUMPRODUCT(--('Данные 2st'!$Q$2:$Q$317=$A61),--ISNUMBER('Данные 2st'!$PY$2:$PY$317))</f>
        <v>2</v>
      </c>
      <c r="TH61">
        <f>SUMPRODUCT(--('Данные 2st'!$Q$2:$Q$317=$A61),--ISNUMBER('Данные 2st'!$PZ$2:$PZ$317))</f>
        <v>2</v>
      </c>
      <c r="TI61">
        <f>SUMPRODUCT(--('Данные 2st'!$Q$2:$Q$317=$A61),--ISNUMBER('Данные 2st'!$QA$2:$QA$317))</f>
        <v>2</v>
      </c>
      <c r="TJ61">
        <f>SUMPRODUCT(--('Данные 2st'!$Q$2:$Q$317=$A61),--ISNUMBER('Данные 2st'!$QB$2:$QB$317))</f>
        <v>2</v>
      </c>
      <c r="TK61">
        <f>SUMPRODUCT(--('Данные 2st'!$Q$2:$Q$317=$A61),--ISNUMBER('Данные 2st'!$QC$2:$QC$317))</f>
        <v>2</v>
      </c>
      <c r="TL61">
        <f>SUMPRODUCT(--('Данные 2st'!$Q$2:$Q$317=$A61),--ISNUMBER('Данные 2st'!$QD$2:$QD$317))</f>
        <v>2</v>
      </c>
      <c r="TM61">
        <f>SUMPRODUCT(--('Данные 2st'!$Q$2:$Q$317=$A61),--ISNUMBER('Данные 2st'!$QE$2:$QE$317))</f>
        <v>2</v>
      </c>
      <c r="TN61">
        <f>SUMPRODUCT(--('Данные 2st'!$Q$2:$Q$317=$A61),--ISNUMBER('Данные 2st'!$QF$2:$QF$317))</f>
        <v>2</v>
      </c>
      <c r="TO61">
        <f>SUMPRODUCT(--('Данные 2st'!$Q$2:$Q$317=$A61),--ISNUMBER('Данные 2st'!$QG$2:$QG$317))</f>
        <v>2</v>
      </c>
      <c r="TP61">
        <f>SUMPRODUCT(--('Данные 2st'!$Q$2:$Q$317=$A61),--ISNUMBER('Данные 2st'!$QH$2:$QH$317))</f>
        <v>2</v>
      </c>
      <c r="TQ61">
        <f>SUMPRODUCT(--('Данные 2st'!$Q$2:$Q$317=$A61),--ISNUMBER('Данные 2st'!$QI$2:$QI$317))</f>
        <v>2</v>
      </c>
      <c r="TR61">
        <f>SUMPRODUCT(--('Данные 2st'!$Q$2:$Q$317=$A61),--ISNUMBER('Данные 2st'!$QJ$2:$QJ$317))</f>
        <v>2</v>
      </c>
      <c r="TS61">
        <f>SUMPRODUCT(--('Данные 2st'!$Q$2:$Q$317=$A61),--ISNUMBER('Данные 2st'!$QK$2:$QK$317))</f>
        <v>2</v>
      </c>
      <c r="TT61">
        <f>SUMPRODUCT(--('Данные 2st'!$Q$2:$Q$317=$A61),--ISNUMBER('Данные 2st'!$QL$2:$QL$317))</f>
        <v>2</v>
      </c>
      <c r="TU61">
        <f>SUMPRODUCT(--('Данные 2st'!$Q$2:$Q$317=$A61),--ISNUMBER('Данные 2st'!$QM$2:$QM$317))</f>
        <v>2</v>
      </c>
      <c r="TV61">
        <f>SUMPRODUCT(--('Данные 2st'!$Q$2:$Q$317=$A61),--ISNUMBER('Данные 2st'!$QN$2:$QN$317))</f>
        <v>2</v>
      </c>
      <c r="TW61">
        <f>SUMPRODUCT(--('Данные 2st'!$Q$2:$Q$317=$A61),--ISNUMBER('Данные 2st'!$QQ$2:$QQ$317))</f>
        <v>2</v>
      </c>
      <c r="TX61">
        <f>SUMPRODUCT(--('Данные 2st'!$Q$2:$Q$317=$A61),--ISNUMBER('Данные 2st'!$QS$2:$QS$317))</f>
        <v>2</v>
      </c>
      <c r="TY61">
        <f>SUMPRODUCT(--('Данные 2st'!$Q$2:$Q$317=$A61),--ISNUMBER('Данные 2st'!$QT$2:$QT$317))</f>
        <v>2</v>
      </c>
    </row>
    <row r="62" spans="1:545" ht="32" customHeight="1">
      <c r="A62" s="11" t="str">
        <f>'По размерам'!A62</f>
        <v>245/50R19</v>
      </c>
      <c r="G62">
        <f>SUMPRODUCT(--('Данные 1st'!$S$2:$S$317=$A62),--ISNUMBER('Данные 1st'!$AE$2:$AE$317))</f>
        <v>1</v>
      </c>
      <c r="H62">
        <f>SUMPRODUCT(--('Данные 1st'!$S$2:$S$317=$A62),--ISNUMBER('Данные 1st'!$AF$2:$AF$317))</f>
        <v>1</v>
      </c>
      <c r="I62">
        <f>SUMPRODUCT(--('Данные 1st'!$S$2:$S$317=$A62),--ISNUMBER('Данные 1st'!$AJ$2:$AJ$317))</f>
        <v>1</v>
      </c>
      <c r="J62">
        <f>SUMPRODUCT(--('Данные 1st'!$S$2:$S$317=$A62),--ISNUMBER('Данные 1st'!$AL$2:$AL$317))</f>
        <v>1</v>
      </c>
      <c r="K62">
        <f>SUMPRODUCT(--('Данные 1st'!$S$2:$S$317=$A62),--ISNUMBER('Данные 1st'!$AR$2:$AR$317))</f>
        <v>1</v>
      </c>
      <c r="L62">
        <f>SUMPRODUCT(--('Данные 1st'!$S$2:$S$317=$A62),--ISNUMBER('Данные 1st'!$AS$2:$AS$317))</f>
        <v>1</v>
      </c>
      <c r="M62">
        <f>SUMPRODUCT(--('Данные 1st'!$S$2:$S$317=$A62),--ISNUMBER('Данные 1st'!$AY$2:$AY$317))</f>
        <v>1</v>
      </c>
      <c r="N62">
        <f>SUMPRODUCT(--('Данные 1st'!$S$2:$S$317=$A62),--ISNUMBER('Данные 1st'!$AZ$2:$AZ$317))</f>
        <v>1</v>
      </c>
      <c r="O62">
        <f>SUMPRODUCT(--('Данные 1st'!$S$2:$S$317=$A62),--ISNUMBER('Данные 1st'!$BF$2:$BF$317))</f>
        <v>1</v>
      </c>
      <c r="P62">
        <f>SUMPRODUCT(--('Данные 1st'!$S$2:$S$317=$A62),--ISNUMBER('Данные 1st'!$BG$2:$BG$317))</f>
        <v>1</v>
      </c>
      <c r="Q62">
        <f>SUMPRODUCT(--('Данные 1st'!$S$2:$S$317=$A62),--ISNUMBER('Данные 1st'!$BM$2:$BM$317))</f>
        <v>0</v>
      </c>
      <c r="R62">
        <f>SUMPRODUCT(--('Данные 1st'!$S$2:$S$317=$A62),--ISNUMBER('Данные 1st'!$BN$2:$BN$317))</f>
        <v>1</v>
      </c>
      <c r="S62">
        <f>SUMPRODUCT(--('Данные 1st'!$S$2:$S$317=$A62),--ISNUMBER('Данные 1st'!$BT$2:$BT$317))</f>
        <v>1</v>
      </c>
      <c r="T62">
        <f>SUMPRODUCT(--('Данные 1st'!$S$2:$S$317=$A62),--ISNUMBER('Данные 1st'!$BU$2:$BU$317))</f>
        <v>1</v>
      </c>
      <c r="U62">
        <f>SUMPRODUCT(--('Данные 1st'!$S$2:$S$317=$A62),--ISNUMBER('Данные 1st'!$BW$2:$BW$317))</f>
        <v>1</v>
      </c>
      <c r="V62">
        <f>SUMPRODUCT(--('Данные 1st'!$S$2:$S$317=$A62),--ISNUMBER('Данные 1st'!$BX$2:$BX$317))</f>
        <v>1</v>
      </c>
      <c r="W62">
        <f>SUMPRODUCT(--('Данные 1st'!$S$2:$S$317=$A62),--ISNUMBER('Данные 1st'!$BZ$2:$BZ$317))</f>
        <v>1</v>
      </c>
      <c r="X62">
        <f>SUMPRODUCT(--('Данные 1st'!$S$2:$S$317=$A62),--ISNUMBER('Данные 1st'!$CA$2:$CA$317))</f>
        <v>1</v>
      </c>
      <c r="Y62">
        <f>SUMPRODUCT(--('Данные 1st'!$S$2:$S$317=$A62),--ISNUMBER('Данные 1st'!$CD$2:$CD$317))</f>
        <v>1</v>
      </c>
      <c r="Z62">
        <f>SUMPRODUCT(--('Данные 1st'!$S$2:$S$317=$A62),--ISNUMBER('Данные 1st'!$CF$2:$CF$317))</f>
        <v>1</v>
      </c>
      <c r="AA62">
        <f>SUMPRODUCT(--('Данные 1st'!$S$2:$S$317=$A62),--ISNUMBER('Данные 1st'!$CI$2:$CI$317))</f>
        <v>1</v>
      </c>
      <c r="AB62">
        <f>SUMPRODUCT(--('Данные 1st'!$S$2:$S$317=$A62),--ISNUMBER('Данные 1st'!$CJ$2:$CJ$317))</f>
        <v>1</v>
      </c>
      <c r="AC62">
        <f>SUMPRODUCT(--('Данные 1st'!$S$2:$S$317=$A62),--ISNUMBER('Данные 1st'!$CK$2:$CK$317))</f>
        <v>1</v>
      </c>
      <c r="AD62">
        <f>SUMPRODUCT(--('Данные 1st'!$S$2:$S$317=$A62),--ISNUMBER('Данные 1st'!$CL$2:$CL$317))</f>
        <v>1</v>
      </c>
      <c r="AE62">
        <f>SUMPRODUCT(--('Данные 1st'!$S$2:$S$317=$A62),--ISNUMBER('Данные 1st'!$CM$2:$CM$317))</f>
        <v>1</v>
      </c>
      <c r="AF62">
        <f>SUMPRODUCT(--('Данные 1st'!$S$2:$S$317=$A62),--ISNUMBER('Данные 1st'!$CT$2:$CT$317))</f>
        <v>1</v>
      </c>
      <c r="AG62">
        <f>SUMPRODUCT(--('Данные 1st'!$S$2:$S$317=$A62),--ISNUMBER('Данные 1st'!$CU$2:$CU$317))</f>
        <v>1</v>
      </c>
      <c r="AH62">
        <f>SUMPRODUCT(--('Данные 1st'!$S$2:$S$317=$A62),--ISNUMBER('Данные 1st'!$CV$2:$CV$317))</f>
        <v>1</v>
      </c>
      <c r="AI62">
        <f>SUMPRODUCT(--('Данные 1st'!$S$2:$S$317=$A62),--ISNUMBER('Данные 1st'!$CW$2:$CW$317))</f>
        <v>1</v>
      </c>
      <c r="AJ62">
        <f>SUMPRODUCT(--('Данные 1st'!$S$2:$S$317=$A62),--ISNUMBER('Данные 1st'!$CX$2:$CX$317))</f>
        <v>1</v>
      </c>
      <c r="AK62">
        <f>SUMPRODUCT(--('Данные 1st'!$S$2:$S$317=$A62),--ISNUMBER('Данные 1st'!$CZ$2:$CZ$317))</f>
        <v>1</v>
      </c>
      <c r="AL62">
        <f>SUMPRODUCT(--('Данные 1st'!$S$2:$S$317=$A62),--ISNUMBER('Данные 1st'!$DA$2:$DA$317))</f>
        <v>1</v>
      </c>
      <c r="AM62">
        <f>SUMPRODUCT(--('Данные 1st'!$S$2:$S$317=$A62),--ISNUMBER('Данные 1st'!$DB$2:$DB$317))</f>
        <v>1</v>
      </c>
      <c r="AN62">
        <f>SUMPRODUCT(--('Данные 1st'!$S$2:$S$317=$A62),--ISNUMBER('Данные 1st'!$DC$2:$DC$317))</f>
        <v>1</v>
      </c>
      <c r="AO62">
        <f>SUMPRODUCT(--('Данные 1st'!$S$2:$S$317=$A62),--ISNUMBER('Данные 1st'!$DD$2:$DD$317))</f>
        <v>1</v>
      </c>
      <c r="AP62">
        <f>SUMPRODUCT(--('Данные 1st'!$S$2:$S$317=$A62),--ISNUMBER('Данные 1st'!$DF$2:$DF$317))</f>
        <v>1</v>
      </c>
      <c r="AQ62">
        <f>SUMPRODUCT(--('Данные 1st'!$S$2:$S$317=$A62),--ISNUMBER('Данные 1st'!$DG$2:$DG$317))</f>
        <v>1</v>
      </c>
      <c r="AR62">
        <f>SUMPRODUCT(--('Данные 1st'!$S$2:$S$317=$A62),--ISNUMBER('Данные 1st'!$DH$2:$DH$317))</f>
        <v>1</v>
      </c>
      <c r="AS62">
        <f>SUMPRODUCT(--('Данные 1st'!$S$2:$S$317=$A62),--ISNUMBER('Данные 1st'!$DI$2:$DI$317))</f>
        <v>1</v>
      </c>
      <c r="AT62">
        <f>SUMPRODUCT(--('Данные 1st'!$S$2:$S$317=$A62),--ISNUMBER('Данные 1st'!$DJ$2:$DJ$317))</f>
        <v>1</v>
      </c>
      <c r="AU62">
        <f>SUMPRODUCT(--('Данные 1st'!$S$2:$S$317=$A62),--ISNUMBER('Данные 1st'!$DL$2:$DL$317))</f>
        <v>1</v>
      </c>
      <c r="AV62">
        <f>SUMPRODUCT(--('Данные 1st'!$S$2:$S$317=$A62),--ISNUMBER('Данные 1st'!$DM$2:$DM$317))</f>
        <v>1</v>
      </c>
      <c r="AW62">
        <f>SUMPRODUCT(--('Данные 1st'!$S$2:$S$317=$A62),--ISNUMBER('Данные 1st'!$DN$2:$DN$317))</f>
        <v>1</v>
      </c>
      <c r="AX62">
        <f>SUMPRODUCT(--('Данные 1st'!$S$2:$S$317=$A62),--ISNUMBER('Данные 1st'!$DO$2:$DO$317))</f>
        <v>1</v>
      </c>
      <c r="AY62">
        <f>SUMPRODUCT(--('Данные 1st'!$S$2:$S$317=$A62),--ISNUMBER('Данные 1st'!$DP$2:$DP$317))</f>
        <v>1</v>
      </c>
      <c r="AZ62">
        <f>SUMPRODUCT(--('Данные 1st'!$S$2:$S$317=$A62),--ISNUMBER('Данные 1st'!$DR$2:$DR$317))</f>
        <v>0</v>
      </c>
      <c r="BA62">
        <f>SUMPRODUCT(--('Данные 1st'!$S$2:$S$317=$A62),--ISNUMBER('Данные 1st'!$DS$2:$DS$317))</f>
        <v>0</v>
      </c>
      <c r="BB62">
        <f>SUMPRODUCT(--('Данные 1st'!$S$2:$S$317=$A62),--ISNUMBER('Данные 1st'!$DT$2:$DT$317))</f>
        <v>0</v>
      </c>
      <c r="BC62">
        <f>SUMPRODUCT(--('Данные 1st'!$S$2:$S$317=$A62),--ISNUMBER('Данные 1st'!$DU$2:$DU$317))</f>
        <v>0</v>
      </c>
      <c r="BD62">
        <f>SUMPRODUCT(--('Данные 1st'!$S$2:$S$317=$A62),--ISNUMBER('Данные 1st'!$DV$2:$DV$317))</f>
        <v>0</v>
      </c>
      <c r="BE62">
        <f>SUMPRODUCT(--('Данные 1st'!$S$2:$S$317=$A62),--ISNUMBER('Данные 1st'!$DX$2:$DX$317))</f>
        <v>1</v>
      </c>
      <c r="BF62">
        <f>SUMPRODUCT(--('Данные 1st'!$S$2:$S$317=$A62),--ISNUMBER('Данные 1st'!$EA$2:$EA$317))</f>
        <v>1</v>
      </c>
      <c r="BG62">
        <f>SUMPRODUCT(--('Данные 1st'!$S$2:$S$317=$A62),--ISNUMBER('Данные 1st'!$EB$2:$EB$317))</f>
        <v>1</v>
      </c>
      <c r="BH62">
        <f>SUMPRODUCT(--('Данные 1st'!$S$2:$S$317=$A62),--ISNUMBER('Данные 1st'!$ED$2:$ED$317))</f>
        <v>1</v>
      </c>
      <c r="BI62">
        <f>SUMPRODUCT(--('Данные 1st'!$S$2:$S$317=$A62),--ISNUMBER('Данные 1st'!$EE$2:$EE$317))</f>
        <v>1</v>
      </c>
      <c r="BJ62">
        <f>SUMPRODUCT(--('Данные 1st'!$S$2:$S$317=$A62),--ISNUMBER('Данные 1st'!$EG$2:$EG$317))</f>
        <v>1</v>
      </c>
      <c r="BK62">
        <f>SUMPRODUCT(--('Данные 1st'!$S$2:$S$317=$A62),--ISNUMBER('Данные 1st'!$EH$2:$EH$317))</f>
        <v>1</v>
      </c>
      <c r="BL62">
        <f>SUMPRODUCT(--('Данные 1st'!$S$2:$S$317=$A62),--ISNUMBER('Данные 1st'!$EJ$2:$EJ$317))</f>
        <v>1</v>
      </c>
      <c r="BM62">
        <f>SUMPRODUCT(--('Данные 1st'!$S$2:$S$317=$A62),--ISNUMBER('Данные 1st'!$EK$2:$EK$317))</f>
        <v>1</v>
      </c>
      <c r="BN62">
        <f>SUMPRODUCT(--('Данные 1st'!$S$2:$S$317=$A62),--ISNUMBER('Данные 1st'!$EN$2:$EN$317))</f>
        <v>1</v>
      </c>
      <c r="BO62">
        <f>SUMPRODUCT(--('Данные 1st'!$S$2:$S$317=$A62),--ISNUMBER('Данные 1st'!$EQ$2:$EQ$317))</f>
        <v>1</v>
      </c>
      <c r="BP62">
        <f>SUMPRODUCT(--('Данные 1st'!$S$2:$S$317=$A62),--ISNUMBER('Данные 1st'!$ER$2:$ER$317))</f>
        <v>1</v>
      </c>
      <c r="BQ62">
        <f>SUMPRODUCT(--('Данные 1st'!$S$2:$S$317=$A62),--ISNUMBER('Данные 1st'!$ES$2:$ES$317))</f>
        <v>1</v>
      </c>
      <c r="BR62">
        <f>SUMPRODUCT(--('Данные 1st'!$S$2:$S$317=$A62),--ISNUMBER('Данные 1st'!$ET$2:$ET$317))</f>
        <v>1</v>
      </c>
      <c r="BS62">
        <f>SUMPRODUCT(--('Данные 1st'!$S$2:$S$317=$A62),--ISNUMBER('Данные 1st'!$EU$2:$EU$317))</f>
        <v>1</v>
      </c>
      <c r="BT62">
        <f>SUMPRODUCT(--('Данные 1st'!$S$2:$S$317=$A62),--ISNUMBER('Данные 1st'!$EV$2:$EV$317))</f>
        <v>1</v>
      </c>
      <c r="BU62">
        <f>SUMPRODUCT(--('Данные 1st'!$S$2:$S$317=$A62),--ISNUMBER('Данные 1st'!$EX$2:$EX$317))</f>
        <v>1</v>
      </c>
      <c r="BV62">
        <f>SUMPRODUCT(--('Данные 1st'!$S$2:$S$317=$A62),--ISNUMBER('Данные 1st'!$EY$2:$EY$317))</f>
        <v>1</v>
      </c>
      <c r="BW62">
        <f>SUMPRODUCT(--('Данные 1st'!$S$2:$S$317=$A62),--ISNUMBER('Данные 1st'!$EZ$2:$EZ$317))</f>
        <v>1</v>
      </c>
      <c r="BX62">
        <f>SUMPRODUCT(--('Данные 1st'!$S$2:$S$317=$A62),--ISNUMBER('Данные 1st'!$FA$2:$FA$317))</f>
        <v>1</v>
      </c>
      <c r="BY62">
        <f>SUMPRODUCT(--('Данные 1st'!$S$2:$S$317=$A62),--ISNUMBER('Данные 1st'!$FB$2:$FB$317))</f>
        <v>1</v>
      </c>
      <c r="BZ62">
        <f>SUMPRODUCT(--('Данные 1st'!$S$2:$S$317=$A62),--ISNUMBER('Данные 1st'!$FC$2:$FC$317))</f>
        <v>1</v>
      </c>
      <c r="CA62">
        <f>SUMPRODUCT(--('Данные 1st'!$S$2:$S$317=$A62),--ISNUMBER('Данные 1st'!$FE$2:$FE$317))</f>
        <v>1</v>
      </c>
      <c r="CB62">
        <f>SUMPRODUCT(--('Данные 1st'!$S$2:$S$317=$A62),--ISNUMBER('Данные 1st'!$FF$2:$FF$317))</f>
        <v>1</v>
      </c>
      <c r="CC62">
        <f>SUMPRODUCT(--('Данные 1st'!$S$2:$S$317=$A62),--ISNUMBER('Данные 1st'!$FI$2:$FI$317))</f>
        <v>1</v>
      </c>
      <c r="CD62">
        <f>SUMPRODUCT(--('Данные 1st'!$S$2:$S$317=$A62),--ISNUMBER('Данные 1st'!$FL$2:$FL$317))</f>
        <v>1</v>
      </c>
      <c r="CE62">
        <f>SUMPRODUCT(--('Данные 1st'!$S$2:$S$317=$A62),--ISNUMBER('Данные 1st'!$FM$2:$FM$317))</f>
        <v>1</v>
      </c>
      <c r="CF62">
        <f>SUMPRODUCT(--('Данные 1st'!$S$2:$S$317=$A62),--ISNUMBER('Данные 1st'!$FN$2:$FN$317))</f>
        <v>1</v>
      </c>
      <c r="CG62">
        <f>SUMPRODUCT(--('Данные 1st'!$S$2:$S$317=$A62),--ISNUMBER('Данные 1st'!$FO$2:$FO$317))</f>
        <v>1</v>
      </c>
      <c r="CH62">
        <f>SUMPRODUCT(--('Данные 1st'!$S$2:$S$317=$A62),--ISNUMBER('Данные 1st'!$FP$2:$FP$317))</f>
        <v>1</v>
      </c>
      <c r="CI62">
        <f>SUMPRODUCT(--('Данные 1st'!$S$2:$S$317=$A62),--ISNUMBER('Данные 1st'!$FS$2:$FS$317))</f>
        <v>0</v>
      </c>
      <c r="CJ62">
        <f>SUMPRODUCT(--('Данные 1st'!$S$2:$S$317=$A62),--ISNUMBER('Данные 1st'!$FT$2:$FT$317))</f>
        <v>0</v>
      </c>
      <c r="CK62">
        <f>SUMPRODUCT(--('Данные 1st'!$S$2:$S$317=$A62),--ISNUMBER('Данные 1st'!$FU$2:$FU$317))</f>
        <v>0</v>
      </c>
      <c r="CL62">
        <f>SUMPRODUCT(--('Данные 1st'!$S$2:$S$317=$A62),--ISNUMBER('Данные 1st'!$FV$2:$FV$317))</f>
        <v>0</v>
      </c>
      <c r="CM62">
        <f>SUMPRODUCT(--('Данные 1st'!$S$2:$S$317=$A62),--ISNUMBER('Данные 1st'!$FW$2:$FW$317))</f>
        <v>0</v>
      </c>
      <c r="CN62">
        <f>SUMPRODUCT(--('Данные 1st'!$S$2:$S$317=$A62),--ISNUMBER('Данные 1st'!$FZ$2:$FZ$317))</f>
        <v>0</v>
      </c>
      <c r="CO62">
        <f>SUMPRODUCT(--('Данные 1st'!$S$2:$S$317=$A62),--ISNUMBER('Данные 1st'!$GA$2:$GA$317))</f>
        <v>0</v>
      </c>
      <c r="CP62">
        <f>SUMPRODUCT(--('Данные 1st'!$S$2:$S$317=$A62),--ISNUMBER('Данные 1st'!$GB$2:$GB$317))</f>
        <v>0</v>
      </c>
      <c r="CQ62">
        <f>SUMPRODUCT(--('Данные 1st'!$S$2:$S$317=$A62),--ISNUMBER('Данные 1st'!$GH$2:$GH$317))</f>
        <v>0</v>
      </c>
      <c r="CR62">
        <f>SUMPRODUCT(--('Данные 1st'!$S$2:$S$317=$A62),--ISNUMBER('Данные 1st'!$GI$2:$GI$317))</f>
        <v>0</v>
      </c>
      <c r="CS62">
        <f>SUMPRODUCT(--('Данные 1st'!$S$2:$S$317=$A62),--ISNUMBER('Данные 1st'!$GJ$2:$GJ$317))</f>
        <v>0</v>
      </c>
      <c r="CT62">
        <f>SUMPRODUCT(--('Данные 1st'!$S$2:$S$317=$A62),--ISNUMBER('Данные 1st'!$GS$2:$GS$317))</f>
        <v>1</v>
      </c>
      <c r="CU62">
        <f>SUMPRODUCT(--('Данные 1st'!$S$2:$S$317=$A62),--ISNUMBER('Данные 1st'!$GT$2:$GT$317))</f>
        <v>1</v>
      </c>
      <c r="CV62">
        <f>SUMPRODUCT(--('Данные 1st'!$S$2:$S$317=$A62),--ISNUMBER('Данные 1st'!$GU$2:$GU$317))</f>
        <v>1</v>
      </c>
      <c r="CW62">
        <f>SUMPRODUCT(--('Данные 1st'!$S$2:$S$317=$A62),--ISNUMBER('Данные 1st'!$GV$2:$GV$317))</f>
        <v>0</v>
      </c>
      <c r="CX62">
        <f>SUMPRODUCT(--('Данные 1st'!$S$2:$S$317=$A62),--ISNUMBER('Данные 1st'!$GW$2:$GW$317))</f>
        <v>0</v>
      </c>
      <c r="CY62">
        <f>SUMPRODUCT(--('Данные 1st'!$S$2:$S$317=$A62),--ISNUMBER('Данные 1st'!$GZ$2:$GZ$317))</f>
        <v>0</v>
      </c>
      <c r="CZ62">
        <f>SUMPRODUCT(--('Данные 1st'!$S$2:$S$317=$A62),--ISNUMBER('Данные 1st'!$HA$2:$HA$317))</f>
        <v>0</v>
      </c>
      <c r="DA62">
        <f>SUMPRODUCT(--('Данные 1st'!$S$2:$S$317=$A62),--ISNUMBER('Данные 1st'!$HB$2:$HB$317))</f>
        <v>0</v>
      </c>
      <c r="DB62">
        <f>SUMPRODUCT(--('Данные 1st'!$S$2:$S$317=$A62),--ISNUMBER('Данные 1st'!$HC$2:$HC$317))</f>
        <v>1</v>
      </c>
      <c r="DC62">
        <f>SUMPRODUCT(--('Данные 1st'!$S$2:$S$317=$A62),--ISNUMBER('Данные 1st'!$HD$2:$HD$317))</f>
        <v>1</v>
      </c>
      <c r="DD62">
        <f>SUMPRODUCT(--('Данные 1st'!$S$2:$S$317=$A62),--ISNUMBER('Данные 1st'!$HE$2:$HE$317))</f>
        <v>1</v>
      </c>
      <c r="DE62">
        <f>SUMPRODUCT(--('Данные 1st'!$S$2:$S$317=$A62),--ISNUMBER('Данные 1st'!$HF$2:$HF$317))</f>
        <v>1</v>
      </c>
      <c r="DF62">
        <f>SUMPRODUCT(--('Данные 1st'!$S$2:$S$317=$A62),--ISNUMBER('Данные 1st'!$HG$2:$HG$317))</f>
        <v>1</v>
      </c>
      <c r="DG62">
        <f>SUMPRODUCT(--('Данные 1st'!$S$2:$S$317=$A62),--ISNUMBER('Данные 1st'!$HH$2:$HH$317))</f>
        <v>1</v>
      </c>
      <c r="DH62">
        <f>SUMPRODUCT(--('Данные 1st'!$S$2:$S$317=$A62),--ISNUMBER('Данные 1st'!$HI$2:$HI$317))</f>
        <v>1</v>
      </c>
      <c r="DI62">
        <f>SUMPRODUCT(--('Данные 1st'!$S$2:$S$317=$A62),--ISNUMBER('Данные 1st'!$HJ$2:$HJ$317))</f>
        <v>1</v>
      </c>
      <c r="DJ62">
        <f>SUMPRODUCT(--('Данные 1st'!$S$2:$S$317=$A62),--ISNUMBER('Данные 1st'!$HK$2:$HK$317))</f>
        <v>1</v>
      </c>
      <c r="DK62">
        <f>SUMPRODUCT(--('Данные 1st'!$S$2:$S$317=$A62),--ISNUMBER('Данные 1st'!$HL$2:$HL$317))</f>
        <v>1</v>
      </c>
      <c r="DL62">
        <f>SUMPRODUCT(--('Данные 1st'!$S$2:$S$317=$A62),--ISNUMBER('Данные 1st'!$HM$2:$HM$317))</f>
        <v>1</v>
      </c>
      <c r="DM62">
        <f>SUMPRODUCT(--('Данные 1st'!$S$2:$S$317=$A62),--ISNUMBER('Данные 1st'!$HN$2:$HN$317))</f>
        <v>1</v>
      </c>
      <c r="DN62">
        <f>SUMPRODUCT(--('Данные 1st'!$S$2:$S$317=$A62),--ISNUMBER('Данные 1st'!$HO$2:$HO$317))</f>
        <v>1</v>
      </c>
      <c r="DO62">
        <f>SUMPRODUCT(--('Данные 1st'!$S$2:$S$317=$A62),--ISNUMBER('Данные 1st'!$HP$2:$HP$317))</f>
        <v>1</v>
      </c>
      <c r="DP62">
        <f>SUMPRODUCT(--('Данные 1st'!$S$2:$S$317=$A62),--ISNUMBER('Данные 1st'!$HQ$2:$HQ$317))</f>
        <v>1</v>
      </c>
      <c r="DQ62">
        <f>SUMPRODUCT(--('Данные 1st'!$S$2:$S$317=$A62),--ISNUMBER('Данные 1st'!$HR$2:$HR$317))</f>
        <v>1</v>
      </c>
      <c r="DR62">
        <f>SUMPRODUCT(--('Данные 1st'!$S$2:$S$317=$A62),--ISNUMBER('Данные 1st'!$HS$2:$HS$317))</f>
        <v>1</v>
      </c>
      <c r="DS62">
        <f>SUMPRODUCT(--('Данные 1st'!$S$2:$S$317=$A62),--ISNUMBER('Данные 1st'!$HT$2:$HT$317))</f>
        <v>1</v>
      </c>
      <c r="DT62">
        <f>SUMPRODUCT(--('Данные 1st'!$S$2:$S$317=$A62),--ISNUMBER('Данные 1st'!$HU$2:$HU$317))</f>
        <v>1</v>
      </c>
      <c r="DU62">
        <f>SUMPRODUCT(--('Данные 1st'!$S$2:$S$317=$A62),--ISNUMBER('Данные 1st'!$HW$2:$HW$317))</f>
        <v>1</v>
      </c>
      <c r="DV62">
        <f>SUMPRODUCT(--('Данные 1st'!$S$2:$S$317=$A62),--ISNUMBER('Данные 1st'!$HX$2:$HX$317))</f>
        <v>1</v>
      </c>
      <c r="DW62">
        <f>SUMPRODUCT(--('Данные 1st'!$S$2:$S$317=$A62),--ISNUMBER('Данные 1st'!$HY$2:$HY$317))</f>
        <v>1</v>
      </c>
      <c r="DX62">
        <f>SUMPRODUCT(--('Данные 1st'!$S$2:$S$317=$A62),--ISNUMBER('Данные 1st'!$IA$2:$IA$317))</f>
        <v>1</v>
      </c>
      <c r="DY62">
        <f>SUMPRODUCT(--('Данные 1st'!$S$2:$S$317=$A62),--ISNUMBER('Данные 1st'!$IB$2:$IB$317))</f>
        <v>1</v>
      </c>
      <c r="DZ62">
        <f>SUMPRODUCT(--('Данные 1st'!$S$2:$S$317=$A62),--ISNUMBER('Данные 1st'!$IC$2:$IC$317))</f>
        <v>1</v>
      </c>
      <c r="EA62">
        <f>SUMPRODUCT(--('Данные 1st'!$S$2:$S$317=$A62),--ISNUMBER('Данные 1st'!$ID$2:$ID$317))</f>
        <v>1</v>
      </c>
      <c r="EB62">
        <f>SUMPRODUCT(--('Данные 1st'!$S$2:$S$317=$A62),--ISNUMBER('Данные 1st'!$IE$2:$IE$317))</f>
        <v>1</v>
      </c>
      <c r="EC62">
        <f>SUMPRODUCT(--('Данные 1st'!$S$2:$S$317=$A62),--ISNUMBER('Данные 1st'!$IF$2:$IF$317))</f>
        <v>1</v>
      </c>
      <c r="ED62">
        <f>SUMPRODUCT(--('Данные 1st'!$S$2:$S$317=$A62),--ISNUMBER('Данные 1st'!$IP$2:$IP$317))</f>
        <v>1</v>
      </c>
      <c r="EE62">
        <f>SUMPRODUCT(--('Данные 1st'!$S$2:$S$317=$A62),--ISNUMBER('Данные 1st'!$IV$2:$IV$317))</f>
        <v>1</v>
      </c>
      <c r="EF62">
        <f>SUMPRODUCT(--('Данные 1st'!$S$2:$S$317=$A62),--ISNUMBER('Данные 1st'!$IW$2:$IW$317))</f>
        <v>1</v>
      </c>
      <c r="EG62">
        <f>SUMPRODUCT(--('Данные 1st'!$S$2:$S$317=$A62),--ISNUMBER('Данные 1st'!$IX$2:$IX$317))</f>
        <v>0</v>
      </c>
      <c r="EH62">
        <f>SUMPRODUCT(--('Данные 1st'!$S$2:$S$317=$A62),--ISNUMBER('Данные 1st'!$IY$2:$IY$317))</f>
        <v>0</v>
      </c>
      <c r="EI62">
        <f>SUMPRODUCT(--('Данные 1st'!$S$2:$S$317=$A62),--ISNUMBER('Данные 1st'!$JD$2:$JD$317))</f>
        <v>1</v>
      </c>
      <c r="EJ62">
        <f>SUMPRODUCT(--('Данные 1st'!$S$2:$S$317=$A62),--ISNUMBER('Данные 1st'!$JE$2:$JE$317))</f>
        <v>1</v>
      </c>
      <c r="EK62">
        <f>SUMPRODUCT(--('Данные 1st'!$S$2:$S$317=$A62),--ISNUMBER('Данные 1st'!$JF$2:$JF$317))</f>
        <v>1</v>
      </c>
      <c r="EL62">
        <f>SUMPRODUCT(--('Данные 1st'!$S$2:$S$317=$A62),--ISNUMBER('Данные 1st'!$JG$2:$JG$317))</f>
        <v>1</v>
      </c>
      <c r="EM62">
        <f>SUMPRODUCT(--('Данные 1st'!$S$2:$S$317=$A62),--ISNUMBER('Данные 1st'!$JH$2:$JH$317))</f>
        <v>1</v>
      </c>
      <c r="EN62">
        <f>SUMPRODUCT(--('Данные 1st'!$S$2:$S$317=$A62),--ISNUMBER('Данные 1st'!$JJ$2:$JJ$317))</f>
        <v>1</v>
      </c>
      <c r="EO62">
        <f>SUMPRODUCT(--('Данные 1st'!$S$2:$S$317=$A62),--ISNUMBER('Данные 1st'!$JK$2:$JK$317))</f>
        <v>1</v>
      </c>
      <c r="EP62">
        <f>SUMPRODUCT(--('Данные 1st'!$S$2:$S$317=$A62),--ISNUMBER('Данные 1st'!$JL$2:$JL$317))</f>
        <v>0</v>
      </c>
      <c r="EQ62">
        <f>SUMPRODUCT(--('Данные 1st'!$S$2:$S$317=$A62),--ISNUMBER('Данные 1st'!$JM$2:$JM$317))</f>
        <v>0</v>
      </c>
      <c r="ER62">
        <f>SUMPRODUCT(--('Данные 1st'!$S$2:$S$317=$A62),--ISNUMBER('Данные 1st'!$JN$2:$JN$317))</f>
        <v>1</v>
      </c>
      <c r="ES62">
        <f>SUMPRODUCT(--('Данные 1st'!$S$2:$S$317=$A62),--ISNUMBER('Данные 1st'!$JO$2:$JO$317))</f>
        <v>1</v>
      </c>
      <c r="ET62">
        <f>SUMPRODUCT(--('Данные 1st'!$S$2:$S$317=$A62),--ISNUMBER('Данные 1st'!$JP$2:$JP$317))</f>
        <v>1</v>
      </c>
      <c r="EU62">
        <f>SUMPRODUCT(--('Данные 1st'!$S$2:$S$317=$A62),--ISNUMBER('Данные 1st'!$JQ$2:$JQ$317))</f>
        <v>1</v>
      </c>
      <c r="EV62">
        <f>SUMPRODUCT(--('Данные 1st'!$S$2:$S$317=$A62),--ISNUMBER('Данные 1st'!$JR$2:$JR$317))</f>
        <v>1</v>
      </c>
      <c r="EW62">
        <f>SUMPRODUCT(--('Данные 1st'!$S$2:$S$317=$A62),--ISNUMBER('Данные 1st'!$JS$2:$JS$317))</f>
        <v>1</v>
      </c>
      <c r="EX62">
        <f>SUMPRODUCT(--('Данные 1st'!$S$2:$S$317=$A62),--ISNUMBER('Данные 1st'!$JT$2:$JT$317))</f>
        <v>0</v>
      </c>
      <c r="EY62">
        <f>SUMPRODUCT(--('Данные 1st'!$S$2:$S$317=$A62),--ISNUMBER('Данные 1st'!$JU$2:$JU$317))</f>
        <v>0</v>
      </c>
      <c r="EZ62">
        <f>SUMPRODUCT(--('Данные 1st'!$S$2:$S$317=$A62),--ISNUMBER('Данные 1st'!$JV$2:$JV$317))</f>
        <v>1</v>
      </c>
      <c r="FA62">
        <f>SUMPRODUCT(--('Данные 1st'!$S$2:$S$317=$A62),--ISNUMBER('Данные 1st'!$JW$2:$JW$317))</f>
        <v>0</v>
      </c>
      <c r="FB62">
        <f>SUMPRODUCT(--('Данные 1st'!$S$2:$S$317=$A62),--ISNUMBER('Данные 1st'!$JX$2:$JX$317))</f>
        <v>1</v>
      </c>
      <c r="FC62">
        <f>SUMPRODUCT(--('Данные 1st'!$S$2:$S$317=$A62),--ISNUMBER('Данные 1st'!$JY$2:$JY$317))</f>
        <v>0</v>
      </c>
      <c r="FD62">
        <f>SUMPRODUCT(--('Данные 1st'!$S$2:$S$317=$A62),--ISNUMBER('Данные 1st'!$JZ$2:$JZ$317))</f>
        <v>0</v>
      </c>
      <c r="FE62">
        <f>SUMPRODUCT(--('Данные 1st'!$S$2:$S$317=$A62),--ISNUMBER('Данные 1st'!$KA$2:$KA$317))</f>
        <v>1</v>
      </c>
      <c r="FF62">
        <f>SUMPRODUCT(--('Данные 1st'!$S$2:$S$317=$A62),--ISNUMBER('Данные 1st'!$KB$2:$KB$317))</f>
        <v>1</v>
      </c>
      <c r="FG62">
        <f>SUMPRODUCT(--('Данные 1st'!$S$2:$S$317=$A62),--ISNUMBER('Данные 1st'!$KC$2:$KC$317))</f>
        <v>1</v>
      </c>
      <c r="FH62">
        <f>SUMPRODUCT(--('Данные 1st'!$S$2:$S$317=$A62),--ISNUMBER('Данные 1st'!$KD$2:$KD$317))</f>
        <v>1</v>
      </c>
      <c r="FI62">
        <f>SUMPRODUCT(--('Данные 1st'!$S$2:$S$317=$A62),--ISNUMBER('Данные 1st'!$KE$2:$KE$317))</f>
        <v>0</v>
      </c>
      <c r="FJ62">
        <f>SUMPRODUCT(--('Данные 1st'!$S$2:$S$317=$A62),--ISNUMBER('Данные 1st'!$KF$2:$KF$317))</f>
        <v>1</v>
      </c>
      <c r="FK62">
        <f>SUMPRODUCT(--('Данные 1st'!$S$2:$S$317=$A62),--ISNUMBER('Данные 1st'!$KG$2:$KG$317))</f>
        <v>1</v>
      </c>
      <c r="FL62">
        <f>SUMPRODUCT(--('Данные 1st'!$S$2:$S$317=$A62),--ISNUMBER('Данные 1st'!$KH$2:$KH$317))</f>
        <v>1</v>
      </c>
      <c r="FM62">
        <f>SUMPRODUCT(--('Данные 1st'!$S$2:$S$317=$A62),--ISNUMBER('Данные 1st'!$KI$2:$KI$317))</f>
        <v>1</v>
      </c>
      <c r="FN62">
        <f>SUMPRODUCT(--('Данные 1st'!$S$2:$S$317=$A62),--ISNUMBER('Данные 1st'!$KJ$2:$KJ$317))</f>
        <v>1</v>
      </c>
      <c r="FO62">
        <f>SUMPRODUCT(--('Данные 1st'!$S$2:$S$317=$A62),--ISNUMBER('Данные 1st'!$KK$2:$KK$317))</f>
        <v>1</v>
      </c>
      <c r="FP62">
        <f>SUMPRODUCT(--('Данные 1st'!$S$2:$S$317=$A62),--ISNUMBER('Данные 1st'!$KL$2:$KL$317))</f>
        <v>1</v>
      </c>
      <c r="FQ62">
        <f>SUMPRODUCT(--('Данные 1st'!$S$2:$S$317=$A62),--ISNUMBER('Данные 1st'!$KM$2:$KM$317))</f>
        <v>1</v>
      </c>
      <c r="FR62">
        <f>SUMPRODUCT(--('Данные 1st'!$S$2:$S$317=$A62),--ISNUMBER('Данные 1st'!$KN$2:$KN$317))</f>
        <v>1</v>
      </c>
      <c r="FS62">
        <f>SUMPRODUCT(--('Данные 1st'!$S$2:$S$317=$A62),--ISNUMBER('Данные 1st'!$KR$2:$KR$317))</f>
        <v>1</v>
      </c>
      <c r="FT62">
        <f>SUMPRODUCT(--('Данные 1st'!$S$2:$S$317=$A62),--ISNUMBER('Данные 1st'!$KS$2:$KS$317))</f>
        <v>1</v>
      </c>
      <c r="FU62">
        <f>SUMPRODUCT(--('Данные 1st'!$S$2:$S$317=$A62),--ISNUMBER('Данные 1st'!$KT$2:$KT$317))</f>
        <v>1</v>
      </c>
      <c r="FV62">
        <f>SUMPRODUCT(--('Данные 1st'!$S$2:$S$317=$A62),--ISNUMBER('Данные 1st'!$KV$2:$KV$317))</f>
        <v>0</v>
      </c>
      <c r="FW62">
        <f>SUMPRODUCT(--('Данные 1st'!$S$2:$S$317=$A62),--ISNUMBER('Данные 1st'!$KW$2:$KW$317))</f>
        <v>0</v>
      </c>
      <c r="FX62">
        <f>SUMPRODUCT(--('Данные 1st'!$S$2:$S$317=$A62),--ISNUMBER('Данные 1st'!$KX$2:$KX$317))</f>
        <v>0</v>
      </c>
      <c r="FY62">
        <f>SUMPRODUCT(--('Данные 1st'!$S$2:$S$317=$A62),--ISNUMBER('Данные 1st'!$KY$2:$KY$317))</f>
        <v>0</v>
      </c>
      <c r="FZ62">
        <f>SUMPRODUCT(--('Данные 1st'!$S$2:$S$317=$A62),--ISNUMBER('Данные 1st'!$KZ$2:$KZ$317))</f>
        <v>0</v>
      </c>
      <c r="GA62">
        <f>SUMPRODUCT(--('Данные 1st'!$S$2:$S$317=$A62),--ISNUMBER('Данные 1st'!$LA$2:$LA$317))</f>
        <v>0</v>
      </c>
      <c r="GB62">
        <f>SUMPRODUCT(--('Данные 1st'!$S$2:$S$317=$A62),--ISNUMBER('Данные 1st'!$LB$2:$LB$317))</f>
        <v>0</v>
      </c>
      <c r="GC62">
        <f>SUMPRODUCT(--('Данные 1st'!$S$2:$S$317=$A62),--ISNUMBER('Данные 1st'!$LC$2:$LC$317))</f>
        <v>0</v>
      </c>
      <c r="GD62">
        <f>SUMPRODUCT(--('Данные 1st'!$S$2:$S$317=$A62),--ISNUMBER('Данные 1st'!$LD$2:$LD$317))</f>
        <v>0</v>
      </c>
      <c r="GE62">
        <f>SUMPRODUCT(--('Данные 1st'!$S$2:$S$317=$A62),--ISNUMBER('Данные 1st'!$LE$2:$LE$317))</f>
        <v>0</v>
      </c>
      <c r="GF62">
        <f>SUMPRODUCT(--('Данные 1st'!$S$2:$S$317=$A62),--ISNUMBER('Данные 1st'!$LF$2:$LF$317))</f>
        <v>0</v>
      </c>
      <c r="GG62">
        <f>SUMPRODUCT(--('Данные 1st'!$S$2:$S$317=$A62),--ISNUMBER('Данные 1st'!$LG$2:$LG$317))</f>
        <v>0</v>
      </c>
      <c r="GH62">
        <f>SUMPRODUCT(--('Данные 1st'!$S$2:$S$317=$A62),--ISNUMBER('Данные 1st'!$LH$2:$LH$317))</f>
        <v>0</v>
      </c>
      <c r="GI62">
        <f>SUMPRODUCT(--('Данные 1st'!$S$2:$S$317=$A62),--ISNUMBER('Данные 1st'!$LI$2:$LI$317))</f>
        <v>0</v>
      </c>
      <c r="GJ62">
        <f>SUMPRODUCT(--('Данные 1st'!$S$2:$S$317=$A62),--ISNUMBER('Данные 1st'!$LJ$2:$LJ$317))</f>
        <v>0</v>
      </c>
      <c r="GK62">
        <f>SUMPRODUCT(--('Данные 1st'!$S$2:$S$317=$A62),--ISNUMBER('Данные 1st'!$LK$2:$LK$317))</f>
        <v>1</v>
      </c>
      <c r="GL62">
        <f>SUMPRODUCT(--('Данные 1st'!$S$2:$S$317=$A62),--ISNUMBER('Данные 1st'!$LV$2:$LV$317))</f>
        <v>0</v>
      </c>
      <c r="GM62">
        <f>SUMPRODUCT(--('Данные 1st'!$S$2:$S$317=$A62),--ISNUMBER('Данные 1st'!$LW$2:$LW$317))</f>
        <v>0</v>
      </c>
      <c r="GN62">
        <f>SUMPRODUCT(--('Данные 1st'!$S$2:$S$317=$A62),--ISNUMBER('Данные 1st'!$LX$2:$LX$317))</f>
        <v>0</v>
      </c>
      <c r="GO62">
        <f>SUMPRODUCT(--('Данные 1st'!$S$2:$S$317=$A62),--ISNUMBER('Данные 1st'!$LY$2:$LY$317))</f>
        <v>0</v>
      </c>
      <c r="GP62">
        <f>SUMPRODUCT(--('Данные 1st'!$S$2:$S$317=$A62),--ISNUMBER('Данные 1st'!$LZ$2:$LZ$317))</f>
        <v>0</v>
      </c>
      <c r="GQ62">
        <f>SUMPRODUCT(--('Данные 1st'!$S$2:$S$317=$A62),--ISNUMBER('Данные 1st'!$PG$2:$PG$317))</f>
        <v>1</v>
      </c>
      <c r="GR62">
        <f>SUMPRODUCT(--('Данные 1st'!$S$2:$S$317=$A62),--ISNUMBER('Данные 1st'!$PX$2:$PX$317))</f>
        <v>1</v>
      </c>
      <c r="GS62">
        <f>SUMPRODUCT(--('Данные 1st'!$S$2:$S$317=$A62),--ISNUMBER('Данные 1st'!$PY$2:$PY$317))</f>
        <v>1</v>
      </c>
      <c r="GT62">
        <f>SUMPRODUCT(--('Данные 1st'!$S$2:$S$317=$A62),--ISNUMBER('Данные 1st'!$QA$2:$QA$317))</f>
        <v>1</v>
      </c>
      <c r="GU62">
        <f>SUMPRODUCT(--('Данные 1st'!$S$2:$S$317=$A62),--ISNUMBER('Данные 1st'!$QB$2:$QB$317))</f>
        <v>1</v>
      </c>
      <c r="GV62">
        <f>SUMPRODUCT(--('Данные 1st'!$S$2:$S$317=$A62),--ISNUMBER('Данные 1st'!$QC$2:$QC$317))</f>
        <v>1</v>
      </c>
      <c r="GW62">
        <f>SUMPRODUCT(--('Данные 1st'!$S$2:$S$317=$A62),--ISNUMBER('Данные 1st'!$QD$2:$QD$317))</f>
        <v>1</v>
      </c>
      <c r="GX62">
        <f>SUMPRODUCT(--('Данные 1st'!$S$2:$S$317=$A62),--ISNUMBER('Данные 1st'!$QF$2:$QF$317))</f>
        <v>1</v>
      </c>
      <c r="GY62">
        <f>SUMPRODUCT(--('Данные 1st'!$S$2:$S$317=$A62),--ISNUMBER('Данные 1st'!$QG$2:$QG$317))</f>
        <v>1</v>
      </c>
      <c r="GZ62">
        <f>SUMPRODUCT(--('Данные 1st'!$S$2:$S$317=$A62),--ISNUMBER('Данные 1st'!$QH$2:$QH$317))</f>
        <v>1</v>
      </c>
      <c r="HA62">
        <f>SUMPRODUCT(--('Данные 1st'!$S$2:$S$317=$A62),--ISNUMBER('Данные 1st'!$QI$2:$QI$317))</f>
        <v>1</v>
      </c>
      <c r="HB62">
        <f>SUMPRODUCT(--('Данные 1st'!$S$2:$S$317=$A62),--ISNUMBER('Данные 1st'!$QK$2:$QK$317))</f>
        <v>1</v>
      </c>
      <c r="HC62">
        <f>SUMPRODUCT(--('Данные 1st'!$S$2:$S$317=$A62),--ISNUMBER('Данные 1st'!$QL$2:$QL$317))</f>
        <v>1</v>
      </c>
      <c r="HD62">
        <f>SUMPRODUCT(--('Данные 1st'!$S$2:$S$317=$A62),--ISNUMBER('Данные 1st'!$QM$2:$QM$317))</f>
        <v>1</v>
      </c>
      <c r="HE62">
        <f>SUMPRODUCT(--('Данные 1st'!$S$2:$S$317=$A62),--ISNUMBER('Данные 1st'!$QN$2:$QN$317))</f>
        <v>1</v>
      </c>
      <c r="HF62">
        <f>SUMPRODUCT(--('Данные 1st'!$S$2:$S$317=$A62),--ISNUMBER('Данные 1st'!$QP$2:$QP$317))</f>
        <v>1</v>
      </c>
      <c r="HG62">
        <f>SUMPRODUCT(--('Данные 1st'!$S$2:$S$317=$A62),--ISNUMBER('Данные 1st'!$QQ$2:$QQ$317))</f>
        <v>1</v>
      </c>
      <c r="HH62">
        <f>SUMPRODUCT(--('Данные 1st'!$S$2:$S$317=$A62),--ISNUMBER('Данные 1st'!$QR$2:$QR$317))</f>
        <v>1</v>
      </c>
      <c r="HI62">
        <f>SUMPRODUCT(--('Данные 1st'!$S$2:$S$317=$A62),--ISNUMBER('Данные 1st'!$QS$2:$QS$317))</f>
        <v>1</v>
      </c>
      <c r="HJ62">
        <f>SUMPRODUCT(--('Данные 1st'!$S$2:$S$317=$A62),--ISNUMBER('Данные 1st'!$QU$2:$QU$317))</f>
        <v>1</v>
      </c>
      <c r="HK62">
        <f>SUMPRODUCT(--('Данные 1st'!$S$2:$S$317=$A62),--ISNUMBER('Данные 1st'!$QV$2:$QV$317))</f>
        <v>1</v>
      </c>
      <c r="HL62">
        <f>SUMPRODUCT(--('Данные 1st'!$S$2:$S$317=$A62),--ISNUMBER('Данные 1st'!$QW$2:$QW$317))</f>
        <v>1</v>
      </c>
      <c r="HM62">
        <f>SUMPRODUCT(--('Данные 1st'!$S$2:$S$317=$A62),--ISNUMBER('Данные 1st'!$QX$2:$QX$317))</f>
        <v>1</v>
      </c>
      <c r="HN62">
        <f>SUMPRODUCT(--('Данные 1st'!$S$2:$S$317=$A62),--ISNUMBER('Данные 1st'!$QZ$2:$QZ$317))</f>
        <v>1</v>
      </c>
      <c r="HO62">
        <f>SUMPRODUCT(--('Данные 1st'!$S$2:$S$317=$A62),--ISNUMBER('Данные 1st'!$RA$2:$RA$317))</f>
        <v>1</v>
      </c>
      <c r="HP62">
        <f>SUMPRODUCT(--('Данные 1st'!$S$2:$S$317=$A62),--ISNUMBER('Данные 1st'!$RB$2:$RB$317))</f>
        <v>1</v>
      </c>
      <c r="HQ62">
        <f>SUMPRODUCT(--('Данные 1st'!$S$2:$S$317=$A62),--ISNUMBER('Данные 1st'!$RD$2:$RD$317))</f>
        <v>0</v>
      </c>
      <c r="HR62">
        <f>SUMPRODUCT(--('Данные 1st'!$S$2:$S$317=$A62),--ISNUMBER('Данные 1st'!$RE$2:$RE$317))</f>
        <v>1</v>
      </c>
      <c r="HS62">
        <f>SUMPRODUCT(--('Данные 1st'!$S$2:$S$317=$A62),--ISNUMBER('Данные 1st'!$RF$2:$RF$317))</f>
        <v>1</v>
      </c>
      <c r="HT62">
        <f>SUMPRODUCT(--('Данные 1st'!$S$2:$S$317=$A62),--ISNUMBER('Данные 1st'!$RG$2:$RG$317))</f>
        <v>0</v>
      </c>
      <c r="HU62">
        <f>SUMPRODUCT(--('Данные 1st'!$S$2:$S$317=$A62),--ISNUMBER('Данные 1st'!$RH$2:$RH$317))</f>
        <v>1</v>
      </c>
      <c r="HV62">
        <f>SUMPRODUCT(--('Данные 1st'!$S$2:$S$317=$A62),--ISNUMBER('Данные 1st'!$RI$2:$RI$317))</f>
        <v>0</v>
      </c>
      <c r="HW62">
        <f>SUMPRODUCT(--('Данные 1st'!$S$2:$S$317=$A62),--ISNUMBER('Данные 1st'!$RJ$2:$RJ$317))</f>
        <v>1</v>
      </c>
      <c r="HX62">
        <f>SUMPRODUCT(--('Данные 1st'!$S$2:$S$317=$A62),--ISNUMBER('Данные 1st'!$RK$2:$RK$317))</f>
        <v>1</v>
      </c>
      <c r="HY62">
        <f>SUMPRODUCT(--('Данные 1st'!$S$2:$S$317=$A62),--ISNUMBER('Данные 1st'!$RL$2:$RL$317))</f>
        <v>1</v>
      </c>
      <c r="HZ62">
        <f>SUMPRODUCT(--('Данные 1st'!$S$2:$S$317=$A62),--ISNUMBER('Данные 1st'!$RM$2:$RM$317))</f>
        <v>1</v>
      </c>
      <c r="IA62">
        <f>SUMPRODUCT(--('Данные 1st'!$S$2:$S$317=$A62),--ISNUMBER('Данные 1st'!$RN$2:$RN$317))</f>
        <v>0</v>
      </c>
      <c r="IB62">
        <f>SUMPRODUCT(--('Данные 1st'!$S$2:$S$317=$A62),--ISNUMBER('Данные 1st'!$RO$2:$RO$317))</f>
        <v>1</v>
      </c>
      <c r="IC62">
        <f>SUMPRODUCT(--('Данные 1st'!$S$2:$S$317=$A62),--ISNUMBER('Данные 1st'!$RP$2:$RP$317))</f>
        <v>1</v>
      </c>
      <c r="ID62">
        <f>SUMPRODUCT(--('Данные 1st'!$S$2:$S$317=$A62),--ISNUMBER('Данные 1st'!$RQ$2:$RQ$317))</f>
        <v>1</v>
      </c>
      <c r="IE62">
        <f>SUMPRODUCT(--('Данные 1st'!$S$2:$S$317=$A62),--ISNUMBER('Данные 1st'!$RR$2:$RR$317))</f>
        <v>1</v>
      </c>
      <c r="IF62">
        <f>SUMPRODUCT(--('Данные 1st'!$S$2:$S$317=$A62),--ISNUMBER('Данные 1st'!$RS$2:$RS$317))</f>
        <v>0</v>
      </c>
      <c r="IG62">
        <f>SUMPRODUCT(--('Данные 1st'!$S$2:$S$317=$A62),--ISNUMBER('Данные 1st'!$RT$2:$RT$317))</f>
        <v>1</v>
      </c>
      <c r="IH62">
        <f>SUMPRODUCT(--('Данные 1st'!$S$2:$S$317=$A62),--ISNUMBER('Данные 1st'!$RU$2:$RU$317))</f>
        <v>1</v>
      </c>
      <c r="II62">
        <f>SUMPRODUCT(--('Данные 1st'!$S$2:$S$317=$A62),--ISNUMBER('Данные 1st'!$RX$2:$RX$317))</f>
        <v>1</v>
      </c>
      <c r="IJ62">
        <f>SUMPRODUCT(--('Данные 1st'!$S$2:$S$317=$A62),--ISNUMBER('Данные 1st'!$RY$2:$RY$317))</f>
        <v>1</v>
      </c>
      <c r="IK62">
        <f>SUMPRODUCT(--('Данные 1st'!$S$2:$S$317=$A62),--ISNUMBER('Данные 1st'!$SA$2:$SA$317))</f>
        <v>1</v>
      </c>
      <c r="IL62">
        <f>SUMPRODUCT(--('Данные 1st'!$S$2:$S$317=$A62),--ISNUMBER('Данные 1st'!$SD$2:$SD$317))</f>
        <v>1</v>
      </c>
      <c r="IM62">
        <f>SUMPRODUCT(--('Данные 1st'!$S$2:$S$317=$A62),--ISNUMBER('Данные 1st'!$SG$2:$SG$317))</f>
        <v>1</v>
      </c>
      <c r="IN62">
        <f>SUMPRODUCT(--('Данные 1st'!$S$2:$S$317=$A62),--ISNUMBER('Данные 1st'!$SH$2:$SH$317))</f>
        <v>1</v>
      </c>
      <c r="IO62">
        <f>SUMPRODUCT(--('Данные 1st'!$S$2:$S$317=$A62),--ISNUMBER('Данные 1st'!$SI$2:$SI$317))</f>
        <v>1</v>
      </c>
      <c r="IP62">
        <f>SUMPRODUCT(--('Данные 1st'!$S$2:$S$317=$A62),--ISNUMBER('Данные 1st'!$SJ$2:$SJ$317))</f>
        <v>1</v>
      </c>
      <c r="IQ62">
        <f>SUMPRODUCT(--('Данные 1st'!$S$2:$S$317=$A62),--ISNUMBER('Данные 1st'!$SK$2:$SK$317))</f>
        <v>1</v>
      </c>
      <c r="IR62">
        <f>SUMPRODUCT(--('Данные 1st'!$S$2:$S$317=$A62),--ISNUMBER('Данные 1st'!$SL$2:$SL$317))</f>
        <v>1</v>
      </c>
      <c r="IS62">
        <f>SUMPRODUCT(--('Данные 1st'!$S$2:$S$317=$A62),--ISNUMBER('Данные 1st'!$SM$2:$SM$317))</f>
        <v>1</v>
      </c>
      <c r="IT62">
        <f>SUMPRODUCT(--('Данные 1st'!$S$2:$S$317=$A62),--ISNUMBER('Данные 1st'!$SN$2:$SN$317))</f>
        <v>1</v>
      </c>
      <c r="IU62">
        <f>SUMPRODUCT(--('Данные 1st'!$S$2:$S$317=$A62),--ISNUMBER('Данные 1st'!$SO$2:$SO$317))</f>
        <v>1</v>
      </c>
      <c r="IV62">
        <f>SUMPRODUCT(--('Данные 1st'!$S$2:$S$317=$A62),--ISNUMBER('Данные 1st'!$SP$2:$SP$317))</f>
        <v>1</v>
      </c>
      <c r="IW62">
        <f>SUMPRODUCT(--('Данные 1st'!$S$2:$S$317=$A62),--ISNUMBER('Данные 1st'!$SQ$2:$SQ$317))</f>
        <v>1</v>
      </c>
      <c r="IX62">
        <f>SUMPRODUCT(--('Данные 1st'!$S$2:$S$317=$A62),--ISNUMBER('Данные 1st'!$SR$2:$SR$317))</f>
        <v>1</v>
      </c>
      <c r="IY62">
        <f>SUMPRODUCT(--('Данные 1st'!$S$2:$S$317=$A62),--ISNUMBER('Данные 1st'!$SS$2:$SS$317))</f>
        <v>1</v>
      </c>
      <c r="IZ62">
        <f>SUMPRODUCT(--('Данные 1st'!$S$2:$S$317=$A62),--ISNUMBER('Данные 1st'!$ST$2:$ST$317))</f>
        <v>1</v>
      </c>
      <c r="JA62">
        <f>SUMPRODUCT(--('Данные 1st'!$S$2:$S$317=$A62),--ISNUMBER('Данные 1st'!$SU$2:$SU$317))</f>
        <v>1</v>
      </c>
      <c r="JB62">
        <f>SUMPRODUCT(--('Данные 1st'!$S$2:$S$317=$A62),--ISNUMBER('Данные 1st'!$SV$2:$SV$317))</f>
        <v>1</v>
      </c>
      <c r="JC62">
        <f>SUMPRODUCT(--('Данные 1st'!$S$2:$S$317=$A62),--ISNUMBER('Данные 1st'!$SW$2:$SW$317))</f>
        <v>1</v>
      </c>
      <c r="JD62">
        <f>SUMPRODUCT(--('Данные 1st'!$S$2:$S$317=$A62),--ISNUMBER('Данные 1st'!$SX$2:$SX$317))</f>
        <v>1</v>
      </c>
      <c r="JE62">
        <f>SUMPRODUCT(--('Данные 1st'!$S$2:$S$317=$A62),--ISNUMBER('Данные 1st'!$SY$2:$SY$317))</f>
        <v>1</v>
      </c>
      <c r="JF62">
        <f>SUMPRODUCT(--('Данные 1st'!$S$2:$S$317=$A62),--ISNUMBER('Данные 1st'!$SZ$2:$SZ$317))</f>
        <v>1</v>
      </c>
      <c r="JG62">
        <f>SUMPRODUCT(--('Данные 1st'!$S$2:$S$317=$A62),--ISNUMBER('Данные 1st'!$TA$2:$TA$317))</f>
        <v>0</v>
      </c>
      <c r="JH62">
        <f>SUMPRODUCT(--('Данные 1st'!$S$2:$S$317=$A62),--ISNUMBER('Данные 1st'!$TB$2:$TB$317))</f>
        <v>1</v>
      </c>
      <c r="JI62">
        <f>SUMPRODUCT(--('Данные 1st'!$S$2:$S$317=$A62),--ISNUMBER('Данные 1st'!$TC$2:$TC$317))</f>
        <v>1</v>
      </c>
      <c r="JJ62">
        <f>SUMPRODUCT(--('Данные 1st'!$S$2:$S$317=$A62),--ISNUMBER('Данные 1st'!$TD$2:$TD$317))</f>
        <v>1</v>
      </c>
      <c r="JK62">
        <f>SUMPRODUCT(--('Данные 1st'!$S$2:$S$317=$A62),--ISNUMBER('Данные 1st'!$TN$2:$TN$317))</f>
        <v>1</v>
      </c>
      <c r="JQ62">
        <f>SUMPRODUCT(--('Данные 2st'!$Q$2:$Q$317=$A62),--ISNUMBER('Данные 2st'!$AC$2:$AC$317))</f>
        <v>1</v>
      </c>
      <c r="JR62">
        <f>SUMPRODUCT(--('Данные 2st'!$Q$2:$Q$317=$A62),--ISNUMBER('Данные 2st'!$AF$2:$AF$317))</f>
        <v>1</v>
      </c>
      <c r="JS62">
        <f>SUMPRODUCT(--('Данные 2st'!$Q$2:$Q$317=$A62),--ISNUMBER('Данные 2st'!$AW$2:$AW$317))</f>
        <v>1</v>
      </c>
      <c r="JT62">
        <f>SUMPRODUCT(--('Данные 2st'!$Q$2:$Q$317=$A62),--ISNUMBER('Данные 2st'!$AX$2:$AX$317))</f>
        <v>1</v>
      </c>
      <c r="JU62">
        <f>SUMPRODUCT(--('Данные 2st'!$Q$2:$Q$317=$A62),--ISNUMBER('Данные 2st'!$AY$2:$AY$317))</f>
        <v>1</v>
      </c>
      <c r="JV62">
        <f>SUMPRODUCT(--('Данные 2st'!$Q$2:$Q$317=$A62),--ISNUMBER('Данные 2st'!$AZ$2:$AZ$317))</f>
        <v>1</v>
      </c>
      <c r="JW62">
        <f>SUMPRODUCT(--('Данные 2st'!$Q$2:$Q$317=$A62),--ISNUMBER('Данные 2st'!$BA$2:$BA$317))</f>
        <v>1</v>
      </c>
      <c r="JX62">
        <f>SUMPRODUCT(--('Данные 2st'!$Q$2:$Q$317=$A62),--ISNUMBER('Данные 2st'!$BB$2:$BB$317))</f>
        <v>1</v>
      </c>
      <c r="JY62">
        <f>SUMPRODUCT(--('Данные 2st'!$Q$2:$Q$317=$A62),--ISNUMBER('Данные 2st'!$BC$2:$BC$317))</f>
        <v>1</v>
      </c>
      <c r="JZ62">
        <f>SUMPRODUCT(--('Данные 2st'!$Q$2:$Q$317=$A62),--ISNUMBER('Данные 2st'!$BH$2:$BH$317))</f>
        <v>1</v>
      </c>
      <c r="KA62">
        <f>SUMPRODUCT(--('Данные 2st'!$Q$2:$Q$317=$A62),--ISNUMBER('Данные 2st'!$BI$2:$BI$317))</f>
        <v>1</v>
      </c>
      <c r="KB62">
        <f>SUMPRODUCT(--('Данные 2st'!$Q$2:$Q$317=$A62),--ISNUMBER('Данные 2st'!$BJ$2:$BJ$317))</f>
        <v>1</v>
      </c>
      <c r="KC62">
        <f>SUMPRODUCT(--('Данные 2st'!$Q$2:$Q$317=$A62),--ISNUMBER('Данные 2st'!$BK$2:$BK$317))</f>
        <v>1</v>
      </c>
      <c r="KD62">
        <f>SUMPRODUCT(--('Данные 2st'!$Q$2:$Q$317=$A62),--ISNUMBER('Данные 2st'!$BL$2:$BL$317))</f>
        <v>1</v>
      </c>
      <c r="KE62">
        <f>SUMPRODUCT(--('Данные 2st'!$Q$2:$Q$317=$A62),--ISNUMBER('Данные 2st'!$BM$2:$BM$317))</f>
        <v>1</v>
      </c>
      <c r="KF62">
        <f>SUMPRODUCT(--('Данные 2st'!$Q$2:$Q$317=$A62),--ISNUMBER('Данные 2st'!$BN$2:$BN$317))</f>
        <v>1</v>
      </c>
      <c r="KG62">
        <f>SUMPRODUCT(--('Данные 2st'!$Q$2:$Q$317=$A62),--ISNUMBER('Данные 2st'!$BO$2:$BO$317))</f>
        <v>0</v>
      </c>
      <c r="KH62">
        <f>SUMPRODUCT(--('Данные 2st'!$Q$2:$Q$317=$A62),--ISNUMBER('Данные 2st'!$BP$2:$BP$317))</f>
        <v>1</v>
      </c>
      <c r="KI62">
        <f>SUMPRODUCT(--('Данные 2st'!$Q$2:$Q$317=$A62),--ISNUMBER('Данные 2st'!$BR$2:$BR$317))</f>
        <v>1</v>
      </c>
      <c r="KJ62">
        <f>SUMPRODUCT(--('Данные 2st'!$Q$2:$Q$317=$A62),--ISNUMBER('Данные 2st'!$BS$2:$BS$317))</f>
        <v>1</v>
      </c>
      <c r="KK62">
        <f>SUMPRODUCT(--('Данные 2st'!$Q$2:$Q$317=$A62),--ISNUMBER('Данные 2st'!$BT$2:$BT$317))</f>
        <v>1</v>
      </c>
      <c r="KL62">
        <f>SUMPRODUCT(--('Данные 2st'!$Q$2:$Q$317=$A62),--ISNUMBER('Данные 2st'!$CV$2:$CV$317))</f>
        <v>1</v>
      </c>
      <c r="KM62">
        <f>SUMPRODUCT(--('Данные 2st'!$Q$2:$Q$317=$A62),--ISNUMBER('Данные 2st'!$CW$2:$CW$317))</f>
        <v>1</v>
      </c>
      <c r="KN62">
        <f>SUMPRODUCT(--('Данные 2st'!$Q$2:$Q$317=$A62),--ISNUMBER('Данные 2st'!$CX$2:$CX$317))</f>
        <v>1</v>
      </c>
      <c r="KO62">
        <f>SUMPRODUCT(--('Данные 2st'!$Q$2:$Q$317=$A62),--ISNUMBER('Данные 2st'!$CY$2:$CY$317))</f>
        <v>1</v>
      </c>
      <c r="KP62">
        <f>SUMPRODUCT(--('Данные 2st'!$Q$2:$Q$317=$A62),--ISNUMBER('Данные 2st'!$CZ$2:$CZ$317))</f>
        <v>1</v>
      </c>
      <c r="KQ62">
        <f>SUMPRODUCT(--('Данные 2st'!$Q$2:$Q$317=$A62),--ISNUMBER('Данные 2st'!$DA$2:$DA$317))</f>
        <v>1</v>
      </c>
      <c r="KR62">
        <f>SUMPRODUCT(--('Данные 2st'!$Q$2:$Q$317=$A62),--ISNUMBER('Данные 2st'!$DB$2:$DB$317))</f>
        <v>1</v>
      </c>
      <c r="KS62">
        <f>SUMPRODUCT(--('Данные 2st'!$Q$2:$Q$317=$A62),--ISNUMBER('Данные 2st'!$DC$2:$DC$317))</f>
        <v>1</v>
      </c>
      <c r="KT62">
        <f>SUMPRODUCT(--('Данные 2st'!$Q$2:$Q$317=$A62),--ISNUMBER('Данные 2st'!$DD$2:$DD$317))</f>
        <v>1</v>
      </c>
      <c r="KU62">
        <f>SUMPRODUCT(--('Данные 2st'!$Q$2:$Q$317=$A62),--ISNUMBER('Данные 2st'!$DE$2:$DE$317))</f>
        <v>1</v>
      </c>
      <c r="KV62">
        <f>SUMPRODUCT(--('Данные 2st'!$Q$2:$Q$317=$A62),--ISNUMBER('Данные 2st'!$DF$2:$DF$317))</f>
        <v>1</v>
      </c>
      <c r="KW62">
        <f>SUMPRODUCT(--('Данные 2st'!$Q$2:$Q$317=$A62),--ISNUMBER('Данные 2st'!$DG$2:$DG$317))</f>
        <v>1</v>
      </c>
      <c r="KX62">
        <f>SUMPRODUCT(--('Данные 2st'!$Q$2:$Q$317=$A62),--ISNUMBER('Данные 2st'!$DH$2:$DH$317))</f>
        <v>1</v>
      </c>
      <c r="KY62">
        <f>SUMPRODUCT(--('Данные 2st'!$Q$2:$Q$317=$A62),--ISNUMBER('Данные 2st'!$DI$2:$DI$317))</f>
        <v>0</v>
      </c>
      <c r="KZ62">
        <f>SUMPRODUCT(--('Данные 2st'!$Q$2:$Q$317=$A62),--ISNUMBER('Данные 2st'!$DK$2:$DK$317))</f>
        <v>1</v>
      </c>
      <c r="LA62">
        <f>SUMPRODUCT(--('Данные 2st'!$Q$2:$Q$317=$A62),--ISNUMBER('Данные 2st'!$DM$2:$DM$317))</f>
        <v>1</v>
      </c>
      <c r="LB62">
        <f>SUMPRODUCT(--('Данные 2st'!$Q$2:$Q$317=$A62),--ISNUMBER('Данные 2st'!$DN$2:$DN$317))</f>
        <v>1</v>
      </c>
      <c r="LC62">
        <f>SUMPRODUCT(--('Данные 2st'!$Q$2:$Q$317=$A62),--ISNUMBER('Данные 2st'!$DO$2:$DO$317))</f>
        <v>1</v>
      </c>
      <c r="LD62">
        <f>SUMPRODUCT(--('Данные 2st'!$Q$2:$Q$317=$A62),--ISNUMBER('Данные 2st'!$DP$2:$DP$317))</f>
        <v>1</v>
      </c>
      <c r="LE62">
        <f>SUMPRODUCT(--('Данные 2st'!$Q$2:$Q$317=$A62),--ISNUMBER('Данные 2st'!$DQ$2:$DQ$317))</f>
        <v>1</v>
      </c>
      <c r="LF62">
        <f>SUMPRODUCT(--('Данные 2st'!$Q$2:$Q$317=$A62),--ISNUMBER('Данные 2st'!$DS$2:$DS$317))</f>
        <v>1</v>
      </c>
      <c r="LG62">
        <f>SUMPRODUCT(--('Данные 2st'!$Q$2:$Q$317=$A62),--ISNUMBER('Данные 2st'!$DU$2:$DU$317))</f>
        <v>1</v>
      </c>
      <c r="LH62">
        <f>SUMPRODUCT(--('Данные 2st'!$Q$2:$Q$317=$A62),--ISNUMBER('Данные 2st'!$DV$2:$DV$317))</f>
        <v>1</v>
      </c>
      <c r="LI62">
        <f>SUMPRODUCT(--('Данные 2st'!$Q$2:$Q$317=$A62),--ISNUMBER('Данные 2st'!$DW$2:$DW$317))</f>
        <v>1</v>
      </c>
      <c r="LJ62">
        <f>SUMPRODUCT(--('Данные 2st'!$Q$2:$Q$317=$A62),--ISNUMBER('Данные 2st'!$DX$2:$DX$317))</f>
        <v>1</v>
      </c>
      <c r="LK62">
        <f>SUMPRODUCT(--('Данные 2st'!$Q$2:$Q$317=$A62),--ISNUMBER('Данные 2st'!$DY$2:$DY$317))</f>
        <v>1</v>
      </c>
      <c r="LL62">
        <f>SUMPRODUCT(--('Данные 2st'!$Q$2:$Q$317=$A62),--ISNUMBER('Данные 2st'!$EA$2:$EA$317))</f>
        <v>1</v>
      </c>
      <c r="LM62">
        <f>SUMPRODUCT(--('Данные 2st'!$Q$2:$Q$317=$A62),--ISNUMBER('Данные 2st'!$EC$2:$EC$317))</f>
        <v>1</v>
      </c>
      <c r="LN62">
        <f>SUMPRODUCT(--('Данные 2st'!$Q$2:$Q$317=$A62),--ISNUMBER('Данные 2st'!$ED$2:$ED$317))</f>
        <v>1</v>
      </c>
      <c r="LO62">
        <f>SUMPRODUCT(--('Данные 2st'!$Q$2:$Q$317=$A62),--ISNUMBER('Данные 2st'!$EE$2:$EE$317))</f>
        <v>1</v>
      </c>
      <c r="LP62">
        <f>SUMPRODUCT(--('Данные 2st'!$Q$2:$Q$317=$A62),--ISNUMBER('Данные 2st'!$EG$2:$EG$317))</f>
        <v>1</v>
      </c>
      <c r="LQ62">
        <f>SUMPRODUCT(--('Данные 2st'!$Q$2:$Q$317=$A62),--ISNUMBER('Данные 2st'!$EI$2:$EI$317))</f>
        <v>1</v>
      </c>
      <c r="LR62">
        <f>SUMPRODUCT(--('Данные 2st'!$Q$2:$Q$317=$A62),--ISNUMBER('Данные 2st'!$EJ$2:$EJ$317))</f>
        <v>0</v>
      </c>
      <c r="LS62">
        <f>SUMPRODUCT(--('Данные 2st'!$Q$2:$Q$317=$A62),--ISNUMBER('Данные 2st'!$EK$2:$EK$317))</f>
        <v>0</v>
      </c>
      <c r="LT62">
        <f>SUMPRODUCT(--('Данные 2st'!$Q$2:$Q$317=$A62),--ISNUMBER('Данные 2st'!$EM$2:$EM$317))</f>
        <v>1</v>
      </c>
      <c r="LU62">
        <f>SUMPRODUCT(--('Данные 2st'!$Q$2:$Q$317=$A62),--ISNUMBER('Данные 2st'!$EN$2:$EN$317))</f>
        <v>1</v>
      </c>
      <c r="LV62">
        <f>SUMPRODUCT(--('Данные 2st'!$Q$2:$Q$317=$A62),--ISNUMBER('Данные 2st'!$EO$2:$EO$317))</f>
        <v>1</v>
      </c>
      <c r="LW62">
        <f>SUMPRODUCT(--('Данные 2st'!$Q$2:$Q$317=$A62),--ISNUMBER('Данные 2st'!$EP$2:$EP$317))</f>
        <v>1</v>
      </c>
      <c r="LX62">
        <f>SUMPRODUCT(--('Данные 2st'!$Q$2:$Q$317=$A62),--ISNUMBER('Данные 2st'!$EQ$2:$EQ$317))</f>
        <v>1</v>
      </c>
      <c r="LY62">
        <f>SUMPRODUCT(--('Данные 2st'!$Q$2:$Q$317=$A62),--ISNUMBER('Данные 2st'!$ER$2:$ER$317))</f>
        <v>1</v>
      </c>
      <c r="LZ62">
        <f>SUMPRODUCT(--('Данные 2st'!$Q$2:$Q$317=$A62),--ISNUMBER('Данные 2st'!$ES$2:$ES$317))</f>
        <v>1</v>
      </c>
      <c r="MA62">
        <f>SUMPRODUCT(--('Данные 2st'!$Q$2:$Q$317=$A62),--ISNUMBER('Данные 2st'!$ET$2:$ET$317))</f>
        <v>1</v>
      </c>
      <c r="MB62">
        <f>SUMPRODUCT(--('Данные 2st'!$Q$2:$Q$317=$A62),--ISNUMBER('Данные 2st'!$EU$2:$EU$317))</f>
        <v>1</v>
      </c>
      <c r="MC62">
        <f>SUMPRODUCT(--('Данные 2st'!$Q$2:$Q$317=$A62),--ISNUMBER('Данные 2st'!$EV$2:$EV$317))</f>
        <v>1</v>
      </c>
      <c r="MD62">
        <f>SUMPRODUCT(--('Данные 2st'!$Q$2:$Q$317=$A62),--ISNUMBER('Данные 2st'!$EW$2:$EW$317))</f>
        <v>1</v>
      </c>
      <c r="ME62">
        <f>SUMPRODUCT(--('Данные 2st'!$Q$2:$Q$317=$A62),--ISNUMBER('Данные 2st'!$EY$2:$EY$317))</f>
        <v>1</v>
      </c>
      <c r="MF62">
        <f>SUMPRODUCT(--('Данные 2st'!$Q$2:$Q$317=$A62),--ISNUMBER('Данные 2st'!$FA$2:$FA$317))</f>
        <v>1</v>
      </c>
      <c r="MG62">
        <f>SUMPRODUCT(--('Данные 2st'!$Q$2:$Q$317=$A62),--ISNUMBER('Данные 2st'!$FB$2:$FB$317))</f>
        <v>1</v>
      </c>
      <c r="MH62">
        <f>SUMPRODUCT(--('Данные 2st'!$Q$2:$Q$317=$A62),--ISNUMBER('Данные 2st'!$FC$2:$FC$317))</f>
        <v>1</v>
      </c>
      <c r="MI62">
        <f>SUMPRODUCT(--('Данные 2st'!$Q$2:$Q$317=$A62),--ISNUMBER('Данные 2st'!$FD$2:$FD$317))</f>
        <v>1</v>
      </c>
      <c r="MJ62">
        <f>SUMPRODUCT(--('Данные 2st'!$Q$2:$Q$317=$A62),--ISNUMBER('Данные 2st'!$FE$2:$FE$317))</f>
        <v>1</v>
      </c>
      <c r="MK62">
        <f>SUMPRODUCT(--('Данные 2st'!$Q$2:$Q$317=$A62),--ISNUMBER('Данные 2st'!$FG$2:$FG$317))</f>
        <v>1</v>
      </c>
      <c r="ML62">
        <f>SUMPRODUCT(--('Данные 2st'!$Q$2:$Q$317=$A62),--ISNUMBER('Данные 2st'!$FI$2:$FI$317))</f>
        <v>1</v>
      </c>
      <c r="MM62">
        <f>SUMPRODUCT(--('Данные 2st'!$Q$2:$Q$317=$A62),--ISNUMBER('Данные 2st'!$FJ$2:$FJ$317))</f>
        <v>1</v>
      </c>
      <c r="MN62">
        <f>SUMPRODUCT(--('Данные 2st'!$Q$2:$Q$317=$A62),--ISNUMBER('Данные 2st'!$FK$2:$FK$317))</f>
        <v>1</v>
      </c>
      <c r="MO62">
        <f>SUMPRODUCT(--('Данные 2st'!$Q$2:$Q$317=$A62),--ISNUMBER('Данные 2st'!$FP$2:$FP$317))</f>
        <v>1</v>
      </c>
      <c r="MP62">
        <f>SUMPRODUCT(--('Данные 2st'!$Q$2:$Q$317=$A62),--ISNUMBER('Данные 2st'!$FQ$2:$FQ$317))</f>
        <v>1</v>
      </c>
      <c r="MQ62">
        <f>SUMPRODUCT(--('Данные 2st'!$Q$2:$Q$317=$A62),--ISNUMBER('Данные 2st'!$FS$2:$FS$317))</f>
        <v>1</v>
      </c>
      <c r="MR62">
        <f>SUMPRODUCT(--('Данные 2st'!$Q$2:$Q$317=$A62),--ISNUMBER('Данные 2st'!$FU$2:$FU$317))</f>
        <v>1</v>
      </c>
      <c r="MS62">
        <f>SUMPRODUCT(--('Данные 2st'!$Q$2:$Q$317=$A62),--ISNUMBER('Данные 2st'!$FV$2:$FV$317))</f>
        <v>1</v>
      </c>
      <c r="MT62">
        <f>SUMPRODUCT(--('Данные 2st'!$Q$2:$Q$317=$A62),--ISNUMBER('Данные 2st'!$FW$2:$FW$317))</f>
        <v>1</v>
      </c>
      <c r="MU62">
        <f>SUMPRODUCT(--('Данные 2st'!$Q$2:$Q$317=$A62),--ISNUMBER('Данные 2st'!$FY$2:$FY$317))</f>
        <v>1</v>
      </c>
      <c r="MV62">
        <f>SUMPRODUCT(--('Данные 2st'!$Q$2:$Q$317=$A62),--ISNUMBER('Данные 2st'!$GB$2:$GB$317))</f>
        <v>1</v>
      </c>
      <c r="MW62">
        <f>SUMPRODUCT(--('Данные 2st'!$Q$2:$Q$317=$A62),--ISNUMBER('Данные 2st'!$GC$2:$GC$317))</f>
        <v>1</v>
      </c>
      <c r="MX62">
        <f>SUMPRODUCT(--('Данные 2st'!$Q$2:$Q$317=$A62),--ISNUMBER('Данные 2st'!$GD$2:$GD$317))</f>
        <v>1</v>
      </c>
      <c r="MY62">
        <f>SUMPRODUCT(--('Данные 2st'!$Q$2:$Q$317=$A62),--ISNUMBER('Данные 2st'!$GN$2:$GN$317))</f>
        <v>0</v>
      </c>
      <c r="MZ62">
        <f>SUMPRODUCT(--('Данные 2st'!$Q$2:$Q$317=$A62),--ISNUMBER('Данные 2st'!$GQ$2:$GQ$317))</f>
        <v>1</v>
      </c>
      <c r="NA62">
        <f>SUMPRODUCT(--('Данные 2st'!$Q$2:$Q$317=$A62),--ISNUMBER('Данные 2st'!$GV$2:$GV$317))</f>
        <v>1</v>
      </c>
      <c r="NB62">
        <f>SUMPRODUCT(--('Данные 2st'!$Q$2:$Q$317=$A62),--ISNUMBER('Данные 2st'!$GW$2:$GW$317))</f>
        <v>1</v>
      </c>
      <c r="NC62">
        <f>SUMPRODUCT(--('Данные 2st'!$Q$2:$Q$317=$A62),--ISNUMBER('Данные 2st'!$GX$2:$GX$317))</f>
        <v>1</v>
      </c>
      <c r="ND62">
        <f>SUMPRODUCT(--('Данные 2st'!$Q$2:$Q$317=$A62),--ISNUMBER('Данные 2st'!$GY$2:$GY$317))</f>
        <v>1</v>
      </c>
      <c r="NE62">
        <f>SUMPRODUCT(--('Данные 2st'!$Q$2:$Q$317=$A62),--ISNUMBER('Данные 2st'!$GZ$2:$GZ$317))</f>
        <v>1</v>
      </c>
      <c r="NF62">
        <f>SUMPRODUCT(--('Данные 2st'!$Q$2:$Q$317=$A62),--ISNUMBER('Данные 2st'!$HA$2:$HA$317))</f>
        <v>1</v>
      </c>
      <c r="NG62">
        <f>SUMPRODUCT(--('Данные 2st'!$Q$2:$Q$317=$A62),--ISNUMBER('Данные 2st'!$HB$2:$HB$317))</f>
        <v>1</v>
      </c>
      <c r="NH62">
        <f>SUMPRODUCT(--('Данные 2st'!$Q$2:$Q$317=$A62),--ISNUMBER('Данные 2st'!$HC$2:$HC$317))</f>
        <v>1</v>
      </c>
      <c r="NI62">
        <f>SUMPRODUCT(--('Данные 2st'!$Q$2:$Q$317=$A62),--ISNUMBER('Данные 2st'!$HD$2:$HD$317))</f>
        <v>1</v>
      </c>
      <c r="NJ62">
        <f>SUMPRODUCT(--('Данные 2st'!$Q$2:$Q$317=$A62),--ISNUMBER('Данные 2st'!$HM$2:$HM$317))</f>
        <v>1</v>
      </c>
      <c r="NK62">
        <f>SUMPRODUCT(--('Данные 2st'!$Q$2:$Q$317=$A62),--ISNUMBER('Данные 2st'!$HR$2:$HR$317))</f>
        <v>1</v>
      </c>
      <c r="NL62">
        <f>SUMPRODUCT(--('Данные 2st'!$Q$2:$Q$317=$A62),--ISNUMBER('Данные 2st'!$HS$2:$HS$317))</f>
        <v>1</v>
      </c>
      <c r="NM62">
        <f>SUMPRODUCT(--('Данные 2st'!$Q$2:$Q$317=$A62),--ISNUMBER('Данные 2st'!$HT$2:$HT$317))</f>
        <v>1</v>
      </c>
      <c r="NN62">
        <f>SUMPRODUCT(--('Данные 2st'!$Q$2:$Q$317=$A62),--ISNUMBER('Данные 2st'!$HY$2:$HY$317))</f>
        <v>1</v>
      </c>
      <c r="NO62">
        <f>SUMPRODUCT(--('Данные 2st'!$Q$2:$Q$317=$A62),--ISNUMBER('Данные 2st'!$HZ$2:$HZ$317))</f>
        <v>1</v>
      </c>
      <c r="NP62">
        <f>SUMPRODUCT(--('Данные 2st'!$Q$2:$Q$317=$A62),--ISNUMBER('Данные 2st'!$IA$2:$IA$317))</f>
        <v>1</v>
      </c>
      <c r="NQ62">
        <f>SUMPRODUCT(--('Данные 2st'!$Q$2:$Q$317=$A62),--ISNUMBER('Данные 2st'!$IB$2:$IB$317))</f>
        <v>1</v>
      </c>
      <c r="NR62">
        <f>SUMPRODUCT(--('Данные 2st'!$Q$2:$Q$317=$A62),--ISNUMBER('Данные 2st'!$IC$2:$IC$317))</f>
        <v>0</v>
      </c>
      <c r="NS62">
        <f>SUMPRODUCT(--('Данные 2st'!$Q$2:$Q$317=$A62),--ISNUMBER('Данные 2st'!$ID$2:$ID$317))</f>
        <v>1</v>
      </c>
      <c r="NT62">
        <f>SUMPRODUCT(--('Данные 2st'!$Q$2:$Q$317=$A62),--ISNUMBER('Данные 2st'!$IE$2:$IE$317))</f>
        <v>1</v>
      </c>
      <c r="NU62">
        <f>SUMPRODUCT(--('Данные 2st'!$Q$2:$Q$317=$A62),--ISNUMBER('Данные 2st'!$IF$2:$IF$317))</f>
        <v>1</v>
      </c>
      <c r="NV62">
        <f>SUMPRODUCT(--('Данные 2st'!$Q$2:$Q$317=$A62),--ISNUMBER('Данные 2st'!$IG$2:$IG$317))</f>
        <v>1</v>
      </c>
      <c r="NW62">
        <f>SUMPRODUCT(--('Данные 2st'!$Q$2:$Q$317=$A62),--ISNUMBER('Данные 2st'!$IH$2:$IH$317))</f>
        <v>1</v>
      </c>
      <c r="NX62">
        <f>SUMPRODUCT(--('Данные 2st'!$Q$2:$Q$317=$A62),--ISNUMBER('Данные 2st'!$IJ$2:$IJ$317))</f>
        <v>1</v>
      </c>
      <c r="NY62">
        <f>SUMPRODUCT(--('Данные 2st'!$Q$2:$Q$317=$A62),--ISNUMBER('Данные 2st'!$IM$2:$IM$317))</f>
        <v>1</v>
      </c>
      <c r="NZ62">
        <f>SUMPRODUCT(--('Данные 2st'!$Q$2:$Q$317=$A62),--ISNUMBER('Данные 2st'!$IN$2:$IN$317))</f>
        <v>1</v>
      </c>
      <c r="OA62">
        <f>SUMPRODUCT(--('Данные 2st'!$Q$2:$Q$317=$A62),--ISNUMBER('Данные 2st'!$IO$2:$IO$317))</f>
        <v>1</v>
      </c>
      <c r="OB62">
        <f>SUMPRODUCT(--('Данные 2st'!$Q$2:$Q$317=$A62),--ISNUMBER('Данные 2st'!$IP$2:$IP$317))</f>
        <v>1</v>
      </c>
      <c r="OC62">
        <f>SUMPRODUCT(--('Данные 2st'!$Q$2:$Q$317=$A62),--ISNUMBER('Данные 2st'!$IQ$2:$IQ$317))</f>
        <v>1</v>
      </c>
      <c r="OD62">
        <f>SUMPRODUCT(--('Данные 2st'!$Q$2:$Q$317=$A62),--ISNUMBER('Данные 2st'!$IR$2:$IR$317))</f>
        <v>1</v>
      </c>
      <c r="OE62">
        <f>SUMPRODUCT(--('Данные 2st'!$Q$2:$Q$317=$A62),--ISNUMBER('Данные 2st'!$IT$2:$IT$317))</f>
        <v>1</v>
      </c>
      <c r="OF62">
        <f>SUMPRODUCT(--('Данные 2st'!$Q$2:$Q$317=$A62),--ISNUMBER('Данные 2st'!$IU$2:$IU$317))</f>
        <v>1</v>
      </c>
      <c r="OG62">
        <f>SUMPRODUCT(--('Данные 2st'!$Q$2:$Q$317=$A62),--ISNUMBER('Данные 2st'!$IV$2:$IV$317))</f>
        <v>1</v>
      </c>
      <c r="OH62">
        <f>SUMPRODUCT(--('Данные 2st'!$Q$2:$Q$317=$A62),--ISNUMBER('Данные 2st'!$IW$2:$IW$317))</f>
        <v>1</v>
      </c>
      <c r="OI62">
        <f>SUMPRODUCT(--('Данные 2st'!$Q$2:$Q$317=$A62),--ISNUMBER('Данные 2st'!$IX$2:$IX$317))</f>
        <v>1</v>
      </c>
      <c r="OJ62">
        <f>SUMPRODUCT(--('Данные 2st'!$Q$2:$Q$317=$A62),--ISNUMBER('Данные 2st'!$IY$2:$IY$317))</f>
        <v>1</v>
      </c>
      <c r="OK62">
        <f>SUMPRODUCT(--('Данные 2st'!$Q$2:$Q$317=$A62),--ISNUMBER('Данные 2st'!$IZ$2:$IZ$317))</f>
        <v>1</v>
      </c>
      <c r="OL62">
        <f>SUMPRODUCT(--('Данные 2st'!$Q$2:$Q$317=$A62),--ISNUMBER('Данные 2st'!$JA$2:$JA$317))</f>
        <v>1</v>
      </c>
      <c r="OM62">
        <f>SUMPRODUCT(--('Данные 2st'!$Q$2:$Q$317=$A62),--ISNUMBER('Данные 2st'!$JB$2:$JB$317))</f>
        <v>1</v>
      </c>
      <c r="ON62">
        <f>SUMPRODUCT(--('Данные 2st'!$Q$2:$Q$317=$A62),--ISNUMBER('Данные 2st'!$JC$2:$JC$317))</f>
        <v>1</v>
      </c>
      <c r="OO62">
        <f>SUMPRODUCT(--('Данные 2st'!$Q$2:$Q$317=$A62),--ISNUMBER('Данные 2st'!$JD$2:$JD$317))</f>
        <v>1</v>
      </c>
      <c r="OP62">
        <f>SUMPRODUCT(--('Данные 2st'!$Q$2:$Q$317=$A62),--ISNUMBER('Данные 2st'!$JE$2:$JE$317))</f>
        <v>1</v>
      </c>
      <c r="OQ62">
        <f>SUMPRODUCT(--('Данные 2st'!$Q$2:$Q$317=$A62),--ISNUMBER('Данные 2st'!$JF$2:$JF$317))</f>
        <v>1</v>
      </c>
      <c r="OR62">
        <f>SUMPRODUCT(--('Данные 2st'!$Q$2:$Q$317=$A62),--ISNUMBER('Данные 2st'!$JG$2:$JG$317))</f>
        <v>1</v>
      </c>
      <c r="OS62">
        <f>SUMPRODUCT(--('Данные 2st'!$Q$2:$Q$317=$A62),--ISNUMBER('Данные 2st'!$JH$2:$JH$317))</f>
        <v>1</v>
      </c>
      <c r="OT62">
        <f>SUMPRODUCT(--('Данные 2st'!$Q$2:$Q$317=$A62),--ISNUMBER('Данные 2st'!$JI$2:$JI$317))</f>
        <v>1</v>
      </c>
      <c r="OU62">
        <f>SUMPRODUCT(--('Данные 2st'!$Q$2:$Q$317=$A62),--ISNUMBER('Данные 2st'!$JJ$2:$JJ$317))</f>
        <v>1</v>
      </c>
      <c r="OV62">
        <f>SUMPRODUCT(--('Данные 2st'!$Q$2:$Q$317=$A62),--ISNUMBER('Данные 2st'!$JK$2:$JK$317))</f>
        <v>1</v>
      </c>
      <c r="OW62">
        <f>SUMPRODUCT(--('Данные 2st'!$Q$2:$Q$317=$A62),--ISNUMBER('Данные 2st'!$JL$2:$JL$317))</f>
        <v>1</v>
      </c>
      <c r="OX62">
        <f>SUMPRODUCT(--('Данные 2st'!$Q$2:$Q$317=$A62),--ISNUMBER('Данные 2st'!$JM$2:$JM$317))</f>
        <v>1</v>
      </c>
      <c r="OY62">
        <f>SUMPRODUCT(--('Данные 2st'!$Q$2:$Q$317=$A62),--ISNUMBER('Данные 2st'!$JP$2:$JP$317))</f>
        <v>1</v>
      </c>
      <c r="OZ62">
        <f>SUMPRODUCT(--('Данные 2st'!$Q$2:$Q$317=$A62),--ISNUMBER('Данные 2st'!$JQ$2:$JQ$317))</f>
        <v>1</v>
      </c>
      <c r="PA62">
        <f>SUMPRODUCT(--('Данные 2st'!$Q$2:$Q$317=$A62),--ISNUMBER('Данные 2st'!$JR$2:$JR$317))</f>
        <v>1</v>
      </c>
      <c r="PB62">
        <f>SUMPRODUCT(--('Данные 2st'!$Q$2:$Q$317=$A62),--ISNUMBER('Данные 2st'!$JS$2:$JS$317))</f>
        <v>1</v>
      </c>
      <c r="PC62">
        <f>SUMPRODUCT(--('Данные 2st'!$Q$2:$Q$317=$A62),--ISNUMBER('Данные 2st'!$JT$2:$JT$317))</f>
        <v>1</v>
      </c>
      <c r="PD62">
        <f>SUMPRODUCT(--('Данные 2st'!$Q$2:$Q$317=$A62),--ISNUMBER('Данные 2st'!$JU$2:$JU$317))</f>
        <v>1</v>
      </c>
      <c r="PE62">
        <f>SUMPRODUCT(--('Данные 2st'!$Q$2:$Q$317=$A62),--ISNUMBER('Данные 2st'!$JV$2:$JV$317))</f>
        <v>1</v>
      </c>
      <c r="PF62">
        <f>SUMPRODUCT(--('Данные 2st'!$Q$2:$Q$317=$A62),--ISNUMBER('Данные 2st'!$JW$2:$JW$317))</f>
        <v>1</v>
      </c>
      <c r="PG62">
        <f>SUMPRODUCT(--('Данные 2st'!$Q$2:$Q$317=$A62),--ISNUMBER('Данные 2st'!$KF$2:$KF$317))</f>
        <v>1</v>
      </c>
      <c r="PH62">
        <f>SUMPRODUCT(--('Данные 2st'!$Q$2:$Q$317=$A62),--ISNUMBER('Данные 2st'!$KG$2:$KG$317))</f>
        <v>1</v>
      </c>
      <c r="PI62">
        <f>SUMPRODUCT(--('Данные 2st'!$Q$2:$Q$317=$A62),--ISNUMBER('Данные 2st'!$KM$2:$KM$317))</f>
        <v>1</v>
      </c>
      <c r="PJ62">
        <f>SUMPRODUCT(--('Данные 2st'!$Q$2:$Q$317=$A62),--ISNUMBER('Данные 2st'!$KN$2:$KN$317))</f>
        <v>1</v>
      </c>
      <c r="PK62">
        <f>SUMPRODUCT(--('Данные 2st'!$Q$2:$Q$317=$A62),--ISNUMBER('Данные 2st'!$KO$2:$KO$317))</f>
        <v>1</v>
      </c>
      <c r="PL62">
        <f>SUMPRODUCT(--('Данные 2st'!$Q$2:$Q$317=$A62),--ISNUMBER('Данные 2st'!$KP$2:$KP$317))</f>
        <v>1</v>
      </c>
      <c r="PM62">
        <f>SUMPRODUCT(--('Данные 2st'!$Q$2:$Q$317=$A62),--ISNUMBER('Данные 2st'!$KQ$2:$KQ$317))</f>
        <v>1</v>
      </c>
      <c r="PN62">
        <f>SUMPRODUCT(--('Данные 2st'!$Q$2:$Q$317=$A62),--ISNUMBER('Данные 2st'!$KR$2:$KR$317))</f>
        <v>1</v>
      </c>
      <c r="PO62">
        <f>SUMPRODUCT(--('Данные 2st'!$Q$2:$Q$317=$A62),--ISNUMBER('Данные 2st'!$KS$2:$KS$317))</f>
        <v>1</v>
      </c>
      <c r="PP62">
        <f>SUMPRODUCT(--('Данные 2st'!$Q$2:$Q$317=$A62),--ISNUMBER('Данные 2st'!$KT$2:$KT$317))</f>
        <v>1</v>
      </c>
      <c r="PQ62">
        <f>SUMPRODUCT(--('Данные 2st'!$Q$2:$Q$317=$A62),--ISNUMBER('Данные 2st'!$KU$2:$KU$317))</f>
        <v>1</v>
      </c>
      <c r="PR62">
        <f>SUMPRODUCT(--('Данные 2st'!$Q$2:$Q$317=$A62),--ISNUMBER('Данные 2st'!$KV$2:$KV$317))</f>
        <v>1</v>
      </c>
      <c r="PS62">
        <f>SUMPRODUCT(--('Данные 2st'!$Q$2:$Q$317=$A62),--ISNUMBER('Данные 2st'!$KW$2:$KW$317))</f>
        <v>1</v>
      </c>
      <c r="PT62">
        <f>SUMPRODUCT(--('Данные 2st'!$Q$2:$Q$317=$A62),--ISNUMBER('Данные 2st'!$KX$2:$KX$317))</f>
        <v>1</v>
      </c>
      <c r="PU62">
        <f>SUMPRODUCT(--('Данные 2st'!$Q$2:$Q$317=$A62),--ISNUMBER('Данные 2st'!$KY$2:$KY$317))</f>
        <v>1</v>
      </c>
      <c r="PV62">
        <f>SUMPRODUCT(--('Данные 2st'!$Q$2:$Q$317=$A62),--ISNUMBER('Данные 2st'!$KZ$2:$KZ$317))</f>
        <v>1</v>
      </c>
      <c r="PW62">
        <f>SUMPRODUCT(--('Данные 2st'!$Q$2:$Q$317=$A62),--ISNUMBER('Данные 2st'!$LA$2:$LA$317))</f>
        <v>1</v>
      </c>
      <c r="PX62">
        <f>SUMPRODUCT(--('Данные 2st'!$Q$2:$Q$317=$A62),--ISNUMBER('Данные 2st'!$LB$2:$LB$317))</f>
        <v>1</v>
      </c>
      <c r="PY62">
        <f>SUMPRODUCT(--('Данные 2st'!$Q$2:$Q$317=$A62),--ISNUMBER('Данные 2st'!$LC$2:$LC$317))</f>
        <v>1</v>
      </c>
      <c r="PZ62">
        <f>SUMPRODUCT(--('Данные 2st'!$Q$2:$Q$317=$A62),--ISNUMBER('Данные 2st'!$LD$2:$LD$317))</f>
        <v>1</v>
      </c>
      <c r="QA62">
        <f>SUMPRODUCT(--('Данные 2st'!$Q$2:$Q$317=$A62),--ISNUMBER('Данные 2st'!$LE$2:$LE$317))</f>
        <v>1</v>
      </c>
      <c r="QB62">
        <f>SUMPRODUCT(--('Данные 2st'!$Q$2:$Q$317=$A62),--ISNUMBER('Данные 2st'!$LF$2:$LF$317))</f>
        <v>1</v>
      </c>
      <c r="QC62">
        <f>SUMPRODUCT(--('Данные 2st'!$Q$2:$Q$317=$A62),--ISNUMBER('Данные 2st'!$LG$2:$LG$317))</f>
        <v>1</v>
      </c>
      <c r="QD62">
        <f>SUMPRODUCT(--('Данные 2st'!$Q$2:$Q$317=$A62),--ISNUMBER('Данные 2st'!$LH$2:$LH$317))</f>
        <v>1</v>
      </c>
      <c r="QE62">
        <f>SUMPRODUCT(--('Данные 2st'!$Q$2:$Q$317=$A62),--ISNUMBER('Данные 2st'!$LJ$2:$LJ$317))</f>
        <v>1</v>
      </c>
      <c r="QF62">
        <f>SUMPRODUCT(--('Данные 2st'!$Q$2:$Q$317=$A62),--ISNUMBER('Данные 2st'!$LK$2:$LK$317))</f>
        <v>1</v>
      </c>
      <c r="QG62">
        <f>SUMPRODUCT(--('Данные 2st'!$Q$2:$Q$317=$A62),--ISNUMBER('Данные 2st'!$LL$2:$LL$317))</f>
        <v>1</v>
      </c>
      <c r="QH62">
        <f>SUMPRODUCT(--('Данные 2st'!$Q$2:$Q$317=$A62),--ISNUMBER('Данные 2st'!$LM$2:$LM$317))</f>
        <v>1</v>
      </c>
      <c r="QI62">
        <f>SUMPRODUCT(--('Данные 2st'!$Q$2:$Q$317=$A62),--ISNUMBER('Данные 2st'!$LN$2:$LN$317))</f>
        <v>1</v>
      </c>
      <c r="QJ62">
        <f>SUMPRODUCT(--('Данные 2st'!$Q$2:$Q$317=$A62),--ISNUMBER('Данные 2st'!$LO$2:$LO$317))</f>
        <v>1</v>
      </c>
      <c r="QK62">
        <f>SUMPRODUCT(--('Данные 2st'!$Q$2:$Q$317=$A62),--ISNUMBER('Данные 2st'!$LP$2:$LP$317))</f>
        <v>1</v>
      </c>
      <c r="QL62">
        <f>SUMPRODUCT(--('Данные 2st'!$Q$2:$Q$317=$A62),--ISNUMBER('Данные 2st'!$LQ$2:$LQ$317))</f>
        <v>1</v>
      </c>
      <c r="QM62">
        <f>SUMPRODUCT(--('Данные 2st'!$Q$2:$Q$317=$A62),--ISNUMBER('Данные 2st'!$LW$2:$LW$317))</f>
        <v>1</v>
      </c>
      <c r="QN62">
        <f>SUMPRODUCT(--('Данные 2st'!$Q$2:$Q$317=$A62),--ISNUMBER('Данные 2st'!$LX$2:$LX$317))</f>
        <v>1</v>
      </c>
      <c r="QO62">
        <f>SUMPRODUCT(--('Данные 2st'!$Q$2:$Q$317=$A62),--ISNUMBER('Данные 2st'!$LY$2:$LY$317))</f>
        <v>1</v>
      </c>
      <c r="QP62">
        <f>SUMPRODUCT(--('Данные 2st'!$Q$2:$Q$317=$A62),--ISNUMBER('Данные 2st'!$LZ$2:$LZ$317))</f>
        <v>1</v>
      </c>
      <c r="QQ62">
        <f>SUMPRODUCT(--('Данные 2st'!$Q$2:$Q$317=$A62),--ISNUMBER('Данные 2st'!$MB$2:$MB$317))</f>
        <v>1</v>
      </c>
      <c r="QR62">
        <f>SUMPRODUCT(--('Данные 2st'!$Q$2:$Q$317=$A62),--ISNUMBER('Данные 2st'!$MG$2:$MG$317))</f>
        <v>0</v>
      </c>
      <c r="QS62">
        <f>SUMPRODUCT(--('Данные 2st'!$Q$2:$Q$317=$A62),--ISNUMBER('Данные 2st'!$MH$2:$MH$317))</f>
        <v>0</v>
      </c>
      <c r="QT62">
        <f>SUMPRODUCT(--('Данные 2st'!$Q$2:$Q$317=$A62),--ISNUMBER('Данные 2st'!$MI$2:$MI$317))</f>
        <v>1</v>
      </c>
      <c r="QU62">
        <f>SUMPRODUCT(--('Данные 2st'!$Q$2:$Q$317=$A62),--ISNUMBER('Данные 2st'!$MJ$2:$MJ$317))</f>
        <v>1</v>
      </c>
      <c r="QV62">
        <f>SUMPRODUCT(--('Данные 2st'!$Q$2:$Q$317=$A62),--ISNUMBER('Данные 2st'!$MK$2:$MK$317))</f>
        <v>0</v>
      </c>
      <c r="QW62">
        <f>SUMPRODUCT(--('Данные 2st'!$Q$2:$Q$317=$A62),--ISNUMBER('Данные 2st'!$MM$2:$MM$317))</f>
        <v>1</v>
      </c>
      <c r="QX62">
        <f>SUMPRODUCT(--('Данные 2st'!$Q$2:$Q$317=$A62),--ISNUMBER('Данные 2st'!$MQ$2:$MQ$317))</f>
        <v>0</v>
      </c>
      <c r="QY62">
        <f>SUMPRODUCT(--('Данные 2st'!$Q$2:$Q$317=$A62),--ISNUMBER('Данные 2st'!$MR$2:$MR$317))</f>
        <v>0</v>
      </c>
      <c r="QZ62">
        <f>SUMPRODUCT(--('Данные 2st'!$Q$2:$Q$317=$A62),--ISNUMBER('Данные 2st'!$MS$2:$MS$317))</f>
        <v>0</v>
      </c>
      <c r="RA62">
        <f>SUMPRODUCT(--('Данные 2st'!$Q$2:$Q$317=$A62),--ISNUMBER('Данные 2st'!$MT$2:$MT$317))</f>
        <v>0</v>
      </c>
      <c r="RB62">
        <f>SUMPRODUCT(--('Данные 2st'!$Q$2:$Q$317=$A62),--ISNUMBER('Данные 2st'!$MU$2:$MU$317))</f>
        <v>0</v>
      </c>
      <c r="RC62">
        <f>SUMPRODUCT(--('Данные 2st'!$Q$2:$Q$317=$A62),--ISNUMBER('Данные 2st'!$MV$2:$MV$317))</f>
        <v>0</v>
      </c>
      <c r="RD62">
        <f>SUMPRODUCT(--('Данные 2st'!$Q$2:$Q$317=$A62),--ISNUMBER('Данные 2st'!$MW$2:$MW$317))</f>
        <v>0</v>
      </c>
      <c r="RE62">
        <f>SUMPRODUCT(--('Данные 2st'!$Q$2:$Q$317=$A62),--ISNUMBER('Данные 2st'!$MX$2:$MX$317))</f>
        <v>0</v>
      </c>
      <c r="RF62">
        <f>SUMPRODUCT(--('Данные 2st'!$Q$2:$Q$317=$A62),--ISNUMBER('Данные 2st'!$MY$2:$MY$317))</f>
        <v>0</v>
      </c>
      <c r="RG62">
        <f>SUMPRODUCT(--('Данные 2st'!$Q$2:$Q$317=$A62),--ISNUMBER('Данные 2st'!$MZ$2:$MZ$317))</f>
        <v>0</v>
      </c>
      <c r="RH62">
        <f>SUMPRODUCT(--('Данные 2st'!$Q$2:$Q$317=$A62),--ISNUMBER('Данные 2st'!$NA$2:$NA$317))</f>
        <v>0</v>
      </c>
      <c r="RI62">
        <f>SUMPRODUCT(--('Данные 2st'!$Q$2:$Q$317=$A62),--ISNUMBER('Данные 2st'!$NB$2:$NB$317))</f>
        <v>0</v>
      </c>
      <c r="RJ62">
        <f>SUMPRODUCT(--('Данные 2st'!$Q$2:$Q$317=$A62),--ISNUMBER('Данные 2st'!$NC$2:$NC$317))</f>
        <v>0</v>
      </c>
      <c r="RK62">
        <f>SUMPRODUCT(--('Данные 2st'!$Q$2:$Q$317=$A62),--ISNUMBER('Данные 2st'!$ND$2:$ND$317))</f>
        <v>0</v>
      </c>
      <c r="RL62">
        <f>SUMPRODUCT(--('Данные 2st'!$Q$2:$Q$317=$A62),--ISNUMBER('Данные 2st'!$NE$2:$NE$317))</f>
        <v>0</v>
      </c>
      <c r="RM62">
        <f>SUMPRODUCT(--('Данные 2st'!$Q$2:$Q$317=$A62),--ISNUMBER('Данные 2st'!$NF$2:$NF$317))</f>
        <v>0</v>
      </c>
      <c r="RN62">
        <f>SUMPRODUCT(--('Данные 2st'!$Q$2:$Q$317=$A62),--ISNUMBER('Данные 2st'!$NG$2:$NG$317))</f>
        <v>0</v>
      </c>
      <c r="RO62">
        <f>SUMPRODUCT(--('Данные 2st'!$Q$2:$Q$317=$A62),--ISNUMBER('Данные 2st'!$NH$2:$NH$317))</f>
        <v>0</v>
      </c>
      <c r="RP62">
        <f>SUMPRODUCT(--('Данные 2st'!$Q$2:$Q$317=$A62),--ISNUMBER('Данные 2st'!$NJ$2:$NJ$317))</f>
        <v>0</v>
      </c>
      <c r="RQ62">
        <f>SUMPRODUCT(--('Данные 2st'!$Q$2:$Q$317=$A62),--ISNUMBER('Данные 2st'!$NK$2:$NK$317))</f>
        <v>0</v>
      </c>
      <c r="RR62">
        <f>SUMPRODUCT(--('Данные 2st'!$Q$2:$Q$317=$A62),--ISNUMBER('Данные 2st'!$NM$2:$NM$317))</f>
        <v>0</v>
      </c>
      <c r="RS62">
        <f>SUMPRODUCT(--('Данные 2st'!$Q$2:$Q$317=$A62),--ISNUMBER('Данные 2st'!$NN$2:$NN$317))</f>
        <v>0</v>
      </c>
      <c r="RT62">
        <f>SUMPRODUCT(--('Данные 2st'!$Q$2:$Q$317=$A62),--ISNUMBER('Данные 2st'!$NO$2:$NO$317))</f>
        <v>0</v>
      </c>
      <c r="RU62">
        <f>SUMPRODUCT(--('Данные 2st'!$Q$2:$Q$317=$A62),--ISNUMBER('Данные 2st'!$NP$2:$NP$317))</f>
        <v>0</v>
      </c>
      <c r="RV62">
        <f>SUMPRODUCT(--('Данные 2st'!$Q$2:$Q$317=$A62),--ISNUMBER('Данные 2st'!$NQ$2:$NQ$317))</f>
        <v>0</v>
      </c>
      <c r="RW62">
        <f>SUMPRODUCT(--('Данные 2st'!$Q$2:$Q$317=$A62),--ISNUMBER('Данные 2st'!$NR$2:$NR$317))</f>
        <v>0</v>
      </c>
      <c r="RX62">
        <f>SUMPRODUCT(--('Данные 2st'!$Q$2:$Q$317=$A62),--ISNUMBER('Данные 2st'!$NS$2:$NS$317))</f>
        <v>0</v>
      </c>
      <c r="RY62">
        <f>SUMPRODUCT(--('Данные 2st'!$Q$2:$Q$317=$A62),--ISNUMBER('Данные 2st'!$NT$2:$NT$317))</f>
        <v>0</v>
      </c>
      <c r="RZ62">
        <f>SUMPRODUCT(--('Данные 2st'!$Q$2:$Q$317=$A62),--ISNUMBER('Данные 2st'!$OK$2:$OK$317))</f>
        <v>1</v>
      </c>
      <c r="SA62">
        <f>SUMPRODUCT(--('Данные 2st'!$Q$2:$Q$317=$A62),--ISNUMBER('Данные 2st'!$OL$2:$OL$317))</f>
        <v>1</v>
      </c>
      <c r="SB62">
        <f>SUMPRODUCT(--('Данные 2st'!$Q$2:$Q$317=$A62),--ISNUMBER('Данные 2st'!$ON$2:$ON$317))</f>
        <v>1</v>
      </c>
      <c r="SC62">
        <f>SUMPRODUCT(--('Данные 2st'!$Q$2:$Q$317=$A62),--ISNUMBER('Данные 2st'!$OO$2:$OO$317))</f>
        <v>1</v>
      </c>
      <c r="SD62">
        <f>SUMPRODUCT(--('Данные 2st'!$Q$2:$Q$317=$A62),--ISNUMBER('Данные 2st'!$OP$2:$OP$317))</f>
        <v>1</v>
      </c>
      <c r="SE62">
        <f>SUMPRODUCT(--('Данные 2st'!$Q$2:$Q$317=$A62),--ISNUMBER('Данные 2st'!$OQ$2:$OQ$317))</f>
        <v>1</v>
      </c>
      <c r="SF62">
        <f>SUMPRODUCT(--('Данные 2st'!$Q$2:$Q$317=$A62),--ISNUMBER('Данные 2st'!$OS$2:$OS$317))</f>
        <v>1</v>
      </c>
      <c r="SG62">
        <f>SUMPRODUCT(--('Данные 2st'!$Q$2:$Q$317=$A62),--ISNUMBER('Данные 2st'!$OT$2:$OT$317))</f>
        <v>1</v>
      </c>
      <c r="SH62">
        <f>SUMPRODUCT(--('Данные 2st'!$Q$2:$Q$317=$A62),--ISNUMBER('Данные 2st'!$OU$2:$OU$317))</f>
        <v>1</v>
      </c>
      <c r="SI62">
        <f>SUMPRODUCT(--('Данные 2st'!$Q$2:$Q$317=$A62),--ISNUMBER('Данные 2st'!$OV$2:$OV$317))</f>
        <v>1</v>
      </c>
      <c r="SJ62">
        <f>SUMPRODUCT(--('Данные 2st'!$Q$2:$Q$317=$A62),--ISNUMBER('Данные 2st'!$OX$2:$OX$317))</f>
        <v>1</v>
      </c>
      <c r="SK62">
        <f>SUMPRODUCT(--('Данные 2st'!$Q$2:$Q$317=$A62),--ISNUMBER('Данные 2st'!$OY$2:$OY$317))</f>
        <v>1</v>
      </c>
      <c r="SL62">
        <f>SUMPRODUCT(--('Данные 2st'!$Q$2:$Q$317=$A62),--ISNUMBER('Данные 2st'!$OZ$2:$OZ$317))</f>
        <v>1</v>
      </c>
      <c r="SM62">
        <f>SUMPRODUCT(--('Данные 2st'!$Q$2:$Q$317=$A62),--ISNUMBER('Данные 2st'!$PA$2:$PA$317))</f>
        <v>1</v>
      </c>
      <c r="SN62">
        <f>SUMPRODUCT(--('Данные 2st'!$Q$2:$Q$317=$A62),--ISNUMBER('Данные 2st'!$PC$2:$PC$317))</f>
        <v>1</v>
      </c>
      <c r="SO62">
        <f>SUMPRODUCT(--('Данные 2st'!$Q$2:$Q$317=$A62),--ISNUMBER('Данные 2st'!$PD$2:$PD$317))</f>
        <v>1</v>
      </c>
      <c r="SP62">
        <f>SUMPRODUCT(--('Данные 2st'!$Q$2:$Q$317=$A62),--ISNUMBER('Данные 2st'!$PF$2:$PF$317))</f>
        <v>1</v>
      </c>
      <c r="SQ62">
        <f>SUMPRODUCT(--('Данные 2st'!$Q$2:$Q$317=$A62),--ISNUMBER('Данные 2st'!$PG$2:$PG$317))</f>
        <v>1</v>
      </c>
      <c r="SR62">
        <f>SUMPRODUCT(--('Данные 2st'!$Q$2:$Q$317=$A62),--ISNUMBER('Данные 2st'!$PH$2:$PH$317))</f>
        <v>1</v>
      </c>
      <c r="SS62">
        <f>SUMPRODUCT(--('Данные 2st'!$Q$2:$Q$317=$A62),--ISNUMBER('Данные 2st'!$PI$2:$PI$317))</f>
        <v>1</v>
      </c>
      <c r="ST62">
        <f>SUMPRODUCT(--('Данные 2st'!$Q$2:$Q$317=$A62),--ISNUMBER('Данные 2st'!$PJ$2:$PJ$317))</f>
        <v>1</v>
      </c>
      <c r="SU62">
        <f>SUMPRODUCT(--('Данные 2st'!$Q$2:$Q$317=$A62),--ISNUMBER('Данные 2st'!$PK$2:$PK$317))</f>
        <v>0</v>
      </c>
      <c r="SV62">
        <f>SUMPRODUCT(--('Данные 2st'!$Q$2:$Q$317=$A62),--ISNUMBER('Данные 2st'!$PL$2:$PL$317))</f>
        <v>1</v>
      </c>
      <c r="SW62">
        <f>SUMPRODUCT(--('Данные 2st'!$Q$2:$Q$317=$A62),--ISNUMBER('Данные 2st'!$PM$2:$PM$317))</f>
        <v>1</v>
      </c>
      <c r="SX62">
        <f>SUMPRODUCT(--('Данные 2st'!$Q$2:$Q$317=$A62),--ISNUMBER('Данные 2st'!$PN$2:$PN$317))</f>
        <v>1</v>
      </c>
      <c r="SY62">
        <f>SUMPRODUCT(--('Данные 2st'!$Q$2:$Q$317=$A62),--ISNUMBER('Данные 2st'!$PO$2:$PO$317))</f>
        <v>1</v>
      </c>
      <c r="SZ62">
        <f>SUMPRODUCT(--('Данные 2st'!$Q$2:$Q$317=$A62),--ISNUMBER('Данные 2st'!$PP$2:$PP$317))</f>
        <v>1</v>
      </c>
      <c r="TA62">
        <f>SUMPRODUCT(--('Данные 2st'!$Q$2:$Q$317=$A62),--ISNUMBER('Данные 2st'!$PQ$2:$PQ$317))</f>
        <v>1</v>
      </c>
      <c r="TB62">
        <f>SUMPRODUCT(--('Данные 2st'!$Q$2:$Q$317=$A62),--ISNUMBER('Данные 2st'!$PR$2:$PR$317))</f>
        <v>1</v>
      </c>
      <c r="TC62">
        <f>SUMPRODUCT(--('Данные 2st'!$Q$2:$Q$317=$A62),--ISNUMBER('Данные 2st'!$PS$2:$PS$317))</f>
        <v>1</v>
      </c>
      <c r="TD62">
        <f>SUMPRODUCT(--('Данные 2st'!$Q$2:$Q$317=$A62),--ISNUMBER('Данные 2st'!$PT$2:$PT$317))</f>
        <v>1</v>
      </c>
      <c r="TE62">
        <f>SUMPRODUCT(--('Данные 2st'!$Q$2:$Q$317=$A62),--ISNUMBER('Данные 2st'!$PU$2:$PU$317))</f>
        <v>1</v>
      </c>
      <c r="TF62">
        <f>SUMPRODUCT(--('Данные 2st'!$Q$2:$Q$317=$A62),--ISNUMBER('Данные 2st'!$PX$2:$PX$317))</f>
        <v>1</v>
      </c>
      <c r="TG62">
        <f>SUMPRODUCT(--('Данные 2st'!$Q$2:$Q$317=$A62),--ISNUMBER('Данные 2st'!$PY$2:$PY$317))</f>
        <v>1</v>
      </c>
      <c r="TH62">
        <f>SUMPRODUCT(--('Данные 2st'!$Q$2:$Q$317=$A62),--ISNUMBER('Данные 2st'!$PZ$2:$PZ$317))</f>
        <v>1</v>
      </c>
      <c r="TI62">
        <f>SUMPRODUCT(--('Данные 2st'!$Q$2:$Q$317=$A62),--ISNUMBER('Данные 2st'!$QA$2:$QA$317))</f>
        <v>1</v>
      </c>
      <c r="TJ62">
        <f>SUMPRODUCT(--('Данные 2st'!$Q$2:$Q$317=$A62),--ISNUMBER('Данные 2st'!$QB$2:$QB$317))</f>
        <v>1</v>
      </c>
      <c r="TK62">
        <f>SUMPRODUCT(--('Данные 2st'!$Q$2:$Q$317=$A62),--ISNUMBER('Данные 2st'!$QC$2:$QC$317))</f>
        <v>1</v>
      </c>
      <c r="TL62">
        <f>SUMPRODUCT(--('Данные 2st'!$Q$2:$Q$317=$A62),--ISNUMBER('Данные 2st'!$QD$2:$QD$317))</f>
        <v>1</v>
      </c>
      <c r="TM62">
        <f>SUMPRODUCT(--('Данные 2st'!$Q$2:$Q$317=$A62),--ISNUMBER('Данные 2st'!$QE$2:$QE$317))</f>
        <v>1</v>
      </c>
      <c r="TN62">
        <f>SUMPRODUCT(--('Данные 2st'!$Q$2:$Q$317=$A62),--ISNUMBER('Данные 2st'!$QF$2:$QF$317))</f>
        <v>1</v>
      </c>
      <c r="TO62">
        <f>SUMPRODUCT(--('Данные 2st'!$Q$2:$Q$317=$A62),--ISNUMBER('Данные 2st'!$QG$2:$QG$317))</f>
        <v>1</v>
      </c>
      <c r="TP62">
        <f>SUMPRODUCT(--('Данные 2st'!$Q$2:$Q$317=$A62),--ISNUMBER('Данные 2st'!$QH$2:$QH$317))</f>
        <v>1</v>
      </c>
      <c r="TQ62">
        <f>SUMPRODUCT(--('Данные 2st'!$Q$2:$Q$317=$A62),--ISNUMBER('Данные 2st'!$QI$2:$QI$317))</f>
        <v>1</v>
      </c>
      <c r="TR62">
        <f>SUMPRODUCT(--('Данные 2st'!$Q$2:$Q$317=$A62),--ISNUMBER('Данные 2st'!$QJ$2:$QJ$317))</f>
        <v>1</v>
      </c>
      <c r="TS62">
        <f>SUMPRODUCT(--('Данные 2st'!$Q$2:$Q$317=$A62),--ISNUMBER('Данные 2st'!$QK$2:$QK$317))</f>
        <v>1</v>
      </c>
      <c r="TT62">
        <f>SUMPRODUCT(--('Данные 2st'!$Q$2:$Q$317=$A62),--ISNUMBER('Данные 2st'!$QL$2:$QL$317))</f>
        <v>1</v>
      </c>
      <c r="TU62">
        <f>SUMPRODUCT(--('Данные 2st'!$Q$2:$Q$317=$A62),--ISNUMBER('Данные 2st'!$QM$2:$QM$317))</f>
        <v>1</v>
      </c>
      <c r="TV62">
        <f>SUMPRODUCT(--('Данные 2st'!$Q$2:$Q$317=$A62),--ISNUMBER('Данные 2st'!$QN$2:$QN$317))</f>
        <v>1</v>
      </c>
      <c r="TW62">
        <f>SUMPRODUCT(--('Данные 2st'!$Q$2:$Q$317=$A62),--ISNUMBER('Данные 2st'!$QQ$2:$QQ$317))</f>
        <v>1</v>
      </c>
      <c r="TX62">
        <f>SUMPRODUCT(--('Данные 2st'!$Q$2:$Q$317=$A62),--ISNUMBER('Данные 2st'!$QS$2:$QS$317))</f>
        <v>1</v>
      </c>
      <c r="TY62">
        <f>SUMPRODUCT(--('Данные 2st'!$Q$2:$Q$317=$A62),--ISNUMBER('Данные 2st'!$QT$2:$QT$317))</f>
        <v>1</v>
      </c>
    </row>
    <row r="63" spans="1:545" ht="32" customHeight="1">
      <c r="A63" s="11" t="str">
        <f>'По размерам'!A63</f>
        <v>245/50R20</v>
      </c>
      <c r="G63">
        <f>SUMPRODUCT(--('Данные 1st'!$S$2:$S$317=$A63),--ISNUMBER('Данные 1st'!$AE$2:$AE$317))</f>
        <v>6</v>
      </c>
      <c r="H63">
        <f>SUMPRODUCT(--('Данные 1st'!$S$2:$S$317=$A63),--ISNUMBER('Данные 1st'!$AF$2:$AF$317))</f>
        <v>6</v>
      </c>
      <c r="I63">
        <f>SUMPRODUCT(--('Данные 1st'!$S$2:$S$317=$A63),--ISNUMBER('Данные 1st'!$AJ$2:$AJ$317))</f>
        <v>6</v>
      </c>
      <c r="J63">
        <f>SUMPRODUCT(--('Данные 1st'!$S$2:$S$317=$A63),--ISNUMBER('Данные 1st'!$AL$2:$AL$317))</f>
        <v>6</v>
      </c>
      <c r="K63">
        <f>SUMPRODUCT(--('Данные 1st'!$S$2:$S$317=$A63),--ISNUMBER('Данные 1st'!$AR$2:$AR$317))</f>
        <v>6</v>
      </c>
      <c r="L63">
        <f>SUMPRODUCT(--('Данные 1st'!$S$2:$S$317=$A63),--ISNUMBER('Данные 1st'!$AS$2:$AS$317))</f>
        <v>6</v>
      </c>
      <c r="M63">
        <f>SUMPRODUCT(--('Данные 1st'!$S$2:$S$317=$A63),--ISNUMBER('Данные 1st'!$AY$2:$AY$317))</f>
        <v>6</v>
      </c>
      <c r="N63">
        <f>SUMPRODUCT(--('Данные 1st'!$S$2:$S$317=$A63),--ISNUMBER('Данные 1st'!$AZ$2:$AZ$317))</f>
        <v>6</v>
      </c>
      <c r="O63">
        <f>SUMPRODUCT(--('Данные 1st'!$S$2:$S$317=$A63),--ISNUMBER('Данные 1st'!$BF$2:$BF$317))</f>
        <v>6</v>
      </c>
      <c r="P63">
        <f>SUMPRODUCT(--('Данные 1st'!$S$2:$S$317=$A63),--ISNUMBER('Данные 1st'!$BG$2:$BG$317))</f>
        <v>6</v>
      </c>
      <c r="Q63">
        <f>SUMPRODUCT(--('Данные 1st'!$S$2:$S$317=$A63),--ISNUMBER('Данные 1st'!$BM$2:$BM$317))</f>
        <v>0</v>
      </c>
      <c r="R63">
        <f>SUMPRODUCT(--('Данные 1st'!$S$2:$S$317=$A63),--ISNUMBER('Данные 1st'!$BN$2:$BN$317))</f>
        <v>6</v>
      </c>
      <c r="S63">
        <f>SUMPRODUCT(--('Данные 1st'!$S$2:$S$317=$A63),--ISNUMBER('Данные 1st'!$BT$2:$BT$317))</f>
        <v>6</v>
      </c>
      <c r="T63">
        <f>SUMPRODUCT(--('Данные 1st'!$S$2:$S$317=$A63),--ISNUMBER('Данные 1st'!$BU$2:$BU$317))</f>
        <v>6</v>
      </c>
      <c r="U63">
        <f>SUMPRODUCT(--('Данные 1st'!$S$2:$S$317=$A63),--ISNUMBER('Данные 1st'!$BW$2:$BW$317))</f>
        <v>6</v>
      </c>
      <c r="V63">
        <f>SUMPRODUCT(--('Данные 1st'!$S$2:$S$317=$A63),--ISNUMBER('Данные 1st'!$BX$2:$BX$317))</f>
        <v>6</v>
      </c>
      <c r="W63">
        <f>SUMPRODUCT(--('Данные 1st'!$S$2:$S$317=$A63),--ISNUMBER('Данные 1st'!$BZ$2:$BZ$317))</f>
        <v>6</v>
      </c>
      <c r="X63">
        <f>SUMPRODUCT(--('Данные 1st'!$S$2:$S$317=$A63),--ISNUMBER('Данные 1st'!$CA$2:$CA$317))</f>
        <v>6</v>
      </c>
      <c r="Y63">
        <f>SUMPRODUCT(--('Данные 1st'!$S$2:$S$317=$A63),--ISNUMBER('Данные 1st'!$CD$2:$CD$317))</f>
        <v>6</v>
      </c>
      <c r="Z63">
        <f>SUMPRODUCT(--('Данные 1st'!$S$2:$S$317=$A63),--ISNUMBER('Данные 1st'!$CF$2:$CF$317))</f>
        <v>6</v>
      </c>
      <c r="AA63">
        <f>SUMPRODUCT(--('Данные 1st'!$S$2:$S$317=$A63),--ISNUMBER('Данные 1st'!$CI$2:$CI$317))</f>
        <v>6</v>
      </c>
      <c r="AB63">
        <f>SUMPRODUCT(--('Данные 1st'!$S$2:$S$317=$A63),--ISNUMBER('Данные 1st'!$CJ$2:$CJ$317))</f>
        <v>6</v>
      </c>
      <c r="AC63">
        <f>SUMPRODUCT(--('Данные 1st'!$S$2:$S$317=$A63),--ISNUMBER('Данные 1st'!$CK$2:$CK$317))</f>
        <v>6</v>
      </c>
      <c r="AD63">
        <f>SUMPRODUCT(--('Данные 1st'!$S$2:$S$317=$A63),--ISNUMBER('Данные 1st'!$CL$2:$CL$317))</f>
        <v>6</v>
      </c>
      <c r="AE63">
        <f>SUMPRODUCT(--('Данные 1st'!$S$2:$S$317=$A63),--ISNUMBER('Данные 1st'!$CM$2:$CM$317))</f>
        <v>6</v>
      </c>
      <c r="AF63">
        <f>SUMPRODUCT(--('Данные 1st'!$S$2:$S$317=$A63),--ISNUMBER('Данные 1st'!$CT$2:$CT$317))</f>
        <v>6</v>
      </c>
      <c r="AG63">
        <f>SUMPRODUCT(--('Данные 1st'!$S$2:$S$317=$A63),--ISNUMBER('Данные 1st'!$CU$2:$CU$317))</f>
        <v>6</v>
      </c>
      <c r="AH63">
        <f>SUMPRODUCT(--('Данные 1st'!$S$2:$S$317=$A63),--ISNUMBER('Данные 1st'!$CV$2:$CV$317))</f>
        <v>6</v>
      </c>
      <c r="AI63">
        <f>SUMPRODUCT(--('Данные 1st'!$S$2:$S$317=$A63),--ISNUMBER('Данные 1st'!$CW$2:$CW$317))</f>
        <v>6</v>
      </c>
      <c r="AJ63">
        <f>SUMPRODUCT(--('Данные 1st'!$S$2:$S$317=$A63),--ISNUMBER('Данные 1st'!$CX$2:$CX$317))</f>
        <v>6</v>
      </c>
      <c r="AK63">
        <f>SUMPRODUCT(--('Данные 1st'!$S$2:$S$317=$A63),--ISNUMBER('Данные 1st'!$CZ$2:$CZ$317))</f>
        <v>6</v>
      </c>
      <c r="AL63">
        <f>SUMPRODUCT(--('Данные 1st'!$S$2:$S$317=$A63),--ISNUMBER('Данные 1st'!$DA$2:$DA$317))</f>
        <v>6</v>
      </c>
      <c r="AM63">
        <f>SUMPRODUCT(--('Данные 1st'!$S$2:$S$317=$A63),--ISNUMBER('Данные 1st'!$DB$2:$DB$317))</f>
        <v>6</v>
      </c>
      <c r="AN63">
        <f>SUMPRODUCT(--('Данные 1st'!$S$2:$S$317=$A63),--ISNUMBER('Данные 1st'!$DC$2:$DC$317))</f>
        <v>6</v>
      </c>
      <c r="AO63">
        <f>SUMPRODUCT(--('Данные 1st'!$S$2:$S$317=$A63),--ISNUMBER('Данные 1st'!$DD$2:$DD$317))</f>
        <v>6</v>
      </c>
      <c r="AP63">
        <f>SUMPRODUCT(--('Данные 1st'!$S$2:$S$317=$A63),--ISNUMBER('Данные 1st'!$DF$2:$DF$317))</f>
        <v>6</v>
      </c>
      <c r="AQ63">
        <f>SUMPRODUCT(--('Данные 1st'!$S$2:$S$317=$A63),--ISNUMBER('Данные 1st'!$DG$2:$DG$317))</f>
        <v>6</v>
      </c>
      <c r="AR63">
        <f>SUMPRODUCT(--('Данные 1st'!$S$2:$S$317=$A63),--ISNUMBER('Данные 1st'!$DH$2:$DH$317))</f>
        <v>6</v>
      </c>
      <c r="AS63">
        <f>SUMPRODUCT(--('Данные 1st'!$S$2:$S$317=$A63),--ISNUMBER('Данные 1st'!$DI$2:$DI$317))</f>
        <v>6</v>
      </c>
      <c r="AT63">
        <f>SUMPRODUCT(--('Данные 1st'!$S$2:$S$317=$A63),--ISNUMBER('Данные 1st'!$DJ$2:$DJ$317))</f>
        <v>6</v>
      </c>
      <c r="AU63">
        <f>SUMPRODUCT(--('Данные 1st'!$S$2:$S$317=$A63),--ISNUMBER('Данные 1st'!$DL$2:$DL$317))</f>
        <v>6</v>
      </c>
      <c r="AV63">
        <f>SUMPRODUCT(--('Данные 1st'!$S$2:$S$317=$A63),--ISNUMBER('Данные 1st'!$DM$2:$DM$317))</f>
        <v>6</v>
      </c>
      <c r="AW63">
        <f>SUMPRODUCT(--('Данные 1st'!$S$2:$S$317=$A63),--ISNUMBER('Данные 1st'!$DN$2:$DN$317))</f>
        <v>6</v>
      </c>
      <c r="AX63">
        <f>SUMPRODUCT(--('Данные 1st'!$S$2:$S$317=$A63),--ISNUMBER('Данные 1st'!$DO$2:$DO$317))</f>
        <v>6</v>
      </c>
      <c r="AY63">
        <f>SUMPRODUCT(--('Данные 1st'!$S$2:$S$317=$A63),--ISNUMBER('Данные 1st'!$DP$2:$DP$317))</f>
        <v>6</v>
      </c>
      <c r="AZ63">
        <f>SUMPRODUCT(--('Данные 1st'!$S$2:$S$317=$A63),--ISNUMBER('Данные 1st'!$DR$2:$DR$317))</f>
        <v>0</v>
      </c>
      <c r="BA63">
        <f>SUMPRODUCT(--('Данные 1st'!$S$2:$S$317=$A63),--ISNUMBER('Данные 1st'!$DS$2:$DS$317))</f>
        <v>0</v>
      </c>
      <c r="BB63">
        <f>SUMPRODUCT(--('Данные 1st'!$S$2:$S$317=$A63),--ISNUMBER('Данные 1st'!$DT$2:$DT$317))</f>
        <v>0</v>
      </c>
      <c r="BC63">
        <f>SUMPRODUCT(--('Данные 1st'!$S$2:$S$317=$A63),--ISNUMBER('Данные 1st'!$DU$2:$DU$317))</f>
        <v>0</v>
      </c>
      <c r="BD63">
        <f>SUMPRODUCT(--('Данные 1st'!$S$2:$S$317=$A63),--ISNUMBER('Данные 1st'!$DV$2:$DV$317))</f>
        <v>0</v>
      </c>
      <c r="BE63">
        <f>SUMPRODUCT(--('Данные 1st'!$S$2:$S$317=$A63),--ISNUMBER('Данные 1st'!$DX$2:$DX$317))</f>
        <v>6</v>
      </c>
      <c r="BF63">
        <f>SUMPRODUCT(--('Данные 1st'!$S$2:$S$317=$A63),--ISNUMBER('Данные 1st'!$EA$2:$EA$317))</f>
        <v>6</v>
      </c>
      <c r="BG63">
        <f>SUMPRODUCT(--('Данные 1st'!$S$2:$S$317=$A63),--ISNUMBER('Данные 1st'!$EB$2:$EB$317))</f>
        <v>6</v>
      </c>
      <c r="BH63">
        <f>SUMPRODUCT(--('Данные 1st'!$S$2:$S$317=$A63),--ISNUMBER('Данные 1st'!$ED$2:$ED$317))</f>
        <v>6</v>
      </c>
      <c r="BI63">
        <f>SUMPRODUCT(--('Данные 1st'!$S$2:$S$317=$A63),--ISNUMBER('Данные 1st'!$EE$2:$EE$317))</f>
        <v>6</v>
      </c>
      <c r="BJ63">
        <f>SUMPRODUCT(--('Данные 1st'!$S$2:$S$317=$A63),--ISNUMBER('Данные 1st'!$EG$2:$EG$317))</f>
        <v>6</v>
      </c>
      <c r="BK63">
        <f>SUMPRODUCT(--('Данные 1st'!$S$2:$S$317=$A63),--ISNUMBER('Данные 1st'!$EH$2:$EH$317))</f>
        <v>6</v>
      </c>
      <c r="BL63">
        <f>SUMPRODUCT(--('Данные 1st'!$S$2:$S$317=$A63),--ISNUMBER('Данные 1st'!$EJ$2:$EJ$317))</f>
        <v>6</v>
      </c>
      <c r="BM63">
        <f>SUMPRODUCT(--('Данные 1st'!$S$2:$S$317=$A63),--ISNUMBER('Данные 1st'!$EK$2:$EK$317))</f>
        <v>6</v>
      </c>
      <c r="BN63">
        <f>SUMPRODUCT(--('Данные 1st'!$S$2:$S$317=$A63),--ISNUMBER('Данные 1st'!$EN$2:$EN$317))</f>
        <v>6</v>
      </c>
      <c r="BO63">
        <f>SUMPRODUCT(--('Данные 1st'!$S$2:$S$317=$A63),--ISNUMBER('Данные 1st'!$EQ$2:$EQ$317))</f>
        <v>6</v>
      </c>
      <c r="BP63">
        <f>SUMPRODUCT(--('Данные 1st'!$S$2:$S$317=$A63),--ISNUMBER('Данные 1st'!$ER$2:$ER$317))</f>
        <v>6</v>
      </c>
      <c r="BQ63">
        <f>SUMPRODUCT(--('Данные 1st'!$S$2:$S$317=$A63),--ISNUMBER('Данные 1st'!$ES$2:$ES$317))</f>
        <v>6</v>
      </c>
      <c r="BR63">
        <f>SUMPRODUCT(--('Данные 1st'!$S$2:$S$317=$A63),--ISNUMBER('Данные 1st'!$ET$2:$ET$317))</f>
        <v>6</v>
      </c>
      <c r="BS63">
        <f>SUMPRODUCT(--('Данные 1st'!$S$2:$S$317=$A63),--ISNUMBER('Данные 1st'!$EU$2:$EU$317))</f>
        <v>6</v>
      </c>
      <c r="BT63">
        <f>SUMPRODUCT(--('Данные 1st'!$S$2:$S$317=$A63),--ISNUMBER('Данные 1st'!$EV$2:$EV$317))</f>
        <v>6</v>
      </c>
      <c r="BU63">
        <f>SUMPRODUCT(--('Данные 1st'!$S$2:$S$317=$A63),--ISNUMBER('Данные 1st'!$EX$2:$EX$317))</f>
        <v>6</v>
      </c>
      <c r="BV63">
        <f>SUMPRODUCT(--('Данные 1st'!$S$2:$S$317=$A63),--ISNUMBER('Данные 1st'!$EY$2:$EY$317))</f>
        <v>6</v>
      </c>
      <c r="BW63">
        <f>SUMPRODUCT(--('Данные 1st'!$S$2:$S$317=$A63),--ISNUMBER('Данные 1st'!$EZ$2:$EZ$317))</f>
        <v>6</v>
      </c>
      <c r="BX63">
        <f>SUMPRODUCT(--('Данные 1st'!$S$2:$S$317=$A63),--ISNUMBER('Данные 1st'!$FA$2:$FA$317))</f>
        <v>6</v>
      </c>
      <c r="BY63">
        <f>SUMPRODUCT(--('Данные 1st'!$S$2:$S$317=$A63),--ISNUMBER('Данные 1st'!$FB$2:$FB$317))</f>
        <v>6</v>
      </c>
      <c r="BZ63">
        <f>SUMPRODUCT(--('Данные 1st'!$S$2:$S$317=$A63),--ISNUMBER('Данные 1st'!$FC$2:$FC$317))</f>
        <v>6</v>
      </c>
      <c r="CA63">
        <f>SUMPRODUCT(--('Данные 1st'!$S$2:$S$317=$A63),--ISNUMBER('Данные 1st'!$FE$2:$FE$317))</f>
        <v>6</v>
      </c>
      <c r="CB63">
        <f>SUMPRODUCT(--('Данные 1st'!$S$2:$S$317=$A63),--ISNUMBER('Данные 1st'!$FF$2:$FF$317))</f>
        <v>6</v>
      </c>
      <c r="CC63">
        <f>SUMPRODUCT(--('Данные 1st'!$S$2:$S$317=$A63),--ISNUMBER('Данные 1st'!$FI$2:$FI$317))</f>
        <v>6</v>
      </c>
      <c r="CD63">
        <f>SUMPRODUCT(--('Данные 1st'!$S$2:$S$317=$A63),--ISNUMBER('Данные 1st'!$FL$2:$FL$317))</f>
        <v>6</v>
      </c>
      <c r="CE63">
        <f>SUMPRODUCT(--('Данные 1st'!$S$2:$S$317=$A63),--ISNUMBER('Данные 1st'!$FM$2:$FM$317))</f>
        <v>6</v>
      </c>
      <c r="CF63">
        <f>SUMPRODUCT(--('Данные 1st'!$S$2:$S$317=$A63),--ISNUMBER('Данные 1st'!$FN$2:$FN$317))</f>
        <v>6</v>
      </c>
      <c r="CG63">
        <f>SUMPRODUCT(--('Данные 1st'!$S$2:$S$317=$A63),--ISNUMBER('Данные 1st'!$FO$2:$FO$317))</f>
        <v>6</v>
      </c>
      <c r="CH63">
        <f>SUMPRODUCT(--('Данные 1st'!$S$2:$S$317=$A63),--ISNUMBER('Данные 1st'!$FP$2:$FP$317))</f>
        <v>6</v>
      </c>
      <c r="CI63">
        <f>SUMPRODUCT(--('Данные 1st'!$S$2:$S$317=$A63),--ISNUMBER('Данные 1st'!$FS$2:$FS$317))</f>
        <v>1</v>
      </c>
      <c r="CJ63">
        <f>SUMPRODUCT(--('Данные 1st'!$S$2:$S$317=$A63),--ISNUMBER('Данные 1st'!$FT$2:$FT$317))</f>
        <v>1</v>
      </c>
      <c r="CK63">
        <f>SUMPRODUCT(--('Данные 1st'!$S$2:$S$317=$A63),--ISNUMBER('Данные 1st'!$FU$2:$FU$317))</f>
        <v>1</v>
      </c>
      <c r="CL63">
        <f>SUMPRODUCT(--('Данные 1st'!$S$2:$S$317=$A63),--ISNUMBER('Данные 1st'!$FV$2:$FV$317))</f>
        <v>0</v>
      </c>
      <c r="CM63">
        <f>SUMPRODUCT(--('Данные 1st'!$S$2:$S$317=$A63),--ISNUMBER('Данные 1st'!$FW$2:$FW$317))</f>
        <v>0</v>
      </c>
      <c r="CN63">
        <f>SUMPRODUCT(--('Данные 1st'!$S$2:$S$317=$A63),--ISNUMBER('Данные 1st'!$FZ$2:$FZ$317))</f>
        <v>0</v>
      </c>
      <c r="CO63">
        <f>SUMPRODUCT(--('Данные 1st'!$S$2:$S$317=$A63),--ISNUMBER('Данные 1st'!$GA$2:$GA$317))</f>
        <v>0</v>
      </c>
      <c r="CP63">
        <f>SUMPRODUCT(--('Данные 1st'!$S$2:$S$317=$A63),--ISNUMBER('Данные 1st'!$GB$2:$GB$317))</f>
        <v>0</v>
      </c>
      <c r="CQ63">
        <f>SUMPRODUCT(--('Данные 1st'!$S$2:$S$317=$A63),--ISNUMBER('Данные 1st'!$GH$2:$GH$317))</f>
        <v>0</v>
      </c>
      <c r="CR63">
        <f>SUMPRODUCT(--('Данные 1st'!$S$2:$S$317=$A63),--ISNUMBER('Данные 1st'!$GI$2:$GI$317))</f>
        <v>0</v>
      </c>
      <c r="CS63">
        <f>SUMPRODUCT(--('Данные 1st'!$S$2:$S$317=$A63),--ISNUMBER('Данные 1st'!$GJ$2:$GJ$317))</f>
        <v>0</v>
      </c>
      <c r="CT63">
        <f>SUMPRODUCT(--('Данные 1st'!$S$2:$S$317=$A63),--ISNUMBER('Данные 1st'!$GS$2:$GS$317))</f>
        <v>6</v>
      </c>
      <c r="CU63">
        <f>SUMPRODUCT(--('Данные 1st'!$S$2:$S$317=$A63),--ISNUMBER('Данные 1st'!$GT$2:$GT$317))</f>
        <v>6</v>
      </c>
      <c r="CV63">
        <f>SUMPRODUCT(--('Данные 1st'!$S$2:$S$317=$A63),--ISNUMBER('Данные 1st'!$GU$2:$GU$317))</f>
        <v>6</v>
      </c>
      <c r="CW63">
        <f>SUMPRODUCT(--('Данные 1st'!$S$2:$S$317=$A63),--ISNUMBER('Данные 1st'!$GV$2:$GV$317))</f>
        <v>5</v>
      </c>
      <c r="CX63">
        <f>SUMPRODUCT(--('Данные 1st'!$S$2:$S$317=$A63),--ISNUMBER('Данные 1st'!$GW$2:$GW$317))</f>
        <v>5</v>
      </c>
      <c r="CY63">
        <f>SUMPRODUCT(--('Данные 1st'!$S$2:$S$317=$A63),--ISNUMBER('Данные 1st'!$GZ$2:$GZ$317))</f>
        <v>0</v>
      </c>
      <c r="CZ63">
        <f>SUMPRODUCT(--('Данные 1st'!$S$2:$S$317=$A63),--ISNUMBER('Данные 1st'!$HA$2:$HA$317))</f>
        <v>0</v>
      </c>
      <c r="DA63">
        <f>SUMPRODUCT(--('Данные 1st'!$S$2:$S$317=$A63),--ISNUMBER('Данные 1st'!$HB$2:$HB$317))</f>
        <v>0</v>
      </c>
      <c r="DB63">
        <f>SUMPRODUCT(--('Данные 1st'!$S$2:$S$317=$A63),--ISNUMBER('Данные 1st'!$HC$2:$HC$317))</f>
        <v>6</v>
      </c>
      <c r="DC63">
        <f>SUMPRODUCT(--('Данные 1st'!$S$2:$S$317=$A63),--ISNUMBER('Данные 1st'!$HD$2:$HD$317))</f>
        <v>6</v>
      </c>
      <c r="DD63">
        <f>SUMPRODUCT(--('Данные 1st'!$S$2:$S$317=$A63),--ISNUMBER('Данные 1st'!$HE$2:$HE$317))</f>
        <v>6</v>
      </c>
      <c r="DE63">
        <f>SUMPRODUCT(--('Данные 1st'!$S$2:$S$317=$A63),--ISNUMBER('Данные 1st'!$HF$2:$HF$317))</f>
        <v>6</v>
      </c>
      <c r="DF63">
        <f>SUMPRODUCT(--('Данные 1st'!$S$2:$S$317=$A63),--ISNUMBER('Данные 1st'!$HG$2:$HG$317))</f>
        <v>6</v>
      </c>
      <c r="DG63">
        <f>SUMPRODUCT(--('Данные 1st'!$S$2:$S$317=$A63),--ISNUMBER('Данные 1st'!$HH$2:$HH$317))</f>
        <v>6</v>
      </c>
      <c r="DH63">
        <f>SUMPRODUCT(--('Данные 1st'!$S$2:$S$317=$A63),--ISNUMBER('Данные 1st'!$HI$2:$HI$317))</f>
        <v>6</v>
      </c>
      <c r="DI63">
        <f>SUMPRODUCT(--('Данные 1st'!$S$2:$S$317=$A63),--ISNUMBER('Данные 1st'!$HJ$2:$HJ$317))</f>
        <v>6</v>
      </c>
      <c r="DJ63">
        <f>SUMPRODUCT(--('Данные 1st'!$S$2:$S$317=$A63),--ISNUMBER('Данные 1st'!$HK$2:$HK$317))</f>
        <v>6</v>
      </c>
      <c r="DK63">
        <f>SUMPRODUCT(--('Данные 1st'!$S$2:$S$317=$A63),--ISNUMBER('Данные 1st'!$HL$2:$HL$317))</f>
        <v>6</v>
      </c>
      <c r="DL63">
        <f>SUMPRODUCT(--('Данные 1st'!$S$2:$S$317=$A63),--ISNUMBER('Данные 1st'!$HM$2:$HM$317))</f>
        <v>6</v>
      </c>
      <c r="DM63">
        <f>SUMPRODUCT(--('Данные 1st'!$S$2:$S$317=$A63),--ISNUMBER('Данные 1st'!$HN$2:$HN$317))</f>
        <v>6</v>
      </c>
      <c r="DN63">
        <f>SUMPRODUCT(--('Данные 1st'!$S$2:$S$317=$A63),--ISNUMBER('Данные 1st'!$HO$2:$HO$317))</f>
        <v>6</v>
      </c>
      <c r="DO63">
        <f>SUMPRODUCT(--('Данные 1st'!$S$2:$S$317=$A63),--ISNUMBER('Данные 1st'!$HP$2:$HP$317))</f>
        <v>6</v>
      </c>
      <c r="DP63">
        <f>SUMPRODUCT(--('Данные 1st'!$S$2:$S$317=$A63),--ISNUMBER('Данные 1st'!$HQ$2:$HQ$317))</f>
        <v>6</v>
      </c>
      <c r="DQ63">
        <f>SUMPRODUCT(--('Данные 1st'!$S$2:$S$317=$A63),--ISNUMBER('Данные 1st'!$HR$2:$HR$317))</f>
        <v>6</v>
      </c>
      <c r="DR63">
        <f>SUMPRODUCT(--('Данные 1st'!$S$2:$S$317=$A63),--ISNUMBER('Данные 1st'!$HS$2:$HS$317))</f>
        <v>6</v>
      </c>
      <c r="DS63">
        <f>SUMPRODUCT(--('Данные 1st'!$S$2:$S$317=$A63),--ISNUMBER('Данные 1st'!$HT$2:$HT$317))</f>
        <v>6</v>
      </c>
      <c r="DT63">
        <f>SUMPRODUCT(--('Данные 1st'!$S$2:$S$317=$A63),--ISNUMBER('Данные 1st'!$HU$2:$HU$317))</f>
        <v>6</v>
      </c>
      <c r="DU63">
        <f>SUMPRODUCT(--('Данные 1st'!$S$2:$S$317=$A63),--ISNUMBER('Данные 1st'!$HW$2:$HW$317))</f>
        <v>6</v>
      </c>
      <c r="DV63">
        <f>SUMPRODUCT(--('Данные 1st'!$S$2:$S$317=$A63),--ISNUMBER('Данные 1st'!$HX$2:$HX$317))</f>
        <v>6</v>
      </c>
      <c r="DW63">
        <f>SUMPRODUCT(--('Данные 1st'!$S$2:$S$317=$A63),--ISNUMBER('Данные 1st'!$HY$2:$HY$317))</f>
        <v>6</v>
      </c>
      <c r="DX63">
        <f>SUMPRODUCT(--('Данные 1st'!$S$2:$S$317=$A63),--ISNUMBER('Данные 1st'!$IA$2:$IA$317))</f>
        <v>6</v>
      </c>
      <c r="DY63">
        <f>SUMPRODUCT(--('Данные 1st'!$S$2:$S$317=$A63),--ISNUMBER('Данные 1st'!$IB$2:$IB$317))</f>
        <v>6</v>
      </c>
      <c r="DZ63">
        <f>SUMPRODUCT(--('Данные 1st'!$S$2:$S$317=$A63),--ISNUMBER('Данные 1st'!$IC$2:$IC$317))</f>
        <v>6</v>
      </c>
      <c r="EA63">
        <f>SUMPRODUCT(--('Данные 1st'!$S$2:$S$317=$A63),--ISNUMBER('Данные 1st'!$ID$2:$ID$317))</f>
        <v>6</v>
      </c>
      <c r="EB63">
        <f>SUMPRODUCT(--('Данные 1st'!$S$2:$S$317=$A63),--ISNUMBER('Данные 1st'!$IE$2:$IE$317))</f>
        <v>6</v>
      </c>
      <c r="EC63">
        <f>SUMPRODUCT(--('Данные 1st'!$S$2:$S$317=$A63),--ISNUMBER('Данные 1st'!$IF$2:$IF$317))</f>
        <v>6</v>
      </c>
      <c r="ED63">
        <f>SUMPRODUCT(--('Данные 1st'!$S$2:$S$317=$A63),--ISNUMBER('Данные 1st'!$IP$2:$IP$317))</f>
        <v>6</v>
      </c>
      <c r="EE63">
        <f>SUMPRODUCT(--('Данные 1st'!$S$2:$S$317=$A63),--ISNUMBER('Данные 1st'!$IV$2:$IV$317))</f>
        <v>6</v>
      </c>
      <c r="EF63">
        <f>SUMPRODUCT(--('Данные 1st'!$S$2:$S$317=$A63),--ISNUMBER('Данные 1st'!$IW$2:$IW$317))</f>
        <v>6</v>
      </c>
      <c r="EG63">
        <f>SUMPRODUCT(--('Данные 1st'!$S$2:$S$317=$A63),--ISNUMBER('Данные 1st'!$IX$2:$IX$317))</f>
        <v>0</v>
      </c>
      <c r="EH63">
        <f>SUMPRODUCT(--('Данные 1st'!$S$2:$S$317=$A63),--ISNUMBER('Данные 1st'!$IY$2:$IY$317))</f>
        <v>0</v>
      </c>
      <c r="EI63">
        <f>SUMPRODUCT(--('Данные 1st'!$S$2:$S$317=$A63),--ISNUMBER('Данные 1st'!$JD$2:$JD$317))</f>
        <v>6</v>
      </c>
      <c r="EJ63">
        <f>SUMPRODUCT(--('Данные 1st'!$S$2:$S$317=$A63),--ISNUMBER('Данные 1st'!$JE$2:$JE$317))</f>
        <v>6</v>
      </c>
      <c r="EK63">
        <f>SUMPRODUCT(--('Данные 1st'!$S$2:$S$317=$A63),--ISNUMBER('Данные 1st'!$JF$2:$JF$317))</f>
        <v>6</v>
      </c>
      <c r="EL63">
        <f>SUMPRODUCT(--('Данные 1st'!$S$2:$S$317=$A63),--ISNUMBER('Данные 1st'!$JG$2:$JG$317))</f>
        <v>6</v>
      </c>
      <c r="EM63">
        <f>SUMPRODUCT(--('Данные 1st'!$S$2:$S$317=$A63),--ISNUMBER('Данные 1st'!$JH$2:$JH$317))</f>
        <v>6</v>
      </c>
      <c r="EN63">
        <f>SUMPRODUCT(--('Данные 1st'!$S$2:$S$317=$A63),--ISNUMBER('Данные 1st'!$JJ$2:$JJ$317))</f>
        <v>6</v>
      </c>
      <c r="EO63">
        <f>SUMPRODUCT(--('Данные 1st'!$S$2:$S$317=$A63),--ISNUMBER('Данные 1st'!$JK$2:$JK$317))</f>
        <v>6</v>
      </c>
      <c r="EP63">
        <f>SUMPRODUCT(--('Данные 1st'!$S$2:$S$317=$A63),--ISNUMBER('Данные 1st'!$JL$2:$JL$317))</f>
        <v>0</v>
      </c>
      <c r="EQ63">
        <f>SUMPRODUCT(--('Данные 1st'!$S$2:$S$317=$A63),--ISNUMBER('Данные 1st'!$JM$2:$JM$317))</f>
        <v>0</v>
      </c>
      <c r="ER63">
        <f>SUMPRODUCT(--('Данные 1st'!$S$2:$S$317=$A63),--ISNUMBER('Данные 1st'!$JN$2:$JN$317))</f>
        <v>6</v>
      </c>
      <c r="ES63">
        <f>SUMPRODUCT(--('Данные 1st'!$S$2:$S$317=$A63),--ISNUMBER('Данные 1st'!$JO$2:$JO$317))</f>
        <v>6</v>
      </c>
      <c r="ET63">
        <f>SUMPRODUCT(--('Данные 1st'!$S$2:$S$317=$A63),--ISNUMBER('Данные 1st'!$JP$2:$JP$317))</f>
        <v>6</v>
      </c>
      <c r="EU63">
        <f>SUMPRODUCT(--('Данные 1st'!$S$2:$S$317=$A63),--ISNUMBER('Данные 1st'!$JQ$2:$JQ$317))</f>
        <v>6</v>
      </c>
      <c r="EV63">
        <f>SUMPRODUCT(--('Данные 1st'!$S$2:$S$317=$A63),--ISNUMBER('Данные 1st'!$JR$2:$JR$317))</f>
        <v>6</v>
      </c>
      <c r="EW63">
        <f>SUMPRODUCT(--('Данные 1st'!$S$2:$S$317=$A63),--ISNUMBER('Данные 1st'!$JS$2:$JS$317))</f>
        <v>6</v>
      </c>
      <c r="EX63">
        <f>SUMPRODUCT(--('Данные 1st'!$S$2:$S$317=$A63),--ISNUMBER('Данные 1st'!$JT$2:$JT$317))</f>
        <v>0</v>
      </c>
      <c r="EY63">
        <f>SUMPRODUCT(--('Данные 1st'!$S$2:$S$317=$A63),--ISNUMBER('Данные 1st'!$JU$2:$JU$317))</f>
        <v>0</v>
      </c>
      <c r="EZ63">
        <f>SUMPRODUCT(--('Данные 1st'!$S$2:$S$317=$A63),--ISNUMBER('Данные 1st'!$JV$2:$JV$317))</f>
        <v>6</v>
      </c>
      <c r="FA63">
        <f>SUMPRODUCT(--('Данные 1st'!$S$2:$S$317=$A63),--ISNUMBER('Данные 1st'!$JW$2:$JW$317))</f>
        <v>0</v>
      </c>
      <c r="FB63">
        <f>SUMPRODUCT(--('Данные 1st'!$S$2:$S$317=$A63),--ISNUMBER('Данные 1st'!$JX$2:$JX$317))</f>
        <v>6</v>
      </c>
      <c r="FC63">
        <f>SUMPRODUCT(--('Данные 1st'!$S$2:$S$317=$A63),--ISNUMBER('Данные 1st'!$JY$2:$JY$317))</f>
        <v>0</v>
      </c>
      <c r="FD63">
        <f>SUMPRODUCT(--('Данные 1st'!$S$2:$S$317=$A63),--ISNUMBER('Данные 1st'!$JZ$2:$JZ$317))</f>
        <v>0</v>
      </c>
      <c r="FE63">
        <f>SUMPRODUCT(--('Данные 1st'!$S$2:$S$317=$A63),--ISNUMBER('Данные 1st'!$KA$2:$KA$317))</f>
        <v>6</v>
      </c>
      <c r="FF63">
        <f>SUMPRODUCT(--('Данные 1st'!$S$2:$S$317=$A63),--ISNUMBER('Данные 1st'!$KB$2:$KB$317))</f>
        <v>6</v>
      </c>
      <c r="FG63">
        <f>SUMPRODUCT(--('Данные 1st'!$S$2:$S$317=$A63),--ISNUMBER('Данные 1st'!$KC$2:$KC$317))</f>
        <v>6</v>
      </c>
      <c r="FH63">
        <f>SUMPRODUCT(--('Данные 1st'!$S$2:$S$317=$A63),--ISNUMBER('Данные 1st'!$KD$2:$KD$317))</f>
        <v>6</v>
      </c>
      <c r="FI63">
        <f>SUMPRODUCT(--('Данные 1st'!$S$2:$S$317=$A63),--ISNUMBER('Данные 1st'!$KE$2:$KE$317))</f>
        <v>0</v>
      </c>
      <c r="FJ63">
        <f>SUMPRODUCT(--('Данные 1st'!$S$2:$S$317=$A63),--ISNUMBER('Данные 1st'!$KF$2:$KF$317))</f>
        <v>6</v>
      </c>
      <c r="FK63">
        <f>SUMPRODUCT(--('Данные 1st'!$S$2:$S$317=$A63),--ISNUMBER('Данные 1st'!$KG$2:$KG$317))</f>
        <v>6</v>
      </c>
      <c r="FL63">
        <f>SUMPRODUCT(--('Данные 1st'!$S$2:$S$317=$A63),--ISNUMBER('Данные 1st'!$KH$2:$KH$317))</f>
        <v>6</v>
      </c>
      <c r="FM63">
        <f>SUMPRODUCT(--('Данные 1st'!$S$2:$S$317=$A63),--ISNUMBER('Данные 1st'!$KI$2:$KI$317))</f>
        <v>6</v>
      </c>
      <c r="FN63">
        <f>SUMPRODUCT(--('Данные 1st'!$S$2:$S$317=$A63),--ISNUMBER('Данные 1st'!$KJ$2:$KJ$317))</f>
        <v>6</v>
      </c>
      <c r="FO63">
        <f>SUMPRODUCT(--('Данные 1st'!$S$2:$S$317=$A63),--ISNUMBER('Данные 1st'!$KK$2:$KK$317))</f>
        <v>6</v>
      </c>
      <c r="FP63">
        <f>SUMPRODUCT(--('Данные 1st'!$S$2:$S$317=$A63),--ISNUMBER('Данные 1st'!$KL$2:$KL$317))</f>
        <v>6</v>
      </c>
      <c r="FQ63">
        <f>SUMPRODUCT(--('Данные 1st'!$S$2:$S$317=$A63),--ISNUMBER('Данные 1st'!$KM$2:$KM$317))</f>
        <v>6</v>
      </c>
      <c r="FR63">
        <f>SUMPRODUCT(--('Данные 1st'!$S$2:$S$317=$A63),--ISNUMBER('Данные 1st'!$KN$2:$KN$317))</f>
        <v>6</v>
      </c>
      <c r="FS63">
        <f>SUMPRODUCT(--('Данные 1st'!$S$2:$S$317=$A63),--ISNUMBER('Данные 1st'!$KR$2:$KR$317))</f>
        <v>6</v>
      </c>
      <c r="FT63">
        <f>SUMPRODUCT(--('Данные 1st'!$S$2:$S$317=$A63),--ISNUMBER('Данные 1st'!$KS$2:$KS$317))</f>
        <v>6</v>
      </c>
      <c r="FU63">
        <f>SUMPRODUCT(--('Данные 1st'!$S$2:$S$317=$A63),--ISNUMBER('Данные 1st'!$KT$2:$KT$317))</f>
        <v>6</v>
      </c>
      <c r="FV63">
        <f>SUMPRODUCT(--('Данные 1st'!$S$2:$S$317=$A63),--ISNUMBER('Данные 1st'!$KV$2:$KV$317))</f>
        <v>0</v>
      </c>
      <c r="FW63">
        <f>SUMPRODUCT(--('Данные 1st'!$S$2:$S$317=$A63),--ISNUMBER('Данные 1st'!$KW$2:$KW$317))</f>
        <v>0</v>
      </c>
      <c r="FX63">
        <f>SUMPRODUCT(--('Данные 1st'!$S$2:$S$317=$A63),--ISNUMBER('Данные 1st'!$KX$2:$KX$317))</f>
        <v>0</v>
      </c>
      <c r="FY63">
        <f>SUMPRODUCT(--('Данные 1st'!$S$2:$S$317=$A63),--ISNUMBER('Данные 1st'!$KY$2:$KY$317))</f>
        <v>0</v>
      </c>
      <c r="FZ63">
        <f>SUMPRODUCT(--('Данные 1st'!$S$2:$S$317=$A63),--ISNUMBER('Данные 1st'!$KZ$2:$KZ$317))</f>
        <v>0</v>
      </c>
      <c r="GA63">
        <f>SUMPRODUCT(--('Данные 1st'!$S$2:$S$317=$A63),--ISNUMBER('Данные 1st'!$LA$2:$LA$317))</f>
        <v>0</v>
      </c>
      <c r="GB63">
        <f>SUMPRODUCT(--('Данные 1st'!$S$2:$S$317=$A63),--ISNUMBER('Данные 1st'!$LB$2:$LB$317))</f>
        <v>0</v>
      </c>
      <c r="GC63">
        <f>SUMPRODUCT(--('Данные 1st'!$S$2:$S$317=$A63),--ISNUMBER('Данные 1st'!$LC$2:$LC$317))</f>
        <v>0</v>
      </c>
      <c r="GD63">
        <f>SUMPRODUCT(--('Данные 1st'!$S$2:$S$317=$A63),--ISNUMBER('Данные 1st'!$LD$2:$LD$317))</f>
        <v>0</v>
      </c>
      <c r="GE63">
        <f>SUMPRODUCT(--('Данные 1st'!$S$2:$S$317=$A63),--ISNUMBER('Данные 1st'!$LE$2:$LE$317))</f>
        <v>0</v>
      </c>
      <c r="GF63">
        <f>SUMPRODUCT(--('Данные 1st'!$S$2:$S$317=$A63),--ISNUMBER('Данные 1st'!$LF$2:$LF$317))</f>
        <v>0</v>
      </c>
      <c r="GG63">
        <f>SUMPRODUCT(--('Данные 1st'!$S$2:$S$317=$A63),--ISNUMBER('Данные 1st'!$LG$2:$LG$317))</f>
        <v>0</v>
      </c>
      <c r="GH63">
        <f>SUMPRODUCT(--('Данные 1st'!$S$2:$S$317=$A63),--ISNUMBER('Данные 1st'!$LH$2:$LH$317))</f>
        <v>0</v>
      </c>
      <c r="GI63">
        <f>SUMPRODUCT(--('Данные 1st'!$S$2:$S$317=$A63),--ISNUMBER('Данные 1st'!$LI$2:$LI$317))</f>
        <v>0</v>
      </c>
      <c r="GJ63">
        <f>SUMPRODUCT(--('Данные 1st'!$S$2:$S$317=$A63),--ISNUMBER('Данные 1st'!$LJ$2:$LJ$317))</f>
        <v>0</v>
      </c>
      <c r="GK63">
        <f>SUMPRODUCT(--('Данные 1st'!$S$2:$S$317=$A63),--ISNUMBER('Данные 1st'!$LK$2:$LK$317))</f>
        <v>6</v>
      </c>
      <c r="GL63">
        <f>SUMPRODUCT(--('Данные 1st'!$S$2:$S$317=$A63),--ISNUMBER('Данные 1st'!$LV$2:$LV$317))</f>
        <v>0</v>
      </c>
      <c r="GM63">
        <f>SUMPRODUCT(--('Данные 1st'!$S$2:$S$317=$A63),--ISNUMBER('Данные 1st'!$LW$2:$LW$317))</f>
        <v>0</v>
      </c>
      <c r="GN63">
        <f>SUMPRODUCT(--('Данные 1st'!$S$2:$S$317=$A63),--ISNUMBER('Данные 1st'!$LX$2:$LX$317))</f>
        <v>0</v>
      </c>
      <c r="GO63">
        <f>SUMPRODUCT(--('Данные 1st'!$S$2:$S$317=$A63),--ISNUMBER('Данные 1st'!$LY$2:$LY$317))</f>
        <v>0</v>
      </c>
      <c r="GP63">
        <f>SUMPRODUCT(--('Данные 1st'!$S$2:$S$317=$A63),--ISNUMBER('Данные 1st'!$LZ$2:$LZ$317))</f>
        <v>0</v>
      </c>
      <c r="GQ63">
        <f>SUMPRODUCT(--('Данные 1st'!$S$2:$S$317=$A63),--ISNUMBER('Данные 1st'!$PG$2:$PG$317))</f>
        <v>6</v>
      </c>
      <c r="GR63">
        <f>SUMPRODUCT(--('Данные 1st'!$S$2:$S$317=$A63),--ISNUMBER('Данные 1st'!$PX$2:$PX$317))</f>
        <v>6</v>
      </c>
      <c r="GS63">
        <f>SUMPRODUCT(--('Данные 1st'!$S$2:$S$317=$A63),--ISNUMBER('Данные 1st'!$PY$2:$PY$317))</f>
        <v>6</v>
      </c>
      <c r="GT63">
        <f>SUMPRODUCT(--('Данные 1st'!$S$2:$S$317=$A63),--ISNUMBER('Данные 1st'!$QA$2:$QA$317))</f>
        <v>6</v>
      </c>
      <c r="GU63">
        <f>SUMPRODUCT(--('Данные 1st'!$S$2:$S$317=$A63),--ISNUMBER('Данные 1st'!$QB$2:$QB$317))</f>
        <v>6</v>
      </c>
      <c r="GV63">
        <f>SUMPRODUCT(--('Данные 1st'!$S$2:$S$317=$A63),--ISNUMBER('Данные 1st'!$QC$2:$QC$317))</f>
        <v>6</v>
      </c>
      <c r="GW63">
        <f>SUMPRODUCT(--('Данные 1st'!$S$2:$S$317=$A63),--ISNUMBER('Данные 1st'!$QD$2:$QD$317))</f>
        <v>6</v>
      </c>
      <c r="GX63">
        <f>SUMPRODUCT(--('Данные 1st'!$S$2:$S$317=$A63),--ISNUMBER('Данные 1st'!$QF$2:$QF$317))</f>
        <v>6</v>
      </c>
      <c r="GY63">
        <f>SUMPRODUCT(--('Данные 1st'!$S$2:$S$317=$A63),--ISNUMBER('Данные 1st'!$QG$2:$QG$317))</f>
        <v>6</v>
      </c>
      <c r="GZ63">
        <f>SUMPRODUCT(--('Данные 1st'!$S$2:$S$317=$A63),--ISNUMBER('Данные 1st'!$QH$2:$QH$317))</f>
        <v>6</v>
      </c>
      <c r="HA63">
        <f>SUMPRODUCT(--('Данные 1st'!$S$2:$S$317=$A63),--ISNUMBER('Данные 1st'!$QI$2:$QI$317))</f>
        <v>6</v>
      </c>
      <c r="HB63">
        <f>SUMPRODUCT(--('Данные 1st'!$S$2:$S$317=$A63),--ISNUMBER('Данные 1st'!$QK$2:$QK$317))</f>
        <v>6</v>
      </c>
      <c r="HC63">
        <f>SUMPRODUCT(--('Данные 1st'!$S$2:$S$317=$A63),--ISNUMBER('Данные 1st'!$QL$2:$QL$317))</f>
        <v>6</v>
      </c>
      <c r="HD63">
        <f>SUMPRODUCT(--('Данные 1st'!$S$2:$S$317=$A63),--ISNUMBER('Данные 1st'!$QM$2:$QM$317))</f>
        <v>6</v>
      </c>
      <c r="HE63">
        <f>SUMPRODUCT(--('Данные 1st'!$S$2:$S$317=$A63),--ISNUMBER('Данные 1st'!$QN$2:$QN$317))</f>
        <v>6</v>
      </c>
      <c r="HF63">
        <f>SUMPRODUCT(--('Данные 1st'!$S$2:$S$317=$A63),--ISNUMBER('Данные 1st'!$QP$2:$QP$317))</f>
        <v>6</v>
      </c>
      <c r="HG63">
        <f>SUMPRODUCT(--('Данные 1st'!$S$2:$S$317=$A63),--ISNUMBER('Данные 1st'!$QQ$2:$QQ$317))</f>
        <v>6</v>
      </c>
      <c r="HH63">
        <f>SUMPRODUCT(--('Данные 1st'!$S$2:$S$317=$A63),--ISNUMBER('Данные 1st'!$QR$2:$QR$317))</f>
        <v>6</v>
      </c>
      <c r="HI63">
        <f>SUMPRODUCT(--('Данные 1st'!$S$2:$S$317=$A63),--ISNUMBER('Данные 1st'!$QS$2:$QS$317))</f>
        <v>6</v>
      </c>
      <c r="HJ63">
        <f>SUMPRODUCT(--('Данные 1st'!$S$2:$S$317=$A63),--ISNUMBER('Данные 1st'!$QU$2:$QU$317))</f>
        <v>6</v>
      </c>
      <c r="HK63">
        <f>SUMPRODUCT(--('Данные 1st'!$S$2:$S$317=$A63),--ISNUMBER('Данные 1st'!$QV$2:$QV$317))</f>
        <v>6</v>
      </c>
      <c r="HL63">
        <f>SUMPRODUCT(--('Данные 1st'!$S$2:$S$317=$A63),--ISNUMBER('Данные 1st'!$QW$2:$QW$317))</f>
        <v>6</v>
      </c>
      <c r="HM63">
        <f>SUMPRODUCT(--('Данные 1st'!$S$2:$S$317=$A63),--ISNUMBER('Данные 1st'!$QX$2:$QX$317))</f>
        <v>0</v>
      </c>
      <c r="HN63">
        <f>SUMPRODUCT(--('Данные 1st'!$S$2:$S$317=$A63),--ISNUMBER('Данные 1st'!$QZ$2:$QZ$317))</f>
        <v>6</v>
      </c>
      <c r="HO63">
        <f>SUMPRODUCT(--('Данные 1st'!$S$2:$S$317=$A63),--ISNUMBER('Данные 1st'!$RA$2:$RA$317))</f>
        <v>6</v>
      </c>
      <c r="HP63">
        <f>SUMPRODUCT(--('Данные 1st'!$S$2:$S$317=$A63),--ISNUMBER('Данные 1st'!$RB$2:$RB$317))</f>
        <v>6</v>
      </c>
      <c r="HQ63">
        <f>SUMPRODUCT(--('Данные 1st'!$S$2:$S$317=$A63),--ISNUMBER('Данные 1st'!$RD$2:$RD$317))</f>
        <v>0</v>
      </c>
      <c r="HR63">
        <f>SUMPRODUCT(--('Данные 1st'!$S$2:$S$317=$A63),--ISNUMBER('Данные 1st'!$RE$2:$RE$317))</f>
        <v>6</v>
      </c>
      <c r="HS63">
        <f>SUMPRODUCT(--('Данные 1st'!$S$2:$S$317=$A63),--ISNUMBER('Данные 1st'!$RF$2:$RF$317))</f>
        <v>6</v>
      </c>
      <c r="HT63">
        <f>SUMPRODUCT(--('Данные 1st'!$S$2:$S$317=$A63),--ISNUMBER('Данные 1st'!$RG$2:$RG$317))</f>
        <v>0</v>
      </c>
      <c r="HU63">
        <f>SUMPRODUCT(--('Данные 1st'!$S$2:$S$317=$A63),--ISNUMBER('Данные 1st'!$RH$2:$RH$317))</f>
        <v>6</v>
      </c>
      <c r="HV63">
        <f>SUMPRODUCT(--('Данные 1st'!$S$2:$S$317=$A63),--ISNUMBER('Данные 1st'!$RI$2:$RI$317))</f>
        <v>0</v>
      </c>
      <c r="HW63">
        <f>SUMPRODUCT(--('Данные 1st'!$S$2:$S$317=$A63),--ISNUMBER('Данные 1st'!$RJ$2:$RJ$317))</f>
        <v>6</v>
      </c>
      <c r="HX63">
        <f>SUMPRODUCT(--('Данные 1st'!$S$2:$S$317=$A63),--ISNUMBER('Данные 1st'!$RK$2:$RK$317))</f>
        <v>6</v>
      </c>
      <c r="HY63">
        <f>SUMPRODUCT(--('Данные 1st'!$S$2:$S$317=$A63),--ISNUMBER('Данные 1st'!$RL$2:$RL$317))</f>
        <v>6</v>
      </c>
      <c r="HZ63">
        <f>SUMPRODUCT(--('Данные 1st'!$S$2:$S$317=$A63),--ISNUMBER('Данные 1st'!$RM$2:$RM$317))</f>
        <v>6</v>
      </c>
      <c r="IA63">
        <f>SUMPRODUCT(--('Данные 1st'!$S$2:$S$317=$A63),--ISNUMBER('Данные 1st'!$RN$2:$RN$317))</f>
        <v>0</v>
      </c>
      <c r="IB63">
        <f>SUMPRODUCT(--('Данные 1st'!$S$2:$S$317=$A63),--ISNUMBER('Данные 1st'!$RO$2:$RO$317))</f>
        <v>6</v>
      </c>
      <c r="IC63">
        <f>SUMPRODUCT(--('Данные 1st'!$S$2:$S$317=$A63),--ISNUMBER('Данные 1st'!$RP$2:$RP$317))</f>
        <v>6</v>
      </c>
      <c r="ID63">
        <f>SUMPRODUCT(--('Данные 1st'!$S$2:$S$317=$A63),--ISNUMBER('Данные 1st'!$RQ$2:$RQ$317))</f>
        <v>6</v>
      </c>
      <c r="IE63">
        <f>SUMPRODUCT(--('Данные 1st'!$S$2:$S$317=$A63),--ISNUMBER('Данные 1st'!$RR$2:$RR$317))</f>
        <v>6</v>
      </c>
      <c r="IF63">
        <f>SUMPRODUCT(--('Данные 1st'!$S$2:$S$317=$A63),--ISNUMBER('Данные 1st'!$RS$2:$RS$317))</f>
        <v>0</v>
      </c>
      <c r="IG63">
        <f>SUMPRODUCT(--('Данные 1st'!$S$2:$S$317=$A63),--ISNUMBER('Данные 1st'!$RT$2:$RT$317))</f>
        <v>6</v>
      </c>
      <c r="IH63">
        <f>SUMPRODUCT(--('Данные 1st'!$S$2:$S$317=$A63),--ISNUMBER('Данные 1st'!$RU$2:$RU$317))</f>
        <v>6</v>
      </c>
      <c r="II63">
        <f>SUMPRODUCT(--('Данные 1st'!$S$2:$S$317=$A63),--ISNUMBER('Данные 1st'!$RX$2:$RX$317))</f>
        <v>6</v>
      </c>
      <c r="IJ63">
        <f>SUMPRODUCT(--('Данные 1st'!$S$2:$S$317=$A63),--ISNUMBER('Данные 1st'!$RY$2:$RY$317))</f>
        <v>6</v>
      </c>
      <c r="IK63">
        <f>SUMPRODUCT(--('Данные 1st'!$S$2:$S$317=$A63),--ISNUMBER('Данные 1st'!$SA$2:$SA$317))</f>
        <v>6</v>
      </c>
      <c r="IL63">
        <f>SUMPRODUCT(--('Данные 1st'!$S$2:$S$317=$A63),--ISNUMBER('Данные 1st'!$SD$2:$SD$317))</f>
        <v>6</v>
      </c>
      <c r="IM63">
        <f>SUMPRODUCT(--('Данные 1st'!$S$2:$S$317=$A63),--ISNUMBER('Данные 1st'!$SG$2:$SG$317))</f>
        <v>6</v>
      </c>
      <c r="IN63">
        <f>SUMPRODUCT(--('Данные 1st'!$S$2:$S$317=$A63),--ISNUMBER('Данные 1st'!$SH$2:$SH$317))</f>
        <v>6</v>
      </c>
      <c r="IO63">
        <f>SUMPRODUCT(--('Данные 1st'!$S$2:$S$317=$A63),--ISNUMBER('Данные 1st'!$SI$2:$SI$317))</f>
        <v>6</v>
      </c>
      <c r="IP63">
        <f>SUMPRODUCT(--('Данные 1st'!$S$2:$S$317=$A63),--ISNUMBER('Данные 1st'!$SJ$2:$SJ$317))</f>
        <v>6</v>
      </c>
      <c r="IQ63">
        <f>SUMPRODUCT(--('Данные 1st'!$S$2:$S$317=$A63),--ISNUMBER('Данные 1st'!$SK$2:$SK$317))</f>
        <v>6</v>
      </c>
      <c r="IR63">
        <f>SUMPRODUCT(--('Данные 1st'!$S$2:$S$317=$A63),--ISNUMBER('Данные 1st'!$SL$2:$SL$317))</f>
        <v>6</v>
      </c>
      <c r="IS63">
        <f>SUMPRODUCT(--('Данные 1st'!$S$2:$S$317=$A63),--ISNUMBER('Данные 1st'!$SM$2:$SM$317))</f>
        <v>6</v>
      </c>
      <c r="IT63">
        <f>SUMPRODUCT(--('Данные 1st'!$S$2:$S$317=$A63),--ISNUMBER('Данные 1st'!$SN$2:$SN$317))</f>
        <v>6</v>
      </c>
      <c r="IU63">
        <f>SUMPRODUCT(--('Данные 1st'!$S$2:$S$317=$A63),--ISNUMBER('Данные 1st'!$SO$2:$SO$317))</f>
        <v>6</v>
      </c>
      <c r="IV63">
        <f>SUMPRODUCT(--('Данные 1st'!$S$2:$S$317=$A63),--ISNUMBER('Данные 1st'!$SP$2:$SP$317))</f>
        <v>6</v>
      </c>
      <c r="IW63">
        <f>SUMPRODUCT(--('Данные 1st'!$S$2:$S$317=$A63),--ISNUMBER('Данные 1st'!$SQ$2:$SQ$317))</f>
        <v>6</v>
      </c>
      <c r="IX63">
        <f>SUMPRODUCT(--('Данные 1st'!$S$2:$S$317=$A63),--ISNUMBER('Данные 1st'!$SR$2:$SR$317))</f>
        <v>6</v>
      </c>
      <c r="IY63">
        <f>SUMPRODUCT(--('Данные 1st'!$S$2:$S$317=$A63),--ISNUMBER('Данные 1st'!$SS$2:$SS$317))</f>
        <v>6</v>
      </c>
      <c r="IZ63">
        <f>SUMPRODUCT(--('Данные 1st'!$S$2:$S$317=$A63),--ISNUMBER('Данные 1st'!$ST$2:$ST$317))</f>
        <v>6</v>
      </c>
      <c r="JA63">
        <f>SUMPRODUCT(--('Данные 1st'!$S$2:$S$317=$A63),--ISNUMBER('Данные 1st'!$SU$2:$SU$317))</f>
        <v>6</v>
      </c>
      <c r="JB63">
        <f>SUMPRODUCT(--('Данные 1st'!$S$2:$S$317=$A63),--ISNUMBER('Данные 1st'!$SV$2:$SV$317))</f>
        <v>6</v>
      </c>
      <c r="JC63">
        <f>SUMPRODUCT(--('Данные 1st'!$S$2:$S$317=$A63),--ISNUMBER('Данные 1st'!$SW$2:$SW$317))</f>
        <v>6</v>
      </c>
      <c r="JD63">
        <f>SUMPRODUCT(--('Данные 1st'!$S$2:$S$317=$A63),--ISNUMBER('Данные 1st'!$SX$2:$SX$317))</f>
        <v>6</v>
      </c>
      <c r="JE63">
        <f>SUMPRODUCT(--('Данные 1st'!$S$2:$S$317=$A63),--ISNUMBER('Данные 1st'!$SY$2:$SY$317))</f>
        <v>6</v>
      </c>
      <c r="JF63">
        <f>SUMPRODUCT(--('Данные 1st'!$S$2:$S$317=$A63),--ISNUMBER('Данные 1st'!$SZ$2:$SZ$317))</f>
        <v>6</v>
      </c>
      <c r="JG63">
        <f>SUMPRODUCT(--('Данные 1st'!$S$2:$S$317=$A63),--ISNUMBER('Данные 1st'!$TA$2:$TA$317))</f>
        <v>0</v>
      </c>
      <c r="JH63">
        <f>SUMPRODUCT(--('Данные 1st'!$S$2:$S$317=$A63),--ISNUMBER('Данные 1st'!$TB$2:$TB$317))</f>
        <v>6</v>
      </c>
      <c r="JI63">
        <f>SUMPRODUCT(--('Данные 1st'!$S$2:$S$317=$A63),--ISNUMBER('Данные 1st'!$TC$2:$TC$317))</f>
        <v>6</v>
      </c>
      <c r="JJ63">
        <f>SUMPRODUCT(--('Данные 1st'!$S$2:$S$317=$A63),--ISNUMBER('Данные 1st'!$TD$2:$TD$317))</f>
        <v>6</v>
      </c>
      <c r="JK63">
        <f>SUMPRODUCT(--('Данные 1st'!$S$2:$S$317=$A63),--ISNUMBER('Данные 1st'!$TN$2:$TN$317))</f>
        <v>6</v>
      </c>
      <c r="JQ63">
        <f>SUMPRODUCT(--('Данные 2st'!$Q$2:$Q$317=$A63),--ISNUMBER('Данные 2st'!$AC$2:$AC$317))</f>
        <v>6</v>
      </c>
      <c r="JR63">
        <f>SUMPRODUCT(--('Данные 2st'!$Q$2:$Q$317=$A63),--ISNUMBER('Данные 2st'!$AF$2:$AF$317))</f>
        <v>6</v>
      </c>
      <c r="JS63">
        <f>SUMPRODUCT(--('Данные 2st'!$Q$2:$Q$317=$A63),--ISNUMBER('Данные 2st'!$AW$2:$AW$317))</f>
        <v>6</v>
      </c>
      <c r="JT63">
        <f>SUMPRODUCT(--('Данные 2st'!$Q$2:$Q$317=$A63),--ISNUMBER('Данные 2st'!$AX$2:$AX$317))</f>
        <v>6</v>
      </c>
      <c r="JU63">
        <f>SUMPRODUCT(--('Данные 2st'!$Q$2:$Q$317=$A63),--ISNUMBER('Данные 2st'!$AY$2:$AY$317))</f>
        <v>6</v>
      </c>
      <c r="JV63">
        <f>SUMPRODUCT(--('Данные 2st'!$Q$2:$Q$317=$A63),--ISNUMBER('Данные 2st'!$AZ$2:$AZ$317))</f>
        <v>6</v>
      </c>
      <c r="JW63">
        <f>SUMPRODUCT(--('Данные 2st'!$Q$2:$Q$317=$A63),--ISNUMBER('Данные 2st'!$BA$2:$BA$317))</f>
        <v>0</v>
      </c>
      <c r="JX63">
        <f>SUMPRODUCT(--('Данные 2st'!$Q$2:$Q$317=$A63),--ISNUMBER('Данные 2st'!$BB$2:$BB$317))</f>
        <v>0</v>
      </c>
      <c r="JY63">
        <f>SUMPRODUCT(--('Данные 2st'!$Q$2:$Q$317=$A63),--ISNUMBER('Данные 2st'!$BC$2:$BC$317))</f>
        <v>0</v>
      </c>
      <c r="JZ63">
        <f>SUMPRODUCT(--('Данные 2st'!$Q$2:$Q$317=$A63),--ISNUMBER('Данные 2st'!$BH$2:$BH$317))</f>
        <v>6</v>
      </c>
      <c r="KA63">
        <f>SUMPRODUCT(--('Данные 2st'!$Q$2:$Q$317=$A63),--ISNUMBER('Данные 2st'!$BI$2:$BI$317))</f>
        <v>6</v>
      </c>
      <c r="KB63">
        <f>SUMPRODUCT(--('Данные 2st'!$Q$2:$Q$317=$A63),--ISNUMBER('Данные 2st'!$BJ$2:$BJ$317))</f>
        <v>6</v>
      </c>
      <c r="KC63">
        <f>SUMPRODUCT(--('Данные 2st'!$Q$2:$Q$317=$A63),--ISNUMBER('Данные 2st'!$BK$2:$BK$317))</f>
        <v>6</v>
      </c>
      <c r="KD63">
        <f>SUMPRODUCT(--('Данные 2st'!$Q$2:$Q$317=$A63),--ISNUMBER('Данные 2st'!$BL$2:$BL$317))</f>
        <v>6</v>
      </c>
      <c r="KE63">
        <f>SUMPRODUCT(--('Данные 2st'!$Q$2:$Q$317=$A63),--ISNUMBER('Данные 2st'!$BM$2:$BM$317))</f>
        <v>6</v>
      </c>
      <c r="KF63">
        <f>SUMPRODUCT(--('Данные 2st'!$Q$2:$Q$317=$A63),--ISNUMBER('Данные 2st'!$BN$2:$BN$317))</f>
        <v>6</v>
      </c>
      <c r="KG63">
        <f>SUMPRODUCT(--('Данные 2st'!$Q$2:$Q$317=$A63),--ISNUMBER('Данные 2st'!$BO$2:$BO$317))</f>
        <v>2</v>
      </c>
      <c r="KH63">
        <f>SUMPRODUCT(--('Данные 2st'!$Q$2:$Q$317=$A63),--ISNUMBER('Данные 2st'!$BP$2:$BP$317))</f>
        <v>6</v>
      </c>
      <c r="KI63">
        <f>SUMPRODUCT(--('Данные 2st'!$Q$2:$Q$317=$A63),--ISNUMBER('Данные 2st'!$BR$2:$BR$317))</f>
        <v>6</v>
      </c>
      <c r="KJ63">
        <f>SUMPRODUCT(--('Данные 2st'!$Q$2:$Q$317=$A63),--ISNUMBER('Данные 2st'!$BS$2:$BS$317))</f>
        <v>6</v>
      </c>
      <c r="KK63">
        <f>SUMPRODUCT(--('Данные 2st'!$Q$2:$Q$317=$A63),--ISNUMBER('Данные 2st'!$BT$2:$BT$317))</f>
        <v>6</v>
      </c>
      <c r="KL63">
        <f>SUMPRODUCT(--('Данные 2st'!$Q$2:$Q$317=$A63),--ISNUMBER('Данные 2st'!$CV$2:$CV$317))</f>
        <v>6</v>
      </c>
      <c r="KM63">
        <f>SUMPRODUCT(--('Данные 2st'!$Q$2:$Q$317=$A63),--ISNUMBER('Данные 2st'!$CW$2:$CW$317))</f>
        <v>6</v>
      </c>
      <c r="KN63">
        <f>SUMPRODUCT(--('Данные 2st'!$Q$2:$Q$317=$A63),--ISNUMBER('Данные 2st'!$CX$2:$CX$317))</f>
        <v>6</v>
      </c>
      <c r="KO63">
        <f>SUMPRODUCT(--('Данные 2st'!$Q$2:$Q$317=$A63),--ISNUMBER('Данные 2st'!$CY$2:$CY$317))</f>
        <v>6</v>
      </c>
      <c r="KP63">
        <f>SUMPRODUCT(--('Данные 2st'!$Q$2:$Q$317=$A63),--ISNUMBER('Данные 2st'!$CZ$2:$CZ$317))</f>
        <v>6</v>
      </c>
      <c r="KQ63">
        <f>SUMPRODUCT(--('Данные 2st'!$Q$2:$Q$317=$A63),--ISNUMBER('Данные 2st'!$DA$2:$DA$317))</f>
        <v>6</v>
      </c>
      <c r="KR63">
        <f>SUMPRODUCT(--('Данные 2st'!$Q$2:$Q$317=$A63),--ISNUMBER('Данные 2st'!$DB$2:$DB$317))</f>
        <v>6</v>
      </c>
      <c r="KS63">
        <f>SUMPRODUCT(--('Данные 2st'!$Q$2:$Q$317=$A63),--ISNUMBER('Данные 2st'!$DC$2:$DC$317))</f>
        <v>6</v>
      </c>
      <c r="KT63">
        <f>SUMPRODUCT(--('Данные 2st'!$Q$2:$Q$317=$A63),--ISNUMBER('Данные 2st'!$DD$2:$DD$317))</f>
        <v>6</v>
      </c>
      <c r="KU63">
        <f>SUMPRODUCT(--('Данные 2st'!$Q$2:$Q$317=$A63),--ISNUMBER('Данные 2st'!$DE$2:$DE$317))</f>
        <v>6</v>
      </c>
      <c r="KV63">
        <f>SUMPRODUCT(--('Данные 2st'!$Q$2:$Q$317=$A63),--ISNUMBER('Данные 2st'!$DF$2:$DF$317))</f>
        <v>6</v>
      </c>
      <c r="KW63">
        <f>SUMPRODUCT(--('Данные 2st'!$Q$2:$Q$317=$A63),--ISNUMBER('Данные 2st'!$DG$2:$DG$317))</f>
        <v>6</v>
      </c>
      <c r="KX63">
        <f>SUMPRODUCT(--('Данные 2st'!$Q$2:$Q$317=$A63),--ISNUMBER('Данные 2st'!$DH$2:$DH$317))</f>
        <v>6</v>
      </c>
      <c r="KY63">
        <f>SUMPRODUCT(--('Данные 2st'!$Q$2:$Q$317=$A63),--ISNUMBER('Данные 2st'!$DI$2:$DI$317))</f>
        <v>0</v>
      </c>
      <c r="KZ63">
        <f>SUMPRODUCT(--('Данные 2st'!$Q$2:$Q$317=$A63),--ISNUMBER('Данные 2st'!$DK$2:$DK$317))</f>
        <v>6</v>
      </c>
      <c r="LA63">
        <f>SUMPRODUCT(--('Данные 2st'!$Q$2:$Q$317=$A63),--ISNUMBER('Данные 2st'!$DM$2:$DM$317))</f>
        <v>6</v>
      </c>
      <c r="LB63">
        <f>SUMPRODUCT(--('Данные 2st'!$Q$2:$Q$317=$A63),--ISNUMBER('Данные 2st'!$DN$2:$DN$317))</f>
        <v>6</v>
      </c>
      <c r="LC63">
        <f>SUMPRODUCT(--('Данные 2st'!$Q$2:$Q$317=$A63),--ISNUMBER('Данные 2st'!$DO$2:$DO$317))</f>
        <v>6</v>
      </c>
      <c r="LD63">
        <f>SUMPRODUCT(--('Данные 2st'!$Q$2:$Q$317=$A63),--ISNUMBER('Данные 2st'!$DP$2:$DP$317))</f>
        <v>6</v>
      </c>
      <c r="LE63">
        <f>SUMPRODUCT(--('Данные 2st'!$Q$2:$Q$317=$A63),--ISNUMBER('Данные 2st'!$DQ$2:$DQ$317))</f>
        <v>6</v>
      </c>
      <c r="LF63">
        <f>SUMPRODUCT(--('Данные 2st'!$Q$2:$Q$317=$A63),--ISNUMBER('Данные 2st'!$DS$2:$DS$317))</f>
        <v>6</v>
      </c>
      <c r="LG63">
        <f>SUMPRODUCT(--('Данные 2st'!$Q$2:$Q$317=$A63),--ISNUMBER('Данные 2st'!$DU$2:$DU$317))</f>
        <v>6</v>
      </c>
      <c r="LH63">
        <f>SUMPRODUCT(--('Данные 2st'!$Q$2:$Q$317=$A63),--ISNUMBER('Данные 2st'!$DV$2:$DV$317))</f>
        <v>6</v>
      </c>
      <c r="LI63">
        <f>SUMPRODUCT(--('Данные 2st'!$Q$2:$Q$317=$A63),--ISNUMBER('Данные 2st'!$DW$2:$DW$317))</f>
        <v>6</v>
      </c>
      <c r="LJ63">
        <f>SUMPRODUCT(--('Данные 2st'!$Q$2:$Q$317=$A63),--ISNUMBER('Данные 2st'!$DX$2:$DX$317))</f>
        <v>6</v>
      </c>
      <c r="LK63">
        <f>SUMPRODUCT(--('Данные 2st'!$Q$2:$Q$317=$A63),--ISNUMBER('Данные 2st'!$DY$2:$DY$317))</f>
        <v>6</v>
      </c>
      <c r="LL63">
        <f>SUMPRODUCT(--('Данные 2st'!$Q$2:$Q$317=$A63),--ISNUMBER('Данные 2st'!$EA$2:$EA$317))</f>
        <v>6</v>
      </c>
      <c r="LM63">
        <f>SUMPRODUCT(--('Данные 2st'!$Q$2:$Q$317=$A63),--ISNUMBER('Данные 2st'!$EC$2:$EC$317))</f>
        <v>6</v>
      </c>
      <c r="LN63">
        <f>SUMPRODUCT(--('Данные 2st'!$Q$2:$Q$317=$A63),--ISNUMBER('Данные 2st'!$ED$2:$ED$317))</f>
        <v>6</v>
      </c>
      <c r="LO63">
        <f>SUMPRODUCT(--('Данные 2st'!$Q$2:$Q$317=$A63),--ISNUMBER('Данные 2st'!$EE$2:$EE$317))</f>
        <v>6</v>
      </c>
      <c r="LP63">
        <f>SUMPRODUCT(--('Данные 2st'!$Q$2:$Q$317=$A63),--ISNUMBER('Данные 2st'!$EG$2:$EG$317))</f>
        <v>6</v>
      </c>
      <c r="LQ63">
        <f>SUMPRODUCT(--('Данные 2st'!$Q$2:$Q$317=$A63),--ISNUMBER('Данные 2st'!$EI$2:$EI$317))</f>
        <v>6</v>
      </c>
      <c r="LR63">
        <f>SUMPRODUCT(--('Данные 2st'!$Q$2:$Q$317=$A63),--ISNUMBER('Данные 2st'!$EJ$2:$EJ$317))</f>
        <v>0</v>
      </c>
      <c r="LS63">
        <f>SUMPRODUCT(--('Данные 2st'!$Q$2:$Q$317=$A63),--ISNUMBER('Данные 2st'!$EK$2:$EK$317))</f>
        <v>0</v>
      </c>
      <c r="LT63">
        <f>SUMPRODUCT(--('Данные 2st'!$Q$2:$Q$317=$A63),--ISNUMBER('Данные 2st'!$EM$2:$EM$317))</f>
        <v>6</v>
      </c>
      <c r="LU63">
        <f>SUMPRODUCT(--('Данные 2st'!$Q$2:$Q$317=$A63),--ISNUMBER('Данные 2st'!$EN$2:$EN$317))</f>
        <v>6</v>
      </c>
      <c r="LV63">
        <f>SUMPRODUCT(--('Данные 2st'!$Q$2:$Q$317=$A63),--ISNUMBER('Данные 2st'!$EO$2:$EO$317))</f>
        <v>6</v>
      </c>
      <c r="LW63">
        <f>SUMPRODUCT(--('Данные 2st'!$Q$2:$Q$317=$A63),--ISNUMBER('Данные 2st'!$EP$2:$EP$317))</f>
        <v>6</v>
      </c>
      <c r="LX63">
        <f>SUMPRODUCT(--('Данные 2st'!$Q$2:$Q$317=$A63),--ISNUMBER('Данные 2st'!$EQ$2:$EQ$317))</f>
        <v>6</v>
      </c>
      <c r="LY63">
        <f>SUMPRODUCT(--('Данные 2st'!$Q$2:$Q$317=$A63),--ISNUMBER('Данные 2st'!$ER$2:$ER$317))</f>
        <v>6</v>
      </c>
      <c r="LZ63">
        <f>SUMPRODUCT(--('Данные 2st'!$Q$2:$Q$317=$A63),--ISNUMBER('Данные 2st'!$ES$2:$ES$317))</f>
        <v>6</v>
      </c>
      <c r="MA63">
        <f>SUMPRODUCT(--('Данные 2st'!$Q$2:$Q$317=$A63),--ISNUMBER('Данные 2st'!$ET$2:$ET$317))</f>
        <v>6</v>
      </c>
      <c r="MB63">
        <f>SUMPRODUCT(--('Данные 2st'!$Q$2:$Q$317=$A63),--ISNUMBER('Данные 2st'!$EU$2:$EU$317))</f>
        <v>6</v>
      </c>
      <c r="MC63">
        <f>SUMPRODUCT(--('Данные 2st'!$Q$2:$Q$317=$A63),--ISNUMBER('Данные 2st'!$EV$2:$EV$317))</f>
        <v>6</v>
      </c>
      <c r="MD63">
        <f>SUMPRODUCT(--('Данные 2st'!$Q$2:$Q$317=$A63),--ISNUMBER('Данные 2st'!$EW$2:$EW$317))</f>
        <v>6</v>
      </c>
      <c r="ME63">
        <f>SUMPRODUCT(--('Данные 2st'!$Q$2:$Q$317=$A63),--ISNUMBER('Данные 2st'!$EY$2:$EY$317))</f>
        <v>6</v>
      </c>
      <c r="MF63">
        <f>SUMPRODUCT(--('Данные 2st'!$Q$2:$Q$317=$A63),--ISNUMBER('Данные 2st'!$FA$2:$FA$317))</f>
        <v>6</v>
      </c>
      <c r="MG63">
        <f>SUMPRODUCT(--('Данные 2st'!$Q$2:$Q$317=$A63),--ISNUMBER('Данные 2st'!$FB$2:$FB$317))</f>
        <v>6</v>
      </c>
      <c r="MH63">
        <f>SUMPRODUCT(--('Данные 2st'!$Q$2:$Q$317=$A63),--ISNUMBER('Данные 2st'!$FC$2:$FC$317))</f>
        <v>6</v>
      </c>
      <c r="MI63">
        <f>SUMPRODUCT(--('Данные 2st'!$Q$2:$Q$317=$A63),--ISNUMBER('Данные 2st'!$FD$2:$FD$317))</f>
        <v>6</v>
      </c>
      <c r="MJ63">
        <f>SUMPRODUCT(--('Данные 2st'!$Q$2:$Q$317=$A63),--ISNUMBER('Данные 2st'!$FE$2:$FE$317))</f>
        <v>6</v>
      </c>
      <c r="MK63">
        <f>SUMPRODUCT(--('Данные 2st'!$Q$2:$Q$317=$A63),--ISNUMBER('Данные 2st'!$FG$2:$FG$317))</f>
        <v>6</v>
      </c>
      <c r="ML63">
        <f>SUMPRODUCT(--('Данные 2st'!$Q$2:$Q$317=$A63),--ISNUMBER('Данные 2st'!$FI$2:$FI$317))</f>
        <v>6</v>
      </c>
      <c r="MM63">
        <f>SUMPRODUCT(--('Данные 2st'!$Q$2:$Q$317=$A63),--ISNUMBER('Данные 2st'!$FJ$2:$FJ$317))</f>
        <v>6</v>
      </c>
      <c r="MN63">
        <f>SUMPRODUCT(--('Данные 2st'!$Q$2:$Q$317=$A63),--ISNUMBER('Данные 2st'!$FK$2:$FK$317))</f>
        <v>6</v>
      </c>
      <c r="MO63">
        <f>SUMPRODUCT(--('Данные 2st'!$Q$2:$Q$317=$A63),--ISNUMBER('Данные 2st'!$FP$2:$FP$317))</f>
        <v>6</v>
      </c>
      <c r="MP63">
        <f>SUMPRODUCT(--('Данные 2st'!$Q$2:$Q$317=$A63),--ISNUMBER('Данные 2st'!$FQ$2:$FQ$317))</f>
        <v>6</v>
      </c>
      <c r="MQ63">
        <f>SUMPRODUCT(--('Данные 2st'!$Q$2:$Q$317=$A63),--ISNUMBER('Данные 2st'!$FS$2:$FS$317))</f>
        <v>6</v>
      </c>
      <c r="MR63">
        <f>SUMPRODUCT(--('Данные 2st'!$Q$2:$Q$317=$A63),--ISNUMBER('Данные 2st'!$FU$2:$FU$317))</f>
        <v>6</v>
      </c>
      <c r="MS63">
        <f>SUMPRODUCT(--('Данные 2st'!$Q$2:$Q$317=$A63),--ISNUMBER('Данные 2st'!$FV$2:$FV$317))</f>
        <v>6</v>
      </c>
      <c r="MT63">
        <f>SUMPRODUCT(--('Данные 2st'!$Q$2:$Q$317=$A63),--ISNUMBER('Данные 2st'!$FW$2:$FW$317))</f>
        <v>6</v>
      </c>
      <c r="MU63">
        <f>SUMPRODUCT(--('Данные 2st'!$Q$2:$Q$317=$A63),--ISNUMBER('Данные 2st'!$FY$2:$FY$317))</f>
        <v>6</v>
      </c>
      <c r="MV63">
        <f>SUMPRODUCT(--('Данные 2st'!$Q$2:$Q$317=$A63),--ISNUMBER('Данные 2st'!$GB$2:$GB$317))</f>
        <v>6</v>
      </c>
      <c r="MW63">
        <f>SUMPRODUCT(--('Данные 2st'!$Q$2:$Q$317=$A63),--ISNUMBER('Данные 2st'!$GC$2:$GC$317))</f>
        <v>6</v>
      </c>
      <c r="MX63">
        <f>SUMPRODUCT(--('Данные 2st'!$Q$2:$Q$317=$A63),--ISNUMBER('Данные 2st'!$GD$2:$GD$317))</f>
        <v>6</v>
      </c>
      <c r="MY63">
        <f>SUMPRODUCT(--('Данные 2st'!$Q$2:$Q$317=$A63),--ISNUMBER('Данные 2st'!$GN$2:$GN$317))</f>
        <v>0</v>
      </c>
      <c r="MZ63">
        <f>SUMPRODUCT(--('Данные 2st'!$Q$2:$Q$317=$A63),--ISNUMBER('Данные 2st'!$GQ$2:$GQ$317))</f>
        <v>6</v>
      </c>
      <c r="NA63">
        <f>SUMPRODUCT(--('Данные 2st'!$Q$2:$Q$317=$A63),--ISNUMBER('Данные 2st'!$GV$2:$GV$317))</f>
        <v>6</v>
      </c>
      <c r="NB63">
        <f>SUMPRODUCT(--('Данные 2st'!$Q$2:$Q$317=$A63),--ISNUMBER('Данные 2st'!$GW$2:$GW$317))</f>
        <v>6</v>
      </c>
      <c r="NC63">
        <f>SUMPRODUCT(--('Данные 2st'!$Q$2:$Q$317=$A63),--ISNUMBER('Данные 2st'!$GX$2:$GX$317))</f>
        <v>6</v>
      </c>
      <c r="ND63">
        <f>SUMPRODUCT(--('Данные 2st'!$Q$2:$Q$317=$A63),--ISNUMBER('Данные 2st'!$GY$2:$GY$317))</f>
        <v>6</v>
      </c>
      <c r="NE63">
        <f>SUMPRODUCT(--('Данные 2st'!$Q$2:$Q$317=$A63),--ISNUMBER('Данные 2st'!$GZ$2:$GZ$317))</f>
        <v>6</v>
      </c>
      <c r="NF63">
        <f>SUMPRODUCT(--('Данные 2st'!$Q$2:$Q$317=$A63),--ISNUMBER('Данные 2st'!$HA$2:$HA$317))</f>
        <v>6</v>
      </c>
      <c r="NG63">
        <f>SUMPRODUCT(--('Данные 2st'!$Q$2:$Q$317=$A63),--ISNUMBER('Данные 2st'!$HB$2:$HB$317))</f>
        <v>6</v>
      </c>
      <c r="NH63">
        <f>SUMPRODUCT(--('Данные 2st'!$Q$2:$Q$317=$A63),--ISNUMBER('Данные 2st'!$HC$2:$HC$317))</f>
        <v>6</v>
      </c>
      <c r="NI63">
        <f>SUMPRODUCT(--('Данные 2st'!$Q$2:$Q$317=$A63),--ISNUMBER('Данные 2st'!$HD$2:$HD$317))</f>
        <v>6</v>
      </c>
      <c r="NJ63">
        <f>SUMPRODUCT(--('Данные 2st'!$Q$2:$Q$317=$A63),--ISNUMBER('Данные 2st'!$HM$2:$HM$317))</f>
        <v>6</v>
      </c>
      <c r="NK63">
        <f>SUMPRODUCT(--('Данные 2st'!$Q$2:$Q$317=$A63),--ISNUMBER('Данные 2st'!$HR$2:$HR$317))</f>
        <v>6</v>
      </c>
      <c r="NL63">
        <f>SUMPRODUCT(--('Данные 2st'!$Q$2:$Q$317=$A63),--ISNUMBER('Данные 2st'!$HS$2:$HS$317))</f>
        <v>6</v>
      </c>
      <c r="NM63">
        <f>SUMPRODUCT(--('Данные 2st'!$Q$2:$Q$317=$A63),--ISNUMBER('Данные 2st'!$HT$2:$HT$317))</f>
        <v>6</v>
      </c>
      <c r="NN63">
        <f>SUMPRODUCT(--('Данные 2st'!$Q$2:$Q$317=$A63),--ISNUMBER('Данные 2st'!$HY$2:$HY$317))</f>
        <v>6</v>
      </c>
      <c r="NO63">
        <f>SUMPRODUCT(--('Данные 2st'!$Q$2:$Q$317=$A63),--ISNUMBER('Данные 2st'!$HZ$2:$HZ$317))</f>
        <v>6</v>
      </c>
      <c r="NP63">
        <f>SUMPRODUCT(--('Данные 2st'!$Q$2:$Q$317=$A63),--ISNUMBER('Данные 2st'!$IA$2:$IA$317))</f>
        <v>6</v>
      </c>
      <c r="NQ63">
        <f>SUMPRODUCT(--('Данные 2st'!$Q$2:$Q$317=$A63),--ISNUMBER('Данные 2st'!$IB$2:$IB$317))</f>
        <v>6</v>
      </c>
      <c r="NR63">
        <f>SUMPRODUCT(--('Данные 2st'!$Q$2:$Q$317=$A63),--ISNUMBER('Данные 2st'!$IC$2:$IC$317))</f>
        <v>0</v>
      </c>
      <c r="NS63">
        <f>SUMPRODUCT(--('Данные 2st'!$Q$2:$Q$317=$A63),--ISNUMBER('Данные 2st'!$ID$2:$ID$317))</f>
        <v>6</v>
      </c>
      <c r="NT63">
        <f>SUMPRODUCT(--('Данные 2st'!$Q$2:$Q$317=$A63),--ISNUMBER('Данные 2st'!$IE$2:$IE$317))</f>
        <v>6</v>
      </c>
      <c r="NU63">
        <f>SUMPRODUCT(--('Данные 2st'!$Q$2:$Q$317=$A63),--ISNUMBER('Данные 2st'!$IF$2:$IF$317))</f>
        <v>6</v>
      </c>
      <c r="NV63">
        <f>SUMPRODUCT(--('Данные 2st'!$Q$2:$Q$317=$A63),--ISNUMBER('Данные 2st'!$IG$2:$IG$317))</f>
        <v>6</v>
      </c>
      <c r="NW63">
        <f>SUMPRODUCT(--('Данные 2st'!$Q$2:$Q$317=$A63),--ISNUMBER('Данные 2st'!$IH$2:$IH$317))</f>
        <v>6</v>
      </c>
      <c r="NX63">
        <f>SUMPRODUCT(--('Данные 2st'!$Q$2:$Q$317=$A63),--ISNUMBER('Данные 2st'!$IJ$2:$IJ$317))</f>
        <v>6</v>
      </c>
      <c r="NY63">
        <f>SUMPRODUCT(--('Данные 2st'!$Q$2:$Q$317=$A63),--ISNUMBER('Данные 2st'!$IM$2:$IM$317))</f>
        <v>6</v>
      </c>
      <c r="NZ63">
        <f>SUMPRODUCT(--('Данные 2st'!$Q$2:$Q$317=$A63),--ISNUMBER('Данные 2st'!$IN$2:$IN$317))</f>
        <v>6</v>
      </c>
      <c r="OA63">
        <f>SUMPRODUCT(--('Данные 2st'!$Q$2:$Q$317=$A63),--ISNUMBER('Данные 2st'!$IO$2:$IO$317))</f>
        <v>6</v>
      </c>
      <c r="OB63">
        <f>SUMPRODUCT(--('Данные 2st'!$Q$2:$Q$317=$A63),--ISNUMBER('Данные 2st'!$IP$2:$IP$317))</f>
        <v>6</v>
      </c>
      <c r="OC63">
        <f>SUMPRODUCT(--('Данные 2st'!$Q$2:$Q$317=$A63),--ISNUMBER('Данные 2st'!$IQ$2:$IQ$317))</f>
        <v>6</v>
      </c>
      <c r="OD63">
        <f>SUMPRODUCT(--('Данные 2st'!$Q$2:$Q$317=$A63),--ISNUMBER('Данные 2st'!$IR$2:$IR$317))</f>
        <v>6</v>
      </c>
      <c r="OE63">
        <f>SUMPRODUCT(--('Данные 2st'!$Q$2:$Q$317=$A63),--ISNUMBER('Данные 2st'!$IT$2:$IT$317))</f>
        <v>6</v>
      </c>
      <c r="OF63">
        <f>SUMPRODUCT(--('Данные 2st'!$Q$2:$Q$317=$A63),--ISNUMBER('Данные 2st'!$IU$2:$IU$317))</f>
        <v>6</v>
      </c>
      <c r="OG63">
        <f>SUMPRODUCT(--('Данные 2st'!$Q$2:$Q$317=$A63),--ISNUMBER('Данные 2st'!$IV$2:$IV$317))</f>
        <v>6</v>
      </c>
      <c r="OH63">
        <f>SUMPRODUCT(--('Данные 2st'!$Q$2:$Q$317=$A63),--ISNUMBER('Данные 2st'!$IW$2:$IW$317))</f>
        <v>6</v>
      </c>
      <c r="OI63">
        <f>SUMPRODUCT(--('Данные 2st'!$Q$2:$Q$317=$A63),--ISNUMBER('Данные 2st'!$IX$2:$IX$317))</f>
        <v>6</v>
      </c>
      <c r="OJ63">
        <f>SUMPRODUCT(--('Данные 2st'!$Q$2:$Q$317=$A63),--ISNUMBER('Данные 2st'!$IY$2:$IY$317))</f>
        <v>6</v>
      </c>
      <c r="OK63">
        <f>SUMPRODUCT(--('Данные 2st'!$Q$2:$Q$317=$A63),--ISNUMBER('Данные 2st'!$IZ$2:$IZ$317))</f>
        <v>6</v>
      </c>
      <c r="OL63">
        <f>SUMPRODUCT(--('Данные 2st'!$Q$2:$Q$317=$A63),--ISNUMBER('Данные 2st'!$JA$2:$JA$317))</f>
        <v>6</v>
      </c>
      <c r="OM63">
        <f>SUMPRODUCT(--('Данные 2st'!$Q$2:$Q$317=$A63),--ISNUMBER('Данные 2st'!$JB$2:$JB$317))</f>
        <v>6</v>
      </c>
      <c r="ON63">
        <f>SUMPRODUCT(--('Данные 2st'!$Q$2:$Q$317=$A63),--ISNUMBER('Данные 2st'!$JC$2:$JC$317))</f>
        <v>6</v>
      </c>
      <c r="OO63">
        <f>SUMPRODUCT(--('Данные 2st'!$Q$2:$Q$317=$A63),--ISNUMBER('Данные 2st'!$JD$2:$JD$317))</f>
        <v>6</v>
      </c>
      <c r="OP63">
        <f>SUMPRODUCT(--('Данные 2st'!$Q$2:$Q$317=$A63),--ISNUMBER('Данные 2st'!$JE$2:$JE$317))</f>
        <v>6</v>
      </c>
      <c r="OQ63">
        <f>SUMPRODUCT(--('Данные 2st'!$Q$2:$Q$317=$A63),--ISNUMBER('Данные 2st'!$JF$2:$JF$317))</f>
        <v>6</v>
      </c>
      <c r="OR63">
        <f>SUMPRODUCT(--('Данные 2st'!$Q$2:$Q$317=$A63),--ISNUMBER('Данные 2st'!$JG$2:$JG$317))</f>
        <v>6</v>
      </c>
      <c r="OS63">
        <f>SUMPRODUCT(--('Данные 2st'!$Q$2:$Q$317=$A63),--ISNUMBER('Данные 2st'!$JH$2:$JH$317))</f>
        <v>6</v>
      </c>
      <c r="OT63">
        <f>SUMPRODUCT(--('Данные 2st'!$Q$2:$Q$317=$A63),--ISNUMBER('Данные 2st'!$JI$2:$JI$317))</f>
        <v>6</v>
      </c>
      <c r="OU63">
        <f>SUMPRODUCT(--('Данные 2st'!$Q$2:$Q$317=$A63),--ISNUMBER('Данные 2st'!$JJ$2:$JJ$317))</f>
        <v>6</v>
      </c>
      <c r="OV63">
        <f>SUMPRODUCT(--('Данные 2st'!$Q$2:$Q$317=$A63),--ISNUMBER('Данные 2st'!$JK$2:$JK$317))</f>
        <v>6</v>
      </c>
      <c r="OW63">
        <f>SUMPRODUCT(--('Данные 2st'!$Q$2:$Q$317=$A63),--ISNUMBER('Данные 2st'!$JL$2:$JL$317))</f>
        <v>6</v>
      </c>
      <c r="OX63">
        <f>SUMPRODUCT(--('Данные 2st'!$Q$2:$Q$317=$A63),--ISNUMBER('Данные 2st'!$JM$2:$JM$317))</f>
        <v>6</v>
      </c>
      <c r="OY63">
        <f>SUMPRODUCT(--('Данные 2st'!$Q$2:$Q$317=$A63),--ISNUMBER('Данные 2st'!$JP$2:$JP$317))</f>
        <v>6</v>
      </c>
      <c r="OZ63">
        <f>SUMPRODUCT(--('Данные 2st'!$Q$2:$Q$317=$A63),--ISNUMBER('Данные 2st'!$JQ$2:$JQ$317))</f>
        <v>6</v>
      </c>
      <c r="PA63">
        <f>SUMPRODUCT(--('Данные 2st'!$Q$2:$Q$317=$A63),--ISNUMBER('Данные 2st'!$JR$2:$JR$317))</f>
        <v>6</v>
      </c>
      <c r="PB63">
        <f>SUMPRODUCT(--('Данные 2st'!$Q$2:$Q$317=$A63),--ISNUMBER('Данные 2st'!$JS$2:$JS$317))</f>
        <v>6</v>
      </c>
      <c r="PC63">
        <f>SUMPRODUCT(--('Данные 2st'!$Q$2:$Q$317=$A63),--ISNUMBER('Данные 2st'!$JT$2:$JT$317))</f>
        <v>6</v>
      </c>
      <c r="PD63">
        <f>SUMPRODUCT(--('Данные 2st'!$Q$2:$Q$317=$A63),--ISNUMBER('Данные 2st'!$JU$2:$JU$317))</f>
        <v>6</v>
      </c>
      <c r="PE63">
        <f>SUMPRODUCT(--('Данные 2st'!$Q$2:$Q$317=$A63),--ISNUMBER('Данные 2st'!$JV$2:$JV$317))</f>
        <v>6</v>
      </c>
      <c r="PF63">
        <f>SUMPRODUCT(--('Данные 2st'!$Q$2:$Q$317=$A63),--ISNUMBER('Данные 2st'!$JW$2:$JW$317))</f>
        <v>6</v>
      </c>
      <c r="PG63">
        <f>SUMPRODUCT(--('Данные 2st'!$Q$2:$Q$317=$A63),--ISNUMBER('Данные 2st'!$KF$2:$KF$317))</f>
        <v>6</v>
      </c>
      <c r="PH63">
        <f>SUMPRODUCT(--('Данные 2st'!$Q$2:$Q$317=$A63),--ISNUMBER('Данные 2st'!$KG$2:$KG$317))</f>
        <v>6</v>
      </c>
      <c r="PI63">
        <f>SUMPRODUCT(--('Данные 2st'!$Q$2:$Q$317=$A63),--ISNUMBER('Данные 2st'!$KM$2:$KM$317))</f>
        <v>6</v>
      </c>
      <c r="PJ63">
        <f>SUMPRODUCT(--('Данные 2st'!$Q$2:$Q$317=$A63),--ISNUMBER('Данные 2st'!$KN$2:$KN$317))</f>
        <v>6</v>
      </c>
      <c r="PK63">
        <f>SUMPRODUCT(--('Данные 2st'!$Q$2:$Q$317=$A63),--ISNUMBER('Данные 2st'!$KO$2:$KO$317))</f>
        <v>6</v>
      </c>
      <c r="PL63">
        <f>SUMPRODUCT(--('Данные 2st'!$Q$2:$Q$317=$A63),--ISNUMBER('Данные 2st'!$KP$2:$KP$317))</f>
        <v>6</v>
      </c>
      <c r="PM63">
        <f>SUMPRODUCT(--('Данные 2st'!$Q$2:$Q$317=$A63),--ISNUMBER('Данные 2st'!$KQ$2:$KQ$317))</f>
        <v>6</v>
      </c>
      <c r="PN63">
        <f>SUMPRODUCT(--('Данные 2st'!$Q$2:$Q$317=$A63),--ISNUMBER('Данные 2st'!$KR$2:$KR$317))</f>
        <v>6</v>
      </c>
      <c r="PO63">
        <f>SUMPRODUCT(--('Данные 2st'!$Q$2:$Q$317=$A63),--ISNUMBER('Данные 2st'!$KS$2:$KS$317))</f>
        <v>6</v>
      </c>
      <c r="PP63">
        <f>SUMPRODUCT(--('Данные 2st'!$Q$2:$Q$317=$A63),--ISNUMBER('Данные 2st'!$KT$2:$KT$317))</f>
        <v>6</v>
      </c>
      <c r="PQ63">
        <f>SUMPRODUCT(--('Данные 2st'!$Q$2:$Q$317=$A63),--ISNUMBER('Данные 2st'!$KU$2:$KU$317))</f>
        <v>6</v>
      </c>
      <c r="PR63">
        <f>SUMPRODUCT(--('Данные 2st'!$Q$2:$Q$317=$A63),--ISNUMBER('Данные 2st'!$KV$2:$KV$317))</f>
        <v>6</v>
      </c>
      <c r="PS63">
        <f>SUMPRODUCT(--('Данные 2st'!$Q$2:$Q$317=$A63),--ISNUMBER('Данные 2st'!$KW$2:$KW$317))</f>
        <v>6</v>
      </c>
      <c r="PT63">
        <f>SUMPRODUCT(--('Данные 2st'!$Q$2:$Q$317=$A63),--ISNUMBER('Данные 2st'!$KX$2:$KX$317))</f>
        <v>6</v>
      </c>
      <c r="PU63">
        <f>SUMPRODUCT(--('Данные 2st'!$Q$2:$Q$317=$A63),--ISNUMBER('Данные 2st'!$KY$2:$KY$317))</f>
        <v>6</v>
      </c>
      <c r="PV63">
        <f>SUMPRODUCT(--('Данные 2st'!$Q$2:$Q$317=$A63),--ISNUMBER('Данные 2st'!$KZ$2:$KZ$317))</f>
        <v>6</v>
      </c>
      <c r="PW63">
        <f>SUMPRODUCT(--('Данные 2st'!$Q$2:$Q$317=$A63),--ISNUMBER('Данные 2st'!$LA$2:$LA$317))</f>
        <v>6</v>
      </c>
      <c r="PX63">
        <f>SUMPRODUCT(--('Данные 2st'!$Q$2:$Q$317=$A63),--ISNUMBER('Данные 2st'!$LB$2:$LB$317))</f>
        <v>6</v>
      </c>
      <c r="PY63">
        <f>SUMPRODUCT(--('Данные 2st'!$Q$2:$Q$317=$A63),--ISNUMBER('Данные 2st'!$LC$2:$LC$317))</f>
        <v>6</v>
      </c>
      <c r="PZ63">
        <f>SUMPRODUCT(--('Данные 2st'!$Q$2:$Q$317=$A63),--ISNUMBER('Данные 2st'!$LD$2:$LD$317))</f>
        <v>6</v>
      </c>
      <c r="QA63">
        <f>SUMPRODUCT(--('Данные 2st'!$Q$2:$Q$317=$A63),--ISNUMBER('Данные 2st'!$LE$2:$LE$317))</f>
        <v>6</v>
      </c>
      <c r="QB63">
        <f>SUMPRODUCT(--('Данные 2st'!$Q$2:$Q$317=$A63),--ISNUMBER('Данные 2st'!$LF$2:$LF$317))</f>
        <v>6</v>
      </c>
      <c r="QC63">
        <f>SUMPRODUCT(--('Данные 2st'!$Q$2:$Q$317=$A63),--ISNUMBER('Данные 2st'!$LG$2:$LG$317))</f>
        <v>6</v>
      </c>
      <c r="QD63">
        <f>SUMPRODUCT(--('Данные 2st'!$Q$2:$Q$317=$A63),--ISNUMBER('Данные 2st'!$LH$2:$LH$317))</f>
        <v>6</v>
      </c>
      <c r="QE63">
        <f>SUMPRODUCT(--('Данные 2st'!$Q$2:$Q$317=$A63),--ISNUMBER('Данные 2st'!$LJ$2:$LJ$317))</f>
        <v>6</v>
      </c>
      <c r="QF63">
        <f>SUMPRODUCT(--('Данные 2st'!$Q$2:$Q$317=$A63),--ISNUMBER('Данные 2st'!$LK$2:$LK$317))</f>
        <v>6</v>
      </c>
      <c r="QG63">
        <f>SUMPRODUCT(--('Данные 2st'!$Q$2:$Q$317=$A63),--ISNUMBER('Данные 2st'!$LL$2:$LL$317))</f>
        <v>6</v>
      </c>
      <c r="QH63">
        <f>SUMPRODUCT(--('Данные 2st'!$Q$2:$Q$317=$A63),--ISNUMBER('Данные 2st'!$LM$2:$LM$317))</f>
        <v>6</v>
      </c>
      <c r="QI63">
        <f>SUMPRODUCT(--('Данные 2st'!$Q$2:$Q$317=$A63),--ISNUMBER('Данные 2st'!$LN$2:$LN$317))</f>
        <v>6</v>
      </c>
      <c r="QJ63">
        <f>SUMPRODUCT(--('Данные 2st'!$Q$2:$Q$317=$A63),--ISNUMBER('Данные 2st'!$LO$2:$LO$317))</f>
        <v>6</v>
      </c>
      <c r="QK63">
        <f>SUMPRODUCT(--('Данные 2st'!$Q$2:$Q$317=$A63),--ISNUMBER('Данные 2st'!$LP$2:$LP$317))</f>
        <v>6</v>
      </c>
      <c r="QL63">
        <f>SUMPRODUCT(--('Данные 2st'!$Q$2:$Q$317=$A63),--ISNUMBER('Данные 2st'!$LQ$2:$LQ$317))</f>
        <v>6</v>
      </c>
      <c r="QM63">
        <f>SUMPRODUCT(--('Данные 2st'!$Q$2:$Q$317=$A63),--ISNUMBER('Данные 2st'!$LW$2:$LW$317))</f>
        <v>6</v>
      </c>
      <c r="QN63">
        <f>SUMPRODUCT(--('Данные 2st'!$Q$2:$Q$317=$A63),--ISNUMBER('Данные 2st'!$LX$2:$LX$317))</f>
        <v>6</v>
      </c>
      <c r="QO63">
        <f>SUMPRODUCT(--('Данные 2st'!$Q$2:$Q$317=$A63),--ISNUMBER('Данные 2st'!$LY$2:$LY$317))</f>
        <v>6</v>
      </c>
      <c r="QP63">
        <f>SUMPRODUCT(--('Данные 2st'!$Q$2:$Q$317=$A63),--ISNUMBER('Данные 2st'!$LZ$2:$LZ$317))</f>
        <v>6</v>
      </c>
      <c r="QQ63">
        <f>SUMPRODUCT(--('Данные 2st'!$Q$2:$Q$317=$A63),--ISNUMBER('Данные 2st'!$MB$2:$MB$317))</f>
        <v>6</v>
      </c>
      <c r="QR63">
        <f>SUMPRODUCT(--('Данные 2st'!$Q$2:$Q$317=$A63),--ISNUMBER('Данные 2st'!$MG$2:$MG$317))</f>
        <v>5</v>
      </c>
      <c r="QS63">
        <f>SUMPRODUCT(--('Данные 2st'!$Q$2:$Q$317=$A63),--ISNUMBER('Данные 2st'!$MH$2:$MH$317))</f>
        <v>5</v>
      </c>
      <c r="QT63">
        <f>SUMPRODUCT(--('Данные 2st'!$Q$2:$Q$317=$A63),--ISNUMBER('Данные 2st'!$MI$2:$MI$317))</f>
        <v>6</v>
      </c>
      <c r="QU63">
        <f>SUMPRODUCT(--('Данные 2st'!$Q$2:$Q$317=$A63),--ISNUMBER('Данные 2st'!$MJ$2:$MJ$317))</f>
        <v>6</v>
      </c>
      <c r="QV63">
        <f>SUMPRODUCT(--('Данные 2st'!$Q$2:$Q$317=$A63),--ISNUMBER('Данные 2st'!$MK$2:$MK$317))</f>
        <v>5</v>
      </c>
      <c r="QW63">
        <f>SUMPRODUCT(--('Данные 2st'!$Q$2:$Q$317=$A63),--ISNUMBER('Данные 2st'!$MM$2:$MM$317))</f>
        <v>6</v>
      </c>
      <c r="QX63">
        <f>SUMPRODUCT(--('Данные 2st'!$Q$2:$Q$317=$A63),--ISNUMBER('Данные 2st'!$MQ$2:$MQ$317))</f>
        <v>0</v>
      </c>
      <c r="QY63">
        <f>SUMPRODUCT(--('Данные 2st'!$Q$2:$Q$317=$A63),--ISNUMBER('Данные 2st'!$MR$2:$MR$317))</f>
        <v>0</v>
      </c>
      <c r="QZ63">
        <f>SUMPRODUCT(--('Данные 2st'!$Q$2:$Q$317=$A63),--ISNUMBER('Данные 2st'!$MS$2:$MS$317))</f>
        <v>0</v>
      </c>
      <c r="RA63">
        <f>SUMPRODUCT(--('Данные 2st'!$Q$2:$Q$317=$A63),--ISNUMBER('Данные 2st'!$MT$2:$MT$317))</f>
        <v>0</v>
      </c>
      <c r="RB63">
        <f>SUMPRODUCT(--('Данные 2st'!$Q$2:$Q$317=$A63),--ISNUMBER('Данные 2st'!$MU$2:$MU$317))</f>
        <v>0</v>
      </c>
      <c r="RC63">
        <f>SUMPRODUCT(--('Данные 2st'!$Q$2:$Q$317=$A63),--ISNUMBER('Данные 2st'!$MV$2:$MV$317))</f>
        <v>0</v>
      </c>
      <c r="RD63">
        <f>SUMPRODUCT(--('Данные 2st'!$Q$2:$Q$317=$A63),--ISNUMBER('Данные 2st'!$MW$2:$MW$317))</f>
        <v>0</v>
      </c>
      <c r="RE63">
        <f>SUMPRODUCT(--('Данные 2st'!$Q$2:$Q$317=$A63),--ISNUMBER('Данные 2st'!$MX$2:$MX$317))</f>
        <v>0</v>
      </c>
      <c r="RF63">
        <f>SUMPRODUCT(--('Данные 2st'!$Q$2:$Q$317=$A63),--ISNUMBER('Данные 2st'!$MY$2:$MY$317))</f>
        <v>0</v>
      </c>
      <c r="RG63">
        <f>SUMPRODUCT(--('Данные 2st'!$Q$2:$Q$317=$A63),--ISNUMBER('Данные 2st'!$MZ$2:$MZ$317))</f>
        <v>0</v>
      </c>
      <c r="RH63">
        <f>SUMPRODUCT(--('Данные 2st'!$Q$2:$Q$317=$A63),--ISNUMBER('Данные 2st'!$NA$2:$NA$317))</f>
        <v>0</v>
      </c>
      <c r="RI63">
        <f>SUMPRODUCT(--('Данные 2st'!$Q$2:$Q$317=$A63),--ISNUMBER('Данные 2st'!$NB$2:$NB$317))</f>
        <v>0</v>
      </c>
      <c r="RJ63">
        <f>SUMPRODUCT(--('Данные 2st'!$Q$2:$Q$317=$A63),--ISNUMBER('Данные 2st'!$NC$2:$NC$317))</f>
        <v>0</v>
      </c>
      <c r="RK63">
        <f>SUMPRODUCT(--('Данные 2st'!$Q$2:$Q$317=$A63),--ISNUMBER('Данные 2st'!$ND$2:$ND$317))</f>
        <v>0</v>
      </c>
      <c r="RL63">
        <f>SUMPRODUCT(--('Данные 2st'!$Q$2:$Q$317=$A63),--ISNUMBER('Данные 2st'!$NE$2:$NE$317))</f>
        <v>0</v>
      </c>
      <c r="RM63">
        <f>SUMPRODUCT(--('Данные 2st'!$Q$2:$Q$317=$A63),--ISNUMBER('Данные 2st'!$NF$2:$NF$317))</f>
        <v>0</v>
      </c>
      <c r="RN63">
        <f>SUMPRODUCT(--('Данные 2st'!$Q$2:$Q$317=$A63),--ISNUMBER('Данные 2st'!$NG$2:$NG$317))</f>
        <v>0</v>
      </c>
      <c r="RO63">
        <f>SUMPRODUCT(--('Данные 2st'!$Q$2:$Q$317=$A63),--ISNUMBER('Данные 2st'!$NH$2:$NH$317))</f>
        <v>0</v>
      </c>
      <c r="RP63">
        <f>SUMPRODUCT(--('Данные 2st'!$Q$2:$Q$317=$A63),--ISNUMBER('Данные 2st'!$NJ$2:$NJ$317))</f>
        <v>0</v>
      </c>
      <c r="RQ63">
        <f>SUMPRODUCT(--('Данные 2st'!$Q$2:$Q$317=$A63),--ISNUMBER('Данные 2st'!$NK$2:$NK$317))</f>
        <v>0</v>
      </c>
      <c r="RR63">
        <f>SUMPRODUCT(--('Данные 2st'!$Q$2:$Q$317=$A63),--ISNUMBER('Данные 2st'!$NM$2:$NM$317))</f>
        <v>0</v>
      </c>
      <c r="RS63">
        <f>SUMPRODUCT(--('Данные 2st'!$Q$2:$Q$317=$A63),--ISNUMBER('Данные 2st'!$NN$2:$NN$317))</f>
        <v>0</v>
      </c>
      <c r="RT63">
        <f>SUMPRODUCT(--('Данные 2st'!$Q$2:$Q$317=$A63),--ISNUMBER('Данные 2st'!$NO$2:$NO$317))</f>
        <v>0</v>
      </c>
      <c r="RU63">
        <f>SUMPRODUCT(--('Данные 2st'!$Q$2:$Q$317=$A63),--ISNUMBER('Данные 2st'!$NP$2:$NP$317))</f>
        <v>0</v>
      </c>
      <c r="RV63">
        <f>SUMPRODUCT(--('Данные 2st'!$Q$2:$Q$317=$A63),--ISNUMBER('Данные 2st'!$NQ$2:$NQ$317))</f>
        <v>0</v>
      </c>
      <c r="RW63">
        <f>SUMPRODUCT(--('Данные 2st'!$Q$2:$Q$317=$A63),--ISNUMBER('Данные 2st'!$NR$2:$NR$317))</f>
        <v>0</v>
      </c>
      <c r="RX63">
        <f>SUMPRODUCT(--('Данные 2st'!$Q$2:$Q$317=$A63),--ISNUMBER('Данные 2st'!$NS$2:$NS$317))</f>
        <v>0</v>
      </c>
      <c r="RY63">
        <f>SUMPRODUCT(--('Данные 2st'!$Q$2:$Q$317=$A63),--ISNUMBER('Данные 2st'!$NT$2:$NT$317))</f>
        <v>0</v>
      </c>
      <c r="RZ63">
        <f>SUMPRODUCT(--('Данные 2st'!$Q$2:$Q$317=$A63),--ISNUMBER('Данные 2st'!$OK$2:$OK$317))</f>
        <v>6</v>
      </c>
      <c r="SA63">
        <f>SUMPRODUCT(--('Данные 2st'!$Q$2:$Q$317=$A63),--ISNUMBER('Данные 2st'!$OL$2:$OL$317))</f>
        <v>6</v>
      </c>
      <c r="SB63">
        <f>SUMPRODUCT(--('Данные 2st'!$Q$2:$Q$317=$A63),--ISNUMBER('Данные 2st'!$ON$2:$ON$317))</f>
        <v>6</v>
      </c>
      <c r="SC63">
        <f>SUMPRODUCT(--('Данные 2st'!$Q$2:$Q$317=$A63),--ISNUMBER('Данные 2st'!$OO$2:$OO$317))</f>
        <v>6</v>
      </c>
      <c r="SD63">
        <f>SUMPRODUCT(--('Данные 2st'!$Q$2:$Q$317=$A63),--ISNUMBER('Данные 2st'!$OP$2:$OP$317))</f>
        <v>6</v>
      </c>
      <c r="SE63">
        <f>SUMPRODUCT(--('Данные 2st'!$Q$2:$Q$317=$A63),--ISNUMBER('Данные 2st'!$OQ$2:$OQ$317))</f>
        <v>6</v>
      </c>
      <c r="SF63">
        <f>SUMPRODUCT(--('Данные 2st'!$Q$2:$Q$317=$A63),--ISNUMBER('Данные 2st'!$OS$2:$OS$317))</f>
        <v>6</v>
      </c>
      <c r="SG63">
        <f>SUMPRODUCT(--('Данные 2st'!$Q$2:$Q$317=$A63),--ISNUMBER('Данные 2st'!$OT$2:$OT$317))</f>
        <v>6</v>
      </c>
      <c r="SH63">
        <f>SUMPRODUCT(--('Данные 2st'!$Q$2:$Q$317=$A63),--ISNUMBER('Данные 2st'!$OU$2:$OU$317))</f>
        <v>6</v>
      </c>
      <c r="SI63">
        <f>SUMPRODUCT(--('Данные 2st'!$Q$2:$Q$317=$A63),--ISNUMBER('Данные 2st'!$OV$2:$OV$317))</f>
        <v>6</v>
      </c>
      <c r="SJ63">
        <f>SUMPRODUCT(--('Данные 2st'!$Q$2:$Q$317=$A63),--ISNUMBER('Данные 2st'!$OX$2:$OX$317))</f>
        <v>6</v>
      </c>
      <c r="SK63">
        <f>SUMPRODUCT(--('Данные 2st'!$Q$2:$Q$317=$A63),--ISNUMBER('Данные 2st'!$OY$2:$OY$317))</f>
        <v>6</v>
      </c>
      <c r="SL63">
        <f>SUMPRODUCT(--('Данные 2st'!$Q$2:$Q$317=$A63),--ISNUMBER('Данные 2st'!$OZ$2:$OZ$317))</f>
        <v>6</v>
      </c>
      <c r="SM63">
        <f>SUMPRODUCT(--('Данные 2st'!$Q$2:$Q$317=$A63),--ISNUMBER('Данные 2st'!$PA$2:$PA$317))</f>
        <v>6</v>
      </c>
      <c r="SN63">
        <f>SUMPRODUCT(--('Данные 2st'!$Q$2:$Q$317=$A63),--ISNUMBER('Данные 2st'!$PC$2:$PC$317))</f>
        <v>6</v>
      </c>
      <c r="SO63">
        <f>SUMPRODUCT(--('Данные 2st'!$Q$2:$Q$317=$A63),--ISNUMBER('Данные 2st'!$PD$2:$PD$317))</f>
        <v>6</v>
      </c>
      <c r="SP63">
        <f>SUMPRODUCT(--('Данные 2st'!$Q$2:$Q$317=$A63),--ISNUMBER('Данные 2st'!$PF$2:$PF$317))</f>
        <v>6</v>
      </c>
      <c r="SQ63">
        <f>SUMPRODUCT(--('Данные 2st'!$Q$2:$Q$317=$A63),--ISNUMBER('Данные 2st'!$PG$2:$PG$317))</f>
        <v>6</v>
      </c>
      <c r="SR63">
        <f>SUMPRODUCT(--('Данные 2st'!$Q$2:$Q$317=$A63),--ISNUMBER('Данные 2st'!$PH$2:$PH$317))</f>
        <v>6</v>
      </c>
      <c r="SS63">
        <f>SUMPRODUCT(--('Данные 2st'!$Q$2:$Q$317=$A63),--ISNUMBER('Данные 2st'!$PI$2:$PI$317))</f>
        <v>6</v>
      </c>
      <c r="ST63">
        <f>SUMPRODUCT(--('Данные 2st'!$Q$2:$Q$317=$A63),--ISNUMBER('Данные 2st'!$PJ$2:$PJ$317))</f>
        <v>6</v>
      </c>
      <c r="SU63">
        <f>SUMPRODUCT(--('Данные 2st'!$Q$2:$Q$317=$A63),--ISNUMBER('Данные 2st'!$PK$2:$PK$317))</f>
        <v>5</v>
      </c>
      <c r="SV63">
        <f>SUMPRODUCT(--('Данные 2st'!$Q$2:$Q$317=$A63),--ISNUMBER('Данные 2st'!$PL$2:$PL$317))</f>
        <v>6</v>
      </c>
      <c r="SW63">
        <f>SUMPRODUCT(--('Данные 2st'!$Q$2:$Q$317=$A63),--ISNUMBER('Данные 2st'!$PM$2:$PM$317))</f>
        <v>6</v>
      </c>
      <c r="SX63">
        <f>SUMPRODUCT(--('Данные 2st'!$Q$2:$Q$317=$A63),--ISNUMBER('Данные 2st'!$PN$2:$PN$317))</f>
        <v>6</v>
      </c>
      <c r="SY63">
        <f>SUMPRODUCT(--('Данные 2st'!$Q$2:$Q$317=$A63),--ISNUMBER('Данные 2st'!$PO$2:$PO$317))</f>
        <v>6</v>
      </c>
      <c r="SZ63">
        <f>SUMPRODUCT(--('Данные 2st'!$Q$2:$Q$317=$A63),--ISNUMBER('Данные 2st'!$PP$2:$PP$317))</f>
        <v>6</v>
      </c>
      <c r="TA63">
        <f>SUMPRODUCT(--('Данные 2st'!$Q$2:$Q$317=$A63),--ISNUMBER('Данные 2st'!$PQ$2:$PQ$317))</f>
        <v>6</v>
      </c>
      <c r="TB63">
        <f>SUMPRODUCT(--('Данные 2st'!$Q$2:$Q$317=$A63),--ISNUMBER('Данные 2st'!$PR$2:$PR$317))</f>
        <v>6</v>
      </c>
      <c r="TC63">
        <f>SUMPRODUCT(--('Данные 2st'!$Q$2:$Q$317=$A63),--ISNUMBER('Данные 2st'!$PS$2:$PS$317))</f>
        <v>6</v>
      </c>
      <c r="TD63">
        <f>SUMPRODUCT(--('Данные 2st'!$Q$2:$Q$317=$A63),--ISNUMBER('Данные 2st'!$PT$2:$PT$317))</f>
        <v>6</v>
      </c>
      <c r="TE63">
        <f>SUMPRODUCT(--('Данные 2st'!$Q$2:$Q$317=$A63),--ISNUMBER('Данные 2st'!$PU$2:$PU$317))</f>
        <v>6</v>
      </c>
      <c r="TF63">
        <f>SUMPRODUCT(--('Данные 2st'!$Q$2:$Q$317=$A63),--ISNUMBER('Данные 2st'!$PX$2:$PX$317))</f>
        <v>6</v>
      </c>
      <c r="TG63">
        <f>SUMPRODUCT(--('Данные 2st'!$Q$2:$Q$317=$A63),--ISNUMBER('Данные 2st'!$PY$2:$PY$317))</f>
        <v>6</v>
      </c>
      <c r="TH63">
        <f>SUMPRODUCT(--('Данные 2st'!$Q$2:$Q$317=$A63),--ISNUMBER('Данные 2st'!$PZ$2:$PZ$317))</f>
        <v>6</v>
      </c>
      <c r="TI63">
        <f>SUMPRODUCT(--('Данные 2st'!$Q$2:$Q$317=$A63),--ISNUMBER('Данные 2st'!$QA$2:$QA$317))</f>
        <v>6</v>
      </c>
      <c r="TJ63">
        <f>SUMPRODUCT(--('Данные 2st'!$Q$2:$Q$317=$A63),--ISNUMBER('Данные 2st'!$QB$2:$QB$317))</f>
        <v>6</v>
      </c>
      <c r="TK63">
        <f>SUMPRODUCT(--('Данные 2st'!$Q$2:$Q$317=$A63),--ISNUMBER('Данные 2st'!$QC$2:$QC$317))</f>
        <v>6</v>
      </c>
      <c r="TL63">
        <f>SUMPRODUCT(--('Данные 2st'!$Q$2:$Q$317=$A63),--ISNUMBER('Данные 2st'!$QD$2:$QD$317))</f>
        <v>6</v>
      </c>
      <c r="TM63">
        <f>SUMPRODUCT(--('Данные 2st'!$Q$2:$Q$317=$A63),--ISNUMBER('Данные 2st'!$QE$2:$QE$317))</f>
        <v>6</v>
      </c>
      <c r="TN63">
        <f>SUMPRODUCT(--('Данные 2st'!$Q$2:$Q$317=$A63),--ISNUMBER('Данные 2st'!$QF$2:$QF$317))</f>
        <v>6</v>
      </c>
      <c r="TO63">
        <f>SUMPRODUCT(--('Данные 2st'!$Q$2:$Q$317=$A63),--ISNUMBER('Данные 2st'!$QG$2:$QG$317))</f>
        <v>6</v>
      </c>
      <c r="TP63">
        <f>SUMPRODUCT(--('Данные 2st'!$Q$2:$Q$317=$A63),--ISNUMBER('Данные 2st'!$QH$2:$QH$317))</f>
        <v>6</v>
      </c>
      <c r="TQ63">
        <f>SUMPRODUCT(--('Данные 2st'!$Q$2:$Q$317=$A63),--ISNUMBER('Данные 2st'!$QI$2:$QI$317))</f>
        <v>6</v>
      </c>
      <c r="TR63">
        <f>SUMPRODUCT(--('Данные 2st'!$Q$2:$Q$317=$A63),--ISNUMBER('Данные 2st'!$QJ$2:$QJ$317))</f>
        <v>6</v>
      </c>
      <c r="TS63">
        <f>SUMPRODUCT(--('Данные 2st'!$Q$2:$Q$317=$A63),--ISNUMBER('Данные 2st'!$QK$2:$QK$317))</f>
        <v>6</v>
      </c>
      <c r="TT63">
        <f>SUMPRODUCT(--('Данные 2st'!$Q$2:$Q$317=$A63),--ISNUMBER('Данные 2st'!$QL$2:$QL$317))</f>
        <v>6</v>
      </c>
      <c r="TU63">
        <f>SUMPRODUCT(--('Данные 2st'!$Q$2:$Q$317=$A63),--ISNUMBER('Данные 2st'!$QM$2:$QM$317))</f>
        <v>6</v>
      </c>
      <c r="TV63">
        <f>SUMPRODUCT(--('Данные 2st'!$Q$2:$Q$317=$A63),--ISNUMBER('Данные 2st'!$QN$2:$QN$317))</f>
        <v>6</v>
      </c>
      <c r="TW63">
        <f>SUMPRODUCT(--('Данные 2st'!$Q$2:$Q$317=$A63),--ISNUMBER('Данные 2st'!$QQ$2:$QQ$317))</f>
        <v>6</v>
      </c>
      <c r="TX63">
        <f>SUMPRODUCT(--('Данные 2st'!$Q$2:$Q$317=$A63),--ISNUMBER('Данные 2st'!$QS$2:$QS$317))</f>
        <v>6</v>
      </c>
      <c r="TY63">
        <f>SUMPRODUCT(--('Данные 2st'!$Q$2:$Q$317=$A63),--ISNUMBER('Данные 2st'!$QT$2:$QT$317))</f>
        <v>6</v>
      </c>
    </row>
    <row r="64" spans="1:545" ht="32" customHeight="1">
      <c r="A64" s="11" t="str">
        <f>'По размерам'!A64</f>
        <v>245/55R19</v>
      </c>
      <c r="G64">
        <f>SUMPRODUCT(--('Данные 1st'!$S$2:$S$317=$A64),--ISNUMBER('Данные 1st'!$AE$2:$AE$317))</f>
        <v>4</v>
      </c>
      <c r="H64">
        <f>SUMPRODUCT(--('Данные 1st'!$S$2:$S$317=$A64),--ISNUMBER('Данные 1st'!$AF$2:$AF$317))</f>
        <v>4</v>
      </c>
      <c r="I64">
        <f>SUMPRODUCT(--('Данные 1st'!$S$2:$S$317=$A64),--ISNUMBER('Данные 1st'!$AJ$2:$AJ$317))</f>
        <v>4</v>
      </c>
      <c r="J64">
        <f>SUMPRODUCT(--('Данные 1st'!$S$2:$S$317=$A64),--ISNUMBER('Данные 1st'!$AL$2:$AL$317))</f>
        <v>4</v>
      </c>
      <c r="K64">
        <f>SUMPRODUCT(--('Данные 1st'!$S$2:$S$317=$A64),--ISNUMBER('Данные 1st'!$AR$2:$AR$317))</f>
        <v>4</v>
      </c>
      <c r="L64">
        <f>SUMPRODUCT(--('Данные 1st'!$S$2:$S$317=$A64),--ISNUMBER('Данные 1st'!$AS$2:$AS$317))</f>
        <v>4</v>
      </c>
      <c r="M64">
        <f>SUMPRODUCT(--('Данные 1st'!$S$2:$S$317=$A64),--ISNUMBER('Данные 1st'!$AY$2:$AY$317))</f>
        <v>4</v>
      </c>
      <c r="N64">
        <f>SUMPRODUCT(--('Данные 1st'!$S$2:$S$317=$A64),--ISNUMBER('Данные 1st'!$AZ$2:$AZ$317))</f>
        <v>4</v>
      </c>
      <c r="O64">
        <f>SUMPRODUCT(--('Данные 1st'!$S$2:$S$317=$A64),--ISNUMBER('Данные 1st'!$BF$2:$BF$317))</f>
        <v>3</v>
      </c>
      <c r="P64">
        <f>SUMPRODUCT(--('Данные 1st'!$S$2:$S$317=$A64),--ISNUMBER('Данные 1st'!$BG$2:$BG$317))</f>
        <v>4</v>
      </c>
      <c r="Q64">
        <f>SUMPRODUCT(--('Данные 1st'!$S$2:$S$317=$A64),--ISNUMBER('Данные 1st'!$BM$2:$BM$317))</f>
        <v>0</v>
      </c>
      <c r="R64">
        <f>SUMPRODUCT(--('Данные 1st'!$S$2:$S$317=$A64),--ISNUMBER('Данные 1st'!$BN$2:$BN$317))</f>
        <v>4</v>
      </c>
      <c r="S64">
        <f>SUMPRODUCT(--('Данные 1st'!$S$2:$S$317=$A64),--ISNUMBER('Данные 1st'!$BT$2:$BT$317))</f>
        <v>4</v>
      </c>
      <c r="T64">
        <f>SUMPRODUCT(--('Данные 1st'!$S$2:$S$317=$A64),--ISNUMBER('Данные 1st'!$BU$2:$BU$317))</f>
        <v>4</v>
      </c>
      <c r="U64">
        <f>SUMPRODUCT(--('Данные 1st'!$S$2:$S$317=$A64),--ISNUMBER('Данные 1st'!$BW$2:$BW$317))</f>
        <v>4</v>
      </c>
      <c r="V64">
        <f>SUMPRODUCT(--('Данные 1st'!$S$2:$S$317=$A64),--ISNUMBER('Данные 1st'!$BX$2:$BX$317))</f>
        <v>4</v>
      </c>
      <c r="W64">
        <f>SUMPRODUCT(--('Данные 1st'!$S$2:$S$317=$A64),--ISNUMBER('Данные 1st'!$BZ$2:$BZ$317))</f>
        <v>4</v>
      </c>
      <c r="X64">
        <f>SUMPRODUCT(--('Данные 1st'!$S$2:$S$317=$A64),--ISNUMBER('Данные 1st'!$CA$2:$CA$317))</f>
        <v>4</v>
      </c>
      <c r="Y64">
        <f>SUMPRODUCT(--('Данные 1st'!$S$2:$S$317=$A64),--ISNUMBER('Данные 1st'!$CD$2:$CD$317))</f>
        <v>4</v>
      </c>
      <c r="Z64">
        <f>SUMPRODUCT(--('Данные 1st'!$S$2:$S$317=$A64),--ISNUMBER('Данные 1st'!$CF$2:$CF$317))</f>
        <v>4</v>
      </c>
      <c r="AA64">
        <f>SUMPRODUCT(--('Данные 1st'!$S$2:$S$317=$A64),--ISNUMBER('Данные 1st'!$CI$2:$CI$317))</f>
        <v>4</v>
      </c>
      <c r="AB64">
        <f>SUMPRODUCT(--('Данные 1st'!$S$2:$S$317=$A64),--ISNUMBER('Данные 1st'!$CJ$2:$CJ$317))</f>
        <v>4</v>
      </c>
      <c r="AC64">
        <f>SUMPRODUCT(--('Данные 1st'!$S$2:$S$317=$A64),--ISNUMBER('Данные 1st'!$CK$2:$CK$317))</f>
        <v>4</v>
      </c>
      <c r="AD64">
        <f>SUMPRODUCT(--('Данные 1st'!$S$2:$S$317=$A64),--ISNUMBER('Данные 1st'!$CL$2:$CL$317))</f>
        <v>4</v>
      </c>
      <c r="AE64">
        <f>SUMPRODUCT(--('Данные 1st'!$S$2:$S$317=$A64),--ISNUMBER('Данные 1st'!$CM$2:$CM$317))</f>
        <v>4</v>
      </c>
      <c r="AF64">
        <f>SUMPRODUCT(--('Данные 1st'!$S$2:$S$317=$A64),--ISNUMBER('Данные 1st'!$CT$2:$CT$317))</f>
        <v>4</v>
      </c>
      <c r="AG64">
        <f>SUMPRODUCT(--('Данные 1st'!$S$2:$S$317=$A64),--ISNUMBER('Данные 1st'!$CU$2:$CU$317))</f>
        <v>4</v>
      </c>
      <c r="AH64">
        <f>SUMPRODUCT(--('Данные 1st'!$S$2:$S$317=$A64),--ISNUMBER('Данные 1st'!$CV$2:$CV$317))</f>
        <v>4</v>
      </c>
      <c r="AI64">
        <f>SUMPRODUCT(--('Данные 1st'!$S$2:$S$317=$A64),--ISNUMBER('Данные 1st'!$CW$2:$CW$317))</f>
        <v>4</v>
      </c>
      <c r="AJ64">
        <f>SUMPRODUCT(--('Данные 1st'!$S$2:$S$317=$A64),--ISNUMBER('Данные 1st'!$CX$2:$CX$317))</f>
        <v>4</v>
      </c>
      <c r="AK64">
        <f>SUMPRODUCT(--('Данные 1st'!$S$2:$S$317=$A64),--ISNUMBER('Данные 1st'!$CZ$2:$CZ$317))</f>
        <v>4</v>
      </c>
      <c r="AL64">
        <f>SUMPRODUCT(--('Данные 1st'!$S$2:$S$317=$A64),--ISNUMBER('Данные 1st'!$DA$2:$DA$317))</f>
        <v>4</v>
      </c>
      <c r="AM64">
        <f>SUMPRODUCT(--('Данные 1st'!$S$2:$S$317=$A64),--ISNUMBER('Данные 1st'!$DB$2:$DB$317))</f>
        <v>4</v>
      </c>
      <c r="AN64">
        <f>SUMPRODUCT(--('Данные 1st'!$S$2:$S$317=$A64),--ISNUMBER('Данные 1st'!$DC$2:$DC$317))</f>
        <v>4</v>
      </c>
      <c r="AO64">
        <f>SUMPRODUCT(--('Данные 1st'!$S$2:$S$317=$A64),--ISNUMBER('Данные 1st'!$DD$2:$DD$317))</f>
        <v>4</v>
      </c>
      <c r="AP64">
        <f>SUMPRODUCT(--('Данные 1st'!$S$2:$S$317=$A64),--ISNUMBER('Данные 1st'!$DF$2:$DF$317))</f>
        <v>4</v>
      </c>
      <c r="AQ64">
        <f>SUMPRODUCT(--('Данные 1st'!$S$2:$S$317=$A64),--ISNUMBER('Данные 1st'!$DG$2:$DG$317))</f>
        <v>4</v>
      </c>
      <c r="AR64">
        <f>SUMPRODUCT(--('Данные 1st'!$S$2:$S$317=$A64),--ISNUMBER('Данные 1st'!$DH$2:$DH$317))</f>
        <v>4</v>
      </c>
      <c r="AS64">
        <f>SUMPRODUCT(--('Данные 1st'!$S$2:$S$317=$A64),--ISNUMBER('Данные 1st'!$DI$2:$DI$317))</f>
        <v>4</v>
      </c>
      <c r="AT64">
        <f>SUMPRODUCT(--('Данные 1st'!$S$2:$S$317=$A64),--ISNUMBER('Данные 1st'!$DJ$2:$DJ$317))</f>
        <v>4</v>
      </c>
      <c r="AU64">
        <f>SUMPRODUCT(--('Данные 1st'!$S$2:$S$317=$A64),--ISNUMBER('Данные 1st'!$DL$2:$DL$317))</f>
        <v>3</v>
      </c>
      <c r="AV64">
        <f>SUMPRODUCT(--('Данные 1st'!$S$2:$S$317=$A64),--ISNUMBER('Данные 1st'!$DM$2:$DM$317))</f>
        <v>3</v>
      </c>
      <c r="AW64">
        <f>SUMPRODUCT(--('Данные 1st'!$S$2:$S$317=$A64),--ISNUMBER('Данные 1st'!$DN$2:$DN$317))</f>
        <v>3</v>
      </c>
      <c r="AX64">
        <f>SUMPRODUCT(--('Данные 1st'!$S$2:$S$317=$A64),--ISNUMBER('Данные 1st'!$DO$2:$DO$317))</f>
        <v>3</v>
      </c>
      <c r="AY64">
        <f>SUMPRODUCT(--('Данные 1st'!$S$2:$S$317=$A64),--ISNUMBER('Данные 1st'!$DP$2:$DP$317))</f>
        <v>3</v>
      </c>
      <c r="AZ64">
        <f>SUMPRODUCT(--('Данные 1st'!$S$2:$S$317=$A64),--ISNUMBER('Данные 1st'!$DR$2:$DR$317))</f>
        <v>0</v>
      </c>
      <c r="BA64">
        <f>SUMPRODUCT(--('Данные 1st'!$S$2:$S$317=$A64),--ISNUMBER('Данные 1st'!$DS$2:$DS$317))</f>
        <v>0</v>
      </c>
      <c r="BB64">
        <f>SUMPRODUCT(--('Данные 1st'!$S$2:$S$317=$A64),--ISNUMBER('Данные 1st'!$DT$2:$DT$317))</f>
        <v>0</v>
      </c>
      <c r="BC64">
        <f>SUMPRODUCT(--('Данные 1st'!$S$2:$S$317=$A64),--ISNUMBER('Данные 1st'!$DU$2:$DU$317))</f>
        <v>0</v>
      </c>
      <c r="BD64">
        <f>SUMPRODUCT(--('Данные 1st'!$S$2:$S$317=$A64),--ISNUMBER('Данные 1st'!$DV$2:$DV$317))</f>
        <v>0</v>
      </c>
      <c r="BE64">
        <f>SUMPRODUCT(--('Данные 1st'!$S$2:$S$317=$A64),--ISNUMBER('Данные 1st'!$DX$2:$DX$317))</f>
        <v>4</v>
      </c>
      <c r="BF64">
        <f>SUMPRODUCT(--('Данные 1st'!$S$2:$S$317=$A64),--ISNUMBER('Данные 1st'!$EA$2:$EA$317))</f>
        <v>4</v>
      </c>
      <c r="BG64">
        <f>SUMPRODUCT(--('Данные 1st'!$S$2:$S$317=$A64),--ISNUMBER('Данные 1st'!$EB$2:$EB$317))</f>
        <v>4</v>
      </c>
      <c r="BH64">
        <f>SUMPRODUCT(--('Данные 1st'!$S$2:$S$317=$A64),--ISNUMBER('Данные 1st'!$ED$2:$ED$317))</f>
        <v>4</v>
      </c>
      <c r="BI64">
        <f>SUMPRODUCT(--('Данные 1st'!$S$2:$S$317=$A64),--ISNUMBER('Данные 1st'!$EE$2:$EE$317))</f>
        <v>4</v>
      </c>
      <c r="BJ64">
        <f>SUMPRODUCT(--('Данные 1st'!$S$2:$S$317=$A64),--ISNUMBER('Данные 1st'!$EG$2:$EG$317))</f>
        <v>4</v>
      </c>
      <c r="BK64">
        <f>SUMPRODUCT(--('Данные 1st'!$S$2:$S$317=$A64),--ISNUMBER('Данные 1st'!$EH$2:$EH$317))</f>
        <v>4</v>
      </c>
      <c r="BL64">
        <f>SUMPRODUCT(--('Данные 1st'!$S$2:$S$317=$A64),--ISNUMBER('Данные 1st'!$EJ$2:$EJ$317))</f>
        <v>4</v>
      </c>
      <c r="BM64">
        <f>SUMPRODUCT(--('Данные 1st'!$S$2:$S$317=$A64),--ISNUMBER('Данные 1st'!$EK$2:$EK$317))</f>
        <v>4</v>
      </c>
      <c r="BN64">
        <f>SUMPRODUCT(--('Данные 1st'!$S$2:$S$317=$A64),--ISNUMBER('Данные 1st'!$EN$2:$EN$317))</f>
        <v>4</v>
      </c>
      <c r="BO64">
        <f>SUMPRODUCT(--('Данные 1st'!$S$2:$S$317=$A64),--ISNUMBER('Данные 1st'!$EQ$2:$EQ$317))</f>
        <v>4</v>
      </c>
      <c r="BP64">
        <f>SUMPRODUCT(--('Данные 1st'!$S$2:$S$317=$A64),--ISNUMBER('Данные 1st'!$ER$2:$ER$317))</f>
        <v>4</v>
      </c>
      <c r="BQ64">
        <f>SUMPRODUCT(--('Данные 1st'!$S$2:$S$317=$A64),--ISNUMBER('Данные 1st'!$ES$2:$ES$317))</f>
        <v>4</v>
      </c>
      <c r="BR64">
        <f>SUMPRODUCT(--('Данные 1st'!$S$2:$S$317=$A64),--ISNUMBER('Данные 1st'!$ET$2:$ET$317))</f>
        <v>4</v>
      </c>
      <c r="BS64">
        <f>SUMPRODUCT(--('Данные 1st'!$S$2:$S$317=$A64),--ISNUMBER('Данные 1st'!$EU$2:$EU$317))</f>
        <v>4</v>
      </c>
      <c r="BT64">
        <f>SUMPRODUCT(--('Данные 1st'!$S$2:$S$317=$A64),--ISNUMBER('Данные 1st'!$EV$2:$EV$317))</f>
        <v>4</v>
      </c>
      <c r="BU64">
        <f>SUMPRODUCT(--('Данные 1st'!$S$2:$S$317=$A64),--ISNUMBER('Данные 1st'!$EX$2:$EX$317))</f>
        <v>4</v>
      </c>
      <c r="BV64">
        <f>SUMPRODUCT(--('Данные 1st'!$S$2:$S$317=$A64),--ISNUMBER('Данные 1st'!$EY$2:$EY$317))</f>
        <v>4</v>
      </c>
      <c r="BW64">
        <f>SUMPRODUCT(--('Данные 1st'!$S$2:$S$317=$A64),--ISNUMBER('Данные 1st'!$EZ$2:$EZ$317))</f>
        <v>4</v>
      </c>
      <c r="BX64">
        <f>SUMPRODUCT(--('Данные 1st'!$S$2:$S$317=$A64),--ISNUMBER('Данные 1st'!$FA$2:$FA$317))</f>
        <v>4</v>
      </c>
      <c r="BY64">
        <f>SUMPRODUCT(--('Данные 1st'!$S$2:$S$317=$A64),--ISNUMBER('Данные 1st'!$FB$2:$FB$317))</f>
        <v>4</v>
      </c>
      <c r="BZ64">
        <f>SUMPRODUCT(--('Данные 1st'!$S$2:$S$317=$A64),--ISNUMBER('Данные 1st'!$FC$2:$FC$317))</f>
        <v>4</v>
      </c>
      <c r="CA64">
        <f>SUMPRODUCT(--('Данные 1st'!$S$2:$S$317=$A64),--ISNUMBER('Данные 1st'!$FE$2:$FE$317))</f>
        <v>4</v>
      </c>
      <c r="CB64">
        <f>SUMPRODUCT(--('Данные 1st'!$S$2:$S$317=$A64),--ISNUMBER('Данные 1st'!$FF$2:$FF$317))</f>
        <v>4</v>
      </c>
      <c r="CC64">
        <f>SUMPRODUCT(--('Данные 1st'!$S$2:$S$317=$A64),--ISNUMBER('Данные 1st'!$FI$2:$FI$317))</f>
        <v>4</v>
      </c>
      <c r="CD64">
        <f>SUMPRODUCT(--('Данные 1st'!$S$2:$S$317=$A64),--ISNUMBER('Данные 1st'!$FL$2:$FL$317))</f>
        <v>4</v>
      </c>
      <c r="CE64">
        <f>SUMPRODUCT(--('Данные 1st'!$S$2:$S$317=$A64),--ISNUMBER('Данные 1st'!$FM$2:$FM$317))</f>
        <v>4</v>
      </c>
      <c r="CF64">
        <f>SUMPRODUCT(--('Данные 1st'!$S$2:$S$317=$A64),--ISNUMBER('Данные 1st'!$FN$2:$FN$317))</f>
        <v>4</v>
      </c>
      <c r="CG64">
        <f>SUMPRODUCT(--('Данные 1st'!$S$2:$S$317=$A64),--ISNUMBER('Данные 1st'!$FO$2:$FO$317))</f>
        <v>4</v>
      </c>
      <c r="CH64">
        <f>SUMPRODUCT(--('Данные 1st'!$S$2:$S$317=$A64),--ISNUMBER('Данные 1st'!$FP$2:$FP$317))</f>
        <v>4</v>
      </c>
      <c r="CI64">
        <f>SUMPRODUCT(--('Данные 1st'!$S$2:$S$317=$A64),--ISNUMBER('Данные 1st'!$FS$2:$FS$317))</f>
        <v>0</v>
      </c>
      <c r="CJ64">
        <f>SUMPRODUCT(--('Данные 1st'!$S$2:$S$317=$A64),--ISNUMBER('Данные 1st'!$FT$2:$FT$317))</f>
        <v>0</v>
      </c>
      <c r="CK64">
        <f>SUMPRODUCT(--('Данные 1st'!$S$2:$S$317=$A64),--ISNUMBER('Данные 1st'!$FU$2:$FU$317))</f>
        <v>0</v>
      </c>
      <c r="CL64">
        <f>SUMPRODUCT(--('Данные 1st'!$S$2:$S$317=$A64),--ISNUMBER('Данные 1st'!$FV$2:$FV$317))</f>
        <v>0</v>
      </c>
      <c r="CM64">
        <f>SUMPRODUCT(--('Данные 1st'!$S$2:$S$317=$A64),--ISNUMBER('Данные 1st'!$FW$2:$FW$317))</f>
        <v>0</v>
      </c>
      <c r="CN64">
        <f>SUMPRODUCT(--('Данные 1st'!$S$2:$S$317=$A64),--ISNUMBER('Данные 1st'!$FZ$2:$FZ$317))</f>
        <v>0</v>
      </c>
      <c r="CO64">
        <f>SUMPRODUCT(--('Данные 1st'!$S$2:$S$317=$A64),--ISNUMBER('Данные 1st'!$GA$2:$GA$317))</f>
        <v>0</v>
      </c>
      <c r="CP64">
        <f>SUMPRODUCT(--('Данные 1st'!$S$2:$S$317=$A64),--ISNUMBER('Данные 1st'!$GB$2:$GB$317))</f>
        <v>0</v>
      </c>
      <c r="CQ64">
        <f>SUMPRODUCT(--('Данные 1st'!$S$2:$S$317=$A64),--ISNUMBER('Данные 1st'!$GH$2:$GH$317))</f>
        <v>0</v>
      </c>
      <c r="CR64">
        <f>SUMPRODUCT(--('Данные 1st'!$S$2:$S$317=$A64),--ISNUMBER('Данные 1st'!$GI$2:$GI$317))</f>
        <v>0</v>
      </c>
      <c r="CS64">
        <f>SUMPRODUCT(--('Данные 1st'!$S$2:$S$317=$A64),--ISNUMBER('Данные 1st'!$GJ$2:$GJ$317))</f>
        <v>0</v>
      </c>
      <c r="CT64">
        <f>SUMPRODUCT(--('Данные 1st'!$S$2:$S$317=$A64),--ISNUMBER('Данные 1st'!$GS$2:$GS$317))</f>
        <v>3</v>
      </c>
      <c r="CU64">
        <f>SUMPRODUCT(--('Данные 1st'!$S$2:$S$317=$A64),--ISNUMBER('Данные 1st'!$GT$2:$GT$317))</f>
        <v>3</v>
      </c>
      <c r="CV64">
        <f>SUMPRODUCT(--('Данные 1st'!$S$2:$S$317=$A64),--ISNUMBER('Данные 1st'!$GU$2:$GU$317))</f>
        <v>3</v>
      </c>
      <c r="CW64">
        <f>SUMPRODUCT(--('Данные 1st'!$S$2:$S$317=$A64),--ISNUMBER('Данные 1st'!$GV$2:$GV$317))</f>
        <v>1</v>
      </c>
      <c r="CX64">
        <f>SUMPRODUCT(--('Данные 1st'!$S$2:$S$317=$A64),--ISNUMBER('Данные 1st'!$GW$2:$GW$317))</f>
        <v>1</v>
      </c>
      <c r="CY64">
        <f>SUMPRODUCT(--('Данные 1st'!$S$2:$S$317=$A64),--ISNUMBER('Данные 1st'!$GZ$2:$GZ$317))</f>
        <v>1</v>
      </c>
      <c r="CZ64">
        <f>SUMPRODUCT(--('Данные 1st'!$S$2:$S$317=$A64),--ISNUMBER('Данные 1st'!$HA$2:$HA$317))</f>
        <v>1</v>
      </c>
      <c r="DA64">
        <f>SUMPRODUCT(--('Данные 1st'!$S$2:$S$317=$A64),--ISNUMBER('Данные 1st'!$HB$2:$HB$317))</f>
        <v>1</v>
      </c>
      <c r="DB64">
        <f>SUMPRODUCT(--('Данные 1st'!$S$2:$S$317=$A64),--ISNUMBER('Данные 1st'!$HC$2:$HC$317))</f>
        <v>4</v>
      </c>
      <c r="DC64">
        <f>SUMPRODUCT(--('Данные 1st'!$S$2:$S$317=$A64),--ISNUMBER('Данные 1st'!$HD$2:$HD$317))</f>
        <v>4</v>
      </c>
      <c r="DD64">
        <f>SUMPRODUCT(--('Данные 1st'!$S$2:$S$317=$A64),--ISNUMBER('Данные 1st'!$HE$2:$HE$317))</f>
        <v>4</v>
      </c>
      <c r="DE64">
        <f>SUMPRODUCT(--('Данные 1st'!$S$2:$S$317=$A64),--ISNUMBER('Данные 1st'!$HF$2:$HF$317))</f>
        <v>4</v>
      </c>
      <c r="DF64">
        <f>SUMPRODUCT(--('Данные 1st'!$S$2:$S$317=$A64),--ISNUMBER('Данные 1st'!$HG$2:$HG$317))</f>
        <v>4</v>
      </c>
      <c r="DG64">
        <f>SUMPRODUCT(--('Данные 1st'!$S$2:$S$317=$A64),--ISNUMBER('Данные 1st'!$HH$2:$HH$317))</f>
        <v>4</v>
      </c>
      <c r="DH64">
        <f>SUMPRODUCT(--('Данные 1st'!$S$2:$S$317=$A64),--ISNUMBER('Данные 1st'!$HI$2:$HI$317))</f>
        <v>4</v>
      </c>
      <c r="DI64">
        <f>SUMPRODUCT(--('Данные 1st'!$S$2:$S$317=$A64),--ISNUMBER('Данные 1st'!$HJ$2:$HJ$317))</f>
        <v>4</v>
      </c>
      <c r="DJ64">
        <f>SUMPRODUCT(--('Данные 1st'!$S$2:$S$317=$A64),--ISNUMBER('Данные 1st'!$HK$2:$HK$317))</f>
        <v>4</v>
      </c>
      <c r="DK64">
        <f>SUMPRODUCT(--('Данные 1st'!$S$2:$S$317=$A64),--ISNUMBER('Данные 1st'!$HL$2:$HL$317))</f>
        <v>4</v>
      </c>
      <c r="DL64">
        <f>SUMPRODUCT(--('Данные 1st'!$S$2:$S$317=$A64),--ISNUMBER('Данные 1st'!$HM$2:$HM$317))</f>
        <v>4</v>
      </c>
      <c r="DM64">
        <f>SUMPRODUCT(--('Данные 1st'!$S$2:$S$317=$A64),--ISNUMBER('Данные 1st'!$HN$2:$HN$317))</f>
        <v>4</v>
      </c>
      <c r="DN64">
        <f>SUMPRODUCT(--('Данные 1st'!$S$2:$S$317=$A64),--ISNUMBER('Данные 1st'!$HO$2:$HO$317))</f>
        <v>4</v>
      </c>
      <c r="DO64">
        <f>SUMPRODUCT(--('Данные 1st'!$S$2:$S$317=$A64),--ISNUMBER('Данные 1st'!$HP$2:$HP$317))</f>
        <v>4</v>
      </c>
      <c r="DP64">
        <f>SUMPRODUCT(--('Данные 1st'!$S$2:$S$317=$A64),--ISNUMBER('Данные 1st'!$HQ$2:$HQ$317))</f>
        <v>4</v>
      </c>
      <c r="DQ64">
        <f>SUMPRODUCT(--('Данные 1st'!$S$2:$S$317=$A64),--ISNUMBER('Данные 1st'!$HR$2:$HR$317))</f>
        <v>4</v>
      </c>
      <c r="DR64">
        <f>SUMPRODUCT(--('Данные 1st'!$S$2:$S$317=$A64),--ISNUMBER('Данные 1st'!$HS$2:$HS$317))</f>
        <v>4</v>
      </c>
      <c r="DS64">
        <f>SUMPRODUCT(--('Данные 1st'!$S$2:$S$317=$A64),--ISNUMBER('Данные 1st'!$HT$2:$HT$317))</f>
        <v>4</v>
      </c>
      <c r="DT64">
        <f>SUMPRODUCT(--('Данные 1st'!$S$2:$S$317=$A64),--ISNUMBER('Данные 1st'!$HU$2:$HU$317))</f>
        <v>4</v>
      </c>
      <c r="DU64">
        <f>SUMPRODUCT(--('Данные 1st'!$S$2:$S$317=$A64),--ISNUMBER('Данные 1st'!$HW$2:$HW$317))</f>
        <v>4</v>
      </c>
      <c r="DV64">
        <f>SUMPRODUCT(--('Данные 1st'!$S$2:$S$317=$A64),--ISNUMBER('Данные 1st'!$HX$2:$HX$317))</f>
        <v>4</v>
      </c>
      <c r="DW64">
        <f>SUMPRODUCT(--('Данные 1st'!$S$2:$S$317=$A64),--ISNUMBER('Данные 1st'!$HY$2:$HY$317))</f>
        <v>4</v>
      </c>
      <c r="DX64">
        <f>SUMPRODUCT(--('Данные 1st'!$S$2:$S$317=$A64),--ISNUMBER('Данные 1st'!$IA$2:$IA$317))</f>
        <v>4</v>
      </c>
      <c r="DY64">
        <f>SUMPRODUCT(--('Данные 1st'!$S$2:$S$317=$A64),--ISNUMBER('Данные 1st'!$IB$2:$IB$317))</f>
        <v>4</v>
      </c>
      <c r="DZ64">
        <f>SUMPRODUCT(--('Данные 1st'!$S$2:$S$317=$A64),--ISNUMBER('Данные 1st'!$IC$2:$IC$317))</f>
        <v>4</v>
      </c>
      <c r="EA64">
        <f>SUMPRODUCT(--('Данные 1st'!$S$2:$S$317=$A64),--ISNUMBER('Данные 1st'!$ID$2:$ID$317))</f>
        <v>4</v>
      </c>
      <c r="EB64">
        <f>SUMPRODUCT(--('Данные 1st'!$S$2:$S$317=$A64),--ISNUMBER('Данные 1st'!$IE$2:$IE$317))</f>
        <v>4</v>
      </c>
      <c r="EC64">
        <f>SUMPRODUCT(--('Данные 1st'!$S$2:$S$317=$A64),--ISNUMBER('Данные 1st'!$IF$2:$IF$317))</f>
        <v>4</v>
      </c>
      <c r="ED64">
        <f>SUMPRODUCT(--('Данные 1st'!$S$2:$S$317=$A64),--ISNUMBER('Данные 1st'!$IP$2:$IP$317))</f>
        <v>4</v>
      </c>
      <c r="EE64">
        <f>SUMPRODUCT(--('Данные 1st'!$S$2:$S$317=$A64),--ISNUMBER('Данные 1st'!$IV$2:$IV$317))</f>
        <v>4</v>
      </c>
      <c r="EF64">
        <f>SUMPRODUCT(--('Данные 1st'!$S$2:$S$317=$A64),--ISNUMBER('Данные 1st'!$IW$2:$IW$317))</f>
        <v>4</v>
      </c>
      <c r="EG64">
        <f>SUMPRODUCT(--('Данные 1st'!$S$2:$S$317=$A64),--ISNUMBER('Данные 1st'!$IX$2:$IX$317))</f>
        <v>0</v>
      </c>
      <c r="EH64">
        <f>SUMPRODUCT(--('Данные 1st'!$S$2:$S$317=$A64),--ISNUMBER('Данные 1st'!$IY$2:$IY$317))</f>
        <v>0</v>
      </c>
      <c r="EI64">
        <f>SUMPRODUCT(--('Данные 1st'!$S$2:$S$317=$A64),--ISNUMBER('Данные 1st'!$JD$2:$JD$317))</f>
        <v>4</v>
      </c>
      <c r="EJ64">
        <f>SUMPRODUCT(--('Данные 1st'!$S$2:$S$317=$A64),--ISNUMBER('Данные 1st'!$JE$2:$JE$317))</f>
        <v>4</v>
      </c>
      <c r="EK64">
        <f>SUMPRODUCT(--('Данные 1st'!$S$2:$S$317=$A64),--ISNUMBER('Данные 1st'!$JF$2:$JF$317))</f>
        <v>4</v>
      </c>
      <c r="EL64">
        <f>SUMPRODUCT(--('Данные 1st'!$S$2:$S$317=$A64),--ISNUMBER('Данные 1st'!$JG$2:$JG$317))</f>
        <v>4</v>
      </c>
      <c r="EM64">
        <f>SUMPRODUCT(--('Данные 1st'!$S$2:$S$317=$A64),--ISNUMBER('Данные 1st'!$JH$2:$JH$317))</f>
        <v>4</v>
      </c>
      <c r="EN64">
        <f>SUMPRODUCT(--('Данные 1st'!$S$2:$S$317=$A64),--ISNUMBER('Данные 1st'!$JJ$2:$JJ$317))</f>
        <v>4</v>
      </c>
      <c r="EO64">
        <f>SUMPRODUCT(--('Данные 1st'!$S$2:$S$317=$A64),--ISNUMBER('Данные 1st'!$JK$2:$JK$317))</f>
        <v>4</v>
      </c>
      <c r="EP64">
        <f>SUMPRODUCT(--('Данные 1st'!$S$2:$S$317=$A64),--ISNUMBER('Данные 1st'!$JL$2:$JL$317))</f>
        <v>0</v>
      </c>
      <c r="EQ64">
        <f>SUMPRODUCT(--('Данные 1st'!$S$2:$S$317=$A64),--ISNUMBER('Данные 1st'!$JM$2:$JM$317))</f>
        <v>0</v>
      </c>
      <c r="ER64">
        <f>SUMPRODUCT(--('Данные 1st'!$S$2:$S$317=$A64),--ISNUMBER('Данные 1st'!$JN$2:$JN$317))</f>
        <v>4</v>
      </c>
      <c r="ES64">
        <f>SUMPRODUCT(--('Данные 1st'!$S$2:$S$317=$A64),--ISNUMBER('Данные 1st'!$JO$2:$JO$317))</f>
        <v>4</v>
      </c>
      <c r="ET64">
        <f>SUMPRODUCT(--('Данные 1st'!$S$2:$S$317=$A64),--ISNUMBER('Данные 1st'!$JP$2:$JP$317))</f>
        <v>4</v>
      </c>
      <c r="EU64">
        <f>SUMPRODUCT(--('Данные 1st'!$S$2:$S$317=$A64),--ISNUMBER('Данные 1st'!$JQ$2:$JQ$317))</f>
        <v>4</v>
      </c>
      <c r="EV64">
        <f>SUMPRODUCT(--('Данные 1st'!$S$2:$S$317=$A64),--ISNUMBER('Данные 1st'!$JR$2:$JR$317))</f>
        <v>4</v>
      </c>
      <c r="EW64">
        <f>SUMPRODUCT(--('Данные 1st'!$S$2:$S$317=$A64),--ISNUMBER('Данные 1st'!$JS$2:$JS$317))</f>
        <v>4</v>
      </c>
      <c r="EX64">
        <f>SUMPRODUCT(--('Данные 1st'!$S$2:$S$317=$A64),--ISNUMBER('Данные 1st'!$JT$2:$JT$317))</f>
        <v>0</v>
      </c>
      <c r="EY64">
        <f>SUMPRODUCT(--('Данные 1st'!$S$2:$S$317=$A64),--ISNUMBER('Данные 1st'!$JU$2:$JU$317))</f>
        <v>0</v>
      </c>
      <c r="EZ64">
        <f>SUMPRODUCT(--('Данные 1st'!$S$2:$S$317=$A64),--ISNUMBER('Данные 1st'!$JV$2:$JV$317))</f>
        <v>4</v>
      </c>
      <c r="FA64">
        <f>SUMPRODUCT(--('Данные 1st'!$S$2:$S$317=$A64),--ISNUMBER('Данные 1st'!$JW$2:$JW$317))</f>
        <v>0</v>
      </c>
      <c r="FB64">
        <f>SUMPRODUCT(--('Данные 1st'!$S$2:$S$317=$A64),--ISNUMBER('Данные 1st'!$JX$2:$JX$317))</f>
        <v>4</v>
      </c>
      <c r="FC64">
        <f>SUMPRODUCT(--('Данные 1st'!$S$2:$S$317=$A64),--ISNUMBER('Данные 1st'!$JY$2:$JY$317))</f>
        <v>0</v>
      </c>
      <c r="FD64">
        <f>SUMPRODUCT(--('Данные 1st'!$S$2:$S$317=$A64),--ISNUMBER('Данные 1st'!$JZ$2:$JZ$317))</f>
        <v>0</v>
      </c>
      <c r="FE64">
        <f>SUMPRODUCT(--('Данные 1st'!$S$2:$S$317=$A64),--ISNUMBER('Данные 1st'!$KA$2:$KA$317))</f>
        <v>4</v>
      </c>
      <c r="FF64">
        <f>SUMPRODUCT(--('Данные 1st'!$S$2:$S$317=$A64),--ISNUMBER('Данные 1st'!$KB$2:$KB$317))</f>
        <v>4</v>
      </c>
      <c r="FG64">
        <f>SUMPRODUCT(--('Данные 1st'!$S$2:$S$317=$A64),--ISNUMBER('Данные 1st'!$KC$2:$KC$317))</f>
        <v>4</v>
      </c>
      <c r="FH64">
        <f>SUMPRODUCT(--('Данные 1st'!$S$2:$S$317=$A64),--ISNUMBER('Данные 1st'!$KD$2:$KD$317))</f>
        <v>4</v>
      </c>
      <c r="FI64">
        <f>SUMPRODUCT(--('Данные 1st'!$S$2:$S$317=$A64),--ISNUMBER('Данные 1st'!$KE$2:$KE$317))</f>
        <v>0</v>
      </c>
      <c r="FJ64">
        <f>SUMPRODUCT(--('Данные 1st'!$S$2:$S$317=$A64),--ISNUMBER('Данные 1st'!$KF$2:$KF$317))</f>
        <v>4</v>
      </c>
      <c r="FK64">
        <f>SUMPRODUCT(--('Данные 1st'!$S$2:$S$317=$A64),--ISNUMBER('Данные 1st'!$KG$2:$KG$317))</f>
        <v>4</v>
      </c>
      <c r="FL64">
        <f>SUMPRODUCT(--('Данные 1st'!$S$2:$S$317=$A64),--ISNUMBER('Данные 1st'!$KH$2:$KH$317))</f>
        <v>4</v>
      </c>
      <c r="FM64">
        <f>SUMPRODUCT(--('Данные 1st'!$S$2:$S$317=$A64),--ISNUMBER('Данные 1st'!$KI$2:$KI$317))</f>
        <v>4</v>
      </c>
      <c r="FN64">
        <f>SUMPRODUCT(--('Данные 1st'!$S$2:$S$317=$A64),--ISNUMBER('Данные 1st'!$KJ$2:$KJ$317))</f>
        <v>4</v>
      </c>
      <c r="FO64">
        <f>SUMPRODUCT(--('Данные 1st'!$S$2:$S$317=$A64),--ISNUMBER('Данные 1st'!$KK$2:$KK$317))</f>
        <v>4</v>
      </c>
      <c r="FP64">
        <f>SUMPRODUCT(--('Данные 1st'!$S$2:$S$317=$A64),--ISNUMBER('Данные 1st'!$KL$2:$KL$317))</f>
        <v>4</v>
      </c>
      <c r="FQ64">
        <f>SUMPRODUCT(--('Данные 1st'!$S$2:$S$317=$A64),--ISNUMBER('Данные 1st'!$KM$2:$KM$317))</f>
        <v>4</v>
      </c>
      <c r="FR64">
        <f>SUMPRODUCT(--('Данные 1st'!$S$2:$S$317=$A64),--ISNUMBER('Данные 1st'!$KN$2:$KN$317))</f>
        <v>4</v>
      </c>
      <c r="FS64">
        <f>SUMPRODUCT(--('Данные 1st'!$S$2:$S$317=$A64),--ISNUMBER('Данные 1st'!$KR$2:$KR$317))</f>
        <v>4</v>
      </c>
      <c r="FT64">
        <f>SUMPRODUCT(--('Данные 1st'!$S$2:$S$317=$A64),--ISNUMBER('Данные 1st'!$KS$2:$KS$317))</f>
        <v>4</v>
      </c>
      <c r="FU64">
        <f>SUMPRODUCT(--('Данные 1st'!$S$2:$S$317=$A64),--ISNUMBER('Данные 1st'!$KT$2:$KT$317))</f>
        <v>4</v>
      </c>
      <c r="FV64">
        <f>SUMPRODUCT(--('Данные 1st'!$S$2:$S$317=$A64),--ISNUMBER('Данные 1st'!$KV$2:$KV$317))</f>
        <v>0</v>
      </c>
      <c r="FW64">
        <f>SUMPRODUCT(--('Данные 1st'!$S$2:$S$317=$A64),--ISNUMBER('Данные 1st'!$KW$2:$KW$317))</f>
        <v>0</v>
      </c>
      <c r="FX64">
        <f>SUMPRODUCT(--('Данные 1st'!$S$2:$S$317=$A64),--ISNUMBER('Данные 1st'!$KX$2:$KX$317))</f>
        <v>0</v>
      </c>
      <c r="FY64">
        <f>SUMPRODUCT(--('Данные 1st'!$S$2:$S$317=$A64),--ISNUMBER('Данные 1st'!$KY$2:$KY$317))</f>
        <v>0</v>
      </c>
      <c r="FZ64">
        <f>SUMPRODUCT(--('Данные 1st'!$S$2:$S$317=$A64),--ISNUMBER('Данные 1st'!$KZ$2:$KZ$317))</f>
        <v>0</v>
      </c>
      <c r="GA64">
        <f>SUMPRODUCT(--('Данные 1st'!$S$2:$S$317=$A64),--ISNUMBER('Данные 1st'!$LA$2:$LA$317))</f>
        <v>0</v>
      </c>
      <c r="GB64">
        <f>SUMPRODUCT(--('Данные 1st'!$S$2:$S$317=$A64),--ISNUMBER('Данные 1st'!$LB$2:$LB$317))</f>
        <v>0</v>
      </c>
      <c r="GC64">
        <f>SUMPRODUCT(--('Данные 1st'!$S$2:$S$317=$A64),--ISNUMBER('Данные 1st'!$LC$2:$LC$317))</f>
        <v>0</v>
      </c>
      <c r="GD64">
        <f>SUMPRODUCT(--('Данные 1st'!$S$2:$S$317=$A64),--ISNUMBER('Данные 1st'!$LD$2:$LD$317))</f>
        <v>0</v>
      </c>
      <c r="GE64">
        <f>SUMPRODUCT(--('Данные 1st'!$S$2:$S$317=$A64),--ISNUMBER('Данные 1st'!$LE$2:$LE$317))</f>
        <v>0</v>
      </c>
      <c r="GF64">
        <f>SUMPRODUCT(--('Данные 1st'!$S$2:$S$317=$A64),--ISNUMBER('Данные 1st'!$LF$2:$LF$317))</f>
        <v>0</v>
      </c>
      <c r="GG64">
        <f>SUMPRODUCT(--('Данные 1st'!$S$2:$S$317=$A64),--ISNUMBER('Данные 1st'!$LG$2:$LG$317))</f>
        <v>0</v>
      </c>
      <c r="GH64">
        <f>SUMPRODUCT(--('Данные 1st'!$S$2:$S$317=$A64),--ISNUMBER('Данные 1st'!$LH$2:$LH$317))</f>
        <v>0</v>
      </c>
      <c r="GI64">
        <f>SUMPRODUCT(--('Данные 1st'!$S$2:$S$317=$A64),--ISNUMBER('Данные 1st'!$LI$2:$LI$317))</f>
        <v>0</v>
      </c>
      <c r="GJ64">
        <f>SUMPRODUCT(--('Данные 1st'!$S$2:$S$317=$A64),--ISNUMBER('Данные 1st'!$LJ$2:$LJ$317))</f>
        <v>0</v>
      </c>
      <c r="GK64">
        <f>SUMPRODUCT(--('Данные 1st'!$S$2:$S$317=$A64),--ISNUMBER('Данные 1st'!$LK$2:$LK$317))</f>
        <v>4</v>
      </c>
      <c r="GL64">
        <f>SUMPRODUCT(--('Данные 1st'!$S$2:$S$317=$A64),--ISNUMBER('Данные 1st'!$LV$2:$LV$317))</f>
        <v>0</v>
      </c>
      <c r="GM64">
        <f>SUMPRODUCT(--('Данные 1st'!$S$2:$S$317=$A64),--ISNUMBER('Данные 1st'!$LW$2:$LW$317))</f>
        <v>0</v>
      </c>
      <c r="GN64">
        <f>SUMPRODUCT(--('Данные 1st'!$S$2:$S$317=$A64),--ISNUMBER('Данные 1st'!$LX$2:$LX$317))</f>
        <v>0</v>
      </c>
      <c r="GO64">
        <f>SUMPRODUCT(--('Данные 1st'!$S$2:$S$317=$A64),--ISNUMBER('Данные 1st'!$LY$2:$LY$317))</f>
        <v>0</v>
      </c>
      <c r="GP64">
        <f>SUMPRODUCT(--('Данные 1st'!$S$2:$S$317=$A64),--ISNUMBER('Данные 1st'!$LZ$2:$LZ$317))</f>
        <v>0</v>
      </c>
      <c r="GQ64">
        <f>SUMPRODUCT(--('Данные 1st'!$S$2:$S$317=$A64),--ISNUMBER('Данные 1st'!$PG$2:$PG$317))</f>
        <v>4</v>
      </c>
      <c r="GR64">
        <f>SUMPRODUCT(--('Данные 1st'!$S$2:$S$317=$A64),--ISNUMBER('Данные 1st'!$PX$2:$PX$317))</f>
        <v>4</v>
      </c>
      <c r="GS64">
        <f>SUMPRODUCT(--('Данные 1st'!$S$2:$S$317=$A64),--ISNUMBER('Данные 1st'!$PY$2:$PY$317))</f>
        <v>4</v>
      </c>
      <c r="GT64">
        <f>SUMPRODUCT(--('Данные 1st'!$S$2:$S$317=$A64),--ISNUMBER('Данные 1st'!$QA$2:$QA$317))</f>
        <v>4</v>
      </c>
      <c r="GU64">
        <f>SUMPRODUCT(--('Данные 1st'!$S$2:$S$317=$A64),--ISNUMBER('Данные 1st'!$QB$2:$QB$317))</f>
        <v>4</v>
      </c>
      <c r="GV64">
        <f>SUMPRODUCT(--('Данные 1st'!$S$2:$S$317=$A64),--ISNUMBER('Данные 1st'!$QC$2:$QC$317))</f>
        <v>4</v>
      </c>
      <c r="GW64">
        <f>SUMPRODUCT(--('Данные 1st'!$S$2:$S$317=$A64),--ISNUMBER('Данные 1st'!$QD$2:$QD$317))</f>
        <v>4</v>
      </c>
      <c r="GX64">
        <f>SUMPRODUCT(--('Данные 1st'!$S$2:$S$317=$A64),--ISNUMBER('Данные 1st'!$QF$2:$QF$317))</f>
        <v>4</v>
      </c>
      <c r="GY64">
        <f>SUMPRODUCT(--('Данные 1st'!$S$2:$S$317=$A64),--ISNUMBER('Данные 1st'!$QG$2:$QG$317))</f>
        <v>4</v>
      </c>
      <c r="GZ64">
        <f>SUMPRODUCT(--('Данные 1st'!$S$2:$S$317=$A64),--ISNUMBER('Данные 1st'!$QH$2:$QH$317))</f>
        <v>4</v>
      </c>
      <c r="HA64">
        <f>SUMPRODUCT(--('Данные 1st'!$S$2:$S$317=$A64),--ISNUMBER('Данные 1st'!$QI$2:$QI$317))</f>
        <v>4</v>
      </c>
      <c r="HB64">
        <f>SUMPRODUCT(--('Данные 1st'!$S$2:$S$317=$A64),--ISNUMBER('Данные 1st'!$QK$2:$QK$317))</f>
        <v>4</v>
      </c>
      <c r="HC64">
        <f>SUMPRODUCT(--('Данные 1st'!$S$2:$S$317=$A64),--ISNUMBER('Данные 1st'!$QL$2:$QL$317))</f>
        <v>4</v>
      </c>
      <c r="HD64">
        <f>SUMPRODUCT(--('Данные 1st'!$S$2:$S$317=$A64),--ISNUMBER('Данные 1st'!$QM$2:$QM$317))</f>
        <v>4</v>
      </c>
      <c r="HE64">
        <f>SUMPRODUCT(--('Данные 1st'!$S$2:$S$317=$A64),--ISNUMBER('Данные 1st'!$QN$2:$QN$317))</f>
        <v>4</v>
      </c>
      <c r="HF64">
        <f>SUMPRODUCT(--('Данные 1st'!$S$2:$S$317=$A64),--ISNUMBER('Данные 1st'!$QP$2:$QP$317))</f>
        <v>4</v>
      </c>
      <c r="HG64">
        <f>SUMPRODUCT(--('Данные 1st'!$S$2:$S$317=$A64),--ISNUMBER('Данные 1st'!$QQ$2:$QQ$317))</f>
        <v>4</v>
      </c>
      <c r="HH64">
        <f>SUMPRODUCT(--('Данные 1st'!$S$2:$S$317=$A64),--ISNUMBER('Данные 1st'!$QR$2:$QR$317))</f>
        <v>3</v>
      </c>
      <c r="HI64">
        <f>SUMPRODUCT(--('Данные 1st'!$S$2:$S$317=$A64),--ISNUMBER('Данные 1st'!$QS$2:$QS$317))</f>
        <v>3</v>
      </c>
      <c r="HJ64">
        <f>SUMPRODUCT(--('Данные 1st'!$S$2:$S$317=$A64),--ISNUMBER('Данные 1st'!$QU$2:$QU$317))</f>
        <v>3</v>
      </c>
      <c r="HK64">
        <f>SUMPRODUCT(--('Данные 1st'!$S$2:$S$317=$A64),--ISNUMBER('Данные 1st'!$QV$2:$QV$317))</f>
        <v>3</v>
      </c>
      <c r="HL64">
        <f>SUMPRODUCT(--('Данные 1st'!$S$2:$S$317=$A64),--ISNUMBER('Данные 1st'!$QW$2:$QW$317))</f>
        <v>4</v>
      </c>
      <c r="HM64">
        <f>SUMPRODUCT(--('Данные 1st'!$S$2:$S$317=$A64),--ISNUMBER('Данные 1st'!$QX$2:$QX$317))</f>
        <v>4</v>
      </c>
      <c r="HN64">
        <f>SUMPRODUCT(--('Данные 1st'!$S$2:$S$317=$A64),--ISNUMBER('Данные 1st'!$QZ$2:$QZ$317))</f>
        <v>4</v>
      </c>
      <c r="HO64">
        <f>SUMPRODUCT(--('Данные 1st'!$S$2:$S$317=$A64),--ISNUMBER('Данные 1st'!$RA$2:$RA$317))</f>
        <v>4</v>
      </c>
      <c r="HP64">
        <f>SUMPRODUCT(--('Данные 1st'!$S$2:$S$317=$A64),--ISNUMBER('Данные 1st'!$RB$2:$RB$317))</f>
        <v>4</v>
      </c>
      <c r="HQ64">
        <f>SUMPRODUCT(--('Данные 1st'!$S$2:$S$317=$A64),--ISNUMBER('Данные 1st'!$RD$2:$RD$317))</f>
        <v>0</v>
      </c>
      <c r="HR64">
        <f>SUMPRODUCT(--('Данные 1st'!$S$2:$S$317=$A64),--ISNUMBER('Данные 1st'!$RE$2:$RE$317))</f>
        <v>4</v>
      </c>
      <c r="HS64">
        <f>SUMPRODUCT(--('Данные 1st'!$S$2:$S$317=$A64),--ISNUMBER('Данные 1st'!$RF$2:$RF$317))</f>
        <v>4</v>
      </c>
      <c r="HT64">
        <f>SUMPRODUCT(--('Данные 1st'!$S$2:$S$317=$A64),--ISNUMBER('Данные 1st'!$RG$2:$RG$317))</f>
        <v>0</v>
      </c>
      <c r="HU64">
        <f>SUMPRODUCT(--('Данные 1st'!$S$2:$S$317=$A64),--ISNUMBER('Данные 1st'!$RH$2:$RH$317))</f>
        <v>2</v>
      </c>
      <c r="HV64">
        <f>SUMPRODUCT(--('Данные 1st'!$S$2:$S$317=$A64),--ISNUMBER('Данные 1st'!$RI$2:$RI$317))</f>
        <v>1</v>
      </c>
      <c r="HW64">
        <f>SUMPRODUCT(--('Данные 1st'!$S$2:$S$317=$A64),--ISNUMBER('Данные 1st'!$RJ$2:$RJ$317))</f>
        <v>4</v>
      </c>
      <c r="HX64">
        <f>SUMPRODUCT(--('Данные 1st'!$S$2:$S$317=$A64),--ISNUMBER('Данные 1st'!$RK$2:$RK$317))</f>
        <v>4</v>
      </c>
      <c r="HY64">
        <f>SUMPRODUCT(--('Данные 1st'!$S$2:$S$317=$A64),--ISNUMBER('Данные 1st'!$RL$2:$RL$317))</f>
        <v>4</v>
      </c>
      <c r="HZ64">
        <f>SUMPRODUCT(--('Данные 1st'!$S$2:$S$317=$A64),--ISNUMBER('Данные 1st'!$RM$2:$RM$317))</f>
        <v>3</v>
      </c>
      <c r="IA64">
        <f>SUMPRODUCT(--('Данные 1st'!$S$2:$S$317=$A64),--ISNUMBER('Данные 1st'!$RN$2:$RN$317))</f>
        <v>0</v>
      </c>
      <c r="IB64">
        <f>SUMPRODUCT(--('Данные 1st'!$S$2:$S$317=$A64),--ISNUMBER('Данные 1st'!$RO$2:$RO$317))</f>
        <v>4</v>
      </c>
      <c r="IC64">
        <f>SUMPRODUCT(--('Данные 1st'!$S$2:$S$317=$A64),--ISNUMBER('Данные 1st'!$RP$2:$RP$317))</f>
        <v>4</v>
      </c>
      <c r="ID64">
        <f>SUMPRODUCT(--('Данные 1st'!$S$2:$S$317=$A64),--ISNUMBER('Данные 1st'!$RQ$2:$RQ$317))</f>
        <v>4</v>
      </c>
      <c r="IE64">
        <f>SUMPRODUCT(--('Данные 1st'!$S$2:$S$317=$A64),--ISNUMBER('Данные 1st'!$RR$2:$RR$317))</f>
        <v>3</v>
      </c>
      <c r="IF64">
        <f>SUMPRODUCT(--('Данные 1st'!$S$2:$S$317=$A64),--ISNUMBER('Данные 1st'!$RS$2:$RS$317))</f>
        <v>0</v>
      </c>
      <c r="IG64">
        <f>SUMPRODUCT(--('Данные 1st'!$S$2:$S$317=$A64),--ISNUMBER('Данные 1st'!$RT$2:$RT$317))</f>
        <v>4</v>
      </c>
      <c r="IH64">
        <f>SUMPRODUCT(--('Данные 1st'!$S$2:$S$317=$A64),--ISNUMBER('Данные 1st'!$RU$2:$RU$317))</f>
        <v>4</v>
      </c>
      <c r="II64">
        <f>SUMPRODUCT(--('Данные 1st'!$S$2:$S$317=$A64),--ISNUMBER('Данные 1st'!$RX$2:$RX$317))</f>
        <v>4</v>
      </c>
      <c r="IJ64">
        <f>SUMPRODUCT(--('Данные 1st'!$S$2:$S$317=$A64),--ISNUMBER('Данные 1st'!$RY$2:$RY$317))</f>
        <v>4</v>
      </c>
      <c r="IK64">
        <f>SUMPRODUCT(--('Данные 1st'!$S$2:$S$317=$A64),--ISNUMBER('Данные 1st'!$SA$2:$SA$317))</f>
        <v>4</v>
      </c>
      <c r="IL64">
        <f>SUMPRODUCT(--('Данные 1st'!$S$2:$S$317=$A64),--ISNUMBER('Данные 1st'!$SD$2:$SD$317))</f>
        <v>4</v>
      </c>
      <c r="IM64">
        <f>SUMPRODUCT(--('Данные 1st'!$S$2:$S$317=$A64),--ISNUMBER('Данные 1st'!$SG$2:$SG$317))</f>
        <v>3</v>
      </c>
      <c r="IN64">
        <f>SUMPRODUCT(--('Данные 1st'!$S$2:$S$317=$A64),--ISNUMBER('Данные 1st'!$SH$2:$SH$317))</f>
        <v>4</v>
      </c>
      <c r="IO64">
        <f>SUMPRODUCT(--('Данные 1st'!$S$2:$S$317=$A64),--ISNUMBER('Данные 1st'!$SI$2:$SI$317))</f>
        <v>4</v>
      </c>
      <c r="IP64">
        <f>SUMPRODUCT(--('Данные 1st'!$S$2:$S$317=$A64),--ISNUMBER('Данные 1st'!$SJ$2:$SJ$317))</f>
        <v>4</v>
      </c>
      <c r="IQ64">
        <f>SUMPRODUCT(--('Данные 1st'!$S$2:$S$317=$A64),--ISNUMBER('Данные 1st'!$SK$2:$SK$317))</f>
        <v>4</v>
      </c>
      <c r="IR64">
        <f>SUMPRODUCT(--('Данные 1st'!$S$2:$S$317=$A64),--ISNUMBER('Данные 1st'!$SL$2:$SL$317))</f>
        <v>4</v>
      </c>
      <c r="IS64">
        <f>SUMPRODUCT(--('Данные 1st'!$S$2:$S$317=$A64),--ISNUMBER('Данные 1st'!$SM$2:$SM$317))</f>
        <v>4</v>
      </c>
      <c r="IT64">
        <f>SUMPRODUCT(--('Данные 1st'!$S$2:$S$317=$A64),--ISNUMBER('Данные 1st'!$SN$2:$SN$317))</f>
        <v>4</v>
      </c>
      <c r="IU64">
        <f>SUMPRODUCT(--('Данные 1st'!$S$2:$S$317=$A64),--ISNUMBER('Данные 1st'!$SO$2:$SO$317))</f>
        <v>4</v>
      </c>
      <c r="IV64">
        <f>SUMPRODUCT(--('Данные 1st'!$S$2:$S$317=$A64),--ISNUMBER('Данные 1st'!$SP$2:$SP$317))</f>
        <v>4</v>
      </c>
      <c r="IW64">
        <f>SUMPRODUCT(--('Данные 1st'!$S$2:$S$317=$A64),--ISNUMBER('Данные 1st'!$SQ$2:$SQ$317))</f>
        <v>4</v>
      </c>
      <c r="IX64">
        <f>SUMPRODUCT(--('Данные 1st'!$S$2:$S$317=$A64),--ISNUMBER('Данные 1st'!$SR$2:$SR$317))</f>
        <v>4</v>
      </c>
      <c r="IY64">
        <f>SUMPRODUCT(--('Данные 1st'!$S$2:$S$317=$A64),--ISNUMBER('Данные 1st'!$SS$2:$SS$317))</f>
        <v>4</v>
      </c>
      <c r="IZ64">
        <f>SUMPRODUCT(--('Данные 1st'!$S$2:$S$317=$A64),--ISNUMBER('Данные 1st'!$ST$2:$ST$317))</f>
        <v>4</v>
      </c>
      <c r="JA64">
        <f>SUMPRODUCT(--('Данные 1st'!$S$2:$S$317=$A64),--ISNUMBER('Данные 1st'!$SU$2:$SU$317))</f>
        <v>4</v>
      </c>
      <c r="JB64">
        <f>SUMPRODUCT(--('Данные 1st'!$S$2:$S$317=$A64),--ISNUMBER('Данные 1st'!$SV$2:$SV$317))</f>
        <v>4</v>
      </c>
      <c r="JC64">
        <f>SUMPRODUCT(--('Данные 1st'!$S$2:$S$317=$A64),--ISNUMBER('Данные 1st'!$SW$2:$SW$317))</f>
        <v>4</v>
      </c>
      <c r="JD64">
        <f>SUMPRODUCT(--('Данные 1st'!$S$2:$S$317=$A64),--ISNUMBER('Данные 1st'!$SX$2:$SX$317))</f>
        <v>4</v>
      </c>
      <c r="JE64">
        <f>SUMPRODUCT(--('Данные 1st'!$S$2:$S$317=$A64),--ISNUMBER('Данные 1st'!$SY$2:$SY$317))</f>
        <v>4</v>
      </c>
      <c r="JF64">
        <f>SUMPRODUCT(--('Данные 1st'!$S$2:$S$317=$A64),--ISNUMBER('Данные 1st'!$SZ$2:$SZ$317))</f>
        <v>3</v>
      </c>
      <c r="JG64">
        <f>SUMPRODUCT(--('Данные 1st'!$S$2:$S$317=$A64),--ISNUMBER('Данные 1st'!$TA$2:$TA$317))</f>
        <v>0</v>
      </c>
      <c r="JH64">
        <f>SUMPRODUCT(--('Данные 1st'!$S$2:$S$317=$A64),--ISNUMBER('Данные 1st'!$TB$2:$TB$317))</f>
        <v>4</v>
      </c>
      <c r="JI64">
        <f>SUMPRODUCT(--('Данные 1st'!$S$2:$S$317=$A64),--ISNUMBER('Данные 1st'!$TC$2:$TC$317))</f>
        <v>4</v>
      </c>
      <c r="JJ64">
        <f>SUMPRODUCT(--('Данные 1st'!$S$2:$S$317=$A64),--ISNUMBER('Данные 1st'!$TD$2:$TD$317))</f>
        <v>4</v>
      </c>
      <c r="JK64">
        <f>SUMPRODUCT(--('Данные 1st'!$S$2:$S$317=$A64),--ISNUMBER('Данные 1st'!$TN$2:$TN$317))</f>
        <v>4</v>
      </c>
      <c r="JQ64">
        <f>SUMPRODUCT(--('Данные 2st'!$Q$2:$Q$317=$A64),--ISNUMBER('Данные 2st'!$AC$2:$AC$317))</f>
        <v>4</v>
      </c>
      <c r="JR64">
        <f>SUMPRODUCT(--('Данные 2st'!$Q$2:$Q$317=$A64),--ISNUMBER('Данные 2st'!$AF$2:$AF$317))</f>
        <v>4</v>
      </c>
      <c r="JS64">
        <f>SUMPRODUCT(--('Данные 2st'!$Q$2:$Q$317=$A64),--ISNUMBER('Данные 2st'!$AW$2:$AW$317))</f>
        <v>4</v>
      </c>
      <c r="JT64">
        <f>SUMPRODUCT(--('Данные 2st'!$Q$2:$Q$317=$A64),--ISNUMBER('Данные 2st'!$AX$2:$AX$317))</f>
        <v>4</v>
      </c>
      <c r="JU64">
        <f>SUMPRODUCT(--('Данные 2st'!$Q$2:$Q$317=$A64),--ISNUMBER('Данные 2st'!$AY$2:$AY$317))</f>
        <v>4</v>
      </c>
      <c r="JV64">
        <f>SUMPRODUCT(--('Данные 2st'!$Q$2:$Q$317=$A64),--ISNUMBER('Данные 2st'!$AZ$2:$AZ$317))</f>
        <v>4</v>
      </c>
      <c r="JW64">
        <f>SUMPRODUCT(--('Данные 2st'!$Q$2:$Q$317=$A64),--ISNUMBER('Данные 2st'!$BA$2:$BA$317))</f>
        <v>0</v>
      </c>
      <c r="JX64">
        <f>SUMPRODUCT(--('Данные 2st'!$Q$2:$Q$317=$A64),--ISNUMBER('Данные 2st'!$BB$2:$BB$317))</f>
        <v>0</v>
      </c>
      <c r="JY64">
        <f>SUMPRODUCT(--('Данные 2st'!$Q$2:$Q$317=$A64),--ISNUMBER('Данные 2st'!$BC$2:$BC$317))</f>
        <v>0</v>
      </c>
      <c r="JZ64">
        <f>SUMPRODUCT(--('Данные 2st'!$Q$2:$Q$317=$A64),--ISNUMBER('Данные 2st'!$BH$2:$BH$317))</f>
        <v>4</v>
      </c>
      <c r="KA64">
        <f>SUMPRODUCT(--('Данные 2st'!$Q$2:$Q$317=$A64),--ISNUMBER('Данные 2st'!$BI$2:$BI$317))</f>
        <v>4</v>
      </c>
      <c r="KB64">
        <f>SUMPRODUCT(--('Данные 2st'!$Q$2:$Q$317=$A64),--ISNUMBER('Данные 2st'!$BJ$2:$BJ$317))</f>
        <v>4</v>
      </c>
      <c r="KC64">
        <f>SUMPRODUCT(--('Данные 2st'!$Q$2:$Q$317=$A64),--ISNUMBER('Данные 2st'!$BK$2:$BK$317))</f>
        <v>4</v>
      </c>
      <c r="KD64">
        <f>SUMPRODUCT(--('Данные 2st'!$Q$2:$Q$317=$A64),--ISNUMBER('Данные 2st'!$BL$2:$BL$317))</f>
        <v>4</v>
      </c>
      <c r="KE64">
        <f>SUMPRODUCT(--('Данные 2st'!$Q$2:$Q$317=$A64),--ISNUMBER('Данные 2st'!$BM$2:$BM$317))</f>
        <v>4</v>
      </c>
      <c r="KF64">
        <f>SUMPRODUCT(--('Данные 2st'!$Q$2:$Q$317=$A64),--ISNUMBER('Данные 2st'!$BN$2:$BN$317))</f>
        <v>4</v>
      </c>
      <c r="KG64">
        <f>SUMPRODUCT(--('Данные 2st'!$Q$2:$Q$317=$A64),--ISNUMBER('Данные 2st'!$BO$2:$BO$317))</f>
        <v>1</v>
      </c>
      <c r="KH64">
        <f>SUMPRODUCT(--('Данные 2st'!$Q$2:$Q$317=$A64),--ISNUMBER('Данные 2st'!$BP$2:$BP$317))</f>
        <v>4</v>
      </c>
      <c r="KI64">
        <f>SUMPRODUCT(--('Данные 2st'!$Q$2:$Q$317=$A64),--ISNUMBER('Данные 2st'!$BR$2:$BR$317))</f>
        <v>4</v>
      </c>
      <c r="KJ64">
        <f>SUMPRODUCT(--('Данные 2st'!$Q$2:$Q$317=$A64),--ISNUMBER('Данные 2st'!$BS$2:$BS$317))</f>
        <v>4</v>
      </c>
      <c r="KK64">
        <f>SUMPRODUCT(--('Данные 2st'!$Q$2:$Q$317=$A64),--ISNUMBER('Данные 2st'!$BT$2:$BT$317))</f>
        <v>4</v>
      </c>
      <c r="KL64">
        <f>SUMPRODUCT(--('Данные 2st'!$Q$2:$Q$317=$A64),--ISNUMBER('Данные 2st'!$CV$2:$CV$317))</f>
        <v>4</v>
      </c>
      <c r="KM64">
        <f>SUMPRODUCT(--('Данные 2st'!$Q$2:$Q$317=$A64),--ISNUMBER('Данные 2st'!$CW$2:$CW$317))</f>
        <v>4</v>
      </c>
      <c r="KN64">
        <f>SUMPRODUCT(--('Данные 2st'!$Q$2:$Q$317=$A64),--ISNUMBER('Данные 2st'!$CX$2:$CX$317))</f>
        <v>4</v>
      </c>
      <c r="KO64">
        <f>SUMPRODUCT(--('Данные 2st'!$Q$2:$Q$317=$A64),--ISNUMBER('Данные 2st'!$CY$2:$CY$317))</f>
        <v>4</v>
      </c>
      <c r="KP64">
        <f>SUMPRODUCT(--('Данные 2st'!$Q$2:$Q$317=$A64),--ISNUMBER('Данные 2st'!$CZ$2:$CZ$317))</f>
        <v>4</v>
      </c>
      <c r="KQ64">
        <f>SUMPRODUCT(--('Данные 2st'!$Q$2:$Q$317=$A64),--ISNUMBER('Данные 2st'!$DA$2:$DA$317))</f>
        <v>4</v>
      </c>
      <c r="KR64">
        <f>SUMPRODUCT(--('Данные 2st'!$Q$2:$Q$317=$A64),--ISNUMBER('Данные 2st'!$DB$2:$DB$317))</f>
        <v>4</v>
      </c>
      <c r="KS64">
        <f>SUMPRODUCT(--('Данные 2st'!$Q$2:$Q$317=$A64),--ISNUMBER('Данные 2st'!$DC$2:$DC$317))</f>
        <v>4</v>
      </c>
      <c r="KT64">
        <f>SUMPRODUCT(--('Данные 2st'!$Q$2:$Q$317=$A64),--ISNUMBER('Данные 2st'!$DD$2:$DD$317))</f>
        <v>4</v>
      </c>
      <c r="KU64">
        <f>SUMPRODUCT(--('Данные 2st'!$Q$2:$Q$317=$A64),--ISNUMBER('Данные 2st'!$DE$2:$DE$317))</f>
        <v>4</v>
      </c>
      <c r="KV64">
        <f>SUMPRODUCT(--('Данные 2st'!$Q$2:$Q$317=$A64),--ISNUMBER('Данные 2st'!$DF$2:$DF$317))</f>
        <v>4</v>
      </c>
      <c r="KW64">
        <f>SUMPRODUCT(--('Данные 2st'!$Q$2:$Q$317=$A64),--ISNUMBER('Данные 2st'!$DG$2:$DG$317))</f>
        <v>4</v>
      </c>
      <c r="KX64">
        <f>SUMPRODUCT(--('Данные 2st'!$Q$2:$Q$317=$A64),--ISNUMBER('Данные 2st'!$DH$2:$DH$317))</f>
        <v>4</v>
      </c>
      <c r="KY64">
        <f>SUMPRODUCT(--('Данные 2st'!$Q$2:$Q$317=$A64),--ISNUMBER('Данные 2st'!$DI$2:$DI$317))</f>
        <v>0</v>
      </c>
      <c r="KZ64">
        <f>SUMPRODUCT(--('Данные 2st'!$Q$2:$Q$317=$A64),--ISNUMBER('Данные 2st'!$DK$2:$DK$317))</f>
        <v>4</v>
      </c>
      <c r="LA64">
        <f>SUMPRODUCT(--('Данные 2st'!$Q$2:$Q$317=$A64),--ISNUMBER('Данные 2st'!$DM$2:$DM$317))</f>
        <v>4</v>
      </c>
      <c r="LB64">
        <f>SUMPRODUCT(--('Данные 2st'!$Q$2:$Q$317=$A64),--ISNUMBER('Данные 2st'!$DN$2:$DN$317))</f>
        <v>4</v>
      </c>
      <c r="LC64">
        <f>SUMPRODUCT(--('Данные 2st'!$Q$2:$Q$317=$A64),--ISNUMBER('Данные 2st'!$DO$2:$DO$317))</f>
        <v>4</v>
      </c>
      <c r="LD64">
        <f>SUMPRODUCT(--('Данные 2st'!$Q$2:$Q$317=$A64),--ISNUMBER('Данные 2st'!$DP$2:$DP$317))</f>
        <v>4</v>
      </c>
      <c r="LE64">
        <f>SUMPRODUCT(--('Данные 2st'!$Q$2:$Q$317=$A64),--ISNUMBER('Данные 2st'!$DQ$2:$DQ$317))</f>
        <v>4</v>
      </c>
      <c r="LF64">
        <f>SUMPRODUCT(--('Данные 2st'!$Q$2:$Q$317=$A64),--ISNUMBER('Данные 2st'!$DS$2:$DS$317))</f>
        <v>4</v>
      </c>
      <c r="LG64">
        <f>SUMPRODUCT(--('Данные 2st'!$Q$2:$Q$317=$A64),--ISNUMBER('Данные 2st'!$DU$2:$DU$317))</f>
        <v>4</v>
      </c>
      <c r="LH64">
        <f>SUMPRODUCT(--('Данные 2st'!$Q$2:$Q$317=$A64),--ISNUMBER('Данные 2st'!$DV$2:$DV$317))</f>
        <v>4</v>
      </c>
      <c r="LI64">
        <f>SUMPRODUCT(--('Данные 2st'!$Q$2:$Q$317=$A64),--ISNUMBER('Данные 2st'!$DW$2:$DW$317))</f>
        <v>4</v>
      </c>
      <c r="LJ64">
        <f>SUMPRODUCT(--('Данные 2st'!$Q$2:$Q$317=$A64),--ISNUMBER('Данные 2st'!$DX$2:$DX$317))</f>
        <v>4</v>
      </c>
      <c r="LK64">
        <f>SUMPRODUCT(--('Данные 2st'!$Q$2:$Q$317=$A64),--ISNUMBER('Данные 2st'!$DY$2:$DY$317))</f>
        <v>4</v>
      </c>
      <c r="LL64">
        <f>SUMPRODUCT(--('Данные 2st'!$Q$2:$Q$317=$A64),--ISNUMBER('Данные 2st'!$EA$2:$EA$317))</f>
        <v>4</v>
      </c>
      <c r="LM64">
        <f>SUMPRODUCT(--('Данные 2st'!$Q$2:$Q$317=$A64),--ISNUMBER('Данные 2st'!$EC$2:$EC$317))</f>
        <v>4</v>
      </c>
      <c r="LN64">
        <f>SUMPRODUCT(--('Данные 2st'!$Q$2:$Q$317=$A64),--ISNUMBER('Данные 2st'!$ED$2:$ED$317))</f>
        <v>4</v>
      </c>
      <c r="LO64">
        <f>SUMPRODUCT(--('Данные 2st'!$Q$2:$Q$317=$A64),--ISNUMBER('Данные 2st'!$EE$2:$EE$317))</f>
        <v>4</v>
      </c>
      <c r="LP64">
        <f>SUMPRODUCT(--('Данные 2st'!$Q$2:$Q$317=$A64),--ISNUMBER('Данные 2st'!$EG$2:$EG$317))</f>
        <v>4</v>
      </c>
      <c r="LQ64">
        <f>SUMPRODUCT(--('Данные 2st'!$Q$2:$Q$317=$A64),--ISNUMBER('Данные 2st'!$EI$2:$EI$317))</f>
        <v>4</v>
      </c>
      <c r="LR64">
        <f>SUMPRODUCT(--('Данные 2st'!$Q$2:$Q$317=$A64),--ISNUMBER('Данные 2st'!$EJ$2:$EJ$317))</f>
        <v>0</v>
      </c>
      <c r="LS64">
        <f>SUMPRODUCT(--('Данные 2st'!$Q$2:$Q$317=$A64),--ISNUMBER('Данные 2st'!$EK$2:$EK$317))</f>
        <v>0</v>
      </c>
      <c r="LT64">
        <f>SUMPRODUCT(--('Данные 2st'!$Q$2:$Q$317=$A64),--ISNUMBER('Данные 2st'!$EM$2:$EM$317))</f>
        <v>4</v>
      </c>
      <c r="LU64">
        <f>SUMPRODUCT(--('Данные 2st'!$Q$2:$Q$317=$A64),--ISNUMBER('Данные 2st'!$EN$2:$EN$317))</f>
        <v>4</v>
      </c>
      <c r="LV64">
        <f>SUMPRODUCT(--('Данные 2st'!$Q$2:$Q$317=$A64),--ISNUMBER('Данные 2st'!$EO$2:$EO$317))</f>
        <v>4</v>
      </c>
      <c r="LW64">
        <f>SUMPRODUCT(--('Данные 2st'!$Q$2:$Q$317=$A64),--ISNUMBER('Данные 2st'!$EP$2:$EP$317))</f>
        <v>4</v>
      </c>
      <c r="LX64">
        <f>SUMPRODUCT(--('Данные 2st'!$Q$2:$Q$317=$A64),--ISNUMBER('Данные 2st'!$EQ$2:$EQ$317))</f>
        <v>4</v>
      </c>
      <c r="LY64">
        <f>SUMPRODUCT(--('Данные 2st'!$Q$2:$Q$317=$A64),--ISNUMBER('Данные 2st'!$ER$2:$ER$317))</f>
        <v>4</v>
      </c>
      <c r="LZ64">
        <f>SUMPRODUCT(--('Данные 2st'!$Q$2:$Q$317=$A64),--ISNUMBER('Данные 2st'!$ES$2:$ES$317))</f>
        <v>4</v>
      </c>
      <c r="MA64">
        <f>SUMPRODUCT(--('Данные 2st'!$Q$2:$Q$317=$A64),--ISNUMBER('Данные 2st'!$ET$2:$ET$317))</f>
        <v>4</v>
      </c>
      <c r="MB64">
        <f>SUMPRODUCT(--('Данные 2st'!$Q$2:$Q$317=$A64),--ISNUMBER('Данные 2st'!$EU$2:$EU$317))</f>
        <v>4</v>
      </c>
      <c r="MC64">
        <f>SUMPRODUCT(--('Данные 2st'!$Q$2:$Q$317=$A64),--ISNUMBER('Данные 2st'!$EV$2:$EV$317))</f>
        <v>4</v>
      </c>
      <c r="MD64">
        <f>SUMPRODUCT(--('Данные 2st'!$Q$2:$Q$317=$A64),--ISNUMBER('Данные 2st'!$EW$2:$EW$317))</f>
        <v>4</v>
      </c>
      <c r="ME64">
        <f>SUMPRODUCT(--('Данные 2st'!$Q$2:$Q$317=$A64),--ISNUMBER('Данные 2st'!$EY$2:$EY$317))</f>
        <v>4</v>
      </c>
      <c r="MF64">
        <f>SUMPRODUCT(--('Данные 2st'!$Q$2:$Q$317=$A64),--ISNUMBER('Данные 2st'!$FA$2:$FA$317))</f>
        <v>4</v>
      </c>
      <c r="MG64">
        <f>SUMPRODUCT(--('Данные 2st'!$Q$2:$Q$317=$A64),--ISNUMBER('Данные 2st'!$FB$2:$FB$317))</f>
        <v>4</v>
      </c>
      <c r="MH64">
        <f>SUMPRODUCT(--('Данные 2st'!$Q$2:$Q$317=$A64),--ISNUMBER('Данные 2st'!$FC$2:$FC$317))</f>
        <v>4</v>
      </c>
      <c r="MI64">
        <f>SUMPRODUCT(--('Данные 2st'!$Q$2:$Q$317=$A64),--ISNUMBER('Данные 2st'!$FD$2:$FD$317))</f>
        <v>4</v>
      </c>
      <c r="MJ64">
        <f>SUMPRODUCT(--('Данные 2st'!$Q$2:$Q$317=$A64),--ISNUMBER('Данные 2st'!$FE$2:$FE$317))</f>
        <v>4</v>
      </c>
      <c r="MK64">
        <f>SUMPRODUCT(--('Данные 2st'!$Q$2:$Q$317=$A64),--ISNUMBER('Данные 2st'!$FG$2:$FG$317))</f>
        <v>4</v>
      </c>
      <c r="ML64">
        <f>SUMPRODUCT(--('Данные 2st'!$Q$2:$Q$317=$A64),--ISNUMBER('Данные 2st'!$FI$2:$FI$317))</f>
        <v>4</v>
      </c>
      <c r="MM64">
        <f>SUMPRODUCT(--('Данные 2st'!$Q$2:$Q$317=$A64),--ISNUMBER('Данные 2st'!$FJ$2:$FJ$317))</f>
        <v>4</v>
      </c>
      <c r="MN64">
        <f>SUMPRODUCT(--('Данные 2st'!$Q$2:$Q$317=$A64),--ISNUMBER('Данные 2st'!$FK$2:$FK$317))</f>
        <v>4</v>
      </c>
      <c r="MO64">
        <f>SUMPRODUCT(--('Данные 2st'!$Q$2:$Q$317=$A64),--ISNUMBER('Данные 2st'!$FP$2:$FP$317))</f>
        <v>4</v>
      </c>
      <c r="MP64">
        <f>SUMPRODUCT(--('Данные 2st'!$Q$2:$Q$317=$A64),--ISNUMBER('Данные 2st'!$FQ$2:$FQ$317))</f>
        <v>4</v>
      </c>
      <c r="MQ64">
        <f>SUMPRODUCT(--('Данные 2st'!$Q$2:$Q$317=$A64),--ISNUMBER('Данные 2st'!$FS$2:$FS$317))</f>
        <v>4</v>
      </c>
      <c r="MR64">
        <f>SUMPRODUCT(--('Данные 2st'!$Q$2:$Q$317=$A64),--ISNUMBER('Данные 2st'!$FU$2:$FU$317))</f>
        <v>4</v>
      </c>
      <c r="MS64">
        <f>SUMPRODUCT(--('Данные 2st'!$Q$2:$Q$317=$A64),--ISNUMBER('Данные 2st'!$FV$2:$FV$317))</f>
        <v>4</v>
      </c>
      <c r="MT64">
        <f>SUMPRODUCT(--('Данные 2st'!$Q$2:$Q$317=$A64),--ISNUMBER('Данные 2st'!$FW$2:$FW$317))</f>
        <v>4</v>
      </c>
      <c r="MU64">
        <f>SUMPRODUCT(--('Данные 2st'!$Q$2:$Q$317=$A64),--ISNUMBER('Данные 2st'!$FY$2:$FY$317))</f>
        <v>4</v>
      </c>
      <c r="MV64">
        <f>SUMPRODUCT(--('Данные 2st'!$Q$2:$Q$317=$A64),--ISNUMBER('Данные 2st'!$GB$2:$GB$317))</f>
        <v>4</v>
      </c>
      <c r="MW64">
        <f>SUMPRODUCT(--('Данные 2st'!$Q$2:$Q$317=$A64),--ISNUMBER('Данные 2st'!$GC$2:$GC$317))</f>
        <v>4</v>
      </c>
      <c r="MX64">
        <f>SUMPRODUCT(--('Данные 2st'!$Q$2:$Q$317=$A64),--ISNUMBER('Данные 2st'!$GD$2:$GD$317))</f>
        <v>4</v>
      </c>
      <c r="MY64">
        <f>SUMPRODUCT(--('Данные 2st'!$Q$2:$Q$317=$A64),--ISNUMBER('Данные 2st'!$GN$2:$GN$317))</f>
        <v>0</v>
      </c>
      <c r="MZ64">
        <f>SUMPRODUCT(--('Данные 2st'!$Q$2:$Q$317=$A64),--ISNUMBER('Данные 2st'!$GQ$2:$GQ$317))</f>
        <v>4</v>
      </c>
      <c r="NA64">
        <f>SUMPRODUCT(--('Данные 2st'!$Q$2:$Q$317=$A64),--ISNUMBER('Данные 2st'!$GV$2:$GV$317))</f>
        <v>4</v>
      </c>
      <c r="NB64">
        <f>SUMPRODUCT(--('Данные 2st'!$Q$2:$Q$317=$A64),--ISNUMBER('Данные 2st'!$GW$2:$GW$317))</f>
        <v>4</v>
      </c>
      <c r="NC64">
        <f>SUMPRODUCT(--('Данные 2st'!$Q$2:$Q$317=$A64),--ISNUMBER('Данные 2st'!$GX$2:$GX$317))</f>
        <v>4</v>
      </c>
      <c r="ND64">
        <f>SUMPRODUCT(--('Данные 2st'!$Q$2:$Q$317=$A64),--ISNUMBER('Данные 2st'!$GY$2:$GY$317))</f>
        <v>4</v>
      </c>
      <c r="NE64">
        <f>SUMPRODUCT(--('Данные 2st'!$Q$2:$Q$317=$A64),--ISNUMBER('Данные 2st'!$GZ$2:$GZ$317))</f>
        <v>4</v>
      </c>
      <c r="NF64">
        <f>SUMPRODUCT(--('Данные 2st'!$Q$2:$Q$317=$A64),--ISNUMBER('Данные 2st'!$HA$2:$HA$317))</f>
        <v>4</v>
      </c>
      <c r="NG64">
        <f>SUMPRODUCT(--('Данные 2st'!$Q$2:$Q$317=$A64),--ISNUMBER('Данные 2st'!$HB$2:$HB$317))</f>
        <v>4</v>
      </c>
      <c r="NH64">
        <f>SUMPRODUCT(--('Данные 2st'!$Q$2:$Q$317=$A64),--ISNUMBER('Данные 2st'!$HC$2:$HC$317))</f>
        <v>4</v>
      </c>
      <c r="NI64">
        <f>SUMPRODUCT(--('Данные 2st'!$Q$2:$Q$317=$A64),--ISNUMBER('Данные 2st'!$HD$2:$HD$317))</f>
        <v>4</v>
      </c>
      <c r="NJ64">
        <f>SUMPRODUCT(--('Данные 2st'!$Q$2:$Q$317=$A64),--ISNUMBER('Данные 2st'!$HM$2:$HM$317))</f>
        <v>4</v>
      </c>
      <c r="NK64">
        <f>SUMPRODUCT(--('Данные 2st'!$Q$2:$Q$317=$A64),--ISNUMBER('Данные 2st'!$HR$2:$HR$317))</f>
        <v>4</v>
      </c>
      <c r="NL64">
        <f>SUMPRODUCT(--('Данные 2st'!$Q$2:$Q$317=$A64),--ISNUMBER('Данные 2st'!$HS$2:$HS$317))</f>
        <v>4</v>
      </c>
      <c r="NM64">
        <f>SUMPRODUCT(--('Данные 2st'!$Q$2:$Q$317=$A64),--ISNUMBER('Данные 2st'!$HT$2:$HT$317))</f>
        <v>4</v>
      </c>
      <c r="NN64">
        <f>SUMPRODUCT(--('Данные 2st'!$Q$2:$Q$317=$A64),--ISNUMBER('Данные 2st'!$HY$2:$HY$317))</f>
        <v>4</v>
      </c>
      <c r="NO64">
        <f>SUMPRODUCT(--('Данные 2st'!$Q$2:$Q$317=$A64),--ISNUMBER('Данные 2st'!$HZ$2:$HZ$317))</f>
        <v>4</v>
      </c>
      <c r="NP64">
        <f>SUMPRODUCT(--('Данные 2st'!$Q$2:$Q$317=$A64),--ISNUMBER('Данные 2st'!$IA$2:$IA$317))</f>
        <v>4</v>
      </c>
      <c r="NQ64">
        <f>SUMPRODUCT(--('Данные 2st'!$Q$2:$Q$317=$A64),--ISNUMBER('Данные 2st'!$IB$2:$IB$317))</f>
        <v>4</v>
      </c>
      <c r="NR64">
        <f>SUMPRODUCT(--('Данные 2st'!$Q$2:$Q$317=$A64),--ISNUMBER('Данные 2st'!$IC$2:$IC$317))</f>
        <v>0</v>
      </c>
      <c r="NS64">
        <f>SUMPRODUCT(--('Данные 2st'!$Q$2:$Q$317=$A64),--ISNUMBER('Данные 2st'!$ID$2:$ID$317))</f>
        <v>4</v>
      </c>
      <c r="NT64">
        <f>SUMPRODUCT(--('Данные 2st'!$Q$2:$Q$317=$A64),--ISNUMBER('Данные 2st'!$IE$2:$IE$317))</f>
        <v>4</v>
      </c>
      <c r="NU64">
        <f>SUMPRODUCT(--('Данные 2st'!$Q$2:$Q$317=$A64),--ISNUMBER('Данные 2st'!$IF$2:$IF$317))</f>
        <v>4</v>
      </c>
      <c r="NV64">
        <f>SUMPRODUCT(--('Данные 2st'!$Q$2:$Q$317=$A64),--ISNUMBER('Данные 2st'!$IG$2:$IG$317))</f>
        <v>4</v>
      </c>
      <c r="NW64">
        <f>SUMPRODUCT(--('Данные 2st'!$Q$2:$Q$317=$A64),--ISNUMBER('Данные 2st'!$IH$2:$IH$317))</f>
        <v>4</v>
      </c>
      <c r="NX64">
        <f>SUMPRODUCT(--('Данные 2st'!$Q$2:$Q$317=$A64),--ISNUMBER('Данные 2st'!$IJ$2:$IJ$317))</f>
        <v>4</v>
      </c>
      <c r="NY64">
        <f>SUMPRODUCT(--('Данные 2st'!$Q$2:$Q$317=$A64),--ISNUMBER('Данные 2st'!$IM$2:$IM$317))</f>
        <v>4</v>
      </c>
      <c r="NZ64">
        <f>SUMPRODUCT(--('Данные 2st'!$Q$2:$Q$317=$A64),--ISNUMBER('Данные 2st'!$IN$2:$IN$317))</f>
        <v>4</v>
      </c>
      <c r="OA64">
        <f>SUMPRODUCT(--('Данные 2st'!$Q$2:$Q$317=$A64),--ISNUMBER('Данные 2st'!$IO$2:$IO$317))</f>
        <v>4</v>
      </c>
      <c r="OB64">
        <f>SUMPRODUCT(--('Данные 2st'!$Q$2:$Q$317=$A64),--ISNUMBER('Данные 2st'!$IP$2:$IP$317))</f>
        <v>4</v>
      </c>
      <c r="OC64">
        <f>SUMPRODUCT(--('Данные 2st'!$Q$2:$Q$317=$A64),--ISNUMBER('Данные 2st'!$IQ$2:$IQ$317))</f>
        <v>4</v>
      </c>
      <c r="OD64">
        <f>SUMPRODUCT(--('Данные 2st'!$Q$2:$Q$317=$A64),--ISNUMBER('Данные 2st'!$IR$2:$IR$317))</f>
        <v>4</v>
      </c>
      <c r="OE64">
        <f>SUMPRODUCT(--('Данные 2st'!$Q$2:$Q$317=$A64),--ISNUMBER('Данные 2st'!$IT$2:$IT$317))</f>
        <v>4</v>
      </c>
      <c r="OF64">
        <f>SUMPRODUCT(--('Данные 2st'!$Q$2:$Q$317=$A64),--ISNUMBER('Данные 2st'!$IU$2:$IU$317))</f>
        <v>4</v>
      </c>
      <c r="OG64">
        <f>SUMPRODUCT(--('Данные 2st'!$Q$2:$Q$317=$A64),--ISNUMBER('Данные 2st'!$IV$2:$IV$317))</f>
        <v>4</v>
      </c>
      <c r="OH64">
        <f>SUMPRODUCT(--('Данные 2st'!$Q$2:$Q$317=$A64),--ISNUMBER('Данные 2st'!$IW$2:$IW$317))</f>
        <v>4</v>
      </c>
      <c r="OI64">
        <f>SUMPRODUCT(--('Данные 2st'!$Q$2:$Q$317=$A64),--ISNUMBER('Данные 2st'!$IX$2:$IX$317))</f>
        <v>4</v>
      </c>
      <c r="OJ64">
        <f>SUMPRODUCT(--('Данные 2st'!$Q$2:$Q$317=$A64),--ISNUMBER('Данные 2st'!$IY$2:$IY$317))</f>
        <v>4</v>
      </c>
      <c r="OK64">
        <f>SUMPRODUCT(--('Данные 2st'!$Q$2:$Q$317=$A64),--ISNUMBER('Данные 2st'!$IZ$2:$IZ$317))</f>
        <v>4</v>
      </c>
      <c r="OL64">
        <f>SUMPRODUCT(--('Данные 2st'!$Q$2:$Q$317=$A64),--ISNUMBER('Данные 2st'!$JA$2:$JA$317))</f>
        <v>4</v>
      </c>
      <c r="OM64">
        <f>SUMPRODUCT(--('Данные 2st'!$Q$2:$Q$317=$A64),--ISNUMBER('Данные 2st'!$JB$2:$JB$317))</f>
        <v>4</v>
      </c>
      <c r="ON64">
        <f>SUMPRODUCT(--('Данные 2st'!$Q$2:$Q$317=$A64),--ISNUMBER('Данные 2st'!$JC$2:$JC$317))</f>
        <v>4</v>
      </c>
      <c r="OO64">
        <f>SUMPRODUCT(--('Данные 2st'!$Q$2:$Q$317=$A64),--ISNUMBER('Данные 2st'!$JD$2:$JD$317))</f>
        <v>4</v>
      </c>
      <c r="OP64">
        <f>SUMPRODUCT(--('Данные 2st'!$Q$2:$Q$317=$A64),--ISNUMBER('Данные 2st'!$JE$2:$JE$317))</f>
        <v>4</v>
      </c>
      <c r="OQ64">
        <f>SUMPRODUCT(--('Данные 2st'!$Q$2:$Q$317=$A64),--ISNUMBER('Данные 2st'!$JF$2:$JF$317))</f>
        <v>4</v>
      </c>
      <c r="OR64">
        <f>SUMPRODUCT(--('Данные 2st'!$Q$2:$Q$317=$A64),--ISNUMBER('Данные 2st'!$JG$2:$JG$317))</f>
        <v>4</v>
      </c>
      <c r="OS64">
        <f>SUMPRODUCT(--('Данные 2st'!$Q$2:$Q$317=$A64),--ISNUMBER('Данные 2st'!$JH$2:$JH$317))</f>
        <v>4</v>
      </c>
      <c r="OT64">
        <f>SUMPRODUCT(--('Данные 2st'!$Q$2:$Q$317=$A64),--ISNUMBER('Данные 2st'!$JI$2:$JI$317))</f>
        <v>4</v>
      </c>
      <c r="OU64">
        <f>SUMPRODUCT(--('Данные 2st'!$Q$2:$Q$317=$A64),--ISNUMBER('Данные 2st'!$JJ$2:$JJ$317))</f>
        <v>4</v>
      </c>
      <c r="OV64">
        <f>SUMPRODUCT(--('Данные 2st'!$Q$2:$Q$317=$A64),--ISNUMBER('Данные 2st'!$JK$2:$JK$317))</f>
        <v>4</v>
      </c>
      <c r="OW64">
        <f>SUMPRODUCT(--('Данные 2st'!$Q$2:$Q$317=$A64),--ISNUMBER('Данные 2st'!$JL$2:$JL$317))</f>
        <v>4</v>
      </c>
      <c r="OX64">
        <f>SUMPRODUCT(--('Данные 2st'!$Q$2:$Q$317=$A64),--ISNUMBER('Данные 2st'!$JM$2:$JM$317))</f>
        <v>4</v>
      </c>
      <c r="OY64">
        <f>SUMPRODUCT(--('Данные 2st'!$Q$2:$Q$317=$A64),--ISNUMBER('Данные 2st'!$JP$2:$JP$317))</f>
        <v>4</v>
      </c>
      <c r="OZ64">
        <f>SUMPRODUCT(--('Данные 2st'!$Q$2:$Q$317=$A64),--ISNUMBER('Данные 2st'!$JQ$2:$JQ$317))</f>
        <v>4</v>
      </c>
      <c r="PA64">
        <f>SUMPRODUCT(--('Данные 2st'!$Q$2:$Q$317=$A64),--ISNUMBER('Данные 2st'!$JR$2:$JR$317))</f>
        <v>4</v>
      </c>
      <c r="PB64">
        <f>SUMPRODUCT(--('Данные 2st'!$Q$2:$Q$317=$A64),--ISNUMBER('Данные 2st'!$JS$2:$JS$317))</f>
        <v>4</v>
      </c>
      <c r="PC64">
        <f>SUMPRODUCT(--('Данные 2st'!$Q$2:$Q$317=$A64),--ISNUMBER('Данные 2st'!$JT$2:$JT$317))</f>
        <v>4</v>
      </c>
      <c r="PD64">
        <f>SUMPRODUCT(--('Данные 2st'!$Q$2:$Q$317=$A64),--ISNUMBER('Данные 2st'!$JU$2:$JU$317))</f>
        <v>4</v>
      </c>
      <c r="PE64">
        <f>SUMPRODUCT(--('Данные 2st'!$Q$2:$Q$317=$A64),--ISNUMBER('Данные 2st'!$JV$2:$JV$317))</f>
        <v>4</v>
      </c>
      <c r="PF64">
        <f>SUMPRODUCT(--('Данные 2st'!$Q$2:$Q$317=$A64),--ISNUMBER('Данные 2st'!$JW$2:$JW$317))</f>
        <v>4</v>
      </c>
      <c r="PG64">
        <f>SUMPRODUCT(--('Данные 2st'!$Q$2:$Q$317=$A64),--ISNUMBER('Данные 2st'!$KF$2:$KF$317))</f>
        <v>4</v>
      </c>
      <c r="PH64">
        <f>SUMPRODUCT(--('Данные 2st'!$Q$2:$Q$317=$A64),--ISNUMBER('Данные 2st'!$KG$2:$KG$317))</f>
        <v>4</v>
      </c>
      <c r="PI64">
        <f>SUMPRODUCT(--('Данные 2st'!$Q$2:$Q$317=$A64),--ISNUMBER('Данные 2st'!$KM$2:$KM$317))</f>
        <v>4</v>
      </c>
      <c r="PJ64">
        <f>SUMPRODUCT(--('Данные 2st'!$Q$2:$Q$317=$A64),--ISNUMBER('Данные 2st'!$KN$2:$KN$317))</f>
        <v>4</v>
      </c>
      <c r="PK64">
        <f>SUMPRODUCT(--('Данные 2st'!$Q$2:$Q$317=$A64),--ISNUMBER('Данные 2st'!$KO$2:$KO$317))</f>
        <v>4</v>
      </c>
      <c r="PL64">
        <f>SUMPRODUCT(--('Данные 2st'!$Q$2:$Q$317=$A64),--ISNUMBER('Данные 2st'!$KP$2:$KP$317))</f>
        <v>4</v>
      </c>
      <c r="PM64">
        <f>SUMPRODUCT(--('Данные 2st'!$Q$2:$Q$317=$A64),--ISNUMBER('Данные 2st'!$KQ$2:$KQ$317))</f>
        <v>4</v>
      </c>
      <c r="PN64">
        <f>SUMPRODUCT(--('Данные 2st'!$Q$2:$Q$317=$A64),--ISNUMBER('Данные 2st'!$KR$2:$KR$317))</f>
        <v>4</v>
      </c>
      <c r="PO64">
        <f>SUMPRODUCT(--('Данные 2st'!$Q$2:$Q$317=$A64),--ISNUMBER('Данные 2st'!$KS$2:$KS$317))</f>
        <v>4</v>
      </c>
      <c r="PP64">
        <f>SUMPRODUCT(--('Данные 2st'!$Q$2:$Q$317=$A64),--ISNUMBER('Данные 2st'!$KT$2:$KT$317))</f>
        <v>4</v>
      </c>
      <c r="PQ64">
        <f>SUMPRODUCT(--('Данные 2st'!$Q$2:$Q$317=$A64),--ISNUMBER('Данные 2st'!$KU$2:$KU$317))</f>
        <v>4</v>
      </c>
      <c r="PR64">
        <f>SUMPRODUCT(--('Данные 2st'!$Q$2:$Q$317=$A64),--ISNUMBER('Данные 2st'!$KV$2:$KV$317))</f>
        <v>4</v>
      </c>
      <c r="PS64">
        <f>SUMPRODUCT(--('Данные 2st'!$Q$2:$Q$317=$A64),--ISNUMBER('Данные 2st'!$KW$2:$KW$317))</f>
        <v>4</v>
      </c>
      <c r="PT64">
        <f>SUMPRODUCT(--('Данные 2st'!$Q$2:$Q$317=$A64),--ISNUMBER('Данные 2st'!$KX$2:$KX$317))</f>
        <v>4</v>
      </c>
      <c r="PU64">
        <f>SUMPRODUCT(--('Данные 2st'!$Q$2:$Q$317=$A64),--ISNUMBER('Данные 2st'!$KY$2:$KY$317))</f>
        <v>4</v>
      </c>
      <c r="PV64">
        <f>SUMPRODUCT(--('Данные 2st'!$Q$2:$Q$317=$A64),--ISNUMBER('Данные 2st'!$KZ$2:$KZ$317))</f>
        <v>4</v>
      </c>
      <c r="PW64">
        <f>SUMPRODUCT(--('Данные 2st'!$Q$2:$Q$317=$A64),--ISNUMBER('Данные 2st'!$LA$2:$LA$317))</f>
        <v>4</v>
      </c>
      <c r="PX64">
        <f>SUMPRODUCT(--('Данные 2st'!$Q$2:$Q$317=$A64),--ISNUMBER('Данные 2st'!$LB$2:$LB$317))</f>
        <v>4</v>
      </c>
      <c r="PY64">
        <f>SUMPRODUCT(--('Данные 2st'!$Q$2:$Q$317=$A64),--ISNUMBER('Данные 2st'!$LC$2:$LC$317))</f>
        <v>4</v>
      </c>
      <c r="PZ64">
        <f>SUMPRODUCT(--('Данные 2st'!$Q$2:$Q$317=$A64),--ISNUMBER('Данные 2st'!$LD$2:$LD$317))</f>
        <v>4</v>
      </c>
      <c r="QA64">
        <f>SUMPRODUCT(--('Данные 2st'!$Q$2:$Q$317=$A64),--ISNUMBER('Данные 2st'!$LE$2:$LE$317))</f>
        <v>4</v>
      </c>
      <c r="QB64">
        <f>SUMPRODUCT(--('Данные 2st'!$Q$2:$Q$317=$A64),--ISNUMBER('Данные 2st'!$LF$2:$LF$317))</f>
        <v>4</v>
      </c>
      <c r="QC64">
        <f>SUMPRODUCT(--('Данные 2st'!$Q$2:$Q$317=$A64),--ISNUMBER('Данные 2st'!$LG$2:$LG$317))</f>
        <v>4</v>
      </c>
      <c r="QD64">
        <f>SUMPRODUCT(--('Данные 2st'!$Q$2:$Q$317=$A64),--ISNUMBER('Данные 2st'!$LH$2:$LH$317))</f>
        <v>4</v>
      </c>
      <c r="QE64">
        <f>SUMPRODUCT(--('Данные 2st'!$Q$2:$Q$317=$A64),--ISNUMBER('Данные 2st'!$LJ$2:$LJ$317))</f>
        <v>4</v>
      </c>
      <c r="QF64">
        <f>SUMPRODUCT(--('Данные 2st'!$Q$2:$Q$317=$A64),--ISNUMBER('Данные 2st'!$LK$2:$LK$317))</f>
        <v>4</v>
      </c>
      <c r="QG64">
        <f>SUMPRODUCT(--('Данные 2st'!$Q$2:$Q$317=$A64),--ISNUMBER('Данные 2st'!$LL$2:$LL$317))</f>
        <v>4</v>
      </c>
      <c r="QH64">
        <f>SUMPRODUCT(--('Данные 2st'!$Q$2:$Q$317=$A64),--ISNUMBER('Данные 2st'!$LM$2:$LM$317))</f>
        <v>4</v>
      </c>
      <c r="QI64">
        <f>SUMPRODUCT(--('Данные 2st'!$Q$2:$Q$317=$A64),--ISNUMBER('Данные 2st'!$LN$2:$LN$317))</f>
        <v>4</v>
      </c>
      <c r="QJ64">
        <f>SUMPRODUCT(--('Данные 2st'!$Q$2:$Q$317=$A64),--ISNUMBER('Данные 2st'!$LO$2:$LO$317))</f>
        <v>4</v>
      </c>
      <c r="QK64">
        <f>SUMPRODUCT(--('Данные 2st'!$Q$2:$Q$317=$A64),--ISNUMBER('Данные 2st'!$LP$2:$LP$317))</f>
        <v>4</v>
      </c>
      <c r="QL64">
        <f>SUMPRODUCT(--('Данные 2st'!$Q$2:$Q$317=$A64),--ISNUMBER('Данные 2st'!$LQ$2:$LQ$317))</f>
        <v>4</v>
      </c>
      <c r="QM64">
        <f>SUMPRODUCT(--('Данные 2st'!$Q$2:$Q$317=$A64),--ISNUMBER('Данные 2st'!$LW$2:$LW$317))</f>
        <v>4</v>
      </c>
      <c r="QN64">
        <f>SUMPRODUCT(--('Данные 2st'!$Q$2:$Q$317=$A64),--ISNUMBER('Данные 2st'!$LX$2:$LX$317))</f>
        <v>4</v>
      </c>
      <c r="QO64">
        <f>SUMPRODUCT(--('Данные 2st'!$Q$2:$Q$317=$A64),--ISNUMBER('Данные 2st'!$LY$2:$LY$317))</f>
        <v>4</v>
      </c>
      <c r="QP64">
        <f>SUMPRODUCT(--('Данные 2st'!$Q$2:$Q$317=$A64),--ISNUMBER('Данные 2st'!$LZ$2:$LZ$317))</f>
        <v>4</v>
      </c>
      <c r="QQ64">
        <f>SUMPRODUCT(--('Данные 2st'!$Q$2:$Q$317=$A64),--ISNUMBER('Данные 2st'!$MB$2:$MB$317))</f>
        <v>4</v>
      </c>
      <c r="QR64">
        <f>SUMPRODUCT(--('Данные 2st'!$Q$2:$Q$317=$A64),--ISNUMBER('Данные 2st'!$MG$2:$MG$317))</f>
        <v>4</v>
      </c>
      <c r="QS64">
        <f>SUMPRODUCT(--('Данные 2st'!$Q$2:$Q$317=$A64),--ISNUMBER('Данные 2st'!$MH$2:$MH$317))</f>
        <v>4</v>
      </c>
      <c r="QT64">
        <f>SUMPRODUCT(--('Данные 2st'!$Q$2:$Q$317=$A64),--ISNUMBER('Данные 2st'!$MI$2:$MI$317))</f>
        <v>4</v>
      </c>
      <c r="QU64">
        <f>SUMPRODUCT(--('Данные 2st'!$Q$2:$Q$317=$A64),--ISNUMBER('Данные 2st'!$MJ$2:$MJ$317))</f>
        <v>4</v>
      </c>
      <c r="QV64">
        <f>SUMPRODUCT(--('Данные 2st'!$Q$2:$Q$317=$A64),--ISNUMBER('Данные 2st'!$MK$2:$MK$317))</f>
        <v>4</v>
      </c>
      <c r="QW64">
        <f>SUMPRODUCT(--('Данные 2st'!$Q$2:$Q$317=$A64),--ISNUMBER('Данные 2st'!$MM$2:$MM$317))</f>
        <v>4</v>
      </c>
      <c r="QX64">
        <f>SUMPRODUCT(--('Данные 2st'!$Q$2:$Q$317=$A64),--ISNUMBER('Данные 2st'!$MQ$2:$MQ$317))</f>
        <v>0</v>
      </c>
      <c r="QY64">
        <f>SUMPRODUCT(--('Данные 2st'!$Q$2:$Q$317=$A64),--ISNUMBER('Данные 2st'!$MR$2:$MR$317))</f>
        <v>0</v>
      </c>
      <c r="QZ64">
        <f>SUMPRODUCT(--('Данные 2st'!$Q$2:$Q$317=$A64),--ISNUMBER('Данные 2st'!$MS$2:$MS$317))</f>
        <v>0</v>
      </c>
      <c r="RA64">
        <f>SUMPRODUCT(--('Данные 2st'!$Q$2:$Q$317=$A64),--ISNUMBER('Данные 2st'!$MT$2:$MT$317))</f>
        <v>0</v>
      </c>
      <c r="RB64">
        <f>SUMPRODUCT(--('Данные 2st'!$Q$2:$Q$317=$A64),--ISNUMBER('Данные 2st'!$MU$2:$MU$317))</f>
        <v>0</v>
      </c>
      <c r="RC64">
        <f>SUMPRODUCT(--('Данные 2st'!$Q$2:$Q$317=$A64),--ISNUMBER('Данные 2st'!$MV$2:$MV$317))</f>
        <v>0</v>
      </c>
      <c r="RD64">
        <f>SUMPRODUCT(--('Данные 2st'!$Q$2:$Q$317=$A64),--ISNUMBER('Данные 2st'!$MW$2:$MW$317))</f>
        <v>0</v>
      </c>
      <c r="RE64">
        <f>SUMPRODUCT(--('Данные 2st'!$Q$2:$Q$317=$A64),--ISNUMBER('Данные 2st'!$MX$2:$MX$317))</f>
        <v>0</v>
      </c>
      <c r="RF64">
        <f>SUMPRODUCT(--('Данные 2st'!$Q$2:$Q$317=$A64),--ISNUMBER('Данные 2st'!$MY$2:$MY$317))</f>
        <v>0</v>
      </c>
      <c r="RG64">
        <f>SUMPRODUCT(--('Данные 2st'!$Q$2:$Q$317=$A64),--ISNUMBER('Данные 2st'!$MZ$2:$MZ$317))</f>
        <v>0</v>
      </c>
      <c r="RH64">
        <f>SUMPRODUCT(--('Данные 2st'!$Q$2:$Q$317=$A64),--ISNUMBER('Данные 2st'!$NA$2:$NA$317))</f>
        <v>0</v>
      </c>
      <c r="RI64">
        <f>SUMPRODUCT(--('Данные 2st'!$Q$2:$Q$317=$A64),--ISNUMBER('Данные 2st'!$NB$2:$NB$317))</f>
        <v>0</v>
      </c>
      <c r="RJ64">
        <f>SUMPRODUCT(--('Данные 2st'!$Q$2:$Q$317=$A64),--ISNUMBER('Данные 2st'!$NC$2:$NC$317))</f>
        <v>0</v>
      </c>
      <c r="RK64">
        <f>SUMPRODUCT(--('Данные 2st'!$Q$2:$Q$317=$A64),--ISNUMBER('Данные 2st'!$ND$2:$ND$317))</f>
        <v>0</v>
      </c>
      <c r="RL64">
        <f>SUMPRODUCT(--('Данные 2st'!$Q$2:$Q$317=$A64),--ISNUMBER('Данные 2st'!$NE$2:$NE$317))</f>
        <v>0</v>
      </c>
      <c r="RM64">
        <f>SUMPRODUCT(--('Данные 2st'!$Q$2:$Q$317=$A64),--ISNUMBER('Данные 2st'!$NF$2:$NF$317))</f>
        <v>0</v>
      </c>
      <c r="RN64">
        <f>SUMPRODUCT(--('Данные 2st'!$Q$2:$Q$317=$A64),--ISNUMBER('Данные 2st'!$NG$2:$NG$317))</f>
        <v>0</v>
      </c>
      <c r="RO64">
        <f>SUMPRODUCT(--('Данные 2st'!$Q$2:$Q$317=$A64),--ISNUMBER('Данные 2st'!$NH$2:$NH$317))</f>
        <v>0</v>
      </c>
      <c r="RP64">
        <f>SUMPRODUCT(--('Данные 2st'!$Q$2:$Q$317=$A64),--ISNUMBER('Данные 2st'!$NJ$2:$NJ$317))</f>
        <v>0</v>
      </c>
      <c r="RQ64">
        <f>SUMPRODUCT(--('Данные 2st'!$Q$2:$Q$317=$A64),--ISNUMBER('Данные 2st'!$NK$2:$NK$317))</f>
        <v>0</v>
      </c>
      <c r="RR64">
        <f>SUMPRODUCT(--('Данные 2st'!$Q$2:$Q$317=$A64),--ISNUMBER('Данные 2st'!$NM$2:$NM$317))</f>
        <v>0</v>
      </c>
      <c r="RS64">
        <f>SUMPRODUCT(--('Данные 2st'!$Q$2:$Q$317=$A64),--ISNUMBER('Данные 2st'!$NN$2:$NN$317))</f>
        <v>0</v>
      </c>
      <c r="RT64">
        <f>SUMPRODUCT(--('Данные 2st'!$Q$2:$Q$317=$A64),--ISNUMBER('Данные 2st'!$NO$2:$NO$317))</f>
        <v>0</v>
      </c>
      <c r="RU64">
        <f>SUMPRODUCT(--('Данные 2st'!$Q$2:$Q$317=$A64),--ISNUMBER('Данные 2st'!$NP$2:$NP$317))</f>
        <v>0</v>
      </c>
      <c r="RV64">
        <f>SUMPRODUCT(--('Данные 2st'!$Q$2:$Q$317=$A64),--ISNUMBER('Данные 2st'!$NQ$2:$NQ$317))</f>
        <v>0</v>
      </c>
      <c r="RW64">
        <f>SUMPRODUCT(--('Данные 2st'!$Q$2:$Q$317=$A64),--ISNUMBER('Данные 2st'!$NR$2:$NR$317))</f>
        <v>0</v>
      </c>
      <c r="RX64">
        <f>SUMPRODUCT(--('Данные 2st'!$Q$2:$Q$317=$A64),--ISNUMBER('Данные 2st'!$NS$2:$NS$317))</f>
        <v>0</v>
      </c>
      <c r="RY64">
        <f>SUMPRODUCT(--('Данные 2st'!$Q$2:$Q$317=$A64),--ISNUMBER('Данные 2st'!$NT$2:$NT$317))</f>
        <v>0</v>
      </c>
      <c r="RZ64">
        <f>SUMPRODUCT(--('Данные 2st'!$Q$2:$Q$317=$A64),--ISNUMBER('Данные 2st'!$OK$2:$OK$317))</f>
        <v>4</v>
      </c>
      <c r="SA64">
        <f>SUMPRODUCT(--('Данные 2st'!$Q$2:$Q$317=$A64),--ISNUMBER('Данные 2st'!$OL$2:$OL$317))</f>
        <v>4</v>
      </c>
      <c r="SB64">
        <f>SUMPRODUCT(--('Данные 2st'!$Q$2:$Q$317=$A64),--ISNUMBER('Данные 2st'!$ON$2:$ON$317))</f>
        <v>4</v>
      </c>
      <c r="SC64">
        <f>SUMPRODUCT(--('Данные 2st'!$Q$2:$Q$317=$A64),--ISNUMBER('Данные 2st'!$OO$2:$OO$317))</f>
        <v>4</v>
      </c>
      <c r="SD64">
        <f>SUMPRODUCT(--('Данные 2st'!$Q$2:$Q$317=$A64),--ISNUMBER('Данные 2st'!$OP$2:$OP$317))</f>
        <v>4</v>
      </c>
      <c r="SE64">
        <f>SUMPRODUCT(--('Данные 2st'!$Q$2:$Q$317=$A64),--ISNUMBER('Данные 2st'!$OQ$2:$OQ$317))</f>
        <v>4</v>
      </c>
      <c r="SF64">
        <f>SUMPRODUCT(--('Данные 2st'!$Q$2:$Q$317=$A64),--ISNUMBER('Данные 2st'!$OS$2:$OS$317))</f>
        <v>4</v>
      </c>
      <c r="SG64">
        <f>SUMPRODUCT(--('Данные 2st'!$Q$2:$Q$317=$A64),--ISNUMBER('Данные 2st'!$OT$2:$OT$317))</f>
        <v>4</v>
      </c>
      <c r="SH64">
        <f>SUMPRODUCT(--('Данные 2st'!$Q$2:$Q$317=$A64),--ISNUMBER('Данные 2st'!$OU$2:$OU$317))</f>
        <v>4</v>
      </c>
      <c r="SI64">
        <f>SUMPRODUCT(--('Данные 2st'!$Q$2:$Q$317=$A64),--ISNUMBER('Данные 2st'!$OV$2:$OV$317))</f>
        <v>4</v>
      </c>
      <c r="SJ64">
        <f>SUMPRODUCT(--('Данные 2st'!$Q$2:$Q$317=$A64),--ISNUMBER('Данные 2st'!$OX$2:$OX$317))</f>
        <v>4</v>
      </c>
      <c r="SK64">
        <f>SUMPRODUCT(--('Данные 2st'!$Q$2:$Q$317=$A64),--ISNUMBER('Данные 2st'!$OY$2:$OY$317))</f>
        <v>4</v>
      </c>
      <c r="SL64">
        <f>SUMPRODUCT(--('Данные 2st'!$Q$2:$Q$317=$A64),--ISNUMBER('Данные 2st'!$OZ$2:$OZ$317))</f>
        <v>4</v>
      </c>
      <c r="SM64">
        <f>SUMPRODUCT(--('Данные 2st'!$Q$2:$Q$317=$A64),--ISNUMBER('Данные 2st'!$PA$2:$PA$317))</f>
        <v>4</v>
      </c>
      <c r="SN64">
        <f>SUMPRODUCT(--('Данные 2st'!$Q$2:$Q$317=$A64),--ISNUMBER('Данные 2st'!$PC$2:$PC$317))</f>
        <v>4</v>
      </c>
      <c r="SO64">
        <f>SUMPRODUCT(--('Данные 2st'!$Q$2:$Q$317=$A64),--ISNUMBER('Данные 2st'!$PD$2:$PD$317))</f>
        <v>4</v>
      </c>
      <c r="SP64">
        <f>SUMPRODUCT(--('Данные 2st'!$Q$2:$Q$317=$A64),--ISNUMBER('Данные 2st'!$PF$2:$PF$317))</f>
        <v>4</v>
      </c>
      <c r="SQ64">
        <f>SUMPRODUCT(--('Данные 2st'!$Q$2:$Q$317=$A64),--ISNUMBER('Данные 2st'!$PG$2:$PG$317))</f>
        <v>4</v>
      </c>
      <c r="SR64">
        <f>SUMPRODUCT(--('Данные 2st'!$Q$2:$Q$317=$A64),--ISNUMBER('Данные 2st'!$PH$2:$PH$317))</f>
        <v>4</v>
      </c>
      <c r="SS64">
        <f>SUMPRODUCT(--('Данные 2st'!$Q$2:$Q$317=$A64),--ISNUMBER('Данные 2st'!$PI$2:$PI$317))</f>
        <v>4</v>
      </c>
      <c r="ST64">
        <f>SUMPRODUCT(--('Данные 2st'!$Q$2:$Q$317=$A64),--ISNUMBER('Данные 2st'!$PJ$2:$PJ$317))</f>
        <v>4</v>
      </c>
      <c r="SU64">
        <f>SUMPRODUCT(--('Данные 2st'!$Q$2:$Q$317=$A64),--ISNUMBER('Данные 2st'!$PK$2:$PK$317))</f>
        <v>3</v>
      </c>
      <c r="SV64">
        <f>SUMPRODUCT(--('Данные 2st'!$Q$2:$Q$317=$A64),--ISNUMBER('Данные 2st'!$PL$2:$PL$317))</f>
        <v>4</v>
      </c>
      <c r="SW64">
        <f>SUMPRODUCT(--('Данные 2st'!$Q$2:$Q$317=$A64),--ISNUMBER('Данные 2st'!$PM$2:$PM$317))</f>
        <v>4</v>
      </c>
      <c r="SX64">
        <f>SUMPRODUCT(--('Данные 2st'!$Q$2:$Q$317=$A64),--ISNUMBER('Данные 2st'!$PN$2:$PN$317))</f>
        <v>4</v>
      </c>
      <c r="SY64">
        <f>SUMPRODUCT(--('Данные 2st'!$Q$2:$Q$317=$A64),--ISNUMBER('Данные 2st'!$PO$2:$PO$317))</f>
        <v>4</v>
      </c>
      <c r="SZ64">
        <f>SUMPRODUCT(--('Данные 2st'!$Q$2:$Q$317=$A64),--ISNUMBER('Данные 2st'!$PP$2:$PP$317))</f>
        <v>4</v>
      </c>
      <c r="TA64">
        <f>SUMPRODUCT(--('Данные 2st'!$Q$2:$Q$317=$A64),--ISNUMBER('Данные 2st'!$PQ$2:$PQ$317))</f>
        <v>4</v>
      </c>
      <c r="TB64">
        <f>SUMPRODUCT(--('Данные 2st'!$Q$2:$Q$317=$A64),--ISNUMBER('Данные 2st'!$PR$2:$PR$317))</f>
        <v>4</v>
      </c>
      <c r="TC64">
        <f>SUMPRODUCT(--('Данные 2st'!$Q$2:$Q$317=$A64),--ISNUMBER('Данные 2st'!$PS$2:$PS$317))</f>
        <v>4</v>
      </c>
      <c r="TD64">
        <f>SUMPRODUCT(--('Данные 2st'!$Q$2:$Q$317=$A64),--ISNUMBER('Данные 2st'!$PT$2:$PT$317))</f>
        <v>4</v>
      </c>
      <c r="TE64">
        <f>SUMPRODUCT(--('Данные 2st'!$Q$2:$Q$317=$A64),--ISNUMBER('Данные 2st'!$PU$2:$PU$317))</f>
        <v>4</v>
      </c>
      <c r="TF64">
        <f>SUMPRODUCT(--('Данные 2st'!$Q$2:$Q$317=$A64),--ISNUMBER('Данные 2st'!$PX$2:$PX$317))</f>
        <v>4</v>
      </c>
      <c r="TG64">
        <f>SUMPRODUCT(--('Данные 2st'!$Q$2:$Q$317=$A64),--ISNUMBER('Данные 2st'!$PY$2:$PY$317))</f>
        <v>4</v>
      </c>
      <c r="TH64">
        <f>SUMPRODUCT(--('Данные 2st'!$Q$2:$Q$317=$A64),--ISNUMBER('Данные 2st'!$PZ$2:$PZ$317))</f>
        <v>4</v>
      </c>
      <c r="TI64">
        <f>SUMPRODUCT(--('Данные 2st'!$Q$2:$Q$317=$A64),--ISNUMBER('Данные 2st'!$QA$2:$QA$317))</f>
        <v>4</v>
      </c>
      <c r="TJ64">
        <f>SUMPRODUCT(--('Данные 2st'!$Q$2:$Q$317=$A64),--ISNUMBER('Данные 2st'!$QB$2:$QB$317))</f>
        <v>4</v>
      </c>
      <c r="TK64">
        <f>SUMPRODUCT(--('Данные 2st'!$Q$2:$Q$317=$A64),--ISNUMBER('Данные 2st'!$QC$2:$QC$317))</f>
        <v>4</v>
      </c>
      <c r="TL64">
        <f>SUMPRODUCT(--('Данные 2st'!$Q$2:$Q$317=$A64),--ISNUMBER('Данные 2st'!$QD$2:$QD$317))</f>
        <v>4</v>
      </c>
      <c r="TM64">
        <f>SUMPRODUCT(--('Данные 2st'!$Q$2:$Q$317=$A64),--ISNUMBER('Данные 2st'!$QE$2:$QE$317))</f>
        <v>4</v>
      </c>
      <c r="TN64">
        <f>SUMPRODUCT(--('Данные 2st'!$Q$2:$Q$317=$A64),--ISNUMBER('Данные 2st'!$QF$2:$QF$317))</f>
        <v>4</v>
      </c>
      <c r="TO64">
        <f>SUMPRODUCT(--('Данные 2st'!$Q$2:$Q$317=$A64),--ISNUMBER('Данные 2st'!$QG$2:$QG$317))</f>
        <v>4</v>
      </c>
      <c r="TP64">
        <f>SUMPRODUCT(--('Данные 2st'!$Q$2:$Q$317=$A64),--ISNUMBER('Данные 2st'!$QH$2:$QH$317))</f>
        <v>4</v>
      </c>
      <c r="TQ64">
        <f>SUMPRODUCT(--('Данные 2st'!$Q$2:$Q$317=$A64),--ISNUMBER('Данные 2st'!$QI$2:$QI$317))</f>
        <v>4</v>
      </c>
      <c r="TR64">
        <f>SUMPRODUCT(--('Данные 2st'!$Q$2:$Q$317=$A64),--ISNUMBER('Данные 2st'!$QJ$2:$QJ$317))</f>
        <v>4</v>
      </c>
      <c r="TS64">
        <f>SUMPRODUCT(--('Данные 2st'!$Q$2:$Q$317=$A64),--ISNUMBER('Данные 2st'!$QK$2:$QK$317))</f>
        <v>4</v>
      </c>
      <c r="TT64">
        <f>SUMPRODUCT(--('Данные 2st'!$Q$2:$Q$317=$A64),--ISNUMBER('Данные 2st'!$QL$2:$QL$317))</f>
        <v>4</v>
      </c>
      <c r="TU64">
        <f>SUMPRODUCT(--('Данные 2st'!$Q$2:$Q$317=$A64),--ISNUMBER('Данные 2st'!$QM$2:$QM$317))</f>
        <v>4</v>
      </c>
      <c r="TV64">
        <f>SUMPRODUCT(--('Данные 2st'!$Q$2:$Q$317=$A64),--ISNUMBER('Данные 2st'!$QN$2:$QN$317))</f>
        <v>4</v>
      </c>
      <c r="TW64">
        <f>SUMPRODUCT(--('Данные 2st'!$Q$2:$Q$317=$A64),--ISNUMBER('Данные 2st'!$QQ$2:$QQ$317))</f>
        <v>4</v>
      </c>
      <c r="TX64">
        <f>SUMPRODUCT(--('Данные 2st'!$Q$2:$Q$317=$A64),--ISNUMBER('Данные 2st'!$QS$2:$QS$317))</f>
        <v>4</v>
      </c>
      <c r="TY64">
        <f>SUMPRODUCT(--('Данные 2st'!$Q$2:$Q$317=$A64),--ISNUMBER('Данные 2st'!$QT$2:$QT$317))</f>
        <v>4</v>
      </c>
    </row>
    <row r="65" spans="1:545" ht="32" customHeight="1">
      <c r="A65" s="11" t="str">
        <f>'По размерам'!A65</f>
        <v>245/60R18</v>
      </c>
      <c r="G65">
        <f>SUMPRODUCT(--('Данные 1st'!$S$2:$S$317=$A65),--ISNUMBER('Данные 1st'!$AE$2:$AE$317))</f>
        <v>1</v>
      </c>
      <c r="H65">
        <f>SUMPRODUCT(--('Данные 1st'!$S$2:$S$317=$A65),--ISNUMBER('Данные 1st'!$AF$2:$AF$317))</f>
        <v>1</v>
      </c>
      <c r="I65">
        <f>SUMPRODUCT(--('Данные 1st'!$S$2:$S$317=$A65),--ISNUMBER('Данные 1st'!$AJ$2:$AJ$317))</f>
        <v>1</v>
      </c>
      <c r="J65">
        <f>SUMPRODUCT(--('Данные 1st'!$S$2:$S$317=$A65),--ISNUMBER('Данные 1st'!$AL$2:$AL$317))</f>
        <v>1</v>
      </c>
      <c r="K65">
        <f>SUMPRODUCT(--('Данные 1st'!$S$2:$S$317=$A65),--ISNUMBER('Данные 1st'!$AR$2:$AR$317))</f>
        <v>1</v>
      </c>
      <c r="L65">
        <f>SUMPRODUCT(--('Данные 1st'!$S$2:$S$317=$A65),--ISNUMBER('Данные 1st'!$AS$2:$AS$317))</f>
        <v>1</v>
      </c>
      <c r="M65">
        <f>SUMPRODUCT(--('Данные 1st'!$S$2:$S$317=$A65),--ISNUMBER('Данные 1st'!$AY$2:$AY$317))</f>
        <v>1</v>
      </c>
      <c r="N65">
        <f>SUMPRODUCT(--('Данные 1st'!$S$2:$S$317=$A65),--ISNUMBER('Данные 1st'!$AZ$2:$AZ$317))</f>
        <v>1</v>
      </c>
      <c r="O65">
        <f>SUMPRODUCT(--('Данные 1st'!$S$2:$S$317=$A65),--ISNUMBER('Данные 1st'!$BF$2:$BF$317))</f>
        <v>1</v>
      </c>
      <c r="P65">
        <f>SUMPRODUCT(--('Данные 1st'!$S$2:$S$317=$A65),--ISNUMBER('Данные 1st'!$BG$2:$BG$317))</f>
        <v>1</v>
      </c>
      <c r="Q65">
        <f>SUMPRODUCT(--('Данные 1st'!$S$2:$S$317=$A65),--ISNUMBER('Данные 1st'!$BM$2:$BM$317))</f>
        <v>0</v>
      </c>
      <c r="R65">
        <f>SUMPRODUCT(--('Данные 1st'!$S$2:$S$317=$A65),--ISNUMBER('Данные 1st'!$BN$2:$BN$317))</f>
        <v>1</v>
      </c>
      <c r="S65">
        <f>SUMPRODUCT(--('Данные 1st'!$S$2:$S$317=$A65),--ISNUMBER('Данные 1st'!$BT$2:$BT$317))</f>
        <v>1</v>
      </c>
      <c r="T65">
        <f>SUMPRODUCT(--('Данные 1st'!$S$2:$S$317=$A65),--ISNUMBER('Данные 1st'!$BU$2:$BU$317))</f>
        <v>1</v>
      </c>
      <c r="U65">
        <f>SUMPRODUCT(--('Данные 1st'!$S$2:$S$317=$A65),--ISNUMBER('Данные 1st'!$BW$2:$BW$317))</f>
        <v>1</v>
      </c>
      <c r="V65">
        <f>SUMPRODUCT(--('Данные 1st'!$S$2:$S$317=$A65),--ISNUMBER('Данные 1st'!$BX$2:$BX$317))</f>
        <v>1</v>
      </c>
      <c r="W65">
        <f>SUMPRODUCT(--('Данные 1st'!$S$2:$S$317=$A65),--ISNUMBER('Данные 1st'!$BZ$2:$BZ$317))</f>
        <v>1</v>
      </c>
      <c r="X65">
        <f>SUMPRODUCT(--('Данные 1st'!$S$2:$S$317=$A65),--ISNUMBER('Данные 1st'!$CA$2:$CA$317))</f>
        <v>1</v>
      </c>
      <c r="Y65">
        <f>SUMPRODUCT(--('Данные 1st'!$S$2:$S$317=$A65),--ISNUMBER('Данные 1st'!$CD$2:$CD$317))</f>
        <v>1</v>
      </c>
      <c r="Z65">
        <f>SUMPRODUCT(--('Данные 1st'!$S$2:$S$317=$A65),--ISNUMBER('Данные 1st'!$CF$2:$CF$317))</f>
        <v>1</v>
      </c>
      <c r="AA65">
        <f>SUMPRODUCT(--('Данные 1st'!$S$2:$S$317=$A65),--ISNUMBER('Данные 1st'!$CI$2:$CI$317))</f>
        <v>1</v>
      </c>
      <c r="AB65">
        <f>SUMPRODUCT(--('Данные 1st'!$S$2:$S$317=$A65),--ISNUMBER('Данные 1st'!$CJ$2:$CJ$317))</f>
        <v>1</v>
      </c>
      <c r="AC65">
        <f>SUMPRODUCT(--('Данные 1st'!$S$2:$S$317=$A65),--ISNUMBER('Данные 1st'!$CK$2:$CK$317))</f>
        <v>1</v>
      </c>
      <c r="AD65">
        <f>SUMPRODUCT(--('Данные 1st'!$S$2:$S$317=$A65),--ISNUMBER('Данные 1st'!$CL$2:$CL$317))</f>
        <v>1</v>
      </c>
      <c r="AE65">
        <f>SUMPRODUCT(--('Данные 1st'!$S$2:$S$317=$A65),--ISNUMBER('Данные 1st'!$CM$2:$CM$317))</f>
        <v>1</v>
      </c>
      <c r="AF65">
        <f>SUMPRODUCT(--('Данные 1st'!$S$2:$S$317=$A65),--ISNUMBER('Данные 1st'!$CT$2:$CT$317))</f>
        <v>1</v>
      </c>
      <c r="AG65">
        <f>SUMPRODUCT(--('Данные 1st'!$S$2:$S$317=$A65),--ISNUMBER('Данные 1st'!$CU$2:$CU$317))</f>
        <v>1</v>
      </c>
      <c r="AH65">
        <f>SUMPRODUCT(--('Данные 1st'!$S$2:$S$317=$A65),--ISNUMBER('Данные 1st'!$CV$2:$CV$317))</f>
        <v>1</v>
      </c>
      <c r="AI65">
        <f>SUMPRODUCT(--('Данные 1st'!$S$2:$S$317=$A65),--ISNUMBER('Данные 1st'!$CW$2:$CW$317))</f>
        <v>1</v>
      </c>
      <c r="AJ65">
        <f>SUMPRODUCT(--('Данные 1st'!$S$2:$S$317=$A65),--ISNUMBER('Данные 1st'!$CX$2:$CX$317))</f>
        <v>1</v>
      </c>
      <c r="AK65">
        <f>SUMPRODUCT(--('Данные 1st'!$S$2:$S$317=$A65),--ISNUMBER('Данные 1st'!$CZ$2:$CZ$317))</f>
        <v>0</v>
      </c>
      <c r="AL65">
        <f>SUMPRODUCT(--('Данные 1st'!$S$2:$S$317=$A65),--ISNUMBER('Данные 1st'!$DA$2:$DA$317))</f>
        <v>0</v>
      </c>
      <c r="AM65">
        <f>SUMPRODUCT(--('Данные 1st'!$S$2:$S$317=$A65),--ISNUMBER('Данные 1st'!$DB$2:$DB$317))</f>
        <v>0</v>
      </c>
      <c r="AN65">
        <f>SUMPRODUCT(--('Данные 1st'!$S$2:$S$317=$A65),--ISNUMBER('Данные 1st'!$DC$2:$DC$317))</f>
        <v>0</v>
      </c>
      <c r="AO65">
        <f>SUMPRODUCT(--('Данные 1st'!$S$2:$S$317=$A65),--ISNUMBER('Данные 1st'!$DD$2:$DD$317))</f>
        <v>1</v>
      </c>
      <c r="AP65">
        <f>SUMPRODUCT(--('Данные 1st'!$S$2:$S$317=$A65),--ISNUMBER('Данные 1st'!$DF$2:$DF$317))</f>
        <v>1</v>
      </c>
      <c r="AQ65">
        <f>SUMPRODUCT(--('Данные 1st'!$S$2:$S$317=$A65),--ISNUMBER('Данные 1st'!$DG$2:$DG$317))</f>
        <v>1</v>
      </c>
      <c r="AR65">
        <f>SUMPRODUCT(--('Данные 1st'!$S$2:$S$317=$A65),--ISNUMBER('Данные 1st'!$DH$2:$DH$317))</f>
        <v>1</v>
      </c>
      <c r="AS65">
        <f>SUMPRODUCT(--('Данные 1st'!$S$2:$S$317=$A65),--ISNUMBER('Данные 1st'!$DI$2:$DI$317))</f>
        <v>1</v>
      </c>
      <c r="AT65">
        <f>SUMPRODUCT(--('Данные 1st'!$S$2:$S$317=$A65),--ISNUMBER('Данные 1st'!$DJ$2:$DJ$317))</f>
        <v>1</v>
      </c>
      <c r="AU65">
        <f>SUMPRODUCT(--('Данные 1st'!$S$2:$S$317=$A65),--ISNUMBER('Данные 1st'!$DL$2:$DL$317))</f>
        <v>1</v>
      </c>
      <c r="AV65">
        <f>SUMPRODUCT(--('Данные 1st'!$S$2:$S$317=$A65),--ISNUMBER('Данные 1st'!$DM$2:$DM$317))</f>
        <v>1</v>
      </c>
      <c r="AW65">
        <f>SUMPRODUCT(--('Данные 1st'!$S$2:$S$317=$A65),--ISNUMBER('Данные 1st'!$DN$2:$DN$317))</f>
        <v>1</v>
      </c>
      <c r="AX65">
        <f>SUMPRODUCT(--('Данные 1st'!$S$2:$S$317=$A65),--ISNUMBER('Данные 1st'!$DO$2:$DO$317))</f>
        <v>1</v>
      </c>
      <c r="AY65">
        <f>SUMPRODUCT(--('Данные 1st'!$S$2:$S$317=$A65),--ISNUMBER('Данные 1st'!$DP$2:$DP$317))</f>
        <v>1</v>
      </c>
      <c r="AZ65">
        <f>SUMPRODUCT(--('Данные 1st'!$S$2:$S$317=$A65),--ISNUMBER('Данные 1st'!$DR$2:$DR$317))</f>
        <v>0</v>
      </c>
      <c r="BA65">
        <f>SUMPRODUCT(--('Данные 1st'!$S$2:$S$317=$A65),--ISNUMBER('Данные 1st'!$DS$2:$DS$317))</f>
        <v>0</v>
      </c>
      <c r="BB65">
        <f>SUMPRODUCT(--('Данные 1st'!$S$2:$S$317=$A65),--ISNUMBER('Данные 1st'!$DT$2:$DT$317))</f>
        <v>0</v>
      </c>
      <c r="BC65">
        <f>SUMPRODUCT(--('Данные 1st'!$S$2:$S$317=$A65),--ISNUMBER('Данные 1st'!$DU$2:$DU$317))</f>
        <v>0</v>
      </c>
      <c r="BD65">
        <f>SUMPRODUCT(--('Данные 1st'!$S$2:$S$317=$A65),--ISNUMBER('Данные 1st'!$DV$2:$DV$317))</f>
        <v>0</v>
      </c>
      <c r="BE65">
        <f>SUMPRODUCT(--('Данные 1st'!$S$2:$S$317=$A65),--ISNUMBER('Данные 1st'!$DX$2:$DX$317))</f>
        <v>1</v>
      </c>
      <c r="BF65">
        <f>SUMPRODUCT(--('Данные 1st'!$S$2:$S$317=$A65),--ISNUMBER('Данные 1st'!$EA$2:$EA$317))</f>
        <v>1</v>
      </c>
      <c r="BG65">
        <f>SUMPRODUCT(--('Данные 1st'!$S$2:$S$317=$A65),--ISNUMBER('Данные 1st'!$EB$2:$EB$317))</f>
        <v>1</v>
      </c>
      <c r="BH65">
        <f>SUMPRODUCT(--('Данные 1st'!$S$2:$S$317=$A65),--ISNUMBER('Данные 1st'!$ED$2:$ED$317))</f>
        <v>1</v>
      </c>
      <c r="BI65">
        <f>SUMPRODUCT(--('Данные 1st'!$S$2:$S$317=$A65),--ISNUMBER('Данные 1st'!$EE$2:$EE$317))</f>
        <v>1</v>
      </c>
      <c r="BJ65">
        <f>SUMPRODUCT(--('Данные 1st'!$S$2:$S$317=$A65),--ISNUMBER('Данные 1st'!$EG$2:$EG$317))</f>
        <v>1</v>
      </c>
      <c r="BK65">
        <f>SUMPRODUCT(--('Данные 1st'!$S$2:$S$317=$A65),--ISNUMBER('Данные 1st'!$EH$2:$EH$317))</f>
        <v>1</v>
      </c>
      <c r="BL65">
        <f>SUMPRODUCT(--('Данные 1st'!$S$2:$S$317=$A65),--ISNUMBER('Данные 1st'!$EJ$2:$EJ$317))</f>
        <v>1</v>
      </c>
      <c r="BM65">
        <f>SUMPRODUCT(--('Данные 1st'!$S$2:$S$317=$A65),--ISNUMBER('Данные 1st'!$EK$2:$EK$317))</f>
        <v>1</v>
      </c>
      <c r="BN65">
        <f>SUMPRODUCT(--('Данные 1st'!$S$2:$S$317=$A65),--ISNUMBER('Данные 1st'!$EN$2:$EN$317))</f>
        <v>1</v>
      </c>
      <c r="BO65">
        <f>SUMPRODUCT(--('Данные 1st'!$S$2:$S$317=$A65),--ISNUMBER('Данные 1st'!$EQ$2:$EQ$317))</f>
        <v>1</v>
      </c>
      <c r="BP65">
        <f>SUMPRODUCT(--('Данные 1st'!$S$2:$S$317=$A65),--ISNUMBER('Данные 1st'!$ER$2:$ER$317))</f>
        <v>1</v>
      </c>
      <c r="BQ65">
        <f>SUMPRODUCT(--('Данные 1st'!$S$2:$S$317=$A65),--ISNUMBER('Данные 1st'!$ES$2:$ES$317))</f>
        <v>1</v>
      </c>
      <c r="BR65">
        <f>SUMPRODUCT(--('Данные 1st'!$S$2:$S$317=$A65),--ISNUMBER('Данные 1st'!$ET$2:$ET$317))</f>
        <v>1</v>
      </c>
      <c r="BS65">
        <f>SUMPRODUCT(--('Данные 1st'!$S$2:$S$317=$A65),--ISNUMBER('Данные 1st'!$EU$2:$EU$317))</f>
        <v>1</v>
      </c>
      <c r="BT65">
        <f>SUMPRODUCT(--('Данные 1st'!$S$2:$S$317=$A65),--ISNUMBER('Данные 1st'!$EV$2:$EV$317))</f>
        <v>1</v>
      </c>
      <c r="BU65">
        <f>SUMPRODUCT(--('Данные 1st'!$S$2:$S$317=$A65),--ISNUMBER('Данные 1st'!$EX$2:$EX$317))</f>
        <v>1</v>
      </c>
      <c r="BV65">
        <f>SUMPRODUCT(--('Данные 1st'!$S$2:$S$317=$A65),--ISNUMBER('Данные 1st'!$EY$2:$EY$317))</f>
        <v>1</v>
      </c>
      <c r="BW65">
        <f>SUMPRODUCT(--('Данные 1st'!$S$2:$S$317=$A65),--ISNUMBER('Данные 1st'!$EZ$2:$EZ$317))</f>
        <v>1</v>
      </c>
      <c r="BX65">
        <f>SUMPRODUCT(--('Данные 1st'!$S$2:$S$317=$A65),--ISNUMBER('Данные 1st'!$FA$2:$FA$317))</f>
        <v>1</v>
      </c>
      <c r="BY65">
        <f>SUMPRODUCT(--('Данные 1st'!$S$2:$S$317=$A65),--ISNUMBER('Данные 1st'!$FB$2:$FB$317))</f>
        <v>1</v>
      </c>
      <c r="BZ65">
        <f>SUMPRODUCT(--('Данные 1st'!$S$2:$S$317=$A65),--ISNUMBER('Данные 1st'!$FC$2:$FC$317))</f>
        <v>1</v>
      </c>
      <c r="CA65">
        <f>SUMPRODUCT(--('Данные 1st'!$S$2:$S$317=$A65),--ISNUMBER('Данные 1st'!$FE$2:$FE$317))</f>
        <v>1</v>
      </c>
      <c r="CB65">
        <f>SUMPRODUCT(--('Данные 1st'!$S$2:$S$317=$A65),--ISNUMBER('Данные 1st'!$FF$2:$FF$317))</f>
        <v>1</v>
      </c>
      <c r="CC65">
        <f>SUMPRODUCT(--('Данные 1st'!$S$2:$S$317=$A65),--ISNUMBER('Данные 1st'!$FI$2:$FI$317))</f>
        <v>1</v>
      </c>
      <c r="CD65">
        <f>SUMPRODUCT(--('Данные 1st'!$S$2:$S$317=$A65),--ISNUMBER('Данные 1st'!$FL$2:$FL$317))</f>
        <v>1</v>
      </c>
      <c r="CE65">
        <f>SUMPRODUCT(--('Данные 1st'!$S$2:$S$317=$A65),--ISNUMBER('Данные 1st'!$FM$2:$FM$317))</f>
        <v>1</v>
      </c>
      <c r="CF65">
        <f>SUMPRODUCT(--('Данные 1st'!$S$2:$S$317=$A65),--ISNUMBER('Данные 1st'!$FN$2:$FN$317))</f>
        <v>1</v>
      </c>
      <c r="CG65">
        <f>SUMPRODUCT(--('Данные 1st'!$S$2:$S$317=$A65),--ISNUMBER('Данные 1st'!$FO$2:$FO$317))</f>
        <v>0</v>
      </c>
      <c r="CH65">
        <f>SUMPRODUCT(--('Данные 1st'!$S$2:$S$317=$A65),--ISNUMBER('Данные 1st'!$FP$2:$FP$317))</f>
        <v>0</v>
      </c>
      <c r="CI65">
        <f>SUMPRODUCT(--('Данные 1st'!$S$2:$S$317=$A65),--ISNUMBER('Данные 1st'!$FS$2:$FS$317))</f>
        <v>0</v>
      </c>
      <c r="CJ65">
        <f>SUMPRODUCT(--('Данные 1st'!$S$2:$S$317=$A65),--ISNUMBER('Данные 1st'!$FT$2:$FT$317))</f>
        <v>0</v>
      </c>
      <c r="CK65">
        <f>SUMPRODUCT(--('Данные 1st'!$S$2:$S$317=$A65),--ISNUMBER('Данные 1st'!$FU$2:$FU$317))</f>
        <v>0</v>
      </c>
      <c r="CL65">
        <f>SUMPRODUCT(--('Данные 1st'!$S$2:$S$317=$A65),--ISNUMBER('Данные 1st'!$FV$2:$FV$317))</f>
        <v>0</v>
      </c>
      <c r="CM65">
        <f>SUMPRODUCT(--('Данные 1st'!$S$2:$S$317=$A65),--ISNUMBER('Данные 1st'!$FW$2:$FW$317))</f>
        <v>0</v>
      </c>
      <c r="CN65">
        <f>SUMPRODUCT(--('Данные 1st'!$S$2:$S$317=$A65),--ISNUMBER('Данные 1st'!$FZ$2:$FZ$317))</f>
        <v>0</v>
      </c>
      <c r="CO65">
        <f>SUMPRODUCT(--('Данные 1st'!$S$2:$S$317=$A65),--ISNUMBER('Данные 1st'!$GA$2:$GA$317))</f>
        <v>0</v>
      </c>
      <c r="CP65">
        <f>SUMPRODUCT(--('Данные 1st'!$S$2:$S$317=$A65),--ISNUMBER('Данные 1st'!$GB$2:$GB$317))</f>
        <v>0</v>
      </c>
      <c r="CQ65">
        <f>SUMPRODUCT(--('Данные 1st'!$S$2:$S$317=$A65),--ISNUMBER('Данные 1st'!$GH$2:$GH$317))</f>
        <v>0</v>
      </c>
      <c r="CR65">
        <f>SUMPRODUCT(--('Данные 1st'!$S$2:$S$317=$A65),--ISNUMBER('Данные 1st'!$GI$2:$GI$317))</f>
        <v>0</v>
      </c>
      <c r="CS65">
        <f>SUMPRODUCT(--('Данные 1st'!$S$2:$S$317=$A65),--ISNUMBER('Данные 1st'!$GJ$2:$GJ$317))</f>
        <v>0</v>
      </c>
      <c r="CT65">
        <f>SUMPRODUCT(--('Данные 1st'!$S$2:$S$317=$A65),--ISNUMBER('Данные 1st'!$GS$2:$GS$317))</f>
        <v>1</v>
      </c>
      <c r="CU65">
        <f>SUMPRODUCT(--('Данные 1st'!$S$2:$S$317=$A65),--ISNUMBER('Данные 1st'!$GT$2:$GT$317))</f>
        <v>1</v>
      </c>
      <c r="CV65">
        <f>SUMPRODUCT(--('Данные 1st'!$S$2:$S$317=$A65),--ISNUMBER('Данные 1st'!$GU$2:$GU$317))</f>
        <v>1</v>
      </c>
      <c r="CW65">
        <f>SUMPRODUCT(--('Данные 1st'!$S$2:$S$317=$A65),--ISNUMBER('Данные 1st'!$GV$2:$GV$317))</f>
        <v>1</v>
      </c>
      <c r="CX65">
        <f>SUMPRODUCT(--('Данные 1st'!$S$2:$S$317=$A65),--ISNUMBER('Данные 1st'!$GW$2:$GW$317))</f>
        <v>1</v>
      </c>
      <c r="CY65">
        <f>SUMPRODUCT(--('Данные 1st'!$S$2:$S$317=$A65),--ISNUMBER('Данные 1st'!$GZ$2:$GZ$317))</f>
        <v>0</v>
      </c>
      <c r="CZ65">
        <f>SUMPRODUCT(--('Данные 1st'!$S$2:$S$317=$A65),--ISNUMBER('Данные 1st'!$HA$2:$HA$317))</f>
        <v>0</v>
      </c>
      <c r="DA65">
        <f>SUMPRODUCT(--('Данные 1st'!$S$2:$S$317=$A65),--ISNUMBER('Данные 1st'!$HB$2:$HB$317))</f>
        <v>0</v>
      </c>
      <c r="DB65">
        <f>SUMPRODUCT(--('Данные 1st'!$S$2:$S$317=$A65),--ISNUMBER('Данные 1st'!$HC$2:$HC$317))</f>
        <v>1</v>
      </c>
      <c r="DC65">
        <f>SUMPRODUCT(--('Данные 1st'!$S$2:$S$317=$A65),--ISNUMBER('Данные 1st'!$HD$2:$HD$317))</f>
        <v>1</v>
      </c>
      <c r="DD65">
        <f>SUMPRODUCT(--('Данные 1st'!$S$2:$S$317=$A65),--ISNUMBER('Данные 1st'!$HE$2:$HE$317))</f>
        <v>1</v>
      </c>
      <c r="DE65">
        <f>SUMPRODUCT(--('Данные 1st'!$S$2:$S$317=$A65),--ISNUMBER('Данные 1st'!$HF$2:$HF$317))</f>
        <v>1</v>
      </c>
      <c r="DF65">
        <f>SUMPRODUCT(--('Данные 1st'!$S$2:$S$317=$A65),--ISNUMBER('Данные 1st'!$HG$2:$HG$317))</f>
        <v>1</v>
      </c>
      <c r="DG65">
        <f>SUMPRODUCT(--('Данные 1st'!$S$2:$S$317=$A65),--ISNUMBER('Данные 1st'!$HH$2:$HH$317))</f>
        <v>1</v>
      </c>
      <c r="DH65">
        <f>SUMPRODUCT(--('Данные 1st'!$S$2:$S$317=$A65),--ISNUMBER('Данные 1st'!$HI$2:$HI$317))</f>
        <v>1</v>
      </c>
      <c r="DI65">
        <f>SUMPRODUCT(--('Данные 1st'!$S$2:$S$317=$A65),--ISNUMBER('Данные 1st'!$HJ$2:$HJ$317))</f>
        <v>1</v>
      </c>
      <c r="DJ65">
        <f>SUMPRODUCT(--('Данные 1st'!$S$2:$S$317=$A65),--ISNUMBER('Данные 1st'!$HK$2:$HK$317))</f>
        <v>1</v>
      </c>
      <c r="DK65">
        <f>SUMPRODUCT(--('Данные 1st'!$S$2:$S$317=$A65),--ISNUMBER('Данные 1st'!$HL$2:$HL$317))</f>
        <v>1</v>
      </c>
      <c r="DL65">
        <f>SUMPRODUCT(--('Данные 1st'!$S$2:$S$317=$A65),--ISNUMBER('Данные 1st'!$HM$2:$HM$317))</f>
        <v>1</v>
      </c>
      <c r="DM65">
        <f>SUMPRODUCT(--('Данные 1st'!$S$2:$S$317=$A65),--ISNUMBER('Данные 1st'!$HN$2:$HN$317))</f>
        <v>1</v>
      </c>
      <c r="DN65">
        <f>SUMPRODUCT(--('Данные 1st'!$S$2:$S$317=$A65),--ISNUMBER('Данные 1st'!$HO$2:$HO$317))</f>
        <v>1</v>
      </c>
      <c r="DO65">
        <f>SUMPRODUCT(--('Данные 1st'!$S$2:$S$317=$A65),--ISNUMBER('Данные 1st'!$HP$2:$HP$317))</f>
        <v>1</v>
      </c>
      <c r="DP65">
        <f>SUMPRODUCT(--('Данные 1st'!$S$2:$S$317=$A65),--ISNUMBER('Данные 1st'!$HQ$2:$HQ$317))</f>
        <v>1</v>
      </c>
      <c r="DQ65">
        <f>SUMPRODUCT(--('Данные 1st'!$S$2:$S$317=$A65),--ISNUMBER('Данные 1st'!$HR$2:$HR$317))</f>
        <v>1</v>
      </c>
      <c r="DR65">
        <f>SUMPRODUCT(--('Данные 1st'!$S$2:$S$317=$A65),--ISNUMBER('Данные 1st'!$HS$2:$HS$317))</f>
        <v>1</v>
      </c>
      <c r="DS65">
        <f>SUMPRODUCT(--('Данные 1st'!$S$2:$S$317=$A65),--ISNUMBER('Данные 1st'!$HT$2:$HT$317))</f>
        <v>1</v>
      </c>
      <c r="DT65">
        <f>SUMPRODUCT(--('Данные 1st'!$S$2:$S$317=$A65),--ISNUMBER('Данные 1st'!$HU$2:$HU$317))</f>
        <v>1</v>
      </c>
      <c r="DU65">
        <f>SUMPRODUCT(--('Данные 1st'!$S$2:$S$317=$A65),--ISNUMBER('Данные 1st'!$HW$2:$HW$317))</f>
        <v>1</v>
      </c>
      <c r="DV65">
        <f>SUMPRODUCT(--('Данные 1st'!$S$2:$S$317=$A65),--ISNUMBER('Данные 1st'!$HX$2:$HX$317))</f>
        <v>1</v>
      </c>
      <c r="DW65">
        <f>SUMPRODUCT(--('Данные 1st'!$S$2:$S$317=$A65),--ISNUMBER('Данные 1st'!$HY$2:$HY$317))</f>
        <v>1</v>
      </c>
      <c r="DX65">
        <f>SUMPRODUCT(--('Данные 1st'!$S$2:$S$317=$A65),--ISNUMBER('Данные 1st'!$IA$2:$IA$317))</f>
        <v>1</v>
      </c>
      <c r="DY65">
        <f>SUMPRODUCT(--('Данные 1st'!$S$2:$S$317=$A65),--ISNUMBER('Данные 1st'!$IB$2:$IB$317))</f>
        <v>1</v>
      </c>
      <c r="DZ65">
        <f>SUMPRODUCT(--('Данные 1st'!$S$2:$S$317=$A65),--ISNUMBER('Данные 1st'!$IC$2:$IC$317))</f>
        <v>1</v>
      </c>
      <c r="EA65">
        <f>SUMPRODUCT(--('Данные 1st'!$S$2:$S$317=$A65),--ISNUMBER('Данные 1st'!$ID$2:$ID$317))</f>
        <v>1</v>
      </c>
      <c r="EB65">
        <f>SUMPRODUCT(--('Данные 1st'!$S$2:$S$317=$A65),--ISNUMBER('Данные 1st'!$IE$2:$IE$317))</f>
        <v>1</v>
      </c>
      <c r="EC65">
        <f>SUMPRODUCT(--('Данные 1st'!$S$2:$S$317=$A65),--ISNUMBER('Данные 1st'!$IF$2:$IF$317))</f>
        <v>1</v>
      </c>
      <c r="ED65">
        <f>SUMPRODUCT(--('Данные 1st'!$S$2:$S$317=$A65),--ISNUMBER('Данные 1st'!$IP$2:$IP$317))</f>
        <v>1</v>
      </c>
      <c r="EE65">
        <f>SUMPRODUCT(--('Данные 1st'!$S$2:$S$317=$A65),--ISNUMBER('Данные 1st'!$IV$2:$IV$317))</f>
        <v>1</v>
      </c>
      <c r="EF65">
        <f>SUMPRODUCT(--('Данные 1st'!$S$2:$S$317=$A65),--ISNUMBER('Данные 1st'!$IW$2:$IW$317))</f>
        <v>1</v>
      </c>
      <c r="EG65">
        <f>SUMPRODUCT(--('Данные 1st'!$S$2:$S$317=$A65),--ISNUMBER('Данные 1st'!$IX$2:$IX$317))</f>
        <v>0</v>
      </c>
      <c r="EH65">
        <f>SUMPRODUCT(--('Данные 1st'!$S$2:$S$317=$A65),--ISNUMBER('Данные 1st'!$IY$2:$IY$317))</f>
        <v>0</v>
      </c>
      <c r="EI65">
        <f>SUMPRODUCT(--('Данные 1st'!$S$2:$S$317=$A65),--ISNUMBER('Данные 1st'!$JD$2:$JD$317))</f>
        <v>1</v>
      </c>
      <c r="EJ65">
        <f>SUMPRODUCT(--('Данные 1st'!$S$2:$S$317=$A65),--ISNUMBER('Данные 1st'!$JE$2:$JE$317))</f>
        <v>1</v>
      </c>
      <c r="EK65">
        <f>SUMPRODUCT(--('Данные 1st'!$S$2:$S$317=$A65),--ISNUMBER('Данные 1st'!$JF$2:$JF$317))</f>
        <v>1</v>
      </c>
      <c r="EL65">
        <f>SUMPRODUCT(--('Данные 1st'!$S$2:$S$317=$A65),--ISNUMBER('Данные 1st'!$JG$2:$JG$317))</f>
        <v>1</v>
      </c>
      <c r="EM65">
        <f>SUMPRODUCT(--('Данные 1st'!$S$2:$S$317=$A65),--ISNUMBER('Данные 1st'!$JH$2:$JH$317))</f>
        <v>1</v>
      </c>
      <c r="EN65">
        <f>SUMPRODUCT(--('Данные 1st'!$S$2:$S$317=$A65),--ISNUMBER('Данные 1st'!$JJ$2:$JJ$317))</f>
        <v>1</v>
      </c>
      <c r="EO65">
        <f>SUMPRODUCT(--('Данные 1st'!$S$2:$S$317=$A65),--ISNUMBER('Данные 1st'!$JK$2:$JK$317))</f>
        <v>1</v>
      </c>
      <c r="EP65">
        <f>SUMPRODUCT(--('Данные 1st'!$S$2:$S$317=$A65),--ISNUMBER('Данные 1st'!$JL$2:$JL$317))</f>
        <v>0</v>
      </c>
      <c r="EQ65">
        <f>SUMPRODUCT(--('Данные 1st'!$S$2:$S$317=$A65),--ISNUMBER('Данные 1st'!$JM$2:$JM$317))</f>
        <v>0</v>
      </c>
      <c r="ER65">
        <f>SUMPRODUCT(--('Данные 1st'!$S$2:$S$317=$A65),--ISNUMBER('Данные 1st'!$JN$2:$JN$317))</f>
        <v>1</v>
      </c>
      <c r="ES65">
        <f>SUMPRODUCT(--('Данные 1st'!$S$2:$S$317=$A65),--ISNUMBER('Данные 1st'!$JO$2:$JO$317))</f>
        <v>1</v>
      </c>
      <c r="ET65">
        <f>SUMPRODUCT(--('Данные 1st'!$S$2:$S$317=$A65),--ISNUMBER('Данные 1st'!$JP$2:$JP$317))</f>
        <v>1</v>
      </c>
      <c r="EU65">
        <f>SUMPRODUCT(--('Данные 1st'!$S$2:$S$317=$A65),--ISNUMBER('Данные 1st'!$JQ$2:$JQ$317))</f>
        <v>1</v>
      </c>
      <c r="EV65">
        <f>SUMPRODUCT(--('Данные 1st'!$S$2:$S$317=$A65),--ISNUMBER('Данные 1st'!$JR$2:$JR$317))</f>
        <v>1</v>
      </c>
      <c r="EW65">
        <f>SUMPRODUCT(--('Данные 1st'!$S$2:$S$317=$A65),--ISNUMBER('Данные 1st'!$JS$2:$JS$317))</f>
        <v>1</v>
      </c>
      <c r="EX65">
        <f>SUMPRODUCT(--('Данные 1st'!$S$2:$S$317=$A65),--ISNUMBER('Данные 1st'!$JT$2:$JT$317))</f>
        <v>0</v>
      </c>
      <c r="EY65">
        <f>SUMPRODUCT(--('Данные 1st'!$S$2:$S$317=$A65),--ISNUMBER('Данные 1st'!$JU$2:$JU$317))</f>
        <v>0</v>
      </c>
      <c r="EZ65">
        <f>SUMPRODUCT(--('Данные 1st'!$S$2:$S$317=$A65),--ISNUMBER('Данные 1st'!$JV$2:$JV$317))</f>
        <v>1</v>
      </c>
      <c r="FA65">
        <f>SUMPRODUCT(--('Данные 1st'!$S$2:$S$317=$A65),--ISNUMBER('Данные 1st'!$JW$2:$JW$317))</f>
        <v>0</v>
      </c>
      <c r="FB65">
        <f>SUMPRODUCT(--('Данные 1st'!$S$2:$S$317=$A65),--ISNUMBER('Данные 1st'!$JX$2:$JX$317))</f>
        <v>1</v>
      </c>
      <c r="FC65">
        <f>SUMPRODUCT(--('Данные 1st'!$S$2:$S$317=$A65),--ISNUMBER('Данные 1st'!$JY$2:$JY$317))</f>
        <v>0</v>
      </c>
      <c r="FD65">
        <f>SUMPRODUCT(--('Данные 1st'!$S$2:$S$317=$A65),--ISNUMBER('Данные 1st'!$JZ$2:$JZ$317))</f>
        <v>0</v>
      </c>
      <c r="FE65">
        <f>SUMPRODUCT(--('Данные 1st'!$S$2:$S$317=$A65),--ISNUMBER('Данные 1st'!$KA$2:$KA$317))</f>
        <v>1</v>
      </c>
      <c r="FF65">
        <f>SUMPRODUCT(--('Данные 1st'!$S$2:$S$317=$A65),--ISNUMBER('Данные 1st'!$KB$2:$KB$317))</f>
        <v>1</v>
      </c>
      <c r="FG65">
        <f>SUMPRODUCT(--('Данные 1st'!$S$2:$S$317=$A65),--ISNUMBER('Данные 1st'!$KC$2:$KC$317))</f>
        <v>1</v>
      </c>
      <c r="FH65">
        <f>SUMPRODUCT(--('Данные 1st'!$S$2:$S$317=$A65),--ISNUMBER('Данные 1st'!$KD$2:$KD$317))</f>
        <v>1</v>
      </c>
      <c r="FI65">
        <f>SUMPRODUCT(--('Данные 1st'!$S$2:$S$317=$A65),--ISNUMBER('Данные 1st'!$KE$2:$KE$317))</f>
        <v>0</v>
      </c>
      <c r="FJ65">
        <f>SUMPRODUCT(--('Данные 1st'!$S$2:$S$317=$A65),--ISNUMBER('Данные 1st'!$KF$2:$KF$317))</f>
        <v>1</v>
      </c>
      <c r="FK65">
        <f>SUMPRODUCT(--('Данные 1st'!$S$2:$S$317=$A65),--ISNUMBER('Данные 1st'!$KG$2:$KG$317))</f>
        <v>1</v>
      </c>
      <c r="FL65">
        <f>SUMPRODUCT(--('Данные 1st'!$S$2:$S$317=$A65),--ISNUMBER('Данные 1st'!$KH$2:$KH$317))</f>
        <v>1</v>
      </c>
      <c r="FM65">
        <f>SUMPRODUCT(--('Данные 1st'!$S$2:$S$317=$A65),--ISNUMBER('Данные 1st'!$KI$2:$KI$317))</f>
        <v>1</v>
      </c>
      <c r="FN65">
        <f>SUMPRODUCT(--('Данные 1st'!$S$2:$S$317=$A65),--ISNUMBER('Данные 1st'!$KJ$2:$KJ$317))</f>
        <v>1</v>
      </c>
      <c r="FO65">
        <f>SUMPRODUCT(--('Данные 1st'!$S$2:$S$317=$A65),--ISNUMBER('Данные 1st'!$KK$2:$KK$317))</f>
        <v>1</v>
      </c>
      <c r="FP65">
        <f>SUMPRODUCT(--('Данные 1st'!$S$2:$S$317=$A65),--ISNUMBER('Данные 1st'!$KL$2:$KL$317))</f>
        <v>1</v>
      </c>
      <c r="FQ65">
        <f>SUMPRODUCT(--('Данные 1st'!$S$2:$S$317=$A65),--ISNUMBER('Данные 1st'!$KM$2:$KM$317))</f>
        <v>1</v>
      </c>
      <c r="FR65">
        <f>SUMPRODUCT(--('Данные 1st'!$S$2:$S$317=$A65),--ISNUMBER('Данные 1st'!$KN$2:$KN$317))</f>
        <v>1</v>
      </c>
      <c r="FS65">
        <f>SUMPRODUCT(--('Данные 1st'!$S$2:$S$317=$A65),--ISNUMBER('Данные 1st'!$KR$2:$KR$317))</f>
        <v>1</v>
      </c>
      <c r="FT65">
        <f>SUMPRODUCT(--('Данные 1st'!$S$2:$S$317=$A65),--ISNUMBER('Данные 1st'!$KS$2:$KS$317))</f>
        <v>1</v>
      </c>
      <c r="FU65">
        <f>SUMPRODUCT(--('Данные 1st'!$S$2:$S$317=$A65),--ISNUMBER('Данные 1st'!$KT$2:$KT$317))</f>
        <v>1</v>
      </c>
      <c r="FV65">
        <f>SUMPRODUCT(--('Данные 1st'!$S$2:$S$317=$A65),--ISNUMBER('Данные 1st'!$KV$2:$KV$317))</f>
        <v>0</v>
      </c>
      <c r="FW65">
        <f>SUMPRODUCT(--('Данные 1st'!$S$2:$S$317=$A65),--ISNUMBER('Данные 1st'!$KW$2:$KW$317))</f>
        <v>0</v>
      </c>
      <c r="FX65">
        <f>SUMPRODUCT(--('Данные 1st'!$S$2:$S$317=$A65),--ISNUMBER('Данные 1st'!$KX$2:$KX$317))</f>
        <v>0</v>
      </c>
      <c r="FY65">
        <f>SUMPRODUCT(--('Данные 1st'!$S$2:$S$317=$A65),--ISNUMBER('Данные 1st'!$KY$2:$KY$317))</f>
        <v>0</v>
      </c>
      <c r="FZ65">
        <f>SUMPRODUCT(--('Данные 1st'!$S$2:$S$317=$A65),--ISNUMBER('Данные 1st'!$KZ$2:$KZ$317))</f>
        <v>0</v>
      </c>
      <c r="GA65">
        <f>SUMPRODUCT(--('Данные 1st'!$S$2:$S$317=$A65),--ISNUMBER('Данные 1st'!$LA$2:$LA$317))</f>
        <v>0</v>
      </c>
      <c r="GB65">
        <f>SUMPRODUCT(--('Данные 1st'!$S$2:$S$317=$A65),--ISNUMBER('Данные 1st'!$LB$2:$LB$317))</f>
        <v>0</v>
      </c>
      <c r="GC65">
        <f>SUMPRODUCT(--('Данные 1st'!$S$2:$S$317=$A65),--ISNUMBER('Данные 1st'!$LC$2:$LC$317))</f>
        <v>0</v>
      </c>
      <c r="GD65">
        <f>SUMPRODUCT(--('Данные 1st'!$S$2:$S$317=$A65),--ISNUMBER('Данные 1st'!$LD$2:$LD$317))</f>
        <v>0</v>
      </c>
      <c r="GE65">
        <f>SUMPRODUCT(--('Данные 1st'!$S$2:$S$317=$A65),--ISNUMBER('Данные 1st'!$LE$2:$LE$317))</f>
        <v>0</v>
      </c>
      <c r="GF65">
        <f>SUMPRODUCT(--('Данные 1st'!$S$2:$S$317=$A65),--ISNUMBER('Данные 1st'!$LF$2:$LF$317))</f>
        <v>0</v>
      </c>
      <c r="GG65">
        <f>SUMPRODUCT(--('Данные 1st'!$S$2:$S$317=$A65),--ISNUMBER('Данные 1st'!$LG$2:$LG$317))</f>
        <v>0</v>
      </c>
      <c r="GH65">
        <f>SUMPRODUCT(--('Данные 1st'!$S$2:$S$317=$A65),--ISNUMBER('Данные 1st'!$LH$2:$LH$317))</f>
        <v>0</v>
      </c>
      <c r="GI65">
        <f>SUMPRODUCT(--('Данные 1st'!$S$2:$S$317=$A65),--ISNUMBER('Данные 1st'!$LI$2:$LI$317))</f>
        <v>0</v>
      </c>
      <c r="GJ65">
        <f>SUMPRODUCT(--('Данные 1st'!$S$2:$S$317=$A65),--ISNUMBER('Данные 1st'!$LJ$2:$LJ$317))</f>
        <v>0</v>
      </c>
      <c r="GK65">
        <f>SUMPRODUCT(--('Данные 1st'!$S$2:$S$317=$A65),--ISNUMBER('Данные 1st'!$LK$2:$LK$317))</f>
        <v>1</v>
      </c>
      <c r="GL65">
        <f>SUMPRODUCT(--('Данные 1st'!$S$2:$S$317=$A65),--ISNUMBER('Данные 1st'!$LV$2:$LV$317))</f>
        <v>0</v>
      </c>
      <c r="GM65">
        <f>SUMPRODUCT(--('Данные 1st'!$S$2:$S$317=$A65),--ISNUMBER('Данные 1st'!$LW$2:$LW$317))</f>
        <v>0</v>
      </c>
      <c r="GN65">
        <f>SUMPRODUCT(--('Данные 1st'!$S$2:$S$317=$A65),--ISNUMBER('Данные 1st'!$LX$2:$LX$317))</f>
        <v>0</v>
      </c>
      <c r="GO65">
        <f>SUMPRODUCT(--('Данные 1st'!$S$2:$S$317=$A65),--ISNUMBER('Данные 1st'!$LY$2:$LY$317))</f>
        <v>0</v>
      </c>
      <c r="GP65">
        <f>SUMPRODUCT(--('Данные 1st'!$S$2:$S$317=$A65),--ISNUMBER('Данные 1st'!$LZ$2:$LZ$317))</f>
        <v>0</v>
      </c>
      <c r="GQ65">
        <f>SUMPRODUCT(--('Данные 1st'!$S$2:$S$317=$A65),--ISNUMBER('Данные 1st'!$PG$2:$PG$317))</f>
        <v>1</v>
      </c>
      <c r="GR65">
        <f>SUMPRODUCT(--('Данные 1st'!$S$2:$S$317=$A65),--ISNUMBER('Данные 1st'!$PX$2:$PX$317))</f>
        <v>1</v>
      </c>
      <c r="GS65">
        <f>SUMPRODUCT(--('Данные 1st'!$S$2:$S$317=$A65),--ISNUMBER('Данные 1st'!$PY$2:$PY$317))</f>
        <v>1</v>
      </c>
      <c r="GT65">
        <f>SUMPRODUCT(--('Данные 1st'!$S$2:$S$317=$A65),--ISNUMBER('Данные 1st'!$QA$2:$QA$317))</f>
        <v>1</v>
      </c>
      <c r="GU65">
        <f>SUMPRODUCT(--('Данные 1st'!$S$2:$S$317=$A65),--ISNUMBER('Данные 1st'!$QB$2:$QB$317))</f>
        <v>1</v>
      </c>
      <c r="GV65">
        <f>SUMPRODUCT(--('Данные 1st'!$S$2:$S$317=$A65),--ISNUMBER('Данные 1st'!$QC$2:$QC$317))</f>
        <v>1</v>
      </c>
      <c r="GW65">
        <f>SUMPRODUCT(--('Данные 1st'!$S$2:$S$317=$A65),--ISNUMBER('Данные 1st'!$QD$2:$QD$317))</f>
        <v>1</v>
      </c>
      <c r="GX65">
        <f>SUMPRODUCT(--('Данные 1st'!$S$2:$S$317=$A65),--ISNUMBER('Данные 1st'!$QF$2:$QF$317))</f>
        <v>1</v>
      </c>
      <c r="GY65">
        <f>SUMPRODUCT(--('Данные 1st'!$S$2:$S$317=$A65),--ISNUMBER('Данные 1st'!$QG$2:$QG$317))</f>
        <v>1</v>
      </c>
      <c r="GZ65">
        <f>SUMPRODUCT(--('Данные 1st'!$S$2:$S$317=$A65),--ISNUMBER('Данные 1st'!$QH$2:$QH$317))</f>
        <v>1</v>
      </c>
      <c r="HA65">
        <f>SUMPRODUCT(--('Данные 1st'!$S$2:$S$317=$A65),--ISNUMBER('Данные 1st'!$QI$2:$QI$317))</f>
        <v>1</v>
      </c>
      <c r="HB65">
        <f>SUMPRODUCT(--('Данные 1st'!$S$2:$S$317=$A65),--ISNUMBER('Данные 1st'!$QK$2:$QK$317))</f>
        <v>0</v>
      </c>
      <c r="HC65">
        <f>SUMPRODUCT(--('Данные 1st'!$S$2:$S$317=$A65),--ISNUMBER('Данные 1st'!$QL$2:$QL$317))</f>
        <v>1</v>
      </c>
      <c r="HD65">
        <f>SUMPRODUCT(--('Данные 1st'!$S$2:$S$317=$A65),--ISNUMBER('Данные 1st'!$QM$2:$QM$317))</f>
        <v>1</v>
      </c>
      <c r="HE65">
        <f>SUMPRODUCT(--('Данные 1st'!$S$2:$S$317=$A65),--ISNUMBER('Данные 1st'!$QN$2:$QN$317))</f>
        <v>1</v>
      </c>
      <c r="HF65">
        <f>SUMPRODUCT(--('Данные 1st'!$S$2:$S$317=$A65),--ISNUMBER('Данные 1st'!$QP$2:$QP$317))</f>
        <v>1</v>
      </c>
      <c r="HG65">
        <f>SUMPRODUCT(--('Данные 1st'!$S$2:$S$317=$A65),--ISNUMBER('Данные 1st'!$QQ$2:$QQ$317))</f>
        <v>1</v>
      </c>
      <c r="HH65">
        <f>SUMPRODUCT(--('Данные 1st'!$S$2:$S$317=$A65),--ISNUMBER('Данные 1st'!$QR$2:$QR$317))</f>
        <v>1</v>
      </c>
      <c r="HI65">
        <f>SUMPRODUCT(--('Данные 1st'!$S$2:$S$317=$A65),--ISNUMBER('Данные 1st'!$QS$2:$QS$317))</f>
        <v>1</v>
      </c>
      <c r="HJ65">
        <f>SUMPRODUCT(--('Данные 1st'!$S$2:$S$317=$A65),--ISNUMBER('Данные 1st'!$QU$2:$QU$317))</f>
        <v>1</v>
      </c>
      <c r="HK65">
        <f>SUMPRODUCT(--('Данные 1st'!$S$2:$S$317=$A65),--ISNUMBER('Данные 1st'!$QV$2:$QV$317))</f>
        <v>1</v>
      </c>
      <c r="HL65">
        <f>SUMPRODUCT(--('Данные 1st'!$S$2:$S$317=$A65),--ISNUMBER('Данные 1st'!$QW$2:$QW$317))</f>
        <v>1</v>
      </c>
      <c r="HM65">
        <f>SUMPRODUCT(--('Данные 1st'!$S$2:$S$317=$A65),--ISNUMBER('Данные 1st'!$QX$2:$QX$317))</f>
        <v>1</v>
      </c>
      <c r="HN65">
        <f>SUMPRODUCT(--('Данные 1st'!$S$2:$S$317=$A65),--ISNUMBER('Данные 1st'!$QZ$2:$QZ$317))</f>
        <v>1</v>
      </c>
      <c r="HO65">
        <f>SUMPRODUCT(--('Данные 1st'!$S$2:$S$317=$A65),--ISNUMBER('Данные 1st'!$RA$2:$RA$317))</f>
        <v>1</v>
      </c>
      <c r="HP65">
        <f>SUMPRODUCT(--('Данные 1st'!$S$2:$S$317=$A65),--ISNUMBER('Данные 1st'!$RB$2:$RB$317))</f>
        <v>1</v>
      </c>
      <c r="HQ65">
        <f>SUMPRODUCT(--('Данные 1st'!$S$2:$S$317=$A65),--ISNUMBER('Данные 1st'!$RD$2:$RD$317))</f>
        <v>0</v>
      </c>
      <c r="HR65">
        <f>SUMPRODUCT(--('Данные 1st'!$S$2:$S$317=$A65),--ISNUMBER('Данные 1st'!$RE$2:$RE$317))</f>
        <v>1</v>
      </c>
      <c r="HS65">
        <f>SUMPRODUCT(--('Данные 1st'!$S$2:$S$317=$A65),--ISNUMBER('Данные 1st'!$RF$2:$RF$317))</f>
        <v>1</v>
      </c>
      <c r="HT65">
        <f>SUMPRODUCT(--('Данные 1st'!$S$2:$S$317=$A65),--ISNUMBER('Данные 1st'!$RG$2:$RG$317))</f>
        <v>0</v>
      </c>
      <c r="HU65">
        <f>SUMPRODUCT(--('Данные 1st'!$S$2:$S$317=$A65),--ISNUMBER('Данные 1st'!$RH$2:$RH$317))</f>
        <v>1</v>
      </c>
      <c r="HV65">
        <f>SUMPRODUCT(--('Данные 1st'!$S$2:$S$317=$A65),--ISNUMBER('Данные 1st'!$RI$2:$RI$317))</f>
        <v>0</v>
      </c>
      <c r="HW65">
        <f>SUMPRODUCT(--('Данные 1st'!$S$2:$S$317=$A65),--ISNUMBER('Данные 1st'!$RJ$2:$RJ$317))</f>
        <v>1</v>
      </c>
      <c r="HX65">
        <f>SUMPRODUCT(--('Данные 1st'!$S$2:$S$317=$A65),--ISNUMBER('Данные 1st'!$RK$2:$RK$317))</f>
        <v>0</v>
      </c>
      <c r="HY65">
        <f>SUMPRODUCT(--('Данные 1st'!$S$2:$S$317=$A65),--ISNUMBER('Данные 1st'!$RL$2:$RL$317))</f>
        <v>1</v>
      </c>
      <c r="HZ65">
        <f>SUMPRODUCT(--('Данные 1st'!$S$2:$S$317=$A65),--ISNUMBER('Данные 1st'!$RM$2:$RM$317))</f>
        <v>1</v>
      </c>
      <c r="IA65">
        <f>SUMPRODUCT(--('Данные 1st'!$S$2:$S$317=$A65),--ISNUMBER('Данные 1st'!$RN$2:$RN$317))</f>
        <v>0</v>
      </c>
      <c r="IB65">
        <f>SUMPRODUCT(--('Данные 1st'!$S$2:$S$317=$A65),--ISNUMBER('Данные 1st'!$RO$2:$RO$317))</f>
        <v>1</v>
      </c>
      <c r="IC65">
        <f>SUMPRODUCT(--('Данные 1st'!$S$2:$S$317=$A65),--ISNUMBER('Данные 1st'!$RP$2:$RP$317))</f>
        <v>0</v>
      </c>
      <c r="ID65">
        <f>SUMPRODUCT(--('Данные 1st'!$S$2:$S$317=$A65),--ISNUMBER('Данные 1st'!$RQ$2:$RQ$317))</f>
        <v>1</v>
      </c>
      <c r="IE65">
        <f>SUMPRODUCT(--('Данные 1st'!$S$2:$S$317=$A65),--ISNUMBER('Данные 1st'!$RR$2:$RR$317))</f>
        <v>1</v>
      </c>
      <c r="IF65">
        <f>SUMPRODUCT(--('Данные 1st'!$S$2:$S$317=$A65),--ISNUMBER('Данные 1st'!$RS$2:$RS$317))</f>
        <v>0</v>
      </c>
      <c r="IG65">
        <f>SUMPRODUCT(--('Данные 1st'!$S$2:$S$317=$A65),--ISNUMBER('Данные 1st'!$RT$2:$RT$317))</f>
        <v>1</v>
      </c>
      <c r="IH65">
        <f>SUMPRODUCT(--('Данные 1st'!$S$2:$S$317=$A65),--ISNUMBER('Данные 1st'!$RU$2:$RU$317))</f>
        <v>1</v>
      </c>
      <c r="II65">
        <f>SUMPRODUCT(--('Данные 1st'!$S$2:$S$317=$A65),--ISNUMBER('Данные 1st'!$RX$2:$RX$317))</f>
        <v>1</v>
      </c>
      <c r="IJ65">
        <f>SUMPRODUCT(--('Данные 1st'!$S$2:$S$317=$A65),--ISNUMBER('Данные 1st'!$RY$2:$RY$317))</f>
        <v>1</v>
      </c>
      <c r="IK65">
        <f>SUMPRODUCT(--('Данные 1st'!$S$2:$S$317=$A65),--ISNUMBER('Данные 1st'!$SA$2:$SA$317))</f>
        <v>1</v>
      </c>
      <c r="IL65">
        <f>SUMPRODUCT(--('Данные 1st'!$S$2:$S$317=$A65),--ISNUMBER('Данные 1st'!$SD$2:$SD$317))</f>
        <v>1</v>
      </c>
      <c r="IM65">
        <f>SUMPRODUCT(--('Данные 1st'!$S$2:$S$317=$A65),--ISNUMBER('Данные 1st'!$SG$2:$SG$317))</f>
        <v>1</v>
      </c>
      <c r="IN65">
        <f>SUMPRODUCT(--('Данные 1st'!$S$2:$S$317=$A65),--ISNUMBER('Данные 1st'!$SH$2:$SH$317))</f>
        <v>1</v>
      </c>
      <c r="IO65">
        <f>SUMPRODUCT(--('Данные 1st'!$S$2:$S$317=$A65),--ISNUMBER('Данные 1st'!$SI$2:$SI$317))</f>
        <v>1</v>
      </c>
      <c r="IP65">
        <f>SUMPRODUCT(--('Данные 1st'!$S$2:$S$317=$A65),--ISNUMBER('Данные 1st'!$SJ$2:$SJ$317))</f>
        <v>1</v>
      </c>
      <c r="IQ65">
        <f>SUMPRODUCT(--('Данные 1st'!$S$2:$S$317=$A65),--ISNUMBER('Данные 1st'!$SK$2:$SK$317))</f>
        <v>1</v>
      </c>
      <c r="IR65">
        <f>SUMPRODUCT(--('Данные 1st'!$S$2:$S$317=$A65),--ISNUMBER('Данные 1st'!$SL$2:$SL$317))</f>
        <v>1</v>
      </c>
      <c r="IS65">
        <f>SUMPRODUCT(--('Данные 1st'!$S$2:$S$317=$A65),--ISNUMBER('Данные 1st'!$SM$2:$SM$317))</f>
        <v>1</v>
      </c>
      <c r="IT65">
        <f>SUMPRODUCT(--('Данные 1st'!$S$2:$S$317=$A65),--ISNUMBER('Данные 1st'!$SN$2:$SN$317))</f>
        <v>1</v>
      </c>
      <c r="IU65">
        <f>SUMPRODUCT(--('Данные 1st'!$S$2:$S$317=$A65),--ISNUMBER('Данные 1st'!$SO$2:$SO$317))</f>
        <v>1</v>
      </c>
      <c r="IV65">
        <f>SUMPRODUCT(--('Данные 1st'!$S$2:$S$317=$A65),--ISNUMBER('Данные 1st'!$SP$2:$SP$317))</f>
        <v>1</v>
      </c>
      <c r="IW65">
        <f>SUMPRODUCT(--('Данные 1st'!$S$2:$S$317=$A65),--ISNUMBER('Данные 1st'!$SQ$2:$SQ$317))</f>
        <v>1</v>
      </c>
      <c r="IX65">
        <f>SUMPRODUCT(--('Данные 1st'!$S$2:$S$317=$A65),--ISNUMBER('Данные 1st'!$SR$2:$SR$317))</f>
        <v>1</v>
      </c>
      <c r="IY65">
        <f>SUMPRODUCT(--('Данные 1st'!$S$2:$S$317=$A65),--ISNUMBER('Данные 1st'!$SS$2:$SS$317))</f>
        <v>1</v>
      </c>
      <c r="IZ65">
        <f>SUMPRODUCT(--('Данные 1st'!$S$2:$S$317=$A65),--ISNUMBER('Данные 1st'!$ST$2:$ST$317))</f>
        <v>1</v>
      </c>
      <c r="JA65">
        <f>SUMPRODUCT(--('Данные 1st'!$S$2:$S$317=$A65),--ISNUMBER('Данные 1st'!$SU$2:$SU$317))</f>
        <v>1</v>
      </c>
      <c r="JB65">
        <f>SUMPRODUCT(--('Данные 1st'!$S$2:$S$317=$A65),--ISNUMBER('Данные 1st'!$SV$2:$SV$317))</f>
        <v>1</v>
      </c>
      <c r="JC65">
        <f>SUMPRODUCT(--('Данные 1st'!$S$2:$S$317=$A65),--ISNUMBER('Данные 1st'!$SW$2:$SW$317))</f>
        <v>1</v>
      </c>
      <c r="JD65">
        <f>SUMPRODUCT(--('Данные 1st'!$S$2:$S$317=$A65),--ISNUMBER('Данные 1st'!$SX$2:$SX$317))</f>
        <v>1</v>
      </c>
      <c r="JE65">
        <f>SUMPRODUCT(--('Данные 1st'!$S$2:$S$317=$A65),--ISNUMBER('Данные 1st'!$SY$2:$SY$317))</f>
        <v>0</v>
      </c>
      <c r="JF65">
        <f>SUMPRODUCT(--('Данные 1st'!$S$2:$S$317=$A65),--ISNUMBER('Данные 1st'!$SZ$2:$SZ$317))</f>
        <v>1</v>
      </c>
      <c r="JG65">
        <f>SUMPRODUCT(--('Данные 1st'!$S$2:$S$317=$A65),--ISNUMBER('Данные 1st'!$TA$2:$TA$317))</f>
        <v>0</v>
      </c>
      <c r="JH65">
        <f>SUMPRODUCT(--('Данные 1st'!$S$2:$S$317=$A65),--ISNUMBER('Данные 1st'!$TB$2:$TB$317))</f>
        <v>1</v>
      </c>
      <c r="JI65">
        <f>SUMPRODUCT(--('Данные 1st'!$S$2:$S$317=$A65),--ISNUMBER('Данные 1st'!$TC$2:$TC$317))</f>
        <v>1</v>
      </c>
      <c r="JJ65">
        <f>SUMPRODUCT(--('Данные 1st'!$S$2:$S$317=$A65),--ISNUMBER('Данные 1st'!$TD$2:$TD$317))</f>
        <v>1</v>
      </c>
      <c r="JK65">
        <f>SUMPRODUCT(--('Данные 1st'!$S$2:$S$317=$A65),--ISNUMBER('Данные 1st'!$TN$2:$TN$317))</f>
        <v>1</v>
      </c>
      <c r="JQ65">
        <f>SUMPRODUCT(--('Данные 2st'!$Q$2:$Q$317=$A65),--ISNUMBER('Данные 2st'!$AC$2:$AC$317))</f>
        <v>1</v>
      </c>
      <c r="JR65">
        <f>SUMPRODUCT(--('Данные 2st'!$Q$2:$Q$317=$A65),--ISNUMBER('Данные 2st'!$AF$2:$AF$317))</f>
        <v>1</v>
      </c>
      <c r="JS65">
        <f>SUMPRODUCT(--('Данные 2st'!$Q$2:$Q$317=$A65),--ISNUMBER('Данные 2st'!$AW$2:$AW$317))</f>
        <v>1</v>
      </c>
      <c r="JT65">
        <f>SUMPRODUCT(--('Данные 2st'!$Q$2:$Q$317=$A65),--ISNUMBER('Данные 2st'!$AX$2:$AX$317))</f>
        <v>1</v>
      </c>
      <c r="JU65">
        <f>SUMPRODUCT(--('Данные 2st'!$Q$2:$Q$317=$A65),--ISNUMBER('Данные 2st'!$AY$2:$AY$317))</f>
        <v>1</v>
      </c>
      <c r="JV65">
        <f>SUMPRODUCT(--('Данные 2st'!$Q$2:$Q$317=$A65),--ISNUMBER('Данные 2st'!$AZ$2:$AZ$317))</f>
        <v>1</v>
      </c>
      <c r="JW65">
        <f>SUMPRODUCT(--('Данные 2st'!$Q$2:$Q$317=$A65),--ISNUMBER('Данные 2st'!$BA$2:$BA$317))</f>
        <v>1</v>
      </c>
      <c r="JX65">
        <f>SUMPRODUCT(--('Данные 2st'!$Q$2:$Q$317=$A65),--ISNUMBER('Данные 2st'!$BB$2:$BB$317))</f>
        <v>1</v>
      </c>
      <c r="JY65">
        <f>SUMPRODUCT(--('Данные 2st'!$Q$2:$Q$317=$A65),--ISNUMBER('Данные 2st'!$BC$2:$BC$317))</f>
        <v>1</v>
      </c>
      <c r="JZ65">
        <f>SUMPRODUCT(--('Данные 2st'!$Q$2:$Q$317=$A65),--ISNUMBER('Данные 2st'!$BH$2:$BH$317))</f>
        <v>1</v>
      </c>
      <c r="KA65">
        <f>SUMPRODUCT(--('Данные 2st'!$Q$2:$Q$317=$A65),--ISNUMBER('Данные 2st'!$BI$2:$BI$317))</f>
        <v>1</v>
      </c>
      <c r="KB65">
        <f>SUMPRODUCT(--('Данные 2st'!$Q$2:$Q$317=$A65),--ISNUMBER('Данные 2st'!$BJ$2:$BJ$317))</f>
        <v>1</v>
      </c>
      <c r="KC65">
        <f>SUMPRODUCT(--('Данные 2st'!$Q$2:$Q$317=$A65),--ISNUMBER('Данные 2st'!$BK$2:$BK$317))</f>
        <v>1</v>
      </c>
      <c r="KD65">
        <f>SUMPRODUCT(--('Данные 2st'!$Q$2:$Q$317=$A65),--ISNUMBER('Данные 2st'!$BL$2:$BL$317))</f>
        <v>1</v>
      </c>
      <c r="KE65">
        <f>SUMPRODUCT(--('Данные 2st'!$Q$2:$Q$317=$A65),--ISNUMBER('Данные 2st'!$BM$2:$BM$317))</f>
        <v>1</v>
      </c>
      <c r="KF65">
        <f>SUMPRODUCT(--('Данные 2st'!$Q$2:$Q$317=$A65),--ISNUMBER('Данные 2st'!$BN$2:$BN$317))</f>
        <v>1</v>
      </c>
      <c r="KG65">
        <f>SUMPRODUCT(--('Данные 2st'!$Q$2:$Q$317=$A65),--ISNUMBER('Данные 2st'!$BO$2:$BO$317))</f>
        <v>1</v>
      </c>
      <c r="KH65">
        <f>SUMPRODUCT(--('Данные 2st'!$Q$2:$Q$317=$A65),--ISNUMBER('Данные 2st'!$BP$2:$BP$317))</f>
        <v>1</v>
      </c>
      <c r="KI65">
        <f>SUMPRODUCT(--('Данные 2st'!$Q$2:$Q$317=$A65),--ISNUMBER('Данные 2st'!$BR$2:$BR$317))</f>
        <v>1</v>
      </c>
      <c r="KJ65">
        <f>SUMPRODUCT(--('Данные 2st'!$Q$2:$Q$317=$A65),--ISNUMBER('Данные 2st'!$BS$2:$BS$317))</f>
        <v>1</v>
      </c>
      <c r="KK65">
        <f>SUMPRODUCT(--('Данные 2st'!$Q$2:$Q$317=$A65),--ISNUMBER('Данные 2st'!$BT$2:$BT$317))</f>
        <v>1</v>
      </c>
      <c r="KL65">
        <f>SUMPRODUCT(--('Данные 2st'!$Q$2:$Q$317=$A65),--ISNUMBER('Данные 2st'!$CV$2:$CV$317))</f>
        <v>1</v>
      </c>
      <c r="KM65">
        <f>SUMPRODUCT(--('Данные 2st'!$Q$2:$Q$317=$A65),--ISNUMBER('Данные 2st'!$CW$2:$CW$317))</f>
        <v>1</v>
      </c>
      <c r="KN65">
        <f>SUMPRODUCT(--('Данные 2st'!$Q$2:$Q$317=$A65),--ISNUMBER('Данные 2st'!$CX$2:$CX$317))</f>
        <v>1</v>
      </c>
      <c r="KO65">
        <f>SUMPRODUCT(--('Данные 2st'!$Q$2:$Q$317=$A65),--ISNUMBER('Данные 2st'!$CY$2:$CY$317))</f>
        <v>1</v>
      </c>
      <c r="KP65">
        <f>SUMPRODUCT(--('Данные 2st'!$Q$2:$Q$317=$A65),--ISNUMBER('Данные 2st'!$CZ$2:$CZ$317))</f>
        <v>1</v>
      </c>
      <c r="KQ65">
        <f>SUMPRODUCT(--('Данные 2st'!$Q$2:$Q$317=$A65),--ISNUMBER('Данные 2st'!$DA$2:$DA$317))</f>
        <v>1</v>
      </c>
      <c r="KR65">
        <f>SUMPRODUCT(--('Данные 2st'!$Q$2:$Q$317=$A65),--ISNUMBER('Данные 2st'!$DB$2:$DB$317))</f>
        <v>1</v>
      </c>
      <c r="KS65">
        <f>SUMPRODUCT(--('Данные 2st'!$Q$2:$Q$317=$A65),--ISNUMBER('Данные 2st'!$DC$2:$DC$317))</f>
        <v>1</v>
      </c>
      <c r="KT65">
        <f>SUMPRODUCT(--('Данные 2st'!$Q$2:$Q$317=$A65),--ISNUMBER('Данные 2st'!$DD$2:$DD$317))</f>
        <v>1</v>
      </c>
      <c r="KU65">
        <f>SUMPRODUCT(--('Данные 2st'!$Q$2:$Q$317=$A65),--ISNUMBER('Данные 2st'!$DE$2:$DE$317))</f>
        <v>1</v>
      </c>
      <c r="KV65">
        <f>SUMPRODUCT(--('Данные 2st'!$Q$2:$Q$317=$A65),--ISNUMBER('Данные 2st'!$DF$2:$DF$317))</f>
        <v>1</v>
      </c>
      <c r="KW65">
        <f>SUMPRODUCT(--('Данные 2st'!$Q$2:$Q$317=$A65),--ISNUMBER('Данные 2st'!$DG$2:$DG$317))</f>
        <v>1</v>
      </c>
      <c r="KX65">
        <f>SUMPRODUCT(--('Данные 2st'!$Q$2:$Q$317=$A65),--ISNUMBER('Данные 2st'!$DH$2:$DH$317))</f>
        <v>0</v>
      </c>
      <c r="KY65">
        <f>SUMPRODUCT(--('Данные 2st'!$Q$2:$Q$317=$A65),--ISNUMBER('Данные 2st'!$DI$2:$DI$317))</f>
        <v>0</v>
      </c>
      <c r="KZ65">
        <f>SUMPRODUCT(--('Данные 2st'!$Q$2:$Q$317=$A65),--ISNUMBER('Данные 2st'!$DK$2:$DK$317))</f>
        <v>1</v>
      </c>
      <c r="LA65">
        <f>SUMPRODUCT(--('Данные 2st'!$Q$2:$Q$317=$A65),--ISNUMBER('Данные 2st'!$DM$2:$DM$317))</f>
        <v>1</v>
      </c>
      <c r="LB65">
        <f>SUMPRODUCT(--('Данные 2st'!$Q$2:$Q$317=$A65),--ISNUMBER('Данные 2st'!$DN$2:$DN$317))</f>
        <v>1</v>
      </c>
      <c r="LC65">
        <f>SUMPRODUCT(--('Данные 2st'!$Q$2:$Q$317=$A65),--ISNUMBER('Данные 2st'!$DO$2:$DO$317))</f>
        <v>1</v>
      </c>
      <c r="LD65">
        <f>SUMPRODUCT(--('Данные 2st'!$Q$2:$Q$317=$A65),--ISNUMBER('Данные 2st'!$DP$2:$DP$317))</f>
        <v>1</v>
      </c>
      <c r="LE65">
        <f>SUMPRODUCT(--('Данные 2st'!$Q$2:$Q$317=$A65),--ISNUMBER('Данные 2st'!$DQ$2:$DQ$317))</f>
        <v>1</v>
      </c>
      <c r="LF65">
        <f>SUMPRODUCT(--('Данные 2st'!$Q$2:$Q$317=$A65),--ISNUMBER('Данные 2st'!$DS$2:$DS$317))</f>
        <v>1</v>
      </c>
      <c r="LG65">
        <f>SUMPRODUCT(--('Данные 2st'!$Q$2:$Q$317=$A65),--ISNUMBER('Данные 2st'!$DU$2:$DU$317))</f>
        <v>1</v>
      </c>
      <c r="LH65">
        <f>SUMPRODUCT(--('Данные 2st'!$Q$2:$Q$317=$A65),--ISNUMBER('Данные 2st'!$DV$2:$DV$317))</f>
        <v>1</v>
      </c>
      <c r="LI65">
        <f>SUMPRODUCT(--('Данные 2st'!$Q$2:$Q$317=$A65),--ISNUMBER('Данные 2st'!$DW$2:$DW$317))</f>
        <v>1</v>
      </c>
      <c r="LJ65">
        <f>SUMPRODUCT(--('Данные 2st'!$Q$2:$Q$317=$A65),--ISNUMBER('Данные 2st'!$DX$2:$DX$317))</f>
        <v>1</v>
      </c>
      <c r="LK65">
        <f>SUMPRODUCT(--('Данные 2st'!$Q$2:$Q$317=$A65),--ISNUMBER('Данные 2st'!$DY$2:$DY$317))</f>
        <v>1</v>
      </c>
      <c r="LL65">
        <f>SUMPRODUCT(--('Данные 2st'!$Q$2:$Q$317=$A65),--ISNUMBER('Данные 2st'!$EA$2:$EA$317))</f>
        <v>1</v>
      </c>
      <c r="LM65">
        <f>SUMPRODUCT(--('Данные 2st'!$Q$2:$Q$317=$A65),--ISNUMBER('Данные 2st'!$EC$2:$EC$317))</f>
        <v>1</v>
      </c>
      <c r="LN65">
        <f>SUMPRODUCT(--('Данные 2st'!$Q$2:$Q$317=$A65),--ISNUMBER('Данные 2st'!$ED$2:$ED$317))</f>
        <v>1</v>
      </c>
      <c r="LO65">
        <f>SUMPRODUCT(--('Данные 2st'!$Q$2:$Q$317=$A65),--ISNUMBER('Данные 2st'!$EE$2:$EE$317))</f>
        <v>1</v>
      </c>
      <c r="LP65">
        <f>SUMPRODUCT(--('Данные 2st'!$Q$2:$Q$317=$A65),--ISNUMBER('Данные 2st'!$EG$2:$EG$317))</f>
        <v>1</v>
      </c>
      <c r="LQ65">
        <f>SUMPRODUCT(--('Данные 2st'!$Q$2:$Q$317=$A65),--ISNUMBER('Данные 2st'!$EI$2:$EI$317))</f>
        <v>1</v>
      </c>
      <c r="LR65">
        <f>SUMPRODUCT(--('Данные 2st'!$Q$2:$Q$317=$A65),--ISNUMBER('Данные 2st'!$EJ$2:$EJ$317))</f>
        <v>0</v>
      </c>
      <c r="LS65">
        <f>SUMPRODUCT(--('Данные 2st'!$Q$2:$Q$317=$A65),--ISNUMBER('Данные 2st'!$EK$2:$EK$317))</f>
        <v>0</v>
      </c>
      <c r="LT65">
        <f>SUMPRODUCT(--('Данные 2st'!$Q$2:$Q$317=$A65),--ISNUMBER('Данные 2st'!$EM$2:$EM$317))</f>
        <v>1</v>
      </c>
      <c r="LU65">
        <f>SUMPRODUCT(--('Данные 2st'!$Q$2:$Q$317=$A65),--ISNUMBER('Данные 2st'!$EN$2:$EN$317))</f>
        <v>1</v>
      </c>
      <c r="LV65">
        <f>SUMPRODUCT(--('Данные 2st'!$Q$2:$Q$317=$A65),--ISNUMBER('Данные 2st'!$EO$2:$EO$317))</f>
        <v>1</v>
      </c>
      <c r="LW65">
        <f>SUMPRODUCT(--('Данные 2st'!$Q$2:$Q$317=$A65),--ISNUMBER('Данные 2st'!$EP$2:$EP$317))</f>
        <v>1</v>
      </c>
      <c r="LX65">
        <f>SUMPRODUCT(--('Данные 2st'!$Q$2:$Q$317=$A65),--ISNUMBER('Данные 2st'!$EQ$2:$EQ$317))</f>
        <v>1</v>
      </c>
      <c r="LY65">
        <f>SUMPRODUCT(--('Данные 2st'!$Q$2:$Q$317=$A65),--ISNUMBER('Данные 2st'!$ER$2:$ER$317))</f>
        <v>1</v>
      </c>
      <c r="LZ65">
        <f>SUMPRODUCT(--('Данные 2st'!$Q$2:$Q$317=$A65),--ISNUMBER('Данные 2st'!$ES$2:$ES$317))</f>
        <v>1</v>
      </c>
      <c r="MA65">
        <f>SUMPRODUCT(--('Данные 2st'!$Q$2:$Q$317=$A65),--ISNUMBER('Данные 2st'!$ET$2:$ET$317))</f>
        <v>1</v>
      </c>
      <c r="MB65">
        <f>SUMPRODUCT(--('Данные 2st'!$Q$2:$Q$317=$A65),--ISNUMBER('Данные 2st'!$EU$2:$EU$317))</f>
        <v>1</v>
      </c>
      <c r="MC65">
        <f>SUMPRODUCT(--('Данные 2st'!$Q$2:$Q$317=$A65),--ISNUMBER('Данные 2st'!$EV$2:$EV$317))</f>
        <v>1</v>
      </c>
      <c r="MD65">
        <f>SUMPRODUCT(--('Данные 2st'!$Q$2:$Q$317=$A65),--ISNUMBER('Данные 2st'!$EW$2:$EW$317))</f>
        <v>1</v>
      </c>
      <c r="ME65">
        <f>SUMPRODUCT(--('Данные 2st'!$Q$2:$Q$317=$A65),--ISNUMBER('Данные 2st'!$EY$2:$EY$317))</f>
        <v>1</v>
      </c>
      <c r="MF65">
        <f>SUMPRODUCT(--('Данные 2st'!$Q$2:$Q$317=$A65),--ISNUMBER('Данные 2st'!$FA$2:$FA$317))</f>
        <v>1</v>
      </c>
      <c r="MG65">
        <f>SUMPRODUCT(--('Данные 2st'!$Q$2:$Q$317=$A65),--ISNUMBER('Данные 2st'!$FB$2:$FB$317))</f>
        <v>1</v>
      </c>
      <c r="MH65">
        <f>SUMPRODUCT(--('Данные 2st'!$Q$2:$Q$317=$A65),--ISNUMBER('Данные 2st'!$FC$2:$FC$317))</f>
        <v>1</v>
      </c>
      <c r="MI65">
        <f>SUMPRODUCT(--('Данные 2st'!$Q$2:$Q$317=$A65),--ISNUMBER('Данные 2st'!$FD$2:$FD$317))</f>
        <v>1</v>
      </c>
      <c r="MJ65">
        <f>SUMPRODUCT(--('Данные 2st'!$Q$2:$Q$317=$A65),--ISNUMBER('Данные 2st'!$FE$2:$FE$317))</f>
        <v>1</v>
      </c>
      <c r="MK65">
        <f>SUMPRODUCT(--('Данные 2st'!$Q$2:$Q$317=$A65),--ISNUMBER('Данные 2st'!$FG$2:$FG$317))</f>
        <v>1</v>
      </c>
      <c r="ML65">
        <f>SUMPRODUCT(--('Данные 2st'!$Q$2:$Q$317=$A65),--ISNUMBER('Данные 2st'!$FI$2:$FI$317))</f>
        <v>1</v>
      </c>
      <c r="MM65">
        <f>SUMPRODUCT(--('Данные 2st'!$Q$2:$Q$317=$A65),--ISNUMBER('Данные 2st'!$FJ$2:$FJ$317))</f>
        <v>1</v>
      </c>
      <c r="MN65">
        <f>SUMPRODUCT(--('Данные 2st'!$Q$2:$Q$317=$A65),--ISNUMBER('Данные 2st'!$FK$2:$FK$317))</f>
        <v>1</v>
      </c>
      <c r="MO65">
        <f>SUMPRODUCT(--('Данные 2st'!$Q$2:$Q$317=$A65),--ISNUMBER('Данные 2st'!$FP$2:$FP$317))</f>
        <v>1</v>
      </c>
      <c r="MP65">
        <f>SUMPRODUCT(--('Данные 2st'!$Q$2:$Q$317=$A65),--ISNUMBER('Данные 2st'!$FQ$2:$FQ$317))</f>
        <v>1</v>
      </c>
      <c r="MQ65">
        <f>SUMPRODUCT(--('Данные 2st'!$Q$2:$Q$317=$A65),--ISNUMBER('Данные 2st'!$FS$2:$FS$317))</f>
        <v>1</v>
      </c>
      <c r="MR65">
        <f>SUMPRODUCT(--('Данные 2st'!$Q$2:$Q$317=$A65),--ISNUMBER('Данные 2st'!$FU$2:$FU$317))</f>
        <v>1</v>
      </c>
      <c r="MS65">
        <f>SUMPRODUCT(--('Данные 2st'!$Q$2:$Q$317=$A65),--ISNUMBER('Данные 2st'!$FV$2:$FV$317))</f>
        <v>1</v>
      </c>
      <c r="MT65">
        <f>SUMPRODUCT(--('Данные 2st'!$Q$2:$Q$317=$A65),--ISNUMBER('Данные 2st'!$FW$2:$FW$317))</f>
        <v>1</v>
      </c>
      <c r="MU65">
        <f>SUMPRODUCT(--('Данные 2st'!$Q$2:$Q$317=$A65),--ISNUMBER('Данные 2st'!$FY$2:$FY$317))</f>
        <v>1</v>
      </c>
      <c r="MV65">
        <f>SUMPRODUCT(--('Данные 2st'!$Q$2:$Q$317=$A65),--ISNUMBER('Данные 2st'!$GB$2:$GB$317))</f>
        <v>1</v>
      </c>
      <c r="MW65">
        <f>SUMPRODUCT(--('Данные 2st'!$Q$2:$Q$317=$A65),--ISNUMBER('Данные 2st'!$GC$2:$GC$317))</f>
        <v>1</v>
      </c>
      <c r="MX65">
        <f>SUMPRODUCT(--('Данные 2st'!$Q$2:$Q$317=$A65),--ISNUMBER('Данные 2st'!$GD$2:$GD$317))</f>
        <v>1</v>
      </c>
      <c r="MY65">
        <f>SUMPRODUCT(--('Данные 2st'!$Q$2:$Q$317=$A65),--ISNUMBER('Данные 2st'!$GN$2:$GN$317))</f>
        <v>0</v>
      </c>
      <c r="MZ65">
        <f>SUMPRODUCT(--('Данные 2st'!$Q$2:$Q$317=$A65),--ISNUMBER('Данные 2st'!$GQ$2:$GQ$317))</f>
        <v>1</v>
      </c>
      <c r="NA65">
        <f>SUMPRODUCT(--('Данные 2st'!$Q$2:$Q$317=$A65),--ISNUMBER('Данные 2st'!$GV$2:$GV$317))</f>
        <v>1</v>
      </c>
      <c r="NB65">
        <f>SUMPRODUCT(--('Данные 2st'!$Q$2:$Q$317=$A65),--ISNUMBER('Данные 2st'!$GW$2:$GW$317))</f>
        <v>1</v>
      </c>
      <c r="NC65">
        <f>SUMPRODUCT(--('Данные 2st'!$Q$2:$Q$317=$A65),--ISNUMBER('Данные 2st'!$GX$2:$GX$317))</f>
        <v>1</v>
      </c>
      <c r="ND65">
        <f>SUMPRODUCT(--('Данные 2st'!$Q$2:$Q$317=$A65),--ISNUMBER('Данные 2st'!$GY$2:$GY$317))</f>
        <v>1</v>
      </c>
      <c r="NE65">
        <f>SUMPRODUCT(--('Данные 2st'!$Q$2:$Q$317=$A65),--ISNUMBER('Данные 2st'!$GZ$2:$GZ$317))</f>
        <v>1</v>
      </c>
      <c r="NF65">
        <f>SUMPRODUCT(--('Данные 2st'!$Q$2:$Q$317=$A65),--ISNUMBER('Данные 2st'!$HA$2:$HA$317))</f>
        <v>1</v>
      </c>
      <c r="NG65">
        <f>SUMPRODUCT(--('Данные 2st'!$Q$2:$Q$317=$A65),--ISNUMBER('Данные 2st'!$HB$2:$HB$317))</f>
        <v>1</v>
      </c>
      <c r="NH65">
        <f>SUMPRODUCT(--('Данные 2st'!$Q$2:$Q$317=$A65),--ISNUMBER('Данные 2st'!$HC$2:$HC$317))</f>
        <v>1</v>
      </c>
      <c r="NI65">
        <f>SUMPRODUCT(--('Данные 2st'!$Q$2:$Q$317=$A65),--ISNUMBER('Данные 2st'!$HD$2:$HD$317))</f>
        <v>1</v>
      </c>
      <c r="NJ65">
        <f>SUMPRODUCT(--('Данные 2st'!$Q$2:$Q$317=$A65),--ISNUMBER('Данные 2st'!$HM$2:$HM$317))</f>
        <v>1</v>
      </c>
      <c r="NK65">
        <f>SUMPRODUCT(--('Данные 2st'!$Q$2:$Q$317=$A65),--ISNUMBER('Данные 2st'!$HR$2:$HR$317))</f>
        <v>1</v>
      </c>
      <c r="NL65">
        <f>SUMPRODUCT(--('Данные 2st'!$Q$2:$Q$317=$A65),--ISNUMBER('Данные 2st'!$HS$2:$HS$317))</f>
        <v>1</v>
      </c>
      <c r="NM65">
        <f>SUMPRODUCT(--('Данные 2st'!$Q$2:$Q$317=$A65),--ISNUMBER('Данные 2st'!$HT$2:$HT$317))</f>
        <v>1</v>
      </c>
      <c r="NN65">
        <f>SUMPRODUCT(--('Данные 2st'!$Q$2:$Q$317=$A65),--ISNUMBER('Данные 2st'!$HY$2:$HY$317))</f>
        <v>1</v>
      </c>
      <c r="NO65">
        <f>SUMPRODUCT(--('Данные 2st'!$Q$2:$Q$317=$A65),--ISNUMBER('Данные 2st'!$HZ$2:$HZ$317))</f>
        <v>1</v>
      </c>
      <c r="NP65">
        <f>SUMPRODUCT(--('Данные 2st'!$Q$2:$Q$317=$A65),--ISNUMBER('Данные 2st'!$IA$2:$IA$317))</f>
        <v>1</v>
      </c>
      <c r="NQ65">
        <f>SUMPRODUCT(--('Данные 2st'!$Q$2:$Q$317=$A65),--ISNUMBER('Данные 2st'!$IB$2:$IB$317))</f>
        <v>1</v>
      </c>
      <c r="NR65">
        <f>SUMPRODUCT(--('Данные 2st'!$Q$2:$Q$317=$A65),--ISNUMBER('Данные 2st'!$IC$2:$IC$317))</f>
        <v>0</v>
      </c>
      <c r="NS65">
        <f>SUMPRODUCT(--('Данные 2st'!$Q$2:$Q$317=$A65),--ISNUMBER('Данные 2st'!$ID$2:$ID$317))</f>
        <v>1</v>
      </c>
      <c r="NT65">
        <f>SUMPRODUCT(--('Данные 2st'!$Q$2:$Q$317=$A65),--ISNUMBER('Данные 2st'!$IE$2:$IE$317))</f>
        <v>1</v>
      </c>
      <c r="NU65">
        <f>SUMPRODUCT(--('Данные 2st'!$Q$2:$Q$317=$A65),--ISNUMBER('Данные 2st'!$IF$2:$IF$317))</f>
        <v>1</v>
      </c>
      <c r="NV65">
        <f>SUMPRODUCT(--('Данные 2st'!$Q$2:$Q$317=$A65),--ISNUMBER('Данные 2st'!$IG$2:$IG$317))</f>
        <v>1</v>
      </c>
      <c r="NW65">
        <f>SUMPRODUCT(--('Данные 2st'!$Q$2:$Q$317=$A65),--ISNUMBER('Данные 2st'!$IH$2:$IH$317))</f>
        <v>1</v>
      </c>
      <c r="NX65">
        <f>SUMPRODUCT(--('Данные 2st'!$Q$2:$Q$317=$A65),--ISNUMBER('Данные 2st'!$IJ$2:$IJ$317))</f>
        <v>1</v>
      </c>
      <c r="NY65">
        <f>SUMPRODUCT(--('Данные 2st'!$Q$2:$Q$317=$A65),--ISNUMBER('Данные 2st'!$IM$2:$IM$317))</f>
        <v>1</v>
      </c>
      <c r="NZ65">
        <f>SUMPRODUCT(--('Данные 2st'!$Q$2:$Q$317=$A65),--ISNUMBER('Данные 2st'!$IN$2:$IN$317))</f>
        <v>1</v>
      </c>
      <c r="OA65">
        <f>SUMPRODUCT(--('Данные 2st'!$Q$2:$Q$317=$A65),--ISNUMBER('Данные 2st'!$IO$2:$IO$317))</f>
        <v>1</v>
      </c>
      <c r="OB65">
        <f>SUMPRODUCT(--('Данные 2st'!$Q$2:$Q$317=$A65),--ISNUMBER('Данные 2st'!$IP$2:$IP$317))</f>
        <v>1</v>
      </c>
      <c r="OC65">
        <f>SUMPRODUCT(--('Данные 2st'!$Q$2:$Q$317=$A65),--ISNUMBER('Данные 2st'!$IQ$2:$IQ$317))</f>
        <v>1</v>
      </c>
      <c r="OD65">
        <f>SUMPRODUCT(--('Данные 2st'!$Q$2:$Q$317=$A65),--ISNUMBER('Данные 2st'!$IR$2:$IR$317))</f>
        <v>1</v>
      </c>
      <c r="OE65">
        <f>SUMPRODUCT(--('Данные 2st'!$Q$2:$Q$317=$A65),--ISNUMBER('Данные 2st'!$IT$2:$IT$317))</f>
        <v>1</v>
      </c>
      <c r="OF65">
        <f>SUMPRODUCT(--('Данные 2st'!$Q$2:$Q$317=$A65),--ISNUMBER('Данные 2st'!$IU$2:$IU$317))</f>
        <v>1</v>
      </c>
      <c r="OG65">
        <f>SUMPRODUCT(--('Данные 2st'!$Q$2:$Q$317=$A65),--ISNUMBER('Данные 2st'!$IV$2:$IV$317))</f>
        <v>1</v>
      </c>
      <c r="OH65">
        <f>SUMPRODUCT(--('Данные 2st'!$Q$2:$Q$317=$A65),--ISNUMBER('Данные 2st'!$IW$2:$IW$317))</f>
        <v>1</v>
      </c>
      <c r="OI65">
        <f>SUMPRODUCT(--('Данные 2st'!$Q$2:$Q$317=$A65),--ISNUMBER('Данные 2st'!$IX$2:$IX$317))</f>
        <v>1</v>
      </c>
      <c r="OJ65">
        <f>SUMPRODUCT(--('Данные 2st'!$Q$2:$Q$317=$A65),--ISNUMBER('Данные 2st'!$IY$2:$IY$317))</f>
        <v>1</v>
      </c>
      <c r="OK65">
        <f>SUMPRODUCT(--('Данные 2st'!$Q$2:$Q$317=$A65),--ISNUMBER('Данные 2st'!$IZ$2:$IZ$317))</f>
        <v>1</v>
      </c>
      <c r="OL65">
        <f>SUMPRODUCT(--('Данные 2st'!$Q$2:$Q$317=$A65),--ISNUMBER('Данные 2st'!$JA$2:$JA$317))</f>
        <v>1</v>
      </c>
      <c r="OM65">
        <f>SUMPRODUCT(--('Данные 2st'!$Q$2:$Q$317=$A65),--ISNUMBER('Данные 2st'!$JB$2:$JB$317))</f>
        <v>1</v>
      </c>
      <c r="ON65">
        <f>SUMPRODUCT(--('Данные 2st'!$Q$2:$Q$317=$A65),--ISNUMBER('Данные 2st'!$JC$2:$JC$317))</f>
        <v>1</v>
      </c>
      <c r="OO65">
        <f>SUMPRODUCT(--('Данные 2st'!$Q$2:$Q$317=$A65),--ISNUMBER('Данные 2st'!$JD$2:$JD$317))</f>
        <v>1</v>
      </c>
      <c r="OP65">
        <f>SUMPRODUCT(--('Данные 2st'!$Q$2:$Q$317=$A65),--ISNUMBER('Данные 2st'!$JE$2:$JE$317))</f>
        <v>1</v>
      </c>
      <c r="OQ65">
        <f>SUMPRODUCT(--('Данные 2st'!$Q$2:$Q$317=$A65),--ISNUMBER('Данные 2st'!$JF$2:$JF$317))</f>
        <v>1</v>
      </c>
      <c r="OR65">
        <f>SUMPRODUCT(--('Данные 2st'!$Q$2:$Q$317=$A65),--ISNUMBER('Данные 2st'!$JG$2:$JG$317))</f>
        <v>1</v>
      </c>
      <c r="OS65">
        <f>SUMPRODUCT(--('Данные 2st'!$Q$2:$Q$317=$A65),--ISNUMBER('Данные 2st'!$JH$2:$JH$317))</f>
        <v>1</v>
      </c>
      <c r="OT65">
        <f>SUMPRODUCT(--('Данные 2st'!$Q$2:$Q$317=$A65),--ISNUMBER('Данные 2st'!$JI$2:$JI$317))</f>
        <v>1</v>
      </c>
      <c r="OU65">
        <f>SUMPRODUCT(--('Данные 2st'!$Q$2:$Q$317=$A65),--ISNUMBER('Данные 2st'!$JJ$2:$JJ$317))</f>
        <v>1</v>
      </c>
      <c r="OV65">
        <f>SUMPRODUCT(--('Данные 2st'!$Q$2:$Q$317=$A65),--ISNUMBER('Данные 2st'!$JK$2:$JK$317))</f>
        <v>1</v>
      </c>
      <c r="OW65">
        <f>SUMPRODUCT(--('Данные 2st'!$Q$2:$Q$317=$A65),--ISNUMBER('Данные 2st'!$JL$2:$JL$317))</f>
        <v>1</v>
      </c>
      <c r="OX65">
        <f>SUMPRODUCT(--('Данные 2st'!$Q$2:$Q$317=$A65),--ISNUMBER('Данные 2st'!$JM$2:$JM$317))</f>
        <v>1</v>
      </c>
      <c r="OY65">
        <f>SUMPRODUCT(--('Данные 2st'!$Q$2:$Q$317=$A65),--ISNUMBER('Данные 2st'!$JP$2:$JP$317))</f>
        <v>1</v>
      </c>
      <c r="OZ65">
        <f>SUMPRODUCT(--('Данные 2st'!$Q$2:$Q$317=$A65),--ISNUMBER('Данные 2st'!$JQ$2:$JQ$317))</f>
        <v>1</v>
      </c>
      <c r="PA65">
        <f>SUMPRODUCT(--('Данные 2st'!$Q$2:$Q$317=$A65),--ISNUMBER('Данные 2st'!$JR$2:$JR$317))</f>
        <v>1</v>
      </c>
      <c r="PB65">
        <f>SUMPRODUCT(--('Данные 2st'!$Q$2:$Q$317=$A65),--ISNUMBER('Данные 2st'!$JS$2:$JS$317))</f>
        <v>1</v>
      </c>
      <c r="PC65">
        <f>SUMPRODUCT(--('Данные 2st'!$Q$2:$Q$317=$A65),--ISNUMBER('Данные 2st'!$JT$2:$JT$317))</f>
        <v>1</v>
      </c>
      <c r="PD65">
        <f>SUMPRODUCT(--('Данные 2st'!$Q$2:$Q$317=$A65),--ISNUMBER('Данные 2st'!$JU$2:$JU$317))</f>
        <v>1</v>
      </c>
      <c r="PE65">
        <f>SUMPRODUCT(--('Данные 2st'!$Q$2:$Q$317=$A65),--ISNUMBER('Данные 2st'!$JV$2:$JV$317))</f>
        <v>1</v>
      </c>
      <c r="PF65">
        <f>SUMPRODUCT(--('Данные 2st'!$Q$2:$Q$317=$A65),--ISNUMBER('Данные 2st'!$JW$2:$JW$317))</f>
        <v>1</v>
      </c>
      <c r="PG65">
        <f>SUMPRODUCT(--('Данные 2st'!$Q$2:$Q$317=$A65),--ISNUMBER('Данные 2st'!$KF$2:$KF$317))</f>
        <v>1</v>
      </c>
      <c r="PH65">
        <f>SUMPRODUCT(--('Данные 2st'!$Q$2:$Q$317=$A65),--ISNUMBER('Данные 2st'!$KG$2:$KG$317))</f>
        <v>1</v>
      </c>
      <c r="PI65">
        <f>SUMPRODUCT(--('Данные 2st'!$Q$2:$Q$317=$A65),--ISNUMBER('Данные 2st'!$KM$2:$KM$317))</f>
        <v>1</v>
      </c>
      <c r="PJ65">
        <f>SUMPRODUCT(--('Данные 2st'!$Q$2:$Q$317=$A65),--ISNUMBER('Данные 2st'!$KN$2:$KN$317))</f>
        <v>1</v>
      </c>
      <c r="PK65">
        <f>SUMPRODUCT(--('Данные 2st'!$Q$2:$Q$317=$A65),--ISNUMBER('Данные 2st'!$KO$2:$KO$317))</f>
        <v>1</v>
      </c>
      <c r="PL65">
        <f>SUMPRODUCT(--('Данные 2st'!$Q$2:$Q$317=$A65),--ISNUMBER('Данные 2st'!$KP$2:$KP$317))</f>
        <v>1</v>
      </c>
      <c r="PM65">
        <f>SUMPRODUCT(--('Данные 2st'!$Q$2:$Q$317=$A65),--ISNUMBER('Данные 2st'!$KQ$2:$KQ$317))</f>
        <v>1</v>
      </c>
      <c r="PN65">
        <f>SUMPRODUCT(--('Данные 2st'!$Q$2:$Q$317=$A65),--ISNUMBER('Данные 2st'!$KR$2:$KR$317))</f>
        <v>1</v>
      </c>
      <c r="PO65">
        <f>SUMPRODUCT(--('Данные 2st'!$Q$2:$Q$317=$A65),--ISNUMBER('Данные 2st'!$KS$2:$KS$317))</f>
        <v>1</v>
      </c>
      <c r="PP65">
        <f>SUMPRODUCT(--('Данные 2st'!$Q$2:$Q$317=$A65),--ISNUMBER('Данные 2st'!$KT$2:$KT$317))</f>
        <v>1</v>
      </c>
      <c r="PQ65">
        <f>SUMPRODUCT(--('Данные 2st'!$Q$2:$Q$317=$A65),--ISNUMBER('Данные 2st'!$KU$2:$KU$317))</f>
        <v>1</v>
      </c>
      <c r="PR65">
        <f>SUMPRODUCT(--('Данные 2st'!$Q$2:$Q$317=$A65),--ISNUMBER('Данные 2st'!$KV$2:$KV$317))</f>
        <v>1</v>
      </c>
      <c r="PS65">
        <f>SUMPRODUCT(--('Данные 2st'!$Q$2:$Q$317=$A65),--ISNUMBER('Данные 2st'!$KW$2:$KW$317))</f>
        <v>1</v>
      </c>
      <c r="PT65">
        <f>SUMPRODUCT(--('Данные 2st'!$Q$2:$Q$317=$A65),--ISNUMBER('Данные 2st'!$KX$2:$KX$317))</f>
        <v>1</v>
      </c>
      <c r="PU65">
        <f>SUMPRODUCT(--('Данные 2st'!$Q$2:$Q$317=$A65),--ISNUMBER('Данные 2st'!$KY$2:$KY$317))</f>
        <v>1</v>
      </c>
      <c r="PV65">
        <f>SUMPRODUCT(--('Данные 2st'!$Q$2:$Q$317=$A65),--ISNUMBER('Данные 2st'!$KZ$2:$KZ$317))</f>
        <v>1</v>
      </c>
      <c r="PW65">
        <f>SUMPRODUCT(--('Данные 2st'!$Q$2:$Q$317=$A65),--ISNUMBER('Данные 2st'!$LA$2:$LA$317))</f>
        <v>1</v>
      </c>
      <c r="PX65">
        <f>SUMPRODUCT(--('Данные 2st'!$Q$2:$Q$317=$A65),--ISNUMBER('Данные 2st'!$LB$2:$LB$317))</f>
        <v>1</v>
      </c>
      <c r="PY65">
        <f>SUMPRODUCT(--('Данные 2st'!$Q$2:$Q$317=$A65),--ISNUMBER('Данные 2st'!$LC$2:$LC$317))</f>
        <v>1</v>
      </c>
      <c r="PZ65">
        <f>SUMPRODUCT(--('Данные 2st'!$Q$2:$Q$317=$A65),--ISNUMBER('Данные 2st'!$LD$2:$LD$317))</f>
        <v>1</v>
      </c>
      <c r="QA65">
        <f>SUMPRODUCT(--('Данные 2st'!$Q$2:$Q$317=$A65),--ISNUMBER('Данные 2st'!$LE$2:$LE$317))</f>
        <v>1</v>
      </c>
      <c r="QB65">
        <f>SUMPRODUCT(--('Данные 2st'!$Q$2:$Q$317=$A65),--ISNUMBER('Данные 2st'!$LF$2:$LF$317))</f>
        <v>1</v>
      </c>
      <c r="QC65">
        <f>SUMPRODUCT(--('Данные 2st'!$Q$2:$Q$317=$A65),--ISNUMBER('Данные 2st'!$LG$2:$LG$317))</f>
        <v>1</v>
      </c>
      <c r="QD65">
        <f>SUMPRODUCT(--('Данные 2st'!$Q$2:$Q$317=$A65),--ISNUMBER('Данные 2st'!$LH$2:$LH$317))</f>
        <v>1</v>
      </c>
      <c r="QE65">
        <f>SUMPRODUCT(--('Данные 2st'!$Q$2:$Q$317=$A65),--ISNUMBER('Данные 2st'!$LJ$2:$LJ$317))</f>
        <v>1</v>
      </c>
      <c r="QF65">
        <f>SUMPRODUCT(--('Данные 2st'!$Q$2:$Q$317=$A65),--ISNUMBER('Данные 2st'!$LK$2:$LK$317))</f>
        <v>1</v>
      </c>
      <c r="QG65">
        <f>SUMPRODUCT(--('Данные 2st'!$Q$2:$Q$317=$A65),--ISNUMBER('Данные 2st'!$LL$2:$LL$317))</f>
        <v>1</v>
      </c>
      <c r="QH65">
        <f>SUMPRODUCT(--('Данные 2st'!$Q$2:$Q$317=$A65),--ISNUMBER('Данные 2st'!$LM$2:$LM$317))</f>
        <v>1</v>
      </c>
      <c r="QI65">
        <f>SUMPRODUCT(--('Данные 2st'!$Q$2:$Q$317=$A65),--ISNUMBER('Данные 2st'!$LN$2:$LN$317))</f>
        <v>1</v>
      </c>
      <c r="QJ65">
        <f>SUMPRODUCT(--('Данные 2st'!$Q$2:$Q$317=$A65),--ISNUMBER('Данные 2st'!$LO$2:$LO$317))</f>
        <v>1</v>
      </c>
      <c r="QK65">
        <f>SUMPRODUCT(--('Данные 2st'!$Q$2:$Q$317=$A65),--ISNUMBER('Данные 2st'!$LP$2:$LP$317))</f>
        <v>1</v>
      </c>
      <c r="QL65">
        <f>SUMPRODUCT(--('Данные 2st'!$Q$2:$Q$317=$A65),--ISNUMBER('Данные 2st'!$LQ$2:$LQ$317))</f>
        <v>1</v>
      </c>
      <c r="QM65">
        <f>SUMPRODUCT(--('Данные 2st'!$Q$2:$Q$317=$A65),--ISNUMBER('Данные 2st'!$LW$2:$LW$317))</f>
        <v>1</v>
      </c>
      <c r="QN65">
        <f>SUMPRODUCT(--('Данные 2st'!$Q$2:$Q$317=$A65),--ISNUMBER('Данные 2st'!$LX$2:$LX$317))</f>
        <v>1</v>
      </c>
      <c r="QO65">
        <f>SUMPRODUCT(--('Данные 2st'!$Q$2:$Q$317=$A65),--ISNUMBER('Данные 2st'!$LY$2:$LY$317))</f>
        <v>1</v>
      </c>
      <c r="QP65">
        <f>SUMPRODUCT(--('Данные 2st'!$Q$2:$Q$317=$A65),--ISNUMBER('Данные 2st'!$LZ$2:$LZ$317))</f>
        <v>1</v>
      </c>
      <c r="QQ65">
        <f>SUMPRODUCT(--('Данные 2st'!$Q$2:$Q$317=$A65),--ISNUMBER('Данные 2st'!$MB$2:$MB$317))</f>
        <v>1</v>
      </c>
      <c r="QR65">
        <f>SUMPRODUCT(--('Данные 2st'!$Q$2:$Q$317=$A65),--ISNUMBER('Данные 2st'!$MG$2:$MG$317))</f>
        <v>0</v>
      </c>
      <c r="QS65">
        <f>SUMPRODUCT(--('Данные 2st'!$Q$2:$Q$317=$A65),--ISNUMBER('Данные 2st'!$MH$2:$MH$317))</f>
        <v>0</v>
      </c>
      <c r="QT65">
        <f>SUMPRODUCT(--('Данные 2st'!$Q$2:$Q$317=$A65),--ISNUMBER('Данные 2st'!$MI$2:$MI$317))</f>
        <v>1</v>
      </c>
      <c r="QU65">
        <f>SUMPRODUCT(--('Данные 2st'!$Q$2:$Q$317=$A65),--ISNUMBER('Данные 2st'!$MJ$2:$MJ$317))</f>
        <v>1</v>
      </c>
      <c r="QV65">
        <f>SUMPRODUCT(--('Данные 2st'!$Q$2:$Q$317=$A65),--ISNUMBER('Данные 2st'!$MK$2:$MK$317))</f>
        <v>0</v>
      </c>
      <c r="QW65">
        <f>SUMPRODUCT(--('Данные 2st'!$Q$2:$Q$317=$A65),--ISNUMBER('Данные 2st'!$MM$2:$MM$317))</f>
        <v>1</v>
      </c>
      <c r="QX65">
        <f>SUMPRODUCT(--('Данные 2st'!$Q$2:$Q$317=$A65),--ISNUMBER('Данные 2st'!$MQ$2:$MQ$317))</f>
        <v>0</v>
      </c>
      <c r="QY65">
        <f>SUMPRODUCT(--('Данные 2st'!$Q$2:$Q$317=$A65),--ISNUMBER('Данные 2st'!$MR$2:$MR$317))</f>
        <v>0</v>
      </c>
      <c r="QZ65">
        <f>SUMPRODUCT(--('Данные 2st'!$Q$2:$Q$317=$A65),--ISNUMBER('Данные 2st'!$MS$2:$MS$317))</f>
        <v>0</v>
      </c>
      <c r="RA65">
        <f>SUMPRODUCT(--('Данные 2st'!$Q$2:$Q$317=$A65),--ISNUMBER('Данные 2st'!$MT$2:$MT$317))</f>
        <v>0</v>
      </c>
      <c r="RB65">
        <f>SUMPRODUCT(--('Данные 2st'!$Q$2:$Q$317=$A65),--ISNUMBER('Данные 2st'!$MU$2:$MU$317))</f>
        <v>0</v>
      </c>
      <c r="RC65">
        <f>SUMPRODUCT(--('Данные 2st'!$Q$2:$Q$317=$A65),--ISNUMBER('Данные 2st'!$MV$2:$MV$317))</f>
        <v>0</v>
      </c>
      <c r="RD65">
        <f>SUMPRODUCT(--('Данные 2st'!$Q$2:$Q$317=$A65),--ISNUMBER('Данные 2st'!$MW$2:$MW$317))</f>
        <v>0</v>
      </c>
      <c r="RE65">
        <f>SUMPRODUCT(--('Данные 2st'!$Q$2:$Q$317=$A65),--ISNUMBER('Данные 2st'!$MX$2:$MX$317))</f>
        <v>0</v>
      </c>
      <c r="RF65">
        <f>SUMPRODUCT(--('Данные 2st'!$Q$2:$Q$317=$A65),--ISNUMBER('Данные 2st'!$MY$2:$MY$317))</f>
        <v>0</v>
      </c>
      <c r="RG65">
        <f>SUMPRODUCT(--('Данные 2st'!$Q$2:$Q$317=$A65),--ISNUMBER('Данные 2st'!$MZ$2:$MZ$317))</f>
        <v>0</v>
      </c>
      <c r="RH65">
        <f>SUMPRODUCT(--('Данные 2st'!$Q$2:$Q$317=$A65),--ISNUMBER('Данные 2st'!$NA$2:$NA$317))</f>
        <v>0</v>
      </c>
      <c r="RI65">
        <f>SUMPRODUCT(--('Данные 2st'!$Q$2:$Q$317=$A65),--ISNUMBER('Данные 2st'!$NB$2:$NB$317))</f>
        <v>0</v>
      </c>
      <c r="RJ65">
        <f>SUMPRODUCT(--('Данные 2st'!$Q$2:$Q$317=$A65),--ISNUMBER('Данные 2st'!$NC$2:$NC$317))</f>
        <v>0</v>
      </c>
      <c r="RK65">
        <f>SUMPRODUCT(--('Данные 2st'!$Q$2:$Q$317=$A65),--ISNUMBER('Данные 2st'!$ND$2:$ND$317))</f>
        <v>0</v>
      </c>
      <c r="RL65">
        <f>SUMPRODUCT(--('Данные 2st'!$Q$2:$Q$317=$A65),--ISNUMBER('Данные 2st'!$NE$2:$NE$317))</f>
        <v>0</v>
      </c>
      <c r="RM65">
        <f>SUMPRODUCT(--('Данные 2st'!$Q$2:$Q$317=$A65),--ISNUMBER('Данные 2st'!$NF$2:$NF$317))</f>
        <v>0</v>
      </c>
      <c r="RN65">
        <f>SUMPRODUCT(--('Данные 2st'!$Q$2:$Q$317=$A65),--ISNUMBER('Данные 2st'!$NG$2:$NG$317))</f>
        <v>0</v>
      </c>
      <c r="RO65">
        <f>SUMPRODUCT(--('Данные 2st'!$Q$2:$Q$317=$A65),--ISNUMBER('Данные 2st'!$NH$2:$NH$317))</f>
        <v>0</v>
      </c>
      <c r="RP65">
        <f>SUMPRODUCT(--('Данные 2st'!$Q$2:$Q$317=$A65),--ISNUMBER('Данные 2st'!$NJ$2:$NJ$317))</f>
        <v>0</v>
      </c>
      <c r="RQ65">
        <f>SUMPRODUCT(--('Данные 2st'!$Q$2:$Q$317=$A65),--ISNUMBER('Данные 2st'!$NK$2:$NK$317))</f>
        <v>0</v>
      </c>
      <c r="RR65">
        <f>SUMPRODUCT(--('Данные 2st'!$Q$2:$Q$317=$A65),--ISNUMBER('Данные 2st'!$NM$2:$NM$317))</f>
        <v>0</v>
      </c>
      <c r="RS65">
        <f>SUMPRODUCT(--('Данные 2st'!$Q$2:$Q$317=$A65),--ISNUMBER('Данные 2st'!$NN$2:$NN$317))</f>
        <v>0</v>
      </c>
      <c r="RT65">
        <f>SUMPRODUCT(--('Данные 2st'!$Q$2:$Q$317=$A65),--ISNUMBER('Данные 2st'!$NO$2:$NO$317))</f>
        <v>0</v>
      </c>
      <c r="RU65">
        <f>SUMPRODUCT(--('Данные 2st'!$Q$2:$Q$317=$A65),--ISNUMBER('Данные 2st'!$NP$2:$NP$317))</f>
        <v>0</v>
      </c>
      <c r="RV65">
        <f>SUMPRODUCT(--('Данные 2st'!$Q$2:$Q$317=$A65),--ISNUMBER('Данные 2st'!$NQ$2:$NQ$317))</f>
        <v>0</v>
      </c>
      <c r="RW65">
        <f>SUMPRODUCT(--('Данные 2st'!$Q$2:$Q$317=$A65),--ISNUMBER('Данные 2st'!$NR$2:$NR$317))</f>
        <v>0</v>
      </c>
      <c r="RX65">
        <f>SUMPRODUCT(--('Данные 2st'!$Q$2:$Q$317=$A65),--ISNUMBER('Данные 2st'!$NS$2:$NS$317))</f>
        <v>0</v>
      </c>
      <c r="RY65">
        <f>SUMPRODUCT(--('Данные 2st'!$Q$2:$Q$317=$A65),--ISNUMBER('Данные 2st'!$NT$2:$NT$317))</f>
        <v>0</v>
      </c>
      <c r="RZ65">
        <f>SUMPRODUCT(--('Данные 2st'!$Q$2:$Q$317=$A65),--ISNUMBER('Данные 2st'!$OK$2:$OK$317))</f>
        <v>1</v>
      </c>
      <c r="SA65">
        <f>SUMPRODUCT(--('Данные 2st'!$Q$2:$Q$317=$A65),--ISNUMBER('Данные 2st'!$OL$2:$OL$317))</f>
        <v>1</v>
      </c>
      <c r="SB65">
        <f>SUMPRODUCT(--('Данные 2st'!$Q$2:$Q$317=$A65),--ISNUMBER('Данные 2st'!$ON$2:$ON$317))</f>
        <v>1</v>
      </c>
      <c r="SC65">
        <f>SUMPRODUCT(--('Данные 2st'!$Q$2:$Q$317=$A65),--ISNUMBER('Данные 2st'!$OO$2:$OO$317))</f>
        <v>1</v>
      </c>
      <c r="SD65">
        <f>SUMPRODUCT(--('Данные 2st'!$Q$2:$Q$317=$A65),--ISNUMBER('Данные 2st'!$OP$2:$OP$317))</f>
        <v>1</v>
      </c>
      <c r="SE65">
        <f>SUMPRODUCT(--('Данные 2st'!$Q$2:$Q$317=$A65),--ISNUMBER('Данные 2st'!$OQ$2:$OQ$317))</f>
        <v>1</v>
      </c>
      <c r="SF65">
        <f>SUMPRODUCT(--('Данные 2st'!$Q$2:$Q$317=$A65),--ISNUMBER('Данные 2st'!$OS$2:$OS$317))</f>
        <v>1</v>
      </c>
      <c r="SG65">
        <f>SUMPRODUCT(--('Данные 2st'!$Q$2:$Q$317=$A65),--ISNUMBER('Данные 2st'!$OT$2:$OT$317))</f>
        <v>1</v>
      </c>
      <c r="SH65">
        <f>SUMPRODUCT(--('Данные 2st'!$Q$2:$Q$317=$A65),--ISNUMBER('Данные 2st'!$OU$2:$OU$317))</f>
        <v>1</v>
      </c>
      <c r="SI65">
        <f>SUMPRODUCT(--('Данные 2st'!$Q$2:$Q$317=$A65),--ISNUMBER('Данные 2st'!$OV$2:$OV$317))</f>
        <v>1</v>
      </c>
      <c r="SJ65">
        <f>SUMPRODUCT(--('Данные 2st'!$Q$2:$Q$317=$A65),--ISNUMBER('Данные 2st'!$OX$2:$OX$317))</f>
        <v>1</v>
      </c>
      <c r="SK65">
        <f>SUMPRODUCT(--('Данные 2st'!$Q$2:$Q$317=$A65),--ISNUMBER('Данные 2st'!$OY$2:$OY$317))</f>
        <v>1</v>
      </c>
      <c r="SL65">
        <f>SUMPRODUCT(--('Данные 2st'!$Q$2:$Q$317=$A65),--ISNUMBER('Данные 2st'!$OZ$2:$OZ$317))</f>
        <v>1</v>
      </c>
      <c r="SM65">
        <f>SUMPRODUCT(--('Данные 2st'!$Q$2:$Q$317=$A65),--ISNUMBER('Данные 2st'!$PA$2:$PA$317))</f>
        <v>1</v>
      </c>
      <c r="SN65">
        <f>SUMPRODUCT(--('Данные 2st'!$Q$2:$Q$317=$A65),--ISNUMBER('Данные 2st'!$PC$2:$PC$317))</f>
        <v>1</v>
      </c>
      <c r="SO65">
        <f>SUMPRODUCT(--('Данные 2st'!$Q$2:$Q$317=$A65),--ISNUMBER('Данные 2st'!$PD$2:$PD$317))</f>
        <v>1</v>
      </c>
      <c r="SP65">
        <f>SUMPRODUCT(--('Данные 2st'!$Q$2:$Q$317=$A65),--ISNUMBER('Данные 2st'!$PF$2:$PF$317))</f>
        <v>1</v>
      </c>
      <c r="SQ65">
        <f>SUMPRODUCT(--('Данные 2st'!$Q$2:$Q$317=$A65),--ISNUMBER('Данные 2st'!$PG$2:$PG$317))</f>
        <v>1</v>
      </c>
      <c r="SR65">
        <f>SUMPRODUCT(--('Данные 2st'!$Q$2:$Q$317=$A65),--ISNUMBER('Данные 2st'!$PH$2:$PH$317))</f>
        <v>1</v>
      </c>
      <c r="SS65">
        <f>SUMPRODUCT(--('Данные 2st'!$Q$2:$Q$317=$A65),--ISNUMBER('Данные 2st'!$PI$2:$PI$317))</f>
        <v>1</v>
      </c>
      <c r="ST65">
        <f>SUMPRODUCT(--('Данные 2st'!$Q$2:$Q$317=$A65),--ISNUMBER('Данные 2st'!$PJ$2:$PJ$317))</f>
        <v>1</v>
      </c>
      <c r="SU65">
        <f>SUMPRODUCT(--('Данные 2st'!$Q$2:$Q$317=$A65),--ISNUMBER('Данные 2st'!$PK$2:$PK$317))</f>
        <v>0</v>
      </c>
      <c r="SV65">
        <f>SUMPRODUCT(--('Данные 2st'!$Q$2:$Q$317=$A65),--ISNUMBER('Данные 2st'!$PL$2:$PL$317))</f>
        <v>1</v>
      </c>
      <c r="SW65">
        <f>SUMPRODUCT(--('Данные 2st'!$Q$2:$Q$317=$A65),--ISNUMBER('Данные 2st'!$PM$2:$PM$317))</f>
        <v>1</v>
      </c>
      <c r="SX65">
        <f>SUMPRODUCT(--('Данные 2st'!$Q$2:$Q$317=$A65),--ISNUMBER('Данные 2st'!$PN$2:$PN$317))</f>
        <v>1</v>
      </c>
      <c r="SY65">
        <f>SUMPRODUCT(--('Данные 2st'!$Q$2:$Q$317=$A65),--ISNUMBER('Данные 2st'!$PO$2:$PO$317))</f>
        <v>1</v>
      </c>
      <c r="SZ65">
        <f>SUMPRODUCT(--('Данные 2st'!$Q$2:$Q$317=$A65),--ISNUMBER('Данные 2st'!$PP$2:$PP$317))</f>
        <v>1</v>
      </c>
      <c r="TA65">
        <f>SUMPRODUCT(--('Данные 2st'!$Q$2:$Q$317=$A65),--ISNUMBER('Данные 2st'!$PQ$2:$PQ$317))</f>
        <v>1</v>
      </c>
      <c r="TB65">
        <f>SUMPRODUCT(--('Данные 2st'!$Q$2:$Q$317=$A65),--ISNUMBER('Данные 2st'!$PR$2:$PR$317))</f>
        <v>1</v>
      </c>
      <c r="TC65">
        <f>SUMPRODUCT(--('Данные 2st'!$Q$2:$Q$317=$A65),--ISNUMBER('Данные 2st'!$PS$2:$PS$317))</f>
        <v>1</v>
      </c>
      <c r="TD65">
        <f>SUMPRODUCT(--('Данные 2st'!$Q$2:$Q$317=$A65),--ISNUMBER('Данные 2st'!$PT$2:$PT$317))</f>
        <v>1</v>
      </c>
      <c r="TE65">
        <f>SUMPRODUCT(--('Данные 2st'!$Q$2:$Q$317=$A65),--ISNUMBER('Данные 2st'!$PU$2:$PU$317))</f>
        <v>1</v>
      </c>
      <c r="TF65">
        <f>SUMPRODUCT(--('Данные 2st'!$Q$2:$Q$317=$A65),--ISNUMBER('Данные 2st'!$PX$2:$PX$317))</f>
        <v>1</v>
      </c>
      <c r="TG65">
        <f>SUMPRODUCT(--('Данные 2st'!$Q$2:$Q$317=$A65),--ISNUMBER('Данные 2st'!$PY$2:$PY$317))</f>
        <v>1</v>
      </c>
      <c r="TH65">
        <f>SUMPRODUCT(--('Данные 2st'!$Q$2:$Q$317=$A65),--ISNUMBER('Данные 2st'!$PZ$2:$PZ$317))</f>
        <v>1</v>
      </c>
      <c r="TI65">
        <f>SUMPRODUCT(--('Данные 2st'!$Q$2:$Q$317=$A65),--ISNUMBER('Данные 2st'!$QA$2:$QA$317))</f>
        <v>1</v>
      </c>
      <c r="TJ65">
        <f>SUMPRODUCT(--('Данные 2st'!$Q$2:$Q$317=$A65),--ISNUMBER('Данные 2st'!$QB$2:$QB$317))</f>
        <v>1</v>
      </c>
      <c r="TK65">
        <f>SUMPRODUCT(--('Данные 2st'!$Q$2:$Q$317=$A65),--ISNUMBER('Данные 2st'!$QC$2:$QC$317))</f>
        <v>1</v>
      </c>
      <c r="TL65">
        <f>SUMPRODUCT(--('Данные 2st'!$Q$2:$Q$317=$A65),--ISNUMBER('Данные 2st'!$QD$2:$QD$317))</f>
        <v>1</v>
      </c>
      <c r="TM65">
        <f>SUMPRODUCT(--('Данные 2st'!$Q$2:$Q$317=$A65),--ISNUMBER('Данные 2st'!$QE$2:$QE$317))</f>
        <v>1</v>
      </c>
      <c r="TN65">
        <f>SUMPRODUCT(--('Данные 2st'!$Q$2:$Q$317=$A65),--ISNUMBER('Данные 2st'!$QF$2:$QF$317))</f>
        <v>1</v>
      </c>
      <c r="TO65">
        <f>SUMPRODUCT(--('Данные 2st'!$Q$2:$Q$317=$A65),--ISNUMBER('Данные 2st'!$QG$2:$QG$317))</f>
        <v>1</v>
      </c>
      <c r="TP65">
        <f>SUMPRODUCT(--('Данные 2st'!$Q$2:$Q$317=$A65),--ISNUMBER('Данные 2st'!$QH$2:$QH$317))</f>
        <v>1</v>
      </c>
      <c r="TQ65">
        <f>SUMPRODUCT(--('Данные 2st'!$Q$2:$Q$317=$A65),--ISNUMBER('Данные 2st'!$QI$2:$QI$317))</f>
        <v>1</v>
      </c>
      <c r="TR65">
        <f>SUMPRODUCT(--('Данные 2st'!$Q$2:$Q$317=$A65),--ISNUMBER('Данные 2st'!$QJ$2:$QJ$317))</f>
        <v>1</v>
      </c>
      <c r="TS65">
        <f>SUMPRODUCT(--('Данные 2st'!$Q$2:$Q$317=$A65),--ISNUMBER('Данные 2st'!$QK$2:$QK$317))</f>
        <v>1</v>
      </c>
      <c r="TT65">
        <f>SUMPRODUCT(--('Данные 2st'!$Q$2:$Q$317=$A65),--ISNUMBER('Данные 2st'!$QL$2:$QL$317))</f>
        <v>1</v>
      </c>
      <c r="TU65">
        <f>SUMPRODUCT(--('Данные 2st'!$Q$2:$Q$317=$A65),--ISNUMBER('Данные 2st'!$QM$2:$QM$317))</f>
        <v>1</v>
      </c>
      <c r="TV65">
        <f>SUMPRODUCT(--('Данные 2st'!$Q$2:$Q$317=$A65),--ISNUMBER('Данные 2st'!$QN$2:$QN$317))</f>
        <v>1</v>
      </c>
      <c r="TW65">
        <f>SUMPRODUCT(--('Данные 2st'!$Q$2:$Q$317=$A65),--ISNUMBER('Данные 2st'!$QQ$2:$QQ$317))</f>
        <v>1</v>
      </c>
      <c r="TX65">
        <f>SUMPRODUCT(--('Данные 2st'!$Q$2:$Q$317=$A65),--ISNUMBER('Данные 2st'!$QS$2:$QS$317))</f>
        <v>1</v>
      </c>
      <c r="TY65">
        <f>SUMPRODUCT(--('Данные 2st'!$Q$2:$Q$317=$A65),--ISNUMBER('Данные 2st'!$QT$2:$QT$317))</f>
        <v>1</v>
      </c>
    </row>
    <row r="66" spans="1:545" ht="32" customHeight="1">
      <c r="A66" s="11" t="str">
        <f>'По размерам'!A66</f>
        <v>245/70R16</v>
      </c>
      <c r="G66">
        <f>SUMPRODUCT(--('Данные 1st'!$S$2:$S$317=$A66),--ISNUMBER('Данные 1st'!$AE$2:$AE$317))</f>
        <v>1</v>
      </c>
      <c r="H66">
        <f>SUMPRODUCT(--('Данные 1st'!$S$2:$S$317=$A66),--ISNUMBER('Данные 1st'!$AF$2:$AF$317))</f>
        <v>1</v>
      </c>
      <c r="I66">
        <f>SUMPRODUCT(--('Данные 1st'!$S$2:$S$317=$A66),--ISNUMBER('Данные 1st'!$AJ$2:$AJ$317))</f>
        <v>1</v>
      </c>
      <c r="J66">
        <f>SUMPRODUCT(--('Данные 1st'!$S$2:$S$317=$A66),--ISNUMBER('Данные 1st'!$AL$2:$AL$317))</f>
        <v>1</v>
      </c>
      <c r="K66">
        <f>SUMPRODUCT(--('Данные 1st'!$S$2:$S$317=$A66),--ISNUMBER('Данные 1st'!$AR$2:$AR$317))</f>
        <v>1</v>
      </c>
      <c r="L66">
        <f>SUMPRODUCT(--('Данные 1st'!$S$2:$S$317=$A66),--ISNUMBER('Данные 1st'!$AS$2:$AS$317))</f>
        <v>1</v>
      </c>
      <c r="M66">
        <f>SUMPRODUCT(--('Данные 1st'!$S$2:$S$317=$A66),--ISNUMBER('Данные 1st'!$AY$2:$AY$317))</f>
        <v>1</v>
      </c>
      <c r="N66">
        <f>SUMPRODUCT(--('Данные 1st'!$S$2:$S$317=$A66),--ISNUMBER('Данные 1st'!$AZ$2:$AZ$317))</f>
        <v>1</v>
      </c>
      <c r="O66">
        <f>SUMPRODUCT(--('Данные 1st'!$S$2:$S$317=$A66),--ISNUMBER('Данные 1st'!$BF$2:$BF$317))</f>
        <v>1</v>
      </c>
      <c r="P66">
        <f>SUMPRODUCT(--('Данные 1st'!$S$2:$S$317=$A66),--ISNUMBER('Данные 1st'!$BG$2:$BG$317))</f>
        <v>1</v>
      </c>
      <c r="Q66">
        <f>SUMPRODUCT(--('Данные 1st'!$S$2:$S$317=$A66),--ISNUMBER('Данные 1st'!$BM$2:$BM$317))</f>
        <v>0</v>
      </c>
      <c r="R66">
        <f>SUMPRODUCT(--('Данные 1st'!$S$2:$S$317=$A66),--ISNUMBER('Данные 1st'!$BN$2:$BN$317))</f>
        <v>1</v>
      </c>
      <c r="S66">
        <f>SUMPRODUCT(--('Данные 1st'!$S$2:$S$317=$A66),--ISNUMBER('Данные 1st'!$BT$2:$BT$317))</f>
        <v>1</v>
      </c>
      <c r="T66">
        <f>SUMPRODUCT(--('Данные 1st'!$S$2:$S$317=$A66),--ISNUMBER('Данные 1st'!$BU$2:$BU$317))</f>
        <v>1</v>
      </c>
      <c r="U66">
        <f>SUMPRODUCT(--('Данные 1st'!$S$2:$S$317=$A66),--ISNUMBER('Данные 1st'!$BW$2:$BW$317))</f>
        <v>1</v>
      </c>
      <c r="V66">
        <f>SUMPRODUCT(--('Данные 1st'!$S$2:$S$317=$A66),--ISNUMBER('Данные 1st'!$BX$2:$BX$317))</f>
        <v>1</v>
      </c>
      <c r="W66">
        <f>SUMPRODUCT(--('Данные 1st'!$S$2:$S$317=$A66),--ISNUMBER('Данные 1st'!$BZ$2:$BZ$317))</f>
        <v>1</v>
      </c>
      <c r="X66">
        <f>SUMPRODUCT(--('Данные 1st'!$S$2:$S$317=$A66),--ISNUMBER('Данные 1st'!$CA$2:$CA$317))</f>
        <v>1</v>
      </c>
      <c r="Y66">
        <f>SUMPRODUCT(--('Данные 1st'!$S$2:$S$317=$A66),--ISNUMBER('Данные 1st'!$CD$2:$CD$317))</f>
        <v>1</v>
      </c>
      <c r="Z66">
        <f>SUMPRODUCT(--('Данные 1st'!$S$2:$S$317=$A66),--ISNUMBER('Данные 1st'!$CF$2:$CF$317))</f>
        <v>1</v>
      </c>
      <c r="AA66">
        <f>SUMPRODUCT(--('Данные 1st'!$S$2:$S$317=$A66),--ISNUMBER('Данные 1st'!$CI$2:$CI$317))</f>
        <v>1</v>
      </c>
      <c r="AB66">
        <f>SUMPRODUCT(--('Данные 1st'!$S$2:$S$317=$A66),--ISNUMBER('Данные 1st'!$CJ$2:$CJ$317))</f>
        <v>1</v>
      </c>
      <c r="AC66">
        <f>SUMPRODUCT(--('Данные 1st'!$S$2:$S$317=$A66),--ISNUMBER('Данные 1st'!$CK$2:$CK$317))</f>
        <v>1</v>
      </c>
      <c r="AD66">
        <f>SUMPRODUCT(--('Данные 1st'!$S$2:$S$317=$A66),--ISNUMBER('Данные 1st'!$CL$2:$CL$317))</f>
        <v>1</v>
      </c>
      <c r="AE66">
        <f>SUMPRODUCT(--('Данные 1st'!$S$2:$S$317=$A66),--ISNUMBER('Данные 1st'!$CM$2:$CM$317))</f>
        <v>1</v>
      </c>
      <c r="AF66">
        <f>SUMPRODUCT(--('Данные 1st'!$S$2:$S$317=$A66),--ISNUMBER('Данные 1st'!$CT$2:$CT$317))</f>
        <v>1</v>
      </c>
      <c r="AG66">
        <f>SUMPRODUCT(--('Данные 1st'!$S$2:$S$317=$A66),--ISNUMBER('Данные 1st'!$CU$2:$CU$317))</f>
        <v>1</v>
      </c>
      <c r="AH66">
        <f>SUMPRODUCT(--('Данные 1st'!$S$2:$S$317=$A66),--ISNUMBER('Данные 1st'!$CV$2:$CV$317))</f>
        <v>1</v>
      </c>
      <c r="AI66">
        <f>SUMPRODUCT(--('Данные 1st'!$S$2:$S$317=$A66),--ISNUMBER('Данные 1st'!$CW$2:$CW$317))</f>
        <v>1</v>
      </c>
      <c r="AJ66">
        <f>SUMPRODUCT(--('Данные 1st'!$S$2:$S$317=$A66),--ISNUMBER('Данные 1st'!$CX$2:$CX$317))</f>
        <v>1</v>
      </c>
      <c r="AK66">
        <f>SUMPRODUCT(--('Данные 1st'!$S$2:$S$317=$A66),--ISNUMBER('Данные 1st'!$CZ$2:$CZ$317))</f>
        <v>1</v>
      </c>
      <c r="AL66">
        <f>SUMPRODUCT(--('Данные 1st'!$S$2:$S$317=$A66),--ISNUMBER('Данные 1st'!$DA$2:$DA$317))</f>
        <v>1</v>
      </c>
      <c r="AM66">
        <f>SUMPRODUCT(--('Данные 1st'!$S$2:$S$317=$A66),--ISNUMBER('Данные 1st'!$DB$2:$DB$317))</f>
        <v>1</v>
      </c>
      <c r="AN66">
        <f>SUMPRODUCT(--('Данные 1st'!$S$2:$S$317=$A66),--ISNUMBER('Данные 1st'!$DC$2:$DC$317))</f>
        <v>1</v>
      </c>
      <c r="AO66">
        <f>SUMPRODUCT(--('Данные 1st'!$S$2:$S$317=$A66),--ISNUMBER('Данные 1st'!$DD$2:$DD$317))</f>
        <v>1</v>
      </c>
      <c r="AP66">
        <f>SUMPRODUCT(--('Данные 1st'!$S$2:$S$317=$A66),--ISNUMBER('Данные 1st'!$DF$2:$DF$317))</f>
        <v>1</v>
      </c>
      <c r="AQ66">
        <f>SUMPRODUCT(--('Данные 1st'!$S$2:$S$317=$A66),--ISNUMBER('Данные 1st'!$DG$2:$DG$317))</f>
        <v>1</v>
      </c>
      <c r="AR66">
        <f>SUMPRODUCT(--('Данные 1st'!$S$2:$S$317=$A66),--ISNUMBER('Данные 1st'!$DH$2:$DH$317))</f>
        <v>1</v>
      </c>
      <c r="AS66">
        <f>SUMPRODUCT(--('Данные 1st'!$S$2:$S$317=$A66),--ISNUMBER('Данные 1st'!$DI$2:$DI$317))</f>
        <v>1</v>
      </c>
      <c r="AT66">
        <f>SUMPRODUCT(--('Данные 1st'!$S$2:$S$317=$A66),--ISNUMBER('Данные 1st'!$DJ$2:$DJ$317))</f>
        <v>1</v>
      </c>
      <c r="AU66">
        <f>SUMPRODUCT(--('Данные 1st'!$S$2:$S$317=$A66),--ISNUMBER('Данные 1st'!$DL$2:$DL$317))</f>
        <v>1</v>
      </c>
      <c r="AV66">
        <f>SUMPRODUCT(--('Данные 1st'!$S$2:$S$317=$A66),--ISNUMBER('Данные 1st'!$DM$2:$DM$317))</f>
        <v>1</v>
      </c>
      <c r="AW66">
        <f>SUMPRODUCT(--('Данные 1st'!$S$2:$S$317=$A66),--ISNUMBER('Данные 1st'!$DN$2:$DN$317))</f>
        <v>1</v>
      </c>
      <c r="AX66">
        <f>SUMPRODUCT(--('Данные 1st'!$S$2:$S$317=$A66),--ISNUMBER('Данные 1st'!$DO$2:$DO$317))</f>
        <v>1</v>
      </c>
      <c r="AY66">
        <f>SUMPRODUCT(--('Данные 1st'!$S$2:$S$317=$A66),--ISNUMBER('Данные 1st'!$DP$2:$DP$317))</f>
        <v>1</v>
      </c>
      <c r="AZ66">
        <f>SUMPRODUCT(--('Данные 1st'!$S$2:$S$317=$A66),--ISNUMBER('Данные 1st'!$DR$2:$DR$317))</f>
        <v>0</v>
      </c>
      <c r="BA66">
        <f>SUMPRODUCT(--('Данные 1st'!$S$2:$S$317=$A66),--ISNUMBER('Данные 1st'!$DS$2:$DS$317))</f>
        <v>0</v>
      </c>
      <c r="BB66">
        <f>SUMPRODUCT(--('Данные 1st'!$S$2:$S$317=$A66),--ISNUMBER('Данные 1st'!$DT$2:$DT$317))</f>
        <v>0</v>
      </c>
      <c r="BC66">
        <f>SUMPRODUCT(--('Данные 1st'!$S$2:$S$317=$A66),--ISNUMBER('Данные 1st'!$DU$2:$DU$317))</f>
        <v>0</v>
      </c>
      <c r="BD66">
        <f>SUMPRODUCT(--('Данные 1st'!$S$2:$S$317=$A66),--ISNUMBER('Данные 1st'!$DV$2:$DV$317))</f>
        <v>0</v>
      </c>
      <c r="BE66">
        <f>SUMPRODUCT(--('Данные 1st'!$S$2:$S$317=$A66),--ISNUMBER('Данные 1st'!$DX$2:$DX$317))</f>
        <v>1</v>
      </c>
      <c r="BF66">
        <f>SUMPRODUCT(--('Данные 1st'!$S$2:$S$317=$A66),--ISNUMBER('Данные 1st'!$EA$2:$EA$317))</f>
        <v>1</v>
      </c>
      <c r="BG66">
        <f>SUMPRODUCT(--('Данные 1st'!$S$2:$S$317=$A66),--ISNUMBER('Данные 1st'!$EB$2:$EB$317))</f>
        <v>1</v>
      </c>
      <c r="BH66">
        <f>SUMPRODUCT(--('Данные 1st'!$S$2:$S$317=$A66),--ISNUMBER('Данные 1st'!$ED$2:$ED$317))</f>
        <v>1</v>
      </c>
      <c r="BI66">
        <f>SUMPRODUCT(--('Данные 1st'!$S$2:$S$317=$A66),--ISNUMBER('Данные 1st'!$EE$2:$EE$317))</f>
        <v>1</v>
      </c>
      <c r="BJ66">
        <f>SUMPRODUCT(--('Данные 1st'!$S$2:$S$317=$A66),--ISNUMBER('Данные 1st'!$EG$2:$EG$317))</f>
        <v>1</v>
      </c>
      <c r="BK66">
        <f>SUMPRODUCT(--('Данные 1st'!$S$2:$S$317=$A66),--ISNUMBER('Данные 1st'!$EH$2:$EH$317))</f>
        <v>1</v>
      </c>
      <c r="BL66">
        <f>SUMPRODUCT(--('Данные 1st'!$S$2:$S$317=$A66),--ISNUMBER('Данные 1st'!$EJ$2:$EJ$317))</f>
        <v>1</v>
      </c>
      <c r="BM66">
        <f>SUMPRODUCT(--('Данные 1st'!$S$2:$S$317=$A66),--ISNUMBER('Данные 1st'!$EK$2:$EK$317))</f>
        <v>1</v>
      </c>
      <c r="BN66">
        <f>SUMPRODUCT(--('Данные 1st'!$S$2:$S$317=$A66),--ISNUMBER('Данные 1st'!$EN$2:$EN$317))</f>
        <v>1</v>
      </c>
      <c r="BO66">
        <f>SUMPRODUCT(--('Данные 1st'!$S$2:$S$317=$A66),--ISNUMBER('Данные 1st'!$EQ$2:$EQ$317))</f>
        <v>1</v>
      </c>
      <c r="BP66">
        <f>SUMPRODUCT(--('Данные 1st'!$S$2:$S$317=$A66),--ISNUMBER('Данные 1st'!$ER$2:$ER$317))</f>
        <v>1</v>
      </c>
      <c r="BQ66">
        <f>SUMPRODUCT(--('Данные 1st'!$S$2:$S$317=$A66),--ISNUMBER('Данные 1st'!$ES$2:$ES$317))</f>
        <v>1</v>
      </c>
      <c r="BR66">
        <f>SUMPRODUCT(--('Данные 1st'!$S$2:$S$317=$A66),--ISNUMBER('Данные 1st'!$ET$2:$ET$317))</f>
        <v>1</v>
      </c>
      <c r="BS66">
        <f>SUMPRODUCT(--('Данные 1st'!$S$2:$S$317=$A66),--ISNUMBER('Данные 1st'!$EU$2:$EU$317))</f>
        <v>1</v>
      </c>
      <c r="BT66">
        <f>SUMPRODUCT(--('Данные 1st'!$S$2:$S$317=$A66),--ISNUMBER('Данные 1st'!$EV$2:$EV$317))</f>
        <v>1</v>
      </c>
      <c r="BU66">
        <f>SUMPRODUCT(--('Данные 1st'!$S$2:$S$317=$A66),--ISNUMBER('Данные 1st'!$EX$2:$EX$317))</f>
        <v>1</v>
      </c>
      <c r="BV66">
        <f>SUMPRODUCT(--('Данные 1st'!$S$2:$S$317=$A66),--ISNUMBER('Данные 1st'!$EY$2:$EY$317))</f>
        <v>1</v>
      </c>
      <c r="BW66">
        <f>SUMPRODUCT(--('Данные 1st'!$S$2:$S$317=$A66),--ISNUMBER('Данные 1st'!$EZ$2:$EZ$317))</f>
        <v>1</v>
      </c>
      <c r="BX66">
        <f>SUMPRODUCT(--('Данные 1st'!$S$2:$S$317=$A66),--ISNUMBER('Данные 1st'!$FA$2:$FA$317))</f>
        <v>1</v>
      </c>
      <c r="BY66">
        <f>SUMPRODUCT(--('Данные 1st'!$S$2:$S$317=$A66),--ISNUMBER('Данные 1st'!$FB$2:$FB$317))</f>
        <v>1</v>
      </c>
      <c r="BZ66">
        <f>SUMPRODUCT(--('Данные 1st'!$S$2:$S$317=$A66),--ISNUMBER('Данные 1st'!$FC$2:$FC$317))</f>
        <v>1</v>
      </c>
      <c r="CA66">
        <f>SUMPRODUCT(--('Данные 1st'!$S$2:$S$317=$A66),--ISNUMBER('Данные 1st'!$FE$2:$FE$317))</f>
        <v>1</v>
      </c>
      <c r="CB66">
        <f>SUMPRODUCT(--('Данные 1st'!$S$2:$S$317=$A66),--ISNUMBER('Данные 1st'!$FF$2:$FF$317))</f>
        <v>1</v>
      </c>
      <c r="CC66">
        <f>SUMPRODUCT(--('Данные 1st'!$S$2:$S$317=$A66),--ISNUMBER('Данные 1st'!$FI$2:$FI$317))</f>
        <v>1</v>
      </c>
      <c r="CD66">
        <f>SUMPRODUCT(--('Данные 1st'!$S$2:$S$317=$A66),--ISNUMBER('Данные 1st'!$FL$2:$FL$317))</f>
        <v>1</v>
      </c>
      <c r="CE66">
        <f>SUMPRODUCT(--('Данные 1st'!$S$2:$S$317=$A66),--ISNUMBER('Данные 1st'!$FM$2:$FM$317))</f>
        <v>1</v>
      </c>
      <c r="CF66">
        <f>SUMPRODUCT(--('Данные 1st'!$S$2:$S$317=$A66),--ISNUMBER('Данные 1st'!$FN$2:$FN$317))</f>
        <v>1</v>
      </c>
      <c r="CG66">
        <f>SUMPRODUCT(--('Данные 1st'!$S$2:$S$317=$A66),--ISNUMBER('Данные 1st'!$FO$2:$FO$317))</f>
        <v>1</v>
      </c>
      <c r="CH66">
        <f>SUMPRODUCT(--('Данные 1st'!$S$2:$S$317=$A66),--ISNUMBER('Данные 1st'!$FP$2:$FP$317))</f>
        <v>1</v>
      </c>
      <c r="CI66">
        <f>SUMPRODUCT(--('Данные 1st'!$S$2:$S$317=$A66),--ISNUMBER('Данные 1st'!$FS$2:$FS$317))</f>
        <v>0</v>
      </c>
      <c r="CJ66">
        <f>SUMPRODUCT(--('Данные 1st'!$S$2:$S$317=$A66),--ISNUMBER('Данные 1st'!$FT$2:$FT$317))</f>
        <v>0</v>
      </c>
      <c r="CK66">
        <f>SUMPRODUCT(--('Данные 1st'!$S$2:$S$317=$A66),--ISNUMBER('Данные 1st'!$FU$2:$FU$317))</f>
        <v>0</v>
      </c>
      <c r="CL66">
        <f>SUMPRODUCT(--('Данные 1st'!$S$2:$S$317=$A66),--ISNUMBER('Данные 1st'!$FV$2:$FV$317))</f>
        <v>0</v>
      </c>
      <c r="CM66">
        <f>SUMPRODUCT(--('Данные 1st'!$S$2:$S$317=$A66),--ISNUMBER('Данные 1st'!$FW$2:$FW$317))</f>
        <v>0</v>
      </c>
      <c r="CN66">
        <f>SUMPRODUCT(--('Данные 1st'!$S$2:$S$317=$A66),--ISNUMBER('Данные 1st'!$FZ$2:$FZ$317))</f>
        <v>0</v>
      </c>
      <c r="CO66">
        <f>SUMPRODUCT(--('Данные 1st'!$S$2:$S$317=$A66),--ISNUMBER('Данные 1st'!$GA$2:$GA$317))</f>
        <v>0</v>
      </c>
      <c r="CP66">
        <f>SUMPRODUCT(--('Данные 1st'!$S$2:$S$317=$A66),--ISNUMBER('Данные 1st'!$GB$2:$GB$317))</f>
        <v>0</v>
      </c>
      <c r="CQ66">
        <f>SUMPRODUCT(--('Данные 1st'!$S$2:$S$317=$A66),--ISNUMBER('Данные 1st'!$GH$2:$GH$317))</f>
        <v>0</v>
      </c>
      <c r="CR66">
        <f>SUMPRODUCT(--('Данные 1st'!$S$2:$S$317=$A66),--ISNUMBER('Данные 1st'!$GI$2:$GI$317))</f>
        <v>0</v>
      </c>
      <c r="CS66">
        <f>SUMPRODUCT(--('Данные 1st'!$S$2:$S$317=$A66),--ISNUMBER('Данные 1st'!$GJ$2:$GJ$317))</f>
        <v>0</v>
      </c>
      <c r="CT66">
        <f>SUMPRODUCT(--('Данные 1st'!$S$2:$S$317=$A66),--ISNUMBER('Данные 1st'!$GS$2:$GS$317))</f>
        <v>1</v>
      </c>
      <c r="CU66">
        <f>SUMPRODUCT(--('Данные 1st'!$S$2:$S$317=$A66),--ISNUMBER('Данные 1st'!$GT$2:$GT$317))</f>
        <v>1</v>
      </c>
      <c r="CV66">
        <f>SUMPRODUCT(--('Данные 1st'!$S$2:$S$317=$A66),--ISNUMBER('Данные 1st'!$GU$2:$GU$317))</f>
        <v>1</v>
      </c>
      <c r="CW66">
        <f>SUMPRODUCT(--('Данные 1st'!$S$2:$S$317=$A66),--ISNUMBER('Данные 1st'!$GV$2:$GV$317))</f>
        <v>0</v>
      </c>
      <c r="CX66">
        <f>SUMPRODUCT(--('Данные 1st'!$S$2:$S$317=$A66),--ISNUMBER('Данные 1st'!$GW$2:$GW$317))</f>
        <v>0</v>
      </c>
      <c r="CY66">
        <f>SUMPRODUCT(--('Данные 1st'!$S$2:$S$317=$A66),--ISNUMBER('Данные 1st'!$GZ$2:$GZ$317))</f>
        <v>0</v>
      </c>
      <c r="CZ66">
        <f>SUMPRODUCT(--('Данные 1st'!$S$2:$S$317=$A66),--ISNUMBER('Данные 1st'!$HA$2:$HA$317))</f>
        <v>0</v>
      </c>
      <c r="DA66">
        <f>SUMPRODUCT(--('Данные 1st'!$S$2:$S$317=$A66),--ISNUMBER('Данные 1st'!$HB$2:$HB$317))</f>
        <v>0</v>
      </c>
      <c r="DB66">
        <f>SUMPRODUCT(--('Данные 1st'!$S$2:$S$317=$A66),--ISNUMBER('Данные 1st'!$HC$2:$HC$317))</f>
        <v>1</v>
      </c>
      <c r="DC66">
        <f>SUMPRODUCT(--('Данные 1st'!$S$2:$S$317=$A66),--ISNUMBER('Данные 1st'!$HD$2:$HD$317))</f>
        <v>1</v>
      </c>
      <c r="DD66">
        <f>SUMPRODUCT(--('Данные 1st'!$S$2:$S$317=$A66),--ISNUMBER('Данные 1st'!$HE$2:$HE$317))</f>
        <v>1</v>
      </c>
      <c r="DE66">
        <f>SUMPRODUCT(--('Данные 1st'!$S$2:$S$317=$A66),--ISNUMBER('Данные 1st'!$HF$2:$HF$317))</f>
        <v>1</v>
      </c>
      <c r="DF66">
        <f>SUMPRODUCT(--('Данные 1st'!$S$2:$S$317=$A66),--ISNUMBER('Данные 1st'!$HG$2:$HG$317))</f>
        <v>1</v>
      </c>
      <c r="DG66">
        <f>SUMPRODUCT(--('Данные 1st'!$S$2:$S$317=$A66),--ISNUMBER('Данные 1st'!$HH$2:$HH$317))</f>
        <v>1</v>
      </c>
      <c r="DH66">
        <f>SUMPRODUCT(--('Данные 1st'!$S$2:$S$317=$A66),--ISNUMBER('Данные 1st'!$HI$2:$HI$317))</f>
        <v>1</v>
      </c>
      <c r="DI66">
        <f>SUMPRODUCT(--('Данные 1st'!$S$2:$S$317=$A66),--ISNUMBER('Данные 1st'!$HJ$2:$HJ$317))</f>
        <v>1</v>
      </c>
      <c r="DJ66">
        <f>SUMPRODUCT(--('Данные 1st'!$S$2:$S$317=$A66),--ISNUMBER('Данные 1st'!$HK$2:$HK$317))</f>
        <v>1</v>
      </c>
      <c r="DK66">
        <f>SUMPRODUCT(--('Данные 1st'!$S$2:$S$317=$A66),--ISNUMBER('Данные 1st'!$HL$2:$HL$317))</f>
        <v>1</v>
      </c>
      <c r="DL66">
        <f>SUMPRODUCT(--('Данные 1st'!$S$2:$S$317=$A66),--ISNUMBER('Данные 1st'!$HM$2:$HM$317))</f>
        <v>1</v>
      </c>
      <c r="DM66">
        <f>SUMPRODUCT(--('Данные 1st'!$S$2:$S$317=$A66),--ISNUMBER('Данные 1st'!$HN$2:$HN$317))</f>
        <v>1</v>
      </c>
      <c r="DN66">
        <f>SUMPRODUCT(--('Данные 1st'!$S$2:$S$317=$A66),--ISNUMBER('Данные 1st'!$HO$2:$HO$317))</f>
        <v>1</v>
      </c>
      <c r="DO66">
        <f>SUMPRODUCT(--('Данные 1st'!$S$2:$S$317=$A66),--ISNUMBER('Данные 1st'!$HP$2:$HP$317))</f>
        <v>1</v>
      </c>
      <c r="DP66">
        <f>SUMPRODUCT(--('Данные 1st'!$S$2:$S$317=$A66),--ISNUMBER('Данные 1st'!$HQ$2:$HQ$317))</f>
        <v>1</v>
      </c>
      <c r="DQ66">
        <f>SUMPRODUCT(--('Данные 1st'!$S$2:$S$317=$A66),--ISNUMBER('Данные 1st'!$HR$2:$HR$317))</f>
        <v>1</v>
      </c>
      <c r="DR66">
        <f>SUMPRODUCT(--('Данные 1st'!$S$2:$S$317=$A66),--ISNUMBER('Данные 1st'!$HS$2:$HS$317))</f>
        <v>1</v>
      </c>
      <c r="DS66">
        <f>SUMPRODUCT(--('Данные 1st'!$S$2:$S$317=$A66),--ISNUMBER('Данные 1st'!$HT$2:$HT$317))</f>
        <v>1</v>
      </c>
      <c r="DT66">
        <f>SUMPRODUCT(--('Данные 1st'!$S$2:$S$317=$A66),--ISNUMBER('Данные 1st'!$HU$2:$HU$317))</f>
        <v>1</v>
      </c>
      <c r="DU66">
        <f>SUMPRODUCT(--('Данные 1st'!$S$2:$S$317=$A66),--ISNUMBER('Данные 1st'!$HW$2:$HW$317))</f>
        <v>1</v>
      </c>
      <c r="DV66">
        <f>SUMPRODUCT(--('Данные 1st'!$S$2:$S$317=$A66),--ISNUMBER('Данные 1st'!$HX$2:$HX$317))</f>
        <v>1</v>
      </c>
      <c r="DW66">
        <f>SUMPRODUCT(--('Данные 1st'!$S$2:$S$317=$A66),--ISNUMBER('Данные 1st'!$HY$2:$HY$317))</f>
        <v>1</v>
      </c>
      <c r="DX66">
        <f>SUMPRODUCT(--('Данные 1st'!$S$2:$S$317=$A66),--ISNUMBER('Данные 1st'!$IA$2:$IA$317))</f>
        <v>1</v>
      </c>
      <c r="DY66">
        <f>SUMPRODUCT(--('Данные 1st'!$S$2:$S$317=$A66),--ISNUMBER('Данные 1st'!$IB$2:$IB$317))</f>
        <v>1</v>
      </c>
      <c r="DZ66">
        <f>SUMPRODUCT(--('Данные 1st'!$S$2:$S$317=$A66),--ISNUMBER('Данные 1st'!$IC$2:$IC$317))</f>
        <v>1</v>
      </c>
      <c r="EA66">
        <f>SUMPRODUCT(--('Данные 1st'!$S$2:$S$317=$A66),--ISNUMBER('Данные 1st'!$ID$2:$ID$317))</f>
        <v>1</v>
      </c>
      <c r="EB66">
        <f>SUMPRODUCT(--('Данные 1st'!$S$2:$S$317=$A66),--ISNUMBER('Данные 1st'!$IE$2:$IE$317))</f>
        <v>1</v>
      </c>
      <c r="EC66">
        <f>SUMPRODUCT(--('Данные 1st'!$S$2:$S$317=$A66),--ISNUMBER('Данные 1st'!$IF$2:$IF$317))</f>
        <v>1</v>
      </c>
      <c r="ED66">
        <f>SUMPRODUCT(--('Данные 1st'!$S$2:$S$317=$A66),--ISNUMBER('Данные 1st'!$IP$2:$IP$317))</f>
        <v>1</v>
      </c>
      <c r="EE66">
        <f>SUMPRODUCT(--('Данные 1st'!$S$2:$S$317=$A66),--ISNUMBER('Данные 1st'!$IV$2:$IV$317))</f>
        <v>1</v>
      </c>
      <c r="EF66">
        <f>SUMPRODUCT(--('Данные 1st'!$S$2:$S$317=$A66),--ISNUMBER('Данные 1st'!$IW$2:$IW$317))</f>
        <v>1</v>
      </c>
      <c r="EG66">
        <f>SUMPRODUCT(--('Данные 1st'!$S$2:$S$317=$A66),--ISNUMBER('Данные 1st'!$IX$2:$IX$317))</f>
        <v>0</v>
      </c>
      <c r="EH66">
        <f>SUMPRODUCT(--('Данные 1st'!$S$2:$S$317=$A66),--ISNUMBER('Данные 1st'!$IY$2:$IY$317))</f>
        <v>0</v>
      </c>
      <c r="EI66">
        <f>SUMPRODUCT(--('Данные 1st'!$S$2:$S$317=$A66),--ISNUMBER('Данные 1st'!$JD$2:$JD$317))</f>
        <v>1</v>
      </c>
      <c r="EJ66">
        <f>SUMPRODUCT(--('Данные 1st'!$S$2:$S$317=$A66),--ISNUMBER('Данные 1st'!$JE$2:$JE$317))</f>
        <v>1</v>
      </c>
      <c r="EK66">
        <f>SUMPRODUCT(--('Данные 1st'!$S$2:$S$317=$A66),--ISNUMBER('Данные 1st'!$JF$2:$JF$317))</f>
        <v>1</v>
      </c>
      <c r="EL66">
        <f>SUMPRODUCT(--('Данные 1st'!$S$2:$S$317=$A66),--ISNUMBER('Данные 1st'!$JG$2:$JG$317))</f>
        <v>1</v>
      </c>
      <c r="EM66">
        <f>SUMPRODUCT(--('Данные 1st'!$S$2:$S$317=$A66),--ISNUMBER('Данные 1st'!$JH$2:$JH$317))</f>
        <v>1</v>
      </c>
      <c r="EN66">
        <f>SUMPRODUCT(--('Данные 1st'!$S$2:$S$317=$A66),--ISNUMBER('Данные 1st'!$JJ$2:$JJ$317))</f>
        <v>1</v>
      </c>
      <c r="EO66">
        <f>SUMPRODUCT(--('Данные 1st'!$S$2:$S$317=$A66),--ISNUMBER('Данные 1st'!$JK$2:$JK$317))</f>
        <v>1</v>
      </c>
      <c r="EP66">
        <f>SUMPRODUCT(--('Данные 1st'!$S$2:$S$317=$A66),--ISNUMBER('Данные 1st'!$JL$2:$JL$317))</f>
        <v>0</v>
      </c>
      <c r="EQ66">
        <f>SUMPRODUCT(--('Данные 1st'!$S$2:$S$317=$A66),--ISNUMBER('Данные 1st'!$JM$2:$JM$317))</f>
        <v>0</v>
      </c>
      <c r="ER66">
        <f>SUMPRODUCT(--('Данные 1st'!$S$2:$S$317=$A66),--ISNUMBER('Данные 1st'!$JN$2:$JN$317))</f>
        <v>1</v>
      </c>
      <c r="ES66">
        <f>SUMPRODUCT(--('Данные 1st'!$S$2:$S$317=$A66),--ISNUMBER('Данные 1st'!$JO$2:$JO$317))</f>
        <v>1</v>
      </c>
      <c r="ET66">
        <f>SUMPRODUCT(--('Данные 1st'!$S$2:$S$317=$A66),--ISNUMBER('Данные 1st'!$JP$2:$JP$317))</f>
        <v>1</v>
      </c>
      <c r="EU66">
        <f>SUMPRODUCT(--('Данные 1st'!$S$2:$S$317=$A66),--ISNUMBER('Данные 1st'!$JQ$2:$JQ$317))</f>
        <v>1</v>
      </c>
      <c r="EV66">
        <f>SUMPRODUCT(--('Данные 1st'!$S$2:$S$317=$A66),--ISNUMBER('Данные 1st'!$JR$2:$JR$317))</f>
        <v>1</v>
      </c>
      <c r="EW66">
        <f>SUMPRODUCT(--('Данные 1st'!$S$2:$S$317=$A66),--ISNUMBER('Данные 1st'!$JS$2:$JS$317))</f>
        <v>1</v>
      </c>
      <c r="EX66">
        <f>SUMPRODUCT(--('Данные 1st'!$S$2:$S$317=$A66),--ISNUMBER('Данные 1st'!$JT$2:$JT$317))</f>
        <v>0</v>
      </c>
      <c r="EY66">
        <f>SUMPRODUCT(--('Данные 1st'!$S$2:$S$317=$A66),--ISNUMBER('Данные 1st'!$JU$2:$JU$317))</f>
        <v>0</v>
      </c>
      <c r="EZ66">
        <f>SUMPRODUCT(--('Данные 1st'!$S$2:$S$317=$A66),--ISNUMBER('Данные 1st'!$JV$2:$JV$317))</f>
        <v>1</v>
      </c>
      <c r="FA66">
        <f>SUMPRODUCT(--('Данные 1st'!$S$2:$S$317=$A66),--ISNUMBER('Данные 1st'!$JW$2:$JW$317))</f>
        <v>0</v>
      </c>
      <c r="FB66">
        <f>SUMPRODUCT(--('Данные 1st'!$S$2:$S$317=$A66),--ISNUMBER('Данные 1st'!$JX$2:$JX$317))</f>
        <v>1</v>
      </c>
      <c r="FC66">
        <f>SUMPRODUCT(--('Данные 1st'!$S$2:$S$317=$A66),--ISNUMBER('Данные 1st'!$JY$2:$JY$317))</f>
        <v>0</v>
      </c>
      <c r="FD66">
        <f>SUMPRODUCT(--('Данные 1st'!$S$2:$S$317=$A66),--ISNUMBER('Данные 1st'!$JZ$2:$JZ$317))</f>
        <v>0</v>
      </c>
      <c r="FE66">
        <f>SUMPRODUCT(--('Данные 1st'!$S$2:$S$317=$A66),--ISNUMBER('Данные 1st'!$KA$2:$KA$317))</f>
        <v>1</v>
      </c>
      <c r="FF66">
        <f>SUMPRODUCT(--('Данные 1st'!$S$2:$S$317=$A66),--ISNUMBER('Данные 1st'!$KB$2:$KB$317))</f>
        <v>1</v>
      </c>
      <c r="FG66">
        <f>SUMPRODUCT(--('Данные 1st'!$S$2:$S$317=$A66),--ISNUMBER('Данные 1st'!$KC$2:$KC$317))</f>
        <v>1</v>
      </c>
      <c r="FH66">
        <f>SUMPRODUCT(--('Данные 1st'!$S$2:$S$317=$A66),--ISNUMBER('Данные 1st'!$KD$2:$KD$317))</f>
        <v>1</v>
      </c>
      <c r="FI66">
        <f>SUMPRODUCT(--('Данные 1st'!$S$2:$S$317=$A66),--ISNUMBER('Данные 1st'!$KE$2:$KE$317))</f>
        <v>0</v>
      </c>
      <c r="FJ66">
        <f>SUMPRODUCT(--('Данные 1st'!$S$2:$S$317=$A66),--ISNUMBER('Данные 1st'!$KF$2:$KF$317))</f>
        <v>1</v>
      </c>
      <c r="FK66">
        <f>SUMPRODUCT(--('Данные 1st'!$S$2:$S$317=$A66),--ISNUMBER('Данные 1st'!$KG$2:$KG$317))</f>
        <v>1</v>
      </c>
      <c r="FL66">
        <f>SUMPRODUCT(--('Данные 1st'!$S$2:$S$317=$A66),--ISNUMBER('Данные 1st'!$KH$2:$KH$317))</f>
        <v>1</v>
      </c>
      <c r="FM66">
        <f>SUMPRODUCT(--('Данные 1st'!$S$2:$S$317=$A66),--ISNUMBER('Данные 1st'!$KI$2:$KI$317))</f>
        <v>1</v>
      </c>
      <c r="FN66">
        <f>SUMPRODUCT(--('Данные 1st'!$S$2:$S$317=$A66),--ISNUMBER('Данные 1st'!$KJ$2:$KJ$317))</f>
        <v>1</v>
      </c>
      <c r="FO66">
        <f>SUMPRODUCT(--('Данные 1st'!$S$2:$S$317=$A66),--ISNUMBER('Данные 1st'!$KK$2:$KK$317))</f>
        <v>1</v>
      </c>
      <c r="FP66">
        <f>SUMPRODUCT(--('Данные 1st'!$S$2:$S$317=$A66),--ISNUMBER('Данные 1st'!$KL$2:$KL$317))</f>
        <v>1</v>
      </c>
      <c r="FQ66">
        <f>SUMPRODUCT(--('Данные 1st'!$S$2:$S$317=$A66),--ISNUMBER('Данные 1st'!$KM$2:$KM$317))</f>
        <v>1</v>
      </c>
      <c r="FR66">
        <f>SUMPRODUCT(--('Данные 1st'!$S$2:$S$317=$A66),--ISNUMBER('Данные 1st'!$KN$2:$KN$317))</f>
        <v>1</v>
      </c>
      <c r="FS66">
        <f>SUMPRODUCT(--('Данные 1st'!$S$2:$S$317=$A66),--ISNUMBER('Данные 1st'!$KR$2:$KR$317))</f>
        <v>1</v>
      </c>
      <c r="FT66">
        <f>SUMPRODUCT(--('Данные 1st'!$S$2:$S$317=$A66),--ISNUMBER('Данные 1st'!$KS$2:$KS$317))</f>
        <v>1</v>
      </c>
      <c r="FU66">
        <f>SUMPRODUCT(--('Данные 1st'!$S$2:$S$317=$A66),--ISNUMBER('Данные 1st'!$KT$2:$KT$317))</f>
        <v>1</v>
      </c>
      <c r="FV66">
        <f>SUMPRODUCT(--('Данные 1st'!$S$2:$S$317=$A66),--ISNUMBER('Данные 1st'!$KV$2:$KV$317))</f>
        <v>0</v>
      </c>
      <c r="FW66">
        <f>SUMPRODUCT(--('Данные 1st'!$S$2:$S$317=$A66),--ISNUMBER('Данные 1st'!$KW$2:$KW$317))</f>
        <v>0</v>
      </c>
      <c r="FX66">
        <f>SUMPRODUCT(--('Данные 1st'!$S$2:$S$317=$A66),--ISNUMBER('Данные 1st'!$KX$2:$KX$317))</f>
        <v>0</v>
      </c>
      <c r="FY66">
        <f>SUMPRODUCT(--('Данные 1st'!$S$2:$S$317=$A66),--ISNUMBER('Данные 1st'!$KY$2:$KY$317))</f>
        <v>0</v>
      </c>
      <c r="FZ66">
        <f>SUMPRODUCT(--('Данные 1st'!$S$2:$S$317=$A66),--ISNUMBER('Данные 1st'!$KZ$2:$KZ$317))</f>
        <v>0</v>
      </c>
      <c r="GA66">
        <f>SUMPRODUCT(--('Данные 1st'!$S$2:$S$317=$A66),--ISNUMBER('Данные 1st'!$LA$2:$LA$317))</f>
        <v>0</v>
      </c>
      <c r="GB66">
        <f>SUMPRODUCT(--('Данные 1st'!$S$2:$S$317=$A66),--ISNUMBER('Данные 1st'!$LB$2:$LB$317))</f>
        <v>0</v>
      </c>
      <c r="GC66">
        <f>SUMPRODUCT(--('Данные 1st'!$S$2:$S$317=$A66),--ISNUMBER('Данные 1st'!$LC$2:$LC$317))</f>
        <v>0</v>
      </c>
      <c r="GD66">
        <f>SUMPRODUCT(--('Данные 1st'!$S$2:$S$317=$A66),--ISNUMBER('Данные 1st'!$LD$2:$LD$317))</f>
        <v>0</v>
      </c>
      <c r="GE66">
        <f>SUMPRODUCT(--('Данные 1st'!$S$2:$S$317=$A66),--ISNUMBER('Данные 1st'!$LE$2:$LE$317))</f>
        <v>0</v>
      </c>
      <c r="GF66">
        <f>SUMPRODUCT(--('Данные 1st'!$S$2:$S$317=$A66),--ISNUMBER('Данные 1st'!$LF$2:$LF$317))</f>
        <v>0</v>
      </c>
      <c r="GG66">
        <f>SUMPRODUCT(--('Данные 1st'!$S$2:$S$317=$A66),--ISNUMBER('Данные 1st'!$LG$2:$LG$317))</f>
        <v>0</v>
      </c>
      <c r="GH66">
        <f>SUMPRODUCT(--('Данные 1st'!$S$2:$S$317=$A66),--ISNUMBER('Данные 1st'!$LH$2:$LH$317))</f>
        <v>0</v>
      </c>
      <c r="GI66">
        <f>SUMPRODUCT(--('Данные 1st'!$S$2:$S$317=$A66),--ISNUMBER('Данные 1st'!$LI$2:$LI$317))</f>
        <v>0</v>
      </c>
      <c r="GJ66">
        <f>SUMPRODUCT(--('Данные 1st'!$S$2:$S$317=$A66),--ISNUMBER('Данные 1st'!$LJ$2:$LJ$317))</f>
        <v>0</v>
      </c>
      <c r="GK66">
        <f>SUMPRODUCT(--('Данные 1st'!$S$2:$S$317=$A66),--ISNUMBER('Данные 1st'!$LK$2:$LK$317))</f>
        <v>1</v>
      </c>
      <c r="GL66">
        <f>SUMPRODUCT(--('Данные 1st'!$S$2:$S$317=$A66),--ISNUMBER('Данные 1st'!$LV$2:$LV$317))</f>
        <v>0</v>
      </c>
      <c r="GM66">
        <f>SUMPRODUCT(--('Данные 1st'!$S$2:$S$317=$A66),--ISNUMBER('Данные 1st'!$LW$2:$LW$317))</f>
        <v>0</v>
      </c>
      <c r="GN66">
        <f>SUMPRODUCT(--('Данные 1st'!$S$2:$S$317=$A66),--ISNUMBER('Данные 1st'!$LX$2:$LX$317))</f>
        <v>0</v>
      </c>
      <c r="GO66">
        <f>SUMPRODUCT(--('Данные 1st'!$S$2:$S$317=$A66),--ISNUMBER('Данные 1st'!$LY$2:$LY$317))</f>
        <v>0</v>
      </c>
      <c r="GP66">
        <f>SUMPRODUCT(--('Данные 1st'!$S$2:$S$317=$A66),--ISNUMBER('Данные 1st'!$LZ$2:$LZ$317))</f>
        <v>0</v>
      </c>
      <c r="GQ66">
        <f>SUMPRODUCT(--('Данные 1st'!$S$2:$S$317=$A66),--ISNUMBER('Данные 1st'!$PG$2:$PG$317))</f>
        <v>1</v>
      </c>
      <c r="GR66">
        <f>SUMPRODUCT(--('Данные 1st'!$S$2:$S$317=$A66),--ISNUMBER('Данные 1st'!$PX$2:$PX$317))</f>
        <v>1</v>
      </c>
      <c r="GS66">
        <f>SUMPRODUCT(--('Данные 1st'!$S$2:$S$317=$A66),--ISNUMBER('Данные 1st'!$PY$2:$PY$317))</f>
        <v>1</v>
      </c>
      <c r="GT66">
        <f>SUMPRODUCT(--('Данные 1st'!$S$2:$S$317=$A66),--ISNUMBER('Данные 1st'!$QA$2:$QA$317))</f>
        <v>1</v>
      </c>
      <c r="GU66">
        <f>SUMPRODUCT(--('Данные 1st'!$S$2:$S$317=$A66),--ISNUMBER('Данные 1st'!$QB$2:$QB$317))</f>
        <v>1</v>
      </c>
      <c r="GV66">
        <f>SUMPRODUCT(--('Данные 1st'!$S$2:$S$317=$A66),--ISNUMBER('Данные 1st'!$QC$2:$QC$317))</f>
        <v>1</v>
      </c>
      <c r="GW66">
        <f>SUMPRODUCT(--('Данные 1st'!$S$2:$S$317=$A66),--ISNUMBER('Данные 1st'!$QD$2:$QD$317))</f>
        <v>1</v>
      </c>
      <c r="GX66">
        <f>SUMPRODUCT(--('Данные 1st'!$S$2:$S$317=$A66),--ISNUMBER('Данные 1st'!$QF$2:$QF$317))</f>
        <v>1</v>
      </c>
      <c r="GY66">
        <f>SUMPRODUCT(--('Данные 1st'!$S$2:$S$317=$A66),--ISNUMBER('Данные 1st'!$QG$2:$QG$317))</f>
        <v>1</v>
      </c>
      <c r="GZ66">
        <f>SUMPRODUCT(--('Данные 1st'!$S$2:$S$317=$A66),--ISNUMBER('Данные 1st'!$QH$2:$QH$317))</f>
        <v>1</v>
      </c>
      <c r="HA66">
        <f>SUMPRODUCT(--('Данные 1st'!$S$2:$S$317=$A66),--ISNUMBER('Данные 1st'!$QI$2:$QI$317))</f>
        <v>1</v>
      </c>
      <c r="HB66">
        <f>SUMPRODUCT(--('Данные 1st'!$S$2:$S$317=$A66),--ISNUMBER('Данные 1st'!$QK$2:$QK$317))</f>
        <v>1</v>
      </c>
      <c r="HC66">
        <f>SUMPRODUCT(--('Данные 1st'!$S$2:$S$317=$A66),--ISNUMBER('Данные 1st'!$QL$2:$QL$317))</f>
        <v>1</v>
      </c>
      <c r="HD66">
        <f>SUMPRODUCT(--('Данные 1st'!$S$2:$S$317=$A66),--ISNUMBER('Данные 1st'!$QM$2:$QM$317))</f>
        <v>1</v>
      </c>
      <c r="HE66">
        <f>SUMPRODUCT(--('Данные 1st'!$S$2:$S$317=$A66),--ISNUMBER('Данные 1st'!$QN$2:$QN$317))</f>
        <v>1</v>
      </c>
      <c r="HF66">
        <f>SUMPRODUCT(--('Данные 1st'!$S$2:$S$317=$A66),--ISNUMBER('Данные 1st'!$QP$2:$QP$317))</f>
        <v>1</v>
      </c>
      <c r="HG66">
        <f>SUMPRODUCT(--('Данные 1st'!$S$2:$S$317=$A66),--ISNUMBER('Данные 1st'!$QQ$2:$QQ$317))</f>
        <v>1</v>
      </c>
      <c r="HH66">
        <f>SUMPRODUCT(--('Данные 1st'!$S$2:$S$317=$A66),--ISNUMBER('Данные 1st'!$QR$2:$QR$317))</f>
        <v>1</v>
      </c>
      <c r="HI66">
        <f>SUMPRODUCT(--('Данные 1st'!$S$2:$S$317=$A66),--ISNUMBER('Данные 1st'!$QS$2:$QS$317))</f>
        <v>1</v>
      </c>
      <c r="HJ66">
        <f>SUMPRODUCT(--('Данные 1st'!$S$2:$S$317=$A66),--ISNUMBER('Данные 1st'!$QU$2:$QU$317))</f>
        <v>1</v>
      </c>
      <c r="HK66">
        <f>SUMPRODUCT(--('Данные 1st'!$S$2:$S$317=$A66),--ISNUMBER('Данные 1st'!$QV$2:$QV$317))</f>
        <v>1</v>
      </c>
      <c r="HL66">
        <f>SUMPRODUCT(--('Данные 1st'!$S$2:$S$317=$A66),--ISNUMBER('Данные 1st'!$QW$2:$QW$317))</f>
        <v>1</v>
      </c>
      <c r="HM66">
        <f>SUMPRODUCT(--('Данные 1st'!$S$2:$S$317=$A66),--ISNUMBER('Данные 1st'!$QX$2:$QX$317))</f>
        <v>1</v>
      </c>
      <c r="HN66">
        <f>SUMPRODUCT(--('Данные 1st'!$S$2:$S$317=$A66),--ISNUMBER('Данные 1st'!$QZ$2:$QZ$317))</f>
        <v>1</v>
      </c>
      <c r="HO66">
        <f>SUMPRODUCT(--('Данные 1st'!$S$2:$S$317=$A66),--ISNUMBER('Данные 1st'!$RA$2:$RA$317))</f>
        <v>1</v>
      </c>
      <c r="HP66">
        <f>SUMPRODUCT(--('Данные 1st'!$S$2:$S$317=$A66),--ISNUMBER('Данные 1st'!$RB$2:$RB$317))</f>
        <v>1</v>
      </c>
      <c r="HQ66">
        <f>SUMPRODUCT(--('Данные 1st'!$S$2:$S$317=$A66),--ISNUMBER('Данные 1st'!$RD$2:$RD$317))</f>
        <v>0</v>
      </c>
      <c r="HR66">
        <f>SUMPRODUCT(--('Данные 1st'!$S$2:$S$317=$A66),--ISNUMBER('Данные 1st'!$RE$2:$RE$317))</f>
        <v>1</v>
      </c>
      <c r="HS66">
        <f>SUMPRODUCT(--('Данные 1st'!$S$2:$S$317=$A66),--ISNUMBER('Данные 1st'!$RF$2:$RF$317))</f>
        <v>1</v>
      </c>
      <c r="HT66">
        <f>SUMPRODUCT(--('Данные 1st'!$S$2:$S$317=$A66),--ISNUMBER('Данные 1st'!$RG$2:$RG$317))</f>
        <v>0</v>
      </c>
      <c r="HU66">
        <f>SUMPRODUCT(--('Данные 1st'!$S$2:$S$317=$A66),--ISNUMBER('Данные 1st'!$RH$2:$RH$317))</f>
        <v>1</v>
      </c>
      <c r="HV66">
        <f>SUMPRODUCT(--('Данные 1st'!$S$2:$S$317=$A66),--ISNUMBER('Данные 1st'!$RI$2:$RI$317))</f>
        <v>0</v>
      </c>
      <c r="HW66">
        <f>SUMPRODUCT(--('Данные 1st'!$S$2:$S$317=$A66),--ISNUMBER('Данные 1st'!$RJ$2:$RJ$317))</f>
        <v>1</v>
      </c>
      <c r="HX66">
        <f>SUMPRODUCT(--('Данные 1st'!$S$2:$S$317=$A66),--ISNUMBER('Данные 1st'!$RK$2:$RK$317))</f>
        <v>1</v>
      </c>
      <c r="HY66">
        <f>SUMPRODUCT(--('Данные 1st'!$S$2:$S$317=$A66),--ISNUMBER('Данные 1st'!$RL$2:$RL$317))</f>
        <v>1</v>
      </c>
      <c r="HZ66">
        <f>SUMPRODUCT(--('Данные 1st'!$S$2:$S$317=$A66),--ISNUMBER('Данные 1st'!$RM$2:$RM$317))</f>
        <v>1</v>
      </c>
      <c r="IA66">
        <f>SUMPRODUCT(--('Данные 1st'!$S$2:$S$317=$A66),--ISNUMBER('Данные 1st'!$RN$2:$RN$317))</f>
        <v>0</v>
      </c>
      <c r="IB66">
        <f>SUMPRODUCT(--('Данные 1st'!$S$2:$S$317=$A66),--ISNUMBER('Данные 1st'!$RO$2:$RO$317))</f>
        <v>1</v>
      </c>
      <c r="IC66">
        <f>SUMPRODUCT(--('Данные 1st'!$S$2:$S$317=$A66),--ISNUMBER('Данные 1st'!$RP$2:$RP$317))</f>
        <v>1</v>
      </c>
      <c r="ID66">
        <f>SUMPRODUCT(--('Данные 1st'!$S$2:$S$317=$A66),--ISNUMBER('Данные 1st'!$RQ$2:$RQ$317))</f>
        <v>1</v>
      </c>
      <c r="IE66">
        <f>SUMPRODUCT(--('Данные 1st'!$S$2:$S$317=$A66),--ISNUMBER('Данные 1st'!$RR$2:$RR$317))</f>
        <v>1</v>
      </c>
      <c r="IF66">
        <f>SUMPRODUCT(--('Данные 1st'!$S$2:$S$317=$A66),--ISNUMBER('Данные 1st'!$RS$2:$RS$317))</f>
        <v>0</v>
      </c>
      <c r="IG66">
        <f>SUMPRODUCT(--('Данные 1st'!$S$2:$S$317=$A66),--ISNUMBER('Данные 1st'!$RT$2:$RT$317))</f>
        <v>1</v>
      </c>
      <c r="IH66">
        <f>SUMPRODUCT(--('Данные 1st'!$S$2:$S$317=$A66),--ISNUMBER('Данные 1st'!$RU$2:$RU$317))</f>
        <v>1</v>
      </c>
      <c r="II66">
        <f>SUMPRODUCT(--('Данные 1st'!$S$2:$S$317=$A66),--ISNUMBER('Данные 1st'!$RX$2:$RX$317))</f>
        <v>1</v>
      </c>
      <c r="IJ66">
        <f>SUMPRODUCT(--('Данные 1st'!$S$2:$S$317=$A66),--ISNUMBER('Данные 1st'!$RY$2:$RY$317))</f>
        <v>1</v>
      </c>
      <c r="IK66">
        <f>SUMPRODUCT(--('Данные 1st'!$S$2:$S$317=$A66),--ISNUMBER('Данные 1st'!$SA$2:$SA$317))</f>
        <v>1</v>
      </c>
      <c r="IL66">
        <f>SUMPRODUCT(--('Данные 1st'!$S$2:$S$317=$A66),--ISNUMBER('Данные 1st'!$SD$2:$SD$317))</f>
        <v>1</v>
      </c>
      <c r="IM66">
        <f>SUMPRODUCT(--('Данные 1st'!$S$2:$S$317=$A66),--ISNUMBER('Данные 1st'!$SG$2:$SG$317))</f>
        <v>1</v>
      </c>
      <c r="IN66">
        <f>SUMPRODUCT(--('Данные 1st'!$S$2:$S$317=$A66),--ISNUMBER('Данные 1st'!$SH$2:$SH$317))</f>
        <v>1</v>
      </c>
      <c r="IO66">
        <f>SUMPRODUCT(--('Данные 1st'!$S$2:$S$317=$A66),--ISNUMBER('Данные 1st'!$SI$2:$SI$317))</f>
        <v>1</v>
      </c>
      <c r="IP66">
        <f>SUMPRODUCT(--('Данные 1st'!$S$2:$S$317=$A66),--ISNUMBER('Данные 1st'!$SJ$2:$SJ$317))</f>
        <v>1</v>
      </c>
      <c r="IQ66">
        <f>SUMPRODUCT(--('Данные 1st'!$S$2:$S$317=$A66),--ISNUMBER('Данные 1st'!$SK$2:$SK$317))</f>
        <v>1</v>
      </c>
      <c r="IR66">
        <f>SUMPRODUCT(--('Данные 1st'!$S$2:$S$317=$A66),--ISNUMBER('Данные 1st'!$SL$2:$SL$317))</f>
        <v>1</v>
      </c>
      <c r="IS66">
        <f>SUMPRODUCT(--('Данные 1st'!$S$2:$S$317=$A66),--ISNUMBER('Данные 1st'!$SM$2:$SM$317))</f>
        <v>1</v>
      </c>
      <c r="IT66">
        <f>SUMPRODUCT(--('Данные 1st'!$S$2:$S$317=$A66),--ISNUMBER('Данные 1st'!$SN$2:$SN$317))</f>
        <v>1</v>
      </c>
      <c r="IU66">
        <f>SUMPRODUCT(--('Данные 1st'!$S$2:$S$317=$A66),--ISNUMBER('Данные 1st'!$SO$2:$SO$317))</f>
        <v>1</v>
      </c>
      <c r="IV66">
        <f>SUMPRODUCT(--('Данные 1st'!$S$2:$S$317=$A66),--ISNUMBER('Данные 1st'!$SP$2:$SP$317))</f>
        <v>1</v>
      </c>
      <c r="IW66">
        <f>SUMPRODUCT(--('Данные 1st'!$S$2:$S$317=$A66),--ISNUMBER('Данные 1st'!$SQ$2:$SQ$317))</f>
        <v>1</v>
      </c>
      <c r="IX66">
        <f>SUMPRODUCT(--('Данные 1st'!$S$2:$S$317=$A66),--ISNUMBER('Данные 1st'!$SR$2:$SR$317))</f>
        <v>1</v>
      </c>
      <c r="IY66">
        <f>SUMPRODUCT(--('Данные 1st'!$S$2:$S$317=$A66),--ISNUMBER('Данные 1st'!$SS$2:$SS$317))</f>
        <v>1</v>
      </c>
      <c r="IZ66">
        <f>SUMPRODUCT(--('Данные 1st'!$S$2:$S$317=$A66),--ISNUMBER('Данные 1st'!$ST$2:$ST$317))</f>
        <v>1</v>
      </c>
      <c r="JA66">
        <f>SUMPRODUCT(--('Данные 1st'!$S$2:$S$317=$A66),--ISNUMBER('Данные 1st'!$SU$2:$SU$317))</f>
        <v>1</v>
      </c>
      <c r="JB66">
        <f>SUMPRODUCT(--('Данные 1st'!$S$2:$S$317=$A66),--ISNUMBER('Данные 1st'!$SV$2:$SV$317))</f>
        <v>1</v>
      </c>
      <c r="JC66">
        <f>SUMPRODUCT(--('Данные 1st'!$S$2:$S$317=$A66),--ISNUMBER('Данные 1st'!$SW$2:$SW$317))</f>
        <v>1</v>
      </c>
      <c r="JD66">
        <f>SUMPRODUCT(--('Данные 1st'!$S$2:$S$317=$A66),--ISNUMBER('Данные 1st'!$SX$2:$SX$317))</f>
        <v>1</v>
      </c>
      <c r="JE66">
        <f>SUMPRODUCT(--('Данные 1st'!$S$2:$S$317=$A66),--ISNUMBER('Данные 1st'!$SY$2:$SY$317))</f>
        <v>1</v>
      </c>
      <c r="JF66">
        <f>SUMPRODUCT(--('Данные 1st'!$S$2:$S$317=$A66),--ISNUMBER('Данные 1st'!$SZ$2:$SZ$317))</f>
        <v>1</v>
      </c>
      <c r="JG66">
        <f>SUMPRODUCT(--('Данные 1st'!$S$2:$S$317=$A66),--ISNUMBER('Данные 1st'!$TA$2:$TA$317))</f>
        <v>0</v>
      </c>
      <c r="JH66">
        <f>SUMPRODUCT(--('Данные 1st'!$S$2:$S$317=$A66),--ISNUMBER('Данные 1st'!$TB$2:$TB$317))</f>
        <v>1</v>
      </c>
      <c r="JI66">
        <f>SUMPRODUCT(--('Данные 1st'!$S$2:$S$317=$A66),--ISNUMBER('Данные 1st'!$TC$2:$TC$317))</f>
        <v>1</v>
      </c>
      <c r="JJ66">
        <f>SUMPRODUCT(--('Данные 1st'!$S$2:$S$317=$A66),--ISNUMBER('Данные 1st'!$TD$2:$TD$317))</f>
        <v>1</v>
      </c>
      <c r="JK66">
        <f>SUMPRODUCT(--('Данные 1st'!$S$2:$S$317=$A66),--ISNUMBER('Данные 1st'!$TN$2:$TN$317))</f>
        <v>1</v>
      </c>
      <c r="JQ66">
        <f>SUMPRODUCT(--('Данные 2st'!$Q$2:$Q$317=$A66),--ISNUMBER('Данные 2st'!$AC$2:$AC$317))</f>
        <v>1</v>
      </c>
      <c r="JR66">
        <f>SUMPRODUCT(--('Данные 2st'!$Q$2:$Q$317=$A66),--ISNUMBER('Данные 2st'!$AF$2:$AF$317))</f>
        <v>1</v>
      </c>
      <c r="JS66">
        <f>SUMPRODUCT(--('Данные 2st'!$Q$2:$Q$317=$A66),--ISNUMBER('Данные 2st'!$AW$2:$AW$317))</f>
        <v>1</v>
      </c>
      <c r="JT66">
        <f>SUMPRODUCT(--('Данные 2st'!$Q$2:$Q$317=$A66),--ISNUMBER('Данные 2st'!$AX$2:$AX$317))</f>
        <v>1</v>
      </c>
      <c r="JU66">
        <f>SUMPRODUCT(--('Данные 2st'!$Q$2:$Q$317=$A66),--ISNUMBER('Данные 2st'!$AY$2:$AY$317))</f>
        <v>1</v>
      </c>
      <c r="JV66">
        <f>SUMPRODUCT(--('Данные 2st'!$Q$2:$Q$317=$A66),--ISNUMBER('Данные 2st'!$AZ$2:$AZ$317))</f>
        <v>1</v>
      </c>
      <c r="JW66">
        <f>SUMPRODUCT(--('Данные 2st'!$Q$2:$Q$317=$A66),--ISNUMBER('Данные 2st'!$BA$2:$BA$317))</f>
        <v>0</v>
      </c>
      <c r="JX66">
        <f>SUMPRODUCT(--('Данные 2st'!$Q$2:$Q$317=$A66),--ISNUMBER('Данные 2st'!$BB$2:$BB$317))</f>
        <v>0</v>
      </c>
      <c r="JY66">
        <f>SUMPRODUCT(--('Данные 2st'!$Q$2:$Q$317=$A66),--ISNUMBER('Данные 2st'!$BC$2:$BC$317))</f>
        <v>0</v>
      </c>
      <c r="JZ66">
        <f>SUMPRODUCT(--('Данные 2st'!$Q$2:$Q$317=$A66),--ISNUMBER('Данные 2st'!$BH$2:$BH$317))</f>
        <v>1</v>
      </c>
      <c r="KA66">
        <f>SUMPRODUCT(--('Данные 2st'!$Q$2:$Q$317=$A66),--ISNUMBER('Данные 2st'!$BI$2:$BI$317))</f>
        <v>1</v>
      </c>
      <c r="KB66">
        <f>SUMPRODUCT(--('Данные 2st'!$Q$2:$Q$317=$A66),--ISNUMBER('Данные 2st'!$BJ$2:$BJ$317))</f>
        <v>1</v>
      </c>
      <c r="KC66">
        <f>SUMPRODUCT(--('Данные 2st'!$Q$2:$Q$317=$A66),--ISNUMBER('Данные 2st'!$BK$2:$BK$317))</f>
        <v>1</v>
      </c>
      <c r="KD66">
        <f>SUMPRODUCT(--('Данные 2st'!$Q$2:$Q$317=$A66),--ISNUMBER('Данные 2st'!$BL$2:$BL$317))</f>
        <v>1</v>
      </c>
      <c r="KE66">
        <f>SUMPRODUCT(--('Данные 2st'!$Q$2:$Q$317=$A66),--ISNUMBER('Данные 2st'!$BM$2:$BM$317))</f>
        <v>1</v>
      </c>
      <c r="KF66">
        <f>SUMPRODUCT(--('Данные 2st'!$Q$2:$Q$317=$A66),--ISNUMBER('Данные 2st'!$BN$2:$BN$317))</f>
        <v>1</v>
      </c>
      <c r="KG66">
        <f>SUMPRODUCT(--('Данные 2st'!$Q$2:$Q$317=$A66),--ISNUMBER('Данные 2st'!$BO$2:$BO$317))</f>
        <v>0</v>
      </c>
      <c r="KH66">
        <f>SUMPRODUCT(--('Данные 2st'!$Q$2:$Q$317=$A66),--ISNUMBER('Данные 2st'!$BP$2:$BP$317))</f>
        <v>1</v>
      </c>
      <c r="KI66">
        <f>SUMPRODUCT(--('Данные 2st'!$Q$2:$Q$317=$A66),--ISNUMBER('Данные 2st'!$BR$2:$BR$317))</f>
        <v>1</v>
      </c>
      <c r="KJ66">
        <f>SUMPRODUCT(--('Данные 2st'!$Q$2:$Q$317=$A66),--ISNUMBER('Данные 2st'!$BS$2:$BS$317))</f>
        <v>1</v>
      </c>
      <c r="KK66">
        <f>SUMPRODUCT(--('Данные 2st'!$Q$2:$Q$317=$A66),--ISNUMBER('Данные 2st'!$BT$2:$BT$317))</f>
        <v>1</v>
      </c>
      <c r="KL66">
        <f>SUMPRODUCT(--('Данные 2st'!$Q$2:$Q$317=$A66),--ISNUMBER('Данные 2st'!$CV$2:$CV$317))</f>
        <v>1</v>
      </c>
      <c r="KM66">
        <f>SUMPRODUCT(--('Данные 2st'!$Q$2:$Q$317=$A66),--ISNUMBER('Данные 2st'!$CW$2:$CW$317))</f>
        <v>1</v>
      </c>
      <c r="KN66">
        <f>SUMPRODUCT(--('Данные 2st'!$Q$2:$Q$317=$A66),--ISNUMBER('Данные 2st'!$CX$2:$CX$317))</f>
        <v>1</v>
      </c>
      <c r="KO66">
        <f>SUMPRODUCT(--('Данные 2st'!$Q$2:$Q$317=$A66),--ISNUMBER('Данные 2st'!$CY$2:$CY$317))</f>
        <v>1</v>
      </c>
      <c r="KP66">
        <f>SUMPRODUCT(--('Данные 2st'!$Q$2:$Q$317=$A66),--ISNUMBER('Данные 2st'!$CZ$2:$CZ$317))</f>
        <v>1</v>
      </c>
      <c r="KQ66">
        <f>SUMPRODUCT(--('Данные 2st'!$Q$2:$Q$317=$A66),--ISNUMBER('Данные 2st'!$DA$2:$DA$317))</f>
        <v>1</v>
      </c>
      <c r="KR66">
        <f>SUMPRODUCT(--('Данные 2st'!$Q$2:$Q$317=$A66),--ISNUMBER('Данные 2st'!$DB$2:$DB$317))</f>
        <v>1</v>
      </c>
      <c r="KS66">
        <f>SUMPRODUCT(--('Данные 2st'!$Q$2:$Q$317=$A66),--ISNUMBER('Данные 2st'!$DC$2:$DC$317))</f>
        <v>1</v>
      </c>
      <c r="KT66">
        <f>SUMPRODUCT(--('Данные 2st'!$Q$2:$Q$317=$A66),--ISNUMBER('Данные 2st'!$DD$2:$DD$317))</f>
        <v>1</v>
      </c>
      <c r="KU66">
        <f>SUMPRODUCT(--('Данные 2st'!$Q$2:$Q$317=$A66),--ISNUMBER('Данные 2st'!$DE$2:$DE$317))</f>
        <v>1</v>
      </c>
      <c r="KV66">
        <f>SUMPRODUCT(--('Данные 2st'!$Q$2:$Q$317=$A66),--ISNUMBER('Данные 2st'!$DF$2:$DF$317))</f>
        <v>1</v>
      </c>
      <c r="KW66">
        <f>SUMPRODUCT(--('Данные 2st'!$Q$2:$Q$317=$A66),--ISNUMBER('Данные 2st'!$DG$2:$DG$317))</f>
        <v>1</v>
      </c>
      <c r="KX66">
        <f>SUMPRODUCT(--('Данные 2st'!$Q$2:$Q$317=$A66),--ISNUMBER('Данные 2st'!$DH$2:$DH$317))</f>
        <v>1</v>
      </c>
      <c r="KY66">
        <f>SUMPRODUCT(--('Данные 2st'!$Q$2:$Q$317=$A66),--ISNUMBER('Данные 2st'!$DI$2:$DI$317))</f>
        <v>0</v>
      </c>
      <c r="KZ66">
        <f>SUMPRODUCT(--('Данные 2st'!$Q$2:$Q$317=$A66),--ISNUMBER('Данные 2st'!$DK$2:$DK$317))</f>
        <v>1</v>
      </c>
      <c r="LA66">
        <f>SUMPRODUCT(--('Данные 2st'!$Q$2:$Q$317=$A66),--ISNUMBER('Данные 2st'!$DM$2:$DM$317))</f>
        <v>1</v>
      </c>
      <c r="LB66">
        <f>SUMPRODUCT(--('Данные 2st'!$Q$2:$Q$317=$A66),--ISNUMBER('Данные 2st'!$DN$2:$DN$317))</f>
        <v>1</v>
      </c>
      <c r="LC66">
        <f>SUMPRODUCT(--('Данные 2st'!$Q$2:$Q$317=$A66),--ISNUMBER('Данные 2st'!$DO$2:$DO$317))</f>
        <v>1</v>
      </c>
      <c r="LD66">
        <f>SUMPRODUCT(--('Данные 2st'!$Q$2:$Q$317=$A66),--ISNUMBER('Данные 2st'!$DP$2:$DP$317))</f>
        <v>1</v>
      </c>
      <c r="LE66">
        <f>SUMPRODUCT(--('Данные 2st'!$Q$2:$Q$317=$A66),--ISNUMBER('Данные 2st'!$DQ$2:$DQ$317))</f>
        <v>1</v>
      </c>
      <c r="LF66">
        <f>SUMPRODUCT(--('Данные 2st'!$Q$2:$Q$317=$A66),--ISNUMBER('Данные 2st'!$DS$2:$DS$317))</f>
        <v>1</v>
      </c>
      <c r="LG66">
        <f>SUMPRODUCT(--('Данные 2st'!$Q$2:$Q$317=$A66),--ISNUMBER('Данные 2st'!$DU$2:$DU$317))</f>
        <v>1</v>
      </c>
      <c r="LH66">
        <f>SUMPRODUCT(--('Данные 2st'!$Q$2:$Q$317=$A66),--ISNUMBER('Данные 2st'!$DV$2:$DV$317))</f>
        <v>1</v>
      </c>
      <c r="LI66">
        <f>SUMPRODUCT(--('Данные 2st'!$Q$2:$Q$317=$A66),--ISNUMBER('Данные 2st'!$DW$2:$DW$317))</f>
        <v>1</v>
      </c>
      <c r="LJ66">
        <f>SUMPRODUCT(--('Данные 2st'!$Q$2:$Q$317=$A66),--ISNUMBER('Данные 2st'!$DX$2:$DX$317))</f>
        <v>1</v>
      </c>
      <c r="LK66">
        <f>SUMPRODUCT(--('Данные 2st'!$Q$2:$Q$317=$A66),--ISNUMBER('Данные 2st'!$DY$2:$DY$317))</f>
        <v>1</v>
      </c>
      <c r="LL66">
        <f>SUMPRODUCT(--('Данные 2st'!$Q$2:$Q$317=$A66),--ISNUMBER('Данные 2st'!$EA$2:$EA$317))</f>
        <v>1</v>
      </c>
      <c r="LM66">
        <f>SUMPRODUCT(--('Данные 2st'!$Q$2:$Q$317=$A66),--ISNUMBER('Данные 2st'!$EC$2:$EC$317))</f>
        <v>1</v>
      </c>
      <c r="LN66">
        <f>SUMPRODUCT(--('Данные 2st'!$Q$2:$Q$317=$A66),--ISNUMBER('Данные 2st'!$ED$2:$ED$317))</f>
        <v>1</v>
      </c>
      <c r="LO66">
        <f>SUMPRODUCT(--('Данные 2st'!$Q$2:$Q$317=$A66),--ISNUMBER('Данные 2st'!$EE$2:$EE$317))</f>
        <v>1</v>
      </c>
      <c r="LP66">
        <f>SUMPRODUCT(--('Данные 2st'!$Q$2:$Q$317=$A66),--ISNUMBER('Данные 2st'!$EG$2:$EG$317))</f>
        <v>1</v>
      </c>
      <c r="LQ66">
        <f>SUMPRODUCT(--('Данные 2st'!$Q$2:$Q$317=$A66),--ISNUMBER('Данные 2st'!$EI$2:$EI$317))</f>
        <v>1</v>
      </c>
      <c r="LR66">
        <f>SUMPRODUCT(--('Данные 2st'!$Q$2:$Q$317=$A66),--ISNUMBER('Данные 2st'!$EJ$2:$EJ$317))</f>
        <v>0</v>
      </c>
      <c r="LS66">
        <f>SUMPRODUCT(--('Данные 2st'!$Q$2:$Q$317=$A66),--ISNUMBER('Данные 2st'!$EK$2:$EK$317))</f>
        <v>0</v>
      </c>
      <c r="LT66">
        <f>SUMPRODUCT(--('Данные 2st'!$Q$2:$Q$317=$A66),--ISNUMBER('Данные 2st'!$EM$2:$EM$317))</f>
        <v>1</v>
      </c>
      <c r="LU66">
        <f>SUMPRODUCT(--('Данные 2st'!$Q$2:$Q$317=$A66),--ISNUMBER('Данные 2st'!$EN$2:$EN$317))</f>
        <v>1</v>
      </c>
      <c r="LV66">
        <f>SUMPRODUCT(--('Данные 2st'!$Q$2:$Q$317=$A66),--ISNUMBER('Данные 2st'!$EO$2:$EO$317))</f>
        <v>1</v>
      </c>
      <c r="LW66">
        <f>SUMPRODUCT(--('Данные 2st'!$Q$2:$Q$317=$A66),--ISNUMBER('Данные 2st'!$EP$2:$EP$317))</f>
        <v>1</v>
      </c>
      <c r="LX66">
        <f>SUMPRODUCT(--('Данные 2st'!$Q$2:$Q$317=$A66),--ISNUMBER('Данные 2st'!$EQ$2:$EQ$317))</f>
        <v>1</v>
      </c>
      <c r="LY66">
        <f>SUMPRODUCT(--('Данные 2st'!$Q$2:$Q$317=$A66),--ISNUMBER('Данные 2st'!$ER$2:$ER$317))</f>
        <v>1</v>
      </c>
      <c r="LZ66">
        <f>SUMPRODUCT(--('Данные 2st'!$Q$2:$Q$317=$A66),--ISNUMBER('Данные 2st'!$ES$2:$ES$317))</f>
        <v>1</v>
      </c>
      <c r="MA66">
        <f>SUMPRODUCT(--('Данные 2st'!$Q$2:$Q$317=$A66),--ISNUMBER('Данные 2st'!$ET$2:$ET$317))</f>
        <v>1</v>
      </c>
      <c r="MB66">
        <f>SUMPRODUCT(--('Данные 2st'!$Q$2:$Q$317=$A66),--ISNUMBER('Данные 2st'!$EU$2:$EU$317))</f>
        <v>1</v>
      </c>
      <c r="MC66">
        <f>SUMPRODUCT(--('Данные 2st'!$Q$2:$Q$317=$A66),--ISNUMBER('Данные 2st'!$EV$2:$EV$317))</f>
        <v>1</v>
      </c>
      <c r="MD66">
        <f>SUMPRODUCT(--('Данные 2st'!$Q$2:$Q$317=$A66),--ISNUMBER('Данные 2st'!$EW$2:$EW$317))</f>
        <v>1</v>
      </c>
      <c r="ME66">
        <f>SUMPRODUCT(--('Данные 2st'!$Q$2:$Q$317=$A66),--ISNUMBER('Данные 2st'!$EY$2:$EY$317))</f>
        <v>1</v>
      </c>
      <c r="MF66">
        <f>SUMPRODUCT(--('Данные 2st'!$Q$2:$Q$317=$A66),--ISNUMBER('Данные 2st'!$FA$2:$FA$317))</f>
        <v>1</v>
      </c>
      <c r="MG66">
        <f>SUMPRODUCT(--('Данные 2st'!$Q$2:$Q$317=$A66),--ISNUMBER('Данные 2st'!$FB$2:$FB$317))</f>
        <v>1</v>
      </c>
      <c r="MH66">
        <f>SUMPRODUCT(--('Данные 2st'!$Q$2:$Q$317=$A66),--ISNUMBER('Данные 2st'!$FC$2:$FC$317))</f>
        <v>1</v>
      </c>
      <c r="MI66">
        <f>SUMPRODUCT(--('Данные 2st'!$Q$2:$Q$317=$A66),--ISNUMBER('Данные 2st'!$FD$2:$FD$317))</f>
        <v>1</v>
      </c>
      <c r="MJ66">
        <f>SUMPRODUCT(--('Данные 2st'!$Q$2:$Q$317=$A66),--ISNUMBER('Данные 2st'!$FE$2:$FE$317))</f>
        <v>1</v>
      </c>
      <c r="MK66">
        <f>SUMPRODUCT(--('Данные 2st'!$Q$2:$Q$317=$A66),--ISNUMBER('Данные 2st'!$FG$2:$FG$317))</f>
        <v>1</v>
      </c>
      <c r="ML66">
        <f>SUMPRODUCT(--('Данные 2st'!$Q$2:$Q$317=$A66),--ISNUMBER('Данные 2st'!$FI$2:$FI$317))</f>
        <v>1</v>
      </c>
      <c r="MM66">
        <f>SUMPRODUCT(--('Данные 2st'!$Q$2:$Q$317=$A66),--ISNUMBER('Данные 2st'!$FJ$2:$FJ$317))</f>
        <v>1</v>
      </c>
      <c r="MN66">
        <f>SUMPRODUCT(--('Данные 2st'!$Q$2:$Q$317=$A66),--ISNUMBER('Данные 2st'!$FK$2:$FK$317))</f>
        <v>1</v>
      </c>
      <c r="MO66">
        <f>SUMPRODUCT(--('Данные 2st'!$Q$2:$Q$317=$A66),--ISNUMBER('Данные 2st'!$FP$2:$FP$317))</f>
        <v>1</v>
      </c>
      <c r="MP66">
        <f>SUMPRODUCT(--('Данные 2st'!$Q$2:$Q$317=$A66),--ISNUMBER('Данные 2st'!$FQ$2:$FQ$317))</f>
        <v>1</v>
      </c>
      <c r="MQ66">
        <f>SUMPRODUCT(--('Данные 2st'!$Q$2:$Q$317=$A66),--ISNUMBER('Данные 2st'!$FS$2:$FS$317))</f>
        <v>1</v>
      </c>
      <c r="MR66">
        <f>SUMPRODUCT(--('Данные 2st'!$Q$2:$Q$317=$A66),--ISNUMBER('Данные 2st'!$FU$2:$FU$317))</f>
        <v>1</v>
      </c>
      <c r="MS66">
        <f>SUMPRODUCT(--('Данные 2st'!$Q$2:$Q$317=$A66),--ISNUMBER('Данные 2st'!$FV$2:$FV$317))</f>
        <v>1</v>
      </c>
      <c r="MT66">
        <f>SUMPRODUCT(--('Данные 2st'!$Q$2:$Q$317=$A66),--ISNUMBER('Данные 2st'!$FW$2:$FW$317))</f>
        <v>1</v>
      </c>
      <c r="MU66">
        <f>SUMPRODUCT(--('Данные 2st'!$Q$2:$Q$317=$A66),--ISNUMBER('Данные 2st'!$FY$2:$FY$317))</f>
        <v>0</v>
      </c>
      <c r="MV66">
        <f>SUMPRODUCT(--('Данные 2st'!$Q$2:$Q$317=$A66),--ISNUMBER('Данные 2st'!$GB$2:$GB$317))</f>
        <v>0</v>
      </c>
      <c r="MW66">
        <f>SUMPRODUCT(--('Данные 2st'!$Q$2:$Q$317=$A66),--ISNUMBER('Данные 2st'!$GC$2:$GC$317))</f>
        <v>0</v>
      </c>
      <c r="MX66">
        <f>SUMPRODUCT(--('Данные 2st'!$Q$2:$Q$317=$A66),--ISNUMBER('Данные 2st'!$GD$2:$GD$317))</f>
        <v>1</v>
      </c>
      <c r="MY66">
        <f>SUMPRODUCT(--('Данные 2st'!$Q$2:$Q$317=$A66),--ISNUMBER('Данные 2st'!$GN$2:$GN$317))</f>
        <v>0</v>
      </c>
      <c r="MZ66">
        <f>SUMPRODUCT(--('Данные 2st'!$Q$2:$Q$317=$A66),--ISNUMBER('Данные 2st'!$GQ$2:$GQ$317))</f>
        <v>1</v>
      </c>
      <c r="NA66">
        <f>SUMPRODUCT(--('Данные 2st'!$Q$2:$Q$317=$A66),--ISNUMBER('Данные 2st'!$GV$2:$GV$317))</f>
        <v>1</v>
      </c>
      <c r="NB66">
        <f>SUMPRODUCT(--('Данные 2st'!$Q$2:$Q$317=$A66),--ISNUMBER('Данные 2st'!$GW$2:$GW$317))</f>
        <v>1</v>
      </c>
      <c r="NC66">
        <f>SUMPRODUCT(--('Данные 2st'!$Q$2:$Q$317=$A66),--ISNUMBER('Данные 2st'!$GX$2:$GX$317))</f>
        <v>1</v>
      </c>
      <c r="ND66">
        <f>SUMPRODUCT(--('Данные 2st'!$Q$2:$Q$317=$A66),--ISNUMBER('Данные 2st'!$GY$2:$GY$317))</f>
        <v>1</v>
      </c>
      <c r="NE66">
        <f>SUMPRODUCT(--('Данные 2st'!$Q$2:$Q$317=$A66),--ISNUMBER('Данные 2st'!$GZ$2:$GZ$317))</f>
        <v>1</v>
      </c>
      <c r="NF66">
        <f>SUMPRODUCT(--('Данные 2st'!$Q$2:$Q$317=$A66),--ISNUMBER('Данные 2st'!$HA$2:$HA$317))</f>
        <v>1</v>
      </c>
      <c r="NG66">
        <f>SUMPRODUCT(--('Данные 2st'!$Q$2:$Q$317=$A66),--ISNUMBER('Данные 2st'!$HB$2:$HB$317))</f>
        <v>1</v>
      </c>
      <c r="NH66">
        <f>SUMPRODUCT(--('Данные 2st'!$Q$2:$Q$317=$A66),--ISNUMBER('Данные 2st'!$HC$2:$HC$317))</f>
        <v>1</v>
      </c>
      <c r="NI66">
        <f>SUMPRODUCT(--('Данные 2st'!$Q$2:$Q$317=$A66),--ISNUMBER('Данные 2st'!$HD$2:$HD$317))</f>
        <v>1</v>
      </c>
      <c r="NJ66">
        <f>SUMPRODUCT(--('Данные 2st'!$Q$2:$Q$317=$A66),--ISNUMBER('Данные 2st'!$HM$2:$HM$317))</f>
        <v>1</v>
      </c>
      <c r="NK66">
        <f>SUMPRODUCT(--('Данные 2st'!$Q$2:$Q$317=$A66),--ISNUMBER('Данные 2st'!$HR$2:$HR$317))</f>
        <v>1</v>
      </c>
      <c r="NL66">
        <f>SUMPRODUCT(--('Данные 2st'!$Q$2:$Q$317=$A66),--ISNUMBER('Данные 2st'!$HS$2:$HS$317))</f>
        <v>1</v>
      </c>
      <c r="NM66">
        <f>SUMPRODUCT(--('Данные 2st'!$Q$2:$Q$317=$A66),--ISNUMBER('Данные 2st'!$HT$2:$HT$317))</f>
        <v>1</v>
      </c>
      <c r="NN66">
        <f>SUMPRODUCT(--('Данные 2st'!$Q$2:$Q$317=$A66),--ISNUMBER('Данные 2st'!$HY$2:$HY$317))</f>
        <v>1</v>
      </c>
      <c r="NO66">
        <f>SUMPRODUCT(--('Данные 2st'!$Q$2:$Q$317=$A66),--ISNUMBER('Данные 2st'!$HZ$2:$HZ$317))</f>
        <v>1</v>
      </c>
      <c r="NP66">
        <f>SUMPRODUCT(--('Данные 2st'!$Q$2:$Q$317=$A66),--ISNUMBER('Данные 2st'!$IA$2:$IA$317))</f>
        <v>1</v>
      </c>
      <c r="NQ66">
        <f>SUMPRODUCT(--('Данные 2st'!$Q$2:$Q$317=$A66),--ISNUMBER('Данные 2st'!$IB$2:$IB$317))</f>
        <v>1</v>
      </c>
      <c r="NR66">
        <f>SUMPRODUCT(--('Данные 2st'!$Q$2:$Q$317=$A66),--ISNUMBER('Данные 2st'!$IC$2:$IC$317))</f>
        <v>0</v>
      </c>
      <c r="NS66">
        <f>SUMPRODUCT(--('Данные 2st'!$Q$2:$Q$317=$A66),--ISNUMBER('Данные 2st'!$ID$2:$ID$317))</f>
        <v>1</v>
      </c>
      <c r="NT66">
        <f>SUMPRODUCT(--('Данные 2st'!$Q$2:$Q$317=$A66),--ISNUMBER('Данные 2st'!$IE$2:$IE$317))</f>
        <v>1</v>
      </c>
      <c r="NU66">
        <f>SUMPRODUCT(--('Данные 2st'!$Q$2:$Q$317=$A66),--ISNUMBER('Данные 2st'!$IF$2:$IF$317))</f>
        <v>1</v>
      </c>
      <c r="NV66">
        <f>SUMPRODUCT(--('Данные 2st'!$Q$2:$Q$317=$A66),--ISNUMBER('Данные 2st'!$IG$2:$IG$317))</f>
        <v>1</v>
      </c>
      <c r="NW66">
        <f>SUMPRODUCT(--('Данные 2st'!$Q$2:$Q$317=$A66),--ISNUMBER('Данные 2st'!$IH$2:$IH$317))</f>
        <v>1</v>
      </c>
      <c r="NX66">
        <f>SUMPRODUCT(--('Данные 2st'!$Q$2:$Q$317=$A66),--ISNUMBER('Данные 2st'!$IJ$2:$IJ$317))</f>
        <v>1</v>
      </c>
      <c r="NY66">
        <f>SUMPRODUCT(--('Данные 2st'!$Q$2:$Q$317=$A66),--ISNUMBER('Данные 2st'!$IM$2:$IM$317))</f>
        <v>1</v>
      </c>
      <c r="NZ66">
        <f>SUMPRODUCT(--('Данные 2st'!$Q$2:$Q$317=$A66),--ISNUMBER('Данные 2st'!$IN$2:$IN$317))</f>
        <v>1</v>
      </c>
      <c r="OA66">
        <f>SUMPRODUCT(--('Данные 2st'!$Q$2:$Q$317=$A66),--ISNUMBER('Данные 2st'!$IO$2:$IO$317))</f>
        <v>1</v>
      </c>
      <c r="OB66">
        <f>SUMPRODUCT(--('Данные 2st'!$Q$2:$Q$317=$A66),--ISNUMBER('Данные 2st'!$IP$2:$IP$317))</f>
        <v>1</v>
      </c>
      <c r="OC66">
        <f>SUMPRODUCT(--('Данные 2st'!$Q$2:$Q$317=$A66),--ISNUMBER('Данные 2st'!$IQ$2:$IQ$317))</f>
        <v>1</v>
      </c>
      <c r="OD66">
        <f>SUMPRODUCT(--('Данные 2st'!$Q$2:$Q$317=$A66),--ISNUMBER('Данные 2st'!$IR$2:$IR$317))</f>
        <v>1</v>
      </c>
      <c r="OE66">
        <f>SUMPRODUCT(--('Данные 2st'!$Q$2:$Q$317=$A66),--ISNUMBER('Данные 2st'!$IT$2:$IT$317))</f>
        <v>1</v>
      </c>
      <c r="OF66">
        <f>SUMPRODUCT(--('Данные 2st'!$Q$2:$Q$317=$A66),--ISNUMBER('Данные 2st'!$IU$2:$IU$317))</f>
        <v>1</v>
      </c>
      <c r="OG66">
        <f>SUMPRODUCT(--('Данные 2st'!$Q$2:$Q$317=$A66),--ISNUMBER('Данные 2st'!$IV$2:$IV$317))</f>
        <v>1</v>
      </c>
      <c r="OH66">
        <f>SUMPRODUCT(--('Данные 2st'!$Q$2:$Q$317=$A66),--ISNUMBER('Данные 2st'!$IW$2:$IW$317))</f>
        <v>1</v>
      </c>
      <c r="OI66">
        <f>SUMPRODUCT(--('Данные 2st'!$Q$2:$Q$317=$A66),--ISNUMBER('Данные 2st'!$IX$2:$IX$317))</f>
        <v>1</v>
      </c>
      <c r="OJ66">
        <f>SUMPRODUCT(--('Данные 2st'!$Q$2:$Q$317=$A66),--ISNUMBER('Данные 2st'!$IY$2:$IY$317))</f>
        <v>1</v>
      </c>
      <c r="OK66">
        <f>SUMPRODUCT(--('Данные 2st'!$Q$2:$Q$317=$A66),--ISNUMBER('Данные 2st'!$IZ$2:$IZ$317))</f>
        <v>1</v>
      </c>
      <c r="OL66">
        <f>SUMPRODUCT(--('Данные 2st'!$Q$2:$Q$317=$A66),--ISNUMBER('Данные 2st'!$JA$2:$JA$317))</f>
        <v>1</v>
      </c>
      <c r="OM66">
        <f>SUMPRODUCT(--('Данные 2st'!$Q$2:$Q$317=$A66),--ISNUMBER('Данные 2st'!$JB$2:$JB$317))</f>
        <v>1</v>
      </c>
      <c r="ON66">
        <f>SUMPRODUCT(--('Данные 2st'!$Q$2:$Q$317=$A66),--ISNUMBER('Данные 2st'!$JC$2:$JC$317))</f>
        <v>1</v>
      </c>
      <c r="OO66">
        <f>SUMPRODUCT(--('Данные 2st'!$Q$2:$Q$317=$A66),--ISNUMBER('Данные 2st'!$JD$2:$JD$317))</f>
        <v>1</v>
      </c>
      <c r="OP66">
        <f>SUMPRODUCT(--('Данные 2st'!$Q$2:$Q$317=$A66),--ISNUMBER('Данные 2st'!$JE$2:$JE$317))</f>
        <v>1</v>
      </c>
      <c r="OQ66">
        <f>SUMPRODUCT(--('Данные 2st'!$Q$2:$Q$317=$A66),--ISNUMBER('Данные 2st'!$JF$2:$JF$317))</f>
        <v>1</v>
      </c>
      <c r="OR66">
        <f>SUMPRODUCT(--('Данные 2st'!$Q$2:$Q$317=$A66),--ISNUMBER('Данные 2st'!$JG$2:$JG$317))</f>
        <v>1</v>
      </c>
      <c r="OS66">
        <f>SUMPRODUCT(--('Данные 2st'!$Q$2:$Q$317=$A66),--ISNUMBER('Данные 2st'!$JH$2:$JH$317))</f>
        <v>1</v>
      </c>
      <c r="OT66">
        <f>SUMPRODUCT(--('Данные 2st'!$Q$2:$Q$317=$A66),--ISNUMBER('Данные 2st'!$JI$2:$JI$317))</f>
        <v>1</v>
      </c>
      <c r="OU66">
        <f>SUMPRODUCT(--('Данные 2st'!$Q$2:$Q$317=$A66),--ISNUMBER('Данные 2st'!$JJ$2:$JJ$317))</f>
        <v>1</v>
      </c>
      <c r="OV66">
        <f>SUMPRODUCT(--('Данные 2st'!$Q$2:$Q$317=$A66),--ISNUMBER('Данные 2st'!$JK$2:$JK$317))</f>
        <v>1</v>
      </c>
      <c r="OW66">
        <f>SUMPRODUCT(--('Данные 2st'!$Q$2:$Q$317=$A66),--ISNUMBER('Данные 2st'!$JL$2:$JL$317))</f>
        <v>1</v>
      </c>
      <c r="OX66">
        <f>SUMPRODUCT(--('Данные 2st'!$Q$2:$Q$317=$A66),--ISNUMBER('Данные 2st'!$JM$2:$JM$317))</f>
        <v>1</v>
      </c>
      <c r="OY66">
        <f>SUMPRODUCT(--('Данные 2st'!$Q$2:$Q$317=$A66),--ISNUMBER('Данные 2st'!$JP$2:$JP$317))</f>
        <v>1</v>
      </c>
      <c r="OZ66">
        <f>SUMPRODUCT(--('Данные 2st'!$Q$2:$Q$317=$A66),--ISNUMBER('Данные 2st'!$JQ$2:$JQ$317))</f>
        <v>1</v>
      </c>
      <c r="PA66">
        <f>SUMPRODUCT(--('Данные 2st'!$Q$2:$Q$317=$A66),--ISNUMBER('Данные 2st'!$JR$2:$JR$317))</f>
        <v>1</v>
      </c>
      <c r="PB66">
        <f>SUMPRODUCT(--('Данные 2st'!$Q$2:$Q$317=$A66),--ISNUMBER('Данные 2st'!$JS$2:$JS$317))</f>
        <v>1</v>
      </c>
      <c r="PC66">
        <f>SUMPRODUCT(--('Данные 2st'!$Q$2:$Q$317=$A66),--ISNUMBER('Данные 2st'!$JT$2:$JT$317))</f>
        <v>1</v>
      </c>
      <c r="PD66">
        <f>SUMPRODUCT(--('Данные 2st'!$Q$2:$Q$317=$A66),--ISNUMBER('Данные 2st'!$JU$2:$JU$317))</f>
        <v>1</v>
      </c>
      <c r="PE66">
        <f>SUMPRODUCT(--('Данные 2st'!$Q$2:$Q$317=$A66),--ISNUMBER('Данные 2st'!$JV$2:$JV$317))</f>
        <v>1</v>
      </c>
      <c r="PF66">
        <f>SUMPRODUCT(--('Данные 2st'!$Q$2:$Q$317=$A66),--ISNUMBER('Данные 2st'!$JW$2:$JW$317))</f>
        <v>1</v>
      </c>
      <c r="PG66">
        <f>SUMPRODUCT(--('Данные 2st'!$Q$2:$Q$317=$A66),--ISNUMBER('Данные 2st'!$KF$2:$KF$317))</f>
        <v>1</v>
      </c>
      <c r="PH66">
        <f>SUMPRODUCT(--('Данные 2st'!$Q$2:$Q$317=$A66),--ISNUMBER('Данные 2st'!$KG$2:$KG$317))</f>
        <v>1</v>
      </c>
      <c r="PI66">
        <f>SUMPRODUCT(--('Данные 2st'!$Q$2:$Q$317=$A66),--ISNUMBER('Данные 2st'!$KM$2:$KM$317))</f>
        <v>1</v>
      </c>
      <c r="PJ66">
        <f>SUMPRODUCT(--('Данные 2st'!$Q$2:$Q$317=$A66),--ISNUMBER('Данные 2st'!$KN$2:$KN$317))</f>
        <v>1</v>
      </c>
      <c r="PK66">
        <f>SUMPRODUCT(--('Данные 2st'!$Q$2:$Q$317=$A66),--ISNUMBER('Данные 2st'!$KO$2:$KO$317))</f>
        <v>1</v>
      </c>
      <c r="PL66">
        <f>SUMPRODUCT(--('Данные 2st'!$Q$2:$Q$317=$A66),--ISNUMBER('Данные 2st'!$KP$2:$KP$317))</f>
        <v>1</v>
      </c>
      <c r="PM66">
        <f>SUMPRODUCT(--('Данные 2st'!$Q$2:$Q$317=$A66),--ISNUMBER('Данные 2st'!$KQ$2:$KQ$317))</f>
        <v>1</v>
      </c>
      <c r="PN66">
        <f>SUMPRODUCT(--('Данные 2st'!$Q$2:$Q$317=$A66),--ISNUMBER('Данные 2st'!$KR$2:$KR$317))</f>
        <v>1</v>
      </c>
      <c r="PO66">
        <f>SUMPRODUCT(--('Данные 2st'!$Q$2:$Q$317=$A66),--ISNUMBER('Данные 2st'!$KS$2:$KS$317))</f>
        <v>1</v>
      </c>
      <c r="PP66">
        <f>SUMPRODUCT(--('Данные 2st'!$Q$2:$Q$317=$A66),--ISNUMBER('Данные 2st'!$KT$2:$KT$317))</f>
        <v>1</v>
      </c>
      <c r="PQ66">
        <f>SUMPRODUCT(--('Данные 2st'!$Q$2:$Q$317=$A66),--ISNUMBER('Данные 2st'!$KU$2:$KU$317))</f>
        <v>1</v>
      </c>
      <c r="PR66">
        <f>SUMPRODUCT(--('Данные 2st'!$Q$2:$Q$317=$A66),--ISNUMBER('Данные 2st'!$KV$2:$KV$317))</f>
        <v>1</v>
      </c>
      <c r="PS66">
        <f>SUMPRODUCT(--('Данные 2st'!$Q$2:$Q$317=$A66),--ISNUMBER('Данные 2st'!$KW$2:$KW$317))</f>
        <v>1</v>
      </c>
      <c r="PT66">
        <f>SUMPRODUCT(--('Данные 2st'!$Q$2:$Q$317=$A66),--ISNUMBER('Данные 2st'!$KX$2:$KX$317))</f>
        <v>1</v>
      </c>
      <c r="PU66">
        <f>SUMPRODUCT(--('Данные 2st'!$Q$2:$Q$317=$A66),--ISNUMBER('Данные 2st'!$KY$2:$KY$317))</f>
        <v>1</v>
      </c>
      <c r="PV66">
        <f>SUMPRODUCT(--('Данные 2st'!$Q$2:$Q$317=$A66),--ISNUMBER('Данные 2st'!$KZ$2:$KZ$317))</f>
        <v>1</v>
      </c>
      <c r="PW66">
        <f>SUMPRODUCT(--('Данные 2st'!$Q$2:$Q$317=$A66),--ISNUMBER('Данные 2st'!$LA$2:$LA$317))</f>
        <v>1</v>
      </c>
      <c r="PX66">
        <f>SUMPRODUCT(--('Данные 2st'!$Q$2:$Q$317=$A66),--ISNUMBER('Данные 2st'!$LB$2:$LB$317))</f>
        <v>1</v>
      </c>
      <c r="PY66">
        <f>SUMPRODUCT(--('Данные 2st'!$Q$2:$Q$317=$A66),--ISNUMBER('Данные 2st'!$LC$2:$LC$317))</f>
        <v>1</v>
      </c>
      <c r="PZ66">
        <f>SUMPRODUCT(--('Данные 2st'!$Q$2:$Q$317=$A66),--ISNUMBER('Данные 2st'!$LD$2:$LD$317))</f>
        <v>1</v>
      </c>
      <c r="QA66">
        <f>SUMPRODUCT(--('Данные 2st'!$Q$2:$Q$317=$A66),--ISNUMBER('Данные 2st'!$LE$2:$LE$317))</f>
        <v>1</v>
      </c>
      <c r="QB66">
        <f>SUMPRODUCT(--('Данные 2st'!$Q$2:$Q$317=$A66),--ISNUMBER('Данные 2st'!$LF$2:$LF$317))</f>
        <v>1</v>
      </c>
      <c r="QC66">
        <f>SUMPRODUCT(--('Данные 2st'!$Q$2:$Q$317=$A66),--ISNUMBER('Данные 2st'!$LG$2:$LG$317))</f>
        <v>1</v>
      </c>
      <c r="QD66">
        <f>SUMPRODUCT(--('Данные 2st'!$Q$2:$Q$317=$A66),--ISNUMBER('Данные 2st'!$LH$2:$LH$317))</f>
        <v>1</v>
      </c>
      <c r="QE66">
        <f>SUMPRODUCT(--('Данные 2st'!$Q$2:$Q$317=$A66),--ISNUMBER('Данные 2st'!$LJ$2:$LJ$317))</f>
        <v>1</v>
      </c>
      <c r="QF66">
        <f>SUMPRODUCT(--('Данные 2st'!$Q$2:$Q$317=$A66),--ISNUMBER('Данные 2st'!$LK$2:$LK$317))</f>
        <v>1</v>
      </c>
      <c r="QG66">
        <f>SUMPRODUCT(--('Данные 2st'!$Q$2:$Q$317=$A66),--ISNUMBER('Данные 2st'!$LL$2:$LL$317))</f>
        <v>1</v>
      </c>
      <c r="QH66">
        <f>SUMPRODUCT(--('Данные 2st'!$Q$2:$Q$317=$A66),--ISNUMBER('Данные 2st'!$LM$2:$LM$317))</f>
        <v>1</v>
      </c>
      <c r="QI66">
        <f>SUMPRODUCT(--('Данные 2st'!$Q$2:$Q$317=$A66),--ISNUMBER('Данные 2st'!$LN$2:$LN$317))</f>
        <v>1</v>
      </c>
      <c r="QJ66">
        <f>SUMPRODUCT(--('Данные 2st'!$Q$2:$Q$317=$A66),--ISNUMBER('Данные 2st'!$LO$2:$LO$317))</f>
        <v>1</v>
      </c>
      <c r="QK66">
        <f>SUMPRODUCT(--('Данные 2st'!$Q$2:$Q$317=$A66),--ISNUMBER('Данные 2st'!$LP$2:$LP$317))</f>
        <v>1</v>
      </c>
      <c r="QL66">
        <f>SUMPRODUCT(--('Данные 2st'!$Q$2:$Q$317=$A66),--ISNUMBER('Данные 2st'!$LQ$2:$LQ$317))</f>
        <v>1</v>
      </c>
      <c r="QM66">
        <f>SUMPRODUCT(--('Данные 2st'!$Q$2:$Q$317=$A66),--ISNUMBER('Данные 2st'!$LW$2:$LW$317))</f>
        <v>1</v>
      </c>
      <c r="QN66">
        <f>SUMPRODUCT(--('Данные 2st'!$Q$2:$Q$317=$A66),--ISNUMBER('Данные 2st'!$LX$2:$LX$317))</f>
        <v>1</v>
      </c>
      <c r="QO66">
        <f>SUMPRODUCT(--('Данные 2st'!$Q$2:$Q$317=$A66),--ISNUMBER('Данные 2st'!$LY$2:$LY$317))</f>
        <v>1</v>
      </c>
      <c r="QP66">
        <f>SUMPRODUCT(--('Данные 2st'!$Q$2:$Q$317=$A66),--ISNUMBER('Данные 2st'!$LZ$2:$LZ$317))</f>
        <v>1</v>
      </c>
      <c r="QQ66">
        <f>SUMPRODUCT(--('Данные 2st'!$Q$2:$Q$317=$A66),--ISNUMBER('Данные 2st'!$MB$2:$MB$317))</f>
        <v>1</v>
      </c>
      <c r="QR66">
        <f>SUMPRODUCT(--('Данные 2st'!$Q$2:$Q$317=$A66),--ISNUMBER('Данные 2st'!$MG$2:$MG$317))</f>
        <v>1</v>
      </c>
      <c r="QS66">
        <f>SUMPRODUCT(--('Данные 2st'!$Q$2:$Q$317=$A66),--ISNUMBER('Данные 2st'!$MH$2:$MH$317))</f>
        <v>1</v>
      </c>
      <c r="QT66">
        <f>SUMPRODUCT(--('Данные 2st'!$Q$2:$Q$317=$A66),--ISNUMBER('Данные 2st'!$MI$2:$MI$317))</f>
        <v>1</v>
      </c>
      <c r="QU66">
        <f>SUMPRODUCT(--('Данные 2st'!$Q$2:$Q$317=$A66),--ISNUMBER('Данные 2st'!$MJ$2:$MJ$317))</f>
        <v>1</v>
      </c>
      <c r="QV66">
        <f>SUMPRODUCT(--('Данные 2st'!$Q$2:$Q$317=$A66),--ISNUMBER('Данные 2st'!$MK$2:$MK$317))</f>
        <v>1</v>
      </c>
      <c r="QW66">
        <f>SUMPRODUCT(--('Данные 2st'!$Q$2:$Q$317=$A66),--ISNUMBER('Данные 2st'!$MM$2:$MM$317))</f>
        <v>1</v>
      </c>
      <c r="QX66">
        <f>SUMPRODUCT(--('Данные 2st'!$Q$2:$Q$317=$A66),--ISNUMBER('Данные 2st'!$MQ$2:$MQ$317))</f>
        <v>0</v>
      </c>
      <c r="QY66">
        <f>SUMPRODUCT(--('Данные 2st'!$Q$2:$Q$317=$A66),--ISNUMBER('Данные 2st'!$MR$2:$MR$317))</f>
        <v>0</v>
      </c>
      <c r="QZ66">
        <f>SUMPRODUCT(--('Данные 2st'!$Q$2:$Q$317=$A66),--ISNUMBER('Данные 2st'!$MS$2:$MS$317))</f>
        <v>0</v>
      </c>
      <c r="RA66">
        <f>SUMPRODUCT(--('Данные 2st'!$Q$2:$Q$317=$A66),--ISNUMBER('Данные 2st'!$MT$2:$MT$317))</f>
        <v>0</v>
      </c>
      <c r="RB66">
        <f>SUMPRODUCT(--('Данные 2st'!$Q$2:$Q$317=$A66),--ISNUMBER('Данные 2st'!$MU$2:$MU$317))</f>
        <v>0</v>
      </c>
      <c r="RC66">
        <f>SUMPRODUCT(--('Данные 2st'!$Q$2:$Q$317=$A66),--ISNUMBER('Данные 2st'!$MV$2:$MV$317))</f>
        <v>0</v>
      </c>
      <c r="RD66">
        <f>SUMPRODUCT(--('Данные 2st'!$Q$2:$Q$317=$A66),--ISNUMBER('Данные 2st'!$MW$2:$MW$317))</f>
        <v>0</v>
      </c>
      <c r="RE66">
        <f>SUMPRODUCT(--('Данные 2st'!$Q$2:$Q$317=$A66),--ISNUMBER('Данные 2st'!$MX$2:$MX$317))</f>
        <v>0</v>
      </c>
      <c r="RF66">
        <f>SUMPRODUCT(--('Данные 2st'!$Q$2:$Q$317=$A66),--ISNUMBER('Данные 2st'!$MY$2:$MY$317))</f>
        <v>0</v>
      </c>
      <c r="RG66">
        <f>SUMPRODUCT(--('Данные 2st'!$Q$2:$Q$317=$A66),--ISNUMBER('Данные 2st'!$MZ$2:$MZ$317))</f>
        <v>0</v>
      </c>
      <c r="RH66">
        <f>SUMPRODUCT(--('Данные 2st'!$Q$2:$Q$317=$A66),--ISNUMBER('Данные 2st'!$NA$2:$NA$317))</f>
        <v>0</v>
      </c>
      <c r="RI66">
        <f>SUMPRODUCT(--('Данные 2st'!$Q$2:$Q$317=$A66),--ISNUMBER('Данные 2st'!$NB$2:$NB$317))</f>
        <v>0</v>
      </c>
      <c r="RJ66">
        <f>SUMPRODUCT(--('Данные 2st'!$Q$2:$Q$317=$A66),--ISNUMBER('Данные 2st'!$NC$2:$NC$317))</f>
        <v>0</v>
      </c>
      <c r="RK66">
        <f>SUMPRODUCT(--('Данные 2st'!$Q$2:$Q$317=$A66),--ISNUMBER('Данные 2st'!$ND$2:$ND$317))</f>
        <v>0</v>
      </c>
      <c r="RL66">
        <f>SUMPRODUCT(--('Данные 2st'!$Q$2:$Q$317=$A66),--ISNUMBER('Данные 2st'!$NE$2:$NE$317))</f>
        <v>0</v>
      </c>
      <c r="RM66">
        <f>SUMPRODUCT(--('Данные 2st'!$Q$2:$Q$317=$A66),--ISNUMBER('Данные 2st'!$NF$2:$NF$317))</f>
        <v>0</v>
      </c>
      <c r="RN66">
        <f>SUMPRODUCT(--('Данные 2st'!$Q$2:$Q$317=$A66),--ISNUMBER('Данные 2st'!$NG$2:$NG$317))</f>
        <v>0</v>
      </c>
      <c r="RO66">
        <f>SUMPRODUCT(--('Данные 2st'!$Q$2:$Q$317=$A66),--ISNUMBER('Данные 2st'!$NH$2:$NH$317))</f>
        <v>0</v>
      </c>
      <c r="RP66">
        <f>SUMPRODUCT(--('Данные 2st'!$Q$2:$Q$317=$A66),--ISNUMBER('Данные 2st'!$NJ$2:$NJ$317))</f>
        <v>0</v>
      </c>
      <c r="RQ66">
        <f>SUMPRODUCT(--('Данные 2st'!$Q$2:$Q$317=$A66),--ISNUMBER('Данные 2st'!$NK$2:$NK$317))</f>
        <v>0</v>
      </c>
      <c r="RR66">
        <f>SUMPRODUCT(--('Данные 2st'!$Q$2:$Q$317=$A66),--ISNUMBER('Данные 2st'!$NM$2:$NM$317))</f>
        <v>0</v>
      </c>
      <c r="RS66">
        <f>SUMPRODUCT(--('Данные 2st'!$Q$2:$Q$317=$A66),--ISNUMBER('Данные 2st'!$NN$2:$NN$317))</f>
        <v>0</v>
      </c>
      <c r="RT66">
        <f>SUMPRODUCT(--('Данные 2st'!$Q$2:$Q$317=$A66),--ISNUMBER('Данные 2st'!$NO$2:$NO$317))</f>
        <v>0</v>
      </c>
      <c r="RU66">
        <f>SUMPRODUCT(--('Данные 2st'!$Q$2:$Q$317=$A66),--ISNUMBER('Данные 2st'!$NP$2:$NP$317))</f>
        <v>0</v>
      </c>
      <c r="RV66">
        <f>SUMPRODUCT(--('Данные 2st'!$Q$2:$Q$317=$A66),--ISNUMBER('Данные 2st'!$NQ$2:$NQ$317))</f>
        <v>0</v>
      </c>
      <c r="RW66">
        <f>SUMPRODUCT(--('Данные 2st'!$Q$2:$Q$317=$A66),--ISNUMBER('Данные 2st'!$NR$2:$NR$317))</f>
        <v>0</v>
      </c>
      <c r="RX66">
        <f>SUMPRODUCT(--('Данные 2st'!$Q$2:$Q$317=$A66),--ISNUMBER('Данные 2st'!$NS$2:$NS$317))</f>
        <v>0</v>
      </c>
      <c r="RY66">
        <f>SUMPRODUCT(--('Данные 2st'!$Q$2:$Q$317=$A66),--ISNUMBER('Данные 2st'!$NT$2:$NT$317))</f>
        <v>0</v>
      </c>
      <c r="RZ66">
        <f>SUMPRODUCT(--('Данные 2st'!$Q$2:$Q$317=$A66),--ISNUMBER('Данные 2st'!$OK$2:$OK$317))</f>
        <v>1</v>
      </c>
      <c r="SA66">
        <f>SUMPRODUCT(--('Данные 2st'!$Q$2:$Q$317=$A66),--ISNUMBER('Данные 2st'!$OL$2:$OL$317))</f>
        <v>1</v>
      </c>
      <c r="SB66">
        <f>SUMPRODUCT(--('Данные 2st'!$Q$2:$Q$317=$A66),--ISNUMBER('Данные 2st'!$ON$2:$ON$317))</f>
        <v>1</v>
      </c>
      <c r="SC66">
        <f>SUMPRODUCT(--('Данные 2st'!$Q$2:$Q$317=$A66),--ISNUMBER('Данные 2st'!$OO$2:$OO$317))</f>
        <v>1</v>
      </c>
      <c r="SD66">
        <f>SUMPRODUCT(--('Данные 2st'!$Q$2:$Q$317=$A66),--ISNUMBER('Данные 2st'!$OP$2:$OP$317))</f>
        <v>1</v>
      </c>
      <c r="SE66">
        <f>SUMPRODUCT(--('Данные 2st'!$Q$2:$Q$317=$A66),--ISNUMBER('Данные 2st'!$OQ$2:$OQ$317))</f>
        <v>1</v>
      </c>
      <c r="SF66">
        <f>SUMPRODUCT(--('Данные 2st'!$Q$2:$Q$317=$A66),--ISNUMBER('Данные 2st'!$OS$2:$OS$317))</f>
        <v>1</v>
      </c>
      <c r="SG66">
        <f>SUMPRODUCT(--('Данные 2st'!$Q$2:$Q$317=$A66),--ISNUMBER('Данные 2st'!$OT$2:$OT$317))</f>
        <v>1</v>
      </c>
      <c r="SH66">
        <f>SUMPRODUCT(--('Данные 2st'!$Q$2:$Q$317=$A66),--ISNUMBER('Данные 2st'!$OU$2:$OU$317))</f>
        <v>1</v>
      </c>
      <c r="SI66">
        <f>SUMPRODUCT(--('Данные 2st'!$Q$2:$Q$317=$A66),--ISNUMBER('Данные 2st'!$OV$2:$OV$317))</f>
        <v>1</v>
      </c>
      <c r="SJ66">
        <f>SUMPRODUCT(--('Данные 2st'!$Q$2:$Q$317=$A66),--ISNUMBER('Данные 2st'!$OX$2:$OX$317))</f>
        <v>1</v>
      </c>
      <c r="SK66">
        <f>SUMPRODUCT(--('Данные 2st'!$Q$2:$Q$317=$A66),--ISNUMBER('Данные 2st'!$OY$2:$OY$317))</f>
        <v>1</v>
      </c>
      <c r="SL66">
        <f>SUMPRODUCT(--('Данные 2st'!$Q$2:$Q$317=$A66),--ISNUMBER('Данные 2st'!$OZ$2:$OZ$317))</f>
        <v>1</v>
      </c>
      <c r="SM66">
        <f>SUMPRODUCT(--('Данные 2st'!$Q$2:$Q$317=$A66),--ISNUMBER('Данные 2st'!$PA$2:$PA$317))</f>
        <v>1</v>
      </c>
      <c r="SN66">
        <f>SUMPRODUCT(--('Данные 2st'!$Q$2:$Q$317=$A66),--ISNUMBER('Данные 2st'!$PC$2:$PC$317))</f>
        <v>1</v>
      </c>
      <c r="SO66">
        <f>SUMPRODUCT(--('Данные 2st'!$Q$2:$Q$317=$A66),--ISNUMBER('Данные 2st'!$PD$2:$PD$317))</f>
        <v>1</v>
      </c>
      <c r="SP66">
        <f>SUMPRODUCT(--('Данные 2st'!$Q$2:$Q$317=$A66),--ISNUMBER('Данные 2st'!$PF$2:$PF$317))</f>
        <v>1</v>
      </c>
      <c r="SQ66">
        <f>SUMPRODUCT(--('Данные 2st'!$Q$2:$Q$317=$A66),--ISNUMBER('Данные 2st'!$PG$2:$PG$317))</f>
        <v>1</v>
      </c>
      <c r="SR66">
        <f>SUMPRODUCT(--('Данные 2st'!$Q$2:$Q$317=$A66),--ISNUMBER('Данные 2st'!$PH$2:$PH$317))</f>
        <v>1</v>
      </c>
      <c r="SS66">
        <f>SUMPRODUCT(--('Данные 2st'!$Q$2:$Q$317=$A66),--ISNUMBER('Данные 2st'!$PI$2:$PI$317))</f>
        <v>1</v>
      </c>
      <c r="ST66">
        <f>SUMPRODUCT(--('Данные 2st'!$Q$2:$Q$317=$A66),--ISNUMBER('Данные 2st'!$PJ$2:$PJ$317))</f>
        <v>1</v>
      </c>
      <c r="SU66">
        <f>SUMPRODUCT(--('Данные 2st'!$Q$2:$Q$317=$A66),--ISNUMBER('Данные 2st'!$PK$2:$PK$317))</f>
        <v>0</v>
      </c>
      <c r="SV66">
        <f>SUMPRODUCT(--('Данные 2st'!$Q$2:$Q$317=$A66),--ISNUMBER('Данные 2st'!$PL$2:$PL$317))</f>
        <v>1</v>
      </c>
      <c r="SW66">
        <f>SUMPRODUCT(--('Данные 2st'!$Q$2:$Q$317=$A66),--ISNUMBER('Данные 2st'!$PM$2:$PM$317))</f>
        <v>1</v>
      </c>
      <c r="SX66">
        <f>SUMPRODUCT(--('Данные 2st'!$Q$2:$Q$317=$A66),--ISNUMBER('Данные 2st'!$PN$2:$PN$317))</f>
        <v>1</v>
      </c>
      <c r="SY66">
        <f>SUMPRODUCT(--('Данные 2st'!$Q$2:$Q$317=$A66),--ISNUMBER('Данные 2st'!$PO$2:$PO$317))</f>
        <v>0</v>
      </c>
      <c r="SZ66">
        <f>SUMPRODUCT(--('Данные 2st'!$Q$2:$Q$317=$A66),--ISNUMBER('Данные 2st'!$PP$2:$PP$317))</f>
        <v>1</v>
      </c>
      <c r="TA66">
        <f>SUMPRODUCT(--('Данные 2st'!$Q$2:$Q$317=$A66),--ISNUMBER('Данные 2st'!$PQ$2:$PQ$317))</f>
        <v>1</v>
      </c>
      <c r="TB66">
        <f>SUMPRODUCT(--('Данные 2st'!$Q$2:$Q$317=$A66),--ISNUMBER('Данные 2st'!$PR$2:$PR$317))</f>
        <v>1</v>
      </c>
      <c r="TC66">
        <f>SUMPRODUCT(--('Данные 2st'!$Q$2:$Q$317=$A66),--ISNUMBER('Данные 2st'!$PS$2:$PS$317))</f>
        <v>1</v>
      </c>
      <c r="TD66">
        <f>SUMPRODUCT(--('Данные 2st'!$Q$2:$Q$317=$A66),--ISNUMBER('Данные 2st'!$PT$2:$PT$317))</f>
        <v>1</v>
      </c>
      <c r="TE66">
        <f>SUMPRODUCT(--('Данные 2st'!$Q$2:$Q$317=$A66),--ISNUMBER('Данные 2st'!$PU$2:$PU$317))</f>
        <v>1</v>
      </c>
      <c r="TF66">
        <f>SUMPRODUCT(--('Данные 2st'!$Q$2:$Q$317=$A66),--ISNUMBER('Данные 2st'!$PX$2:$PX$317))</f>
        <v>1</v>
      </c>
      <c r="TG66">
        <f>SUMPRODUCT(--('Данные 2st'!$Q$2:$Q$317=$A66),--ISNUMBER('Данные 2st'!$PY$2:$PY$317))</f>
        <v>1</v>
      </c>
      <c r="TH66">
        <f>SUMPRODUCT(--('Данные 2st'!$Q$2:$Q$317=$A66),--ISNUMBER('Данные 2st'!$PZ$2:$PZ$317))</f>
        <v>1</v>
      </c>
      <c r="TI66">
        <f>SUMPRODUCT(--('Данные 2st'!$Q$2:$Q$317=$A66),--ISNUMBER('Данные 2st'!$QA$2:$QA$317))</f>
        <v>1</v>
      </c>
      <c r="TJ66">
        <f>SUMPRODUCT(--('Данные 2st'!$Q$2:$Q$317=$A66),--ISNUMBER('Данные 2st'!$QB$2:$QB$317))</f>
        <v>1</v>
      </c>
      <c r="TK66">
        <f>SUMPRODUCT(--('Данные 2st'!$Q$2:$Q$317=$A66),--ISNUMBER('Данные 2st'!$QC$2:$QC$317))</f>
        <v>1</v>
      </c>
      <c r="TL66">
        <f>SUMPRODUCT(--('Данные 2st'!$Q$2:$Q$317=$A66),--ISNUMBER('Данные 2st'!$QD$2:$QD$317))</f>
        <v>1</v>
      </c>
      <c r="TM66">
        <f>SUMPRODUCT(--('Данные 2st'!$Q$2:$Q$317=$A66),--ISNUMBER('Данные 2st'!$QE$2:$QE$317))</f>
        <v>1</v>
      </c>
      <c r="TN66">
        <f>SUMPRODUCT(--('Данные 2st'!$Q$2:$Q$317=$A66),--ISNUMBER('Данные 2st'!$QF$2:$QF$317))</f>
        <v>1</v>
      </c>
      <c r="TO66">
        <f>SUMPRODUCT(--('Данные 2st'!$Q$2:$Q$317=$A66),--ISNUMBER('Данные 2st'!$QG$2:$QG$317))</f>
        <v>1</v>
      </c>
      <c r="TP66">
        <f>SUMPRODUCT(--('Данные 2st'!$Q$2:$Q$317=$A66),--ISNUMBER('Данные 2st'!$QH$2:$QH$317))</f>
        <v>1</v>
      </c>
      <c r="TQ66">
        <f>SUMPRODUCT(--('Данные 2st'!$Q$2:$Q$317=$A66),--ISNUMBER('Данные 2st'!$QI$2:$QI$317))</f>
        <v>1</v>
      </c>
      <c r="TR66">
        <f>SUMPRODUCT(--('Данные 2st'!$Q$2:$Q$317=$A66),--ISNUMBER('Данные 2st'!$QJ$2:$QJ$317))</f>
        <v>1</v>
      </c>
      <c r="TS66">
        <f>SUMPRODUCT(--('Данные 2st'!$Q$2:$Q$317=$A66),--ISNUMBER('Данные 2st'!$QK$2:$QK$317))</f>
        <v>1</v>
      </c>
      <c r="TT66">
        <f>SUMPRODUCT(--('Данные 2st'!$Q$2:$Q$317=$A66),--ISNUMBER('Данные 2st'!$QL$2:$QL$317))</f>
        <v>1</v>
      </c>
      <c r="TU66">
        <f>SUMPRODUCT(--('Данные 2st'!$Q$2:$Q$317=$A66),--ISNUMBER('Данные 2st'!$QM$2:$QM$317))</f>
        <v>1</v>
      </c>
      <c r="TV66">
        <f>SUMPRODUCT(--('Данные 2st'!$Q$2:$Q$317=$A66),--ISNUMBER('Данные 2st'!$QN$2:$QN$317))</f>
        <v>1</v>
      </c>
      <c r="TW66">
        <f>SUMPRODUCT(--('Данные 2st'!$Q$2:$Q$317=$A66),--ISNUMBER('Данные 2st'!$QQ$2:$QQ$317))</f>
        <v>1</v>
      </c>
      <c r="TX66">
        <f>SUMPRODUCT(--('Данные 2st'!$Q$2:$Q$317=$A66),--ISNUMBER('Данные 2st'!$QS$2:$QS$317))</f>
        <v>1</v>
      </c>
      <c r="TY66">
        <f>SUMPRODUCT(--('Данные 2st'!$Q$2:$Q$317=$A66),--ISNUMBER('Данные 2st'!$QT$2:$QT$317))</f>
        <v>1</v>
      </c>
    </row>
    <row r="67" spans="1:545" ht="32" customHeight="1">
      <c r="A67" s="11" t="str">
        <f>'По размерам'!A67</f>
        <v>255/45R19</v>
      </c>
      <c r="G67">
        <f>SUMPRODUCT(--('Данные 1st'!$S$2:$S$317=$A67),--ISNUMBER('Данные 1st'!$AE$2:$AE$317))</f>
        <v>1</v>
      </c>
      <c r="H67">
        <f>SUMPRODUCT(--('Данные 1st'!$S$2:$S$317=$A67),--ISNUMBER('Данные 1st'!$AF$2:$AF$317))</f>
        <v>1</v>
      </c>
      <c r="I67">
        <f>SUMPRODUCT(--('Данные 1st'!$S$2:$S$317=$A67),--ISNUMBER('Данные 1st'!$AJ$2:$AJ$317))</f>
        <v>1</v>
      </c>
      <c r="J67">
        <f>SUMPRODUCT(--('Данные 1st'!$S$2:$S$317=$A67),--ISNUMBER('Данные 1st'!$AL$2:$AL$317))</f>
        <v>1</v>
      </c>
      <c r="K67">
        <f>SUMPRODUCT(--('Данные 1st'!$S$2:$S$317=$A67),--ISNUMBER('Данные 1st'!$AR$2:$AR$317))</f>
        <v>1</v>
      </c>
      <c r="L67">
        <f>SUMPRODUCT(--('Данные 1st'!$S$2:$S$317=$A67),--ISNUMBER('Данные 1st'!$AS$2:$AS$317))</f>
        <v>1</v>
      </c>
      <c r="M67">
        <f>SUMPRODUCT(--('Данные 1st'!$S$2:$S$317=$A67),--ISNUMBER('Данные 1st'!$AY$2:$AY$317))</f>
        <v>1</v>
      </c>
      <c r="N67">
        <f>SUMPRODUCT(--('Данные 1st'!$S$2:$S$317=$A67),--ISNUMBER('Данные 1st'!$AZ$2:$AZ$317))</f>
        <v>1</v>
      </c>
      <c r="O67">
        <f>SUMPRODUCT(--('Данные 1st'!$S$2:$S$317=$A67),--ISNUMBER('Данные 1st'!$BF$2:$BF$317))</f>
        <v>1</v>
      </c>
      <c r="P67">
        <f>SUMPRODUCT(--('Данные 1st'!$S$2:$S$317=$A67),--ISNUMBER('Данные 1st'!$BG$2:$BG$317))</f>
        <v>1</v>
      </c>
      <c r="Q67">
        <f>SUMPRODUCT(--('Данные 1st'!$S$2:$S$317=$A67),--ISNUMBER('Данные 1st'!$BM$2:$BM$317))</f>
        <v>0</v>
      </c>
      <c r="R67">
        <f>SUMPRODUCT(--('Данные 1st'!$S$2:$S$317=$A67),--ISNUMBER('Данные 1st'!$BN$2:$BN$317))</f>
        <v>1</v>
      </c>
      <c r="S67">
        <f>SUMPRODUCT(--('Данные 1st'!$S$2:$S$317=$A67),--ISNUMBER('Данные 1st'!$BT$2:$BT$317))</f>
        <v>1</v>
      </c>
      <c r="T67">
        <f>SUMPRODUCT(--('Данные 1st'!$S$2:$S$317=$A67),--ISNUMBER('Данные 1st'!$BU$2:$BU$317))</f>
        <v>1</v>
      </c>
      <c r="U67">
        <f>SUMPRODUCT(--('Данные 1st'!$S$2:$S$317=$A67),--ISNUMBER('Данные 1st'!$BW$2:$BW$317))</f>
        <v>1</v>
      </c>
      <c r="V67">
        <f>SUMPRODUCT(--('Данные 1st'!$S$2:$S$317=$A67),--ISNUMBER('Данные 1st'!$BX$2:$BX$317))</f>
        <v>1</v>
      </c>
      <c r="W67">
        <f>SUMPRODUCT(--('Данные 1st'!$S$2:$S$317=$A67),--ISNUMBER('Данные 1st'!$BZ$2:$BZ$317))</f>
        <v>1</v>
      </c>
      <c r="X67">
        <f>SUMPRODUCT(--('Данные 1st'!$S$2:$S$317=$A67),--ISNUMBER('Данные 1st'!$CA$2:$CA$317))</f>
        <v>1</v>
      </c>
      <c r="Y67">
        <f>SUMPRODUCT(--('Данные 1st'!$S$2:$S$317=$A67),--ISNUMBER('Данные 1st'!$CD$2:$CD$317))</f>
        <v>1</v>
      </c>
      <c r="Z67">
        <f>SUMPRODUCT(--('Данные 1st'!$S$2:$S$317=$A67),--ISNUMBER('Данные 1st'!$CF$2:$CF$317))</f>
        <v>1</v>
      </c>
      <c r="AA67">
        <f>SUMPRODUCT(--('Данные 1st'!$S$2:$S$317=$A67),--ISNUMBER('Данные 1st'!$CI$2:$CI$317))</f>
        <v>1</v>
      </c>
      <c r="AB67">
        <f>SUMPRODUCT(--('Данные 1st'!$S$2:$S$317=$A67),--ISNUMBER('Данные 1st'!$CJ$2:$CJ$317))</f>
        <v>1</v>
      </c>
      <c r="AC67">
        <f>SUMPRODUCT(--('Данные 1st'!$S$2:$S$317=$A67),--ISNUMBER('Данные 1st'!$CK$2:$CK$317))</f>
        <v>1</v>
      </c>
      <c r="AD67">
        <f>SUMPRODUCT(--('Данные 1st'!$S$2:$S$317=$A67),--ISNUMBER('Данные 1st'!$CL$2:$CL$317))</f>
        <v>1</v>
      </c>
      <c r="AE67">
        <f>SUMPRODUCT(--('Данные 1st'!$S$2:$S$317=$A67),--ISNUMBER('Данные 1st'!$CM$2:$CM$317))</f>
        <v>1</v>
      </c>
      <c r="AF67">
        <f>SUMPRODUCT(--('Данные 1st'!$S$2:$S$317=$A67),--ISNUMBER('Данные 1st'!$CT$2:$CT$317))</f>
        <v>1</v>
      </c>
      <c r="AG67">
        <f>SUMPRODUCT(--('Данные 1st'!$S$2:$S$317=$A67),--ISNUMBER('Данные 1st'!$CU$2:$CU$317))</f>
        <v>1</v>
      </c>
      <c r="AH67">
        <f>SUMPRODUCT(--('Данные 1st'!$S$2:$S$317=$A67),--ISNUMBER('Данные 1st'!$CV$2:$CV$317))</f>
        <v>1</v>
      </c>
      <c r="AI67">
        <f>SUMPRODUCT(--('Данные 1st'!$S$2:$S$317=$A67),--ISNUMBER('Данные 1st'!$CW$2:$CW$317))</f>
        <v>1</v>
      </c>
      <c r="AJ67">
        <f>SUMPRODUCT(--('Данные 1st'!$S$2:$S$317=$A67),--ISNUMBER('Данные 1st'!$CX$2:$CX$317))</f>
        <v>1</v>
      </c>
      <c r="AK67">
        <f>SUMPRODUCT(--('Данные 1st'!$S$2:$S$317=$A67),--ISNUMBER('Данные 1st'!$CZ$2:$CZ$317))</f>
        <v>1</v>
      </c>
      <c r="AL67">
        <f>SUMPRODUCT(--('Данные 1st'!$S$2:$S$317=$A67),--ISNUMBER('Данные 1st'!$DA$2:$DA$317))</f>
        <v>1</v>
      </c>
      <c r="AM67">
        <f>SUMPRODUCT(--('Данные 1st'!$S$2:$S$317=$A67),--ISNUMBER('Данные 1st'!$DB$2:$DB$317))</f>
        <v>1</v>
      </c>
      <c r="AN67">
        <f>SUMPRODUCT(--('Данные 1st'!$S$2:$S$317=$A67),--ISNUMBER('Данные 1st'!$DC$2:$DC$317))</f>
        <v>1</v>
      </c>
      <c r="AO67">
        <f>SUMPRODUCT(--('Данные 1st'!$S$2:$S$317=$A67),--ISNUMBER('Данные 1st'!$DD$2:$DD$317))</f>
        <v>1</v>
      </c>
      <c r="AP67">
        <f>SUMPRODUCT(--('Данные 1st'!$S$2:$S$317=$A67),--ISNUMBER('Данные 1st'!$DF$2:$DF$317))</f>
        <v>1</v>
      </c>
      <c r="AQ67">
        <f>SUMPRODUCT(--('Данные 1st'!$S$2:$S$317=$A67),--ISNUMBER('Данные 1st'!$DG$2:$DG$317))</f>
        <v>1</v>
      </c>
      <c r="AR67">
        <f>SUMPRODUCT(--('Данные 1st'!$S$2:$S$317=$A67),--ISNUMBER('Данные 1st'!$DH$2:$DH$317))</f>
        <v>1</v>
      </c>
      <c r="AS67">
        <f>SUMPRODUCT(--('Данные 1st'!$S$2:$S$317=$A67),--ISNUMBER('Данные 1st'!$DI$2:$DI$317))</f>
        <v>1</v>
      </c>
      <c r="AT67">
        <f>SUMPRODUCT(--('Данные 1st'!$S$2:$S$317=$A67),--ISNUMBER('Данные 1st'!$DJ$2:$DJ$317))</f>
        <v>1</v>
      </c>
      <c r="AU67">
        <f>SUMPRODUCT(--('Данные 1st'!$S$2:$S$317=$A67),--ISNUMBER('Данные 1st'!$DL$2:$DL$317))</f>
        <v>1</v>
      </c>
      <c r="AV67">
        <f>SUMPRODUCT(--('Данные 1st'!$S$2:$S$317=$A67),--ISNUMBER('Данные 1st'!$DM$2:$DM$317))</f>
        <v>1</v>
      </c>
      <c r="AW67">
        <f>SUMPRODUCT(--('Данные 1st'!$S$2:$S$317=$A67),--ISNUMBER('Данные 1st'!$DN$2:$DN$317))</f>
        <v>1</v>
      </c>
      <c r="AX67">
        <f>SUMPRODUCT(--('Данные 1st'!$S$2:$S$317=$A67),--ISNUMBER('Данные 1st'!$DO$2:$DO$317))</f>
        <v>1</v>
      </c>
      <c r="AY67">
        <f>SUMPRODUCT(--('Данные 1st'!$S$2:$S$317=$A67),--ISNUMBER('Данные 1st'!$DP$2:$DP$317))</f>
        <v>1</v>
      </c>
      <c r="AZ67">
        <f>SUMPRODUCT(--('Данные 1st'!$S$2:$S$317=$A67),--ISNUMBER('Данные 1st'!$DR$2:$DR$317))</f>
        <v>0</v>
      </c>
      <c r="BA67">
        <f>SUMPRODUCT(--('Данные 1st'!$S$2:$S$317=$A67),--ISNUMBER('Данные 1st'!$DS$2:$DS$317))</f>
        <v>0</v>
      </c>
      <c r="BB67">
        <f>SUMPRODUCT(--('Данные 1st'!$S$2:$S$317=$A67),--ISNUMBER('Данные 1st'!$DT$2:$DT$317))</f>
        <v>0</v>
      </c>
      <c r="BC67">
        <f>SUMPRODUCT(--('Данные 1st'!$S$2:$S$317=$A67),--ISNUMBER('Данные 1st'!$DU$2:$DU$317))</f>
        <v>0</v>
      </c>
      <c r="BD67">
        <f>SUMPRODUCT(--('Данные 1st'!$S$2:$S$317=$A67),--ISNUMBER('Данные 1st'!$DV$2:$DV$317))</f>
        <v>0</v>
      </c>
      <c r="BE67">
        <f>SUMPRODUCT(--('Данные 1st'!$S$2:$S$317=$A67),--ISNUMBER('Данные 1st'!$DX$2:$DX$317))</f>
        <v>1</v>
      </c>
      <c r="BF67">
        <f>SUMPRODUCT(--('Данные 1st'!$S$2:$S$317=$A67),--ISNUMBER('Данные 1st'!$EA$2:$EA$317))</f>
        <v>1</v>
      </c>
      <c r="BG67">
        <f>SUMPRODUCT(--('Данные 1st'!$S$2:$S$317=$A67),--ISNUMBER('Данные 1st'!$EB$2:$EB$317))</f>
        <v>1</v>
      </c>
      <c r="BH67">
        <f>SUMPRODUCT(--('Данные 1st'!$S$2:$S$317=$A67),--ISNUMBER('Данные 1st'!$ED$2:$ED$317))</f>
        <v>1</v>
      </c>
      <c r="BI67">
        <f>SUMPRODUCT(--('Данные 1st'!$S$2:$S$317=$A67),--ISNUMBER('Данные 1st'!$EE$2:$EE$317))</f>
        <v>1</v>
      </c>
      <c r="BJ67">
        <f>SUMPRODUCT(--('Данные 1st'!$S$2:$S$317=$A67),--ISNUMBER('Данные 1st'!$EG$2:$EG$317))</f>
        <v>1</v>
      </c>
      <c r="BK67">
        <f>SUMPRODUCT(--('Данные 1st'!$S$2:$S$317=$A67),--ISNUMBER('Данные 1st'!$EH$2:$EH$317))</f>
        <v>1</v>
      </c>
      <c r="BL67">
        <f>SUMPRODUCT(--('Данные 1st'!$S$2:$S$317=$A67),--ISNUMBER('Данные 1st'!$EJ$2:$EJ$317))</f>
        <v>1</v>
      </c>
      <c r="BM67">
        <f>SUMPRODUCT(--('Данные 1st'!$S$2:$S$317=$A67),--ISNUMBER('Данные 1st'!$EK$2:$EK$317))</f>
        <v>1</v>
      </c>
      <c r="BN67">
        <f>SUMPRODUCT(--('Данные 1st'!$S$2:$S$317=$A67),--ISNUMBER('Данные 1st'!$EN$2:$EN$317))</f>
        <v>1</v>
      </c>
      <c r="BO67">
        <f>SUMPRODUCT(--('Данные 1st'!$S$2:$S$317=$A67),--ISNUMBER('Данные 1st'!$EQ$2:$EQ$317))</f>
        <v>1</v>
      </c>
      <c r="BP67">
        <f>SUMPRODUCT(--('Данные 1st'!$S$2:$S$317=$A67),--ISNUMBER('Данные 1st'!$ER$2:$ER$317))</f>
        <v>1</v>
      </c>
      <c r="BQ67">
        <f>SUMPRODUCT(--('Данные 1st'!$S$2:$S$317=$A67),--ISNUMBER('Данные 1st'!$ES$2:$ES$317))</f>
        <v>1</v>
      </c>
      <c r="BR67">
        <f>SUMPRODUCT(--('Данные 1st'!$S$2:$S$317=$A67),--ISNUMBER('Данные 1st'!$ET$2:$ET$317))</f>
        <v>1</v>
      </c>
      <c r="BS67">
        <f>SUMPRODUCT(--('Данные 1st'!$S$2:$S$317=$A67),--ISNUMBER('Данные 1st'!$EU$2:$EU$317))</f>
        <v>1</v>
      </c>
      <c r="BT67">
        <f>SUMPRODUCT(--('Данные 1st'!$S$2:$S$317=$A67),--ISNUMBER('Данные 1st'!$EV$2:$EV$317))</f>
        <v>1</v>
      </c>
      <c r="BU67">
        <f>SUMPRODUCT(--('Данные 1st'!$S$2:$S$317=$A67),--ISNUMBER('Данные 1st'!$EX$2:$EX$317))</f>
        <v>1</v>
      </c>
      <c r="BV67">
        <f>SUMPRODUCT(--('Данные 1st'!$S$2:$S$317=$A67),--ISNUMBER('Данные 1st'!$EY$2:$EY$317))</f>
        <v>1</v>
      </c>
      <c r="BW67">
        <f>SUMPRODUCT(--('Данные 1st'!$S$2:$S$317=$A67),--ISNUMBER('Данные 1st'!$EZ$2:$EZ$317))</f>
        <v>1</v>
      </c>
      <c r="BX67">
        <f>SUMPRODUCT(--('Данные 1st'!$S$2:$S$317=$A67),--ISNUMBER('Данные 1st'!$FA$2:$FA$317))</f>
        <v>1</v>
      </c>
      <c r="BY67">
        <f>SUMPRODUCT(--('Данные 1st'!$S$2:$S$317=$A67),--ISNUMBER('Данные 1st'!$FB$2:$FB$317))</f>
        <v>1</v>
      </c>
      <c r="BZ67">
        <f>SUMPRODUCT(--('Данные 1st'!$S$2:$S$317=$A67),--ISNUMBER('Данные 1st'!$FC$2:$FC$317))</f>
        <v>1</v>
      </c>
      <c r="CA67">
        <f>SUMPRODUCT(--('Данные 1st'!$S$2:$S$317=$A67),--ISNUMBER('Данные 1st'!$FE$2:$FE$317))</f>
        <v>1</v>
      </c>
      <c r="CB67">
        <f>SUMPRODUCT(--('Данные 1st'!$S$2:$S$317=$A67),--ISNUMBER('Данные 1st'!$FF$2:$FF$317))</f>
        <v>1</v>
      </c>
      <c r="CC67">
        <f>SUMPRODUCT(--('Данные 1st'!$S$2:$S$317=$A67),--ISNUMBER('Данные 1st'!$FI$2:$FI$317))</f>
        <v>1</v>
      </c>
      <c r="CD67">
        <f>SUMPRODUCT(--('Данные 1st'!$S$2:$S$317=$A67),--ISNUMBER('Данные 1st'!$FL$2:$FL$317))</f>
        <v>1</v>
      </c>
      <c r="CE67">
        <f>SUMPRODUCT(--('Данные 1st'!$S$2:$S$317=$A67),--ISNUMBER('Данные 1st'!$FM$2:$FM$317))</f>
        <v>1</v>
      </c>
      <c r="CF67">
        <f>SUMPRODUCT(--('Данные 1st'!$S$2:$S$317=$A67),--ISNUMBER('Данные 1st'!$FN$2:$FN$317))</f>
        <v>1</v>
      </c>
      <c r="CG67">
        <f>SUMPRODUCT(--('Данные 1st'!$S$2:$S$317=$A67),--ISNUMBER('Данные 1st'!$FO$2:$FO$317))</f>
        <v>1</v>
      </c>
      <c r="CH67">
        <f>SUMPRODUCT(--('Данные 1st'!$S$2:$S$317=$A67),--ISNUMBER('Данные 1st'!$FP$2:$FP$317))</f>
        <v>1</v>
      </c>
      <c r="CI67">
        <f>SUMPRODUCT(--('Данные 1st'!$S$2:$S$317=$A67),--ISNUMBER('Данные 1st'!$FS$2:$FS$317))</f>
        <v>0</v>
      </c>
      <c r="CJ67">
        <f>SUMPRODUCT(--('Данные 1st'!$S$2:$S$317=$A67),--ISNUMBER('Данные 1st'!$FT$2:$FT$317))</f>
        <v>0</v>
      </c>
      <c r="CK67">
        <f>SUMPRODUCT(--('Данные 1st'!$S$2:$S$317=$A67),--ISNUMBER('Данные 1st'!$FU$2:$FU$317))</f>
        <v>0</v>
      </c>
      <c r="CL67">
        <f>SUMPRODUCT(--('Данные 1st'!$S$2:$S$317=$A67),--ISNUMBER('Данные 1st'!$FV$2:$FV$317))</f>
        <v>0</v>
      </c>
      <c r="CM67">
        <f>SUMPRODUCT(--('Данные 1st'!$S$2:$S$317=$A67),--ISNUMBER('Данные 1st'!$FW$2:$FW$317))</f>
        <v>0</v>
      </c>
      <c r="CN67">
        <f>SUMPRODUCT(--('Данные 1st'!$S$2:$S$317=$A67),--ISNUMBER('Данные 1st'!$FZ$2:$FZ$317))</f>
        <v>0</v>
      </c>
      <c r="CO67">
        <f>SUMPRODUCT(--('Данные 1st'!$S$2:$S$317=$A67),--ISNUMBER('Данные 1st'!$GA$2:$GA$317))</f>
        <v>0</v>
      </c>
      <c r="CP67">
        <f>SUMPRODUCT(--('Данные 1st'!$S$2:$S$317=$A67),--ISNUMBER('Данные 1st'!$GB$2:$GB$317))</f>
        <v>0</v>
      </c>
      <c r="CQ67">
        <f>SUMPRODUCT(--('Данные 1st'!$S$2:$S$317=$A67),--ISNUMBER('Данные 1st'!$GH$2:$GH$317))</f>
        <v>0</v>
      </c>
      <c r="CR67">
        <f>SUMPRODUCT(--('Данные 1st'!$S$2:$S$317=$A67),--ISNUMBER('Данные 1st'!$GI$2:$GI$317))</f>
        <v>0</v>
      </c>
      <c r="CS67">
        <f>SUMPRODUCT(--('Данные 1st'!$S$2:$S$317=$A67),--ISNUMBER('Данные 1st'!$GJ$2:$GJ$317))</f>
        <v>0</v>
      </c>
      <c r="CT67">
        <f>SUMPRODUCT(--('Данные 1st'!$S$2:$S$317=$A67),--ISNUMBER('Данные 1st'!$GS$2:$GS$317))</f>
        <v>1</v>
      </c>
      <c r="CU67">
        <f>SUMPRODUCT(--('Данные 1st'!$S$2:$S$317=$A67),--ISNUMBER('Данные 1st'!$GT$2:$GT$317))</f>
        <v>1</v>
      </c>
      <c r="CV67">
        <f>SUMPRODUCT(--('Данные 1st'!$S$2:$S$317=$A67),--ISNUMBER('Данные 1st'!$GU$2:$GU$317))</f>
        <v>1</v>
      </c>
      <c r="CW67">
        <f>SUMPRODUCT(--('Данные 1st'!$S$2:$S$317=$A67),--ISNUMBER('Данные 1st'!$GV$2:$GV$317))</f>
        <v>1</v>
      </c>
      <c r="CX67">
        <f>SUMPRODUCT(--('Данные 1st'!$S$2:$S$317=$A67),--ISNUMBER('Данные 1st'!$GW$2:$GW$317))</f>
        <v>1</v>
      </c>
      <c r="CY67">
        <f>SUMPRODUCT(--('Данные 1st'!$S$2:$S$317=$A67),--ISNUMBER('Данные 1st'!$GZ$2:$GZ$317))</f>
        <v>0</v>
      </c>
      <c r="CZ67">
        <f>SUMPRODUCT(--('Данные 1st'!$S$2:$S$317=$A67),--ISNUMBER('Данные 1st'!$HA$2:$HA$317))</f>
        <v>0</v>
      </c>
      <c r="DA67">
        <f>SUMPRODUCT(--('Данные 1st'!$S$2:$S$317=$A67),--ISNUMBER('Данные 1st'!$HB$2:$HB$317))</f>
        <v>0</v>
      </c>
      <c r="DB67">
        <f>SUMPRODUCT(--('Данные 1st'!$S$2:$S$317=$A67),--ISNUMBER('Данные 1st'!$HC$2:$HC$317))</f>
        <v>1</v>
      </c>
      <c r="DC67">
        <f>SUMPRODUCT(--('Данные 1st'!$S$2:$S$317=$A67),--ISNUMBER('Данные 1st'!$HD$2:$HD$317))</f>
        <v>1</v>
      </c>
      <c r="DD67">
        <f>SUMPRODUCT(--('Данные 1st'!$S$2:$S$317=$A67),--ISNUMBER('Данные 1st'!$HE$2:$HE$317))</f>
        <v>1</v>
      </c>
      <c r="DE67">
        <f>SUMPRODUCT(--('Данные 1st'!$S$2:$S$317=$A67),--ISNUMBER('Данные 1st'!$HF$2:$HF$317))</f>
        <v>1</v>
      </c>
      <c r="DF67">
        <f>SUMPRODUCT(--('Данные 1st'!$S$2:$S$317=$A67),--ISNUMBER('Данные 1st'!$HG$2:$HG$317))</f>
        <v>1</v>
      </c>
      <c r="DG67">
        <f>SUMPRODUCT(--('Данные 1st'!$S$2:$S$317=$A67),--ISNUMBER('Данные 1st'!$HH$2:$HH$317))</f>
        <v>1</v>
      </c>
      <c r="DH67">
        <f>SUMPRODUCT(--('Данные 1st'!$S$2:$S$317=$A67),--ISNUMBER('Данные 1st'!$HI$2:$HI$317))</f>
        <v>1</v>
      </c>
      <c r="DI67">
        <f>SUMPRODUCT(--('Данные 1st'!$S$2:$S$317=$A67),--ISNUMBER('Данные 1st'!$HJ$2:$HJ$317))</f>
        <v>1</v>
      </c>
      <c r="DJ67">
        <f>SUMPRODUCT(--('Данные 1st'!$S$2:$S$317=$A67),--ISNUMBER('Данные 1st'!$HK$2:$HK$317))</f>
        <v>1</v>
      </c>
      <c r="DK67">
        <f>SUMPRODUCT(--('Данные 1st'!$S$2:$S$317=$A67),--ISNUMBER('Данные 1st'!$HL$2:$HL$317))</f>
        <v>1</v>
      </c>
      <c r="DL67">
        <f>SUMPRODUCT(--('Данные 1st'!$S$2:$S$317=$A67),--ISNUMBER('Данные 1st'!$HM$2:$HM$317))</f>
        <v>1</v>
      </c>
      <c r="DM67">
        <f>SUMPRODUCT(--('Данные 1st'!$S$2:$S$317=$A67),--ISNUMBER('Данные 1st'!$HN$2:$HN$317))</f>
        <v>1</v>
      </c>
      <c r="DN67">
        <f>SUMPRODUCT(--('Данные 1st'!$S$2:$S$317=$A67),--ISNUMBER('Данные 1st'!$HO$2:$HO$317))</f>
        <v>1</v>
      </c>
      <c r="DO67">
        <f>SUMPRODUCT(--('Данные 1st'!$S$2:$S$317=$A67),--ISNUMBER('Данные 1st'!$HP$2:$HP$317))</f>
        <v>1</v>
      </c>
      <c r="DP67">
        <f>SUMPRODUCT(--('Данные 1st'!$S$2:$S$317=$A67),--ISNUMBER('Данные 1st'!$HQ$2:$HQ$317))</f>
        <v>1</v>
      </c>
      <c r="DQ67">
        <f>SUMPRODUCT(--('Данные 1st'!$S$2:$S$317=$A67),--ISNUMBER('Данные 1st'!$HR$2:$HR$317))</f>
        <v>1</v>
      </c>
      <c r="DR67">
        <f>SUMPRODUCT(--('Данные 1st'!$S$2:$S$317=$A67),--ISNUMBER('Данные 1st'!$HS$2:$HS$317))</f>
        <v>1</v>
      </c>
      <c r="DS67">
        <f>SUMPRODUCT(--('Данные 1st'!$S$2:$S$317=$A67),--ISNUMBER('Данные 1st'!$HT$2:$HT$317))</f>
        <v>1</v>
      </c>
      <c r="DT67">
        <f>SUMPRODUCT(--('Данные 1st'!$S$2:$S$317=$A67),--ISNUMBER('Данные 1st'!$HU$2:$HU$317))</f>
        <v>1</v>
      </c>
      <c r="DU67">
        <f>SUMPRODUCT(--('Данные 1st'!$S$2:$S$317=$A67),--ISNUMBER('Данные 1st'!$HW$2:$HW$317))</f>
        <v>1</v>
      </c>
      <c r="DV67">
        <f>SUMPRODUCT(--('Данные 1st'!$S$2:$S$317=$A67),--ISNUMBER('Данные 1st'!$HX$2:$HX$317))</f>
        <v>1</v>
      </c>
      <c r="DW67">
        <f>SUMPRODUCT(--('Данные 1st'!$S$2:$S$317=$A67),--ISNUMBER('Данные 1st'!$HY$2:$HY$317))</f>
        <v>1</v>
      </c>
      <c r="DX67">
        <f>SUMPRODUCT(--('Данные 1st'!$S$2:$S$317=$A67),--ISNUMBER('Данные 1st'!$IA$2:$IA$317))</f>
        <v>1</v>
      </c>
      <c r="DY67">
        <f>SUMPRODUCT(--('Данные 1st'!$S$2:$S$317=$A67),--ISNUMBER('Данные 1st'!$IB$2:$IB$317))</f>
        <v>1</v>
      </c>
      <c r="DZ67">
        <f>SUMPRODUCT(--('Данные 1st'!$S$2:$S$317=$A67),--ISNUMBER('Данные 1st'!$IC$2:$IC$317))</f>
        <v>1</v>
      </c>
      <c r="EA67">
        <f>SUMPRODUCT(--('Данные 1st'!$S$2:$S$317=$A67),--ISNUMBER('Данные 1st'!$ID$2:$ID$317))</f>
        <v>1</v>
      </c>
      <c r="EB67">
        <f>SUMPRODUCT(--('Данные 1st'!$S$2:$S$317=$A67),--ISNUMBER('Данные 1st'!$IE$2:$IE$317))</f>
        <v>1</v>
      </c>
      <c r="EC67">
        <f>SUMPRODUCT(--('Данные 1st'!$S$2:$S$317=$A67),--ISNUMBER('Данные 1st'!$IF$2:$IF$317))</f>
        <v>1</v>
      </c>
      <c r="ED67">
        <f>SUMPRODUCT(--('Данные 1st'!$S$2:$S$317=$A67),--ISNUMBER('Данные 1st'!$IP$2:$IP$317))</f>
        <v>1</v>
      </c>
      <c r="EE67">
        <f>SUMPRODUCT(--('Данные 1st'!$S$2:$S$317=$A67),--ISNUMBER('Данные 1st'!$IV$2:$IV$317))</f>
        <v>1</v>
      </c>
      <c r="EF67">
        <f>SUMPRODUCT(--('Данные 1st'!$S$2:$S$317=$A67),--ISNUMBER('Данные 1st'!$IW$2:$IW$317))</f>
        <v>1</v>
      </c>
      <c r="EG67">
        <f>SUMPRODUCT(--('Данные 1st'!$S$2:$S$317=$A67),--ISNUMBER('Данные 1st'!$IX$2:$IX$317))</f>
        <v>0</v>
      </c>
      <c r="EH67">
        <f>SUMPRODUCT(--('Данные 1st'!$S$2:$S$317=$A67),--ISNUMBER('Данные 1st'!$IY$2:$IY$317))</f>
        <v>0</v>
      </c>
      <c r="EI67">
        <f>SUMPRODUCT(--('Данные 1st'!$S$2:$S$317=$A67),--ISNUMBER('Данные 1st'!$JD$2:$JD$317))</f>
        <v>1</v>
      </c>
      <c r="EJ67">
        <f>SUMPRODUCT(--('Данные 1st'!$S$2:$S$317=$A67),--ISNUMBER('Данные 1st'!$JE$2:$JE$317))</f>
        <v>1</v>
      </c>
      <c r="EK67">
        <f>SUMPRODUCT(--('Данные 1st'!$S$2:$S$317=$A67),--ISNUMBER('Данные 1st'!$JF$2:$JF$317))</f>
        <v>1</v>
      </c>
      <c r="EL67">
        <f>SUMPRODUCT(--('Данные 1st'!$S$2:$S$317=$A67),--ISNUMBER('Данные 1st'!$JG$2:$JG$317))</f>
        <v>1</v>
      </c>
      <c r="EM67">
        <f>SUMPRODUCT(--('Данные 1st'!$S$2:$S$317=$A67),--ISNUMBER('Данные 1st'!$JH$2:$JH$317))</f>
        <v>1</v>
      </c>
      <c r="EN67">
        <f>SUMPRODUCT(--('Данные 1st'!$S$2:$S$317=$A67),--ISNUMBER('Данные 1st'!$JJ$2:$JJ$317))</f>
        <v>1</v>
      </c>
      <c r="EO67">
        <f>SUMPRODUCT(--('Данные 1st'!$S$2:$S$317=$A67),--ISNUMBER('Данные 1st'!$JK$2:$JK$317))</f>
        <v>1</v>
      </c>
      <c r="EP67">
        <f>SUMPRODUCT(--('Данные 1st'!$S$2:$S$317=$A67),--ISNUMBER('Данные 1st'!$JL$2:$JL$317))</f>
        <v>0</v>
      </c>
      <c r="EQ67">
        <f>SUMPRODUCT(--('Данные 1st'!$S$2:$S$317=$A67),--ISNUMBER('Данные 1st'!$JM$2:$JM$317))</f>
        <v>0</v>
      </c>
      <c r="ER67">
        <f>SUMPRODUCT(--('Данные 1st'!$S$2:$S$317=$A67),--ISNUMBER('Данные 1st'!$JN$2:$JN$317))</f>
        <v>1</v>
      </c>
      <c r="ES67">
        <f>SUMPRODUCT(--('Данные 1st'!$S$2:$S$317=$A67),--ISNUMBER('Данные 1st'!$JO$2:$JO$317))</f>
        <v>1</v>
      </c>
      <c r="ET67">
        <f>SUMPRODUCT(--('Данные 1st'!$S$2:$S$317=$A67),--ISNUMBER('Данные 1st'!$JP$2:$JP$317))</f>
        <v>1</v>
      </c>
      <c r="EU67">
        <f>SUMPRODUCT(--('Данные 1st'!$S$2:$S$317=$A67),--ISNUMBER('Данные 1st'!$JQ$2:$JQ$317))</f>
        <v>1</v>
      </c>
      <c r="EV67">
        <f>SUMPRODUCT(--('Данные 1st'!$S$2:$S$317=$A67),--ISNUMBER('Данные 1st'!$JR$2:$JR$317))</f>
        <v>1</v>
      </c>
      <c r="EW67">
        <f>SUMPRODUCT(--('Данные 1st'!$S$2:$S$317=$A67),--ISNUMBER('Данные 1st'!$JS$2:$JS$317))</f>
        <v>1</v>
      </c>
      <c r="EX67">
        <f>SUMPRODUCT(--('Данные 1st'!$S$2:$S$317=$A67),--ISNUMBER('Данные 1st'!$JT$2:$JT$317))</f>
        <v>0</v>
      </c>
      <c r="EY67">
        <f>SUMPRODUCT(--('Данные 1st'!$S$2:$S$317=$A67),--ISNUMBER('Данные 1st'!$JU$2:$JU$317))</f>
        <v>0</v>
      </c>
      <c r="EZ67">
        <f>SUMPRODUCT(--('Данные 1st'!$S$2:$S$317=$A67),--ISNUMBER('Данные 1st'!$JV$2:$JV$317))</f>
        <v>1</v>
      </c>
      <c r="FA67">
        <f>SUMPRODUCT(--('Данные 1st'!$S$2:$S$317=$A67),--ISNUMBER('Данные 1st'!$JW$2:$JW$317))</f>
        <v>0</v>
      </c>
      <c r="FB67">
        <f>SUMPRODUCT(--('Данные 1st'!$S$2:$S$317=$A67),--ISNUMBER('Данные 1st'!$JX$2:$JX$317))</f>
        <v>1</v>
      </c>
      <c r="FC67">
        <f>SUMPRODUCT(--('Данные 1st'!$S$2:$S$317=$A67),--ISNUMBER('Данные 1st'!$JY$2:$JY$317))</f>
        <v>0</v>
      </c>
      <c r="FD67">
        <f>SUMPRODUCT(--('Данные 1st'!$S$2:$S$317=$A67),--ISNUMBER('Данные 1st'!$JZ$2:$JZ$317))</f>
        <v>0</v>
      </c>
      <c r="FE67">
        <f>SUMPRODUCT(--('Данные 1st'!$S$2:$S$317=$A67),--ISNUMBER('Данные 1st'!$KA$2:$KA$317))</f>
        <v>1</v>
      </c>
      <c r="FF67">
        <f>SUMPRODUCT(--('Данные 1st'!$S$2:$S$317=$A67),--ISNUMBER('Данные 1st'!$KB$2:$KB$317))</f>
        <v>1</v>
      </c>
      <c r="FG67">
        <f>SUMPRODUCT(--('Данные 1st'!$S$2:$S$317=$A67),--ISNUMBER('Данные 1st'!$KC$2:$KC$317))</f>
        <v>1</v>
      </c>
      <c r="FH67">
        <f>SUMPRODUCT(--('Данные 1st'!$S$2:$S$317=$A67),--ISNUMBER('Данные 1st'!$KD$2:$KD$317))</f>
        <v>1</v>
      </c>
      <c r="FI67">
        <f>SUMPRODUCT(--('Данные 1st'!$S$2:$S$317=$A67),--ISNUMBER('Данные 1st'!$KE$2:$KE$317))</f>
        <v>0</v>
      </c>
      <c r="FJ67">
        <f>SUMPRODUCT(--('Данные 1st'!$S$2:$S$317=$A67),--ISNUMBER('Данные 1st'!$KF$2:$KF$317))</f>
        <v>1</v>
      </c>
      <c r="FK67">
        <f>SUMPRODUCT(--('Данные 1st'!$S$2:$S$317=$A67),--ISNUMBER('Данные 1st'!$KG$2:$KG$317))</f>
        <v>1</v>
      </c>
      <c r="FL67">
        <f>SUMPRODUCT(--('Данные 1st'!$S$2:$S$317=$A67),--ISNUMBER('Данные 1st'!$KH$2:$KH$317))</f>
        <v>1</v>
      </c>
      <c r="FM67">
        <f>SUMPRODUCT(--('Данные 1st'!$S$2:$S$317=$A67),--ISNUMBER('Данные 1st'!$KI$2:$KI$317))</f>
        <v>1</v>
      </c>
      <c r="FN67">
        <f>SUMPRODUCT(--('Данные 1st'!$S$2:$S$317=$A67),--ISNUMBER('Данные 1st'!$KJ$2:$KJ$317))</f>
        <v>1</v>
      </c>
      <c r="FO67">
        <f>SUMPRODUCT(--('Данные 1st'!$S$2:$S$317=$A67),--ISNUMBER('Данные 1st'!$KK$2:$KK$317))</f>
        <v>1</v>
      </c>
      <c r="FP67">
        <f>SUMPRODUCT(--('Данные 1st'!$S$2:$S$317=$A67),--ISNUMBER('Данные 1st'!$KL$2:$KL$317))</f>
        <v>1</v>
      </c>
      <c r="FQ67">
        <f>SUMPRODUCT(--('Данные 1st'!$S$2:$S$317=$A67),--ISNUMBER('Данные 1st'!$KM$2:$KM$317))</f>
        <v>1</v>
      </c>
      <c r="FR67">
        <f>SUMPRODUCT(--('Данные 1st'!$S$2:$S$317=$A67),--ISNUMBER('Данные 1st'!$KN$2:$KN$317))</f>
        <v>1</v>
      </c>
      <c r="FS67">
        <f>SUMPRODUCT(--('Данные 1st'!$S$2:$S$317=$A67),--ISNUMBER('Данные 1st'!$KR$2:$KR$317))</f>
        <v>1</v>
      </c>
      <c r="FT67">
        <f>SUMPRODUCT(--('Данные 1st'!$S$2:$S$317=$A67),--ISNUMBER('Данные 1st'!$KS$2:$KS$317))</f>
        <v>1</v>
      </c>
      <c r="FU67">
        <f>SUMPRODUCT(--('Данные 1st'!$S$2:$S$317=$A67),--ISNUMBER('Данные 1st'!$KT$2:$KT$317))</f>
        <v>1</v>
      </c>
      <c r="FV67">
        <f>SUMPRODUCT(--('Данные 1st'!$S$2:$S$317=$A67),--ISNUMBER('Данные 1st'!$KV$2:$KV$317))</f>
        <v>0</v>
      </c>
      <c r="FW67">
        <f>SUMPRODUCT(--('Данные 1st'!$S$2:$S$317=$A67),--ISNUMBER('Данные 1st'!$KW$2:$KW$317))</f>
        <v>0</v>
      </c>
      <c r="FX67">
        <f>SUMPRODUCT(--('Данные 1st'!$S$2:$S$317=$A67),--ISNUMBER('Данные 1st'!$KX$2:$KX$317))</f>
        <v>0</v>
      </c>
      <c r="FY67">
        <f>SUMPRODUCT(--('Данные 1st'!$S$2:$S$317=$A67),--ISNUMBER('Данные 1st'!$KY$2:$KY$317))</f>
        <v>0</v>
      </c>
      <c r="FZ67">
        <f>SUMPRODUCT(--('Данные 1st'!$S$2:$S$317=$A67),--ISNUMBER('Данные 1st'!$KZ$2:$KZ$317))</f>
        <v>0</v>
      </c>
      <c r="GA67">
        <f>SUMPRODUCT(--('Данные 1st'!$S$2:$S$317=$A67),--ISNUMBER('Данные 1st'!$LA$2:$LA$317))</f>
        <v>0</v>
      </c>
      <c r="GB67">
        <f>SUMPRODUCT(--('Данные 1st'!$S$2:$S$317=$A67),--ISNUMBER('Данные 1st'!$LB$2:$LB$317))</f>
        <v>0</v>
      </c>
      <c r="GC67">
        <f>SUMPRODUCT(--('Данные 1st'!$S$2:$S$317=$A67),--ISNUMBER('Данные 1st'!$LC$2:$LC$317))</f>
        <v>0</v>
      </c>
      <c r="GD67">
        <f>SUMPRODUCT(--('Данные 1st'!$S$2:$S$317=$A67),--ISNUMBER('Данные 1st'!$LD$2:$LD$317))</f>
        <v>0</v>
      </c>
      <c r="GE67">
        <f>SUMPRODUCT(--('Данные 1st'!$S$2:$S$317=$A67),--ISNUMBER('Данные 1st'!$LE$2:$LE$317))</f>
        <v>0</v>
      </c>
      <c r="GF67">
        <f>SUMPRODUCT(--('Данные 1st'!$S$2:$S$317=$A67),--ISNUMBER('Данные 1st'!$LF$2:$LF$317))</f>
        <v>0</v>
      </c>
      <c r="GG67">
        <f>SUMPRODUCT(--('Данные 1st'!$S$2:$S$317=$A67),--ISNUMBER('Данные 1st'!$LG$2:$LG$317))</f>
        <v>0</v>
      </c>
      <c r="GH67">
        <f>SUMPRODUCT(--('Данные 1st'!$S$2:$S$317=$A67),--ISNUMBER('Данные 1st'!$LH$2:$LH$317))</f>
        <v>0</v>
      </c>
      <c r="GI67">
        <f>SUMPRODUCT(--('Данные 1st'!$S$2:$S$317=$A67),--ISNUMBER('Данные 1st'!$LI$2:$LI$317))</f>
        <v>0</v>
      </c>
      <c r="GJ67">
        <f>SUMPRODUCT(--('Данные 1st'!$S$2:$S$317=$A67),--ISNUMBER('Данные 1st'!$LJ$2:$LJ$317))</f>
        <v>0</v>
      </c>
      <c r="GK67">
        <f>SUMPRODUCT(--('Данные 1st'!$S$2:$S$317=$A67),--ISNUMBER('Данные 1st'!$LK$2:$LK$317))</f>
        <v>1</v>
      </c>
      <c r="GL67">
        <f>SUMPRODUCT(--('Данные 1st'!$S$2:$S$317=$A67),--ISNUMBER('Данные 1st'!$LV$2:$LV$317))</f>
        <v>0</v>
      </c>
      <c r="GM67">
        <f>SUMPRODUCT(--('Данные 1st'!$S$2:$S$317=$A67),--ISNUMBER('Данные 1st'!$LW$2:$LW$317))</f>
        <v>0</v>
      </c>
      <c r="GN67">
        <f>SUMPRODUCT(--('Данные 1st'!$S$2:$S$317=$A67),--ISNUMBER('Данные 1st'!$LX$2:$LX$317))</f>
        <v>0</v>
      </c>
      <c r="GO67">
        <f>SUMPRODUCT(--('Данные 1st'!$S$2:$S$317=$A67),--ISNUMBER('Данные 1st'!$LY$2:$LY$317))</f>
        <v>0</v>
      </c>
      <c r="GP67">
        <f>SUMPRODUCT(--('Данные 1st'!$S$2:$S$317=$A67),--ISNUMBER('Данные 1st'!$LZ$2:$LZ$317))</f>
        <v>0</v>
      </c>
      <c r="GQ67">
        <f>SUMPRODUCT(--('Данные 1st'!$S$2:$S$317=$A67),--ISNUMBER('Данные 1st'!$PG$2:$PG$317))</f>
        <v>1</v>
      </c>
      <c r="GR67">
        <f>SUMPRODUCT(--('Данные 1st'!$S$2:$S$317=$A67),--ISNUMBER('Данные 1st'!$PX$2:$PX$317))</f>
        <v>1</v>
      </c>
      <c r="GS67">
        <f>SUMPRODUCT(--('Данные 1st'!$S$2:$S$317=$A67),--ISNUMBER('Данные 1st'!$PY$2:$PY$317))</f>
        <v>1</v>
      </c>
      <c r="GT67">
        <f>SUMPRODUCT(--('Данные 1st'!$S$2:$S$317=$A67),--ISNUMBER('Данные 1st'!$QA$2:$QA$317))</f>
        <v>1</v>
      </c>
      <c r="GU67">
        <f>SUMPRODUCT(--('Данные 1st'!$S$2:$S$317=$A67),--ISNUMBER('Данные 1st'!$QB$2:$QB$317))</f>
        <v>1</v>
      </c>
      <c r="GV67">
        <f>SUMPRODUCT(--('Данные 1st'!$S$2:$S$317=$A67),--ISNUMBER('Данные 1st'!$QC$2:$QC$317))</f>
        <v>1</v>
      </c>
      <c r="GW67">
        <f>SUMPRODUCT(--('Данные 1st'!$S$2:$S$317=$A67),--ISNUMBER('Данные 1st'!$QD$2:$QD$317))</f>
        <v>1</v>
      </c>
      <c r="GX67">
        <f>SUMPRODUCT(--('Данные 1st'!$S$2:$S$317=$A67),--ISNUMBER('Данные 1st'!$QF$2:$QF$317))</f>
        <v>1</v>
      </c>
      <c r="GY67">
        <f>SUMPRODUCT(--('Данные 1st'!$S$2:$S$317=$A67),--ISNUMBER('Данные 1st'!$QG$2:$QG$317))</f>
        <v>1</v>
      </c>
      <c r="GZ67">
        <f>SUMPRODUCT(--('Данные 1st'!$S$2:$S$317=$A67),--ISNUMBER('Данные 1st'!$QH$2:$QH$317))</f>
        <v>1</v>
      </c>
      <c r="HA67">
        <f>SUMPRODUCT(--('Данные 1st'!$S$2:$S$317=$A67),--ISNUMBER('Данные 1st'!$QI$2:$QI$317))</f>
        <v>1</v>
      </c>
      <c r="HB67">
        <f>SUMPRODUCT(--('Данные 1st'!$S$2:$S$317=$A67),--ISNUMBER('Данные 1st'!$QK$2:$QK$317))</f>
        <v>1</v>
      </c>
      <c r="HC67">
        <f>SUMPRODUCT(--('Данные 1st'!$S$2:$S$317=$A67),--ISNUMBER('Данные 1st'!$QL$2:$QL$317))</f>
        <v>1</v>
      </c>
      <c r="HD67">
        <f>SUMPRODUCT(--('Данные 1st'!$S$2:$S$317=$A67),--ISNUMBER('Данные 1st'!$QM$2:$QM$317))</f>
        <v>1</v>
      </c>
      <c r="HE67">
        <f>SUMPRODUCT(--('Данные 1st'!$S$2:$S$317=$A67),--ISNUMBER('Данные 1st'!$QN$2:$QN$317))</f>
        <v>1</v>
      </c>
      <c r="HF67">
        <f>SUMPRODUCT(--('Данные 1st'!$S$2:$S$317=$A67),--ISNUMBER('Данные 1st'!$QP$2:$QP$317))</f>
        <v>1</v>
      </c>
      <c r="HG67">
        <f>SUMPRODUCT(--('Данные 1st'!$S$2:$S$317=$A67),--ISNUMBER('Данные 1st'!$QQ$2:$QQ$317))</f>
        <v>1</v>
      </c>
      <c r="HH67">
        <f>SUMPRODUCT(--('Данные 1st'!$S$2:$S$317=$A67),--ISNUMBER('Данные 1st'!$QR$2:$QR$317))</f>
        <v>1</v>
      </c>
      <c r="HI67">
        <f>SUMPRODUCT(--('Данные 1st'!$S$2:$S$317=$A67),--ISNUMBER('Данные 1st'!$QS$2:$QS$317))</f>
        <v>1</v>
      </c>
      <c r="HJ67">
        <f>SUMPRODUCT(--('Данные 1st'!$S$2:$S$317=$A67),--ISNUMBER('Данные 1st'!$QU$2:$QU$317))</f>
        <v>1</v>
      </c>
      <c r="HK67">
        <f>SUMPRODUCT(--('Данные 1st'!$S$2:$S$317=$A67),--ISNUMBER('Данные 1st'!$QV$2:$QV$317))</f>
        <v>1</v>
      </c>
      <c r="HL67">
        <f>SUMPRODUCT(--('Данные 1st'!$S$2:$S$317=$A67),--ISNUMBER('Данные 1st'!$QW$2:$QW$317))</f>
        <v>1</v>
      </c>
      <c r="HM67">
        <f>SUMPRODUCT(--('Данные 1st'!$S$2:$S$317=$A67),--ISNUMBER('Данные 1st'!$QX$2:$QX$317))</f>
        <v>1</v>
      </c>
      <c r="HN67">
        <f>SUMPRODUCT(--('Данные 1st'!$S$2:$S$317=$A67),--ISNUMBER('Данные 1st'!$QZ$2:$QZ$317))</f>
        <v>1</v>
      </c>
      <c r="HO67">
        <f>SUMPRODUCT(--('Данные 1st'!$S$2:$S$317=$A67),--ISNUMBER('Данные 1st'!$RA$2:$RA$317))</f>
        <v>1</v>
      </c>
      <c r="HP67">
        <f>SUMPRODUCT(--('Данные 1st'!$S$2:$S$317=$A67),--ISNUMBER('Данные 1st'!$RB$2:$RB$317))</f>
        <v>1</v>
      </c>
      <c r="HQ67">
        <f>SUMPRODUCT(--('Данные 1st'!$S$2:$S$317=$A67),--ISNUMBER('Данные 1st'!$RD$2:$RD$317))</f>
        <v>0</v>
      </c>
      <c r="HR67">
        <f>SUMPRODUCT(--('Данные 1st'!$S$2:$S$317=$A67),--ISNUMBER('Данные 1st'!$RE$2:$RE$317))</f>
        <v>1</v>
      </c>
      <c r="HS67">
        <f>SUMPRODUCT(--('Данные 1st'!$S$2:$S$317=$A67),--ISNUMBER('Данные 1st'!$RF$2:$RF$317))</f>
        <v>1</v>
      </c>
      <c r="HT67">
        <f>SUMPRODUCT(--('Данные 1st'!$S$2:$S$317=$A67),--ISNUMBER('Данные 1st'!$RG$2:$RG$317))</f>
        <v>0</v>
      </c>
      <c r="HU67">
        <f>SUMPRODUCT(--('Данные 1st'!$S$2:$S$317=$A67),--ISNUMBER('Данные 1st'!$RH$2:$RH$317))</f>
        <v>1</v>
      </c>
      <c r="HV67">
        <f>SUMPRODUCT(--('Данные 1st'!$S$2:$S$317=$A67),--ISNUMBER('Данные 1st'!$RI$2:$RI$317))</f>
        <v>0</v>
      </c>
      <c r="HW67">
        <f>SUMPRODUCT(--('Данные 1st'!$S$2:$S$317=$A67),--ISNUMBER('Данные 1st'!$RJ$2:$RJ$317))</f>
        <v>1</v>
      </c>
      <c r="HX67">
        <f>SUMPRODUCT(--('Данные 1st'!$S$2:$S$317=$A67),--ISNUMBER('Данные 1st'!$RK$2:$RK$317))</f>
        <v>1</v>
      </c>
      <c r="HY67">
        <f>SUMPRODUCT(--('Данные 1st'!$S$2:$S$317=$A67),--ISNUMBER('Данные 1st'!$RL$2:$RL$317))</f>
        <v>1</v>
      </c>
      <c r="HZ67">
        <f>SUMPRODUCT(--('Данные 1st'!$S$2:$S$317=$A67),--ISNUMBER('Данные 1st'!$RM$2:$RM$317))</f>
        <v>1</v>
      </c>
      <c r="IA67">
        <f>SUMPRODUCT(--('Данные 1st'!$S$2:$S$317=$A67),--ISNUMBER('Данные 1st'!$RN$2:$RN$317))</f>
        <v>0</v>
      </c>
      <c r="IB67">
        <f>SUMPRODUCT(--('Данные 1st'!$S$2:$S$317=$A67),--ISNUMBER('Данные 1st'!$RO$2:$RO$317))</f>
        <v>1</v>
      </c>
      <c r="IC67">
        <f>SUMPRODUCT(--('Данные 1st'!$S$2:$S$317=$A67),--ISNUMBER('Данные 1st'!$RP$2:$RP$317))</f>
        <v>1</v>
      </c>
      <c r="ID67">
        <f>SUMPRODUCT(--('Данные 1st'!$S$2:$S$317=$A67),--ISNUMBER('Данные 1st'!$RQ$2:$RQ$317))</f>
        <v>1</v>
      </c>
      <c r="IE67">
        <f>SUMPRODUCT(--('Данные 1st'!$S$2:$S$317=$A67),--ISNUMBER('Данные 1st'!$RR$2:$RR$317))</f>
        <v>1</v>
      </c>
      <c r="IF67">
        <f>SUMPRODUCT(--('Данные 1st'!$S$2:$S$317=$A67),--ISNUMBER('Данные 1st'!$RS$2:$RS$317))</f>
        <v>0</v>
      </c>
      <c r="IG67">
        <f>SUMPRODUCT(--('Данные 1st'!$S$2:$S$317=$A67),--ISNUMBER('Данные 1st'!$RT$2:$RT$317))</f>
        <v>1</v>
      </c>
      <c r="IH67">
        <f>SUMPRODUCT(--('Данные 1st'!$S$2:$S$317=$A67),--ISNUMBER('Данные 1st'!$RU$2:$RU$317))</f>
        <v>1</v>
      </c>
      <c r="II67">
        <f>SUMPRODUCT(--('Данные 1st'!$S$2:$S$317=$A67),--ISNUMBER('Данные 1st'!$RX$2:$RX$317))</f>
        <v>1</v>
      </c>
      <c r="IJ67">
        <f>SUMPRODUCT(--('Данные 1st'!$S$2:$S$317=$A67),--ISNUMBER('Данные 1st'!$RY$2:$RY$317))</f>
        <v>1</v>
      </c>
      <c r="IK67">
        <f>SUMPRODUCT(--('Данные 1st'!$S$2:$S$317=$A67),--ISNUMBER('Данные 1st'!$SA$2:$SA$317))</f>
        <v>1</v>
      </c>
      <c r="IL67">
        <f>SUMPRODUCT(--('Данные 1st'!$S$2:$S$317=$A67),--ISNUMBER('Данные 1st'!$SD$2:$SD$317))</f>
        <v>1</v>
      </c>
      <c r="IM67">
        <f>SUMPRODUCT(--('Данные 1st'!$S$2:$S$317=$A67),--ISNUMBER('Данные 1st'!$SG$2:$SG$317))</f>
        <v>1</v>
      </c>
      <c r="IN67">
        <f>SUMPRODUCT(--('Данные 1st'!$S$2:$S$317=$A67),--ISNUMBER('Данные 1st'!$SH$2:$SH$317))</f>
        <v>1</v>
      </c>
      <c r="IO67">
        <f>SUMPRODUCT(--('Данные 1st'!$S$2:$S$317=$A67),--ISNUMBER('Данные 1st'!$SI$2:$SI$317))</f>
        <v>1</v>
      </c>
      <c r="IP67">
        <f>SUMPRODUCT(--('Данные 1st'!$S$2:$S$317=$A67),--ISNUMBER('Данные 1st'!$SJ$2:$SJ$317))</f>
        <v>1</v>
      </c>
      <c r="IQ67">
        <f>SUMPRODUCT(--('Данные 1st'!$S$2:$S$317=$A67),--ISNUMBER('Данные 1st'!$SK$2:$SK$317))</f>
        <v>1</v>
      </c>
      <c r="IR67">
        <f>SUMPRODUCT(--('Данные 1st'!$S$2:$S$317=$A67),--ISNUMBER('Данные 1st'!$SL$2:$SL$317))</f>
        <v>1</v>
      </c>
      <c r="IS67">
        <f>SUMPRODUCT(--('Данные 1st'!$S$2:$S$317=$A67),--ISNUMBER('Данные 1st'!$SM$2:$SM$317))</f>
        <v>1</v>
      </c>
      <c r="IT67">
        <f>SUMPRODUCT(--('Данные 1st'!$S$2:$S$317=$A67),--ISNUMBER('Данные 1st'!$SN$2:$SN$317))</f>
        <v>1</v>
      </c>
      <c r="IU67">
        <f>SUMPRODUCT(--('Данные 1st'!$S$2:$S$317=$A67),--ISNUMBER('Данные 1st'!$SO$2:$SO$317))</f>
        <v>1</v>
      </c>
      <c r="IV67">
        <f>SUMPRODUCT(--('Данные 1st'!$S$2:$S$317=$A67),--ISNUMBER('Данные 1st'!$SP$2:$SP$317))</f>
        <v>1</v>
      </c>
      <c r="IW67">
        <f>SUMPRODUCT(--('Данные 1st'!$S$2:$S$317=$A67),--ISNUMBER('Данные 1st'!$SQ$2:$SQ$317))</f>
        <v>1</v>
      </c>
      <c r="IX67">
        <f>SUMPRODUCT(--('Данные 1st'!$S$2:$S$317=$A67),--ISNUMBER('Данные 1st'!$SR$2:$SR$317))</f>
        <v>1</v>
      </c>
      <c r="IY67">
        <f>SUMPRODUCT(--('Данные 1st'!$S$2:$S$317=$A67),--ISNUMBER('Данные 1st'!$SS$2:$SS$317))</f>
        <v>1</v>
      </c>
      <c r="IZ67">
        <f>SUMPRODUCT(--('Данные 1st'!$S$2:$S$317=$A67),--ISNUMBER('Данные 1st'!$ST$2:$ST$317))</f>
        <v>1</v>
      </c>
      <c r="JA67">
        <f>SUMPRODUCT(--('Данные 1st'!$S$2:$S$317=$A67),--ISNUMBER('Данные 1st'!$SU$2:$SU$317))</f>
        <v>1</v>
      </c>
      <c r="JB67">
        <f>SUMPRODUCT(--('Данные 1st'!$S$2:$S$317=$A67),--ISNUMBER('Данные 1st'!$SV$2:$SV$317))</f>
        <v>1</v>
      </c>
      <c r="JC67">
        <f>SUMPRODUCT(--('Данные 1st'!$S$2:$S$317=$A67),--ISNUMBER('Данные 1st'!$SW$2:$SW$317))</f>
        <v>1</v>
      </c>
      <c r="JD67">
        <f>SUMPRODUCT(--('Данные 1st'!$S$2:$S$317=$A67),--ISNUMBER('Данные 1st'!$SX$2:$SX$317))</f>
        <v>1</v>
      </c>
      <c r="JE67">
        <f>SUMPRODUCT(--('Данные 1st'!$S$2:$S$317=$A67),--ISNUMBER('Данные 1st'!$SY$2:$SY$317))</f>
        <v>1</v>
      </c>
      <c r="JF67">
        <f>SUMPRODUCT(--('Данные 1st'!$S$2:$S$317=$A67),--ISNUMBER('Данные 1st'!$SZ$2:$SZ$317))</f>
        <v>1</v>
      </c>
      <c r="JG67">
        <f>SUMPRODUCT(--('Данные 1st'!$S$2:$S$317=$A67),--ISNUMBER('Данные 1st'!$TA$2:$TA$317))</f>
        <v>0</v>
      </c>
      <c r="JH67">
        <f>SUMPRODUCT(--('Данные 1st'!$S$2:$S$317=$A67),--ISNUMBER('Данные 1st'!$TB$2:$TB$317))</f>
        <v>1</v>
      </c>
      <c r="JI67">
        <f>SUMPRODUCT(--('Данные 1st'!$S$2:$S$317=$A67),--ISNUMBER('Данные 1st'!$TC$2:$TC$317))</f>
        <v>1</v>
      </c>
      <c r="JJ67">
        <f>SUMPRODUCT(--('Данные 1st'!$S$2:$S$317=$A67),--ISNUMBER('Данные 1st'!$TD$2:$TD$317))</f>
        <v>1</v>
      </c>
      <c r="JK67">
        <f>SUMPRODUCT(--('Данные 1st'!$S$2:$S$317=$A67),--ISNUMBER('Данные 1st'!$TN$2:$TN$317))</f>
        <v>1</v>
      </c>
      <c r="JQ67">
        <f>SUMPRODUCT(--('Данные 2st'!$Q$2:$Q$317=$A67),--ISNUMBER('Данные 2st'!$AC$2:$AC$317))</f>
        <v>1</v>
      </c>
      <c r="JR67">
        <f>SUMPRODUCT(--('Данные 2st'!$Q$2:$Q$317=$A67),--ISNUMBER('Данные 2st'!$AF$2:$AF$317))</f>
        <v>1</v>
      </c>
      <c r="JS67">
        <f>SUMPRODUCT(--('Данные 2st'!$Q$2:$Q$317=$A67),--ISNUMBER('Данные 2st'!$AW$2:$AW$317))</f>
        <v>1</v>
      </c>
      <c r="JT67">
        <f>SUMPRODUCT(--('Данные 2st'!$Q$2:$Q$317=$A67),--ISNUMBER('Данные 2st'!$AX$2:$AX$317))</f>
        <v>1</v>
      </c>
      <c r="JU67">
        <f>SUMPRODUCT(--('Данные 2st'!$Q$2:$Q$317=$A67),--ISNUMBER('Данные 2st'!$AY$2:$AY$317))</f>
        <v>1</v>
      </c>
      <c r="JV67">
        <f>SUMPRODUCT(--('Данные 2st'!$Q$2:$Q$317=$A67),--ISNUMBER('Данные 2st'!$AZ$2:$AZ$317))</f>
        <v>1</v>
      </c>
      <c r="JW67">
        <f>SUMPRODUCT(--('Данные 2st'!$Q$2:$Q$317=$A67),--ISNUMBER('Данные 2st'!$BA$2:$BA$317))</f>
        <v>0</v>
      </c>
      <c r="JX67">
        <f>SUMPRODUCT(--('Данные 2st'!$Q$2:$Q$317=$A67),--ISNUMBER('Данные 2st'!$BB$2:$BB$317))</f>
        <v>0</v>
      </c>
      <c r="JY67">
        <f>SUMPRODUCT(--('Данные 2st'!$Q$2:$Q$317=$A67),--ISNUMBER('Данные 2st'!$BC$2:$BC$317))</f>
        <v>0</v>
      </c>
      <c r="JZ67">
        <f>SUMPRODUCT(--('Данные 2st'!$Q$2:$Q$317=$A67),--ISNUMBER('Данные 2st'!$BH$2:$BH$317))</f>
        <v>1</v>
      </c>
      <c r="KA67">
        <f>SUMPRODUCT(--('Данные 2st'!$Q$2:$Q$317=$A67),--ISNUMBER('Данные 2st'!$BI$2:$BI$317))</f>
        <v>1</v>
      </c>
      <c r="KB67">
        <f>SUMPRODUCT(--('Данные 2st'!$Q$2:$Q$317=$A67),--ISNUMBER('Данные 2st'!$BJ$2:$BJ$317))</f>
        <v>1</v>
      </c>
      <c r="KC67">
        <f>SUMPRODUCT(--('Данные 2st'!$Q$2:$Q$317=$A67),--ISNUMBER('Данные 2st'!$BK$2:$BK$317))</f>
        <v>1</v>
      </c>
      <c r="KD67">
        <f>SUMPRODUCT(--('Данные 2st'!$Q$2:$Q$317=$A67),--ISNUMBER('Данные 2st'!$BL$2:$BL$317))</f>
        <v>1</v>
      </c>
      <c r="KE67">
        <f>SUMPRODUCT(--('Данные 2st'!$Q$2:$Q$317=$A67),--ISNUMBER('Данные 2st'!$BM$2:$BM$317))</f>
        <v>1</v>
      </c>
      <c r="KF67">
        <f>SUMPRODUCT(--('Данные 2st'!$Q$2:$Q$317=$A67),--ISNUMBER('Данные 2st'!$BN$2:$BN$317))</f>
        <v>1</v>
      </c>
      <c r="KG67">
        <f>SUMPRODUCT(--('Данные 2st'!$Q$2:$Q$317=$A67),--ISNUMBER('Данные 2st'!$BO$2:$BO$317))</f>
        <v>0</v>
      </c>
      <c r="KH67">
        <f>SUMPRODUCT(--('Данные 2st'!$Q$2:$Q$317=$A67),--ISNUMBER('Данные 2st'!$BP$2:$BP$317))</f>
        <v>1</v>
      </c>
      <c r="KI67">
        <f>SUMPRODUCT(--('Данные 2st'!$Q$2:$Q$317=$A67),--ISNUMBER('Данные 2st'!$BR$2:$BR$317))</f>
        <v>1</v>
      </c>
      <c r="KJ67">
        <f>SUMPRODUCT(--('Данные 2st'!$Q$2:$Q$317=$A67),--ISNUMBER('Данные 2st'!$BS$2:$BS$317))</f>
        <v>1</v>
      </c>
      <c r="KK67">
        <f>SUMPRODUCT(--('Данные 2st'!$Q$2:$Q$317=$A67),--ISNUMBER('Данные 2st'!$BT$2:$BT$317))</f>
        <v>1</v>
      </c>
      <c r="KL67">
        <f>SUMPRODUCT(--('Данные 2st'!$Q$2:$Q$317=$A67),--ISNUMBER('Данные 2st'!$CV$2:$CV$317))</f>
        <v>1</v>
      </c>
      <c r="KM67">
        <f>SUMPRODUCT(--('Данные 2st'!$Q$2:$Q$317=$A67),--ISNUMBER('Данные 2st'!$CW$2:$CW$317))</f>
        <v>1</v>
      </c>
      <c r="KN67">
        <f>SUMPRODUCT(--('Данные 2st'!$Q$2:$Q$317=$A67),--ISNUMBER('Данные 2st'!$CX$2:$CX$317))</f>
        <v>1</v>
      </c>
      <c r="KO67">
        <f>SUMPRODUCT(--('Данные 2st'!$Q$2:$Q$317=$A67),--ISNUMBER('Данные 2st'!$CY$2:$CY$317))</f>
        <v>1</v>
      </c>
      <c r="KP67">
        <f>SUMPRODUCT(--('Данные 2st'!$Q$2:$Q$317=$A67),--ISNUMBER('Данные 2st'!$CZ$2:$CZ$317))</f>
        <v>1</v>
      </c>
      <c r="KQ67">
        <f>SUMPRODUCT(--('Данные 2st'!$Q$2:$Q$317=$A67),--ISNUMBER('Данные 2st'!$DA$2:$DA$317))</f>
        <v>1</v>
      </c>
      <c r="KR67">
        <f>SUMPRODUCT(--('Данные 2st'!$Q$2:$Q$317=$A67),--ISNUMBER('Данные 2st'!$DB$2:$DB$317))</f>
        <v>1</v>
      </c>
      <c r="KS67">
        <f>SUMPRODUCT(--('Данные 2st'!$Q$2:$Q$317=$A67),--ISNUMBER('Данные 2st'!$DC$2:$DC$317))</f>
        <v>1</v>
      </c>
      <c r="KT67">
        <f>SUMPRODUCT(--('Данные 2st'!$Q$2:$Q$317=$A67),--ISNUMBER('Данные 2st'!$DD$2:$DD$317))</f>
        <v>1</v>
      </c>
      <c r="KU67">
        <f>SUMPRODUCT(--('Данные 2st'!$Q$2:$Q$317=$A67),--ISNUMBER('Данные 2st'!$DE$2:$DE$317))</f>
        <v>1</v>
      </c>
      <c r="KV67">
        <f>SUMPRODUCT(--('Данные 2st'!$Q$2:$Q$317=$A67),--ISNUMBER('Данные 2st'!$DF$2:$DF$317))</f>
        <v>1</v>
      </c>
      <c r="KW67">
        <f>SUMPRODUCT(--('Данные 2st'!$Q$2:$Q$317=$A67),--ISNUMBER('Данные 2st'!$DG$2:$DG$317))</f>
        <v>1</v>
      </c>
      <c r="KX67">
        <f>SUMPRODUCT(--('Данные 2st'!$Q$2:$Q$317=$A67),--ISNUMBER('Данные 2st'!$DH$2:$DH$317))</f>
        <v>1</v>
      </c>
      <c r="KY67">
        <f>SUMPRODUCT(--('Данные 2st'!$Q$2:$Q$317=$A67),--ISNUMBER('Данные 2st'!$DI$2:$DI$317))</f>
        <v>0</v>
      </c>
      <c r="KZ67">
        <f>SUMPRODUCT(--('Данные 2st'!$Q$2:$Q$317=$A67),--ISNUMBER('Данные 2st'!$DK$2:$DK$317))</f>
        <v>1</v>
      </c>
      <c r="LA67">
        <f>SUMPRODUCT(--('Данные 2st'!$Q$2:$Q$317=$A67),--ISNUMBER('Данные 2st'!$DM$2:$DM$317))</f>
        <v>1</v>
      </c>
      <c r="LB67">
        <f>SUMPRODUCT(--('Данные 2st'!$Q$2:$Q$317=$A67),--ISNUMBER('Данные 2st'!$DN$2:$DN$317))</f>
        <v>1</v>
      </c>
      <c r="LC67">
        <f>SUMPRODUCT(--('Данные 2st'!$Q$2:$Q$317=$A67),--ISNUMBER('Данные 2st'!$DO$2:$DO$317))</f>
        <v>1</v>
      </c>
      <c r="LD67">
        <f>SUMPRODUCT(--('Данные 2st'!$Q$2:$Q$317=$A67),--ISNUMBER('Данные 2st'!$DP$2:$DP$317))</f>
        <v>1</v>
      </c>
      <c r="LE67">
        <f>SUMPRODUCT(--('Данные 2st'!$Q$2:$Q$317=$A67),--ISNUMBER('Данные 2st'!$DQ$2:$DQ$317))</f>
        <v>1</v>
      </c>
      <c r="LF67">
        <f>SUMPRODUCT(--('Данные 2st'!$Q$2:$Q$317=$A67),--ISNUMBER('Данные 2st'!$DS$2:$DS$317))</f>
        <v>1</v>
      </c>
      <c r="LG67">
        <f>SUMPRODUCT(--('Данные 2st'!$Q$2:$Q$317=$A67),--ISNUMBER('Данные 2st'!$DU$2:$DU$317))</f>
        <v>1</v>
      </c>
      <c r="LH67">
        <f>SUMPRODUCT(--('Данные 2st'!$Q$2:$Q$317=$A67),--ISNUMBER('Данные 2st'!$DV$2:$DV$317))</f>
        <v>1</v>
      </c>
      <c r="LI67">
        <f>SUMPRODUCT(--('Данные 2st'!$Q$2:$Q$317=$A67),--ISNUMBER('Данные 2st'!$DW$2:$DW$317))</f>
        <v>1</v>
      </c>
      <c r="LJ67">
        <f>SUMPRODUCT(--('Данные 2st'!$Q$2:$Q$317=$A67),--ISNUMBER('Данные 2st'!$DX$2:$DX$317))</f>
        <v>1</v>
      </c>
      <c r="LK67">
        <f>SUMPRODUCT(--('Данные 2st'!$Q$2:$Q$317=$A67),--ISNUMBER('Данные 2st'!$DY$2:$DY$317))</f>
        <v>1</v>
      </c>
      <c r="LL67">
        <f>SUMPRODUCT(--('Данные 2st'!$Q$2:$Q$317=$A67),--ISNUMBER('Данные 2st'!$EA$2:$EA$317))</f>
        <v>1</v>
      </c>
      <c r="LM67">
        <f>SUMPRODUCT(--('Данные 2st'!$Q$2:$Q$317=$A67),--ISNUMBER('Данные 2st'!$EC$2:$EC$317))</f>
        <v>1</v>
      </c>
      <c r="LN67">
        <f>SUMPRODUCT(--('Данные 2st'!$Q$2:$Q$317=$A67),--ISNUMBER('Данные 2st'!$ED$2:$ED$317))</f>
        <v>1</v>
      </c>
      <c r="LO67">
        <f>SUMPRODUCT(--('Данные 2st'!$Q$2:$Q$317=$A67),--ISNUMBER('Данные 2st'!$EE$2:$EE$317))</f>
        <v>1</v>
      </c>
      <c r="LP67">
        <f>SUMPRODUCT(--('Данные 2st'!$Q$2:$Q$317=$A67),--ISNUMBER('Данные 2st'!$EG$2:$EG$317))</f>
        <v>1</v>
      </c>
      <c r="LQ67">
        <f>SUMPRODUCT(--('Данные 2st'!$Q$2:$Q$317=$A67),--ISNUMBER('Данные 2st'!$EI$2:$EI$317))</f>
        <v>1</v>
      </c>
      <c r="LR67">
        <f>SUMPRODUCT(--('Данные 2st'!$Q$2:$Q$317=$A67),--ISNUMBER('Данные 2st'!$EJ$2:$EJ$317))</f>
        <v>0</v>
      </c>
      <c r="LS67">
        <f>SUMPRODUCT(--('Данные 2st'!$Q$2:$Q$317=$A67),--ISNUMBER('Данные 2st'!$EK$2:$EK$317))</f>
        <v>0</v>
      </c>
      <c r="LT67">
        <f>SUMPRODUCT(--('Данные 2st'!$Q$2:$Q$317=$A67),--ISNUMBER('Данные 2st'!$EM$2:$EM$317))</f>
        <v>1</v>
      </c>
      <c r="LU67">
        <f>SUMPRODUCT(--('Данные 2st'!$Q$2:$Q$317=$A67),--ISNUMBER('Данные 2st'!$EN$2:$EN$317))</f>
        <v>1</v>
      </c>
      <c r="LV67">
        <f>SUMPRODUCT(--('Данные 2st'!$Q$2:$Q$317=$A67),--ISNUMBER('Данные 2st'!$EO$2:$EO$317))</f>
        <v>1</v>
      </c>
      <c r="LW67">
        <f>SUMPRODUCT(--('Данные 2st'!$Q$2:$Q$317=$A67),--ISNUMBER('Данные 2st'!$EP$2:$EP$317))</f>
        <v>1</v>
      </c>
      <c r="LX67">
        <f>SUMPRODUCT(--('Данные 2st'!$Q$2:$Q$317=$A67),--ISNUMBER('Данные 2st'!$EQ$2:$EQ$317))</f>
        <v>1</v>
      </c>
      <c r="LY67">
        <f>SUMPRODUCT(--('Данные 2st'!$Q$2:$Q$317=$A67),--ISNUMBER('Данные 2st'!$ER$2:$ER$317))</f>
        <v>1</v>
      </c>
      <c r="LZ67">
        <f>SUMPRODUCT(--('Данные 2st'!$Q$2:$Q$317=$A67),--ISNUMBER('Данные 2st'!$ES$2:$ES$317))</f>
        <v>1</v>
      </c>
      <c r="MA67">
        <f>SUMPRODUCT(--('Данные 2st'!$Q$2:$Q$317=$A67),--ISNUMBER('Данные 2st'!$ET$2:$ET$317))</f>
        <v>1</v>
      </c>
      <c r="MB67">
        <f>SUMPRODUCT(--('Данные 2st'!$Q$2:$Q$317=$A67),--ISNUMBER('Данные 2st'!$EU$2:$EU$317))</f>
        <v>1</v>
      </c>
      <c r="MC67">
        <f>SUMPRODUCT(--('Данные 2st'!$Q$2:$Q$317=$A67),--ISNUMBER('Данные 2st'!$EV$2:$EV$317))</f>
        <v>1</v>
      </c>
      <c r="MD67">
        <f>SUMPRODUCT(--('Данные 2st'!$Q$2:$Q$317=$A67),--ISNUMBER('Данные 2st'!$EW$2:$EW$317))</f>
        <v>1</v>
      </c>
      <c r="ME67">
        <f>SUMPRODUCT(--('Данные 2st'!$Q$2:$Q$317=$A67),--ISNUMBER('Данные 2st'!$EY$2:$EY$317))</f>
        <v>1</v>
      </c>
      <c r="MF67">
        <f>SUMPRODUCT(--('Данные 2st'!$Q$2:$Q$317=$A67),--ISNUMBER('Данные 2st'!$FA$2:$FA$317))</f>
        <v>1</v>
      </c>
      <c r="MG67">
        <f>SUMPRODUCT(--('Данные 2st'!$Q$2:$Q$317=$A67),--ISNUMBER('Данные 2st'!$FB$2:$FB$317))</f>
        <v>1</v>
      </c>
      <c r="MH67">
        <f>SUMPRODUCT(--('Данные 2st'!$Q$2:$Q$317=$A67),--ISNUMBER('Данные 2st'!$FC$2:$FC$317))</f>
        <v>1</v>
      </c>
      <c r="MI67">
        <f>SUMPRODUCT(--('Данные 2st'!$Q$2:$Q$317=$A67),--ISNUMBER('Данные 2st'!$FD$2:$FD$317))</f>
        <v>1</v>
      </c>
      <c r="MJ67">
        <f>SUMPRODUCT(--('Данные 2st'!$Q$2:$Q$317=$A67),--ISNUMBER('Данные 2st'!$FE$2:$FE$317))</f>
        <v>1</v>
      </c>
      <c r="MK67">
        <f>SUMPRODUCT(--('Данные 2st'!$Q$2:$Q$317=$A67),--ISNUMBER('Данные 2st'!$FG$2:$FG$317))</f>
        <v>1</v>
      </c>
      <c r="ML67">
        <f>SUMPRODUCT(--('Данные 2st'!$Q$2:$Q$317=$A67),--ISNUMBER('Данные 2st'!$FI$2:$FI$317))</f>
        <v>1</v>
      </c>
      <c r="MM67">
        <f>SUMPRODUCT(--('Данные 2st'!$Q$2:$Q$317=$A67),--ISNUMBER('Данные 2st'!$FJ$2:$FJ$317))</f>
        <v>1</v>
      </c>
      <c r="MN67">
        <f>SUMPRODUCT(--('Данные 2st'!$Q$2:$Q$317=$A67),--ISNUMBER('Данные 2st'!$FK$2:$FK$317))</f>
        <v>1</v>
      </c>
      <c r="MO67">
        <f>SUMPRODUCT(--('Данные 2st'!$Q$2:$Q$317=$A67),--ISNUMBER('Данные 2st'!$FP$2:$FP$317))</f>
        <v>1</v>
      </c>
      <c r="MP67">
        <f>SUMPRODUCT(--('Данные 2st'!$Q$2:$Q$317=$A67),--ISNUMBER('Данные 2st'!$FQ$2:$FQ$317))</f>
        <v>1</v>
      </c>
      <c r="MQ67">
        <f>SUMPRODUCT(--('Данные 2st'!$Q$2:$Q$317=$A67),--ISNUMBER('Данные 2st'!$FS$2:$FS$317))</f>
        <v>1</v>
      </c>
      <c r="MR67">
        <f>SUMPRODUCT(--('Данные 2st'!$Q$2:$Q$317=$A67),--ISNUMBER('Данные 2st'!$FU$2:$FU$317))</f>
        <v>1</v>
      </c>
      <c r="MS67">
        <f>SUMPRODUCT(--('Данные 2st'!$Q$2:$Q$317=$A67),--ISNUMBER('Данные 2st'!$FV$2:$FV$317))</f>
        <v>1</v>
      </c>
      <c r="MT67">
        <f>SUMPRODUCT(--('Данные 2st'!$Q$2:$Q$317=$A67),--ISNUMBER('Данные 2st'!$FW$2:$FW$317))</f>
        <v>1</v>
      </c>
      <c r="MU67">
        <f>SUMPRODUCT(--('Данные 2st'!$Q$2:$Q$317=$A67),--ISNUMBER('Данные 2st'!$FY$2:$FY$317))</f>
        <v>1</v>
      </c>
      <c r="MV67">
        <f>SUMPRODUCT(--('Данные 2st'!$Q$2:$Q$317=$A67),--ISNUMBER('Данные 2st'!$GB$2:$GB$317))</f>
        <v>1</v>
      </c>
      <c r="MW67">
        <f>SUMPRODUCT(--('Данные 2st'!$Q$2:$Q$317=$A67),--ISNUMBER('Данные 2st'!$GC$2:$GC$317))</f>
        <v>1</v>
      </c>
      <c r="MX67">
        <f>SUMPRODUCT(--('Данные 2st'!$Q$2:$Q$317=$A67),--ISNUMBER('Данные 2st'!$GD$2:$GD$317))</f>
        <v>1</v>
      </c>
      <c r="MY67">
        <f>SUMPRODUCT(--('Данные 2st'!$Q$2:$Q$317=$A67),--ISNUMBER('Данные 2st'!$GN$2:$GN$317))</f>
        <v>0</v>
      </c>
      <c r="MZ67">
        <f>SUMPRODUCT(--('Данные 2st'!$Q$2:$Q$317=$A67),--ISNUMBER('Данные 2st'!$GQ$2:$GQ$317))</f>
        <v>1</v>
      </c>
      <c r="NA67">
        <f>SUMPRODUCT(--('Данные 2st'!$Q$2:$Q$317=$A67),--ISNUMBER('Данные 2st'!$GV$2:$GV$317))</f>
        <v>1</v>
      </c>
      <c r="NB67">
        <f>SUMPRODUCT(--('Данные 2st'!$Q$2:$Q$317=$A67),--ISNUMBER('Данные 2st'!$GW$2:$GW$317))</f>
        <v>1</v>
      </c>
      <c r="NC67">
        <f>SUMPRODUCT(--('Данные 2st'!$Q$2:$Q$317=$A67),--ISNUMBER('Данные 2st'!$GX$2:$GX$317))</f>
        <v>1</v>
      </c>
      <c r="ND67">
        <f>SUMPRODUCT(--('Данные 2st'!$Q$2:$Q$317=$A67),--ISNUMBER('Данные 2st'!$GY$2:$GY$317))</f>
        <v>1</v>
      </c>
      <c r="NE67">
        <f>SUMPRODUCT(--('Данные 2st'!$Q$2:$Q$317=$A67),--ISNUMBER('Данные 2st'!$GZ$2:$GZ$317))</f>
        <v>1</v>
      </c>
      <c r="NF67">
        <f>SUMPRODUCT(--('Данные 2st'!$Q$2:$Q$317=$A67),--ISNUMBER('Данные 2st'!$HA$2:$HA$317))</f>
        <v>1</v>
      </c>
      <c r="NG67">
        <f>SUMPRODUCT(--('Данные 2st'!$Q$2:$Q$317=$A67),--ISNUMBER('Данные 2st'!$HB$2:$HB$317))</f>
        <v>1</v>
      </c>
      <c r="NH67">
        <f>SUMPRODUCT(--('Данные 2st'!$Q$2:$Q$317=$A67),--ISNUMBER('Данные 2st'!$HC$2:$HC$317))</f>
        <v>1</v>
      </c>
      <c r="NI67">
        <f>SUMPRODUCT(--('Данные 2st'!$Q$2:$Q$317=$A67),--ISNUMBER('Данные 2st'!$HD$2:$HD$317))</f>
        <v>1</v>
      </c>
      <c r="NJ67">
        <f>SUMPRODUCT(--('Данные 2st'!$Q$2:$Q$317=$A67),--ISNUMBER('Данные 2st'!$HM$2:$HM$317))</f>
        <v>1</v>
      </c>
      <c r="NK67">
        <f>SUMPRODUCT(--('Данные 2st'!$Q$2:$Q$317=$A67),--ISNUMBER('Данные 2st'!$HR$2:$HR$317))</f>
        <v>1</v>
      </c>
      <c r="NL67">
        <f>SUMPRODUCT(--('Данные 2st'!$Q$2:$Q$317=$A67),--ISNUMBER('Данные 2st'!$HS$2:$HS$317))</f>
        <v>1</v>
      </c>
      <c r="NM67">
        <f>SUMPRODUCT(--('Данные 2st'!$Q$2:$Q$317=$A67),--ISNUMBER('Данные 2st'!$HT$2:$HT$317))</f>
        <v>1</v>
      </c>
      <c r="NN67">
        <f>SUMPRODUCT(--('Данные 2st'!$Q$2:$Q$317=$A67),--ISNUMBER('Данные 2st'!$HY$2:$HY$317))</f>
        <v>1</v>
      </c>
      <c r="NO67">
        <f>SUMPRODUCT(--('Данные 2st'!$Q$2:$Q$317=$A67),--ISNUMBER('Данные 2st'!$HZ$2:$HZ$317))</f>
        <v>1</v>
      </c>
      <c r="NP67">
        <f>SUMPRODUCT(--('Данные 2st'!$Q$2:$Q$317=$A67),--ISNUMBER('Данные 2st'!$IA$2:$IA$317))</f>
        <v>1</v>
      </c>
      <c r="NQ67">
        <f>SUMPRODUCT(--('Данные 2st'!$Q$2:$Q$317=$A67),--ISNUMBER('Данные 2st'!$IB$2:$IB$317))</f>
        <v>1</v>
      </c>
      <c r="NR67">
        <f>SUMPRODUCT(--('Данные 2st'!$Q$2:$Q$317=$A67),--ISNUMBER('Данные 2st'!$IC$2:$IC$317))</f>
        <v>0</v>
      </c>
      <c r="NS67">
        <f>SUMPRODUCT(--('Данные 2st'!$Q$2:$Q$317=$A67),--ISNUMBER('Данные 2st'!$ID$2:$ID$317))</f>
        <v>1</v>
      </c>
      <c r="NT67">
        <f>SUMPRODUCT(--('Данные 2st'!$Q$2:$Q$317=$A67),--ISNUMBER('Данные 2st'!$IE$2:$IE$317))</f>
        <v>1</v>
      </c>
      <c r="NU67">
        <f>SUMPRODUCT(--('Данные 2st'!$Q$2:$Q$317=$A67),--ISNUMBER('Данные 2st'!$IF$2:$IF$317))</f>
        <v>1</v>
      </c>
      <c r="NV67">
        <f>SUMPRODUCT(--('Данные 2st'!$Q$2:$Q$317=$A67),--ISNUMBER('Данные 2st'!$IG$2:$IG$317))</f>
        <v>1</v>
      </c>
      <c r="NW67">
        <f>SUMPRODUCT(--('Данные 2st'!$Q$2:$Q$317=$A67),--ISNUMBER('Данные 2st'!$IH$2:$IH$317))</f>
        <v>1</v>
      </c>
      <c r="NX67">
        <f>SUMPRODUCT(--('Данные 2st'!$Q$2:$Q$317=$A67),--ISNUMBER('Данные 2st'!$IJ$2:$IJ$317))</f>
        <v>1</v>
      </c>
      <c r="NY67">
        <f>SUMPRODUCT(--('Данные 2st'!$Q$2:$Q$317=$A67),--ISNUMBER('Данные 2st'!$IM$2:$IM$317))</f>
        <v>1</v>
      </c>
      <c r="NZ67">
        <f>SUMPRODUCT(--('Данные 2st'!$Q$2:$Q$317=$A67),--ISNUMBER('Данные 2st'!$IN$2:$IN$317))</f>
        <v>1</v>
      </c>
      <c r="OA67">
        <f>SUMPRODUCT(--('Данные 2st'!$Q$2:$Q$317=$A67),--ISNUMBER('Данные 2st'!$IO$2:$IO$317))</f>
        <v>1</v>
      </c>
      <c r="OB67">
        <f>SUMPRODUCT(--('Данные 2st'!$Q$2:$Q$317=$A67),--ISNUMBER('Данные 2st'!$IP$2:$IP$317))</f>
        <v>1</v>
      </c>
      <c r="OC67">
        <f>SUMPRODUCT(--('Данные 2st'!$Q$2:$Q$317=$A67),--ISNUMBER('Данные 2st'!$IQ$2:$IQ$317))</f>
        <v>1</v>
      </c>
      <c r="OD67">
        <f>SUMPRODUCT(--('Данные 2st'!$Q$2:$Q$317=$A67),--ISNUMBER('Данные 2st'!$IR$2:$IR$317))</f>
        <v>1</v>
      </c>
      <c r="OE67">
        <f>SUMPRODUCT(--('Данные 2st'!$Q$2:$Q$317=$A67),--ISNUMBER('Данные 2st'!$IT$2:$IT$317))</f>
        <v>1</v>
      </c>
      <c r="OF67">
        <f>SUMPRODUCT(--('Данные 2st'!$Q$2:$Q$317=$A67),--ISNUMBER('Данные 2st'!$IU$2:$IU$317))</f>
        <v>1</v>
      </c>
      <c r="OG67">
        <f>SUMPRODUCT(--('Данные 2st'!$Q$2:$Q$317=$A67),--ISNUMBER('Данные 2st'!$IV$2:$IV$317))</f>
        <v>1</v>
      </c>
      <c r="OH67">
        <f>SUMPRODUCT(--('Данные 2st'!$Q$2:$Q$317=$A67),--ISNUMBER('Данные 2st'!$IW$2:$IW$317))</f>
        <v>1</v>
      </c>
      <c r="OI67">
        <f>SUMPRODUCT(--('Данные 2st'!$Q$2:$Q$317=$A67),--ISNUMBER('Данные 2st'!$IX$2:$IX$317))</f>
        <v>1</v>
      </c>
      <c r="OJ67">
        <f>SUMPRODUCT(--('Данные 2st'!$Q$2:$Q$317=$A67),--ISNUMBER('Данные 2st'!$IY$2:$IY$317))</f>
        <v>1</v>
      </c>
      <c r="OK67">
        <f>SUMPRODUCT(--('Данные 2st'!$Q$2:$Q$317=$A67),--ISNUMBER('Данные 2st'!$IZ$2:$IZ$317))</f>
        <v>1</v>
      </c>
      <c r="OL67">
        <f>SUMPRODUCT(--('Данные 2st'!$Q$2:$Q$317=$A67),--ISNUMBER('Данные 2st'!$JA$2:$JA$317))</f>
        <v>1</v>
      </c>
      <c r="OM67">
        <f>SUMPRODUCT(--('Данные 2st'!$Q$2:$Q$317=$A67),--ISNUMBER('Данные 2st'!$JB$2:$JB$317))</f>
        <v>1</v>
      </c>
      <c r="ON67">
        <f>SUMPRODUCT(--('Данные 2st'!$Q$2:$Q$317=$A67),--ISNUMBER('Данные 2st'!$JC$2:$JC$317))</f>
        <v>1</v>
      </c>
      <c r="OO67">
        <f>SUMPRODUCT(--('Данные 2st'!$Q$2:$Q$317=$A67),--ISNUMBER('Данные 2st'!$JD$2:$JD$317))</f>
        <v>1</v>
      </c>
      <c r="OP67">
        <f>SUMPRODUCT(--('Данные 2st'!$Q$2:$Q$317=$A67),--ISNUMBER('Данные 2st'!$JE$2:$JE$317))</f>
        <v>1</v>
      </c>
      <c r="OQ67">
        <f>SUMPRODUCT(--('Данные 2st'!$Q$2:$Q$317=$A67),--ISNUMBER('Данные 2st'!$JF$2:$JF$317))</f>
        <v>1</v>
      </c>
      <c r="OR67">
        <f>SUMPRODUCT(--('Данные 2st'!$Q$2:$Q$317=$A67),--ISNUMBER('Данные 2st'!$JG$2:$JG$317))</f>
        <v>1</v>
      </c>
      <c r="OS67">
        <f>SUMPRODUCT(--('Данные 2st'!$Q$2:$Q$317=$A67),--ISNUMBER('Данные 2st'!$JH$2:$JH$317))</f>
        <v>1</v>
      </c>
      <c r="OT67">
        <f>SUMPRODUCT(--('Данные 2st'!$Q$2:$Q$317=$A67),--ISNUMBER('Данные 2st'!$JI$2:$JI$317))</f>
        <v>1</v>
      </c>
      <c r="OU67">
        <f>SUMPRODUCT(--('Данные 2st'!$Q$2:$Q$317=$A67),--ISNUMBER('Данные 2st'!$JJ$2:$JJ$317))</f>
        <v>1</v>
      </c>
      <c r="OV67">
        <f>SUMPRODUCT(--('Данные 2st'!$Q$2:$Q$317=$A67),--ISNUMBER('Данные 2st'!$JK$2:$JK$317))</f>
        <v>1</v>
      </c>
      <c r="OW67">
        <f>SUMPRODUCT(--('Данные 2st'!$Q$2:$Q$317=$A67),--ISNUMBER('Данные 2st'!$JL$2:$JL$317))</f>
        <v>1</v>
      </c>
      <c r="OX67">
        <f>SUMPRODUCT(--('Данные 2st'!$Q$2:$Q$317=$A67),--ISNUMBER('Данные 2st'!$JM$2:$JM$317))</f>
        <v>1</v>
      </c>
      <c r="OY67">
        <f>SUMPRODUCT(--('Данные 2st'!$Q$2:$Q$317=$A67),--ISNUMBER('Данные 2st'!$JP$2:$JP$317))</f>
        <v>1</v>
      </c>
      <c r="OZ67">
        <f>SUMPRODUCT(--('Данные 2st'!$Q$2:$Q$317=$A67),--ISNUMBER('Данные 2st'!$JQ$2:$JQ$317))</f>
        <v>1</v>
      </c>
      <c r="PA67">
        <f>SUMPRODUCT(--('Данные 2st'!$Q$2:$Q$317=$A67),--ISNUMBER('Данные 2st'!$JR$2:$JR$317))</f>
        <v>1</v>
      </c>
      <c r="PB67">
        <f>SUMPRODUCT(--('Данные 2st'!$Q$2:$Q$317=$A67),--ISNUMBER('Данные 2st'!$JS$2:$JS$317))</f>
        <v>1</v>
      </c>
      <c r="PC67">
        <f>SUMPRODUCT(--('Данные 2st'!$Q$2:$Q$317=$A67),--ISNUMBER('Данные 2st'!$JT$2:$JT$317))</f>
        <v>1</v>
      </c>
      <c r="PD67">
        <f>SUMPRODUCT(--('Данные 2st'!$Q$2:$Q$317=$A67),--ISNUMBER('Данные 2st'!$JU$2:$JU$317))</f>
        <v>1</v>
      </c>
      <c r="PE67">
        <f>SUMPRODUCT(--('Данные 2st'!$Q$2:$Q$317=$A67),--ISNUMBER('Данные 2st'!$JV$2:$JV$317))</f>
        <v>1</v>
      </c>
      <c r="PF67">
        <f>SUMPRODUCT(--('Данные 2st'!$Q$2:$Q$317=$A67),--ISNUMBER('Данные 2st'!$JW$2:$JW$317))</f>
        <v>1</v>
      </c>
      <c r="PG67">
        <f>SUMPRODUCT(--('Данные 2st'!$Q$2:$Q$317=$A67),--ISNUMBER('Данные 2st'!$KF$2:$KF$317))</f>
        <v>1</v>
      </c>
      <c r="PH67">
        <f>SUMPRODUCT(--('Данные 2st'!$Q$2:$Q$317=$A67),--ISNUMBER('Данные 2st'!$KG$2:$KG$317))</f>
        <v>1</v>
      </c>
      <c r="PI67">
        <f>SUMPRODUCT(--('Данные 2st'!$Q$2:$Q$317=$A67),--ISNUMBER('Данные 2st'!$KM$2:$KM$317))</f>
        <v>1</v>
      </c>
      <c r="PJ67">
        <f>SUMPRODUCT(--('Данные 2st'!$Q$2:$Q$317=$A67),--ISNUMBER('Данные 2st'!$KN$2:$KN$317))</f>
        <v>1</v>
      </c>
      <c r="PK67">
        <f>SUMPRODUCT(--('Данные 2st'!$Q$2:$Q$317=$A67),--ISNUMBER('Данные 2st'!$KO$2:$KO$317))</f>
        <v>1</v>
      </c>
      <c r="PL67">
        <f>SUMPRODUCT(--('Данные 2st'!$Q$2:$Q$317=$A67),--ISNUMBER('Данные 2st'!$KP$2:$KP$317))</f>
        <v>1</v>
      </c>
      <c r="PM67">
        <f>SUMPRODUCT(--('Данные 2st'!$Q$2:$Q$317=$A67),--ISNUMBER('Данные 2st'!$KQ$2:$KQ$317))</f>
        <v>1</v>
      </c>
      <c r="PN67">
        <f>SUMPRODUCT(--('Данные 2st'!$Q$2:$Q$317=$A67),--ISNUMBER('Данные 2st'!$KR$2:$KR$317))</f>
        <v>1</v>
      </c>
      <c r="PO67">
        <f>SUMPRODUCT(--('Данные 2st'!$Q$2:$Q$317=$A67),--ISNUMBER('Данные 2st'!$KS$2:$KS$317))</f>
        <v>1</v>
      </c>
      <c r="PP67">
        <f>SUMPRODUCT(--('Данные 2st'!$Q$2:$Q$317=$A67),--ISNUMBER('Данные 2st'!$KT$2:$KT$317))</f>
        <v>1</v>
      </c>
      <c r="PQ67">
        <f>SUMPRODUCT(--('Данные 2st'!$Q$2:$Q$317=$A67),--ISNUMBER('Данные 2st'!$KU$2:$KU$317))</f>
        <v>1</v>
      </c>
      <c r="PR67">
        <f>SUMPRODUCT(--('Данные 2st'!$Q$2:$Q$317=$A67),--ISNUMBER('Данные 2st'!$KV$2:$KV$317))</f>
        <v>1</v>
      </c>
      <c r="PS67">
        <f>SUMPRODUCT(--('Данные 2st'!$Q$2:$Q$317=$A67),--ISNUMBER('Данные 2st'!$KW$2:$KW$317))</f>
        <v>1</v>
      </c>
      <c r="PT67">
        <f>SUMPRODUCT(--('Данные 2st'!$Q$2:$Q$317=$A67),--ISNUMBER('Данные 2st'!$KX$2:$KX$317))</f>
        <v>1</v>
      </c>
      <c r="PU67">
        <f>SUMPRODUCT(--('Данные 2st'!$Q$2:$Q$317=$A67),--ISNUMBER('Данные 2st'!$KY$2:$KY$317))</f>
        <v>1</v>
      </c>
      <c r="PV67">
        <f>SUMPRODUCT(--('Данные 2st'!$Q$2:$Q$317=$A67),--ISNUMBER('Данные 2st'!$KZ$2:$KZ$317))</f>
        <v>1</v>
      </c>
      <c r="PW67">
        <f>SUMPRODUCT(--('Данные 2st'!$Q$2:$Q$317=$A67),--ISNUMBER('Данные 2st'!$LA$2:$LA$317))</f>
        <v>1</v>
      </c>
      <c r="PX67">
        <f>SUMPRODUCT(--('Данные 2st'!$Q$2:$Q$317=$A67),--ISNUMBER('Данные 2st'!$LB$2:$LB$317))</f>
        <v>1</v>
      </c>
      <c r="PY67">
        <f>SUMPRODUCT(--('Данные 2st'!$Q$2:$Q$317=$A67),--ISNUMBER('Данные 2st'!$LC$2:$LC$317))</f>
        <v>1</v>
      </c>
      <c r="PZ67">
        <f>SUMPRODUCT(--('Данные 2st'!$Q$2:$Q$317=$A67),--ISNUMBER('Данные 2st'!$LD$2:$LD$317))</f>
        <v>1</v>
      </c>
      <c r="QA67">
        <f>SUMPRODUCT(--('Данные 2st'!$Q$2:$Q$317=$A67),--ISNUMBER('Данные 2st'!$LE$2:$LE$317))</f>
        <v>1</v>
      </c>
      <c r="QB67">
        <f>SUMPRODUCT(--('Данные 2st'!$Q$2:$Q$317=$A67),--ISNUMBER('Данные 2st'!$LF$2:$LF$317))</f>
        <v>1</v>
      </c>
      <c r="QC67">
        <f>SUMPRODUCT(--('Данные 2st'!$Q$2:$Q$317=$A67),--ISNUMBER('Данные 2st'!$LG$2:$LG$317))</f>
        <v>1</v>
      </c>
      <c r="QD67">
        <f>SUMPRODUCT(--('Данные 2st'!$Q$2:$Q$317=$A67),--ISNUMBER('Данные 2st'!$LH$2:$LH$317))</f>
        <v>1</v>
      </c>
      <c r="QE67">
        <f>SUMPRODUCT(--('Данные 2st'!$Q$2:$Q$317=$A67),--ISNUMBER('Данные 2st'!$LJ$2:$LJ$317))</f>
        <v>1</v>
      </c>
      <c r="QF67">
        <f>SUMPRODUCT(--('Данные 2st'!$Q$2:$Q$317=$A67),--ISNUMBER('Данные 2st'!$LK$2:$LK$317))</f>
        <v>1</v>
      </c>
      <c r="QG67">
        <f>SUMPRODUCT(--('Данные 2st'!$Q$2:$Q$317=$A67),--ISNUMBER('Данные 2st'!$LL$2:$LL$317))</f>
        <v>1</v>
      </c>
      <c r="QH67">
        <f>SUMPRODUCT(--('Данные 2st'!$Q$2:$Q$317=$A67),--ISNUMBER('Данные 2st'!$LM$2:$LM$317))</f>
        <v>1</v>
      </c>
      <c r="QI67">
        <f>SUMPRODUCT(--('Данные 2st'!$Q$2:$Q$317=$A67),--ISNUMBER('Данные 2st'!$LN$2:$LN$317))</f>
        <v>1</v>
      </c>
      <c r="QJ67">
        <f>SUMPRODUCT(--('Данные 2st'!$Q$2:$Q$317=$A67),--ISNUMBER('Данные 2st'!$LO$2:$LO$317))</f>
        <v>1</v>
      </c>
      <c r="QK67">
        <f>SUMPRODUCT(--('Данные 2st'!$Q$2:$Q$317=$A67),--ISNUMBER('Данные 2st'!$LP$2:$LP$317))</f>
        <v>1</v>
      </c>
      <c r="QL67">
        <f>SUMPRODUCT(--('Данные 2st'!$Q$2:$Q$317=$A67),--ISNUMBER('Данные 2st'!$LQ$2:$LQ$317))</f>
        <v>1</v>
      </c>
      <c r="QM67">
        <f>SUMPRODUCT(--('Данные 2st'!$Q$2:$Q$317=$A67),--ISNUMBER('Данные 2st'!$LW$2:$LW$317))</f>
        <v>1</v>
      </c>
      <c r="QN67">
        <f>SUMPRODUCT(--('Данные 2st'!$Q$2:$Q$317=$A67),--ISNUMBER('Данные 2st'!$LX$2:$LX$317))</f>
        <v>1</v>
      </c>
      <c r="QO67">
        <f>SUMPRODUCT(--('Данные 2st'!$Q$2:$Q$317=$A67),--ISNUMBER('Данные 2st'!$LY$2:$LY$317))</f>
        <v>1</v>
      </c>
      <c r="QP67">
        <f>SUMPRODUCT(--('Данные 2st'!$Q$2:$Q$317=$A67),--ISNUMBER('Данные 2st'!$LZ$2:$LZ$317))</f>
        <v>1</v>
      </c>
      <c r="QQ67">
        <f>SUMPRODUCT(--('Данные 2st'!$Q$2:$Q$317=$A67),--ISNUMBER('Данные 2st'!$MB$2:$MB$317))</f>
        <v>1</v>
      </c>
      <c r="QR67">
        <f>SUMPRODUCT(--('Данные 2st'!$Q$2:$Q$317=$A67),--ISNUMBER('Данные 2st'!$MG$2:$MG$317))</f>
        <v>0</v>
      </c>
      <c r="QS67">
        <f>SUMPRODUCT(--('Данные 2st'!$Q$2:$Q$317=$A67),--ISNUMBER('Данные 2st'!$MH$2:$MH$317))</f>
        <v>0</v>
      </c>
      <c r="QT67">
        <f>SUMPRODUCT(--('Данные 2st'!$Q$2:$Q$317=$A67),--ISNUMBER('Данные 2st'!$MI$2:$MI$317))</f>
        <v>1</v>
      </c>
      <c r="QU67">
        <f>SUMPRODUCT(--('Данные 2st'!$Q$2:$Q$317=$A67),--ISNUMBER('Данные 2st'!$MJ$2:$MJ$317))</f>
        <v>1</v>
      </c>
      <c r="QV67">
        <f>SUMPRODUCT(--('Данные 2st'!$Q$2:$Q$317=$A67),--ISNUMBER('Данные 2st'!$MK$2:$MK$317))</f>
        <v>0</v>
      </c>
      <c r="QW67">
        <f>SUMPRODUCT(--('Данные 2st'!$Q$2:$Q$317=$A67),--ISNUMBER('Данные 2st'!$MM$2:$MM$317))</f>
        <v>1</v>
      </c>
      <c r="QX67">
        <f>SUMPRODUCT(--('Данные 2st'!$Q$2:$Q$317=$A67),--ISNUMBER('Данные 2st'!$MQ$2:$MQ$317))</f>
        <v>0</v>
      </c>
      <c r="QY67">
        <f>SUMPRODUCT(--('Данные 2st'!$Q$2:$Q$317=$A67),--ISNUMBER('Данные 2st'!$MR$2:$MR$317))</f>
        <v>0</v>
      </c>
      <c r="QZ67">
        <f>SUMPRODUCT(--('Данные 2st'!$Q$2:$Q$317=$A67),--ISNUMBER('Данные 2st'!$MS$2:$MS$317))</f>
        <v>0</v>
      </c>
      <c r="RA67">
        <f>SUMPRODUCT(--('Данные 2st'!$Q$2:$Q$317=$A67),--ISNUMBER('Данные 2st'!$MT$2:$MT$317))</f>
        <v>0</v>
      </c>
      <c r="RB67">
        <f>SUMPRODUCT(--('Данные 2st'!$Q$2:$Q$317=$A67),--ISNUMBER('Данные 2st'!$MU$2:$MU$317))</f>
        <v>0</v>
      </c>
      <c r="RC67">
        <f>SUMPRODUCT(--('Данные 2st'!$Q$2:$Q$317=$A67),--ISNUMBER('Данные 2st'!$MV$2:$MV$317))</f>
        <v>0</v>
      </c>
      <c r="RD67">
        <f>SUMPRODUCT(--('Данные 2st'!$Q$2:$Q$317=$A67),--ISNUMBER('Данные 2st'!$MW$2:$MW$317))</f>
        <v>0</v>
      </c>
      <c r="RE67">
        <f>SUMPRODUCT(--('Данные 2st'!$Q$2:$Q$317=$A67),--ISNUMBER('Данные 2st'!$MX$2:$MX$317))</f>
        <v>0</v>
      </c>
      <c r="RF67">
        <f>SUMPRODUCT(--('Данные 2st'!$Q$2:$Q$317=$A67),--ISNUMBER('Данные 2st'!$MY$2:$MY$317))</f>
        <v>0</v>
      </c>
      <c r="RG67">
        <f>SUMPRODUCT(--('Данные 2st'!$Q$2:$Q$317=$A67),--ISNUMBER('Данные 2st'!$MZ$2:$MZ$317))</f>
        <v>0</v>
      </c>
      <c r="RH67">
        <f>SUMPRODUCT(--('Данные 2st'!$Q$2:$Q$317=$A67),--ISNUMBER('Данные 2st'!$NA$2:$NA$317))</f>
        <v>0</v>
      </c>
      <c r="RI67">
        <f>SUMPRODUCT(--('Данные 2st'!$Q$2:$Q$317=$A67),--ISNUMBER('Данные 2st'!$NB$2:$NB$317))</f>
        <v>0</v>
      </c>
      <c r="RJ67">
        <f>SUMPRODUCT(--('Данные 2st'!$Q$2:$Q$317=$A67),--ISNUMBER('Данные 2st'!$NC$2:$NC$317))</f>
        <v>0</v>
      </c>
      <c r="RK67">
        <f>SUMPRODUCT(--('Данные 2st'!$Q$2:$Q$317=$A67),--ISNUMBER('Данные 2st'!$ND$2:$ND$317))</f>
        <v>0</v>
      </c>
      <c r="RL67">
        <f>SUMPRODUCT(--('Данные 2st'!$Q$2:$Q$317=$A67),--ISNUMBER('Данные 2st'!$NE$2:$NE$317))</f>
        <v>0</v>
      </c>
      <c r="RM67">
        <f>SUMPRODUCT(--('Данные 2st'!$Q$2:$Q$317=$A67),--ISNUMBER('Данные 2st'!$NF$2:$NF$317))</f>
        <v>0</v>
      </c>
      <c r="RN67">
        <f>SUMPRODUCT(--('Данные 2st'!$Q$2:$Q$317=$A67),--ISNUMBER('Данные 2st'!$NG$2:$NG$317))</f>
        <v>0</v>
      </c>
      <c r="RO67">
        <f>SUMPRODUCT(--('Данные 2st'!$Q$2:$Q$317=$A67),--ISNUMBER('Данные 2st'!$NH$2:$NH$317))</f>
        <v>0</v>
      </c>
      <c r="RP67">
        <f>SUMPRODUCT(--('Данные 2st'!$Q$2:$Q$317=$A67),--ISNUMBER('Данные 2st'!$NJ$2:$NJ$317))</f>
        <v>0</v>
      </c>
      <c r="RQ67">
        <f>SUMPRODUCT(--('Данные 2st'!$Q$2:$Q$317=$A67),--ISNUMBER('Данные 2st'!$NK$2:$NK$317))</f>
        <v>0</v>
      </c>
      <c r="RR67">
        <f>SUMPRODUCT(--('Данные 2st'!$Q$2:$Q$317=$A67),--ISNUMBER('Данные 2st'!$NM$2:$NM$317))</f>
        <v>0</v>
      </c>
      <c r="RS67">
        <f>SUMPRODUCT(--('Данные 2st'!$Q$2:$Q$317=$A67),--ISNUMBER('Данные 2st'!$NN$2:$NN$317))</f>
        <v>0</v>
      </c>
      <c r="RT67">
        <f>SUMPRODUCT(--('Данные 2st'!$Q$2:$Q$317=$A67),--ISNUMBER('Данные 2st'!$NO$2:$NO$317))</f>
        <v>0</v>
      </c>
      <c r="RU67">
        <f>SUMPRODUCT(--('Данные 2st'!$Q$2:$Q$317=$A67),--ISNUMBER('Данные 2st'!$NP$2:$NP$317))</f>
        <v>0</v>
      </c>
      <c r="RV67">
        <f>SUMPRODUCT(--('Данные 2st'!$Q$2:$Q$317=$A67),--ISNUMBER('Данные 2st'!$NQ$2:$NQ$317))</f>
        <v>0</v>
      </c>
      <c r="RW67">
        <f>SUMPRODUCT(--('Данные 2st'!$Q$2:$Q$317=$A67),--ISNUMBER('Данные 2st'!$NR$2:$NR$317))</f>
        <v>0</v>
      </c>
      <c r="RX67">
        <f>SUMPRODUCT(--('Данные 2st'!$Q$2:$Q$317=$A67),--ISNUMBER('Данные 2st'!$NS$2:$NS$317))</f>
        <v>0</v>
      </c>
      <c r="RY67">
        <f>SUMPRODUCT(--('Данные 2st'!$Q$2:$Q$317=$A67),--ISNUMBER('Данные 2st'!$NT$2:$NT$317))</f>
        <v>0</v>
      </c>
      <c r="RZ67">
        <f>SUMPRODUCT(--('Данные 2st'!$Q$2:$Q$317=$A67),--ISNUMBER('Данные 2st'!$OK$2:$OK$317))</f>
        <v>1</v>
      </c>
      <c r="SA67">
        <f>SUMPRODUCT(--('Данные 2st'!$Q$2:$Q$317=$A67),--ISNUMBER('Данные 2st'!$OL$2:$OL$317))</f>
        <v>1</v>
      </c>
      <c r="SB67">
        <f>SUMPRODUCT(--('Данные 2st'!$Q$2:$Q$317=$A67),--ISNUMBER('Данные 2st'!$ON$2:$ON$317))</f>
        <v>1</v>
      </c>
      <c r="SC67">
        <f>SUMPRODUCT(--('Данные 2st'!$Q$2:$Q$317=$A67),--ISNUMBER('Данные 2st'!$OO$2:$OO$317))</f>
        <v>1</v>
      </c>
      <c r="SD67">
        <f>SUMPRODUCT(--('Данные 2st'!$Q$2:$Q$317=$A67),--ISNUMBER('Данные 2st'!$OP$2:$OP$317))</f>
        <v>1</v>
      </c>
      <c r="SE67">
        <f>SUMPRODUCT(--('Данные 2st'!$Q$2:$Q$317=$A67),--ISNUMBER('Данные 2st'!$OQ$2:$OQ$317))</f>
        <v>1</v>
      </c>
      <c r="SF67">
        <f>SUMPRODUCT(--('Данные 2st'!$Q$2:$Q$317=$A67),--ISNUMBER('Данные 2st'!$OS$2:$OS$317))</f>
        <v>1</v>
      </c>
      <c r="SG67">
        <f>SUMPRODUCT(--('Данные 2st'!$Q$2:$Q$317=$A67),--ISNUMBER('Данные 2st'!$OT$2:$OT$317))</f>
        <v>1</v>
      </c>
      <c r="SH67">
        <f>SUMPRODUCT(--('Данные 2st'!$Q$2:$Q$317=$A67),--ISNUMBER('Данные 2st'!$OU$2:$OU$317))</f>
        <v>1</v>
      </c>
      <c r="SI67">
        <f>SUMPRODUCT(--('Данные 2st'!$Q$2:$Q$317=$A67),--ISNUMBER('Данные 2st'!$OV$2:$OV$317))</f>
        <v>1</v>
      </c>
      <c r="SJ67">
        <f>SUMPRODUCT(--('Данные 2st'!$Q$2:$Q$317=$A67),--ISNUMBER('Данные 2st'!$OX$2:$OX$317))</f>
        <v>1</v>
      </c>
      <c r="SK67">
        <f>SUMPRODUCT(--('Данные 2st'!$Q$2:$Q$317=$A67),--ISNUMBER('Данные 2st'!$OY$2:$OY$317))</f>
        <v>1</v>
      </c>
      <c r="SL67">
        <f>SUMPRODUCT(--('Данные 2st'!$Q$2:$Q$317=$A67),--ISNUMBER('Данные 2st'!$OZ$2:$OZ$317))</f>
        <v>1</v>
      </c>
      <c r="SM67">
        <f>SUMPRODUCT(--('Данные 2st'!$Q$2:$Q$317=$A67),--ISNUMBER('Данные 2st'!$PA$2:$PA$317))</f>
        <v>1</v>
      </c>
      <c r="SN67">
        <f>SUMPRODUCT(--('Данные 2st'!$Q$2:$Q$317=$A67),--ISNUMBER('Данные 2st'!$PC$2:$PC$317))</f>
        <v>1</v>
      </c>
      <c r="SO67">
        <f>SUMPRODUCT(--('Данные 2st'!$Q$2:$Q$317=$A67),--ISNUMBER('Данные 2st'!$PD$2:$PD$317))</f>
        <v>1</v>
      </c>
      <c r="SP67">
        <f>SUMPRODUCT(--('Данные 2st'!$Q$2:$Q$317=$A67),--ISNUMBER('Данные 2st'!$PF$2:$PF$317))</f>
        <v>1</v>
      </c>
      <c r="SQ67">
        <f>SUMPRODUCT(--('Данные 2st'!$Q$2:$Q$317=$A67),--ISNUMBER('Данные 2st'!$PG$2:$PG$317))</f>
        <v>1</v>
      </c>
      <c r="SR67">
        <f>SUMPRODUCT(--('Данные 2st'!$Q$2:$Q$317=$A67),--ISNUMBER('Данные 2st'!$PH$2:$PH$317))</f>
        <v>1</v>
      </c>
      <c r="SS67">
        <f>SUMPRODUCT(--('Данные 2st'!$Q$2:$Q$317=$A67),--ISNUMBER('Данные 2st'!$PI$2:$PI$317))</f>
        <v>1</v>
      </c>
      <c r="ST67">
        <f>SUMPRODUCT(--('Данные 2st'!$Q$2:$Q$317=$A67),--ISNUMBER('Данные 2st'!$PJ$2:$PJ$317))</f>
        <v>1</v>
      </c>
      <c r="SU67">
        <f>SUMPRODUCT(--('Данные 2st'!$Q$2:$Q$317=$A67),--ISNUMBER('Данные 2st'!$PK$2:$PK$317))</f>
        <v>0</v>
      </c>
      <c r="SV67">
        <f>SUMPRODUCT(--('Данные 2st'!$Q$2:$Q$317=$A67),--ISNUMBER('Данные 2st'!$PL$2:$PL$317))</f>
        <v>1</v>
      </c>
      <c r="SW67">
        <f>SUMPRODUCT(--('Данные 2st'!$Q$2:$Q$317=$A67),--ISNUMBER('Данные 2st'!$PM$2:$PM$317))</f>
        <v>1</v>
      </c>
      <c r="SX67">
        <f>SUMPRODUCT(--('Данные 2st'!$Q$2:$Q$317=$A67),--ISNUMBER('Данные 2st'!$PN$2:$PN$317))</f>
        <v>1</v>
      </c>
      <c r="SY67">
        <f>SUMPRODUCT(--('Данные 2st'!$Q$2:$Q$317=$A67),--ISNUMBER('Данные 2st'!$PO$2:$PO$317))</f>
        <v>1</v>
      </c>
      <c r="SZ67">
        <f>SUMPRODUCT(--('Данные 2st'!$Q$2:$Q$317=$A67),--ISNUMBER('Данные 2st'!$PP$2:$PP$317))</f>
        <v>1</v>
      </c>
      <c r="TA67">
        <f>SUMPRODUCT(--('Данные 2st'!$Q$2:$Q$317=$A67),--ISNUMBER('Данные 2st'!$PQ$2:$PQ$317))</f>
        <v>1</v>
      </c>
      <c r="TB67">
        <f>SUMPRODUCT(--('Данные 2st'!$Q$2:$Q$317=$A67),--ISNUMBER('Данные 2st'!$PR$2:$PR$317))</f>
        <v>1</v>
      </c>
      <c r="TC67">
        <f>SUMPRODUCT(--('Данные 2st'!$Q$2:$Q$317=$A67),--ISNUMBER('Данные 2st'!$PS$2:$PS$317))</f>
        <v>1</v>
      </c>
      <c r="TD67">
        <f>SUMPRODUCT(--('Данные 2st'!$Q$2:$Q$317=$A67),--ISNUMBER('Данные 2st'!$PT$2:$PT$317))</f>
        <v>1</v>
      </c>
      <c r="TE67">
        <f>SUMPRODUCT(--('Данные 2st'!$Q$2:$Q$317=$A67),--ISNUMBER('Данные 2st'!$PU$2:$PU$317))</f>
        <v>1</v>
      </c>
      <c r="TF67">
        <f>SUMPRODUCT(--('Данные 2st'!$Q$2:$Q$317=$A67),--ISNUMBER('Данные 2st'!$PX$2:$PX$317))</f>
        <v>1</v>
      </c>
      <c r="TG67">
        <f>SUMPRODUCT(--('Данные 2st'!$Q$2:$Q$317=$A67),--ISNUMBER('Данные 2st'!$PY$2:$PY$317))</f>
        <v>1</v>
      </c>
      <c r="TH67">
        <f>SUMPRODUCT(--('Данные 2st'!$Q$2:$Q$317=$A67),--ISNUMBER('Данные 2st'!$PZ$2:$PZ$317))</f>
        <v>1</v>
      </c>
      <c r="TI67">
        <f>SUMPRODUCT(--('Данные 2st'!$Q$2:$Q$317=$A67),--ISNUMBER('Данные 2st'!$QA$2:$QA$317))</f>
        <v>1</v>
      </c>
      <c r="TJ67">
        <f>SUMPRODUCT(--('Данные 2st'!$Q$2:$Q$317=$A67),--ISNUMBER('Данные 2st'!$QB$2:$QB$317))</f>
        <v>1</v>
      </c>
      <c r="TK67">
        <f>SUMPRODUCT(--('Данные 2st'!$Q$2:$Q$317=$A67),--ISNUMBER('Данные 2st'!$QC$2:$QC$317))</f>
        <v>1</v>
      </c>
      <c r="TL67">
        <f>SUMPRODUCT(--('Данные 2st'!$Q$2:$Q$317=$A67),--ISNUMBER('Данные 2st'!$QD$2:$QD$317))</f>
        <v>1</v>
      </c>
      <c r="TM67">
        <f>SUMPRODUCT(--('Данные 2st'!$Q$2:$Q$317=$A67),--ISNUMBER('Данные 2st'!$QE$2:$QE$317))</f>
        <v>1</v>
      </c>
      <c r="TN67">
        <f>SUMPRODUCT(--('Данные 2st'!$Q$2:$Q$317=$A67),--ISNUMBER('Данные 2st'!$QF$2:$QF$317))</f>
        <v>1</v>
      </c>
      <c r="TO67">
        <f>SUMPRODUCT(--('Данные 2st'!$Q$2:$Q$317=$A67),--ISNUMBER('Данные 2st'!$QG$2:$QG$317))</f>
        <v>1</v>
      </c>
      <c r="TP67">
        <f>SUMPRODUCT(--('Данные 2st'!$Q$2:$Q$317=$A67),--ISNUMBER('Данные 2st'!$QH$2:$QH$317))</f>
        <v>1</v>
      </c>
      <c r="TQ67">
        <f>SUMPRODUCT(--('Данные 2st'!$Q$2:$Q$317=$A67),--ISNUMBER('Данные 2st'!$QI$2:$QI$317))</f>
        <v>1</v>
      </c>
      <c r="TR67">
        <f>SUMPRODUCT(--('Данные 2st'!$Q$2:$Q$317=$A67),--ISNUMBER('Данные 2st'!$QJ$2:$QJ$317))</f>
        <v>1</v>
      </c>
      <c r="TS67">
        <f>SUMPRODUCT(--('Данные 2st'!$Q$2:$Q$317=$A67),--ISNUMBER('Данные 2st'!$QK$2:$QK$317))</f>
        <v>1</v>
      </c>
      <c r="TT67">
        <f>SUMPRODUCT(--('Данные 2st'!$Q$2:$Q$317=$A67),--ISNUMBER('Данные 2st'!$QL$2:$QL$317))</f>
        <v>1</v>
      </c>
      <c r="TU67">
        <f>SUMPRODUCT(--('Данные 2st'!$Q$2:$Q$317=$A67),--ISNUMBER('Данные 2st'!$QM$2:$QM$317))</f>
        <v>1</v>
      </c>
      <c r="TV67">
        <f>SUMPRODUCT(--('Данные 2st'!$Q$2:$Q$317=$A67),--ISNUMBER('Данные 2st'!$QN$2:$QN$317))</f>
        <v>1</v>
      </c>
      <c r="TW67">
        <f>SUMPRODUCT(--('Данные 2st'!$Q$2:$Q$317=$A67),--ISNUMBER('Данные 2st'!$QQ$2:$QQ$317))</f>
        <v>1</v>
      </c>
      <c r="TX67">
        <f>SUMPRODUCT(--('Данные 2st'!$Q$2:$Q$317=$A67),--ISNUMBER('Данные 2st'!$QS$2:$QS$317))</f>
        <v>1</v>
      </c>
      <c r="TY67">
        <f>SUMPRODUCT(--('Данные 2st'!$Q$2:$Q$317=$A67),--ISNUMBER('Данные 2st'!$QT$2:$QT$317))</f>
        <v>1</v>
      </c>
    </row>
    <row r="68" spans="1:545" ht="32" customHeight="1">
      <c r="A68" s="11" t="str">
        <f>'По размерам'!A68</f>
        <v>255/45R20</v>
      </c>
      <c r="G68">
        <f>SUMPRODUCT(--('Данные 1st'!$S$2:$S$317=$A68),--ISNUMBER('Данные 1st'!$AE$2:$AE$317))</f>
        <v>6</v>
      </c>
      <c r="H68">
        <f>SUMPRODUCT(--('Данные 1st'!$S$2:$S$317=$A68),--ISNUMBER('Данные 1st'!$AF$2:$AF$317))</f>
        <v>6</v>
      </c>
      <c r="I68">
        <f>SUMPRODUCT(--('Данные 1st'!$S$2:$S$317=$A68),--ISNUMBER('Данные 1st'!$AJ$2:$AJ$317))</f>
        <v>6</v>
      </c>
      <c r="J68">
        <f>SUMPRODUCT(--('Данные 1st'!$S$2:$S$317=$A68),--ISNUMBER('Данные 1st'!$AL$2:$AL$317))</f>
        <v>6</v>
      </c>
      <c r="K68">
        <f>SUMPRODUCT(--('Данные 1st'!$S$2:$S$317=$A68),--ISNUMBER('Данные 1st'!$AR$2:$AR$317))</f>
        <v>6</v>
      </c>
      <c r="L68">
        <f>SUMPRODUCT(--('Данные 1st'!$S$2:$S$317=$A68),--ISNUMBER('Данные 1st'!$AS$2:$AS$317))</f>
        <v>6</v>
      </c>
      <c r="M68">
        <f>SUMPRODUCT(--('Данные 1st'!$S$2:$S$317=$A68),--ISNUMBER('Данные 1st'!$AY$2:$AY$317))</f>
        <v>6</v>
      </c>
      <c r="N68">
        <f>SUMPRODUCT(--('Данные 1st'!$S$2:$S$317=$A68),--ISNUMBER('Данные 1st'!$AZ$2:$AZ$317))</f>
        <v>6</v>
      </c>
      <c r="O68">
        <f>SUMPRODUCT(--('Данные 1st'!$S$2:$S$317=$A68),--ISNUMBER('Данные 1st'!$BF$2:$BF$317))</f>
        <v>6</v>
      </c>
      <c r="P68">
        <f>SUMPRODUCT(--('Данные 1st'!$S$2:$S$317=$A68),--ISNUMBER('Данные 1st'!$BG$2:$BG$317))</f>
        <v>6</v>
      </c>
      <c r="Q68">
        <f>SUMPRODUCT(--('Данные 1st'!$S$2:$S$317=$A68),--ISNUMBER('Данные 1st'!$BM$2:$BM$317))</f>
        <v>0</v>
      </c>
      <c r="R68">
        <f>SUMPRODUCT(--('Данные 1st'!$S$2:$S$317=$A68),--ISNUMBER('Данные 1st'!$BN$2:$BN$317))</f>
        <v>6</v>
      </c>
      <c r="S68">
        <f>SUMPRODUCT(--('Данные 1st'!$S$2:$S$317=$A68),--ISNUMBER('Данные 1st'!$BT$2:$BT$317))</f>
        <v>6</v>
      </c>
      <c r="T68">
        <f>SUMPRODUCT(--('Данные 1st'!$S$2:$S$317=$A68),--ISNUMBER('Данные 1st'!$BU$2:$BU$317))</f>
        <v>6</v>
      </c>
      <c r="U68">
        <f>SUMPRODUCT(--('Данные 1st'!$S$2:$S$317=$A68),--ISNUMBER('Данные 1st'!$BW$2:$BW$317))</f>
        <v>6</v>
      </c>
      <c r="V68">
        <f>SUMPRODUCT(--('Данные 1st'!$S$2:$S$317=$A68),--ISNUMBER('Данные 1st'!$BX$2:$BX$317))</f>
        <v>6</v>
      </c>
      <c r="W68">
        <f>SUMPRODUCT(--('Данные 1st'!$S$2:$S$317=$A68),--ISNUMBER('Данные 1st'!$BZ$2:$BZ$317))</f>
        <v>6</v>
      </c>
      <c r="X68">
        <f>SUMPRODUCT(--('Данные 1st'!$S$2:$S$317=$A68),--ISNUMBER('Данные 1st'!$CA$2:$CA$317))</f>
        <v>6</v>
      </c>
      <c r="Y68">
        <f>SUMPRODUCT(--('Данные 1st'!$S$2:$S$317=$A68),--ISNUMBER('Данные 1st'!$CD$2:$CD$317))</f>
        <v>6</v>
      </c>
      <c r="Z68">
        <f>SUMPRODUCT(--('Данные 1st'!$S$2:$S$317=$A68),--ISNUMBER('Данные 1st'!$CF$2:$CF$317))</f>
        <v>6</v>
      </c>
      <c r="AA68">
        <f>SUMPRODUCT(--('Данные 1st'!$S$2:$S$317=$A68),--ISNUMBER('Данные 1st'!$CI$2:$CI$317))</f>
        <v>6</v>
      </c>
      <c r="AB68">
        <f>SUMPRODUCT(--('Данные 1st'!$S$2:$S$317=$A68),--ISNUMBER('Данные 1st'!$CJ$2:$CJ$317))</f>
        <v>6</v>
      </c>
      <c r="AC68">
        <f>SUMPRODUCT(--('Данные 1st'!$S$2:$S$317=$A68),--ISNUMBER('Данные 1st'!$CK$2:$CK$317))</f>
        <v>6</v>
      </c>
      <c r="AD68">
        <f>SUMPRODUCT(--('Данные 1st'!$S$2:$S$317=$A68),--ISNUMBER('Данные 1st'!$CL$2:$CL$317))</f>
        <v>6</v>
      </c>
      <c r="AE68">
        <f>SUMPRODUCT(--('Данные 1st'!$S$2:$S$317=$A68),--ISNUMBER('Данные 1st'!$CM$2:$CM$317))</f>
        <v>6</v>
      </c>
      <c r="AF68">
        <f>SUMPRODUCT(--('Данные 1st'!$S$2:$S$317=$A68),--ISNUMBER('Данные 1st'!$CT$2:$CT$317))</f>
        <v>6</v>
      </c>
      <c r="AG68">
        <f>SUMPRODUCT(--('Данные 1st'!$S$2:$S$317=$A68),--ISNUMBER('Данные 1st'!$CU$2:$CU$317))</f>
        <v>6</v>
      </c>
      <c r="AH68">
        <f>SUMPRODUCT(--('Данные 1st'!$S$2:$S$317=$A68),--ISNUMBER('Данные 1st'!$CV$2:$CV$317))</f>
        <v>6</v>
      </c>
      <c r="AI68">
        <f>SUMPRODUCT(--('Данные 1st'!$S$2:$S$317=$A68),--ISNUMBER('Данные 1st'!$CW$2:$CW$317))</f>
        <v>6</v>
      </c>
      <c r="AJ68">
        <f>SUMPRODUCT(--('Данные 1st'!$S$2:$S$317=$A68),--ISNUMBER('Данные 1st'!$CX$2:$CX$317))</f>
        <v>6</v>
      </c>
      <c r="AK68">
        <f>SUMPRODUCT(--('Данные 1st'!$S$2:$S$317=$A68),--ISNUMBER('Данные 1st'!$CZ$2:$CZ$317))</f>
        <v>6</v>
      </c>
      <c r="AL68">
        <f>SUMPRODUCT(--('Данные 1st'!$S$2:$S$317=$A68),--ISNUMBER('Данные 1st'!$DA$2:$DA$317))</f>
        <v>6</v>
      </c>
      <c r="AM68">
        <f>SUMPRODUCT(--('Данные 1st'!$S$2:$S$317=$A68),--ISNUMBER('Данные 1st'!$DB$2:$DB$317))</f>
        <v>6</v>
      </c>
      <c r="AN68">
        <f>SUMPRODUCT(--('Данные 1st'!$S$2:$S$317=$A68),--ISNUMBER('Данные 1st'!$DC$2:$DC$317))</f>
        <v>6</v>
      </c>
      <c r="AO68">
        <f>SUMPRODUCT(--('Данные 1st'!$S$2:$S$317=$A68),--ISNUMBER('Данные 1st'!$DD$2:$DD$317))</f>
        <v>6</v>
      </c>
      <c r="AP68">
        <f>SUMPRODUCT(--('Данные 1st'!$S$2:$S$317=$A68),--ISNUMBER('Данные 1st'!$DF$2:$DF$317))</f>
        <v>6</v>
      </c>
      <c r="AQ68">
        <f>SUMPRODUCT(--('Данные 1st'!$S$2:$S$317=$A68),--ISNUMBER('Данные 1st'!$DG$2:$DG$317))</f>
        <v>6</v>
      </c>
      <c r="AR68">
        <f>SUMPRODUCT(--('Данные 1st'!$S$2:$S$317=$A68),--ISNUMBER('Данные 1st'!$DH$2:$DH$317))</f>
        <v>6</v>
      </c>
      <c r="AS68">
        <f>SUMPRODUCT(--('Данные 1st'!$S$2:$S$317=$A68),--ISNUMBER('Данные 1st'!$DI$2:$DI$317))</f>
        <v>6</v>
      </c>
      <c r="AT68">
        <f>SUMPRODUCT(--('Данные 1st'!$S$2:$S$317=$A68),--ISNUMBER('Данные 1st'!$DJ$2:$DJ$317))</f>
        <v>6</v>
      </c>
      <c r="AU68">
        <f>SUMPRODUCT(--('Данные 1st'!$S$2:$S$317=$A68),--ISNUMBER('Данные 1st'!$DL$2:$DL$317))</f>
        <v>6</v>
      </c>
      <c r="AV68">
        <f>SUMPRODUCT(--('Данные 1st'!$S$2:$S$317=$A68),--ISNUMBER('Данные 1st'!$DM$2:$DM$317))</f>
        <v>6</v>
      </c>
      <c r="AW68">
        <f>SUMPRODUCT(--('Данные 1st'!$S$2:$S$317=$A68),--ISNUMBER('Данные 1st'!$DN$2:$DN$317))</f>
        <v>6</v>
      </c>
      <c r="AX68">
        <f>SUMPRODUCT(--('Данные 1st'!$S$2:$S$317=$A68),--ISNUMBER('Данные 1st'!$DO$2:$DO$317))</f>
        <v>6</v>
      </c>
      <c r="AY68">
        <f>SUMPRODUCT(--('Данные 1st'!$S$2:$S$317=$A68),--ISNUMBER('Данные 1st'!$DP$2:$DP$317))</f>
        <v>6</v>
      </c>
      <c r="AZ68">
        <f>SUMPRODUCT(--('Данные 1st'!$S$2:$S$317=$A68),--ISNUMBER('Данные 1st'!$DR$2:$DR$317))</f>
        <v>0</v>
      </c>
      <c r="BA68">
        <f>SUMPRODUCT(--('Данные 1st'!$S$2:$S$317=$A68),--ISNUMBER('Данные 1st'!$DS$2:$DS$317))</f>
        <v>0</v>
      </c>
      <c r="BB68">
        <f>SUMPRODUCT(--('Данные 1st'!$S$2:$S$317=$A68),--ISNUMBER('Данные 1st'!$DT$2:$DT$317))</f>
        <v>0</v>
      </c>
      <c r="BC68">
        <f>SUMPRODUCT(--('Данные 1st'!$S$2:$S$317=$A68),--ISNUMBER('Данные 1st'!$DU$2:$DU$317))</f>
        <v>0</v>
      </c>
      <c r="BD68">
        <f>SUMPRODUCT(--('Данные 1st'!$S$2:$S$317=$A68),--ISNUMBER('Данные 1st'!$DV$2:$DV$317))</f>
        <v>0</v>
      </c>
      <c r="BE68">
        <f>SUMPRODUCT(--('Данные 1st'!$S$2:$S$317=$A68),--ISNUMBER('Данные 1st'!$DX$2:$DX$317))</f>
        <v>6</v>
      </c>
      <c r="BF68">
        <f>SUMPRODUCT(--('Данные 1st'!$S$2:$S$317=$A68),--ISNUMBER('Данные 1st'!$EA$2:$EA$317))</f>
        <v>6</v>
      </c>
      <c r="BG68">
        <f>SUMPRODUCT(--('Данные 1st'!$S$2:$S$317=$A68),--ISNUMBER('Данные 1st'!$EB$2:$EB$317))</f>
        <v>6</v>
      </c>
      <c r="BH68">
        <f>SUMPRODUCT(--('Данные 1st'!$S$2:$S$317=$A68),--ISNUMBER('Данные 1st'!$ED$2:$ED$317))</f>
        <v>6</v>
      </c>
      <c r="BI68">
        <f>SUMPRODUCT(--('Данные 1st'!$S$2:$S$317=$A68),--ISNUMBER('Данные 1st'!$EE$2:$EE$317))</f>
        <v>6</v>
      </c>
      <c r="BJ68">
        <f>SUMPRODUCT(--('Данные 1st'!$S$2:$S$317=$A68),--ISNUMBER('Данные 1st'!$EG$2:$EG$317))</f>
        <v>6</v>
      </c>
      <c r="BK68">
        <f>SUMPRODUCT(--('Данные 1st'!$S$2:$S$317=$A68),--ISNUMBER('Данные 1st'!$EH$2:$EH$317))</f>
        <v>6</v>
      </c>
      <c r="BL68">
        <f>SUMPRODUCT(--('Данные 1st'!$S$2:$S$317=$A68),--ISNUMBER('Данные 1st'!$EJ$2:$EJ$317))</f>
        <v>6</v>
      </c>
      <c r="BM68">
        <f>SUMPRODUCT(--('Данные 1st'!$S$2:$S$317=$A68),--ISNUMBER('Данные 1st'!$EK$2:$EK$317))</f>
        <v>6</v>
      </c>
      <c r="BN68">
        <f>SUMPRODUCT(--('Данные 1st'!$S$2:$S$317=$A68),--ISNUMBER('Данные 1st'!$EN$2:$EN$317))</f>
        <v>6</v>
      </c>
      <c r="BO68">
        <f>SUMPRODUCT(--('Данные 1st'!$S$2:$S$317=$A68),--ISNUMBER('Данные 1st'!$EQ$2:$EQ$317))</f>
        <v>6</v>
      </c>
      <c r="BP68">
        <f>SUMPRODUCT(--('Данные 1st'!$S$2:$S$317=$A68),--ISNUMBER('Данные 1st'!$ER$2:$ER$317))</f>
        <v>6</v>
      </c>
      <c r="BQ68">
        <f>SUMPRODUCT(--('Данные 1st'!$S$2:$S$317=$A68),--ISNUMBER('Данные 1st'!$ES$2:$ES$317))</f>
        <v>6</v>
      </c>
      <c r="BR68">
        <f>SUMPRODUCT(--('Данные 1st'!$S$2:$S$317=$A68),--ISNUMBER('Данные 1st'!$ET$2:$ET$317))</f>
        <v>6</v>
      </c>
      <c r="BS68">
        <f>SUMPRODUCT(--('Данные 1st'!$S$2:$S$317=$A68),--ISNUMBER('Данные 1st'!$EU$2:$EU$317))</f>
        <v>6</v>
      </c>
      <c r="BT68">
        <f>SUMPRODUCT(--('Данные 1st'!$S$2:$S$317=$A68),--ISNUMBER('Данные 1st'!$EV$2:$EV$317))</f>
        <v>6</v>
      </c>
      <c r="BU68">
        <f>SUMPRODUCT(--('Данные 1st'!$S$2:$S$317=$A68),--ISNUMBER('Данные 1st'!$EX$2:$EX$317))</f>
        <v>6</v>
      </c>
      <c r="BV68">
        <f>SUMPRODUCT(--('Данные 1st'!$S$2:$S$317=$A68),--ISNUMBER('Данные 1st'!$EY$2:$EY$317))</f>
        <v>6</v>
      </c>
      <c r="BW68">
        <f>SUMPRODUCT(--('Данные 1st'!$S$2:$S$317=$A68),--ISNUMBER('Данные 1st'!$EZ$2:$EZ$317))</f>
        <v>6</v>
      </c>
      <c r="BX68">
        <f>SUMPRODUCT(--('Данные 1st'!$S$2:$S$317=$A68),--ISNUMBER('Данные 1st'!$FA$2:$FA$317))</f>
        <v>6</v>
      </c>
      <c r="BY68">
        <f>SUMPRODUCT(--('Данные 1st'!$S$2:$S$317=$A68),--ISNUMBER('Данные 1st'!$FB$2:$FB$317))</f>
        <v>6</v>
      </c>
      <c r="BZ68">
        <f>SUMPRODUCT(--('Данные 1st'!$S$2:$S$317=$A68),--ISNUMBER('Данные 1st'!$FC$2:$FC$317))</f>
        <v>6</v>
      </c>
      <c r="CA68">
        <f>SUMPRODUCT(--('Данные 1st'!$S$2:$S$317=$A68),--ISNUMBER('Данные 1st'!$FE$2:$FE$317))</f>
        <v>6</v>
      </c>
      <c r="CB68">
        <f>SUMPRODUCT(--('Данные 1st'!$S$2:$S$317=$A68),--ISNUMBER('Данные 1st'!$FF$2:$FF$317))</f>
        <v>6</v>
      </c>
      <c r="CC68">
        <f>SUMPRODUCT(--('Данные 1st'!$S$2:$S$317=$A68),--ISNUMBER('Данные 1st'!$FI$2:$FI$317))</f>
        <v>6</v>
      </c>
      <c r="CD68">
        <f>SUMPRODUCT(--('Данные 1st'!$S$2:$S$317=$A68),--ISNUMBER('Данные 1st'!$FL$2:$FL$317))</f>
        <v>6</v>
      </c>
      <c r="CE68">
        <f>SUMPRODUCT(--('Данные 1st'!$S$2:$S$317=$A68),--ISNUMBER('Данные 1st'!$FM$2:$FM$317))</f>
        <v>6</v>
      </c>
      <c r="CF68">
        <f>SUMPRODUCT(--('Данные 1st'!$S$2:$S$317=$A68),--ISNUMBER('Данные 1st'!$FN$2:$FN$317))</f>
        <v>6</v>
      </c>
      <c r="CG68">
        <f>SUMPRODUCT(--('Данные 1st'!$S$2:$S$317=$A68),--ISNUMBER('Данные 1st'!$FO$2:$FO$317))</f>
        <v>6</v>
      </c>
      <c r="CH68">
        <f>SUMPRODUCT(--('Данные 1st'!$S$2:$S$317=$A68),--ISNUMBER('Данные 1st'!$FP$2:$FP$317))</f>
        <v>6</v>
      </c>
      <c r="CI68">
        <f>SUMPRODUCT(--('Данные 1st'!$S$2:$S$317=$A68),--ISNUMBER('Данные 1st'!$FS$2:$FS$317))</f>
        <v>0</v>
      </c>
      <c r="CJ68">
        <f>SUMPRODUCT(--('Данные 1st'!$S$2:$S$317=$A68),--ISNUMBER('Данные 1st'!$FT$2:$FT$317))</f>
        <v>0</v>
      </c>
      <c r="CK68">
        <f>SUMPRODUCT(--('Данные 1st'!$S$2:$S$317=$A68),--ISNUMBER('Данные 1st'!$FU$2:$FU$317))</f>
        <v>0</v>
      </c>
      <c r="CL68">
        <f>SUMPRODUCT(--('Данные 1st'!$S$2:$S$317=$A68),--ISNUMBER('Данные 1st'!$FV$2:$FV$317))</f>
        <v>0</v>
      </c>
      <c r="CM68">
        <f>SUMPRODUCT(--('Данные 1st'!$S$2:$S$317=$A68),--ISNUMBER('Данные 1st'!$FW$2:$FW$317))</f>
        <v>0</v>
      </c>
      <c r="CN68">
        <f>SUMPRODUCT(--('Данные 1st'!$S$2:$S$317=$A68),--ISNUMBER('Данные 1st'!$FZ$2:$FZ$317))</f>
        <v>0</v>
      </c>
      <c r="CO68">
        <f>SUMPRODUCT(--('Данные 1st'!$S$2:$S$317=$A68),--ISNUMBER('Данные 1st'!$GA$2:$GA$317))</f>
        <v>0</v>
      </c>
      <c r="CP68">
        <f>SUMPRODUCT(--('Данные 1st'!$S$2:$S$317=$A68),--ISNUMBER('Данные 1st'!$GB$2:$GB$317))</f>
        <v>0</v>
      </c>
      <c r="CQ68">
        <f>SUMPRODUCT(--('Данные 1st'!$S$2:$S$317=$A68),--ISNUMBER('Данные 1st'!$GH$2:$GH$317))</f>
        <v>0</v>
      </c>
      <c r="CR68">
        <f>SUMPRODUCT(--('Данные 1st'!$S$2:$S$317=$A68),--ISNUMBER('Данные 1st'!$GI$2:$GI$317))</f>
        <v>0</v>
      </c>
      <c r="CS68">
        <f>SUMPRODUCT(--('Данные 1st'!$S$2:$S$317=$A68),--ISNUMBER('Данные 1st'!$GJ$2:$GJ$317))</f>
        <v>0</v>
      </c>
      <c r="CT68">
        <f>SUMPRODUCT(--('Данные 1st'!$S$2:$S$317=$A68),--ISNUMBER('Данные 1st'!$GS$2:$GS$317))</f>
        <v>6</v>
      </c>
      <c r="CU68">
        <f>SUMPRODUCT(--('Данные 1st'!$S$2:$S$317=$A68),--ISNUMBER('Данные 1st'!$GT$2:$GT$317))</f>
        <v>6</v>
      </c>
      <c r="CV68">
        <f>SUMPRODUCT(--('Данные 1st'!$S$2:$S$317=$A68),--ISNUMBER('Данные 1st'!$GU$2:$GU$317))</f>
        <v>6</v>
      </c>
      <c r="CW68">
        <f>SUMPRODUCT(--('Данные 1st'!$S$2:$S$317=$A68),--ISNUMBER('Данные 1st'!$GV$2:$GV$317))</f>
        <v>5</v>
      </c>
      <c r="CX68">
        <f>SUMPRODUCT(--('Данные 1st'!$S$2:$S$317=$A68),--ISNUMBER('Данные 1st'!$GW$2:$GW$317))</f>
        <v>5</v>
      </c>
      <c r="CY68">
        <f>SUMPRODUCT(--('Данные 1st'!$S$2:$S$317=$A68),--ISNUMBER('Данные 1st'!$GZ$2:$GZ$317))</f>
        <v>0</v>
      </c>
      <c r="CZ68">
        <f>SUMPRODUCT(--('Данные 1st'!$S$2:$S$317=$A68),--ISNUMBER('Данные 1st'!$HA$2:$HA$317))</f>
        <v>0</v>
      </c>
      <c r="DA68">
        <f>SUMPRODUCT(--('Данные 1st'!$S$2:$S$317=$A68),--ISNUMBER('Данные 1st'!$HB$2:$HB$317))</f>
        <v>0</v>
      </c>
      <c r="DB68">
        <f>SUMPRODUCT(--('Данные 1st'!$S$2:$S$317=$A68),--ISNUMBER('Данные 1st'!$HC$2:$HC$317))</f>
        <v>6</v>
      </c>
      <c r="DC68">
        <f>SUMPRODUCT(--('Данные 1st'!$S$2:$S$317=$A68),--ISNUMBER('Данные 1st'!$HD$2:$HD$317))</f>
        <v>6</v>
      </c>
      <c r="DD68">
        <f>SUMPRODUCT(--('Данные 1st'!$S$2:$S$317=$A68),--ISNUMBER('Данные 1st'!$HE$2:$HE$317))</f>
        <v>6</v>
      </c>
      <c r="DE68">
        <f>SUMPRODUCT(--('Данные 1st'!$S$2:$S$317=$A68),--ISNUMBER('Данные 1st'!$HF$2:$HF$317))</f>
        <v>6</v>
      </c>
      <c r="DF68">
        <f>SUMPRODUCT(--('Данные 1st'!$S$2:$S$317=$A68),--ISNUMBER('Данные 1st'!$HG$2:$HG$317))</f>
        <v>6</v>
      </c>
      <c r="DG68">
        <f>SUMPRODUCT(--('Данные 1st'!$S$2:$S$317=$A68),--ISNUMBER('Данные 1st'!$HH$2:$HH$317))</f>
        <v>6</v>
      </c>
      <c r="DH68">
        <f>SUMPRODUCT(--('Данные 1st'!$S$2:$S$317=$A68),--ISNUMBER('Данные 1st'!$HI$2:$HI$317))</f>
        <v>6</v>
      </c>
      <c r="DI68">
        <f>SUMPRODUCT(--('Данные 1st'!$S$2:$S$317=$A68),--ISNUMBER('Данные 1st'!$HJ$2:$HJ$317))</f>
        <v>6</v>
      </c>
      <c r="DJ68">
        <f>SUMPRODUCT(--('Данные 1st'!$S$2:$S$317=$A68),--ISNUMBER('Данные 1st'!$HK$2:$HK$317))</f>
        <v>6</v>
      </c>
      <c r="DK68">
        <f>SUMPRODUCT(--('Данные 1st'!$S$2:$S$317=$A68),--ISNUMBER('Данные 1st'!$HL$2:$HL$317))</f>
        <v>6</v>
      </c>
      <c r="DL68">
        <f>SUMPRODUCT(--('Данные 1st'!$S$2:$S$317=$A68),--ISNUMBER('Данные 1st'!$HM$2:$HM$317))</f>
        <v>6</v>
      </c>
      <c r="DM68">
        <f>SUMPRODUCT(--('Данные 1st'!$S$2:$S$317=$A68),--ISNUMBER('Данные 1st'!$HN$2:$HN$317))</f>
        <v>6</v>
      </c>
      <c r="DN68">
        <f>SUMPRODUCT(--('Данные 1st'!$S$2:$S$317=$A68),--ISNUMBER('Данные 1st'!$HO$2:$HO$317))</f>
        <v>6</v>
      </c>
      <c r="DO68">
        <f>SUMPRODUCT(--('Данные 1st'!$S$2:$S$317=$A68),--ISNUMBER('Данные 1st'!$HP$2:$HP$317))</f>
        <v>6</v>
      </c>
      <c r="DP68">
        <f>SUMPRODUCT(--('Данные 1st'!$S$2:$S$317=$A68),--ISNUMBER('Данные 1st'!$HQ$2:$HQ$317))</f>
        <v>6</v>
      </c>
      <c r="DQ68">
        <f>SUMPRODUCT(--('Данные 1st'!$S$2:$S$317=$A68),--ISNUMBER('Данные 1st'!$HR$2:$HR$317))</f>
        <v>6</v>
      </c>
      <c r="DR68">
        <f>SUMPRODUCT(--('Данные 1st'!$S$2:$S$317=$A68),--ISNUMBER('Данные 1st'!$HS$2:$HS$317))</f>
        <v>6</v>
      </c>
      <c r="DS68">
        <f>SUMPRODUCT(--('Данные 1st'!$S$2:$S$317=$A68),--ISNUMBER('Данные 1st'!$HT$2:$HT$317))</f>
        <v>6</v>
      </c>
      <c r="DT68">
        <f>SUMPRODUCT(--('Данные 1st'!$S$2:$S$317=$A68),--ISNUMBER('Данные 1st'!$HU$2:$HU$317))</f>
        <v>6</v>
      </c>
      <c r="DU68">
        <f>SUMPRODUCT(--('Данные 1st'!$S$2:$S$317=$A68),--ISNUMBER('Данные 1st'!$HW$2:$HW$317))</f>
        <v>6</v>
      </c>
      <c r="DV68">
        <f>SUMPRODUCT(--('Данные 1st'!$S$2:$S$317=$A68),--ISNUMBER('Данные 1st'!$HX$2:$HX$317))</f>
        <v>6</v>
      </c>
      <c r="DW68">
        <f>SUMPRODUCT(--('Данные 1st'!$S$2:$S$317=$A68),--ISNUMBER('Данные 1st'!$HY$2:$HY$317))</f>
        <v>6</v>
      </c>
      <c r="DX68">
        <f>SUMPRODUCT(--('Данные 1st'!$S$2:$S$317=$A68),--ISNUMBER('Данные 1st'!$IA$2:$IA$317))</f>
        <v>6</v>
      </c>
      <c r="DY68">
        <f>SUMPRODUCT(--('Данные 1st'!$S$2:$S$317=$A68),--ISNUMBER('Данные 1st'!$IB$2:$IB$317))</f>
        <v>6</v>
      </c>
      <c r="DZ68">
        <f>SUMPRODUCT(--('Данные 1st'!$S$2:$S$317=$A68),--ISNUMBER('Данные 1st'!$IC$2:$IC$317))</f>
        <v>6</v>
      </c>
      <c r="EA68">
        <f>SUMPRODUCT(--('Данные 1st'!$S$2:$S$317=$A68),--ISNUMBER('Данные 1st'!$ID$2:$ID$317))</f>
        <v>6</v>
      </c>
      <c r="EB68">
        <f>SUMPRODUCT(--('Данные 1st'!$S$2:$S$317=$A68),--ISNUMBER('Данные 1st'!$IE$2:$IE$317))</f>
        <v>6</v>
      </c>
      <c r="EC68">
        <f>SUMPRODUCT(--('Данные 1st'!$S$2:$S$317=$A68),--ISNUMBER('Данные 1st'!$IF$2:$IF$317))</f>
        <v>6</v>
      </c>
      <c r="ED68">
        <f>SUMPRODUCT(--('Данные 1st'!$S$2:$S$317=$A68),--ISNUMBER('Данные 1st'!$IP$2:$IP$317))</f>
        <v>6</v>
      </c>
      <c r="EE68">
        <f>SUMPRODUCT(--('Данные 1st'!$S$2:$S$317=$A68),--ISNUMBER('Данные 1st'!$IV$2:$IV$317))</f>
        <v>6</v>
      </c>
      <c r="EF68">
        <f>SUMPRODUCT(--('Данные 1st'!$S$2:$S$317=$A68),--ISNUMBER('Данные 1st'!$IW$2:$IW$317))</f>
        <v>6</v>
      </c>
      <c r="EG68">
        <f>SUMPRODUCT(--('Данные 1st'!$S$2:$S$317=$A68),--ISNUMBER('Данные 1st'!$IX$2:$IX$317))</f>
        <v>0</v>
      </c>
      <c r="EH68">
        <f>SUMPRODUCT(--('Данные 1st'!$S$2:$S$317=$A68),--ISNUMBER('Данные 1st'!$IY$2:$IY$317))</f>
        <v>0</v>
      </c>
      <c r="EI68">
        <f>SUMPRODUCT(--('Данные 1st'!$S$2:$S$317=$A68),--ISNUMBER('Данные 1st'!$JD$2:$JD$317))</f>
        <v>6</v>
      </c>
      <c r="EJ68">
        <f>SUMPRODUCT(--('Данные 1st'!$S$2:$S$317=$A68),--ISNUMBER('Данные 1st'!$JE$2:$JE$317))</f>
        <v>6</v>
      </c>
      <c r="EK68">
        <f>SUMPRODUCT(--('Данные 1st'!$S$2:$S$317=$A68),--ISNUMBER('Данные 1st'!$JF$2:$JF$317))</f>
        <v>6</v>
      </c>
      <c r="EL68">
        <f>SUMPRODUCT(--('Данные 1st'!$S$2:$S$317=$A68),--ISNUMBER('Данные 1st'!$JG$2:$JG$317))</f>
        <v>6</v>
      </c>
      <c r="EM68">
        <f>SUMPRODUCT(--('Данные 1st'!$S$2:$S$317=$A68),--ISNUMBER('Данные 1st'!$JH$2:$JH$317))</f>
        <v>6</v>
      </c>
      <c r="EN68">
        <f>SUMPRODUCT(--('Данные 1st'!$S$2:$S$317=$A68),--ISNUMBER('Данные 1st'!$JJ$2:$JJ$317))</f>
        <v>6</v>
      </c>
      <c r="EO68">
        <f>SUMPRODUCT(--('Данные 1st'!$S$2:$S$317=$A68),--ISNUMBER('Данные 1st'!$JK$2:$JK$317))</f>
        <v>6</v>
      </c>
      <c r="EP68">
        <f>SUMPRODUCT(--('Данные 1st'!$S$2:$S$317=$A68),--ISNUMBER('Данные 1st'!$JL$2:$JL$317))</f>
        <v>0</v>
      </c>
      <c r="EQ68">
        <f>SUMPRODUCT(--('Данные 1st'!$S$2:$S$317=$A68),--ISNUMBER('Данные 1st'!$JM$2:$JM$317))</f>
        <v>0</v>
      </c>
      <c r="ER68">
        <f>SUMPRODUCT(--('Данные 1st'!$S$2:$S$317=$A68),--ISNUMBER('Данные 1st'!$JN$2:$JN$317))</f>
        <v>6</v>
      </c>
      <c r="ES68">
        <f>SUMPRODUCT(--('Данные 1st'!$S$2:$S$317=$A68),--ISNUMBER('Данные 1st'!$JO$2:$JO$317))</f>
        <v>6</v>
      </c>
      <c r="ET68">
        <f>SUMPRODUCT(--('Данные 1st'!$S$2:$S$317=$A68),--ISNUMBER('Данные 1st'!$JP$2:$JP$317))</f>
        <v>6</v>
      </c>
      <c r="EU68">
        <f>SUMPRODUCT(--('Данные 1st'!$S$2:$S$317=$A68),--ISNUMBER('Данные 1st'!$JQ$2:$JQ$317))</f>
        <v>6</v>
      </c>
      <c r="EV68">
        <f>SUMPRODUCT(--('Данные 1st'!$S$2:$S$317=$A68),--ISNUMBER('Данные 1st'!$JR$2:$JR$317))</f>
        <v>6</v>
      </c>
      <c r="EW68">
        <f>SUMPRODUCT(--('Данные 1st'!$S$2:$S$317=$A68),--ISNUMBER('Данные 1st'!$JS$2:$JS$317))</f>
        <v>6</v>
      </c>
      <c r="EX68">
        <f>SUMPRODUCT(--('Данные 1st'!$S$2:$S$317=$A68),--ISNUMBER('Данные 1st'!$JT$2:$JT$317))</f>
        <v>0</v>
      </c>
      <c r="EY68">
        <f>SUMPRODUCT(--('Данные 1st'!$S$2:$S$317=$A68),--ISNUMBER('Данные 1st'!$JU$2:$JU$317))</f>
        <v>0</v>
      </c>
      <c r="EZ68">
        <f>SUMPRODUCT(--('Данные 1st'!$S$2:$S$317=$A68),--ISNUMBER('Данные 1st'!$JV$2:$JV$317))</f>
        <v>6</v>
      </c>
      <c r="FA68">
        <f>SUMPRODUCT(--('Данные 1st'!$S$2:$S$317=$A68),--ISNUMBER('Данные 1st'!$JW$2:$JW$317))</f>
        <v>0</v>
      </c>
      <c r="FB68">
        <f>SUMPRODUCT(--('Данные 1st'!$S$2:$S$317=$A68),--ISNUMBER('Данные 1st'!$JX$2:$JX$317))</f>
        <v>6</v>
      </c>
      <c r="FC68">
        <f>SUMPRODUCT(--('Данные 1st'!$S$2:$S$317=$A68),--ISNUMBER('Данные 1st'!$JY$2:$JY$317))</f>
        <v>0</v>
      </c>
      <c r="FD68">
        <f>SUMPRODUCT(--('Данные 1st'!$S$2:$S$317=$A68),--ISNUMBER('Данные 1st'!$JZ$2:$JZ$317))</f>
        <v>0</v>
      </c>
      <c r="FE68">
        <f>SUMPRODUCT(--('Данные 1st'!$S$2:$S$317=$A68),--ISNUMBER('Данные 1st'!$KA$2:$KA$317))</f>
        <v>6</v>
      </c>
      <c r="FF68">
        <f>SUMPRODUCT(--('Данные 1st'!$S$2:$S$317=$A68),--ISNUMBER('Данные 1st'!$KB$2:$KB$317))</f>
        <v>6</v>
      </c>
      <c r="FG68">
        <f>SUMPRODUCT(--('Данные 1st'!$S$2:$S$317=$A68),--ISNUMBER('Данные 1st'!$KC$2:$KC$317))</f>
        <v>6</v>
      </c>
      <c r="FH68">
        <f>SUMPRODUCT(--('Данные 1st'!$S$2:$S$317=$A68),--ISNUMBER('Данные 1st'!$KD$2:$KD$317))</f>
        <v>6</v>
      </c>
      <c r="FI68">
        <f>SUMPRODUCT(--('Данные 1st'!$S$2:$S$317=$A68),--ISNUMBER('Данные 1st'!$KE$2:$KE$317))</f>
        <v>0</v>
      </c>
      <c r="FJ68">
        <f>SUMPRODUCT(--('Данные 1st'!$S$2:$S$317=$A68),--ISNUMBER('Данные 1st'!$KF$2:$KF$317))</f>
        <v>6</v>
      </c>
      <c r="FK68">
        <f>SUMPRODUCT(--('Данные 1st'!$S$2:$S$317=$A68),--ISNUMBER('Данные 1st'!$KG$2:$KG$317))</f>
        <v>6</v>
      </c>
      <c r="FL68">
        <f>SUMPRODUCT(--('Данные 1st'!$S$2:$S$317=$A68),--ISNUMBER('Данные 1st'!$KH$2:$KH$317))</f>
        <v>6</v>
      </c>
      <c r="FM68">
        <f>SUMPRODUCT(--('Данные 1st'!$S$2:$S$317=$A68),--ISNUMBER('Данные 1st'!$KI$2:$KI$317))</f>
        <v>6</v>
      </c>
      <c r="FN68">
        <f>SUMPRODUCT(--('Данные 1st'!$S$2:$S$317=$A68),--ISNUMBER('Данные 1st'!$KJ$2:$KJ$317))</f>
        <v>6</v>
      </c>
      <c r="FO68">
        <f>SUMPRODUCT(--('Данные 1st'!$S$2:$S$317=$A68),--ISNUMBER('Данные 1st'!$KK$2:$KK$317))</f>
        <v>6</v>
      </c>
      <c r="FP68">
        <f>SUMPRODUCT(--('Данные 1st'!$S$2:$S$317=$A68),--ISNUMBER('Данные 1st'!$KL$2:$KL$317))</f>
        <v>6</v>
      </c>
      <c r="FQ68">
        <f>SUMPRODUCT(--('Данные 1st'!$S$2:$S$317=$A68),--ISNUMBER('Данные 1st'!$KM$2:$KM$317))</f>
        <v>6</v>
      </c>
      <c r="FR68">
        <f>SUMPRODUCT(--('Данные 1st'!$S$2:$S$317=$A68),--ISNUMBER('Данные 1st'!$KN$2:$KN$317))</f>
        <v>6</v>
      </c>
      <c r="FS68">
        <f>SUMPRODUCT(--('Данные 1st'!$S$2:$S$317=$A68),--ISNUMBER('Данные 1st'!$KR$2:$KR$317))</f>
        <v>6</v>
      </c>
      <c r="FT68">
        <f>SUMPRODUCT(--('Данные 1st'!$S$2:$S$317=$A68),--ISNUMBER('Данные 1st'!$KS$2:$KS$317))</f>
        <v>6</v>
      </c>
      <c r="FU68">
        <f>SUMPRODUCT(--('Данные 1st'!$S$2:$S$317=$A68),--ISNUMBER('Данные 1st'!$KT$2:$KT$317))</f>
        <v>6</v>
      </c>
      <c r="FV68">
        <f>SUMPRODUCT(--('Данные 1st'!$S$2:$S$317=$A68),--ISNUMBER('Данные 1st'!$KV$2:$KV$317))</f>
        <v>0</v>
      </c>
      <c r="FW68">
        <f>SUMPRODUCT(--('Данные 1st'!$S$2:$S$317=$A68),--ISNUMBER('Данные 1st'!$KW$2:$KW$317))</f>
        <v>0</v>
      </c>
      <c r="FX68">
        <f>SUMPRODUCT(--('Данные 1st'!$S$2:$S$317=$A68),--ISNUMBER('Данные 1st'!$KX$2:$KX$317))</f>
        <v>0</v>
      </c>
      <c r="FY68">
        <f>SUMPRODUCT(--('Данные 1st'!$S$2:$S$317=$A68),--ISNUMBER('Данные 1st'!$KY$2:$KY$317))</f>
        <v>0</v>
      </c>
      <c r="FZ68">
        <f>SUMPRODUCT(--('Данные 1st'!$S$2:$S$317=$A68),--ISNUMBER('Данные 1st'!$KZ$2:$KZ$317))</f>
        <v>0</v>
      </c>
      <c r="GA68">
        <f>SUMPRODUCT(--('Данные 1st'!$S$2:$S$317=$A68),--ISNUMBER('Данные 1st'!$LA$2:$LA$317))</f>
        <v>0</v>
      </c>
      <c r="GB68">
        <f>SUMPRODUCT(--('Данные 1st'!$S$2:$S$317=$A68),--ISNUMBER('Данные 1st'!$LB$2:$LB$317))</f>
        <v>0</v>
      </c>
      <c r="GC68">
        <f>SUMPRODUCT(--('Данные 1st'!$S$2:$S$317=$A68),--ISNUMBER('Данные 1st'!$LC$2:$LC$317))</f>
        <v>0</v>
      </c>
      <c r="GD68">
        <f>SUMPRODUCT(--('Данные 1st'!$S$2:$S$317=$A68),--ISNUMBER('Данные 1st'!$LD$2:$LD$317))</f>
        <v>0</v>
      </c>
      <c r="GE68">
        <f>SUMPRODUCT(--('Данные 1st'!$S$2:$S$317=$A68),--ISNUMBER('Данные 1st'!$LE$2:$LE$317))</f>
        <v>0</v>
      </c>
      <c r="GF68">
        <f>SUMPRODUCT(--('Данные 1st'!$S$2:$S$317=$A68),--ISNUMBER('Данные 1st'!$LF$2:$LF$317))</f>
        <v>0</v>
      </c>
      <c r="GG68">
        <f>SUMPRODUCT(--('Данные 1st'!$S$2:$S$317=$A68),--ISNUMBER('Данные 1st'!$LG$2:$LG$317))</f>
        <v>0</v>
      </c>
      <c r="GH68">
        <f>SUMPRODUCT(--('Данные 1st'!$S$2:$S$317=$A68),--ISNUMBER('Данные 1st'!$LH$2:$LH$317))</f>
        <v>0</v>
      </c>
      <c r="GI68">
        <f>SUMPRODUCT(--('Данные 1st'!$S$2:$S$317=$A68),--ISNUMBER('Данные 1st'!$LI$2:$LI$317))</f>
        <v>0</v>
      </c>
      <c r="GJ68">
        <f>SUMPRODUCT(--('Данные 1st'!$S$2:$S$317=$A68),--ISNUMBER('Данные 1st'!$LJ$2:$LJ$317))</f>
        <v>0</v>
      </c>
      <c r="GK68">
        <f>SUMPRODUCT(--('Данные 1st'!$S$2:$S$317=$A68),--ISNUMBER('Данные 1st'!$LK$2:$LK$317))</f>
        <v>6</v>
      </c>
      <c r="GL68">
        <f>SUMPRODUCT(--('Данные 1st'!$S$2:$S$317=$A68),--ISNUMBER('Данные 1st'!$LV$2:$LV$317))</f>
        <v>0</v>
      </c>
      <c r="GM68">
        <f>SUMPRODUCT(--('Данные 1st'!$S$2:$S$317=$A68),--ISNUMBER('Данные 1st'!$LW$2:$LW$317))</f>
        <v>0</v>
      </c>
      <c r="GN68">
        <f>SUMPRODUCT(--('Данные 1st'!$S$2:$S$317=$A68),--ISNUMBER('Данные 1st'!$LX$2:$LX$317))</f>
        <v>0</v>
      </c>
      <c r="GO68">
        <f>SUMPRODUCT(--('Данные 1st'!$S$2:$S$317=$A68),--ISNUMBER('Данные 1st'!$LY$2:$LY$317))</f>
        <v>0</v>
      </c>
      <c r="GP68">
        <f>SUMPRODUCT(--('Данные 1st'!$S$2:$S$317=$A68),--ISNUMBER('Данные 1st'!$LZ$2:$LZ$317))</f>
        <v>0</v>
      </c>
      <c r="GQ68">
        <f>SUMPRODUCT(--('Данные 1st'!$S$2:$S$317=$A68),--ISNUMBER('Данные 1st'!$PG$2:$PG$317))</f>
        <v>6</v>
      </c>
      <c r="GR68">
        <f>SUMPRODUCT(--('Данные 1st'!$S$2:$S$317=$A68),--ISNUMBER('Данные 1st'!$PX$2:$PX$317))</f>
        <v>6</v>
      </c>
      <c r="GS68">
        <f>SUMPRODUCT(--('Данные 1st'!$S$2:$S$317=$A68),--ISNUMBER('Данные 1st'!$PY$2:$PY$317))</f>
        <v>6</v>
      </c>
      <c r="GT68">
        <f>SUMPRODUCT(--('Данные 1st'!$S$2:$S$317=$A68),--ISNUMBER('Данные 1st'!$QA$2:$QA$317))</f>
        <v>6</v>
      </c>
      <c r="GU68">
        <f>SUMPRODUCT(--('Данные 1st'!$S$2:$S$317=$A68),--ISNUMBER('Данные 1st'!$QB$2:$QB$317))</f>
        <v>6</v>
      </c>
      <c r="GV68">
        <f>SUMPRODUCT(--('Данные 1st'!$S$2:$S$317=$A68),--ISNUMBER('Данные 1st'!$QC$2:$QC$317))</f>
        <v>6</v>
      </c>
      <c r="GW68">
        <f>SUMPRODUCT(--('Данные 1st'!$S$2:$S$317=$A68),--ISNUMBER('Данные 1st'!$QD$2:$QD$317))</f>
        <v>6</v>
      </c>
      <c r="GX68">
        <f>SUMPRODUCT(--('Данные 1st'!$S$2:$S$317=$A68),--ISNUMBER('Данные 1st'!$QF$2:$QF$317))</f>
        <v>6</v>
      </c>
      <c r="GY68">
        <f>SUMPRODUCT(--('Данные 1st'!$S$2:$S$317=$A68),--ISNUMBER('Данные 1st'!$QG$2:$QG$317))</f>
        <v>6</v>
      </c>
      <c r="GZ68">
        <f>SUMPRODUCT(--('Данные 1st'!$S$2:$S$317=$A68),--ISNUMBER('Данные 1st'!$QH$2:$QH$317))</f>
        <v>6</v>
      </c>
      <c r="HA68">
        <f>SUMPRODUCT(--('Данные 1st'!$S$2:$S$317=$A68),--ISNUMBER('Данные 1st'!$QI$2:$QI$317))</f>
        <v>6</v>
      </c>
      <c r="HB68">
        <f>SUMPRODUCT(--('Данные 1st'!$S$2:$S$317=$A68),--ISNUMBER('Данные 1st'!$QK$2:$QK$317))</f>
        <v>6</v>
      </c>
      <c r="HC68">
        <f>SUMPRODUCT(--('Данные 1st'!$S$2:$S$317=$A68),--ISNUMBER('Данные 1st'!$QL$2:$QL$317))</f>
        <v>6</v>
      </c>
      <c r="HD68">
        <f>SUMPRODUCT(--('Данные 1st'!$S$2:$S$317=$A68),--ISNUMBER('Данные 1st'!$QM$2:$QM$317))</f>
        <v>6</v>
      </c>
      <c r="HE68">
        <f>SUMPRODUCT(--('Данные 1st'!$S$2:$S$317=$A68),--ISNUMBER('Данные 1st'!$QN$2:$QN$317))</f>
        <v>6</v>
      </c>
      <c r="HF68">
        <f>SUMPRODUCT(--('Данные 1st'!$S$2:$S$317=$A68),--ISNUMBER('Данные 1st'!$QP$2:$QP$317))</f>
        <v>6</v>
      </c>
      <c r="HG68">
        <f>SUMPRODUCT(--('Данные 1st'!$S$2:$S$317=$A68),--ISNUMBER('Данные 1st'!$QQ$2:$QQ$317))</f>
        <v>6</v>
      </c>
      <c r="HH68">
        <f>SUMPRODUCT(--('Данные 1st'!$S$2:$S$317=$A68),--ISNUMBER('Данные 1st'!$QR$2:$QR$317))</f>
        <v>6</v>
      </c>
      <c r="HI68">
        <f>SUMPRODUCT(--('Данные 1st'!$S$2:$S$317=$A68),--ISNUMBER('Данные 1st'!$QS$2:$QS$317))</f>
        <v>6</v>
      </c>
      <c r="HJ68">
        <f>SUMPRODUCT(--('Данные 1st'!$S$2:$S$317=$A68),--ISNUMBER('Данные 1st'!$QU$2:$QU$317))</f>
        <v>6</v>
      </c>
      <c r="HK68">
        <f>SUMPRODUCT(--('Данные 1st'!$S$2:$S$317=$A68),--ISNUMBER('Данные 1st'!$QV$2:$QV$317))</f>
        <v>6</v>
      </c>
      <c r="HL68">
        <f>SUMPRODUCT(--('Данные 1st'!$S$2:$S$317=$A68),--ISNUMBER('Данные 1st'!$QW$2:$QW$317))</f>
        <v>6</v>
      </c>
      <c r="HM68">
        <f>SUMPRODUCT(--('Данные 1st'!$S$2:$S$317=$A68),--ISNUMBER('Данные 1st'!$QX$2:$QX$317))</f>
        <v>0</v>
      </c>
      <c r="HN68">
        <f>SUMPRODUCT(--('Данные 1st'!$S$2:$S$317=$A68),--ISNUMBER('Данные 1st'!$QZ$2:$QZ$317))</f>
        <v>6</v>
      </c>
      <c r="HO68">
        <f>SUMPRODUCT(--('Данные 1st'!$S$2:$S$317=$A68),--ISNUMBER('Данные 1st'!$RA$2:$RA$317))</f>
        <v>6</v>
      </c>
      <c r="HP68">
        <f>SUMPRODUCT(--('Данные 1st'!$S$2:$S$317=$A68),--ISNUMBER('Данные 1st'!$RB$2:$RB$317))</f>
        <v>6</v>
      </c>
      <c r="HQ68">
        <f>SUMPRODUCT(--('Данные 1st'!$S$2:$S$317=$A68),--ISNUMBER('Данные 1st'!$RD$2:$RD$317))</f>
        <v>0</v>
      </c>
      <c r="HR68">
        <f>SUMPRODUCT(--('Данные 1st'!$S$2:$S$317=$A68),--ISNUMBER('Данные 1st'!$RE$2:$RE$317))</f>
        <v>6</v>
      </c>
      <c r="HS68">
        <f>SUMPRODUCT(--('Данные 1st'!$S$2:$S$317=$A68),--ISNUMBER('Данные 1st'!$RF$2:$RF$317))</f>
        <v>6</v>
      </c>
      <c r="HT68">
        <f>SUMPRODUCT(--('Данные 1st'!$S$2:$S$317=$A68),--ISNUMBER('Данные 1st'!$RG$2:$RG$317))</f>
        <v>0</v>
      </c>
      <c r="HU68">
        <f>SUMPRODUCT(--('Данные 1st'!$S$2:$S$317=$A68),--ISNUMBER('Данные 1st'!$RH$2:$RH$317))</f>
        <v>6</v>
      </c>
      <c r="HV68">
        <f>SUMPRODUCT(--('Данные 1st'!$S$2:$S$317=$A68),--ISNUMBER('Данные 1st'!$RI$2:$RI$317))</f>
        <v>0</v>
      </c>
      <c r="HW68">
        <f>SUMPRODUCT(--('Данные 1st'!$S$2:$S$317=$A68),--ISNUMBER('Данные 1st'!$RJ$2:$RJ$317))</f>
        <v>6</v>
      </c>
      <c r="HX68">
        <f>SUMPRODUCT(--('Данные 1st'!$S$2:$S$317=$A68),--ISNUMBER('Данные 1st'!$RK$2:$RK$317))</f>
        <v>6</v>
      </c>
      <c r="HY68">
        <f>SUMPRODUCT(--('Данные 1st'!$S$2:$S$317=$A68),--ISNUMBER('Данные 1st'!$RL$2:$RL$317))</f>
        <v>6</v>
      </c>
      <c r="HZ68">
        <f>SUMPRODUCT(--('Данные 1st'!$S$2:$S$317=$A68),--ISNUMBER('Данные 1st'!$RM$2:$RM$317))</f>
        <v>6</v>
      </c>
      <c r="IA68">
        <f>SUMPRODUCT(--('Данные 1st'!$S$2:$S$317=$A68),--ISNUMBER('Данные 1st'!$RN$2:$RN$317))</f>
        <v>0</v>
      </c>
      <c r="IB68">
        <f>SUMPRODUCT(--('Данные 1st'!$S$2:$S$317=$A68),--ISNUMBER('Данные 1st'!$RO$2:$RO$317))</f>
        <v>6</v>
      </c>
      <c r="IC68">
        <f>SUMPRODUCT(--('Данные 1st'!$S$2:$S$317=$A68),--ISNUMBER('Данные 1st'!$RP$2:$RP$317))</f>
        <v>6</v>
      </c>
      <c r="ID68">
        <f>SUMPRODUCT(--('Данные 1st'!$S$2:$S$317=$A68),--ISNUMBER('Данные 1st'!$RQ$2:$RQ$317))</f>
        <v>6</v>
      </c>
      <c r="IE68">
        <f>SUMPRODUCT(--('Данные 1st'!$S$2:$S$317=$A68),--ISNUMBER('Данные 1st'!$RR$2:$RR$317))</f>
        <v>6</v>
      </c>
      <c r="IF68">
        <f>SUMPRODUCT(--('Данные 1st'!$S$2:$S$317=$A68),--ISNUMBER('Данные 1st'!$RS$2:$RS$317))</f>
        <v>0</v>
      </c>
      <c r="IG68">
        <f>SUMPRODUCT(--('Данные 1st'!$S$2:$S$317=$A68),--ISNUMBER('Данные 1st'!$RT$2:$RT$317))</f>
        <v>6</v>
      </c>
      <c r="IH68">
        <f>SUMPRODUCT(--('Данные 1st'!$S$2:$S$317=$A68),--ISNUMBER('Данные 1st'!$RU$2:$RU$317))</f>
        <v>6</v>
      </c>
      <c r="II68">
        <f>SUMPRODUCT(--('Данные 1st'!$S$2:$S$317=$A68),--ISNUMBER('Данные 1st'!$RX$2:$RX$317))</f>
        <v>6</v>
      </c>
      <c r="IJ68">
        <f>SUMPRODUCT(--('Данные 1st'!$S$2:$S$317=$A68),--ISNUMBER('Данные 1st'!$RY$2:$RY$317))</f>
        <v>6</v>
      </c>
      <c r="IK68">
        <f>SUMPRODUCT(--('Данные 1st'!$S$2:$S$317=$A68),--ISNUMBER('Данные 1st'!$SA$2:$SA$317))</f>
        <v>6</v>
      </c>
      <c r="IL68">
        <f>SUMPRODUCT(--('Данные 1st'!$S$2:$S$317=$A68),--ISNUMBER('Данные 1st'!$SD$2:$SD$317))</f>
        <v>6</v>
      </c>
      <c r="IM68">
        <f>SUMPRODUCT(--('Данные 1st'!$S$2:$S$317=$A68),--ISNUMBER('Данные 1st'!$SG$2:$SG$317))</f>
        <v>6</v>
      </c>
      <c r="IN68">
        <f>SUMPRODUCT(--('Данные 1st'!$S$2:$S$317=$A68),--ISNUMBER('Данные 1st'!$SH$2:$SH$317))</f>
        <v>6</v>
      </c>
      <c r="IO68">
        <f>SUMPRODUCT(--('Данные 1st'!$S$2:$S$317=$A68),--ISNUMBER('Данные 1st'!$SI$2:$SI$317))</f>
        <v>6</v>
      </c>
      <c r="IP68">
        <f>SUMPRODUCT(--('Данные 1st'!$S$2:$S$317=$A68),--ISNUMBER('Данные 1st'!$SJ$2:$SJ$317))</f>
        <v>6</v>
      </c>
      <c r="IQ68">
        <f>SUMPRODUCT(--('Данные 1st'!$S$2:$S$317=$A68),--ISNUMBER('Данные 1st'!$SK$2:$SK$317))</f>
        <v>6</v>
      </c>
      <c r="IR68">
        <f>SUMPRODUCT(--('Данные 1st'!$S$2:$S$317=$A68),--ISNUMBER('Данные 1st'!$SL$2:$SL$317))</f>
        <v>6</v>
      </c>
      <c r="IS68">
        <f>SUMPRODUCT(--('Данные 1st'!$S$2:$S$317=$A68),--ISNUMBER('Данные 1st'!$SM$2:$SM$317))</f>
        <v>6</v>
      </c>
      <c r="IT68">
        <f>SUMPRODUCT(--('Данные 1st'!$S$2:$S$317=$A68),--ISNUMBER('Данные 1st'!$SN$2:$SN$317))</f>
        <v>6</v>
      </c>
      <c r="IU68">
        <f>SUMPRODUCT(--('Данные 1st'!$S$2:$S$317=$A68),--ISNUMBER('Данные 1st'!$SO$2:$SO$317))</f>
        <v>6</v>
      </c>
      <c r="IV68">
        <f>SUMPRODUCT(--('Данные 1st'!$S$2:$S$317=$A68),--ISNUMBER('Данные 1st'!$SP$2:$SP$317))</f>
        <v>6</v>
      </c>
      <c r="IW68">
        <f>SUMPRODUCT(--('Данные 1st'!$S$2:$S$317=$A68),--ISNUMBER('Данные 1st'!$SQ$2:$SQ$317))</f>
        <v>6</v>
      </c>
      <c r="IX68">
        <f>SUMPRODUCT(--('Данные 1st'!$S$2:$S$317=$A68),--ISNUMBER('Данные 1st'!$SR$2:$SR$317))</f>
        <v>6</v>
      </c>
      <c r="IY68">
        <f>SUMPRODUCT(--('Данные 1st'!$S$2:$S$317=$A68),--ISNUMBER('Данные 1st'!$SS$2:$SS$317))</f>
        <v>6</v>
      </c>
      <c r="IZ68">
        <f>SUMPRODUCT(--('Данные 1st'!$S$2:$S$317=$A68),--ISNUMBER('Данные 1st'!$ST$2:$ST$317))</f>
        <v>6</v>
      </c>
      <c r="JA68">
        <f>SUMPRODUCT(--('Данные 1st'!$S$2:$S$317=$A68),--ISNUMBER('Данные 1st'!$SU$2:$SU$317))</f>
        <v>6</v>
      </c>
      <c r="JB68">
        <f>SUMPRODUCT(--('Данные 1st'!$S$2:$S$317=$A68),--ISNUMBER('Данные 1st'!$SV$2:$SV$317))</f>
        <v>6</v>
      </c>
      <c r="JC68">
        <f>SUMPRODUCT(--('Данные 1st'!$S$2:$S$317=$A68),--ISNUMBER('Данные 1st'!$SW$2:$SW$317))</f>
        <v>6</v>
      </c>
      <c r="JD68">
        <f>SUMPRODUCT(--('Данные 1st'!$S$2:$S$317=$A68),--ISNUMBER('Данные 1st'!$SX$2:$SX$317))</f>
        <v>6</v>
      </c>
      <c r="JE68">
        <f>SUMPRODUCT(--('Данные 1st'!$S$2:$S$317=$A68),--ISNUMBER('Данные 1st'!$SY$2:$SY$317))</f>
        <v>6</v>
      </c>
      <c r="JF68">
        <f>SUMPRODUCT(--('Данные 1st'!$S$2:$S$317=$A68),--ISNUMBER('Данные 1st'!$SZ$2:$SZ$317))</f>
        <v>6</v>
      </c>
      <c r="JG68">
        <f>SUMPRODUCT(--('Данные 1st'!$S$2:$S$317=$A68),--ISNUMBER('Данные 1st'!$TA$2:$TA$317))</f>
        <v>0</v>
      </c>
      <c r="JH68">
        <f>SUMPRODUCT(--('Данные 1st'!$S$2:$S$317=$A68),--ISNUMBER('Данные 1st'!$TB$2:$TB$317))</f>
        <v>6</v>
      </c>
      <c r="JI68">
        <f>SUMPRODUCT(--('Данные 1st'!$S$2:$S$317=$A68),--ISNUMBER('Данные 1st'!$TC$2:$TC$317))</f>
        <v>6</v>
      </c>
      <c r="JJ68">
        <f>SUMPRODUCT(--('Данные 1st'!$S$2:$S$317=$A68),--ISNUMBER('Данные 1st'!$TD$2:$TD$317))</f>
        <v>6</v>
      </c>
      <c r="JK68">
        <f>SUMPRODUCT(--('Данные 1st'!$S$2:$S$317=$A68),--ISNUMBER('Данные 1st'!$TN$2:$TN$317))</f>
        <v>6</v>
      </c>
      <c r="JQ68">
        <f>SUMPRODUCT(--('Данные 2st'!$Q$2:$Q$317=$A68),--ISNUMBER('Данные 2st'!$AC$2:$AC$317))</f>
        <v>6</v>
      </c>
      <c r="JR68">
        <f>SUMPRODUCT(--('Данные 2st'!$Q$2:$Q$317=$A68),--ISNUMBER('Данные 2st'!$AF$2:$AF$317))</f>
        <v>6</v>
      </c>
      <c r="JS68">
        <f>SUMPRODUCT(--('Данные 2st'!$Q$2:$Q$317=$A68),--ISNUMBER('Данные 2st'!$AW$2:$AW$317))</f>
        <v>6</v>
      </c>
      <c r="JT68">
        <f>SUMPRODUCT(--('Данные 2st'!$Q$2:$Q$317=$A68),--ISNUMBER('Данные 2st'!$AX$2:$AX$317))</f>
        <v>6</v>
      </c>
      <c r="JU68">
        <f>SUMPRODUCT(--('Данные 2st'!$Q$2:$Q$317=$A68),--ISNUMBER('Данные 2st'!$AY$2:$AY$317))</f>
        <v>6</v>
      </c>
      <c r="JV68">
        <f>SUMPRODUCT(--('Данные 2st'!$Q$2:$Q$317=$A68),--ISNUMBER('Данные 2st'!$AZ$2:$AZ$317))</f>
        <v>6</v>
      </c>
      <c r="JW68">
        <f>SUMPRODUCT(--('Данные 2st'!$Q$2:$Q$317=$A68),--ISNUMBER('Данные 2st'!$BA$2:$BA$317))</f>
        <v>0</v>
      </c>
      <c r="JX68">
        <f>SUMPRODUCT(--('Данные 2st'!$Q$2:$Q$317=$A68),--ISNUMBER('Данные 2st'!$BB$2:$BB$317))</f>
        <v>0</v>
      </c>
      <c r="JY68">
        <f>SUMPRODUCT(--('Данные 2st'!$Q$2:$Q$317=$A68),--ISNUMBER('Данные 2st'!$BC$2:$BC$317))</f>
        <v>0</v>
      </c>
      <c r="JZ68">
        <f>SUMPRODUCT(--('Данные 2st'!$Q$2:$Q$317=$A68),--ISNUMBER('Данные 2st'!$BH$2:$BH$317))</f>
        <v>6</v>
      </c>
      <c r="KA68">
        <f>SUMPRODUCT(--('Данные 2st'!$Q$2:$Q$317=$A68),--ISNUMBER('Данные 2st'!$BI$2:$BI$317))</f>
        <v>6</v>
      </c>
      <c r="KB68">
        <f>SUMPRODUCT(--('Данные 2st'!$Q$2:$Q$317=$A68),--ISNUMBER('Данные 2st'!$BJ$2:$BJ$317))</f>
        <v>6</v>
      </c>
      <c r="KC68">
        <f>SUMPRODUCT(--('Данные 2st'!$Q$2:$Q$317=$A68),--ISNUMBER('Данные 2st'!$BK$2:$BK$317))</f>
        <v>6</v>
      </c>
      <c r="KD68">
        <f>SUMPRODUCT(--('Данные 2st'!$Q$2:$Q$317=$A68),--ISNUMBER('Данные 2st'!$BL$2:$BL$317))</f>
        <v>6</v>
      </c>
      <c r="KE68">
        <f>SUMPRODUCT(--('Данные 2st'!$Q$2:$Q$317=$A68),--ISNUMBER('Данные 2st'!$BM$2:$BM$317))</f>
        <v>6</v>
      </c>
      <c r="KF68">
        <f>SUMPRODUCT(--('Данные 2st'!$Q$2:$Q$317=$A68),--ISNUMBER('Данные 2st'!$BN$2:$BN$317))</f>
        <v>6</v>
      </c>
      <c r="KG68">
        <f>SUMPRODUCT(--('Данные 2st'!$Q$2:$Q$317=$A68),--ISNUMBER('Данные 2st'!$BO$2:$BO$317))</f>
        <v>3</v>
      </c>
      <c r="KH68">
        <f>SUMPRODUCT(--('Данные 2st'!$Q$2:$Q$317=$A68),--ISNUMBER('Данные 2st'!$BP$2:$BP$317))</f>
        <v>6</v>
      </c>
      <c r="KI68">
        <f>SUMPRODUCT(--('Данные 2st'!$Q$2:$Q$317=$A68),--ISNUMBER('Данные 2st'!$BR$2:$BR$317))</f>
        <v>6</v>
      </c>
      <c r="KJ68">
        <f>SUMPRODUCT(--('Данные 2st'!$Q$2:$Q$317=$A68),--ISNUMBER('Данные 2st'!$BS$2:$BS$317))</f>
        <v>6</v>
      </c>
      <c r="KK68">
        <f>SUMPRODUCT(--('Данные 2st'!$Q$2:$Q$317=$A68),--ISNUMBER('Данные 2st'!$BT$2:$BT$317))</f>
        <v>6</v>
      </c>
      <c r="KL68">
        <f>SUMPRODUCT(--('Данные 2st'!$Q$2:$Q$317=$A68),--ISNUMBER('Данные 2st'!$CV$2:$CV$317))</f>
        <v>6</v>
      </c>
      <c r="KM68">
        <f>SUMPRODUCT(--('Данные 2st'!$Q$2:$Q$317=$A68),--ISNUMBER('Данные 2st'!$CW$2:$CW$317))</f>
        <v>6</v>
      </c>
      <c r="KN68">
        <f>SUMPRODUCT(--('Данные 2st'!$Q$2:$Q$317=$A68),--ISNUMBER('Данные 2st'!$CX$2:$CX$317))</f>
        <v>6</v>
      </c>
      <c r="KO68">
        <f>SUMPRODUCT(--('Данные 2st'!$Q$2:$Q$317=$A68),--ISNUMBER('Данные 2st'!$CY$2:$CY$317))</f>
        <v>6</v>
      </c>
      <c r="KP68">
        <f>SUMPRODUCT(--('Данные 2st'!$Q$2:$Q$317=$A68),--ISNUMBER('Данные 2st'!$CZ$2:$CZ$317))</f>
        <v>6</v>
      </c>
      <c r="KQ68">
        <f>SUMPRODUCT(--('Данные 2st'!$Q$2:$Q$317=$A68),--ISNUMBER('Данные 2st'!$DA$2:$DA$317))</f>
        <v>6</v>
      </c>
      <c r="KR68">
        <f>SUMPRODUCT(--('Данные 2st'!$Q$2:$Q$317=$A68),--ISNUMBER('Данные 2st'!$DB$2:$DB$317))</f>
        <v>6</v>
      </c>
      <c r="KS68">
        <f>SUMPRODUCT(--('Данные 2st'!$Q$2:$Q$317=$A68),--ISNUMBER('Данные 2st'!$DC$2:$DC$317))</f>
        <v>6</v>
      </c>
      <c r="KT68">
        <f>SUMPRODUCT(--('Данные 2st'!$Q$2:$Q$317=$A68),--ISNUMBER('Данные 2st'!$DD$2:$DD$317))</f>
        <v>6</v>
      </c>
      <c r="KU68">
        <f>SUMPRODUCT(--('Данные 2st'!$Q$2:$Q$317=$A68),--ISNUMBER('Данные 2st'!$DE$2:$DE$317))</f>
        <v>6</v>
      </c>
      <c r="KV68">
        <f>SUMPRODUCT(--('Данные 2st'!$Q$2:$Q$317=$A68),--ISNUMBER('Данные 2st'!$DF$2:$DF$317))</f>
        <v>6</v>
      </c>
      <c r="KW68">
        <f>SUMPRODUCT(--('Данные 2st'!$Q$2:$Q$317=$A68),--ISNUMBER('Данные 2st'!$DG$2:$DG$317))</f>
        <v>6</v>
      </c>
      <c r="KX68">
        <f>SUMPRODUCT(--('Данные 2st'!$Q$2:$Q$317=$A68),--ISNUMBER('Данные 2st'!$DH$2:$DH$317))</f>
        <v>6</v>
      </c>
      <c r="KY68">
        <f>SUMPRODUCT(--('Данные 2st'!$Q$2:$Q$317=$A68),--ISNUMBER('Данные 2st'!$DI$2:$DI$317))</f>
        <v>0</v>
      </c>
      <c r="KZ68">
        <f>SUMPRODUCT(--('Данные 2st'!$Q$2:$Q$317=$A68),--ISNUMBER('Данные 2st'!$DK$2:$DK$317))</f>
        <v>6</v>
      </c>
      <c r="LA68">
        <f>SUMPRODUCT(--('Данные 2st'!$Q$2:$Q$317=$A68),--ISNUMBER('Данные 2st'!$DM$2:$DM$317))</f>
        <v>6</v>
      </c>
      <c r="LB68">
        <f>SUMPRODUCT(--('Данные 2st'!$Q$2:$Q$317=$A68),--ISNUMBER('Данные 2st'!$DN$2:$DN$317))</f>
        <v>6</v>
      </c>
      <c r="LC68">
        <f>SUMPRODUCT(--('Данные 2st'!$Q$2:$Q$317=$A68),--ISNUMBER('Данные 2st'!$DO$2:$DO$317))</f>
        <v>6</v>
      </c>
      <c r="LD68">
        <f>SUMPRODUCT(--('Данные 2st'!$Q$2:$Q$317=$A68),--ISNUMBER('Данные 2st'!$DP$2:$DP$317))</f>
        <v>6</v>
      </c>
      <c r="LE68">
        <f>SUMPRODUCT(--('Данные 2st'!$Q$2:$Q$317=$A68),--ISNUMBER('Данные 2st'!$DQ$2:$DQ$317))</f>
        <v>6</v>
      </c>
      <c r="LF68">
        <f>SUMPRODUCT(--('Данные 2st'!$Q$2:$Q$317=$A68),--ISNUMBER('Данные 2st'!$DS$2:$DS$317))</f>
        <v>6</v>
      </c>
      <c r="LG68">
        <f>SUMPRODUCT(--('Данные 2st'!$Q$2:$Q$317=$A68),--ISNUMBER('Данные 2st'!$DU$2:$DU$317))</f>
        <v>6</v>
      </c>
      <c r="LH68">
        <f>SUMPRODUCT(--('Данные 2st'!$Q$2:$Q$317=$A68),--ISNUMBER('Данные 2st'!$DV$2:$DV$317))</f>
        <v>6</v>
      </c>
      <c r="LI68">
        <f>SUMPRODUCT(--('Данные 2st'!$Q$2:$Q$317=$A68),--ISNUMBER('Данные 2st'!$DW$2:$DW$317))</f>
        <v>6</v>
      </c>
      <c r="LJ68">
        <f>SUMPRODUCT(--('Данные 2st'!$Q$2:$Q$317=$A68),--ISNUMBER('Данные 2st'!$DX$2:$DX$317))</f>
        <v>6</v>
      </c>
      <c r="LK68">
        <f>SUMPRODUCT(--('Данные 2st'!$Q$2:$Q$317=$A68),--ISNUMBER('Данные 2st'!$DY$2:$DY$317))</f>
        <v>6</v>
      </c>
      <c r="LL68">
        <f>SUMPRODUCT(--('Данные 2st'!$Q$2:$Q$317=$A68),--ISNUMBER('Данные 2st'!$EA$2:$EA$317))</f>
        <v>6</v>
      </c>
      <c r="LM68">
        <f>SUMPRODUCT(--('Данные 2st'!$Q$2:$Q$317=$A68),--ISNUMBER('Данные 2st'!$EC$2:$EC$317))</f>
        <v>6</v>
      </c>
      <c r="LN68">
        <f>SUMPRODUCT(--('Данные 2st'!$Q$2:$Q$317=$A68),--ISNUMBER('Данные 2st'!$ED$2:$ED$317))</f>
        <v>6</v>
      </c>
      <c r="LO68">
        <f>SUMPRODUCT(--('Данные 2st'!$Q$2:$Q$317=$A68),--ISNUMBER('Данные 2st'!$EE$2:$EE$317))</f>
        <v>6</v>
      </c>
      <c r="LP68">
        <f>SUMPRODUCT(--('Данные 2st'!$Q$2:$Q$317=$A68),--ISNUMBER('Данные 2st'!$EG$2:$EG$317))</f>
        <v>6</v>
      </c>
      <c r="LQ68">
        <f>SUMPRODUCT(--('Данные 2st'!$Q$2:$Q$317=$A68),--ISNUMBER('Данные 2st'!$EI$2:$EI$317))</f>
        <v>6</v>
      </c>
      <c r="LR68">
        <f>SUMPRODUCT(--('Данные 2st'!$Q$2:$Q$317=$A68),--ISNUMBER('Данные 2st'!$EJ$2:$EJ$317))</f>
        <v>0</v>
      </c>
      <c r="LS68">
        <f>SUMPRODUCT(--('Данные 2st'!$Q$2:$Q$317=$A68),--ISNUMBER('Данные 2st'!$EK$2:$EK$317))</f>
        <v>0</v>
      </c>
      <c r="LT68">
        <f>SUMPRODUCT(--('Данные 2st'!$Q$2:$Q$317=$A68),--ISNUMBER('Данные 2st'!$EM$2:$EM$317))</f>
        <v>6</v>
      </c>
      <c r="LU68">
        <f>SUMPRODUCT(--('Данные 2st'!$Q$2:$Q$317=$A68),--ISNUMBER('Данные 2st'!$EN$2:$EN$317))</f>
        <v>6</v>
      </c>
      <c r="LV68">
        <f>SUMPRODUCT(--('Данные 2st'!$Q$2:$Q$317=$A68),--ISNUMBER('Данные 2st'!$EO$2:$EO$317))</f>
        <v>6</v>
      </c>
      <c r="LW68">
        <f>SUMPRODUCT(--('Данные 2st'!$Q$2:$Q$317=$A68),--ISNUMBER('Данные 2st'!$EP$2:$EP$317))</f>
        <v>6</v>
      </c>
      <c r="LX68">
        <f>SUMPRODUCT(--('Данные 2st'!$Q$2:$Q$317=$A68),--ISNUMBER('Данные 2st'!$EQ$2:$EQ$317))</f>
        <v>6</v>
      </c>
      <c r="LY68">
        <f>SUMPRODUCT(--('Данные 2st'!$Q$2:$Q$317=$A68),--ISNUMBER('Данные 2st'!$ER$2:$ER$317))</f>
        <v>6</v>
      </c>
      <c r="LZ68">
        <f>SUMPRODUCT(--('Данные 2st'!$Q$2:$Q$317=$A68),--ISNUMBER('Данные 2st'!$ES$2:$ES$317))</f>
        <v>6</v>
      </c>
      <c r="MA68">
        <f>SUMPRODUCT(--('Данные 2st'!$Q$2:$Q$317=$A68),--ISNUMBER('Данные 2st'!$ET$2:$ET$317))</f>
        <v>6</v>
      </c>
      <c r="MB68">
        <f>SUMPRODUCT(--('Данные 2st'!$Q$2:$Q$317=$A68),--ISNUMBER('Данные 2st'!$EU$2:$EU$317))</f>
        <v>6</v>
      </c>
      <c r="MC68">
        <f>SUMPRODUCT(--('Данные 2st'!$Q$2:$Q$317=$A68),--ISNUMBER('Данные 2st'!$EV$2:$EV$317))</f>
        <v>6</v>
      </c>
      <c r="MD68">
        <f>SUMPRODUCT(--('Данные 2st'!$Q$2:$Q$317=$A68),--ISNUMBER('Данные 2st'!$EW$2:$EW$317))</f>
        <v>6</v>
      </c>
      <c r="ME68">
        <f>SUMPRODUCT(--('Данные 2st'!$Q$2:$Q$317=$A68),--ISNUMBER('Данные 2st'!$EY$2:$EY$317))</f>
        <v>6</v>
      </c>
      <c r="MF68">
        <f>SUMPRODUCT(--('Данные 2st'!$Q$2:$Q$317=$A68),--ISNUMBER('Данные 2st'!$FA$2:$FA$317))</f>
        <v>6</v>
      </c>
      <c r="MG68">
        <f>SUMPRODUCT(--('Данные 2st'!$Q$2:$Q$317=$A68),--ISNUMBER('Данные 2st'!$FB$2:$FB$317))</f>
        <v>6</v>
      </c>
      <c r="MH68">
        <f>SUMPRODUCT(--('Данные 2st'!$Q$2:$Q$317=$A68),--ISNUMBER('Данные 2st'!$FC$2:$FC$317))</f>
        <v>6</v>
      </c>
      <c r="MI68">
        <f>SUMPRODUCT(--('Данные 2st'!$Q$2:$Q$317=$A68),--ISNUMBER('Данные 2st'!$FD$2:$FD$317))</f>
        <v>6</v>
      </c>
      <c r="MJ68">
        <f>SUMPRODUCT(--('Данные 2st'!$Q$2:$Q$317=$A68),--ISNUMBER('Данные 2st'!$FE$2:$FE$317))</f>
        <v>6</v>
      </c>
      <c r="MK68">
        <f>SUMPRODUCT(--('Данные 2st'!$Q$2:$Q$317=$A68),--ISNUMBER('Данные 2st'!$FG$2:$FG$317))</f>
        <v>6</v>
      </c>
      <c r="ML68">
        <f>SUMPRODUCT(--('Данные 2st'!$Q$2:$Q$317=$A68),--ISNUMBER('Данные 2st'!$FI$2:$FI$317))</f>
        <v>6</v>
      </c>
      <c r="MM68">
        <f>SUMPRODUCT(--('Данные 2st'!$Q$2:$Q$317=$A68),--ISNUMBER('Данные 2st'!$FJ$2:$FJ$317))</f>
        <v>6</v>
      </c>
      <c r="MN68">
        <f>SUMPRODUCT(--('Данные 2st'!$Q$2:$Q$317=$A68),--ISNUMBER('Данные 2st'!$FK$2:$FK$317))</f>
        <v>6</v>
      </c>
      <c r="MO68">
        <f>SUMPRODUCT(--('Данные 2st'!$Q$2:$Q$317=$A68),--ISNUMBER('Данные 2st'!$FP$2:$FP$317))</f>
        <v>6</v>
      </c>
      <c r="MP68">
        <f>SUMPRODUCT(--('Данные 2st'!$Q$2:$Q$317=$A68),--ISNUMBER('Данные 2st'!$FQ$2:$FQ$317))</f>
        <v>6</v>
      </c>
      <c r="MQ68">
        <f>SUMPRODUCT(--('Данные 2st'!$Q$2:$Q$317=$A68),--ISNUMBER('Данные 2st'!$FS$2:$FS$317))</f>
        <v>6</v>
      </c>
      <c r="MR68">
        <f>SUMPRODUCT(--('Данные 2st'!$Q$2:$Q$317=$A68),--ISNUMBER('Данные 2st'!$FU$2:$FU$317))</f>
        <v>6</v>
      </c>
      <c r="MS68">
        <f>SUMPRODUCT(--('Данные 2st'!$Q$2:$Q$317=$A68),--ISNUMBER('Данные 2st'!$FV$2:$FV$317))</f>
        <v>6</v>
      </c>
      <c r="MT68">
        <f>SUMPRODUCT(--('Данные 2st'!$Q$2:$Q$317=$A68),--ISNUMBER('Данные 2st'!$FW$2:$FW$317))</f>
        <v>6</v>
      </c>
      <c r="MU68">
        <f>SUMPRODUCT(--('Данные 2st'!$Q$2:$Q$317=$A68),--ISNUMBER('Данные 2st'!$FY$2:$FY$317))</f>
        <v>6</v>
      </c>
      <c r="MV68">
        <f>SUMPRODUCT(--('Данные 2st'!$Q$2:$Q$317=$A68),--ISNUMBER('Данные 2st'!$GB$2:$GB$317))</f>
        <v>6</v>
      </c>
      <c r="MW68">
        <f>SUMPRODUCT(--('Данные 2st'!$Q$2:$Q$317=$A68),--ISNUMBER('Данные 2st'!$GC$2:$GC$317))</f>
        <v>6</v>
      </c>
      <c r="MX68">
        <f>SUMPRODUCT(--('Данные 2st'!$Q$2:$Q$317=$A68),--ISNUMBER('Данные 2st'!$GD$2:$GD$317))</f>
        <v>6</v>
      </c>
      <c r="MY68">
        <f>SUMPRODUCT(--('Данные 2st'!$Q$2:$Q$317=$A68),--ISNUMBER('Данные 2st'!$GN$2:$GN$317))</f>
        <v>0</v>
      </c>
      <c r="MZ68">
        <f>SUMPRODUCT(--('Данные 2st'!$Q$2:$Q$317=$A68),--ISNUMBER('Данные 2st'!$GQ$2:$GQ$317))</f>
        <v>6</v>
      </c>
      <c r="NA68">
        <f>SUMPRODUCT(--('Данные 2st'!$Q$2:$Q$317=$A68),--ISNUMBER('Данные 2st'!$GV$2:$GV$317))</f>
        <v>6</v>
      </c>
      <c r="NB68">
        <f>SUMPRODUCT(--('Данные 2st'!$Q$2:$Q$317=$A68),--ISNUMBER('Данные 2st'!$GW$2:$GW$317))</f>
        <v>6</v>
      </c>
      <c r="NC68">
        <f>SUMPRODUCT(--('Данные 2st'!$Q$2:$Q$317=$A68),--ISNUMBER('Данные 2st'!$GX$2:$GX$317))</f>
        <v>6</v>
      </c>
      <c r="ND68">
        <f>SUMPRODUCT(--('Данные 2st'!$Q$2:$Q$317=$A68),--ISNUMBER('Данные 2st'!$GY$2:$GY$317))</f>
        <v>6</v>
      </c>
      <c r="NE68">
        <f>SUMPRODUCT(--('Данные 2st'!$Q$2:$Q$317=$A68),--ISNUMBER('Данные 2st'!$GZ$2:$GZ$317))</f>
        <v>6</v>
      </c>
      <c r="NF68">
        <f>SUMPRODUCT(--('Данные 2st'!$Q$2:$Q$317=$A68),--ISNUMBER('Данные 2st'!$HA$2:$HA$317))</f>
        <v>6</v>
      </c>
      <c r="NG68">
        <f>SUMPRODUCT(--('Данные 2st'!$Q$2:$Q$317=$A68),--ISNUMBER('Данные 2st'!$HB$2:$HB$317))</f>
        <v>6</v>
      </c>
      <c r="NH68">
        <f>SUMPRODUCT(--('Данные 2st'!$Q$2:$Q$317=$A68),--ISNUMBER('Данные 2st'!$HC$2:$HC$317))</f>
        <v>6</v>
      </c>
      <c r="NI68">
        <f>SUMPRODUCT(--('Данные 2st'!$Q$2:$Q$317=$A68),--ISNUMBER('Данные 2st'!$HD$2:$HD$317))</f>
        <v>6</v>
      </c>
      <c r="NJ68">
        <f>SUMPRODUCT(--('Данные 2st'!$Q$2:$Q$317=$A68),--ISNUMBER('Данные 2st'!$HM$2:$HM$317))</f>
        <v>6</v>
      </c>
      <c r="NK68">
        <f>SUMPRODUCT(--('Данные 2st'!$Q$2:$Q$317=$A68),--ISNUMBER('Данные 2st'!$HR$2:$HR$317))</f>
        <v>6</v>
      </c>
      <c r="NL68">
        <f>SUMPRODUCT(--('Данные 2st'!$Q$2:$Q$317=$A68),--ISNUMBER('Данные 2st'!$HS$2:$HS$317))</f>
        <v>6</v>
      </c>
      <c r="NM68">
        <f>SUMPRODUCT(--('Данные 2st'!$Q$2:$Q$317=$A68),--ISNUMBER('Данные 2st'!$HT$2:$HT$317))</f>
        <v>6</v>
      </c>
      <c r="NN68">
        <f>SUMPRODUCT(--('Данные 2st'!$Q$2:$Q$317=$A68),--ISNUMBER('Данные 2st'!$HY$2:$HY$317))</f>
        <v>6</v>
      </c>
      <c r="NO68">
        <f>SUMPRODUCT(--('Данные 2st'!$Q$2:$Q$317=$A68),--ISNUMBER('Данные 2st'!$HZ$2:$HZ$317))</f>
        <v>6</v>
      </c>
      <c r="NP68">
        <f>SUMPRODUCT(--('Данные 2st'!$Q$2:$Q$317=$A68),--ISNUMBER('Данные 2st'!$IA$2:$IA$317))</f>
        <v>6</v>
      </c>
      <c r="NQ68">
        <f>SUMPRODUCT(--('Данные 2st'!$Q$2:$Q$317=$A68),--ISNUMBER('Данные 2st'!$IB$2:$IB$317))</f>
        <v>6</v>
      </c>
      <c r="NR68">
        <f>SUMPRODUCT(--('Данные 2st'!$Q$2:$Q$317=$A68),--ISNUMBER('Данные 2st'!$IC$2:$IC$317))</f>
        <v>0</v>
      </c>
      <c r="NS68">
        <f>SUMPRODUCT(--('Данные 2st'!$Q$2:$Q$317=$A68),--ISNUMBER('Данные 2st'!$ID$2:$ID$317))</f>
        <v>6</v>
      </c>
      <c r="NT68">
        <f>SUMPRODUCT(--('Данные 2st'!$Q$2:$Q$317=$A68),--ISNUMBER('Данные 2st'!$IE$2:$IE$317))</f>
        <v>6</v>
      </c>
      <c r="NU68">
        <f>SUMPRODUCT(--('Данные 2st'!$Q$2:$Q$317=$A68),--ISNUMBER('Данные 2st'!$IF$2:$IF$317))</f>
        <v>6</v>
      </c>
      <c r="NV68">
        <f>SUMPRODUCT(--('Данные 2st'!$Q$2:$Q$317=$A68),--ISNUMBER('Данные 2st'!$IG$2:$IG$317))</f>
        <v>6</v>
      </c>
      <c r="NW68">
        <f>SUMPRODUCT(--('Данные 2st'!$Q$2:$Q$317=$A68),--ISNUMBER('Данные 2st'!$IH$2:$IH$317))</f>
        <v>6</v>
      </c>
      <c r="NX68">
        <f>SUMPRODUCT(--('Данные 2st'!$Q$2:$Q$317=$A68),--ISNUMBER('Данные 2st'!$IJ$2:$IJ$317))</f>
        <v>6</v>
      </c>
      <c r="NY68">
        <f>SUMPRODUCT(--('Данные 2st'!$Q$2:$Q$317=$A68),--ISNUMBER('Данные 2st'!$IM$2:$IM$317))</f>
        <v>6</v>
      </c>
      <c r="NZ68">
        <f>SUMPRODUCT(--('Данные 2st'!$Q$2:$Q$317=$A68),--ISNUMBER('Данные 2st'!$IN$2:$IN$317))</f>
        <v>6</v>
      </c>
      <c r="OA68">
        <f>SUMPRODUCT(--('Данные 2st'!$Q$2:$Q$317=$A68),--ISNUMBER('Данные 2st'!$IO$2:$IO$317))</f>
        <v>6</v>
      </c>
      <c r="OB68">
        <f>SUMPRODUCT(--('Данные 2st'!$Q$2:$Q$317=$A68),--ISNUMBER('Данные 2st'!$IP$2:$IP$317))</f>
        <v>6</v>
      </c>
      <c r="OC68">
        <f>SUMPRODUCT(--('Данные 2st'!$Q$2:$Q$317=$A68),--ISNUMBER('Данные 2st'!$IQ$2:$IQ$317))</f>
        <v>6</v>
      </c>
      <c r="OD68">
        <f>SUMPRODUCT(--('Данные 2st'!$Q$2:$Q$317=$A68),--ISNUMBER('Данные 2st'!$IR$2:$IR$317))</f>
        <v>6</v>
      </c>
      <c r="OE68">
        <f>SUMPRODUCT(--('Данные 2st'!$Q$2:$Q$317=$A68),--ISNUMBER('Данные 2st'!$IT$2:$IT$317))</f>
        <v>6</v>
      </c>
      <c r="OF68">
        <f>SUMPRODUCT(--('Данные 2st'!$Q$2:$Q$317=$A68),--ISNUMBER('Данные 2st'!$IU$2:$IU$317))</f>
        <v>6</v>
      </c>
      <c r="OG68">
        <f>SUMPRODUCT(--('Данные 2st'!$Q$2:$Q$317=$A68),--ISNUMBER('Данные 2st'!$IV$2:$IV$317))</f>
        <v>6</v>
      </c>
      <c r="OH68">
        <f>SUMPRODUCT(--('Данные 2st'!$Q$2:$Q$317=$A68),--ISNUMBER('Данные 2st'!$IW$2:$IW$317))</f>
        <v>6</v>
      </c>
      <c r="OI68">
        <f>SUMPRODUCT(--('Данные 2st'!$Q$2:$Q$317=$A68),--ISNUMBER('Данные 2st'!$IX$2:$IX$317))</f>
        <v>6</v>
      </c>
      <c r="OJ68">
        <f>SUMPRODUCT(--('Данные 2st'!$Q$2:$Q$317=$A68),--ISNUMBER('Данные 2st'!$IY$2:$IY$317))</f>
        <v>6</v>
      </c>
      <c r="OK68">
        <f>SUMPRODUCT(--('Данные 2st'!$Q$2:$Q$317=$A68),--ISNUMBER('Данные 2st'!$IZ$2:$IZ$317))</f>
        <v>6</v>
      </c>
      <c r="OL68">
        <f>SUMPRODUCT(--('Данные 2st'!$Q$2:$Q$317=$A68),--ISNUMBER('Данные 2st'!$JA$2:$JA$317))</f>
        <v>6</v>
      </c>
      <c r="OM68">
        <f>SUMPRODUCT(--('Данные 2st'!$Q$2:$Q$317=$A68),--ISNUMBER('Данные 2st'!$JB$2:$JB$317))</f>
        <v>6</v>
      </c>
      <c r="ON68">
        <f>SUMPRODUCT(--('Данные 2st'!$Q$2:$Q$317=$A68),--ISNUMBER('Данные 2st'!$JC$2:$JC$317))</f>
        <v>6</v>
      </c>
      <c r="OO68">
        <f>SUMPRODUCT(--('Данные 2st'!$Q$2:$Q$317=$A68),--ISNUMBER('Данные 2st'!$JD$2:$JD$317))</f>
        <v>6</v>
      </c>
      <c r="OP68">
        <f>SUMPRODUCT(--('Данные 2st'!$Q$2:$Q$317=$A68),--ISNUMBER('Данные 2st'!$JE$2:$JE$317))</f>
        <v>6</v>
      </c>
      <c r="OQ68">
        <f>SUMPRODUCT(--('Данные 2st'!$Q$2:$Q$317=$A68),--ISNUMBER('Данные 2st'!$JF$2:$JF$317))</f>
        <v>6</v>
      </c>
      <c r="OR68">
        <f>SUMPRODUCT(--('Данные 2st'!$Q$2:$Q$317=$A68),--ISNUMBER('Данные 2st'!$JG$2:$JG$317))</f>
        <v>6</v>
      </c>
      <c r="OS68">
        <f>SUMPRODUCT(--('Данные 2st'!$Q$2:$Q$317=$A68),--ISNUMBER('Данные 2st'!$JH$2:$JH$317))</f>
        <v>6</v>
      </c>
      <c r="OT68">
        <f>SUMPRODUCT(--('Данные 2st'!$Q$2:$Q$317=$A68),--ISNUMBER('Данные 2st'!$JI$2:$JI$317))</f>
        <v>6</v>
      </c>
      <c r="OU68">
        <f>SUMPRODUCT(--('Данные 2st'!$Q$2:$Q$317=$A68),--ISNUMBER('Данные 2st'!$JJ$2:$JJ$317))</f>
        <v>6</v>
      </c>
      <c r="OV68">
        <f>SUMPRODUCT(--('Данные 2st'!$Q$2:$Q$317=$A68),--ISNUMBER('Данные 2st'!$JK$2:$JK$317))</f>
        <v>6</v>
      </c>
      <c r="OW68">
        <f>SUMPRODUCT(--('Данные 2st'!$Q$2:$Q$317=$A68),--ISNUMBER('Данные 2st'!$JL$2:$JL$317))</f>
        <v>6</v>
      </c>
      <c r="OX68">
        <f>SUMPRODUCT(--('Данные 2st'!$Q$2:$Q$317=$A68),--ISNUMBER('Данные 2st'!$JM$2:$JM$317))</f>
        <v>6</v>
      </c>
      <c r="OY68">
        <f>SUMPRODUCT(--('Данные 2st'!$Q$2:$Q$317=$A68),--ISNUMBER('Данные 2st'!$JP$2:$JP$317))</f>
        <v>6</v>
      </c>
      <c r="OZ68">
        <f>SUMPRODUCT(--('Данные 2st'!$Q$2:$Q$317=$A68),--ISNUMBER('Данные 2st'!$JQ$2:$JQ$317))</f>
        <v>6</v>
      </c>
      <c r="PA68">
        <f>SUMPRODUCT(--('Данные 2st'!$Q$2:$Q$317=$A68),--ISNUMBER('Данные 2st'!$JR$2:$JR$317))</f>
        <v>6</v>
      </c>
      <c r="PB68">
        <f>SUMPRODUCT(--('Данные 2st'!$Q$2:$Q$317=$A68),--ISNUMBER('Данные 2st'!$JS$2:$JS$317))</f>
        <v>6</v>
      </c>
      <c r="PC68">
        <f>SUMPRODUCT(--('Данные 2st'!$Q$2:$Q$317=$A68),--ISNUMBER('Данные 2st'!$JT$2:$JT$317))</f>
        <v>6</v>
      </c>
      <c r="PD68">
        <f>SUMPRODUCT(--('Данные 2st'!$Q$2:$Q$317=$A68),--ISNUMBER('Данные 2st'!$JU$2:$JU$317))</f>
        <v>6</v>
      </c>
      <c r="PE68">
        <f>SUMPRODUCT(--('Данные 2st'!$Q$2:$Q$317=$A68),--ISNUMBER('Данные 2st'!$JV$2:$JV$317))</f>
        <v>6</v>
      </c>
      <c r="PF68">
        <f>SUMPRODUCT(--('Данные 2st'!$Q$2:$Q$317=$A68),--ISNUMBER('Данные 2st'!$JW$2:$JW$317))</f>
        <v>6</v>
      </c>
      <c r="PG68">
        <f>SUMPRODUCT(--('Данные 2st'!$Q$2:$Q$317=$A68),--ISNUMBER('Данные 2st'!$KF$2:$KF$317))</f>
        <v>6</v>
      </c>
      <c r="PH68">
        <f>SUMPRODUCT(--('Данные 2st'!$Q$2:$Q$317=$A68),--ISNUMBER('Данные 2st'!$KG$2:$KG$317))</f>
        <v>6</v>
      </c>
      <c r="PI68">
        <f>SUMPRODUCT(--('Данные 2st'!$Q$2:$Q$317=$A68),--ISNUMBER('Данные 2st'!$KM$2:$KM$317))</f>
        <v>6</v>
      </c>
      <c r="PJ68">
        <f>SUMPRODUCT(--('Данные 2st'!$Q$2:$Q$317=$A68),--ISNUMBER('Данные 2st'!$KN$2:$KN$317))</f>
        <v>6</v>
      </c>
      <c r="PK68">
        <f>SUMPRODUCT(--('Данные 2st'!$Q$2:$Q$317=$A68),--ISNUMBER('Данные 2st'!$KO$2:$KO$317))</f>
        <v>6</v>
      </c>
      <c r="PL68">
        <f>SUMPRODUCT(--('Данные 2st'!$Q$2:$Q$317=$A68),--ISNUMBER('Данные 2st'!$KP$2:$KP$317))</f>
        <v>6</v>
      </c>
      <c r="PM68">
        <f>SUMPRODUCT(--('Данные 2st'!$Q$2:$Q$317=$A68),--ISNUMBER('Данные 2st'!$KQ$2:$KQ$317))</f>
        <v>6</v>
      </c>
      <c r="PN68">
        <f>SUMPRODUCT(--('Данные 2st'!$Q$2:$Q$317=$A68),--ISNUMBER('Данные 2st'!$KR$2:$KR$317))</f>
        <v>6</v>
      </c>
      <c r="PO68">
        <f>SUMPRODUCT(--('Данные 2st'!$Q$2:$Q$317=$A68),--ISNUMBER('Данные 2st'!$KS$2:$KS$317))</f>
        <v>6</v>
      </c>
      <c r="PP68">
        <f>SUMPRODUCT(--('Данные 2st'!$Q$2:$Q$317=$A68),--ISNUMBER('Данные 2st'!$KT$2:$KT$317))</f>
        <v>6</v>
      </c>
      <c r="PQ68">
        <f>SUMPRODUCT(--('Данные 2st'!$Q$2:$Q$317=$A68),--ISNUMBER('Данные 2st'!$KU$2:$KU$317))</f>
        <v>6</v>
      </c>
      <c r="PR68">
        <f>SUMPRODUCT(--('Данные 2st'!$Q$2:$Q$317=$A68),--ISNUMBER('Данные 2st'!$KV$2:$KV$317))</f>
        <v>6</v>
      </c>
      <c r="PS68">
        <f>SUMPRODUCT(--('Данные 2st'!$Q$2:$Q$317=$A68),--ISNUMBER('Данные 2st'!$KW$2:$KW$317))</f>
        <v>6</v>
      </c>
      <c r="PT68">
        <f>SUMPRODUCT(--('Данные 2st'!$Q$2:$Q$317=$A68),--ISNUMBER('Данные 2st'!$KX$2:$KX$317))</f>
        <v>6</v>
      </c>
      <c r="PU68">
        <f>SUMPRODUCT(--('Данные 2st'!$Q$2:$Q$317=$A68),--ISNUMBER('Данные 2st'!$KY$2:$KY$317))</f>
        <v>6</v>
      </c>
      <c r="PV68">
        <f>SUMPRODUCT(--('Данные 2st'!$Q$2:$Q$317=$A68),--ISNUMBER('Данные 2st'!$KZ$2:$KZ$317))</f>
        <v>6</v>
      </c>
      <c r="PW68">
        <f>SUMPRODUCT(--('Данные 2st'!$Q$2:$Q$317=$A68),--ISNUMBER('Данные 2st'!$LA$2:$LA$317))</f>
        <v>6</v>
      </c>
      <c r="PX68">
        <f>SUMPRODUCT(--('Данные 2st'!$Q$2:$Q$317=$A68),--ISNUMBER('Данные 2st'!$LB$2:$LB$317))</f>
        <v>6</v>
      </c>
      <c r="PY68">
        <f>SUMPRODUCT(--('Данные 2st'!$Q$2:$Q$317=$A68),--ISNUMBER('Данные 2st'!$LC$2:$LC$317))</f>
        <v>6</v>
      </c>
      <c r="PZ68">
        <f>SUMPRODUCT(--('Данные 2st'!$Q$2:$Q$317=$A68),--ISNUMBER('Данные 2st'!$LD$2:$LD$317))</f>
        <v>6</v>
      </c>
      <c r="QA68">
        <f>SUMPRODUCT(--('Данные 2st'!$Q$2:$Q$317=$A68),--ISNUMBER('Данные 2st'!$LE$2:$LE$317))</f>
        <v>6</v>
      </c>
      <c r="QB68">
        <f>SUMPRODUCT(--('Данные 2st'!$Q$2:$Q$317=$A68),--ISNUMBER('Данные 2st'!$LF$2:$LF$317))</f>
        <v>6</v>
      </c>
      <c r="QC68">
        <f>SUMPRODUCT(--('Данные 2st'!$Q$2:$Q$317=$A68),--ISNUMBER('Данные 2st'!$LG$2:$LG$317))</f>
        <v>6</v>
      </c>
      <c r="QD68">
        <f>SUMPRODUCT(--('Данные 2st'!$Q$2:$Q$317=$A68),--ISNUMBER('Данные 2st'!$LH$2:$LH$317))</f>
        <v>6</v>
      </c>
      <c r="QE68">
        <f>SUMPRODUCT(--('Данные 2st'!$Q$2:$Q$317=$A68),--ISNUMBER('Данные 2st'!$LJ$2:$LJ$317))</f>
        <v>6</v>
      </c>
      <c r="QF68">
        <f>SUMPRODUCT(--('Данные 2st'!$Q$2:$Q$317=$A68),--ISNUMBER('Данные 2st'!$LK$2:$LK$317))</f>
        <v>6</v>
      </c>
      <c r="QG68">
        <f>SUMPRODUCT(--('Данные 2st'!$Q$2:$Q$317=$A68),--ISNUMBER('Данные 2st'!$LL$2:$LL$317))</f>
        <v>6</v>
      </c>
      <c r="QH68">
        <f>SUMPRODUCT(--('Данные 2st'!$Q$2:$Q$317=$A68),--ISNUMBER('Данные 2st'!$LM$2:$LM$317))</f>
        <v>6</v>
      </c>
      <c r="QI68">
        <f>SUMPRODUCT(--('Данные 2st'!$Q$2:$Q$317=$A68),--ISNUMBER('Данные 2st'!$LN$2:$LN$317))</f>
        <v>6</v>
      </c>
      <c r="QJ68">
        <f>SUMPRODUCT(--('Данные 2st'!$Q$2:$Q$317=$A68),--ISNUMBER('Данные 2st'!$LO$2:$LO$317))</f>
        <v>6</v>
      </c>
      <c r="QK68">
        <f>SUMPRODUCT(--('Данные 2st'!$Q$2:$Q$317=$A68),--ISNUMBER('Данные 2st'!$LP$2:$LP$317))</f>
        <v>6</v>
      </c>
      <c r="QL68">
        <f>SUMPRODUCT(--('Данные 2st'!$Q$2:$Q$317=$A68),--ISNUMBER('Данные 2st'!$LQ$2:$LQ$317))</f>
        <v>6</v>
      </c>
      <c r="QM68">
        <f>SUMPRODUCT(--('Данные 2st'!$Q$2:$Q$317=$A68),--ISNUMBER('Данные 2st'!$LW$2:$LW$317))</f>
        <v>6</v>
      </c>
      <c r="QN68">
        <f>SUMPRODUCT(--('Данные 2st'!$Q$2:$Q$317=$A68),--ISNUMBER('Данные 2st'!$LX$2:$LX$317))</f>
        <v>6</v>
      </c>
      <c r="QO68">
        <f>SUMPRODUCT(--('Данные 2st'!$Q$2:$Q$317=$A68),--ISNUMBER('Данные 2st'!$LY$2:$LY$317))</f>
        <v>6</v>
      </c>
      <c r="QP68">
        <f>SUMPRODUCT(--('Данные 2st'!$Q$2:$Q$317=$A68),--ISNUMBER('Данные 2st'!$LZ$2:$LZ$317))</f>
        <v>6</v>
      </c>
      <c r="QQ68">
        <f>SUMPRODUCT(--('Данные 2st'!$Q$2:$Q$317=$A68),--ISNUMBER('Данные 2st'!$MB$2:$MB$317))</f>
        <v>6</v>
      </c>
      <c r="QR68">
        <f>SUMPRODUCT(--('Данные 2st'!$Q$2:$Q$317=$A68),--ISNUMBER('Данные 2st'!$MG$2:$MG$317))</f>
        <v>5</v>
      </c>
      <c r="QS68">
        <f>SUMPRODUCT(--('Данные 2st'!$Q$2:$Q$317=$A68),--ISNUMBER('Данные 2st'!$MH$2:$MH$317))</f>
        <v>5</v>
      </c>
      <c r="QT68">
        <f>SUMPRODUCT(--('Данные 2st'!$Q$2:$Q$317=$A68),--ISNUMBER('Данные 2st'!$MI$2:$MI$317))</f>
        <v>6</v>
      </c>
      <c r="QU68">
        <f>SUMPRODUCT(--('Данные 2st'!$Q$2:$Q$317=$A68),--ISNUMBER('Данные 2st'!$MJ$2:$MJ$317))</f>
        <v>6</v>
      </c>
      <c r="QV68">
        <f>SUMPRODUCT(--('Данные 2st'!$Q$2:$Q$317=$A68),--ISNUMBER('Данные 2st'!$MK$2:$MK$317))</f>
        <v>5</v>
      </c>
      <c r="QW68">
        <f>SUMPRODUCT(--('Данные 2st'!$Q$2:$Q$317=$A68),--ISNUMBER('Данные 2st'!$MM$2:$MM$317))</f>
        <v>6</v>
      </c>
      <c r="QX68">
        <f>SUMPRODUCT(--('Данные 2st'!$Q$2:$Q$317=$A68),--ISNUMBER('Данные 2st'!$MQ$2:$MQ$317))</f>
        <v>0</v>
      </c>
      <c r="QY68">
        <f>SUMPRODUCT(--('Данные 2st'!$Q$2:$Q$317=$A68),--ISNUMBER('Данные 2st'!$MR$2:$MR$317))</f>
        <v>0</v>
      </c>
      <c r="QZ68">
        <f>SUMPRODUCT(--('Данные 2st'!$Q$2:$Q$317=$A68),--ISNUMBER('Данные 2st'!$MS$2:$MS$317))</f>
        <v>0</v>
      </c>
      <c r="RA68">
        <f>SUMPRODUCT(--('Данные 2st'!$Q$2:$Q$317=$A68),--ISNUMBER('Данные 2st'!$MT$2:$MT$317))</f>
        <v>0</v>
      </c>
      <c r="RB68">
        <f>SUMPRODUCT(--('Данные 2st'!$Q$2:$Q$317=$A68),--ISNUMBER('Данные 2st'!$MU$2:$MU$317))</f>
        <v>0</v>
      </c>
      <c r="RC68">
        <f>SUMPRODUCT(--('Данные 2st'!$Q$2:$Q$317=$A68),--ISNUMBER('Данные 2st'!$MV$2:$MV$317))</f>
        <v>0</v>
      </c>
      <c r="RD68">
        <f>SUMPRODUCT(--('Данные 2st'!$Q$2:$Q$317=$A68),--ISNUMBER('Данные 2st'!$MW$2:$MW$317))</f>
        <v>0</v>
      </c>
      <c r="RE68">
        <f>SUMPRODUCT(--('Данные 2st'!$Q$2:$Q$317=$A68),--ISNUMBER('Данные 2st'!$MX$2:$MX$317))</f>
        <v>0</v>
      </c>
      <c r="RF68">
        <f>SUMPRODUCT(--('Данные 2st'!$Q$2:$Q$317=$A68),--ISNUMBER('Данные 2st'!$MY$2:$MY$317))</f>
        <v>0</v>
      </c>
      <c r="RG68">
        <f>SUMPRODUCT(--('Данные 2st'!$Q$2:$Q$317=$A68),--ISNUMBER('Данные 2st'!$MZ$2:$MZ$317))</f>
        <v>0</v>
      </c>
      <c r="RH68">
        <f>SUMPRODUCT(--('Данные 2st'!$Q$2:$Q$317=$A68),--ISNUMBER('Данные 2st'!$NA$2:$NA$317))</f>
        <v>0</v>
      </c>
      <c r="RI68">
        <f>SUMPRODUCT(--('Данные 2st'!$Q$2:$Q$317=$A68),--ISNUMBER('Данные 2st'!$NB$2:$NB$317))</f>
        <v>0</v>
      </c>
      <c r="RJ68">
        <f>SUMPRODUCT(--('Данные 2st'!$Q$2:$Q$317=$A68),--ISNUMBER('Данные 2st'!$NC$2:$NC$317))</f>
        <v>0</v>
      </c>
      <c r="RK68">
        <f>SUMPRODUCT(--('Данные 2st'!$Q$2:$Q$317=$A68),--ISNUMBER('Данные 2st'!$ND$2:$ND$317))</f>
        <v>0</v>
      </c>
      <c r="RL68">
        <f>SUMPRODUCT(--('Данные 2st'!$Q$2:$Q$317=$A68),--ISNUMBER('Данные 2st'!$NE$2:$NE$317))</f>
        <v>0</v>
      </c>
      <c r="RM68">
        <f>SUMPRODUCT(--('Данные 2st'!$Q$2:$Q$317=$A68),--ISNUMBER('Данные 2st'!$NF$2:$NF$317))</f>
        <v>0</v>
      </c>
      <c r="RN68">
        <f>SUMPRODUCT(--('Данные 2st'!$Q$2:$Q$317=$A68),--ISNUMBER('Данные 2st'!$NG$2:$NG$317))</f>
        <v>0</v>
      </c>
      <c r="RO68">
        <f>SUMPRODUCT(--('Данные 2st'!$Q$2:$Q$317=$A68),--ISNUMBER('Данные 2st'!$NH$2:$NH$317))</f>
        <v>0</v>
      </c>
      <c r="RP68">
        <f>SUMPRODUCT(--('Данные 2st'!$Q$2:$Q$317=$A68),--ISNUMBER('Данные 2st'!$NJ$2:$NJ$317))</f>
        <v>0</v>
      </c>
      <c r="RQ68">
        <f>SUMPRODUCT(--('Данные 2st'!$Q$2:$Q$317=$A68),--ISNUMBER('Данные 2st'!$NK$2:$NK$317))</f>
        <v>0</v>
      </c>
      <c r="RR68">
        <f>SUMPRODUCT(--('Данные 2st'!$Q$2:$Q$317=$A68),--ISNUMBER('Данные 2st'!$NM$2:$NM$317))</f>
        <v>0</v>
      </c>
      <c r="RS68">
        <f>SUMPRODUCT(--('Данные 2st'!$Q$2:$Q$317=$A68),--ISNUMBER('Данные 2st'!$NN$2:$NN$317))</f>
        <v>0</v>
      </c>
      <c r="RT68">
        <f>SUMPRODUCT(--('Данные 2st'!$Q$2:$Q$317=$A68),--ISNUMBER('Данные 2st'!$NO$2:$NO$317))</f>
        <v>0</v>
      </c>
      <c r="RU68">
        <f>SUMPRODUCT(--('Данные 2st'!$Q$2:$Q$317=$A68),--ISNUMBER('Данные 2st'!$NP$2:$NP$317))</f>
        <v>0</v>
      </c>
      <c r="RV68">
        <f>SUMPRODUCT(--('Данные 2st'!$Q$2:$Q$317=$A68),--ISNUMBER('Данные 2st'!$NQ$2:$NQ$317))</f>
        <v>0</v>
      </c>
      <c r="RW68">
        <f>SUMPRODUCT(--('Данные 2st'!$Q$2:$Q$317=$A68),--ISNUMBER('Данные 2st'!$NR$2:$NR$317))</f>
        <v>0</v>
      </c>
      <c r="RX68">
        <f>SUMPRODUCT(--('Данные 2st'!$Q$2:$Q$317=$A68),--ISNUMBER('Данные 2st'!$NS$2:$NS$317))</f>
        <v>0</v>
      </c>
      <c r="RY68">
        <f>SUMPRODUCT(--('Данные 2st'!$Q$2:$Q$317=$A68),--ISNUMBER('Данные 2st'!$NT$2:$NT$317))</f>
        <v>0</v>
      </c>
      <c r="RZ68">
        <f>SUMPRODUCT(--('Данные 2st'!$Q$2:$Q$317=$A68),--ISNUMBER('Данные 2st'!$OK$2:$OK$317))</f>
        <v>6</v>
      </c>
      <c r="SA68">
        <f>SUMPRODUCT(--('Данные 2st'!$Q$2:$Q$317=$A68),--ISNUMBER('Данные 2st'!$OL$2:$OL$317))</f>
        <v>6</v>
      </c>
      <c r="SB68">
        <f>SUMPRODUCT(--('Данные 2st'!$Q$2:$Q$317=$A68),--ISNUMBER('Данные 2st'!$ON$2:$ON$317))</f>
        <v>6</v>
      </c>
      <c r="SC68">
        <f>SUMPRODUCT(--('Данные 2st'!$Q$2:$Q$317=$A68),--ISNUMBER('Данные 2st'!$OO$2:$OO$317))</f>
        <v>6</v>
      </c>
      <c r="SD68">
        <f>SUMPRODUCT(--('Данные 2st'!$Q$2:$Q$317=$A68),--ISNUMBER('Данные 2st'!$OP$2:$OP$317))</f>
        <v>6</v>
      </c>
      <c r="SE68">
        <f>SUMPRODUCT(--('Данные 2st'!$Q$2:$Q$317=$A68),--ISNUMBER('Данные 2st'!$OQ$2:$OQ$317))</f>
        <v>6</v>
      </c>
      <c r="SF68">
        <f>SUMPRODUCT(--('Данные 2st'!$Q$2:$Q$317=$A68),--ISNUMBER('Данные 2st'!$OS$2:$OS$317))</f>
        <v>6</v>
      </c>
      <c r="SG68">
        <f>SUMPRODUCT(--('Данные 2st'!$Q$2:$Q$317=$A68),--ISNUMBER('Данные 2st'!$OT$2:$OT$317))</f>
        <v>6</v>
      </c>
      <c r="SH68">
        <f>SUMPRODUCT(--('Данные 2st'!$Q$2:$Q$317=$A68),--ISNUMBER('Данные 2st'!$OU$2:$OU$317))</f>
        <v>6</v>
      </c>
      <c r="SI68">
        <f>SUMPRODUCT(--('Данные 2st'!$Q$2:$Q$317=$A68),--ISNUMBER('Данные 2st'!$OV$2:$OV$317))</f>
        <v>6</v>
      </c>
      <c r="SJ68">
        <f>SUMPRODUCT(--('Данные 2st'!$Q$2:$Q$317=$A68),--ISNUMBER('Данные 2st'!$OX$2:$OX$317))</f>
        <v>6</v>
      </c>
      <c r="SK68">
        <f>SUMPRODUCT(--('Данные 2st'!$Q$2:$Q$317=$A68),--ISNUMBER('Данные 2st'!$OY$2:$OY$317))</f>
        <v>6</v>
      </c>
      <c r="SL68">
        <f>SUMPRODUCT(--('Данные 2st'!$Q$2:$Q$317=$A68),--ISNUMBER('Данные 2st'!$OZ$2:$OZ$317))</f>
        <v>6</v>
      </c>
      <c r="SM68">
        <f>SUMPRODUCT(--('Данные 2st'!$Q$2:$Q$317=$A68),--ISNUMBER('Данные 2st'!$PA$2:$PA$317))</f>
        <v>6</v>
      </c>
      <c r="SN68">
        <f>SUMPRODUCT(--('Данные 2st'!$Q$2:$Q$317=$A68),--ISNUMBER('Данные 2st'!$PC$2:$PC$317))</f>
        <v>6</v>
      </c>
      <c r="SO68">
        <f>SUMPRODUCT(--('Данные 2st'!$Q$2:$Q$317=$A68),--ISNUMBER('Данные 2st'!$PD$2:$PD$317))</f>
        <v>6</v>
      </c>
      <c r="SP68">
        <f>SUMPRODUCT(--('Данные 2st'!$Q$2:$Q$317=$A68),--ISNUMBER('Данные 2st'!$PF$2:$PF$317))</f>
        <v>6</v>
      </c>
      <c r="SQ68">
        <f>SUMPRODUCT(--('Данные 2st'!$Q$2:$Q$317=$A68),--ISNUMBER('Данные 2st'!$PG$2:$PG$317))</f>
        <v>6</v>
      </c>
      <c r="SR68">
        <f>SUMPRODUCT(--('Данные 2st'!$Q$2:$Q$317=$A68),--ISNUMBER('Данные 2st'!$PH$2:$PH$317))</f>
        <v>6</v>
      </c>
      <c r="SS68">
        <f>SUMPRODUCT(--('Данные 2st'!$Q$2:$Q$317=$A68),--ISNUMBER('Данные 2st'!$PI$2:$PI$317))</f>
        <v>6</v>
      </c>
      <c r="ST68">
        <f>SUMPRODUCT(--('Данные 2st'!$Q$2:$Q$317=$A68),--ISNUMBER('Данные 2st'!$PJ$2:$PJ$317))</f>
        <v>6</v>
      </c>
      <c r="SU68">
        <f>SUMPRODUCT(--('Данные 2st'!$Q$2:$Q$317=$A68),--ISNUMBER('Данные 2st'!$PK$2:$PK$317))</f>
        <v>2</v>
      </c>
      <c r="SV68">
        <f>SUMPRODUCT(--('Данные 2st'!$Q$2:$Q$317=$A68),--ISNUMBER('Данные 2st'!$PL$2:$PL$317))</f>
        <v>6</v>
      </c>
      <c r="SW68">
        <f>SUMPRODUCT(--('Данные 2st'!$Q$2:$Q$317=$A68),--ISNUMBER('Данные 2st'!$PM$2:$PM$317))</f>
        <v>6</v>
      </c>
      <c r="SX68">
        <f>SUMPRODUCT(--('Данные 2st'!$Q$2:$Q$317=$A68),--ISNUMBER('Данные 2st'!$PN$2:$PN$317))</f>
        <v>6</v>
      </c>
      <c r="SY68">
        <f>SUMPRODUCT(--('Данные 2st'!$Q$2:$Q$317=$A68),--ISNUMBER('Данные 2st'!$PO$2:$PO$317))</f>
        <v>6</v>
      </c>
      <c r="SZ68">
        <f>SUMPRODUCT(--('Данные 2st'!$Q$2:$Q$317=$A68),--ISNUMBER('Данные 2st'!$PP$2:$PP$317))</f>
        <v>6</v>
      </c>
      <c r="TA68">
        <f>SUMPRODUCT(--('Данные 2st'!$Q$2:$Q$317=$A68),--ISNUMBER('Данные 2st'!$PQ$2:$PQ$317))</f>
        <v>6</v>
      </c>
      <c r="TB68">
        <f>SUMPRODUCT(--('Данные 2st'!$Q$2:$Q$317=$A68),--ISNUMBER('Данные 2st'!$PR$2:$PR$317))</f>
        <v>6</v>
      </c>
      <c r="TC68">
        <f>SUMPRODUCT(--('Данные 2st'!$Q$2:$Q$317=$A68),--ISNUMBER('Данные 2st'!$PS$2:$PS$317))</f>
        <v>6</v>
      </c>
      <c r="TD68">
        <f>SUMPRODUCT(--('Данные 2st'!$Q$2:$Q$317=$A68),--ISNUMBER('Данные 2st'!$PT$2:$PT$317))</f>
        <v>6</v>
      </c>
      <c r="TE68">
        <f>SUMPRODUCT(--('Данные 2st'!$Q$2:$Q$317=$A68),--ISNUMBER('Данные 2st'!$PU$2:$PU$317))</f>
        <v>6</v>
      </c>
      <c r="TF68">
        <f>SUMPRODUCT(--('Данные 2st'!$Q$2:$Q$317=$A68),--ISNUMBER('Данные 2st'!$PX$2:$PX$317))</f>
        <v>6</v>
      </c>
      <c r="TG68">
        <f>SUMPRODUCT(--('Данные 2st'!$Q$2:$Q$317=$A68),--ISNUMBER('Данные 2st'!$PY$2:$PY$317))</f>
        <v>6</v>
      </c>
      <c r="TH68">
        <f>SUMPRODUCT(--('Данные 2st'!$Q$2:$Q$317=$A68),--ISNUMBER('Данные 2st'!$PZ$2:$PZ$317))</f>
        <v>6</v>
      </c>
      <c r="TI68">
        <f>SUMPRODUCT(--('Данные 2st'!$Q$2:$Q$317=$A68),--ISNUMBER('Данные 2st'!$QA$2:$QA$317))</f>
        <v>6</v>
      </c>
      <c r="TJ68">
        <f>SUMPRODUCT(--('Данные 2st'!$Q$2:$Q$317=$A68),--ISNUMBER('Данные 2st'!$QB$2:$QB$317))</f>
        <v>6</v>
      </c>
      <c r="TK68">
        <f>SUMPRODUCT(--('Данные 2st'!$Q$2:$Q$317=$A68),--ISNUMBER('Данные 2st'!$QC$2:$QC$317))</f>
        <v>6</v>
      </c>
      <c r="TL68">
        <f>SUMPRODUCT(--('Данные 2st'!$Q$2:$Q$317=$A68),--ISNUMBER('Данные 2st'!$QD$2:$QD$317))</f>
        <v>6</v>
      </c>
      <c r="TM68">
        <f>SUMPRODUCT(--('Данные 2st'!$Q$2:$Q$317=$A68),--ISNUMBER('Данные 2st'!$QE$2:$QE$317))</f>
        <v>6</v>
      </c>
      <c r="TN68">
        <f>SUMPRODUCT(--('Данные 2st'!$Q$2:$Q$317=$A68),--ISNUMBER('Данные 2st'!$QF$2:$QF$317))</f>
        <v>6</v>
      </c>
      <c r="TO68">
        <f>SUMPRODUCT(--('Данные 2st'!$Q$2:$Q$317=$A68),--ISNUMBER('Данные 2st'!$QG$2:$QG$317))</f>
        <v>6</v>
      </c>
      <c r="TP68">
        <f>SUMPRODUCT(--('Данные 2st'!$Q$2:$Q$317=$A68),--ISNUMBER('Данные 2st'!$QH$2:$QH$317))</f>
        <v>6</v>
      </c>
      <c r="TQ68">
        <f>SUMPRODUCT(--('Данные 2st'!$Q$2:$Q$317=$A68),--ISNUMBER('Данные 2st'!$QI$2:$QI$317))</f>
        <v>6</v>
      </c>
      <c r="TR68">
        <f>SUMPRODUCT(--('Данные 2st'!$Q$2:$Q$317=$A68),--ISNUMBER('Данные 2st'!$QJ$2:$QJ$317))</f>
        <v>6</v>
      </c>
      <c r="TS68">
        <f>SUMPRODUCT(--('Данные 2st'!$Q$2:$Q$317=$A68),--ISNUMBER('Данные 2st'!$QK$2:$QK$317))</f>
        <v>6</v>
      </c>
      <c r="TT68">
        <f>SUMPRODUCT(--('Данные 2st'!$Q$2:$Q$317=$A68),--ISNUMBER('Данные 2st'!$QL$2:$QL$317))</f>
        <v>6</v>
      </c>
      <c r="TU68">
        <f>SUMPRODUCT(--('Данные 2st'!$Q$2:$Q$317=$A68),--ISNUMBER('Данные 2st'!$QM$2:$QM$317))</f>
        <v>6</v>
      </c>
      <c r="TV68">
        <f>SUMPRODUCT(--('Данные 2st'!$Q$2:$Q$317=$A68),--ISNUMBER('Данные 2st'!$QN$2:$QN$317))</f>
        <v>6</v>
      </c>
      <c r="TW68">
        <f>SUMPRODUCT(--('Данные 2st'!$Q$2:$Q$317=$A68),--ISNUMBER('Данные 2st'!$QQ$2:$QQ$317))</f>
        <v>6</v>
      </c>
      <c r="TX68">
        <f>SUMPRODUCT(--('Данные 2st'!$Q$2:$Q$317=$A68),--ISNUMBER('Данные 2st'!$QS$2:$QS$317))</f>
        <v>6</v>
      </c>
      <c r="TY68">
        <f>SUMPRODUCT(--('Данные 2st'!$Q$2:$Q$317=$A68),--ISNUMBER('Данные 2st'!$QT$2:$QT$317))</f>
        <v>6</v>
      </c>
    </row>
    <row r="69" spans="1:545" ht="32" customHeight="1">
      <c r="A69" s="11" t="str">
        <f>'По размерам'!A69</f>
        <v>255/50R19</v>
      </c>
      <c r="G69">
        <f>SUMPRODUCT(--('Данные 1st'!$S$2:$S$317=$A69),--ISNUMBER('Данные 1st'!$AE$2:$AE$317))</f>
        <v>1</v>
      </c>
      <c r="H69">
        <f>SUMPRODUCT(--('Данные 1st'!$S$2:$S$317=$A69),--ISNUMBER('Данные 1st'!$AF$2:$AF$317))</f>
        <v>1</v>
      </c>
      <c r="I69">
        <f>SUMPRODUCT(--('Данные 1st'!$S$2:$S$317=$A69),--ISNUMBER('Данные 1st'!$AJ$2:$AJ$317))</f>
        <v>1</v>
      </c>
      <c r="J69">
        <f>SUMPRODUCT(--('Данные 1st'!$S$2:$S$317=$A69),--ISNUMBER('Данные 1st'!$AL$2:$AL$317))</f>
        <v>1</v>
      </c>
      <c r="K69">
        <f>SUMPRODUCT(--('Данные 1st'!$S$2:$S$317=$A69),--ISNUMBER('Данные 1st'!$AR$2:$AR$317))</f>
        <v>1</v>
      </c>
      <c r="L69">
        <f>SUMPRODUCT(--('Данные 1st'!$S$2:$S$317=$A69),--ISNUMBER('Данные 1st'!$AS$2:$AS$317))</f>
        <v>1</v>
      </c>
      <c r="M69">
        <f>SUMPRODUCT(--('Данные 1st'!$S$2:$S$317=$A69),--ISNUMBER('Данные 1st'!$AY$2:$AY$317))</f>
        <v>1</v>
      </c>
      <c r="N69">
        <f>SUMPRODUCT(--('Данные 1st'!$S$2:$S$317=$A69),--ISNUMBER('Данные 1st'!$AZ$2:$AZ$317))</f>
        <v>1</v>
      </c>
      <c r="O69">
        <f>SUMPRODUCT(--('Данные 1st'!$S$2:$S$317=$A69),--ISNUMBER('Данные 1st'!$BF$2:$BF$317))</f>
        <v>1</v>
      </c>
      <c r="P69">
        <f>SUMPRODUCT(--('Данные 1st'!$S$2:$S$317=$A69),--ISNUMBER('Данные 1st'!$BG$2:$BG$317))</f>
        <v>1</v>
      </c>
      <c r="Q69">
        <f>SUMPRODUCT(--('Данные 1st'!$S$2:$S$317=$A69),--ISNUMBER('Данные 1st'!$BM$2:$BM$317))</f>
        <v>0</v>
      </c>
      <c r="R69">
        <f>SUMPRODUCT(--('Данные 1st'!$S$2:$S$317=$A69),--ISNUMBER('Данные 1st'!$BN$2:$BN$317))</f>
        <v>1</v>
      </c>
      <c r="S69">
        <f>SUMPRODUCT(--('Данные 1st'!$S$2:$S$317=$A69),--ISNUMBER('Данные 1st'!$BT$2:$BT$317))</f>
        <v>1</v>
      </c>
      <c r="T69">
        <f>SUMPRODUCT(--('Данные 1st'!$S$2:$S$317=$A69),--ISNUMBER('Данные 1st'!$BU$2:$BU$317))</f>
        <v>1</v>
      </c>
      <c r="U69">
        <f>SUMPRODUCT(--('Данные 1st'!$S$2:$S$317=$A69),--ISNUMBER('Данные 1st'!$BW$2:$BW$317))</f>
        <v>1</v>
      </c>
      <c r="V69">
        <f>SUMPRODUCT(--('Данные 1st'!$S$2:$S$317=$A69),--ISNUMBER('Данные 1st'!$BX$2:$BX$317))</f>
        <v>1</v>
      </c>
      <c r="W69">
        <f>SUMPRODUCT(--('Данные 1st'!$S$2:$S$317=$A69),--ISNUMBER('Данные 1st'!$BZ$2:$BZ$317))</f>
        <v>1</v>
      </c>
      <c r="X69">
        <f>SUMPRODUCT(--('Данные 1st'!$S$2:$S$317=$A69),--ISNUMBER('Данные 1st'!$CA$2:$CA$317))</f>
        <v>1</v>
      </c>
      <c r="Y69">
        <f>SUMPRODUCT(--('Данные 1st'!$S$2:$S$317=$A69),--ISNUMBER('Данные 1st'!$CD$2:$CD$317))</f>
        <v>1</v>
      </c>
      <c r="Z69">
        <f>SUMPRODUCT(--('Данные 1st'!$S$2:$S$317=$A69),--ISNUMBER('Данные 1st'!$CF$2:$CF$317))</f>
        <v>1</v>
      </c>
      <c r="AA69">
        <f>SUMPRODUCT(--('Данные 1st'!$S$2:$S$317=$A69),--ISNUMBER('Данные 1st'!$CI$2:$CI$317))</f>
        <v>1</v>
      </c>
      <c r="AB69">
        <f>SUMPRODUCT(--('Данные 1st'!$S$2:$S$317=$A69),--ISNUMBER('Данные 1st'!$CJ$2:$CJ$317))</f>
        <v>1</v>
      </c>
      <c r="AC69">
        <f>SUMPRODUCT(--('Данные 1st'!$S$2:$S$317=$A69),--ISNUMBER('Данные 1st'!$CK$2:$CK$317))</f>
        <v>1</v>
      </c>
      <c r="AD69">
        <f>SUMPRODUCT(--('Данные 1st'!$S$2:$S$317=$A69),--ISNUMBER('Данные 1st'!$CL$2:$CL$317))</f>
        <v>1</v>
      </c>
      <c r="AE69">
        <f>SUMPRODUCT(--('Данные 1st'!$S$2:$S$317=$A69),--ISNUMBER('Данные 1st'!$CM$2:$CM$317))</f>
        <v>1</v>
      </c>
      <c r="AF69">
        <f>SUMPRODUCT(--('Данные 1st'!$S$2:$S$317=$A69),--ISNUMBER('Данные 1st'!$CT$2:$CT$317))</f>
        <v>1</v>
      </c>
      <c r="AG69">
        <f>SUMPRODUCT(--('Данные 1st'!$S$2:$S$317=$A69),--ISNUMBER('Данные 1st'!$CU$2:$CU$317))</f>
        <v>1</v>
      </c>
      <c r="AH69">
        <f>SUMPRODUCT(--('Данные 1st'!$S$2:$S$317=$A69),--ISNUMBER('Данные 1st'!$CV$2:$CV$317))</f>
        <v>1</v>
      </c>
      <c r="AI69">
        <f>SUMPRODUCT(--('Данные 1st'!$S$2:$S$317=$A69),--ISNUMBER('Данные 1st'!$CW$2:$CW$317))</f>
        <v>1</v>
      </c>
      <c r="AJ69">
        <f>SUMPRODUCT(--('Данные 1st'!$S$2:$S$317=$A69),--ISNUMBER('Данные 1st'!$CX$2:$CX$317))</f>
        <v>1</v>
      </c>
      <c r="AK69">
        <f>SUMPRODUCT(--('Данные 1st'!$S$2:$S$317=$A69),--ISNUMBER('Данные 1st'!$CZ$2:$CZ$317))</f>
        <v>1</v>
      </c>
      <c r="AL69">
        <f>SUMPRODUCT(--('Данные 1st'!$S$2:$S$317=$A69),--ISNUMBER('Данные 1st'!$DA$2:$DA$317))</f>
        <v>1</v>
      </c>
      <c r="AM69">
        <f>SUMPRODUCT(--('Данные 1st'!$S$2:$S$317=$A69),--ISNUMBER('Данные 1st'!$DB$2:$DB$317))</f>
        <v>1</v>
      </c>
      <c r="AN69">
        <f>SUMPRODUCT(--('Данные 1st'!$S$2:$S$317=$A69),--ISNUMBER('Данные 1st'!$DC$2:$DC$317))</f>
        <v>1</v>
      </c>
      <c r="AO69">
        <f>SUMPRODUCT(--('Данные 1st'!$S$2:$S$317=$A69),--ISNUMBER('Данные 1st'!$DD$2:$DD$317))</f>
        <v>1</v>
      </c>
      <c r="AP69">
        <f>SUMPRODUCT(--('Данные 1st'!$S$2:$S$317=$A69),--ISNUMBER('Данные 1st'!$DF$2:$DF$317))</f>
        <v>1</v>
      </c>
      <c r="AQ69">
        <f>SUMPRODUCT(--('Данные 1st'!$S$2:$S$317=$A69),--ISNUMBER('Данные 1st'!$DG$2:$DG$317))</f>
        <v>1</v>
      </c>
      <c r="AR69">
        <f>SUMPRODUCT(--('Данные 1st'!$S$2:$S$317=$A69),--ISNUMBER('Данные 1st'!$DH$2:$DH$317))</f>
        <v>1</v>
      </c>
      <c r="AS69">
        <f>SUMPRODUCT(--('Данные 1st'!$S$2:$S$317=$A69),--ISNUMBER('Данные 1st'!$DI$2:$DI$317))</f>
        <v>1</v>
      </c>
      <c r="AT69">
        <f>SUMPRODUCT(--('Данные 1st'!$S$2:$S$317=$A69),--ISNUMBER('Данные 1st'!$DJ$2:$DJ$317))</f>
        <v>1</v>
      </c>
      <c r="AU69">
        <f>SUMPRODUCT(--('Данные 1st'!$S$2:$S$317=$A69),--ISNUMBER('Данные 1st'!$DL$2:$DL$317))</f>
        <v>1</v>
      </c>
      <c r="AV69">
        <f>SUMPRODUCT(--('Данные 1st'!$S$2:$S$317=$A69),--ISNUMBER('Данные 1st'!$DM$2:$DM$317))</f>
        <v>1</v>
      </c>
      <c r="AW69">
        <f>SUMPRODUCT(--('Данные 1st'!$S$2:$S$317=$A69),--ISNUMBER('Данные 1st'!$DN$2:$DN$317))</f>
        <v>1</v>
      </c>
      <c r="AX69">
        <f>SUMPRODUCT(--('Данные 1st'!$S$2:$S$317=$A69),--ISNUMBER('Данные 1st'!$DO$2:$DO$317))</f>
        <v>1</v>
      </c>
      <c r="AY69">
        <f>SUMPRODUCT(--('Данные 1st'!$S$2:$S$317=$A69),--ISNUMBER('Данные 1st'!$DP$2:$DP$317))</f>
        <v>1</v>
      </c>
      <c r="AZ69">
        <f>SUMPRODUCT(--('Данные 1st'!$S$2:$S$317=$A69),--ISNUMBER('Данные 1st'!$DR$2:$DR$317))</f>
        <v>0</v>
      </c>
      <c r="BA69">
        <f>SUMPRODUCT(--('Данные 1st'!$S$2:$S$317=$A69),--ISNUMBER('Данные 1st'!$DS$2:$DS$317))</f>
        <v>0</v>
      </c>
      <c r="BB69">
        <f>SUMPRODUCT(--('Данные 1st'!$S$2:$S$317=$A69),--ISNUMBER('Данные 1st'!$DT$2:$DT$317))</f>
        <v>0</v>
      </c>
      <c r="BC69">
        <f>SUMPRODUCT(--('Данные 1st'!$S$2:$S$317=$A69),--ISNUMBER('Данные 1st'!$DU$2:$DU$317))</f>
        <v>0</v>
      </c>
      <c r="BD69">
        <f>SUMPRODUCT(--('Данные 1st'!$S$2:$S$317=$A69),--ISNUMBER('Данные 1st'!$DV$2:$DV$317))</f>
        <v>0</v>
      </c>
      <c r="BE69">
        <f>SUMPRODUCT(--('Данные 1st'!$S$2:$S$317=$A69),--ISNUMBER('Данные 1st'!$DX$2:$DX$317))</f>
        <v>1</v>
      </c>
      <c r="BF69">
        <f>SUMPRODUCT(--('Данные 1st'!$S$2:$S$317=$A69),--ISNUMBER('Данные 1st'!$EA$2:$EA$317))</f>
        <v>1</v>
      </c>
      <c r="BG69">
        <f>SUMPRODUCT(--('Данные 1st'!$S$2:$S$317=$A69),--ISNUMBER('Данные 1st'!$EB$2:$EB$317))</f>
        <v>1</v>
      </c>
      <c r="BH69">
        <f>SUMPRODUCT(--('Данные 1st'!$S$2:$S$317=$A69),--ISNUMBER('Данные 1st'!$ED$2:$ED$317))</f>
        <v>1</v>
      </c>
      <c r="BI69">
        <f>SUMPRODUCT(--('Данные 1st'!$S$2:$S$317=$A69),--ISNUMBER('Данные 1st'!$EE$2:$EE$317))</f>
        <v>1</v>
      </c>
      <c r="BJ69">
        <f>SUMPRODUCT(--('Данные 1st'!$S$2:$S$317=$A69),--ISNUMBER('Данные 1st'!$EG$2:$EG$317))</f>
        <v>1</v>
      </c>
      <c r="BK69">
        <f>SUMPRODUCT(--('Данные 1st'!$S$2:$S$317=$A69),--ISNUMBER('Данные 1st'!$EH$2:$EH$317))</f>
        <v>1</v>
      </c>
      <c r="BL69">
        <f>SUMPRODUCT(--('Данные 1st'!$S$2:$S$317=$A69),--ISNUMBER('Данные 1st'!$EJ$2:$EJ$317))</f>
        <v>1</v>
      </c>
      <c r="BM69">
        <f>SUMPRODUCT(--('Данные 1st'!$S$2:$S$317=$A69),--ISNUMBER('Данные 1st'!$EK$2:$EK$317))</f>
        <v>1</v>
      </c>
      <c r="BN69">
        <f>SUMPRODUCT(--('Данные 1st'!$S$2:$S$317=$A69),--ISNUMBER('Данные 1st'!$EN$2:$EN$317))</f>
        <v>1</v>
      </c>
      <c r="BO69">
        <f>SUMPRODUCT(--('Данные 1st'!$S$2:$S$317=$A69),--ISNUMBER('Данные 1st'!$EQ$2:$EQ$317))</f>
        <v>1</v>
      </c>
      <c r="BP69">
        <f>SUMPRODUCT(--('Данные 1st'!$S$2:$S$317=$A69),--ISNUMBER('Данные 1st'!$ER$2:$ER$317))</f>
        <v>1</v>
      </c>
      <c r="BQ69">
        <f>SUMPRODUCT(--('Данные 1st'!$S$2:$S$317=$A69),--ISNUMBER('Данные 1st'!$ES$2:$ES$317))</f>
        <v>1</v>
      </c>
      <c r="BR69">
        <f>SUMPRODUCT(--('Данные 1st'!$S$2:$S$317=$A69),--ISNUMBER('Данные 1st'!$ET$2:$ET$317))</f>
        <v>1</v>
      </c>
      <c r="BS69">
        <f>SUMPRODUCT(--('Данные 1st'!$S$2:$S$317=$A69),--ISNUMBER('Данные 1st'!$EU$2:$EU$317))</f>
        <v>1</v>
      </c>
      <c r="BT69">
        <f>SUMPRODUCT(--('Данные 1st'!$S$2:$S$317=$A69),--ISNUMBER('Данные 1st'!$EV$2:$EV$317))</f>
        <v>1</v>
      </c>
      <c r="BU69">
        <f>SUMPRODUCT(--('Данные 1st'!$S$2:$S$317=$A69),--ISNUMBER('Данные 1st'!$EX$2:$EX$317))</f>
        <v>1</v>
      </c>
      <c r="BV69">
        <f>SUMPRODUCT(--('Данные 1st'!$S$2:$S$317=$A69),--ISNUMBER('Данные 1st'!$EY$2:$EY$317))</f>
        <v>1</v>
      </c>
      <c r="BW69">
        <f>SUMPRODUCT(--('Данные 1st'!$S$2:$S$317=$A69),--ISNUMBER('Данные 1st'!$EZ$2:$EZ$317))</f>
        <v>1</v>
      </c>
      <c r="BX69">
        <f>SUMPRODUCT(--('Данные 1st'!$S$2:$S$317=$A69),--ISNUMBER('Данные 1st'!$FA$2:$FA$317))</f>
        <v>1</v>
      </c>
      <c r="BY69">
        <f>SUMPRODUCT(--('Данные 1st'!$S$2:$S$317=$A69),--ISNUMBER('Данные 1st'!$FB$2:$FB$317))</f>
        <v>1</v>
      </c>
      <c r="BZ69">
        <f>SUMPRODUCT(--('Данные 1st'!$S$2:$S$317=$A69),--ISNUMBER('Данные 1st'!$FC$2:$FC$317))</f>
        <v>1</v>
      </c>
      <c r="CA69">
        <f>SUMPRODUCT(--('Данные 1st'!$S$2:$S$317=$A69),--ISNUMBER('Данные 1st'!$FE$2:$FE$317))</f>
        <v>1</v>
      </c>
      <c r="CB69">
        <f>SUMPRODUCT(--('Данные 1st'!$S$2:$S$317=$A69),--ISNUMBER('Данные 1st'!$FF$2:$FF$317))</f>
        <v>1</v>
      </c>
      <c r="CC69">
        <f>SUMPRODUCT(--('Данные 1st'!$S$2:$S$317=$A69),--ISNUMBER('Данные 1st'!$FI$2:$FI$317))</f>
        <v>1</v>
      </c>
      <c r="CD69">
        <f>SUMPRODUCT(--('Данные 1st'!$S$2:$S$317=$A69),--ISNUMBER('Данные 1st'!$FL$2:$FL$317))</f>
        <v>1</v>
      </c>
      <c r="CE69">
        <f>SUMPRODUCT(--('Данные 1st'!$S$2:$S$317=$A69),--ISNUMBER('Данные 1st'!$FM$2:$FM$317))</f>
        <v>1</v>
      </c>
      <c r="CF69">
        <f>SUMPRODUCT(--('Данные 1st'!$S$2:$S$317=$A69),--ISNUMBER('Данные 1st'!$FN$2:$FN$317))</f>
        <v>1</v>
      </c>
      <c r="CG69">
        <f>SUMPRODUCT(--('Данные 1st'!$S$2:$S$317=$A69),--ISNUMBER('Данные 1st'!$FO$2:$FO$317))</f>
        <v>1</v>
      </c>
      <c r="CH69">
        <f>SUMPRODUCT(--('Данные 1st'!$S$2:$S$317=$A69),--ISNUMBER('Данные 1st'!$FP$2:$FP$317))</f>
        <v>1</v>
      </c>
      <c r="CI69">
        <f>SUMPRODUCT(--('Данные 1st'!$S$2:$S$317=$A69),--ISNUMBER('Данные 1st'!$FS$2:$FS$317))</f>
        <v>0</v>
      </c>
      <c r="CJ69">
        <f>SUMPRODUCT(--('Данные 1st'!$S$2:$S$317=$A69),--ISNUMBER('Данные 1st'!$FT$2:$FT$317))</f>
        <v>0</v>
      </c>
      <c r="CK69">
        <f>SUMPRODUCT(--('Данные 1st'!$S$2:$S$317=$A69),--ISNUMBER('Данные 1st'!$FU$2:$FU$317))</f>
        <v>0</v>
      </c>
      <c r="CL69">
        <f>SUMPRODUCT(--('Данные 1st'!$S$2:$S$317=$A69),--ISNUMBER('Данные 1st'!$FV$2:$FV$317))</f>
        <v>0</v>
      </c>
      <c r="CM69">
        <f>SUMPRODUCT(--('Данные 1st'!$S$2:$S$317=$A69),--ISNUMBER('Данные 1st'!$FW$2:$FW$317))</f>
        <v>0</v>
      </c>
      <c r="CN69">
        <f>SUMPRODUCT(--('Данные 1st'!$S$2:$S$317=$A69),--ISNUMBER('Данные 1st'!$FZ$2:$FZ$317))</f>
        <v>0</v>
      </c>
      <c r="CO69">
        <f>SUMPRODUCT(--('Данные 1st'!$S$2:$S$317=$A69),--ISNUMBER('Данные 1st'!$GA$2:$GA$317))</f>
        <v>0</v>
      </c>
      <c r="CP69">
        <f>SUMPRODUCT(--('Данные 1st'!$S$2:$S$317=$A69),--ISNUMBER('Данные 1st'!$GB$2:$GB$317))</f>
        <v>0</v>
      </c>
      <c r="CQ69">
        <f>SUMPRODUCT(--('Данные 1st'!$S$2:$S$317=$A69),--ISNUMBER('Данные 1st'!$GH$2:$GH$317))</f>
        <v>0</v>
      </c>
      <c r="CR69">
        <f>SUMPRODUCT(--('Данные 1st'!$S$2:$S$317=$A69),--ISNUMBER('Данные 1st'!$GI$2:$GI$317))</f>
        <v>0</v>
      </c>
      <c r="CS69">
        <f>SUMPRODUCT(--('Данные 1st'!$S$2:$S$317=$A69),--ISNUMBER('Данные 1st'!$GJ$2:$GJ$317))</f>
        <v>0</v>
      </c>
      <c r="CT69">
        <f>SUMPRODUCT(--('Данные 1st'!$S$2:$S$317=$A69),--ISNUMBER('Данные 1st'!$GS$2:$GS$317))</f>
        <v>1</v>
      </c>
      <c r="CU69">
        <f>SUMPRODUCT(--('Данные 1st'!$S$2:$S$317=$A69),--ISNUMBER('Данные 1st'!$GT$2:$GT$317))</f>
        <v>1</v>
      </c>
      <c r="CV69">
        <f>SUMPRODUCT(--('Данные 1st'!$S$2:$S$317=$A69),--ISNUMBER('Данные 1st'!$GU$2:$GU$317))</f>
        <v>1</v>
      </c>
      <c r="CW69">
        <f>SUMPRODUCT(--('Данные 1st'!$S$2:$S$317=$A69),--ISNUMBER('Данные 1st'!$GV$2:$GV$317))</f>
        <v>0</v>
      </c>
      <c r="CX69">
        <f>SUMPRODUCT(--('Данные 1st'!$S$2:$S$317=$A69),--ISNUMBER('Данные 1st'!$GW$2:$GW$317))</f>
        <v>0</v>
      </c>
      <c r="CY69">
        <f>SUMPRODUCT(--('Данные 1st'!$S$2:$S$317=$A69),--ISNUMBER('Данные 1st'!$GZ$2:$GZ$317))</f>
        <v>1</v>
      </c>
      <c r="CZ69">
        <f>SUMPRODUCT(--('Данные 1st'!$S$2:$S$317=$A69),--ISNUMBER('Данные 1st'!$HA$2:$HA$317))</f>
        <v>1</v>
      </c>
      <c r="DA69">
        <f>SUMPRODUCT(--('Данные 1st'!$S$2:$S$317=$A69),--ISNUMBER('Данные 1st'!$HB$2:$HB$317))</f>
        <v>1</v>
      </c>
      <c r="DB69">
        <f>SUMPRODUCT(--('Данные 1st'!$S$2:$S$317=$A69),--ISNUMBER('Данные 1st'!$HC$2:$HC$317))</f>
        <v>1</v>
      </c>
      <c r="DC69">
        <f>SUMPRODUCT(--('Данные 1st'!$S$2:$S$317=$A69),--ISNUMBER('Данные 1st'!$HD$2:$HD$317))</f>
        <v>1</v>
      </c>
      <c r="DD69">
        <f>SUMPRODUCT(--('Данные 1st'!$S$2:$S$317=$A69),--ISNUMBER('Данные 1st'!$HE$2:$HE$317))</f>
        <v>1</v>
      </c>
      <c r="DE69">
        <f>SUMPRODUCT(--('Данные 1st'!$S$2:$S$317=$A69),--ISNUMBER('Данные 1st'!$HF$2:$HF$317))</f>
        <v>1</v>
      </c>
      <c r="DF69">
        <f>SUMPRODUCT(--('Данные 1st'!$S$2:$S$317=$A69),--ISNUMBER('Данные 1st'!$HG$2:$HG$317))</f>
        <v>1</v>
      </c>
      <c r="DG69">
        <f>SUMPRODUCT(--('Данные 1st'!$S$2:$S$317=$A69),--ISNUMBER('Данные 1st'!$HH$2:$HH$317))</f>
        <v>1</v>
      </c>
      <c r="DH69">
        <f>SUMPRODUCT(--('Данные 1st'!$S$2:$S$317=$A69),--ISNUMBER('Данные 1st'!$HI$2:$HI$317))</f>
        <v>1</v>
      </c>
      <c r="DI69">
        <f>SUMPRODUCT(--('Данные 1st'!$S$2:$S$317=$A69),--ISNUMBER('Данные 1st'!$HJ$2:$HJ$317))</f>
        <v>1</v>
      </c>
      <c r="DJ69">
        <f>SUMPRODUCT(--('Данные 1st'!$S$2:$S$317=$A69),--ISNUMBER('Данные 1st'!$HK$2:$HK$317))</f>
        <v>1</v>
      </c>
      <c r="DK69">
        <f>SUMPRODUCT(--('Данные 1st'!$S$2:$S$317=$A69),--ISNUMBER('Данные 1st'!$HL$2:$HL$317))</f>
        <v>1</v>
      </c>
      <c r="DL69">
        <f>SUMPRODUCT(--('Данные 1st'!$S$2:$S$317=$A69),--ISNUMBER('Данные 1st'!$HM$2:$HM$317))</f>
        <v>1</v>
      </c>
      <c r="DM69">
        <f>SUMPRODUCT(--('Данные 1st'!$S$2:$S$317=$A69),--ISNUMBER('Данные 1st'!$HN$2:$HN$317))</f>
        <v>1</v>
      </c>
      <c r="DN69">
        <f>SUMPRODUCT(--('Данные 1st'!$S$2:$S$317=$A69),--ISNUMBER('Данные 1st'!$HO$2:$HO$317))</f>
        <v>1</v>
      </c>
      <c r="DO69">
        <f>SUMPRODUCT(--('Данные 1st'!$S$2:$S$317=$A69),--ISNUMBER('Данные 1st'!$HP$2:$HP$317))</f>
        <v>1</v>
      </c>
      <c r="DP69">
        <f>SUMPRODUCT(--('Данные 1st'!$S$2:$S$317=$A69),--ISNUMBER('Данные 1st'!$HQ$2:$HQ$317))</f>
        <v>1</v>
      </c>
      <c r="DQ69">
        <f>SUMPRODUCT(--('Данные 1st'!$S$2:$S$317=$A69),--ISNUMBER('Данные 1st'!$HR$2:$HR$317))</f>
        <v>1</v>
      </c>
      <c r="DR69">
        <f>SUMPRODUCT(--('Данные 1st'!$S$2:$S$317=$A69),--ISNUMBER('Данные 1st'!$HS$2:$HS$317))</f>
        <v>1</v>
      </c>
      <c r="DS69">
        <f>SUMPRODUCT(--('Данные 1st'!$S$2:$S$317=$A69),--ISNUMBER('Данные 1st'!$HT$2:$HT$317))</f>
        <v>1</v>
      </c>
      <c r="DT69">
        <f>SUMPRODUCT(--('Данные 1st'!$S$2:$S$317=$A69),--ISNUMBER('Данные 1st'!$HU$2:$HU$317))</f>
        <v>1</v>
      </c>
      <c r="DU69">
        <f>SUMPRODUCT(--('Данные 1st'!$S$2:$S$317=$A69),--ISNUMBER('Данные 1st'!$HW$2:$HW$317))</f>
        <v>1</v>
      </c>
      <c r="DV69">
        <f>SUMPRODUCT(--('Данные 1st'!$S$2:$S$317=$A69),--ISNUMBER('Данные 1st'!$HX$2:$HX$317))</f>
        <v>1</v>
      </c>
      <c r="DW69">
        <f>SUMPRODUCT(--('Данные 1st'!$S$2:$S$317=$A69),--ISNUMBER('Данные 1st'!$HY$2:$HY$317))</f>
        <v>1</v>
      </c>
      <c r="DX69">
        <f>SUMPRODUCT(--('Данные 1st'!$S$2:$S$317=$A69),--ISNUMBER('Данные 1st'!$IA$2:$IA$317))</f>
        <v>1</v>
      </c>
      <c r="DY69">
        <f>SUMPRODUCT(--('Данные 1st'!$S$2:$S$317=$A69),--ISNUMBER('Данные 1st'!$IB$2:$IB$317))</f>
        <v>1</v>
      </c>
      <c r="DZ69">
        <f>SUMPRODUCT(--('Данные 1st'!$S$2:$S$317=$A69),--ISNUMBER('Данные 1st'!$IC$2:$IC$317))</f>
        <v>1</v>
      </c>
      <c r="EA69">
        <f>SUMPRODUCT(--('Данные 1st'!$S$2:$S$317=$A69),--ISNUMBER('Данные 1st'!$ID$2:$ID$317))</f>
        <v>1</v>
      </c>
      <c r="EB69">
        <f>SUMPRODUCT(--('Данные 1st'!$S$2:$S$317=$A69),--ISNUMBER('Данные 1st'!$IE$2:$IE$317))</f>
        <v>1</v>
      </c>
      <c r="EC69">
        <f>SUMPRODUCT(--('Данные 1st'!$S$2:$S$317=$A69),--ISNUMBER('Данные 1st'!$IF$2:$IF$317))</f>
        <v>1</v>
      </c>
      <c r="ED69">
        <f>SUMPRODUCT(--('Данные 1st'!$S$2:$S$317=$A69),--ISNUMBER('Данные 1st'!$IP$2:$IP$317))</f>
        <v>1</v>
      </c>
      <c r="EE69">
        <f>SUMPRODUCT(--('Данные 1st'!$S$2:$S$317=$A69),--ISNUMBER('Данные 1st'!$IV$2:$IV$317))</f>
        <v>1</v>
      </c>
      <c r="EF69">
        <f>SUMPRODUCT(--('Данные 1st'!$S$2:$S$317=$A69),--ISNUMBER('Данные 1st'!$IW$2:$IW$317))</f>
        <v>1</v>
      </c>
      <c r="EG69">
        <f>SUMPRODUCT(--('Данные 1st'!$S$2:$S$317=$A69),--ISNUMBER('Данные 1st'!$IX$2:$IX$317))</f>
        <v>0</v>
      </c>
      <c r="EH69">
        <f>SUMPRODUCT(--('Данные 1st'!$S$2:$S$317=$A69),--ISNUMBER('Данные 1st'!$IY$2:$IY$317))</f>
        <v>0</v>
      </c>
      <c r="EI69">
        <f>SUMPRODUCT(--('Данные 1st'!$S$2:$S$317=$A69),--ISNUMBER('Данные 1st'!$JD$2:$JD$317))</f>
        <v>1</v>
      </c>
      <c r="EJ69">
        <f>SUMPRODUCT(--('Данные 1st'!$S$2:$S$317=$A69),--ISNUMBER('Данные 1st'!$JE$2:$JE$317))</f>
        <v>1</v>
      </c>
      <c r="EK69">
        <f>SUMPRODUCT(--('Данные 1st'!$S$2:$S$317=$A69),--ISNUMBER('Данные 1st'!$JF$2:$JF$317))</f>
        <v>1</v>
      </c>
      <c r="EL69">
        <f>SUMPRODUCT(--('Данные 1st'!$S$2:$S$317=$A69),--ISNUMBER('Данные 1st'!$JG$2:$JG$317))</f>
        <v>1</v>
      </c>
      <c r="EM69">
        <f>SUMPRODUCT(--('Данные 1st'!$S$2:$S$317=$A69),--ISNUMBER('Данные 1st'!$JH$2:$JH$317))</f>
        <v>1</v>
      </c>
      <c r="EN69">
        <f>SUMPRODUCT(--('Данные 1st'!$S$2:$S$317=$A69),--ISNUMBER('Данные 1st'!$JJ$2:$JJ$317))</f>
        <v>1</v>
      </c>
      <c r="EO69">
        <f>SUMPRODUCT(--('Данные 1st'!$S$2:$S$317=$A69),--ISNUMBER('Данные 1st'!$JK$2:$JK$317))</f>
        <v>1</v>
      </c>
      <c r="EP69">
        <f>SUMPRODUCT(--('Данные 1st'!$S$2:$S$317=$A69),--ISNUMBER('Данные 1st'!$JL$2:$JL$317))</f>
        <v>0</v>
      </c>
      <c r="EQ69">
        <f>SUMPRODUCT(--('Данные 1st'!$S$2:$S$317=$A69),--ISNUMBER('Данные 1st'!$JM$2:$JM$317))</f>
        <v>0</v>
      </c>
      <c r="ER69">
        <f>SUMPRODUCT(--('Данные 1st'!$S$2:$S$317=$A69),--ISNUMBER('Данные 1st'!$JN$2:$JN$317))</f>
        <v>1</v>
      </c>
      <c r="ES69">
        <f>SUMPRODUCT(--('Данные 1st'!$S$2:$S$317=$A69),--ISNUMBER('Данные 1st'!$JO$2:$JO$317))</f>
        <v>1</v>
      </c>
      <c r="ET69">
        <f>SUMPRODUCT(--('Данные 1st'!$S$2:$S$317=$A69),--ISNUMBER('Данные 1st'!$JP$2:$JP$317))</f>
        <v>1</v>
      </c>
      <c r="EU69">
        <f>SUMPRODUCT(--('Данные 1st'!$S$2:$S$317=$A69),--ISNUMBER('Данные 1st'!$JQ$2:$JQ$317))</f>
        <v>1</v>
      </c>
      <c r="EV69">
        <f>SUMPRODUCT(--('Данные 1st'!$S$2:$S$317=$A69),--ISNUMBER('Данные 1st'!$JR$2:$JR$317))</f>
        <v>1</v>
      </c>
      <c r="EW69">
        <f>SUMPRODUCT(--('Данные 1st'!$S$2:$S$317=$A69),--ISNUMBER('Данные 1st'!$JS$2:$JS$317))</f>
        <v>1</v>
      </c>
      <c r="EX69">
        <f>SUMPRODUCT(--('Данные 1st'!$S$2:$S$317=$A69),--ISNUMBER('Данные 1st'!$JT$2:$JT$317))</f>
        <v>0</v>
      </c>
      <c r="EY69">
        <f>SUMPRODUCT(--('Данные 1st'!$S$2:$S$317=$A69),--ISNUMBER('Данные 1st'!$JU$2:$JU$317))</f>
        <v>0</v>
      </c>
      <c r="EZ69">
        <f>SUMPRODUCT(--('Данные 1st'!$S$2:$S$317=$A69),--ISNUMBER('Данные 1st'!$JV$2:$JV$317))</f>
        <v>1</v>
      </c>
      <c r="FA69">
        <f>SUMPRODUCT(--('Данные 1st'!$S$2:$S$317=$A69),--ISNUMBER('Данные 1st'!$JW$2:$JW$317))</f>
        <v>0</v>
      </c>
      <c r="FB69">
        <f>SUMPRODUCT(--('Данные 1st'!$S$2:$S$317=$A69),--ISNUMBER('Данные 1st'!$JX$2:$JX$317))</f>
        <v>1</v>
      </c>
      <c r="FC69">
        <f>SUMPRODUCT(--('Данные 1st'!$S$2:$S$317=$A69),--ISNUMBER('Данные 1st'!$JY$2:$JY$317))</f>
        <v>0</v>
      </c>
      <c r="FD69">
        <f>SUMPRODUCT(--('Данные 1st'!$S$2:$S$317=$A69),--ISNUMBER('Данные 1st'!$JZ$2:$JZ$317))</f>
        <v>0</v>
      </c>
      <c r="FE69">
        <f>SUMPRODUCT(--('Данные 1st'!$S$2:$S$317=$A69),--ISNUMBER('Данные 1st'!$KA$2:$KA$317))</f>
        <v>1</v>
      </c>
      <c r="FF69">
        <f>SUMPRODUCT(--('Данные 1st'!$S$2:$S$317=$A69),--ISNUMBER('Данные 1st'!$KB$2:$KB$317))</f>
        <v>1</v>
      </c>
      <c r="FG69">
        <f>SUMPRODUCT(--('Данные 1st'!$S$2:$S$317=$A69),--ISNUMBER('Данные 1st'!$KC$2:$KC$317))</f>
        <v>1</v>
      </c>
      <c r="FH69">
        <f>SUMPRODUCT(--('Данные 1st'!$S$2:$S$317=$A69),--ISNUMBER('Данные 1st'!$KD$2:$KD$317))</f>
        <v>1</v>
      </c>
      <c r="FI69">
        <f>SUMPRODUCT(--('Данные 1st'!$S$2:$S$317=$A69),--ISNUMBER('Данные 1st'!$KE$2:$KE$317))</f>
        <v>0</v>
      </c>
      <c r="FJ69">
        <f>SUMPRODUCT(--('Данные 1st'!$S$2:$S$317=$A69),--ISNUMBER('Данные 1st'!$KF$2:$KF$317))</f>
        <v>1</v>
      </c>
      <c r="FK69">
        <f>SUMPRODUCT(--('Данные 1st'!$S$2:$S$317=$A69),--ISNUMBER('Данные 1st'!$KG$2:$KG$317))</f>
        <v>1</v>
      </c>
      <c r="FL69">
        <f>SUMPRODUCT(--('Данные 1st'!$S$2:$S$317=$A69),--ISNUMBER('Данные 1st'!$KH$2:$KH$317))</f>
        <v>1</v>
      </c>
      <c r="FM69">
        <f>SUMPRODUCT(--('Данные 1st'!$S$2:$S$317=$A69),--ISNUMBER('Данные 1st'!$KI$2:$KI$317))</f>
        <v>1</v>
      </c>
      <c r="FN69">
        <f>SUMPRODUCT(--('Данные 1st'!$S$2:$S$317=$A69),--ISNUMBER('Данные 1st'!$KJ$2:$KJ$317))</f>
        <v>1</v>
      </c>
      <c r="FO69">
        <f>SUMPRODUCT(--('Данные 1st'!$S$2:$S$317=$A69),--ISNUMBER('Данные 1st'!$KK$2:$KK$317))</f>
        <v>1</v>
      </c>
      <c r="FP69">
        <f>SUMPRODUCT(--('Данные 1st'!$S$2:$S$317=$A69),--ISNUMBER('Данные 1st'!$KL$2:$KL$317))</f>
        <v>1</v>
      </c>
      <c r="FQ69">
        <f>SUMPRODUCT(--('Данные 1st'!$S$2:$S$317=$A69),--ISNUMBER('Данные 1st'!$KM$2:$KM$317))</f>
        <v>1</v>
      </c>
      <c r="FR69">
        <f>SUMPRODUCT(--('Данные 1st'!$S$2:$S$317=$A69),--ISNUMBER('Данные 1st'!$KN$2:$KN$317))</f>
        <v>1</v>
      </c>
      <c r="FS69">
        <f>SUMPRODUCT(--('Данные 1st'!$S$2:$S$317=$A69),--ISNUMBER('Данные 1st'!$KR$2:$KR$317))</f>
        <v>1</v>
      </c>
      <c r="FT69">
        <f>SUMPRODUCT(--('Данные 1st'!$S$2:$S$317=$A69),--ISNUMBER('Данные 1st'!$KS$2:$KS$317))</f>
        <v>1</v>
      </c>
      <c r="FU69">
        <f>SUMPRODUCT(--('Данные 1st'!$S$2:$S$317=$A69),--ISNUMBER('Данные 1st'!$KT$2:$KT$317))</f>
        <v>1</v>
      </c>
      <c r="FV69">
        <f>SUMPRODUCT(--('Данные 1st'!$S$2:$S$317=$A69),--ISNUMBER('Данные 1st'!$KV$2:$KV$317))</f>
        <v>0</v>
      </c>
      <c r="FW69">
        <f>SUMPRODUCT(--('Данные 1st'!$S$2:$S$317=$A69),--ISNUMBER('Данные 1st'!$KW$2:$KW$317))</f>
        <v>0</v>
      </c>
      <c r="FX69">
        <f>SUMPRODUCT(--('Данные 1st'!$S$2:$S$317=$A69),--ISNUMBER('Данные 1st'!$KX$2:$KX$317))</f>
        <v>0</v>
      </c>
      <c r="FY69">
        <f>SUMPRODUCT(--('Данные 1st'!$S$2:$S$317=$A69),--ISNUMBER('Данные 1st'!$KY$2:$KY$317))</f>
        <v>0</v>
      </c>
      <c r="FZ69">
        <f>SUMPRODUCT(--('Данные 1st'!$S$2:$S$317=$A69),--ISNUMBER('Данные 1st'!$KZ$2:$KZ$317))</f>
        <v>0</v>
      </c>
      <c r="GA69">
        <f>SUMPRODUCT(--('Данные 1st'!$S$2:$S$317=$A69),--ISNUMBER('Данные 1st'!$LA$2:$LA$317))</f>
        <v>0</v>
      </c>
      <c r="GB69">
        <f>SUMPRODUCT(--('Данные 1st'!$S$2:$S$317=$A69),--ISNUMBER('Данные 1st'!$LB$2:$LB$317))</f>
        <v>0</v>
      </c>
      <c r="GC69">
        <f>SUMPRODUCT(--('Данные 1st'!$S$2:$S$317=$A69),--ISNUMBER('Данные 1st'!$LC$2:$LC$317))</f>
        <v>0</v>
      </c>
      <c r="GD69">
        <f>SUMPRODUCT(--('Данные 1st'!$S$2:$S$317=$A69),--ISNUMBER('Данные 1st'!$LD$2:$LD$317))</f>
        <v>0</v>
      </c>
      <c r="GE69">
        <f>SUMPRODUCT(--('Данные 1st'!$S$2:$S$317=$A69),--ISNUMBER('Данные 1st'!$LE$2:$LE$317))</f>
        <v>0</v>
      </c>
      <c r="GF69">
        <f>SUMPRODUCT(--('Данные 1st'!$S$2:$S$317=$A69),--ISNUMBER('Данные 1st'!$LF$2:$LF$317))</f>
        <v>0</v>
      </c>
      <c r="GG69">
        <f>SUMPRODUCT(--('Данные 1st'!$S$2:$S$317=$A69),--ISNUMBER('Данные 1st'!$LG$2:$LG$317))</f>
        <v>0</v>
      </c>
      <c r="GH69">
        <f>SUMPRODUCT(--('Данные 1st'!$S$2:$S$317=$A69),--ISNUMBER('Данные 1st'!$LH$2:$LH$317))</f>
        <v>0</v>
      </c>
      <c r="GI69">
        <f>SUMPRODUCT(--('Данные 1st'!$S$2:$S$317=$A69),--ISNUMBER('Данные 1st'!$LI$2:$LI$317))</f>
        <v>0</v>
      </c>
      <c r="GJ69">
        <f>SUMPRODUCT(--('Данные 1st'!$S$2:$S$317=$A69),--ISNUMBER('Данные 1st'!$LJ$2:$LJ$317))</f>
        <v>0</v>
      </c>
      <c r="GK69">
        <f>SUMPRODUCT(--('Данные 1st'!$S$2:$S$317=$A69),--ISNUMBER('Данные 1st'!$LK$2:$LK$317))</f>
        <v>1</v>
      </c>
      <c r="GL69">
        <f>SUMPRODUCT(--('Данные 1st'!$S$2:$S$317=$A69),--ISNUMBER('Данные 1st'!$LV$2:$LV$317))</f>
        <v>0</v>
      </c>
      <c r="GM69">
        <f>SUMPRODUCT(--('Данные 1st'!$S$2:$S$317=$A69),--ISNUMBER('Данные 1st'!$LW$2:$LW$317))</f>
        <v>0</v>
      </c>
      <c r="GN69">
        <f>SUMPRODUCT(--('Данные 1st'!$S$2:$S$317=$A69),--ISNUMBER('Данные 1st'!$LX$2:$LX$317))</f>
        <v>0</v>
      </c>
      <c r="GO69">
        <f>SUMPRODUCT(--('Данные 1st'!$S$2:$S$317=$A69),--ISNUMBER('Данные 1st'!$LY$2:$LY$317))</f>
        <v>0</v>
      </c>
      <c r="GP69">
        <f>SUMPRODUCT(--('Данные 1st'!$S$2:$S$317=$A69),--ISNUMBER('Данные 1st'!$LZ$2:$LZ$317))</f>
        <v>0</v>
      </c>
      <c r="GQ69">
        <f>SUMPRODUCT(--('Данные 1st'!$S$2:$S$317=$A69),--ISNUMBER('Данные 1st'!$PG$2:$PG$317))</f>
        <v>1</v>
      </c>
      <c r="GR69">
        <f>SUMPRODUCT(--('Данные 1st'!$S$2:$S$317=$A69),--ISNUMBER('Данные 1st'!$PX$2:$PX$317))</f>
        <v>1</v>
      </c>
      <c r="GS69">
        <f>SUMPRODUCT(--('Данные 1st'!$S$2:$S$317=$A69),--ISNUMBER('Данные 1st'!$PY$2:$PY$317))</f>
        <v>1</v>
      </c>
      <c r="GT69">
        <f>SUMPRODUCT(--('Данные 1st'!$S$2:$S$317=$A69),--ISNUMBER('Данные 1st'!$QA$2:$QA$317))</f>
        <v>1</v>
      </c>
      <c r="GU69">
        <f>SUMPRODUCT(--('Данные 1st'!$S$2:$S$317=$A69),--ISNUMBER('Данные 1st'!$QB$2:$QB$317))</f>
        <v>1</v>
      </c>
      <c r="GV69">
        <f>SUMPRODUCT(--('Данные 1st'!$S$2:$S$317=$A69),--ISNUMBER('Данные 1st'!$QC$2:$QC$317))</f>
        <v>1</v>
      </c>
      <c r="GW69">
        <f>SUMPRODUCT(--('Данные 1st'!$S$2:$S$317=$A69),--ISNUMBER('Данные 1st'!$QD$2:$QD$317))</f>
        <v>1</v>
      </c>
      <c r="GX69">
        <f>SUMPRODUCT(--('Данные 1st'!$S$2:$S$317=$A69),--ISNUMBER('Данные 1st'!$QF$2:$QF$317))</f>
        <v>1</v>
      </c>
      <c r="GY69">
        <f>SUMPRODUCT(--('Данные 1st'!$S$2:$S$317=$A69),--ISNUMBER('Данные 1st'!$QG$2:$QG$317))</f>
        <v>1</v>
      </c>
      <c r="GZ69">
        <f>SUMPRODUCT(--('Данные 1st'!$S$2:$S$317=$A69),--ISNUMBER('Данные 1st'!$QH$2:$QH$317))</f>
        <v>1</v>
      </c>
      <c r="HA69">
        <f>SUMPRODUCT(--('Данные 1st'!$S$2:$S$317=$A69),--ISNUMBER('Данные 1st'!$QI$2:$QI$317))</f>
        <v>1</v>
      </c>
      <c r="HB69">
        <f>SUMPRODUCT(--('Данные 1st'!$S$2:$S$317=$A69),--ISNUMBER('Данные 1st'!$QK$2:$QK$317))</f>
        <v>1</v>
      </c>
      <c r="HC69">
        <f>SUMPRODUCT(--('Данные 1st'!$S$2:$S$317=$A69),--ISNUMBER('Данные 1st'!$QL$2:$QL$317))</f>
        <v>1</v>
      </c>
      <c r="HD69">
        <f>SUMPRODUCT(--('Данные 1st'!$S$2:$S$317=$A69),--ISNUMBER('Данные 1st'!$QM$2:$QM$317))</f>
        <v>1</v>
      </c>
      <c r="HE69">
        <f>SUMPRODUCT(--('Данные 1st'!$S$2:$S$317=$A69),--ISNUMBER('Данные 1st'!$QN$2:$QN$317))</f>
        <v>1</v>
      </c>
      <c r="HF69">
        <f>SUMPRODUCT(--('Данные 1st'!$S$2:$S$317=$A69),--ISNUMBER('Данные 1st'!$QP$2:$QP$317))</f>
        <v>1</v>
      </c>
      <c r="HG69">
        <f>SUMPRODUCT(--('Данные 1st'!$S$2:$S$317=$A69),--ISNUMBER('Данные 1st'!$QQ$2:$QQ$317))</f>
        <v>1</v>
      </c>
      <c r="HH69">
        <f>SUMPRODUCT(--('Данные 1st'!$S$2:$S$317=$A69),--ISNUMBER('Данные 1st'!$QR$2:$QR$317))</f>
        <v>1</v>
      </c>
      <c r="HI69">
        <f>SUMPRODUCT(--('Данные 1st'!$S$2:$S$317=$A69),--ISNUMBER('Данные 1st'!$QS$2:$QS$317))</f>
        <v>1</v>
      </c>
      <c r="HJ69">
        <f>SUMPRODUCT(--('Данные 1st'!$S$2:$S$317=$A69),--ISNUMBER('Данные 1st'!$QU$2:$QU$317))</f>
        <v>1</v>
      </c>
      <c r="HK69">
        <f>SUMPRODUCT(--('Данные 1st'!$S$2:$S$317=$A69),--ISNUMBER('Данные 1st'!$QV$2:$QV$317))</f>
        <v>1</v>
      </c>
      <c r="HL69">
        <f>SUMPRODUCT(--('Данные 1st'!$S$2:$S$317=$A69),--ISNUMBER('Данные 1st'!$QW$2:$QW$317))</f>
        <v>1</v>
      </c>
      <c r="HM69">
        <f>SUMPRODUCT(--('Данные 1st'!$S$2:$S$317=$A69),--ISNUMBER('Данные 1st'!$QX$2:$QX$317))</f>
        <v>1</v>
      </c>
      <c r="HN69">
        <f>SUMPRODUCT(--('Данные 1st'!$S$2:$S$317=$A69),--ISNUMBER('Данные 1st'!$QZ$2:$QZ$317))</f>
        <v>1</v>
      </c>
      <c r="HO69">
        <f>SUMPRODUCT(--('Данные 1st'!$S$2:$S$317=$A69),--ISNUMBER('Данные 1st'!$RA$2:$RA$317))</f>
        <v>1</v>
      </c>
      <c r="HP69">
        <f>SUMPRODUCT(--('Данные 1st'!$S$2:$S$317=$A69),--ISNUMBER('Данные 1st'!$RB$2:$RB$317))</f>
        <v>1</v>
      </c>
      <c r="HQ69">
        <f>SUMPRODUCT(--('Данные 1st'!$S$2:$S$317=$A69),--ISNUMBER('Данные 1st'!$RD$2:$RD$317))</f>
        <v>0</v>
      </c>
      <c r="HR69">
        <f>SUMPRODUCT(--('Данные 1st'!$S$2:$S$317=$A69),--ISNUMBER('Данные 1st'!$RE$2:$RE$317))</f>
        <v>1</v>
      </c>
      <c r="HS69">
        <f>SUMPRODUCT(--('Данные 1st'!$S$2:$S$317=$A69),--ISNUMBER('Данные 1st'!$RF$2:$RF$317))</f>
        <v>1</v>
      </c>
      <c r="HT69">
        <f>SUMPRODUCT(--('Данные 1st'!$S$2:$S$317=$A69),--ISNUMBER('Данные 1st'!$RG$2:$RG$317))</f>
        <v>0</v>
      </c>
      <c r="HU69">
        <f>SUMPRODUCT(--('Данные 1st'!$S$2:$S$317=$A69),--ISNUMBER('Данные 1st'!$RH$2:$RH$317))</f>
        <v>0</v>
      </c>
      <c r="HV69">
        <f>SUMPRODUCT(--('Данные 1st'!$S$2:$S$317=$A69),--ISNUMBER('Данные 1st'!$RI$2:$RI$317))</f>
        <v>1</v>
      </c>
      <c r="HW69">
        <f>SUMPRODUCT(--('Данные 1st'!$S$2:$S$317=$A69),--ISNUMBER('Данные 1st'!$RJ$2:$RJ$317))</f>
        <v>1</v>
      </c>
      <c r="HX69">
        <f>SUMPRODUCT(--('Данные 1st'!$S$2:$S$317=$A69),--ISNUMBER('Данные 1st'!$RK$2:$RK$317))</f>
        <v>1</v>
      </c>
      <c r="HY69">
        <f>SUMPRODUCT(--('Данные 1st'!$S$2:$S$317=$A69),--ISNUMBER('Данные 1st'!$RL$2:$RL$317))</f>
        <v>1</v>
      </c>
      <c r="HZ69">
        <f>SUMPRODUCT(--('Данные 1st'!$S$2:$S$317=$A69),--ISNUMBER('Данные 1st'!$RM$2:$RM$317))</f>
        <v>1</v>
      </c>
      <c r="IA69">
        <f>SUMPRODUCT(--('Данные 1st'!$S$2:$S$317=$A69),--ISNUMBER('Данные 1st'!$RN$2:$RN$317))</f>
        <v>0</v>
      </c>
      <c r="IB69">
        <f>SUMPRODUCT(--('Данные 1st'!$S$2:$S$317=$A69),--ISNUMBER('Данные 1st'!$RO$2:$RO$317))</f>
        <v>1</v>
      </c>
      <c r="IC69">
        <f>SUMPRODUCT(--('Данные 1st'!$S$2:$S$317=$A69),--ISNUMBER('Данные 1st'!$RP$2:$RP$317))</f>
        <v>1</v>
      </c>
      <c r="ID69">
        <f>SUMPRODUCT(--('Данные 1st'!$S$2:$S$317=$A69),--ISNUMBER('Данные 1st'!$RQ$2:$RQ$317))</f>
        <v>1</v>
      </c>
      <c r="IE69">
        <f>SUMPRODUCT(--('Данные 1st'!$S$2:$S$317=$A69),--ISNUMBER('Данные 1st'!$RR$2:$RR$317))</f>
        <v>1</v>
      </c>
      <c r="IF69">
        <f>SUMPRODUCT(--('Данные 1st'!$S$2:$S$317=$A69),--ISNUMBER('Данные 1st'!$RS$2:$RS$317))</f>
        <v>0</v>
      </c>
      <c r="IG69">
        <f>SUMPRODUCT(--('Данные 1st'!$S$2:$S$317=$A69),--ISNUMBER('Данные 1st'!$RT$2:$RT$317))</f>
        <v>1</v>
      </c>
      <c r="IH69">
        <f>SUMPRODUCT(--('Данные 1st'!$S$2:$S$317=$A69),--ISNUMBER('Данные 1st'!$RU$2:$RU$317))</f>
        <v>1</v>
      </c>
      <c r="II69">
        <f>SUMPRODUCT(--('Данные 1st'!$S$2:$S$317=$A69),--ISNUMBER('Данные 1st'!$RX$2:$RX$317))</f>
        <v>1</v>
      </c>
      <c r="IJ69">
        <f>SUMPRODUCT(--('Данные 1st'!$S$2:$S$317=$A69),--ISNUMBER('Данные 1st'!$RY$2:$RY$317))</f>
        <v>1</v>
      </c>
      <c r="IK69">
        <f>SUMPRODUCT(--('Данные 1st'!$S$2:$S$317=$A69),--ISNUMBER('Данные 1st'!$SA$2:$SA$317))</f>
        <v>1</v>
      </c>
      <c r="IL69">
        <f>SUMPRODUCT(--('Данные 1st'!$S$2:$S$317=$A69),--ISNUMBER('Данные 1st'!$SD$2:$SD$317))</f>
        <v>1</v>
      </c>
      <c r="IM69">
        <f>SUMPRODUCT(--('Данные 1st'!$S$2:$S$317=$A69),--ISNUMBER('Данные 1st'!$SG$2:$SG$317))</f>
        <v>1</v>
      </c>
      <c r="IN69">
        <f>SUMPRODUCT(--('Данные 1st'!$S$2:$S$317=$A69),--ISNUMBER('Данные 1st'!$SH$2:$SH$317))</f>
        <v>1</v>
      </c>
      <c r="IO69">
        <f>SUMPRODUCT(--('Данные 1st'!$S$2:$S$317=$A69),--ISNUMBER('Данные 1st'!$SI$2:$SI$317))</f>
        <v>1</v>
      </c>
      <c r="IP69">
        <f>SUMPRODUCT(--('Данные 1st'!$S$2:$S$317=$A69),--ISNUMBER('Данные 1st'!$SJ$2:$SJ$317))</f>
        <v>1</v>
      </c>
      <c r="IQ69">
        <f>SUMPRODUCT(--('Данные 1st'!$S$2:$S$317=$A69),--ISNUMBER('Данные 1st'!$SK$2:$SK$317))</f>
        <v>1</v>
      </c>
      <c r="IR69">
        <f>SUMPRODUCT(--('Данные 1st'!$S$2:$S$317=$A69),--ISNUMBER('Данные 1st'!$SL$2:$SL$317))</f>
        <v>1</v>
      </c>
      <c r="IS69">
        <f>SUMPRODUCT(--('Данные 1st'!$S$2:$S$317=$A69),--ISNUMBER('Данные 1st'!$SM$2:$SM$317))</f>
        <v>1</v>
      </c>
      <c r="IT69">
        <f>SUMPRODUCT(--('Данные 1st'!$S$2:$S$317=$A69),--ISNUMBER('Данные 1st'!$SN$2:$SN$317))</f>
        <v>1</v>
      </c>
      <c r="IU69">
        <f>SUMPRODUCT(--('Данные 1st'!$S$2:$S$317=$A69),--ISNUMBER('Данные 1st'!$SO$2:$SO$317))</f>
        <v>1</v>
      </c>
      <c r="IV69">
        <f>SUMPRODUCT(--('Данные 1st'!$S$2:$S$317=$A69),--ISNUMBER('Данные 1st'!$SP$2:$SP$317))</f>
        <v>1</v>
      </c>
      <c r="IW69">
        <f>SUMPRODUCT(--('Данные 1st'!$S$2:$S$317=$A69),--ISNUMBER('Данные 1st'!$SQ$2:$SQ$317))</f>
        <v>1</v>
      </c>
      <c r="IX69">
        <f>SUMPRODUCT(--('Данные 1st'!$S$2:$S$317=$A69),--ISNUMBER('Данные 1st'!$SR$2:$SR$317))</f>
        <v>1</v>
      </c>
      <c r="IY69">
        <f>SUMPRODUCT(--('Данные 1st'!$S$2:$S$317=$A69),--ISNUMBER('Данные 1st'!$SS$2:$SS$317))</f>
        <v>1</v>
      </c>
      <c r="IZ69">
        <f>SUMPRODUCT(--('Данные 1st'!$S$2:$S$317=$A69),--ISNUMBER('Данные 1st'!$ST$2:$ST$317))</f>
        <v>1</v>
      </c>
      <c r="JA69">
        <f>SUMPRODUCT(--('Данные 1st'!$S$2:$S$317=$A69),--ISNUMBER('Данные 1st'!$SU$2:$SU$317))</f>
        <v>1</v>
      </c>
      <c r="JB69">
        <f>SUMPRODUCT(--('Данные 1st'!$S$2:$S$317=$A69),--ISNUMBER('Данные 1st'!$SV$2:$SV$317))</f>
        <v>1</v>
      </c>
      <c r="JC69">
        <f>SUMPRODUCT(--('Данные 1st'!$S$2:$S$317=$A69),--ISNUMBER('Данные 1st'!$SW$2:$SW$317))</f>
        <v>1</v>
      </c>
      <c r="JD69">
        <f>SUMPRODUCT(--('Данные 1st'!$S$2:$S$317=$A69),--ISNUMBER('Данные 1st'!$SX$2:$SX$317))</f>
        <v>1</v>
      </c>
      <c r="JE69">
        <f>SUMPRODUCT(--('Данные 1st'!$S$2:$S$317=$A69),--ISNUMBER('Данные 1st'!$SY$2:$SY$317))</f>
        <v>1</v>
      </c>
      <c r="JF69">
        <f>SUMPRODUCT(--('Данные 1st'!$S$2:$S$317=$A69),--ISNUMBER('Данные 1st'!$SZ$2:$SZ$317))</f>
        <v>1</v>
      </c>
      <c r="JG69">
        <f>SUMPRODUCT(--('Данные 1st'!$S$2:$S$317=$A69),--ISNUMBER('Данные 1st'!$TA$2:$TA$317))</f>
        <v>0</v>
      </c>
      <c r="JH69">
        <f>SUMPRODUCT(--('Данные 1st'!$S$2:$S$317=$A69),--ISNUMBER('Данные 1st'!$TB$2:$TB$317))</f>
        <v>1</v>
      </c>
      <c r="JI69">
        <f>SUMPRODUCT(--('Данные 1st'!$S$2:$S$317=$A69),--ISNUMBER('Данные 1st'!$TC$2:$TC$317))</f>
        <v>1</v>
      </c>
      <c r="JJ69">
        <f>SUMPRODUCT(--('Данные 1st'!$S$2:$S$317=$A69),--ISNUMBER('Данные 1st'!$TD$2:$TD$317))</f>
        <v>1</v>
      </c>
      <c r="JK69">
        <f>SUMPRODUCT(--('Данные 1st'!$S$2:$S$317=$A69),--ISNUMBER('Данные 1st'!$TN$2:$TN$317))</f>
        <v>1</v>
      </c>
      <c r="JQ69">
        <f>SUMPRODUCT(--('Данные 2st'!$Q$2:$Q$317=$A69),--ISNUMBER('Данные 2st'!$AC$2:$AC$317))</f>
        <v>1</v>
      </c>
      <c r="JR69">
        <f>SUMPRODUCT(--('Данные 2st'!$Q$2:$Q$317=$A69),--ISNUMBER('Данные 2st'!$AF$2:$AF$317))</f>
        <v>1</v>
      </c>
      <c r="JS69">
        <f>SUMPRODUCT(--('Данные 2st'!$Q$2:$Q$317=$A69),--ISNUMBER('Данные 2st'!$AW$2:$AW$317))</f>
        <v>1</v>
      </c>
      <c r="JT69">
        <f>SUMPRODUCT(--('Данные 2st'!$Q$2:$Q$317=$A69),--ISNUMBER('Данные 2st'!$AX$2:$AX$317))</f>
        <v>1</v>
      </c>
      <c r="JU69">
        <f>SUMPRODUCT(--('Данные 2st'!$Q$2:$Q$317=$A69),--ISNUMBER('Данные 2st'!$AY$2:$AY$317))</f>
        <v>1</v>
      </c>
      <c r="JV69">
        <f>SUMPRODUCT(--('Данные 2st'!$Q$2:$Q$317=$A69),--ISNUMBER('Данные 2st'!$AZ$2:$AZ$317))</f>
        <v>1</v>
      </c>
      <c r="JW69">
        <f>SUMPRODUCT(--('Данные 2st'!$Q$2:$Q$317=$A69),--ISNUMBER('Данные 2st'!$BA$2:$BA$317))</f>
        <v>0</v>
      </c>
      <c r="JX69">
        <f>SUMPRODUCT(--('Данные 2st'!$Q$2:$Q$317=$A69),--ISNUMBER('Данные 2st'!$BB$2:$BB$317))</f>
        <v>0</v>
      </c>
      <c r="JY69">
        <f>SUMPRODUCT(--('Данные 2st'!$Q$2:$Q$317=$A69),--ISNUMBER('Данные 2st'!$BC$2:$BC$317))</f>
        <v>0</v>
      </c>
      <c r="JZ69">
        <f>SUMPRODUCT(--('Данные 2st'!$Q$2:$Q$317=$A69),--ISNUMBER('Данные 2st'!$BH$2:$BH$317))</f>
        <v>1</v>
      </c>
      <c r="KA69">
        <f>SUMPRODUCT(--('Данные 2st'!$Q$2:$Q$317=$A69),--ISNUMBER('Данные 2st'!$BI$2:$BI$317))</f>
        <v>1</v>
      </c>
      <c r="KB69">
        <f>SUMPRODUCT(--('Данные 2st'!$Q$2:$Q$317=$A69),--ISNUMBER('Данные 2st'!$BJ$2:$BJ$317))</f>
        <v>1</v>
      </c>
      <c r="KC69">
        <f>SUMPRODUCT(--('Данные 2st'!$Q$2:$Q$317=$A69),--ISNUMBER('Данные 2st'!$BK$2:$BK$317))</f>
        <v>1</v>
      </c>
      <c r="KD69">
        <f>SUMPRODUCT(--('Данные 2st'!$Q$2:$Q$317=$A69),--ISNUMBER('Данные 2st'!$BL$2:$BL$317))</f>
        <v>1</v>
      </c>
      <c r="KE69">
        <f>SUMPRODUCT(--('Данные 2st'!$Q$2:$Q$317=$A69),--ISNUMBER('Данные 2st'!$BM$2:$BM$317))</f>
        <v>1</v>
      </c>
      <c r="KF69">
        <f>SUMPRODUCT(--('Данные 2st'!$Q$2:$Q$317=$A69),--ISNUMBER('Данные 2st'!$BN$2:$BN$317))</f>
        <v>1</v>
      </c>
      <c r="KG69">
        <f>SUMPRODUCT(--('Данные 2st'!$Q$2:$Q$317=$A69),--ISNUMBER('Данные 2st'!$BO$2:$BO$317))</f>
        <v>0</v>
      </c>
      <c r="KH69">
        <f>SUMPRODUCT(--('Данные 2st'!$Q$2:$Q$317=$A69),--ISNUMBER('Данные 2st'!$BP$2:$BP$317))</f>
        <v>1</v>
      </c>
      <c r="KI69">
        <f>SUMPRODUCT(--('Данные 2st'!$Q$2:$Q$317=$A69),--ISNUMBER('Данные 2st'!$BR$2:$BR$317))</f>
        <v>1</v>
      </c>
      <c r="KJ69">
        <f>SUMPRODUCT(--('Данные 2st'!$Q$2:$Q$317=$A69),--ISNUMBER('Данные 2st'!$BS$2:$BS$317))</f>
        <v>1</v>
      </c>
      <c r="KK69">
        <f>SUMPRODUCT(--('Данные 2st'!$Q$2:$Q$317=$A69),--ISNUMBER('Данные 2st'!$BT$2:$BT$317))</f>
        <v>1</v>
      </c>
      <c r="KL69">
        <f>SUMPRODUCT(--('Данные 2st'!$Q$2:$Q$317=$A69),--ISNUMBER('Данные 2st'!$CV$2:$CV$317))</f>
        <v>1</v>
      </c>
      <c r="KM69">
        <f>SUMPRODUCT(--('Данные 2st'!$Q$2:$Q$317=$A69),--ISNUMBER('Данные 2st'!$CW$2:$CW$317))</f>
        <v>1</v>
      </c>
      <c r="KN69">
        <f>SUMPRODUCT(--('Данные 2st'!$Q$2:$Q$317=$A69),--ISNUMBER('Данные 2st'!$CX$2:$CX$317))</f>
        <v>1</v>
      </c>
      <c r="KO69">
        <f>SUMPRODUCT(--('Данные 2st'!$Q$2:$Q$317=$A69),--ISNUMBER('Данные 2st'!$CY$2:$CY$317))</f>
        <v>1</v>
      </c>
      <c r="KP69">
        <f>SUMPRODUCT(--('Данные 2st'!$Q$2:$Q$317=$A69),--ISNUMBER('Данные 2st'!$CZ$2:$CZ$317))</f>
        <v>1</v>
      </c>
      <c r="KQ69">
        <f>SUMPRODUCT(--('Данные 2st'!$Q$2:$Q$317=$A69),--ISNUMBER('Данные 2st'!$DA$2:$DA$317))</f>
        <v>1</v>
      </c>
      <c r="KR69">
        <f>SUMPRODUCT(--('Данные 2st'!$Q$2:$Q$317=$A69),--ISNUMBER('Данные 2st'!$DB$2:$DB$317))</f>
        <v>1</v>
      </c>
      <c r="KS69">
        <f>SUMPRODUCT(--('Данные 2st'!$Q$2:$Q$317=$A69),--ISNUMBER('Данные 2st'!$DC$2:$DC$317))</f>
        <v>1</v>
      </c>
      <c r="KT69">
        <f>SUMPRODUCT(--('Данные 2st'!$Q$2:$Q$317=$A69),--ISNUMBER('Данные 2st'!$DD$2:$DD$317))</f>
        <v>1</v>
      </c>
      <c r="KU69">
        <f>SUMPRODUCT(--('Данные 2st'!$Q$2:$Q$317=$A69),--ISNUMBER('Данные 2st'!$DE$2:$DE$317))</f>
        <v>1</v>
      </c>
      <c r="KV69">
        <f>SUMPRODUCT(--('Данные 2st'!$Q$2:$Q$317=$A69),--ISNUMBER('Данные 2st'!$DF$2:$DF$317))</f>
        <v>1</v>
      </c>
      <c r="KW69">
        <f>SUMPRODUCT(--('Данные 2st'!$Q$2:$Q$317=$A69),--ISNUMBER('Данные 2st'!$DG$2:$DG$317))</f>
        <v>1</v>
      </c>
      <c r="KX69">
        <f>SUMPRODUCT(--('Данные 2st'!$Q$2:$Q$317=$A69),--ISNUMBER('Данные 2st'!$DH$2:$DH$317))</f>
        <v>1</v>
      </c>
      <c r="KY69">
        <f>SUMPRODUCT(--('Данные 2st'!$Q$2:$Q$317=$A69),--ISNUMBER('Данные 2st'!$DI$2:$DI$317))</f>
        <v>0</v>
      </c>
      <c r="KZ69">
        <f>SUMPRODUCT(--('Данные 2st'!$Q$2:$Q$317=$A69),--ISNUMBER('Данные 2st'!$DK$2:$DK$317))</f>
        <v>1</v>
      </c>
      <c r="LA69">
        <f>SUMPRODUCT(--('Данные 2st'!$Q$2:$Q$317=$A69),--ISNUMBER('Данные 2st'!$DM$2:$DM$317))</f>
        <v>1</v>
      </c>
      <c r="LB69">
        <f>SUMPRODUCT(--('Данные 2st'!$Q$2:$Q$317=$A69),--ISNUMBER('Данные 2st'!$DN$2:$DN$317))</f>
        <v>1</v>
      </c>
      <c r="LC69">
        <f>SUMPRODUCT(--('Данные 2st'!$Q$2:$Q$317=$A69),--ISNUMBER('Данные 2st'!$DO$2:$DO$317))</f>
        <v>1</v>
      </c>
      <c r="LD69">
        <f>SUMPRODUCT(--('Данные 2st'!$Q$2:$Q$317=$A69),--ISNUMBER('Данные 2st'!$DP$2:$DP$317))</f>
        <v>1</v>
      </c>
      <c r="LE69">
        <f>SUMPRODUCT(--('Данные 2st'!$Q$2:$Q$317=$A69),--ISNUMBER('Данные 2st'!$DQ$2:$DQ$317))</f>
        <v>1</v>
      </c>
      <c r="LF69">
        <f>SUMPRODUCT(--('Данные 2st'!$Q$2:$Q$317=$A69),--ISNUMBER('Данные 2st'!$DS$2:$DS$317))</f>
        <v>1</v>
      </c>
      <c r="LG69">
        <f>SUMPRODUCT(--('Данные 2st'!$Q$2:$Q$317=$A69),--ISNUMBER('Данные 2st'!$DU$2:$DU$317))</f>
        <v>1</v>
      </c>
      <c r="LH69">
        <f>SUMPRODUCT(--('Данные 2st'!$Q$2:$Q$317=$A69),--ISNUMBER('Данные 2st'!$DV$2:$DV$317))</f>
        <v>1</v>
      </c>
      <c r="LI69">
        <f>SUMPRODUCT(--('Данные 2st'!$Q$2:$Q$317=$A69),--ISNUMBER('Данные 2st'!$DW$2:$DW$317))</f>
        <v>1</v>
      </c>
      <c r="LJ69">
        <f>SUMPRODUCT(--('Данные 2st'!$Q$2:$Q$317=$A69),--ISNUMBER('Данные 2st'!$DX$2:$DX$317))</f>
        <v>1</v>
      </c>
      <c r="LK69">
        <f>SUMPRODUCT(--('Данные 2st'!$Q$2:$Q$317=$A69),--ISNUMBER('Данные 2st'!$DY$2:$DY$317))</f>
        <v>1</v>
      </c>
      <c r="LL69">
        <f>SUMPRODUCT(--('Данные 2st'!$Q$2:$Q$317=$A69),--ISNUMBER('Данные 2st'!$EA$2:$EA$317))</f>
        <v>1</v>
      </c>
      <c r="LM69">
        <f>SUMPRODUCT(--('Данные 2st'!$Q$2:$Q$317=$A69),--ISNUMBER('Данные 2st'!$EC$2:$EC$317))</f>
        <v>1</v>
      </c>
      <c r="LN69">
        <f>SUMPRODUCT(--('Данные 2st'!$Q$2:$Q$317=$A69),--ISNUMBER('Данные 2st'!$ED$2:$ED$317))</f>
        <v>1</v>
      </c>
      <c r="LO69">
        <f>SUMPRODUCT(--('Данные 2st'!$Q$2:$Q$317=$A69),--ISNUMBER('Данные 2st'!$EE$2:$EE$317))</f>
        <v>1</v>
      </c>
      <c r="LP69">
        <f>SUMPRODUCT(--('Данные 2st'!$Q$2:$Q$317=$A69),--ISNUMBER('Данные 2st'!$EG$2:$EG$317))</f>
        <v>1</v>
      </c>
      <c r="LQ69">
        <f>SUMPRODUCT(--('Данные 2st'!$Q$2:$Q$317=$A69),--ISNUMBER('Данные 2st'!$EI$2:$EI$317))</f>
        <v>1</v>
      </c>
      <c r="LR69">
        <f>SUMPRODUCT(--('Данные 2st'!$Q$2:$Q$317=$A69),--ISNUMBER('Данные 2st'!$EJ$2:$EJ$317))</f>
        <v>0</v>
      </c>
      <c r="LS69">
        <f>SUMPRODUCT(--('Данные 2st'!$Q$2:$Q$317=$A69),--ISNUMBER('Данные 2st'!$EK$2:$EK$317))</f>
        <v>0</v>
      </c>
      <c r="LT69">
        <f>SUMPRODUCT(--('Данные 2st'!$Q$2:$Q$317=$A69),--ISNUMBER('Данные 2st'!$EM$2:$EM$317))</f>
        <v>1</v>
      </c>
      <c r="LU69">
        <f>SUMPRODUCT(--('Данные 2st'!$Q$2:$Q$317=$A69),--ISNUMBER('Данные 2st'!$EN$2:$EN$317))</f>
        <v>1</v>
      </c>
      <c r="LV69">
        <f>SUMPRODUCT(--('Данные 2st'!$Q$2:$Q$317=$A69),--ISNUMBER('Данные 2st'!$EO$2:$EO$317))</f>
        <v>1</v>
      </c>
      <c r="LW69">
        <f>SUMPRODUCT(--('Данные 2st'!$Q$2:$Q$317=$A69),--ISNUMBER('Данные 2st'!$EP$2:$EP$317))</f>
        <v>1</v>
      </c>
      <c r="LX69">
        <f>SUMPRODUCT(--('Данные 2st'!$Q$2:$Q$317=$A69),--ISNUMBER('Данные 2st'!$EQ$2:$EQ$317))</f>
        <v>1</v>
      </c>
      <c r="LY69">
        <f>SUMPRODUCT(--('Данные 2st'!$Q$2:$Q$317=$A69),--ISNUMBER('Данные 2st'!$ER$2:$ER$317))</f>
        <v>1</v>
      </c>
      <c r="LZ69">
        <f>SUMPRODUCT(--('Данные 2st'!$Q$2:$Q$317=$A69),--ISNUMBER('Данные 2st'!$ES$2:$ES$317))</f>
        <v>1</v>
      </c>
      <c r="MA69">
        <f>SUMPRODUCT(--('Данные 2st'!$Q$2:$Q$317=$A69),--ISNUMBER('Данные 2st'!$ET$2:$ET$317))</f>
        <v>1</v>
      </c>
      <c r="MB69">
        <f>SUMPRODUCT(--('Данные 2st'!$Q$2:$Q$317=$A69),--ISNUMBER('Данные 2st'!$EU$2:$EU$317))</f>
        <v>1</v>
      </c>
      <c r="MC69">
        <f>SUMPRODUCT(--('Данные 2st'!$Q$2:$Q$317=$A69),--ISNUMBER('Данные 2st'!$EV$2:$EV$317))</f>
        <v>1</v>
      </c>
      <c r="MD69">
        <f>SUMPRODUCT(--('Данные 2st'!$Q$2:$Q$317=$A69),--ISNUMBER('Данные 2st'!$EW$2:$EW$317))</f>
        <v>1</v>
      </c>
      <c r="ME69">
        <f>SUMPRODUCT(--('Данные 2st'!$Q$2:$Q$317=$A69),--ISNUMBER('Данные 2st'!$EY$2:$EY$317))</f>
        <v>1</v>
      </c>
      <c r="MF69">
        <f>SUMPRODUCT(--('Данные 2st'!$Q$2:$Q$317=$A69),--ISNUMBER('Данные 2st'!$FA$2:$FA$317))</f>
        <v>1</v>
      </c>
      <c r="MG69">
        <f>SUMPRODUCT(--('Данные 2st'!$Q$2:$Q$317=$A69),--ISNUMBER('Данные 2st'!$FB$2:$FB$317))</f>
        <v>1</v>
      </c>
      <c r="MH69">
        <f>SUMPRODUCT(--('Данные 2st'!$Q$2:$Q$317=$A69),--ISNUMBER('Данные 2st'!$FC$2:$FC$317))</f>
        <v>1</v>
      </c>
      <c r="MI69">
        <f>SUMPRODUCT(--('Данные 2st'!$Q$2:$Q$317=$A69),--ISNUMBER('Данные 2st'!$FD$2:$FD$317))</f>
        <v>1</v>
      </c>
      <c r="MJ69">
        <f>SUMPRODUCT(--('Данные 2st'!$Q$2:$Q$317=$A69),--ISNUMBER('Данные 2st'!$FE$2:$FE$317))</f>
        <v>1</v>
      </c>
      <c r="MK69">
        <f>SUMPRODUCT(--('Данные 2st'!$Q$2:$Q$317=$A69),--ISNUMBER('Данные 2st'!$FG$2:$FG$317))</f>
        <v>1</v>
      </c>
      <c r="ML69">
        <f>SUMPRODUCT(--('Данные 2st'!$Q$2:$Q$317=$A69),--ISNUMBER('Данные 2st'!$FI$2:$FI$317))</f>
        <v>1</v>
      </c>
      <c r="MM69">
        <f>SUMPRODUCT(--('Данные 2st'!$Q$2:$Q$317=$A69),--ISNUMBER('Данные 2st'!$FJ$2:$FJ$317))</f>
        <v>1</v>
      </c>
      <c r="MN69">
        <f>SUMPRODUCT(--('Данные 2st'!$Q$2:$Q$317=$A69),--ISNUMBER('Данные 2st'!$FK$2:$FK$317))</f>
        <v>1</v>
      </c>
      <c r="MO69">
        <f>SUMPRODUCT(--('Данные 2st'!$Q$2:$Q$317=$A69),--ISNUMBER('Данные 2st'!$FP$2:$FP$317))</f>
        <v>1</v>
      </c>
      <c r="MP69">
        <f>SUMPRODUCT(--('Данные 2st'!$Q$2:$Q$317=$A69),--ISNUMBER('Данные 2st'!$FQ$2:$FQ$317))</f>
        <v>1</v>
      </c>
      <c r="MQ69">
        <f>SUMPRODUCT(--('Данные 2st'!$Q$2:$Q$317=$A69),--ISNUMBER('Данные 2st'!$FS$2:$FS$317))</f>
        <v>1</v>
      </c>
      <c r="MR69">
        <f>SUMPRODUCT(--('Данные 2st'!$Q$2:$Q$317=$A69),--ISNUMBER('Данные 2st'!$FU$2:$FU$317))</f>
        <v>1</v>
      </c>
      <c r="MS69">
        <f>SUMPRODUCT(--('Данные 2st'!$Q$2:$Q$317=$A69),--ISNUMBER('Данные 2st'!$FV$2:$FV$317))</f>
        <v>1</v>
      </c>
      <c r="MT69">
        <f>SUMPRODUCT(--('Данные 2st'!$Q$2:$Q$317=$A69),--ISNUMBER('Данные 2st'!$FW$2:$FW$317))</f>
        <v>1</v>
      </c>
      <c r="MU69">
        <f>SUMPRODUCT(--('Данные 2st'!$Q$2:$Q$317=$A69),--ISNUMBER('Данные 2st'!$FY$2:$FY$317))</f>
        <v>1</v>
      </c>
      <c r="MV69">
        <f>SUMPRODUCT(--('Данные 2st'!$Q$2:$Q$317=$A69),--ISNUMBER('Данные 2st'!$GB$2:$GB$317))</f>
        <v>1</v>
      </c>
      <c r="MW69">
        <f>SUMPRODUCT(--('Данные 2st'!$Q$2:$Q$317=$A69),--ISNUMBER('Данные 2st'!$GC$2:$GC$317))</f>
        <v>1</v>
      </c>
      <c r="MX69">
        <f>SUMPRODUCT(--('Данные 2st'!$Q$2:$Q$317=$A69),--ISNUMBER('Данные 2st'!$GD$2:$GD$317))</f>
        <v>1</v>
      </c>
      <c r="MY69">
        <f>SUMPRODUCT(--('Данные 2st'!$Q$2:$Q$317=$A69),--ISNUMBER('Данные 2st'!$GN$2:$GN$317))</f>
        <v>0</v>
      </c>
      <c r="MZ69">
        <f>SUMPRODUCT(--('Данные 2st'!$Q$2:$Q$317=$A69),--ISNUMBER('Данные 2st'!$GQ$2:$GQ$317))</f>
        <v>1</v>
      </c>
      <c r="NA69">
        <f>SUMPRODUCT(--('Данные 2st'!$Q$2:$Q$317=$A69),--ISNUMBER('Данные 2st'!$GV$2:$GV$317))</f>
        <v>1</v>
      </c>
      <c r="NB69">
        <f>SUMPRODUCT(--('Данные 2st'!$Q$2:$Q$317=$A69),--ISNUMBER('Данные 2st'!$GW$2:$GW$317))</f>
        <v>1</v>
      </c>
      <c r="NC69">
        <f>SUMPRODUCT(--('Данные 2st'!$Q$2:$Q$317=$A69),--ISNUMBER('Данные 2st'!$GX$2:$GX$317))</f>
        <v>1</v>
      </c>
      <c r="ND69">
        <f>SUMPRODUCT(--('Данные 2st'!$Q$2:$Q$317=$A69),--ISNUMBER('Данные 2st'!$GY$2:$GY$317))</f>
        <v>1</v>
      </c>
      <c r="NE69">
        <f>SUMPRODUCT(--('Данные 2st'!$Q$2:$Q$317=$A69),--ISNUMBER('Данные 2st'!$GZ$2:$GZ$317))</f>
        <v>1</v>
      </c>
      <c r="NF69">
        <f>SUMPRODUCT(--('Данные 2st'!$Q$2:$Q$317=$A69),--ISNUMBER('Данные 2st'!$HA$2:$HA$317))</f>
        <v>1</v>
      </c>
      <c r="NG69">
        <f>SUMPRODUCT(--('Данные 2st'!$Q$2:$Q$317=$A69),--ISNUMBER('Данные 2st'!$HB$2:$HB$317))</f>
        <v>1</v>
      </c>
      <c r="NH69">
        <f>SUMPRODUCT(--('Данные 2st'!$Q$2:$Q$317=$A69),--ISNUMBER('Данные 2st'!$HC$2:$HC$317))</f>
        <v>1</v>
      </c>
      <c r="NI69">
        <f>SUMPRODUCT(--('Данные 2st'!$Q$2:$Q$317=$A69),--ISNUMBER('Данные 2st'!$HD$2:$HD$317))</f>
        <v>1</v>
      </c>
      <c r="NJ69">
        <f>SUMPRODUCT(--('Данные 2st'!$Q$2:$Q$317=$A69),--ISNUMBER('Данные 2st'!$HM$2:$HM$317))</f>
        <v>1</v>
      </c>
      <c r="NK69">
        <f>SUMPRODUCT(--('Данные 2st'!$Q$2:$Q$317=$A69),--ISNUMBER('Данные 2st'!$HR$2:$HR$317))</f>
        <v>1</v>
      </c>
      <c r="NL69">
        <f>SUMPRODUCT(--('Данные 2st'!$Q$2:$Q$317=$A69),--ISNUMBER('Данные 2st'!$HS$2:$HS$317))</f>
        <v>1</v>
      </c>
      <c r="NM69">
        <f>SUMPRODUCT(--('Данные 2st'!$Q$2:$Q$317=$A69),--ISNUMBER('Данные 2st'!$HT$2:$HT$317))</f>
        <v>1</v>
      </c>
      <c r="NN69">
        <f>SUMPRODUCT(--('Данные 2st'!$Q$2:$Q$317=$A69),--ISNUMBER('Данные 2st'!$HY$2:$HY$317))</f>
        <v>1</v>
      </c>
      <c r="NO69">
        <f>SUMPRODUCT(--('Данные 2st'!$Q$2:$Q$317=$A69),--ISNUMBER('Данные 2st'!$HZ$2:$HZ$317))</f>
        <v>1</v>
      </c>
      <c r="NP69">
        <f>SUMPRODUCT(--('Данные 2st'!$Q$2:$Q$317=$A69),--ISNUMBER('Данные 2st'!$IA$2:$IA$317))</f>
        <v>1</v>
      </c>
      <c r="NQ69">
        <f>SUMPRODUCT(--('Данные 2st'!$Q$2:$Q$317=$A69),--ISNUMBER('Данные 2st'!$IB$2:$IB$317))</f>
        <v>1</v>
      </c>
      <c r="NR69">
        <f>SUMPRODUCT(--('Данные 2st'!$Q$2:$Q$317=$A69),--ISNUMBER('Данные 2st'!$IC$2:$IC$317))</f>
        <v>0</v>
      </c>
      <c r="NS69">
        <f>SUMPRODUCT(--('Данные 2st'!$Q$2:$Q$317=$A69),--ISNUMBER('Данные 2st'!$ID$2:$ID$317))</f>
        <v>1</v>
      </c>
      <c r="NT69">
        <f>SUMPRODUCT(--('Данные 2st'!$Q$2:$Q$317=$A69),--ISNUMBER('Данные 2st'!$IE$2:$IE$317))</f>
        <v>1</v>
      </c>
      <c r="NU69">
        <f>SUMPRODUCT(--('Данные 2st'!$Q$2:$Q$317=$A69),--ISNUMBER('Данные 2st'!$IF$2:$IF$317))</f>
        <v>1</v>
      </c>
      <c r="NV69">
        <f>SUMPRODUCT(--('Данные 2st'!$Q$2:$Q$317=$A69),--ISNUMBER('Данные 2st'!$IG$2:$IG$317))</f>
        <v>1</v>
      </c>
      <c r="NW69">
        <f>SUMPRODUCT(--('Данные 2st'!$Q$2:$Q$317=$A69),--ISNUMBER('Данные 2st'!$IH$2:$IH$317))</f>
        <v>1</v>
      </c>
      <c r="NX69">
        <f>SUMPRODUCT(--('Данные 2st'!$Q$2:$Q$317=$A69),--ISNUMBER('Данные 2st'!$IJ$2:$IJ$317))</f>
        <v>1</v>
      </c>
      <c r="NY69">
        <f>SUMPRODUCT(--('Данные 2st'!$Q$2:$Q$317=$A69),--ISNUMBER('Данные 2st'!$IM$2:$IM$317))</f>
        <v>1</v>
      </c>
      <c r="NZ69">
        <f>SUMPRODUCT(--('Данные 2st'!$Q$2:$Q$317=$A69),--ISNUMBER('Данные 2st'!$IN$2:$IN$317))</f>
        <v>1</v>
      </c>
      <c r="OA69">
        <f>SUMPRODUCT(--('Данные 2st'!$Q$2:$Q$317=$A69),--ISNUMBER('Данные 2st'!$IO$2:$IO$317))</f>
        <v>1</v>
      </c>
      <c r="OB69">
        <f>SUMPRODUCT(--('Данные 2st'!$Q$2:$Q$317=$A69),--ISNUMBER('Данные 2st'!$IP$2:$IP$317))</f>
        <v>1</v>
      </c>
      <c r="OC69">
        <f>SUMPRODUCT(--('Данные 2st'!$Q$2:$Q$317=$A69),--ISNUMBER('Данные 2st'!$IQ$2:$IQ$317))</f>
        <v>1</v>
      </c>
      <c r="OD69">
        <f>SUMPRODUCT(--('Данные 2st'!$Q$2:$Q$317=$A69),--ISNUMBER('Данные 2st'!$IR$2:$IR$317))</f>
        <v>1</v>
      </c>
      <c r="OE69">
        <f>SUMPRODUCT(--('Данные 2st'!$Q$2:$Q$317=$A69),--ISNUMBER('Данные 2st'!$IT$2:$IT$317))</f>
        <v>1</v>
      </c>
      <c r="OF69">
        <f>SUMPRODUCT(--('Данные 2st'!$Q$2:$Q$317=$A69),--ISNUMBER('Данные 2st'!$IU$2:$IU$317))</f>
        <v>1</v>
      </c>
      <c r="OG69">
        <f>SUMPRODUCT(--('Данные 2st'!$Q$2:$Q$317=$A69),--ISNUMBER('Данные 2st'!$IV$2:$IV$317))</f>
        <v>1</v>
      </c>
      <c r="OH69">
        <f>SUMPRODUCT(--('Данные 2st'!$Q$2:$Q$317=$A69),--ISNUMBER('Данные 2st'!$IW$2:$IW$317))</f>
        <v>1</v>
      </c>
      <c r="OI69">
        <f>SUMPRODUCT(--('Данные 2st'!$Q$2:$Q$317=$A69),--ISNUMBER('Данные 2st'!$IX$2:$IX$317))</f>
        <v>1</v>
      </c>
      <c r="OJ69">
        <f>SUMPRODUCT(--('Данные 2st'!$Q$2:$Q$317=$A69),--ISNUMBER('Данные 2st'!$IY$2:$IY$317))</f>
        <v>1</v>
      </c>
      <c r="OK69">
        <f>SUMPRODUCT(--('Данные 2st'!$Q$2:$Q$317=$A69),--ISNUMBER('Данные 2st'!$IZ$2:$IZ$317))</f>
        <v>1</v>
      </c>
      <c r="OL69">
        <f>SUMPRODUCT(--('Данные 2st'!$Q$2:$Q$317=$A69),--ISNUMBER('Данные 2st'!$JA$2:$JA$317))</f>
        <v>1</v>
      </c>
      <c r="OM69">
        <f>SUMPRODUCT(--('Данные 2st'!$Q$2:$Q$317=$A69),--ISNUMBER('Данные 2st'!$JB$2:$JB$317))</f>
        <v>1</v>
      </c>
      <c r="ON69">
        <f>SUMPRODUCT(--('Данные 2st'!$Q$2:$Q$317=$A69),--ISNUMBER('Данные 2st'!$JC$2:$JC$317))</f>
        <v>1</v>
      </c>
      <c r="OO69">
        <f>SUMPRODUCT(--('Данные 2st'!$Q$2:$Q$317=$A69),--ISNUMBER('Данные 2st'!$JD$2:$JD$317))</f>
        <v>1</v>
      </c>
      <c r="OP69">
        <f>SUMPRODUCT(--('Данные 2st'!$Q$2:$Q$317=$A69),--ISNUMBER('Данные 2st'!$JE$2:$JE$317))</f>
        <v>1</v>
      </c>
      <c r="OQ69">
        <f>SUMPRODUCT(--('Данные 2st'!$Q$2:$Q$317=$A69),--ISNUMBER('Данные 2st'!$JF$2:$JF$317))</f>
        <v>1</v>
      </c>
      <c r="OR69">
        <f>SUMPRODUCT(--('Данные 2st'!$Q$2:$Q$317=$A69),--ISNUMBER('Данные 2st'!$JG$2:$JG$317))</f>
        <v>1</v>
      </c>
      <c r="OS69">
        <f>SUMPRODUCT(--('Данные 2st'!$Q$2:$Q$317=$A69),--ISNUMBER('Данные 2st'!$JH$2:$JH$317))</f>
        <v>1</v>
      </c>
      <c r="OT69">
        <f>SUMPRODUCT(--('Данные 2st'!$Q$2:$Q$317=$A69),--ISNUMBER('Данные 2st'!$JI$2:$JI$317))</f>
        <v>1</v>
      </c>
      <c r="OU69">
        <f>SUMPRODUCT(--('Данные 2st'!$Q$2:$Q$317=$A69),--ISNUMBER('Данные 2st'!$JJ$2:$JJ$317))</f>
        <v>1</v>
      </c>
      <c r="OV69">
        <f>SUMPRODUCT(--('Данные 2st'!$Q$2:$Q$317=$A69),--ISNUMBER('Данные 2st'!$JK$2:$JK$317))</f>
        <v>1</v>
      </c>
      <c r="OW69">
        <f>SUMPRODUCT(--('Данные 2st'!$Q$2:$Q$317=$A69),--ISNUMBER('Данные 2st'!$JL$2:$JL$317))</f>
        <v>1</v>
      </c>
      <c r="OX69">
        <f>SUMPRODUCT(--('Данные 2st'!$Q$2:$Q$317=$A69),--ISNUMBER('Данные 2st'!$JM$2:$JM$317))</f>
        <v>1</v>
      </c>
      <c r="OY69">
        <f>SUMPRODUCT(--('Данные 2st'!$Q$2:$Q$317=$A69),--ISNUMBER('Данные 2st'!$JP$2:$JP$317))</f>
        <v>1</v>
      </c>
      <c r="OZ69">
        <f>SUMPRODUCT(--('Данные 2st'!$Q$2:$Q$317=$A69),--ISNUMBER('Данные 2st'!$JQ$2:$JQ$317))</f>
        <v>1</v>
      </c>
      <c r="PA69">
        <f>SUMPRODUCT(--('Данные 2st'!$Q$2:$Q$317=$A69),--ISNUMBER('Данные 2st'!$JR$2:$JR$317))</f>
        <v>1</v>
      </c>
      <c r="PB69">
        <f>SUMPRODUCT(--('Данные 2st'!$Q$2:$Q$317=$A69),--ISNUMBER('Данные 2st'!$JS$2:$JS$317))</f>
        <v>1</v>
      </c>
      <c r="PC69">
        <f>SUMPRODUCT(--('Данные 2st'!$Q$2:$Q$317=$A69),--ISNUMBER('Данные 2st'!$JT$2:$JT$317))</f>
        <v>1</v>
      </c>
      <c r="PD69">
        <f>SUMPRODUCT(--('Данные 2st'!$Q$2:$Q$317=$A69),--ISNUMBER('Данные 2st'!$JU$2:$JU$317))</f>
        <v>1</v>
      </c>
      <c r="PE69">
        <f>SUMPRODUCT(--('Данные 2st'!$Q$2:$Q$317=$A69),--ISNUMBER('Данные 2st'!$JV$2:$JV$317))</f>
        <v>1</v>
      </c>
      <c r="PF69">
        <f>SUMPRODUCT(--('Данные 2st'!$Q$2:$Q$317=$A69),--ISNUMBER('Данные 2st'!$JW$2:$JW$317))</f>
        <v>1</v>
      </c>
      <c r="PG69">
        <f>SUMPRODUCT(--('Данные 2st'!$Q$2:$Q$317=$A69),--ISNUMBER('Данные 2st'!$KF$2:$KF$317))</f>
        <v>1</v>
      </c>
      <c r="PH69">
        <f>SUMPRODUCT(--('Данные 2st'!$Q$2:$Q$317=$A69),--ISNUMBER('Данные 2st'!$KG$2:$KG$317))</f>
        <v>1</v>
      </c>
      <c r="PI69">
        <f>SUMPRODUCT(--('Данные 2st'!$Q$2:$Q$317=$A69),--ISNUMBER('Данные 2st'!$KM$2:$KM$317))</f>
        <v>1</v>
      </c>
      <c r="PJ69">
        <f>SUMPRODUCT(--('Данные 2st'!$Q$2:$Q$317=$A69),--ISNUMBER('Данные 2st'!$KN$2:$KN$317))</f>
        <v>1</v>
      </c>
      <c r="PK69">
        <f>SUMPRODUCT(--('Данные 2st'!$Q$2:$Q$317=$A69),--ISNUMBER('Данные 2st'!$KO$2:$KO$317))</f>
        <v>1</v>
      </c>
      <c r="PL69">
        <f>SUMPRODUCT(--('Данные 2st'!$Q$2:$Q$317=$A69),--ISNUMBER('Данные 2st'!$KP$2:$KP$317))</f>
        <v>1</v>
      </c>
      <c r="PM69">
        <f>SUMPRODUCT(--('Данные 2st'!$Q$2:$Q$317=$A69),--ISNUMBER('Данные 2st'!$KQ$2:$KQ$317))</f>
        <v>1</v>
      </c>
      <c r="PN69">
        <f>SUMPRODUCT(--('Данные 2st'!$Q$2:$Q$317=$A69),--ISNUMBER('Данные 2st'!$KR$2:$KR$317))</f>
        <v>1</v>
      </c>
      <c r="PO69">
        <f>SUMPRODUCT(--('Данные 2st'!$Q$2:$Q$317=$A69),--ISNUMBER('Данные 2st'!$KS$2:$KS$317))</f>
        <v>1</v>
      </c>
      <c r="PP69">
        <f>SUMPRODUCT(--('Данные 2st'!$Q$2:$Q$317=$A69),--ISNUMBER('Данные 2st'!$KT$2:$KT$317))</f>
        <v>1</v>
      </c>
      <c r="PQ69">
        <f>SUMPRODUCT(--('Данные 2st'!$Q$2:$Q$317=$A69),--ISNUMBER('Данные 2st'!$KU$2:$KU$317))</f>
        <v>1</v>
      </c>
      <c r="PR69">
        <f>SUMPRODUCT(--('Данные 2st'!$Q$2:$Q$317=$A69),--ISNUMBER('Данные 2st'!$KV$2:$KV$317))</f>
        <v>1</v>
      </c>
      <c r="PS69">
        <f>SUMPRODUCT(--('Данные 2st'!$Q$2:$Q$317=$A69),--ISNUMBER('Данные 2st'!$KW$2:$KW$317))</f>
        <v>1</v>
      </c>
      <c r="PT69">
        <f>SUMPRODUCT(--('Данные 2st'!$Q$2:$Q$317=$A69),--ISNUMBER('Данные 2st'!$KX$2:$KX$317))</f>
        <v>1</v>
      </c>
      <c r="PU69">
        <f>SUMPRODUCT(--('Данные 2st'!$Q$2:$Q$317=$A69),--ISNUMBER('Данные 2st'!$KY$2:$KY$317))</f>
        <v>1</v>
      </c>
      <c r="PV69">
        <f>SUMPRODUCT(--('Данные 2st'!$Q$2:$Q$317=$A69),--ISNUMBER('Данные 2st'!$KZ$2:$KZ$317))</f>
        <v>1</v>
      </c>
      <c r="PW69">
        <f>SUMPRODUCT(--('Данные 2st'!$Q$2:$Q$317=$A69),--ISNUMBER('Данные 2st'!$LA$2:$LA$317))</f>
        <v>1</v>
      </c>
      <c r="PX69">
        <f>SUMPRODUCT(--('Данные 2st'!$Q$2:$Q$317=$A69),--ISNUMBER('Данные 2st'!$LB$2:$LB$317))</f>
        <v>1</v>
      </c>
      <c r="PY69">
        <f>SUMPRODUCT(--('Данные 2st'!$Q$2:$Q$317=$A69),--ISNUMBER('Данные 2st'!$LC$2:$LC$317))</f>
        <v>1</v>
      </c>
      <c r="PZ69">
        <f>SUMPRODUCT(--('Данные 2st'!$Q$2:$Q$317=$A69),--ISNUMBER('Данные 2st'!$LD$2:$LD$317))</f>
        <v>1</v>
      </c>
      <c r="QA69">
        <f>SUMPRODUCT(--('Данные 2st'!$Q$2:$Q$317=$A69),--ISNUMBER('Данные 2st'!$LE$2:$LE$317))</f>
        <v>1</v>
      </c>
      <c r="QB69">
        <f>SUMPRODUCT(--('Данные 2st'!$Q$2:$Q$317=$A69),--ISNUMBER('Данные 2st'!$LF$2:$LF$317))</f>
        <v>1</v>
      </c>
      <c r="QC69">
        <f>SUMPRODUCT(--('Данные 2st'!$Q$2:$Q$317=$A69),--ISNUMBER('Данные 2st'!$LG$2:$LG$317))</f>
        <v>1</v>
      </c>
      <c r="QD69">
        <f>SUMPRODUCT(--('Данные 2st'!$Q$2:$Q$317=$A69),--ISNUMBER('Данные 2st'!$LH$2:$LH$317))</f>
        <v>1</v>
      </c>
      <c r="QE69">
        <f>SUMPRODUCT(--('Данные 2st'!$Q$2:$Q$317=$A69),--ISNUMBER('Данные 2st'!$LJ$2:$LJ$317))</f>
        <v>1</v>
      </c>
      <c r="QF69">
        <f>SUMPRODUCT(--('Данные 2st'!$Q$2:$Q$317=$A69),--ISNUMBER('Данные 2st'!$LK$2:$LK$317))</f>
        <v>1</v>
      </c>
      <c r="QG69">
        <f>SUMPRODUCT(--('Данные 2st'!$Q$2:$Q$317=$A69),--ISNUMBER('Данные 2st'!$LL$2:$LL$317))</f>
        <v>1</v>
      </c>
      <c r="QH69">
        <f>SUMPRODUCT(--('Данные 2st'!$Q$2:$Q$317=$A69),--ISNUMBER('Данные 2st'!$LM$2:$LM$317))</f>
        <v>1</v>
      </c>
      <c r="QI69">
        <f>SUMPRODUCT(--('Данные 2st'!$Q$2:$Q$317=$A69),--ISNUMBER('Данные 2st'!$LN$2:$LN$317))</f>
        <v>1</v>
      </c>
      <c r="QJ69">
        <f>SUMPRODUCT(--('Данные 2st'!$Q$2:$Q$317=$A69),--ISNUMBER('Данные 2st'!$LO$2:$LO$317))</f>
        <v>1</v>
      </c>
      <c r="QK69">
        <f>SUMPRODUCT(--('Данные 2st'!$Q$2:$Q$317=$A69),--ISNUMBER('Данные 2st'!$LP$2:$LP$317))</f>
        <v>1</v>
      </c>
      <c r="QL69">
        <f>SUMPRODUCT(--('Данные 2st'!$Q$2:$Q$317=$A69),--ISNUMBER('Данные 2st'!$LQ$2:$LQ$317))</f>
        <v>1</v>
      </c>
      <c r="QM69">
        <f>SUMPRODUCT(--('Данные 2st'!$Q$2:$Q$317=$A69),--ISNUMBER('Данные 2st'!$LW$2:$LW$317))</f>
        <v>1</v>
      </c>
      <c r="QN69">
        <f>SUMPRODUCT(--('Данные 2st'!$Q$2:$Q$317=$A69),--ISNUMBER('Данные 2st'!$LX$2:$LX$317))</f>
        <v>1</v>
      </c>
      <c r="QO69">
        <f>SUMPRODUCT(--('Данные 2st'!$Q$2:$Q$317=$A69),--ISNUMBER('Данные 2st'!$LY$2:$LY$317))</f>
        <v>1</v>
      </c>
      <c r="QP69">
        <f>SUMPRODUCT(--('Данные 2st'!$Q$2:$Q$317=$A69),--ISNUMBER('Данные 2st'!$LZ$2:$LZ$317))</f>
        <v>1</v>
      </c>
      <c r="QQ69">
        <f>SUMPRODUCT(--('Данные 2st'!$Q$2:$Q$317=$A69),--ISNUMBER('Данные 2st'!$MB$2:$MB$317))</f>
        <v>1</v>
      </c>
      <c r="QR69">
        <f>SUMPRODUCT(--('Данные 2st'!$Q$2:$Q$317=$A69),--ISNUMBER('Данные 2st'!$MG$2:$MG$317))</f>
        <v>1</v>
      </c>
      <c r="QS69">
        <f>SUMPRODUCT(--('Данные 2st'!$Q$2:$Q$317=$A69),--ISNUMBER('Данные 2st'!$MH$2:$MH$317))</f>
        <v>1</v>
      </c>
      <c r="QT69">
        <f>SUMPRODUCT(--('Данные 2st'!$Q$2:$Q$317=$A69),--ISNUMBER('Данные 2st'!$MI$2:$MI$317))</f>
        <v>1</v>
      </c>
      <c r="QU69">
        <f>SUMPRODUCT(--('Данные 2st'!$Q$2:$Q$317=$A69),--ISNUMBER('Данные 2st'!$MJ$2:$MJ$317))</f>
        <v>1</v>
      </c>
      <c r="QV69">
        <f>SUMPRODUCT(--('Данные 2st'!$Q$2:$Q$317=$A69),--ISNUMBER('Данные 2st'!$MK$2:$MK$317))</f>
        <v>1</v>
      </c>
      <c r="QW69">
        <f>SUMPRODUCT(--('Данные 2st'!$Q$2:$Q$317=$A69),--ISNUMBER('Данные 2st'!$MM$2:$MM$317))</f>
        <v>1</v>
      </c>
      <c r="QX69">
        <f>SUMPRODUCT(--('Данные 2st'!$Q$2:$Q$317=$A69),--ISNUMBER('Данные 2st'!$MQ$2:$MQ$317))</f>
        <v>0</v>
      </c>
      <c r="QY69">
        <f>SUMPRODUCT(--('Данные 2st'!$Q$2:$Q$317=$A69),--ISNUMBER('Данные 2st'!$MR$2:$MR$317))</f>
        <v>0</v>
      </c>
      <c r="QZ69">
        <f>SUMPRODUCT(--('Данные 2st'!$Q$2:$Q$317=$A69),--ISNUMBER('Данные 2st'!$MS$2:$MS$317))</f>
        <v>0</v>
      </c>
      <c r="RA69">
        <f>SUMPRODUCT(--('Данные 2st'!$Q$2:$Q$317=$A69),--ISNUMBER('Данные 2st'!$MT$2:$MT$317))</f>
        <v>0</v>
      </c>
      <c r="RB69">
        <f>SUMPRODUCT(--('Данные 2st'!$Q$2:$Q$317=$A69),--ISNUMBER('Данные 2st'!$MU$2:$MU$317))</f>
        <v>0</v>
      </c>
      <c r="RC69">
        <f>SUMPRODUCT(--('Данные 2st'!$Q$2:$Q$317=$A69),--ISNUMBER('Данные 2st'!$MV$2:$MV$317))</f>
        <v>0</v>
      </c>
      <c r="RD69">
        <f>SUMPRODUCT(--('Данные 2st'!$Q$2:$Q$317=$A69),--ISNUMBER('Данные 2st'!$MW$2:$MW$317))</f>
        <v>0</v>
      </c>
      <c r="RE69">
        <f>SUMPRODUCT(--('Данные 2st'!$Q$2:$Q$317=$A69),--ISNUMBER('Данные 2st'!$MX$2:$MX$317))</f>
        <v>0</v>
      </c>
      <c r="RF69">
        <f>SUMPRODUCT(--('Данные 2st'!$Q$2:$Q$317=$A69),--ISNUMBER('Данные 2st'!$MY$2:$MY$317))</f>
        <v>0</v>
      </c>
      <c r="RG69">
        <f>SUMPRODUCT(--('Данные 2st'!$Q$2:$Q$317=$A69),--ISNUMBER('Данные 2st'!$MZ$2:$MZ$317))</f>
        <v>0</v>
      </c>
      <c r="RH69">
        <f>SUMPRODUCT(--('Данные 2st'!$Q$2:$Q$317=$A69),--ISNUMBER('Данные 2st'!$NA$2:$NA$317))</f>
        <v>0</v>
      </c>
      <c r="RI69">
        <f>SUMPRODUCT(--('Данные 2st'!$Q$2:$Q$317=$A69),--ISNUMBER('Данные 2st'!$NB$2:$NB$317))</f>
        <v>0</v>
      </c>
      <c r="RJ69">
        <f>SUMPRODUCT(--('Данные 2st'!$Q$2:$Q$317=$A69),--ISNUMBER('Данные 2st'!$NC$2:$NC$317))</f>
        <v>0</v>
      </c>
      <c r="RK69">
        <f>SUMPRODUCT(--('Данные 2st'!$Q$2:$Q$317=$A69),--ISNUMBER('Данные 2st'!$ND$2:$ND$317))</f>
        <v>0</v>
      </c>
      <c r="RL69">
        <f>SUMPRODUCT(--('Данные 2st'!$Q$2:$Q$317=$A69),--ISNUMBER('Данные 2st'!$NE$2:$NE$317))</f>
        <v>0</v>
      </c>
      <c r="RM69">
        <f>SUMPRODUCT(--('Данные 2st'!$Q$2:$Q$317=$A69),--ISNUMBER('Данные 2st'!$NF$2:$NF$317))</f>
        <v>0</v>
      </c>
      <c r="RN69">
        <f>SUMPRODUCT(--('Данные 2st'!$Q$2:$Q$317=$A69),--ISNUMBER('Данные 2st'!$NG$2:$NG$317))</f>
        <v>0</v>
      </c>
      <c r="RO69">
        <f>SUMPRODUCT(--('Данные 2st'!$Q$2:$Q$317=$A69),--ISNUMBER('Данные 2st'!$NH$2:$NH$317))</f>
        <v>0</v>
      </c>
      <c r="RP69">
        <f>SUMPRODUCT(--('Данные 2st'!$Q$2:$Q$317=$A69),--ISNUMBER('Данные 2st'!$NJ$2:$NJ$317))</f>
        <v>0</v>
      </c>
      <c r="RQ69">
        <f>SUMPRODUCT(--('Данные 2st'!$Q$2:$Q$317=$A69),--ISNUMBER('Данные 2st'!$NK$2:$NK$317))</f>
        <v>0</v>
      </c>
      <c r="RR69">
        <f>SUMPRODUCT(--('Данные 2st'!$Q$2:$Q$317=$A69),--ISNUMBER('Данные 2st'!$NM$2:$NM$317))</f>
        <v>0</v>
      </c>
      <c r="RS69">
        <f>SUMPRODUCT(--('Данные 2st'!$Q$2:$Q$317=$A69),--ISNUMBER('Данные 2st'!$NN$2:$NN$317))</f>
        <v>0</v>
      </c>
      <c r="RT69">
        <f>SUMPRODUCT(--('Данные 2st'!$Q$2:$Q$317=$A69),--ISNUMBER('Данные 2st'!$NO$2:$NO$317))</f>
        <v>0</v>
      </c>
      <c r="RU69">
        <f>SUMPRODUCT(--('Данные 2st'!$Q$2:$Q$317=$A69),--ISNUMBER('Данные 2st'!$NP$2:$NP$317))</f>
        <v>0</v>
      </c>
      <c r="RV69">
        <f>SUMPRODUCT(--('Данные 2st'!$Q$2:$Q$317=$A69),--ISNUMBER('Данные 2st'!$NQ$2:$NQ$317))</f>
        <v>0</v>
      </c>
      <c r="RW69">
        <f>SUMPRODUCT(--('Данные 2st'!$Q$2:$Q$317=$A69),--ISNUMBER('Данные 2st'!$NR$2:$NR$317))</f>
        <v>0</v>
      </c>
      <c r="RX69">
        <f>SUMPRODUCT(--('Данные 2st'!$Q$2:$Q$317=$A69),--ISNUMBER('Данные 2st'!$NS$2:$NS$317))</f>
        <v>0</v>
      </c>
      <c r="RY69">
        <f>SUMPRODUCT(--('Данные 2st'!$Q$2:$Q$317=$A69),--ISNUMBER('Данные 2st'!$NT$2:$NT$317))</f>
        <v>0</v>
      </c>
      <c r="RZ69">
        <f>SUMPRODUCT(--('Данные 2st'!$Q$2:$Q$317=$A69),--ISNUMBER('Данные 2st'!$OK$2:$OK$317))</f>
        <v>1</v>
      </c>
      <c r="SA69">
        <f>SUMPRODUCT(--('Данные 2st'!$Q$2:$Q$317=$A69),--ISNUMBER('Данные 2st'!$OL$2:$OL$317))</f>
        <v>1</v>
      </c>
      <c r="SB69">
        <f>SUMPRODUCT(--('Данные 2st'!$Q$2:$Q$317=$A69),--ISNUMBER('Данные 2st'!$ON$2:$ON$317))</f>
        <v>1</v>
      </c>
      <c r="SC69">
        <f>SUMPRODUCT(--('Данные 2st'!$Q$2:$Q$317=$A69),--ISNUMBER('Данные 2st'!$OO$2:$OO$317))</f>
        <v>1</v>
      </c>
      <c r="SD69">
        <f>SUMPRODUCT(--('Данные 2st'!$Q$2:$Q$317=$A69),--ISNUMBER('Данные 2st'!$OP$2:$OP$317))</f>
        <v>1</v>
      </c>
      <c r="SE69">
        <f>SUMPRODUCT(--('Данные 2st'!$Q$2:$Q$317=$A69),--ISNUMBER('Данные 2st'!$OQ$2:$OQ$317))</f>
        <v>1</v>
      </c>
      <c r="SF69">
        <f>SUMPRODUCT(--('Данные 2st'!$Q$2:$Q$317=$A69),--ISNUMBER('Данные 2st'!$OS$2:$OS$317))</f>
        <v>1</v>
      </c>
      <c r="SG69">
        <f>SUMPRODUCT(--('Данные 2st'!$Q$2:$Q$317=$A69),--ISNUMBER('Данные 2st'!$OT$2:$OT$317))</f>
        <v>1</v>
      </c>
      <c r="SH69">
        <f>SUMPRODUCT(--('Данные 2st'!$Q$2:$Q$317=$A69),--ISNUMBER('Данные 2st'!$OU$2:$OU$317))</f>
        <v>1</v>
      </c>
      <c r="SI69">
        <f>SUMPRODUCT(--('Данные 2st'!$Q$2:$Q$317=$A69),--ISNUMBER('Данные 2st'!$OV$2:$OV$317))</f>
        <v>1</v>
      </c>
      <c r="SJ69">
        <f>SUMPRODUCT(--('Данные 2st'!$Q$2:$Q$317=$A69),--ISNUMBER('Данные 2st'!$OX$2:$OX$317))</f>
        <v>1</v>
      </c>
      <c r="SK69">
        <f>SUMPRODUCT(--('Данные 2st'!$Q$2:$Q$317=$A69),--ISNUMBER('Данные 2st'!$OY$2:$OY$317))</f>
        <v>1</v>
      </c>
      <c r="SL69">
        <f>SUMPRODUCT(--('Данные 2st'!$Q$2:$Q$317=$A69),--ISNUMBER('Данные 2st'!$OZ$2:$OZ$317))</f>
        <v>1</v>
      </c>
      <c r="SM69">
        <f>SUMPRODUCT(--('Данные 2st'!$Q$2:$Q$317=$A69),--ISNUMBER('Данные 2st'!$PA$2:$PA$317))</f>
        <v>1</v>
      </c>
      <c r="SN69">
        <f>SUMPRODUCT(--('Данные 2st'!$Q$2:$Q$317=$A69),--ISNUMBER('Данные 2st'!$PC$2:$PC$317))</f>
        <v>1</v>
      </c>
      <c r="SO69">
        <f>SUMPRODUCT(--('Данные 2st'!$Q$2:$Q$317=$A69),--ISNUMBER('Данные 2st'!$PD$2:$PD$317))</f>
        <v>1</v>
      </c>
      <c r="SP69">
        <f>SUMPRODUCT(--('Данные 2st'!$Q$2:$Q$317=$A69),--ISNUMBER('Данные 2st'!$PF$2:$PF$317))</f>
        <v>1</v>
      </c>
      <c r="SQ69">
        <f>SUMPRODUCT(--('Данные 2st'!$Q$2:$Q$317=$A69),--ISNUMBER('Данные 2st'!$PG$2:$PG$317))</f>
        <v>1</v>
      </c>
      <c r="SR69">
        <f>SUMPRODUCT(--('Данные 2st'!$Q$2:$Q$317=$A69),--ISNUMBER('Данные 2st'!$PH$2:$PH$317))</f>
        <v>1</v>
      </c>
      <c r="SS69">
        <f>SUMPRODUCT(--('Данные 2st'!$Q$2:$Q$317=$A69),--ISNUMBER('Данные 2st'!$PI$2:$PI$317))</f>
        <v>1</v>
      </c>
      <c r="ST69">
        <f>SUMPRODUCT(--('Данные 2st'!$Q$2:$Q$317=$A69),--ISNUMBER('Данные 2st'!$PJ$2:$PJ$317))</f>
        <v>1</v>
      </c>
      <c r="SU69">
        <f>SUMPRODUCT(--('Данные 2st'!$Q$2:$Q$317=$A69),--ISNUMBER('Данные 2st'!$PK$2:$PK$317))</f>
        <v>1</v>
      </c>
      <c r="SV69">
        <f>SUMPRODUCT(--('Данные 2st'!$Q$2:$Q$317=$A69),--ISNUMBER('Данные 2st'!$PL$2:$PL$317))</f>
        <v>1</v>
      </c>
      <c r="SW69">
        <f>SUMPRODUCT(--('Данные 2st'!$Q$2:$Q$317=$A69),--ISNUMBER('Данные 2st'!$PM$2:$PM$317))</f>
        <v>1</v>
      </c>
      <c r="SX69">
        <f>SUMPRODUCT(--('Данные 2st'!$Q$2:$Q$317=$A69),--ISNUMBER('Данные 2st'!$PN$2:$PN$317))</f>
        <v>1</v>
      </c>
      <c r="SY69">
        <f>SUMPRODUCT(--('Данные 2st'!$Q$2:$Q$317=$A69),--ISNUMBER('Данные 2st'!$PO$2:$PO$317))</f>
        <v>1</v>
      </c>
      <c r="SZ69">
        <f>SUMPRODUCT(--('Данные 2st'!$Q$2:$Q$317=$A69),--ISNUMBER('Данные 2st'!$PP$2:$PP$317))</f>
        <v>1</v>
      </c>
      <c r="TA69">
        <f>SUMPRODUCT(--('Данные 2st'!$Q$2:$Q$317=$A69),--ISNUMBER('Данные 2st'!$PQ$2:$PQ$317))</f>
        <v>1</v>
      </c>
      <c r="TB69">
        <f>SUMPRODUCT(--('Данные 2st'!$Q$2:$Q$317=$A69),--ISNUMBER('Данные 2st'!$PR$2:$PR$317))</f>
        <v>1</v>
      </c>
      <c r="TC69">
        <f>SUMPRODUCT(--('Данные 2st'!$Q$2:$Q$317=$A69),--ISNUMBER('Данные 2st'!$PS$2:$PS$317))</f>
        <v>1</v>
      </c>
      <c r="TD69">
        <f>SUMPRODUCT(--('Данные 2st'!$Q$2:$Q$317=$A69),--ISNUMBER('Данные 2st'!$PT$2:$PT$317))</f>
        <v>1</v>
      </c>
      <c r="TE69">
        <f>SUMPRODUCT(--('Данные 2st'!$Q$2:$Q$317=$A69),--ISNUMBER('Данные 2st'!$PU$2:$PU$317))</f>
        <v>1</v>
      </c>
      <c r="TF69">
        <f>SUMPRODUCT(--('Данные 2st'!$Q$2:$Q$317=$A69),--ISNUMBER('Данные 2st'!$PX$2:$PX$317))</f>
        <v>1</v>
      </c>
      <c r="TG69">
        <f>SUMPRODUCT(--('Данные 2st'!$Q$2:$Q$317=$A69),--ISNUMBER('Данные 2st'!$PY$2:$PY$317))</f>
        <v>1</v>
      </c>
      <c r="TH69">
        <f>SUMPRODUCT(--('Данные 2st'!$Q$2:$Q$317=$A69),--ISNUMBER('Данные 2st'!$PZ$2:$PZ$317))</f>
        <v>1</v>
      </c>
      <c r="TI69">
        <f>SUMPRODUCT(--('Данные 2st'!$Q$2:$Q$317=$A69),--ISNUMBER('Данные 2st'!$QA$2:$QA$317))</f>
        <v>1</v>
      </c>
      <c r="TJ69">
        <f>SUMPRODUCT(--('Данные 2st'!$Q$2:$Q$317=$A69),--ISNUMBER('Данные 2st'!$QB$2:$QB$317))</f>
        <v>1</v>
      </c>
      <c r="TK69">
        <f>SUMPRODUCT(--('Данные 2st'!$Q$2:$Q$317=$A69),--ISNUMBER('Данные 2st'!$QC$2:$QC$317))</f>
        <v>1</v>
      </c>
      <c r="TL69">
        <f>SUMPRODUCT(--('Данные 2st'!$Q$2:$Q$317=$A69),--ISNUMBER('Данные 2st'!$QD$2:$QD$317))</f>
        <v>1</v>
      </c>
      <c r="TM69">
        <f>SUMPRODUCT(--('Данные 2st'!$Q$2:$Q$317=$A69),--ISNUMBER('Данные 2st'!$QE$2:$QE$317))</f>
        <v>1</v>
      </c>
      <c r="TN69">
        <f>SUMPRODUCT(--('Данные 2st'!$Q$2:$Q$317=$A69),--ISNUMBER('Данные 2st'!$QF$2:$QF$317))</f>
        <v>1</v>
      </c>
      <c r="TO69">
        <f>SUMPRODUCT(--('Данные 2st'!$Q$2:$Q$317=$A69),--ISNUMBER('Данные 2st'!$QG$2:$QG$317))</f>
        <v>1</v>
      </c>
      <c r="TP69">
        <f>SUMPRODUCT(--('Данные 2st'!$Q$2:$Q$317=$A69),--ISNUMBER('Данные 2st'!$QH$2:$QH$317))</f>
        <v>1</v>
      </c>
      <c r="TQ69">
        <f>SUMPRODUCT(--('Данные 2st'!$Q$2:$Q$317=$A69),--ISNUMBER('Данные 2st'!$QI$2:$QI$317))</f>
        <v>1</v>
      </c>
      <c r="TR69">
        <f>SUMPRODUCT(--('Данные 2st'!$Q$2:$Q$317=$A69),--ISNUMBER('Данные 2st'!$QJ$2:$QJ$317))</f>
        <v>1</v>
      </c>
      <c r="TS69">
        <f>SUMPRODUCT(--('Данные 2st'!$Q$2:$Q$317=$A69),--ISNUMBER('Данные 2st'!$QK$2:$QK$317))</f>
        <v>1</v>
      </c>
      <c r="TT69">
        <f>SUMPRODUCT(--('Данные 2st'!$Q$2:$Q$317=$A69),--ISNUMBER('Данные 2st'!$QL$2:$QL$317))</f>
        <v>1</v>
      </c>
      <c r="TU69">
        <f>SUMPRODUCT(--('Данные 2st'!$Q$2:$Q$317=$A69),--ISNUMBER('Данные 2st'!$QM$2:$QM$317))</f>
        <v>1</v>
      </c>
      <c r="TV69">
        <f>SUMPRODUCT(--('Данные 2st'!$Q$2:$Q$317=$A69),--ISNUMBER('Данные 2st'!$QN$2:$QN$317))</f>
        <v>1</v>
      </c>
      <c r="TW69">
        <f>SUMPRODUCT(--('Данные 2st'!$Q$2:$Q$317=$A69),--ISNUMBER('Данные 2st'!$QQ$2:$QQ$317))</f>
        <v>1</v>
      </c>
      <c r="TX69">
        <f>SUMPRODUCT(--('Данные 2st'!$Q$2:$Q$317=$A69),--ISNUMBER('Данные 2st'!$QS$2:$QS$317))</f>
        <v>1</v>
      </c>
      <c r="TY69">
        <f>SUMPRODUCT(--('Данные 2st'!$Q$2:$Q$317=$A69),--ISNUMBER('Данные 2st'!$QT$2:$QT$317))</f>
        <v>1</v>
      </c>
    </row>
    <row r="70" spans="1:545" ht="32" customHeight="1">
      <c r="A70" s="11" t="str">
        <f>'По размерам'!A70</f>
        <v>255/50R20</v>
      </c>
      <c r="G70">
        <f>SUMPRODUCT(--('Данные 1st'!$S$2:$S$317=$A70),--ISNUMBER('Данные 1st'!$AE$2:$AE$317))</f>
        <v>6</v>
      </c>
      <c r="H70">
        <f>SUMPRODUCT(--('Данные 1st'!$S$2:$S$317=$A70),--ISNUMBER('Данные 1st'!$AF$2:$AF$317))</f>
        <v>6</v>
      </c>
      <c r="I70">
        <f>SUMPRODUCT(--('Данные 1st'!$S$2:$S$317=$A70),--ISNUMBER('Данные 1st'!$AJ$2:$AJ$317))</f>
        <v>6</v>
      </c>
      <c r="J70">
        <f>SUMPRODUCT(--('Данные 1st'!$S$2:$S$317=$A70),--ISNUMBER('Данные 1st'!$AL$2:$AL$317))</f>
        <v>6</v>
      </c>
      <c r="K70">
        <f>SUMPRODUCT(--('Данные 1st'!$S$2:$S$317=$A70),--ISNUMBER('Данные 1st'!$AR$2:$AR$317))</f>
        <v>6</v>
      </c>
      <c r="L70">
        <f>SUMPRODUCT(--('Данные 1st'!$S$2:$S$317=$A70),--ISNUMBER('Данные 1st'!$AS$2:$AS$317))</f>
        <v>6</v>
      </c>
      <c r="M70">
        <f>SUMPRODUCT(--('Данные 1st'!$S$2:$S$317=$A70),--ISNUMBER('Данные 1st'!$AY$2:$AY$317))</f>
        <v>6</v>
      </c>
      <c r="N70">
        <f>SUMPRODUCT(--('Данные 1st'!$S$2:$S$317=$A70),--ISNUMBER('Данные 1st'!$AZ$2:$AZ$317))</f>
        <v>6</v>
      </c>
      <c r="O70">
        <f>SUMPRODUCT(--('Данные 1st'!$S$2:$S$317=$A70),--ISNUMBER('Данные 1st'!$BF$2:$BF$317))</f>
        <v>6</v>
      </c>
      <c r="P70">
        <f>SUMPRODUCT(--('Данные 1st'!$S$2:$S$317=$A70),--ISNUMBER('Данные 1st'!$BG$2:$BG$317))</f>
        <v>6</v>
      </c>
      <c r="Q70">
        <f>SUMPRODUCT(--('Данные 1st'!$S$2:$S$317=$A70),--ISNUMBER('Данные 1st'!$BM$2:$BM$317))</f>
        <v>0</v>
      </c>
      <c r="R70">
        <f>SUMPRODUCT(--('Данные 1st'!$S$2:$S$317=$A70),--ISNUMBER('Данные 1st'!$BN$2:$BN$317))</f>
        <v>6</v>
      </c>
      <c r="S70">
        <f>SUMPRODUCT(--('Данные 1st'!$S$2:$S$317=$A70),--ISNUMBER('Данные 1st'!$BT$2:$BT$317))</f>
        <v>6</v>
      </c>
      <c r="T70">
        <f>SUMPRODUCT(--('Данные 1st'!$S$2:$S$317=$A70),--ISNUMBER('Данные 1st'!$BU$2:$BU$317))</f>
        <v>6</v>
      </c>
      <c r="U70">
        <f>SUMPRODUCT(--('Данные 1st'!$S$2:$S$317=$A70),--ISNUMBER('Данные 1st'!$BW$2:$BW$317))</f>
        <v>6</v>
      </c>
      <c r="V70">
        <f>SUMPRODUCT(--('Данные 1st'!$S$2:$S$317=$A70),--ISNUMBER('Данные 1st'!$BX$2:$BX$317))</f>
        <v>6</v>
      </c>
      <c r="W70">
        <f>SUMPRODUCT(--('Данные 1st'!$S$2:$S$317=$A70),--ISNUMBER('Данные 1st'!$BZ$2:$BZ$317))</f>
        <v>6</v>
      </c>
      <c r="X70">
        <f>SUMPRODUCT(--('Данные 1st'!$S$2:$S$317=$A70),--ISNUMBER('Данные 1st'!$CA$2:$CA$317))</f>
        <v>6</v>
      </c>
      <c r="Y70">
        <f>SUMPRODUCT(--('Данные 1st'!$S$2:$S$317=$A70),--ISNUMBER('Данные 1st'!$CD$2:$CD$317))</f>
        <v>6</v>
      </c>
      <c r="Z70">
        <f>SUMPRODUCT(--('Данные 1st'!$S$2:$S$317=$A70),--ISNUMBER('Данные 1st'!$CF$2:$CF$317))</f>
        <v>6</v>
      </c>
      <c r="AA70">
        <f>SUMPRODUCT(--('Данные 1st'!$S$2:$S$317=$A70),--ISNUMBER('Данные 1st'!$CI$2:$CI$317))</f>
        <v>6</v>
      </c>
      <c r="AB70">
        <f>SUMPRODUCT(--('Данные 1st'!$S$2:$S$317=$A70),--ISNUMBER('Данные 1st'!$CJ$2:$CJ$317))</f>
        <v>6</v>
      </c>
      <c r="AC70">
        <f>SUMPRODUCT(--('Данные 1st'!$S$2:$S$317=$A70),--ISNUMBER('Данные 1st'!$CK$2:$CK$317))</f>
        <v>6</v>
      </c>
      <c r="AD70">
        <f>SUMPRODUCT(--('Данные 1st'!$S$2:$S$317=$A70),--ISNUMBER('Данные 1st'!$CL$2:$CL$317))</f>
        <v>6</v>
      </c>
      <c r="AE70">
        <f>SUMPRODUCT(--('Данные 1st'!$S$2:$S$317=$A70),--ISNUMBER('Данные 1st'!$CM$2:$CM$317))</f>
        <v>6</v>
      </c>
      <c r="AF70">
        <f>SUMPRODUCT(--('Данные 1st'!$S$2:$S$317=$A70),--ISNUMBER('Данные 1st'!$CT$2:$CT$317))</f>
        <v>6</v>
      </c>
      <c r="AG70">
        <f>SUMPRODUCT(--('Данные 1st'!$S$2:$S$317=$A70),--ISNUMBER('Данные 1st'!$CU$2:$CU$317))</f>
        <v>6</v>
      </c>
      <c r="AH70">
        <f>SUMPRODUCT(--('Данные 1st'!$S$2:$S$317=$A70),--ISNUMBER('Данные 1st'!$CV$2:$CV$317))</f>
        <v>6</v>
      </c>
      <c r="AI70">
        <f>SUMPRODUCT(--('Данные 1st'!$S$2:$S$317=$A70),--ISNUMBER('Данные 1st'!$CW$2:$CW$317))</f>
        <v>6</v>
      </c>
      <c r="AJ70">
        <f>SUMPRODUCT(--('Данные 1st'!$S$2:$S$317=$A70),--ISNUMBER('Данные 1st'!$CX$2:$CX$317))</f>
        <v>6</v>
      </c>
      <c r="AK70">
        <f>SUMPRODUCT(--('Данные 1st'!$S$2:$S$317=$A70),--ISNUMBER('Данные 1st'!$CZ$2:$CZ$317))</f>
        <v>6</v>
      </c>
      <c r="AL70">
        <f>SUMPRODUCT(--('Данные 1st'!$S$2:$S$317=$A70),--ISNUMBER('Данные 1st'!$DA$2:$DA$317))</f>
        <v>6</v>
      </c>
      <c r="AM70">
        <f>SUMPRODUCT(--('Данные 1st'!$S$2:$S$317=$A70),--ISNUMBER('Данные 1st'!$DB$2:$DB$317))</f>
        <v>6</v>
      </c>
      <c r="AN70">
        <f>SUMPRODUCT(--('Данные 1st'!$S$2:$S$317=$A70),--ISNUMBER('Данные 1st'!$DC$2:$DC$317))</f>
        <v>6</v>
      </c>
      <c r="AO70">
        <f>SUMPRODUCT(--('Данные 1st'!$S$2:$S$317=$A70),--ISNUMBER('Данные 1st'!$DD$2:$DD$317))</f>
        <v>6</v>
      </c>
      <c r="AP70">
        <f>SUMPRODUCT(--('Данные 1st'!$S$2:$S$317=$A70),--ISNUMBER('Данные 1st'!$DF$2:$DF$317))</f>
        <v>6</v>
      </c>
      <c r="AQ70">
        <f>SUMPRODUCT(--('Данные 1st'!$S$2:$S$317=$A70),--ISNUMBER('Данные 1st'!$DG$2:$DG$317))</f>
        <v>6</v>
      </c>
      <c r="AR70">
        <f>SUMPRODUCT(--('Данные 1st'!$S$2:$S$317=$A70),--ISNUMBER('Данные 1st'!$DH$2:$DH$317))</f>
        <v>6</v>
      </c>
      <c r="AS70">
        <f>SUMPRODUCT(--('Данные 1st'!$S$2:$S$317=$A70),--ISNUMBER('Данные 1st'!$DI$2:$DI$317))</f>
        <v>6</v>
      </c>
      <c r="AT70">
        <f>SUMPRODUCT(--('Данные 1st'!$S$2:$S$317=$A70),--ISNUMBER('Данные 1st'!$DJ$2:$DJ$317))</f>
        <v>6</v>
      </c>
      <c r="AU70">
        <f>SUMPRODUCT(--('Данные 1st'!$S$2:$S$317=$A70),--ISNUMBER('Данные 1st'!$DL$2:$DL$317))</f>
        <v>6</v>
      </c>
      <c r="AV70">
        <f>SUMPRODUCT(--('Данные 1st'!$S$2:$S$317=$A70),--ISNUMBER('Данные 1st'!$DM$2:$DM$317))</f>
        <v>6</v>
      </c>
      <c r="AW70">
        <f>SUMPRODUCT(--('Данные 1st'!$S$2:$S$317=$A70),--ISNUMBER('Данные 1st'!$DN$2:$DN$317))</f>
        <v>6</v>
      </c>
      <c r="AX70">
        <f>SUMPRODUCT(--('Данные 1st'!$S$2:$S$317=$A70),--ISNUMBER('Данные 1st'!$DO$2:$DO$317))</f>
        <v>6</v>
      </c>
      <c r="AY70">
        <f>SUMPRODUCT(--('Данные 1st'!$S$2:$S$317=$A70),--ISNUMBER('Данные 1st'!$DP$2:$DP$317))</f>
        <v>6</v>
      </c>
      <c r="AZ70">
        <f>SUMPRODUCT(--('Данные 1st'!$S$2:$S$317=$A70),--ISNUMBER('Данные 1st'!$DR$2:$DR$317))</f>
        <v>0</v>
      </c>
      <c r="BA70">
        <f>SUMPRODUCT(--('Данные 1st'!$S$2:$S$317=$A70),--ISNUMBER('Данные 1st'!$DS$2:$DS$317))</f>
        <v>0</v>
      </c>
      <c r="BB70">
        <f>SUMPRODUCT(--('Данные 1st'!$S$2:$S$317=$A70),--ISNUMBER('Данные 1st'!$DT$2:$DT$317))</f>
        <v>0</v>
      </c>
      <c r="BC70">
        <f>SUMPRODUCT(--('Данные 1st'!$S$2:$S$317=$A70),--ISNUMBER('Данные 1st'!$DU$2:$DU$317))</f>
        <v>0</v>
      </c>
      <c r="BD70">
        <f>SUMPRODUCT(--('Данные 1st'!$S$2:$S$317=$A70),--ISNUMBER('Данные 1st'!$DV$2:$DV$317))</f>
        <v>0</v>
      </c>
      <c r="BE70">
        <f>SUMPRODUCT(--('Данные 1st'!$S$2:$S$317=$A70),--ISNUMBER('Данные 1st'!$DX$2:$DX$317))</f>
        <v>6</v>
      </c>
      <c r="BF70">
        <f>SUMPRODUCT(--('Данные 1st'!$S$2:$S$317=$A70),--ISNUMBER('Данные 1st'!$EA$2:$EA$317))</f>
        <v>6</v>
      </c>
      <c r="BG70">
        <f>SUMPRODUCT(--('Данные 1st'!$S$2:$S$317=$A70),--ISNUMBER('Данные 1st'!$EB$2:$EB$317))</f>
        <v>6</v>
      </c>
      <c r="BH70">
        <f>SUMPRODUCT(--('Данные 1st'!$S$2:$S$317=$A70),--ISNUMBER('Данные 1st'!$ED$2:$ED$317))</f>
        <v>6</v>
      </c>
      <c r="BI70">
        <f>SUMPRODUCT(--('Данные 1st'!$S$2:$S$317=$A70),--ISNUMBER('Данные 1st'!$EE$2:$EE$317))</f>
        <v>6</v>
      </c>
      <c r="BJ70">
        <f>SUMPRODUCT(--('Данные 1st'!$S$2:$S$317=$A70),--ISNUMBER('Данные 1st'!$EG$2:$EG$317))</f>
        <v>6</v>
      </c>
      <c r="BK70">
        <f>SUMPRODUCT(--('Данные 1st'!$S$2:$S$317=$A70),--ISNUMBER('Данные 1st'!$EH$2:$EH$317))</f>
        <v>6</v>
      </c>
      <c r="BL70">
        <f>SUMPRODUCT(--('Данные 1st'!$S$2:$S$317=$A70),--ISNUMBER('Данные 1st'!$EJ$2:$EJ$317))</f>
        <v>6</v>
      </c>
      <c r="BM70">
        <f>SUMPRODUCT(--('Данные 1st'!$S$2:$S$317=$A70),--ISNUMBER('Данные 1st'!$EK$2:$EK$317))</f>
        <v>6</v>
      </c>
      <c r="BN70">
        <f>SUMPRODUCT(--('Данные 1st'!$S$2:$S$317=$A70),--ISNUMBER('Данные 1st'!$EN$2:$EN$317))</f>
        <v>6</v>
      </c>
      <c r="BO70">
        <f>SUMPRODUCT(--('Данные 1st'!$S$2:$S$317=$A70),--ISNUMBER('Данные 1st'!$EQ$2:$EQ$317))</f>
        <v>6</v>
      </c>
      <c r="BP70">
        <f>SUMPRODUCT(--('Данные 1st'!$S$2:$S$317=$A70),--ISNUMBER('Данные 1st'!$ER$2:$ER$317))</f>
        <v>6</v>
      </c>
      <c r="BQ70">
        <f>SUMPRODUCT(--('Данные 1st'!$S$2:$S$317=$A70),--ISNUMBER('Данные 1st'!$ES$2:$ES$317))</f>
        <v>6</v>
      </c>
      <c r="BR70">
        <f>SUMPRODUCT(--('Данные 1st'!$S$2:$S$317=$A70),--ISNUMBER('Данные 1st'!$ET$2:$ET$317))</f>
        <v>6</v>
      </c>
      <c r="BS70">
        <f>SUMPRODUCT(--('Данные 1st'!$S$2:$S$317=$A70),--ISNUMBER('Данные 1st'!$EU$2:$EU$317))</f>
        <v>6</v>
      </c>
      <c r="BT70">
        <f>SUMPRODUCT(--('Данные 1st'!$S$2:$S$317=$A70),--ISNUMBER('Данные 1st'!$EV$2:$EV$317))</f>
        <v>6</v>
      </c>
      <c r="BU70">
        <f>SUMPRODUCT(--('Данные 1st'!$S$2:$S$317=$A70),--ISNUMBER('Данные 1st'!$EX$2:$EX$317))</f>
        <v>6</v>
      </c>
      <c r="BV70">
        <f>SUMPRODUCT(--('Данные 1st'!$S$2:$S$317=$A70),--ISNUMBER('Данные 1st'!$EY$2:$EY$317))</f>
        <v>6</v>
      </c>
      <c r="BW70">
        <f>SUMPRODUCT(--('Данные 1st'!$S$2:$S$317=$A70),--ISNUMBER('Данные 1st'!$EZ$2:$EZ$317))</f>
        <v>6</v>
      </c>
      <c r="BX70">
        <f>SUMPRODUCT(--('Данные 1st'!$S$2:$S$317=$A70),--ISNUMBER('Данные 1st'!$FA$2:$FA$317))</f>
        <v>6</v>
      </c>
      <c r="BY70">
        <f>SUMPRODUCT(--('Данные 1st'!$S$2:$S$317=$A70),--ISNUMBER('Данные 1st'!$FB$2:$FB$317))</f>
        <v>6</v>
      </c>
      <c r="BZ70">
        <f>SUMPRODUCT(--('Данные 1st'!$S$2:$S$317=$A70),--ISNUMBER('Данные 1st'!$FC$2:$FC$317))</f>
        <v>6</v>
      </c>
      <c r="CA70">
        <f>SUMPRODUCT(--('Данные 1st'!$S$2:$S$317=$A70),--ISNUMBER('Данные 1st'!$FE$2:$FE$317))</f>
        <v>6</v>
      </c>
      <c r="CB70">
        <f>SUMPRODUCT(--('Данные 1st'!$S$2:$S$317=$A70),--ISNUMBER('Данные 1st'!$FF$2:$FF$317))</f>
        <v>6</v>
      </c>
      <c r="CC70">
        <f>SUMPRODUCT(--('Данные 1st'!$S$2:$S$317=$A70),--ISNUMBER('Данные 1st'!$FI$2:$FI$317))</f>
        <v>6</v>
      </c>
      <c r="CD70">
        <f>SUMPRODUCT(--('Данные 1st'!$S$2:$S$317=$A70),--ISNUMBER('Данные 1st'!$FL$2:$FL$317))</f>
        <v>6</v>
      </c>
      <c r="CE70">
        <f>SUMPRODUCT(--('Данные 1st'!$S$2:$S$317=$A70),--ISNUMBER('Данные 1st'!$FM$2:$FM$317))</f>
        <v>6</v>
      </c>
      <c r="CF70">
        <f>SUMPRODUCT(--('Данные 1st'!$S$2:$S$317=$A70),--ISNUMBER('Данные 1st'!$FN$2:$FN$317))</f>
        <v>6</v>
      </c>
      <c r="CG70">
        <f>SUMPRODUCT(--('Данные 1st'!$S$2:$S$317=$A70),--ISNUMBER('Данные 1st'!$FO$2:$FO$317))</f>
        <v>6</v>
      </c>
      <c r="CH70">
        <f>SUMPRODUCT(--('Данные 1st'!$S$2:$S$317=$A70),--ISNUMBER('Данные 1st'!$FP$2:$FP$317))</f>
        <v>6</v>
      </c>
      <c r="CI70">
        <f>SUMPRODUCT(--('Данные 1st'!$S$2:$S$317=$A70),--ISNUMBER('Данные 1st'!$FS$2:$FS$317))</f>
        <v>1</v>
      </c>
      <c r="CJ70">
        <f>SUMPRODUCT(--('Данные 1st'!$S$2:$S$317=$A70),--ISNUMBER('Данные 1st'!$FT$2:$FT$317))</f>
        <v>1</v>
      </c>
      <c r="CK70">
        <f>SUMPRODUCT(--('Данные 1st'!$S$2:$S$317=$A70),--ISNUMBER('Данные 1st'!$FU$2:$FU$317))</f>
        <v>1</v>
      </c>
      <c r="CL70">
        <f>SUMPRODUCT(--('Данные 1st'!$S$2:$S$317=$A70),--ISNUMBER('Данные 1st'!$FV$2:$FV$317))</f>
        <v>0</v>
      </c>
      <c r="CM70">
        <f>SUMPRODUCT(--('Данные 1st'!$S$2:$S$317=$A70),--ISNUMBER('Данные 1st'!$FW$2:$FW$317))</f>
        <v>0</v>
      </c>
      <c r="CN70">
        <f>SUMPRODUCT(--('Данные 1st'!$S$2:$S$317=$A70),--ISNUMBER('Данные 1st'!$FZ$2:$FZ$317))</f>
        <v>0</v>
      </c>
      <c r="CO70">
        <f>SUMPRODUCT(--('Данные 1st'!$S$2:$S$317=$A70),--ISNUMBER('Данные 1st'!$GA$2:$GA$317))</f>
        <v>0</v>
      </c>
      <c r="CP70">
        <f>SUMPRODUCT(--('Данные 1st'!$S$2:$S$317=$A70),--ISNUMBER('Данные 1st'!$GB$2:$GB$317))</f>
        <v>0</v>
      </c>
      <c r="CQ70">
        <f>SUMPRODUCT(--('Данные 1st'!$S$2:$S$317=$A70),--ISNUMBER('Данные 1st'!$GH$2:$GH$317))</f>
        <v>0</v>
      </c>
      <c r="CR70">
        <f>SUMPRODUCT(--('Данные 1st'!$S$2:$S$317=$A70),--ISNUMBER('Данные 1st'!$GI$2:$GI$317))</f>
        <v>0</v>
      </c>
      <c r="CS70">
        <f>SUMPRODUCT(--('Данные 1st'!$S$2:$S$317=$A70),--ISNUMBER('Данные 1st'!$GJ$2:$GJ$317))</f>
        <v>0</v>
      </c>
      <c r="CT70">
        <f>SUMPRODUCT(--('Данные 1st'!$S$2:$S$317=$A70),--ISNUMBER('Данные 1st'!$GS$2:$GS$317))</f>
        <v>6</v>
      </c>
      <c r="CU70">
        <f>SUMPRODUCT(--('Данные 1st'!$S$2:$S$317=$A70),--ISNUMBER('Данные 1st'!$GT$2:$GT$317))</f>
        <v>6</v>
      </c>
      <c r="CV70">
        <f>SUMPRODUCT(--('Данные 1st'!$S$2:$S$317=$A70),--ISNUMBER('Данные 1st'!$GU$2:$GU$317))</f>
        <v>6</v>
      </c>
      <c r="CW70">
        <f>SUMPRODUCT(--('Данные 1st'!$S$2:$S$317=$A70),--ISNUMBER('Данные 1st'!$GV$2:$GV$317))</f>
        <v>4</v>
      </c>
      <c r="CX70">
        <f>SUMPRODUCT(--('Данные 1st'!$S$2:$S$317=$A70),--ISNUMBER('Данные 1st'!$GW$2:$GW$317))</f>
        <v>4</v>
      </c>
      <c r="CY70">
        <f>SUMPRODUCT(--('Данные 1st'!$S$2:$S$317=$A70),--ISNUMBER('Данные 1st'!$GZ$2:$GZ$317))</f>
        <v>0</v>
      </c>
      <c r="CZ70">
        <f>SUMPRODUCT(--('Данные 1st'!$S$2:$S$317=$A70),--ISNUMBER('Данные 1st'!$HA$2:$HA$317))</f>
        <v>0</v>
      </c>
      <c r="DA70">
        <f>SUMPRODUCT(--('Данные 1st'!$S$2:$S$317=$A70),--ISNUMBER('Данные 1st'!$HB$2:$HB$317))</f>
        <v>0</v>
      </c>
      <c r="DB70">
        <f>SUMPRODUCT(--('Данные 1st'!$S$2:$S$317=$A70),--ISNUMBER('Данные 1st'!$HC$2:$HC$317))</f>
        <v>6</v>
      </c>
      <c r="DC70">
        <f>SUMPRODUCT(--('Данные 1st'!$S$2:$S$317=$A70),--ISNUMBER('Данные 1st'!$HD$2:$HD$317))</f>
        <v>6</v>
      </c>
      <c r="DD70">
        <f>SUMPRODUCT(--('Данные 1st'!$S$2:$S$317=$A70),--ISNUMBER('Данные 1st'!$HE$2:$HE$317))</f>
        <v>6</v>
      </c>
      <c r="DE70">
        <f>SUMPRODUCT(--('Данные 1st'!$S$2:$S$317=$A70),--ISNUMBER('Данные 1st'!$HF$2:$HF$317))</f>
        <v>6</v>
      </c>
      <c r="DF70">
        <f>SUMPRODUCT(--('Данные 1st'!$S$2:$S$317=$A70),--ISNUMBER('Данные 1st'!$HG$2:$HG$317))</f>
        <v>6</v>
      </c>
      <c r="DG70">
        <f>SUMPRODUCT(--('Данные 1st'!$S$2:$S$317=$A70),--ISNUMBER('Данные 1st'!$HH$2:$HH$317))</f>
        <v>6</v>
      </c>
      <c r="DH70">
        <f>SUMPRODUCT(--('Данные 1st'!$S$2:$S$317=$A70),--ISNUMBER('Данные 1st'!$HI$2:$HI$317))</f>
        <v>6</v>
      </c>
      <c r="DI70">
        <f>SUMPRODUCT(--('Данные 1st'!$S$2:$S$317=$A70),--ISNUMBER('Данные 1st'!$HJ$2:$HJ$317))</f>
        <v>6</v>
      </c>
      <c r="DJ70">
        <f>SUMPRODUCT(--('Данные 1st'!$S$2:$S$317=$A70),--ISNUMBER('Данные 1st'!$HK$2:$HK$317))</f>
        <v>6</v>
      </c>
      <c r="DK70">
        <f>SUMPRODUCT(--('Данные 1st'!$S$2:$S$317=$A70),--ISNUMBER('Данные 1st'!$HL$2:$HL$317))</f>
        <v>6</v>
      </c>
      <c r="DL70">
        <f>SUMPRODUCT(--('Данные 1st'!$S$2:$S$317=$A70),--ISNUMBER('Данные 1st'!$HM$2:$HM$317))</f>
        <v>6</v>
      </c>
      <c r="DM70">
        <f>SUMPRODUCT(--('Данные 1st'!$S$2:$S$317=$A70),--ISNUMBER('Данные 1st'!$HN$2:$HN$317))</f>
        <v>6</v>
      </c>
      <c r="DN70">
        <f>SUMPRODUCT(--('Данные 1st'!$S$2:$S$317=$A70),--ISNUMBER('Данные 1st'!$HO$2:$HO$317))</f>
        <v>6</v>
      </c>
      <c r="DO70">
        <f>SUMPRODUCT(--('Данные 1st'!$S$2:$S$317=$A70),--ISNUMBER('Данные 1st'!$HP$2:$HP$317))</f>
        <v>6</v>
      </c>
      <c r="DP70">
        <f>SUMPRODUCT(--('Данные 1st'!$S$2:$S$317=$A70),--ISNUMBER('Данные 1st'!$HQ$2:$HQ$317))</f>
        <v>6</v>
      </c>
      <c r="DQ70">
        <f>SUMPRODUCT(--('Данные 1st'!$S$2:$S$317=$A70),--ISNUMBER('Данные 1st'!$HR$2:$HR$317))</f>
        <v>6</v>
      </c>
      <c r="DR70">
        <f>SUMPRODUCT(--('Данные 1st'!$S$2:$S$317=$A70),--ISNUMBER('Данные 1st'!$HS$2:$HS$317))</f>
        <v>6</v>
      </c>
      <c r="DS70">
        <f>SUMPRODUCT(--('Данные 1st'!$S$2:$S$317=$A70),--ISNUMBER('Данные 1st'!$HT$2:$HT$317))</f>
        <v>6</v>
      </c>
      <c r="DT70">
        <f>SUMPRODUCT(--('Данные 1st'!$S$2:$S$317=$A70),--ISNUMBER('Данные 1st'!$HU$2:$HU$317))</f>
        <v>6</v>
      </c>
      <c r="DU70">
        <f>SUMPRODUCT(--('Данные 1st'!$S$2:$S$317=$A70),--ISNUMBER('Данные 1st'!$HW$2:$HW$317))</f>
        <v>6</v>
      </c>
      <c r="DV70">
        <f>SUMPRODUCT(--('Данные 1st'!$S$2:$S$317=$A70),--ISNUMBER('Данные 1st'!$HX$2:$HX$317))</f>
        <v>6</v>
      </c>
      <c r="DW70">
        <f>SUMPRODUCT(--('Данные 1st'!$S$2:$S$317=$A70),--ISNUMBER('Данные 1st'!$HY$2:$HY$317))</f>
        <v>6</v>
      </c>
      <c r="DX70">
        <f>SUMPRODUCT(--('Данные 1st'!$S$2:$S$317=$A70),--ISNUMBER('Данные 1st'!$IA$2:$IA$317))</f>
        <v>6</v>
      </c>
      <c r="DY70">
        <f>SUMPRODUCT(--('Данные 1st'!$S$2:$S$317=$A70),--ISNUMBER('Данные 1st'!$IB$2:$IB$317))</f>
        <v>6</v>
      </c>
      <c r="DZ70">
        <f>SUMPRODUCT(--('Данные 1st'!$S$2:$S$317=$A70),--ISNUMBER('Данные 1st'!$IC$2:$IC$317))</f>
        <v>6</v>
      </c>
      <c r="EA70">
        <f>SUMPRODUCT(--('Данные 1st'!$S$2:$S$317=$A70),--ISNUMBER('Данные 1st'!$ID$2:$ID$317))</f>
        <v>6</v>
      </c>
      <c r="EB70">
        <f>SUMPRODUCT(--('Данные 1st'!$S$2:$S$317=$A70),--ISNUMBER('Данные 1st'!$IE$2:$IE$317))</f>
        <v>6</v>
      </c>
      <c r="EC70">
        <f>SUMPRODUCT(--('Данные 1st'!$S$2:$S$317=$A70),--ISNUMBER('Данные 1st'!$IF$2:$IF$317))</f>
        <v>6</v>
      </c>
      <c r="ED70">
        <f>SUMPRODUCT(--('Данные 1st'!$S$2:$S$317=$A70),--ISNUMBER('Данные 1st'!$IP$2:$IP$317))</f>
        <v>6</v>
      </c>
      <c r="EE70">
        <f>SUMPRODUCT(--('Данные 1st'!$S$2:$S$317=$A70),--ISNUMBER('Данные 1st'!$IV$2:$IV$317))</f>
        <v>6</v>
      </c>
      <c r="EF70">
        <f>SUMPRODUCT(--('Данные 1st'!$S$2:$S$317=$A70),--ISNUMBER('Данные 1st'!$IW$2:$IW$317))</f>
        <v>6</v>
      </c>
      <c r="EG70">
        <f>SUMPRODUCT(--('Данные 1st'!$S$2:$S$317=$A70),--ISNUMBER('Данные 1st'!$IX$2:$IX$317))</f>
        <v>0</v>
      </c>
      <c r="EH70">
        <f>SUMPRODUCT(--('Данные 1st'!$S$2:$S$317=$A70),--ISNUMBER('Данные 1st'!$IY$2:$IY$317))</f>
        <v>0</v>
      </c>
      <c r="EI70">
        <f>SUMPRODUCT(--('Данные 1st'!$S$2:$S$317=$A70),--ISNUMBER('Данные 1st'!$JD$2:$JD$317))</f>
        <v>6</v>
      </c>
      <c r="EJ70">
        <f>SUMPRODUCT(--('Данные 1st'!$S$2:$S$317=$A70),--ISNUMBER('Данные 1st'!$JE$2:$JE$317))</f>
        <v>6</v>
      </c>
      <c r="EK70">
        <f>SUMPRODUCT(--('Данные 1st'!$S$2:$S$317=$A70),--ISNUMBER('Данные 1st'!$JF$2:$JF$317))</f>
        <v>6</v>
      </c>
      <c r="EL70">
        <f>SUMPRODUCT(--('Данные 1st'!$S$2:$S$317=$A70),--ISNUMBER('Данные 1st'!$JG$2:$JG$317))</f>
        <v>6</v>
      </c>
      <c r="EM70">
        <f>SUMPRODUCT(--('Данные 1st'!$S$2:$S$317=$A70),--ISNUMBER('Данные 1st'!$JH$2:$JH$317))</f>
        <v>6</v>
      </c>
      <c r="EN70">
        <f>SUMPRODUCT(--('Данные 1st'!$S$2:$S$317=$A70),--ISNUMBER('Данные 1st'!$JJ$2:$JJ$317))</f>
        <v>6</v>
      </c>
      <c r="EO70">
        <f>SUMPRODUCT(--('Данные 1st'!$S$2:$S$317=$A70),--ISNUMBER('Данные 1st'!$JK$2:$JK$317))</f>
        <v>6</v>
      </c>
      <c r="EP70">
        <f>SUMPRODUCT(--('Данные 1st'!$S$2:$S$317=$A70),--ISNUMBER('Данные 1st'!$JL$2:$JL$317))</f>
        <v>0</v>
      </c>
      <c r="EQ70">
        <f>SUMPRODUCT(--('Данные 1st'!$S$2:$S$317=$A70),--ISNUMBER('Данные 1st'!$JM$2:$JM$317))</f>
        <v>0</v>
      </c>
      <c r="ER70">
        <f>SUMPRODUCT(--('Данные 1st'!$S$2:$S$317=$A70),--ISNUMBER('Данные 1st'!$JN$2:$JN$317))</f>
        <v>6</v>
      </c>
      <c r="ES70">
        <f>SUMPRODUCT(--('Данные 1st'!$S$2:$S$317=$A70),--ISNUMBER('Данные 1st'!$JO$2:$JO$317))</f>
        <v>6</v>
      </c>
      <c r="ET70">
        <f>SUMPRODUCT(--('Данные 1st'!$S$2:$S$317=$A70),--ISNUMBER('Данные 1st'!$JP$2:$JP$317))</f>
        <v>6</v>
      </c>
      <c r="EU70">
        <f>SUMPRODUCT(--('Данные 1st'!$S$2:$S$317=$A70),--ISNUMBER('Данные 1st'!$JQ$2:$JQ$317))</f>
        <v>6</v>
      </c>
      <c r="EV70">
        <f>SUMPRODUCT(--('Данные 1st'!$S$2:$S$317=$A70),--ISNUMBER('Данные 1st'!$JR$2:$JR$317))</f>
        <v>6</v>
      </c>
      <c r="EW70">
        <f>SUMPRODUCT(--('Данные 1st'!$S$2:$S$317=$A70),--ISNUMBER('Данные 1st'!$JS$2:$JS$317))</f>
        <v>6</v>
      </c>
      <c r="EX70">
        <f>SUMPRODUCT(--('Данные 1st'!$S$2:$S$317=$A70),--ISNUMBER('Данные 1st'!$JT$2:$JT$317))</f>
        <v>0</v>
      </c>
      <c r="EY70">
        <f>SUMPRODUCT(--('Данные 1st'!$S$2:$S$317=$A70),--ISNUMBER('Данные 1st'!$JU$2:$JU$317))</f>
        <v>0</v>
      </c>
      <c r="EZ70">
        <f>SUMPRODUCT(--('Данные 1st'!$S$2:$S$317=$A70),--ISNUMBER('Данные 1st'!$JV$2:$JV$317))</f>
        <v>6</v>
      </c>
      <c r="FA70">
        <f>SUMPRODUCT(--('Данные 1st'!$S$2:$S$317=$A70),--ISNUMBER('Данные 1st'!$JW$2:$JW$317))</f>
        <v>0</v>
      </c>
      <c r="FB70">
        <f>SUMPRODUCT(--('Данные 1st'!$S$2:$S$317=$A70),--ISNUMBER('Данные 1st'!$JX$2:$JX$317))</f>
        <v>6</v>
      </c>
      <c r="FC70">
        <f>SUMPRODUCT(--('Данные 1st'!$S$2:$S$317=$A70),--ISNUMBER('Данные 1st'!$JY$2:$JY$317))</f>
        <v>0</v>
      </c>
      <c r="FD70">
        <f>SUMPRODUCT(--('Данные 1st'!$S$2:$S$317=$A70),--ISNUMBER('Данные 1st'!$JZ$2:$JZ$317))</f>
        <v>0</v>
      </c>
      <c r="FE70">
        <f>SUMPRODUCT(--('Данные 1st'!$S$2:$S$317=$A70),--ISNUMBER('Данные 1st'!$KA$2:$KA$317))</f>
        <v>6</v>
      </c>
      <c r="FF70">
        <f>SUMPRODUCT(--('Данные 1st'!$S$2:$S$317=$A70),--ISNUMBER('Данные 1st'!$KB$2:$KB$317))</f>
        <v>6</v>
      </c>
      <c r="FG70">
        <f>SUMPRODUCT(--('Данные 1st'!$S$2:$S$317=$A70),--ISNUMBER('Данные 1st'!$KC$2:$KC$317))</f>
        <v>6</v>
      </c>
      <c r="FH70">
        <f>SUMPRODUCT(--('Данные 1st'!$S$2:$S$317=$A70),--ISNUMBER('Данные 1st'!$KD$2:$KD$317))</f>
        <v>6</v>
      </c>
      <c r="FI70">
        <f>SUMPRODUCT(--('Данные 1st'!$S$2:$S$317=$A70),--ISNUMBER('Данные 1st'!$KE$2:$KE$317))</f>
        <v>0</v>
      </c>
      <c r="FJ70">
        <f>SUMPRODUCT(--('Данные 1st'!$S$2:$S$317=$A70),--ISNUMBER('Данные 1st'!$KF$2:$KF$317))</f>
        <v>6</v>
      </c>
      <c r="FK70">
        <f>SUMPRODUCT(--('Данные 1st'!$S$2:$S$317=$A70),--ISNUMBER('Данные 1st'!$KG$2:$KG$317))</f>
        <v>6</v>
      </c>
      <c r="FL70">
        <f>SUMPRODUCT(--('Данные 1st'!$S$2:$S$317=$A70),--ISNUMBER('Данные 1st'!$KH$2:$KH$317))</f>
        <v>6</v>
      </c>
      <c r="FM70">
        <f>SUMPRODUCT(--('Данные 1st'!$S$2:$S$317=$A70),--ISNUMBER('Данные 1st'!$KI$2:$KI$317))</f>
        <v>6</v>
      </c>
      <c r="FN70">
        <f>SUMPRODUCT(--('Данные 1st'!$S$2:$S$317=$A70),--ISNUMBER('Данные 1st'!$KJ$2:$KJ$317))</f>
        <v>6</v>
      </c>
      <c r="FO70">
        <f>SUMPRODUCT(--('Данные 1st'!$S$2:$S$317=$A70),--ISNUMBER('Данные 1st'!$KK$2:$KK$317))</f>
        <v>6</v>
      </c>
      <c r="FP70">
        <f>SUMPRODUCT(--('Данные 1st'!$S$2:$S$317=$A70),--ISNUMBER('Данные 1st'!$KL$2:$KL$317))</f>
        <v>6</v>
      </c>
      <c r="FQ70">
        <f>SUMPRODUCT(--('Данные 1st'!$S$2:$S$317=$A70),--ISNUMBER('Данные 1st'!$KM$2:$KM$317))</f>
        <v>6</v>
      </c>
      <c r="FR70">
        <f>SUMPRODUCT(--('Данные 1st'!$S$2:$S$317=$A70),--ISNUMBER('Данные 1st'!$KN$2:$KN$317))</f>
        <v>6</v>
      </c>
      <c r="FS70">
        <f>SUMPRODUCT(--('Данные 1st'!$S$2:$S$317=$A70),--ISNUMBER('Данные 1st'!$KR$2:$KR$317))</f>
        <v>6</v>
      </c>
      <c r="FT70">
        <f>SUMPRODUCT(--('Данные 1st'!$S$2:$S$317=$A70),--ISNUMBER('Данные 1st'!$KS$2:$KS$317))</f>
        <v>6</v>
      </c>
      <c r="FU70">
        <f>SUMPRODUCT(--('Данные 1st'!$S$2:$S$317=$A70),--ISNUMBER('Данные 1st'!$KT$2:$KT$317))</f>
        <v>6</v>
      </c>
      <c r="FV70">
        <f>SUMPRODUCT(--('Данные 1st'!$S$2:$S$317=$A70),--ISNUMBER('Данные 1st'!$KV$2:$KV$317))</f>
        <v>0</v>
      </c>
      <c r="FW70">
        <f>SUMPRODUCT(--('Данные 1st'!$S$2:$S$317=$A70),--ISNUMBER('Данные 1st'!$KW$2:$KW$317))</f>
        <v>0</v>
      </c>
      <c r="FX70">
        <f>SUMPRODUCT(--('Данные 1st'!$S$2:$S$317=$A70),--ISNUMBER('Данные 1st'!$KX$2:$KX$317))</f>
        <v>0</v>
      </c>
      <c r="FY70">
        <f>SUMPRODUCT(--('Данные 1st'!$S$2:$S$317=$A70),--ISNUMBER('Данные 1st'!$KY$2:$KY$317))</f>
        <v>0</v>
      </c>
      <c r="FZ70">
        <f>SUMPRODUCT(--('Данные 1st'!$S$2:$S$317=$A70),--ISNUMBER('Данные 1st'!$KZ$2:$KZ$317))</f>
        <v>0</v>
      </c>
      <c r="GA70">
        <f>SUMPRODUCT(--('Данные 1st'!$S$2:$S$317=$A70),--ISNUMBER('Данные 1st'!$LA$2:$LA$317))</f>
        <v>0</v>
      </c>
      <c r="GB70">
        <f>SUMPRODUCT(--('Данные 1st'!$S$2:$S$317=$A70),--ISNUMBER('Данные 1st'!$LB$2:$LB$317))</f>
        <v>0</v>
      </c>
      <c r="GC70">
        <f>SUMPRODUCT(--('Данные 1st'!$S$2:$S$317=$A70),--ISNUMBER('Данные 1st'!$LC$2:$LC$317))</f>
        <v>0</v>
      </c>
      <c r="GD70">
        <f>SUMPRODUCT(--('Данные 1st'!$S$2:$S$317=$A70),--ISNUMBER('Данные 1st'!$LD$2:$LD$317))</f>
        <v>0</v>
      </c>
      <c r="GE70">
        <f>SUMPRODUCT(--('Данные 1st'!$S$2:$S$317=$A70),--ISNUMBER('Данные 1st'!$LE$2:$LE$317))</f>
        <v>0</v>
      </c>
      <c r="GF70">
        <f>SUMPRODUCT(--('Данные 1st'!$S$2:$S$317=$A70),--ISNUMBER('Данные 1st'!$LF$2:$LF$317))</f>
        <v>0</v>
      </c>
      <c r="GG70">
        <f>SUMPRODUCT(--('Данные 1st'!$S$2:$S$317=$A70),--ISNUMBER('Данные 1st'!$LG$2:$LG$317))</f>
        <v>0</v>
      </c>
      <c r="GH70">
        <f>SUMPRODUCT(--('Данные 1st'!$S$2:$S$317=$A70),--ISNUMBER('Данные 1st'!$LH$2:$LH$317))</f>
        <v>0</v>
      </c>
      <c r="GI70">
        <f>SUMPRODUCT(--('Данные 1st'!$S$2:$S$317=$A70),--ISNUMBER('Данные 1st'!$LI$2:$LI$317))</f>
        <v>0</v>
      </c>
      <c r="GJ70">
        <f>SUMPRODUCT(--('Данные 1st'!$S$2:$S$317=$A70),--ISNUMBER('Данные 1st'!$LJ$2:$LJ$317))</f>
        <v>0</v>
      </c>
      <c r="GK70">
        <f>SUMPRODUCT(--('Данные 1st'!$S$2:$S$317=$A70),--ISNUMBER('Данные 1st'!$LK$2:$LK$317))</f>
        <v>6</v>
      </c>
      <c r="GL70">
        <f>SUMPRODUCT(--('Данные 1st'!$S$2:$S$317=$A70),--ISNUMBER('Данные 1st'!$LV$2:$LV$317))</f>
        <v>0</v>
      </c>
      <c r="GM70">
        <f>SUMPRODUCT(--('Данные 1st'!$S$2:$S$317=$A70),--ISNUMBER('Данные 1st'!$LW$2:$LW$317))</f>
        <v>0</v>
      </c>
      <c r="GN70">
        <f>SUMPRODUCT(--('Данные 1st'!$S$2:$S$317=$A70),--ISNUMBER('Данные 1st'!$LX$2:$LX$317))</f>
        <v>0</v>
      </c>
      <c r="GO70">
        <f>SUMPRODUCT(--('Данные 1st'!$S$2:$S$317=$A70),--ISNUMBER('Данные 1st'!$LY$2:$LY$317))</f>
        <v>0</v>
      </c>
      <c r="GP70">
        <f>SUMPRODUCT(--('Данные 1st'!$S$2:$S$317=$A70),--ISNUMBER('Данные 1st'!$LZ$2:$LZ$317))</f>
        <v>0</v>
      </c>
      <c r="GQ70">
        <f>SUMPRODUCT(--('Данные 1st'!$S$2:$S$317=$A70),--ISNUMBER('Данные 1st'!$PG$2:$PG$317))</f>
        <v>6</v>
      </c>
      <c r="GR70">
        <f>SUMPRODUCT(--('Данные 1st'!$S$2:$S$317=$A70),--ISNUMBER('Данные 1st'!$PX$2:$PX$317))</f>
        <v>6</v>
      </c>
      <c r="GS70">
        <f>SUMPRODUCT(--('Данные 1st'!$S$2:$S$317=$A70),--ISNUMBER('Данные 1st'!$PY$2:$PY$317))</f>
        <v>6</v>
      </c>
      <c r="GT70">
        <f>SUMPRODUCT(--('Данные 1st'!$S$2:$S$317=$A70),--ISNUMBER('Данные 1st'!$QA$2:$QA$317))</f>
        <v>6</v>
      </c>
      <c r="GU70">
        <f>SUMPRODUCT(--('Данные 1st'!$S$2:$S$317=$A70),--ISNUMBER('Данные 1st'!$QB$2:$QB$317))</f>
        <v>6</v>
      </c>
      <c r="GV70">
        <f>SUMPRODUCT(--('Данные 1st'!$S$2:$S$317=$A70),--ISNUMBER('Данные 1st'!$QC$2:$QC$317))</f>
        <v>6</v>
      </c>
      <c r="GW70">
        <f>SUMPRODUCT(--('Данные 1st'!$S$2:$S$317=$A70),--ISNUMBER('Данные 1st'!$QD$2:$QD$317))</f>
        <v>6</v>
      </c>
      <c r="GX70">
        <f>SUMPRODUCT(--('Данные 1st'!$S$2:$S$317=$A70),--ISNUMBER('Данные 1st'!$QF$2:$QF$317))</f>
        <v>6</v>
      </c>
      <c r="GY70">
        <f>SUMPRODUCT(--('Данные 1st'!$S$2:$S$317=$A70),--ISNUMBER('Данные 1st'!$QG$2:$QG$317))</f>
        <v>6</v>
      </c>
      <c r="GZ70">
        <f>SUMPRODUCT(--('Данные 1st'!$S$2:$S$317=$A70),--ISNUMBER('Данные 1st'!$QH$2:$QH$317))</f>
        <v>6</v>
      </c>
      <c r="HA70">
        <f>SUMPRODUCT(--('Данные 1st'!$S$2:$S$317=$A70),--ISNUMBER('Данные 1st'!$QI$2:$QI$317))</f>
        <v>6</v>
      </c>
      <c r="HB70">
        <f>SUMPRODUCT(--('Данные 1st'!$S$2:$S$317=$A70),--ISNUMBER('Данные 1st'!$QK$2:$QK$317))</f>
        <v>6</v>
      </c>
      <c r="HC70">
        <f>SUMPRODUCT(--('Данные 1st'!$S$2:$S$317=$A70),--ISNUMBER('Данные 1st'!$QL$2:$QL$317))</f>
        <v>6</v>
      </c>
      <c r="HD70">
        <f>SUMPRODUCT(--('Данные 1st'!$S$2:$S$317=$A70),--ISNUMBER('Данные 1st'!$QM$2:$QM$317))</f>
        <v>6</v>
      </c>
      <c r="HE70">
        <f>SUMPRODUCT(--('Данные 1st'!$S$2:$S$317=$A70),--ISNUMBER('Данные 1st'!$QN$2:$QN$317))</f>
        <v>6</v>
      </c>
      <c r="HF70">
        <f>SUMPRODUCT(--('Данные 1st'!$S$2:$S$317=$A70),--ISNUMBER('Данные 1st'!$QP$2:$QP$317))</f>
        <v>6</v>
      </c>
      <c r="HG70">
        <f>SUMPRODUCT(--('Данные 1st'!$S$2:$S$317=$A70),--ISNUMBER('Данные 1st'!$QQ$2:$QQ$317))</f>
        <v>6</v>
      </c>
      <c r="HH70">
        <f>SUMPRODUCT(--('Данные 1st'!$S$2:$S$317=$A70),--ISNUMBER('Данные 1st'!$QR$2:$QR$317))</f>
        <v>6</v>
      </c>
      <c r="HI70">
        <f>SUMPRODUCT(--('Данные 1st'!$S$2:$S$317=$A70),--ISNUMBER('Данные 1st'!$QS$2:$QS$317))</f>
        <v>6</v>
      </c>
      <c r="HJ70">
        <f>SUMPRODUCT(--('Данные 1st'!$S$2:$S$317=$A70),--ISNUMBER('Данные 1st'!$QU$2:$QU$317))</f>
        <v>6</v>
      </c>
      <c r="HK70">
        <f>SUMPRODUCT(--('Данные 1st'!$S$2:$S$317=$A70),--ISNUMBER('Данные 1st'!$QV$2:$QV$317))</f>
        <v>6</v>
      </c>
      <c r="HL70">
        <f>SUMPRODUCT(--('Данные 1st'!$S$2:$S$317=$A70),--ISNUMBER('Данные 1st'!$QW$2:$QW$317))</f>
        <v>6</v>
      </c>
      <c r="HM70">
        <f>SUMPRODUCT(--('Данные 1st'!$S$2:$S$317=$A70),--ISNUMBER('Данные 1st'!$QX$2:$QX$317))</f>
        <v>0</v>
      </c>
      <c r="HN70">
        <f>SUMPRODUCT(--('Данные 1st'!$S$2:$S$317=$A70),--ISNUMBER('Данные 1st'!$QZ$2:$QZ$317))</f>
        <v>6</v>
      </c>
      <c r="HO70">
        <f>SUMPRODUCT(--('Данные 1st'!$S$2:$S$317=$A70),--ISNUMBER('Данные 1st'!$RA$2:$RA$317))</f>
        <v>6</v>
      </c>
      <c r="HP70">
        <f>SUMPRODUCT(--('Данные 1st'!$S$2:$S$317=$A70),--ISNUMBER('Данные 1st'!$RB$2:$RB$317))</f>
        <v>6</v>
      </c>
      <c r="HQ70">
        <f>SUMPRODUCT(--('Данные 1st'!$S$2:$S$317=$A70),--ISNUMBER('Данные 1st'!$RD$2:$RD$317))</f>
        <v>0</v>
      </c>
      <c r="HR70">
        <f>SUMPRODUCT(--('Данные 1st'!$S$2:$S$317=$A70),--ISNUMBER('Данные 1st'!$RE$2:$RE$317))</f>
        <v>6</v>
      </c>
      <c r="HS70">
        <f>SUMPRODUCT(--('Данные 1st'!$S$2:$S$317=$A70),--ISNUMBER('Данные 1st'!$RF$2:$RF$317))</f>
        <v>6</v>
      </c>
      <c r="HT70">
        <f>SUMPRODUCT(--('Данные 1st'!$S$2:$S$317=$A70),--ISNUMBER('Данные 1st'!$RG$2:$RG$317))</f>
        <v>0</v>
      </c>
      <c r="HU70">
        <f>SUMPRODUCT(--('Данные 1st'!$S$2:$S$317=$A70),--ISNUMBER('Данные 1st'!$RH$2:$RH$317))</f>
        <v>6</v>
      </c>
      <c r="HV70">
        <f>SUMPRODUCT(--('Данные 1st'!$S$2:$S$317=$A70),--ISNUMBER('Данные 1st'!$RI$2:$RI$317))</f>
        <v>0</v>
      </c>
      <c r="HW70">
        <f>SUMPRODUCT(--('Данные 1st'!$S$2:$S$317=$A70),--ISNUMBER('Данные 1st'!$RJ$2:$RJ$317))</f>
        <v>6</v>
      </c>
      <c r="HX70">
        <f>SUMPRODUCT(--('Данные 1st'!$S$2:$S$317=$A70),--ISNUMBER('Данные 1st'!$RK$2:$RK$317))</f>
        <v>6</v>
      </c>
      <c r="HY70">
        <f>SUMPRODUCT(--('Данные 1st'!$S$2:$S$317=$A70),--ISNUMBER('Данные 1st'!$RL$2:$RL$317))</f>
        <v>6</v>
      </c>
      <c r="HZ70">
        <f>SUMPRODUCT(--('Данные 1st'!$S$2:$S$317=$A70),--ISNUMBER('Данные 1st'!$RM$2:$RM$317))</f>
        <v>6</v>
      </c>
      <c r="IA70">
        <f>SUMPRODUCT(--('Данные 1st'!$S$2:$S$317=$A70),--ISNUMBER('Данные 1st'!$RN$2:$RN$317))</f>
        <v>0</v>
      </c>
      <c r="IB70">
        <f>SUMPRODUCT(--('Данные 1st'!$S$2:$S$317=$A70),--ISNUMBER('Данные 1st'!$RO$2:$RO$317))</f>
        <v>6</v>
      </c>
      <c r="IC70">
        <f>SUMPRODUCT(--('Данные 1st'!$S$2:$S$317=$A70),--ISNUMBER('Данные 1st'!$RP$2:$RP$317))</f>
        <v>6</v>
      </c>
      <c r="ID70">
        <f>SUMPRODUCT(--('Данные 1st'!$S$2:$S$317=$A70),--ISNUMBER('Данные 1st'!$RQ$2:$RQ$317))</f>
        <v>6</v>
      </c>
      <c r="IE70">
        <f>SUMPRODUCT(--('Данные 1st'!$S$2:$S$317=$A70),--ISNUMBER('Данные 1st'!$RR$2:$RR$317))</f>
        <v>6</v>
      </c>
      <c r="IF70">
        <f>SUMPRODUCT(--('Данные 1st'!$S$2:$S$317=$A70),--ISNUMBER('Данные 1st'!$RS$2:$RS$317))</f>
        <v>0</v>
      </c>
      <c r="IG70">
        <f>SUMPRODUCT(--('Данные 1st'!$S$2:$S$317=$A70),--ISNUMBER('Данные 1st'!$RT$2:$RT$317))</f>
        <v>6</v>
      </c>
      <c r="IH70">
        <f>SUMPRODUCT(--('Данные 1st'!$S$2:$S$317=$A70),--ISNUMBER('Данные 1st'!$RU$2:$RU$317))</f>
        <v>6</v>
      </c>
      <c r="II70">
        <f>SUMPRODUCT(--('Данные 1st'!$S$2:$S$317=$A70),--ISNUMBER('Данные 1st'!$RX$2:$RX$317))</f>
        <v>6</v>
      </c>
      <c r="IJ70">
        <f>SUMPRODUCT(--('Данные 1st'!$S$2:$S$317=$A70),--ISNUMBER('Данные 1st'!$RY$2:$RY$317))</f>
        <v>6</v>
      </c>
      <c r="IK70">
        <f>SUMPRODUCT(--('Данные 1st'!$S$2:$S$317=$A70),--ISNUMBER('Данные 1st'!$SA$2:$SA$317))</f>
        <v>6</v>
      </c>
      <c r="IL70">
        <f>SUMPRODUCT(--('Данные 1st'!$S$2:$S$317=$A70),--ISNUMBER('Данные 1st'!$SD$2:$SD$317))</f>
        <v>6</v>
      </c>
      <c r="IM70">
        <f>SUMPRODUCT(--('Данные 1st'!$S$2:$S$317=$A70),--ISNUMBER('Данные 1st'!$SG$2:$SG$317))</f>
        <v>6</v>
      </c>
      <c r="IN70">
        <f>SUMPRODUCT(--('Данные 1st'!$S$2:$S$317=$A70),--ISNUMBER('Данные 1st'!$SH$2:$SH$317))</f>
        <v>6</v>
      </c>
      <c r="IO70">
        <f>SUMPRODUCT(--('Данные 1st'!$S$2:$S$317=$A70),--ISNUMBER('Данные 1st'!$SI$2:$SI$317))</f>
        <v>6</v>
      </c>
      <c r="IP70">
        <f>SUMPRODUCT(--('Данные 1st'!$S$2:$S$317=$A70),--ISNUMBER('Данные 1st'!$SJ$2:$SJ$317))</f>
        <v>6</v>
      </c>
      <c r="IQ70">
        <f>SUMPRODUCT(--('Данные 1st'!$S$2:$S$317=$A70),--ISNUMBER('Данные 1st'!$SK$2:$SK$317))</f>
        <v>6</v>
      </c>
      <c r="IR70">
        <f>SUMPRODUCT(--('Данные 1st'!$S$2:$S$317=$A70),--ISNUMBER('Данные 1st'!$SL$2:$SL$317))</f>
        <v>6</v>
      </c>
      <c r="IS70">
        <f>SUMPRODUCT(--('Данные 1st'!$S$2:$S$317=$A70),--ISNUMBER('Данные 1st'!$SM$2:$SM$317))</f>
        <v>6</v>
      </c>
      <c r="IT70">
        <f>SUMPRODUCT(--('Данные 1st'!$S$2:$S$317=$A70),--ISNUMBER('Данные 1st'!$SN$2:$SN$317))</f>
        <v>6</v>
      </c>
      <c r="IU70">
        <f>SUMPRODUCT(--('Данные 1st'!$S$2:$S$317=$A70),--ISNUMBER('Данные 1st'!$SO$2:$SO$317))</f>
        <v>6</v>
      </c>
      <c r="IV70">
        <f>SUMPRODUCT(--('Данные 1st'!$S$2:$S$317=$A70),--ISNUMBER('Данные 1st'!$SP$2:$SP$317))</f>
        <v>6</v>
      </c>
      <c r="IW70">
        <f>SUMPRODUCT(--('Данные 1st'!$S$2:$S$317=$A70),--ISNUMBER('Данные 1st'!$SQ$2:$SQ$317))</f>
        <v>6</v>
      </c>
      <c r="IX70">
        <f>SUMPRODUCT(--('Данные 1st'!$S$2:$S$317=$A70),--ISNUMBER('Данные 1st'!$SR$2:$SR$317))</f>
        <v>6</v>
      </c>
      <c r="IY70">
        <f>SUMPRODUCT(--('Данные 1st'!$S$2:$S$317=$A70),--ISNUMBER('Данные 1st'!$SS$2:$SS$317))</f>
        <v>6</v>
      </c>
      <c r="IZ70">
        <f>SUMPRODUCT(--('Данные 1st'!$S$2:$S$317=$A70),--ISNUMBER('Данные 1st'!$ST$2:$ST$317))</f>
        <v>6</v>
      </c>
      <c r="JA70">
        <f>SUMPRODUCT(--('Данные 1st'!$S$2:$S$317=$A70),--ISNUMBER('Данные 1st'!$SU$2:$SU$317))</f>
        <v>6</v>
      </c>
      <c r="JB70">
        <f>SUMPRODUCT(--('Данные 1st'!$S$2:$S$317=$A70),--ISNUMBER('Данные 1st'!$SV$2:$SV$317))</f>
        <v>6</v>
      </c>
      <c r="JC70">
        <f>SUMPRODUCT(--('Данные 1st'!$S$2:$S$317=$A70),--ISNUMBER('Данные 1st'!$SW$2:$SW$317))</f>
        <v>6</v>
      </c>
      <c r="JD70">
        <f>SUMPRODUCT(--('Данные 1st'!$S$2:$S$317=$A70),--ISNUMBER('Данные 1st'!$SX$2:$SX$317))</f>
        <v>6</v>
      </c>
      <c r="JE70">
        <f>SUMPRODUCT(--('Данные 1st'!$S$2:$S$317=$A70),--ISNUMBER('Данные 1st'!$SY$2:$SY$317))</f>
        <v>6</v>
      </c>
      <c r="JF70">
        <f>SUMPRODUCT(--('Данные 1st'!$S$2:$S$317=$A70),--ISNUMBER('Данные 1st'!$SZ$2:$SZ$317))</f>
        <v>6</v>
      </c>
      <c r="JG70">
        <f>SUMPRODUCT(--('Данные 1st'!$S$2:$S$317=$A70),--ISNUMBER('Данные 1st'!$TA$2:$TA$317))</f>
        <v>0</v>
      </c>
      <c r="JH70">
        <f>SUMPRODUCT(--('Данные 1st'!$S$2:$S$317=$A70),--ISNUMBER('Данные 1st'!$TB$2:$TB$317))</f>
        <v>6</v>
      </c>
      <c r="JI70">
        <f>SUMPRODUCT(--('Данные 1st'!$S$2:$S$317=$A70),--ISNUMBER('Данные 1st'!$TC$2:$TC$317))</f>
        <v>6</v>
      </c>
      <c r="JJ70">
        <f>SUMPRODUCT(--('Данные 1st'!$S$2:$S$317=$A70),--ISNUMBER('Данные 1st'!$TD$2:$TD$317))</f>
        <v>6</v>
      </c>
      <c r="JK70">
        <f>SUMPRODUCT(--('Данные 1st'!$S$2:$S$317=$A70),--ISNUMBER('Данные 1st'!$TN$2:$TN$317))</f>
        <v>6</v>
      </c>
      <c r="JQ70">
        <f>SUMPRODUCT(--('Данные 2st'!$Q$2:$Q$317=$A70),--ISNUMBER('Данные 2st'!$AC$2:$AC$317))</f>
        <v>6</v>
      </c>
      <c r="JR70">
        <f>SUMPRODUCT(--('Данные 2st'!$Q$2:$Q$317=$A70),--ISNUMBER('Данные 2st'!$AF$2:$AF$317))</f>
        <v>6</v>
      </c>
      <c r="JS70">
        <f>SUMPRODUCT(--('Данные 2st'!$Q$2:$Q$317=$A70),--ISNUMBER('Данные 2st'!$AW$2:$AW$317))</f>
        <v>6</v>
      </c>
      <c r="JT70">
        <f>SUMPRODUCT(--('Данные 2st'!$Q$2:$Q$317=$A70),--ISNUMBER('Данные 2st'!$AX$2:$AX$317))</f>
        <v>6</v>
      </c>
      <c r="JU70">
        <f>SUMPRODUCT(--('Данные 2st'!$Q$2:$Q$317=$A70),--ISNUMBER('Данные 2st'!$AY$2:$AY$317))</f>
        <v>6</v>
      </c>
      <c r="JV70">
        <f>SUMPRODUCT(--('Данные 2st'!$Q$2:$Q$317=$A70),--ISNUMBER('Данные 2st'!$AZ$2:$AZ$317))</f>
        <v>6</v>
      </c>
      <c r="JW70">
        <f>SUMPRODUCT(--('Данные 2st'!$Q$2:$Q$317=$A70),--ISNUMBER('Данные 2st'!$BA$2:$BA$317))</f>
        <v>0</v>
      </c>
      <c r="JX70">
        <f>SUMPRODUCT(--('Данные 2st'!$Q$2:$Q$317=$A70),--ISNUMBER('Данные 2st'!$BB$2:$BB$317))</f>
        <v>0</v>
      </c>
      <c r="JY70">
        <f>SUMPRODUCT(--('Данные 2st'!$Q$2:$Q$317=$A70),--ISNUMBER('Данные 2st'!$BC$2:$BC$317))</f>
        <v>0</v>
      </c>
      <c r="JZ70">
        <f>SUMPRODUCT(--('Данные 2st'!$Q$2:$Q$317=$A70),--ISNUMBER('Данные 2st'!$BH$2:$BH$317))</f>
        <v>6</v>
      </c>
      <c r="KA70">
        <f>SUMPRODUCT(--('Данные 2st'!$Q$2:$Q$317=$A70),--ISNUMBER('Данные 2st'!$BI$2:$BI$317))</f>
        <v>6</v>
      </c>
      <c r="KB70">
        <f>SUMPRODUCT(--('Данные 2st'!$Q$2:$Q$317=$A70),--ISNUMBER('Данные 2st'!$BJ$2:$BJ$317))</f>
        <v>6</v>
      </c>
      <c r="KC70">
        <f>SUMPRODUCT(--('Данные 2st'!$Q$2:$Q$317=$A70),--ISNUMBER('Данные 2st'!$BK$2:$BK$317))</f>
        <v>6</v>
      </c>
      <c r="KD70">
        <f>SUMPRODUCT(--('Данные 2st'!$Q$2:$Q$317=$A70),--ISNUMBER('Данные 2st'!$BL$2:$BL$317))</f>
        <v>6</v>
      </c>
      <c r="KE70">
        <f>SUMPRODUCT(--('Данные 2st'!$Q$2:$Q$317=$A70),--ISNUMBER('Данные 2st'!$BM$2:$BM$317))</f>
        <v>6</v>
      </c>
      <c r="KF70">
        <f>SUMPRODUCT(--('Данные 2st'!$Q$2:$Q$317=$A70),--ISNUMBER('Данные 2st'!$BN$2:$BN$317))</f>
        <v>6</v>
      </c>
      <c r="KG70">
        <f>SUMPRODUCT(--('Данные 2st'!$Q$2:$Q$317=$A70),--ISNUMBER('Данные 2st'!$BO$2:$BO$317))</f>
        <v>3</v>
      </c>
      <c r="KH70">
        <f>SUMPRODUCT(--('Данные 2st'!$Q$2:$Q$317=$A70),--ISNUMBER('Данные 2st'!$BP$2:$BP$317))</f>
        <v>6</v>
      </c>
      <c r="KI70">
        <f>SUMPRODUCT(--('Данные 2st'!$Q$2:$Q$317=$A70),--ISNUMBER('Данные 2st'!$BR$2:$BR$317))</f>
        <v>6</v>
      </c>
      <c r="KJ70">
        <f>SUMPRODUCT(--('Данные 2st'!$Q$2:$Q$317=$A70),--ISNUMBER('Данные 2st'!$BS$2:$BS$317))</f>
        <v>6</v>
      </c>
      <c r="KK70">
        <f>SUMPRODUCT(--('Данные 2st'!$Q$2:$Q$317=$A70),--ISNUMBER('Данные 2st'!$BT$2:$BT$317))</f>
        <v>6</v>
      </c>
      <c r="KL70">
        <f>SUMPRODUCT(--('Данные 2st'!$Q$2:$Q$317=$A70),--ISNUMBER('Данные 2st'!$CV$2:$CV$317))</f>
        <v>6</v>
      </c>
      <c r="KM70">
        <f>SUMPRODUCT(--('Данные 2st'!$Q$2:$Q$317=$A70),--ISNUMBER('Данные 2st'!$CW$2:$CW$317))</f>
        <v>6</v>
      </c>
      <c r="KN70">
        <f>SUMPRODUCT(--('Данные 2st'!$Q$2:$Q$317=$A70),--ISNUMBER('Данные 2st'!$CX$2:$CX$317))</f>
        <v>6</v>
      </c>
      <c r="KO70">
        <f>SUMPRODUCT(--('Данные 2st'!$Q$2:$Q$317=$A70),--ISNUMBER('Данные 2st'!$CY$2:$CY$317))</f>
        <v>6</v>
      </c>
      <c r="KP70">
        <f>SUMPRODUCT(--('Данные 2st'!$Q$2:$Q$317=$A70),--ISNUMBER('Данные 2st'!$CZ$2:$CZ$317))</f>
        <v>6</v>
      </c>
      <c r="KQ70">
        <f>SUMPRODUCT(--('Данные 2st'!$Q$2:$Q$317=$A70),--ISNUMBER('Данные 2st'!$DA$2:$DA$317))</f>
        <v>6</v>
      </c>
      <c r="KR70">
        <f>SUMPRODUCT(--('Данные 2st'!$Q$2:$Q$317=$A70),--ISNUMBER('Данные 2st'!$DB$2:$DB$317))</f>
        <v>6</v>
      </c>
      <c r="KS70">
        <f>SUMPRODUCT(--('Данные 2st'!$Q$2:$Q$317=$A70),--ISNUMBER('Данные 2st'!$DC$2:$DC$317))</f>
        <v>6</v>
      </c>
      <c r="KT70">
        <f>SUMPRODUCT(--('Данные 2st'!$Q$2:$Q$317=$A70),--ISNUMBER('Данные 2st'!$DD$2:$DD$317))</f>
        <v>6</v>
      </c>
      <c r="KU70">
        <f>SUMPRODUCT(--('Данные 2st'!$Q$2:$Q$317=$A70),--ISNUMBER('Данные 2st'!$DE$2:$DE$317))</f>
        <v>6</v>
      </c>
      <c r="KV70">
        <f>SUMPRODUCT(--('Данные 2st'!$Q$2:$Q$317=$A70),--ISNUMBER('Данные 2st'!$DF$2:$DF$317))</f>
        <v>6</v>
      </c>
      <c r="KW70">
        <f>SUMPRODUCT(--('Данные 2st'!$Q$2:$Q$317=$A70),--ISNUMBER('Данные 2st'!$DG$2:$DG$317))</f>
        <v>6</v>
      </c>
      <c r="KX70">
        <f>SUMPRODUCT(--('Данные 2st'!$Q$2:$Q$317=$A70),--ISNUMBER('Данные 2st'!$DH$2:$DH$317))</f>
        <v>6</v>
      </c>
      <c r="KY70">
        <f>SUMPRODUCT(--('Данные 2st'!$Q$2:$Q$317=$A70),--ISNUMBER('Данные 2st'!$DI$2:$DI$317))</f>
        <v>0</v>
      </c>
      <c r="KZ70">
        <f>SUMPRODUCT(--('Данные 2st'!$Q$2:$Q$317=$A70),--ISNUMBER('Данные 2st'!$DK$2:$DK$317))</f>
        <v>6</v>
      </c>
      <c r="LA70">
        <f>SUMPRODUCT(--('Данные 2st'!$Q$2:$Q$317=$A70),--ISNUMBER('Данные 2st'!$DM$2:$DM$317))</f>
        <v>6</v>
      </c>
      <c r="LB70">
        <f>SUMPRODUCT(--('Данные 2st'!$Q$2:$Q$317=$A70),--ISNUMBER('Данные 2st'!$DN$2:$DN$317))</f>
        <v>6</v>
      </c>
      <c r="LC70">
        <f>SUMPRODUCT(--('Данные 2st'!$Q$2:$Q$317=$A70),--ISNUMBER('Данные 2st'!$DO$2:$DO$317))</f>
        <v>6</v>
      </c>
      <c r="LD70">
        <f>SUMPRODUCT(--('Данные 2st'!$Q$2:$Q$317=$A70),--ISNUMBER('Данные 2st'!$DP$2:$DP$317))</f>
        <v>6</v>
      </c>
      <c r="LE70">
        <f>SUMPRODUCT(--('Данные 2st'!$Q$2:$Q$317=$A70),--ISNUMBER('Данные 2st'!$DQ$2:$DQ$317))</f>
        <v>6</v>
      </c>
      <c r="LF70">
        <f>SUMPRODUCT(--('Данные 2st'!$Q$2:$Q$317=$A70),--ISNUMBER('Данные 2st'!$DS$2:$DS$317))</f>
        <v>6</v>
      </c>
      <c r="LG70">
        <f>SUMPRODUCT(--('Данные 2st'!$Q$2:$Q$317=$A70),--ISNUMBER('Данные 2st'!$DU$2:$DU$317))</f>
        <v>6</v>
      </c>
      <c r="LH70">
        <f>SUMPRODUCT(--('Данные 2st'!$Q$2:$Q$317=$A70),--ISNUMBER('Данные 2st'!$DV$2:$DV$317))</f>
        <v>6</v>
      </c>
      <c r="LI70">
        <f>SUMPRODUCT(--('Данные 2st'!$Q$2:$Q$317=$A70),--ISNUMBER('Данные 2st'!$DW$2:$DW$317))</f>
        <v>6</v>
      </c>
      <c r="LJ70">
        <f>SUMPRODUCT(--('Данные 2st'!$Q$2:$Q$317=$A70),--ISNUMBER('Данные 2st'!$DX$2:$DX$317))</f>
        <v>6</v>
      </c>
      <c r="LK70">
        <f>SUMPRODUCT(--('Данные 2st'!$Q$2:$Q$317=$A70),--ISNUMBER('Данные 2st'!$DY$2:$DY$317))</f>
        <v>6</v>
      </c>
      <c r="LL70">
        <f>SUMPRODUCT(--('Данные 2st'!$Q$2:$Q$317=$A70),--ISNUMBER('Данные 2st'!$EA$2:$EA$317))</f>
        <v>6</v>
      </c>
      <c r="LM70">
        <f>SUMPRODUCT(--('Данные 2st'!$Q$2:$Q$317=$A70),--ISNUMBER('Данные 2st'!$EC$2:$EC$317))</f>
        <v>6</v>
      </c>
      <c r="LN70">
        <f>SUMPRODUCT(--('Данные 2st'!$Q$2:$Q$317=$A70),--ISNUMBER('Данные 2st'!$ED$2:$ED$317))</f>
        <v>6</v>
      </c>
      <c r="LO70">
        <f>SUMPRODUCT(--('Данные 2st'!$Q$2:$Q$317=$A70),--ISNUMBER('Данные 2st'!$EE$2:$EE$317))</f>
        <v>6</v>
      </c>
      <c r="LP70">
        <f>SUMPRODUCT(--('Данные 2st'!$Q$2:$Q$317=$A70),--ISNUMBER('Данные 2st'!$EG$2:$EG$317))</f>
        <v>6</v>
      </c>
      <c r="LQ70">
        <f>SUMPRODUCT(--('Данные 2st'!$Q$2:$Q$317=$A70),--ISNUMBER('Данные 2st'!$EI$2:$EI$317))</f>
        <v>6</v>
      </c>
      <c r="LR70">
        <f>SUMPRODUCT(--('Данные 2st'!$Q$2:$Q$317=$A70),--ISNUMBER('Данные 2st'!$EJ$2:$EJ$317))</f>
        <v>0</v>
      </c>
      <c r="LS70">
        <f>SUMPRODUCT(--('Данные 2st'!$Q$2:$Q$317=$A70),--ISNUMBER('Данные 2st'!$EK$2:$EK$317))</f>
        <v>0</v>
      </c>
      <c r="LT70">
        <f>SUMPRODUCT(--('Данные 2st'!$Q$2:$Q$317=$A70),--ISNUMBER('Данные 2st'!$EM$2:$EM$317))</f>
        <v>6</v>
      </c>
      <c r="LU70">
        <f>SUMPRODUCT(--('Данные 2st'!$Q$2:$Q$317=$A70),--ISNUMBER('Данные 2st'!$EN$2:$EN$317))</f>
        <v>6</v>
      </c>
      <c r="LV70">
        <f>SUMPRODUCT(--('Данные 2st'!$Q$2:$Q$317=$A70),--ISNUMBER('Данные 2st'!$EO$2:$EO$317))</f>
        <v>6</v>
      </c>
      <c r="LW70">
        <f>SUMPRODUCT(--('Данные 2st'!$Q$2:$Q$317=$A70),--ISNUMBER('Данные 2st'!$EP$2:$EP$317))</f>
        <v>6</v>
      </c>
      <c r="LX70">
        <f>SUMPRODUCT(--('Данные 2st'!$Q$2:$Q$317=$A70),--ISNUMBER('Данные 2st'!$EQ$2:$EQ$317))</f>
        <v>6</v>
      </c>
      <c r="LY70">
        <f>SUMPRODUCT(--('Данные 2st'!$Q$2:$Q$317=$A70),--ISNUMBER('Данные 2st'!$ER$2:$ER$317))</f>
        <v>6</v>
      </c>
      <c r="LZ70">
        <f>SUMPRODUCT(--('Данные 2st'!$Q$2:$Q$317=$A70),--ISNUMBER('Данные 2st'!$ES$2:$ES$317))</f>
        <v>6</v>
      </c>
      <c r="MA70">
        <f>SUMPRODUCT(--('Данные 2st'!$Q$2:$Q$317=$A70),--ISNUMBER('Данные 2st'!$ET$2:$ET$317))</f>
        <v>6</v>
      </c>
      <c r="MB70">
        <f>SUMPRODUCT(--('Данные 2st'!$Q$2:$Q$317=$A70),--ISNUMBER('Данные 2st'!$EU$2:$EU$317))</f>
        <v>6</v>
      </c>
      <c r="MC70">
        <f>SUMPRODUCT(--('Данные 2st'!$Q$2:$Q$317=$A70),--ISNUMBER('Данные 2st'!$EV$2:$EV$317))</f>
        <v>6</v>
      </c>
      <c r="MD70">
        <f>SUMPRODUCT(--('Данные 2st'!$Q$2:$Q$317=$A70),--ISNUMBER('Данные 2st'!$EW$2:$EW$317))</f>
        <v>6</v>
      </c>
      <c r="ME70">
        <f>SUMPRODUCT(--('Данные 2st'!$Q$2:$Q$317=$A70),--ISNUMBER('Данные 2st'!$EY$2:$EY$317))</f>
        <v>6</v>
      </c>
      <c r="MF70">
        <f>SUMPRODUCT(--('Данные 2st'!$Q$2:$Q$317=$A70),--ISNUMBER('Данные 2st'!$FA$2:$FA$317))</f>
        <v>6</v>
      </c>
      <c r="MG70">
        <f>SUMPRODUCT(--('Данные 2st'!$Q$2:$Q$317=$A70),--ISNUMBER('Данные 2st'!$FB$2:$FB$317))</f>
        <v>6</v>
      </c>
      <c r="MH70">
        <f>SUMPRODUCT(--('Данные 2st'!$Q$2:$Q$317=$A70),--ISNUMBER('Данные 2st'!$FC$2:$FC$317))</f>
        <v>6</v>
      </c>
      <c r="MI70">
        <f>SUMPRODUCT(--('Данные 2st'!$Q$2:$Q$317=$A70),--ISNUMBER('Данные 2st'!$FD$2:$FD$317))</f>
        <v>6</v>
      </c>
      <c r="MJ70">
        <f>SUMPRODUCT(--('Данные 2st'!$Q$2:$Q$317=$A70),--ISNUMBER('Данные 2st'!$FE$2:$FE$317))</f>
        <v>6</v>
      </c>
      <c r="MK70">
        <f>SUMPRODUCT(--('Данные 2st'!$Q$2:$Q$317=$A70),--ISNUMBER('Данные 2st'!$FG$2:$FG$317))</f>
        <v>6</v>
      </c>
      <c r="ML70">
        <f>SUMPRODUCT(--('Данные 2st'!$Q$2:$Q$317=$A70),--ISNUMBER('Данные 2st'!$FI$2:$FI$317))</f>
        <v>6</v>
      </c>
      <c r="MM70">
        <f>SUMPRODUCT(--('Данные 2st'!$Q$2:$Q$317=$A70),--ISNUMBER('Данные 2st'!$FJ$2:$FJ$317))</f>
        <v>6</v>
      </c>
      <c r="MN70">
        <f>SUMPRODUCT(--('Данные 2st'!$Q$2:$Q$317=$A70),--ISNUMBER('Данные 2st'!$FK$2:$FK$317))</f>
        <v>6</v>
      </c>
      <c r="MO70">
        <f>SUMPRODUCT(--('Данные 2st'!$Q$2:$Q$317=$A70),--ISNUMBER('Данные 2st'!$FP$2:$FP$317))</f>
        <v>6</v>
      </c>
      <c r="MP70">
        <f>SUMPRODUCT(--('Данные 2st'!$Q$2:$Q$317=$A70),--ISNUMBER('Данные 2st'!$FQ$2:$FQ$317))</f>
        <v>6</v>
      </c>
      <c r="MQ70">
        <f>SUMPRODUCT(--('Данные 2st'!$Q$2:$Q$317=$A70),--ISNUMBER('Данные 2st'!$FS$2:$FS$317))</f>
        <v>6</v>
      </c>
      <c r="MR70">
        <f>SUMPRODUCT(--('Данные 2st'!$Q$2:$Q$317=$A70),--ISNUMBER('Данные 2st'!$FU$2:$FU$317))</f>
        <v>6</v>
      </c>
      <c r="MS70">
        <f>SUMPRODUCT(--('Данные 2st'!$Q$2:$Q$317=$A70),--ISNUMBER('Данные 2st'!$FV$2:$FV$317))</f>
        <v>6</v>
      </c>
      <c r="MT70">
        <f>SUMPRODUCT(--('Данные 2st'!$Q$2:$Q$317=$A70),--ISNUMBER('Данные 2st'!$FW$2:$FW$317))</f>
        <v>6</v>
      </c>
      <c r="MU70">
        <f>SUMPRODUCT(--('Данные 2st'!$Q$2:$Q$317=$A70),--ISNUMBER('Данные 2st'!$FY$2:$FY$317))</f>
        <v>6</v>
      </c>
      <c r="MV70">
        <f>SUMPRODUCT(--('Данные 2st'!$Q$2:$Q$317=$A70),--ISNUMBER('Данные 2st'!$GB$2:$GB$317))</f>
        <v>6</v>
      </c>
      <c r="MW70">
        <f>SUMPRODUCT(--('Данные 2st'!$Q$2:$Q$317=$A70),--ISNUMBER('Данные 2st'!$GC$2:$GC$317))</f>
        <v>6</v>
      </c>
      <c r="MX70">
        <f>SUMPRODUCT(--('Данные 2st'!$Q$2:$Q$317=$A70),--ISNUMBER('Данные 2st'!$GD$2:$GD$317))</f>
        <v>6</v>
      </c>
      <c r="MY70">
        <f>SUMPRODUCT(--('Данные 2st'!$Q$2:$Q$317=$A70),--ISNUMBER('Данные 2st'!$GN$2:$GN$317))</f>
        <v>0</v>
      </c>
      <c r="MZ70">
        <f>SUMPRODUCT(--('Данные 2st'!$Q$2:$Q$317=$A70),--ISNUMBER('Данные 2st'!$GQ$2:$GQ$317))</f>
        <v>6</v>
      </c>
      <c r="NA70">
        <f>SUMPRODUCT(--('Данные 2st'!$Q$2:$Q$317=$A70),--ISNUMBER('Данные 2st'!$GV$2:$GV$317))</f>
        <v>6</v>
      </c>
      <c r="NB70">
        <f>SUMPRODUCT(--('Данные 2st'!$Q$2:$Q$317=$A70),--ISNUMBER('Данные 2st'!$GW$2:$GW$317))</f>
        <v>6</v>
      </c>
      <c r="NC70">
        <f>SUMPRODUCT(--('Данные 2st'!$Q$2:$Q$317=$A70),--ISNUMBER('Данные 2st'!$GX$2:$GX$317))</f>
        <v>6</v>
      </c>
      <c r="ND70">
        <f>SUMPRODUCT(--('Данные 2st'!$Q$2:$Q$317=$A70),--ISNUMBER('Данные 2st'!$GY$2:$GY$317))</f>
        <v>6</v>
      </c>
      <c r="NE70">
        <f>SUMPRODUCT(--('Данные 2st'!$Q$2:$Q$317=$A70),--ISNUMBER('Данные 2st'!$GZ$2:$GZ$317))</f>
        <v>6</v>
      </c>
      <c r="NF70">
        <f>SUMPRODUCT(--('Данные 2st'!$Q$2:$Q$317=$A70),--ISNUMBER('Данные 2st'!$HA$2:$HA$317))</f>
        <v>6</v>
      </c>
      <c r="NG70">
        <f>SUMPRODUCT(--('Данные 2st'!$Q$2:$Q$317=$A70),--ISNUMBER('Данные 2st'!$HB$2:$HB$317))</f>
        <v>6</v>
      </c>
      <c r="NH70">
        <f>SUMPRODUCT(--('Данные 2st'!$Q$2:$Q$317=$A70),--ISNUMBER('Данные 2st'!$HC$2:$HC$317))</f>
        <v>6</v>
      </c>
      <c r="NI70">
        <f>SUMPRODUCT(--('Данные 2st'!$Q$2:$Q$317=$A70),--ISNUMBER('Данные 2st'!$HD$2:$HD$317))</f>
        <v>6</v>
      </c>
      <c r="NJ70">
        <f>SUMPRODUCT(--('Данные 2st'!$Q$2:$Q$317=$A70),--ISNUMBER('Данные 2st'!$HM$2:$HM$317))</f>
        <v>6</v>
      </c>
      <c r="NK70">
        <f>SUMPRODUCT(--('Данные 2st'!$Q$2:$Q$317=$A70),--ISNUMBER('Данные 2st'!$HR$2:$HR$317))</f>
        <v>6</v>
      </c>
      <c r="NL70">
        <f>SUMPRODUCT(--('Данные 2st'!$Q$2:$Q$317=$A70),--ISNUMBER('Данные 2st'!$HS$2:$HS$317))</f>
        <v>6</v>
      </c>
      <c r="NM70">
        <f>SUMPRODUCT(--('Данные 2st'!$Q$2:$Q$317=$A70),--ISNUMBER('Данные 2st'!$HT$2:$HT$317))</f>
        <v>6</v>
      </c>
      <c r="NN70">
        <f>SUMPRODUCT(--('Данные 2st'!$Q$2:$Q$317=$A70),--ISNUMBER('Данные 2st'!$HY$2:$HY$317))</f>
        <v>6</v>
      </c>
      <c r="NO70">
        <f>SUMPRODUCT(--('Данные 2st'!$Q$2:$Q$317=$A70),--ISNUMBER('Данные 2st'!$HZ$2:$HZ$317))</f>
        <v>6</v>
      </c>
      <c r="NP70">
        <f>SUMPRODUCT(--('Данные 2st'!$Q$2:$Q$317=$A70),--ISNUMBER('Данные 2st'!$IA$2:$IA$317))</f>
        <v>6</v>
      </c>
      <c r="NQ70">
        <f>SUMPRODUCT(--('Данные 2st'!$Q$2:$Q$317=$A70),--ISNUMBER('Данные 2st'!$IB$2:$IB$317))</f>
        <v>6</v>
      </c>
      <c r="NR70">
        <f>SUMPRODUCT(--('Данные 2st'!$Q$2:$Q$317=$A70),--ISNUMBER('Данные 2st'!$IC$2:$IC$317))</f>
        <v>0</v>
      </c>
      <c r="NS70">
        <f>SUMPRODUCT(--('Данные 2st'!$Q$2:$Q$317=$A70),--ISNUMBER('Данные 2st'!$ID$2:$ID$317))</f>
        <v>6</v>
      </c>
      <c r="NT70">
        <f>SUMPRODUCT(--('Данные 2st'!$Q$2:$Q$317=$A70),--ISNUMBER('Данные 2st'!$IE$2:$IE$317))</f>
        <v>6</v>
      </c>
      <c r="NU70">
        <f>SUMPRODUCT(--('Данные 2st'!$Q$2:$Q$317=$A70),--ISNUMBER('Данные 2st'!$IF$2:$IF$317))</f>
        <v>6</v>
      </c>
      <c r="NV70">
        <f>SUMPRODUCT(--('Данные 2st'!$Q$2:$Q$317=$A70),--ISNUMBER('Данные 2st'!$IG$2:$IG$317))</f>
        <v>6</v>
      </c>
      <c r="NW70">
        <f>SUMPRODUCT(--('Данные 2st'!$Q$2:$Q$317=$A70),--ISNUMBER('Данные 2st'!$IH$2:$IH$317))</f>
        <v>6</v>
      </c>
      <c r="NX70">
        <f>SUMPRODUCT(--('Данные 2st'!$Q$2:$Q$317=$A70),--ISNUMBER('Данные 2st'!$IJ$2:$IJ$317))</f>
        <v>6</v>
      </c>
      <c r="NY70">
        <f>SUMPRODUCT(--('Данные 2st'!$Q$2:$Q$317=$A70),--ISNUMBER('Данные 2st'!$IM$2:$IM$317))</f>
        <v>6</v>
      </c>
      <c r="NZ70">
        <f>SUMPRODUCT(--('Данные 2st'!$Q$2:$Q$317=$A70),--ISNUMBER('Данные 2st'!$IN$2:$IN$317))</f>
        <v>6</v>
      </c>
      <c r="OA70">
        <f>SUMPRODUCT(--('Данные 2st'!$Q$2:$Q$317=$A70),--ISNUMBER('Данные 2st'!$IO$2:$IO$317))</f>
        <v>6</v>
      </c>
      <c r="OB70">
        <f>SUMPRODUCT(--('Данные 2st'!$Q$2:$Q$317=$A70),--ISNUMBER('Данные 2st'!$IP$2:$IP$317))</f>
        <v>6</v>
      </c>
      <c r="OC70">
        <f>SUMPRODUCT(--('Данные 2st'!$Q$2:$Q$317=$A70),--ISNUMBER('Данные 2st'!$IQ$2:$IQ$317))</f>
        <v>6</v>
      </c>
      <c r="OD70">
        <f>SUMPRODUCT(--('Данные 2st'!$Q$2:$Q$317=$A70),--ISNUMBER('Данные 2st'!$IR$2:$IR$317))</f>
        <v>6</v>
      </c>
      <c r="OE70">
        <f>SUMPRODUCT(--('Данные 2st'!$Q$2:$Q$317=$A70),--ISNUMBER('Данные 2st'!$IT$2:$IT$317))</f>
        <v>6</v>
      </c>
      <c r="OF70">
        <f>SUMPRODUCT(--('Данные 2st'!$Q$2:$Q$317=$A70),--ISNUMBER('Данные 2st'!$IU$2:$IU$317))</f>
        <v>6</v>
      </c>
      <c r="OG70">
        <f>SUMPRODUCT(--('Данные 2st'!$Q$2:$Q$317=$A70),--ISNUMBER('Данные 2st'!$IV$2:$IV$317))</f>
        <v>6</v>
      </c>
      <c r="OH70">
        <f>SUMPRODUCT(--('Данные 2st'!$Q$2:$Q$317=$A70),--ISNUMBER('Данные 2st'!$IW$2:$IW$317))</f>
        <v>6</v>
      </c>
      <c r="OI70">
        <f>SUMPRODUCT(--('Данные 2st'!$Q$2:$Q$317=$A70),--ISNUMBER('Данные 2st'!$IX$2:$IX$317))</f>
        <v>6</v>
      </c>
      <c r="OJ70">
        <f>SUMPRODUCT(--('Данные 2st'!$Q$2:$Q$317=$A70),--ISNUMBER('Данные 2st'!$IY$2:$IY$317))</f>
        <v>6</v>
      </c>
      <c r="OK70">
        <f>SUMPRODUCT(--('Данные 2st'!$Q$2:$Q$317=$A70),--ISNUMBER('Данные 2st'!$IZ$2:$IZ$317))</f>
        <v>6</v>
      </c>
      <c r="OL70">
        <f>SUMPRODUCT(--('Данные 2st'!$Q$2:$Q$317=$A70),--ISNUMBER('Данные 2st'!$JA$2:$JA$317))</f>
        <v>6</v>
      </c>
      <c r="OM70">
        <f>SUMPRODUCT(--('Данные 2st'!$Q$2:$Q$317=$A70),--ISNUMBER('Данные 2st'!$JB$2:$JB$317))</f>
        <v>6</v>
      </c>
      <c r="ON70">
        <f>SUMPRODUCT(--('Данные 2st'!$Q$2:$Q$317=$A70),--ISNUMBER('Данные 2st'!$JC$2:$JC$317))</f>
        <v>6</v>
      </c>
      <c r="OO70">
        <f>SUMPRODUCT(--('Данные 2st'!$Q$2:$Q$317=$A70),--ISNUMBER('Данные 2st'!$JD$2:$JD$317))</f>
        <v>6</v>
      </c>
      <c r="OP70">
        <f>SUMPRODUCT(--('Данные 2st'!$Q$2:$Q$317=$A70),--ISNUMBER('Данные 2st'!$JE$2:$JE$317))</f>
        <v>6</v>
      </c>
      <c r="OQ70">
        <f>SUMPRODUCT(--('Данные 2st'!$Q$2:$Q$317=$A70),--ISNUMBER('Данные 2st'!$JF$2:$JF$317))</f>
        <v>6</v>
      </c>
      <c r="OR70">
        <f>SUMPRODUCT(--('Данные 2st'!$Q$2:$Q$317=$A70),--ISNUMBER('Данные 2st'!$JG$2:$JG$317))</f>
        <v>6</v>
      </c>
      <c r="OS70">
        <f>SUMPRODUCT(--('Данные 2st'!$Q$2:$Q$317=$A70),--ISNUMBER('Данные 2st'!$JH$2:$JH$317))</f>
        <v>6</v>
      </c>
      <c r="OT70">
        <f>SUMPRODUCT(--('Данные 2st'!$Q$2:$Q$317=$A70),--ISNUMBER('Данные 2st'!$JI$2:$JI$317))</f>
        <v>6</v>
      </c>
      <c r="OU70">
        <f>SUMPRODUCT(--('Данные 2st'!$Q$2:$Q$317=$A70),--ISNUMBER('Данные 2st'!$JJ$2:$JJ$317))</f>
        <v>6</v>
      </c>
      <c r="OV70">
        <f>SUMPRODUCT(--('Данные 2st'!$Q$2:$Q$317=$A70),--ISNUMBER('Данные 2st'!$JK$2:$JK$317))</f>
        <v>6</v>
      </c>
      <c r="OW70">
        <f>SUMPRODUCT(--('Данные 2st'!$Q$2:$Q$317=$A70),--ISNUMBER('Данные 2st'!$JL$2:$JL$317))</f>
        <v>6</v>
      </c>
      <c r="OX70">
        <f>SUMPRODUCT(--('Данные 2st'!$Q$2:$Q$317=$A70),--ISNUMBER('Данные 2st'!$JM$2:$JM$317))</f>
        <v>6</v>
      </c>
      <c r="OY70">
        <f>SUMPRODUCT(--('Данные 2st'!$Q$2:$Q$317=$A70),--ISNUMBER('Данные 2st'!$JP$2:$JP$317))</f>
        <v>6</v>
      </c>
      <c r="OZ70">
        <f>SUMPRODUCT(--('Данные 2st'!$Q$2:$Q$317=$A70),--ISNUMBER('Данные 2st'!$JQ$2:$JQ$317))</f>
        <v>6</v>
      </c>
      <c r="PA70">
        <f>SUMPRODUCT(--('Данные 2st'!$Q$2:$Q$317=$A70),--ISNUMBER('Данные 2st'!$JR$2:$JR$317))</f>
        <v>6</v>
      </c>
      <c r="PB70">
        <f>SUMPRODUCT(--('Данные 2st'!$Q$2:$Q$317=$A70),--ISNUMBER('Данные 2st'!$JS$2:$JS$317))</f>
        <v>6</v>
      </c>
      <c r="PC70">
        <f>SUMPRODUCT(--('Данные 2st'!$Q$2:$Q$317=$A70),--ISNUMBER('Данные 2st'!$JT$2:$JT$317))</f>
        <v>6</v>
      </c>
      <c r="PD70">
        <f>SUMPRODUCT(--('Данные 2st'!$Q$2:$Q$317=$A70),--ISNUMBER('Данные 2st'!$JU$2:$JU$317))</f>
        <v>6</v>
      </c>
      <c r="PE70">
        <f>SUMPRODUCT(--('Данные 2st'!$Q$2:$Q$317=$A70),--ISNUMBER('Данные 2st'!$JV$2:$JV$317))</f>
        <v>6</v>
      </c>
      <c r="PF70">
        <f>SUMPRODUCT(--('Данные 2st'!$Q$2:$Q$317=$A70),--ISNUMBER('Данные 2st'!$JW$2:$JW$317))</f>
        <v>6</v>
      </c>
      <c r="PG70">
        <f>SUMPRODUCT(--('Данные 2st'!$Q$2:$Q$317=$A70),--ISNUMBER('Данные 2st'!$KF$2:$KF$317))</f>
        <v>6</v>
      </c>
      <c r="PH70">
        <f>SUMPRODUCT(--('Данные 2st'!$Q$2:$Q$317=$A70),--ISNUMBER('Данные 2st'!$KG$2:$KG$317))</f>
        <v>6</v>
      </c>
      <c r="PI70">
        <f>SUMPRODUCT(--('Данные 2st'!$Q$2:$Q$317=$A70),--ISNUMBER('Данные 2st'!$KM$2:$KM$317))</f>
        <v>6</v>
      </c>
      <c r="PJ70">
        <f>SUMPRODUCT(--('Данные 2st'!$Q$2:$Q$317=$A70),--ISNUMBER('Данные 2st'!$KN$2:$KN$317))</f>
        <v>6</v>
      </c>
      <c r="PK70">
        <f>SUMPRODUCT(--('Данные 2st'!$Q$2:$Q$317=$A70),--ISNUMBER('Данные 2st'!$KO$2:$KO$317))</f>
        <v>6</v>
      </c>
      <c r="PL70">
        <f>SUMPRODUCT(--('Данные 2st'!$Q$2:$Q$317=$A70),--ISNUMBER('Данные 2st'!$KP$2:$KP$317))</f>
        <v>6</v>
      </c>
      <c r="PM70">
        <f>SUMPRODUCT(--('Данные 2st'!$Q$2:$Q$317=$A70),--ISNUMBER('Данные 2st'!$KQ$2:$KQ$317))</f>
        <v>6</v>
      </c>
      <c r="PN70">
        <f>SUMPRODUCT(--('Данные 2st'!$Q$2:$Q$317=$A70),--ISNUMBER('Данные 2st'!$KR$2:$KR$317))</f>
        <v>6</v>
      </c>
      <c r="PO70">
        <f>SUMPRODUCT(--('Данные 2st'!$Q$2:$Q$317=$A70),--ISNUMBER('Данные 2st'!$KS$2:$KS$317))</f>
        <v>6</v>
      </c>
      <c r="PP70">
        <f>SUMPRODUCT(--('Данные 2st'!$Q$2:$Q$317=$A70),--ISNUMBER('Данные 2st'!$KT$2:$KT$317))</f>
        <v>6</v>
      </c>
      <c r="PQ70">
        <f>SUMPRODUCT(--('Данные 2st'!$Q$2:$Q$317=$A70),--ISNUMBER('Данные 2st'!$KU$2:$KU$317))</f>
        <v>6</v>
      </c>
      <c r="PR70">
        <f>SUMPRODUCT(--('Данные 2st'!$Q$2:$Q$317=$A70),--ISNUMBER('Данные 2st'!$KV$2:$KV$317))</f>
        <v>6</v>
      </c>
      <c r="PS70">
        <f>SUMPRODUCT(--('Данные 2st'!$Q$2:$Q$317=$A70),--ISNUMBER('Данные 2st'!$KW$2:$KW$317))</f>
        <v>6</v>
      </c>
      <c r="PT70">
        <f>SUMPRODUCT(--('Данные 2st'!$Q$2:$Q$317=$A70),--ISNUMBER('Данные 2st'!$KX$2:$KX$317))</f>
        <v>6</v>
      </c>
      <c r="PU70">
        <f>SUMPRODUCT(--('Данные 2st'!$Q$2:$Q$317=$A70),--ISNUMBER('Данные 2st'!$KY$2:$KY$317))</f>
        <v>6</v>
      </c>
      <c r="PV70">
        <f>SUMPRODUCT(--('Данные 2st'!$Q$2:$Q$317=$A70),--ISNUMBER('Данные 2st'!$KZ$2:$KZ$317))</f>
        <v>6</v>
      </c>
      <c r="PW70">
        <f>SUMPRODUCT(--('Данные 2st'!$Q$2:$Q$317=$A70),--ISNUMBER('Данные 2st'!$LA$2:$LA$317))</f>
        <v>6</v>
      </c>
      <c r="PX70">
        <f>SUMPRODUCT(--('Данные 2st'!$Q$2:$Q$317=$A70),--ISNUMBER('Данные 2st'!$LB$2:$LB$317))</f>
        <v>6</v>
      </c>
      <c r="PY70">
        <f>SUMPRODUCT(--('Данные 2st'!$Q$2:$Q$317=$A70),--ISNUMBER('Данные 2st'!$LC$2:$LC$317))</f>
        <v>6</v>
      </c>
      <c r="PZ70">
        <f>SUMPRODUCT(--('Данные 2st'!$Q$2:$Q$317=$A70),--ISNUMBER('Данные 2st'!$LD$2:$LD$317))</f>
        <v>6</v>
      </c>
      <c r="QA70">
        <f>SUMPRODUCT(--('Данные 2st'!$Q$2:$Q$317=$A70),--ISNUMBER('Данные 2st'!$LE$2:$LE$317))</f>
        <v>6</v>
      </c>
      <c r="QB70">
        <f>SUMPRODUCT(--('Данные 2st'!$Q$2:$Q$317=$A70),--ISNUMBER('Данные 2st'!$LF$2:$LF$317))</f>
        <v>6</v>
      </c>
      <c r="QC70">
        <f>SUMPRODUCT(--('Данные 2st'!$Q$2:$Q$317=$A70),--ISNUMBER('Данные 2st'!$LG$2:$LG$317))</f>
        <v>6</v>
      </c>
      <c r="QD70">
        <f>SUMPRODUCT(--('Данные 2st'!$Q$2:$Q$317=$A70),--ISNUMBER('Данные 2st'!$LH$2:$LH$317))</f>
        <v>6</v>
      </c>
      <c r="QE70">
        <f>SUMPRODUCT(--('Данные 2st'!$Q$2:$Q$317=$A70),--ISNUMBER('Данные 2st'!$LJ$2:$LJ$317))</f>
        <v>6</v>
      </c>
      <c r="QF70">
        <f>SUMPRODUCT(--('Данные 2st'!$Q$2:$Q$317=$A70),--ISNUMBER('Данные 2st'!$LK$2:$LK$317))</f>
        <v>6</v>
      </c>
      <c r="QG70">
        <f>SUMPRODUCT(--('Данные 2st'!$Q$2:$Q$317=$A70),--ISNUMBER('Данные 2st'!$LL$2:$LL$317))</f>
        <v>6</v>
      </c>
      <c r="QH70">
        <f>SUMPRODUCT(--('Данные 2st'!$Q$2:$Q$317=$A70),--ISNUMBER('Данные 2st'!$LM$2:$LM$317))</f>
        <v>6</v>
      </c>
      <c r="QI70">
        <f>SUMPRODUCT(--('Данные 2st'!$Q$2:$Q$317=$A70),--ISNUMBER('Данные 2st'!$LN$2:$LN$317))</f>
        <v>6</v>
      </c>
      <c r="QJ70">
        <f>SUMPRODUCT(--('Данные 2st'!$Q$2:$Q$317=$A70),--ISNUMBER('Данные 2st'!$LO$2:$LO$317))</f>
        <v>6</v>
      </c>
      <c r="QK70">
        <f>SUMPRODUCT(--('Данные 2st'!$Q$2:$Q$317=$A70),--ISNUMBER('Данные 2st'!$LP$2:$LP$317))</f>
        <v>6</v>
      </c>
      <c r="QL70">
        <f>SUMPRODUCT(--('Данные 2st'!$Q$2:$Q$317=$A70),--ISNUMBER('Данные 2st'!$LQ$2:$LQ$317))</f>
        <v>6</v>
      </c>
      <c r="QM70">
        <f>SUMPRODUCT(--('Данные 2st'!$Q$2:$Q$317=$A70),--ISNUMBER('Данные 2st'!$LW$2:$LW$317))</f>
        <v>6</v>
      </c>
      <c r="QN70">
        <f>SUMPRODUCT(--('Данные 2st'!$Q$2:$Q$317=$A70),--ISNUMBER('Данные 2st'!$LX$2:$LX$317))</f>
        <v>6</v>
      </c>
      <c r="QO70">
        <f>SUMPRODUCT(--('Данные 2st'!$Q$2:$Q$317=$A70),--ISNUMBER('Данные 2st'!$LY$2:$LY$317))</f>
        <v>6</v>
      </c>
      <c r="QP70">
        <f>SUMPRODUCT(--('Данные 2st'!$Q$2:$Q$317=$A70),--ISNUMBER('Данные 2st'!$LZ$2:$LZ$317))</f>
        <v>6</v>
      </c>
      <c r="QQ70">
        <f>SUMPRODUCT(--('Данные 2st'!$Q$2:$Q$317=$A70),--ISNUMBER('Данные 2st'!$MB$2:$MB$317))</f>
        <v>6</v>
      </c>
      <c r="QR70">
        <f>SUMPRODUCT(--('Данные 2st'!$Q$2:$Q$317=$A70),--ISNUMBER('Данные 2st'!$MG$2:$MG$317))</f>
        <v>5</v>
      </c>
      <c r="QS70">
        <f>SUMPRODUCT(--('Данные 2st'!$Q$2:$Q$317=$A70),--ISNUMBER('Данные 2st'!$MH$2:$MH$317))</f>
        <v>5</v>
      </c>
      <c r="QT70">
        <f>SUMPRODUCT(--('Данные 2st'!$Q$2:$Q$317=$A70),--ISNUMBER('Данные 2st'!$MI$2:$MI$317))</f>
        <v>6</v>
      </c>
      <c r="QU70">
        <f>SUMPRODUCT(--('Данные 2st'!$Q$2:$Q$317=$A70),--ISNUMBER('Данные 2st'!$MJ$2:$MJ$317))</f>
        <v>6</v>
      </c>
      <c r="QV70">
        <f>SUMPRODUCT(--('Данные 2st'!$Q$2:$Q$317=$A70),--ISNUMBER('Данные 2st'!$MK$2:$MK$317))</f>
        <v>5</v>
      </c>
      <c r="QW70">
        <f>SUMPRODUCT(--('Данные 2st'!$Q$2:$Q$317=$A70),--ISNUMBER('Данные 2st'!$MM$2:$MM$317))</f>
        <v>6</v>
      </c>
      <c r="QX70">
        <f>SUMPRODUCT(--('Данные 2st'!$Q$2:$Q$317=$A70),--ISNUMBER('Данные 2st'!$MQ$2:$MQ$317))</f>
        <v>0</v>
      </c>
      <c r="QY70">
        <f>SUMPRODUCT(--('Данные 2st'!$Q$2:$Q$317=$A70),--ISNUMBER('Данные 2st'!$MR$2:$MR$317))</f>
        <v>0</v>
      </c>
      <c r="QZ70">
        <f>SUMPRODUCT(--('Данные 2st'!$Q$2:$Q$317=$A70),--ISNUMBER('Данные 2st'!$MS$2:$MS$317))</f>
        <v>0</v>
      </c>
      <c r="RA70">
        <f>SUMPRODUCT(--('Данные 2st'!$Q$2:$Q$317=$A70),--ISNUMBER('Данные 2st'!$MT$2:$MT$317))</f>
        <v>0</v>
      </c>
      <c r="RB70">
        <f>SUMPRODUCT(--('Данные 2st'!$Q$2:$Q$317=$A70),--ISNUMBER('Данные 2st'!$MU$2:$MU$317))</f>
        <v>0</v>
      </c>
      <c r="RC70">
        <f>SUMPRODUCT(--('Данные 2st'!$Q$2:$Q$317=$A70),--ISNUMBER('Данные 2st'!$MV$2:$MV$317))</f>
        <v>0</v>
      </c>
      <c r="RD70">
        <f>SUMPRODUCT(--('Данные 2st'!$Q$2:$Q$317=$A70),--ISNUMBER('Данные 2st'!$MW$2:$MW$317))</f>
        <v>0</v>
      </c>
      <c r="RE70">
        <f>SUMPRODUCT(--('Данные 2st'!$Q$2:$Q$317=$A70),--ISNUMBER('Данные 2st'!$MX$2:$MX$317))</f>
        <v>0</v>
      </c>
      <c r="RF70">
        <f>SUMPRODUCT(--('Данные 2st'!$Q$2:$Q$317=$A70),--ISNUMBER('Данные 2st'!$MY$2:$MY$317))</f>
        <v>0</v>
      </c>
      <c r="RG70">
        <f>SUMPRODUCT(--('Данные 2st'!$Q$2:$Q$317=$A70),--ISNUMBER('Данные 2st'!$MZ$2:$MZ$317))</f>
        <v>0</v>
      </c>
      <c r="RH70">
        <f>SUMPRODUCT(--('Данные 2st'!$Q$2:$Q$317=$A70),--ISNUMBER('Данные 2st'!$NA$2:$NA$317))</f>
        <v>0</v>
      </c>
      <c r="RI70">
        <f>SUMPRODUCT(--('Данные 2st'!$Q$2:$Q$317=$A70),--ISNUMBER('Данные 2st'!$NB$2:$NB$317))</f>
        <v>0</v>
      </c>
      <c r="RJ70">
        <f>SUMPRODUCT(--('Данные 2st'!$Q$2:$Q$317=$A70),--ISNUMBER('Данные 2st'!$NC$2:$NC$317))</f>
        <v>0</v>
      </c>
      <c r="RK70">
        <f>SUMPRODUCT(--('Данные 2st'!$Q$2:$Q$317=$A70),--ISNUMBER('Данные 2st'!$ND$2:$ND$317))</f>
        <v>0</v>
      </c>
      <c r="RL70">
        <f>SUMPRODUCT(--('Данные 2st'!$Q$2:$Q$317=$A70),--ISNUMBER('Данные 2st'!$NE$2:$NE$317))</f>
        <v>0</v>
      </c>
      <c r="RM70">
        <f>SUMPRODUCT(--('Данные 2st'!$Q$2:$Q$317=$A70),--ISNUMBER('Данные 2st'!$NF$2:$NF$317))</f>
        <v>0</v>
      </c>
      <c r="RN70">
        <f>SUMPRODUCT(--('Данные 2st'!$Q$2:$Q$317=$A70),--ISNUMBER('Данные 2st'!$NG$2:$NG$317))</f>
        <v>0</v>
      </c>
      <c r="RO70">
        <f>SUMPRODUCT(--('Данные 2st'!$Q$2:$Q$317=$A70),--ISNUMBER('Данные 2st'!$NH$2:$NH$317))</f>
        <v>0</v>
      </c>
      <c r="RP70">
        <f>SUMPRODUCT(--('Данные 2st'!$Q$2:$Q$317=$A70),--ISNUMBER('Данные 2st'!$NJ$2:$NJ$317))</f>
        <v>0</v>
      </c>
      <c r="RQ70">
        <f>SUMPRODUCT(--('Данные 2st'!$Q$2:$Q$317=$A70),--ISNUMBER('Данные 2st'!$NK$2:$NK$317))</f>
        <v>0</v>
      </c>
      <c r="RR70">
        <f>SUMPRODUCT(--('Данные 2st'!$Q$2:$Q$317=$A70),--ISNUMBER('Данные 2st'!$NM$2:$NM$317))</f>
        <v>0</v>
      </c>
      <c r="RS70">
        <f>SUMPRODUCT(--('Данные 2st'!$Q$2:$Q$317=$A70),--ISNUMBER('Данные 2st'!$NN$2:$NN$317))</f>
        <v>0</v>
      </c>
      <c r="RT70">
        <f>SUMPRODUCT(--('Данные 2st'!$Q$2:$Q$317=$A70),--ISNUMBER('Данные 2st'!$NO$2:$NO$317))</f>
        <v>0</v>
      </c>
      <c r="RU70">
        <f>SUMPRODUCT(--('Данные 2st'!$Q$2:$Q$317=$A70),--ISNUMBER('Данные 2st'!$NP$2:$NP$317))</f>
        <v>0</v>
      </c>
      <c r="RV70">
        <f>SUMPRODUCT(--('Данные 2st'!$Q$2:$Q$317=$A70),--ISNUMBER('Данные 2st'!$NQ$2:$NQ$317))</f>
        <v>0</v>
      </c>
      <c r="RW70">
        <f>SUMPRODUCT(--('Данные 2st'!$Q$2:$Q$317=$A70),--ISNUMBER('Данные 2st'!$NR$2:$NR$317))</f>
        <v>0</v>
      </c>
      <c r="RX70">
        <f>SUMPRODUCT(--('Данные 2st'!$Q$2:$Q$317=$A70),--ISNUMBER('Данные 2st'!$NS$2:$NS$317))</f>
        <v>0</v>
      </c>
      <c r="RY70">
        <f>SUMPRODUCT(--('Данные 2st'!$Q$2:$Q$317=$A70),--ISNUMBER('Данные 2st'!$NT$2:$NT$317))</f>
        <v>0</v>
      </c>
      <c r="RZ70">
        <f>SUMPRODUCT(--('Данные 2st'!$Q$2:$Q$317=$A70),--ISNUMBER('Данные 2st'!$OK$2:$OK$317))</f>
        <v>6</v>
      </c>
      <c r="SA70">
        <f>SUMPRODUCT(--('Данные 2st'!$Q$2:$Q$317=$A70),--ISNUMBER('Данные 2st'!$OL$2:$OL$317))</f>
        <v>6</v>
      </c>
      <c r="SB70">
        <f>SUMPRODUCT(--('Данные 2st'!$Q$2:$Q$317=$A70),--ISNUMBER('Данные 2st'!$ON$2:$ON$317))</f>
        <v>6</v>
      </c>
      <c r="SC70">
        <f>SUMPRODUCT(--('Данные 2st'!$Q$2:$Q$317=$A70),--ISNUMBER('Данные 2st'!$OO$2:$OO$317))</f>
        <v>6</v>
      </c>
      <c r="SD70">
        <f>SUMPRODUCT(--('Данные 2st'!$Q$2:$Q$317=$A70),--ISNUMBER('Данные 2st'!$OP$2:$OP$317))</f>
        <v>6</v>
      </c>
      <c r="SE70">
        <f>SUMPRODUCT(--('Данные 2st'!$Q$2:$Q$317=$A70),--ISNUMBER('Данные 2st'!$OQ$2:$OQ$317))</f>
        <v>6</v>
      </c>
      <c r="SF70">
        <f>SUMPRODUCT(--('Данные 2st'!$Q$2:$Q$317=$A70),--ISNUMBER('Данные 2st'!$OS$2:$OS$317))</f>
        <v>6</v>
      </c>
      <c r="SG70">
        <f>SUMPRODUCT(--('Данные 2st'!$Q$2:$Q$317=$A70),--ISNUMBER('Данные 2st'!$OT$2:$OT$317))</f>
        <v>6</v>
      </c>
      <c r="SH70">
        <f>SUMPRODUCT(--('Данные 2st'!$Q$2:$Q$317=$A70),--ISNUMBER('Данные 2st'!$OU$2:$OU$317))</f>
        <v>6</v>
      </c>
      <c r="SI70">
        <f>SUMPRODUCT(--('Данные 2st'!$Q$2:$Q$317=$A70),--ISNUMBER('Данные 2st'!$OV$2:$OV$317))</f>
        <v>6</v>
      </c>
      <c r="SJ70">
        <f>SUMPRODUCT(--('Данные 2st'!$Q$2:$Q$317=$A70),--ISNUMBER('Данные 2st'!$OX$2:$OX$317))</f>
        <v>6</v>
      </c>
      <c r="SK70">
        <f>SUMPRODUCT(--('Данные 2st'!$Q$2:$Q$317=$A70),--ISNUMBER('Данные 2st'!$OY$2:$OY$317))</f>
        <v>6</v>
      </c>
      <c r="SL70">
        <f>SUMPRODUCT(--('Данные 2st'!$Q$2:$Q$317=$A70),--ISNUMBER('Данные 2st'!$OZ$2:$OZ$317))</f>
        <v>6</v>
      </c>
      <c r="SM70">
        <f>SUMPRODUCT(--('Данные 2st'!$Q$2:$Q$317=$A70),--ISNUMBER('Данные 2st'!$PA$2:$PA$317))</f>
        <v>6</v>
      </c>
      <c r="SN70">
        <f>SUMPRODUCT(--('Данные 2st'!$Q$2:$Q$317=$A70),--ISNUMBER('Данные 2st'!$PC$2:$PC$317))</f>
        <v>6</v>
      </c>
      <c r="SO70">
        <f>SUMPRODUCT(--('Данные 2st'!$Q$2:$Q$317=$A70),--ISNUMBER('Данные 2st'!$PD$2:$PD$317))</f>
        <v>6</v>
      </c>
      <c r="SP70">
        <f>SUMPRODUCT(--('Данные 2st'!$Q$2:$Q$317=$A70),--ISNUMBER('Данные 2st'!$PF$2:$PF$317))</f>
        <v>6</v>
      </c>
      <c r="SQ70">
        <f>SUMPRODUCT(--('Данные 2st'!$Q$2:$Q$317=$A70),--ISNUMBER('Данные 2st'!$PG$2:$PG$317))</f>
        <v>6</v>
      </c>
      <c r="SR70">
        <f>SUMPRODUCT(--('Данные 2st'!$Q$2:$Q$317=$A70),--ISNUMBER('Данные 2st'!$PH$2:$PH$317))</f>
        <v>6</v>
      </c>
      <c r="SS70">
        <f>SUMPRODUCT(--('Данные 2st'!$Q$2:$Q$317=$A70),--ISNUMBER('Данные 2st'!$PI$2:$PI$317))</f>
        <v>6</v>
      </c>
      <c r="ST70">
        <f>SUMPRODUCT(--('Данные 2st'!$Q$2:$Q$317=$A70),--ISNUMBER('Данные 2st'!$PJ$2:$PJ$317))</f>
        <v>6</v>
      </c>
      <c r="SU70">
        <f>SUMPRODUCT(--('Данные 2st'!$Q$2:$Q$317=$A70),--ISNUMBER('Данные 2st'!$PK$2:$PK$317))</f>
        <v>6</v>
      </c>
      <c r="SV70">
        <f>SUMPRODUCT(--('Данные 2st'!$Q$2:$Q$317=$A70),--ISNUMBER('Данные 2st'!$PL$2:$PL$317))</f>
        <v>6</v>
      </c>
      <c r="SW70">
        <f>SUMPRODUCT(--('Данные 2st'!$Q$2:$Q$317=$A70),--ISNUMBER('Данные 2st'!$PM$2:$PM$317))</f>
        <v>6</v>
      </c>
      <c r="SX70">
        <f>SUMPRODUCT(--('Данные 2st'!$Q$2:$Q$317=$A70),--ISNUMBER('Данные 2st'!$PN$2:$PN$317))</f>
        <v>6</v>
      </c>
      <c r="SY70">
        <f>SUMPRODUCT(--('Данные 2st'!$Q$2:$Q$317=$A70),--ISNUMBER('Данные 2st'!$PO$2:$PO$317))</f>
        <v>6</v>
      </c>
      <c r="SZ70">
        <f>SUMPRODUCT(--('Данные 2st'!$Q$2:$Q$317=$A70),--ISNUMBER('Данные 2st'!$PP$2:$PP$317))</f>
        <v>6</v>
      </c>
      <c r="TA70">
        <f>SUMPRODUCT(--('Данные 2st'!$Q$2:$Q$317=$A70),--ISNUMBER('Данные 2st'!$PQ$2:$PQ$317))</f>
        <v>6</v>
      </c>
      <c r="TB70">
        <f>SUMPRODUCT(--('Данные 2st'!$Q$2:$Q$317=$A70),--ISNUMBER('Данные 2st'!$PR$2:$PR$317))</f>
        <v>6</v>
      </c>
      <c r="TC70">
        <f>SUMPRODUCT(--('Данные 2st'!$Q$2:$Q$317=$A70),--ISNUMBER('Данные 2st'!$PS$2:$PS$317))</f>
        <v>6</v>
      </c>
      <c r="TD70">
        <f>SUMPRODUCT(--('Данные 2st'!$Q$2:$Q$317=$A70),--ISNUMBER('Данные 2st'!$PT$2:$PT$317))</f>
        <v>6</v>
      </c>
      <c r="TE70">
        <f>SUMPRODUCT(--('Данные 2st'!$Q$2:$Q$317=$A70),--ISNUMBER('Данные 2st'!$PU$2:$PU$317))</f>
        <v>6</v>
      </c>
      <c r="TF70">
        <f>SUMPRODUCT(--('Данные 2st'!$Q$2:$Q$317=$A70),--ISNUMBER('Данные 2st'!$PX$2:$PX$317))</f>
        <v>6</v>
      </c>
      <c r="TG70">
        <f>SUMPRODUCT(--('Данные 2st'!$Q$2:$Q$317=$A70),--ISNUMBER('Данные 2st'!$PY$2:$PY$317))</f>
        <v>6</v>
      </c>
      <c r="TH70">
        <f>SUMPRODUCT(--('Данные 2st'!$Q$2:$Q$317=$A70),--ISNUMBER('Данные 2st'!$PZ$2:$PZ$317))</f>
        <v>6</v>
      </c>
      <c r="TI70">
        <f>SUMPRODUCT(--('Данные 2st'!$Q$2:$Q$317=$A70),--ISNUMBER('Данные 2st'!$QA$2:$QA$317))</f>
        <v>6</v>
      </c>
      <c r="TJ70">
        <f>SUMPRODUCT(--('Данные 2st'!$Q$2:$Q$317=$A70),--ISNUMBER('Данные 2st'!$QB$2:$QB$317))</f>
        <v>6</v>
      </c>
      <c r="TK70">
        <f>SUMPRODUCT(--('Данные 2st'!$Q$2:$Q$317=$A70),--ISNUMBER('Данные 2st'!$QC$2:$QC$317))</f>
        <v>6</v>
      </c>
      <c r="TL70">
        <f>SUMPRODUCT(--('Данные 2st'!$Q$2:$Q$317=$A70),--ISNUMBER('Данные 2st'!$QD$2:$QD$317))</f>
        <v>6</v>
      </c>
      <c r="TM70">
        <f>SUMPRODUCT(--('Данные 2st'!$Q$2:$Q$317=$A70),--ISNUMBER('Данные 2st'!$QE$2:$QE$317))</f>
        <v>6</v>
      </c>
      <c r="TN70">
        <f>SUMPRODUCT(--('Данные 2st'!$Q$2:$Q$317=$A70),--ISNUMBER('Данные 2st'!$QF$2:$QF$317))</f>
        <v>6</v>
      </c>
      <c r="TO70">
        <f>SUMPRODUCT(--('Данные 2st'!$Q$2:$Q$317=$A70),--ISNUMBER('Данные 2st'!$QG$2:$QG$317))</f>
        <v>6</v>
      </c>
      <c r="TP70">
        <f>SUMPRODUCT(--('Данные 2st'!$Q$2:$Q$317=$A70),--ISNUMBER('Данные 2st'!$QH$2:$QH$317))</f>
        <v>6</v>
      </c>
      <c r="TQ70">
        <f>SUMPRODUCT(--('Данные 2st'!$Q$2:$Q$317=$A70),--ISNUMBER('Данные 2st'!$QI$2:$QI$317))</f>
        <v>6</v>
      </c>
      <c r="TR70">
        <f>SUMPRODUCT(--('Данные 2st'!$Q$2:$Q$317=$A70),--ISNUMBER('Данные 2st'!$QJ$2:$QJ$317))</f>
        <v>6</v>
      </c>
      <c r="TS70">
        <f>SUMPRODUCT(--('Данные 2st'!$Q$2:$Q$317=$A70),--ISNUMBER('Данные 2st'!$QK$2:$QK$317))</f>
        <v>6</v>
      </c>
      <c r="TT70">
        <f>SUMPRODUCT(--('Данные 2st'!$Q$2:$Q$317=$A70),--ISNUMBER('Данные 2st'!$QL$2:$QL$317))</f>
        <v>6</v>
      </c>
      <c r="TU70">
        <f>SUMPRODUCT(--('Данные 2st'!$Q$2:$Q$317=$A70),--ISNUMBER('Данные 2st'!$QM$2:$QM$317))</f>
        <v>6</v>
      </c>
      <c r="TV70">
        <f>SUMPRODUCT(--('Данные 2st'!$Q$2:$Q$317=$A70),--ISNUMBER('Данные 2st'!$QN$2:$QN$317))</f>
        <v>6</v>
      </c>
      <c r="TW70">
        <f>SUMPRODUCT(--('Данные 2st'!$Q$2:$Q$317=$A70),--ISNUMBER('Данные 2st'!$QQ$2:$QQ$317))</f>
        <v>6</v>
      </c>
      <c r="TX70">
        <f>SUMPRODUCT(--('Данные 2st'!$Q$2:$Q$317=$A70),--ISNUMBER('Данные 2st'!$QS$2:$QS$317))</f>
        <v>6</v>
      </c>
      <c r="TY70">
        <f>SUMPRODUCT(--('Данные 2st'!$Q$2:$Q$317=$A70),--ISNUMBER('Данные 2st'!$QT$2:$QT$317))</f>
        <v>6</v>
      </c>
    </row>
    <row r="71" spans="1:545" ht="32" customHeight="1">
      <c r="A71" s="11" t="str">
        <f>'По размерам'!A71</f>
        <v>255/55R18</v>
      </c>
      <c r="G71">
        <f>SUMPRODUCT(--('Данные 1st'!$S$2:$S$317=$A71),--ISNUMBER('Данные 1st'!$AE$2:$AE$317))</f>
        <v>4</v>
      </c>
      <c r="H71">
        <f>SUMPRODUCT(--('Данные 1st'!$S$2:$S$317=$A71),--ISNUMBER('Данные 1st'!$AF$2:$AF$317))</f>
        <v>4</v>
      </c>
      <c r="I71">
        <f>SUMPRODUCT(--('Данные 1st'!$S$2:$S$317=$A71),--ISNUMBER('Данные 1st'!$AJ$2:$AJ$317))</f>
        <v>4</v>
      </c>
      <c r="J71">
        <f>SUMPRODUCT(--('Данные 1st'!$S$2:$S$317=$A71),--ISNUMBER('Данные 1st'!$AL$2:$AL$317))</f>
        <v>4</v>
      </c>
      <c r="K71">
        <f>SUMPRODUCT(--('Данные 1st'!$S$2:$S$317=$A71),--ISNUMBER('Данные 1st'!$AR$2:$AR$317))</f>
        <v>4</v>
      </c>
      <c r="L71">
        <f>SUMPRODUCT(--('Данные 1st'!$S$2:$S$317=$A71),--ISNUMBER('Данные 1st'!$AS$2:$AS$317))</f>
        <v>4</v>
      </c>
      <c r="M71">
        <f>SUMPRODUCT(--('Данные 1st'!$S$2:$S$317=$A71),--ISNUMBER('Данные 1st'!$AY$2:$AY$317))</f>
        <v>4</v>
      </c>
      <c r="N71">
        <f>SUMPRODUCT(--('Данные 1st'!$S$2:$S$317=$A71),--ISNUMBER('Данные 1st'!$AZ$2:$AZ$317))</f>
        <v>4</v>
      </c>
      <c r="O71">
        <f>SUMPRODUCT(--('Данные 1st'!$S$2:$S$317=$A71),--ISNUMBER('Данные 1st'!$BF$2:$BF$317))</f>
        <v>4</v>
      </c>
      <c r="P71">
        <f>SUMPRODUCT(--('Данные 1st'!$S$2:$S$317=$A71),--ISNUMBER('Данные 1st'!$BG$2:$BG$317))</f>
        <v>4</v>
      </c>
      <c r="Q71">
        <f>SUMPRODUCT(--('Данные 1st'!$S$2:$S$317=$A71),--ISNUMBER('Данные 1st'!$BM$2:$BM$317))</f>
        <v>0</v>
      </c>
      <c r="R71">
        <f>SUMPRODUCT(--('Данные 1st'!$S$2:$S$317=$A71),--ISNUMBER('Данные 1st'!$BN$2:$BN$317))</f>
        <v>4</v>
      </c>
      <c r="S71">
        <f>SUMPRODUCT(--('Данные 1st'!$S$2:$S$317=$A71),--ISNUMBER('Данные 1st'!$BT$2:$BT$317))</f>
        <v>4</v>
      </c>
      <c r="T71">
        <f>SUMPRODUCT(--('Данные 1st'!$S$2:$S$317=$A71),--ISNUMBER('Данные 1st'!$BU$2:$BU$317))</f>
        <v>4</v>
      </c>
      <c r="U71">
        <f>SUMPRODUCT(--('Данные 1st'!$S$2:$S$317=$A71),--ISNUMBER('Данные 1st'!$BW$2:$BW$317))</f>
        <v>4</v>
      </c>
      <c r="V71">
        <f>SUMPRODUCT(--('Данные 1st'!$S$2:$S$317=$A71),--ISNUMBER('Данные 1st'!$BX$2:$BX$317))</f>
        <v>4</v>
      </c>
      <c r="W71">
        <f>SUMPRODUCT(--('Данные 1st'!$S$2:$S$317=$A71),--ISNUMBER('Данные 1st'!$BZ$2:$BZ$317))</f>
        <v>4</v>
      </c>
      <c r="X71">
        <f>SUMPRODUCT(--('Данные 1st'!$S$2:$S$317=$A71),--ISNUMBER('Данные 1st'!$CA$2:$CA$317))</f>
        <v>4</v>
      </c>
      <c r="Y71">
        <f>SUMPRODUCT(--('Данные 1st'!$S$2:$S$317=$A71),--ISNUMBER('Данные 1st'!$CD$2:$CD$317))</f>
        <v>4</v>
      </c>
      <c r="Z71">
        <f>SUMPRODUCT(--('Данные 1st'!$S$2:$S$317=$A71),--ISNUMBER('Данные 1st'!$CF$2:$CF$317))</f>
        <v>4</v>
      </c>
      <c r="AA71">
        <f>SUMPRODUCT(--('Данные 1st'!$S$2:$S$317=$A71),--ISNUMBER('Данные 1st'!$CI$2:$CI$317))</f>
        <v>4</v>
      </c>
      <c r="AB71">
        <f>SUMPRODUCT(--('Данные 1st'!$S$2:$S$317=$A71),--ISNUMBER('Данные 1st'!$CJ$2:$CJ$317))</f>
        <v>4</v>
      </c>
      <c r="AC71">
        <f>SUMPRODUCT(--('Данные 1st'!$S$2:$S$317=$A71),--ISNUMBER('Данные 1st'!$CK$2:$CK$317))</f>
        <v>4</v>
      </c>
      <c r="AD71">
        <f>SUMPRODUCT(--('Данные 1st'!$S$2:$S$317=$A71),--ISNUMBER('Данные 1st'!$CL$2:$CL$317))</f>
        <v>4</v>
      </c>
      <c r="AE71">
        <f>SUMPRODUCT(--('Данные 1st'!$S$2:$S$317=$A71),--ISNUMBER('Данные 1st'!$CM$2:$CM$317))</f>
        <v>4</v>
      </c>
      <c r="AF71">
        <f>SUMPRODUCT(--('Данные 1st'!$S$2:$S$317=$A71),--ISNUMBER('Данные 1st'!$CT$2:$CT$317))</f>
        <v>4</v>
      </c>
      <c r="AG71">
        <f>SUMPRODUCT(--('Данные 1st'!$S$2:$S$317=$A71),--ISNUMBER('Данные 1st'!$CU$2:$CU$317))</f>
        <v>4</v>
      </c>
      <c r="AH71">
        <f>SUMPRODUCT(--('Данные 1st'!$S$2:$S$317=$A71),--ISNUMBER('Данные 1st'!$CV$2:$CV$317))</f>
        <v>4</v>
      </c>
      <c r="AI71">
        <f>SUMPRODUCT(--('Данные 1st'!$S$2:$S$317=$A71),--ISNUMBER('Данные 1st'!$CW$2:$CW$317))</f>
        <v>4</v>
      </c>
      <c r="AJ71">
        <f>SUMPRODUCT(--('Данные 1st'!$S$2:$S$317=$A71),--ISNUMBER('Данные 1st'!$CX$2:$CX$317))</f>
        <v>4</v>
      </c>
      <c r="AK71">
        <f>SUMPRODUCT(--('Данные 1st'!$S$2:$S$317=$A71),--ISNUMBER('Данные 1st'!$CZ$2:$CZ$317))</f>
        <v>0</v>
      </c>
      <c r="AL71">
        <f>SUMPRODUCT(--('Данные 1st'!$S$2:$S$317=$A71),--ISNUMBER('Данные 1st'!$DA$2:$DA$317))</f>
        <v>0</v>
      </c>
      <c r="AM71">
        <f>SUMPRODUCT(--('Данные 1st'!$S$2:$S$317=$A71),--ISNUMBER('Данные 1st'!$DB$2:$DB$317))</f>
        <v>0</v>
      </c>
      <c r="AN71">
        <f>SUMPRODUCT(--('Данные 1st'!$S$2:$S$317=$A71),--ISNUMBER('Данные 1st'!$DC$2:$DC$317))</f>
        <v>0</v>
      </c>
      <c r="AO71">
        <f>SUMPRODUCT(--('Данные 1st'!$S$2:$S$317=$A71),--ISNUMBER('Данные 1st'!$DD$2:$DD$317))</f>
        <v>4</v>
      </c>
      <c r="AP71">
        <f>SUMPRODUCT(--('Данные 1st'!$S$2:$S$317=$A71),--ISNUMBER('Данные 1st'!$DF$2:$DF$317))</f>
        <v>4</v>
      </c>
      <c r="AQ71">
        <f>SUMPRODUCT(--('Данные 1st'!$S$2:$S$317=$A71),--ISNUMBER('Данные 1st'!$DG$2:$DG$317))</f>
        <v>4</v>
      </c>
      <c r="AR71">
        <f>SUMPRODUCT(--('Данные 1st'!$S$2:$S$317=$A71),--ISNUMBER('Данные 1st'!$DH$2:$DH$317))</f>
        <v>4</v>
      </c>
      <c r="AS71">
        <f>SUMPRODUCT(--('Данные 1st'!$S$2:$S$317=$A71),--ISNUMBER('Данные 1st'!$DI$2:$DI$317))</f>
        <v>4</v>
      </c>
      <c r="AT71">
        <f>SUMPRODUCT(--('Данные 1st'!$S$2:$S$317=$A71),--ISNUMBER('Данные 1st'!$DJ$2:$DJ$317))</f>
        <v>4</v>
      </c>
      <c r="AU71">
        <f>SUMPRODUCT(--('Данные 1st'!$S$2:$S$317=$A71),--ISNUMBER('Данные 1st'!$DL$2:$DL$317))</f>
        <v>4</v>
      </c>
      <c r="AV71">
        <f>SUMPRODUCT(--('Данные 1st'!$S$2:$S$317=$A71),--ISNUMBER('Данные 1st'!$DM$2:$DM$317))</f>
        <v>4</v>
      </c>
      <c r="AW71">
        <f>SUMPRODUCT(--('Данные 1st'!$S$2:$S$317=$A71),--ISNUMBER('Данные 1st'!$DN$2:$DN$317))</f>
        <v>4</v>
      </c>
      <c r="AX71">
        <f>SUMPRODUCT(--('Данные 1st'!$S$2:$S$317=$A71),--ISNUMBER('Данные 1st'!$DO$2:$DO$317))</f>
        <v>4</v>
      </c>
      <c r="AY71">
        <f>SUMPRODUCT(--('Данные 1st'!$S$2:$S$317=$A71),--ISNUMBER('Данные 1st'!$DP$2:$DP$317))</f>
        <v>4</v>
      </c>
      <c r="AZ71">
        <f>SUMPRODUCT(--('Данные 1st'!$S$2:$S$317=$A71),--ISNUMBER('Данные 1st'!$DR$2:$DR$317))</f>
        <v>0</v>
      </c>
      <c r="BA71">
        <f>SUMPRODUCT(--('Данные 1st'!$S$2:$S$317=$A71),--ISNUMBER('Данные 1st'!$DS$2:$DS$317))</f>
        <v>0</v>
      </c>
      <c r="BB71">
        <f>SUMPRODUCT(--('Данные 1st'!$S$2:$S$317=$A71),--ISNUMBER('Данные 1st'!$DT$2:$DT$317))</f>
        <v>0</v>
      </c>
      <c r="BC71">
        <f>SUMPRODUCT(--('Данные 1st'!$S$2:$S$317=$A71),--ISNUMBER('Данные 1st'!$DU$2:$DU$317))</f>
        <v>0</v>
      </c>
      <c r="BD71">
        <f>SUMPRODUCT(--('Данные 1st'!$S$2:$S$317=$A71),--ISNUMBER('Данные 1st'!$DV$2:$DV$317))</f>
        <v>0</v>
      </c>
      <c r="BE71">
        <f>SUMPRODUCT(--('Данные 1st'!$S$2:$S$317=$A71),--ISNUMBER('Данные 1st'!$DX$2:$DX$317))</f>
        <v>4</v>
      </c>
      <c r="BF71">
        <f>SUMPRODUCT(--('Данные 1st'!$S$2:$S$317=$A71),--ISNUMBER('Данные 1st'!$EA$2:$EA$317))</f>
        <v>4</v>
      </c>
      <c r="BG71">
        <f>SUMPRODUCT(--('Данные 1st'!$S$2:$S$317=$A71),--ISNUMBER('Данные 1st'!$EB$2:$EB$317))</f>
        <v>4</v>
      </c>
      <c r="BH71">
        <f>SUMPRODUCT(--('Данные 1st'!$S$2:$S$317=$A71),--ISNUMBER('Данные 1st'!$ED$2:$ED$317))</f>
        <v>4</v>
      </c>
      <c r="BI71">
        <f>SUMPRODUCT(--('Данные 1st'!$S$2:$S$317=$A71),--ISNUMBER('Данные 1st'!$EE$2:$EE$317))</f>
        <v>4</v>
      </c>
      <c r="BJ71">
        <f>SUMPRODUCT(--('Данные 1st'!$S$2:$S$317=$A71),--ISNUMBER('Данные 1st'!$EG$2:$EG$317))</f>
        <v>4</v>
      </c>
      <c r="BK71">
        <f>SUMPRODUCT(--('Данные 1st'!$S$2:$S$317=$A71),--ISNUMBER('Данные 1st'!$EH$2:$EH$317))</f>
        <v>4</v>
      </c>
      <c r="BL71">
        <f>SUMPRODUCT(--('Данные 1st'!$S$2:$S$317=$A71),--ISNUMBER('Данные 1st'!$EJ$2:$EJ$317))</f>
        <v>4</v>
      </c>
      <c r="BM71">
        <f>SUMPRODUCT(--('Данные 1st'!$S$2:$S$317=$A71),--ISNUMBER('Данные 1st'!$EK$2:$EK$317))</f>
        <v>4</v>
      </c>
      <c r="BN71">
        <f>SUMPRODUCT(--('Данные 1st'!$S$2:$S$317=$A71),--ISNUMBER('Данные 1st'!$EN$2:$EN$317))</f>
        <v>4</v>
      </c>
      <c r="BO71">
        <f>SUMPRODUCT(--('Данные 1st'!$S$2:$S$317=$A71),--ISNUMBER('Данные 1st'!$EQ$2:$EQ$317))</f>
        <v>4</v>
      </c>
      <c r="BP71">
        <f>SUMPRODUCT(--('Данные 1st'!$S$2:$S$317=$A71),--ISNUMBER('Данные 1st'!$ER$2:$ER$317))</f>
        <v>4</v>
      </c>
      <c r="BQ71">
        <f>SUMPRODUCT(--('Данные 1st'!$S$2:$S$317=$A71),--ISNUMBER('Данные 1st'!$ES$2:$ES$317))</f>
        <v>4</v>
      </c>
      <c r="BR71">
        <f>SUMPRODUCT(--('Данные 1st'!$S$2:$S$317=$A71),--ISNUMBER('Данные 1st'!$ET$2:$ET$317))</f>
        <v>4</v>
      </c>
      <c r="BS71">
        <f>SUMPRODUCT(--('Данные 1st'!$S$2:$S$317=$A71),--ISNUMBER('Данные 1st'!$EU$2:$EU$317))</f>
        <v>4</v>
      </c>
      <c r="BT71">
        <f>SUMPRODUCT(--('Данные 1st'!$S$2:$S$317=$A71),--ISNUMBER('Данные 1st'!$EV$2:$EV$317))</f>
        <v>4</v>
      </c>
      <c r="BU71">
        <f>SUMPRODUCT(--('Данные 1st'!$S$2:$S$317=$A71),--ISNUMBER('Данные 1st'!$EX$2:$EX$317))</f>
        <v>4</v>
      </c>
      <c r="BV71">
        <f>SUMPRODUCT(--('Данные 1st'!$S$2:$S$317=$A71),--ISNUMBER('Данные 1st'!$EY$2:$EY$317))</f>
        <v>4</v>
      </c>
      <c r="BW71">
        <f>SUMPRODUCT(--('Данные 1st'!$S$2:$S$317=$A71),--ISNUMBER('Данные 1st'!$EZ$2:$EZ$317))</f>
        <v>4</v>
      </c>
      <c r="BX71">
        <f>SUMPRODUCT(--('Данные 1st'!$S$2:$S$317=$A71),--ISNUMBER('Данные 1st'!$FA$2:$FA$317))</f>
        <v>4</v>
      </c>
      <c r="BY71">
        <f>SUMPRODUCT(--('Данные 1st'!$S$2:$S$317=$A71),--ISNUMBER('Данные 1st'!$FB$2:$FB$317))</f>
        <v>4</v>
      </c>
      <c r="BZ71">
        <f>SUMPRODUCT(--('Данные 1st'!$S$2:$S$317=$A71),--ISNUMBER('Данные 1st'!$FC$2:$FC$317))</f>
        <v>4</v>
      </c>
      <c r="CA71">
        <f>SUMPRODUCT(--('Данные 1st'!$S$2:$S$317=$A71),--ISNUMBER('Данные 1st'!$FE$2:$FE$317))</f>
        <v>4</v>
      </c>
      <c r="CB71">
        <f>SUMPRODUCT(--('Данные 1st'!$S$2:$S$317=$A71),--ISNUMBER('Данные 1st'!$FF$2:$FF$317))</f>
        <v>4</v>
      </c>
      <c r="CC71">
        <f>SUMPRODUCT(--('Данные 1st'!$S$2:$S$317=$A71),--ISNUMBER('Данные 1st'!$FI$2:$FI$317))</f>
        <v>4</v>
      </c>
      <c r="CD71">
        <f>SUMPRODUCT(--('Данные 1st'!$S$2:$S$317=$A71),--ISNUMBER('Данные 1st'!$FL$2:$FL$317))</f>
        <v>4</v>
      </c>
      <c r="CE71">
        <f>SUMPRODUCT(--('Данные 1st'!$S$2:$S$317=$A71),--ISNUMBER('Данные 1st'!$FM$2:$FM$317))</f>
        <v>4</v>
      </c>
      <c r="CF71">
        <f>SUMPRODUCT(--('Данные 1st'!$S$2:$S$317=$A71),--ISNUMBER('Данные 1st'!$FN$2:$FN$317))</f>
        <v>4</v>
      </c>
      <c r="CG71">
        <f>SUMPRODUCT(--('Данные 1st'!$S$2:$S$317=$A71),--ISNUMBER('Данные 1st'!$FO$2:$FO$317))</f>
        <v>0</v>
      </c>
      <c r="CH71">
        <f>SUMPRODUCT(--('Данные 1st'!$S$2:$S$317=$A71),--ISNUMBER('Данные 1st'!$FP$2:$FP$317))</f>
        <v>0</v>
      </c>
      <c r="CI71">
        <f>SUMPRODUCT(--('Данные 1st'!$S$2:$S$317=$A71),--ISNUMBER('Данные 1st'!$FS$2:$FS$317))</f>
        <v>0</v>
      </c>
      <c r="CJ71">
        <f>SUMPRODUCT(--('Данные 1st'!$S$2:$S$317=$A71),--ISNUMBER('Данные 1st'!$FT$2:$FT$317))</f>
        <v>0</v>
      </c>
      <c r="CK71">
        <f>SUMPRODUCT(--('Данные 1st'!$S$2:$S$317=$A71),--ISNUMBER('Данные 1st'!$FU$2:$FU$317))</f>
        <v>0</v>
      </c>
      <c r="CL71">
        <f>SUMPRODUCT(--('Данные 1st'!$S$2:$S$317=$A71),--ISNUMBER('Данные 1st'!$FV$2:$FV$317))</f>
        <v>0</v>
      </c>
      <c r="CM71">
        <f>SUMPRODUCT(--('Данные 1st'!$S$2:$S$317=$A71),--ISNUMBER('Данные 1st'!$FW$2:$FW$317))</f>
        <v>0</v>
      </c>
      <c r="CN71">
        <f>SUMPRODUCT(--('Данные 1st'!$S$2:$S$317=$A71),--ISNUMBER('Данные 1st'!$FZ$2:$FZ$317))</f>
        <v>0</v>
      </c>
      <c r="CO71">
        <f>SUMPRODUCT(--('Данные 1st'!$S$2:$S$317=$A71),--ISNUMBER('Данные 1st'!$GA$2:$GA$317))</f>
        <v>0</v>
      </c>
      <c r="CP71">
        <f>SUMPRODUCT(--('Данные 1st'!$S$2:$S$317=$A71),--ISNUMBER('Данные 1st'!$GB$2:$GB$317))</f>
        <v>0</v>
      </c>
      <c r="CQ71">
        <f>SUMPRODUCT(--('Данные 1st'!$S$2:$S$317=$A71),--ISNUMBER('Данные 1st'!$GH$2:$GH$317))</f>
        <v>0</v>
      </c>
      <c r="CR71">
        <f>SUMPRODUCT(--('Данные 1st'!$S$2:$S$317=$A71),--ISNUMBER('Данные 1st'!$GI$2:$GI$317))</f>
        <v>0</v>
      </c>
      <c r="CS71">
        <f>SUMPRODUCT(--('Данные 1st'!$S$2:$S$317=$A71),--ISNUMBER('Данные 1st'!$GJ$2:$GJ$317))</f>
        <v>0</v>
      </c>
      <c r="CT71">
        <f>SUMPRODUCT(--('Данные 1st'!$S$2:$S$317=$A71),--ISNUMBER('Данные 1st'!$GS$2:$GS$317))</f>
        <v>4</v>
      </c>
      <c r="CU71">
        <f>SUMPRODUCT(--('Данные 1st'!$S$2:$S$317=$A71),--ISNUMBER('Данные 1st'!$GT$2:$GT$317))</f>
        <v>4</v>
      </c>
      <c r="CV71">
        <f>SUMPRODUCT(--('Данные 1st'!$S$2:$S$317=$A71),--ISNUMBER('Данные 1st'!$GU$2:$GU$317))</f>
        <v>4</v>
      </c>
      <c r="CW71">
        <f>SUMPRODUCT(--('Данные 1st'!$S$2:$S$317=$A71),--ISNUMBER('Данные 1st'!$GV$2:$GV$317))</f>
        <v>4</v>
      </c>
      <c r="CX71">
        <f>SUMPRODUCT(--('Данные 1st'!$S$2:$S$317=$A71),--ISNUMBER('Данные 1st'!$GW$2:$GW$317))</f>
        <v>4</v>
      </c>
      <c r="CY71">
        <f>SUMPRODUCT(--('Данные 1st'!$S$2:$S$317=$A71),--ISNUMBER('Данные 1st'!$GZ$2:$GZ$317))</f>
        <v>2</v>
      </c>
      <c r="CZ71">
        <f>SUMPRODUCT(--('Данные 1st'!$S$2:$S$317=$A71),--ISNUMBER('Данные 1st'!$HA$2:$HA$317))</f>
        <v>2</v>
      </c>
      <c r="DA71">
        <f>SUMPRODUCT(--('Данные 1st'!$S$2:$S$317=$A71),--ISNUMBER('Данные 1st'!$HB$2:$HB$317))</f>
        <v>2</v>
      </c>
      <c r="DB71">
        <f>SUMPRODUCT(--('Данные 1st'!$S$2:$S$317=$A71),--ISNUMBER('Данные 1st'!$HC$2:$HC$317))</f>
        <v>4</v>
      </c>
      <c r="DC71">
        <f>SUMPRODUCT(--('Данные 1st'!$S$2:$S$317=$A71),--ISNUMBER('Данные 1st'!$HD$2:$HD$317))</f>
        <v>4</v>
      </c>
      <c r="DD71">
        <f>SUMPRODUCT(--('Данные 1st'!$S$2:$S$317=$A71),--ISNUMBER('Данные 1st'!$HE$2:$HE$317))</f>
        <v>4</v>
      </c>
      <c r="DE71">
        <f>SUMPRODUCT(--('Данные 1st'!$S$2:$S$317=$A71),--ISNUMBER('Данные 1st'!$HF$2:$HF$317))</f>
        <v>4</v>
      </c>
      <c r="DF71">
        <f>SUMPRODUCT(--('Данные 1st'!$S$2:$S$317=$A71),--ISNUMBER('Данные 1st'!$HG$2:$HG$317))</f>
        <v>4</v>
      </c>
      <c r="DG71">
        <f>SUMPRODUCT(--('Данные 1st'!$S$2:$S$317=$A71),--ISNUMBER('Данные 1st'!$HH$2:$HH$317))</f>
        <v>4</v>
      </c>
      <c r="DH71">
        <f>SUMPRODUCT(--('Данные 1st'!$S$2:$S$317=$A71),--ISNUMBER('Данные 1st'!$HI$2:$HI$317))</f>
        <v>4</v>
      </c>
      <c r="DI71">
        <f>SUMPRODUCT(--('Данные 1st'!$S$2:$S$317=$A71),--ISNUMBER('Данные 1st'!$HJ$2:$HJ$317))</f>
        <v>4</v>
      </c>
      <c r="DJ71">
        <f>SUMPRODUCT(--('Данные 1st'!$S$2:$S$317=$A71),--ISNUMBER('Данные 1st'!$HK$2:$HK$317))</f>
        <v>4</v>
      </c>
      <c r="DK71">
        <f>SUMPRODUCT(--('Данные 1st'!$S$2:$S$317=$A71),--ISNUMBER('Данные 1st'!$HL$2:$HL$317))</f>
        <v>4</v>
      </c>
      <c r="DL71">
        <f>SUMPRODUCT(--('Данные 1st'!$S$2:$S$317=$A71),--ISNUMBER('Данные 1st'!$HM$2:$HM$317))</f>
        <v>4</v>
      </c>
      <c r="DM71">
        <f>SUMPRODUCT(--('Данные 1st'!$S$2:$S$317=$A71),--ISNUMBER('Данные 1st'!$HN$2:$HN$317))</f>
        <v>4</v>
      </c>
      <c r="DN71">
        <f>SUMPRODUCT(--('Данные 1st'!$S$2:$S$317=$A71),--ISNUMBER('Данные 1st'!$HO$2:$HO$317))</f>
        <v>4</v>
      </c>
      <c r="DO71">
        <f>SUMPRODUCT(--('Данные 1st'!$S$2:$S$317=$A71),--ISNUMBER('Данные 1st'!$HP$2:$HP$317))</f>
        <v>4</v>
      </c>
      <c r="DP71">
        <f>SUMPRODUCT(--('Данные 1st'!$S$2:$S$317=$A71),--ISNUMBER('Данные 1st'!$HQ$2:$HQ$317))</f>
        <v>4</v>
      </c>
      <c r="DQ71">
        <f>SUMPRODUCT(--('Данные 1st'!$S$2:$S$317=$A71),--ISNUMBER('Данные 1st'!$HR$2:$HR$317))</f>
        <v>4</v>
      </c>
      <c r="DR71">
        <f>SUMPRODUCT(--('Данные 1st'!$S$2:$S$317=$A71),--ISNUMBER('Данные 1st'!$HS$2:$HS$317))</f>
        <v>4</v>
      </c>
      <c r="DS71">
        <f>SUMPRODUCT(--('Данные 1st'!$S$2:$S$317=$A71),--ISNUMBER('Данные 1st'!$HT$2:$HT$317))</f>
        <v>4</v>
      </c>
      <c r="DT71">
        <f>SUMPRODUCT(--('Данные 1st'!$S$2:$S$317=$A71),--ISNUMBER('Данные 1st'!$HU$2:$HU$317))</f>
        <v>4</v>
      </c>
      <c r="DU71">
        <f>SUMPRODUCT(--('Данные 1st'!$S$2:$S$317=$A71),--ISNUMBER('Данные 1st'!$HW$2:$HW$317))</f>
        <v>4</v>
      </c>
      <c r="DV71">
        <f>SUMPRODUCT(--('Данные 1st'!$S$2:$S$317=$A71),--ISNUMBER('Данные 1st'!$HX$2:$HX$317))</f>
        <v>4</v>
      </c>
      <c r="DW71">
        <f>SUMPRODUCT(--('Данные 1st'!$S$2:$S$317=$A71),--ISNUMBER('Данные 1st'!$HY$2:$HY$317))</f>
        <v>4</v>
      </c>
      <c r="DX71">
        <f>SUMPRODUCT(--('Данные 1st'!$S$2:$S$317=$A71),--ISNUMBER('Данные 1st'!$IA$2:$IA$317))</f>
        <v>4</v>
      </c>
      <c r="DY71">
        <f>SUMPRODUCT(--('Данные 1st'!$S$2:$S$317=$A71),--ISNUMBER('Данные 1st'!$IB$2:$IB$317))</f>
        <v>4</v>
      </c>
      <c r="DZ71">
        <f>SUMPRODUCT(--('Данные 1st'!$S$2:$S$317=$A71),--ISNUMBER('Данные 1st'!$IC$2:$IC$317))</f>
        <v>4</v>
      </c>
      <c r="EA71">
        <f>SUMPRODUCT(--('Данные 1st'!$S$2:$S$317=$A71),--ISNUMBER('Данные 1st'!$ID$2:$ID$317))</f>
        <v>4</v>
      </c>
      <c r="EB71">
        <f>SUMPRODUCT(--('Данные 1st'!$S$2:$S$317=$A71),--ISNUMBER('Данные 1st'!$IE$2:$IE$317))</f>
        <v>4</v>
      </c>
      <c r="EC71">
        <f>SUMPRODUCT(--('Данные 1st'!$S$2:$S$317=$A71),--ISNUMBER('Данные 1st'!$IF$2:$IF$317))</f>
        <v>4</v>
      </c>
      <c r="ED71">
        <f>SUMPRODUCT(--('Данные 1st'!$S$2:$S$317=$A71),--ISNUMBER('Данные 1st'!$IP$2:$IP$317))</f>
        <v>4</v>
      </c>
      <c r="EE71">
        <f>SUMPRODUCT(--('Данные 1st'!$S$2:$S$317=$A71),--ISNUMBER('Данные 1st'!$IV$2:$IV$317))</f>
        <v>4</v>
      </c>
      <c r="EF71">
        <f>SUMPRODUCT(--('Данные 1st'!$S$2:$S$317=$A71),--ISNUMBER('Данные 1st'!$IW$2:$IW$317))</f>
        <v>4</v>
      </c>
      <c r="EG71">
        <f>SUMPRODUCT(--('Данные 1st'!$S$2:$S$317=$A71),--ISNUMBER('Данные 1st'!$IX$2:$IX$317))</f>
        <v>0</v>
      </c>
      <c r="EH71">
        <f>SUMPRODUCT(--('Данные 1st'!$S$2:$S$317=$A71),--ISNUMBER('Данные 1st'!$IY$2:$IY$317))</f>
        <v>0</v>
      </c>
      <c r="EI71">
        <f>SUMPRODUCT(--('Данные 1st'!$S$2:$S$317=$A71),--ISNUMBER('Данные 1st'!$JD$2:$JD$317))</f>
        <v>4</v>
      </c>
      <c r="EJ71">
        <f>SUMPRODUCT(--('Данные 1st'!$S$2:$S$317=$A71),--ISNUMBER('Данные 1st'!$JE$2:$JE$317))</f>
        <v>4</v>
      </c>
      <c r="EK71">
        <f>SUMPRODUCT(--('Данные 1st'!$S$2:$S$317=$A71),--ISNUMBER('Данные 1st'!$JF$2:$JF$317))</f>
        <v>4</v>
      </c>
      <c r="EL71">
        <f>SUMPRODUCT(--('Данные 1st'!$S$2:$S$317=$A71),--ISNUMBER('Данные 1st'!$JG$2:$JG$317))</f>
        <v>4</v>
      </c>
      <c r="EM71">
        <f>SUMPRODUCT(--('Данные 1st'!$S$2:$S$317=$A71),--ISNUMBER('Данные 1st'!$JH$2:$JH$317))</f>
        <v>4</v>
      </c>
      <c r="EN71">
        <f>SUMPRODUCT(--('Данные 1st'!$S$2:$S$317=$A71),--ISNUMBER('Данные 1st'!$JJ$2:$JJ$317))</f>
        <v>4</v>
      </c>
      <c r="EO71">
        <f>SUMPRODUCT(--('Данные 1st'!$S$2:$S$317=$A71),--ISNUMBER('Данные 1st'!$JK$2:$JK$317))</f>
        <v>4</v>
      </c>
      <c r="EP71">
        <f>SUMPRODUCT(--('Данные 1st'!$S$2:$S$317=$A71),--ISNUMBER('Данные 1st'!$JL$2:$JL$317))</f>
        <v>0</v>
      </c>
      <c r="EQ71">
        <f>SUMPRODUCT(--('Данные 1st'!$S$2:$S$317=$A71),--ISNUMBER('Данные 1st'!$JM$2:$JM$317))</f>
        <v>0</v>
      </c>
      <c r="ER71">
        <f>SUMPRODUCT(--('Данные 1st'!$S$2:$S$317=$A71),--ISNUMBER('Данные 1st'!$JN$2:$JN$317))</f>
        <v>4</v>
      </c>
      <c r="ES71">
        <f>SUMPRODUCT(--('Данные 1st'!$S$2:$S$317=$A71),--ISNUMBER('Данные 1st'!$JO$2:$JO$317))</f>
        <v>4</v>
      </c>
      <c r="ET71">
        <f>SUMPRODUCT(--('Данные 1st'!$S$2:$S$317=$A71),--ISNUMBER('Данные 1st'!$JP$2:$JP$317))</f>
        <v>4</v>
      </c>
      <c r="EU71">
        <f>SUMPRODUCT(--('Данные 1st'!$S$2:$S$317=$A71),--ISNUMBER('Данные 1st'!$JQ$2:$JQ$317))</f>
        <v>4</v>
      </c>
      <c r="EV71">
        <f>SUMPRODUCT(--('Данные 1st'!$S$2:$S$317=$A71),--ISNUMBER('Данные 1st'!$JR$2:$JR$317))</f>
        <v>4</v>
      </c>
      <c r="EW71">
        <f>SUMPRODUCT(--('Данные 1st'!$S$2:$S$317=$A71),--ISNUMBER('Данные 1st'!$JS$2:$JS$317))</f>
        <v>4</v>
      </c>
      <c r="EX71">
        <f>SUMPRODUCT(--('Данные 1st'!$S$2:$S$317=$A71),--ISNUMBER('Данные 1st'!$JT$2:$JT$317))</f>
        <v>0</v>
      </c>
      <c r="EY71">
        <f>SUMPRODUCT(--('Данные 1st'!$S$2:$S$317=$A71),--ISNUMBER('Данные 1st'!$JU$2:$JU$317))</f>
        <v>0</v>
      </c>
      <c r="EZ71">
        <f>SUMPRODUCT(--('Данные 1st'!$S$2:$S$317=$A71),--ISNUMBER('Данные 1st'!$JV$2:$JV$317))</f>
        <v>4</v>
      </c>
      <c r="FA71">
        <f>SUMPRODUCT(--('Данные 1st'!$S$2:$S$317=$A71),--ISNUMBER('Данные 1st'!$JW$2:$JW$317))</f>
        <v>0</v>
      </c>
      <c r="FB71">
        <f>SUMPRODUCT(--('Данные 1st'!$S$2:$S$317=$A71),--ISNUMBER('Данные 1st'!$JX$2:$JX$317))</f>
        <v>4</v>
      </c>
      <c r="FC71">
        <f>SUMPRODUCT(--('Данные 1st'!$S$2:$S$317=$A71),--ISNUMBER('Данные 1st'!$JY$2:$JY$317))</f>
        <v>0</v>
      </c>
      <c r="FD71">
        <f>SUMPRODUCT(--('Данные 1st'!$S$2:$S$317=$A71),--ISNUMBER('Данные 1st'!$JZ$2:$JZ$317))</f>
        <v>0</v>
      </c>
      <c r="FE71">
        <f>SUMPRODUCT(--('Данные 1st'!$S$2:$S$317=$A71),--ISNUMBER('Данные 1st'!$KA$2:$KA$317))</f>
        <v>4</v>
      </c>
      <c r="FF71">
        <f>SUMPRODUCT(--('Данные 1st'!$S$2:$S$317=$A71),--ISNUMBER('Данные 1st'!$KB$2:$KB$317))</f>
        <v>4</v>
      </c>
      <c r="FG71">
        <f>SUMPRODUCT(--('Данные 1st'!$S$2:$S$317=$A71),--ISNUMBER('Данные 1st'!$KC$2:$KC$317))</f>
        <v>4</v>
      </c>
      <c r="FH71">
        <f>SUMPRODUCT(--('Данные 1st'!$S$2:$S$317=$A71),--ISNUMBER('Данные 1st'!$KD$2:$KD$317))</f>
        <v>4</v>
      </c>
      <c r="FI71">
        <f>SUMPRODUCT(--('Данные 1st'!$S$2:$S$317=$A71),--ISNUMBER('Данные 1st'!$KE$2:$KE$317))</f>
        <v>0</v>
      </c>
      <c r="FJ71">
        <f>SUMPRODUCT(--('Данные 1st'!$S$2:$S$317=$A71),--ISNUMBER('Данные 1st'!$KF$2:$KF$317))</f>
        <v>4</v>
      </c>
      <c r="FK71">
        <f>SUMPRODUCT(--('Данные 1st'!$S$2:$S$317=$A71),--ISNUMBER('Данные 1st'!$KG$2:$KG$317))</f>
        <v>4</v>
      </c>
      <c r="FL71">
        <f>SUMPRODUCT(--('Данные 1st'!$S$2:$S$317=$A71),--ISNUMBER('Данные 1st'!$KH$2:$KH$317))</f>
        <v>4</v>
      </c>
      <c r="FM71">
        <f>SUMPRODUCT(--('Данные 1st'!$S$2:$S$317=$A71),--ISNUMBER('Данные 1st'!$KI$2:$KI$317))</f>
        <v>4</v>
      </c>
      <c r="FN71">
        <f>SUMPRODUCT(--('Данные 1st'!$S$2:$S$317=$A71),--ISNUMBER('Данные 1st'!$KJ$2:$KJ$317))</f>
        <v>4</v>
      </c>
      <c r="FO71">
        <f>SUMPRODUCT(--('Данные 1st'!$S$2:$S$317=$A71),--ISNUMBER('Данные 1st'!$KK$2:$KK$317))</f>
        <v>4</v>
      </c>
      <c r="FP71">
        <f>SUMPRODUCT(--('Данные 1st'!$S$2:$S$317=$A71),--ISNUMBER('Данные 1st'!$KL$2:$KL$317))</f>
        <v>4</v>
      </c>
      <c r="FQ71">
        <f>SUMPRODUCT(--('Данные 1st'!$S$2:$S$317=$A71),--ISNUMBER('Данные 1st'!$KM$2:$KM$317))</f>
        <v>4</v>
      </c>
      <c r="FR71">
        <f>SUMPRODUCT(--('Данные 1st'!$S$2:$S$317=$A71),--ISNUMBER('Данные 1st'!$KN$2:$KN$317))</f>
        <v>4</v>
      </c>
      <c r="FS71">
        <f>SUMPRODUCT(--('Данные 1st'!$S$2:$S$317=$A71),--ISNUMBER('Данные 1st'!$KR$2:$KR$317))</f>
        <v>4</v>
      </c>
      <c r="FT71">
        <f>SUMPRODUCT(--('Данные 1st'!$S$2:$S$317=$A71),--ISNUMBER('Данные 1st'!$KS$2:$KS$317))</f>
        <v>4</v>
      </c>
      <c r="FU71">
        <f>SUMPRODUCT(--('Данные 1st'!$S$2:$S$317=$A71),--ISNUMBER('Данные 1st'!$KT$2:$KT$317))</f>
        <v>4</v>
      </c>
      <c r="FV71">
        <f>SUMPRODUCT(--('Данные 1st'!$S$2:$S$317=$A71),--ISNUMBER('Данные 1st'!$KV$2:$KV$317))</f>
        <v>0</v>
      </c>
      <c r="FW71">
        <f>SUMPRODUCT(--('Данные 1st'!$S$2:$S$317=$A71),--ISNUMBER('Данные 1st'!$KW$2:$KW$317))</f>
        <v>0</v>
      </c>
      <c r="FX71">
        <f>SUMPRODUCT(--('Данные 1st'!$S$2:$S$317=$A71),--ISNUMBER('Данные 1st'!$KX$2:$KX$317))</f>
        <v>0</v>
      </c>
      <c r="FY71">
        <f>SUMPRODUCT(--('Данные 1st'!$S$2:$S$317=$A71),--ISNUMBER('Данные 1st'!$KY$2:$KY$317))</f>
        <v>0</v>
      </c>
      <c r="FZ71">
        <f>SUMPRODUCT(--('Данные 1st'!$S$2:$S$317=$A71),--ISNUMBER('Данные 1st'!$KZ$2:$KZ$317))</f>
        <v>0</v>
      </c>
      <c r="GA71">
        <f>SUMPRODUCT(--('Данные 1st'!$S$2:$S$317=$A71),--ISNUMBER('Данные 1st'!$LA$2:$LA$317))</f>
        <v>0</v>
      </c>
      <c r="GB71">
        <f>SUMPRODUCT(--('Данные 1st'!$S$2:$S$317=$A71),--ISNUMBER('Данные 1st'!$LB$2:$LB$317))</f>
        <v>0</v>
      </c>
      <c r="GC71">
        <f>SUMPRODUCT(--('Данные 1st'!$S$2:$S$317=$A71),--ISNUMBER('Данные 1st'!$LC$2:$LC$317))</f>
        <v>0</v>
      </c>
      <c r="GD71">
        <f>SUMPRODUCT(--('Данные 1st'!$S$2:$S$317=$A71),--ISNUMBER('Данные 1st'!$LD$2:$LD$317))</f>
        <v>0</v>
      </c>
      <c r="GE71">
        <f>SUMPRODUCT(--('Данные 1st'!$S$2:$S$317=$A71),--ISNUMBER('Данные 1st'!$LE$2:$LE$317))</f>
        <v>0</v>
      </c>
      <c r="GF71">
        <f>SUMPRODUCT(--('Данные 1st'!$S$2:$S$317=$A71),--ISNUMBER('Данные 1st'!$LF$2:$LF$317))</f>
        <v>0</v>
      </c>
      <c r="GG71">
        <f>SUMPRODUCT(--('Данные 1st'!$S$2:$S$317=$A71),--ISNUMBER('Данные 1st'!$LG$2:$LG$317))</f>
        <v>0</v>
      </c>
      <c r="GH71">
        <f>SUMPRODUCT(--('Данные 1st'!$S$2:$S$317=$A71),--ISNUMBER('Данные 1st'!$LH$2:$LH$317))</f>
        <v>0</v>
      </c>
      <c r="GI71">
        <f>SUMPRODUCT(--('Данные 1st'!$S$2:$S$317=$A71),--ISNUMBER('Данные 1st'!$LI$2:$LI$317))</f>
        <v>0</v>
      </c>
      <c r="GJ71">
        <f>SUMPRODUCT(--('Данные 1st'!$S$2:$S$317=$A71),--ISNUMBER('Данные 1st'!$LJ$2:$LJ$317))</f>
        <v>0</v>
      </c>
      <c r="GK71">
        <f>SUMPRODUCT(--('Данные 1st'!$S$2:$S$317=$A71),--ISNUMBER('Данные 1st'!$LK$2:$LK$317))</f>
        <v>4</v>
      </c>
      <c r="GL71">
        <f>SUMPRODUCT(--('Данные 1st'!$S$2:$S$317=$A71),--ISNUMBER('Данные 1st'!$LV$2:$LV$317))</f>
        <v>0</v>
      </c>
      <c r="GM71">
        <f>SUMPRODUCT(--('Данные 1st'!$S$2:$S$317=$A71),--ISNUMBER('Данные 1st'!$LW$2:$LW$317))</f>
        <v>0</v>
      </c>
      <c r="GN71">
        <f>SUMPRODUCT(--('Данные 1st'!$S$2:$S$317=$A71),--ISNUMBER('Данные 1st'!$LX$2:$LX$317))</f>
        <v>0</v>
      </c>
      <c r="GO71">
        <f>SUMPRODUCT(--('Данные 1st'!$S$2:$S$317=$A71),--ISNUMBER('Данные 1st'!$LY$2:$LY$317))</f>
        <v>0</v>
      </c>
      <c r="GP71">
        <f>SUMPRODUCT(--('Данные 1st'!$S$2:$S$317=$A71),--ISNUMBER('Данные 1st'!$LZ$2:$LZ$317))</f>
        <v>0</v>
      </c>
      <c r="GQ71">
        <f>SUMPRODUCT(--('Данные 1st'!$S$2:$S$317=$A71),--ISNUMBER('Данные 1st'!$PG$2:$PG$317))</f>
        <v>4</v>
      </c>
      <c r="GR71">
        <f>SUMPRODUCT(--('Данные 1st'!$S$2:$S$317=$A71),--ISNUMBER('Данные 1st'!$PX$2:$PX$317))</f>
        <v>4</v>
      </c>
      <c r="GS71">
        <f>SUMPRODUCT(--('Данные 1st'!$S$2:$S$317=$A71),--ISNUMBER('Данные 1st'!$PY$2:$PY$317))</f>
        <v>4</v>
      </c>
      <c r="GT71">
        <f>SUMPRODUCT(--('Данные 1st'!$S$2:$S$317=$A71),--ISNUMBER('Данные 1st'!$QA$2:$QA$317))</f>
        <v>4</v>
      </c>
      <c r="GU71">
        <f>SUMPRODUCT(--('Данные 1st'!$S$2:$S$317=$A71),--ISNUMBER('Данные 1st'!$QB$2:$QB$317))</f>
        <v>4</v>
      </c>
      <c r="GV71">
        <f>SUMPRODUCT(--('Данные 1st'!$S$2:$S$317=$A71),--ISNUMBER('Данные 1st'!$QC$2:$QC$317))</f>
        <v>4</v>
      </c>
      <c r="GW71">
        <f>SUMPRODUCT(--('Данные 1st'!$S$2:$S$317=$A71),--ISNUMBER('Данные 1st'!$QD$2:$QD$317))</f>
        <v>4</v>
      </c>
      <c r="GX71">
        <f>SUMPRODUCT(--('Данные 1st'!$S$2:$S$317=$A71),--ISNUMBER('Данные 1st'!$QF$2:$QF$317))</f>
        <v>4</v>
      </c>
      <c r="GY71">
        <f>SUMPRODUCT(--('Данные 1st'!$S$2:$S$317=$A71),--ISNUMBER('Данные 1st'!$QG$2:$QG$317))</f>
        <v>4</v>
      </c>
      <c r="GZ71">
        <f>SUMPRODUCT(--('Данные 1st'!$S$2:$S$317=$A71),--ISNUMBER('Данные 1st'!$QH$2:$QH$317))</f>
        <v>4</v>
      </c>
      <c r="HA71">
        <f>SUMPRODUCT(--('Данные 1st'!$S$2:$S$317=$A71),--ISNUMBER('Данные 1st'!$QI$2:$QI$317))</f>
        <v>4</v>
      </c>
      <c r="HB71">
        <f>SUMPRODUCT(--('Данные 1st'!$S$2:$S$317=$A71),--ISNUMBER('Данные 1st'!$QK$2:$QK$317))</f>
        <v>0</v>
      </c>
      <c r="HC71">
        <f>SUMPRODUCT(--('Данные 1st'!$S$2:$S$317=$A71),--ISNUMBER('Данные 1st'!$QL$2:$QL$317))</f>
        <v>4</v>
      </c>
      <c r="HD71">
        <f>SUMPRODUCT(--('Данные 1st'!$S$2:$S$317=$A71),--ISNUMBER('Данные 1st'!$QM$2:$QM$317))</f>
        <v>4</v>
      </c>
      <c r="HE71">
        <f>SUMPRODUCT(--('Данные 1st'!$S$2:$S$317=$A71),--ISNUMBER('Данные 1st'!$QN$2:$QN$317))</f>
        <v>4</v>
      </c>
      <c r="HF71">
        <f>SUMPRODUCT(--('Данные 1st'!$S$2:$S$317=$A71),--ISNUMBER('Данные 1st'!$QP$2:$QP$317))</f>
        <v>4</v>
      </c>
      <c r="HG71">
        <f>SUMPRODUCT(--('Данные 1st'!$S$2:$S$317=$A71),--ISNUMBER('Данные 1st'!$QQ$2:$QQ$317))</f>
        <v>4</v>
      </c>
      <c r="HH71">
        <f>SUMPRODUCT(--('Данные 1st'!$S$2:$S$317=$A71),--ISNUMBER('Данные 1st'!$QR$2:$QR$317))</f>
        <v>4</v>
      </c>
      <c r="HI71">
        <f>SUMPRODUCT(--('Данные 1st'!$S$2:$S$317=$A71),--ISNUMBER('Данные 1st'!$QS$2:$QS$317))</f>
        <v>4</v>
      </c>
      <c r="HJ71">
        <f>SUMPRODUCT(--('Данные 1st'!$S$2:$S$317=$A71),--ISNUMBER('Данные 1st'!$QU$2:$QU$317))</f>
        <v>4</v>
      </c>
      <c r="HK71">
        <f>SUMPRODUCT(--('Данные 1st'!$S$2:$S$317=$A71),--ISNUMBER('Данные 1st'!$QV$2:$QV$317))</f>
        <v>4</v>
      </c>
      <c r="HL71">
        <f>SUMPRODUCT(--('Данные 1st'!$S$2:$S$317=$A71),--ISNUMBER('Данные 1st'!$QW$2:$QW$317))</f>
        <v>4</v>
      </c>
      <c r="HM71">
        <f>SUMPRODUCT(--('Данные 1st'!$S$2:$S$317=$A71),--ISNUMBER('Данные 1st'!$QX$2:$QX$317))</f>
        <v>4</v>
      </c>
      <c r="HN71">
        <f>SUMPRODUCT(--('Данные 1st'!$S$2:$S$317=$A71),--ISNUMBER('Данные 1st'!$QZ$2:$QZ$317))</f>
        <v>4</v>
      </c>
      <c r="HO71">
        <f>SUMPRODUCT(--('Данные 1st'!$S$2:$S$317=$A71),--ISNUMBER('Данные 1st'!$RA$2:$RA$317))</f>
        <v>4</v>
      </c>
      <c r="HP71">
        <f>SUMPRODUCT(--('Данные 1st'!$S$2:$S$317=$A71),--ISNUMBER('Данные 1st'!$RB$2:$RB$317))</f>
        <v>4</v>
      </c>
      <c r="HQ71">
        <f>SUMPRODUCT(--('Данные 1st'!$S$2:$S$317=$A71),--ISNUMBER('Данные 1st'!$RD$2:$RD$317))</f>
        <v>0</v>
      </c>
      <c r="HR71">
        <f>SUMPRODUCT(--('Данные 1st'!$S$2:$S$317=$A71),--ISNUMBER('Данные 1st'!$RE$2:$RE$317))</f>
        <v>4</v>
      </c>
      <c r="HS71">
        <f>SUMPRODUCT(--('Данные 1st'!$S$2:$S$317=$A71),--ISNUMBER('Данные 1st'!$RF$2:$RF$317))</f>
        <v>4</v>
      </c>
      <c r="HT71">
        <f>SUMPRODUCT(--('Данные 1st'!$S$2:$S$317=$A71),--ISNUMBER('Данные 1st'!$RG$2:$RG$317))</f>
        <v>0</v>
      </c>
      <c r="HU71">
        <f>SUMPRODUCT(--('Данные 1st'!$S$2:$S$317=$A71),--ISNUMBER('Данные 1st'!$RH$2:$RH$317))</f>
        <v>2</v>
      </c>
      <c r="HV71">
        <f>SUMPRODUCT(--('Данные 1st'!$S$2:$S$317=$A71),--ISNUMBER('Данные 1st'!$RI$2:$RI$317))</f>
        <v>2</v>
      </c>
      <c r="HW71">
        <f>SUMPRODUCT(--('Данные 1st'!$S$2:$S$317=$A71),--ISNUMBER('Данные 1st'!$RJ$2:$RJ$317))</f>
        <v>4</v>
      </c>
      <c r="HX71">
        <f>SUMPRODUCT(--('Данные 1st'!$S$2:$S$317=$A71),--ISNUMBER('Данные 1st'!$RK$2:$RK$317))</f>
        <v>0</v>
      </c>
      <c r="HY71">
        <f>SUMPRODUCT(--('Данные 1st'!$S$2:$S$317=$A71),--ISNUMBER('Данные 1st'!$RL$2:$RL$317))</f>
        <v>4</v>
      </c>
      <c r="HZ71">
        <f>SUMPRODUCT(--('Данные 1st'!$S$2:$S$317=$A71),--ISNUMBER('Данные 1st'!$RM$2:$RM$317))</f>
        <v>4</v>
      </c>
      <c r="IA71">
        <f>SUMPRODUCT(--('Данные 1st'!$S$2:$S$317=$A71),--ISNUMBER('Данные 1st'!$RN$2:$RN$317))</f>
        <v>0</v>
      </c>
      <c r="IB71">
        <f>SUMPRODUCT(--('Данные 1st'!$S$2:$S$317=$A71),--ISNUMBER('Данные 1st'!$RO$2:$RO$317))</f>
        <v>4</v>
      </c>
      <c r="IC71">
        <f>SUMPRODUCT(--('Данные 1st'!$S$2:$S$317=$A71),--ISNUMBER('Данные 1st'!$RP$2:$RP$317))</f>
        <v>0</v>
      </c>
      <c r="ID71">
        <f>SUMPRODUCT(--('Данные 1st'!$S$2:$S$317=$A71),--ISNUMBER('Данные 1st'!$RQ$2:$RQ$317))</f>
        <v>4</v>
      </c>
      <c r="IE71">
        <f>SUMPRODUCT(--('Данные 1st'!$S$2:$S$317=$A71),--ISNUMBER('Данные 1st'!$RR$2:$RR$317))</f>
        <v>4</v>
      </c>
      <c r="IF71">
        <f>SUMPRODUCT(--('Данные 1st'!$S$2:$S$317=$A71),--ISNUMBER('Данные 1st'!$RS$2:$RS$317))</f>
        <v>0</v>
      </c>
      <c r="IG71">
        <f>SUMPRODUCT(--('Данные 1st'!$S$2:$S$317=$A71),--ISNUMBER('Данные 1st'!$RT$2:$RT$317))</f>
        <v>4</v>
      </c>
      <c r="IH71">
        <f>SUMPRODUCT(--('Данные 1st'!$S$2:$S$317=$A71),--ISNUMBER('Данные 1st'!$RU$2:$RU$317))</f>
        <v>4</v>
      </c>
      <c r="II71">
        <f>SUMPRODUCT(--('Данные 1st'!$S$2:$S$317=$A71),--ISNUMBER('Данные 1st'!$RX$2:$RX$317))</f>
        <v>4</v>
      </c>
      <c r="IJ71">
        <f>SUMPRODUCT(--('Данные 1st'!$S$2:$S$317=$A71),--ISNUMBER('Данные 1st'!$RY$2:$RY$317))</f>
        <v>4</v>
      </c>
      <c r="IK71">
        <f>SUMPRODUCT(--('Данные 1st'!$S$2:$S$317=$A71),--ISNUMBER('Данные 1st'!$SA$2:$SA$317))</f>
        <v>4</v>
      </c>
      <c r="IL71">
        <f>SUMPRODUCT(--('Данные 1st'!$S$2:$S$317=$A71),--ISNUMBER('Данные 1st'!$SD$2:$SD$317))</f>
        <v>4</v>
      </c>
      <c r="IM71">
        <f>SUMPRODUCT(--('Данные 1st'!$S$2:$S$317=$A71),--ISNUMBER('Данные 1st'!$SG$2:$SG$317))</f>
        <v>4</v>
      </c>
      <c r="IN71">
        <f>SUMPRODUCT(--('Данные 1st'!$S$2:$S$317=$A71),--ISNUMBER('Данные 1st'!$SH$2:$SH$317))</f>
        <v>4</v>
      </c>
      <c r="IO71">
        <f>SUMPRODUCT(--('Данные 1st'!$S$2:$S$317=$A71),--ISNUMBER('Данные 1st'!$SI$2:$SI$317))</f>
        <v>4</v>
      </c>
      <c r="IP71">
        <f>SUMPRODUCT(--('Данные 1st'!$S$2:$S$317=$A71),--ISNUMBER('Данные 1st'!$SJ$2:$SJ$317))</f>
        <v>4</v>
      </c>
      <c r="IQ71">
        <f>SUMPRODUCT(--('Данные 1st'!$S$2:$S$317=$A71),--ISNUMBER('Данные 1st'!$SK$2:$SK$317))</f>
        <v>4</v>
      </c>
      <c r="IR71">
        <f>SUMPRODUCT(--('Данные 1st'!$S$2:$S$317=$A71),--ISNUMBER('Данные 1st'!$SL$2:$SL$317))</f>
        <v>4</v>
      </c>
      <c r="IS71">
        <f>SUMPRODUCT(--('Данные 1st'!$S$2:$S$317=$A71),--ISNUMBER('Данные 1st'!$SM$2:$SM$317))</f>
        <v>4</v>
      </c>
      <c r="IT71">
        <f>SUMPRODUCT(--('Данные 1st'!$S$2:$S$317=$A71),--ISNUMBER('Данные 1st'!$SN$2:$SN$317))</f>
        <v>4</v>
      </c>
      <c r="IU71">
        <f>SUMPRODUCT(--('Данные 1st'!$S$2:$S$317=$A71),--ISNUMBER('Данные 1st'!$SO$2:$SO$317))</f>
        <v>4</v>
      </c>
      <c r="IV71">
        <f>SUMPRODUCT(--('Данные 1st'!$S$2:$S$317=$A71),--ISNUMBER('Данные 1st'!$SP$2:$SP$317))</f>
        <v>4</v>
      </c>
      <c r="IW71">
        <f>SUMPRODUCT(--('Данные 1st'!$S$2:$S$317=$A71),--ISNUMBER('Данные 1st'!$SQ$2:$SQ$317))</f>
        <v>4</v>
      </c>
      <c r="IX71">
        <f>SUMPRODUCT(--('Данные 1st'!$S$2:$S$317=$A71),--ISNUMBER('Данные 1st'!$SR$2:$SR$317))</f>
        <v>4</v>
      </c>
      <c r="IY71">
        <f>SUMPRODUCT(--('Данные 1st'!$S$2:$S$317=$A71),--ISNUMBER('Данные 1st'!$SS$2:$SS$317))</f>
        <v>4</v>
      </c>
      <c r="IZ71">
        <f>SUMPRODUCT(--('Данные 1st'!$S$2:$S$317=$A71),--ISNUMBER('Данные 1st'!$ST$2:$ST$317))</f>
        <v>4</v>
      </c>
      <c r="JA71">
        <f>SUMPRODUCT(--('Данные 1st'!$S$2:$S$317=$A71),--ISNUMBER('Данные 1st'!$SU$2:$SU$317))</f>
        <v>4</v>
      </c>
      <c r="JB71">
        <f>SUMPRODUCT(--('Данные 1st'!$S$2:$S$317=$A71),--ISNUMBER('Данные 1st'!$SV$2:$SV$317))</f>
        <v>4</v>
      </c>
      <c r="JC71">
        <f>SUMPRODUCT(--('Данные 1st'!$S$2:$S$317=$A71),--ISNUMBER('Данные 1st'!$SW$2:$SW$317))</f>
        <v>4</v>
      </c>
      <c r="JD71">
        <f>SUMPRODUCT(--('Данные 1st'!$S$2:$S$317=$A71),--ISNUMBER('Данные 1st'!$SX$2:$SX$317))</f>
        <v>4</v>
      </c>
      <c r="JE71">
        <f>SUMPRODUCT(--('Данные 1st'!$S$2:$S$317=$A71),--ISNUMBER('Данные 1st'!$SY$2:$SY$317))</f>
        <v>0</v>
      </c>
      <c r="JF71">
        <f>SUMPRODUCT(--('Данные 1st'!$S$2:$S$317=$A71),--ISNUMBER('Данные 1st'!$SZ$2:$SZ$317))</f>
        <v>4</v>
      </c>
      <c r="JG71">
        <f>SUMPRODUCT(--('Данные 1st'!$S$2:$S$317=$A71),--ISNUMBER('Данные 1st'!$TA$2:$TA$317))</f>
        <v>0</v>
      </c>
      <c r="JH71">
        <f>SUMPRODUCT(--('Данные 1st'!$S$2:$S$317=$A71),--ISNUMBER('Данные 1st'!$TB$2:$TB$317))</f>
        <v>4</v>
      </c>
      <c r="JI71">
        <f>SUMPRODUCT(--('Данные 1st'!$S$2:$S$317=$A71),--ISNUMBER('Данные 1st'!$TC$2:$TC$317))</f>
        <v>4</v>
      </c>
      <c r="JJ71">
        <f>SUMPRODUCT(--('Данные 1st'!$S$2:$S$317=$A71),--ISNUMBER('Данные 1st'!$TD$2:$TD$317))</f>
        <v>4</v>
      </c>
      <c r="JK71">
        <f>SUMPRODUCT(--('Данные 1st'!$S$2:$S$317=$A71),--ISNUMBER('Данные 1st'!$TN$2:$TN$317))</f>
        <v>4</v>
      </c>
      <c r="JQ71">
        <f>SUMPRODUCT(--('Данные 2st'!$Q$2:$Q$317=$A71),--ISNUMBER('Данные 2st'!$AC$2:$AC$317))</f>
        <v>4</v>
      </c>
      <c r="JR71">
        <f>SUMPRODUCT(--('Данные 2st'!$Q$2:$Q$317=$A71),--ISNUMBER('Данные 2st'!$AF$2:$AF$317))</f>
        <v>4</v>
      </c>
      <c r="JS71">
        <f>SUMPRODUCT(--('Данные 2st'!$Q$2:$Q$317=$A71),--ISNUMBER('Данные 2st'!$AW$2:$AW$317))</f>
        <v>4</v>
      </c>
      <c r="JT71">
        <f>SUMPRODUCT(--('Данные 2st'!$Q$2:$Q$317=$A71),--ISNUMBER('Данные 2st'!$AX$2:$AX$317))</f>
        <v>4</v>
      </c>
      <c r="JU71">
        <f>SUMPRODUCT(--('Данные 2st'!$Q$2:$Q$317=$A71),--ISNUMBER('Данные 2st'!$AY$2:$AY$317))</f>
        <v>4</v>
      </c>
      <c r="JV71">
        <f>SUMPRODUCT(--('Данные 2st'!$Q$2:$Q$317=$A71),--ISNUMBER('Данные 2st'!$AZ$2:$AZ$317))</f>
        <v>4</v>
      </c>
      <c r="JW71">
        <f>SUMPRODUCT(--('Данные 2st'!$Q$2:$Q$317=$A71),--ISNUMBER('Данные 2st'!$BA$2:$BA$317))</f>
        <v>0</v>
      </c>
      <c r="JX71">
        <f>SUMPRODUCT(--('Данные 2st'!$Q$2:$Q$317=$A71),--ISNUMBER('Данные 2st'!$BB$2:$BB$317))</f>
        <v>0</v>
      </c>
      <c r="JY71">
        <f>SUMPRODUCT(--('Данные 2st'!$Q$2:$Q$317=$A71),--ISNUMBER('Данные 2st'!$BC$2:$BC$317))</f>
        <v>0</v>
      </c>
      <c r="JZ71">
        <f>SUMPRODUCT(--('Данные 2st'!$Q$2:$Q$317=$A71),--ISNUMBER('Данные 2st'!$BH$2:$BH$317))</f>
        <v>4</v>
      </c>
      <c r="KA71">
        <f>SUMPRODUCT(--('Данные 2st'!$Q$2:$Q$317=$A71),--ISNUMBER('Данные 2st'!$BI$2:$BI$317))</f>
        <v>4</v>
      </c>
      <c r="KB71">
        <f>SUMPRODUCT(--('Данные 2st'!$Q$2:$Q$317=$A71),--ISNUMBER('Данные 2st'!$BJ$2:$BJ$317))</f>
        <v>4</v>
      </c>
      <c r="KC71">
        <f>SUMPRODUCT(--('Данные 2st'!$Q$2:$Q$317=$A71),--ISNUMBER('Данные 2st'!$BK$2:$BK$317))</f>
        <v>4</v>
      </c>
      <c r="KD71">
        <f>SUMPRODUCT(--('Данные 2st'!$Q$2:$Q$317=$A71),--ISNUMBER('Данные 2st'!$BL$2:$BL$317))</f>
        <v>4</v>
      </c>
      <c r="KE71">
        <f>SUMPRODUCT(--('Данные 2st'!$Q$2:$Q$317=$A71),--ISNUMBER('Данные 2st'!$BM$2:$BM$317))</f>
        <v>4</v>
      </c>
      <c r="KF71">
        <f>SUMPRODUCT(--('Данные 2st'!$Q$2:$Q$317=$A71),--ISNUMBER('Данные 2st'!$BN$2:$BN$317))</f>
        <v>4</v>
      </c>
      <c r="KG71">
        <f>SUMPRODUCT(--('Данные 2st'!$Q$2:$Q$317=$A71),--ISNUMBER('Данные 2st'!$BO$2:$BO$317))</f>
        <v>1</v>
      </c>
      <c r="KH71">
        <f>SUMPRODUCT(--('Данные 2st'!$Q$2:$Q$317=$A71),--ISNUMBER('Данные 2st'!$BP$2:$BP$317))</f>
        <v>4</v>
      </c>
      <c r="KI71">
        <f>SUMPRODUCT(--('Данные 2st'!$Q$2:$Q$317=$A71),--ISNUMBER('Данные 2st'!$BR$2:$BR$317))</f>
        <v>4</v>
      </c>
      <c r="KJ71">
        <f>SUMPRODUCT(--('Данные 2st'!$Q$2:$Q$317=$A71),--ISNUMBER('Данные 2st'!$BS$2:$BS$317))</f>
        <v>4</v>
      </c>
      <c r="KK71">
        <f>SUMPRODUCT(--('Данные 2st'!$Q$2:$Q$317=$A71),--ISNUMBER('Данные 2st'!$BT$2:$BT$317))</f>
        <v>4</v>
      </c>
      <c r="KL71">
        <f>SUMPRODUCT(--('Данные 2st'!$Q$2:$Q$317=$A71),--ISNUMBER('Данные 2st'!$CV$2:$CV$317))</f>
        <v>4</v>
      </c>
      <c r="KM71">
        <f>SUMPRODUCT(--('Данные 2st'!$Q$2:$Q$317=$A71),--ISNUMBER('Данные 2st'!$CW$2:$CW$317))</f>
        <v>4</v>
      </c>
      <c r="KN71">
        <f>SUMPRODUCT(--('Данные 2st'!$Q$2:$Q$317=$A71),--ISNUMBER('Данные 2st'!$CX$2:$CX$317))</f>
        <v>4</v>
      </c>
      <c r="KO71">
        <f>SUMPRODUCT(--('Данные 2st'!$Q$2:$Q$317=$A71),--ISNUMBER('Данные 2st'!$CY$2:$CY$317))</f>
        <v>4</v>
      </c>
      <c r="KP71">
        <f>SUMPRODUCT(--('Данные 2st'!$Q$2:$Q$317=$A71),--ISNUMBER('Данные 2st'!$CZ$2:$CZ$317))</f>
        <v>4</v>
      </c>
      <c r="KQ71">
        <f>SUMPRODUCT(--('Данные 2st'!$Q$2:$Q$317=$A71),--ISNUMBER('Данные 2st'!$DA$2:$DA$317))</f>
        <v>4</v>
      </c>
      <c r="KR71">
        <f>SUMPRODUCT(--('Данные 2st'!$Q$2:$Q$317=$A71),--ISNUMBER('Данные 2st'!$DB$2:$DB$317))</f>
        <v>4</v>
      </c>
      <c r="KS71">
        <f>SUMPRODUCT(--('Данные 2st'!$Q$2:$Q$317=$A71),--ISNUMBER('Данные 2st'!$DC$2:$DC$317))</f>
        <v>4</v>
      </c>
      <c r="KT71">
        <f>SUMPRODUCT(--('Данные 2st'!$Q$2:$Q$317=$A71),--ISNUMBER('Данные 2st'!$DD$2:$DD$317))</f>
        <v>4</v>
      </c>
      <c r="KU71">
        <f>SUMPRODUCT(--('Данные 2st'!$Q$2:$Q$317=$A71),--ISNUMBER('Данные 2st'!$DE$2:$DE$317))</f>
        <v>4</v>
      </c>
      <c r="KV71">
        <f>SUMPRODUCT(--('Данные 2st'!$Q$2:$Q$317=$A71),--ISNUMBER('Данные 2st'!$DF$2:$DF$317))</f>
        <v>4</v>
      </c>
      <c r="KW71">
        <f>SUMPRODUCT(--('Данные 2st'!$Q$2:$Q$317=$A71),--ISNUMBER('Данные 2st'!$DG$2:$DG$317))</f>
        <v>4</v>
      </c>
      <c r="KX71">
        <f>SUMPRODUCT(--('Данные 2st'!$Q$2:$Q$317=$A71),--ISNUMBER('Данные 2st'!$DH$2:$DH$317))</f>
        <v>0</v>
      </c>
      <c r="KY71">
        <f>SUMPRODUCT(--('Данные 2st'!$Q$2:$Q$317=$A71),--ISNUMBER('Данные 2st'!$DI$2:$DI$317))</f>
        <v>0</v>
      </c>
      <c r="KZ71">
        <f>SUMPRODUCT(--('Данные 2st'!$Q$2:$Q$317=$A71),--ISNUMBER('Данные 2st'!$DK$2:$DK$317))</f>
        <v>4</v>
      </c>
      <c r="LA71">
        <f>SUMPRODUCT(--('Данные 2st'!$Q$2:$Q$317=$A71),--ISNUMBER('Данные 2st'!$DM$2:$DM$317))</f>
        <v>4</v>
      </c>
      <c r="LB71">
        <f>SUMPRODUCT(--('Данные 2st'!$Q$2:$Q$317=$A71),--ISNUMBER('Данные 2st'!$DN$2:$DN$317))</f>
        <v>4</v>
      </c>
      <c r="LC71">
        <f>SUMPRODUCT(--('Данные 2st'!$Q$2:$Q$317=$A71),--ISNUMBER('Данные 2st'!$DO$2:$DO$317))</f>
        <v>4</v>
      </c>
      <c r="LD71">
        <f>SUMPRODUCT(--('Данные 2st'!$Q$2:$Q$317=$A71),--ISNUMBER('Данные 2st'!$DP$2:$DP$317))</f>
        <v>4</v>
      </c>
      <c r="LE71">
        <f>SUMPRODUCT(--('Данные 2st'!$Q$2:$Q$317=$A71),--ISNUMBER('Данные 2st'!$DQ$2:$DQ$317))</f>
        <v>4</v>
      </c>
      <c r="LF71">
        <f>SUMPRODUCT(--('Данные 2st'!$Q$2:$Q$317=$A71),--ISNUMBER('Данные 2st'!$DS$2:$DS$317))</f>
        <v>4</v>
      </c>
      <c r="LG71">
        <f>SUMPRODUCT(--('Данные 2st'!$Q$2:$Q$317=$A71),--ISNUMBER('Данные 2st'!$DU$2:$DU$317))</f>
        <v>4</v>
      </c>
      <c r="LH71">
        <f>SUMPRODUCT(--('Данные 2st'!$Q$2:$Q$317=$A71),--ISNUMBER('Данные 2st'!$DV$2:$DV$317))</f>
        <v>4</v>
      </c>
      <c r="LI71">
        <f>SUMPRODUCT(--('Данные 2st'!$Q$2:$Q$317=$A71),--ISNUMBER('Данные 2st'!$DW$2:$DW$317))</f>
        <v>4</v>
      </c>
      <c r="LJ71">
        <f>SUMPRODUCT(--('Данные 2st'!$Q$2:$Q$317=$A71),--ISNUMBER('Данные 2st'!$DX$2:$DX$317))</f>
        <v>4</v>
      </c>
      <c r="LK71">
        <f>SUMPRODUCT(--('Данные 2st'!$Q$2:$Q$317=$A71),--ISNUMBER('Данные 2st'!$DY$2:$DY$317))</f>
        <v>4</v>
      </c>
      <c r="LL71">
        <f>SUMPRODUCT(--('Данные 2st'!$Q$2:$Q$317=$A71),--ISNUMBER('Данные 2st'!$EA$2:$EA$317))</f>
        <v>4</v>
      </c>
      <c r="LM71">
        <f>SUMPRODUCT(--('Данные 2st'!$Q$2:$Q$317=$A71),--ISNUMBER('Данные 2st'!$EC$2:$EC$317))</f>
        <v>4</v>
      </c>
      <c r="LN71">
        <f>SUMPRODUCT(--('Данные 2st'!$Q$2:$Q$317=$A71),--ISNUMBER('Данные 2st'!$ED$2:$ED$317))</f>
        <v>4</v>
      </c>
      <c r="LO71">
        <f>SUMPRODUCT(--('Данные 2st'!$Q$2:$Q$317=$A71),--ISNUMBER('Данные 2st'!$EE$2:$EE$317))</f>
        <v>4</v>
      </c>
      <c r="LP71">
        <f>SUMPRODUCT(--('Данные 2st'!$Q$2:$Q$317=$A71),--ISNUMBER('Данные 2st'!$EG$2:$EG$317))</f>
        <v>4</v>
      </c>
      <c r="LQ71">
        <f>SUMPRODUCT(--('Данные 2st'!$Q$2:$Q$317=$A71),--ISNUMBER('Данные 2st'!$EI$2:$EI$317))</f>
        <v>4</v>
      </c>
      <c r="LR71">
        <f>SUMPRODUCT(--('Данные 2st'!$Q$2:$Q$317=$A71),--ISNUMBER('Данные 2st'!$EJ$2:$EJ$317))</f>
        <v>0</v>
      </c>
      <c r="LS71">
        <f>SUMPRODUCT(--('Данные 2st'!$Q$2:$Q$317=$A71),--ISNUMBER('Данные 2st'!$EK$2:$EK$317))</f>
        <v>0</v>
      </c>
      <c r="LT71">
        <f>SUMPRODUCT(--('Данные 2st'!$Q$2:$Q$317=$A71),--ISNUMBER('Данные 2st'!$EM$2:$EM$317))</f>
        <v>4</v>
      </c>
      <c r="LU71">
        <f>SUMPRODUCT(--('Данные 2st'!$Q$2:$Q$317=$A71),--ISNUMBER('Данные 2st'!$EN$2:$EN$317))</f>
        <v>4</v>
      </c>
      <c r="LV71">
        <f>SUMPRODUCT(--('Данные 2st'!$Q$2:$Q$317=$A71),--ISNUMBER('Данные 2st'!$EO$2:$EO$317))</f>
        <v>4</v>
      </c>
      <c r="LW71">
        <f>SUMPRODUCT(--('Данные 2st'!$Q$2:$Q$317=$A71),--ISNUMBER('Данные 2st'!$EP$2:$EP$317))</f>
        <v>4</v>
      </c>
      <c r="LX71">
        <f>SUMPRODUCT(--('Данные 2st'!$Q$2:$Q$317=$A71),--ISNUMBER('Данные 2st'!$EQ$2:$EQ$317))</f>
        <v>4</v>
      </c>
      <c r="LY71">
        <f>SUMPRODUCT(--('Данные 2st'!$Q$2:$Q$317=$A71),--ISNUMBER('Данные 2st'!$ER$2:$ER$317))</f>
        <v>4</v>
      </c>
      <c r="LZ71">
        <f>SUMPRODUCT(--('Данные 2st'!$Q$2:$Q$317=$A71),--ISNUMBER('Данные 2st'!$ES$2:$ES$317))</f>
        <v>4</v>
      </c>
      <c r="MA71">
        <f>SUMPRODUCT(--('Данные 2st'!$Q$2:$Q$317=$A71),--ISNUMBER('Данные 2st'!$ET$2:$ET$317))</f>
        <v>4</v>
      </c>
      <c r="MB71">
        <f>SUMPRODUCT(--('Данные 2st'!$Q$2:$Q$317=$A71),--ISNUMBER('Данные 2st'!$EU$2:$EU$317))</f>
        <v>4</v>
      </c>
      <c r="MC71">
        <f>SUMPRODUCT(--('Данные 2st'!$Q$2:$Q$317=$A71),--ISNUMBER('Данные 2st'!$EV$2:$EV$317))</f>
        <v>4</v>
      </c>
      <c r="MD71">
        <f>SUMPRODUCT(--('Данные 2st'!$Q$2:$Q$317=$A71),--ISNUMBER('Данные 2st'!$EW$2:$EW$317))</f>
        <v>4</v>
      </c>
      <c r="ME71">
        <f>SUMPRODUCT(--('Данные 2st'!$Q$2:$Q$317=$A71),--ISNUMBER('Данные 2st'!$EY$2:$EY$317))</f>
        <v>4</v>
      </c>
      <c r="MF71">
        <f>SUMPRODUCT(--('Данные 2st'!$Q$2:$Q$317=$A71),--ISNUMBER('Данные 2st'!$FA$2:$FA$317))</f>
        <v>4</v>
      </c>
      <c r="MG71">
        <f>SUMPRODUCT(--('Данные 2st'!$Q$2:$Q$317=$A71),--ISNUMBER('Данные 2st'!$FB$2:$FB$317))</f>
        <v>4</v>
      </c>
      <c r="MH71">
        <f>SUMPRODUCT(--('Данные 2st'!$Q$2:$Q$317=$A71),--ISNUMBER('Данные 2st'!$FC$2:$FC$317))</f>
        <v>4</v>
      </c>
      <c r="MI71">
        <f>SUMPRODUCT(--('Данные 2st'!$Q$2:$Q$317=$A71),--ISNUMBER('Данные 2st'!$FD$2:$FD$317))</f>
        <v>4</v>
      </c>
      <c r="MJ71">
        <f>SUMPRODUCT(--('Данные 2st'!$Q$2:$Q$317=$A71),--ISNUMBER('Данные 2st'!$FE$2:$FE$317))</f>
        <v>4</v>
      </c>
      <c r="MK71">
        <f>SUMPRODUCT(--('Данные 2st'!$Q$2:$Q$317=$A71),--ISNUMBER('Данные 2st'!$FG$2:$FG$317))</f>
        <v>4</v>
      </c>
      <c r="ML71">
        <f>SUMPRODUCT(--('Данные 2st'!$Q$2:$Q$317=$A71),--ISNUMBER('Данные 2st'!$FI$2:$FI$317))</f>
        <v>4</v>
      </c>
      <c r="MM71">
        <f>SUMPRODUCT(--('Данные 2st'!$Q$2:$Q$317=$A71),--ISNUMBER('Данные 2st'!$FJ$2:$FJ$317))</f>
        <v>4</v>
      </c>
      <c r="MN71">
        <f>SUMPRODUCT(--('Данные 2st'!$Q$2:$Q$317=$A71),--ISNUMBER('Данные 2st'!$FK$2:$FK$317))</f>
        <v>4</v>
      </c>
      <c r="MO71">
        <f>SUMPRODUCT(--('Данные 2st'!$Q$2:$Q$317=$A71),--ISNUMBER('Данные 2st'!$FP$2:$FP$317))</f>
        <v>4</v>
      </c>
      <c r="MP71">
        <f>SUMPRODUCT(--('Данные 2st'!$Q$2:$Q$317=$A71),--ISNUMBER('Данные 2st'!$FQ$2:$FQ$317))</f>
        <v>4</v>
      </c>
      <c r="MQ71">
        <f>SUMPRODUCT(--('Данные 2st'!$Q$2:$Q$317=$A71),--ISNUMBER('Данные 2st'!$FS$2:$FS$317))</f>
        <v>4</v>
      </c>
      <c r="MR71">
        <f>SUMPRODUCT(--('Данные 2st'!$Q$2:$Q$317=$A71),--ISNUMBER('Данные 2st'!$FU$2:$FU$317))</f>
        <v>4</v>
      </c>
      <c r="MS71">
        <f>SUMPRODUCT(--('Данные 2st'!$Q$2:$Q$317=$A71),--ISNUMBER('Данные 2st'!$FV$2:$FV$317))</f>
        <v>4</v>
      </c>
      <c r="MT71">
        <f>SUMPRODUCT(--('Данные 2st'!$Q$2:$Q$317=$A71),--ISNUMBER('Данные 2st'!$FW$2:$FW$317))</f>
        <v>4</v>
      </c>
      <c r="MU71">
        <f>SUMPRODUCT(--('Данные 2st'!$Q$2:$Q$317=$A71),--ISNUMBER('Данные 2st'!$FY$2:$FY$317))</f>
        <v>4</v>
      </c>
      <c r="MV71">
        <f>SUMPRODUCT(--('Данные 2st'!$Q$2:$Q$317=$A71),--ISNUMBER('Данные 2st'!$GB$2:$GB$317))</f>
        <v>4</v>
      </c>
      <c r="MW71">
        <f>SUMPRODUCT(--('Данные 2st'!$Q$2:$Q$317=$A71),--ISNUMBER('Данные 2st'!$GC$2:$GC$317))</f>
        <v>4</v>
      </c>
      <c r="MX71">
        <f>SUMPRODUCT(--('Данные 2st'!$Q$2:$Q$317=$A71),--ISNUMBER('Данные 2st'!$GD$2:$GD$317))</f>
        <v>4</v>
      </c>
      <c r="MY71">
        <f>SUMPRODUCT(--('Данные 2st'!$Q$2:$Q$317=$A71),--ISNUMBER('Данные 2st'!$GN$2:$GN$317))</f>
        <v>0</v>
      </c>
      <c r="MZ71">
        <f>SUMPRODUCT(--('Данные 2st'!$Q$2:$Q$317=$A71),--ISNUMBER('Данные 2st'!$GQ$2:$GQ$317))</f>
        <v>4</v>
      </c>
      <c r="NA71">
        <f>SUMPRODUCT(--('Данные 2st'!$Q$2:$Q$317=$A71),--ISNUMBER('Данные 2st'!$GV$2:$GV$317))</f>
        <v>4</v>
      </c>
      <c r="NB71">
        <f>SUMPRODUCT(--('Данные 2st'!$Q$2:$Q$317=$A71),--ISNUMBER('Данные 2st'!$GW$2:$GW$317))</f>
        <v>4</v>
      </c>
      <c r="NC71">
        <f>SUMPRODUCT(--('Данные 2st'!$Q$2:$Q$317=$A71),--ISNUMBER('Данные 2st'!$GX$2:$GX$317))</f>
        <v>4</v>
      </c>
      <c r="ND71">
        <f>SUMPRODUCT(--('Данные 2st'!$Q$2:$Q$317=$A71),--ISNUMBER('Данные 2st'!$GY$2:$GY$317))</f>
        <v>4</v>
      </c>
      <c r="NE71">
        <f>SUMPRODUCT(--('Данные 2st'!$Q$2:$Q$317=$A71),--ISNUMBER('Данные 2st'!$GZ$2:$GZ$317))</f>
        <v>4</v>
      </c>
      <c r="NF71">
        <f>SUMPRODUCT(--('Данные 2st'!$Q$2:$Q$317=$A71),--ISNUMBER('Данные 2st'!$HA$2:$HA$317))</f>
        <v>4</v>
      </c>
      <c r="NG71">
        <f>SUMPRODUCT(--('Данные 2st'!$Q$2:$Q$317=$A71),--ISNUMBER('Данные 2st'!$HB$2:$HB$317))</f>
        <v>4</v>
      </c>
      <c r="NH71">
        <f>SUMPRODUCT(--('Данные 2st'!$Q$2:$Q$317=$A71),--ISNUMBER('Данные 2st'!$HC$2:$HC$317))</f>
        <v>4</v>
      </c>
      <c r="NI71">
        <f>SUMPRODUCT(--('Данные 2st'!$Q$2:$Q$317=$A71),--ISNUMBER('Данные 2st'!$HD$2:$HD$317))</f>
        <v>4</v>
      </c>
      <c r="NJ71">
        <f>SUMPRODUCT(--('Данные 2st'!$Q$2:$Q$317=$A71),--ISNUMBER('Данные 2st'!$HM$2:$HM$317))</f>
        <v>4</v>
      </c>
      <c r="NK71">
        <f>SUMPRODUCT(--('Данные 2st'!$Q$2:$Q$317=$A71),--ISNUMBER('Данные 2st'!$HR$2:$HR$317))</f>
        <v>4</v>
      </c>
      <c r="NL71">
        <f>SUMPRODUCT(--('Данные 2st'!$Q$2:$Q$317=$A71),--ISNUMBER('Данные 2st'!$HS$2:$HS$317))</f>
        <v>4</v>
      </c>
      <c r="NM71">
        <f>SUMPRODUCT(--('Данные 2st'!$Q$2:$Q$317=$A71),--ISNUMBER('Данные 2st'!$HT$2:$HT$317))</f>
        <v>4</v>
      </c>
      <c r="NN71">
        <f>SUMPRODUCT(--('Данные 2st'!$Q$2:$Q$317=$A71),--ISNUMBER('Данные 2st'!$HY$2:$HY$317))</f>
        <v>4</v>
      </c>
      <c r="NO71">
        <f>SUMPRODUCT(--('Данные 2st'!$Q$2:$Q$317=$A71),--ISNUMBER('Данные 2st'!$HZ$2:$HZ$317))</f>
        <v>4</v>
      </c>
      <c r="NP71">
        <f>SUMPRODUCT(--('Данные 2st'!$Q$2:$Q$317=$A71),--ISNUMBER('Данные 2st'!$IA$2:$IA$317))</f>
        <v>4</v>
      </c>
      <c r="NQ71">
        <f>SUMPRODUCT(--('Данные 2st'!$Q$2:$Q$317=$A71),--ISNUMBER('Данные 2st'!$IB$2:$IB$317))</f>
        <v>4</v>
      </c>
      <c r="NR71">
        <f>SUMPRODUCT(--('Данные 2st'!$Q$2:$Q$317=$A71),--ISNUMBER('Данные 2st'!$IC$2:$IC$317))</f>
        <v>0</v>
      </c>
      <c r="NS71">
        <f>SUMPRODUCT(--('Данные 2st'!$Q$2:$Q$317=$A71),--ISNUMBER('Данные 2st'!$ID$2:$ID$317))</f>
        <v>4</v>
      </c>
      <c r="NT71">
        <f>SUMPRODUCT(--('Данные 2st'!$Q$2:$Q$317=$A71),--ISNUMBER('Данные 2st'!$IE$2:$IE$317))</f>
        <v>4</v>
      </c>
      <c r="NU71">
        <f>SUMPRODUCT(--('Данные 2st'!$Q$2:$Q$317=$A71),--ISNUMBER('Данные 2st'!$IF$2:$IF$317))</f>
        <v>4</v>
      </c>
      <c r="NV71">
        <f>SUMPRODUCT(--('Данные 2st'!$Q$2:$Q$317=$A71),--ISNUMBER('Данные 2st'!$IG$2:$IG$317))</f>
        <v>4</v>
      </c>
      <c r="NW71">
        <f>SUMPRODUCT(--('Данные 2st'!$Q$2:$Q$317=$A71),--ISNUMBER('Данные 2st'!$IH$2:$IH$317))</f>
        <v>4</v>
      </c>
      <c r="NX71">
        <f>SUMPRODUCT(--('Данные 2st'!$Q$2:$Q$317=$A71),--ISNUMBER('Данные 2st'!$IJ$2:$IJ$317))</f>
        <v>4</v>
      </c>
      <c r="NY71">
        <f>SUMPRODUCT(--('Данные 2st'!$Q$2:$Q$317=$A71),--ISNUMBER('Данные 2st'!$IM$2:$IM$317))</f>
        <v>4</v>
      </c>
      <c r="NZ71">
        <f>SUMPRODUCT(--('Данные 2st'!$Q$2:$Q$317=$A71),--ISNUMBER('Данные 2st'!$IN$2:$IN$317))</f>
        <v>4</v>
      </c>
      <c r="OA71">
        <f>SUMPRODUCT(--('Данные 2st'!$Q$2:$Q$317=$A71),--ISNUMBER('Данные 2st'!$IO$2:$IO$317))</f>
        <v>4</v>
      </c>
      <c r="OB71">
        <f>SUMPRODUCT(--('Данные 2st'!$Q$2:$Q$317=$A71),--ISNUMBER('Данные 2st'!$IP$2:$IP$317))</f>
        <v>4</v>
      </c>
      <c r="OC71">
        <f>SUMPRODUCT(--('Данные 2st'!$Q$2:$Q$317=$A71),--ISNUMBER('Данные 2st'!$IQ$2:$IQ$317))</f>
        <v>4</v>
      </c>
      <c r="OD71">
        <f>SUMPRODUCT(--('Данные 2st'!$Q$2:$Q$317=$A71),--ISNUMBER('Данные 2st'!$IR$2:$IR$317))</f>
        <v>4</v>
      </c>
      <c r="OE71">
        <f>SUMPRODUCT(--('Данные 2st'!$Q$2:$Q$317=$A71),--ISNUMBER('Данные 2st'!$IT$2:$IT$317))</f>
        <v>4</v>
      </c>
      <c r="OF71">
        <f>SUMPRODUCT(--('Данные 2st'!$Q$2:$Q$317=$A71),--ISNUMBER('Данные 2st'!$IU$2:$IU$317))</f>
        <v>4</v>
      </c>
      <c r="OG71">
        <f>SUMPRODUCT(--('Данные 2st'!$Q$2:$Q$317=$A71),--ISNUMBER('Данные 2st'!$IV$2:$IV$317))</f>
        <v>4</v>
      </c>
      <c r="OH71">
        <f>SUMPRODUCT(--('Данные 2st'!$Q$2:$Q$317=$A71),--ISNUMBER('Данные 2st'!$IW$2:$IW$317))</f>
        <v>4</v>
      </c>
      <c r="OI71">
        <f>SUMPRODUCT(--('Данные 2st'!$Q$2:$Q$317=$A71),--ISNUMBER('Данные 2st'!$IX$2:$IX$317))</f>
        <v>4</v>
      </c>
      <c r="OJ71">
        <f>SUMPRODUCT(--('Данные 2st'!$Q$2:$Q$317=$A71),--ISNUMBER('Данные 2st'!$IY$2:$IY$317))</f>
        <v>4</v>
      </c>
      <c r="OK71">
        <f>SUMPRODUCT(--('Данные 2st'!$Q$2:$Q$317=$A71),--ISNUMBER('Данные 2st'!$IZ$2:$IZ$317))</f>
        <v>4</v>
      </c>
      <c r="OL71">
        <f>SUMPRODUCT(--('Данные 2st'!$Q$2:$Q$317=$A71),--ISNUMBER('Данные 2st'!$JA$2:$JA$317))</f>
        <v>4</v>
      </c>
      <c r="OM71">
        <f>SUMPRODUCT(--('Данные 2st'!$Q$2:$Q$317=$A71),--ISNUMBER('Данные 2st'!$JB$2:$JB$317))</f>
        <v>4</v>
      </c>
      <c r="ON71">
        <f>SUMPRODUCT(--('Данные 2st'!$Q$2:$Q$317=$A71),--ISNUMBER('Данные 2st'!$JC$2:$JC$317))</f>
        <v>4</v>
      </c>
      <c r="OO71">
        <f>SUMPRODUCT(--('Данные 2st'!$Q$2:$Q$317=$A71),--ISNUMBER('Данные 2st'!$JD$2:$JD$317))</f>
        <v>4</v>
      </c>
      <c r="OP71">
        <f>SUMPRODUCT(--('Данные 2st'!$Q$2:$Q$317=$A71),--ISNUMBER('Данные 2st'!$JE$2:$JE$317))</f>
        <v>4</v>
      </c>
      <c r="OQ71">
        <f>SUMPRODUCT(--('Данные 2st'!$Q$2:$Q$317=$A71),--ISNUMBER('Данные 2st'!$JF$2:$JF$317))</f>
        <v>4</v>
      </c>
      <c r="OR71">
        <f>SUMPRODUCT(--('Данные 2st'!$Q$2:$Q$317=$A71),--ISNUMBER('Данные 2st'!$JG$2:$JG$317))</f>
        <v>4</v>
      </c>
      <c r="OS71">
        <f>SUMPRODUCT(--('Данные 2st'!$Q$2:$Q$317=$A71),--ISNUMBER('Данные 2st'!$JH$2:$JH$317))</f>
        <v>4</v>
      </c>
      <c r="OT71">
        <f>SUMPRODUCT(--('Данные 2st'!$Q$2:$Q$317=$A71),--ISNUMBER('Данные 2st'!$JI$2:$JI$317))</f>
        <v>4</v>
      </c>
      <c r="OU71">
        <f>SUMPRODUCT(--('Данные 2st'!$Q$2:$Q$317=$A71),--ISNUMBER('Данные 2st'!$JJ$2:$JJ$317))</f>
        <v>4</v>
      </c>
      <c r="OV71">
        <f>SUMPRODUCT(--('Данные 2st'!$Q$2:$Q$317=$A71),--ISNUMBER('Данные 2st'!$JK$2:$JK$317))</f>
        <v>4</v>
      </c>
      <c r="OW71">
        <f>SUMPRODUCT(--('Данные 2st'!$Q$2:$Q$317=$A71),--ISNUMBER('Данные 2st'!$JL$2:$JL$317))</f>
        <v>4</v>
      </c>
      <c r="OX71">
        <f>SUMPRODUCT(--('Данные 2st'!$Q$2:$Q$317=$A71),--ISNUMBER('Данные 2st'!$JM$2:$JM$317))</f>
        <v>4</v>
      </c>
      <c r="OY71">
        <f>SUMPRODUCT(--('Данные 2st'!$Q$2:$Q$317=$A71),--ISNUMBER('Данные 2st'!$JP$2:$JP$317))</f>
        <v>4</v>
      </c>
      <c r="OZ71">
        <f>SUMPRODUCT(--('Данные 2st'!$Q$2:$Q$317=$A71),--ISNUMBER('Данные 2st'!$JQ$2:$JQ$317))</f>
        <v>4</v>
      </c>
      <c r="PA71">
        <f>SUMPRODUCT(--('Данные 2st'!$Q$2:$Q$317=$A71),--ISNUMBER('Данные 2st'!$JR$2:$JR$317))</f>
        <v>4</v>
      </c>
      <c r="PB71">
        <f>SUMPRODUCT(--('Данные 2st'!$Q$2:$Q$317=$A71),--ISNUMBER('Данные 2st'!$JS$2:$JS$317))</f>
        <v>4</v>
      </c>
      <c r="PC71">
        <f>SUMPRODUCT(--('Данные 2st'!$Q$2:$Q$317=$A71),--ISNUMBER('Данные 2st'!$JT$2:$JT$317))</f>
        <v>4</v>
      </c>
      <c r="PD71">
        <f>SUMPRODUCT(--('Данные 2st'!$Q$2:$Q$317=$A71),--ISNUMBER('Данные 2st'!$JU$2:$JU$317))</f>
        <v>4</v>
      </c>
      <c r="PE71">
        <f>SUMPRODUCT(--('Данные 2st'!$Q$2:$Q$317=$A71),--ISNUMBER('Данные 2st'!$JV$2:$JV$317))</f>
        <v>4</v>
      </c>
      <c r="PF71">
        <f>SUMPRODUCT(--('Данные 2st'!$Q$2:$Q$317=$A71),--ISNUMBER('Данные 2st'!$JW$2:$JW$317))</f>
        <v>4</v>
      </c>
      <c r="PG71">
        <f>SUMPRODUCT(--('Данные 2st'!$Q$2:$Q$317=$A71),--ISNUMBER('Данные 2st'!$KF$2:$KF$317))</f>
        <v>4</v>
      </c>
      <c r="PH71">
        <f>SUMPRODUCT(--('Данные 2st'!$Q$2:$Q$317=$A71),--ISNUMBER('Данные 2st'!$KG$2:$KG$317))</f>
        <v>4</v>
      </c>
      <c r="PI71">
        <f>SUMPRODUCT(--('Данные 2st'!$Q$2:$Q$317=$A71),--ISNUMBER('Данные 2st'!$KM$2:$KM$317))</f>
        <v>4</v>
      </c>
      <c r="PJ71">
        <f>SUMPRODUCT(--('Данные 2st'!$Q$2:$Q$317=$A71),--ISNUMBER('Данные 2st'!$KN$2:$KN$317))</f>
        <v>4</v>
      </c>
      <c r="PK71">
        <f>SUMPRODUCT(--('Данные 2st'!$Q$2:$Q$317=$A71),--ISNUMBER('Данные 2st'!$KO$2:$KO$317))</f>
        <v>4</v>
      </c>
      <c r="PL71">
        <f>SUMPRODUCT(--('Данные 2st'!$Q$2:$Q$317=$A71),--ISNUMBER('Данные 2st'!$KP$2:$KP$317))</f>
        <v>4</v>
      </c>
      <c r="PM71">
        <f>SUMPRODUCT(--('Данные 2st'!$Q$2:$Q$317=$A71),--ISNUMBER('Данные 2st'!$KQ$2:$KQ$317))</f>
        <v>4</v>
      </c>
      <c r="PN71">
        <f>SUMPRODUCT(--('Данные 2st'!$Q$2:$Q$317=$A71),--ISNUMBER('Данные 2st'!$KR$2:$KR$317))</f>
        <v>4</v>
      </c>
      <c r="PO71">
        <f>SUMPRODUCT(--('Данные 2st'!$Q$2:$Q$317=$A71),--ISNUMBER('Данные 2st'!$KS$2:$KS$317))</f>
        <v>4</v>
      </c>
      <c r="PP71">
        <f>SUMPRODUCT(--('Данные 2st'!$Q$2:$Q$317=$A71),--ISNUMBER('Данные 2st'!$KT$2:$KT$317))</f>
        <v>4</v>
      </c>
      <c r="PQ71">
        <f>SUMPRODUCT(--('Данные 2st'!$Q$2:$Q$317=$A71),--ISNUMBER('Данные 2st'!$KU$2:$KU$317))</f>
        <v>4</v>
      </c>
      <c r="PR71">
        <f>SUMPRODUCT(--('Данные 2st'!$Q$2:$Q$317=$A71),--ISNUMBER('Данные 2st'!$KV$2:$KV$317))</f>
        <v>4</v>
      </c>
      <c r="PS71">
        <f>SUMPRODUCT(--('Данные 2st'!$Q$2:$Q$317=$A71),--ISNUMBER('Данные 2st'!$KW$2:$KW$317))</f>
        <v>4</v>
      </c>
      <c r="PT71">
        <f>SUMPRODUCT(--('Данные 2st'!$Q$2:$Q$317=$A71),--ISNUMBER('Данные 2st'!$KX$2:$KX$317))</f>
        <v>4</v>
      </c>
      <c r="PU71">
        <f>SUMPRODUCT(--('Данные 2st'!$Q$2:$Q$317=$A71),--ISNUMBER('Данные 2st'!$KY$2:$KY$317))</f>
        <v>4</v>
      </c>
      <c r="PV71">
        <f>SUMPRODUCT(--('Данные 2st'!$Q$2:$Q$317=$A71),--ISNUMBER('Данные 2st'!$KZ$2:$KZ$317))</f>
        <v>4</v>
      </c>
      <c r="PW71">
        <f>SUMPRODUCT(--('Данные 2st'!$Q$2:$Q$317=$A71),--ISNUMBER('Данные 2st'!$LA$2:$LA$317))</f>
        <v>4</v>
      </c>
      <c r="PX71">
        <f>SUMPRODUCT(--('Данные 2st'!$Q$2:$Q$317=$A71),--ISNUMBER('Данные 2st'!$LB$2:$LB$317))</f>
        <v>4</v>
      </c>
      <c r="PY71">
        <f>SUMPRODUCT(--('Данные 2st'!$Q$2:$Q$317=$A71),--ISNUMBER('Данные 2st'!$LC$2:$LC$317))</f>
        <v>4</v>
      </c>
      <c r="PZ71">
        <f>SUMPRODUCT(--('Данные 2st'!$Q$2:$Q$317=$A71),--ISNUMBER('Данные 2st'!$LD$2:$LD$317))</f>
        <v>4</v>
      </c>
      <c r="QA71">
        <f>SUMPRODUCT(--('Данные 2st'!$Q$2:$Q$317=$A71),--ISNUMBER('Данные 2st'!$LE$2:$LE$317))</f>
        <v>4</v>
      </c>
      <c r="QB71">
        <f>SUMPRODUCT(--('Данные 2st'!$Q$2:$Q$317=$A71),--ISNUMBER('Данные 2st'!$LF$2:$LF$317))</f>
        <v>4</v>
      </c>
      <c r="QC71">
        <f>SUMPRODUCT(--('Данные 2st'!$Q$2:$Q$317=$A71),--ISNUMBER('Данные 2st'!$LG$2:$LG$317))</f>
        <v>4</v>
      </c>
      <c r="QD71">
        <f>SUMPRODUCT(--('Данные 2st'!$Q$2:$Q$317=$A71),--ISNUMBER('Данные 2st'!$LH$2:$LH$317))</f>
        <v>4</v>
      </c>
      <c r="QE71">
        <f>SUMPRODUCT(--('Данные 2st'!$Q$2:$Q$317=$A71),--ISNUMBER('Данные 2st'!$LJ$2:$LJ$317))</f>
        <v>4</v>
      </c>
      <c r="QF71">
        <f>SUMPRODUCT(--('Данные 2st'!$Q$2:$Q$317=$A71),--ISNUMBER('Данные 2st'!$LK$2:$LK$317))</f>
        <v>4</v>
      </c>
      <c r="QG71">
        <f>SUMPRODUCT(--('Данные 2st'!$Q$2:$Q$317=$A71),--ISNUMBER('Данные 2st'!$LL$2:$LL$317))</f>
        <v>4</v>
      </c>
      <c r="QH71">
        <f>SUMPRODUCT(--('Данные 2st'!$Q$2:$Q$317=$A71),--ISNUMBER('Данные 2st'!$LM$2:$LM$317))</f>
        <v>4</v>
      </c>
      <c r="QI71">
        <f>SUMPRODUCT(--('Данные 2st'!$Q$2:$Q$317=$A71),--ISNUMBER('Данные 2st'!$LN$2:$LN$317))</f>
        <v>4</v>
      </c>
      <c r="QJ71">
        <f>SUMPRODUCT(--('Данные 2st'!$Q$2:$Q$317=$A71),--ISNUMBER('Данные 2st'!$LO$2:$LO$317))</f>
        <v>4</v>
      </c>
      <c r="QK71">
        <f>SUMPRODUCT(--('Данные 2st'!$Q$2:$Q$317=$A71),--ISNUMBER('Данные 2st'!$LP$2:$LP$317))</f>
        <v>4</v>
      </c>
      <c r="QL71">
        <f>SUMPRODUCT(--('Данные 2st'!$Q$2:$Q$317=$A71),--ISNUMBER('Данные 2st'!$LQ$2:$LQ$317))</f>
        <v>4</v>
      </c>
      <c r="QM71">
        <f>SUMPRODUCT(--('Данные 2st'!$Q$2:$Q$317=$A71),--ISNUMBER('Данные 2st'!$LW$2:$LW$317))</f>
        <v>4</v>
      </c>
      <c r="QN71">
        <f>SUMPRODUCT(--('Данные 2st'!$Q$2:$Q$317=$A71),--ISNUMBER('Данные 2st'!$LX$2:$LX$317))</f>
        <v>4</v>
      </c>
      <c r="QO71">
        <f>SUMPRODUCT(--('Данные 2st'!$Q$2:$Q$317=$A71),--ISNUMBER('Данные 2st'!$LY$2:$LY$317))</f>
        <v>4</v>
      </c>
      <c r="QP71">
        <f>SUMPRODUCT(--('Данные 2st'!$Q$2:$Q$317=$A71),--ISNUMBER('Данные 2st'!$LZ$2:$LZ$317))</f>
        <v>4</v>
      </c>
      <c r="QQ71">
        <f>SUMPRODUCT(--('Данные 2st'!$Q$2:$Q$317=$A71),--ISNUMBER('Данные 2st'!$MB$2:$MB$317))</f>
        <v>4</v>
      </c>
      <c r="QR71">
        <f>SUMPRODUCT(--('Данные 2st'!$Q$2:$Q$317=$A71),--ISNUMBER('Данные 2st'!$MG$2:$MG$317))</f>
        <v>3</v>
      </c>
      <c r="QS71">
        <f>SUMPRODUCT(--('Данные 2st'!$Q$2:$Q$317=$A71),--ISNUMBER('Данные 2st'!$MH$2:$MH$317))</f>
        <v>3</v>
      </c>
      <c r="QT71">
        <f>SUMPRODUCT(--('Данные 2st'!$Q$2:$Q$317=$A71),--ISNUMBER('Данные 2st'!$MI$2:$MI$317))</f>
        <v>4</v>
      </c>
      <c r="QU71">
        <f>SUMPRODUCT(--('Данные 2st'!$Q$2:$Q$317=$A71),--ISNUMBER('Данные 2st'!$MJ$2:$MJ$317))</f>
        <v>4</v>
      </c>
      <c r="QV71">
        <f>SUMPRODUCT(--('Данные 2st'!$Q$2:$Q$317=$A71),--ISNUMBER('Данные 2st'!$MK$2:$MK$317))</f>
        <v>3</v>
      </c>
      <c r="QW71">
        <f>SUMPRODUCT(--('Данные 2st'!$Q$2:$Q$317=$A71),--ISNUMBER('Данные 2st'!$MM$2:$MM$317))</f>
        <v>4</v>
      </c>
      <c r="QX71">
        <f>SUMPRODUCT(--('Данные 2st'!$Q$2:$Q$317=$A71),--ISNUMBER('Данные 2st'!$MQ$2:$MQ$317))</f>
        <v>0</v>
      </c>
      <c r="QY71">
        <f>SUMPRODUCT(--('Данные 2st'!$Q$2:$Q$317=$A71),--ISNUMBER('Данные 2st'!$MR$2:$MR$317))</f>
        <v>0</v>
      </c>
      <c r="QZ71">
        <f>SUMPRODUCT(--('Данные 2st'!$Q$2:$Q$317=$A71),--ISNUMBER('Данные 2st'!$MS$2:$MS$317))</f>
        <v>0</v>
      </c>
      <c r="RA71">
        <f>SUMPRODUCT(--('Данные 2st'!$Q$2:$Q$317=$A71),--ISNUMBER('Данные 2st'!$MT$2:$MT$317))</f>
        <v>0</v>
      </c>
      <c r="RB71">
        <f>SUMPRODUCT(--('Данные 2st'!$Q$2:$Q$317=$A71),--ISNUMBER('Данные 2st'!$MU$2:$MU$317))</f>
        <v>0</v>
      </c>
      <c r="RC71">
        <f>SUMPRODUCT(--('Данные 2st'!$Q$2:$Q$317=$A71),--ISNUMBER('Данные 2st'!$MV$2:$MV$317))</f>
        <v>0</v>
      </c>
      <c r="RD71">
        <f>SUMPRODUCT(--('Данные 2st'!$Q$2:$Q$317=$A71),--ISNUMBER('Данные 2st'!$MW$2:$MW$317))</f>
        <v>0</v>
      </c>
      <c r="RE71">
        <f>SUMPRODUCT(--('Данные 2st'!$Q$2:$Q$317=$A71),--ISNUMBER('Данные 2st'!$MX$2:$MX$317))</f>
        <v>0</v>
      </c>
      <c r="RF71">
        <f>SUMPRODUCT(--('Данные 2st'!$Q$2:$Q$317=$A71),--ISNUMBER('Данные 2st'!$MY$2:$MY$317))</f>
        <v>0</v>
      </c>
      <c r="RG71">
        <f>SUMPRODUCT(--('Данные 2st'!$Q$2:$Q$317=$A71),--ISNUMBER('Данные 2st'!$MZ$2:$MZ$317))</f>
        <v>0</v>
      </c>
      <c r="RH71">
        <f>SUMPRODUCT(--('Данные 2st'!$Q$2:$Q$317=$A71),--ISNUMBER('Данные 2st'!$NA$2:$NA$317))</f>
        <v>0</v>
      </c>
      <c r="RI71">
        <f>SUMPRODUCT(--('Данные 2st'!$Q$2:$Q$317=$A71),--ISNUMBER('Данные 2st'!$NB$2:$NB$317))</f>
        <v>0</v>
      </c>
      <c r="RJ71">
        <f>SUMPRODUCT(--('Данные 2st'!$Q$2:$Q$317=$A71),--ISNUMBER('Данные 2st'!$NC$2:$NC$317))</f>
        <v>0</v>
      </c>
      <c r="RK71">
        <f>SUMPRODUCT(--('Данные 2st'!$Q$2:$Q$317=$A71),--ISNUMBER('Данные 2st'!$ND$2:$ND$317))</f>
        <v>0</v>
      </c>
      <c r="RL71">
        <f>SUMPRODUCT(--('Данные 2st'!$Q$2:$Q$317=$A71),--ISNUMBER('Данные 2st'!$NE$2:$NE$317))</f>
        <v>0</v>
      </c>
      <c r="RM71">
        <f>SUMPRODUCT(--('Данные 2st'!$Q$2:$Q$317=$A71),--ISNUMBER('Данные 2st'!$NF$2:$NF$317))</f>
        <v>0</v>
      </c>
      <c r="RN71">
        <f>SUMPRODUCT(--('Данные 2st'!$Q$2:$Q$317=$A71),--ISNUMBER('Данные 2st'!$NG$2:$NG$317))</f>
        <v>0</v>
      </c>
      <c r="RO71">
        <f>SUMPRODUCT(--('Данные 2st'!$Q$2:$Q$317=$A71),--ISNUMBER('Данные 2st'!$NH$2:$NH$317))</f>
        <v>0</v>
      </c>
      <c r="RP71">
        <f>SUMPRODUCT(--('Данные 2st'!$Q$2:$Q$317=$A71),--ISNUMBER('Данные 2st'!$NJ$2:$NJ$317))</f>
        <v>0</v>
      </c>
      <c r="RQ71">
        <f>SUMPRODUCT(--('Данные 2st'!$Q$2:$Q$317=$A71),--ISNUMBER('Данные 2st'!$NK$2:$NK$317))</f>
        <v>0</v>
      </c>
      <c r="RR71">
        <f>SUMPRODUCT(--('Данные 2st'!$Q$2:$Q$317=$A71),--ISNUMBER('Данные 2st'!$NM$2:$NM$317))</f>
        <v>0</v>
      </c>
      <c r="RS71">
        <f>SUMPRODUCT(--('Данные 2st'!$Q$2:$Q$317=$A71),--ISNUMBER('Данные 2st'!$NN$2:$NN$317))</f>
        <v>0</v>
      </c>
      <c r="RT71">
        <f>SUMPRODUCT(--('Данные 2st'!$Q$2:$Q$317=$A71),--ISNUMBER('Данные 2st'!$NO$2:$NO$317))</f>
        <v>0</v>
      </c>
      <c r="RU71">
        <f>SUMPRODUCT(--('Данные 2st'!$Q$2:$Q$317=$A71),--ISNUMBER('Данные 2st'!$NP$2:$NP$317))</f>
        <v>0</v>
      </c>
      <c r="RV71">
        <f>SUMPRODUCT(--('Данные 2st'!$Q$2:$Q$317=$A71),--ISNUMBER('Данные 2st'!$NQ$2:$NQ$317))</f>
        <v>0</v>
      </c>
      <c r="RW71">
        <f>SUMPRODUCT(--('Данные 2st'!$Q$2:$Q$317=$A71),--ISNUMBER('Данные 2st'!$NR$2:$NR$317))</f>
        <v>0</v>
      </c>
      <c r="RX71">
        <f>SUMPRODUCT(--('Данные 2st'!$Q$2:$Q$317=$A71),--ISNUMBER('Данные 2st'!$NS$2:$NS$317))</f>
        <v>0</v>
      </c>
      <c r="RY71">
        <f>SUMPRODUCT(--('Данные 2st'!$Q$2:$Q$317=$A71),--ISNUMBER('Данные 2st'!$NT$2:$NT$317))</f>
        <v>0</v>
      </c>
      <c r="RZ71">
        <f>SUMPRODUCT(--('Данные 2st'!$Q$2:$Q$317=$A71),--ISNUMBER('Данные 2st'!$OK$2:$OK$317))</f>
        <v>4</v>
      </c>
      <c r="SA71">
        <f>SUMPRODUCT(--('Данные 2st'!$Q$2:$Q$317=$A71),--ISNUMBER('Данные 2st'!$OL$2:$OL$317))</f>
        <v>4</v>
      </c>
      <c r="SB71">
        <f>SUMPRODUCT(--('Данные 2st'!$Q$2:$Q$317=$A71),--ISNUMBER('Данные 2st'!$ON$2:$ON$317))</f>
        <v>4</v>
      </c>
      <c r="SC71">
        <f>SUMPRODUCT(--('Данные 2st'!$Q$2:$Q$317=$A71),--ISNUMBER('Данные 2st'!$OO$2:$OO$317))</f>
        <v>4</v>
      </c>
      <c r="SD71">
        <f>SUMPRODUCT(--('Данные 2st'!$Q$2:$Q$317=$A71),--ISNUMBER('Данные 2st'!$OP$2:$OP$317))</f>
        <v>4</v>
      </c>
      <c r="SE71">
        <f>SUMPRODUCT(--('Данные 2st'!$Q$2:$Q$317=$A71),--ISNUMBER('Данные 2st'!$OQ$2:$OQ$317))</f>
        <v>4</v>
      </c>
      <c r="SF71">
        <f>SUMPRODUCT(--('Данные 2st'!$Q$2:$Q$317=$A71),--ISNUMBER('Данные 2st'!$OS$2:$OS$317))</f>
        <v>4</v>
      </c>
      <c r="SG71">
        <f>SUMPRODUCT(--('Данные 2st'!$Q$2:$Q$317=$A71),--ISNUMBER('Данные 2st'!$OT$2:$OT$317))</f>
        <v>4</v>
      </c>
      <c r="SH71">
        <f>SUMPRODUCT(--('Данные 2st'!$Q$2:$Q$317=$A71),--ISNUMBER('Данные 2st'!$OU$2:$OU$317))</f>
        <v>4</v>
      </c>
      <c r="SI71">
        <f>SUMPRODUCT(--('Данные 2st'!$Q$2:$Q$317=$A71),--ISNUMBER('Данные 2st'!$OV$2:$OV$317))</f>
        <v>4</v>
      </c>
      <c r="SJ71">
        <f>SUMPRODUCT(--('Данные 2st'!$Q$2:$Q$317=$A71),--ISNUMBER('Данные 2st'!$OX$2:$OX$317))</f>
        <v>4</v>
      </c>
      <c r="SK71">
        <f>SUMPRODUCT(--('Данные 2st'!$Q$2:$Q$317=$A71),--ISNUMBER('Данные 2st'!$OY$2:$OY$317))</f>
        <v>4</v>
      </c>
      <c r="SL71">
        <f>SUMPRODUCT(--('Данные 2st'!$Q$2:$Q$317=$A71),--ISNUMBER('Данные 2st'!$OZ$2:$OZ$317))</f>
        <v>4</v>
      </c>
      <c r="SM71">
        <f>SUMPRODUCT(--('Данные 2st'!$Q$2:$Q$317=$A71),--ISNUMBER('Данные 2st'!$PA$2:$PA$317))</f>
        <v>4</v>
      </c>
      <c r="SN71">
        <f>SUMPRODUCT(--('Данные 2st'!$Q$2:$Q$317=$A71),--ISNUMBER('Данные 2st'!$PC$2:$PC$317))</f>
        <v>4</v>
      </c>
      <c r="SO71">
        <f>SUMPRODUCT(--('Данные 2st'!$Q$2:$Q$317=$A71),--ISNUMBER('Данные 2st'!$PD$2:$PD$317))</f>
        <v>4</v>
      </c>
      <c r="SP71">
        <f>SUMPRODUCT(--('Данные 2st'!$Q$2:$Q$317=$A71),--ISNUMBER('Данные 2st'!$PF$2:$PF$317))</f>
        <v>4</v>
      </c>
      <c r="SQ71">
        <f>SUMPRODUCT(--('Данные 2st'!$Q$2:$Q$317=$A71),--ISNUMBER('Данные 2st'!$PG$2:$PG$317))</f>
        <v>4</v>
      </c>
      <c r="SR71">
        <f>SUMPRODUCT(--('Данные 2st'!$Q$2:$Q$317=$A71),--ISNUMBER('Данные 2st'!$PH$2:$PH$317))</f>
        <v>4</v>
      </c>
      <c r="SS71">
        <f>SUMPRODUCT(--('Данные 2st'!$Q$2:$Q$317=$A71),--ISNUMBER('Данные 2st'!$PI$2:$PI$317))</f>
        <v>4</v>
      </c>
      <c r="ST71">
        <f>SUMPRODUCT(--('Данные 2st'!$Q$2:$Q$317=$A71),--ISNUMBER('Данные 2st'!$PJ$2:$PJ$317))</f>
        <v>4</v>
      </c>
      <c r="SU71">
        <f>SUMPRODUCT(--('Данные 2st'!$Q$2:$Q$317=$A71),--ISNUMBER('Данные 2st'!$PK$2:$PK$317))</f>
        <v>3</v>
      </c>
      <c r="SV71">
        <f>SUMPRODUCT(--('Данные 2st'!$Q$2:$Q$317=$A71),--ISNUMBER('Данные 2st'!$PL$2:$PL$317))</f>
        <v>4</v>
      </c>
      <c r="SW71">
        <f>SUMPRODUCT(--('Данные 2st'!$Q$2:$Q$317=$A71),--ISNUMBER('Данные 2st'!$PM$2:$PM$317))</f>
        <v>4</v>
      </c>
      <c r="SX71">
        <f>SUMPRODUCT(--('Данные 2st'!$Q$2:$Q$317=$A71),--ISNUMBER('Данные 2st'!$PN$2:$PN$317))</f>
        <v>4</v>
      </c>
      <c r="SY71">
        <f>SUMPRODUCT(--('Данные 2st'!$Q$2:$Q$317=$A71),--ISNUMBER('Данные 2st'!$PO$2:$PO$317))</f>
        <v>4</v>
      </c>
      <c r="SZ71">
        <f>SUMPRODUCT(--('Данные 2st'!$Q$2:$Q$317=$A71),--ISNUMBER('Данные 2st'!$PP$2:$PP$317))</f>
        <v>4</v>
      </c>
      <c r="TA71">
        <f>SUMPRODUCT(--('Данные 2st'!$Q$2:$Q$317=$A71),--ISNUMBER('Данные 2st'!$PQ$2:$PQ$317))</f>
        <v>4</v>
      </c>
      <c r="TB71">
        <f>SUMPRODUCT(--('Данные 2st'!$Q$2:$Q$317=$A71),--ISNUMBER('Данные 2st'!$PR$2:$PR$317))</f>
        <v>4</v>
      </c>
      <c r="TC71">
        <f>SUMPRODUCT(--('Данные 2st'!$Q$2:$Q$317=$A71),--ISNUMBER('Данные 2st'!$PS$2:$PS$317))</f>
        <v>4</v>
      </c>
      <c r="TD71">
        <f>SUMPRODUCT(--('Данные 2st'!$Q$2:$Q$317=$A71),--ISNUMBER('Данные 2st'!$PT$2:$PT$317))</f>
        <v>4</v>
      </c>
      <c r="TE71">
        <f>SUMPRODUCT(--('Данные 2st'!$Q$2:$Q$317=$A71),--ISNUMBER('Данные 2st'!$PU$2:$PU$317))</f>
        <v>4</v>
      </c>
      <c r="TF71">
        <f>SUMPRODUCT(--('Данные 2st'!$Q$2:$Q$317=$A71),--ISNUMBER('Данные 2st'!$PX$2:$PX$317))</f>
        <v>4</v>
      </c>
      <c r="TG71">
        <f>SUMPRODUCT(--('Данные 2st'!$Q$2:$Q$317=$A71),--ISNUMBER('Данные 2st'!$PY$2:$PY$317))</f>
        <v>4</v>
      </c>
      <c r="TH71">
        <f>SUMPRODUCT(--('Данные 2st'!$Q$2:$Q$317=$A71),--ISNUMBER('Данные 2st'!$PZ$2:$PZ$317))</f>
        <v>4</v>
      </c>
      <c r="TI71">
        <f>SUMPRODUCT(--('Данные 2st'!$Q$2:$Q$317=$A71),--ISNUMBER('Данные 2st'!$QA$2:$QA$317))</f>
        <v>4</v>
      </c>
      <c r="TJ71">
        <f>SUMPRODUCT(--('Данные 2st'!$Q$2:$Q$317=$A71),--ISNUMBER('Данные 2st'!$QB$2:$QB$317))</f>
        <v>4</v>
      </c>
      <c r="TK71">
        <f>SUMPRODUCT(--('Данные 2st'!$Q$2:$Q$317=$A71),--ISNUMBER('Данные 2st'!$QC$2:$QC$317))</f>
        <v>4</v>
      </c>
      <c r="TL71">
        <f>SUMPRODUCT(--('Данные 2st'!$Q$2:$Q$317=$A71),--ISNUMBER('Данные 2st'!$QD$2:$QD$317))</f>
        <v>4</v>
      </c>
      <c r="TM71">
        <f>SUMPRODUCT(--('Данные 2st'!$Q$2:$Q$317=$A71),--ISNUMBER('Данные 2st'!$QE$2:$QE$317))</f>
        <v>4</v>
      </c>
      <c r="TN71">
        <f>SUMPRODUCT(--('Данные 2st'!$Q$2:$Q$317=$A71),--ISNUMBER('Данные 2st'!$QF$2:$QF$317))</f>
        <v>4</v>
      </c>
      <c r="TO71">
        <f>SUMPRODUCT(--('Данные 2st'!$Q$2:$Q$317=$A71),--ISNUMBER('Данные 2st'!$QG$2:$QG$317))</f>
        <v>4</v>
      </c>
      <c r="TP71">
        <f>SUMPRODUCT(--('Данные 2st'!$Q$2:$Q$317=$A71),--ISNUMBER('Данные 2st'!$QH$2:$QH$317))</f>
        <v>4</v>
      </c>
      <c r="TQ71">
        <f>SUMPRODUCT(--('Данные 2st'!$Q$2:$Q$317=$A71),--ISNUMBER('Данные 2st'!$QI$2:$QI$317))</f>
        <v>4</v>
      </c>
      <c r="TR71">
        <f>SUMPRODUCT(--('Данные 2st'!$Q$2:$Q$317=$A71),--ISNUMBER('Данные 2st'!$QJ$2:$QJ$317))</f>
        <v>4</v>
      </c>
      <c r="TS71">
        <f>SUMPRODUCT(--('Данные 2st'!$Q$2:$Q$317=$A71),--ISNUMBER('Данные 2st'!$QK$2:$QK$317))</f>
        <v>4</v>
      </c>
      <c r="TT71">
        <f>SUMPRODUCT(--('Данные 2st'!$Q$2:$Q$317=$A71),--ISNUMBER('Данные 2st'!$QL$2:$QL$317))</f>
        <v>4</v>
      </c>
      <c r="TU71">
        <f>SUMPRODUCT(--('Данные 2st'!$Q$2:$Q$317=$A71),--ISNUMBER('Данные 2st'!$QM$2:$QM$317))</f>
        <v>4</v>
      </c>
      <c r="TV71">
        <f>SUMPRODUCT(--('Данные 2st'!$Q$2:$Q$317=$A71),--ISNUMBER('Данные 2st'!$QN$2:$QN$317))</f>
        <v>4</v>
      </c>
      <c r="TW71">
        <f>SUMPRODUCT(--('Данные 2st'!$Q$2:$Q$317=$A71),--ISNUMBER('Данные 2st'!$QQ$2:$QQ$317))</f>
        <v>4</v>
      </c>
      <c r="TX71">
        <f>SUMPRODUCT(--('Данные 2st'!$Q$2:$Q$317=$A71),--ISNUMBER('Данные 2st'!$QS$2:$QS$317))</f>
        <v>4</v>
      </c>
      <c r="TY71">
        <f>SUMPRODUCT(--('Данные 2st'!$Q$2:$Q$317=$A71),--ISNUMBER('Данные 2st'!$QT$2:$QT$317))</f>
        <v>4</v>
      </c>
    </row>
    <row r="72" spans="1:545" ht="32" customHeight="1">
      <c r="A72" s="11" t="str">
        <f>'По размерам'!A72</f>
        <v>255/55R19</v>
      </c>
      <c r="G72">
        <f>SUMPRODUCT(--('Данные 1st'!$S$2:$S$317=$A72),--ISNUMBER('Данные 1st'!$AE$2:$AE$317))</f>
        <v>5</v>
      </c>
      <c r="H72">
        <f>SUMPRODUCT(--('Данные 1st'!$S$2:$S$317=$A72),--ISNUMBER('Данные 1st'!$AF$2:$AF$317))</f>
        <v>5</v>
      </c>
      <c r="I72">
        <f>SUMPRODUCT(--('Данные 1st'!$S$2:$S$317=$A72),--ISNUMBER('Данные 1st'!$AJ$2:$AJ$317))</f>
        <v>5</v>
      </c>
      <c r="J72">
        <f>SUMPRODUCT(--('Данные 1st'!$S$2:$S$317=$A72),--ISNUMBER('Данные 1st'!$AL$2:$AL$317))</f>
        <v>5</v>
      </c>
      <c r="K72">
        <f>SUMPRODUCT(--('Данные 1st'!$S$2:$S$317=$A72),--ISNUMBER('Данные 1st'!$AR$2:$AR$317))</f>
        <v>5</v>
      </c>
      <c r="L72">
        <f>SUMPRODUCT(--('Данные 1st'!$S$2:$S$317=$A72),--ISNUMBER('Данные 1st'!$AS$2:$AS$317))</f>
        <v>5</v>
      </c>
      <c r="M72">
        <f>SUMPRODUCT(--('Данные 1st'!$S$2:$S$317=$A72),--ISNUMBER('Данные 1st'!$AY$2:$AY$317))</f>
        <v>5</v>
      </c>
      <c r="N72">
        <f>SUMPRODUCT(--('Данные 1st'!$S$2:$S$317=$A72),--ISNUMBER('Данные 1st'!$AZ$2:$AZ$317))</f>
        <v>5</v>
      </c>
      <c r="O72">
        <f>SUMPRODUCT(--('Данные 1st'!$S$2:$S$317=$A72),--ISNUMBER('Данные 1st'!$BF$2:$BF$317))</f>
        <v>5</v>
      </c>
      <c r="P72">
        <f>SUMPRODUCT(--('Данные 1st'!$S$2:$S$317=$A72),--ISNUMBER('Данные 1st'!$BG$2:$BG$317))</f>
        <v>5</v>
      </c>
      <c r="Q72">
        <f>SUMPRODUCT(--('Данные 1st'!$S$2:$S$317=$A72),--ISNUMBER('Данные 1st'!$BM$2:$BM$317))</f>
        <v>0</v>
      </c>
      <c r="R72">
        <f>SUMPRODUCT(--('Данные 1st'!$S$2:$S$317=$A72),--ISNUMBER('Данные 1st'!$BN$2:$BN$317))</f>
        <v>5</v>
      </c>
      <c r="S72">
        <f>SUMPRODUCT(--('Данные 1st'!$S$2:$S$317=$A72),--ISNUMBER('Данные 1st'!$BT$2:$BT$317))</f>
        <v>5</v>
      </c>
      <c r="T72">
        <f>SUMPRODUCT(--('Данные 1st'!$S$2:$S$317=$A72),--ISNUMBER('Данные 1st'!$BU$2:$BU$317))</f>
        <v>5</v>
      </c>
      <c r="U72">
        <f>SUMPRODUCT(--('Данные 1st'!$S$2:$S$317=$A72),--ISNUMBER('Данные 1st'!$BW$2:$BW$317))</f>
        <v>5</v>
      </c>
      <c r="V72">
        <f>SUMPRODUCT(--('Данные 1st'!$S$2:$S$317=$A72),--ISNUMBER('Данные 1st'!$BX$2:$BX$317))</f>
        <v>5</v>
      </c>
      <c r="W72">
        <f>SUMPRODUCT(--('Данные 1st'!$S$2:$S$317=$A72),--ISNUMBER('Данные 1st'!$BZ$2:$BZ$317))</f>
        <v>5</v>
      </c>
      <c r="X72">
        <f>SUMPRODUCT(--('Данные 1st'!$S$2:$S$317=$A72),--ISNUMBER('Данные 1st'!$CA$2:$CA$317))</f>
        <v>5</v>
      </c>
      <c r="Y72">
        <f>SUMPRODUCT(--('Данные 1st'!$S$2:$S$317=$A72),--ISNUMBER('Данные 1st'!$CD$2:$CD$317))</f>
        <v>5</v>
      </c>
      <c r="Z72">
        <f>SUMPRODUCT(--('Данные 1st'!$S$2:$S$317=$A72),--ISNUMBER('Данные 1st'!$CF$2:$CF$317))</f>
        <v>5</v>
      </c>
      <c r="AA72">
        <f>SUMPRODUCT(--('Данные 1st'!$S$2:$S$317=$A72),--ISNUMBER('Данные 1st'!$CI$2:$CI$317))</f>
        <v>5</v>
      </c>
      <c r="AB72">
        <f>SUMPRODUCT(--('Данные 1st'!$S$2:$S$317=$A72),--ISNUMBER('Данные 1st'!$CJ$2:$CJ$317))</f>
        <v>5</v>
      </c>
      <c r="AC72">
        <f>SUMPRODUCT(--('Данные 1st'!$S$2:$S$317=$A72),--ISNUMBER('Данные 1st'!$CK$2:$CK$317))</f>
        <v>5</v>
      </c>
      <c r="AD72">
        <f>SUMPRODUCT(--('Данные 1st'!$S$2:$S$317=$A72),--ISNUMBER('Данные 1st'!$CL$2:$CL$317))</f>
        <v>5</v>
      </c>
      <c r="AE72">
        <f>SUMPRODUCT(--('Данные 1st'!$S$2:$S$317=$A72),--ISNUMBER('Данные 1st'!$CM$2:$CM$317))</f>
        <v>5</v>
      </c>
      <c r="AF72">
        <f>SUMPRODUCT(--('Данные 1st'!$S$2:$S$317=$A72),--ISNUMBER('Данные 1st'!$CT$2:$CT$317))</f>
        <v>5</v>
      </c>
      <c r="AG72">
        <f>SUMPRODUCT(--('Данные 1st'!$S$2:$S$317=$A72),--ISNUMBER('Данные 1st'!$CU$2:$CU$317))</f>
        <v>5</v>
      </c>
      <c r="AH72">
        <f>SUMPRODUCT(--('Данные 1st'!$S$2:$S$317=$A72),--ISNUMBER('Данные 1st'!$CV$2:$CV$317))</f>
        <v>5</v>
      </c>
      <c r="AI72">
        <f>SUMPRODUCT(--('Данные 1st'!$S$2:$S$317=$A72),--ISNUMBER('Данные 1st'!$CW$2:$CW$317))</f>
        <v>5</v>
      </c>
      <c r="AJ72">
        <f>SUMPRODUCT(--('Данные 1st'!$S$2:$S$317=$A72),--ISNUMBER('Данные 1st'!$CX$2:$CX$317))</f>
        <v>5</v>
      </c>
      <c r="AK72">
        <f>SUMPRODUCT(--('Данные 1st'!$S$2:$S$317=$A72),--ISNUMBER('Данные 1st'!$CZ$2:$CZ$317))</f>
        <v>5</v>
      </c>
      <c r="AL72">
        <f>SUMPRODUCT(--('Данные 1st'!$S$2:$S$317=$A72),--ISNUMBER('Данные 1st'!$DA$2:$DA$317))</f>
        <v>5</v>
      </c>
      <c r="AM72">
        <f>SUMPRODUCT(--('Данные 1st'!$S$2:$S$317=$A72),--ISNUMBER('Данные 1st'!$DB$2:$DB$317))</f>
        <v>5</v>
      </c>
      <c r="AN72">
        <f>SUMPRODUCT(--('Данные 1st'!$S$2:$S$317=$A72),--ISNUMBER('Данные 1st'!$DC$2:$DC$317))</f>
        <v>5</v>
      </c>
      <c r="AO72">
        <f>SUMPRODUCT(--('Данные 1st'!$S$2:$S$317=$A72),--ISNUMBER('Данные 1st'!$DD$2:$DD$317))</f>
        <v>5</v>
      </c>
      <c r="AP72">
        <f>SUMPRODUCT(--('Данные 1st'!$S$2:$S$317=$A72),--ISNUMBER('Данные 1st'!$DF$2:$DF$317))</f>
        <v>5</v>
      </c>
      <c r="AQ72">
        <f>SUMPRODUCT(--('Данные 1st'!$S$2:$S$317=$A72),--ISNUMBER('Данные 1st'!$DG$2:$DG$317))</f>
        <v>5</v>
      </c>
      <c r="AR72">
        <f>SUMPRODUCT(--('Данные 1st'!$S$2:$S$317=$A72),--ISNUMBER('Данные 1st'!$DH$2:$DH$317))</f>
        <v>5</v>
      </c>
      <c r="AS72">
        <f>SUMPRODUCT(--('Данные 1st'!$S$2:$S$317=$A72),--ISNUMBER('Данные 1st'!$DI$2:$DI$317))</f>
        <v>5</v>
      </c>
      <c r="AT72">
        <f>SUMPRODUCT(--('Данные 1st'!$S$2:$S$317=$A72),--ISNUMBER('Данные 1st'!$DJ$2:$DJ$317))</f>
        <v>5</v>
      </c>
      <c r="AU72">
        <f>SUMPRODUCT(--('Данные 1st'!$S$2:$S$317=$A72),--ISNUMBER('Данные 1st'!$DL$2:$DL$317))</f>
        <v>5</v>
      </c>
      <c r="AV72">
        <f>SUMPRODUCT(--('Данные 1st'!$S$2:$S$317=$A72),--ISNUMBER('Данные 1st'!$DM$2:$DM$317))</f>
        <v>5</v>
      </c>
      <c r="AW72">
        <f>SUMPRODUCT(--('Данные 1st'!$S$2:$S$317=$A72),--ISNUMBER('Данные 1st'!$DN$2:$DN$317))</f>
        <v>5</v>
      </c>
      <c r="AX72">
        <f>SUMPRODUCT(--('Данные 1st'!$S$2:$S$317=$A72),--ISNUMBER('Данные 1st'!$DO$2:$DO$317))</f>
        <v>5</v>
      </c>
      <c r="AY72">
        <f>SUMPRODUCT(--('Данные 1st'!$S$2:$S$317=$A72),--ISNUMBER('Данные 1st'!$DP$2:$DP$317))</f>
        <v>5</v>
      </c>
      <c r="AZ72">
        <f>SUMPRODUCT(--('Данные 1st'!$S$2:$S$317=$A72),--ISNUMBER('Данные 1st'!$DR$2:$DR$317))</f>
        <v>0</v>
      </c>
      <c r="BA72">
        <f>SUMPRODUCT(--('Данные 1st'!$S$2:$S$317=$A72),--ISNUMBER('Данные 1st'!$DS$2:$DS$317))</f>
        <v>0</v>
      </c>
      <c r="BB72">
        <f>SUMPRODUCT(--('Данные 1st'!$S$2:$S$317=$A72),--ISNUMBER('Данные 1st'!$DT$2:$DT$317))</f>
        <v>0</v>
      </c>
      <c r="BC72">
        <f>SUMPRODUCT(--('Данные 1st'!$S$2:$S$317=$A72),--ISNUMBER('Данные 1st'!$DU$2:$DU$317))</f>
        <v>0</v>
      </c>
      <c r="BD72">
        <f>SUMPRODUCT(--('Данные 1st'!$S$2:$S$317=$A72),--ISNUMBER('Данные 1st'!$DV$2:$DV$317))</f>
        <v>0</v>
      </c>
      <c r="BE72">
        <f>SUMPRODUCT(--('Данные 1st'!$S$2:$S$317=$A72),--ISNUMBER('Данные 1st'!$DX$2:$DX$317))</f>
        <v>5</v>
      </c>
      <c r="BF72">
        <f>SUMPRODUCT(--('Данные 1st'!$S$2:$S$317=$A72),--ISNUMBER('Данные 1st'!$EA$2:$EA$317))</f>
        <v>5</v>
      </c>
      <c r="BG72">
        <f>SUMPRODUCT(--('Данные 1st'!$S$2:$S$317=$A72),--ISNUMBER('Данные 1st'!$EB$2:$EB$317))</f>
        <v>5</v>
      </c>
      <c r="BH72">
        <f>SUMPRODUCT(--('Данные 1st'!$S$2:$S$317=$A72),--ISNUMBER('Данные 1st'!$ED$2:$ED$317))</f>
        <v>5</v>
      </c>
      <c r="BI72">
        <f>SUMPRODUCT(--('Данные 1st'!$S$2:$S$317=$A72),--ISNUMBER('Данные 1st'!$EE$2:$EE$317))</f>
        <v>5</v>
      </c>
      <c r="BJ72">
        <f>SUMPRODUCT(--('Данные 1st'!$S$2:$S$317=$A72),--ISNUMBER('Данные 1st'!$EG$2:$EG$317))</f>
        <v>5</v>
      </c>
      <c r="BK72">
        <f>SUMPRODUCT(--('Данные 1st'!$S$2:$S$317=$A72),--ISNUMBER('Данные 1st'!$EH$2:$EH$317))</f>
        <v>5</v>
      </c>
      <c r="BL72">
        <f>SUMPRODUCT(--('Данные 1st'!$S$2:$S$317=$A72),--ISNUMBER('Данные 1st'!$EJ$2:$EJ$317))</f>
        <v>5</v>
      </c>
      <c r="BM72">
        <f>SUMPRODUCT(--('Данные 1st'!$S$2:$S$317=$A72),--ISNUMBER('Данные 1st'!$EK$2:$EK$317))</f>
        <v>5</v>
      </c>
      <c r="BN72">
        <f>SUMPRODUCT(--('Данные 1st'!$S$2:$S$317=$A72),--ISNUMBER('Данные 1st'!$EN$2:$EN$317))</f>
        <v>5</v>
      </c>
      <c r="BO72">
        <f>SUMPRODUCT(--('Данные 1st'!$S$2:$S$317=$A72),--ISNUMBER('Данные 1st'!$EQ$2:$EQ$317))</f>
        <v>5</v>
      </c>
      <c r="BP72">
        <f>SUMPRODUCT(--('Данные 1st'!$S$2:$S$317=$A72),--ISNUMBER('Данные 1st'!$ER$2:$ER$317))</f>
        <v>5</v>
      </c>
      <c r="BQ72">
        <f>SUMPRODUCT(--('Данные 1st'!$S$2:$S$317=$A72),--ISNUMBER('Данные 1st'!$ES$2:$ES$317))</f>
        <v>5</v>
      </c>
      <c r="BR72">
        <f>SUMPRODUCT(--('Данные 1st'!$S$2:$S$317=$A72),--ISNUMBER('Данные 1st'!$ET$2:$ET$317))</f>
        <v>5</v>
      </c>
      <c r="BS72">
        <f>SUMPRODUCT(--('Данные 1st'!$S$2:$S$317=$A72),--ISNUMBER('Данные 1st'!$EU$2:$EU$317))</f>
        <v>5</v>
      </c>
      <c r="BT72">
        <f>SUMPRODUCT(--('Данные 1st'!$S$2:$S$317=$A72),--ISNUMBER('Данные 1st'!$EV$2:$EV$317))</f>
        <v>5</v>
      </c>
      <c r="BU72">
        <f>SUMPRODUCT(--('Данные 1st'!$S$2:$S$317=$A72),--ISNUMBER('Данные 1st'!$EX$2:$EX$317))</f>
        <v>5</v>
      </c>
      <c r="BV72">
        <f>SUMPRODUCT(--('Данные 1st'!$S$2:$S$317=$A72),--ISNUMBER('Данные 1st'!$EY$2:$EY$317))</f>
        <v>5</v>
      </c>
      <c r="BW72">
        <f>SUMPRODUCT(--('Данные 1st'!$S$2:$S$317=$A72),--ISNUMBER('Данные 1st'!$EZ$2:$EZ$317))</f>
        <v>5</v>
      </c>
      <c r="BX72">
        <f>SUMPRODUCT(--('Данные 1st'!$S$2:$S$317=$A72),--ISNUMBER('Данные 1st'!$FA$2:$FA$317))</f>
        <v>5</v>
      </c>
      <c r="BY72">
        <f>SUMPRODUCT(--('Данные 1st'!$S$2:$S$317=$A72),--ISNUMBER('Данные 1st'!$FB$2:$FB$317))</f>
        <v>5</v>
      </c>
      <c r="BZ72">
        <f>SUMPRODUCT(--('Данные 1st'!$S$2:$S$317=$A72),--ISNUMBER('Данные 1st'!$FC$2:$FC$317))</f>
        <v>5</v>
      </c>
      <c r="CA72">
        <f>SUMPRODUCT(--('Данные 1st'!$S$2:$S$317=$A72),--ISNUMBER('Данные 1st'!$FE$2:$FE$317))</f>
        <v>5</v>
      </c>
      <c r="CB72">
        <f>SUMPRODUCT(--('Данные 1st'!$S$2:$S$317=$A72),--ISNUMBER('Данные 1st'!$FF$2:$FF$317))</f>
        <v>5</v>
      </c>
      <c r="CC72">
        <f>SUMPRODUCT(--('Данные 1st'!$S$2:$S$317=$A72),--ISNUMBER('Данные 1st'!$FI$2:$FI$317))</f>
        <v>5</v>
      </c>
      <c r="CD72">
        <f>SUMPRODUCT(--('Данные 1st'!$S$2:$S$317=$A72),--ISNUMBER('Данные 1st'!$FL$2:$FL$317))</f>
        <v>5</v>
      </c>
      <c r="CE72">
        <f>SUMPRODUCT(--('Данные 1st'!$S$2:$S$317=$A72),--ISNUMBER('Данные 1st'!$FM$2:$FM$317))</f>
        <v>5</v>
      </c>
      <c r="CF72">
        <f>SUMPRODUCT(--('Данные 1st'!$S$2:$S$317=$A72),--ISNUMBER('Данные 1st'!$FN$2:$FN$317))</f>
        <v>5</v>
      </c>
      <c r="CG72">
        <f>SUMPRODUCT(--('Данные 1st'!$S$2:$S$317=$A72),--ISNUMBER('Данные 1st'!$FO$2:$FO$317))</f>
        <v>5</v>
      </c>
      <c r="CH72">
        <f>SUMPRODUCT(--('Данные 1st'!$S$2:$S$317=$A72),--ISNUMBER('Данные 1st'!$FP$2:$FP$317))</f>
        <v>5</v>
      </c>
      <c r="CI72">
        <f>SUMPRODUCT(--('Данные 1st'!$S$2:$S$317=$A72),--ISNUMBER('Данные 1st'!$FS$2:$FS$317))</f>
        <v>1</v>
      </c>
      <c r="CJ72">
        <f>SUMPRODUCT(--('Данные 1st'!$S$2:$S$317=$A72),--ISNUMBER('Данные 1st'!$FT$2:$FT$317))</f>
        <v>1</v>
      </c>
      <c r="CK72">
        <f>SUMPRODUCT(--('Данные 1st'!$S$2:$S$317=$A72),--ISNUMBER('Данные 1st'!$FU$2:$FU$317))</f>
        <v>1</v>
      </c>
      <c r="CL72">
        <f>SUMPRODUCT(--('Данные 1st'!$S$2:$S$317=$A72),--ISNUMBER('Данные 1st'!$FV$2:$FV$317))</f>
        <v>0</v>
      </c>
      <c r="CM72">
        <f>SUMPRODUCT(--('Данные 1st'!$S$2:$S$317=$A72),--ISNUMBER('Данные 1st'!$FW$2:$FW$317))</f>
        <v>0</v>
      </c>
      <c r="CN72">
        <f>SUMPRODUCT(--('Данные 1st'!$S$2:$S$317=$A72),--ISNUMBER('Данные 1st'!$FZ$2:$FZ$317))</f>
        <v>0</v>
      </c>
      <c r="CO72">
        <f>SUMPRODUCT(--('Данные 1st'!$S$2:$S$317=$A72),--ISNUMBER('Данные 1st'!$GA$2:$GA$317))</f>
        <v>0</v>
      </c>
      <c r="CP72">
        <f>SUMPRODUCT(--('Данные 1st'!$S$2:$S$317=$A72),--ISNUMBER('Данные 1st'!$GB$2:$GB$317))</f>
        <v>0</v>
      </c>
      <c r="CQ72">
        <f>SUMPRODUCT(--('Данные 1st'!$S$2:$S$317=$A72),--ISNUMBER('Данные 1st'!$GH$2:$GH$317))</f>
        <v>0</v>
      </c>
      <c r="CR72">
        <f>SUMPRODUCT(--('Данные 1st'!$S$2:$S$317=$A72),--ISNUMBER('Данные 1st'!$GI$2:$GI$317))</f>
        <v>0</v>
      </c>
      <c r="CS72">
        <f>SUMPRODUCT(--('Данные 1st'!$S$2:$S$317=$A72),--ISNUMBER('Данные 1st'!$GJ$2:$GJ$317))</f>
        <v>0</v>
      </c>
      <c r="CT72">
        <f>SUMPRODUCT(--('Данные 1st'!$S$2:$S$317=$A72),--ISNUMBER('Данные 1st'!$GS$2:$GS$317))</f>
        <v>5</v>
      </c>
      <c r="CU72">
        <f>SUMPRODUCT(--('Данные 1st'!$S$2:$S$317=$A72),--ISNUMBER('Данные 1st'!$GT$2:$GT$317))</f>
        <v>5</v>
      </c>
      <c r="CV72">
        <f>SUMPRODUCT(--('Данные 1st'!$S$2:$S$317=$A72),--ISNUMBER('Данные 1st'!$GU$2:$GU$317))</f>
        <v>5</v>
      </c>
      <c r="CW72">
        <f>SUMPRODUCT(--('Данные 1st'!$S$2:$S$317=$A72),--ISNUMBER('Данные 1st'!$GV$2:$GV$317))</f>
        <v>4</v>
      </c>
      <c r="CX72">
        <f>SUMPRODUCT(--('Данные 1st'!$S$2:$S$317=$A72),--ISNUMBER('Данные 1st'!$GW$2:$GW$317))</f>
        <v>4</v>
      </c>
      <c r="CY72">
        <f>SUMPRODUCT(--('Данные 1st'!$S$2:$S$317=$A72),--ISNUMBER('Данные 1st'!$GZ$2:$GZ$317))</f>
        <v>0</v>
      </c>
      <c r="CZ72">
        <f>SUMPRODUCT(--('Данные 1st'!$S$2:$S$317=$A72),--ISNUMBER('Данные 1st'!$HA$2:$HA$317))</f>
        <v>0</v>
      </c>
      <c r="DA72">
        <f>SUMPRODUCT(--('Данные 1st'!$S$2:$S$317=$A72),--ISNUMBER('Данные 1st'!$HB$2:$HB$317))</f>
        <v>0</v>
      </c>
      <c r="DB72">
        <f>SUMPRODUCT(--('Данные 1st'!$S$2:$S$317=$A72),--ISNUMBER('Данные 1st'!$HC$2:$HC$317))</f>
        <v>5</v>
      </c>
      <c r="DC72">
        <f>SUMPRODUCT(--('Данные 1st'!$S$2:$S$317=$A72),--ISNUMBER('Данные 1st'!$HD$2:$HD$317))</f>
        <v>5</v>
      </c>
      <c r="DD72">
        <f>SUMPRODUCT(--('Данные 1st'!$S$2:$S$317=$A72),--ISNUMBER('Данные 1st'!$HE$2:$HE$317))</f>
        <v>5</v>
      </c>
      <c r="DE72">
        <f>SUMPRODUCT(--('Данные 1st'!$S$2:$S$317=$A72),--ISNUMBER('Данные 1st'!$HF$2:$HF$317))</f>
        <v>5</v>
      </c>
      <c r="DF72">
        <f>SUMPRODUCT(--('Данные 1st'!$S$2:$S$317=$A72),--ISNUMBER('Данные 1st'!$HG$2:$HG$317))</f>
        <v>5</v>
      </c>
      <c r="DG72">
        <f>SUMPRODUCT(--('Данные 1st'!$S$2:$S$317=$A72),--ISNUMBER('Данные 1st'!$HH$2:$HH$317))</f>
        <v>5</v>
      </c>
      <c r="DH72">
        <f>SUMPRODUCT(--('Данные 1st'!$S$2:$S$317=$A72),--ISNUMBER('Данные 1st'!$HI$2:$HI$317))</f>
        <v>5</v>
      </c>
      <c r="DI72">
        <f>SUMPRODUCT(--('Данные 1st'!$S$2:$S$317=$A72),--ISNUMBER('Данные 1st'!$HJ$2:$HJ$317))</f>
        <v>5</v>
      </c>
      <c r="DJ72">
        <f>SUMPRODUCT(--('Данные 1st'!$S$2:$S$317=$A72),--ISNUMBER('Данные 1st'!$HK$2:$HK$317))</f>
        <v>5</v>
      </c>
      <c r="DK72">
        <f>SUMPRODUCT(--('Данные 1st'!$S$2:$S$317=$A72),--ISNUMBER('Данные 1st'!$HL$2:$HL$317))</f>
        <v>5</v>
      </c>
      <c r="DL72">
        <f>SUMPRODUCT(--('Данные 1st'!$S$2:$S$317=$A72),--ISNUMBER('Данные 1st'!$HM$2:$HM$317))</f>
        <v>5</v>
      </c>
      <c r="DM72">
        <f>SUMPRODUCT(--('Данные 1st'!$S$2:$S$317=$A72),--ISNUMBER('Данные 1st'!$HN$2:$HN$317))</f>
        <v>5</v>
      </c>
      <c r="DN72">
        <f>SUMPRODUCT(--('Данные 1st'!$S$2:$S$317=$A72),--ISNUMBER('Данные 1st'!$HO$2:$HO$317))</f>
        <v>5</v>
      </c>
      <c r="DO72">
        <f>SUMPRODUCT(--('Данные 1st'!$S$2:$S$317=$A72),--ISNUMBER('Данные 1st'!$HP$2:$HP$317))</f>
        <v>5</v>
      </c>
      <c r="DP72">
        <f>SUMPRODUCT(--('Данные 1st'!$S$2:$S$317=$A72),--ISNUMBER('Данные 1st'!$HQ$2:$HQ$317))</f>
        <v>5</v>
      </c>
      <c r="DQ72">
        <f>SUMPRODUCT(--('Данные 1st'!$S$2:$S$317=$A72),--ISNUMBER('Данные 1st'!$HR$2:$HR$317))</f>
        <v>5</v>
      </c>
      <c r="DR72">
        <f>SUMPRODUCT(--('Данные 1st'!$S$2:$S$317=$A72),--ISNUMBER('Данные 1st'!$HS$2:$HS$317))</f>
        <v>5</v>
      </c>
      <c r="DS72">
        <f>SUMPRODUCT(--('Данные 1st'!$S$2:$S$317=$A72),--ISNUMBER('Данные 1st'!$HT$2:$HT$317))</f>
        <v>5</v>
      </c>
      <c r="DT72">
        <f>SUMPRODUCT(--('Данные 1st'!$S$2:$S$317=$A72),--ISNUMBER('Данные 1st'!$HU$2:$HU$317))</f>
        <v>5</v>
      </c>
      <c r="DU72">
        <f>SUMPRODUCT(--('Данные 1st'!$S$2:$S$317=$A72),--ISNUMBER('Данные 1st'!$HW$2:$HW$317))</f>
        <v>5</v>
      </c>
      <c r="DV72">
        <f>SUMPRODUCT(--('Данные 1st'!$S$2:$S$317=$A72),--ISNUMBER('Данные 1st'!$HX$2:$HX$317))</f>
        <v>5</v>
      </c>
      <c r="DW72">
        <f>SUMPRODUCT(--('Данные 1st'!$S$2:$S$317=$A72),--ISNUMBER('Данные 1st'!$HY$2:$HY$317))</f>
        <v>5</v>
      </c>
      <c r="DX72">
        <f>SUMPRODUCT(--('Данные 1st'!$S$2:$S$317=$A72),--ISNUMBER('Данные 1st'!$IA$2:$IA$317))</f>
        <v>5</v>
      </c>
      <c r="DY72">
        <f>SUMPRODUCT(--('Данные 1st'!$S$2:$S$317=$A72),--ISNUMBER('Данные 1st'!$IB$2:$IB$317))</f>
        <v>5</v>
      </c>
      <c r="DZ72">
        <f>SUMPRODUCT(--('Данные 1st'!$S$2:$S$317=$A72),--ISNUMBER('Данные 1st'!$IC$2:$IC$317))</f>
        <v>5</v>
      </c>
      <c r="EA72">
        <f>SUMPRODUCT(--('Данные 1st'!$S$2:$S$317=$A72),--ISNUMBER('Данные 1st'!$ID$2:$ID$317))</f>
        <v>5</v>
      </c>
      <c r="EB72">
        <f>SUMPRODUCT(--('Данные 1st'!$S$2:$S$317=$A72),--ISNUMBER('Данные 1st'!$IE$2:$IE$317))</f>
        <v>5</v>
      </c>
      <c r="EC72">
        <f>SUMPRODUCT(--('Данные 1st'!$S$2:$S$317=$A72),--ISNUMBER('Данные 1st'!$IF$2:$IF$317))</f>
        <v>5</v>
      </c>
      <c r="ED72">
        <f>SUMPRODUCT(--('Данные 1st'!$S$2:$S$317=$A72),--ISNUMBER('Данные 1st'!$IP$2:$IP$317))</f>
        <v>5</v>
      </c>
      <c r="EE72">
        <f>SUMPRODUCT(--('Данные 1st'!$S$2:$S$317=$A72),--ISNUMBER('Данные 1st'!$IV$2:$IV$317))</f>
        <v>5</v>
      </c>
      <c r="EF72">
        <f>SUMPRODUCT(--('Данные 1st'!$S$2:$S$317=$A72),--ISNUMBER('Данные 1st'!$IW$2:$IW$317))</f>
        <v>5</v>
      </c>
      <c r="EG72">
        <f>SUMPRODUCT(--('Данные 1st'!$S$2:$S$317=$A72),--ISNUMBER('Данные 1st'!$IX$2:$IX$317))</f>
        <v>0</v>
      </c>
      <c r="EH72">
        <f>SUMPRODUCT(--('Данные 1st'!$S$2:$S$317=$A72),--ISNUMBER('Данные 1st'!$IY$2:$IY$317))</f>
        <v>0</v>
      </c>
      <c r="EI72">
        <f>SUMPRODUCT(--('Данные 1st'!$S$2:$S$317=$A72),--ISNUMBER('Данные 1st'!$JD$2:$JD$317))</f>
        <v>5</v>
      </c>
      <c r="EJ72">
        <f>SUMPRODUCT(--('Данные 1st'!$S$2:$S$317=$A72),--ISNUMBER('Данные 1st'!$JE$2:$JE$317))</f>
        <v>5</v>
      </c>
      <c r="EK72">
        <f>SUMPRODUCT(--('Данные 1st'!$S$2:$S$317=$A72),--ISNUMBER('Данные 1st'!$JF$2:$JF$317))</f>
        <v>5</v>
      </c>
      <c r="EL72">
        <f>SUMPRODUCT(--('Данные 1st'!$S$2:$S$317=$A72),--ISNUMBER('Данные 1st'!$JG$2:$JG$317))</f>
        <v>5</v>
      </c>
      <c r="EM72">
        <f>SUMPRODUCT(--('Данные 1st'!$S$2:$S$317=$A72),--ISNUMBER('Данные 1st'!$JH$2:$JH$317))</f>
        <v>5</v>
      </c>
      <c r="EN72">
        <f>SUMPRODUCT(--('Данные 1st'!$S$2:$S$317=$A72),--ISNUMBER('Данные 1st'!$JJ$2:$JJ$317))</f>
        <v>5</v>
      </c>
      <c r="EO72">
        <f>SUMPRODUCT(--('Данные 1st'!$S$2:$S$317=$A72),--ISNUMBER('Данные 1st'!$JK$2:$JK$317))</f>
        <v>5</v>
      </c>
      <c r="EP72">
        <f>SUMPRODUCT(--('Данные 1st'!$S$2:$S$317=$A72),--ISNUMBER('Данные 1st'!$JL$2:$JL$317))</f>
        <v>0</v>
      </c>
      <c r="EQ72">
        <f>SUMPRODUCT(--('Данные 1st'!$S$2:$S$317=$A72),--ISNUMBER('Данные 1st'!$JM$2:$JM$317))</f>
        <v>0</v>
      </c>
      <c r="ER72">
        <f>SUMPRODUCT(--('Данные 1st'!$S$2:$S$317=$A72),--ISNUMBER('Данные 1st'!$JN$2:$JN$317))</f>
        <v>5</v>
      </c>
      <c r="ES72">
        <f>SUMPRODUCT(--('Данные 1st'!$S$2:$S$317=$A72),--ISNUMBER('Данные 1st'!$JO$2:$JO$317))</f>
        <v>5</v>
      </c>
      <c r="ET72">
        <f>SUMPRODUCT(--('Данные 1st'!$S$2:$S$317=$A72),--ISNUMBER('Данные 1st'!$JP$2:$JP$317))</f>
        <v>5</v>
      </c>
      <c r="EU72">
        <f>SUMPRODUCT(--('Данные 1st'!$S$2:$S$317=$A72),--ISNUMBER('Данные 1st'!$JQ$2:$JQ$317))</f>
        <v>5</v>
      </c>
      <c r="EV72">
        <f>SUMPRODUCT(--('Данные 1st'!$S$2:$S$317=$A72),--ISNUMBER('Данные 1st'!$JR$2:$JR$317))</f>
        <v>5</v>
      </c>
      <c r="EW72">
        <f>SUMPRODUCT(--('Данные 1st'!$S$2:$S$317=$A72),--ISNUMBER('Данные 1st'!$JS$2:$JS$317))</f>
        <v>5</v>
      </c>
      <c r="EX72">
        <f>SUMPRODUCT(--('Данные 1st'!$S$2:$S$317=$A72),--ISNUMBER('Данные 1st'!$JT$2:$JT$317))</f>
        <v>0</v>
      </c>
      <c r="EY72">
        <f>SUMPRODUCT(--('Данные 1st'!$S$2:$S$317=$A72),--ISNUMBER('Данные 1st'!$JU$2:$JU$317))</f>
        <v>0</v>
      </c>
      <c r="EZ72">
        <f>SUMPRODUCT(--('Данные 1st'!$S$2:$S$317=$A72),--ISNUMBER('Данные 1st'!$JV$2:$JV$317))</f>
        <v>5</v>
      </c>
      <c r="FA72">
        <f>SUMPRODUCT(--('Данные 1st'!$S$2:$S$317=$A72),--ISNUMBER('Данные 1st'!$JW$2:$JW$317))</f>
        <v>0</v>
      </c>
      <c r="FB72">
        <f>SUMPRODUCT(--('Данные 1st'!$S$2:$S$317=$A72),--ISNUMBER('Данные 1st'!$JX$2:$JX$317))</f>
        <v>5</v>
      </c>
      <c r="FC72">
        <f>SUMPRODUCT(--('Данные 1st'!$S$2:$S$317=$A72),--ISNUMBER('Данные 1st'!$JY$2:$JY$317))</f>
        <v>0</v>
      </c>
      <c r="FD72">
        <f>SUMPRODUCT(--('Данные 1st'!$S$2:$S$317=$A72),--ISNUMBER('Данные 1st'!$JZ$2:$JZ$317))</f>
        <v>0</v>
      </c>
      <c r="FE72">
        <f>SUMPRODUCT(--('Данные 1st'!$S$2:$S$317=$A72),--ISNUMBER('Данные 1st'!$KA$2:$KA$317))</f>
        <v>5</v>
      </c>
      <c r="FF72">
        <f>SUMPRODUCT(--('Данные 1st'!$S$2:$S$317=$A72),--ISNUMBER('Данные 1st'!$KB$2:$KB$317))</f>
        <v>5</v>
      </c>
      <c r="FG72">
        <f>SUMPRODUCT(--('Данные 1st'!$S$2:$S$317=$A72),--ISNUMBER('Данные 1st'!$KC$2:$KC$317))</f>
        <v>5</v>
      </c>
      <c r="FH72">
        <f>SUMPRODUCT(--('Данные 1st'!$S$2:$S$317=$A72),--ISNUMBER('Данные 1st'!$KD$2:$KD$317))</f>
        <v>5</v>
      </c>
      <c r="FI72">
        <f>SUMPRODUCT(--('Данные 1st'!$S$2:$S$317=$A72),--ISNUMBER('Данные 1st'!$KE$2:$KE$317))</f>
        <v>0</v>
      </c>
      <c r="FJ72">
        <f>SUMPRODUCT(--('Данные 1st'!$S$2:$S$317=$A72),--ISNUMBER('Данные 1st'!$KF$2:$KF$317))</f>
        <v>5</v>
      </c>
      <c r="FK72">
        <f>SUMPRODUCT(--('Данные 1st'!$S$2:$S$317=$A72),--ISNUMBER('Данные 1st'!$KG$2:$KG$317))</f>
        <v>5</v>
      </c>
      <c r="FL72">
        <f>SUMPRODUCT(--('Данные 1st'!$S$2:$S$317=$A72),--ISNUMBER('Данные 1st'!$KH$2:$KH$317))</f>
        <v>5</v>
      </c>
      <c r="FM72">
        <f>SUMPRODUCT(--('Данные 1st'!$S$2:$S$317=$A72),--ISNUMBER('Данные 1st'!$KI$2:$KI$317))</f>
        <v>5</v>
      </c>
      <c r="FN72">
        <f>SUMPRODUCT(--('Данные 1st'!$S$2:$S$317=$A72),--ISNUMBER('Данные 1st'!$KJ$2:$KJ$317))</f>
        <v>5</v>
      </c>
      <c r="FO72">
        <f>SUMPRODUCT(--('Данные 1st'!$S$2:$S$317=$A72),--ISNUMBER('Данные 1st'!$KK$2:$KK$317))</f>
        <v>5</v>
      </c>
      <c r="FP72">
        <f>SUMPRODUCT(--('Данные 1st'!$S$2:$S$317=$A72),--ISNUMBER('Данные 1st'!$KL$2:$KL$317))</f>
        <v>5</v>
      </c>
      <c r="FQ72">
        <f>SUMPRODUCT(--('Данные 1st'!$S$2:$S$317=$A72),--ISNUMBER('Данные 1st'!$KM$2:$KM$317))</f>
        <v>5</v>
      </c>
      <c r="FR72">
        <f>SUMPRODUCT(--('Данные 1st'!$S$2:$S$317=$A72),--ISNUMBER('Данные 1st'!$KN$2:$KN$317))</f>
        <v>5</v>
      </c>
      <c r="FS72">
        <f>SUMPRODUCT(--('Данные 1st'!$S$2:$S$317=$A72),--ISNUMBER('Данные 1st'!$KR$2:$KR$317))</f>
        <v>5</v>
      </c>
      <c r="FT72">
        <f>SUMPRODUCT(--('Данные 1st'!$S$2:$S$317=$A72),--ISNUMBER('Данные 1st'!$KS$2:$KS$317))</f>
        <v>5</v>
      </c>
      <c r="FU72">
        <f>SUMPRODUCT(--('Данные 1st'!$S$2:$S$317=$A72),--ISNUMBER('Данные 1st'!$KT$2:$KT$317))</f>
        <v>5</v>
      </c>
      <c r="FV72">
        <f>SUMPRODUCT(--('Данные 1st'!$S$2:$S$317=$A72),--ISNUMBER('Данные 1st'!$KV$2:$KV$317))</f>
        <v>0</v>
      </c>
      <c r="FW72">
        <f>SUMPRODUCT(--('Данные 1st'!$S$2:$S$317=$A72),--ISNUMBER('Данные 1st'!$KW$2:$KW$317))</f>
        <v>0</v>
      </c>
      <c r="FX72">
        <f>SUMPRODUCT(--('Данные 1st'!$S$2:$S$317=$A72),--ISNUMBER('Данные 1st'!$KX$2:$KX$317))</f>
        <v>0</v>
      </c>
      <c r="FY72">
        <f>SUMPRODUCT(--('Данные 1st'!$S$2:$S$317=$A72),--ISNUMBER('Данные 1st'!$KY$2:$KY$317))</f>
        <v>0</v>
      </c>
      <c r="FZ72">
        <f>SUMPRODUCT(--('Данные 1st'!$S$2:$S$317=$A72),--ISNUMBER('Данные 1st'!$KZ$2:$KZ$317))</f>
        <v>0</v>
      </c>
      <c r="GA72">
        <f>SUMPRODUCT(--('Данные 1st'!$S$2:$S$317=$A72),--ISNUMBER('Данные 1st'!$LA$2:$LA$317))</f>
        <v>0</v>
      </c>
      <c r="GB72">
        <f>SUMPRODUCT(--('Данные 1st'!$S$2:$S$317=$A72),--ISNUMBER('Данные 1st'!$LB$2:$LB$317))</f>
        <v>0</v>
      </c>
      <c r="GC72">
        <f>SUMPRODUCT(--('Данные 1st'!$S$2:$S$317=$A72),--ISNUMBER('Данные 1st'!$LC$2:$LC$317))</f>
        <v>0</v>
      </c>
      <c r="GD72">
        <f>SUMPRODUCT(--('Данные 1st'!$S$2:$S$317=$A72),--ISNUMBER('Данные 1st'!$LD$2:$LD$317))</f>
        <v>0</v>
      </c>
      <c r="GE72">
        <f>SUMPRODUCT(--('Данные 1st'!$S$2:$S$317=$A72),--ISNUMBER('Данные 1st'!$LE$2:$LE$317))</f>
        <v>0</v>
      </c>
      <c r="GF72">
        <f>SUMPRODUCT(--('Данные 1st'!$S$2:$S$317=$A72),--ISNUMBER('Данные 1st'!$LF$2:$LF$317))</f>
        <v>0</v>
      </c>
      <c r="GG72">
        <f>SUMPRODUCT(--('Данные 1st'!$S$2:$S$317=$A72),--ISNUMBER('Данные 1st'!$LG$2:$LG$317))</f>
        <v>0</v>
      </c>
      <c r="GH72">
        <f>SUMPRODUCT(--('Данные 1st'!$S$2:$S$317=$A72),--ISNUMBER('Данные 1st'!$LH$2:$LH$317))</f>
        <v>0</v>
      </c>
      <c r="GI72">
        <f>SUMPRODUCT(--('Данные 1st'!$S$2:$S$317=$A72),--ISNUMBER('Данные 1st'!$LI$2:$LI$317))</f>
        <v>0</v>
      </c>
      <c r="GJ72">
        <f>SUMPRODUCT(--('Данные 1st'!$S$2:$S$317=$A72),--ISNUMBER('Данные 1st'!$LJ$2:$LJ$317))</f>
        <v>0</v>
      </c>
      <c r="GK72">
        <f>SUMPRODUCT(--('Данные 1st'!$S$2:$S$317=$A72),--ISNUMBER('Данные 1st'!$LK$2:$LK$317))</f>
        <v>5</v>
      </c>
      <c r="GL72">
        <f>SUMPRODUCT(--('Данные 1st'!$S$2:$S$317=$A72),--ISNUMBER('Данные 1st'!$LV$2:$LV$317))</f>
        <v>0</v>
      </c>
      <c r="GM72">
        <f>SUMPRODUCT(--('Данные 1st'!$S$2:$S$317=$A72),--ISNUMBER('Данные 1st'!$LW$2:$LW$317))</f>
        <v>0</v>
      </c>
      <c r="GN72">
        <f>SUMPRODUCT(--('Данные 1st'!$S$2:$S$317=$A72),--ISNUMBER('Данные 1st'!$LX$2:$LX$317))</f>
        <v>0</v>
      </c>
      <c r="GO72">
        <f>SUMPRODUCT(--('Данные 1st'!$S$2:$S$317=$A72),--ISNUMBER('Данные 1st'!$LY$2:$LY$317))</f>
        <v>0</v>
      </c>
      <c r="GP72">
        <f>SUMPRODUCT(--('Данные 1st'!$S$2:$S$317=$A72),--ISNUMBER('Данные 1st'!$LZ$2:$LZ$317))</f>
        <v>0</v>
      </c>
      <c r="GQ72">
        <f>SUMPRODUCT(--('Данные 1st'!$S$2:$S$317=$A72),--ISNUMBER('Данные 1st'!$PG$2:$PG$317))</f>
        <v>5</v>
      </c>
      <c r="GR72">
        <f>SUMPRODUCT(--('Данные 1st'!$S$2:$S$317=$A72),--ISNUMBER('Данные 1st'!$PX$2:$PX$317))</f>
        <v>5</v>
      </c>
      <c r="GS72">
        <f>SUMPRODUCT(--('Данные 1st'!$S$2:$S$317=$A72),--ISNUMBER('Данные 1st'!$PY$2:$PY$317))</f>
        <v>5</v>
      </c>
      <c r="GT72">
        <f>SUMPRODUCT(--('Данные 1st'!$S$2:$S$317=$A72),--ISNUMBER('Данные 1st'!$QA$2:$QA$317))</f>
        <v>5</v>
      </c>
      <c r="GU72">
        <f>SUMPRODUCT(--('Данные 1st'!$S$2:$S$317=$A72),--ISNUMBER('Данные 1st'!$QB$2:$QB$317))</f>
        <v>5</v>
      </c>
      <c r="GV72">
        <f>SUMPRODUCT(--('Данные 1st'!$S$2:$S$317=$A72),--ISNUMBER('Данные 1st'!$QC$2:$QC$317))</f>
        <v>5</v>
      </c>
      <c r="GW72">
        <f>SUMPRODUCT(--('Данные 1st'!$S$2:$S$317=$A72),--ISNUMBER('Данные 1st'!$QD$2:$QD$317))</f>
        <v>5</v>
      </c>
      <c r="GX72">
        <f>SUMPRODUCT(--('Данные 1st'!$S$2:$S$317=$A72),--ISNUMBER('Данные 1st'!$QF$2:$QF$317))</f>
        <v>5</v>
      </c>
      <c r="GY72">
        <f>SUMPRODUCT(--('Данные 1st'!$S$2:$S$317=$A72),--ISNUMBER('Данные 1st'!$QG$2:$QG$317))</f>
        <v>5</v>
      </c>
      <c r="GZ72">
        <f>SUMPRODUCT(--('Данные 1st'!$S$2:$S$317=$A72),--ISNUMBER('Данные 1st'!$QH$2:$QH$317))</f>
        <v>5</v>
      </c>
      <c r="HA72">
        <f>SUMPRODUCT(--('Данные 1st'!$S$2:$S$317=$A72),--ISNUMBER('Данные 1st'!$QI$2:$QI$317))</f>
        <v>5</v>
      </c>
      <c r="HB72">
        <f>SUMPRODUCT(--('Данные 1st'!$S$2:$S$317=$A72),--ISNUMBER('Данные 1st'!$QK$2:$QK$317))</f>
        <v>5</v>
      </c>
      <c r="HC72">
        <f>SUMPRODUCT(--('Данные 1st'!$S$2:$S$317=$A72),--ISNUMBER('Данные 1st'!$QL$2:$QL$317))</f>
        <v>5</v>
      </c>
      <c r="HD72">
        <f>SUMPRODUCT(--('Данные 1st'!$S$2:$S$317=$A72),--ISNUMBER('Данные 1st'!$QM$2:$QM$317))</f>
        <v>5</v>
      </c>
      <c r="HE72">
        <f>SUMPRODUCT(--('Данные 1st'!$S$2:$S$317=$A72),--ISNUMBER('Данные 1st'!$QN$2:$QN$317))</f>
        <v>5</v>
      </c>
      <c r="HF72">
        <f>SUMPRODUCT(--('Данные 1st'!$S$2:$S$317=$A72),--ISNUMBER('Данные 1st'!$QP$2:$QP$317))</f>
        <v>5</v>
      </c>
      <c r="HG72">
        <f>SUMPRODUCT(--('Данные 1st'!$S$2:$S$317=$A72),--ISNUMBER('Данные 1st'!$QQ$2:$QQ$317))</f>
        <v>5</v>
      </c>
      <c r="HH72">
        <f>SUMPRODUCT(--('Данные 1st'!$S$2:$S$317=$A72),--ISNUMBER('Данные 1st'!$QR$2:$QR$317))</f>
        <v>5</v>
      </c>
      <c r="HI72">
        <f>SUMPRODUCT(--('Данные 1st'!$S$2:$S$317=$A72),--ISNUMBER('Данные 1st'!$QS$2:$QS$317))</f>
        <v>5</v>
      </c>
      <c r="HJ72">
        <f>SUMPRODUCT(--('Данные 1st'!$S$2:$S$317=$A72),--ISNUMBER('Данные 1st'!$QU$2:$QU$317))</f>
        <v>5</v>
      </c>
      <c r="HK72">
        <f>SUMPRODUCT(--('Данные 1st'!$S$2:$S$317=$A72),--ISNUMBER('Данные 1st'!$QV$2:$QV$317))</f>
        <v>5</v>
      </c>
      <c r="HL72">
        <f>SUMPRODUCT(--('Данные 1st'!$S$2:$S$317=$A72),--ISNUMBER('Данные 1st'!$QW$2:$QW$317))</f>
        <v>5</v>
      </c>
      <c r="HM72">
        <f>SUMPRODUCT(--('Данные 1st'!$S$2:$S$317=$A72),--ISNUMBER('Данные 1st'!$QX$2:$QX$317))</f>
        <v>5</v>
      </c>
      <c r="HN72">
        <f>SUMPRODUCT(--('Данные 1st'!$S$2:$S$317=$A72),--ISNUMBER('Данные 1st'!$QZ$2:$QZ$317))</f>
        <v>5</v>
      </c>
      <c r="HO72">
        <f>SUMPRODUCT(--('Данные 1st'!$S$2:$S$317=$A72),--ISNUMBER('Данные 1st'!$RA$2:$RA$317))</f>
        <v>5</v>
      </c>
      <c r="HP72">
        <f>SUMPRODUCT(--('Данные 1st'!$S$2:$S$317=$A72),--ISNUMBER('Данные 1st'!$RB$2:$RB$317))</f>
        <v>5</v>
      </c>
      <c r="HQ72">
        <f>SUMPRODUCT(--('Данные 1st'!$S$2:$S$317=$A72),--ISNUMBER('Данные 1st'!$RD$2:$RD$317))</f>
        <v>0</v>
      </c>
      <c r="HR72">
        <f>SUMPRODUCT(--('Данные 1st'!$S$2:$S$317=$A72),--ISNUMBER('Данные 1st'!$RE$2:$RE$317))</f>
        <v>5</v>
      </c>
      <c r="HS72">
        <f>SUMPRODUCT(--('Данные 1st'!$S$2:$S$317=$A72),--ISNUMBER('Данные 1st'!$RF$2:$RF$317))</f>
        <v>5</v>
      </c>
      <c r="HT72">
        <f>SUMPRODUCT(--('Данные 1st'!$S$2:$S$317=$A72),--ISNUMBER('Данные 1st'!$RG$2:$RG$317))</f>
        <v>0</v>
      </c>
      <c r="HU72">
        <f>SUMPRODUCT(--('Данные 1st'!$S$2:$S$317=$A72),--ISNUMBER('Данные 1st'!$RH$2:$RH$317))</f>
        <v>5</v>
      </c>
      <c r="HV72">
        <f>SUMPRODUCT(--('Данные 1st'!$S$2:$S$317=$A72),--ISNUMBER('Данные 1st'!$RI$2:$RI$317))</f>
        <v>0</v>
      </c>
      <c r="HW72">
        <f>SUMPRODUCT(--('Данные 1st'!$S$2:$S$317=$A72),--ISNUMBER('Данные 1st'!$RJ$2:$RJ$317))</f>
        <v>5</v>
      </c>
      <c r="HX72">
        <f>SUMPRODUCT(--('Данные 1st'!$S$2:$S$317=$A72),--ISNUMBER('Данные 1st'!$RK$2:$RK$317))</f>
        <v>5</v>
      </c>
      <c r="HY72">
        <f>SUMPRODUCT(--('Данные 1st'!$S$2:$S$317=$A72),--ISNUMBER('Данные 1st'!$RL$2:$RL$317))</f>
        <v>5</v>
      </c>
      <c r="HZ72">
        <f>SUMPRODUCT(--('Данные 1st'!$S$2:$S$317=$A72),--ISNUMBER('Данные 1st'!$RM$2:$RM$317))</f>
        <v>5</v>
      </c>
      <c r="IA72">
        <f>SUMPRODUCT(--('Данные 1st'!$S$2:$S$317=$A72),--ISNUMBER('Данные 1st'!$RN$2:$RN$317))</f>
        <v>0</v>
      </c>
      <c r="IB72">
        <f>SUMPRODUCT(--('Данные 1st'!$S$2:$S$317=$A72),--ISNUMBER('Данные 1st'!$RO$2:$RO$317))</f>
        <v>5</v>
      </c>
      <c r="IC72">
        <f>SUMPRODUCT(--('Данные 1st'!$S$2:$S$317=$A72),--ISNUMBER('Данные 1st'!$RP$2:$RP$317))</f>
        <v>5</v>
      </c>
      <c r="ID72">
        <f>SUMPRODUCT(--('Данные 1st'!$S$2:$S$317=$A72),--ISNUMBER('Данные 1st'!$RQ$2:$RQ$317))</f>
        <v>5</v>
      </c>
      <c r="IE72">
        <f>SUMPRODUCT(--('Данные 1st'!$S$2:$S$317=$A72),--ISNUMBER('Данные 1st'!$RR$2:$RR$317))</f>
        <v>5</v>
      </c>
      <c r="IF72">
        <f>SUMPRODUCT(--('Данные 1st'!$S$2:$S$317=$A72),--ISNUMBER('Данные 1st'!$RS$2:$RS$317))</f>
        <v>0</v>
      </c>
      <c r="IG72">
        <f>SUMPRODUCT(--('Данные 1st'!$S$2:$S$317=$A72),--ISNUMBER('Данные 1st'!$RT$2:$RT$317))</f>
        <v>5</v>
      </c>
      <c r="IH72">
        <f>SUMPRODUCT(--('Данные 1st'!$S$2:$S$317=$A72),--ISNUMBER('Данные 1st'!$RU$2:$RU$317))</f>
        <v>5</v>
      </c>
      <c r="II72">
        <f>SUMPRODUCT(--('Данные 1st'!$S$2:$S$317=$A72),--ISNUMBER('Данные 1st'!$RX$2:$RX$317))</f>
        <v>5</v>
      </c>
      <c r="IJ72">
        <f>SUMPRODUCT(--('Данные 1st'!$S$2:$S$317=$A72),--ISNUMBER('Данные 1st'!$RY$2:$RY$317))</f>
        <v>5</v>
      </c>
      <c r="IK72">
        <f>SUMPRODUCT(--('Данные 1st'!$S$2:$S$317=$A72),--ISNUMBER('Данные 1st'!$SA$2:$SA$317))</f>
        <v>5</v>
      </c>
      <c r="IL72">
        <f>SUMPRODUCT(--('Данные 1st'!$S$2:$S$317=$A72),--ISNUMBER('Данные 1st'!$SD$2:$SD$317))</f>
        <v>5</v>
      </c>
      <c r="IM72">
        <f>SUMPRODUCT(--('Данные 1st'!$S$2:$S$317=$A72),--ISNUMBER('Данные 1st'!$SG$2:$SG$317))</f>
        <v>5</v>
      </c>
      <c r="IN72">
        <f>SUMPRODUCT(--('Данные 1st'!$S$2:$S$317=$A72),--ISNUMBER('Данные 1st'!$SH$2:$SH$317))</f>
        <v>5</v>
      </c>
      <c r="IO72">
        <f>SUMPRODUCT(--('Данные 1st'!$S$2:$S$317=$A72),--ISNUMBER('Данные 1st'!$SI$2:$SI$317))</f>
        <v>5</v>
      </c>
      <c r="IP72">
        <f>SUMPRODUCT(--('Данные 1st'!$S$2:$S$317=$A72),--ISNUMBER('Данные 1st'!$SJ$2:$SJ$317))</f>
        <v>5</v>
      </c>
      <c r="IQ72">
        <f>SUMPRODUCT(--('Данные 1st'!$S$2:$S$317=$A72),--ISNUMBER('Данные 1st'!$SK$2:$SK$317))</f>
        <v>5</v>
      </c>
      <c r="IR72">
        <f>SUMPRODUCT(--('Данные 1st'!$S$2:$S$317=$A72),--ISNUMBER('Данные 1st'!$SL$2:$SL$317))</f>
        <v>5</v>
      </c>
      <c r="IS72">
        <f>SUMPRODUCT(--('Данные 1st'!$S$2:$S$317=$A72),--ISNUMBER('Данные 1st'!$SM$2:$SM$317))</f>
        <v>5</v>
      </c>
      <c r="IT72">
        <f>SUMPRODUCT(--('Данные 1st'!$S$2:$S$317=$A72),--ISNUMBER('Данные 1st'!$SN$2:$SN$317))</f>
        <v>5</v>
      </c>
      <c r="IU72">
        <f>SUMPRODUCT(--('Данные 1st'!$S$2:$S$317=$A72),--ISNUMBER('Данные 1st'!$SO$2:$SO$317))</f>
        <v>5</v>
      </c>
      <c r="IV72">
        <f>SUMPRODUCT(--('Данные 1st'!$S$2:$S$317=$A72),--ISNUMBER('Данные 1st'!$SP$2:$SP$317))</f>
        <v>5</v>
      </c>
      <c r="IW72">
        <f>SUMPRODUCT(--('Данные 1st'!$S$2:$S$317=$A72),--ISNUMBER('Данные 1st'!$SQ$2:$SQ$317))</f>
        <v>5</v>
      </c>
      <c r="IX72">
        <f>SUMPRODUCT(--('Данные 1st'!$S$2:$S$317=$A72),--ISNUMBER('Данные 1st'!$SR$2:$SR$317))</f>
        <v>5</v>
      </c>
      <c r="IY72">
        <f>SUMPRODUCT(--('Данные 1st'!$S$2:$S$317=$A72),--ISNUMBER('Данные 1st'!$SS$2:$SS$317))</f>
        <v>5</v>
      </c>
      <c r="IZ72">
        <f>SUMPRODUCT(--('Данные 1st'!$S$2:$S$317=$A72),--ISNUMBER('Данные 1st'!$ST$2:$ST$317))</f>
        <v>5</v>
      </c>
      <c r="JA72">
        <f>SUMPRODUCT(--('Данные 1st'!$S$2:$S$317=$A72),--ISNUMBER('Данные 1st'!$SU$2:$SU$317))</f>
        <v>5</v>
      </c>
      <c r="JB72">
        <f>SUMPRODUCT(--('Данные 1st'!$S$2:$S$317=$A72),--ISNUMBER('Данные 1st'!$SV$2:$SV$317))</f>
        <v>5</v>
      </c>
      <c r="JC72">
        <f>SUMPRODUCT(--('Данные 1st'!$S$2:$S$317=$A72),--ISNUMBER('Данные 1st'!$SW$2:$SW$317))</f>
        <v>5</v>
      </c>
      <c r="JD72">
        <f>SUMPRODUCT(--('Данные 1st'!$S$2:$S$317=$A72),--ISNUMBER('Данные 1st'!$SX$2:$SX$317))</f>
        <v>5</v>
      </c>
      <c r="JE72">
        <f>SUMPRODUCT(--('Данные 1st'!$S$2:$S$317=$A72),--ISNUMBER('Данные 1st'!$SY$2:$SY$317))</f>
        <v>5</v>
      </c>
      <c r="JF72">
        <f>SUMPRODUCT(--('Данные 1st'!$S$2:$S$317=$A72),--ISNUMBER('Данные 1st'!$SZ$2:$SZ$317))</f>
        <v>5</v>
      </c>
      <c r="JG72">
        <f>SUMPRODUCT(--('Данные 1st'!$S$2:$S$317=$A72),--ISNUMBER('Данные 1st'!$TA$2:$TA$317))</f>
        <v>0</v>
      </c>
      <c r="JH72">
        <f>SUMPRODUCT(--('Данные 1st'!$S$2:$S$317=$A72),--ISNUMBER('Данные 1st'!$TB$2:$TB$317))</f>
        <v>5</v>
      </c>
      <c r="JI72">
        <f>SUMPRODUCT(--('Данные 1st'!$S$2:$S$317=$A72),--ISNUMBER('Данные 1st'!$TC$2:$TC$317))</f>
        <v>5</v>
      </c>
      <c r="JJ72">
        <f>SUMPRODUCT(--('Данные 1st'!$S$2:$S$317=$A72),--ISNUMBER('Данные 1st'!$TD$2:$TD$317))</f>
        <v>5</v>
      </c>
      <c r="JK72">
        <f>SUMPRODUCT(--('Данные 1st'!$S$2:$S$317=$A72),--ISNUMBER('Данные 1st'!$TN$2:$TN$317))</f>
        <v>5</v>
      </c>
      <c r="JQ72">
        <f>SUMPRODUCT(--('Данные 2st'!$Q$2:$Q$317=$A72),--ISNUMBER('Данные 2st'!$AC$2:$AC$317))</f>
        <v>5</v>
      </c>
      <c r="JR72">
        <f>SUMPRODUCT(--('Данные 2st'!$Q$2:$Q$317=$A72),--ISNUMBER('Данные 2st'!$AF$2:$AF$317))</f>
        <v>5</v>
      </c>
      <c r="JS72">
        <f>SUMPRODUCT(--('Данные 2st'!$Q$2:$Q$317=$A72),--ISNUMBER('Данные 2st'!$AW$2:$AW$317))</f>
        <v>5</v>
      </c>
      <c r="JT72">
        <f>SUMPRODUCT(--('Данные 2st'!$Q$2:$Q$317=$A72),--ISNUMBER('Данные 2st'!$AX$2:$AX$317))</f>
        <v>5</v>
      </c>
      <c r="JU72">
        <f>SUMPRODUCT(--('Данные 2st'!$Q$2:$Q$317=$A72),--ISNUMBER('Данные 2st'!$AY$2:$AY$317))</f>
        <v>5</v>
      </c>
      <c r="JV72">
        <f>SUMPRODUCT(--('Данные 2st'!$Q$2:$Q$317=$A72),--ISNUMBER('Данные 2st'!$AZ$2:$AZ$317))</f>
        <v>5</v>
      </c>
      <c r="JW72">
        <f>SUMPRODUCT(--('Данные 2st'!$Q$2:$Q$317=$A72),--ISNUMBER('Данные 2st'!$BA$2:$BA$317))</f>
        <v>0</v>
      </c>
      <c r="JX72">
        <f>SUMPRODUCT(--('Данные 2st'!$Q$2:$Q$317=$A72),--ISNUMBER('Данные 2st'!$BB$2:$BB$317))</f>
        <v>0</v>
      </c>
      <c r="JY72">
        <f>SUMPRODUCT(--('Данные 2st'!$Q$2:$Q$317=$A72),--ISNUMBER('Данные 2st'!$BC$2:$BC$317))</f>
        <v>0</v>
      </c>
      <c r="JZ72">
        <f>SUMPRODUCT(--('Данные 2st'!$Q$2:$Q$317=$A72),--ISNUMBER('Данные 2st'!$BH$2:$BH$317))</f>
        <v>5</v>
      </c>
      <c r="KA72">
        <f>SUMPRODUCT(--('Данные 2st'!$Q$2:$Q$317=$A72),--ISNUMBER('Данные 2st'!$BI$2:$BI$317))</f>
        <v>5</v>
      </c>
      <c r="KB72">
        <f>SUMPRODUCT(--('Данные 2st'!$Q$2:$Q$317=$A72),--ISNUMBER('Данные 2st'!$BJ$2:$BJ$317))</f>
        <v>5</v>
      </c>
      <c r="KC72">
        <f>SUMPRODUCT(--('Данные 2st'!$Q$2:$Q$317=$A72),--ISNUMBER('Данные 2st'!$BK$2:$BK$317))</f>
        <v>5</v>
      </c>
      <c r="KD72">
        <f>SUMPRODUCT(--('Данные 2st'!$Q$2:$Q$317=$A72),--ISNUMBER('Данные 2st'!$BL$2:$BL$317))</f>
        <v>5</v>
      </c>
      <c r="KE72">
        <f>SUMPRODUCT(--('Данные 2st'!$Q$2:$Q$317=$A72),--ISNUMBER('Данные 2st'!$BM$2:$BM$317))</f>
        <v>5</v>
      </c>
      <c r="KF72">
        <f>SUMPRODUCT(--('Данные 2st'!$Q$2:$Q$317=$A72),--ISNUMBER('Данные 2st'!$BN$2:$BN$317))</f>
        <v>5</v>
      </c>
      <c r="KG72">
        <f>SUMPRODUCT(--('Данные 2st'!$Q$2:$Q$317=$A72),--ISNUMBER('Данные 2st'!$BO$2:$BO$317))</f>
        <v>2</v>
      </c>
      <c r="KH72">
        <f>SUMPRODUCT(--('Данные 2st'!$Q$2:$Q$317=$A72),--ISNUMBER('Данные 2st'!$BP$2:$BP$317))</f>
        <v>5</v>
      </c>
      <c r="KI72">
        <f>SUMPRODUCT(--('Данные 2st'!$Q$2:$Q$317=$A72),--ISNUMBER('Данные 2st'!$BR$2:$BR$317))</f>
        <v>5</v>
      </c>
      <c r="KJ72">
        <f>SUMPRODUCT(--('Данные 2st'!$Q$2:$Q$317=$A72),--ISNUMBER('Данные 2st'!$BS$2:$BS$317))</f>
        <v>5</v>
      </c>
      <c r="KK72">
        <f>SUMPRODUCT(--('Данные 2st'!$Q$2:$Q$317=$A72),--ISNUMBER('Данные 2st'!$BT$2:$BT$317))</f>
        <v>5</v>
      </c>
      <c r="KL72">
        <f>SUMPRODUCT(--('Данные 2st'!$Q$2:$Q$317=$A72),--ISNUMBER('Данные 2st'!$CV$2:$CV$317))</f>
        <v>5</v>
      </c>
      <c r="KM72">
        <f>SUMPRODUCT(--('Данные 2st'!$Q$2:$Q$317=$A72),--ISNUMBER('Данные 2st'!$CW$2:$CW$317))</f>
        <v>5</v>
      </c>
      <c r="KN72">
        <f>SUMPRODUCT(--('Данные 2st'!$Q$2:$Q$317=$A72),--ISNUMBER('Данные 2st'!$CX$2:$CX$317))</f>
        <v>5</v>
      </c>
      <c r="KO72">
        <f>SUMPRODUCT(--('Данные 2st'!$Q$2:$Q$317=$A72),--ISNUMBER('Данные 2st'!$CY$2:$CY$317))</f>
        <v>5</v>
      </c>
      <c r="KP72">
        <f>SUMPRODUCT(--('Данные 2st'!$Q$2:$Q$317=$A72),--ISNUMBER('Данные 2st'!$CZ$2:$CZ$317))</f>
        <v>5</v>
      </c>
      <c r="KQ72">
        <f>SUMPRODUCT(--('Данные 2st'!$Q$2:$Q$317=$A72),--ISNUMBER('Данные 2st'!$DA$2:$DA$317))</f>
        <v>5</v>
      </c>
      <c r="KR72">
        <f>SUMPRODUCT(--('Данные 2st'!$Q$2:$Q$317=$A72),--ISNUMBER('Данные 2st'!$DB$2:$DB$317))</f>
        <v>5</v>
      </c>
      <c r="KS72">
        <f>SUMPRODUCT(--('Данные 2st'!$Q$2:$Q$317=$A72),--ISNUMBER('Данные 2st'!$DC$2:$DC$317))</f>
        <v>5</v>
      </c>
      <c r="KT72">
        <f>SUMPRODUCT(--('Данные 2st'!$Q$2:$Q$317=$A72),--ISNUMBER('Данные 2st'!$DD$2:$DD$317))</f>
        <v>5</v>
      </c>
      <c r="KU72">
        <f>SUMPRODUCT(--('Данные 2st'!$Q$2:$Q$317=$A72),--ISNUMBER('Данные 2st'!$DE$2:$DE$317))</f>
        <v>5</v>
      </c>
      <c r="KV72">
        <f>SUMPRODUCT(--('Данные 2st'!$Q$2:$Q$317=$A72),--ISNUMBER('Данные 2st'!$DF$2:$DF$317))</f>
        <v>5</v>
      </c>
      <c r="KW72">
        <f>SUMPRODUCT(--('Данные 2st'!$Q$2:$Q$317=$A72),--ISNUMBER('Данные 2st'!$DG$2:$DG$317))</f>
        <v>5</v>
      </c>
      <c r="KX72">
        <f>SUMPRODUCT(--('Данные 2st'!$Q$2:$Q$317=$A72),--ISNUMBER('Данные 2st'!$DH$2:$DH$317))</f>
        <v>5</v>
      </c>
      <c r="KY72">
        <f>SUMPRODUCT(--('Данные 2st'!$Q$2:$Q$317=$A72),--ISNUMBER('Данные 2st'!$DI$2:$DI$317))</f>
        <v>0</v>
      </c>
      <c r="KZ72">
        <f>SUMPRODUCT(--('Данные 2st'!$Q$2:$Q$317=$A72),--ISNUMBER('Данные 2st'!$DK$2:$DK$317))</f>
        <v>5</v>
      </c>
      <c r="LA72">
        <f>SUMPRODUCT(--('Данные 2st'!$Q$2:$Q$317=$A72),--ISNUMBER('Данные 2st'!$DM$2:$DM$317))</f>
        <v>5</v>
      </c>
      <c r="LB72">
        <f>SUMPRODUCT(--('Данные 2st'!$Q$2:$Q$317=$A72),--ISNUMBER('Данные 2st'!$DN$2:$DN$317))</f>
        <v>5</v>
      </c>
      <c r="LC72">
        <f>SUMPRODUCT(--('Данные 2st'!$Q$2:$Q$317=$A72),--ISNUMBER('Данные 2st'!$DO$2:$DO$317))</f>
        <v>5</v>
      </c>
      <c r="LD72">
        <f>SUMPRODUCT(--('Данные 2st'!$Q$2:$Q$317=$A72),--ISNUMBER('Данные 2st'!$DP$2:$DP$317))</f>
        <v>5</v>
      </c>
      <c r="LE72">
        <f>SUMPRODUCT(--('Данные 2st'!$Q$2:$Q$317=$A72),--ISNUMBER('Данные 2st'!$DQ$2:$DQ$317))</f>
        <v>5</v>
      </c>
      <c r="LF72">
        <f>SUMPRODUCT(--('Данные 2st'!$Q$2:$Q$317=$A72),--ISNUMBER('Данные 2st'!$DS$2:$DS$317))</f>
        <v>5</v>
      </c>
      <c r="LG72">
        <f>SUMPRODUCT(--('Данные 2st'!$Q$2:$Q$317=$A72),--ISNUMBER('Данные 2st'!$DU$2:$DU$317))</f>
        <v>5</v>
      </c>
      <c r="LH72">
        <f>SUMPRODUCT(--('Данные 2st'!$Q$2:$Q$317=$A72),--ISNUMBER('Данные 2st'!$DV$2:$DV$317))</f>
        <v>5</v>
      </c>
      <c r="LI72">
        <f>SUMPRODUCT(--('Данные 2st'!$Q$2:$Q$317=$A72),--ISNUMBER('Данные 2st'!$DW$2:$DW$317))</f>
        <v>5</v>
      </c>
      <c r="LJ72">
        <f>SUMPRODUCT(--('Данные 2st'!$Q$2:$Q$317=$A72),--ISNUMBER('Данные 2st'!$DX$2:$DX$317))</f>
        <v>5</v>
      </c>
      <c r="LK72">
        <f>SUMPRODUCT(--('Данные 2st'!$Q$2:$Q$317=$A72),--ISNUMBER('Данные 2st'!$DY$2:$DY$317))</f>
        <v>5</v>
      </c>
      <c r="LL72">
        <f>SUMPRODUCT(--('Данные 2st'!$Q$2:$Q$317=$A72),--ISNUMBER('Данные 2st'!$EA$2:$EA$317))</f>
        <v>5</v>
      </c>
      <c r="LM72">
        <f>SUMPRODUCT(--('Данные 2st'!$Q$2:$Q$317=$A72),--ISNUMBER('Данные 2st'!$EC$2:$EC$317))</f>
        <v>5</v>
      </c>
      <c r="LN72">
        <f>SUMPRODUCT(--('Данные 2st'!$Q$2:$Q$317=$A72),--ISNUMBER('Данные 2st'!$ED$2:$ED$317))</f>
        <v>5</v>
      </c>
      <c r="LO72">
        <f>SUMPRODUCT(--('Данные 2st'!$Q$2:$Q$317=$A72),--ISNUMBER('Данные 2st'!$EE$2:$EE$317))</f>
        <v>5</v>
      </c>
      <c r="LP72">
        <f>SUMPRODUCT(--('Данные 2st'!$Q$2:$Q$317=$A72),--ISNUMBER('Данные 2st'!$EG$2:$EG$317))</f>
        <v>5</v>
      </c>
      <c r="LQ72">
        <f>SUMPRODUCT(--('Данные 2st'!$Q$2:$Q$317=$A72),--ISNUMBER('Данные 2st'!$EI$2:$EI$317))</f>
        <v>5</v>
      </c>
      <c r="LR72">
        <f>SUMPRODUCT(--('Данные 2st'!$Q$2:$Q$317=$A72),--ISNUMBER('Данные 2st'!$EJ$2:$EJ$317))</f>
        <v>0</v>
      </c>
      <c r="LS72">
        <f>SUMPRODUCT(--('Данные 2st'!$Q$2:$Q$317=$A72),--ISNUMBER('Данные 2st'!$EK$2:$EK$317))</f>
        <v>0</v>
      </c>
      <c r="LT72">
        <f>SUMPRODUCT(--('Данные 2st'!$Q$2:$Q$317=$A72),--ISNUMBER('Данные 2st'!$EM$2:$EM$317))</f>
        <v>5</v>
      </c>
      <c r="LU72">
        <f>SUMPRODUCT(--('Данные 2st'!$Q$2:$Q$317=$A72),--ISNUMBER('Данные 2st'!$EN$2:$EN$317))</f>
        <v>5</v>
      </c>
      <c r="LV72">
        <f>SUMPRODUCT(--('Данные 2st'!$Q$2:$Q$317=$A72),--ISNUMBER('Данные 2st'!$EO$2:$EO$317))</f>
        <v>5</v>
      </c>
      <c r="LW72">
        <f>SUMPRODUCT(--('Данные 2st'!$Q$2:$Q$317=$A72),--ISNUMBER('Данные 2st'!$EP$2:$EP$317))</f>
        <v>5</v>
      </c>
      <c r="LX72">
        <f>SUMPRODUCT(--('Данные 2st'!$Q$2:$Q$317=$A72),--ISNUMBER('Данные 2st'!$EQ$2:$EQ$317))</f>
        <v>5</v>
      </c>
      <c r="LY72">
        <f>SUMPRODUCT(--('Данные 2st'!$Q$2:$Q$317=$A72),--ISNUMBER('Данные 2st'!$ER$2:$ER$317))</f>
        <v>5</v>
      </c>
      <c r="LZ72">
        <f>SUMPRODUCT(--('Данные 2st'!$Q$2:$Q$317=$A72),--ISNUMBER('Данные 2st'!$ES$2:$ES$317))</f>
        <v>5</v>
      </c>
      <c r="MA72">
        <f>SUMPRODUCT(--('Данные 2st'!$Q$2:$Q$317=$A72),--ISNUMBER('Данные 2st'!$ET$2:$ET$317))</f>
        <v>5</v>
      </c>
      <c r="MB72">
        <f>SUMPRODUCT(--('Данные 2st'!$Q$2:$Q$317=$A72),--ISNUMBER('Данные 2st'!$EU$2:$EU$317))</f>
        <v>5</v>
      </c>
      <c r="MC72">
        <f>SUMPRODUCT(--('Данные 2st'!$Q$2:$Q$317=$A72),--ISNUMBER('Данные 2st'!$EV$2:$EV$317))</f>
        <v>5</v>
      </c>
      <c r="MD72">
        <f>SUMPRODUCT(--('Данные 2st'!$Q$2:$Q$317=$A72),--ISNUMBER('Данные 2st'!$EW$2:$EW$317))</f>
        <v>5</v>
      </c>
      <c r="ME72">
        <f>SUMPRODUCT(--('Данные 2st'!$Q$2:$Q$317=$A72),--ISNUMBER('Данные 2st'!$EY$2:$EY$317))</f>
        <v>5</v>
      </c>
      <c r="MF72">
        <f>SUMPRODUCT(--('Данные 2st'!$Q$2:$Q$317=$A72),--ISNUMBER('Данные 2st'!$FA$2:$FA$317))</f>
        <v>5</v>
      </c>
      <c r="MG72">
        <f>SUMPRODUCT(--('Данные 2st'!$Q$2:$Q$317=$A72),--ISNUMBER('Данные 2st'!$FB$2:$FB$317))</f>
        <v>5</v>
      </c>
      <c r="MH72">
        <f>SUMPRODUCT(--('Данные 2st'!$Q$2:$Q$317=$A72),--ISNUMBER('Данные 2st'!$FC$2:$FC$317))</f>
        <v>5</v>
      </c>
      <c r="MI72">
        <f>SUMPRODUCT(--('Данные 2st'!$Q$2:$Q$317=$A72),--ISNUMBER('Данные 2st'!$FD$2:$FD$317))</f>
        <v>5</v>
      </c>
      <c r="MJ72">
        <f>SUMPRODUCT(--('Данные 2st'!$Q$2:$Q$317=$A72),--ISNUMBER('Данные 2st'!$FE$2:$FE$317))</f>
        <v>5</v>
      </c>
      <c r="MK72">
        <f>SUMPRODUCT(--('Данные 2st'!$Q$2:$Q$317=$A72),--ISNUMBER('Данные 2st'!$FG$2:$FG$317))</f>
        <v>5</v>
      </c>
      <c r="ML72">
        <f>SUMPRODUCT(--('Данные 2st'!$Q$2:$Q$317=$A72),--ISNUMBER('Данные 2st'!$FI$2:$FI$317))</f>
        <v>5</v>
      </c>
      <c r="MM72">
        <f>SUMPRODUCT(--('Данные 2st'!$Q$2:$Q$317=$A72),--ISNUMBER('Данные 2st'!$FJ$2:$FJ$317))</f>
        <v>5</v>
      </c>
      <c r="MN72">
        <f>SUMPRODUCT(--('Данные 2st'!$Q$2:$Q$317=$A72),--ISNUMBER('Данные 2st'!$FK$2:$FK$317))</f>
        <v>5</v>
      </c>
      <c r="MO72">
        <f>SUMPRODUCT(--('Данные 2st'!$Q$2:$Q$317=$A72),--ISNUMBER('Данные 2st'!$FP$2:$FP$317))</f>
        <v>5</v>
      </c>
      <c r="MP72">
        <f>SUMPRODUCT(--('Данные 2st'!$Q$2:$Q$317=$A72),--ISNUMBER('Данные 2st'!$FQ$2:$FQ$317))</f>
        <v>5</v>
      </c>
      <c r="MQ72">
        <f>SUMPRODUCT(--('Данные 2st'!$Q$2:$Q$317=$A72),--ISNUMBER('Данные 2st'!$FS$2:$FS$317))</f>
        <v>5</v>
      </c>
      <c r="MR72">
        <f>SUMPRODUCT(--('Данные 2st'!$Q$2:$Q$317=$A72),--ISNUMBER('Данные 2st'!$FU$2:$FU$317))</f>
        <v>5</v>
      </c>
      <c r="MS72">
        <f>SUMPRODUCT(--('Данные 2st'!$Q$2:$Q$317=$A72),--ISNUMBER('Данные 2st'!$FV$2:$FV$317))</f>
        <v>5</v>
      </c>
      <c r="MT72">
        <f>SUMPRODUCT(--('Данные 2st'!$Q$2:$Q$317=$A72),--ISNUMBER('Данные 2st'!$FW$2:$FW$317))</f>
        <v>5</v>
      </c>
      <c r="MU72">
        <f>SUMPRODUCT(--('Данные 2st'!$Q$2:$Q$317=$A72),--ISNUMBER('Данные 2st'!$FY$2:$FY$317))</f>
        <v>5</v>
      </c>
      <c r="MV72">
        <f>SUMPRODUCT(--('Данные 2st'!$Q$2:$Q$317=$A72),--ISNUMBER('Данные 2st'!$GB$2:$GB$317))</f>
        <v>5</v>
      </c>
      <c r="MW72">
        <f>SUMPRODUCT(--('Данные 2st'!$Q$2:$Q$317=$A72),--ISNUMBER('Данные 2st'!$GC$2:$GC$317))</f>
        <v>5</v>
      </c>
      <c r="MX72">
        <f>SUMPRODUCT(--('Данные 2st'!$Q$2:$Q$317=$A72),--ISNUMBER('Данные 2st'!$GD$2:$GD$317))</f>
        <v>5</v>
      </c>
      <c r="MY72">
        <f>SUMPRODUCT(--('Данные 2st'!$Q$2:$Q$317=$A72),--ISNUMBER('Данные 2st'!$GN$2:$GN$317))</f>
        <v>0</v>
      </c>
      <c r="MZ72">
        <f>SUMPRODUCT(--('Данные 2st'!$Q$2:$Q$317=$A72),--ISNUMBER('Данные 2st'!$GQ$2:$GQ$317))</f>
        <v>5</v>
      </c>
      <c r="NA72">
        <f>SUMPRODUCT(--('Данные 2st'!$Q$2:$Q$317=$A72),--ISNUMBER('Данные 2st'!$GV$2:$GV$317))</f>
        <v>5</v>
      </c>
      <c r="NB72">
        <f>SUMPRODUCT(--('Данные 2st'!$Q$2:$Q$317=$A72),--ISNUMBER('Данные 2st'!$GW$2:$GW$317))</f>
        <v>5</v>
      </c>
      <c r="NC72">
        <f>SUMPRODUCT(--('Данные 2st'!$Q$2:$Q$317=$A72),--ISNUMBER('Данные 2st'!$GX$2:$GX$317))</f>
        <v>5</v>
      </c>
      <c r="ND72">
        <f>SUMPRODUCT(--('Данные 2st'!$Q$2:$Q$317=$A72),--ISNUMBER('Данные 2st'!$GY$2:$GY$317))</f>
        <v>5</v>
      </c>
      <c r="NE72">
        <f>SUMPRODUCT(--('Данные 2st'!$Q$2:$Q$317=$A72),--ISNUMBER('Данные 2st'!$GZ$2:$GZ$317))</f>
        <v>5</v>
      </c>
      <c r="NF72">
        <f>SUMPRODUCT(--('Данные 2st'!$Q$2:$Q$317=$A72),--ISNUMBER('Данные 2st'!$HA$2:$HA$317))</f>
        <v>5</v>
      </c>
      <c r="NG72">
        <f>SUMPRODUCT(--('Данные 2st'!$Q$2:$Q$317=$A72),--ISNUMBER('Данные 2st'!$HB$2:$HB$317))</f>
        <v>5</v>
      </c>
      <c r="NH72">
        <f>SUMPRODUCT(--('Данные 2st'!$Q$2:$Q$317=$A72),--ISNUMBER('Данные 2st'!$HC$2:$HC$317))</f>
        <v>5</v>
      </c>
      <c r="NI72">
        <f>SUMPRODUCT(--('Данные 2st'!$Q$2:$Q$317=$A72),--ISNUMBER('Данные 2st'!$HD$2:$HD$317))</f>
        <v>5</v>
      </c>
      <c r="NJ72">
        <f>SUMPRODUCT(--('Данные 2st'!$Q$2:$Q$317=$A72),--ISNUMBER('Данные 2st'!$HM$2:$HM$317))</f>
        <v>5</v>
      </c>
      <c r="NK72">
        <f>SUMPRODUCT(--('Данные 2st'!$Q$2:$Q$317=$A72),--ISNUMBER('Данные 2st'!$HR$2:$HR$317))</f>
        <v>5</v>
      </c>
      <c r="NL72">
        <f>SUMPRODUCT(--('Данные 2st'!$Q$2:$Q$317=$A72),--ISNUMBER('Данные 2st'!$HS$2:$HS$317))</f>
        <v>5</v>
      </c>
      <c r="NM72">
        <f>SUMPRODUCT(--('Данные 2st'!$Q$2:$Q$317=$A72),--ISNUMBER('Данные 2st'!$HT$2:$HT$317))</f>
        <v>5</v>
      </c>
      <c r="NN72">
        <f>SUMPRODUCT(--('Данные 2st'!$Q$2:$Q$317=$A72),--ISNUMBER('Данные 2st'!$HY$2:$HY$317))</f>
        <v>5</v>
      </c>
      <c r="NO72">
        <f>SUMPRODUCT(--('Данные 2st'!$Q$2:$Q$317=$A72),--ISNUMBER('Данные 2st'!$HZ$2:$HZ$317))</f>
        <v>5</v>
      </c>
      <c r="NP72">
        <f>SUMPRODUCT(--('Данные 2st'!$Q$2:$Q$317=$A72),--ISNUMBER('Данные 2st'!$IA$2:$IA$317))</f>
        <v>5</v>
      </c>
      <c r="NQ72">
        <f>SUMPRODUCT(--('Данные 2st'!$Q$2:$Q$317=$A72),--ISNUMBER('Данные 2st'!$IB$2:$IB$317))</f>
        <v>5</v>
      </c>
      <c r="NR72">
        <f>SUMPRODUCT(--('Данные 2st'!$Q$2:$Q$317=$A72),--ISNUMBER('Данные 2st'!$IC$2:$IC$317))</f>
        <v>0</v>
      </c>
      <c r="NS72">
        <f>SUMPRODUCT(--('Данные 2st'!$Q$2:$Q$317=$A72),--ISNUMBER('Данные 2st'!$ID$2:$ID$317))</f>
        <v>5</v>
      </c>
      <c r="NT72">
        <f>SUMPRODUCT(--('Данные 2st'!$Q$2:$Q$317=$A72),--ISNUMBER('Данные 2st'!$IE$2:$IE$317))</f>
        <v>5</v>
      </c>
      <c r="NU72">
        <f>SUMPRODUCT(--('Данные 2st'!$Q$2:$Q$317=$A72),--ISNUMBER('Данные 2st'!$IF$2:$IF$317))</f>
        <v>5</v>
      </c>
      <c r="NV72">
        <f>SUMPRODUCT(--('Данные 2st'!$Q$2:$Q$317=$A72),--ISNUMBER('Данные 2st'!$IG$2:$IG$317))</f>
        <v>5</v>
      </c>
      <c r="NW72">
        <f>SUMPRODUCT(--('Данные 2st'!$Q$2:$Q$317=$A72),--ISNUMBER('Данные 2st'!$IH$2:$IH$317))</f>
        <v>5</v>
      </c>
      <c r="NX72">
        <f>SUMPRODUCT(--('Данные 2st'!$Q$2:$Q$317=$A72),--ISNUMBER('Данные 2st'!$IJ$2:$IJ$317))</f>
        <v>5</v>
      </c>
      <c r="NY72">
        <f>SUMPRODUCT(--('Данные 2st'!$Q$2:$Q$317=$A72),--ISNUMBER('Данные 2st'!$IM$2:$IM$317))</f>
        <v>5</v>
      </c>
      <c r="NZ72">
        <f>SUMPRODUCT(--('Данные 2st'!$Q$2:$Q$317=$A72),--ISNUMBER('Данные 2st'!$IN$2:$IN$317))</f>
        <v>5</v>
      </c>
      <c r="OA72">
        <f>SUMPRODUCT(--('Данные 2st'!$Q$2:$Q$317=$A72),--ISNUMBER('Данные 2st'!$IO$2:$IO$317))</f>
        <v>5</v>
      </c>
      <c r="OB72">
        <f>SUMPRODUCT(--('Данные 2st'!$Q$2:$Q$317=$A72),--ISNUMBER('Данные 2st'!$IP$2:$IP$317))</f>
        <v>5</v>
      </c>
      <c r="OC72">
        <f>SUMPRODUCT(--('Данные 2st'!$Q$2:$Q$317=$A72),--ISNUMBER('Данные 2st'!$IQ$2:$IQ$317))</f>
        <v>5</v>
      </c>
      <c r="OD72">
        <f>SUMPRODUCT(--('Данные 2st'!$Q$2:$Q$317=$A72),--ISNUMBER('Данные 2st'!$IR$2:$IR$317))</f>
        <v>5</v>
      </c>
      <c r="OE72">
        <f>SUMPRODUCT(--('Данные 2st'!$Q$2:$Q$317=$A72),--ISNUMBER('Данные 2st'!$IT$2:$IT$317))</f>
        <v>5</v>
      </c>
      <c r="OF72">
        <f>SUMPRODUCT(--('Данные 2st'!$Q$2:$Q$317=$A72),--ISNUMBER('Данные 2st'!$IU$2:$IU$317))</f>
        <v>5</v>
      </c>
      <c r="OG72">
        <f>SUMPRODUCT(--('Данные 2st'!$Q$2:$Q$317=$A72),--ISNUMBER('Данные 2st'!$IV$2:$IV$317))</f>
        <v>5</v>
      </c>
      <c r="OH72">
        <f>SUMPRODUCT(--('Данные 2st'!$Q$2:$Q$317=$A72),--ISNUMBER('Данные 2st'!$IW$2:$IW$317))</f>
        <v>5</v>
      </c>
      <c r="OI72">
        <f>SUMPRODUCT(--('Данные 2st'!$Q$2:$Q$317=$A72),--ISNUMBER('Данные 2st'!$IX$2:$IX$317))</f>
        <v>5</v>
      </c>
      <c r="OJ72">
        <f>SUMPRODUCT(--('Данные 2st'!$Q$2:$Q$317=$A72),--ISNUMBER('Данные 2st'!$IY$2:$IY$317))</f>
        <v>5</v>
      </c>
      <c r="OK72">
        <f>SUMPRODUCT(--('Данные 2st'!$Q$2:$Q$317=$A72),--ISNUMBER('Данные 2st'!$IZ$2:$IZ$317))</f>
        <v>5</v>
      </c>
      <c r="OL72">
        <f>SUMPRODUCT(--('Данные 2st'!$Q$2:$Q$317=$A72),--ISNUMBER('Данные 2st'!$JA$2:$JA$317))</f>
        <v>5</v>
      </c>
      <c r="OM72">
        <f>SUMPRODUCT(--('Данные 2st'!$Q$2:$Q$317=$A72),--ISNUMBER('Данные 2st'!$JB$2:$JB$317))</f>
        <v>5</v>
      </c>
      <c r="ON72">
        <f>SUMPRODUCT(--('Данные 2st'!$Q$2:$Q$317=$A72),--ISNUMBER('Данные 2st'!$JC$2:$JC$317))</f>
        <v>5</v>
      </c>
      <c r="OO72">
        <f>SUMPRODUCT(--('Данные 2st'!$Q$2:$Q$317=$A72),--ISNUMBER('Данные 2st'!$JD$2:$JD$317))</f>
        <v>5</v>
      </c>
      <c r="OP72">
        <f>SUMPRODUCT(--('Данные 2st'!$Q$2:$Q$317=$A72),--ISNUMBER('Данные 2st'!$JE$2:$JE$317))</f>
        <v>5</v>
      </c>
      <c r="OQ72">
        <f>SUMPRODUCT(--('Данные 2st'!$Q$2:$Q$317=$A72),--ISNUMBER('Данные 2st'!$JF$2:$JF$317))</f>
        <v>5</v>
      </c>
      <c r="OR72">
        <f>SUMPRODUCT(--('Данные 2st'!$Q$2:$Q$317=$A72),--ISNUMBER('Данные 2st'!$JG$2:$JG$317))</f>
        <v>5</v>
      </c>
      <c r="OS72">
        <f>SUMPRODUCT(--('Данные 2st'!$Q$2:$Q$317=$A72),--ISNUMBER('Данные 2st'!$JH$2:$JH$317))</f>
        <v>5</v>
      </c>
      <c r="OT72">
        <f>SUMPRODUCT(--('Данные 2st'!$Q$2:$Q$317=$A72),--ISNUMBER('Данные 2st'!$JI$2:$JI$317))</f>
        <v>5</v>
      </c>
      <c r="OU72">
        <f>SUMPRODUCT(--('Данные 2st'!$Q$2:$Q$317=$A72),--ISNUMBER('Данные 2st'!$JJ$2:$JJ$317))</f>
        <v>5</v>
      </c>
      <c r="OV72">
        <f>SUMPRODUCT(--('Данные 2st'!$Q$2:$Q$317=$A72),--ISNUMBER('Данные 2st'!$JK$2:$JK$317))</f>
        <v>5</v>
      </c>
      <c r="OW72">
        <f>SUMPRODUCT(--('Данные 2st'!$Q$2:$Q$317=$A72),--ISNUMBER('Данные 2st'!$JL$2:$JL$317))</f>
        <v>5</v>
      </c>
      <c r="OX72">
        <f>SUMPRODUCT(--('Данные 2st'!$Q$2:$Q$317=$A72),--ISNUMBER('Данные 2st'!$JM$2:$JM$317))</f>
        <v>5</v>
      </c>
      <c r="OY72">
        <f>SUMPRODUCT(--('Данные 2st'!$Q$2:$Q$317=$A72),--ISNUMBER('Данные 2st'!$JP$2:$JP$317))</f>
        <v>5</v>
      </c>
      <c r="OZ72">
        <f>SUMPRODUCT(--('Данные 2st'!$Q$2:$Q$317=$A72),--ISNUMBER('Данные 2st'!$JQ$2:$JQ$317))</f>
        <v>5</v>
      </c>
      <c r="PA72">
        <f>SUMPRODUCT(--('Данные 2st'!$Q$2:$Q$317=$A72),--ISNUMBER('Данные 2st'!$JR$2:$JR$317))</f>
        <v>5</v>
      </c>
      <c r="PB72">
        <f>SUMPRODUCT(--('Данные 2st'!$Q$2:$Q$317=$A72),--ISNUMBER('Данные 2st'!$JS$2:$JS$317))</f>
        <v>5</v>
      </c>
      <c r="PC72">
        <f>SUMPRODUCT(--('Данные 2st'!$Q$2:$Q$317=$A72),--ISNUMBER('Данные 2st'!$JT$2:$JT$317))</f>
        <v>5</v>
      </c>
      <c r="PD72">
        <f>SUMPRODUCT(--('Данные 2st'!$Q$2:$Q$317=$A72),--ISNUMBER('Данные 2st'!$JU$2:$JU$317))</f>
        <v>5</v>
      </c>
      <c r="PE72">
        <f>SUMPRODUCT(--('Данные 2st'!$Q$2:$Q$317=$A72),--ISNUMBER('Данные 2st'!$JV$2:$JV$317))</f>
        <v>5</v>
      </c>
      <c r="PF72">
        <f>SUMPRODUCT(--('Данные 2st'!$Q$2:$Q$317=$A72),--ISNUMBER('Данные 2st'!$JW$2:$JW$317))</f>
        <v>5</v>
      </c>
      <c r="PG72">
        <f>SUMPRODUCT(--('Данные 2st'!$Q$2:$Q$317=$A72),--ISNUMBER('Данные 2st'!$KF$2:$KF$317))</f>
        <v>5</v>
      </c>
      <c r="PH72">
        <f>SUMPRODUCT(--('Данные 2st'!$Q$2:$Q$317=$A72),--ISNUMBER('Данные 2st'!$KG$2:$KG$317))</f>
        <v>5</v>
      </c>
      <c r="PI72">
        <f>SUMPRODUCT(--('Данные 2st'!$Q$2:$Q$317=$A72),--ISNUMBER('Данные 2st'!$KM$2:$KM$317))</f>
        <v>5</v>
      </c>
      <c r="PJ72">
        <f>SUMPRODUCT(--('Данные 2st'!$Q$2:$Q$317=$A72),--ISNUMBER('Данные 2st'!$KN$2:$KN$317))</f>
        <v>5</v>
      </c>
      <c r="PK72">
        <f>SUMPRODUCT(--('Данные 2st'!$Q$2:$Q$317=$A72),--ISNUMBER('Данные 2st'!$KO$2:$KO$317))</f>
        <v>5</v>
      </c>
      <c r="PL72">
        <f>SUMPRODUCT(--('Данные 2st'!$Q$2:$Q$317=$A72),--ISNUMBER('Данные 2st'!$KP$2:$KP$317))</f>
        <v>5</v>
      </c>
      <c r="PM72">
        <f>SUMPRODUCT(--('Данные 2st'!$Q$2:$Q$317=$A72),--ISNUMBER('Данные 2st'!$KQ$2:$KQ$317))</f>
        <v>5</v>
      </c>
      <c r="PN72">
        <f>SUMPRODUCT(--('Данные 2st'!$Q$2:$Q$317=$A72),--ISNUMBER('Данные 2st'!$KR$2:$KR$317))</f>
        <v>5</v>
      </c>
      <c r="PO72">
        <f>SUMPRODUCT(--('Данные 2st'!$Q$2:$Q$317=$A72),--ISNUMBER('Данные 2st'!$KS$2:$KS$317))</f>
        <v>5</v>
      </c>
      <c r="PP72">
        <f>SUMPRODUCT(--('Данные 2st'!$Q$2:$Q$317=$A72),--ISNUMBER('Данные 2st'!$KT$2:$KT$317))</f>
        <v>5</v>
      </c>
      <c r="PQ72">
        <f>SUMPRODUCT(--('Данные 2st'!$Q$2:$Q$317=$A72),--ISNUMBER('Данные 2st'!$KU$2:$KU$317))</f>
        <v>5</v>
      </c>
      <c r="PR72">
        <f>SUMPRODUCT(--('Данные 2st'!$Q$2:$Q$317=$A72),--ISNUMBER('Данные 2st'!$KV$2:$KV$317))</f>
        <v>5</v>
      </c>
      <c r="PS72">
        <f>SUMPRODUCT(--('Данные 2st'!$Q$2:$Q$317=$A72),--ISNUMBER('Данные 2st'!$KW$2:$KW$317))</f>
        <v>5</v>
      </c>
      <c r="PT72">
        <f>SUMPRODUCT(--('Данные 2st'!$Q$2:$Q$317=$A72),--ISNUMBER('Данные 2st'!$KX$2:$KX$317))</f>
        <v>5</v>
      </c>
      <c r="PU72">
        <f>SUMPRODUCT(--('Данные 2st'!$Q$2:$Q$317=$A72),--ISNUMBER('Данные 2st'!$KY$2:$KY$317))</f>
        <v>5</v>
      </c>
      <c r="PV72">
        <f>SUMPRODUCT(--('Данные 2st'!$Q$2:$Q$317=$A72),--ISNUMBER('Данные 2st'!$KZ$2:$KZ$317))</f>
        <v>5</v>
      </c>
      <c r="PW72">
        <f>SUMPRODUCT(--('Данные 2st'!$Q$2:$Q$317=$A72),--ISNUMBER('Данные 2st'!$LA$2:$LA$317))</f>
        <v>5</v>
      </c>
      <c r="PX72">
        <f>SUMPRODUCT(--('Данные 2st'!$Q$2:$Q$317=$A72),--ISNUMBER('Данные 2st'!$LB$2:$LB$317))</f>
        <v>5</v>
      </c>
      <c r="PY72">
        <f>SUMPRODUCT(--('Данные 2st'!$Q$2:$Q$317=$A72),--ISNUMBER('Данные 2st'!$LC$2:$LC$317))</f>
        <v>5</v>
      </c>
      <c r="PZ72">
        <f>SUMPRODUCT(--('Данные 2st'!$Q$2:$Q$317=$A72),--ISNUMBER('Данные 2st'!$LD$2:$LD$317))</f>
        <v>5</v>
      </c>
      <c r="QA72">
        <f>SUMPRODUCT(--('Данные 2st'!$Q$2:$Q$317=$A72),--ISNUMBER('Данные 2st'!$LE$2:$LE$317))</f>
        <v>5</v>
      </c>
      <c r="QB72">
        <f>SUMPRODUCT(--('Данные 2st'!$Q$2:$Q$317=$A72),--ISNUMBER('Данные 2st'!$LF$2:$LF$317))</f>
        <v>5</v>
      </c>
      <c r="QC72">
        <f>SUMPRODUCT(--('Данные 2st'!$Q$2:$Q$317=$A72),--ISNUMBER('Данные 2st'!$LG$2:$LG$317))</f>
        <v>5</v>
      </c>
      <c r="QD72">
        <f>SUMPRODUCT(--('Данные 2st'!$Q$2:$Q$317=$A72),--ISNUMBER('Данные 2st'!$LH$2:$LH$317))</f>
        <v>5</v>
      </c>
      <c r="QE72">
        <f>SUMPRODUCT(--('Данные 2st'!$Q$2:$Q$317=$A72),--ISNUMBER('Данные 2st'!$LJ$2:$LJ$317))</f>
        <v>5</v>
      </c>
      <c r="QF72">
        <f>SUMPRODUCT(--('Данные 2st'!$Q$2:$Q$317=$A72),--ISNUMBER('Данные 2st'!$LK$2:$LK$317))</f>
        <v>5</v>
      </c>
      <c r="QG72">
        <f>SUMPRODUCT(--('Данные 2st'!$Q$2:$Q$317=$A72),--ISNUMBER('Данные 2st'!$LL$2:$LL$317))</f>
        <v>5</v>
      </c>
      <c r="QH72">
        <f>SUMPRODUCT(--('Данные 2st'!$Q$2:$Q$317=$A72),--ISNUMBER('Данные 2st'!$LM$2:$LM$317))</f>
        <v>5</v>
      </c>
      <c r="QI72">
        <f>SUMPRODUCT(--('Данные 2st'!$Q$2:$Q$317=$A72),--ISNUMBER('Данные 2st'!$LN$2:$LN$317))</f>
        <v>5</v>
      </c>
      <c r="QJ72">
        <f>SUMPRODUCT(--('Данные 2st'!$Q$2:$Q$317=$A72),--ISNUMBER('Данные 2st'!$LO$2:$LO$317))</f>
        <v>5</v>
      </c>
      <c r="QK72">
        <f>SUMPRODUCT(--('Данные 2st'!$Q$2:$Q$317=$A72),--ISNUMBER('Данные 2st'!$LP$2:$LP$317))</f>
        <v>5</v>
      </c>
      <c r="QL72">
        <f>SUMPRODUCT(--('Данные 2st'!$Q$2:$Q$317=$A72),--ISNUMBER('Данные 2st'!$LQ$2:$LQ$317))</f>
        <v>5</v>
      </c>
      <c r="QM72">
        <f>SUMPRODUCT(--('Данные 2st'!$Q$2:$Q$317=$A72),--ISNUMBER('Данные 2st'!$LW$2:$LW$317))</f>
        <v>5</v>
      </c>
      <c r="QN72">
        <f>SUMPRODUCT(--('Данные 2st'!$Q$2:$Q$317=$A72),--ISNUMBER('Данные 2st'!$LX$2:$LX$317))</f>
        <v>5</v>
      </c>
      <c r="QO72">
        <f>SUMPRODUCT(--('Данные 2st'!$Q$2:$Q$317=$A72),--ISNUMBER('Данные 2st'!$LY$2:$LY$317))</f>
        <v>5</v>
      </c>
      <c r="QP72">
        <f>SUMPRODUCT(--('Данные 2st'!$Q$2:$Q$317=$A72),--ISNUMBER('Данные 2st'!$LZ$2:$LZ$317))</f>
        <v>5</v>
      </c>
      <c r="QQ72">
        <f>SUMPRODUCT(--('Данные 2st'!$Q$2:$Q$317=$A72),--ISNUMBER('Данные 2st'!$MB$2:$MB$317))</f>
        <v>5</v>
      </c>
      <c r="QR72">
        <f>SUMPRODUCT(--('Данные 2st'!$Q$2:$Q$317=$A72),--ISNUMBER('Данные 2st'!$MG$2:$MG$317))</f>
        <v>4</v>
      </c>
      <c r="QS72">
        <f>SUMPRODUCT(--('Данные 2st'!$Q$2:$Q$317=$A72),--ISNUMBER('Данные 2st'!$MH$2:$MH$317))</f>
        <v>4</v>
      </c>
      <c r="QT72">
        <f>SUMPRODUCT(--('Данные 2st'!$Q$2:$Q$317=$A72),--ISNUMBER('Данные 2st'!$MI$2:$MI$317))</f>
        <v>5</v>
      </c>
      <c r="QU72">
        <f>SUMPRODUCT(--('Данные 2st'!$Q$2:$Q$317=$A72),--ISNUMBER('Данные 2st'!$MJ$2:$MJ$317))</f>
        <v>5</v>
      </c>
      <c r="QV72">
        <f>SUMPRODUCT(--('Данные 2st'!$Q$2:$Q$317=$A72),--ISNUMBER('Данные 2st'!$MK$2:$MK$317))</f>
        <v>4</v>
      </c>
      <c r="QW72">
        <f>SUMPRODUCT(--('Данные 2st'!$Q$2:$Q$317=$A72),--ISNUMBER('Данные 2st'!$MM$2:$MM$317))</f>
        <v>5</v>
      </c>
      <c r="QX72">
        <f>SUMPRODUCT(--('Данные 2st'!$Q$2:$Q$317=$A72),--ISNUMBER('Данные 2st'!$MQ$2:$MQ$317))</f>
        <v>0</v>
      </c>
      <c r="QY72">
        <f>SUMPRODUCT(--('Данные 2st'!$Q$2:$Q$317=$A72),--ISNUMBER('Данные 2st'!$MR$2:$MR$317))</f>
        <v>0</v>
      </c>
      <c r="QZ72">
        <f>SUMPRODUCT(--('Данные 2st'!$Q$2:$Q$317=$A72),--ISNUMBER('Данные 2st'!$MS$2:$MS$317))</f>
        <v>0</v>
      </c>
      <c r="RA72">
        <f>SUMPRODUCT(--('Данные 2st'!$Q$2:$Q$317=$A72),--ISNUMBER('Данные 2st'!$MT$2:$MT$317))</f>
        <v>0</v>
      </c>
      <c r="RB72">
        <f>SUMPRODUCT(--('Данные 2st'!$Q$2:$Q$317=$A72),--ISNUMBER('Данные 2st'!$MU$2:$MU$317))</f>
        <v>0</v>
      </c>
      <c r="RC72">
        <f>SUMPRODUCT(--('Данные 2st'!$Q$2:$Q$317=$A72),--ISNUMBER('Данные 2st'!$MV$2:$MV$317))</f>
        <v>0</v>
      </c>
      <c r="RD72">
        <f>SUMPRODUCT(--('Данные 2st'!$Q$2:$Q$317=$A72),--ISNUMBER('Данные 2st'!$MW$2:$MW$317))</f>
        <v>0</v>
      </c>
      <c r="RE72">
        <f>SUMPRODUCT(--('Данные 2st'!$Q$2:$Q$317=$A72),--ISNUMBER('Данные 2st'!$MX$2:$MX$317))</f>
        <v>0</v>
      </c>
      <c r="RF72">
        <f>SUMPRODUCT(--('Данные 2st'!$Q$2:$Q$317=$A72),--ISNUMBER('Данные 2st'!$MY$2:$MY$317))</f>
        <v>0</v>
      </c>
      <c r="RG72">
        <f>SUMPRODUCT(--('Данные 2st'!$Q$2:$Q$317=$A72),--ISNUMBER('Данные 2st'!$MZ$2:$MZ$317))</f>
        <v>0</v>
      </c>
      <c r="RH72">
        <f>SUMPRODUCT(--('Данные 2st'!$Q$2:$Q$317=$A72),--ISNUMBER('Данные 2st'!$NA$2:$NA$317))</f>
        <v>0</v>
      </c>
      <c r="RI72">
        <f>SUMPRODUCT(--('Данные 2st'!$Q$2:$Q$317=$A72),--ISNUMBER('Данные 2st'!$NB$2:$NB$317))</f>
        <v>0</v>
      </c>
      <c r="RJ72">
        <f>SUMPRODUCT(--('Данные 2st'!$Q$2:$Q$317=$A72),--ISNUMBER('Данные 2st'!$NC$2:$NC$317))</f>
        <v>0</v>
      </c>
      <c r="RK72">
        <f>SUMPRODUCT(--('Данные 2st'!$Q$2:$Q$317=$A72),--ISNUMBER('Данные 2st'!$ND$2:$ND$317))</f>
        <v>0</v>
      </c>
      <c r="RL72">
        <f>SUMPRODUCT(--('Данные 2st'!$Q$2:$Q$317=$A72),--ISNUMBER('Данные 2st'!$NE$2:$NE$317))</f>
        <v>0</v>
      </c>
      <c r="RM72">
        <f>SUMPRODUCT(--('Данные 2st'!$Q$2:$Q$317=$A72),--ISNUMBER('Данные 2st'!$NF$2:$NF$317))</f>
        <v>0</v>
      </c>
      <c r="RN72">
        <f>SUMPRODUCT(--('Данные 2st'!$Q$2:$Q$317=$A72),--ISNUMBER('Данные 2st'!$NG$2:$NG$317))</f>
        <v>0</v>
      </c>
      <c r="RO72">
        <f>SUMPRODUCT(--('Данные 2st'!$Q$2:$Q$317=$A72),--ISNUMBER('Данные 2st'!$NH$2:$NH$317))</f>
        <v>0</v>
      </c>
      <c r="RP72">
        <f>SUMPRODUCT(--('Данные 2st'!$Q$2:$Q$317=$A72),--ISNUMBER('Данные 2st'!$NJ$2:$NJ$317))</f>
        <v>0</v>
      </c>
      <c r="RQ72">
        <f>SUMPRODUCT(--('Данные 2st'!$Q$2:$Q$317=$A72),--ISNUMBER('Данные 2st'!$NK$2:$NK$317))</f>
        <v>0</v>
      </c>
      <c r="RR72">
        <f>SUMPRODUCT(--('Данные 2st'!$Q$2:$Q$317=$A72),--ISNUMBER('Данные 2st'!$NM$2:$NM$317))</f>
        <v>0</v>
      </c>
      <c r="RS72">
        <f>SUMPRODUCT(--('Данные 2st'!$Q$2:$Q$317=$A72),--ISNUMBER('Данные 2st'!$NN$2:$NN$317))</f>
        <v>0</v>
      </c>
      <c r="RT72">
        <f>SUMPRODUCT(--('Данные 2st'!$Q$2:$Q$317=$A72),--ISNUMBER('Данные 2st'!$NO$2:$NO$317))</f>
        <v>0</v>
      </c>
      <c r="RU72">
        <f>SUMPRODUCT(--('Данные 2st'!$Q$2:$Q$317=$A72),--ISNUMBER('Данные 2st'!$NP$2:$NP$317))</f>
        <v>0</v>
      </c>
      <c r="RV72">
        <f>SUMPRODUCT(--('Данные 2st'!$Q$2:$Q$317=$A72),--ISNUMBER('Данные 2st'!$NQ$2:$NQ$317))</f>
        <v>0</v>
      </c>
      <c r="RW72">
        <f>SUMPRODUCT(--('Данные 2st'!$Q$2:$Q$317=$A72),--ISNUMBER('Данные 2st'!$NR$2:$NR$317))</f>
        <v>0</v>
      </c>
      <c r="RX72">
        <f>SUMPRODUCT(--('Данные 2st'!$Q$2:$Q$317=$A72),--ISNUMBER('Данные 2st'!$NS$2:$NS$317))</f>
        <v>0</v>
      </c>
      <c r="RY72">
        <f>SUMPRODUCT(--('Данные 2st'!$Q$2:$Q$317=$A72),--ISNUMBER('Данные 2st'!$NT$2:$NT$317))</f>
        <v>0</v>
      </c>
      <c r="RZ72">
        <f>SUMPRODUCT(--('Данные 2st'!$Q$2:$Q$317=$A72),--ISNUMBER('Данные 2st'!$OK$2:$OK$317))</f>
        <v>5</v>
      </c>
      <c r="SA72">
        <f>SUMPRODUCT(--('Данные 2st'!$Q$2:$Q$317=$A72),--ISNUMBER('Данные 2st'!$OL$2:$OL$317))</f>
        <v>5</v>
      </c>
      <c r="SB72">
        <f>SUMPRODUCT(--('Данные 2st'!$Q$2:$Q$317=$A72),--ISNUMBER('Данные 2st'!$ON$2:$ON$317))</f>
        <v>5</v>
      </c>
      <c r="SC72">
        <f>SUMPRODUCT(--('Данные 2st'!$Q$2:$Q$317=$A72),--ISNUMBER('Данные 2st'!$OO$2:$OO$317))</f>
        <v>5</v>
      </c>
      <c r="SD72">
        <f>SUMPRODUCT(--('Данные 2st'!$Q$2:$Q$317=$A72),--ISNUMBER('Данные 2st'!$OP$2:$OP$317))</f>
        <v>5</v>
      </c>
      <c r="SE72">
        <f>SUMPRODUCT(--('Данные 2st'!$Q$2:$Q$317=$A72),--ISNUMBER('Данные 2st'!$OQ$2:$OQ$317))</f>
        <v>5</v>
      </c>
      <c r="SF72">
        <f>SUMPRODUCT(--('Данные 2st'!$Q$2:$Q$317=$A72),--ISNUMBER('Данные 2st'!$OS$2:$OS$317))</f>
        <v>5</v>
      </c>
      <c r="SG72">
        <f>SUMPRODUCT(--('Данные 2st'!$Q$2:$Q$317=$A72),--ISNUMBER('Данные 2st'!$OT$2:$OT$317))</f>
        <v>5</v>
      </c>
      <c r="SH72">
        <f>SUMPRODUCT(--('Данные 2st'!$Q$2:$Q$317=$A72),--ISNUMBER('Данные 2st'!$OU$2:$OU$317))</f>
        <v>5</v>
      </c>
      <c r="SI72">
        <f>SUMPRODUCT(--('Данные 2st'!$Q$2:$Q$317=$A72),--ISNUMBER('Данные 2st'!$OV$2:$OV$317))</f>
        <v>5</v>
      </c>
      <c r="SJ72">
        <f>SUMPRODUCT(--('Данные 2st'!$Q$2:$Q$317=$A72),--ISNUMBER('Данные 2st'!$OX$2:$OX$317))</f>
        <v>5</v>
      </c>
      <c r="SK72">
        <f>SUMPRODUCT(--('Данные 2st'!$Q$2:$Q$317=$A72),--ISNUMBER('Данные 2st'!$OY$2:$OY$317))</f>
        <v>5</v>
      </c>
      <c r="SL72">
        <f>SUMPRODUCT(--('Данные 2st'!$Q$2:$Q$317=$A72),--ISNUMBER('Данные 2st'!$OZ$2:$OZ$317))</f>
        <v>5</v>
      </c>
      <c r="SM72">
        <f>SUMPRODUCT(--('Данные 2st'!$Q$2:$Q$317=$A72),--ISNUMBER('Данные 2st'!$PA$2:$PA$317))</f>
        <v>5</v>
      </c>
      <c r="SN72">
        <f>SUMPRODUCT(--('Данные 2st'!$Q$2:$Q$317=$A72),--ISNUMBER('Данные 2st'!$PC$2:$PC$317))</f>
        <v>5</v>
      </c>
      <c r="SO72">
        <f>SUMPRODUCT(--('Данные 2st'!$Q$2:$Q$317=$A72),--ISNUMBER('Данные 2st'!$PD$2:$PD$317))</f>
        <v>5</v>
      </c>
      <c r="SP72">
        <f>SUMPRODUCT(--('Данные 2st'!$Q$2:$Q$317=$A72),--ISNUMBER('Данные 2st'!$PF$2:$PF$317))</f>
        <v>5</v>
      </c>
      <c r="SQ72">
        <f>SUMPRODUCT(--('Данные 2st'!$Q$2:$Q$317=$A72),--ISNUMBER('Данные 2st'!$PG$2:$PG$317))</f>
        <v>5</v>
      </c>
      <c r="SR72">
        <f>SUMPRODUCT(--('Данные 2st'!$Q$2:$Q$317=$A72),--ISNUMBER('Данные 2st'!$PH$2:$PH$317))</f>
        <v>5</v>
      </c>
      <c r="SS72">
        <f>SUMPRODUCT(--('Данные 2st'!$Q$2:$Q$317=$A72),--ISNUMBER('Данные 2st'!$PI$2:$PI$317))</f>
        <v>5</v>
      </c>
      <c r="ST72">
        <f>SUMPRODUCT(--('Данные 2st'!$Q$2:$Q$317=$A72),--ISNUMBER('Данные 2st'!$PJ$2:$PJ$317))</f>
        <v>5</v>
      </c>
      <c r="SU72">
        <f>SUMPRODUCT(--('Данные 2st'!$Q$2:$Q$317=$A72),--ISNUMBER('Данные 2st'!$PK$2:$PK$317))</f>
        <v>5</v>
      </c>
      <c r="SV72">
        <f>SUMPRODUCT(--('Данные 2st'!$Q$2:$Q$317=$A72),--ISNUMBER('Данные 2st'!$PL$2:$PL$317))</f>
        <v>5</v>
      </c>
      <c r="SW72">
        <f>SUMPRODUCT(--('Данные 2st'!$Q$2:$Q$317=$A72),--ISNUMBER('Данные 2st'!$PM$2:$PM$317))</f>
        <v>5</v>
      </c>
      <c r="SX72">
        <f>SUMPRODUCT(--('Данные 2st'!$Q$2:$Q$317=$A72),--ISNUMBER('Данные 2st'!$PN$2:$PN$317))</f>
        <v>5</v>
      </c>
      <c r="SY72">
        <f>SUMPRODUCT(--('Данные 2st'!$Q$2:$Q$317=$A72),--ISNUMBER('Данные 2st'!$PO$2:$PO$317))</f>
        <v>5</v>
      </c>
      <c r="SZ72">
        <f>SUMPRODUCT(--('Данные 2st'!$Q$2:$Q$317=$A72),--ISNUMBER('Данные 2st'!$PP$2:$PP$317))</f>
        <v>5</v>
      </c>
      <c r="TA72">
        <f>SUMPRODUCT(--('Данные 2st'!$Q$2:$Q$317=$A72),--ISNUMBER('Данные 2st'!$PQ$2:$PQ$317))</f>
        <v>5</v>
      </c>
      <c r="TB72">
        <f>SUMPRODUCT(--('Данные 2st'!$Q$2:$Q$317=$A72),--ISNUMBER('Данные 2st'!$PR$2:$PR$317))</f>
        <v>5</v>
      </c>
      <c r="TC72">
        <f>SUMPRODUCT(--('Данные 2st'!$Q$2:$Q$317=$A72),--ISNUMBER('Данные 2st'!$PS$2:$PS$317))</f>
        <v>5</v>
      </c>
      <c r="TD72">
        <f>SUMPRODUCT(--('Данные 2st'!$Q$2:$Q$317=$A72),--ISNUMBER('Данные 2st'!$PT$2:$PT$317))</f>
        <v>5</v>
      </c>
      <c r="TE72">
        <f>SUMPRODUCT(--('Данные 2st'!$Q$2:$Q$317=$A72),--ISNUMBER('Данные 2st'!$PU$2:$PU$317))</f>
        <v>5</v>
      </c>
      <c r="TF72">
        <f>SUMPRODUCT(--('Данные 2st'!$Q$2:$Q$317=$A72),--ISNUMBER('Данные 2st'!$PX$2:$PX$317))</f>
        <v>5</v>
      </c>
      <c r="TG72">
        <f>SUMPRODUCT(--('Данные 2st'!$Q$2:$Q$317=$A72),--ISNUMBER('Данные 2st'!$PY$2:$PY$317))</f>
        <v>5</v>
      </c>
      <c r="TH72">
        <f>SUMPRODUCT(--('Данные 2st'!$Q$2:$Q$317=$A72),--ISNUMBER('Данные 2st'!$PZ$2:$PZ$317))</f>
        <v>5</v>
      </c>
      <c r="TI72">
        <f>SUMPRODUCT(--('Данные 2st'!$Q$2:$Q$317=$A72),--ISNUMBER('Данные 2st'!$QA$2:$QA$317))</f>
        <v>5</v>
      </c>
      <c r="TJ72">
        <f>SUMPRODUCT(--('Данные 2st'!$Q$2:$Q$317=$A72),--ISNUMBER('Данные 2st'!$QB$2:$QB$317))</f>
        <v>5</v>
      </c>
      <c r="TK72">
        <f>SUMPRODUCT(--('Данные 2st'!$Q$2:$Q$317=$A72),--ISNUMBER('Данные 2st'!$QC$2:$QC$317))</f>
        <v>5</v>
      </c>
      <c r="TL72">
        <f>SUMPRODUCT(--('Данные 2st'!$Q$2:$Q$317=$A72),--ISNUMBER('Данные 2st'!$QD$2:$QD$317))</f>
        <v>5</v>
      </c>
      <c r="TM72">
        <f>SUMPRODUCT(--('Данные 2st'!$Q$2:$Q$317=$A72),--ISNUMBER('Данные 2st'!$QE$2:$QE$317))</f>
        <v>5</v>
      </c>
      <c r="TN72">
        <f>SUMPRODUCT(--('Данные 2st'!$Q$2:$Q$317=$A72),--ISNUMBER('Данные 2st'!$QF$2:$QF$317))</f>
        <v>5</v>
      </c>
      <c r="TO72">
        <f>SUMPRODUCT(--('Данные 2st'!$Q$2:$Q$317=$A72),--ISNUMBER('Данные 2st'!$QG$2:$QG$317))</f>
        <v>5</v>
      </c>
      <c r="TP72">
        <f>SUMPRODUCT(--('Данные 2st'!$Q$2:$Q$317=$A72),--ISNUMBER('Данные 2st'!$QH$2:$QH$317))</f>
        <v>5</v>
      </c>
      <c r="TQ72">
        <f>SUMPRODUCT(--('Данные 2st'!$Q$2:$Q$317=$A72),--ISNUMBER('Данные 2st'!$QI$2:$QI$317))</f>
        <v>5</v>
      </c>
      <c r="TR72">
        <f>SUMPRODUCT(--('Данные 2st'!$Q$2:$Q$317=$A72),--ISNUMBER('Данные 2st'!$QJ$2:$QJ$317))</f>
        <v>5</v>
      </c>
      <c r="TS72">
        <f>SUMPRODUCT(--('Данные 2st'!$Q$2:$Q$317=$A72),--ISNUMBER('Данные 2st'!$QK$2:$QK$317))</f>
        <v>5</v>
      </c>
      <c r="TT72">
        <f>SUMPRODUCT(--('Данные 2st'!$Q$2:$Q$317=$A72),--ISNUMBER('Данные 2st'!$QL$2:$QL$317))</f>
        <v>5</v>
      </c>
      <c r="TU72">
        <f>SUMPRODUCT(--('Данные 2st'!$Q$2:$Q$317=$A72),--ISNUMBER('Данные 2st'!$QM$2:$QM$317))</f>
        <v>5</v>
      </c>
      <c r="TV72">
        <f>SUMPRODUCT(--('Данные 2st'!$Q$2:$Q$317=$A72),--ISNUMBER('Данные 2st'!$QN$2:$QN$317))</f>
        <v>5</v>
      </c>
      <c r="TW72">
        <f>SUMPRODUCT(--('Данные 2st'!$Q$2:$Q$317=$A72),--ISNUMBER('Данные 2st'!$QQ$2:$QQ$317))</f>
        <v>5</v>
      </c>
      <c r="TX72">
        <f>SUMPRODUCT(--('Данные 2st'!$Q$2:$Q$317=$A72),--ISNUMBER('Данные 2st'!$QS$2:$QS$317))</f>
        <v>5</v>
      </c>
      <c r="TY72">
        <f>SUMPRODUCT(--('Данные 2st'!$Q$2:$Q$317=$A72),--ISNUMBER('Данные 2st'!$QT$2:$QT$317))</f>
        <v>5</v>
      </c>
    </row>
    <row r="73" spans="1:545" ht="32" customHeight="1">
      <c r="A73" s="11" t="str">
        <f>'По размерам'!A73</f>
        <v>255/55R20</v>
      </c>
      <c r="G73">
        <f>SUMPRODUCT(--('Данные 1st'!$S$2:$S$317=$A73),--ISNUMBER('Данные 1st'!$AE$2:$AE$317))</f>
        <v>3</v>
      </c>
      <c r="H73">
        <f>SUMPRODUCT(--('Данные 1st'!$S$2:$S$317=$A73),--ISNUMBER('Данные 1st'!$AF$2:$AF$317))</f>
        <v>3</v>
      </c>
      <c r="I73">
        <f>SUMPRODUCT(--('Данные 1st'!$S$2:$S$317=$A73),--ISNUMBER('Данные 1st'!$AJ$2:$AJ$317))</f>
        <v>3</v>
      </c>
      <c r="J73">
        <f>SUMPRODUCT(--('Данные 1st'!$S$2:$S$317=$A73),--ISNUMBER('Данные 1st'!$AL$2:$AL$317))</f>
        <v>3</v>
      </c>
      <c r="K73">
        <f>SUMPRODUCT(--('Данные 1st'!$S$2:$S$317=$A73),--ISNUMBER('Данные 1st'!$AR$2:$AR$317))</f>
        <v>3</v>
      </c>
      <c r="L73">
        <f>SUMPRODUCT(--('Данные 1st'!$S$2:$S$317=$A73),--ISNUMBER('Данные 1st'!$AS$2:$AS$317))</f>
        <v>3</v>
      </c>
      <c r="M73">
        <f>SUMPRODUCT(--('Данные 1st'!$S$2:$S$317=$A73),--ISNUMBER('Данные 1st'!$AY$2:$AY$317))</f>
        <v>3</v>
      </c>
      <c r="N73">
        <f>SUMPRODUCT(--('Данные 1st'!$S$2:$S$317=$A73),--ISNUMBER('Данные 1st'!$AZ$2:$AZ$317))</f>
        <v>3</v>
      </c>
      <c r="O73">
        <f>SUMPRODUCT(--('Данные 1st'!$S$2:$S$317=$A73),--ISNUMBER('Данные 1st'!$BF$2:$BF$317))</f>
        <v>3</v>
      </c>
      <c r="P73">
        <f>SUMPRODUCT(--('Данные 1st'!$S$2:$S$317=$A73),--ISNUMBER('Данные 1st'!$BG$2:$BG$317))</f>
        <v>3</v>
      </c>
      <c r="Q73">
        <f>SUMPRODUCT(--('Данные 1st'!$S$2:$S$317=$A73),--ISNUMBER('Данные 1st'!$BM$2:$BM$317))</f>
        <v>0</v>
      </c>
      <c r="R73">
        <f>SUMPRODUCT(--('Данные 1st'!$S$2:$S$317=$A73),--ISNUMBER('Данные 1st'!$BN$2:$BN$317))</f>
        <v>3</v>
      </c>
      <c r="S73">
        <f>SUMPRODUCT(--('Данные 1st'!$S$2:$S$317=$A73),--ISNUMBER('Данные 1st'!$BT$2:$BT$317))</f>
        <v>3</v>
      </c>
      <c r="T73">
        <f>SUMPRODUCT(--('Данные 1st'!$S$2:$S$317=$A73),--ISNUMBER('Данные 1st'!$BU$2:$BU$317))</f>
        <v>3</v>
      </c>
      <c r="U73">
        <f>SUMPRODUCT(--('Данные 1st'!$S$2:$S$317=$A73),--ISNUMBER('Данные 1st'!$BW$2:$BW$317))</f>
        <v>3</v>
      </c>
      <c r="V73">
        <f>SUMPRODUCT(--('Данные 1st'!$S$2:$S$317=$A73),--ISNUMBER('Данные 1st'!$BX$2:$BX$317))</f>
        <v>3</v>
      </c>
      <c r="W73">
        <f>SUMPRODUCT(--('Данные 1st'!$S$2:$S$317=$A73),--ISNUMBER('Данные 1st'!$BZ$2:$BZ$317))</f>
        <v>3</v>
      </c>
      <c r="X73">
        <f>SUMPRODUCT(--('Данные 1st'!$S$2:$S$317=$A73),--ISNUMBER('Данные 1st'!$CA$2:$CA$317))</f>
        <v>3</v>
      </c>
      <c r="Y73">
        <f>SUMPRODUCT(--('Данные 1st'!$S$2:$S$317=$A73),--ISNUMBER('Данные 1st'!$CD$2:$CD$317))</f>
        <v>3</v>
      </c>
      <c r="Z73">
        <f>SUMPRODUCT(--('Данные 1st'!$S$2:$S$317=$A73),--ISNUMBER('Данные 1st'!$CF$2:$CF$317))</f>
        <v>3</v>
      </c>
      <c r="AA73">
        <f>SUMPRODUCT(--('Данные 1st'!$S$2:$S$317=$A73),--ISNUMBER('Данные 1st'!$CI$2:$CI$317))</f>
        <v>3</v>
      </c>
      <c r="AB73">
        <f>SUMPRODUCT(--('Данные 1st'!$S$2:$S$317=$A73),--ISNUMBER('Данные 1st'!$CJ$2:$CJ$317))</f>
        <v>3</v>
      </c>
      <c r="AC73">
        <f>SUMPRODUCT(--('Данные 1st'!$S$2:$S$317=$A73),--ISNUMBER('Данные 1st'!$CK$2:$CK$317))</f>
        <v>3</v>
      </c>
      <c r="AD73">
        <f>SUMPRODUCT(--('Данные 1st'!$S$2:$S$317=$A73),--ISNUMBER('Данные 1st'!$CL$2:$CL$317))</f>
        <v>3</v>
      </c>
      <c r="AE73">
        <f>SUMPRODUCT(--('Данные 1st'!$S$2:$S$317=$A73),--ISNUMBER('Данные 1st'!$CM$2:$CM$317))</f>
        <v>3</v>
      </c>
      <c r="AF73">
        <f>SUMPRODUCT(--('Данные 1st'!$S$2:$S$317=$A73),--ISNUMBER('Данные 1st'!$CT$2:$CT$317))</f>
        <v>3</v>
      </c>
      <c r="AG73">
        <f>SUMPRODUCT(--('Данные 1st'!$S$2:$S$317=$A73),--ISNUMBER('Данные 1st'!$CU$2:$CU$317))</f>
        <v>3</v>
      </c>
      <c r="AH73">
        <f>SUMPRODUCT(--('Данные 1st'!$S$2:$S$317=$A73),--ISNUMBER('Данные 1st'!$CV$2:$CV$317))</f>
        <v>3</v>
      </c>
      <c r="AI73">
        <f>SUMPRODUCT(--('Данные 1st'!$S$2:$S$317=$A73),--ISNUMBER('Данные 1st'!$CW$2:$CW$317))</f>
        <v>3</v>
      </c>
      <c r="AJ73">
        <f>SUMPRODUCT(--('Данные 1st'!$S$2:$S$317=$A73),--ISNUMBER('Данные 1st'!$CX$2:$CX$317))</f>
        <v>3</v>
      </c>
      <c r="AK73">
        <f>SUMPRODUCT(--('Данные 1st'!$S$2:$S$317=$A73),--ISNUMBER('Данные 1st'!$CZ$2:$CZ$317))</f>
        <v>3</v>
      </c>
      <c r="AL73">
        <f>SUMPRODUCT(--('Данные 1st'!$S$2:$S$317=$A73),--ISNUMBER('Данные 1st'!$DA$2:$DA$317))</f>
        <v>3</v>
      </c>
      <c r="AM73">
        <f>SUMPRODUCT(--('Данные 1st'!$S$2:$S$317=$A73),--ISNUMBER('Данные 1st'!$DB$2:$DB$317))</f>
        <v>3</v>
      </c>
      <c r="AN73">
        <f>SUMPRODUCT(--('Данные 1st'!$S$2:$S$317=$A73),--ISNUMBER('Данные 1st'!$DC$2:$DC$317))</f>
        <v>3</v>
      </c>
      <c r="AO73">
        <f>SUMPRODUCT(--('Данные 1st'!$S$2:$S$317=$A73),--ISNUMBER('Данные 1st'!$DD$2:$DD$317))</f>
        <v>3</v>
      </c>
      <c r="AP73">
        <f>SUMPRODUCT(--('Данные 1st'!$S$2:$S$317=$A73),--ISNUMBER('Данные 1st'!$DF$2:$DF$317))</f>
        <v>3</v>
      </c>
      <c r="AQ73">
        <f>SUMPRODUCT(--('Данные 1st'!$S$2:$S$317=$A73),--ISNUMBER('Данные 1st'!$DG$2:$DG$317))</f>
        <v>3</v>
      </c>
      <c r="AR73">
        <f>SUMPRODUCT(--('Данные 1st'!$S$2:$S$317=$A73),--ISNUMBER('Данные 1st'!$DH$2:$DH$317))</f>
        <v>3</v>
      </c>
      <c r="AS73">
        <f>SUMPRODUCT(--('Данные 1st'!$S$2:$S$317=$A73),--ISNUMBER('Данные 1st'!$DI$2:$DI$317))</f>
        <v>3</v>
      </c>
      <c r="AT73">
        <f>SUMPRODUCT(--('Данные 1st'!$S$2:$S$317=$A73),--ISNUMBER('Данные 1st'!$DJ$2:$DJ$317))</f>
        <v>3</v>
      </c>
      <c r="AU73">
        <f>SUMPRODUCT(--('Данные 1st'!$S$2:$S$317=$A73),--ISNUMBER('Данные 1st'!$DL$2:$DL$317))</f>
        <v>3</v>
      </c>
      <c r="AV73">
        <f>SUMPRODUCT(--('Данные 1st'!$S$2:$S$317=$A73),--ISNUMBER('Данные 1st'!$DM$2:$DM$317))</f>
        <v>3</v>
      </c>
      <c r="AW73">
        <f>SUMPRODUCT(--('Данные 1st'!$S$2:$S$317=$A73),--ISNUMBER('Данные 1st'!$DN$2:$DN$317))</f>
        <v>3</v>
      </c>
      <c r="AX73">
        <f>SUMPRODUCT(--('Данные 1st'!$S$2:$S$317=$A73),--ISNUMBER('Данные 1st'!$DO$2:$DO$317))</f>
        <v>3</v>
      </c>
      <c r="AY73">
        <f>SUMPRODUCT(--('Данные 1st'!$S$2:$S$317=$A73),--ISNUMBER('Данные 1st'!$DP$2:$DP$317))</f>
        <v>3</v>
      </c>
      <c r="AZ73">
        <f>SUMPRODUCT(--('Данные 1st'!$S$2:$S$317=$A73),--ISNUMBER('Данные 1st'!$DR$2:$DR$317))</f>
        <v>0</v>
      </c>
      <c r="BA73">
        <f>SUMPRODUCT(--('Данные 1st'!$S$2:$S$317=$A73),--ISNUMBER('Данные 1st'!$DS$2:$DS$317))</f>
        <v>0</v>
      </c>
      <c r="BB73">
        <f>SUMPRODUCT(--('Данные 1st'!$S$2:$S$317=$A73),--ISNUMBER('Данные 1st'!$DT$2:$DT$317))</f>
        <v>0</v>
      </c>
      <c r="BC73">
        <f>SUMPRODUCT(--('Данные 1st'!$S$2:$S$317=$A73),--ISNUMBER('Данные 1st'!$DU$2:$DU$317))</f>
        <v>0</v>
      </c>
      <c r="BD73">
        <f>SUMPRODUCT(--('Данные 1st'!$S$2:$S$317=$A73),--ISNUMBER('Данные 1st'!$DV$2:$DV$317))</f>
        <v>0</v>
      </c>
      <c r="BE73">
        <f>SUMPRODUCT(--('Данные 1st'!$S$2:$S$317=$A73),--ISNUMBER('Данные 1st'!$DX$2:$DX$317))</f>
        <v>3</v>
      </c>
      <c r="BF73">
        <f>SUMPRODUCT(--('Данные 1st'!$S$2:$S$317=$A73),--ISNUMBER('Данные 1st'!$EA$2:$EA$317))</f>
        <v>3</v>
      </c>
      <c r="BG73">
        <f>SUMPRODUCT(--('Данные 1st'!$S$2:$S$317=$A73),--ISNUMBER('Данные 1st'!$EB$2:$EB$317))</f>
        <v>3</v>
      </c>
      <c r="BH73">
        <f>SUMPRODUCT(--('Данные 1st'!$S$2:$S$317=$A73),--ISNUMBER('Данные 1st'!$ED$2:$ED$317))</f>
        <v>3</v>
      </c>
      <c r="BI73">
        <f>SUMPRODUCT(--('Данные 1st'!$S$2:$S$317=$A73),--ISNUMBER('Данные 1st'!$EE$2:$EE$317))</f>
        <v>3</v>
      </c>
      <c r="BJ73">
        <f>SUMPRODUCT(--('Данные 1st'!$S$2:$S$317=$A73),--ISNUMBER('Данные 1st'!$EG$2:$EG$317))</f>
        <v>3</v>
      </c>
      <c r="BK73">
        <f>SUMPRODUCT(--('Данные 1st'!$S$2:$S$317=$A73),--ISNUMBER('Данные 1st'!$EH$2:$EH$317))</f>
        <v>3</v>
      </c>
      <c r="BL73">
        <f>SUMPRODUCT(--('Данные 1st'!$S$2:$S$317=$A73),--ISNUMBER('Данные 1st'!$EJ$2:$EJ$317))</f>
        <v>3</v>
      </c>
      <c r="BM73">
        <f>SUMPRODUCT(--('Данные 1st'!$S$2:$S$317=$A73),--ISNUMBER('Данные 1st'!$EK$2:$EK$317))</f>
        <v>3</v>
      </c>
      <c r="BN73">
        <f>SUMPRODUCT(--('Данные 1st'!$S$2:$S$317=$A73),--ISNUMBER('Данные 1st'!$EN$2:$EN$317))</f>
        <v>3</v>
      </c>
      <c r="BO73">
        <f>SUMPRODUCT(--('Данные 1st'!$S$2:$S$317=$A73),--ISNUMBER('Данные 1st'!$EQ$2:$EQ$317))</f>
        <v>3</v>
      </c>
      <c r="BP73">
        <f>SUMPRODUCT(--('Данные 1st'!$S$2:$S$317=$A73),--ISNUMBER('Данные 1st'!$ER$2:$ER$317))</f>
        <v>3</v>
      </c>
      <c r="BQ73">
        <f>SUMPRODUCT(--('Данные 1st'!$S$2:$S$317=$A73),--ISNUMBER('Данные 1st'!$ES$2:$ES$317))</f>
        <v>3</v>
      </c>
      <c r="BR73">
        <f>SUMPRODUCT(--('Данные 1st'!$S$2:$S$317=$A73),--ISNUMBER('Данные 1st'!$ET$2:$ET$317))</f>
        <v>3</v>
      </c>
      <c r="BS73">
        <f>SUMPRODUCT(--('Данные 1st'!$S$2:$S$317=$A73),--ISNUMBER('Данные 1st'!$EU$2:$EU$317))</f>
        <v>3</v>
      </c>
      <c r="BT73">
        <f>SUMPRODUCT(--('Данные 1st'!$S$2:$S$317=$A73),--ISNUMBER('Данные 1st'!$EV$2:$EV$317))</f>
        <v>3</v>
      </c>
      <c r="BU73">
        <f>SUMPRODUCT(--('Данные 1st'!$S$2:$S$317=$A73),--ISNUMBER('Данные 1st'!$EX$2:$EX$317))</f>
        <v>3</v>
      </c>
      <c r="BV73">
        <f>SUMPRODUCT(--('Данные 1st'!$S$2:$S$317=$A73),--ISNUMBER('Данные 1st'!$EY$2:$EY$317))</f>
        <v>3</v>
      </c>
      <c r="BW73">
        <f>SUMPRODUCT(--('Данные 1st'!$S$2:$S$317=$A73),--ISNUMBER('Данные 1st'!$EZ$2:$EZ$317))</f>
        <v>3</v>
      </c>
      <c r="BX73">
        <f>SUMPRODUCT(--('Данные 1st'!$S$2:$S$317=$A73),--ISNUMBER('Данные 1st'!$FA$2:$FA$317))</f>
        <v>3</v>
      </c>
      <c r="BY73">
        <f>SUMPRODUCT(--('Данные 1st'!$S$2:$S$317=$A73),--ISNUMBER('Данные 1st'!$FB$2:$FB$317))</f>
        <v>3</v>
      </c>
      <c r="BZ73">
        <f>SUMPRODUCT(--('Данные 1st'!$S$2:$S$317=$A73),--ISNUMBER('Данные 1st'!$FC$2:$FC$317))</f>
        <v>3</v>
      </c>
      <c r="CA73">
        <f>SUMPRODUCT(--('Данные 1st'!$S$2:$S$317=$A73),--ISNUMBER('Данные 1st'!$FE$2:$FE$317))</f>
        <v>3</v>
      </c>
      <c r="CB73">
        <f>SUMPRODUCT(--('Данные 1st'!$S$2:$S$317=$A73),--ISNUMBER('Данные 1st'!$FF$2:$FF$317))</f>
        <v>3</v>
      </c>
      <c r="CC73">
        <f>SUMPRODUCT(--('Данные 1st'!$S$2:$S$317=$A73),--ISNUMBER('Данные 1st'!$FI$2:$FI$317))</f>
        <v>3</v>
      </c>
      <c r="CD73">
        <f>SUMPRODUCT(--('Данные 1st'!$S$2:$S$317=$A73),--ISNUMBER('Данные 1st'!$FL$2:$FL$317))</f>
        <v>3</v>
      </c>
      <c r="CE73">
        <f>SUMPRODUCT(--('Данные 1st'!$S$2:$S$317=$A73),--ISNUMBER('Данные 1st'!$FM$2:$FM$317))</f>
        <v>3</v>
      </c>
      <c r="CF73">
        <f>SUMPRODUCT(--('Данные 1st'!$S$2:$S$317=$A73),--ISNUMBER('Данные 1st'!$FN$2:$FN$317))</f>
        <v>3</v>
      </c>
      <c r="CG73">
        <f>SUMPRODUCT(--('Данные 1st'!$S$2:$S$317=$A73),--ISNUMBER('Данные 1st'!$FO$2:$FO$317))</f>
        <v>3</v>
      </c>
      <c r="CH73">
        <f>SUMPRODUCT(--('Данные 1st'!$S$2:$S$317=$A73),--ISNUMBER('Данные 1st'!$FP$2:$FP$317))</f>
        <v>3</v>
      </c>
      <c r="CI73">
        <f>SUMPRODUCT(--('Данные 1st'!$S$2:$S$317=$A73),--ISNUMBER('Данные 1st'!$FS$2:$FS$317))</f>
        <v>1</v>
      </c>
      <c r="CJ73">
        <f>SUMPRODUCT(--('Данные 1st'!$S$2:$S$317=$A73),--ISNUMBER('Данные 1st'!$FT$2:$FT$317))</f>
        <v>1</v>
      </c>
      <c r="CK73">
        <f>SUMPRODUCT(--('Данные 1st'!$S$2:$S$317=$A73),--ISNUMBER('Данные 1st'!$FU$2:$FU$317))</f>
        <v>1</v>
      </c>
      <c r="CL73">
        <f>SUMPRODUCT(--('Данные 1st'!$S$2:$S$317=$A73),--ISNUMBER('Данные 1st'!$FV$2:$FV$317))</f>
        <v>0</v>
      </c>
      <c r="CM73">
        <f>SUMPRODUCT(--('Данные 1st'!$S$2:$S$317=$A73),--ISNUMBER('Данные 1st'!$FW$2:$FW$317))</f>
        <v>0</v>
      </c>
      <c r="CN73">
        <f>SUMPRODUCT(--('Данные 1st'!$S$2:$S$317=$A73),--ISNUMBER('Данные 1st'!$FZ$2:$FZ$317))</f>
        <v>0</v>
      </c>
      <c r="CO73">
        <f>SUMPRODUCT(--('Данные 1st'!$S$2:$S$317=$A73),--ISNUMBER('Данные 1st'!$GA$2:$GA$317))</f>
        <v>0</v>
      </c>
      <c r="CP73">
        <f>SUMPRODUCT(--('Данные 1st'!$S$2:$S$317=$A73),--ISNUMBER('Данные 1st'!$GB$2:$GB$317))</f>
        <v>0</v>
      </c>
      <c r="CQ73">
        <f>SUMPRODUCT(--('Данные 1st'!$S$2:$S$317=$A73),--ISNUMBER('Данные 1st'!$GH$2:$GH$317))</f>
        <v>0</v>
      </c>
      <c r="CR73">
        <f>SUMPRODUCT(--('Данные 1st'!$S$2:$S$317=$A73),--ISNUMBER('Данные 1st'!$GI$2:$GI$317))</f>
        <v>0</v>
      </c>
      <c r="CS73">
        <f>SUMPRODUCT(--('Данные 1st'!$S$2:$S$317=$A73),--ISNUMBER('Данные 1st'!$GJ$2:$GJ$317))</f>
        <v>0</v>
      </c>
      <c r="CT73">
        <f>SUMPRODUCT(--('Данные 1st'!$S$2:$S$317=$A73),--ISNUMBER('Данные 1st'!$GS$2:$GS$317))</f>
        <v>3</v>
      </c>
      <c r="CU73">
        <f>SUMPRODUCT(--('Данные 1st'!$S$2:$S$317=$A73),--ISNUMBER('Данные 1st'!$GT$2:$GT$317))</f>
        <v>3</v>
      </c>
      <c r="CV73">
        <f>SUMPRODUCT(--('Данные 1st'!$S$2:$S$317=$A73),--ISNUMBER('Данные 1st'!$GU$2:$GU$317))</f>
        <v>3</v>
      </c>
      <c r="CW73">
        <f>SUMPRODUCT(--('Данные 1st'!$S$2:$S$317=$A73),--ISNUMBER('Данные 1st'!$GV$2:$GV$317))</f>
        <v>3</v>
      </c>
      <c r="CX73">
        <f>SUMPRODUCT(--('Данные 1st'!$S$2:$S$317=$A73),--ISNUMBER('Данные 1st'!$GW$2:$GW$317))</f>
        <v>3</v>
      </c>
      <c r="CY73">
        <f>SUMPRODUCT(--('Данные 1st'!$S$2:$S$317=$A73),--ISNUMBER('Данные 1st'!$GZ$2:$GZ$317))</f>
        <v>0</v>
      </c>
      <c r="CZ73">
        <f>SUMPRODUCT(--('Данные 1st'!$S$2:$S$317=$A73),--ISNUMBER('Данные 1st'!$HA$2:$HA$317))</f>
        <v>0</v>
      </c>
      <c r="DA73">
        <f>SUMPRODUCT(--('Данные 1st'!$S$2:$S$317=$A73),--ISNUMBER('Данные 1st'!$HB$2:$HB$317))</f>
        <v>0</v>
      </c>
      <c r="DB73">
        <f>SUMPRODUCT(--('Данные 1st'!$S$2:$S$317=$A73),--ISNUMBER('Данные 1st'!$HC$2:$HC$317))</f>
        <v>3</v>
      </c>
      <c r="DC73">
        <f>SUMPRODUCT(--('Данные 1st'!$S$2:$S$317=$A73),--ISNUMBER('Данные 1st'!$HD$2:$HD$317))</f>
        <v>3</v>
      </c>
      <c r="DD73">
        <f>SUMPRODUCT(--('Данные 1st'!$S$2:$S$317=$A73),--ISNUMBER('Данные 1st'!$HE$2:$HE$317))</f>
        <v>3</v>
      </c>
      <c r="DE73">
        <f>SUMPRODUCT(--('Данные 1st'!$S$2:$S$317=$A73),--ISNUMBER('Данные 1st'!$HF$2:$HF$317))</f>
        <v>3</v>
      </c>
      <c r="DF73">
        <f>SUMPRODUCT(--('Данные 1st'!$S$2:$S$317=$A73),--ISNUMBER('Данные 1st'!$HG$2:$HG$317))</f>
        <v>3</v>
      </c>
      <c r="DG73">
        <f>SUMPRODUCT(--('Данные 1st'!$S$2:$S$317=$A73),--ISNUMBER('Данные 1st'!$HH$2:$HH$317))</f>
        <v>3</v>
      </c>
      <c r="DH73">
        <f>SUMPRODUCT(--('Данные 1st'!$S$2:$S$317=$A73),--ISNUMBER('Данные 1st'!$HI$2:$HI$317))</f>
        <v>3</v>
      </c>
      <c r="DI73">
        <f>SUMPRODUCT(--('Данные 1st'!$S$2:$S$317=$A73),--ISNUMBER('Данные 1st'!$HJ$2:$HJ$317))</f>
        <v>3</v>
      </c>
      <c r="DJ73">
        <f>SUMPRODUCT(--('Данные 1st'!$S$2:$S$317=$A73),--ISNUMBER('Данные 1st'!$HK$2:$HK$317))</f>
        <v>3</v>
      </c>
      <c r="DK73">
        <f>SUMPRODUCT(--('Данные 1st'!$S$2:$S$317=$A73),--ISNUMBER('Данные 1st'!$HL$2:$HL$317))</f>
        <v>3</v>
      </c>
      <c r="DL73">
        <f>SUMPRODUCT(--('Данные 1st'!$S$2:$S$317=$A73),--ISNUMBER('Данные 1st'!$HM$2:$HM$317))</f>
        <v>3</v>
      </c>
      <c r="DM73">
        <f>SUMPRODUCT(--('Данные 1st'!$S$2:$S$317=$A73),--ISNUMBER('Данные 1st'!$HN$2:$HN$317))</f>
        <v>3</v>
      </c>
      <c r="DN73">
        <f>SUMPRODUCT(--('Данные 1st'!$S$2:$S$317=$A73),--ISNUMBER('Данные 1st'!$HO$2:$HO$317))</f>
        <v>3</v>
      </c>
      <c r="DO73">
        <f>SUMPRODUCT(--('Данные 1st'!$S$2:$S$317=$A73),--ISNUMBER('Данные 1st'!$HP$2:$HP$317))</f>
        <v>3</v>
      </c>
      <c r="DP73">
        <f>SUMPRODUCT(--('Данные 1st'!$S$2:$S$317=$A73),--ISNUMBER('Данные 1st'!$HQ$2:$HQ$317))</f>
        <v>3</v>
      </c>
      <c r="DQ73">
        <f>SUMPRODUCT(--('Данные 1st'!$S$2:$S$317=$A73),--ISNUMBER('Данные 1st'!$HR$2:$HR$317))</f>
        <v>3</v>
      </c>
      <c r="DR73">
        <f>SUMPRODUCT(--('Данные 1st'!$S$2:$S$317=$A73),--ISNUMBER('Данные 1st'!$HS$2:$HS$317))</f>
        <v>3</v>
      </c>
      <c r="DS73">
        <f>SUMPRODUCT(--('Данные 1st'!$S$2:$S$317=$A73),--ISNUMBER('Данные 1st'!$HT$2:$HT$317))</f>
        <v>3</v>
      </c>
      <c r="DT73">
        <f>SUMPRODUCT(--('Данные 1st'!$S$2:$S$317=$A73),--ISNUMBER('Данные 1st'!$HU$2:$HU$317))</f>
        <v>3</v>
      </c>
      <c r="DU73">
        <f>SUMPRODUCT(--('Данные 1st'!$S$2:$S$317=$A73),--ISNUMBER('Данные 1st'!$HW$2:$HW$317))</f>
        <v>3</v>
      </c>
      <c r="DV73">
        <f>SUMPRODUCT(--('Данные 1st'!$S$2:$S$317=$A73),--ISNUMBER('Данные 1st'!$HX$2:$HX$317))</f>
        <v>3</v>
      </c>
      <c r="DW73">
        <f>SUMPRODUCT(--('Данные 1st'!$S$2:$S$317=$A73),--ISNUMBER('Данные 1st'!$HY$2:$HY$317))</f>
        <v>3</v>
      </c>
      <c r="DX73">
        <f>SUMPRODUCT(--('Данные 1st'!$S$2:$S$317=$A73),--ISNUMBER('Данные 1st'!$IA$2:$IA$317))</f>
        <v>3</v>
      </c>
      <c r="DY73">
        <f>SUMPRODUCT(--('Данные 1st'!$S$2:$S$317=$A73),--ISNUMBER('Данные 1st'!$IB$2:$IB$317))</f>
        <v>3</v>
      </c>
      <c r="DZ73">
        <f>SUMPRODUCT(--('Данные 1st'!$S$2:$S$317=$A73),--ISNUMBER('Данные 1st'!$IC$2:$IC$317))</f>
        <v>3</v>
      </c>
      <c r="EA73">
        <f>SUMPRODUCT(--('Данные 1st'!$S$2:$S$317=$A73),--ISNUMBER('Данные 1st'!$ID$2:$ID$317))</f>
        <v>3</v>
      </c>
      <c r="EB73">
        <f>SUMPRODUCT(--('Данные 1st'!$S$2:$S$317=$A73),--ISNUMBER('Данные 1st'!$IE$2:$IE$317))</f>
        <v>3</v>
      </c>
      <c r="EC73">
        <f>SUMPRODUCT(--('Данные 1st'!$S$2:$S$317=$A73),--ISNUMBER('Данные 1st'!$IF$2:$IF$317))</f>
        <v>3</v>
      </c>
      <c r="ED73">
        <f>SUMPRODUCT(--('Данные 1st'!$S$2:$S$317=$A73),--ISNUMBER('Данные 1st'!$IP$2:$IP$317))</f>
        <v>3</v>
      </c>
      <c r="EE73">
        <f>SUMPRODUCT(--('Данные 1st'!$S$2:$S$317=$A73),--ISNUMBER('Данные 1st'!$IV$2:$IV$317))</f>
        <v>3</v>
      </c>
      <c r="EF73">
        <f>SUMPRODUCT(--('Данные 1st'!$S$2:$S$317=$A73),--ISNUMBER('Данные 1st'!$IW$2:$IW$317))</f>
        <v>3</v>
      </c>
      <c r="EG73">
        <f>SUMPRODUCT(--('Данные 1st'!$S$2:$S$317=$A73),--ISNUMBER('Данные 1st'!$IX$2:$IX$317))</f>
        <v>0</v>
      </c>
      <c r="EH73">
        <f>SUMPRODUCT(--('Данные 1st'!$S$2:$S$317=$A73),--ISNUMBER('Данные 1st'!$IY$2:$IY$317))</f>
        <v>0</v>
      </c>
      <c r="EI73">
        <f>SUMPRODUCT(--('Данные 1st'!$S$2:$S$317=$A73),--ISNUMBER('Данные 1st'!$JD$2:$JD$317))</f>
        <v>3</v>
      </c>
      <c r="EJ73">
        <f>SUMPRODUCT(--('Данные 1st'!$S$2:$S$317=$A73),--ISNUMBER('Данные 1st'!$JE$2:$JE$317))</f>
        <v>3</v>
      </c>
      <c r="EK73">
        <f>SUMPRODUCT(--('Данные 1st'!$S$2:$S$317=$A73),--ISNUMBER('Данные 1st'!$JF$2:$JF$317))</f>
        <v>3</v>
      </c>
      <c r="EL73">
        <f>SUMPRODUCT(--('Данные 1st'!$S$2:$S$317=$A73),--ISNUMBER('Данные 1st'!$JG$2:$JG$317))</f>
        <v>3</v>
      </c>
      <c r="EM73">
        <f>SUMPRODUCT(--('Данные 1st'!$S$2:$S$317=$A73),--ISNUMBER('Данные 1st'!$JH$2:$JH$317))</f>
        <v>3</v>
      </c>
      <c r="EN73">
        <f>SUMPRODUCT(--('Данные 1st'!$S$2:$S$317=$A73),--ISNUMBER('Данные 1st'!$JJ$2:$JJ$317))</f>
        <v>3</v>
      </c>
      <c r="EO73">
        <f>SUMPRODUCT(--('Данные 1st'!$S$2:$S$317=$A73),--ISNUMBER('Данные 1st'!$JK$2:$JK$317))</f>
        <v>3</v>
      </c>
      <c r="EP73">
        <f>SUMPRODUCT(--('Данные 1st'!$S$2:$S$317=$A73),--ISNUMBER('Данные 1st'!$JL$2:$JL$317))</f>
        <v>0</v>
      </c>
      <c r="EQ73">
        <f>SUMPRODUCT(--('Данные 1st'!$S$2:$S$317=$A73),--ISNUMBER('Данные 1st'!$JM$2:$JM$317))</f>
        <v>0</v>
      </c>
      <c r="ER73">
        <f>SUMPRODUCT(--('Данные 1st'!$S$2:$S$317=$A73),--ISNUMBER('Данные 1st'!$JN$2:$JN$317))</f>
        <v>3</v>
      </c>
      <c r="ES73">
        <f>SUMPRODUCT(--('Данные 1st'!$S$2:$S$317=$A73),--ISNUMBER('Данные 1st'!$JO$2:$JO$317))</f>
        <v>3</v>
      </c>
      <c r="ET73">
        <f>SUMPRODUCT(--('Данные 1st'!$S$2:$S$317=$A73),--ISNUMBER('Данные 1st'!$JP$2:$JP$317))</f>
        <v>3</v>
      </c>
      <c r="EU73">
        <f>SUMPRODUCT(--('Данные 1st'!$S$2:$S$317=$A73),--ISNUMBER('Данные 1st'!$JQ$2:$JQ$317))</f>
        <v>3</v>
      </c>
      <c r="EV73">
        <f>SUMPRODUCT(--('Данные 1st'!$S$2:$S$317=$A73),--ISNUMBER('Данные 1st'!$JR$2:$JR$317))</f>
        <v>3</v>
      </c>
      <c r="EW73">
        <f>SUMPRODUCT(--('Данные 1st'!$S$2:$S$317=$A73),--ISNUMBER('Данные 1st'!$JS$2:$JS$317))</f>
        <v>3</v>
      </c>
      <c r="EX73">
        <f>SUMPRODUCT(--('Данные 1st'!$S$2:$S$317=$A73),--ISNUMBER('Данные 1st'!$JT$2:$JT$317))</f>
        <v>0</v>
      </c>
      <c r="EY73">
        <f>SUMPRODUCT(--('Данные 1st'!$S$2:$S$317=$A73),--ISNUMBER('Данные 1st'!$JU$2:$JU$317))</f>
        <v>0</v>
      </c>
      <c r="EZ73">
        <f>SUMPRODUCT(--('Данные 1st'!$S$2:$S$317=$A73),--ISNUMBER('Данные 1st'!$JV$2:$JV$317))</f>
        <v>3</v>
      </c>
      <c r="FA73">
        <f>SUMPRODUCT(--('Данные 1st'!$S$2:$S$317=$A73),--ISNUMBER('Данные 1st'!$JW$2:$JW$317))</f>
        <v>0</v>
      </c>
      <c r="FB73">
        <f>SUMPRODUCT(--('Данные 1st'!$S$2:$S$317=$A73),--ISNUMBER('Данные 1st'!$JX$2:$JX$317))</f>
        <v>3</v>
      </c>
      <c r="FC73">
        <f>SUMPRODUCT(--('Данные 1st'!$S$2:$S$317=$A73),--ISNUMBER('Данные 1st'!$JY$2:$JY$317))</f>
        <v>0</v>
      </c>
      <c r="FD73">
        <f>SUMPRODUCT(--('Данные 1st'!$S$2:$S$317=$A73),--ISNUMBER('Данные 1st'!$JZ$2:$JZ$317))</f>
        <v>0</v>
      </c>
      <c r="FE73">
        <f>SUMPRODUCT(--('Данные 1st'!$S$2:$S$317=$A73),--ISNUMBER('Данные 1st'!$KA$2:$KA$317))</f>
        <v>3</v>
      </c>
      <c r="FF73">
        <f>SUMPRODUCT(--('Данные 1st'!$S$2:$S$317=$A73),--ISNUMBER('Данные 1st'!$KB$2:$KB$317))</f>
        <v>3</v>
      </c>
      <c r="FG73">
        <f>SUMPRODUCT(--('Данные 1st'!$S$2:$S$317=$A73),--ISNUMBER('Данные 1st'!$KC$2:$KC$317))</f>
        <v>3</v>
      </c>
      <c r="FH73">
        <f>SUMPRODUCT(--('Данные 1st'!$S$2:$S$317=$A73),--ISNUMBER('Данные 1st'!$KD$2:$KD$317))</f>
        <v>3</v>
      </c>
      <c r="FI73">
        <f>SUMPRODUCT(--('Данные 1st'!$S$2:$S$317=$A73),--ISNUMBER('Данные 1st'!$KE$2:$KE$317))</f>
        <v>0</v>
      </c>
      <c r="FJ73">
        <f>SUMPRODUCT(--('Данные 1st'!$S$2:$S$317=$A73),--ISNUMBER('Данные 1st'!$KF$2:$KF$317))</f>
        <v>3</v>
      </c>
      <c r="FK73">
        <f>SUMPRODUCT(--('Данные 1st'!$S$2:$S$317=$A73),--ISNUMBER('Данные 1st'!$KG$2:$KG$317))</f>
        <v>3</v>
      </c>
      <c r="FL73">
        <f>SUMPRODUCT(--('Данные 1st'!$S$2:$S$317=$A73),--ISNUMBER('Данные 1st'!$KH$2:$KH$317))</f>
        <v>3</v>
      </c>
      <c r="FM73">
        <f>SUMPRODUCT(--('Данные 1st'!$S$2:$S$317=$A73),--ISNUMBER('Данные 1st'!$KI$2:$KI$317))</f>
        <v>3</v>
      </c>
      <c r="FN73">
        <f>SUMPRODUCT(--('Данные 1st'!$S$2:$S$317=$A73),--ISNUMBER('Данные 1st'!$KJ$2:$KJ$317))</f>
        <v>3</v>
      </c>
      <c r="FO73">
        <f>SUMPRODUCT(--('Данные 1st'!$S$2:$S$317=$A73),--ISNUMBER('Данные 1st'!$KK$2:$KK$317))</f>
        <v>3</v>
      </c>
      <c r="FP73">
        <f>SUMPRODUCT(--('Данные 1st'!$S$2:$S$317=$A73),--ISNUMBER('Данные 1st'!$KL$2:$KL$317))</f>
        <v>3</v>
      </c>
      <c r="FQ73">
        <f>SUMPRODUCT(--('Данные 1st'!$S$2:$S$317=$A73),--ISNUMBER('Данные 1st'!$KM$2:$KM$317))</f>
        <v>3</v>
      </c>
      <c r="FR73">
        <f>SUMPRODUCT(--('Данные 1st'!$S$2:$S$317=$A73),--ISNUMBER('Данные 1st'!$KN$2:$KN$317))</f>
        <v>3</v>
      </c>
      <c r="FS73">
        <f>SUMPRODUCT(--('Данные 1st'!$S$2:$S$317=$A73),--ISNUMBER('Данные 1st'!$KR$2:$KR$317))</f>
        <v>3</v>
      </c>
      <c r="FT73">
        <f>SUMPRODUCT(--('Данные 1st'!$S$2:$S$317=$A73),--ISNUMBER('Данные 1st'!$KS$2:$KS$317))</f>
        <v>3</v>
      </c>
      <c r="FU73">
        <f>SUMPRODUCT(--('Данные 1st'!$S$2:$S$317=$A73),--ISNUMBER('Данные 1st'!$KT$2:$KT$317))</f>
        <v>3</v>
      </c>
      <c r="FV73">
        <f>SUMPRODUCT(--('Данные 1st'!$S$2:$S$317=$A73),--ISNUMBER('Данные 1st'!$KV$2:$KV$317))</f>
        <v>0</v>
      </c>
      <c r="FW73">
        <f>SUMPRODUCT(--('Данные 1st'!$S$2:$S$317=$A73),--ISNUMBER('Данные 1st'!$KW$2:$KW$317))</f>
        <v>0</v>
      </c>
      <c r="FX73">
        <f>SUMPRODUCT(--('Данные 1st'!$S$2:$S$317=$A73),--ISNUMBER('Данные 1st'!$KX$2:$KX$317))</f>
        <v>0</v>
      </c>
      <c r="FY73">
        <f>SUMPRODUCT(--('Данные 1st'!$S$2:$S$317=$A73),--ISNUMBER('Данные 1st'!$KY$2:$KY$317))</f>
        <v>0</v>
      </c>
      <c r="FZ73">
        <f>SUMPRODUCT(--('Данные 1st'!$S$2:$S$317=$A73),--ISNUMBER('Данные 1st'!$KZ$2:$KZ$317))</f>
        <v>0</v>
      </c>
      <c r="GA73">
        <f>SUMPRODUCT(--('Данные 1st'!$S$2:$S$317=$A73),--ISNUMBER('Данные 1st'!$LA$2:$LA$317))</f>
        <v>0</v>
      </c>
      <c r="GB73">
        <f>SUMPRODUCT(--('Данные 1st'!$S$2:$S$317=$A73),--ISNUMBER('Данные 1st'!$LB$2:$LB$317))</f>
        <v>0</v>
      </c>
      <c r="GC73">
        <f>SUMPRODUCT(--('Данные 1st'!$S$2:$S$317=$A73),--ISNUMBER('Данные 1st'!$LC$2:$LC$317))</f>
        <v>0</v>
      </c>
      <c r="GD73">
        <f>SUMPRODUCT(--('Данные 1st'!$S$2:$S$317=$A73),--ISNUMBER('Данные 1st'!$LD$2:$LD$317))</f>
        <v>0</v>
      </c>
      <c r="GE73">
        <f>SUMPRODUCT(--('Данные 1st'!$S$2:$S$317=$A73),--ISNUMBER('Данные 1st'!$LE$2:$LE$317))</f>
        <v>0</v>
      </c>
      <c r="GF73">
        <f>SUMPRODUCT(--('Данные 1st'!$S$2:$S$317=$A73),--ISNUMBER('Данные 1st'!$LF$2:$LF$317))</f>
        <v>0</v>
      </c>
      <c r="GG73">
        <f>SUMPRODUCT(--('Данные 1st'!$S$2:$S$317=$A73),--ISNUMBER('Данные 1st'!$LG$2:$LG$317))</f>
        <v>0</v>
      </c>
      <c r="GH73">
        <f>SUMPRODUCT(--('Данные 1st'!$S$2:$S$317=$A73),--ISNUMBER('Данные 1st'!$LH$2:$LH$317))</f>
        <v>0</v>
      </c>
      <c r="GI73">
        <f>SUMPRODUCT(--('Данные 1st'!$S$2:$S$317=$A73),--ISNUMBER('Данные 1st'!$LI$2:$LI$317))</f>
        <v>0</v>
      </c>
      <c r="GJ73">
        <f>SUMPRODUCT(--('Данные 1st'!$S$2:$S$317=$A73),--ISNUMBER('Данные 1st'!$LJ$2:$LJ$317))</f>
        <v>0</v>
      </c>
      <c r="GK73">
        <f>SUMPRODUCT(--('Данные 1st'!$S$2:$S$317=$A73),--ISNUMBER('Данные 1st'!$LK$2:$LK$317))</f>
        <v>3</v>
      </c>
      <c r="GL73">
        <f>SUMPRODUCT(--('Данные 1st'!$S$2:$S$317=$A73),--ISNUMBER('Данные 1st'!$LV$2:$LV$317))</f>
        <v>0</v>
      </c>
      <c r="GM73">
        <f>SUMPRODUCT(--('Данные 1st'!$S$2:$S$317=$A73),--ISNUMBER('Данные 1st'!$LW$2:$LW$317))</f>
        <v>0</v>
      </c>
      <c r="GN73">
        <f>SUMPRODUCT(--('Данные 1st'!$S$2:$S$317=$A73),--ISNUMBER('Данные 1st'!$LX$2:$LX$317))</f>
        <v>0</v>
      </c>
      <c r="GO73">
        <f>SUMPRODUCT(--('Данные 1st'!$S$2:$S$317=$A73),--ISNUMBER('Данные 1st'!$LY$2:$LY$317))</f>
        <v>0</v>
      </c>
      <c r="GP73">
        <f>SUMPRODUCT(--('Данные 1st'!$S$2:$S$317=$A73),--ISNUMBER('Данные 1st'!$LZ$2:$LZ$317))</f>
        <v>0</v>
      </c>
      <c r="GQ73">
        <f>SUMPRODUCT(--('Данные 1st'!$S$2:$S$317=$A73),--ISNUMBER('Данные 1st'!$PG$2:$PG$317))</f>
        <v>3</v>
      </c>
      <c r="GR73">
        <f>SUMPRODUCT(--('Данные 1st'!$S$2:$S$317=$A73),--ISNUMBER('Данные 1st'!$PX$2:$PX$317))</f>
        <v>3</v>
      </c>
      <c r="GS73">
        <f>SUMPRODUCT(--('Данные 1st'!$S$2:$S$317=$A73),--ISNUMBER('Данные 1st'!$PY$2:$PY$317))</f>
        <v>3</v>
      </c>
      <c r="GT73">
        <f>SUMPRODUCT(--('Данные 1st'!$S$2:$S$317=$A73),--ISNUMBER('Данные 1st'!$QA$2:$QA$317))</f>
        <v>3</v>
      </c>
      <c r="GU73">
        <f>SUMPRODUCT(--('Данные 1st'!$S$2:$S$317=$A73),--ISNUMBER('Данные 1st'!$QB$2:$QB$317))</f>
        <v>3</v>
      </c>
      <c r="GV73">
        <f>SUMPRODUCT(--('Данные 1st'!$S$2:$S$317=$A73),--ISNUMBER('Данные 1st'!$QC$2:$QC$317))</f>
        <v>3</v>
      </c>
      <c r="GW73">
        <f>SUMPRODUCT(--('Данные 1st'!$S$2:$S$317=$A73),--ISNUMBER('Данные 1st'!$QD$2:$QD$317))</f>
        <v>3</v>
      </c>
      <c r="GX73">
        <f>SUMPRODUCT(--('Данные 1st'!$S$2:$S$317=$A73),--ISNUMBER('Данные 1st'!$QF$2:$QF$317))</f>
        <v>3</v>
      </c>
      <c r="GY73">
        <f>SUMPRODUCT(--('Данные 1st'!$S$2:$S$317=$A73),--ISNUMBER('Данные 1st'!$QG$2:$QG$317))</f>
        <v>3</v>
      </c>
      <c r="GZ73">
        <f>SUMPRODUCT(--('Данные 1st'!$S$2:$S$317=$A73),--ISNUMBER('Данные 1st'!$QH$2:$QH$317))</f>
        <v>3</v>
      </c>
      <c r="HA73">
        <f>SUMPRODUCT(--('Данные 1st'!$S$2:$S$317=$A73),--ISNUMBER('Данные 1st'!$QI$2:$QI$317))</f>
        <v>3</v>
      </c>
      <c r="HB73">
        <f>SUMPRODUCT(--('Данные 1st'!$S$2:$S$317=$A73),--ISNUMBER('Данные 1st'!$QK$2:$QK$317))</f>
        <v>3</v>
      </c>
      <c r="HC73">
        <f>SUMPRODUCT(--('Данные 1st'!$S$2:$S$317=$A73),--ISNUMBER('Данные 1st'!$QL$2:$QL$317))</f>
        <v>3</v>
      </c>
      <c r="HD73">
        <f>SUMPRODUCT(--('Данные 1st'!$S$2:$S$317=$A73),--ISNUMBER('Данные 1st'!$QM$2:$QM$317))</f>
        <v>3</v>
      </c>
      <c r="HE73">
        <f>SUMPRODUCT(--('Данные 1st'!$S$2:$S$317=$A73),--ISNUMBER('Данные 1st'!$QN$2:$QN$317))</f>
        <v>3</v>
      </c>
      <c r="HF73">
        <f>SUMPRODUCT(--('Данные 1st'!$S$2:$S$317=$A73),--ISNUMBER('Данные 1st'!$QP$2:$QP$317))</f>
        <v>3</v>
      </c>
      <c r="HG73">
        <f>SUMPRODUCT(--('Данные 1st'!$S$2:$S$317=$A73),--ISNUMBER('Данные 1st'!$QQ$2:$QQ$317))</f>
        <v>3</v>
      </c>
      <c r="HH73">
        <f>SUMPRODUCT(--('Данные 1st'!$S$2:$S$317=$A73),--ISNUMBER('Данные 1st'!$QR$2:$QR$317))</f>
        <v>3</v>
      </c>
      <c r="HI73">
        <f>SUMPRODUCT(--('Данные 1st'!$S$2:$S$317=$A73),--ISNUMBER('Данные 1st'!$QS$2:$QS$317))</f>
        <v>3</v>
      </c>
      <c r="HJ73">
        <f>SUMPRODUCT(--('Данные 1st'!$S$2:$S$317=$A73),--ISNUMBER('Данные 1st'!$QU$2:$QU$317))</f>
        <v>3</v>
      </c>
      <c r="HK73">
        <f>SUMPRODUCT(--('Данные 1st'!$S$2:$S$317=$A73),--ISNUMBER('Данные 1st'!$QV$2:$QV$317))</f>
        <v>3</v>
      </c>
      <c r="HL73">
        <f>SUMPRODUCT(--('Данные 1st'!$S$2:$S$317=$A73),--ISNUMBER('Данные 1st'!$QW$2:$QW$317))</f>
        <v>3</v>
      </c>
      <c r="HM73">
        <f>SUMPRODUCT(--('Данные 1st'!$S$2:$S$317=$A73),--ISNUMBER('Данные 1st'!$QX$2:$QX$317))</f>
        <v>0</v>
      </c>
      <c r="HN73">
        <f>SUMPRODUCT(--('Данные 1st'!$S$2:$S$317=$A73),--ISNUMBER('Данные 1st'!$QZ$2:$QZ$317))</f>
        <v>3</v>
      </c>
      <c r="HO73">
        <f>SUMPRODUCT(--('Данные 1st'!$S$2:$S$317=$A73),--ISNUMBER('Данные 1st'!$RA$2:$RA$317))</f>
        <v>3</v>
      </c>
      <c r="HP73">
        <f>SUMPRODUCT(--('Данные 1st'!$S$2:$S$317=$A73),--ISNUMBER('Данные 1st'!$RB$2:$RB$317))</f>
        <v>3</v>
      </c>
      <c r="HQ73">
        <f>SUMPRODUCT(--('Данные 1st'!$S$2:$S$317=$A73),--ISNUMBER('Данные 1st'!$RD$2:$RD$317))</f>
        <v>0</v>
      </c>
      <c r="HR73">
        <f>SUMPRODUCT(--('Данные 1st'!$S$2:$S$317=$A73),--ISNUMBER('Данные 1st'!$RE$2:$RE$317))</f>
        <v>3</v>
      </c>
      <c r="HS73">
        <f>SUMPRODUCT(--('Данные 1st'!$S$2:$S$317=$A73),--ISNUMBER('Данные 1st'!$RF$2:$RF$317))</f>
        <v>3</v>
      </c>
      <c r="HT73">
        <f>SUMPRODUCT(--('Данные 1st'!$S$2:$S$317=$A73),--ISNUMBER('Данные 1st'!$RG$2:$RG$317))</f>
        <v>0</v>
      </c>
      <c r="HU73">
        <f>SUMPRODUCT(--('Данные 1st'!$S$2:$S$317=$A73),--ISNUMBER('Данные 1st'!$RH$2:$RH$317))</f>
        <v>3</v>
      </c>
      <c r="HV73">
        <f>SUMPRODUCT(--('Данные 1st'!$S$2:$S$317=$A73),--ISNUMBER('Данные 1st'!$RI$2:$RI$317))</f>
        <v>0</v>
      </c>
      <c r="HW73">
        <f>SUMPRODUCT(--('Данные 1st'!$S$2:$S$317=$A73),--ISNUMBER('Данные 1st'!$RJ$2:$RJ$317))</f>
        <v>3</v>
      </c>
      <c r="HX73">
        <f>SUMPRODUCT(--('Данные 1st'!$S$2:$S$317=$A73),--ISNUMBER('Данные 1st'!$RK$2:$RK$317))</f>
        <v>3</v>
      </c>
      <c r="HY73">
        <f>SUMPRODUCT(--('Данные 1st'!$S$2:$S$317=$A73),--ISNUMBER('Данные 1st'!$RL$2:$RL$317))</f>
        <v>3</v>
      </c>
      <c r="HZ73">
        <f>SUMPRODUCT(--('Данные 1st'!$S$2:$S$317=$A73),--ISNUMBER('Данные 1st'!$RM$2:$RM$317))</f>
        <v>3</v>
      </c>
      <c r="IA73">
        <f>SUMPRODUCT(--('Данные 1st'!$S$2:$S$317=$A73),--ISNUMBER('Данные 1st'!$RN$2:$RN$317))</f>
        <v>0</v>
      </c>
      <c r="IB73">
        <f>SUMPRODUCT(--('Данные 1st'!$S$2:$S$317=$A73),--ISNUMBER('Данные 1st'!$RO$2:$RO$317))</f>
        <v>3</v>
      </c>
      <c r="IC73">
        <f>SUMPRODUCT(--('Данные 1st'!$S$2:$S$317=$A73),--ISNUMBER('Данные 1st'!$RP$2:$RP$317))</f>
        <v>3</v>
      </c>
      <c r="ID73">
        <f>SUMPRODUCT(--('Данные 1st'!$S$2:$S$317=$A73),--ISNUMBER('Данные 1st'!$RQ$2:$RQ$317))</f>
        <v>3</v>
      </c>
      <c r="IE73">
        <f>SUMPRODUCT(--('Данные 1st'!$S$2:$S$317=$A73),--ISNUMBER('Данные 1st'!$RR$2:$RR$317))</f>
        <v>3</v>
      </c>
      <c r="IF73">
        <f>SUMPRODUCT(--('Данные 1st'!$S$2:$S$317=$A73),--ISNUMBER('Данные 1st'!$RS$2:$RS$317))</f>
        <v>0</v>
      </c>
      <c r="IG73">
        <f>SUMPRODUCT(--('Данные 1st'!$S$2:$S$317=$A73),--ISNUMBER('Данные 1st'!$RT$2:$RT$317))</f>
        <v>3</v>
      </c>
      <c r="IH73">
        <f>SUMPRODUCT(--('Данные 1st'!$S$2:$S$317=$A73),--ISNUMBER('Данные 1st'!$RU$2:$RU$317))</f>
        <v>3</v>
      </c>
      <c r="II73">
        <f>SUMPRODUCT(--('Данные 1st'!$S$2:$S$317=$A73),--ISNUMBER('Данные 1st'!$RX$2:$RX$317))</f>
        <v>3</v>
      </c>
      <c r="IJ73">
        <f>SUMPRODUCT(--('Данные 1st'!$S$2:$S$317=$A73),--ISNUMBER('Данные 1st'!$RY$2:$RY$317))</f>
        <v>3</v>
      </c>
      <c r="IK73">
        <f>SUMPRODUCT(--('Данные 1st'!$S$2:$S$317=$A73),--ISNUMBER('Данные 1st'!$SA$2:$SA$317))</f>
        <v>3</v>
      </c>
      <c r="IL73">
        <f>SUMPRODUCT(--('Данные 1st'!$S$2:$S$317=$A73),--ISNUMBER('Данные 1st'!$SD$2:$SD$317))</f>
        <v>3</v>
      </c>
      <c r="IM73">
        <f>SUMPRODUCT(--('Данные 1st'!$S$2:$S$317=$A73),--ISNUMBER('Данные 1st'!$SG$2:$SG$317))</f>
        <v>3</v>
      </c>
      <c r="IN73">
        <f>SUMPRODUCT(--('Данные 1st'!$S$2:$S$317=$A73),--ISNUMBER('Данные 1st'!$SH$2:$SH$317))</f>
        <v>3</v>
      </c>
      <c r="IO73">
        <f>SUMPRODUCT(--('Данные 1st'!$S$2:$S$317=$A73),--ISNUMBER('Данные 1st'!$SI$2:$SI$317))</f>
        <v>3</v>
      </c>
      <c r="IP73">
        <f>SUMPRODUCT(--('Данные 1st'!$S$2:$S$317=$A73),--ISNUMBER('Данные 1st'!$SJ$2:$SJ$317))</f>
        <v>3</v>
      </c>
      <c r="IQ73">
        <f>SUMPRODUCT(--('Данные 1st'!$S$2:$S$317=$A73),--ISNUMBER('Данные 1st'!$SK$2:$SK$317))</f>
        <v>3</v>
      </c>
      <c r="IR73">
        <f>SUMPRODUCT(--('Данные 1st'!$S$2:$S$317=$A73),--ISNUMBER('Данные 1st'!$SL$2:$SL$317))</f>
        <v>3</v>
      </c>
      <c r="IS73">
        <f>SUMPRODUCT(--('Данные 1st'!$S$2:$S$317=$A73),--ISNUMBER('Данные 1st'!$SM$2:$SM$317))</f>
        <v>3</v>
      </c>
      <c r="IT73">
        <f>SUMPRODUCT(--('Данные 1st'!$S$2:$S$317=$A73),--ISNUMBER('Данные 1st'!$SN$2:$SN$317))</f>
        <v>3</v>
      </c>
      <c r="IU73">
        <f>SUMPRODUCT(--('Данные 1st'!$S$2:$S$317=$A73),--ISNUMBER('Данные 1st'!$SO$2:$SO$317))</f>
        <v>3</v>
      </c>
      <c r="IV73">
        <f>SUMPRODUCT(--('Данные 1st'!$S$2:$S$317=$A73),--ISNUMBER('Данные 1st'!$SP$2:$SP$317))</f>
        <v>3</v>
      </c>
      <c r="IW73">
        <f>SUMPRODUCT(--('Данные 1st'!$S$2:$S$317=$A73),--ISNUMBER('Данные 1st'!$SQ$2:$SQ$317))</f>
        <v>3</v>
      </c>
      <c r="IX73">
        <f>SUMPRODUCT(--('Данные 1st'!$S$2:$S$317=$A73),--ISNUMBER('Данные 1st'!$SR$2:$SR$317))</f>
        <v>3</v>
      </c>
      <c r="IY73">
        <f>SUMPRODUCT(--('Данные 1st'!$S$2:$S$317=$A73),--ISNUMBER('Данные 1st'!$SS$2:$SS$317))</f>
        <v>3</v>
      </c>
      <c r="IZ73">
        <f>SUMPRODUCT(--('Данные 1st'!$S$2:$S$317=$A73),--ISNUMBER('Данные 1st'!$ST$2:$ST$317))</f>
        <v>3</v>
      </c>
      <c r="JA73">
        <f>SUMPRODUCT(--('Данные 1st'!$S$2:$S$317=$A73),--ISNUMBER('Данные 1st'!$SU$2:$SU$317))</f>
        <v>3</v>
      </c>
      <c r="JB73">
        <f>SUMPRODUCT(--('Данные 1st'!$S$2:$S$317=$A73),--ISNUMBER('Данные 1st'!$SV$2:$SV$317))</f>
        <v>3</v>
      </c>
      <c r="JC73">
        <f>SUMPRODUCT(--('Данные 1st'!$S$2:$S$317=$A73),--ISNUMBER('Данные 1st'!$SW$2:$SW$317))</f>
        <v>3</v>
      </c>
      <c r="JD73">
        <f>SUMPRODUCT(--('Данные 1st'!$S$2:$S$317=$A73),--ISNUMBER('Данные 1st'!$SX$2:$SX$317))</f>
        <v>3</v>
      </c>
      <c r="JE73">
        <f>SUMPRODUCT(--('Данные 1st'!$S$2:$S$317=$A73),--ISNUMBER('Данные 1st'!$SY$2:$SY$317))</f>
        <v>3</v>
      </c>
      <c r="JF73">
        <f>SUMPRODUCT(--('Данные 1st'!$S$2:$S$317=$A73),--ISNUMBER('Данные 1st'!$SZ$2:$SZ$317))</f>
        <v>3</v>
      </c>
      <c r="JG73">
        <f>SUMPRODUCT(--('Данные 1st'!$S$2:$S$317=$A73),--ISNUMBER('Данные 1st'!$TA$2:$TA$317))</f>
        <v>0</v>
      </c>
      <c r="JH73">
        <f>SUMPRODUCT(--('Данные 1st'!$S$2:$S$317=$A73),--ISNUMBER('Данные 1st'!$TB$2:$TB$317))</f>
        <v>3</v>
      </c>
      <c r="JI73">
        <f>SUMPRODUCT(--('Данные 1st'!$S$2:$S$317=$A73),--ISNUMBER('Данные 1st'!$TC$2:$TC$317))</f>
        <v>3</v>
      </c>
      <c r="JJ73">
        <f>SUMPRODUCT(--('Данные 1st'!$S$2:$S$317=$A73),--ISNUMBER('Данные 1st'!$TD$2:$TD$317))</f>
        <v>3</v>
      </c>
      <c r="JK73">
        <f>SUMPRODUCT(--('Данные 1st'!$S$2:$S$317=$A73),--ISNUMBER('Данные 1st'!$TN$2:$TN$317))</f>
        <v>3</v>
      </c>
      <c r="JQ73">
        <f>SUMPRODUCT(--('Данные 2st'!$Q$2:$Q$317=$A73),--ISNUMBER('Данные 2st'!$AC$2:$AC$317))</f>
        <v>3</v>
      </c>
      <c r="JR73">
        <f>SUMPRODUCT(--('Данные 2st'!$Q$2:$Q$317=$A73),--ISNUMBER('Данные 2st'!$AF$2:$AF$317))</f>
        <v>3</v>
      </c>
      <c r="JS73">
        <f>SUMPRODUCT(--('Данные 2st'!$Q$2:$Q$317=$A73),--ISNUMBER('Данные 2st'!$AW$2:$AW$317))</f>
        <v>3</v>
      </c>
      <c r="JT73">
        <f>SUMPRODUCT(--('Данные 2st'!$Q$2:$Q$317=$A73),--ISNUMBER('Данные 2st'!$AX$2:$AX$317))</f>
        <v>3</v>
      </c>
      <c r="JU73">
        <f>SUMPRODUCT(--('Данные 2st'!$Q$2:$Q$317=$A73),--ISNUMBER('Данные 2st'!$AY$2:$AY$317))</f>
        <v>3</v>
      </c>
      <c r="JV73">
        <f>SUMPRODUCT(--('Данные 2st'!$Q$2:$Q$317=$A73),--ISNUMBER('Данные 2st'!$AZ$2:$AZ$317))</f>
        <v>3</v>
      </c>
      <c r="JW73">
        <f>SUMPRODUCT(--('Данные 2st'!$Q$2:$Q$317=$A73),--ISNUMBER('Данные 2st'!$BA$2:$BA$317))</f>
        <v>0</v>
      </c>
      <c r="JX73">
        <f>SUMPRODUCT(--('Данные 2st'!$Q$2:$Q$317=$A73),--ISNUMBER('Данные 2st'!$BB$2:$BB$317))</f>
        <v>0</v>
      </c>
      <c r="JY73">
        <f>SUMPRODUCT(--('Данные 2st'!$Q$2:$Q$317=$A73),--ISNUMBER('Данные 2st'!$BC$2:$BC$317))</f>
        <v>0</v>
      </c>
      <c r="JZ73">
        <f>SUMPRODUCT(--('Данные 2st'!$Q$2:$Q$317=$A73),--ISNUMBER('Данные 2st'!$BH$2:$BH$317))</f>
        <v>3</v>
      </c>
      <c r="KA73">
        <f>SUMPRODUCT(--('Данные 2st'!$Q$2:$Q$317=$A73),--ISNUMBER('Данные 2st'!$BI$2:$BI$317))</f>
        <v>3</v>
      </c>
      <c r="KB73">
        <f>SUMPRODUCT(--('Данные 2st'!$Q$2:$Q$317=$A73),--ISNUMBER('Данные 2st'!$BJ$2:$BJ$317))</f>
        <v>3</v>
      </c>
      <c r="KC73">
        <f>SUMPRODUCT(--('Данные 2st'!$Q$2:$Q$317=$A73),--ISNUMBER('Данные 2st'!$BK$2:$BK$317))</f>
        <v>3</v>
      </c>
      <c r="KD73">
        <f>SUMPRODUCT(--('Данные 2st'!$Q$2:$Q$317=$A73),--ISNUMBER('Данные 2st'!$BL$2:$BL$317))</f>
        <v>3</v>
      </c>
      <c r="KE73">
        <f>SUMPRODUCT(--('Данные 2st'!$Q$2:$Q$317=$A73),--ISNUMBER('Данные 2st'!$BM$2:$BM$317))</f>
        <v>3</v>
      </c>
      <c r="KF73">
        <f>SUMPRODUCT(--('Данные 2st'!$Q$2:$Q$317=$A73),--ISNUMBER('Данные 2st'!$BN$2:$BN$317))</f>
        <v>3</v>
      </c>
      <c r="KG73">
        <f>SUMPRODUCT(--('Данные 2st'!$Q$2:$Q$317=$A73),--ISNUMBER('Данные 2st'!$BO$2:$BO$317))</f>
        <v>2</v>
      </c>
      <c r="KH73">
        <f>SUMPRODUCT(--('Данные 2st'!$Q$2:$Q$317=$A73),--ISNUMBER('Данные 2st'!$BP$2:$BP$317))</f>
        <v>3</v>
      </c>
      <c r="KI73">
        <f>SUMPRODUCT(--('Данные 2st'!$Q$2:$Q$317=$A73),--ISNUMBER('Данные 2st'!$BR$2:$BR$317))</f>
        <v>3</v>
      </c>
      <c r="KJ73">
        <f>SUMPRODUCT(--('Данные 2st'!$Q$2:$Q$317=$A73),--ISNUMBER('Данные 2st'!$BS$2:$BS$317))</f>
        <v>3</v>
      </c>
      <c r="KK73">
        <f>SUMPRODUCT(--('Данные 2st'!$Q$2:$Q$317=$A73),--ISNUMBER('Данные 2st'!$BT$2:$BT$317))</f>
        <v>3</v>
      </c>
      <c r="KL73">
        <f>SUMPRODUCT(--('Данные 2st'!$Q$2:$Q$317=$A73),--ISNUMBER('Данные 2st'!$CV$2:$CV$317))</f>
        <v>3</v>
      </c>
      <c r="KM73">
        <f>SUMPRODUCT(--('Данные 2st'!$Q$2:$Q$317=$A73),--ISNUMBER('Данные 2st'!$CW$2:$CW$317))</f>
        <v>3</v>
      </c>
      <c r="KN73">
        <f>SUMPRODUCT(--('Данные 2st'!$Q$2:$Q$317=$A73),--ISNUMBER('Данные 2st'!$CX$2:$CX$317))</f>
        <v>3</v>
      </c>
      <c r="KO73">
        <f>SUMPRODUCT(--('Данные 2st'!$Q$2:$Q$317=$A73),--ISNUMBER('Данные 2st'!$CY$2:$CY$317))</f>
        <v>3</v>
      </c>
      <c r="KP73">
        <f>SUMPRODUCT(--('Данные 2st'!$Q$2:$Q$317=$A73),--ISNUMBER('Данные 2st'!$CZ$2:$CZ$317))</f>
        <v>3</v>
      </c>
      <c r="KQ73">
        <f>SUMPRODUCT(--('Данные 2st'!$Q$2:$Q$317=$A73),--ISNUMBER('Данные 2st'!$DA$2:$DA$317))</f>
        <v>3</v>
      </c>
      <c r="KR73">
        <f>SUMPRODUCT(--('Данные 2st'!$Q$2:$Q$317=$A73),--ISNUMBER('Данные 2st'!$DB$2:$DB$317))</f>
        <v>3</v>
      </c>
      <c r="KS73">
        <f>SUMPRODUCT(--('Данные 2st'!$Q$2:$Q$317=$A73),--ISNUMBER('Данные 2st'!$DC$2:$DC$317))</f>
        <v>3</v>
      </c>
      <c r="KT73">
        <f>SUMPRODUCT(--('Данные 2st'!$Q$2:$Q$317=$A73),--ISNUMBER('Данные 2st'!$DD$2:$DD$317))</f>
        <v>3</v>
      </c>
      <c r="KU73">
        <f>SUMPRODUCT(--('Данные 2st'!$Q$2:$Q$317=$A73),--ISNUMBER('Данные 2st'!$DE$2:$DE$317))</f>
        <v>3</v>
      </c>
      <c r="KV73">
        <f>SUMPRODUCT(--('Данные 2st'!$Q$2:$Q$317=$A73),--ISNUMBER('Данные 2st'!$DF$2:$DF$317))</f>
        <v>3</v>
      </c>
      <c r="KW73">
        <f>SUMPRODUCT(--('Данные 2st'!$Q$2:$Q$317=$A73),--ISNUMBER('Данные 2st'!$DG$2:$DG$317))</f>
        <v>3</v>
      </c>
      <c r="KX73">
        <f>SUMPRODUCT(--('Данные 2st'!$Q$2:$Q$317=$A73),--ISNUMBER('Данные 2st'!$DH$2:$DH$317))</f>
        <v>3</v>
      </c>
      <c r="KY73">
        <f>SUMPRODUCT(--('Данные 2st'!$Q$2:$Q$317=$A73),--ISNUMBER('Данные 2st'!$DI$2:$DI$317))</f>
        <v>0</v>
      </c>
      <c r="KZ73">
        <f>SUMPRODUCT(--('Данные 2st'!$Q$2:$Q$317=$A73),--ISNUMBER('Данные 2st'!$DK$2:$DK$317))</f>
        <v>3</v>
      </c>
      <c r="LA73">
        <f>SUMPRODUCT(--('Данные 2st'!$Q$2:$Q$317=$A73),--ISNUMBER('Данные 2st'!$DM$2:$DM$317))</f>
        <v>3</v>
      </c>
      <c r="LB73">
        <f>SUMPRODUCT(--('Данные 2st'!$Q$2:$Q$317=$A73),--ISNUMBER('Данные 2st'!$DN$2:$DN$317))</f>
        <v>3</v>
      </c>
      <c r="LC73">
        <f>SUMPRODUCT(--('Данные 2st'!$Q$2:$Q$317=$A73),--ISNUMBER('Данные 2st'!$DO$2:$DO$317))</f>
        <v>3</v>
      </c>
      <c r="LD73">
        <f>SUMPRODUCT(--('Данные 2st'!$Q$2:$Q$317=$A73),--ISNUMBER('Данные 2st'!$DP$2:$DP$317))</f>
        <v>3</v>
      </c>
      <c r="LE73">
        <f>SUMPRODUCT(--('Данные 2st'!$Q$2:$Q$317=$A73),--ISNUMBER('Данные 2st'!$DQ$2:$DQ$317))</f>
        <v>3</v>
      </c>
      <c r="LF73">
        <f>SUMPRODUCT(--('Данные 2st'!$Q$2:$Q$317=$A73),--ISNUMBER('Данные 2st'!$DS$2:$DS$317))</f>
        <v>3</v>
      </c>
      <c r="LG73">
        <f>SUMPRODUCT(--('Данные 2st'!$Q$2:$Q$317=$A73),--ISNUMBER('Данные 2st'!$DU$2:$DU$317))</f>
        <v>3</v>
      </c>
      <c r="LH73">
        <f>SUMPRODUCT(--('Данные 2st'!$Q$2:$Q$317=$A73),--ISNUMBER('Данные 2st'!$DV$2:$DV$317))</f>
        <v>3</v>
      </c>
      <c r="LI73">
        <f>SUMPRODUCT(--('Данные 2st'!$Q$2:$Q$317=$A73),--ISNUMBER('Данные 2st'!$DW$2:$DW$317))</f>
        <v>3</v>
      </c>
      <c r="LJ73">
        <f>SUMPRODUCT(--('Данные 2st'!$Q$2:$Q$317=$A73),--ISNUMBER('Данные 2st'!$DX$2:$DX$317))</f>
        <v>3</v>
      </c>
      <c r="LK73">
        <f>SUMPRODUCT(--('Данные 2st'!$Q$2:$Q$317=$A73),--ISNUMBER('Данные 2st'!$DY$2:$DY$317))</f>
        <v>3</v>
      </c>
      <c r="LL73">
        <f>SUMPRODUCT(--('Данные 2st'!$Q$2:$Q$317=$A73),--ISNUMBER('Данные 2st'!$EA$2:$EA$317))</f>
        <v>3</v>
      </c>
      <c r="LM73">
        <f>SUMPRODUCT(--('Данные 2st'!$Q$2:$Q$317=$A73),--ISNUMBER('Данные 2st'!$EC$2:$EC$317))</f>
        <v>3</v>
      </c>
      <c r="LN73">
        <f>SUMPRODUCT(--('Данные 2st'!$Q$2:$Q$317=$A73),--ISNUMBER('Данные 2st'!$ED$2:$ED$317))</f>
        <v>3</v>
      </c>
      <c r="LO73">
        <f>SUMPRODUCT(--('Данные 2st'!$Q$2:$Q$317=$A73),--ISNUMBER('Данные 2st'!$EE$2:$EE$317))</f>
        <v>3</v>
      </c>
      <c r="LP73">
        <f>SUMPRODUCT(--('Данные 2st'!$Q$2:$Q$317=$A73),--ISNUMBER('Данные 2st'!$EG$2:$EG$317))</f>
        <v>3</v>
      </c>
      <c r="LQ73">
        <f>SUMPRODUCT(--('Данные 2st'!$Q$2:$Q$317=$A73),--ISNUMBER('Данные 2st'!$EI$2:$EI$317))</f>
        <v>3</v>
      </c>
      <c r="LR73">
        <f>SUMPRODUCT(--('Данные 2st'!$Q$2:$Q$317=$A73),--ISNUMBER('Данные 2st'!$EJ$2:$EJ$317))</f>
        <v>0</v>
      </c>
      <c r="LS73">
        <f>SUMPRODUCT(--('Данные 2st'!$Q$2:$Q$317=$A73),--ISNUMBER('Данные 2st'!$EK$2:$EK$317))</f>
        <v>0</v>
      </c>
      <c r="LT73">
        <f>SUMPRODUCT(--('Данные 2st'!$Q$2:$Q$317=$A73),--ISNUMBER('Данные 2st'!$EM$2:$EM$317))</f>
        <v>3</v>
      </c>
      <c r="LU73">
        <f>SUMPRODUCT(--('Данные 2st'!$Q$2:$Q$317=$A73),--ISNUMBER('Данные 2st'!$EN$2:$EN$317))</f>
        <v>3</v>
      </c>
      <c r="LV73">
        <f>SUMPRODUCT(--('Данные 2st'!$Q$2:$Q$317=$A73),--ISNUMBER('Данные 2st'!$EO$2:$EO$317))</f>
        <v>3</v>
      </c>
      <c r="LW73">
        <f>SUMPRODUCT(--('Данные 2st'!$Q$2:$Q$317=$A73),--ISNUMBER('Данные 2st'!$EP$2:$EP$317))</f>
        <v>3</v>
      </c>
      <c r="LX73">
        <f>SUMPRODUCT(--('Данные 2st'!$Q$2:$Q$317=$A73),--ISNUMBER('Данные 2st'!$EQ$2:$EQ$317))</f>
        <v>3</v>
      </c>
      <c r="LY73">
        <f>SUMPRODUCT(--('Данные 2st'!$Q$2:$Q$317=$A73),--ISNUMBER('Данные 2st'!$ER$2:$ER$317))</f>
        <v>3</v>
      </c>
      <c r="LZ73">
        <f>SUMPRODUCT(--('Данные 2st'!$Q$2:$Q$317=$A73),--ISNUMBER('Данные 2st'!$ES$2:$ES$317))</f>
        <v>3</v>
      </c>
      <c r="MA73">
        <f>SUMPRODUCT(--('Данные 2st'!$Q$2:$Q$317=$A73),--ISNUMBER('Данные 2st'!$ET$2:$ET$317))</f>
        <v>3</v>
      </c>
      <c r="MB73">
        <f>SUMPRODUCT(--('Данные 2st'!$Q$2:$Q$317=$A73),--ISNUMBER('Данные 2st'!$EU$2:$EU$317))</f>
        <v>3</v>
      </c>
      <c r="MC73">
        <f>SUMPRODUCT(--('Данные 2st'!$Q$2:$Q$317=$A73),--ISNUMBER('Данные 2st'!$EV$2:$EV$317))</f>
        <v>3</v>
      </c>
      <c r="MD73">
        <f>SUMPRODUCT(--('Данные 2st'!$Q$2:$Q$317=$A73),--ISNUMBER('Данные 2st'!$EW$2:$EW$317))</f>
        <v>3</v>
      </c>
      <c r="ME73">
        <f>SUMPRODUCT(--('Данные 2st'!$Q$2:$Q$317=$A73),--ISNUMBER('Данные 2st'!$EY$2:$EY$317))</f>
        <v>3</v>
      </c>
      <c r="MF73">
        <f>SUMPRODUCT(--('Данные 2st'!$Q$2:$Q$317=$A73),--ISNUMBER('Данные 2st'!$FA$2:$FA$317))</f>
        <v>3</v>
      </c>
      <c r="MG73">
        <f>SUMPRODUCT(--('Данные 2st'!$Q$2:$Q$317=$A73),--ISNUMBER('Данные 2st'!$FB$2:$FB$317))</f>
        <v>3</v>
      </c>
      <c r="MH73">
        <f>SUMPRODUCT(--('Данные 2st'!$Q$2:$Q$317=$A73),--ISNUMBER('Данные 2st'!$FC$2:$FC$317))</f>
        <v>3</v>
      </c>
      <c r="MI73">
        <f>SUMPRODUCT(--('Данные 2st'!$Q$2:$Q$317=$A73),--ISNUMBER('Данные 2st'!$FD$2:$FD$317))</f>
        <v>3</v>
      </c>
      <c r="MJ73">
        <f>SUMPRODUCT(--('Данные 2st'!$Q$2:$Q$317=$A73),--ISNUMBER('Данные 2st'!$FE$2:$FE$317))</f>
        <v>3</v>
      </c>
      <c r="MK73">
        <f>SUMPRODUCT(--('Данные 2st'!$Q$2:$Q$317=$A73),--ISNUMBER('Данные 2st'!$FG$2:$FG$317))</f>
        <v>3</v>
      </c>
      <c r="ML73">
        <f>SUMPRODUCT(--('Данные 2st'!$Q$2:$Q$317=$A73),--ISNUMBER('Данные 2st'!$FI$2:$FI$317))</f>
        <v>3</v>
      </c>
      <c r="MM73">
        <f>SUMPRODUCT(--('Данные 2st'!$Q$2:$Q$317=$A73),--ISNUMBER('Данные 2st'!$FJ$2:$FJ$317))</f>
        <v>3</v>
      </c>
      <c r="MN73">
        <f>SUMPRODUCT(--('Данные 2st'!$Q$2:$Q$317=$A73),--ISNUMBER('Данные 2st'!$FK$2:$FK$317))</f>
        <v>3</v>
      </c>
      <c r="MO73">
        <f>SUMPRODUCT(--('Данные 2st'!$Q$2:$Q$317=$A73),--ISNUMBER('Данные 2st'!$FP$2:$FP$317))</f>
        <v>3</v>
      </c>
      <c r="MP73">
        <f>SUMPRODUCT(--('Данные 2st'!$Q$2:$Q$317=$A73),--ISNUMBER('Данные 2st'!$FQ$2:$FQ$317))</f>
        <v>3</v>
      </c>
      <c r="MQ73">
        <f>SUMPRODUCT(--('Данные 2st'!$Q$2:$Q$317=$A73),--ISNUMBER('Данные 2st'!$FS$2:$FS$317))</f>
        <v>3</v>
      </c>
      <c r="MR73">
        <f>SUMPRODUCT(--('Данные 2st'!$Q$2:$Q$317=$A73),--ISNUMBER('Данные 2st'!$FU$2:$FU$317))</f>
        <v>3</v>
      </c>
      <c r="MS73">
        <f>SUMPRODUCT(--('Данные 2st'!$Q$2:$Q$317=$A73),--ISNUMBER('Данные 2st'!$FV$2:$FV$317))</f>
        <v>3</v>
      </c>
      <c r="MT73">
        <f>SUMPRODUCT(--('Данные 2st'!$Q$2:$Q$317=$A73),--ISNUMBER('Данные 2st'!$FW$2:$FW$317))</f>
        <v>3</v>
      </c>
      <c r="MU73">
        <f>SUMPRODUCT(--('Данные 2st'!$Q$2:$Q$317=$A73),--ISNUMBER('Данные 2st'!$FY$2:$FY$317))</f>
        <v>3</v>
      </c>
      <c r="MV73">
        <f>SUMPRODUCT(--('Данные 2st'!$Q$2:$Q$317=$A73),--ISNUMBER('Данные 2st'!$GB$2:$GB$317))</f>
        <v>3</v>
      </c>
      <c r="MW73">
        <f>SUMPRODUCT(--('Данные 2st'!$Q$2:$Q$317=$A73),--ISNUMBER('Данные 2st'!$GC$2:$GC$317))</f>
        <v>3</v>
      </c>
      <c r="MX73">
        <f>SUMPRODUCT(--('Данные 2st'!$Q$2:$Q$317=$A73),--ISNUMBER('Данные 2st'!$GD$2:$GD$317))</f>
        <v>3</v>
      </c>
      <c r="MY73">
        <f>SUMPRODUCT(--('Данные 2st'!$Q$2:$Q$317=$A73),--ISNUMBER('Данные 2st'!$GN$2:$GN$317))</f>
        <v>0</v>
      </c>
      <c r="MZ73">
        <f>SUMPRODUCT(--('Данные 2st'!$Q$2:$Q$317=$A73),--ISNUMBER('Данные 2st'!$GQ$2:$GQ$317))</f>
        <v>3</v>
      </c>
      <c r="NA73">
        <f>SUMPRODUCT(--('Данные 2st'!$Q$2:$Q$317=$A73),--ISNUMBER('Данные 2st'!$GV$2:$GV$317))</f>
        <v>3</v>
      </c>
      <c r="NB73">
        <f>SUMPRODUCT(--('Данные 2st'!$Q$2:$Q$317=$A73),--ISNUMBER('Данные 2st'!$GW$2:$GW$317))</f>
        <v>3</v>
      </c>
      <c r="NC73">
        <f>SUMPRODUCT(--('Данные 2st'!$Q$2:$Q$317=$A73),--ISNUMBER('Данные 2st'!$GX$2:$GX$317))</f>
        <v>3</v>
      </c>
      <c r="ND73">
        <f>SUMPRODUCT(--('Данные 2st'!$Q$2:$Q$317=$A73),--ISNUMBER('Данные 2st'!$GY$2:$GY$317))</f>
        <v>3</v>
      </c>
      <c r="NE73">
        <f>SUMPRODUCT(--('Данные 2st'!$Q$2:$Q$317=$A73),--ISNUMBER('Данные 2st'!$GZ$2:$GZ$317))</f>
        <v>3</v>
      </c>
      <c r="NF73">
        <f>SUMPRODUCT(--('Данные 2st'!$Q$2:$Q$317=$A73),--ISNUMBER('Данные 2st'!$HA$2:$HA$317))</f>
        <v>3</v>
      </c>
      <c r="NG73">
        <f>SUMPRODUCT(--('Данные 2st'!$Q$2:$Q$317=$A73),--ISNUMBER('Данные 2st'!$HB$2:$HB$317))</f>
        <v>3</v>
      </c>
      <c r="NH73">
        <f>SUMPRODUCT(--('Данные 2st'!$Q$2:$Q$317=$A73),--ISNUMBER('Данные 2st'!$HC$2:$HC$317))</f>
        <v>3</v>
      </c>
      <c r="NI73">
        <f>SUMPRODUCT(--('Данные 2st'!$Q$2:$Q$317=$A73),--ISNUMBER('Данные 2st'!$HD$2:$HD$317))</f>
        <v>3</v>
      </c>
      <c r="NJ73">
        <f>SUMPRODUCT(--('Данные 2st'!$Q$2:$Q$317=$A73),--ISNUMBER('Данные 2st'!$HM$2:$HM$317))</f>
        <v>3</v>
      </c>
      <c r="NK73">
        <f>SUMPRODUCT(--('Данные 2st'!$Q$2:$Q$317=$A73),--ISNUMBER('Данные 2st'!$HR$2:$HR$317))</f>
        <v>3</v>
      </c>
      <c r="NL73">
        <f>SUMPRODUCT(--('Данные 2st'!$Q$2:$Q$317=$A73),--ISNUMBER('Данные 2st'!$HS$2:$HS$317))</f>
        <v>3</v>
      </c>
      <c r="NM73">
        <f>SUMPRODUCT(--('Данные 2st'!$Q$2:$Q$317=$A73),--ISNUMBER('Данные 2st'!$HT$2:$HT$317))</f>
        <v>3</v>
      </c>
      <c r="NN73">
        <f>SUMPRODUCT(--('Данные 2st'!$Q$2:$Q$317=$A73),--ISNUMBER('Данные 2st'!$HY$2:$HY$317))</f>
        <v>3</v>
      </c>
      <c r="NO73">
        <f>SUMPRODUCT(--('Данные 2st'!$Q$2:$Q$317=$A73),--ISNUMBER('Данные 2st'!$HZ$2:$HZ$317))</f>
        <v>3</v>
      </c>
      <c r="NP73">
        <f>SUMPRODUCT(--('Данные 2st'!$Q$2:$Q$317=$A73),--ISNUMBER('Данные 2st'!$IA$2:$IA$317))</f>
        <v>3</v>
      </c>
      <c r="NQ73">
        <f>SUMPRODUCT(--('Данные 2st'!$Q$2:$Q$317=$A73),--ISNUMBER('Данные 2st'!$IB$2:$IB$317))</f>
        <v>3</v>
      </c>
      <c r="NR73">
        <f>SUMPRODUCT(--('Данные 2st'!$Q$2:$Q$317=$A73),--ISNUMBER('Данные 2st'!$IC$2:$IC$317))</f>
        <v>0</v>
      </c>
      <c r="NS73">
        <f>SUMPRODUCT(--('Данные 2st'!$Q$2:$Q$317=$A73),--ISNUMBER('Данные 2st'!$ID$2:$ID$317))</f>
        <v>3</v>
      </c>
      <c r="NT73">
        <f>SUMPRODUCT(--('Данные 2st'!$Q$2:$Q$317=$A73),--ISNUMBER('Данные 2st'!$IE$2:$IE$317))</f>
        <v>3</v>
      </c>
      <c r="NU73">
        <f>SUMPRODUCT(--('Данные 2st'!$Q$2:$Q$317=$A73),--ISNUMBER('Данные 2st'!$IF$2:$IF$317))</f>
        <v>3</v>
      </c>
      <c r="NV73">
        <f>SUMPRODUCT(--('Данные 2st'!$Q$2:$Q$317=$A73),--ISNUMBER('Данные 2st'!$IG$2:$IG$317))</f>
        <v>3</v>
      </c>
      <c r="NW73">
        <f>SUMPRODUCT(--('Данные 2st'!$Q$2:$Q$317=$A73),--ISNUMBER('Данные 2st'!$IH$2:$IH$317))</f>
        <v>3</v>
      </c>
      <c r="NX73">
        <f>SUMPRODUCT(--('Данные 2st'!$Q$2:$Q$317=$A73),--ISNUMBER('Данные 2st'!$IJ$2:$IJ$317))</f>
        <v>3</v>
      </c>
      <c r="NY73">
        <f>SUMPRODUCT(--('Данные 2st'!$Q$2:$Q$317=$A73),--ISNUMBER('Данные 2st'!$IM$2:$IM$317))</f>
        <v>3</v>
      </c>
      <c r="NZ73">
        <f>SUMPRODUCT(--('Данные 2st'!$Q$2:$Q$317=$A73),--ISNUMBER('Данные 2st'!$IN$2:$IN$317))</f>
        <v>3</v>
      </c>
      <c r="OA73">
        <f>SUMPRODUCT(--('Данные 2st'!$Q$2:$Q$317=$A73),--ISNUMBER('Данные 2st'!$IO$2:$IO$317))</f>
        <v>3</v>
      </c>
      <c r="OB73">
        <f>SUMPRODUCT(--('Данные 2st'!$Q$2:$Q$317=$A73),--ISNUMBER('Данные 2st'!$IP$2:$IP$317))</f>
        <v>3</v>
      </c>
      <c r="OC73">
        <f>SUMPRODUCT(--('Данные 2st'!$Q$2:$Q$317=$A73),--ISNUMBER('Данные 2st'!$IQ$2:$IQ$317))</f>
        <v>3</v>
      </c>
      <c r="OD73">
        <f>SUMPRODUCT(--('Данные 2st'!$Q$2:$Q$317=$A73),--ISNUMBER('Данные 2st'!$IR$2:$IR$317))</f>
        <v>3</v>
      </c>
      <c r="OE73">
        <f>SUMPRODUCT(--('Данные 2st'!$Q$2:$Q$317=$A73),--ISNUMBER('Данные 2st'!$IT$2:$IT$317))</f>
        <v>3</v>
      </c>
      <c r="OF73">
        <f>SUMPRODUCT(--('Данные 2st'!$Q$2:$Q$317=$A73),--ISNUMBER('Данные 2st'!$IU$2:$IU$317))</f>
        <v>3</v>
      </c>
      <c r="OG73">
        <f>SUMPRODUCT(--('Данные 2st'!$Q$2:$Q$317=$A73),--ISNUMBER('Данные 2st'!$IV$2:$IV$317))</f>
        <v>3</v>
      </c>
      <c r="OH73">
        <f>SUMPRODUCT(--('Данные 2st'!$Q$2:$Q$317=$A73),--ISNUMBER('Данные 2st'!$IW$2:$IW$317))</f>
        <v>3</v>
      </c>
      <c r="OI73">
        <f>SUMPRODUCT(--('Данные 2st'!$Q$2:$Q$317=$A73),--ISNUMBER('Данные 2st'!$IX$2:$IX$317))</f>
        <v>3</v>
      </c>
      <c r="OJ73">
        <f>SUMPRODUCT(--('Данные 2st'!$Q$2:$Q$317=$A73),--ISNUMBER('Данные 2st'!$IY$2:$IY$317))</f>
        <v>3</v>
      </c>
      <c r="OK73">
        <f>SUMPRODUCT(--('Данные 2st'!$Q$2:$Q$317=$A73),--ISNUMBER('Данные 2st'!$IZ$2:$IZ$317))</f>
        <v>3</v>
      </c>
      <c r="OL73">
        <f>SUMPRODUCT(--('Данные 2st'!$Q$2:$Q$317=$A73),--ISNUMBER('Данные 2st'!$JA$2:$JA$317))</f>
        <v>3</v>
      </c>
      <c r="OM73">
        <f>SUMPRODUCT(--('Данные 2st'!$Q$2:$Q$317=$A73),--ISNUMBER('Данные 2st'!$JB$2:$JB$317))</f>
        <v>3</v>
      </c>
      <c r="ON73">
        <f>SUMPRODUCT(--('Данные 2st'!$Q$2:$Q$317=$A73),--ISNUMBER('Данные 2st'!$JC$2:$JC$317))</f>
        <v>3</v>
      </c>
      <c r="OO73">
        <f>SUMPRODUCT(--('Данные 2st'!$Q$2:$Q$317=$A73),--ISNUMBER('Данные 2st'!$JD$2:$JD$317))</f>
        <v>3</v>
      </c>
      <c r="OP73">
        <f>SUMPRODUCT(--('Данные 2st'!$Q$2:$Q$317=$A73),--ISNUMBER('Данные 2st'!$JE$2:$JE$317))</f>
        <v>3</v>
      </c>
      <c r="OQ73">
        <f>SUMPRODUCT(--('Данные 2st'!$Q$2:$Q$317=$A73),--ISNUMBER('Данные 2st'!$JF$2:$JF$317))</f>
        <v>3</v>
      </c>
      <c r="OR73">
        <f>SUMPRODUCT(--('Данные 2st'!$Q$2:$Q$317=$A73),--ISNUMBER('Данные 2st'!$JG$2:$JG$317))</f>
        <v>3</v>
      </c>
      <c r="OS73">
        <f>SUMPRODUCT(--('Данные 2st'!$Q$2:$Q$317=$A73),--ISNUMBER('Данные 2st'!$JH$2:$JH$317))</f>
        <v>3</v>
      </c>
      <c r="OT73">
        <f>SUMPRODUCT(--('Данные 2st'!$Q$2:$Q$317=$A73),--ISNUMBER('Данные 2st'!$JI$2:$JI$317))</f>
        <v>3</v>
      </c>
      <c r="OU73">
        <f>SUMPRODUCT(--('Данные 2st'!$Q$2:$Q$317=$A73),--ISNUMBER('Данные 2st'!$JJ$2:$JJ$317))</f>
        <v>3</v>
      </c>
      <c r="OV73">
        <f>SUMPRODUCT(--('Данные 2st'!$Q$2:$Q$317=$A73),--ISNUMBER('Данные 2st'!$JK$2:$JK$317))</f>
        <v>3</v>
      </c>
      <c r="OW73">
        <f>SUMPRODUCT(--('Данные 2st'!$Q$2:$Q$317=$A73),--ISNUMBER('Данные 2st'!$JL$2:$JL$317))</f>
        <v>3</v>
      </c>
      <c r="OX73">
        <f>SUMPRODUCT(--('Данные 2st'!$Q$2:$Q$317=$A73),--ISNUMBER('Данные 2st'!$JM$2:$JM$317))</f>
        <v>3</v>
      </c>
      <c r="OY73">
        <f>SUMPRODUCT(--('Данные 2st'!$Q$2:$Q$317=$A73),--ISNUMBER('Данные 2st'!$JP$2:$JP$317))</f>
        <v>3</v>
      </c>
      <c r="OZ73">
        <f>SUMPRODUCT(--('Данные 2st'!$Q$2:$Q$317=$A73),--ISNUMBER('Данные 2st'!$JQ$2:$JQ$317))</f>
        <v>3</v>
      </c>
      <c r="PA73">
        <f>SUMPRODUCT(--('Данные 2st'!$Q$2:$Q$317=$A73),--ISNUMBER('Данные 2st'!$JR$2:$JR$317))</f>
        <v>3</v>
      </c>
      <c r="PB73">
        <f>SUMPRODUCT(--('Данные 2st'!$Q$2:$Q$317=$A73),--ISNUMBER('Данные 2st'!$JS$2:$JS$317))</f>
        <v>3</v>
      </c>
      <c r="PC73">
        <f>SUMPRODUCT(--('Данные 2st'!$Q$2:$Q$317=$A73),--ISNUMBER('Данные 2st'!$JT$2:$JT$317))</f>
        <v>3</v>
      </c>
      <c r="PD73">
        <f>SUMPRODUCT(--('Данные 2st'!$Q$2:$Q$317=$A73),--ISNUMBER('Данные 2st'!$JU$2:$JU$317))</f>
        <v>3</v>
      </c>
      <c r="PE73">
        <f>SUMPRODUCT(--('Данные 2st'!$Q$2:$Q$317=$A73),--ISNUMBER('Данные 2st'!$JV$2:$JV$317))</f>
        <v>3</v>
      </c>
      <c r="PF73">
        <f>SUMPRODUCT(--('Данные 2st'!$Q$2:$Q$317=$A73),--ISNUMBER('Данные 2st'!$JW$2:$JW$317))</f>
        <v>3</v>
      </c>
      <c r="PG73">
        <f>SUMPRODUCT(--('Данные 2st'!$Q$2:$Q$317=$A73),--ISNUMBER('Данные 2st'!$KF$2:$KF$317))</f>
        <v>3</v>
      </c>
      <c r="PH73">
        <f>SUMPRODUCT(--('Данные 2st'!$Q$2:$Q$317=$A73),--ISNUMBER('Данные 2st'!$KG$2:$KG$317))</f>
        <v>3</v>
      </c>
      <c r="PI73">
        <f>SUMPRODUCT(--('Данные 2st'!$Q$2:$Q$317=$A73),--ISNUMBER('Данные 2st'!$KM$2:$KM$317))</f>
        <v>3</v>
      </c>
      <c r="PJ73">
        <f>SUMPRODUCT(--('Данные 2st'!$Q$2:$Q$317=$A73),--ISNUMBER('Данные 2st'!$KN$2:$KN$317))</f>
        <v>3</v>
      </c>
      <c r="PK73">
        <f>SUMPRODUCT(--('Данные 2st'!$Q$2:$Q$317=$A73),--ISNUMBER('Данные 2st'!$KO$2:$KO$317))</f>
        <v>3</v>
      </c>
      <c r="PL73">
        <f>SUMPRODUCT(--('Данные 2st'!$Q$2:$Q$317=$A73),--ISNUMBER('Данные 2st'!$KP$2:$KP$317))</f>
        <v>3</v>
      </c>
      <c r="PM73">
        <f>SUMPRODUCT(--('Данные 2st'!$Q$2:$Q$317=$A73),--ISNUMBER('Данные 2st'!$KQ$2:$KQ$317))</f>
        <v>3</v>
      </c>
      <c r="PN73">
        <f>SUMPRODUCT(--('Данные 2st'!$Q$2:$Q$317=$A73),--ISNUMBER('Данные 2st'!$KR$2:$KR$317))</f>
        <v>3</v>
      </c>
      <c r="PO73">
        <f>SUMPRODUCT(--('Данные 2st'!$Q$2:$Q$317=$A73),--ISNUMBER('Данные 2st'!$KS$2:$KS$317))</f>
        <v>3</v>
      </c>
      <c r="PP73">
        <f>SUMPRODUCT(--('Данные 2st'!$Q$2:$Q$317=$A73),--ISNUMBER('Данные 2st'!$KT$2:$KT$317))</f>
        <v>3</v>
      </c>
      <c r="PQ73">
        <f>SUMPRODUCT(--('Данные 2st'!$Q$2:$Q$317=$A73),--ISNUMBER('Данные 2st'!$KU$2:$KU$317))</f>
        <v>3</v>
      </c>
      <c r="PR73">
        <f>SUMPRODUCT(--('Данные 2st'!$Q$2:$Q$317=$A73),--ISNUMBER('Данные 2st'!$KV$2:$KV$317))</f>
        <v>3</v>
      </c>
      <c r="PS73">
        <f>SUMPRODUCT(--('Данные 2st'!$Q$2:$Q$317=$A73),--ISNUMBER('Данные 2st'!$KW$2:$KW$317))</f>
        <v>3</v>
      </c>
      <c r="PT73">
        <f>SUMPRODUCT(--('Данные 2st'!$Q$2:$Q$317=$A73),--ISNUMBER('Данные 2st'!$KX$2:$KX$317))</f>
        <v>3</v>
      </c>
      <c r="PU73">
        <f>SUMPRODUCT(--('Данные 2st'!$Q$2:$Q$317=$A73),--ISNUMBER('Данные 2st'!$KY$2:$KY$317))</f>
        <v>3</v>
      </c>
      <c r="PV73">
        <f>SUMPRODUCT(--('Данные 2st'!$Q$2:$Q$317=$A73),--ISNUMBER('Данные 2st'!$KZ$2:$KZ$317))</f>
        <v>3</v>
      </c>
      <c r="PW73">
        <f>SUMPRODUCT(--('Данные 2st'!$Q$2:$Q$317=$A73),--ISNUMBER('Данные 2st'!$LA$2:$LA$317))</f>
        <v>3</v>
      </c>
      <c r="PX73">
        <f>SUMPRODUCT(--('Данные 2st'!$Q$2:$Q$317=$A73),--ISNUMBER('Данные 2st'!$LB$2:$LB$317))</f>
        <v>3</v>
      </c>
      <c r="PY73">
        <f>SUMPRODUCT(--('Данные 2st'!$Q$2:$Q$317=$A73),--ISNUMBER('Данные 2st'!$LC$2:$LC$317))</f>
        <v>3</v>
      </c>
      <c r="PZ73">
        <f>SUMPRODUCT(--('Данные 2st'!$Q$2:$Q$317=$A73),--ISNUMBER('Данные 2st'!$LD$2:$LD$317))</f>
        <v>3</v>
      </c>
      <c r="QA73">
        <f>SUMPRODUCT(--('Данные 2st'!$Q$2:$Q$317=$A73),--ISNUMBER('Данные 2st'!$LE$2:$LE$317))</f>
        <v>3</v>
      </c>
      <c r="QB73">
        <f>SUMPRODUCT(--('Данные 2st'!$Q$2:$Q$317=$A73),--ISNUMBER('Данные 2st'!$LF$2:$LF$317))</f>
        <v>3</v>
      </c>
      <c r="QC73">
        <f>SUMPRODUCT(--('Данные 2st'!$Q$2:$Q$317=$A73),--ISNUMBER('Данные 2st'!$LG$2:$LG$317))</f>
        <v>3</v>
      </c>
      <c r="QD73">
        <f>SUMPRODUCT(--('Данные 2st'!$Q$2:$Q$317=$A73),--ISNUMBER('Данные 2st'!$LH$2:$LH$317))</f>
        <v>3</v>
      </c>
      <c r="QE73">
        <f>SUMPRODUCT(--('Данные 2st'!$Q$2:$Q$317=$A73),--ISNUMBER('Данные 2st'!$LJ$2:$LJ$317))</f>
        <v>3</v>
      </c>
      <c r="QF73">
        <f>SUMPRODUCT(--('Данные 2st'!$Q$2:$Q$317=$A73),--ISNUMBER('Данные 2st'!$LK$2:$LK$317))</f>
        <v>3</v>
      </c>
      <c r="QG73">
        <f>SUMPRODUCT(--('Данные 2st'!$Q$2:$Q$317=$A73),--ISNUMBER('Данные 2st'!$LL$2:$LL$317))</f>
        <v>3</v>
      </c>
      <c r="QH73">
        <f>SUMPRODUCT(--('Данные 2st'!$Q$2:$Q$317=$A73),--ISNUMBER('Данные 2st'!$LM$2:$LM$317))</f>
        <v>3</v>
      </c>
      <c r="QI73">
        <f>SUMPRODUCT(--('Данные 2st'!$Q$2:$Q$317=$A73),--ISNUMBER('Данные 2st'!$LN$2:$LN$317))</f>
        <v>3</v>
      </c>
      <c r="QJ73">
        <f>SUMPRODUCT(--('Данные 2st'!$Q$2:$Q$317=$A73),--ISNUMBER('Данные 2st'!$LO$2:$LO$317))</f>
        <v>3</v>
      </c>
      <c r="QK73">
        <f>SUMPRODUCT(--('Данные 2st'!$Q$2:$Q$317=$A73),--ISNUMBER('Данные 2st'!$LP$2:$LP$317))</f>
        <v>3</v>
      </c>
      <c r="QL73">
        <f>SUMPRODUCT(--('Данные 2st'!$Q$2:$Q$317=$A73),--ISNUMBER('Данные 2st'!$LQ$2:$LQ$317))</f>
        <v>3</v>
      </c>
      <c r="QM73">
        <f>SUMPRODUCT(--('Данные 2st'!$Q$2:$Q$317=$A73),--ISNUMBER('Данные 2st'!$LW$2:$LW$317))</f>
        <v>3</v>
      </c>
      <c r="QN73">
        <f>SUMPRODUCT(--('Данные 2st'!$Q$2:$Q$317=$A73),--ISNUMBER('Данные 2st'!$LX$2:$LX$317))</f>
        <v>3</v>
      </c>
      <c r="QO73">
        <f>SUMPRODUCT(--('Данные 2st'!$Q$2:$Q$317=$A73),--ISNUMBER('Данные 2st'!$LY$2:$LY$317))</f>
        <v>3</v>
      </c>
      <c r="QP73">
        <f>SUMPRODUCT(--('Данные 2st'!$Q$2:$Q$317=$A73),--ISNUMBER('Данные 2st'!$LZ$2:$LZ$317))</f>
        <v>3</v>
      </c>
      <c r="QQ73">
        <f>SUMPRODUCT(--('Данные 2st'!$Q$2:$Q$317=$A73),--ISNUMBER('Данные 2st'!$MB$2:$MB$317))</f>
        <v>3</v>
      </c>
      <c r="QR73">
        <f>SUMPRODUCT(--('Данные 2st'!$Q$2:$Q$317=$A73),--ISNUMBER('Данные 2st'!$MG$2:$MG$317))</f>
        <v>3</v>
      </c>
      <c r="QS73">
        <f>SUMPRODUCT(--('Данные 2st'!$Q$2:$Q$317=$A73),--ISNUMBER('Данные 2st'!$MH$2:$MH$317))</f>
        <v>3</v>
      </c>
      <c r="QT73">
        <f>SUMPRODUCT(--('Данные 2st'!$Q$2:$Q$317=$A73),--ISNUMBER('Данные 2st'!$MI$2:$MI$317))</f>
        <v>3</v>
      </c>
      <c r="QU73">
        <f>SUMPRODUCT(--('Данные 2st'!$Q$2:$Q$317=$A73),--ISNUMBER('Данные 2st'!$MJ$2:$MJ$317))</f>
        <v>3</v>
      </c>
      <c r="QV73">
        <f>SUMPRODUCT(--('Данные 2st'!$Q$2:$Q$317=$A73),--ISNUMBER('Данные 2st'!$MK$2:$MK$317))</f>
        <v>3</v>
      </c>
      <c r="QW73">
        <f>SUMPRODUCT(--('Данные 2st'!$Q$2:$Q$317=$A73),--ISNUMBER('Данные 2st'!$MM$2:$MM$317))</f>
        <v>3</v>
      </c>
      <c r="QX73">
        <f>SUMPRODUCT(--('Данные 2st'!$Q$2:$Q$317=$A73),--ISNUMBER('Данные 2st'!$MQ$2:$MQ$317))</f>
        <v>0</v>
      </c>
      <c r="QY73">
        <f>SUMPRODUCT(--('Данные 2st'!$Q$2:$Q$317=$A73),--ISNUMBER('Данные 2st'!$MR$2:$MR$317))</f>
        <v>0</v>
      </c>
      <c r="QZ73">
        <f>SUMPRODUCT(--('Данные 2st'!$Q$2:$Q$317=$A73),--ISNUMBER('Данные 2st'!$MS$2:$MS$317))</f>
        <v>0</v>
      </c>
      <c r="RA73">
        <f>SUMPRODUCT(--('Данные 2st'!$Q$2:$Q$317=$A73),--ISNUMBER('Данные 2st'!$MT$2:$MT$317))</f>
        <v>0</v>
      </c>
      <c r="RB73">
        <f>SUMPRODUCT(--('Данные 2st'!$Q$2:$Q$317=$A73),--ISNUMBER('Данные 2st'!$MU$2:$MU$317))</f>
        <v>0</v>
      </c>
      <c r="RC73">
        <f>SUMPRODUCT(--('Данные 2st'!$Q$2:$Q$317=$A73),--ISNUMBER('Данные 2st'!$MV$2:$MV$317))</f>
        <v>0</v>
      </c>
      <c r="RD73">
        <f>SUMPRODUCT(--('Данные 2st'!$Q$2:$Q$317=$A73),--ISNUMBER('Данные 2st'!$MW$2:$MW$317))</f>
        <v>0</v>
      </c>
      <c r="RE73">
        <f>SUMPRODUCT(--('Данные 2st'!$Q$2:$Q$317=$A73),--ISNUMBER('Данные 2st'!$MX$2:$MX$317))</f>
        <v>0</v>
      </c>
      <c r="RF73">
        <f>SUMPRODUCT(--('Данные 2st'!$Q$2:$Q$317=$A73),--ISNUMBER('Данные 2st'!$MY$2:$MY$317))</f>
        <v>0</v>
      </c>
      <c r="RG73">
        <f>SUMPRODUCT(--('Данные 2st'!$Q$2:$Q$317=$A73),--ISNUMBER('Данные 2st'!$MZ$2:$MZ$317))</f>
        <v>0</v>
      </c>
      <c r="RH73">
        <f>SUMPRODUCT(--('Данные 2st'!$Q$2:$Q$317=$A73),--ISNUMBER('Данные 2st'!$NA$2:$NA$317))</f>
        <v>0</v>
      </c>
      <c r="RI73">
        <f>SUMPRODUCT(--('Данные 2st'!$Q$2:$Q$317=$A73),--ISNUMBER('Данные 2st'!$NB$2:$NB$317))</f>
        <v>0</v>
      </c>
      <c r="RJ73">
        <f>SUMPRODUCT(--('Данные 2st'!$Q$2:$Q$317=$A73),--ISNUMBER('Данные 2st'!$NC$2:$NC$317))</f>
        <v>0</v>
      </c>
      <c r="RK73">
        <f>SUMPRODUCT(--('Данные 2st'!$Q$2:$Q$317=$A73),--ISNUMBER('Данные 2st'!$ND$2:$ND$317))</f>
        <v>0</v>
      </c>
      <c r="RL73">
        <f>SUMPRODUCT(--('Данные 2st'!$Q$2:$Q$317=$A73),--ISNUMBER('Данные 2st'!$NE$2:$NE$317))</f>
        <v>0</v>
      </c>
      <c r="RM73">
        <f>SUMPRODUCT(--('Данные 2st'!$Q$2:$Q$317=$A73),--ISNUMBER('Данные 2st'!$NF$2:$NF$317))</f>
        <v>0</v>
      </c>
      <c r="RN73">
        <f>SUMPRODUCT(--('Данные 2st'!$Q$2:$Q$317=$A73),--ISNUMBER('Данные 2st'!$NG$2:$NG$317))</f>
        <v>0</v>
      </c>
      <c r="RO73">
        <f>SUMPRODUCT(--('Данные 2st'!$Q$2:$Q$317=$A73),--ISNUMBER('Данные 2st'!$NH$2:$NH$317))</f>
        <v>0</v>
      </c>
      <c r="RP73">
        <f>SUMPRODUCT(--('Данные 2st'!$Q$2:$Q$317=$A73),--ISNUMBER('Данные 2st'!$NJ$2:$NJ$317))</f>
        <v>0</v>
      </c>
      <c r="RQ73">
        <f>SUMPRODUCT(--('Данные 2st'!$Q$2:$Q$317=$A73),--ISNUMBER('Данные 2st'!$NK$2:$NK$317))</f>
        <v>0</v>
      </c>
      <c r="RR73">
        <f>SUMPRODUCT(--('Данные 2st'!$Q$2:$Q$317=$A73),--ISNUMBER('Данные 2st'!$NM$2:$NM$317))</f>
        <v>0</v>
      </c>
      <c r="RS73">
        <f>SUMPRODUCT(--('Данные 2st'!$Q$2:$Q$317=$A73),--ISNUMBER('Данные 2st'!$NN$2:$NN$317))</f>
        <v>0</v>
      </c>
      <c r="RT73">
        <f>SUMPRODUCT(--('Данные 2st'!$Q$2:$Q$317=$A73),--ISNUMBER('Данные 2st'!$NO$2:$NO$317))</f>
        <v>0</v>
      </c>
      <c r="RU73">
        <f>SUMPRODUCT(--('Данные 2st'!$Q$2:$Q$317=$A73),--ISNUMBER('Данные 2st'!$NP$2:$NP$317))</f>
        <v>0</v>
      </c>
      <c r="RV73">
        <f>SUMPRODUCT(--('Данные 2st'!$Q$2:$Q$317=$A73),--ISNUMBER('Данные 2st'!$NQ$2:$NQ$317))</f>
        <v>0</v>
      </c>
      <c r="RW73">
        <f>SUMPRODUCT(--('Данные 2st'!$Q$2:$Q$317=$A73),--ISNUMBER('Данные 2st'!$NR$2:$NR$317))</f>
        <v>0</v>
      </c>
      <c r="RX73">
        <f>SUMPRODUCT(--('Данные 2st'!$Q$2:$Q$317=$A73),--ISNUMBER('Данные 2st'!$NS$2:$NS$317))</f>
        <v>0</v>
      </c>
      <c r="RY73">
        <f>SUMPRODUCT(--('Данные 2st'!$Q$2:$Q$317=$A73),--ISNUMBER('Данные 2st'!$NT$2:$NT$317))</f>
        <v>0</v>
      </c>
      <c r="RZ73">
        <f>SUMPRODUCT(--('Данные 2st'!$Q$2:$Q$317=$A73),--ISNUMBER('Данные 2st'!$OK$2:$OK$317))</f>
        <v>3</v>
      </c>
      <c r="SA73">
        <f>SUMPRODUCT(--('Данные 2st'!$Q$2:$Q$317=$A73),--ISNUMBER('Данные 2st'!$OL$2:$OL$317))</f>
        <v>3</v>
      </c>
      <c r="SB73">
        <f>SUMPRODUCT(--('Данные 2st'!$Q$2:$Q$317=$A73),--ISNUMBER('Данные 2st'!$ON$2:$ON$317))</f>
        <v>3</v>
      </c>
      <c r="SC73">
        <f>SUMPRODUCT(--('Данные 2st'!$Q$2:$Q$317=$A73),--ISNUMBER('Данные 2st'!$OO$2:$OO$317))</f>
        <v>3</v>
      </c>
      <c r="SD73">
        <f>SUMPRODUCT(--('Данные 2st'!$Q$2:$Q$317=$A73),--ISNUMBER('Данные 2st'!$OP$2:$OP$317))</f>
        <v>3</v>
      </c>
      <c r="SE73">
        <f>SUMPRODUCT(--('Данные 2st'!$Q$2:$Q$317=$A73),--ISNUMBER('Данные 2st'!$OQ$2:$OQ$317))</f>
        <v>3</v>
      </c>
      <c r="SF73">
        <f>SUMPRODUCT(--('Данные 2st'!$Q$2:$Q$317=$A73),--ISNUMBER('Данные 2st'!$OS$2:$OS$317))</f>
        <v>3</v>
      </c>
      <c r="SG73">
        <f>SUMPRODUCT(--('Данные 2st'!$Q$2:$Q$317=$A73),--ISNUMBER('Данные 2st'!$OT$2:$OT$317))</f>
        <v>3</v>
      </c>
      <c r="SH73">
        <f>SUMPRODUCT(--('Данные 2st'!$Q$2:$Q$317=$A73),--ISNUMBER('Данные 2st'!$OU$2:$OU$317))</f>
        <v>3</v>
      </c>
      <c r="SI73">
        <f>SUMPRODUCT(--('Данные 2st'!$Q$2:$Q$317=$A73),--ISNUMBER('Данные 2st'!$OV$2:$OV$317))</f>
        <v>3</v>
      </c>
      <c r="SJ73">
        <f>SUMPRODUCT(--('Данные 2st'!$Q$2:$Q$317=$A73),--ISNUMBER('Данные 2st'!$OX$2:$OX$317))</f>
        <v>3</v>
      </c>
      <c r="SK73">
        <f>SUMPRODUCT(--('Данные 2st'!$Q$2:$Q$317=$A73),--ISNUMBER('Данные 2st'!$OY$2:$OY$317))</f>
        <v>3</v>
      </c>
      <c r="SL73">
        <f>SUMPRODUCT(--('Данные 2st'!$Q$2:$Q$317=$A73),--ISNUMBER('Данные 2st'!$OZ$2:$OZ$317))</f>
        <v>3</v>
      </c>
      <c r="SM73">
        <f>SUMPRODUCT(--('Данные 2st'!$Q$2:$Q$317=$A73),--ISNUMBER('Данные 2st'!$PA$2:$PA$317))</f>
        <v>3</v>
      </c>
      <c r="SN73">
        <f>SUMPRODUCT(--('Данные 2st'!$Q$2:$Q$317=$A73),--ISNUMBER('Данные 2st'!$PC$2:$PC$317))</f>
        <v>3</v>
      </c>
      <c r="SO73">
        <f>SUMPRODUCT(--('Данные 2st'!$Q$2:$Q$317=$A73),--ISNUMBER('Данные 2st'!$PD$2:$PD$317))</f>
        <v>3</v>
      </c>
      <c r="SP73">
        <f>SUMPRODUCT(--('Данные 2st'!$Q$2:$Q$317=$A73),--ISNUMBER('Данные 2st'!$PF$2:$PF$317))</f>
        <v>3</v>
      </c>
      <c r="SQ73">
        <f>SUMPRODUCT(--('Данные 2st'!$Q$2:$Q$317=$A73),--ISNUMBER('Данные 2st'!$PG$2:$PG$317))</f>
        <v>3</v>
      </c>
      <c r="SR73">
        <f>SUMPRODUCT(--('Данные 2st'!$Q$2:$Q$317=$A73),--ISNUMBER('Данные 2st'!$PH$2:$PH$317))</f>
        <v>3</v>
      </c>
      <c r="SS73">
        <f>SUMPRODUCT(--('Данные 2st'!$Q$2:$Q$317=$A73),--ISNUMBER('Данные 2st'!$PI$2:$PI$317))</f>
        <v>3</v>
      </c>
      <c r="ST73">
        <f>SUMPRODUCT(--('Данные 2st'!$Q$2:$Q$317=$A73),--ISNUMBER('Данные 2st'!$PJ$2:$PJ$317))</f>
        <v>3</v>
      </c>
      <c r="SU73">
        <f>SUMPRODUCT(--('Данные 2st'!$Q$2:$Q$317=$A73),--ISNUMBER('Данные 2st'!$PK$2:$PK$317))</f>
        <v>2</v>
      </c>
      <c r="SV73">
        <f>SUMPRODUCT(--('Данные 2st'!$Q$2:$Q$317=$A73),--ISNUMBER('Данные 2st'!$PL$2:$PL$317))</f>
        <v>3</v>
      </c>
      <c r="SW73">
        <f>SUMPRODUCT(--('Данные 2st'!$Q$2:$Q$317=$A73),--ISNUMBER('Данные 2st'!$PM$2:$PM$317))</f>
        <v>3</v>
      </c>
      <c r="SX73">
        <f>SUMPRODUCT(--('Данные 2st'!$Q$2:$Q$317=$A73),--ISNUMBER('Данные 2st'!$PN$2:$PN$317))</f>
        <v>3</v>
      </c>
      <c r="SY73">
        <f>SUMPRODUCT(--('Данные 2st'!$Q$2:$Q$317=$A73),--ISNUMBER('Данные 2st'!$PO$2:$PO$317))</f>
        <v>3</v>
      </c>
      <c r="SZ73">
        <f>SUMPRODUCT(--('Данные 2st'!$Q$2:$Q$317=$A73),--ISNUMBER('Данные 2st'!$PP$2:$PP$317))</f>
        <v>3</v>
      </c>
      <c r="TA73">
        <f>SUMPRODUCT(--('Данные 2st'!$Q$2:$Q$317=$A73),--ISNUMBER('Данные 2st'!$PQ$2:$PQ$317))</f>
        <v>3</v>
      </c>
      <c r="TB73">
        <f>SUMPRODUCT(--('Данные 2st'!$Q$2:$Q$317=$A73),--ISNUMBER('Данные 2st'!$PR$2:$PR$317))</f>
        <v>3</v>
      </c>
      <c r="TC73">
        <f>SUMPRODUCT(--('Данные 2st'!$Q$2:$Q$317=$A73),--ISNUMBER('Данные 2st'!$PS$2:$PS$317))</f>
        <v>3</v>
      </c>
      <c r="TD73">
        <f>SUMPRODUCT(--('Данные 2st'!$Q$2:$Q$317=$A73),--ISNUMBER('Данные 2st'!$PT$2:$PT$317))</f>
        <v>3</v>
      </c>
      <c r="TE73">
        <f>SUMPRODUCT(--('Данные 2st'!$Q$2:$Q$317=$A73),--ISNUMBER('Данные 2st'!$PU$2:$PU$317))</f>
        <v>3</v>
      </c>
      <c r="TF73">
        <f>SUMPRODUCT(--('Данные 2st'!$Q$2:$Q$317=$A73),--ISNUMBER('Данные 2st'!$PX$2:$PX$317))</f>
        <v>3</v>
      </c>
      <c r="TG73">
        <f>SUMPRODUCT(--('Данные 2st'!$Q$2:$Q$317=$A73),--ISNUMBER('Данные 2st'!$PY$2:$PY$317))</f>
        <v>3</v>
      </c>
      <c r="TH73">
        <f>SUMPRODUCT(--('Данные 2st'!$Q$2:$Q$317=$A73),--ISNUMBER('Данные 2st'!$PZ$2:$PZ$317))</f>
        <v>3</v>
      </c>
      <c r="TI73">
        <f>SUMPRODUCT(--('Данные 2st'!$Q$2:$Q$317=$A73),--ISNUMBER('Данные 2st'!$QA$2:$QA$317))</f>
        <v>3</v>
      </c>
      <c r="TJ73">
        <f>SUMPRODUCT(--('Данные 2st'!$Q$2:$Q$317=$A73),--ISNUMBER('Данные 2st'!$QB$2:$QB$317))</f>
        <v>3</v>
      </c>
      <c r="TK73">
        <f>SUMPRODUCT(--('Данные 2st'!$Q$2:$Q$317=$A73),--ISNUMBER('Данные 2st'!$QC$2:$QC$317))</f>
        <v>3</v>
      </c>
      <c r="TL73">
        <f>SUMPRODUCT(--('Данные 2st'!$Q$2:$Q$317=$A73),--ISNUMBER('Данные 2st'!$QD$2:$QD$317))</f>
        <v>3</v>
      </c>
      <c r="TM73">
        <f>SUMPRODUCT(--('Данные 2st'!$Q$2:$Q$317=$A73),--ISNUMBER('Данные 2st'!$QE$2:$QE$317))</f>
        <v>3</v>
      </c>
      <c r="TN73">
        <f>SUMPRODUCT(--('Данные 2st'!$Q$2:$Q$317=$A73),--ISNUMBER('Данные 2st'!$QF$2:$QF$317))</f>
        <v>3</v>
      </c>
      <c r="TO73">
        <f>SUMPRODUCT(--('Данные 2st'!$Q$2:$Q$317=$A73),--ISNUMBER('Данные 2st'!$QG$2:$QG$317))</f>
        <v>3</v>
      </c>
      <c r="TP73">
        <f>SUMPRODUCT(--('Данные 2st'!$Q$2:$Q$317=$A73),--ISNUMBER('Данные 2st'!$QH$2:$QH$317))</f>
        <v>3</v>
      </c>
      <c r="TQ73">
        <f>SUMPRODUCT(--('Данные 2st'!$Q$2:$Q$317=$A73),--ISNUMBER('Данные 2st'!$QI$2:$QI$317))</f>
        <v>3</v>
      </c>
      <c r="TR73">
        <f>SUMPRODUCT(--('Данные 2st'!$Q$2:$Q$317=$A73),--ISNUMBER('Данные 2st'!$QJ$2:$QJ$317))</f>
        <v>3</v>
      </c>
      <c r="TS73">
        <f>SUMPRODUCT(--('Данные 2st'!$Q$2:$Q$317=$A73),--ISNUMBER('Данные 2st'!$QK$2:$QK$317))</f>
        <v>3</v>
      </c>
      <c r="TT73">
        <f>SUMPRODUCT(--('Данные 2st'!$Q$2:$Q$317=$A73),--ISNUMBER('Данные 2st'!$QL$2:$QL$317))</f>
        <v>3</v>
      </c>
      <c r="TU73">
        <f>SUMPRODUCT(--('Данные 2st'!$Q$2:$Q$317=$A73),--ISNUMBER('Данные 2st'!$QM$2:$QM$317))</f>
        <v>3</v>
      </c>
      <c r="TV73">
        <f>SUMPRODUCT(--('Данные 2st'!$Q$2:$Q$317=$A73),--ISNUMBER('Данные 2st'!$QN$2:$QN$317))</f>
        <v>3</v>
      </c>
      <c r="TW73">
        <f>SUMPRODUCT(--('Данные 2st'!$Q$2:$Q$317=$A73),--ISNUMBER('Данные 2st'!$QQ$2:$QQ$317))</f>
        <v>3</v>
      </c>
      <c r="TX73">
        <f>SUMPRODUCT(--('Данные 2st'!$Q$2:$Q$317=$A73),--ISNUMBER('Данные 2st'!$QS$2:$QS$317))</f>
        <v>3</v>
      </c>
      <c r="TY73">
        <f>SUMPRODUCT(--('Данные 2st'!$Q$2:$Q$317=$A73),--ISNUMBER('Данные 2st'!$QT$2:$QT$317))</f>
        <v>3</v>
      </c>
    </row>
    <row r="74" spans="1:545" ht="32" customHeight="1">
      <c r="A74" s="11" t="str">
        <f>'По размерам'!A74</f>
        <v>265/50R19</v>
      </c>
      <c r="G74">
        <f>SUMPRODUCT(--('Данные 1st'!$S$2:$S$317=$A74),--ISNUMBER('Данные 1st'!$AE$2:$AE$317))</f>
        <v>1</v>
      </c>
      <c r="H74">
        <f>SUMPRODUCT(--('Данные 1st'!$S$2:$S$317=$A74),--ISNUMBER('Данные 1st'!$AF$2:$AF$317))</f>
        <v>1</v>
      </c>
      <c r="I74">
        <f>SUMPRODUCT(--('Данные 1st'!$S$2:$S$317=$A74),--ISNUMBER('Данные 1st'!$AJ$2:$AJ$317))</f>
        <v>1</v>
      </c>
      <c r="J74">
        <f>SUMPRODUCT(--('Данные 1st'!$S$2:$S$317=$A74),--ISNUMBER('Данные 1st'!$AL$2:$AL$317))</f>
        <v>1</v>
      </c>
      <c r="K74">
        <f>SUMPRODUCT(--('Данные 1st'!$S$2:$S$317=$A74),--ISNUMBER('Данные 1st'!$AR$2:$AR$317))</f>
        <v>1</v>
      </c>
      <c r="L74">
        <f>SUMPRODUCT(--('Данные 1st'!$S$2:$S$317=$A74),--ISNUMBER('Данные 1st'!$AS$2:$AS$317))</f>
        <v>1</v>
      </c>
      <c r="M74">
        <f>SUMPRODUCT(--('Данные 1st'!$S$2:$S$317=$A74),--ISNUMBER('Данные 1st'!$AY$2:$AY$317))</f>
        <v>1</v>
      </c>
      <c r="N74">
        <f>SUMPRODUCT(--('Данные 1st'!$S$2:$S$317=$A74),--ISNUMBER('Данные 1st'!$AZ$2:$AZ$317))</f>
        <v>1</v>
      </c>
      <c r="O74">
        <f>SUMPRODUCT(--('Данные 1st'!$S$2:$S$317=$A74),--ISNUMBER('Данные 1st'!$BF$2:$BF$317))</f>
        <v>1</v>
      </c>
      <c r="P74">
        <f>SUMPRODUCT(--('Данные 1st'!$S$2:$S$317=$A74),--ISNUMBER('Данные 1st'!$BG$2:$BG$317))</f>
        <v>1</v>
      </c>
      <c r="Q74">
        <f>SUMPRODUCT(--('Данные 1st'!$S$2:$S$317=$A74),--ISNUMBER('Данные 1st'!$BM$2:$BM$317))</f>
        <v>0</v>
      </c>
      <c r="R74">
        <f>SUMPRODUCT(--('Данные 1st'!$S$2:$S$317=$A74),--ISNUMBER('Данные 1st'!$BN$2:$BN$317))</f>
        <v>1</v>
      </c>
      <c r="S74">
        <f>SUMPRODUCT(--('Данные 1st'!$S$2:$S$317=$A74),--ISNUMBER('Данные 1st'!$BT$2:$BT$317))</f>
        <v>1</v>
      </c>
      <c r="T74">
        <f>SUMPRODUCT(--('Данные 1st'!$S$2:$S$317=$A74),--ISNUMBER('Данные 1st'!$BU$2:$BU$317))</f>
        <v>1</v>
      </c>
      <c r="U74">
        <f>SUMPRODUCT(--('Данные 1st'!$S$2:$S$317=$A74),--ISNUMBER('Данные 1st'!$BW$2:$BW$317))</f>
        <v>1</v>
      </c>
      <c r="V74">
        <f>SUMPRODUCT(--('Данные 1st'!$S$2:$S$317=$A74),--ISNUMBER('Данные 1st'!$BX$2:$BX$317))</f>
        <v>1</v>
      </c>
      <c r="W74">
        <f>SUMPRODUCT(--('Данные 1st'!$S$2:$S$317=$A74),--ISNUMBER('Данные 1st'!$BZ$2:$BZ$317))</f>
        <v>1</v>
      </c>
      <c r="X74">
        <f>SUMPRODUCT(--('Данные 1st'!$S$2:$S$317=$A74),--ISNUMBER('Данные 1st'!$CA$2:$CA$317))</f>
        <v>1</v>
      </c>
      <c r="Y74">
        <f>SUMPRODUCT(--('Данные 1st'!$S$2:$S$317=$A74),--ISNUMBER('Данные 1st'!$CD$2:$CD$317))</f>
        <v>1</v>
      </c>
      <c r="Z74">
        <f>SUMPRODUCT(--('Данные 1st'!$S$2:$S$317=$A74),--ISNUMBER('Данные 1st'!$CF$2:$CF$317))</f>
        <v>1</v>
      </c>
      <c r="AA74">
        <f>SUMPRODUCT(--('Данные 1st'!$S$2:$S$317=$A74),--ISNUMBER('Данные 1st'!$CI$2:$CI$317))</f>
        <v>1</v>
      </c>
      <c r="AB74">
        <f>SUMPRODUCT(--('Данные 1st'!$S$2:$S$317=$A74),--ISNUMBER('Данные 1st'!$CJ$2:$CJ$317))</f>
        <v>1</v>
      </c>
      <c r="AC74">
        <f>SUMPRODUCT(--('Данные 1st'!$S$2:$S$317=$A74),--ISNUMBER('Данные 1st'!$CK$2:$CK$317))</f>
        <v>1</v>
      </c>
      <c r="AD74">
        <f>SUMPRODUCT(--('Данные 1st'!$S$2:$S$317=$A74),--ISNUMBER('Данные 1st'!$CL$2:$CL$317))</f>
        <v>1</v>
      </c>
      <c r="AE74">
        <f>SUMPRODUCT(--('Данные 1st'!$S$2:$S$317=$A74),--ISNUMBER('Данные 1st'!$CM$2:$CM$317))</f>
        <v>1</v>
      </c>
      <c r="AF74">
        <f>SUMPRODUCT(--('Данные 1st'!$S$2:$S$317=$A74),--ISNUMBER('Данные 1st'!$CT$2:$CT$317))</f>
        <v>1</v>
      </c>
      <c r="AG74">
        <f>SUMPRODUCT(--('Данные 1st'!$S$2:$S$317=$A74),--ISNUMBER('Данные 1st'!$CU$2:$CU$317))</f>
        <v>1</v>
      </c>
      <c r="AH74">
        <f>SUMPRODUCT(--('Данные 1st'!$S$2:$S$317=$A74),--ISNUMBER('Данные 1st'!$CV$2:$CV$317))</f>
        <v>1</v>
      </c>
      <c r="AI74">
        <f>SUMPRODUCT(--('Данные 1st'!$S$2:$S$317=$A74),--ISNUMBER('Данные 1st'!$CW$2:$CW$317))</f>
        <v>1</v>
      </c>
      <c r="AJ74">
        <f>SUMPRODUCT(--('Данные 1st'!$S$2:$S$317=$A74),--ISNUMBER('Данные 1st'!$CX$2:$CX$317))</f>
        <v>1</v>
      </c>
      <c r="AK74">
        <f>SUMPRODUCT(--('Данные 1st'!$S$2:$S$317=$A74),--ISNUMBER('Данные 1st'!$CZ$2:$CZ$317))</f>
        <v>1</v>
      </c>
      <c r="AL74">
        <f>SUMPRODUCT(--('Данные 1st'!$S$2:$S$317=$A74),--ISNUMBER('Данные 1st'!$DA$2:$DA$317))</f>
        <v>1</v>
      </c>
      <c r="AM74">
        <f>SUMPRODUCT(--('Данные 1st'!$S$2:$S$317=$A74),--ISNUMBER('Данные 1st'!$DB$2:$DB$317))</f>
        <v>1</v>
      </c>
      <c r="AN74">
        <f>SUMPRODUCT(--('Данные 1st'!$S$2:$S$317=$A74),--ISNUMBER('Данные 1st'!$DC$2:$DC$317))</f>
        <v>1</v>
      </c>
      <c r="AO74">
        <f>SUMPRODUCT(--('Данные 1st'!$S$2:$S$317=$A74),--ISNUMBER('Данные 1st'!$DD$2:$DD$317))</f>
        <v>1</v>
      </c>
      <c r="AP74">
        <f>SUMPRODUCT(--('Данные 1st'!$S$2:$S$317=$A74),--ISNUMBER('Данные 1st'!$DF$2:$DF$317))</f>
        <v>1</v>
      </c>
      <c r="AQ74">
        <f>SUMPRODUCT(--('Данные 1st'!$S$2:$S$317=$A74),--ISNUMBER('Данные 1st'!$DG$2:$DG$317))</f>
        <v>1</v>
      </c>
      <c r="AR74">
        <f>SUMPRODUCT(--('Данные 1st'!$S$2:$S$317=$A74),--ISNUMBER('Данные 1st'!$DH$2:$DH$317))</f>
        <v>1</v>
      </c>
      <c r="AS74">
        <f>SUMPRODUCT(--('Данные 1st'!$S$2:$S$317=$A74),--ISNUMBER('Данные 1st'!$DI$2:$DI$317))</f>
        <v>1</v>
      </c>
      <c r="AT74">
        <f>SUMPRODUCT(--('Данные 1st'!$S$2:$S$317=$A74),--ISNUMBER('Данные 1st'!$DJ$2:$DJ$317))</f>
        <v>1</v>
      </c>
      <c r="AU74">
        <f>SUMPRODUCT(--('Данные 1st'!$S$2:$S$317=$A74),--ISNUMBER('Данные 1st'!$DL$2:$DL$317))</f>
        <v>1</v>
      </c>
      <c r="AV74">
        <f>SUMPRODUCT(--('Данные 1st'!$S$2:$S$317=$A74),--ISNUMBER('Данные 1st'!$DM$2:$DM$317))</f>
        <v>1</v>
      </c>
      <c r="AW74">
        <f>SUMPRODUCT(--('Данные 1st'!$S$2:$S$317=$A74),--ISNUMBER('Данные 1st'!$DN$2:$DN$317))</f>
        <v>1</v>
      </c>
      <c r="AX74">
        <f>SUMPRODUCT(--('Данные 1st'!$S$2:$S$317=$A74),--ISNUMBER('Данные 1st'!$DO$2:$DO$317))</f>
        <v>1</v>
      </c>
      <c r="AY74">
        <f>SUMPRODUCT(--('Данные 1st'!$S$2:$S$317=$A74),--ISNUMBER('Данные 1st'!$DP$2:$DP$317))</f>
        <v>1</v>
      </c>
      <c r="AZ74">
        <f>SUMPRODUCT(--('Данные 1st'!$S$2:$S$317=$A74),--ISNUMBER('Данные 1st'!$DR$2:$DR$317))</f>
        <v>0</v>
      </c>
      <c r="BA74">
        <f>SUMPRODUCT(--('Данные 1st'!$S$2:$S$317=$A74),--ISNUMBER('Данные 1st'!$DS$2:$DS$317))</f>
        <v>0</v>
      </c>
      <c r="BB74">
        <f>SUMPRODUCT(--('Данные 1st'!$S$2:$S$317=$A74),--ISNUMBER('Данные 1st'!$DT$2:$DT$317))</f>
        <v>0</v>
      </c>
      <c r="BC74">
        <f>SUMPRODUCT(--('Данные 1st'!$S$2:$S$317=$A74),--ISNUMBER('Данные 1st'!$DU$2:$DU$317))</f>
        <v>0</v>
      </c>
      <c r="BD74">
        <f>SUMPRODUCT(--('Данные 1st'!$S$2:$S$317=$A74),--ISNUMBER('Данные 1st'!$DV$2:$DV$317))</f>
        <v>0</v>
      </c>
      <c r="BE74">
        <f>SUMPRODUCT(--('Данные 1st'!$S$2:$S$317=$A74),--ISNUMBER('Данные 1st'!$DX$2:$DX$317))</f>
        <v>1</v>
      </c>
      <c r="BF74">
        <f>SUMPRODUCT(--('Данные 1st'!$S$2:$S$317=$A74),--ISNUMBER('Данные 1st'!$EA$2:$EA$317))</f>
        <v>1</v>
      </c>
      <c r="BG74">
        <f>SUMPRODUCT(--('Данные 1st'!$S$2:$S$317=$A74),--ISNUMBER('Данные 1st'!$EB$2:$EB$317))</f>
        <v>1</v>
      </c>
      <c r="BH74">
        <f>SUMPRODUCT(--('Данные 1st'!$S$2:$S$317=$A74),--ISNUMBER('Данные 1st'!$ED$2:$ED$317))</f>
        <v>1</v>
      </c>
      <c r="BI74">
        <f>SUMPRODUCT(--('Данные 1st'!$S$2:$S$317=$A74),--ISNUMBER('Данные 1st'!$EE$2:$EE$317))</f>
        <v>1</v>
      </c>
      <c r="BJ74">
        <f>SUMPRODUCT(--('Данные 1st'!$S$2:$S$317=$A74),--ISNUMBER('Данные 1st'!$EG$2:$EG$317))</f>
        <v>1</v>
      </c>
      <c r="BK74">
        <f>SUMPRODUCT(--('Данные 1st'!$S$2:$S$317=$A74),--ISNUMBER('Данные 1st'!$EH$2:$EH$317))</f>
        <v>1</v>
      </c>
      <c r="BL74">
        <f>SUMPRODUCT(--('Данные 1st'!$S$2:$S$317=$A74),--ISNUMBER('Данные 1st'!$EJ$2:$EJ$317))</f>
        <v>1</v>
      </c>
      <c r="BM74">
        <f>SUMPRODUCT(--('Данные 1st'!$S$2:$S$317=$A74),--ISNUMBER('Данные 1st'!$EK$2:$EK$317))</f>
        <v>1</v>
      </c>
      <c r="BN74">
        <f>SUMPRODUCT(--('Данные 1st'!$S$2:$S$317=$A74),--ISNUMBER('Данные 1st'!$EN$2:$EN$317))</f>
        <v>1</v>
      </c>
      <c r="BO74">
        <f>SUMPRODUCT(--('Данные 1st'!$S$2:$S$317=$A74),--ISNUMBER('Данные 1st'!$EQ$2:$EQ$317))</f>
        <v>1</v>
      </c>
      <c r="BP74">
        <f>SUMPRODUCT(--('Данные 1st'!$S$2:$S$317=$A74),--ISNUMBER('Данные 1st'!$ER$2:$ER$317))</f>
        <v>1</v>
      </c>
      <c r="BQ74">
        <f>SUMPRODUCT(--('Данные 1st'!$S$2:$S$317=$A74),--ISNUMBER('Данные 1st'!$ES$2:$ES$317))</f>
        <v>1</v>
      </c>
      <c r="BR74">
        <f>SUMPRODUCT(--('Данные 1st'!$S$2:$S$317=$A74),--ISNUMBER('Данные 1st'!$ET$2:$ET$317))</f>
        <v>1</v>
      </c>
      <c r="BS74">
        <f>SUMPRODUCT(--('Данные 1st'!$S$2:$S$317=$A74),--ISNUMBER('Данные 1st'!$EU$2:$EU$317))</f>
        <v>1</v>
      </c>
      <c r="BT74">
        <f>SUMPRODUCT(--('Данные 1st'!$S$2:$S$317=$A74),--ISNUMBER('Данные 1st'!$EV$2:$EV$317))</f>
        <v>1</v>
      </c>
      <c r="BU74">
        <f>SUMPRODUCT(--('Данные 1st'!$S$2:$S$317=$A74),--ISNUMBER('Данные 1st'!$EX$2:$EX$317))</f>
        <v>1</v>
      </c>
      <c r="BV74">
        <f>SUMPRODUCT(--('Данные 1st'!$S$2:$S$317=$A74),--ISNUMBER('Данные 1st'!$EY$2:$EY$317))</f>
        <v>1</v>
      </c>
      <c r="BW74">
        <f>SUMPRODUCT(--('Данные 1st'!$S$2:$S$317=$A74),--ISNUMBER('Данные 1st'!$EZ$2:$EZ$317))</f>
        <v>1</v>
      </c>
      <c r="BX74">
        <f>SUMPRODUCT(--('Данные 1st'!$S$2:$S$317=$A74),--ISNUMBER('Данные 1st'!$FA$2:$FA$317))</f>
        <v>1</v>
      </c>
      <c r="BY74">
        <f>SUMPRODUCT(--('Данные 1st'!$S$2:$S$317=$A74),--ISNUMBER('Данные 1st'!$FB$2:$FB$317))</f>
        <v>1</v>
      </c>
      <c r="BZ74">
        <f>SUMPRODUCT(--('Данные 1st'!$S$2:$S$317=$A74),--ISNUMBER('Данные 1st'!$FC$2:$FC$317))</f>
        <v>1</v>
      </c>
      <c r="CA74">
        <f>SUMPRODUCT(--('Данные 1st'!$S$2:$S$317=$A74),--ISNUMBER('Данные 1st'!$FE$2:$FE$317))</f>
        <v>1</v>
      </c>
      <c r="CB74">
        <f>SUMPRODUCT(--('Данные 1st'!$S$2:$S$317=$A74),--ISNUMBER('Данные 1st'!$FF$2:$FF$317))</f>
        <v>1</v>
      </c>
      <c r="CC74">
        <f>SUMPRODUCT(--('Данные 1st'!$S$2:$S$317=$A74),--ISNUMBER('Данные 1st'!$FI$2:$FI$317))</f>
        <v>1</v>
      </c>
      <c r="CD74">
        <f>SUMPRODUCT(--('Данные 1st'!$S$2:$S$317=$A74),--ISNUMBER('Данные 1st'!$FL$2:$FL$317))</f>
        <v>1</v>
      </c>
      <c r="CE74">
        <f>SUMPRODUCT(--('Данные 1st'!$S$2:$S$317=$A74),--ISNUMBER('Данные 1st'!$FM$2:$FM$317))</f>
        <v>1</v>
      </c>
      <c r="CF74">
        <f>SUMPRODUCT(--('Данные 1st'!$S$2:$S$317=$A74),--ISNUMBER('Данные 1st'!$FN$2:$FN$317))</f>
        <v>1</v>
      </c>
      <c r="CG74">
        <f>SUMPRODUCT(--('Данные 1st'!$S$2:$S$317=$A74),--ISNUMBER('Данные 1st'!$FO$2:$FO$317))</f>
        <v>1</v>
      </c>
      <c r="CH74">
        <f>SUMPRODUCT(--('Данные 1st'!$S$2:$S$317=$A74),--ISNUMBER('Данные 1st'!$FP$2:$FP$317))</f>
        <v>1</v>
      </c>
      <c r="CI74">
        <f>SUMPRODUCT(--('Данные 1st'!$S$2:$S$317=$A74),--ISNUMBER('Данные 1st'!$FS$2:$FS$317))</f>
        <v>0</v>
      </c>
      <c r="CJ74">
        <f>SUMPRODUCT(--('Данные 1st'!$S$2:$S$317=$A74),--ISNUMBER('Данные 1st'!$FT$2:$FT$317))</f>
        <v>0</v>
      </c>
      <c r="CK74">
        <f>SUMPRODUCT(--('Данные 1st'!$S$2:$S$317=$A74),--ISNUMBER('Данные 1st'!$FU$2:$FU$317))</f>
        <v>0</v>
      </c>
      <c r="CL74">
        <f>SUMPRODUCT(--('Данные 1st'!$S$2:$S$317=$A74),--ISNUMBER('Данные 1st'!$FV$2:$FV$317))</f>
        <v>0</v>
      </c>
      <c r="CM74">
        <f>SUMPRODUCT(--('Данные 1st'!$S$2:$S$317=$A74),--ISNUMBER('Данные 1st'!$FW$2:$FW$317))</f>
        <v>0</v>
      </c>
      <c r="CN74">
        <f>SUMPRODUCT(--('Данные 1st'!$S$2:$S$317=$A74),--ISNUMBER('Данные 1st'!$FZ$2:$FZ$317))</f>
        <v>0</v>
      </c>
      <c r="CO74">
        <f>SUMPRODUCT(--('Данные 1st'!$S$2:$S$317=$A74),--ISNUMBER('Данные 1st'!$GA$2:$GA$317))</f>
        <v>0</v>
      </c>
      <c r="CP74">
        <f>SUMPRODUCT(--('Данные 1st'!$S$2:$S$317=$A74),--ISNUMBER('Данные 1st'!$GB$2:$GB$317))</f>
        <v>0</v>
      </c>
      <c r="CQ74">
        <f>SUMPRODUCT(--('Данные 1st'!$S$2:$S$317=$A74),--ISNUMBER('Данные 1st'!$GH$2:$GH$317))</f>
        <v>0</v>
      </c>
      <c r="CR74">
        <f>SUMPRODUCT(--('Данные 1st'!$S$2:$S$317=$A74),--ISNUMBER('Данные 1st'!$GI$2:$GI$317))</f>
        <v>0</v>
      </c>
      <c r="CS74">
        <f>SUMPRODUCT(--('Данные 1st'!$S$2:$S$317=$A74),--ISNUMBER('Данные 1st'!$GJ$2:$GJ$317))</f>
        <v>0</v>
      </c>
      <c r="CT74">
        <f>SUMPRODUCT(--('Данные 1st'!$S$2:$S$317=$A74),--ISNUMBER('Данные 1st'!$GS$2:$GS$317))</f>
        <v>1</v>
      </c>
      <c r="CU74">
        <f>SUMPRODUCT(--('Данные 1st'!$S$2:$S$317=$A74),--ISNUMBER('Данные 1st'!$GT$2:$GT$317))</f>
        <v>1</v>
      </c>
      <c r="CV74">
        <f>SUMPRODUCT(--('Данные 1st'!$S$2:$S$317=$A74),--ISNUMBER('Данные 1st'!$GU$2:$GU$317))</f>
        <v>1</v>
      </c>
      <c r="CW74">
        <f>SUMPRODUCT(--('Данные 1st'!$S$2:$S$317=$A74),--ISNUMBER('Данные 1st'!$GV$2:$GV$317))</f>
        <v>1</v>
      </c>
      <c r="CX74">
        <f>SUMPRODUCT(--('Данные 1st'!$S$2:$S$317=$A74),--ISNUMBER('Данные 1st'!$GW$2:$GW$317))</f>
        <v>1</v>
      </c>
      <c r="CY74">
        <f>SUMPRODUCT(--('Данные 1st'!$S$2:$S$317=$A74),--ISNUMBER('Данные 1st'!$GZ$2:$GZ$317))</f>
        <v>0</v>
      </c>
      <c r="CZ74">
        <f>SUMPRODUCT(--('Данные 1st'!$S$2:$S$317=$A74),--ISNUMBER('Данные 1st'!$HA$2:$HA$317))</f>
        <v>0</v>
      </c>
      <c r="DA74">
        <f>SUMPRODUCT(--('Данные 1st'!$S$2:$S$317=$A74),--ISNUMBER('Данные 1st'!$HB$2:$HB$317))</f>
        <v>0</v>
      </c>
      <c r="DB74">
        <f>SUMPRODUCT(--('Данные 1st'!$S$2:$S$317=$A74),--ISNUMBER('Данные 1st'!$HC$2:$HC$317))</f>
        <v>1</v>
      </c>
      <c r="DC74">
        <f>SUMPRODUCT(--('Данные 1st'!$S$2:$S$317=$A74),--ISNUMBER('Данные 1st'!$HD$2:$HD$317))</f>
        <v>1</v>
      </c>
      <c r="DD74">
        <f>SUMPRODUCT(--('Данные 1st'!$S$2:$S$317=$A74),--ISNUMBER('Данные 1st'!$HE$2:$HE$317))</f>
        <v>1</v>
      </c>
      <c r="DE74">
        <f>SUMPRODUCT(--('Данные 1st'!$S$2:$S$317=$A74),--ISNUMBER('Данные 1st'!$HF$2:$HF$317))</f>
        <v>1</v>
      </c>
      <c r="DF74">
        <f>SUMPRODUCT(--('Данные 1st'!$S$2:$S$317=$A74),--ISNUMBER('Данные 1st'!$HG$2:$HG$317))</f>
        <v>1</v>
      </c>
      <c r="DG74">
        <f>SUMPRODUCT(--('Данные 1st'!$S$2:$S$317=$A74),--ISNUMBER('Данные 1st'!$HH$2:$HH$317))</f>
        <v>1</v>
      </c>
      <c r="DH74">
        <f>SUMPRODUCT(--('Данные 1st'!$S$2:$S$317=$A74),--ISNUMBER('Данные 1st'!$HI$2:$HI$317))</f>
        <v>1</v>
      </c>
      <c r="DI74">
        <f>SUMPRODUCT(--('Данные 1st'!$S$2:$S$317=$A74),--ISNUMBER('Данные 1st'!$HJ$2:$HJ$317))</f>
        <v>1</v>
      </c>
      <c r="DJ74">
        <f>SUMPRODUCT(--('Данные 1st'!$S$2:$S$317=$A74),--ISNUMBER('Данные 1st'!$HK$2:$HK$317))</f>
        <v>1</v>
      </c>
      <c r="DK74">
        <f>SUMPRODUCT(--('Данные 1st'!$S$2:$S$317=$A74),--ISNUMBER('Данные 1st'!$HL$2:$HL$317))</f>
        <v>1</v>
      </c>
      <c r="DL74">
        <f>SUMPRODUCT(--('Данные 1st'!$S$2:$S$317=$A74),--ISNUMBER('Данные 1st'!$HM$2:$HM$317))</f>
        <v>1</v>
      </c>
      <c r="DM74">
        <f>SUMPRODUCT(--('Данные 1st'!$S$2:$S$317=$A74),--ISNUMBER('Данные 1st'!$HN$2:$HN$317))</f>
        <v>1</v>
      </c>
      <c r="DN74">
        <f>SUMPRODUCT(--('Данные 1st'!$S$2:$S$317=$A74),--ISNUMBER('Данные 1st'!$HO$2:$HO$317))</f>
        <v>1</v>
      </c>
      <c r="DO74">
        <f>SUMPRODUCT(--('Данные 1st'!$S$2:$S$317=$A74),--ISNUMBER('Данные 1st'!$HP$2:$HP$317))</f>
        <v>1</v>
      </c>
      <c r="DP74">
        <f>SUMPRODUCT(--('Данные 1st'!$S$2:$S$317=$A74),--ISNUMBER('Данные 1st'!$HQ$2:$HQ$317))</f>
        <v>1</v>
      </c>
      <c r="DQ74">
        <f>SUMPRODUCT(--('Данные 1st'!$S$2:$S$317=$A74),--ISNUMBER('Данные 1st'!$HR$2:$HR$317))</f>
        <v>1</v>
      </c>
      <c r="DR74">
        <f>SUMPRODUCT(--('Данные 1st'!$S$2:$S$317=$A74),--ISNUMBER('Данные 1st'!$HS$2:$HS$317))</f>
        <v>1</v>
      </c>
      <c r="DS74">
        <f>SUMPRODUCT(--('Данные 1st'!$S$2:$S$317=$A74),--ISNUMBER('Данные 1st'!$HT$2:$HT$317))</f>
        <v>1</v>
      </c>
      <c r="DT74">
        <f>SUMPRODUCT(--('Данные 1st'!$S$2:$S$317=$A74),--ISNUMBER('Данные 1st'!$HU$2:$HU$317))</f>
        <v>1</v>
      </c>
      <c r="DU74">
        <f>SUMPRODUCT(--('Данные 1st'!$S$2:$S$317=$A74),--ISNUMBER('Данные 1st'!$HW$2:$HW$317))</f>
        <v>1</v>
      </c>
      <c r="DV74">
        <f>SUMPRODUCT(--('Данные 1st'!$S$2:$S$317=$A74),--ISNUMBER('Данные 1st'!$HX$2:$HX$317))</f>
        <v>1</v>
      </c>
      <c r="DW74">
        <f>SUMPRODUCT(--('Данные 1st'!$S$2:$S$317=$A74),--ISNUMBER('Данные 1st'!$HY$2:$HY$317))</f>
        <v>1</v>
      </c>
      <c r="DX74">
        <f>SUMPRODUCT(--('Данные 1st'!$S$2:$S$317=$A74),--ISNUMBER('Данные 1st'!$IA$2:$IA$317))</f>
        <v>1</v>
      </c>
      <c r="DY74">
        <f>SUMPRODUCT(--('Данные 1st'!$S$2:$S$317=$A74),--ISNUMBER('Данные 1st'!$IB$2:$IB$317))</f>
        <v>1</v>
      </c>
      <c r="DZ74">
        <f>SUMPRODUCT(--('Данные 1st'!$S$2:$S$317=$A74),--ISNUMBER('Данные 1st'!$IC$2:$IC$317))</f>
        <v>1</v>
      </c>
      <c r="EA74">
        <f>SUMPRODUCT(--('Данные 1st'!$S$2:$S$317=$A74),--ISNUMBER('Данные 1st'!$ID$2:$ID$317))</f>
        <v>1</v>
      </c>
      <c r="EB74">
        <f>SUMPRODUCT(--('Данные 1st'!$S$2:$S$317=$A74),--ISNUMBER('Данные 1st'!$IE$2:$IE$317))</f>
        <v>1</v>
      </c>
      <c r="EC74">
        <f>SUMPRODUCT(--('Данные 1st'!$S$2:$S$317=$A74),--ISNUMBER('Данные 1st'!$IF$2:$IF$317))</f>
        <v>1</v>
      </c>
      <c r="ED74">
        <f>SUMPRODUCT(--('Данные 1st'!$S$2:$S$317=$A74),--ISNUMBER('Данные 1st'!$IP$2:$IP$317))</f>
        <v>1</v>
      </c>
      <c r="EE74">
        <f>SUMPRODUCT(--('Данные 1st'!$S$2:$S$317=$A74),--ISNUMBER('Данные 1st'!$IV$2:$IV$317))</f>
        <v>1</v>
      </c>
      <c r="EF74">
        <f>SUMPRODUCT(--('Данные 1st'!$S$2:$S$317=$A74),--ISNUMBER('Данные 1st'!$IW$2:$IW$317))</f>
        <v>1</v>
      </c>
      <c r="EG74">
        <f>SUMPRODUCT(--('Данные 1st'!$S$2:$S$317=$A74),--ISNUMBER('Данные 1st'!$IX$2:$IX$317))</f>
        <v>0</v>
      </c>
      <c r="EH74">
        <f>SUMPRODUCT(--('Данные 1st'!$S$2:$S$317=$A74),--ISNUMBER('Данные 1st'!$IY$2:$IY$317))</f>
        <v>0</v>
      </c>
      <c r="EI74">
        <f>SUMPRODUCT(--('Данные 1st'!$S$2:$S$317=$A74),--ISNUMBER('Данные 1st'!$JD$2:$JD$317))</f>
        <v>1</v>
      </c>
      <c r="EJ74">
        <f>SUMPRODUCT(--('Данные 1st'!$S$2:$S$317=$A74),--ISNUMBER('Данные 1st'!$JE$2:$JE$317))</f>
        <v>1</v>
      </c>
      <c r="EK74">
        <f>SUMPRODUCT(--('Данные 1st'!$S$2:$S$317=$A74),--ISNUMBER('Данные 1st'!$JF$2:$JF$317))</f>
        <v>1</v>
      </c>
      <c r="EL74">
        <f>SUMPRODUCT(--('Данные 1st'!$S$2:$S$317=$A74),--ISNUMBER('Данные 1st'!$JG$2:$JG$317))</f>
        <v>1</v>
      </c>
      <c r="EM74">
        <f>SUMPRODUCT(--('Данные 1st'!$S$2:$S$317=$A74),--ISNUMBER('Данные 1st'!$JH$2:$JH$317))</f>
        <v>1</v>
      </c>
      <c r="EN74">
        <f>SUMPRODUCT(--('Данные 1st'!$S$2:$S$317=$A74),--ISNUMBER('Данные 1st'!$JJ$2:$JJ$317))</f>
        <v>1</v>
      </c>
      <c r="EO74">
        <f>SUMPRODUCT(--('Данные 1st'!$S$2:$S$317=$A74),--ISNUMBER('Данные 1st'!$JK$2:$JK$317))</f>
        <v>1</v>
      </c>
      <c r="EP74">
        <f>SUMPRODUCT(--('Данные 1st'!$S$2:$S$317=$A74),--ISNUMBER('Данные 1st'!$JL$2:$JL$317))</f>
        <v>0</v>
      </c>
      <c r="EQ74">
        <f>SUMPRODUCT(--('Данные 1st'!$S$2:$S$317=$A74),--ISNUMBER('Данные 1st'!$JM$2:$JM$317))</f>
        <v>0</v>
      </c>
      <c r="ER74">
        <f>SUMPRODUCT(--('Данные 1st'!$S$2:$S$317=$A74),--ISNUMBER('Данные 1st'!$JN$2:$JN$317))</f>
        <v>1</v>
      </c>
      <c r="ES74">
        <f>SUMPRODUCT(--('Данные 1st'!$S$2:$S$317=$A74),--ISNUMBER('Данные 1st'!$JO$2:$JO$317))</f>
        <v>1</v>
      </c>
      <c r="ET74">
        <f>SUMPRODUCT(--('Данные 1st'!$S$2:$S$317=$A74),--ISNUMBER('Данные 1st'!$JP$2:$JP$317))</f>
        <v>1</v>
      </c>
      <c r="EU74">
        <f>SUMPRODUCT(--('Данные 1st'!$S$2:$S$317=$A74),--ISNUMBER('Данные 1st'!$JQ$2:$JQ$317))</f>
        <v>1</v>
      </c>
      <c r="EV74">
        <f>SUMPRODUCT(--('Данные 1st'!$S$2:$S$317=$A74),--ISNUMBER('Данные 1st'!$JR$2:$JR$317))</f>
        <v>1</v>
      </c>
      <c r="EW74">
        <f>SUMPRODUCT(--('Данные 1st'!$S$2:$S$317=$A74),--ISNUMBER('Данные 1st'!$JS$2:$JS$317))</f>
        <v>1</v>
      </c>
      <c r="EX74">
        <f>SUMPRODUCT(--('Данные 1st'!$S$2:$S$317=$A74),--ISNUMBER('Данные 1st'!$JT$2:$JT$317))</f>
        <v>0</v>
      </c>
      <c r="EY74">
        <f>SUMPRODUCT(--('Данные 1st'!$S$2:$S$317=$A74),--ISNUMBER('Данные 1st'!$JU$2:$JU$317))</f>
        <v>0</v>
      </c>
      <c r="EZ74">
        <f>SUMPRODUCT(--('Данные 1st'!$S$2:$S$317=$A74),--ISNUMBER('Данные 1st'!$JV$2:$JV$317))</f>
        <v>1</v>
      </c>
      <c r="FA74">
        <f>SUMPRODUCT(--('Данные 1st'!$S$2:$S$317=$A74),--ISNUMBER('Данные 1st'!$JW$2:$JW$317))</f>
        <v>0</v>
      </c>
      <c r="FB74">
        <f>SUMPRODUCT(--('Данные 1st'!$S$2:$S$317=$A74),--ISNUMBER('Данные 1st'!$JX$2:$JX$317))</f>
        <v>1</v>
      </c>
      <c r="FC74">
        <f>SUMPRODUCT(--('Данные 1st'!$S$2:$S$317=$A74),--ISNUMBER('Данные 1st'!$JY$2:$JY$317))</f>
        <v>0</v>
      </c>
      <c r="FD74">
        <f>SUMPRODUCT(--('Данные 1st'!$S$2:$S$317=$A74),--ISNUMBER('Данные 1st'!$JZ$2:$JZ$317))</f>
        <v>0</v>
      </c>
      <c r="FE74">
        <f>SUMPRODUCT(--('Данные 1st'!$S$2:$S$317=$A74),--ISNUMBER('Данные 1st'!$KA$2:$KA$317))</f>
        <v>1</v>
      </c>
      <c r="FF74">
        <f>SUMPRODUCT(--('Данные 1st'!$S$2:$S$317=$A74),--ISNUMBER('Данные 1st'!$KB$2:$KB$317))</f>
        <v>1</v>
      </c>
      <c r="FG74">
        <f>SUMPRODUCT(--('Данные 1st'!$S$2:$S$317=$A74),--ISNUMBER('Данные 1st'!$KC$2:$KC$317))</f>
        <v>1</v>
      </c>
      <c r="FH74">
        <f>SUMPRODUCT(--('Данные 1st'!$S$2:$S$317=$A74),--ISNUMBER('Данные 1st'!$KD$2:$KD$317))</f>
        <v>1</v>
      </c>
      <c r="FI74">
        <f>SUMPRODUCT(--('Данные 1st'!$S$2:$S$317=$A74),--ISNUMBER('Данные 1st'!$KE$2:$KE$317))</f>
        <v>0</v>
      </c>
      <c r="FJ74">
        <f>SUMPRODUCT(--('Данные 1st'!$S$2:$S$317=$A74),--ISNUMBER('Данные 1st'!$KF$2:$KF$317))</f>
        <v>1</v>
      </c>
      <c r="FK74">
        <f>SUMPRODUCT(--('Данные 1st'!$S$2:$S$317=$A74),--ISNUMBER('Данные 1st'!$KG$2:$KG$317))</f>
        <v>1</v>
      </c>
      <c r="FL74">
        <f>SUMPRODUCT(--('Данные 1st'!$S$2:$S$317=$A74),--ISNUMBER('Данные 1st'!$KH$2:$KH$317))</f>
        <v>1</v>
      </c>
      <c r="FM74">
        <f>SUMPRODUCT(--('Данные 1st'!$S$2:$S$317=$A74),--ISNUMBER('Данные 1st'!$KI$2:$KI$317))</f>
        <v>1</v>
      </c>
      <c r="FN74">
        <f>SUMPRODUCT(--('Данные 1st'!$S$2:$S$317=$A74),--ISNUMBER('Данные 1st'!$KJ$2:$KJ$317))</f>
        <v>1</v>
      </c>
      <c r="FO74">
        <f>SUMPRODUCT(--('Данные 1st'!$S$2:$S$317=$A74),--ISNUMBER('Данные 1st'!$KK$2:$KK$317))</f>
        <v>1</v>
      </c>
      <c r="FP74">
        <f>SUMPRODUCT(--('Данные 1st'!$S$2:$S$317=$A74),--ISNUMBER('Данные 1st'!$KL$2:$KL$317))</f>
        <v>1</v>
      </c>
      <c r="FQ74">
        <f>SUMPRODUCT(--('Данные 1st'!$S$2:$S$317=$A74),--ISNUMBER('Данные 1st'!$KM$2:$KM$317))</f>
        <v>1</v>
      </c>
      <c r="FR74">
        <f>SUMPRODUCT(--('Данные 1st'!$S$2:$S$317=$A74),--ISNUMBER('Данные 1st'!$KN$2:$KN$317))</f>
        <v>1</v>
      </c>
      <c r="FS74">
        <f>SUMPRODUCT(--('Данные 1st'!$S$2:$S$317=$A74),--ISNUMBER('Данные 1st'!$KR$2:$KR$317))</f>
        <v>1</v>
      </c>
      <c r="FT74">
        <f>SUMPRODUCT(--('Данные 1st'!$S$2:$S$317=$A74),--ISNUMBER('Данные 1st'!$KS$2:$KS$317))</f>
        <v>1</v>
      </c>
      <c r="FU74">
        <f>SUMPRODUCT(--('Данные 1st'!$S$2:$S$317=$A74),--ISNUMBER('Данные 1st'!$KT$2:$KT$317))</f>
        <v>1</v>
      </c>
      <c r="FV74">
        <f>SUMPRODUCT(--('Данные 1st'!$S$2:$S$317=$A74),--ISNUMBER('Данные 1st'!$KV$2:$KV$317))</f>
        <v>0</v>
      </c>
      <c r="FW74">
        <f>SUMPRODUCT(--('Данные 1st'!$S$2:$S$317=$A74),--ISNUMBER('Данные 1st'!$KW$2:$KW$317))</f>
        <v>0</v>
      </c>
      <c r="FX74">
        <f>SUMPRODUCT(--('Данные 1st'!$S$2:$S$317=$A74),--ISNUMBER('Данные 1st'!$KX$2:$KX$317))</f>
        <v>0</v>
      </c>
      <c r="FY74">
        <f>SUMPRODUCT(--('Данные 1st'!$S$2:$S$317=$A74),--ISNUMBER('Данные 1st'!$KY$2:$KY$317))</f>
        <v>0</v>
      </c>
      <c r="FZ74">
        <f>SUMPRODUCT(--('Данные 1st'!$S$2:$S$317=$A74),--ISNUMBER('Данные 1st'!$KZ$2:$KZ$317))</f>
        <v>0</v>
      </c>
      <c r="GA74">
        <f>SUMPRODUCT(--('Данные 1st'!$S$2:$S$317=$A74),--ISNUMBER('Данные 1st'!$LA$2:$LA$317))</f>
        <v>0</v>
      </c>
      <c r="GB74">
        <f>SUMPRODUCT(--('Данные 1st'!$S$2:$S$317=$A74),--ISNUMBER('Данные 1st'!$LB$2:$LB$317))</f>
        <v>0</v>
      </c>
      <c r="GC74">
        <f>SUMPRODUCT(--('Данные 1st'!$S$2:$S$317=$A74),--ISNUMBER('Данные 1st'!$LC$2:$LC$317))</f>
        <v>0</v>
      </c>
      <c r="GD74">
        <f>SUMPRODUCT(--('Данные 1st'!$S$2:$S$317=$A74),--ISNUMBER('Данные 1st'!$LD$2:$LD$317))</f>
        <v>0</v>
      </c>
      <c r="GE74">
        <f>SUMPRODUCT(--('Данные 1st'!$S$2:$S$317=$A74),--ISNUMBER('Данные 1st'!$LE$2:$LE$317))</f>
        <v>0</v>
      </c>
      <c r="GF74">
        <f>SUMPRODUCT(--('Данные 1st'!$S$2:$S$317=$A74),--ISNUMBER('Данные 1st'!$LF$2:$LF$317))</f>
        <v>0</v>
      </c>
      <c r="GG74">
        <f>SUMPRODUCT(--('Данные 1st'!$S$2:$S$317=$A74),--ISNUMBER('Данные 1st'!$LG$2:$LG$317))</f>
        <v>0</v>
      </c>
      <c r="GH74">
        <f>SUMPRODUCT(--('Данные 1st'!$S$2:$S$317=$A74),--ISNUMBER('Данные 1st'!$LH$2:$LH$317))</f>
        <v>0</v>
      </c>
      <c r="GI74">
        <f>SUMPRODUCT(--('Данные 1st'!$S$2:$S$317=$A74),--ISNUMBER('Данные 1st'!$LI$2:$LI$317))</f>
        <v>0</v>
      </c>
      <c r="GJ74">
        <f>SUMPRODUCT(--('Данные 1st'!$S$2:$S$317=$A74),--ISNUMBER('Данные 1st'!$LJ$2:$LJ$317))</f>
        <v>0</v>
      </c>
      <c r="GK74">
        <f>SUMPRODUCT(--('Данные 1st'!$S$2:$S$317=$A74),--ISNUMBER('Данные 1st'!$LK$2:$LK$317))</f>
        <v>1</v>
      </c>
      <c r="GL74">
        <f>SUMPRODUCT(--('Данные 1st'!$S$2:$S$317=$A74),--ISNUMBER('Данные 1st'!$LV$2:$LV$317))</f>
        <v>0</v>
      </c>
      <c r="GM74">
        <f>SUMPRODUCT(--('Данные 1st'!$S$2:$S$317=$A74),--ISNUMBER('Данные 1st'!$LW$2:$LW$317))</f>
        <v>0</v>
      </c>
      <c r="GN74">
        <f>SUMPRODUCT(--('Данные 1st'!$S$2:$S$317=$A74),--ISNUMBER('Данные 1st'!$LX$2:$LX$317))</f>
        <v>0</v>
      </c>
      <c r="GO74">
        <f>SUMPRODUCT(--('Данные 1st'!$S$2:$S$317=$A74),--ISNUMBER('Данные 1st'!$LY$2:$LY$317))</f>
        <v>0</v>
      </c>
      <c r="GP74">
        <f>SUMPRODUCT(--('Данные 1st'!$S$2:$S$317=$A74),--ISNUMBER('Данные 1st'!$LZ$2:$LZ$317))</f>
        <v>0</v>
      </c>
      <c r="GQ74">
        <f>SUMPRODUCT(--('Данные 1st'!$S$2:$S$317=$A74),--ISNUMBER('Данные 1st'!$PG$2:$PG$317))</f>
        <v>1</v>
      </c>
      <c r="GR74">
        <f>SUMPRODUCT(--('Данные 1st'!$S$2:$S$317=$A74),--ISNUMBER('Данные 1st'!$PX$2:$PX$317))</f>
        <v>1</v>
      </c>
      <c r="GS74">
        <f>SUMPRODUCT(--('Данные 1st'!$S$2:$S$317=$A74),--ISNUMBER('Данные 1st'!$PY$2:$PY$317))</f>
        <v>1</v>
      </c>
      <c r="GT74">
        <f>SUMPRODUCT(--('Данные 1st'!$S$2:$S$317=$A74),--ISNUMBER('Данные 1st'!$QA$2:$QA$317))</f>
        <v>1</v>
      </c>
      <c r="GU74">
        <f>SUMPRODUCT(--('Данные 1st'!$S$2:$S$317=$A74),--ISNUMBER('Данные 1st'!$QB$2:$QB$317))</f>
        <v>1</v>
      </c>
      <c r="GV74">
        <f>SUMPRODUCT(--('Данные 1st'!$S$2:$S$317=$A74),--ISNUMBER('Данные 1st'!$QC$2:$QC$317))</f>
        <v>1</v>
      </c>
      <c r="GW74">
        <f>SUMPRODUCT(--('Данные 1st'!$S$2:$S$317=$A74),--ISNUMBER('Данные 1st'!$QD$2:$QD$317))</f>
        <v>1</v>
      </c>
      <c r="GX74">
        <f>SUMPRODUCT(--('Данные 1st'!$S$2:$S$317=$A74),--ISNUMBER('Данные 1st'!$QF$2:$QF$317))</f>
        <v>1</v>
      </c>
      <c r="GY74">
        <f>SUMPRODUCT(--('Данные 1st'!$S$2:$S$317=$A74),--ISNUMBER('Данные 1st'!$QG$2:$QG$317))</f>
        <v>1</v>
      </c>
      <c r="GZ74">
        <f>SUMPRODUCT(--('Данные 1st'!$S$2:$S$317=$A74),--ISNUMBER('Данные 1st'!$QH$2:$QH$317))</f>
        <v>1</v>
      </c>
      <c r="HA74">
        <f>SUMPRODUCT(--('Данные 1st'!$S$2:$S$317=$A74),--ISNUMBER('Данные 1st'!$QI$2:$QI$317))</f>
        <v>1</v>
      </c>
      <c r="HB74">
        <f>SUMPRODUCT(--('Данные 1st'!$S$2:$S$317=$A74),--ISNUMBER('Данные 1st'!$QK$2:$QK$317))</f>
        <v>1</v>
      </c>
      <c r="HC74">
        <f>SUMPRODUCT(--('Данные 1st'!$S$2:$S$317=$A74),--ISNUMBER('Данные 1st'!$QL$2:$QL$317))</f>
        <v>1</v>
      </c>
      <c r="HD74">
        <f>SUMPRODUCT(--('Данные 1st'!$S$2:$S$317=$A74),--ISNUMBER('Данные 1st'!$QM$2:$QM$317))</f>
        <v>1</v>
      </c>
      <c r="HE74">
        <f>SUMPRODUCT(--('Данные 1st'!$S$2:$S$317=$A74),--ISNUMBER('Данные 1st'!$QN$2:$QN$317))</f>
        <v>1</v>
      </c>
      <c r="HF74">
        <f>SUMPRODUCT(--('Данные 1st'!$S$2:$S$317=$A74),--ISNUMBER('Данные 1st'!$QP$2:$QP$317))</f>
        <v>1</v>
      </c>
      <c r="HG74">
        <f>SUMPRODUCT(--('Данные 1st'!$S$2:$S$317=$A74),--ISNUMBER('Данные 1st'!$QQ$2:$QQ$317))</f>
        <v>1</v>
      </c>
      <c r="HH74">
        <f>SUMPRODUCT(--('Данные 1st'!$S$2:$S$317=$A74),--ISNUMBER('Данные 1st'!$QR$2:$QR$317))</f>
        <v>1</v>
      </c>
      <c r="HI74">
        <f>SUMPRODUCT(--('Данные 1st'!$S$2:$S$317=$A74),--ISNUMBER('Данные 1st'!$QS$2:$QS$317))</f>
        <v>1</v>
      </c>
      <c r="HJ74">
        <f>SUMPRODUCT(--('Данные 1st'!$S$2:$S$317=$A74),--ISNUMBER('Данные 1st'!$QU$2:$QU$317))</f>
        <v>1</v>
      </c>
      <c r="HK74">
        <f>SUMPRODUCT(--('Данные 1st'!$S$2:$S$317=$A74),--ISNUMBER('Данные 1st'!$QV$2:$QV$317))</f>
        <v>1</v>
      </c>
      <c r="HL74">
        <f>SUMPRODUCT(--('Данные 1st'!$S$2:$S$317=$A74),--ISNUMBER('Данные 1st'!$QW$2:$QW$317))</f>
        <v>1</v>
      </c>
      <c r="HM74">
        <f>SUMPRODUCT(--('Данные 1st'!$S$2:$S$317=$A74),--ISNUMBER('Данные 1st'!$QX$2:$QX$317))</f>
        <v>1</v>
      </c>
      <c r="HN74">
        <f>SUMPRODUCT(--('Данные 1st'!$S$2:$S$317=$A74),--ISNUMBER('Данные 1st'!$QZ$2:$QZ$317))</f>
        <v>1</v>
      </c>
      <c r="HO74">
        <f>SUMPRODUCT(--('Данные 1st'!$S$2:$S$317=$A74),--ISNUMBER('Данные 1st'!$RA$2:$RA$317))</f>
        <v>1</v>
      </c>
      <c r="HP74">
        <f>SUMPRODUCT(--('Данные 1st'!$S$2:$S$317=$A74),--ISNUMBER('Данные 1st'!$RB$2:$RB$317))</f>
        <v>1</v>
      </c>
      <c r="HQ74">
        <f>SUMPRODUCT(--('Данные 1st'!$S$2:$S$317=$A74),--ISNUMBER('Данные 1st'!$RD$2:$RD$317))</f>
        <v>0</v>
      </c>
      <c r="HR74">
        <f>SUMPRODUCT(--('Данные 1st'!$S$2:$S$317=$A74),--ISNUMBER('Данные 1st'!$RE$2:$RE$317))</f>
        <v>1</v>
      </c>
      <c r="HS74">
        <f>SUMPRODUCT(--('Данные 1st'!$S$2:$S$317=$A74),--ISNUMBER('Данные 1st'!$RF$2:$RF$317))</f>
        <v>1</v>
      </c>
      <c r="HT74">
        <f>SUMPRODUCT(--('Данные 1st'!$S$2:$S$317=$A74),--ISNUMBER('Данные 1st'!$RG$2:$RG$317))</f>
        <v>0</v>
      </c>
      <c r="HU74">
        <f>SUMPRODUCT(--('Данные 1st'!$S$2:$S$317=$A74),--ISNUMBER('Данные 1st'!$RH$2:$RH$317))</f>
        <v>1</v>
      </c>
      <c r="HV74">
        <f>SUMPRODUCT(--('Данные 1st'!$S$2:$S$317=$A74),--ISNUMBER('Данные 1st'!$RI$2:$RI$317))</f>
        <v>0</v>
      </c>
      <c r="HW74">
        <f>SUMPRODUCT(--('Данные 1st'!$S$2:$S$317=$A74),--ISNUMBER('Данные 1st'!$RJ$2:$RJ$317))</f>
        <v>1</v>
      </c>
      <c r="HX74">
        <f>SUMPRODUCT(--('Данные 1st'!$S$2:$S$317=$A74),--ISNUMBER('Данные 1st'!$RK$2:$RK$317))</f>
        <v>1</v>
      </c>
      <c r="HY74">
        <f>SUMPRODUCT(--('Данные 1st'!$S$2:$S$317=$A74),--ISNUMBER('Данные 1st'!$RL$2:$RL$317))</f>
        <v>1</v>
      </c>
      <c r="HZ74">
        <f>SUMPRODUCT(--('Данные 1st'!$S$2:$S$317=$A74),--ISNUMBER('Данные 1st'!$RM$2:$RM$317))</f>
        <v>1</v>
      </c>
      <c r="IA74">
        <f>SUMPRODUCT(--('Данные 1st'!$S$2:$S$317=$A74),--ISNUMBER('Данные 1st'!$RN$2:$RN$317))</f>
        <v>0</v>
      </c>
      <c r="IB74">
        <f>SUMPRODUCT(--('Данные 1st'!$S$2:$S$317=$A74),--ISNUMBER('Данные 1st'!$RO$2:$RO$317))</f>
        <v>1</v>
      </c>
      <c r="IC74">
        <f>SUMPRODUCT(--('Данные 1st'!$S$2:$S$317=$A74),--ISNUMBER('Данные 1st'!$RP$2:$RP$317))</f>
        <v>1</v>
      </c>
      <c r="ID74">
        <f>SUMPRODUCT(--('Данные 1st'!$S$2:$S$317=$A74),--ISNUMBER('Данные 1st'!$RQ$2:$RQ$317))</f>
        <v>1</v>
      </c>
      <c r="IE74">
        <f>SUMPRODUCT(--('Данные 1st'!$S$2:$S$317=$A74),--ISNUMBER('Данные 1st'!$RR$2:$RR$317))</f>
        <v>1</v>
      </c>
      <c r="IF74">
        <f>SUMPRODUCT(--('Данные 1st'!$S$2:$S$317=$A74),--ISNUMBER('Данные 1st'!$RS$2:$RS$317))</f>
        <v>0</v>
      </c>
      <c r="IG74">
        <f>SUMPRODUCT(--('Данные 1st'!$S$2:$S$317=$A74),--ISNUMBER('Данные 1st'!$RT$2:$RT$317))</f>
        <v>1</v>
      </c>
      <c r="IH74">
        <f>SUMPRODUCT(--('Данные 1st'!$S$2:$S$317=$A74),--ISNUMBER('Данные 1st'!$RU$2:$RU$317))</f>
        <v>1</v>
      </c>
      <c r="II74">
        <f>SUMPRODUCT(--('Данные 1st'!$S$2:$S$317=$A74),--ISNUMBER('Данные 1st'!$RX$2:$RX$317))</f>
        <v>1</v>
      </c>
      <c r="IJ74">
        <f>SUMPRODUCT(--('Данные 1st'!$S$2:$S$317=$A74),--ISNUMBER('Данные 1st'!$RY$2:$RY$317))</f>
        <v>1</v>
      </c>
      <c r="IK74">
        <f>SUMPRODUCT(--('Данные 1st'!$S$2:$S$317=$A74),--ISNUMBER('Данные 1st'!$SA$2:$SA$317))</f>
        <v>1</v>
      </c>
      <c r="IL74">
        <f>SUMPRODUCT(--('Данные 1st'!$S$2:$S$317=$A74),--ISNUMBER('Данные 1st'!$SD$2:$SD$317))</f>
        <v>1</v>
      </c>
      <c r="IM74">
        <f>SUMPRODUCT(--('Данные 1st'!$S$2:$S$317=$A74),--ISNUMBER('Данные 1st'!$SG$2:$SG$317))</f>
        <v>1</v>
      </c>
      <c r="IN74">
        <f>SUMPRODUCT(--('Данные 1st'!$S$2:$S$317=$A74),--ISNUMBER('Данные 1st'!$SH$2:$SH$317))</f>
        <v>1</v>
      </c>
      <c r="IO74">
        <f>SUMPRODUCT(--('Данные 1st'!$S$2:$S$317=$A74),--ISNUMBER('Данные 1st'!$SI$2:$SI$317))</f>
        <v>1</v>
      </c>
      <c r="IP74">
        <f>SUMPRODUCT(--('Данные 1st'!$S$2:$S$317=$A74),--ISNUMBER('Данные 1st'!$SJ$2:$SJ$317))</f>
        <v>1</v>
      </c>
      <c r="IQ74">
        <f>SUMPRODUCT(--('Данные 1st'!$S$2:$S$317=$A74),--ISNUMBER('Данные 1st'!$SK$2:$SK$317))</f>
        <v>1</v>
      </c>
      <c r="IR74">
        <f>SUMPRODUCT(--('Данные 1st'!$S$2:$S$317=$A74),--ISNUMBER('Данные 1st'!$SL$2:$SL$317))</f>
        <v>1</v>
      </c>
      <c r="IS74">
        <f>SUMPRODUCT(--('Данные 1st'!$S$2:$S$317=$A74),--ISNUMBER('Данные 1st'!$SM$2:$SM$317))</f>
        <v>1</v>
      </c>
      <c r="IT74">
        <f>SUMPRODUCT(--('Данные 1st'!$S$2:$S$317=$A74),--ISNUMBER('Данные 1st'!$SN$2:$SN$317))</f>
        <v>1</v>
      </c>
      <c r="IU74">
        <f>SUMPRODUCT(--('Данные 1st'!$S$2:$S$317=$A74),--ISNUMBER('Данные 1st'!$SO$2:$SO$317))</f>
        <v>1</v>
      </c>
      <c r="IV74">
        <f>SUMPRODUCT(--('Данные 1st'!$S$2:$S$317=$A74),--ISNUMBER('Данные 1st'!$SP$2:$SP$317))</f>
        <v>1</v>
      </c>
      <c r="IW74">
        <f>SUMPRODUCT(--('Данные 1st'!$S$2:$S$317=$A74),--ISNUMBER('Данные 1st'!$SQ$2:$SQ$317))</f>
        <v>1</v>
      </c>
      <c r="IX74">
        <f>SUMPRODUCT(--('Данные 1st'!$S$2:$S$317=$A74),--ISNUMBER('Данные 1st'!$SR$2:$SR$317))</f>
        <v>1</v>
      </c>
      <c r="IY74">
        <f>SUMPRODUCT(--('Данные 1st'!$S$2:$S$317=$A74),--ISNUMBER('Данные 1st'!$SS$2:$SS$317))</f>
        <v>1</v>
      </c>
      <c r="IZ74">
        <f>SUMPRODUCT(--('Данные 1st'!$S$2:$S$317=$A74),--ISNUMBER('Данные 1st'!$ST$2:$ST$317))</f>
        <v>1</v>
      </c>
      <c r="JA74">
        <f>SUMPRODUCT(--('Данные 1st'!$S$2:$S$317=$A74),--ISNUMBER('Данные 1st'!$SU$2:$SU$317))</f>
        <v>1</v>
      </c>
      <c r="JB74">
        <f>SUMPRODUCT(--('Данные 1st'!$S$2:$S$317=$A74),--ISNUMBER('Данные 1st'!$SV$2:$SV$317))</f>
        <v>1</v>
      </c>
      <c r="JC74">
        <f>SUMPRODUCT(--('Данные 1st'!$S$2:$S$317=$A74),--ISNUMBER('Данные 1st'!$SW$2:$SW$317))</f>
        <v>1</v>
      </c>
      <c r="JD74">
        <f>SUMPRODUCT(--('Данные 1st'!$S$2:$S$317=$A74),--ISNUMBER('Данные 1st'!$SX$2:$SX$317))</f>
        <v>1</v>
      </c>
      <c r="JE74">
        <f>SUMPRODUCT(--('Данные 1st'!$S$2:$S$317=$A74),--ISNUMBER('Данные 1st'!$SY$2:$SY$317))</f>
        <v>1</v>
      </c>
      <c r="JF74">
        <f>SUMPRODUCT(--('Данные 1st'!$S$2:$S$317=$A74),--ISNUMBER('Данные 1st'!$SZ$2:$SZ$317))</f>
        <v>1</v>
      </c>
      <c r="JG74">
        <f>SUMPRODUCT(--('Данные 1st'!$S$2:$S$317=$A74),--ISNUMBER('Данные 1st'!$TA$2:$TA$317))</f>
        <v>0</v>
      </c>
      <c r="JH74">
        <f>SUMPRODUCT(--('Данные 1st'!$S$2:$S$317=$A74),--ISNUMBER('Данные 1st'!$TB$2:$TB$317))</f>
        <v>1</v>
      </c>
      <c r="JI74">
        <f>SUMPRODUCT(--('Данные 1st'!$S$2:$S$317=$A74),--ISNUMBER('Данные 1st'!$TC$2:$TC$317))</f>
        <v>1</v>
      </c>
      <c r="JJ74">
        <f>SUMPRODUCT(--('Данные 1st'!$S$2:$S$317=$A74),--ISNUMBER('Данные 1st'!$TD$2:$TD$317))</f>
        <v>1</v>
      </c>
      <c r="JK74">
        <f>SUMPRODUCT(--('Данные 1st'!$S$2:$S$317=$A74),--ISNUMBER('Данные 1st'!$TN$2:$TN$317))</f>
        <v>1</v>
      </c>
      <c r="JQ74">
        <f>SUMPRODUCT(--('Данные 2st'!$Q$2:$Q$317=$A74),--ISNUMBER('Данные 2st'!$AC$2:$AC$317))</f>
        <v>1</v>
      </c>
      <c r="JR74">
        <f>SUMPRODUCT(--('Данные 2st'!$Q$2:$Q$317=$A74),--ISNUMBER('Данные 2st'!$AF$2:$AF$317))</f>
        <v>1</v>
      </c>
      <c r="JS74">
        <f>SUMPRODUCT(--('Данные 2st'!$Q$2:$Q$317=$A74),--ISNUMBER('Данные 2st'!$AW$2:$AW$317))</f>
        <v>1</v>
      </c>
      <c r="JT74">
        <f>SUMPRODUCT(--('Данные 2st'!$Q$2:$Q$317=$A74),--ISNUMBER('Данные 2st'!$AX$2:$AX$317))</f>
        <v>1</v>
      </c>
      <c r="JU74">
        <f>SUMPRODUCT(--('Данные 2st'!$Q$2:$Q$317=$A74),--ISNUMBER('Данные 2st'!$AY$2:$AY$317))</f>
        <v>1</v>
      </c>
      <c r="JV74">
        <f>SUMPRODUCT(--('Данные 2st'!$Q$2:$Q$317=$A74),--ISNUMBER('Данные 2st'!$AZ$2:$AZ$317))</f>
        <v>1</v>
      </c>
      <c r="JW74">
        <f>SUMPRODUCT(--('Данные 2st'!$Q$2:$Q$317=$A74),--ISNUMBER('Данные 2st'!$BA$2:$BA$317))</f>
        <v>0</v>
      </c>
      <c r="JX74">
        <f>SUMPRODUCT(--('Данные 2st'!$Q$2:$Q$317=$A74),--ISNUMBER('Данные 2st'!$BB$2:$BB$317))</f>
        <v>0</v>
      </c>
      <c r="JY74">
        <f>SUMPRODUCT(--('Данные 2st'!$Q$2:$Q$317=$A74),--ISNUMBER('Данные 2st'!$BC$2:$BC$317))</f>
        <v>0</v>
      </c>
      <c r="JZ74">
        <f>SUMPRODUCT(--('Данные 2st'!$Q$2:$Q$317=$A74),--ISNUMBER('Данные 2st'!$BH$2:$BH$317))</f>
        <v>1</v>
      </c>
      <c r="KA74">
        <f>SUMPRODUCT(--('Данные 2st'!$Q$2:$Q$317=$A74),--ISNUMBER('Данные 2st'!$BI$2:$BI$317))</f>
        <v>1</v>
      </c>
      <c r="KB74">
        <f>SUMPRODUCT(--('Данные 2st'!$Q$2:$Q$317=$A74),--ISNUMBER('Данные 2st'!$BJ$2:$BJ$317))</f>
        <v>1</v>
      </c>
      <c r="KC74">
        <f>SUMPRODUCT(--('Данные 2st'!$Q$2:$Q$317=$A74),--ISNUMBER('Данные 2st'!$BK$2:$BK$317))</f>
        <v>1</v>
      </c>
      <c r="KD74">
        <f>SUMPRODUCT(--('Данные 2st'!$Q$2:$Q$317=$A74),--ISNUMBER('Данные 2st'!$BL$2:$BL$317))</f>
        <v>1</v>
      </c>
      <c r="KE74">
        <f>SUMPRODUCT(--('Данные 2st'!$Q$2:$Q$317=$A74),--ISNUMBER('Данные 2st'!$BM$2:$BM$317))</f>
        <v>1</v>
      </c>
      <c r="KF74">
        <f>SUMPRODUCT(--('Данные 2st'!$Q$2:$Q$317=$A74),--ISNUMBER('Данные 2st'!$BN$2:$BN$317))</f>
        <v>1</v>
      </c>
      <c r="KG74">
        <f>SUMPRODUCT(--('Данные 2st'!$Q$2:$Q$317=$A74),--ISNUMBER('Данные 2st'!$BO$2:$BO$317))</f>
        <v>0</v>
      </c>
      <c r="KH74">
        <f>SUMPRODUCT(--('Данные 2st'!$Q$2:$Q$317=$A74),--ISNUMBER('Данные 2st'!$BP$2:$BP$317))</f>
        <v>1</v>
      </c>
      <c r="KI74">
        <f>SUMPRODUCT(--('Данные 2st'!$Q$2:$Q$317=$A74),--ISNUMBER('Данные 2st'!$BR$2:$BR$317))</f>
        <v>1</v>
      </c>
      <c r="KJ74">
        <f>SUMPRODUCT(--('Данные 2st'!$Q$2:$Q$317=$A74),--ISNUMBER('Данные 2st'!$BS$2:$BS$317))</f>
        <v>1</v>
      </c>
      <c r="KK74">
        <f>SUMPRODUCT(--('Данные 2st'!$Q$2:$Q$317=$A74),--ISNUMBER('Данные 2st'!$BT$2:$BT$317))</f>
        <v>1</v>
      </c>
      <c r="KL74">
        <f>SUMPRODUCT(--('Данные 2st'!$Q$2:$Q$317=$A74),--ISNUMBER('Данные 2st'!$CV$2:$CV$317))</f>
        <v>1</v>
      </c>
      <c r="KM74">
        <f>SUMPRODUCT(--('Данные 2st'!$Q$2:$Q$317=$A74),--ISNUMBER('Данные 2st'!$CW$2:$CW$317))</f>
        <v>1</v>
      </c>
      <c r="KN74">
        <f>SUMPRODUCT(--('Данные 2st'!$Q$2:$Q$317=$A74),--ISNUMBER('Данные 2st'!$CX$2:$CX$317))</f>
        <v>1</v>
      </c>
      <c r="KO74">
        <f>SUMPRODUCT(--('Данные 2st'!$Q$2:$Q$317=$A74),--ISNUMBER('Данные 2st'!$CY$2:$CY$317))</f>
        <v>1</v>
      </c>
      <c r="KP74">
        <f>SUMPRODUCT(--('Данные 2st'!$Q$2:$Q$317=$A74),--ISNUMBER('Данные 2st'!$CZ$2:$CZ$317))</f>
        <v>1</v>
      </c>
      <c r="KQ74">
        <f>SUMPRODUCT(--('Данные 2st'!$Q$2:$Q$317=$A74),--ISNUMBER('Данные 2st'!$DA$2:$DA$317))</f>
        <v>1</v>
      </c>
      <c r="KR74">
        <f>SUMPRODUCT(--('Данные 2st'!$Q$2:$Q$317=$A74),--ISNUMBER('Данные 2st'!$DB$2:$DB$317))</f>
        <v>1</v>
      </c>
      <c r="KS74">
        <f>SUMPRODUCT(--('Данные 2st'!$Q$2:$Q$317=$A74),--ISNUMBER('Данные 2st'!$DC$2:$DC$317))</f>
        <v>1</v>
      </c>
      <c r="KT74">
        <f>SUMPRODUCT(--('Данные 2st'!$Q$2:$Q$317=$A74),--ISNUMBER('Данные 2st'!$DD$2:$DD$317))</f>
        <v>1</v>
      </c>
      <c r="KU74">
        <f>SUMPRODUCT(--('Данные 2st'!$Q$2:$Q$317=$A74),--ISNUMBER('Данные 2st'!$DE$2:$DE$317))</f>
        <v>1</v>
      </c>
      <c r="KV74">
        <f>SUMPRODUCT(--('Данные 2st'!$Q$2:$Q$317=$A74),--ISNUMBER('Данные 2st'!$DF$2:$DF$317))</f>
        <v>1</v>
      </c>
      <c r="KW74">
        <f>SUMPRODUCT(--('Данные 2st'!$Q$2:$Q$317=$A74),--ISNUMBER('Данные 2st'!$DG$2:$DG$317))</f>
        <v>1</v>
      </c>
      <c r="KX74">
        <f>SUMPRODUCT(--('Данные 2st'!$Q$2:$Q$317=$A74),--ISNUMBER('Данные 2st'!$DH$2:$DH$317))</f>
        <v>1</v>
      </c>
      <c r="KY74">
        <f>SUMPRODUCT(--('Данные 2st'!$Q$2:$Q$317=$A74),--ISNUMBER('Данные 2st'!$DI$2:$DI$317))</f>
        <v>0</v>
      </c>
      <c r="KZ74">
        <f>SUMPRODUCT(--('Данные 2st'!$Q$2:$Q$317=$A74),--ISNUMBER('Данные 2st'!$DK$2:$DK$317))</f>
        <v>1</v>
      </c>
      <c r="LA74">
        <f>SUMPRODUCT(--('Данные 2st'!$Q$2:$Q$317=$A74),--ISNUMBER('Данные 2st'!$DM$2:$DM$317))</f>
        <v>1</v>
      </c>
      <c r="LB74">
        <f>SUMPRODUCT(--('Данные 2st'!$Q$2:$Q$317=$A74),--ISNUMBER('Данные 2st'!$DN$2:$DN$317))</f>
        <v>1</v>
      </c>
      <c r="LC74">
        <f>SUMPRODUCT(--('Данные 2st'!$Q$2:$Q$317=$A74),--ISNUMBER('Данные 2st'!$DO$2:$DO$317))</f>
        <v>1</v>
      </c>
      <c r="LD74">
        <f>SUMPRODUCT(--('Данные 2st'!$Q$2:$Q$317=$A74),--ISNUMBER('Данные 2st'!$DP$2:$DP$317))</f>
        <v>1</v>
      </c>
      <c r="LE74">
        <f>SUMPRODUCT(--('Данные 2st'!$Q$2:$Q$317=$A74),--ISNUMBER('Данные 2st'!$DQ$2:$DQ$317))</f>
        <v>1</v>
      </c>
      <c r="LF74">
        <f>SUMPRODUCT(--('Данные 2st'!$Q$2:$Q$317=$A74),--ISNUMBER('Данные 2st'!$DS$2:$DS$317))</f>
        <v>1</v>
      </c>
      <c r="LG74">
        <f>SUMPRODUCT(--('Данные 2st'!$Q$2:$Q$317=$A74),--ISNUMBER('Данные 2st'!$DU$2:$DU$317))</f>
        <v>1</v>
      </c>
      <c r="LH74">
        <f>SUMPRODUCT(--('Данные 2st'!$Q$2:$Q$317=$A74),--ISNUMBER('Данные 2st'!$DV$2:$DV$317))</f>
        <v>1</v>
      </c>
      <c r="LI74">
        <f>SUMPRODUCT(--('Данные 2st'!$Q$2:$Q$317=$A74),--ISNUMBER('Данные 2st'!$DW$2:$DW$317))</f>
        <v>1</v>
      </c>
      <c r="LJ74">
        <f>SUMPRODUCT(--('Данные 2st'!$Q$2:$Q$317=$A74),--ISNUMBER('Данные 2st'!$DX$2:$DX$317))</f>
        <v>1</v>
      </c>
      <c r="LK74">
        <f>SUMPRODUCT(--('Данные 2st'!$Q$2:$Q$317=$A74),--ISNUMBER('Данные 2st'!$DY$2:$DY$317))</f>
        <v>1</v>
      </c>
      <c r="LL74">
        <f>SUMPRODUCT(--('Данные 2st'!$Q$2:$Q$317=$A74),--ISNUMBER('Данные 2st'!$EA$2:$EA$317))</f>
        <v>1</v>
      </c>
      <c r="LM74">
        <f>SUMPRODUCT(--('Данные 2st'!$Q$2:$Q$317=$A74),--ISNUMBER('Данные 2st'!$EC$2:$EC$317))</f>
        <v>1</v>
      </c>
      <c r="LN74">
        <f>SUMPRODUCT(--('Данные 2st'!$Q$2:$Q$317=$A74),--ISNUMBER('Данные 2st'!$ED$2:$ED$317))</f>
        <v>1</v>
      </c>
      <c r="LO74">
        <f>SUMPRODUCT(--('Данные 2st'!$Q$2:$Q$317=$A74),--ISNUMBER('Данные 2st'!$EE$2:$EE$317))</f>
        <v>1</v>
      </c>
      <c r="LP74">
        <f>SUMPRODUCT(--('Данные 2st'!$Q$2:$Q$317=$A74),--ISNUMBER('Данные 2st'!$EG$2:$EG$317))</f>
        <v>1</v>
      </c>
      <c r="LQ74">
        <f>SUMPRODUCT(--('Данные 2st'!$Q$2:$Q$317=$A74),--ISNUMBER('Данные 2st'!$EI$2:$EI$317))</f>
        <v>1</v>
      </c>
      <c r="LR74">
        <f>SUMPRODUCT(--('Данные 2st'!$Q$2:$Q$317=$A74),--ISNUMBER('Данные 2st'!$EJ$2:$EJ$317))</f>
        <v>0</v>
      </c>
      <c r="LS74">
        <f>SUMPRODUCT(--('Данные 2st'!$Q$2:$Q$317=$A74),--ISNUMBER('Данные 2st'!$EK$2:$EK$317))</f>
        <v>0</v>
      </c>
      <c r="LT74">
        <f>SUMPRODUCT(--('Данные 2st'!$Q$2:$Q$317=$A74),--ISNUMBER('Данные 2st'!$EM$2:$EM$317))</f>
        <v>1</v>
      </c>
      <c r="LU74">
        <f>SUMPRODUCT(--('Данные 2st'!$Q$2:$Q$317=$A74),--ISNUMBER('Данные 2st'!$EN$2:$EN$317))</f>
        <v>1</v>
      </c>
      <c r="LV74">
        <f>SUMPRODUCT(--('Данные 2st'!$Q$2:$Q$317=$A74),--ISNUMBER('Данные 2st'!$EO$2:$EO$317))</f>
        <v>1</v>
      </c>
      <c r="LW74">
        <f>SUMPRODUCT(--('Данные 2st'!$Q$2:$Q$317=$A74),--ISNUMBER('Данные 2st'!$EP$2:$EP$317))</f>
        <v>1</v>
      </c>
      <c r="LX74">
        <f>SUMPRODUCT(--('Данные 2st'!$Q$2:$Q$317=$A74),--ISNUMBER('Данные 2st'!$EQ$2:$EQ$317))</f>
        <v>1</v>
      </c>
      <c r="LY74">
        <f>SUMPRODUCT(--('Данные 2st'!$Q$2:$Q$317=$A74),--ISNUMBER('Данные 2st'!$ER$2:$ER$317))</f>
        <v>1</v>
      </c>
      <c r="LZ74">
        <f>SUMPRODUCT(--('Данные 2st'!$Q$2:$Q$317=$A74),--ISNUMBER('Данные 2st'!$ES$2:$ES$317))</f>
        <v>1</v>
      </c>
      <c r="MA74">
        <f>SUMPRODUCT(--('Данные 2st'!$Q$2:$Q$317=$A74),--ISNUMBER('Данные 2st'!$ET$2:$ET$317))</f>
        <v>1</v>
      </c>
      <c r="MB74">
        <f>SUMPRODUCT(--('Данные 2st'!$Q$2:$Q$317=$A74),--ISNUMBER('Данные 2st'!$EU$2:$EU$317))</f>
        <v>1</v>
      </c>
      <c r="MC74">
        <f>SUMPRODUCT(--('Данные 2st'!$Q$2:$Q$317=$A74),--ISNUMBER('Данные 2st'!$EV$2:$EV$317))</f>
        <v>1</v>
      </c>
      <c r="MD74">
        <f>SUMPRODUCT(--('Данные 2st'!$Q$2:$Q$317=$A74),--ISNUMBER('Данные 2st'!$EW$2:$EW$317))</f>
        <v>1</v>
      </c>
      <c r="ME74">
        <f>SUMPRODUCT(--('Данные 2st'!$Q$2:$Q$317=$A74),--ISNUMBER('Данные 2st'!$EY$2:$EY$317))</f>
        <v>1</v>
      </c>
      <c r="MF74">
        <f>SUMPRODUCT(--('Данные 2st'!$Q$2:$Q$317=$A74),--ISNUMBER('Данные 2st'!$FA$2:$FA$317))</f>
        <v>1</v>
      </c>
      <c r="MG74">
        <f>SUMPRODUCT(--('Данные 2st'!$Q$2:$Q$317=$A74),--ISNUMBER('Данные 2st'!$FB$2:$FB$317))</f>
        <v>1</v>
      </c>
      <c r="MH74">
        <f>SUMPRODUCT(--('Данные 2st'!$Q$2:$Q$317=$A74),--ISNUMBER('Данные 2st'!$FC$2:$FC$317))</f>
        <v>1</v>
      </c>
      <c r="MI74">
        <f>SUMPRODUCT(--('Данные 2st'!$Q$2:$Q$317=$A74),--ISNUMBER('Данные 2st'!$FD$2:$FD$317))</f>
        <v>1</v>
      </c>
      <c r="MJ74">
        <f>SUMPRODUCT(--('Данные 2st'!$Q$2:$Q$317=$A74),--ISNUMBER('Данные 2st'!$FE$2:$FE$317))</f>
        <v>1</v>
      </c>
      <c r="MK74">
        <f>SUMPRODUCT(--('Данные 2st'!$Q$2:$Q$317=$A74),--ISNUMBER('Данные 2st'!$FG$2:$FG$317))</f>
        <v>1</v>
      </c>
      <c r="ML74">
        <f>SUMPRODUCT(--('Данные 2st'!$Q$2:$Q$317=$A74),--ISNUMBER('Данные 2st'!$FI$2:$FI$317))</f>
        <v>1</v>
      </c>
      <c r="MM74">
        <f>SUMPRODUCT(--('Данные 2st'!$Q$2:$Q$317=$A74),--ISNUMBER('Данные 2st'!$FJ$2:$FJ$317))</f>
        <v>1</v>
      </c>
      <c r="MN74">
        <f>SUMPRODUCT(--('Данные 2st'!$Q$2:$Q$317=$A74),--ISNUMBER('Данные 2st'!$FK$2:$FK$317))</f>
        <v>1</v>
      </c>
      <c r="MO74">
        <f>SUMPRODUCT(--('Данные 2st'!$Q$2:$Q$317=$A74),--ISNUMBER('Данные 2st'!$FP$2:$FP$317))</f>
        <v>1</v>
      </c>
      <c r="MP74">
        <f>SUMPRODUCT(--('Данные 2st'!$Q$2:$Q$317=$A74),--ISNUMBER('Данные 2st'!$FQ$2:$FQ$317))</f>
        <v>1</v>
      </c>
      <c r="MQ74">
        <f>SUMPRODUCT(--('Данные 2st'!$Q$2:$Q$317=$A74),--ISNUMBER('Данные 2st'!$FS$2:$FS$317))</f>
        <v>1</v>
      </c>
      <c r="MR74">
        <f>SUMPRODUCT(--('Данные 2st'!$Q$2:$Q$317=$A74),--ISNUMBER('Данные 2st'!$FU$2:$FU$317))</f>
        <v>1</v>
      </c>
      <c r="MS74">
        <f>SUMPRODUCT(--('Данные 2st'!$Q$2:$Q$317=$A74),--ISNUMBER('Данные 2st'!$FV$2:$FV$317))</f>
        <v>1</v>
      </c>
      <c r="MT74">
        <f>SUMPRODUCT(--('Данные 2st'!$Q$2:$Q$317=$A74),--ISNUMBER('Данные 2st'!$FW$2:$FW$317))</f>
        <v>1</v>
      </c>
      <c r="MU74">
        <f>SUMPRODUCT(--('Данные 2st'!$Q$2:$Q$317=$A74),--ISNUMBER('Данные 2st'!$FY$2:$FY$317))</f>
        <v>1</v>
      </c>
      <c r="MV74">
        <f>SUMPRODUCT(--('Данные 2st'!$Q$2:$Q$317=$A74),--ISNUMBER('Данные 2st'!$GB$2:$GB$317))</f>
        <v>1</v>
      </c>
      <c r="MW74">
        <f>SUMPRODUCT(--('Данные 2st'!$Q$2:$Q$317=$A74),--ISNUMBER('Данные 2st'!$GC$2:$GC$317))</f>
        <v>1</v>
      </c>
      <c r="MX74">
        <f>SUMPRODUCT(--('Данные 2st'!$Q$2:$Q$317=$A74),--ISNUMBER('Данные 2st'!$GD$2:$GD$317))</f>
        <v>1</v>
      </c>
      <c r="MY74">
        <f>SUMPRODUCT(--('Данные 2st'!$Q$2:$Q$317=$A74),--ISNUMBER('Данные 2st'!$GN$2:$GN$317))</f>
        <v>0</v>
      </c>
      <c r="MZ74">
        <f>SUMPRODUCT(--('Данные 2st'!$Q$2:$Q$317=$A74),--ISNUMBER('Данные 2st'!$GQ$2:$GQ$317))</f>
        <v>1</v>
      </c>
      <c r="NA74">
        <f>SUMPRODUCT(--('Данные 2st'!$Q$2:$Q$317=$A74),--ISNUMBER('Данные 2st'!$GV$2:$GV$317))</f>
        <v>1</v>
      </c>
      <c r="NB74">
        <f>SUMPRODUCT(--('Данные 2st'!$Q$2:$Q$317=$A74),--ISNUMBER('Данные 2st'!$GW$2:$GW$317))</f>
        <v>1</v>
      </c>
      <c r="NC74">
        <f>SUMPRODUCT(--('Данные 2st'!$Q$2:$Q$317=$A74),--ISNUMBER('Данные 2st'!$GX$2:$GX$317))</f>
        <v>1</v>
      </c>
      <c r="ND74">
        <f>SUMPRODUCT(--('Данные 2st'!$Q$2:$Q$317=$A74),--ISNUMBER('Данные 2st'!$GY$2:$GY$317))</f>
        <v>1</v>
      </c>
      <c r="NE74">
        <f>SUMPRODUCT(--('Данные 2st'!$Q$2:$Q$317=$A74),--ISNUMBER('Данные 2st'!$GZ$2:$GZ$317))</f>
        <v>1</v>
      </c>
      <c r="NF74">
        <f>SUMPRODUCT(--('Данные 2st'!$Q$2:$Q$317=$A74),--ISNUMBER('Данные 2st'!$HA$2:$HA$317))</f>
        <v>1</v>
      </c>
      <c r="NG74">
        <f>SUMPRODUCT(--('Данные 2st'!$Q$2:$Q$317=$A74),--ISNUMBER('Данные 2st'!$HB$2:$HB$317))</f>
        <v>1</v>
      </c>
      <c r="NH74">
        <f>SUMPRODUCT(--('Данные 2st'!$Q$2:$Q$317=$A74),--ISNUMBER('Данные 2st'!$HC$2:$HC$317))</f>
        <v>1</v>
      </c>
      <c r="NI74">
        <f>SUMPRODUCT(--('Данные 2st'!$Q$2:$Q$317=$A74),--ISNUMBER('Данные 2st'!$HD$2:$HD$317))</f>
        <v>1</v>
      </c>
      <c r="NJ74">
        <f>SUMPRODUCT(--('Данные 2st'!$Q$2:$Q$317=$A74),--ISNUMBER('Данные 2st'!$HM$2:$HM$317))</f>
        <v>1</v>
      </c>
      <c r="NK74">
        <f>SUMPRODUCT(--('Данные 2st'!$Q$2:$Q$317=$A74),--ISNUMBER('Данные 2st'!$HR$2:$HR$317))</f>
        <v>1</v>
      </c>
      <c r="NL74">
        <f>SUMPRODUCT(--('Данные 2st'!$Q$2:$Q$317=$A74),--ISNUMBER('Данные 2st'!$HS$2:$HS$317))</f>
        <v>1</v>
      </c>
      <c r="NM74">
        <f>SUMPRODUCT(--('Данные 2st'!$Q$2:$Q$317=$A74),--ISNUMBER('Данные 2st'!$HT$2:$HT$317))</f>
        <v>1</v>
      </c>
      <c r="NN74">
        <f>SUMPRODUCT(--('Данные 2st'!$Q$2:$Q$317=$A74),--ISNUMBER('Данные 2st'!$HY$2:$HY$317))</f>
        <v>1</v>
      </c>
      <c r="NO74">
        <f>SUMPRODUCT(--('Данные 2st'!$Q$2:$Q$317=$A74),--ISNUMBER('Данные 2st'!$HZ$2:$HZ$317))</f>
        <v>1</v>
      </c>
      <c r="NP74">
        <f>SUMPRODUCT(--('Данные 2st'!$Q$2:$Q$317=$A74),--ISNUMBER('Данные 2st'!$IA$2:$IA$317))</f>
        <v>1</v>
      </c>
      <c r="NQ74">
        <f>SUMPRODUCT(--('Данные 2st'!$Q$2:$Q$317=$A74),--ISNUMBER('Данные 2st'!$IB$2:$IB$317))</f>
        <v>1</v>
      </c>
      <c r="NR74">
        <f>SUMPRODUCT(--('Данные 2st'!$Q$2:$Q$317=$A74),--ISNUMBER('Данные 2st'!$IC$2:$IC$317))</f>
        <v>0</v>
      </c>
      <c r="NS74">
        <f>SUMPRODUCT(--('Данные 2st'!$Q$2:$Q$317=$A74),--ISNUMBER('Данные 2st'!$ID$2:$ID$317))</f>
        <v>1</v>
      </c>
      <c r="NT74">
        <f>SUMPRODUCT(--('Данные 2st'!$Q$2:$Q$317=$A74),--ISNUMBER('Данные 2st'!$IE$2:$IE$317))</f>
        <v>1</v>
      </c>
      <c r="NU74">
        <f>SUMPRODUCT(--('Данные 2st'!$Q$2:$Q$317=$A74),--ISNUMBER('Данные 2st'!$IF$2:$IF$317))</f>
        <v>1</v>
      </c>
      <c r="NV74">
        <f>SUMPRODUCT(--('Данные 2st'!$Q$2:$Q$317=$A74),--ISNUMBER('Данные 2st'!$IG$2:$IG$317))</f>
        <v>1</v>
      </c>
      <c r="NW74">
        <f>SUMPRODUCT(--('Данные 2st'!$Q$2:$Q$317=$A74),--ISNUMBER('Данные 2st'!$IH$2:$IH$317))</f>
        <v>1</v>
      </c>
      <c r="NX74">
        <f>SUMPRODUCT(--('Данные 2st'!$Q$2:$Q$317=$A74),--ISNUMBER('Данные 2st'!$IJ$2:$IJ$317))</f>
        <v>1</v>
      </c>
      <c r="NY74">
        <f>SUMPRODUCT(--('Данные 2st'!$Q$2:$Q$317=$A74),--ISNUMBER('Данные 2st'!$IM$2:$IM$317))</f>
        <v>1</v>
      </c>
      <c r="NZ74">
        <f>SUMPRODUCT(--('Данные 2st'!$Q$2:$Q$317=$A74),--ISNUMBER('Данные 2st'!$IN$2:$IN$317))</f>
        <v>1</v>
      </c>
      <c r="OA74">
        <f>SUMPRODUCT(--('Данные 2st'!$Q$2:$Q$317=$A74),--ISNUMBER('Данные 2st'!$IO$2:$IO$317))</f>
        <v>1</v>
      </c>
      <c r="OB74">
        <f>SUMPRODUCT(--('Данные 2st'!$Q$2:$Q$317=$A74),--ISNUMBER('Данные 2st'!$IP$2:$IP$317))</f>
        <v>1</v>
      </c>
      <c r="OC74">
        <f>SUMPRODUCT(--('Данные 2st'!$Q$2:$Q$317=$A74),--ISNUMBER('Данные 2st'!$IQ$2:$IQ$317))</f>
        <v>1</v>
      </c>
      <c r="OD74">
        <f>SUMPRODUCT(--('Данные 2st'!$Q$2:$Q$317=$A74),--ISNUMBER('Данные 2st'!$IR$2:$IR$317))</f>
        <v>1</v>
      </c>
      <c r="OE74">
        <f>SUMPRODUCT(--('Данные 2st'!$Q$2:$Q$317=$A74),--ISNUMBER('Данные 2st'!$IT$2:$IT$317))</f>
        <v>1</v>
      </c>
      <c r="OF74">
        <f>SUMPRODUCT(--('Данные 2st'!$Q$2:$Q$317=$A74),--ISNUMBER('Данные 2st'!$IU$2:$IU$317))</f>
        <v>1</v>
      </c>
      <c r="OG74">
        <f>SUMPRODUCT(--('Данные 2st'!$Q$2:$Q$317=$A74),--ISNUMBER('Данные 2st'!$IV$2:$IV$317))</f>
        <v>1</v>
      </c>
      <c r="OH74">
        <f>SUMPRODUCT(--('Данные 2st'!$Q$2:$Q$317=$A74),--ISNUMBER('Данные 2st'!$IW$2:$IW$317))</f>
        <v>1</v>
      </c>
      <c r="OI74">
        <f>SUMPRODUCT(--('Данные 2st'!$Q$2:$Q$317=$A74),--ISNUMBER('Данные 2st'!$IX$2:$IX$317))</f>
        <v>1</v>
      </c>
      <c r="OJ74">
        <f>SUMPRODUCT(--('Данные 2st'!$Q$2:$Q$317=$A74),--ISNUMBER('Данные 2st'!$IY$2:$IY$317))</f>
        <v>1</v>
      </c>
      <c r="OK74">
        <f>SUMPRODUCT(--('Данные 2st'!$Q$2:$Q$317=$A74),--ISNUMBER('Данные 2st'!$IZ$2:$IZ$317))</f>
        <v>1</v>
      </c>
      <c r="OL74">
        <f>SUMPRODUCT(--('Данные 2st'!$Q$2:$Q$317=$A74),--ISNUMBER('Данные 2st'!$JA$2:$JA$317))</f>
        <v>1</v>
      </c>
      <c r="OM74">
        <f>SUMPRODUCT(--('Данные 2st'!$Q$2:$Q$317=$A74),--ISNUMBER('Данные 2st'!$JB$2:$JB$317))</f>
        <v>1</v>
      </c>
      <c r="ON74">
        <f>SUMPRODUCT(--('Данные 2st'!$Q$2:$Q$317=$A74),--ISNUMBER('Данные 2st'!$JC$2:$JC$317))</f>
        <v>1</v>
      </c>
      <c r="OO74">
        <f>SUMPRODUCT(--('Данные 2st'!$Q$2:$Q$317=$A74),--ISNUMBER('Данные 2st'!$JD$2:$JD$317))</f>
        <v>1</v>
      </c>
      <c r="OP74">
        <f>SUMPRODUCT(--('Данные 2st'!$Q$2:$Q$317=$A74),--ISNUMBER('Данные 2st'!$JE$2:$JE$317))</f>
        <v>1</v>
      </c>
      <c r="OQ74">
        <f>SUMPRODUCT(--('Данные 2st'!$Q$2:$Q$317=$A74),--ISNUMBER('Данные 2st'!$JF$2:$JF$317))</f>
        <v>1</v>
      </c>
      <c r="OR74">
        <f>SUMPRODUCT(--('Данные 2st'!$Q$2:$Q$317=$A74),--ISNUMBER('Данные 2st'!$JG$2:$JG$317))</f>
        <v>1</v>
      </c>
      <c r="OS74">
        <f>SUMPRODUCT(--('Данные 2st'!$Q$2:$Q$317=$A74),--ISNUMBER('Данные 2st'!$JH$2:$JH$317))</f>
        <v>1</v>
      </c>
      <c r="OT74">
        <f>SUMPRODUCT(--('Данные 2st'!$Q$2:$Q$317=$A74),--ISNUMBER('Данные 2st'!$JI$2:$JI$317))</f>
        <v>1</v>
      </c>
      <c r="OU74">
        <f>SUMPRODUCT(--('Данные 2st'!$Q$2:$Q$317=$A74),--ISNUMBER('Данные 2st'!$JJ$2:$JJ$317))</f>
        <v>1</v>
      </c>
      <c r="OV74">
        <f>SUMPRODUCT(--('Данные 2st'!$Q$2:$Q$317=$A74),--ISNUMBER('Данные 2st'!$JK$2:$JK$317))</f>
        <v>1</v>
      </c>
      <c r="OW74">
        <f>SUMPRODUCT(--('Данные 2st'!$Q$2:$Q$317=$A74),--ISNUMBER('Данные 2st'!$JL$2:$JL$317))</f>
        <v>1</v>
      </c>
      <c r="OX74">
        <f>SUMPRODUCT(--('Данные 2st'!$Q$2:$Q$317=$A74),--ISNUMBER('Данные 2st'!$JM$2:$JM$317))</f>
        <v>1</v>
      </c>
      <c r="OY74">
        <f>SUMPRODUCT(--('Данные 2st'!$Q$2:$Q$317=$A74),--ISNUMBER('Данные 2st'!$JP$2:$JP$317))</f>
        <v>1</v>
      </c>
      <c r="OZ74">
        <f>SUMPRODUCT(--('Данные 2st'!$Q$2:$Q$317=$A74),--ISNUMBER('Данные 2st'!$JQ$2:$JQ$317))</f>
        <v>1</v>
      </c>
      <c r="PA74">
        <f>SUMPRODUCT(--('Данные 2st'!$Q$2:$Q$317=$A74),--ISNUMBER('Данные 2st'!$JR$2:$JR$317))</f>
        <v>1</v>
      </c>
      <c r="PB74">
        <f>SUMPRODUCT(--('Данные 2st'!$Q$2:$Q$317=$A74),--ISNUMBER('Данные 2st'!$JS$2:$JS$317))</f>
        <v>1</v>
      </c>
      <c r="PC74">
        <f>SUMPRODUCT(--('Данные 2st'!$Q$2:$Q$317=$A74),--ISNUMBER('Данные 2st'!$JT$2:$JT$317))</f>
        <v>1</v>
      </c>
      <c r="PD74">
        <f>SUMPRODUCT(--('Данные 2st'!$Q$2:$Q$317=$A74),--ISNUMBER('Данные 2st'!$JU$2:$JU$317))</f>
        <v>1</v>
      </c>
      <c r="PE74">
        <f>SUMPRODUCT(--('Данные 2st'!$Q$2:$Q$317=$A74),--ISNUMBER('Данные 2st'!$JV$2:$JV$317))</f>
        <v>1</v>
      </c>
      <c r="PF74">
        <f>SUMPRODUCT(--('Данные 2st'!$Q$2:$Q$317=$A74),--ISNUMBER('Данные 2st'!$JW$2:$JW$317))</f>
        <v>1</v>
      </c>
      <c r="PG74">
        <f>SUMPRODUCT(--('Данные 2st'!$Q$2:$Q$317=$A74),--ISNUMBER('Данные 2st'!$KF$2:$KF$317))</f>
        <v>1</v>
      </c>
      <c r="PH74">
        <f>SUMPRODUCT(--('Данные 2st'!$Q$2:$Q$317=$A74),--ISNUMBER('Данные 2st'!$KG$2:$KG$317))</f>
        <v>1</v>
      </c>
      <c r="PI74">
        <f>SUMPRODUCT(--('Данные 2st'!$Q$2:$Q$317=$A74),--ISNUMBER('Данные 2st'!$KM$2:$KM$317))</f>
        <v>1</v>
      </c>
      <c r="PJ74">
        <f>SUMPRODUCT(--('Данные 2st'!$Q$2:$Q$317=$A74),--ISNUMBER('Данные 2st'!$KN$2:$KN$317))</f>
        <v>1</v>
      </c>
      <c r="PK74">
        <f>SUMPRODUCT(--('Данные 2st'!$Q$2:$Q$317=$A74),--ISNUMBER('Данные 2st'!$KO$2:$KO$317))</f>
        <v>1</v>
      </c>
      <c r="PL74">
        <f>SUMPRODUCT(--('Данные 2st'!$Q$2:$Q$317=$A74),--ISNUMBER('Данные 2st'!$KP$2:$KP$317))</f>
        <v>1</v>
      </c>
      <c r="PM74">
        <f>SUMPRODUCT(--('Данные 2st'!$Q$2:$Q$317=$A74),--ISNUMBER('Данные 2st'!$KQ$2:$KQ$317))</f>
        <v>1</v>
      </c>
      <c r="PN74">
        <f>SUMPRODUCT(--('Данные 2st'!$Q$2:$Q$317=$A74),--ISNUMBER('Данные 2st'!$KR$2:$KR$317))</f>
        <v>1</v>
      </c>
      <c r="PO74">
        <f>SUMPRODUCT(--('Данные 2st'!$Q$2:$Q$317=$A74),--ISNUMBER('Данные 2st'!$KS$2:$KS$317))</f>
        <v>1</v>
      </c>
      <c r="PP74">
        <f>SUMPRODUCT(--('Данные 2st'!$Q$2:$Q$317=$A74),--ISNUMBER('Данные 2st'!$KT$2:$KT$317))</f>
        <v>1</v>
      </c>
      <c r="PQ74">
        <f>SUMPRODUCT(--('Данные 2st'!$Q$2:$Q$317=$A74),--ISNUMBER('Данные 2st'!$KU$2:$KU$317))</f>
        <v>1</v>
      </c>
      <c r="PR74">
        <f>SUMPRODUCT(--('Данные 2st'!$Q$2:$Q$317=$A74),--ISNUMBER('Данные 2st'!$KV$2:$KV$317))</f>
        <v>1</v>
      </c>
      <c r="PS74">
        <f>SUMPRODUCT(--('Данные 2st'!$Q$2:$Q$317=$A74),--ISNUMBER('Данные 2st'!$KW$2:$KW$317))</f>
        <v>1</v>
      </c>
      <c r="PT74">
        <f>SUMPRODUCT(--('Данные 2st'!$Q$2:$Q$317=$A74),--ISNUMBER('Данные 2st'!$KX$2:$KX$317))</f>
        <v>1</v>
      </c>
      <c r="PU74">
        <f>SUMPRODUCT(--('Данные 2st'!$Q$2:$Q$317=$A74),--ISNUMBER('Данные 2st'!$KY$2:$KY$317))</f>
        <v>1</v>
      </c>
      <c r="PV74">
        <f>SUMPRODUCT(--('Данные 2st'!$Q$2:$Q$317=$A74),--ISNUMBER('Данные 2st'!$KZ$2:$KZ$317))</f>
        <v>1</v>
      </c>
      <c r="PW74">
        <f>SUMPRODUCT(--('Данные 2st'!$Q$2:$Q$317=$A74),--ISNUMBER('Данные 2st'!$LA$2:$LA$317))</f>
        <v>1</v>
      </c>
      <c r="PX74">
        <f>SUMPRODUCT(--('Данные 2st'!$Q$2:$Q$317=$A74),--ISNUMBER('Данные 2st'!$LB$2:$LB$317))</f>
        <v>1</v>
      </c>
      <c r="PY74">
        <f>SUMPRODUCT(--('Данные 2st'!$Q$2:$Q$317=$A74),--ISNUMBER('Данные 2st'!$LC$2:$LC$317))</f>
        <v>1</v>
      </c>
      <c r="PZ74">
        <f>SUMPRODUCT(--('Данные 2st'!$Q$2:$Q$317=$A74),--ISNUMBER('Данные 2st'!$LD$2:$LD$317))</f>
        <v>1</v>
      </c>
      <c r="QA74">
        <f>SUMPRODUCT(--('Данные 2st'!$Q$2:$Q$317=$A74),--ISNUMBER('Данные 2st'!$LE$2:$LE$317))</f>
        <v>1</v>
      </c>
      <c r="QB74">
        <f>SUMPRODUCT(--('Данные 2st'!$Q$2:$Q$317=$A74),--ISNUMBER('Данные 2st'!$LF$2:$LF$317))</f>
        <v>1</v>
      </c>
      <c r="QC74">
        <f>SUMPRODUCT(--('Данные 2st'!$Q$2:$Q$317=$A74),--ISNUMBER('Данные 2st'!$LG$2:$LG$317))</f>
        <v>1</v>
      </c>
      <c r="QD74">
        <f>SUMPRODUCT(--('Данные 2st'!$Q$2:$Q$317=$A74),--ISNUMBER('Данные 2st'!$LH$2:$LH$317))</f>
        <v>1</v>
      </c>
      <c r="QE74">
        <f>SUMPRODUCT(--('Данные 2st'!$Q$2:$Q$317=$A74),--ISNUMBER('Данные 2st'!$LJ$2:$LJ$317))</f>
        <v>1</v>
      </c>
      <c r="QF74">
        <f>SUMPRODUCT(--('Данные 2st'!$Q$2:$Q$317=$A74),--ISNUMBER('Данные 2st'!$LK$2:$LK$317))</f>
        <v>1</v>
      </c>
      <c r="QG74">
        <f>SUMPRODUCT(--('Данные 2st'!$Q$2:$Q$317=$A74),--ISNUMBER('Данные 2st'!$LL$2:$LL$317))</f>
        <v>1</v>
      </c>
      <c r="QH74">
        <f>SUMPRODUCT(--('Данные 2st'!$Q$2:$Q$317=$A74),--ISNUMBER('Данные 2st'!$LM$2:$LM$317))</f>
        <v>1</v>
      </c>
      <c r="QI74">
        <f>SUMPRODUCT(--('Данные 2st'!$Q$2:$Q$317=$A74),--ISNUMBER('Данные 2st'!$LN$2:$LN$317))</f>
        <v>1</v>
      </c>
      <c r="QJ74">
        <f>SUMPRODUCT(--('Данные 2st'!$Q$2:$Q$317=$A74),--ISNUMBER('Данные 2st'!$LO$2:$LO$317))</f>
        <v>1</v>
      </c>
      <c r="QK74">
        <f>SUMPRODUCT(--('Данные 2st'!$Q$2:$Q$317=$A74),--ISNUMBER('Данные 2st'!$LP$2:$LP$317))</f>
        <v>1</v>
      </c>
      <c r="QL74">
        <f>SUMPRODUCT(--('Данные 2st'!$Q$2:$Q$317=$A74),--ISNUMBER('Данные 2st'!$LQ$2:$LQ$317))</f>
        <v>1</v>
      </c>
      <c r="QM74">
        <f>SUMPRODUCT(--('Данные 2st'!$Q$2:$Q$317=$A74),--ISNUMBER('Данные 2st'!$LW$2:$LW$317))</f>
        <v>1</v>
      </c>
      <c r="QN74">
        <f>SUMPRODUCT(--('Данные 2st'!$Q$2:$Q$317=$A74),--ISNUMBER('Данные 2st'!$LX$2:$LX$317))</f>
        <v>1</v>
      </c>
      <c r="QO74">
        <f>SUMPRODUCT(--('Данные 2st'!$Q$2:$Q$317=$A74),--ISNUMBER('Данные 2st'!$LY$2:$LY$317))</f>
        <v>1</v>
      </c>
      <c r="QP74">
        <f>SUMPRODUCT(--('Данные 2st'!$Q$2:$Q$317=$A74),--ISNUMBER('Данные 2st'!$LZ$2:$LZ$317))</f>
        <v>1</v>
      </c>
      <c r="QQ74">
        <f>SUMPRODUCT(--('Данные 2st'!$Q$2:$Q$317=$A74),--ISNUMBER('Данные 2st'!$MB$2:$MB$317))</f>
        <v>1</v>
      </c>
      <c r="QR74">
        <f>SUMPRODUCT(--('Данные 2st'!$Q$2:$Q$317=$A74),--ISNUMBER('Данные 2st'!$MG$2:$MG$317))</f>
        <v>1</v>
      </c>
      <c r="QS74">
        <f>SUMPRODUCT(--('Данные 2st'!$Q$2:$Q$317=$A74),--ISNUMBER('Данные 2st'!$MH$2:$MH$317))</f>
        <v>1</v>
      </c>
      <c r="QT74">
        <f>SUMPRODUCT(--('Данные 2st'!$Q$2:$Q$317=$A74),--ISNUMBER('Данные 2st'!$MI$2:$MI$317))</f>
        <v>1</v>
      </c>
      <c r="QU74">
        <f>SUMPRODUCT(--('Данные 2st'!$Q$2:$Q$317=$A74),--ISNUMBER('Данные 2st'!$MJ$2:$MJ$317))</f>
        <v>1</v>
      </c>
      <c r="QV74">
        <f>SUMPRODUCT(--('Данные 2st'!$Q$2:$Q$317=$A74),--ISNUMBER('Данные 2st'!$MK$2:$MK$317))</f>
        <v>1</v>
      </c>
      <c r="QW74">
        <f>SUMPRODUCT(--('Данные 2st'!$Q$2:$Q$317=$A74),--ISNUMBER('Данные 2st'!$MM$2:$MM$317))</f>
        <v>1</v>
      </c>
      <c r="QX74">
        <f>SUMPRODUCT(--('Данные 2st'!$Q$2:$Q$317=$A74),--ISNUMBER('Данные 2st'!$MQ$2:$MQ$317))</f>
        <v>0</v>
      </c>
      <c r="QY74">
        <f>SUMPRODUCT(--('Данные 2st'!$Q$2:$Q$317=$A74),--ISNUMBER('Данные 2st'!$MR$2:$MR$317))</f>
        <v>0</v>
      </c>
      <c r="QZ74">
        <f>SUMPRODUCT(--('Данные 2st'!$Q$2:$Q$317=$A74),--ISNUMBER('Данные 2st'!$MS$2:$MS$317))</f>
        <v>0</v>
      </c>
      <c r="RA74">
        <f>SUMPRODUCT(--('Данные 2st'!$Q$2:$Q$317=$A74),--ISNUMBER('Данные 2st'!$MT$2:$MT$317))</f>
        <v>0</v>
      </c>
      <c r="RB74">
        <f>SUMPRODUCT(--('Данные 2st'!$Q$2:$Q$317=$A74),--ISNUMBER('Данные 2st'!$MU$2:$MU$317))</f>
        <v>0</v>
      </c>
      <c r="RC74">
        <f>SUMPRODUCT(--('Данные 2st'!$Q$2:$Q$317=$A74),--ISNUMBER('Данные 2st'!$MV$2:$MV$317))</f>
        <v>0</v>
      </c>
      <c r="RD74">
        <f>SUMPRODUCT(--('Данные 2st'!$Q$2:$Q$317=$A74),--ISNUMBER('Данные 2st'!$MW$2:$MW$317))</f>
        <v>0</v>
      </c>
      <c r="RE74">
        <f>SUMPRODUCT(--('Данные 2st'!$Q$2:$Q$317=$A74),--ISNUMBER('Данные 2st'!$MX$2:$MX$317))</f>
        <v>0</v>
      </c>
      <c r="RF74">
        <f>SUMPRODUCT(--('Данные 2st'!$Q$2:$Q$317=$A74),--ISNUMBER('Данные 2st'!$MY$2:$MY$317))</f>
        <v>0</v>
      </c>
      <c r="RG74">
        <f>SUMPRODUCT(--('Данные 2st'!$Q$2:$Q$317=$A74),--ISNUMBER('Данные 2st'!$MZ$2:$MZ$317))</f>
        <v>0</v>
      </c>
      <c r="RH74">
        <f>SUMPRODUCT(--('Данные 2st'!$Q$2:$Q$317=$A74),--ISNUMBER('Данные 2st'!$NA$2:$NA$317))</f>
        <v>0</v>
      </c>
      <c r="RI74">
        <f>SUMPRODUCT(--('Данные 2st'!$Q$2:$Q$317=$A74),--ISNUMBER('Данные 2st'!$NB$2:$NB$317))</f>
        <v>0</v>
      </c>
      <c r="RJ74">
        <f>SUMPRODUCT(--('Данные 2st'!$Q$2:$Q$317=$A74),--ISNUMBER('Данные 2st'!$NC$2:$NC$317))</f>
        <v>0</v>
      </c>
      <c r="RK74">
        <f>SUMPRODUCT(--('Данные 2st'!$Q$2:$Q$317=$A74),--ISNUMBER('Данные 2st'!$ND$2:$ND$317))</f>
        <v>0</v>
      </c>
      <c r="RL74">
        <f>SUMPRODUCT(--('Данные 2st'!$Q$2:$Q$317=$A74),--ISNUMBER('Данные 2st'!$NE$2:$NE$317))</f>
        <v>0</v>
      </c>
      <c r="RM74">
        <f>SUMPRODUCT(--('Данные 2st'!$Q$2:$Q$317=$A74),--ISNUMBER('Данные 2st'!$NF$2:$NF$317))</f>
        <v>0</v>
      </c>
      <c r="RN74">
        <f>SUMPRODUCT(--('Данные 2st'!$Q$2:$Q$317=$A74),--ISNUMBER('Данные 2st'!$NG$2:$NG$317))</f>
        <v>0</v>
      </c>
      <c r="RO74">
        <f>SUMPRODUCT(--('Данные 2st'!$Q$2:$Q$317=$A74),--ISNUMBER('Данные 2st'!$NH$2:$NH$317))</f>
        <v>0</v>
      </c>
      <c r="RP74">
        <f>SUMPRODUCT(--('Данные 2st'!$Q$2:$Q$317=$A74),--ISNUMBER('Данные 2st'!$NJ$2:$NJ$317))</f>
        <v>0</v>
      </c>
      <c r="RQ74">
        <f>SUMPRODUCT(--('Данные 2st'!$Q$2:$Q$317=$A74),--ISNUMBER('Данные 2st'!$NK$2:$NK$317))</f>
        <v>0</v>
      </c>
      <c r="RR74">
        <f>SUMPRODUCT(--('Данные 2st'!$Q$2:$Q$317=$A74),--ISNUMBER('Данные 2st'!$NM$2:$NM$317))</f>
        <v>0</v>
      </c>
      <c r="RS74">
        <f>SUMPRODUCT(--('Данные 2st'!$Q$2:$Q$317=$A74),--ISNUMBER('Данные 2st'!$NN$2:$NN$317))</f>
        <v>0</v>
      </c>
      <c r="RT74">
        <f>SUMPRODUCT(--('Данные 2st'!$Q$2:$Q$317=$A74),--ISNUMBER('Данные 2st'!$NO$2:$NO$317))</f>
        <v>0</v>
      </c>
      <c r="RU74">
        <f>SUMPRODUCT(--('Данные 2st'!$Q$2:$Q$317=$A74),--ISNUMBER('Данные 2st'!$NP$2:$NP$317))</f>
        <v>0</v>
      </c>
      <c r="RV74">
        <f>SUMPRODUCT(--('Данные 2st'!$Q$2:$Q$317=$A74),--ISNUMBER('Данные 2st'!$NQ$2:$NQ$317))</f>
        <v>0</v>
      </c>
      <c r="RW74">
        <f>SUMPRODUCT(--('Данные 2st'!$Q$2:$Q$317=$A74),--ISNUMBER('Данные 2st'!$NR$2:$NR$317))</f>
        <v>0</v>
      </c>
      <c r="RX74">
        <f>SUMPRODUCT(--('Данные 2st'!$Q$2:$Q$317=$A74),--ISNUMBER('Данные 2st'!$NS$2:$NS$317))</f>
        <v>0</v>
      </c>
      <c r="RY74">
        <f>SUMPRODUCT(--('Данные 2st'!$Q$2:$Q$317=$A74),--ISNUMBER('Данные 2st'!$NT$2:$NT$317))</f>
        <v>0</v>
      </c>
      <c r="RZ74">
        <f>SUMPRODUCT(--('Данные 2st'!$Q$2:$Q$317=$A74),--ISNUMBER('Данные 2st'!$OK$2:$OK$317))</f>
        <v>1</v>
      </c>
      <c r="SA74">
        <f>SUMPRODUCT(--('Данные 2st'!$Q$2:$Q$317=$A74),--ISNUMBER('Данные 2st'!$OL$2:$OL$317))</f>
        <v>1</v>
      </c>
      <c r="SB74">
        <f>SUMPRODUCT(--('Данные 2st'!$Q$2:$Q$317=$A74),--ISNUMBER('Данные 2st'!$ON$2:$ON$317))</f>
        <v>1</v>
      </c>
      <c r="SC74">
        <f>SUMPRODUCT(--('Данные 2st'!$Q$2:$Q$317=$A74),--ISNUMBER('Данные 2st'!$OO$2:$OO$317))</f>
        <v>1</v>
      </c>
      <c r="SD74">
        <f>SUMPRODUCT(--('Данные 2st'!$Q$2:$Q$317=$A74),--ISNUMBER('Данные 2st'!$OP$2:$OP$317))</f>
        <v>1</v>
      </c>
      <c r="SE74">
        <f>SUMPRODUCT(--('Данные 2st'!$Q$2:$Q$317=$A74),--ISNUMBER('Данные 2st'!$OQ$2:$OQ$317))</f>
        <v>1</v>
      </c>
      <c r="SF74">
        <f>SUMPRODUCT(--('Данные 2st'!$Q$2:$Q$317=$A74),--ISNUMBER('Данные 2st'!$OS$2:$OS$317))</f>
        <v>1</v>
      </c>
      <c r="SG74">
        <f>SUMPRODUCT(--('Данные 2st'!$Q$2:$Q$317=$A74),--ISNUMBER('Данные 2st'!$OT$2:$OT$317))</f>
        <v>1</v>
      </c>
      <c r="SH74">
        <f>SUMPRODUCT(--('Данные 2st'!$Q$2:$Q$317=$A74),--ISNUMBER('Данные 2st'!$OU$2:$OU$317))</f>
        <v>1</v>
      </c>
      <c r="SI74">
        <f>SUMPRODUCT(--('Данные 2st'!$Q$2:$Q$317=$A74),--ISNUMBER('Данные 2st'!$OV$2:$OV$317))</f>
        <v>1</v>
      </c>
      <c r="SJ74">
        <f>SUMPRODUCT(--('Данные 2st'!$Q$2:$Q$317=$A74),--ISNUMBER('Данные 2st'!$OX$2:$OX$317))</f>
        <v>1</v>
      </c>
      <c r="SK74">
        <f>SUMPRODUCT(--('Данные 2st'!$Q$2:$Q$317=$A74),--ISNUMBER('Данные 2st'!$OY$2:$OY$317))</f>
        <v>1</v>
      </c>
      <c r="SL74">
        <f>SUMPRODUCT(--('Данные 2st'!$Q$2:$Q$317=$A74),--ISNUMBER('Данные 2st'!$OZ$2:$OZ$317))</f>
        <v>1</v>
      </c>
      <c r="SM74">
        <f>SUMPRODUCT(--('Данные 2st'!$Q$2:$Q$317=$A74),--ISNUMBER('Данные 2st'!$PA$2:$PA$317))</f>
        <v>1</v>
      </c>
      <c r="SN74">
        <f>SUMPRODUCT(--('Данные 2st'!$Q$2:$Q$317=$A74),--ISNUMBER('Данные 2st'!$PC$2:$PC$317))</f>
        <v>1</v>
      </c>
      <c r="SO74">
        <f>SUMPRODUCT(--('Данные 2st'!$Q$2:$Q$317=$A74),--ISNUMBER('Данные 2st'!$PD$2:$PD$317))</f>
        <v>1</v>
      </c>
      <c r="SP74">
        <f>SUMPRODUCT(--('Данные 2st'!$Q$2:$Q$317=$A74),--ISNUMBER('Данные 2st'!$PF$2:$PF$317))</f>
        <v>1</v>
      </c>
      <c r="SQ74">
        <f>SUMPRODUCT(--('Данные 2st'!$Q$2:$Q$317=$A74),--ISNUMBER('Данные 2st'!$PG$2:$PG$317))</f>
        <v>1</v>
      </c>
      <c r="SR74">
        <f>SUMPRODUCT(--('Данные 2st'!$Q$2:$Q$317=$A74),--ISNUMBER('Данные 2st'!$PH$2:$PH$317))</f>
        <v>1</v>
      </c>
      <c r="SS74">
        <f>SUMPRODUCT(--('Данные 2st'!$Q$2:$Q$317=$A74),--ISNUMBER('Данные 2st'!$PI$2:$PI$317))</f>
        <v>1</v>
      </c>
      <c r="ST74">
        <f>SUMPRODUCT(--('Данные 2st'!$Q$2:$Q$317=$A74),--ISNUMBER('Данные 2st'!$PJ$2:$PJ$317))</f>
        <v>1</v>
      </c>
      <c r="SU74">
        <f>SUMPRODUCT(--('Данные 2st'!$Q$2:$Q$317=$A74),--ISNUMBER('Данные 2st'!$PK$2:$PK$317))</f>
        <v>1</v>
      </c>
      <c r="SV74">
        <f>SUMPRODUCT(--('Данные 2st'!$Q$2:$Q$317=$A74),--ISNUMBER('Данные 2st'!$PL$2:$PL$317))</f>
        <v>1</v>
      </c>
      <c r="SW74">
        <f>SUMPRODUCT(--('Данные 2st'!$Q$2:$Q$317=$A74),--ISNUMBER('Данные 2st'!$PM$2:$PM$317))</f>
        <v>1</v>
      </c>
      <c r="SX74">
        <f>SUMPRODUCT(--('Данные 2st'!$Q$2:$Q$317=$A74),--ISNUMBER('Данные 2st'!$PN$2:$PN$317))</f>
        <v>1</v>
      </c>
      <c r="SY74">
        <f>SUMPRODUCT(--('Данные 2st'!$Q$2:$Q$317=$A74),--ISNUMBER('Данные 2st'!$PO$2:$PO$317))</f>
        <v>1</v>
      </c>
      <c r="SZ74">
        <f>SUMPRODUCT(--('Данные 2st'!$Q$2:$Q$317=$A74),--ISNUMBER('Данные 2st'!$PP$2:$PP$317))</f>
        <v>1</v>
      </c>
      <c r="TA74">
        <f>SUMPRODUCT(--('Данные 2st'!$Q$2:$Q$317=$A74),--ISNUMBER('Данные 2st'!$PQ$2:$PQ$317))</f>
        <v>1</v>
      </c>
      <c r="TB74">
        <f>SUMPRODUCT(--('Данные 2st'!$Q$2:$Q$317=$A74),--ISNUMBER('Данные 2st'!$PR$2:$PR$317))</f>
        <v>1</v>
      </c>
      <c r="TC74">
        <f>SUMPRODUCT(--('Данные 2st'!$Q$2:$Q$317=$A74),--ISNUMBER('Данные 2st'!$PS$2:$PS$317))</f>
        <v>1</v>
      </c>
      <c r="TD74">
        <f>SUMPRODUCT(--('Данные 2st'!$Q$2:$Q$317=$A74),--ISNUMBER('Данные 2st'!$PT$2:$PT$317))</f>
        <v>1</v>
      </c>
      <c r="TE74">
        <f>SUMPRODUCT(--('Данные 2st'!$Q$2:$Q$317=$A74),--ISNUMBER('Данные 2st'!$PU$2:$PU$317))</f>
        <v>1</v>
      </c>
      <c r="TF74">
        <f>SUMPRODUCT(--('Данные 2st'!$Q$2:$Q$317=$A74),--ISNUMBER('Данные 2st'!$PX$2:$PX$317))</f>
        <v>1</v>
      </c>
      <c r="TG74">
        <f>SUMPRODUCT(--('Данные 2st'!$Q$2:$Q$317=$A74),--ISNUMBER('Данные 2st'!$PY$2:$PY$317))</f>
        <v>1</v>
      </c>
      <c r="TH74">
        <f>SUMPRODUCT(--('Данные 2st'!$Q$2:$Q$317=$A74),--ISNUMBER('Данные 2st'!$PZ$2:$PZ$317))</f>
        <v>1</v>
      </c>
      <c r="TI74">
        <f>SUMPRODUCT(--('Данные 2st'!$Q$2:$Q$317=$A74),--ISNUMBER('Данные 2st'!$QA$2:$QA$317))</f>
        <v>1</v>
      </c>
      <c r="TJ74">
        <f>SUMPRODUCT(--('Данные 2st'!$Q$2:$Q$317=$A74),--ISNUMBER('Данные 2st'!$QB$2:$QB$317))</f>
        <v>1</v>
      </c>
      <c r="TK74">
        <f>SUMPRODUCT(--('Данные 2st'!$Q$2:$Q$317=$A74),--ISNUMBER('Данные 2st'!$QC$2:$QC$317))</f>
        <v>1</v>
      </c>
      <c r="TL74">
        <f>SUMPRODUCT(--('Данные 2st'!$Q$2:$Q$317=$A74),--ISNUMBER('Данные 2st'!$QD$2:$QD$317))</f>
        <v>1</v>
      </c>
      <c r="TM74">
        <f>SUMPRODUCT(--('Данные 2st'!$Q$2:$Q$317=$A74),--ISNUMBER('Данные 2st'!$QE$2:$QE$317))</f>
        <v>1</v>
      </c>
      <c r="TN74">
        <f>SUMPRODUCT(--('Данные 2st'!$Q$2:$Q$317=$A74),--ISNUMBER('Данные 2st'!$QF$2:$QF$317))</f>
        <v>1</v>
      </c>
      <c r="TO74">
        <f>SUMPRODUCT(--('Данные 2st'!$Q$2:$Q$317=$A74),--ISNUMBER('Данные 2st'!$QG$2:$QG$317))</f>
        <v>1</v>
      </c>
      <c r="TP74">
        <f>SUMPRODUCT(--('Данные 2st'!$Q$2:$Q$317=$A74),--ISNUMBER('Данные 2st'!$QH$2:$QH$317))</f>
        <v>1</v>
      </c>
      <c r="TQ74">
        <f>SUMPRODUCT(--('Данные 2st'!$Q$2:$Q$317=$A74),--ISNUMBER('Данные 2st'!$QI$2:$QI$317))</f>
        <v>1</v>
      </c>
      <c r="TR74">
        <f>SUMPRODUCT(--('Данные 2st'!$Q$2:$Q$317=$A74),--ISNUMBER('Данные 2st'!$QJ$2:$QJ$317))</f>
        <v>1</v>
      </c>
      <c r="TS74">
        <f>SUMPRODUCT(--('Данные 2st'!$Q$2:$Q$317=$A74),--ISNUMBER('Данные 2st'!$QK$2:$QK$317))</f>
        <v>1</v>
      </c>
      <c r="TT74">
        <f>SUMPRODUCT(--('Данные 2st'!$Q$2:$Q$317=$A74),--ISNUMBER('Данные 2st'!$QL$2:$QL$317))</f>
        <v>1</v>
      </c>
      <c r="TU74">
        <f>SUMPRODUCT(--('Данные 2st'!$Q$2:$Q$317=$A74),--ISNUMBER('Данные 2st'!$QM$2:$QM$317))</f>
        <v>1</v>
      </c>
      <c r="TV74">
        <f>SUMPRODUCT(--('Данные 2st'!$Q$2:$Q$317=$A74),--ISNUMBER('Данные 2st'!$QN$2:$QN$317))</f>
        <v>1</v>
      </c>
      <c r="TW74">
        <f>SUMPRODUCT(--('Данные 2st'!$Q$2:$Q$317=$A74),--ISNUMBER('Данные 2st'!$QQ$2:$QQ$317))</f>
        <v>1</v>
      </c>
      <c r="TX74">
        <f>SUMPRODUCT(--('Данные 2st'!$Q$2:$Q$317=$A74),--ISNUMBER('Данные 2st'!$QS$2:$QS$317))</f>
        <v>1</v>
      </c>
      <c r="TY74">
        <f>SUMPRODUCT(--('Данные 2st'!$Q$2:$Q$317=$A74),--ISNUMBER('Данные 2st'!$QT$2:$QT$317))</f>
        <v>1</v>
      </c>
    </row>
    <row r="75" spans="1:545" ht="32" customHeight="1">
      <c r="A75" s="11" t="str">
        <f>'По размерам'!A75</f>
        <v>265/50R20</v>
      </c>
      <c r="G75">
        <f>SUMPRODUCT(--('Данные 1st'!$S$2:$S$317=$A75),--ISNUMBER('Данные 1st'!$AE$2:$AE$317))</f>
        <v>2</v>
      </c>
      <c r="H75">
        <f>SUMPRODUCT(--('Данные 1st'!$S$2:$S$317=$A75),--ISNUMBER('Данные 1st'!$AF$2:$AF$317))</f>
        <v>2</v>
      </c>
      <c r="I75">
        <f>SUMPRODUCT(--('Данные 1st'!$S$2:$S$317=$A75),--ISNUMBER('Данные 1st'!$AJ$2:$AJ$317))</f>
        <v>2</v>
      </c>
      <c r="J75">
        <f>SUMPRODUCT(--('Данные 1st'!$S$2:$S$317=$A75),--ISNUMBER('Данные 1st'!$AL$2:$AL$317))</f>
        <v>2</v>
      </c>
      <c r="K75">
        <f>SUMPRODUCT(--('Данные 1st'!$S$2:$S$317=$A75),--ISNUMBER('Данные 1st'!$AR$2:$AR$317))</f>
        <v>2</v>
      </c>
      <c r="L75">
        <f>SUMPRODUCT(--('Данные 1st'!$S$2:$S$317=$A75),--ISNUMBER('Данные 1st'!$AS$2:$AS$317))</f>
        <v>2</v>
      </c>
      <c r="M75">
        <f>SUMPRODUCT(--('Данные 1st'!$S$2:$S$317=$A75),--ISNUMBER('Данные 1st'!$AY$2:$AY$317))</f>
        <v>2</v>
      </c>
      <c r="N75">
        <f>SUMPRODUCT(--('Данные 1st'!$S$2:$S$317=$A75),--ISNUMBER('Данные 1st'!$AZ$2:$AZ$317))</f>
        <v>2</v>
      </c>
      <c r="O75">
        <f>SUMPRODUCT(--('Данные 1st'!$S$2:$S$317=$A75),--ISNUMBER('Данные 1st'!$BF$2:$BF$317))</f>
        <v>2</v>
      </c>
      <c r="P75">
        <f>SUMPRODUCT(--('Данные 1st'!$S$2:$S$317=$A75),--ISNUMBER('Данные 1st'!$BG$2:$BG$317))</f>
        <v>2</v>
      </c>
      <c r="Q75">
        <f>SUMPRODUCT(--('Данные 1st'!$S$2:$S$317=$A75),--ISNUMBER('Данные 1st'!$BM$2:$BM$317))</f>
        <v>0</v>
      </c>
      <c r="R75">
        <f>SUMPRODUCT(--('Данные 1st'!$S$2:$S$317=$A75),--ISNUMBER('Данные 1st'!$BN$2:$BN$317))</f>
        <v>2</v>
      </c>
      <c r="S75">
        <f>SUMPRODUCT(--('Данные 1st'!$S$2:$S$317=$A75),--ISNUMBER('Данные 1st'!$BT$2:$BT$317))</f>
        <v>2</v>
      </c>
      <c r="T75">
        <f>SUMPRODUCT(--('Данные 1st'!$S$2:$S$317=$A75),--ISNUMBER('Данные 1st'!$BU$2:$BU$317))</f>
        <v>2</v>
      </c>
      <c r="U75">
        <f>SUMPRODUCT(--('Данные 1st'!$S$2:$S$317=$A75),--ISNUMBER('Данные 1st'!$BW$2:$BW$317))</f>
        <v>2</v>
      </c>
      <c r="V75">
        <f>SUMPRODUCT(--('Данные 1st'!$S$2:$S$317=$A75),--ISNUMBER('Данные 1st'!$BX$2:$BX$317))</f>
        <v>2</v>
      </c>
      <c r="W75">
        <f>SUMPRODUCT(--('Данные 1st'!$S$2:$S$317=$A75),--ISNUMBER('Данные 1st'!$BZ$2:$BZ$317))</f>
        <v>2</v>
      </c>
      <c r="X75">
        <f>SUMPRODUCT(--('Данные 1st'!$S$2:$S$317=$A75),--ISNUMBER('Данные 1st'!$CA$2:$CA$317))</f>
        <v>2</v>
      </c>
      <c r="Y75">
        <f>SUMPRODUCT(--('Данные 1st'!$S$2:$S$317=$A75),--ISNUMBER('Данные 1st'!$CD$2:$CD$317))</f>
        <v>2</v>
      </c>
      <c r="Z75">
        <f>SUMPRODUCT(--('Данные 1st'!$S$2:$S$317=$A75),--ISNUMBER('Данные 1st'!$CF$2:$CF$317))</f>
        <v>2</v>
      </c>
      <c r="AA75">
        <f>SUMPRODUCT(--('Данные 1st'!$S$2:$S$317=$A75),--ISNUMBER('Данные 1st'!$CI$2:$CI$317))</f>
        <v>2</v>
      </c>
      <c r="AB75">
        <f>SUMPRODUCT(--('Данные 1st'!$S$2:$S$317=$A75),--ISNUMBER('Данные 1st'!$CJ$2:$CJ$317))</f>
        <v>2</v>
      </c>
      <c r="AC75">
        <f>SUMPRODUCT(--('Данные 1st'!$S$2:$S$317=$A75),--ISNUMBER('Данные 1st'!$CK$2:$CK$317))</f>
        <v>2</v>
      </c>
      <c r="AD75">
        <f>SUMPRODUCT(--('Данные 1st'!$S$2:$S$317=$A75),--ISNUMBER('Данные 1st'!$CL$2:$CL$317))</f>
        <v>2</v>
      </c>
      <c r="AE75">
        <f>SUMPRODUCT(--('Данные 1st'!$S$2:$S$317=$A75),--ISNUMBER('Данные 1st'!$CM$2:$CM$317))</f>
        <v>2</v>
      </c>
      <c r="AF75">
        <f>SUMPRODUCT(--('Данные 1st'!$S$2:$S$317=$A75),--ISNUMBER('Данные 1st'!$CT$2:$CT$317))</f>
        <v>2</v>
      </c>
      <c r="AG75">
        <f>SUMPRODUCT(--('Данные 1st'!$S$2:$S$317=$A75),--ISNUMBER('Данные 1st'!$CU$2:$CU$317))</f>
        <v>2</v>
      </c>
      <c r="AH75">
        <f>SUMPRODUCT(--('Данные 1st'!$S$2:$S$317=$A75),--ISNUMBER('Данные 1st'!$CV$2:$CV$317))</f>
        <v>2</v>
      </c>
      <c r="AI75">
        <f>SUMPRODUCT(--('Данные 1st'!$S$2:$S$317=$A75),--ISNUMBER('Данные 1st'!$CW$2:$CW$317))</f>
        <v>2</v>
      </c>
      <c r="AJ75">
        <f>SUMPRODUCT(--('Данные 1st'!$S$2:$S$317=$A75),--ISNUMBER('Данные 1st'!$CX$2:$CX$317))</f>
        <v>2</v>
      </c>
      <c r="AK75">
        <f>SUMPRODUCT(--('Данные 1st'!$S$2:$S$317=$A75),--ISNUMBER('Данные 1st'!$CZ$2:$CZ$317))</f>
        <v>2</v>
      </c>
      <c r="AL75">
        <f>SUMPRODUCT(--('Данные 1st'!$S$2:$S$317=$A75),--ISNUMBER('Данные 1st'!$DA$2:$DA$317))</f>
        <v>2</v>
      </c>
      <c r="AM75">
        <f>SUMPRODUCT(--('Данные 1st'!$S$2:$S$317=$A75),--ISNUMBER('Данные 1st'!$DB$2:$DB$317))</f>
        <v>2</v>
      </c>
      <c r="AN75">
        <f>SUMPRODUCT(--('Данные 1st'!$S$2:$S$317=$A75),--ISNUMBER('Данные 1st'!$DC$2:$DC$317))</f>
        <v>2</v>
      </c>
      <c r="AO75">
        <f>SUMPRODUCT(--('Данные 1st'!$S$2:$S$317=$A75),--ISNUMBER('Данные 1st'!$DD$2:$DD$317))</f>
        <v>2</v>
      </c>
      <c r="AP75">
        <f>SUMPRODUCT(--('Данные 1st'!$S$2:$S$317=$A75),--ISNUMBER('Данные 1st'!$DF$2:$DF$317))</f>
        <v>2</v>
      </c>
      <c r="AQ75">
        <f>SUMPRODUCT(--('Данные 1st'!$S$2:$S$317=$A75),--ISNUMBER('Данные 1st'!$DG$2:$DG$317))</f>
        <v>2</v>
      </c>
      <c r="AR75">
        <f>SUMPRODUCT(--('Данные 1st'!$S$2:$S$317=$A75),--ISNUMBER('Данные 1st'!$DH$2:$DH$317))</f>
        <v>2</v>
      </c>
      <c r="AS75">
        <f>SUMPRODUCT(--('Данные 1st'!$S$2:$S$317=$A75),--ISNUMBER('Данные 1st'!$DI$2:$DI$317))</f>
        <v>2</v>
      </c>
      <c r="AT75">
        <f>SUMPRODUCT(--('Данные 1st'!$S$2:$S$317=$A75),--ISNUMBER('Данные 1st'!$DJ$2:$DJ$317))</f>
        <v>2</v>
      </c>
      <c r="AU75">
        <f>SUMPRODUCT(--('Данные 1st'!$S$2:$S$317=$A75),--ISNUMBER('Данные 1st'!$DL$2:$DL$317))</f>
        <v>2</v>
      </c>
      <c r="AV75">
        <f>SUMPRODUCT(--('Данные 1st'!$S$2:$S$317=$A75),--ISNUMBER('Данные 1st'!$DM$2:$DM$317))</f>
        <v>2</v>
      </c>
      <c r="AW75">
        <f>SUMPRODUCT(--('Данные 1st'!$S$2:$S$317=$A75),--ISNUMBER('Данные 1st'!$DN$2:$DN$317))</f>
        <v>2</v>
      </c>
      <c r="AX75">
        <f>SUMPRODUCT(--('Данные 1st'!$S$2:$S$317=$A75),--ISNUMBER('Данные 1st'!$DO$2:$DO$317))</f>
        <v>2</v>
      </c>
      <c r="AY75">
        <f>SUMPRODUCT(--('Данные 1st'!$S$2:$S$317=$A75),--ISNUMBER('Данные 1st'!$DP$2:$DP$317))</f>
        <v>2</v>
      </c>
      <c r="AZ75">
        <f>SUMPRODUCT(--('Данные 1st'!$S$2:$S$317=$A75),--ISNUMBER('Данные 1st'!$DR$2:$DR$317))</f>
        <v>0</v>
      </c>
      <c r="BA75">
        <f>SUMPRODUCT(--('Данные 1st'!$S$2:$S$317=$A75),--ISNUMBER('Данные 1st'!$DS$2:$DS$317))</f>
        <v>0</v>
      </c>
      <c r="BB75">
        <f>SUMPRODUCT(--('Данные 1st'!$S$2:$S$317=$A75),--ISNUMBER('Данные 1st'!$DT$2:$DT$317))</f>
        <v>0</v>
      </c>
      <c r="BC75">
        <f>SUMPRODUCT(--('Данные 1st'!$S$2:$S$317=$A75),--ISNUMBER('Данные 1st'!$DU$2:$DU$317))</f>
        <v>0</v>
      </c>
      <c r="BD75">
        <f>SUMPRODUCT(--('Данные 1st'!$S$2:$S$317=$A75),--ISNUMBER('Данные 1st'!$DV$2:$DV$317))</f>
        <v>0</v>
      </c>
      <c r="BE75">
        <f>SUMPRODUCT(--('Данные 1st'!$S$2:$S$317=$A75),--ISNUMBER('Данные 1st'!$DX$2:$DX$317))</f>
        <v>2</v>
      </c>
      <c r="BF75">
        <f>SUMPRODUCT(--('Данные 1st'!$S$2:$S$317=$A75),--ISNUMBER('Данные 1st'!$EA$2:$EA$317))</f>
        <v>2</v>
      </c>
      <c r="BG75">
        <f>SUMPRODUCT(--('Данные 1st'!$S$2:$S$317=$A75),--ISNUMBER('Данные 1st'!$EB$2:$EB$317))</f>
        <v>2</v>
      </c>
      <c r="BH75">
        <f>SUMPRODUCT(--('Данные 1st'!$S$2:$S$317=$A75),--ISNUMBER('Данные 1st'!$ED$2:$ED$317))</f>
        <v>2</v>
      </c>
      <c r="BI75">
        <f>SUMPRODUCT(--('Данные 1st'!$S$2:$S$317=$A75),--ISNUMBER('Данные 1st'!$EE$2:$EE$317))</f>
        <v>2</v>
      </c>
      <c r="BJ75">
        <f>SUMPRODUCT(--('Данные 1st'!$S$2:$S$317=$A75),--ISNUMBER('Данные 1st'!$EG$2:$EG$317))</f>
        <v>2</v>
      </c>
      <c r="BK75">
        <f>SUMPRODUCT(--('Данные 1st'!$S$2:$S$317=$A75),--ISNUMBER('Данные 1st'!$EH$2:$EH$317))</f>
        <v>2</v>
      </c>
      <c r="BL75">
        <f>SUMPRODUCT(--('Данные 1st'!$S$2:$S$317=$A75),--ISNUMBER('Данные 1st'!$EJ$2:$EJ$317))</f>
        <v>2</v>
      </c>
      <c r="BM75">
        <f>SUMPRODUCT(--('Данные 1st'!$S$2:$S$317=$A75),--ISNUMBER('Данные 1st'!$EK$2:$EK$317))</f>
        <v>2</v>
      </c>
      <c r="BN75">
        <f>SUMPRODUCT(--('Данные 1st'!$S$2:$S$317=$A75),--ISNUMBER('Данные 1st'!$EN$2:$EN$317))</f>
        <v>2</v>
      </c>
      <c r="BO75">
        <f>SUMPRODUCT(--('Данные 1st'!$S$2:$S$317=$A75),--ISNUMBER('Данные 1st'!$EQ$2:$EQ$317))</f>
        <v>2</v>
      </c>
      <c r="BP75">
        <f>SUMPRODUCT(--('Данные 1st'!$S$2:$S$317=$A75),--ISNUMBER('Данные 1st'!$ER$2:$ER$317))</f>
        <v>2</v>
      </c>
      <c r="BQ75">
        <f>SUMPRODUCT(--('Данные 1st'!$S$2:$S$317=$A75),--ISNUMBER('Данные 1st'!$ES$2:$ES$317))</f>
        <v>2</v>
      </c>
      <c r="BR75">
        <f>SUMPRODUCT(--('Данные 1st'!$S$2:$S$317=$A75),--ISNUMBER('Данные 1st'!$ET$2:$ET$317))</f>
        <v>2</v>
      </c>
      <c r="BS75">
        <f>SUMPRODUCT(--('Данные 1st'!$S$2:$S$317=$A75),--ISNUMBER('Данные 1st'!$EU$2:$EU$317))</f>
        <v>2</v>
      </c>
      <c r="BT75">
        <f>SUMPRODUCT(--('Данные 1st'!$S$2:$S$317=$A75),--ISNUMBER('Данные 1st'!$EV$2:$EV$317))</f>
        <v>2</v>
      </c>
      <c r="BU75">
        <f>SUMPRODUCT(--('Данные 1st'!$S$2:$S$317=$A75),--ISNUMBER('Данные 1st'!$EX$2:$EX$317))</f>
        <v>2</v>
      </c>
      <c r="BV75">
        <f>SUMPRODUCT(--('Данные 1st'!$S$2:$S$317=$A75),--ISNUMBER('Данные 1st'!$EY$2:$EY$317))</f>
        <v>2</v>
      </c>
      <c r="BW75">
        <f>SUMPRODUCT(--('Данные 1st'!$S$2:$S$317=$A75),--ISNUMBER('Данные 1st'!$EZ$2:$EZ$317))</f>
        <v>2</v>
      </c>
      <c r="BX75">
        <f>SUMPRODUCT(--('Данные 1st'!$S$2:$S$317=$A75),--ISNUMBER('Данные 1st'!$FA$2:$FA$317))</f>
        <v>2</v>
      </c>
      <c r="BY75">
        <f>SUMPRODUCT(--('Данные 1st'!$S$2:$S$317=$A75),--ISNUMBER('Данные 1st'!$FB$2:$FB$317))</f>
        <v>2</v>
      </c>
      <c r="BZ75">
        <f>SUMPRODUCT(--('Данные 1st'!$S$2:$S$317=$A75),--ISNUMBER('Данные 1st'!$FC$2:$FC$317))</f>
        <v>2</v>
      </c>
      <c r="CA75">
        <f>SUMPRODUCT(--('Данные 1st'!$S$2:$S$317=$A75),--ISNUMBER('Данные 1st'!$FE$2:$FE$317))</f>
        <v>2</v>
      </c>
      <c r="CB75">
        <f>SUMPRODUCT(--('Данные 1st'!$S$2:$S$317=$A75),--ISNUMBER('Данные 1st'!$FF$2:$FF$317))</f>
        <v>2</v>
      </c>
      <c r="CC75">
        <f>SUMPRODUCT(--('Данные 1st'!$S$2:$S$317=$A75),--ISNUMBER('Данные 1st'!$FI$2:$FI$317))</f>
        <v>2</v>
      </c>
      <c r="CD75">
        <f>SUMPRODUCT(--('Данные 1st'!$S$2:$S$317=$A75),--ISNUMBER('Данные 1st'!$FL$2:$FL$317))</f>
        <v>2</v>
      </c>
      <c r="CE75">
        <f>SUMPRODUCT(--('Данные 1st'!$S$2:$S$317=$A75),--ISNUMBER('Данные 1st'!$FM$2:$FM$317))</f>
        <v>2</v>
      </c>
      <c r="CF75">
        <f>SUMPRODUCT(--('Данные 1st'!$S$2:$S$317=$A75),--ISNUMBER('Данные 1st'!$FN$2:$FN$317))</f>
        <v>2</v>
      </c>
      <c r="CG75">
        <f>SUMPRODUCT(--('Данные 1st'!$S$2:$S$317=$A75),--ISNUMBER('Данные 1st'!$FO$2:$FO$317))</f>
        <v>2</v>
      </c>
      <c r="CH75">
        <f>SUMPRODUCT(--('Данные 1st'!$S$2:$S$317=$A75),--ISNUMBER('Данные 1st'!$FP$2:$FP$317))</f>
        <v>2</v>
      </c>
      <c r="CI75">
        <f>SUMPRODUCT(--('Данные 1st'!$S$2:$S$317=$A75),--ISNUMBER('Данные 1st'!$FS$2:$FS$317))</f>
        <v>0</v>
      </c>
      <c r="CJ75">
        <f>SUMPRODUCT(--('Данные 1st'!$S$2:$S$317=$A75),--ISNUMBER('Данные 1st'!$FT$2:$FT$317))</f>
        <v>0</v>
      </c>
      <c r="CK75">
        <f>SUMPRODUCT(--('Данные 1st'!$S$2:$S$317=$A75),--ISNUMBER('Данные 1st'!$FU$2:$FU$317))</f>
        <v>0</v>
      </c>
      <c r="CL75">
        <f>SUMPRODUCT(--('Данные 1st'!$S$2:$S$317=$A75),--ISNUMBER('Данные 1st'!$FV$2:$FV$317))</f>
        <v>0</v>
      </c>
      <c r="CM75">
        <f>SUMPRODUCT(--('Данные 1st'!$S$2:$S$317=$A75),--ISNUMBER('Данные 1st'!$FW$2:$FW$317))</f>
        <v>0</v>
      </c>
      <c r="CN75">
        <f>SUMPRODUCT(--('Данные 1st'!$S$2:$S$317=$A75),--ISNUMBER('Данные 1st'!$FZ$2:$FZ$317))</f>
        <v>0</v>
      </c>
      <c r="CO75">
        <f>SUMPRODUCT(--('Данные 1st'!$S$2:$S$317=$A75),--ISNUMBER('Данные 1st'!$GA$2:$GA$317))</f>
        <v>0</v>
      </c>
      <c r="CP75">
        <f>SUMPRODUCT(--('Данные 1st'!$S$2:$S$317=$A75),--ISNUMBER('Данные 1st'!$GB$2:$GB$317))</f>
        <v>0</v>
      </c>
      <c r="CQ75">
        <f>SUMPRODUCT(--('Данные 1st'!$S$2:$S$317=$A75),--ISNUMBER('Данные 1st'!$GH$2:$GH$317))</f>
        <v>0</v>
      </c>
      <c r="CR75">
        <f>SUMPRODUCT(--('Данные 1st'!$S$2:$S$317=$A75),--ISNUMBER('Данные 1st'!$GI$2:$GI$317))</f>
        <v>0</v>
      </c>
      <c r="CS75">
        <f>SUMPRODUCT(--('Данные 1st'!$S$2:$S$317=$A75),--ISNUMBER('Данные 1st'!$GJ$2:$GJ$317))</f>
        <v>0</v>
      </c>
      <c r="CT75">
        <f>SUMPRODUCT(--('Данные 1st'!$S$2:$S$317=$A75),--ISNUMBER('Данные 1st'!$GS$2:$GS$317))</f>
        <v>2</v>
      </c>
      <c r="CU75">
        <f>SUMPRODUCT(--('Данные 1st'!$S$2:$S$317=$A75),--ISNUMBER('Данные 1st'!$GT$2:$GT$317))</f>
        <v>2</v>
      </c>
      <c r="CV75">
        <f>SUMPRODUCT(--('Данные 1st'!$S$2:$S$317=$A75),--ISNUMBER('Данные 1st'!$GU$2:$GU$317))</f>
        <v>2</v>
      </c>
      <c r="CW75">
        <f>SUMPRODUCT(--('Данные 1st'!$S$2:$S$317=$A75),--ISNUMBER('Данные 1st'!$GV$2:$GV$317))</f>
        <v>2</v>
      </c>
      <c r="CX75">
        <f>SUMPRODUCT(--('Данные 1st'!$S$2:$S$317=$A75),--ISNUMBER('Данные 1st'!$GW$2:$GW$317))</f>
        <v>2</v>
      </c>
      <c r="CY75">
        <f>SUMPRODUCT(--('Данные 1st'!$S$2:$S$317=$A75),--ISNUMBER('Данные 1st'!$GZ$2:$GZ$317))</f>
        <v>1</v>
      </c>
      <c r="CZ75">
        <f>SUMPRODUCT(--('Данные 1st'!$S$2:$S$317=$A75),--ISNUMBER('Данные 1st'!$HA$2:$HA$317))</f>
        <v>1</v>
      </c>
      <c r="DA75">
        <f>SUMPRODUCT(--('Данные 1st'!$S$2:$S$317=$A75),--ISNUMBER('Данные 1st'!$HB$2:$HB$317))</f>
        <v>1</v>
      </c>
      <c r="DB75">
        <f>SUMPRODUCT(--('Данные 1st'!$S$2:$S$317=$A75),--ISNUMBER('Данные 1st'!$HC$2:$HC$317))</f>
        <v>2</v>
      </c>
      <c r="DC75">
        <f>SUMPRODUCT(--('Данные 1st'!$S$2:$S$317=$A75),--ISNUMBER('Данные 1st'!$HD$2:$HD$317))</f>
        <v>2</v>
      </c>
      <c r="DD75">
        <f>SUMPRODUCT(--('Данные 1st'!$S$2:$S$317=$A75),--ISNUMBER('Данные 1st'!$HE$2:$HE$317))</f>
        <v>2</v>
      </c>
      <c r="DE75">
        <f>SUMPRODUCT(--('Данные 1st'!$S$2:$S$317=$A75),--ISNUMBER('Данные 1st'!$HF$2:$HF$317))</f>
        <v>2</v>
      </c>
      <c r="DF75">
        <f>SUMPRODUCT(--('Данные 1st'!$S$2:$S$317=$A75),--ISNUMBER('Данные 1st'!$HG$2:$HG$317))</f>
        <v>2</v>
      </c>
      <c r="DG75">
        <f>SUMPRODUCT(--('Данные 1st'!$S$2:$S$317=$A75),--ISNUMBER('Данные 1st'!$HH$2:$HH$317))</f>
        <v>2</v>
      </c>
      <c r="DH75">
        <f>SUMPRODUCT(--('Данные 1st'!$S$2:$S$317=$A75),--ISNUMBER('Данные 1st'!$HI$2:$HI$317))</f>
        <v>2</v>
      </c>
      <c r="DI75">
        <f>SUMPRODUCT(--('Данные 1st'!$S$2:$S$317=$A75),--ISNUMBER('Данные 1st'!$HJ$2:$HJ$317))</f>
        <v>2</v>
      </c>
      <c r="DJ75">
        <f>SUMPRODUCT(--('Данные 1st'!$S$2:$S$317=$A75),--ISNUMBER('Данные 1st'!$HK$2:$HK$317))</f>
        <v>2</v>
      </c>
      <c r="DK75">
        <f>SUMPRODUCT(--('Данные 1st'!$S$2:$S$317=$A75),--ISNUMBER('Данные 1st'!$HL$2:$HL$317))</f>
        <v>2</v>
      </c>
      <c r="DL75">
        <f>SUMPRODUCT(--('Данные 1st'!$S$2:$S$317=$A75),--ISNUMBER('Данные 1st'!$HM$2:$HM$317))</f>
        <v>2</v>
      </c>
      <c r="DM75">
        <f>SUMPRODUCT(--('Данные 1st'!$S$2:$S$317=$A75),--ISNUMBER('Данные 1st'!$HN$2:$HN$317))</f>
        <v>2</v>
      </c>
      <c r="DN75">
        <f>SUMPRODUCT(--('Данные 1st'!$S$2:$S$317=$A75),--ISNUMBER('Данные 1st'!$HO$2:$HO$317))</f>
        <v>2</v>
      </c>
      <c r="DO75">
        <f>SUMPRODUCT(--('Данные 1st'!$S$2:$S$317=$A75),--ISNUMBER('Данные 1st'!$HP$2:$HP$317))</f>
        <v>2</v>
      </c>
      <c r="DP75">
        <f>SUMPRODUCT(--('Данные 1st'!$S$2:$S$317=$A75),--ISNUMBER('Данные 1st'!$HQ$2:$HQ$317))</f>
        <v>2</v>
      </c>
      <c r="DQ75">
        <f>SUMPRODUCT(--('Данные 1st'!$S$2:$S$317=$A75),--ISNUMBER('Данные 1st'!$HR$2:$HR$317))</f>
        <v>2</v>
      </c>
      <c r="DR75">
        <f>SUMPRODUCT(--('Данные 1st'!$S$2:$S$317=$A75),--ISNUMBER('Данные 1st'!$HS$2:$HS$317))</f>
        <v>2</v>
      </c>
      <c r="DS75">
        <f>SUMPRODUCT(--('Данные 1st'!$S$2:$S$317=$A75),--ISNUMBER('Данные 1st'!$HT$2:$HT$317))</f>
        <v>2</v>
      </c>
      <c r="DT75">
        <f>SUMPRODUCT(--('Данные 1st'!$S$2:$S$317=$A75),--ISNUMBER('Данные 1st'!$HU$2:$HU$317))</f>
        <v>2</v>
      </c>
      <c r="DU75">
        <f>SUMPRODUCT(--('Данные 1st'!$S$2:$S$317=$A75),--ISNUMBER('Данные 1st'!$HW$2:$HW$317))</f>
        <v>2</v>
      </c>
      <c r="DV75">
        <f>SUMPRODUCT(--('Данные 1st'!$S$2:$S$317=$A75),--ISNUMBER('Данные 1st'!$HX$2:$HX$317))</f>
        <v>2</v>
      </c>
      <c r="DW75">
        <f>SUMPRODUCT(--('Данные 1st'!$S$2:$S$317=$A75),--ISNUMBER('Данные 1st'!$HY$2:$HY$317))</f>
        <v>2</v>
      </c>
      <c r="DX75">
        <f>SUMPRODUCT(--('Данные 1st'!$S$2:$S$317=$A75),--ISNUMBER('Данные 1st'!$IA$2:$IA$317))</f>
        <v>2</v>
      </c>
      <c r="DY75">
        <f>SUMPRODUCT(--('Данные 1st'!$S$2:$S$317=$A75),--ISNUMBER('Данные 1st'!$IB$2:$IB$317))</f>
        <v>2</v>
      </c>
      <c r="DZ75">
        <f>SUMPRODUCT(--('Данные 1st'!$S$2:$S$317=$A75),--ISNUMBER('Данные 1st'!$IC$2:$IC$317))</f>
        <v>2</v>
      </c>
      <c r="EA75">
        <f>SUMPRODUCT(--('Данные 1st'!$S$2:$S$317=$A75),--ISNUMBER('Данные 1st'!$ID$2:$ID$317))</f>
        <v>2</v>
      </c>
      <c r="EB75">
        <f>SUMPRODUCT(--('Данные 1st'!$S$2:$S$317=$A75),--ISNUMBER('Данные 1st'!$IE$2:$IE$317))</f>
        <v>2</v>
      </c>
      <c r="EC75">
        <f>SUMPRODUCT(--('Данные 1st'!$S$2:$S$317=$A75),--ISNUMBER('Данные 1st'!$IF$2:$IF$317))</f>
        <v>2</v>
      </c>
      <c r="ED75">
        <f>SUMPRODUCT(--('Данные 1st'!$S$2:$S$317=$A75),--ISNUMBER('Данные 1st'!$IP$2:$IP$317))</f>
        <v>2</v>
      </c>
      <c r="EE75">
        <f>SUMPRODUCT(--('Данные 1st'!$S$2:$S$317=$A75),--ISNUMBER('Данные 1st'!$IV$2:$IV$317))</f>
        <v>2</v>
      </c>
      <c r="EF75">
        <f>SUMPRODUCT(--('Данные 1st'!$S$2:$S$317=$A75),--ISNUMBER('Данные 1st'!$IW$2:$IW$317))</f>
        <v>2</v>
      </c>
      <c r="EG75">
        <f>SUMPRODUCT(--('Данные 1st'!$S$2:$S$317=$A75),--ISNUMBER('Данные 1st'!$IX$2:$IX$317))</f>
        <v>0</v>
      </c>
      <c r="EH75">
        <f>SUMPRODUCT(--('Данные 1st'!$S$2:$S$317=$A75),--ISNUMBER('Данные 1st'!$IY$2:$IY$317))</f>
        <v>0</v>
      </c>
      <c r="EI75">
        <f>SUMPRODUCT(--('Данные 1st'!$S$2:$S$317=$A75),--ISNUMBER('Данные 1st'!$JD$2:$JD$317))</f>
        <v>2</v>
      </c>
      <c r="EJ75">
        <f>SUMPRODUCT(--('Данные 1st'!$S$2:$S$317=$A75),--ISNUMBER('Данные 1st'!$JE$2:$JE$317))</f>
        <v>2</v>
      </c>
      <c r="EK75">
        <f>SUMPRODUCT(--('Данные 1st'!$S$2:$S$317=$A75),--ISNUMBER('Данные 1st'!$JF$2:$JF$317))</f>
        <v>2</v>
      </c>
      <c r="EL75">
        <f>SUMPRODUCT(--('Данные 1st'!$S$2:$S$317=$A75),--ISNUMBER('Данные 1st'!$JG$2:$JG$317))</f>
        <v>2</v>
      </c>
      <c r="EM75">
        <f>SUMPRODUCT(--('Данные 1st'!$S$2:$S$317=$A75),--ISNUMBER('Данные 1st'!$JH$2:$JH$317))</f>
        <v>2</v>
      </c>
      <c r="EN75">
        <f>SUMPRODUCT(--('Данные 1st'!$S$2:$S$317=$A75),--ISNUMBER('Данные 1st'!$JJ$2:$JJ$317))</f>
        <v>2</v>
      </c>
      <c r="EO75">
        <f>SUMPRODUCT(--('Данные 1st'!$S$2:$S$317=$A75),--ISNUMBER('Данные 1st'!$JK$2:$JK$317))</f>
        <v>2</v>
      </c>
      <c r="EP75">
        <f>SUMPRODUCT(--('Данные 1st'!$S$2:$S$317=$A75),--ISNUMBER('Данные 1st'!$JL$2:$JL$317))</f>
        <v>0</v>
      </c>
      <c r="EQ75">
        <f>SUMPRODUCT(--('Данные 1st'!$S$2:$S$317=$A75),--ISNUMBER('Данные 1st'!$JM$2:$JM$317))</f>
        <v>0</v>
      </c>
      <c r="ER75">
        <f>SUMPRODUCT(--('Данные 1st'!$S$2:$S$317=$A75),--ISNUMBER('Данные 1st'!$JN$2:$JN$317))</f>
        <v>2</v>
      </c>
      <c r="ES75">
        <f>SUMPRODUCT(--('Данные 1st'!$S$2:$S$317=$A75),--ISNUMBER('Данные 1st'!$JO$2:$JO$317))</f>
        <v>2</v>
      </c>
      <c r="ET75">
        <f>SUMPRODUCT(--('Данные 1st'!$S$2:$S$317=$A75),--ISNUMBER('Данные 1st'!$JP$2:$JP$317))</f>
        <v>2</v>
      </c>
      <c r="EU75">
        <f>SUMPRODUCT(--('Данные 1st'!$S$2:$S$317=$A75),--ISNUMBER('Данные 1st'!$JQ$2:$JQ$317))</f>
        <v>2</v>
      </c>
      <c r="EV75">
        <f>SUMPRODUCT(--('Данные 1st'!$S$2:$S$317=$A75),--ISNUMBER('Данные 1st'!$JR$2:$JR$317))</f>
        <v>2</v>
      </c>
      <c r="EW75">
        <f>SUMPRODUCT(--('Данные 1st'!$S$2:$S$317=$A75),--ISNUMBER('Данные 1st'!$JS$2:$JS$317))</f>
        <v>2</v>
      </c>
      <c r="EX75">
        <f>SUMPRODUCT(--('Данные 1st'!$S$2:$S$317=$A75),--ISNUMBER('Данные 1st'!$JT$2:$JT$317))</f>
        <v>0</v>
      </c>
      <c r="EY75">
        <f>SUMPRODUCT(--('Данные 1st'!$S$2:$S$317=$A75),--ISNUMBER('Данные 1st'!$JU$2:$JU$317))</f>
        <v>0</v>
      </c>
      <c r="EZ75">
        <f>SUMPRODUCT(--('Данные 1st'!$S$2:$S$317=$A75),--ISNUMBER('Данные 1st'!$JV$2:$JV$317))</f>
        <v>2</v>
      </c>
      <c r="FA75">
        <f>SUMPRODUCT(--('Данные 1st'!$S$2:$S$317=$A75),--ISNUMBER('Данные 1st'!$JW$2:$JW$317))</f>
        <v>0</v>
      </c>
      <c r="FB75">
        <f>SUMPRODUCT(--('Данные 1st'!$S$2:$S$317=$A75),--ISNUMBER('Данные 1st'!$JX$2:$JX$317))</f>
        <v>2</v>
      </c>
      <c r="FC75">
        <f>SUMPRODUCT(--('Данные 1st'!$S$2:$S$317=$A75),--ISNUMBER('Данные 1st'!$JY$2:$JY$317))</f>
        <v>0</v>
      </c>
      <c r="FD75">
        <f>SUMPRODUCT(--('Данные 1st'!$S$2:$S$317=$A75),--ISNUMBER('Данные 1st'!$JZ$2:$JZ$317))</f>
        <v>0</v>
      </c>
      <c r="FE75">
        <f>SUMPRODUCT(--('Данные 1st'!$S$2:$S$317=$A75),--ISNUMBER('Данные 1st'!$KA$2:$KA$317))</f>
        <v>2</v>
      </c>
      <c r="FF75">
        <f>SUMPRODUCT(--('Данные 1st'!$S$2:$S$317=$A75),--ISNUMBER('Данные 1st'!$KB$2:$KB$317))</f>
        <v>2</v>
      </c>
      <c r="FG75">
        <f>SUMPRODUCT(--('Данные 1st'!$S$2:$S$317=$A75),--ISNUMBER('Данные 1st'!$KC$2:$KC$317))</f>
        <v>2</v>
      </c>
      <c r="FH75">
        <f>SUMPRODUCT(--('Данные 1st'!$S$2:$S$317=$A75),--ISNUMBER('Данные 1st'!$KD$2:$KD$317))</f>
        <v>2</v>
      </c>
      <c r="FI75">
        <f>SUMPRODUCT(--('Данные 1st'!$S$2:$S$317=$A75),--ISNUMBER('Данные 1st'!$KE$2:$KE$317))</f>
        <v>0</v>
      </c>
      <c r="FJ75">
        <f>SUMPRODUCT(--('Данные 1st'!$S$2:$S$317=$A75),--ISNUMBER('Данные 1st'!$KF$2:$KF$317))</f>
        <v>2</v>
      </c>
      <c r="FK75">
        <f>SUMPRODUCT(--('Данные 1st'!$S$2:$S$317=$A75),--ISNUMBER('Данные 1st'!$KG$2:$KG$317))</f>
        <v>2</v>
      </c>
      <c r="FL75">
        <f>SUMPRODUCT(--('Данные 1st'!$S$2:$S$317=$A75),--ISNUMBER('Данные 1st'!$KH$2:$KH$317))</f>
        <v>2</v>
      </c>
      <c r="FM75">
        <f>SUMPRODUCT(--('Данные 1st'!$S$2:$S$317=$A75),--ISNUMBER('Данные 1st'!$KI$2:$KI$317))</f>
        <v>2</v>
      </c>
      <c r="FN75">
        <f>SUMPRODUCT(--('Данные 1st'!$S$2:$S$317=$A75),--ISNUMBER('Данные 1st'!$KJ$2:$KJ$317))</f>
        <v>2</v>
      </c>
      <c r="FO75">
        <f>SUMPRODUCT(--('Данные 1st'!$S$2:$S$317=$A75),--ISNUMBER('Данные 1st'!$KK$2:$KK$317))</f>
        <v>2</v>
      </c>
      <c r="FP75">
        <f>SUMPRODUCT(--('Данные 1st'!$S$2:$S$317=$A75),--ISNUMBER('Данные 1st'!$KL$2:$KL$317))</f>
        <v>2</v>
      </c>
      <c r="FQ75">
        <f>SUMPRODUCT(--('Данные 1st'!$S$2:$S$317=$A75),--ISNUMBER('Данные 1st'!$KM$2:$KM$317))</f>
        <v>2</v>
      </c>
      <c r="FR75">
        <f>SUMPRODUCT(--('Данные 1st'!$S$2:$S$317=$A75),--ISNUMBER('Данные 1st'!$KN$2:$KN$317))</f>
        <v>2</v>
      </c>
      <c r="FS75">
        <f>SUMPRODUCT(--('Данные 1st'!$S$2:$S$317=$A75),--ISNUMBER('Данные 1st'!$KR$2:$KR$317))</f>
        <v>2</v>
      </c>
      <c r="FT75">
        <f>SUMPRODUCT(--('Данные 1st'!$S$2:$S$317=$A75),--ISNUMBER('Данные 1st'!$KS$2:$KS$317))</f>
        <v>2</v>
      </c>
      <c r="FU75">
        <f>SUMPRODUCT(--('Данные 1st'!$S$2:$S$317=$A75),--ISNUMBER('Данные 1st'!$KT$2:$KT$317))</f>
        <v>2</v>
      </c>
      <c r="FV75">
        <f>SUMPRODUCT(--('Данные 1st'!$S$2:$S$317=$A75),--ISNUMBER('Данные 1st'!$KV$2:$KV$317))</f>
        <v>0</v>
      </c>
      <c r="FW75">
        <f>SUMPRODUCT(--('Данные 1st'!$S$2:$S$317=$A75),--ISNUMBER('Данные 1st'!$KW$2:$KW$317))</f>
        <v>0</v>
      </c>
      <c r="FX75">
        <f>SUMPRODUCT(--('Данные 1st'!$S$2:$S$317=$A75),--ISNUMBER('Данные 1st'!$KX$2:$KX$317))</f>
        <v>0</v>
      </c>
      <c r="FY75">
        <f>SUMPRODUCT(--('Данные 1st'!$S$2:$S$317=$A75),--ISNUMBER('Данные 1st'!$KY$2:$KY$317))</f>
        <v>0</v>
      </c>
      <c r="FZ75">
        <f>SUMPRODUCT(--('Данные 1st'!$S$2:$S$317=$A75),--ISNUMBER('Данные 1st'!$KZ$2:$KZ$317))</f>
        <v>0</v>
      </c>
      <c r="GA75">
        <f>SUMPRODUCT(--('Данные 1st'!$S$2:$S$317=$A75),--ISNUMBER('Данные 1st'!$LA$2:$LA$317))</f>
        <v>0</v>
      </c>
      <c r="GB75">
        <f>SUMPRODUCT(--('Данные 1st'!$S$2:$S$317=$A75),--ISNUMBER('Данные 1st'!$LB$2:$LB$317))</f>
        <v>0</v>
      </c>
      <c r="GC75">
        <f>SUMPRODUCT(--('Данные 1st'!$S$2:$S$317=$A75),--ISNUMBER('Данные 1st'!$LC$2:$LC$317))</f>
        <v>0</v>
      </c>
      <c r="GD75">
        <f>SUMPRODUCT(--('Данные 1st'!$S$2:$S$317=$A75),--ISNUMBER('Данные 1st'!$LD$2:$LD$317))</f>
        <v>0</v>
      </c>
      <c r="GE75">
        <f>SUMPRODUCT(--('Данные 1st'!$S$2:$S$317=$A75),--ISNUMBER('Данные 1st'!$LE$2:$LE$317))</f>
        <v>0</v>
      </c>
      <c r="GF75">
        <f>SUMPRODUCT(--('Данные 1st'!$S$2:$S$317=$A75),--ISNUMBER('Данные 1st'!$LF$2:$LF$317))</f>
        <v>0</v>
      </c>
      <c r="GG75">
        <f>SUMPRODUCT(--('Данные 1st'!$S$2:$S$317=$A75),--ISNUMBER('Данные 1st'!$LG$2:$LG$317))</f>
        <v>0</v>
      </c>
      <c r="GH75">
        <f>SUMPRODUCT(--('Данные 1st'!$S$2:$S$317=$A75),--ISNUMBER('Данные 1st'!$LH$2:$LH$317))</f>
        <v>0</v>
      </c>
      <c r="GI75">
        <f>SUMPRODUCT(--('Данные 1st'!$S$2:$S$317=$A75),--ISNUMBER('Данные 1st'!$LI$2:$LI$317))</f>
        <v>0</v>
      </c>
      <c r="GJ75">
        <f>SUMPRODUCT(--('Данные 1st'!$S$2:$S$317=$A75),--ISNUMBER('Данные 1st'!$LJ$2:$LJ$317))</f>
        <v>0</v>
      </c>
      <c r="GK75">
        <f>SUMPRODUCT(--('Данные 1st'!$S$2:$S$317=$A75),--ISNUMBER('Данные 1st'!$LK$2:$LK$317))</f>
        <v>2</v>
      </c>
      <c r="GL75">
        <f>SUMPRODUCT(--('Данные 1st'!$S$2:$S$317=$A75),--ISNUMBER('Данные 1st'!$LV$2:$LV$317))</f>
        <v>0</v>
      </c>
      <c r="GM75">
        <f>SUMPRODUCT(--('Данные 1st'!$S$2:$S$317=$A75),--ISNUMBER('Данные 1st'!$LW$2:$LW$317))</f>
        <v>0</v>
      </c>
      <c r="GN75">
        <f>SUMPRODUCT(--('Данные 1st'!$S$2:$S$317=$A75),--ISNUMBER('Данные 1st'!$LX$2:$LX$317))</f>
        <v>0</v>
      </c>
      <c r="GO75">
        <f>SUMPRODUCT(--('Данные 1st'!$S$2:$S$317=$A75),--ISNUMBER('Данные 1st'!$LY$2:$LY$317))</f>
        <v>0</v>
      </c>
      <c r="GP75">
        <f>SUMPRODUCT(--('Данные 1st'!$S$2:$S$317=$A75),--ISNUMBER('Данные 1st'!$LZ$2:$LZ$317))</f>
        <v>0</v>
      </c>
      <c r="GQ75">
        <f>SUMPRODUCT(--('Данные 1st'!$S$2:$S$317=$A75),--ISNUMBER('Данные 1st'!$PG$2:$PG$317))</f>
        <v>2</v>
      </c>
      <c r="GR75">
        <f>SUMPRODUCT(--('Данные 1st'!$S$2:$S$317=$A75),--ISNUMBER('Данные 1st'!$PX$2:$PX$317))</f>
        <v>2</v>
      </c>
      <c r="GS75">
        <f>SUMPRODUCT(--('Данные 1st'!$S$2:$S$317=$A75),--ISNUMBER('Данные 1st'!$PY$2:$PY$317))</f>
        <v>2</v>
      </c>
      <c r="GT75">
        <f>SUMPRODUCT(--('Данные 1st'!$S$2:$S$317=$A75),--ISNUMBER('Данные 1st'!$QA$2:$QA$317))</f>
        <v>2</v>
      </c>
      <c r="GU75">
        <f>SUMPRODUCT(--('Данные 1st'!$S$2:$S$317=$A75),--ISNUMBER('Данные 1st'!$QB$2:$QB$317))</f>
        <v>2</v>
      </c>
      <c r="GV75">
        <f>SUMPRODUCT(--('Данные 1st'!$S$2:$S$317=$A75),--ISNUMBER('Данные 1st'!$QC$2:$QC$317))</f>
        <v>2</v>
      </c>
      <c r="GW75">
        <f>SUMPRODUCT(--('Данные 1st'!$S$2:$S$317=$A75),--ISNUMBER('Данные 1st'!$QD$2:$QD$317))</f>
        <v>2</v>
      </c>
      <c r="GX75">
        <f>SUMPRODUCT(--('Данные 1st'!$S$2:$S$317=$A75),--ISNUMBER('Данные 1st'!$QF$2:$QF$317))</f>
        <v>2</v>
      </c>
      <c r="GY75">
        <f>SUMPRODUCT(--('Данные 1st'!$S$2:$S$317=$A75),--ISNUMBER('Данные 1st'!$QG$2:$QG$317))</f>
        <v>2</v>
      </c>
      <c r="GZ75">
        <f>SUMPRODUCT(--('Данные 1st'!$S$2:$S$317=$A75),--ISNUMBER('Данные 1st'!$QH$2:$QH$317))</f>
        <v>2</v>
      </c>
      <c r="HA75">
        <f>SUMPRODUCT(--('Данные 1st'!$S$2:$S$317=$A75),--ISNUMBER('Данные 1st'!$QI$2:$QI$317))</f>
        <v>2</v>
      </c>
      <c r="HB75">
        <f>SUMPRODUCT(--('Данные 1st'!$S$2:$S$317=$A75),--ISNUMBER('Данные 1st'!$QK$2:$QK$317))</f>
        <v>2</v>
      </c>
      <c r="HC75">
        <f>SUMPRODUCT(--('Данные 1st'!$S$2:$S$317=$A75),--ISNUMBER('Данные 1st'!$QL$2:$QL$317))</f>
        <v>2</v>
      </c>
      <c r="HD75">
        <f>SUMPRODUCT(--('Данные 1st'!$S$2:$S$317=$A75),--ISNUMBER('Данные 1st'!$QM$2:$QM$317))</f>
        <v>2</v>
      </c>
      <c r="HE75">
        <f>SUMPRODUCT(--('Данные 1st'!$S$2:$S$317=$A75),--ISNUMBER('Данные 1st'!$QN$2:$QN$317))</f>
        <v>2</v>
      </c>
      <c r="HF75">
        <f>SUMPRODUCT(--('Данные 1st'!$S$2:$S$317=$A75),--ISNUMBER('Данные 1st'!$QP$2:$QP$317))</f>
        <v>2</v>
      </c>
      <c r="HG75">
        <f>SUMPRODUCT(--('Данные 1st'!$S$2:$S$317=$A75),--ISNUMBER('Данные 1st'!$QQ$2:$QQ$317))</f>
        <v>2</v>
      </c>
      <c r="HH75">
        <f>SUMPRODUCT(--('Данные 1st'!$S$2:$S$317=$A75),--ISNUMBER('Данные 1st'!$QR$2:$QR$317))</f>
        <v>2</v>
      </c>
      <c r="HI75">
        <f>SUMPRODUCT(--('Данные 1st'!$S$2:$S$317=$A75),--ISNUMBER('Данные 1st'!$QS$2:$QS$317))</f>
        <v>2</v>
      </c>
      <c r="HJ75">
        <f>SUMPRODUCT(--('Данные 1st'!$S$2:$S$317=$A75),--ISNUMBER('Данные 1st'!$QU$2:$QU$317))</f>
        <v>2</v>
      </c>
      <c r="HK75">
        <f>SUMPRODUCT(--('Данные 1st'!$S$2:$S$317=$A75),--ISNUMBER('Данные 1st'!$QV$2:$QV$317))</f>
        <v>2</v>
      </c>
      <c r="HL75">
        <f>SUMPRODUCT(--('Данные 1st'!$S$2:$S$317=$A75),--ISNUMBER('Данные 1st'!$QW$2:$QW$317))</f>
        <v>2</v>
      </c>
      <c r="HM75">
        <f>SUMPRODUCT(--('Данные 1st'!$S$2:$S$317=$A75),--ISNUMBER('Данные 1st'!$QX$2:$QX$317))</f>
        <v>0</v>
      </c>
      <c r="HN75">
        <f>SUMPRODUCT(--('Данные 1st'!$S$2:$S$317=$A75),--ISNUMBER('Данные 1st'!$QZ$2:$QZ$317))</f>
        <v>2</v>
      </c>
      <c r="HO75">
        <f>SUMPRODUCT(--('Данные 1st'!$S$2:$S$317=$A75),--ISNUMBER('Данные 1st'!$RA$2:$RA$317))</f>
        <v>2</v>
      </c>
      <c r="HP75">
        <f>SUMPRODUCT(--('Данные 1st'!$S$2:$S$317=$A75),--ISNUMBER('Данные 1st'!$RB$2:$RB$317))</f>
        <v>2</v>
      </c>
      <c r="HQ75">
        <f>SUMPRODUCT(--('Данные 1st'!$S$2:$S$317=$A75),--ISNUMBER('Данные 1st'!$RD$2:$RD$317))</f>
        <v>0</v>
      </c>
      <c r="HR75">
        <f>SUMPRODUCT(--('Данные 1st'!$S$2:$S$317=$A75),--ISNUMBER('Данные 1st'!$RE$2:$RE$317))</f>
        <v>2</v>
      </c>
      <c r="HS75">
        <f>SUMPRODUCT(--('Данные 1st'!$S$2:$S$317=$A75),--ISNUMBER('Данные 1st'!$RF$2:$RF$317))</f>
        <v>2</v>
      </c>
      <c r="HT75">
        <f>SUMPRODUCT(--('Данные 1st'!$S$2:$S$317=$A75),--ISNUMBER('Данные 1st'!$RG$2:$RG$317))</f>
        <v>0</v>
      </c>
      <c r="HU75">
        <f>SUMPRODUCT(--('Данные 1st'!$S$2:$S$317=$A75),--ISNUMBER('Данные 1st'!$RH$2:$RH$317))</f>
        <v>1</v>
      </c>
      <c r="HV75">
        <f>SUMPRODUCT(--('Данные 1st'!$S$2:$S$317=$A75),--ISNUMBER('Данные 1st'!$RI$2:$RI$317))</f>
        <v>1</v>
      </c>
      <c r="HW75">
        <f>SUMPRODUCT(--('Данные 1st'!$S$2:$S$317=$A75),--ISNUMBER('Данные 1st'!$RJ$2:$RJ$317))</f>
        <v>2</v>
      </c>
      <c r="HX75">
        <f>SUMPRODUCT(--('Данные 1st'!$S$2:$S$317=$A75),--ISNUMBER('Данные 1st'!$RK$2:$RK$317))</f>
        <v>2</v>
      </c>
      <c r="HY75">
        <f>SUMPRODUCT(--('Данные 1st'!$S$2:$S$317=$A75),--ISNUMBER('Данные 1st'!$RL$2:$RL$317))</f>
        <v>2</v>
      </c>
      <c r="HZ75">
        <f>SUMPRODUCT(--('Данные 1st'!$S$2:$S$317=$A75),--ISNUMBER('Данные 1st'!$RM$2:$RM$317))</f>
        <v>2</v>
      </c>
      <c r="IA75">
        <f>SUMPRODUCT(--('Данные 1st'!$S$2:$S$317=$A75),--ISNUMBER('Данные 1st'!$RN$2:$RN$317))</f>
        <v>0</v>
      </c>
      <c r="IB75">
        <f>SUMPRODUCT(--('Данные 1st'!$S$2:$S$317=$A75),--ISNUMBER('Данные 1st'!$RO$2:$RO$317))</f>
        <v>2</v>
      </c>
      <c r="IC75">
        <f>SUMPRODUCT(--('Данные 1st'!$S$2:$S$317=$A75),--ISNUMBER('Данные 1st'!$RP$2:$RP$317))</f>
        <v>2</v>
      </c>
      <c r="ID75">
        <f>SUMPRODUCT(--('Данные 1st'!$S$2:$S$317=$A75),--ISNUMBER('Данные 1st'!$RQ$2:$RQ$317))</f>
        <v>2</v>
      </c>
      <c r="IE75">
        <f>SUMPRODUCT(--('Данные 1st'!$S$2:$S$317=$A75),--ISNUMBER('Данные 1st'!$RR$2:$RR$317))</f>
        <v>2</v>
      </c>
      <c r="IF75">
        <f>SUMPRODUCT(--('Данные 1st'!$S$2:$S$317=$A75),--ISNUMBER('Данные 1st'!$RS$2:$RS$317))</f>
        <v>0</v>
      </c>
      <c r="IG75">
        <f>SUMPRODUCT(--('Данные 1st'!$S$2:$S$317=$A75),--ISNUMBER('Данные 1st'!$RT$2:$RT$317))</f>
        <v>2</v>
      </c>
      <c r="IH75">
        <f>SUMPRODUCT(--('Данные 1st'!$S$2:$S$317=$A75),--ISNUMBER('Данные 1st'!$RU$2:$RU$317))</f>
        <v>2</v>
      </c>
      <c r="II75">
        <f>SUMPRODUCT(--('Данные 1st'!$S$2:$S$317=$A75),--ISNUMBER('Данные 1st'!$RX$2:$RX$317))</f>
        <v>2</v>
      </c>
      <c r="IJ75">
        <f>SUMPRODUCT(--('Данные 1st'!$S$2:$S$317=$A75),--ISNUMBER('Данные 1st'!$RY$2:$RY$317))</f>
        <v>2</v>
      </c>
      <c r="IK75">
        <f>SUMPRODUCT(--('Данные 1st'!$S$2:$S$317=$A75),--ISNUMBER('Данные 1st'!$SA$2:$SA$317))</f>
        <v>2</v>
      </c>
      <c r="IL75">
        <f>SUMPRODUCT(--('Данные 1st'!$S$2:$S$317=$A75),--ISNUMBER('Данные 1st'!$SD$2:$SD$317))</f>
        <v>2</v>
      </c>
      <c r="IM75">
        <f>SUMPRODUCT(--('Данные 1st'!$S$2:$S$317=$A75),--ISNUMBER('Данные 1st'!$SG$2:$SG$317))</f>
        <v>2</v>
      </c>
      <c r="IN75">
        <f>SUMPRODUCT(--('Данные 1st'!$S$2:$S$317=$A75),--ISNUMBER('Данные 1st'!$SH$2:$SH$317))</f>
        <v>2</v>
      </c>
      <c r="IO75">
        <f>SUMPRODUCT(--('Данные 1st'!$S$2:$S$317=$A75),--ISNUMBER('Данные 1st'!$SI$2:$SI$317))</f>
        <v>2</v>
      </c>
      <c r="IP75">
        <f>SUMPRODUCT(--('Данные 1st'!$S$2:$S$317=$A75),--ISNUMBER('Данные 1st'!$SJ$2:$SJ$317))</f>
        <v>2</v>
      </c>
      <c r="IQ75">
        <f>SUMPRODUCT(--('Данные 1st'!$S$2:$S$317=$A75),--ISNUMBER('Данные 1st'!$SK$2:$SK$317))</f>
        <v>2</v>
      </c>
      <c r="IR75">
        <f>SUMPRODUCT(--('Данные 1st'!$S$2:$S$317=$A75),--ISNUMBER('Данные 1st'!$SL$2:$SL$317))</f>
        <v>2</v>
      </c>
      <c r="IS75">
        <f>SUMPRODUCT(--('Данные 1st'!$S$2:$S$317=$A75),--ISNUMBER('Данные 1st'!$SM$2:$SM$317))</f>
        <v>2</v>
      </c>
      <c r="IT75">
        <f>SUMPRODUCT(--('Данные 1st'!$S$2:$S$317=$A75),--ISNUMBER('Данные 1st'!$SN$2:$SN$317))</f>
        <v>2</v>
      </c>
      <c r="IU75">
        <f>SUMPRODUCT(--('Данные 1st'!$S$2:$S$317=$A75),--ISNUMBER('Данные 1st'!$SO$2:$SO$317))</f>
        <v>2</v>
      </c>
      <c r="IV75">
        <f>SUMPRODUCT(--('Данные 1st'!$S$2:$S$317=$A75),--ISNUMBER('Данные 1st'!$SP$2:$SP$317))</f>
        <v>2</v>
      </c>
      <c r="IW75">
        <f>SUMPRODUCT(--('Данные 1st'!$S$2:$S$317=$A75),--ISNUMBER('Данные 1st'!$SQ$2:$SQ$317))</f>
        <v>2</v>
      </c>
      <c r="IX75">
        <f>SUMPRODUCT(--('Данные 1st'!$S$2:$S$317=$A75),--ISNUMBER('Данные 1st'!$SR$2:$SR$317))</f>
        <v>2</v>
      </c>
      <c r="IY75">
        <f>SUMPRODUCT(--('Данные 1st'!$S$2:$S$317=$A75),--ISNUMBER('Данные 1st'!$SS$2:$SS$317))</f>
        <v>2</v>
      </c>
      <c r="IZ75">
        <f>SUMPRODUCT(--('Данные 1st'!$S$2:$S$317=$A75),--ISNUMBER('Данные 1st'!$ST$2:$ST$317))</f>
        <v>2</v>
      </c>
      <c r="JA75">
        <f>SUMPRODUCT(--('Данные 1st'!$S$2:$S$317=$A75),--ISNUMBER('Данные 1st'!$SU$2:$SU$317))</f>
        <v>2</v>
      </c>
      <c r="JB75">
        <f>SUMPRODUCT(--('Данные 1st'!$S$2:$S$317=$A75),--ISNUMBER('Данные 1st'!$SV$2:$SV$317))</f>
        <v>2</v>
      </c>
      <c r="JC75">
        <f>SUMPRODUCT(--('Данные 1st'!$S$2:$S$317=$A75),--ISNUMBER('Данные 1st'!$SW$2:$SW$317))</f>
        <v>2</v>
      </c>
      <c r="JD75">
        <f>SUMPRODUCT(--('Данные 1st'!$S$2:$S$317=$A75),--ISNUMBER('Данные 1st'!$SX$2:$SX$317))</f>
        <v>2</v>
      </c>
      <c r="JE75">
        <f>SUMPRODUCT(--('Данные 1st'!$S$2:$S$317=$A75),--ISNUMBER('Данные 1st'!$SY$2:$SY$317))</f>
        <v>2</v>
      </c>
      <c r="JF75">
        <f>SUMPRODUCT(--('Данные 1st'!$S$2:$S$317=$A75),--ISNUMBER('Данные 1st'!$SZ$2:$SZ$317))</f>
        <v>2</v>
      </c>
      <c r="JG75">
        <f>SUMPRODUCT(--('Данные 1st'!$S$2:$S$317=$A75),--ISNUMBER('Данные 1st'!$TA$2:$TA$317))</f>
        <v>0</v>
      </c>
      <c r="JH75">
        <f>SUMPRODUCT(--('Данные 1st'!$S$2:$S$317=$A75),--ISNUMBER('Данные 1st'!$TB$2:$TB$317))</f>
        <v>2</v>
      </c>
      <c r="JI75">
        <f>SUMPRODUCT(--('Данные 1st'!$S$2:$S$317=$A75),--ISNUMBER('Данные 1st'!$TC$2:$TC$317))</f>
        <v>2</v>
      </c>
      <c r="JJ75">
        <f>SUMPRODUCT(--('Данные 1st'!$S$2:$S$317=$A75),--ISNUMBER('Данные 1st'!$TD$2:$TD$317))</f>
        <v>2</v>
      </c>
      <c r="JK75">
        <f>SUMPRODUCT(--('Данные 1st'!$S$2:$S$317=$A75),--ISNUMBER('Данные 1st'!$TN$2:$TN$317))</f>
        <v>2</v>
      </c>
      <c r="JQ75">
        <f>SUMPRODUCT(--('Данные 2st'!$Q$2:$Q$317=$A75),--ISNUMBER('Данные 2st'!$AC$2:$AC$317))</f>
        <v>2</v>
      </c>
      <c r="JR75">
        <f>SUMPRODUCT(--('Данные 2st'!$Q$2:$Q$317=$A75),--ISNUMBER('Данные 2st'!$AF$2:$AF$317))</f>
        <v>2</v>
      </c>
      <c r="JS75">
        <f>SUMPRODUCT(--('Данные 2st'!$Q$2:$Q$317=$A75),--ISNUMBER('Данные 2st'!$AW$2:$AW$317))</f>
        <v>2</v>
      </c>
      <c r="JT75">
        <f>SUMPRODUCT(--('Данные 2st'!$Q$2:$Q$317=$A75),--ISNUMBER('Данные 2st'!$AX$2:$AX$317))</f>
        <v>2</v>
      </c>
      <c r="JU75">
        <f>SUMPRODUCT(--('Данные 2st'!$Q$2:$Q$317=$A75),--ISNUMBER('Данные 2st'!$AY$2:$AY$317))</f>
        <v>2</v>
      </c>
      <c r="JV75">
        <f>SUMPRODUCT(--('Данные 2st'!$Q$2:$Q$317=$A75),--ISNUMBER('Данные 2st'!$AZ$2:$AZ$317))</f>
        <v>2</v>
      </c>
      <c r="JW75">
        <f>SUMPRODUCT(--('Данные 2st'!$Q$2:$Q$317=$A75),--ISNUMBER('Данные 2st'!$BA$2:$BA$317))</f>
        <v>0</v>
      </c>
      <c r="JX75">
        <f>SUMPRODUCT(--('Данные 2st'!$Q$2:$Q$317=$A75),--ISNUMBER('Данные 2st'!$BB$2:$BB$317))</f>
        <v>0</v>
      </c>
      <c r="JY75">
        <f>SUMPRODUCT(--('Данные 2st'!$Q$2:$Q$317=$A75),--ISNUMBER('Данные 2st'!$BC$2:$BC$317))</f>
        <v>0</v>
      </c>
      <c r="JZ75">
        <f>SUMPRODUCT(--('Данные 2st'!$Q$2:$Q$317=$A75),--ISNUMBER('Данные 2st'!$BH$2:$BH$317))</f>
        <v>2</v>
      </c>
      <c r="KA75">
        <f>SUMPRODUCT(--('Данные 2st'!$Q$2:$Q$317=$A75),--ISNUMBER('Данные 2st'!$BI$2:$BI$317))</f>
        <v>2</v>
      </c>
      <c r="KB75">
        <f>SUMPRODUCT(--('Данные 2st'!$Q$2:$Q$317=$A75),--ISNUMBER('Данные 2st'!$BJ$2:$BJ$317))</f>
        <v>2</v>
      </c>
      <c r="KC75">
        <f>SUMPRODUCT(--('Данные 2st'!$Q$2:$Q$317=$A75),--ISNUMBER('Данные 2st'!$BK$2:$BK$317))</f>
        <v>2</v>
      </c>
      <c r="KD75">
        <f>SUMPRODUCT(--('Данные 2st'!$Q$2:$Q$317=$A75),--ISNUMBER('Данные 2st'!$BL$2:$BL$317))</f>
        <v>2</v>
      </c>
      <c r="KE75">
        <f>SUMPRODUCT(--('Данные 2st'!$Q$2:$Q$317=$A75),--ISNUMBER('Данные 2st'!$BM$2:$BM$317))</f>
        <v>2</v>
      </c>
      <c r="KF75">
        <f>SUMPRODUCT(--('Данные 2st'!$Q$2:$Q$317=$A75),--ISNUMBER('Данные 2st'!$BN$2:$BN$317))</f>
        <v>2</v>
      </c>
      <c r="KG75">
        <f>SUMPRODUCT(--('Данные 2st'!$Q$2:$Q$317=$A75),--ISNUMBER('Данные 2st'!$BO$2:$BO$317))</f>
        <v>1</v>
      </c>
      <c r="KH75">
        <f>SUMPRODUCT(--('Данные 2st'!$Q$2:$Q$317=$A75),--ISNUMBER('Данные 2st'!$BP$2:$BP$317))</f>
        <v>2</v>
      </c>
      <c r="KI75">
        <f>SUMPRODUCT(--('Данные 2st'!$Q$2:$Q$317=$A75),--ISNUMBER('Данные 2st'!$BR$2:$BR$317))</f>
        <v>2</v>
      </c>
      <c r="KJ75">
        <f>SUMPRODUCT(--('Данные 2st'!$Q$2:$Q$317=$A75),--ISNUMBER('Данные 2st'!$BS$2:$BS$317))</f>
        <v>2</v>
      </c>
      <c r="KK75">
        <f>SUMPRODUCT(--('Данные 2st'!$Q$2:$Q$317=$A75),--ISNUMBER('Данные 2st'!$BT$2:$BT$317))</f>
        <v>2</v>
      </c>
      <c r="KL75">
        <f>SUMPRODUCT(--('Данные 2st'!$Q$2:$Q$317=$A75),--ISNUMBER('Данные 2st'!$CV$2:$CV$317))</f>
        <v>2</v>
      </c>
      <c r="KM75">
        <f>SUMPRODUCT(--('Данные 2st'!$Q$2:$Q$317=$A75),--ISNUMBER('Данные 2st'!$CW$2:$CW$317))</f>
        <v>2</v>
      </c>
      <c r="KN75">
        <f>SUMPRODUCT(--('Данные 2st'!$Q$2:$Q$317=$A75),--ISNUMBER('Данные 2st'!$CX$2:$CX$317))</f>
        <v>2</v>
      </c>
      <c r="KO75">
        <f>SUMPRODUCT(--('Данные 2st'!$Q$2:$Q$317=$A75),--ISNUMBER('Данные 2st'!$CY$2:$CY$317))</f>
        <v>2</v>
      </c>
      <c r="KP75">
        <f>SUMPRODUCT(--('Данные 2st'!$Q$2:$Q$317=$A75),--ISNUMBER('Данные 2st'!$CZ$2:$CZ$317))</f>
        <v>2</v>
      </c>
      <c r="KQ75">
        <f>SUMPRODUCT(--('Данные 2st'!$Q$2:$Q$317=$A75),--ISNUMBER('Данные 2st'!$DA$2:$DA$317))</f>
        <v>2</v>
      </c>
      <c r="KR75">
        <f>SUMPRODUCT(--('Данные 2st'!$Q$2:$Q$317=$A75),--ISNUMBER('Данные 2st'!$DB$2:$DB$317))</f>
        <v>2</v>
      </c>
      <c r="KS75">
        <f>SUMPRODUCT(--('Данные 2st'!$Q$2:$Q$317=$A75),--ISNUMBER('Данные 2st'!$DC$2:$DC$317))</f>
        <v>2</v>
      </c>
      <c r="KT75">
        <f>SUMPRODUCT(--('Данные 2st'!$Q$2:$Q$317=$A75),--ISNUMBER('Данные 2st'!$DD$2:$DD$317))</f>
        <v>2</v>
      </c>
      <c r="KU75">
        <f>SUMPRODUCT(--('Данные 2st'!$Q$2:$Q$317=$A75),--ISNUMBER('Данные 2st'!$DE$2:$DE$317))</f>
        <v>2</v>
      </c>
      <c r="KV75">
        <f>SUMPRODUCT(--('Данные 2st'!$Q$2:$Q$317=$A75),--ISNUMBER('Данные 2st'!$DF$2:$DF$317))</f>
        <v>2</v>
      </c>
      <c r="KW75">
        <f>SUMPRODUCT(--('Данные 2st'!$Q$2:$Q$317=$A75),--ISNUMBER('Данные 2st'!$DG$2:$DG$317))</f>
        <v>2</v>
      </c>
      <c r="KX75">
        <f>SUMPRODUCT(--('Данные 2st'!$Q$2:$Q$317=$A75),--ISNUMBER('Данные 2st'!$DH$2:$DH$317))</f>
        <v>2</v>
      </c>
      <c r="KY75">
        <f>SUMPRODUCT(--('Данные 2st'!$Q$2:$Q$317=$A75),--ISNUMBER('Данные 2st'!$DI$2:$DI$317))</f>
        <v>0</v>
      </c>
      <c r="KZ75">
        <f>SUMPRODUCT(--('Данные 2st'!$Q$2:$Q$317=$A75),--ISNUMBER('Данные 2st'!$DK$2:$DK$317))</f>
        <v>2</v>
      </c>
      <c r="LA75">
        <f>SUMPRODUCT(--('Данные 2st'!$Q$2:$Q$317=$A75),--ISNUMBER('Данные 2st'!$DM$2:$DM$317))</f>
        <v>2</v>
      </c>
      <c r="LB75">
        <f>SUMPRODUCT(--('Данные 2st'!$Q$2:$Q$317=$A75),--ISNUMBER('Данные 2st'!$DN$2:$DN$317))</f>
        <v>2</v>
      </c>
      <c r="LC75">
        <f>SUMPRODUCT(--('Данные 2st'!$Q$2:$Q$317=$A75),--ISNUMBER('Данные 2st'!$DO$2:$DO$317))</f>
        <v>2</v>
      </c>
      <c r="LD75">
        <f>SUMPRODUCT(--('Данные 2st'!$Q$2:$Q$317=$A75),--ISNUMBER('Данные 2st'!$DP$2:$DP$317))</f>
        <v>2</v>
      </c>
      <c r="LE75">
        <f>SUMPRODUCT(--('Данные 2st'!$Q$2:$Q$317=$A75),--ISNUMBER('Данные 2st'!$DQ$2:$DQ$317))</f>
        <v>2</v>
      </c>
      <c r="LF75">
        <f>SUMPRODUCT(--('Данные 2st'!$Q$2:$Q$317=$A75),--ISNUMBER('Данные 2st'!$DS$2:$DS$317))</f>
        <v>2</v>
      </c>
      <c r="LG75">
        <f>SUMPRODUCT(--('Данные 2st'!$Q$2:$Q$317=$A75),--ISNUMBER('Данные 2st'!$DU$2:$DU$317))</f>
        <v>2</v>
      </c>
      <c r="LH75">
        <f>SUMPRODUCT(--('Данные 2st'!$Q$2:$Q$317=$A75),--ISNUMBER('Данные 2st'!$DV$2:$DV$317))</f>
        <v>2</v>
      </c>
      <c r="LI75">
        <f>SUMPRODUCT(--('Данные 2st'!$Q$2:$Q$317=$A75),--ISNUMBER('Данные 2st'!$DW$2:$DW$317))</f>
        <v>2</v>
      </c>
      <c r="LJ75">
        <f>SUMPRODUCT(--('Данные 2st'!$Q$2:$Q$317=$A75),--ISNUMBER('Данные 2st'!$DX$2:$DX$317))</f>
        <v>2</v>
      </c>
      <c r="LK75">
        <f>SUMPRODUCT(--('Данные 2st'!$Q$2:$Q$317=$A75),--ISNUMBER('Данные 2st'!$DY$2:$DY$317))</f>
        <v>2</v>
      </c>
      <c r="LL75">
        <f>SUMPRODUCT(--('Данные 2st'!$Q$2:$Q$317=$A75),--ISNUMBER('Данные 2st'!$EA$2:$EA$317))</f>
        <v>2</v>
      </c>
      <c r="LM75">
        <f>SUMPRODUCT(--('Данные 2st'!$Q$2:$Q$317=$A75),--ISNUMBER('Данные 2st'!$EC$2:$EC$317))</f>
        <v>2</v>
      </c>
      <c r="LN75">
        <f>SUMPRODUCT(--('Данные 2st'!$Q$2:$Q$317=$A75),--ISNUMBER('Данные 2st'!$ED$2:$ED$317))</f>
        <v>2</v>
      </c>
      <c r="LO75">
        <f>SUMPRODUCT(--('Данные 2st'!$Q$2:$Q$317=$A75),--ISNUMBER('Данные 2st'!$EE$2:$EE$317))</f>
        <v>2</v>
      </c>
      <c r="LP75">
        <f>SUMPRODUCT(--('Данные 2st'!$Q$2:$Q$317=$A75),--ISNUMBER('Данные 2st'!$EG$2:$EG$317))</f>
        <v>2</v>
      </c>
      <c r="LQ75">
        <f>SUMPRODUCT(--('Данные 2st'!$Q$2:$Q$317=$A75),--ISNUMBER('Данные 2st'!$EI$2:$EI$317))</f>
        <v>2</v>
      </c>
      <c r="LR75">
        <f>SUMPRODUCT(--('Данные 2st'!$Q$2:$Q$317=$A75),--ISNUMBER('Данные 2st'!$EJ$2:$EJ$317))</f>
        <v>0</v>
      </c>
      <c r="LS75">
        <f>SUMPRODUCT(--('Данные 2st'!$Q$2:$Q$317=$A75),--ISNUMBER('Данные 2st'!$EK$2:$EK$317))</f>
        <v>0</v>
      </c>
      <c r="LT75">
        <f>SUMPRODUCT(--('Данные 2st'!$Q$2:$Q$317=$A75),--ISNUMBER('Данные 2st'!$EM$2:$EM$317))</f>
        <v>2</v>
      </c>
      <c r="LU75">
        <f>SUMPRODUCT(--('Данные 2st'!$Q$2:$Q$317=$A75),--ISNUMBER('Данные 2st'!$EN$2:$EN$317))</f>
        <v>2</v>
      </c>
      <c r="LV75">
        <f>SUMPRODUCT(--('Данные 2st'!$Q$2:$Q$317=$A75),--ISNUMBER('Данные 2st'!$EO$2:$EO$317))</f>
        <v>2</v>
      </c>
      <c r="LW75">
        <f>SUMPRODUCT(--('Данные 2st'!$Q$2:$Q$317=$A75),--ISNUMBER('Данные 2st'!$EP$2:$EP$317))</f>
        <v>2</v>
      </c>
      <c r="LX75">
        <f>SUMPRODUCT(--('Данные 2st'!$Q$2:$Q$317=$A75),--ISNUMBER('Данные 2st'!$EQ$2:$EQ$317))</f>
        <v>2</v>
      </c>
      <c r="LY75">
        <f>SUMPRODUCT(--('Данные 2st'!$Q$2:$Q$317=$A75),--ISNUMBER('Данные 2st'!$ER$2:$ER$317))</f>
        <v>2</v>
      </c>
      <c r="LZ75">
        <f>SUMPRODUCT(--('Данные 2st'!$Q$2:$Q$317=$A75),--ISNUMBER('Данные 2st'!$ES$2:$ES$317))</f>
        <v>2</v>
      </c>
      <c r="MA75">
        <f>SUMPRODUCT(--('Данные 2st'!$Q$2:$Q$317=$A75),--ISNUMBER('Данные 2st'!$ET$2:$ET$317))</f>
        <v>2</v>
      </c>
      <c r="MB75">
        <f>SUMPRODUCT(--('Данные 2st'!$Q$2:$Q$317=$A75),--ISNUMBER('Данные 2st'!$EU$2:$EU$317))</f>
        <v>2</v>
      </c>
      <c r="MC75">
        <f>SUMPRODUCT(--('Данные 2st'!$Q$2:$Q$317=$A75),--ISNUMBER('Данные 2st'!$EV$2:$EV$317))</f>
        <v>2</v>
      </c>
      <c r="MD75">
        <f>SUMPRODUCT(--('Данные 2st'!$Q$2:$Q$317=$A75),--ISNUMBER('Данные 2st'!$EW$2:$EW$317))</f>
        <v>2</v>
      </c>
      <c r="ME75">
        <f>SUMPRODUCT(--('Данные 2st'!$Q$2:$Q$317=$A75),--ISNUMBER('Данные 2st'!$EY$2:$EY$317))</f>
        <v>2</v>
      </c>
      <c r="MF75">
        <f>SUMPRODUCT(--('Данные 2st'!$Q$2:$Q$317=$A75),--ISNUMBER('Данные 2st'!$FA$2:$FA$317))</f>
        <v>2</v>
      </c>
      <c r="MG75">
        <f>SUMPRODUCT(--('Данные 2st'!$Q$2:$Q$317=$A75),--ISNUMBER('Данные 2st'!$FB$2:$FB$317))</f>
        <v>2</v>
      </c>
      <c r="MH75">
        <f>SUMPRODUCT(--('Данные 2st'!$Q$2:$Q$317=$A75),--ISNUMBER('Данные 2st'!$FC$2:$FC$317))</f>
        <v>2</v>
      </c>
      <c r="MI75">
        <f>SUMPRODUCT(--('Данные 2st'!$Q$2:$Q$317=$A75),--ISNUMBER('Данные 2st'!$FD$2:$FD$317))</f>
        <v>2</v>
      </c>
      <c r="MJ75">
        <f>SUMPRODUCT(--('Данные 2st'!$Q$2:$Q$317=$A75),--ISNUMBER('Данные 2st'!$FE$2:$FE$317))</f>
        <v>2</v>
      </c>
      <c r="MK75">
        <f>SUMPRODUCT(--('Данные 2st'!$Q$2:$Q$317=$A75),--ISNUMBER('Данные 2st'!$FG$2:$FG$317))</f>
        <v>2</v>
      </c>
      <c r="ML75">
        <f>SUMPRODUCT(--('Данные 2st'!$Q$2:$Q$317=$A75),--ISNUMBER('Данные 2st'!$FI$2:$FI$317))</f>
        <v>2</v>
      </c>
      <c r="MM75">
        <f>SUMPRODUCT(--('Данные 2st'!$Q$2:$Q$317=$A75),--ISNUMBER('Данные 2st'!$FJ$2:$FJ$317))</f>
        <v>2</v>
      </c>
      <c r="MN75">
        <f>SUMPRODUCT(--('Данные 2st'!$Q$2:$Q$317=$A75),--ISNUMBER('Данные 2st'!$FK$2:$FK$317))</f>
        <v>2</v>
      </c>
      <c r="MO75">
        <f>SUMPRODUCT(--('Данные 2st'!$Q$2:$Q$317=$A75),--ISNUMBER('Данные 2st'!$FP$2:$FP$317))</f>
        <v>2</v>
      </c>
      <c r="MP75">
        <f>SUMPRODUCT(--('Данные 2st'!$Q$2:$Q$317=$A75),--ISNUMBER('Данные 2st'!$FQ$2:$FQ$317))</f>
        <v>2</v>
      </c>
      <c r="MQ75">
        <f>SUMPRODUCT(--('Данные 2st'!$Q$2:$Q$317=$A75),--ISNUMBER('Данные 2st'!$FS$2:$FS$317))</f>
        <v>2</v>
      </c>
      <c r="MR75">
        <f>SUMPRODUCT(--('Данные 2st'!$Q$2:$Q$317=$A75),--ISNUMBER('Данные 2st'!$FU$2:$FU$317))</f>
        <v>2</v>
      </c>
      <c r="MS75">
        <f>SUMPRODUCT(--('Данные 2st'!$Q$2:$Q$317=$A75),--ISNUMBER('Данные 2st'!$FV$2:$FV$317))</f>
        <v>2</v>
      </c>
      <c r="MT75">
        <f>SUMPRODUCT(--('Данные 2st'!$Q$2:$Q$317=$A75),--ISNUMBER('Данные 2st'!$FW$2:$FW$317))</f>
        <v>2</v>
      </c>
      <c r="MU75">
        <f>SUMPRODUCT(--('Данные 2st'!$Q$2:$Q$317=$A75),--ISNUMBER('Данные 2st'!$FY$2:$FY$317))</f>
        <v>2</v>
      </c>
      <c r="MV75">
        <f>SUMPRODUCT(--('Данные 2st'!$Q$2:$Q$317=$A75),--ISNUMBER('Данные 2st'!$GB$2:$GB$317))</f>
        <v>2</v>
      </c>
      <c r="MW75">
        <f>SUMPRODUCT(--('Данные 2st'!$Q$2:$Q$317=$A75),--ISNUMBER('Данные 2st'!$GC$2:$GC$317))</f>
        <v>2</v>
      </c>
      <c r="MX75">
        <f>SUMPRODUCT(--('Данные 2st'!$Q$2:$Q$317=$A75),--ISNUMBER('Данные 2st'!$GD$2:$GD$317))</f>
        <v>2</v>
      </c>
      <c r="MY75">
        <f>SUMPRODUCT(--('Данные 2st'!$Q$2:$Q$317=$A75),--ISNUMBER('Данные 2st'!$GN$2:$GN$317))</f>
        <v>0</v>
      </c>
      <c r="MZ75">
        <f>SUMPRODUCT(--('Данные 2st'!$Q$2:$Q$317=$A75),--ISNUMBER('Данные 2st'!$GQ$2:$GQ$317))</f>
        <v>2</v>
      </c>
      <c r="NA75">
        <f>SUMPRODUCT(--('Данные 2st'!$Q$2:$Q$317=$A75),--ISNUMBER('Данные 2st'!$GV$2:$GV$317))</f>
        <v>2</v>
      </c>
      <c r="NB75">
        <f>SUMPRODUCT(--('Данные 2st'!$Q$2:$Q$317=$A75),--ISNUMBER('Данные 2st'!$GW$2:$GW$317))</f>
        <v>2</v>
      </c>
      <c r="NC75">
        <f>SUMPRODUCT(--('Данные 2st'!$Q$2:$Q$317=$A75),--ISNUMBER('Данные 2st'!$GX$2:$GX$317))</f>
        <v>2</v>
      </c>
      <c r="ND75">
        <f>SUMPRODUCT(--('Данные 2st'!$Q$2:$Q$317=$A75),--ISNUMBER('Данные 2st'!$GY$2:$GY$317))</f>
        <v>2</v>
      </c>
      <c r="NE75">
        <f>SUMPRODUCT(--('Данные 2st'!$Q$2:$Q$317=$A75),--ISNUMBER('Данные 2st'!$GZ$2:$GZ$317))</f>
        <v>2</v>
      </c>
      <c r="NF75">
        <f>SUMPRODUCT(--('Данные 2st'!$Q$2:$Q$317=$A75),--ISNUMBER('Данные 2st'!$HA$2:$HA$317))</f>
        <v>2</v>
      </c>
      <c r="NG75">
        <f>SUMPRODUCT(--('Данные 2st'!$Q$2:$Q$317=$A75),--ISNUMBER('Данные 2st'!$HB$2:$HB$317))</f>
        <v>2</v>
      </c>
      <c r="NH75">
        <f>SUMPRODUCT(--('Данные 2st'!$Q$2:$Q$317=$A75),--ISNUMBER('Данные 2st'!$HC$2:$HC$317))</f>
        <v>2</v>
      </c>
      <c r="NI75">
        <f>SUMPRODUCT(--('Данные 2st'!$Q$2:$Q$317=$A75),--ISNUMBER('Данные 2st'!$HD$2:$HD$317))</f>
        <v>2</v>
      </c>
      <c r="NJ75">
        <f>SUMPRODUCT(--('Данные 2st'!$Q$2:$Q$317=$A75),--ISNUMBER('Данные 2st'!$HM$2:$HM$317))</f>
        <v>2</v>
      </c>
      <c r="NK75">
        <f>SUMPRODUCT(--('Данные 2st'!$Q$2:$Q$317=$A75),--ISNUMBER('Данные 2st'!$HR$2:$HR$317))</f>
        <v>2</v>
      </c>
      <c r="NL75">
        <f>SUMPRODUCT(--('Данные 2st'!$Q$2:$Q$317=$A75),--ISNUMBER('Данные 2st'!$HS$2:$HS$317))</f>
        <v>2</v>
      </c>
      <c r="NM75">
        <f>SUMPRODUCT(--('Данные 2st'!$Q$2:$Q$317=$A75),--ISNUMBER('Данные 2st'!$HT$2:$HT$317))</f>
        <v>2</v>
      </c>
      <c r="NN75">
        <f>SUMPRODUCT(--('Данные 2st'!$Q$2:$Q$317=$A75),--ISNUMBER('Данные 2st'!$HY$2:$HY$317))</f>
        <v>2</v>
      </c>
      <c r="NO75">
        <f>SUMPRODUCT(--('Данные 2st'!$Q$2:$Q$317=$A75),--ISNUMBER('Данные 2st'!$HZ$2:$HZ$317))</f>
        <v>2</v>
      </c>
      <c r="NP75">
        <f>SUMPRODUCT(--('Данные 2st'!$Q$2:$Q$317=$A75),--ISNUMBER('Данные 2st'!$IA$2:$IA$317))</f>
        <v>2</v>
      </c>
      <c r="NQ75">
        <f>SUMPRODUCT(--('Данные 2st'!$Q$2:$Q$317=$A75),--ISNUMBER('Данные 2st'!$IB$2:$IB$317))</f>
        <v>2</v>
      </c>
      <c r="NR75">
        <f>SUMPRODUCT(--('Данные 2st'!$Q$2:$Q$317=$A75),--ISNUMBER('Данные 2st'!$IC$2:$IC$317))</f>
        <v>0</v>
      </c>
      <c r="NS75">
        <f>SUMPRODUCT(--('Данные 2st'!$Q$2:$Q$317=$A75),--ISNUMBER('Данные 2st'!$ID$2:$ID$317))</f>
        <v>2</v>
      </c>
      <c r="NT75">
        <f>SUMPRODUCT(--('Данные 2st'!$Q$2:$Q$317=$A75),--ISNUMBER('Данные 2st'!$IE$2:$IE$317))</f>
        <v>2</v>
      </c>
      <c r="NU75">
        <f>SUMPRODUCT(--('Данные 2st'!$Q$2:$Q$317=$A75),--ISNUMBER('Данные 2st'!$IF$2:$IF$317))</f>
        <v>2</v>
      </c>
      <c r="NV75">
        <f>SUMPRODUCT(--('Данные 2st'!$Q$2:$Q$317=$A75),--ISNUMBER('Данные 2st'!$IG$2:$IG$317))</f>
        <v>2</v>
      </c>
      <c r="NW75">
        <f>SUMPRODUCT(--('Данные 2st'!$Q$2:$Q$317=$A75),--ISNUMBER('Данные 2st'!$IH$2:$IH$317))</f>
        <v>2</v>
      </c>
      <c r="NX75">
        <f>SUMPRODUCT(--('Данные 2st'!$Q$2:$Q$317=$A75),--ISNUMBER('Данные 2st'!$IJ$2:$IJ$317))</f>
        <v>2</v>
      </c>
      <c r="NY75">
        <f>SUMPRODUCT(--('Данные 2st'!$Q$2:$Q$317=$A75),--ISNUMBER('Данные 2st'!$IM$2:$IM$317))</f>
        <v>2</v>
      </c>
      <c r="NZ75">
        <f>SUMPRODUCT(--('Данные 2st'!$Q$2:$Q$317=$A75),--ISNUMBER('Данные 2st'!$IN$2:$IN$317))</f>
        <v>2</v>
      </c>
      <c r="OA75">
        <f>SUMPRODUCT(--('Данные 2st'!$Q$2:$Q$317=$A75),--ISNUMBER('Данные 2st'!$IO$2:$IO$317))</f>
        <v>2</v>
      </c>
      <c r="OB75">
        <f>SUMPRODUCT(--('Данные 2st'!$Q$2:$Q$317=$A75),--ISNUMBER('Данные 2st'!$IP$2:$IP$317))</f>
        <v>2</v>
      </c>
      <c r="OC75">
        <f>SUMPRODUCT(--('Данные 2st'!$Q$2:$Q$317=$A75),--ISNUMBER('Данные 2st'!$IQ$2:$IQ$317))</f>
        <v>2</v>
      </c>
      <c r="OD75">
        <f>SUMPRODUCT(--('Данные 2st'!$Q$2:$Q$317=$A75),--ISNUMBER('Данные 2st'!$IR$2:$IR$317))</f>
        <v>2</v>
      </c>
      <c r="OE75">
        <f>SUMPRODUCT(--('Данные 2st'!$Q$2:$Q$317=$A75),--ISNUMBER('Данные 2st'!$IT$2:$IT$317))</f>
        <v>2</v>
      </c>
      <c r="OF75">
        <f>SUMPRODUCT(--('Данные 2st'!$Q$2:$Q$317=$A75),--ISNUMBER('Данные 2st'!$IU$2:$IU$317))</f>
        <v>2</v>
      </c>
      <c r="OG75">
        <f>SUMPRODUCT(--('Данные 2st'!$Q$2:$Q$317=$A75),--ISNUMBER('Данные 2st'!$IV$2:$IV$317))</f>
        <v>2</v>
      </c>
      <c r="OH75">
        <f>SUMPRODUCT(--('Данные 2st'!$Q$2:$Q$317=$A75),--ISNUMBER('Данные 2st'!$IW$2:$IW$317))</f>
        <v>2</v>
      </c>
      <c r="OI75">
        <f>SUMPRODUCT(--('Данные 2st'!$Q$2:$Q$317=$A75),--ISNUMBER('Данные 2st'!$IX$2:$IX$317))</f>
        <v>2</v>
      </c>
      <c r="OJ75">
        <f>SUMPRODUCT(--('Данные 2st'!$Q$2:$Q$317=$A75),--ISNUMBER('Данные 2st'!$IY$2:$IY$317))</f>
        <v>2</v>
      </c>
      <c r="OK75">
        <f>SUMPRODUCT(--('Данные 2st'!$Q$2:$Q$317=$A75),--ISNUMBER('Данные 2st'!$IZ$2:$IZ$317))</f>
        <v>2</v>
      </c>
      <c r="OL75">
        <f>SUMPRODUCT(--('Данные 2st'!$Q$2:$Q$317=$A75),--ISNUMBER('Данные 2st'!$JA$2:$JA$317))</f>
        <v>2</v>
      </c>
      <c r="OM75">
        <f>SUMPRODUCT(--('Данные 2st'!$Q$2:$Q$317=$A75),--ISNUMBER('Данные 2st'!$JB$2:$JB$317))</f>
        <v>2</v>
      </c>
      <c r="ON75">
        <f>SUMPRODUCT(--('Данные 2st'!$Q$2:$Q$317=$A75),--ISNUMBER('Данные 2st'!$JC$2:$JC$317))</f>
        <v>2</v>
      </c>
      <c r="OO75">
        <f>SUMPRODUCT(--('Данные 2st'!$Q$2:$Q$317=$A75),--ISNUMBER('Данные 2st'!$JD$2:$JD$317))</f>
        <v>2</v>
      </c>
      <c r="OP75">
        <f>SUMPRODUCT(--('Данные 2st'!$Q$2:$Q$317=$A75),--ISNUMBER('Данные 2st'!$JE$2:$JE$317))</f>
        <v>2</v>
      </c>
      <c r="OQ75">
        <f>SUMPRODUCT(--('Данные 2st'!$Q$2:$Q$317=$A75),--ISNUMBER('Данные 2st'!$JF$2:$JF$317))</f>
        <v>2</v>
      </c>
      <c r="OR75">
        <f>SUMPRODUCT(--('Данные 2st'!$Q$2:$Q$317=$A75),--ISNUMBER('Данные 2st'!$JG$2:$JG$317))</f>
        <v>2</v>
      </c>
      <c r="OS75">
        <f>SUMPRODUCT(--('Данные 2st'!$Q$2:$Q$317=$A75),--ISNUMBER('Данные 2st'!$JH$2:$JH$317))</f>
        <v>2</v>
      </c>
      <c r="OT75">
        <f>SUMPRODUCT(--('Данные 2st'!$Q$2:$Q$317=$A75),--ISNUMBER('Данные 2st'!$JI$2:$JI$317))</f>
        <v>2</v>
      </c>
      <c r="OU75">
        <f>SUMPRODUCT(--('Данные 2st'!$Q$2:$Q$317=$A75),--ISNUMBER('Данные 2st'!$JJ$2:$JJ$317))</f>
        <v>2</v>
      </c>
      <c r="OV75">
        <f>SUMPRODUCT(--('Данные 2st'!$Q$2:$Q$317=$A75),--ISNUMBER('Данные 2st'!$JK$2:$JK$317))</f>
        <v>2</v>
      </c>
      <c r="OW75">
        <f>SUMPRODUCT(--('Данные 2st'!$Q$2:$Q$317=$A75),--ISNUMBER('Данные 2st'!$JL$2:$JL$317))</f>
        <v>2</v>
      </c>
      <c r="OX75">
        <f>SUMPRODUCT(--('Данные 2st'!$Q$2:$Q$317=$A75),--ISNUMBER('Данные 2st'!$JM$2:$JM$317))</f>
        <v>2</v>
      </c>
      <c r="OY75">
        <f>SUMPRODUCT(--('Данные 2st'!$Q$2:$Q$317=$A75),--ISNUMBER('Данные 2st'!$JP$2:$JP$317))</f>
        <v>2</v>
      </c>
      <c r="OZ75">
        <f>SUMPRODUCT(--('Данные 2st'!$Q$2:$Q$317=$A75),--ISNUMBER('Данные 2st'!$JQ$2:$JQ$317))</f>
        <v>2</v>
      </c>
      <c r="PA75">
        <f>SUMPRODUCT(--('Данные 2st'!$Q$2:$Q$317=$A75),--ISNUMBER('Данные 2st'!$JR$2:$JR$317))</f>
        <v>2</v>
      </c>
      <c r="PB75">
        <f>SUMPRODUCT(--('Данные 2st'!$Q$2:$Q$317=$A75),--ISNUMBER('Данные 2st'!$JS$2:$JS$317))</f>
        <v>2</v>
      </c>
      <c r="PC75">
        <f>SUMPRODUCT(--('Данные 2st'!$Q$2:$Q$317=$A75),--ISNUMBER('Данные 2st'!$JT$2:$JT$317))</f>
        <v>2</v>
      </c>
      <c r="PD75">
        <f>SUMPRODUCT(--('Данные 2st'!$Q$2:$Q$317=$A75),--ISNUMBER('Данные 2st'!$JU$2:$JU$317))</f>
        <v>2</v>
      </c>
      <c r="PE75">
        <f>SUMPRODUCT(--('Данные 2st'!$Q$2:$Q$317=$A75),--ISNUMBER('Данные 2st'!$JV$2:$JV$317))</f>
        <v>2</v>
      </c>
      <c r="PF75">
        <f>SUMPRODUCT(--('Данные 2st'!$Q$2:$Q$317=$A75),--ISNUMBER('Данные 2st'!$JW$2:$JW$317))</f>
        <v>2</v>
      </c>
      <c r="PG75">
        <f>SUMPRODUCT(--('Данные 2st'!$Q$2:$Q$317=$A75),--ISNUMBER('Данные 2st'!$KF$2:$KF$317))</f>
        <v>2</v>
      </c>
      <c r="PH75">
        <f>SUMPRODUCT(--('Данные 2st'!$Q$2:$Q$317=$A75),--ISNUMBER('Данные 2st'!$KG$2:$KG$317))</f>
        <v>2</v>
      </c>
      <c r="PI75">
        <f>SUMPRODUCT(--('Данные 2st'!$Q$2:$Q$317=$A75),--ISNUMBER('Данные 2st'!$KM$2:$KM$317))</f>
        <v>2</v>
      </c>
      <c r="PJ75">
        <f>SUMPRODUCT(--('Данные 2st'!$Q$2:$Q$317=$A75),--ISNUMBER('Данные 2st'!$KN$2:$KN$317))</f>
        <v>2</v>
      </c>
      <c r="PK75">
        <f>SUMPRODUCT(--('Данные 2st'!$Q$2:$Q$317=$A75),--ISNUMBER('Данные 2st'!$KO$2:$KO$317))</f>
        <v>2</v>
      </c>
      <c r="PL75">
        <f>SUMPRODUCT(--('Данные 2st'!$Q$2:$Q$317=$A75),--ISNUMBER('Данные 2st'!$KP$2:$KP$317))</f>
        <v>2</v>
      </c>
      <c r="PM75">
        <f>SUMPRODUCT(--('Данные 2st'!$Q$2:$Q$317=$A75),--ISNUMBER('Данные 2st'!$KQ$2:$KQ$317))</f>
        <v>2</v>
      </c>
      <c r="PN75">
        <f>SUMPRODUCT(--('Данные 2st'!$Q$2:$Q$317=$A75),--ISNUMBER('Данные 2st'!$KR$2:$KR$317))</f>
        <v>2</v>
      </c>
      <c r="PO75">
        <f>SUMPRODUCT(--('Данные 2st'!$Q$2:$Q$317=$A75),--ISNUMBER('Данные 2st'!$KS$2:$KS$317))</f>
        <v>2</v>
      </c>
      <c r="PP75">
        <f>SUMPRODUCT(--('Данные 2st'!$Q$2:$Q$317=$A75),--ISNUMBER('Данные 2st'!$KT$2:$KT$317))</f>
        <v>2</v>
      </c>
      <c r="PQ75">
        <f>SUMPRODUCT(--('Данные 2st'!$Q$2:$Q$317=$A75),--ISNUMBER('Данные 2st'!$KU$2:$KU$317))</f>
        <v>2</v>
      </c>
      <c r="PR75">
        <f>SUMPRODUCT(--('Данные 2st'!$Q$2:$Q$317=$A75),--ISNUMBER('Данные 2st'!$KV$2:$KV$317))</f>
        <v>2</v>
      </c>
      <c r="PS75">
        <f>SUMPRODUCT(--('Данные 2st'!$Q$2:$Q$317=$A75),--ISNUMBER('Данные 2st'!$KW$2:$KW$317))</f>
        <v>2</v>
      </c>
      <c r="PT75">
        <f>SUMPRODUCT(--('Данные 2st'!$Q$2:$Q$317=$A75),--ISNUMBER('Данные 2st'!$KX$2:$KX$317))</f>
        <v>2</v>
      </c>
      <c r="PU75">
        <f>SUMPRODUCT(--('Данные 2st'!$Q$2:$Q$317=$A75),--ISNUMBER('Данные 2st'!$KY$2:$KY$317))</f>
        <v>2</v>
      </c>
      <c r="PV75">
        <f>SUMPRODUCT(--('Данные 2st'!$Q$2:$Q$317=$A75),--ISNUMBER('Данные 2st'!$KZ$2:$KZ$317))</f>
        <v>2</v>
      </c>
      <c r="PW75">
        <f>SUMPRODUCT(--('Данные 2st'!$Q$2:$Q$317=$A75),--ISNUMBER('Данные 2st'!$LA$2:$LA$317))</f>
        <v>2</v>
      </c>
      <c r="PX75">
        <f>SUMPRODUCT(--('Данные 2st'!$Q$2:$Q$317=$A75),--ISNUMBER('Данные 2st'!$LB$2:$LB$317))</f>
        <v>2</v>
      </c>
      <c r="PY75">
        <f>SUMPRODUCT(--('Данные 2st'!$Q$2:$Q$317=$A75),--ISNUMBER('Данные 2st'!$LC$2:$LC$317))</f>
        <v>2</v>
      </c>
      <c r="PZ75">
        <f>SUMPRODUCT(--('Данные 2st'!$Q$2:$Q$317=$A75),--ISNUMBER('Данные 2st'!$LD$2:$LD$317))</f>
        <v>2</v>
      </c>
      <c r="QA75">
        <f>SUMPRODUCT(--('Данные 2st'!$Q$2:$Q$317=$A75),--ISNUMBER('Данные 2st'!$LE$2:$LE$317))</f>
        <v>2</v>
      </c>
      <c r="QB75">
        <f>SUMPRODUCT(--('Данные 2st'!$Q$2:$Q$317=$A75),--ISNUMBER('Данные 2st'!$LF$2:$LF$317))</f>
        <v>2</v>
      </c>
      <c r="QC75">
        <f>SUMPRODUCT(--('Данные 2st'!$Q$2:$Q$317=$A75),--ISNUMBER('Данные 2st'!$LG$2:$LG$317))</f>
        <v>2</v>
      </c>
      <c r="QD75">
        <f>SUMPRODUCT(--('Данные 2st'!$Q$2:$Q$317=$A75),--ISNUMBER('Данные 2st'!$LH$2:$LH$317))</f>
        <v>2</v>
      </c>
      <c r="QE75">
        <f>SUMPRODUCT(--('Данные 2st'!$Q$2:$Q$317=$A75),--ISNUMBER('Данные 2st'!$LJ$2:$LJ$317))</f>
        <v>2</v>
      </c>
      <c r="QF75">
        <f>SUMPRODUCT(--('Данные 2st'!$Q$2:$Q$317=$A75),--ISNUMBER('Данные 2st'!$LK$2:$LK$317))</f>
        <v>2</v>
      </c>
      <c r="QG75">
        <f>SUMPRODUCT(--('Данные 2st'!$Q$2:$Q$317=$A75),--ISNUMBER('Данные 2st'!$LL$2:$LL$317))</f>
        <v>2</v>
      </c>
      <c r="QH75">
        <f>SUMPRODUCT(--('Данные 2st'!$Q$2:$Q$317=$A75),--ISNUMBER('Данные 2st'!$LM$2:$LM$317))</f>
        <v>2</v>
      </c>
      <c r="QI75">
        <f>SUMPRODUCT(--('Данные 2st'!$Q$2:$Q$317=$A75),--ISNUMBER('Данные 2st'!$LN$2:$LN$317))</f>
        <v>2</v>
      </c>
      <c r="QJ75">
        <f>SUMPRODUCT(--('Данные 2st'!$Q$2:$Q$317=$A75),--ISNUMBER('Данные 2st'!$LO$2:$LO$317))</f>
        <v>2</v>
      </c>
      <c r="QK75">
        <f>SUMPRODUCT(--('Данные 2st'!$Q$2:$Q$317=$A75),--ISNUMBER('Данные 2st'!$LP$2:$LP$317))</f>
        <v>2</v>
      </c>
      <c r="QL75">
        <f>SUMPRODUCT(--('Данные 2st'!$Q$2:$Q$317=$A75),--ISNUMBER('Данные 2st'!$LQ$2:$LQ$317))</f>
        <v>2</v>
      </c>
      <c r="QM75">
        <f>SUMPRODUCT(--('Данные 2st'!$Q$2:$Q$317=$A75),--ISNUMBER('Данные 2st'!$LW$2:$LW$317))</f>
        <v>2</v>
      </c>
      <c r="QN75">
        <f>SUMPRODUCT(--('Данные 2st'!$Q$2:$Q$317=$A75),--ISNUMBER('Данные 2st'!$LX$2:$LX$317))</f>
        <v>2</v>
      </c>
      <c r="QO75">
        <f>SUMPRODUCT(--('Данные 2st'!$Q$2:$Q$317=$A75),--ISNUMBER('Данные 2st'!$LY$2:$LY$317))</f>
        <v>2</v>
      </c>
      <c r="QP75">
        <f>SUMPRODUCT(--('Данные 2st'!$Q$2:$Q$317=$A75),--ISNUMBER('Данные 2st'!$LZ$2:$LZ$317))</f>
        <v>2</v>
      </c>
      <c r="QQ75">
        <f>SUMPRODUCT(--('Данные 2st'!$Q$2:$Q$317=$A75),--ISNUMBER('Данные 2st'!$MB$2:$MB$317))</f>
        <v>2</v>
      </c>
      <c r="QR75">
        <f>SUMPRODUCT(--('Данные 2st'!$Q$2:$Q$317=$A75),--ISNUMBER('Данные 2st'!$MG$2:$MG$317))</f>
        <v>2</v>
      </c>
      <c r="QS75">
        <f>SUMPRODUCT(--('Данные 2st'!$Q$2:$Q$317=$A75),--ISNUMBER('Данные 2st'!$MH$2:$MH$317))</f>
        <v>2</v>
      </c>
      <c r="QT75">
        <f>SUMPRODUCT(--('Данные 2st'!$Q$2:$Q$317=$A75),--ISNUMBER('Данные 2st'!$MI$2:$MI$317))</f>
        <v>2</v>
      </c>
      <c r="QU75">
        <f>SUMPRODUCT(--('Данные 2st'!$Q$2:$Q$317=$A75),--ISNUMBER('Данные 2st'!$MJ$2:$MJ$317))</f>
        <v>2</v>
      </c>
      <c r="QV75">
        <f>SUMPRODUCT(--('Данные 2st'!$Q$2:$Q$317=$A75),--ISNUMBER('Данные 2st'!$MK$2:$MK$317))</f>
        <v>2</v>
      </c>
      <c r="QW75">
        <f>SUMPRODUCT(--('Данные 2st'!$Q$2:$Q$317=$A75),--ISNUMBER('Данные 2st'!$MM$2:$MM$317))</f>
        <v>2</v>
      </c>
      <c r="QX75">
        <f>SUMPRODUCT(--('Данные 2st'!$Q$2:$Q$317=$A75),--ISNUMBER('Данные 2st'!$MQ$2:$MQ$317))</f>
        <v>0</v>
      </c>
      <c r="QY75">
        <f>SUMPRODUCT(--('Данные 2st'!$Q$2:$Q$317=$A75),--ISNUMBER('Данные 2st'!$MR$2:$MR$317))</f>
        <v>0</v>
      </c>
      <c r="QZ75">
        <f>SUMPRODUCT(--('Данные 2st'!$Q$2:$Q$317=$A75),--ISNUMBER('Данные 2st'!$MS$2:$MS$317))</f>
        <v>0</v>
      </c>
      <c r="RA75">
        <f>SUMPRODUCT(--('Данные 2st'!$Q$2:$Q$317=$A75),--ISNUMBER('Данные 2st'!$MT$2:$MT$317))</f>
        <v>0</v>
      </c>
      <c r="RB75">
        <f>SUMPRODUCT(--('Данные 2st'!$Q$2:$Q$317=$A75),--ISNUMBER('Данные 2st'!$MU$2:$MU$317))</f>
        <v>0</v>
      </c>
      <c r="RC75">
        <f>SUMPRODUCT(--('Данные 2st'!$Q$2:$Q$317=$A75),--ISNUMBER('Данные 2st'!$MV$2:$MV$317))</f>
        <v>0</v>
      </c>
      <c r="RD75">
        <f>SUMPRODUCT(--('Данные 2st'!$Q$2:$Q$317=$A75),--ISNUMBER('Данные 2st'!$MW$2:$MW$317))</f>
        <v>0</v>
      </c>
      <c r="RE75">
        <f>SUMPRODUCT(--('Данные 2st'!$Q$2:$Q$317=$A75),--ISNUMBER('Данные 2st'!$MX$2:$MX$317))</f>
        <v>0</v>
      </c>
      <c r="RF75">
        <f>SUMPRODUCT(--('Данные 2st'!$Q$2:$Q$317=$A75),--ISNUMBER('Данные 2st'!$MY$2:$MY$317))</f>
        <v>0</v>
      </c>
      <c r="RG75">
        <f>SUMPRODUCT(--('Данные 2st'!$Q$2:$Q$317=$A75),--ISNUMBER('Данные 2st'!$MZ$2:$MZ$317))</f>
        <v>0</v>
      </c>
      <c r="RH75">
        <f>SUMPRODUCT(--('Данные 2st'!$Q$2:$Q$317=$A75),--ISNUMBER('Данные 2st'!$NA$2:$NA$317))</f>
        <v>0</v>
      </c>
      <c r="RI75">
        <f>SUMPRODUCT(--('Данные 2st'!$Q$2:$Q$317=$A75),--ISNUMBER('Данные 2st'!$NB$2:$NB$317))</f>
        <v>0</v>
      </c>
      <c r="RJ75">
        <f>SUMPRODUCT(--('Данные 2st'!$Q$2:$Q$317=$A75),--ISNUMBER('Данные 2st'!$NC$2:$NC$317))</f>
        <v>0</v>
      </c>
      <c r="RK75">
        <f>SUMPRODUCT(--('Данные 2st'!$Q$2:$Q$317=$A75),--ISNUMBER('Данные 2st'!$ND$2:$ND$317))</f>
        <v>0</v>
      </c>
      <c r="RL75">
        <f>SUMPRODUCT(--('Данные 2st'!$Q$2:$Q$317=$A75),--ISNUMBER('Данные 2st'!$NE$2:$NE$317))</f>
        <v>0</v>
      </c>
      <c r="RM75">
        <f>SUMPRODUCT(--('Данные 2st'!$Q$2:$Q$317=$A75),--ISNUMBER('Данные 2st'!$NF$2:$NF$317))</f>
        <v>0</v>
      </c>
      <c r="RN75">
        <f>SUMPRODUCT(--('Данные 2st'!$Q$2:$Q$317=$A75),--ISNUMBER('Данные 2st'!$NG$2:$NG$317))</f>
        <v>0</v>
      </c>
      <c r="RO75">
        <f>SUMPRODUCT(--('Данные 2st'!$Q$2:$Q$317=$A75),--ISNUMBER('Данные 2st'!$NH$2:$NH$317))</f>
        <v>0</v>
      </c>
      <c r="RP75">
        <f>SUMPRODUCT(--('Данные 2st'!$Q$2:$Q$317=$A75),--ISNUMBER('Данные 2st'!$NJ$2:$NJ$317))</f>
        <v>0</v>
      </c>
      <c r="RQ75">
        <f>SUMPRODUCT(--('Данные 2st'!$Q$2:$Q$317=$A75),--ISNUMBER('Данные 2st'!$NK$2:$NK$317))</f>
        <v>0</v>
      </c>
      <c r="RR75">
        <f>SUMPRODUCT(--('Данные 2st'!$Q$2:$Q$317=$A75),--ISNUMBER('Данные 2st'!$NM$2:$NM$317))</f>
        <v>0</v>
      </c>
      <c r="RS75">
        <f>SUMPRODUCT(--('Данные 2st'!$Q$2:$Q$317=$A75),--ISNUMBER('Данные 2st'!$NN$2:$NN$317))</f>
        <v>0</v>
      </c>
      <c r="RT75">
        <f>SUMPRODUCT(--('Данные 2st'!$Q$2:$Q$317=$A75),--ISNUMBER('Данные 2st'!$NO$2:$NO$317))</f>
        <v>0</v>
      </c>
      <c r="RU75">
        <f>SUMPRODUCT(--('Данные 2st'!$Q$2:$Q$317=$A75),--ISNUMBER('Данные 2st'!$NP$2:$NP$317))</f>
        <v>0</v>
      </c>
      <c r="RV75">
        <f>SUMPRODUCT(--('Данные 2st'!$Q$2:$Q$317=$A75),--ISNUMBER('Данные 2st'!$NQ$2:$NQ$317))</f>
        <v>0</v>
      </c>
      <c r="RW75">
        <f>SUMPRODUCT(--('Данные 2st'!$Q$2:$Q$317=$A75),--ISNUMBER('Данные 2st'!$NR$2:$NR$317))</f>
        <v>0</v>
      </c>
      <c r="RX75">
        <f>SUMPRODUCT(--('Данные 2st'!$Q$2:$Q$317=$A75),--ISNUMBER('Данные 2st'!$NS$2:$NS$317))</f>
        <v>0</v>
      </c>
      <c r="RY75">
        <f>SUMPRODUCT(--('Данные 2st'!$Q$2:$Q$317=$A75),--ISNUMBER('Данные 2st'!$NT$2:$NT$317))</f>
        <v>0</v>
      </c>
      <c r="RZ75">
        <f>SUMPRODUCT(--('Данные 2st'!$Q$2:$Q$317=$A75),--ISNUMBER('Данные 2st'!$OK$2:$OK$317))</f>
        <v>2</v>
      </c>
      <c r="SA75">
        <f>SUMPRODUCT(--('Данные 2st'!$Q$2:$Q$317=$A75),--ISNUMBER('Данные 2st'!$OL$2:$OL$317))</f>
        <v>2</v>
      </c>
      <c r="SB75">
        <f>SUMPRODUCT(--('Данные 2st'!$Q$2:$Q$317=$A75),--ISNUMBER('Данные 2st'!$ON$2:$ON$317))</f>
        <v>2</v>
      </c>
      <c r="SC75">
        <f>SUMPRODUCT(--('Данные 2st'!$Q$2:$Q$317=$A75),--ISNUMBER('Данные 2st'!$OO$2:$OO$317))</f>
        <v>2</v>
      </c>
      <c r="SD75">
        <f>SUMPRODUCT(--('Данные 2st'!$Q$2:$Q$317=$A75),--ISNUMBER('Данные 2st'!$OP$2:$OP$317))</f>
        <v>2</v>
      </c>
      <c r="SE75">
        <f>SUMPRODUCT(--('Данные 2st'!$Q$2:$Q$317=$A75),--ISNUMBER('Данные 2st'!$OQ$2:$OQ$317))</f>
        <v>2</v>
      </c>
      <c r="SF75">
        <f>SUMPRODUCT(--('Данные 2st'!$Q$2:$Q$317=$A75),--ISNUMBER('Данные 2st'!$OS$2:$OS$317))</f>
        <v>2</v>
      </c>
      <c r="SG75">
        <f>SUMPRODUCT(--('Данные 2st'!$Q$2:$Q$317=$A75),--ISNUMBER('Данные 2st'!$OT$2:$OT$317))</f>
        <v>2</v>
      </c>
      <c r="SH75">
        <f>SUMPRODUCT(--('Данные 2st'!$Q$2:$Q$317=$A75),--ISNUMBER('Данные 2st'!$OU$2:$OU$317))</f>
        <v>2</v>
      </c>
      <c r="SI75">
        <f>SUMPRODUCT(--('Данные 2st'!$Q$2:$Q$317=$A75),--ISNUMBER('Данные 2st'!$OV$2:$OV$317))</f>
        <v>2</v>
      </c>
      <c r="SJ75">
        <f>SUMPRODUCT(--('Данные 2st'!$Q$2:$Q$317=$A75),--ISNUMBER('Данные 2st'!$OX$2:$OX$317))</f>
        <v>2</v>
      </c>
      <c r="SK75">
        <f>SUMPRODUCT(--('Данные 2st'!$Q$2:$Q$317=$A75),--ISNUMBER('Данные 2st'!$OY$2:$OY$317))</f>
        <v>2</v>
      </c>
      <c r="SL75">
        <f>SUMPRODUCT(--('Данные 2st'!$Q$2:$Q$317=$A75),--ISNUMBER('Данные 2st'!$OZ$2:$OZ$317))</f>
        <v>2</v>
      </c>
      <c r="SM75">
        <f>SUMPRODUCT(--('Данные 2st'!$Q$2:$Q$317=$A75),--ISNUMBER('Данные 2st'!$PA$2:$PA$317))</f>
        <v>2</v>
      </c>
      <c r="SN75">
        <f>SUMPRODUCT(--('Данные 2st'!$Q$2:$Q$317=$A75),--ISNUMBER('Данные 2st'!$PC$2:$PC$317))</f>
        <v>2</v>
      </c>
      <c r="SO75">
        <f>SUMPRODUCT(--('Данные 2st'!$Q$2:$Q$317=$A75),--ISNUMBER('Данные 2st'!$PD$2:$PD$317))</f>
        <v>2</v>
      </c>
      <c r="SP75">
        <f>SUMPRODUCT(--('Данные 2st'!$Q$2:$Q$317=$A75),--ISNUMBER('Данные 2st'!$PF$2:$PF$317))</f>
        <v>2</v>
      </c>
      <c r="SQ75">
        <f>SUMPRODUCT(--('Данные 2st'!$Q$2:$Q$317=$A75),--ISNUMBER('Данные 2st'!$PG$2:$PG$317))</f>
        <v>2</v>
      </c>
      <c r="SR75">
        <f>SUMPRODUCT(--('Данные 2st'!$Q$2:$Q$317=$A75),--ISNUMBER('Данные 2st'!$PH$2:$PH$317))</f>
        <v>2</v>
      </c>
      <c r="SS75">
        <f>SUMPRODUCT(--('Данные 2st'!$Q$2:$Q$317=$A75),--ISNUMBER('Данные 2st'!$PI$2:$PI$317))</f>
        <v>2</v>
      </c>
      <c r="ST75">
        <f>SUMPRODUCT(--('Данные 2st'!$Q$2:$Q$317=$A75),--ISNUMBER('Данные 2st'!$PJ$2:$PJ$317))</f>
        <v>2</v>
      </c>
      <c r="SU75">
        <f>SUMPRODUCT(--('Данные 2st'!$Q$2:$Q$317=$A75),--ISNUMBER('Данные 2st'!$PK$2:$PK$317))</f>
        <v>2</v>
      </c>
      <c r="SV75">
        <f>SUMPRODUCT(--('Данные 2st'!$Q$2:$Q$317=$A75),--ISNUMBER('Данные 2st'!$PL$2:$PL$317))</f>
        <v>2</v>
      </c>
      <c r="SW75">
        <f>SUMPRODUCT(--('Данные 2st'!$Q$2:$Q$317=$A75),--ISNUMBER('Данные 2st'!$PM$2:$PM$317))</f>
        <v>2</v>
      </c>
      <c r="SX75">
        <f>SUMPRODUCT(--('Данные 2st'!$Q$2:$Q$317=$A75),--ISNUMBER('Данные 2st'!$PN$2:$PN$317))</f>
        <v>2</v>
      </c>
      <c r="SY75">
        <f>SUMPRODUCT(--('Данные 2st'!$Q$2:$Q$317=$A75),--ISNUMBER('Данные 2st'!$PO$2:$PO$317))</f>
        <v>2</v>
      </c>
      <c r="SZ75">
        <f>SUMPRODUCT(--('Данные 2st'!$Q$2:$Q$317=$A75),--ISNUMBER('Данные 2st'!$PP$2:$PP$317))</f>
        <v>2</v>
      </c>
      <c r="TA75">
        <f>SUMPRODUCT(--('Данные 2st'!$Q$2:$Q$317=$A75),--ISNUMBER('Данные 2st'!$PQ$2:$PQ$317))</f>
        <v>2</v>
      </c>
      <c r="TB75">
        <f>SUMPRODUCT(--('Данные 2st'!$Q$2:$Q$317=$A75),--ISNUMBER('Данные 2st'!$PR$2:$PR$317))</f>
        <v>2</v>
      </c>
      <c r="TC75">
        <f>SUMPRODUCT(--('Данные 2st'!$Q$2:$Q$317=$A75),--ISNUMBER('Данные 2st'!$PS$2:$PS$317))</f>
        <v>2</v>
      </c>
      <c r="TD75">
        <f>SUMPRODUCT(--('Данные 2st'!$Q$2:$Q$317=$A75),--ISNUMBER('Данные 2st'!$PT$2:$PT$317))</f>
        <v>2</v>
      </c>
      <c r="TE75">
        <f>SUMPRODUCT(--('Данные 2st'!$Q$2:$Q$317=$A75),--ISNUMBER('Данные 2st'!$PU$2:$PU$317))</f>
        <v>2</v>
      </c>
      <c r="TF75">
        <f>SUMPRODUCT(--('Данные 2st'!$Q$2:$Q$317=$A75),--ISNUMBER('Данные 2st'!$PX$2:$PX$317))</f>
        <v>2</v>
      </c>
      <c r="TG75">
        <f>SUMPRODUCT(--('Данные 2st'!$Q$2:$Q$317=$A75),--ISNUMBER('Данные 2st'!$PY$2:$PY$317))</f>
        <v>2</v>
      </c>
      <c r="TH75">
        <f>SUMPRODUCT(--('Данные 2st'!$Q$2:$Q$317=$A75),--ISNUMBER('Данные 2st'!$PZ$2:$PZ$317))</f>
        <v>2</v>
      </c>
      <c r="TI75">
        <f>SUMPRODUCT(--('Данные 2st'!$Q$2:$Q$317=$A75),--ISNUMBER('Данные 2st'!$QA$2:$QA$317))</f>
        <v>2</v>
      </c>
      <c r="TJ75">
        <f>SUMPRODUCT(--('Данные 2st'!$Q$2:$Q$317=$A75),--ISNUMBER('Данные 2st'!$QB$2:$QB$317))</f>
        <v>2</v>
      </c>
      <c r="TK75">
        <f>SUMPRODUCT(--('Данные 2st'!$Q$2:$Q$317=$A75),--ISNUMBER('Данные 2st'!$QC$2:$QC$317))</f>
        <v>2</v>
      </c>
      <c r="TL75">
        <f>SUMPRODUCT(--('Данные 2st'!$Q$2:$Q$317=$A75),--ISNUMBER('Данные 2st'!$QD$2:$QD$317))</f>
        <v>2</v>
      </c>
      <c r="TM75">
        <f>SUMPRODUCT(--('Данные 2st'!$Q$2:$Q$317=$A75),--ISNUMBER('Данные 2st'!$QE$2:$QE$317))</f>
        <v>2</v>
      </c>
      <c r="TN75">
        <f>SUMPRODUCT(--('Данные 2st'!$Q$2:$Q$317=$A75),--ISNUMBER('Данные 2st'!$QF$2:$QF$317))</f>
        <v>2</v>
      </c>
      <c r="TO75">
        <f>SUMPRODUCT(--('Данные 2st'!$Q$2:$Q$317=$A75),--ISNUMBER('Данные 2st'!$QG$2:$QG$317))</f>
        <v>2</v>
      </c>
      <c r="TP75">
        <f>SUMPRODUCT(--('Данные 2st'!$Q$2:$Q$317=$A75),--ISNUMBER('Данные 2st'!$QH$2:$QH$317))</f>
        <v>2</v>
      </c>
      <c r="TQ75">
        <f>SUMPRODUCT(--('Данные 2st'!$Q$2:$Q$317=$A75),--ISNUMBER('Данные 2st'!$QI$2:$QI$317))</f>
        <v>2</v>
      </c>
      <c r="TR75">
        <f>SUMPRODUCT(--('Данные 2st'!$Q$2:$Q$317=$A75),--ISNUMBER('Данные 2st'!$QJ$2:$QJ$317))</f>
        <v>2</v>
      </c>
      <c r="TS75">
        <f>SUMPRODUCT(--('Данные 2st'!$Q$2:$Q$317=$A75),--ISNUMBER('Данные 2st'!$QK$2:$QK$317))</f>
        <v>2</v>
      </c>
      <c r="TT75">
        <f>SUMPRODUCT(--('Данные 2st'!$Q$2:$Q$317=$A75),--ISNUMBER('Данные 2st'!$QL$2:$QL$317))</f>
        <v>2</v>
      </c>
      <c r="TU75">
        <f>SUMPRODUCT(--('Данные 2st'!$Q$2:$Q$317=$A75),--ISNUMBER('Данные 2st'!$QM$2:$QM$317))</f>
        <v>2</v>
      </c>
      <c r="TV75">
        <f>SUMPRODUCT(--('Данные 2st'!$Q$2:$Q$317=$A75),--ISNUMBER('Данные 2st'!$QN$2:$QN$317))</f>
        <v>2</v>
      </c>
      <c r="TW75">
        <f>SUMPRODUCT(--('Данные 2st'!$Q$2:$Q$317=$A75),--ISNUMBER('Данные 2st'!$QQ$2:$QQ$317))</f>
        <v>2</v>
      </c>
      <c r="TX75">
        <f>SUMPRODUCT(--('Данные 2st'!$Q$2:$Q$317=$A75),--ISNUMBER('Данные 2st'!$QS$2:$QS$317))</f>
        <v>2</v>
      </c>
      <c r="TY75">
        <f>SUMPRODUCT(--('Данные 2st'!$Q$2:$Q$317=$A75),--ISNUMBER('Данные 2st'!$QT$2:$QT$317))</f>
        <v>2</v>
      </c>
    </row>
    <row r="76" spans="1:545" ht="32" customHeight="1">
      <c r="A76" s="11" t="str">
        <f>'По размерам'!A76</f>
        <v>265/55R19</v>
      </c>
      <c r="G76">
        <f>SUMPRODUCT(--('Данные 1st'!$S$2:$S$317=$A76),--ISNUMBER('Данные 1st'!$AE$2:$AE$317))</f>
        <v>5</v>
      </c>
      <c r="H76">
        <f>SUMPRODUCT(--('Данные 1st'!$S$2:$S$317=$A76),--ISNUMBER('Данные 1st'!$AF$2:$AF$317))</f>
        <v>5</v>
      </c>
      <c r="I76">
        <f>SUMPRODUCT(--('Данные 1st'!$S$2:$S$317=$A76),--ISNUMBER('Данные 1st'!$AJ$2:$AJ$317))</f>
        <v>5</v>
      </c>
      <c r="J76">
        <f>SUMPRODUCT(--('Данные 1st'!$S$2:$S$317=$A76),--ISNUMBER('Данные 1st'!$AL$2:$AL$317))</f>
        <v>5</v>
      </c>
      <c r="K76">
        <f>SUMPRODUCT(--('Данные 1st'!$S$2:$S$317=$A76),--ISNUMBER('Данные 1st'!$AR$2:$AR$317))</f>
        <v>5</v>
      </c>
      <c r="L76">
        <f>SUMPRODUCT(--('Данные 1st'!$S$2:$S$317=$A76),--ISNUMBER('Данные 1st'!$AS$2:$AS$317))</f>
        <v>5</v>
      </c>
      <c r="M76">
        <f>SUMPRODUCT(--('Данные 1st'!$S$2:$S$317=$A76),--ISNUMBER('Данные 1st'!$AY$2:$AY$317))</f>
        <v>5</v>
      </c>
      <c r="N76">
        <f>SUMPRODUCT(--('Данные 1st'!$S$2:$S$317=$A76),--ISNUMBER('Данные 1st'!$AZ$2:$AZ$317))</f>
        <v>5</v>
      </c>
      <c r="O76">
        <f>SUMPRODUCT(--('Данные 1st'!$S$2:$S$317=$A76),--ISNUMBER('Данные 1st'!$BF$2:$BF$317))</f>
        <v>5</v>
      </c>
      <c r="P76">
        <f>SUMPRODUCT(--('Данные 1st'!$S$2:$S$317=$A76),--ISNUMBER('Данные 1st'!$BG$2:$BG$317))</f>
        <v>5</v>
      </c>
      <c r="Q76">
        <f>SUMPRODUCT(--('Данные 1st'!$S$2:$S$317=$A76),--ISNUMBER('Данные 1st'!$BM$2:$BM$317))</f>
        <v>0</v>
      </c>
      <c r="R76">
        <f>SUMPRODUCT(--('Данные 1st'!$S$2:$S$317=$A76),--ISNUMBER('Данные 1st'!$BN$2:$BN$317))</f>
        <v>5</v>
      </c>
      <c r="S76">
        <f>SUMPRODUCT(--('Данные 1st'!$S$2:$S$317=$A76),--ISNUMBER('Данные 1st'!$BT$2:$BT$317))</f>
        <v>5</v>
      </c>
      <c r="T76">
        <f>SUMPRODUCT(--('Данные 1st'!$S$2:$S$317=$A76),--ISNUMBER('Данные 1st'!$BU$2:$BU$317))</f>
        <v>5</v>
      </c>
      <c r="U76">
        <f>SUMPRODUCT(--('Данные 1st'!$S$2:$S$317=$A76),--ISNUMBER('Данные 1st'!$BW$2:$BW$317))</f>
        <v>5</v>
      </c>
      <c r="V76">
        <f>SUMPRODUCT(--('Данные 1st'!$S$2:$S$317=$A76),--ISNUMBER('Данные 1st'!$BX$2:$BX$317))</f>
        <v>5</v>
      </c>
      <c r="W76">
        <f>SUMPRODUCT(--('Данные 1st'!$S$2:$S$317=$A76),--ISNUMBER('Данные 1st'!$BZ$2:$BZ$317))</f>
        <v>5</v>
      </c>
      <c r="X76">
        <f>SUMPRODUCT(--('Данные 1st'!$S$2:$S$317=$A76),--ISNUMBER('Данные 1st'!$CA$2:$CA$317))</f>
        <v>5</v>
      </c>
      <c r="Y76">
        <f>SUMPRODUCT(--('Данные 1st'!$S$2:$S$317=$A76),--ISNUMBER('Данные 1st'!$CD$2:$CD$317))</f>
        <v>5</v>
      </c>
      <c r="Z76">
        <f>SUMPRODUCT(--('Данные 1st'!$S$2:$S$317=$A76),--ISNUMBER('Данные 1st'!$CF$2:$CF$317))</f>
        <v>5</v>
      </c>
      <c r="AA76">
        <f>SUMPRODUCT(--('Данные 1st'!$S$2:$S$317=$A76),--ISNUMBER('Данные 1st'!$CI$2:$CI$317))</f>
        <v>5</v>
      </c>
      <c r="AB76">
        <f>SUMPRODUCT(--('Данные 1st'!$S$2:$S$317=$A76),--ISNUMBER('Данные 1st'!$CJ$2:$CJ$317))</f>
        <v>5</v>
      </c>
      <c r="AC76">
        <f>SUMPRODUCT(--('Данные 1st'!$S$2:$S$317=$A76),--ISNUMBER('Данные 1st'!$CK$2:$CK$317))</f>
        <v>5</v>
      </c>
      <c r="AD76">
        <f>SUMPRODUCT(--('Данные 1st'!$S$2:$S$317=$A76),--ISNUMBER('Данные 1st'!$CL$2:$CL$317))</f>
        <v>5</v>
      </c>
      <c r="AE76">
        <f>SUMPRODUCT(--('Данные 1st'!$S$2:$S$317=$A76),--ISNUMBER('Данные 1st'!$CM$2:$CM$317))</f>
        <v>5</v>
      </c>
      <c r="AF76">
        <f>SUMPRODUCT(--('Данные 1st'!$S$2:$S$317=$A76),--ISNUMBER('Данные 1st'!$CT$2:$CT$317))</f>
        <v>5</v>
      </c>
      <c r="AG76">
        <f>SUMPRODUCT(--('Данные 1st'!$S$2:$S$317=$A76),--ISNUMBER('Данные 1st'!$CU$2:$CU$317))</f>
        <v>5</v>
      </c>
      <c r="AH76">
        <f>SUMPRODUCT(--('Данные 1st'!$S$2:$S$317=$A76),--ISNUMBER('Данные 1st'!$CV$2:$CV$317))</f>
        <v>5</v>
      </c>
      <c r="AI76">
        <f>SUMPRODUCT(--('Данные 1st'!$S$2:$S$317=$A76),--ISNUMBER('Данные 1st'!$CW$2:$CW$317))</f>
        <v>5</v>
      </c>
      <c r="AJ76">
        <f>SUMPRODUCT(--('Данные 1st'!$S$2:$S$317=$A76),--ISNUMBER('Данные 1st'!$CX$2:$CX$317))</f>
        <v>5</v>
      </c>
      <c r="AK76">
        <f>SUMPRODUCT(--('Данные 1st'!$S$2:$S$317=$A76),--ISNUMBER('Данные 1st'!$CZ$2:$CZ$317))</f>
        <v>5</v>
      </c>
      <c r="AL76">
        <f>SUMPRODUCT(--('Данные 1st'!$S$2:$S$317=$A76),--ISNUMBER('Данные 1st'!$DA$2:$DA$317))</f>
        <v>5</v>
      </c>
      <c r="AM76">
        <f>SUMPRODUCT(--('Данные 1st'!$S$2:$S$317=$A76),--ISNUMBER('Данные 1st'!$DB$2:$DB$317))</f>
        <v>5</v>
      </c>
      <c r="AN76">
        <f>SUMPRODUCT(--('Данные 1st'!$S$2:$S$317=$A76),--ISNUMBER('Данные 1st'!$DC$2:$DC$317))</f>
        <v>5</v>
      </c>
      <c r="AO76">
        <f>SUMPRODUCT(--('Данные 1st'!$S$2:$S$317=$A76),--ISNUMBER('Данные 1st'!$DD$2:$DD$317))</f>
        <v>5</v>
      </c>
      <c r="AP76">
        <f>SUMPRODUCT(--('Данные 1st'!$S$2:$S$317=$A76),--ISNUMBER('Данные 1st'!$DF$2:$DF$317))</f>
        <v>5</v>
      </c>
      <c r="AQ76">
        <f>SUMPRODUCT(--('Данные 1st'!$S$2:$S$317=$A76),--ISNUMBER('Данные 1st'!$DG$2:$DG$317))</f>
        <v>5</v>
      </c>
      <c r="AR76">
        <f>SUMPRODUCT(--('Данные 1st'!$S$2:$S$317=$A76),--ISNUMBER('Данные 1st'!$DH$2:$DH$317))</f>
        <v>5</v>
      </c>
      <c r="AS76">
        <f>SUMPRODUCT(--('Данные 1st'!$S$2:$S$317=$A76),--ISNUMBER('Данные 1st'!$DI$2:$DI$317))</f>
        <v>5</v>
      </c>
      <c r="AT76">
        <f>SUMPRODUCT(--('Данные 1st'!$S$2:$S$317=$A76),--ISNUMBER('Данные 1st'!$DJ$2:$DJ$317))</f>
        <v>5</v>
      </c>
      <c r="AU76">
        <f>SUMPRODUCT(--('Данные 1st'!$S$2:$S$317=$A76),--ISNUMBER('Данные 1st'!$DL$2:$DL$317))</f>
        <v>5</v>
      </c>
      <c r="AV76">
        <f>SUMPRODUCT(--('Данные 1st'!$S$2:$S$317=$A76),--ISNUMBER('Данные 1st'!$DM$2:$DM$317))</f>
        <v>5</v>
      </c>
      <c r="AW76">
        <f>SUMPRODUCT(--('Данные 1st'!$S$2:$S$317=$A76),--ISNUMBER('Данные 1st'!$DN$2:$DN$317))</f>
        <v>5</v>
      </c>
      <c r="AX76">
        <f>SUMPRODUCT(--('Данные 1st'!$S$2:$S$317=$A76),--ISNUMBER('Данные 1st'!$DO$2:$DO$317))</f>
        <v>5</v>
      </c>
      <c r="AY76">
        <f>SUMPRODUCT(--('Данные 1st'!$S$2:$S$317=$A76),--ISNUMBER('Данные 1st'!$DP$2:$DP$317))</f>
        <v>5</v>
      </c>
      <c r="AZ76">
        <f>SUMPRODUCT(--('Данные 1st'!$S$2:$S$317=$A76),--ISNUMBER('Данные 1st'!$DR$2:$DR$317))</f>
        <v>0</v>
      </c>
      <c r="BA76">
        <f>SUMPRODUCT(--('Данные 1st'!$S$2:$S$317=$A76),--ISNUMBER('Данные 1st'!$DS$2:$DS$317))</f>
        <v>0</v>
      </c>
      <c r="BB76">
        <f>SUMPRODUCT(--('Данные 1st'!$S$2:$S$317=$A76),--ISNUMBER('Данные 1st'!$DT$2:$DT$317))</f>
        <v>0</v>
      </c>
      <c r="BC76">
        <f>SUMPRODUCT(--('Данные 1st'!$S$2:$S$317=$A76),--ISNUMBER('Данные 1st'!$DU$2:$DU$317))</f>
        <v>0</v>
      </c>
      <c r="BD76">
        <f>SUMPRODUCT(--('Данные 1st'!$S$2:$S$317=$A76),--ISNUMBER('Данные 1st'!$DV$2:$DV$317))</f>
        <v>0</v>
      </c>
      <c r="BE76">
        <f>SUMPRODUCT(--('Данные 1st'!$S$2:$S$317=$A76),--ISNUMBER('Данные 1st'!$DX$2:$DX$317))</f>
        <v>5</v>
      </c>
      <c r="BF76">
        <f>SUMPRODUCT(--('Данные 1st'!$S$2:$S$317=$A76),--ISNUMBER('Данные 1st'!$EA$2:$EA$317))</f>
        <v>5</v>
      </c>
      <c r="BG76">
        <f>SUMPRODUCT(--('Данные 1st'!$S$2:$S$317=$A76),--ISNUMBER('Данные 1st'!$EB$2:$EB$317))</f>
        <v>5</v>
      </c>
      <c r="BH76">
        <f>SUMPRODUCT(--('Данные 1st'!$S$2:$S$317=$A76),--ISNUMBER('Данные 1st'!$ED$2:$ED$317))</f>
        <v>5</v>
      </c>
      <c r="BI76">
        <f>SUMPRODUCT(--('Данные 1st'!$S$2:$S$317=$A76),--ISNUMBER('Данные 1st'!$EE$2:$EE$317))</f>
        <v>5</v>
      </c>
      <c r="BJ76">
        <f>SUMPRODUCT(--('Данные 1st'!$S$2:$S$317=$A76),--ISNUMBER('Данные 1st'!$EG$2:$EG$317))</f>
        <v>5</v>
      </c>
      <c r="BK76">
        <f>SUMPRODUCT(--('Данные 1st'!$S$2:$S$317=$A76),--ISNUMBER('Данные 1st'!$EH$2:$EH$317))</f>
        <v>5</v>
      </c>
      <c r="BL76">
        <f>SUMPRODUCT(--('Данные 1st'!$S$2:$S$317=$A76),--ISNUMBER('Данные 1st'!$EJ$2:$EJ$317))</f>
        <v>5</v>
      </c>
      <c r="BM76">
        <f>SUMPRODUCT(--('Данные 1st'!$S$2:$S$317=$A76),--ISNUMBER('Данные 1st'!$EK$2:$EK$317))</f>
        <v>5</v>
      </c>
      <c r="BN76">
        <f>SUMPRODUCT(--('Данные 1st'!$S$2:$S$317=$A76),--ISNUMBER('Данные 1st'!$EN$2:$EN$317))</f>
        <v>5</v>
      </c>
      <c r="BO76">
        <f>SUMPRODUCT(--('Данные 1st'!$S$2:$S$317=$A76),--ISNUMBER('Данные 1st'!$EQ$2:$EQ$317))</f>
        <v>5</v>
      </c>
      <c r="BP76">
        <f>SUMPRODUCT(--('Данные 1st'!$S$2:$S$317=$A76),--ISNUMBER('Данные 1st'!$ER$2:$ER$317))</f>
        <v>5</v>
      </c>
      <c r="BQ76">
        <f>SUMPRODUCT(--('Данные 1st'!$S$2:$S$317=$A76),--ISNUMBER('Данные 1st'!$ES$2:$ES$317))</f>
        <v>5</v>
      </c>
      <c r="BR76">
        <f>SUMPRODUCT(--('Данные 1st'!$S$2:$S$317=$A76),--ISNUMBER('Данные 1st'!$ET$2:$ET$317))</f>
        <v>5</v>
      </c>
      <c r="BS76">
        <f>SUMPRODUCT(--('Данные 1st'!$S$2:$S$317=$A76),--ISNUMBER('Данные 1st'!$EU$2:$EU$317))</f>
        <v>5</v>
      </c>
      <c r="BT76">
        <f>SUMPRODUCT(--('Данные 1st'!$S$2:$S$317=$A76),--ISNUMBER('Данные 1st'!$EV$2:$EV$317))</f>
        <v>5</v>
      </c>
      <c r="BU76">
        <f>SUMPRODUCT(--('Данные 1st'!$S$2:$S$317=$A76),--ISNUMBER('Данные 1st'!$EX$2:$EX$317))</f>
        <v>5</v>
      </c>
      <c r="BV76">
        <f>SUMPRODUCT(--('Данные 1st'!$S$2:$S$317=$A76),--ISNUMBER('Данные 1st'!$EY$2:$EY$317))</f>
        <v>5</v>
      </c>
      <c r="BW76">
        <f>SUMPRODUCT(--('Данные 1st'!$S$2:$S$317=$A76),--ISNUMBER('Данные 1st'!$EZ$2:$EZ$317))</f>
        <v>5</v>
      </c>
      <c r="BX76">
        <f>SUMPRODUCT(--('Данные 1st'!$S$2:$S$317=$A76),--ISNUMBER('Данные 1st'!$FA$2:$FA$317))</f>
        <v>5</v>
      </c>
      <c r="BY76">
        <f>SUMPRODUCT(--('Данные 1st'!$S$2:$S$317=$A76),--ISNUMBER('Данные 1st'!$FB$2:$FB$317))</f>
        <v>5</v>
      </c>
      <c r="BZ76">
        <f>SUMPRODUCT(--('Данные 1st'!$S$2:$S$317=$A76),--ISNUMBER('Данные 1st'!$FC$2:$FC$317))</f>
        <v>5</v>
      </c>
      <c r="CA76">
        <f>SUMPRODUCT(--('Данные 1st'!$S$2:$S$317=$A76),--ISNUMBER('Данные 1st'!$FE$2:$FE$317))</f>
        <v>5</v>
      </c>
      <c r="CB76">
        <f>SUMPRODUCT(--('Данные 1st'!$S$2:$S$317=$A76),--ISNUMBER('Данные 1st'!$FF$2:$FF$317))</f>
        <v>5</v>
      </c>
      <c r="CC76">
        <f>SUMPRODUCT(--('Данные 1st'!$S$2:$S$317=$A76),--ISNUMBER('Данные 1st'!$FI$2:$FI$317))</f>
        <v>5</v>
      </c>
      <c r="CD76">
        <f>SUMPRODUCT(--('Данные 1st'!$S$2:$S$317=$A76),--ISNUMBER('Данные 1st'!$FL$2:$FL$317))</f>
        <v>5</v>
      </c>
      <c r="CE76">
        <f>SUMPRODUCT(--('Данные 1st'!$S$2:$S$317=$A76),--ISNUMBER('Данные 1st'!$FM$2:$FM$317))</f>
        <v>5</v>
      </c>
      <c r="CF76">
        <f>SUMPRODUCT(--('Данные 1st'!$S$2:$S$317=$A76),--ISNUMBER('Данные 1st'!$FN$2:$FN$317))</f>
        <v>5</v>
      </c>
      <c r="CG76">
        <f>SUMPRODUCT(--('Данные 1st'!$S$2:$S$317=$A76),--ISNUMBER('Данные 1st'!$FO$2:$FO$317))</f>
        <v>5</v>
      </c>
      <c r="CH76">
        <f>SUMPRODUCT(--('Данные 1st'!$S$2:$S$317=$A76),--ISNUMBER('Данные 1st'!$FP$2:$FP$317))</f>
        <v>5</v>
      </c>
      <c r="CI76">
        <f>SUMPRODUCT(--('Данные 1st'!$S$2:$S$317=$A76),--ISNUMBER('Данные 1st'!$FS$2:$FS$317))</f>
        <v>0</v>
      </c>
      <c r="CJ76">
        <f>SUMPRODUCT(--('Данные 1st'!$S$2:$S$317=$A76),--ISNUMBER('Данные 1st'!$FT$2:$FT$317))</f>
        <v>0</v>
      </c>
      <c r="CK76">
        <f>SUMPRODUCT(--('Данные 1st'!$S$2:$S$317=$A76),--ISNUMBER('Данные 1st'!$FU$2:$FU$317))</f>
        <v>0</v>
      </c>
      <c r="CL76">
        <f>SUMPRODUCT(--('Данные 1st'!$S$2:$S$317=$A76),--ISNUMBER('Данные 1st'!$FV$2:$FV$317))</f>
        <v>0</v>
      </c>
      <c r="CM76">
        <f>SUMPRODUCT(--('Данные 1st'!$S$2:$S$317=$A76),--ISNUMBER('Данные 1st'!$FW$2:$FW$317))</f>
        <v>0</v>
      </c>
      <c r="CN76">
        <f>SUMPRODUCT(--('Данные 1st'!$S$2:$S$317=$A76),--ISNUMBER('Данные 1st'!$FZ$2:$FZ$317))</f>
        <v>0</v>
      </c>
      <c r="CO76">
        <f>SUMPRODUCT(--('Данные 1st'!$S$2:$S$317=$A76),--ISNUMBER('Данные 1st'!$GA$2:$GA$317))</f>
        <v>0</v>
      </c>
      <c r="CP76">
        <f>SUMPRODUCT(--('Данные 1st'!$S$2:$S$317=$A76),--ISNUMBER('Данные 1st'!$GB$2:$GB$317))</f>
        <v>0</v>
      </c>
      <c r="CQ76">
        <f>SUMPRODUCT(--('Данные 1st'!$S$2:$S$317=$A76),--ISNUMBER('Данные 1st'!$GH$2:$GH$317))</f>
        <v>0</v>
      </c>
      <c r="CR76">
        <f>SUMPRODUCT(--('Данные 1st'!$S$2:$S$317=$A76),--ISNUMBER('Данные 1st'!$GI$2:$GI$317))</f>
        <v>0</v>
      </c>
      <c r="CS76">
        <f>SUMPRODUCT(--('Данные 1st'!$S$2:$S$317=$A76),--ISNUMBER('Данные 1st'!$GJ$2:$GJ$317))</f>
        <v>0</v>
      </c>
      <c r="CT76">
        <f>SUMPRODUCT(--('Данные 1st'!$S$2:$S$317=$A76),--ISNUMBER('Данные 1st'!$GS$2:$GS$317))</f>
        <v>5</v>
      </c>
      <c r="CU76">
        <f>SUMPRODUCT(--('Данные 1st'!$S$2:$S$317=$A76),--ISNUMBER('Данные 1st'!$GT$2:$GT$317))</f>
        <v>5</v>
      </c>
      <c r="CV76">
        <f>SUMPRODUCT(--('Данные 1st'!$S$2:$S$317=$A76),--ISNUMBER('Данные 1st'!$GU$2:$GU$317))</f>
        <v>5</v>
      </c>
      <c r="CW76">
        <f>SUMPRODUCT(--('Данные 1st'!$S$2:$S$317=$A76),--ISNUMBER('Данные 1st'!$GV$2:$GV$317))</f>
        <v>3</v>
      </c>
      <c r="CX76">
        <f>SUMPRODUCT(--('Данные 1st'!$S$2:$S$317=$A76),--ISNUMBER('Данные 1st'!$GW$2:$GW$317))</f>
        <v>3</v>
      </c>
      <c r="CY76">
        <f>SUMPRODUCT(--('Данные 1st'!$S$2:$S$317=$A76),--ISNUMBER('Данные 1st'!$GZ$2:$GZ$317))</f>
        <v>0</v>
      </c>
      <c r="CZ76">
        <f>SUMPRODUCT(--('Данные 1st'!$S$2:$S$317=$A76),--ISNUMBER('Данные 1st'!$HA$2:$HA$317))</f>
        <v>0</v>
      </c>
      <c r="DA76">
        <f>SUMPRODUCT(--('Данные 1st'!$S$2:$S$317=$A76),--ISNUMBER('Данные 1st'!$HB$2:$HB$317))</f>
        <v>0</v>
      </c>
      <c r="DB76">
        <f>SUMPRODUCT(--('Данные 1st'!$S$2:$S$317=$A76),--ISNUMBER('Данные 1st'!$HC$2:$HC$317))</f>
        <v>5</v>
      </c>
      <c r="DC76">
        <f>SUMPRODUCT(--('Данные 1st'!$S$2:$S$317=$A76),--ISNUMBER('Данные 1st'!$HD$2:$HD$317))</f>
        <v>5</v>
      </c>
      <c r="DD76">
        <f>SUMPRODUCT(--('Данные 1st'!$S$2:$S$317=$A76),--ISNUMBER('Данные 1st'!$HE$2:$HE$317))</f>
        <v>5</v>
      </c>
      <c r="DE76">
        <f>SUMPRODUCT(--('Данные 1st'!$S$2:$S$317=$A76),--ISNUMBER('Данные 1st'!$HF$2:$HF$317))</f>
        <v>5</v>
      </c>
      <c r="DF76">
        <f>SUMPRODUCT(--('Данные 1st'!$S$2:$S$317=$A76),--ISNUMBER('Данные 1st'!$HG$2:$HG$317))</f>
        <v>5</v>
      </c>
      <c r="DG76">
        <f>SUMPRODUCT(--('Данные 1st'!$S$2:$S$317=$A76),--ISNUMBER('Данные 1st'!$HH$2:$HH$317))</f>
        <v>5</v>
      </c>
      <c r="DH76">
        <f>SUMPRODUCT(--('Данные 1st'!$S$2:$S$317=$A76),--ISNUMBER('Данные 1st'!$HI$2:$HI$317))</f>
        <v>5</v>
      </c>
      <c r="DI76">
        <f>SUMPRODUCT(--('Данные 1st'!$S$2:$S$317=$A76),--ISNUMBER('Данные 1st'!$HJ$2:$HJ$317))</f>
        <v>5</v>
      </c>
      <c r="DJ76">
        <f>SUMPRODUCT(--('Данные 1st'!$S$2:$S$317=$A76),--ISNUMBER('Данные 1st'!$HK$2:$HK$317))</f>
        <v>5</v>
      </c>
      <c r="DK76">
        <f>SUMPRODUCT(--('Данные 1st'!$S$2:$S$317=$A76),--ISNUMBER('Данные 1st'!$HL$2:$HL$317))</f>
        <v>5</v>
      </c>
      <c r="DL76">
        <f>SUMPRODUCT(--('Данные 1st'!$S$2:$S$317=$A76),--ISNUMBER('Данные 1st'!$HM$2:$HM$317))</f>
        <v>5</v>
      </c>
      <c r="DM76">
        <f>SUMPRODUCT(--('Данные 1st'!$S$2:$S$317=$A76),--ISNUMBER('Данные 1st'!$HN$2:$HN$317))</f>
        <v>5</v>
      </c>
      <c r="DN76">
        <f>SUMPRODUCT(--('Данные 1st'!$S$2:$S$317=$A76),--ISNUMBER('Данные 1st'!$HO$2:$HO$317))</f>
        <v>5</v>
      </c>
      <c r="DO76">
        <f>SUMPRODUCT(--('Данные 1st'!$S$2:$S$317=$A76),--ISNUMBER('Данные 1st'!$HP$2:$HP$317))</f>
        <v>5</v>
      </c>
      <c r="DP76">
        <f>SUMPRODUCT(--('Данные 1st'!$S$2:$S$317=$A76),--ISNUMBER('Данные 1st'!$HQ$2:$HQ$317))</f>
        <v>5</v>
      </c>
      <c r="DQ76">
        <f>SUMPRODUCT(--('Данные 1st'!$S$2:$S$317=$A76),--ISNUMBER('Данные 1st'!$HR$2:$HR$317))</f>
        <v>5</v>
      </c>
      <c r="DR76">
        <f>SUMPRODUCT(--('Данные 1st'!$S$2:$S$317=$A76),--ISNUMBER('Данные 1st'!$HS$2:$HS$317))</f>
        <v>5</v>
      </c>
      <c r="DS76">
        <f>SUMPRODUCT(--('Данные 1st'!$S$2:$S$317=$A76),--ISNUMBER('Данные 1st'!$HT$2:$HT$317))</f>
        <v>5</v>
      </c>
      <c r="DT76">
        <f>SUMPRODUCT(--('Данные 1st'!$S$2:$S$317=$A76),--ISNUMBER('Данные 1st'!$HU$2:$HU$317))</f>
        <v>5</v>
      </c>
      <c r="DU76">
        <f>SUMPRODUCT(--('Данные 1st'!$S$2:$S$317=$A76),--ISNUMBER('Данные 1st'!$HW$2:$HW$317))</f>
        <v>5</v>
      </c>
      <c r="DV76">
        <f>SUMPRODUCT(--('Данные 1st'!$S$2:$S$317=$A76),--ISNUMBER('Данные 1st'!$HX$2:$HX$317))</f>
        <v>5</v>
      </c>
      <c r="DW76">
        <f>SUMPRODUCT(--('Данные 1st'!$S$2:$S$317=$A76),--ISNUMBER('Данные 1st'!$HY$2:$HY$317))</f>
        <v>5</v>
      </c>
      <c r="DX76">
        <f>SUMPRODUCT(--('Данные 1st'!$S$2:$S$317=$A76),--ISNUMBER('Данные 1st'!$IA$2:$IA$317))</f>
        <v>5</v>
      </c>
      <c r="DY76">
        <f>SUMPRODUCT(--('Данные 1st'!$S$2:$S$317=$A76),--ISNUMBER('Данные 1st'!$IB$2:$IB$317))</f>
        <v>5</v>
      </c>
      <c r="DZ76">
        <f>SUMPRODUCT(--('Данные 1st'!$S$2:$S$317=$A76),--ISNUMBER('Данные 1st'!$IC$2:$IC$317))</f>
        <v>5</v>
      </c>
      <c r="EA76">
        <f>SUMPRODUCT(--('Данные 1st'!$S$2:$S$317=$A76),--ISNUMBER('Данные 1st'!$ID$2:$ID$317))</f>
        <v>5</v>
      </c>
      <c r="EB76">
        <f>SUMPRODUCT(--('Данные 1st'!$S$2:$S$317=$A76),--ISNUMBER('Данные 1st'!$IE$2:$IE$317))</f>
        <v>5</v>
      </c>
      <c r="EC76">
        <f>SUMPRODUCT(--('Данные 1st'!$S$2:$S$317=$A76),--ISNUMBER('Данные 1st'!$IF$2:$IF$317))</f>
        <v>5</v>
      </c>
      <c r="ED76">
        <f>SUMPRODUCT(--('Данные 1st'!$S$2:$S$317=$A76),--ISNUMBER('Данные 1st'!$IP$2:$IP$317))</f>
        <v>5</v>
      </c>
      <c r="EE76">
        <f>SUMPRODUCT(--('Данные 1st'!$S$2:$S$317=$A76),--ISNUMBER('Данные 1st'!$IV$2:$IV$317))</f>
        <v>5</v>
      </c>
      <c r="EF76">
        <f>SUMPRODUCT(--('Данные 1st'!$S$2:$S$317=$A76),--ISNUMBER('Данные 1st'!$IW$2:$IW$317))</f>
        <v>5</v>
      </c>
      <c r="EG76">
        <f>SUMPRODUCT(--('Данные 1st'!$S$2:$S$317=$A76),--ISNUMBER('Данные 1st'!$IX$2:$IX$317))</f>
        <v>0</v>
      </c>
      <c r="EH76">
        <f>SUMPRODUCT(--('Данные 1st'!$S$2:$S$317=$A76),--ISNUMBER('Данные 1st'!$IY$2:$IY$317))</f>
        <v>0</v>
      </c>
      <c r="EI76">
        <f>SUMPRODUCT(--('Данные 1st'!$S$2:$S$317=$A76),--ISNUMBER('Данные 1st'!$JD$2:$JD$317))</f>
        <v>5</v>
      </c>
      <c r="EJ76">
        <f>SUMPRODUCT(--('Данные 1st'!$S$2:$S$317=$A76),--ISNUMBER('Данные 1st'!$JE$2:$JE$317))</f>
        <v>5</v>
      </c>
      <c r="EK76">
        <f>SUMPRODUCT(--('Данные 1st'!$S$2:$S$317=$A76),--ISNUMBER('Данные 1st'!$JF$2:$JF$317))</f>
        <v>5</v>
      </c>
      <c r="EL76">
        <f>SUMPRODUCT(--('Данные 1st'!$S$2:$S$317=$A76),--ISNUMBER('Данные 1st'!$JG$2:$JG$317))</f>
        <v>5</v>
      </c>
      <c r="EM76">
        <f>SUMPRODUCT(--('Данные 1st'!$S$2:$S$317=$A76),--ISNUMBER('Данные 1st'!$JH$2:$JH$317))</f>
        <v>5</v>
      </c>
      <c r="EN76">
        <f>SUMPRODUCT(--('Данные 1st'!$S$2:$S$317=$A76),--ISNUMBER('Данные 1st'!$JJ$2:$JJ$317))</f>
        <v>5</v>
      </c>
      <c r="EO76">
        <f>SUMPRODUCT(--('Данные 1st'!$S$2:$S$317=$A76),--ISNUMBER('Данные 1st'!$JK$2:$JK$317))</f>
        <v>5</v>
      </c>
      <c r="EP76">
        <f>SUMPRODUCT(--('Данные 1st'!$S$2:$S$317=$A76),--ISNUMBER('Данные 1st'!$JL$2:$JL$317))</f>
        <v>0</v>
      </c>
      <c r="EQ76">
        <f>SUMPRODUCT(--('Данные 1st'!$S$2:$S$317=$A76),--ISNUMBER('Данные 1st'!$JM$2:$JM$317))</f>
        <v>0</v>
      </c>
      <c r="ER76">
        <f>SUMPRODUCT(--('Данные 1st'!$S$2:$S$317=$A76),--ISNUMBER('Данные 1st'!$JN$2:$JN$317))</f>
        <v>5</v>
      </c>
      <c r="ES76">
        <f>SUMPRODUCT(--('Данные 1st'!$S$2:$S$317=$A76),--ISNUMBER('Данные 1st'!$JO$2:$JO$317))</f>
        <v>5</v>
      </c>
      <c r="ET76">
        <f>SUMPRODUCT(--('Данные 1st'!$S$2:$S$317=$A76),--ISNUMBER('Данные 1st'!$JP$2:$JP$317))</f>
        <v>5</v>
      </c>
      <c r="EU76">
        <f>SUMPRODUCT(--('Данные 1st'!$S$2:$S$317=$A76),--ISNUMBER('Данные 1st'!$JQ$2:$JQ$317))</f>
        <v>5</v>
      </c>
      <c r="EV76">
        <f>SUMPRODUCT(--('Данные 1st'!$S$2:$S$317=$A76),--ISNUMBER('Данные 1st'!$JR$2:$JR$317))</f>
        <v>5</v>
      </c>
      <c r="EW76">
        <f>SUMPRODUCT(--('Данные 1st'!$S$2:$S$317=$A76),--ISNUMBER('Данные 1st'!$JS$2:$JS$317))</f>
        <v>5</v>
      </c>
      <c r="EX76">
        <f>SUMPRODUCT(--('Данные 1st'!$S$2:$S$317=$A76),--ISNUMBER('Данные 1st'!$JT$2:$JT$317))</f>
        <v>0</v>
      </c>
      <c r="EY76">
        <f>SUMPRODUCT(--('Данные 1st'!$S$2:$S$317=$A76),--ISNUMBER('Данные 1st'!$JU$2:$JU$317))</f>
        <v>0</v>
      </c>
      <c r="EZ76">
        <f>SUMPRODUCT(--('Данные 1st'!$S$2:$S$317=$A76),--ISNUMBER('Данные 1st'!$JV$2:$JV$317))</f>
        <v>5</v>
      </c>
      <c r="FA76">
        <f>SUMPRODUCT(--('Данные 1st'!$S$2:$S$317=$A76),--ISNUMBER('Данные 1st'!$JW$2:$JW$317))</f>
        <v>0</v>
      </c>
      <c r="FB76">
        <f>SUMPRODUCT(--('Данные 1st'!$S$2:$S$317=$A76),--ISNUMBER('Данные 1st'!$JX$2:$JX$317))</f>
        <v>5</v>
      </c>
      <c r="FC76">
        <f>SUMPRODUCT(--('Данные 1st'!$S$2:$S$317=$A76),--ISNUMBER('Данные 1st'!$JY$2:$JY$317))</f>
        <v>0</v>
      </c>
      <c r="FD76">
        <f>SUMPRODUCT(--('Данные 1st'!$S$2:$S$317=$A76),--ISNUMBER('Данные 1st'!$JZ$2:$JZ$317))</f>
        <v>0</v>
      </c>
      <c r="FE76">
        <f>SUMPRODUCT(--('Данные 1st'!$S$2:$S$317=$A76),--ISNUMBER('Данные 1st'!$KA$2:$KA$317))</f>
        <v>5</v>
      </c>
      <c r="FF76">
        <f>SUMPRODUCT(--('Данные 1st'!$S$2:$S$317=$A76),--ISNUMBER('Данные 1st'!$KB$2:$KB$317))</f>
        <v>5</v>
      </c>
      <c r="FG76">
        <f>SUMPRODUCT(--('Данные 1st'!$S$2:$S$317=$A76),--ISNUMBER('Данные 1st'!$KC$2:$KC$317))</f>
        <v>5</v>
      </c>
      <c r="FH76">
        <f>SUMPRODUCT(--('Данные 1st'!$S$2:$S$317=$A76),--ISNUMBER('Данные 1st'!$KD$2:$KD$317))</f>
        <v>5</v>
      </c>
      <c r="FI76">
        <f>SUMPRODUCT(--('Данные 1st'!$S$2:$S$317=$A76),--ISNUMBER('Данные 1st'!$KE$2:$KE$317))</f>
        <v>0</v>
      </c>
      <c r="FJ76">
        <f>SUMPRODUCT(--('Данные 1st'!$S$2:$S$317=$A76),--ISNUMBER('Данные 1st'!$KF$2:$KF$317))</f>
        <v>5</v>
      </c>
      <c r="FK76">
        <f>SUMPRODUCT(--('Данные 1st'!$S$2:$S$317=$A76),--ISNUMBER('Данные 1st'!$KG$2:$KG$317))</f>
        <v>5</v>
      </c>
      <c r="FL76">
        <f>SUMPRODUCT(--('Данные 1st'!$S$2:$S$317=$A76),--ISNUMBER('Данные 1st'!$KH$2:$KH$317))</f>
        <v>5</v>
      </c>
      <c r="FM76">
        <f>SUMPRODUCT(--('Данные 1st'!$S$2:$S$317=$A76),--ISNUMBER('Данные 1st'!$KI$2:$KI$317))</f>
        <v>5</v>
      </c>
      <c r="FN76">
        <f>SUMPRODUCT(--('Данные 1st'!$S$2:$S$317=$A76),--ISNUMBER('Данные 1st'!$KJ$2:$KJ$317))</f>
        <v>5</v>
      </c>
      <c r="FO76">
        <f>SUMPRODUCT(--('Данные 1st'!$S$2:$S$317=$A76),--ISNUMBER('Данные 1st'!$KK$2:$KK$317))</f>
        <v>5</v>
      </c>
      <c r="FP76">
        <f>SUMPRODUCT(--('Данные 1st'!$S$2:$S$317=$A76),--ISNUMBER('Данные 1st'!$KL$2:$KL$317))</f>
        <v>5</v>
      </c>
      <c r="FQ76">
        <f>SUMPRODUCT(--('Данные 1st'!$S$2:$S$317=$A76),--ISNUMBER('Данные 1st'!$KM$2:$KM$317))</f>
        <v>5</v>
      </c>
      <c r="FR76">
        <f>SUMPRODUCT(--('Данные 1st'!$S$2:$S$317=$A76),--ISNUMBER('Данные 1st'!$KN$2:$KN$317))</f>
        <v>5</v>
      </c>
      <c r="FS76">
        <f>SUMPRODUCT(--('Данные 1st'!$S$2:$S$317=$A76),--ISNUMBER('Данные 1st'!$KR$2:$KR$317))</f>
        <v>5</v>
      </c>
      <c r="FT76">
        <f>SUMPRODUCT(--('Данные 1st'!$S$2:$S$317=$A76),--ISNUMBER('Данные 1st'!$KS$2:$KS$317))</f>
        <v>5</v>
      </c>
      <c r="FU76">
        <f>SUMPRODUCT(--('Данные 1st'!$S$2:$S$317=$A76),--ISNUMBER('Данные 1st'!$KT$2:$KT$317))</f>
        <v>5</v>
      </c>
      <c r="FV76">
        <f>SUMPRODUCT(--('Данные 1st'!$S$2:$S$317=$A76),--ISNUMBER('Данные 1st'!$KV$2:$KV$317))</f>
        <v>0</v>
      </c>
      <c r="FW76">
        <f>SUMPRODUCT(--('Данные 1st'!$S$2:$S$317=$A76),--ISNUMBER('Данные 1st'!$KW$2:$KW$317))</f>
        <v>0</v>
      </c>
      <c r="FX76">
        <f>SUMPRODUCT(--('Данные 1st'!$S$2:$S$317=$A76),--ISNUMBER('Данные 1st'!$KX$2:$KX$317))</f>
        <v>0</v>
      </c>
      <c r="FY76">
        <f>SUMPRODUCT(--('Данные 1st'!$S$2:$S$317=$A76),--ISNUMBER('Данные 1st'!$KY$2:$KY$317))</f>
        <v>0</v>
      </c>
      <c r="FZ76">
        <f>SUMPRODUCT(--('Данные 1st'!$S$2:$S$317=$A76),--ISNUMBER('Данные 1st'!$KZ$2:$KZ$317))</f>
        <v>0</v>
      </c>
      <c r="GA76">
        <f>SUMPRODUCT(--('Данные 1st'!$S$2:$S$317=$A76),--ISNUMBER('Данные 1st'!$LA$2:$LA$317))</f>
        <v>0</v>
      </c>
      <c r="GB76">
        <f>SUMPRODUCT(--('Данные 1st'!$S$2:$S$317=$A76),--ISNUMBER('Данные 1st'!$LB$2:$LB$317))</f>
        <v>0</v>
      </c>
      <c r="GC76">
        <f>SUMPRODUCT(--('Данные 1st'!$S$2:$S$317=$A76),--ISNUMBER('Данные 1st'!$LC$2:$LC$317))</f>
        <v>0</v>
      </c>
      <c r="GD76">
        <f>SUMPRODUCT(--('Данные 1st'!$S$2:$S$317=$A76),--ISNUMBER('Данные 1st'!$LD$2:$LD$317))</f>
        <v>0</v>
      </c>
      <c r="GE76">
        <f>SUMPRODUCT(--('Данные 1st'!$S$2:$S$317=$A76),--ISNUMBER('Данные 1st'!$LE$2:$LE$317))</f>
        <v>0</v>
      </c>
      <c r="GF76">
        <f>SUMPRODUCT(--('Данные 1st'!$S$2:$S$317=$A76),--ISNUMBER('Данные 1st'!$LF$2:$LF$317))</f>
        <v>0</v>
      </c>
      <c r="GG76">
        <f>SUMPRODUCT(--('Данные 1st'!$S$2:$S$317=$A76),--ISNUMBER('Данные 1st'!$LG$2:$LG$317))</f>
        <v>0</v>
      </c>
      <c r="GH76">
        <f>SUMPRODUCT(--('Данные 1st'!$S$2:$S$317=$A76),--ISNUMBER('Данные 1st'!$LH$2:$LH$317))</f>
        <v>0</v>
      </c>
      <c r="GI76">
        <f>SUMPRODUCT(--('Данные 1st'!$S$2:$S$317=$A76),--ISNUMBER('Данные 1st'!$LI$2:$LI$317))</f>
        <v>0</v>
      </c>
      <c r="GJ76">
        <f>SUMPRODUCT(--('Данные 1st'!$S$2:$S$317=$A76),--ISNUMBER('Данные 1st'!$LJ$2:$LJ$317))</f>
        <v>0</v>
      </c>
      <c r="GK76">
        <f>SUMPRODUCT(--('Данные 1st'!$S$2:$S$317=$A76),--ISNUMBER('Данные 1st'!$LK$2:$LK$317))</f>
        <v>5</v>
      </c>
      <c r="GL76">
        <f>SUMPRODUCT(--('Данные 1st'!$S$2:$S$317=$A76),--ISNUMBER('Данные 1st'!$LV$2:$LV$317))</f>
        <v>0</v>
      </c>
      <c r="GM76">
        <f>SUMPRODUCT(--('Данные 1st'!$S$2:$S$317=$A76),--ISNUMBER('Данные 1st'!$LW$2:$LW$317))</f>
        <v>0</v>
      </c>
      <c r="GN76">
        <f>SUMPRODUCT(--('Данные 1st'!$S$2:$S$317=$A76),--ISNUMBER('Данные 1st'!$LX$2:$LX$317))</f>
        <v>0</v>
      </c>
      <c r="GO76">
        <f>SUMPRODUCT(--('Данные 1st'!$S$2:$S$317=$A76),--ISNUMBER('Данные 1st'!$LY$2:$LY$317))</f>
        <v>0</v>
      </c>
      <c r="GP76">
        <f>SUMPRODUCT(--('Данные 1st'!$S$2:$S$317=$A76),--ISNUMBER('Данные 1st'!$LZ$2:$LZ$317))</f>
        <v>0</v>
      </c>
      <c r="GQ76">
        <f>SUMPRODUCT(--('Данные 1st'!$S$2:$S$317=$A76),--ISNUMBER('Данные 1st'!$PG$2:$PG$317))</f>
        <v>5</v>
      </c>
      <c r="GR76">
        <f>SUMPRODUCT(--('Данные 1st'!$S$2:$S$317=$A76),--ISNUMBER('Данные 1st'!$PX$2:$PX$317))</f>
        <v>5</v>
      </c>
      <c r="GS76">
        <f>SUMPRODUCT(--('Данные 1st'!$S$2:$S$317=$A76),--ISNUMBER('Данные 1st'!$PY$2:$PY$317))</f>
        <v>5</v>
      </c>
      <c r="GT76">
        <f>SUMPRODUCT(--('Данные 1st'!$S$2:$S$317=$A76),--ISNUMBER('Данные 1st'!$QA$2:$QA$317))</f>
        <v>5</v>
      </c>
      <c r="GU76">
        <f>SUMPRODUCT(--('Данные 1st'!$S$2:$S$317=$A76),--ISNUMBER('Данные 1st'!$QB$2:$QB$317))</f>
        <v>5</v>
      </c>
      <c r="GV76">
        <f>SUMPRODUCT(--('Данные 1st'!$S$2:$S$317=$A76),--ISNUMBER('Данные 1st'!$QC$2:$QC$317))</f>
        <v>5</v>
      </c>
      <c r="GW76">
        <f>SUMPRODUCT(--('Данные 1st'!$S$2:$S$317=$A76),--ISNUMBER('Данные 1st'!$QD$2:$QD$317))</f>
        <v>5</v>
      </c>
      <c r="GX76">
        <f>SUMPRODUCT(--('Данные 1st'!$S$2:$S$317=$A76),--ISNUMBER('Данные 1st'!$QF$2:$QF$317))</f>
        <v>5</v>
      </c>
      <c r="GY76">
        <f>SUMPRODUCT(--('Данные 1st'!$S$2:$S$317=$A76),--ISNUMBER('Данные 1st'!$QG$2:$QG$317))</f>
        <v>5</v>
      </c>
      <c r="GZ76">
        <f>SUMPRODUCT(--('Данные 1st'!$S$2:$S$317=$A76),--ISNUMBER('Данные 1st'!$QH$2:$QH$317))</f>
        <v>5</v>
      </c>
      <c r="HA76">
        <f>SUMPRODUCT(--('Данные 1st'!$S$2:$S$317=$A76),--ISNUMBER('Данные 1st'!$QI$2:$QI$317))</f>
        <v>5</v>
      </c>
      <c r="HB76">
        <f>SUMPRODUCT(--('Данные 1st'!$S$2:$S$317=$A76),--ISNUMBER('Данные 1st'!$QK$2:$QK$317))</f>
        <v>5</v>
      </c>
      <c r="HC76">
        <f>SUMPRODUCT(--('Данные 1st'!$S$2:$S$317=$A76),--ISNUMBER('Данные 1st'!$QL$2:$QL$317))</f>
        <v>5</v>
      </c>
      <c r="HD76">
        <f>SUMPRODUCT(--('Данные 1st'!$S$2:$S$317=$A76),--ISNUMBER('Данные 1st'!$QM$2:$QM$317))</f>
        <v>5</v>
      </c>
      <c r="HE76">
        <f>SUMPRODUCT(--('Данные 1st'!$S$2:$S$317=$A76),--ISNUMBER('Данные 1st'!$QN$2:$QN$317))</f>
        <v>5</v>
      </c>
      <c r="HF76">
        <f>SUMPRODUCT(--('Данные 1st'!$S$2:$S$317=$A76),--ISNUMBER('Данные 1st'!$QP$2:$QP$317))</f>
        <v>5</v>
      </c>
      <c r="HG76">
        <f>SUMPRODUCT(--('Данные 1st'!$S$2:$S$317=$A76),--ISNUMBER('Данные 1st'!$QQ$2:$QQ$317))</f>
        <v>5</v>
      </c>
      <c r="HH76">
        <f>SUMPRODUCT(--('Данные 1st'!$S$2:$S$317=$A76),--ISNUMBER('Данные 1st'!$QR$2:$QR$317))</f>
        <v>5</v>
      </c>
      <c r="HI76">
        <f>SUMPRODUCT(--('Данные 1st'!$S$2:$S$317=$A76),--ISNUMBER('Данные 1st'!$QS$2:$QS$317))</f>
        <v>5</v>
      </c>
      <c r="HJ76">
        <f>SUMPRODUCT(--('Данные 1st'!$S$2:$S$317=$A76),--ISNUMBER('Данные 1st'!$QU$2:$QU$317))</f>
        <v>5</v>
      </c>
      <c r="HK76">
        <f>SUMPRODUCT(--('Данные 1st'!$S$2:$S$317=$A76),--ISNUMBER('Данные 1st'!$QV$2:$QV$317))</f>
        <v>5</v>
      </c>
      <c r="HL76">
        <f>SUMPRODUCT(--('Данные 1st'!$S$2:$S$317=$A76),--ISNUMBER('Данные 1st'!$QW$2:$QW$317))</f>
        <v>5</v>
      </c>
      <c r="HM76">
        <f>SUMPRODUCT(--('Данные 1st'!$S$2:$S$317=$A76),--ISNUMBER('Данные 1st'!$QX$2:$QX$317))</f>
        <v>5</v>
      </c>
      <c r="HN76">
        <f>SUMPRODUCT(--('Данные 1st'!$S$2:$S$317=$A76),--ISNUMBER('Данные 1st'!$QZ$2:$QZ$317))</f>
        <v>5</v>
      </c>
      <c r="HO76">
        <f>SUMPRODUCT(--('Данные 1st'!$S$2:$S$317=$A76),--ISNUMBER('Данные 1st'!$RA$2:$RA$317))</f>
        <v>5</v>
      </c>
      <c r="HP76">
        <f>SUMPRODUCT(--('Данные 1st'!$S$2:$S$317=$A76),--ISNUMBER('Данные 1st'!$RB$2:$RB$317))</f>
        <v>5</v>
      </c>
      <c r="HQ76">
        <f>SUMPRODUCT(--('Данные 1st'!$S$2:$S$317=$A76),--ISNUMBER('Данные 1st'!$RD$2:$RD$317))</f>
        <v>0</v>
      </c>
      <c r="HR76">
        <f>SUMPRODUCT(--('Данные 1st'!$S$2:$S$317=$A76),--ISNUMBER('Данные 1st'!$RE$2:$RE$317))</f>
        <v>5</v>
      </c>
      <c r="HS76">
        <f>SUMPRODUCT(--('Данные 1st'!$S$2:$S$317=$A76),--ISNUMBER('Данные 1st'!$RF$2:$RF$317))</f>
        <v>5</v>
      </c>
      <c r="HT76">
        <f>SUMPRODUCT(--('Данные 1st'!$S$2:$S$317=$A76),--ISNUMBER('Данные 1st'!$RG$2:$RG$317))</f>
        <v>0</v>
      </c>
      <c r="HU76">
        <f>SUMPRODUCT(--('Данные 1st'!$S$2:$S$317=$A76),--ISNUMBER('Данные 1st'!$RH$2:$RH$317))</f>
        <v>5</v>
      </c>
      <c r="HV76">
        <f>SUMPRODUCT(--('Данные 1st'!$S$2:$S$317=$A76),--ISNUMBER('Данные 1st'!$RI$2:$RI$317))</f>
        <v>0</v>
      </c>
      <c r="HW76">
        <f>SUMPRODUCT(--('Данные 1st'!$S$2:$S$317=$A76),--ISNUMBER('Данные 1st'!$RJ$2:$RJ$317))</f>
        <v>5</v>
      </c>
      <c r="HX76">
        <f>SUMPRODUCT(--('Данные 1st'!$S$2:$S$317=$A76),--ISNUMBER('Данные 1st'!$RK$2:$RK$317))</f>
        <v>5</v>
      </c>
      <c r="HY76">
        <f>SUMPRODUCT(--('Данные 1st'!$S$2:$S$317=$A76),--ISNUMBER('Данные 1st'!$RL$2:$RL$317))</f>
        <v>5</v>
      </c>
      <c r="HZ76">
        <f>SUMPRODUCT(--('Данные 1st'!$S$2:$S$317=$A76),--ISNUMBER('Данные 1st'!$RM$2:$RM$317))</f>
        <v>5</v>
      </c>
      <c r="IA76">
        <f>SUMPRODUCT(--('Данные 1st'!$S$2:$S$317=$A76),--ISNUMBER('Данные 1st'!$RN$2:$RN$317))</f>
        <v>0</v>
      </c>
      <c r="IB76">
        <f>SUMPRODUCT(--('Данные 1st'!$S$2:$S$317=$A76),--ISNUMBER('Данные 1st'!$RO$2:$RO$317))</f>
        <v>5</v>
      </c>
      <c r="IC76">
        <f>SUMPRODUCT(--('Данные 1st'!$S$2:$S$317=$A76),--ISNUMBER('Данные 1st'!$RP$2:$RP$317))</f>
        <v>5</v>
      </c>
      <c r="ID76">
        <f>SUMPRODUCT(--('Данные 1st'!$S$2:$S$317=$A76),--ISNUMBER('Данные 1st'!$RQ$2:$RQ$317))</f>
        <v>5</v>
      </c>
      <c r="IE76">
        <f>SUMPRODUCT(--('Данные 1st'!$S$2:$S$317=$A76),--ISNUMBER('Данные 1st'!$RR$2:$RR$317))</f>
        <v>5</v>
      </c>
      <c r="IF76">
        <f>SUMPRODUCT(--('Данные 1st'!$S$2:$S$317=$A76),--ISNUMBER('Данные 1st'!$RS$2:$RS$317))</f>
        <v>0</v>
      </c>
      <c r="IG76">
        <f>SUMPRODUCT(--('Данные 1st'!$S$2:$S$317=$A76),--ISNUMBER('Данные 1st'!$RT$2:$RT$317))</f>
        <v>5</v>
      </c>
      <c r="IH76">
        <f>SUMPRODUCT(--('Данные 1st'!$S$2:$S$317=$A76),--ISNUMBER('Данные 1st'!$RU$2:$RU$317))</f>
        <v>5</v>
      </c>
      <c r="II76">
        <f>SUMPRODUCT(--('Данные 1st'!$S$2:$S$317=$A76),--ISNUMBER('Данные 1st'!$RX$2:$RX$317))</f>
        <v>5</v>
      </c>
      <c r="IJ76">
        <f>SUMPRODUCT(--('Данные 1st'!$S$2:$S$317=$A76),--ISNUMBER('Данные 1st'!$RY$2:$RY$317))</f>
        <v>5</v>
      </c>
      <c r="IK76">
        <f>SUMPRODUCT(--('Данные 1st'!$S$2:$S$317=$A76),--ISNUMBER('Данные 1st'!$SA$2:$SA$317))</f>
        <v>5</v>
      </c>
      <c r="IL76">
        <f>SUMPRODUCT(--('Данные 1st'!$S$2:$S$317=$A76),--ISNUMBER('Данные 1st'!$SD$2:$SD$317))</f>
        <v>5</v>
      </c>
      <c r="IM76">
        <f>SUMPRODUCT(--('Данные 1st'!$S$2:$S$317=$A76),--ISNUMBER('Данные 1st'!$SG$2:$SG$317))</f>
        <v>5</v>
      </c>
      <c r="IN76">
        <f>SUMPRODUCT(--('Данные 1st'!$S$2:$S$317=$A76),--ISNUMBER('Данные 1st'!$SH$2:$SH$317))</f>
        <v>5</v>
      </c>
      <c r="IO76">
        <f>SUMPRODUCT(--('Данные 1st'!$S$2:$S$317=$A76),--ISNUMBER('Данные 1st'!$SI$2:$SI$317))</f>
        <v>5</v>
      </c>
      <c r="IP76">
        <f>SUMPRODUCT(--('Данные 1st'!$S$2:$S$317=$A76),--ISNUMBER('Данные 1st'!$SJ$2:$SJ$317))</f>
        <v>5</v>
      </c>
      <c r="IQ76">
        <f>SUMPRODUCT(--('Данные 1st'!$S$2:$S$317=$A76),--ISNUMBER('Данные 1st'!$SK$2:$SK$317))</f>
        <v>5</v>
      </c>
      <c r="IR76">
        <f>SUMPRODUCT(--('Данные 1st'!$S$2:$S$317=$A76),--ISNUMBER('Данные 1st'!$SL$2:$SL$317))</f>
        <v>5</v>
      </c>
      <c r="IS76">
        <f>SUMPRODUCT(--('Данные 1st'!$S$2:$S$317=$A76),--ISNUMBER('Данные 1st'!$SM$2:$SM$317))</f>
        <v>5</v>
      </c>
      <c r="IT76">
        <f>SUMPRODUCT(--('Данные 1st'!$S$2:$S$317=$A76),--ISNUMBER('Данные 1st'!$SN$2:$SN$317))</f>
        <v>5</v>
      </c>
      <c r="IU76">
        <f>SUMPRODUCT(--('Данные 1st'!$S$2:$S$317=$A76),--ISNUMBER('Данные 1st'!$SO$2:$SO$317))</f>
        <v>5</v>
      </c>
      <c r="IV76">
        <f>SUMPRODUCT(--('Данные 1st'!$S$2:$S$317=$A76),--ISNUMBER('Данные 1st'!$SP$2:$SP$317))</f>
        <v>5</v>
      </c>
      <c r="IW76">
        <f>SUMPRODUCT(--('Данные 1st'!$S$2:$S$317=$A76),--ISNUMBER('Данные 1st'!$SQ$2:$SQ$317))</f>
        <v>5</v>
      </c>
      <c r="IX76">
        <f>SUMPRODUCT(--('Данные 1st'!$S$2:$S$317=$A76),--ISNUMBER('Данные 1st'!$SR$2:$SR$317))</f>
        <v>5</v>
      </c>
      <c r="IY76">
        <f>SUMPRODUCT(--('Данные 1st'!$S$2:$S$317=$A76),--ISNUMBER('Данные 1st'!$SS$2:$SS$317))</f>
        <v>5</v>
      </c>
      <c r="IZ76">
        <f>SUMPRODUCT(--('Данные 1st'!$S$2:$S$317=$A76),--ISNUMBER('Данные 1st'!$ST$2:$ST$317))</f>
        <v>5</v>
      </c>
      <c r="JA76">
        <f>SUMPRODUCT(--('Данные 1st'!$S$2:$S$317=$A76),--ISNUMBER('Данные 1st'!$SU$2:$SU$317))</f>
        <v>5</v>
      </c>
      <c r="JB76">
        <f>SUMPRODUCT(--('Данные 1st'!$S$2:$S$317=$A76),--ISNUMBER('Данные 1st'!$SV$2:$SV$317))</f>
        <v>5</v>
      </c>
      <c r="JC76">
        <f>SUMPRODUCT(--('Данные 1st'!$S$2:$S$317=$A76),--ISNUMBER('Данные 1st'!$SW$2:$SW$317))</f>
        <v>5</v>
      </c>
      <c r="JD76">
        <f>SUMPRODUCT(--('Данные 1st'!$S$2:$S$317=$A76),--ISNUMBER('Данные 1st'!$SX$2:$SX$317))</f>
        <v>5</v>
      </c>
      <c r="JE76">
        <f>SUMPRODUCT(--('Данные 1st'!$S$2:$S$317=$A76),--ISNUMBER('Данные 1st'!$SY$2:$SY$317))</f>
        <v>5</v>
      </c>
      <c r="JF76">
        <f>SUMPRODUCT(--('Данные 1st'!$S$2:$S$317=$A76),--ISNUMBER('Данные 1st'!$SZ$2:$SZ$317))</f>
        <v>5</v>
      </c>
      <c r="JG76">
        <f>SUMPRODUCT(--('Данные 1st'!$S$2:$S$317=$A76),--ISNUMBER('Данные 1st'!$TA$2:$TA$317))</f>
        <v>0</v>
      </c>
      <c r="JH76">
        <f>SUMPRODUCT(--('Данные 1st'!$S$2:$S$317=$A76),--ISNUMBER('Данные 1st'!$TB$2:$TB$317))</f>
        <v>5</v>
      </c>
      <c r="JI76">
        <f>SUMPRODUCT(--('Данные 1st'!$S$2:$S$317=$A76),--ISNUMBER('Данные 1st'!$TC$2:$TC$317))</f>
        <v>5</v>
      </c>
      <c r="JJ76">
        <f>SUMPRODUCT(--('Данные 1st'!$S$2:$S$317=$A76),--ISNUMBER('Данные 1st'!$TD$2:$TD$317))</f>
        <v>5</v>
      </c>
      <c r="JK76">
        <f>SUMPRODUCT(--('Данные 1st'!$S$2:$S$317=$A76),--ISNUMBER('Данные 1st'!$TN$2:$TN$317))</f>
        <v>5</v>
      </c>
      <c r="JQ76">
        <f>SUMPRODUCT(--('Данные 2st'!$Q$2:$Q$317=$A76),--ISNUMBER('Данные 2st'!$AC$2:$AC$317))</f>
        <v>5</v>
      </c>
      <c r="JR76">
        <f>SUMPRODUCT(--('Данные 2st'!$Q$2:$Q$317=$A76),--ISNUMBER('Данные 2st'!$AF$2:$AF$317))</f>
        <v>5</v>
      </c>
      <c r="JS76">
        <f>SUMPRODUCT(--('Данные 2st'!$Q$2:$Q$317=$A76),--ISNUMBER('Данные 2st'!$AW$2:$AW$317))</f>
        <v>5</v>
      </c>
      <c r="JT76">
        <f>SUMPRODUCT(--('Данные 2st'!$Q$2:$Q$317=$A76),--ISNUMBER('Данные 2st'!$AX$2:$AX$317))</f>
        <v>5</v>
      </c>
      <c r="JU76">
        <f>SUMPRODUCT(--('Данные 2st'!$Q$2:$Q$317=$A76),--ISNUMBER('Данные 2st'!$AY$2:$AY$317))</f>
        <v>5</v>
      </c>
      <c r="JV76">
        <f>SUMPRODUCT(--('Данные 2st'!$Q$2:$Q$317=$A76),--ISNUMBER('Данные 2st'!$AZ$2:$AZ$317))</f>
        <v>5</v>
      </c>
      <c r="JW76">
        <f>SUMPRODUCT(--('Данные 2st'!$Q$2:$Q$317=$A76),--ISNUMBER('Данные 2st'!$BA$2:$BA$317))</f>
        <v>0</v>
      </c>
      <c r="JX76">
        <f>SUMPRODUCT(--('Данные 2st'!$Q$2:$Q$317=$A76),--ISNUMBER('Данные 2st'!$BB$2:$BB$317))</f>
        <v>0</v>
      </c>
      <c r="JY76">
        <f>SUMPRODUCT(--('Данные 2st'!$Q$2:$Q$317=$A76),--ISNUMBER('Данные 2st'!$BC$2:$BC$317))</f>
        <v>0</v>
      </c>
      <c r="JZ76">
        <f>SUMPRODUCT(--('Данные 2st'!$Q$2:$Q$317=$A76),--ISNUMBER('Данные 2st'!$BH$2:$BH$317))</f>
        <v>5</v>
      </c>
      <c r="KA76">
        <f>SUMPRODUCT(--('Данные 2st'!$Q$2:$Q$317=$A76),--ISNUMBER('Данные 2st'!$BI$2:$BI$317))</f>
        <v>5</v>
      </c>
      <c r="KB76">
        <f>SUMPRODUCT(--('Данные 2st'!$Q$2:$Q$317=$A76),--ISNUMBER('Данные 2st'!$BJ$2:$BJ$317))</f>
        <v>5</v>
      </c>
      <c r="KC76">
        <f>SUMPRODUCT(--('Данные 2st'!$Q$2:$Q$317=$A76),--ISNUMBER('Данные 2st'!$BK$2:$BK$317))</f>
        <v>5</v>
      </c>
      <c r="KD76">
        <f>SUMPRODUCT(--('Данные 2st'!$Q$2:$Q$317=$A76),--ISNUMBER('Данные 2st'!$BL$2:$BL$317))</f>
        <v>5</v>
      </c>
      <c r="KE76">
        <f>SUMPRODUCT(--('Данные 2st'!$Q$2:$Q$317=$A76),--ISNUMBER('Данные 2st'!$BM$2:$BM$317))</f>
        <v>5</v>
      </c>
      <c r="KF76">
        <f>SUMPRODUCT(--('Данные 2st'!$Q$2:$Q$317=$A76),--ISNUMBER('Данные 2st'!$BN$2:$BN$317))</f>
        <v>5</v>
      </c>
      <c r="KG76">
        <f>SUMPRODUCT(--('Данные 2st'!$Q$2:$Q$317=$A76),--ISNUMBER('Данные 2st'!$BO$2:$BO$317))</f>
        <v>4</v>
      </c>
      <c r="KH76">
        <f>SUMPRODUCT(--('Данные 2st'!$Q$2:$Q$317=$A76),--ISNUMBER('Данные 2st'!$BP$2:$BP$317))</f>
        <v>5</v>
      </c>
      <c r="KI76">
        <f>SUMPRODUCT(--('Данные 2st'!$Q$2:$Q$317=$A76),--ISNUMBER('Данные 2st'!$BR$2:$BR$317))</f>
        <v>5</v>
      </c>
      <c r="KJ76">
        <f>SUMPRODUCT(--('Данные 2st'!$Q$2:$Q$317=$A76),--ISNUMBER('Данные 2st'!$BS$2:$BS$317))</f>
        <v>5</v>
      </c>
      <c r="KK76">
        <f>SUMPRODUCT(--('Данные 2st'!$Q$2:$Q$317=$A76),--ISNUMBER('Данные 2st'!$BT$2:$BT$317))</f>
        <v>5</v>
      </c>
      <c r="KL76">
        <f>SUMPRODUCT(--('Данные 2st'!$Q$2:$Q$317=$A76),--ISNUMBER('Данные 2st'!$CV$2:$CV$317))</f>
        <v>5</v>
      </c>
      <c r="KM76">
        <f>SUMPRODUCT(--('Данные 2st'!$Q$2:$Q$317=$A76),--ISNUMBER('Данные 2st'!$CW$2:$CW$317))</f>
        <v>5</v>
      </c>
      <c r="KN76">
        <f>SUMPRODUCT(--('Данные 2st'!$Q$2:$Q$317=$A76),--ISNUMBER('Данные 2st'!$CX$2:$CX$317))</f>
        <v>5</v>
      </c>
      <c r="KO76">
        <f>SUMPRODUCT(--('Данные 2st'!$Q$2:$Q$317=$A76),--ISNUMBER('Данные 2st'!$CY$2:$CY$317))</f>
        <v>5</v>
      </c>
      <c r="KP76">
        <f>SUMPRODUCT(--('Данные 2st'!$Q$2:$Q$317=$A76),--ISNUMBER('Данные 2st'!$CZ$2:$CZ$317))</f>
        <v>5</v>
      </c>
      <c r="KQ76">
        <f>SUMPRODUCT(--('Данные 2st'!$Q$2:$Q$317=$A76),--ISNUMBER('Данные 2st'!$DA$2:$DA$317))</f>
        <v>5</v>
      </c>
      <c r="KR76">
        <f>SUMPRODUCT(--('Данные 2st'!$Q$2:$Q$317=$A76),--ISNUMBER('Данные 2st'!$DB$2:$DB$317))</f>
        <v>5</v>
      </c>
      <c r="KS76">
        <f>SUMPRODUCT(--('Данные 2st'!$Q$2:$Q$317=$A76),--ISNUMBER('Данные 2st'!$DC$2:$DC$317))</f>
        <v>5</v>
      </c>
      <c r="KT76">
        <f>SUMPRODUCT(--('Данные 2st'!$Q$2:$Q$317=$A76),--ISNUMBER('Данные 2st'!$DD$2:$DD$317))</f>
        <v>5</v>
      </c>
      <c r="KU76">
        <f>SUMPRODUCT(--('Данные 2st'!$Q$2:$Q$317=$A76),--ISNUMBER('Данные 2st'!$DE$2:$DE$317))</f>
        <v>5</v>
      </c>
      <c r="KV76">
        <f>SUMPRODUCT(--('Данные 2st'!$Q$2:$Q$317=$A76),--ISNUMBER('Данные 2st'!$DF$2:$DF$317))</f>
        <v>5</v>
      </c>
      <c r="KW76">
        <f>SUMPRODUCT(--('Данные 2st'!$Q$2:$Q$317=$A76),--ISNUMBER('Данные 2st'!$DG$2:$DG$317))</f>
        <v>5</v>
      </c>
      <c r="KX76">
        <f>SUMPRODUCT(--('Данные 2st'!$Q$2:$Q$317=$A76),--ISNUMBER('Данные 2st'!$DH$2:$DH$317))</f>
        <v>5</v>
      </c>
      <c r="KY76">
        <f>SUMPRODUCT(--('Данные 2st'!$Q$2:$Q$317=$A76),--ISNUMBER('Данные 2st'!$DI$2:$DI$317))</f>
        <v>0</v>
      </c>
      <c r="KZ76">
        <f>SUMPRODUCT(--('Данные 2st'!$Q$2:$Q$317=$A76),--ISNUMBER('Данные 2st'!$DK$2:$DK$317))</f>
        <v>5</v>
      </c>
      <c r="LA76">
        <f>SUMPRODUCT(--('Данные 2st'!$Q$2:$Q$317=$A76),--ISNUMBER('Данные 2st'!$DM$2:$DM$317))</f>
        <v>5</v>
      </c>
      <c r="LB76">
        <f>SUMPRODUCT(--('Данные 2st'!$Q$2:$Q$317=$A76),--ISNUMBER('Данные 2st'!$DN$2:$DN$317))</f>
        <v>5</v>
      </c>
      <c r="LC76">
        <f>SUMPRODUCT(--('Данные 2st'!$Q$2:$Q$317=$A76),--ISNUMBER('Данные 2st'!$DO$2:$DO$317))</f>
        <v>5</v>
      </c>
      <c r="LD76">
        <f>SUMPRODUCT(--('Данные 2st'!$Q$2:$Q$317=$A76),--ISNUMBER('Данные 2st'!$DP$2:$DP$317))</f>
        <v>5</v>
      </c>
      <c r="LE76">
        <f>SUMPRODUCT(--('Данные 2st'!$Q$2:$Q$317=$A76),--ISNUMBER('Данные 2st'!$DQ$2:$DQ$317))</f>
        <v>5</v>
      </c>
      <c r="LF76">
        <f>SUMPRODUCT(--('Данные 2st'!$Q$2:$Q$317=$A76),--ISNUMBER('Данные 2st'!$DS$2:$DS$317))</f>
        <v>5</v>
      </c>
      <c r="LG76">
        <f>SUMPRODUCT(--('Данные 2st'!$Q$2:$Q$317=$A76),--ISNUMBER('Данные 2st'!$DU$2:$DU$317))</f>
        <v>5</v>
      </c>
      <c r="LH76">
        <f>SUMPRODUCT(--('Данные 2st'!$Q$2:$Q$317=$A76),--ISNUMBER('Данные 2st'!$DV$2:$DV$317))</f>
        <v>5</v>
      </c>
      <c r="LI76">
        <f>SUMPRODUCT(--('Данные 2st'!$Q$2:$Q$317=$A76),--ISNUMBER('Данные 2st'!$DW$2:$DW$317))</f>
        <v>5</v>
      </c>
      <c r="LJ76">
        <f>SUMPRODUCT(--('Данные 2st'!$Q$2:$Q$317=$A76),--ISNUMBER('Данные 2st'!$DX$2:$DX$317))</f>
        <v>5</v>
      </c>
      <c r="LK76">
        <f>SUMPRODUCT(--('Данные 2st'!$Q$2:$Q$317=$A76),--ISNUMBER('Данные 2st'!$DY$2:$DY$317))</f>
        <v>5</v>
      </c>
      <c r="LL76">
        <f>SUMPRODUCT(--('Данные 2st'!$Q$2:$Q$317=$A76),--ISNUMBER('Данные 2st'!$EA$2:$EA$317))</f>
        <v>5</v>
      </c>
      <c r="LM76">
        <f>SUMPRODUCT(--('Данные 2st'!$Q$2:$Q$317=$A76),--ISNUMBER('Данные 2st'!$EC$2:$EC$317))</f>
        <v>5</v>
      </c>
      <c r="LN76">
        <f>SUMPRODUCT(--('Данные 2st'!$Q$2:$Q$317=$A76),--ISNUMBER('Данные 2st'!$ED$2:$ED$317))</f>
        <v>5</v>
      </c>
      <c r="LO76">
        <f>SUMPRODUCT(--('Данные 2st'!$Q$2:$Q$317=$A76),--ISNUMBER('Данные 2st'!$EE$2:$EE$317))</f>
        <v>5</v>
      </c>
      <c r="LP76">
        <f>SUMPRODUCT(--('Данные 2st'!$Q$2:$Q$317=$A76),--ISNUMBER('Данные 2st'!$EG$2:$EG$317))</f>
        <v>5</v>
      </c>
      <c r="LQ76">
        <f>SUMPRODUCT(--('Данные 2st'!$Q$2:$Q$317=$A76),--ISNUMBER('Данные 2st'!$EI$2:$EI$317))</f>
        <v>5</v>
      </c>
      <c r="LR76">
        <f>SUMPRODUCT(--('Данные 2st'!$Q$2:$Q$317=$A76),--ISNUMBER('Данные 2st'!$EJ$2:$EJ$317))</f>
        <v>0</v>
      </c>
      <c r="LS76">
        <f>SUMPRODUCT(--('Данные 2st'!$Q$2:$Q$317=$A76),--ISNUMBER('Данные 2st'!$EK$2:$EK$317))</f>
        <v>0</v>
      </c>
      <c r="LT76">
        <f>SUMPRODUCT(--('Данные 2st'!$Q$2:$Q$317=$A76),--ISNUMBER('Данные 2st'!$EM$2:$EM$317))</f>
        <v>5</v>
      </c>
      <c r="LU76">
        <f>SUMPRODUCT(--('Данные 2st'!$Q$2:$Q$317=$A76),--ISNUMBER('Данные 2st'!$EN$2:$EN$317))</f>
        <v>5</v>
      </c>
      <c r="LV76">
        <f>SUMPRODUCT(--('Данные 2st'!$Q$2:$Q$317=$A76),--ISNUMBER('Данные 2st'!$EO$2:$EO$317))</f>
        <v>5</v>
      </c>
      <c r="LW76">
        <f>SUMPRODUCT(--('Данные 2st'!$Q$2:$Q$317=$A76),--ISNUMBER('Данные 2st'!$EP$2:$EP$317))</f>
        <v>5</v>
      </c>
      <c r="LX76">
        <f>SUMPRODUCT(--('Данные 2st'!$Q$2:$Q$317=$A76),--ISNUMBER('Данные 2st'!$EQ$2:$EQ$317))</f>
        <v>5</v>
      </c>
      <c r="LY76">
        <f>SUMPRODUCT(--('Данные 2st'!$Q$2:$Q$317=$A76),--ISNUMBER('Данные 2st'!$ER$2:$ER$317))</f>
        <v>5</v>
      </c>
      <c r="LZ76">
        <f>SUMPRODUCT(--('Данные 2st'!$Q$2:$Q$317=$A76),--ISNUMBER('Данные 2st'!$ES$2:$ES$317))</f>
        <v>5</v>
      </c>
      <c r="MA76">
        <f>SUMPRODUCT(--('Данные 2st'!$Q$2:$Q$317=$A76),--ISNUMBER('Данные 2st'!$ET$2:$ET$317))</f>
        <v>5</v>
      </c>
      <c r="MB76">
        <f>SUMPRODUCT(--('Данные 2st'!$Q$2:$Q$317=$A76),--ISNUMBER('Данные 2st'!$EU$2:$EU$317))</f>
        <v>5</v>
      </c>
      <c r="MC76">
        <f>SUMPRODUCT(--('Данные 2st'!$Q$2:$Q$317=$A76),--ISNUMBER('Данные 2st'!$EV$2:$EV$317))</f>
        <v>5</v>
      </c>
      <c r="MD76">
        <f>SUMPRODUCT(--('Данные 2st'!$Q$2:$Q$317=$A76),--ISNUMBER('Данные 2st'!$EW$2:$EW$317))</f>
        <v>5</v>
      </c>
      <c r="ME76">
        <f>SUMPRODUCT(--('Данные 2st'!$Q$2:$Q$317=$A76),--ISNUMBER('Данные 2st'!$EY$2:$EY$317))</f>
        <v>5</v>
      </c>
      <c r="MF76">
        <f>SUMPRODUCT(--('Данные 2st'!$Q$2:$Q$317=$A76),--ISNUMBER('Данные 2st'!$FA$2:$FA$317))</f>
        <v>5</v>
      </c>
      <c r="MG76">
        <f>SUMPRODUCT(--('Данные 2st'!$Q$2:$Q$317=$A76),--ISNUMBER('Данные 2st'!$FB$2:$FB$317))</f>
        <v>5</v>
      </c>
      <c r="MH76">
        <f>SUMPRODUCT(--('Данные 2st'!$Q$2:$Q$317=$A76),--ISNUMBER('Данные 2st'!$FC$2:$FC$317))</f>
        <v>5</v>
      </c>
      <c r="MI76">
        <f>SUMPRODUCT(--('Данные 2st'!$Q$2:$Q$317=$A76),--ISNUMBER('Данные 2st'!$FD$2:$FD$317))</f>
        <v>5</v>
      </c>
      <c r="MJ76">
        <f>SUMPRODUCT(--('Данные 2st'!$Q$2:$Q$317=$A76),--ISNUMBER('Данные 2st'!$FE$2:$FE$317))</f>
        <v>5</v>
      </c>
      <c r="MK76">
        <f>SUMPRODUCT(--('Данные 2st'!$Q$2:$Q$317=$A76),--ISNUMBER('Данные 2st'!$FG$2:$FG$317))</f>
        <v>5</v>
      </c>
      <c r="ML76">
        <f>SUMPRODUCT(--('Данные 2st'!$Q$2:$Q$317=$A76),--ISNUMBER('Данные 2st'!$FI$2:$FI$317))</f>
        <v>5</v>
      </c>
      <c r="MM76">
        <f>SUMPRODUCT(--('Данные 2st'!$Q$2:$Q$317=$A76),--ISNUMBER('Данные 2st'!$FJ$2:$FJ$317))</f>
        <v>5</v>
      </c>
      <c r="MN76">
        <f>SUMPRODUCT(--('Данные 2st'!$Q$2:$Q$317=$A76),--ISNUMBER('Данные 2st'!$FK$2:$FK$317))</f>
        <v>5</v>
      </c>
      <c r="MO76">
        <f>SUMPRODUCT(--('Данные 2st'!$Q$2:$Q$317=$A76),--ISNUMBER('Данные 2st'!$FP$2:$FP$317))</f>
        <v>5</v>
      </c>
      <c r="MP76">
        <f>SUMPRODUCT(--('Данные 2st'!$Q$2:$Q$317=$A76),--ISNUMBER('Данные 2st'!$FQ$2:$FQ$317))</f>
        <v>5</v>
      </c>
      <c r="MQ76">
        <f>SUMPRODUCT(--('Данные 2st'!$Q$2:$Q$317=$A76),--ISNUMBER('Данные 2st'!$FS$2:$FS$317))</f>
        <v>5</v>
      </c>
      <c r="MR76">
        <f>SUMPRODUCT(--('Данные 2st'!$Q$2:$Q$317=$A76),--ISNUMBER('Данные 2st'!$FU$2:$FU$317))</f>
        <v>5</v>
      </c>
      <c r="MS76">
        <f>SUMPRODUCT(--('Данные 2st'!$Q$2:$Q$317=$A76),--ISNUMBER('Данные 2st'!$FV$2:$FV$317))</f>
        <v>5</v>
      </c>
      <c r="MT76">
        <f>SUMPRODUCT(--('Данные 2st'!$Q$2:$Q$317=$A76),--ISNUMBER('Данные 2st'!$FW$2:$FW$317))</f>
        <v>5</v>
      </c>
      <c r="MU76">
        <f>SUMPRODUCT(--('Данные 2st'!$Q$2:$Q$317=$A76),--ISNUMBER('Данные 2st'!$FY$2:$FY$317))</f>
        <v>5</v>
      </c>
      <c r="MV76">
        <f>SUMPRODUCT(--('Данные 2st'!$Q$2:$Q$317=$A76),--ISNUMBER('Данные 2st'!$GB$2:$GB$317))</f>
        <v>5</v>
      </c>
      <c r="MW76">
        <f>SUMPRODUCT(--('Данные 2st'!$Q$2:$Q$317=$A76),--ISNUMBER('Данные 2st'!$GC$2:$GC$317))</f>
        <v>5</v>
      </c>
      <c r="MX76">
        <f>SUMPRODUCT(--('Данные 2st'!$Q$2:$Q$317=$A76),--ISNUMBER('Данные 2st'!$GD$2:$GD$317))</f>
        <v>5</v>
      </c>
      <c r="MY76">
        <f>SUMPRODUCT(--('Данные 2st'!$Q$2:$Q$317=$A76),--ISNUMBER('Данные 2st'!$GN$2:$GN$317))</f>
        <v>0</v>
      </c>
      <c r="MZ76">
        <f>SUMPRODUCT(--('Данные 2st'!$Q$2:$Q$317=$A76),--ISNUMBER('Данные 2st'!$GQ$2:$GQ$317))</f>
        <v>5</v>
      </c>
      <c r="NA76">
        <f>SUMPRODUCT(--('Данные 2st'!$Q$2:$Q$317=$A76),--ISNUMBER('Данные 2st'!$GV$2:$GV$317))</f>
        <v>5</v>
      </c>
      <c r="NB76">
        <f>SUMPRODUCT(--('Данные 2st'!$Q$2:$Q$317=$A76),--ISNUMBER('Данные 2st'!$GW$2:$GW$317))</f>
        <v>5</v>
      </c>
      <c r="NC76">
        <f>SUMPRODUCT(--('Данные 2st'!$Q$2:$Q$317=$A76),--ISNUMBER('Данные 2st'!$GX$2:$GX$317))</f>
        <v>5</v>
      </c>
      <c r="ND76">
        <f>SUMPRODUCT(--('Данные 2st'!$Q$2:$Q$317=$A76),--ISNUMBER('Данные 2st'!$GY$2:$GY$317))</f>
        <v>5</v>
      </c>
      <c r="NE76">
        <f>SUMPRODUCT(--('Данные 2st'!$Q$2:$Q$317=$A76),--ISNUMBER('Данные 2st'!$GZ$2:$GZ$317))</f>
        <v>5</v>
      </c>
      <c r="NF76">
        <f>SUMPRODUCT(--('Данные 2st'!$Q$2:$Q$317=$A76),--ISNUMBER('Данные 2st'!$HA$2:$HA$317))</f>
        <v>5</v>
      </c>
      <c r="NG76">
        <f>SUMPRODUCT(--('Данные 2st'!$Q$2:$Q$317=$A76),--ISNUMBER('Данные 2st'!$HB$2:$HB$317))</f>
        <v>5</v>
      </c>
      <c r="NH76">
        <f>SUMPRODUCT(--('Данные 2st'!$Q$2:$Q$317=$A76),--ISNUMBER('Данные 2st'!$HC$2:$HC$317))</f>
        <v>5</v>
      </c>
      <c r="NI76">
        <f>SUMPRODUCT(--('Данные 2st'!$Q$2:$Q$317=$A76),--ISNUMBER('Данные 2st'!$HD$2:$HD$317))</f>
        <v>5</v>
      </c>
      <c r="NJ76">
        <f>SUMPRODUCT(--('Данные 2st'!$Q$2:$Q$317=$A76),--ISNUMBER('Данные 2st'!$HM$2:$HM$317))</f>
        <v>5</v>
      </c>
      <c r="NK76">
        <f>SUMPRODUCT(--('Данные 2st'!$Q$2:$Q$317=$A76),--ISNUMBER('Данные 2st'!$HR$2:$HR$317))</f>
        <v>5</v>
      </c>
      <c r="NL76">
        <f>SUMPRODUCT(--('Данные 2st'!$Q$2:$Q$317=$A76),--ISNUMBER('Данные 2st'!$HS$2:$HS$317))</f>
        <v>5</v>
      </c>
      <c r="NM76">
        <f>SUMPRODUCT(--('Данные 2st'!$Q$2:$Q$317=$A76),--ISNUMBER('Данные 2st'!$HT$2:$HT$317))</f>
        <v>5</v>
      </c>
      <c r="NN76">
        <f>SUMPRODUCT(--('Данные 2st'!$Q$2:$Q$317=$A76),--ISNUMBER('Данные 2st'!$HY$2:$HY$317))</f>
        <v>5</v>
      </c>
      <c r="NO76">
        <f>SUMPRODUCT(--('Данные 2st'!$Q$2:$Q$317=$A76),--ISNUMBER('Данные 2st'!$HZ$2:$HZ$317))</f>
        <v>5</v>
      </c>
      <c r="NP76">
        <f>SUMPRODUCT(--('Данные 2st'!$Q$2:$Q$317=$A76),--ISNUMBER('Данные 2st'!$IA$2:$IA$317))</f>
        <v>5</v>
      </c>
      <c r="NQ76">
        <f>SUMPRODUCT(--('Данные 2st'!$Q$2:$Q$317=$A76),--ISNUMBER('Данные 2st'!$IB$2:$IB$317))</f>
        <v>5</v>
      </c>
      <c r="NR76">
        <f>SUMPRODUCT(--('Данные 2st'!$Q$2:$Q$317=$A76),--ISNUMBER('Данные 2st'!$IC$2:$IC$317))</f>
        <v>0</v>
      </c>
      <c r="NS76">
        <f>SUMPRODUCT(--('Данные 2st'!$Q$2:$Q$317=$A76),--ISNUMBER('Данные 2st'!$ID$2:$ID$317))</f>
        <v>5</v>
      </c>
      <c r="NT76">
        <f>SUMPRODUCT(--('Данные 2st'!$Q$2:$Q$317=$A76),--ISNUMBER('Данные 2st'!$IE$2:$IE$317))</f>
        <v>5</v>
      </c>
      <c r="NU76">
        <f>SUMPRODUCT(--('Данные 2st'!$Q$2:$Q$317=$A76),--ISNUMBER('Данные 2st'!$IF$2:$IF$317))</f>
        <v>5</v>
      </c>
      <c r="NV76">
        <f>SUMPRODUCT(--('Данные 2st'!$Q$2:$Q$317=$A76),--ISNUMBER('Данные 2st'!$IG$2:$IG$317))</f>
        <v>5</v>
      </c>
      <c r="NW76">
        <f>SUMPRODUCT(--('Данные 2st'!$Q$2:$Q$317=$A76),--ISNUMBER('Данные 2st'!$IH$2:$IH$317))</f>
        <v>5</v>
      </c>
      <c r="NX76">
        <f>SUMPRODUCT(--('Данные 2st'!$Q$2:$Q$317=$A76),--ISNUMBER('Данные 2st'!$IJ$2:$IJ$317))</f>
        <v>5</v>
      </c>
      <c r="NY76">
        <f>SUMPRODUCT(--('Данные 2st'!$Q$2:$Q$317=$A76),--ISNUMBER('Данные 2st'!$IM$2:$IM$317))</f>
        <v>5</v>
      </c>
      <c r="NZ76">
        <f>SUMPRODUCT(--('Данные 2st'!$Q$2:$Q$317=$A76),--ISNUMBER('Данные 2st'!$IN$2:$IN$317))</f>
        <v>5</v>
      </c>
      <c r="OA76">
        <f>SUMPRODUCT(--('Данные 2st'!$Q$2:$Q$317=$A76),--ISNUMBER('Данные 2st'!$IO$2:$IO$317))</f>
        <v>5</v>
      </c>
      <c r="OB76">
        <f>SUMPRODUCT(--('Данные 2st'!$Q$2:$Q$317=$A76),--ISNUMBER('Данные 2st'!$IP$2:$IP$317))</f>
        <v>5</v>
      </c>
      <c r="OC76">
        <f>SUMPRODUCT(--('Данные 2st'!$Q$2:$Q$317=$A76),--ISNUMBER('Данные 2st'!$IQ$2:$IQ$317))</f>
        <v>5</v>
      </c>
      <c r="OD76">
        <f>SUMPRODUCT(--('Данные 2st'!$Q$2:$Q$317=$A76),--ISNUMBER('Данные 2st'!$IR$2:$IR$317))</f>
        <v>5</v>
      </c>
      <c r="OE76">
        <f>SUMPRODUCT(--('Данные 2st'!$Q$2:$Q$317=$A76),--ISNUMBER('Данные 2st'!$IT$2:$IT$317))</f>
        <v>5</v>
      </c>
      <c r="OF76">
        <f>SUMPRODUCT(--('Данные 2st'!$Q$2:$Q$317=$A76),--ISNUMBER('Данные 2st'!$IU$2:$IU$317))</f>
        <v>5</v>
      </c>
      <c r="OG76">
        <f>SUMPRODUCT(--('Данные 2st'!$Q$2:$Q$317=$A76),--ISNUMBER('Данные 2st'!$IV$2:$IV$317))</f>
        <v>5</v>
      </c>
      <c r="OH76">
        <f>SUMPRODUCT(--('Данные 2st'!$Q$2:$Q$317=$A76),--ISNUMBER('Данные 2st'!$IW$2:$IW$317))</f>
        <v>5</v>
      </c>
      <c r="OI76">
        <f>SUMPRODUCT(--('Данные 2st'!$Q$2:$Q$317=$A76),--ISNUMBER('Данные 2st'!$IX$2:$IX$317))</f>
        <v>5</v>
      </c>
      <c r="OJ76">
        <f>SUMPRODUCT(--('Данные 2st'!$Q$2:$Q$317=$A76),--ISNUMBER('Данные 2st'!$IY$2:$IY$317))</f>
        <v>5</v>
      </c>
      <c r="OK76">
        <f>SUMPRODUCT(--('Данные 2st'!$Q$2:$Q$317=$A76),--ISNUMBER('Данные 2st'!$IZ$2:$IZ$317))</f>
        <v>5</v>
      </c>
      <c r="OL76">
        <f>SUMPRODUCT(--('Данные 2st'!$Q$2:$Q$317=$A76),--ISNUMBER('Данные 2st'!$JA$2:$JA$317))</f>
        <v>5</v>
      </c>
      <c r="OM76">
        <f>SUMPRODUCT(--('Данные 2st'!$Q$2:$Q$317=$A76),--ISNUMBER('Данные 2st'!$JB$2:$JB$317))</f>
        <v>5</v>
      </c>
      <c r="ON76">
        <f>SUMPRODUCT(--('Данные 2st'!$Q$2:$Q$317=$A76),--ISNUMBER('Данные 2st'!$JC$2:$JC$317))</f>
        <v>5</v>
      </c>
      <c r="OO76">
        <f>SUMPRODUCT(--('Данные 2st'!$Q$2:$Q$317=$A76),--ISNUMBER('Данные 2st'!$JD$2:$JD$317))</f>
        <v>5</v>
      </c>
      <c r="OP76">
        <f>SUMPRODUCT(--('Данные 2st'!$Q$2:$Q$317=$A76),--ISNUMBER('Данные 2st'!$JE$2:$JE$317))</f>
        <v>5</v>
      </c>
      <c r="OQ76">
        <f>SUMPRODUCT(--('Данные 2st'!$Q$2:$Q$317=$A76),--ISNUMBER('Данные 2st'!$JF$2:$JF$317))</f>
        <v>5</v>
      </c>
      <c r="OR76">
        <f>SUMPRODUCT(--('Данные 2st'!$Q$2:$Q$317=$A76),--ISNUMBER('Данные 2st'!$JG$2:$JG$317))</f>
        <v>5</v>
      </c>
      <c r="OS76">
        <f>SUMPRODUCT(--('Данные 2st'!$Q$2:$Q$317=$A76),--ISNUMBER('Данные 2st'!$JH$2:$JH$317))</f>
        <v>5</v>
      </c>
      <c r="OT76">
        <f>SUMPRODUCT(--('Данные 2st'!$Q$2:$Q$317=$A76),--ISNUMBER('Данные 2st'!$JI$2:$JI$317))</f>
        <v>5</v>
      </c>
      <c r="OU76">
        <f>SUMPRODUCT(--('Данные 2st'!$Q$2:$Q$317=$A76),--ISNUMBER('Данные 2st'!$JJ$2:$JJ$317))</f>
        <v>5</v>
      </c>
      <c r="OV76">
        <f>SUMPRODUCT(--('Данные 2st'!$Q$2:$Q$317=$A76),--ISNUMBER('Данные 2st'!$JK$2:$JK$317))</f>
        <v>5</v>
      </c>
      <c r="OW76">
        <f>SUMPRODUCT(--('Данные 2st'!$Q$2:$Q$317=$A76),--ISNUMBER('Данные 2st'!$JL$2:$JL$317))</f>
        <v>5</v>
      </c>
      <c r="OX76">
        <f>SUMPRODUCT(--('Данные 2st'!$Q$2:$Q$317=$A76),--ISNUMBER('Данные 2st'!$JM$2:$JM$317))</f>
        <v>5</v>
      </c>
      <c r="OY76">
        <f>SUMPRODUCT(--('Данные 2st'!$Q$2:$Q$317=$A76),--ISNUMBER('Данные 2st'!$JP$2:$JP$317))</f>
        <v>5</v>
      </c>
      <c r="OZ76">
        <f>SUMPRODUCT(--('Данные 2st'!$Q$2:$Q$317=$A76),--ISNUMBER('Данные 2st'!$JQ$2:$JQ$317))</f>
        <v>5</v>
      </c>
      <c r="PA76">
        <f>SUMPRODUCT(--('Данные 2st'!$Q$2:$Q$317=$A76),--ISNUMBER('Данные 2st'!$JR$2:$JR$317))</f>
        <v>5</v>
      </c>
      <c r="PB76">
        <f>SUMPRODUCT(--('Данные 2st'!$Q$2:$Q$317=$A76),--ISNUMBER('Данные 2st'!$JS$2:$JS$317))</f>
        <v>5</v>
      </c>
      <c r="PC76">
        <f>SUMPRODUCT(--('Данные 2st'!$Q$2:$Q$317=$A76),--ISNUMBER('Данные 2st'!$JT$2:$JT$317))</f>
        <v>5</v>
      </c>
      <c r="PD76">
        <f>SUMPRODUCT(--('Данные 2st'!$Q$2:$Q$317=$A76),--ISNUMBER('Данные 2st'!$JU$2:$JU$317))</f>
        <v>5</v>
      </c>
      <c r="PE76">
        <f>SUMPRODUCT(--('Данные 2st'!$Q$2:$Q$317=$A76),--ISNUMBER('Данные 2st'!$JV$2:$JV$317))</f>
        <v>5</v>
      </c>
      <c r="PF76">
        <f>SUMPRODUCT(--('Данные 2st'!$Q$2:$Q$317=$A76),--ISNUMBER('Данные 2st'!$JW$2:$JW$317))</f>
        <v>5</v>
      </c>
      <c r="PG76">
        <f>SUMPRODUCT(--('Данные 2st'!$Q$2:$Q$317=$A76),--ISNUMBER('Данные 2st'!$KF$2:$KF$317))</f>
        <v>5</v>
      </c>
      <c r="PH76">
        <f>SUMPRODUCT(--('Данные 2st'!$Q$2:$Q$317=$A76),--ISNUMBER('Данные 2st'!$KG$2:$KG$317))</f>
        <v>5</v>
      </c>
      <c r="PI76">
        <f>SUMPRODUCT(--('Данные 2st'!$Q$2:$Q$317=$A76),--ISNUMBER('Данные 2st'!$KM$2:$KM$317))</f>
        <v>5</v>
      </c>
      <c r="PJ76">
        <f>SUMPRODUCT(--('Данные 2st'!$Q$2:$Q$317=$A76),--ISNUMBER('Данные 2st'!$KN$2:$KN$317))</f>
        <v>5</v>
      </c>
      <c r="PK76">
        <f>SUMPRODUCT(--('Данные 2st'!$Q$2:$Q$317=$A76),--ISNUMBER('Данные 2st'!$KO$2:$KO$317))</f>
        <v>5</v>
      </c>
      <c r="PL76">
        <f>SUMPRODUCT(--('Данные 2st'!$Q$2:$Q$317=$A76),--ISNUMBER('Данные 2st'!$KP$2:$KP$317))</f>
        <v>5</v>
      </c>
      <c r="PM76">
        <f>SUMPRODUCT(--('Данные 2st'!$Q$2:$Q$317=$A76),--ISNUMBER('Данные 2st'!$KQ$2:$KQ$317))</f>
        <v>5</v>
      </c>
      <c r="PN76">
        <f>SUMPRODUCT(--('Данные 2st'!$Q$2:$Q$317=$A76),--ISNUMBER('Данные 2st'!$KR$2:$KR$317))</f>
        <v>5</v>
      </c>
      <c r="PO76">
        <f>SUMPRODUCT(--('Данные 2st'!$Q$2:$Q$317=$A76),--ISNUMBER('Данные 2st'!$KS$2:$KS$317))</f>
        <v>5</v>
      </c>
      <c r="PP76">
        <f>SUMPRODUCT(--('Данные 2st'!$Q$2:$Q$317=$A76),--ISNUMBER('Данные 2st'!$KT$2:$KT$317))</f>
        <v>5</v>
      </c>
      <c r="PQ76">
        <f>SUMPRODUCT(--('Данные 2st'!$Q$2:$Q$317=$A76),--ISNUMBER('Данные 2st'!$KU$2:$KU$317))</f>
        <v>5</v>
      </c>
      <c r="PR76">
        <f>SUMPRODUCT(--('Данные 2st'!$Q$2:$Q$317=$A76),--ISNUMBER('Данные 2st'!$KV$2:$KV$317))</f>
        <v>5</v>
      </c>
      <c r="PS76">
        <f>SUMPRODUCT(--('Данные 2st'!$Q$2:$Q$317=$A76),--ISNUMBER('Данные 2st'!$KW$2:$KW$317))</f>
        <v>5</v>
      </c>
      <c r="PT76">
        <f>SUMPRODUCT(--('Данные 2st'!$Q$2:$Q$317=$A76),--ISNUMBER('Данные 2st'!$KX$2:$KX$317))</f>
        <v>5</v>
      </c>
      <c r="PU76">
        <f>SUMPRODUCT(--('Данные 2st'!$Q$2:$Q$317=$A76),--ISNUMBER('Данные 2st'!$KY$2:$KY$317))</f>
        <v>5</v>
      </c>
      <c r="PV76">
        <f>SUMPRODUCT(--('Данные 2st'!$Q$2:$Q$317=$A76),--ISNUMBER('Данные 2st'!$KZ$2:$KZ$317))</f>
        <v>5</v>
      </c>
      <c r="PW76">
        <f>SUMPRODUCT(--('Данные 2st'!$Q$2:$Q$317=$A76),--ISNUMBER('Данные 2st'!$LA$2:$LA$317))</f>
        <v>5</v>
      </c>
      <c r="PX76">
        <f>SUMPRODUCT(--('Данные 2st'!$Q$2:$Q$317=$A76),--ISNUMBER('Данные 2st'!$LB$2:$LB$317))</f>
        <v>5</v>
      </c>
      <c r="PY76">
        <f>SUMPRODUCT(--('Данные 2st'!$Q$2:$Q$317=$A76),--ISNUMBER('Данные 2st'!$LC$2:$LC$317))</f>
        <v>5</v>
      </c>
      <c r="PZ76">
        <f>SUMPRODUCT(--('Данные 2st'!$Q$2:$Q$317=$A76),--ISNUMBER('Данные 2st'!$LD$2:$LD$317))</f>
        <v>5</v>
      </c>
      <c r="QA76">
        <f>SUMPRODUCT(--('Данные 2st'!$Q$2:$Q$317=$A76),--ISNUMBER('Данные 2st'!$LE$2:$LE$317))</f>
        <v>5</v>
      </c>
      <c r="QB76">
        <f>SUMPRODUCT(--('Данные 2st'!$Q$2:$Q$317=$A76),--ISNUMBER('Данные 2st'!$LF$2:$LF$317))</f>
        <v>5</v>
      </c>
      <c r="QC76">
        <f>SUMPRODUCT(--('Данные 2st'!$Q$2:$Q$317=$A76),--ISNUMBER('Данные 2st'!$LG$2:$LG$317))</f>
        <v>5</v>
      </c>
      <c r="QD76">
        <f>SUMPRODUCT(--('Данные 2st'!$Q$2:$Q$317=$A76),--ISNUMBER('Данные 2st'!$LH$2:$LH$317))</f>
        <v>5</v>
      </c>
      <c r="QE76">
        <f>SUMPRODUCT(--('Данные 2st'!$Q$2:$Q$317=$A76),--ISNUMBER('Данные 2st'!$LJ$2:$LJ$317))</f>
        <v>5</v>
      </c>
      <c r="QF76">
        <f>SUMPRODUCT(--('Данные 2st'!$Q$2:$Q$317=$A76),--ISNUMBER('Данные 2st'!$LK$2:$LK$317))</f>
        <v>5</v>
      </c>
      <c r="QG76">
        <f>SUMPRODUCT(--('Данные 2st'!$Q$2:$Q$317=$A76),--ISNUMBER('Данные 2st'!$LL$2:$LL$317))</f>
        <v>5</v>
      </c>
      <c r="QH76">
        <f>SUMPRODUCT(--('Данные 2st'!$Q$2:$Q$317=$A76),--ISNUMBER('Данные 2st'!$LM$2:$LM$317))</f>
        <v>5</v>
      </c>
      <c r="QI76">
        <f>SUMPRODUCT(--('Данные 2st'!$Q$2:$Q$317=$A76),--ISNUMBER('Данные 2st'!$LN$2:$LN$317))</f>
        <v>5</v>
      </c>
      <c r="QJ76">
        <f>SUMPRODUCT(--('Данные 2st'!$Q$2:$Q$317=$A76),--ISNUMBER('Данные 2st'!$LO$2:$LO$317))</f>
        <v>5</v>
      </c>
      <c r="QK76">
        <f>SUMPRODUCT(--('Данные 2st'!$Q$2:$Q$317=$A76),--ISNUMBER('Данные 2st'!$LP$2:$LP$317))</f>
        <v>5</v>
      </c>
      <c r="QL76">
        <f>SUMPRODUCT(--('Данные 2st'!$Q$2:$Q$317=$A76),--ISNUMBER('Данные 2st'!$LQ$2:$LQ$317))</f>
        <v>5</v>
      </c>
      <c r="QM76">
        <f>SUMPRODUCT(--('Данные 2st'!$Q$2:$Q$317=$A76),--ISNUMBER('Данные 2st'!$LW$2:$LW$317))</f>
        <v>5</v>
      </c>
      <c r="QN76">
        <f>SUMPRODUCT(--('Данные 2st'!$Q$2:$Q$317=$A76),--ISNUMBER('Данные 2st'!$LX$2:$LX$317))</f>
        <v>5</v>
      </c>
      <c r="QO76">
        <f>SUMPRODUCT(--('Данные 2st'!$Q$2:$Q$317=$A76),--ISNUMBER('Данные 2st'!$LY$2:$LY$317))</f>
        <v>5</v>
      </c>
      <c r="QP76">
        <f>SUMPRODUCT(--('Данные 2st'!$Q$2:$Q$317=$A76),--ISNUMBER('Данные 2st'!$LZ$2:$LZ$317))</f>
        <v>5</v>
      </c>
      <c r="QQ76">
        <f>SUMPRODUCT(--('Данные 2st'!$Q$2:$Q$317=$A76),--ISNUMBER('Данные 2st'!$MB$2:$MB$317))</f>
        <v>5</v>
      </c>
      <c r="QR76">
        <f>SUMPRODUCT(--('Данные 2st'!$Q$2:$Q$317=$A76),--ISNUMBER('Данные 2st'!$MG$2:$MG$317))</f>
        <v>5</v>
      </c>
      <c r="QS76">
        <f>SUMPRODUCT(--('Данные 2st'!$Q$2:$Q$317=$A76),--ISNUMBER('Данные 2st'!$MH$2:$MH$317))</f>
        <v>5</v>
      </c>
      <c r="QT76">
        <f>SUMPRODUCT(--('Данные 2st'!$Q$2:$Q$317=$A76),--ISNUMBER('Данные 2st'!$MI$2:$MI$317))</f>
        <v>5</v>
      </c>
      <c r="QU76">
        <f>SUMPRODUCT(--('Данные 2st'!$Q$2:$Q$317=$A76),--ISNUMBER('Данные 2st'!$MJ$2:$MJ$317))</f>
        <v>5</v>
      </c>
      <c r="QV76">
        <f>SUMPRODUCT(--('Данные 2st'!$Q$2:$Q$317=$A76),--ISNUMBER('Данные 2st'!$MK$2:$MK$317))</f>
        <v>5</v>
      </c>
      <c r="QW76">
        <f>SUMPRODUCT(--('Данные 2st'!$Q$2:$Q$317=$A76),--ISNUMBER('Данные 2st'!$MM$2:$MM$317))</f>
        <v>5</v>
      </c>
      <c r="QX76">
        <f>SUMPRODUCT(--('Данные 2st'!$Q$2:$Q$317=$A76),--ISNUMBER('Данные 2st'!$MQ$2:$MQ$317))</f>
        <v>0</v>
      </c>
      <c r="QY76">
        <f>SUMPRODUCT(--('Данные 2st'!$Q$2:$Q$317=$A76),--ISNUMBER('Данные 2st'!$MR$2:$MR$317))</f>
        <v>0</v>
      </c>
      <c r="QZ76">
        <f>SUMPRODUCT(--('Данные 2st'!$Q$2:$Q$317=$A76),--ISNUMBER('Данные 2st'!$MS$2:$MS$317))</f>
        <v>0</v>
      </c>
      <c r="RA76">
        <f>SUMPRODUCT(--('Данные 2st'!$Q$2:$Q$317=$A76),--ISNUMBER('Данные 2st'!$MT$2:$MT$317))</f>
        <v>0</v>
      </c>
      <c r="RB76">
        <f>SUMPRODUCT(--('Данные 2st'!$Q$2:$Q$317=$A76),--ISNUMBER('Данные 2st'!$MU$2:$MU$317))</f>
        <v>0</v>
      </c>
      <c r="RC76">
        <f>SUMPRODUCT(--('Данные 2st'!$Q$2:$Q$317=$A76),--ISNUMBER('Данные 2st'!$MV$2:$MV$317))</f>
        <v>0</v>
      </c>
      <c r="RD76">
        <f>SUMPRODUCT(--('Данные 2st'!$Q$2:$Q$317=$A76),--ISNUMBER('Данные 2st'!$MW$2:$MW$317))</f>
        <v>0</v>
      </c>
      <c r="RE76">
        <f>SUMPRODUCT(--('Данные 2st'!$Q$2:$Q$317=$A76),--ISNUMBER('Данные 2st'!$MX$2:$MX$317))</f>
        <v>0</v>
      </c>
      <c r="RF76">
        <f>SUMPRODUCT(--('Данные 2st'!$Q$2:$Q$317=$A76),--ISNUMBER('Данные 2st'!$MY$2:$MY$317))</f>
        <v>0</v>
      </c>
      <c r="RG76">
        <f>SUMPRODUCT(--('Данные 2st'!$Q$2:$Q$317=$A76),--ISNUMBER('Данные 2st'!$MZ$2:$MZ$317))</f>
        <v>0</v>
      </c>
      <c r="RH76">
        <f>SUMPRODUCT(--('Данные 2st'!$Q$2:$Q$317=$A76),--ISNUMBER('Данные 2st'!$NA$2:$NA$317))</f>
        <v>0</v>
      </c>
      <c r="RI76">
        <f>SUMPRODUCT(--('Данные 2st'!$Q$2:$Q$317=$A76),--ISNUMBER('Данные 2st'!$NB$2:$NB$317))</f>
        <v>0</v>
      </c>
      <c r="RJ76">
        <f>SUMPRODUCT(--('Данные 2st'!$Q$2:$Q$317=$A76),--ISNUMBER('Данные 2st'!$NC$2:$NC$317))</f>
        <v>0</v>
      </c>
      <c r="RK76">
        <f>SUMPRODUCT(--('Данные 2st'!$Q$2:$Q$317=$A76),--ISNUMBER('Данные 2st'!$ND$2:$ND$317))</f>
        <v>0</v>
      </c>
      <c r="RL76">
        <f>SUMPRODUCT(--('Данные 2st'!$Q$2:$Q$317=$A76),--ISNUMBER('Данные 2st'!$NE$2:$NE$317))</f>
        <v>0</v>
      </c>
      <c r="RM76">
        <f>SUMPRODUCT(--('Данные 2st'!$Q$2:$Q$317=$A76),--ISNUMBER('Данные 2st'!$NF$2:$NF$317))</f>
        <v>0</v>
      </c>
      <c r="RN76">
        <f>SUMPRODUCT(--('Данные 2st'!$Q$2:$Q$317=$A76),--ISNUMBER('Данные 2st'!$NG$2:$NG$317))</f>
        <v>0</v>
      </c>
      <c r="RO76">
        <f>SUMPRODUCT(--('Данные 2st'!$Q$2:$Q$317=$A76),--ISNUMBER('Данные 2st'!$NH$2:$NH$317))</f>
        <v>0</v>
      </c>
      <c r="RP76">
        <f>SUMPRODUCT(--('Данные 2st'!$Q$2:$Q$317=$A76),--ISNUMBER('Данные 2st'!$NJ$2:$NJ$317))</f>
        <v>0</v>
      </c>
      <c r="RQ76">
        <f>SUMPRODUCT(--('Данные 2st'!$Q$2:$Q$317=$A76),--ISNUMBER('Данные 2st'!$NK$2:$NK$317))</f>
        <v>0</v>
      </c>
      <c r="RR76">
        <f>SUMPRODUCT(--('Данные 2st'!$Q$2:$Q$317=$A76),--ISNUMBER('Данные 2st'!$NM$2:$NM$317))</f>
        <v>0</v>
      </c>
      <c r="RS76">
        <f>SUMPRODUCT(--('Данные 2st'!$Q$2:$Q$317=$A76),--ISNUMBER('Данные 2st'!$NN$2:$NN$317))</f>
        <v>0</v>
      </c>
      <c r="RT76">
        <f>SUMPRODUCT(--('Данные 2st'!$Q$2:$Q$317=$A76),--ISNUMBER('Данные 2st'!$NO$2:$NO$317))</f>
        <v>0</v>
      </c>
      <c r="RU76">
        <f>SUMPRODUCT(--('Данные 2st'!$Q$2:$Q$317=$A76),--ISNUMBER('Данные 2st'!$NP$2:$NP$317))</f>
        <v>0</v>
      </c>
      <c r="RV76">
        <f>SUMPRODUCT(--('Данные 2st'!$Q$2:$Q$317=$A76),--ISNUMBER('Данные 2st'!$NQ$2:$NQ$317))</f>
        <v>0</v>
      </c>
      <c r="RW76">
        <f>SUMPRODUCT(--('Данные 2st'!$Q$2:$Q$317=$A76),--ISNUMBER('Данные 2st'!$NR$2:$NR$317))</f>
        <v>0</v>
      </c>
      <c r="RX76">
        <f>SUMPRODUCT(--('Данные 2st'!$Q$2:$Q$317=$A76),--ISNUMBER('Данные 2st'!$NS$2:$NS$317))</f>
        <v>0</v>
      </c>
      <c r="RY76">
        <f>SUMPRODUCT(--('Данные 2st'!$Q$2:$Q$317=$A76),--ISNUMBER('Данные 2st'!$NT$2:$NT$317))</f>
        <v>0</v>
      </c>
      <c r="RZ76">
        <f>SUMPRODUCT(--('Данные 2st'!$Q$2:$Q$317=$A76),--ISNUMBER('Данные 2st'!$OK$2:$OK$317))</f>
        <v>5</v>
      </c>
      <c r="SA76">
        <f>SUMPRODUCT(--('Данные 2st'!$Q$2:$Q$317=$A76),--ISNUMBER('Данные 2st'!$OL$2:$OL$317))</f>
        <v>5</v>
      </c>
      <c r="SB76">
        <f>SUMPRODUCT(--('Данные 2st'!$Q$2:$Q$317=$A76),--ISNUMBER('Данные 2st'!$ON$2:$ON$317))</f>
        <v>5</v>
      </c>
      <c r="SC76">
        <f>SUMPRODUCT(--('Данные 2st'!$Q$2:$Q$317=$A76),--ISNUMBER('Данные 2st'!$OO$2:$OO$317))</f>
        <v>5</v>
      </c>
      <c r="SD76">
        <f>SUMPRODUCT(--('Данные 2st'!$Q$2:$Q$317=$A76),--ISNUMBER('Данные 2st'!$OP$2:$OP$317))</f>
        <v>5</v>
      </c>
      <c r="SE76">
        <f>SUMPRODUCT(--('Данные 2st'!$Q$2:$Q$317=$A76),--ISNUMBER('Данные 2st'!$OQ$2:$OQ$317))</f>
        <v>5</v>
      </c>
      <c r="SF76">
        <f>SUMPRODUCT(--('Данные 2st'!$Q$2:$Q$317=$A76),--ISNUMBER('Данные 2st'!$OS$2:$OS$317))</f>
        <v>5</v>
      </c>
      <c r="SG76">
        <f>SUMPRODUCT(--('Данные 2st'!$Q$2:$Q$317=$A76),--ISNUMBER('Данные 2st'!$OT$2:$OT$317))</f>
        <v>5</v>
      </c>
      <c r="SH76">
        <f>SUMPRODUCT(--('Данные 2st'!$Q$2:$Q$317=$A76),--ISNUMBER('Данные 2st'!$OU$2:$OU$317))</f>
        <v>5</v>
      </c>
      <c r="SI76">
        <f>SUMPRODUCT(--('Данные 2st'!$Q$2:$Q$317=$A76),--ISNUMBER('Данные 2st'!$OV$2:$OV$317))</f>
        <v>5</v>
      </c>
      <c r="SJ76">
        <f>SUMPRODUCT(--('Данные 2st'!$Q$2:$Q$317=$A76),--ISNUMBER('Данные 2st'!$OX$2:$OX$317))</f>
        <v>5</v>
      </c>
      <c r="SK76">
        <f>SUMPRODUCT(--('Данные 2st'!$Q$2:$Q$317=$A76),--ISNUMBER('Данные 2st'!$OY$2:$OY$317))</f>
        <v>5</v>
      </c>
      <c r="SL76">
        <f>SUMPRODUCT(--('Данные 2st'!$Q$2:$Q$317=$A76),--ISNUMBER('Данные 2st'!$OZ$2:$OZ$317))</f>
        <v>5</v>
      </c>
      <c r="SM76">
        <f>SUMPRODUCT(--('Данные 2st'!$Q$2:$Q$317=$A76),--ISNUMBER('Данные 2st'!$PA$2:$PA$317))</f>
        <v>5</v>
      </c>
      <c r="SN76">
        <f>SUMPRODUCT(--('Данные 2st'!$Q$2:$Q$317=$A76),--ISNUMBER('Данные 2st'!$PC$2:$PC$317))</f>
        <v>5</v>
      </c>
      <c r="SO76">
        <f>SUMPRODUCT(--('Данные 2st'!$Q$2:$Q$317=$A76),--ISNUMBER('Данные 2st'!$PD$2:$PD$317))</f>
        <v>5</v>
      </c>
      <c r="SP76">
        <f>SUMPRODUCT(--('Данные 2st'!$Q$2:$Q$317=$A76),--ISNUMBER('Данные 2st'!$PF$2:$PF$317))</f>
        <v>5</v>
      </c>
      <c r="SQ76">
        <f>SUMPRODUCT(--('Данные 2st'!$Q$2:$Q$317=$A76),--ISNUMBER('Данные 2st'!$PG$2:$PG$317))</f>
        <v>5</v>
      </c>
      <c r="SR76">
        <f>SUMPRODUCT(--('Данные 2st'!$Q$2:$Q$317=$A76),--ISNUMBER('Данные 2st'!$PH$2:$PH$317))</f>
        <v>5</v>
      </c>
      <c r="SS76">
        <f>SUMPRODUCT(--('Данные 2st'!$Q$2:$Q$317=$A76),--ISNUMBER('Данные 2st'!$PI$2:$PI$317))</f>
        <v>5</v>
      </c>
      <c r="ST76">
        <f>SUMPRODUCT(--('Данные 2st'!$Q$2:$Q$317=$A76),--ISNUMBER('Данные 2st'!$PJ$2:$PJ$317))</f>
        <v>5</v>
      </c>
      <c r="SU76">
        <f>SUMPRODUCT(--('Данные 2st'!$Q$2:$Q$317=$A76),--ISNUMBER('Данные 2st'!$PK$2:$PK$317))</f>
        <v>4</v>
      </c>
      <c r="SV76">
        <f>SUMPRODUCT(--('Данные 2st'!$Q$2:$Q$317=$A76),--ISNUMBER('Данные 2st'!$PL$2:$PL$317))</f>
        <v>5</v>
      </c>
      <c r="SW76">
        <f>SUMPRODUCT(--('Данные 2st'!$Q$2:$Q$317=$A76),--ISNUMBER('Данные 2st'!$PM$2:$PM$317))</f>
        <v>5</v>
      </c>
      <c r="SX76">
        <f>SUMPRODUCT(--('Данные 2st'!$Q$2:$Q$317=$A76),--ISNUMBER('Данные 2st'!$PN$2:$PN$317))</f>
        <v>5</v>
      </c>
      <c r="SY76">
        <f>SUMPRODUCT(--('Данные 2st'!$Q$2:$Q$317=$A76),--ISNUMBER('Данные 2st'!$PO$2:$PO$317))</f>
        <v>5</v>
      </c>
      <c r="SZ76">
        <f>SUMPRODUCT(--('Данные 2st'!$Q$2:$Q$317=$A76),--ISNUMBER('Данные 2st'!$PP$2:$PP$317))</f>
        <v>5</v>
      </c>
      <c r="TA76">
        <f>SUMPRODUCT(--('Данные 2st'!$Q$2:$Q$317=$A76),--ISNUMBER('Данные 2st'!$PQ$2:$PQ$317))</f>
        <v>5</v>
      </c>
      <c r="TB76">
        <f>SUMPRODUCT(--('Данные 2st'!$Q$2:$Q$317=$A76),--ISNUMBER('Данные 2st'!$PR$2:$PR$317))</f>
        <v>5</v>
      </c>
      <c r="TC76">
        <f>SUMPRODUCT(--('Данные 2st'!$Q$2:$Q$317=$A76),--ISNUMBER('Данные 2st'!$PS$2:$PS$317))</f>
        <v>5</v>
      </c>
      <c r="TD76">
        <f>SUMPRODUCT(--('Данные 2st'!$Q$2:$Q$317=$A76),--ISNUMBER('Данные 2st'!$PT$2:$PT$317))</f>
        <v>5</v>
      </c>
      <c r="TE76">
        <f>SUMPRODUCT(--('Данные 2st'!$Q$2:$Q$317=$A76),--ISNUMBER('Данные 2st'!$PU$2:$PU$317))</f>
        <v>5</v>
      </c>
      <c r="TF76">
        <f>SUMPRODUCT(--('Данные 2st'!$Q$2:$Q$317=$A76),--ISNUMBER('Данные 2st'!$PX$2:$PX$317))</f>
        <v>5</v>
      </c>
      <c r="TG76">
        <f>SUMPRODUCT(--('Данные 2st'!$Q$2:$Q$317=$A76),--ISNUMBER('Данные 2st'!$PY$2:$PY$317))</f>
        <v>5</v>
      </c>
      <c r="TH76">
        <f>SUMPRODUCT(--('Данные 2st'!$Q$2:$Q$317=$A76),--ISNUMBER('Данные 2st'!$PZ$2:$PZ$317))</f>
        <v>5</v>
      </c>
      <c r="TI76">
        <f>SUMPRODUCT(--('Данные 2st'!$Q$2:$Q$317=$A76),--ISNUMBER('Данные 2st'!$QA$2:$QA$317))</f>
        <v>5</v>
      </c>
      <c r="TJ76">
        <f>SUMPRODUCT(--('Данные 2st'!$Q$2:$Q$317=$A76),--ISNUMBER('Данные 2st'!$QB$2:$QB$317))</f>
        <v>5</v>
      </c>
      <c r="TK76">
        <f>SUMPRODUCT(--('Данные 2st'!$Q$2:$Q$317=$A76),--ISNUMBER('Данные 2st'!$QC$2:$QC$317))</f>
        <v>5</v>
      </c>
      <c r="TL76">
        <f>SUMPRODUCT(--('Данные 2st'!$Q$2:$Q$317=$A76),--ISNUMBER('Данные 2st'!$QD$2:$QD$317))</f>
        <v>5</v>
      </c>
      <c r="TM76">
        <f>SUMPRODUCT(--('Данные 2st'!$Q$2:$Q$317=$A76),--ISNUMBER('Данные 2st'!$QE$2:$QE$317))</f>
        <v>5</v>
      </c>
      <c r="TN76">
        <f>SUMPRODUCT(--('Данные 2st'!$Q$2:$Q$317=$A76),--ISNUMBER('Данные 2st'!$QF$2:$QF$317))</f>
        <v>5</v>
      </c>
      <c r="TO76">
        <f>SUMPRODUCT(--('Данные 2st'!$Q$2:$Q$317=$A76),--ISNUMBER('Данные 2st'!$QG$2:$QG$317))</f>
        <v>5</v>
      </c>
      <c r="TP76">
        <f>SUMPRODUCT(--('Данные 2st'!$Q$2:$Q$317=$A76),--ISNUMBER('Данные 2st'!$QH$2:$QH$317))</f>
        <v>5</v>
      </c>
      <c r="TQ76">
        <f>SUMPRODUCT(--('Данные 2st'!$Q$2:$Q$317=$A76),--ISNUMBER('Данные 2st'!$QI$2:$QI$317))</f>
        <v>5</v>
      </c>
      <c r="TR76">
        <f>SUMPRODUCT(--('Данные 2st'!$Q$2:$Q$317=$A76),--ISNUMBER('Данные 2st'!$QJ$2:$QJ$317))</f>
        <v>5</v>
      </c>
      <c r="TS76">
        <f>SUMPRODUCT(--('Данные 2st'!$Q$2:$Q$317=$A76),--ISNUMBER('Данные 2st'!$QK$2:$QK$317))</f>
        <v>5</v>
      </c>
      <c r="TT76">
        <f>SUMPRODUCT(--('Данные 2st'!$Q$2:$Q$317=$A76),--ISNUMBER('Данные 2st'!$QL$2:$QL$317))</f>
        <v>5</v>
      </c>
      <c r="TU76">
        <f>SUMPRODUCT(--('Данные 2st'!$Q$2:$Q$317=$A76),--ISNUMBER('Данные 2st'!$QM$2:$QM$317))</f>
        <v>5</v>
      </c>
      <c r="TV76">
        <f>SUMPRODUCT(--('Данные 2st'!$Q$2:$Q$317=$A76),--ISNUMBER('Данные 2st'!$QN$2:$QN$317))</f>
        <v>5</v>
      </c>
      <c r="TW76">
        <f>SUMPRODUCT(--('Данные 2st'!$Q$2:$Q$317=$A76),--ISNUMBER('Данные 2st'!$QQ$2:$QQ$317))</f>
        <v>5</v>
      </c>
      <c r="TX76">
        <f>SUMPRODUCT(--('Данные 2st'!$Q$2:$Q$317=$A76),--ISNUMBER('Данные 2st'!$QS$2:$QS$317))</f>
        <v>5</v>
      </c>
      <c r="TY76">
        <f>SUMPRODUCT(--('Данные 2st'!$Q$2:$Q$317=$A76),--ISNUMBER('Данные 2st'!$QT$2:$QT$317))</f>
        <v>5</v>
      </c>
    </row>
    <row r="77" spans="1:545" ht="32" customHeight="1">
      <c r="A77" s="11" t="str">
        <f>'По размерам'!A77</f>
        <v>265/55R20</v>
      </c>
      <c r="G77">
        <f>SUMPRODUCT(--('Данные 1st'!$S$2:$S$317=$A77),--ISNUMBER('Данные 1st'!$AE$2:$AE$317))</f>
        <v>1</v>
      </c>
      <c r="H77">
        <f>SUMPRODUCT(--('Данные 1st'!$S$2:$S$317=$A77),--ISNUMBER('Данные 1st'!$AF$2:$AF$317))</f>
        <v>1</v>
      </c>
      <c r="I77">
        <f>SUMPRODUCT(--('Данные 1st'!$S$2:$S$317=$A77),--ISNUMBER('Данные 1st'!$AJ$2:$AJ$317))</f>
        <v>1</v>
      </c>
      <c r="J77">
        <f>SUMPRODUCT(--('Данные 1st'!$S$2:$S$317=$A77),--ISNUMBER('Данные 1st'!$AL$2:$AL$317))</f>
        <v>1</v>
      </c>
      <c r="K77">
        <f>SUMPRODUCT(--('Данные 1st'!$S$2:$S$317=$A77),--ISNUMBER('Данные 1st'!$AR$2:$AR$317))</f>
        <v>1</v>
      </c>
      <c r="L77">
        <f>SUMPRODUCT(--('Данные 1st'!$S$2:$S$317=$A77),--ISNUMBER('Данные 1st'!$AS$2:$AS$317))</f>
        <v>1</v>
      </c>
      <c r="M77">
        <f>SUMPRODUCT(--('Данные 1st'!$S$2:$S$317=$A77),--ISNUMBER('Данные 1st'!$AY$2:$AY$317))</f>
        <v>1</v>
      </c>
      <c r="N77">
        <f>SUMPRODUCT(--('Данные 1st'!$S$2:$S$317=$A77),--ISNUMBER('Данные 1st'!$AZ$2:$AZ$317))</f>
        <v>1</v>
      </c>
      <c r="O77">
        <f>SUMPRODUCT(--('Данные 1st'!$S$2:$S$317=$A77),--ISNUMBER('Данные 1st'!$BF$2:$BF$317))</f>
        <v>1</v>
      </c>
      <c r="P77">
        <f>SUMPRODUCT(--('Данные 1st'!$S$2:$S$317=$A77),--ISNUMBER('Данные 1st'!$BG$2:$BG$317))</f>
        <v>1</v>
      </c>
      <c r="Q77">
        <f>SUMPRODUCT(--('Данные 1st'!$S$2:$S$317=$A77),--ISNUMBER('Данные 1st'!$BM$2:$BM$317))</f>
        <v>0</v>
      </c>
      <c r="R77">
        <f>SUMPRODUCT(--('Данные 1st'!$S$2:$S$317=$A77),--ISNUMBER('Данные 1st'!$BN$2:$BN$317))</f>
        <v>1</v>
      </c>
      <c r="S77">
        <f>SUMPRODUCT(--('Данные 1st'!$S$2:$S$317=$A77),--ISNUMBER('Данные 1st'!$BT$2:$BT$317))</f>
        <v>1</v>
      </c>
      <c r="T77">
        <f>SUMPRODUCT(--('Данные 1st'!$S$2:$S$317=$A77),--ISNUMBER('Данные 1st'!$BU$2:$BU$317))</f>
        <v>1</v>
      </c>
      <c r="U77">
        <f>SUMPRODUCT(--('Данные 1st'!$S$2:$S$317=$A77),--ISNUMBER('Данные 1st'!$BW$2:$BW$317))</f>
        <v>1</v>
      </c>
      <c r="V77">
        <f>SUMPRODUCT(--('Данные 1st'!$S$2:$S$317=$A77),--ISNUMBER('Данные 1st'!$BX$2:$BX$317))</f>
        <v>1</v>
      </c>
      <c r="W77">
        <f>SUMPRODUCT(--('Данные 1st'!$S$2:$S$317=$A77),--ISNUMBER('Данные 1st'!$BZ$2:$BZ$317))</f>
        <v>1</v>
      </c>
      <c r="X77">
        <f>SUMPRODUCT(--('Данные 1st'!$S$2:$S$317=$A77),--ISNUMBER('Данные 1st'!$CA$2:$CA$317))</f>
        <v>1</v>
      </c>
      <c r="Y77">
        <f>SUMPRODUCT(--('Данные 1st'!$S$2:$S$317=$A77),--ISNUMBER('Данные 1st'!$CD$2:$CD$317))</f>
        <v>1</v>
      </c>
      <c r="Z77">
        <f>SUMPRODUCT(--('Данные 1st'!$S$2:$S$317=$A77),--ISNUMBER('Данные 1st'!$CF$2:$CF$317))</f>
        <v>1</v>
      </c>
      <c r="AA77">
        <f>SUMPRODUCT(--('Данные 1st'!$S$2:$S$317=$A77),--ISNUMBER('Данные 1st'!$CI$2:$CI$317))</f>
        <v>1</v>
      </c>
      <c r="AB77">
        <f>SUMPRODUCT(--('Данные 1st'!$S$2:$S$317=$A77),--ISNUMBER('Данные 1st'!$CJ$2:$CJ$317))</f>
        <v>1</v>
      </c>
      <c r="AC77">
        <f>SUMPRODUCT(--('Данные 1st'!$S$2:$S$317=$A77),--ISNUMBER('Данные 1st'!$CK$2:$CK$317))</f>
        <v>1</v>
      </c>
      <c r="AD77">
        <f>SUMPRODUCT(--('Данные 1st'!$S$2:$S$317=$A77),--ISNUMBER('Данные 1st'!$CL$2:$CL$317))</f>
        <v>1</v>
      </c>
      <c r="AE77">
        <f>SUMPRODUCT(--('Данные 1st'!$S$2:$S$317=$A77),--ISNUMBER('Данные 1st'!$CM$2:$CM$317))</f>
        <v>1</v>
      </c>
      <c r="AF77">
        <f>SUMPRODUCT(--('Данные 1st'!$S$2:$S$317=$A77),--ISNUMBER('Данные 1st'!$CT$2:$CT$317))</f>
        <v>1</v>
      </c>
      <c r="AG77">
        <f>SUMPRODUCT(--('Данные 1st'!$S$2:$S$317=$A77),--ISNUMBER('Данные 1st'!$CU$2:$CU$317))</f>
        <v>1</v>
      </c>
      <c r="AH77">
        <f>SUMPRODUCT(--('Данные 1st'!$S$2:$S$317=$A77),--ISNUMBER('Данные 1st'!$CV$2:$CV$317))</f>
        <v>1</v>
      </c>
      <c r="AI77">
        <f>SUMPRODUCT(--('Данные 1st'!$S$2:$S$317=$A77),--ISNUMBER('Данные 1st'!$CW$2:$CW$317))</f>
        <v>1</v>
      </c>
      <c r="AJ77">
        <f>SUMPRODUCT(--('Данные 1st'!$S$2:$S$317=$A77),--ISNUMBER('Данные 1st'!$CX$2:$CX$317))</f>
        <v>1</v>
      </c>
      <c r="AK77">
        <f>SUMPRODUCT(--('Данные 1st'!$S$2:$S$317=$A77),--ISNUMBER('Данные 1st'!$CZ$2:$CZ$317))</f>
        <v>1</v>
      </c>
      <c r="AL77">
        <f>SUMPRODUCT(--('Данные 1st'!$S$2:$S$317=$A77),--ISNUMBER('Данные 1st'!$DA$2:$DA$317))</f>
        <v>1</v>
      </c>
      <c r="AM77">
        <f>SUMPRODUCT(--('Данные 1st'!$S$2:$S$317=$A77),--ISNUMBER('Данные 1st'!$DB$2:$DB$317))</f>
        <v>1</v>
      </c>
      <c r="AN77">
        <f>SUMPRODUCT(--('Данные 1st'!$S$2:$S$317=$A77),--ISNUMBER('Данные 1st'!$DC$2:$DC$317))</f>
        <v>1</v>
      </c>
      <c r="AO77">
        <f>SUMPRODUCT(--('Данные 1st'!$S$2:$S$317=$A77),--ISNUMBER('Данные 1st'!$DD$2:$DD$317))</f>
        <v>1</v>
      </c>
      <c r="AP77">
        <f>SUMPRODUCT(--('Данные 1st'!$S$2:$S$317=$A77),--ISNUMBER('Данные 1st'!$DF$2:$DF$317))</f>
        <v>1</v>
      </c>
      <c r="AQ77">
        <f>SUMPRODUCT(--('Данные 1st'!$S$2:$S$317=$A77),--ISNUMBER('Данные 1st'!$DG$2:$DG$317))</f>
        <v>1</v>
      </c>
      <c r="AR77">
        <f>SUMPRODUCT(--('Данные 1st'!$S$2:$S$317=$A77),--ISNUMBER('Данные 1st'!$DH$2:$DH$317))</f>
        <v>1</v>
      </c>
      <c r="AS77">
        <f>SUMPRODUCT(--('Данные 1st'!$S$2:$S$317=$A77),--ISNUMBER('Данные 1st'!$DI$2:$DI$317))</f>
        <v>1</v>
      </c>
      <c r="AT77">
        <f>SUMPRODUCT(--('Данные 1st'!$S$2:$S$317=$A77),--ISNUMBER('Данные 1st'!$DJ$2:$DJ$317))</f>
        <v>1</v>
      </c>
      <c r="AU77">
        <f>SUMPRODUCT(--('Данные 1st'!$S$2:$S$317=$A77),--ISNUMBER('Данные 1st'!$DL$2:$DL$317))</f>
        <v>1</v>
      </c>
      <c r="AV77">
        <f>SUMPRODUCT(--('Данные 1st'!$S$2:$S$317=$A77),--ISNUMBER('Данные 1st'!$DM$2:$DM$317))</f>
        <v>1</v>
      </c>
      <c r="AW77">
        <f>SUMPRODUCT(--('Данные 1st'!$S$2:$S$317=$A77),--ISNUMBER('Данные 1st'!$DN$2:$DN$317))</f>
        <v>1</v>
      </c>
      <c r="AX77">
        <f>SUMPRODUCT(--('Данные 1st'!$S$2:$S$317=$A77),--ISNUMBER('Данные 1st'!$DO$2:$DO$317))</f>
        <v>1</v>
      </c>
      <c r="AY77">
        <f>SUMPRODUCT(--('Данные 1st'!$S$2:$S$317=$A77),--ISNUMBER('Данные 1st'!$DP$2:$DP$317))</f>
        <v>1</v>
      </c>
      <c r="AZ77">
        <f>SUMPRODUCT(--('Данные 1st'!$S$2:$S$317=$A77),--ISNUMBER('Данные 1st'!$DR$2:$DR$317))</f>
        <v>0</v>
      </c>
      <c r="BA77">
        <f>SUMPRODUCT(--('Данные 1st'!$S$2:$S$317=$A77),--ISNUMBER('Данные 1st'!$DS$2:$DS$317))</f>
        <v>0</v>
      </c>
      <c r="BB77">
        <f>SUMPRODUCT(--('Данные 1st'!$S$2:$S$317=$A77),--ISNUMBER('Данные 1st'!$DT$2:$DT$317))</f>
        <v>0</v>
      </c>
      <c r="BC77">
        <f>SUMPRODUCT(--('Данные 1st'!$S$2:$S$317=$A77),--ISNUMBER('Данные 1st'!$DU$2:$DU$317))</f>
        <v>0</v>
      </c>
      <c r="BD77">
        <f>SUMPRODUCT(--('Данные 1st'!$S$2:$S$317=$A77),--ISNUMBER('Данные 1st'!$DV$2:$DV$317))</f>
        <v>0</v>
      </c>
      <c r="BE77">
        <f>SUMPRODUCT(--('Данные 1st'!$S$2:$S$317=$A77),--ISNUMBER('Данные 1st'!$DX$2:$DX$317))</f>
        <v>1</v>
      </c>
      <c r="BF77">
        <f>SUMPRODUCT(--('Данные 1st'!$S$2:$S$317=$A77),--ISNUMBER('Данные 1st'!$EA$2:$EA$317))</f>
        <v>1</v>
      </c>
      <c r="BG77">
        <f>SUMPRODUCT(--('Данные 1st'!$S$2:$S$317=$A77),--ISNUMBER('Данные 1st'!$EB$2:$EB$317))</f>
        <v>1</v>
      </c>
      <c r="BH77">
        <f>SUMPRODUCT(--('Данные 1st'!$S$2:$S$317=$A77),--ISNUMBER('Данные 1st'!$ED$2:$ED$317))</f>
        <v>1</v>
      </c>
      <c r="BI77">
        <f>SUMPRODUCT(--('Данные 1st'!$S$2:$S$317=$A77),--ISNUMBER('Данные 1st'!$EE$2:$EE$317))</f>
        <v>1</v>
      </c>
      <c r="BJ77">
        <f>SUMPRODUCT(--('Данные 1st'!$S$2:$S$317=$A77),--ISNUMBER('Данные 1st'!$EG$2:$EG$317))</f>
        <v>1</v>
      </c>
      <c r="BK77">
        <f>SUMPRODUCT(--('Данные 1st'!$S$2:$S$317=$A77),--ISNUMBER('Данные 1st'!$EH$2:$EH$317))</f>
        <v>1</v>
      </c>
      <c r="BL77">
        <f>SUMPRODUCT(--('Данные 1st'!$S$2:$S$317=$A77),--ISNUMBER('Данные 1st'!$EJ$2:$EJ$317))</f>
        <v>1</v>
      </c>
      <c r="BM77">
        <f>SUMPRODUCT(--('Данные 1st'!$S$2:$S$317=$A77),--ISNUMBER('Данные 1st'!$EK$2:$EK$317))</f>
        <v>1</v>
      </c>
      <c r="BN77">
        <f>SUMPRODUCT(--('Данные 1st'!$S$2:$S$317=$A77),--ISNUMBER('Данные 1st'!$EN$2:$EN$317))</f>
        <v>1</v>
      </c>
      <c r="BO77">
        <f>SUMPRODUCT(--('Данные 1st'!$S$2:$S$317=$A77),--ISNUMBER('Данные 1st'!$EQ$2:$EQ$317))</f>
        <v>1</v>
      </c>
      <c r="BP77">
        <f>SUMPRODUCT(--('Данные 1st'!$S$2:$S$317=$A77),--ISNUMBER('Данные 1st'!$ER$2:$ER$317))</f>
        <v>1</v>
      </c>
      <c r="BQ77">
        <f>SUMPRODUCT(--('Данные 1st'!$S$2:$S$317=$A77),--ISNUMBER('Данные 1st'!$ES$2:$ES$317))</f>
        <v>1</v>
      </c>
      <c r="BR77">
        <f>SUMPRODUCT(--('Данные 1st'!$S$2:$S$317=$A77),--ISNUMBER('Данные 1st'!$ET$2:$ET$317))</f>
        <v>1</v>
      </c>
      <c r="BS77">
        <f>SUMPRODUCT(--('Данные 1st'!$S$2:$S$317=$A77),--ISNUMBER('Данные 1st'!$EU$2:$EU$317))</f>
        <v>1</v>
      </c>
      <c r="BT77">
        <f>SUMPRODUCT(--('Данные 1st'!$S$2:$S$317=$A77),--ISNUMBER('Данные 1st'!$EV$2:$EV$317))</f>
        <v>1</v>
      </c>
      <c r="BU77">
        <f>SUMPRODUCT(--('Данные 1st'!$S$2:$S$317=$A77),--ISNUMBER('Данные 1st'!$EX$2:$EX$317))</f>
        <v>1</v>
      </c>
      <c r="BV77">
        <f>SUMPRODUCT(--('Данные 1st'!$S$2:$S$317=$A77),--ISNUMBER('Данные 1st'!$EY$2:$EY$317))</f>
        <v>1</v>
      </c>
      <c r="BW77">
        <f>SUMPRODUCT(--('Данные 1st'!$S$2:$S$317=$A77),--ISNUMBER('Данные 1st'!$EZ$2:$EZ$317))</f>
        <v>1</v>
      </c>
      <c r="BX77">
        <f>SUMPRODUCT(--('Данные 1st'!$S$2:$S$317=$A77),--ISNUMBER('Данные 1st'!$FA$2:$FA$317))</f>
        <v>1</v>
      </c>
      <c r="BY77">
        <f>SUMPRODUCT(--('Данные 1st'!$S$2:$S$317=$A77),--ISNUMBER('Данные 1st'!$FB$2:$FB$317))</f>
        <v>1</v>
      </c>
      <c r="BZ77">
        <f>SUMPRODUCT(--('Данные 1st'!$S$2:$S$317=$A77),--ISNUMBER('Данные 1st'!$FC$2:$FC$317))</f>
        <v>1</v>
      </c>
      <c r="CA77">
        <f>SUMPRODUCT(--('Данные 1st'!$S$2:$S$317=$A77),--ISNUMBER('Данные 1st'!$FE$2:$FE$317))</f>
        <v>1</v>
      </c>
      <c r="CB77">
        <f>SUMPRODUCT(--('Данные 1st'!$S$2:$S$317=$A77),--ISNUMBER('Данные 1st'!$FF$2:$FF$317))</f>
        <v>1</v>
      </c>
      <c r="CC77">
        <f>SUMPRODUCT(--('Данные 1st'!$S$2:$S$317=$A77),--ISNUMBER('Данные 1st'!$FI$2:$FI$317))</f>
        <v>1</v>
      </c>
      <c r="CD77">
        <f>SUMPRODUCT(--('Данные 1st'!$S$2:$S$317=$A77),--ISNUMBER('Данные 1st'!$FL$2:$FL$317))</f>
        <v>1</v>
      </c>
      <c r="CE77">
        <f>SUMPRODUCT(--('Данные 1st'!$S$2:$S$317=$A77),--ISNUMBER('Данные 1st'!$FM$2:$FM$317))</f>
        <v>1</v>
      </c>
      <c r="CF77">
        <f>SUMPRODUCT(--('Данные 1st'!$S$2:$S$317=$A77),--ISNUMBER('Данные 1st'!$FN$2:$FN$317))</f>
        <v>1</v>
      </c>
      <c r="CG77">
        <f>SUMPRODUCT(--('Данные 1st'!$S$2:$S$317=$A77),--ISNUMBER('Данные 1st'!$FO$2:$FO$317))</f>
        <v>1</v>
      </c>
      <c r="CH77">
        <f>SUMPRODUCT(--('Данные 1st'!$S$2:$S$317=$A77),--ISNUMBER('Данные 1st'!$FP$2:$FP$317))</f>
        <v>1</v>
      </c>
      <c r="CI77">
        <f>SUMPRODUCT(--('Данные 1st'!$S$2:$S$317=$A77),--ISNUMBER('Данные 1st'!$FS$2:$FS$317))</f>
        <v>0</v>
      </c>
      <c r="CJ77">
        <f>SUMPRODUCT(--('Данные 1st'!$S$2:$S$317=$A77),--ISNUMBER('Данные 1st'!$FT$2:$FT$317))</f>
        <v>0</v>
      </c>
      <c r="CK77">
        <f>SUMPRODUCT(--('Данные 1st'!$S$2:$S$317=$A77),--ISNUMBER('Данные 1st'!$FU$2:$FU$317))</f>
        <v>0</v>
      </c>
      <c r="CL77">
        <f>SUMPRODUCT(--('Данные 1st'!$S$2:$S$317=$A77),--ISNUMBER('Данные 1st'!$FV$2:$FV$317))</f>
        <v>0</v>
      </c>
      <c r="CM77">
        <f>SUMPRODUCT(--('Данные 1st'!$S$2:$S$317=$A77),--ISNUMBER('Данные 1st'!$FW$2:$FW$317))</f>
        <v>0</v>
      </c>
      <c r="CN77">
        <f>SUMPRODUCT(--('Данные 1st'!$S$2:$S$317=$A77),--ISNUMBER('Данные 1st'!$FZ$2:$FZ$317))</f>
        <v>0</v>
      </c>
      <c r="CO77">
        <f>SUMPRODUCT(--('Данные 1st'!$S$2:$S$317=$A77),--ISNUMBER('Данные 1st'!$GA$2:$GA$317))</f>
        <v>0</v>
      </c>
      <c r="CP77">
        <f>SUMPRODUCT(--('Данные 1st'!$S$2:$S$317=$A77),--ISNUMBER('Данные 1st'!$GB$2:$GB$317))</f>
        <v>0</v>
      </c>
      <c r="CQ77">
        <f>SUMPRODUCT(--('Данные 1st'!$S$2:$S$317=$A77),--ISNUMBER('Данные 1st'!$GH$2:$GH$317))</f>
        <v>0</v>
      </c>
      <c r="CR77">
        <f>SUMPRODUCT(--('Данные 1st'!$S$2:$S$317=$A77),--ISNUMBER('Данные 1st'!$GI$2:$GI$317))</f>
        <v>0</v>
      </c>
      <c r="CS77">
        <f>SUMPRODUCT(--('Данные 1st'!$S$2:$S$317=$A77),--ISNUMBER('Данные 1st'!$GJ$2:$GJ$317))</f>
        <v>0</v>
      </c>
      <c r="CT77">
        <f>SUMPRODUCT(--('Данные 1st'!$S$2:$S$317=$A77),--ISNUMBER('Данные 1st'!$GS$2:$GS$317))</f>
        <v>1</v>
      </c>
      <c r="CU77">
        <f>SUMPRODUCT(--('Данные 1st'!$S$2:$S$317=$A77),--ISNUMBER('Данные 1st'!$GT$2:$GT$317))</f>
        <v>1</v>
      </c>
      <c r="CV77">
        <f>SUMPRODUCT(--('Данные 1st'!$S$2:$S$317=$A77),--ISNUMBER('Данные 1st'!$GU$2:$GU$317))</f>
        <v>1</v>
      </c>
      <c r="CW77">
        <f>SUMPRODUCT(--('Данные 1st'!$S$2:$S$317=$A77),--ISNUMBER('Данные 1st'!$GV$2:$GV$317))</f>
        <v>1</v>
      </c>
      <c r="CX77">
        <f>SUMPRODUCT(--('Данные 1st'!$S$2:$S$317=$A77),--ISNUMBER('Данные 1st'!$GW$2:$GW$317))</f>
        <v>1</v>
      </c>
      <c r="CY77">
        <f>SUMPRODUCT(--('Данные 1st'!$S$2:$S$317=$A77),--ISNUMBER('Данные 1st'!$GZ$2:$GZ$317))</f>
        <v>1</v>
      </c>
      <c r="CZ77">
        <f>SUMPRODUCT(--('Данные 1st'!$S$2:$S$317=$A77),--ISNUMBER('Данные 1st'!$HA$2:$HA$317))</f>
        <v>1</v>
      </c>
      <c r="DA77">
        <f>SUMPRODUCT(--('Данные 1st'!$S$2:$S$317=$A77),--ISNUMBER('Данные 1st'!$HB$2:$HB$317))</f>
        <v>1</v>
      </c>
      <c r="DB77">
        <f>SUMPRODUCT(--('Данные 1st'!$S$2:$S$317=$A77),--ISNUMBER('Данные 1st'!$HC$2:$HC$317))</f>
        <v>1</v>
      </c>
      <c r="DC77">
        <f>SUMPRODUCT(--('Данные 1st'!$S$2:$S$317=$A77),--ISNUMBER('Данные 1st'!$HD$2:$HD$317))</f>
        <v>1</v>
      </c>
      <c r="DD77">
        <f>SUMPRODUCT(--('Данные 1st'!$S$2:$S$317=$A77),--ISNUMBER('Данные 1st'!$HE$2:$HE$317))</f>
        <v>1</v>
      </c>
      <c r="DE77">
        <f>SUMPRODUCT(--('Данные 1st'!$S$2:$S$317=$A77),--ISNUMBER('Данные 1st'!$HF$2:$HF$317))</f>
        <v>1</v>
      </c>
      <c r="DF77">
        <f>SUMPRODUCT(--('Данные 1st'!$S$2:$S$317=$A77),--ISNUMBER('Данные 1st'!$HG$2:$HG$317))</f>
        <v>1</v>
      </c>
      <c r="DG77">
        <f>SUMPRODUCT(--('Данные 1st'!$S$2:$S$317=$A77),--ISNUMBER('Данные 1st'!$HH$2:$HH$317))</f>
        <v>1</v>
      </c>
      <c r="DH77">
        <f>SUMPRODUCT(--('Данные 1st'!$S$2:$S$317=$A77),--ISNUMBER('Данные 1st'!$HI$2:$HI$317))</f>
        <v>1</v>
      </c>
      <c r="DI77">
        <f>SUMPRODUCT(--('Данные 1st'!$S$2:$S$317=$A77),--ISNUMBER('Данные 1st'!$HJ$2:$HJ$317))</f>
        <v>1</v>
      </c>
      <c r="DJ77">
        <f>SUMPRODUCT(--('Данные 1st'!$S$2:$S$317=$A77),--ISNUMBER('Данные 1st'!$HK$2:$HK$317))</f>
        <v>1</v>
      </c>
      <c r="DK77">
        <f>SUMPRODUCT(--('Данные 1st'!$S$2:$S$317=$A77),--ISNUMBER('Данные 1st'!$HL$2:$HL$317))</f>
        <v>1</v>
      </c>
      <c r="DL77">
        <f>SUMPRODUCT(--('Данные 1st'!$S$2:$S$317=$A77),--ISNUMBER('Данные 1st'!$HM$2:$HM$317))</f>
        <v>1</v>
      </c>
      <c r="DM77">
        <f>SUMPRODUCT(--('Данные 1st'!$S$2:$S$317=$A77),--ISNUMBER('Данные 1st'!$HN$2:$HN$317))</f>
        <v>1</v>
      </c>
      <c r="DN77">
        <f>SUMPRODUCT(--('Данные 1st'!$S$2:$S$317=$A77),--ISNUMBER('Данные 1st'!$HO$2:$HO$317))</f>
        <v>1</v>
      </c>
      <c r="DO77">
        <f>SUMPRODUCT(--('Данные 1st'!$S$2:$S$317=$A77),--ISNUMBER('Данные 1st'!$HP$2:$HP$317))</f>
        <v>1</v>
      </c>
      <c r="DP77">
        <f>SUMPRODUCT(--('Данные 1st'!$S$2:$S$317=$A77),--ISNUMBER('Данные 1st'!$HQ$2:$HQ$317))</f>
        <v>1</v>
      </c>
      <c r="DQ77">
        <f>SUMPRODUCT(--('Данные 1st'!$S$2:$S$317=$A77),--ISNUMBER('Данные 1st'!$HR$2:$HR$317))</f>
        <v>1</v>
      </c>
      <c r="DR77">
        <f>SUMPRODUCT(--('Данные 1st'!$S$2:$S$317=$A77),--ISNUMBER('Данные 1st'!$HS$2:$HS$317))</f>
        <v>1</v>
      </c>
      <c r="DS77">
        <f>SUMPRODUCT(--('Данные 1st'!$S$2:$S$317=$A77),--ISNUMBER('Данные 1st'!$HT$2:$HT$317))</f>
        <v>1</v>
      </c>
      <c r="DT77">
        <f>SUMPRODUCT(--('Данные 1st'!$S$2:$S$317=$A77),--ISNUMBER('Данные 1st'!$HU$2:$HU$317))</f>
        <v>1</v>
      </c>
      <c r="DU77">
        <f>SUMPRODUCT(--('Данные 1st'!$S$2:$S$317=$A77),--ISNUMBER('Данные 1st'!$HW$2:$HW$317))</f>
        <v>1</v>
      </c>
      <c r="DV77">
        <f>SUMPRODUCT(--('Данные 1st'!$S$2:$S$317=$A77),--ISNUMBER('Данные 1st'!$HX$2:$HX$317))</f>
        <v>1</v>
      </c>
      <c r="DW77">
        <f>SUMPRODUCT(--('Данные 1st'!$S$2:$S$317=$A77),--ISNUMBER('Данные 1st'!$HY$2:$HY$317))</f>
        <v>1</v>
      </c>
      <c r="DX77">
        <f>SUMPRODUCT(--('Данные 1st'!$S$2:$S$317=$A77),--ISNUMBER('Данные 1st'!$IA$2:$IA$317))</f>
        <v>1</v>
      </c>
      <c r="DY77">
        <f>SUMPRODUCT(--('Данные 1st'!$S$2:$S$317=$A77),--ISNUMBER('Данные 1st'!$IB$2:$IB$317))</f>
        <v>1</v>
      </c>
      <c r="DZ77">
        <f>SUMPRODUCT(--('Данные 1st'!$S$2:$S$317=$A77),--ISNUMBER('Данные 1st'!$IC$2:$IC$317))</f>
        <v>1</v>
      </c>
      <c r="EA77">
        <f>SUMPRODUCT(--('Данные 1st'!$S$2:$S$317=$A77),--ISNUMBER('Данные 1st'!$ID$2:$ID$317))</f>
        <v>1</v>
      </c>
      <c r="EB77">
        <f>SUMPRODUCT(--('Данные 1st'!$S$2:$S$317=$A77),--ISNUMBER('Данные 1st'!$IE$2:$IE$317))</f>
        <v>1</v>
      </c>
      <c r="EC77">
        <f>SUMPRODUCT(--('Данные 1st'!$S$2:$S$317=$A77),--ISNUMBER('Данные 1st'!$IF$2:$IF$317))</f>
        <v>1</v>
      </c>
      <c r="ED77">
        <f>SUMPRODUCT(--('Данные 1st'!$S$2:$S$317=$A77),--ISNUMBER('Данные 1st'!$IP$2:$IP$317))</f>
        <v>1</v>
      </c>
      <c r="EE77">
        <f>SUMPRODUCT(--('Данные 1st'!$S$2:$S$317=$A77),--ISNUMBER('Данные 1st'!$IV$2:$IV$317))</f>
        <v>1</v>
      </c>
      <c r="EF77">
        <f>SUMPRODUCT(--('Данные 1st'!$S$2:$S$317=$A77),--ISNUMBER('Данные 1st'!$IW$2:$IW$317))</f>
        <v>1</v>
      </c>
      <c r="EG77">
        <f>SUMPRODUCT(--('Данные 1st'!$S$2:$S$317=$A77),--ISNUMBER('Данные 1st'!$IX$2:$IX$317))</f>
        <v>0</v>
      </c>
      <c r="EH77">
        <f>SUMPRODUCT(--('Данные 1st'!$S$2:$S$317=$A77),--ISNUMBER('Данные 1st'!$IY$2:$IY$317))</f>
        <v>0</v>
      </c>
      <c r="EI77">
        <f>SUMPRODUCT(--('Данные 1st'!$S$2:$S$317=$A77),--ISNUMBER('Данные 1st'!$JD$2:$JD$317))</f>
        <v>1</v>
      </c>
      <c r="EJ77">
        <f>SUMPRODUCT(--('Данные 1st'!$S$2:$S$317=$A77),--ISNUMBER('Данные 1st'!$JE$2:$JE$317))</f>
        <v>1</v>
      </c>
      <c r="EK77">
        <f>SUMPRODUCT(--('Данные 1st'!$S$2:$S$317=$A77),--ISNUMBER('Данные 1st'!$JF$2:$JF$317))</f>
        <v>1</v>
      </c>
      <c r="EL77">
        <f>SUMPRODUCT(--('Данные 1st'!$S$2:$S$317=$A77),--ISNUMBER('Данные 1st'!$JG$2:$JG$317))</f>
        <v>1</v>
      </c>
      <c r="EM77">
        <f>SUMPRODUCT(--('Данные 1st'!$S$2:$S$317=$A77),--ISNUMBER('Данные 1st'!$JH$2:$JH$317))</f>
        <v>1</v>
      </c>
      <c r="EN77">
        <f>SUMPRODUCT(--('Данные 1st'!$S$2:$S$317=$A77),--ISNUMBER('Данные 1st'!$JJ$2:$JJ$317))</f>
        <v>1</v>
      </c>
      <c r="EO77">
        <f>SUMPRODUCT(--('Данные 1st'!$S$2:$S$317=$A77),--ISNUMBER('Данные 1st'!$JK$2:$JK$317))</f>
        <v>1</v>
      </c>
      <c r="EP77">
        <f>SUMPRODUCT(--('Данные 1st'!$S$2:$S$317=$A77),--ISNUMBER('Данные 1st'!$JL$2:$JL$317))</f>
        <v>0</v>
      </c>
      <c r="EQ77">
        <f>SUMPRODUCT(--('Данные 1st'!$S$2:$S$317=$A77),--ISNUMBER('Данные 1st'!$JM$2:$JM$317))</f>
        <v>0</v>
      </c>
      <c r="ER77">
        <f>SUMPRODUCT(--('Данные 1st'!$S$2:$S$317=$A77),--ISNUMBER('Данные 1st'!$JN$2:$JN$317))</f>
        <v>1</v>
      </c>
      <c r="ES77">
        <f>SUMPRODUCT(--('Данные 1st'!$S$2:$S$317=$A77),--ISNUMBER('Данные 1st'!$JO$2:$JO$317))</f>
        <v>1</v>
      </c>
      <c r="ET77">
        <f>SUMPRODUCT(--('Данные 1st'!$S$2:$S$317=$A77),--ISNUMBER('Данные 1st'!$JP$2:$JP$317))</f>
        <v>1</v>
      </c>
      <c r="EU77">
        <f>SUMPRODUCT(--('Данные 1st'!$S$2:$S$317=$A77),--ISNUMBER('Данные 1st'!$JQ$2:$JQ$317))</f>
        <v>1</v>
      </c>
      <c r="EV77">
        <f>SUMPRODUCT(--('Данные 1st'!$S$2:$S$317=$A77),--ISNUMBER('Данные 1st'!$JR$2:$JR$317))</f>
        <v>1</v>
      </c>
      <c r="EW77">
        <f>SUMPRODUCT(--('Данные 1st'!$S$2:$S$317=$A77),--ISNUMBER('Данные 1st'!$JS$2:$JS$317))</f>
        <v>1</v>
      </c>
      <c r="EX77">
        <f>SUMPRODUCT(--('Данные 1st'!$S$2:$S$317=$A77),--ISNUMBER('Данные 1st'!$JT$2:$JT$317))</f>
        <v>0</v>
      </c>
      <c r="EY77">
        <f>SUMPRODUCT(--('Данные 1st'!$S$2:$S$317=$A77),--ISNUMBER('Данные 1st'!$JU$2:$JU$317))</f>
        <v>0</v>
      </c>
      <c r="EZ77">
        <f>SUMPRODUCT(--('Данные 1st'!$S$2:$S$317=$A77),--ISNUMBER('Данные 1st'!$JV$2:$JV$317))</f>
        <v>1</v>
      </c>
      <c r="FA77">
        <f>SUMPRODUCT(--('Данные 1st'!$S$2:$S$317=$A77),--ISNUMBER('Данные 1st'!$JW$2:$JW$317))</f>
        <v>0</v>
      </c>
      <c r="FB77">
        <f>SUMPRODUCT(--('Данные 1st'!$S$2:$S$317=$A77),--ISNUMBER('Данные 1st'!$JX$2:$JX$317))</f>
        <v>1</v>
      </c>
      <c r="FC77">
        <f>SUMPRODUCT(--('Данные 1st'!$S$2:$S$317=$A77),--ISNUMBER('Данные 1st'!$JY$2:$JY$317))</f>
        <v>0</v>
      </c>
      <c r="FD77">
        <f>SUMPRODUCT(--('Данные 1st'!$S$2:$S$317=$A77),--ISNUMBER('Данные 1st'!$JZ$2:$JZ$317))</f>
        <v>0</v>
      </c>
      <c r="FE77">
        <f>SUMPRODUCT(--('Данные 1st'!$S$2:$S$317=$A77),--ISNUMBER('Данные 1st'!$KA$2:$KA$317))</f>
        <v>1</v>
      </c>
      <c r="FF77">
        <f>SUMPRODUCT(--('Данные 1st'!$S$2:$S$317=$A77),--ISNUMBER('Данные 1st'!$KB$2:$KB$317))</f>
        <v>1</v>
      </c>
      <c r="FG77">
        <f>SUMPRODUCT(--('Данные 1st'!$S$2:$S$317=$A77),--ISNUMBER('Данные 1st'!$KC$2:$KC$317))</f>
        <v>1</v>
      </c>
      <c r="FH77">
        <f>SUMPRODUCT(--('Данные 1st'!$S$2:$S$317=$A77),--ISNUMBER('Данные 1st'!$KD$2:$KD$317))</f>
        <v>1</v>
      </c>
      <c r="FI77">
        <f>SUMPRODUCT(--('Данные 1st'!$S$2:$S$317=$A77),--ISNUMBER('Данные 1st'!$KE$2:$KE$317))</f>
        <v>0</v>
      </c>
      <c r="FJ77">
        <f>SUMPRODUCT(--('Данные 1st'!$S$2:$S$317=$A77),--ISNUMBER('Данные 1st'!$KF$2:$KF$317))</f>
        <v>1</v>
      </c>
      <c r="FK77">
        <f>SUMPRODUCT(--('Данные 1st'!$S$2:$S$317=$A77),--ISNUMBER('Данные 1st'!$KG$2:$KG$317))</f>
        <v>1</v>
      </c>
      <c r="FL77">
        <f>SUMPRODUCT(--('Данные 1st'!$S$2:$S$317=$A77),--ISNUMBER('Данные 1st'!$KH$2:$KH$317))</f>
        <v>1</v>
      </c>
      <c r="FM77">
        <f>SUMPRODUCT(--('Данные 1st'!$S$2:$S$317=$A77),--ISNUMBER('Данные 1st'!$KI$2:$KI$317))</f>
        <v>1</v>
      </c>
      <c r="FN77">
        <f>SUMPRODUCT(--('Данные 1st'!$S$2:$S$317=$A77),--ISNUMBER('Данные 1st'!$KJ$2:$KJ$317))</f>
        <v>1</v>
      </c>
      <c r="FO77">
        <f>SUMPRODUCT(--('Данные 1st'!$S$2:$S$317=$A77),--ISNUMBER('Данные 1st'!$KK$2:$KK$317))</f>
        <v>1</v>
      </c>
      <c r="FP77">
        <f>SUMPRODUCT(--('Данные 1st'!$S$2:$S$317=$A77),--ISNUMBER('Данные 1st'!$KL$2:$KL$317))</f>
        <v>1</v>
      </c>
      <c r="FQ77">
        <f>SUMPRODUCT(--('Данные 1st'!$S$2:$S$317=$A77),--ISNUMBER('Данные 1st'!$KM$2:$KM$317))</f>
        <v>1</v>
      </c>
      <c r="FR77">
        <f>SUMPRODUCT(--('Данные 1st'!$S$2:$S$317=$A77),--ISNUMBER('Данные 1st'!$KN$2:$KN$317))</f>
        <v>1</v>
      </c>
      <c r="FS77">
        <f>SUMPRODUCT(--('Данные 1st'!$S$2:$S$317=$A77),--ISNUMBER('Данные 1st'!$KR$2:$KR$317))</f>
        <v>1</v>
      </c>
      <c r="FT77">
        <f>SUMPRODUCT(--('Данные 1st'!$S$2:$S$317=$A77),--ISNUMBER('Данные 1st'!$KS$2:$KS$317))</f>
        <v>1</v>
      </c>
      <c r="FU77">
        <f>SUMPRODUCT(--('Данные 1st'!$S$2:$S$317=$A77),--ISNUMBER('Данные 1st'!$KT$2:$KT$317))</f>
        <v>1</v>
      </c>
      <c r="FV77">
        <f>SUMPRODUCT(--('Данные 1st'!$S$2:$S$317=$A77),--ISNUMBER('Данные 1st'!$KV$2:$KV$317))</f>
        <v>0</v>
      </c>
      <c r="FW77">
        <f>SUMPRODUCT(--('Данные 1st'!$S$2:$S$317=$A77),--ISNUMBER('Данные 1st'!$KW$2:$KW$317))</f>
        <v>0</v>
      </c>
      <c r="FX77">
        <f>SUMPRODUCT(--('Данные 1st'!$S$2:$S$317=$A77),--ISNUMBER('Данные 1st'!$KX$2:$KX$317))</f>
        <v>0</v>
      </c>
      <c r="FY77">
        <f>SUMPRODUCT(--('Данные 1st'!$S$2:$S$317=$A77),--ISNUMBER('Данные 1st'!$KY$2:$KY$317))</f>
        <v>0</v>
      </c>
      <c r="FZ77">
        <f>SUMPRODUCT(--('Данные 1st'!$S$2:$S$317=$A77),--ISNUMBER('Данные 1st'!$KZ$2:$KZ$317))</f>
        <v>0</v>
      </c>
      <c r="GA77">
        <f>SUMPRODUCT(--('Данные 1st'!$S$2:$S$317=$A77),--ISNUMBER('Данные 1st'!$LA$2:$LA$317))</f>
        <v>0</v>
      </c>
      <c r="GB77">
        <f>SUMPRODUCT(--('Данные 1st'!$S$2:$S$317=$A77),--ISNUMBER('Данные 1st'!$LB$2:$LB$317))</f>
        <v>0</v>
      </c>
      <c r="GC77">
        <f>SUMPRODUCT(--('Данные 1st'!$S$2:$S$317=$A77),--ISNUMBER('Данные 1st'!$LC$2:$LC$317))</f>
        <v>0</v>
      </c>
      <c r="GD77">
        <f>SUMPRODUCT(--('Данные 1st'!$S$2:$S$317=$A77),--ISNUMBER('Данные 1st'!$LD$2:$LD$317))</f>
        <v>0</v>
      </c>
      <c r="GE77">
        <f>SUMPRODUCT(--('Данные 1st'!$S$2:$S$317=$A77),--ISNUMBER('Данные 1st'!$LE$2:$LE$317))</f>
        <v>0</v>
      </c>
      <c r="GF77">
        <f>SUMPRODUCT(--('Данные 1st'!$S$2:$S$317=$A77),--ISNUMBER('Данные 1st'!$LF$2:$LF$317))</f>
        <v>0</v>
      </c>
      <c r="GG77">
        <f>SUMPRODUCT(--('Данные 1st'!$S$2:$S$317=$A77),--ISNUMBER('Данные 1st'!$LG$2:$LG$317))</f>
        <v>0</v>
      </c>
      <c r="GH77">
        <f>SUMPRODUCT(--('Данные 1st'!$S$2:$S$317=$A77),--ISNUMBER('Данные 1st'!$LH$2:$LH$317))</f>
        <v>0</v>
      </c>
      <c r="GI77">
        <f>SUMPRODUCT(--('Данные 1st'!$S$2:$S$317=$A77),--ISNUMBER('Данные 1st'!$LI$2:$LI$317))</f>
        <v>0</v>
      </c>
      <c r="GJ77">
        <f>SUMPRODUCT(--('Данные 1st'!$S$2:$S$317=$A77),--ISNUMBER('Данные 1st'!$LJ$2:$LJ$317))</f>
        <v>0</v>
      </c>
      <c r="GK77">
        <f>SUMPRODUCT(--('Данные 1st'!$S$2:$S$317=$A77),--ISNUMBER('Данные 1st'!$LK$2:$LK$317))</f>
        <v>1</v>
      </c>
      <c r="GL77">
        <f>SUMPRODUCT(--('Данные 1st'!$S$2:$S$317=$A77),--ISNUMBER('Данные 1st'!$LV$2:$LV$317))</f>
        <v>0</v>
      </c>
      <c r="GM77">
        <f>SUMPRODUCT(--('Данные 1st'!$S$2:$S$317=$A77),--ISNUMBER('Данные 1st'!$LW$2:$LW$317))</f>
        <v>0</v>
      </c>
      <c r="GN77">
        <f>SUMPRODUCT(--('Данные 1st'!$S$2:$S$317=$A77),--ISNUMBER('Данные 1st'!$LX$2:$LX$317))</f>
        <v>0</v>
      </c>
      <c r="GO77">
        <f>SUMPRODUCT(--('Данные 1st'!$S$2:$S$317=$A77),--ISNUMBER('Данные 1st'!$LY$2:$LY$317))</f>
        <v>0</v>
      </c>
      <c r="GP77">
        <f>SUMPRODUCT(--('Данные 1st'!$S$2:$S$317=$A77),--ISNUMBER('Данные 1st'!$LZ$2:$LZ$317))</f>
        <v>0</v>
      </c>
      <c r="GQ77">
        <f>SUMPRODUCT(--('Данные 1st'!$S$2:$S$317=$A77),--ISNUMBER('Данные 1st'!$PG$2:$PG$317))</f>
        <v>1</v>
      </c>
      <c r="GR77">
        <f>SUMPRODUCT(--('Данные 1st'!$S$2:$S$317=$A77),--ISNUMBER('Данные 1st'!$PX$2:$PX$317))</f>
        <v>1</v>
      </c>
      <c r="GS77">
        <f>SUMPRODUCT(--('Данные 1st'!$S$2:$S$317=$A77),--ISNUMBER('Данные 1st'!$PY$2:$PY$317))</f>
        <v>1</v>
      </c>
      <c r="GT77">
        <f>SUMPRODUCT(--('Данные 1st'!$S$2:$S$317=$A77),--ISNUMBER('Данные 1st'!$QA$2:$QA$317))</f>
        <v>1</v>
      </c>
      <c r="GU77">
        <f>SUMPRODUCT(--('Данные 1st'!$S$2:$S$317=$A77),--ISNUMBER('Данные 1st'!$QB$2:$QB$317))</f>
        <v>1</v>
      </c>
      <c r="GV77">
        <f>SUMPRODUCT(--('Данные 1st'!$S$2:$S$317=$A77),--ISNUMBER('Данные 1st'!$QC$2:$QC$317))</f>
        <v>1</v>
      </c>
      <c r="GW77">
        <f>SUMPRODUCT(--('Данные 1st'!$S$2:$S$317=$A77),--ISNUMBER('Данные 1st'!$QD$2:$QD$317))</f>
        <v>1</v>
      </c>
      <c r="GX77">
        <f>SUMPRODUCT(--('Данные 1st'!$S$2:$S$317=$A77),--ISNUMBER('Данные 1st'!$QF$2:$QF$317))</f>
        <v>1</v>
      </c>
      <c r="GY77">
        <f>SUMPRODUCT(--('Данные 1st'!$S$2:$S$317=$A77),--ISNUMBER('Данные 1st'!$QG$2:$QG$317))</f>
        <v>1</v>
      </c>
      <c r="GZ77">
        <f>SUMPRODUCT(--('Данные 1st'!$S$2:$S$317=$A77),--ISNUMBER('Данные 1st'!$QH$2:$QH$317))</f>
        <v>1</v>
      </c>
      <c r="HA77">
        <f>SUMPRODUCT(--('Данные 1st'!$S$2:$S$317=$A77),--ISNUMBER('Данные 1st'!$QI$2:$QI$317))</f>
        <v>1</v>
      </c>
      <c r="HB77">
        <f>SUMPRODUCT(--('Данные 1st'!$S$2:$S$317=$A77),--ISNUMBER('Данные 1st'!$QK$2:$QK$317))</f>
        <v>1</v>
      </c>
      <c r="HC77">
        <f>SUMPRODUCT(--('Данные 1st'!$S$2:$S$317=$A77),--ISNUMBER('Данные 1st'!$QL$2:$QL$317))</f>
        <v>1</v>
      </c>
      <c r="HD77">
        <f>SUMPRODUCT(--('Данные 1st'!$S$2:$S$317=$A77),--ISNUMBER('Данные 1st'!$QM$2:$QM$317))</f>
        <v>1</v>
      </c>
      <c r="HE77">
        <f>SUMPRODUCT(--('Данные 1st'!$S$2:$S$317=$A77),--ISNUMBER('Данные 1st'!$QN$2:$QN$317))</f>
        <v>1</v>
      </c>
      <c r="HF77">
        <f>SUMPRODUCT(--('Данные 1st'!$S$2:$S$317=$A77),--ISNUMBER('Данные 1st'!$QP$2:$QP$317))</f>
        <v>1</v>
      </c>
      <c r="HG77">
        <f>SUMPRODUCT(--('Данные 1st'!$S$2:$S$317=$A77),--ISNUMBER('Данные 1st'!$QQ$2:$QQ$317))</f>
        <v>1</v>
      </c>
      <c r="HH77">
        <f>SUMPRODUCT(--('Данные 1st'!$S$2:$S$317=$A77),--ISNUMBER('Данные 1st'!$QR$2:$QR$317))</f>
        <v>1</v>
      </c>
      <c r="HI77">
        <f>SUMPRODUCT(--('Данные 1st'!$S$2:$S$317=$A77),--ISNUMBER('Данные 1st'!$QS$2:$QS$317))</f>
        <v>1</v>
      </c>
      <c r="HJ77">
        <f>SUMPRODUCT(--('Данные 1st'!$S$2:$S$317=$A77),--ISNUMBER('Данные 1st'!$QU$2:$QU$317))</f>
        <v>1</v>
      </c>
      <c r="HK77">
        <f>SUMPRODUCT(--('Данные 1st'!$S$2:$S$317=$A77),--ISNUMBER('Данные 1st'!$QV$2:$QV$317))</f>
        <v>1</v>
      </c>
      <c r="HL77">
        <f>SUMPRODUCT(--('Данные 1st'!$S$2:$S$317=$A77),--ISNUMBER('Данные 1st'!$QW$2:$QW$317))</f>
        <v>1</v>
      </c>
      <c r="HM77">
        <f>SUMPRODUCT(--('Данные 1st'!$S$2:$S$317=$A77),--ISNUMBER('Данные 1st'!$QX$2:$QX$317))</f>
        <v>0</v>
      </c>
      <c r="HN77">
        <f>SUMPRODUCT(--('Данные 1st'!$S$2:$S$317=$A77),--ISNUMBER('Данные 1st'!$QZ$2:$QZ$317))</f>
        <v>1</v>
      </c>
      <c r="HO77">
        <f>SUMPRODUCT(--('Данные 1st'!$S$2:$S$317=$A77),--ISNUMBER('Данные 1st'!$RA$2:$RA$317))</f>
        <v>1</v>
      </c>
      <c r="HP77">
        <f>SUMPRODUCT(--('Данные 1st'!$S$2:$S$317=$A77),--ISNUMBER('Данные 1st'!$RB$2:$RB$317))</f>
        <v>1</v>
      </c>
      <c r="HQ77">
        <f>SUMPRODUCT(--('Данные 1st'!$S$2:$S$317=$A77),--ISNUMBER('Данные 1st'!$RD$2:$RD$317))</f>
        <v>0</v>
      </c>
      <c r="HR77">
        <f>SUMPRODUCT(--('Данные 1st'!$S$2:$S$317=$A77),--ISNUMBER('Данные 1st'!$RE$2:$RE$317))</f>
        <v>1</v>
      </c>
      <c r="HS77">
        <f>SUMPRODUCT(--('Данные 1st'!$S$2:$S$317=$A77),--ISNUMBER('Данные 1st'!$RF$2:$RF$317))</f>
        <v>1</v>
      </c>
      <c r="HT77">
        <f>SUMPRODUCT(--('Данные 1st'!$S$2:$S$317=$A77),--ISNUMBER('Данные 1st'!$RG$2:$RG$317))</f>
        <v>0</v>
      </c>
      <c r="HU77">
        <f>SUMPRODUCT(--('Данные 1st'!$S$2:$S$317=$A77),--ISNUMBER('Данные 1st'!$RH$2:$RH$317))</f>
        <v>0</v>
      </c>
      <c r="HV77">
        <f>SUMPRODUCT(--('Данные 1st'!$S$2:$S$317=$A77),--ISNUMBER('Данные 1st'!$RI$2:$RI$317))</f>
        <v>1</v>
      </c>
      <c r="HW77">
        <f>SUMPRODUCT(--('Данные 1st'!$S$2:$S$317=$A77),--ISNUMBER('Данные 1st'!$RJ$2:$RJ$317))</f>
        <v>1</v>
      </c>
      <c r="HX77">
        <f>SUMPRODUCT(--('Данные 1st'!$S$2:$S$317=$A77),--ISNUMBER('Данные 1st'!$RK$2:$RK$317))</f>
        <v>1</v>
      </c>
      <c r="HY77">
        <f>SUMPRODUCT(--('Данные 1st'!$S$2:$S$317=$A77),--ISNUMBER('Данные 1st'!$RL$2:$RL$317))</f>
        <v>1</v>
      </c>
      <c r="HZ77">
        <f>SUMPRODUCT(--('Данные 1st'!$S$2:$S$317=$A77),--ISNUMBER('Данные 1st'!$RM$2:$RM$317))</f>
        <v>1</v>
      </c>
      <c r="IA77">
        <f>SUMPRODUCT(--('Данные 1st'!$S$2:$S$317=$A77),--ISNUMBER('Данные 1st'!$RN$2:$RN$317))</f>
        <v>0</v>
      </c>
      <c r="IB77">
        <f>SUMPRODUCT(--('Данные 1st'!$S$2:$S$317=$A77),--ISNUMBER('Данные 1st'!$RO$2:$RO$317))</f>
        <v>1</v>
      </c>
      <c r="IC77">
        <f>SUMPRODUCT(--('Данные 1st'!$S$2:$S$317=$A77),--ISNUMBER('Данные 1st'!$RP$2:$RP$317))</f>
        <v>1</v>
      </c>
      <c r="ID77">
        <f>SUMPRODUCT(--('Данные 1st'!$S$2:$S$317=$A77),--ISNUMBER('Данные 1st'!$RQ$2:$RQ$317))</f>
        <v>1</v>
      </c>
      <c r="IE77">
        <f>SUMPRODUCT(--('Данные 1st'!$S$2:$S$317=$A77),--ISNUMBER('Данные 1st'!$RR$2:$RR$317))</f>
        <v>1</v>
      </c>
      <c r="IF77">
        <f>SUMPRODUCT(--('Данные 1st'!$S$2:$S$317=$A77),--ISNUMBER('Данные 1st'!$RS$2:$RS$317))</f>
        <v>0</v>
      </c>
      <c r="IG77">
        <f>SUMPRODUCT(--('Данные 1st'!$S$2:$S$317=$A77),--ISNUMBER('Данные 1st'!$RT$2:$RT$317))</f>
        <v>1</v>
      </c>
      <c r="IH77">
        <f>SUMPRODUCT(--('Данные 1st'!$S$2:$S$317=$A77),--ISNUMBER('Данные 1st'!$RU$2:$RU$317))</f>
        <v>1</v>
      </c>
      <c r="II77">
        <f>SUMPRODUCT(--('Данные 1st'!$S$2:$S$317=$A77),--ISNUMBER('Данные 1st'!$RX$2:$RX$317))</f>
        <v>1</v>
      </c>
      <c r="IJ77">
        <f>SUMPRODUCT(--('Данные 1st'!$S$2:$S$317=$A77),--ISNUMBER('Данные 1st'!$RY$2:$RY$317))</f>
        <v>1</v>
      </c>
      <c r="IK77">
        <f>SUMPRODUCT(--('Данные 1st'!$S$2:$S$317=$A77),--ISNUMBER('Данные 1st'!$SA$2:$SA$317))</f>
        <v>1</v>
      </c>
      <c r="IL77">
        <f>SUMPRODUCT(--('Данные 1st'!$S$2:$S$317=$A77),--ISNUMBER('Данные 1st'!$SD$2:$SD$317))</f>
        <v>1</v>
      </c>
      <c r="IM77">
        <f>SUMPRODUCT(--('Данные 1st'!$S$2:$S$317=$A77),--ISNUMBER('Данные 1st'!$SG$2:$SG$317))</f>
        <v>1</v>
      </c>
      <c r="IN77">
        <f>SUMPRODUCT(--('Данные 1st'!$S$2:$S$317=$A77),--ISNUMBER('Данные 1st'!$SH$2:$SH$317))</f>
        <v>1</v>
      </c>
      <c r="IO77">
        <f>SUMPRODUCT(--('Данные 1st'!$S$2:$S$317=$A77),--ISNUMBER('Данные 1st'!$SI$2:$SI$317))</f>
        <v>1</v>
      </c>
      <c r="IP77">
        <f>SUMPRODUCT(--('Данные 1st'!$S$2:$S$317=$A77),--ISNUMBER('Данные 1st'!$SJ$2:$SJ$317))</f>
        <v>1</v>
      </c>
      <c r="IQ77">
        <f>SUMPRODUCT(--('Данные 1st'!$S$2:$S$317=$A77),--ISNUMBER('Данные 1st'!$SK$2:$SK$317))</f>
        <v>1</v>
      </c>
      <c r="IR77">
        <f>SUMPRODUCT(--('Данные 1st'!$S$2:$S$317=$A77),--ISNUMBER('Данные 1st'!$SL$2:$SL$317))</f>
        <v>1</v>
      </c>
      <c r="IS77">
        <f>SUMPRODUCT(--('Данные 1st'!$S$2:$S$317=$A77),--ISNUMBER('Данные 1st'!$SM$2:$SM$317))</f>
        <v>1</v>
      </c>
      <c r="IT77">
        <f>SUMPRODUCT(--('Данные 1st'!$S$2:$S$317=$A77),--ISNUMBER('Данные 1st'!$SN$2:$SN$317))</f>
        <v>1</v>
      </c>
      <c r="IU77">
        <f>SUMPRODUCT(--('Данные 1st'!$S$2:$S$317=$A77),--ISNUMBER('Данные 1st'!$SO$2:$SO$317))</f>
        <v>1</v>
      </c>
      <c r="IV77">
        <f>SUMPRODUCT(--('Данные 1st'!$S$2:$S$317=$A77),--ISNUMBER('Данные 1st'!$SP$2:$SP$317))</f>
        <v>1</v>
      </c>
      <c r="IW77">
        <f>SUMPRODUCT(--('Данные 1st'!$S$2:$S$317=$A77),--ISNUMBER('Данные 1st'!$SQ$2:$SQ$317))</f>
        <v>1</v>
      </c>
      <c r="IX77">
        <f>SUMPRODUCT(--('Данные 1st'!$S$2:$S$317=$A77),--ISNUMBER('Данные 1st'!$SR$2:$SR$317))</f>
        <v>1</v>
      </c>
      <c r="IY77">
        <f>SUMPRODUCT(--('Данные 1st'!$S$2:$S$317=$A77),--ISNUMBER('Данные 1st'!$SS$2:$SS$317))</f>
        <v>1</v>
      </c>
      <c r="IZ77">
        <f>SUMPRODUCT(--('Данные 1st'!$S$2:$S$317=$A77),--ISNUMBER('Данные 1st'!$ST$2:$ST$317))</f>
        <v>1</v>
      </c>
      <c r="JA77">
        <f>SUMPRODUCT(--('Данные 1st'!$S$2:$S$317=$A77),--ISNUMBER('Данные 1st'!$SU$2:$SU$317))</f>
        <v>1</v>
      </c>
      <c r="JB77">
        <f>SUMPRODUCT(--('Данные 1st'!$S$2:$S$317=$A77),--ISNUMBER('Данные 1st'!$SV$2:$SV$317))</f>
        <v>1</v>
      </c>
      <c r="JC77">
        <f>SUMPRODUCT(--('Данные 1st'!$S$2:$S$317=$A77),--ISNUMBER('Данные 1st'!$SW$2:$SW$317))</f>
        <v>1</v>
      </c>
      <c r="JD77">
        <f>SUMPRODUCT(--('Данные 1st'!$S$2:$S$317=$A77),--ISNUMBER('Данные 1st'!$SX$2:$SX$317))</f>
        <v>1</v>
      </c>
      <c r="JE77">
        <f>SUMPRODUCT(--('Данные 1st'!$S$2:$S$317=$A77),--ISNUMBER('Данные 1st'!$SY$2:$SY$317))</f>
        <v>1</v>
      </c>
      <c r="JF77">
        <f>SUMPRODUCT(--('Данные 1st'!$S$2:$S$317=$A77),--ISNUMBER('Данные 1st'!$SZ$2:$SZ$317))</f>
        <v>1</v>
      </c>
      <c r="JG77">
        <f>SUMPRODUCT(--('Данные 1st'!$S$2:$S$317=$A77),--ISNUMBER('Данные 1st'!$TA$2:$TA$317))</f>
        <v>0</v>
      </c>
      <c r="JH77">
        <f>SUMPRODUCT(--('Данные 1st'!$S$2:$S$317=$A77),--ISNUMBER('Данные 1st'!$TB$2:$TB$317))</f>
        <v>1</v>
      </c>
      <c r="JI77">
        <f>SUMPRODUCT(--('Данные 1st'!$S$2:$S$317=$A77),--ISNUMBER('Данные 1st'!$TC$2:$TC$317))</f>
        <v>1</v>
      </c>
      <c r="JJ77">
        <f>SUMPRODUCT(--('Данные 1st'!$S$2:$S$317=$A77),--ISNUMBER('Данные 1st'!$TD$2:$TD$317))</f>
        <v>1</v>
      </c>
      <c r="JK77">
        <f>SUMPRODUCT(--('Данные 1st'!$S$2:$S$317=$A77),--ISNUMBER('Данные 1st'!$TN$2:$TN$317))</f>
        <v>1</v>
      </c>
      <c r="JQ77">
        <f>SUMPRODUCT(--('Данные 2st'!$Q$2:$Q$317=$A77),--ISNUMBER('Данные 2st'!$AC$2:$AC$317))</f>
        <v>1</v>
      </c>
      <c r="JR77">
        <f>SUMPRODUCT(--('Данные 2st'!$Q$2:$Q$317=$A77),--ISNUMBER('Данные 2st'!$AF$2:$AF$317))</f>
        <v>1</v>
      </c>
      <c r="JS77">
        <f>SUMPRODUCT(--('Данные 2st'!$Q$2:$Q$317=$A77),--ISNUMBER('Данные 2st'!$AW$2:$AW$317))</f>
        <v>1</v>
      </c>
      <c r="JT77">
        <f>SUMPRODUCT(--('Данные 2st'!$Q$2:$Q$317=$A77),--ISNUMBER('Данные 2st'!$AX$2:$AX$317))</f>
        <v>1</v>
      </c>
      <c r="JU77">
        <f>SUMPRODUCT(--('Данные 2st'!$Q$2:$Q$317=$A77),--ISNUMBER('Данные 2st'!$AY$2:$AY$317))</f>
        <v>1</v>
      </c>
      <c r="JV77">
        <f>SUMPRODUCT(--('Данные 2st'!$Q$2:$Q$317=$A77),--ISNUMBER('Данные 2st'!$AZ$2:$AZ$317))</f>
        <v>1</v>
      </c>
      <c r="JW77">
        <f>SUMPRODUCT(--('Данные 2st'!$Q$2:$Q$317=$A77),--ISNUMBER('Данные 2st'!$BA$2:$BA$317))</f>
        <v>0</v>
      </c>
      <c r="JX77">
        <f>SUMPRODUCT(--('Данные 2st'!$Q$2:$Q$317=$A77),--ISNUMBER('Данные 2st'!$BB$2:$BB$317))</f>
        <v>0</v>
      </c>
      <c r="JY77">
        <f>SUMPRODUCT(--('Данные 2st'!$Q$2:$Q$317=$A77),--ISNUMBER('Данные 2st'!$BC$2:$BC$317))</f>
        <v>0</v>
      </c>
      <c r="JZ77">
        <f>SUMPRODUCT(--('Данные 2st'!$Q$2:$Q$317=$A77),--ISNUMBER('Данные 2st'!$BH$2:$BH$317))</f>
        <v>1</v>
      </c>
      <c r="KA77">
        <f>SUMPRODUCT(--('Данные 2st'!$Q$2:$Q$317=$A77),--ISNUMBER('Данные 2st'!$BI$2:$BI$317))</f>
        <v>1</v>
      </c>
      <c r="KB77">
        <f>SUMPRODUCT(--('Данные 2st'!$Q$2:$Q$317=$A77),--ISNUMBER('Данные 2st'!$BJ$2:$BJ$317))</f>
        <v>1</v>
      </c>
      <c r="KC77">
        <f>SUMPRODUCT(--('Данные 2st'!$Q$2:$Q$317=$A77),--ISNUMBER('Данные 2st'!$BK$2:$BK$317))</f>
        <v>1</v>
      </c>
      <c r="KD77">
        <f>SUMPRODUCT(--('Данные 2st'!$Q$2:$Q$317=$A77),--ISNUMBER('Данные 2st'!$BL$2:$BL$317))</f>
        <v>1</v>
      </c>
      <c r="KE77">
        <f>SUMPRODUCT(--('Данные 2st'!$Q$2:$Q$317=$A77),--ISNUMBER('Данные 2st'!$BM$2:$BM$317))</f>
        <v>1</v>
      </c>
      <c r="KF77">
        <f>SUMPRODUCT(--('Данные 2st'!$Q$2:$Q$317=$A77),--ISNUMBER('Данные 2st'!$BN$2:$BN$317))</f>
        <v>1</v>
      </c>
      <c r="KG77">
        <f>SUMPRODUCT(--('Данные 2st'!$Q$2:$Q$317=$A77),--ISNUMBER('Данные 2st'!$BO$2:$BO$317))</f>
        <v>0</v>
      </c>
      <c r="KH77">
        <f>SUMPRODUCT(--('Данные 2st'!$Q$2:$Q$317=$A77),--ISNUMBER('Данные 2st'!$BP$2:$BP$317))</f>
        <v>1</v>
      </c>
      <c r="KI77">
        <f>SUMPRODUCT(--('Данные 2st'!$Q$2:$Q$317=$A77),--ISNUMBER('Данные 2st'!$BR$2:$BR$317))</f>
        <v>1</v>
      </c>
      <c r="KJ77">
        <f>SUMPRODUCT(--('Данные 2st'!$Q$2:$Q$317=$A77),--ISNUMBER('Данные 2st'!$BS$2:$BS$317))</f>
        <v>1</v>
      </c>
      <c r="KK77">
        <f>SUMPRODUCT(--('Данные 2st'!$Q$2:$Q$317=$A77),--ISNUMBER('Данные 2st'!$BT$2:$BT$317))</f>
        <v>1</v>
      </c>
      <c r="KL77">
        <f>SUMPRODUCT(--('Данные 2st'!$Q$2:$Q$317=$A77),--ISNUMBER('Данные 2st'!$CV$2:$CV$317))</f>
        <v>1</v>
      </c>
      <c r="KM77">
        <f>SUMPRODUCT(--('Данные 2st'!$Q$2:$Q$317=$A77),--ISNUMBER('Данные 2st'!$CW$2:$CW$317))</f>
        <v>1</v>
      </c>
      <c r="KN77">
        <f>SUMPRODUCT(--('Данные 2st'!$Q$2:$Q$317=$A77),--ISNUMBER('Данные 2st'!$CX$2:$CX$317))</f>
        <v>1</v>
      </c>
      <c r="KO77">
        <f>SUMPRODUCT(--('Данные 2st'!$Q$2:$Q$317=$A77),--ISNUMBER('Данные 2st'!$CY$2:$CY$317))</f>
        <v>1</v>
      </c>
      <c r="KP77">
        <f>SUMPRODUCT(--('Данные 2st'!$Q$2:$Q$317=$A77),--ISNUMBER('Данные 2st'!$CZ$2:$CZ$317))</f>
        <v>1</v>
      </c>
      <c r="KQ77">
        <f>SUMPRODUCT(--('Данные 2st'!$Q$2:$Q$317=$A77),--ISNUMBER('Данные 2st'!$DA$2:$DA$317))</f>
        <v>1</v>
      </c>
      <c r="KR77">
        <f>SUMPRODUCT(--('Данные 2st'!$Q$2:$Q$317=$A77),--ISNUMBER('Данные 2st'!$DB$2:$DB$317))</f>
        <v>1</v>
      </c>
      <c r="KS77">
        <f>SUMPRODUCT(--('Данные 2st'!$Q$2:$Q$317=$A77),--ISNUMBER('Данные 2st'!$DC$2:$DC$317))</f>
        <v>1</v>
      </c>
      <c r="KT77">
        <f>SUMPRODUCT(--('Данные 2st'!$Q$2:$Q$317=$A77),--ISNUMBER('Данные 2st'!$DD$2:$DD$317))</f>
        <v>1</v>
      </c>
      <c r="KU77">
        <f>SUMPRODUCT(--('Данные 2st'!$Q$2:$Q$317=$A77),--ISNUMBER('Данные 2st'!$DE$2:$DE$317))</f>
        <v>1</v>
      </c>
      <c r="KV77">
        <f>SUMPRODUCT(--('Данные 2st'!$Q$2:$Q$317=$A77),--ISNUMBER('Данные 2st'!$DF$2:$DF$317))</f>
        <v>1</v>
      </c>
      <c r="KW77">
        <f>SUMPRODUCT(--('Данные 2st'!$Q$2:$Q$317=$A77),--ISNUMBER('Данные 2st'!$DG$2:$DG$317))</f>
        <v>1</v>
      </c>
      <c r="KX77">
        <f>SUMPRODUCT(--('Данные 2st'!$Q$2:$Q$317=$A77),--ISNUMBER('Данные 2st'!$DH$2:$DH$317))</f>
        <v>1</v>
      </c>
      <c r="KY77">
        <f>SUMPRODUCT(--('Данные 2st'!$Q$2:$Q$317=$A77),--ISNUMBER('Данные 2st'!$DI$2:$DI$317))</f>
        <v>0</v>
      </c>
      <c r="KZ77">
        <f>SUMPRODUCT(--('Данные 2st'!$Q$2:$Q$317=$A77),--ISNUMBER('Данные 2st'!$DK$2:$DK$317))</f>
        <v>1</v>
      </c>
      <c r="LA77">
        <f>SUMPRODUCT(--('Данные 2st'!$Q$2:$Q$317=$A77),--ISNUMBER('Данные 2st'!$DM$2:$DM$317))</f>
        <v>1</v>
      </c>
      <c r="LB77">
        <f>SUMPRODUCT(--('Данные 2st'!$Q$2:$Q$317=$A77),--ISNUMBER('Данные 2st'!$DN$2:$DN$317))</f>
        <v>1</v>
      </c>
      <c r="LC77">
        <f>SUMPRODUCT(--('Данные 2st'!$Q$2:$Q$317=$A77),--ISNUMBER('Данные 2st'!$DO$2:$DO$317))</f>
        <v>1</v>
      </c>
      <c r="LD77">
        <f>SUMPRODUCT(--('Данные 2st'!$Q$2:$Q$317=$A77),--ISNUMBER('Данные 2st'!$DP$2:$DP$317))</f>
        <v>1</v>
      </c>
      <c r="LE77">
        <f>SUMPRODUCT(--('Данные 2st'!$Q$2:$Q$317=$A77),--ISNUMBER('Данные 2st'!$DQ$2:$DQ$317))</f>
        <v>1</v>
      </c>
      <c r="LF77">
        <f>SUMPRODUCT(--('Данные 2st'!$Q$2:$Q$317=$A77),--ISNUMBER('Данные 2st'!$DS$2:$DS$317))</f>
        <v>1</v>
      </c>
      <c r="LG77">
        <f>SUMPRODUCT(--('Данные 2st'!$Q$2:$Q$317=$A77),--ISNUMBER('Данные 2st'!$DU$2:$DU$317))</f>
        <v>1</v>
      </c>
      <c r="LH77">
        <f>SUMPRODUCT(--('Данные 2st'!$Q$2:$Q$317=$A77),--ISNUMBER('Данные 2st'!$DV$2:$DV$317))</f>
        <v>1</v>
      </c>
      <c r="LI77">
        <f>SUMPRODUCT(--('Данные 2st'!$Q$2:$Q$317=$A77),--ISNUMBER('Данные 2st'!$DW$2:$DW$317))</f>
        <v>1</v>
      </c>
      <c r="LJ77">
        <f>SUMPRODUCT(--('Данные 2st'!$Q$2:$Q$317=$A77),--ISNUMBER('Данные 2st'!$DX$2:$DX$317))</f>
        <v>1</v>
      </c>
      <c r="LK77">
        <f>SUMPRODUCT(--('Данные 2st'!$Q$2:$Q$317=$A77),--ISNUMBER('Данные 2st'!$DY$2:$DY$317))</f>
        <v>1</v>
      </c>
      <c r="LL77">
        <f>SUMPRODUCT(--('Данные 2st'!$Q$2:$Q$317=$A77),--ISNUMBER('Данные 2st'!$EA$2:$EA$317))</f>
        <v>1</v>
      </c>
      <c r="LM77">
        <f>SUMPRODUCT(--('Данные 2st'!$Q$2:$Q$317=$A77),--ISNUMBER('Данные 2st'!$EC$2:$EC$317))</f>
        <v>1</v>
      </c>
      <c r="LN77">
        <f>SUMPRODUCT(--('Данные 2st'!$Q$2:$Q$317=$A77),--ISNUMBER('Данные 2st'!$ED$2:$ED$317))</f>
        <v>1</v>
      </c>
      <c r="LO77">
        <f>SUMPRODUCT(--('Данные 2st'!$Q$2:$Q$317=$A77),--ISNUMBER('Данные 2st'!$EE$2:$EE$317))</f>
        <v>1</v>
      </c>
      <c r="LP77">
        <f>SUMPRODUCT(--('Данные 2st'!$Q$2:$Q$317=$A77),--ISNUMBER('Данные 2st'!$EG$2:$EG$317))</f>
        <v>1</v>
      </c>
      <c r="LQ77">
        <f>SUMPRODUCT(--('Данные 2st'!$Q$2:$Q$317=$A77),--ISNUMBER('Данные 2st'!$EI$2:$EI$317))</f>
        <v>1</v>
      </c>
      <c r="LR77">
        <f>SUMPRODUCT(--('Данные 2st'!$Q$2:$Q$317=$A77),--ISNUMBER('Данные 2st'!$EJ$2:$EJ$317))</f>
        <v>0</v>
      </c>
      <c r="LS77">
        <f>SUMPRODUCT(--('Данные 2st'!$Q$2:$Q$317=$A77),--ISNUMBER('Данные 2st'!$EK$2:$EK$317))</f>
        <v>0</v>
      </c>
      <c r="LT77">
        <f>SUMPRODUCT(--('Данные 2st'!$Q$2:$Q$317=$A77),--ISNUMBER('Данные 2st'!$EM$2:$EM$317))</f>
        <v>1</v>
      </c>
      <c r="LU77">
        <f>SUMPRODUCT(--('Данные 2st'!$Q$2:$Q$317=$A77),--ISNUMBER('Данные 2st'!$EN$2:$EN$317))</f>
        <v>1</v>
      </c>
      <c r="LV77">
        <f>SUMPRODUCT(--('Данные 2st'!$Q$2:$Q$317=$A77),--ISNUMBER('Данные 2st'!$EO$2:$EO$317))</f>
        <v>1</v>
      </c>
      <c r="LW77">
        <f>SUMPRODUCT(--('Данные 2st'!$Q$2:$Q$317=$A77),--ISNUMBER('Данные 2st'!$EP$2:$EP$317))</f>
        <v>1</v>
      </c>
      <c r="LX77">
        <f>SUMPRODUCT(--('Данные 2st'!$Q$2:$Q$317=$A77),--ISNUMBER('Данные 2st'!$EQ$2:$EQ$317))</f>
        <v>1</v>
      </c>
      <c r="LY77">
        <f>SUMPRODUCT(--('Данные 2st'!$Q$2:$Q$317=$A77),--ISNUMBER('Данные 2st'!$ER$2:$ER$317))</f>
        <v>1</v>
      </c>
      <c r="LZ77">
        <f>SUMPRODUCT(--('Данные 2st'!$Q$2:$Q$317=$A77),--ISNUMBER('Данные 2st'!$ES$2:$ES$317))</f>
        <v>1</v>
      </c>
      <c r="MA77">
        <f>SUMPRODUCT(--('Данные 2st'!$Q$2:$Q$317=$A77),--ISNUMBER('Данные 2st'!$ET$2:$ET$317))</f>
        <v>1</v>
      </c>
      <c r="MB77">
        <f>SUMPRODUCT(--('Данные 2st'!$Q$2:$Q$317=$A77),--ISNUMBER('Данные 2st'!$EU$2:$EU$317))</f>
        <v>1</v>
      </c>
      <c r="MC77">
        <f>SUMPRODUCT(--('Данные 2st'!$Q$2:$Q$317=$A77),--ISNUMBER('Данные 2st'!$EV$2:$EV$317))</f>
        <v>1</v>
      </c>
      <c r="MD77">
        <f>SUMPRODUCT(--('Данные 2st'!$Q$2:$Q$317=$A77),--ISNUMBER('Данные 2st'!$EW$2:$EW$317))</f>
        <v>1</v>
      </c>
      <c r="ME77">
        <f>SUMPRODUCT(--('Данные 2st'!$Q$2:$Q$317=$A77),--ISNUMBER('Данные 2st'!$EY$2:$EY$317))</f>
        <v>1</v>
      </c>
      <c r="MF77">
        <f>SUMPRODUCT(--('Данные 2st'!$Q$2:$Q$317=$A77),--ISNUMBER('Данные 2st'!$FA$2:$FA$317))</f>
        <v>1</v>
      </c>
      <c r="MG77">
        <f>SUMPRODUCT(--('Данные 2st'!$Q$2:$Q$317=$A77),--ISNUMBER('Данные 2st'!$FB$2:$FB$317))</f>
        <v>1</v>
      </c>
      <c r="MH77">
        <f>SUMPRODUCT(--('Данные 2st'!$Q$2:$Q$317=$A77),--ISNUMBER('Данные 2st'!$FC$2:$FC$317))</f>
        <v>1</v>
      </c>
      <c r="MI77">
        <f>SUMPRODUCT(--('Данные 2st'!$Q$2:$Q$317=$A77),--ISNUMBER('Данные 2st'!$FD$2:$FD$317))</f>
        <v>1</v>
      </c>
      <c r="MJ77">
        <f>SUMPRODUCT(--('Данные 2st'!$Q$2:$Q$317=$A77),--ISNUMBER('Данные 2st'!$FE$2:$FE$317))</f>
        <v>1</v>
      </c>
      <c r="MK77">
        <f>SUMPRODUCT(--('Данные 2st'!$Q$2:$Q$317=$A77),--ISNUMBER('Данные 2st'!$FG$2:$FG$317))</f>
        <v>1</v>
      </c>
      <c r="ML77">
        <f>SUMPRODUCT(--('Данные 2st'!$Q$2:$Q$317=$A77),--ISNUMBER('Данные 2st'!$FI$2:$FI$317))</f>
        <v>1</v>
      </c>
      <c r="MM77">
        <f>SUMPRODUCT(--('Данные 2st'!$Q$2:$Q$317=$A77),--ISNUMBER('Данные 2st'!$FJ$2:$FJ$317))</f>
        <v>1</v>
      </c>
      <c r="MN77">
        <f>SUMPRODUCT(--('Данные 2st'!$Q$2:$Q$317=$A77),--ISNUMBER('Данные 2st'!$FK$2:$FK$317))</f>
        <v>1</v>
      </c>
      <c r="MO77">
        <f>SUMPRODUCT(--('Данные 2st'!$Q$2:$Q$317=$A77),--ISNUMBER('Данные 2st'!$FP$2:$FP$317))</f>
        <v>1</v>
      </c>
      <c r="MP77">
        <f>SUMPRODUCT(--('Данные 2st'!$Q$2:$Q$317=$A77),--ISNUMBER('Данные 2st'!$FQ$2:$FQ$317))</f>
        <v>1</v>
      </c>
      <c r="MQ77">
        <f>SUMPRODUCT(--('Данные 2st'!$Q$2:$Q$317=$A77),--ISNUMBER('Данные 2st'!$FS$2:$FS$317))</f>
        <v>1</v>
      </c>
      <c r="MR77">
        <f>SUMPRODUCT(--('Данные 2st'!$Q$2:$Q$317=$A77),--ISNUMBER('Данные 2st'!$FU$2:$FU$317))</f>
        <v>1</v>
      </c>
      <c r="MS77">
        <f>SUMPRODUCT(--('Данные 2st'!$Q$2:$Q$317=$A77),--ISNUMBER('Данные 2st'!$FV$2:$FV$317))</f>
        <v>1</v>
      </c>
      <c r="MT77">
        <f>SUMPRODUCT(--('Данные 2st'!$Q$2:$Q$317=$A77),--ISNUMBER('Данные 2st'!$FW$2:$FW$317))</f>
        <v>1</v>
      </c>
      <c r="MU77">
        <f>SUMPRODUCT(--('Данные 2st'!$Q$2:$Q$317=$A77),--ISNUMBER('Данные 2st'!$FY$2:$FY$317))</f>
        <v>1</v>
      </c>
      <c r="MV77">
        <f>SUMPRODUCT(--('Данные 2st'!$Q$2:$Q$317=$A77),--ISNUMBER('Данные 2st'!$GB$2:$GB$317))</f>
        <v>1</v>
      </c>
      <c r="MW77">
        <f>SUMPRODUCT(--('Данные 2st'!$Q$2:$Q$317=$A77),--ISNUMBER('Данные 2st'!$GC$2:$GC$317))</f>
        <v>1</v>
      </c>
      <c r="MX77">
        <f>SUMPRODUCT(--('Данные 2st'!$Q$2:$Q$317=$A77),--ISNUMBER('Данные 2st'!$GD$2:$GD$317))</f>
        <v>1</v>
      </c>
      <c r="MY77">
        <f>SUMPRODUCT(--('Данные 2st'!$Q$2:$Q$317=$A77),--ISNUMBER('Данные 2st'!$GN$2:$GN$317))</f>
        <v>0</v>
      </c>
      <c r="MZ77">
        <f>SUMPRODUCT(--('Данные 2st'!$Q$2:$Q$317=$A77),--ISNUMBER('Данные 2st'!$GQ$2:$GQ$317))</f>
        <v>1</v>
      </c>
      <c r="NA77">
        <f>SUMPRODUCT(--('Данные 2st'!$Q$2:$Q$317=$A77),--ISNUMBER('Данные 2st'!$GV$2:$GV$317))</f>
        <v>1</v>
      </c>
      <c r="NB77">
        <f>SUMPRODUCT(--('Данные 2st'!$Q$2:$Q$317=$A77),--ISNUMBER('Данные 2st'!$GW$2:$GW$317))</f>
        <v>1</v>
      </c>
      <c r="NC77">
        <f>SUMPRODUCT(--('Данные 2st'!$Q$2:$Q$317=$A77),--ISNUMBER('Данные 2st'!$GX$2:$GX$317))</f>
        <v>1</v>
      </c>
      <c r="ND77">
        <f>SUMPRODUCT(--('Данные 2st'!$Q$2:$Q$317=$A77),--ISNUMBER('Данные 2st'!$GY$2:$GY$317))</f>
        <v>1</v>
      </c>
      <c r="NE77">
        <f>SUMPRODUCT(--('Данные 2st'!$Q$2:$Q$317=$A77),--ISNUMBER('Данные 2st'!$GZ$2:$GZ$317))</f>
        <v>1</v>
      </c>
      <c r="NF77">
        <f>SUMPRODUCT(--('Данные 2st'!$Q$2:$Q$317=$A77),--ISNUMBER('Данные 2st'!$HA$2:$HA$317))</f>
        <v>1</v>
      </c>
      <c r="NG77">
        <f>SUMPRODUCT(--('Данные 2st'!$Q$2:$Q$317=$A77),--ISNUMBER('Данные 2st'!$HB$2:$HB$317))</f>
        <v>1</v>
      </c>
      <c r="NH77">
        <f>SUMPRODUCT(--('Данные 2st'!$Q$2:$Q$317=$A77),--ISNUMBER('Данные 2st'!$HC$2:$HC$317))</f>
        <v>1</v>
      </c>
      <c r="NI77">
        <f>SUMPRODUCT(--('Данные 2st'!$Q$2:$Q$317=$A77),--ISNUMBER('Данные 2st'!$HD$2:$HD$317))</f>
        <v>1</v>
      </c>
      <c r="NJ77">
        <f>SUMPRODUCT(--('Данные 2st'!$Q$2:$Q$317=$A77),--ISNUMBER('Данные 2st'!$HM$2:$HM$317))</f>
        <v>1</v>
      </c>
      <c r="NK77">
        <f>SUMPRODUCT(--('Данные 2st'!$Q$2:$Q$317=$A77),--ISNUMBER('Данные 2st'!$HR$2:$HR$317))</f>
        <v>1</v>
      </c>
      <c r="NL77">
        <f>SUMPRODUCT(--('Данные 2st'!$Q$2:$Q$317=$A77),--ISNUMBER('Данные 2st'!$HS$2:$HS$317))</f>
        <v>1</v>
      </c>
      <c r="NM77">
        <f>SUMPRODUCT(--('Данные 2st'!$Q$2:$Q$317=$A77),--ISNUMBER('Данные 2st'!$HT$2:$HT$317))</f>
        <v>1</v>
      </c>
      <c r="NN77">
        <f>SUMPRODUCT(--('Данные 2st'!$Q$2:$Q$317=$A77),--ISNUMBER('Данные 2st'!$HY$2:$HY$317))</f>
        <v>1</v>
      </c>
      <c r="NO77">
        <f>SUMPRODUCT(--('Данные 2st'!$Q$2:$Q$317=$A77),--ISNUMBER('Данные 2st'!$HZ$2:$HZ$317))</f>
        <v>1</v>
      </c>
      <c r="NP77">
        <f>SUMPRODUCT(--('Данные 2st'!$Q$2:$Q$317=$A77),--ISNUMBER('Данные 2st'!$IA$2:$IA$317))</f>
        <v>1</v>
      </c>
      <c r="NQ77">
        <f>SUMPRODUCT(--('Данные 2st'!$Q$2:$Q$317=$A77),--ISNUMBER('Данные 2st'!$IB$2:$IB$317))</f>
        <v>1</v>
      </c>
      <c r="NR77">
        <f>SUMPRODUCT(--('Данные 2st'!$Q$2:$Q$317=$A77),--ISNUMBER('Данные 2st'!$IC$2:$IC$317))</f>
        <v>0</v>
      </c>
      <c r="NS77">
        <f>SUMPRODUCT(--('Данные 2st'!$Q$2:$Q$317=$A77),--ISNUMBER('Данные 2st'!$ID$2:$ID$317))</f>
        <v>1</v>
      </c>
      <c r="NT77">
        <f>SUMPRODUCT(--('Данные 2st'!$Q$2:$Q$317=$A77),--ISNUMBER('Данные 2st'!$IE$2:$IE$317))</f>
        <v>1</v>
      </c>
      <c r="NU77">
        <f>SUMPRODUCT(--('Данные 2st'!$Q$2:$Q$317=$A77),--ISNUMBER('Данные 2st'!$IF$2:$IF$317))</f>
        <v>1</v>
      </c>
      <c r="NV77">
        <f>SUMPRODUCT(--('Данные 2st'!$Q$2:$Q$317=$A77),--ISNUMBER('Данные 2st'!$IG$2:$IG$317))</f>
        <v>1</v>
      </c>
      <c r="NW77">
        <f>SUMPRODUCT(--('Данные 2st'!$Q$2:$Q$317=$A77),--ISNUMBER('Данные 2st'!$IH$2:$IH$317))</f>
        <v>1</v>
      </c>
      <c r="NX77">
        <f>SUMPRODUCT(--('Данные 2st'!$Q$2:$Q$317=$A77),--ISNUMBER('Данные 2st'!$IJ$2:$IJ$317))</f>
        <v>1</v>
      </c>
      <c r="NY77">
        <f>SUMPRODUCT(--('Данные 2st'!$Q$2:$Q$317=$A77),--ISNUMBER('Данные 2st'!$IM$2:$IM$317))</f>
        <v>1</v>
      </c>
      <c r="NZ77">
        <f>SUMPRODUCT(--('Данные 2st'!$Q$2:$Q$317=$A77),--ISNUMBER('Данные 2st'!$IN$2:$IN$317))</f>
        <v>1</v>
      </c>
      <c r="OA77">
        <f>SUMPRODUCT(--('Данные 2st'!$Q$2:$Q$317=$A77),--ISNUMBER('Данные 2st'!$IO$2:$IO$317))</f>
        <v>1</v>
      </c>
      <c r="OB77">
        <f>SUMPRODUCT(--('Данные 2st'!$Q$2:$Q$317=$A77),--ISNUMBER('Данные 2st'!$IP$2:$IP$317))</f>
        <v>1</v>
      </c>
      <c r="OC77">
        <f>SUMPRODUCT(--('Данные 2st'!$Q$2:$Q$317=$A77),--ISNUMBER('Данные 2st'!$IQ$2:$IQ$317))</f>
        <v>1</v>
      </c>
      <c r="OD77">
        <f>SUMPRODUCT(--('Данные 2st'!$Q$2:$Q$317=$A77),--ISNUMBER('Данные 2st'!$IR$2:$IR$317))</f>
        <v>1</v>
      </c>
      <c r="OE77">
        <f>SUMPRODUCT(--('Данные 2st'!$Q$2:$Q$317=$A77),--ISNUMBER('Данные 2st'!$IT$2:$IT$317))</f>
        <v>1</v>
      </c>
      <c r="OF77">
        <f>SUMPRODUCT(--('Данные 2st'!$Q$2:$Q$317=$A77),--ISNUMBER('Данные 2st'!$IU$2:$IU$317))</f>
        <v>1</v>
      </c>
      <c r="OG77">
        <f>SUMPRODUCT(--('Данные 2st'!$Q$2:$Q$317=$A77),--ISNUMBER('Данные 2st'!$IV$2:$IV$317))</f>
        <v>1</v>
      </c>
      <c r="OH77">
        <f>SUMPRODUCT(--('Данные 2st'!$Q$2:$Q$317=$A77),--ISNUMBER('Данные 2st'!$IW$2:$IW$317))</f>
        <v>1</v>
      </c>
      <c r="OI77">
        <f>SUMPRODUCT(--('Данные 2st'!$Q$2:$Q$317=$A77),--ISNUMBER('Данные 2st'!$IX$2:$IX$317))</f>
        <v>1</v>
      </c>
      <c r="OJ77">
        <f>SUMPRODUCT(--('Данные 2st'!$Q$2:$Q$317=$A77),--ISNUMBER('Данные 2st'!$IY$2:$IY$317))</f>
        <v>1</v>
      </c>
      <c r="OK77">
        <f>SUMPRODUCT(--('Данные 2st'!$Q$2:$Q$317=$A77),--ISNUMBER('Данные 2st'!$IZ$2:$IZ$317))</f>
        <v>1</v>
      </c>
      <c r="OL77">
        <f>SUMPRODUCT(--('Данные 2st'!$Q$2:$Q$317=$A77),--ISNUMBER('Данные 2st'!$JA$2:$JA$317))</f>
        <v>1</v>
      </c>
      <c r="OM77">
        <f>SUMPRODUCT(--('Данные 2st'!$Q$2:$Q$317=$A77),--ISNUMBER('Данные 2st'!$JB$2:$JB$317))</f>
        <v>1</v>
      </c>
      <c r="ON77">
        <f>SUMPRODUCT(--('Данные 2st'!$Q$2:$Q$317=$A77),--ISNUMBER('Данные 2st'!$JC$2:$JC$317))</f>
        <v>1</v>
      </c>
      <c r="OO77">
        <f>SUMPRODUCT(--('Данные 2st'!$Q$2:$Q$317=$A77),--ISNUMBER('Данные 2st'!$JD$2:$JD$317))</f>
        <v>1</v>
      </c>
      <c r="OP77">
        <f>SUMPRODUCT(--('Данные 2st'!$Q$2:$Q$317=$A77),--ISNUMBER('Данные 2st'!$JE$2:$JE$317))</f>
        <v>1</v>
      </c>
      <c r="OQ77">
        <f>SUMPRODUCT(--('Данные 2st'!$Q$2:$Q$317=$A77),--ISNUMBER('Данные 2st'!$JF$2:$JF$317))</f>
        <v>1</v>
      </c>
      <c r="OR77">
        <f>SUMPRODUCT(--('Данные 2st'!$Q$2:$Q$317=$A77),--ISNUMBER('Данные 2st'!$JG$2:$JG$317))</f>
        <v>1</v>
      </c>
      <c r="OS77">
        <f>SUMPRODUCT(--('Данные 2st'!$Q$2:$Q$317=$A77),--ISNUMBER('Данные 2st'!$JH$2:$JH$317))</f>
        <v>1</v>
      </c>
      <c r="OT77">
        <f>SUMPRODUCT(--('Данные 2st'!$Q$2:$Q$317=$A77),--ISNUMBER('Данные 2st'!$JI$2:$JI$317))</f>
        <v>1</v>
      </c>
      <c r="OU77">
        <f>SUMPRODUCT(--('Данные 2st'!$Q$2:$Q$317=$A77),--ISNUMBER('Данные 2st'!$JJ$2:$JJ$317))</f>
        <v>1</v>
      </c>
      <c r="OV77">
        <f>SUMPRODUCT(--('Данные 2st'!$Q$2:$Q$317=$A77),--ISNUMBER('Данные 2st'!$JK$2:$JK$317))</f>
        <v>1</v>
      </c>
      <c r="OW77">
        <f>SUMPRODUCT(--('Данные 2st'!$Q$2:$Q$317=$A77),--ISNUMBER('Данные 2st'!$JL$2:$JL$317))</f>
        <v>1</v>
      </c>
      <c r="OX77">
        <f>SUMPRODUCT(--('Данные 2st'!$Q$2:$Q$317=$A77),--ISNUMBER('Данные 2st'!$JM$2:$JM$317))</f>
        <v>1</v>
      </c>
      <c r="OY77">
        <f>SUMPRODUCT(--('Данные 2st'!$Q$2:$Q$317=$A77),--ISNUMBER('Данные 2st'!$JP$2:$JP$317))</f>
        <v>1</v>
      </c>
      <c r="OZ77">
        <f>SUMPRODUCT(--('Данные 2st'!$Q$2:$Q$317=$A77),--ISNUMBER('Данные 2st'!$JQ$2:$JQ$317))</f>
        <v>1</v>
      </c>
      <c r="PA77">
        <f>SUMPRODUCT(--('Данные 2st'!$Q$2:$Q$317=$A77),--ISNUMBER('Данные 2st'!$JR$2:$JR$317))</f>
        <v>1</v>
      </c>
      <c r="PB77">
        <f>SUMPRODUCT(--('Данные 2st'!$Q$2:$Q$317=$A77),--ISNUMBER('Данные 2st'!$JS$2:$JS$317))</f>
        <v>1</v>
      </c>
      <c r="PC77">
        <f>SUMPRODUCT(--('Данные 2st'!$Q$2:$Q$317=$A77),--ISNUMBER('Данные 2st'!$JT$2:$JT$317))</f>
        <v>1</v>
      </c>
      <c r="PD77">
        <f>SUMPRODUCT(--('Данные 2st'!$Q$2:$Q$317=$A77),--ISNUMBER('Данные 2st'!$JU$2:$JU$317))</f>
        <v>1</v>
      </c>
      <c r="PE77">
        <f>SUMPRODUCT(--('Данные 2st'!$Q$2:$Q$317=$A77),--ISNUMBER('Данные 2st'!$JV$2:$JV$317))</f>
        <v>1</v>
      </c>
      <c r="PF77">
        <f>SUMPRODUCT(--('Данные 2st'!$Q$2:$Q$317=$A77),--ISNUMBER('Данные 2st'!$JW$2:$JW$317))</f>
        <v>1</v>
      </c>
      <c r="PG77">
        <f>SUMPRODUCT(--('Данные 2st'!$Q$2:$Q$317=$A77),--ISNUMBER('Данные 2st'!$KF$2:$KF$317))</f>
        <v>1</v>
      </c>
      <c r="PH77">
        <f>SUMPRODUCT(--('Данные 2st'!$Q$2:$Q$317=$A77),--ISNUMBER('Данные 2st'!$KG$2:$KG$317))</f>
        <v>1</v>
      </c>
      <c r="PI77">
        <f>SUMPRODUCT(--('Данные 2st'!$Q$2:$Q$317=$A77),--ISNUMBER('Данные 2st'!$KM$2:$KM$317))</f>
        <v>1</v>
      </c>
      <c r="PJ77">
        <f>SUMPRODUCT(--('Данные 2st'!$Q$2:$Q$317=$A77),--ISNUMBER('Данные 2st'!$KN$2:$KN$317))</f>
        <v>1</v>
      </c>
      <c r="PK77">
        <f>SUMPRODUCT(--('Данные 2st'!$Q$2:$Q$317=$A77),--ISNUMBER('Данные 2st'!$KO$2:$KO$317))</f>
        <v>1</v>
      </c>
      <c r="PL77">
        <f>SUMPRODUCT(--('Данные 2st'!$Q$2:$Q$317=$A77),--ISNUMBER('Данные 2st'!$KP$2:$KP$317))</f>
        <v>1</v>
      </c>
      <c r="PM77">
        <f>SUMPRODUCT(--('Данные 2st'!$Q$2:$Q$317=$A77),--ISNUMBER('Данные 2st'!$KQ$2:$KQ$317))</f>
        <v>1</v>
      </c>
      <c r="PN77">
        <f>SUMPRODUCT(--('Данные 2st'!$Q$2:$Q$317=$A77),--ISNUMBER('Данные 2st'!$KR$2:$KR$317))</f>
        <v>1</v>
      </c>
      <c r="PO77">
        <f>SUMPRODUCT(--('Данные 2st'!$Q$2:$Q$317=$A77),--ISNUMBER('Данные 2st'!$KS$2:$KS$317))</f>
        <v>1</v>
      </c>
      <c r="PP77">
        <f>SUMPRODUCT(--('Данные 2st'!$Q$2:$Q$317=$A77),--ISNUMBER('Данные 2st'!$KT$2:$KT$317))</f>
        <v>1</v>
      </c>
      <c r="PQ77">
        <f>SUMPRODUCT(--('Данные 2st'!$Q$2:$Q$317=$A77),--ISNUMBER('Данные 2st'!$KU$2:$KU$317))</f>
        <v>1</v>
      </c>
      <c r="PR77">
        <f>SUMPRODUCT(--('Данные 2st'!$Q$2:$Q$317=$A77),--ISNUMBER('Данные 2st'!$KV$2:$KV$317))</f>
        <v>1</v>
      </c>
      <c r="PS77">
        <f>SUMPRODUCT(--('Данные 2st'!$Q$2:$Q$317=$A77),--ISNUMBER('Данные 2st'!$KW$2:$KW$317))</f>
        <v>1</v>
      </c>
      <c r="PT77">
        <f>SUMPRODUCT(--('Данные 2st'!$Q$2:$Q$317=$A77),--ISNUMBER('Данные 2st'!$KX$2:$KX$317))</f>
        <v>1</v>
      </c>
      <c r="PU77">
        <f>SUMPRODUCT(--('Данные 2st'!$Q$2:$Q$317=$A77),--ISNUMBER('Данные 2st'!$KY$2:$KY$317))</f>
        <v>1</v>
      </c>
      <c r="PV77">
        <f>SUMPRODUCT(--('Данные 2st'!$Q$2:$Q$317=$A77),--ISNUMBER('Данные 2st'!$KZ$2:$KZ$317))</f>
        <v>1</v>
      </c>
      <c r="PW77">
        <f>SUMPRODUCT(--('Данные 2st'!$Q$2:$Q$317=$A77),--ISNUMBER('Данные 2st'!$LA$2:$LA$317))</f>
        <v>1</v>
      </c>
      <c r="PX77">
        <f>SUMPRODUCT(--('Данные 2st'!$Q$2:$Q$317=$A77),--ISNUMBER('Данные 2st'!$LB$2:$LB$317))</f>
        <v>1</v>
      </c>
      <c r="PY77">
        <f>SUMPRODUCT(--('Данные 2st'!$Q$2:$Q$317=$A77),--ISNUMBER('Данные 2st'!$LC$2:$LC$317))</f>
        <v>1</v>
      </c>
      <c r="PZ77">
        <f>SUMPRODUCT(--('Данные 2st'!$Q$2:$Q$317=$A77),--ISNUMBER('Данные 2st'!$LD$2:$LD$317))</f>
        <v>1</v>
      </c>
      <c r="QA77">
        <f>SUMPRODUCT(--('Данные 2st'!$Q$2:$Q$317=$A77),--ISNUMBER('Данные 2st'!$LE$2:$LE$317))</f>
        <v>1</v>
      </c>
      <c r="QB77">
        <f>SUMPRODUCT(--('Данные 2st'!$Q$2:$Q$317=$A77),--ISNUMBER('Данные 2st'!$LF$2:$LF$317))</f>
        <v>1</v>
      </c>
      <c r="QC77">
        <f>SUMPRODUCT(--('Данные 2st'!$Q$2:$Q$317=$A77),--ISNUMBER('Данные 2st'!$LG$2:$LG$317))</f>
        <v>1</v>
      </c>
      <c r="QD77">
        <f>SUMPRODUCT(--('Данные 2st'!$Q$2:$Q$317=$A77),--ISNUMBER('Данные 2st'!$LH$2:$LH$317))</f>
        <v>1</v>
      </c>
      <c r="QE77">
        <f>SUMPRODUCT(--('Данные 2st'!$Q$2:$Q$317=$A77),--ISNUMBER('Данные 2st'!$LJ$2:$LJ$317))</f>
        <v>1</v>
      </c>
      <c r="QF77">
        <f>SUMPRODUCT(--('Данные 2st'!$Q$2:$Q$317=$A77),--ISNUMBER('Данные 2st'!$LK$2:$LK$317))</f>
        <v>1</v>
      </c>
      <c r="QG77">
        <f>SUMPRODUCT(--('Данные 2st'!$Q$2:$Q$317=$A77),--ISNUMBER('Данные 2st'!$LL$2:$LL$317))</f>
        <v>1</v>
      </c>
      <c r="QH77">
        <f>SUMPRODUCT(--('Данные 2st'!$Q$2:$Q$317=$A77),--ISNUMBER('Данные 2st'!$LM$2:$LM$317))</f>
        <v>1</v>
      </c>
      <c r="QI77">
        <f>SUMPRODUCT(--('Данные 2st'!$Q$2:$Q$317=$A77),--ISNUMBER('Данные 2st'!$LN$2:$LN$317))</f>
        <v>1</v>
      </c>
      <c r="QJ77">
        <f>SUMPRODUCT(--('Данные 2st'!$Q$2:$Q$317=$A77),--ISNUMBER('Данные 2st'!$LO$2:$LO$317))</f>
        <v>1</v>
      </c>
      <c r="QK77">
        <f>SUMPRODUCT(--('Данные 2st'!$Q$2:$Q$317=$A77),--ISNUMBER('Данные 2st'!$LP$2:$LP$317))</f>
        <v>1</v>
      </c>
      <c r="QL77">
        <f>SUMPRODUCT(--('Данные 2st'!$Q$2:$Q$317=$A77),--ISNUMBER('Данные 2st'!$LQ$2:$LQ$317))</f>
        <v>1</v>
      </c>
      <c r="QM77">
        <f>SUMPRODUCT(--('Данные 2st'!$Q$2:$Q$317=$A77),--ISNUMBER('Данные 2st'!$LW$2:$LW$317))</f>
        <v>1</v>
      </c>
      <c r="QN77">
        <f>SUMPRODUCT(--('Данные 2st'!$Q$2:$Q$317=$A77),--ISNUMBER('Данные 2st'!$LX$2:$LX$317))</f>
        <v>1</v>
      </c>
      <c r="QO77">
        <f>SUMPRODUCT(--('Данные 2st'!$Q$2:$Q$317=$A77),--ISNUMBER('Данные 2st'!$LY$2:$LY$317))</f>
        <v>1</v>
      </c>
      <c r="QP77">
        <f>SUMPRODUCT(--('Данные 2st'!$Q$2:$Q$317=$A77),--ISNUMBER('Данные 2st'!$LZ$2:$LZ$317))</f>
        <v>1</v>
      </c>
      <c r="QQ77">
        <f>SUMPRODUCT(--('Данные 2st'!$Q$2:$Q$317=$A77),--ISNUMBER('Данные 2st'!$MB$2:$MB$317))</f>
        <v>1</v>
      </c>
      <c r="QR77">
        <f>SUMPRODUCT(--('Данные 2st'!$Q$2:$Q$317=$A77),--ISNUMBER('Данные 2st'!$MG$2:$MG$317))</f>
        <v>1</v>
      </c>
      <c r="QS77">
        <f>SUMPRODUCT(--('Данные 2st'!$Q$2:$Q$317=$A77),--ISNUMBER('Данные 2st'!$MH$2:$MH$317))</f>
        <v>1</v>
      </c>
      <c r="QT77">
        <f>SUMPRODUCT(--('Данные 2st'!$Q$2:$Q$317=$A77),--ISNUMBER('Данные 2st'!$MI$2:$MI$317))</f>
        <v>1</v>
      </c>
      <c r="QU77">
        <f>SUMPRODUCT(--('Данные 2st'!$Q$2:$Q$317=$A77),--ISNUMBER('Данные 2st'!$MJ$2:$MJ$317))</f>
        <v>1</v>
      </c>
      <c r="QV77">
        <f>SUMPRODUCT(--('Данные 2st'!$Q$2:$Q$317=$A77),--ISNUMBER('Данные 2st'!$MK$2:$MK$317))</f>
        <v>1</v>
      </c>
      <c r="QW77">
        <f>SUMPRODUCT(--('Данные 2st'!$Q$2:$Q$317=$A77),--ISNUMBER('Данные 2st'!$MM$2:$MM$317))</f>
        <v>1</v>
      </c>
      <c r="QX77">
        <f>SUMPRODUCT(--('Данные 2st'!$Q$2:$Q$317=$A77),--ISNUMBER('Данные 2st'!$MQ$2:$MQ$317))</f>
        <v>0</v>
      </c>
      <c r="QY77">
        <f>SUMPRODUCT(--('Данные 2st'!$Q$2:$Q$317=$A77),--ISNUMBER('Данные 2st'!$MR$2:$MR$317))</f>
        <v>0</v>
      </c>
      <c r="QZ77">
        <f>SUMPRODUCT(--('Данные 2st'!$Q$2:$Q$317=$A77),--ISNUMBER('Данные 2st'!$MS$2:$MS$317))</f>
        <v>0</v>
      </c>
      <c r="RA77">
        <f>SUMPRODUCT(--('Данные 2st'!$Q$2:$Q$317=$A77),--ISNUMBER('Данные 2st'!$MT$2:$MT$317))</f>
        <v>0</v>
      </c>
      <c r="RB77">
        <f>SUMPRODUCT(--('Данные 2st'!$Q$2:$Q$317=$A77),--ISNUMBER('Данные 2st'!$MU$2:$MU$317))</f>
        <v>0</v>
      </c>
      <c r="RC77">
        <f>SUMPRODUCT(--('Данные 2st'!$Q$2:$Q$317=$A77),--ISNUMBER('Данные 2st'!$MV$2:$MV$317))</f>
        <v>0</v>
      </c>
      <c r="RD77">
        <f>SUMPRODUCT(--('Данные 2st'!$Q$2:$Q$317=$A77),--ISNUMBER('Данные 2st'!$MW$2:$MW$317))</f>
        <v>0</v>
      </c>
      <c r="RE77">
        <f>SUMPRODUCT(--('Данные 2st'!$Q$2:$Q$317=$A77),--ISNUMBER('Данные 2st'!$MX$2:$MX$317))</f>
        <v>0</v>
      </c>
      <c r="RF77">
        <f>SUMPRODUCT(--('Данные 2st'!$Q$2:$Q$317=$A77),--ISNUMBER('Данные 2st'!$MY$2:$MY$317))</f>
        <v>0</v>
      </c>
      <c r="RG77">
        <f>SUMPRODUCT(--('Данные 2st'!$Q$2:$Q$317=$A77),--ISNUMBER('Данные 2st'!$MZ$2:$MZ$317))</f>
        <v>0</v>
      </c>
      <c r="RH77">
        <f>SUMPRODUCT(--('Данные 2st'!$Q$2:$Q$317=$A77),--ISNUMBER('Данные 2st'!$NA$2:$NA$317))</f>
        <v>0</v>
      </c>
      <c r="RI77">
        <f>SUMPRODUCT(--('Данные 2st'!$Q$2:$Q$317=$A77),--ISNUMBER('Данные 2st'!$NB$2:$NB$317))</f>
        <v>0</v>
      </c>
      <c r="RJ77">
        <f>SUMPRODUCT(--('Данные 2st'!$Q$2:$Q$317=$A77),--ISNUMBER('Данные 2st'!$NC$2:$NC$317))</f>
        <v>0</v>
      </c>
      <c r="RK77">
        <f>SUMPRODUCT(--('Данные 2st'!$Q$2:$Q$317=$A77),--ISNUMBER('Данные 2st'!$ND$2:$ND$317))</f>
        <v>0</v>
      </c>
      <c r="RL77">
        <f>SUMPRODUCT(--('Данные 2st'!$Q$2:$Q$317=$A77),--ISNUMBER('Данные 2st'!$NE$2:$NE$317))</f>
        <v>0</v>
      </c>
      <c r="RM77">
        <f>SUMPRODUCT(--('Данные 2st'!$Q$2:$Q$317=$A77),--ISNUMBER('Данные 2st'!$NF$2:$NF$317))</f>
        <v>0</v>
      </c>
      <c r="RN77">
        <f>SUMPRODUCT(--('Данные 2st'!$Q$2:$Q$317=$A77),--ISNUMBER('Данные 2st'!$NG$2:$NG$317))</f>
        <v>0</v>
      </c>
      <c r="RO77">
        <f>SUMPRODUCT(--('Данные 2st'!$Q$2:$Q$317=$A77),--ISNUMBER('Данные 2st'!$NH$2:$NH$317))</f>
        <v>0</v>
      </c>
      <c r="RP77">
        <f>SUMPRODUCT(--('Данные 2st'!$Q$2:$Q$317=$A77),--ISNUMBER('Данные 2st'!$NJ$2:$NJ$317))</f>
        <v>0</v>
      </c>
      <c r="RQ77">
        <f>SUMPRODUCT(--('Данные 2st'!$Q$2:$Q$317=$A77),--ISNUMBER('Данные 2st'!$NK$2:$NK$317))</f>
        <v>0</v>
      </c>
      <c r="RR77">
        <f>SUMPRODUCT(--('Данные 2st'!$Q$2:$Q$317=$A77),--ISNUMBER('Данные 2st'!$NM$2:$NM$317))</f>
        <v>0</v>
      </c>
      <c r="RS77">
        <f>SUMPRODUCT(--('Данные 2st'!$Q$2:$Q$317=$A77),--ISNUMBER('Данные 2st'!$NN$2:$NN$317))</f>
        <v>0</v>
      </c>
      <c r="RT77">
        <f>SUMPRODUCT(--('Данные 2st'!$Q$2:$Q$317=$A77),--ISNUMBER('Данные 2st'!$NO$2:$NO$317))</f>
        <v>0</v>
      </c>
      <c r="RU77">
        <f>SUMPRODUCT(--('Данные 2st'!$Q$2:$Q$317=$A77),--ISNUMBER('Данные 2st'!$NP$2:$NP$317))</f>
        <v>0</v>
      </c>
      <c r="RV77">
        <f>SUMPRODUCT(--('Данные 2st'!$Q$2:$Q$317=$A77),--ISNUMBER('Данные 2st'!$NQ$2:$NQ$317))</f>
        <v>0</v>
      </c>
      <c r="RW77">
        <f>SUMPRODUCT(--('Данные 2st'!$Q$2:$Q$317=$A77),--ISNUMBER('Данные 2st'!$NR$2:$NR$317))</f>
        <v>0</v>
      </c>
      <c r="RX77">
        <f>SUMPRODUCT(--('Данные 2st'!$Q$2:$Q$317=$A77),--ISNUMBER('Данные 2st'!$NS$2:$NS$317))</f>
        <v>0</v>
      </c>
      <c r="RY77">
        <f>SUMPRODUCT(--('Данные 2st'!$Q$2:$Q$317=$A77),--ISNUMBER('Данные 2st'!$NT$2:$NT$317))</f>
        <v>0</v>
      </c>
      <c r="RZ77">
        <f>SUMPRODUCT(--('Данные 2st'!$Q$2:$Q$317=$A77),--ISNUMBER('Данные 2st'!$OK$2:$OK$317))</f>
        <v>1</v>
      </c>
      <c r="SA77">
        <f>SUMPRODUCT(--('Данные 2st'!$Q$2:$Q$317=$A77),--ISNUMBER('Данные 2st'!$OL$2:$OL$317))</f>
        <v>1</v>
      </c>
      <c r="SB77">
        <f>SUMPRODUCT(--('Данные 2st'!$Q$2:$Q$317=$A77),--ISNUMBER('Данные 2st'!$ON$2:$ON$317))</f>
        <v>1</v>
      </c>
      <c r="SC77">
        <f>SUMPRODUCT(--('Данные 2st'!$Q$2:$Q$317=$A77),--ISNUMBER('Данные 2st'!$OO$2:$OO$317))</f>
        <v>1</v>
      </c>
      <c r="SD77">
        <f>SUMPRODUCT(--('Данные 2st'!$Q$2:$Q$317=$A77),--ISNUMBER('Данные 2st'!$OP$2:$OP$317))</f>
        <v>1</v>
      </c>
      <c r="SE77">
        <f>SUMPRODUCT(--('Данные 2st'!$Q$2:$Q$317=$A77),--ISNUMBER('Данные 2st'!$OQ$2:$OQ$317))</f>
        <v>1</v>
      </c>
      <c r="SF77">
        <f>SUMPRODUCT(--('Данные 2st'!$Q$2:$Q$317=$A77),--ISNUMBER('Данные 2st'!$OS$2:$OS$317))</f>
        <v>1</v>
      </c>
      <c r="SG77">
        <f>SUMPRODUCT(--('Данные 2st'!$Q$2:$Q$317=$A77),--ISNUMBER('Данные 2st'!$OT$2:$OT$317))</f>
        <v>1</v>
      </c>
      <c r="SH77">
        <f>SUMPRODUCT(--('Данные 2st'!$Q$2:$Q$317=$A77),--ISNUMBER('Данные 2st'!$OU$2:$OU$317))</f>
        <v>1</v>
      </c>
      <c r="SI77">
        <f>SUMPRODUCT(--('Данные 2st'!$Q$2:$Q$317=$A77),--ISNUMBER('Данные 2st'!$OV$2:$OV$317))</f>
        <v>1</v>
      </c>
      <c r="SJ77">
        <f>SUMPRODUCT(--('Данные 2st'!$Q$2:$Q$317=$A77),--ISNUMBER('Данные 2st'!$OX$2:$OX$317))</f>
        <v>1</v>
      </c>
      <c r="SK77">
        <f>SUMPRODUCT(--('Данные 2st'!$Q$2:$Q$317=$A77),--ISNUMBER('Данные 2st'!$OY$2:$OY$317))</f>
        <v>1</v>
      </c>
      <c r="SL77">
        <f>SUMPRODUCT(--('Данные 2st'!$Q$2:$Q$317=$A77),--ISNUMBER('Данные 2st'!$OZ$2:$OZ$317))</f>
        <v>1</v>
      </c>
      <c r="SM77">
        <f>SUMPRODUCT(--('Данные 2st'!$Q$2:$Q$317=$A77),--ISNUMBER('Данные 2st'!$PA$2:$PA$317))</f>
        <v>1</v>
      </c>
      <c r="SN77">
        <f>SUMPRODUCT(--('Данные 2st'!$Q$2:$Q$317=$A77),--ISNUMBER('Данные 2st'!$PC$2:$PC$317))</f>
        <v>1</v>
      </c>
      <c r="SO77">
        <f>SUMPRODUCT(--('Данные 2st'!$Q$2:$Q$317=$A77),--ISNUMBER('Данные 2st'!$PD$2:$PD$317))</f>
        <v>1</v>
      </c>
      <c r="SP77">
        <f>SUMPRODUCT(--('Данные 2st'!$Q$2:$Q$317=$A77),--ISNUMBER('Данные 2st'!$PF$2:$PF$317))</f>
        <v>1</v>
      </c>
      <c r="SQ77">
        <f>SUMPRODUCT(--('Данные 2st'!$Q$2:$Q$317=$A77),--ISNUMBER('Данные 2st'!$PG$2:$PG$317))</f>
        <v>1</v>
      </c>
      <c r="SR77">
        <f>SUMPRODUCT(--('Данные 2st'!$Q$2:$Q$317=$A77),--ISNUMBER('Данные 2st'!$PH$2:$PH$317))</f>
        <v>1</v>
      </c>
      <c r="SS77">
        <f>SUMPRODUCT(--('Данные 2st'!$Q$2:$Q$317=$A77),--ISNUMBER('Данные 2st'!$PI$2:$PI$317))</f>
        <v>1</v>
      </c>
      <c r="ST77">
        <f>SUMPRODUCT(--('Данные 2st'!$Q$2:$Q$317=$A77),--ISNUMBER('Данные 2st'!$PJ$2:$PJ$317))</f>
        <v>1</v>
      </c>
      <c r="SU77">
        <f>SUMPRODUCT(--('Данные 2st'!$Q$2:$Q$317=$A77),--ISNUMBER('Данные 2st'!$PK$2:$PK$317))</f>
        <v>1</v>
      </c>
      <c r="SV77">
        <f>SUMPRODUCT(--('Данные 2st'!$Q$2:$Q$317=$A77),--ISNUMBER('Данные 2st'!$PL$2:$PL$317))</f>
        <v>1</v>
      </c>
      <c r="SW77">
        <f>SUMPRODUCT(--('Данные 2st'!$Q$2:$Q$317=$A77),--ISNUMBER('Данные 2st'!$PM$2:$PM$317))</f>
        <v>1</v>
      </c>
      <c r="SX77">
        <f>SUMPRODUCT(--('Данные 2st'!$Q$2:$Q$317=$A77),--ISNUMBER('Данные 2st'!$PN$2:$PN$317))</f>
        <v>1</v>
      </c>
      <c r="SY77">
        <f>SUMPRODUCT(--('Данные 2st'!$Q$2:$Q$317=$A77),--ISNUMBER('Данные 2st'!$PO$2:$PO$317))</f>
        <v>1</v>
      </c>
      <c r="SZ77">
        <f>SUMPRODUCT(--('Данные 2st'!$Q$2:$Q$317=$A77),--ISNUMBER('Данные 2st'!$PP$2:$PP$317))</f>
        <v>1</v>
      </c>
      <c r="TA77">
        <f>SUMPRODUCT(--('Данные 2st'!$Q$2:$Q$317=$A77),--ISNUMBER('Данные 2st'!$PQ$2:$PQ$317))</f>
        <v>1</v>
      </c>
      <c r="TB77">
        <f>SUMPRODUCT(--('Данные 2st'!$Q$2:$Q$317=$A77),--ISNUMBER('Данные 2st'!$PR$2:$PR$317))</f>
        <v>1</v>
      </c>
      <c r="TC77">
        <f>SUMPRODUCT(--('Данные 2st'!$Q$2:$Q$317=$A77),--ISNUMBER('Данные 2st'!$PS$2:$PS$317))</f>
        <v>1</v>
      </c>
      <c r="TD77">
        <f>SUMPRODUCT(--('Данные 2st'!$Q$2:$Q$317=$A77),--ISNUMBER('Данные 2st'!$PT$2:$PT$317))</f>
        <v>1</v>
      </c>
      <c r="TE77">
        <f>SUMPRODUCT(--('Данные 2st'!$Q$2:$Q$317=$A77),--ISNUMBER('Данные 2st'!$PU$2:$PU$317))</f>
        <v>1</v>
      </c>
      <c r="TF77">
        <f>SUMPRODUCT(--('Данные 2st'!$Q$2:$Q$317=$A77),--ISNUMBER('Данные 2st'!$PX$2:$PX$317))</f>
        <v>1</v>
      </c>
      <c r="TG77">
        <f>SUMPRODUCT(--('Данные 2st'!$Q$2:$Q$317=$A77),--ISNUMBER('Данные 2st'!$PY$2:$PY$317))</f>
        <v>1</v>
      </c>
      <c r="TH77">
        <f>SUMPRODUCT(--('Данные 2st'!$Q$2:$Q$317=$A77),--ISNUMBER('Данные 2st'!$PZ$2:$PZ$317))</f>
        <v>1</v>
      </c>
      <c r="TI77">
        <f>SUMPRODUCT(--('Данные 2st'!$Q$2:$Q$317=$A77),--ISNUMBER('Данные 2st'!$QA$2:$QA$317))</f>
        <v>1</v>
      </c>
      <c r="TJ77">
        <f>SUMPRODUCT(--('Данные 2st'!$Q$2:$Q$317=$A77),--ISNUMBER('Данные 2st'!$QB$2:$QB$317))</f>
        <v>1</v>
      </c>
      <c r="TK77">
        <f>SUMPRODUCT(--('Данные 2st'!$Q$2:$Q$317=$A77),--ISNUMBER('Данные 2st'!$QC$2:$QC$317))</f>
        <v>1</v>
      </c>
      <c r="TL77">
        <f>SUMPRODUCT(--('Данные 2st'!$Q$2:$Q$317=$A77),--ISNUMBER('Данные 2st'!$QD$2:$QD$317))</f>
        <v>1</v>
      </c>
      <c r="TM77">
        <f>SUMPRODUCT(--('Данные 2st'!$Q$2:$Q$317=$A77),--ISNUMBER('Данные 2st'!$QE$2:$QE$317))</f>
        <v>1</v>
      </c>
      <c r="TN77">
        <f>SUMPRODUCT(--('Данные 2st'!$Q$2:$Q$317=$A77),--ISNUMBER('Данные 2st'!$QF$2:$QF$317))</f>
        <v>1</v>
      </c>
      <c r="TO77">
        <f>SUMPRODUCT(--('Данные 2st'!$Q$2:$Q$317=$A77),--ISNUMBER('Данные 2st'!$QG$2:$QG$317))</f>
        <v>1</v>
      </c>
      <c r="TP77">
        <f>SUMPRODUCT(--('Данные 2st'!$Q$2:$Q$317=$A77),--ISNUMBER('Данные 2st'!$QH$2:$QH$317))</f>
        <v>1</v>
      </c>
      <c r="TQ77">
        <f>SUMPRODUCT(--('Данные 2st'!$Q$2:$Q$317=$A77),--ISNUMBER('Данные 2st'!$QI$2:$QI$317))</f>
        <v>1</v>
      </c>
      <c r="TR77">
        <f>SUMPRODUCT(--('Данные 2st'!$Q$2:$Q$317=$A77),--ISNUMBER('Данные 2st'!$QJ$2:$QJ$317))</f>
        <v>1</v>
      </c>
      <c r="TS77">
        <f>SUMPRODUCT(--('Данные 2st'!$Q$2:$Q$317=$A77),--ISNUMBER('Данные 2st'!$QK$2:$QK$317))</f>
        <v>1</v>
      </c>
      <c r="TT77">
        <f>SUMPRODUCT(--('Данные 2st'!$Q$2:$Q$317=$A77),--ISNUMBER('Данные 2st'!$QL$2:$QL$317))</f>
        <v>1</v>
      </c>
      <c r="TU77">
        <f>SUMPRODUCT(--('Данные 2st'!$Q$2:$Q$317=$A77),--ISNUMBER('Данные 2st'!$QM$2:$QM$317))</f>
        <v>1</v>
      </c>
      <c r="TV77">
        <f>SUMPRODUCT(--('Данные 2st'!$Q$2:$Q$317=$A77),--ISNUMBER('Данные 2st'!$QN$2:$QN$317))</f>
        <v>1</v>
      </c>
      <c r="TW77">
        <f>SUMPRODUCT(--('Данные 2st'!$Q$2:$Q$317=$A77),--ISNUMBER('Данные 2st'!$QQ$2:$QQ$317))</f>
        <v>1</v>
      </c>
      <c r="TX77">
        <f>SUMPRODUCT(--('Данные 2st'!$Q$2:$Q$317=$A77),--ISNUMBER('Данные 2st'!$QS$2:$QS$317))</f>
        <v>1</v>
      </c>
      <c r="TY77">
        <f>SUMPRODUCT(--('Данные 2st'!$Q$2:$Q$317=$A77),--ISNUMBER('Данные 2st'!$QT$2:$QT$317))</f>
        <v>1</v>
      </c>
    </row>
    <row r="78" spans="1:545" ht="32" customHeight="1">
      <c r="A78" s="11" t="str">
        <f>'По размерам'!A78</f>
        <v>265/60R18</v>
      </c>
      <c r="G78">
        <f>SUMPRODUCT(--('Данные 1st'!$S$2:$S$317=$A78),--ISNUMBER('Данные 1st'!$AE$2:$AE$317))</f>
        <v>4</v>
      </c>
      <c r="H78">
        <f>SUMPRODUCT(--('Данные 1st'!$S$2:$S$317=$A78),--ISNUMBER('Данные 1st'!$AF$2:$AF$317))</f>
        <v>4</v>
      </c>
      <c r="I78">
        <f>SUMPRODUCT(--('Данные 1st'!$S$2:$S$317=$A78),--ISNUMBER('Данные 1st'!$AJ$2:$AJ$317))</f>
        <v>4</v>
      </c>
      <c r="J78">
        <f>SUMPRODUCT(--('Данные 1st'!$S$2:$S$317=$A78),--ISNUMBER('Данные 1st'!$AL$2:$AL$317))</f>
        <v>4</v>
      </c>
      <c r="K78">
        <f>SUMPRODUCT(--('Данные 1st'!$S$2:$S$317=$A78),--ISNUMBER('Данные 1st'!$AR$2:$AR$317))</f>
        <v>4</v>
      </c>
      <c r="L78">
        <f>SUMPRODUCT(--('Данные 1st'!$S$2:$S$317=$A78),--ISNUMBER('Данные 1st'!$AS$2:$AS$317))</f>
        <v>4</v>
      </c>
      <c r="M78">
        <f>SUMPRODUCT(--('Данные 1st'!$S$2:$S$317=$A78),--ISNUMBER('Данные 1st'!$AY$2:$AY$317))</f>
        <v>4</v>
      </c>
      <c r="N78">
        <f>SUMPRODUCT(--('Данные 1st'!$S$2:$S$317=$A78),--ISNUMBER('Данные 1st'!$AZ$2:$AZ$317))</f>
        <v>4</v>
      </c>
      <c r="O78">
        <f>SUMPRODUCT(--('Данные 1st'!$S$2:$S$317=$A78),--ISNUMBER('Данные 1st'!$BF$2:$BF$317))</f>
        <v>4</v>
      </c>
      <c r="P78">
        <f>SUMPRODUCT(--('Данные 1st'!$S$2:$S$317=$A78),--ISNUMBER('Данные 1st'!$BG$2:$BG$317))</f>
        <v>4</v>
      </c>
      <c r="Q78">
        <f>SUMPRODUCT(--('Данные 1st'!$S$2:$S$317=$A78),--ISNUMBER('Данные 1st'!$BM$2:$BM$317))</f>
        <v>0</v>
      </c>
      <c r="R78">
        <f>SUMPRODUCT(--('Данные 1st'!$S$2:$S$317=$A78),--ISNUMBER('Данные 1st'!$BN$2:$BN$317))</f>
        <v>4</v>
      </c>
      <c r="S78">
        <f>SUMPRODUCT(--('Данные 1st'!$S$2:$S$317=$A78),--ISNUMBER('Данные 1st'!$BT$2:$BT$317))</f>
        <v>4</v>
      </c>
      <c r="T78">
        <f>SUMPRODUCT(--('Данные 1st'!$S$2:$S$317=$A78),--ISNUMBER('Данные 1st'!$BU$2:$BU$317))</f>
        <v>4</v>
      </c>
      <c r="U78">
        <f>SUMPRODUCT(--('Данные 1st'!$S$2:$S$317=$A78),--ISNUMBER('Данные 1st'!$BW$2:$BW$317))</f>
        <v>4</v>
      </c>
      <c r="V78">
        <f>SUMPRODUCT(--('Данные 1st'!$S$2:$S$317=$A78),--ISNUMBER('Данные 1st'!$BX$2:$BX$317))</f>
        <v>4</v>
      </c>
      <c r="W78">
        <f>SUMPRODUCT(--('Данные 1st'!$S$2:$S$317=$A78),--ISNUMBER('Данные 1st'!$BZ$2:$BZ$317))</f>
        <v>4</v>
      </c>
      <c r="X78">
        <f>SUMPRODUCT(--('Данные 1st'!$S$2:$S$317=$A78),--ISNUMBER('Данные 1st'!$CA$2:$CA$317))</f>
        <v>4</v>
      </c>
      <c r="Y78">
        <f>SUMPRODUCT(--('Данные 1st'!$S$2:$S$317=$A78),--ISNUMBER('Данные 1st'!$CD$2:$CD$317))</f>
        <v>4</v>
      </c>
      <c r="Z78">
        <f>SUMPRODUCT(--('Данные 1st'!$S$2:$S$317=$A78),--ISNUMBER('Данные 1st'!$CF$2:$CF$317))</f>
        <v>4</v>
      </c>
      <c r="AA78">
        <f>SUMPRODUCT(--('Данные 1st'!$S$2:$S$317=$A78),--ISNUMBER('Данные 1st'!$CI$2:$CI$317))</f>
        <v>4</v>
      </c>
      <c r="AB78">
        <f>SUMPRODUCT(--('Данные 1st'!$S$2:$S$317=$A78),--ISNUMBER('Данные 1st'!$CJ$2:$CJ$317))</f>
        <v>4</v>
      </c>
      <c r="AC78">
        <f>SUMPRODUCT(--('Данные 1st'!$S$2:$S$317=$A78),--ISNUMBER('Данные 1st'!$CK$2:$CK$317))</f>
        <v>4</v>
      </c>
      <c r="AD78">
        <f>SUMPRODUCT(--('Данные 1st'!$S$2:$S$317=$A78),--ISNUMBER('Данные 1st'!$CL$2:$CL$317))</f>
        <v>4</v>
      </c>
      <c r="AE78">
        <f>SUMPRODUCT(--('Данные 1st'!$S$2:$S$317=$A78),--ISNUMBER('Данные 1st'!$CM$2:$CM$317))</f>
        <v>4</v>
      </c>
      <c r="AF78">
        <f>SUMPRODUCT(--('Данные 1st'!$S$2:$S$317=$A78),--ISNUMBER('Данные 1st'!$CT$2:$CT$317))</f>
        <v>4</v>
      </c>
      <c r="AG78">
        <f>SUMPRODUCT(--('Данные 1st'!$S$2:$S$317=$A78),--ISNUMBER('Данные 1st'!$CU$2:$CU$317))</f>
        <v>4</v>
      </c>
      <c r="AH78">
        <f>SUMPRODUCT(--('Данные 1st'!$S$2:$S$317=$A78),--ISNUMBER('Данные 1st'!$CV$2:$CV$317))</f>
        <v>4</v>
      </c>
      <c r="AI78">
        <f>SUMPRODUCT(--('Данные 1st'!$S$2:$S$317=$A78),--ISNUMBER('Данные 1st'!$CW$2:$CW$317))</f>
        <v>4</v>
      </c>
      <c r="AJ78">
        <f>SUMPRODUCT(--('Данные 1st'!$S$2:$S$317=$A78),--ISNUMBER('Данные 1st'!$CX$2:$CX$317))</f>
        <v>4</v>
      </c>
      <c r="AK78">
        <f>SUMPRODUCT(--('Данные 1st'!$S$2:$S$317=$A78),--ISNUMBER('Данные 1st'!$CZ$2:$CZ$317))</f>
        <v>2</v>
      </c>
      <c r="AL78">
        <f>SUMPRODUCT(--('Данные 1st'!$S$2:$S$317=$A78),--ISNUMBER('Данные 1st'!$DA$2:$DA$317))</f>
        <v>2</v>
      </c>
      <c r="AM78">
        <f>SUMPRODUCT(--('Данные 1st'!$S$2:$S$317=$A78),--ISNUMBER('Данные 1st'!$DB$2:$DB$317))</f>
        <v>2</v>
      </c>
      <c r="AN78">
        <f>SUMPRODUCT(--('Данные 1st'!$S$2:$S$317=$A78),--ISNUMBER('Данные 1st'!$DC$2:$DC$317))</f>
        <v>2</v>
      </c>
      <c r="AO78">
        <f>SUMPRODUCT(--('Данные 1st'!$S$2:$S$317=$A78),--ISNUMBER('Данные 1st'!$DD$2:$DD$317))</f>
        <v>4</v>
      </c>
      <c r="AP78">
        <f>SUMPRODUCT(--('Данные 1st'!$S$2:$S$317=$A78),--ISNUMBER('Данные 1st'!$DF$2:$DF$317))</f>
        <v>4</v>
      </c>
      <c r="AQ78">
        <f>SUMPRODUCT(--('Данные 1st'!$S$2:$S$317=$A78),--ISNUMBER('Данные 1st'!$DG$2:$DG$317))</f>
        <v>4</v>
      </c>
      <c r="AR78">
        <f>SUMPRODUCT(--('Данные 1st'!$S$2:$S$317=$A78),--ISNUMBER('Данные 1st'!$DH$2:$DH$317))</f>
        <v>4</v>
      </c>
      <c r="AS78">
        <f>SUMPRODUCT(--('Данные 1st'!$S$2:$S$317=$A78),--ISNUMBER('Данные 1st'!$DI$2:$DI$317))</f>
        <v>4</v>
      </c>
      <c r="AT78">
        <f>SUMPRODUCT(--('Данные 1st'!$S$2:$S$317=$A78),--ISNUMBER('Данные 1st'!$DJ$2:$DJ$317))</f>
        <v>4</v>
      </c>
      <c r="AU78">
        <f>SUMPRODUCT(--('Данные 1st'!$S$2:$S$317=$A78),--ISNUMBER('Данные 1st'!$DL$2:$DL$317))</f>
        <v>4</v>
      </c>
      <c r="AV78">
        <f>SUMPRODUCT(--('Данные 1st'!$S$2:$S$317=$A78),--ISNUMBER('Данные 1st'!$DM$2:$DM$317))</f>
        <v>4</v>
      </c>
      <c r="AW78">
        <f>SUMPRODUCT(--('Данные 1st'!$S$2:$S$317=$A78),--ISNUMBER('Данные 1st'!$DN$2:$DN$317))</f>
        <v>4</v>
      </c>
      <c r="AX78">
        <f>SUMPRODUCT(--('Данные 1st'!$S$2:$S$317=$A78),--ISNUMBER('Данные 1st'!$DO$2:$DO$317))</f>
        <v>4</v>
      </c>
      <c r="AY78">
        <f>SUMPRODUCT(--('Данные 1st'!$S$2:$S$317=$A78),--ISNUMBER('Данные 1st'!$DP$2:$DP$317))</f>
        <v>4</v>
      </c>
      <c r="AZ78">
        <f>SUMPRODUCT(--('Данные 1st'!$S$2:$S$317=$A78),--ISNUMBER('Данные 1st'!$DR$2:$DR$317))</f>
        <v>0</v>
      </c>
      <c r="BA78">
        <f>SUMPRODUCT(--('Данные 1st'!$S$2:$S$317=$A78),--ISNUMBER('Данные 1st'!$DS$2:$DS$317))</f>
        <v>0</v>
      </c>
      <c r="BB78">
        <f>SUMPRODUCT(--('Данные 1st'!$S$2:$S$317=$A78),--ISNUMBER('Данные 1st'!$DT$2:$DT$317))</f>
        <v>0</v>
      </c>
      <c r="BC78">
        <f>SUMPRODUCT(--('Данные 1st'!$S$2:$S$317=$A78),--ISNUMBER('Данные 1st'!$DU$2:$DU$317))</f>
        <v>0</v>
      </c>
      <c r="BD78">
        <f>SUMPRODUCT(--('Данные 1st'!$S$2:$S$317=$A78),--ISNUMBER('Данные 1st'!$DV$2:$DV$317))</f>
        <v>0</v>
      </c>
      <c r="BE78">
        <f>SUMPRODUCT(--('Данные 1st'!$S$2:$S$317=$A78),--ISNUMBER('Данные 1st'!$DX$2:$DX$317))</f>
        <v>4</v>
      </c>
      <c r="BF78">
        <f>SUMPRODUCT(--('Данные 1st'!$S$2:$S$317=$A78),--ISNUMBER('Данные 1st'!$EA$2:$EA$317))</f>
        <v>4</v>
      </c>
      <c r="BG78">
        <f>SUMPRODUCT(--('Данные 1st'!$S$2:$S$317=$A78),--ISNUMBER('Данные 1st'!$EB$2:$EB$317))</f>
        <v>4</v>
      </c>
      <c r="BH78">
        <f>SUMPRODUCT(--('Данные 1st'!$S$2:$S$317=$A78),--ISNUMBER('Данные 1st'!$ED$2:$ED$317))</f>
        <v>4</v>
      </c>
      <c r="BI78">
        <f>SUMPRODUCT(--('Данные 1st'!$S$2:$S$317=$A78),--ISNUMBER('Данные 1st'!$EE$2:$EE$317))</f>
        <v>4</v>
      </c>
      <c r="BJ78">
        <f>SUMPRODUCT(--('Данные 1st'!$S$2:$S$317=$A78),--ISNUMBER('Данные 1st'!$EG$2:$EG$317))</f>
        <v>4</v>
      </c>
      <c r="BK78">
        <f>SUMPRODUCT(--('Данные 1st'!$S$2:$S$317=$A78),--ISNUMBER('Данные 1st'!$EH$2:$EH$317))</f>
        <v>4</v>
      </c>
      <c r="BL78">
        <f>SUMPRODUCT(--('Данные 1st'!$S$2:$S$317=$A78),--ISNUMBER('Данные 1st'!$EJ$2:$EJ$317))</f>
        <v>4</v>
      </c>
      <c r="BM78">
        <f>SUMPRODUCT(--('Данные 1st'!$S$2:$S$317=$A78),--ISNUMBER('Данные 1st'!$EK$2:$EK$317))</f>
        <v>4</v>
      </c>
      <c r="BN78">
        <f>SUMPRODUCT(--('Данные 1st'!$S$2:$S$317=$A78),--ISNUMBER('Данные 1st'!$EN$2:$EN$317))</f>
        <v>4</v>
      </c>
      <c r="BO78">
        <f>SUMPRODUCT(--('Данные 1st'!$S$2:$S$317=$A78),--ISNUMBER('Данные 1st'!$EQ$2:$EQ$317))</f>
        <v>4</v>
      </c>
      <c r="BP78">
        <f>SUMPRODUCT(--('Данные 1st'!$S$2:$S$317=$A78),--ISNUMBER('Данные 1st'!$ER$2:$ER$317))</f>
        <v>4</v>
      </c>
      <c r="BQ78">
        <f>SUMPRODUCT(--('Данные 1st'!$S$2:$S$317=$A78),--ISNUMBER('Данные 1st'!$ES$2:$ES$317))</f>
        <v>4</v>
      </c>
      <c r="BR78">
        <f>SUMPRODUCT(--('Данные 1st'!$S$2:$S$317=$A78),--ISNUMBER('Данные 1st'!$ET$2:$ET$317))</f>
        <v>4</v>
      </c>
      <c r="BS78">
        <f>SUMPRODUCT(--('Данные 1st'!$S$2:$S$317=$A78),--ISNUMBER('Данные 1st'!$EU$2:$EU$317))</f>
        <v>4</v>
      </c>
      <c r="BT78">
        <f>SUMPRODUCT(--('Данные 1st'!$S$2:$S$317=$A78),--ISNUMBER('Данные 1st'!$EV$2:$EV$317))</f>
        <v>4</v>
      </c>
      <c r="BU78">
        <f>SUMPRODUCT(--('Данные 1st'!$S$2:$S$317=$A78),--ISNUMBER('Данные 1st'!$EX$2:$EX$317))</f>
        <v>4</v>
      </c>
      <c r="BV78">
        <f>SUMPRODUCT(--('Данные 1st'!$S$2:$S$317=$A78),--ISNUMBER('Данные 1st'!$EY$2:$EY$317))</f>
        <v>4</v>
      </c>
      <c r="BW78">
        <f>SUMPRODUCT(--('Данные 1st'!$S$2:$S$317=$A78),--ISNUMBER('Данные 1st'!$EZ$2:$EZ$317))</f>
        <v>4</v>
      </c>
      <c r="BX78">
        <f>SUMPRODUCT(--('Данные 1st'!$S$2:$S$317=$A78),--ISNUMBER('Данные 1st'!$FA$2:$FA$317))</f>
        <v>4</v>
      </c>
      <c r="BY78">
        <f>SUMPRODUCT(--('Данные 1st'!$S$2:$S$317=$A78),--ISNUMBER('Данные 1st'!$FB$2:$FB$317))</f>
        <v>4</v>
      </c>
      <c r="BZ78">
        <f>SUMPRODUCT(--('Данные 1st'!$S$2:$S$317=$A78),--ISNUMBER('Данные 1st'!$FC$2:$FC$317))</f>
        <v>4</v>
      </c>
      <c r="CA78">
        <f>SUMPRODUCT(--('Данные 1st'!$S$2:$S$317=$A78),--ISNUMBER('Данные 1st'!$FE$2:$FE$317))</f>
        <v>4</v>
      </c>
      <c r="CB78">
        <f>SUMPRODUCT(--('Данные 1st'!$S$2:$S$317=$A78),--ISNUMBER('Данные 1st'!$FF$2:$FF$317))</f>
        <v>4</v>
      </c>
      <c r="CC78">
        <f>SUMPRODUCT(--('Данные 1st'!$S$2:$S$317=$A78),--ISNUMBER('Данные 1st'!$FI$2:$FI$317))</f>
        <v>4</v>
      </c>
      <c r="CD78">
        <f>SUMPRODUCT(--('Данные 1st'!$S$2:$S$317=$A78),--ISNUMBER('Данные 1st'!$FL$2:$FL$317))</f>
        <v>4</v>
      </c>
      <c r="CE78">
        <f>SUMPRODUCT(--('Данные 1st'!$S$2:$S$317=$A78),--ISNUMBER('Данные 1st'!$FM$2:$FM$317))</f>
        <v>4</v>
      </c>
      <c r="CF78">
        <f>SUMPRODUCT(--('Данные 1st'!$S$2:$S$317=$A78),--ISNUMBER('Данные 1st'!$FN$2:$FN$317))</f>
        <v>4</v>
      </c>
      <c r="CG78">
        <f>SUMPRODUCT(--('Данные 1st'!$S$2:$S$317=$A78),--ISNUMBER('Данные 1st'!$FO$2:$FO$317))</f>
        <v>2</v>
      </c>
      <c r="CH78">
        <f>SUMPRODUCT(--('Данные 1st'!$S$2:$S$317=$A78),--ISNUMBER('Данные 1st'!$FP$2:$FP$317))</f>
        <v>2</v>
      </c>
      <c r="CI78">
        <f>SUMPRODUCT(--('Данные 1st'!$S$2:$S$317=$A78),--ISNUMBER('Данные 1st'!$FS$2:$FS$317))</f>
        <v>1</v>
      </c>
      <c r="CJ78">
        <f>SUMPRODUCT(--('Данные 1st'!$S$2:$S$317=$A78),--ISNUMBER('Данные 1st'!$FT$2:$FT$317))</f>
        <v>1</v>
      </c>
      <c r="CK78">
        <f>SUMPRODUCT(--('Данные 1st'!$S$2:$S$317=$A78),--ISNUMBER('Данные 1st'!$FU$2:$FU$317))</f>
        <v>1</v>
      </c>
      <c r="CL78">
        <f>SUMPRODUCT(--('Данные 1st'!$S$2:$S$317=$A78),--ISNUMBER('Данные 1st'!$FV$2:$FV$317))</f>
        <v>0</v>
      </c>
      <c r="CM78">
        <f>SUMPRODUCT(--('Данные 1st'!$S$2:$S$317=$A78),--ISNUMBER('Данные 1st'!$FW$2:$FW$317))</f>
        <v>0</v>
      </c>
      <c r="CN78">
        <f>SUMPRODUCT(--('Данные 1st'!$S$2:$S$317=$A78),--ISNUMBER('Данные 1st'!$FZ$2:$FZ$317))</f>
        <v>0</v>
      </c>
      <c r="CO78">
        <f>SUMPRODUCT(--('Данные 1st'!$S$2:$S$317=$A78),--ISNUMBER('Данные 1st'!$GA$2:$GA$317))</f>
        <v>0</v>
      </c>
      <c r="CP78">
        <f>SUMPRODUCT(--('Данные 1st'!$S$2:$S$317=$A78),--ISNUMBER('Данные 1st'!$GB$2:$GB$317))</f>
        <v>0</v>
      </c>
      <c r="CQ78">
        <f>SUMPRODUCT(--('Данные 1st'!$S$2:$S$317=$A78),--ISNUMBER('Данные 1st'!$GH$2:$GH$317))</f>
        <v>0</v>
      </c>
      <c r="CR78">
        <f>SUMPRODUCT(--('Данные 1st'!$S$2:$S$317=$A78),--ISNUMBER('Данные 1st'!$GI$2:$GI$317))</f>
        <v>0</v>
      </c>
      <c r="CS78">
        <f>SUMPRODUCT(--('Данные 1st'!$S$2:$S$317=$A78),--ISNUMBER('Данные 1st'!$GJ$2:$GJ$317))</f>
        <v>0</v>
      </c>
      <c r="CT78">
        <f>SUMPRODUCT(--('Данные 1st'!$S$2:$S$317=$A78),--ISNUMBER('Данные 1st'!$GS$2:$GS$317))</f>
        <v>4</v>
      </c>
      <c r="CU78">
        <f>SUMPRODUCT(--('Данные 1st'!$S$2:$S$317=$A78),--ISNUMBER('Данные 1st'!$GT$2:$GT$317))</f>
        <v>4</v>
      </c>
      <c r="CV78">
        <f>SUMPRODUCT(--('Данные 1st'!$S$2:$S$317=$A78),--ISNUMBER('Данные 1st'!$GU$2:$GU$317))</f>
        <v>4</v>
      </c>
      <c r="CW78">
        <f>SUMPRODUCT(--('Данные 1st'!$S$2:$S$317=$A78),--ISNUMBER('Данные 1st'!$GV$2:$GV$317))</f>
        <v>1</v>
      </c>
      <c r="CX78">
        <f>SUMPRODUCT(--('Данные 1st'!$S$2:$S$317=$A78),--ISNUMBER('Данные 1st'!$GW$2:$GW$317))</f>
        <v>1</v>
      </c>
      <c r="CY78">
        <f>SUMPRODUCT(--('Данные 1st'!$S$2:$S$317=$A78),--ISNUMBER('Данные 1st'!$GZ$2:$GZ$317))</f>
        <v>0</v>
      </c>
      <c r="CZ78">
        <f>SUMPRODUCT(--('Данные 1st'!$S$2:$S$317=$A78),--ISNUMBER('Данные 1st'!$HA$2:$HA$317))</f>
        <v>0</v>
      </c>
      <c r="DA78">
        <f>SUMPRODUCT(--('Данные 1st'!$S$2:$S$317=$A78),--ISNUMBER('Данные 1st'!$HB$2:$HB$317))</f>
        <v>0</v>
      </c>
      <c r="DB78">
        <f>SUMPRODUCT(--('Данные 1st'!$S$2:$S$317=$A78),--ISNUMBER('Данные 1st'!$HC$2:$HC$317))</f>
        <v>4</v>
      </c>
      <c r="DC78">
        <f>SUMPRODUCT(--('Данные 1st'!$S$2:$S$317=$A78),--ISNUMBER('Данные 1st'!$HD$2:$HD$317))</f>
        <v>4</v>
      </c>
      <c r="DD78">
        <f>SUMPRODUCT(--('Данные 1st'!$S$2:$S$317=$A78),--ISNUMBER('Данные 1st'!$HE$2:$HE$317))</f>
        <v>4</v>
      </c>
      <c r="DE78">
        <f>SUMPRODUCT(--('Данные 1st'!$S$2:$S$317=$A78),--ISNUMBER('Данные 1st'!$HF$2:$HF$317))</f>
        <v>4</v>
      </c>
      <c r="DF78">
        <f>SUMPRODUCT(--('Данные 1st'!$S$2:$S$317=$A78),--ISNUMBER('Данные 1st'!$HG$2:$HG$317))</f>
        <v>4</v>
      </c>
      <c r="DG78">
        <f>SUMPRODUCT(--('Данные 1st'!$S$2:$S$317=$A78),--ISNUMBER('Данные 1st'!$HH$2:$HH$317))</f>
        <v>4</v>
      </c>
      <c r="DH78">
        <f>SUMPRODUCT(--('Данные 1st'!$S$2:$S$317=$A78),--ISNUMBER('Данные 1st'!$HI$2:$HI$317))</f>
        <v>4</v>
      </c>
      <c r="DI78">
        <f>SUMPRODUCT(--('Данные 1st'!$S$2:$S$317=$A78),--ISNUMBER('Данные 1st'!$HJ$2:$HJ$317))</f>
        <v>4</v>
      </c>
      <c r="DJ78">
        <f>SUMPRODUCT(--('Данные 1st'!$S$2:$S$317=$A78),--ISNUMBER('Данные 1st'!$HK$2:$HK$317))</f>
        <v>4</v>
      </c>
      <c r="DK78">
        <f>SUMPRODUCT(--('Данные 1st'!$S$2:$S$317=$A78),--ISNUMBER('Данные 1st'!$HL$2:$HL$317))</f>
        <v>4</v>
      </c>
      <c r="DL78">
        <f>SUMPRODUCT(--('Данные 1st'!$S$2:$S$317=$A78),--ISNUMBER('Данные 1st'!$HM$2:$HM$317))</f>
        <v>4</v>
      </c>
      <c r="DM78">
        <f>SUMPRODUCT(--('Данные 1st'!$S$2:$S$317=$A78),--ISNUMBER('Данные 1st'!$HN$2:$HN$317))</f>
        <v>4</v>
      </c>
      <c r="DN78">
        <f>SUMPRODUCT(--('Данные 1st'!$S$2:$S$317=$A78),--ISNUMBER('Данные 1st'!$HO$2:$HO$317))</f>
        <v>4</v>
      </c>
      <c r="DO78">
        <f>SUMPRODUCT(--('Данные 1st'!$S$2:$S$317=$A78),--ISNUMBER('Данные 1st'!$HP$2:$HP$317))</f>
        <v>4</v>
      </c>
      <c r="DP78">
        <f>SUMPRODUCT(--('Данные 1st'!$S$2:$S$317=$A78),--ISNUMBER('Данные 1st'!$HQ$2:$HQ$317))</f>
        <v>4</v>
      </c>
      <c r="DQ78">
        <f>SUMPRODUCT(--('Данные 1st'!$S$2:$S$317=$A78),--ISNUMBER('Данные 1st'!$HR$2:$HR$317))</f>
        <v>4</v>
      </c>
      <c r="DR78">
        <f>SUMPRODUCT(--('Данные 1st'!$S$2:$S$317=$A78),--ISNUMBER('Данные 1st'!$HS$2:$HS$317))</f>
        <v>4</v>
      </c>
      <c r="DS78">
        <f>SUMPRODUCT(--('Данные 1st'!$S$2:$S$317=$A78),--ISNUMBER('Данные 1st'!$HT$2:$HT$317))</f>
        <v>4</v>
      </c>
      <c r="DT78">
        <f>SUMPRODUCT(--('Данные 1st'!$S$2:$S$317=$A78),--ISNUMBER('Данные 1st'!$HU$2:$HU$317))</f>
        <v>4</v>
      </c>
      <c r="DU78">
        <f>SUMPRODUCT(--('Данные 1st'!$S$2:$S$317=$A78),--ISNUMBER('Данные 1st'!$HW$2:$HW$317))</f>
        <v>4</v>
      </c>
      <c r="DV78">
        <f>SUMPRODUCT(--('Данные 1st'!$S$2:$S$317=$A78),--ISNUMBER('Данные 1st'!$HX$2:$HX$317))</f>
        <v>4</v>
      </c>
      <c r="DW78">
        <f>SUMPRODUCT(--('Данные 1st'!$S$2:$S$317=$A78),--ISNUMBER('Данные 1st'!$HY$2:$HY$317))</f>
        <v>4</v>
      </c>
      <c r="DX78">
        <f>SUMPRODUCT(--('Данные 1st'!$S$2:$S$317=$A78),--ISNUMBER('Данные 1st'!$IA$2:$IA$317))</f>
        <v>4</v>
      </c>
      <c r="DY78">
        <f>SUMPRODUCT(--('Данные 1st'!$S$2:$S$317=$A78),--ISNUMBER('Данные 1st'!$IB$2:$IB$317))</f>
        <v>4</v>
      </c>
      <c r="DZ78">
        <f>SUMPRODUCT(--('Данные 1st'!$S$2:$S$317=$A78),--ISNUMBER('Данные 1st'!$IC$2:$IC$317))</f>
        <v>4</v>
      </c>
      <c r="EA78">
        <f>SUMPRODUCT(--('Данные 1st'!$S$2:$S$317=$A78),--ISNUMBER('Данные 1st'!$ID$2:$ID$317))</f>
        <v>4</v>
      </c>
      <c r="EB78">
        <f>SUMPRODUCT(--('Данные 1st'!$S$2:$S$317=$A78),--ISNUMBER('Данные 1st'!$IE$2:$IE$317))</f>
        <v>4</v>
      </c>
      <c r="EC78">
        <f>SUMPRODUCT(--('Данные 1st'!$S$2:$S$317=$A78),--ISNUMBER('Данные 1st'!$IF$2:$IF$317))</f>
        <v>4</v>
      </c>
      <c r="ED78">
        <f>SUMPRODUCT(--('Данные 1st'!$S$2:$S$317=$A78),--ISNUMBER('Данные 1st'!$IP$2:$IP$317))</f>
        <v>4</v>
      </c>
      <c r="EE78">
        <f>SUMPRODUCT(--('Данные 1st'!$S$2:$S$317=$A78),--ISNUMBER('Данные 1st'!$IV$2:$IV$317))</f>
        <v>4</v>
      </c>
      <c r="EF78">
        <f>SUMPRODUCT(--('Данные 1st'!$S$2:$S$317=$A78),--ISNUMBER('Данные 1st'!$IW$2:$IW$317))</f>
        <v>4</v>
      </c>
      <c r="EG78">
        <f>SUMPRODUCT(--('Данные 1st'!$S$2:$S$317=$A78),--ISNUMBER('Данные 1st'!$IX$2:$IX$317))</f>
        <v>0</v>
      </c>
      <c r="EH78">
        <f>SUMPRODUCT(--('Данные 1st'!$S$2:$S$317=$A78),--ISNUMBER('Данные 1st'!$IY$2:$IY$317))</f>
        <v>0</v>
      </c>
      <c r="EI78">
        <f>SUMPRODUCT(--('Данные 1st'!$S$2:$S$317=$A78),--ISNUMBER('Данные 1st'!$JD$2:$JD$317))</f>
        <v>4</v>
      </c>
      <c r="EJ78">
        <f>SUMPRODUCT(--('Данные 1st'!$S$2:$S$317=$A78),--ISNUMBER('Данные 1st'!$JE$2:$JE$317))</f>
        <v>4</v>
      </c>
      <c r="EK78">
        <f>SUMPRODUCT(--('Данные 1st'!$S$2:$S$317=$A78),--ISNUMBER('Данные 1st'!$JF$2:$JF$317))</f>
        <v>4</v>
      </c>
      <c r="EL78">
        <f>SUMPRODUCT(--('Данные 1st'!$S$2:$S$317=$A78),--ISNUMBER('Данные 1st'!$JG$2:$JG$317))</f>
        <v>4</v>
      </c>
      <c r="EM78">
        <f>SUMPRODUCT(--('Данные 1st'!$S$2:$S$317=$A78),--ISNUMBER('Данные 1st'!$JH$2:$JH$317))</f>
        <v>4</v>
      </c>
      <c r="EN78">
        <f>SUMPRODUCT(--('Данные 1st'!$S$2:$S$317=$A78),--ISNUMBER('Данные 1st'!$JJ$2:$JJ$317))</f>
        <v>4</v>
      </c>
      <c r="EO78">
        <f>SUMPRODUCT(--('Данные 1st'!$S$2:$S$317=$A78),--ISNUMBER('Данные 1st'!$JK$2:$JK$317))</f>
        <v>4</v>
      </c>
      <c r="EP78">
        <f>SUMPRODUCT(--('Данные 1st'!$S$2:$S$317=$A78),--ISNUMBER('Данные 1st'!$JL$2:$JL$317))</f>
        <v>0</v>
      </c>
      <c r="EQ78">
        <f>SUMPRODUCT(--('Данные 1st'!$S$2:$S$317=$A78),--ISNUMBER('Данные 1st'!$JM$2:$JM$317))</f>
        <v>0</v>
      </c>
      <c r="ER78">
        <f>SUMPRODUCT(--('Данные 1st'!$S$2:$S$317=$A78),--ISNUMBER('Данные 1st'!$JN$2:$JN$317))</f>
        <v>4</v>
      </c>
      <c r="ES78">
        <f>SUMPRODUCT(--('Данные 1st'!$S$2:$S$317=$A78),--ISNUMBER('Данные 1st'!$JO$2:$JO$317))</f>
        <v>4</v>
      </c>
      <c r="ET78">
        <f>SUMPRODUCT(--('Данные 1st'!$S$2:$S$317=$A78),--ISNUMBER('Данные 1st'!$JP$2:$JP$317))</f>
        <v>4</v>
      </c>
      <c r="EU78">
        <f>SUMPRODUCT(--('Данные 1st'!$S$2:$S$317=$A78),--ISNUMBER('Данные 1st'!$JQ$2:$JQ$317))</f>
        <v>4</v>
      </c>
      <c r="EV78">
        <f>SUMPRODUCT(--('Данные 1st'!$S$2:$S$317=$A78),--ISNUMBER('Данные 1st'!$JR$2:$JR$317))</f>
        <v>4</v>
      </c>
      <c r="EW78">
        <f>SUMPRODUCT(--('Данные 1st'!$S$2:$S$317=$A78),--ISNUMBER('Данные 1st'!$JS$2:$JS$317))</f>
        <v>4</v>
      </c>
      <c r="EX78">
        <f>SUMPRODUCT(--('Данные 1st'!$S$2:$S$317=$A78),--ISNUMBER('Данные 1st'!$JT$2:$JT$317))</f>
        <v>0</v>
      </c>
      <c r="EY78">
        <f>SUMPRODUCT(--('Данные 1st'!$S$2:$S$317=$A78),--ISNUMBER('Данные 1st'!$JU$2:$JU$317))</f>
        <v>0</v>
      </c>
      <c r="EZ78">
        <f>SUMPRODUCT(--('Данные 1st'!$S$2:$S$317=$A78),--ISNUMBER('Данные 1st'!$JV$2:$JV$317))</f>
        <v>4</v>
      </c>
      <c r="FA78">
        <f>SUMPRODUCT(--('Данные 1st'!$S$2:$S$317=$A78),--ISNUMBER('Данные 1st'!$JW$2:$JW$317))</f>
        <v>0</v>
      </c>
      <c r="FB78">
        <f>SUMPRODUCT(--('Данные 1st'!$S$2:$S$317=$A78),--ISNUMBER('Данные 1st'!$JX$2:$JX$317))</f>
        <v>4</v>
      </c>
      <c r="FC78">
        <f>SUMPRODUCT(--('Данные 1st'!$S$2:$S$317=$A78),--ISNUMBER('Данные 1st'!$JY$2:$JY$317))</f>
        <v>0</v>
      </c>
      <c r="FD78">
        <f>SUMPRODUCT(--('Данные 1st'!$S$2:$S$317=$A78),--ISNUMBER('Данные 1st'!$JZ$2:$JZ$317))</f>
        <v>0</v>
      </c>
      <c r="FE78">
        <f>SUMPRODUCT(--('Данные 1st'!$S$2:$S$317=$A78),--ISNUMBER('Данные 1st'!$KA$2:$KA$317))</f>
        <v>4</v>
      </c>
      <c r="FF78">
        <f>SUMPRODUCT(--('Данные 1st'!$S$2:$S$317=$A78),--ISNUMBER('Данные 1st'!$KB$2:$KB$317))</f>
        <v>4</v>
      </c>
      <c r="FG78">
        <f>SUMPRODUCT(--('Данные 1st'!$S$2:$S$317=$A78),--ISNUMBER('Данные 1st'!$KC$2:$KC$317))</f>
        <v>4</v>
      </c>
      <c r="FH78">
        <f>SUMPRODUCT(--('Данные 1st'!$S$2:$S$317=$A78),--ISNUMBER('Данные 1st'!$KD$2:$KD$317))</f>
        <v>4</v>
      </c>
      <c r="FI78">
        <f>SUMPRODUCT(--('Данные 1st'!$S$2:$S$317=$A78),--ISNUMBER('Данные 1st'!$KE$2:$KE$317))</f>
        <v>0</v>
      </c>
      <c r="FJ78">
        <f>SUMPRODUCT(--('Данные 1st'!$S$2:$S$317=$A78),--ISNUMBER('Данные 1st'!$KF$2:$KF$317))</f>
        <v>4</v>
      </c>
      <c r="FK78">
        <f>SUMPRODUCT(--('Данные 1st'!$S$2:$S$317=$A78),--ISNUMBER('Данные 1st'!$KG$2:$KG$317))</f>
        <v>4</v>
      </c>
      <c r="FL78">
        <f>SUMPRODUCT(--('Данные 1st'!$S$2:$S$317=$A78),--ISNUMBER('Данные 1st'!$KH$2:$KH$317))</f>
        <v>4</v>
      </c>
      <c r="FM78">
        <f>SUMPRODUCT(--('Данные 1st'!$S$2:$S$317=$A78),--ISNUMBER('Данные 1st'!$KI$2:$KI$317))</f>
        <v>4</v>
      </c>
      <c r="FN78">
        <f>SUMPRODUCT(--('Данные 1st'!$S$2:$S$317=$A78),--ISNUMBER('Данные 1st'!$KJ$2:$KJ$317))</f>
        <v>4</v>
      </c>
      <c r="FO78">
        <f>SUMPRODUCT(--('Данные 1st'!$S$2:$S$317=$A78),--ISNUMBER('Данные 1st'!$KK$2:$KK$317))</f>
        <v>4</v>
      </c>
      <c r="FP78">
        <f>SUMPRODUCT(--('Данные 1st'!$S$2:$S$317=$A78),--ISNUMBER('Данные 1st'!$KL$2:$KL$317))</f>
        <v>4</v>
      </c>
      <c r="FQ78">
        <f>SUMPRODUCT(--('Данные 1st'!$S$2:$S$317=$A78),--ISNUMBER('Данные 1st'!$KM$2:$KM$317))</f>
        <v>4</v>
      </c>
      <c r="FR78">
        <f>SUMPRODUCT(--('Данные 1st'!$S$2:$S$317=$A78),--ISNUMBER('Данные 1st'!$KN$2:$KN$317))</f>
        <v>4</v>
      </c>
      <c r="FS78">
        <f>SUMPRODUCT(--('Данные 1st'!$S$2:$S$317=$A78),--ISNUMBER('Данные 1st'!$KR$2:$KR$317))</f>
        <v>4</v>
      </c>
      <c r="FT78">
        <f>SUMPRODUCT(--('Данные 1st'!$S$2:$S$317=$A78),--ISNUMBER('Данные 1st'!$KS$2:$KS$317))</f>
        <v>4</v>
      </c>
      <c r="FU78">
        <f>SUMPRODUCT(--('Данные 1st'!$S$2:$S$317=$A78),--ISNUMBER('Данные 1st'!$KT$2:$KT$317))</f>
        <v>4</v>
      </c>
      <c r="FV78">
        <f>SUMPRODUCT(--('Данные 1st'!$S$2:$S$317=$A78),--ISNUMBER('Данные 1st'!$KV$2:$KV$317))</f>
        <v>0</v>
      </c>
      <c r="FW78">
        <f>SUMPRODUCT(--('Данные 1st'!$S$2:$S$317=$A78),--ISNUMBER('Данные 1st'!$KW$2:$KW$317))</f>
        <v>0</v>
      </c>
      <c r="FX78">
        <f>SUMPRODUCT(--('Данные 1st'!$S$2:$S$317=$A78),--ISNUMBER('Данные 1st'!$KX$2:$KX$317))</f>
        <v>0</v>
      </c>
      <c r="FY78">
        <f>SUMPRODUCT(--('Данные 1st'!$S$2:$S$317=$A78),--ISNUMBER('Данные 1st'!$KY$2:$KY$317))</f>
        <v>0</v>
      </c>
      <c r="FZ78">
        <f>SUMPRODUCT(--('Данные 1st'!$S$2:$S$317=$A78),--ISNUMBER('Данные 1st'!$KZ$2:$KZ$317))</f>
        <v>0</v>
      </c>
      <c r="GA78">
        <f>SUMPRODUCT(--('Данные 1st'!$S$2:$S$317=$A78),--ISNUMBER('Данные 1st'!$LA$2:$LA$317))</f>
        <v>0</v>
      </c>
      <c r="GB78">
        <f>SUMPRODUCT(--('Данные 1st'!$S$2:$S$317=$A78),--ISNUMBER('Данные 1st'!$LB$2:$LB$317))</f>
        <v>0</v>
      </c>
      <c r="GC78">
        <f>SUMPRODUCT(--('Данные 1st'!$S$2:$S$317=$A78),--ISNUMBER('Данные 1st'!$LC$2:$LC$317))</f>
        <v>0</v>
      </c>
      <c r="GD78">
        <f>SUMPRODUCT(--('Данные 1st'!$S$2:$S$317=$A78),--ISNUMBER('Данные 1st'!$LD$2:$LD$317))</f>
        <v>0</v>
      </c>
      <c r="GE78">
        <f>SUMPRODUCT(--('Данные 1st'!$S$2:$S$317=$A78),--ISNUMBER('Данные 1st'!$LE$2:$LE$317))</f>
        <v>0</v>
      </c>
      <c r="GF78">
        <f>SUMPRODUCT(--('Данные 1st'!$S$2:$S$317=$A78),--ISNUMBER('Данные 1st'!$LF$2:$LF$317))</f>
        <v>0</v>
      </c>
      <c r="GG78">
        <f>SUMPRODUCT(--('Данные 1st'!$S$2:$S$317=$A78),--ISNUMBER('Данные 1st'!$LG$2:$LG$317))</f>
        <v>0</v>
      </c>
      <c r="GH78">
        <f>SUMPRODUCT(--('Данные 1st'!$S$2:$S$317=$A78),--ISNUMBER('Данные 1st'!$LH$2:$LH$317))</f>
        <v>0</v>
      </c>
      <c r="GI78">
        <f>SUMPRODUCT(--('Данные 1st'!$S$2:$S$317=$A78),--ISNUMBER('Данные 1st'!$LI$2:$LI$317))</f>
        <v>0</v>
      </c>
      <c r="GJ78">
        <f>SUMPRODUCT(--('Данные 1st'!$S$2:$S$317=$A78),--ISNUMBER('Данные 1st'!$LJ$2:$LJ$317))</f>
        <v>0</v>
      </c>
      <c r="GK78">
        <f>SUMPRODUCT(--('Данные 1st'!$S$2:$S$317=$A78),--ISNUMBER('Данные 1st'!$LK$2:$LK$317))</f>
        <v>4</v>
      </c>
      <c r="GL78">
        <f>SUMPRODUCT(--('Данные 1st'!$S$2:$S$317=$A78),--ISNUMBER('Данные 1st'!$LV$2:$LV$317))</f>
        <v>0</v>
      </c>
      <c r="GM78">
        <f>SUMPRODUCT(--('Данные 1st'!$S$2:$S$317=$A78),--ISNUMBER('Данные 1st'!$LW$2:$LW$317))</f>
        <v>0</v>
      </c>
      <c r="GN78">
        <f>SUMPRODUCT(--('Данные 1st'!$S$2:$S$317=$A78),--ISNUMBER('Данные 1st'!$LX$2:$LX$317))</f>
        <v>0</v>
      </c>
      <c r="GO78">
        <f>SUMPRODUCT(--('Данные 1st'!$S$2:$S$317=$A78),--ISNUMBER('Данные 1st'!$LY$2:$LY$317))</f>
        <v>0</v>
      </c>
      <c r="GP78">
        <f>SUMPRODUCT(--('Данные 1st'!$S$2:$S$317=$A78),--ISNUMBER('Данные 1st'!$LZ$2:$LZ$317))</f>
        <v>0</v>
      </c>
      <c r="GQ78">
        <f>SUMPRODUCT(--('Данные 1st'!$S$2:$S$317=$A78),--ISNUMBER('Данные 1st'!$PG$2:$PG$317))</f>
        <v>4</v>
      </c>
      <c r="GR78">
        <f>SUMPRODUCT(--('Данные 1st'!$S$2:$S$317=$A78),--ISNUMBER('Данные 1st'!$PX$2:$PX$317))</f>
        <v>4</v>
      </c>
      <c r="GS78">
        <f>SUMPRODUCT(--('Данные 1st'!$S$2:$S$317=$A78),--ISNUMBER('Данные 1st'!$PY$2:$PY$317))</f>
        <v>4</v>
      </c>
      <c r="GT78">
        <f>SUMPRODUCT(--('Данные 1st'!$S$2:$S$317=$A78),--ISNUMBER('Данные 1st'!$QA$2:$QA$317))</f>
        <v>4</v>
      </c>
      <c r="GU78">
        <f>SUMPRODUCT(--('Данные 1st'!$S$2:$S$317=$A78),--ISNUMBER('Данные 1st'!$QB$2:$QB$317))</f>
        <v>4</v>
      </c>
      <c r="GV78">
        <f>SUMPRODUCT(--('Данные 1st'!$S$2:$S$317=$A78),--ISNUMBER('Данные 1st'!$QC$2:$QC$317))</f>
        <v>4</v>
      </c>
      <c r="GW78">
        <f>SUMPRODUCT(--('Данные 1st'!$S$2:$S$317=$A78),--ISNUMBER('Данные 1st'!$QD$2:$QD$317))</f>
        <v>4</v>
      </c>
      <c r="GX78">
        <f>SUMPRODUCT(--('Данные 1st'!$S$2:$S$317=$A78),--ISNUMBER('Данные 1st'!$QF$2:$QF$317))</f>
        <v>4</v>
      </c>
      <c r="GY78">
        <f>SUMPRODUCT(--('Данные 1st'!$S$2:$S$317=$A78),--ISNUMBER('Данные 1st'!$QG$2:$QG$317))</f>
        <v>4</v>
      </c>
      <c r="GZ78">
        <f>SUMPRODUCT(--('Данные 1st'!$S$2:$S$317=$A78),--ISNUMBER('Данные 1st'!$QH$2:$QH$317))</f>
        <v>4</v>
      </c>
      <c r="HA78">
        <f>SUMPRODUCT(--('Данные 1st'!$S$2:$S$317=$A78),--ISNUMBER('Данные 1st'!$QI$2:$QI$317))</f>
        <v>4</v>
      </c>
      <c r="HB78">
        <f>SUMPRODUCT(--('Данные 1st'!$S$2:$S$317=$A78),--ISNUMBER('Данные 1st'!$QK$2:$QK$317))</f>
        <v>2</v>
      </c>
      <c r="HC78">
        <f>SUMPRODUCT(--('Данные 1st'!$S$2:$S$317=$A78),--ISNUMBER('Данные 1st'!$QL$2:$QL$317))</f>
        <v>4</v>
      </c>
      <c r="HD78">
        <f>SUMPRODUCT(--('Данные 1st'!$S$2:$S$317=$A78),--ISNUMBER('Данные 1st'!$QM$2:$QM$317))</f>
        <v>4</v>
      </c>
      <c r="HE78">
        <f>SUMPRODUCT(--('Данные 1st'!$S$2:$S$317=$A78),--ISNUMBER('Данные 1st'!$QN$2:$QN$317))</f>
        <v>4</v>
      </c>
      <c r="HF78">
        <f>SUMPRODUCT(--('Данные 1st'!$S$2:$S$317=$A78),--ISNUMBER('Данные 1st'!$QP$2:$QP$317))</f>
        <v>4</v>
      </c>
      <c r="HG78">
        <f>SUMPRODUCT(--('Данные 1st'!$S$2:$S$317=$A78),--ISNUMBER('Данные 1st'!$QQ$2:$QQ$317))</f>
        <v>4</v>
      </c>
      <c r="HH78">
        <f>SUMPRODUCT(--('Данные 1st'!$S$2:$S$317=$A78),--ISNUMBER('Данные 1st'!$QR$2:$QR$317))</f>
        <v>4</v>
      </c>
      <c r="HI78">
        <f>SUMPRODUCT(--('Данные 1st'!$S$2:$S$317=$A78),--ISNUMBER('Данные 1st'!$QS$2:$QS$317))</f>
        <v>4</v>
      </c>
      <c r="HJ78">
        <f>SUMPRODUCT(--('Данные 1st'!$S$2:$S$317=$A78),--ISNUMBER('Данные 1st'!$QU$2:$QU$317))</f>
        <v>4</v>
      </c>
      <c r="HK78">
        <f>SUMPRODUCT(--('Данные 1st'!$S$2:$S$317=$A78),--ISNUMBER('Данные 1st'!$QV$2:$QV$317))</f>
        <v>4</v>
      </c>
      <c r="HL78">
        <f>SUMPRODUCT(--('Данные 1st'!$S$2:$S$317=$A78),--ISNUMBER('Данные 1st'!$QW$2:$QW$317))</f>
        <v>4</v>
      </c>
      <c r="HM78">
        <f>SUMPRODUCT(--('Данные 1st'!$S$2:$S$317=$A78),--ISNUMBER('Данные 1st'!$QX$2:$QX$317))</f>
        <v>4</v>
      </c>
      <c r="HN78">
        <f>SUMPRODUCT(--('Данные 1st'!$S$2:$S$317=$A78),--ISNUMBER('Данные 1st'!$QZ$2:$QZ$317))</f>
        <v>4</v>
      </c>
      <c r="HO78">
        <f>SUMPRODUCT(--('Данные 1st'!$S$2:$S$317=$A78),--ISNUMBER('Данные 1st'!$RA$2:$RA$317))</f>
        <v>4</v>
      </c>
      <c r="HP78">
        <f>SUMPRODUCT(--('Данные 1st'!$S$2:$S$317=$A78),--ISNUMBER('Данные 1st'!$RB$2:$RB$317))</f>
        <v>4</v>
      </c>
      <c r="HQ78">
        <f>SUMPRODUCT(--('Данные 1st'!$S$2:$S$317=$A78),--ISNUMBER('Данные 1st'!$RD$2:$RD$317))</f>
        <v>0</v>
      </c>
      <c r="HR78">
        <f>SUMPRODUCT(--('Данные 1st'!$S$2:$S$317=$A78),--ISNUMBER('Данные 1st'!$RE$2:$RE$317))</f>
        <v>4</v>
      </c>
      <c r="HS78">
        <f>SUMPRODUCT(--('Данные 1st'!$S$2:$S$317=$A78),--ISNUMBER('Данные 1st'!$RF$2:$RF$317))</f>
        <v>4</v>
      </c>
      <c r="HT78">
        <f>SUMPRODUCT(--('Данные 1st'!$S$2:$S$317=$A78),--ISNUMBER('Данные 1st'!$RG$2:$RG$317))</f>
        <v>0</v>
      </c>
      <c r="HU78">
        <f>SUMPRODUCT(--('Данные 1st'!$S$2:$S$317=$A78),--ISNUMBER('Данные 1st'!$RH$2:$RH$317))</f>
        <v>4</v>
      </c>
      <c r="HV78">
        <f>SUMPRODUCT(--('Данные 1st'!$S$2:$S$317=$A78),--ISNUMBER('Данные 1st'!$RI$2:$RI$317))</f>
        <v>0</v>
      </c>
      <c r="HW78">
        <f>SUMPRODUCT(--('Данные 1st'!$S$2:$S$317=$A78),--ISNUMBER('Данные 1st'!$RJ$2:$RJ$317))</f>
        <v>4</v>
      </c>
      <c r="HX78">
        <f>SUMPRODUCT(--('Данные 1st'!$S$2:$S$317=$A78),--ISNUMBER('Данные 1st'!$RK$2:$RK$317))</f>
        <v>2</v>
      </c>
      <c r="HY78">
        <f>SUMPRODUCT(--('Данные 1st'!$S$2:$S$317=$A78),--ISNUMBER('Данные 1st'!$RL$2:$RL$317))</f>
        <v>4</v>
      </c>
      <c r="HZ78">
        <f>SUMPRODUCT(--('Данные 1st'!$S$2:$S$317=$A78),--ISNUMBER('Данные 1st'!$RM$2:$RM$317))</f>
        <v>4</v>
      </c>
      <c r="IA78">
        <f>SUMPRODUCT(--('Данные 1st'!$S$2:$S$317=$A78),--ISNUMBER('Данные 1st'!$RN$2:$RN$317))</f>
        <v>0</v>
      </c>
      <c r="IB78">
        <f>SUMPRODUCT(--('Данные 1st'!$S$2:$S$317=$A78),--ISNUMBER('Данные 1st'!$RO$2:$RO$317))</f>
        <v>4</v>
      </c>
      <c r="IC78">
        <f>SUMPRODUCT(--('Данные 1st'!$S$2:$S$317=$A78),--ISNUMBER('Данные 1st'!$RP$2:$RP$317))</f>
        <v>2</v>
      </c>
      <c r="ID78">
        <f>SUMPRODUCT(--('Данные 1st'!$S$2:$S$317=$A78),--ISNUMBER('Данные 1st'!$RQ$2:$RQ$317))</f>
        <v>4</v>
      </c>
      <c r="IE78">
        <f>SUMPRODUCT(--('Данные 1st'!$S$2:$S$317=$A78),--ISNUMBER('Данные 1st'!$RR$2:$RR$317))</f>
        <v>4</v>
      </c>
      <c r="IF78">
        <f>SUMPRODUCT(--('Данные 1st'!$S$2:$S$317=$A78),--ISNUMBER('Данные 1st'!$RS$2:$RS$317))</f>
        <v>0</v>
      </c>
      <c r="IG78">
        <f>SUMPRODUCT(--('Данные 1st'!$S$2:$S$317=$A78),--ISNUMBER('Данные 1st'!$RT$2:$RT$317))</f>
        <v>4</v>
      </c>
      <c r="IH78">
        <f>SUMPRODUCT(--('Данные 1st'!$S$2:$S$317=$A78),--ISNUMBER('Данные 1st'!$RU$2:$RU$317))</f>
        <v>4</v>
      </c>
      <c r="II78">
        <f>SUMPRODUCT(--('Данные 1st'!$S$2:$S$317=$A78),--ISNUMBER('Данные 1st'!$RX$2:$RX$317))</f>
        <v>4</v>
      </c>
      <c r="IJ78">
        <f>SUMPRODUCT(--('Данные 1st'!$S$2:$S$317=$A78),--ISNUMBER('Данные 1st'!$RY$2:$RY$317))</f>
        <v>4</v>
      </c>
      <c r="IK78">
        <f>SUMPRODUCT(--('Данные 1st'!$S$2:$S$317=$A78),--ISNUMBER('Данные 1st'!$SA$2:$SA$317))</f>
        <v>4</v>
      </c>
      <c r="IL78">
        <f>SUMPRODUCT(--('Данные 1st'!$S$2:$S$317=$A78),--ISNUMBER('Данные 1st'!$SD$2:$SD$317))</f>
        <v>4</v>
      </c>
      <c r="IM78">
        <f>SUMPRODUCT(--('Данные 1st'!$S$2:$S$317=$A78),--ISNUMBER('Данные 1st'!$SG$2:$SG$317))</f>
        <v>4</v>
      </c>
      <c r="IN78">
        <f>SUMPRODUCT(--('Данные 1st'!$S$2:$S$317=$A78),--ISNUMBER('Данные 1st'!$SH$2:$SH$317))</f>
        <v>4</v>
      </c>
      <c r="IO78">
        <f>SUMPRODUCT(--('Данные 1st'!$S$2:$S$317=$A78),--ISNUMBER('Данные 1st'!$SI$2:$SI$317))</f>
        <v>4</v>
      </c>
      <c r="IP78">
        <f>SUMPRODUCT(--('Данные 1st'!$S$2:$S$317=$A78),--ISNUMBER('Данные 1st'!$SJ$2:$SJ$317))</f>
        <v>4</v>
      </c>
      <c r="IQ78">
        <f>SUMPRODUCT(--('Данные 1st'!$S$2:$S$317=$A78),--ISNUMBER('Данные 1st'!$SK$2:$SK$317))</f>
        <v>4</v>
      </c>
      <c r="IR78">
        <f>SUMPRODUCT(--('Данные 1st'!$S$2:$S$317=$A78),--ISNUMBER('Данные 1st'!$SL$2:$SL$317))</f>
        <v>4</v>
      </c>
      <c r="IS78">
        <f>SUMPRODUCT(--('Данные 1st'!$S$2:$S$317=$A78),--ISNUMBER('Данные 1st'!$SM$2:$SM$317))</f>
        <v>4</v>
      </c>
      <c r="IT78">
        <f>SUMPRODUCT(--('Данные 1st'!$S$2:$S$317=$A78),--ISNUMBER('Данные 1st'!$SN$2:$SN$317))</f>
        <v>4</v>
      </c>
      <c r="IU78">
        <f>SUMPRODUCT(--('Данные 1st'!$S$2:$S$317=$A78),--ISNUMBER('Данные 1st'!$SO$2:$SO$317))</f>
        <v>4</v>
      </c>
      <c r="IV78">
        <f>SUMPRODUCT(--('Данные 1st'!$S$2:$S$317=$A78),--ISNUMBER('Данные 1st'!$SP$2:$SP$317))</f>
        <v>4</v>
      </c>
      <c r="IW78">
        <f>SUMPRODUCT(--('Данные 1st'!$S$2:$S$317=$A78),--ISNUMBER('Данные 1st'!$SQ$2:$SQ$317))</f>
        <v>4</v>
      </c>
      <c r="IX78">
        <f>SUMPRODUCT(--('Данные 1st'!$S$2:$S$317=$A78),--ISNUMBER('Данные 1st'!$SR$2:$SR$317))</f>
        <v>4</v>
      </c>
      <c r="IY78">
        <f>SUMPRODUCT(--('Данные 1st'!$S$2:$S$317=$A78),--ISNUMBER('Данные 1st'!$SS$2:$SS$317))</f>
        <v>4</v>
      </c>
      <c r="IZ78">
        <f>SUMPRODUCT(--('Данные 1st'!$S$2:$S$317=$A78),--ISNUMBER('Данные 1st'!$ST$2:$ST$317))</f>
        <v>4</v>
      </c>
      <c r="JA78">
        <f>SUMPRODUCT(--('Данные 1st'!$S$2:$S$317=$A78),--ISNUMBER('Данные 1st'!$SU$2:$SU$317))</f>
        <v>4</v>
      </c>
      <c r="JB78">
        <f>SUMPRODUCT(--('Данные 1st'!$S$2:$S$317=$A78),--ISNUMBER('Данные 1st'!$SV$2:$SV$317))</f>
        <v>4</v>
      </c>
      <c r="JC78">
        <f>SUMPRODUCT(--('Данные 1st'!$S$2:$S$317=$A78),--ISNUMBER('Данные 1st'!$SW$2:$SW$317))</f>
        <v>4</v>
      </c>
      <c r="JD78">
        <f>SUMPRODUCT(--('Данные 1st'!$S$2:$S$317=$A78),--ISNUMBER('Данные 1st'!$SX$2:$SX$317))</f>
        <v>4</v>
      </c>
      <c r="JE78">
        <f>SUMPRODUCT(--('Данные 1st'!$S$2:$S$317=$A78),--ISNUMBER('Данные 1st'!$SY$2:$SY$317))</f>
        <v>2</v>
      </c>
      <c r="JF78">
        <f>SUMPRODUCT(--('Данные 1st'!$S$2:$S$317=$A78),--ISNUMBER('Данные 1st'!$SZ$2:$SZ$317))</f>
        <v>4</v>
      </c>
      <c r="JG78">
        <f>SUMPRODUCT(--('Данные 1st'!$S$2:$S$317=$A78),--ISNUMBER('Данные 1st'!$TA$2:$TA$317))</f>
        <v>0</v>
      </c>
      <c r="JH78">
        <f>SUMPRODUCT(--('Данные 1st'!$S$2:$S$317=$A78),--ISNUMBER('Данные 1st'!$TB$2:$TB$317))</f>
        <v>4</v>
      </c>
      <c r="JI78">
        <f>SUMPRODUCT(--('Данные 1st'!$S$2:$S$317=$A78),--ISNUMBER('Данные 1st'!$TC$2:$TC$317))</f>
        <v>4</v>
      </c>
      <c r="JJ78">
        <f>SUMPRODUCT(--('Данные 1st'!$S$2:$S$317=$A78),--ISNUMBER('Данные 1st'!$TD$2:$TD$317))</f>
        <v>4</v>
      </c>
      <c r="JK78">
        <f>SUMPRODUCT(--('Данные 1st'!$S$2:$S$317=$A78),--ISNUMBER('Данные 1st'!$TN$2:$TN$317))</f>
        <v>4</v>
      </c>
      <c r="JQ78">
        <f>SUMPRODUCT(--('Данные 2st'!$Q$2:$Q$317=$A78),--ISNUMBER('Данные 2st'!$AC$2:$AC$317))</f>
        <v>4</v>
      </c>
      <c r="JR78">
        <f>SUMPRODUCT(--('Данные 2st'!$Q$2:$Q$317=$A78),--ISNUMBER('Данные 2st'!$AF$2:$AF$317))</f>
        <v>4</v>
      </c>
      <c r="JS78">
        <f>SUMPRODUCT(--('Данные 2st'!$Q$2:$Q$317=$A78),--ISNUMBER('Данные 2st'!$AW$2:$AW$317))</f>
        <v>4</v>
      </c>
      <c r="JT78">
        <f>SUMPRODUCT(--('Данные 2st'!$Q$2:$Q$317=$A78),--ISNUMBER('Данные 2st'!$AX$2:$AX$317))</f>
        <v>4</v>
      </c>
      <c r="JU78">
        <f>SUMPRODUCT(--('Данные 2st'!$Q$2:$Q$317=$A78),--ISNUMBER('Данные 2st'!$AY$2:$AY$317))</f>
        <v>4</v>
      </c>
      <c r="JV78">
        <f>SUMPRODUCT(--('Данные 2st'!$Q$2:$Q$317=$A78),--ISNUMBER('Данные 2st'!$AZ$2:$AZ$317))</f>
        <v>4</v>
      </c>
      <c r="JW78">
        <f>SUMPRODUCT(--('Данные 2st'!$Q$2:$Q$317=$A78),--ISNUMBER('Данные 2st'!$BA$2:$BA$317))</f>
        <v>4</v>
      </c>
      <c r="JX78">
        <f>SUMPRODUCT(--('Данные 2st'!$Q$2:$Q$317=$A78),--ISNUMBER('Данные 2st'!$BB$2:$BB$317))</f>
        <v>4</v>
      </c>
      <c r="JY78">
        <f>SUMPRODUCT(--('Данные 2st'!$Q$2:$Q$317=$A78),--ISNUMBER('Данные 2st'!$BC$2:$BC$317))</f>
        <v>4</v>
      </c>
      <c r="JZ78">
        <f>SUMPRODUCT(--('Данные 2st'!$Q$2:$Q$317=$A78),--ISNUMBER('Данные 2st'!$BH$2:$BH$317))</f>
        <v>4</v>
      </c>
      <c r="KA78">
        <f>SUMPRODUCT(--('Данные 2st'!$Q$2:$Q$317=$A78),--ISNUMBER('Данные 2st'!$BI$2:$BI$317))</f>
        <v>4</v>
      </c>
      <c r="KB78">
        <f>SUMPRODUCT(--('Данные 2st'!$Q$2:$Q$317=$A78),--ISNUMBER('Данные 2st'!$BJ$2:$BJ$317))</f>
        <v>4</v>
      </c>
      <c r="KC78">
        <f>SUMPRODUCT(--('Данные 2st'!$Q$2:$Q$317=$A78),--ISNUMBER('Данные 2st'!$BK$2:$BK$317))</f>
        <v>4</v>
      </c>
      <c r="KD78">
        <f>SUMPRODUCT(--('Данные 2st'!$Q$2:$Q$317=$A78),--ISNUMBER('Данные 2st'!$BL$2:$BL$317))</f>
        <v>4</v>
      </c>
      <c r="KE78">
        <f>SUMPRODUCT(--('Данные 2st'!$Q$2:$Q$317=$A78),--ISNUMBER('Данные 2st'!$BM$2:$BM$317))</f>
        <v>4</v>
      </c>
      <c r="KF78">
        <f>SUMPRODUCT(--('Данные 2st'!$Q$2:$Q$317=$A78),--ISNUMBER('Данные 2st'!$BN$2:$BN$317))</f>
        <v>4</v>
      </c>
      <c r="KG78">
        <f>SUMPRODUCT(--('Данные 2st'!$Q$2:$Q$317=$A78),--ISNUMBER('Данные 2st'!$BO$2:$BO$317))</f>
        <v>4</v>
      </c>
      <c r="KH78">
        <f>SUMPRODUCT(--('Данные 2st'!$Q$2:$Q$317=$A78),--ISNUMBER('Данные 2st'!$BP$2:$BP$317))</f>
        <v>4</v>
      </c>
      <c r="KI78">
        <f>SUMPRODUCT(--('Данные 2st'!$Q$2:$Q$317=$A78),--ISNUMBER('Данные 2st'!$BR$2:$BR$317))</f>
        <v>4</v>
      </c>
      <c r="KJ78">
        <f>SUMPRODUCT(--('Данные 2st'!$Q$2:$Q$317=$A78),--ISNUMBER('Данные 2st'!$BS$2:$BS$317))</f>
        <v>4</v>
      </c>
      <c r="KK78">
        <f>SUMPRODUCT(--('Данные 2st'!$Q$2:$Q$317=$A78),--ISNUMBER('Данные 2st'!$BT$2:$BT$317))</f>
        <v>4</v>
      </c>
      <c r="KL78">
        <f>SUMPRODUCT(--('Данные 2st'!$Q$2:$Q$317=$A78),--ISNUMBER('Данные 2st'!$CV$2:$CV$317))</f>
        <v>4</v>
      </c>
      <c r="KM78">
        <f>SUMPRODUCT(--('Данные 2st'!$Q$2:$Q$317=$A78),--ISNUMBER('Данные 2st'!$CW$2:$CW$317))</f>
        <v>4</v>
      </c>
      <c r="KN78">
        <f>SUMPRODUCT(--('Данные 2st'!$Q$2:$Q$317=$A78),--ISNUMBER('Данные 2st'!$CX$2:$CX$317))</f>
        <v>4</v>
      </c>
      <c r="KO78">
        <f>SUMPRODUCT(--('Данные 2st'!$Q$2:$Q$317=$A78),--ISNUMBER('Данные 2st'!$CY$2:$CY$317))</f>
        <v>4</v>
      </c>
      <c r="KP78">
        <f>SUMPRODUCT(--('Данные 2st'!$Q$2:$Q$317=$A78),--ISNUMBER('Данные 2st'!$CZ$2:$CZ$317))</f>
        <v>4</v>
      </c>
      <c r="KQ78">
        <f>SUMPRODUCT(--('Данные 2st'!$Q$2:$Q$317=$A78),--ISNUMBER('Данные 2st'!$DA$2:$DA$317))</f>
        <v>4</v>
      </c>
      <c r="KR78">
        <f>SUMPRODUCT(--('Данные 2st'!$Q$2:$Q$317=$A78),--ISNUMBER('Данные 2st'!$DB$2:$DB$317))</f>
        <v>4</v>
      </c>
      <c r="KS78">
        <f>SUMPRODUCT(--('Данные 2st'!$Q$2:$Q$317=$A78),--ISNUMBER('Данные 2st'!$DC$2:$DC$317))</f>
        <v>4</v>
      </c>
      <c r="KT78">
        <f>SUMPRODUCT(--('Данные 2st'!$Q$2:$Q$317=$A78),--ISNUMBER('Данные 2st'!$DD$2:$DD$317))</f>
        <v>4</v>
      </c>
      <c r="KU78">
        <f>SUMPRODUCT(--('Данные 2st'!$Q$2:$Q$317=$A78),--ISNUMBER('Данные 2st'!$DE$2:$DE$317))</f>
        <v>4</v>
      </c>
      <c r="KV78">
        <f>SUMPRODUCT(--('Данные 2st'!$Q$2:$Q$317=$A78),--ISNUMBER('Данные 2st'!$DF$2:$DF$317))</f>
        <v>4</v>
      </c>
      <c r="KW78">
        <f>SUMPRODUCT(--('Данные 2st'!$Q$2:$Q$317=$A78),--ISNUMBER('Данные 2st'!$DG$2:$DG$317))</f>
        <v>4</v>
      </c>
      <c r="KX78">
        <f>SUMPRODUCT(--('Данные 2st'!$Q$2:$Q$317=$A78),--ISNUMBER('Данные 2st'!$DH$2:$DH$317))</f>
        <v>2</v>
      </c>
      <c r="KY78">
        <f>SUMPRODUCT(--('Данные 2st'!$Q$2:$Q$317=$A78),--ISNUMBER('Данные 2st'!$DI$2:$DI$317))</f>
        <v>0</v>
      </c>
      <c r="KZ78">
        <f>SUMPRODUCT(--('Данные 2st'!$Q$2:$Q$317=$A78),--ISNUMBER('Данные 2st'!$DK$2:$DK$317))</f>
        <v>4</v>
      </c>
      <c r="LA78">
        <f>SUMPRODUCT(--('Данные 2st'!$Q$2:$Q$317=$A78),--ISNUMBER('Данные 2st'!$DM$2:$DM$317))</f>
        <v>4</v>
      </c>
      <c r="LB78">
        <f>SUMPRODUCT(--('Данные 2st'!$Q$2:$Q$317=$A78),--ISNUMBER('Данные 2st'!$DN$2:$DN$317))</f>
        <v>4</v>
      </c>
      <c r="LC78">
        <f>SUMPRODUCT(--('Данные 2st'!$Q$2:$Q$317=$A78),--ISNUMBER('Данные 2st'!$DO$2:$DO$317))</f>
        <v>4</v>
      </c>
      <c r="LD78">
        <f>SUMPRODUCT(--('Данные 2st'!$Q$2:$Q$317=$A78),--ISNUMBER('Данные 2st'!$DP$2:$DP$317))</f>
        <v>4</v>
      </c>
      <c r="LE78">
        <f>SUMPRODUCT(--('Данные 2st'!$Q$2:$Q$317=$A78),--ISNUMBER('Данные 2st'!$DQ$2:$DQ$317))</f>
        <v>4</v>
      </c>
      <c r="LF78">
        <f>SUMPRODUCT(--('Данные 2st'!$Q$2:$Q$317=$A78),--ISNUMBER('Данные 2st'!$DS$2:$DS$317))</f>
        <v>4</v>
      </c>
      <c r="LG78">
        <f>SUMPRODUCT(--('Данные 2st'!$Q$2:$Q$317=$A78),--ISNUMBER('Данные 2st'!$DU$2:$DU$317))</f>
        <v>4</v>
      </c>
      <c r="LH78">
        <f>SUMPRODUCT(--('Данные 2st'!$Q$2:$Q$317=$A78),--ISNUMBER('Данные 2st'!$DV$2:$DV$317))</f>
        <v>4</v>
      </c>
      <c r="LI78">
        <f>SUMPRODUCT(--('Данные 2st'!$Q$2:$Q$317=$A78),--ISNUMBER('Данные 2st'!$DW$2:$DW$317))</f>
        <v>4</v>
      </c>
      <c r="LJ78">
        <f>SUMPRODUCT(--('Данные 2st'!$Q$2:$Q$317=$A78),--ISNUMBER('Данные 2st'!$DX$2:$DX$317))</f>
        <v>4</v>
      </c>
      <c r="LK78">
        <f>SUMPRODUCT(--('Данные 2st'!$Q$2:$Q$317=$A78),--ISNUMBER('Данные 2st'!$DY$2:$DY$317))</f>
        <v>4</v>
      </c>
      <c r="LL78">
        <f>SUMPRODUCT(--('Данные 2st'!$Q$2:$Q$317=$A78),--ISNUMBER('Данные 2st'!$EA$2:$EA$317))</f>
        <v>4</v>
      </c>
      <c r="LM78">
        <f>SUMPRODUCT(--('Данные 2st'!$Q$2:$Q$317=$A78),--ISNUMBER('Данные 2st'!$EC$2:$EC$317))</f>
        <v>4</v>
      </c>
      <c r="LN78">
        <f>SUMPRODUCT(--('Данные 2st'!$Q$2:$Q$317=$A78),--ISNUMBER('Данные 2st'!$ED$2:$ED$317))</f>
        <v>4</v>
      </c>
      <c r="LO78">
        <f>SUMPRODUCT(--('Данные 2st'!$Q$2:$Q$317=$A78),--ISNUMBER('Данные 2st'!$EE$2:$EE$317))</f>
        <v>4</v>
      </c>
      <c r="LP78">
        <f>SUMPRODUCT(--('Данные 2st'!$Q$2:$Q$317=$A78),--ISNUMBER('Данные 2st'!$EG$2:$EG$317))</f>
        <v>4</v>
      </c>
      <c r="LQ78">
        <f>SUMPRODUCT(--('Данные 2st'!$Q$2:$Q$317=$A78),--ISNUMBER('Данные 2st'!$EI$2:$EI$317))</f>
        <v>4</v>
      </c>
      <c r="LR78">
        <f>SUMPRODUCT(--('Данные 2st'!$Q$2:$Q$317=$A78),--ISNUMBER('Данные 2st'!$EJ$2:$EJ$317))</f>
        <v>0</v>
      </c>
      <c r="LS78">
        <f>SUMPRODUCT(--('Данные 2st'!$Q$2:$Q$317=$A78),--ISNUMBER('Данные 2st'!$EK$2:$EK$317))</f>
        <v>0</v>
      </c>
      <c r="LT78">
        <f>SUMPRODUCT(--('Данные 2st'!$Q$2:$Q$317=$A78),--ISNUMBER('Данные 2st'!$EM$2:$EM$317))</f>
        <v>4</v>
      </c>
      <c r="LU78">
        <f>SUMPRODUCT(--('Данные 2st'!$Q$2:$Q$317=$A78),--ISNUMBER('Данные 2st'!$EN$2:$EN$317))</f>
        <v>4</v>
      </c>
      <c r="LV78">
        <f>SUMPRODUCT(--('Данные 2st'!$Q$2:$Q$317=$A78),--ISNUMBER('Данные 2st'!$EO$2:$EO$317))</f>
        <v>4</v>
      </c>
      <c r="LW78">
        <f>SUMPRODUCT(--('Данные 2st'!$Q$2:$Q$317=$A78),--ISNUMBER('Данные 2st'!$EP$2:$EP$317))</f>
        <v>4</v>
      </c>
      <c r="LX78">
        <f>SUMPRODUCT(--('Данные 2st'!$Q$2:$Q$317=$A78),--ISNUMBER('Данные 2st'!$EQ$2:$EQ$317))</f>
        <v>4</v>
      </c>
      <c r="LY78">
        <f>SUMPRODUCT(--('Данные 2st'!$Q$2:$Q$317=$A78),--ISNUMBER('Данные 2st'!$ER$2:$ER$317))</f>
        <v>4</v>
      </c>
      <c r="LZ78">
        <f>SUMPRODUCT(--('Данные 2st'!$Q$2:$Q$317=$A78),--ISNUMBER('Данные 2st'!$ES$2:$ES$317))</f>
        <v>4</v>
      </c>
      <c r="MA78">
        <f>SUMPRODUCT(--('Данные 2st'!$Q$2:$Q$317=$A78),--ISNUMBER('Данные 2st'!$ET$2:$ET$317))</f>
        <v>4</v>
      </c>
      <c r="MB78">
        <f>SUMPRODUCT(--('Данные 2st'!$Q$2:$Q$317=$A78),--ISNUMBER('Данные 2st'!$EU$2:$EU$317))</f>
        <v>4</v>
      </c>
      <c r="MC78">
        <f>SUMPRODUCT(--('Данные 2st'!$Q$2:$Q$317=$A78),--ISNUMBER('Данные 2st'!$EV$2:$EV$317))</f>
        <v>4</v>
      </c>
      <c r="MD78">
        <f>SUMPRODUCT(--('Данные 2st'!$Q$2:$Q$317=$A78),--ISNUMBER('Данные 2st'!$EW$2:$EW$317))</f>
        <v>4</v>
      </c>
      <c r="ME78">
        <f>SUMPRODUCT(--('Данные 2st'!$Q$2:$Q$317=$A78),--ISNUMBER('Данные 2st'!$EY$2:$EY$317))</f>
        <v>4</v>
      </c>
      <c r="MF78">
        <f>SUMPRODUCT(--('Данные 2st'!$Q$2:$Q$317=$A78),--ISNUMBER('Данные 2st'!$FA$2:$FA$317))</f>
        <v>4</v>
      </c>
      <c r="MG78">
        <f>SUMPRODUCT(--('Данные 2st'!$Q$2:$Q$317=$A78),--ISNUMBER('Данные 2st'!$FB$2:$FB$317))</f>
        <v>4</v>
      </c>
      <c r="MH78">
        <f>SUMPRODUCT(--('Данные 2st'!$Q$2:$Q$317=$A78),--ISNUMBER('Данные 2st'!$FC$2:$FC$317))</f>
        <v>4</v>
      </c>
      <c r="MI78">
        <f>SUMPRODUCT(--('Данные 2st'!$Q$2:$Q$317=$A78),--ISNUMBER('Данные 2st'!$FD$2:$FD$317))</f>
        <v>4</v>
      </c>
      <c r="MJ78">
        <f>SUMPRODUCT(--('Данные 2st'!$Q$2:$Q$317=$A78),--ISNUMBER('Данные 2st'!$FE$2:$FE$317))</f>
        <v>4</v>
      </c>
      <c r="MK78">
        <f>SUMPRODUCT(--('Данные 2st'!$Q$2:$Q$317=$A78),--ISNUMBER('Данные 2st'!$FG$2:$FG$317))</f>
        <v>4</v>
      </c>
      <c r="ML78">
        <f>SUMPRODUCT(--('Данные 2st'!$Q$2:$Q$317=$A78),--ISNUMBER('Данные 2st'!$FI$2:$FI$317))</f>
        <v>4</v>
      </c>
      <c r="MM78">
        <f>SUMPRODUCT(--('Данные 2st'!$Q$2:$Q$317=$A78),--ISNUMBER('Данные 2st'!$FJ$2:$FJ$317))</f>
        <v>4</v>
      </c>
      <c r="MN78">
        <f>SUMPRODUCT(--('Данные 2st'!$Q$2:$Q$317=$A78),--ISNUMBER('Данные 2st'!$FK$2:$FK$317))</f>
        <v>4</v>
      </c>
      <c r="MO78">
        <f>SUMPRODUCT(--('Данные 2st'!$Q$2:$Q$317=$A78),--ISNUMBER('Данные 2st'!$FP$2:$FP$317))</f>
        <v>4</v>
      </c>
      <c r="MP78">
        <f>SUMPRODUCT(--('Данные 2st'!$Q$2:$Q$317=$A78),--ISNUMBER('Данные 2st'!$FQ$2:$FQ$317))</f>
        <v>4</v>
      </c>
      <c r="MQ78">
        <f>SUMPRODUCT(--('Данные 2st'!$Q$2:$Q$317=$A78),--ISNUMBER('Данные 2st'!$FS$2:$FS$317))</f>
        <v>4</v>
      </c>
      <c r="MR78">
        <f>SUMPRODUCT(--('Данные 2st'!$Q$2:$Q$317=$A78),--ISNUMBER('Данные 2st'!$FU$2:$FU$317))</f>
        <v>4</v>
      </c>
      <c r="MS78">
        <f>SUMPRODUCT(--('Данные 2st'!$Q$2:$Q$317=$A78),--ISNUMBER('Данные 2st'!$FV$2:$FV$317))</f>
        <v>4</v>
      </c>
      <c r="MT78">
        <f>SUMPRODUCT(--('Данные 2st'!$Q$2:$Q$317=$A78),--ISNUMBER('Данные 2st'!$FW$2:$FW$317))</f>
        <v>4</v>
      </c>
      <c r="MU78">
        <f>SUMPRODUCT(--('Данные 2st'!$Q$2:$Q$317=$A78),--ISNUMBER('Данные 2st'!$FY$2:$FY$317))</f>
        <v>4</v>
      </c>
      <c r="MV78">
        <f>SUMPRODUCT(--('Данные 2st'!$Q$2:$Q$317=$A78),--ISNUMBER('Данные 2st'!$GB$2:$GB$317))</f>
        <v>4</v>
      </c>
      <c r="MW78">
        <f>SUMPRODUCT(--('Данные 2st'!$Q$2:$Q$317=$A78),--ISNUMBER('Данные 2st'!$GC$2:$GC$317))</f>
        <v>4</v>
      </c>
      <c r="MX78">
        <f>SUMPRODUCT(--('Данные 2st'!$Q$2:$Q$317=$A78),--ISNUMBER('Данные 2st'!$GD$2:$GD$317))</f>
        <v>4</v>
      </c>
      <c r="MY78">
        <f>SUMPRODUCT(--('Данные 2st'!$Q$2:$Q$317=$A78),--ISNUMBER('Данные 2st'!$GN$2:$GN$317))</f>
        <v>0</v>
      </c>
      <c r="MZ78">
        <f>SUMPRODUCT(--('Данные 2st'!$Q$2:$Q$317=$A78),--ISNUMBER('Данные 2st'!$GQ$2:$GQ$317))</f>
        <v>4</v>
      </c>
      <c r="NA78">
        <f>SUMPRODUCT(--('Данные 2st'!$Q$2:$Q$317=$A78),--ISNUMBER('Данные 2st'!$GV$2:$GV$317))</f>
        <v>4</v>
      </c>
      <c r="NB78">
        <f>SUMPRODUCT(--('Данные 2st'!$Q$2:$Q$317=$A78),--ISNUMBER('Данные 2st'!$GW$2:$GW$317))</f>
        <v>4</v>
      </c>
      <c r="NC78">
        <f>SUMPRODUCT(--('Данные 2st'!$Q$2:$Q$317=$A78),--ISNUMBER('Данные 2st'!$GX$2:$GX$317))</f>
        <v>4</v>
      </c>
      <c r="ND78">
        <f>SUMPRODUCT(--('Данные 2st'!$Q$2:$Q$317=$A78),--ISNUMBER('Данные 2st'!$GY$2:$GY$317))</f>
        <v>4</v>
      </c>
      <c r="NE78">
        <f>SUMPRODUCT(--('Данные 2st'!$Q$2:$Q$317=$A78),--ISNUMBER('Данные 2st'!$GZ$2:$GZ$317))</f>
        <v>4</v>
      </c>
      <c r="NF78">
        <f>SUMPRODUCT(--('Данные 2st'!$Q$2:$Q$317=$A78),--ISNUMBER('Данные 2st'!$HA$2:$HA$317))</f>
        <v>4</v>
      </c>
      <c r="NG78">
        <f>SUMPRODUCT(--('Данные 2st'!$Q$2:$Q$317=$A78),--ISNUMBER('Данные 2st'!$HB$2:$HB$317))</f>
        <v>4</v>
      </c>
      <c r="NH78">
        <f>SUMPRODUCT(--('Данные 2st'!$Q$2:$Q$317=$A78),--ISNUMBER('Данные 2st'!$HC$2:$HC$317))</f>
        <v>4</v>
      </c>
      <c r="NI78">
        <f>SUMPRODUCT(--('Данные 2st'!$Q$2:$Q$317=$A78),--ISNUMBER('Данные 2st'!$HD$2:$HD$317))</f>
        <v>4</v>
      </c>
      <c r="NJ78">
        <f>SUMPRODUCT(--('Данные 2st'!$Q$2:$Q$317=$A78),--ISNUMBER('Данные 2st'!$HM$2:$HM$317))</f>
        <v>4</v>
      </c>
      <c r="NK78">
        <f>SUMPRODUCT(--('Данные 2st'!$Q$2:$Q$317=$A78),--ISNUMBER('Данные 2st'!$HR$2:$HR$317))</f>
        <v>4</v>
      </c>
      <c r="NL78">
        <f>SUMPRODUCT(--('Данные 2st'!$Q$2:$Q$317=$A78),--ISNUMBER('Данные 2st'!$HS$2:$HS$317))</f>
        <v>4</v>
      </c>
      <c r="NM78">
        <f>SUMPRODUCT(--('Данные 2st'!$Q$2:$Q$317=$A78),--ISNUMBER('Данные 2st'!$HT$2:$HT$317))</f>
        <v>4</v>
      </c>
      <c r="NN78">
        <f>SUMPRODUCT(--('Данные 2st'!$Q$2:$Q$317=$A78),--ISNUMBER('Данные 2st'!$HY$2:$HY$317))</f>
        <v>4</v>
      </c>
      <c r="NO78">
        <f>SUMPRODUCT(--('Данные 2st'!$Q$2:$Q$317=$A78),--ISNUMBER('Данные 2st'!$HZ$2:$HZ$317))</f>
        <v>4</v>
      </c>
      <c r="NP78">
        <f>SUMPRODUCT(--('Данные 2st'!$Q$2:$Q$317=$A78),--ISNUMBER('Данные 2st'!$IA$2:$IA$317))</f>
        <v>4</v>
      </c>
      <c r="NQ78">
        <f>SUMPRODUCT(--('Данные 2st'!$Q$2:$Q$317=$A78),--ISNUMBER('Данные 2st'!$IB$2:$IB$317))</f>
        <v>4</v>
      </c>
      <c r="NR78">
        <f>SUMPRODUCT(--('Данные 2st'!$Q$2:$Q$317=$A78),--ISNUMBER('Данные 2st'!$IC$2:$IC$317))</f>
        <v>0</v>
      </c>
      <c r="NS78">
        <f>SUMPRODUCT(--('Данные 2st'!$Q$2:$Q$317=$A78),--ISNUMBER('Данные 2st'!$ID$2:$ID$317))</f>
        <v>4</v>
      </c>
      <c r="NT78">
        <f>SUMPRODUCT(--('Данные 2st'!$Q$2:$Q$317=$A78),--ISNUMBER('Данные 2st'!$IE$2:$IE$317))</f>
        <v>4</v>
      </c>
      <c r="NU78">
        <f>SUMPRODUCT(--('Данные 2st'!$Q$2:$Q$317=$A78),--ISNUMBER('Данные 2st'!$IF$2:$IF$317))</f>
        <v>4</v>
      </c>
      <c r="NV78">
        <f>SUMPRODUCT(--('Данные 2st'!$Q$2:$Q$317=$A78),--ISNUMBER('Данные 2st'!$IG$2:$IG$317))</f>
        <v>4</v>
      </c>
      <c r="NW78">
        <f>SUMPRODUCT(--('Данные 2st'!$Q$2:$Q$317=$A78),--ISNUMBER('Данные 2st'!$IH$2:$IH$317))</f>
        <v>4</v>
      </c>
      <c r="NX78">
        <f>SUMPRODUCT(--('Данные 2st'!$Q$2:$Q$317=$A78),--ISNUMBER('Данные 2st'!$IJ$2:$IJ$317))</f>
        <v>4</v>
      </c>
      <c r="NY78">
        <f>SUMPRODUCT(--('Данные 2st'!$Q$2:$Q$317=$A78),--ISNUMBER('Данные 2st'!$IM$2:$IM$317))</f>
        <v>4</v>
      </c>
      <c r="NZ78">
        <f>SUMPRODUCT(--('Данные 2st'!$Q$2:$Q$317=$A78),--ISNUMBER('Данные 2st'!$IN$2:$IN$317))</f>
        <v>4</v>
      </c>
      <c r="OA78">
        <f>SUMPRODUCT(--('Данные 2st'!$Q$2:$Q$317=$A78),--ISNUMBER('Данные 2st'!$IO$2:$IO$317))</f>
        <v>4</v>
      </c>
      <c r="OB78">
        <f>SUMPRODUCT(--('Данные 2st'!$Q$2:$Q$317=$A78),--ISNUMBER('Данные 2st'!$IP$2:$IP$317))</f>
        <v>4</v>
      </c>
      <c r="OC78">
        <f>SUMPRODUCT(--('Данные 2st'!$Q$2:$Q$317=$A78),--ISNUMBER('Данные 2st'!$IQ$2:$IQ$317))</f>
        <v>4</v>
      </c>
      <c r="OD78">
        <f>SUMPRODUCT(--('Данные 2st'!$Q$2:$Q$317=$A78),--ISNUMBER('Данные 2st'!$IR$2:$IR$317))</f>
        <v>4</v>
      </c>
      <c r="OE78">
        <f>SUMPRODUCT(--('Данные 2st'!$Q$2:$Q$317=$A78),--ISNUMBER('Данные 2st'!$IT$2:$IT$317))</f>
        <v>4</v>
      </c>
      <c r="OF78">
        <f>SUMPRODUCT(--('Данные 2st'!$Q$2:$Q$317=$A78),--ISNUMBER('Данные 2st'!$IU$2:$IU$317))</f>
        <v>4</v>
      </c>
      <c r="OG78">
        <f>SUMPRODUCT(--('Данные 2st'!$Q$2:$Q$317=$A78),--ISNUMBER('Данные 2st'!$IV$2:$IV$317))</f>
        <v>4</v>
      </c>
      <c r="OH78">
        <f>SUMPRODUCT(--('Данные 2st'!$Q$2:$Q$317=$A78),--ISNUMBER('Данные 2st'!$IW$2:$IW$317))</f>
        <v>4</v>
      </c>
      <c r="OI78">
        <f>SUMPRODUCT(--('Данные 2st'!$Q$2:$Q$317=$A78),--ISNUMBER('Данные 2st'!$IX$2:$IX$317))</f>
        <v>4</v>
      </c>
      <c r="OJ78">
        <f>SUMPRODUCT(--('Данные 2st'!$Q$2:$Q$317=$A78),--ISNUMBER('Данные 2st'!$IY$2:$IY$317))</f>
        <v>4</v>
      </c>
      <c r="OK78">
        <f>SUMPRODUCT(--('Данные 2st'!$Q$2:$Q$317=$A78),--ISNUMBER('Данные 2st'!$IZ$2:$IZ$317))</f>
        <v>4</v>
      </c>
      <c r="OL78">
        <f>SUMPRODUCT(--('Данные 2st'!$Q$2:$Q$317=$A78),--ISNUMBER('Данные 2st'!$JA$2:$JA$317))</f>
        <v>4</v>
      </c>
      <c r="OM78">
        <f>SUMPRODUCT(--('Данные 2st'!$Q$2:$Q$317=$A78),--ISNUMBER('Данные 2st'!$JB$2:$JB$317))</f>
        <v>4</v>
      </c>
      <c r="ON78">
        <f>SUMPRODUCT(--('Данные 2st'!$Q$2:$Q$317=$A78),--ISNUMBER('Данные 2st'!$JC$2:$JC$317))</f>
        <v>4</v>
      </c>
      <c r="OO78">
        <f>SUMPRODUCT(--('Данные 2st'!$Q$2:$Q$317=$A78),--ISNUMBER('Данные 2st'!$JD$2:$JD$317))</f>
        <v>4</v>
      </c>
      <c r="OP78">
        <f>SUMPRODUCT(--('Данные 2st'!$Q$2:$Q$317=$A78),--ISNUMBER('Данные 2st'!$JE$2:$JE$317))</f>
        <v>4</v>
      </c>
      <c r="OQ78">
        <f>SUMPRODUCT(--('Данные 2st'!$Q$2:$Q$317=$A78),--ISNUMBER('Данные 2st'!$JF$2:$JF$317))</f>
        <v>4</v>
      </c>
      <c r="OR78">
        <f>SUMPRODUCT(--('Данные 2st'!$Q$2:$Q$317=$A78),--ISNUMBER('Данные 2st'!$JG$2:$JG$317))</f>
        <v>4</v>
      </c>
      <c r="OS78">
        <f>SUMPRODUCT(--('Данные 2st'!$Q$2:$Q$317=$A78),--ISNUMBER('Данные 2st'!$JH$2:$JH$317))</f>
        <v>4</v>
      </c>
      <c r="OT78">
        <f>SUMPRODUCT(--('Данные 2st'!$Q$2:$Q$317=$A78),--ISNUMBER('Данные 2st'!$JI$2:$JI$317))</f>
        <v>4</v>
      </c>
      <c r="OU78">
        <f>SUMPRODUCT(--('Данные 2st'!$Q$2:$Q$317=$A78),--ISNUMBER('Данные 2st'!$JJ$2:$JJ$317))</f>
        <v>4</v>
      </c>
      <c r="OV78">
        <f>SUMPRODUCT(--('Данные 2st'!$Q$2:$Q$317=$A78),--ISNUMBER('Данные 2st'!$JK$2:$JK$317))</f>
        <v>4</v>
      </c>
      <c r="OW78">
        <f>SUMPRODUCT(--('Данные 2st'!$Q$2:$Q$317=$A78),--ISNUMBER('Данные 2st'!$JL$2:$JL$317))</f>
        <v>4</v>
      </c>
      <c r="OX78">
        <f>SUMPRODUCT(--('Данные 2st'!$Q$2:$Q$317=$A78),--ISNUMBER('Данные 2st'!$JM$2:$JM$317))</f>
        <v>4</v>
      </c>
      <c r="OY78">
        <f>SUMPRODUCT(--('Данные 2st'!$Q$2:$Q$317=$A78),--ISNUMBER('Данные 2st'!$JP$2:$JP$317))</f>
        <v>4</v>
      </c>
      <c r="OZ78">
        <f>SUMPRODUCT(--('Данные 2st'!$Q$2:$Q$317=$A78),--ISNUMBER('Данные 2st'!$JQ$2:$JQ$317))</f>
        <v>4</v>
      </c>
      <c r="PA78">
        <f>SUMPRODUCT(--('Данные 2st'!$Q$2:$Q$317=$A78),--ISNUMBER('Данные 2st'!$JR$2:$JR$317))</f>
        <v>4</v>
      </c>
      <c r="PB78">
        <f>SUMPRODUCT(--('Данные 2st'!$Q$2:$Q$317=$A78),--ISNUMBER('Данные 2st'!$JS$2:$JS$317))</f>
        <v>4</v>
      </c>
      <c r="PC78">
        <f>SUMPRODUCT(--('Данные 2st'!$Q$2:$Q$317=$A78),--ISNUMBER('Данные 2st'!$JT$2:$JT$317))</f>
        <v>4</v>
      </c>
      <c r="PD78">
        <f>SUMPRODUCT(--('Данные 2st'!$Q$2:$Q$317=$A78),--ISNUMBER('Данные 2st'!$JU$2:$JU$317))</f>
        <v>4</v>
      </c>
      <c r="PE78">
        <f>SUMPRODUCT(--('Данные 2st'!$Q$2:$Q$317=$A78),--ISNUMBER('Данные 2st'!$JV$2:$JV$317))</f>
        <v>4</v>
      </c>
      <c r="PF78">
        <f>SUMPRODUCT(--('Данные 2st'!$Q$2:$Q$317=$A78),--ISNUMBER('Данные 2st'!$JW$2:$JW$317))</f>
        <v>4</v>
      </c>
      <c r="PG78">
        <f>SUMPRODUCT(--('Данные 2st'!$Q$2:$Q$317=$A78),--ISNUMBER('Данные 2st'!$KF$2:$KF$317))</f>
        <v>4</v>
      </c>
      <c r="PH78">
        <f>SUMPRODUCT(--('Данные 2st'!$Q$2:$Q$317=$A78),--ISNUMBER('Данные 2st'!$KG$2:$KG$317))</f>
        <v>4</v>
      </c>
      <c r="PI78">
        <f>SUMPRODUCT(--('Данные 2st'!$Q$2:$Q$317=$A78),--ISNUMBER('Данные 2st'!$KM$2:$KM$317))</f>
        <v>4</v>
      </c>
      <c r="PJ78">
        <f>SUMPRODUCT(--('Данные 2st'!$Q$2:$Q$317=$A78),--ISNUMBER('Данные 2st'!$KN$2:$KN$317))</f>
        <v>4</v>
      </c>
      <c r="PK78">
        <f>SUMPRODUCT(--('Данные 2st'!$Q$2:$Q$317=$A78),--ISNUMBER('Данные 2st'!$KO$2:$KO$317))</f>
        <v>4</v>
      </c>
      <c r="PL78">
        <f>SUMPRODUCT(--('Данные 2st'!$Q$2:$Q$317=$A78),--ISNUMBER('Данные 2st'!$KP$2:$KP$317))</f>
        <v>4</v>
      </c>
      <c r="PM78">
        <f>SUMPRODUCT(--('Данные 2st'!$Q$2:$Q$317=$A78),--ISNUMBER('Данные 2st'!$KQ$2:$KQ$317))</f>
        <v>4</v>
      </c>
      <c r="PN78">
        <f>SUMPRODUCT(--('Данные 2st'!$Q$2:$Q$317=$A78),--ISNUMBER('Данные 2st'!$KR$2:$KR$317))</f>
        <v>4</v>
      </c>
      <c r="PO78">
        <f>SUMPRODUCT(--('Данные 2st'!$Q$2:$Q$317=$A78),--ISNUMBER('Данные 2st'!$KS$2:$KS$317))</f>
        <v>4</v>
      </c>
      <c r="PP78">
        <f>SUMPRODUCT(--('Данные 2st'!$Q$2:$Q$317=$A78),--ISNUMBER('Данные 2st'!$KT$2:$KT$317))</f>
        <v>4</v>
      </c>
      <c r="PQ78">
        <f>SUMPRODUCT(--('Данные 2st'!$Q$2:$Q$317=$A78),--ISNUMBER('Данные 2st'!$KU$2:$KU$317))</f>
        <v>4</v>
      </c>
      <c r="PR78">
        <f>SUMPRODUCT(--('Данные 2st'!$Q$2:$Q$317=$A78),--ISNUMBER('Данные 2st'!$KV$2:$KV$317))</f>
        <v>4</v>
      </c>
      <c r="PS78">
        <f>SUMPRODUCT(--('Данные 2st'!$Q$2:$Q$317=$A78),--ISNUMBER('Данные 2st'!$KW$2:$KW$317))</f>
        <v>4</v>
      </c>
      <c r="PT78">
        <f>SUMPRODUCT(--('Данные 2st'!$Q$2:$Q$317=$A78),--ISNUMBER('Данные 2st'!$KX$2:$KX$317))</f>
        <v>4</v>
      </c>
      <c r="PU78">
        <f>SUMPRODUCT(--('Данные 2st'!$Q$2:$Q$317=$A78),--ISNUMBER('Данные 2st'!$KY$2:$KY$317))</f>
        <v>4</v>
      </c>
      <c r="PV78">
        <f>SUMPRODUCT(--('Данные 2st'!$Q$2:$Q$317=$A78),--ISNUMBER('Данные 2st'!$KZ$2:$KZ$317))</f>
        <v>4</v>
      </c>
      <c r="PW78">
        <f>SUMPRODUCT(--('Данные 2st'!$Q$2:$Q$317=$A78),--ISNUMBER('Данные 2st'!$LA$2:$LA$317))</f>
        <v>4</v>
      </c>
      <c r="PX78">
        <f>SUMPRODUCT(--('Данные 2st'!$Q$2:$Q$317=$A78),--ISNUMBER('Данные 2st'!$LB$2:$LB$317))</f>
        <v>4</v>
      </c>
      <c r="PY78">
        <f>SUMPRODUCT(--('Данные 2st'!$Q$2:$Q$317=$A78),--ISNUMBER('Данные 2st'!$LC$2:$LC$317))</f>
        <v>4</v>
      </c>
      <c r="PZ78">
        <f>SUMPRODUCT(--('Данные 2st'!$Q$2:$Q$317=$A78),--ISNUMBER('Данные 2st'!$LD$2:$LD$317))</f>
        <v>4</v>
      </c>
      <c r="QA78">
        <f>SUMPRODUCT(--('Данные 2st'!$Q$2:$Q$317=$A78),--ISNUMBER('Данные 2st'!$LE$2:$LE$317))</f>
        <v>4</v>
      </c>
      <c r="QB78">
        <f>SUMPRODUCT(--('Данные 2st'!$Q$2:$Q$317=$A78),--ISNUMBER('Данные 2st'!$LF$2:$LF$317))</f>
        <v>4</v>
      </c>
      <c r="QC78">
        <f>SUMPRODUCT(--('Данные 2st'!$Q$2:$Q$317=$A78),--ISNUMBER('Данные 2st'!$LG$2:$LG$317))</f>
        <v>4</v>
      </c>
      <c r="QD78">
        <f>SUMPRODUCT(--('Данные 2st'!$Q$2:$Q$317=$A78),--ISNUMBER('Данные 2st'!$LH$2:$LH$317))</f>
        <v>4</v>
      </c>
      <c r="QE78">
        <f>SUMPRODUCT(--('Данные 2st'!$Q$2:$Q$317=$A78),--ISNUMBER('Данные 2st'!$LJ$2:$LJ$317))</f>
        <v>4</v>
      </c>
      <c r="QF78">
        <f>SUMPRODUCT(--('Данные 2st'!$Q$2:$Q$317=$A78),--ISNUMBER('Данные 2st'!$LK$2:$LK$317))</f>
        <v>4</v>
      </c>
      <c r="QG78">
        <f>SUMPRODUCT(--('Данные 2st'!$Q$2:$Q$317=$A78),--ISNUMBER('Данные 2st'!$LL$2:$LL$317))</f>
        <v>4</v>
      </c>
      <c r="QH78">
        <f>SUMPRODUCT(--('Данные 2st'!$Q$2:$Q$317=$A78),--ISNUMBER('Данные 2st'!$LM$2:$LM$317))</f>
        <v>4</v>
      </c>
      <c r="QI78">
        <f>SUMPRODUCT(--('Данные 2st'!$Q$2:$Q$317=$A78),--ISNUMBER('Данные 2st'!$LN$2:$LN$317))</f>
        <v>4</v>
      </c>
      <c r="QJ78">
        <f>SUMPRODUCT(--('Данные 2st'!$Q$2:$Q$317=$A78),--ISNUMBER('Данные 2st'!$LO$2:$LO$317))</f>
        <v>4</v>
      </c>
      <c r="QK78">
        <f>SUMPRODUCT(--('Данные 2st'!$Q$2:$Q$317=$A78),--ISNUMBER('Данные 2st'!$LP$2:$LP$317))</f>
        <v>4</v>
      </c>
      <c r="QL78">
        <f>SUMPRODUCT(--('Данные 2st'!$Q$2:$Q$317=$A78),--ISNUMBER('Данные 2st'!$LQ$2:$LQ$317))</f>
        <v>4</v>
      </c>
      <c r="QM78">
        <f>SUMPRODUCT(--('Данные 2st'!$Q$2:$Q$317=$A78),--ISNUMBER('Данные 2st'!$LW$2:$LW$317))</f>
        <v>4</v>
      </c>
      <c r="QN78">
        <f>SUMPRODUCT(--('Данные 2st'!$Q$2:$Q$317=$A78),--ISNUMBER('Данные 2st'!$LX$2:$LX$317))</f>
        <v>4</v>
      </c>
      <c r="QO78">
        <f>SUMPRODUCT(--('Данные 2st'!$Q$2:$Q$317=$A78),--ISNUMBER('Данные 2st'!$LY$2:$LY$317))</f>
        <v>4</v>
      </c>
      <c r="QP78">
        <f>SUMPRODUCT(--('Данные 2st'!$Q$2:$Q$317=$A78),--ISNUMBER('Данные 2st'!$LZ$2:$LZ$317))</f>
        <v>4</v>
      </c>
      <c r="QQ78">
        <f>SUMPRODUCT(--('Данные 2st'!$Q$2:$Q$317=$A78),--ISNUMBER('Данные 2st'!$MB$2:$MB$317))</f>
        <v>4</v>
      </c>
      <c r="QR78">
        <f>SUMPRODUCT(--('Данные 2st'!$Q$2:$Q$317=$A78),--ISNUMBER('Данные 2st'!$MG$2:$MG$317))</f>
        <v>2</v>
      </c>
      <c r="QS78">
        <f>SUMPRODUCT(--('Данные 2st'!$Q$2:$Q$317=$A78),--ISNUMBER('Данные 2st'!$MH$2:$MH$317))</f>
        <v>2</v>
      </c>
      <c r="QT78">
        <f>SUMPRODUCT(--('Данные 2st'!$Q$2:$Q$317=$A78),--ISNUMBER('Данные 2st'!$MI$2:$MI$317))</f>
        <v>4</v>
      </c>
      <c r="QU78">
        <f>SUMPRODUCT(--('Данные 2st'!$Q$2:$Q$317=$A78),--ISNUMBER('Данные 2st'!$MJ$2:$MJ$317))</f>
        <v>4</v>
      </c>
      <c r="QV78">
        <f>SUMPRODUCT(--('Данные 2st'!$Q$2:$Q$317=$A78),--ISNUMBER('Данные 2st'!$MK$2:$MK$317))</f>
        <v>0</v>
      </c>
      <c r="QW78">
        <f>SUMPRODUCT(--('Данные 2st'!$Q$2:$Q$317=$A78),--ISNUMBER('Данные 2st'!$MM$2:$MM$317))</f>
        <v>4</v>
      </c>
      <c r="QX78">
        <f>SUMPRODUCT(--('Данные 2st'!$Q$2:$Q$317=$A78),--ISNUMBER('Данные 2st'!$MQ$2:$MQ$317))</f>
        <v>0</v>
      </c>
      <c r="QY78">
        <f>SUMPRODUCT(--('Данные 2st'!$Q$2:$Q$317=$A78),--ISNUMBER('Данные 2st'!$MR$2:$MR$317))</f>
        <v>0</v>
      </c>
      <c r="QZ78">
        <f>SUMPRODUCT(--('Данные 2st'!$Q$2:$Q$317=$A78),--ISNUMBER('Данные 2st'!$MS$2:$MS$317))</f>
        <v>0</v>
      </c>
      <c r="RA78">
        <f>SUMPRODUCT(--('Данные 2st'!$Q$2:$Q$317=$A78),--ISNUMBER('Данные 2st'!$MT$2:$MT$317))</f>
        <v>0</v>
      </c>
      <c r="RB78">
        <f>SUMPRODUCT(--('Данные 2st'!$Q$2:$Q$317=$A78),--ISNUMBER('Данные 2st'!$MU$2:$MU$317))</f>
        <v>0</v>
      </c>
      <c r="RC78">
        <f>SUMPRODUCT(--('Данные 2st'!$Q$2:$Q$317=$A78),--ISNUMBER('Данные 2st'!$MV$2:$MV$317))</f>
        <v>0</v>
      </c>
      <c r="RD78">
        <f>SUMPRODUCT(--('Данные 2st'!$Q$2:$Q$317=$A78),--ISNUMBER('Данные 2st'!$MW$2:$MW$317))</f>
        <v>0</v>
      </c>
      <c r="RE78">
        <f>SUMPRODUCT(--('Данные 2st'!$Q$2:$Q$317=$A78),--ISNUMBER('Данные 2st'!$MX$2:$MX$317))</f>
        <v>0</v>
      </c>
      <c r="RF78">
        <f>SUMPRODUCT(--('Данные 2st'!$Q$2:$Q$317=$A78),--ISNUMBER('Данные 2st'!$MY$2:$MY$317))</f>
        <v>0</v>
      </c>
      <c r="RG78">
        <f>SUMPRODUCT(--('Данные 2st'!$Q$2:$Q$317=$A78),--ISNUMBER('Данные 2st'!$MZ$2:$MZ$317))</f>
        <v>0</v>
      </c>
      <c r="RH78">
        <f>SUMPRODUCT(--('Данные 2st'!$Q$2:$Q$317=$A78),--ISNUMBER('Данные 2st'!$NA$2:$NA$317))</f>
        <v>0</v>
      </c>
      <c r="RI78">
        <f>SUMPRODUCT(--('Данные 2st'!$Q$2:$Q$317=$A78),--ISNUMBER('Данные 2st'!$NB$2:$NB$317))</f>
        <v>0</v>
      </c>
      <c r="RJ78">
        <f>SUMPRODUCT(--('Данные 2st'!$Q$2:$Q$317=$A78),--ISNUMBER('Данные 2st'!$NC$2:$NC$317))</f>
        <v>0</v>
      </c>
      <c r="RK78">
        <f>SUMPRODUCT(--('Данные 2st'!$Q$2:$Q$317=$A78),--ISNUMBER('Данные 2st'!$ND$2:$ND$317))</f>
        <v>0</v>
      </c>
      <c r="RL78">
        <f>SUMPRODUCT(--('Данные 2st'!$Q$2:$Q$317=$A78),--ISNUMBER('Данные 2st'!$NE$2:$NE$317))</f>
        <v>0</v>
      </c>
      <c r="RM78">
        <f>SUMPRODUCT(--('Данные 2st'!$Q$2:$Q$317=$A78),--ISNUMBER('Данные 2st'!$NF$2:$NF$317))</f>
        <v>0</v>
      </c>
      <c r="RN78">
        <f>SUMPRODUCT(--('Данные 2st'!$Q$2:$Q$317=$A78),--ISNUMBER('Данные 2st'!$NG$2:$NG$317))</f>
        <v>0</v>
      </c>
      <c r="RO78">
        <f>SUMPRODUCT(--('Данные 2st'!$Q$2:$Q$317=$A78),--ISNUMBER('Данные 2st'!$NH$2:$NH$317))</f>
        <v>0</v>
      </c>
      <c r="RP78">
        <f>SUMPRODUCT(--('Данные 2st'!$Q$2:$Q$317=$A78),--ISNUMBER('Данные 2st'!$NJ$2:$NJ$317))</f>
        <v>0</v>
      </c>
      <c r="RQ78">
        <f>SUMPRODUCT(--('Данные 2st'!$Q$2:$Q$317=$A78),--ISNUMBER('Данные 2st'!$NK$2:$NK$317))</f>
        <v>0</v>
      </c>
      <c r="RR78">
        <f>SUMPRODUCT(--('Данные 2st'!$Q$2:$Q$317=$A78),--ISNUMBER('Данные 2st'!$NM$2:$NM$317))</f>
        <v>0</v>
      </c>
      <c r="RS78">
        <f>SUMPRODUCT(--('Данные 2st'!$Q$2:$Q$317=$A78),--ISNUMBER('Данные 2st'!$NN$2:$NN$317))</f>
        <v>0</v>
      </c>
      <c r="RT78">
        <f>SUMPRODUCT(--('Данные 2st'!$Q$2:$Q$317=$A78),--ISNUMBER('Данные 2st'!$NO$2:$NO$317))</f>
        <v>0</v>
      </c>
      <c r="RU78">
        <f>SUMPRODUCT(--('Данные 2st'!$Q$2:$Q$317=$A78),--ISNUMBER('Данные 2st'!$NP$2:$NP$317))</f>
        <v>0</v>
      </c>
      <c r="RV78">
        <f>SUMPRODUCT(--('Данные 2st'!$Q$2:$Q$317=$A78),--ISNUMBER('Данные 2st'!$NQ$2:$NQ$317))</f>
        <v>0</v>
      </c>
      <c r="RW78">
        <f>SUMPRODUCT(--('Данные 2st'!$Q$2:$Q$317=$A78),--ISNUMBER('Данные 2st'!$NR$2:$NR$317))</f>
        <v>0</v>
      </c>
      <c r="RX78">
        <f>SUMPRODUCT(--('Данные 2st'!$Q$2:$Q$317=$A78),--ISNUMBER('Данные 2st'!$NS$2:$NS$317))</f>
        <v>0</v>
      </c>
      <c r="RY78">
        <f>SUMPRODUCT(--('Данные 2st'!$Q$2:$Q$317=$A78),--ISNUMBER('Данные 2st'!$NT$2:$NT$317))</f>
        <v>0</v>
      </c>
      <c r="RZ78">
        <f>SUMPRODUCT(--('Данные 2st'!$Q$2:$Q$317=$A78),--ISNUMBER('Данные 2st'!$OK$2:$OK$317))</f>
        <v>4</v>
      </c>
      <c r="SA78">
        <f>SUMPRODUCT(--('Данные 2st'!$Q$2:$Q$317=$A78),--ISNUMBER('Данные 2st'!$OL$2:$OL$317))</f>
        <v>4</v>
      </c>
      <c r="SB78">
        <f>SUMPRODUCT(--('Данные 2st'!$Q$2:$Q$317=$A78),--ISNUMBER('Данные 2st'!$ON$2:$ON$317))</f>
        <v>4</v>
      </c>
      <c r="SC78">
        <f>SUMPRODUCT(--('Данные 2st'!$Q$2:$Q$317=$A78),--ISNUMBER('Данные 2st'!$OO$2:$OO$317))</f>
        <v>4</v>
      </c>
      <c r="SD78">
        <f>SUMPRODUCT(--('Данные 2st'!$Q$2:$Q$317=$A78),--ISNUMBER('Данные 2st'!$OP$2:$OP$317))</f>
        <v>4</v>
      </c>
      <c r="SE78">
        <f>SUMPRODUCT(--('Данные 2st'!$Q$2:$Q$317=$A78),--ISNUMBER('Данные 2st'!$OQ$2:$OQ$317))</f>
        <v>4</v>
      </c>
      <c r="SF78">
        <f>SUMPRODUCT(--('Данные 2st'!$Q$2:$Q$317=$A78),--ISNUMBER('Данные 2st'!$OS$2:$OS$317))</f>
        <v>4</v>
      </c>
      <c r="SG78">
        <f>SUMPRODUCT(--('Данные 2st'!$Q$2:$Q$317=$A78),--ISNUMBER('Данные 2st'!$OT$2:$OT$317))</f>
        <v>4</v>
      </c>
      <c r="SH78">
        <f>SUMPRODUCT(--('Данные 2st'!$Q$2:$Q$317=$A78),--ISNUMBER('Данные 2st'!$OU$2:$OU$317))</f>
        <v>4</v>
      </c>
      <c r="SI78">
        <f>SUMPRODUCT(--('Данные 2st'!$Q$2:$Q$317=$A78),--ISNUMBER('Данные 2st'!$OV$2:$OV$317))</f>
        <v>4</v>
      </c>
      <c r="SJ78">
        <f>SUMPRODUCT(--('Данные 2st'!$Q$2:$Q$317=$A78),--ISNUMBER('Данные 2st'!$OX$2:$OX$317))</f>
        <v>4</v>
      </c>
      <c r="SK78">
        <f>SUMPRODUCT(--('Данные 2st'!$Q$2:$Q$317=$A78),--ISNUMBER('Данные 2st'!$OY$2:$OY$317))</f>
        <v>4</v>
      </c>
      <c r="SL78">
        <f>SUMPRODUCT(--('Данные 2st'!$Q$2:$Q$317=$A78),--ISNUMBER('Данные 2st'!$OZ$2:$OZ$317))</f>
        <v>4</v>
      </c>
      <c r="SM78">
        <f>SUMPRODUCT(--('Данные 2st'!$Q$2:$Q$317=$A78),--ISNUMBER('Данные 2st'!$PA$2:$PA$317))</f>
        <v>4</v>
      </c>
      <c r="SN78">
        <f>SUMPRODUCT(--('Данные 2st'!$Q$2:$Q$317=$A78),--ISNUMBER('Данные 2st'!$PC$2:$PC$317))</f>
        <v>4</v>
      </c>
      <c r="SO78">
        <f>SUMPRODUCT(--('Данные 2st'!$Q$2:$Q$317=$A78),--ISNUMBER('Данные 2st'!$PD$2:$PD$317))</f>
        <v>4</v>
      </c>
      <c r="SP78">
        <f>SUMPRODUCT(--('Данные 2st'!$Q$2:$Q$317=$A78),--ISNUMBER('Данные 2st'!$PF$2:$PF$317))</f>
        <v>4</v>
      </c>
      <c r="SQ78">
        <f>SUMPRODUCT(--('Данные 2st'!$Q$2:$Q$317=$A78),--ISNUMBER('Данные 2st'!$PG$2:$PG$317))</f>
        <v>4</v>
      </c>
      <c r="SR78">
        <f>SUMPRODUCT(--('Данные 2st'!$Q$2:$Q$317=$A78),--ISNUMBER('Данные 2st'!$PH$2:$PH$317))</f>
        <v>4</v>
      </c>
      <c r="SS78">
        <f>SUMPRODUCT(--('Данные 2st'!$Q$2:$Q$317=$A78),--ISNUMBER('Данные 2st'!$PI$2:$PI$317))</f>
        <v>4</v>
      </c>
      <c r="ST78">
        <f>SUMPRODUCT(--('Данные 2st'!$Q$2:$Q$317=$A78),--ISNUMBER('Данные 2st'!$PJ$2:$PJ$317))</f>
        <v>4</v>
      </c>
      <c r="SU78">
        <f>SUMPRODUCT(--('Данные 2st'!$Q$2:$Q$317=$A78),--ISNUMBER('Данные 2st'!$PK$2:$PK$317))</f>
        <v>4</v>
      </c>
      <c r="SV78">
        <f>SUMPRODUCT(--('Данные 2st'!$Q$2:$Q$317=$A78),--ISNUMBER('Данные 2st'!$PL$2:$PL$317))</f>
        <v>4</v>
      </c>
      <c r="SW78">
        <f>SUMPRODUCT(--('Данные 2st'!$Q$2:$Q$317=$A78),--ISNUMBER('Данные 2st'!$PM$2:$PM$317))</f>
        <v>4</v>
      </c>
      <c r="SX78">
        <f>SUMPRODUCT(--('Данные 2st'!$Q$2:$Q$317=$A78),--ISNUMBER('Данные 2st'!$PN$2:$PN$317))</f>
        <v>4</v>
      </c>
      <c r="SY78">
        <f>SUMPRODUCT(--('Данные 2st'!$Q$2:$Q$317=$A78),--ISNUMBER('Данные 2st'!$PO$2:$PO$317))</f>
        <v>4</v>
      </c>
      <c r="SZ78">
        <f>SUMPRODUCT(--('Данные 2st'!$Q$2:$Q$317=$A78),--ISNUMBER('Данные 2st'!$PP$2:$PP$317))</f>
        <v>4</v>
      </c>
      <c r="TA78">
        <f>SUMPRODUCT(--('Данные 2st'!$Q$2:$Q$317=$A78),--ISNUMBER('Данные 2st'!$PQ$2:$PQ$317))</f>
        <v>4</v>
      </c>
      <c r="TB78">
        <f>SUMPRODUCT(--('Данные 2st'!$Q$2:$Q$317=$A78),--ISNUMBER('Данные 2st'!$PR$2:$PR$317))</f>
        <v>4</v>
      </c>
      <c r="TC78">
        <f>SUMPRODUCT(--('Данные 2st'!$Q$2:$Q$317=$A78),--ISNUMBER('Данные 2st'!$PS$2:$PS$317))</f>
        <v>4</v>
      </c>
      <c r="TD78">
        <f>SUMPRODUCT(--('Данные 2st'!$Q$2:$Q$317=$A78),--ISNUMBER('Данные 2st'!$PT$2:$PT$317))</f>
        <v>4</v>
      </c>
      <c r="TE78">
        <f>SUMPRODUCT(--('Данные 2st'!$Q$2:$Q$317=$A78),--ISNUMBER('Данные 2st'!$PU$2:$PU$317))</f>
        <v>4</v>
      </c>
      <c r="TF78">
        <f>SUMPRODUCT(--('Данные 2st'!$Q$2:$Q$317=$A78),--ISNUMBER('Данные 2st'!$PX$2:$PX$317))</f>
        <v>4</v>
      </c>
      <c r="TG78">
        <f>SUMPRODUCT(--('Данные 2st'!$Q$2:$Q$317=$A78),--ISNUMBER('Данные 2st'!$PY$2:$PY$317))</f>
        <v>4</v>
      </c>
      <c r="TH78">
        <f>SUMPRODUCT(--('Данные 2st'!$Q$2:$Q$317=$A78),--ISNUMBER('Данные 2st'!$PZ$2:$PZ$317))</f>
        <v>4</v>
      </c>
      <c r="TI78">
        <f>SUMPRODUCT(--('Данные 2st'!$Q$2:$Q$317=$A78),--ISNUMBER('Данные 2st'!$QA$2:$QA$317))</f>
        <v>4</v>
      </c>
      <c r="TJ78">
        <f>SUMPRODUCT(--('Данные 2st'!$Q$2:$Q$317=$A78),--ISNUMBER('Данные 2st'!$QB$2:$QB$317))</f>
        <v>4</v>
      </c>
      <c r="TK78">
        <f>SUMPRODUCT(--('Данные 2st'!$Q$2:$Q$317=$A78),--ISNUMBER('Данные 2st'!$QC$2:$QC$317))</f>
        <v>4</v>
      </c>
      <c r="TL78">
        <f>SUMPRODUCT(--('Данные 2st'!$Q$2:$Q$317=$A78),--ISNUMBER('Данные 2st'!$QD$2:$QD$317))</f>
        <v>4</v>
      </c>
      <c r="TM78">
        <f>SUMPRODUCT(--('Данные 2st'!$Q$2:$Q$317=$A78),--ISNUMBER('Данные 2st'!$QE$2:$QE$317))</f>
        <v>4</v>
      </c>
      <c r="TN78">
        <f>SUMPRODUCT(--('Данные 2st'!$Q$2:$Q$317=$A78),--ISNUMBER('Данные 2st'!$QF$2:$QF$317))</f>
        <v>4</v>
      </c>
      <c r="TO78">
        <f>SUMPRODUCT(--('Данные 2st'!$Q$2:$Q$317=$A78),--ISNUMBER('Данные 2st'!$QG$2:$QG$317))</f>
        <v>4</v>
      </c>
      <c r="TP78">
        <f>SUMPRODUCT(--('Данные 2st'!$Q$2:$Q$317=$A78),--ISNUMBER('Данные 2st'!$QH$2:$QH$317))</f>
        <v>4</v>
      </c>
      <c r="TQ78">
        <f>SUMPRODUCT(--('Данные 2st'!$Q$2:$Q$317=$A78),--ISNUMBER('Данные 2st'!$QI$2:$QI$317))</f>
        <v>4</v>
      </c>
      <c r="TR78">
        <f>SUMPRODUCT(--('Данные 2st'!$Q$2:$Q$317=$A78),--ISNUMBER('Данные 2st'!$QJ$2:$QJ$317))</f>
        <v>4</v>
      </c>
      <c r="TS78">
        <f>SUMPRODUCT(--('Данные 2st'!$Q$2:$Q$317=$A78),--ISNUMBER('Данные 2st'!$QK$2:$QK$317))</f>
        <v>4</v>
      </c>
      <c r="TT78">
        <f>SUMPRODUCT(--('Данные 2st'!$Q$2:$Q$317=$A78),--ISNUMBER('Данные 2st'!$QL$2:$QL$317))</f>
        <v>4</v>
      </c>
      <c r="TU78">
        <f>SUMPRODUCT(--('Данные 2st'!$Q$2:$Q$317=$A78),--ISNUMBER('Данные 2st'!$QM$2:$QM$317))</f>
        <v>4</v>
      </c>
      <c r="TV78">
        <f>SUMPRODUCT(--('Данные 2st'!$Q$2:$Q$317=$A78),--ISNUMBER('Данные 2st'!$QN$2:$QN$317))</f>
        <v>4</v>
      </c>
      <c r="TW78">
        <f>SUMPRODUCT(--('Данные 2st'!$Q$2:$Q$317=$A78),--ISNUMBER('Данные 2st'!$QQ$2:$QQ$317))</f>
        <v>4</v>
      </c>
      <c r="TX78">
        <f>SUMPRODUCT(--('Данные 2st'!$Q$2:$Q$317=$A78),--ISNUMBER('Данные 2st'!$QS$2:$QS$317))</f>
        <v>4</v>
      </c>
      <c r="TY78">
        <f>SUMPRODUCT(--('Данные 2st'!$Q$2:$Q$317=$A78),--ISNUMBER('Данные 2st'!$QT$2:$QT$317))</f>
        <v>4</v>
      </c>
    </row>
    <row r="79" spans="1:545" ht="32" customHeight="1">
      <c r="A79" s="11" t="str">
        <f>'По размерам'!A79</f>
        <v>265/65R17</v>
      </c>
      <c r="G79">
        <f>SUMPRODUCT(--('Данные 1st'!$S$2:$S$317=$A79),--ISNUMBER('Данные 1st'!$AE$2:$AE$317))</f>
        <v>5</v>
      </c>
      <c r="H79">
        <f>SUMPRODUCT(--('Данные 1st'!$S$2:$S$317=$A79),--ISNUMBER('Данные 1st'!$AF$2:$AF$317))</f>
        <v>5</v>
      </c>
      <c r="I79">
        <f>SUMPRODUCT(--('Данные 1st'!$S$2:$S$317=$A79),--ISNUMBER('Данные 1st'!$AJ$2:$AJ$317))</f>
        <v>5</v>
      </c>
      <c r="J79">
        <f>SUMPRODUCT(--('Данные 1st'!$S$2:$S$317=$A79),--ISNUMBER('Данные 1st'!$AL$2:$AL$317))</f>
        <v>5</v>
      </c>
      <c r="K79">
        <f>SUMPRODUCT(--('Данные 1st'!$S$2:$S$317=$A79),--ISNUMBER('Данные 1st'!$AR$2:$AR$317))</f>
        <v>5</v>
      </c>
      <c r="L79">
        <f>SUMPRODUCT(--('Данные 1st'!$S$2:$S$317=$A79),--ISNUMBER('Данные 1st'!$AS$2:$AS$317))</f>
        <v>5</v>
      </c>
      <c r="M79">
        <f>SUMPRODUCT(--('Данные 1st'!$S$2:$S$317=$A79),--ISNUMBER('Данные 1st'!$AY$2:$AY$317))</f>
        <v>5</v>
      </c>
      <c r="N79">
        <f>SUMPRODUCT(--('Данные 1st'!$S$2:$S$317=$A79),--ISNUMBER('Данные 1st'!$AZ$2:$AZ$317))</f>
        <v>5</v>
      </c>
      <c r="O79">
        <f>SUMPRODUCT(--('Данные 1st'!$S$2:$S$317=$A79),--ISNUMBER('Данные 1st'!$BF$2:$BF$317))</f>
        <v>5</v>
      </c>
      <c r="P79">
        <f>SUMPRODUCT(--('Данные 1st'!$S$2:$S$317=$A79),--ISNUMBER('Данные 1st'!$BG$2:$BG$317))</f>
        <v>5</v>
      </c>
      <c r="Q79">
        <f>SUMPRODUCT(--('Данные 1st'!$S$2:$S$317=$A79),--ISNUMBER('Данные 1st'!$BM$2:$BM$317))</f>
        <v>0</v>
      </c>
      <c r="R79">
        <f>SUMPRODUCT(--('Данные 1st'!$S$2:$S$317=$A79),--ISNUMBER('Данные 1st'!$BN$2:$BN$317))</f>
        <v>5</v>
      </c>
      <c r="S79">
        <f>SUMPRODUCT(--('Данные 1st'!$S$2:$S$317=$A79),--ISNUMBER('Данные 1st'!$BT$2:$BT$317))</f>
        <v>5</v>
      </c>
      <c r="T79">
        <f>SUMPRODUCT(--('Данные 1st'!$S$2:$S$317=$A79),--ISNUMBER('Данные 1st'!$BU$2:$BU$317))</f>
        <v>5</v>
      </c>
      <c r="U79">
        <f>SUMPRODUCT(--('Данные 1st'!$S$2:$S$317=$A79),--ISNUMBER('Данные 1st'!$BW$2:$BW$317))</f>
        <v>5</v>
      </c>
      <c r="V79">
        <f>SUMPRODUCT(--('Данные 1st'!$S$2:$S$317=$A79),--ISNUMBER('Данные 1st'!$BX$2:$BX$317))</f>
        <v>5</v>
      </c>
      <c r="W79">
        <f>SUMPRODUCT(--('Данные 1st'!$S$2:$S$317=$A79),--ISNUMBER('Данные 1st'!$BZ$2:$BZ$317))</f>
        <v>5</v>
      </c>
      <c r="X79">
        <f>SUMPRODUCT(--('Данные 1st'!$S$2:$S$317=$A79),--ISNUMBER('Данные 1st'!$CA$2:$CA$317))</f>
        <v>5</v>
      </c>
      <c r="Y79">
        <f>SUMPRODUCT(--('Данные 1st'!$S$2:$S$317=$A79),--ISNUMBER('Данные 1st'!$CD$2:$CD$317))</f>
        <v>5</v>
      </c>
      <c r="Z79">
        <f>SUMPRODUCT(--('Данные 1st'!$S$2:$S$317=$A79),--ISNUMBER('Данные 1st'!$CF$2:$CF$317))</f>
        <v>5</v>
      </c>
      <c r="AA79">
        <f>SUMPRODUCT(--('Данные 1st'!$S$2:$S$317=$A79),--ISNUMBER('Данные 1st'!$CI$2:$CI$317))</f>
        <v>5</v>
      </c>
      <c r="AB79">
        <f>SUMPRODUCT(--('Данные 1st'!$S$2:$S$317=$A79),--ISNUMBER('Данные 1st'!$CJ$2:$CJ$317))</f>
        <v>5</v>
      </c>
      <c r="AC79">
        <f>SUMPRODUCT(--('Данные 1st'!$S$2:$S$317=$A79),--ISNUMBER('Данные 1st'!$CK$2:$CK$317))</f>
        <v>5</v>
      </c>
      <c r="AD79">
        <f>SUMPRODUCT(--('Данные 1st'!$S$2:$S$317=$A79),--ISNUMBER('Данные 1st'!$CL$2:$CL$317))</f>
        <v>5</v>
      </c>
      <c r="AE79">
        <f>SUMPRODUCT(--('Данные 1st'!$S$2:$S$317=$A79),--ISNUMBER('Данные 1st'!$CM$2:$CM$317))</f>
        <v>5</v>
      </c>
      <c r="AF79">
        <f>SUMPRODUCT(--('Данные 1st'!$S$2:$S$317=$A79),--ISNUMBER('Данные 1st'!$CT$2:$CT$317))</f>
        <v>5</v>
      </c>
      <c r="AG79">
        <f>SUMPRODUCT(--('Данные 1st'!$S$2:$S$317=$A79),--ISNUMBER('Данные 1st'!$CU$2:$CU$317))</f>
        <v>5</v>
      </c>
      <c r="AH79">
        <f>SUMPRODUCT(--('Данные 1st'!$S$2:$S$317=$A79),--ISNUMBER('Данные 1st'!$CV$2:$CV$317))</f>
        <v>5</v>
      </c>
      <c r="AI79">
        <f>SUMPRODUCT(--('Данные 1st'!$S$2:$S$317=$A79),--ISNUMBER('Данные 1st'!$CW$2:$CW$317))</f>
        <v>5</v>
      </c>
      <c r="AJ79">
        <f>SUMPRODUCT(--('Данные 1st'!$S$2:$S$317=$A79),--ISNUMBER('Данные 1st'!$CX$2:$CX$317))</f>
        <v>5</v>
      </c>
      <c r="AK79">
        <f>SUMPRODUCT(--('Данные 1st'!$S$2:$S$317=$A79),--ISNUMBER('Данные 1st'!$CZ$2:$CZ$317))</f>
        <v>4</v>
      </c>
      <c r="AL79">
        <f>SUMPRODUCT(--('Данные 1st'!$S$2:$S$317=$A79),--ISNUMBER('Данные 1st'!$DA$2:$DA$317))</f>
        <v>4</v>
      </c>
      <c r="AM79">
        <f>SUMPRODUCT(--('Данные 1st'!$S$2:$S$317=$A79),--ISNUMBER('Данные 1st'!$DB$2:$DB$317))</f>
        <v>4</v>
      </c>
      <c r="AN79">
        <f>SUMPRODUCT(--('Данные 1st'!$S$2:$S$317=$A79),--ISNUMBER('Данные 1st'!$DC$2:$DC$317))</f>
        <v>4</v>
      </c>
      <c r="AO79">
        <f>SUMPRODUCT(--('Данные 1st'!$S$2:$S$317=$A79),--ISNUMBER('Данные 1st'!$DD$2:$DD$317))</f>
        <v>5</v>
      </c>
      <c r="AP79">
        <f>SUMPRODUCT(--('Данные 1st'!$S$2:$S$317=$A79),--ISNUMBER('Данные 1st'!$DF$2:$DF$317))</f>
        <v>5</v>
      </c>
      <c r="AQ79">
        <f>SUMPRODUCT(--('Данные 1st'!$S$2:$S$317=$A79),--ISNUMBER('Данные 1st'!$DG$2:$DG$317))</f>
        <v>5</v>
      </c>
      <c r="AR79">
        <f>SUMPRODUCT(--('Данные 1st'!$S$2:$S$317=$A79),--ISNUMBER('Данные 1st'!$DH$2:$DH$317))</f>
        <v>5</v>
      </c>
      <c r="AS79">
        <f>SUMPRODUCT(--('Данные 1st'!$S$2:$S$317=$A79),--ISNUMBER('Данные 1st'!$DI$2:$DI$317))</f>
        <v>5</v>
      </c>
      <c r="AT79">
        <f>SUMPRODUCT(--('Данные 1st'!$S$2:$S$317=$A79),--ISNUMBER('Данные 1st'!$DJ$2:$DJ$317))</f>
        <v>5</v>
      </c>
      <c r="AU79">
        <f>SUMPRODUCT(--('Данные 1st'!$S$2:$S$317=$A79),--ISNUMBER('Данные 1st'!$DL$2:$DL$317))</f>
        <v>5</v>
      </c>
      <c r="AV79">
        <f>SUMPRODUCT(--('Данные 1st'!$S$2:$S$317=$A79),--ISNUMBER('Данные 1st'!$DM$2:$DM$317))</f>
        <v>5</v>
      </c>
      <c r="AW79">
        <f>SUMPRODUCT(--('Данные 1st'!$S$2:$S$317=$A79),--ISNUMBER('Данные 1st'!$DN$2:$DN$317))</f>
        <v>5</v>
      </c>
      <c r="AX79">
        <f>SUMPRODUCT(--('Данные 1st'!$S$2:$S$317=$A79),--ISNUMBER('Данные 1st'!$DO$2:$DO$317))</f>
        <v>5</v>
      </c>
      <c r="AY79">
        <f>SUMPRODUCT(--('Данные 1st'!$S$2:$S$317=$A79),--ISNUMBER('Данные 1st'!$DP$2:$DP$317))</f>
        <v>5</v>
      </c>
      <c r="AZ79">
        <f>SUMPRODUCT(--('Данные 1st'!$S$2:$S$317=$A79),--ISNUMBER('Данные 1st'!$DR$2:$DR$317))</f>
        <v>0</v>
      </c>
      <c r="BA79">
        <f>SUMPRODUCT(--('Данные 1st'!$S$2:$S$317=$A79),--ISNUMBER('Данные 1st'!$DS$2:$DS$317))</f>
        <v>0</v>
      </c>
      <c r="BB79">
        <f>SUMPRODUCT(--('Данные 1st'!$S$2:$S$317=$A79),--ISNUMBER('Данные 1st'!$DT$2:$DT$317))</f>
        <v>0</v>
      </c>
      <c r="BC79">
        <f>SUMPRODUCT(--('Данные 1st'!$S$2:$S$317=$A79),--ISNUMBER('Данные 1st'!$DU$2:$DU$317))</f>
        <v>0</v>
      </c>
      <c r="BD79">
        <f>SUMPRODUCT(--('Данные 1st'!$S$2:$S$317=$A79),--ISNUMBER('Данные 1st'!$DV$2:$DV$317))</f>
        <v>0</v>
      </c>
      <c r="BE79">
        <f>SUMPRODUCT(--('Данные 1st'!$S$2:$S$317=$A79),--ISNUMBER('Данные 1st'!$DX$2:$DX$317))</f>
        <v>5</v>
      </c>
      <c r="BF79">
        <f>SUMPRODUCT(--('Данные 1st'!$S$2:$S$317=$A79),--ISNUMBER('Данные 1st'!$EA$2:$EA$317))</f>
        <v>5</v>
      </c>
      <c r="BG79">
        <f>SUMPRODUCT(--('Данные 1st'!$S$2:$S$317=$A79),--ISNUMBER('Данные 1st'!$EB$2:$EB$317))</f>
        <v>5</v>
      </c>
      <c r="BH79">
        <f>SUMPRODUCT(--('Данные 1st'!$S$2:$S$317=$A79),--ISNUMBER('Данные 1st'!$ED$2:$ED$317))</f>
        <v>5</v>
      </c>
      <c r="BI79">
        <f>SUMPRODUCT(--('Данные 1st'!$S$2:$S$317=$A79),--ISNUMBER('Данные 1st'!$EE$2:$EE$317))</f>
        <v>5</v>
      </c>
      <c r="BJ79">
        <f>SUMPRODUCT(--('Данные 1st'!$S$2:$S$317=$A79),--ISNUMBER('Данные 1st'!$EG$2:$EG$317))</f>
        <v>5</v>
      </c>
      <c r="BK79">
        <f>SUMPRODUCT(--('Данные 1st'!$S$2:$S$317=$A79),--ISNUMBER('Данные 1st'!$EH$2:$EH$317))</f>
        <v>5</v>
      </c>
      <c r="BL79">
        <f>SUMPRODUCT(--('Данные 1st'!$S$2:$S$317=$A79),--ISNUMBER('Данные 1st'!$EJ$2:$EJ$317))</f>
        <v>5</v>
      </c>
      <c r="BM79">
        <f>SUMPRODUCT(--('Данные 1st'!$S$2:$S$317=$A79),--ISNUMBER('Данные 1st'!$EK$2:$EK$317))</f>
        <v>5</v>
      </c>
      <c r="BN79">
        <f>SUMPRODUCT(--('Данные 1st'!$S$2:$S$317=$A79),--ISNUMBER('Данные 1st'!$EN$2:$EN$317))</f>
        <v>5</v>
      </c>
      <c r="BO79">
        <f>SUMPRODUCT(--('Данные 1st'!$S$2:$S$317=$A79),--ISNUMBER('Данные 1st'!$EQ$2:$EQ$317))</f>
        <v>5</v>
      </c>
      <c r="BP79">
        <f>SUMPRODUCT(--('Данные 1st'!$S$2:$S$317=$A79),--ISNUMBER('Данные 1st'!$ER$2:$ER$317))</f>
        <v>5</v>
      </c>
      <c r="BQ79">
        <f>SUMPRODUCT(--('Данные 1st'!$S$2:$S$317=$A79),--ISNUMBER('Данные 1st'!$ES$2:$ES$317))</f>
        <v>5</v>
      </c>
      <c r="BR79">
        <f>SUMPRODUCT(--('Данные 1st'!$S$2:$S$317=$A79),--ISNUMBER('Данные 1st'!$ET$2:$ET$317))</f>
        <v>5</v>
      </c>
      <c r="BS79">
        <f>SUMPRODUCT(--('Данные 1st'!$S$2:$S$317=$A79),--ISNUMBER('Данные 1st'!$EU$2:$EU$317))</f>
        <v>5</v>
      </c>
      <c r="BT79">
        <f>SUMPRODUCT(--('Данные 1st'!$S$2:$S$317=$A79),--ISNUMBER('Данные 1st'!$EV$2:$EV$317))</f>
        <v>5</v>
      </c>
      <c r="BU79">
        <f>SUMPRODUCT(--('Данные 1st'!$S$2:$S$317=$A79),--ISNUMBER('Данные 1st'!$EX$2:$EX$317))</f>
        <v>5</v>
      </c>
      <c r="BV79">
        <f>SUMPRODUCT(--('Данные 1st'!$S$2:$S$317=$A79),--ISNUMBER('Данные 1st'!$EY$2:$EY$317))</f>
        <v>5</v>
      </c>
      <c r="BW79">
        <f>SUMPRODUCT(--('Данные 1st'!$S$2:$S$317=$A79),--ISNUMBER('Данные 1st'!$EZ$2:$EZ$317))</f>
        <v>5</v>
      </c>
      <c r="BX79">
        <f>SUMPRODUCT(--('Данные 1st'!$S$2:$S$317=$A79),--ISNUMBER('Данные 1st'!$FA$2:$FA$317))</f>
        <v>5</v>
      </c>
      <c r="BY79">
        <f>SUMPRODUCT(--('Данные 1st'!$S$2:$S$317=$A79),--ISNUMBER('Данные 1st'!$FB$2:$FB$317))</f>
        <v>5</v>
      </c>
      <c r="BZ79">
        <f>SUMPRODUCT(--('Данные 1st'!$S$2:$S$317=$A79),--ISNUMBER('Данные 1st'!$FC$2:$FC$317))</f>
        <v>5</v>
      </c>
      <c r="CA79">
        <f>SUMPRODUCT(--('Данные 1st'!$S$2:$S$317=$A79),--ISNUMBER('Данные 1st'!$FE$2:$FE$317))</f>
        <v>5</v>
      </c>
      <c r="CB79">
        <f>SUMPRODUCT(--('Данные 1st'!$S$2:$S$317=$A79),--ISNUMBER('Данные 1st'!$FF$2:$FF$317))</f>
        <v>5</v>
      </c>
      <c r="CC79">
        <f>SUMPRODUCT(--('Данные 1st'!$S$2:$S$317=$A79),--ISNUMBER('Данные 1st'!$FI$2:$FI$317))</f>
        <v>5</v>
      </c>
      <c r="CD79">
        <f>SUMPRODUCT(--('Данные 1st'!$S$2:$S$317=$A79),--ISNUMBER('Данные 1st'!$FL$2:$FL$317))</f>
        <v>5</v>
      </c>
      <c r="CE79">
        <f>SUMPRODUCT(--('Данные 1st'!$S$2:$S$317=$A79),--ISNUMBER('Данные 1st'!$FM$2:$FM$317))</f>
        <v>5</v>
      </c>
      <c r="CF79">
        <f>SUMPRODUCT(--('Данные 1st'!$S$2:$S$317=$A79),--ISNUMBER('Данные 1st'!$FN$2:$FN$317))</f>
        <v>5</v>
      </c>
      <c r="CG79">
        <f>SUMPRODUCT(--('Данные 1st'!$S$2:$S$317=$A79),--ISNUMBER('Данные 1st'!$FO$2:$FO$317))</f>
        <v>4</v>
      </c>
      <c r="CH79">
        <f>SUMPRODUCT(--('Данные 1st'!$S$2:$S$317=$A79),--ISNUMBER('Данные 1st'!$FP$2:$FP$317))</f>
        <v>4</v>
      </c>
      <c r="CI79">
        <f>SUMPRODUCT(--('Данные 1st'!$S$2:$S$317=$A79),--ISNUMBER('Данные 1st'!$FS$2:$FS$317))</f>
        <v>1</v>
      </c>
      <c r="CJ79">
        <f>SUMPRODUCT(--('Данные 1st'!$S$2:$S$317=$A79),--ISNUMBER('Данные 1st'!$FT$2:$FT$317))</f>
        <v>1</v>
      </c>
      <c r="CK79">
        <f>SUMPRODUCT(--('Данные 1st'!$S$2:$S$317=$A79),--ISNUMBER('Данные 1st'!$FU$2:$FU$317))</f>
        <v>1</v>
      </c>
      <c r="CL79">
        <f>SUMPRODUCT(--('Данные 1st'!$S$2:$S$317=$A79),--ISNUMBER('Данные 1st'!$FV$2:$FV$317))</f>
        <v>0</v>
      </c>
      <c r="CM79">
        <f>SUMPRODUCT(--('Данные 1st'!$S$2:$S$317=$A79),--ISNUMBER('Данные 1st'!$FW$2:$FW$317))</f>
        <v>0</v>
      </c>
      <c r="CN79">
        <f>SUMPRODUCT(--('Данные 1st'!$S$2:$S$317=$A79),--ISNUMBER('Данные 1st'!$FZ$2:$FZ$317))</f>
        <v>0</v>
      </c>
      <c r="CO79">
        <f>SUMPRODUCT(--('Данные 1st'!$S$2:$S$317=$A79),--ISNUMBER('Данные 1st'!$GA$2:$GA$317))</f>
        <v>0</v>
      </c>
      <c r="CP79">
        <f>SUMPRODUCT(--('Данные 1st'!$S$2:$S$317=$A79),--ISNUMBER('Данные 1st'!$GB$2:$GB$317))</f>
        <v>0</v>
      </c>
      <c r="CQ79">
        <f>SUMPRODUCT(--('Данные 1st'!$S$2:$S$317=$A79),--ISNUMBER('Данные 1st'!$GH$2:$GH$317))</f>
        <v>0</v>
      </c>
      <c r="CR79">
        <f>SUMPRODUCT(--('Данные 1st'!$S$2:$S$317=$A79),--ISNUMBER('Данные 1st'!$GI$2:$GI$317))</f>
        <v>0</v>
      </c>
      <c r="CS79">
        <f>SUMPRODUCT(--('Данные 1st'!$S$2:$S$317=$A79),--ISNUMBER('Данные 1st'!$GJ$2:$GJ$317))</f>
        <v>0</v>
      </c>
      <c r="CT79">
        <f>SUMPRODUCT(--('Данные 1st'!$S$2:$S$317=$A79),--ISNUMBER('Данные 1st'!$GS$2:$GS$317))</f>
        <v>5</v>
      </c>
      <c r="CU79">
        <f>SUMPRODUCT(--('Данные 1st'!$S$2:$S$317=$A79),--ISNUMBER('Данные 1st'!$GT$2:$GT$317))</f>
        <v>5</v>
      </c>
      <c r="CV79">
        <f>SUMPRODUCT(--('Данные 1st'!$S$2:$S$317=$A79),--ISNUMBER('Данные 1st'!$GU$2:$GU$317))</f>
        <v>5</v>
      </c>
      <c r="CW79">
        <f>SUMPRODUCT(--('Данные 1st'!$S$2:$S$317=$A79),--ISNUMBER('Данные 1st'!$GV$2:$GV$317))</f>
        <v>0</v>
      </c>
      <c r="CX79">
        <f>SUMPRODUCT(--('Данные 1st'!$S$2:$S$317=$A79),--ISNUMBER('Данные 1st'!$GW$2:$GW$317))</f>
        <v>0</v>
      </c>
      <c r="CY79">
        <f>SUMPRODUCT(--('Данные 1st'!$S$2:$S$317=$A79),--ISNUMBER('Данные 1st'!$GZ$2:$GZ$317))</f>
        <v>0</v>
      </c>
      <c r="CZ79">
        <f>SUMPRODUCT(--('Данные 1st'!$S$2:$S$317=$A79),--ISNUMBER('Данные 1st'!$HA$2:$HA$317))</f>
        <v>0</v>
      </c>
      <c r="DA79">
        <f>SUMPRODUCT(--('Данные 1st'!$S$2:$S$317=$A79),--ISNUMBER('Данные 1st'!$HB$2:$HB$317))</f>
        <v>0</v>
      </c>
      <c r="DB79">
        <f>SUMPRODUCT(--('Данные 1st'!$S$2:$S$317=$A79),--ISNUMBER('Данные 1st'!$HC$2:$HC$317))</f>
        <v>5</v>
      </c>
      <c r="DC79">
        <f>SUMPRODUCT(--('Данные 1st'!$S$2:$S$317=$A79),--ISNUMBER('Данные 1st'!$HD$2:$HD$317))</f>
        <v>5</v>
      </c>
      <c r="DD79">
        <f>SUMPRODUCT(--('Данные 1st'!$S$2:$S$317=$A79),--ISNUMBER('Данные 1st'!$HE$2:$HE$317))</f>
        <v>5</v>
      </c>
      <c r="DE79">
        <f>SUMPRODUCT(--('Данные 1st'!$S$2:$S$317=$A79),--ISNUMBER('Данные 1st'!$HF$2:$HF$317))</f>
        <v>5</v>
      </c>
      <c r="DF79">
        <f>SUMPRODUCT(--('Данные 1st'!$S$2:$S$317=$A79),--ISNUMBER('Данные 1st'!$HG$2:$HG$317))</f>
        <v>5</v>
      </c>
      <c r="DG79">
        <f>SUMPRODUCT(--('Данные 1st'!$S$2:$S$317=$A79),--ISNUMBER('Данные 1st'!$HH$2:$HH$317))</f>
        <v>5</v>
      </c>
      <c r="DH79">
        <f>SUMPRODUCT(--('Данные 1st'!$S$2:$S$317=$A79),--ISNUMBER('Данные 1st'!$HI$2:$HI$317))</f>
        <v>5</v>
      </c>
      <c r="DI79">
        <f>SUMPRODUCT(--('Данные 1st'!$S$2:$S$317=$A79),--ISNUMBER('Данные 1st'!$HJ$2:$HJ$317))</f>
        <v>5</v>
      </c>
      <c r="DJ79">
        <f>SUMPRODUCT(--('Данные 1st'!$S$2:$S$317=$A79),--ISNUMBER('Данные 1st'!$HK$2:$HK$317))</f>
        <v>5</v>
      </c>
      <c r="DK79">
        <f>SUMPRODUCT(--('Данные 1st'!$S$2:$S$317=$A79),--ISNUMBER('Данные 1st'!$HL$2:$HL$317))</f>
        <v>5</v>
      </c>
      <c r="DL79">
        <f>SUMPRODUCT(--('Данные 1st'!$S$2:$S$317=$A79),--ISNUMBER('Данные 1st'!$HM$2:$HM$317))</f>
        <v>5</v>
      </c>
      <c r="DM79">
        <f>SUMPRODUCT(--('Данные 1st'!$S$2:$S$317=$A79),--ISNUMBER('Данные 1st'!$HN$2:$HN$317))</f>
        <v>5</v>
      </c>
      <c r="DN79">
        <f>SUMPRODUCT(--('Данные 1st'!$S$2:$S$317=$A79),--ISNUMBER('Данные 1st'!$HO$2:$HO$317))</f>
        <v>5</v>
      </c>
      <c r="DO79">
        <f>SUMPRODUCT(--('Данные 1st'!$S$2:$S$317=$A79),--ISNUMBER('Данные 1st'!$HP$2:$HP$317))</f>
        <v>5</v>
      </c>
      <c r="DP79">
        <f>SUMPRODUCT(--('Данные 1st'!$S$2:$S$317=$A79),--ISNUMBER('Данные 1st'!$HQ$2:$HQ$317))</f>
        <v>5</v>
      </c>
      <c r="DQ79">
        <f>SUMPRODUCT(--('Данные 1st'!$S$2:$S$317=$A79),--ISNUMBER('Данные 1st'!$HR$2:$HR$317))</f>
        <v>5</v>
      </c>
      <c r="DR79">
        <f>SUMPRODUCT(--('Данные 1st'!$S$2:$S$317=$A79),--ISNUMBER('Данные 1st'!$HS$2:$HS$317))</f>
        <v>5</v>
      </c>
      <c r="DS79">
        <f>SUMPRODUCT(--('Данные 1st'!$S$2:$S$317=$A79),--ISNUMBER('Данные 1st'!$HT$2:$HT$317))</f>
        <v>5</v>
      </c>
      <c r="DT79">
        <f>SUMPRODUCT(--('Данные 1st'!$S$2:$S$317=$A79),--ISNUMBER('Данные 1st'!$HU$2:$HU$317))</f>
        <v>5</v>
      </c>
      <c r="DU79">
        <f>SUMPRODUCT(--('Данные 1st'!$S$2:$S$317=$A79),--ISNUMBER('Данные 1st'!$HW$2:$HW$317))</f>
        <v>5</v>
      </c>
      <c r="DV79">
        <f>SUMPRODUCT(--('Данные 1st'!$S$2:$S$317=$A79),--ISNUMBER('Данные 1st'!$HX$2:$HX$317))</f>
        <v>5</v>
      </c>
      <c r="DW79">
        <f>SUMPRODUCT(--('Данные 1st'!$S$2:$S$317=$A79),--ISNUMBER('Данные 1st'!$HY$2:$HY$317))</f>
        <v>5</v>
      </c>
      <c r="DX79">
        <f>SUMPRODUCT(--('Данные 1st'!$S$2:$S$317=$A79),--ISNUMBER('Данные 1st'!$IA$2:$IA$317))</f>
        <v>5</v>
      </c>
      <c r="DY79">
        <f>SUMPRODUCT(--('Данные 1st'!$S$2:$S$317=$A79),--ISNUMBER('Данные 1st'!$IB$2:$IB$317))</f>
        <v>5</v>
      </c>
      <c r="DZ79">
        <f>SUMPRODUCT(--('Данные 1st'!$S$2:$S$317=$A79),--ISNUMBER('Данные 1st'!$IC$2:$IC$317))</f>
        <v>5</v>
      </c>
      <c r="EA79">
        <f>SUMPRODUCT(--('Данные 1st'!$S$2:$S$317=$A79),--ISNUMBER('Данные 1st'!$ID$2:$ID$317))</f>
        <v>5</v>
      </c>
      <c r="EB79">
        <f>SUMPRODUCT(--('Данные 1st'!$S$2:$S$317=$A79),--ISNUMBER('Данные 1st'!$IE$2:$IE$317))</f>
        <v>5</v>
      </c>
      <c r="EC79">
        <f>SUMPRODUCT(--('Данные 1st'!$S$2:$S$317=$A79),--ISNUMBER('Данные 1st'!$IF$2:$IF$317))</f>
        <v>5</v>
      </c>
      <c r="ED79">
        <f>SUMPRODUCT(--('Данные 1st'!$S$2:$S$317=$A79),--ISNUMBER('Данные 1st'!$IP$2:$IP$317))</f>
        <v>5</v>
      </c>
      <c r="EE79">
        <f>SUMPRODUCT(--('Данные 1st'!$S$2:$S$317=$A79),--ISNUMBER('Данные 1st'!$IV$2:$IV$317))</f>
        <v>5</v>
      </c>
      <c r="EF79">
        <f>SUMPRODUCT(--('Данные 1st'!$S$2:$S$317=$A79),--ISNUMBER('Данные 1st'!$IW$2:$IW$317))</f>
        <v>5</v>
      </c>
      <c r="EG79">
        <f>SUMPRODUCT(--('Данные 1st'!$S$2:$S$317=$A79),--ISNUMBER('Данные 1st'!$IX$2:$IX$317))</f>
        <v>0</v>
      </c>
      <c r="EH79">
        <f>SUMPRODUCT(--('Данные 1st'!$S$2:$S$317=$A79),--ISNUMBER('Данные 1st'!$IY$2:$IY$317))</f>
        <v>0</v>
      </c>
      <c r="EI79">
        <f>SUMPRODUCT(--('Данные 1st'!$S$2:$S$317=$A79),--ISNUMBER('Данные 1st'!$JD$2:$JD$317))</f>
        <v>5</v>
      </c>
      <c r="EJ79">
        <f>SUMPRODUCT(--('Данные 1st'!$S$2:$S$317=$A79),--ISNUMBER('Данные 1st'!$JE$2:$JE$317))</f>
        <v>5</v>
      </c>
      <c r="EK79">
        <f>SUMPRODUCT(--('Данные 1st'!$S$2:$S$317=$A79),--ISNUMBER('Данные 1st'!$JF$2:$JF$317))</f>
        <v>5</v>
      </c>
      <c r="EL79">
        <f>SUMPRODUCT(--('Данные 1st'!$S$2:$S$317=$A79),--ISNUMBER('Данные 1st'!$JG$2:$JG$317))</f>
        <v>5</v>
      </c>
      <c r="EM79">
        <f>SUMPRODUCT(--('Данные 1st'!$S$2:$S$317=$A79),--ISNUMBER('Данные 1st'!$JH$2:$JH$317))</f>
        <v>5</v>
      </c>
      <c r="EN79">
        <f>SUMPRODUCT(--('Данные 1st'!$S$2:$S$317=$A79),--ISNUMBER('Данные 1st'!$JJ$2:$JJ$317))</f>
        <v>5</v>
      </c>
      <c r="EO79">
        <f>SUMPRODUCT(--('Данные 1st'!$S$2:$S$317=$A79),--ISNUMBER('Данные 1st'!$JK$2:$JK$317))</f>
        <v>5</v>
      </c>
      <c r="EP79">
        <f>SUMPRODUCT(--('Данные 1st'!$S$2:$S$317=$A79),--ISNUMBER('Данные 1st'!$JL$2:$JL$317))</f>
        <v>0</v>
      </c>
      <c r="EQ79">
        <f>SUMPRODUCT(--('Данные 1st'!$S$2:$S$317=$A79),--ISNUMBER('Данные 1st'!$JM$2:$JM$317))</f>
        <v>0</v>
      </c>
      <c r="ER79">
        <f>SUMPRODUCT(--('Данные 1st'!$S$2:$S$317=$A79),--ISNUMBER('Данные 1st'!$JN$2:$JN$317))</f>
        <v>5</v>
      </c>
      <c r="ES79">
        <f>SUMPRODUCT(--('Данные 1st'!$S$2:$S$317=$A79),--ISNUMBER('Данные 1st'!$JO$2:$JO$317))</f>
        <v>5</v>
      </c>
      <c r="ET79">
        <f>SUMPRODUCT(--('Данные 1st'!$S$2:$S$317=$A79),--ISNUMBER('Данные 1st'!$JP$2:$JP$317))</f>
        <v>5</v>
      </c>
      <c r="EU79">
        <f>SUMPRODUCT(--('Данные 1st'!$S$2:$S$317=$A79),--ISNUMBER('Данные 1st'!$JQ$2:$JQ$317))</f>
        <v>5</v>
      </c>
      <c r="EV79">
        <f>SUMPRODUCT(--('Данные 1st'!$S$2:$S$317=$A79),--ISNUMBER('Данные 1st'!$JR$2:$JR$317))</f>
        <v>5</v>
      </c>
      <c r="EW79">
        <f>SUMPRODUCT(--('Данные 1st'!$S$2:$S$317=$A79),--ISNUMBER('Данные 1st'!$JS$2:$JS$317))</f>
        <v>5</v>
      </c>
      <c r="EX79">
        <f>SUMPRODUCT(--('Данные 1st'!$S$2:$S$317=$A79),--ISNUMBER('Данные 1st'!$JT$2:$JT$317))</f>
        <v>0</v>
      </c>
      <c r="EY79">
        <f>SUMPRODUCT(--('Данные 1st'!$S$2:$S$317=$A79),--ISNUMBER('Данные 1st'!$JU$2:$JU$317))</f>
        <v>0</v>
      </c>
      <c r="EZ79">
        <f>SUMPRODUCT(--('Данные 1st'!$S$2:$S$317=$A79),--ISNUMBER('Данные 1st'!$JV$2:$JV$317))</f>
        <v>5</v>
      </c>
      <c r="FA79">
        <f>SUMPRODUCT(--('Данные 1st'!$S$2:$S$317=$A79),--ISNUMBER('Данные 1st'!$JW$2:$JW$317))</f>
        <v>0</v>
      </c>
      <c r="FB79">
        <f>SUMPRODUCT(--('Данные 1st'!$S$2:$S$317=$A79),--ISNUMBER('Данные 1st'!$JX$2:$JX$317))</f>
        <v>5</v>
      </c>
      <c r="FC79">
        <f>SUMPRODUCT(--('Данные 1st'!$S$2:$S$317=$A79),--ISNUMBER('Данные 1st'!$JY$2:$JY$317))</f>
        <v>0</v>
      </c>
      <c r="FD79">
        <f>SUMPRODUCT(--('Данные 1st'!$S$2:$S$317=$A79),--ISNUMBER('Данные 1st'!$JZ$2:$JZ$317))</f>
        <v>0</v>
      </c>
      <c r="FE79">
        <f>SUMPRODUCT(--('Данные 1st'!$S$2:$S$317=$A79),--ISNUMBER('Данные 1st'!$KA$2:$KA$317))</f>
        <v>5</v>
      </c>
      <c r="FF79">
        <f>SUMPRODUCT(--('Данные 1st'!$S$2:$S$317=$A79),--ISNUMBER('Данные 1st'!$KB$2:$KB$317))</f>
        <v>5</v>
      </c>
      <c r="FG79">
        <f>SUMPRODUCT(--('Данные 1st'!$S$2:$S$317=$A79),--ISNUMBER('Данные 1st'!$KC$2:$KC$317))</f>
        <v>5</v>
      </c>
      <c r="FH79">
        <f>SUMPRODUCT(--('Данные 1st'!$S$2:$S$317=$A79),--ISNUMBER('Данные 1st'!$KD$2:$KD$317))</f>
        <v>5</v>
      </c>
      <c r="FI79">
        <f>SUMPRODUCT(--('Данные 1st'!$S$2:$S$317=$A79),--ISNUMBER('Данные 1st'!$KE$2:$KE$317))</f>
        <v>0</v>
      </c>
      <c r="FJ79">
        <f>SUMPRODUCT(--('Данные 1st'!$S$2:$S$317=$A79),--ISNUMBER('Данные 1st'!$KF$2:$KF$317))</f>
        <v>5</v>
      </c>
      <c r="FK79">
        <f>SUMPRODUCT(--('Данные 1st'!$S$2:$S$317=$A79),--ISNUMBER('Данные 1st'!$KG$2:$KG$317))</f>
        <v>5</v>
      </c>
      <c r="FL79">
        <f>SUMPRODUCT(--('Данные 1st'!$S$2:$S$317=$A79),--ISNUMBER('Данные 1st'!$KH$2:$KH$317))</f>
        <v>5</v>
      </c>
      <c r="FM79">
        <f>SUMPRODUCT(--('Данные 1st'!$S$2:$S$317=$A79),--ISNUMBER('Данные 1st'!$KI$2:$KI$317))</f>
        <v>5</v>
      </c>
      <c r="FN79">
        <f>SUMPRODUCT(--('Данные 1st'!$S$2:$S$317=$A79),--ISNUMBER('Данные 1st'!$KJ$2:$KJ$317))</f>
        <v>5</v>
      </c>
      <c r="FO79">
        <f>SUMPRODUCT(--('Данные 1st'!$S$2:$S$317=$A79),--ISNUMBER('Данные 1st'!$KK$2:$KK$317))</f>
        <v>5</v>
      </c>
      <c r="FP79">
        <f>SUMPRODUCT(--('Данные 1st'!$S$2:$S$317=$A79),--ISNUMBER('Данные 1st'!$KL$2:$KL$317))</f>
        <v>5</v>
      </c>
      <c r="FQ79">
        <f>SUMPRODUCT(--('Данные 1st'!$S$2:$S$317=$A79),--ISNUMBER('Данные 1st'!$KM$2:$KM$317))</f>
        <v>5</v>
      </c>
      <c r="FR79">
        <f>SUMPRODUCT(--('Данные 1st'!$S$2:$S$317=$A79),--ISNUMBER('Данные 1st'!$KN$2:$KN$317))</f>
        <v>5</v>
      </c>
      <c r="FS79">
        <f>SUMPRODUCT(--('Данные 1st'!$S$2:$S$317=$A79),--ISNUMBER('Данные 1st'!$KR$2:$KR$317))</f>
        <v>5</v>
      </c>
      <c r="FT79">
        <f>SUMPRODUCT(--('Данные 1st'!$S$2:$S$317=$A79),--ISNUMBER('Данные 1st'!$KS$2:$KS$317))</f>
        <v>5</v>
      </c>
      <c r="FU79">
        <f>SUMPRODUCT(--('Данные 1st'!$S$2:$S$317=$A79),--ISNUMBER('Данные 1st'!$KT$2:$KT$317))</f>
        <v>5</v>
      </c>
      <c r="FV79">
        <f>SUMPRODUCT(--('Данные 1st'!$S$2:$S$317=$A79),--ISNUMBER('Данные 1st'!$KV$2:$KV$317))</f>
        <v>0</v>
      </c>
      <c r="FW79">
        <f>SUMPRODUCT(--('Данные 1st'!$S$2:$S$317=$A79),--ISNUMBER('Данные 1st'!$KW$2:$KW$317))</f>
        <v>0</v>
      </c>
      <c r="FX79">
        <f>SUMPRODUCT(--('Данные 1st'!$S$2:$S$317=$A79),--ISNUMBER('Данные 1st'!$KX$2:$KX$317))</f>
        <v>0</v>
      </c>
      <c r="FY79">
        <f>SUMPRODUCT(--('Данные 1st'!$S$2:$S$317=$A79),--ISNUMBER('Данные 1st'!$KY$2:$KY$317))</f>
        <v>0</v>
      </c>
      <c r="FZ79">
        <f>SUMPRODUCT(--('Данные 1st'!$S$2:$S$317=$A79),--ISNUMBER('Данные 1st'!$KZ$2:$KZ$317))</f>
        <v>0</v>
      </c>
      <c r="GA79">
        <f>SUMPRODUCT(--('Данные 1st'!$S$2:$S$317=$A79),--ISNUMBER('Данные 1st'!$LA$2:$LA$317))</f>
        <v>0</v>
      </c>
      <c r="GB79">
        <f>SUMPRODUCT(--('Данные 1st'!$S$2:$S$317=$A79),--ISNUMBER('Данные 1st'!$LB$2:$LB$317))</f>
        <v>0</v>
      </c>
      <c r="GC79">
        <f>SUMPRODUCT(--('Данные 1st'!$S$2:$S$317=$A79),--ISNUMBER('Данные 1st'!$LC$2:$LC$317))</f>
        <v>0</v>
      </c>
      <c r="GD79">
        <f>SUMPRODUCT(--('Данные 1st'!$S$2:$S$317=$A79),--ISNUMBER('Данные 1st'!$LD$2:$LD$317))</f>
        <v>0</v>
      </c>
      <c r="GE79">
        <f>SUMPRODUCT(--('Данные 1st'!$S$2:$S$317=$A79),--ISNUMBER('Данные 1st'!$LE$2:$LE$317))</f>
        <v>0</v>
      </c>
      <c r="GF79">
        <f>SUMPRODUCT(--('Данные 1st'!$S$2:$S$317=$A79),--ISNUMBER('Данные 1st'!$LF$2:$LF$317))</f>
        <v>0</v>
      </c>
      <c r="GG79">
        <f>SUMPRODUCT(--('Данные 1st'!$S$2:$S$317=$A79),--ISNUMBER('Данные 1st'!$LG$2:$LG$317))</f>
        <v>0</v>
      </c>
      <c r="GH79">
        <f>SUMPRODUCT(--('Данные 1st'!$S$2:$S$317=$A79),--ISNUMBER('Данные 1st'!$LH$2:$LH$317))</f>
        <v>0</v>
      </c>
      <c r="GI79">
        <f>SUMPRODUCT(--('Данные 1st'!$S$2:$S$317=$A79),--ISNUMBER('Данные 1st'!$LI$2:$LI$317))</f>
        <v>0</v>
      </c>
      <c r="GJ79">
        <f>SUMPRODUCT(--('Данные 1st'!$S$2:$S$317=$A79),--ISNUMBER('Данные 1st'!$LJ$2:$LJ$317))</f>
        <v>0</v>
      </c>
      <c r="GK79">
        <f>SUMPRODUCT(--('Данные 1st'!$S$2:$S$317=$A79),--ISNUMBER('Данные 1st'!$LK$2:$LK$317))</f>
        <v>5</v>
      </c>
      <c r="GL79">
        <f>SUMPRODUCT(--('Данные 1st'!$S$2:$S$317=$A79),--ISNUMBER('Данные 1st'!$LV$2:$LV$317))</f>
        <v>0</v>
      </c>
      <c r="GM79">
        <f>SUMPRODUCT(--('Данные 1st'!$S$2:$S$317=$A79),--ISNUMBER('Данные 1st'!$LW$2:$LW$317))</f>
        <v>0</v>
      </c>
      <c r="GN79">
        <f>SUMPRODUCT(--('Данные 1st'!$S$2:$S$317=$A79),--ISNUMBER('Данные 1st'!$LX$2:$LX$317))</f>
        <v>0</v>
      </c>
      <c r="GO79">
        <f>SUMPRODUCT(--('Данные 1st'!$S$2:$S$317=$A79),--ISNUMBER('Данные 1st'!$LY$2:$LY$317))</f>
        <v>0</v>
      </c>
      <c r="GP79">
        <f>SUMPRODUCT(--('Данные 1st'!$S$2:$S$317=$A79),--ISNUMBER('Данные 1st'!$LZ$2:$LZ$317))</f>
        <v>0</v>
      </c>
      <c r="GQ79">
        <f>SUMPRODUCT(--('Данные 1st'!$S$2:$S$317=$A79),--ISNUMBER('Данные 1st'!$PG$2:$PG$317))</f>
        <v>5</v>
      </c>
      <c r="GR79">
        <f>SUMPRODUCT(--('Данные 1st'!$S$2:$S$317=$A79),--ISNUMBER('Данные 1st'!$PX$2:$PX$317))</f>
        <v>5</v>
      </c>
      <c r="GS79">
        <f>SUMPRODUCT(--('Данные 1st'!$S$2:$S$317=$A79),--ISNUMBER('Данные 1st'!$PY$2:$PY$317))</f>
        <v>5</v>
      </c>
      <c r="GT79">
        <f>SUMPRODUCT(--('Данные 1st'!$S$2:$S$317=$A79),--ISNUMBER('Данные 1st'!$QA$2:$QA$317))</f>
        <v>5</v>
      </c>
      <c r="GU79">
        <f>SUMPRODUCT(--('Данные 1st'!$S$2:$S$317=$A79),--ISNUMBER('Данные 1st'!$QB$2:$QB$317))</f>
        <v>5</v>
      </c>
      <c r="GV79">
        <f>SUMPRODUCT(--('Данные 1st'!$S$2:$S$317=$A79),--ISNUMBER('Данные 1st'!$QC$2:$QC$317))</f>
        <v>5</v>
      </c>
      <c r="GW79">
        <f>SUMPRODUCT(--('Данные 1st'!$S$2:$S$317=$A79),--ISNUMBER('Данные 1st'!$QD$2:$QD$317))</f>
        <v>5</v>
      </c>
      <c r="GX79">
        <f>SUMPRODUCT(--('Данные 1st'!$S$2:$S$317=$A79),--ISNUMBER('Данные 1st'!$QF$2:$QF$317))</f>
        <v>5</v>
      </c>
      <c r="GY79">
        <f>SUMPRODUCT(--('Данные 1st'!$S$2:$S$317=$A79),--ISNUMBER('Данные 1st'!$QG$2:$QG$317))</f>
        <v>5</v>
      </c>
      <c r="GZ79">
        <f>SUMPRODUCT(--('Данные 1st'!$S$2:$S$317=$A79),--ISNUMBER('Данные 1st'!$QH$2:$QH$317))</f>
        <v>5</v>
      </c>
      <c r="HA79">
        <f>SUMPRODUCT(--('Данные 1st'!$S$2:$S$317=$A79),--ISNUMBER('Данные 1st'!$QI$2:$QI$317))</f>
        <v>5</v>
      </c>
      <c r="HB79">
        <f>SUMPRODUCT(--('Данные 1st'!$S$2:$S$317=$A79),--ISNUMBER('Данные 1st'!$QK$2:$QK$317))</f>
        <v>4</v>
      </c>
      <c r="HC79">
        <f>SUMPRODUCT(--('Данные 1st'!$S$2:$S$317=$A79),--ISNUMBER('Данные 1st'!$QL$2:$QL$317))</f>
        <v>5</v>
      </c>
      <c r="HD79">
        <f>SUMPRODUCT(--('Данные 1st'!$S$2:$S$317=$A79),--ISNUMBER('Данные 1st'!$QM$2:$QM$317))</f>
        <v>5</v>
      </c>
      <c r="HE79">
        <f>SUMPRODUCT(--('Данные 1st'!$S$2:$S$317=$A79),--ISNUMBER('Данные 1st'!$QN$2:$QN$317))</f>
        <v>5</v>
      </c>
      <c r="HF79">
        <f>SUMPRODUCT(--('Данные 1st'!$S$2:$S$317=$A79),--ISNUMBER('Данные 1st'!$QP$2:$QP$317))</f>
        <v>5</v>
      </c>
      <c r="HG79">
        <f>SUMPRODUCT(--('Данные 1st'!$S$2:$S$317=$A79),--ISNUMBER('Данные 1st'!$QQ$2:$QQ$317))</f>
        <v>5</v>
      </c>
      <c r="HH79">
        <f>SUMPRODUCT(--('Данные 1st'!$S$2:$S$317=$A79),--ISNUMBER('Данные 1st'!$QR$2:$QR$317))</f>
        <v>5</v>
      </c>
      <c r="HI79">
        <f>SUMPRODUCT(--('Данные 1st'!$S$2:$S$317=$A79),--ISNUMBER('Данные 1st'!$QS$2:$QS$317))</f>
        <v>5</v>
      </c>
      <c r="HJ79">
        <f>SUMPRODUCT(--('Данные 1st'!$S$2:$S$317=$A79),--ISNUMBER('Данные 1st'!$QU$2:$QU$317))</f>
        <v>5</v>
      </c>
      <c r="HK79">
        <f>SUMPRODUCT(--('Данные 1st'!$S$2:$S$317=$A79),--ISNUMBER('Данные 1st'!$QV$2:$QV$317))</f>
        <v>5</v>
      </c>
      <c r="HL79">
        <f>SUMPRODUCT(--('Данные 1st'!$S$2:$S$317=$A79),--ISNUMBER('Данные 1st'!$QW$2:$QW$317))</f>
        <v>5</v>
      </c>
      <c r="HM79">
        <f>SUMPRODUCT(--('Данные 1st'!$S$2:$S$317=$A79),--ISNUMBER('Данные 1st'!$QX$2:$QX$317))</f>
        <v>5</v>
      </c>
      <c r="HN79">
        <f>SUMPRODUCT(--('Данные 1st'!$S$2:$S$317=$A79),--ISNUMBER('Данные 1st'!$QZ$2:$QZ$317))</f>
        <v>5</v>
      </c>
      <c r="HO79">
        <f>SUMPRODUCT(--('Данные 1st'!$S$2:$S$317=$A79),--ISNUMBER('Данные 1st'!$RA$2:$RA$317))</f>
        <v>5</v>
      </c>
      <c r="HP79">
        <f>SUMPRODUCT(--('Данные 1st'!$S$2:$S$317=$A79),--ISNUMBER('Данные 1st'!$RB$2:$RB$317))</f>
        <v>5</v>
      </c>
      <c r="HQ79">
        <f>SUMPRODUCT(--('Данные 1st'!$S$2:$S$317=$A79),--ISNUMBER('Данные 1st'!$RD$2:$RD$317))</f>
        <v>0</v>
      </c>
      <c r="HR79">
        <f>SUMPRODUCT(--('Данные 1st'!$S$2:$S$317=$A79),--ISNUMBER('Данные 1st'!$RE$2:$RE$317))</f>
        <v>5</v>
      </c>
      <c r="HS79">
        <f>SUMPRODUCT(--('Данные 1st'!$S$2:$S$317=$A79),--ISNUMBER('Данные 1st'!$RF$2:$RF$317))</f>
        <v>5</v>
      </c>
      <c r="HT79">
        <f>SUMPRODUCT(--('Данные 1st'!$S$2:$S$317=$A79),--ISNUMBER('Данные 1st'!$RG$2:$RG$317))</f>
        <v>0</v>
      </c>
      <c r="HU79">
        <f>SUMPRODUCT(--('Данные 1st'!$S$2:$S$317=$A79),--ISNUMBER('Данные 1st'!$RH$2:$RH$317))</f>
        <v>5</v>
      </c>
      <c r="HV79">
        <f>SUMPRODUCT(--('Данные 1st'!$S$2:$S$317=$A79),--ISNUMBER('Данные 1st'!$RI$2:$RI$317))</f>
        <v>0</v>
      </c>
      <c r="HW79">
        <f>SUMPRODUCT(--('Данные 1st'!$S$2:$S$317=$A79),--ISNUMBER('Данные 1st'!$RJ$2:$RJ$317))</f>
        <v>5</v>
      </c>
      <c r="HX79">
        <f>SUMPRODUCT(--('Данные 1st'!$S$2:$S$317=$A79),--ISNUMBER('Данные 1st'!$RK$2:$RK$317))</f>
        <v>4</v>
      </c>
      <c r="HY79">
        <f>SUMPRODUCT(--('Данные 1st'!$S$2:$S$317=$A79),--ISNUMBER('Данные 1st'!$RL$2:$RL$317))</f>
        <v>5</v>
      </c>
      <c r="HZ79">
        <f>SUMPRODUCT(--('Данные 1st'!$S$2:$S$317=$A79),--ISNUMBER('Данные 1st'!$RM$2:$RM$317))</f>
        <v>5</v>
      </c>
      <c r="IA79">
        <f>SUMPRODUCT(--('Данные 1st'!$S$2:$S$317=$A79),--ISNUMBER('Данные 1st'!$RN$2:$RN$317))</f>
        <v>0</v>
      </c>
      <c r="IB79">
        <f>SUMPRODUCT(--('Данные 1st'!$S$2:$S$317=$A79),--ISNUMBER('Данные 1st'!$RO$2:$RO$317))</f>
        <v>5</v>
      </c>
      <c r="IC79">
        <f>SUMPRODUCT(--('Данные 1st'!$S$2:$S$317=$A79),--ISNUMBER('Данные 1st'!$RP$2:$RP$317))</f>
        <v>4</v>
      </c>
      <c r="ID79">
        <f>SUMPRODUCT(--('Данные 1st'!$S$2:$S$317=$A79),--ISNUMBER('Данные 1st'!$RQ$2:$RQ$317))</f>
        <v>5</v>
      </c>
      <c r="IE79">
        <f>SUMPRODUCT(--('Данные 1st'!$S$2:$S$317=$A79),--ISNUMBER('Данные 1st'!$RR$2:$RR$317))</f>
        <v>5</v>
      </c>
      <c r="IF79">
        <f>SUMPRODUCT(--('Данные 1st'!$S$2:$S$317=$A79),--ISNUMBER('Данные 1st'!$RS$2:$RS$317))</f>
        <v>0</v>
      </c>
      <c r="IG79">
        <f>SUMPRODUCT(--('Данные 1st'!$S$2:$S$317=$A79),--ISNUMBER('Данные 1st'!$RT$2:$RT$317))</f>
        <v>5</v>
      </c>
      <c r="IH79">
        <f>SUMPRODUCT(--('Данные 1st'!$S$2:$S$317=$A79),--ISNUMBER('Данные 1st'!$RU$2:$RU$317))</f>
        <v>5</v>
      </c>
      <c r="II79">
        <f>SUMPRODUCT(--('Данные 1st'!$S$2:$S$317=$A79),--ISNUMBER('Данные 1st'!$RX$2:$RX$317))</f>
        <v>5</v>
      </c>
      <c r="IJ79">
        <f>SUMPRODUCT(--('Данные 1st'!$S$2:$S$317=$A79),--ISNUMBER('Данные 1st'!$RY$2:$RY$317))</f>
        <v>5</v>
      </c>
      <c r="IK79">
        <f>SUMPRODUCT(--('Данные 1st'!$S$2:$S$317=$A79),--ISNUMBER('Данные 1st'!$SA$2:$SA$317))</f>
        <v>5</v>
      </c>
      <c r="IL79">
        <f>SUMPRODUCT(--('Данные 1st'!$S$2:$S$317=$A79),--ISNUMBER('Данные 1st'!$SD$2:$SD$317))</f>
        <v>5</v>
      </c>
      <c r="IM79">
        <f>SUMPRODUCT(--('Данные 1st'!$S$2:$S$317=$A79),--ISNUMBER('Данные 1st'!$SG$2:$SG$317))</f>
        <v>5</v>
      </c>
      <c r="IN79">
        <f>SUMPRODUCT(--('Данные 1st'!$S$2:$S$317=$A79),--ISNUMBER('Данные 1st'!$SH$2:$SH$317))</f>
        <v>5</v>
      </c>
      <c r="IO79">
        <f>SUMPRODUCT(--('Данные 1st'!$S$2:$S$317=$A79),--ISNUMBER('Данные 1st'!$SI$2:$SI$317))</f>
        <v>5</v>
      </c>
      <c r="IP79">
        <f>SUMPRODUCT(--('Данные 1st'!$S$2:$S$317=$A79),--ISNUMBER('Данные 1st'!$SJ$2:$SJ$317))</f>
        <v>5</v>
      </c>
      <c r="IQ79">
        <f>SUMPRODUCT(--('Данные 1st'!$S$2:$S$317=$A79),--ISNUMBER('Данные 1st'!$SK$2:$SK$317))</f>
        <v>5</v>
      </c>
      <c r="IR79">
        <f>SUMPRODUCT(--('Данные 1st'!$S$2:$S$317=$A79),--ISNUMBER('Данные 1st'!$SL$2:$SL$317))</f>
        <v>5</v>
      </c>
      <c r="IS79">
        <f>SUMPRODUCT(--('Данные 1st'!$S$2:$S$317=$A79),--ISNUMBER('Данные 1st'!$SM$2:$SM$317))</f>
        <v>5</v>
      </c>
      <c r="IT79">
        <f>SUMPRODUCT(--('Данные 1st'!$S$2:$S$317=$A79),--ISNUMBER('Данные 1st'!$SN$2:$SN$317))</f>
        <v>5</v>
      </c>
      <c r="IU79">
        <f>SUMPRODUCT(--('Данные 1st'!$S$2:$S$317=$A79),--ISNUMBER('Данные 1st'!$SO$2:$SO$317))</f>
        <v>5</v>
      </c>
      <c r="IV79">
        <f>SUMPRODUCT(--('Данные 1st'!$S$2:$S$317=$A79),--ISNUMBER('Данные 1st'!$SP$2:$SP$317))</f>
        <v>5</v>
      </c>
      <c r="IW79">
        <f>SUMPRODUCT(--('Данные 1st'!$S$2:$S$317=$A79),--ISNUMBER('Данные 1st'!$SQ$2:$SQ$317))</f>
        <v>5</v>
      </c>
      <c r="IX79">
        <f>SUMPRODUCT(--('Данные 1st'!$S$2:$S$317=$A79),--ISNUMBER('Данные 1st'!$SR$2:$SR$317))</f>
        <v>5</v>
      </c>
      <c r="IY79">
        <f>SUMPRODUCT(--('Данные 1st'!$S$2:$S$317=$A79),--ISNUMBER('Данные 1st'!$SS$2:$SS$317))</f>
        <v>5</v>
      </c>
      <c r="IZ79">
        <f>SUMPRODUCT(--('Данные 1st'!$S$2:$S$317=$A79),--ISNUMBER('Данные 1st'!$ST$2:$ST$317))</f>
        <v>5</v>
      </c>
      <c r="JA79">
        <f>SUMPRODUCT(--('Данные 1st'!$S$2:$S$317=$A79),--ISNUMBER('Данные 1st'!$SU$2:$SU$317))</f>
        <v>5</v>
      </c>
      <c r="JB79">
        <f>SUMPRODUCT(--('Данные 1st'!$S$2:$S$317=$A79),--ISNUMBER('Данные 1st'!$SV$2:$SV$317))</f>
        <v>5</v>
      </c>
      <c r="JC79">
        <f>SUMPRODUCT(--('Данные 1st'!$S$2:$S$317=$A79),--ISNUMBER('Данные 1st'!$SW$2:$SW$317))</f>
        <v>5</v>
      </c>
      <c r="JD79">
        <f>SUMPRODUCT(--('Данные 1st'!$S$2:$S$317=$A79),--ISNUMBER('Данные 1st'!$SX$2:$SX$317))</f>
        <v>5</v>
      </c>
      <c r="JE79">
        <f>SUMPRODUCT(--('Данные 1st'!$S$2:$S$317=$A79),--ISNUMBER('Данные 1st'!$SY$2:$SY$317))</f>
        <v>4</v>
      </c>
      <c r="JF79">
        <f>SUMPRODUCT(--('Данные 1st'!$S$2:$S$317=$A79),--ISNUMBER('Данные 1st'!$SZ$2:$SZ$317))</f>
        <v>5</v>
      </c>
      <c r="JG79">
        <f>SUMPRODUCT(--('Данные 1st'!$S$2:$S$317=$A79),--ISNUMBER('Данные 1st'!$TA$2:$TA$317))</f>
        <v>0</v>
      </c>
      <c r="JH79">
        <f>SUMPRODUCT(--('Данные 1st'!$S$2:$S$317=$A79),--ISNUMBER('Данные 1st'!$TB$2:$TB$317))</f>
        <v>5</v>
      </c>
      <c r="JI79">
        <f>SUMPRODUCT(--('Данные 1st'!$S$2:$S$317=$A79),--ISNUMBER('Данные 1st'!$TC$2:$TC$317))</f>
        <v>5</v>
      </c>
      <c r="JJ79">
        <f>SUMPRODUCT(--('Данные 1st'!$S$2:$S$317=$A79),--ISNUMBER('Данные 1st'!$TD$2:$TD$317))</f>
        <v>5</v>
      </c>
      <c r="JK79">
        <f>SUMPRODUCT(--('Данные 1st'!$S$2:$S$317=$A79),--ISNUMBER('Данные 1st'!$TN$2:$TN$317))</f>
        <v>5</v>
      </c>
      <c r="JQ79">
        <f>SUMPRODUCT(--('Данные 2st'!$Q$2:$Q$317=$A79),--ISNUMBER('Данные 2st'!$AC$2:$AC$317))</f>
        <v>5</v>
      </c>
      <c r="JR79">
        <f>SUMPRODUCT(--('Данные 2st'!$Q$2:$Q$317=$A79),--ISNUMBER('Данные 2st'!$AF$2:$AF$317))</f>
        <v>5</v>
      </c>
      <c r="JS79">
        <f>SUMPRODUCT(--('Данные 2st'!$Q$2:$Q$317=$A79),--ISNUMBER('Данные 2st'!$AW$2:$AW$317))</f>
        <v>5</v>
      </c>
      <c r="JT79">
        <f>SUMPRODUCT(--('Данные 2st'!$Q$2:$Q$317=$A79),--ISNUMBER('Данные 2st'!$AX$2:$AX$317))</f>
        <v>5</v>
      </c>
      <c r="JU79">
        <f>SUMPRODUCT(--('Данные 2st'!$Q$2:$Q$317=$A79),--ISNUMBER('Данные 2st'!$AY$2:$AY$317))</f>
        <v>5</v>
      </c>
      <c r="JV79">
        <f>SUMPRODUCT(--('Данные 2st'!$Q$2:$Q$317=$A79),--ISNUMBER('Данные 2st'!$AZ$2:$AZ$317))</f>
        <v>5</v>
      </c>
      <c r="JW79">
        <f>SUMPRODUCT(--('Данные 2st'!$Q$2:$Q$317=$A79),--ISNUMBER('Данные 2st'!$BA$2:$BA$317))</f>
        <v>1</v>
      </c>
      <c r="JX79">
        <f>SUMPRODUCT(--('Данные 2st'!$Q$2:$Q$317=$A79),--ISNUMBER('Данные 2st'!$BB$2:$BB$317))</f>
        <v>1</v>
      </c>
      <c r="JY79">
        <f>SUMPRODUCT(--('Данные 2st'!$Q$2:$Q$317=$A79),--ISNUMBER('Данные 2st'!$BC$2:$BC$317))</f>
        <v>0</v>
      </c>
      <c r="JZ79">
        <f>SUMPRODUCT(--('Данные 2st'!$Q$2:$Q$317=$A79),--ISNUMBER('Данные 2st'!$BH$2:$BH$317))</f>
        <v>5</v>
      </c>
      <c r="KA79">
        <f>SUMPRODUCT(--('Данные 2st'!$Q$2:$Q$317=$A79),--ISNUMBER('Данные 2st'!$BI$2:$BI$317))</f>
        <v>5</v>
      </c>
      <c r="KB79">
        <f>SUMPRODUCT(--('Данные 2st'!$Q$2:$Q$317=$A79),--ISNUMBER('Данные 2st'!$BJ$2:$BJ$317))</f>
        <v>5</v>
      </c>
      <c r="KC79">
        <f>SUMPRODUCT(--('Данные 2st'!$Q$2:$Q$317=$A79),--ISNUMBER('Данные 2st'!$BK$2:$BK$317))</f>
        <v>5</v>
      </c>
      <c r="KD79">
        <f>SUMPRODUCT(--('Данные 2st'!$Q$2:$Q$317=$A79),--ISNUMBER('Данные 2st'!$BL$2:$BL$317))</f>
        <v>5</v>
      </c>
      <c r="KE79">
        <f>SUMPRODUCT(--('Данные 2st'!$Q$2:$Q$317=$A79),--ISNUMBER('Данные 2st'!$BM$2:$BM$317))</f>
        <v>5</v>
      </c>
      <c r="KF79">
        <f>SUMPRODUCT(--('Данные 2st'!$Q$2:$Q$317=$A79),--ISNUMBER('Данные 2st'!$BN$2:$BN$317))</f>
        <v>5</v>
      </c>
      <c r="KG79">
        <f>SUMPRODUCT(--('Данные 2st'!$Q$2:$Q$317=$A79),--ISNUMBER('Данные 2st'!$BO$2:$BO$317))</f>
        <v>3</v>
      </c>
      <c r="KH79">
        <f>SUMPRODUCT(--('Данные 2st'!$Q$2:$Q$317=$A79),--ISNUMBER('Данные 2st'!$BP$2:$BP$317))</f>
        <v>5</v>
      </c>
      <c r="KI79">
        <f>SUMPRODUCT(--('Данные 2st'!$Q$2:$Q$317=$A79),--ISNUMBER('Данные 2st'!$BR$2:$BR$317))</f>
        <v>5</v>
      </c>
      <c r="KJ79">
        <f>SUMPRODUCT(--('Данные 2st'!$Q$2:$Q$317=$A79),--ISNUMBER('Данные 2st'!$BS$2:$BS$317))</f>
        <v>5</v>
      </c>
      <c r="KK79">
        <f>SUMPRODUCT(--('Данные 2st'!$Q$2:$Q$317=$A79),--ISNUMBER('Данные 2st'!$BT$2:$BT$317))</f>
        <v>5</v>
      </c>
      <c r="KL79">
        <f>SUMPRODUCT(--('Данные 2st'!$Q$2:$Q$317=$A79),--ISNUMBER('Данные 2st'!$CV$2:$CV$317))</f>
        <v>5</v>
      </c>
      <c r="KM79">
        <f>SUMPRODUCT(--('Данные 2st'!$Q$2:$Q$317=$A79),--ISNUMBER('Данные 2st'!$CW$2:$CW$317))</f>
        <v>5</v>
      </c>
      <c r="KN79">
        <f>SUMPRODUCT(--('Данные 2st'!$Q$2:$Q$317=$A79),--ISNUMBER('Данные 2st'!$CX$2:$CX$317))</f>
        <v>5</v>
      </c>
      <c r="KO79">
        <f>SUMPRODUCT(--('Данные 2st'!$Q$2:$Q$317=$A79),--ISNUMBER('Данные 2st'!$CY$2:$CY$317))</f>
        <v>5</v>
      </c>
      <c r="KP79">
        <f>SUMPRODUCT(--('Данные 2st'!$Q$2:$Q$317=$A79),--ISNUMBER('Данные 2st'!$CZ$2:$CZ$317))</f>
        <v>5</v>
      </c>
      <c r="KQ79">
        <f>SUMPRODUCT(--('Данные 2st'!$Q$2:$Q$317=$A79),--ISNUMBER('Данные 2st'!$DA$2:$DA$317))</f>
        <v>5</v>
      </c>
      <c r="KR79">
        <f>SUMPRODUCT(--('Данные 2st'!$Q$2:$Q$317=$A79),--ISNUMBER('Данные 2st'!$DB$2:$DB$317))</f>
        <v>5</v>
      </c>
      <c r="KS79">
        <f>SUMPRODUCT(--('Данные 2st'!$Q$2:$Q$317=$A79),--ISNUMBER('Данные 2st'!$DC$2:$DC$317))</f>
        <v>5</v>
      </c>
      <c r="KT79">
        <f>SUMPRODUCT(--('Данные 2st'!$Q$2:$Q$317=$A79),--ISNUMBER('Данные 2st'!$DD$2:$DD$317))</f>
        <v>5</v>
      </c>
      <c r="KU79">
        <f>SUMPRODUCT(--('Данные 2st'!$Q$2:$Q$317=$A79),--ISNUMBER('Данные 2st'!$DE$2:$DE$317))</f>
        <v>5</v>
      </c>
      <c r="KV79">
        <f>SUMPRODUCT(--('Данные 2st'!$Q$2:$Q$317=$A79),--ISNUMBER('Данные 2st'!$DF$2:$DF$317))</f>
        <v>5</v>
      </c>
      <c r="KW79">
        <f>SUMPRODUCT(--('Данные 2st'!$Q$2:$Q$317=$A79),--ISNUMBER('Данные 2st'!$DG$2:$DG$317))</f>
        <v>5</v>
      </c>
      <c r="KX79">
        <f>SUMPRODUCT(--('Данные 2st'!$Q$2:$Q$317=$A79),--ISNUMBER('Данные 2st'!$DH$2:$DH$317))</f>
        <v>4</v>
      </c>
      <c r="KY79">
        <f>SUMPRODUCT(--('Данные 2st'!$Q$2:$Q$317=$A79),--ISNUMBER('Данные 2st'!$DI$2:$DI$317))</f>
        <v>0</v>
      </c>
      <c r="KZ79">
        <f>SUMPRODUCT(--('Данные 2st'!$Q$2:$Q$317=$A79),--ISNUMBER('Данные 2st'!$DK$2:$DK$317))</f>
        <v>5</v>
      </c>
      <c r="LA79">
        <f>SUMPRODUCT(--('Данные 2st'!$Q$2:$Q$317=$A79),--ISNUMBER('Данные 2st'!$DM$2:$DM$317))</f>
        <v>5</v>
      </c>
      <c r="LB79">
        <f>SUMPRODUCT(--('Данные 2st'!$Q$2:$Q$317=$A79),--ISNUMBER('Данные 2st'!$DN$2:$DN$317))</f>
        <v>5</v>
      </c>
      <c r="LC79">
        <f>SUMPRODUCT(--('Данные 2st'!$Q$2:$Q$317=$A79),--ISNUMBER('Данные 2st'!$DO$2:$DO$317))</f>
        <v>5</v>
      </c>
      <c r="LD79">
        <f>SUMPRODUCT(--('Данные 2st'!$Q$2:$Q$317=$A79),--ISNUMBER('Данные 2st'!$DP$2:$DP$317))</f>
        <v>5</v>
      </c>
      <c r="LE79">
        <f>SUMPRODUCT(--('Данные 2st'!$Q$2:$Q$317=$A79),--ISNUMBER('Данные 2st'!$DQ$2:$DQ$317))</f>
        <v>5</v>
      </c>
      <c r="LF79">
        <f>SUMPRODUCT(--('Данные 2st'!$Q$2:$Q$317=$A79),--ISNUMBER('Данные 2st'!$DS$2:$DS$317))</f>
        <v>5</v>
      </c>
      <c r="LG79">
        <f>SUMPRODUCT(--('Данные 2st'!$Q$2:$Q$317=$A79),--ISNUMBER('Данные 2st'!$DU$2:$DU$317))</f>
        <v>5</v>
      </c>
      <c r="LH79">
        <f>SUMPRODUCT(--('Данные 2st'!$Q$2:$Q$317=$A79),--ISNUMBER('Данные 2st'!$DV$2:$DV$317))</f>
        <v>5</v>
      </c>
      <c r="LI79">
        <f>SUMPRODUCT(--('Данные 2st'!$Q$2:$Q$317=$A79),--ISNUMBER('Данные 2st'!$DW$2:$DW$317))</f>
        <v>5</v>
      </c>
      <c r="LJ79">
        <f>SUMPRODUCT(--('Данные 2st'!$Q$2:$Q$317=$A79),--ISNUMBER('Данные 2st'!$DX$2:$DX$317))</f>
        <v>5</v>
      </c>
      <c r="LK79">
        <f>SUMPRODUCT(--('Данные 2st'!$Q$2:$Q$317=$A79),--ISNUMBER('Данные 2st'!$DY$2:$DY$317))</f>
        <v>5</v>
      </c>
      <c r="LL79">
        <f>SUMPRODUCT(--('Данные 2st'!$Q$2:$Q$317=$A79),--ISNUMBER('Данные 2st'!$EA$2:$EA$317))</f>
        <v>5</v>
      </c>
      <c r="LM79">
        <f>SUMPRODUCT(--('Данные 2st'!$Q$2:$Q$317=$A79),--ISNUMBER('Данные 2st'!$EC$2:$EC$317))</f>
        <v>5</v>
      </c>
      <c r="LN79">
        <f>SUMPRODUCT(--('Данные 2st'!$Q$2:$Q$317=$A79),--ISNUMBER('Данные 2st'!$ED$2:$ED$317))</f>
        <v>5</v>
      </c>
      <c r="LO79">
        <f>SUMPRODUCT(--('Данные 2st'!$Q$2:$Q$317=$A79),--ISNUMBER('Данные 2st'!$EE$2:$EE$317))</f>
        <v>5</v>
      </c>
      <c r="LP79">
        <f>SUMPRODUCT(--('Данные 2st'!$Q$2:$Q$317=$A79),--ISNUMBER('Данные 2st'!$EG$2:$EG$317))</f>
        <v>5</v>
      </c>
      <c r="LQ79">
        <f>SUMPRODUCT(--('Данные 2st'!$Q$2:$Q$317=$A79),--ISNUMBER('Данные 2st'!$EI$2:$EI$317))</f>
        <v>5</v>
      </c>
      <c r="LR79">
        <f>SUMPRODUCT(--('Данные 2st'!$Q$2:$Q$317=$A79),--ISNUMBER('Данные 2st'!$EJ$2:$EJ$317))</f>
        <v>0</v>
      </c>
      <c r="LS79">
        <f>SUMPRODUCT(--('Данные 2st'!$Q$2:$Q$317=$A79),--ISNUMBER('Данные 2st'!$EK$2:$EK$317))</f>
        <v>0</v>
      </c>
      <c r="LT79">
        <f>SUMPRODUCT(--('Данные 2st'!$Q$2:$Q$317=$A79),--ISNUMBER('Данные 2st'!$EM$2:$EM$317))</f>
        <v>5</v>
      </c>
      <c r="LU79">
        <f>SUMPRODUCT(--('Данные 2st'!$Q$2:$Q$317=$A79),--ISNUMBER('Данные 2st'!$EN$2:$EN$317))</f>
        <v>5</v>
      </c>
      <c r="LV79">
        <f>SUMPRODUCT(--('Данные 2st'!$Q$2:$Q$317=$A79),--ISNUMBER('Данные 2st'!$EO$2:$EO$317))</f>
        <v>5</v>
      </c>
      <c r="LW79">
        <f>SUMPRODUCT(--('Данные 2st'!$Q$2:$Q$317=$A79),--ISNUMBER('Данные 2st'!$EP$2:$EP$317))</f>
        <v>5</v>
      </c>
      <c r="LX79">
        <f>SUMPRODUCT(--('Данные 2st'!$Q$2:$Q$317=$A79),--ISNUMBER('Данные 2st'!$EQ$2:$EQ$317))</f>
        <v>5</v>
      </c>
      <c r="LY79">
        <f>SUMPRODUCT(--('Данные 2st'!$Q$2:$Q$317=$A79),--ISNUMBER('Данные 2st'!$ER$2:$ER$317))</f>
        <v>5</v>
      </c>
      <c r="LZ79">
        <f>SUMPRODUCT(--('Данные 2st'!$Q$2:$Q$317=$A79),--ISNUMBER('Данные 2st'!$ES$2:$ES$317))</f>
        <v>5</v>
      </c>
      <c r="MA79">
        <f>SUMPRODUCT(--('Данные 2st'!$Q$2:$Q$317=$A79),--ISNUMBER('Данные 2st'!$ET$2:$ET$317))</f>
        <v>5</v>
      </c>
      <c r="MB79">
        <f>SUMPRODUCT(--('Данные 2st'!$Q$2:$Q$317=$A79),--ISNUMBER('Данные 2st'!$EU$2:$EU$317))</f>
        <v>5</v>
      </c>
      <c r="MC79">
        <f>SUMPRODUCT(--('Данные 2st'!$Q$2:$Q$317=$A79),--ISNUMBER('Данные 2st'!$EV$2:$EV$317))</f>
        <v>5</v>
      </c>
      <c r="MD79">
        <f>SUMPRODUCT(--('Данные 2st'!$Q$2:$Q$317=$A79),--ISNUMBER('Данные 2st'!$EW$2:$EW$317))</f>
        <v>5</v>
      </c>
      <c r="ME79">
        <f>SUMPRODUCT(--('Данные 2st'!$Q$2:$Q$317=$A79),--ISNUMBER('Данные 2st'!$EY$2:$EY$317))</f>
        <v>5</v>
      </c>
      <c r="MF79">
        <f>SUMPRODUCT(--('Данные 2st'!$Q$2:$Q$317=$A79),--ISNUMBER('Данные 2st'!$FA$2:$FA$317))</f>
        <v>5</v>
      </c>
      <c r="MG79">
        <f>SUMPRODUCT(--('Данные 2st'!$Q$2:$Q$317=$A79),--ISNUMBER('Данные 2st'!$FB$2:$FB$317))</f>
        <v>5</v>
      </c>
      <c r="MH79">
        <f>SUMPRODUCT(--('Данные 2st'!$Q$2:$Q$317=$A79),--ISNUMBER('Данные 2st'!$FC$2:$FC$317))</f>
        <v>5</v>
      </c>
      <c r="MI79">
        <f>SUMPRODUCT(--('Данные 2st'!$Q$2:$Q$317=$A79),--ISNUMBER('Данные 2st'!$FD$2:$FD$317))</f>
        <v>5</v>
      </c>
      <c r="MJ79">
        <f>SUMPRODUCT(--('Данные 2st'!$Q$2:$Q$317=$A79),--ISNUMBER('Данные 2st'!$FE$2:$FE$317))</f>
        <v>5</v>
      </c>
      <c r="MK79">
        <f>SUMPRODUCT(--('Данные 2st'!$Q$2:$Q$317=$A79),--ISNUMBER('Данные 2st'!$FG$2:$FG$317))</f>
        <v>5</v>
      </c>
      <c r="ML79">
        <f>SUMPRODUCT(--('Данные 2st'!$Q$2:$Q$317=$A79),--ISNUMBER('Данные 2st'!$FI$2:$FI$317))</f>
        <v>5</v>
      </c>
      <c r="MM79">
        <f>SUMPRODUCT(--('Данные 2st'!$Q$2:$Q$317=$A79),--ISNUMBER('Данные 2st'!$FJ$2:$FJ$317))</f>
        <v>5</v>
      </c>
      <c r="MN79">
        <f>SUMPRODUCT(--('Данные 2st'!$Q$2:$Q$317=$A79),--ISNUMBER('Данные 2st'!$FK$2:$FK$317))</f>
        <v>5</v>
      </c>
      <c r="MO79">
        <f>SUMPRODUCT(--('Данные 2st'!$Q$2:$Q$317=$A79),--ISNUMBER('Данные 2st'!$FP$2:$FP$317))</f>
        <v>5</v>
      </c>
      <c r="MP79">
        <f>SUMPRODUCT(--('Данные 2st'!$Q$2:$Q$317=$A79),--ISNUMBER('Данные 2st'!$FQ$2:$FQ$317))</f>
        <v>5</v>
      </c>
      <c r="MQ79">
        <f>SUMPRODUCT(--('Данные 2st'!$Q$2:$Q$317=$A79),--ISNUMBER('Данные 2st'!$FS$2:$FS$317))</f>
        <v>5</v>
      </c>
      <c r="MR79">
        <f>SUMPRODUCT(--('Данные 2st'!$Q$2:$Q$317=$A79),--ISNUMBER('Данные 2st'!$FU$2:$FU$317))</f>
        <v>5</v>
      </c>
      <c r="MS79">
        <f>SUMPRODUCT(--('Данные 2st'!$Q$2:$Q$317=$A79),--ISNUMBER('Данные 2st'!$FV$2:$FV$317))</f>
        <v>5</v>
      </c>
      <c r="MT79">
        <f>SUMPRODUCT(--('Данные 2st'!$Q$2:$Q$317=$A79),--ISNUMBER('Данные 2st'!$FW$2:$FW$317))</f>
        <v>5</v>
      </c>
      <c r="MU79">
        <f>SUMPRODUCT(--('Данные 2st'!$Q$2:$Q$317=$A79),--ISNUMBER('Данные 2st'!$FY$2:$FY$317))</f>
        <v>4</v>
      </c>
      <c r="MV79">
        <f>SUMPRODUCT(--('Данные 2st'!$Q$2:$Q$317=$A79),--ISNUMBER('Данные 2st'!$GB$2:$GB$317))</f>
        <v>4</v>
      </c>
      <c r="MW79">
        <f>SUMPRODUCT(--('Данные 2st'!$Q$2:$Q$317=$A79),--ISNUMBER('Данные 2st'!$GC$2:$GC$317))</f>
        <v>4</v>
      </c>
      <c r="MX79">
        <f>SUMPRODUCT(--('Данные 2st'!$Q$2:$Q$317=$A79),--ISNUMBER('Данные 2st'!$GD$2:$GD$317))</f>
        <v>5</v>
      </c>
      <c r="MY79">
        <f>SUMPRODUCT(--('Данные 2st'!$Q$2:$Q$317=$A79),--ISNUMBER('Данные 2st'!$GN$2:$GN$317))</f>
        <v>0</v>
      </c>
      <c r="MZ79">
        <f>SUMPRODUCT(--('Данные 2st'!$Q$2:$Q$317=$A79),--ISNUMBER('Данные 2st'!$GQ$2:$GQ$317))</f>
        <v>5</v>
      </c>
      <c r="NA79">
        <f>SUMPRODUCT(--('Данные 2st'!$Q$2:$Q$317=$A79),--ISNUMBER('Данные 2st'!$GV$2:$GV$317))</f>
        <v>5</v>
      </c>
      <c r="NB79">
        <f>SUMPRODUCT(--('Данные 2st'!$Q$2:$Q$317=$A79),--ISNUMBER('Данные 2st'!$GW$2:$GW$317))</f>
        <v>5</v>
      </c>
      <c r="NC79">
        <f>SUMPRODUCT(--('Данные 2st'!$Q$2:$Q$317=$A79),--ISNUMBER('Данные 2st'!$GX$2:$GX$317))</f>
        <v>5</v>
      </c>
      <c r="ND79">
        <f>SUMPRODUCT(--('Данные 2st'!$Q$2:$Q$317=$A79),--ISNUMBER('Данные 2st'!$GY$2:$GY$317))</f>
        <v>5</v>
      </c>
      <c r="NE79">
        <f>SUMPRODUCT(--('Данные 2st'!$Q$2:$Q$317=$A79),--ISNUMBER('Данные 2st'!$GZ$2:$GZ$317))</f>
        <v>5</v>
      </c>
      <c r="NF79">
        <f>SUMPRODUCT(--('Данные 2st'!$Q$2:$Q$317=$A79),--ISNUMBER('Данные 2st'!$HA$2:$HA$317))</f>
        <v>5</v>
      </c>
      <c r="NG79">
        <f>SUMPRODUCT(--('Данные 2st'!$Q$2:$Q$317=$A79),--ISNUMBER('Данные 2st'!$HB$2:$HB$317))</f>
        <v>5</v>
      </c>
      <c r="NH79">
        <f>SUMPRODUCT(--('Данные 2st'!$Q$2:$Q$317=$A79),--ISNUMBER('Данные 2st'!$HC$2:$HC$317))</f>
        <v>5</v>
      </c>
      <c r="NI79">
        <f>SUMPRODUCT(--('Данные 2st'!$Q$2:$Q$317=$A79),--ISNUMBER('Данные 2st'!$HD$2:$HD$317))</f>
        <v>5</v>
      </c>
      <c r="NJ79">
        <f>SUMPRODUCT(--('Данные 2st'!$Q$2:$Q$317=$A79),--ISNUMBER('Данные 2st'!$HM$2:$HM$317))</f>
        <v>5</v>
      </c>
      <c r="NK79">
        <f>SUMPRODUCT(--('Данные 2st'!$Q$2:$Q$317=$A79),--ISNUMBER('Данные 2st'!$HR$2:$HR$317))</f>
        <v>5</v>
      </c>
      <c r="NL79">
        <f>SUMPRODUCT(--('Данные 2st'!$Q$2:$Q$317=$A79),--ISNUMBER('Данные 2st'!$HS$2:$HS$317))</f>
        <v>5</v>
      </c>
      <c r="NM79">
        <f>SUMPRODUCT(--('Данные 2st'!$Q$2:$Q$317=$A79),--ISNUMBER('Данные 2st'!$HT$2:$HT$317))</f>
        <v>5</v>
      </c>
      <c r="NN79">
        <f>SUMPRODUCT(--('Данные 2st'!$Q$2:$Q$317=$A79),--ISNUMBER('Данные 2st'!$HY$2:$HY$317))</f>
        <v>5</v>
      </c>
      <c r="NO79">
        <f>SUMPRODUCT(--('Данные 2st'!$Q$2:$Q$317=$A79),--ISNUMBER('Данные 2st'!$HZ$2:$HZ$317))</f>
        <v>5</v>
      </c>
      <c r="NP79">
        <f>SUMPRODUCT(--('Данные 2st'!$Q$2:$Q$317=$A79),--ISNUMBER('Данные 2st'!$IA$2:$IA$317))</f>
        <v>5</v>
      </c>
      <c r="NQ79">
        <f>SUMPRODUCT(--('Данные 2st'!$Q$2:$Q$317=$A79),--ISNUMBER('Данные 2st'!$IB$2:$IB$317))</f>
        <v>5</v>
      </c>
      <c r="NR79">
        <f>SUMPRODUCT(--('Данные 2st'!$Q$2:$Q$317=$A79),--ISNUMBER('Данные 2st'!$IC$2:$IC$317))</f>
        <v>0</v>
      </c>
      <c r="NS79">
        <f>SUMPRODUCT(--('Данные 2st'!$Q$2:$Q$317=$A79),--ISNUMBER('Данные 2st'!$ID$2:$ID$317))</f>
        <v>5</v>
      </c>
      <c r="NT79">
        <f>SUMPRODUCT(--('Данные 2st'!$Q$2:$Q$317=$A79),--ISNUMBER('Данные 2st'!$IE$2:$IE$317))</f>
        <v>5</v>
      </c>
      <c r="NU79">
        <f>SUMPRODUCT(--('Данные 2st'!$Q$2:$Q$317=$A79),--ISNUMBER('Данные 2st'!$IF$2:$IF$317))</f>
        <v>5</v>
      </c>
      <c r="NV79">
        <f>SUMPRODUCT(--('Данные 2st'!$Q$2:$Q$317=$A79),--ISNUMBER('Данные 2st'!$IG$2:$IG$317))</f>
        <v>5</v>
      </c>
      <c r="NW79">
        <f>SUMPRODUCT(--('Данные 2st'!$Q$2:$Q$317=$A79),--ISNUMBER('Данные 2st'!$IH$2:$IH$317))</f>
        <v>5</v>
      </c>
      <c r="NX79">
        <f>SUMPRODUCT(--('Данные 2st'!$Q$2:$Q$317=$A79),--ISNUMBER('Данные 2st'!$IJ$2:$IJ$317))</f>
        <v>5</v>
      </c>
      <c r="NY79">
        <f>SUMPRODUCT(--('Данные 2st'!$Q$2:$Q$317=$A79),--ISNUMBER('Данные 2st'!$IM$2:$IM$317))</f>
        <v>5</v>
      </c>
      <c r="NZ79">
        <f>SUMPRODUCT(--('Данные 2st'!$Q$2:$Q$317=$A79),--ISNUMBER('Данные 2st'!$IN$2:$IN$317))</f>
        <v>5</v>
      </c>
      <c r="OA79">
        <f>SUMPRODUCT(--('Данные 2st'!$Q$2:$Q$317=$A79),--ISNUMBER('Данные 2st'!$IO$2:$IO$317))</f>
        <v>5</v>
      </c>
      <c r="OB79">
        <f>SUMPRODUCT(--('Данные 2st'!$Q$2:$Q$317=$A79),--ISNUMBER('Данные 2st'!$IP$2:$IP$317))</f>
        <v>5</v>
      </c>
      <c r="OC79">
        <f>SUMPRODUCT(--('Данные 2st'!$Q$2:$Q$317=$A79),--ISNUMBER('Данные 2st'!$IQ$2:$IQ$317))</f>
        <v>5</v>
      </c>
      <c r="OD79">
        <f>SUMPRODUCT(--('Данные 2st'!$Q$2:$Q$317=$A79),--ISNUMBER('Данные 2st'!$IR$2:$IR$317))</f>
        <v>5</v>
      </c>
      <c r="OE79">
        <f>SUMPRODUCT(--('Данные 2st'!$Q$2:$Q$317=$A79),--ISNUMBER('Данные 2st'!$IT$2:$IT$317))</f>
        <v>5</v>
      </c>
      <c r="OF79">
        <f>SUMPRODUCT(--('Данные 2st'!$Q$2:$Q$317=$A79),--ISNUMBER('Данные 2st'!$IU$2:$IU$317))</f>
        <v>5</v>
      </c>
      <c r="OG79">
        <f>SUMPRODUCT(--('Данные 2st'!$Q$2:$Q$317=$A79),--ISNUMBER('Данные 2st'!$IV$2:$IV$317))</f>
        <v>5</v>
      </c>
      <c r="OH79">
        <f>SUMPRODUCT(--('Данные 2st'!$Q$2:$Q$317=$A79),--ISNUMBER('Данные 2st'!$IW$2:$IW$317))</f>
        <v>5</v>
      </c>
      <c r="OI79">
        <f>SUMPRODUCT(--('Данные 2st'!$Q$2:$Q$317=$A79),--ISNUMBER('Данные 2st'!$IX$2:$IX$317))</f>
        <v>5</v>
      </c>
      <c r="OJ79">
        <f>SUMPRODUCT(--('Данные 2st'!$Q$2:$Q$317=$A79),--ISNUMBER('Данные 2st'!$IY$2:$IY$317))</f>
        <v>5</v>
      </c>
      <c r="OK79">
        <f>SUMPRODUCT(--('Данные 2st'!$Q$2:$Q$317=$A79),--ISNUMBER('Данные 2st'!$IZ$2:$IZ$317))</f>
        <v>5</v>
      </c>
      <c r="OL79">
        <f>SUMPRODUCT(--('Данные 2st'!$Q$2:$Q$317=$A79),--ISNUMBER('Данные 2st'!$JA$2:$JA$317))</f>
        <v>5</v>
      </c>
      <c r="OM79">
        <f>SUMPRODUCT(--('Данные 2st'!$Q$2:$Q$317=$A79),--ISNUMBER('Данные 2st'!$JB$2:$JB$317))</f>
        <v>5</v>
      </c>
      <c r="ON79">
        <f>SUMPRODUCT(--('Данные 2st'!$Q$2:$Q$317=$A79),--ISNUMBER('Данные 2st'!$JC$2:$JC$317))</f>
        <v>5</v>
      </c>
      <c r="OO79">
        <f>SUMPRODUCT(--('Данные 2st'!$Q$2:$Q$317=$A79),--ISNUMBER('Данные 2st'!$JD$2:$JD$317))</f>
        <v>5</v>
      </c>
      <c r="OP79">
        <f>SUMPRODUCT(--('Данные 2st'!$Q$2:$Q$317=$A79),--ISNUMBER('Данные 2st'!$JE$2:$JE$317))</f>
        <v>5</v>
      </c>
      <c r="OQ79">
        <f>SUMPRODUCT(--('Данные 2st'!$Q$2:$Q$317=$A79),--ISNUMBER('Данные 2st'!$JF$2:$JF$317))</f>
        <v>5</v>
      </c>
      <c r="OR79">
        <f>SUMPRODUCT(--('Данные 2st'!$Q$2:$Q$317=$A79),--ISNUMBER('Данные 2st'!$JG$2:$JG$317))</f>
        <v>5</v>
      </c>
      <c r="OS79">
        <f>SUMPRODUCT(--('Данные 2st'!$Q$2:$Q$317=$A79),--ISNUMBER('Данные 2st'!$JH$2:$JH$317))</f>
        <v>5</v>
      </c>
      <c r="OT79">
        <f>SUMPRODUCT(--('Данные 2st'!$Q$2:$Q$317=$A79),--ISNUMBER('Данные 2st'!$JI$2:$JI$317))</f>
        <v>5</v>
      </c>
      <c r="OU79">
        <f>SUMPRODUCT(--('Данные 2st'!$Q$2:$Q$317=$A79),--ISNUMBER('Данные 2st'!$JJ$2:$JJ$317))</f>
        <v>5</v>
      </c>
      <c r="OV79">
        <f>SUMPRODUCT(--('Данные 2st'!$Q$2:$Q$317=$A79),--ISNUMBER('Данные 2st'!$JK$2:$JK$317))</f>
        <v>5</v>
      </c>
      <c r="OW79">
        <f>SUMPRODUCT(--('Данные 2st'!$Q$2:$Q$317=$A79),--ISNUMBER('Данные 2st'!$JL$2:$JL$317))</f>
        <v>5</v>
      </c>
      <c r="OX79">
        <f>SUMPRODUCT(--('Данные 2st'!$Q$2:$Q$317=$A79),--ISNUMBER('Данные 2st'!$JM$2:$JM$317))</f>
        <v>5</v>
      </c>
      <c r="OY79">
        <f>SUMPRODUCT(--('Данные 2st'!$Q$2:$Q$317=$A79),--ISNUMBER('Данные 2st'!$JP$2:$JP$317))</f>
        <v>5</v>
      </c>
      <c r="OZ79">
        <f>SUMPRODUCT(--('Данные 2st'!$Q$2:$Q$317=$A79),--ISNUMBER('Данные 2st'!$JQ$2:$JQ$317))</f>
        <v>5</v>
      </c>
      <c r="PA79">
        <f>SUMPRODUCT(--('Данные 2st'!$Q$2:$Q$317=$A79),--ISNUMBER('Данные 2st'!$JR$2:$JR$317))</f>
        <v>5</v>
      </c>
      <c r="PB79">
        <f>SUMPRODUCT(--('Данные 2st'!$Q$2:$Q$317=$A79),--ISNUMBER('Данные 2st'!$JS$2:$JS$317))</f>
        <v>5</v>
      </c>
      <c r="PC79">
        <f>SUMPRODUCT(--('Данные 2st'!$Q$2:$Q$317=$A79),--ISNUMBER('Данные 2st'!$JT$2:$JT$317))</f>
        <v>5</v>
      </c>
      <c r="PD79">
        <f>SUMPRODUCT(--('Данные 2st'!$Q$2:$Q$317=$A79),--ISNUMBER('Данные 2st'!$JU$2:$JU$317))</f>
        <v>5</v>
      </c>
      <c r="PE79">
        <f>SUMPRODUCT(--('Данные 2st'!$Q$2:$Q$317=$A79),--ISNUMBER('Данные 2st'!$JV$2:$JV$317))</f>
        <v>5</v>
      </c>
      <c r="PF79">
        <f>SUMPRODUCT(--('Данные 2st'!$Q$2:$Q$317=$A79),--ISNUMBER('Данные 2st'!$JW$2:$JW$317))</f>
        <v>5</v>
      </c>
      <c r="PG79">
        <f>SUMPRODUCT(--('Данные 2st'!$Q$2:$Q$317=$A79),--ISNUMBER('Данные 2st'!$KF$2:$KF$317))</f>
        <v>5</v>
      </c>
      <c r="PH79">
        <f>SUMPRODUCT(--('Данные 2st'!$Q$2:$Q$317=$A79),--ISNUMBER('Данные 2st'!$KG$2:$KG$317))</f>
        <v>5</v>
      </c>
      <c r="PI79">
        <f>SUMPRODUCT(--('Данные 2st'!$Q$2:$Q$317=$A79),--ISNUMBER('Данные 2st'!$KM$2:$KM$317))</f>
        <v>5</v>
      </c>
      <c r="PJ79">
        <f>SUMPRODUCT(--('Данные 2st'!$Q$2:$Q$317=$A79),--ISNUMBER('Данные 2st'!$KN$2:$KN$317))</f>
        <v>5</v>
      </c>
      <c r="PK79">
        <f>SUMPRODUCT(--('Данные 2st'!$Q$2:$Q$317=$A79),--ISNUMBER('Данные 2st'!$KO$2:$KO$317))</f>
        <v>5</v>
      </c>
      <c r="PL79">
        <f>SUMPRODUCT(--('Данные 2st'!$Q$2:$Q$317=$A79),--ISNUMBER('Данные 2st'!$KP$2:$KP$317))</f>
        <v>5</v>
      </c>
      <c r="PM79">
        <f>SUMPRODUCT(--('Данные 2st'!$Q$2:$Q$317=$A79),--ISNUMBER('Данные 2st'!$KQ$2:$KQ$317))</f>
        <v>5</v>
      </c>
      <c r="PN79">
        <f>SUMPRODUCT(--('Данные 2st'!$Q$2:$Q$317=$A79),--ISNUMBER('Данные 2st'!$KR$2:$KR$317))</f>
        <v>5</v>
      </c>
      <c r="PO79">
        <f>SUMPRODUCT(--('Данные 2st'!$Q$2:$Q$317=$A79),--ISNUMBER('Данные 2st'!$KS$2:$KS$317))</f>
        <v>5</v>
      </c>
      <c r="PP79">
        <f>SUMPRODUCT(--('Данные 2st'!$Q$2:$Q$317=$A79),--ISNUMBER('Данные 2st'!$KT$2:$KT$317))</f>
        <v>5</v>
      </c>
      <c r="PQ79">
        <f>SUMPRODUCT(--('Данные 2st'!$Q$2:$Q$317=$A79),--ISNUMBER('Данные 2st'!$KU$2:$KU$317))</f>
        <v>5</v>
      </c>
      <c r="PR79">
        <f>SUMPRODUCT(--('Данные 2st'!$Q$2:$Q$317=$A79),--ISNUMBER('Данные 2st'!$KV$2:$KV$317))</f>
        <v>5</v>
      </c>
      <c r="PS79">
        <f>SUMPRODUCT(--('Данные 2st'!$Q$2:$Q$317=$A79),--ISNUMBER('Данные 2st'!$KW$2:$KW$317))</f>
        <v>5</v>
      </c>
      <c r="PT79">
        <f>SUMPRODUCT(--('Данные 2st'!$Q$2:$Q$317=$A79),--ISNUMBER('Данные 2st'!$KX$2:$KX$317))</f>
        <v>5</v>
      </c>
      <c r="PU79">
        <f>SUMPRODUCT(--('Данные 2st'!$Q$2:$Q$317=$A79),--ISNUMBER('Данные 2st'!$KY$2:$KY$317))</f>
        <v>5</v>
      </c>
      <c r="PV79">
        <f>SUMPRODUCT(--('Данные 2st'!$Q$2:$Q$317=$A79),--ISNUMBER('Данные 2st'!$KZ$2:$KZ$317))</f>
        <v>5</v>
      </c>
      <c r="PW79">
        <f>SUMPRODUCT(--('Данные 2st'!$Q$2:$Q$317=$A79),--ISNUMBER('Данные 2st'!$LA$2:$LA$317))</f>
        <v>5</v>
      </c>
      <c r="PX79">
        <f>SUMPRODUCT(--('Данные 2st'!$Q$2:$Q$317=$A79),--ISNUMBER('Данные 2st'!$LB$2:$LB$317))</f>
        <v>5</v>
      </c>
      <c r="PY79">
        <f>SUMPRODUCT(--('Данные 2st'!$Q$2:$Q$317=$A79),--ISNUMBER('Данные 2st'!$LC$2:$LC$317))</f>
        <v>5</v>
      </c>
      <c r="PZ79">
        <f>SUMPRODUCT(--('Данные 2st'!$Q$2:$Q$317=$A79),--ISNUMBER('Данные 2st'!$LD$2:$LD$317))</f>
        <v>5</v>
      </c>
      <c r="QA79">
        <f>SUMPRODUCT(--('Данные 2st'!$Q$2:$Q$317=$A79),--ISNUMBER('Данные 2st'!$LE$2:$LE$317))</f>
        <v>5</v>
      </c>
      <c r="QB79">
        <f>SUMPRODUCT(--('Данные 2st'!$Q$2:$Q$317=$A79),--ISNUMBER('Данные 2st'!$LF$2:$LF$317))</f>
        <v>5</v>
      </c>
      <c r="QC79">
        <f>SUMPRODUCT(--('Данные 2st'!$Q$2:$Q$317=$A79),--ISNUMBER('Данные 2st'!$LG$2:$LG$317))</f>
        <v>5</v>
      </c>
      <c r="QD79">
        <f>SUMPRODUCT(--('Данные 2st'!$Q$2:$Q$317=$A79),--ISNUMBER('Данные 2st'!$LH$2:$LH$317))</f>
        <v>5</v>
      </c>
      <c r="QE79">
        <f>SUMPRODUCT(--('Данные 2st'!$Q$2:$Q$317=$A79),--ISNUMBER('Данные 2st'!$LJ$2:$LJ$317))</f>
        <v>5</v>
      </c>
      <c r="QF79">
        <f>SUMPRODUCT(--('Данные 2st'!$Q$2:$Q$317=$A79),--ISNUMBER('Данные 2st'!$LK$2:$LK$317))</f>
        <v>5</v>
      </c>
      <c r="QG79">
        <f>SUMPRODUCT(--('Данные 2st'!$Q$2:$Q$317=$A79),--ISNUMBER('Данные 2st'!$LL$2:$LL$317))</f>
        <v>5</v>
      </c>
      <c r="QH79">
        <f>SUMPRODUCT(--('Данные 2st'!$Q$2:$Q$317=$A79),--ISNUMBER('Данные 2st'!$LM$2:$LM$317))</f>
        <v>5</v>
      </c>
      <c r="QI79">
        <f>SUMPRODUCT(--('Данные 2st'!$Q$2:$Q$317=$A79),--ISNUMBER('Данные 2st'!$LN$2:$LN$317))</f>
        <v>5</v>
      </c>
      <c r="QJ79">
        <f>SUMPRODUCT(--('Данные 2st'!$Q$2:$Q$317=$A79),--ISNUMBER('Данные 2st'!$LO$2:$LO$317))</f>
        <v>5</v>
      </c>
      <c r="QK79">
        <f>SUMPRODUCT(--('Данные 2st'!$Q$2:$Q$317=$A79),--ISNUMBER('Данные 2st'!$LP$2:$LP$317))</f>
        <v>5</v>
      </c>
      <c r="QL79">
        <f>SUMPRODUCT(--('Данные 2st'!$Q$2:$Q$317=$A79),--ISNUMBER('Данные 2st'!$LQ$2:$LQ$317))</f>
        <v>5</v>
      </c>
      <c r="QM79">
        <f>SUMPRODUCT(--('Данные 2st'!$Q$2:$Q$317=$A79),--ISNUMBER('Данные 2st'!$LW$2:$LW$317))</f>
        <v>5</v>
      </c>
      <c r="QN79">
        <f>SUMPRODUCT(--('Данные 2st'!$Q$2:$Q$317=$A79),--ISNUMBER('Данные 2st'!$LX$2:$LX$317))</f>
        <v>5</v>
      </c>
      <c r="QO79">
        <f>SUMPRODUCT(--('Данные 2st'!$Q$2:$Q$317=$A79),--ISNUMBER('Данные 2st'!$LY$2:$LY$317))</f>
        <v>5</v>
      </c>
      <c r="QP79">
        <f>SUMPRODUCT(--('Данные 2st'!$Q$2:$Q$317=$A79),--ISNUMBER('Данные 2st'!$LZ$2:$LZ$317))</f>
        <v>5</v>
      </c>
      <c r="QQ79">
        <f>SUMPRODUCT(--('Данные 2st'!$Q$2:$Q$317=$A79),--ISNUMBER('Данные 2st'!$MB$2:$MB$317))</f>
        <v>5</v>
      </c>
      <c r="QR79">
        <f>SUMPRODUCT(--('Данные 2st'!$Q$2:$Q$317=$A79),--ISNUMBER('Данные 2st'!$MG$2:$MG$317))</f>
        <v>5</v>
      </c>
      <c r="QS79">
        <f>SUMPRODUCT(--('Данные 2st'!$Q$2:$Q$317=$A79),--ISNUMBER('Данные 2st'!$MH$2:$MH$317))</f>
        <v>5</v>
      </c>
      <c r="QT79">
        <f>SUMPRODUCT(--('Данные 2st'!$Q$2:$Q$317=$A79),--ISNUMBER('Данные 2st'!$MI$2:$MI$317))</f>
        <v>5</v>
      </c>
      <c r="QU79">
        <f>SUMPRODUCT(--('Данные 2st'!$Q$2:$Q$317=$A79),--ISNUMBER('Данные 2st'!$MJ$2:$MJ$317))</f>
        <v>5</v>
      </c>
      <c r="QV79">
        <f>SUMPRODUCT(--('Данные 2st'!$Q$2:$Q$317=$A79),--ISNUMBER('Данные 2st'!$MK$2:$MK$317))</f>
        <v>5</v>
      </c>
      <c r="QW79">
        <f>SUMPRODUCT(--('Данные 2st'!$Q$2:$Q$317=$A79),--ISNUMBER('Данные 2st'!$MM$2:$MM$317))</f>
        <v>5</v>
      </c>
      <c r="QX79">
        <f>SUMPRODUCT(--('Данные 2st'!$Q$2:$Q$317=$A79),--ISNUMBER('Данные 2st'!$MQ$2:$MQ$317))</f>
        <v>0</v>
      </c>
      <c r="QY79">
        <f>SUMPRODUCT(--('Данные 2st'!$Q$2:$Q$317=$A79),--ISNUMBER('Данные 2st'!$MR$2:$MR$317))</f>
        <v>0</v>
      </c>
      <c r="QZ79">
        <f>SUMPRODUCT(--('Данные 2st'!$Q$2:$Q$317=$A79),--ISNUMBER('Данные 2st'!$MS$2:$MS$317))</f>
        <v>0</v>
      </c>
      <c r="RA79">
        <f>SUMPRODUCT(--('Данные 2st'!$Q$2:$Q$317=$A79),--ISNUMBER('Данные 2st'!$MT$2:$MT$317))</f>
        <v>0</v>
      </c>
      <c r="RB79">
        <f>SUMPRODUCT(--('Данные 2st'!$Q$2:$Q$317=$A79),--ISNUMBER('Данные 2st'!$MU$2:$MU$317))</f>
        <v>0</v>
      </c>
      <c r="RC79">
        <f>SUMPRODUCT(--('Данные 2st'!$Q$2:$Q$317=$A79),--ISNUMBER('Данные 2st'!$MV$2:$MV$317))</f>
        <v>0</v>
      </c>
      <c r="RD79">
        <f>SUMPRODUCT(--('Данные 2st'!$Q$2:$Q$317=$A79),--ISNUMBER('Данные 2st'!$MW$2:$MW$317))</f>
        <v>0</v>
      </c>
      <c r="RE79">
        <f>SUMPRODUCT(--('Данные 2st'!$Q$2:$Q$317=$A79),--ISNUMBER('Данные 2st'!$MX$2:$MX$317))</f>
        <v>0</v>
      </c>
      <c r="RF79">
        <f>SUMPRODUCT(--('Данные 2st'!$Q$2:$Q$317=$A79),--ISNUMBER('Данные 2st'!$MY$2:$MY$317))</f>
        <v>0</v>
      </c>
      <c r="RG79">
        <f>SUMPRODUCT(--('Данные 2st'!$Q$2:$Q$317=$A79),--ISNUMBER('Данные 2st'!$MZ$2:$MZ$317))</f>
        <v>0</v>
      </c>
      <c r="RH79">
        <f>SUMPRODUCT(--('Данные 2st'!$Q$2:$Q$317=$A79),--ISNUMBER('Данные 2st'!$NA$2:$NA$317))</f>
        <v>0</v>
      </c>
      <c r="RI79">
        <f>SUMPRODUCT(--('Данные 2st'!$Q$2:$Q$317=$A79),--ISNUMBER('Данные 2st'!$NB$2:$NB$317))</f>
        <v>0</v>
      </c>
      <c r="RJ79">
        <f>SUMPRODUCT(--('Данные 2st'!$Q$2:$Q$317=$A79),--ISNUMBER('Данные 2st'!$NC$2:$NC$317))</f>
        <v>0</v>
      </c>
      <c r="RK79">
        <f>SUMPRODUCT(--('Данные 2st'!$Q$2:$Q$317=$A79),--ISNUMBER('Данные 2st'!$ND$2:$ND$317))</f>
        <v>0</v>
      </c>
      <c r="RL79">
        <f>SUMPRODUCT(--('Данные 2st'!$Q$2:$Q$317=$A79),--ISNUMBER('Данные 2st'!$NE$2:$NE$317))</f>
        <v>0</v>
      </c>
      <c r="RM79">
        <f>SUMPRODUCT(--('Данные 2st'!$Q$2:$Q$317=$A79),--ISNUMBER('Данные 2st'!$NF$2:$NF$317))</f>
        <v>0</v>
      </c>
      <c r="RN79">
        <f>SUMPRODUCT(--('Данные 2st'!$Q$2:$Q$317=$A79),--ISNUMBER('Данные 2st'!$NG$2:$NG$317))</f>
        <v>0</v>
      </c>
      <c r="RO79">
        <f>SUMPRODUCT(--('Данные 2st'!$Q$2:$Q$317=$A79),--ISNUMBER('Данные 2st'!$NH$2:$NH$317))</f>
        <v>0</v>
      </c>
      <c r="RP79">
        <f>SUMPRODUCT(--('Данные 2st'!$Q$2:$Q$317=$A79),--ISNUMBER('Данные 2st'!$NJ$2:$NJ$317))</f>
        <v>0</v>
      </c>
      <c r="RQ79">
        <f>SUMPRODUCT(--('Данные 2st'!$Q$2:$Q$317=$A79),--ISNUMBER('Данные 2st'!$NK$2:$NK$317))</f>
        <v>0</v>
      </c>
      <c r="RR79">
        <f>SUMPRODUCT(--('Данные 2st'!$Q$2:$Q$317=$A79),--ISNUMBER('Данные 2st'!$NM$2:$NM$317))</f>
        <v>0</v>
      </c>
      <c r="RS79">
        <f>SUMPRODUCT(--('Данные 2st'!$Q$2:$Q$317=$A79),--ISNUMBER('Данные 2st'!$NN$2:$NN$317))</f>
        <v>0</v>
      </c>
      <c r="RT79">
        <f>SUMPRODUCT(--('Данные 2st'!$Q$2:$Q$317=$A79),--ISNUMBER('Данные 2st'!$NO$2:$NO$317))</f>
        <v>0</v>
      </c>
      <c r="RU79">
        <f>SUMPRODUCT(--('Данные 2st'!$Q$2:$Q$317=$A79),--ISNUMBER('Данные 2st'!$NP$2:$NP$317))</f>
        <v>0</v>
      </c>
      <c r="RV79">
        <f>SUMPRODUCT(--('Данные 2st'!$Q$2:$Q$317=$A79),--ISNUMBER('Данные 2st'!$NQ$2:$NQ$317))</f>
        <v>0</v>
      </c>
      <c r="RW79">
        <f>SUMPRODUCT(--('Данные 2st'!$Q$2:$Q$317=$A79),--ISNUMBER('Данные 2st'!$NR$2:$NR$317))</f>
        <v>0</v>
      </c>
      <c r="RX79">
        <f>SUMPRODUCT(--('Данные 2st'!$Q$2:$Q$317=$A79),--ISNUMBER('Данные 2st'!$NS$2:$NS$317))</f>
        <v>0</v>
      </c>
      <c r="RY79">
        <f>SUMPRODUCT(--('Данные 2st'!$Q$2:$Q$317=$A79),--ISNUMBER('Данные 2st'!$NT$2:$NT$317))</f>
        <v>0</v>
      </c>
      <c r="RZ79">
        <f>SUMPRODUCT(--('Данные 2st'!$Q$2:$Q$317=$A79),--ISNUMBER('Данные 2st'!$OK$2:$OK$317))</f>
        <v>5</v>
      </c>
      <c r="SA79">
        <f>SUMPRODUCT(--('Данные 2st'!$Q$2:$Q$317=$A79),--ISNUMBER('Данные 2st'!$OL$2:$OL$317))</f>
        <v>5</v>
      </c>
      <c r="SB79">
        <f>SUMPRODUCT(--('Данные 2st'!$Q$2:$Q$317=$A79),--ISNUMBER('Данные 2st'!$ON$2:$ON$317))</f>
        <v>5</v>
      </c>
      <c r="SC79">
        <f>SUMPRODUCT(--('Данные 2st'!$Q$2:$Q$317=$A79),--ISNUMBER('Данные 2st'!$OO$2:$OO$317))</f>
        <v>5</v>
      </c>
      <c r="SD79">
        <f>SUMPRODUCT(--('Данные 2st'!$Q$2:$Q$317=$A79),--ISNUMBER('Данные 2st'!$OP$2:$OP$317))</f>
        <v>5</v>
      </c>
      <c r="SE79">
        <f>SUMPRODUCT(--('Данные 2st'!$Q$2:$Q$317=$A79),--ISNUMBER('Данные 2st'!$OQ$2:$OQ$317))</f>
        <v>5</v>
      </c>
      <c r="SF79">
        <f>SUMPRODUCT(--('Данные 2st'!$Q$2:$Q$317=$A79),--ISNUMBER('Данные 2st'!$OS$2:$OS$317))</f>
        <v>5</v>
      </c>
      <c r="SG79">
        <f>SUMPRODUCT(--('Данные 2st'!$Q$2:$Q$317=$A79),--ISNUMBER('Данные 2st'!$OT$2:$OT$317))</f>
        <v>5</v>
      </c>
      <c r="SH79">
        <f>SUMPRODUCT(--('Данные 2st'!$Q$2:$Q$317=$A79),--ISNUMBER('Данные 2st'!$OU$2:$OU$317))</f>
        <v>5</v>
      </c>
      <c r="SI79">
        <f>SUMPRODUCT(--('Данные 2st'!$Q$2:$Q$317=$A79),--ISNUMBER('Данные 2st'!$OV$2:$OV$317))</f>
        <v>5</v>
      </c>
      <c r="SJ79">
        <f>SUMPRODUCT(--('Данные 2st'!$Q$2:$Q$317=$A79),--ISNUMBER('Данные 2st'!$OX$2:$OX$317))</f>
        <v>5</v>
      </c>
      <c r="SK79">
        <f>SUMPRODUCT(--('Данные 2st'!$Q$2:$Q$317=$A79),--ISNUMBER('Данные 2st'!$OY$2:$OY$317))</f>
        <v>5</v>
      </c>
      <c r="SL79">
        <f>SUMPRODUCT(--('Данные 2st'!$Q$2:$Q$317=$A79),--ISNUMBER('Данные 2st'!$OZ$2:$OZ$317))</f>
        <v>5</v>
      </c>
      <c r="SM79">
        <f>SUMPRODUCT(--('Данные 2st'!$Q$2:$Q$317=$A79),--ISNUMBER('Данные 2st'!$PA$2:$PA$317))</f>
        <v>5</v>
      </c>
      <c r="SN79">
        <f>SUMPRODUCT(--('Данные 2st'!$Q$2:$Q$317=$A79),--ISNUMBER('Данные 2st'!$PC$2:$PC$317))</f>
        <v>5</v>
      </c>
      <c r="SO79">
        <f>SUMPRODUCT(--('Данные 2st'!$Q$2:$Q$317=$A79),--ISNUMBER('Данные 2st'!$PD$2:$PD$317))</f>
        <v>5</v>
      </c>
      <c r="SP79">
        <f>SUMPRODUCT(--('Данные 2st'!$Q$2:$Q$317=$A79),--ISNUMBER('Данные 2st'!$PF$2:$PF$317))</f>
        <v>5</v>
      </c>
      <c r="SQ79">
        <f>SUMPRODUCT(--('Данные 2st'!$Q$2:$Q$317=$A79),--ISNUMBER('Данные 2st'!$PG$2:$PG$317))</f>
        <v>5</v>
      </c>
      <c r="SR79">
        <f>SUMPRODUCT(--('Данные 2st'!$Q$2:$Q$317=$A79),--ISNUMBER('Данные 2st'!$PH$2:$PH$317))</f>
        <v>5</v>
      </c>
      <c r="SS79">
        <f>SUMPRODUCT(--('Данные 2st'!$Q$2:$Q$317=$A79),--ISNUMBER('Данные 2st'!$PI$2:$PI$317))</f>
        <v>5</v>
      </c>
      <c r="ST79">
        <f>SUMPRODUCT(--('Данные 2st'!$Q$2:$Q$317=$A79),--ISNUMBER('Данные 2st'!$PJ$2:$PJ$317))</f>
        <v>5</v>
      </c>
      <c r="SU79">
        <f>SUMPRODUCT(--('Данные 2st'!$Q$2:$Q$317=$A79),--ISNUMBER('Данные 2st'!$PK$2:$PK$317))</f>
        <v>4</v>
      </c>
      <c r="SV79">
        <f>SUMPRODUCT(--('Данные 2st'!$Q$2:$Q$317=$A79),--ISNUMBER('Данные 2st'!$PL$2:$PL$317))</f>
        <v>5</v>
      </c>
      <c r="SW79">
        <f>SUMPRODUCT(--('Данные 2st'!$Q$2:$Q$317=$A79),--ISNUMBER('Данные 2st'!$PM$2:$PM$317))</f>
        <v>5</v>
      </c>
      <c r="SX79">
        <f>SUMPRODUCT(--('Данные 2st'!$Q$2:$Q$317=$A79),--ISNUMBER('Данные 2st'!$PN$2:$PN$317))</f>
        <v>5</v>
      </c>
      <c r="SY79">
        <f>SUMPRODUCT(--('Данные 2st'!$Q$2:$Q$317=$A79),--ISNUMBER('Данные 2st'!$PO$2:$PO$317))</f>
        <v>4</v>
      </c>
      <c r="SZ79">
        <f>SUMPRODUCT(--('Данные 2st'!$Q$2:$Q$317=$A79),--ISNUMBER('Данные 2st'!$PP$2:$PP$317))</f>
        <v>5</v>
      </c>
      <c r="TA79">
        <f>SUMPRODUCT(--('Данные 2st'!$Q$2:$Q$317=$A79),--ISNUMBER('Данные 2st'!$PQ$2:$PQ$317))</f>
        <v>5</v>
      </c>
      <c r="TB79">
        <f>SUMPRODUCT(--('Данные 2st'!$Q$2:$Q$317=$A79),--ISNUMBER('Данные 2st'!$PR$2:$PR$317))</f>
        <v>5</v>
      </c>
      <c r="TC79">
        <f>SUMPRODUCT(--('Данные 2st'!$Q$2:$Q$317=$A79),--ISNUMBER('Данные 2st'!$PS$2:$PS$317))</f>
        <v>5</v>
      </c>
      <c r="TD79">
        <f>SUMPRODUCT(--('Данные 2st'!$Q$2:$Q$317=$A79),--ISNUMBER('Данные 2st'!$PT$2:$PT$317))</f>
        <v>5</v>
      </c>
      <c r="TE79">
        <f>SUMPRODUCT(--('Данные 2st'!$Q$2:$Q$317=$A79),--ISNUMBER('Данные 2st'!$PU$2:$PU$317))</f>
        <v>5</v>
      </c>
      <c r="TF79">
        <f>SUMPRODUCT(--('Данные 2st'!$Q$2:$Q$317=$A79),--ISNUMBER('Данные 2st'!$PX$2:$PX$317))</f>
        <v>5</v>
      </c>
      <c r="TG79">
        <f>SUMPRODUCT(--('Данные 2st'!$Q$2:$Q$317=$A79),--ISNUMBER('Данные 2st'!$PY$2:$PY$317))</f>
        <v>5</v>
      </c>
      <c r="TH79">
        <f>SUMPRODUCT(--('Данные 2st'!$Q$2:$Q$317=$A79),--ISNUMBER('Данные 2st'!$PZ$2:$PZ$317))</f>
        <v>5</v>
      </c>
      <c r="TI79">
        <f>SUMPRODUCT(--('Данные 2st'!$Q$2:$Q$317=$A79),--ISNUMBER('Данные 2st'!$QA$2:$QA$317))</f>
        <v>5</v>
      </c>
      <c r="TJ79">
        <f>SUMPRODUCT(--('Данные 2st'!$Q$2:$Q$317=$A79),--ISNUMBER('Данные 2st'!$QB$2:$QB$317))</f>
        <v>5</v>
      </c>
      <c r="TK79">
        <f>SUMPRODUCT(--('Данные 2st'!$Q$2:$Q$317=$A79),--ISNUMBER('Данные 2st'!$QC$2:$QC$317))</f>
        <v>5</v>
      </c>
      <c r="TL79">
        <f>SUMPRODUCT(--('Данные 2st'!$Q$2:$Q$317=$A79),--ISNUMBER('Данные 2st'!$QD$2:$QD$317))</f>
        <v>5</v>
      </c>
      <c r="TM79">
        <f>SUMPRODUCT(--('Данные 2st'!$Q$2:$Q$317=$A79),--ISNUMBER('Данные 2st'!$QE$2:$QE$317))</f>
        <v>5</v>
      </c>
      <c r="TN79">
        <f>SUMPRODUCT(--('Данные 2st'!$Q$2:$Q$317=$A79),--ISNUMBER('Данные 2st'!$QF$2:$QF$317))</f>
        <v>5</v>
      </c>
      <c r="TO79">
        <f>SUMPRODUCT(--('Данные 2st'!$Q$2:$Q$317=$A79),--ISNUMBER('Данные 2st'!$QG$2:$QG$317))</f>
        <v>5</v>
      </c>
      <c r="TP79">
        <f>SUMPRODUCT(--('Данные 2st'!$Q$2:$Q$317=$A79),--ISNUMBER('Данные 2st'!$QH$2:$QH$317))</f>
        <v>5</v>
      </c>
      <c r="TQ79">
        <f>SUMPRODUCT(--('Данные 2st'!$Q$2:$Q$317=$A79),--ISNUMBER('Данные 2st'!$QI$2:$QI$317))</f>
        <v>5</v>
      </c>
      <c r="TR79">
        <f>SUMPRODUCT(--('Данные 2st'!$Q$2:$Q$317=$A79),--ISNUMBER('Данные 2st'!$QJ$2:$QJ$317))</f>
        <v>5</v>
      </c>
      <c r="TS79">
        <f>SUMPRODUCT(--('Данные 2st'!$Q$2:$Q$317=$A79),--ISNUMBER('Данные 2st'!$QK$2:$QK$317))</f>
        <v>5</v>
      </c>
      <c r="TT79">
        <f>SUMPRODUCT(--('Данные 2st'!$Q$2:$Q$317=$A79),--ISNUMBER('Данные 2st'!$QL$2:$QL$317))</f>
        <v>5</v>
      </c>
      <c r="TU79">
        <f>SUMPRODUCT(--('Данные 2st'!$Q$2:$Q$317=$A79),--ISNUMBER('Данные 2st'!$QM$2:$QM$317))</f>
        <v>5</v>
      </c>
      <c r="TV79">
        <f>SUMPRODUCT(--('Данные 2st'!$Q$2:$Q$317=$A79),--ISNUMBER('Данные 2st'!$QN$2:$QN$317))</f>
        <v>5</v>
      </c>
      <c r="TW79">
        <f>SUMPRODUCT(--('Данные 2st'!$Q$2:$Q$317=$A79),--ISNUMBER('Данные 2st'!$QQ$2:$QQ$317))</f>
        <v>5</v>
      </c>
      <c r="TX79">
        <f>SUMPRODUCT(--('Данные 2st'!$Q$2:$Q$317=$A79),--ISNUMBER('Данные 2st'!$QS$2:$QS$317))</f>
        <v>5</v>
      </c>
      <c r="TY79">
        <f>SUMPRODUCT(--('Данные 2st'!$Q$2:$Q$317=$A79),--ISNUMBER('Данные 2st'!$QT$2:$QT$317))</f>
        <v>5</v>
      </c>
    </row>
    <row r="80" spans="1:545" ht="32" customHeight="1">
      <c r="A80" s="11" t="str">
        <f>'По размерам'!A80</f>
        <v>275/35R19</v>
      </c>
      <c r="G80">
        <f>SUMPRODUCT(--('Данные 1st'!$S$2:$S$317=$A80),--ISNUMBER('Данные 1st'!$AE$2:$AE$317))</f>
        <v>1</v>
      </c>
      <c r="H80">
        <f>SUMPRODUCT(--('Данные 1st'!$S$2:$S$317=$A80),--ISNUMBER('Данные 1st'!$AF$2:$AF$317))</f>
        <v>1</v>
      </c>
      <c r="I80">
        <f>SUMPRODUCT(--('Данные 1st'!$S$2:$S$317=$A80),--ISNUMBER('Данные 1st'!$AJ$2:$AJ$317))</f>
        <v>1</v>
      </c>
      <c r="J80">
        <f>SUMPRODUCT(--('Данные 1st'!$S$2:$S$317=$A80),--ISNUMBER('Данные 1st'!$AL$2:$AL$317))</f>
        <v>1</v>
      </c>
      <c r="K80">
        <f>SUMPRODUCT(--('Данные 1st'!$S$2:$S$317=$A80),--ISNUMBER('Данные 1st'!$AR$2:$AR$317))</f>
        <v>1</v>
      </c>
      <c r="L80">
        <f>SUMPRODUCT(--('Данные 1st'!$S$2:$S$317=$A80),--ISNUMBER('Данные 1st'!$AS$2:$AS$317))</f>
        <v>1</v>
      </c>
      <c r="M80">
        <f>SUMPRODUCT(--('Данные 1st'!$S$2:$S$317=$A80),--ISNUMBER('Данные 1st'!$AY$2:$AY$317))</f>
        <v>1</v>
      </c>
      <c r="N80">
        <f>SUMPRODUCT(--('Данные 1st'!$S$2:$S$317=$A80),--ISNUMBER('Данные 1st'!$AZ$2:$AZ$317))</f>
        <v>1</v>
      </c>
      <c r="O80">
        <f>SUMPRODUCT(--('Данные 1st'!$S$2:$S$317=$A80),--ISNUMBER('Данные 1st'!$BF$2:$BF$317))</f>
        <v>0</v>
      </c>
      <c r="P80">
        <f>SUMPRODUCT(--('Данные 1st'!$S$2:$S$317=$A80),--ISNUMBER('Данные 1st'!$BG$2:$BG$317))</f>
        <v>1</v>
      </c>
      <c r="Q80">
        <f>SUMPRODUCT(--('Данные 1st'!$S$2:$S$317=$A80),--ISNUMBER('Данные 1st'!$BM$2:$BM$317))</f>
        <v>0</v>
      </c>
      <c r="R80">
        <f>SUMPRODUCT(--('Данные 1st'!$S$2:$S$317=$A80),--ISNUMBER('Данные 1st'!$BN$2:$BN$317))</f>
        <v>1</v>
      </c>
      <c r="S80">
        <f>SUMPRODUCT(--('Данные 1st'!$S$2:$S$317=$A80),--ISNUMBER('Данные 1st'!$BT$2:$BT$317))</f>
        <v>1</v>
      </c>
      <c r="T80">
        <f>SUMPRODUCT(--('Данные 1st'!$S$2:$S$317=$A80),--ISNUMBER('Данные 1st'!$BU$2:$BU$317))</f>
        <v>1</v>
      </c>
      <c r="U80">
        <f>SUMPRODUCT(--('Данные 1st'!$S$2:$S$317=$A80),--ISNUMBER('Данные 1st'!$BW$2:$BW$317))</f>
        <v>1</v>
      </c>
      <c r="V80">
        <f>SUMPRODUCT(--('Данные 1st'!$S$2:$S$317=$A80),--ISNUMBER('Данные 1st'!$BX$2:$BX$317))</f>
        <v>1</v>
      </c>
      <c r="W80">
        <f>SUMPRODUCT(--('Данные 1st'!$S$2:$S$317=$A80),--ISNUMBER('Данные 1st'!$BZ$2:$BZ$317))</f>
        <v>1</v>
      </c>
      <c r="X80">
        <f>SUMPRODUCT(--('Данные 1st'!$S$2:$S$317=$A80),--ISNUMBER('Данные 1st'!$CA$2:$CA$317))</f>
        <v>1</v>
      </c>
      <c r="Y80">
        <f>SUMPRODUCT(--('Данные 1st'!$S$2:$S$317=$A80),--ISNUMBER('Данные 1st'!$CD$2:$CD$317))</f>
        <v>1</v>
      </c>
      <c r="Z80">
        <f>SUMPRODUCT(--('Данные 1st'!$S$2:$S$317=$A80),--ISNUMBER('Данные 1st'!$CF$2:$CF$317))</f>
        <v>1</v>
      </c>
      <c r="AA80">
        <f>SUMPRODUCT(--('Данные 1st'!$S$2:$S$317=$A80),--ISNUMBER('Данные 1st'!$CI$2:$CI$317))</f>
        <v>1</v>
      </c>
      <c r="AB80">
        <f>SUMPRODUCT(--('Данные 1st'!$S$2:$S$317=$A80),--ISNUMBER('Данные 1st'!$CJ$2:$CJ$317))</f>
        <v>1</v>
      </c>
      <c r="AC80">
        <f>SUMPRODUCT(--('Данные 1st'!$S$2:$S$317=$A80),--ISNUMBER('Данные 1st'!$CK$2:$CK$317))</f>
        <v>1</v>
      </c>
      <c r="AD80">
        <f>SUMPRODUCT(--('Данные 1st'!$S$2:$S$317=$A80),--ISNUMBER('Данные 1st'!$CL$2:$CL$317))</f>
        <v>1</v>
      </c>
      <c r="AE80">
        <f>SUMPRODUCT(--('Данные 1st'!$S$2:$S$317=$A80),--ISNUMBER('Данные 1st'!$CM$2:$CM$317))</f>
        <v>1</v>
      </c>
      <c r="AF80">
        <f>SUMPRODUCT(--('Данные 1st'!$S$2:$S$317=$A80),--ISNUMBER('Данные 1st'!$CT$2:$CT$317))</f>
        <v>1</v>
      </c>
      <c r="AG80">
        <f>SUMPRODUCT(--('Данные 1st'!$S$2:$S$317=$A80),--ISNUMBER('Данные 1st'!$CU$2:$CU$317))</f>
        <v>1</v>
      </c>
      <c r="AH80">
        <f>SUMPRODUCT(--('Данные 1st'!$S$2:$S$317=$A80),--ISNUMBER('Данные 1st'!$CV$2:$CV$317))</f>
        <v>1</v>
      </c>
      <c r="AI80">
        <f>SUMPRODUCT(--('Данные 1st'!$S$2:$S$317=$A80),--ISNUMBER('Данные 1st'!$CW$2:$CW$317))</f>
        <v>1</v>
      </c>
      <c r="AJ80">
        <f>SUMPRODUCT(--('Данные 1st'!$S$2:$S$317=$A80),--ISNUMBER('Данные 1st'!$CX$2:$CX$317))</f>
        <v>1</v>
      </c>
      <c r="AK80">
        <f>SUMPRODUCT(--('Данные 1st'!$S$2:$S$317=$A80),--ISNUMBER('Данные 1st'!$CZ$2:$CZ$317))</f>
        <v>1</v>
      </c>
      <c r="AL80">
        <f>SUMPRODUCT(--('Данные 1st'!$S$2:$S$317=$A80),--ISNUMBER('Данные 1st'!$DA$2:$DA$317))</f>
        <v>1</v>
      </c>
      <c r="AM80">
        <f>SUMPRODUCT(--('Данные 1st'!$S$2:$S$317=$A80),--ISNUMBER('Данные 1st'!$DB$2:$DB$317))</f>
        <v>1</v>
      </c>
      <c r="AN80">
        <f>SUMPRODUCT(--('Данные 1st'!$S$2:$S$317=$A80),--ISNUMBER('Данные 1st'!$DC$2:$DC$317))</f>
        <v>1</v>
      </c>
      <c r="AO80">
        <f>SUMPRODUCT(--('Данные 1st'!$S$2:$S$317=$A80),--ISNUMBER('Данные 1st'!$DD$2:$DD$317))</f>
        <v>1</v>
      </c>
      <c r="AP80">
        <f>SUMPRODUCT(--('Данные 1st'!$S$2:$S$317=$A80),--ISNUMBER('Данные 1st'!$DF$2:$DF$317))</f>
        <v>1</v>
      </c>
      <c r="AQ80">
        <f>SUMPRODUCT(--('Данные 1st'!$S$2:$S$317=$A80),--ISNUMBER('Данные 1st'!$DG$2:$DG$317))</f>
        <v>1</v>
      </c>
      <c r="AR80">
        <f>SUMPRODUCT(--('Данные 1st'!$S$2:$S$317=$A80),--ISNUMBER('Данные 1st'!$DH$2:$DH$317))</f>
        <v>1</v>
      </c>
      <c r="AS80">
        <f>SUMPRODUCT(--('Данные 1st'!$S$2:$S$317=$A80),--ISNUMBER('Данные 1st'!$DI$2:$DI$317))</f>
        <v>1</v>
      </c>
      <c r="AT80">
        <f>SUMPRODUCT(--('Данные 1st'!$S$2:$S$317=$A80),--ISNUMBER('Данные 1st'!$DJ$2:$DJ$317))</f>
        <v>1</v>
      </c>
      <c r="AU80">
        <f>SUMPRODUCT(--('Данные 1st'!$S$2:$S$317=$A80),--ISNUMBER('Данные 1st'!$DL$2:$DL$317))</f>
        <v>0</v>
      </c>
      <c r="AV80">
        <f>SUMPRODUCT(--('Данные 1st'!$S$2:$S$317=$A80),--ISNUMBER('Данные 1st'!$DM$2:$DM$317))</f>
        <v>0</v>
      </c>
      <c r="AW80">
        <f>SUMPRODUCT(--('Данные 1st'!$S$2:$S$317=$A80),--ISNUMBER('Данные 1st'!$DN$2:$DN$317))</f>
        <v>0</v>
      </c>
      <c r="AX80">
        <f>SUMPRODUCT(--('Данные 1st'!$S$2:$S$317=$A80),--ISNUMBER('Данные 1st'!$DO$2:$DO$317))</f>
        <v>0</v>
      </c>
      <c r="AY80">
        <f>SUMPRODUCT(--('Данные 1st'!$S$2:$S$317=$A80),--ISNUMBER('Данные 1st'!$DP$2:$DP$317))</f>
        <v>0</v>
      </c>
      <c r="AZ80">
        <f>SUMPRODUCT(--('Данные 1st'!$S$2:$S$317=$A80),--ISNUMBER('Данные 1st'!$DR$2:$DR$317))</f>
        <v>0</v>
      </c>
      <c r="BA80">
        <f>SUMPRODUCT(--('Данные 1st'!$S$2:$S$317=$A80),--ISNUMBER('Данные 1st'!$DS$2:$DS$317))</f>
        <v>0</v>
      </c>
      <c r="BB80">
        <f>SUMPRODUCT(--('Данные 1st'!$S$2:$S$317=$A80),--ISNUMBER('Данные 1st'!$DT$2:$DT$317))</f>
        <v>0</v>
      </c>
      <c r="BC80">
        <f>SUMPRODUCT(--('Данные 1st'!$S$2:$S$317=$A80),--ISNUMBER('Данные 1st'!$DU$2:$DU$317))</f>
        <v>0</v>
      </c>
      <c r="BD80">
        <f>SUMPRODUCT(--('Данные 1st'!$S$2:$S$317=$A80),--ISNUMBER('Данные 1st'!$DV$2:$DV$317))</f>
        <v>0</v>
      </c>
      <c r="BE80">
        <f>SUMPRODUCT(--('Данные 1st'!$S$2:$S$317=$A80),--ISNUMBER('Данные 1st'!$DX$2:$DX$317))</f>
        <v>1</v>
      </c>
      <c r="BF80">
        <f>SUMPRODUCT(--('Данные 1st'!$S$2:$S$317=$A80),--ISNUMBER('Данные 1st'!$EA$2:$EA$317))</f>
        <v>1</v>
      </c>
      <c r="BG80">
        <f>SUMPRODUCT(--('Данные 1st'!$S$2:$S$317=$A80),--ISNUMBER('Данные 1st'!$EB$2:$EB$317))</f>
        <v>1</v>
      </c>
      <c r="BH80">
        <f>SUMPRODUCT(--('Данные 1st'!$S$2:$S$317=$A80),--ISNUMBER('Данные 1st'!$ED$2:$ED$317))</f>
        <v>1</v>
      </c>
      <c r="BI80">
        <f>SUMPRODUCT(--('Данные 1st'!$S$2:$S$317=$A80),--ISNUMBER('Данные 1st'!$EE$2:$EE$317))</f>
        <v>1</v>
      </c>
      <c r="BJ80">
        <f>SUMPRODUCT(--('Данные 1st'!$S$2:$S$317=$A80),--ISNUMBER('Данные 1st'!$EG$2:$EG$317))</f>
        <v>1</v>
      </c>
      <c r="BK80">
        <f>SUMPRODUCT(--('Данные 1st'!$S$2:$S$317=$A80),--ISNUMBER('Данные 1st'!$EH$2:$EH$317))</f>
        <v>1</v>
      </c>
      <c r="BL80">
        <f>SUMPRODUCT(--('Данные 1st'!$S$2:$S$317=$A80),--ISNUMBER('Данные 1st'!$EJ$2:$EJ$317))</f>
        <v>1</v>
      </c>
      <c r="BM80">
        <f>SUMPRODUCT(--('Данные 1st'!$S$2:$S$317=$A80),--ISNUMBER('Данные 1st'!$EK$2:$EK$317))</f>
        <v>1</v>
      </c>
      <c r="BN80">
        <f>SUMPRODUCT(--('Данные 1st'!$S$2:$S$317=$A80),--ISNUMBER('Данные 1st'!$EN$2:$EN$317))</f>
        <v>1</v>
      </c>
      <c r="BO80">
        <f>SUMPRODUCT(--('Данные 1st'!$S$2:$S$317=$A80),--ISNUMBER('Данные 1st'!$EQ$2:$EQ$317))</f>
        <v>1</v>
      </c>
      <c r="BP80">
        <f>SUMPRODUCT(--('Данные 1st'!$S$2:$S$317=$A80),--ISNUMBER('Данные 1st'!$ER$2:$ER$317))</f>
        <v>1</v>
      </c>
      <c r="BQ80">
        <f>SUMPRODUCT(--('Данные 1st'!$S$2:$S$317=$A80),--ISNUMBER('Данные 1st'!$ES$2:$ES$317))</f>
        <v>1</v>
      </c>
      <c r="BR80">
        <f>SUMPRODUCT(--('Данные 1st'!$S$2:$S$317=$A80),--ISNUMBER('Данные 1st'!$ET$2:$ET$317))</f>
        <v>1</v>
      </c>
      <c r="BS80">
        <f>SUMPRODUCT(--('Данные 1st'!$S$2:$S$317=$A80),--ISNUMBER('Данные 1st'!$EU$2:$EU$317))</f>
        <v>1</v>
      </c>
      <c r="BT80">
        <f>SUMPRODUCT(--('Данные 1st'!$S$2:$S$317=$A80),--ISNUMBER('Данные 1st'!$EV$2:$EV$317))</f>
        <v>1</v>
      </c>
      <c r="BU80">
        <f>SUMPRODUCT(--('Данные 1st'!$S$2:$S$317=$A80),--ISNUMBER('Данные 1st'!$EX$2:$EX$317))</f>
        <v>1</v>
      </c>
      <c r="BV80">
        <f>SUMPRODUCT(--('Данные 1st'!$S$2:$S$317=$A80),--ISNUMBER('Данные 1st'!$EY$2:$EY$317))</f>
        <v>1</v>
      </c>
      <c r="BW80">
        <f>SUMPRODUCT(--('Данные 1st'!$S$2:$S$317=$A80),--ISNUMBER('Данные 1st'!$EZ$2:$EZ$317))</f>
        <v>1</v>
      </c>
      <c r="BX80">
        <f>SUMPRODUCT(--('Данные 1st'!$S$2:$S$317=$A80),--ISNUMBER('Данные 1st'!$FA$2:$FA$317))</f>
        <v>1</v>
      </c>
      <c r="BY80">
        <f>SUMPRODUCT(--('Данные 1st'!$S$2:$S$317=$A80),--ISNUMBER('Данные 1st'!$FB$2:$FB$317))</f>
        <v>1</v>
      </c>
      <c r="BZ80">
        <f>SUMPRODUCT(--('Данные 1st'!$S$2:$S$317=$A80),--ISNUMBER('Данные 1st'!$FC$2:$FC$317))</f>
        <v>1</v>
      </c>
      <c r="CA80">
        <f>SUMPRODUCT(--('Данные 1st'!$S$2:$S$317=$A80),--ISNUMBER('Данные 1st'!$FE$2:$FE$317))</f>
        <v>1</v>
      </c>
      <c r="CB80">
        <f>SUMPRODUCT(--('Данные 1st'!$S$2:$S$317=$A80),--ISNUMBER('Данные 1st'!$FF$2:$FF$317))</f>
        <v>1</v>
      </c>
      <c r="CC80">
        <f>SUMPRODUCT(--('Данные 1st'!$S$2:$S$317=$A80),--ISNUMBER('Данные 1st'!$FI$2:$FI$317))</f>
        <v>1</v>
      </c>
      <c r="CD80">
        <f>SUMPRODUCT(--('Данные 1st'!$S$2:$S$317=$A80),--ISNUMBER('Данные 1st'!$FL$2:$FL$317))</f>
        <v>1</v>
      </c>
      <c r="CE80">
        <f>SUMPRODUCT(--('Данные 1st'!$S$2:$S$317=$A80),--ISNUMBER('Данные 1st'!$FM$2:$FM$317))</f>
        <v>1</v>
      </c>
      <c r="CF80">
        <f>SUMPRODUCT(--('Данные 1st'!$S$2:$S$317=$A80),--ISNUMBER('Данные 1st'!$FN$2:$FN$317))</f>
        <v>1</v>
      </c>
      <c r="CG80">
        <f>SUMPRODUCT(--('Данные 1st'!$S$2:$S$317=$A80),--ISNUMBER('Данные 1st'!$FO$2:$FO$317))</f>
        <v>1</v>
      </c>
      <c r="CH80">
        <f>SUMPRODUCT(--('Данные 1st'!$S$2:$S$317=$A80),--ISNUMBER('Данные 1st'!$FP$2:$FP$317))</f>
        <v>1</v>
      </c>
      <c r="CI80">
        <f>SUMPRODUCT(--('Данные 1st'!$S$2:$S$317=$A80),--ISNUMBER('Данные 1st'!$FS$2:$FS$317))</f>
        <v>1</v>
      </c>
      <c r="CJ80">
        <f>SUMPRODUCT(--('Данные 1st'!$S$2:$S$317=$A80),--ISNUMBER('Данные 1st'!$FT$2:$FT$317))</f>
        <v>1</v>
      </c>
      <c r="CK80">
        <f>SUMPRODUCT(--('Данные 1st'!$S$2:$S$317=$A80),--ISNUMBER('Данные 1st'!$FU$2:$FU$317))</f>
        <v>1</v>
      </c>
      <c r="CL80">
        <f>SUMPRODUCT(--('Данные 1st'!$S$2:$S$317=$A80),--ISNUMBER('Данные 1st'!$FV$2:$FV$317))</f>
        <v>0</v>
      </c>
      <c r="CM80">
        <f>SUMPRODUCT(--('Данные 1st'!$S$2:$S$317=$A80),--ISNUMBER('Данные 1st'!$FW$2:$FW$317))</f>
        <v>0</v>
      </c>
      <c r="CN80">
        <f>SUMPRODUCT(--('Данные 1st'!$S$2:$S$317=$A80),--ISNUMBER('Данные 1st'!$FZ$2:$FZ$317))</f>
        <v>0</v>
      </c>
      <c r="CO80">
        <f>SUMPRODUCT(--('Данные 1st'!$S$2:$S$317=$A80),--ISNUMBER('Данные 1st'!$GA$2:$GA$317))</f>
        <v>0</v>
      </c>
      <c r="CP80">
        <f>SUMPRODUCT(--('Данные 1st'!$S$2:$S$317=$A80),--ISNUMBER('Данные 1st'!$GB$2:$GB$317))</f>
        <v>0</v>
      </c>
      <c r="CQ80">
        <f>SUMPRODUCT(--('Данные 1st'!$S$2:$S$317=$A80),--ISNUMBER('Данные 1st'!$GH$2:$GH$317))</f>
        <v>0</v>
      </c>
      <c r="CR80">
        <f>SUMPRODUCT(--('Данные 1st'!$S$2:$S$317=$A80),--ISNUMBER('Данные 1st'!$GI$2:$GI$317))</f>
        <v>0</v>
      </c>
      <c r="CS80">
        <f>SUMPRODUCT(--('Данные 1st'!$S$2:$S$317=$A80),--ISNUMBER('Данные 1st'!$GJ$2:$GJ$317))</f>
        <v>0</v>
      </c>
      <c r="CT80">
        <f>SUMPRODUCT(--('Данные 1st'!$S$2:$S$317=$A80),--ISNUMBER('Данные 1st'!$GS$2:$GS$317))</f>
        <v>0</v>
      </c>
      <c r="CU80">
        <f>SUMPRODUCT(--('Данные 1st'!$S$2:$S$317=$A80),--ISNUMBER('Данные 1st'!$GT$2:$GT$317))</f>
        <v>0</v>
      </c>
      <c r="CV80">
        <f>SUMPRODUCT(--('Данные 1st'!$S$2:$S$317=$A80),--ISNUMBER('Данные 1st'!$GU$2:$GU$317))</f>
        <v>0</v>
      </c>
      <c r="CW80">
        <f>SUMPRODUCT(--('Данные 1st'!$S$2:$S$317=$A80),--ISNUMBER('Данные 1st'!$GV$2:$GV$317))</f>
        <v>0</v>
      </c>
      <c r="CX80">
        <f>SUMPRODUCT(--('Данные 1st'!$S$2:$S$317=$A80),--ISNUMBER('Данные 1st'!$GW$2:$GW$317))</f>
        <v>0</v>
      </c>
      <c r="CY80">
        <f>SUMPRODUCT(--('Данные 1st'!$S$2:$S$317=$A80),--ISNUMBER('Данные 1st'!$GZ$2:$GZ$317))</f>
        <v>0</v>
      </c>
      <c r="CZ80">
        <f>SUMPRODUCT(--('Данные 1st'!$S$2:$S$317=$A80),--ISNUMBER('Данные 1st'!$HA$2:$HA$317))</f>
        <v>0</v>
      </c>
      <c r="DA80">
        <f>SUMPRODUCT(--('Данные 1st'!$S$2:$S$317=$A80),--ISNUMBER('Данные 1st'!$HB$2:$HB$317))</f>
        <v>0</v>
      </c>
      <c r="DB80">
        <f>SUMPRODUCT(--('Данные 1st'!$S$2:$S$317=$A80),--ISNUMBER('Данные 1st'!$HC$2:$HC$317))</f>
        <v>1</v>
      </c>
      <c r="DC80">
        <f>SUMPRODUCT(--('Данные 1st'!$S$2:$S$317=$A80),--ISNUMBER('Данные 1st'!$HD$2:$HD$317))</f>
        <v>1</v>
      </c>
      <c r="DD80">
        <f>SUMPRODUCT(--('Данные 1st'!$S$2:$S$317=$A80),--ISNUMBER('Данные 1st'!$HE$2:$HE$317))</f>
        <v>1</v>
      </c>
      <c r="DE80">
        <f>SUMPRODUCT(--('Данные 1st'!$S$2:$S$317=$A80),--ISNUMBER('Данные 1st'!$HF$2:$HF$317))</f>
        <v>1</v>
      </c>
      <c r="DF80">
        <f>SUMPRODUCT(--('Данные 1st'!$S$2:$S$317=$A80),--ISNUMBER('Данные 1st'!$HG$2:$HG$317))</f>
        <v>1</v>
      </c>
      <c r="DG80">
        <f>SUMPRODUCT(--('Данные 1st'!$S$2:$S$317=$A80),--ISNUMBER('Данные 1st'!$HH$2:$HH$317))</f>
        <v>1</v>
      </c>
      <c r="DH80">
        <f>SUMPRODUCT(--('Данные 1st'!$S$2:$S$317=$A80),--ISNUMBER('Данные 1st'!$HI$2:$HI$317))</f>
        <v>1</v>
      </c>
      <c r="DI80">
        <f>SUMPRODUCT(--('Данные 1st'!$S$2:$S$317=$A80),--ISNUMBER('Данные 1st'!$HJ$2:$HJ$317))</f>
        <v>1</v>
      </c>
      <c r="DJ80">
        <f>SUMPRODUCT(--('Данные 1st'!$S$2:$S$317=$A80),--ISNUMBER('Данные 1st'!$HK$2:$HK$317))</f>
        <v>1</v>
      </c>
      <c r="DK80">
        <f>SUMPRODUCT(--('Данные 1st'!$S$2:$S$317=$A80),--ISNUMBER('Данные 1st'!$HL$2:$HL$317))</f>
        <v>1</v>
      </c>
      <c r="DL80">
        <f>SUMPRODUCT(--('Данные 1st'!$S$2:$S$317=$A80),--ISNUMBER('Данные 1st'!$HM$2:$HM$317))</f>
        <v>1</v>
      </c>
      <c r="DM80">
        <f>SUMPRODUCT(--('Данные 1st'!$S$2:$S$317=$A80),--ISNUMBER('Данные 1st'!$HN$2:$HN$317))</f>
        <v>1</v>
      </c>
      <c r="DN80">
        <f>SUMPRODUCT(--('Данные 1st'!$S$2:$S$317=$A80),--ISNUMBER('Данные 1st'!$HO$2:$HO$317))</f>
        <v>1</v>
      </c>
      <c r="DO80">
        <f>SUMPRODUCT(--('Данные 1st'!$S$2:$S$317=$A80),--ISNUMBER('Данные 1st'!$HP$2:$HP$317))</f>
        <v>1</v>
      </c>
      <c r="DP80">
        <f>SUMPRODUCT(--('Данные 1st'!$S$2:$S$317=$A80),--ISNUMBER('Данные 1st'!$HQ$2:$HQ$317))</f>
        <v>1</v>
      </c>
      <c r="DQ80">
        <f>SUMPRODUCT(--('Данные 1st'!$S$2:$S$317=$A80),--ISNUMBER('Данные 1st'!$HR$2:$HR$317))</f>
        <v>1</v>
      </c>
      <c r="DR80">
        <f>SUMPRODUCT(--('Данные 1st'!$S$2:$S$317=$A80),--ISNUMBER('Данные 1st'!$HS$2:$HS$317))</f>
        <v>1</v>
      </c>
      <c r="DS80">
        <f>SUMPRODUCT(--('Данные 1st'!$S$2:$S$317=$A80),--ISNUMBER('Данные 1st'!$HT$2:$HT$317))</f>
        <v>1</v>
      </c>
      <c r="DT80">
        <f>SUMPRODUCT(--('Данные 1st'!$S$2:$S$317=$A80),--ISNUMBER('Данные 1st'!$HU$2:$HU$317))</f>
        <v>1</v>
      </c>
      <c r="DU80">
        <f>SUMPRODUCT(--('Данные 1st'!$S$2:$S$317=$A80),--ISNUMBER('Данные 1st'!$HW$2:$HW$317))</f>
        <v>1</v>
      </c>
      <c r="DV80">
        <f>SUMPRODUCT(--('Данные 1st'!$S$2:$S$317=$A80),--ISNUMBER('Данные 1st'!$HX$2:$HX$317))</f>
        <v>1</v>
      </c>
      <c r="DW80">
        <f>SUMPRODUCT(--('Данные 1st'!$S$2:$S$317=$A80),--ISNUMBER('Данные 1st'!$HY$2:$HY$317))</f>
        <v>1</v>
      </c>
      <c r="DX80">
        <f>SUMPRODUCT(--('Данные 1st'!$S$2:$S$317=$A80),--ISNUMBER('Данные 1st'!$IA$2:$IA$317))</f>
        <v>1</v>
      </c>
      <c r="DY80">
        <f>SUMPRODUCT(--('Данные 1st'!$S$2:$S$317=$A80),--ISNUMBER('Данные 1st'!$IB$2:$IB$317))</f>
        <v>1</v>
      </c>
      <c r="DZ80">
        <f>SUMPRODUCT(--('Данные 1st'!$S$2:$S$317=$A80),--ISNUMBER('Данные 1st'!$IC$2:$IC$317))</f>
        <v>1</v>
      </c>
      <c r="EA80">
        <f>SUMPRODUCT(--('Данные 1st'!$S$2:$S$317=$A80),--ISNUMBER('Данные 1st'!$ID$2:$ID$317))</f>
        <v>1</v>
      </c>
      <c r="EB80">
        <f>SUMPRODUCT(--('Данные 1st'!$S$2:$S$317=$A80),--ISNUMBER('Данные 1st'!$IE$2:$IE$317))</f>
        <v>1</v>
      </c>
      <c r="EC80">
        <f>SUMPRODUCT(--('Данные 1st'!$S$2:$S$317=$A80),--ISNUMBER('Данные 1st'!$IF$2:$IF$317))</f>
        <v>1</v>
      </c>
      <c r="ED80">
        <f>SUMPRODUCT(--('Данные 1st'!$S$2:$S$317=$A80),--ISNUMBER('Данные 1st'!$IP$2:$IP$317))</f>
        <v>1</v>
      </c>
      <c r="EE80">
        <f>SUMPRODUCT(--('Данные 1st'!$S$2:$S$317=$A80),--ISNUMBER('Данные 1st'!$IV$2:$IV$317))</f>
        <v>1</v>
      </c>
      <c r="EF80">
        <f>SUMPRODUCT(--('Данные 1st'!$S$2:$S$317=$A80),--ISNUMBER('Данные 1st'!$IW$2:$IW$317))</f>
        <v>1</v>
      </c>
      <c r="EG80">
        <f>SUMPRODUCT(--('Данные 1st'!$S$2:$S$317=$A80),--ISNUMBER('Данные 1st'!$IX$2:$IX$317))</f>
        <v>0</v>
      </c>
      <c r="EH80">
        <f>SUMPRODUCT(--('Данные 1st'!$S$2:$S$317=$A80),--ISNUMBER('Данные 1st'!$IY$2:$IY$317))</f>
        <v>0</v>
      </c>
      <c r="EI80">
        <f>SUMPRODUCT(--('Данные 1st'!$S$2:$S$317=$A80),--ISNUMBER('Данные 1st'!$JD$2:$JD$317))</f>
        <v>1</v>
      </c>
      <c r="EJ80">
        <f>SUMPRODUCT(--('Данные 1st'!$S$2:$S$317=$A80),--ISNUMBER('Данные 1st'!$JE$2:$JE$317))</f>
        <v>1</v>
      </c>
      <c r="EK80">
        <f>SUMPRODUCT(--('Данные 1st'!$S$2:$S$317=$A80),--ISNUMBER('Данные 1st'!$JF$2:$JF$317))</f>
        <v>1</v>
      </c>
      <c r="EL80">
        <f>SUMPRODUCT(--('Данные 1st'!$S$2:$S$317=$A80),--ISNUMBER('Данные 1st'!$JG$2:$JG$317))</f>
        <v>1</v>
      </c>
      <c r="EM80">
        <f>SUMPRODUCT(--('Данные 1st'!$S$2:$S$317=$A80),--ISNUMBER('Данные 1st'!$JH$2:$JH$317))</f>
        <v>1</v>
      </c>
      <c r="EN80">
        <f>SUMPRODUCT(--('Данные 1st'!$S$2:$S$317=$A80),--ISNUMBER('Данные 1st'!$JJ$2:$JJ$317))</f>
        <v>1</v>
      </c>
      <c r="EO80">
        <f>SUMPRODUCT(--('Данные 1st'!$S$2:$S$317=$A80),--ISNUMBER('Данные 1st'!$JK$2:$JK$317))</f>
        <v>1</v>
      </c>
      <c r="EP80">
        <f>SUMPRODUCT(--('Данные 1st'!$S$2:$S$317=$A80),--ISNUMBER('Данные 1st'!$JL$2:$JL$317))</f>
        <v>0</v>
      </c>
      <c r="EQ80">
        <f>SUMPRODUCT(--('Данные 1st'!$S$2:$S$317=$A80),--ISNUMBER('Данные 1st'!$JM$2:$JM$317))</f>
        <v>0</v>
      </c>
      <c r="ER80">
        <f>SUMPRODUCT(--('Данные 1st'!$S$2:$S$317=$A80),--ISNUMBER('Данные 1st'!$JN$2:$JN$317))</f>
        <v>1</v>
      </c>
      <c r="ES80">
        <f>SUMPRODUCT(--('Данные 1st'!$S$2:$S$317=$A80),--ISNUMBER('Данные 1st'!$JO$2:$JO$317))</f>
        <v>1</v>
      </c>
      <c r="ET80">
        <f>SUMPRODUCT(--('Данные 1st'!$S$2:$S$317=$A80),--ISNUMBER('Данные 1st'!$JP$2:$JP$317))</f>
        <v>1</v>
      </c>
      <c r="EU80">
        <f>SUMPRODUCT(--('Данные 1st'!$S$2:$S$317=$A80),--ISNUMBER('Данные 1st'!$JQ$2:$JQ$317))</f>
        <v>1</v>
      </c>
      <c r="EV80">
        <f>SUMPRODUCT(--('Данные 1st'!$S$2:$S$317=$A80),--ISNUMBER('Данные 1st'!$JR$2:$JR$317))</f>
        <v>1</v>
      </c>
      <c r="EW80">
        <f>SUMPRODUCT(--('Данные 1st'!$S$2:$S$317=$A80),--ISNUMBER('Данные 1st'!$JS$2:$JS$317))</f>
        <v>1</v>
      </c>
      <c r="EX80">
        <f>SUMPRODUCT(--('Данные 1st'!$S$2:$S$317=$A80),--ISNUMBER('Данные 1st'!$JT$2:$JT$317))</f>
        <v>0</v>
      </c>
      <c r="EY80">
        <f>SUMPRODUCT(--('Данные 1st'!$S$2:$S$317=$A80),--ISNUMBER('Данные 1st'!$JU$2:$JU$317))</f>
        <v>0</v>
      </c>
      <c r="EZ80">
        <f>SUMPRODUCT(--('Данные 1st'!$S$2:$S$317=$A80),--ISNUMBER('Данные 1st'!$JV$2:$JV$317))</f>
        <v>1</v>
      </c>
      <c r="FA80">
        <f>SUMPRODUCT(--('Данные 1st'!$S$2:$S$317=$A80),--ISNUMBER('Данные 1st'!$JW$2:$JW$317))</f>
        <v>0</v>
      </c>
      <c r="FB80">
        <f>SUMPRODUCT(--('Данные 1st'!$S$2:$S$317=$A80),--ISNUMBER('Данные 1st'!$JX$2:$JX$317))</f>
        <v>1</v>
      </c>
      <c r="FC80">
        <f>SUMPRODUCT(--('Данные 1st'!$S$2:$S$317=$A80),--ISNUMBER('Данные 1st'!$JY$2:$JY$317))</f>
        <v>0</v>
      </c>
      <c r="FD80">
        <f>SUMPRODUCT(--('Данные 1st'!$S$2:$S$317=$A80),--ISNUMBER('Данные 1st'!$JZ$2:$JZ$317))</f>
        <v>0</v>
      </c>
      <c r="FE80">
        <f>SUMPRODUCT(--('Данные 1st'!$S$2:$S$317=$A80),--ISNUMBER('Данные 1st'!$KA$2:$KA$317))</f>
        <v>1</v>
      </c>
      <c r="FF80">
        <f>SUMPRODUCT(--('Данные 1st'!$S$2:$S$317=$A80),--ISNUMBER('Данные 1st'!$KB$2:$KB$317))</f>
        <v>1</v>
      </c>
      <c r="FG80">
        <f>SUMPRODUCT(--('Данные 1st'!$S$2:$S$317=$A80),--ISNUMBER('Данные 1st'!$KC$2:$KC$317))</f>
        <v>1</v>
      </c>
      <c r="FH80">
        <f>SUMPRODUCT(--('Данные 1st'!$S$2:$S$317=$A80),--ISNUMBER('Данные 1st'!$KD$2:$KD$317))</f>
        <v>1</v>
      </c>
      <c r="FI80">
        <f>SUMPRODUCT(--('Данные 1st'!$S$2:$S$317=$A80),--ISNUMBER('Данные 1st'!$KE$2:$KE$317))</f>
        <v>0</v>
      </c>
      <c r="FJ80">
        <f>SUMPRODUCT(--('Данные 1st'!$S$2:$S$317=$A80),--ISNUMBER('Данные 1st'!$KF$2:$KF$317))</f>
        <v>1</v>
      </c>
      <c r="FK80">
        <f>SUMPRODUCT(--('Данные 1st'!$S$2:$S$317=$A80),--ISNUMBER('Данные 1st'!$KG$2:$KG$317))</f>
        <v>1</v>
      </c>
      <c r="FL80">
        <f>SUMPRODUCT(--('Данные 1st'!$S$2:$S$317=$A80),--ISNUMBER('Данные 1st'!$KH$2:$KH$317))</f>
        <v>1</v>
      </c>
      <c r="FM80">
        <f>SUMPRODUCT(--('Данные 1st'!$S$2:$S$317=$A80),--ISNUMBER('Данные 1st'!$KI$2:$KI$317))</f>
        <v>1</v>
      </c>
      <c r="FN80">
        <f>SUMPRODUCT(--('Данные 1st'!$S$2:$S$317=$A80),--ISNUMBER('Данные 1st'!$KJ$2:$KJ$317))</f>
        <v>1</v>
      </c>
      <c r="FO80">
        <f>SUMPRODUCT(--('Данные 1st'!$S$2:$S$317=$A80),--ISNUMBER('Данные 1st'!$KK$2:$KK$317))</f>
        <v>1</v>
      </c>
      <c r="FP80">
        <f>SUMPRODUCT(--('Данные 1st'!$S$2:$S$317=$A80),--ISNUMBER('Данные 1st'!$KL$2:$KL$317))</f>
        <v>1</v>
      </c>
      <c r="FQ80">
        <f>SUMPRODUCT(--('Данные 1st'!$S$2:$S$317=$A80),--ISNUMBER('Данные 1st'!$KM$2:$KM$317))</f>
        <v>1</v>
      </c>
      <c r="FR80">
        <f>SUMPRODUCT(--('Данные 1st'!$S$2:$S$317=$A80),--ISNUMBER('Данные 1st'!$KN$2:$KN$317))</f>
        <v>1</v>
      </c>
      <c r="FS80">
        <f>SUMPRODUCT(--('Данные 1st'!$S$2:$S$317=$A80),--ISNUMBER('Данные 1st'!$KR$2:$KR$317))</f>
        <v>1</v>
      </c>
      <c r="FT80">
        <f>SUMPRODUCT(--('Данные 1st'!$S$2:$S$317=$A80),--ISNUMBER('Данные 1st'!$KS$2:$KS$317))</f>
        <v>1</v>
      </c>
      <c r="FU80">
        <f>SUMPRODUCT(--('Данные 1st'!$S$2:$S$317=$A80),--ISNUMBER('Данные 1st'!$KT$2:$KT$317))</f>
        <v>1</v>
      </c>
      <c r="FV80">
        <f>SUMPRODUCT(--('Данные 1st'!$S$2:$S$317=$A80),--ISNUMBER('Данные 1st'!$KV$2:$KV$317))</f>
        <v>0</v>
      </c>
      <c r="FW80">
        <f>SUMPRODUCT(--('Данные 1st'!$S$2:$S$317=$A80),--ISNUMBER('Данные 1st'!$KW$2:$KW$317))</f>
        <v>0</v>
      </c>
      <c r="FX80">
        <f>SUMPRODUCT(--('Данные 1st'!$S$2:$S$317=$A80),--ISNUMBER('Данные 1st'!$KX$2:$KX$317))</f>
        <v>0</v>
      </c>
      <c r="FY80">
        <f>SUMPRODUCT(--('Данные 1st'!$S$2:$S$317=$A80),--ISNUMBER('Данные 1st'!$KY$2:$KY$317))</f>
        <v>0</v>
      </c>
      <c r="FZ80">
        <f>SUMPRODUCT(--('Данные 1st'!$S$2:$S$317=$A80),--ISNUMBER('Данные 1st'!$KZ$2:$KZ$317))</f>
        <v>0</v>
      </c>
      <c r="GA80">
        <f>SUMPRODUCT(--('Данные 1st'!$S$2:$S$317=$A80),--ISNUMBER('Данные 1st'!$LA$2:$LA$317))</f>
        <v>0</v>
      </c>
      <c r="GB80">
        <f>SUMPRODUCT(--('Данные 1st'!$S$2:$S$317=$A80),--ISNUMBER('Данные 1st'!$LB$2:$LB$317))</f>
        <v>0</v>
      </c>
      <c r="GC80">
        <f>SUMPRODUCT(--('Данные 1st'!$S$2:$S$317=$A80),--ISNUMBER('Данные 1st'!$LC$2:$LC$317))</f>
        <v>0</v>
      </c>
      <c r="GD80">
        <f>SUMPRODUCT(--('Данные 1st'!$S$2:$S$317=$A80),--ISNUMBER('Данные 1st'!$LD$2:$LD$317))</f>
        <v>0</v>
      </c>
      <c r="GE80">
        <f>SUMPRODUCT(--('Данные 1st'!$S$2:$S$317=$A80),--ISNUMBER('Данные 1st'!$LE$2:$LE$317))</f>
        <v>0</v>
      </c>
      <c r="GF80">
        <f>SUMPRODUCT(--('Данные 1st'!$S$2:$S$317=$A80),--ISNUMBER('Данные 1st'!$LF$2:$LF$317))</f>
        <v>0</v>
      </c>
      <c r="GG80">
        <f>SUMPRODUCT(--('Данные 1st'!$S$2:$S$317=$A80),--ISNUMBER('Данные 1st'!$LG$2:$LG$317))</f>
        <v>0</v>
      </c>
      <c r="GH80">
        <f>SUMPRODUCT(--('Данные 1st'!$S$2:$S$317=$A80),--ISNUMBER('Данные 1st'!$LH$2:$LH$317))</f>
        <v>0</v>
      </c>
      <c r="GI80">
        <f>SUMPRODUCT(--('Данные 1st'!$S$2:$S$317=$A80),--ISNUMBER('Данные 1st'!$LI$2:$LI$317))</f>
        <v>0</v>
      </c>
      <c r="GJ80">
        <f>SUMPRODUCT(--('Данные 1st'!$S$2:$S$317=$A80),--ISNUMBER('Данные 1st'!$LJ$2:$LJ$317))</f>
        <v>0</v>
      </c>
      <c r="GK80">
        <f>SUMPRODUCT(--('Данные 1st'!$S$2:$S$317=$A80),--ISNUMBER('Данные 1st'!$LK$2:$LK$317))</f>
        <v>1</v>
      </c>
      <c r="GL80">
        <f>SUMPRODUCT(--('Данные 1st'!$S$2:$S$317=$A80),--ISNUMBER('Данные 1st'!$LV$2:$LV$317))</f>
        <v>0</v>
      </c>
      <c r="GM80">
        <f>SUMPRODUCT(--('Данные 1st'!$S$2:$S$317=$A80),--ISNUMBER('Данные 1st'!$LW$2:$LW$317))</f>
        <v>0</v>
      </c>
      <c r="GN80">
        <f>SUMPRODUCT(--('Данные 1st'!$S$2:$S$317=$A80),--ISNUMBER('Данные 1st'!$LX$2:$LX$317))</f>
        <v>0</v>
      </c>
      <c r="GO80">
        <f>SUMPRODUCT(--('Данные 1st'!$S$2:$S$317=$A80),--ISNUMBER('Данные 1st'!$LY$2:$LY$317))</f>
        <v>0</v>
      </c>
      <c r="GP80">
        <f>SUMPRODUCT(--('Данные 1st'!$S$2:$S$317=$A80),--ISNUMBER('Данные 1st'!$LZ$2:$LZ$317))</f>
        <v>0</v>
      </c>
      <c r="GQ80">
        <f>SUMPRODUCT(--('Данные 1st'!$S$2:$S$317=$A80),--ISNUMBER('Данные 1st'!$PG$2:$PG$317))</f>
        <v>1</v>
      </c>
      <c r="GR80">
        <f>SUMPRODUCT(--('Данные 1st'!$S$2:$S$317=$A80),--ISNUMBER('Данные 1st'!$PX$2:$PX$317))</f>
        <v>1</v>
      </c>
      <c r="GS80">
        <f>SUMPRODUCT(--('Данные 1st'!$S$2:$S$317=$A80),--ISNUMBER('Данные 1st'!$PY$2:$PY$317))</f>
        <v>1</v>
      </c>
      <c r="GT80">
        <f>SUMPRODUCT(--('Данные 1st'!$S$2:$S$317=$A80),--ISNUMBER('Данные 1st'!$QA$2:$QA$317))</f>
        <v>1</v>
      </c>
      <c r="GU80">
        <f>SUMPRODUCT(--('Данные 1st'!$S$2:$S$317=$A80),--ISNUMBER('Данные 1st'!$QB$2:$QB$317))</f>
        <v>1</v>
      </c>
      <c r="GV80">
        <f>SUMPRODUCT(--('Данные 1st'!$S$2:$S$317=$A80),--ISNUMBER('Данные 1st'!$QC$2:$QC$317))</f>
        <v>1</v>
      </c>
      <c r="GW80">
        <f>SUMPRODUCT(--('Данные 1st'!$S$2:$S$317=$A80),--ISNUMBER('Данные 1st'!$QD$2:$QD$317))</f>
        <v>1</v>
      </c>
      <c r="GX80">
        <f>SUMPRODUCT(--('Данные 1st'!$S$2:$S$317=$A80),--ISNUMBER('Данные 1st'!$QF$2:$QF$317))</f>
        <v>1</v>
      </c>
      <c r="GY80">
        <f>SUMPRODUCT(--('Данные 1st'!$S$2:$S$317=$A80),--ISNUMBER('Данные 1st'!$QG$2:$QG$317))</f>
        <v>1</v>
      </c>
      <c r="GZ80">
        <f>SUMPRODUCT(--('Данные 1st'!$S$2:$S$317=$A80),--ISNUMBER('Данные 1st'!$QH$2:$QH$317))</f>
        <v>1</v>
      </c>
      <c r="HA80">
        <f>SUMPRODUCT(--('Данные 1st'!$S$2:$S$317=$A80),--ISNUMBER('Данные 1st'!$QI$2:$QI$317))</f>
        <v>1</v>
      </c>
      <c r="HB80">
        <f>SUMPRODUCT(--('Данные 1st'!$S$2:$S$317=$A80),--ISNUMBER('Данные 1st'!$QK$2:$QK$317))</f>
        <v>1</v>
      </c>
      <c r="HC80">
        <f>SUMPRODUCT(--('Данные 1st'!$S$2:$S$317=$A80),--ISNUMBER('Данные 1st'!$QL$2:$QL$317))</f>
        <v>1</v>
      </c>
      <c r="HD80">
        <f>SUMPRODUCT(--('Данные 1st'!$S$2:$S$317=$A80),--ISNUMBER('Данные 1st'!$QM$2:$QM$317))</f>
        <v>1</v>
      </c>
      <c r="HE80">
        <f>SUMPRODUCT(--('Данные 1st'!$S$2:$S$317=$A80),--ISNUMBER('Данные 1st'!$QN$2:$QN$317))</f>
        <v>1</v>
      </c>
      <c r="HF80">
        <f>SUMPRODUCT(--('Данные 1st'!$S$2:$S$317=$A80),--ISNUMBER('Данные 1st'!$QP$2:$QP$317))</f>
        <v>1</v>
      </c>
      <c r="HG80">
        <f>SUMPRODUCT(--('Данные 1st'!$S$2:$S$317=$A80),--ISNUMBER('Данные 1st'!$QQ$2:$QQ$317))</f>
        <v>1</v>
      </c>
      <c r="HH80">
        <f>SUMPRODUCT(--('Данные 1st'!$S$2:$S$317=$A80),--ISNUMBER('Данные 1st'!$QR$2:$QR$317))</f>
        <v>0</v>
      </c>
      <c r="HI80">
        <f>SUMPRODUCT(--('Данные 1st'!$S$2:$S$317=$A80),--ISNUMBER('Данные 1st'!$QS$2:$QS$317))</f>
        <v>0</v>
      </c>
      <c r="HJ80">
        <f>SUMPRODUCT(--('Данные 1st'!$S$2:$S$317=$A80),--ISNUMBER('Данные 1st'!$QU$2:$QU$317))</f>
        <v>0</v>
      </c>
      <c r="HK80">
        <f>SUMPRODUCT(--('Данные 1st'!$S$2:$S$317=$A80),--ISNUMBER('Данные 1st'!$QV$2:$QV$317))</f>
        <v>0</v>
      </c>
      <c r="HL80">
        <f>SUMPRODUCT(--('Данные 1st'!$S$2:$S$317=$A80),--ISNUMBER('Данные 1st'!$QW$2:$QW$317))</f>
        <v>1</v>
      </c>
      <c r="HM80">
        <f>SUMPRODUCT(--('Данные 1st'!$S$2:$S$317=$A80),--ISNUMBER('Данные 1st'!$QX$2:$QX$317))</f>
        <v>1</v>
      </c>
      <c r="HN80">
        <f>SUMPRODUCT(--('Данные 1st'!$S$2:$S$317=$A80),--ISNUMBER('Данные 1st'!$QZ$2:$QZ$317))</f>
        <v>1</v>
      </c>
      <c r="HO80">
        <f>SUMPRODUCT(--('Данные 1st'!$S$2:$S$317=$A80),--ISNUMBER('Данные 1st'!$RA$2:$RA$317))</f>
        <v>1</v>
      </c>
      <c r="HP80">
        <f>SUMPRODUCT(--('Данные 1st'!$S$2:$S$317=$A80),--ISNUMBER('Данные 1st'!$RB$2:$RB$317))</f>
        <v>1</v>
      </c>
      <c r="HQ80">
        <f>SUMPRODUCT(--('Данные 1st'!$S$2:$S$317=$A80),--ISNUMBER('Данные 1st'!$RD$2:$RD$317))</f>
        <v>0</v>
      </c>
      <c r="HR80">
        <f>SUMPRODUCT(--('Данные 1st'!$S$2:$S$317=$A80),--ISNUMBER('Данные 1st'!$RE$2:$RE$317))</f>
        <v>1</v>
      </c>
      <c r="HS80">
        <f>SUMPRODUCT(--('Данные 1st'!$S$2:$S$317=$A80),--ISNUMBER('Данные 1st'!$RF$2:$RF$317))</f>
        <v>1</v>
      </c>
      <c r="HT80">
        <f>SUMPRODUCT(--('Данные 1st'!$S$2:$S$317=$A80),--ISNUMBER('Данные 1st'!$RG$2:$RG$317))</f>
        <v>0</v>
      </c>
      <c r="HU80">
        <f>SUMPRODUCT(--('Данные 1st'!$S$2:$S$317=$A80),--ISNUMBER('Данные 1st'!$RH$2:$RH$317))</f>
        <v>0</v>
      </c>
      <c r="HV80">
        <f>SUMPRODUCT(--('Данные 1st'!$S$2:$S$317=$A80),--ISNUMBER('Данные 1st'!$RI$2:$RI$317))</f>
        <v>0</v>
      </c>
      <c r="HW80">
        <f>SUMPRODUCT(--('Данные 1st'!$S$2:$S$317=$A80),--ISNUMBER('Данные 1st'!$RJ$2:$RJ$317))</f>
        <v>1</v>
      </c>
      <c r="HX80">
        <f>SUMPRODUCT(--('Данные 1st'!$S$2:$S$317=$A80),--ISNUMBER('Данные 1st'!$RK$2:$RK$317))</f>
        <v>1</v>
      </c>
      <c r="HY80">
        <f>SUMPRODUCT(--('Данные 1st'!$S$2:$S$317=$A80),--ISNUMBER('Данные 1st'!$RL$2:$RL$317))</f>
        <v>1</v>
      </c>
      <c r="HZ80">
        <f>SUMPRODUCT(--('Данные 1st'!$S$2:$S$317=$A80),--ISNUMBER('Данные 1st'!$RM$2:$RM$317))</f>
        <v>0</v>
      </c>
      <c r="IA80">
        <f>SUMPRODUCT(--('Данные 1st'!$S$2:$S$317=$A80),--ISNUMBER('Данные 1st'!$RN$2:$RN$317))</f>
        <v>0</v>
      </c>
      <c r="IB80">
        <f>SUMPRODUCT(--('Данные 1st'!$S$2:$S$317=$A80),--ISNUMBER('Данные 1st'!$RO$2:$RO$317))</f>
        <v>1</v>
      </c>
      <c r="IC80">
        <f>SUMPRODUCT(--('Данные 1st'!$S$2:$S$317=$A80),--ISNUMBER('Данные 1st'!$RP$2:$RP$317))</f>
        <v>1</v>
      </c>
      <c r="ID80">
        <f>SUMPRODUCT(--('Данные 1st'!$S$2:$S$317=$A80),--ISNUMBER('Данные 1st'!$RQ$2:$RQ$317))</f>
        <v>1</v>
      </c>
      <c r="IE80">
        <f>SUMPRODUCT(--('Данные 1st'!$S$2:$S$317=$A80),--ISNUMBER('Данные 1st'!$RR$2:$RR$317))</f>
        <v>0</v>
      </c>
      <c r="IF80">
        <f>SUMPRODUCT(--('Данные 1st'!$S$2:$S$317=$A80),--ISNUMBER('Данные 1st'!$RS$2:$RS$317))</f>
        <v>0</v>
      </c>
      <c r="IG80">
        <f>SUMPRODUCT(--('Данные 1st'!$S$2:$S$317=$A80),--ISNUMBER('Данные 1st'!$RT$2:$RT$317))</f>
        <v>1</v>
      </c>
      <c r="IH80">
        <f>SUMPRODUCT(--('Данные 1st'!$S$2:$S$317=$A80),--ISNUMBER('Данные 1st'!$RU$2:$RU$317))</f>
        <v>1</v>
      </c>
      <c r="II80">
        <f>SUMPRODUCT(--('Данные 1st'!$S$2:$S$317=$A80),--ISNUMBER('Данные 1st'!$RX$2:$RX$317))</f>
        <v>1</v>
      </c>
      <c r="IJ80">
        <f>SUMPRODUCT(--('Данные 1st'!$S$2:$S$317=$A80),--ISNUMBER('Данные 1st'!$RY$2:$RY$317))</f>
        <v>1</v>
      </c>
      <c r="IK80">
        <f>SUMPRODUCT(--('Данные 1st'!$S$2:$S$317=$A80),--ISNUMBER('Данные 1st'!$SA$2:$SA$317))</f>
        <v>1</v>
      </c>
      <c r="IL80">
        <f>SUMPRODUCT(--('Данные 1st'!$S$2:$S$317=$A80),--ISNUMBER('Данные 1st'!$SD$2:$SD$317))</f>
        <v>1</v>
      </c>
      <c r="IM80">
        <f>SUMPRODUCT(--('Данные 1st'!$S$2:$S$317=$A80),--ISNUMBER('Данные 1st'!$SG$2:$SG$317))</f>
        <v>0</v>
      </c>
      <c r="IN80">
        <f>SUMPRODUCT(--('Данные 1st'!$S$2:$S$317=$A80),--ISNUMBER('Данные 1st'!$SH$2:$SH$317))</f>
        <v>1</v>
      </c>
      <c r="IO80">
        <f>SUMPRODUCT(--('Данные 1st'!$S$2:$S$317=$A80),--ISNUMBER('Данные 1st'!$SI$2:$SI$317))</f>
        <v>1</v>
      </c>
      <c r="IP80">
        <f>SUMPRODUCT(--('Данные 1st'!$S$2:$S$317=$A80),--ISNUMBER('Данные 1st'!$SJ$2:$SJ$317))</f>
        <v>1</v>
      </c>
      <c r="IQ80">
        <f>SUMPRODUCT(--('Данные 1st'!$S$2:$S$317=$A80),--ISNUMBER('Данные 1st'!$SK$2:$SK$317))</f>
        <v>1</v>
      </c>
      <c r="IR80">
        <f>SUMPRODUCT(--('Данные 1st'!$S$2:$S$317=$A80),--ISNUMBER('Данные 1st'!$SL$2:$SL$317))</f>
        <v>1</v>
      </c>
      <c r="IS80">
        <f>SUMPRODUCT(--('Данные 1st'!$S$2:$S$317=$A80),--ISNUMBER('Данные 1st'!$SM$2:$SM$317))</f>
        <v>1</v>
      </c>
      <c r="IT80">
        <f>SUMPRODUCT(--('Данные 1st'!$S$2:$S$317=$A80),--ISNUMBER('Данные 1st'!$SN$2:$SN$317))</f>
        <v>1</v>
      </c>
      <c r="IU80">
        <f>SUMPRODUCT(--('Данные 1st'!$S$2:$S$317=$A80),--ISNUMBER('Данные 1st'!$SO$2:$SO$317))</f>
        <v>1</v>
      </c>
      <c r="IV80">
        <f>SUMPRODUCT(--('Данные 1st'!$S$2:$S$317=$A80),--ISNUMBER('Данные 1st'!$SP$2:$SP$317))</f>
        <v>1</v>
      </c>
      <c r="IW80">
        <f>SUMPRODUCT(--('Данные 1st'!$S$2:$S$317=$A80),--ISNUMBER('Данные 1st'!$SQ$2:$SQ$317))</f>
        <v>1</v>
      </c>
      <c r="IX80">
        <f>SUMPRODUCT(--('Данные 1st'!$S$2:$S$317=$A80),--ISNUMBER('Данные 1st'!$SR$2:$SR$317))</f>
        <v>1</v>
      </c>
      <c r="IY80">
        <f>SUMPRODUCT(--('Данные 1st'!$S$2:$S$317=$A80),--ISNUMBER('Данные 1st'!$SS$2:$SS$317))</f>
        <v>1</v>
      </c>
      <c r="IZ80">
        <f>SUMPRODUCT(--('Данные 1st'!$S$2:$S$317=$A80),--ISNUMBER('Данные 1st'!$ST$2:$ST$317))</f>
        <v>1</v>
      </c>
      <c r="JA80">
        <f>SUMPRODUCT(--('Данные 1st'!$S$2:$S$317=$A80),--ISNUMBER('Данные 1st'!$SU$2:$SU$317))</f>
        <v>1</v>
      </c>
      <c r="JB80">
        <f>SUMPRODUCT(--('Данные 1st'!$S$2:$S$317=$A80),--ISNUMBER('Данные 1st'!$SV$2:$SV$317))</f>
        <v>1</v>
      </c>
      <c r="JC80">
        <f>SUMPRODUCT(--('Данные 1st'!$S$2:$S$317=$A80),--ISNUMBER('Данные 1st'!$SW$2:$SW$317))</f>
        <v>1</v>
      </c>
      <c r="JD80">
        <f>SUMPRODUCT(--('Данные 1st'!$S$2:$S$317=$A80),--ISNUMBER('Данные 1st'!$SX$2:$SX$317))</f>
        <v>1</v>
      </c>
      <c r="JE80">
        <f>SUMPRODUCT(--('Данные 1st'!$S$2:$S$317=$A80),--ISNUMBER('Данные 1st'!$SY$2:$SY$317))</f>
        <v>1</v>
      </c>
      <c r="JF80">
        <f>SUMPRODUCT(--('Данные 1st'!$S$2:$S$317=$A80),--ISNUMBER('Данные 1st'!$SZ$2:$SZ$317))</f>
        <v>0</v>
      </c>
      <c r="JG80">
        <f>SUMPRODUCT(--('Данные 1st'!$S$2:$S$317=$A80),--ISNUMBER('Данные 1st'!$TA$2:$TA$317))</f>
        <v>0</v>
      </c>
      <c r="JH80">
        <f>SUMPRODUCT(--('Данные 1st'!$S$2:$S$317=$A80),--ISNUMBER('Данные 1st'!$TB$2:$TB$317))</f>
        <v>1</v>
      </c>
      <c r="JI80">
        <f>SUMPRODUCT(--('Данные 1st'!$S$2:$S$317=$A80),--ISNUMBER('Данные 1st'!$TC$2:$TC$317))</f>
        <v>1</v>
      </c>
      <c r="JJ80">
        <f>SUMPRODUCT(--('Данные 1st'!$S$2:$S$317=$A80),--ISNUMBER('Данные 1st'!$TD$2:$TD$317))</f>
        <v>1</v>
      </c>
      <c r="JK80">
        <f>SUMPRODUCT(--('Данные 1st'!$S$2:$S$317=$A80),--ISNUMBER('Данные 1st'!$TN$2:$TN$317))</f>
        <v>1</v>
      </c>
      <c r="JQ80">
        <f>SUMPRODUCT(--('Данные 2st'!$Q$2:$Q$317=$A80),--ISNUMBER('Данные 2st'!$AC$2:$AC$317))</f>
        <v>1</v>
      </c>
      <c r="JR80">
        <f>SUMPRODUCT(--('Данные 2st'!$Q$2:$Q$317=$A80),--ISNUMBER('Данные 2st'!$AF$2:$AF$317))</f>
        <v>1</v>
      </c>
      <c r="JS80">
        <f>SUMPRODUCT(--('Данные 2st'!$Q$2:$Q$317=$A80),--ISNUMBER('Данные 2st'!$AW$2:$AW$317))</f>
        <v>1</v>
      </c>
      <c r="JT80">
        <f>SUMPRODUCT(--('Данные 2st'!$Q$2:$Q$317=$A80),--ISNUMBER('Данные 2st'!$AX$2:$AX$317))</f>
        <v>1</v>
      </c>
      <c r="JU80">
        <f>SUMPRODUCT(--('Данные 2st'!$Q$2:$Q$317=$A80),--ISNUMBER('Данные 2st'!$AY$2:$AY$317))</f>
        <v>1</v>
      </c>
      <c r="JV80">
        <f>SUMPRODUCT(--('Данные 2st'!$Q$2:$Q$317=$A80),--ISNUMBER('Данные 2st'!$AZ$2:$AZ$317))</f>
        <v>1</v>
      </c>
      <c r="JW80">
        <f>SUMPRODUCT(--('Данные 2st'!$Q$2:$Q$317=$A80),--ISNUMBER('Данные 2st'!$BA$2:$BA$317))</f>
        <v>0</v>
      </c>
      <c r="JX80">
        <f>SUMPRODUCT(--('Данные 2st'!$Q$2:$Q$317=$A80),--ISNUMBER('Данные 2st'!$BB$2:$BB$317))</f>
        <v>0</v>
      </c>
      <c r="JY80">
        <f>SUMPRODUCT(--('Данные 2st'!$Q$2:$Q$317=$A80),--ISNUMBER('Данные 2st'!$BC$2:$BC$317))</f>
        <v>0</v>
      </c>
      <c r="JZ80">
        <f>SUMPRODUCT(--('Данные 2st'!$Q$2:$Q$317=$A80),--ISNUMBER('Данные 2st'!$BH$2:$BH$317))</f>
        <v>1</v>
      </c>
      <c r="KA80">
        <f>SUMPRODUCT(--('Данные 2st'!$Q$2:$Q$317=$A80),--ISNUMBER('Данные 2st'!$BI$2:$BI$317))</f>
        <v>1</v>
      </c>
      <c r="KB80">
        <f>SUMPRODUCT(--('Данные 2st'!$Q$2:$Q$317=$A80),--ISNUMBER('Данные 2st'!$BJ$2:$BJ$317))</f>
        <v>1</v>
      </c>
      <c r="KC80">
        <f>SUMPRODUCT(--('Данные 2st'!$Q$2:$Q$317=$A80),--ISNUMBER('Данные 2st'!$BK$2:$BK$317))</f>
        <v>1</v>
      </c>
      <c r="KD80">
        <f>SUMPRODUCT(--('Данные 2st'!$Q$2:$Q$317=$A80),--ISNUMBER('Данные 2st'!$BL$2:$BL$317))</f>
        <v>1</v>
      </c>
      <c r="KE80">
        <f>SUMPRODUCT(--('Данные 2st'!$Q$2:$Q$317=$A80),--ISNUMBER('Данные 2st'!$BM$2:$BM$317))</f>
        <v>1</v>
      </c>
      <c r="KF80">
        <f>SUMPRODUCT(--('Данные 2st'!$Q$2:$Q$317=$A80),--ISNUMBER('Данные 2st'!$BN$2:$BN$317))</f>
        <v>1</v>
      </c>
      <c r="KG80">
        <f>SUMPRODUCT(--('Данные 2st'!$Q$2:$Q$317=$A80),--ISNUMBER('Данные 2st'!$BO$2:$BO$317))</f>
        <v>1</v>
      </c>
      <c r="KH80">
        <f>SUMPRODUCT(--('Данные 2st'!$Q$2:$Q$317=$A80),--ISNUMBER('Данные 2st'!$BP$2:$BP$317))</f>
        <v>1</v>
      </c>
      <c r="KI80">
        <f>SUMPRODUCT(--('Данные 2st'!$Q$2:$Q$317=$A80),--ISNUMBER('Данные 2st'!$BR$2:$BR$317))</f>
        <v>1</v>
      </c>
      <c r="KJ80">
        <f>SUMPRODUCT(--('Данные 2st'!$Q$2:$Q$317=$A80),--ISNUMBER('Данные 2st'!$BS$2:$BS$317))</f>
        <v>1</v>
      </c>
      <c r="KK80">
        <f>SUMPRODUCT(--('Данные 2st'!$Q$2:$Q$317=$A80),--ISNUMBER('Данные 2st'!$BT$2:$BT$317))</f>
        <v>1</v>
      </c>
      <c r="KL80">
        <f>SUMPRODUCT(--('Данные 2st'!$Q$2:$Q$317=$A80),--ISNUMBER('Данные 2st'!$CV$2:$CV$317))</f>
        <v>1</v>
      </c>
      <c r="KM80">
        <f>SUMPRODUCT(--('Данные 2st'!$Q$2:$Q$317=$A80),--ISNUMBER('Данные 2st'!$CW$2:$CW$317))</f>
        <v>1</v>
      </c>
      <c r="KN80">
        <f>SUMPRODUCT(--('Данные 2st'!$Q$2:$Q$317=$A80),--ISNUMBER('Данные 2st'!$CX$2:$CX$317))</f>
        <v>1</v>
      </c>
      <c r="KO80">
        <f>SUMPRODUCT(--('Данные 2st'!$Q$2:$Q$317=$A80),--ISNUMBER('Данные 2st'!$CY$2:$CY$317))</f>
        <v>1</v>
      </c>
      <c r="KP80">
        <f>SUMPRODUCT(--('Данные 2st'!$Q$2:$Q$317=$A80),--ISNUMBER('Данные 2st'!$CZ$2:$CZ$317))</f>
        <v>1</v>
      </c>
      <c r="KQ80">
        <f>SUMPRODUCT(--('Данные 2st'!$Q$2:$Q$317=$A80),--ISNUMBER('Данные 2st'!$DA$2:$DA$317))</f>
        <v>1</v>
      </c>
      <c r="KR80">
        <f>SUMPRODUCT(--('Данные 2st'!$Q$2:$Q$317=$A80),--ISNUMBER('Данные 2st'!$DB$2:$DB$317))</f>
        <v>1</v>
      </c>
      <c r="KS80">
        <f>SUMPRODUCT(--('Данные 2st'!$Q$2:$Q$317=$A80),--ISNUMBER('Данные 2st'!$DC$2:$DC$317))</f>
        <v>1</v>
      </c>
      <c r="KT80">
        <f>SUMPRODUCT(--('Данные 2st'!$Q$2:$Q$317=$A80),--ISNUMBER('Данные 2st'!$DD$2:$DD$317))</f>
        <v>1</v>
      </c>
      <c r="KU80">
        <f>SUMPRODUCT(--('Данные 2st'!$Q$2:$Q$317=$A80),--ISNUMBER('Данные 2st'!$DE$2:$DE$317))</f>
        <v>1</v>
      </c>
      <c r="KV80">
        <f>SUMPRODUCT(--('Данные 2st'!$Q$2:$Q$317=$A80),--ISNUMBER('Данные 2st'!$DF$2:$DF$317))</f>
        <v>1</v>
      </c>
      <c r="KW80">
        <f>SUMPRODUCT(--('Данные 2st'!$Q$2:$Q$317=$A80),--ISNUMBER('Данные 2st'!$DG$2:$DG$317))</f>
        <v>1</v>
      </c>
      <c r="KX80">
        <f>SUMPRODUCT(--('Данные 2st'!$Q$2:$Q$317=$A80),--ISNUMBER('Данные 2st'!$DH$2:$DH$317))</f>
        <v>1</v>
      </c>
      <c r="KY80">
        <f>SUMPRODUCT(--('Данные 2st'!$Q$2:$Q$317=$A80),--ISNUMBER('Данные 2st'!$DI$2:$DI$317))</f>
        <v>0</v>
      </c>
      <c r="KZ80">
        <f>SUMPRODUCT(--('Данные 2st'!$Q$2:$Q$317=$A80),--ISNUMBER('Данные 2st'!$DK$2:$DK$317))</f>
        <v>1</v>
      </c>
      <c r="LA80">
        <f>SUMPRODUCT(--('Данные 2st'!$Q$2:$Q$317=$A80),--ISNUMBER('Данные 2st'!$DM$2:$DM$317))</f>
        <v>1</v>
      </c>
      <c r="LB80">
        <f>SUMPRODUCT(--('Данные 2st'!$Q$2:$Q$317=$A80),--ISNUMBER('Данные 2st'!$DN$2:$DN$317))</f>
        <v>1</v>
      </c>
      <c r="LC80">
        <f>SUMPRODUCT(--('Данные 2st'!$Q$2:$Q$317=$A80),--ISNUMBER('Данные 2st'!$DO$2:$DO$317))</f>
        <v>1</v>
      </c>
      <c r="LD80">
        <f>SUMPRODUCT(--('Данные 2st'!$Q$2:$Q$317=$A80),--ISNUMBER('Данные 2st'!$DP$2:$DP$317))</f>
        <v>1</v>
      </c>
      <c r="LE80">
        <f>SUMPRODUCT(--('Данные 2st'!$Q$2:$Q$317=$A80),--ISNUMBER('Данные 2st'!$DQ$2:$DQ$317))</f>
        <v>1</v>
      </c>
      <c r="LF80">
        <f>SUMPRODUCT(--('Данные 2st'!$Q$2:$Q$317=$A80),--ISNUMBER('Данные 2st'!$DS$2:$DS$317))</f>
        <v>1</v>
      </c>
      <c r="LG80">
        <f>SUMPRODUCT(--('Данные 2st'!$Q$2:$Q$317=$A80),--ISNUMBER('Данные 2st'!$DU$2:$DU$317))</f>
        <v>1</v>
      </c>
      <c r="LH80">
        <f>SUMPRODUCT(--('Данные 2st'!$Q$2:$Q$317=$A80),--ISNUMBER('Данные 2st'!$DV$2:$DV$317))</f>
        <v>1</v>
      </c>
      <c r="LI80">
        <f>SUMPRODUCT(--('Данные 2st'!$Q$2:$Q$317=$A80),--ISNUMBER('Данные 2st'!$DW$2:$DW$317))</f>
        <v>1</v>
      </c>
      <c r="LJ80">
        <f>SUMPRODUCT(--('Данные 2st'!$Q$2:$Q$317=$A80),--ISNUMBER('Данные 2st'!$DX$2:$DX$317))</f>
        <v>1</v>
      </c>
      <c r="LK80">
        <f>SUMPRODUCT(--('Данные 2st'!$Q$2:$Q$317=$A80),--ISNUMBER('Данные 2st'!$DY$2:$DY$317))</f>
        <v>1</v>
      </c>
      <c r="LL80">
        <f>SUMPRODUCT(--('Данные 2st'!$Q$2:$Q$317=$A80),--ISNUMBER('Данные 2st'!$EA$2:$EA$317))</f>
        <v>1</v>
      </c>
      <c r="LM80">
        <f>SUMPRODUCT(--('Данные 2st'!$Q$2:$Q$317=$A80),--ISNUMBER('Данные 2st'!$EC$2:$EC$317))</f>
        <v>1</v>
      </c>
      <c r="LN80">
        <f>SUMPRODUCT(--('Данные 2st'!$Q$2:$Q$317=$A80),--ISNUMBER('Данные 2st'!$ED$2:$ED$317))</f>
        <v>1</v>
      </c>
      <c r="LO80">
        <f>SUMPRODUCT(--('Данные 2st'!$Q$2:$Q$317=$A80),--ISNUMBER('Данные 2st'!$EE$2:$EE$317))</f>
        <v>1</v>
      </c>
      <c r="LP80">
        <f>SUMPRODUCT(--('Данные 2st'!$Q$2:$Q$317=$A80),--ISNUMBER('Данные 2st'!$EG$2:$EG$317))</f>
        <v>1</v>
      </c>
      <c r="LQ80">
        <f>SUMPRODUCT(--('Данные 2st'!$Q$2:$Q$317=$A80),--ISNUMBER('Данные 2st'!$EI$2:$EI$317))</f>
        <v>1</v>
      </c>
      <c r="LR80">
        <f>SUMPRODUCT(--('Данные 2st'!$Q$2:$Q$317=$A80),--ISNUMBER('Данные 2st'!$EJ$2:$EJ$317))</f>
        <v>0</v>
      </c>
      <c r="LS80">
        <f>SUMPRODUCT(--('Данные 2st'!$Q$2:$Q$317=$A80),--ISNUMBER('Данные 2st'!$EK$2:$EK$317))</f>
        <v>0</v>
      </c>
      <c r="LT80">
        <f>SUMPRODUCT(--('Данные 2st'!$Q$2:$Q$317=$A80),--ISNUMBER('Данные 2st'!$EM$2:$EM$317))</f>
        <v>1</v>
      </c>
      <c r="LU80">
        <f>SUMPRODUCT(--('Данные 2st'!$Q$2:$Q$317=$A80),--ISNUMBER('Данные 2st'!$EN$2:$EN$317))</f>
        <v>1</v>
      </c>
      <c r="LV80">
        <f>SUMPRODUCT(--('Данные 2st'!$Q$2:$Q$317=$A80),--ISNUMBER('Данные 2st'!$EO$2:$EO$317))</f>
        <v>1</v>
      </c>
      <c r="LW80">
        <f>SUMPRODUCT(--('Данные 2st'!$Q$2:$Q$317=$A80),--ISNUMBER('Данные 2st'!$EP$2:$EP$317))</f>
        <v>1</v>
      </c>
      <c r="LX80">
        <f>SUMPRODUCT(--('Данные 2st'!$Q$2:$Q$317=$A80),--ISNUMBER('Данные 2st'!$EQ$2:$EQ$317))</f>
        <v>1</v>
      </c>
      <c r="LY80">
        <f>SUMPRODUCT(--('Данные 2st'!$Q$2:$Q$317=$A80),--ISNUMBER('Данные 2st'!$ER$2:$ER$317))</f>
        <v>1</v>
      </c>
      <c r="LZ80">
        <f>SUMPRODUCT(--('Данные 2st'!$Q$2:$Q$317=$A80),--ISNUMBER('Данные 2st'!$ES$2:$ES$317))</f>
        <v>1</v>
      </c>
      <c r="MA80">
        <f>SUMPRODUCT(--('Данные 2st'!$Q$2:$Q$317=$A80),--ISNUMBER('Данные 2st'!$ET$2:$ET$317))</f>
        <v>1</v>
      </c>
      <c r="MB80">
        <f>SUMPRODUCT(--('Данные 2st'!$Q$2:$Q$317=$A80),--ISNUMBER('Данные 2st'!$EU$2:$EU$317))</f>
        <v>1</v>
      </c>
      <c r="MC80">
        <f>SUMPRODUCT(--('Данные 2st'!$Q$2:$Q$317=$A80),--ISNUMBER('Данные 2st'!$EV$2:$EV$317))</f>
        <v>1</v>
      </c>
      <c r="MD80">
        <f>SUMPRODUCT(--('Данные 2st'!$Q$2:$Q$317=$A80),--ISNUMBER('Данные 2st'!$EW$2:$EW$317))</f>
        <v>1</v>
      </c>
      <c r="ME80">
        <f>SUMPRODUCT(--('Данные 2st'!$Q$2:$Q$317=$A80),--ISNUMBER('Данные 2st'!$EY$2:$EY$317))</f>
        <v>1</v>
      </c>
      <c r="MF80">
        <f>SUMPRODUCT(--('Данные 2st'!$Q$2:$Q$317=$A80),--ISNUMBER('Данные 2st'!$FA$2:$FA$317))</f>
        <v>1</v>
      </c>
      <c r="MG80">
        <f>SUMPRODUCT(--('Данные 2st'!$Q$2:$Q$317=$A80),--ISNUMBER('Данные 2st'!$FB$2:$FB$317))</f>
        <v>1</v>
      </c>
      <c r="MH80">
        <f>SUMPRODUCT(--('Данные 2st'!$Q$2:$Q$317=$A80),--ISNUMBER('Данные 2st'!$FC$2:$FC$317))</f>
        <v>1</v>
      </c>
      <c r="MI80">
        <f>SUMPRODUCT(--('Данные 2st'!$Q$2:$Q$317=$A80),--ISNUMBER('Данные 2st'!$FD$2:$FD$317))</f>
        <v>1</v>
      </c>
      <c r="MJ80">
        <f>SUMPRODUCT(--('Данные 2st'!$Q$2:$Q$317=$A80),--ISNUMBER('Данные 2st'!$FE$2:$FE$317))</f>
        <v>1</v>
      </c>
      <c r="MK80">
        <f>SUMPRODUCT(--('Данные 2st'!$Q$2:$Q$317=$A80),--ISNUMBER('Данные 2st'!$FG$2:$FG$317))</f>
        <v>1</v>
      </c>
      <c r="ML80">
        <f>SUMPRODUCT(--('Данные 2st'!$Q$2:$Q$317=$A80),--ISNUMBER('Данные 2st'!$FI$2:$FI$317))</f>
        <v>1</v>
      </c>
      <c r="MM80">
        <f>SUMPRODUCT(--('Данные 2st'!$Q$2:$Q$317=$A80),--ISNUMBER('Данные 2st'!$FJ$2:$FJ$317))</f>
        <v>1</v>
      </c>
      <c r="MN80">
        <f>SUMPRODUCT(--('Данные 2st'!$Q$2:$Q$317=$A80),--ISNUMBER('Данные 2st'!$FK$2:$FK$317))</f>
        <v>1</v>
      </c>
      <c r="MO80">
        <f>SUMPRODUCT(--('Данные 2st'!$Q$2:$Q$317=$A80),--ISNUMBER('Данные 2st'!$FP$2:$FP$317))</f>
        <v>1</v>
      </c>
      <c r="MP80">
        <f>SUMPRODUCT(--('Данные 2st'!$Q$2:$Q$317=$A80),--ISNUMBER('Данные 2st'!$FQ$2:$FQ$317))</f>
        <v>1</v>
      </c>
      <c r="MQ80">
        <f>SUMPRODUCT(--('Данные 2st'!$Q$2:$Q$317=$A80),--ISNUMBER('Данные 2st'!$FS$2:$FS$317))</f>
        <v>1</v>
      </c>
      <c r="MR80">
        <f>SUMPRODUCT(--('Данные 2st'!$Q$2:$Q$317=$A80),--ISNUMBER('Данные 2st'!$FU$2:$FU$317))</f>
        <v>1</v>
      </c>
      <c r="MS80">
        <f>SUMPRODUCT(--('Данные 2st'!$Q$2:$Q$317=$A80),--ISNUMBER('Данные 2st'!$FV$2:$FV$317))</f>
        <v>1</v>
      </c>
      <c r="MT80">
        <f>SUMPRODUCT(--('Данные 2st'!$Q$2:$Q$317=$A80),--ISNUMBER('Данные 2st'!$FW$2:$FW$317))</f>
        <v>1</v>
      </c>
      <c r="MU80">
        <f>SUMPRODUCT(--('Данные 2st'!$Q$2:$Q$317=$A80),--ISNUMBER('Данные 2st'!$FY$2:$FY$317))</f>
        <v>1</v>
      </c>
      <c r="MV80">
        <f>SUMPRODUCT(--('Данные 2st'!$Q$2:$Q$317=$A80),--ISNUMBER('Данные 2st'!$GB$2:$GB$317))</f>
        <v>1</v>
      </c>
      <c r="MW80">
        <f>SUMPRODUCT(--('Данные 2st'!$Q$2:$Q$317=$A80),--ISNUMBER('Данные 2st'!$GC$2:$GC$317))</f>
        <v>1</v>
      </c>
      <c r="MX80">
        <f>SUMPRODUCT(--('Данные 2st'!$Q$2:$Q$317=$A80),--ISNUMBER('Данные 2st'!$GD$2:$GD$317))</f>
        <v>1</v>
      </c>
      <c r="MY80">
        <f>SUMPRODUCT(--('Данные 2st'!$Q$2:$Q$317=$A80),--ISNUMBER('Данные 2st'!$GN$2:$GN$317))</f>
        <v>0</v>
      </c>
      <c r="MZ80">
        <f>SUMPRODUCT(--('Данные 2st'!$Q$2:$Q$317=$A80),--ISNUMBER('Данные 2st'!$GQ$2:$GQ$317))</f>
        <v>1</v>
      </c>
      <c r="NA80">
        <f>SUMPRODUCT(--('Данные 2st'!$Q$2:$Q$317=$A80),--ISNUMBER('Данные 2st'!$GV$2:$GV$317))</f>
        <v>1</v>
      </c>
      <c r="NB80">
        <f>SUMPRODUCT(--('Данные 2st'!$Q$2:$Q$317=$A80),--ISNUMBER('Данные 2st'!$GW$2:$GW$317))</f>
        <v>1</v>
      </c>
      <c r="NC80">
        <f>SUMPRODUCT(--('Данные 2st'!$Q$2:$Q$317=$A80),--ISNUMBER('Данные 2st'!$GX$2:$GX$317))</f>
        <v>1</v>
      </c>
      <c r="ND80">
        <f>SUMPRODUCT(--('Данные 2st'!$Q$2:$Q$317=$A80),--ISNUMBER('Данные 2st'!$GY$2:$GY$317))</f>
        <v>1</v>
      </c>
      <c r="NE80">
        <f>SUMPRODUCT(--('Данные 2st'!$Q$2:$Q$317=$A80),--ISNUMBER('Данные 2st'!$GZ$2:$GZ$317))</f>
        <v>1</v>
      </c>
      <c r="NF80">
        <f>SUMPRODUCT(--('Данные 2st'!$Q$2:$Q$317=$A80),--ISNUMBER('Данные 2st'!$HA$2:$HA$317))</f>
        <v>1</v>
      </c>
      <c r="NG80">
        <f>SUMPRODUCT(--('Данные 2st'!$Q$2:$Q$317=$A80),--ISNUMBER('Данные 2st'!$HB$2:$HB$317))</f>
        <v>1</v>
      </c>
      <c r="NH80">
        <f>SUMPRODUCT(--('Данные 2st'!$Q$2:$Q$317=$A80),--ISNUMBER('Данные 2st'!$HC$2:$HC$317))</f>
        <v>1</v>
      </c>
      <c r="NI80">
        <f>SUMPRODUCT(--('Данные 2st'!$Q$2:$Q$317=$A80),--ISNUMBER('Данные 2st'!$HD$2:$HD$317))</f>
        <v>1</v>
      </c>
      <c r="NJ80">
        <f>SUMPRODUCT(--('Данные 2st'!$Q$2:$Q$317=$A80),--ISNUMBER('Данные 2st'!$HM$2:$HM$317))</f>
        <v>1</v>
      </c>
      <c r="NK80">
        <f>SUMPRODUCT(--('Данные 2st'!$Q$2:$Q$317=$A80),--ISNUMBER('Данные 2st'!$HR$2:$HR$317))</f>
        <v>1</v>
      </c>
      <c r="NL80">
        <f>SUMPRODUCT(--('Данные 2st'!$Q$2:$Q$317=$A80),--ISNUMBER('Данные 2st'!$HS$2:$HS$317))</f>
        <v>1</v>
      </c>
      <c r="NM80">
        <f>SUMPRODUCT(--('Данные 2st'!$Q$2:$Q$317=$A80),--ISNUMBER('Данные 2st'!$HT$2:$HT$317))</f>
        <v>1</v>
      </c>
      <c r="NN80">
        <f>SUMPRODUCT(--('Данные 2st'!$Q$2:$Q$317=$A80),--ISNUMBER('Данные 2st'!$HY$2:$HY$317))</f>
        <v>1</v>
      </c>
      <c r="NO80">
        <f>SUMPRODUCT(--('Данные 2st'!$Q$2:$Q$317=$A80),--ISNUMBER('Данные 2st'!$HZ$2:$HZ$317))</f>
        <v>1</v>
      </c>
      <c r="NP80">
        <f>SUMPRODUCT(--('Данные 2st'!$Q$2:$Q$317=$A80),--ISNUMBER('Данные 2st'!$IA$2:$IA$317))</f>
        <v>1</v>
      </c>
      <c r="NQ80">
        <f>SUMPRODUCT(--('Данные 2st'!$Q$2:$Q$317=$A80),--ISNUMBER('Данные 2st'!$IB$2:$IB$317))</f>
        <v>1</v>
      </c>
      <c r="NR80">
        <f>SUMPRODUCT(--('Данные 2st'!$Q$2:$Q$317=$A80),--ISNUMBER('Данные 2st'!$IC$2:$IC$317))</f>
        <v>0</v>
      </c>
      <c r="NS80">
        <f>SUMPRODUCT(--('Данные 2st'!$Q$2:$Q$317=$A80),--ISNUMBER('Данные 2st'!$ID$2:$ID$317))</f>
        <v>1</v>
      </c>
      <c r="NT80">
        <f>SUMPRODUCT(--('Данные 2st'!$Q$2:$Q$317=$A80),--ISNUMBER('Данные 2st'!$IE$2:$IE$317))</f>
        <v>1</v>
      </c>
      <c r="NU80">
        <f>SUMPRODUCT(--('Данные 2st'!$Q$2:$Q$317=$A80),--ISNUMBER('Данные 2st'!$IF$2:$IF$317))</f>
        <v>1</v>
      </c>
      <c r="NV80">
        <f>SUMPRODUCT(--('Данные 2st'!$Q$2:$Q$317=$A80),--ISNUMBER('Данные 2st'!$IG$2:$IG$317))</f>
        <v>1</v>
      </c>
      <c r="NW80">
        <f>SUMPRODUCT(--('Данные 2st'!$Q$2:$Q$317=$A80),--ISNUMBER('Данные 2st'!$IH$2:$IH$317))</f>
        <v>1</v>
      </c>
      <c r="NX80">
        <f>SUMPRODUCT(--('Данные 2st'!$Q$2:$Q$317=$A80),--ISNUMBER('Данные 2st'!$IJ$2:$IJ$317))</f>
        <v>1</v>
      </c>
      <c r="NY80">
        <f>SUMPRODUCT(--('Данные 2st'!$Q$2:$Q$317=$A80),--ISNUMBER('Данные 2st'!$IM$2:$IM$317))</f>
        <v>1</v>
      </c>
      <c r="NZ80">
        <f>SUMPRODUCT(--('Данные 2st'!$Q$2:$Q$317=$A80),--ISNUMBER('Данные 2st'!$IN$2:$IN$317))</f>
        <v>1</v>
      </c>
      <c r="OA80">
        <f>SUMPRODUCT(--('Данные 2st'!$Q$2:$Q$317=$A80),--ISNUMBER('Данные 2st'!$IO$2:$IO$317))</f>
        <v>1</v>
      </c>
      <c r="OB80">
        <f>SUMPRODUCT(--('Данные 2st'!$Q$2:$Q$317=$A80),--ISNUMBER('Данные 2st'!$IP$2:$IP$317))</f>
        <v>1</v>
      </c>
      <c r="OC80">
        <f>SUMPRODUCT(--('Данные 2st'!$Q$2:$Q$317=$A80),--ISNUMBER('Данные 2st'!$IQ$2:$IQ$317))</f>
        <v>1</v>
      </c>
      <c r="OD80">
        <f>SUMPRODUCT(--('Данные 2st'!$Q$2:$Q$317=$A80),--ISNUMBER('Данные 2st'!$IR$2:$IR$317))</f>
        <v>1</v>
      </c>
      <c r="OE80">
        <f>SUMPRODUCT(--('Данные 2st'!$Q$2:$Q$317=$A80),--ISNUMBER('Данные 2st'!$IT$2:$IT$317))</f>
        <v>1</v>
      </c>
      <c r="OF80">
        <f>SUMPRODUCT(--('Данные 2st'!$Q$2:$Q$317=$A80),--ISNUMBER('Данные 2st'!$IU$2:$IU$317))</f>
        <v>1</v>
      </c>
      <c r="OG80">
        <f>SUMPRODUCT(--('Данные 2st'!$Q$2:$Q$317=$A80),--ISNUMBER('Данные 2st'!$IV$2:$IV$317))</f>
        <v>1</v>
      </c>
      <c r="OH80">
        <f>SUMPRODUCT(--('Данные 2st'!$Q$2:$Q$317=$A80),--ISNUMBER('Данные 2st'!$IW$2:$IW$317))</f>
        <v>1</v>
      </c>
      <c r="OI80">
        <f>SUMPRODUCT(--('Данные 2st'!$Q$2:$Q$317=$A80),--ISNUMBER('Данные 2st'!$IX$2:$IX$317))</f>
        <v>1</v>
      </c>
      <c r="OJ80">
        <f>SUMPRODUCT(--('Данные 2st'!$Q$2:$Q$317=$A80),--ISNUMBER('Данные 2st'!$IY$2:$IY$317))</f>
        <v>1</v>
      </c>
      <c r="OK80">
        <f>SUMPRODUCT(--('Данные 2st'!$Q$2:$Q$317=$A80),--ISNUMBER('Данные 2st'!$IZ$2:$IZ$317))</f>
        <v>1</v>
      </c>
      <c r="OL80">
        <f>SUMPRODUCT(--('Данные 2st'!$Q$2:$Q$317=$A80),--ISNUMBER('Данные 2st'!$JA$2:$JA$317))</f>
        <v>1</v>
      </c>
      <c r="OM80">
        <f>SUMPRODUCT(--('Данные 2st'!$Q$2:$Q$317=$A80),--ISNUMBER('Данные 2st'!$JB$2:$JB$317))</f>
        <v>1</v>
      </c>
      <c r="ON80">
        <f>SUMPRODUCT(--('Данные 2st'!$Q$2:$Q$317=$A80),--ISNUMBER('Данные 2st'!$JC$2:$JC$317))</f>
        <v>1</v>
      </c>
      <c r="OO80">
        <f>SUMPRODUCT(--('Данные 2st'!$Q$2:$Q$317=$A80),--ISNUMBER('Данные 2st'!$JD$2:$JD$317))</f>
        <v>1</v>
      </c>
      <c r="OP80">
        <f>SUMPRODUCT(--('Данные 2st'!$Q$2:$Q$317=$A80),--ISNUMBER('Данные 2st'!$JE$2:$JE$317))</f>
        <v>1</v>
      </c>
      <c r="OQ80">
        <f>SUMPRODUCT(--('Данные 2st'!$Q$2:$Q$317=$A80),--ISNUMBER('Данные 2st'!$JF$2:$JF$317))</f>
        <v>1</v>
      </c>
      <c r="OR80">
        <f>SUMPRODUCT(--('Данные 2st'!$Q$2:$Q$317=$A80),--ISNUMBER('Данные 2st'!$JG$2:$JG$317))</f>
        <v>1</v>
      </c>
      <c r="OS80">
        <f>SUMPRODUCT(--('Данные 2st'!$Q$2:$Q$317=$A80),--ISNUMBER('Данные 2st'!$JH$2:$JH$317))</f>
        <v>1</v>
      </c>
      <c r="OT80">
        <f>SUMPRODUCT(--('Данные 2st'!$Q$2:$Q$317=$A80),--ISNUMBER('Данные 2st'!$JI$2:$JI$317))</f>
        <v>1</v>
      </c>
      <c r="OU80">
        <f>SUMPRODUCT(--('Данные 2st'!$Q$2:$Q$317=$A80),--ISNUMBER('Данные 2st'!$JJ$2:$JJ$317))</f>
        <v>1</v>
      </c>
      <c r="OV80">
        <f>SUMPRODUCT(--('Данные 2st'!$Q$2:$Q$317=$A80),--ISNUMBER('Данные 2st'!$JK$2:$JK$317))</f>
        <v>1</v>
      </c>
      <c r="OW80">
        <f>SUMPRODUCT(--('Данные 2st'!$Q$2:$Q$317=$A80),--ISNUMBER('Данные 2st'!$JL$2:$JL$317))</f>
        <v>1</v>
      </c>
      <c r="OX80">
        <f>SUMPRODUCT(--('Данные 2st'!$Q$2:$Q$317=$A80),--ISNUMBER('Данные 2st'!$JM$2:$JM$317))</f>
        <v>1</v>
      </c>
      <c r="OY80">
        <f>SUMPRODUCT(--('Данные 2st'!$Q$2:$Q$317=$A80),--ISNUMBER('Данные 2st'!$JP$2:$JP$317))</f>
        <v>1</v>
      </c>
      <c r="OZ80">
        <f>SUMPRODUCT(--('Данные 2st'!$Q$2:$Q$317=$A80),--ISNUMBER('Данные 2st'!$JQ$2:$JQ$317))</f>
        <v>1</v>
      </c>
      <c r="PA80">
        <f>SUMPRODUCT(--('Данные 2st'!$Q$2:$Q$317=$A80),--ISNUMBER('Данные 2st'!$JR$2:$JR$317))</f>
        <v>1</v>
      </c>
      <c r="PB80">
        <f>SUMPRODUCT(--('Данные 2st'!$Q$2:$Q$317=$A80),--ISNUMBER('Данные 2st'!$JS$2:$JS$317))</f>
        <v>1</v>
      </c>
      <c r="PC80">
        <f>SUMPRODUCT(--('Данные 2st'!$Q$2:$Q$317=$A80),--ISNUMBER('Данные 2st'!$JT$2:$JT$317))</f>
        <v>1</v>
      </c>
      <c r="PD80">
        <f>SUMPRODUCT(--('Данные 2st'!$Q$2:$Q$317=$A80),--ISNUMBER('Данные 2st'!$JU$2:$JU$317))</f>
        <v>1</v>
      </c>
      <c r="PE80">
        <f>SUMPRODUCT(--('Данные 2st'!$Q$2:$Q$317=$A80),--ISNUMBER('Данные 2st'!$JV$2:$JV$317))</f>
        <v>1</v>
      </c>
      <c r="PF80">
        <f>SUMPRODUCT(--('Данные 2st'!$Q$2:$Q$317=$A80),--ISNUMBER('Данные 2st'!$JW$2:$JW$317))</f>
        <v>1</v>
      </c>
      <c r="PG80">
        <f>SUMPRODUCT(--('Данные 2st'!$Q$2:$Q$317=$A80),--ISNUMBER('Данные 2st'!$KF$2:$KF$317))</f>
        <v>1</v>
      </c>
      <c r="PH80">
        <f>SUMPRODUCT(--('Данные 2st'!$Q$2:$Q$317=$A80),--ISNUMBER('Данные 2st'!$KG$2:$KG$317))</f>
        <v>1</v>
      </c>
      <c r="PI80">
        <f>SUMPRODUCT(--('Данные 2st'!$Q$2:$Q$317=$A80),--ISNUMBER('Данные 2st'!$KM$2:$KM$317))</f>
        <v>1</v>
      </c>
      <c r="PJ80">
        <f>SUMPRODUCT(--('Данные 2st'!$Q$2:$Q$317=$A80),--ISNUMBER('Данные 2st'!$KN$2:$KN$317))</f>
        <v>1</v>
      </c>
      <c r="PK80">
        <f>SUMPRODUCT(--('Данные 2st'!$Q$2:$Q$317=$A80),--ISNUMBER('Данные 2st'!$KO$2:$KO$317))</f>
        <v>1</v>
      </c>
      <c r="PL80">
        <f>SUMPRODUCT(--('Данные 2st'!$Q$2:$Q$317=$A80),--ISNUMBER('Данные 2st'!$KP$2:$KP$317))</f>
        <v>1</v>
      </c>
      <c r="PM80">
        <f>SUMPRODUCT(--('Данные 2st'!$Q$2:$Q$317=$A80),--ISNUMBER('Данные 2st'!$KQ$2:$KQ$317))</f>
        <v>1</v>
      </c>
      <c r="PN80">
        <f>SUMPRODUCT(--('Данные 2st'!$Q$2:$Q$317=$A80),--ISNUMBER('Данные 2st'!$KR$2:$KR$317))</f>
        <v>1</v>
      </c>
      <c r="PO80">
        <f>SUMPRODUCT(--('Данные 2st'!$Q$2:$Q$317=$A80),--ISNUMBER('Данные 2st'!$KS$2:$KS$317))</f>
        <v>1</v>
      </c>
      <c r="PP80">
        <f>SUMPRODUCT(--('Данные 2st'!$Q$2:$Q$317=$A80),--ISNUMBER('Данные 2st'!$KT$2:$KT$317))</f>
        <v>1</v>
      </c>
      <c r="PQ80">
        <f>SUMPRODUCT(--('Данные 2st'!$Q$2:$Q$317=$A80),--ISNUMBER('Данные 2st'!$KU$2:$KU$317))</f>
        <v>1</v>
      </c>
      <c r="PR80">
        <f>SUMPRODUCT(--('Данные 2st'!$Q$2:$Q$317=$A80),--ISNUMBER('Данные 2st'!$KV$2:$KV$317))</f>
        <v>1</v>
      </c>
      <c r="PS80">
        <f>SUMPRODUCT(--('Данные 2st'!$Q$2:$Q$317=$A80),--ISNUMBER('Данные 2st'!$KW$2:$KW$317))</f>
        <v>1</v>
      </c>
      <c r="PT80">
        <f>SUMPRODUCT(--('Данные 2st'!$Q$2:$Q$317=$A80),--ISNUMBER('Данные 2st'!$KX$2:$KX$317))</f>
        <v>1</v>
      </c>
      <c r="PU80">
        <f>SUMPRODUCT(--('Данные 2st'!$Q$2:$Q$317=$A80),--ISNUMBER('Данные 2st'!$KY$2:$KY$317))</f>
        <v>1</v>
      </c>
      <c r="PV80">
        <f>SUMPRODUCT(--('Данные 2st'!$Q$2:$Q$317=$A80),--ISNUMBER('Данные 2st'!$KZ$2:$KZ$317))</f>
        <v>1</v>
      </c>
      <c r="PW80">
        <f>SUMPRODUCT(--('Данные 2st'!$Q$2:$Q$317=$A80),--ISNUMBER('Данные 2st'!$LA$2:$LA$317))</f>
        <v>1</v>
      </c>
      <c r="PX80">
        <f>SUMPRODUCT(--('Данные 2st'!$Q$2:$Q$317=$A80),--ISNUMBER('Данные 2st'!$LB$2:$LB$317))</f>
        <v>1</v>
      </c>
      <c r="PY80">
        <f>SUMPRODUCT(--('Данные 2st'!$Q$2:$Q$317=$A80),--ISNUMBER('Данные 2st'!$LC$2:$LC$317))</f>
        <v>1</v>
      </c>
      <c r="PZ80">
        <f>SUMPRODUCT(--('Данные 2st'!$Q$2:$Q$317=$A80),--ISNUMBER('Данные 2st'!$LD$2:$LD$317))</f>
        <v>1</v>
      </c>
      <c r="QA80">
        <f>SUMPRODUCT(--('Данные 2st'!$Q$2:$Q$317=$A80),--ISNUMBER('Данные 2st'!$LE$2:$LE$317))</f>
        <v>1</v>
      </c>
      <c r="QB80">
        <f>SUMPRODUCT(--('Данные 2st'!$Q$2:$Q$317=$A80),--ISNUMBER('Данные 2st'!$LF$2:$LF$317))</f>
        <v>1</v>
      </c>
      <c r="QC80">
        <f>SUMPRODUCT(--('Данные 2st'!$Q$2:$Q$317=$A80),--ISNUMBER('Данные 2st'!$LG$2:$LG$317))</f>
        <v>1</v>
      </c>
      <c r="QD80">
        <f>SUMPRODUCT(--('Данные 2st'!$Q$2:$Q$317=$A80),--ISNUMBER('Данные 2st'!$LH$2:$LH$317))</f>
        <v>1</v>
      </c>
      <c r="QE80">
        <f>SUMPRODUCT(--('Данные 2st'!$Q$2:$Q$317=$A80),--ISNUMBER('Данные 2st'!$LJ$2:$LJ$317))</f>
        <v>1</v>
      </c>
      <c r="QF80">
        <f>SUMPRODUCT(--('Данные 2st'!$Q$2:$Q$317=$A80),--ISNUMBER('Данные 2st'!$LK$2:$LK$317))</f>
        <v>1</v>
      </c>
      <c r="QG80">
        <f>SUMPRODUCT(--('Данные 2st'!$Q$2:$Q$317=$A80),--ISNUMBER('Данные 2st'!$LL$2:$LL$317))</f>
        <v>1</v>
      </c>
      <c r="QH80">
        <f>SUMPRODUCT(--('Данные 2st'!$Q$2:$Q$317=$A80),--ISNUMBER('Данные 2st'!$LM$2:$LM$317))</f>
        <v>1</v>
      </c>
      <c r="QI80">
        <f>SUMPRODUCT(--('Данные 2st'!$Q$2:$Q$317=$A80),--ISNUMBER('Данные 2st'!$LN$2:$LN$317))</f>
        <v>1</v>
      </c>
      <c r="QJ80">
        <f>SUMPRODUCT(--('Данные 2st'!$Q$2:$Q$317=$A80),--ISNUMBER('Данные 2st'!$LO$2:$LO$317))</f>
        <v>1</v>
      </c>
      <c r="QK80">
        <f>SUMPRODUCT(--('Данные 2st'!$Q$2:$Q$317=$A80),--ISNUMBER('Данные 2st'!$LP$2:$LP$317))</f>
        <v>1</v>
      </c>
      <c r="QL80">
        <f>SUMPRODUCT(--('Данные 2st'!$Q$2:$Q$317=$A80),--ISNUMBER('Данные 2st'!$LQ$2:$LQ$317))</f>
        <v>1</v>
      </c>
      <c r="QM80">
        <f>SUMPRODUCT(--('Данные 2st'!$Q$2:$Q$317=$A80),--ISNUMBER('Данные 2st'!$LW$2:$LW$317))</f>
        <v>1</v>
      </c>
      <c r="QN80">
        <f>SUMPRODUCT(--('Данные 2st'!$Q$2:$Q$317=$A80),--ISNUMBER('Данные 2st'!$LX$2:$LX$317))</f>
        <v>1</v>
      </c>
      <c r="QO80">
        <f>SUMPRODUCT(--('Данные 2st'!$Q$2:$Q$317=$A80),--ISNUMBER('Данные 2st'!$LY$2:$LY$317))</f>
        <v>1</v>
      </c>
      <c r="QP80">
        <f>SUMPRODUCT(--('Данные 2st'!$Q$2:$Q$317=$A80),--ISNUMBER('Данные 2st'!$LZ$2:$LZ$317))</f>
        <v>1</v>
      </c>
      <c r="QQ80">
        <f>SUMPRODUCT(--('Данные 2st'!$Q$2:$Q$317=$A80),--ISNUMBER('Данные 2st'!$MB$2:$MB$317))</f>
        <v>1</v>
      </c>
      <c r="QR80">
        <f>SUMPRODUCT(--('Данные 2st'!$Q$2:$Q$317=$A80),--ISNUMBER('Данные 2st'!$MG$2:$MG$317))</f>
        <v>1</v>
      </c>
      <c r="QS80">
        <f>SUMPRODUCT(--('Данные 2st'!$Q$2:$Q$317=$A80),--ISNUMBER('Данные 2st'!$MH$2:$MH$317))</f>
        <v>1</v>
      </c>
      <c r="QT80">
        <f>SUMPRODUCT(--('Данные 2st'!$Q$2:$Q$317=$A80),--ISNUMBER('Данные 2st'!$MI$2:$MI$317))</f>
        <v>1</v>
      </c>
      <c r="QU80">
        <f>SUMPRODUCT(--('Данные 2st'!$Q$2:$Q$317=$A80),--ISNUMBER('Данные 2st'!$MJ$2:$MJ$317))</f>
        <v>1</v>
      </c>
      <c r="QV80">
        <f>SUMPRODUCT(--('Данные 2st'!$Q$2:$Q$317=$A80),--ISNUMBER('Данные 2st'!$MK$2:$MK$317))</f>
        <v>1</v>
      </c>
      <c r="QW80">
        <f>SUMPRODUCT(--('Данные 2st'!$Q$2:$Q$317=$A80),--ISNUMBER('Данные 2st'!$MM$2:$MM$317))</f>
        <v>1</v>
      </c>
      <c r="QX80">
        <f>SUMPRODUCT(--('Данные 2st'!$Q$2:$Q$317=$A80),--ISNUMBER('Данные 2st'!$MQ$2:$MQ$317))</f>
        <v>0</v>
      </c>
      <c r="QY80">
        <f>SUMPRODUCT(--('Данные 2st'!$Q$2:$Q$317=$A80),--ISNUMBER('Данные 2st'!$MR$2:$MR$317))</f>
        <v>0</v>
      </c>
      <c r="QZ80">
        <f>SUMPRODUCT(--('Данные 2st'!$Q$2:$Q$317=$A80),--ISNUMBER('Данные 2st'!$MS$2:$MS$317))</f>
        <v>0</v>
      </c>
      <c r="RA80">
        <f>SUMPRODUCT(--('Данные 2st'!$Q$2:$Q$317=$A80),--ISNUMBER('Данные 2st'!$MT$2:$MT$317))</f>
        <v>0</v>
      </c>
      <c r="RB80">
        <f>SUMPRODUCT(--('Данные 2st'!$Q$2:$Q$317=$A80),--ISNUMBER('Данные 2st'!$MU$2:$MU$317))</f>
        <v>0</v>
      </c>
      <c r="RC80">
        <f>SUMPRODUCT(--('Данные 2st'!$Q$2:$Q$317=$A80),--ISNUMBER('Данные 2st'!$MV$2:$MV$317))</f>
        <v>0</v>
      </c>
      <c r="RD80">
        <f>SUMPRODUCT(--('Данные 2st'!$Q$2:$Q$317=$A80),--ISNUMBER('Данные 2st'!$MW$2:$MW$317))</f>
        <v>0</v>
      </c>
      <c r="RE80">
        <f>SUMPRODUCT(--('Данные 2st'!$Q$2:$Q$317=$A80),--ISNUMBER('Данные 2st'!$MX$2:$MX$317))</f>
        <v>0</v>
      </c>
      <c r="RF80">
        <f>SUMPRODUCT(--('Данные 2st'!$Q$2:$Q$317=$A80),--ISNUMBER('Данные 2st'!$MY$2:$MY$317))</f>
        <v>0</v>
      </c>
      <c r="RG80">
        <f>SUMPRODUCT(--('Данные 2st'!$Q$2:$Q$317=$A80),--ISNUMBER('Данные 2st'!$MZ$2:$MZ$317))</f>
        <v>0</v>
      </c>
      <c r="RH80">
        <f>SUMPRODUCT(--('Данные 2st'!$Q$2:$Q$317=$A80),--ISNUMBER('Данные 2st'!$NA$2:$NA$317))</f>
        <v>0</v>
      </c>
      <c r="RI80">
        <f>SUMPRODUCT(--('Данные 2st'!$Q$2:$Q$317=$A80),--ISNUMBER('Данные 2st'!$NB$2:$NB$317))</f>
        <v>0</v>
      </c>
      <c r="RJ80">
        <f>SUMPRODUCT(--('Данные 2st'!$Q$2:$Q$317=$A80),--ISNUMBER('Данные 2st'!$NC$2:$NC$317))</f>
        <v>0</v>
      </c>
      <c r="RK80">
        <f>SUMPRODUCT(--('Данные 2st'!$Q$2:$Q$317=$A80),--ISNUMBER('Данные 2st'!$ND$2:$ND$317))</f>
        <v>0</v>
      </c>
      <c r="RL80">
        <f>SUMPRODUCT(--('Данные 2st'!$Q$2:$Q$317=$A80),--ISNUMBER('Данные 2st'!$NE$2:$NE$317))</f>
        <v>0</v>
      </c>
      <c r="RM80">
        <f>SUMPRODUCT(--('Данные 2st'!$Q$2:$Q$317=$A80),--ISNUMBER('Данные 2st'!$NF$2:$NF$317))</f>
        <v>0</v>
      </c>
      <c r="RN80">
        <f>SUMPRODUCT(--('Данные 2st'!$Q$2:$Q$317=$A80),--ISNUMBER('Данные 2st'!$NG$2:$NG$317))</f>
        <v>0</v>
      </c>
      <c r="RO80">
        <f>SUMPRODUCT(--('Данные 2st'!$Q$2:$Q$317=$A80),--ISNUMBER('Данные 2st'!$NH$2:$NH$317))</f>
        <v>0</v>
      </c>
      <c r="RP80">
        <f>SUMPRODUCT(--('Данные 2st'!$Q$2:$Q$317=$A80),--ISNUMBER('Данные 2st'!$NJ$2:$NJ$317))</f>
        <v>0</v>
      </c>
      <c r="RQ80">
        <f>SUMPRODUCT(--('Данные 2st'!$Q$2:$Q$317=$A80),--ISNUMBER('Данные 2st'!$NK$2:$NK$317))</f>
        <v>0</v>
      </c>
      <c r="RR80">
        <f>SUMPRODUCT(--('Данные 2st'!$Q$2:$Q$317=$A80),--ISNUMBER('Данные 2st'!$NM$2:$NM$317))</f>
        <v>0</v>
      </c>
      <c r="RS80">
        <f>SUMPRODUCT(--('Данные 2st'!$Q$2:$Q$317=$A80),--ISNUMBER('Данные 2st'!$NN$2:$NN$317))</f>
        <v>0</v>
      </c>
      <c r="RT80">
        <f>SUMPRODUCT(--('Данные 2st'!$Q$2:$Q$317=$A80),--ISNUMBER('Данные 2st'!$NO$2:$NO$317))</f>
        <v>0</v>
      </c>
      <c r="RU80">
        <f>SUMPRODUCT(--('Данные 2st'!$Q$2:$Q$317=$A80),--ISNUMBER('Данные 2st'!$NP$2:$NP$317))</f>
        <v>0</v>
      </c>
      <c r="RV80">
        <f>SUMPRODUCT(--('Данные 2st'!$Q$2:$Q$317=$A80),--ISNUMBER('Данные 2st'!$NQ$2:$NQ$317))</f>
        <v>0</v>
      </c>
      <c r="RW80">
        <f>SUMPRODUCT(--('Данные 2st'!$Q$2:$Q$317=$A80),--ISNUMBER('Данные 2st'!$NR$2:$NR$317))</f>
        <v>0</v>
      </c>
      <c r="RX80">
        <f>SUMPRODUCT(--('Данные 2st'!$Q$2:$Q$317=$A80),--ISNUMBER('Данные 2st'!$NS$2:$NS$317))</f>
        <v>0</v>
      </c>
      <c r="RY80">
        <f>SUMPRODUCT(--('Данные 2st'!$Q$2:$Q$317=$A80),--ISNUMBER('Данные 2st'!$NT$2:$NT$317))</f>
        <v>0</v>
      </c>
      <c r="RZ80">
        <f>SUMPRODUCT(--('Данные 2st'!$Q$2:$Q$317=$A80),--ISNUMBER('Данные 2st'!$OK$2:$OK$317))</f>
        <v>1</v>
      </c>
      <c r="SA80">
        <f>SUMPRODUCT(--('Данные 2st'!$Q$2:$Q$317=$A80),--ISNUMBER('Данные 2st'!$OL$2:$OL$317))</f>
        <v>1</v>
      </c>
      <c r="SB80">
        <f>SUMPRODUCT(--('Данные 2st'!$Q$2:$Q$317=$A80),--ISNUMBER('Данные 2st'!$ON$2:$ON$317))</f>
        <v>1</v>
      </c>
      <c r="SC80">
        <f>SUMPRODUCT(--('Данные 2st'!$Q$2:$Q$317=$A80),--ISNUMBER('Данные 2st'!$OO$2:$OO$317))</f>
        <v>1</v>
      </c>
      <c r="SD80">
        <f>SUMPRODUCT(--('Данные 2st'!$Q$2:$Q$317=$A80),--ISNUMBER('Данные 2st'!$OP$2:$OP$317))</f>
        <v>1</v>
      </c>
      <c r="SE80">
        <f>SUMPRODUCT(--('Данные 2st'!$Q$2:$Q$317=$A80),--ISNUMBER('Данные 2st'!$OQ$2:$OQ$317))</f>
        <v>1</v>
      </c>
      <c r="SF80">
        <f>SUMPRODUCT(--('Данные 2st'!$Q$2:$Q$317=$A80),--ISNUMBER('Данные 2st'!$OS$2:$OS$317))</f>
        <v>1</v>
      </c>
      <c r="SG80">
        <f>SUMPRODUCT(--('Данные 2st'!$Q$2:$Q$317=$A80),--ISNUMBER('Данные 2st'!$OT$2:$OT$317))</f>
        <v>1</v>
      </c>
      <c r="SH80">
        <f>SUMPRODUCT(--('Данные 2st'!$Q$2:$Q$317=$A80),--ISNUMBER('Данные 2st'!$OU$2:$OU$317))</f>
        <v>1</v>
      </c>
      <c r="SI80">
        <f>SUMPRODUCT(--('Данные 2st'!$Q$2:$Q$317=$A80),--ISNUMBER('Данные 2st'!$OV$2:$OV$317))</f>
        <v>1</v>
      </c>
      <c r="SJ80">
        <f>SUMPRODUCT(--('Данные 2st'!$Q$2:$Q$317=$A80),--ISNUMBER('Данные 2st'!$OX$2:$OX$317))</f>
        <v>1</v>
      </c>
      <c r="SK80">
        <f>SUMPRODUCT(--('Данные 2st'!$Q$2:$Q$317=$A80),--ISNUMBER('Данные 2st'!$OY$2:$OY$317))</f>
        <v>1</v>
      </c>
      <c r="SL80">
        <f>SUMPRODUCT(--('Данные 2st'!$Q$2:$Q$317=$A80),--ISNUMBER('Данные 2st'!$OZ$2:$OZ$317))</f>
        <v>1</v>
      </c>
      <c r="SM80">
        <f>SUMPRODUCT(--('Данные 2st'!$Q$2:$Q$317=$A80),--ISNUMBER('Данные 2st'!$PA$2:$PA$317))</f>
        <v>1</v>
      </c>
      <c r="SN80">
        <f>SUMPRODUCT(--('Данные 2st'!$Q$2:$Q$317=$A80),--ISNUMBER('Данные 2st'!$PC$2:$PC$317))</f>
        <v>1</v>
      </c>
      <c r="SO80">
        <f>SUMPRODUCT(--('Данные 2st'!$Q$2:$Q$317=$A80),--ISNUMBER('Данные 2st'!$PD$2:$PD$317))</f>
        <v>1</v>
      </c>
      <c r="SP80">
        <f>SUMPRODUCT(--('Данные 2st'!$Q$2:$Q$317=$A80),--ISNUMBER('Данные 2st'!$PF$2:$PF$317))</f>
        <v>1</v>
      </c>
      <c r="SQ80">
        <f>SUMPRODUCT(--('Данные 2st'!$Q$2:$Q$317=$A80),--ISNUMBER('Данные 2st'!$PG$2:$PG$317))</f>
        <v>1</v>
      </c>
      <c r="SR80">
        <f>SUMPRODUCT(--('Данные 2st'!$Q$2:$Q$317=$A80),--ISNUMBER('Данные 2st'!$PH$2:$PH$317))</f>
        <v>1</v>
      </c>
      <c r="SS80">
        <f>SUMPRODUCT(--('Данные 2st'!$Q$2:$Q$317=$A80),--ISNUMBER('Данные 2st'!$PI$2:$PI$317))</f>
        <v>1</v>
      </c>
      <c r="ST80">
        <f>SUMPRODUCT(--('Данные 2st'!$Q$2:$Q$317=$A80),--ISNUMBER('Данные 2st'!$PJ$2:$PJ$317))</f>
        <v>1</v>
      </c>
      <c r="SU80">
        <f>SUMPRODUCT(--('Данные 2st'!$Q$2:$Q$317=$A80),--ISNUMBER('Данные 2st'!$PK$2:$PK$317))</f>
        <v>1</v>
      </c>
      <c r="SV80">
        <f>SUMPRODUCT(--('Данные 2st'!$Q$2:$Q$317=$A80),--ISNUMBER('Данные 2st'!$PL$2:$PL$317))</f>
        <v>1</v>
      </c>
      <c r="SW80">
        <f>SUMPRODUCT(--('Данные 2st'!$Q$2:$Q$317=$A80),--ISNUMBER('Данные 2st'!$PM$2:$PM$317))</f>
        <v>1</v>
      </c>
      <c r="SX80">
        <f>SUMPRODUCT(--('Данные 2st'!$Q$2:$Q$317=$A80),--ISNUMBER('Данные 2st'!$PN$2:$PN$317))</f>
        <v>1</v>
      </c>
      <c r="SY80">
        <f>SUMPRODUCT(--('Данные 2st'!$Q$2:$Q$317=$A80),--ISNUMBER('Данные 2st'!$PO$2:$PO$317))</f>
        <v>1</v>
      </c>
      <c r="SZ80">
        <f>SUMPRODUCT(--('Данные 2st'!$Q$2:$Q$317=$A80),--ISNUMBER('Данные 2st'!$PP$2:$PP$317))</f>
        <v>1</v>
      </c>
      <c r="TA80">
        <f>SUMPRODUCT(--('Данные 2st'!$Q$2:$Q$317=$A80),--ISNUMBER('Данные 2st'!$PQ$2:$PQ$317))</f>
        <v>1</v>
      </c>
      <c r="TB80">
        <f>SUMPRODUCT(--('Данные 2st'!$Q$2:$Q$317=$A80),--ISNUMBER('Данные 2st'!$PR$2:$PR$317))</f>
        <v>1</v>
      </c>
      <c r="TC80">
        <f>SUMPRODUCT(--('Данные 2st'!$Q$2:$Q$317=$A80),--ISNUMBER('Данные 2st'!$PS$2:$PS$317))</f>
        <v>1</v>
      </c>
      <c r="TD80">
        <f>SUMPRODUCT(--('Данные 2st'!$Q$2:$Q$317=$A80),--ISNUMBER('Данные 2st'!$PT$2:$PT$317))</f>
        <v>1</v>
      </c>
      <c r="TE80">
        <f>SUMPRODUCT(--('Данные 2st'!$Q$2:$Q$317=$A80),--ISNUMBER('Данные 2st'!$PU$2:$PU$317))</f>
        <v>1</v>
      </c>
      <c r="TF80">
        <f>SUMPRODUCT(--('Данные 2st'!$Q$2:$Q$317=$A80),--ISNUMBER('Данные 2st'!$PX$2:$PX$317))</f>
        <v>1</v>
      </c>
      <c r="TG80">
        <f>SUMPRODUCT(--('Данные 2st'!$Q$2:$Q$317=$A80),--ISNUMBER('Данные 2st'!$PY$2:$PY$317))</f>
        <v>1</v>
      </c>
      <c r="TH80">
        <f>SUMPRODUCT(--('Данные 2st'!$Q$2:$Q$317=$A80),--ISNUMBER('Данные 2st'!$PZ$2:$PZ$317))</f>
        <v>1</v>
      </c>
      <c r="TI80">
        <f>SUMPRODUCT(--('Данные 2st'!$Q$2:$Q$317=$A80),--ISNUMBER('Данные 2st'!$QA$2:$QA$317))</f>
        <v>1</v>
      </c>
      <c r="TJ80">
        <f>SUMPRODUCT(--('Данные 2st'!$Q$2:$Q$317=$A80),--ISNUMBER('Данные 2st'!$QB$2:$QB$317))</f>
        <v>1</v>
      </c>
      <c r="TK80">
        <f>SUMPRODUCT(--('Данные 2st'!$Q$2:$Q$317=$A80),--ISNUMBER('Данные 2st'!$QC$2:$QC$317))</f>
        <v>1</v>
      </c>
      <c r="TL80">
        <f>SUMPRODUCT(--('Данные 2st'!$Q$2:$Q$317=$A80),--ISNUMBER('Данные 2st'!$QD$2:$QD$317))</f>
        <v>1</v>
      </c>
      <c r="TM80">
        <f>SUMPRODUCT(--('Данные 2st'!$Q$2:$Q$317=$A80),--ISNUMBER('Данные 2st'!$QE$2:$QE$317))</f>
        <v>1</v>
      </c>
      <c r="TN80">
        <f>SUMPRODUCT(--('Данные 2st'!$Q$2:$Q$317=$A80),--ISNUMBER('Данные 2st'!$QF$2:$QF$317))</f>
        <v>1</v>
      </c>
      <c r="TO80">
        <f>SUMPRODUCT(--('Данные 2st'!$Q$2:$Q$317=$A80),--ISNUMBER('Данные 2st'!$QG$2:$QG$317))</f>
        <v>1</v>
      </c>
      <c r="TP80">
        <f>SUMPRODUCT(--('Данные 2st'!$Q$2:$Q$317=$A80),--ISNUMBER('Данные 2st'!$QH$2:$QH$317))</f>
        <v>1</v>
      </c>
      <c r="TQ80">
        <f>SUMPRODUCT(--('Данные 2st'!$Q$2:$Q$317=$A80),--ISNUMBER('Данные 2st'!$QI$2:$QI$317))</f>
        <v>1</v>
      </c>
      <c r="TR80">
        <f>SUMPRODUCT(--('Данные 2st'!$Q$2:$Q$317=$A80),--ISNUMBER('Данные 2st'!$QJ$2:$QJ$317))</f>
        <v>1</v>
      </c>
      <c r="TS80">
        <f>SUMPRODUCT(--('Данные 2st'!$Q$2:$Q$317=$A80),--ISNUMBER('Данные 2st'!$QK$2:$QK$317))</f>
        <v>1</v>
      </c>
      <c r="TT80">
        <f>SUMPRODUCT(--('Данные 2st'!$Q$2:$Q$317=$A80),--ISNUMBER('Данные 2st'!$QL$2:$QL$317))</f>
        <v>1</v>
      </c>
      <c r="TU80">
        <f>SUMPRODUCT(--('Данные 2st'!$Q$2:$Q$317=$A80),--ISNUMBER('Данные 2st'!$QM$2:$QM$317))</f>
        <v>1</v>
      </c>
      <c r="TV80">
        <f>SUMPRODUCT(--('Данные 2st'!$Q$2:$Q$317=$A80),--ISNUMBER('Данные 2st'!$QN$2:$QN$317))</f>
        <v>1</v>
      </c>
      <c r="TW80">
        <f>SUMPRODUCT(--('Данные 2st'!$Q$2:$Q$317=$A80),--ISNUMBER('Данные 2st'!$QQ$2:$QQ$317))</f>
        <v>1</v>
      </c>
      <c r="TX80">
        <f>SUMPRODUCT(--('Данные 2st'!$Q$2:$Q$317=$A80),--ISNUMBER('Данные 2st'!$QS$2:$QS$317))</f>
        <v>1</v>
      </c>
      <c r="TY80">
        <f>SUMPRODUCT(--('Данные 2st'!$Q$2:$Q$317=$A80),--ISNUMBER('Данные 2st'!$QT$2:$QT$317))</f>
        <v>1</v>
      </c>
    </row>
    <row r="81" spans="1:545" ht="32" customHeight="1">
      <c r="A81" s="11" t="str">
        <f>'По размерам'!A81</f>
        <v>275/40R19</v>
      </c>
      <c r="G81">
        <f>SUMPRODUCT(--('Данные 1st'!$S$2:$S$317=$A81),--ISNUMBER('Данные 1st'!$AE$2:$AE$317))</f>
        <v>1</v>
      </c>
      <c r="H81">
        <f>SUMPRODUCT(--('Данные 1st'!$S$2:$S$317=$A81),--ISNUMBER('Данные 1st'!$AF$2:$AF$317))</f>
        <v>1</v>
      </c>
      <c r="I81">
        <f>SUMPRODUCT(--('Данные 1st'!$S$2:$S$317=$A81),--ISNUMBER('Данные 1st'!$AJ$2:$AJ$317))</f>
        <v>1</v>
      </c>
      <c r="J81">
        <f>SUMPRODUCT(--('Данные 1st'!$S$2:$S$317=$A81),--ISNUMBER('Данные 1st'!$AL$2:$AL$317))</f>
        <v>1</v>
      </c>
      <c r="K81">
        <f>SUMPRODUCT(--('Данные 1st'!$S$2:$S$317=$A81),--ISNUMBER('Данные 1st'!$AR$2:$AR$317))</f>
        <v>1</v>
      </c>
      <c r="L81">
        <f>SUMPRODUCT(--('Данные 1st'!$S$2:$S$317=$A81),--ISNUMBER('Данные 1st'!$AS$2:$AS$317))</f>
        <v>1</v>
      </c>
      <c r="M81">
        <f>SUMPRODUCT(--('Данные 1st'!$S$2:$S$317=$A81),--ISNUMBER('Данные 1st'!$AY$2:$AY$317))</f>
        <v>1</v>
      </c>
      <c r="N81">
        <f>SUMPRODUCT(--('Данные 1st'!$S$2:$S$317=$A81),--ISNUMBER('Данные 1st'!$AZ$2:$AZ$317))</f>
        <v>1</v>
      </c>
      <c r="O81">
        <f>SUMPRODUCT(--('Данные 1st'!$S$2:$S$317=$A81),--ISNUMBER('Данные 1st'!$BF$2:$BF$317))</f>
        <v>0</v>
      </c>
      <c r="P81">
        <f>SUMPRODUCT(--('Данные 1st'!$S$2:$S$317=$A81),--ISNUMBER('Данные 1st'!$BG$2:$BG$317))</f>
        <v>1</v>
      </c>
      <c r="Q81">
        <f>SUMPRODUCT(--('Данные 1st'!$S$2:$S$317=$A81),--ISNUMBER('Данные 1st'!$BM$2:$BM$317))</f>
        <v>0</v>
      </c>
      <c r="R81">
        <f>SUMPRODUCT(--('Данные 1st'!$S$2:$S$317=$A81),--ISNUMBER('Данные 1st'!$BN$2:$BN$317))</f>
        <v>1</v>
      </c>
      <c r="S81">
        <f>SUMPRODUCT(--('Данные 1st'!$S$2:$S$317=$A81),--ISNUMBER('Данные 1st'!$BT$2:$BT$317))</f>
        <v>1</v>
      </c>
      <c r="T81">
        <f>SUMPRODUCT(--('Данные 1st'!$S$2:$S$317=$A81),--ISNUMBER('Данные 1st'!$BU$2:$BU$317))</f>
        <v>1</v>
      </c>
      <c r="U81">
        <f>SUMPRODUCT(--('Данные 1st'!$S$2:$S$317=$A81),--ISNUMBER('Данные 1st'!$BW$2:$BW$317))</f>
        <v>1</v>
      </c>
      <c r="V81">
        <f>SUMPRODUCT(--('Данные 1st'!$S$2:$S$317=$A81),--ISNUMBER('Данные 1st'!$BX$2:$BX$317))</f>
        <v>1</v>
      </c>
      <c r="W81">
        <f>SUMPRODUCT(--('Данные 1st'!$S$2:$S$317=$A81),--ISNUMBER('Данные 1st'!$BZ$2:$BZ$317))</f>
        <v>1</v>
      </c>
      <c r="X81">
        <f>SUMPRODUCT(--('Данные 1st'!$S$2:$S$317=$A81),--ISNUMBER('Данные 1st'!$CA$2:$CA$317))</f>
        <v>1</v>
      </c>
      <c r="Y81">
        <f>SUMPRODUCT(--('Данные 1st'!$S$2:$S$317=$A81),--ISNUMBER('Данные 1st'!$CD$2:$CD$317))</f>
        <v>1</v>
      </c>
      <c r="Z81">
        <f>SUMPRODUCT(--('Данные 1st'!$S$2:$S$317=$A81),--ISNUMBER('Данные 1st'!$CF$2:$CF$317))</f>
        <v>1</v>
      </c>
      <c r="AA81">
        <f>SUMPRODUCT(--('Данные 1st'!$S$2:$S$317=$A81),--ISNUMBER('Данные 1st'!$CI$2:$CI$317))</f>
        <v>1</v>
      </c>
      <c r="AB81">
        <f>SUMPRODUCT(--('Данные 1st'!$S$2:$S$317=$A81),--ISNUMBER('Данные 1st'!$CJ$2:$CJ$317))</f>
        <v>1</v>
      </c>
      <c r="AC81">
        <f>SUMPRODUCT(--('Данные 1st'!$S$2:$S$317=$A81),--ISNUMBER('Данные 1st'!$CK$2:$CK$317))</f>
        <v>1</v>
      </c>
      <c r="AD81">
        <f>SUMPRODUCT(--('Данные 1st'!$S$2:$S$317=$A81),--ISNUMBER('Данные 1st'!$CL$2:$CL$317))</f>
        <v>1</v>
      </c>
      <c r="AE81">
        <f>SUMPRODUCT(--('Данные 1st'!$S$2:$S$317=$A81),--ISNUMBER('Данные 1st'!$CM$2:$CM$317))</f>
        <v>1</v>
      </c>
      <c r="AF81">
        <f>SUMPRODUCT(--('Данные 1st'!$S$2:$S$317=$A81),--ISNUMBER('Данные 1st'!$CT$2:$CT$317))</f>
        <v>1</v>
      </c>
      <c r="AG81">
        <f>SUMPRODUCT(--('Данные 1st'!$S$2:$S$317=$A81),--ISNUMBER('Данные 1st'!$CU$2:$CU$317))</f>
        <v>1</v>
      </c>
      <c r="AH81">
        <f>SUMPRODUCT(--('Данные 1st'!$S$2:$S$317=$A81),--ISNUMBER('Данные 1st'!$CV$2:$CV$317))</f>
        <v>1</v>
      </c>
      <c r="AI81">
        <f>SUMPRODUCT(--('Данные 1st'!$S$2:$S$317=$A81),--ISNUMBER('Данные 1st'!$CW$2:$CW$317))</f>
        <v>1</v>
      </c>
      <c r="AJ81">
        <f>SUMPRODUCT(--('Данные 1st'!$S$2:$S$317=$A81),--ISNUMBER('Данные 1st'!$CX$2:$CX$317))</f>
        <v>1</v>
      </c>
      <c r="AK81">
        <f>SUMPRODUCT(--('Данные 1st'!$S$2:$S$317=$A81),--ISNUMBER('Данные 1st'!$CZ$2:$CZ$317))</f>
        <v>1</v>
      </c>
      <c r="AL81">
        <f>SUMPRODUCT(--('Данные 1st'!$S$2:$S$317=$A81),--ISNUMBER('Данные 1st'!$DA$2:$DA$317))</f>
        <v>1</v>
      </c>
      <c r="AM81">
        <f>SUMPRODUCT(--('Данные 1st'!$S$2:$S$317=$A81),--ISNUMBER('Данные 1st'!$DB$2:$DB$317))</f>
        <v>1</v>
      </c>
      <c r="AN81">
        <f>SUMPRODUCT(--('Данные 1st'!$S$2:$S$317=$A81),--ISNUMBER('Данные 1st'!$DC$2:$DC$317))</f>
        <v>1</v>
      </c>
      <c r="AO81">
        <f>SUMPRODUCT(--('Данные 1st'!$S$2:$S$317=$A81),--ISNUMBER('Данные 1st'!$DD$2:$DD$317))</f>
        <v>1</v>
      </c>
      <c r="AP81">
        <f>SUMPRODUCT(--('Данные 1st'!$S$2:$S$317=$A81),--ISNUMBER('Данные 1st'!$DF$2:$DF$317))</f>
        <v>1</v>
      </c>
      <c r="AQ81">
        <f>SUMPRODUCT(--('Данные 1st'!$S$2:$S$317=$A81),--ISNUMBER('Данные 1st'!$DG$2:$DG$317))</f>
        <v>1</v>
      </c>
      <c r="AR81">
        <f>SUMPRODUCT(--('Данные 1st'!$S$2:$S$317=$A81),--ISNUMBER('Данные 1st'!$DH$2:$DH$317))</f>
        <v>1</v>
      </c>
      <c r="AS81">
        <f>SUMPRODUCT(--('Данные 1st'!$S$2:$S$317=$A81),--ISNUMBER('Данные 1st'!$DI$2:$DI$317))</f>
        <v>1</v>
      </c>
      <c r="AT81">
        <f>SUMPRODUCT(--('Данные 1st'!$S$2:$S$317=$A81),--ISNUMBER('Данные 1st'!$DJ$2:$DJ$317))</f>
        <v>1</v>
      </c>
      <c r="AU81">
        <f>SUMPRODUCT(--('Данные 1st'!$S$2:$S$317=$A81),--ISNUMBER('Данные 1st'!$DL$2:$DL$317))</f>
        <v>0</v>
      </c>
      <c r="AV81">
        <f>SUMPRODUCT(--('Данные 1st'!$S$2:$S$317=$A81),--ISNUMBER('Данные 1st'!$DM$2:$DM$317))</f>
        <v>0</v>
      </c>
      <c r="AW81">
        <f>SUMPRODUCT(--('Данные 1st'!$S$2:$S$317=$A81),--ISNUMBER('Данные 1st'!$DN$2:$DN$317))</f>
        <v>0</v>
      </c>
      <c r="AX81">
        <f>SUMPRODUCT(--('Данные 1st'!$S$2:$S$317=$A81),--ISNUMBER('Данные 1st'!$DO$2:$DO$317))</f>
        <v>0</v>
      </c>
      <c r="AY81">
        <f>SUMPRODUCT(--('Данные 1st'!$S$2:$S$317=$A81),--ISNUMBER('Данные 1st'!$DP$2:$DP$317))</f>
        <v>0</v>
      </c>
      <c r="AZ81">
        <f>SUMPRODUCT(--('Данные 1st'!$S$2:$S$317=$A81),--ISNUMBER('Данные 1st'!$DR$2:$DR$317))</f>
        <v>0</v>
      </c>
      <c r="BA81">
        <f>SUMPRODUCT(--('Данные 1st'!$S$2:$S$317=$A81),--ISNUMBER('Данные 1st'!$DS$2:$DS$317))</f>
        <v>0</v>
      </c>
      <c r="BB81">
        <f>SUMPRODUCT(--('Данные 1st'!$S$2:$S$317=$A81),--ISNUMBER('Данные 1st'!$DT$2:$DT$317))</f>
        <v>0</v>
      </c>
      <c r="BC81">
        <f>SUMPRODUCT(--('Данные 1st'!$S$2:$S$317=$A81),--ISNUMBER('Данные 1st'!$DU$2:$DU$317))</f>
        <v>0</v>
      </c>
      <c r="BD81">
        <f>SUMPRODUCT(--('Данные 1st'!$S$2:$S$317=$A81),--ISNUMBER('Данные 1st'!$DV$2:$DV$317))</f>
        <v>0</v>
      </c>
      <c r="BE81">
        <f>SUMPRODUCT(--('Данные 1st'!$S$2:$S$317=$A81),--ISNUMBER('Данные 1st'!$DX$2:$DX$317))</f>
        <v>1</v>
      </c>
      <c r="BF81">
        <f>SUMPRODUCT(--('Данные 1st'!$S$2:$S$317=$A81),--ISNUMBER('Данные 1st'!$EA$2:$EA$317))</f>
        <v>1</v>
      </c>
      <c r="BG81">
        <f>SUMPRODUCT(--('Данные 1st'!$S$2:$S$317=$A81),--ISNUMBER('Данные 1st'!$EB$2:$EB$317))</f>
        <v>1</v>
      </c>
      <c r="BH81">
        <f>SUMPRODUCT(--('Данные 1st'!$S$2:$S$317=$A81),--ISNUMBER('Данные 1st'!$ED$2:$ED$317))</f>
        <v>1</v>
      </c>
      <c r="BI81">
        <f>SUMPRODUCT(--('Данные 1st'!$S$2:$S$317=$A81),--ISNUMBER('Данные 1st'!$EE$2:$EE$317))</f>
        <v>1</v>
      </c>
      <c r="BJ81">
        <f>SUMPRODUCT(--('Данные 1st'!$S$2:$S$317=$A81),--ISNUMBER('Данные 1st'!$EG$2:$EG$317))</f>
        <v>1</v>
      </c>
      <c r="BK81">
        <f>SUMPRODUCT(--('Данные 1st'!$S$2:$S$317=$A81),--ISNUMBER('Данные 1st'!$EH$2:$EH$317))</f>
        <v>1</v>
      </c>
      <c r="BL81">
        <f>SUMPRODUCT(--('Данные 1st'!$S$2:$S$317=$A81),--ISNUMBER('Данные 1st'!$EJ$2:$EJ$317))</f>
        <v>1</v>
      </c>
      <c r="BM81">
        <f>SUMPRODUCT(--('Данные 1st'!$S$2:$S$317=$A81),--ISNUMBER('Данные 1st'!$EK$2:$EK$317))</f>
        <v>1</v>
      </c>
      <c r="BN81">
        <f>SUMPRODUCT(--('Данные 1st'!$S$2:$S$317=$A81),--ISNUMBER('Данные 1st'!$EN$2:$EN$317))</f>
        <v>1</v>
      </c>
      <c r="BO81">
        <f>SUMPRODUCT(--('Данные 1st'!$S$2:$S$317=$A81),--ISNUMBER('Данные 1st'!$EQ$2:$EQ$317))</f>
        <v>1</v>
      </c>
      <c r="BP81">
        <f>SUMPRODUCT(--('Данные 1st'!$S$2:$S$317=$A81),--ISNUMBER('Данные 1st'!$ER$2:$ER$317))</f>
        <v>1</v>
      </c>
      <c r="BQ81">
        <f>SUMPRODUCT(--('Данные 1st'!$S$2:$S$317=$A81),--ISNUMBER('Данные 1st'!$ES$2:$ES$317))</f>
        <v>1</v>
      </c>
      <c r="BR81">
        <f>SUMPRODUCT(--('Данные 1st'!$S$2:$S$317=$A81),--ISNUMBER('Данные 1st'!$ET$2:$ET$317))</f>
        <v>1</v>
      </c>
      <c r="BS81">
        <f>SUMPRODUCT(--('Данные 1st'!$S$2:$S$317=$A81),--ISNUMBER('Данные 1st'!$EU$2:$EU$317))</f>
        <v>1</v>
      </c>
      <c r="BT81">
        <f>SUMPRODUCT(--('Данные 1st'!$S$2:$S$317=$A81),--ISNUMBER('Данные 1st'!$EV$2:$EV$317))</f>
        <v>1</v>
      </c>
      <c r="BU81">
        <f>SUMPRODUCT(--('Данные 1st'!$S$2:$S$317=$A81),--ISNUMBER('Данные 1st'!$EX$2:$EX$317))</f>
        <v>1</v>
      </c>
      <c r="BV81">
        <f>SUMPRODUCT(--('Данные 1st'!$S$2:$S$317=$A81),--ISNUMBER('Данные 1st'!$EY$2:$EY$317))</f>
        <v>1</v>
      </c>
      <c r="BW81">
        <f>SUMPRODUCT(--('Данные 1st'!$S$2:$S$317=$A81),--ISNUMBER('Данные 1st'!$EZ$2:$EZ$317))</f>
        <v>1</v>
      </c>
      <c r="BX81">
        <f>SUMPRODUCT(--('Данные 1st'!$S$2:$S$317=$A81),--ISNUMBER('Данные 1st'!$FA$2:$FA$317))</f>
        <v>1</v>
      </c>
      <c r="BY81">
        <f>SUMPRODUCT(--('Данные 1st'!$S$2:$S$317=$A81),--ISNUMBER('Данные 1st'!$FB$2:$FB$317))</f>
        <v>1</v>
      </c>
      <c r="BZ81">
        <f>SUMPRODUCT(--('Данные 1st'!$S$2:$S$317=$A81),--ISNUMBER('Данные 1st'!$FC$2:$FC$317))</f>
        <v>1</v>
      </c>
      <c r="CA81">
        <f>SUMPRODUCT(--('Данные 1st'!$S$2:$S$317=$A81),--ISNUMBER('Данные 1st'!$FE$2:$FE$317))</f>
        <v>1</v>
      </c>
      <c r="CB81">
        <f>SUMPRODUCT(--('Данные 1st'!$S$2:$S$317=$A81),--ISNUMBER('Данные 1st'!$FF$2:$FF$317))</f>
        <v>1</v>
      </c>
      <c r="CC81">
        <f>SUMPRODUCT(--('Данные 1st'!$S$2:$S$317=$A81),--ISNUMBER('Данные 1st'!$FI$2:$FI$317))</f>
        <v>1</v>
      </c>
      <c r="CD81">
        <f>SUMPRODUCT(--('Данные 1st'!$S$2:$S$317=$A81),--ISNUMBER('Данные 1st'!$FL$2:$FL$317))</f>
        <v>1</v>
      </c>
      <c r="CE81">
        <f>SUMPRODUCT(--('Данные 1st'!$S$2:$S$317=$A81),--ISNUMBER('Данные 1st'!$FM$2:$FM$317))</f>
        <v>1</v>
      </c>
      <c r="CF81">
        <f>SUMPRODUCT(--('Данные 1st'!$S$2:$S$317=$A81),--ISNUMBER('Данные 1st'!$FN$2:$FN$317))</f>
        <v>1</v>
      </c>
      <c r="CG81">
        <f>SUMPRODUCT(--('Данные 1st'!$S$2:$S$317=$A81),--ISNUMBER('Данные 1st'!$FO$2:$FO$317))</f>
        <v>1</v>
      </c>
      <c r="CH81">
        <f>SUMPRODUCT(--('Данные 1st'!$S$2:$S$317=$A81),--ISNUMBER('Данные 1st'!$FP$2:$FP$317))</f>
        <v>1</v>
      </c>
      <c r="CI81">
        <f>SUMPRODUCT(--('Данные 1st'!$S$2:$S$317=$A81),--ISNUMBER('Данные 1st'!$FS$2:$FS$317))</f>
        <v>1</v>
      </c>
      <c r="CJ81">
        <f>SUMPRODUCT(--('Данные 1st'!$S$2:$S$317=$A81),--ISNUMBER('Данные 1st'!$FT$2:$FT$317))</f>
        <v>1</v>
      </c>
      <c r="CK81">
        <f>SUMPRODUCT(--('Данные 1st'!$S$2:$S$317=$A81),--ISNUMBER('Данные 1st'!$FU$2:$FU$317))</f>
        <v>1</v>
      </c>
      <c r="CL81">
        <f>SUMPRODUCT(--('Данные 1st'!$S$2:$S$317=$A81),--ISNUMBER('Данные 1st'!$FV$2:$FV$317))</f>
        <v>0</v>
      </c>
      <c r="CM81">
        <f>SUMPRODUCT(--('Данные 1st'!$S$2:$S$317=$A81),--ISNUMBER('Данные 1st'!$FW$2:$FW$317))</f>
        <v>0</v>
      </c>
      <c r="CN81">
        <f>SUMPRODUCT(--('Данные 1st'!$S$2:$S$317=$A81),--ISNUMBER('Данные 1st'!$FZ$2:$FZ$317))</f>
        <v>0</v>
      </c>
      <c r="CO81">
        <f>SUMPRODUCT(--('Данные 1st'!$S$2:$S$317=$A81),--ISNUMBER('Данные 1st'!$GA$2:$GA$317))</f>
        <v>0</v>
      </c>
      <c r="CP81">
        <f>SUMPRODUCT(--('Данные 1st'!$S$2:$S$317=$A81),--ISNUMBER('Данные 1st'!$GB$2:$GB$317))</f>
        <v>0</v>
      </c>
      <c r="CQ81">
        <f>SUMPRODUCT(--('Данные 1st'!$S$2:$S$317=$A81),--ISNUMBER('Данные 1st'!$GH$2:$GH$317))</f>
        <v>0</v>
      </c>
      <c r="CR81">
        <f>SUMPRODUCT(--('Данные 1st'!$S$2:$S$317=$A81),--ISNUMBER('Данные 1st'!$GI$2:$GI$317))</f>
        <v>0</v>
      </c>
      <c r="CS81">
        <f>SUMPRODUCT(--('Данные 1st'!$S$2:$S$317=$A81),--ISNUMBER('Данные 1st'!$GJ$2:$GJ$317))</f>
        <v>0</v>
      </c>
      <c r="CT81">
        <f>SUMPRODUCT(--('Данные 1st'!$S$2:$S$317=$A81),--ISNUMBER('Данные 1st'!$GS$2:$GS$317))</f>
        <v>0</v>
      </c>
      <c r="CU81">
        <f>SUMPRODUCT(--('Данные 1st'!$S$2:$S$317=$A81),--ISNUMBER('Данные 1st'!$GT$2:$GT$317))</f>
        <v>0</v>
      </c>
      <c r="CV81">
        <f>SUMPRODUCT(--('Данные 1st'!$S$2:$S$317=$A81),--ISNUMBER('Данные 1st'!$GU$2:$GU$317))</f>
        <v>0</v>
      </c>
      <c r="CW81">
        <f>SUMPRODUCT(--('Данные 1st'!$S$2:$S$317=$A81),--ISNUMBER('Данные 1st'!$GV$2:$GV$317))</f>
        <v>0</v>
      </c>
      <c r="CX81">
        <f>SUMPRODUCT(--('Данные 1st'!$S$2:$S$317=$A81),--ISNUMBER('Данные 1st'!$GW$2:$GW$317))</f>
        <v>0</v>
      </c>
      <c r="CY81">
        <f>SUMPRODUCT(--('Данные 1st'!$S$2:$S$317=$A81),--ISNUMBER('Данные 1st'!$GZ$2:$GZ$317))</f>
        <v>0</v>
      </c>
      <c r="CZ81">
        <f>SUMPRODUCT(--('Данные 1st'!$S$2:$S$317=$A81),--ISNUMBER('Данные 1st'!$HA$2:$HA$317))</f>
        <v>0</v>
      </c>
      <c r="DA81">
        <f>SUMPRODUCT(--('Данные 1st'!$S$2:$S$317=$A81),--ISNUMBER('Данные 1st'!$HB$2:$HB$317))</f>
        <v>0</v>
      </c>
      <c r="DB81">
        <f>SUMPRODUCT(--('Данные 1st'!$S$2:$S$317=$A81),--ISNUMBER('Данные 1st'!$HC$2:$HC$317))</f>
        <v>1</v>
      </c>
      <c r="DC81">
        <f>SUMPRODUCT(--('Данные 1st'!$S$2:$S$317=$A81),--ISNUMBER('Данные 1st'!$HD$2:$HD$317))</f>
        <v>1</v>
      </c>
      <c r="DD81">
        <f>SUMPRODUCT(--('Данные 1st'!$S$2:$S$317=$A81),--ISNUMBER('Данные 1st'!$HE$2:$HE$317))</f>
        <v>1</v>
      </c>
      <c r="DE81">
        <f>SUMPRODUCT(--('Данные 1st'!$S$2:$S$317=$A81),--ISNUMBER('Данные 1st'!$HF$2:$HF$317))</f>
        <v>1</v>
      </c>
      <c r="DF81">
        <f>SUMPRODUCT(--('Данные 1st'!$S$2:$S$317=$A81),--ISNUMBER('Данные 1st'!$HG$2:$HG$317))</f>
        <v>1</v>
      </c>
      <c r="DG81">
        <f>SUMPRODUCT(--('Данные 1st'!$S$2:$S$317=$A81),--ISNUMBER('Данные 1st'!$HH$2:$HH$317))</f>
        <v>1</v>
      </c>
      <c r="DH81">
        <f>SUMPRODUCT(--('Данные 1st'!$S$2:$S$317=$A81),--ISNUMBER('Данные 1st'!$HI$2:$HI$317))</f>
        <v>1</v>
      </c>
      <c r="DI81">
        <f>SUMPRODUCT(--('Данные 1st'!$S$2:$S$317=$A81),--ISNUMBER('Данные 1st'!$HJ$2:$HJ$317))</f>
        <v>1</v>
      </c>
      <c r="DJ81">
        <f>SUMPRODUCT(--('Данные 1st'!$S$2:$S$317=$A81),--ISNUMBER('Данные 1st'!$HK$2:$HK$317))</f>
        <v>1</v>
      </c>
      <c r="DK81">
        <f>SUMPRODUCT(--('Данные 1st'!$S$2:$S$317=$A81),--ISNUMBER('Данные 1st'!$HL$2:$HL$317))</f>
        <v>1</v>
      </c>
      <c r="DL81">
        <f>SUMPRODUCT(--('Данные 1st'!$S$2:$S$317=$A81),--ISNUMBER('Данные 1st'!$HM$2:$HM$317))</f>
        <v>1</v>
      </c>
      <c r="DM81">
        <f>SUMPRODUCT(--('Данные 1st'!$S$2:$S$317=$A81),--ISNUMBER('Данные 1st'!$HN$2:$HN$317))</f>
        <v>1</v>
      </c>
      <c r="DN81">
        <f>SUMPRODUCT(--('Данные 1st'!$S$2:$S$317=$A81),--ISNUMBER('Данные 1st'!$HO$2:$HO$317))</f>
        <v>1</v>
      </c>
      <c r="DO81">
        <f>SUMPRODUCT(--('Данные 1st'!$S$2:$S$317=$A81),--ISNUMBER('Данные 1st'!$HP$2:$HP$317))</f>
        <v>1</v>
      </c>
      <c r="DP81">
        <f>SUMPRODUCT(--('Данные 1st'!$S$2:$S$317=$A81),--ISNUMBER('Данные 1st'!$HQ$2:$HQ$317))</f>
        <v>1</v>
      </c>
      <c r="DQ81">
        <f>SUMPRODUCT(--('Данные 1st'!$S$2:$S$317=$A81),--ISNUMBER('Данные 1st'!$HR$2:$HR$317))</f>
        <v>1</v>
      </c>
      <c r="DR81">
        <f>SUMPRODUCT(--('Данные 1st'!$S$2:$S$317=$A81),--ISNUMBER('Данные 1st'!$HS$2:$HS$317))</f>
        <v>1</v>
      </c>
      <c r="DS81">
        <f>SUMPRODUCT(--('Данные 1st'!$S$2:$S$317=$A81),--ISNUMBER('Данные 1st'!$HT$2:$HT$317))</f>
        <v>1</v>
      </c>
      <c r="DT81">
        <f>SUMPRODUCT(--('Данные 1st'!$S$2:$S$317=$A81),--ISNUMBER('Данные 1st'!$HU$2:$HU$317))</f>
        <v>1</v>
      </c>
      <c r="DU81">
        <f>SUMPRODUCT(--('Данные 1st'!$S$2:$S$317=$A81),--ISNUMBER('Данные 1st'!$HW$2:$HW$317))</f>
        <v>1</v>
      </c>
      <c r="DV81">
        <f>SUMPRODUCT(--('Данные 1st'!$S$2:$S$317=$A81),--ISNUMBER('Данные 1st'!$HX$2:$HX$317))</f>
        <v>1</v>
      </c>
      <c r="DW81">
        <f>SUMPRODUCT(--('Данные 1st'!$S$2:$S$317=$A81),--ISNUMBER('Данные 1st'!$HY$2:$HY$317))</f>
        <v>1</v>
      </c>
      <c r="DX81">
        <f>SUMPRODUCT(--('Данные 1st'!$S$2:$S$317=$A81),--ISNUMBER('Данные 1st'!$IA$2:$IA$317))</f>
        <v>1</v>
      </c>
      <c r="DY81">
        <f>SUMPRODUCT(--('Данные 1st'!$S$2:$S$317=$A81),--ISNUMBER('Данные 1st'!$IB$2:$IB$317))</f>
        <v>1</v>
      </c>
      <c r="DZ81">
        <f>SUMPRODUCT(--('Данные 1st'!$S$2:$S$317=$A81),--ISNUMBER('Данные 1st'!$IC$2:$IC$317))</f>
        <v>1</v>
      </c>
      <c r="EA81">
        <f>SUMPRODUCT(--('Данные 1st'!$S$2:$S$317=$A81),--ISNUMBER('Данные 1st'!$ID$2:$ID$317))</f>
        <v>1</v>
      </c>
      <c r="EB81">
        <f>SUMPRODUCT(--('Данные 1st'!$S$2:$S$317=$A81),--ISNUMBER('Данные 1st'!$IE$2:$IE$317))</f>
        <v>1</v>
      </c>
      <c r="EC81">
        <f>SUMPRODUCT(--('Данные 1st'!$S$2:$S$317=$A81),--ISNUMBER('Данные 1st'!$IF$2:$IF$317))</f>
        <v>1</v>
      </c>
      <c r="ED81">
        <f>SUMPRODUCT(--('Данные 1st'!$S$2:$S$317=$A81),--ISNUMBER('Данные 1st'!$IP$2:$IP$317))</f>
        <v>1</v>
      </c>
      <c r="EE81">
        <f>SUMPRODUCT(--('Данные 1st'!$S$2:$S$317=$A81),--ISNUMBER('Данные 1st'!$IV$2:$IV$317))</f>
        <v>1</v>
      </c>
      <c r="EF81">
        <f>SUMPRODUCT(--('Данные 1st'!$S$2:$S$317=$A81),--ISNUMBER('Данные 1st'!$IW$2:$IW$317))</f>
        <v>1</v>
      </c>
      <c r="EG81">
        <f>SUMPRODUCT(--('Данные 1st'!$S$2:$S$317=$A81),--ISNUMBER('Данные 1st'!$IX$2:$IX$317))</f>
        <v>0</v>
      </c>
      <c r="EH81">
        <f>SUMPRODUCT(--('Данные 1st'!$S$2:$S$317=$A81),--ISNUMBER('Данные 1st'!$IY$2:$IY$317))</f>
        <v>0</v>
      </c>
      <c r="EI81">
        <f>SUMPRODUCT(--('Данные 1st'!$S$2:$S$317=$A81),--ISNUMBER('Данные 1st'!$JD$2:$JD$317))</f>
        <v>1</v>
      </c>
      <c r="EJ81">
        <f>SUMPRODUCT(--('Данные 1st'!$S$2:$S$317=$A81),--ISNUMBER('Данные 1st'!$JE$2:$JE$317))</f>
        <v>1</v>
      </c>
      <c r="EK81">
        <f>SUMPRODUCT(--('Данные 1st'!$S$2:$S$317=$A81),--ISNUMBER('Данные 1st'!$JF$2:$JF$317))</f>
        <v>1</v>
      </c>
      <c r="EL81">
        <f>SUMPRODUCT(--('Данные 1st'!$S$2:$S$317=$A81),--ISNUMBER('Данные 1st'!$JG$2:$JG$317))</f>
        <v>1</v>
      </c>
      <c r="EM81">
        <f>SUMPRODUCT(--('Данные 1st'!$S$2:$S$317=$A81),--ISNUMBER('Данные 1st'!$JH$2:$JH$317))</f>
        <v>1</v>
      </c>
      <c r="EN81">
        <f>SUMPRODUCT(--('Данные 1st'!$S$2:$S$317=$A81),--ISNUMBER('Данные 1st'!$JJ$2:$JJ$317))</f>
        <v>1</v>
      </c>
      <c r="EO81">
        <f>SUMPRODUCT(--('Данные 1st'!$S$2:$S$317=$A81),--ISNUMBER('Данные 1st'!$JK$2:$JK$317))</f>
        <v>1</v>
      </c>
      <c r="EP81">
        <f>SUMPRODUCT(--('Данные 1st'!$S$2:$S$317=$A81),--ISNUMBER('Данные 1st'!$JL$2:$JL$317))</f>
        <v>0</v>
      </c>
      <c r="EQ81">
        <f>SUMPRODUCT(--('Данные 1st'!$S$2:$S$317=$A81),--ISNUMBER('Данные 1st'!$JM$2:$JM$317))</f>
        <v>0</v>
      </c>
      <c r="ER81">
        <f>SUMPRODUCT(--('Данные 1st'!$S$2:$S$317=$A81),--ISNUMBER('Данные 1st'!$JN$2:$JN$317))</f>
        <v>1</v>
      </c>
      <c r="ES81">
        <f>SUMPRODUCT(--('Данные 1st'!$S$2:$S$317=$A81),--ISNUMBER('Данные 1st'!$JO$2:$JO$317))</f>
        <v>1</v>
      </c>
      <c r="ET81">
        <f>SUMPRODUCT(--('Данные 1st'!$S$2:$S$317=$A81),--ISNUMBER('Данные 1st'!$JP$2:$JP$317))</f>
        <v>1</v>
      </c>
      <c r="EU81">
        <f>SUMPRODUCT(--('Данные 1st'!$S$2:$S$317=$A81),--ISNUMBER('Данные 1st'!$JQ$2:$JQ$317))</f>
        <v>1</v>
      </c>
      <c r="EV81">
        <f>SUMPRODUCT(--('Данные 1st'!$S$2:$S$317=$A81),--ISNUMBER('Данные 1st'!$JR$2:$JR$317))</f>
        <v>1</v>
      </c>
      <c r="EW81">
        <f>SUMPRODUCT(--('Данные 1st'!$S$2:$S$317=$A81),--ISNUMBER('Данные 1st'!$JS$2:$JS$317))</f>
        <v>1</v>
      </c>
      <c r="EX81">
        <f>SUMPRODUCT(--('Данные 1st'!$S$2:$S$317=$A81),--ISNUMBER('Данные 1st'!$JT$2:$JT$317))</f>
        <v>0</v>
      </c>
      <c r="EY81">
        <f>SUMPRODUCT(--('Данные 1st'!$S$2:$S$317=$A81),--ISNUMBER('Данные 1st'!$JU$2:$JU$317))</f>
        <v>0</v>
      </c>
      <c r="EZ81">
        <f>SUMPRODUCT(--('Данные 1st'!$S$2:$S$317=$A81),--ISNUMBER('Данные 1st'!$JV$2:$JV$317))</f>
        <v>1</v>
      </c>
      <c r="FA81">
        <f>SUMPRODUCT(--('Данные 1st'!$S$2:$S$317=$A81),--ISNUMBER('Данные 1st'!$JW$2:$JW$317))</f>
        <v>0</v>
      </c>
      <c r="FB81">
        <f>SUMPRODUCT(--('Данные 1st'!$S$2:$S$317=$A81),--ISNUMBER('Данные 1st'!$JX$2:$JX$317))</f>
        <v>1</v>
      </c>
      <c r="FC81">
        <f>SUMPRODUCT(--('Данные 1st'!$S$2:$S$317=$A81),--ISNUMBER('Данные 1st'!$JY$2:$JY$317))</f>
        <v>0</v>
      </c>
      <c r="FD81">
        <f>SUMPRODUCT(--('Данные 1st'!$S$2:$S$317=$A81),--ISNUMBER('Данные 1st'!$JZ$2:$JZ$317))</f>
        <v>0</v>
      </c>
      <c r="FE81">
        <f>SUMPRODUCT(--('Данные 1st'!$S$2:$S$317=$A81),--ISNUMBER('Данные 1st'!$KA$2:$KA$317))</f>
        <v>1</v>
      </c>
      <c r="FF81">
        <f>SUMPRODUCT(--('Данные 1st'!$S$2:$S$317=$A81),--ISNUMBER('Данные 1st'!$KB$2:$KB$317))</f>
        <v>1</v>
      </c>
      <c r="FG81">
        <f>SUMPRODUCT(--('Данные 1st'!$S$2:$S$317=$A81),--ISNUMBER('Данные 1st'!$KC$2:$KC$317))</f>
        <v>1</v>
      </c>
      <c r="FH81">
        <f>SUMPRODUCT(--('Данные 1st'!$S$2:$S$317=$A81),--ISNUMBER('Данные 1st'!$KD$2:$KD$317))</f>
        <v>1</v>
      </c>
      <c r="FI81">
        <f>SUMPRODUCT(--('Данные 1st'!$S$2:$S$317=$A81),--ISNUMBER('Данные 1st'!$KE$2:$KE$317))</f>
        <v>0</v>
      </c>
      <c r="FJ81">
        <f>SUMPRODUCT(--('Данные 1st'!$S$2:$S$317=$A81),--ISNUMBER('Данные 1st'!$KF$2:$KF$317))</f>
        <v>1</v>
      </c>
      <c r="FK81">
        <f>SUMPRODUCT(--('Данные 1st'!$S$2:$S$317=$A81),--ISNUMBER('Данные 1st'!$KG$2:$KG$317))</f>
        <v>1</v>
      </c>
      <c r="FL81">
        <f>SUMPRODUCT(--('Данные 1st'!$S$2:$S$317=$A81),--ISNUMBER('Данные 1st'!$KH$2:$KH$317))</f>
        <v>1</v>
      </c>
      <c r="FM81">
        <f>SUMPRODUCT(--('Данные 1st'!$S$2:$S$317=$A81),--ISNUMBER('Данные 1st'!$KI$2:$KI$317))</f>
        <v>1</v>
      </c>
      <c r="FN81">
        <f>SUMPRODUCT(--('Данные 1st'!$S$2:$S$317=$A81),--ISNUMBER('Данные 1st'!$KJ$2:$KJ$317))</f>
        <v>1</v>
      </c>
      <c r="FO81">
        <f>SUMPRODUCT(--('Данные 1st'!$S$2:$S$317=$A81),--ISNUMBER('Данные 1st'!$KK$2:$KK$317))</f>
        <v>1</v>
      </c>
      <c r="FP81">
        <f>SUMPRODUCT(--('Данные 1st'!$S$2:$S$317=$A81),--ISNUMBER('Данные 1st'!$KL$2:$KL$317))</f>
        <v>1</v>
      </c>
      <c r="FQ81">
        <f>SUMPRODUCT(--('Данные 1st'!$S$2:$S$317=$A81),--ISNUMBER('Данные 1st'!$KM$2:$KM$317))</f>
        <v>1</v>
      </c>
      <c r="FR81">
        <f>SUMPRODUCT(--('Данные 1st'!$S$2:$S$317=$A81),--ISNUMBER('Данные 1st'!$KN$2:$KN$317))</f>
        <v>1</v>
      </c>
      <c r="FS81">
        <f>SUMPRODUCT(--('Данные 1st'!$S$2:$S$317=$A81),--ISNUMBER('Данные 1st'!$KR$2:$KR$317))</f>
        <v>1</v>
      </c>
      <c r="FT81">
        <f>SUMPRODUCT(--('Данные 1st'!$S$2:$S$317=$A81),--ISNUMBER('Данные 1st'!$KS$2:$KS$317))</f>
        <v>1</v>
      </c>
      <c r="FU81">
        <f>SUMPRODUCT(--('Данные 1st'!$S$2:$S$317=$A81),--ISNUMBER('Данные 1st'!$KT$2:$KT$317))</f>
        <v>1</v>
      </c>
      <c r="FV81">
        <f>SUMPRODUCT(--('Данные 1st'!$S$2:$S$317=$A81),--ISNUMBER('Данные 1st'!$KV$2:$KV$317))</f>
        <v>0</v>
      </c>
      <c r="FW81">
        <f>SUMPRODUCT(--('Данные 1st'!$S$2:$S$317=$A81),--ISNUMBER('Данные 1st'!$KW$2:$KW$317))</f>
        <v>0</v>
      </c>
      <c r="FX81">
        <f>SUMPRODUCT(--('Данные 1st'!$S$2:$S$317=$A81),--ISNUMBER('Данные 1st'!$KX$2:$KX$317))</f>
        <v>0</v>
      </c>
      <c r="FY81">
        <f>SUMPRODUCT(--('Данные 1st'!$S$2:$S$317=$A81),--ISNUMBER('Данные 1st'!$KY$2:$KY$317))</f>
        <v>0</v>
      </c>
      <c r="FZ81">
        <f>SUMPRODUCT(--('Данные 1st'!$S$2:$S$317=$A81),--ISNUMBER('Данные 1st'!$KZ$2:$KZ$317))</f>
        <v>0</v>
      </c>
      <c r="GA81">
        <f>SUMPRODUCT(--('Данные 1st'!$S$2:$S$317=$A81),--ISNUMBER('Данные 1st'!$LA$2:$LA$317))</f>
        <v>0</v>
      </c>
      <c r="GB81">
        <f>SUMPRODUCT(--('Данные 1st'!$S$2:$S$317=$A81),--ISNUMBER('Данные 1st'!$LB$2:$LB$317))</f>
        <v>0</v>
      </c>
      <c r="GC81">
        <f>SUMPRODUCT(--('Данные 1st'!$S$2:$S$317=$A81),--ISNUMBER('Данные 1st'!$LC$2:$LC$317))</f>
        <v>0</v>
      </c>
      <c r="GD81">
        <f>SUMPRODUCT(--('Данные 1st'!$S$2:$S$317=$A81),--ISNUMBER('Данные 1st'!$LD$2:$LD$317))</f>
        <v>0</v>
      </c>
      <c r="GE81">
        <f>SUMPRODUCT(--('Данные 1st'!$S$2:$S$317=$A81),--ISNUMBER('Данные 1st'!$LE$2:$LE$317))</f>
        <v>0</v>
      </c>
      <c r="GF81">
        <f>SUMPRODUCT(--('Данные 1st'!$S$2:$S$317=$A81),--ISNUMBER('Данные 1st'!$LF$2:$LF$317))</f>
        <v>0</v>
      </c>
      <c r="GG81">
        <f>SUMPRODUCT(--('Данные 1st'!$S$2:$S$317=$A81),--ISNUMBER('Данные 1st'!$LG$2:$LG$317))</f>
        <v>0</v>
      </c>
      <c r="GH81">
        <f>SUMPRODUCT(--('Данные 1st'!$S$2:$S$317=$A81),--ISNUMBER('Данные 1st'!$LH$2:$LH$317))</f>
        <v>0</v>
      </c>
      <c r="GI81">
        <f>SUMPRODUCT(--('Данные 1st'!$S$2:$S$317=$A81),--ISNUMBER('Данные 1st'!$LI$2:$LI$317))</f>
        <v>0</v>
      </c>
      <c r="GJ81">
        <f>SUMPRODUCT(--('Данные 1st'!$S$2:$S$317=$A81),--ISNUMBER('Данные 1st'!$LJ$2:$LJ$317))</f>
        <v>0</v>
      </c>
      <c r="GK81">
        <f>SUMPRODUCT(--('Данные 1st'!$S$2:$S$317=$A81),--ISNUMBER('Данные 1st'!$LK$2:$LK$317))</f>
        <v>1</v>
      </c>
      <c r="GL81">
        <f>SUMPRODUCT(--('Данные 1st'!$S$2:$S$317=$A81),--ISNUMBER('Данные 1st'!$LV$2:$LV$317))</f>
        <v>0</v>
      </c>
      <c r="GM81">
        <f>SUMPRODUCT(--('Данные 1st'!$S$2:$S$317=$A81),--ISNUMBER('Данные 1st'!$LW$2:$LW$317))</f>
        <v>0</v>
      </c>
      <c r="GN81">
        <f>SUMPRODUCT(--('Данные 1st'!$S$2:$S$317=$A81),--ISNUMBER('Данные 1st'!$LX$2:$LX$317))</f>
        <v>0</v>
      </c>
      <c r="GO81">
        <f>SUMPRODUCT(--('Данные 1st'!$S$2:$S$317=$A81),--ISNUMBER('Данные 1st'!$LY$2:$LY$317))</f>
        <v>0</v>
      </c>
      <c r="GP81">
        <f>SUMPRODUCT(--('Данные 1st'!$S$2:$S$317=$A81),--ISNUMBER('Данные 1st'!$LZ$2:$LZ$317))</f>
        <v>0</v>
      </c>
      <c r="GQ81">
        <f>SUMPRODUCT(--('Данные 1st'!$S$2:$S$317=$A81),--ISNUMBER('Данные 1st'!$PG$2:$PG$317))</f>
        <v>1</v>
      </c>
      <c r="GR81">
        <f>SUMPRODUCT(--('Данные 1st'!$S$2:$S$317=$A81),--ISNUMBER('Данные 1st'!$PX$2:$PX$317))</f>
        <v>1</v>
      </c>
      <c r="GS81">
        <f>SUMPRODUCT(--('Данные 1st'!$S$2:$S$317=$A81),--ISNUMBER('Данные 1st'!$PY$2:$PY$317))</f>
        <v>1</v>
      </c>
      <c r="GT81">
        <f>SUMPRODUCT(--('Данные 1st'!$S$2:$S$317=$A81),--ISNUMBER('Данные 1st'!$QA$2:$QA$317))</f>
        <v>1</v>
      </c>
      <c r="GU81">
        <f>SUMPRODUCT(--('Данные 1st'!$S$2:$S$317=$A81),--ISNUMBER('Данные 1st'!$QB$2:$QB$317))</f>
        <v>1</v>
      </c>
      <c r="GV81">
        <f>SUMPRODUCT(--('Данные 1st'!$S$2:$S$317=$A81),--ISNUMBER('Данные 1st'!$QC$2:$QC$317))</f>
        <v>1</v>
      </c>
      <c r="GW81">
        <f>SUMPRODUCT(--('Данные 1st'!$S$2:$S$317=$A81),--ISNUMBER('Данные 1st'!$QD$2:$QD$317))</f>
        <v>1</v>
      </c>
      <c r="GX81">
        <f>SUMPRODUCT(--('Данные 1st'!$S$2:$S$317=$A81),--ISNUMBER('Данные 1st'!$QF$2:$QF$317))</f>
        <v>1</v>
      </c>
      <c r="GY81">
        <f>SUMPRODUCT(--('Данные 1st'!$S$2:$S$317=$A81),--ISNUMBER('Данные 1st'!$QG$2:$QG$317))</f>
        <v>1</v>
      </c>
      <c r="GZ81">
        <f>SUMPRODUCT(--('Данные 1st'!$S$2:$S$317=$A81),--ISNUMBER('Данные 1st'!$QH$2:$QH$317))</f>
        <v>1</v>
      </c>
      <c r="HA81">
        <f>SUMPRODUCT(--('Данные 1st'!$S$2:$S$317=$A81),--ISNUMBER('Данные 1st'!$QI$2:$QI$317))</f>
        <v>1</v>
      </c>
      <c r="HB81">
        <f>SUMPRODUCT(--('Данные 1st'!$S$2:$S$317=$A81),--ISNUMBER('Данные 1st'!$QK$2:$QK$317))</f>
        <v>1</v>
      </c>
      <c r="HC81">
        <f>SUMPRODUCT(--('Данные 1st'!$S$2:$S$317=$A81),--ISNUMBER('Данные 1st'!$QL$2:$QL$317))</f>
        <v>1</v>
      </c>
      <c r="HD81">
        <f>SUMPRODUCT(--('Данные 1st'!$S$2:$S$317=$A81),--ISNUMBER('Данные 1st'!$QM$2:$QM$317))</f>
        <v>1</v>
      </c>
      <c r="HE81">
        <f>SUMPRODUCT(--('Данные 1st'!$S$2:$S$317=$A81),--ISNUMBER('Данные 1st'!$QN$2:$QN$317))</f>
        <v>1</v>
      </c>
      <c r="HF81">
        <f>SUMPRODUCT(--('Данные 1st'!$S$2:$S$317=$A81),--ISNUMBER('Данные 1st'!$QP$2:$QP$317))</f>
        <v>1</v>
      </c>
      <c r="HG81">
        <f>SUMPRODUCT(--('Данные 1st'!$S$2:$S$317=$A81),--ISNUMBER('Данные 1st'!$QQ$2:$QQ$317))</f>
        <v>1</v>
      </c>
      <c r="HH81">
        <f>SUMPRODUCT(--('Данные 1st'!$S$2:$S$317=$A81),--ISNUMBER('Данные 1st'!$QR$2:$QR$317))</f>
        <v>0</v>
      </c>
      <c r="HI81">
        <f>SUMPRODUCT(--('Данные 1st'!$S$2:$S$317=$A81),--ISNUMBER('Данные 1st'!$QS$2:$QS$317))</f>
        <v>0</v>
      </c>
      <c r="HJ81">
        <f>SUMPRODUCT(--('Данные 1st'!$S$2:$S$317=$A81),--ISNUMBER('Данные 1st'!$QU$2:$QU$317))</f>
        <v>0</v>
      </c>
      <c r="HK81">
        <f>SUMPRODUCT(--('Данные 1st'!$S$2:$S$317=$A81),--ISNUMBER('Данные 1st'!$QV$2:$QV$317))</f>
        <v>0</v>
      </c>
      <c r="HL81">
        <f>SUMPRODUCT(--('Данные 1st'!$S$2:$S$317=$A81),--ISNUMBER('Данные 1st'!$QW$2:$QW$317))</f>
        <v>1</v>
      </c>
      <c r="HM81">
        <f>SUMPRODUCT(--('Данные 1st'!$S$2:$S$317=$A81),--ISNUMBER('Данные 1st'!$QX$2:$QX$317))</f>
        <v>1</v>
      </c>
      <c r="HN81">
        <f>SUMPRODUCT(--('Данные 1st'!$S$2:$S$317=$A81),--ISNUMBER('Данные 1st'!$QZ$2:$QZ$317))</f>
        <v>1</v>
      </c>
      <c r="HO81">
        <f>SUMPRODUCT(--('Данные 1st'!$S$2:$S$317=$A81),--ISNUMBER('Данные 1st'!$RA$2:$RA$317))</f>
        <v>1</v>
      </c>
      <c r="HP81">
        <f>SUMPRODUCT(--('Данные 1st'!$S$2:$S$317=$A81),--ISNUMBER('Данные 1st'!$RB$2:$RB$317))</f>
        <v>1</v>
      </c>
      <c r="HQ81">
        <f>SUMPRODUCT(--('Данные 1st'!$S$2:$S$317=$A81),--ISNUMBER('Данные 1st'!$RD$2:$RD$317))</f>
        <v>0</v>
      </c>
      <c r="HR81">
        <f>SUMPRODUCT(--('Данные 1st'!$S$2:$S$317=$A81),--ISNUMBER('Данные 1st'!$RE$2:$RE$317))</f>
        <v>1</v>
      </c>
      <c r="HS81">
        <f>SUMPRODUCT(--('Данные 1st'!$S$2:$S$317=$A81),--ISNUMBER('Данные 1st'!$RF$2:$RF$317))</f>
        <v>1</v>
      </c>
      <c r="HT81">
        <f>SUMPRODUCT(--('Данные 1st'!$S$2:$S$317=$A81),--ISNUMBER('Данные 1st'!$RG$2:$RG$317))</f>
        <v>0</v>
      </c>
      <c r="HU81">
        <f>SUMPRODUCT(--('Данные 1st'!$S$2:$S$317=$A81),--ISNUMBER('Данные 1st'!$RH$2:$RH$317))</f>
        <v>0</v>
      </c>
      <c r="HV81">
        <f>SUMPRODUCT(--('Данные 1st'!$S$2:$S$317=$A81),--ISNUMBER('Данные 1st'!$RI$2:$RI$317))</f>
        <v>0</v>
      </c>
      <c r="HW81">
        <f>SUMPRODUCT(--('Данные 1st'!$S$2:$S$317=$A81),--ISNUMBER('Данные 1st'!$RJ$2:$RJ$317))</f>
        <v>1</v>
      </c>
      <c r="HX81">
        <f>SUMPRODUCT(--('Данные 1st'!$S$2:$S$317=$A81),--ISNUMBER('Данные 1st'!$RK$2:$RK$317))</f>
        <v>1</v>
      </c>
      <c r="HY81">
        <f>SUMPRODUCT(--('Данные 1st'!$S$2:$S$317=$A81),--ISNUMBER('Данные 1st'!$RL$2:$RL$317))</f>
        <v>1</v>
      </c>
      <c r="HZ81">
        <f>SUMPRODUCT(--('Данные 1st'!$S$2:$S$317=$A81),--ISNUMBER('Данные 1st'!$RM$2:$RM$317))</f>
        <v>0</v>
      </c>
      <c r="IA81">
        <f>SUMPRODUCT(--('Данные 1st'!$S$2:$S$317=$A81),--ISNUMBER('Данные 1st'!$RN$2:$RN$317))</f>
        <v>0</v>
      </c>
      <c r="IB81">
        <f>SUMPRODUCT(--('Данные 1st'!$S$2:$S$317=$A81),--ISNUMBER('Данные 1st'!$RO$2:$RO$317))</f>
        <v>1</v>
      </c>
      <c r="IC81">
        <f>SUMPRODUCT(--('Данные 1st'!$S$2:$S$317=$A81),--ISNUMBER('Данные 1st'!$RP$2:$RP$317))</f>
        <v>1</v>
      </c>
      <c r="ID81">
        <f>SUMPRODUCT(--('Данные 1st'!$S$2:$S$317=$A81),--ISNUMBER('Данные 1st'!$RQ$2:$RQ$317))</f>
        <v>1</v>
      </c>
      <c r="IE81">
        <f>SUMPRODUCT(--('Данные 1st'!$S$2:$S$317=$A81),--ISNUMBER('Данные 1st'!$RR$2:$RR$317))</f>
        <v>0</v>
      </c>
      <c r="IF81">
        <f>SUMPRODUCT(--('Данные 1st'!$S$2:$S$317=$A81),--ISNUMBER('Данные 1st'!$RS$2:$RS$317))</f>
        <v>0</v>
      </c>
      <c r="IG81">
        <f>SUMPRODUCT(--('Данные 1st'!$S$2:$S$317=$A81),--ISNUMBER('Данные 1st'!$RT$2:$RT$317))</f>
        <v>1</v>
      </c>
      <c r="IH81">
        <f>SUMPRODUCT(--('Данные 1st'!$S$2:$S$317=$A81),--ISNUMBER('Данные 1st'!$RU$2:$RU$317))</f>
        <v>1</v>
      </c>
      <c r="II81">
        <f>SUMPRODUCT(--('Данные 1st'!$S$2:$S$317=$A81),--ISNUMBER('Данные 1st'!$RX$2:$RX$317))</f>
        <v>1</v>
      </c>
      <c r="IJ81">
        <f>SUMPRODUCT(--('Данные 1st'!$S$2:$S$317=$A81),--ISNUMBER('Данные 1st'!$RY$2:$RY$317))</f>
        <v>1</v>
      </c>
      <c r="IK81">
        <f>SUMPRODUCT(--('Данные 1st'!$S$2:$S$317=$A81),--ISNUMBER('Данные 1st'!$SA$2:$SA$317))</f>
        <v>1</v>
      </c>
      <c r="IL81">
        <f>SUMPRODUCT(--('Данные 1st'!$S$2:$S$317=$A81),--ISNUMBER('Данные 1st'!$SD$2:$SD$317))</f>
        <v>1</v>
      </c>
      <c r="IM81">
        <f>SUMPRODUCT(--('Данные 1st'!$S$2:$S$317=$A81),--ISNUMBER('Данные 1st'!$SG$2:$SG$317))</f>
        <v>0</v>
      </c>
      <c r="IN81">
        <f>SUMPRODUCT(--('Данные 1st'!$S$2:$S$317=$A81),--ISNUMBER('Данные 1st'!$SH$2:$SH$317))</f>
        <v>1</v>
      </c>
      <c r="IO81">
        <f>SUMPRODUCT(--('Данные 1st'!$S$2:$S$317=$A81),--ISNUMBER('Данные 1st'!$SI$2:$SI$317))</f>
        <v>1</v>
      </c>
      <c r="IP81">
        <f>SUMPRODUCT(--('Данные 1st'!$S$2:$S$317=$A81),--ISNUMBER('Данные 1st'!$SJ$2:$SJ$317))</f>
        <v>1</v>
      </c>
      <c r="IQ81">
        <f>SUMPRODUCT(--('Данные 1st'!$S$2:$S$317=$A81),--ISNUMBER('Данные 1st'!$SK$2:$SK$317))</f>
        <v>1</v>
      </c>
      <c r="IR81">
        <f>SUMPRODUCT(--('Данные 1st'!$S$2:$S$317=$A81),--ISNUMBER('Данные 1st'!$SL$2:$SL$317))</f>
        <v>1</v>
      </c>
      <c r="IS81">
        <f>SUMPRODUCT(--('Данные 1st'!$S$2:$S$317=$A81),--ISNUMBER('Данные 1st'!$SM$2:$SM$317))</f>
        <v>1</v>
      </c>
      <c r="IT81">
        <f>SUMPRODUCT(--('Данные 1st'!$S$2:$S$317=$A81),--ISNUMBER('Данные 1st'!$SN$2:$SN$317))</f>
        <v>1</v>
      </c>
      <c r="IU81">
        <f>SUMPRODUCT(--('Данные 1st'!$S$2:$S$317=$A81),--ISNUMBER('Данные 1st'!$SO$2:$SO$317))</f>
        <v>1</v>
      </c>
      <c r="IV81">
        <f>SUMPRODUCT(--('Данные 1st'!$S$2:$S$317=$A81),--ISNUMBER('Данные 1st'!$SP$2:$SP$317))</f>
        <v>1</v>
      </c>
      <c r="IW81">
        <f>SUMPRODUCT(--('Данные 1st'!$S$2:$S$317=$A81),--ISNUMBER('Данные 1st'!$SQ$2:$SQ$317))</f>
        <v>1</v>
      </c>
      <c r="IX81">
        <f>SUMPRODUCT(--('Данные 1st'!$S$2:$S$317=$A81),--ISNUMBER('Данные 1st'!$SR$2:$SR$317))</f>
        <v>1</v>
      </c>
      <c r="IY81">
        <f>SUMPRODUCT(--('Данные 1st'!$S$2:$S$317=$A81),--ISNUMBER('Данные 1st'!$SS$2:$SS$317))</f>
        <v>1</v>
      </c>
      <c r="IZ81">
        <f>SUMPRODUCT(--('Данные 1st'!$S$2:$S$317=$A81),--ISNUMBER('Данные 1st'!$ST$2:$ST$317))</f>
        <v>1</v>
      </c>
      <c r="JA81">
        <f>SUMPRODUCT(--('Данные 1st'!$S$2:$S$317=$A81),--ISNUMBER('Данные 1st'!$SU$2:$SU$317))</f>
        <v>1</v>
      </c>
      <c r="JB81">
        <f>SUMPRODUCT(--('Данные 1st'!$S$2:$S$317=$A81),--ISNUMBER('Данные 1st'!$SV$2:$SV$317))</f>
        <v>1</v>
      </c>
      <c r="JC81">
        <f>SUMPRODUCT(--('Данные 1st'!$S$2:$S$317=$A81),--ISNUMBER('Данные 1st'!$SW$2:$SW$317))</f>
        <v>1</v>
      </c>
      <c r="JD81">
        <f>SUMPRODUCT(--('Данные 1st'!$S$2:$S$317=$A81),--ISNUMBER('Данные 1st'!$SX$2:$SX$317))</f>
        <v>1</v>
      </c>
      <c r="JE81">
        <f>SUMPRODUCT(--('Данные 1st'!$S$2:$S$317=$A81),--ISNUMBER('Данные 1st'!$SY$2:$SY$317))</f>
        <v>1</v>
      </c>
      <c r="JF81">
        <f>SUMPRODUCT(--('Данные 1st'!$S$2:$S$317=$A81),--ISNUMBER('Данные 1st'!$SZ$2:$SZ$317))</f>
        <v>0</v>
      </c>
      <c r="JG81">
        <f>SUMPRODUCT(--('Данные 1st'!$S$2:$S$317=$A81),--ISNUMBER('Данные 1st'!$TA$2:$TA$317))</f>
        <v>0</v>
      </c>
      <c r="JH81">
        <f>SUMPRODUCT(--('Данные 1st'!$S$2:$S$317=$A81),--ISNUMBER('Данные 1st'!$TB$2:$TB$317))</f>
        <v>1</v>
      </c>
      <c r="JI81">
        <f>SUMPRODUCT(--('Данные 1st'!$S$2:$S$317=$A81),--ISNUMBER('Данные 1st'!$TC$2:$TC$317))</f>
        <v>1</v>
      </c>
      <c r="JJ81">
        <f>SUMPRODUCT(--('Данные 1st'!$S$2:$S$317=$A81),--ISNUMBER('Данные 1st'!$TD$2:$TD$317))</f>
        <v>1</v>
      </c>
      <c r="JK81">
        <f>SUMPRODUCT(--('Данные 1st'!$S$2:$S$317=$A81),--ISNUMBER('Данные 1st'!$TN$2:$TN$317))</f>
        <v>1</v>
      </c>
      <c r="JQ81">
        <f>SUMPRODUCT(--('Данные 2st'!$Q$2:$Q$317=$A81),--ISNUMBER('Данные 2st'!$AC$2:$AC$317))</f>
        <v>1</v>
      </c>
      <c r="JR81">
        <f>SUMPRODUCT(--('Данные 2st'!$Q$2:$Q$317=$A81),--ISNUMBER('Данные 2st'!$AF$2:$AF$317))</f>
        <v>1</v>
      </c>
      <c r="JS81">
        <f>SUMPRODUCT(--('Данные 2st'!$Q$2:$Q$317=$A81),--ISNUMBER('Данные 2st'!$AW$2:$AW$317))</f>
        <v>1</v>
      </c>
      <c r="JT81">
        <f>SUMPRODUCT(--('Данные 2st'!$Q$2:$Q$317=$A81),--ISNUMBER('Данные 2st'!$AX$2:$AX$317))</f>
        <v>1</v>
      </c>
      <c r="JU81">
        <f>SUMPRODUCT(--('Данные 2st'!$Q$2:$Q$317=$A81),--ISNUMBER('Данные 2st'!$AY$2:$AY$317))</f>
        <v>1</v>
      </c>
      <c r="JV81">
        <f>SUMPRODUCT(--('Данные 2st'!$Q$2:$Q$317=$A81),--ISNUMBER('Данные 2st'!$AZ$2:$AZ$317))</f>
        <v>1</v>
      </c>
      <c r="JW81">
        <f>SUMPRODUCT(--('Данные 2st'!$Q$2:$Q$317=$A81),--ISNUMBER('Данные 2st'!$BA$2:$BA$317))</f>
        <v>0</v>
      </c>
      <c r="JX81">
        <f>SUMPRODUCT(--('Данные 2st'!$Q$2:$Q$317=$A81),--ISNUMBER('Данные 2st'!$BB$2:$BB$317))</f>
        <v>0</v>
      </c>
      <c r="JY81">
        <f>SUMPRODUCT(--('Данные 2st'!$Q$2:$Q$317=$A81),--ISNUMBER('Данные 2st'!$BC$2:$BC$317))</f>
        <v>0</v>
      </c>
      <c r="JZ81">
        <f>SUMPRODUCT(--('Данные 2st'!$Q$2:$Q$317=$A81),--ISNUMBER('Данные 2st'!$BH$2:$BH$317))</f>
        <v>1</v>
      </c>
      <c r="KA81">
        <f>SUMPRODUCT(--('Данные 2st'!$Q$2:$Q$317=$A81),--ISNUMBER('Данные 2st'!$BI$2:$BI$317))</f>
        <v>1</v>
      </c>
      <c r="KB81">
        <f>SUMPRODUCT(--('Данные 2st'!$Q$2:$Q$317=$A81),--ISNUMBER('Данные 2st'!$BJ$2:$BJ$317))</f>
        <v>1</v>
      </c>
      <c r="KC81">
        <f>SUMPRODUCT(--('Данные 2st'!$Q$2:$Q$317=$A81),--ISNUMBER('Данные 2st'!$BK$2:$BK$317))</f>
        <v>1</v>
      </c>
      <c r="KD81">
        <f>SUMPRODUCT(--('Данные 2st'!$Q$2:$Q$317=$A81),--ISNUMBER('Данные 2st'!$BL$2:$BL$317))</f>
        <v>1</v>
      </c>
      <c r="KE81">
        <f>SUMPRODUCT(--('Данные 2st'!$Q$2:$Q$317=$A81),--ISNUMBER('Данные 2st'!$BM$2:$BM$317))</f>
        <v>1</v>
      </c>
      <c r="KF81">
        <f>SUMPRODUCT(--('Данные 2st'!$Q$2:$Q$317=$A81),--ISNUMBER('Данные 2st'!$BN$2:$BN$317))</f>
        <v>1</v>
      </c>
      <c r="KG81">
        <f>SUMPRODUCT(--('Данные 2st'!$Q$2:$Q$317=$A81),--ISNUMBER('Данные 2st'!$BO$2:$BO$317))</f>
        <v>1</v>
      </c>
      <c r="KH81">
        <f>SUMPRODUCT(--('Данные 2st'!$Q$2:$Q$317=$A81),--ISNUMBER('Данные 2st'!$BP$2:$BP$317))</f>
        <v>1</v>
      </c>
      <c r="KI81">
        <f>SUMPRODUCT(--('Данные 2st'!$Q$2:$Q$317=$A81),--ISNUMBER('Данные 2st'!$BR$2:$BR$317))</f>
        <v>1</v>
      </c>
      <c r="KJ81">
        <f>SUMPRODUCT(--('Данные 2st'!$Q$2:$Q$317=$A81),--ISNUMBER('Данные 2st'!$BS$2:$BS$317))</f>
        <v>1</v>
      </c>
      <c r="KK81">
        <f>SUMPRODUCT(--('Данные 2st'!$Q$2:$Q$317=$A81),--ISNUMBER('Данные 2st'!$BT$2:$BT$317))</f>
        <v>1</v>
      </c>
      <c r="KL81">
        <f>SUMPRODUCT(--('Данные 2st'!$Q$2:$Q$317=$A81),--ISNUMBER('Данные 2st'!$CV$2:$CV$317))</f>
        <v>1</v>
      </c>
      <c r="KM81">
        <f>SUMPRODUCT(--('Данные 2st'!$Q$2:$Q$317=$A81),--ISNUMBER('Данные 2st'!$CW$2:$CW$317))</f>
        <v>1</v>
      </c>
      <c r="KN81">
        <f>SUMPRODUCT(--('Данные 2st'!$Q$2:$Q$317=$A81),--ISNUMBER('Данные 2st'!$CX$2:$CX$317))</f>
        <v>1</v>
      </c>
      <c r="KO81">
        <f>SUMPRODUCT(--('Данные 2st'!$Q$2:$Q$317=$A81),--ISNUMBER('Данные 2st'!$CY$2:$CY$317))</f>
        <v>1</v>
      </c>
      <c r="KP81">
        <f>SUMPRODUCT(--('Данные 2st'!$Q$2:$Q$317=$A81),--ISNUMBER('Данные 2st'!$CZ$2:$CZ$317))</f>
        <v>1</v>
      </c>
      <c r="KQ81">
        <f>SUMPRODUCT(--('Данные 2st'!$Q$2:$Q$317=$A81),--ISNUMBER('Данные 2st'!$DA$2:$DA$317))</f>
        <v>1</v>
      </c>
      <c r="KR81">
        <f>SUMPRODUCT(--('Данные 2st'!$Q$2:$Q$317=$A81),--ISNUMBER('Данные 2st'!$DB$2:$DB$317))</f>
        <v>1</v>
      </c>
      <c r="KS81">
        <f>SUMPRODUCT(--('Данные 2st'!$Q$2:$Q$317=$A81),--ISNUMBER('Данные 2st'!$DC$2:$DC$317))</f>
        <v>1</v>
      </c>
      <c r="KT81">
        <f>SUMPRODUCT(--('Данные 2st'!$Q$2:$Q$317=$A81),--ISNUMBER('Данные 2st'!$DD$2:$DD$317))</f>
        <v>1</v>
      </c>
      <c r="KU81">
        <f>SUMPRODUCT(--('Данные 2st'!$Q$2:$Q$317=$A81),--ISNUMBER('Данные 2st'!$DE$2:$DE$317))</f>
        <v>1</v>
      </c>
      <c r="KV81">
        <f>SUMPRODUCT(--('Данные 2st'!$Q$2:$Q$317=$A81),--ISNUMBER('Данные 2st'!$DF$2:$DF$317))</f>
        <v>1</v>
      </c>
      <c r="KW81">
        <f>SUMPRODUCT(--('Данные 2st'!$Q$2:$Q$317=$A81),--ISNUMBER('Данные 2st'!$DG$2:$DG$317))</f>
        <v>1</v>
      </c>
      <c r="KX81">
        <f>SUMPRODUCT(--('Данные 2st'!$Q$2:$Q$317=$A81),--ISNUMBER('Данные 2st'!$DH$2:$DH$317))</f>
        <v>1</v>
      </c>
      <c r="KY81">
        <f>SUMPRODUCT(--('Данные 2st'!$Q$2:$Q$317=$A81),--ISNUMBER('Данные 2st'!$DI$2:$DI$317))</f>
        <v>0</v>
      </c>
      <c r="KZ81">
        <f>SUMPRODUCT(--('Данные 2st'!$Q$2:$Q$317=$A81),--ISNUMBER('Данные 2st'!$DK$2:$DK$317))</f>
        <v>1</v>
      </c>
      <c r="LA81">
        <f>SUMPRODUCT(--('Данные 2st'!$Q$2:$Q$317=$A81),--ISNUMBER('Данные 2st'!$DM$2:$DM$317))</f>
        <v>1</v>
      </c>
      <c r="LB81">
        <f>SUMPRODUCT(--('Данные 2st'!$Q$2:$Q$317=$A81),--ISNUMBER('Данные 2st'!$DN$2:$DN$317))</f>
        <v>1</v>
      </c>
      <c r="LC81">
        <f>SUMPRODUCT(--('Данные 2st'!$Q$2:$Q$317=$A81),--ISNUMBER('Данные 2st'!$DO$2:$DO$317))</f>
        <v>1</v>
      </c>
      <c r="LD81">
        <f>SUMPRODUCT(--('Данные 2st'!$Q$2:$Q$317=$A81),--ISNUMBER('Данные 2st'!$DP$2:$DP$317))</f>
        <v>1</v>
      </c>
      <c r="LE81">
        <f>SUMPRODUCT(--('Данные 2st'!$Q$2:$Q$317=$A81),--ISNUMBER('Данные 2st'!$DQ$2:$DQ$317))</f>
        <v>1</v>
      </c>
      <c r="LF81">
        <f>SUMPRODUCT(--('Данные 2st'!$Q$2:$Q$317=$A81),--ISNUMBER('Данные 2st'!$DS$2:$DS$317))</f>
        <v>1</v>
      </c>
      <c r="LG81">
        <f>SUMPRODUCT(--('Данные 2st'!$Q$2:$Q$317=$A81),--ISNUMBER('Данные 2st'!$DU$2:$DU$317))</f>
        <v>1</v>
      </c>
      <c r="LH81">
        <f>SUMPRODUCT(--('Данные 2st'!$Q$2:$Q$317=$A81),--ISNUMBER('Данные 2st'!$DV$2:$DV$317))</f>
        <v>1</v>
      </c>
      <c r="LI81">
        <f>SUMPRODUCT(--('Данные 2st'!$Q$2:$Q$317=$A81),--ISNUMBER('Данные 2st'!$DW$2:$DW$317))</f>
        <v>1</v>
      </c>
      <c r="LJ81">
        <f>SUMPRODUCT(--('Данные 2st'!$Q$2:$Q$317=$A81),--ISNUMBER('Данные 2st'!$DX$2:$DX$317))</f>
        <v>1</v>
      </c>
      <c r="LK81">
        <f>SUMPRODUCT(--('Данные 2st'!$Q$2:$Q$317=$A81),--ISNUMBER('Данные 2st'!$DY$2:$DY$317))</f>
        <v>1</v>
      </c>
      <c r="LL81">
        <f>SUMPRODUCT(--('Данные 2st'!$Q$2:$Q$317=$A81),--ISNUMBER('Данные 2st'!$EA$2:$EA$317))</f>
        <v>1</v>
      </c>
      <c r="LM81">
        <f>SUMPRODUCT(--('Данные 2st'!$Q$2:$Q$317=$A81),--ISNUMBER('Данные 2st'!$EC$2:$EC$317))</f>
        <v>1</v>
      </c>
      <c r="LN81">
        <f>SUMPRODUCT(--('Данные 2st'!$Q$2:$Q$317=$A81),--ISNUMBER('Данные 2st'!$ED$2:$ED$317))</f>
        <v>1</v>
      </c>
      <c r="LO81">
        <f>SUMPRODUCT(--('Данные 2st'!$Q$2:$Q$317=$A81),--ISNUMBER('Данные 2st'!$EE$2:$EE$317))</f>
        <v>1</v>
      </c>
      <c r="LP81">
        <f>SUMPRODUCT(--('Данные 2st'!$Q$2:$Q$317=$A81),--ISNUMBER('Данные 2st'!$EG$2:$EG$317))</f>
        <v>1</v>
      </c>
      <c r="LQ81">
        <f>SUMPRODUCT(--('Данные 2st'!$Q$2:$Q$317=$A81),--ISNUMBER('Данные 2st'!$EI$2:$EI$317))</f>
        <v>1</v>
      </c>
      <c r="LR81">
        <f>SUMPRODUCT(--('Данные 2st'!$Q$2:$Q$317=$A81),--ISNUMBER('Данные 2st'!$EJ$2:$EJ$317))</f>
        <v>0</v>
      </c>
      <c r="LS81">
        <f>SUMPRODUCT(--('Данные 2st'!$Q$2:$Q$317=$A81),--ISNUMBER('Данные 2st'!$EK$2:$EK$317))</f>
        <v>0</v>
      </c>
      <c r="LT81">
        <f>SUMPRODUCT(--('Данные 2st'!$Q$2:$Q$317=$A81),--ISNUMBER('Данные 2st'!$EM$2:$EM$317))</f>
        <v>1</v>
      </c>
      <c r="LU81">
        <f>SUMPRODUCT(--('Данные 2st'!$Q$2:$Q$317=$A81),--ISNUMBER('Данные 2st'!$EN$2:$EN$317))</f>
        <v>1</v>
      </c>
      <c r="LV81">
        <f>SUMPRODUCT(--('Данные 2st'!$Q$2:$Q$317=$A81),--ISNUMBER('Данные 2st'!$EO$2:$EO$317))</f>
        <v>1</v>
      </c>
      <c r="LW81">
        <f>SUMPRODUCT(--('Данные 2st'!$Q$2:$Q$317=$A81),--ISNUMBER('Данные 2st'!$EP$2:$EP$317))</f>
        <v>1</v>
      </c>
      <c r="LX81">
        <f>SUMPRODUCT(--('Данные 2st'!$Q$2:$Q$317=$A81),--ISNUMBER('Данные 2st'!$EQ$2:$EQ$317))</f>
        <v>1</v>
      </c>
      <c r="LY81">
        <f>SUMPRODUCT(--('Данные 2st'!$Q$2:$Q$317=$A81),--ISNUMBER('Данные 2st'!$ER$2:$ER$317))</f>
        <v>1</v>
      </c>
      <c r="LZ81">
        <f>SUMPRODUCT(--('Данные 2st'!$Q$2:$Q$317=$A81),--ISNUMBER('Данные 2st'!$ES$2:$ES$317))</f>
        <v>1</v>
      </c>
      <c r="MA81">
        <f>SUMPRODUCT(--('Данные 2st'!$Q$2:$Q$317=$A81),--ISNUMBER('Данные 2st'!$ET$2:$ET$317))</f>
        <v>1</v>
      </c>
      <c r="MB81">
        <f>SUMPRODUCT(--('Данные 2st'!$Q$2:$Q$317=$A81),--ISNUMBER('Данные 2st'!$EU$2:$EU$317))</f>
        <v>1</v>
      </c>
      <c r="MC81">
        <f>SUMPRODUCT(--('Данные 2st'!$Q$2:$Q$317=$A81),--ISNUMBER('Данные 2st'!$EV$2:$EV$317))</f>
        <v>1</v>
      </c>
      <c r="MD81">
        <f>SUMPRODUCT(--('Данные 2st'!$Q$2:$Q$317=$A81),--ISNUMBER('Данные 2st'!$EW$2:$EW$317))</f>
        <v>1</v>
      </c>
      <c r="ME81">
        <f>SUMPRODUCT(--('Данные 2st'!$Q$2:$Q$317=$A81),--ISNUMBER('Данные 2st'!$EY$2:$EY$317))</f>
        <v>1</v>
      </c>
      <c r="MF81">
        <f>SUMPRODUCT(--('Данные 2st'!$Q$2:$Q$317=$A81),--ISNUMBER('Данные 2st'!$FA$2:$FA$317))</f>
        <v>1</v>
      </c>
      <c r="MG81">
        <f>SUMPRODUCT(--('Данные 2st'!$Q$2:$Q$317=$A81),--ISNUMBER('Данные 2st'!$FB$2:$FB$317))</f>
        <v>1</v>
      </c>
      <c r="MH81">
        <f>SUMPRODUCT(--('Данные 2st'!$Q$2:$Q$317=$A81),--ISNUMBER('Данные 2st'!$FC$2:$FC$317))</f>
        <v>1</v>
      </c>
      <c r="MI81">
        <f>SUMPRODUCT(--('Данные 2st'!$Q$2:$Q$317=$A81),--ISNUMBER('Данные 2st'!$FD$2:$FD$317))</f>
        <v>1</v>
      </c>
      <c r="MJ81">
        <f>SUMPRODUCT(--('Данные 2st'!$Q$2:$Q$317=$A81),--ISNUMBER('Данные 2st'!$FE$2:$FE$317))</f>
        <v>1</v>
      </c>
      <c r="MK81">
        <f>SUMPRODUCT(--('Данные 2st'!$Q$2:$Q$317=$A81),--ISNUMBER('Данные 2st'!$FG$2:$FG$317))</f>
        <v>1</v>
      </c>
      <c r="ML81">
        <f>SUMPRODUCT(--('Данные 2st'!$Q$2:$Q$317=$A81),--ISNUMBER('Данные 2st'!$FI$2:$FI$317))</f>
        <v>1</v>
      </c>
      <c r="MM81">
        <f>SUMPRODUCT(--('Данные 2st'!$Q$2:$Q$317=$A81),--ISNUMBER('Данные 2st'!$FJ$2:$FJ$317))</f>
        <v>1</v>
      </c>
      <c r="MN81">
        <f>SUMPRODUCT(--('Данные 2st'!$Q$2:$Q$317=$A81),--ISNUMBER('Данные 2st'!$FK$2:$FK$317))</f>
        <v>1</v>
      </c>
      <c r="MO81">
        <f>SUMPRODUCT(--('Данные 2st'!$Q$2:$Q$317=$A81),--ISNUMBER('Данные 2st'!$FP$2:$FP$317))</f>
        <v>1</v>
      </c>
      <c r="MP81">
        <f>SUMPRODUCT(--('Данные 2st'!$Q$2:$Q$317=$A81),--ISNUMBER('Данные 2st'!$FQ$2:$FQ$317))</f>
        <v>1</v>
      </c>
      <c r="MQ81">
        <f>SUMPRODUCT(--('Данные 2st'!$Q$2:$Q$317=$A81),--ISNUMBER('Данные 2st'!$FS$2:$FS$317))</f>
        <v>1</v>
      </c>
      <c r="MR81">
        <f>SUMPRODUCT(--('Данные 2st'!$Q$2:$Q$317=$A81),--ISNUMBER('Данные 2st'!$FU$2:$FU$317))</f>
        <v>1</v>
      </c>
      <c r="MS81">
        <f>SUMPRODUCT(--('Данные 2st'!$Q$2:$Q$317=$A81),--ISNUMBER('Данные 2st'!$FV$2:$FV$317))</f>
        <v>1</v>
      </c>
      <c r="MT81">
        <f>SUMPRODUCT(--('Данные 2st'!$Q$2:$Q$317=$A81),--ISNUMBER('Данные 2st'!$FW$2:$FW$317))</f>
        <v>1</v>
      </c>
      <c r="MU81">
        <f>SUMPRODUCT(--('Данные 2st'!$Q$2:$Q$317=$A81),--ISNUMBER('Данные 2st'!$FY$2:$FY$317))</f>
        <v>1</v>
      </c>
      <c r="MV81">
        <f>SUMPRODUCT(--('Данные 2st'!$Q$2:$Q$317=$A81),--ISNUMBER('Данные 2st'!$GB$2:$GB$317))</f>
        <v>1</v>
      </c>
      <c r="MW81">
        <f>SUMPRODUCT(--('Данные 2st'!$Q$2:$Q$317=$A81),--ISNUMBER('Данные 2st'!$GC$2:$GC$317))</f>
        <v>1</v>
      </c>
      <c r="MX81">
        <f>SUMPRODUCT(--('Данные 2st'!$Q$2:$Q$317=$A81),--ISNUMBER('Данные 2st'!$GD$2:$GD$317))</f>
        <v>1</v>
      </c>
      <c r="MY81">
        <f>SUMPRODUCT(--('Данные 2st'!$Q$2:$Q$317=$A81),--ISNUMBER('Данные 2st'!$GN$2:$GN$317))</f>
        <v>0</v>
      </c>
      <c r="MZ81">
        <f>SUMPRODUCT(--('Данные 2st'!$Q$2:$Q$317=$A81),--ISNUMBER('Данные 2st'!$GQ$2:$GQ$317))</f>
        <v>1</v>
      </c>
      <c r="NA81">
        <f>SUMPRODUCT(--('Данные 2st'!$Q$2:$Q$317=$A81),--ISNUMBER('Данные 2st'!$GV$2:$GV$317))</f>
        <v>1</v>
      </c>
      <c r="NB81">
        <f>SUMPRODUCT(--('Данные 2st'!$Q$2:$Q$317=$A81),--ISNUMBER('Данные 2st'!$GW$2:$GW$317))</f>
        <v>1</v>
      </c>
      <c r="NC81">
        <f>SUMPRODUCT(--('Данные 2st'!$Q$2:$Q$317=$A81),--ISNUMBER('Данные 2st'!$GX$2:$GX$317))</f>
        <v>1</v>
      </c>
      <c r="ND81">
        <f>SUMPRODUCT(--('Данные 2st'!$Q$2:$Q$317=$A81),--ISNUMBER('Данные 2st'!$GY$2:$GY$317))</f>
        <v>1</v>
      </c>
      <c r="NE81">
        <f>SUMPRODUCT(--('Данные 2st'!$Q$2:$Q$317=$A81),--ISNUMBER('Данные 2st'!$GZ$2:$GZ$317))</f>
        <v>1</v>
      </c>
      <c r="NF81">
        <f>SUMPRODUCT(--('Данные 2st'!$Q$2:$Q$317=$A81),--ISNUMBER('Данные 2st'!$HA$2:$HA$317))</f>
        <v>1</v>
      </c>
      <c r="NG81">
        <f>SUMPRODUCT(--('Данные 2st'!$Q$2:$Q$317=$A81),--ISNUMBER('Данные 2st'!$HB$2:$HB$317))</f>
        <v>1</v>
      </c>
      <c r="NH81">
        <f>SUMPRODUCT(--('Данные 2st'!$Q$2:$Q$317=$A81),--ISNUMBER('Данные 2st'!$HC$2:$HC$317))</f>
        <v>1</v>
      </c>
      <c r="NI81">
        <f>SUMPRODUCT(--('Данные 2st'!$Q$2:$Q$317=$A81),--ISNUMBER('Данные 2st'!$HD$2:$HD$317))</f>
        <v>1</v>
      </c>
      <c r="NJ81">
        <f>SUMPRODUCT(--('Данные 2st'!$Q$2:$Q$317=$A81),--ISNUMBER('Данные 2st'!$HM$2:$HM$317))</f>
        <v>1</v>
      </c>
      <c r="NK81">
        <f>SUMPRODUCT(--('Данные 2st'!$Q$2:$Q$317=$A81),--ISNUMBER('Данные 2st'!$HR$2:$HR$317))</f>
        <v>1</v>
      </c>
      <c r="NL81">
        <f>SUMPRODUCT(--('Данные 2st'!$Q$2:$Q$317=$A81),--ISNUMBER('Данные 2st'!$HS$2:$HS$317))</f>
        <v>1</v>
      </c>
      <c r="NM81">
        <f>SUMPRODUCT(--('Данные 2st'!$Q$2:$Q$317=$A81),--ISNUMBER('Данные 2st'!$HT$2:$HT$317))</f>
        <v>1</v>
      </c>
      <c r="NN81">
        <f>SUMPRODUCT(--('Данные 2st'!$Q$2:$Q$317=$A81),--ISNUMBER('Данные 2st'!$HY$2:$HY$317))</f>
        <v>1</v>
      </c>
      <c r="NO81">
        <f>SUMPRODUCT(--('Данные 2st'!$Q$2:$Q$317=$A81),--ISNUMBER('Данные 2st'!$HZ$2:$HZ$317))</f>
        <v>1</v>
      </c>
      <c r="NP81">
        <f>SUMPRODUCT(--('Данные 2st'!$Q$2:$Q$317=$A81),--ISNUMBER('Данные 2st'!$IA$2:$IA$317))</f>
        <v>1</v>
      </c>
      <c r="NQ81">
        <f>SUMPRODUCT(--('Данные 2st'!$Q$2:$Q$317=$A81),--ISNUMBER('Данные 2st'!$IB$2:$IB$317))</f>
        <v>1</v>
      </c>
      <c r="NR81">
        <f>SUMPRODUCT(--('Данные 2st'!$Q$2:$Q$317=$A81),--ISNUMBER('Данные 2st'!$IC$2:$IC$317))</f>
        <v>0</v>
      </c>
      <c r="NS81">
        <f>SUMPRODUCT(--('Данные 2st'!$Q$2:$Q$317=$A81),--ISNUMBER('Данные 2st'!$ID$2:$ID$317))</f>
        <v>1</v>
      </c>
      <c r="NT81">
        <f>SUMPRODUCT(--('Данные 2st'!$Q$2:$Q$317=$A81),--ISNUMBER('Данные 2st'!$IE$2:$IE$317))</f>
        <v>1</v>
      </c>
      <c r="NU81">
        <f>SUMPRODUCT(--('Данные 2st'!$Q$2:$Q$317=$A81),--ISNUMBER('Данные 2st'!$IF$2:$IF$317))</f>
        <v>1</v>
      </c>
      <c r="NV81">
        <f>SUMPRODUCT(--('Данные 2st'!$Q$2:$Q$317=$A81),--ISNUMBER('Данные 2st'!$IG$2:$IG$317))</f>
        <v>1</v>
      </c>
      <c r="NW81">
        <f>SUMPRODUCT(--('Данные 2st'!$Q$2:$Q$317=$A81),--ISNUMBER('Данные 2st'!$IH$2:$IH$317))</f>
        <v>1</v>
      </c>
      <c r="NX81">
        <f>SUMPRODUCT(--('Данные 2st'!$Q$2:$Q$317=$A81),--ISNUMBER('Данные 2st'!$IJ$2:$IJ$317))</f>
        <v>1</v>
      </c>
      <c r="NY81">
        <f>SUMPRODUCT(--('Данные 2st'!$Q$2:$Q$317=$A81),--ISNUMBER('Данные 2st'!$IM$2:$IM$317))</f>
        <v>1</v>
      </c>
      <c r="NZ81">
        <f>SUMPRODUCT(--('Данные 2st'!$Q$2:$Q$317=$A81),--ISNUMBER('Данные 2st'!$IN$2:$IN$317))</f>
        <v>1</v>
      </c>
      <c r="OA81">
        <f>SUMPRODUCT(--('Данные 2st'!$Q$2:$Q$317=$A81),--ISNUMBER('Данные 2st'!$IO$2:$IO$317))</f>
        <v>1</v>
      </c>
      <c r="OB81">
        <f>SUMPRODUCT(--('Данные 2st'!$Q$2:$Q$317=$A81),--ISNUMBER('Данные 2st'!$IP$2:$IP$317))</f>
        <v>1</v>
      </c>
      <c r="OC81">
        <f>SUMPRODUCT(--('Данные 2st'!$Q$2:$Q$317=$A81),--ISNUMBER('Данные 2st'!$IQ$2:$IQ$317))</f>
        <v>1</v>
      </c>
      <c r="OD81">
        <f>SUMPRODUCT(--('Данные 2st'!$Q$2:$Q$317=$A81),--ISNUMBER('Данные 2st'!$IR$2:$IR$317))</f>
        <v>1</v>
      </c>
      <c r="OE81">
        <f>SUMPRODUCT(--('Данные 2st'!$Q$2:$Q$317=$A81),--ISNUMBER('Данные 2st'!$IT$2:$IT$317))</f>
        <v>1</v>
      </c>
      <c r="OF81">
        <f>SUMPRODUCT(--('Данные 2st'!$Q$2:$Q$317=$A81),--ISNUMBER('Данные 2st'!$IU$2:$IU$317))</f>
        <v>1</v>
      </c>
      <c r="OG81">
        <f>SUMPRODUCT(--('Данные 2st'!$Q$2:$Q$317=$A81),--ISNUMBER('Данные 2st'!$IV$2:$IV$317))</f>
        <v>1</v>
      </c>
      <c r="OH81">
        <f>SUMPRODUCT(--('Данные 2st'!$Q$2:$Q$317=$A81),--ISNUMBER('Данные 2st'!$IW$2:$IW$317))</f>
        <v>1</v>
      </c>
      <c r="OI81">
        <f>SUMPRODUCT(--('Данные 2st'!$Q$2:$Q$317=$A81),--ISNUMBER('Данные 2st'!$IX$2:$IX$317))</f>
        <v>1</v>
      </c>
      <c r="OJ81">
        <f>SUMPRODUCT(--('Данные 2st'!$Q$2:$Q$317=$A81),--ISNUMBER('Данные 2st'!$IY$2:$IY$317))</f>
        <v>1</v>
      </c>
      <c r="OK81">
        <f>SUMPRODUCT(--('Данные 2st'!$Q$2:$Q$317=$A81),--ISNUMBER('Данные 2st'!$IZ$2:$IZ$317))</f>
        <v>1</v>
      </c>
      <c r="OL81">
        <f>SUMPRODUCT(--('Данные 2st'!$Q$2:$Q$317=$A81),--ISNUMBER('Данные 2st'!$JA$2:$JA$317))</f>
        <v>1</v>
      </c>
      <c r="OM81">
        <f>SUMPRODUCT(--('Данные 2st'!$Q$2:$Q$317=$A81),--ISNUMBER('Данные 2st'!$JB$2:$JB$317))</f>
        <v>1</v>
      </c>
      <c r="ON81">
        <f>SUMPRODUCT(--('Данные 2st'!$Q$2:$Q$317=$A81),--ISNUMBER('Данные 2st'!$JC$2:$JC$317))</f>
        <v>1</v>
      </c>
      <c r="OO81">
        <f>SUMPRODUCT(--('Данные 2st'!$Q$2:$Q$317=$A81),--ISNUMBER('Данные 2st'!$JD$2:$JD$317))</f>
        <v>1</v>
      </c>
      <c r="OP81">
        <f>SUMPRODUCT(--('Данные 2st'!$Q$2:$Q$317=$A81),--ISNUMBER('Данные 2st'!$JE$2:$JE$317))</f>
        <v>1</v>
      </c>
      <c r="OQ81">
        <f>SUMPRODUCT(--('Данные 2st'!$Q$2:$Q$317=$A81),--ISNUMBER('Данные 2st'!$JF$2:$JF$317))</f>
        <v>1</v>
      </c>
      <c r="OR81">
        <f>SUMPRODUCT(--('Данные 2st'!$Q$2:$Q$317=$A81),--ISNUMBER('Данные 2st'!$JG$2:$JG$317))</f>
        <v>1</v>
      </c>
      <c r="OS81">
        <f>SUMPRODUCT(--('Данные 2st'!$Q$2:$Q$317=$A81),--ISNUMBER('Данные 2st'!$JH$2:$JH$317))</f>
        <v>1</v>
      </c>
      <c r="OT81">
        <f>SUMPRODUCT(--('Данные 2st'!$Q$2:$Q$317=$A81),--ISNUMBER('Данные 2st'!$JI$2:$JI$317))</f>
        <v>1</v>
      </c>
      <c r="OU81">
        <f>SUMPRODUCT(--('Данные 2st'!$Q$2:$Q$317=$A81),--ISNUMBER('Данные 2st'!$JJ$2:$JJ$317))</f>
        <v>1</v>
      </c>
      <c r="OV81">
        <f>SUMPRODUCT(--('Данные 2st'!$Q$2:$Q$317=$A81),--ISNUMBER('Данные 2st'!$JK$2:$JK$317))</f>
        <v>1</v>
      </c>
      <c r="OW81">
        <f>SUMPRODUCT(--('Данные 2st'!$Q$2:$Q$317=$A81),--ISNUMBER('Данные 2st'!$JL$2:$JL$317))</f>
        <v>1</v>
      </c>
      <c r="OX81">
        <f>SUMPRODUCT(--('Данные 2st'!$Q$2:$Q$317=$A81),--ISNUMBER('Данные 2st'!$JM$2:$JM$317))</f>
        <v>1</v>
      </c>
      <c r="OY81">
        <f>SUMPRODUCT(--('Данные 2st'!$Q$2:$Q$317=$A81),--ISNUMBER('Данные 2st'!$JP$2:$JP$317))</f>
        <v>1</v>
      </c>
      <c r="OZ81">
        <f>SUMPRODUCT(--('Данные 2st'!$Q$2:$Q$317=$A81),--ISNUMBER('Данные 2st'!$JQ$2:$JQ$317))</f>
        <v>1</v>
      </c>
      <c r="PA81">
        <f>SUMPRODUCT(--('Данные 2st'!$Q$2:$Q$317=$A81),--ISNUMBER('Данные 2st'!$JR$2:$JR$317))</f>
        <v>1</v>
      </c>
      <c r="PB81">
        <f>SUMPRODUCT(--('Данные 2st'!$Q$2:$Q$317=$A81),--ISNUMBER('Данные 2st'!$JS$2:$JS$317))</f>
        <v>1</v>
      </c>
      <c r="PC81">
        <f>SUMPRODUCT(--('Данные 2st'!$Q$2:$Q$317=$A81),--ISNUMBER('Данные 2st'!$JT$2:$JT$317))</f>
        <v>1</v>
      </c>
      <c r="PD81">
        <f>SUMPRODUCT(--('Данные 2st'!$Q$2:$Q$317=$A81),--ISNUMBER('Данные 2st'!$JU$2:$JU$317))</f>
        <v>1</v>
      </c>
      <c r="PE81">
        <f>SUMPRODUCT(--('Данные 2st'!$Q$2:$Q$317=$A81),--ISNUMBER('Данные 2st'!$JV$2:$JV$317))</f>
        <v>1</v>
      </c>
      <c r="PF81">
        <f>SUMPRODUCT(--('Данные 2st'!$Q$2:$Q$317=$A81),--ISNUMBER('Данные 2st'!$JW$2:$JW$317))</f>
        <v>1</v>
      </c>
      <c r="PG81">
        <f>SUMPRODUCT(--('Данные 2st'!$Q$2:$Q$317=$A81),--ISNUMBER('Данные 2st'!$KF$2:$KF$317))</f>
        <v>1</v>
      </c>
      <c r="PH81">
        <f>SUMPRODUCT(--('Данные 2st'!$Q$2:$Q$317=$A81),--ISNUMBER('Данные 2st'!$KG$2:$KG$317))</f>
        <v>1</v>
      </c>
      <c r="PI81">
        <f>SUMPRODUCT(--('Данные 2st'!$Q$2:$Q$317=$A81),--ISNUMBER('Данные 2st'!$KM$2:$KM$317))</f>
        <v>1</v>
      </c>
      <c r="PJ81">
        <f>SUMPRODUCT(--('Данные 2st'!$Q$2:$Q$317=$A81),--ISNUMBER('Данные 2st'!$KN$2:$KN$317))</f>
        <v>1</v>
      </c>
      <c r="PK81">
        <f>SUMPRODUCT(--('Данные 2st'!$Q$2:$Q$317=$A81),--ISNUMBER('Данные 2st'!$KO$2:$KO$317))</f>
        <v>1</v>
      </c>
      <c r="PL81">
        <f>SUMPRODUCT(--('Данные 2st'!$Q$2:$Q$317=$A81),--ISNUMBER('Данные 2st'!$KP$2:$KP$317))</f>
        <v>1</v>
      </c>
      <c r="PM81">
        <f>SUMPRODUCT(--('Данные 2st'!$Q$2:$Q$317=$A81),--ISNUMBER('Данные 2st'!$KQ$2:$KQ$317))</f>
        <v>1</v>
      </c>
      <c r="PN81">
        <f>SUMPRODUCT(--('Данные 2st'!$Q$2:$Q$317=$A81),--ISNUMBER('Данные 2st'!$KR$2:$KR$317))</f>
        <v>1</v>
      </c>
      <c r="PO81">
        <f>SUMPRODUCT(--('Данные 2st'!$Q$2:$Q$317=$A81),--ISNUMBER('Данные 2st'!$KS$2:$KS$317))</f>
        <v>1</v>
      </c>
      <c r="PP81">
        <f>SUMPRODUCT(--('Данные 2st'!$Q$2:$Q$317=$A81),--ISNUMBER('Данные 2st'!$KT$2:$KT$317))</f>
        <v>1</v>
      </c>
      <c r="PQ81">
        <f>SUMPRODUCT(--('Данные 2st'!$Q$2:$Q$317=$A81),--ISNUMBER('Данные 2st'!$KU$2:$KU$317))</f>
        <v>1</v>
      </c>
      <c r="PR81">
        <f>SUMPRODUCT(--('Данные 2st'!$Q$2:$Q$317=$A81),--ISNUMBER('Данные 2st'!$KV$2:$KV$317))</f>
        <v>1</v>
      </c>
      <c r="PS81">
        <f>SUMPRODUCT(--('Данные 2st'!$Q$2:$Q$317=$A81),--ISNUMBER('Данные 2st'!$KW$2:$KW$317))</f>
        <v>1</v>
      </c>
      <c r="PT81">
        <f>SUMPRODUCT(--('Данные 2st'!$Q$2:$Q$317=$A81),--ISNUMBER('Данные 2st'!$KX$2:$KX$317))</f>
        <v>1</v>
      </c>
      <c r="PU81">
        <f>SUMPRODUCT(--('Данные 2st'!$Q$2:$Q$317=$A81),--ISNUMBER('Данные 2st'!$KY$2:$KY$317))</f>
        <v>1</v>
      </c>
      <c r="PV81">
        <f>SUMPRODUCT(--('Данные 2st'!$Q$2:$Q$317=$A81),--ISNUMBER('Данные 2st'!$KZ$2:$KZ$317))</f>
        <v>1</v>
      </c>
      <c r="PW81">
        <f>SUMPRODUCT(--('Данные 2st'!$Q$2:$Q$317=$A81),--ISNUMBER('Данные 2st'!$LA$2:$LA$317))</f>
        <v>1</v>
      </c>
      <c r="PX81">
        <f>SUMPRODUCT(--('Данные 2st'!$Q$2:$Q$317=$A81),--ISNUMBER('Данные 2st'!$LB$2:$LB$317))</f>
        <v>1</v>
      </c>
      <c r="PY81">
        <f>SUMPRODUCT(--('Данные 2st'!$Q$2:$Q$317=$A81),--ISNUMBER('Данные 2st'!$LC$2:$LC$317))</f>
        <v>1</v>
      </c>
      <c r="PZ81">
        <f>SUMPRODUCT(--('Данные 2st'!$Q$2:$Q$317=$A81),--ISNUMBER('Данные 2st'!$LD$2:$LD$317))</f>
        <v>1</v>
      </c>
      <c r="QA81">
        <f>SUMPRODUCT(--('Данные 2st'!$Q$2:$Q$317=$A81),--ISNUMBER('Данные 2st'!$LE$2:$LE$317))</f>
        <v>1</v>
      </c>
      <c r="QB81">
        <f>SUMPRODUCT(--('Данные 2st'!$Q$2:$Q$317=$A81),--ISNUMBER('Данные 2st'!$LF$2:$LF$317))</f>
        <v>1</v>
      </c>
      <c r="QC81">
        <f>SUMPRODUCT(--('Данные 2st'!$Q$2:$Q$317=$A81),--ISNUMBER('Данные 2st'!$LG$2:$LG$317))</f>
        <v>1</v>
      </c>
      <c r="QD81">
        <f>SUMPRODUCT(--('Данные 2st'!$Q$2:$Q$317=$A81),--ISNUMBER('Данные 2st'!$LH$2:$LH$317))</f>
        <v>1</v>
      </c>
      <c r="QE81">
        <f>SUMPRODUCT(--('Данные 2st'!$Q$2:$Q$317=$A81),--ISNUMBER('Данные 2st'!$LJ$2:$LJ$317))</f>
        <v>1</v>
      </c>
      <c r="QF81">
        <f>SUMPRODUCT(--('Данные 2st'!$Q$2:$Q$317=$A81),--ISNUMBER('Данные 2st'!$LK$2:$LK$317))</f>
        <v>1</v>
      </c>
      <c r="QG81">
        <f>SUMPRODUCT(--('Данные 2st'!$Q$2:$Q$317=$A81),--ISNUMBER('Данные 2st'!$LL$2:$LL$317))</f>
        <v>1</v>
      </c>
      <c r="QH81">
        <f>SUMPRODUCT(--('Данные 2st'!$Q$2:$Q$317=$A81),--ISNUMBER('Данные 2st'!$LM$2:$LM$317))</f>
        <v>1</v>
      </c>
      <c r="QI81">
        <f>SUMPRODUCT(--('Данные 2st'!$Q$2:$Q$317=$A81),--ISNUMBER('Данные 2st'!$LN$2:$LN$317))</f>
        <v>1</v>
      </c>
      <c r="QJ81">
        <f>SUMPRODUCT(--('Данные 2st'!$Q$2:$Q$317=$A81),--ISNUMBER('Данные 2st'!$LO$2:$LO$317))</f>
        <v>1</v>
      </c>
      <c r="QK81">
        <f>SUMPRODUCT(--('Данные 2st'!$Q$2:$Q$317=$A81),--ISNUMBER('Данные 2st'!$LP$2:$LP$317))</f>
        <v>1</v>
      </c>
      <c r="QL81">
        <f>SUMPRODUCT(--('Данные 2st'!$Q$2:$Q$317=$A81),--ISNUMBER('Данные 2st'!$LQ$2:$LQ$317))</f>
        <v>1</v>
      </c>
      <c r="QM81">
        <f>SUMPRODUCT(--('Данные 2st'!$Q$2:$Q$317=$A81),--ISNUMBER('Данные 2st'!$LW$2:$LW$317))</f>
        <v>1</v>
      </c>
      <c r="QN81">
        <f>SUMPRODUCT(--('Данные 2st'!$Q$2:$Q$317=$A81),--ISNUMBER('Данные 2st'!$LX$2:$LX$317))</f>
        <v>1</v>
      </c>
      <c r="QO81">
        <f>SUMPRODUCT(--('Данные 2st'!$Q$2:$Q$317=$A81),--ISNUMBER('Данные 2st'!$LY$2:$LY$317))</f>
        <v>1</v>
      </c>
      <c r="QP81">
        <f>SUMPRODUCT(--('Данные 2st'!$Q$2:$Q$317=$A81),--ISNUMBER('Данные 2st'!$LZ$2:$LZ$317))</f>
        <v>1</v>
      </c>
      <c r="QQ81">
        <f>SUMPRODUCT(--('Данные 2st'!$Q$2:$Q$317=$A81),--ISNUMBER('Данные 2st'!$MB$2:$MB$317))</f>
        <v>1</v>
      </c>
      <c r="QR81">
        <f>SUMPRODUCT(--('Данные 2st'!$Q$2:$Q$317=$A81),--ISNUMBER('Данные 2st'!$MG$2:$MG$317))</f>
        <v>1</v>
      </c>
      <c r="QS81">
        <f>SUMPRODUCT(--('Данные 2st'!$Q$2:$Q$317=$A81),--ISNUMBER('Данные 2st'!$MH$2:$MH$317))</f>
        <v>1</v>
      </c>
      <c r="QT81">
        <f>SUMPRODUCT(--('Данные 2st'!$Q$2:$Q$317=$A81),--ISNUMBER('Данные 2st'!$MI$2:$MI$317))</f>
        <v>1</v>
      </c>
      <c r="QU81">
        <f>SUMPRODUCT(--('Данные 2st'!$Q$2:$Q$317=$A81),--ISNUMBER('Данные 2st'!$MJ$2:$MJ$317))</f>
        <v>1</v>
      </c>
      <c r="QV81">
        <f>SUMPRODUCT(--('Данные 2st'!$Q$2:$Q$317=$A81),--ISNUMBER('Данные 2st'!$MK$2:$MK$317))</f>
        <v>1</v>
      </c>
      <c r="QW81">
        <f>SUMPRODUCT(--('Данные 2st'!$Q$2:$Q$317=$A81),--ISNUMBER('Данные 2st'!$MM$2:$MM$317))</f>
        <v>1</v>
      </c>
      <c r="QX81">
        <f>SUMPRODUCT(--('Данные 2st'!$Q$2:$Q$317=$A81),--ISNUMBER('Данные 2st'!$MQ$2:$MQ$317))</f>
        <v>0</v>
      </c>
      <c r="QY81">
        <f>SUMPRODUCT(--('Данные 2st'!$Q$2:$Q$317=$A81),--ISNUMBER('Данные 2st'!$MR$2:$MR$317))</f>
        <v>0</v>
      </c>
      <c r="QZ81">
        <f>SUMPRODUCT(--('Данные 2st'!$Q$2:$Q$317=$A81),--ISNUMBER('Данные 2st'!$MS$2:$MS$317))</f>
        <v>0</v>
      </c>
      <c r="RA81">
        <f>SUMPRODUCT(--('Данные 2st'!$Q$2:$Q$317=$A81),--ISNUMBER('Данные 2st'!$MT$2:$MT$317))</f>
        <v>0</v>
      </c>
      <c r="RB81">
        <f>SUMPRODUCT(--('Данные 2st'!$Q$2:$Q$317=$A81),--ISNUMBER('Данные 2st'!$MU$2:$MU$317))</f>
        <v>0</v>
      </c>
      <c r="RC81">
        <f>SUMPRODUCT(--('Данные 2st'!$Q$2:$Q$317=$A81),--ISNUMBER('Данные 2st'!$MV$2:$MV$317))</f>
        <v>0</v>
      </c>
      <c r="RD81">
        <f>SUMPRODUCT(--('Данные 2st'!$Q$2:$Q$317=$A81),--ISNUMBER('Данные 2st'!$MW$2:$MW$317))</f>
        <v>0</v>
      </c>
      <c r="RE81">
        <f>SUMPRODUCT(--('Данные 2st'!$Q$2:$Q$317=$A81),--ISNUMBER('Данные 2st'!$MX$2:$MX$317))</f>
        <v>0</v>
      </c>
      <c r="RF81">
        <f>SUMPRODUCT(--('Данные 2st'!$Q$2:$Q$317=$A81),--ISNUMBER('Данные 2st'!$MY$2:$MY$317))</f>
        <v>0</v>
      </c>
      <c r="RG81">
        <f>SUMPRODUCT(--('Данные 2st'!$Q$2:$Q$317=$A81),--ISNUMBER('Данные 2st'!$MZ$2:$MZ$317))</f>
        <v>0</v>
      </c>
      <c r="RH81">
        <f>SUMPRODUCT(--('Данные 2st'!$Q$2:$Q$317=$A81),--ISNUMBER('Данные 2st'!$NA$2:$NA$317))</f>
        <v>0</v>
      </c>
      <c r="RI81">
        <f>SUMPRODUCT(--('Данные 2st'!$Q$2:$Q$317=$A81),--ISNUMBER('Данные 2st'!$NB$2:$NB$317))</f>
        <v>0</v>
      </c>
      <c r="RJ81">
        <f>SUMPRODUCT(--('Данные 2st'!$Q$2:$Q$317=$A81),--ISNUMBER('Данные 2st'!$NC$2:$NC$317))</f>
        <v>0</v>
      </c>
      <c r="RK81">
        <f>SUMPRODUCT(--('Данные 2st'!$Q$2:$Q$317=$A81),--ISNUMBER('Данные 2st'!$ND$2:$ND$317))</f>
        <v>0</v>
      </c>
      <c r="RL81">
        <f>SUMPRODUCT(--('Данные 2st'!$Q$2:$Q$317=$A81),--ISNUMBER('Данные 2st'!$NE$2:$NE$317))</f>
        <v>0</v>
      </c>
      <c r="RM81">
        <f>SUMPRODUCT(--('Данные 2st'!$Q$2:$Q$317=$A81),--ISNUMBER('Данные 2st'!$NF$2:$NF$317))</f>
        <v>0</v>
      </c>
      <c r="RN81">
        <f>SUMPRODUCT(--('Данные 2st'!$Q$2:$Q$317=$A81),--ISNUMBER('Данные 2st'!$NG$2:$NG$317))</f>
        <v>0</v>
      </c>
      <c r="RO81">
        <f>SUMPRODUCT(--('Данные 2st'!$Q$2:$Q$317=$A81),--ISNUMBER('Данные 2st'!$NH$2:$NH$317))</f>
        <v>0</v>
      </c>
      <c r="RP81">
        <f>SUMPRODUCT(--('Данные 2st'!$Q$2:$Q$317=$A81),--ISNUMBER('Данные 2st'!$NJ$2:$NJ$317))</f>
        <v>0</v>
      </c>
      <c r="RQ81">
        <f>SUMPRODUCT(--('Данные 2st'!$Q$2:$Q$317=$A81),--ISNUMBER('Данные 2st'!$NK$2:$NK$317))</f>
        <v>0</v>
      </c>
      <c r="RR81">
        <f>SUMPRODUCT(--('Данные 2st'!$Q$2:$Q$317=$A81),--ISNUMBER('Данные 2st'!$NM$2:$NM$317))</f>
        <v>0</v>
      </c>
      <c r="RS81">
        <f>SUMPRODUCT(--('Данные 2st'!$Q$2:$Q$317=$A81),--ISNUMBER('Данные 2st'!$NN$2:$NN$317))</f>
        <v>0</v>
      </c>
      <c r="RT81">
        <f>SUMPRODUCT(--('Данные 2st'!$Q$2:$Q$317=$A81),--ISNUMBER('Данные 2st'!$NO$2:$NO$317))</f>
        <v>0</v>
      </c>
      <c r="RU81">
        <f>SUMPRODUCT(--('Данные 2st'!$Q$2:$Q$317=$A81),--ISNUMBER('Данные 2st'!$NP$2:$NP$317))</f>
        <v>0</v>
      </c>
      <c r="RV81">
        <f>SUMPRODUCT(--('Данные 2st'!$Q$2:$Q$317=$A81),--ISNUMBER('Данные 2st'!$NQ$2:$NQ$317))</f>
        <v>0</v>
      </c>
      <c r="RW81">
        <f>SUMPRODUCT(--('Данные 2st'!$Q$2:$Q$317=$A81),--ISNUMBER('Данные 2st'!$NR$2:$NR$317))</f>
        <v>0</v>
      </c>
      <c r="RX81">
        <f>SUMPRODUCT(--('Данные 2st'!$Q$2:$Q$317=$A81),--ISNUMBER('Данные 2st'!$NS$2:$NS$317))</f>
        <v>0</v>
      </c>
      <c r="RY81">
        <f>SUMPRODUCT(--('Данные 2st'!$Q$2:$Q$317=$A81),--ISNUMBER('Данные 2st'!$NT$2:$NT$317))</f>
        <v>0</v>
      </c>
      <c r="RZ81">
        <f>SUMPRODUCT(--('Данные 2st'!$Q$2:$Q$317=$A81),--ISNUMBER('Данные 2st'!$OK$2:$OK$317))</f>
        <v>1</v>
      </c>
      <c r="SA81">
        <f>SUMPRODUCT(--('Данные 2st'!$Q$2:$Q$317=$A81),--ISNUMBER('Данные 2st'!$OL$2:$OL$317))</f>
        <v>1</v>
      </c>
      <c r="SB81">
        <f>SUMPRODUCT(--('Данные 2st'!$Q$2:$Q$317=$A81),--ISNUMBER('Данные 2st'!$ON$2:$ON$317))</f>
        <v>1</v>
      </c>
      <c r="SC81">
        <f>SUMPRODUCT(--('Данные 2st'!$Q$2:$Q$317=$A81),--ISNUMBER('Данные 2st'!$OO$2:$OO$317))</f>
        <v>1</v>
      </c>
      <c r="SD81">
        <f>SUMPRODUCT(--('Данные 2st'!$Q$2:$Q$317=$A81),--ISNUMBER('Данные 2st'!$OP$2:$OP$317))</f>
        <v>1</v>
      </c>
      <c r="SE81">
        <f>SUMPRODUCT(--('Данные 2st'!$Q$2:$Q$317=$A81),--ISNUMBER('Данные 2st'!$OQ$2:$OQ$317))</f>
        <v>1</v>
      </c>
      <c r="SF81">
        <f>SUMPRODUCT(--('Данные 2st'!$Q$2:$Q$317=$A81),--ISNUMBER('Данные 2st'!$OS$2:$OS$317))</f>
        <v>1</v>
      </c>
      <c r="SG81">
        <f>SUMPRODUCT(--('Данные 2st'!$Q$2:$Q$317=$A81),--ISNUMBER('Данные 2st'!$OT$2:$OT$317))</f>
        <v>1</v>
      </c>
      <c r="SH81">
        <f>SUMPRODUCT(--('Данные 2st'!$Q$2:$Q$317=$A81),--ISNUMBER('Данные 2st'!$OU$2:$OU$317))</f>
        <v>1</v>
      </c>
      <c r="SI81">
        <f>SUMPRODUCT(--('Данные 2st'!$Q$2:$Q$317=$A81),--ISNUMBER('Данные 2st'!$OV$2:$OV$317))</f>
        <v>1</v>
      </c>
      <c r="SJ81">
        <f>SUMPRODUCT(--('Данные 2st'!$Q$2:$Q$317=$A81),--ISNUMBER('Данные 2st'!$OX$2:$OX$317))</f>
        <v>1</v>
      </c>
      <c r="SK81">
        <f>SUMPRODUCT(--('Данные 2st'!$Q$2:$Q$317=$A81),--ISNUMBER('Данные 2st'!$OY$2:$OY$317))</f>
        <v>1</v>
      </c>
      <c r="SL81">
        <f>SUMPRODUCT(--('Данные 2st'!$Q$2:$Q$317=$A81),--ISNUMBER('Данные 2st'!$OZ$2:$OZ$317))</f>
        <v>1</v>
      </c>
      <c r="SM81">
        <f>SUMPRODUCT(--('Данные 2st'!$Q$2:$Q$317=$A81),--ISNUMBER('Данные 2st'!$PA$2:$PA$317))</f>
        <v>1</v>
      </c>
      <c r="SN81">
        <f>SUMPRODUCT(--('Данные 2st'!$Q$2:$Q$317=$A81),--ISNUMBER('Данные 2st'!$PC$2:$PC$317))</f>
        <v>1</v>
      </c>
      <c r="SO81">
        <f>SUMPRODUCT(--('Данные 2st'!$Q$2:$Q$317=$A81),--ISNUMBER('Данные 2st'!$PD$2:$PD$317))</f>
        <v>1</v>
      </c>
      <c r="SP81">
        <f>SUMPRODUCT(--('Данные 2st'!$Q$2:$Q$317=$A81),--ISNUMBER('Данные 2st'!$PF$2:$PF$317))</f>
        <v>1</v>
      </c>
      <c r="SQ81">
        <f>SUMPRODUCT(--('Данные 2st'!$Q$2:$Q$317=$A81),--ISNUMBER('Данные 2st'!$PG$2:$PG$317))</f>
        <v>1</v>
      </c>
      <c r="SR81">
        <f>SUMPRODUCT(--('Данные 2st'!$Q$2:$Q$317=$A81),--ISNUMBER('Данные 2st'!$PH$2:$PH$317))</f>
        <v>1</v>
      </c>
      <c r="SS81">
        <f>SUMPRODUCT(--('Данные 2st'!$Q$2:$Q$317=$A81),--ISNUMBER('Данные 2st'!$PI$2:$PI$317))</f>
        <v>1</v>
      </c>
      <c r="ST81">
        <f>SUMPRODUCT(--('Данные 2st'!$Q$2:$Q$317=$A81),--ISNUMBER('Данные 2st'!$PJ$2:$PJ$317))</f>
        <v>1</v>
      </c>
      <c r="SU81">
        <f>SUMPRODUCT(--('Данные 2st'!$Q$2:$Q$317=$A81),--ISNUMBER('Данные 2st'!$PK$2:$PK$317))</f>
        <v>1</v>
      </c>
      <c r="SV81">
        <f>SUMPRODUCT(--('Данные 2st'!$Q$2:$Q$317=$A81),--ISNUMBER('Данные 2st'!$PL$2:$PL$317))</f>
        <v>1</v>
      </c>
      <c r="SW81">
        <f>SUMPRODUCT(--('Данные 2st'!$Q$2:$Q$317=$A81),--ISNUMBER('Данные 2st'!$PM$2:$PM$317))</f>
        <v>1</v>
      </c>
      <c r="SX81">
        <f>SUMPRODUCT(--('Данные 2st'!$Q$2:$Q$317=$A81),--ISNUMBER('Данные 2st'!$PN$2:$PN$317))</f>
        <v>1</v>
      </c>
      <c r="SY81">
        <f>SUMPRODUCT(--('Данные 2st'!$Q$2:$Q$317=$A81),--ISNUMBER('Данные 2st'!$PO$2:$PO$317))</f>
        <v>1</v>
      </c>
      <c r="SZ81">
        <f>SUMPRODUCT(--('Данные 2st'!$Q$2:$Q$317=$A81),--ISNUMBER('Данные 2st'!$PP$2:$PP$317))</f>
        <v>1</v>
      </c>
      <c r="TA81">
        <f>SUMPRODUCT(--('Данные 2st'!$Q$2:$Q$317=$A81),--ISNUMBER('Данные 2st'!$PQ$2:$PQ$317))</f>
        <v>1</v>
      </c>
      <c r="TB81">
        <f>SUMPRODUCT(--('Данные 2st'!$Q$2:$Q$317=$A81),--ISNUMBER('Данные 2st'!$PR$2:$PR$317))</f>
        <v>1</v>
      </c>
      <c r="TC81">
        <f>SUMPRODUCT(--('Данные 2st'!$Q$2:$Q$317=$A81),--ISNUMBER('Данные 2st'!$PS$2:$PS$317))</f>
        <v>1</v>
      </c>
      <c r="TD81">
        <f>SUMPRODUCT(--('Данные 2st'!$Q$2:$Q$317=$A81),--ISNUMBER('Данные 2st'!$PT$2:$PT$317))</f>
        <v>1</v>
      </c>
      <c r="TE81">
        <f>SUMPRODUCT(--('Данные 2st'!$Q$2:$Q$317=$A81),--ISNUMBER('Данные 2st'!$PU$2:$PU$317))</f>
        <v>1</v>
      </c>
      <c r="TF81">
        <f>SUMPRODUCT(--('Данные 2st'!$Q$2:$Q$317=$A81),--ISNUMBER('Данные 2st'!$PX$2:$PX$317))</f>
        <v>1</v>
      </c>
      <c r="TG81">
        <f>SUMPRODUCT(--('Данные 2st'!$Q$2:$Q$317=$A81),--ISNUMBER('Данные 2st'!$PY$2:$PY$317))</f>
        <v>1</v>
      </c>
      <c r="TH81">
        <f>SUMPRODUCT(--('Данные 2st'!$Q$2:$Q$317=$A81),--ISNUMBER('Данные 2st'!$PZ$2:$PZ$317))</f>
        <v>1</v>
      </c>
      <c r="TI81">
        <f>SUMPRODUCT(--('Данные 2st'!$Q$2:$Q$317=$A81),--ISNUMBER('Данные 2st'!$QA$2:$QA$317))</f>
        <v>1</v>
      </c>
      <c r="TJ81">
        <f>SUMPRODUCT(--('Данные 2st'!$Q$2:$Q$317=$A81),--ISNUMBER('Данные 2st'!$QB$2:$QB$317))</f>
        <v>1</v>
      </c>
      <c r="TK81">
        <f>SUMPRODUCT(--('Данные 2st'!$Q$2:$Q$317=$A81),--ISNUMBER('Данные 2st'!$QC$2:$QC$317))</f>
        <v>1</v>
      </c>
      <c r="TL81">
        <f>SUMPRODUCT(--('Данные 2st'!$Q$2:$Q$317=$A81),--ISNUMBER('Данные 2st'!$QD$2:$QD$317))</f>
        <v>1</v>
      </c>
      <c r="TM81">
        <f>SUMPRODUCT(--('Данные 2st'!$Q$2:$Q$317=$A81),--ISNUMBER('Данные 2st'!$QE$2:$QE$317))</f>
        <v>1</v>
      </c>
      <c r="TN81">
        <f>SUMPRODUCT(--('Данные 2st'!$Q$2:$Q$317=$A81),--ISNUMBER('Данные 2st'!$QF$2:$QF$317))</f>
        <v>1</v>
      </c>
      <c r="TO81">
        <f>SUMPRODUCT(--('Данные 2st'!$Q$2:$Q$317=$A81),--ISNUMBER('Данные 2st'!$QG$2:$QG$317))</f>
        <v>1</v>
      </c>
      <c r="TP81">
        <f>SUMPRODUCT(--('Данные 2st'!$Q$2:$Q$317=$A81),--ISNUMBER('Данные 2st'!$QH$2:$QH$317))</f>
        <v>1</v>
      </c>
      <c r="TQ81">
        <f>SUMPRODUCT(--('Данные 2st'!$Q$2:$Q$317=$A81),--ISNUMBER('Данные 2st'!$QI$2:$QI$317))</f>
        <v>1</v>
      </c>
      <c r="TR81">
        <f>SUMPRODUCT(--('Данные 2st'!$Q$2:$Q$317=$A81),--ISNUMBER('Данные 2st'!$QJ$2:$QJ$317))</f>
        <v>1</v>
      </c>
      <c r="TS81">
        <f>SUMPRODUCT(--('Данные 2st'!$Q$2:$Q$317=$A81),--ISNUMBER('Данные 2st'!$QK$2:$QK$317))</f>
        <v>1</v>
      </c>
      <c r="TT81">
        <f>SUMPRODUCT(--('Данные 2st'!$Q$2:$Q$317=$A81),--ISNUMBER('Данные 2st'!$QL$2:$QL$317))</f>
        <v>1</v>
      </c>
      <c r="TU81">
        <f>SUMPRODUCT(--('Данные 2st'!$Q$2:$Q$317=$A81),--ISNUMBER('Данные 2st'!$QM$2:$QM$317))</f>
        <v>1</v>
      </c>
      <c r="TV81">
        <f>SUMPRODUCT(--('Данные 2st'!$Q$2:$Q$317=$A81),--ISNUMBER('Данные 2st'!$QN$2:$QN$317))</f>
        <v>1</v>
      </c>
      <c r="TW81">
        <f>SUMPRODUCT(--('Данные 2st'!$Q$2:$Q$317=$A81),--ISNUMBER('Данные 2st'!$QQ$2:$QQ$317))</f>
        <v>1</v>
      </c>
      <c r="TX81">
        <f>SUMPRODUCT(--('Данные 2st'!$Q$2:$Q$317=$A81),--ISNUMBER('Данные 2st'!$QS$2:$QS$317))</f>
        <v>1</v>
      </c>
      <c r="TY81">
        <f>SUMPRODUCT(--('Данные 2st'!$Q$2:$Q$317=$A81),--ISNUMBER('Данные 2st'!$QT$2:$QT$317))</f>
        <v>1</v>
      </c>
    </row>
    <row r="82" spans="1:545" ht="32" customHeight="1">
      <c r="A82" s="11" t="str">
        <f>'По размерам'!A82</f>
        <v>275/50R20</v>
      </c>
      <c r="G82">
        <f>SUMPRODUCT(--('Данные 1st'!$S$2:$S$317=$A82),--ISNUMBER('Данные 1st'!$AE$2:$AE$317))</f>
        <v>1</v>
      </c>
      <c r="H82">
        <f>SUMPRODUCT(--('Данные 1st'!$S$2:$S$317=$A82),--ISNUMBER('Данные 1st'!$AF$2:$AF$317))</f>
        <v>1</v>
      </c>
      <c r="I82">
        <f>SUMPRODUCT(--('Данные 1st'!$S$2:$S$317=$A82),--ISNUMBER('Данные 1st'!$AJ$2:$AJ$317))</f>
        <v>1</v>
      </c>
      <c r="J82">
        <f>SUMPRODUCT(--('Данные 1st'!$S$2:$S$317=$A82),--ISNUMBER('Данные 1st'!$AL$2:$AL$317))</f>
        <v>1</v>
      </c>
      <c r="K82">
        <f>SUMPRODUCT(--('Данные 1st'!$S$2:$S$317=$A82),--ISNUMBER('Данные 1st'!$AR$2:$AR$317))</f>
        <v>1</v>
      </c>
      <c r="L82">
        <f>SUMPRODUCT(--('Данные 1st'!$S$2:$S$317=$A82),--ISNUMBER('Данные 1st'!$AS$2:$AS$317))</f>
        <v>1</v>
      </c>
      <c r="M82">
        <f>SUMPRODUCT(--('Данные 1st'!$S$2:$S$317=$A82),--ISNUMBER('Данные 1st'!$AY$2:$AY$317))</f>
        <v>1</v>
      </c>
      <c r="N82">
        <f>SUMPRODUCT(--('Данные 1st'!$S$2:$S$317=$A82),--ISNUMBER('Данные 1st'!$AZ$2:$AZ$317))</f>
        <v>1</v>
      </c>
      <c r="O82">
        <f>SUMPRODUCT(--('Данные 1st'!$S$2:$S$317=$A82),--ISNUMBER('Данные 1st'!$BF$2:$BF$317))</f>
        <v>1</v>
      </c>
      <c r="P82">
        <f>SUMPRODUCT(--('Данные 1st'!$S$2:$S$317=$A82),--ISNUMBER('Данные 1st'!$BG$2:$BG$317))</f>
        <v>1</v>
      </c>
      <c r="Q82">
        <f>SUMPRODUCT(--('Данные 1st'!$S$2:$S$317=$A82),--ISNUMBER('Данные 1st'!$BM$2:$BM$317))</f>
        <v>0</v>
      </c>
      <c r="R82">
        <f>SUMPRODUCT(--('Данные 1st'!$S$2:$S$317=$A82),--ISNUMBER('Данные 1st'!$BN$2:$BN$317))</f>
        <v>1</v>
      </c>
      <c r="S82">
        <f>SUMPRODUCT(--('Данные 1st'!$S$2:$S$317=$A82),--ISNUMBER('Данные 1st'!$BT$2:$BT$317))</f>
        <v>1</v>
      </c>
      <c r="T82">
        <f>SUMPRODUCT(--('Данные 1st'!$S$2:$S$317=$A82),--ISNUMBER('Данные 1st'!$BU$2:$BU$317))</f>
        <v>1</v>
      </c>
      <c r="U82">
        <f>SUMPRODUCT(--('Данные 1st'!$S$2:$S$317=$A82),--ISNUMBER('Данные 1st'!$BW$2:$BW$317))</f>
        <v>1</v>
      </c>
      <c r="V82">
        <f>SUMPRODUCT(--('Данные 1st'!$S$2:$S$317=$A82),--ISNUMBER('Данные 1st'!$BX$2:$BX$317))</f>
        <v>1</v>
      </c>
      <c r="W82">
        <f>SUMPRODUCT(--('Данные 1st'!$S$2:$S$317=$A82),--ISNUMBER('Данные 1st'!$BZ$2:$BZ$317))</f>
        <v>1</v>
      </c>
      <c r="X82">
        <f>SUMPRODUCT(--('Данные 1st'!$S$2:$S$317=$A82),--ISNUMBER('Данные 1st'!$CA$2:$CA$317))</f>
        <v>1</v>
      </c>
      <c r="Y82">
        <f>SUMPRODUCT(--('Данные 1st'!$S$2:$S$317=$A82),--ISNUMBER('Данные 1st'!$CD$2:$CD$317))</f>
        <v>1</v>
      </c>
      <c r="Z82">
        <f>SUMPRODUCT(--('Данные 1st'!$S$2:$S$317=$A82),--ISNUMBER('Данные 1st'!$CF$2:$CF$317))</f>
        <v>1</v>
      </c>
      <c r="AA82">
        <f>SUMPRODUCT(--('Данные 1st'!$S$2:$S$317=$A82),--ISNUMBER('Данные 1st'!$CI$2:$CI$317))</f>
        <v>1</v>
      </c>
      <c r="AB82">
        <f>SUMPRODUCT(--('Данные 1st'!$S$2:$S$317=$A82),--ISNUMBER('Данные 1st'!$CJ$2:$CJ$317))</f>
        <v>1</v>
      </c>
      <c r="AC82">
        <f>SUMPRODUCT(--('Данные 1st'!$S$2:$S$317=$A82),--ISNUMBER('Данные 1st'!$CK$2:$CK$317))</f>
        <v>1</v>
      </c>
      <c r="AD82">
        <f>SUMPRODUCT(--('Данные 1st'!$S$2:$S$317=$A82),--ISNUMBER('Данные 1st'!$CL$2:$CL$317))</f>
        <v>1</v>
      </c>
      <c r="AE82">
        <f>SUMPRODUCT(--('Данные 1st'!$S$2:$S$317=$A82),--ISNUMBER('Данные 1st'!$CM$2:$CM$317))</f>
        <v>1</v>
      </c>
      <c r="AF82">
        <f>SUMPRODUCT(--('Данные 1st'!$S$2:$S$317=$A82),--ISNUMBER('Данные 1st'!$CT$2:$CT$317))</f>
        <v>1</v>
      </c>
      <c r="AG82">
        <f>SUMPRODUCT(--('Данные 1st'!$S$2:$S$317=$A82),--ISNUMBER('Данные 1st'!$CU$2:$CU$317))</f>
        <v>1</v>
      </c>
      <c r="AH82">
        <f>SUMPRODUCT(--('Данные 1st'!$S$2:$S$317=$A82),--ISNUMBER('Данные 1st'!$CV$2:$CV$317))</f>
        <v>1</v>
      </c>
      <c r="AI82">
        <f>SUMPRODUCT(--('Данные 1st'!$S$2:$S$317=$A82),--ISNUMBER('Данные 1st'!$CW$2:$CW$317))</f>
        <v>1</v>
      </c>
      <c r="AJ82">
        <f>SUMPRODUCT(--('Данные 1st'!$S$2:$S$317=$A82),--ISNUMBER('Данные 1st'!$CX$2:$CX$317))</f>
        <v>1</v>
      </c>
      <c r="AK82">
        <f>SUMPRODUCT(--('Данные 1st'!$S$2:$S$317=$A82),--ISNUMBER('Данные 1st'!$CZ$2:$CZ$317))</f>
        <v>1</v>
      </c>
      <c r="AL82">
        <f>SUMPRODUCT(--('Данные 1st'!$S$2:$S$317=$A82),--ISNUMBER('Данные 1st'!$DA$2:$DA$317))</f>
        <v>1</v>
      </c>
      <c r="AM82">
        <f>SUMPRODUCT(--('Данные 1st'!$S$2:$S$317=$A82),--ISNUMBER('Данные 1st'!$DB$2:$DB$317))</f>
        <v>1</v>
      </c>
      <c r="AN82">
        <f>SUMPRODUCT(--('Данные 1st'!$S$2:$S$317=$A82),--ISNUMBER('Данные 1st'!$DC$2:$DC$317))</f>
        <v>1</v>
      </c>
      <c r="AO82">
        <f>SUMPRODUCT(--('Данные 1st'!$S$2:$S$317=$A82),--ISNUMBER('Данные 1st'!$DD$2:$DD$317))</f>
        <v>1</v>
      </c>
      <c r="AP82">
        <f>SUMPRODUCT(--('Данные 1st'!$S$2:$S$317=$A82),--ISNUMBER('Данные 1st'!$DF$2:$DF$317))</f>
        <v>1</v>
      </c>
      <c r="AQ82">
        <f>SUMPRODUCT(--('Данные 1st'!$S$2:$S$317=$A82),--ISNUMBER('Данные 1st'!$DG$2:$DG$317))</f>
        <v>1</v>
      </c>
      <c r="AR82">
        <f>SUMPRODUCT(--('Данные 1st'!$S$2:$S$317=$A82),--ISNUMBER('Данные 1st'!$DH$2:$DH$317))</f>
        <v>1</v>
      </c>
      <c r="AS82">
        <f>SUMPRODUCT(--('Данные 1st'!$S$2:$S$317=$A82),--ISNUMBER('Данные 1st'!$DI$2:$DI$317))</f>
        <v>1</v>
      </c>
      <c r="AT82">
        <f>SUMPRODUCT(--('Данные 1st'!$S$2:$S$317=$A82),--ISNUMBER('Данные 1st'!$DJ$2:$DJ$317))</f>
        <v>1</v>
      </c>
      <c r="AU82">
        <f>SUMPRODUCT(--('Данные 1st'!$S$2:$S$317=$A82),--ISNUMBER('Данные 1st'!$DL$2:$DL$317))</f>
        <v>1</v>
      </c>
      <c r="AV82">
        <f>SUMPRODUCT(--('Данные 1st'!$S$2:$S$317=$A82),--ISNUMBER('Данные 1st'!$DM$2:$DM$317))</f>
        <v>1</v>
      </c>
      <c r="AW82">
        <f>SUMPRODUCT(--('Данные 1st'!$S$2:$S$317=$A82),--ISNUMBER('Данные 1st'!$DN$2:$DN$317))</f>
        <v>1</v>
      </c>
      <c r="AX82">
        <f>SUMPRODUCT(--('Данные 1st'!$S$2:$S$317=$A82),--ISNUMBER('Данные 1st'!$DO$2:$DO$317))</f>
        <v>1</v>
      </c>
      <c r="AY82">
        <f>SUMPRODUCT(--('Данные 1st'!$S$2:$S$317=$A82),--ISNUMBER('Данные 1st'!$DP$2:$DP$317))</f>
        <v>1</v>
      </c>
      <c r="AZ82">
        <f>SUMPRODUCT(--('Данные 1st'!$S$2:$S$317=$A82),--ISNUMBER('Данные 1st'!$DR$2:$DR$317))</f>
        <v>0</v>
      </c>
      <c r="BA82">
        <f>SUMPRODUCT(--('Данные 1st'!$S$2:$S$317=$A82),--ISNUMBER('Данные 1st'!$DS$2:$DS$317))</f>
        <v>0</v>
      </c>
      <c r="BB82">
        <f>SUMPRODUCT(--('Данные 1st'!$S$2:$S$317=$A82),--ISNUMBER('Данные 1st'!$DT$2:$DT$317))</f>
        <v>0</v>
      </c>
      <c r="BC82">
        <f>SUMPRODUCT(--('Данные 1st'!$S$2:$S$317=$A82),--ISNUMBER('Данные 1st'!$DU$2:$DU$317))</f>
        <v>0</v>
      </c>
      <c r="BD82">
        <f>SUMPRODUCT(--('Данные 1st'!$S$2:$S$317=$A82),--ISNUMBER('Данные 1st'!$DV$2:$DV$317))</f>
        <v>0</v>
      </c>
      <c r="BE82">
        <f>SUMPRODUCT(--('Данные 1st'!$S$2:$S$317=$A82),--ISNUMBER('Данные 1st'!$DX$2:$DX$317))</f>
        <v>1</v>
      </c>
      <c r="BF82">
        <f>SUMPRODUCT(--('Данные 1st'!$S$2:$S$317=$A82),--ISNUMBER('Данные 1st'!$EA$2:$EA$317))</f>
        <v>1</v>
      </c>
      <c r="BG82">
        <f>SUMPRODUCT(--('Данные 1st'!$S$2:$S$317=$A82),--ISNUMBER('Данные 1st'!$EB$2:$EB$317))</f>
        <v>1</v>
      </c>
      <c r="BH82">
        <f>SUMPRODUCT(--('Данные 1st'!$S$2:$S$317=$A82),--ISNUMBER('Данные 1st'!$ED$2:$ED$317))</f>
        <v>1</v>
      </c>
      <c r="BI82">
        <f>SUMPRODUCT(--('Данные 1st'!$S$2:$S$317=$A82),--ISNUMBER('Данные 1st'!$EE$2:$EE$317))</f>
        <v>1</v>
      </c>
      <c r="BJ82">
        <f>SUMPRODUCT(--('Данные 1st'!$S$2:$S$317=$A82),--ISNUMBER('Данные 1st'!$EG$2:$EG$317))</f>
        <v>1</v>
      </c>
      <c r="BK82">
        <f>SUMPRODUCT(--('Данные 1st'!$S$2:$S$317=$A82),--ISNUMBER('Данные 1st'!$EH$2:$EH$317))</f>
        <v>1</v>
      </c>
      <c r="BL82">
        <f>SUMPRODUCT(--('Данные 1st'!$S$2:$S$317=$A82),--ISNUMBER('Данные 1st'!$EJ$2:$EJ$317))</f>
        <v>1</v>
      </c>
      <c r="BM82">
        <f>SUMPRODUCT(--('Данные 1st'!$S$2:$S$317=$A82),--ISNUMBER('Данные 1st'!$EK$2:$EK$317))</f>
        <v>1</v>
      </c>
      <c r="BN82">
        <f>SUMPRODUCT(--('Данные 1st'!$S$2:$S$317=$A82),--ISNUMBER('Данные 1st'!$EN$2:$EN$317))</f>
        <v>1</v>
      </c>
      <c r="BO82">
        <f>SUMPRODUCT(--('Данные 1st'!$S$2:$S$317=$A82),--ISNUMBER('Данные 1st'!$EQ$2:$EQ$317))</f>
        <v>1</v>
      </c>
      <c r="BP82">
        <f>SUMPRODUCT(--('Данные 1st'!$S$2:$S$317=$A82),--ISNUMBER('Данные 1st'!$ER$2:$ER$317))</f>
        <v>1</v>
      </c>
      <c r="BQ82">
        <f>SUMPRODUCT(--('Данные 1st'!$S$2:$S$317=$A82),--ISNUMBER('Данные 1st'!$ES$2:$ES$317))</f>
        <v>1</v>
      </c>
      <c r="BR82">
        <f>SUMPRODUCT(--('Данные 1st'!$S$2:$S$317=$A82),--ISNUMBER('Данные 1st'!$ET$2:$ET$317))</f>
        <v>1</v>
      </c>
      <c r="BS82">
        <f>SUMPRODUCT(--('Данные 1st'!$S$2:$S$317=$A82),--ISNUMBER('Данные 1st'!$EU$2:$EU$317))</f>
        <v>1</v>
      </c>
      <c r="BT82">
        <f>SUMPRODUCT(--('Данные 1st'!$S$2:$S$317=$A82),--ISNUMBER('Данные 1st'!$EV$2:$EV$317))</f>
        <v>1</v>
      </c>
      <c r="BU82">
        <f>SUMPRODUCT(--('Данные 1st'!$S$2:$S$317=$A82),--ISNUMBER('Данные 1st'!$EX$2:$EX$317))</f>
        <v>1</v>
      </c>
      <c r="BV82">
        <f>SUMPRODUCT(--('Данные 1st'!$S$2:$S$317=$A82),--ISNUMBER('Данные 1st'!$EY$2:$EY$317))</f>
        <v>1</v>
      </c>
      <c r="BW82">
        <f>SUMPRODUCT(--('Данные 1st'!$S$2:$S$317=$A82),--ISNUMBER('Данные 1st'!$EZ$2:$EZ$317))</f>
        <v>1</v>
      </c>
      <c r="BX82">
        <f>SUMPRODUCT(--('Данные 1st'!$S$2:$S$317=$A82),--ISNUMBER('Данные 1st'!$FA$2:$FA$317))</f>
        <v>1</v>
      </c>
      <c r="BY82">
        <f>SUMPRODUCT(--('Данные 1st'!$S$2:$S$317=$A82),--ISNUMBER('Данные 1st'!$FB$2:$FB$317))</f>
        <v>1</v>
      </c>
      <c r="BZ82">
        <f>SUMPRODUCT(--('Данные 1st'!$S$2:$S$317=$A82),--ISNUMBER('Данные 1st'!$FC$2:$FC$317))</f>
        <v>1</v>
      </c>
      <c r="CA82">
        <f>SUMPRODUCT(--('Данные 1st'!$S$2:$S$317=$A82),--ISNUMBER('Данные 1st'!$FE$2:$FE$317))</f>
        <v>1</v>
      </c>
      <c r="CB82">
        <f>SUMPRODUCT(--('Данные 1st'!$S$2:$S$317=$A82),--ISNUMBER('Данные 1st'!$FF$2:$FF$317))</f>
        <v>1</v>
      </c>
      <c r="CC82">
        <f>SUMPRODUCT(--('Данные 1st'!$S$2:$S$317=$A82),--ISNUMBER('Данные 1st'!$FI$2:$FI$317))</f>
        <v>1</v>
      </c>
      <c r="CD82">
        <f>SUMPRODUCT(--('Данные 1st'!$S$2:$S$317=$A82),--ISNUMBER('Данные 1st'!$FL$2:$FL$317))</f>
        <v>1</v>
      </c>
      <c r="CE82">
        <f>SUMPRODUCT(--('Данные 1st'!$S$2:$S$317=$A82),--ISNUMBER('Данные 1st'!$FM$2:$FM$317))</f>
        <v>1</v>
      </c>
      <c r="CF82">
        <f>SUMPRODUCT(--('Данные 1st'!$S$2:$S$317=$A82),--ISNUMBER('Данные 1st'!$FN$2:$FN$317))</f>
        <v>1</v>
      </c>
      <c r="CG82">
        <f>SUMPRODUCT(--('Данные 1st'!$S$2:$S$317=$A82),--ISNUMBER('Данные 1st'!$FO$2:$FO$317))</f>
        <v>1</v>
      </c>
      <c r="CH82">
        <f>SUMPRODUCT(--('Данные 1st'!$S$2:$S$317=$A82),--ISNUMBER('Данные 1st'!$FP$2:$FP$317))</f>
        <v>1</v>
      </c>
      <c r="CI82">
        <f>SUMPRODUCT(--('Данные 1st'!$S$2:$S$317=$A82),--ISNUMBER('Данные 1st'!$FS$2:$FS$317))</f>
        <v>0</v>
      </c>
      <c r="CJ82">
        <f>SUMPRODUCT(--('Данные 1st'!$S$2:$S$317=$A82),--ISNUMBER('Данные 1st'!$FT$2:$FT$317))</f>
        <v>0</v>
      </c>
      <c r="CK82">
        <f>SUMPRODUCT(--('Данные 1st'!$S$2:$S$317=$A82),--ISNUMBER('Данные 1st'!$FU$2:$FU$317))</f>
        <v>0</v>
      </c>
      <c r="CL82">
        <f>SUMPRODUCT(--('Данные 1st'!$S$2:$S$317=$A82),--ISNUMBER('Данные 1st'!$FV$2:$FV$317))</f>
        <v>0</v>
      </c>
      <c r="CM82">
        <f>SUMPRODUCT(--('Данные 1st'!$S$2:$S$317=$A82),--ISNUMBER('Данные 1st'!$FW$2:$FW$317))</f>
        <v>0</v>
      </c>
      <c r="CN82">
        <f>SUMPRODUCT(--('Данные 1st'!$S$2:$S$317=$A82),--ISNUMBER('Данные 1st'!$FZ$2:$FZ$317))</f>
        <v>0</v>
      </c>
      <c r="CO82">
        <f>SUMPRODUCT(--('Данные 1st'!$S$2:$S$317=$A82),--ISNUMBER('Данные 1st'!$GA$2:$GA$317))</f>
        <v>0</v>
      </c>
      <c r="CP82">
        <f>SUMPRODUCT(--('Данные 1st'!$S$2:$S$317=$A82),--ISNUMBER('Данные 1st'!$GB$2:$GB$317))</f>
        <v>0</v>
      </c>
      <c r="CQ82">
        <f>SUMPRODUCT(--('Данные 1st'!$S$2:$S$317=$A82),--ISNUMBER('Данные 1st'!$GH$2:$GH$317))</f>
        <v>0</v>
      </c>
      <c r="CR82">
        <f>SUMPRODUCT(--('Данные 1st'!$S$2:$S$317=$A82),--ISNUMBER('Данные 1st'!$GI$2:$GI$317))</f>
        <v>0</v>
      </c>
      <c r="CS82">
        <f>SUMPRODUCT(--('Данные 1st'!$S$2:$S$317=$A82),--ISNUMBER('Данные 1st'!$GJ$2:$GJ$317))</f>
        <v>0</v>
      </c>
      <c r="CT82">
        <f>SUMPRODUCT(--('Данные 1st'!$S$2:$S$317=$A82),--ISNUMBER('Данные 1st'!$GS$2:$GS$317))</f>
        <v>1</v>
      </c>
      <c r="CU82">
        <f>SUMPRODUCT(--('Данные 1st'!$S$2:$S$317=$A82),--ISNUMBER('Данные 1st'!$GT$2:$GT$317))</f>
        <v>1</v>
      </c>
      <c r="CV82">
        <f>SUMPRODUCT(--('Данные 1st'!$S$2:$S$317=$A82),--ISNUMBER('Данные 1st'!$GU$2:$GU$317))</f>
        <v>1</v>
      </c>
      <c r="CW82">
        <f>SUMPRODUCT(--('Данные 1st'!$S$2:$S$317=$A82),--ISNUMBER('Данные 1st'!$GV$2:$GV$317))</f>
        <v>1</v>
      </c>
      <c r="CX82">
        <f>SUMPRODUCT(--('Данные 1st'!$S$2:$S$317=$A82),--ISNUMBER('Данные 1st'!$GW$2:$GW$317))</f>
        <v>1</v>
      </c>
      <c r="CY82">
        <f>SUMPRODUCT(--('Данные 1st'!$S$2:$S$317=$A82),--ISNUMBER('Данные 1st'!$GZ$2:$GZ$317))</f>
        <v>0</v>
      </c>
      <c r="CZ82">
        <f>SUMPRODUCT(--('Данные 1st'!$S$2:$S$317=$A82),--ISNUMBER('Данные 1st'!$HA$2:$HA$317))</f>
        <v>0</v>
      </c>
      <c r="DA82">
        <f>SUMPRODUCT(--('Данные 1st'!$S$2:$S$317=$A82),--ISNUMBER('Данные 1st'!$HB$2:$HB$317))</f>
        <v>0</v>
      </c>
      <c r="DB82">
        <f>SUMPRODUCT(--('Данные 1st'!$S$2:$S$317=$A82),--ISNUMBER('Данные 1st'!$HC$2:$HC$317))</f>
        <v>1</v>
      </c>
      <c r="DC82">
        <f>SUMPRODUCT(--('Данные 1st'!$S$2:$S$317=$A82),--ISNUMBER('Данные 1st'!$HD$2:$HD$317))</f>
        <v>1</v>
      </c>
      <c r="DD82">
        <f>SUMPRODUCT(--('Данные 1st'!$S$2:$S$317=$A82),--ISNUMBER('Данные 1st'!$HE$2:$HE$317))</f>
        <v>1</v>
      </c>
      <c r="DE82">
        <f>SUMPRODUCT(--('Данные 1st'!$S$2:$S$317=$A82),--ISNUMBER('Данные 1st'!$HF$2:$HF$317))</f>
        <v>1</v>
      </c>
      <c r="DF82">
        <f>SUMPRODUCT(--('Данные 1st'!$S$2:$S$317=$A82),--ISNUMBER('Данные 1st'!$HG$2:$HG$317))</f>
        <v>1</v>
      </c>
      <c r="DG82">
        <f>SUMPRODUCT(--('Данные 1st'!$S$2:$S$317=$A82),--ISNUMBER('Данные 1st'!$HH$2:$HH$317))</f>
        <v>1</v>
      </c>
      <c r="DH82">
        <f>SUMPRODUCT(--('Данные 1st'!$S$2:$S$317=$A82),--ISNUMBER('Данные 1st'!$HI$2:$HI$317))</f>
        <v>1</v>
      </c>
      <c r="DI82">
        <f>SUMPRODUCT(--('Данные 1st'!$S$2:$S$317=$A82),--ISNUMBER('Данные 1st'!$HJ$2:$HJ$317))</f>
        <v>1</v>
      </c>
      <c r="DJ82">
        <f>SUMPRODUCT(--('Данные 1st'!$S$2:$S$317=$A82),--ISNUMBER('Данные 1st'!$HK$2:$HK$317))</f>
        <v>1</v>
      </c>
      <c r="DK82">
        <f>SUMPRODUCT(--('Данные 1st'!$S$2:$S$317=$A82),--ISNUMBER('Данные 1st'!$HL$2:$HL$317))</f>
        <v>1</v>
      </c>
      <c r="DL82">
        <f>SUMPRODUCT(--('Данные 1st'!$S$2:$S$317=$A82),--ISNUMBER('Данные 1st'!$HM$2:$HM$317))</f>
        <v>1</v>
      </c>
      <c r="DM82">
        <f>SUMPRODUCT(--('Данные 1st'!$S$2:$S$317=$A82),--ISNUMBER('Данные 1st'!$HN$2:$HN$317))</f>
        <v>1</v>
      </c>
      <c r="DN82">
        <f>SUMPRODUCT(--('Данные 1st'!$S$2:$S$317=$A82),--ISNUMBER('Данные 1st'!$HO$2:$HO$317))</f>
        <v>1</v>
      </c>
      <c r="DO82">
        <f>SUMPRODUCT(--('Данные 1st'!$S$2:$S$317=$A82),--ISNUMBER('Данные 1st'!$HP$2:$HP$317))</f>
        <v>1</v>
      </c>
      <c r="DP82">
        <f>SUMPRODUCT(--('Данные 1st'!$S$2:$S$317=$A82),--ISNUMBER('Данные 1st'!$HQ$2:$HQ$317))</f>
        <v>1</v>
      </c>
      <c r="DQ82">
        <f>SUMPRODUCT(--('Данные 1st'!$S$2:$S$317=$A82),--ISNUMBER('Данные 1st'!$HR$2:$HR$317))</f>
        <v>1</v>
      </c>
      <c r="DR82">
        <f>SUMPRODUCT(--('Данные 1st'!$S$2:$S$317=$A82),--ISNUMBER('Данные 1st'!$HS$2:$HS$317))</f>
        <v>1</v>
      </c>
      <c r="DS82">
        <f>SUMPRODUCT(--('Данные 1st'!$S$2:$S$317=$A82),--ISNUMBER('Данные 1st'!$HT$2:$HT$317))</f>
        <v>1</v>
      </c>
      <c r="DT82">
        <f>SUMPRODUCT(--('Данные 1st'!$S$2:$S$317=$A82),--ISNUMBER('Данные 1st'!$HU$2:$HU$317))</f>
        <v>1</v>
      </c>
      <c r="DU82">
        <f>SUMPRODUCT(--('Данные 1st'!$S$2:$S$317=$A82),--ISNUMBER('Данные 1st'!$HW$2:$HW$317))</f>
        <v>1</v>
      </c>
      <c r="DV82">
        <f>SUMPRODUCT(--('Данные 1st'!$S$2:$S$317=$A82),--ISNUMBER('Данные 1st'!$HX$2:$HX$317))</f>
        <v>1</v>
      </c>
      <c r="DW82">
        <f>SUMPRODUCT(--('Данные 1st'!$S$2:$S$317=$A82),--ISNUMBER('Данные 1st'!$HY$2:$HY$317))</f>
        <v>1</v>
      </c>
      <c r="DX82">
        <f>SUMPRODUCT(--('Данные 1st'!$S$2:$S$317=$A82),--ISNUMBER('Данные 1st'!$IA$2:$IA$317))</f>
        <v>1</v>
      </c>
      <c r="DY82">
        <f>SUMPRODUCT(--('Данные 1st'!$S$2:$S$317=$A82),--ISNUMBER('Данные 1st'!$IB$2:$IB$317))</f>
        <v>1</v>
      </c>
      <c r="DZ82">
        <f>SUMPRODUCT(--('Данные 1st'!$S$2:$S$317=$A82),--ISNUMBER('Данные 1st'!$IC$2:$IC$317))</f>
        <v>1</v>
      </c>
      <c r="EA82">
        <f>SUMPRODUCT(--('Данные 1st'!$S$2:$S$317=$A82),--ISNUMBER('Данные 1st'!$ID$2:$ID$317))</f>
        <v>1</v>
      </c>
      <c r="EB82">
        <f>SUMPRODUCT(--('Данные 1st'!$S$2:$S$317=$A82),--ISNUMBER('Данные 1st'!$IE$2:$IE$317))</f>
        <v>1</v>
      </c>
      <c r="EC82">
        <f>SUMPRODUCT(--('Данные 1st'!$S$2:$S$317=$A82),--ISNUMBER('Данные 1st'!$IF$2:$IF$317))</f>
        <v>1</v>
      </c>
      <c r="ED82">
        <f>SUMPRODUCT(--('Данные 1st'!$S$2:$S$317=$A82),--ISNUMBER('Данные 1st'!$IP$2:$IP$317))</f>
        <v>1</v>
      </c>
      <c r="EE82">
        <f>SUMPRODUCT(--('Данные 1st'!$S$2:$S$317=$A82),--ISNUMBER('Данные 1st'!$IV$2:$IV$317))</f>
        <v>1</v>
      </c>
      <c r="EF82">
        <f>SUMPRODUCT(--('Данные 1st'!$S$2:$S$317=$A82),--ISNUMBER('Данные 1st'!$IW$2:$IW$317))</f>
        <v>1</v>
      </c>
      <c r="EG82">
        <f>SUMPRODUCT(--('Данные 1st'!$S$2:$S$317=$A82),--ISNUMBER('Данные 1st'!$IX$2:$IX$317))</f>
        <v>0</v>
      </c>
      <c r="EH82">
        <f>SUMPRODUCT(--('Данные 1st'!$S$2:$S$317=$A82),--ISNUMBER('Данные 1st'!$IY$2:$IY$317))</f>
        <v>0</v>
      </c>
      <c r="EI82">
        <f>SUMPRODUCT(--('Данные 1st'!$S$2:$S$317=$A82),--ISNUMBER('Данные 1st'!$JD$2:$JD$317))</f>
        <v>1</v>
      </c>
      <c r="EJ82">
        <f>SUMPRODUCT(--('Данные 1st'!$S$2:$S$317=$A82),--ISNUMBER('Данные 1st'!$JE$2:$JE$317))</f>
        <v>1</v>
      </c>
      <c r="EK82">
        <f>SUMPRODUCT(--('Данные 1st'!$S$2:$S$317=$A82),--ISNUMBER('Данные 1st'!$JF$2:$JF$317))</f>
        <v>1</v>
      </c>
      <c r="EL82">
        <f>SUMPRODUCT(--('Данные 1st'!$S$2:$S$317=$A82),--ISNUMBER('Данные 1st'!$JG$2:$JG$317))</f>
        <v>1</v>
      </c>
      <c r="EM82">
        <f>SUMPRODUCT(--('Данные 1st'!$S$2:$S$317=$A82),--ISNUMBER('Данные 1st'!$JH$2:$JH$317))</f>
        <v>1</v>
      </c>
      <c r="EN82">
        <f>SUMPRODUCT(--('Данные 1st'!$S$2:$S$317=$A82),--ISNUMBER('Данные 1st'!$JJ$2:$JJ$317))</f>
        <v>1</v>
      </c>
      <c r="EO82">
        <f>SUMPRODUCT(--('Данные 1st'!$S$2:$S$317=$A82),--ISNUMBER('Данные 1st'!$JK$2:$JK$317))</f>
        <v>1</v>
      </c>
      <c r="EP82">
        <f>SUMPRODUCT(--('Данные 1st'!$S$2:$S$317=$A82),--ISNUMBER('Данные 1st'!$JL$2:$JL$317))</f>
        <v>0</v>
      </c>
      <c r="EQ82">
        <f>SUMPRODUCT(--('Данные 1st'!$S$2:$S$317=$A82),--ISNUMBER('Данные 1st'!$JM$2:$JM$317))</f>
        <v>0</v>
      </c>
      <c r="ER82">
        <f>SUMPRODUCT(--('Данные 1st'!$S$2:$S$317=$A82),--ISNUMBER('Данные 1st'!$JN$2:$JN$317))</f>
        <v>1</v>
      </c>
      <c r="ES82">
        <f>SUMPRODUCT(--('Данные 1st'!$S$2:$S$317=$A82),--ISNUMBER('Данные 1st'!$JO$2:$JO$317))</f>
        <v>1</v>
      </c>
      <c r="ET82">
        <f>SUMPRODUCT(--('Данные 1st'!$S$2:$S$317=$A82),--ISNUMBER('Данные 1st'!$JP$2:$JP$317))</f>
        <v>1</v>
      </c>
      <c r="EU82">
        <f>SUMPRODUCT(--('Данные 1st'!$S$2:$S$317=$A82),--ISNUMBER('Данные 1st'!$JQ$2:$JQ$317))</f>
        <v>1</v>
      </c>
      <c r="EV82">
        <f>SUMPRODUCT(--('Данные 1st'!$S$2:$S$317=$A82),--ISNUMBER('Данные 1st'!$JR$2:$JR$317))</f>
        <v>1</v>
      </c>
      <c r="EW82">
        <f>SUMPRODUCT(--('Данные 1st'!$S$2:$S$317=$A82),--ISNUMBER('Данные 1st'!$JS$2:$JS$317))</f>
        <v>1</v>
      </c>
      <c r="EX82">
        <f>SUMPRODUCT(--('Данные 1st'!$S$2:$S$317=$A82),--ISNUMBER('Данные 1st'!$JT$2:$JT$317))</f>
        <v>0</v>
      </c>
      <c r="EY82">
        <f>SUMPRODUCT(--('Данные 1st'!$S$2:$S$317=$A82),--ISNUMBER('Данные 1st'!$JU$2:$JU$317))</f>
        <v>0</v>
      </c>
      <c r="EZ82">
        <f>SUMPRODUCT(--('Данные 1st'!$S$2:$S$317=$A82),--ISNUMBER('Данные 1st'!$JV$2:$JV$317))</f>
        <v>1</v>
      </c>
      <c r="FA82">
        <f>SUMPRODUCT(--('Данные 1st'!$S$2:$S$317=$A82),--ISNUMBER('Данные 1st'!$JW$2:$JW$317))</f>
        <v>0</v>
      </c>
      <c r="FB82">
        <f>SUMPRODUCT(--('Данные 1st'!$S$2:$S$317=$A82),--ISNUMBER('Данные 1st'!$JX$2:$JX$317))</f>
        <v>1</v>
      </c>
      <c r="FC82">
        <f>SUMPRODUCT(--('Данные 1st'!$S$2:$S$317=$A82),--ISNUMBER('Данные 1st'!$JY$2:$JY$317))</f>
        <v>0</v>
      </c>
      <c r="FD82">
        <f>SUMPRODUCT(--('Данные 1st'!$S$2:$S$317=$A82),--ISNUMBER('Данные 1st'!$JZ$2:$JZ$317))</f>
        <v>0</v>
      </c>
      <c r="FE82">
        <f>SUMPRODUCT(--('Данные 1st'!$S$2:$S$317=$A82),--ISNUMBER('Данные 1st'!$KA$2:$KA$317))</f>
        <v>1</v>
      </c>
      <c r="FF82">
        <f>SUMPRODUCT(--('Данные 1st'!$S$2:$S$317=$A82),--ISNUMBER('Данные 1st'!$KB$2:$KB$317))</f>
        <v>1</v>
      </c>
      <c r="FG82">
        <f>SUMPRODUCT(--('Данные 1st'!$S$2:$S$317=$A82),--ISNUMBER('Данные 1st'!$KC$2:$KC$317))</f>
        <v>1</v>
      </c>
      <c r="FH82">
        <f>SUMPRODUCT(--('Данные 1st'!$S$2:$S$317=$A82),--ISNUMBER('Данные 1st'!$KD$2:$KD$317))</f>
        <v>1</v>
      </c>
      <c r="FI82">
        <f>SUMPRODUCT(--('Данные 1st'!$S$2:$S$317=$A82),--ISNUMBER('Данные 1st'!$KE$2:$KE$317))</f>
        <v>0</v>
      </c>
      <c r="FJ82">
        <f>SUMPRODUCT(--('Данные 1st'!$S$2:$S$317=$A82),--ISNUMBER('Данные 1st'!$KF$2:$KF$317))</f>
        <v>1</v>
      </c>
      <c r="FK82">
        <f>SUMPRODUCT(--('Данные 1st'!$S$2:$S$317=$A82),--ISNUMBER('Данные 1st'!$KG$2:$KG$317))</f>
        <v>1</v>
      </c>
      <c r="FL82">
        <f>SUMPRODUCT(--('Данные 1st'!$S$2:$S$317=$A82),--ISNUMBER('Данные 1st'!$KH$2:$KH$317))</f>
        <v>1</v>
      </c>
      <c r="FM82">
        <f>SUMPRODUCT(--('Данные 1st'!$S$2:$S$317=$A82),--ISNUMBER('Данные 1st'!$KI$2:$KI$317))</f>
        <v>1</v>
      </c>
      <c r="FN82">
        <f>SUMPRODUCT(--('Данные 1st'!$S$2:$S$317=$A82),--ISNUMBER('Данные 1st'!$KJ$2:$KJ$317))</f>
        <v>1</v>
      </c>
      <c r="FO82">
        <f>SUMPRODUCT(--('Данные 1st'!$S$2:$S$317=$A82),--ISNUMBER('Данные 1st'!$KK$2:$KK$317))</f>
        <v>1</v>
      </c>
      <c r="FP82">
        <f>SUMPRODUCT(--('Данные 1st'!$S$2:$S$317=$A82),--ISNUMBER('Данные 1st'!$KL$2:$KL$317))</f>
        <v>1</v>
      </c>
      <c r="FQ82">
        <f>SUMPRODUCT(--('Данные 1st'!$S$2:$S$317=$A82),--ISNUMBER('Данные 1st'!$KM$2:$KM$317))</f>
        <v>1</v>
      </c>
      <c r="FR82">
        <f>SUMPRODUCT(--('Данные 1st'!$S$2:$S$317=$A82),--ISNUMBER('Данные 1st'!$KN$2:$KN$317))</f>
        <v>1</v>
      </c>
      <c r="FS82">
        <f>SUMPRODUCT(--('Данные 1st'!$S$2:$S$317=$A82),--ISNUMBER('Данные 1st'!$KR$2:$KR$317))</f>
        <v>1</v>
      </c>
      <c r="FT82">
        <f>SUMPRODUCT(--('Данные 1st'!$S$2:$S$317=$A82),--ISNUMBER('Данные 1st'!$KS$2:$KS$317))</f>
        <v>1</v>
      </c>
      <c r="FU82">
        <f>SUMPRODUCT(--('Данные 1st'!$S$2:$S$317=$A82),--ISNUMBER('Данные 1st'!$KT$2:$KT$317))</f>
        <v>1</v>
      </c>
      <c r="FV82">
        <f>SUMPRODUCT(--('Данные 1st'!$S$2:$S$317=$A82),--ISNUMBER('Данные 1st'!$KV$2:$KV$317))</f>
        <v>0</v>
      </c>
      <c r="FW82">
        <f>SUMPRODUCT(--('Данные 1st'!$S$2:$S$317=$A82),--ISNUMBER('Данные 1st'!$KW$2:$KW$317))</f>
        <v>0</v>
      </c>
      <c r="FX82">
        <f>SUMPRODUCT(--('Данные 1st'!$S$2:$S$317=$A82),--ISNUMBER('Данные 1st'!$KX$2:$KX$317))</f>
        <v>0</v>
      </c>
      <c r="FY82">
        <f>SUMPRODUCT(--('Данные 1st'!$S$2:$S$317=$A82),--ISNUMBER('Данные 1st'!$KY$2:$KY$317))</f>
        <v>0</v>
      </c>
      <c r="FZ82">
        <f>SUMPRODUCT(--('Данные 1st'!$S$2:$S$317=$A82),--ISNUMBER('Данные 1st'!$KZ$2:$KZ$317))</f>
        <v>0</v>
      </c>
      <c r="GA82">
        <f>SUMPRODUCT(--('Данные 1st'!$S$2:$S$317=$A82),--ISNUMBER('Данные 1st'!$LA$2:$LA$317))</f>
        <v>0</v>
      </c>
      <c r="GB82">
        <f>SUMPRODUCT(--('Данные 1st'!$S$2:$S$317=$A82),--ISNUMBER('Данные 1st'!$LB$2:$LB$317))</f>
        <v>0</v>
      </c>
      <c r="GC82">
        <f>SUMPRODUCT(--('Данные 1st'!$S$2:$S$317=$A82),--ISNUMBER('Данные 1st'!$LC$2:$LC$317))</f>
        <v>0</v>
      </c>
      <c r="GD82">
        <f>SUMPRODUCT(--('Данные 1st'!$S$2:$S$317=$A82),--ISNUMBER('Данные 1st'!$LD$2:$LD$317))</f>
        <v>0</v>
      </c>
      <c r="GE82">
        <f>SUMPRODUCT(--('Данные 1st'!$S$2:$S$317=$A82),--ISNUMBER('Данные 1st'!$LE$2:$LE$317))</f>
        <v>0</v>
      </c>
      <c r="GF82">
        <f>SUMPRODUCT(--('Данные 1st'!$S$2:$S$317=$A82),--ISNUMBER('Данные 1st'!$LF$2:$LF$317))</f>
        <v>0</v>
      </c>
      <c r="GG82">
        <f>SUMPRODUCT(--('Данные 1st'!$S$2:$S$317=$A82),--ISNUMBER('Данные 1st'!$LG$2:$LG$317))</f>
        <v>0</v>
      </c>
      <c r="GH82">
        <f>SUMPRODUCT(--('Данные 1st'!$S$2:$S$317=$A82),--ISNUMBER('Данные 1st'!$LH$2:$LH$317))</f>
        <v>0</v>
      </c>
      <c r="GI82">
        <f>SUMPRODUCT(--('Данные 1st'!$S$2:$S$317=$A82),--ISNUMBER('Данные 1st'!$LI$2:$LI$317))</f>
        <v>0</v>
      </c>
      <c r="GJ82">
        <f>SUMPRODUCT(--('Данные 1st'!$S$2:$S$317=$A82),--ISNUMBER('Данные 1st'!$LJ$2:$LJ$317))</f>
        <v>0</v>
      </c>
      <c r="GK82">
        <f>SUMPRODUCT(--('Данные 1st'!$S$2:$S$317=$A82),--ISNUMBER('Данные 1st'!$LK$2:$LK$317))</f>
        <v>1</v>
      </c>
      <c r="GL82">
        <f>SUMPRODUCT(--('Данные 1st'!$S$2:$S$317=$A82),--ISNUMBER('Данные 1st'!$LV$2:$LV$317))</f>
        <v>0</v>
      </c>
      <c r="GM82">
        <f>SUMPRODUCT(--('Данные 1st'!$S$2:$S$317=$A82),--ISNUMBER('Данные 1st'!$LW$2:$LW$317))</f>
        <v>0</v>
      </c>
      <c r="GN82">
        <f>SUMPRODUCT(--('Данные 1st'!$S$2:$S$317=$A82),--ISNUMBER('Данные 1st'!$LX$2:$LX$317))</f>
        <v>0</v>
      </c>
      <c r="GO82">
        <f>SUMPRODUCT(--('Данные 1st'!$S$2:$S$317=$A82),--ISNUMBER('Данные 1st'!$LY$2:$LY$317))</f>
        <v>0</v>
      </c>
      <c r="GP82">
        <f>SUMPRODUCT(--('Данные 1st'!$S$2:$S$317=$A82),--ISNUMBER('Данные 1st'!$LZ$2:$LZ$317))</f>
        <v>0</v>
      </c>
      <c r="GQ82">
        <f>SUMPRODUCT(--('Данные 1st'!$S$2:$S$317=$A82),--ISNUMBER('Данные 1st'!$PG$2:$PG$317))</f>
        <v>1</v>
      </c>
      <c r="GR82">
        <f>SUMPRODUCT(--('Данные 1st'!$S$2:$S$317=$A82),--ISNUMBER('Данные 1st'!$PX$2:$PX$317))</f>
        <v>1</v>
      </c>
      <c r="GS82">
        <f>SUMPRODUCT(--('Данные 1st'!$S$2:$S$317=$A82),--ISNUMBER('Данные 1st'!$PY$2:$PY$317))</f>
        <v>1</v>
      </c>
      <c r="GT82">
        <f>SUMPRODUCT(--('Данные 1st'!$S$2:$S$317=$A82),--ISNUMBER('Данные 1st'!$QA$2:$QA$317))</f>
        <v>1</v>
      </c>
      <c r="GU82">
        <f>SUMPRODUCT(--('Данные 1st'!$S$2:$S$317=$A82),--ISNUMBER('Данные 1st'!$QB$2:$QB$317))</f>
        <v>1</v>
      </c>
      <c r="GV82">
        <f>SUMPRODUCT(--('Данные 1st'!$S$2:$S$317=$A82),--ISNUMBER('Данные 1st'!$QC$2:$QC$317))</f>
        <v>1</v>
      </c>
      <c r="GW82">
        <f>SUMPRODUCT(--('Данные 1st'!$S$2:$S$317=$A82),--ISNUMBER('Данные 1st'!$QD$2:$QD$317))</f>
        <v>1</v>
      </c>
      <c r="GX82">
        <f>SUMPRODUCT(--('Данные 1st'!$S$2:$S$317=$A82),--ISNUMBER('Данные 1st'!$QF$2:$QF$317))</f>
        <v>1</v>
      </c>
      <c r="GY82">
        <f>SUMPRODUCT(--('Данные 1st'!$S$2:$S$317=$A82),--ISNUMBER('Данные 1st'!$QG$2:$QG$317))</f>
        <v>1</v>
      </c>
      <c r="GZ82">
        <f>SUMPRODUCT(--('Данные 1st'!$S$2:$S$317=$A82),--ISNUMBER('Данные 1st'!$QH$2:$QH$317))</f>
        <v>1</v>
      </c>
      <c r="HA82">
        <f>SUMPRODUCT(--('Данные 1st'!$S$2:$S$317=$A82),--ISNUMBER('Данные 1st'!$QI$2:$QI$317))</f>
        <v>1</v>
      </c>
      <c r="HB82">
        <f>SUMPRODUCT(--('Данные 1st'!$S$2:$S$317=$A82),--ISNUMBER('Данные 1st'!$QK$2:$QK$317))</f>
        <v>1</v>
      </c>
      <c r="HC82">
        <f>SUMPRODUCT(--('Данные 1st'!$S$2:$S$317=$A82),--ISNUMBER('Данные 1st'!$QL$2:$QL$317))</f>
        <v>1</v>
      </c>
      <c r="HD82">
        <f>SUMPRODUCT(--('Данные 1st'!$S$2:$S$317=$A82),--ISNUMBER('Данные 1st'!$QM$2:$QM$317))</f>
        <v>1</v>
      </c>
      <c r="HE82">
        <f>SUMPRODUCT(--('Данные 1st'!$S$2:$S$317=$A82),--ISNUMBER('Данные 1st'!$QN$2:$QN$317))</f>
        <v>1</v>
      </c>
      <c r="HF82">
        <f>SUMPRODUCT(--('Данные 1st'!$S$2:$S$317=$A82),--ISNUMBER('Данные 1st'!$QP$2:$QP$317))</f>
        <v>1</v>
      </c>
      <c r="HG82">
        <f>SUMPRODUCT(--('Данные 1st'!$S$2:$S$317=$A82),--ISNUMBER('Данные 1st'!$QQ$2:$QQ$317))</f>
        <v>1</v>
      </c>
      <c r="HH82">
        <f>SUMPRODUCT(--('Данные 1st'!$S$2:$S$317=$A82),--ISNUMBER('Данные 1st'!$QR$2:$QR$317))</f>
        <v>1</v>
      </c>
      <c r="HI82">
        <f>SUMPRODUCT(--('Данные 1st'!$S$2:$S$317=$A82),--ISNUMBER('Данные 1st'!$QS$2:$QS$317))</f>
        <v>1</v>
      </c>
      <c r="HJ82">
        <f>SUMPRODUCT(--('Данные 1st'!$S$2:$S$317=$A82),--ISNUMBER('Данные 1st'!$QU$2:$QU$317))</f>
        <v>1</v>
      </c>
      <c r="HK82">
        <f>SUMPRODUCT(--('Данные 1st'!$S$2:$S$317=$A82),--ISNUMBER('Данные 1st'!$QV$2:$QV$317))</f>
        <v>1</v>
      </c>
      <c r="HL82">
        <f>SUMPRODUCT(--('Данные 1st'!$S$2:$S$317=$A82),--ISNUMBER('Данные 1st'!$QW$2:$QW$317))</f>
        <v>1</v>
      </c>
      <c r="HM82">
        <f>SUMPRODUCT(--('Данные 1st'!$S$2:$S$317=$A82),--ISNUMBER('Данные 1st'!$QX$2:$QX$317))</f>
        <v>0</v>
      </c>
      <c r="HN82">
        <f>SUMPRODUCT(--('Данные 1st'!$S$2:$S$317=$A82),--ISNUMBER('Данные 1st'!$QZ$2:$QZ$317))</f>
        <v>1</v>
      </c>
      <c r="HO82">
        <f>SUMPRODUCT(--('Данные 1st'!$S$2:$S$317=$A82),--ISNUMBER('Данные 1st'!$RA$2:$RA$317))</f>
        <v>1</v>
      </c>
      <c r="HP82">
        <f>SUMPRODUCT(--('Данные 1st'!$S$2:$S$317=$A82),--ISNUMBER('Данные 1st'!$RB$2:$RB$317))</f>
        <v>1</v>
      </c>
      <c r="HQ82">
        <f>SUMPRODUCT(--('Данные 1st'!$S$2:$S$317=$A82),--ISNUMBER('Данные 1st'!$RD$2:$RD$317))</f>
        <v>0</v>
      </c>
      <c r="HR82">
        <f>SUMPRODUCT(--('Данные 1st'!$S$2:$S$317=$A82),--ISNUMBER('Данные 1st'!$RE$2:$RE$317))</f>
        <v>1</v>
      </c>
      <c r="HS82">
        <f>SUMPRODUCT(--('Данные 1st'!$S$2:$S$317=$A82),--ISNUMBER('Данные 1st'!$RF$2:$RF$317))</f>
        <v>1</v>
      </c>
      <c r="HT82">
        <f>SUMPRODUCT(--('Данные 1st'!$S$2:$S$317=$A82),--ISNUMBER('Данные 1st'!$RG$2:$RG$317))</f>
        <v>0</v>
      </c>
      <c r="HU82">
        <f>SUMPRODUCT(--('Данные 1st'!$S$2:$S$317=$A82),--ISNUMBER('Данные 1st'!$RH$2:$RH$317))</f>
        <v>1</v>
      </c>
      <c r="HV82">
        <f>SUMPRODUCT(--('Данные 1st'!$S$2:$S$317=$A82),--ISNUMBER('Данные 1st'!$RI$2:$RI$317))</f>
        <v>0</v>
      </c>
      <c r="HW82">
        <f>SUMPRODUCT(--('Данные 1st'!$S$2:$S$317=$A82),--ISNUMBER('Данные 1st'!$RJ$2:$RJ$317))</f>
        <v>1</v>
      </c>
      <c r="HX82">
        <f>SUMPRODUCT(--('Данные 1st'!$S$2:$S$317=$A82),--ISNUMBER('Данные 1st'!$RK$2:$RK$317))</f>
        <v>1</v>
      </c>
      <c r="HY82">
        <f>SUMPRODUCT(--('Данные 1st'!$S$2:$S$317=$A82),--ISNUMBER('Данные 1st'!$RL$2:$RL$317))</f>
        <v>1</v>
      </c>
      <c r="HZ82">
        <f>SUMPRODUCT(--('Данные 1st'!$S$2:$S$317=$A82),--ISNUMBER('Данные 1st'!$RM$2:$RM$317))</f>
        <v>1</v>
      </c>
      <c r="IA82">
        <f>SUMPRODUCT(--('Данные 1st'!$S$2:$S$317=$A82),--ISNUMBER('Данные 1st'!$RN$2:$RN$317))</f>
        <v>0</v>
      </c>
      <c r="IB82">
        <f>SUMPRODUCT(--('Данные 1st'!$S$2:$S$317=$A82),--ISNUMBER('Данные 1st'!$RO$2:$RO$317))</f>
        <v>1</v>
      </c>
      <c r="IC82">
        <f>SUMPRODUCT(--('Данные 1st'!$S$2:$S$317=$A82),--ISNUMBER('Данные 1st'!$RP$2:$RP$317))</f>
        <v>1</v>
      </c>
      <c r="ID82">
        <f>SUMPRODUCT(--('Данные 1st'!$S$2:$S$317=$A82),--ISNUMBER('Данные 1st'!$RQ$2:$RQ$317))</f>
        <v>1</v>
      </c>
      <c r="IE82">
        <f>SUMPRODUCT(--('Данные 1st'!$S$2:$S$317=$A82),--ISNUMBER('Данные 1st'!$RR$2:$RR$317))</f>
        <v>1</v>
      </c>
      <c r="IF82">
        <f>SUMPRODUCT(--('Данные 1st'!$S$2:$S$317=$A82),--ISNUMBER('Данные 1st'!$RS$2:$RS$317))</f>
        <v>0</v>
      </c>
      <c r="IG82">
        <f>SUMPRODUCT(--('Данные 1st'!$S$2:$S$317=$A82),--ISNUMBER('Данные 1st'!$RT$2:$RT$317))</f>
        <v>1</v>
      </c>
      <c r="IH82">
        <f>SUMPRODUCT(--('Данные 1st'!$S$2:$S$317=$A82),--ISNUMBER('Данные 1st'!$RU$2:$RU$317))</f>
        <v>1</v>
      </c>
      <c r="II82">
        <f>SUMPRODUCT(--('Данные 1st'!$S$2:$S$317=$A82),--ISNUMBER('Данные 1st'!$RX$2:$RX$317))</f>
        <v>1</v>
      </c>
      <c r="IJ82">
        <f>SUMPRODUCT(--('Данные 1st'!$S$2:$S$317=$A82),--ISNUMBER('Данные 1st'!$RY$2:$RY$317))</f>
        <v>1</v>
      </c>
      <c r="IK82">
        <f>SUMPRODUCT(--('Данные 1st'!$S$2:$S$317=$A82),--ISNUMBER('Данные 1st'!$SA$2:$SA$317))</f>
        <v>1</v>
      </c>
      <c r="IL82">
        <f>SUMPRODUCT(--('Данные 1st'!$S$2:$S$317=$A82),--ISNUMBER('Данные 1st'!$SD$2:$SD$317))</f>
        <v>1</v>
      </c>
      <c r="IM82">
        <f>SUMPRODUCT(--('Данные 1st'!$S$2:$S$317=$A82),--ISNUMBER('Данные 1st'!$SG$2:$SG$317))</f>
        <v>1</v>
      </c>
      <c r="IN82">
        <f>SUMPRODUCT(--('Данные 1st'!$S$2:$S$317=$A82),--ISNUMBER('Данные 1st'!$SH$2:$SH$317))</f>
        <v>1</v>
      </c>
      <c r="IO82">
        <f>SUMPRODUCT(--('Данные 1st'!$S$2:$S$317=$A82),--ISNUMBER('Данные 1st'!$SI$2:$SI$317))</f>
        <v>1</v>
      </c>
      <c r="IP82">
        <f>SUMPRODUCT(--('Данные 1st'!$S$2:$S$317=$A82),--ISNUMBER('Данные 1st'!$SJ$2:$SJ$317))</f>
        <v>1</v>
      </c>
      <c r="IQ82">
        <f>SUMPRODUCT(--('Данные 1st'!$S$2:$S$317=$A82),--ISNUMBER('Данные 1st'!$SK$2:$SK$317))</f>
        <v>1</v>
      </c>
      <c r="IR82">
        <f>SUMPRODUCT(--('Данные 1st'!$S$2:$S$317=$A82),--ISNUMBER('Данные 1st'!$SL$2:$SL$317))</f>
        <v>1</v>
      </c>
      <c r="IS82">
        <f>SUMPRODUCT(--('Данные 1st'!$S$2:$S$317=$A82),--ISNUMBER('Данные 1st'!$SM$2:$SM$317))</f>
        <v>1</v>
      </c>
      <c r="IT82">
        <f>SUMPRODUCT(--('Данные 1st'!$S$2:$S$317=$A82),--ISNUMBER('Данные 1st'!$SN$2:$SN$317))</f>
        <v>1</v>
      </c>
      <c r="IU82">
        <f>SUMPRODUCT(--('Данные 1st'!$S$2:$S$317=$A82),--ISNUMBER('Данные 1st'!$SO$2:$SO$317))</f>
        <v>1</v>
      </c>
      <c r="IV82">
        <f>SUMPRODUCT(--('Данные 1st'!$S$2:$S$317=$A82),--ISNUMBER('Данные 1st'!$SP$2:$SP$317))</f>
        <v>1</v>
      </c>
      <c r="IW82">
        <f>SUMPRODUCT(--('Данные 1st'!$S$2:$S$317=$A82),--ISNUMBER('Данные 1st'!$SQ$2:$SQ$317))</f>
        <v>1</v>
      </c>
      <c r="IX82">
        <f>SUMPRODUCT(--('Данные 1st'!$S$2:$S$317=$A82),--ISNUMBER('Данные 1st'!$SR$2:$SR$317))</f>
        <v>1</v>
      </c>
      <c r="IY82">
        <f>SUMPRODUCT(--('Данные 1st'!$S$2:$S$317=$A82),--ISNUMBER('Данные 1st'!$SS$2:$SS$317))</f>
        <v>1</v>
      </c>
      <c r="IZ82">
        <f>SUMPRODUCT(--('Данные 1st'!$S$2:$S$317=$A82),--ISNUMBER('Данные 1st'!$ST$2:$ST$317))</f>
        <v>1</v>
      </c>
      <c r="JA82">
        <f>SUMPRODUCT(--('Данные 1st'!$S$2:$S$317=$A82),--ISNUMBER('Данные 1st'!$SU$2:$SU$317))</f>
        <v>1</v>
      </c>
      <c r="JB82">
        <f>SUMPRODUCT(--('Данные 1st'!$S$2:$S$317=$A82),--ISNUMBER('Данные 1st'!$SV$2:$SV$317))</f>
        <v>1</v>
      </c>
      <c r="JC82">
        <f>SUMPRODUCT(--('Данные 1st'!$S$2:$S$317=$A82),--ISNUMBER('Данные 1st'!$SW$2:$SW$317))</f>
        <v>1</v>
      </c>
      <c r="JD82">
        <f>SUMPRODUCT(--('Данные 1st'!$S$2:$S$317=$A82),--ISNUMBER('Данные 1st'!$SX$2:$SX$317))</f>
        <v>1</v>
      </c>
      <c r="JE82">
        <f>SUMPRODUCT(--('Данные 1st'!$S$2:$S$317=$A82),--ISNUMBER('Данные 1st'!$SY$2:$SY$317))</f>
        <v>1</v>
      </c>
      <c r="JF82">
        <f>SUMPRODUCT(--('Данные 1st'!$S$2:$S$317=$A82),--ISNUMBER('Данные 1st'!$SZ$2:$SZ$317))</f>
        <v>1</v>
      </c>
      <c r="JG82">
        <f>SUMPRODUCT(--('Данные 1st'!$S$2:$S$317=$A82),--ISNUMBER('Данные 1st'!$TA$2:$TA$317))</f>
        <v>0</v>
      </c>
      <c r="JH82">
        <f>SUMPRODUCT(--('Данные 1st'!$S$2:$S$317=$A82),--ISNUMBER('Данные 1st'!$TB$2:$TB$317))</f>
        <v>1</v>
      </c>
      <c r="JI82">
        <f>SUMPRODUCT(--('Данные 1st'!$S$2:$S$317=$A82),--ISNUMBER('Данные 1st'!$TC$2:$TC$317))</f>
        <v>1</v>
      </c>
      <c r="JJ82">
        <f>SUMPRODUCT(--('Данные 1st'!$S$2:$S$317=$A82),--ISNUMBER('Данные 1st'!$TD$2:$TD$317))</f>
        <v>1</v>
      </c>
      <c r="JK82">
        <f>SUMPRODUCT(--('Данные 1st'!$S$2:$S$317=$A82),--ISNUMBER('Данные 1st'!$TN$2:$TN$317))</f>
        <v>1</v>
      </c>
      <c r="JQ82">
        <f>SUMPRODUCT(--('Данные 2st'!$Q$2:$Q$317=$A82),--ISNUMBER('Данные 2st'!$AC$2:$AC$317))</f>
        <v>1</v>
      </c>
      <c r="JR82">
        <f>SUMPRODUCT(--('Данные 2st'!$Q$2:$Q$317=$A82),--ISNUMBER('Данные 2st'!$AF$2:$AF$317))</f>
        <v>1</v>
      </c>
      <c r="JS82">
        <f>SUMPRODUCT(--('Данные 2st'!$Q$2:$Q$317=$A82),--ISNUMBER('Данные 2st'!$AW$2:$AW$317))</f>
        <v>1</v>
      </c>
      <c r="JT82">
        <f>SUMPRODUCT(--('Данные 2st'!$Q$2:$Q$317=$A82),--ISNUMBER('Данные 2st'!$AX$2:$AX$317))</f>
        <v>1</v>
      </c>
      <c r="JU82">
        <f>SUMPRODUCT(--('Данные 2st'!$Q$2:$Q$317=$A82),--ISNUMBER('Данные 2st'!$AY$2:$AY$317))</f>
        <v>1</v>
      </c>
      <c r="JV82">
        <f>SUMPRODUCT(--('Данные 2st'!$Q$2:$Q$317=$A82),--ISNUMBER('Данные 2st'!$AZ$2:$AZ$317))</f>
        <v>1</v>
      </c>
      <c r="JW82">
        <f>SUMPRODUCT(--('Данные 2st'!$Q$2:$Q$317=$A82),--ISNUMBER('Данные 2st'!$BA$2:$BA$317))</f>
        <v>0</v>
      </c>
      <c r="JX82">
        <f>SUMPRODUCT(--('Данные 2st'!$Q$2:$Q$317=$A82),--ISNUMBER('Данные 2st'!$BB$2:$BB$317))</f>
        <v>0</v>
      </c>
      <c r="JY82">
        <f>SUMPRODUCT(--('Данные 2st'!$Q$2:$Q$317=$A82),--ISNUMBER('Данные 2st'!$BC$2:$BC$317))</f>
        <v>0</v>
      </c>
      <c r="JZ82">
        <f>SUMPRODUCT(--('Данные 2st'!$Q$2:$Q$317=$A82),--ISNUMBER('Данные 2st'!$BH$2:$BH$317))</f>
        <v>1</v>
      </c>
      <c r="KA82">
        <f>SUMPRODUCT(--('Данные 2st'!$Q$2:$Q$317=$A82),--ISNUMBER('Данные 2st'!$BI$2:$BI$317))</f>
        <v>1</v>
      </c>
      <c r="KB82">
        <f>SUMPRODUCT(--('Данные 2st'!$Q$2:$Q$317=$A82),--ISNUMBER('Данные 2st'!$BJ$2:$BJ$317))</f>
        <v>1</v>
      </c>
      <c r="KC82">
        <f>SUMPRODUCT(--('Данные 2st'!$Q$2:$Q$317=$A82),--ISNUMBER('Данные 2st'!$BK$2:$BK$317))</f>
        <v>1</v>
      </c>
      <c r="KD82">
        <f>SUMPRODUCT(--('Данные 2st'!$Q$2:$Q$317=$A82),--ISNUMBER('Данные 2st'!$BL$2:$BL$317))</f>
        <v>1</v>
      </c>
      <c r="KE82">
        <f>SUMPRODUCT(--('Данные 2st'!$Q$2:$Q$317=$A82),--ISNUMBER('Данные 2st'!$BM$2:$BM$317))</f>
        <v>1</v>
      </c>
      <c r="KF82">
        <f>SUMPRODUCT(--('Данные 2st'!$Q$2:$Q$317=$A82),--ISNUMBER('Данные 2st'!$BN$2:$BN$317))</f>
        <v>1</v>
      </c>
      <c r="KG82">
        <f>SUMPRODUCT(--('Данные 2st'!$Q$2:$Q$317=$A82),--ISNUMBER('Данные 2st'!$BO$2:$BO$317))</f>
        <v>1</v>
      </c>
      <c r="KH82">
        <f>SUMPRODUCT(--('Данные 2st'!$Q$2:$Q$317=$A82),--ISNUMBER('Данные 2st'!$BP$2:$BP$317))</f>
        <v>1</v>
      </c>
      <c r="KI82">
        <f>SUMPRODUCT(--('Данные 2st'!$Q$2:$Q$317=$A82),--ISNUMBER('Данные 2st'!$BR$2:$BR$317))</f>
        <v>1</v>
      </c>
      <c r="KJ82">
        <f>SUMPRODUCT(--('Данные 2st'!$Q$2:$Q$317=$A82),--ISNUMBER('Данные 2st'!$BS$2:$BS$317))</f>
        <v>1</v>
      </c>
      <c r="KK82">
        <f>SUMPRODUCT(--('Данные 2st'!$Q$2:$Q$317=$A82),--ISNUMBER('Данные 2st'!$BT$2:$BT$317))</f>
        <v>1</v>
      </c>
      <c r="KL82">
        <f>SUMPRODUCT(--('Данные 2st'!$Q$2:$Q$317=$A82),--ISNUMBER('Данные 2st'!$CV$2:$CV$317))</f>
        <v>1</v>
      </c>
      <c r="KM82">
        <f>SUMPRODUCT(--('Данные 2st'!$Q$2:$Q$317=$A82),--ISNUMBER('Данные 2st'!$CW$2:$CW$317))</f>
        <v>1</v>
      </c>
      <c r="KN82">
        <f>SUMPRODUCT(--('Данные 2st'!$Q$2:$Q$317=$A82),--ISNUMBER('Данные 2st'!$CX$2:$CX$317))</f>
        <v>1</v>
      </c>
      <c r="KO82">
        <f>SUMPRODUCT(--('Данные 2st'!$Q$2:$Q$317=$A82),--ISNUMBER('Данные 2st'!$CY$2:$CY$317))</f>
        <v>1</v>
      </c>
      <c r="KP82">
        <f>SUMPRODUCT(--('Данные 2st'!$Q$2:$Q$317=$A82),--ISNUMBER('Данные 2st'!$CZ$2:$CZ$317))</f>
        <v>1</v>
      </c>
      <c r="KQ82">
        <f>SUMPRODUCT(--('Данные 2st'!$Q$2:$Q$317=$A82),--ISNUMBER('Данные 2st'!$DA$2:$DA$317))</f>
        <v>1</v>
      </c>
      <c r="KR82">
        <f>SUMPRODUCT(--('Данные 2st'!$Q$2:$Q$317=$A82),--ISNUMBER('Данные 2st'!$DB$2:$DB$317))</f>
        <v>1</v>
      </c>
      <c r="KS82">
        <f>SUMPRODUCT(--('Данные 2st'!$Q$2:$Q$317=$A82),--ISNUMBER('Данные 2st'!$DC$2:$DC$317))</f>
        <v>1</v>
      </c>
      <c r="KT82">
        <f>SUMPRODUCT(--('Данные 2st'!$Q$2:$Q$317=$A82),--ISNUMBER('Данные 2st'!$DD$2:$DD$317))</f>
        <v>1</v>
      </c>
      <c r="KU82">
        <f>SUMPRODUCT(--('Данные 2st'!$Q$2:$Q$317=$A82),--ISNUMBER('Данные 2st'!$DE$2:$DE$317))</f>
        <v>1</v>
      </c>
      <c r="KV82">
        <f>SUMPRODUCT(--('Данные 2st'!$Q$2:$Q$317=$A82),--ISNUMBER('Данные 2st'!$DF$2:$DF$317))</f>
        <v>1</v>
      </c>
      <c r="KW82">
        <f>SUMPRODUCT(--('Данные 2st'!$Q$2:$Q$317=$A82),--ISNUMBER('Данные 2st'!$DG$2:$DG$317))</f>
        <v>1</v>
      </c>
      <c r="KX82">
        <f>SUMPRODUCT(--('Данные 2st'!$Q$2:$Q$317=$A82),--ISNUMBER('Данные 2st'!$DH$2:$DH$317))</f>
        <v>1</v>
      </c>
      <c r="KY82">
        <f>SUMPRODUCT(--('Данные 2st'!$Q$2:$Q$317=$A82),--ISNUMBER('Данные 2st'!$DI$2:$DI$317))</f>
        <v>0</v>
      </c>
      <c r="KZ82">
        <f>SUMPRODUCT(--('Данные 2st'!$Q$2:$Q$317=$A82),--ISNUMBER('Данные 2st'!$DK$2:$DK$317))</f>
        <v>1</v>
      </c>
      <c r="LA82">
        <f>SUMPRODUCT(--('Данные 2st'!$Q$2:$Q$317=$A82),--ISNUMBER('Данные 2st'!$DM$2:$DM$317))</f>
        <v>1</v>
      </c>
      <c r="LB82">
        <f>SUMPRODUCT(--('Данные 2st'!$Q$2:$Q$317=$A82),--ISNUMBER('Данные 2st'!$DN$2:$DN$317))</f>
        <v>1</v>
      </c>
      <c r="LC82">
        <f>SUMPRODUCT(--('Данные 2st'!$Q$2:$Q$317=$A82),--ISNUMBER('Данные 2st'!$DO$2:$DO$317))</f>
        <v>1</v>
      </c>
      <c r="LD82">
        <f>SUMPRODUCT(--('Данные 2st'!$Q$2:$Q$317=$A82),--ISNUMBER('Данные 2st'!$DP$2:$DP$317))</f>
        <v>1</v>
      </c>
      <c r="LE82">
        <f>SUMPRODUCT(--('Данные 2st'!$Q$2:$Q$317=$A82),--ISNUMBER('Данные 2st'!$DQ$2:$DQ$317))</f>
        <v>1</v>
      </c>
      <c r="LF82">
        <f>SUMPRODUCT(--('Данные 2st'!$Q$2:$Q$317=$A82),--ISNUMBER('Данные 2st'!$DS$2:$DS$317))</f>
        <v>1</v>
      </c>
      <c r="LG82">
        <f>SUMPRODUCT(--('Данные 2st'!$Q$2:$Q$317=$A82),--ISNUMBER('Данные 2st'!$DU$2:$DU$317))</f>
        <v>1</v>
      </c>
      <c r="LH82">
        <f>SUMPRODUCT(--('Данные 2st'!$Q$2:$Q$317=$A82),--ISNUMBER('Данные 2st'!$DV$2:$DV$317))</f>
        <v>1</v>
      </c>
      <c r="LI82">
        <f>SUMPRODUCT(--('Данные 2st'!$Q$2:$Q$317=$A82),--ISNUMBER('Данные 2st'!$DW$2:$DW$317))</f>
        <v>1</v>
      </c>
      <c r="LJ82">
        <f>SUMPRODUCT(--('Данные 2st'!$Q$2:$Q$317=$A82),--ISNUMBER('Данные 2st'!$DX$2:$DX$317))</f>
        <v>1</v>
      </c>
      <c r="LK82">
        <f>SUMPRODUCT(--('Данные 2st'!$Q$2:$Q$317=$A82),--ISNUMBER('Данные 2st'!$DY$2:$DY$317))</f>
        <v>1</v>
      </c>
      <c r="LL82">
        <f>SUMPRODUCT(--('Данные 2st'!$Q$2:$Q$317=$A82),--ISNUMBER('Данные 2st'!$EA$2:$EA$317))</f>
        <v>1</v>
      </c>
      <c r="LM82">
        <f>SUMPRODUCT(--('Данные 2st'!$Q$2:$Q$317=$A82),--ISNUMBER('Данные 2st'!$EC$2:$EC$317))</f>
        <v>1</v>
      </c>
      <c r="LN82">
        <f>SUMPRODUCT(--('Данные 2st'!$Q$2:$Q$317=$A82),--ISNUMBER('Данные 2st'!$ED$2:$ED$317))</f>
        <v>1</v>
      </c>
      <c r="LO82">
        <f>SUMPRODUCT(--('Данные 2st'!$Q$2:$Q$317=$A82),--ISNUMBER('Данные 2st'!$EE$2:$EE$317))</f>
        <v>1</v>
      </c>
      <c r="LP82">
        <f>SUMPRODUCT(--('Данные 2st'!$Q$2:$Q$317=$A82),--ISNUMBER('Данные 2st'!$EG$2:$EG$317))</f>
        <v>1</v>
      </c>
      <c r="LQ82">
        <f>SUMPRODUCT(--('Данные 2st'!$Q$2:$Q$317=$A82),--ISNUMBER('Данные 2st'!$EI$2:$EI$317))</f>
        <v>1</v>
      </c>
      <c r="LR82">
        <f>SUMPRODUCT(--('Данные 2st'!$Q$2:$Q$317=$A82),--ISNUMBER('Данные 2st'!$EJ$2:$EJ$317))</f>
        <v>0</v>
      </c>
      <c r="LS82">
        <f>SUMPRODUCT(--('Данные 2st'!$Q$2:$Q$317=$A82),--ISNUMBER('Данные 2st'!$EK$2:$EK$317))</f>
        <v>0</v>
      </c>
      <c r="LT82">
        <f>SUMPRODUCT(--('Данные 2st'!$Q$2:$Q$317=$A82),--ISNUMBER('Данные 2st'!$EM$2:$EM$317))</f>
        <v>1</v>
      </c>
      <c r="LU82">
        <f>SUMPRODUCT(--('Данные 2st'!$Q$2:$Q$317=$A82),--ISNUMBER('Данные 2st'!$EN$2:$EN$317))</f>
        <v>1</v>
      </c>
      <c r="LV82">
        <f>SUMPRODUCT(--('Данные 2st'!$Q$2:$Q$317=$A82),--ISNUMBER('Данные 2st'!$EO$2:$EO$317))</f>
        <v>1</v>
      </c>
      <c r="LW82">
        <f>SUMPRODUCT(--('Данные 2st'!$Q$2:$Q$317=$A82),--ISNUMBER('Данные 2st'!$EP$2:$EP$317))</f>
        <v>1</v>
      </c>
      <c r="LX82">
        <f>SUMPRODUCT(--('Данные 2st'!$Q$2:$Q$317=$A82),--ISNUMBER('Данные 2st'!$EQ$2:$EQ$317))</f>
        <v>1</v>
      </c>
      <c r="LY82">
        <f>SUMPRODUCT(--('Данные 2st'!$Q$2:$Q$317=$A82),--ISNUMBER('Данные 2st'!$ER$2:$ER$317))</f>
        <v>1</v>
      </c>
      <c r="LZ82">
        <f>SUMPRODUCT(--('Данные 2st'!$Q$2:$Q$317=$A82),--ISNUMBER('Данные 2st'!$ES$2:$ES$317))</f>
        <v>1</v>
      </c>
      <c r="MA82">
        <f>SUMPRODUCT(--('Данные 2st'!$Q$2:$Q$317=$A82),--ISNUMBER('Данные 2st'!$ET$2:$ET$317))</f>
        <v>1</v>
      </c>
      <c r="MB82">
        <f>SUMPRODUCT(--('Данные 2st'!$Q$2:$Q$317=$A82),--ISNUMBER('Данные 2st'!$EU$2:$EU$317))</f>
        <v>1</v>
      </c>
      <c r="MC82">
        <f>SUMPRODUCT(--('Данные 2st'!$Q$2:$Q$317=$A82),--ISNUMBER('Данные 2st'!$EV$2:$EV$317))</f>
        <v>1</v>
      </c>
      <c r="MD82">
        <f>SUMPRODUCT(--('Данные 2st'!$Q$2:$Q$317=$A82),--ISNUMBER('Данные 2st'!$EW$2:$EW$317))</f>
        <v>1</v>
      </c>
      <c r="ME82">
        <f>SUMPRODUCT(--('Данные 2st'!$Q$2:$Q$317=$A82),--ISNUMBER('Данные 2st'!$EY$2:$EY$317))</f>
        <v>1</v>
      </c>
      <c r="MF82">
        <f>SUMPRODUCT(--('Данные 2st'!$Q$2:$Q$317=$A82),--ISNUMBER('Данные 2st'!$FA$2:$FA$317))</f>
        <v>1</v>
      </c>
      <c r="MG82">
        <f>SUMPRODUCT(--('Данные 2st'!$Q$2:$Q$317=$A82),--ISNUMBER('Данные 2st'!$FB$2:$FB$317))</f>
        <v>1</v>
      </c>
      <c r="MH82">
        <f>SUMPRODUCT(--('Данные 2st'!$Q$2:$Q$317=$A82),--ISNUMBER('Данные 2st'!$FC$2:$FC$317))</f>
        <v>1</v>
      </c>
      <c r="MI82">
        <f>SUMPRODUCT(--('Данные 2st'!$Q$2:$Q$317=$A82),--ISNUMBER('Данные 2st'!$FD$2:$FD$317))</f>
        <v>1</v>
      </c>
      <c r="MJ82">
        <f>SUMPRODUCT(--('Данные 2st'!$Q$2:$Q$317=$A82),--ISNUMBER('Данные 2st'!$FE$2:$FE$317))</f>
        <v>1</v>
      </c>
      <c r="MK82">
        <f>SUMPRODUCT(--('Данные 2st'!$Q$2:$Q$317=$A82),--ISNUMBER('Данные 2st'!$FG$2:$FG$317))</f>
        <v>1</v>
      </c>
      <c r="ML82">
        <f>SUMPRODUCT(--('Данные 2st'!$Q$2:$Q$317=$A82),--ISNUMBER('Данные 2st'!$FI$2:$FI$317))</f>
        <v>1</v>
      </c>
      <c r="MM82">
        <f>SUMPRODUCT(--('Данные 2st'!$Q$2:$Q$317=$A82),--ISNUMBER('Данные 2st'!$FJ$2:$FJ$317))</f>
        <v>1</v>
      </c>
      <c r="MN82">
        <f>SUMPRODUCT(--('Данные 2st'!$Q$2:$Q$317=$A82),--ISNUMBER('Данные 2st'!$FK$2:$FK$317))</f>
        <v>1</v>
      </c>
      <c r="MO82">
        <f>SUMPRODUCT(--('Данные 2st'!$Q$2:$Q$317=$A82),--ISNUMBER('Данные 2st'!$FP$2:$FP$317))</f>
        <v>1</v>
      </c>
      <c r="MP82">
        <f>SUMPRODUCT(--('Данные 2st'!$Q$2:$Q$317=$A82),--ISNUMBER('Данные 2st'!$FQ$2:$FQ$317))</f>
        <v>1</v>
      </c>
      <c r="MQ82">
        <f>SUMPRODUCT(--('Данные 2st'!$Q$2:$Q$317=$A82),--ISNUMBER('Данные 2st'!$FS$2:$FS$317))</f>
        <v>1</v>
      </c>
      <c r="MR82">
        <f>SUMPRODUCT(--('Данные 2st'!$Q$2:$Q$317=$A82),--ISNUMBER('Данные 2st'!$FU$2:$FU$317))</f>
        <v>1</v>
      </c>
      <c r="MS82">
        <f>SUMPRODUCT(--('Данные 2st'!$Q$2:$Q$317=$A82),--ISNUMBER('Данные 2st'!$FV$2:$FV$317))</f>
        <v>1</v>
      </c>
      <c r="MT82">
        <f>SUMPRODUCT(--('Данные 2st'!$Q$2:$Q$317=$A82),--ISNUMBER('Данные 2st'!$FW$2:$FW$317))</f>
        <v>1</v>
      </c>
      <c r="MU82">
        <f>SUMPRODUCT(--('Данные 2st'!$Q$2:$Q$317=$A82),--ISNUMBER('Данные 2st'!$FY$2:$FY$317))</f>
        <v>1</v>
      </c>
      <c r="MV82">
        <f>SUMPRODUCT(--('Данные 2st'!$Q$2:$Q$317=$A82),--ISNUMBER('Данные 2st'!$GB$2:$GB$317))</f>
        <v>1</v>
      </c>
      <c r="MW82">
        <f>SUMPRODUCT(--('Данные 2st'!$Q$2:$Q$317=$A82),--ISNUMBER('Данные 2st'!$GC$2:$GC$317))</f>
        <v>1</v>
      </c>
      <c r="MX82">
        <f>SUMPRODUCT(--('Данные 2st'!$Q$2:$Q$317=$A82),--ISNUMBER('Данные 2st'!$GD$2:$GD$317))</f>
        <v>1</v>
      </c>
      <c r="MY82">
        <f>SUMPRODUCT(--('Данные 2st'!$Q$2:$Q$317=$A82),--ISNUMBER('Данные 2st'!$GN$2:$GN$317))</f>
        <v>0</v>
      </c>
      <c r="MZ82">
        <f>SUMPRODUCT(--('Данные 2st'!$Q$2:$Q$317=$A82),--ISNUMBER('Данные 2st'!$GQ$2:$GQ$317))</f>
        <v>1</v>
      </c>
      <c r="NA82">
        <f>SUMPRODUCT(--('Данные 2st'!$Q$2:$Q$317=$A82),--ISNUMBER('Данные 2st'!$GV$2:$GV$317))</f>
        <v>1</v>
      </c>
      <c r="NB82">
        <f>SUMPRODUCT(--('Данные 2st'!$Q$2:$Q$317=$A82),--ISNUMBER('Данные 2st'!$GW$2:$GW$317))</f>
        <v>1</v>
      </c>
      <c r="NC82">
        <f>SUMPRODUCT(--('Данные 2st'!$Q$2:$Q$317=$A82),--ISNUMBER('Данные 2st'!$GX$2:$GX$317))</f>
        <v>1</v>
      </c>
      <c r="ND82">
        <f>SUMPRODUCT(--('Данные 2st'!$Q$2:$Q$317=$A82),--ISNUMBER('Данные 2st'!$GY$2:$GY$317))</f>
        <v>1</v>
      </c>
      <c r="NE82">
        <f>SUMPRODUCT(--('Данные 2st'!$Q$2:$Q$317=$A82),--ISNUMBER('Данные 2st'!$GZ$2:$GZ$317))</f>
        <v>1</v>
      </c>
      <c r="NF82">
        <f>SUMPRODUCT(--('Данные 2st'!$Q$2:$Q$317=$A82),--ISNUMBER('Данные 2st'!$HA$2:$HA$317))</f>
        <v>1</v>
      </c>
      <c r="NG82">
        <f>SUMPRODUCT(--('Данные 2st'!$Q$2:$Q$317=$A82),--ISNUMBER('Данные 2st'!$HB$2:$HB$317))</f>
        <v>1</v>
      </c>
      <c r="NH82">
        <f>SUMPRODUCT(--('Данные 2st'!$Q$2:$Q$317=$A82),--ISNUMBER('Данные 2st'!$HC$2:$HC$317))</f>
        <v>1</v>
      </c>
      <c r="NI82">
        <f>SUMPRODUCT(--('Данные 2st'!$Q$2:$Q$317=$A82),--ISNUMBER('Данные 2st'!$HD$2:$HD$317))</f>
        <v>1</v>
      </c>
      <c r="NJ82">
        <f>SUMPRODUCT(--('Данные 2st'!$Q$2:$Q$317=$A82),--ISNUMBER('Данные 2st'!$HM$2:$HM$317))</f>
        <v>1</v>
      </c>
      <c r="NK82">
        <f>SUMPRODUCT(--('Данные 2st'!$Q$2:$Q$317=$A82),--ISNUMBER('Данные 2st'!$HR$2:$HR$317))</f>
        <v>1</v>
      </c>
      <c r="NL82">
        <f>SUMPRODUCT(--('Данные 2st'!$Q$2:$Q$317=$A82),--ISNUMBER('Данные 2st'!$HS$2:$HS$317))</f>
        <v>1</v>
      </c>
      <c r="NM82">
        <f>SUMPRODUCT(--('Данные 2st'!$Q$2:$Q$317=$A82),--ISNUMBER('Данные 2st'!$HT$2:$HT$317))</f>
        <v>1</v>
      </c>
      <c r="NN82">
        <f>SUMPRODUCT(--('Данные 2st'!$Q$2:$Q$317=$A82),--ISNUMBER('Данные 2st'!$HY$2:$HY$317))</f>
        <v>1</v>
      </c>
      <c r="NO82">
        <f>SUMPRODUCT(--('Данные 2st'!$Q$2:$Q$317=$A82),--ISNUMBER('Данные 2st'!$HZ$2:$HZ$317))</f>
        <v>1</v>
      </c>
      <c r="NP82">
        <f>SUMPRODUCT(--('Данные 2st'!$Q$2:$Q$317=$A82),--ISNUMBER('Данные 2st'!$IA$2:$IA$317))</f>
        <v>1</v>
      </c>
      <c r="NQ82">
        <f>SUMPRODUCT(--('Данные 2st'!$Q$2:$Q$317=$A82),--ISNUMBER('Данные 2st'!$IB$2:$IB$317))</f>
        <v>1</v>
      </c>
      <c r="NR82">
        <f>SUMPRODUCT(--('Данные 2st'!$Q$2:$Q$317=$A82),--ISNUMBER('Данные 2st'!$IC$2:$IC$317))</f>
        <v>0</v>
      </c>
      <c r="NS82">
        <f>SUMPRODUCT(--('Данные 2st'!$Q$2:$Q$317=$A82),--ISNUMBER('Данные 2st'!$ID$2:$ID$317))</f>
        <v>1</v>
      </c>
      <c r="NT82">
        <f>SUMPRODUCT(--('Данные 2st'!$Q$2:$Q$317=$A82),--ISNUMBER('Данные 2st'!$IE$2:$IE$317))</f>
        <v>1</v>
      </c>
      <c r="NU82">
        <f>SUMPRODUCT(--('Данные 2st'!$Q$2:$Q$317=$A82),--ISNUMBER('Данные 2st'!$IF$2:$IF$317))</f>
        <v>1</v>
      </c>
      <c r="NV82">
        <f>SUMPRODUCT(--('Данные 2st'!$Q$2:$Q$317=$A82),--ISNUMBER('Данные 2st'!$IG$2:$IG$317))</f>
        <v>1</v>
      </c>
      <c r="NW82">
        <f>SUMPRODUCT(--('Данные 2st'!$Q$2:$Q$317=$A82),--ISNUMBER('Данные 2st'!$IH$2:$IH$317))</f>
        <v>1</v>
      </c>
      <c r="NX82">
        <f>SUMPRODUCT(--('Данные 2st'!$Q$2:$Q$317=$A82),--ISNUMBER('Данные 2st'!$IJ$2:$IJ$317))</f>
        <v>1</v>
      </c>
      <c r="NY82">
        <f>SUMPRODUCT(--('Данные 2st'!$Q$2:$Q$317=$A82),--ISNUMBER('Данные 2st'!$IM$2:$IM$317))</f>
        <v>1</v>
      </c>
      <c r="NZ82">
        <f>SUMPRODUCT(--('Данные 2st'!$Q$2:$Q$317=$A82),--ISNUMBER('Данные 2st'!$IN$2:$IN$317))</f>
        <v>1</v>
      </c>
      <c r="OA82">
        <f>SUMPRODUCT(--('Данные 2st'!$Q$2:$Q$317=$A82),--ISNUMBER('Данные 2st'!$IO$2:$IO$317))</f>
        <v>1</v>
      </c>
      <c r="OB82">
        <f>SUMPRODUCT(--('Данные 2st'!$Q$2:$Q$317=$A82),--ISNUMBER('Данные 2st'!$IP$2:$IP$317))</f>
        <v>1</v>
      </c>
      <c r="OC82">
        <f>SUMPRODUCT(--('Данные 2st'!$Q$2:$Q$317=$A82),--ISNUMBER('Данные 2st'!$IQ$2:$IQ$317))</f>
        <v>1</v>
      </c>
      <c r="OD82">
        <f>SUMPRODUCT(--('Данные 2st'!$Q$2:$Q$317=$A82),--ISNUMBER('Данные 2st'!$IR$2:$IR$317))</f>
        <v>1</v>
      </c>
      <c r="OE82">
        <f>SUMPRODUCT(--('Данные 2st'!$Q$2:$Q$317=$A82),--ISNUMBER('Данные 2st'!$IT$2:$IT$317))</f>
        <v>1</v>
      </c>
      <c r="OF82">
        <f>SUMPRODUCT(--('Данные 2st'!$Q$2:$Q$317=$A82),--ISNUMBER('Данные 2st'!$IU$2:$IU$317))</f>
        <v>1</v>
      </c>
      <c r="OG82">
        <f>SUMPRODUCT(--('Данные 2st'!$Q$2:$Q$317=$A82),--ISNUMBER('Данные 2st'!$IV$2:$IV$317))</f>
        <v>1</v>
      </c>
      <c r="OH82">
        <f>SUMPRODUCT(--('Данные 2st'!$Q$2:$Q$317=$A82),--ISNUMBER('Данные 2st'!$IW$2:$IW$317))</f>
        <v>1</v>
      </c>
      <c r="OI82">
        <f>SUMPRODUCT(--('Данные 2st'!$Q$2:$Q$317=$A82),--ISNUMBER('Данные 2st'!$IX$2:$IX$317))</f>
        <v>1</v>
      </c>
      <c r="OJ82">
        <f>SUMPRODUCT(--('Данные 2st'!$Q$2:$Q$317=$A82),--ISNUMBER('Данные 2st'!$IY$2:$IY$317))</f>
        <v>1</v>
      </c>
      <c r="OK82">
        <f>SUMPRODUCT(--('Данные 2st'!$Q$2:$Q$317=$A82),--ISNUMBER('Данные 2st'!$IZ$2:$IZ$317))</f>
        <v>1</v>
      </c>
      <c r="OL82">
        <f>SUMPRODUCT(--('Данные 2st'!$Q$2:$Q$317=$A82),--ISNUMBER('Данные 2st'!$JA$2:$JA$317))</f>
        <v>1</v>
      </c>
      <c r="OM82">
        <f>SUMPRODUCT(--('Данные 2st'!$Q$2:$Q$317=$A82),--ISNUMBER('Данные 2st'!$JB$2:$JB$317))</f>
        <v>1</v>
      </c>
      <c r="ON82">
        <f>SUMPRODUCT(--('Данные 2st'!$Q$2:$Q$317=$A82),--ISNUMBER('Данные 2st'!$JC$2:$JC$317))</f>
        <v>1</v>
      </c>
      <c r="OO82">
        <f>SUMPRODUCT(--('Данные 2st'!$Q$2:$Q$317=$A82),--ISNUMBER('Данные 2st'!$JD$2:$JD$317))</f>
        <v>1</v>
      </c>
      <c r="OP82">
        <f>SUMPRODUCT(--('Данные 2st'!$Q$2:$Q$317=$A82),--ISNUMBER('Данные 2st'!$JE$2:$JE$317))</f>
        <v>1</v>
      </c>
      <c r="OQ82">
        <f>SUMPRODUCT(--('Данные 2st'!$Q$2:$Q$317=$A82),--ISNUMBER('Данные 2st'!$JF$2:$JF$317))</f>
        <v>1</v>
      </c>
      <c r="OR82">
        <f>SUMPRODUCT(--('Данные 2st'!$Q$2:$Q$317=$A82),--ISNUMBER('Данные 2st'!$JG$2:$JG$317))</f>
        <v>1</v>
      </c>
      <c r="OS82">
        <f>SUMPRODUCT(--('Данные 2st'!$Q$2:$Q$317=$A82),--ISNUMBER('Данные 2st'!$JH$2:$JH$317))</f>
        <v>1</v>
      </c>
      <c r="OT82">
        <f>SUMPRODUCT(--('Данные 2st'!$Q$2:$Q$317=$A82),--ISNUMBER('Данные 2st'!$JI$2:$JI$317))</f>
        <v>1</v>
      </c>
      <c r="OU82">
        <f>SUMPRODUCT(--('Данные 2st'!$Q$2:$Q$317=$A82),--ISNUMBER('Данные 2st'!$JJ$2:$JJ$317))</f>
        <v>1</v>
      </c>
      <c r="OV82">
        <f>SUMPRODUCT(--('Данные 2st'!$Q$2:$Q$317=$A82),--ISNUMBER('Данные 2st'!$JK$2:$JK$317))</f>
        <v>1</v>
      </c>
      <c r="OW82">
        <f>SUMPRODUCT(--('Данные 2st'!$Q$2:$Q$317=$A82),--ISNUMBER('Данные 2st'!$JL$2:$JL$317))</f>
        <v>1</v>
      </c>
      <c r="OX82">
        <f>SUMPRODUCT(--('Данные 2st'!$Q$2:$Q$317=$A82),--ISNUMBER('Данные 2st'!$JM$2:$JM$317))</f>
        <v>1</v>
      </c>
      <c r="OY82">
        <f>SUMPRODUCT(--('Данные 2st'!$Q$2:$Q$317=$A82),--ISNUMBER('Данные 2st'!$JP$2:$JP$317))</f>
        <v>1</v>
      </c>
      <c r="OZ82">
        <f>SUMPRODUCT(--('Данные 2st'!$Q$2:$Q$317=$A82),--ISNUMBER('Данные 2st'!$JQ$2:$JQ$317))</f>
        <v>1</v>
      </c>
      <c r="PA82">
        <f>SUMPRODUCT(--('Данные 2st'!$Q$2:$Q$317=$A82),--ISNUMBER('Данные 2st'!$JR$2:$JR$317))</f>
        <v>1</v>
      </c>
      <c r="PB82">
        <f>SUMPRODUCT(--('Данные 2st'!$Q$2:$Q$317=$A82),--ISNUMBER('Данные 2st'!$JS$2:$JS$317))</f>
        <v>1</v>
      </c>
      <c r="PC82">
        <f>SUMPRODUCT(--('Данные 2st'!$Q$2:$Q$317=$A82),--ISNUMBER('Данные 2st'!$JT$2:$JT$317))</f>
        <v>1</v>
      </c>
      <c r="PD82">
        <f>SUMPRODUCT(--('Данные 2st'!$Q$2:$Q$317=$A82),--ISNUMBER('Данные 2st'!$JU$2:$JU$317))</f>
        <v>1</v>
      </c>
      <c r="PE82">
        <f>SUMPRODUCT(--('Данные 2st'!$Q$2:$Q$317=$A82),--ISNUMBER('Данные 2st'!$JV$2:$JV$317))</f>
        <v>1</v>
      </c>
      <c r="PF82">
        <f>SUMPRODUCT(--('Данные 2st'!$Q$2:$Q$317=$A82),--ISNUMBER('Данные 2st'!$JW$2:$JW$317))</f>
        <v>1</v>
      </c>
      <c r="PG82">
        <f>SUMPRODUCT(--('Данные 2st'!$Q$2:$Q$317=$A82),--ISNUMBER('Данные 2st'!$KF$2:$KF$317))</f>
        <v>1</v>
      </c>
      <c r="PH82">
        <f>SUMPRODUCT(--('Данные 2st'!$Q$2:$Q$317=$A82),--ISNUMBER('Данные 2st'!$KG$2:$KG$317))</f>
        <v>1</v>
      </c>
      <c r="PI82">
        <f>SUMPRODUCT(--('Данные 2st'!$Q$2:$Q$317=$A82),--ISNUMBER('Данные 2st'!$KM$2:$KM$317))</f>
        <v>1</v>
      </c>
      <c r="PJ82">
        <f>SUMPRODUCT(--('Данные 2st'!$Q$2:$Q$317=$A82),--ISNUMBER('Данные 2st'!$KN$2:$KN$317))</f>
        <v>1</v>
      </c>
      <c r="PK82">
        <f>SUMPRODUCT(--('Данные 2st'!$Q$2:$Q$317=$A82),--ISNUMBER('Данные 2st'!$KO$2:$KO$317))</f>
        <v>1</v>
      </c>
      <c r="PL82">
        <f>SUMPRODUCT(--('Данные 2st'!$Q$2:$Q$317=$A82),--ISNUMBER('Данные 2st'!$KP$2:$KP$317))</f>
        <v>1</v>
      </c>
      <c r="PM82">
        <f>SUMPRODUCT(--('Данные 2st'!$Q$2:$Q$317=$A82),--ISNUMBER('Данные 2st'!$KQ$2:$KQ$317))</f>
        <v>1</v>
      </c>
      <c r="PN82">
        <f>SUMPRODUCT(--('Данные 2st'!$Q$2:$Q$317=$A82),--ISNUMBER('Данные 2st'!$KR$2:$KR$317))</f>
        <v>1</v>
      </c>
      <c r="PO82">
        <f>SUMPRODUCT(--('Данные 2st'!$Q$2:$Q$317=$A82),--ISNUMBER('Данные 2st'!$KS$2:$KS$317))</f>
        <v>1</v>
      </c>
      <c r="PP82">
        <f>SUMPRODUCT(--('Данные 2st'!$Q$2:$Q$317=$A82),--ISNUMBER('Данные 2st'!$KT$2:$KT$317))</f>
        <v>1</v>
      </c>
      <c r="PQ82">
        <f>SUMPRODUCT(--('Данные 2st'!$Q$2:$Q$317=$A82),--ISNUMBER('Данные 2st'!$KU$2:$KU$317))</f>
        <v>1</v>
      </c>
      <c r="PR82">
        <f>SUMPRODUCT(--('Данные 2st'!$Q$2:$Q$317=$A82),--ISNUMBER('Данные 2st'!$KV$2:$KV$317))</f>
        <v>1</v>
      </c>
      <c r="PS82">
        <f>SUMPRODUCT(--('Данные 2st'!$Q$2:$Q$317=$A82),--ISNUMBER('Данные 2st'!$KW$2:$KW$317))</f>
        <v>1</v>
      </c>
      <c r="PT82">
        <f>SUMPRODUCT(--('Данные 2st'!$Q$2:$Q$317=$A82),--ISNUMBER('Данные 2st'!$KX$2:$KX$317))</f>
        <v>1</v>
      </c>
      <c r="PU82">
        <f>SUMPRODUCT(--('Данные 2st'!$Q$2:$Q$317=$A82),--ISNUMBER('Данные 2st'!$KY$2:$KY$317))</f>
        <v>1</v>
      </c>
      <c r="PV82">
        <f>SUMPRODUCT(--('Данные 2st'!$Q$2:$Q$317=$A82),--ISNUMBER('Данные 2st'!$KZ$2:$KZ$317))</f>
        <v>1</v>
      </c>
      <c r="PW82">
        <f>SUMPRODUCT(--('Данные 2st'!$Q$2:$Q$317=$A82),--ISNUMBER('Данные 2st'!$LA$2:$LA$317))</f>
        <v>1</v>
      </c>
      <c r="PX82">
        <f>SUMPRODUCT(--('Данные 2st'!$Q$2:$Q$317=$A82),--ISNUMBER('Данные 2st'!$LB$2:$LB$317))</f>
        <v>1</v>
      </c>
      <c r="PY82">
        <f>SUMPRODUCT(--('Данные 2st'!$Q$2:$Q$317=$A82),--ISNUMBER('Данные 2st'!$LC$2:$LC$317))</f>
        <v>1</v>
      </c>
      <c r="PZ82">
        <f>SUMPRODUCT(--('Данные 2st'!$Q$2:$Q$317=$A82),--ISNUMBER('Данные 2st'!$LD$2:$LD$317))</f>
        <v>1</v>
      </c>
      <c r="QA82">
        <f>SUMPRODUCT(--('Данные 2st'!$Q$2:$Q$317=$A82),--ISNUMBER('Данные 2st'!$LE$2:$LE$317))</f>
        <v>1</v>
      </c>
      <c r="QB82">
        <f>SUMPRODUCT(--('Данные 2st'!$Q$2:$Q$317=$A82),--ISNUMBER('Данные 2st'!$LF$2:$LF$317))</f>
        <v>1</v>
      </c>
      <c r="QC82">
        <f>SUMPRODUCT(--('Данные 2st'!$Q$2:$Q$317=$A82),--ISNUMBER('Данные 2st'!$LG$2:$LG$317))</f>
        <v>1</v>
      </c>
      <c r="QD82">
        <f>SUMPRODUCT(--('Данные 2st'!$Q$2:$Q$317=$A82),--ISNUMBER('Данные 2st'!$LH$2:$LH$317))</f>
        <v>1</v>
      </c>
      <c r="QE82">
        <f>SUMPRODUCT(--('Данные 2st'!$Q$2:$Q$317=$A82),--ISNUMBER('Данные 2st'!$LJ$2:$LJ$317))</f>
        <v>1</v>
      </c>
      <c r="QF82">
        <f>SUMPRODUCT(--('Данные 2st'!$Q$2:$Q$317=$A82),--ISNUMBER('Данные 2st'!$LK$2:$LK$317))</f>
        <v>1</v>
      </c>
      <c r="QG82">
        <f>SUMPRODUCT(--('Данные 2st'!$Q$2:$Q$317=$A82),--ISNUMBER('Данные 2st'!$LL$2:$LL$317))</f>
        <v>1</v>
      </c>
      <c r="QH82">
        <f>SUMPRODUCT(--('Данные 2st'!$Q$2:$Q$317=$A82),--ISNUMBER('Данные 2st'!$LM$2:$LM$317))</f>
        <v>1</v>
      </c>
      <c r="QI82">
        <f>SUMPRODUCT(--('Данные 2st'!$Q$2:$Q$317=$A82),--ISNUMBER('Данные 2st'!$LN$2:$LN$317))</f>
        <v>1</v>
      </c>
      <c r="QJ82">
        <f>SUMPRODUCT(--('Данные 2st'!$Q$2:$Q$317=$A82),--ISNUMBER('Данные 2st'!$LO$2:$LO$317))</f>
        <v>1</v>
      </c>
      <c r="QK82">
        <f>SUMPRODUCT(--('Данные 2st'!$Q$2:$Q$317=$A82),--ISNUMBER('Данные 2st'!$LP$2:$LP$317))</f>
        <v>1</v>
      </c>
      <c r="QL82">
        <f>SUMPRODUCT(--('Данные 2st'!$Q$2:$Q$317=$A82),--ISNUMBER('Данные 2st'!$LQ$2:$LQ$317))</f>
        <v>1</v>
      </c>
      <c r="QM82">
        <f>SUMPRODUCT(--('Данные 2st'!$Q$2:$Q$317=$A82),--ISNUMBER('Данные 2st'!$LW$2:$LW$317))</f>
        <v>1</v>
      </c>
      <c r="QN82">
        <f>SUMPRODUCT(--('Данные 2st'!$Q$2:$Q$317=$A82),--ISNUMBER('Данные 2st'!$LX$2:$LX$317))</f>
        <v>1</v>
      </c>
      <c r="QO82">
        <f>SUMPRODUCT(--('Данные 2st'!$Q$2:$Q$317=$A82),--ISNUMBER('Данные 2st'!$LY$2:$LY$317))</f>
        <v>1</v>
      </c>
      <c r="QP82">
        <f>SUMPRODUCT(--('Данные 2st'!$Q$2:$Q$317=$A82),--ISNUMBER('Данные 2st'!$LZ$2:$LZ$317))</f>
        <v>1</v>
      </c>
      <c r="QQ82">
        <f>SUMPRODUCT(--('Данные 2st'!$Q$2:$Q$317=$A82),--ISNUMBER('Данные 2st'!$MB$2:$MB$317))</f>
        <v>1</v>
      </c>
      <c r="QR82">
        <f>SUMPRODUCT(--('Данные 2st'!$Q$2:$Q$317=$A82),--ISNUMBER('Данные 2st'!$MG$2:$MG$317))</f>
        <v>1</v>
      </c>
      <c r="QS82">
        <f>SUMPRODUCT(--('Данные 2st'!$Q$2:$Q$317=$A82),--ISNUMBER('Данные 2st'!$MH$2:$MH$317))</f>
        <v>1</v>
      </c>
      <c r="QT82">
        <f>SUMPRODUCT(--('Данные 2st'!$Q$2:$Q$317=$A82),--ISNUMBER('Данные 2st'!$MI$2:$MI$317))</f>
        <v>1</v>
      </c>
      <c r="QU82">
        <f>SUMPRODUCT(--('Данные 2st'!$Q$2:$Q$317=$A82),--ISNUMBER('Данные 2st'!$MJ$2:$MJ$317))</f>
        <v>1</v>
      </c>
      <c r="QV82">
        <f>SUMPRODUCT(--('Данные 2st'!$Q$2:$Q$317=$A82),--ISNUMBER('Данные 2st'!$MK$2:$MK$317))</f>
        <v>1</v>
      </c>
      <c r="QW82">
        <f>SUMPRODUCT(--('Данные 2st'!$Q$2:$Q$317=$A82),--ISNUMBER('Данные 2st'!$MM$2:$MM$317))</f>
        <v>1</v>
      </c>
      <c r="QX82">
        <f>SUMPRODUCT(--('Данные 2st'!$Q$2:$Q$317=$A82),--ISNUMBER('Данные 2st'!$MQ$2:$MQ$317))</f>
        <v>0</v>
      </c>
      <c r="QY82">
        <f>SUMPRODUCT(--('Данные 2st'!$Q$2:$Q$317=$A82),--ISNUMBER('Данные 2st'!$MR$2:$MR$317))</f>
        <v>0</v>
      </c>
      <c r="QZ82">
        <f>SUMPRODUCT(--('Данные 2st'!$Q$2:$Q$317=$A82),--ISNUMBER('Данные 2st'!$MS$2:$MS$317))</f>
        <v>0</v>
      </c>
      <c r="RA82">
        <f>SUMPRODUCT(--('Данные 2st'!$Q$2:$Q$317=$A82),--ISNUMBER('Данные 2st'!$MT$2:$MT$317))</f>
        <v>0</v>
      </c>
      <c r="RB82">
        <f>SUMPRODUCT(--('Данные 2st'!$Q$2:$Q$317=$A82),--ISNUMBER('Данные 2st'!$MU$2:$MU$317))</f>
        <v>0</v>
      </c>
      <c r="RC82">
        <f>SUMPRODUCT(--('Данные 2st'!$Q$2:$Q$317=$A82),--ISNUMBER('Данные 2st'!$MV$2:$MV$317))</f>
        <v>0</v>
      </c>
      <c r="RD82">
        <f>SUMPRODUCT(--('Данные 2st'!$Q$2:$Q$317=$A82),--ISNUMBER('Данные 2st'!$MW$2:$MW$317))</f>
        <v>0</v>
      </c>
      <c r="RE82">
        <f>SUMPRODUCT(--('Данные 2st'!$Q$2:$Q$317=$A82),--ISNUMBER('Данные 2st'!$MX$2:$MX$317))</f>
        <v>0</v>
      </c>
      <c r="RF82">
        <f>SUMPRODUCT(--('Данные 2st'!$Q$2:$Q$317=$A82),--ISNUMBER('Данные 2st'!$MY$2:$MY$317))</f>
        <v>0</v>
      </c>
      <c r="RG82">
        <f>SUMPRODUCT(--('Данные 2st'!$Q$2:$Q$317=$A82),--ISNUMBER('Данные 2st'!$MZ$2:$MZ$317))</f>
        <v>0</v>
      </c>
      <c r="RH82">
        <f>SUMPRODUCT(--('Данные 2st'!$Q$2:$Q$317=$A82),--ISNUMBER('Данные 2st'!$NA$2:$NA$317))</f>
        <v>0</v>
      </c>
      <c r="RI82">
        <f>SUMPRODUCT(--('Данные 2st'!$Q$2:$Q$317=$A82),--ISNUMBER('Данные 2st'!$NB$2:$NB$317))</f>
        <v>0</v>
      </c>
      <c r="RJ82">
        <f>SUMPRODUCT(--('Данные 2st'!$Q$2:$Q$317=$A82),--ISNUMBER('Данные 2st'!$NC$2:$NC$317))</f>
        <v>0</v>
      </c>
      <c r="RK82">
        <f>SUMPRODUCT(--('Данные 2st'!$Q$2:$Q$317=$A82),--ISNUMBER('Данные 2st'!$ND$2:$ND$317))</f>
        <v>0</v>
      </c>
      <c r="RL82">
        <f>SUMPRODUCT(--('Данные 2st'!$Q$2:$Q$317=$A82),--ISNUMBER('Данные 2st'!$NE$2:$NE$317))</f>
        <v>0</v>
      </c>
      <c r="RM82">
        <f>SUMPRODUCT(--('Данные 2st'!$Q$2:$Q$317=$A82),--ISNUMBER('Данные 2st'!$NF$2:$NF$317))</f>
        <v>0</v>
      </c>
      <c r="RN82">
        <f>SUMPRODUCT(--('Данные 2st'!$Q$2:$Q$317=$A82),--ISNUMBER('Данные 2st'!$NG$2:$NG$317))</f>
        <v>0</v>
      </c>
      <c r="RO82">
        <f>SUMPRODUCT(--('Данные 2st'!$Q$2:$Q$317=$A82),--ISNUMBER('Данные 2st'!$NH$2:$NH$317))</f>
        <v>0</v>
      </c>
      <c r="RP82">
        <f>SUMPRODUCT(--('Данные 2st'!$Q$2:$Q$317=$A82),--ISNUMBER('Данные 2st'!$NJ$2:$NJ$317))</f>
        <v>0</v>
      </c>
      <c r="RQ82">
        <f>SUMPRODUCT(--('Данные 2st'!$Q$2:$Q$317=$A82),--ISNUMBER('Данные 2st'!$NK$2:$NK$317))</f>
        <v>0</v>
      </c>
      <c r="RR82">
        <f>SUMPRODUCT(--('Данные 2st'!$Q$2:$Q$317=$A82),--ISNUMBER('Данные 2st'!$NM$2:$NM$317))</f>
        <v>0</v>
      </c>
      <c r="RS82">
        <f>SUMPRODUCT(--('Данные 2st'!$Q$2:$Q$317=$A82),--ISNUMBER('Данные 2st'!$NN$2:$NN$317))</f>
        <v>0</v>
      </c>
      <c r="RT82">
        <f>SUMPRODUCT(--('Данные 2st'!$Q$2:$Q$317=$A82),--ISNUMBER('Данные 2st'!$NO$2:$NO$317))</f>
        <v>0</v>
      </c>
      <c r="RU82">
        <f>SUMPRODUCT(--('Данные 2st'!$Q$2:$Q$317=$A82),--ISNUMBER('Данные 2st'!$NP$2:$NP$317))</f>
        <v>0</v>
      </c>
      <c r="RV82">
        <f>SUMPRODUCT(--('Данные 2st'!$Q$2:$Q$317=$A82),--ISNUMBER('Данные 2st'!$NQ$2:$NQ$317))</f>
        <v>0</v>
      </c>
      <c r="RW82">
        <f>SUMPRODUCT(--('Данные 2st'!$Q$2:$Q$317=$A82),--ISNUMBER('Данные 2st'!$NR$2:$NR$317))</f>
        <v>0</v>
      </c>
      <c r="RX82">
        <f>SUMPRODUCT(--('Данные 2st'!$Q$2:$Q$317=$A82),--ISNUMBER('Данные 2st'!$NS$2:$NS$317))</f>
        <v>0</v>
      </c>
      <c r="RY82">
        <f>SUMPRODUCT(--('Данные 2st'!$Q$2:$Q$317=$A82),--ISNUMBER('Данные 2st'!$NT$2:$NT$317))</f>
        <v>0</v>
      </c>
      <c r="RZ82">
        <f>SUMPRODUCT(--('Данные 2st'!$Q$2:$Q$317=$A82),--ISNUMBER('Данные 2st'!$OK$2:$OK$317))</f>
        <v>1</v>
      </c>
      <c r="SA82">
        <f>SUMPRODUCT(--('Данные 2st'!$Q$2:$Q$317=$A82),--ISNUMBER('Данные 2st'!$OL$2:$OL$317))</f>
        <v>1</v>
      </c>
      <c r="SB82">
        <f>SUMPRODUCT(--('Данные 2st'!$Q$2:$Q$317=$A82),--ISNUMBER('Данные 2st'!$ON$2:$ON$317))</f>
        <v>1</v>
      </c>
      <c r="SC82">
        <f>SUMPRODUCT(--('Данные 2st'!$Q$2:$Q$317=$A82),--ISNUMBER('Данные 2st'!$OO$2:$OO$317))</f>
        <v>1</v>
      </c>
      <c r="SD82">
        <f>SUMPRODUCT(--('Данные 2st'!$Q$2:$Q$317=$A82),--ISNUMBER('Данные 2st'!$OP$2:$OP$317))</f>
        <v>1</v>
      </c>
      <c r="SE82">
        <f>SUMPRODUCT(--('Данные 2st'!$Q$2:$Q$317=$A82),--ISNUMBER('Данные 2st'!$OQ$2:$OQ$317))</f>
        <v>1</v>
      </c>
      <c r="SF82">
        <f>SUMPRODUCT(--('Данные 2st'!$Q$2:$Q$317=$A82),--ISNUMBER('Данные 2st'!$OS$2:$OS$317))</f>
        <v>1</v>
      </c>
      <c r="SG82">
        <f>SUMPRODUCT(--('Данные 2st'!$Q$2:$Q$317=$A82),--ISNUMBER('Данные 2st'!$OT$2:$OT$317))</f>
        <v>1</v>
      </c>
      <c r="SH82">
        <f>SUMPRODUCT(--('Данные 2st'!$Q$2:$Q$317=$A82),--ISNUMBER('Данные 2st'!$OU$2:$OU$317))</f>
        <v>1</v>
      </c>
      <c r="SI82">
        <f>SUMPRODUCT(--('Данные 2st'!$Q$2:$Q$317=$A82),--ISNUMBER('Данные 2st'!$OV$2:$OV$317))</f>
        <v>1</v>
      </c>
      <c r="SJ82">
        <f>SUMPRODUCT(--('Данные 2st'!$Q$2:$Q$317=$A82),--ISNUMBER('Данные 2st'!$OX$2:$OX$317))</f>
        <v>1</v>
      </c>
      <c r="SK82">
        <f>SUMPRODUCT(--('Данные 2st'!$Q$2:$Q$317=$A82),--ISNUMBER('Данные 2st'!$OY$2:$OY$317))</f>
        <v>1</v>
      </c>
      <c r="SL82">
        <f>SUMPRODUCT(--('Данные 2st'!$Q$2:$Q$317=$A82),--ISNUMBER('Данные 2st'!$OZ$2:$OZ$317))</f>
        <v>1</v>
      </c>
      <c r="SM82">
        <f>SUMPRODUCT(--('Данные 2st'!$Q$2:$Q$317=$A82),--ISNUMBER('Данные 2st'!$PA$2:$PA$317))</f>
        <v>1</v>
      </c>
      <c r="SN82">
        <f>SUMPRODUCT(--('Данные 2st'!$Q$2:$Q$317=$A82),--ISNUMBER('Данные 2st'!$PC$2:$PC$317))</f>
        <v>1</v>
      </c>
      <c r="SO82">
        <f>SUMPRODUCT(--('Данные 2st'!$Q$2:$Q$317=$A82),--ISNUMBER('Данные 2st'!$PD$2:$PD$317))</f>
        <v>1</v>
      </c>
      <c r="SP82">
        <f>SUMPRODUCT(--('Данные 2st'!$Q$2:$Q$317=$A82),--ISNUMBER('Данные 2st'!$PF$2:$PF$317))</f>
        <v>1</v>
      </c>
      <c r="SQ82">
        <f>SUMPRODUCT(--('Данные 2st'!$Q$2:$Q$317=$A82),--ISNUMBER('Данные 2st'!$PG$2:$PG$317))</f>
        <v>1</v>
      </c>
      <c r="SR82">
        <f>SUMPRODUCT(--('Данные 2st'!$Q$2:$Q$317=$A82),--ISNUMBER('Данные 2st'!$PH$2:$PH$317))</f>
        <v>1</v>
      </c>
      <c r="SS82">
        <f>SUMPRODUCT(--('Данные 2st'!$Q$2:$Q$317=$A82),--ISNUMBER('Данные 2st'!$PI$2:$PI$317))</f>
        <v>1</v>
      </c>
      <c r="ST82">
        <f>SUMPRODUCT(--('Данные 2st'!$Q$2:$Q$317=$A82),--ISNUMBER('Данные 2st'!$PJ$2:$PJ$317))</f>
        <v>1</v>
      </c>
      <c r="SU82">
        <f>SUMPRODUCT(--('Данные 2st'!$Q$2:$Q$317=$A82),--ISNUMBER('Данные 2st'!$PK$2:$PK$317))</f>
        <v>1</v>
      </c>
      <c r="SV82">
        <f>SUMPRODUCT(--('Данные 2st'!$Q$2:$Q$317=$A82),--ISNUMBER('Данные 2st'!$PL$2:$PL$317))</f>
        <v>1</v>
      </c>
      <c r="SW82">
        <f>SUMPRODUCT(--('Данные 2st'!$Q$2:$Q$317=$A82),--ISNUMBER('Данные 2st'!$PM$2:$PM$317))</f>
        <v>1</v>
      </c>
      <c r="SX82">
        <f>SUMPRODUCT(--('Данные 2st'!$Q$2:$Q$317=$A82),--ISNUMBER('Данные 2st'!$PN$2:$PN$317))</f>
        <v>1</v>
      </c>
      <c r="SY82">
        <f>SUMPRODUCT(--('Данные 2st'!$Q$2:$Q$317=$A82),--ISNUMBER('Данные 2st'!$PO$2:$PO$317))</f>
        <v>1</v>
      </c>
      <c r="SZ82">
        <f>SUMPRODUCT(--('Данные 2st'!$Q$2:$Q$317=$A82),--ISNUMBER('Данные 2st'!$PP$2:$PP$317))</f>
        <v>1</v>
      </c>
      <c r="TA82">
        <f>SUMPRODUCT(--('Данные 2st'!$Q$2:$Q$317=$A82),--ISNUMBER('Данные 2st'!$PQ$2:$PQ$317))</f>
        <v>1</v>
      </c>
      <c r="TB82">
        <f>SUMPRODUCT(--('Данные 2st'!$Q$2:$Q$317=$A82),--ISNUMBER('Данные 2st'!$PR$2:$PR$317))</f>
        <v>1</v>
      </c>
      <c r="TC82">
        <f>SUMPRODUCT(--('Данные 2st'!$Q$2:$Q$317=$A82),--ISNUMBER('Данные 2st'!$PS$2:$PS$317))</f>
        <v>1</v>
      </c>
      <c r="TD82">
        <f>SUMPRODUCT(--('Данные 2st'!$Q$2:$Q$317=$A82),--ISNUMBER('Данные 2st'!$PT$2:$PT$317))</f>
        <v>1</v>
      </c>
      <c r="TE82">
        <f>SUMPRODUCT(--('Данные 2st'!$Q$2:$Q$317=$A82),--ISNUMBER('Данные 2st'!$PU$2:$PU$317))</f>
        <v>1</v>
      </c>
      <c r="TF82">
        <f>SUMPRODUCT(--('Данные 2st'!$Q$2:$Q$317=$A82),--ISNUMBER('Данные 2st'!$PX$2:$PX$317))</f>
        <v>1</v>
      </c>
      <c r="TG82">
        <f>SUMPRODUCT(--('Данные 2st'!$Q$2:$Q$317=$A82),--ISNUMBER('Данные 2st'!$PY$2:$PY$317))</f>
        <v>1</v>
      </c>
      <c r="TH82">
        <f>SUMPRODUCT(--('Данные 2st'!$Q$2:$Q$317=$A82),--ISNUMBER('Данные 2st'!$PZ$2:$PZ$317))</f>
        <v>1</v>
      </c>
      <c r="TI82">
        <f>SUMPRODUCT(--('Данные 2st'!$Q$2:$Q$317=$A82),--ISNUMBER('Данные 2st'!$QA$2:$QA$317))</f>
        <v>1</v>
      </c>
      <c r="TJ82">
        <f>SUMPRODUCT(--('Данные 2st'!$Q$2:$Q$317=$A82),--ISNUMBER('Данные 2st'!$QB$2:$QB$317))</f>
        <v>1</v>
      </c>
      <c r="TK82">
        <f>SUMPRODUCT(--('Данные 2st'!$Q$2:$Q$317=$A82),--ISNUMBER('Данные 2st'!$QC$2:$QC$317))</f>
        <v>1</v>
      </c>
      <c r="TL82">
        <f>SUMPRODUCT(--('Данные 2st'!$Q$2:$Q$317=$A82),--ISNUMBER('Данные 2st'!$QD$2:$QD$317))</f>
        <v>1</v>
      </c>
      <c r="TM82">
        <f>SUMPRODUCT(--('Данные 2st'!$Q$2:$Q$317=$A82),--ISNUMBER('Данные 2st'!$QE$2:$QE$317))</f>
        <v>1</v>
      </c>
      <c r="TN82">
        <f>SUMPRODUCT(--('Данные 2st'!$Q$2:$Q$317=$A82),--ISNUMBER('Данные 2st'!$QF$2:$QF$317))</f>
        <v>1</v>
      </c>
      <c r="TO82">
        <f>SUMPRODUCT(--('Данные 2st'!$Q$2:$Q$317=$A82),--ISNUMBER('Данные 2st'!$QG$2:$QG$317))</f>
        <v>1</v>
      </c>
      <c r="TP82">
        <f>SUMPRODUCT(--('Данные 2st'!$Q$2:$Q$317=$A82),--ISNUMBER('Данные 2st'!$QH$2:$QH$317))</f>
        <v>1</v>
      </c>
      <c r="TQ82">
        <f>SUMPRODUCT(--('Данные 2st'!$Q$2:$Q$317=$A82),--ISNUMBER('Данные 2st'!$QI$2:$QI$317))</f>
        <v>1</v>
      </c>
      <c r="TR82">
        <f>SUMPRODUCT(--('Данные 2st'!$Q$2:$Q$317=$A82),--ISNUMBER('Данные 2st'!$QJ$2:$QJ$317))</f>
        <v>1</v>
      </c>
      <c r="TS82">
        <f>SUMPRODUCT(--('Данные 2st'!$Q$2:$Q$317=$A82),--ISNUMBER('Данные 2st'!$QK$2:$QK$317))</f>
        <v>1</v>
      </c>
      <c r="TT82">
        <f>SUMPRODUCT(--('Данные 2st'!$Q$2:$Q$317=$A82),--ISNUMBER('Данные 2st'!$QL$2:$QL$317))</f>
        <v>1</v>
      </c>
      <c r="TU82">
        <f>SUMPRODUCT(--('Данные 2st'!$Q$2:$Q$317=$A82),--ISNUMBER('Данные 2st'!$QM$2:$QM$317))</f>
        <v>1</v>
      </c>
      <c r="TV82">
        <f>SUMPRODUCT(--('Данные 2st'!$Q$2:$Q$317=$A82),--ISNUMBER('Данные 2st'!$QN$2:$QN$317))</f>
        <v>1</v>
      </c>
      <c r="TW82">
        <f>SUMPRODUCT(--('Данные 2st'!$Q$2:$Q$317=$A82),--ISNUMBER('Данные 2st'!$QQ$2:$QQ$317))</f>
        <v>1</v>
      </c>
      <c r="TX82">
        <f>SUMPRODUCT(--('Данные 2st'!$Q$2:$Q$317=$A82),--ISNUMBER('Данные 2st'!$QS$2:$QS$317))</f>
        <v>1</v>
      </c>
      <c r="TY82">
        <f>SUMPRODUCT(--('Данные 2st'!$Q$2:$Q$317=$A82),--ISNUMBER('Данные 2st'!$QT$2:$QT$317))</f>
        <v>1</v>
      </c>
    </row>
    <row r="83" spans="1:545" ht="32" customHeight="1">
      <c r="A83" s="11" t="str">
        <f>'По размерам'!A83</f>
        <v>275/55R20</v>
      </c>
      <c r="G83">
        <f>SUMPRODUCT(--('Данные 1st'!$S$2:$S$317=$A83),--ISNUMBER('Данные 1st'!$AE$2:$AE$317))</f>
        <v>2</v>
      </c>
      <c r="H83">
        <f>SUMPRODUCT(--('Данные 1st'!$S$2:$S$317=$A83),--ISNUMBER('Данные 1st'!$AF$2:$AF$317))</f>
        <v>2</v>
      </c>
      <c r="I83">
        <f>SUMPRODUCT(--('Данные 1st'!$S$2:$S$317=$A83),--ISNUMBER('Данные 1st'!$AJ$2:$AJ$317))</f>
        <v>2</v>
      </c>
      <c r="J83">
        <f>SUMPRODUCT(--('Данные 1st'!$S$2:$S$317=$A83),--ISNUMBER('Данные 1st'!$AL$2:$AL$317))</f>
        <v>2</v>
      </c>
      <c r="K83">
        <f>SUMPRODUCT(--('Данные 1st'!$S$2:$S$317=$A83),--ISNUMBER('Данные 1st'!$AR$2:$AR$317))</f>
        <v>2</v>
      </c>
      <c r="L83">
        <f>SUMPRODUCT(--('Данные 1st'!$S$2:$S$317=$A83),--ISNUMBER('Данные 1st'!$AS$2:$AS$317))</f>
        <v>2</v>
      </c>
      <c r="M83">
        <f>SUMPRODUCT(--('Данные 1st'!$S$2:$S$317=$A83),--ISNUMBER('Данные 1st'!$AY$2:$AY$317))</f>
        <v>2</v>
      </c>
      <c r="N83">
        <f>SUMPRODUCT(--('Данные 1st'!$S$2:$S$317=$A83),--ISNUMBER('Данные 1st'!$AZ$2:$AZ$317))</f>
        <v>2</v>
      </c>
      <c r="O83">
        <f>SUMPRODUCT(--('Данные 1st'!$S$2:$S$317=$A83),--ISNUMBER('Данные 1st'!$BF$2:$BF$317))</f>
        <v>2</v>
      </c>
      <c r="P83">
        <f>SUMPRODUCT(--('Данные 1st'!$S$2:$S$317=$A83),--ISNUMBER('Данные 1st'!$BG$2:$BG$317))</f>
        <v>2</v>
      </c>
      <c r="Q83">
        <f>SUMPRODUCT(--('Данные 1st'!$S$2:$S$317=$A83),--ISNUMBER('Данные 1st'!$BM$2:$BM$317))</f>
        <v>0</v>
      </c>
      <c r="R83">
        <f>SUMPRODUCT(--('Данные 1st'!$S$2:$S$317=$A83),--ISNUMBER('Данные 1st'!$BN$2:$BN$317))</f>
        <v>2</v>
      </c>
      <c r="S83">
        <f>SUMPRODUCT(--('Данные 1st'!$S$2:$S$317=$A83),--ISNUMBER('Данные 1st'!$BT$2:$BT$317))</f>
        <v>2</v>
      </c>
      <c r="T83">
        <f>SUMPRODUCT(--('Данные 1st'!$S$2:$S$317=$A83),--ISNUMBER('Данные 1st'!$BU$2:$BU$317))</f>
        <v>2</v>
      </c>
      <c r="U83">
        <f>SUMPRODUCT(--('Данные 1st'!$S$2:$S$317=$A83),--ISNUMBER('Данные 1st'!$BW$2:$BW$317))</f>
        <v>2</v>
      </c>
      <c r="V83">
        <f>SUMPRODUCT(--('Данные 1st'!$S$2:$S$317=$A83),--ISNUMBER('Данные 1st'!$BX$2:$BX$317))</f>
        <v>2</v>
      </c>
      <c r="W83">
        <f>SUMPRODUCT(--('Данные 1st'!$S$2:$S$317=$A83),--ISNUMBER('Данные 1st'!$BZ$2:$BZ$317))</f>
        <v>2</v>
      </c>
      <c r="X83">
        <f>SUMPRODUCT(--('Данные 1st'!$S$2:$S$317=$A83),--ISNUMBER('Данные 1st'!$CA$2:$CA$317))</f>
        <v>2</v>
      </c>
      <c r="Y83">
        <f>SUMPRODUCT(--('Данные 1st'!$S$2:$S$317=$A83),--ISNUMBER('Данные 1st'!$CD$2:$CD$317))</f>
        <v>2</v>
      </c>
      <c r="Z83">
        <f>SUMPRODUCT(--('Данные 1st'!$S$2:$S$317=$A83),--ISNUMBER('Данные 1st'!$CF$2:$CF$317))</f>
        <v>2</v>
      </c>
      <c r="AA83">
        <f>SUMPRODUCT(--('Данные 1st'!$S$2:$S$317=$A83),--ISNUMBER('Данные 1st'!$CI$2:$CI$317))</f>
        <v>2</v>
      </c>
      <c r="AB83">
        <f>SUMPRODUCT(--('Данные 1st'!$S$2:$S$317=$A83),--ISNUMBER('Данные 1st'!$CJ$2:$CJ$317))</f>
        <v>2</v>
      </c>
      <c r="AC83">
        <f>SUMPRODUCT(--('Данные 1st'!$S$2:$S$317=$A83),--ISNUMBER('Данные 1st'!$CK$2:$CK$317))</f>
        <v>2</v>
      </c>
      <c r="AD83">
        <f>SUMPRODUCT(--('Данные 1st'!$S$2:$S$317=$A83),--ISNUMBER('Данные 1st'!$CL$2:$CL$317))</f>
        <v>2</v>
      </c>
      <c r="AE83">
        <f>SUMPRODUCT(--('Данные 1st'!$S$2:$S$317=$A83),--ISNUMBER('Данные 1st'!$CM$2:$CM$317))</f>
        <v>2</v>
      </c>
      <c r="AF83">
        <f>SUMPRODUCT(--('Данные 1st'!$S$2:$S$317=$A83),--ISNUMBER('Данные 1st'!$CT$2:$CT$317))</f>
        <v>2</v>
      </c>
      <c r="AG83">
        <f>SUMPRODUCT(--('Данные 1st'!$S$2:$S$317=$A83),--ISNUMBER('Данные 1st'!$CU$2:$CU$317))</f>
        <v>2</v>
      </c>
      <c r="AH83">
        <f>SUMPRODUCT(--('Данные 1st'!$S$2:$S$317=$A83),--ISNUMBER('Данные 1st'!$CV$2:$CV$317))</f>
        <v>2</v>
      </c>
      <c r="AI83">
        <f>SUMPRODUCT(--('Данные 1st'!$S$2:$S$317=$A83),--ISNUMBER('Данные 1st'!$CW$2:$CW$317))</f>
        <v>2</v>
      </c>
      <c r="AJ83">
        <f>SUMPRODUCT(--('Данные 1st'!$S$2:$S$317=$A83),--ISNUMBER('Данные 1st'!$CX$2:$CX$317))</f>
        <v>2</v>
      </c>
      <c r="AK83">
        <f>SUMPRODUCT(--('Данные 1st'!$S$2:$S$317=$A83),--ISNUMBER('Данные 1st'!$CZ$2:$CZ$317))</f>
        <v>2</v>
      </c>
      <c r="AL83">
        <f>SUMPRODUCT(--('Данные 1st'!$S$2:$S$317=$A83),--ISNUMBER('Данные 1st'!$DA$2:$DA$317))</f>
        <v>2</v>
      </c>
      <c r="AM83">
        <f>SUMPRODUCT(--('Данные 1st'!$S$2:$S$317=$A83),--ISNUMBER('Данные 1st'!$DB$2:$DB$317))</f>
        <v>2</v>
      </c>
      <c r="AN83">
        <f>SUMPRODUCT(--('Данные 1st'!$S$2:$S$317=$A83),--ISNUMBER('Данные 1st'!$DC$2:$DC$317))</f>
        <v>2</v>
      </c>
      <c r="AO83">
        <f>SUMPRODUCT(--('Данные 1st'!$S$2:$S$317=$A83),--ISNUMBER('Данные 1st'!$DD$2:$DD$317))</f>
        <v>2</v>
      </c>
      <c r="AP83">
        <f>SUMPRODUCT(--('Данные 1st'!$S$2:$S$317=$A83),--ISNUMBER('Данные 1st'!$DF$2:$DF$317))</f>
        <v>2</v>
      </c>
      <c r="AQ83">
        <f>SUMPRODUCT(--('Данные 1st'!$S$2:$S$317=$A83),--ISNUMBER('Данные 1st'!$DG$2:$DG$317))</f>
        <v>2</v>
      </c>
      <c r="AR83">
        <f>SUMPRODUCT(--('Данные 1st'!$S$2:$S$317=$A83),--ISNUMBER('Данные 1st'!$DH$2:$DH$317))</f>
        <v>2</v>
      </c>
      <c r="AS83">
        <f>SUMPRODUCT(--('Данные 1st'!$S$2:$S$317=$A83),--ISNUMBER('Данные 1st'!$DI$2:$DI$317))</f>
        <v>2</v>
      </c>
      <c r="AT83">
        <f>SUMPRODUCT(--('Данные 1st'!$S$2:$S$317=$A83),--ISNUMBER('Данные 1st'!$DJ$2:$DJ$317))</f>
        <v>2</v>
      </c>
      <c r="AU83">
        <f>SUMPRODUCT(--('Данные 1st'!$S$2:$S$317=$A83),--ISNUMBER('Данные 1st'!$DL$2:$DL$317))</f>
        <v>2</v>
      </c>
      <c r="AV83">
        <f>SUMPRODUCT(--('Данные 1st'!$S$2:$S$317=$A83),--ISNUMBER('Данные 1st'!$DM$2:$DM$317))</f>
        <v>2</v>
      </c>
      <c r="AW83">
        <f>SUMPRODUCT(--('Данные 1st'!$S$2:$S$317=$A83),--ISNUMBER('Данные 1st'!$DN$2:$DN$317))</f>
        <v>2</v>
      </c>
      <c r="AX83">
        <f>SUMPRODUCT(--('Данные 1st'!$S$2:$S$317=$A83),--ISNUMBER('Данные 1st'!$DO$2:$DO$317))</f>
        <v>2</v>
      </c>
      <c r="AY83">
        <f>SUMPRODUCT(--('Данные 1st'!$S$2:$S$317=$A83),--ISNUMBER('Данные 1st'!$DP$2:$DP$317))</f>
        <v>2</v>
      </c>
      <c r="AZ83">
        <f>SUMPRODUCT(--('Данные 1st'!$S$2:$S$317=$A83),--ISNUMBER('Данные 1st'!$DR$2:$DR$317))</f>
        <v>0</v>
      </c>
      <c r="BA83">
        <f>SUMPRODUCT(--('Данные 1st'!$S$2:$S$317=$A83),--ISNUMBER('Данные 1st'!$DS$2:$DS$317))</f>
        <v>0</v>
      </c>
      <c r="BB83">
        <f>SUMPRODUCT(--('Данные 1st'!$S$2:$S$317=$A83),--ISNUMBER('Данные 1st'!$DT$2:$DT$317))</f>
        <v>0</v>
      </c>
      <c r="BC83">
        <f>SUMPRODUCT(--('Данные 1st'!$S$2:$S$317=$A83),--ISNUMBER('Данные 1st'!$DU$2:$DU$317))</f>
        <v>0</v>
      </c>
      <c r="BD83">
        <f>SUMPRODUCT(--('Данные 1st'!$S$2:$S$317=$A83),--ISNUMBER('Данные 1st'!$DV$2:$DV$317))</f>
        <v>0</v>
      </c>
      <c r="BE83">
        <f>SUMPRODUCT(--('Данные 1st'!$S$2:$S$317=$A83),--ISNUMBER('Данные 1st'!$DX$2:$DX$317))</f>
        <v>2</v>
      </c>
      <c r="BF83">
        <f>SUMPRODUCT(--('Данные 1st'!$S$2:$S$317=$A83),--ISNUMBER('Данные 1st'!$EA$2:$EA$317))</f>
        <v>2</v>
      </c>
      <c r="BG83">
        <f>SUMPRODUCT(--('Данные 1st'!$S$2:$S$317=$A83),--ISNUMBER('Данные 1st'!$EB$2:$EB$317))</f>
        <v>2</v>
      </c>
      <c r="BH83">
        <f>SUMPRODUCT(--('Данные 1st'!$S$2:$S$317=$A83),--ISNUMBER('Данные 1st'!$ED$2:$ED$317))</f>
        <v>2</v>
      </c>
      <c r="BI83">
        <f>SUMPRODUCT(--('Данные 1st'!$S$2:$S$317=$A83),--ISNUMBER('Данные 1st'!$EE$2:$EE$317))</f>
        <v>2</v>
      </c>
      <c r="BJ83">
        <f>SUMPRODUCT(--('Данные 1st'!$S$2:$S$317=$A83),--ISNUMBER('Данные 1st'!$EG$2:$EG$317))</f>
        <v>2</v>
      </c>
      <c r="BK83">
        <f>SUMPRODUCT(--('Данные 1st'!$S$2:$S$317=$A83),--ISNUMBER('Данные 1st'!$EH$2:$EH$317))</f>
        <v>2</v>
      </c>
      <c r="BL83">
        <f>SUMPRODUCT(--('Данные 1st'!$S$2:$S$317=$A83),--ISNUMBER('Данные 1st'!$EJ$2:$EJ$317))</f>
        <v>2</v>
      </c>
      <c r="BM83">
        <f>SUMPRODUCT(--('Данные 1st'!$S$2:$S$317=$A83),--ISNUMBER('Данные 1st'!$EK$2:$EK$317))</f>
        <v>2</v>
      </c>
      <c r="BN83">
        <f>SUMPRODUCT(--('Данные 1st'!$S$2:$S$317=$A83),--ISNUMBER('Данные 1st'!$EN$2:$EN$317))</f>
        <v>2</v>
      </c>
      <c r="BO83">
        <f>SUMPRODUCT(--('Данные 1st'!$S$2:$S$317=$A83),--ISNUMBER('Данные 1st'!$EQ$2:$EQ$317))</f>
        <v>2</v>
      </c>
      <c r="BP83">
        <f>SUMPRODUCT(--('Данные 1st'!$S$2:$S$317=$A83),--ISNUMBER('Данные 1st'!$ER$2:$ER$317))</f>
        <v>2</v>
      </c>
      <c r="BQ83">
        <f>SUMPRODUCT(--('Данные 1st'!$S$2:$S$317=$A83),--ISNUMBER('Данные 1st'!$ES$2:$ES$317))</f>
        <v>2</v>
      </c>
      <c r="BR83">
        <f>SUMPRODUCT(--('Данные 1st'!$S$2:$S$317=$A83),--ISNUMBER('Данные 1st'!$ET$2:$ET$317))</f>
        <v>2</v>
      </c>
      <c r="BS83">
        <f>SUMPRODUCT(--('Данные 1st'!$S$2:$S$317=$A83),--ISNUMBER('Данные 1st'!$EU$2:$EU$317))</f>
        <v>2</v>
      </c>
      <c r="BT83">
        <f>SUMPRODUCT(--('Данные 1st'!$S$2:$S$317=$A83),--ISNUMBER('Данные 1st'!$EV$2:$EV$317))</f>
        <v>2</v>
      </c>
      <c r="BU83">
        <f>SUMPRODUCT(--('Данные 1st'!$S$2:$S$317=$A83),--ISNUMBER('Данные 1st'!$EX$2:$EX$317))</f>
        <v>2</v>
      </c>
      <c r="BV83">
        <f>SUMPRODUCT(--('Данные 1st'!$S$2:$S$317=$A83),--ISNUMBER('Данные 1st'!$EY$2:$EY$317))</f>
        <v>2</v>
      </c>
      <c r="BW83">
        <f>SUMPRODUCT(--('Данные 1st'!$S$2:$S$317=$A83),--ISNUMBER('Данные 1st'!$EZ$2:$EZ$317))</f>
        <v>2</v>
      </c>
      <c r="BX83">
        <f>SUMPRODUCT(--('Данные 1st'!$S$2:$S$317=$A83),--ISNUMBER('Данные 1st'!$FA$2:$FA$317))</f>
        <v>2</v>
      </c>
      <c r="BY83">
        <f>SUMPRODUCT(--('Данные 1st'!$S$2:$S$317=$A83),--ISNUMBER('Данные 1st'!$FB$2:$FB$317))</f>
        <v>2</v>
      </c>
      <c r="BZ83">
        <f>SUMPRODUCT(--('Данные 1st'!$S$2:$S$317=$A83),--ISNUMBER('Данные 1st'!$FC$2:$FC$317))</f>
        <v>2</v>
      </c>
      <c r="CA83">
        <f>SUMPRODUCT(--('Данные 1st'!$S$2:$S$317=$A83),--ISNUMBER('Данные 1st'!$FE$2:$FE$317))</f>
        <v>2</v>
      </c>
      <c r="CB83">
        <f>SUMPRODUCT(--('Данные 1st'!$S$2:$S$317=$A83),--ISNUMBER('Данные 1st'!$FF$2:$FF$317))</f>
        <v>2</v>
      </c>
      <c r="CC83">
        <f>SUMPRODUCT(--('Данные 1st'!$S$2:$S$317=$A83),--ISNUMBER('Данные 1st'!$FI$2:$FI$317))</f>
        <v>2</v>
      </c>
      <c r="CD83">
        <f>SUMPRODUCT(--('Данные 1st'!$S$2:$S$317=$A83),--ISNUMBER('Данные 1st'!$FL$2:$FL$317))</f>
        <v>2</v>
      </c>
      <c r="CE83">
        <f>SUMPRODUCT(--('Данные 1st'!$S$2:$S$317=$A83),--ISNUMBER('Данные 1st'!$FM$2:$FM$317))</f>
        <v>2</v>
      </c>
      <c r="CF83">
        <f>SUMPRODUCT(--('Данные 1st'!$S$2:$S$317=$A83),--ISNUMBER('Данные 1st'!$FN$2:$FN$317))</f>
        <v>2</v>
      </c>
      <c r="CG83">
        <f>SUMPRODUCT(--('Данные 1st'!$S$2:$S$317=$A83),--ISNUMBER('Данные 1st'!$FO$2:$FO$317))</f>
        <v>2</v>
      </c>
      <c r="CH83">
        <f>SUMPRODUCT(--('Данные 1st'!$S$2:$S$317=$A83),--ISNUMBER('Данные 1st'!$FP$2:$FP$317))</f>
        <v>2</v>
      </c>
      <c r="CI83">
        <f>SUMPRODUCT(--('Данные 1st'!$S$2:$S$317=$A83),--ISNUMBER('Данные 1st'!$FS$2:$FS$317))</f>
        <v>0</v>
      </c>
      <c r="CJ83">
        <f>SUMPRODUCT(--('Данные 1st'!$S$2:$S$317=$A83),--ISNUMBER('Данные 1st'!$FT$2:$FT$317))</f>
        <v>0</v>
      </c>
      <c r="CK83">
        <f>SUMPRODUCT(--('Данные 1st'!$S$2:$S$317=$A83),--ISNUMBER('Данные 1st'!$FU$2:$FU$317))</f>
        <v>0</v>
      </c>
      <c r="CL83">
        <f>SUMPRODUCT(--('Данные 1st'!$S$2:$S$317=$A83),--ISNUMBER('Данные 1st'!$FV$2:$FV$317))</f>
        <v>0</v>
      </c>
      <c r="CM83">
        <f>SUMPRODUCT(--('Данные 1st'!$S$2:$S$317=$A83),--ISNUMBER('Данные 1st'!$FW$2:$FW$317))</f>
        <v>0</v>
      </c>
      <c r="CN83">
        <f>SUMPRODUCT(--('Данные 1st'!$S$2:$S$317=$A83),--ISNUMBER('Данные 1st'!$FZ$2:$FZ$317))</f>
        <v>0</v>
      </c>
      <c r="CO83">
        <f>SUMPRODUCT(--('Данные 1st'!$S$2:$S$317=$A83),--ISNUMBER('Данные 1st'!$GA$2:$GA$317))</f>
        <v>0</v>
      </c>
      <c r="CP83">
        <f>SUMPRODUCT(--('Данные 1st'!$S$2:$S$317=$A83),--ISNUMBER('Данные 1st'!$GB$2:$GB$317))</f>
        <v>0</v>
      </c>
      <c r="CQ83">
        <f>SUMPRODUCT(--('Данные 1st'!$S$2:$S$317=$A83),--ISNUMBER('Данные 1st'!$GH$2:$GH$317))</f>
        <v>0</v>
      </c>
      <c r="CR83">
        <f>SUMPRODUCT(--('Данные 1st'!$S$2:$S$317=$A83),--ISNUMBER('Данные 1st'!$GI$2:$GI$317))</f>
        <v>0</v>
      </c>
      <c r="CS83">
        <f>SUMPRODUCT(--('Данные 1st'!$S$2:$S$317=$A83),--ISNUMBER('Данные 1st'!$GJ$2:$GJ$317))</f>
        <v>0</v>
      </c>
      <c r="CT83">
        <f>SUMPRODUCT(--('Данные 1st'!$S$2:$S$317=$A83),--ISNUMBER('Данные 1st'!$GS$2:$GS$317))</f>
        <v>2</v>
      </c>
      <c r="CU83">
        <f>SUMPRODUCT(--('Данные 1st'!$S$2:$S$317=$A83),--ISNUMBER('Данные 1st'!$GT$2:$GT$317))</f>
        <v>2</v>
      </c>
      <c r="CV83">
        <f>SUMPRODUCT(--('Данные 1st'!$S$2:$S$317=$A83),--ISNUMBER('Данные 1st'!$GU$2:$GU$317))</f>
        <v>2</v>
      </c>
      <c r="CW83">
        <f>SUMPRODUCT(--('Данные 1st'!$S$2:$S$317=$A83),--ISNUMBER('Данные 1st'!$GV$2:$GV$317))</f>
        <v>1</v>
      </c>
      <c r="CX83">
        <f>SUMPRODUCT(--('Данные 1st'!$S$2:$S$317=$A83),--ISNUMBER('Данные 1st'!$GW$2:$GW$317))</f>
        <v>1</v>
      </c>
      <c r="CY83">
        <f>SUMPRODUCT(--('Данные 1st'!$S$2:$S$317=$A83),--ISNUMBER('Данные 1st'!$GZ$2:$GZ$317))</f>
        <v>1</v>
      </c>
      <c r="CZ83">
        <f>SUMPRODUCT(--('Данные 1st'!$S$2:$S$317=$A83),--ISNUMBER('Данные 1st'!$HA$2:$HA$317))</f>
        <v>1</v>
      </c>
      <c r="DA83">
        <f>SUMPRODUCT(--('Данные 1st'!$S$2:$S$317=$A83),--ISNUMBER('Данные 1st'!$HB$2:$HB$317))</f>
        <v>1</v>
      </c>
      <c r="DB83">
        <f>SUMPRODUCT(--('Данные 1st'!$S$2:$S$317=$A83),--ISNUMBER('Данные 1st'!$HC$2:$HC$317))</f>
        <v>2</v>
      </c>
      <c r="DC83">
        <f>SUMPRODUCT(--('Данные 1st'!$S$2:$S$317=$A83),--ISNUMBER('Данные 1st'!$HD$2:$HD$317))</f>
        <v>2</v>
      </c>
      <c r="DD83">
        <f>SUMPRODUCT(--('Данные 1st'!$S$2:$S$317=$A83),--ISNUMBER('Данные 1st'!$HE$2:$HE$317))</f>
        <v>2</v>
      </c>
      <c r="DE83">
        <f>SUMPRODUCT(--('Данные 1st'!$S$2:$S$317=$A83),--ISNUMBER('Данные 1st'!$HF$2:$HF$317))</f>
        <v>2</v>
      </c>
      <c r="DF83">
        <f>SUMPRODUCT(--('Данные 1st'!$S$2:$S$317=$A83),--ISNUMBER('Данные 1st'!$HG$2:$HG$317))</f>
        <v>2</v>
      </c>
      <c r="DG83">
        <f>SUMPRODUCT(--('Данные 1st'!$S$2:$S$317=$A83),--ISNUMBER('Данные 1st'!$HH$2:$HH$317))</f>
        <v>2</v>
      </c>
      <c r="DH83">
        <f>SUMPRODUCT(--('Данные 1st'!$S$2:$S$317=$A83),--ISNUMBER('Данные 1st'!$HI$2:$HI$317))</f>
        <v>2</v>
      </c>
      <c r="DI83">
        <f>SUMPRODUCT(--('Данные 1st'!$S$2:$S$317=$A83),--ISNUMBER('Данные 1st'!$HJ$2:$HJ$317))</f>
        <v>2</v>
      </c>
      <c r="DJ83">
        <f>SUMPRODUCT(--('Данные 1st'!$S$2:$S$317=$A83),--ISNUMBER('Данные 1st'!$HK$2:$HK$317))</f>
        <v>2</v>
      </c>
      <c r="DK83">
        <f>SUMPRODUCT(--('Данные 1st'!$S$2:$S$317=$A83),--ISNUMBER('Данные 1st'!$HL$2:$HL$317))</f>
        <v>2</v>
      </c>
      <c r="DL83">
        <f>SUMPRODUCT(--('Данные 1st'!$S$2:$S$317=$A83),--ISNUMBER('Данные 1st'!$HM$2:$HM$317))</f>
        <v>2</v>
      </c>
      <c r="DM83">
        <f>SUMPRODUCT(--('Данные 1st'!$S$2:$S$317=$A83),--ISNUMBER('Данные 1st'!$HN$2:$HN$317))</f>
        <v>2</v>
      </c>
      <c r="DN83">
        <f>SUMPRODUCT(--('Данные 1st'!$S$2:$S$317=$A83),--ISNUMBER('Данные 1st'!$HO$2:$HO$317))</f>
        <v>2</v>
      </c>
      <c r="DO83">
        <f>SUMPRODUCT(--('Данные 1st'!$S$2:$S$317=$A83),--ISNUMBER('Данные 1st'!$HP$2:$HP$317))</f>
        <v>2</v>
      </c>
      <c r="DP83">
        <f>SUMPRODUCT(--('Данные 1st'!$S$2:$S$317=$A83),--ISNUMBER('Данные 1st'!$HQ$2:$HQ$317))</f>
        <v>2</v>
      </c>
      <c r="DQ83">
        <f>SUMPRODUCT(--('Данные 1st'!$S$2:$S$317=$A83),--ISNUMBER('Данные 1st'!$HR$2:$HR$317))</f>
        <v>2</v>
      </c>
      <c r="DR83">
        <f>SUMPRODUCT(--('Данные 1st'!$S$2:$S$317=$A83),--ISNUMBER('Данные 1st'!$HS$2:$HS$317))</f>
        <v>2</v>
      </c>
      <c r="DS83">
        <f>SUMPRODUCT(--('Данные 1st'!$S$2:$S$317=$A83),--ISNUMBER('Данные 1st'!$HT$2:$HT$317))</f>
        <v>2</v>
      </c>
      <c r="DT83">
        <f>SUMPRODUCT(--('Данные 1st'!$S$2:$S$317=$A83),--ISNUMBER('Данные 1st'!$HU$2:$HU$317))</f>
        <v>2</v>
      </c>
      <c r="DU83">
        <f>SUMPRODUCT(--('Данные 1st'!$S$2:$S$317=$A83),--ISNUMBER('Данные 1st'!$HW$2:$HW$317))</f>
        <v>2</v>
      </c>
      <c r="DV83">
        <f>SUMPRODUCT(--('Данные 1st'!$S$2:$S$317=$A83),--ISNUMBER('Данные 1st'!$HX$2:$HX$317))</f>
        <v>2</v>
      </c>
      <c r="DW83">
        <f>SUMPRODUCT(--('Данные 1st'!$S$2:$S$317=$A83),--ISNUMBER('Данные 1st'!$HY$2:$HY$317))</f>
        <v>2</v>
      </c>
      <c r="DX83">
        <f>SUMPRODUCT(--('Данные 1st'!$S$2:$S$317=$A83),--ISNUMBER('Данные 1st'!$IA$2:$IA$317))</f>
        <v>2</v>
      </c>
      <c r="DY83">
        <f>SUMPRODUCT(--('Данные 1st'!$S$2:$S$317=$A83),--ISNUMBER('Данные 1st'!$IB$2:$IB$317))</f>
        <v>2</v>
      </c>
      <c r="DZ83">
        <f>SUMPRODUCT(--('Данные 1st'!$S$2:$S$317=$A83),--ISNUMBER('Данные 1st'!$IC$2:$IC$317))</f>
        <v>2</v>
      </c>
      <c r="EA83">
        <f>SUMPRODUCT(--('Данные 1st'!$S$2:$S$317=$A83),--ISNUMBER('Данные 1st'!$ID$2:$ID$317))</f>
        <v>2</v>
      </c>
      <c r="EB83">
        <f>SUMPRODUCT(--('Данные 1st'!$S$2:$S$317=$A83),--ISNUMBER('Данные 1st'!$IE$2:$IE$317))</f>
        <v>2</v>
      </c>
      <c r="EC83">
        <f>SUMPRODUCT(--('Данные 1st'!$S$2:$S$317=$A83),--ISNUMBER('Данные 1st'!$IF$2:$IF$317))</f>
        <v>2</v>
      </c>
      <c r="ED83">
        <f>SUMPRODUCT(--('Данные 1st'!$S$2:$S$317=$A83),--ISNUMBER('Данные 1st'!$IP$2:$IP$317))</f>
        <v>2</v>
      </c>
      <c r="EE83">
        <f>SUMPRODUCT(--('Данные 1st'!$S$2:$S$317=$A83),--ISNUMBER('Данные 1st'!$IV$2:$IV$317))</f>
        <v>2</v>
      </c>
      <c r="EF83">
        <f>SUMPRODUCT(--('Данные 1st'!$S$2:$S$317=$A83),--ISNUMBER('Данные 1st'!$IW$2:$IW$317))</f>
        <v>2</v>
      </c>
      <c r="EG83">
        <f>SUMPRODUCT(--('Данные 1st'!$S$2:$S$317=$A83),--ISNUMBER('Данные 1st'!$IX$2:$IX$317))</f>
        <v>0</v>
      </c>
      <c r="EH83">
        <f>SUMPRODUCT(--('Данные 1st'!$S$2:$S$317=$A83),--ISNUMBER('Данные 1st'!$IY$2:$IY$317))</f>
        <v>0</v>
      </c>
      <c r="EI83">
        <f>SUMPRODUCT(--('Данные 1st'!$S$2:$S$317=$A83),--ISNUMBER('Данные 1st'!$JD$2:$JD$317))</f>
        <v>2</v>
      </c>
      <c r="EJ83">
        <f>SUMPRODUCT(--('Данные 1st'!$S$2:$S$317=$A83),--ISNUMBER('Данные 1st'!$JE$2:$JE$317))</f>
        <v>2</v>
      </c>
      <c r="EK83">
        <f>SUMPRODUCT(--('Данные 1st'!$S$2:$S$317=$A83),--ISNUMBER('Данные 1st'!$JF$2:$JF$317))</f>
        <v>2</v>
      </c>
      <c r="EL83">
        <f>SUMPRODUCT(--('Данные 1st'!$S$2:$S$317=$A83),--ISNUMBER('Данные 1st'!$JG$2:$JG$317))</f>
        <v>2</v>
      </c>
      <c r="EM83">
        <f>SUMPRODUCT(--('Данные 1st'!$S$2:$S$317=$A83),--ISNUMBER('Данные 1st'!$JH$2:$JH$317))</f>
        <v>2</v>
      </c>
      <c r="EN83">
        <f>SUMPRODUCT(--('Данные 1st'!$S$2:$S$317=$A83),--ISNUMBER('Данные 1st'!$JJ$2:$JJ$317))</f>
        <v>2</v>
      </c>
      <c r="EO83">
        <f>SUMPRODUCT(--('Данные 1st'!$S$2:$S$317=$A83),--ISNUMBER('Данные 1st'!$JK$2:$JK$317))</f>
        <v>2</v>
      </c>
      <c r="EP83">
        <f>SUMPRODUCT(--('Данные 1st'!$S$2:$S$317=$A83),--ISNUMBER('Данные 1st'!$JL$2:$JL$317))</f>
        <v>0</v>
      </c>
      <c r="EQ83">
        <f>SUMPRODUCT(--('Данные 1st'!$S$2:$S$317=$A83),--ISNUMBER('Данные 1st'!$JM$2:$JM$317))</f>
        <v>0</v>
      </c>
      <c r="ER83">
        <f>SUMPRODUCT(--('Данные 1st'!$S$2:$S$317=$A83),--ISNUMBER('Данные 1st'!$JN$2:$JN$317))</f>
        <v>2</v>
      </c>
      <c r="ES83">
        <f>SUMPRODUCT(--('Данные 1st'!$S$2:$S$317=$A83),--ISNUMBER('Данные 1st'!$JO$2:$JO$317))</f>
        <v>2</v>
      </c>
      <c r="ET83">
        <f>SUMPRODUCT(--('Данные 1st'!$S$2:$S$317=$A83),--ISNUMBER('Данные 1st'!$JP$2:$JP$317))</f>
        <v>2</v>
      </c>
      <c r="EU83">
        <f>SUMPRODUCT(--('Данные 1st'!$S$2:$S$317=$A83),--ISNUMBER('Данные 1st'!$JQ$2:$JQ$317))</f>
        <v>2</v>
      </c>
      <c r="EV83">
        <f>SUMPRODUCT(--('Данные 1st'!$S$2:$S$317=$A83),--ISNUMBER('Данные 1st'!$JR$2:$JR$317))</f>
        <v>2</v>
      </c>
      <c r="EW83">
        <f>SUMPRODUCT(--('Данные 1st'!$S$2:$S$317=$A83),--ISNUMBER('Данные 1st'!$JS$2:$JS$317))</f>
        <v>2</v>
      </c>
      <c r="EX83">
        <f>SUMPRODUCT(--('Данные 1st'!$S$2:$S$317=$A83),--ISNUMBER('Данные 1st'!$JT$2:$JT$317))</f>
        <v>0</v>
      </c>
      <c r="EY83">
        <f>SUMPRODUCT(--('Данные 1st'!$S$2:$S$317=$A83),--ISNUMBER('Данные 1st'!$JU$2:$JU$317))</f>
        <v>0</v>
      </c>
      <c r="EZ83">
        <f>SUMPRODUCT(--('Данные 1st'!$S$2:$S$317=$A83),--ISNUMBER('Данные 1st'!$JV$2:$JV$317))</f>
        <v>2</v>
      </c>
      <c r="FA83">
        <f>SUMPRODUCT(--('Данные 1st'!$S$2:$S$317=$A83),--ISNUMBER('Данные 1st'!$JW$2:$JW$317))</f>
        <v>0</v>
      </c>
      <c r="FB83">
        <f>SUMPRODUCT(--('Данные 1st'!$S$2:$S$317=$A83),--ISNUMBER('Данные 1st'!$JX$2:$JX$317))</f>
        <v>2</v>
      </c>
      <c r="FC83">
        <f>SUMPRODUCT(--('Данные 1st'!$S$2:$S$317=$A83),--ISNUMBER('Данные 1st'!$JY$2:$JY$317))</f>
        <v>0</v>
      </c>
      <c r="FD83">
        <f>SUMPRODUCT(--('Данные 1st'!$S$2:$S$317=$A83),--ISNUMBER('Данные 1st'!$JZ$2:$JZ$317))</f>
        <v>0</v>
      </c>
      <c r="FE83">
        <f>SUMPRODUCT(--('Данные 1st'!$S$2:$S$317=$A83),--ISNUMBER('Данные 1st'!$KA$2:$KA$317))</f>
        <v>2</v>
      </c>
      <c r="FF83">
        <f>SUMPRODUCT(--('Данные 1st'!$S$2:$S$317=$A83),--ISNUMBER('Данные 1st'!$KB$2:$KB$317))</f>
        <v>2</v>
      </c>
      <c r="FG83">
        <f>SUMPRODUCT(--('Данные 1st'!$S$2:$S$317=$A83),--ISNUMBER('Данные 1st'!$KC$2:$KC$317))</f>
        <v>2</v>
      </c>
      <c r="FH83">
        <f>SUMPRODUCT(--('Данные 1st'!$S$2:$S$317=$A83),--ISNUMBER('Данные 1st'!$KD$2:$KD$317))</f>
        <v>2</v>
      </c>
      <c r="FI83">
        <f>SUMPRODUCT(--('Данные 1st'!$S$2:$S$317=$A83),--ISNUMBER('Данные 1st'!$KE$2:$KE$317))</f>
        <v>0</v>
      </c>
      <c r="FJ83">
        <f>SUMPRODUCT(--('Данные 1st'!$S$2:$S$317=$A83),--ISNUMBER('Данные 1st'!$KF$2:$KF$317))</f>
        <v>2</v>
      </c>
      <c r="FK83">
        <f>SUMPRODUCT(--('Данные 1st'!$S$2:$S$317=$A83),--ISNUMBER('Данные 1st'!$KG$2:$KG$317))</f>
        <v>2</v>
      </c>
      <c r="FL83">
        <f>SUMPRODUCT(--('Данные 1st'!$S$2:$S$317=$A83),--ISNUMBER('Данные 1st'!$KH$2:$KH$317))</f>
        <v>2</v>
      </c>
      <c r="FM83">
        <f>SUMPRODUCT(--('Данные 1st'!$S$2:$S$317=$A83),--ISNUMBER('Данные 1st'!$KI$2:$KI$317))</f>
        <v>2</v>
      </c>
      <c r="FN83">
        <f>SUMPRODUCT(--('Данные 1st'!$S$2:$S$317=$A83),--ISNUMBER('Данные 1st'!$KJ$2:$KJ$317))</f>
        <v>2</v>
      </c>
      <c r="FO83">
        <f>SUMPRODUCT(--('Данные 1st'!$S$2:$S$317=$A83),--ISNUMBER('Данные 1st'!$KK$2:$KK$317))</f>
        <v>2</v>
      </c>
      <c r="FP83">
        <f>SUMPRODUCT(--('Данные 1st'!$S$2:$S$317=$A83),--ISNUMBER('Данные 1st'!$KL$2:$KL$317))</f>
        <v>2</v>
      </c>
      <c r="FQ83">
        <f>SUMPRODUCT(--('Данные 1st'!$S$2:$S$317=$A83),--ISNUMBER('Данные 1st'!$KM$2:$KM$317))</f>
        <v>2</v>
      </c>
      <c r="FR83">
        <f>SUMPRODUCT(--('Данные 1st'!$S$2:$S$317=$A83),--ISNUMBER('Данные 1st'!$KN$2:$KN$317))</f>
        <v>2</v>
      </c>
      <c r="FS83">
        <f>SUMPRODUCT(--('Данные 1st'!$S$2:$S$317=$A83),--ISNUMBER('Данные 1st'!$KR$2:$KR$317))</f>
        <v>2</v>
      </c>
      <c r="FT83">
        <f>SUMPRODUCT(--('Данные 1st'!$S$2:$S$317=$A83),--ISNUMBER('Данные 1st'!$KS$2:$KS$317))</f>
        <v>2</v>
      </c>
      <c r="FU83">
        <f>SUMPRODUCT(--('Данные 1st'!$S$2:$S$317=$A83),--ISNUMBER('Данные 1st'!$KT$2:$KT$317))</f>
        <v>2</v>
      </c>
      <c r="FV83">
        <f>SUMPRODUCT(--('Данные 1st'!$S$2:$S$317=$A83),--ISNUMBER('Данные 1st'!$KV$2:$KV$317))</f>
        <v>0</v>
      </c>
      <c r="FW83">
        <f>SUMPRODUCT(--('Данные 1st'!$S$2:$S$317=$A83),--ISNUMBER('Данные 1st'!$KW$2:$KW$317))</f>
        <v>0</v>
      </c>
      <c r="FX83">
        <f>SUMPRODUCT(--('Данные 1st'!$S$2:$S$317=$A83),--ISNUMBER('Данные 1st'!$KX$2:$KX$317))</f>
        <v>0</v>
      </c>
      <c r="FY83">
        <f>SUMPRODUCT(--('Данные 1st'!$S$2:$S$317=$A83),--ISNUMBER('Данные 1st'!$KY$2:$KY$317))</f>
        <v>0</v>
      </c>
      <c r="FZ83">
        <f>SUMPRODUCT(--('Данные 1st'!$S$2:$S$317=$A83),--ISNUMBER('Данные 1st'!$KZ$2:$KZ$317))</f>
        <v>0</v>
      </c>
      <c r="GA83">
        <f>SUMPRODUCT(--('Данные 1st'!$S$2:$S$317=$A83),--ISNUMBER('Данные 1st'!$LA$2:$LA$317))</f>
        <v>0</v>
      </c>
      <c r="GB83">
        <f>SUMPRODUCT(--('Данные 1st'!$S$2:$S$317=$A83),--ISNUMBER('Данные 1st'!$LB$2:$LB$317))</f>
        <v>0</v>
      </c>
      <c r="GC83">
        <f>SUMPRODUCT(--('Данные 1st'!$S$2:$S$317=$A83),--ISNUMBER('Данные 1st'!$LC$2:$LC$317))</f>
        <v>0</v>
      </c>
      <c r="GD83">
        <f>SUMPRODUCT(--('Данные 1st'!$S$2:$S$317=$A83),--ISNUMBER('Данные 1st'!$LD$2:$LD$317))</f>
        <v>0</v>
      </c>
      <c r="GE83">
        <f>SUMPRODUCT(--('Данные 1st'!$S$2:$S$317=$A83),--ISNUMBER('Данные 1st'!$LE$2:$LE$317))</f>
        <v>0</v>
      </c>
      <c r="GF83">
        <f>SUMPRODUCT(--('Данные 1st'!$S$2:$S$317=$A83),--ISNUMBER('Данные 1st'!$LF$2:$LF$317))</f>
        <v>0</v>
      </c>
      <c r="GG83">
        <f>SUMPRODUCT(--('Данные 1st'!$S$2:$S$317=$A83),--ISNUMBER('Данные 1st'!$LG$2:$LG$317))</f>
        <v>0</v>
      </c>
      <c r="GH83">
        <f>SUMPRODUCT(--('Данные 1st'!$S$2:$S$317=$A83),--ISNUMBER('Данные 1st'!$LH$2:$LH$317))</f>
        <v>0</v>
      </c>
      <c r="GI83">
        <f>SUMPRODUCT(--('Данные 1st'!$S$2:$S$317=$A83),--ISNUMBER('Данные 1st'!$LI$2:$LI$317))</f>
        <v>0</v>
      </c>
      <c r="GJ83">
        <f>SUMPRODUCT(--('Данные 1st'!$S$2:$S$317=$A83),--ISNUMBER('Данные 1st'!$LJ$2:$LJ$317))</f>
        <v>0</v>
      </c>
      <c r="GK83">
        <f>SUMPRODUCT(--('Данные 1st'!$S$2:$S$317=$A83),--ISNUMBER('Данные 1st'!$LK$2:$LK$317))</f>
        <v>2</v>
      </c>
      <c r="GL83">
        <f>SUMPRODUCT(--('Данные 1st'!$S$2:$S$317=$A83),--ISNUMBER('Данные 1st'!$LV$2:$LV$317))</f>
        <v>0</v>
      </c>
      <c r="GM83">
        <f>SUMPRODUCT(--('Данные 1st'!$S$2:$S$317=$A83),--ISNUMBER('Данные 1st'!$LW$2:$LW$317))</f>
        <v>0</v>
      </c>
      <c r="GN83">
        <f>SUMPRODUCT(--('Данные 1st'!$S$2:$S$317=$A83),--ISNUMBER('Данные 1st'!$LX$2:$LX$317))</f>
        <v>0</v>
      </c>
      <c r="GO83">
        <f>SUMPRODUCT(--('Данные 1st'!$S$2:$S$317=$A83),--ISNUMBER('Данные 1st'!$LY$2:$LY$317))</f>
        <v>0</v>
      </c>
      <c r="GP83">
        <f>SUMPRODUCT(--('Данные 1st'!$S$2:$S$317=$A83),--ISNUMBER('Данные 1st'!$LZ$2:$LZ$317))</f>
        <v>0</v>
      </c>
      <c r="GQ83">
        <f>SUMPRODUCT(--('Данные 1st'!$S$2:$S$317=$A83),--ISNUMBER('Данные 1st'!$PG$2:$PG$317))</f>
        <v>2</v>
      </c>
      <c r="GR83">
        <f>SUMPRODUCT(--('Данные 1st'!$S$2:$S$317=$A83),--ISNUMBER('Данные 1st'!$PX$2:$PX$317))</f>
        <v>2</v>
      </c>
      <c r="GS83">
        <f>SUMPRODUCT(--('Данные 1st'!$S$2:$S$317=$A83),--ISNUMBER('Данные 1st'!$PY$2:$PY$317))</f>
        <v>2</v>
      </c>
      <c r="GT83">
        <f>SUMPRODUCT(--('Данные 1st'!$S$2:$S$317=$A83),--ISNUMBER('Данные 1st'!$QA$2:$QA$317))</f>
        <v>2</v>
      </c>
      <c r="GU83">
        <f>SUMPRODUCT(--('Данные 1st'!$S$2:$S$317=$A83),--ISNUMBER('Данные 1st'!$QB$2:$QB$317))</f>
        <v>2</v>
      </c>
      <c r="GV83">
        <f>SUMPRODUCT(--('Данные 1st'!$S$2:$S$317=$A83),--ISNUMBER('Данные 1st'!$QC$2:$QC$317))</f>
        <v>2</v>
      </c>
      <c r="GW83">
        <f>SUMPRODUCT(--('Данные 1st'!$S$2:$S$317=$A83),--ISNUMBER('Данные 1st'!$QD$2:$QD$317))</f>
        <v>2</v>
      </c>
      <c r="GX83">
        <f>SUMPRODUCT(--('Данные 1st'!$S$2:$S$317=$A83),--ISNUMBER('Данные 1st'!$QF$2:$QF$317))</f>
        <v>2</v>
      </c>
      <c r="GY83">
        <f>SUMPRODUCT(--('Данные 1st'!$S$2:$S$317=$A83),--ISNUMBER('Данные 1st'!$QG$2:$QG$317))</f>
        <v>2</v>
      </c>
      <c r="GZ83">
        <f>SUMPRODUCT(--('Данные 1st'!$S$2:$S$317=$A83),--ISNUMBER('Данные 1st'!$QH$2:$QH$317))</f>
        <v>2</v>
      </c>
      <c r="HA83">
        <f>SUMPRODUCT(--('Данные 1st'!$S$2:$S$317=$A83),--ISNUMBER('Данные 1st'!$QI$2:$QI$317))</f>
        <v>2</v>
      </c>
      <c r="HB83">
        <f>SUMPRODUCT(--('Данные 1st'!$S$2:$S$317=$A83),--ISNUMBER('Данные 1st'!$QK$2:$QK$317))</f>
        <v>2</v>
      </c>
      <c r="HC83">
        <f>SUMPRODUCT(--('Данные 1st'!$S$2:$S$317=$A83),--ISNUMBER('Данные 1st'!$QL$2:$QL$317))</f>
        <v>2</v>
      </c>
      <c r="HD83">
        <f>SUMPRODUCT(--('Данные 1st'!$S$2:$S$317=$A83),--ISNUMBER('Данные 1st'!$QM$2:$QM$317))</f>
        <v>2</v>
      </c>
      <c r="HE83">
        <f>SUMPRODUCT(--('Данные 1st'!$S$2:$S$317=$A83),--ISNUMBER('Данные 1st'!$QN$2:$QN$317))</f>
        <v>2</v>
      </c>
      <c r="HF83">
        <f>SUMPRODUCT(--('Данные 1st'!$S$2:$S$317=$A83),--ISNUMBER('Данные 1st'!$QP$2:$QP$317))</f>
        <v>2</v>
      </c>
      <c r="HG83">
        <f>SUMPRODUCT(--('Данные 1st'!$S$2:$S$317=$A83),--ISNUMBER('Данные 1st'!$QQ$2:$QQ$317))</f>
        <v>2</v>
      </c>
      <c r="HH83">
        <f>SUMPRODUCT(--('Данные 1st'!$S$2:$S$317=$A83),--ISNUMBER('Данные 1st'!$QR$2:$QR$317))</f>
        <v>2</v>
      </c>
      <c r="HI83">
        <f>SUMPRODUCT(--('Данные 1st'!$S$2:$S$317=$A83),--ISNUMBER('Данные 1st'!$QS$2:$QS$317))</f>
        <v>2</v>
      </c>
      <c r="HJ83">
        <f>SUMPRODUCT(--('Данные 1st'!$S$2:$S$317=$A83),--ISNUMBER('Данные 1st'!$QU$2:$QU$317))</f>
        <v>2</v>
      </c>
      <c r="HK83">
        <f>SUMPRODUCT(--('Данные 1st'!$S$2:$S$317=$A83),--ISNUMBER('Данные 1st'!$QV$2:$QV$317))</f>
        <v>2</v>
      </c>
      <c r="HL83">
        <f>SUMPRODUCT(--('Данные 1st'!$S$2:$S$317=$A83),--ISNUMBER('Данные 1st'!$QW$2:$QW$317))</f>
        <v>2</v>
      </c>
      <c r="HM83">
        <f>SUMPRODUCT(--('Данные 1st'!$S$2:$S$317=$A83),--ISNUMBER('Данные 1st'!$QX$2:$QX$317))</f>
        <v>0</v>
      </c>
      <c r="HN83">
        <f>SUMPRODUCT(--('Данные 1st'!$S$2:$S$317=$A83),--ISNUMBER('Данные 1st'!$QZ$2:$QZ$317))</f>
        <v>2</v>
      </c>
      <c r="HO83">
        <f>SUMPRODUCT(--('Данные 1st'!$S$2:$S$317=$A83),--ISNUMBER('Данные 1st'!$RA$2:$RA$317))</f>
        <v>2</v>
      </c>
      <c r="HP83">
        <f>SUMPRODUCT(--('Данные 1st'!$S$2:$S$317=$A83),--ISNUMBER('Данные 1st'!$RB$2:$RB$317))</f>
        <v>2</v>
      </c>
      <c r="HQ83">
        <f>SUMPRODUCT(--('Данные 1st'!$S$2:$S$317=$A83),--ISNUMBER('Данные 1st'!$RD$2:$RD$317))</f>
        <v>0</v>
      </c>
      <c r="HR83">
        <f>SUMPRODUCT(--('Данные 1st'!$S$2:$S$317=$A83),--ISNUMBER('Данные 1st'!$RE$2:$RE$317))</f>
        <v>2</v>
      </c>
      <c r="HS83">
        <f>SUMPRODUCT(--('Данные 1st'!$S$2:$S$317=$A83),--ISNUMBER('Данные 1st'!$RF$2:$RF$317))</f>
        <v>2</v>
      </c>
      <c r="HT83">
        <f>SUMPRODUCT(--('Данные 1st'!$S$2:$S$317=$A83),--ISNUMBER('Данные 1st'!$RG$2:$RG$317))</f>
        <v>0</v>
      </c>
      <c r="HU83">
        <f>SUMPRODUCT(--('Данные 1st'!$S$2:$S$317=$A83),--ISNUMBER('Данные 1st'!$RH$2:$RH$317))</f>
        <v>1</v>
      </c>
      <c r="HV83">
        <f>SUMPRODUCT(--('Данные 1st'!$S$2:$S$317=$A83),--ISNUMBER('Данные 1st'!$RI$2:$RI$317))</f>
        <v>1</v>
      </c>
      <c r="HW83">
        <f>SUMPRODUCT(--('Данные 1st'!$S$2:$S$317=$A83),--ISNUMBER('Данные 1st'!$RJ$2:$RJ$317))</f>
        <v>2</v>
      </c>
      <c r="HX83">
        <f>SUMPRODUCT(--('Данные 1st'!$S$2:$S$317=$A83),--ISNUMBER('Данные 1st'!$RK$2:$RK$317))</f>
        <v>2</v>
      </c>
      <c r="HY83">
        <f>SUMPRODUCT(--('Данные 1st'!$S$2:$S$317=$A83),--ISNUMBER('Данные 1st'!$RL$2:$RL$317))</f>
        <v>2</v>
      </c>
      <c r="HZ83">
        <f>SUMPRODUCT(--('Данные 1st'!$S$2:$S$317=$A83),--ISNUMBER('Данные 1st'!$RM$2:$RM$317))</f>
        <v>2</v>
      </c>
      <c r="IA83">
        <f>SUMPRODUCT(--('Данные 1st'!$S$2:$S$317=$A83),--ISNUMBER('Данные 1st'!$RN$2:$RN$317))</f>
        <v>0</v>
      </c>
      <c r="IB83">
        <f>SUMPRODUCT(--('Данные 1st'!$S$2:$S$317=$A83),--ISNUMBER('Данные 1st'!$RO$2:$RO$317))</f>
        <v>2</v>
      </c>
      <c r="IC83">
        <f>SUMPRODUCT(--('Данные 1st'!$S$2:$S$317=$A83),--ISNUMBER('Данные 1st'!$RP$2:$RP$317))</f>
        <v>2</v>
      </c>
      <c r="ID83">
        <f>SUMPRODUCT(--('Данные 1st'!$S$2:$S$317=$A83),--ISNUMBER('Данные 1st'!$RQ$2:$RQ$317))</f>
        <v>2</v>
      </c>
      <c r="IE83">
        <f>SUMPRODUCT(--('Данные 1st'!$S$2:$S$317=$A83),--ISNUMBER('Данные 1st'!$RR$2:$RR$317))</f>
        <v>2</v>
      </c>
      <c r="IF83">
        <f>SUMPRODUCT(--('Данные 1st'!$S$2:$S$317=$A83),--ISNUMBER('Данные 1st'!$RS$2:$RS$317))</f>
        <v>0</v>
      </c>
      <c r="IG83">
        <f>SUMPRODUCT(--('Данные 1st'!$S$2:$S$317=$A83),--ISNUMBER('Данные 1st'!$RT$2:$RT$317))</f>
        <v>2</v>
      </c>
      <c r="IH83">
        <f>SUMPRODUCT(--('Данные 1st'!$S$2:$S$317=$A83),--ISNUMBER('Данные 1st'!$RU$2:$RU$317))</f>
        <v>2</v>
      </c>
      <c r="II83">
        <f>SUMPRODUCT(--('Данные 1st'!$S$2:$S$317=$A83),--ISNUMBER('Данные 1st'!$RX$2:$RX$317))</f>
        <v>2</v>
      </c>
      <c r="IJ83">
        <f>SUMPRODUCT(--('Данные 1st'!$S$2:$S$317=$A83),--ISNUMBER('Данные 1st'!$RY$2:$RY$317))</f>
        <v>2</v>
      </c>
      <c r="IK83">
        <f>SUMPRODUCT(--('Данные 1st'!$S$2:$S$317=$A83),--ISNUMBER('Данные 1st'!$SA$2:$SA$317))</f>
        <v>2</v>
      </c>
      <c r="IL83">
        <f>SUMPRODUCT(--('Данные 1st'!$S$2:$S$317=$A83),--ISNUMBER('Данные 1st'!$SD$2:$SD$317))</f>
        <v>2</v>
      </c>
      <c r="IM83">
        <f>SUMPRODUCT(--('Данные 1st'!$S$2:$S$317=$A83),--ISNUMBER('Данные 1st'!$SG$2:$SG$317))</f>
        <v>2</v>
      </c>
      <c r="IN83">
        <f>SUMPRODUCT(--('Данные 1st'!$S$2:$S$317=$A83),--ISNUMBER('Данные 1st'!$SH$2:$SH$317))</f>
        <v>2</v>
      </c>
      <c r="IO83">
        <f>SUMPRODUCT(--('Данные 1st'!$S$2:$S$317=$A83),--ISNUMBER('Данные 1st'!$SI$2:$SI$317))</f>
        <v>2</v>
      </c>
      <c r="IP83">
        <f>SUMPRODUCT(--('Данные 1st'!$S$2:$S$317=$A83),--ISNUMBER('Данные 1st'!$SJ$2:$SJ$317))</f>
        <v>2</v>
      </c>
      <c r="IQ83">
        <f>SUMPRODUCT(--('Данные 1st'!$S$2:$S$317=$A83),--ISNUMBER('Данные 1st'!$SK$2:$SK$317))</f>
        <v>2</v>
      </c>
      <c r="IR83">
        <f>SUMPRODUCT(--('Данные 1st'!$S$2:$S$317=$A83),--ISNUMBER('Данные 1st'!$SL$2:$SL$317))</f>
        <v>2</v>
      </c>
      <c r="IS83">
        <f>SUMPRODUCT(--('Данные 1st'!$S$2:$S$317=$A83),--ISNUMBER('Данные 1st'!$SM$2:$SM$317))</f>
        <v>2</v>
      </c>
      <c r="IT83">
        <f>SUMPRODUCT(--('Данные 1st'!$S$2:$S$317=$A83),--ISNUMBER('Данные 1st'!$SN$2:$SN$317))</f>
        <v>2</v>
      </c>
      <c r="IU83">
        <f>SUMPRODUCT(--('Данные 1st'!$S$2:$S$317=$A83),--ISNUMBER('Данные 1st'!$SO$2:$SO$317))</f>
        <v>2</v>
      </c>
      <c r="IV83">
        <f>SUMPRODUCT(--('Данные 1st'!$S$2:$S$317=$A83),--ISNUMBER('Данные 1st'!$SP$2:$SP$317))</f>
        <v>2</v>
      </c>
      <c r="IW83">
        <f>SUMPRODUCT(--('Данные 1st'!$S$2:$S$317=$A83),--ISNUMBER('Данные 1st'!$SQ$2:$SQ$317))</f>
        <v>2</v>
      </c>
      <c r="IX83">
        <f>SUMPRODUCT(--('Данные 1st'!$S$2:$S$317=$A83),--ISNUMBER('Данные 1st'!$SR$2:$SR$317))</f>
        <v>2</v>
      </c>
      <c r="IY83">
        <f>SUMPRODUCT(--('Данные 1st'!$S$2:$S$317=$A83),--ISNUMBER('Данные 1st'!$SS$2:$SS$317))</f>
        <v>2</v>
      </c>
      <c r="IZ83">
        <f>SUMPRODUCT(--('Данные 1st'!$S$2:$S$317=$A83),--ISNUMBER('Данные 1st'!$ST$2:$ST$317))</f>
        <v>2</v>
      </c>
      <c r="JA83">
        <f>SUMPRODUCT(--('Данные 1st'!$S$2:$S$317=$A83),--ISNUMBER('Данные 1st'!$SU$2:$SU$317))</f>
        <v>2</v>
      </c>
      <c r="JB83">
        <f>SUMPRODUCT(--('Данные 1st'!$S$2:$S$317=$A83),--ISNUMBER('Данные 1st'!$SV$2:$SV$317))</f>
        <v>2</v>
      </c>
      <c r="JC83">
        <f>SUMPRODUCT(--('Данные 1st'!$S$2:$S$317=$A83),--ISNUMBER('Данные 1st'!$SW$2:$SW$317))</f>
        <v>2</v>
      </c>
      <c r="JD83">
        <f>SUMPRODUCT(--('Данные 1st'!$S$2:$S$317=$A83),--ISNUMBER('Данные 1st'!$SX$2:$SX$317))</f>
        <v>2</v>
      </c>
      <c r="JE83">
        <f>SUMPRODUCT(--('Данные 1st'!$S$2:$S$317=$A83),--ISNUMBER('Данные 1st'!$SY$2:$SY$317))</f>
        <v>2</v>
      </c>
      <c r="JF83">
        <f>SUMPRODUCT(--('Данные 1st'!$S$2:$S$317=$A83),--ISNUMBER('Данные 1st'!$SZ$2:$SZ$317))</f>
        <v>2</v>
      </c>
      <c r="JG83">
        <f>SUMPRODUCT(--('Данные 1st'!$S$2:$S$317=$A83),--ISNUMBER('Данные 1st'!$TA$2:$TA$317))</f>
        <v>0</v>
      </c>
      <c r="JH83">
        <f>SUMPRODUCT(--('Данные 1st'!$S$2:$S$317=$A83),--ISNUMBER('Данные 1st'!$TB$2:$TB$317))</f>
        <v>2</v>
      </c>
      <c r="JI83">
        <f>SUMPRODUCT(--('Данные 1st'!$S$2:$S$317=$A83),--ISNUMBER('Данные 1st'!$TC$2:$TC$317))</f>
        <v>2</v>
      </c>
      <c r="JJ83">
        <f>SUMPRODUCT(--('Данные 1st'!$S$2:$S$317=$A83),--ISNUMBER('Данные 1st'!$TD$2:$TD$317))</f>
        <v>2</v>
      </c>
      <c r="JK83">
        <f>SUMPRODUCT(--('Данные 1st'!$S$2:$S$317=$A83),--ISNUMBER('Данные 1st'!$TN$2:$TN$317))</f>
        <v>2</v>
      </c>
      <c r="JQ83">
        <f>SUMPRODUCT(--('Данные 2st'!$Q$2:$Q$317=$A83),--ISNUMBER('Данные 2st'!$AC$2:$AC$317))</f>
        <v>2</v>
      </c>
      <c r="JR83">
        <f>SUMPRODUCT(--('Данные 2st'!$Q$2:$Q$317=$A83),--ISNUMBER('Данные 2st'!$AF$2:$AF$317))</f>
        <v>2</v>
      </c>
      <c r="JS83">
        <f>SUMPRODUCT(--('Данные 2st'!$Q$2:$Q$317=$A83),--ISNUMBER('Данные 2st'!$AW$2:$AW$317))</f>
        <v>2</v>
      </c>
      <c r="JT83">
        <f>SUMPRODUCT(--('Данные 2st'!$Q$2:$Q$317=$A83),--ISNUMBER('Данные 2st'!$AX$2:$AX$317))</f>
        <v>2</v>
      </c>
      <c r="JU83">
        <f>SUMPRODUCT(--('Данные 2st'!$Q$2:$Q$317=$A83),--ISNUMBER('Данные 2st'!$AY$2:$AY$317))</f>
        <v>2</v>
      </c>
      <c r="JV83">
        <f>SUMPRODUCT(--('Данные 2st'!$Q$2:$Q$317=$A83),--ISNUMBER('Данные 2st'!$AZ$2:$AZ$317))</f>
        <v>2</v>
      </c>
      <c r="JW83">
        <f>SUMPRODUCT(--('Данные 2st'!$Q$2:$Q$317=$A83),--ISNUMBER('Данные 2st'!$BA$2:$BA$317))</f>
        <v>0</v>
      </c>
      <c r="JX83">
        <f>SUMPRODUCT(--('Данные 2st'!$Q$2:$Q$317=$A83),--ISNUMBER('Данные 2st'!$BB$2:$BB$317))</f>
        <v>0</v>
      </c>
      <c r="JY83">
        <f>SUMPRODUCT(--('Данные 2st'!$Q$2:$Q$317=$A83),--ISNUMBER('Данные 2st'!$BC$2:$BC$317))</f>
        <v>0</v>
      </c>
      <c r="JZ83">
        <f>SUMPRODUCT(--('Данные 2st'!$Q$2:$Q$317=$A83),--ISNUMBER('Данные 2st'!$BH$2:$BH$317))</f>
        <v>2</v>
      </c>
      <c r="KA83">
        <f>SUMPRODUCT(--('Данные 2st'!$Q$2:$Q$317=$A83),--ISNUMBER('Данные 2st'!$BI$2:$BI$317))</f>
        <v>2</v>
      </c>
      <c r="KB83">
        <f>SUMPRODUCT(--('Данные 2st'!$Q$2:$Q$317=$A83),--ISNUMBER('Данные 2st'!$BJ$2:$BJ$317))</f>
        <v>2</v>
      </c>
      <c r="KC83">
        <f>SUMPRODUCT(--('Данные 2st'!$Q$2:$Q$317=$A83),--ISNUMBER('Данные 2st'!$BK$2:$BK$317))</f>
        <v>2</v>
      </c>
      <c r="KD83">
        <f>SUMPRODUCT(--('Данные 2st'!$Q$2:$Q$317=$A83),--ISNUMBER('Данные 2st'!$BL$2:$BL$317))</f>
        <v>2</v>
      </c>
      <c r="KE83">
        <f>SUMPRODUCT(--('Данные 2st'!$Q$2:$Q$317=$A83),--ISNUMBER('Данные 2st'!$BM$2:$BM$317))</f>
        <v>2</v>
      </c>
      <c r="KF83">
        <f>SUMPRODUCT(--('Данные 2st'!$Q$2:$Q$317=$A83),--ISNUMBER('Данные 2st'!$BN$2:$BN$317))</f>
        <v>2</v>
      </c>
      <c r="KG83">
        <f>SUMPRODUCT(--('Данные 2st'!$Q$2:$Q$317=$A83),--ISNUMBER('Данные 2st'!$BO$2:$BO$317))</f>
        <v>1</v>
      </c>
      <c r="KH83">
        <f>SUMPRODUCT(--('Данные 2st'!$Q$2:$Q$317=$A83),--ISNUMBER('Данные 2st'!$BP$2:$BP$317))</f>
        <v>2</v>
      </c>
      <c r="KI83">
        <f>SUMPRODUCT(--('Данные 2st'!$Q$2:$Q$317=$A83),--ISNUMBER('Данные 2st'!$BR$2:$BR$317))</f>
        <v>2</v>
      </c>
      <c r="KJ83">
        <f>SUMPRODUCT(--('Данные 2st'!$Q$2:$Q$317=$A83),--ISNUMBER('Данные 2st'!$BS$2:$BS$317))</f>
        <v>2</v>
      </c>
      <c r="KK83">
        <f>SUMPRODUCT(--('Данные 2st'!$Q$2:$Q$317=$A83),--ISNUMBER('Данные 2st'!$BT$2:$BT$317))</f>
        <v>2</v>
      </c>
      <c r="KL83">
        <f>SUMPRODUCT(--('Данные 2st'!$Q$2:$Q$317=$A83),--ISNUMBER('Данные 2st'!$CV$2:$CV$317))</f>
        <v>2</v>
      </c>
      <c r="KM83">
        <f>SUMPRODUCT(--('Данные 2st'!$Q$2:$Q$317=$A83),--ISNUMBER('Данные 2st'!$CW$2:$CW$317))</f>
        <v>2</v>
      </c>
      <c r="KN83">
        <f>SUMPRODUCT(--('Данные 2st'!$Q$2:$Q$317=$A83),--ISNUMBER('Данные 2st'!$CX$2:$CX$317))</f>
        <v>2</v>
      </c>
      <c r="KO83">
        <f>SUMPRODUCT(--('Данные 2st'!$Q$2:$Q$317=$A83),--ISNUMBER('Данные 2st'!$CY$2:$CY$317))</f>
        <v>2</v>
      </c>
      <c r="KP83">
        <f>SUMPRODUCT(--('Данные 2st'!$Q$2:$Q$317=$A83),--ISNUMBER('Данные 2st'!$CZ$2:$CZ$317))</f>
        <v>2</v>
      </c>
      <c r="KQ83">
        <f>SUMPRODUCT(--('Данные 2st'!$Q$2:$Q$317=$A83),--ISNUMBER('Данные 2st'!$DA$2:$DA$317))</f>
        <v>2</v>
      </c>
      <c r="KR83">
        <f>SUMPRODUCT(--('Данные 2st'!$Q$2:$Q$317=$A83),--ISNUMBER('Данные 2st'!$DB$2:$DB$317))</f>
        <v>2</v>
      </c>
      <c r="KS83">
        <f>SUMPRODUCT(--('Данные 2st'!$Q$2:$Q$317=$A83),--ISNUMBER('Данные 2st'!$DC$2:$DC$317))</f>
        <v>2</v>
      </c>
      <c r="KT83">
        <f>SUMPRODUCT(--('Данные 2st'!$Q$2:$Q$317=$A83),--ISNUMBER('Данные 2st'!$DD$2:$DD$317))</f>
        <v>2</v>
      </c>
      <c r="KU83">
        <f>SUMPRODUCT(--('Данные 2st'!$Q$2:$Q$317=$A83),--ISNUMBER('Данные 2st'!$DE$2:$DE$317))</f>
        <v>2</v>
      </c>
      <c r="KV83">
        <f>SUMPRODUCT(--('Данные 2st'!$Q$2:$Q$317=$A83),--ISNUMBER('Данные 2st'!$DF$2:$DF$317))</f>
        <v>2</v>
      </c>
      <c r="KW83">
        <f>SUMPRODUCT(--('Данные 2st'!$Q$2:$Q$317=$A83),--ISNUMBER('Данные 2st'!$DG$2:$DG$317))</f>
        <v>2</v>
      </c>
      <c r="KX83">
        <f>SUMPRODUCT(--('Данные 2st'!$Q$2:$Q$317=$A83),--ISNUMBER('Данные 2st'!$DH$2:$DH$317))</f>
        <v>2</v>
      </c>
      <c r="KY83">
        <f>SUMPRODUCT(--('Данные 2st'!$Q$2:$Q$317=$A83),--ISNUMBER('Данные 2st'!$DI$2:$DI$317))</f>
        <v>0</v>
      </c>
      <c r="KZ83">
        <f>SUMPRODUCT(--('Данные 2st'!$Q$2:$Q$317=$A83),--ISNUMBER('Данные 2st'!$DK$2:$DK$317))</f>
        <v>2</v>
      </c>
      <c r="LA83">
        <f>SUMPRODUCT(--('Данные 2st'!$Q$2:$Q$317=$A83),--ISNUMBER('Данные 2st'!$DM$2:$DM$317))</f>
        <v>2</v>
      </c>
      <c r="LB83">
        <f>SUMPRODUCT(--('Данные 2st'!$Q$2:$Q$317=$A83),--ISNUMBER('Данные 2st'!$DN$2:$DN$317))</f>
        <v>2</v>
      </c>
      <c r="LC83">
        <f>SUMPRODUCT(--('Данные 2st'!$Q$2:$Q$317=$A83),--ISNUMBER('Данные 2st'!$DO$2:$DO$317))</f>
        <v>2</v>
      </c>
      <c r="LD83">
        <f>SUMPRODUCT(--('Данные 2st'!$Q$2:$Q$317=$A83),--ISNUMBER('Данные 2st'!$DP$2:$DP$317))</f>
        <v>2</v>
      </c>
      <c r="LE83">
        <f>SUMPRODUCT(--('Данные 2st'!$Q$2:$Q$317=$A83),--ISNUMBER('Данные 2st'!$DQ$2:$DQ$317))</f>
        <v>2</v>
      </c>
      <c r="LF83">
        <f>SUMPRODUCT(--('Данные 2st'!$Q$2:$Q$317=$A83),--ISNUMBER('Данные 2st'!$DS$2:$DS$317))</f>
        <v>2</v>
      </c>
      <c r="LG83">
        <f>SUMPRODUCT(--('Данные 2st'!$Q$2:$Q$317=$A83),--ISNUMBER('Данные 2st'!$DU$2:$DU$317))</f>
        <v>2</v>
      </c>
      <c r="LH83">
        <f>SUMPRODUCT(--('Данные 2st'!$Q$2:$Q$317=$A83),--ISNUMBER('Данные 2st'!$DV$2:$DV$317))</f>
        <v>2</v>
      </c>
      <c r="LI83">
        <f>SUMPRODUCT(--('Данные 2st'!$Q$2:$Q$317=$A83),--ISNUMBER('Данные 2st'!$DW$2:$DW$317))</f>
        <v>2</v>
      </c>
      <c r="LJ83">
        <f>SUMPRODUCT(--('Данные 2st'!$Q$2:$Q$317=$A83),--ISNUMBER('Данные 2st'!$DX$2:$DX$317))</f>
        <v>2</v>
      </c>
      <c r="LK83">
        <f>SUMPRODUCT(--('Данные 2st'!$Q$2:$Q$317=$A83),--ISNUMBER('Данные 2st'!$DY$2:$DY$317))</f>
        <v>2</v>
      </c>
      <c r="LL83">
        <f>SUMPRODUCT(--('Данные 2st'!$Q$2:$Q$317=$A83),--ISNUMBER('Данные 2st'!$EA$2:$EA$317))</f>
        <v>2</v>
      </c>
      <c r="LM83">
        <f>SUMPRODUCT(--('Данные 2st'!$Q$2:$Q$317=$A83),--ISNUMBER('Данные 2st'!$EC$2:$EC$317))</f>
        <v>2</v>
      </c>
      <c r="LN83">
        <f>SUMPRODUCT(--('Данные 2st'!$Q$2:$Q$317=$A83),--ISNUMBER('Данные 2st'!$ED$2:$ED$317))</f>
        <v>2</v>
      </c>
      <c r="LO83">
        <f>SUMPRODUCT(--('Данные 2st'!$Q$2:$Q$317=$A83),--ISNUMBER('Данные 2st'!$EE$2:$EE$317))</f>
        <v>2</v>
      </c>
      <c r="LP83">
        <f>SUMPRODUCT(--('Данные 2st'!$Q$2:$Q$317=$A83),--ISNUMBER('Данные 2st'!$EG$2:$EG$317))</f>
        <v>2</v>
      </c>
      <c r="LQ83">
        <f>SUMPRODUCT(--('Данные 2st'!$Q$2:$Q$317=$A83),--ISNUMBER('Данные 2st'!$EI$2:$EI$317))</f>
        <v>2</v>
      </c>
      <c r="LR83">
        <f>SUMPRODUCT(--('Данные 2st'!$Q$2:$Q$317=$A83),--ISNUMBER('Данные 2st'!$EJ$2:$EJ$317))</f>
        <v>0</v>
      </c>
      <c r="LS83">
        <f>SUMPRODUCT(--('Данные 2st'!$Q$2:$Q$317=$A83),--ISNUMBER('Данные 2st'!$EK$2:$EK$317))</f>
        <v>0</v>
      </c>
      <c r="LT83">
        <f>SUMPRODUCT(--('Данные 2st'!$Q$2:$Q$317=$A83),--ISNUMBER('Данные 2st'!$EM$2:$EM$317))</f>
        <v>2</v>
      </c>
      <c r="LU83">
        <f>SUMPRODUCT(--('Данные 2st'!$Q$2:$Q$317=$A83),--ISNUMBER('Данные 2st'!$EN$2:$EN$317))</f>
        <v>2</v>
      </c>
      <c r="LV83">
        <f>SUMPRODUCT(--('Данные 2st'!$Q$2:$Q$317=$A83),--ISNUMBER('Данные 2st'!$EO$2:$EO$317))</f>
        <v>2</v>
      </c>
      <c r="LW83">
        <f>SUMPRODUCT(--('Данные 2st'!$Q$2:$Q$317=$A83),--ISNUMBER('Данные 2st'!$EP$2:$EP$317))</f>
        <v>2</v>
      </c>
      <c r="LX83">
        <f>SUMPRODUCT(--('Данные 2st'!$Q$2:$Q$317=$A83),--ISNUMBER('Данные 2st'!$EQ$2:$EQ$317))</f>
        <v>2</v>
      </c>
      <c r="LY83">
        <f>SUMPRODUCT(--('Данные 2st'!$Q$2:$Q$317=$A83),--ISNUMBER('Данные 2st'!$ER$2:$ER$317))</f>
        <v>2</v>
      </c>
      <c r="LZ83">
        <f>SUMPRODUCT(--('Данные 2st'!$Q$2:$Q$317=$A83),--ISNUMBER('Данные 2st'!$ES$2:$ES$317))</f>
        <v>2</v>
      </c>
      <c r="MA83">
        <f>SUMPRODUCT(--('Данные 2st'!$Q$2:$Q$317=$A83),--ISNUMBER('Данные 2st'!$ET$2:$ET$317))</f>
        <v>2</v>
      </c>
      <c r="MB83">
        <f>SUMPRODUCT(--('Данные 2st'!$Q$2:$Q$317=$A83),--ISNUMBER('Данные 2st'!$EU$2:$EU$317))</f>
        <v>2</v>
      </c>
      <c r="MC83">
        <f>SUMPRODUCT(--('Данные 2st'!$Q$2:$Q$317=$A83),--ISNUMBER('Данные 2st'!$EV$2:$EV$317))</f>
        <v>2</v>
      </c>
      <c r="MD83">
        <f>SUMPRODUCT(--('Данные 2st'!$Q$2:$Q$317=$A83),--ISNUMBER('Данные 2st'!$EW$2:$EW$317))</f>
        <v>2</v>
      </c>
      <c r="ME83">
        <f>SUMPRODUCT(--('Данные 2st'!$Q$2:$Q$317=$A83),--ISNUMBER('Данные 2st'!$EY$2:$EY$317))</f>
        <v>2</v>
      </c>
      <c r="MF83">
        <f>SUMPRODUCT(--('Данные 2st'!$Q$2:$Q$317=$A83),--ISNUMBER('Данные 2st'!$FA$2:$FA$317))</f>
        <v>2</v>
      </c>
      <c r="MG83">
        <f>SUMPRODUCT(--('Данные 2st'!$Q$2:$Q$317=$A83),--ISNUMBER('Данные 2st'!$FB$2:$FB$317))</f>
        <v>2</v>
      </c>
      <c r="MH83">
        <f>SUMPRODUCT(--('Данные 2st'!$Q$2:$Q$317=$A83),--ISNUMBER('Данные 2st'!$FC$2:$FC$317))</f>
        <v>2</v>
      </c>
      <c r="MI83">
        <f>SUMPRODUCT(--('Данные 2st'!$Q$2:$Q$317=$A83),--ISNUMBER('Данные 2st'!$FD$2:$FD$317))</f>
        <v>2</v>
      </c>
      <c r="MJ83">
        <f>SUMPRODUCT(--('Данные 2st'!$Q$2:$Q$317=$A83),--ISNUMBER('Данные 2st'!$FE$2:$FE$317))</f>
        <v>2</v>
      </c>
      <c r="MK83">
        <f>SUMPRODUCT(--('Данные 2st'!$Q$2:$Q$317=$A83),--ISNUMBER('Данные 2st'!$FG$2:$FG$317))</f>
        <v>2</v>
      </c>
      <c r="ML83">
        <f>SUMPRODUCT(--('Данные 2st'!$Q$2:$Q$317=$A83),--ISNUMBER('Данные 2st'!$FI$2:$FI$317))</f>
        <v>2</v>
      </c>
      <c r="MM83">
        <f>SUMPRODUCT(--('Данные 2st'!$Q$2:$Q$317=$A83),--ISNUMBER('Данные 2st'!$FJ$2:$FJ$317))</f>
        <v>2</v>
      </c>
      <c r="MN83">
        <f>SUMPRODUCT(--('Данные 2st'!$Q$2:$Q$317=$A83),--ISNUMBER('Данные 2st'!$FK$2:$FK$317))</f>
        <v>2</v>
      </c>
      <c r="MO83">
        <f>SUMPRODUCT(--('Данные 2st'!$Q$2:$Q$317=$A83),--ISNUMBER('Данные 2st'!$FP$2:$FP$317))</f>
        <v>2</v>
      </c>
      <c r="MP83">
        <f>SUMPRODUCT(--('Данные 2st'!$Q$2:$Q$317=$A83),--ISNUMBER('Данные 2st'!$FQ$2:$FQ$317))</f>
        <v>2</v>
      </c>
      <c r="MQ83">
        <f>SUMPRODUCT(--('Данные 2st'!$Q$2:$Q$317=$A83),--ISNUMBER('Данные 2st'!$FS$2:$FS$317))</f>
        <v>2</v>
      </c>
      <c r="MR83">
        <f>SUMPRODUCT(--('Данные 2st'!$Q$2:$Q$317=$A83),--ISNUMBER('Данные 2st'!$FU$2:$FU$317))</f>
        <v>2</v>
      </c>
      <c r="MS83">
        <f>SUMPRODUCT(--('Данные 2st'!$Q$2:$Q$317=$A83),--ISNUMBER('Данные 2st'!$FV$2:$FV$317))</f>
        <v>2</v>
      </c>
      <c r="MT83">
        <f>SUMPRODUCT(--('Данные 2st'!$Q$2:$Q$317=$A83),--ISNUMBER('Данные 2st'!$FW$2:$FW$317))</f>
        <v>2</v>
      </c>
      <c r="MU83">
        <f>SUMPRODUCT(--('Данные 2st'!$Q$2:$Q$317=$A83),--ISNUMBER('Данные 2st'!$FY$2:$FY$317))</f>
        <v>2</v>
      </c>
      <c r="MV83">
        <f>SUMPRODUCT(--('Данные 2st'!$Q$2:$Q$317=$A83),--ISNUMBER('Данные 2st'!$GB$2:$GB$317))</f>
        <v>2</v>
      </c>
      <c r="MW83">
        <f>SUMPRODUCT(--('Данные 2st'!$Q$2:$Q$317=$A83),--ISNUMBER('Данные 2st'!$GC$2:$GC$317))</f>
        <v>2</v>
      </c>
      <c r="MX83">
        <f>SUMPRODUCT(--('Данные 2st'!$Q$2:$Q$317=$A83),--ISNUMBER('Данные 2st'!$GD$2:$GD$317))</f>
        <v>2</v>
      </c>
      <c r="MY83">
        <f>SUMPRODUCT(--('Данные 2st'!$Q$2:$Q$317=$A83),--ISNUMBER('Данные 2st'!$GN$2:$GN$317))</f>
        <v>0</v>
      </c>
      <c r="MZ83">
        <f>SUMPRODUCT(--('Данные 2st'!$Q$2:$Q$317=$A83),--ISNUMBER('Данные 2st'!$GQ$2:$GQ$317))</f>
        <v>2</v>
      </c>
      <c r="NA83">
        <f>SUMPRODUCT(--('Данные 2st'!$Q$2:$Q$317=$A83),--ISNUMBER('Данные 2st'!$GV$2:$GV$317))</f>
        <v>2</v>
      </c>
      <c r="NB83">
        <f>SUMPRODUCT(--('Данные 2st'!$Q$2:$Q$317=$A83),--ISNUMBER('Данные 2st'!$GW$2:$GW$317))</f>
        <v>2</v>
      </c>
      <c r="NC83">
        <f>SUMPRODUCT(--('Данные 2st'!$Q$2:$Q$317=$A83),--ISNUMBER('Данные 2st'!$GX$2:$GX$317))</f>
        <v>2</v>
      </c>
      <c r="ND83">
        <f>SUMPRODUCT(--('Данные 2st'!$Q$2:$Q$317=$A83),--ISNUMBER('Данные 2st'!$GY$2:$GY$317))</f>
        <v>2</v>
      </c>
      <c r="NE83">
        <f>SUMPRODUCT(--('Данные 2st'!$Q$2:$Q$317=$A83),--ISNUMBER('Данные 2st'!$GZ$2:$GZ$317))</f>
        <v>2</v>
      </c>
      <c r="NF83">
        <f>SUMPRODUCT(--('Данные 2st'!$Q$2:$Q$317=$A83),--ISNUMBER('Данные 2st'!$HA$2:$HA$317))</f>
        <v>2</v>
      </c>
      <c r="NG83">
        <f>SUMPRODUCT(--('Данные 2st'!$Q$2:$Q$317=$A83),--ISNUMBER('Данные 2st'!$HB$2:$HB$317))</f>
        <v>2</v>
      </c>
      <c r="NH83">
        <f>SUMPRODUCT(--('Данные 2st'!$Q$2:$Q$317=$A83),--ISNUMBER('Данные 2st'!$HC$2:$HC$317))</f>
        <v>2</v>
      </c>
      <c r="NI83">
        <f>SUMPRODUCT(--('Данные 2st'!$Q$2:$Q$317=$A83),--ISNUMBER('Данные 2st'!$HD$2:$HD$317))</f>
        <v>2</v>
      </c>
      <c r="NJ83">
        <f>SUMPRODUCT(--('Данные 2st'!$Q$2:$Q$317=$A83),--ISNUMBER('Данные 2st'!$HM$2:$HM$317))</f>
        <v>2</v>
      </c>
      <c r="NK83">
        <f>SUMPRODUCT(--('Данные 2st'!$Q$2:$Q$317=$A83),--ISNUMBER('Данные 2st'!$HR$2:$HR$317))</f>
        <v>2</v>
      </c>
      <c r="NL83">
        <f>SUMPRODUCT(--('Данные 2st'!$Q$2:$Q$317=$A83),--ISNUMBER('Данные 2st'!$HS$2:$HS$317))</f>
        <v>2</v>
      </c>
      <c r="NM83">
        <f>SUMPRODUCT(--('Данные 2st'!$Q$2:$Q$317=$A83),--ISNUMBER('Данные 2st'!$HT$2:$HT$317))</f>
        <v>2</v>
      </c>
      <c r="NN83">
        <f>SUMPRODUCT(--('Данные 2st'!$Q$2:$Q$317=$A83),--ISNUMBER('Данные 2st'!$HY$2:$HY$317))</f>
        <v>2</v>
      </c>
      <c r="NO83">
        <f>SUMPRODUCT(--('Данные 2st'!$Q$2:$Q$317=$A83),--ISNUMBER('Данные 2st'!$HZ$2:$HZ$317))</f>
        <v>2</v>
      </c>
      <c r="NP83">
        <f>SUMPRODUCT(--('Данные 2st'!$Q$2:$Q$317=$A83),--ISNUMBER('Данные 2st'!$IA$2:$IA$317))</f>
        <v>2</v>
      </c>
      <c r="NQ83">
        <f>SUMPRODUCT(--('Данные 2st'!$Q$2:$Q$317=$A83),--ISNUMBER('Данные 2st'!$IB$2:$IB$317))</f>
        <v>2</v>
      </c>
      <c r="NR83">
        <f>SUMPRODUCT(--('Данные 2st'!$Q$2:$Q$317=$A83),--ISNUMBER('Данные 2st'!$IC$2:$IC$317))</f>
        <v>0</v>
      </c>
      <c r="NS83">
        <f>SUMPRODUCT(--('Данные 2st'!$Q$2:$Q$317=$A83),--ISNUMBER('Данные 2st'!$ID$2:$ID$317))</f>
        <v>2</v>
      </c>
      <c r="NT83">
        <f>SUMPRODUCT(--('Данные 2st'!$Q$2:$Q$317=$A83),--ISNUMBER('Данные 2st'!$IE$2:$IE$317))</f>
        <v>2</v>
      </c>
      <c r="NU83">
        <f>SUMPRODUCT(--('Данные 2st'!$Q$2:$Q$317=$A83),--ISNUMBER('Данные 2st'!$IF$2:$IF$317))</f>
        <v>2</v>
      </c>
      <c r="NV83">
        <f>SUMPRODUCT(--('Данные 2st'!$Q$2:$Q$317=$A83),--ISNUMBER('Данные 2st'!$IG$2:$IG$317))</f>
        <v>2</v>
      </c>
      <c r="NW83">
        <f>SUMPRODUCT(--('Данные 2st'!$Q$2:$Q$317=$A83),--ISNUMBER('Данные 2st'!$IH$2:$IH$317))</f>
        <v>2</v>
      </c>
      <c r="NX83">
        <f>SUMPRODUCT(--('Данные 2st'!$Q$2:$Q$317=$A83),--ISNUMBER('Данные 2st'!$IJ$2:$IJ$317))</f>
        <v>2</v>
      </c>
      <c r="NY83">
        <f>SUMPRODUCT(--('Данные 2st'!$Q$2:$Q$317=$A83),--ISNUMBER('Данные 2st'!$IM$2:$IM$317))</f>
        <v>2</v>
      </c>
      <c r="NZ83">
        <f>SUMPRODUCT(--('Данные 2st'!$Q$2:$Q$317=$A83),--ISNUMBER('Данные 2st'!$IN$2:$IN$317))</f>
        <v>2</v>
      </c>
      <c r="OA83">
        <f>SUMPRODUCT(--('Данные 2st'!$Q$2:$Q$317=$A83),--ISNUMBER('Данные 2st'!$IO$2:$IO$317))</f>
        <v>2</v>
      </c>
      <c r="OB83">
        <f>SUMPRODUCT(--('Данные 2st'!$Q$2:$Q$317=$A83),--ISNUMBER('Данные 2st'!$IP$2:$IP$317))</f>
        <v>2</v>
      </c>
      <c r="OC83">
        <f>SUMPRODUCT(--('Данные 2st'!$Q$2:$Q$317=$A83),--ISNUMBER('Данные 2st'!$IQ$2:$IQ$317))</f>
        <v>2</v>
      </c>
      <c r="OD83">
        <f>SUMPRODUCT(--('Данные 2st'!$Q$2:$Q$317=$A83),--ISNUMBER('Данные 2st'!$IR$2:$IR$317))</f>
        <v>2</v>
      </c>
      <c r="OE83">
        <f>SUMPRODUCT(--('Данные 2st'!$Q$2:$Q$317=$A83),--ISNUMBER('Данные 2st'!$IT$2:$IT$317))</f>
        <v>2</v>
      </c>
      <c r="OF83">
        <f>SUMPRODUCT(--('Данные 2st'!$Q$2:$Q$317=$A83),--ISNUMBER('Данные 2st'!$IU$2:$IU$317))</f>
        <v>2</v>
      </c>
      <c r="OG83">
        <f>SUMPRODUCT(--('Данные 2st'!$Q$2:$Q$317=$A83),--ISNUMBER('Данные 2st'!$IV$2:$IV$317))</f>
        <v>2</v>
      </c>
      <c r="OH83">
        <f>SUMPRODUCT(--('Данные 2st'!$Q$2:$Q$317=$A83),--ISNUMBER('Данные 2st'!$IW$2:$IW$317))</f>
        <v>2</v>
      </c>
      <c r="OI83">
        <f>SUMPRODUCT(--('Данные 2st'!$Q$2:$Q$317=$A83),--ISNUMBER('Данные 2st'!$IX$2:$IX$317))</f>
        <v>2</v>
      </c>
      <c r="OJ83">
        <f>SUMPRODUCT(--('Данные 2st'!$Q$2:$Q$317=$A83),--ISNUMBER('Данные 2st'!$IY$2:$IY$317))</f>
        <v>2</v>
      </c>
      <c r="OK83">
        <f>SUMPRODUCT(--('Данные 2st'!$Q$2:$Q$317=$A83),--ISNUMBER('Данные 2st'!$IZ$2:$IZ$317))</f>
        <v>2</v>
      </c>
      <c r="OL83">
        <f>SUMPRODUCT(--('Данные 2st'!$Q$2:$Q$317=$A83),--ISNUMBER('Данные 2st'!$JA$2:$JA$317))</f>
        <v>2</v>
      </c>
      <c r="OM83">
        <f>SUMPRODUCT(--('Данные 2st'!$Q$2:$Q$317=$A83),--ISNUMBER('Данные 2st'!$JB$2:$JB$317))</f>
        <v>2</v>
      </c>
      <c r="ON83">
        <f>SUMPRODUCT(--('Данные 2st'!$Q$2:$Q$317=$A83),--ISNUMBER('Данные 2st'!$JC$2:$JC$317))</f>
        <v>2</v>
      </c>
      <c r="OO83">
        <f>SUMPRODUCT(--('Данные 2st'!$Q$2:$Q$317=$A83),--ISNUMBER('Данные 2st'!$JD$2:$JD$317))</f>
        <v>2</v>
      </c>
      <c r="OP83">
        <f>SUMPRODUCT(--('Данные 2st'!$Q$2:$Q$317=$A83),--ISNUMBER('Данные 2st'!$JE$2:$JE$317))</f>
        <v>2</v>
      </c>
      <c r="OQ83">
        <f>SUMPRODUCT(--('Данные 2st'!$Q$2:$Q$317=$A83),--ISNUMBER('Данные 2st'!$JF$2:$JF$317))</f>
        <v>2</v>
      </c>
      <c r="OR83">
        <f>SUMPRODUCT(--('Данные 2st'!$Q$2:$Q$317=$A83),--ISNUMBER('Данные 2st'!$JG$2:$JG$317))</f>
        <v>2</v>
      </c>
      <c r="OS83">
        <f>SUMPRODUCT(--('Данные 2st'!$Q$2:$Q$317=$A83),--ISNUMBER('Данные 2st'!$JH$2:$JH$317))</f>
        <v>2</v>
      </c>
      <c r="OT83">
        <f>SUMPRODUCT(--('Данные 2st'!$Q$2:$Q$317=$A83),--ISNUMBER('Данные 2st'!$JI$2:$JI$317))</f>
        <v>2</v>
      </c>
      <c r="OU83">
        <f>SUMPRODUCT(--('Данные 2st'!$Q$2:$Q$317=$A83),--ISNUMBER('Данные 2st'!$JJ$2:$JJ$317))</f>
        <v>2</v>
      </c>
      <c r="OV83">
        <f>SUMPRODUCT(--('Данные 2st'!$Q$2:$Q$317=$A83),--ISNUMBER('Данные 2st'!$JK$2:$JK$317))</f>
        <v>2</v>
      </c>
      <c r="OW83">
        <f>SUMPRODUCT(--('Данные 2st'!$Q$2:$Q$317=$A83),--ISNUMBER('Данные 2st'!$JL$2:$JL$317))</f>
        <v>2</v>
      </c>
      <c r="OX83">
        <f>SUMPRODUCT(--('Данные 2st'!$Q$2:$Q$317=$A83),--ISNUMBER('Данные 2st'!$JM$2:$JM$317))</f>
        <v>2</v>
      </c>
      <c r="OY83">
        <f>SUMPRODUCT(--('Данные 2st'!$Q$2:$Q$317=$A83),--ISNUMBER('Данные 2st'!$JP$2:$JP$317))</f>
        <v>2</v>
      </c>
      <c r="OZ83">
        <f>SUMPRODUCT(--('Данные 2st'!$Q$2:$Q$317=$A83),--ISNUMBER('Данные 2st'!$JQ$2:$JQ$317))</f>
        <v>2</v>
      </c>
      <c r="PA83">
        <f>SUMPRODUCT(--('Данные 2st'!$Q$2:$Q$317=$A83),--ISNUMBER('Данные 2st'!$JR$2:$JR$317))</f>
        <v>2</v>
      </c>
      <c r="PB83">
        <f>SUMPRODUCT(--('Данные 2st'!$Q$2:$Q$317=$A83),--ISNUMBER('Данные 2st'!$JS$2:$JS$317))</f>
        <v>2</v>
      </c>
      <c r="PC83">
        <f>SUMPRODUCT(--('Данные 2st'!$Q$2:$Q$317=$A83),--ISNUMBER('Данные 2st'!$JT$2:$JT$317))</f>
        <v>2</v>
      </c>
      <c r="PD83">
        <f>SUMPRODUCT(--('Данные 2st'!$Q$2:$Q$317=$A83),--ISNUMBER('Данные 2st'!$JU$2:$JU$317))</f>
        <v>2</v>
      </c>
      <c r="PE83">
        <f>SUMPRODUCT(--('Данные 2st'!$Q$2:$Q$317=$A83),--ISNUMBER('Данные 2st'!$JV$2:$JV$317))</f>
        <v>2</v>
      </c>
      <c r="PF83">
        <f>SUMPRODUCT(--('Данные 2st'!$Q$2:$Q$317=$A83),--ISNUMBER('Данные 2st'!$JW$2:$JW$317))</f>
        <v>2</v>
      </c>
      <c r="PG83">
        <f>SUMPRODUCT(--('Данные 2st'!$Q$2:$Q$317=$A83),--ISNUMBER('Данные 2st'!$KF$2:$KF$317))</f>
        <v>2</v>
      </c>
      <c r="PH83">
        <f>SUMPRODUCT(--('Данные 2st'!$Q$2:$Q$317=$A83),--ISNUMBER('Данные 2st'!$KG$2:$KG$317))</f>
        <v>2</v>
      </c>
      <c r="PI83">
        <f>SUMPRODUCT(--('Данные 2st'!$Q$2:$Q$317=$A83),--ISNUMBER('Данные 2st'!$KM$2:$KM$317))</f>
        <v>2</v>
      </c>
      <c r="PJ83">
        <f>SUMPRODUCT(--('Данные 2st'!$Q$2:$Q$317=$A83),--ISNUMBER('Данные 2st'!$KN$2:$KN$317))</f>
        <v>2</v>
      </c>
      <c r="PK83">
        <f>SUMPRODUCT(--('Данные 2st'!$Q$2:$Q$317=$A83),--ISNUMBER('Данные 2st'!$KO$2:$KO$317))</f>
        <v>2</v>
      </c>
      <c r="PL83">
        <f>SUMPRODUCT(--('Данные 2st'!$Q$2:$Q$317=$A83),--ISNUMBER('Данные 2st'!$KP$2:$KP$317))</f>
        <v>2</v>
      </c>
      <c r="PM83">
        <f>SUMPRODUCT(--('Данные 2st'!$Q$2:$Q$317=$A83),--ISNUMBER('Данные 2st'!$KQ$2:$KQ$317))</f>
        <v>2</v>
      </c>
      <c r="PN83">
        <f>SUMPRODUCT(--('Данные 2st'!$Q$2:$Q$317=$A83),--ISNUMBER('Данные 2st'!$KR$2:$KR$317))</f>
        <v>2</v>
      </c>
      <c r="PO83">
        <f>SUMPRODUCT(--('Данные 2st'!$Q$2:$Q$317=$A83),--ISNUMBER('Данные 2st'!$KS$2:$KS$317))</f>
        <v>2</v>
      </c>
      <c r="PP83">
        <f>SUMPRODUCT(--('Данные 2st'!$Q$2:$Q$317=$A83),--ISNUMBER('Данные 2st'!$KT$2:$KT$317))</f>
        <v>2</v>
      </c>
      <c r="PQ83">
        <f>SUMPRODUCT(--('Данные 2st'!$Q$2:$Q$317=$A83),--ISNUMBER('Данные 2st'!$KU$2:$KU$317))</f>
        <v>2</v>
      </c>
      <c r="PR83">
        <f>SUMPRODUCT(--('Данные 2st'!$Q$2:$Q$317=$A83),--ISNUMBER('Данные 2st'!$KV$2:$KV$317))</f>
        <v>2</v>
      </c>
      <c r="PS83">
        <f>SUMPRODUCT(--('Данные 2st'!$Q$2:$Q$317=$A83),--ISNUMBER('Данные 2st'!$KW$2:$KW$317))</f>
        <v>2</v>
      </c>
      <c r="PT83">
        <f>SUMPRODUCT(--('Данные 2st'!$Q$2:$Q$317=$A83),--ISNUMBER('Данные 2st'!$KX$2:$KX$317))</f>
        <v>2</v>
      </c>
      <c r="PU83">
        <f>SUMPRODUCT(--('Данные 2st'!$Q$2:$Q$317=$A83),--ISNUMBER('Данные 2st'!$KY$2:$KY$317))</f>
        <v>2</v>
      </c>
      <c r="PV83">
        <f>SUMPRODUCT(--('Данные 2st'!$Q$2:$Q$317=$A83),--ISNUMBER('Данные 2st'!$KZ$2:$KZ$317))</f>
        <v>2</v>
      </c>
      <c r="PW83">
        <f>SUMPRODUCT(--('Данные 2st'!$Q$2:$Q$317=$A83),--ISNUMBER('Данные 2st'!$LA$2:$LA$317))</f>
        <v>2</v>
      </c>
      <c r="PX83">
        <f>SUMPRODUCT(--('Данные 2st'!$Q$2:$Q$317=$A83),--ISNUMBER('Данные 2st'!$LB$2:$LB$317))</f>
        <v>2</v>
      </c>
      <c r="PY83">
        <f>SUMPRODUCT(--('Данные 2st'!$Q$2:$Q$317=$A83),--ISNUMBER('Данные 2st'!$LC$2:$LC$317))</f>
        <v>2</v>
      </c>
      <c r="PZ83">
        <f>SUMPRODUCT(--('Данные 2st'!$Q$2:$Q$317=$A83),--ISNUMBER('Данные 2st'!$LD$2:$LD$317))</f>
        <v>2</v>
      </c>
      <c r="QA83">
        <f>SUMPRODUCT(--('Данные 2st'!$Q$2:$Q$317=$A83),--ISNUMBER('Данные 2st'!$LE$2:$LE$317))</f>
        <v>2</v>
      </c>
      <c r="QB83">
        <f>SUMPRODUCT(--('Данные 2st'!$Q$2:$Q$317=$A83),--ISNUMBER('Данные 2st'!$LF$2:$LF$317))</f>
        <v>2</v>
      </c>
      <c r="QC83">
        <f>SUMPRODUCT(--('Данные 2st'!$Q$2:$Q$317=$A83),--ISNUMBER('Данные 2st'!$LG$2:$LG$317))</f>
        <v>2</v>
      </c>
      <c r="QD83">
        <f>SUMPRODUCT(--('Данные 2st'!$Q$2:$Q$317=$A83),--ISNUMBER('Данные 2st'!$LH$2:$LH$317))</f>
        <v>2</v>
      </c>
      <c r="QE83">
        <f>SUMPRODUCT(--('Данные 2st'!$Q$2:$Q$317=$A83),--ISNUMBER('Данные 2st'!$LJ$2:$LJ$317))</f>
        <v>2</v>
      </c>
      <c r="QF83">
        <f>SUMPRODUCT(--('Данные 2st'!$Q$2:$Q$317=$A83),--ISNUMBER('Данные 2st'!$LK$2:$LK$317))</f>
        <v>2</v>
      </c>
      <c r="QG83">
        <f>SUMPRODUCT(--('Данные 2st'!$Q$2:$Q$317=$A83),--ISNUMBER('Данные 2st'!$LL$2:$LL$317))</f>
        <v>2</v>
      </c>
      <c r="QH83">
        <f>SUMPRODUCT(--('Данные 2st'!$Q$2:$Q$317=$A83),--ISNUMBER('Данные 2st'!$LM$2:$LM$317))</f>
        <v>2</v>
      </c>
      <c r="QI83">
        <f>SUMPRODUCT(--('Данные 2st'!$Q$2:$Q$317=$A83),--ISNUMBER('Данные 2st'!$LN$2:$LN$317))</f>
        <v>2</v>
      </c>
      <c r="QJ83">
        <f>SUMPRODUCT(--('Данные 2st'!$Q$2:$Q$317=$A83),--ISNUMBER('Данные 2st'!$LO$2:$LO$317))</f>
        <v>2</v>
      </c>
      <c r="QK83">
        <f>SUMPRODUCT(--('Данные 2st'!$Q$2:$Q$317=$A83),--ISNUMBER('Данные 2st'!$LP$2:$LP$317))</f>
        <v>2</v>
      </c>
      <c r="QL83">
        <f>SUMPRODUCT(--('Данные 2st'!$Q$2:$Q$317=$A83),--ISNUMBER('Данные 2st'!$LQ$2:$LQ$317))</f>
        <v>2</v>
      </c>
      <c r="QM83">
        <f>SUMPRODUCT(--('Данные 2st'!$Q$2:$Q$317=$A83),--ISNUMBER('Данные 2st'!$LW$2:$LW$317))</f>
        <v>2</v>
      </c>
      <c r="QN83">
        <f>SUMPRODUCT(--('Данные 2st'!$Q$2:$Q$317=$A83),--ISNUMBER('Данные 2st'!$LX$2:$LX$317))</f>
        <v>2</v>
      </c>
      <c r="QO83">
        <f>SUMPRODUCT(--('Данные 2st'!$Q$2:$Q$317=$A83),--ISNUMBER('Данные 2st'!$LY$2:$LY$317))</f>
        <v>2</v>
      </c>
      <c r="QP83">
        <f>SUMPRODUCT(--('Данные 2st'!$Q$2:$Q$317=$A83),--ISNUMBER('Данные 2st'!$LZ$2:$LZ$317))</f>
        <v>2</v>
      </c>
      <c r="QQ83">
        <f>SUMPRODUCT(--('Данные 2st'!$Q$2:$Q$317=$A83),--ISNUMBER('Данные 2st'!$MB$2:$MB$317))</f>
        <v>2</v>
      </c>
      <c r="QR83">
        <f>SUMPRODUCT(--('Данные 2st'!$Q$2:$Q$317=$A83),--ISNUMBER('Данные 2st'!$MG$2:$MG$317))</f>
        <v>2</v>
      </c>
      <c r="QS83">
        <f>SUMPRODUCT(--('Данные 2st'!$Q$2:$Q$317=$A83),--ISNUMBER('Данные 2st'!$MH$2:$MH$317))</f>
        <v>2</v>
      </c>
      <c r="QT83">
        <f>SUMPRODUCT(--('Данные 2st'!$Q$2:$Q$317=$A83),--ISNUMBER('Данные 2st'!$MI$2:$MI$317))</f>
        <v>2</v>
      </c>
      <c r="QU83">
        <f>SUMPRODUCT(--('Данные 2st'!$Q$2:$Q$317=$A83),--ISNUMBER('Данные 2st'!$MJ$2:$MJ$317))</f>
        <v>2</v>
      </c>
      <c r="QV83">
        <f>SUMPRODUCT(--('Данные 2st'!$Q$2:$Q$317=$A83),--ISNUMBER('Данные 2st'!$MK$2:$MK$317))</f>
        <v>2</v>
      </c>
      <c r="QW83">
        <f>SUMPRODUCT(--('Данные 2st'!$Q$2:$Q$317=$A83),--ISNUMBER('Данные 2st'!$MM$2:$MM$317))</f>
        <v>1</v>
      </c>
      <c r="QX83">
        <f>SUMPRODUCT(--('Данные 2st'!$Q$2:$Q$317=$A83),--ISNUMBER('Данные 2st'!$MQ$2:$MQ$317))</f>
        <v>0</v>
      </c>
      <c r="QY83">
        <f>SUMPRODUCT(--('Данные 2st'!$Q$2:$Q$317=$A83),--ISNUMBER('Данные 2st'!$MR$2:$MR$317))</f>
        <v>0</v>
      </c>
      <c r="QZ83">
        <f>SUMPRODUCT(--('Данные 2st'!$Q$2:$Q$317=$A83),--ISNUMBER('Данные 2st'!$MS$2:$MS$317))</f>
        <v>0</v>
      </c>
      <c r="RA83">
        <f>SUMPRODUCT(--('Данные 2st'!$Q$2:$Q$317=$A83),--ISNUMBER('Данные 2st'!$MT$2:$MT$317))</f>
        <v>0</v>
      </c>
      <c r="RB83">
        <f>SUMPRODUCT(--('Данные 2st'!$Q$2:$Q$317=$A83),--ISNUMBER('Данные 2st'!$MU$2:$MU$317))</f>
        <v>0</v>
      </c>
      <c r="RC83">
        <f>SUMPRODUCT(--('Данные 2st'!$Q$2:$Q$317=$A83),--ISNUMBER('Данные 2st'!$MV$2:$MV$317))</f>
        <v>0</v>
      </c>
      <c r="RD83">
        <f>SUMPRODUCT(--('Данные 2st'!$Q$2:$Q$317=$A83),--ISNUMBER('Данные 2st'!$MW$2:$MW$317))</f>
        <v>0</v>
      </c>
      <c r="RE83">
        <f>SUMPRODUCT(--('Данные 2st'!$Q$2:$Q$317=$A83),--ISNUMBER('Данные 2st'!$MX$2:$MX$317))</f>
        <v>0</v>
      </c>
      <c r="RF83">
        <f>SUMPRODUCT(--('Данные 2st'!$Q$2:$Q$317=$A83),--ISNUMBER('Данные 2st'!$MY$2:$MY$317))</f>
        <v>0</v>
      </c>
      <c r="RG83">
        <f>SUMPRODUCT(--('Данные 2st'!$Q$2:$Q$317=$A83),--ISNUMBER('Данные 2st'!$MZ$2:$MZ$317))</f>
        <v>0</v>
      </c>
      <c r="RH83">
        <f>SUMPRODUCT(--('Данные 2st'!$Q$2:$Q$317=$A83),--ISNUMBER('Данные 2st'!$NA$2:$NA$317))</f>
        <v>0</v>
      </c>
      <c r="RI83">
        <f>SUMPRODUCT(--('Данные 2st'!$Q$2:$Q$317=$A83),--ISNUMBER('Данные 2st'!$NB$2:$NB$317))</f>
        <v>0</v>
      </c>
      <c r="RJ83">
        <f>SUMPRODUCT(--('Данные 2st'!$Q$2:$Q$317=$A83),--ISNUMBER('Данные 2st'!$NC$2:$NC$317))</f>
        <v>0</v>
      </c>
      <c r="RK83">
        <f>SUMPRODUCT(--('Данные 2st'!$Q$2:$Q$317=$A83),--ISNUMBER('Данные 2st'!$ND$2:$ND$317))</f>
        <v>0</v>
      </c>
      <c r="RL83">
        <f>SUMPRODUCT(--('Данные 2st'!$Q$2:$Q$317=$A83),--ISNUMBER('Данные 2st'!$NE$2:$NE$317))</f>
        <v>0</v>
      </c>
      <c r="RM83">
        <f>SUMPRODUCT(--('Данные 2st'!$Q$2:$Q$317=$A83),--ISNUMBER('Данные 2st'!$NF$2:$NF$317))</f>
        <v>0</v>
      </c>
      <c r="RN83">
        <f>SUMPRODUCT(--('Данные 2st'!$Q$2:$Q$317=$A83),--ISNUMBER('Данные 2st'!$NG$2:$NG$317))</f>
        <v>0</v>
      </c>
      <c r="RO83">
        <f>SUMPRODUCT(--('Данные 2st'!$Q$2:$Q$317=$A83),--ISNUMBER('Данные 2st'!$NH$2:$NH$317))</f>
        <v>0</v>
      </c>
      <c r="RP83">
        <f>SUMPRODUCT(--('Данные 2st'!$Q$2:$Q$317=$A83),--ISNUMBER('Данные 2st'!$NJ$2:$NJ$317))</f>
        <v>0</v>
      </c>
      <c r="RQ83">
        <f>SUMPRODUCT(--('Данные 2st'!$Q$2:$Q$317=$A83),--ISNUMBER('Данные 2st'!$NK$2:$NK$317))</f>
        <v>0</v>
      </c>
      <c r="RR83">
        <f>SUMPRODUCT(--('Данные 2st'!$Q$2:$Q$317=$A83),--ISNUMBER('Данные 2st'!$NM$2:$NM$317))</f>
        <v>0</v>
      </c>
      <c r="RS83">
        <f>SUMPRODUCT(--('Данные 2st'!$Q$2:$Q$317=$A83),--ISNUMBER('Данные 2st'!$NN$2:$NN$317))</f>
        <v>0</v>
      </c>
      <c r="RT83">
        <f>SUMPRODUCT(--('Данные 2st'!$Q$2:$Q$317=$A83),--ISNUMBER('Данные 2st'!$NO$2:$NO$317))</f>
        <v>0</v>
      </c>
      <c r="RU83">
        <f>SUMPRODUCT(--('Данные 2st'!$Q$2:$Q$317=$A83),--ISNUMBER('Данные 2st'!$NP$2:$NP$317))</f>
        <v>0</v>
      </c>
      <c r="RV83">
        <f>SUMPRODUCT(--('Данные 2st'!$Q$2:$Q$317=$A83),--ISNUMBER('Данные 2st'!$NQ$2:$NQ$317))</f>
        <v>0</v>
      </c>
      <c r="RW83">
        <f>SUMPRODUCT(--('Данные 2st'!$Q$2:$Q$317=$A83),--ISNUMBER('Данные 2st'!$NR$2:$NR$317))</f>
        <v>0</v>
      </c>
      <c r="RX83">
        <f>SUMPRODUCT(--('Данные 2st'!$Q$2:$Q$317=$A83),--ISNUMBER('Данные 2st'!$NS$2:$NS$317))</f>
        <v>0</v>
      </c>
      <c r="RY83">
        <f>SUMPRODUCT(--('Данные 2st'!$Q$2:$Q$317=$A83),--ISNUMBER('Данные 2st'!$NT$2:$NT$317))</f>
        <v>0</v>
      </c>
      <c r="RZ83">
        <f>SUMPRODUCT(--('Данные 2st'!$Q$2:$Q$317=$A83),--ISNUMBER('Данные 2st'!$OK$2:$OK$317))</f>
        <v>2</v>
      </c>
      <c r="SA83">
        <f>SUMPRODUCT(--('Данные 2st'!$Q$2:$Q$317=$A83),--ISNUMBER('Данные 2st'!$OL$2:$OL$317))</f>
        <v>2</v>
      </c>
      <c r="SB83">
        <f>SUMPRODUCT(--('Данные 2st'!$Q$2:$Q$317=$A83),--ISNUMBER('Данные 2st'!$ON$2:$ON$317))</f>
        <v>2</v>
      </c>
      <c r="SC83">
        <f>SUMPRODUCT(--('Данные 2st'!$Q$2:$Q$317=$A83),--ISNUMBER('Данные 2st'!$OO$2:$OO$317))</f>
        <v>2</v>
      </c>
      <c r="SD83">
        <f>SUMPRODUCT(--('Данные 2st'!$Q$2:$Q$317=$A83),--ISNUMBER('Данные 2st'!$OP$2:$OP$317))</f>
        <v>2</v>
      </c>
      <c r="SE83">
        <f>SUMPRODUCT(--('Данные 2st'!$Q$2:$Q$317=$A83),--ISNUMBER('Данные 2st'!$OQ$2:$OQ$317))</f>
        <v>2</v>
      </c>
      <c r="SF83">
        <f>SUMPRODUCT(--('Данные 2st'!$Q$2:$Q$317=$A83),--ISNUMBER('Данные 2st'!$OS$2:$OS$317))</f>
        <v>2</v>
      </c>
      <c r="SG83">
        <f>SUMPRODUCT(--('Данные 2st'!$Q$2:$Q$317=$A83),--ISNUMBER('Данные 2st'!$OT$2:$OT$317))</f>
        <v>2</v>
      </c>
      <c r="SH83">
        <f>SUMPRODUCT(--('Данные 2st'!$Q$2:$Q$317=$A83),--ISNUMBER('Данные 2st'!$OU$2:$OU$317))</f>
        <v>2</v>
      </c>
      <c r="SI83">
        <f>SUMPRODUCT(--('Данные 2st'!$Q$2:$Q$317=$A83),--ISNUMBER('Данные 2st'!$OV$2:$OV$317))</f>
        <v>2</v>
      </c>
      <c r="SJ83">
        <f>SUMPRODUCT(--('Данные 2st'!$Q$2:$Q$317=$A83),--ISNUMBER('Данные 2st'!$OX$2:$OX$317))</f>
        <v>2</v>
      </c>
      <c r="SK83">
        <f>SUMPRODUCT(--('Данные 2st'!$Q$2:$Q$317=$A83),--ISNUMBER('Данные 2st'!$OY$2:$OY$317))</f>
        <v>2</v>
      </c>
      <c r="SL83">
        <f>SUMPRODUCT(--('Данные 2st'!$Q$2:$Q$317=$A83),--ISNUMBER('Данные 2st'!$OZ$2:$OZ$317))</f>
        <v>2</v>
      </c>
      <c r="SM83">
        <f>SUMPRODUCT(--('Данные 2st'!$Q$2:$Q$317=$A83),--ISNUMBER('Данные 2st'!$PA$2:$PA$317))</f>
        <v>2</v>
      </c>
      <c r="SN83">
        <f>SUMPRODUCT(--('Данные 2st'!$Q$2:$Q$317=$A83),--ISNUMBER('Данные 2st'!$PC$2:$PC$317))</f>
        <v>2</v>
      </c>
      <c r="SO83">
        <f>SUMPRODUCT(--('Данные 2st'!$Q$2:$Q$317=$A83),--ISNUMBER('Данные 2st'!$PD$2:$PD$317))</f>
        <v>2</v>
      </c>
      <c r="SP83">
        <f>SUMPRODUCT(--('Данные 2st'!$Q$2:$Q$317=$A83),--ISNUMBER('Данные 2st'!$PF$2:$PF$317))</f>
        <v>2</v>
      </c>
      <c r="SQ83">
        <f>SUMPRODUCT(--('Данные 2st'!$Q$2:$Q$317=$A83),--ISNUMBER('Данные 2st'!$PG$2:$PG$317))</f>
        <v>2</v>
      </c>
      <c r="SR83">
        <f>SUMPRODUCT(--('Данные 2st'!$Q$2:$Q$317=$A83),--ISNUMBER('Данные 2st'!$PH$2:$PH$317))</f>
        <v>2</v>
      </c>
      <c r="SS83">
        <f>SUMPRODUCT(--('Данные 2st'!$Q$2:$Q$317=$A83),--ISNUMBER('Данные 2st'!$PI$2:$PI$317))</f>
        <v>2</v>
      </c>
      <c r="ST83">
        <f>SUMPRODUCT(--('Данные 2st'!$Q$2:$Q$317=$A83),--ISNUMBER('Данные 2st'!$PJ$2:$PJ$317))</f>
        <v>2</v>
      </c>
      <c r="SU83">
        <f>SUMPRODUCT(--('Данные 2st'!$Q$2:$Q$317=$A83),--ISNUMBER('Данные 2st'!$PK$2:$PK$317))</f>
        <v>1</v>
      </c>
      <c r="SV83">
        <f>SUMPRODUCT(--('Данные 2st'!$Q$2:$Q$317=$A83),--ISNUMBER('Данные 2st'!$PL$2:$PL$317))</f>
        <v>2</v>
      </c>
      <c r="SW83">
        <f>SUMPRODUCT(--('Данные 2st'!$Q$2:$Q$317=$A83),--ISNUMBER('Данные 2st'!$PM$2:$PM$317))</f>
        <v>2</v>
      </c>
      <c r="SX83">
        <f>SUMPRODUCT(--('Данные 2st'!$Q$2:$Q$317=$A83),--ISNUMBER('Данные 2st'!$PN$2:$PN$317))</f>
        <v>2</v>
      </c>
      <c r="SY83">
        <f>SUMPRODUCT(--('Данные 2st'!$Q$2:$Q$317=$A83),--ISNUMBER('Данные 2st'!$PO$2:$PO$317))</f>
        <v>2</v>
      </c>
      <c r="SZ83">
        <f>SUMPRODUCT(--('Данные 2st'!$Q$2:$Q$317=$A83),--ISNUMBER('Данные 2st'!$PP$2:$PP$317))</f>
        <v>2</v>
      </c>
      <c r="TA83">
        <f>SUMPRODUCT(--('Данные 2st'!$Q$2:$Q$317=$A83),--ISNUMBER('Данные 2st'!$PQ$2:$PQ$317))</f>
        <v>2</v>
      </c>
      <c r="TB83">
        <f>SUMPRODUCT(--('Данные 2st'!$Q$2:$Q$317=$A83),--ISNUMBER('Данные 2st'!$PR$2:$PR$317))</f>
        <v>2</v>
      </c>
      <c r="TC83">
        <f>SUMPRODUCT(--('Данные 2st'!$Q$2:$Q$317=$A83),--ISNUMBER('Данные 2st'!$PS$2:$PS$317))</f>
        <v>2</v>
      </c>
      <c r="TD83">
        <f>SUMPRODUCT(--('Данные 2st'!$Q$2:$Q$317=$A83),--ISNUMBER('Данные 2st'!$PT$2:$PT$317))</f>
        <v>2</v>
      </c>
      <c r="TE83">
        <f>SUMPRODUCT(--('Данные 2st'!$Q$2:$Q$317=$A83),--ISNUMBER('Данные 2st'!$PU$2:$PU$317))</f>
        <v>2</v>
      </c>
      <c r="TF83">
        <f>SUMPRODUCT(--('Данные 2st'!$Q$2:$Q$317=$A83),--ISNUMBER('Данные 2st'!$PX$2:$PX$317))</f>
        <v>2</v>
      </c>
      <c r="TG83">
        <f>SUMPRODUCT(--('Данные 2st'!$Q$2:$Q$317=$A83),--ISNUMBER('Данные 2st'!$PY$2:$PY$317))</f>
        <v>2</v>
      </c>
      <c r="TH83">
        <f>SUMPRODUCT(--('Данные 2st'!$Q$2:$Q$317=$A83),--ISNUMBER('Данные 2st'!$PZ$2:$PZ$317))</f>
        <v>2</v>
      </c>
      <c r="TI83">
        <f>SUMPRODUCT(--('Данные 2st'!$Q$2:$Q$317=$A83),--ISNUMBER('Данные 2st'!$QA$2:$QA$317))</f>
        <v>2</v>
      </c>
      <c r="TJ83">
        <f>SUMPRODUCT(--('Данные 2st'!$Q$2:$Q$317=$A83),--ISNUMBER('Данные 2st'!$QB$2:$QB$317))</f>
        <v>2</v>
      </c>
      <c r="TK83">
        <f>SUMPRODUCT(--('Данные 2st'!$Q$2:$Q$317=$A83),--ISNUMBER('Данные 2st'!$QC$2:$QC$317))</f>
        <v>2</v>
      </c>
      <c r="TL83">
        <f>SUMPRODUCT(--('Данные 2st'!$Q$2:$Q$317=$A83),--ISNUMBER('Данные 2st'!$QD$2:$QD$317))</f>
        <v>2</v>
      </c>
      <c r="TM83">
        <f>SUMPRODUCT(--('Данные 2st'!$Q$2:$Q$317=$A83),--ISNUMBER('Данные 2st'!$QE$2:$QE$317))</f>
        <v>2</v>
      </c>
      <c r="TN83">
        <f>SUMPRODUCT(--('Данные 2st'!$Q$2:$Q$317=$A83),--ISNUMBER('Данные 2st'!$QF$2:$QF$317))</f>
        <v>2</v>
      </c>
      <c r="TO83">
        <f>SUMPRODUCT(--('Данные 2st'!$Q$2:$Q$317=$A83),--ISNUMBER('Данные 2st'!$QG$2:$QG$317))</f>
        <v>2</v>
      </c>
      <c r="TP83">
        <f>SUMPRODUCT(--('Данные 2st'!$Q$2:$Q$317=$A83),--ISNUMBER('Данные 2st'!$QH$2:$QH$317))</f>
        <v>2</v>
      </c>
      <c r="TQ83">
        <f>SUMPRODUCT(--('Данные 2st'!$Q$2:$Q$317=$A83),--ISNUMBER('Данные 2st'!$QI$2:$QI$317))</f>
        <v>2</v>
      </c>
      <c r="TR83">
        <f>SUMPRODUCT(--('Данные 2st'!$Q$2:$Q$317=$A83),--ISNUMBER('Данные 2st'!$QJ$2:$QJ$317))</f>
        <v>2</v>
      </c>
      <c r="TS83">
        <f>SUMPRODUCT(--('Данные 2st'!$Q$2:$Q$317=$A83),--ISNUMBER('Данные 2st'!$QK$2:$QK$317))</f>
        <v>2</v>
      </c>
      <c r="TT83">
        <f>SUMPRODUCT(--('Данные 2st'!$Q$2:$Q$317=$A83),--ISNUMBER('Данные 2st'!$QL$2:$QL$317))</f>
        <v>2</v>
      </c>
      <c r="TU83">
        <f>SUMPRODUCT(--('Данные 2st'!$Q$2:$Q$317=$A83),--ISNUMBER('Данные 2st'!$QM$2:$QM$317))</f>
        <v>2</v>
      </c>
      <c r="TV83">
        <f>SUMPRODUCT(--('Данные 2st'!$Q$2:$Q$317=$A83),--ISNUMBER('Данные 2st'!$QN$2:$QN$317))</f>
        <v>2</v>
      </c>
      <c r="TW83">
        <f>SUMPRODUCT(--('Данные 2st'!$Q$2:$Q$317=$A83),--ISNUMBER('Данные 2st'!$QQ$2:$QQ$317))</f>
        <v>2</v>
      </c>
      <c r="TX83">
        <f>SUMPRODUCT(--('Данные 2st'!$Q$2:$Q$317=$A83),--ISNUMBER('Данные 2st'!$QS$2:$QS$317))</f>
        <v>1</v>
      </c>
      <c r="TY83">
        <f>SUMPRODUCT(--('Данные 2st'!$Q$2:$Q$317=$A83),--ISNUMBER('Данные 2st'!$QT$2:$QT$317))</f>
        <v>1</v>
      </c>
    </row>
    <row r="84" spans="1:545" ht="32" customHeight="1">
      <c r="A84" s="11" t="str">
        <f>'По размерам'!A84</f>
        <v>285/45R20</v>
      </c>
      <c r="G84">
        <f>SUMPRODUCT(--('Данные 1st'!$S$2:$S$317=$A84),--ISNUMBER('Данные 1st'!$AE$2:$AE$317))</f>
        <v>1</v>
      </c>
      <c r="H84">
        <f>SUMPRODUCT(--('Данные 1st'!$S$2:$S$317=$A84),--ISNUMBER('Данные 1st'!$AF$2:$AF$317))</f>
        <v>1</v>
      </c>
      <c r="I84">
        <f>SUMPRODUCT(--('Данные 1st'!$S$2:$S$317=$A84),--ISNUMBER('Данные 1st'!$AJ$2:$AJ$317))</f>
        <v>1</v>
      </c>
      <c r="J84">
        <f>SUMPRODUCT(--('Данные 1st'!$S$2:$S$317=$A84),--ISNUMBER('Данные 1st'!$AL$2:$AL$317))</f>
        <v>1</v>
      </c>
      <c r="K84">
        <f>SUMPRODUCT(--('Данные 1st'!$S$2:$S$317=$A84),--ISNUMBER('Данные 1st'!$AR$2:$AR$317))</f>
        <v>1</v>
      </c>
      <c r="L84">
        <f>SUMPRODUCT(--('Данные 1st'!$S$2:$S$317=$A84),--ISNUMBER('Данные 1st'!$AS$2:$AS$317))</f>
        <v>1</v>
      </c>
      <c r="M84">
        <f>SUMPRODUCT(--('Данные 1st'!$S$2:$S$317=$A84),--ISNUMBER('Данные 1st'!$AY$2:$AY$317))</f>
        <v>1</v>
      </c>
      <c r="N84">
        <f>SUMPRODUCT(--('Данные 1st'!$S$2:$S$317=$A84),--ISNUMBER('Данные 1st'!$AZ$2:$AZ$317))</f>
        <v>1</v>
      </c>
      <c r="O84">
        <f>SUMPRODUCT(--('Данные 1st'!$S$2:$S$317=$A84),--ISNUMBER('Данные 1st'!$BF$2:$BF$317))</f>
        <v>1</v>
      </c>
      <c r="P84">
        <f>SUMPRODUCT(--('Данные 1st'!$S$2:$S$317=$A84),--ISNUMBER('Данные 1st'!$BG$2:$BG$317))</f>
        <v>1</v>
      </c>
      <c r="Q84">
        <f>SUMPRODUCT(--('Данные 1st'!$S$2:$S$317=$A84),--ISNUMBER('Данные 1st'!$BM$2:$BM$317))</f>
        <v>0</v>
      </c>
      <c r="R84">
        <f>SUMPRODUCT(--('Данные 1st'!$S$2:$S$317=$A84),--ISNUMBER('Данные 1st'!$BN$2:$BN$317))</f>
        <v>1</v>
      </c>
      <c r="S84">
        <f>SUMPRODUCT(--('Данные 1st'!$S$2:$S$317=$A84),--ISNUMBER('Данные 1st'!$BT$2:$BT$317))</f>
        <v>1</v>
      </c>
      <c r="T84">
        <f>SUMPRODUCT(--('Данные 1st'!$S$2:$S$317=$A84),--ISNUMBER('Данные 1st'!$BU$2:$BU$317))</f>
        <v>1</v>
      </c>
      <c r="U84">
        <f>SUMPRODUCT(--('Данные 1st'!$S$2:$S$317=$A84),--ISNUMBER('Данные 1st'!$BW$2:$BW$317))</f>
        <v>1</v>
      </c>
      <c r="V84">
        <f>SUMPRODUCT(--('Данные 1st'!$S$2:$S$317=$A84),--ISNUMBER('Данные 1st'!$BX$2:$BX$317))</f>
        <v>1</v>
      </c>
      <c r="W84">
        <f>SUMPRODUCT(--('Данные 1st'!$S$2:$S$317=$A84),--ISNUMBER('Данные 1st'!$BZ$2:$BZ$317))</f>
        <v>1</v>
      </c>
      <c r="X84">
        <f>SUMPRODUCT(--('Данные 1st'!$S$2:$S$317=$A84),--ISNUMBER('Данные 1st'!$CA$2:$CA$317))</f>
        <v>1</v>
      </c>
      <c r="Y84">
        <f>SUMPRODUCT(--('Данные 1st'!$S$2:$S$317=$A84),--ISNUMBER('Данные 1st'!$CD$2:$CD$317))</f>
        <v>1</v>
      </c>
      <c r="Z84">
        <f>SUMPRODUCT(--('Данные 1st'!$S$2:$S$317=$A84),--ISNUMBER('Данные 1st'!$CF$2:$CF$317))</f>
        <v>1</v>
      </c>
      <c r="AA84">
        <f>SUMPRODUCT(--('Данные 1st'!$S$2:$S$317=$A84),--ISNUMBER('Данные 1st'!$CI$2:$CI$317))</f>
        <v>1</v>
      </c>
      <c r="AB84">
        <f>SUMPRODUCT(--('Данные 1st'!$S$2:$S$317=$A84),--ISNUMBER('Данные 1st'!$CJ$2:$CJ$317))</f>
        <v>1</v>
      </c>
      <c r="AC84">
        <f>SUMPRODUCT(--('Данные 1st'!$S$2:$S$317=$A84),--ISNUMBER('Данные 1st'!$CK$2:$CK$317))</f>
        <v>1</v>
      </c>
      <c r="AD84">
        <f>SUMPRODUCT(--('Данные 1st'!$S$2:$S$317=$A84),--ISNUMBER('Данные 1st'!$CL$2:$CL$317))</f>
        <v>1</v>
      </c>
      <c r="AE84">
        <f>SUMPRODUCT(--('Данные 1st'!$S$2:$S$317=$A84),--ISNUMBER('Данные 1st'!$CM$2:$CM$317))</f>
        <v>1</v>
      </c>
      <c r="AF84">
        <f>SUMPRODUCT(--('Данные 1st'!$S$2:$S$317=$A84),--ISNUMBER('Данные 1st'!$CT$2:$CT$317))</f>
        <v>1</v>
      </c>
      <c r="AG84">
        <f>SUMPRODUCT(--('Данные 1st'!$S$2:$S$317=$A84),--ISNUMBER('Данные 1st'!$CU$2:$CU$317))</f>
        <v>1</v>
      </c>
      <c r="AH84">
        <f>SUMPRODUCT(--('Данные 1st'!$S$2:$S$317=$A84),--ISNUMBER('Данные 1st'!$CV$2:$CV$317))</f>
        <v>1</v>
      </c>
      <c r="AI84">
        <f>SUMPRODUCT(--('Данные 1st'!$S$2:$S$317=$A84),--ISNUMBER('Данные 1st'!$CW$2:$CW$317))</f>
        <v>1</v>
      </c>
      <c r="AJ84">
        <f>SUMPRODUCT(--('Данные 1st'!$S$2:$S$317=$A84),--ISNUMBER('Данные 1st'!$CX$2:$CX$317))</f>
        <v>1</v>
      </c>
      <c r="AK84">
        <f>SUMPRODUCT(--('Данные 1st'!$S$2:$S$317=$A84),--ISNUMBER('Данные 1st'!$CZ$2:$CZ$317))</f>
        <v>1</v>
      </c>
      <c r="AL84">
        <f>SUMPRODUCT(--('Данные 1st'!$S$2:$S$317=$A84),--ISNUMBER('Данные 1st'!$DA$2:$DA$317))</f>
        <v>1</v>
      </c>
      <c r="AM84">
        <f>SUMPRODUCT(--('Данные 1st'!$S$2:$S$317=$A84),--ISNUMBER('Данные 1st'!$DB$2:$DB$317))</f>
        <v>1</v>
      </c>
      <c r="AN84">
        <f>SUMPRODUCT(--('Данные 1st'!$S$2:$S$317=$A84),--ISNUMBER('Данные 1st'!$DC$2:$DC$317))</f>
        <v>1</v>
      </c>
      <c r="AO84">
        <f>SUMPRODUCT(--('Данные 1st'!$S$2:$S$317=$A84),--ISNUMBER('Данные 1st'!$DD$2:$DD$317))</f>
        <v>1</v>
      </c>
      <c r="AP84">
        <f>SUMPRODUCT(--('Данные 1st'!$S$2:$S$317=$A84),--ISNUMBER('Данные 1st'!$DF$2:$DF$317))</f>
        <v>1</v>
      </c>
      <c r="AQ84">
        <f>SUMPRODUCT(--('Данные 1st'!$S$2:$S$317=$A84),--ISNUMBER('Данные 1st'!$DG$2:$DG$317))</f>
        <v>1</v>
      </c>
      <c r="AR84">
        <f>SUMPRODUCT(--('Данные 1st'!$S$2:$S$317=$A84),--ISNUMBER('Данные 1st'!$DH$2:$DH$317))</f>
        <v>1</v>
      </c>
      <c r="AS84">
        <f>SUMPRODUCT(--('Данные 1st'!$S$2:$S$317=$A84),--ISNUMBER('Данные 1st'!$DI$2:$DI$317))</f>
        <v>1</v>
      </c>
      <c r="AT84">
        <f>SUMPRODUCT(--('Данные 1st'!$S$2:$S$317=$A84),--ISNUMBER('Данные 1st'!$DJ$2:$DJ$317))</f>
        <v>1</v>
      </c>
      <c r="AU84">
        <f>SUMPRODUCT(--('Данные 1st'!$S$2:$S$317=$A84),--ISNUMBER('Данные 1st'!$DL$2:$DL$317))</f>
        <v>1</v>
      </c>
      <c r="AV84">
        <f>SUMPRODUCT(--('Данные 1st'!$S$2:$S$317=$A84),--ISNUMBER('Данные 1st'!$DM$2:$DM$317))</f>
        <v>1</v>
      </c>
      <c r="AW84">
        <f>SUMPRODUCT(--('Данные 1st'!$S$2:$S$317=$A84),--ISNUMBER('Данные 1st'!$DN$2:$DN$317))</f>
        <v>1</v>
      </c>
      <c r="AX84">
        <f>SUMPRODUCT(--('Данные 1st'!$S$2:$S$317=$A84),--ISNUMBER('Данные 1st'!$DO$2:$DO$317))</f>
        <v>1</v>
      </c>
      <c r="AY84">
        <f>SUMPRODUCT(--('Данные 1st'!$S$2:$S$317=$A84),--ISNUMBER('Данные 1st'!$DP$2:$DP$317))</f>
        <v>1</v>
      </c>
      <c r="AZ84">
        <f>SUMPRODUCT(--('Данные 1st'!$S$2:$S$317=$A84),--ISNUMBER('Данные 1st'!$DR$2:$DR$317))</f>
        <v>0</v>
      </c>
      <c r="BA84">
        <f>SUMPRODUCT(--('Данные 1st'!$S$2:$S$317=$A84),--ISNUMBER('Данные 1st'!$DS$2:$DS$317))</f>
        <v>0</v>
      </c>
      <c r="BB84">
        <f>SUMPRODUCT(--('Данные 1st'!$S$2:$S$317=$A84),--ISNUMBER('Данные 1st'!$DT$2:$DT$317))</f>
        <v>0</v>
      </c>
      <c r="BC84">
        <f>SUMPRODUCT(--('Данные 1st'!$S$2:$S$317=$A84),--ISNUMBER('Данные 1st'!$DU$2:$DU$317))</f>
        <v>0</v>
      </c>
      <c r="BD84">
        <f>SUMPRODUCT(--('Данные 1st'!$S$2:$S$317=$A84),--ISNUMBER('Данные 1st'!$DV$2:$DV$317))</f>
        <v>0</v>
      </c>
      <c r="BE84">
        <f>SUMPRODUCT(--('Данные 1st'!$S$2:$S$317=$A84),--ISNUMBER('Данные 1st'!$DX$2:$DX$317))</f>
        <v>1</v>
      </c>
      <c r="BF84">
        <f>SUMPRODUCT(--('Данные 1st'!$S$2:$S$317=$A84),--ISNUMBER('Данные 1st'!$EA$2:$EA$317))</f>
        <v>1</v>
      </c>
      <c r="BG84">
        <f>SUMPRODUCT(--('Данные 1st'!$S$2:$S$317=$A84),--ISNUMBER('Данные 1st'!$EB$2:$EB$317))</f>
        <v>1</v>
      </c>
      <c r="BH84">
        <f>SUMPRODUCT(--('Данные 1st'!$S$2:$S$317=$A84),--ISNUMBER('Данные 1st'!$ED$2:$ED$317))</f>
        <v>1</v>
      </c>
      <c r="BI84">
        <f>SUMPRODUCT(--('Данные 1st'!$S$2:$S$317=$A84),--ISNUMBER('Данные 1st'!$EE$2:$EE$317))</f>
        <v>1</v>
      </c>
      <c r="BJ84">
        <f>SUMPRODUCT(--('Данные 1st'!$S$2:$S$317=$A84),--ISNUMBER('Данные 1st'!$EG$2:$EG$317))</f>
        <v>1</v>
      </c>
      <c r="BK84">
        <f>SUMPRODUCT(--('Данные 1st'!$S$2:$S$317=$A84),--ISNUMBER('Данные 1st'!$EH$2:$EH$317))</f>
        <v>1</v>
      </c>
      <c r="BL84">
        <f>SUMPRODUCT(--('Данные 1st'!$S$2:$S$317=$A84),--ISNUMBER('Данные 1st'!$EJ$2:$EJ$317))</f>
        <v>1</v>
      </c>
      <c r="BM84">
        <f>SUMPRODUCT(--('Данные 1st'!$S$2:$S$317=$A84),--ISNUMBER('Данные 1st'!$EK$2:$EK$317))</f>
        <v>1</v>
      </c>
      <c r="BN84">
        <f>SUMPRODUCT(--('Данные 1st'!$S$2:$S$317=$A84),--ISNUMBER('Данные 1st'!$EN$2:$EN$317))</f>
        <v>1</v>
      </c>
      <c r="BO84">
        <f>SUMPRODUCT(--('Данные 1st'!$S$2:$S$317=$A84),--ISNUMBER('Данные 1st'!$EQ$2:$EQ$317))</f>
        <v>1</v>
      </c>
      <c r="BP84">
        <f>SUMPRODUCT(--('Данные 1st'!$S$2:$S$317=$A84),--ISNUMBER('Данные 1st'!$ER$2:$ER$317))</f>
        <v>1</v>
      </c>
      <c r="BQ84">
        <f>SUMPRODUCT(--('Данные 1st'!$S$2:$S$317=$A84),--ISNUMBER('Данные 1st'!$ES$2:$ES$317))</f>
        <v>1</v>
      </c>
      <c r="BR84">
        <f>SUMPRODUCT(--('Данные 1st'!$S$2:$S$317=$A84),--ISNUMBER('Данные 1st'!$ET$2:$ET$317))</f>
        <v>1</v>
      </c>
      <c r="BS84">
        <f>SUMPRODUCT(--('Данные 1st'!$S$2:$S$317=$A84),--ISNUMBER('Данные 1st'!$EU$2:$EU$317))</f>
        <v>1</v>
      </c>
      <c r="BT84">
        <f>SUMPRODUCT(--('Данные 1st'!$S$2:$S$317=$A84),--ISNUMBER('Данные 1st'!$EV$2:$EV$317))</f>
        <v>1</v>
      </c>
      <c r="BU84">
        <f>SUMPRODUCT(--('Данные 1st'!$S$2:$S$317=$A84),--ISNUMBER('Данные 1st'!$EX$2:$EX$317))</f>
        <v>1</v>
      </c>
      <c r="BV84">
        <f>SUMPRODUCT(--('Данные 1st'!$S$2:$S$317=$A84),--ISNUMBER('Данные 1st'!$EY$2:$EY$317))</f>
        <v>1</v>
      </c>
      <c r="BW84">
        <f>SUMPRODUCT(--('Данные 1st'!$S$2:$S$317=$A84),--ISNUMBER('Данные 1st'!$EZ$2:$EZ$317))</f>
        <v>1</v>
      </c>
      <c r="BX84">
        <f>SUMPRODUCT(--('Данные 1st'!$S$2:$S$317=$A84),--ISNUMBER('Данные 1st'!$FA$2:$FA$317))</f>
        <v>1</v>
      </c>
      <c r="BY84">
        <f>SUMPRODUCT(--('Данные 1st'!$S$2:$S$317=$A84),--ISNUMBER('Данные 1st'!$FB$2:$FB$317))</f>
        <v>1</v>
      </c>
      <c r="BZ84">
        <f>SUMPRODUCT(--('Данные 1st'!$S$2:$S$317=$A84),--ISNUMBER('Данные 1st'!$FC$2:$FC$317))</f>
        <v>1</v>
      </c>
      <c r="CA84">
        <f>SUMPRODUCT(--('Данные 1st'!$S$2:$S$317=$A84),--ISNUMBER('Данные 1st'!$FE$2:$FE$317))</f>
        <v>1</v>
      </c>
      <c r="CB84">
        <f>SUMPRODUCT(--('Данные 1st'!$S$2:$S$317=$A84),--ISNUMBER('Данные 1st'!$FF$2:$FF$317))</f>
        <v>1</v>
      </c>
      <c r="CC84">
        <f>SUMPRODUCT(--('Данные 1st'!$S$2:$S$317=$A84),--ISNUMBER('Данные 1st'!$FI$2:$FI$317))</f>
        <v>1</v>
      </c>
      <c r="CD84">
        <f>SUMPRODUCT(--('Данные 1st'!$S$2:$S$317=$A84),--ISNUMBER('Данные 1st'!$FL$2:$FL$317))</f>
        <v>1</v>
      </c>
      <c r="CE84">
        <f>SUMPRODUCT(--('Данные 1st'!$S$2:$S$317=$A84),--ISNUMBER('Данные 1st'!$FM$2:$FM$317))</f>
        <v>1</v>
      </c>
      <c r="CF84">
        <f>SUMPRODUCT(--('Данные 1st'!$S$2:$S$317=$A84),--ISNUMBER('Данные 1st'!$FN$2:$FN$317))</f>
        <v>1</v>
      </c>
      <c r="CG84">
        <f>SUMPRODUCT(--('Данные 1st'!$S$2:$S$317=$A84),--ISNUMBER('Данные 1st'!$FO$2:$FO$317))</f>
        <v>1</v>
      </c>
      <c r="CH84">
        <f>SUMPRODUCT(--('Данные 1st'!$S$2:$S$317=$A84),--ISNUMBER('Данные 1st'!$FP$2:$FP$317))</f>
        <v>1</v>
      </c>
      <c r="CI84">
        <f>SUMPRODUCT(--('Данные 1st'!$S$2:$S$317=$A84),--ISNUMBER('Данные 1st'!$FS$2:$FS$317))</f>
        <v>0</v>
      </c>
      <c r="CJ84">
        <f>SUMPRODUCT(--('Данные 1st'!$S$2:$S$317=$A84),--ISNUMBER('Данные 1st'!$FT$2:$FT$317))</f>
        <v>0</v>
      </c>
      <c r="CK84">
        <f>SUMPRODUCT(--('Данные 1st'!$S$2:$S$317=$A84),--ISNUMBER('Данные 1st'!$FU$2:$FU$317))</f>
        <v>0</v>
      </c>
      <c r="CL84">
        <f>SUMPRODUCT(--('Данные 1st'!$S$2:$S$317=$A84),--ISNUMBER('Данные 1st'!$FV$2:$FV$317))</f>
        <v>0</v>
      </c>
      <c r="CM84">
        <f>SUMPRODUCT(--('Данные 1st'!$S$2:$S$317=$A84),--ISNUMBER('Данные 1st'!$FW$2:$FW$317))</f>
        <v>0</v>
      </c>
      <c r="CN84">
        <f>SUMPRODUCT(--('Данные 1st'!$S$2:$S$317=$A84),--ISNUMBER('Данные 1st'!$FZ$2:$FZ$317))</f>
        <v>0</v>
      </c>
      <c r="CO84">
        <f>SUMPRODUCT(--('Данные 1st'!$S$2:$S$317=$A84),--ISNUMBER('Данные 1st'!$GA$2:$GA$317))</f>
        <v>0</v>
      </c>
      <c r="CP84">
        <f>SUMPRODUCT(--('Данные 1st'!$S$2:$S$317=$A84),--ISNUMBER('Данные 1st'!$GB$2:$GB$317))</f>
        <v>0</v>
      </c>
      <c r="CQ84">
        <f>SUMPRODUCT(--('Данные 1st'!$S$2:$S$317=$A84),--ISNUMBER('Данные 1st'!$GH$2:$GH$317))</f>
        <v>0</v>
      </c>
      <c r="CR84">
        <f>SUMPRODUCT(--('Данные 1st'!$S$2:$S$317=$A84),--ISNUMBER('Данные 1st'!$GI$2:$GI$317))</f>
        <v>0</v>
      </c>
      <c r="CS84">
        <f>SUMPRODUCT(--('Данные 1st'!$S$2:$S$317=$A84),--ISNUMBER('Данные 1st'!$GJ$2:$GJ$317))</f>
        <v>0</v>
      </c>
      <c r="CT84">
        <f>SUMPRODUCT(--('Данные 1st'!$S$2:$S$317=$A84),--ISNUMBER('Данные 1st'!$GS$2:$GS$317))</f>
        <v>1</v>
      </c>
      <c r="CU84">
        <f>SUMPRODUCT(--('Данные 1st'!$S$2:$S$317=$A84),--ISNUMBER('Данные 1st'!$GT$2:$GT$317))</f>
        <v>1</v>
      </c>
      <c r="CV84">
        <f>SUMPRODUCT(--('Данные 1st'!$S$2:$S$317=$A84),--ISNUMBER('Данные 1st'!$GU$2:$GU$317))</f>
        <v>1</v>
      </c>
      <c r="CW84">
        <f>SUMPRODUCT(--('Данные 1st'!$S$2:$S$317=$A84),--ISNUMBER('Данные 1st'!$GV$2:$GV$317))</f>
        <v>1</v>
      </c>
      <c r="CX84">
        <f>SUMPRODUCT(--('Данные 1st'!$S$2:$S$317=$A84),--ISNUMBER('Данные 1st'!$GW$2:$GW$317))</f>
        <v>1</v>
      </c>
      <c r="CY84">
        <f>SUMPRODUCT(--('Данные 1st'!$S$2:$S$317=$A84),--ISNUMBER('Данные 1st'!$GZ$2:$GZ$317))</f>
        <v>0</v>
      </c>
      <c r="CZ84">
        <f>SUMPRODUCT(--('Данные 1st'!$S$2:$S$317=$A84),--ISNUMBER('Данные 1st'!$HA$2:$HA$317))</f>
        <v>0</v>
      </c>
      <c r="DA84">
        <f>SUMPRODUCT(--('Данные 1st'!$S$2:$S$317=$A84),--ISNUMBER('Данные 1st'!$HB$2:$HB$317))</f>
        <v>0</v>
      </c>
      <c r="DB84">
        <f>SUMPRODUCT(--('Данные 1st'!$S$2:$S$317=$A84),--ISNUMBER('Данные 1st'!$HC$2:$HC$317))</f>
        <v>1</v>
      </c>
      <c r="DC84">
        <f>SUMPRODUCT(--('Данные 1st'!$S$2:$S$317=$A84),--ISNUMBER('Данные 1st'!$HD$2:$HD$317))</f>
        <v>1</v>
      </c>
      <c r="DD84">
        <f>SUMPRODUCT(--('Данные 1st'!$S$2:$S$317=$A84),--ISNUMBER('Данные 1st'!$HE$2:$HE$317))</f>
        <v>1</v>
      </c>
      <c r="DE84">
        <f>SUMPRODUCT(--('Данные 1st'!$S$2:$S$317=$A84),--ISNUMBER('Данные 1st'!$HF$2:$HF$317))</f>
        <v>1</v>
      </c>
      <c r="DF84">
        <f>SUMPRODUCT(--('Данные 1st'!$S$2:$S$317=$A84),--ISNUMBER('Данные 1st'!$HG$2:$HG$317))</f>
        <v>1</v>
      </c>
      <c r="DG84">
        <f>SUMPRODUCT(--('Данные 1st'!$S$2:$S$317=$A84),--ISNUMBER('Данные 1st'!$HH$2:$HH$317))</f>
        <v>1</v>
      </c>
      <c r="DH84">
        <f>SUMPRODUCT(--('Данные 1st'!$S$2:$S$317=$A84),--ISNUMBER('Данные 1st'!$HI$2:$HI$317))</f>
        <v>1</v>
      </c>
      <c r="DI84">
        <f>SUMPRODUCT(--('Данные 1st'!$S$2:$S$317=$A84),--ISNUMBER('Данные 1st'!$HJ$2:$HJ$317))</f>
        <v>1</v>
      </c>
      <c r="DJ84">
        <f>SUMPRODUCT(--('Данные 1st'!$S$2:$S$317=$A84),--ISNUMBER('Данные 1st'!$HK$2:$HK$317))</f>
        <v>1</v>
      </c>
      <c r="DK84">
        <f>SUMPRODUCT(--('Данные 1st'!$S$2:$S$317=$A84),--ISNUMBER('Данные 1st'!$HL$2:$HL$317))</f>
        <v>1</v>
      </c>
      <c r="DL84">
        <f>SUMPRODUCT(--('Данные 1st'!$S$2:$S$317=$A84),--ISNUMBER('Данные 1st'!$HM$2:$HM$317))</f>
        <v>1</v>
      </c>
      <c r="DM84">
        <f>SUMPRODUCT(--('Данные 1st'!$S$2:$S$317=$A84),--ISNUMBER('Данные 1st'!$HN$2:$HN$317))</f>
        <v>1</v>
      </c>
      <c r="DN84">
        <f>SUMPRODUCT(--('Данные 1st'!$S$2:$S$317=$A84),--ISNUMBER('Данные 1st'!$HO$2:$HO$317))</f>
        <v>1</v>
      </c>
      <c r="DO84">
        <f>SUMPRODUCT(--('Данные 1st'!$S$2:$S$317=$A84),--ISNUMBER('Данные 1st'!$HP$2:$HP$317))</f>
        <v>1</v>
      </c>
      <c r="DP84">
        <f>SUMPRODUCT(--('Данные 1st'!$S$2:$S$317=$A84),--ISNUMBER('Данные 1st'!$HQ$2:$HQ$317))</f>
        <v>1</v>
      </c>
      <c r="DQ84">
        <f>SUMPRODUCT(--('Данные 1st'!$S$2:$S$317=$A84),--ISNUMBER('Данные 1st'!$HR$2:$HR$317))</f>
        <v>1</v>
      </c>
      <c r="DR84">
        <f>SUMPRODUCT(--('Данные 1st'!$S$2:$S$317=$A84),--ISNUMBER('Данные 1st'!$HS$2:$HS$317))</f>
        <v>1</v>
      </c>
      <c r="DS84">
        <f>SUMPRODUCT(--('Данные 1st'!$S$2:$S$317=$A84),--ISNUMBER('Данные 1st'!$HT$2:$HT$317))</f>
        <v>1</v>
      </c>
      <c r="DT84">
        <f>SUMPRODUCT(--('Данные 1st'!$S$2:$S$317=$A84),--ISNUMBER('Данные 1st'!$HU$2:$HU$317))</f>
        <v>1</v>
      </c>
      <c r="DU84">
        <f>SUMPRODUCT(--('Данные 1st'!$S$2:$S$317=$A84),--ISNUMBER('Данные 1st'!$HW$2:$HW$317))</f>
        <v>1</v>
      </c>
      <c r="DV84">
        <f>SUMPRODUCT(--('Данные 1st'!$S$2:$S$317=$A84),--ISNUMBER('Данные 1st'!$HX$2:$HX$317))</f>
        <v>1</v>
      </c>
      <c r="DW84">
        <f>SUMPRODUCT(--('Данные 1st'!$S$2:$S$317=$A84),--ISNUMBER('Данные 1st'!$HY$2:$HY$317))</f>
        <v>1</v>
      </c>
      <c r="DX84">
        <f>SUMPRODUCT(--('Данные 1st'!$S$2:$S$317=$A84),--ISNUMBER('Данные 1st'!$IA$2:$IA$317))</f>
        <v>1</v>
      </c>
      <c r="DY84">
        <f>SUMPRODUCT(--('Данные 1st'!$S$2:$S$317=$A84),--ISNUMBER('Данные 1st'!$IB$2:$IB$317))</f>
        <v>1</v>
      </c>
      <c r="DZ84">
        <f>SUMPRODUCT(--('Данные 1st'!$S$2:$S$317=$A84),--ISNUMBER('Данные 1st'!$IC$2:$IC$317))</f>
        <v>1</v>
      </c>
      <c r="EA84">
        <f>SUMPRODUCT(--('Данные 1st'!$S$2:$S$317=$A84),--ISNUMBER('Данные 1st'!$ID$2:$ID$317))</f>
        <v>1</v>
      </c>
      <c r="EB84">
        <f>SUMPRODUCT(--('Данные 1st'!$S$2:$S$317=$A84),--ISNUMBER('Данные 1st'!$IE$2:$IE$317))</f>
        <v>1</v>
      </c>
      <c r="EC84">
        <f>SUMPRODUCT(--('Данные 1st'!$S$2:$S$317=$A84),--ISNUMBER('Данные 1st'!$IF$2:$IF$317))</f>
        <v>1</v>
      </c>
      <c r="ED84">
        <f>SUMPRODUCT(--('Данные 1st'!$S$2:$S$317=$A84),--ISNUMBER('Данные 1st'!$IP$2:$IP$317))</f>
        <v>1</v>
      </c>
      <c r="EE84">
        <f>SUMPRODUCT(--('Данные 1st'!$S$2:$S$317=$A84),--ISNUMBER('Данные 1st'!$IV$2:$IV$317))</f>
        <v>1</v>
      </c>
      <c r="EF84">
        <f>SUMPRODUCT(--('Данные 1st'!$S$2:$S$317=$A84),--ISNUMBER('Данные 1st'!$IW$2:$IW$317))</f>
        <v>1</v>
      </c>
      <c r="EG84">
        <f>SUMPRODUCT(--('Данные 1st'!$S$2:$S$317=$A84),--ISNUMBER('Данные 1st'!$IX$2:$IX$317))</f>
        <v>0</v>
      </c>
      <c r="EH84">
        <f>SUMPRODUCT(--('Данные 1st'!$S$2:$S$317=$A84),--ISNUMBER('Данные 1st'!$IY$2:$IY$317))</f>
        <v>0</v>
      </c>
      <c r="EI84">
        <f>SUMPRODUCT(--('Данные 1st'!$S$2:$S$317=$A84),--ISNUMBER('Данные 1st'!$JD$2:$JD$317))</f>
        <v>1</v>
      </c>
      <c r="EJ84">
        <f>SUMPRODUCT(--('Данные 1st'!$S$2:$S$317=$A84),--ISNUMBER('Данные 1st'!$JE$2:$JE$317))</f>
        <v>1</v>
      </c>
      <c r="EK84">
        <f>SUMPRODUCT(--('Данные 1st'!$S$2:$S$317=$A84),--ISNUMBER('Данные 1st'!$JF$2:$JF$317))</f>
        <v>1</v>
      </c>
      <c r="EL84">
        <f>SUMPRODUCT(--('Данные 1st'!$S$2:$S$317=$A84),--ISNUMBER('Данные 1st'!$JG$2:$JG$317))</f>
        <v>1</v>
      </c>
      <c r="EM84">
        <f>SUMPRODUCT(--('Данные 1st'!$S$2:$S$317=$A84),--ISNUMBER('Данные 1st'!$JH$2:$JH$317))</f>
        <v>1</v>
      </c>
      <c r="EN84">
        <f>SUMPRODUCT(--('Данные 1st'!$S$2:$S$317=$A84),--ISNUMBER('Данные 1st'!$JJ$2:$JJ$317))</f>
        <v>1</v>
      </c>
      <c r="EO84">
        <f>SUMPRODUCT(--('Данные 1st'!$S$2:$S$317=$A84),--ISNUMBER('Данные 1st'!$JK$2:$JK$317))</f>
        <v>1</v>
      </c>
      <c r="EP84">
        <f>SUMPRODUCT(--('Данные 1st'!$S$2:$S$317=$A84),--ISNUMBER('Данные 1st'!$JL$2:$JL$317))</f>
        <v>0</v>
      </c>
      <c r="EQ84">
        <f>SUMPRODUCT(--('Данные 1st'!$S$2:$S$317=$A84),--ISNUMBER('Данные 1st'!$JM$2:$JM$317))</f>
        <v>0</v>
      </c>
      <c r="ER84">
        <f>SUMPRODUCT(--('Данные 1st'!$S$2:$S$317=$A84),--ISNUMBER('Данные 1st'!$JN$2:$JN$317))</f>
        <v>1</v>
      </c>
      <c r="ES84">
        <f>SUMPRODUCT(--('Данные 1st'!$S$2:$S$317=$A84),--ISNUMBER('Данные 1st'!$JO$2:$JO$317))</f>
        <v>1</v>
      </c>
      <c r="ET84">
        <f>SUMPRODUCT(--('Данные 1st'!$S$2:$S$317=$A84),--ISNUMBER('Данные 1st'!$JP$2:$JP$317))</f>
        <v>1</v>
      </c>
      <c r="EU84">
        <f>SUMPRODUCT(--('Данные 1st'!$S$2:$S$317=$A84),--ISNUMBER('Данные 1st'!$JQ$2:$JQ$317))</f>
        <v>1</v>
      </c>
      <c r="EV84">
        <f>SUMPRODUCT(--('Данные 1st'!$S$2:$S$317=$A84),--ISNUMBER('Данные 1st'!$JR$2:$JR$317))</f>
        <v>1</v>
      </c>
      <c r="EW84">
        <f>SUMPRODUCT(--('Данные 1st'!$S$2:$S$317=$A84),--ISNUMBER('Данные 1st'!$JS$2:$JS$317))</f>
        <v>1</v>
      </c>
      <c r="EX84">
        <f>SUMPRODUCT(--('Данные 1st'!$S$2:$S$317=$A84),--ISNUMBER('Данные 1st'!$JT$2:$JT$317))</f>
        <v>0</v>
      </c>
      <c r="EY84">
        <f>SUMPRODUCT(--('Данные 1st'!$S$2:$S$317=$A84),--ISNUMBER('Данные 1st'!$JU$2:$JU$317))</f>
        <v>0</v>
      </c>
      <c r="EZ84">
        <f>SUMPRODUCT(--('Данные 1st'!$S$2:$S$317=$A84),--ISNUMBER('Данные 1st'!$JV$2:$JV$317))</f>
        <v>1</v>
      </c>
      <c r="FA84">
        <f>SUMPRODUCT(--('Данные 1st'!$S$2:$S$317=$A84),--ISNUMBER('Данные 1st'!$JW$2:$JW$317))</f>
        <v>0</v>
      </c>
      <c r="FB84">
        <f>SUMPRODUCT(--('Данные 1st'!$S$2:$S$317=$A84),--ISNUMBER('Данные 1st'!$JX$2:$JX$317))</f>
        <v>1</v>
      </c>
      <c r="FC84">
        <f>SUMPRODUCT(--('Данные 1st'!$S$2:$S$317=$A84),--ISNUMBER('Данные 1st'!$JY$2:$JY$317))</f>
        <v>0</v>
      </c>
      <c r="FD84">
        <f>SUMPRODUCT(--('Данные 1st'!$S$2:$S$317=$A84),--ISNUMBER('Данные 1st'!$JZ$2:$JZ$317))</f>
        <v>0</v>
      </c>
      <c r="FE84">
        <f>SUMPRODUCT(--('Данные 1st'!$S$2:$S$317=$A84),--ISNUMBER('Данные 1st'!$KA$2:$KA$317))</f>
        <v>1</v>
      </c>
      <c r="FF84">
        <f>SUMPRODUCT(--('Данные 1st'!$S$2:$S$317=$A84),--ISNUMBER('Данные 1st'!$KB$2:$KB$317))</f>
        <v>1</v>
      </c>
      <c r="FG84">
        <f>SUMPRODUCT(--('Данные 1st'!$S$2:$S$317=$A84),--ISNUMBER('Данные 1st'!$KC$2:$KC$317))</f>
        <v>1</v>
      </c>
      <c r="FH84">
        <f>SUMPRODUCT(--('Данные 1st'!$S$2:$S$317=$A84),--ISNUMBER('Данные 1st'!$KD$2:$KD$317))</f>
        <v>1</v>
      </c>
      <c r="FI84">
        <f>SUMPRODUCT(--('Данные 1st'!$S$2:$S$317=$A84),--ISNUMBER('Данные 1st'!$KE$2:$KE$317))</f>
        <v>0</v>
      </c>
      <c r="FJ84">
        <f>SUMPRODUCT(--('Данные 1st'!$S$2:$S$317=$A84),--ISNUMBER('Данные 1st'!$KF$2:$KF$317))</f>
        <v>1</v>
      </c>
      <c r="FK84">
        <f>SUMPRODUCT(--('Данные 1st'!$S$2:$S$317=$A84),--ISNUMBER('Данные 1st'!$KG$2:$KG$317))</f>
        <v>1</v>
      </c>
      <c r="FL84">
        <f>SUMPRODUCT(--('Данные 1st'!$S$2:$S$317=$A84),--ISNUMBER('Данные 1st'!$KH$2:$KH$317))</f>
        <v>1</v>
      </c>
      <c r="FM84">
        <f>SUMPRODUCT(--('Данные 1st'!$S$2:$S$317=$A84),--ISNUMBER('Данные 1st'!$KI$2:$KI$317))</f>
        <v>1</v>
      </c>
      <c r="FN84">
        <f>SUMPRODUCT(--('Данные 1st'!$S$2:$S$317=$A84),--ISNUMBER('Данные 1st'!$KJ$2:$KJ$317))</f>
        <v>1</v>
      </c>
      <c r="FO84">
        <f>SUMPRODUCT(--('Данные 1st'!$S$2:$S$317=$A84),--ISNUMBER('Данные 1st'!$KK$2:$KK$317))</f>
        <v>1</v>
      </c>
      <c r="FP84">
        <f>SUMPRODUCT(--('Данные 1st'!$S$2:$S$317=$A84),--ISNUMBER('Данные 1st'!$KL$2:$KL$317))</f>
        <v>1</v>
      </c>
      <c r="FQ84">
        <f>SUMPRODUCT(--('Данные 1st'!$S$2:$S$317=$A84),--ISNUMBER('Данные 1st'!$KM$2:$KM$317))</f>
        <v>1</v>
      </c>
      <c r="FR84">
        <f>SUMPRODUCT(--('Данные 1st'!$S$2:$S$317=$A84),--ISNUMBER('Данные 1st'!$KN$2:$KN$317))</f>
        <v>1</v>
      </c>
      <c r="FS84">
        <f>SUMPRODUCT(--('Данные 1st'!$S$2:$S$317=$A84),--ISNUMBER('Данные 1st'!$KR$2:$KR$317))</f>
        <v>1</v>
      </c>
      <c r="FT84">
        <f>SUMPRODUCT(--('Данные 1st'!$S$2:$S$317=$A84),--ISNUMBER('Данные 1st'!$KS$2:$KS$317))</f>
        <v>1</v>
      </c>
      <c r="FU84">
        <f>SUMPRODUCT(--('Данные 1st'!$S$2:$S$317=$A84),--ISNUMBER('Данные 1st'!$KT$2:$KT$317))</f>
        <v>1</v>
      </c>
      <c r="FV84">
        <f>SUMPRODUCT(--('Данные 1st'!$S$2:$S$317=$A84),--ISNUMBER('Данные 1st'!$KV$2:$KV$317))</f>
        <v>0</v>
      </c>
      <c r="FW84">
        <f>SUMPRODUCT(--('Данные 1st'!$S$2:$S$317=$A84),--ISNUMBER('Данные 1st'!$KW$2:$KW$317))</f>
        <v>0</v>
      </c>
      <c r="FX84">
        <f>SUMPRODUCT(--('Данные 1st'!$S$2:$S$317=$A84),--ISNUMBER('Данные 1st'!$KX$2:$KX$317))</f>
        <v>0</v>
      </c>
      <c r="FY84">
        <f>SUMPRODUCT(--('Данные 1st'!$S$2:$S$317=$A84),--ISNUMBER('Данные 1st'!$KY$2:$KY$317))</f>
        <v>0</v>
      </c>
      <c r="FZ84">
        <f>SUMPRODUCT(--('Данные 1st'!$S$2:$S$317=$A84),--ISNUMBER('Данные 1st'!$KZ$2:$KZ$317))</f>
        <v>0</v>
      </c>
      <c r="GA84">
        <f>SUMPRODUCT(--('Данные 1st'!$S$2:$S$317=$A84),--ISNUMBER('Данные 1st'!$LA$2:$LA$317))</f>
        <v>0</v>
      </c>
      <c r="GB84">
        <f>SUMPRODUCT(--('Данные 1st'!$S$2:$S$317=$A84),--ISNUMBER('Данные 1st'!$LB$2:$LB$317))</f>
        <v>0</v>
      </c>
      <c r="GC84">
        <f>SUMPRODUCT(--('Данные 1st'!$S$2:$S$317=$A84),--ISNUMBER('Данные 1st'!$LC$2:$LC$317))</f>
        <v>0</v>
      </c>
      <c r="GD84">
        <f>SUMPRODUCT(--('Данные 1st'!$S$2:$S$317=$A84),--ISNUMBER('Данные 1st'!$LD$2:$LD$317))</f>
        <v>0</v>
      </c>
      <c r="GE84">
        <f>SUMPRODUCT(--('Данные 1st'!$S$2:$S$317=$A84),--ISNUMBER('Данные 1st'!$LE$2:$LE$317))</f>
        <v>0</v>
      </c>
      <c r="GF84">
        <f>SUMPRODUCT(--('Данные 1st'!$S$2:$S$317=$A84),--ISNUMBER('Данные 1st'!$LF$2:$LF$317))</f>
        <v>0</v>
      </c>
      <c r="GG84">
        <f>SUMPRODUCT(--('Данные 1st'!$S$2:$S$317=$A84),--ISNUMBER('Данные 1st'!$LG$2:$LG$317))</f>
        <v>0</v>
      </c>
      <c r="GH84">
        <f>SUMPRODUCT(--('Данные 1st'!$S$2:$S$317=$A84),--ISNUMBER('Данные 1st'!$LH$2:$LH$317))</f>
        <v>0</v>
      </c>
      <c r="GI84">
        <f>SUMPRODUCT(--('Данные 1st'!$S$2:$S$317=$A84),--ISNUMBER('Данные 1st'!$LI$2:$LI$317))</f>
        <v>0</v>
      </c>
      <c r="GJ84">
        <f>SUMPRODUCT(--('Данные 1st'!$S$2:$S$317=$A84),--ISNUMBER('Данные 1st'!$LJ$2:$LJ$317))</f>
        <v>0</v>
      </c>
      <c r="GK84">
        <f>SUMPRODUCT(--('Данные 1st'!$S$2:$S$317=$A84),--ISNUMBER('Данные 1st'!$LK$2:$LK$317))</f>
        <v>1</v>
      </c>
      <c r="GL84">
        <f>SUMPRODUCT(--('Данные 1st'!$S$2:$S$317=$A84),--ISNUMBER('Данные 1st'!$LV$2:$LV$317))</f>
        <v>0</v>
      </c>
      <c r="GM84">
        <f>SUMPRODUCT(--('Данные 1st'!$S$2:$S$317=$A84),--ISNUMBER('Данные 1st'!$LW$2:$LW$317))</f>
        <v>0</v>
      </c>
      <c r="GN84">
        <f>SUMPRODUCT(--('Данные 1st'!$S$2:$S$317=$A84),--ISNUMBER('Данные 1st'!$LX$2:$LX$317))</f>
        <v>0</v>
      </c>
      <c r="GO84">
        <f>SUMPRODUCT(--('Данные 1st'!$S$2:$S$317=$A84),--ISNUMBER('Данные 1st'!$LY$2:$LY$317))</f>
        <v>0</v>
      </c>
      <c r="GP84">
        <f>SUMPRODUCT(--('Данные 1st'!$S$2:$S$317=$A84),--ISNUMBER('Данные 1st'!$LZ$2:$LZ$317))</f>
        <v>0</v>
      </c>
      <c r="GQ84">
        <f>SUMPRODUCT(--('Данные 1st'!$S$2:$S$317=$A84),--ISNUMBER('Данные 1st'!$PG$2:$PG$317))</f>
        <v>1</v>
      </c>
      <c r="GR84">
        <f>SUMPRODUCT(--('Данные 1st'!$S$2:$S$317=$A84),--ISNUMBER('Данные 1st'!$PX$2:$PX$317))</f>
        <v>1</v>
      </c>
      <c r="GS84">
        <f>SUMPRODUCT(--('Данные 1st'!$S$2:$S$317=$A84),--ISNUMBER('Данные 1st'!$PY$2:$PY$317))</f>
        <v>1</v>
      </c>
      <c r="GT84">
        <f>SUMPRODUCT(--('Данные 1st'!$S$2:$S$317=$A84),--ISNUMBER('Данные 1st'!$QA$2:$QA$317))</f>
        <v>1</v>
      </c>
      <c r="GU84">
        <f>SUMPRODUCT(--('Данные 1st'!$S$2:$S$317=$A84),--ISNUMBER('Данные 1st'!$QB$2:$QB$317))</f>
        <v>1</v>
      </c>
      <c r="GV84">
        <f>SUMPRODUCT(--('Данные 1st'!$S$2:$S$317=$A84),--ISNUMBER('Данные 1st'!$QC$2:$QC$317))</f>
        <v>1</v>
      </c>
      <c r="GW84">
        <f>SUMPRODUCT(--('Данные 1st'!$S$2:$S$317=$A84),--ISNUMBER('Данные 1st'!$QD$2:$QD$317))</f>
        <v>1</v>
      </c>
      <c r="GX84">
        <f>SUMPRODUCT(--('Данные 1st'!$S$2:$S$317=$A84),--ISNUMBER('Данные 1st'!$QF$2:$QF$317))</f>
        <v>1</v>
      </c>
      <c r="GY84">
        <f>SUMPRODUCT(--('Данные 1st'!$S$2:$S$317=$A84),--ISNUMBER('Данные 1st'!$QG$2:$QG$317))</f>
        <v>1</v>
      </c>
      <c r="GZ84">
        <f>SUMPRODUCT(--('Данные 1st'!$S$2:$S$317=$A84),--ISNUMBER('Данные 1st'!$QH$2:$QH$317))</f>
        <v>1</v>
      </c>
      <c r="HA84">
        <f>SUMPRODUCT(--('Данные 1st'!$S$2:$S$317=$A84),--ISNUMBER('Данные 1st'!$QI$2:$QI$317))</f>
        <v>1</v>
      </c>
      <c r="HB84">
        <f>SUMPRODUCT(--('Данные 1st'!$S$2:$S$317=$A84),--ISNUMBER('Данные 1st'!$QK$2:$QK$317))</f>
        <v>1</v>
      </c>
      <c r="HC84">
        <f>SUMPRODUCT(--('Данные 1st'!$S$2:$S$317=$A84),--ISNUMBER('Данные 1st'!$QL$2:$QL$317))</f>
        <v>1</v>
      </c>
      <c r="HD84">
        <f>SUMPRODUCT(--('Данные 1st'!$S$2:$S$317=$A84),--ISNUMBER('Данные 1st'!$QM$2:$QM$317))</f>
        <v>1</v>
      </c>
      <c r="HE84">
        <f>SUMPRODUCT(--('Данные 1st'!$S$2:$S$317=$A84),--ISNUMBER('Данные 1st'!$QN$2:$QN$317))</f>
        <v>1</v>
      </c>
      <c r="HF84">
        <f>SUMPRODUCT(--('Данные 1st'!$S$2:$S$317=$A84),--ISNUMBER('Данные 1st'!$QP$2:$QP$317))</f>
        <v>1</v>
      </c>
      <c r="HG84">
        <f>SUMPRODUCT(--('Данные 1st'!$S$2:$S$317=$A84),--ISNUMBER('Данные 1st'!$QQ$2:$QQ$317))</f>
        <v>1</v>
      </c>
      <c r="HH84">
        <f>SUMPRODUCT(--('Данные 1st'!$S$2:$S$317=$A84),--ISNUMBER('Данные 1st'!$QR$2:$QR$317))</f>
        <v>1</v>
      </c>
      <c r="HI84">
        <f>SUMPRODUCT(--('Данные 1st'!$S$2:$S$317=$A84),--ISNUMBER('Данные 1st'!$QS$2:$QS$317))</f>
        <v>1</v>
      </c>
      <c r="HJ84">
        <f>SUMPRODUCT(--('Данные 1st'!$S$2:$S$317=$A84),--ISNUMBER('Данные 1st'!$QU$2:$QU$317))</f>
        <v>1</v>
      </c>
      <c r="HK84">
        <f>SUMPRODUCT(--('Данные 1st'!$S$2:$S$317=$A84),--ISNUMBER('Данные 1st'!$QV$2:$QV$317))</f>
        <v>1</v>
      </c>
      <c r="HL84">
        <f>SUMPRODUCT(--('Данные 1st'!$S$2:$S$317=$A84),--ISNUMBER('Данные 1st'!$QW$2:$QW$317))</f>
        <v>1</v>
      </c>
      <c r="HM84">
        <f>SUMPRODUCT(--('Данные 1st'!$S$2:$S$317=$A84),--ISNUMBER('Данные 1st'!$QX$2:$QX$317))</f>
        <v>0</v>
      </c>
      <c r="HN84">
        <f>SUMPRODUCT(--('Данные 1st'!$S$2:$S$317=$A84),--ISNUMBER('Данные 1st'!$QZ$2:$QZ$317))</f>
        <v>1</v>
      </c>
      <c r="HO84">
        <f>SUMPRODUCT(--('Данные 1st'!$S$2:$S$317=$A84),--ISNUMBER('Данные 1st'!$RA$2:$RA$317))</f>
        <v>1</v>
      </c>
      <c r="HP84">
        <f>SUMPRODUCT(--('Данные 1st'!$S$2:$S$317=$A84),--ISNUMBER('Данные 1st'!$RB$2:$RB$317))</f>
        <v>1</v>
      </c>
      <c r="HQ84">
        <f>SUMPRODUCT(--('Данные 1st'!$S$2:$S$317=$A84),--ISNUMBER('Данные 1st'!$RD$2:$RD$317))</f>
        <v>0</v>
      </c>
      <c r="HR84">
        <f>SUMPRODUCT(--('Данные 1st'!$S$2:$S$317=$A84),--ISNUMBER('Данные 1st'!$RE$2:$RE$317))</f>
        <v>1</v>
      </c>
      <c r="HS84">
        <f>SUMPRODUCT(--('Данные 1st'!$S$2:$S$317=$A84),--ISNUMBER('Данные 1st'!$RF$2:$RF$317))</f>
        <v>1</v>
      </c>
      <c r="HT84">
        <f>SUMPRODUCT(--('Данные 1st'!$S$2:$S$317=$A84),--ISNUMBER('Данные 1st'!$RG$2:$RG$317))</f>
        <v>0</v>
      </c>
      <c r="HU84">
        <f>SUMPRODUCT(--('Данные 1st'!$S$2:$S$317=$A84),--ISNUMBER('Данные 1st'!$RH$2:$RH$317))</f>
        <v>1</v>
      </c>
      <c r="HV84">
        <f>SUMPRODUCT(--('Данные 1st'!$S$2:$S$317=$A84),--ISNUMBER('Данные 1st'!$RI$2:$RI$317))</f>
        <v>0</v>
      </c>
      <c r="HW84">
        <f>SUMPRODUCT(--('Данные 1st'!$S$2:$S$317=$A84),--ISNUMBER('Данные 1st'!$RJ$2:$RJ$317))</f>
        <v>1</v>
      </c>
      <c r="HX84">
        <f>SUMPRODUCT(--('Данные 1st'!$S$2:$S$317=$A84),--ISNUMBER('Данные 1st'!$RK$2:$RK$317))</f>
        <v>1</v>
      </c>
      <c r="HY84">
        <f>SUMPRODUCT(--('Данные 1st'!$S$2:$S$317=$A84),--ISNUMBER('Данные 1st'!$RL$2:$RL$317))</f>
        <v>1</v>
      </c>
      <c r="HZ84">
        <f>SUMPRODUCT(--('Данные 1st'!$S$2:$S$317=$A84),--ISNUMBER('Данные 1st'!$RM$2:$RM$317))</f>
        <v>1</v>
      </c>
      <c r="IA84">
        <f>SUMPRODUCT(--('Данные 1st'!$S$2:$S$317=$A84),--ISNUMBER('Данные 1st'!$RN$2:$RN$317))</f>
        <v>0</v>
      </c>
      <c r="IB84">
        <f>SUMPRODUCT(--('Данные 1st'!$S$2:$S$317=$A84),--ISNUMBER('Данные 1st'!$RO$2:$RO$317))</f>
        <v>1</v>
      </c>
      <c r="IC84">
        <f>SUMPRODUCT(--('Данные 1st'!$S$2:$S$317=$A84),--ISNUMBER('Данные 1st'!$RP$2:$RP$317))</f>
        <v>1</v>
      </c>
      <c r="ID84">
        <f>SUMPRODUCT(--('Данные 1st'!$S$2:$S$317=$A84),--ISNUMBER('Данные 1st'!$RQ$2:$RQ$317))</f>
        <v>1</v>
      </c>
      <c r="IE84">
        <f>SUMPRODUCT(--('Данные 1st'!$S$2:$S$317=$A84),--ISNUMBER('Данные 1st'!$RR$2:$RR$317))</f>
        <v>1</v>
      </c>
      <c r="IF84">
        <f>SUMPRODUCT(--('Данные 1st'!$S$2:$S$317=$A84),--ISNUMBER('Данные 1st'!$RS$2:$RS$317))</f>
        <v>0</v>
      </c>
      <c r="IG84">
        <f>SUMPRODUCT(--('Данные 1st'!$S$2:$S$317=$A84),--ISNUMBER('Данные 1st'!$RT$2:$RT$317))</f>
        <v>1</v>
      </c>
      <c r="IH84">
        <f>SUMPRODUCT(--('Данные 1st'!$S$2:$S$317=$A84),--ISNUMBER('Данные 1st'!$RU$2:$RU$317))</f>
        <v>1</v>
      </c>
      <c r="II84">
        <f>SUMPRODUCT(--('Данные 1st'!$S$2:$S$317=$A84),--ISNUMBER('Данные 1st'!$RX$2:$RX$317))</f>
        <v>1</v>
      </c>
      <c r="IJ84">
        <f>SUMPRODUCT(--('Данные 1st'!$S$2:$S$317=$A84),--ISNUMBER('Данные 1st'!$RY$2:$RY$317))</f>
        <v>1</v>
      </c>
      <c r="IK84">
        <f>SUMPRODUCT(--('Данные 1st'!$S$2:$S$317=$A84),--ISNUMBER('Данные 1st'!$SA$2:$SA$317))</f>
        <v>1</v>
      </c>
      <c r="IL84">
        <f>SUMPRODUCT(--('Данные 1st'!$S$2:$S$317=$A84),--ISNUMBER('Данные 1st'!$SD$2:$SD$317))</f>
        <v>1</v>
      </c>
      <c r="IM84">
        <f>SUMPRODUCT(--('Данные 1st'!$S$2:$S$317=$A84),--ISNUMBER('Данные 1st'!$SG$2:$SG$317))</f>
        <v>1</v>
      </c>
      <c r="IN84">
        <f>SUMPRODUCT(--('Данные 1st'!$S$2:$S$317=$A84),--ISNUMBER('Данные 1st'!$SH$2:$SH$317))</f>
        <v>1</v>
      </c>
      <c r="IO84">
        <f>SUMPRODUCT(--('Данные 1st'!$S$2:$S$317=$A84),--ISNUMBER('Данные 1st'!$SI$2:$SI$317))</f>
        <v>1</v>
      </c>
      <c r="IP84">
        <f>SUMPRODUCT(--('Данные 1st'!$S$2:$S$317=$A84),--ISNUMBER('Данные 1st'!$SJ$2:$SJ$317))</f>
        <v>1</v>
      </c>
      <c r="IQ84">
        <f>SUMPRODUCT(--('Данные 1st'!$S$2:$S$317=$A84),--ISNUMBER('Данные 1st'!$SK$2:$SK$317))</f>
        <v>1</v>
      </c>
      <c r="IR84">
        <f>SUMPRODUCT(--('Данные 1st'!$S$2:$S$317=$A84),--ISNUMBER('Данные 1st'!$SL$2:$SL$317))</f>
        <v>1</v>
      </c>
      <c r="IS84">
        <f>SUMPRODUCT(--('Данные 1st'!$S$2:$S$317=$A84),--ISNUMBER('Данные 1st'!$SM$2:$SM$317))</f>
        <v>1</v>
      </c>
      <c r="IT84">
        <f>SUMPRODUCT(--('Данные 1st'!$S$2:$S$317=$A84),--ISNUMBER('Данные 1st'!$SN$2:$SN$317))</f>
        <v>1</v>
      </c>
      <c r="IU84">
        <f>SUMPRODUCT(--('Данные 1st'!$S$2:$S$317=$A84),--ISNUMBER('Данные 1st'!$SO$2:$SO$317))</f>
        <v>1</v>
      </c>
      <c r="IV84">
        <f>SUMPRODUCT(--('Данные 1st'!$S$2:$S$317=$A84),--ISNUMBER('Данные 1st'!$SP$2:$SP$317))</f>
        <v>1</v>
      </c>
      <c r="IW84">
        <f>SUMPRODUCT(--('Данные 1st'!$S$2:$S$317=$A84),--ISNUMBER('Данные 1st'!$SQ$2:$SQ$317))</f>
        <v>1</v>
      </c>
      <c r="IX84">
        <f>SUMPRODUCT(--('Данные 1st'!$S$2:$S$317=$A84),--ISNUMBER('Данные 1st'!$SR$2:$SR$317))</f>
        <v>1</v>
      </c>
      <c r="IY84">
        <f>SUMPRODUCT(--('Данные 1st'!$S$2:$S$317=$A84),--ISNUMBER('Данные 1st'!$SS$2:$SS$317))</f>
        <v>1</v>
      </c>
      <c r="IZ84">
        <f>SUMPRODUCT(--('Данные 1st'!$S$2:$S$317=$A84),--ISNUMBER('Данные 1st'!$ST$2:$ST$317))</f>
        <v>1</v>
      </c>
      <c r="JA84">
        <f>SUMPRODUCT(--('Данные 1st'!$S$2:$S$317=$A84),--ISNUMBER('Данные 1st'!$SU$2:$SU$317))</f>
        <v>1</v>
      </c>
      <c r="JB84">
        <f>SUMPRODUCT(--('Данные 1st'!$S$2:$S$317=$A84),--ISNUMBER('Данные 1st'!$SV$2:$SV$317))</f>
        <v>1</v>
      </c>
      <c r="JC84">
        <f>SUMPRODUCT(--('Данные 1st'!$S$2:$S$317=$A84),--ISNUMBER('Данные 1st'!$SW$2:$SW$317))</f>
        <v>1</v>
      </c>
      <c r="JD84">
        <f>SUMPRODUCT(--('Данные 1st'!$S$2:$S$317=$A84),--ISNUMBER('Данные 1st'!$SX$2:$SX$317))</f>
        <v>1</v>
      </c>
      <c r="JE84">
        <f>SUMPRODUCT(--('Данные 1st'!$S$2:$S$317=$A84),--ISNUMBER('Данные 1st'!$SY$2:$SY$317))</f>
        <v>1</v>
      </c>
      <c r="JF84">
        <f>SUMPRODUCT(--('Данные 1st'!$S$2:$S$317=$A84),--ISNUMBER('Данные 1st'!$SZ$2:$SZ$317))</f>
        <v>1</v>
      </c>
      <c r="JG84">
        <f>SUMPRODUCT(--('Данные 1st'!$S$2:$S$317=$A84),--ISNUMBER('Данные 1st'!$TA$2:$TA$317))</f>
        <v>0</v>
      </c>
      <c r="JH84">
        <f>SUMPRODUCT(--('Данные 1st'!$S$2:$S$317=$A84),--ISNUMBER('Данные 1st'!$TB$2:$TB$317))</f>
        <v>1</v>
      </c>
      <c r="JI84">
        <f>SUMPRODUCT(--('Данные 1st'!$S$2:$S$317=$A84),--ISNUMBER('Данные 1st'!$TC$2:$TC$317))</f>
        <v>1</v>
      </c>
      <c r="JJ84">
        <f>SUMPRODUCT(--('Данные 1st'!$S$2:$S$317=$A84),--ISNUMBER('Данные 1st'!$TD$2:$TD$317))</f>
        <v>1</v>
      </c>
      <c r="JK84">
        <f>SUMPRODUCT(--('Данные 1st'!$S$2:$S$317=$A84),--ISNUMBER('Данные 1st'!$TN$2:$TN$317))</f>
        <v>1</v>
      </c>
      <c r="JQ84">
        <f>SUMPRODUCT(--('Данные 2st'!$Q$2:$Q$317=$A84),--ISNUMBER('Данные 2st'!$AC$2:$AC$317))</f>
        <v>1</v>
      </c>
      <c r="JR84">
        <f>SUMPRODUCT(--('Данные 2st'!$Q$2:$Q$317=$A84),--ISNUMBER('Данные 2st'!$AF$2:$AF$317))</f>
        <v>1</v>
      </c>
      <c r="JS84">
        <f>SUMPRODUCT(--('Данные 2st'!$Q$2:$Q$317=$A84),--ISNUMBER('Данные 2st'!$AW$2:$AW$317))</f>
        <v>1</v>
      </c>
      <c r="JT84">
        <f>SUMPRODUCT(--('Данные 2st'!$Q$2:$Q$317=$A84),--ISNUMBER('Данные 2st'!$AX$2:$AX$317))</f>
        <v>1</v>
      </c>
      <c r="JU84">
        <f>SUMPRODUCT(--('Данные 2st'!$Q$2:$Q$317=$A84),--ISNUMBER('Данные 2st'!$AY$2:$AY$317))</f>
        <v>1</v>
      </c>
      <c r="JV84">
        <f>SUMPRODUCT(--('Данные 2st'!$Q$2:$Q$317=$A84),--ISNUMBER('Данные 2st'!$AZ$2:$AZ$317))</f>
        <v>1</v>
      </c>
      <c r="JW84">
        <f>SUMPRODUCT(--('Данные 2st'!$Q$2:$Q$317=$A84),--ISNUMBER('Данные 2st'!$BA$2:$BA$317))</f>
        <v>0</v>
      </c>
      <c r="JX84">
        <f>SUMPRODUCT(--('Данные 2st'!$Q$2:$Q$317=$A84),--ISNUMBER('Данные 2st'!$BB$2:$BB$317))</f>
        <v>0</v>
      </c>
      <c r="JY84">
        <f>SUMPRODUCT(--('Данные 2st'!$Q$2:$Q$317=$A84),--ISNUMBER('Данные 2st'!$BC$2:$BC$317))</f>
        <v>0</v>
      </c>
      <c r="JZ84">
        <f>SUMPRODUCT(--('Данные 2st'!$Q$2:$Q$317=$A84),--ISNUMBER('Данные 2st'!$BH$2:$BH$317))</f>
        <v>1</v>
      </c>
      <c r="KA84">
        <f>SUMPRODUCT(--('Данные 2st'!$Q$2:$Q$317=$A84),--ISNUMBER('Данные 2st'!$BI$2:$BI$317))</f>
        <v>1</v>
      </c>
      <c r="KB84">
        <f>SUMPRODUCT(--('Данные 2st'!$Q$2:$Q$317=$A84),--ISNUMBER('Данные 2st'!$BJ$2:$BJ$317))</f>
        <v>1</v>
      </c>
      <c r="KC84">
        <f>SUMPRODUCT(--('Данные 2st'!$Q$2:$Q$317=$A84),--ISNUMBER('Данные 2st'!$BK$2:$BK$317))</f>
        <v>1</v>
      </c>
      <c r="KD84">
        <f>SUMPRODUCT(--('Данные 2st'!$Q$2:$Q$317=$A84),--ISNUMBER('Данные 2st'!$BL$2:$BL$317))</f>
        <v>1</v>
      </c>
      <c r="KE84">
        <f>SUMPRODUCT(--('Данные 2st'!$Q$2:$Q$317=$A84),--ISNUMBER('Данные 2st'!$BM$2:$BM$317))</f>
        <v>1</v>
      </c>
      <c r="KF84">
        <f>SUMPRODUCT(--('Данные 2st'!$Q$2:$Q$317=$A84),--ISNUMBER('Данные 2st'!$BN$2:$BN$317))</f>
        <v>1</v>
      </c>
      <c r="KG84">
        <f>SUMPRODUCT(--('Данные 2st'!$Q$2:$Q$317=$A84),--ISNUMBER('Данные 2st'!$BO$2:$BO$317))</f>
        <v>1</v>
      </c>
      <c r="KH84">
        <f>SUMPRODUCT(--('Данные 2st'!$Q$2:$Q$317=$A84),--ISNUMBER('Данные 2st'!$BP$2:$BP$317))</f>
        <v>1</v>
      </c>
      <c r="KI84">
        <f>SUMPRODUCT(--('Данные 2st'!$Q$2:$Q$317=$A84),--ISNUMBER('Данные 2st'!$BR$2:$BR$317))</f>
        <v>1</v>
      </c>
      <c r="KJ84">
        <f>SUMPRODUCT(--('Данные 2st'!$Q$2:$Q$317=$A84),--ISNUMBER('Данные 2st'!$BS$2:$BS$317))</f>
        <v>1</v>
      </c>
      <c r="KK84">
        <f>SUMPRODUCT(--('Данные 2st'!$Q$2:$Q$317=$A84),--ISNUMBER('Данные 2st'!$BT$2:$BT$317))</f>
        <v>1</v>
      </c>
      <c r="KL84">
        <f>SUMPRODUCT(--('Данные 2st'!$Q$2:$Q$317=$A84),--ISNUMBER('Данные 2st'!$CV$2:$CV$317))</f>
        <v>1</v>
      </c>
      <c r="KM84">
        <f>SUMPRODUCT(--('Данные 2st'!$Q$2:$Q$317=$A84),--ISNUMBER('Данные 2st'!$CW$2:$CW$317))</f>
        <v>1</v>
      </c>
      <c r="KN84">
        <f>SUMPRODUCT(--('Данные 2st'!$Q$2:$Q$317=$A84),--ISNUMBER('Данные 2st'!$CX$2:$CX$317))</f>
        <v>1</v>
      </c>
      <c r="KO84">
        <f>SUMPRODUCT(--('Данные 2st'!$Q$2:$Q$317=$A84),--ISNUMBER('Данные 2st'!$CY$2:$CY$317))</f>
        <v>1</v>
      </c>
      <c r="KP84">
        <f>SUMPRODUCT(--('Данные 2st'!$Q$2:$Q$317=$A84),--ISNUMBER('Данные 2st'!$CZ$2:$CZ$317))</f>
        <v>1</v>
      </c>
      <c r="KQ84">
        <f>SUMPRODUCT(--('Данные 2st'!$Q$2:$Q$317=$A84),--ISNUMBER('Данные 2st'!$DA$2:$DA$317))</f>
        <v>1</v>
      </c>
      <c r="KR84">
        <f>SUMPRODUCT(--('Данные 2st'!$Q$2:$Q$317=$A84),--ISNUMBER('Данные 2st'!$DB$2:$DB$317))</f>
        <v>1</v>
      </c>
      <c r="KS84">
        <f>SUMPRODUCT(--('Данные 2st'!$Q$2:$Q$317=$A84),--ISNUMBER('Данные 2st'!$DC$2:$DC$317))</f>
        <v>1</v>
      </c>
      <c r="KT84">
        <f>SUMPRODUCT(--('Данные 2st'!$Q$2:$Q$317=$A84),--ISNUMBER('Данные 2st'!$DD$2:$DD$317))</f>
        <v>1</v>
      </c>
      <c r="KU84">
        <f>SUMPRODUCT(--('Данные 2st'!$Q$2:$Q$317=$A84),--ISNUMBER('Данные 2st'!$DE$2:$DE$317))</f>
        <v>1</v>
      </c>
      <c r="KV84">
        <f>SUMPRODUCT(--('Данные 2st'!$Q$2:$Q$317=$A84),--ISNUMBER('Данные 2st'!$DF$2:$DF$317))</f>
        <v>1</v>
      </c>
      <c r="KW84">
        <f>SUMPRODUCT(--('Данные 2st'!$Q$2:$Q$317=$A84),--ISNUMBER('Данные 2st'!$DG$2:$DG$317))</f>
        <v>1</v>
      </c>
      <c r="KX84">
        <f>SUMPRODUCT(--('Данные 2st'!$Q$2:$Q$317=$A84),--ISNUMBER('Данные 2st'!$DH$2:$DH$317))</f>
        <v>1</v>
      </c>
      <c r="KY84">
        <f>SUMPRODUCT(--('Данные 2st'!$Q$2:$Q$317=$A84),--ISNUMBER('Данные 2st'!$DI$2:$DI$317))</f>
        <v>0</v>
      </c>
      <c r="KZ84">
        <f>SUMPRODUCT(--('Данные 2st'!$Q$2:$Q$317=$A84),--ISNUMBER('Данные 2st'!$DK$2:$DK$317))</f>
        <v>1</v>
      </c>
      <c r="LA84">
        <f>SUMPRODUCT(--('Данные 2st'!$Q$2:$Q$317=$A84),--ISNUMBER('Данные 2st'!$DM$2:$DM$317))</f>
        <v>1</v>
      </c>
      <c r="LB84">
        <f>SUMPRODUCT(--('Данные 2st'!$Q$2:$Q$317=$A84),--ISNUMBER('Данные 2st'!$DN$2:$DN$317))</f>
        <v>1</v>
      </c>
      <c r="LC84">
        <f>SUMPRODUCT(--('Данные 2st'!$Q$2:$Q$317=$A84),--ISNUMBER('Данные 2st'!$DO$2:$DO$317))</f>
        <v>1</v>
      </c>
      <c r="LD84">
        <f>SUMPRODUCT(--('Данные 2st'!$Q$2:$Q$317=$A84),--ISNUMBER('Данные 2st'!$DP$2:$DP$317))</f>
        <v>1</v>
      </c>
      <c r="LE84">
        <f>SUMPRODUCT(--('Данные 2st'!$Q$2:$Q$317=$A84),--ISNUMBER('Данные 2st'!$DQ$2:$DQ$317))</f>
        <v>1</v>
      </c>
      <c r="LF84">
        <f>SUMPRODUCT(--('Данные 2st'!$Q$2:$Q$317=$A84),--ISNUMBER('Данные 2st'!$DS$2:$DS$317))</f>
        <v>1</v>
      </c>
      <c r="LG84">
        <f>SUMPRODUCT(--('Данные 2st'!$Q$2:$Q$317=$A84),--ISNUMBER('Данные 2st'!$DU$2:$DU$317))</f>
        <v>1</v>
      </c>
      <c r="LH84">
        <f>SUMPRODUCT(--('Данные 2st'!$Q$2:$Q$317=$A84),--ISNUMBER('Данные 2st'!$DV$2:$DV$317))</f>
        <v>1</v>
      </c>
      <c r="LI84">
        <f>SUMPRODUCT(--('Данные 2st'!$Q$2:$Q$317=$A84),--ISNUMBER('Данные 2st'!$DW$2:$DW$317))</f>
        <v>1</v>
      </c>
      <c r="LJ84">
        <f>SUMPRODUCT(--('Данные 2st'!$Q$2:$Q$317=$A84),--ISNUMBER('Данные 2st'!$DX$2:$DX$317))</f>
        <v>1</v>
      </c>
      <c r="LK84">
        <f>SUMPRODUCT(--('Данные 2st'!$Q$2:$Q$317=$A84),--ISNUMBER('Данные 2st'!$DY$2:$DY$317))</f>
        <v>1</v>
      </c>
      <c r="LL84">
        <f>SUMPRODUCT(--('Данные 2st'!$Q$2:$Q$317=$A84),--ISNUMBER('Данные 2st'!$EA$2:$EA$317))</f>
        <v>1</v>
      </c>
      <c r="LM84">
        <f>SUMPRODUCT(--('Данные 2st'!$Q$2:$Q$317=$A84),--ISNUMBER('Данные 2st'!$EC$2:$EC$317))</f>
        <v>1</v>
      </c>
      <c r="LN84">
        <f>SUMPRODUCT(--('Данные 2st'!$Q$2:$Q$317=$A84),--ISNUMBER('Данные 2st'!$ED$2:$ED$317))</f>
        <v>1</v>
      </c>
      <c r="LO84">
        <f>SUMPRODUCT(--('Данные 2st'!$Q$2:$Q$317=$A84),--ISNUMBER('Данные 2st'!$EE$2:$EE$317))</f>
        <v>1</v>
      </c>
      <c r="LP84">
        <f>SUMPRODUCT(--('Данные 2st'!$Q$2:$Q$317=$A84),--ISNUMBER('Данные 2st'!$EG$2:$EG$317))</f>
        <v>1</v>
      </c>
      <c r="LQ84">
        <f>SUMPRODUCT(--('Данные 2st'!$Q$2:$Q$317=$A84),--ISNUMBER('Данные 2st'!$EI$2:$EI$317))</f>
        <v>1</v>
      </c>
      <c r="LR84">
        <f>SUMPRODUCT(--('Данные 2st'!$Q$2:$Q$317=$A84),--ISNUMBER('Данные 2st'!$EJ$2:$EJ$317))</f>
        <v>0</v>
      </c>
      <c r="LS84">
        <f>SUMPRODUCT(--('Данные 2st'!$Q$2:$Q$317=$A84),--ISNUMBER('Данные 2st'!$EK$2:$EK$317))</f>
        <v>0</v>
      </c>
      <c r="LT84">
        <f>SUMPRODUCT(--('Данные 2st'!$Q$2:$Q$317=$A84),--ISNUMBER('Данные 2st'!$EM$2:$EM$317))</f>
        <v>1</v>
      </c>
      <c r="LU84">
        <f>SUMPRODUCT(--('Данные 2st'!$Q$2:$Q$317=$A84),--ISNUMBER('Данные 2st'!$EN$2:$EN$317))</f>
        <v>1</v>
      </c>
      <c r="LV84">
        <f>SUMPRODUCT(--('Данные 2st'!$Q$2:$Q$317=$A84),--ISNUMBER('Данные 2st'!$EO$2:$EO$317))</f>
        <v>1</v>
      </c>
      <c r="LW84">
        <f>SUMPRODUCT(--('Данные 2st'!$Q$2:$Q$317=$A84),--ISNUMBER('Данные 2st'!$EP$2:$EP$317))</f>
        <v>1</v>
      </c>
      <c r="LX84">
        <f>SUMPRODUCT(--('Данные 2st'!$Q$2:$Q$317=$A84),--ISNUMBER('Данные 2st'!$EQ$2:$EQ$317))</f>
        <v>1</v>
      </c>
      <c r="LY84">
        <f>SUMPRODUCT(--('Данные 2st'!$Q$2:$Q$317=$A84),--ISNUMBER('Данные 2st'!$ER$2:$ER$317))</f>
        <v>1</v>
      </c>
      <c r="LZ84">
        <f>SUMPRODUCT(--('Данные 2st'!$Q$2:$Q$317=$A84),--ISNUMBER('Данные 2st'!$ES$2:$ES$317))</f>
        <v>1</v>
      </c>
      <c r="MA84">
        <f>SUMPRODUCT(--('Данные 2st'!$Q$2:$Q$317=$A84),--ISNUMBER('Данные 2st'!$ET$2:$ET$317))</f>
        <v>1</v>
      </c>
      <c r="MB84">
        <f>SUMPRODUCT(--('Данные 2st'!$Q$2:$Q$317=$A84),--ISNUMBER('Данные 2st'!$EU$2:$EU$317))</f>
        <v>1</v>
      </c>
      <c r="MC84">
        <f>SUMPRODUCT(--('Данные 2st'!$Q$2:$Q$317=$A84),--ISNUMBER('Данные 2st'!$EV$2:$EV$317))</f>
        <v>1</v>
      </c>
      <c r="MD84">
        <f>SUMPRODUCT(--('Данные 2st'!$Q$2:$Q$317=$A84),--ISNUMBER('Данные 2st'!$EW$2:$EW$317))</f>
        <v>1</v>
      </c>
      <c r="ME84">
        <f>SUMPRODUCT(--('Данные 2st'!$Q$2:$Q$317=$A84),--ISNUMBER('Данные 2st'!$EY$2:$EY$317))</f>
        <v>1</v>
      </c>
      <c r="MF84">
        <f>SUMPRODUCT(--('Данные 2st'!$Q$2:$Q$317=$A84),--ISNUMBER('Данные 2st'!$FA$2:$FA$317))</f>
        <v>1</v>
      </c>
      <c r="MG84">
        <f>SUMPRODUCT(--('Данные 2st'!$Q$2:$Q$317=$A84),--ISNUMBER('Данные 2st'!$FB$2:$FB$317))</f>
        <v>1</v>
      </c>
      <c r="MH84">
        <f>SUMPRODUCT(--('Данные 2st'!$Q$2:$Q$317=$A84),--ISNUMBER('Данные 2st'!$FC$2:$FC$317))</f>
        <v>1</v>
      </c>
      <c r="MI84">
        <f>SUMPRODUCT(--('Данные 2st'!$Q$2:$Q$317=$A84),--ISNUMBER('Данные 2st'!$FD$2:$FD$317))</f>
        <v>1</v>
      </c>
      <c r="MJ84">
        <f>SUMPRODUCT(--('Данные 2st'!$Q$2:$Q$317=$A84),--ISNUMBER('Данные 2st'!$FE$2:$FE$317))</f>
        <v>1</v>
      </c>
      <c r="MK84">
        <f>SUMPRODUCT(--('Данные 2st'!$Q$2:$Q$317=$A84),--ISNUMBER('Данные 2st'!$FG$2:$FG$317))</f>
        <v>1</v>
      </c>
      <c r="ML84">
        <f>SUMPRODUCT(--('Данные 2st'!$Q$2:$Q$317=$A84),--ISNUMBER('Данные 2st'!$FI$2:$FI$317))</f>
        <v>1</v>
      </c>
      <c r="MM84">
        <f>SUMPRODUCT(--('Данные 2st'!$Q$2:$Q$317=$A84),--ISNUMBER('Данные 2st'!$FJ$2:$FJ$317))</f>
        <v>1</v>
      </c>
      <c r="MN84">
        <f>SUMPRODUCT(--('Данные 2st'!$Q$2:$Q$317=$A84),--ISNUMBER('Данные 2st'!$FK$2:$FK$317))</f>
        <v>1</v>
      </c>
      <c r="MO84">
        <f>SUMPRODUCT(--('Данные 2st'!$Q$2:$Q$317=$A84),--ISNUMBER('Данные 2st'!$FP$2:$FP$317))</f>
        <v>1</v>
      </c>
      <c r="MP84">
        <f>SUMPRODUCT(--('Данные 2st'!$Q$2:$Q$317=$A84),--ISNUMBER('Данные 2st'!$FQ$2:$FQ$317))</f>
        <v>1</v>
      </c>
      <c r="MQ84">
        <f>SUMPRODUCT(--('Данные 2st'!$Q$2:$Q$317=$A84),--ISNUMBER('Данные 2st'!$FS$2:$FS$317))</f>
        <v>1</v>
      </c>
      <c r="MR84">
        <f>SUMPRODUCT(--('Данные 2st'!$Q$2:$Q$317=$A84),--ISNUMBER('Данные 2st'!$FU$2:$FU$317))</f>
        <v>1</v>
      </c>
      <c r="MS84">
        <f>SUMPRODUCT(--('Данные 2st'!$Q$2:$Q$317=$A84),--ISNUMBER('Данные 2st'!$FV$2:$FV$317))</f>
        <v>1</v>
      </c>
      <c r="MT84">
        <f>SUMPRODUCT(--('Данные 2st'!$Q$2:$Q$317=$A84),--ISNUMBER('Данные 2st'!$FW$2:$FW$317))</f>
        <v>1</v>
      </c>
      <c r="MU84">
        <f>SUMPRODUCT(--('Данные 2st'!$Q$2:$Q$317=$A84),--ISNUMBER('Данные 2st'!$FY$2:$FY$317))</f>
        <v>1</v>
      </c>
      <c r="MV84">
        <f>SUMPRODUCT(--('Данные 2st'!$Q$2:$Q$317=$A84),--ISNUMBER('Данные 2st'!$GB$2:$GB$317))</f>
        <v>1</v>
      </c>
      <c r="MW84">
        <f>SUMPRODUCT(--('Данные 2st'!$Q$2:$Q$317=$A84),--ISNUMBER('Данные 2st'!$GC$2:$GC$317))</f>
        <v>1</v>
      </c>
      <c r="MX84">
        <f>SUMPRODUCT(--('Данные 2st'!$Q$2:$Q$317=$A84),--ISNUMBER('Данные 2st'!$GD$2:$GD$317))</f>
        <v>1</v>
      </c>
      <c r="MY84">
        <f>SUMPRODUCT(--('Данные 2st'!$Q$2:$Q$317=$A84),--ISNUMBER('Данные 2st'!$GN$2:$GN$317))</f>
        <v>0</v>
      </c>
      <c r="MZ84">
        <f>SUMPRODUCT(--('Данные 2st'!$Q$2:$Q$317=$A84),--ISNUMBER('Данные 2st'!$GQ$2:$GQ$317))</f>
        <v>1</v>
      </c>
      <c r="NA84">
        <f>SUMPRODUCT(--('Данные 2st'!$Q$2:$Q$317=$A84),--ISNUMBER('Данные 2st'!$GV$2:$GV$317))</f>
        <v>1</v>
      </c>
      <c r="NB84">
        <f>SUMPRODUCT(--('Данные 2st'!$Q$2:$Q$317=$A84),--ISNUMBER('Данные 2st'!$GW$2:$GW$317))</f>
        <v>1</v>
      </c>
      <c r="NC84">
        <f>SUMPRODUCT(--('Данные 2st'!$Q$2:$Q$317=$A84),--ISNUMBER('Данные 2st'!$GX$2:$GX$317))</f>
        <v>1</v>
      </c>
      <c r="ND84">
        <f>SUMPRODUCT(--('Данные 2st'!$Q$2:$Q$317=$A84),--ISNUMBER('Данные 2st'!$GY$2:$GY$317))</f>
        <v>1</v>
      </c>
      <c r="NE84">
        <f>SUMPRODUCT(--('Данные 2st'!$Q$2:$Q$317=$A84),--ISNUMBER('Данные 2st'!$GZ$2:$GZ$317))</f>
        <v>1</v>
      </c>
      <c r="NF84">
        <f>SUMPRODUCT(--('Данные 2st'!$Q$2:$Q$317=$A84),--ISNUMBER('Данные 2st'!$HA$2:$HA$317))</f>
        <v>1</v>
      </c>
      <c r="NG84">
        <f>SUMPRODUCT(--('Данные 2st'!$Q$2:$Q$317=$A84),--ISNUMBER('Данные 2st'!$HB$2:$HB$317))</f>
        <v>1</v>
      </c>
      <c r="NH84">
        <f>SUMPRODUCT(--('Данные 2st'!$Q$2:$Q$317=$A84),--ISNUMBER('Данные 2st'!$HC$2:$HC$317))</f>
        <v>1</v>
      </c>
      <c r="NI84">
        <f>SUMPRODUCT(--('Данные 2st'!$Q$2:$Q$317=$A84),--ISNUMBER('Данные 2st'!$HD$2:$HD$317))</f>
        <v>1</v>
      </c>
      <c r="NJ84">
        <f>SUMPRODUCT(--('Данные 2st'!$Q$2:$Q$317=$A84),--ISNUMBER('Данные 2st'!$HM$2:$HM$317))</f>
        <v>1</v>
      </c>
      <c r="NK84">
        <f>SUMPRODUCT(--('Данные 2st'!$Q$2:$Q$317=$A84),--ISNUMBER('Данные 2st'!$HR$2:$HR$317))</f>
        <v>1</v>
      </c>
      <c r="NL84">
        <f>SUMPRODUCT(--('Данные 2st'!$Q$2:$Q$317=$A84),--ISNUMBER('Данные 2st'!$HS$2:$HS$317))</f>
        <v>1</v>
      </c>
      <c r="NM84">
        <f>SUMPRODUCT(--('Данные 2st'!$Q$2:$Q$317=$A84),--ISNUMBER('Данные 2st'!$HT$2:$HT$317))</f>
        <v>1</v>
      </c>
      <c r="NN84">
        <f>SUMPRODUCT(--('Данные 2st'!$Q$2:$Q$317=$A84),--ISNUMBER('Данные 2st'!$HY$2:$HY$317))</f>
        <v>1</v>
      </c>
      <c r="NO84">
        <f>SUMPRODUCT(--('Данные 2st'!$Q$2:$Q$317=$A84),--ISNUMBER('Данные 2st'!$HZ$2:$HZ$317))</f>
        <v>1</v>
      </c>
      <c r="NP84">
        <f>SUMPRODUCT(--('Данные 2st'!$Q$2:$Q$317=$A84),--ISNUMBER('Данные 2st'!$IA$2:$IA$317))</f>
        <v>1</v>
      </c>
      <c r="NQ84">
        <f>SUMPRODUCT(--('Данные 2st'!$Q$2:$Q$317=$A84),--ISNUMBER('Данные 2st'!$IB$2:$IB$317))</f>
        <v>1</v>
      </c>
      <c r="NR84">
        <f>SUMPRODUCT(--('Данные 2st'!$Q$2:$Q$317=$A84),--ISNUMBER('Данные 2st'!$IC$2:$IC$317))</f>
        <v>0</v>
      </c>
      <c r="NS84">
        <f>SUMPRODUCT(--('Данные 2st'!$Q$2:$Q$317=$A84),--ISNUMBER('Данные 2st'!$ID$2:$ID$317))</f>
        <v>1</v>
      </c>
      <c r="NT84">
        <f>SUMPRODUCT(--('Данные 2st'!$Q$2:$Q$317=$A84),--ISNUMBER('Данные 2st'!$IE$2:$IE$317))</f>
        <v>1</v>
      </c>
      <c r="NU84">
        <f>SUMPRODUCT(--('Данные 2st'!$Q$2:$Q$317=$A84),--ISNUMBER('Данные 2st'!$IF$2:$IF$317))</f>
        <v>1</v>
      </c>
      <c r="NV84">
        <f>SUMPRODUCT(--('Данные 2st'!$Q$2:$Q$317=$A84),--ISNUMBER('Данные 2st'!$IG$2:$IG$317))</f>
        <v>1</v>
      </c>
      <c r="NW84">
        <f>SUMPRODUCT(--('Данные 2st'!$Q$2:$Q$317=$A84),--ISNUMBER('Данные 2st'!$IH$2:$IH$317))</f>
        <v>1</v>
      </c>
      <c r="NX84">
        <f>SUMPRODUCT(--('Данные 2st'!$Q$2:$Q$317=$A84),--ISNUMBER('Данные 2st'!$IJ$2:$IJ$317))</f>
        <v>1</v>
      </c>
      <c r="NY84">
        <f>SUMPRODUCT(--('Данные 2st'!$Q$2:$Q$317=$A84),--ISNUMBER('Данные 2st'!$IM$2:$IM$317))</f>
        <v>1</v>
      </c>
      <c r="NZ84">
        <f>SUMPRODUCT(--('Данные 2st'!$Q$2:$Q$317=$A84),--ISNUMBER('Данные 2st'!$IN$2:$IN$317))</f>
        <v>1</v>
      </c>
      <c r="OA84">
        <f>SUMPRODUCT(--('Данные 2st'!$Q$2:$Q$317=$A84),--ISNUMBER('Данные 2st'!$IO$2:$IO$317))</f>
        <v>1</v>
      </c>
      <c r="OB84">
        <f>SUMPRODUCT(--('Данные 2st'!$Q$2:$Q$317=$A84),--ISNUMBER('Данные 2st'!$IP$2:$IP$317))</f>
        <v>1</v>
      </c>
      <c r="OC84">
        <f>SUMPRODUCT(--('Данные 2st'!$Q$2:$Q$317=$A84),--ISNUMBER('Данные 2st'!$IQ$2:$IQ$317))</f>
        <v>1</v>
      </c>
      <c r="OD84">
        <f>SUMPRODUCT(--('Данные 2st'!$Q$2:$Q$317=$A84),--ISNUMBER('Данные 2st'!$IR$2:$IR$317))</f>
        <v>1</v>
      </c>
      <c r="OE84">
        <f>SUMPRODUCT(--('Данные 2st'!$Q$2:$Q$317=$A84),--ISNUMBER('Данные 2st'!$IT$2:$IT$317))</f>
        <v>1</v>
      </c>
      <c r="OF84">
        <f>SUMPRODUCT(--('Данные 2st'!$Q$2:$Q$317=$A84),--ISNUMBER('Данные 2st'!$IU$2:$IU$317))</f>
        <v>1</v>
      </c>
      <c r="OG84">
        <f>SUMPRODUCT(--('Данные 2st'!$Q$2:$Q$317=$A84),--ISNUMBER('Данные 2st'!$IV$2:$IV$317))</f>
        <v>1</v>
      </c>
      <c r="OH84">
        <f>SUMPRODUCT(--('Данные 2st'!$Q$2:$Q$317=$A84),--ISNUMBER('Данные 2st'!$IW$2:$IW$317))</f>
        <v>1</v>
      </c>
      <c r="OI84">
        <f>SUMPRODUCT(--('Данные 2st'!$Q$2:$Q$317=$A84),--ISNUMBER('Данные 2st'!$IX$2:$IX$317))</f>
        <v>1</v>
      </c>
      <c r="OJ84">
        <f>SUMPRODUCT(--('Данные 2st'!$Q$2:$Q$317=$A84),--ISNUMBER('Данные 2st'!$IY$2:$IY$317))</f>
        <v>1</v>
      </c>
      <c r="OK84">
        <f>SUMPRODUCT(--('Данные 2st'!$Q$2:$Q$317=$A84),--ISNUMBER('Данные 2st'!$IZ$2:$IZ$317))</f>
        <v>1</v>
      </c>
      <c r="OL84">
        <f>SUMPRODUCT(--('Данные 2st'!$Q$2:$Q$317=$A84),--ISNUMBER('Данные 2st'!$JA$2:$JA$317))</f>
        <v>1</v>
      </c>
      <c r="OM84">
        <f>SUMPRODUCT(--('Данные 2st'!$Q$2:$Q$317=$A84),--ISNUMBER('Данные 2st'!$JB$2:$JB$317))</f>
        <v>1</v>
      </c>
      <c r="ON84">
        <f>SUMPRODUCT(--('Данные 2st'!$Q$2:$Q$317=$A84),--ISNUMBER('Данные 2st'!$JC$2:$JC$317))</f>
        <v>1</v>
      </c>
      <c r="OO84">
        <f>SUMPRODUCT(--('Данные 2st'!$Q$2:$Q$317=$A84),--ISNUMBER('Данные 2st'!$JD$2:$JD$317))</f>
        <v>1</v>
      </c>
      <c r="OP84">
        <f>SUMPRODUCT(--('Данные 2st'!$Q$2:$Q$317=$A84),--ISNUMBER('Данные 2st'!$JE$2:$JE$317))</f>
        <v>1</v>
      </c>
      <c r="OQ84">
        <f>SUMPRODUCT(--('Данные 2st'!$Q$2:$Q$317=$A84),--ISNUMBER('Данные 2st'!$JF$2:$JF$317))</f>
        <v>1</v>
      </c>
      <c r="OR84">
        <f>SUMPRODUCT(--('Данные 2st'!$Q$2:$Q$317=$A84),--ISNUMBER('Данные 2st'!$JG$2:$JG$317))</f>
        <v>1</v>
      </c>
      <c r="OS84">
        <f>SUMPRODUCT(--('Данные 2st'!$Q$2:$Q$317=$A84),--ISNUMBER('Данные 2st'!$JH$2:$JH$317))</f>
        <v>1</v>
      </c>
      <c r="OT84">
        <f>SUMPRODUCT(--('Данные 2st'!$Q$2:$Q$317=$A84),--ISNUMBER('Данные 2st'!$JI$2:$JI$317))</f>
        <v>1</v>
      </c>
      <c r="OU84">
        <f>SUMPRODUCT(--('Данные 2st'!$Q$2:$Q$317=$A84),--ISNUMBER('Данные 2st'!$JJ$2:$JJ$317))</f>
        <v>1</v>
      </c>
      <c r="OV84">
        <f>SUMPRODUCT(--('Данные 2st'!$Q$2:$Q$317=$A84),--ISNUMBER('Данные 2st'!$JK$2:$JK$317))</f>
        <v>1</v>
      </c>
      <c r="OW84">
        <f>SUMPRODUCT(--('Данные 2st'!$Q$2:$Q$317=$A84),--ISNUMBER('Данные 2st'!$JL$2:$JL$317))</f>
        <v>1</v>
      </c>
      <c r="OX84">
        <f>SUMPRODUCT(--('Данные 2st'!$Q$2:$Q$317=$A84),--ISNUMBER('Данные 2st'!$JM$2:$JM$317))</f>
        <v>1</v>
      </c>
      <c r="OY84">
        <f>SUMPRODUCT(--('Данные 2st'!$Q$2:$Q$317=$A84),--ISNUMBER('Данные 2st'!$JP$2:$JP$317))</f>
        <v>1</v>
      </c>
      <c r="OZ84">
        <f>SUMPRODUCT(--('Данные 2st'!$Q$2:$Q$317=$A84),--ISNUMBER('Данные 2st'!$JQ$2:$JQ$317))</f>
        <v>1</v>
      </c>
      <c r="PA84">
        <f>SUMPRODUCT(--('Данные 2st'!$Q$2:$Q$317=$A84),--ISNUMBER('Данные 2st'!$JR$2:$JR$317))</f>
        <v>1</v>
      </c>
      <c r="PB84">
        <f>SUMPRODUCT(--('Данные 2st'!$Q$2:$Q$317=$A84),--ISNUMBER('Данные 2st'!$JS$2:$JS$317))</f>
        <v>1</v>
      </c>
      <c r="PC84">
        <f>SUMPRODUCT(--('Данные 2st'!$Q$2:$Q$317=$A84),--ISNUMBER('Данные 2st'!$JT$2:$JT$317))</f>
        <v>1</v>
      </c>
      <c r="PD84">
        <f>SUMPRODUCT(--('Данные 2st'!$Q$2:$Q$317=$A84),--ISNUMBER('Данные 2st'!$JU$2:$JU$317))</f>
        <v>1</v>
      </c>
      <c r="PE84">
        <f>SUMPRODUCT(--('Данные 2st'!$Q$2:$Q$317=$A84),--ISNUMBER('Данные 2st'!$JV$2:$JV$317))</f>
        <v>1</v>
      </c>
      <c r="PF84">
        <f>SUMPRODUCT(--('Данные 2st'!$Q$2:$Q$317=$A84),--ISNUMBER('Данные 2st'!$JW$2:$JW$317))</f>
        <v>1</v>
      </c>
      <c r="PG84">
        <f>SUMPRODUCT(--('Данные 2st'!$Q$2:$Q$317=$A84),--ISNUMBER('Данные 2st'!$KF$2:$KF$317))</f>
        <v>1</v>
      </c>
      <c r="PH84">
        <f>SUMPRODUCT(--('Данные 2st'!$Q$2:$Q$317=$A84),--ISNUMBER('Данные 2st'!$KG$2:$KG$317))</f>
        <v>1</v>
      </c>
      <c r="PI84">
        <f>SUMPRODUCT(--('Данные 2st'!$Q$2:$Q$317=$A84),--ISNUMBER('Данные 2st'!$KM$2:$KM$317))</f>
        <v>1</v>
      </c>
      <c r="PJ84">
        <f>SUMPRODUCT(--('Данные 2st'!$Q$2:$Q$317=$A84),--ISNUMBER('Данные 2st'!$KN$2:$KN$317))</f>
        <v>1</v>
      </c>
      <c r="PK84">
        <f>SUMPRODUCT(--('Данные 2st'!$Q$2:$Q$317=$A84),--ISNUMBER('Данные 2st'!$KO$2:$KO$317))</f>
        <v>1</v>
      </c>
      <c r="PL84">
        <f>SUMPRODUCT(--('Данные 2st'!$Q$2:$Q$317=$A84),--ISNUMBER('Данные 2st'!$KP$2:$KP$317))</f>
        <v>1</v>
      </c>
      <c r="PM84">
        <f>SUMPRODUCT(--('Данные 2st'!$Q$2:$Q$317=$A84),--ISNUMBER('Данные 2st'!$KQ$2:$KQ$317))</f>
        <v>1</v>
      </c>
      <c r="PN84">
        <f>SUMPRODUCT(--('Данные 2st'!$Q$2:$Q$317=$A84),--ISNUMBER('Данные 2st'!$KR$2:$KR$317))</f>
        <v>1</v>
      </c>
      <c r="PO84">
        <f>SUMPRODUCT(--('Данные 2st'!$Q$2:$Q$317=$A84),--ISNUMBER('Данные 2st'!$KS$2:$KS$317))</f>
        <v>1</v>
      </c>
      <c r="PP84">
        <f>SUMPRODUCT(--('Данные 2st'!$Q$2:$Q$317=$A84),--ISNUMBER('Данные 2st'!$KT$2:$KT$317))</f>
        <v>1</v>
      </c>
      <c r="PQ84">
        <f>SUMPRODUCT(--('Данные 2st'!$Q$2:$Q$317=$A84),--ISNUMBER('Данные 2st'!$KU$2:$KU$317))</f>
        <v>1</v>
      </c>
      <c r="PR84">
        <f>SUMPRODUCT(--('Данные 2st'!$Q$2:$Q$317=$A84),--ISNUMBER('Данные 2st'!$KV$2:$KV$317))</f>
        <v>1</v>
      </c>
      <c r="PS84">
        <f>SUMPRODUCT(--('Данные 2st'!$Q$2:$Q$317=$A84),--ISNUMBER('Данные 2st'!$KW$2:$KW$317))</f>
        <v>1</v>
      </c>
      <c r="PT84">
        <f>SUMPRODUCT(--('Данные 2st'!$Q$2:$Q$317=$A84),--ISNUMBER('Данные 2st'!$KX$2:$KX$317))</f>
        <v>1</v>
      </c>
      <c r="PU84">
        <f>SUMPRODUCT(--('Данные 2st'!$Q$2:$Q$317=$A84),--ISNUMBER('Данные 2st'!$KY$2:$KY$317))</f>
        <v>1</v>
      </c>
      <c r="PV84">
        <f>SUMPRODUCT(--('Данные 2st'!$Q$2:$Q$317=$A84),--ISNUMBER('Данные 2st'!$KZ$2:$KZ$317))</f>
        <v>1</v>
      </c>
      <c r="PW84">
        <f>SUMPRODUCT(--('Данные 2st'!$Q$2:$Q$317=$A84),--ISNUMBER('Данные 2st'!$LA$2:$LA$317))</f>
        <v>1</v>
      </c>
      <c r="PX84">
        <f>SUMPRODUCT(--('Данные 2st'!$Q$2:$Q$317=$A84),--ISNUMBER('Данные 2st'!$LB$2:$LB$317))</f>
        <v>1</v>
      </c>
      <c r="PY84">
        <f>SUMPRODUCT(--('Данные 2st'!$Q$2:$Q$317=$A84),--ISNUMBER('Данные 2st'!$LC$2:$LC$317))</f>
        <v>1</v>
      </c>
      <c r="PZ84">
        <f>SUMPRODUCT(--('Данные 2st'!$Q$2:$Q$317=$A84),--ISNUMBER('Данные 2st'!$LD$2:$LD$317))</f>
        <v>1</v>
      </c>
      <c r="QA84">
        <f>SUMPRODUCT(--('Данные 2st'!$Q$2:$Q$317=$A84),--ISNUMBER('Данные 2st'!$LE$2:$LE$317))</f>
        <v>1</v>
      </c>
      <c r="QB84">
        <f>SUMPRODUCT(--('Данные 2st'!$Q$2:$Q$317=$A84),--ISNUMBER('Данные 2st'!$LF$2:$LF$317))</f>
        <v>1</v>
      </c>
      <c r="QC84">
        <f>SUMPRODUCT(--('Данные 2st'!$Q$2:$Q$317=$A84),--ISNUMBER('Данные 2st'!$LG$2:$LG$317))</f>
        <v>1</v>
      </c>
      <c r="QD84">
        <f>SUMPRODUCT(--('Данные 2st'!$Q$2:$Q$317=$A84),--ISNUMBER('Данные 2st'!$LH$2:$LH$317))</f>
        <v>1</v>
      </c>
      <c r="QE84">
        <f>SUMPRODUCT(--('Данные 2st'!$Q$2:$Q$317=$A84),--ISNUMBER('Данные 2st'!$LJ$2:$LJ$317))</f>
        <v>1</v>
      </c>
      <c r="QF84">
        <f>SUMPRODUCT(--('Данные 2st'!$Q$2:$Q$317=$A84),--ISNUMBER('Данные 2st'!$LK$2:$LK$317))</f>
        <v>1</v>
      </c>
      <c r="QG84">
        <f>SUMPRODUCT(--('Данные 2st'!$Q$2:$Q$317=$A84),--ISNUMBER('Данные 2st'!$LL$2:$LL$317))</f>
        <v>1</v>
      </c>
      <c r="QH84">
        <f>SUMPRODUCT(--('Данные 2st'!$Q$2:$Q$317=$A84),--ISNUMBER('Данные 2st'!$LM$2:$LM$317))</f>
        <v>1</v>
      </c>
      <c r="QI84">
        <f>SUMPRODUCT(--('Данные 2st'!$Q$2:$Q$317=$A84),--ISNUMBER('Данные 2st'!$LN$2:$LN$317))</f>
        <v>1</v>
      </c>
      <c r="QJ84">
        <f>SUMPRODUCT(--('Данные 2st'!$Q$2:$Q$317=$A84),--ISNUMBER('Данные 2st'!$LO$2:$LO$317))</f>
        <v>1</v>
      </c>
      <c r="QK84">
        <f>SUMPRODUCT(--('Данные 2st'!$Q$2:$Q$317=$A84),--ISNUMBER('Данные 2st'!$LP$2:$LP$317))</f>
        <v>1</v>
      </c>
      <c r="QL84">
        <f>SUMPRODUCT(--('Данные 2st'!$Q$2:$Q$317=$A84),--ISNUMBER('Данные 2st'!$LQ$2:$LQ$317))</f>
        <v>1</v>
      </c>
      <c r="QM84">
        <f>SUMPRODUCT(--('Данные 2st'!$Q$2:$Q$317=$A84),--ISNUMBER('Данные 2st'!$LW$2:$LW$317))</f>
        <v>1</v>
      </c>
      <c r="QN84">
        <f>SUMPRODUCT(--('Данные 2st'!$Q$2:$Q$317=$A84),--ISNUMBER('Данные 2st'!$LX$2:$LX$317))</f>
        <v>1</v>
      </c>
      <c r="QO84">
        <f>SUMPRODUCT(--('Данные 2st'!$Q$2:$Q$317=$A84),--ISNUMBER('Данные 2st'!$LY$2:$LY$317))</f>
        <v>1</v>
      </c>
      <c r="QP84">
        <f>SUMPRODUCT(--('Данные 2st'!$Q$2:$Q$317=$A84),--ISNUMBER('Данные 2st'!$LZ$2:$LZ$317))</f>
        <v>1</v>
      </c>
      <c r="QQ84">
        <f>SUMPRODUCT(--('Данные 2st'!$Q$2:$Q$317=$A84),--ISNUMBER('Данные 2st'!$MB$2:$MB$317))</f>
        <v>1</v>
      </c>
      <c r="QR84">
        <f>SUMPRODUCT(--('Данные 2st'!$Q$2:$Q$317=$A84),--ISNUMBER('Данные 2st'!$MG$2:$MG$317))</f>
        <v>1</v>
      </c>
      <c r="QS84">
        <f>SUMPRODUCT(--('Данные 2st'!$Q$2:$Q$317=$A84),--ISNUMBER('Данные 2st'!$MH$2:$MH$317))</f>
        <v>1</v>
      </c>
      <c r="QT84">
        <f>SUMPRODUCT(--('Данные 2st'!$Q$2:$Q$317=$A84),--ISNUMBER('Данные 2st'!$MI$2:$MI$317))</f>
        <v>1</v>
      </c>
      <c r="QU84">
        <f>SUMPRODUCT(--('Данные 2st'!$Q$2:$Q$317=$A84),--ISNUMBER('Данные 2st'!$MJ$2:$MJ$317))</f>
        <v>1</v>
      </c>
      <c r="QV84">
        <f>SUMPRODUCT(--('Данные 2st'!$Q$2:$Q$317=$A84),--ISNUMBER('Данные 2st'!$MK$2:$MK$317))</f>
        <v>1</v>
      </c>
      <c r="QW84">
        <f>SUMPRODUCT(--('Данные 2st'!$Q$2:$Q$317=$A84),--ISNUMBER('Данные 2st'!$MM$2:$MM$317))</f>
        <v>1</v>
      </c>
      <c r="QX84">
        <f>SUMPRODUCT(--('Данные 2st'!$Q$2:$Q$317=$A84),--ISNUMBER('Данные 2st'!$MQ$2:$MQ$317))</f>
        <v>0</v>
      </c>
      <c r="QY84">
        <f>SUMPRODUCT(--('Данные 2st'!$Q$2:$Q$317=$A84),--ISNUMBER('Данные 2st'!$MR$2:$MR$317))</f>
        <v>0</v>
      </c>
      <c r="QZ84">
        <f>SUMPRODUCT(--('Данные 2st'!$Q$2:$Q$317=$A84),--ISNUMBER('Данные 2st'!$MS$2:$MS$317))</f>
        <v>0</v>
      </c>
      <c r="RA84">
        <f>SUMPRODUCT(--('Данные 2st'!$Q$2:$Q$317=$A84),--ISNUMBER('Данные 2st'!$MT$2:$MT$317))</f>
        <v>0</v>
      </c>
      <c r="RB84">
        <f>SUMPRODUCT(--('Данные 2st'!$Q$2:$Q$317=$A84),--ISNUMBER('Данные 2st'!$MU$2:$MU$317))</f>
        <v>0</v>
      </c>
      <c r="RC84">
        <f>SUMPRODUCT(--('Данные 2st'!$Q$2:$Q$317=$A84),--ISNUMBER('Данные 2st'!$MV$2:$MV$317))</f>
        <v>0</v>
      </c>
      <c r="RD84">
        <f>SUMPRODUCT(--('Данные 2st'!$Q$2:$Q$317=$A84),--ISNUMBER('Данные 2st'!$MW$2:$MW$317))</f>
        <v>0</v>
      </c>
      <c r="RE84">
        <f>SUMPRODUCT(--('Данные 2st'!$Q$2:$Q$317=$A84),--ISNUMBER('Данные 2st'!$MX$2:$MX$317))</f>
        <v>0</v>
      </c>
      <c r="RF84">
        <f>SUMPRODUCT(--('Данные 2st'!$Q$2:$Q$317=$A84),--ISNUMBER('Данные 2st'!$MY$2:$MY$317))</f>
        <v>0</v>
      </c>
      <c r="RG84">
        <f>SUMPRODUCT(--('Данные 2st'!$Q$2:$Q$317=$A84),--ISNUMBER('Данные 2st'!$MZ$2:$MZ$317))</f>
        <v>0</v>
      </c>
      <c r="RH84">
        <f>SUMPRODUCT(--('Данные 2st'!$Q$2:$Q$317=$A84),--ISNUMBER('Данные 2st'!$NA$2:$NA$317))</f>
        <v>0</v>
      </c>
      <c r="RI84">
        <f>SUMPRODUCT(--('Данные 2st'!$Q$2:$Q$317=$A84),--ISNUMBER('Данные 2st'!$NB$2:$NB$317))</f>
        <v>0</v>
      </c>
      <c r="RJ84">
        <f>SUMPRODUCT(--('Данные 2st'!$Q$2:$Q$317=$A84),--ISNUMBER('Данные 2st'!$NC$2:$NC$317))</f>
        <v>0</v>
      </c>
      <c r="RK84">
        <f>SUMPRODUCT(--('Данные 2st'!$Q$2:$Q$317=$A84),--ISNUMBER('Данные 2st'!$ND$2:$ND$317))</f>
        <v>0</v>
      </c>
      <c r="RL84">
        <f>SUMPRODUCT(--('Данные 2st'!$Q$2:$Q$317=$A84),--ISNUMBER('Данные 2st'!$NE$2:$NE$317))</f>
        <v>0</v>
      </c>
      <c r="RM84">
        <f>SUMPRODUCT(--('Данные 2st'!$Q$2:$Q$317=$A84),--ISNUMBER('Данные 2st'!$NF$2:$NF$317))</f>
        <v>0</v>
      </c>
      <c r="RN84">
        <f>SUMPRODUCT(--('Данные 2st'!$Q$2:$Q$317=$A84),--ISNUMBER('Данные 2st'!$NG$2:$NG$317))</f>
        <v>0</v>
      </c>
      <c r="RO84">
        <f>SUMPRODUCT(--('Данные 2st'!$Q$2:$Q$317=$A84),--ISNUMBER('Данные 2st'!$NH$2:$NH$317))</f>
        <v>0</v>
      </c>
      <c r="RP84">
        <f>SUMPRODUCT(--('Данные 2st'!$Q$2:$Q$317=$A84),--ISNUMBER('Данные 2st'!$NJ$2:$NJ$317))</f>
        <v>0</v>
      </c>
      <c r="RQ84">
        <f>SUMPRODUCT(--('Данные 2st'!$Q$2:$Q$317=$A84),--ISNUMBER('Данные 2st'!$NK$2:$NK$317))</f>
        <v>0</v>
      </c>
      <c r="RR84">
        <f>SUMPRODUCT(--('Данные 2st'!$Q$2:$Q$317=$A84),--ISNUMBER('Данные 2st'!$NM$2:$NM$317))</f>
        <v>0</v>
      </c>
      <c r="RS84">
        <f>SUMPRODUCT(--('Данные 2st'!$Q$2:$Q$317=$A84),--ISNUMBER('Данные 2st'!$NN$2:$NN$317))</f>
        <v>0</v>
      </c>
      <c r="RT84">
        <f>SUMPRODUCT(--('Данные 2st'!$Q$2:$Q$317=$A84),--ISNUMBER('Данные 2st'!$NO$2:$NO$317))</f>
        <v>0</v>
      </c>
      <c r="RU84">
        <f>SUMPRODUCT(--('Данные 2st'!$Q$2:$Q$317=$A84),--ISNUMBER('Данные 2st'!$NP$2:$NP$317))</f>
        <v>0</v>
      </c>
      <c r="RV84">
        <f>SUMPRODUCT(--('Данные 2st'!$Q$2:$Q$317=$A84),--ISNUMBER('Данные 2st'!$NQ$2:$NQ$317))</f>
        <v>0</v>
      </c>
      <c r="RW84">
        <f>SUMPRODUCT(--('Данные 2st'!$Q$2:$Q$317=$A84),--ISNUMBER('Данные 2st'!$NR$2:$NR$317))</f>
        <v>0</v>
      </c>
      <c r="RX84">
        <f>SUMPRODUCT(--('Данные 2st'!$Q$2:$Q$317=$A84),--ISNUMBER('Данные 2st'!$NS$2:$NS$317))</f>
        <v>0</v>
      </c>
      <c r="RY84">
        <f>SUMPRODUCT(--('Данные 2st'!$Q$2:$Q$317=$A84),--ISNUMBER('Данные 2st'!$NT$2:$NT$317))</f>
        <v>0</v>
      </c>
      <c r="RZ84">
        <f>SUMPRODUCT(--('Данные 2st'!$Q$2:$Q$317=$A84),--ISNUMBER('Данные 2st'!$OK$2:$OK$317))</f>
        <v>1</v>
      </c>
      <c r="SA84">
        <f>SUMPRODUCT(--('Данные 2st'!$Q$2:$Q$317=$A84),--ISNUMBER('Данные 2st'!$OL$2:$OL$317))</f>
        <v>1</v>
      </c>
      <c r="SB84">
        <f>SUMPRODUCT(--('Данные 2st'!$Q$2:$Q$317=$A84),--ISNUMBER('Данные 2st'!$ON$2:$ON$317))</f>
        <v>1</v>
      </c>
      <c r="SC84">
        <f>SUMPRODUCT(--('Данные 2st'!$Q$2:$Q$317=$A84),--ISNUMBER('Данные 2st'!$OO$2:$OO$317))</f>
        <v>1</v>
      </c>
      <c r="SD84">
        <f>SUMPRODUCT(--('Данные 2st'!$Q$2:$Q$317=$A84),--ISNUMBER('Данные 2st'!$OP$2:$OP$317))</f>
        <v>1</v>
      </c>
      <c r="SE84">
        <f>SUMPRODUCT(--('Данные 2st'!$Q$2:$Q$317=$A84),--ISNUMBER('Данные 2st'!$OQ$2:$OQ$317))</f>
        <v>1</v>
      </c>
      <c r="SF84">
        <f>SUMPRODUCT(--('Данные 2st'!$Q$2:$Q$317=$A84),--ISNUMBER('Данные 2st'!$OS$2:$OS$317))</f>
        <v>1</v>
      </c>
      <c r="SG84">
        <f>SUMPRODUCT(--('Данные 2st'!$Q$2:$Q$317=$A84),--ISNUMBER('Данные 2st'!$OT$2:$OT$317))</f>
        <v>1</v>
      </c>
      <c r="SH84">
        <f>SUMPRODUCT(--('Данные 2st'!$Q$2:$Q$317=$A84),--ISNUMBER('Данные 2st'!$OU$2:$OU$317))</f>
        <v>1</v>
      </c>
      <c r="SI84">
        <f>SUMPRODUCT(--('Данные 2st'!$Q$2:$Q$317=$A84),--ISNUMBER('Данные 2st'!$OV$2:$OV$317))</f>
        <v>1</v>
      </c>
      <c r="SJ84">
        <f>SUMPRODUCT(--('Данные 2st'!$Q$2:$Q$317=$A84),--ISNUMBER('Данные 2st'!$OX$2:$OX$317))</f>
        <v>1</v>
      </c>
      <c r="SK84">
        <f>SUMPRODUCT(--('Данные 2st'!$Q$2:$Q$317=$A84),--ISNUMBER('Данные 2st'!$OY$2:$OY$317))</f>
        <v>1</v>
      </c>
      <c r="SL84">
        <f>SUMPRODUCT(--('Данные 2st'!$Q$2:$Q$317=$A84),--ISNUMBER('Данные 2st'!$OZ$2:$OZ$317))</f>
        <v>1</v>
      </c>
      <c r="SM84">
        <f>SUMPRODUCT(--('Данные 2st'!$Q$2:$Q$317=$A84),--ISNUMBER('Данные 2st'!$PA$2:$PA$317))</f>
        <v>1</v>
      </c>
      <c r="SN84">
        <f>SUMPRODUCT(--('Данные 2st'!$Q$2:$Q$317=$A84),--ISNUMBER('Данные 2st'!$PC$2:$PC$317))</f>
        <v>1</v>
      </c>
      <c r="SO84">
        <f>SUMPRODUCT(--('Данные 2st'!$Q$2:$Q$317=$A84),--ISNUMBER('Данные 2st'!$PD$2:$PD$317))</f>
        <v>1</v>
      </c>
      <c r="SP84">
        <f>SUMPRODUCT(--('Данные 2st'!$Q$2:$Q$317=$A84),--ISNUMBER('Данные 2st'!$PF$2:$PF$317))</f>
        <v>1</v>
      </c>
      <c r="SQ84">
        <f>SUMPRODUCT(--('Данные 2st'!$Q$2:$Q$317=$A84),--ISNUMBER('Данные 2st'!$PG$2:$PG$317))</f>
        <v>1</v>
      </c>
      <c r="SR84">
        <f>SUMPRODUCT(--('Данные 2st'!$Q$2:$Q$317=$A84),--ISNUMBER('Данные 2st'!$PH$2:$PH$317))</f>
        <v>1</v>
      </c>
      <c r="SS84">
        <f>SUMPRODUCT(--('Данные 2st'!$Q$2:$Q$317=$A84),--ISNUMBER('Данные 2st'!$PI$2:$PI$317))</f>
        <v>1</v>
      </c>
      <c r="ST84">
        <f>SUMPRODUCT(--('Данные 2st'!$Q$2:$Q$317=$A84),--ISNUMBER('Данные 2st'!$PJ$2:$PJ$317))</f>
        <v>1</v>
      </c>
      <c r="SU84">
        <f>SUMPRODUCT(--('Данные 2st'!$Q$2:$Q$317=$A84),--ISNUMBER('Данные 2st'!$PK$2:$PK$317))</f>
        <v>1</v>
      </c>
      <c r="SV84">
        <f>SUMPRODUCT(--('Данные 2st'!$Q$2:$Q$317=$A84),--ISNUMBER('Данные 2st'!$PL$2:$PL$317))</f>
        <v>1</v>
      </c>
      <c r="SW84">
        <f>SUMPRODUCT(--('Данные 2st'!$Q$2:$Q$317=$A84),--ISNUMBER('Данные 2st'!$PM$2:$PM$317))</f>
        <v>1</v>
      </c>
      <c r="SX84">
        <f>SUMPRODUCT(--('Данные 2st'!$Q$2:$Q$317=$A84),--ISNUMBER('Данные 2st'!$PN$2:$PN$317))</f>
        <v>1</v>
      </c>
      <c r="SY84">
        <f>SUMPRODUCT(--('Данные 2st'!$Q$2:$Q$317=$A84),--ISNUMBER('Данные 2st'!$PO$2:$PO$317))</f>
        <v>1</v>
      </c>
      <c r="SZ84">
        <f>SUMPRODUCT(--('Данные 2st'!$Q$2:$Q$317=$A84),--ISNUMBER('Данные 2st'!$PP$2:$PP$317))</f>
        <v>1</v>
      </c>
      <c r="TA84">
        <f>SUMPRODUCT(--('Данные 2st'!$Q$2:$Q$317=$A84),--ISNUMBER('Данные 2st'!$PQ$2:$PQ$317))</f>
        <v>1</v>
      </c>
      <c r="TB84">
        <f>SUMPRODUCT(--('Данные 2st'!$Q$2:$Q$317=$A84),--ISNUMBER('Данные 2st'!$PR$2:$PR$317))</f>
        <v>1</v>
      </c>
      <c r="TC84">
        <f>SUMPRODUCT(--('Данные 2st'!$Q$2:$Q$317=$A84),--ISNUMBER('Данные 2st'!$PS$2:$PS$317))</f>
        <v>1</v>
      </c>
      <c r="TD84">
        <f>SUMPRODUCT(--('Данные 2st'!$Q$2:$Q$317=$A84),--ISNUMBER('Данные 2st'!$PT$2:$PT$317))</f>
        <v>1</v>
      </c>
      <c r="TE84">
        <f>SUMPRODUCT(--('Данные 2st'!$Q$2:$Q$317=$A84),--ISNUMBER('Данные 2st'!$PU$2:$PU$317))</f>
        <v>1</v>
      </c>
      <c r="TF84">
        <f>SUMPRODUCT(--('Данные 2st'!$Q$2:$Q$317=$A84),--ISNUMBER('Данные 2st'!$PX$2:$PX$317))</f>
        <v>1</v>
      </c>
      <c r="TG84">
        <f>SUMPRODUCT(--('Данные 2st'!$Q$2:$Q$317=$A84),--ISNUMBER('Данные 2st'!$PY$2:$PY$317))</f>
        <v>1</v>
      </c>
      <c r="TH84">
        <f>SUMPRODUCT(--('Данные 2st'!$Q$2:$Q$317=$A84),--ISNUMBER('Данные 2st'!$PZ$2:$PZ$317))</f>
        <v>1</v>
      </c>
      <c r="TI84">
        <f>SUMPRODUCT(--('Данные 2st'!$Q$2:$Q$317=$A84),--ISNUMBER('Данные 2st'!$QA$2:$QA$317))</f>
        <v>1</v>
      </c>
      <c r="TJ84">
        <f>SUMPRODUCT(--('Данные 2st'!$Q$2:$Q$317=$A84),--ISNUMBER('Данные 2st'!$QB$2:$QB$317))</f>
        <v>1</v>
      </c>
      <c r="TK84">
        <f>SUMPRODUCT(--('Данные 2st'!$Q$2:$Q$317=$A84),--ISNUMBER('Данные 2st'!$QC$2:$QC$317))</f>
        <v>1</v>
      </c>
      <c r="TL84">
        <f>SUMPRODUCT(--('Данные 2st'!$Q$2:$Q$317=$A84),--ISNUMBER('Данные 2st'!$QD$2:$QD$317))</f>
        <v>1</v>
      </c>
      <c r="TM84">
        <f>SUMPRODUCT(--('Данные 2st'!$Q$2:$Q$317=$A84),--ISNUMBER('Данные 2st'!$QE$2:$QE$317))</f>
        <v>1</v>
      </c>
      <c r="TN84">
        <f>SUMPRODUCT(--('Данные 2st'!$Q$2:$Q$317=$A84),--ISNUMBER('Данные 2st'!$QF$2:$QF$317))</f>
        <v>1</v>
      </c>
      <c r="TO84">
        <f>SUMPRODUCT(--('Данные 2st'!$Q$2:$Q$317=$A84),--ISNUMBER('Данные 2st'!$QG$2:$QG$317))</f>
        <v>1</v>
      </c>
      <c r="TP84">
        <f>SUMPRODUCT(--('Данные 2st'!$Q$2:$Q$317=$A84),--ISNUMBER('Данные 2st'!$QH$2:$QH$317))</f>
        <v>1</v>
      </c>
      <c r="TQ84">
        <f>SUMPRODUCT(--('Данные 2st'!$Q$2:$Q$317=$A84),--ISNUMBER('Данные 2st'!$QI$2:$QI$317))</f>
        <v>1</v>
      </c>
      <c r="TR84">
        <f>SUMPRODUCT(--('Данные 2st'!$Q$2:$Q$317=$A84),--ISNUMBER('Данные 2st'!$QJ$2:$QJ$317))</f>
        <v>1</v>
      </c>
      <c r="TS84">
        <f>SUMPRODUCT(--('Данные 2st'!$Q$2:$Q$317=$A84),--ISNUMBER('Данные 2st'!$QK$2:$QK$317))</f>
        <v>1</v>
      </c>
      <c r="TT84">
        <f>SUMPRODUCT(--('Данные 2st'!$Q$2:$Q$317=$A84),--ISNUMBER('Данные 2st'!$QL$2:$QL$317))</f>
        <v>1</v>
      </c>
      <c r="TU84">
        <f>SUMPRODUCT(--('Данные 2st'!$Q$2:$Q$317=$A84),--ISNUMBER('Данные 2st'!$QM$2:$QM$317))</f>
        <v>1</v>
      </c>
      <c r="TV84">
        <f>SUMPRODUCT(--('Данные 2st'!$Q$2:$Q$317=$A84),--ISNUMBER('Данные 2st'!$QN$2:$QN$317))</f>
        <v>1</v>
      </c>
      <c r="TW84">
        <f>SUMPRODUCT(--('Данные 2st'!$Q$2:$Q$317=$A84),--ISNUMBER('Данные 2st'!$QQ$2:$QQ$317))</f>
        <v>1</v>
      </c>
      <c r="TX84">
        <f>SUMPRODUCT(--('Данные 2st'!$Q$2:$Q$317=$A84),--ISNUMBER('Данные 2st'!$QS$2:$QS$317))</f>
        <v>1</v>
      </c>
      <c r="TY84">
        <f>SUMPRODUCT(--('Данные 2st'!$Q$2:$Q$317=$A84),--ISNUMBER('Данные 2st'!$QT$2:$QT$317))</f>
        <v>1</v>
      </c>
    </row>
    <row r="85" spans="1:545" ht="32" customHeight="1">
      <c r="A85" s="11" t="str">
        <f>'По размерам'!A85</f>
        <v>285/50R20</v>
      </c>
      <c r="G85">
        <f>SUMPRODUCT(--('Данные 1st'!$S$2:$S$317=$A85),--ISNUMBER('Данные 1st'!$AE$2:$AE$317))</f>
        <v>2</v>
      </c>
      <c r="H85">
        <f>SUMPRODUCT(--('Данные 1st'!$S$2:$S$317=$A85),--ISNUMBER('Данные 1st'!$AF$2:$AF$317))</f>
        <v>2</v>
      </c>
      <c r="I85">
        <f>SUMPRODUCT(--('Данные 1st'!$S$2:$S$317=$A85),--ISNUMBER('Данные 1st'!$AJ$2:$AJ$317))</f>
        <v>2</v>
      </c>
      <c r="J85">
        <f>SUMPRODUCT(--('Данные 1st'!$S$2:$S$317=$A85),--ISNUMBER('Данные 1st'!$AL$2:$AL$317))</f>
        <v>2</v>
      </c>
      <c r="K85">
        <f>SUMPRODUCT(--('Данные 1st'!$S$2:$S$317=$A85),--ISNUMBER('Данные 1st'!$AR$2:$AR$317))</f>
        <v>2</v>
      </c>
      <c r="L85">
        <f>SUMPRODUCT(--('Данные 1st'!$S$2:$S$317=$A85),--ISNUMBER('Данные 1st'!$AS$2:$AS$317))</f>
        <v>2</v>
      </c>
      <c r="M85">
        <f>SUMPRODUCT(--('Данные 1st'!$S$2:$S$317=$A85),--ISNUMBER('Данные 1st'!$AY$2:$AY$317))</f>
        <v>2</v>
      </c>
      <c r="N85">
        <f>SUMPRODUCT(--('Данные 1st'!$S$2:$S$317=$A85),--ISNUMBER('Данные 1st'!$AZ$2:$AZ$317))</f>
        <v>2</v>
      </c>
      <c r="O85">
        <f>SUMPRODUCT(--('Данные 1st'!$S$2:$S$317=$A85),--ISNUMBER('Данные 1st'!$BF$2:$BF$317))</f>
        <v>2</v>
      </c>
      <c r="P85">
        <f>SUMPRODUCT(--('Данные 1st'!$S$2:$S$317=$A85),--ISNUMBER('Данные 1st'!$BG$2:$BG$317))</f>
        <v>2</v>
      </c>
      <c r="Q85">
        <f>SUMPRODUCT(--('Данные 1st'!$S$2:$S$317=$A85),--ISNUMBER('Данные 1st'!$BM$2:$BM$317))</f>
        <v>0</v>
      </c>
      <c r="R85">
        <f>SUMPRODUCT(--('Данные 1st'!$S$2:$S$317=$A85),--ISNUMBER('Данные 1st'!$BN$2:$BN$317))</f>
        <v>2</v>
      </c>
      <c r="S85">
        <f>SUMPRODUCT(--('Данные 1st'!$S$2:$S$317=$A85),--ISNUMBER('Данные 1st'!$BT$2:$BT$317))</f>
        <v>2</v>
      </c>
      <c r="T85">
        <f>SUMPRODUCT(--('Данные 1st'!$S$2:$S$317=$A85),--ISNUMBER('Данные 1st'!$BU$2:$BU$317))</f>
        <v>2</v>
      </c>
      <c r="U85">
        <f>SUMPRODUCT(--('Данные 1st'!$S$2:$S$317=$A85),--ISNUMBER('Данные 1st'!$BW$2:$BW$317))</f>
        <v>2</v>
      </c>
      <c r="V85">
        <f>SUMPRODUCT(--('Данные 1st'!$S$2:$S$317=$A85),--ISNUMBER('Данные 1st'!$BX$2:$BX$317))</f>
        <v>2</v>
      </c>
      <c r="W85">
        <f>SUMPRODUCT(--('Данные 1st'!$S$2:$S$317=$A85),--ISNUMBER('Данные 1st'!$BZ$2:$BZ$317))</f>
        <v>2</v>
      </c>
      <c r="X85">
        <f>SUMPRODUCT(--('Данные 1st'!$S$2:$S$317=$A85),--ISNUMBER('Данные 1st'!$CA$2:$CA$317))</f>
        <v>2</v>
      </c>
      <c r="Y85">
        <f>SUMPRODUCT(--('Данные 1st'!$S$2:$S$317=$A85),--ISNUMBER('Данные 1st'!$CD$2:$CD$317))</f>
        <v>2</v>
      </c>
      <c r="Z85">
        <f>SUMPRODUCT(--('Данные 1st'!$S$2:$S$317=$A85),--ISNUMBER('Данные 1st'!$CF$2:$CF$317))</f>
        <v>2</v>
      </c>
      <c r="AA85">
        <f>SUMPRODUCT(--('Данные 1st'!$S$2:$S$317=$A85),--ISNUMBER('Данные 1st'!$CI$2:$CI$317))</f>
        <v>2</v>
      </c>
      <c r="AB85">
        <f>SUMPRODUCT(--('Данные 1st'!$S$2:$S$317=$A85),--ISNUMBER('Данные 1st'!$CJ$2:$CJ$317))</f>
        <v>2</v>
      </c>
      <c r="AC85">
        <f>SUMPRODUCT(--('Данные 1st'!$S$2:$S$317=$A85),--ISNUMBER('Данные 1st'!$CK$2:$CK$317))</f>
        <v>2</v>
      </c>
      <c r="AD85">
        <f>SUMPRODUCT(--('Данные 1st'!$S$2:$S$317=$A85),--ISNUMBER('Данные 1st'!$CL$2:$CL$317))</f>
        <v>2</v>
      </c>
      <c r="AE85">
        <f>SUMPRODUCT(--('Данные 1st'!$S$2:$S$317=$A85),--ISNUMBER('Данные 1st'!$CM$2:$CM$317))</f>
        <v>2</v>
      </c>
      <c r="AF85">
        <f>SUMPRODUCT(--('Данные 1st'!$S$2:$S$317=$A85),--ISNUMBER('Данные 1st'!$CT$2:$CT$317))</f>
        <v>2</v>
      </c>
      <c r="AG85">
        <f>SUMPRODUCT(--('Данные 1st'!$S$2:$S$317=$A85),--ISNUMBER('Данные 1st'!$CU$2:$CU$317))</f>
        <v>2</v>
      </c>
      <c r="AH85">
        <f>SUMPRODUCT(--('Данные 1st'!$S$2:$S$317=$A85),--ISNUMBER('Данные 1st'!$CV$2:$CV$317))</f>
        <v>2</v>
      </c>
      <c r="AI85">
        <f>SUMPRODUCT(--('Данные 1st'!$S$2:$S$317=$A85),--ISNUMBER('Данные 1st'!$CW$2:$CW$317))</f>
        <v>2</v>
      </c>
      <c r="AJ85">
        <f>SUMPRODUCT(--('Данные 1st'!$S$2:$S$317=$A85),--ISNUMBER('Данные 1st'!$CX$2:$CX$317))</f>
        <v>2</v>
      </c>
      <c r="AK85">
        <f>SUMPRODUCT(--('Данные 1st'!$S$2:$S$317=$A85),--ISNUMBER('Данные 1st'!$CZ$2:$CZ$317))</f>
        <v>2</v>
      </c>
      <c r="AL85">
        <f>SUMPRODUCT(--('Данные 1st'!$S$2:$S$317=$A85),--ISNUMBER('Данные 1st'!$DA$2:$DA$317))</f>
        <v>2</v>
      </c>
      <c r="AM85">
        <f>SUMPRODUCT(--('Данные 1st'!$S$2:$S$317=$A85),--ISNUMBER('Данные 1st'!$DB$2:$DB$317))</f>
        <v>2</v>
      </c>
      <c r="AN85">
        <f>SUMPRODUCT(--('Данные 1st'!$S$2:$S$317=$A85),--ISNUMBER('Данные 1st'!$DC$2:$DC$317))</f>
        <v>2</v>
      </c>
      <c r="AO85">
        <f>SUMPRODUCT(--('Данные 1st'!$S$2:$S$317=$A85),--ISNUMBER('Данные 1st'!$DD$2:$DD$317))</f>
        <v>2</v>
      </c>
      <c r="AP85">
        <f>SUMPRODUCT(--('Данные 1st'!$S$2:$S$317=$A85),--ISNUMBER('Данные 1st'!$DF$2:$DF$317))</f>
        <v>2</v>
      </c>
      <c r="AQ85">
        <f>SUMPRODUCT(--('Данные 1st'!$S$2:$S$317=$A85),--ISNUMBER('Данные 1st'!$DG$2:$DG$317))</f>
        <v>2</v>
      </c>
      <c r="AR85">
        <f>SUMPRODUCT(--('Данные 1st'!$S$2:$S$317=$A85),--ISNUMBER('Данные 1st'!$DH$2:$DH$317))</f>
        <v>2</v>
      </c>
      <c r="AS85">
        <f>SUMPRODUCT(--('Данные 1st'!$S$2:$S$317=$A85),--ISNUMBER('Данные 1st'!$DI$2:$DI$317))</f>
        <v>2</v>
      </c>
      <c r="AT85">
        <f>SUMPRODUCT(--('Данные 1st'!$S$2:$S$317=$A85),--ISNUMBER('Данные 1st'!$DJ$2:$DJ$317))</f>
        <v>2</v>
      </c>
      <c r="AU85">
        <f>SUMPRODUCT(--('Данные 1st'!$S$2:$S$317=$A85),--ISNUMBER('Данные 1st'!$DL$2:$DL$317))</f>
        <v>2</v>
      </c>
      <c r="AV85">
        <f>SUMPRODUCT(--('Данные 1st'!$S$2:$S$317=$A85),--ISNUMBER('Данные 1st'!$DM$2:$DM$317))</f>
        <v>2</v>
      </c>
      <c r="AW85">
        <f>SUMPRODUCT(--('Данные 1st'!$S$2:$S$317=$A85),--ISNUMBER('Данные 1st'!$DN$2:$DN$317))</f>
        <v>2</v>
      </c>
      <c r="AX85">
        <f>SUMPRODUCT(--('Данные 1st'!$S$2:$S$317=$A85),--ISNUMBER('Данные 1st'!$DO$2:$DO$317))</f>
        <v>2</v>
      </c>
      <c r="AY85">
        <f>SUMPRODUCT(--('Данные 1st'!$S$2:$S$317=$A85),--ISNUMBER('Данные 1st'!$DP$2:$DP$317))</f>
        <v>2</v>
      </c>
      <c r="AZ85">
        <f>SUMPRODUCT(--('Данные 1st'!$S$2:$S$317=$A85),--ISNUMBER('Данные 1st'!$DR$2:$DR$317))</f>
        <v>0</v>
      </c>
      <c r="BA85">
        <f>SUMPRODUCT(--('Данные 1st'!$S$2:$S$317=$A85),--ISNUMBER('Данные 1st'!$DS$2:$DS$317))</f>
        <v>0</v>
      </c>
      <c r="BB85">
        <f>SUMPRODUCT(--('Данные 1st'!$S$2:$S$317=$A85),--ISNUMBER('Данные 1st'!$DT$2:$DT$317))</f>
        <v>0</v>
      </c>
      <c r="BC85">
        <f>SUMPRODUCT(--('Данные 1st'!$S$2:$S$317=$A85),--ISNUMBER('Данные 1st'!$DU$2:$DU$317))</f>
        <v>0</v>
      </c>
      <c r="BD85">
        <f>SUMPRODUCT(--('Данные 1st'!$S$2:$S$317=$A85),--ISNUMBER('Данные 1st'!$DV$2:$DV$317))</f>
        <v>0</v>
      </c>
      <c r="BE85">
        <f>SUMPRODUCT(--('Данные 1st'!$S$2:$S$317=$A85),--ISNUMBER('Данные 1st'!$DX$2:$DX$317))</f>
        <v>2</v>
      </c>
      <c r="BF85">
        <f>SUMPRODUCT(--('Данные 1st'!$S$2:$S$317=$A85),--ISNUMBER('Данные 1st'!$EA$2:$EA$317))</f>
        <v>2</v>
      </c>
      <c r="BG85">
        <f>SUMPRODUCT(--('Данные 1st'!$S$2:$S$317=$A85),--ISNUMBER('Данные 1st'!$EB$2:$EB$317))</f>
        <v>2</v>
      </c>
      <c r="BH85">
        <f>SUMPRODUCT(--('Данные 1st'!$S$2:$S$317=$A85),--ISNUMBER('Данные 1st'!$ED$2:$ED$317))</f>
        <v>2</v>
      </c>
      <c r="BI85">
        <f>SUMPRODUCT(--('Данные 1st'!$S$2:$S$317=$A85),--ISNUMBER('Данные 1st'!$EE$2:$EE$317))</f>
        <v>2</v>
      </c>
      <c r="BJ85">
        <f>SUMPRODUCT(--('Данные 1st'!$S$2:$S$317=$A85),--ISNUMBER('Данные 1st'!$EG$2:$EG$317))</f>
        <v>2</v>
      </c>
      <c r="BK85">
        <f>SUMPRODUCT(--('Данные 1st'!$S$2:$S$317=$A85),--ISNUMBER('Данные 1st'!$EH$2:$EH$317))</f>
        <v>2</v>
      </c>
      <c r="BL85">
        <f>SUMPRODUCT(--('Данные 1st'!$S$2:$S$317=$A85),--ISNUMBER('Данные 1st'!$EJ$2:$EJ$317))</f>
        <v>2</v>
      </c>
      <c r="BM85">
        <f>SUMPRODUCT(--('Данные 1st'!$S$2:$S$317=$A85),--ISNUMBER('Данные 1st'!$EK$2:$EK$317))</f>
        <v>2</v>
      </c>
      <c r="BN85">
        <f>SUMPRODUCT(--('Данные 1st'!$S$2:$S$317=$A85),--ISNUMBER('Данные 1st'!$EN$2:$EN$317))</f>
        <v>2</v>
      </c>
      <c r="BO85">
        <f>SUMPRODUCT(--('Данные 1st'!$S$2:$S$317=$A85),--ISNUMBER('Данные 1st'!$EQ$2:$EQ$317))</f>
        <v>2</v>
      </c>
      <c r="BP85">
        <f>SUMPRODUCT(--('Данные 1st'!$S$2:$S$317=$A85),--ISNUMBER('Данные 1st'!$ER$2:$ER$317))</f>
        <v>2</v>
      </c>
      <c r="BQ85">
        <f>SUMPRODUCT(--('Данные 1st'!$S$2:$S$317=$A85),--ISNUMBER('Данные 1st'!$ES$2:$ES$317))</f>
        <v>2</v>
      </c>
      <c r="BR85">
        <f>SUMPRODUCT(--('Данные 1st'!$S$2:$S$317=$A85),--ISNUMBER('Данные 1st'!$ET$2:$ET$317))</f>
        <v>2</v>
      </c>
      <c r="BS85">
        <f>SUMPRODUCT(--('Данные 1st'!$S$2:$S$317=$A85),--ISNUMBER('Данные 1st'!$EU$2:$EU$317))</f>
        <v>2</v>
      </c>
      <c r="BT85">
        <f>SUMPRODUCT(--('Данные 1st'!$S$2:$S$317=$A85),--ISNUMBER('Данные 1st'!$EV$2:$EV$317))</f>
        <v>2</v>
      </c>
      <c r="BU85">
        <f>SUMPRODUCT(--('Данные 1st'!$S$2:$S$317=$A85),--ISNUMBER('Данные 1st'!$EX$2:$EX$317))</f>
        <v>2</v>
      </c>
      <c r="BV85">
        <f>SUMPRODUCT(--('Данные 1st'!$S$2:$S$317=$A85),--ISNUMBER('Данные 1st'!$EY$2:$EY$317))</f>
        <v>2</v>
      </c>
      <c r="BW85">
        <f>SUMPRODUCT(--('Данные 1st'!$S$2:$S$317=$A85),--ISNUMBER('Данные 1st'!$EZ$2:$EZ$317))</f>
        <v>2</v>
      </c>
      <c r="BX85">
        <f>SUMPRODUCT(--('Данные 1st'!$S$2:$S$317=$A85),--ISNUMBER('Данные 1st'!$FA$2:$FA$317))</f>
        <v>2</v>
      </c>
      <c r="BY85">
        <f>SUMPRODUCT(--('Данные 1st'!$S$2:$S$317=$A85),--ISNUMBER('Данные 1st'!$FB$2:$FB$317))</f>
        <v>2</v>
      </c>
      <c r="BZ85">
        <f>SUMPRODUCT(--('Данные 1st'!$S$2:$S$317=$A85),--ISNUMBER('Данные 1st'!$FC$2:$FC$317))</f>
        <v>2</v>
      </c>
      <c r="CA85">
        <f>SUMPRODUCT(--('Данные 1st'!$S$2:$S$317=$A85),--ISNUMBER('Данные 1st'!$FE$2:$FE$317))</f>
        <v>2</v>
      </c>
      <c r="CB85">
        <f>SUMPRODUCT(--('Данные 1st'!$S$2:$S$317=$A85),--ISNUMBER('Данные 1st'!$FF$2:$FF$317))</f>
        <v>2</v>
      </c>
      <c r="CC85">
        <f>SUMPRODUCT(--('Данные 1st'!$S$2:$S$317=$A85),--ISNUMBER('Данные 1st'!$FI$2:$FI$317))</f>
        <v>2</v>
      </c>
      <c r="CD85">
        <f>SUMPRODUCT(--('Данные 1st'!$S$2:$S$317=$A85),--ISNUMBER('Данные 1st'!$FL$2:$FL$317))</f>
        <v>2</v>
      </c>
      <c r="CE85">
        <f>SUMPRODUCT(--('Данные 1st'!$S$2:$S$317=$A85),--ISNUMBER('Данные 1st'!$FM$2:$FM$317))</f>
        <v>2</v>
      </c>
      <c r="CF85">
        <f>SUMPRODUCT(--('Данные 1st'!$S$2:$S$317=$A85),--ISNUMBER('Данные 1st'!$FN$2:$FN$317))</f>
        <v>2</v>
      </c>
      <c r="CG85">
        <f>SUMPRODUCT(--('Данные 1st'!$S$2:$S$317=$A85),--ISNUMBER('Данные 1st'!$FO$2:$FO$317))</f>
        <v>2</v>
      </c>
      <c r="CH85">
        <f>SUMPRODUCT(--('Данные 1st'!$S$2:$S$317=$A85),--ISNUMBER('Данные 1st'!$FP$2:$FP$317))</f>
        <v>2</v>
      </c>
      <c r="CI85">
        <f>SUMPRODUCT(--('Данные 1st'!$S$2:$S$317=$A85),--ISNUMBER('Данные 1st'!$FS$2:$FS$317))</f>
        <v>0</v>
      </c>
      <c r="CJ85">
        <f>SUMPRODUCT(--('Данные 1st'!$S$2:$S$317=$A85),--ISNUMBER('Данные 1st'!$FT$2:$FT$317))</f>
        <v>0</v>
      </c>
      <c r="CK85">
        <f>SUMPRODUCT(--('Данные 1st'!$S$2:$S$317=$A85),--ISNUMBER('Данные 1st'!$FU$2:$FU$317))</f>
        <v>0</v>
      </c>
      <c r="CL85">
        <f>SUMPRODUCT(--('Данные 1st'!$S$2:$S$317=$A85),--ISNUMBER('Данные 1st'!$FV$2:$FV$317))</f>
        <v>0</v>
      </c>
      <c r="CM85">
        <f>SUMPRODUCT(--('Данные 1st'!$S$2:$S$317=$A85),--ISNUMBER('Данные 1st'!$FW$2:$FW$317))</f>
        <v>0</v>
      </c>
      <c r="CN85">
        <f>SUMPRODUCT(--('Данные 1st'!$S$2:$S$317=$A85),--ISNUMBER('Данные 1st'!$FZ$2:$FZ$317))</f>
        <v>0</v>
      </c>
      <c r="CO85">
        <f>SUMPRODUCT(--('Данные 1st'!$S$2:$S$317=$A85),--ISNUMBER('Данные 1st'!$GA$2:$GA$317))</f>
        <v>0</v>
      </c>
      <c r="CP85">
        <f>SUMPRODUCT(--('Данные 1st'!$S$2:$S$317=$A85),--ISNUMBER('Данные 1st'!$GB$2:$GB$317))</f>
        <v>0</v>
      </c>
      <c r="CQ85">
        <f>SUMPRODUCT(--('Данные 1st'!$S$2:$S$317=$A85),--ISNUMBER('Данные 1st'!$GH$2:$GH$317))</f>
        <v>0</v>
      </c>
      <c r="CR85">
        <f>SUMPRODUCT(--('Данные 1st'!$S$2:$S$317=$A85),--ISNUMBER('Данные 1st'!$GI$2:$GI$317))</f>
        <v>0</v>
      </c>
      <c r="CS85">
        <f>SUMPRODUCT(--('Данные 1st'!$S$2:$S$317=$A85),--ISNUMBER('Данные 1st'!$GJ$2:$GJ$317))</f>
        <v>0</v>
      </c>
      <c r="CT85">
        <f>SUMPRODUCT(--('Данные 1st'!$S$2:$S$317=$A85),--ISNUMBER('Данные 1st'!$GS$2:$GS$317))</f>
        <v>2</v>
      </c>
      <c r="CU85">
        <f>SUMPRODUCT(--('Данные 1st'!$S$2:$S$317=$A85),--ISNUMBER('Данные 1st'!$GT$2:$GT$317))</f>
        <v>2</v>
      </c>
      <c r="CV85">
        <f>SUMPRODUCT(--('Данные 1st'!$S$2:$S$317=$A85),--ISNUMBER('Данные 1st'!$GU$2:$GU$317))</f>
        <v>2</v>
      </c>
      <c r="CW85">
        <f>SUMPRODUCT(--('Данные 1st'!$S$2:$S$317=$A85),--ISNUMBER('Данные 1st'!$GV$2:$GV$317))</f>
        <v>1</v>
      </c>
      <c r="CX85">
        <f>SUMPRODUCT(--('Данные 1st'!$S$2:$S$317=$A85),--ISNUMBER('Данные 1st'!$GW$2:$GW$317))</f>
        <v>1</v>
      </c>
      <c r="CY85">
        <f>SUMPRODUCT(--('Данные 1st'!$S$2:$S$317=$A85),--ISNUMBER('Данные 1st'!$GZ$2:$GZ$317))</f>
        <v>0</v>
      </c>
      <c r="CZ85">
        <f>SUMPRODUCT(--('Данные 1st'!$S$2:$S$317=$A85),--ISNUMBER('Данные 1st'!$HA$2:$HA$317))</f>
        <v>0</v>
      </c>
      <c r="DA85">
        <f>SUMPRODUCT(--('Данные 1st'!$S$2:$S$317=$A85),--ISNUMBER('Данные 1st'!$HB$2:$HB$317))</f>
        <v>0</v>
      </c>
      <c r="DB85">
        <f>SUMPRODUCT(--('Данные 1st'!$S$2:$S$317=$A85),--ISNUMBER('Данные 1st'!$HC$2:$HC$317))</f>
        <v>2</v>
      </c>
      <c r="DC85">
        <f>SUMPRODUCT(--('Данные 1st'!$S$2:$S$317=$A85),--ISNUMBER('Данные 1st'!$HD$2:$HD$317))</f>
        <v>2</v>
      </c>
      <c r="DD85">
        <f>SUMPRODUCT(--('Данные 1st'!$S$2:$S$317=$A85),--ISNUMBER('Данные 1st'!$HE$2:$HE$317))</f>
        <v>2</v>
      </c>
      <c r="DE85">
        <f>SUMPRODUCT(--('Данные 1st'!$S$2:$S$317=$A85),--ISNUMBER('Данные 1st'!$HF$2:$HF$317))</f>
        <v>2</v>
      </c>
      <c r="DF85">
        <f>SUMPRODUCT(--('Данные 1st'!$S$2:$S$317=$A85),--ISNUMBER('Данные 1st'!$HG$2:$HG$317))</f>
        <v>2</v>
      </c>
      <c r="DG85">
        <f>SUMPRODUCT(--('Данные 1st'!$S$2:$S$317=$A85),--ISNUMBER('Данные 1st'!$HH$2:$HH$317))</f>
        <v>2</v>
      </c>
      <c r="DH85">
        <f>SUMPRODUCT(--('Данные 1st'!$S$2:$S$317=$A85),--ISNUMBER('Данные 1st'!$HI$2:$HI$317))</f>
        <v>2</v>
      </c>
      <c r="DI85">
        <f>SUMPRODUCT(--('Данные 1st'!$S$2:$S$317=$A85),--ISNUMBER('Данные 1st'!$HJ$2:$HJ$317))</f>
        <v>2</v>
      </c>
      <c r="DJ85">
        <f>SUMPRODUCT(--('Данные 1st'!$S$2:$S$317=$A85),--ISNUMBER('Данные 1st'!$HK$2:$HK$317))</f>
        <v>2</v>
      </c>
      <c r="DK85">
        <f>SUMPRODUCT(--('Данные 1st'!$S$2:$S$317=$A85),--ISNUMBER('Данные 1st'!$HL$2:$HL$317))</f>
        <v>2</v>
      </c>
      <c r="DL85">
        <f>SUMPRODUCT(--('Данные 1st'!$S$2:$S$317=$A85),--ISNUMBER('Данные 1st'!$HM$2:$HM$317))</f>
        <v>2</v>
      </c>
      <c r="DM85">
        <f>SUMPRODUCT(--('Данные 1st'!$S$2:$S$317=$A85),--ISNUMBER('Данные 1st'!$HN$2:$HN$317))</f>
        <v>2</v>
      </c>
      <c r="DN85">
        <f>SUMPRODUCT(--('Данные 1st'!$S$2:$S$317=$A85),--ISNUMBER('Данные 1st'!$HO$2:$HO$317))</f>
        <v>2</v>
      </c>
      <c r="DO85">
        <f>SUMPRODUCT(--('Данные 1st'!$S$2:$S$317=$A85),--ISNUMBER('Данные 1st'!$HP$2:$HP$317))</f>
        <v>2</v>
      </c>
      <c r="DP85">
        <f>SUMPRODUCT(--('Данные 1st'!$S$2:$S$317=$A85),--ISNUMBER('Данные 1st'!$HQ$2:$HQ$317))</f>
        <v>2</v>
      </c>
      <c r="DQ85">
        <f>SUMPRODUCT(--('Данные 1st'!$S$2:$S$317=$A85),--ISNUMBER('Данные 1st'!$HR$2:$HR$317))</f>
        <v>2</v>
      </c>
      <c r="DR85">
        <f>SUMPRODUCT(--('Данные 1st'!$S$2:$S$317=$A85),--ISNUMBER('Данные 1st'!$HS$2:$HS$317))</f>
        <v>2</v>
      </c>
      <c r="DS85">
        <f>SUMPRODUCT(--('Данные 1st'!$S$2:$S$317=$A85),--ISNUMBER('Данные 1st'!$HT$2:$HT$317))</f>
        <v>2</v>
      </c>
      <c r="DT85">
        <f>SUMPRODUCT(--('Данные 1st'!$S$2:$S$317=$A85),--ISNUMBER('Данные 1st'!$HU$2:$HU$317))</f>
        <v>2</v>
      </c>
      <c r="DU85">
        <f>SUMPRODUCT(--('Данные 1st'!$S$2:$S$317=$A85),--ISNUMBER('Данные 1st'!$HW$2:$HW$317))</f>
        <v>2</v>
      </c>
      <c r="DV85">
        <f>SUMPRODUCT(--('Данные 1st'!$S$2:$S$317=$A85),--ISNUMBER('Данные 1st'!$HX$2:$HX$317))</f>
        <v>2</v>
      </c>
      <c r="DW85">
        <f>SUMPRODUCT(--('Данные 1st'!$S$2:$S$317=$A85),--ISNUMBER('Данные 1st'!$HY$2:$HY$317))</f>
        <v>2</v>
      </c>
      <c r="DX85">
        <f>SUMPRODUCT(--('Данные 1st'!$S$2:$S$317=$A85),--ISNUMBER('Данные 1st'!$IA$2:$IA$317))</f>
        <v>2</v>
      </c>
      <c r="DY85">
        <f>SUMPRODUCT(--('Данные 1st'!$S$2:$S$317=$A85),--ISNUMBER('Данные 1st'!$IB$2:$IB$317))</f>
        <v>2</v>
      </c>
      <c r="DZ85">
        <f>SUMPRODUCT(--('Данные 1st'!$S$2:$S$317=$A85),--ISNUMBER('Данные 1st'!$IC$2:$IC$317))</f>
        <v>2</v>
      </c>
      <c r="EA85">
        <f>SUMPRODUCT(--('Данные 1st'!$S$2:$S$317=$A85),--ISNUMBER('Данные 1st'!$ID$2:$ID$317))</f>
        <v>2</v>
      </c>
      <c r="EB85">
        <f>SUMPRODUCT(--('Данные 1st'!$S$2:$S$317=$A85),--ISNUMBER('Данные 1st'!$IE$2:$IE$317))</f>
        <v>2</v>
      </c>
      <c r="EC85">
        <f>SUMPRODUCT(--('Данные 1st'!$S$2:$S$317=$A85),--ISNUMBER('Данные 1st'!$IF$2:$IF$317))</f>
        <v>2</v>
      </c>
      <c r="ED85">
        <f>SUMPRODUCT(--('Данные 1st'!$S$2:$S$317=$A85),--ISNUMBER('Данные 1st'!$IP$2:$IP$317))</f>
        <v>2</v>
      </c>
      <c r="EE85">
        <f>SUMPRODUCT(--('Данные 1st'!$S$2:$S$317=$A85),--ISNUMBER('Данные 1st'!$IV$2:$IV$317))</f>
        <v>2</v>
      </c>
      <c r="EF85">
        <f>SUMPRODUCT(--('Данные 1st'!$S$2:$S$317=$A85),--ISNUMBER('Данные 1st'!$IW$2:$IW$317))</f>
        <v>2</v>
      </c>
      <c r="EG85">
        <f>SUMPRODUCT(--('Данные 1st'!$S$2:$S$317=$A85),--ISNUMBER('Данные 1st'!$IX$2:$IX$317))</f>
        <v>0</v>
      </c>
      <c r="EH85">
        <f>SUMPRODUCT(--('Данные 1st'!$S$2:$S$317=$A85),--ISNUMBER('Данные 1st'!$IY$2:$IY$317))</f>
        <v>0</v>
      </c>
      <c r="EI85">
        <f>SUMPRODUCT(--('Данные 1st'!$S$2:$S$317=$A85),--ISNUMBER('Данные 1st'!$JD$2:$JD$317))</f>
        <v>2</v>
      </c>
      <c r="EJ85">
        <f>SUMPRODUCT(--('Данные 1st'!$S$2:$S$317=$A85),--ISNUMBER('Данные 1st'!$JE$2:$JE$317))</f>
        <v>2</v>
      </c>
      <c r="EK85">
        <f>SUMPRODUCT(--('Данные 1st'!$S$2:$S$317=$A85),--ISNUMBER('Данные 1st'!$JF$2:$JF$317))</f>
        <v>2</v>
      </c>
      <c r="EL85">
        <f>SUMPRODUCT(--('Данные 1st'!$S$2:$S$317=$A85),--ISNUMBER('Данные 1st'!$JG$2:$JG$317))</f>
        <v>2</v>
      </c>
      <c r="EM85">
        <f>SUMPRODUCT(--('Данные 1st'!$S$2:$S$317=$A85),--ISNUMBER('Данные 1st'!$JH$2:$JH$317))</f>
        <v>2</v>
      </c>
      <c r="EN85">
        <f>SUMPRODUCT(--('Данные 1st'!$S$2:$S$317=$A85),--ISNUMBER('Данные 1st'!$JJ$2:$JJ$317))</f>
        <v>2</v>
      </c>
      <c r="EO85">
        <f>SUMPRODUCT(--('Данные 1st'!$S$2:$S$317=$A85),--ISNUMBER('Данные 1st'!$JK$2:$JK$317))</f>
        <v>2</v>
      </c>
      <c r="EP85">
        <f>SUMPRODUCT(--('Данные 1st'!$S$2:$S$317=$A85),--ISNUMBER('Данные 1st'!$JL$2:$JL$317))</f>
        <v>0</v>
      </c>
      <c r="EQ85">
        <f>SUMPRODUCT(--('Данные 1st'!$S$2:$S$317=$A85),--ISNUMBER('Данные 1st'!$JM$2:$JM$317))</f>
        <v>0</v>
      </c>
      <c r="ER85">
        <f>SUMPRODUCT(--('Данные 1st'!$S$2:$S$317=$A85),--ISNUMBER('Данные 1st'!$JN$2:$JN$317))</f>
        <v>2</v>
      </c>
      <c r="ES85">
        <f>SUMPRODUCT(--('Данные 1st'!$S$2:$S$317=$A85),--ISNUMBER('Данные 1st'!$JO$2:$JO$317))</f>
        <v>2</v>
      </c>
      <c r="ET85">
        <f>SUMPRODUCT(--('Данные 1st'!$S$2:$S$317=$A85),--ISNUMBER('Данные 1st'!$JP$2:$JP$317))</f>
        <v>2</v>
      </c>
      <c r="EU85">
        <f>SUMPRODUCT(--('Данные 1st'!$S$2:$S$317=$A85),--ISNUMBER('Данные 1st'!$JQ$2:$JQ$317))</f>
        <v>2</v>
      </c>
      <c r="EV85">
        <f>SUMPRODUCT(--('Данные 1st'!$S$2:$S$317=$A85),--ISNUMBER('Данные 1st'!$JR$2:$JR$317))</f>
        <v>2</v>
      </c>
      <c r="EW85">
        <f>SUMPRODUCT(--('Данные 1st'!$S$2:$S$317=$A85),--ISNUMBER('Данные 1st'!$JS$2:$JS$317))</f>
        <v>2</v>
      </c>
      <c r="EX85">
        <f>SUMPRODUCT(--('Данные 1st'!$S$2:$S$317=$A85),--ISNUMBER('Данные 1st'!$JT$2:$JT$317))</f>
        <v>0</v>
      </c>
      <c r="EY85">
        <f>SUMPRODUCT(--('Данные 1st'!$S$2:$S$317=$A85),--ISNUMBER('Данные 1st'!$JU$2:$JU$317))</f>
        <v>0</v>
      </c>
      <c r="EZ85">
        <f>SUMPRODUCT(--('Данные 1st'!$S$2:$S$317=$A85),--ISNUMBER('Данные 1st'!$JV$2:$JV$317))</f>
        <v>2</v>
      </c>
      <c r="FA85">
        <f>SUMPRODUCT(--('Данные 1st'!$S$2:$S$317=$A85),--ISNUMBER('Данные 1st'!$JW$2:$JW$317))</f>
        <v>0</v>
      </c>
      <c r="FB85">
        <f>SUMPRODUCT(--('Данные 1st'!$S$2:$S$317=$A85),--ISNUMBER('Данные 1st'!$JX$2:$JX$317))</f>
        <v>2</v>
      </c>
      <c r="FC85">
        <f>SUMPRODUCT(--('Данные 1st'!$S$2:$S$317=$A85),--ISNUMBER('Данные 1st'!$JY$2:$JY$317))</f>
        <v>0</v>
      </c>
      <c r="FD85">
        <f>SUMPRODUCT(--('Данные 1st'!$S$2:$S$317=$A85),--ISNUMBER('Данные 1st'!$JZ$2:$JZ$317))</f>
        <v>0</v>
      </c>
      <c r="FE85">
        <f>SUMPRODUCT(--('Данные 1st'!$S$2:$S$317=$A85),--ISNUMBER('Данные 1st'!$KA$2:$KA$317))</f>
        <v>2</v>
      </c>
      <c r="FF85">
        <f>SUMPRODUCT(--('Данные 1st'!$S$2:$S$317=$A85),--ISNUMBER('Данные 1st'!$KB$2:$KB$317))</f>
        <v>2</v>
      </c>
      <c r="FG85">
        <f>SUMPRODUCT(--('Данные 1st'!$S$2:$S$317=$A85),--ISNUMBER('Данные 1st'!$KC$2:$KC$317))</f>
        <v>2</v>
      </c>
      <c r="FH85">
        <f>SUMPRODUCT(--('Данные 1st'!$S$2:$S$317=$A85),--ISNUMBER('Данные 1st'!$KD$2:$KD$317))</f>
        <v>2</v>
      </c>
      <c r="FI85">
        <f>SUMPRODUCT(--('Данные 1st'!$S$2:$S$317=$A85),--ISNUMBER('Данные 1st'!$KE$2:$KE$317))</f>
        <v>0</v>
      </c>
      <c r="FJ85">
        <f>SUMPRODUCT(--('Данные 1st'!$S$2:$S$317=$A85),--ISNUMBER('Данные 1st'!$KF$2:$KF$317))</f>
        <v>2</v>
      </c>
      <c r="FK85">
        <f>SUMPRODUCT(--('Данные 1st'!$S$2:$S$317=$A85),--ISNUMBER('Данные 1st'!$KG$2:$KG$317))</f>
        <v>2</v>
      </c>
      <c r="FL85">
        <f>SUMPRODUCT(--('Данные 1st'!$S$2:$S$317=$A85),--ISNUMBER('Данные 1st'!$KH$2:$KH$317))</f>
        <v>2</v>
      </c>
      <c r="FM85">
        <f>SUMPRODUCT(--('Данные 1st'!$S$2:$S$317=$A85),--ISNUMBER('Данные 1st'!$KI$2:$KI$317))</f>
        <v>2</v>
      </c>
      <c r="FN85">
        <f>SUMPRODUCT(--('Данные 1st'!$S$2:$S$317=$A85),--ISNUMBER('Данные 1st'!$KJ$2:$KJ$317))</f>
        <v>2</v>
      </c>
      <c r="FO85">
        <f>SUMPRODUCT(--('Данные 1st'!$S$2:$S$317=$A85),--ISNUMBER('Данные 1st'!$KK$2:$KK$317))</f>
        <v>2</v>
      </c>
      <c r="FP85">
        <f>SUMPRODUCT(--('Данные 1st'!$S$2:$S$317=$A85),--ISNUMBER('Данные 1st'!$KL$2:$KL$317))</f>
        <v>2</v>
      </c>
      <c r="FQ85">
        <f>SUMPRODUCT(--('Данные 1st'!$S$2:$S$317=$A85),--ISNUMBER('Данные 1st'!$KM$2:$KM$317))</f>
        <v>2</v>
      </c>
      <c r="FR85">
        <f>SUMPRODUCT(--('Данные 1st'!$S$2:$S$317=$A85),--ISNUMBER('Данные 1st'!$KN$2:$KN$317))</f>
        <v>2</v>
      </c>
      <c r="FS85">
        <f>SUMPRODUCT(--('Данные 1st'!$S$2:$S$317=$A85),--ISNUMBER('Данные 1st'!$KR$2:$KR$317))</f>
        <v>2</v>
      </c>
      <c r="FT85">
        <f>SUMPRODUCT(--('Данные 1st'!$S$2:$S$317=$A85),--ISNUMBER('Данные 1st'!$KS$2:$KS$317))</f>
        <v>2</v>
      </c>
      <c r="FU85">
        <f>SUMPRODUCT(--('Данные 1st'!$S$2:$S$317=$A85),--ISNUMBER('Данные 1st'!$KT$2:$KT$317))</f>
        <v>2</v>
      </c>
      <c r="FV85">
        <f>SUMPRODUCT(--('Данные 1st'!$S$2:$S$317=$A85),--ISNUMBER('Данные 1st'!$KV$2:$KV$317))</f>
        <v>0</v>
      </c>
      <c r="FW85">
        <f>SUMPRODUCT(--('Данные 1st'!$S$2:$S$317=$A85),--ISNUMBER('Данные 1st'!$KW$2:$KW$317))</f>
        <v>0</v>
      </c>
      <c r="FX85">
        <f>SUMPRODUCT(--('Данные 1st'!$S$2:$S$317=$A85),--ISNUMBER('Данные 1st'!$KX$2:$KX$317))</f>
        <v>0</v>
      </c>
      <c r="FY85">
        <f>SUMPRODUCT(--('Данные 1st'!$S$2:$S$317=$A85),--ISNUMBER('Данные 1st'!$KY$2:$KY$317))</f>
        <v>0</v>
      </c>
      <c r="FZ85">
        <f>SUMPRODUCT(--('Данные 1st'!$S$2:$S$317=$A85),--ISNUMBER('Данные 1st'!$KZ$2:$KZ$317))</f>
        <v>0</v>
      </c>
      <c r="GA85">
        <f>SUMPRODUCT(--('Данные 1st'!$S$2:$S$317=$A85),--ISNUMBER('Данные 1st'!$LA$2:$LA$317))</f>
        <v>0</v>
      </c>
      <c r="GB85">
        <f>SUMPRODUCT(--('Данные 1st'!$S$2:$S$317=$A85),--ISNUMBER('Данные 1st'!$LB$2:$LB$317))</f>
        <v>0</v>
      </c>
      <c r="GC85">
        <f>SUMPRODUCT(--('Данные 1st'!$S$2:$S$317=$A85),--ISNUMBER('Данные 1st'!$LC$2:$LC$317))</f>
        <v>0</v>
      </c>
      <c r="GD85">
        <f>SUMPRODUCT(--('Данные 1st'!$S$2:$S$317=$A85),--ISNUMBER('Данные 1st'!$LD$2:$LD$317))</f>
        <v>0</v>
      </c>
      <c r="GE85">
        <f>SUMPRODUCT(--('Данные 1st'!$S$2:$S$317=$A85),--ISNUMBER('Данные 1st'!$LE$2:$LE$317))</f>
        <v>0</v>
      </c>
      <c r="GF85">
        <f>SUMPRODUCT(--('Данные 1st'!$S$2:$S$317=$A85),--ISNUMBER('Данные 1st'!$LF$2:$LF$317))</f>
        <v>0</v>
      </c>
      <c r="GG85">
        <f>SUMPRODUCT(--('Данные 1st'!$S$2:$S$317=$A85),--ISNUMBER('Данные 1st'!$LG$2:$LG$317))</f>
        <v>0</v>
      </c>
      <c r="GH85">
        <f>SUMPRODUCT(--('Данные 1st'!$S$2:$S$317=$A85),--ISNUMBER('Данные 1st'!$LH$2:$LH$317))</f>
        <v>0</v>
      </c>
      <c r="GI85">
        <f>SUMPRODUCT(--('Данные 1st'!$S$2:$S$317=$A85),--ISNUMBER('Данные 1st'!$LI$2:$LI$317))</f>
        <v>0</v>
      </c>
      <c r="GJ85">
        <f>SUMPRODUCT(--('Данные 1st'!$S$2:$S$317=$A85),--ISNUMBER('Данные 1st'!$LJ$2:$LJ$317))</f>
        <v>0</v>
      </c>
      <c r="GK85">
        <f>SUMPRODUCT(--('Данные 1st'!$S$2:$S$317=$A85),--ISNUMBER('Данные 1st'!$LK$2:$LK$317))</f>
        <v>2</v>
      </c>
      <c r="GL85">
        <f>SUMPRODUCT(--('Данные 1st'!$S$2:$S$317=$A85),--ISNUMBER('Данные 1st'!$LV$2:$LV$317))</f>
        <v>0</v>
      </c>
      <c r="GM85">
        <f>SUMPRODUCT(--('Данные 1st'!$S$2:$S$317=$A85),--ISNUMBER('Данные 1st'!$LW$2:$LW$317))</f>
        <v>0</v>
      </c>
      <c r="GN85">
        <f>SUMPRODUCT(--('Данные 1st'!$S$2:$S$317=$A85),--ISNUMBER('Данные 1st'!$LX$2:$LX$317))</f>
        <v>0</v>
      </c>
      <c r="GO85">
        <f>SUMPRODUCT(--('Данные 1st'!$S$2:$S$317=$A85),--ISNUMBER('Данные 1st'!$LY$2:$LY$317))</f>
        <v>0</v>
      </c>
      <c r="GP85">
        <f>SUMPRODUCT(--('Данные 1st'!$S$2:$S$317=$A85),--ISNUMBER('Данные 1st'!$LZ$2:$LZ$317))</f>
        <v>0</v>
      </c>
      <c r="GQ85">
        <f>SUMPRODUCT(--('Данные 1st'!$S$2:$S$317=$A85),--ISNUMBER('Данные 1st'!$PG$2:$PG$317))</f>
        <v>2</v>
      </c>
      <c r="GR85">
        <f>SUMPRODUCT(--('Данные 1st'!$S$2:$S$317=$A85),--ISNUMBER('Данные 1st'!$PX$2:$PX$317))</f>
        <v>2</v>
      </c>
      <c r="GS85">
        <f>SUMPRODUCT(--('Данные 1st'!$S$2:$S$317=$A85),--ISNUMBER('Данные 1st'!$PY$2:$PY$317))</f>
        <v>2</v>
      </c>
      <c r="GT85">
        <f>SUMPRODUCT(--('Данные 1st'!$S$2:$S$317=$A85),--ISNUMBER('Данные 1st'!$QA$2:$QA$317))</f>
        <v>2</v>
      </c>
      <c r="GU85">
        <f>SUMPRODUCT(--('Данные 1st'!$S$2:$S$317=$A85),--ISNUMBER('Данные 1st'!$QB$2:$QB$317))</f>
        <v>2</v>
      </c>
      <c r="GV85">
        <f>SUMPRODUCT(--('Данные 1st'!$S$2:$S$317=$A85),--ISNUMBER('Данные 1st'!$QC$2:$QC$317))</f>
        <v>2</v>
      </c>
      <c r="GW85">
        <f>SUMPRODUCT(--('Данные 1st'!$S$2:$S$317=$A85),--ISNUMBER('Данные 1st'!$QD$2:$QD$317))</f>
        <v>2</v>
      </c>
      <c r="GX85">
        <f>SUMPRODUCT(--('Данные 1st'!$S$2:$S$317=$A85),--ISNUMBER('Данные 1st'!$QF$2:$QF$317))</f>
        <v>2</v>
      </c>
      <c r="GY85">
        <f>SUMPRODUCT(--('Данные 1st'!$S$2:$S$317=$A85),--ISNUMBER('Данные 1st'!$QG$2:$QG$317))</f>
        <v>2</v>
      </c>
      <c r="GZ85">
        <f>SUMPRODUCT(--('Данные 1st'!$S$2:$S$317=$A85),--ISNUMBER('Данные 1st'!$QH$2:$QH$317))</f>
        <v>2</v>
      </c>
      <c r="HA85">
        <f>SUMPRODUCT(--('Данные 1st'!$S$2:$S$317=$A85),--ISNUMBER('Данные 1st'!$QI$2:$QI$317))</f>
        <v>2</v>
      </c>
      <c r="HB85">
        <f>SUMPRODUCT(--('Данные 1st'!$S$2:$S$317=$A85),--ISNUMBER('Данные 1st'!$QK$2:$QK$317))</f>
        <v>2</v>
      </c>
      <c r="HC85">
        <f>SUMPRODUCT(--('Данные 1st'!$S$2:$S$317=$A85),--ISNUMBER('Данные 1st'!$QL$2:$QL$317))</f>
        <v>2</v>
      </c>
      <c r="HD85">
        <f>SUMPRODUCT(--('Данные 1st'!$S$2:$S$317=$A85),--ISNUMBER('Данные 1st'!$QM$2:$QM$317))</f>
        <v>2</v>
      </c>
      <c r="HE85">
        <f>SUMPRODUCT(--('Данные 1st'!$S$2:$S$317=$A85),--ISNUMBER('Данные 1st'!$QN$2:$QN$317))</f>
        <v>2</v>
      </c>
      <c r="HF85">
        <f>SUMPRODUCT(--('Данные 1st'!$S$2:$S$317=$A85),--ISNUMBER('Данные 1st'!$QP$2:$QP$317))</f>
        <v>2</v>
      </c>
      <c r="HG85">
        <f>SUMPRODUCT(--('Данные 1st'!$S$2:$S$317=$A85),--ISNUMBER('Данные 1st'!$QQ$2:$QQ$317))</f>
        <v>2</v>
      </c>
      <c r="HH85">
        <f>SUMPRODUCT(--('Данные 1st'!$S$2:$S$317=$A85),--ISNUMBER('Данные 1st'!$QR$2:$QR$317))</f>
        <v>2</v>
      </c>
      <c r="HI85">
        <f>SUMPRODUCT(--('Данные 1st'!$S$2:$S$317=$A85),--ISNUMBER('Данные 1st'!$QS$2:$QS$317))</f>
        <v>2</v>
      </c>
      <c r="HJ85">
        <f>SUMPRODUCT(--('Данные 1st'!$S$2:$S$317=$A85),--ISNUMBER('Данные 1st'!$QU$2:$QU$317))</f>
        <v>2</v>
      </c>
      <c r="HK85">
        <f>SUMPRODUCT(--('Данные 1st'!$S$2:$S$317=$A85),--ISNUMBER('Данные 1st'!$QV$2:$QV$317))</f>
        <v>2</v>
      </c>
      <c r="HL85">
        <f>SUMPRODUCT(--('Данные 1st'!$S$2:$S$317=$A85),--ISNUMBER('Данные 1st'!$QW$2:$QW$317))</f>
        <v>2</v>
      </c>
      <c r="HM85">
        <f>SUMPRODUCT(--('Данные 1st'!$S$2:$S$317=$A85),--ISNUMBER('Данные 1st'!$QX$2:$QX$317))</f>
        <v>0</v>
      </c>
      <c r="HN85">
        <f>SUMPRODUCT(--('Данные 1st'!$S$2:$S$317=$A85),--ISNUMBER('Данные 1st'!$QZ$2:$QZ$317))</f>
        <v>2</v>
      </c>
      <c r="HO85">
        <f>SUMPRODUCT(--('Данные 1st'!$S$2:$S$317=$A85),--ISNUMBER('Данные 1st'!$RA$2:$RA$317))</f>
        <v>2</v>
      </c>
      <c r="HP85">
        <f>SUMPRODUCT(--('Данные 1st'!$S$2:$S$317=$A85),--ISNUMBER('Данные 1st'!$RB$2:$RB$317))</f>
        <v>2</v>
      </c>
      <c r="HQ85">
        <f>SUMPRODUCT(--('Данные 1st'!$S$2:$S$317=$A85),--ISNUMBER('Данные 1st'!$RD$2:$RD$317))</f>
        <v>0</v>
      </c>
      <c r="HR85">
        <f>SUMPRODUCT(--('Данные 1st'!$S$2:$S$317=$A85),--ISNUMBER('Данные 1st'!$RE$2:$RE$317))</f>
        <v>2</v>
      </c>
      <c r="HS85">
        <f>SUMPRODUCT(--('Данные 1st'!$S$2:$S$317=$A85),--ISNUMBER('Данные 1st'!$RF$2:$RF$317))</f>
        <v>2</v>
      </c>
      <c r="HT85">
        <f>SUMPRODUCT(--('Данные 1st'!$S$2:$S$317=$A85),--ISNUMBER('Данные 1st'!$RG$2:$RG$317))</f>
        <v>0</v>
      </c>
      <c r="HU85">
        <f>SUMPRODUCT(--('Данные 1st'!$S$2:$S$317=$A85),--ISNUMBER('Данные 1st'!$RH$2:$RH$317))</f>
        <v>2</v>
      </c>
      <c r="HV85">
        <f>SUMPRODUCT(--('Данные 1st'!$S$2:$S$317=$A85),--ISNUMBER('Данные 1st'!$RI$2:$RI$317))</f>
        <v>0</v>
      </c>
      <c r="HW85">
        <f>SUMPRODUCT(--('Данные 1st'!$S$2:$S$317=$A85),--ISNUMBER('Данные 1st'!$RJ$2:$RJ$317))</f>
        <v>2</v>
      </c>
      <c r="HX85">
        <f>SUMPRODUCT(--('Данные 1st'!$S$2:$S$317=$A85),--ISNUMBER('Данные 1st'!$RK$2:$RK$317))</f>
        <v>2</v>
      </c>
      <c r="HY85">
        <f>SUMPRODUCT(--('Данные 1st'!$S$2:$S$317=$A85),--ISNUMBER('Данные 1st'!$RL$2:$RL$317))</f>
        <v>2</v>
      </c>
      <c r="HZ85">
        <f>SUMPRODUCT(--('Данные 1st'!$S$2:$S$317=$A85),--ISNUMBER('Данные 1st'!$RM$2:$RM$317))</f>
        <v>2</v>
      </c>
      <c r="IA85">
        <f>SUMPRODUCT(--('Данные 1st'!$S$2:$S$317=$A85),--ISNUMBER('Данные 1st'!$RN$2:$RN$317))</f>
        <v>0</v>
      </c>
      <c r="IB85">
        <f>SUMPRODUCT(--('Данные 1st'!$S$2:$S$317=$A85),--ISNUMBER('Данные 1st'!$RO$2:$RO$317))</f>
        <v>2</v>
      </c>
      <c r="IC85">
        <f>SUMPRODUCT(--('Данные 1st'!$S$2:$S$317=$A85),--ISNUMBER('Данные 1st'!$RP$2:$RP$317))</f>
        <v>2</v>
      </c>
      <c r="ID85">
        <f>SUMPRODUCT(--('Данные 1st'!$S$2:$S$317=$A85),--ISNUMBER('Данные 1st'!$RQ$2:$RQ$317))</f>
        <v>2</v>
      </c>
      <c r="IE85">
        <f>SUMPRODUCT(--('Данные 1st'!$S$2:$S$317=$A85),--ISNUMBER('Данные 1st'!$RR$2:$RR$317))</f>
        <v>2</v>
      </c>
      <c r="IF85">
        <f>SUMPRODUCT(--('Данные 1st'!$S$2:$S$317=$A85),--ISNUMBER('Данные 1st'!$RS$2:$RS$317))</f>
        <v>0</v>
      </c>
      <c r="IG85">
        <f>SUMPRODUCT(--('Данные 1st'!$S$2:$S$317=$A85),--ISNUMBER('Данные 1st'!$RT$2:$RT$317))</f>
        <v>2</v>
      </c>
      <c r="IH85">
        <f>SUMPRODUCT(--('Данные 1st'!$S$2:$S$317=$A85),--ISNUMBER('Данные 1st'!$RU$2:$RU$317))</f>
        <v>2</v>
      </c>
      <c r="II85">
        <f>SUMPRODUCT(--('Данные 1st'!$S$2:$S$317=$A85),--ISNUMBER('Данные 1st'!$RX$2:$RX$317))</f>
        <v>2</v>
      </c>
      <c r="IJ85">
        <f>SUMPRODUCT(--('Данные 1st'!$S$2:$S$317=$A85),--ISNUMBER('Данные 1st'!$RY$2:$RY$317))</f>
        <v>2</v>
      </c>
      <c r="IK85">
        <f>SUMPRODUCT(--('Данные 1st'!$S$2:$S$317=$A85),--ISNUMBER('Данные 1st'!$SA$2:$SA$317))</f>
        <v>2</v>
      </c>
      <c r="IL85">
        <f>SUMPRODUCT(--('Данные 1st'!$S$2:$S$317=$A85),--ISNUMBER('Данные 1st'!$SD$2:$SD$317))</f>
        <v>2</v>
      </c>
      <c r="IM85">
        <f>SUMPRODUCT(--('Данные 1st'!$S$2:$S$317=$A85),--ISNUMBER('Данные 1st'!$SG$2:$SG$317))</f>
        <v>2</v>
      </c>
      <c r="IN85">
        <f>SUMPRODUCT(--('Данные 1st'!$S$2:$S$317=$A85),--ISNUMBER('Данные 1st'!$SH$2:$SH$317))</f>
        <v>2</v>
      </c>
      <c r="IO85">
        <f>SUMPRODUCT(--('Данные 1st'!$S$2:$S$317=$A85),--ISNUMBER('Данные 1st'!$SI$2:$SI$317))</f>
        <v>2</v>
      </c>
      <c r="IP85">
        <f>SUMPRODUCT(--('Данные 1st'!$S$2:$S$317=$A85),--ISNUMBER('Данные 1st'!$SJ$2:$SJ$317))</f>
        <v>2</v>
      </c>
      <c r="IQ85">
        <f>SUMPRODUCT(--('Данные 1st'!$S$2:$S$317=$A85),--ISNUMBER('Данные 1st'!$SK$2:$SK$317))</f>
        <v>2</v>
      </c>
      <c r="IR85">
        <f>SUMPRODUCT(--('Данные 1st'!$S$2:$S$317=$A85),--ISNUMBER('Данные 1st'!$SL$2:$SL$317))</f>
        <v>2</v>
      </c>
      <c r="IS85">
        <f>SUMPRODUCT(--('Данные 1st'!$S$2:$S$317=$A85),--ISNUMBER('Данные 1st'!$SM$2:$SM$317))</f>
        <v>2</v>
      </c>
      <c r="IT85">
        <f>SUMPRODUCT(--('Данные 1st'!$S$2:$S$317=$A85),--ISNUMBER('Данные 1st'!$SN$2:$SN$317))</f>
        <v>2</v>
      </c>
      <c r="IU85">
        <f>SUMPRODUCT(--('Данные 1st'!$S$2:$S$317=$A85),--ISNUMBER('Данные 1st'!$SO$2:$SO$317))</f>
        <v>2</v>
      </c>
      <c r="IV85">
        <f>SUMPRODUCT(--('Данные 1st'!$S$2:$S$317=$A85),--ISNUMBER('Данные 1st'!$SP$2:$SP$317))</f>
        <v>2</v>
      </c>
      <c r="IW85">
        <f>SUMPRODUCT(--('Данные 1st'!$S$2:$S$317=$A85),--ISNUMBER('Данные 1st'!$SQ$2:$SQ$317))</f>
        <v>2</v>
      </c>
      <c r="IX85">
        <f>SUMPRODUCT(--('Данные 1st'!$S$2:$S$317=$A85),--ISNUMBER('Данные 1st'!$SR$2:$SR$317))</f>
        <v>2</v>
      </c>
      <c r="IY85">
        <f>SUMPRODUCT(--('Данные 1st'!$S$2:$S$317=$A85),--ISNUMBER('Данные 1st'!$SS$2:$SS$317))</f>
        <v>2</v>
      </c>
      <c r="IZ85">
        <f>SUMPRODUCT(--('Данные 1st'!$S$2:$S$317=$A85),--ISNUMBER('Данные 1st'!$ST$2:$ST$317))</f>
        <v>2</v>
      </c>
      <c r="JA85">
        <f>SUMPRODUCT(--('Данные 1st'!$S$2:$S$317=$A85),--ISNUMBER('Данные 1st'!$SU$2:$SU$317))</f>
        <v>2</v>
      </c>
      <c r="JB85">
        <f>SUMPRODUCT(--('Данные 1st'!$S$2:$S$317=$A85),--ISNUMBER('Данные 1st'!$SV$2:$SV$317))</f>
        <v>2</v>
      </c>
      <c r="JC85">
        <f>SUMPRODUCT(--('Данные 1st'!$S$2:$S$317=$A85),--ISNUMBER('Данные 1st'!$SW$2:$SW$317))</f>
        <v>2</v>
      </c>
      <c r="JD85">
        <f>SUMPRODUCT(--('Данные 1st'!$S$2:$S$317=$A85),--ISNUMBER('Данные 1st'!$SX$2:$SX$317))</f>
        <v>2</v>
      </c>
      <c r="JE85">
        <f>SUMPRODUCT(--('Данные 1st'!$S$2:$S$317=$A85),--ISNUMBER('Данные 1st'!$SY$2:$SY$317))</f>
        <v>2</v>
      </c>
      <c r="JF85">
        <f>SUMPRODUCT(--('Данные 1st'!$S$2:$S$317=$A85),--ISNUMBER('Данные 1st'!$SZ$2:$SZ$317))</f>
        <v>2</v>
      </c>
      <c r="JG85">
        <f>SUMPRODUCT(--('Данные 1st'!$S$2:$S$317=$A85),--ISNUMBER('Данные 1st'!$TA$2:$TA$317))</f>
        <v>0</v>
      </c>
      <c r="JH85">
        <f>SUMPRODUCT(--('Данные 1st'!$S$2:$S$317=$A85),--ISNUMBER('Данные 1st'!$TB$2:$TB$317))</f>
        <v>2</v>
      </c>
      <c r="JI85">
        <f>SUMPRODUCT(--('Данные 1st'!$S$2:$S$317=$A85),--ISNUMBER('Данные 1st'!$TC$2:$TC$317))</f>
        <v>2</v>
      </c>
      <c r="JJ85">
        <f>SUMPRODUCT(--('Данные 1st'!$S$2:$S$317=$A85),--ISNUMBER('Данные 1st'!$TD$2:$TD$317))</f>
        <v>2</v>
      </c>
      <c r="JK85">
        <f>SUMPRODUCT(--('Данные 1st'!$S$2:$S$317=$A85),--ISNUMBER('Данные 1st'!$TN$2:$TN$317))</f>
        <v>2</v>
      </c>
      <c r="JQ85">
        <f>SUMPRODUCT(--('Данные 2st'!$Q$2:$Q$317=$A85),--ISNUMBER('Данные 2st'!$AC$2:$AC$317))</f>
        <v>2</v>
      </c>
      <c r="JR85">
        <f>SUMPRODUCT(--('Данные 2st'!$Q$2:$Q$317=$A85),--ISNUMBER('Данные 2st'!$AF$2:$AF$317))</f>
        <v>2</v>
      </c>
      <c r="JS85">
        <f>SUMPRODUCT(--('Данные 2st'!$Q$2:$Q$317=$A85),--ISNUMBER('Данные 2st'!$AW$2:$AW$317))</f>
        <v>2</v>
      </c>
      <c r="JT85">
        <f>SUMPRODUCT(--('Данные 2st'!$Q$2:$Q$317=$A85),--ISNUMBER('Данные 2st'!$AX$2:$AX$317))</f>
        <v>2</v>
      </c>
      <c r="JU85">
        <f>SUMPRODUCT(--('Данные 2st'!$Q$2:$Q$317=$A85),--ISNUMBER('Данные 2st'!$AY$2:$AY$317))</f>
        <v>2</v>
      </c>
      <c r="JV85">
        <f>SUMPRODUCT(--('Данные 2st'!$Q$2:$Q$317=$A85),--ISNUMBER('Данные 2st'!$AZ$2:$AZ$317))</f>
        <v>2</v>
      </c>
      <c r="JW85">
        <f>SUMPRODUCT(--('Данные 2st'!$Q$2:$Q$317=$A85),--ISNUMBER('Данные 2st'!$BA$2:$BA$317))</f>
        <v>0</v>
      </c>
      <c r="JX85">
        <f>SUMPRODUCT(--('Данные 2st'!$Q$2:$Q$317=$A85),--ISNUMBER('Данные 2st'!$BB$2:$BB$317))</f>
        <v>0</v>
      </c>
      <c r="JY85">
        <f>SUMPRODUCT(--('Данные 2st'!$Q$2:$Q$317=$A85),--ISNUMBER('Данные 2st'!$BC$2:$BC$317))</f>
        <v>0</v>
      </c>
      <c r="JZ85">
        <f>SUMPRODUCT(--('Данные 2st'!$Q$2:$Q$317=$A85),--ISNUMBER('Данные 2st'!$BH$2:$BH$317))</f>
        <v>2</v>
      </c>
      <c r="KA85">
        <f>SUMPRODUCT(--('Данные 2st'!$Q$2:$Q$317=$A85),--ISNUMBER('Данные 2st'!$BI$2:$BI$317))</f>
        <v>2</v>
      </c>
      <c r="KB85">
        <f>SUMPRODUCT(--('Данные 2st'!$Q$2:$Q$317=$A85),--ISNUMBER('Данные 2st'!$BJ$2:$BJ$317))</f>
        <v>2</v>
      </c>
      <c r="KC85">
        <f>SUMPRODUCT(--('Данные 2st'!$Q$2:$Q$317=$A85),--ISNUMBER('Данные 2st'!$BK$2:$BK$317))</f>
        <v>2</v>
      </c>
      <c r="KD85">
        <f>SUMPRODUCT(--('Данные 2st'!$Q$2:$Q$317=$A85),--ISNUMBER('Данные 2st'!$BL$2:$BL$317))</f>
        <v>2</v>
      </c>
      <c r="KE85">
        <f>SUMPRODUCT(--('Данные 2st'!$Q$2:$Q$317=$A85),--ISNUMBER('Данные 2st'!$BM$2:$BM$317))</f>
        <v>2</v>
      </c>
      <c r="KF85">
        <f>SUMPRODUCT(--('Данные 2st'!$Q$2:$Q$317=$A85),--ISNUMBER('Данные 2st'!$BN$2:$BN$317))</f>
        <v>2</v>
      </c>
      <c r="KG85">
        <f>SUMPRODUCT(--('Данные 2st'!$Q$2:$Q$317=$A85),--ISNUMBER('Данные 2st'!$BO$2:$BO$317))</f>
        <v>1</v>
      </c>
      <c r="KH85">
        <f>SUMPRODUCT(--('Данные 2st'!$Q$2:$Q$317=$A85),--ISNUMBER('Данные 2st'!$BP$2:$BP$317))</f>
        <v>2</v>
      </c>
      <c r="KI85">
        <f>SUMPRODUCT(--('Данные 2st'!$Q$2:$Q$317=$A85),--ISNUMBER('Данные 2st'!$BR$2:$BR$317))</f>
        <v>2</v>
      </c>
      <c r="KJ85">
        <f>SUMPRODUCT(--('Данные 2st'!$Q$2:$Q$317=$A85),--ISNUMBER('Данные 2st'!$BS$2:$BS$317))</f>
        <v>2</v>
      </c>
      <c r="KK85">
        <f>SUMPRODUCT(--('Данные 2st'!$Q$2:$Q$317=$A85),--ISNUMBER('Данные 2st'!$BT$2:$BT$317))</f>
        <v>2</v>
      </c>
      <c r="KL85">
        <f>SUMPRODUCT(--('Данные 2st'!$Q$2:$Q$317=$A85),--ISNUMBER('Данные 2st'!$CV$2:$CV$317))</f>
        <v>2</v>
      </c>
      <c r="KM85">
        <f>SUMPRODUCT(--('Данные 2st'!$Q$2:$Q$317=$A85),--ISNUMBER('Данные 2st'!$CW$2:$CW$317))</f>
        <v>2</v>
      </c>
      <c r="KN85">
        <f>SUMPRODUCT(--('Данные 2st'!$Q$2:$Q$317=$A85),--ISNUMBER('Данные 2st'!$CX$2:$CX$317))</f>
        <v>2</v>
      </c>
      <c r="KO85">
        <f>SUMPRODUCT(--('Данные 2st'!$Q$2:$Q$317=$A85),--ISNUMBER('Данные 2st'!$CY$2:$CY$317))</f>
        <v>2</v>
      </c>
      <c r="KP85">
        <f>SUMPRODUCT(--('Данные 2st'!$Q$2:$Q$317=$A85),--ISNUMBER('Данные 2st'!$CZ$2:$CZ$317))</f>
        <v>2</v>
      </c>
      <c r="KQ85">
        <f>SUMPRODUCT(--('Данные 2st'!$Q$2:$Q$317=$A85),--ISNUMBER('Данные 2st'!$DA$2:$DA$317))</f>
        <v>2</v>
      </c>
      <c r="KR85">
        <f>SUMPRODUCT(--('Данные 2st'!$Q$2:$Q$317=$A85),--ISNUMBER('Данные 2st'!$DB$2:$DB$317))</f>
        <v>2</v>
      </c>
      <c r="KS85">
        <f>SUMPRODUCT(--('Данные 2st'!$Q$2:$Q$317=$A85),--ISNUMBER('Данные 2st'!$DC$2:$DC$317))</f>
        <v>2</v>
      </c>
      <c r="KT85">
        <f>SUMPRODUCT(--('Данные 2st'!$Q$2:$Q$317=$A85),--ISNUMBER('Данные 2st'!$DD$2:$DD$317))</f>
        <v>2</v>
      </c>
      <c r="KU85">
        <f>SUMPRODUCT(--('Данные 2st'!$Q$2:$Q$317=$A85),--ISNUMBER('Данные 2st'!$DE$2:$DE$317))</f>
        <v>2</v>
      </c>
      <c r="KV85">
        <f>SUMPRODUCT(--('Данные 2st'!$Q$2:$Q$317=$A85),--ISNUMBER('Данные 2st'!$DF$2:$DF$317))</f>
        <v>2</v>
      </c>
      <c r="KW85">
        <f>SUMPRODUCT(--('Данные 2st'!$Q$2:$Q$317=$A85),--ISNUMBER('Данные 2st'!$DG$2:$DG$317))</f>
        <v>2</v>
      </c>
      <c r="KX85">
        <f>SUMPRODUCT(--('Данные 2st'!$Q$2:$Q$317=$A85),--ISNUMBER('Данные 2st'!$DH$2:$DH$317))</f>
        <v>2</v>
      </c>
      <c r="KY85">
        <f>SUMPRODUCT(--('Данные 2st'!$Q$2:$Q$317=$A85),--ISNUMBER('Данные 2st'!$DI$2:$DI$317))</f>
        <v>0</v>
      </c>
      <c r="KZ85">
        <f>SUMPRODUCT(--('Данные 2st'!$Q$2:$Q$317=$A85),--ISNUMBER('Данные 2st'!$DK$2:$DK$317))</f>
        <v>2</v>
      </c>
      <c r="LA85">
        <f>SUMPRODUCT(--('Данные 2st'!$Q$2:$Q$317=$A85),--ISNUMBER('Данные 2st'!$DM$2:$DM$317))</f>
        <v>2</v>
      </c>
      <c r="LB85">
        <f>SUMPRODUCT(--('Данные 2st'!$Q$2:$Q$317=$A85),--ISNUMBER('Данные 2st'!$DN$2:$DN$317))</f>
        <v>2</v>
      </c>
      <c r="LC85">
        <f>SUMPRODUCT(--('Данные 2st'!$Q$2:$Q$317=$A85),--ISNUMBER('Данные 2st'!$DO$2:$DO$317))</f>
        <v>2</v>
      </c>
      <c r="LD85">
        <f>SUMPRODUCT(--('Данные 2st'!$Q$2:$Q$317=$A85),--ISNUMBER('Данные 2st'!$DP$2:$DP$317))</f>
        <v>2</v>
      </c>
      <c r="LE85">
        <f>SUMPRODUCT(--('Данные 2st'!$Q$2:$Q$317=$A85),--ISNUMBER('Данные 2st'!$DQ$2:$DQ$317))</f>
        <v>2</v>
      </c>
      <c r="LF85">
        <f>SUMPRODUCT(--('Данные 2st'!$Q$2:$Q$317=$A85),--ISNUMBER('Данные 2st'!$DS$2:$DS$317))</f>
        <v>2</v>
      </c>
      <c r="LG85">
        <f>SUMPRODUCT(--('Данные 2st'!$Q$2:$Q$317=$A85),--ISNUMBER('Данные 2st'!$DU$2:$DU$317))</f>
        <v>2</v>
      </c>
      <c r="LH85">
        <f>SUMPRODUCT(--('Данные 2st'!$Q$2:$Q$317=$A85),--ISNUMBER('Данные 2st'!$DV$2:$DV$317))</f>
        <v>2</v>
      </c>
      <c r="LI85">
        <f>SUMPRODUCT(--('Данные 2st'!$Q$2:$Q$317=$A85),--ISNUMBER('Данные 2st'!$DW$2:$DW$317))</f>
        <v>2</v>
      </c>
      <c r="LJ85">
        <f>SUMPRODUCT(--('Данные 2st'!$Q$2:$Q$317=$A85),--ISNUMBER('Данные 2st'!$DX$2:$DX$317))</f>
        <v>2</v>
      </c>
      <c r="LK85">
        <f>SUMPRODUCT(--('Данные 2st'!$Q$2:$Q$317=$A85),--ISNUMBER('Данные 2st'!$DY$2:$DY$317))</f>
        <v>2</v>
      </c>
      <c r="LL85">
        <f>SUMPRODUCT(--('Данные 2st'!$Q$2:$Q$317=$A85),--ISNUMBER('Данные 2st'!$EA$2:$EA$317))</f>
        <v>2</v>
      </c>
      <c r="LM85">
        <f>SUMPRODUCT(--('Данные 2st'!$Q$2:$Q$317=$A85),--ISNUMBER('Данные 2st'!$EC$2:$EC$317))</f>
        <v>2</v>
      </c>
      <c r="LN85">
        <f>SUMPRODUCT(--('Данные 2st'!$Q$2:$Q$317=$A85),--ISNUMBER('Данные 2st'!$ED$2:$ED$317))</f>
        <v>2</v>
      </c>
      <c r="LO85">
        <f>SUMPRODUCT(--('Данные 2st'!$Q$2:$Q$317=$A85),--ISNUMBER('Данные 2st'!$EE$2:$EE$317))</f>
        <v>2</v>
      </c>
      <c r="LP85">
        <f>SUMPRODUCT(--('Данные 2st'!$Q$2:$Q$317=$A85),--ISNUMBER('Данные 2st'!$EG$2:$EG$317))</f>
        <v>2</v>
      </c>
      <c r="LQ85">
        <f>SUMPRODUCT(--('Данные 2st'!$Q$2:$Q$317=$A85),--ISNUMBER('Данные 2st'!$EI$2:$EI$317))</f>
        <v>2</v>
      </c>
      <c r="LR85">
        <f>SUMPRODUCT(--('Данные 2st'!$Q$2:$Q$317=$A85),--ISNUMBER('Данные 2st'!$EJ$2:$EJ$317))</f>
        <v>0</v>
      </c>
      <c r="LS85">
        <f>SUMPRODUCT(--('Данные 2st'!$Q$2:$Q$317=$A85),--ISNUMBER('Данные 2st'!$EK$2:$EK$317))</f>
        <v>0</v>
      </c>
      <c r="LT85">
        <f>SUMPRODUCT(--('Данные 2st'!$Q$2:$Q$317=$A85),--ISNUMBER('Данные 2st'!$EM$2:$EM$317))</f>
        <v>2</v>
      </c>
      <c r="LU85">
        <f>SUMPRODUCT(--('Данные 2st'!$Q$2:$Q$317=$A85),--ISNUMBER('Данные 2st'!$EN$2:$EN$317))</f>
        <v>2</v>
      </c>
      <c r="LV85">
        <f>SUMPRODUCT(--('Данные 2st'!$Q$2:$Q$317=$A85),--ISNUMBER('Данные 2st'!$EO$2:$EO$317))</f>
        <v>2</v>
      </c>
      <c r="LW85">
        <f>SUMPRODUCT(--('Данные 2st'!$Q$2:$Q$317=$A85),--ISNUMBER('Данные 2st'!$EP$2:$EP$317))</f>
        <v>2</v>
      </c>
      <c r="LX85">
        <f>SUMPRODUCT(--('Данные 2st'!$Q$2:$Q$317=$A85),--ISNUMBER('Данные 2st'!$EQ$2:$EQ$317))</f>
        <v>2</v>
      </c>
      <c r="LY85">
        <f>SUMPRODUCT(--('Данные 2st'!$Q$2:$Q$317=$A85),--ISNUMBER('Данные 2st'!$ER$2:$ER$317))</f>
        <v>2</v>
      </c>
      <c r="LZ85">
        <f>SUMPRODUCT(--('Данные 2st'!$Q$2:$Q$317=$A85),--ISNUMBER('Данные 2st'!$ES$2:$ES$317))</f>
        <v>2</v>
      </c>
      <c r="MA85">
        <f>SUMPRODUCT(--('Данные 2st'!$Q$2:$Q$317=$A85),--ISNUMBER('Данные 2st'!$ET$2:$ET$317))</f>
        <v>2</v>
      </c>
      <c r="MB85">
        <f>SUMPRODUCT(--('Данные 2st'!$Q$2:$Q$317=$A85),--ISNUMBER('Данные 2st'!$EU$2:$EU$317))</f>
        <v>2</v>
      </c>
      <c r="MC85">
        <f>SUMPRODUCT(--('Данные 2st'!$Q$2:$Q$317=$A85),--ISNUMBER('Данные 2st'!$EV$2:$EV$317))</f>
        <v>2</v>
      </c>
      <c r="MD85">
        <f>SUMPRODUCT(--('Данные 2st'!$Q$2:$Q$317=$A85),--ISNUMBER('Данные 2st'!$EW$2:$EW$317))</f>
        <v>2</v>
      </c>
      <c r="ME85">
        <f>SUMPRODUCT(--('Данные 2st'!$Q$2:$Q$317=$A85),--ISNUMBER('Данные 2st'!$EY$2:$EY$317))</f>
        <v>2</v>
      </c>
      <c r="MF85">
        <f>SUMPRODUCT(--('Данные 2st'!$Q$2:$Q$317=$A85),--ISNUMBER('Данные 2st'!$FA$2:$FA$317))</f>
        <v>2</v>
      </c>
      <c r="MG85">
        <f>SUMPRODUCT(--('Данные 2st'!$Q$2:$Q$317=$A85),--ISNUMBER('Данные 2st'!$FB$2:$FB$317))</f>
        <v>2</v>
      </c>
      <c r="MH85">
        <f>SUMPRODUCT(--('Данные 2st'!$Q$2:$Q$317=$A85),--ISNUMBER('Данные 2st'!$FC$2:$FC$317))</f>
        <v>2</v>
      </c>
      <c r="MI85">
        <f>SUMPRODUCT(--('Данные 2st'!$Q$2:$Q$317=$A85),--ISNUMBER('Данные 2st'!$FD$2:$FD$317))</f>
        <v>2</v>
      </c>
      <c r="MJ85">
        <f>SUMPRODUCT(--('Данные 2st'!$Q$2:$Q$317=$A85),--ISNUMBER('Данные 2st'!$FE$2:$FE$317))</f>
        <v>2</v>
      </c>
      <c r="MK85">
        <f>SUMPRODUCT(--('Данные 2st'!$Q$2:$Q$317=$A85),--ISNUMBER('Данные 2st'!$FG$2:$FG$317))</f>
        <v>2</v>
      </c>
      <c r="ML85">
        <f>SUMPRODUCT(--('Данные 2st'!$Q$2:$Q$317=$A85),--ISNUMBER('Данные 2st'!$FI$2:$FI$317))</f>
        <v>2</v>
      </c>
      <c r="MM85">
        <f>SUMPRODUCT(--('Данные 2st'!$Q$2:$Q$317=$A85),--ISNUMBER('Данные 2st'!$FJ$2:$FJ$317))</f>
        <v>2</v>
      </c>
      <c r="MN85">
        <f>SUMPRODUCT(--('Данные 2st'!$Q$2:$Q$317=$A85),--ISNUMBER('Данные 2st'!$FK$2:$FK$317))</f>
        <v>2</v>
      </c>
      <c r="MO85">
        <f>SUMPRODUCT(--('Данные 2st'!$Q$2:$Q$317=$A85),--ISNUMBER('Данные 2st'!$FP$2:$FP$317))</f>
        <v>2</v>
      </c>
      <c r="MP85">
        <f>SUMPRODUCT(--('Данные 2st'!$Q$2:$Q$317=$A85),--ISNUMBER('Данные 2st'!$FQ$2:$FQ$317))</f>
        <v>2</v>
      </c>
      <c r="MQ85">
        <f>SUMPRODUCT(--('Данные 2st'!$Q$2:$Q$317=$A85),--ISNUMBER('Данные 2st'!$FS$2:$FS$317))</f>
        <v>2</v>
      </c>
      <c r="MR85">
        <f>SUMPRODUCT(--('Данные 2st'!$Q$2:$Q$317=$A85),--ISNUMBER('Данные 2st'!$FU$2:$FU$317))</f>
        <v>2</v>
      </c>
      <c r="MS85">
        <f>SUMPRODUCT(--('Данные 2st'!$Q$2:$Q$317=$A85),--ISNUMBER('Данные 2st'!$FV$2:$FV$317))</f>
        <v>2</v>
      </c>
      <c r="MT85">
        <f>SUMPRODUCT(--('Данные 2st'!$Q$2:$Q$317=$A85),--ISNUMBER('Данные 2st'!$FW$2:$FW$317))</f>
        <v>2</v>
      </c>
      <c r="MU85">
        <f>SUMPRODUCT(--('Данные 2st'!$Q$2:$Q$317=$A85),--ISNUMBER('Данные 2st'!$FY$2:$FY$317))</f>
        <v>2</v>
      </c>
      <c r="MV85">
        <f>SUMPRODUCT(--('Данные 2st'!$Q$2:$Q$317=$A85),--ISNUMBER('Данные 2st'!$GB$2:$GB$317))</f>
        <v>2</v>
      </c>
      <c r="MW85">
        <f>SUMPRODUCT(--('Данные 2st'!$Q$2:$Q$317=$A85),--ISNUMBER('Данные 2st'!$GC$2:$GC$317))</f>
        <v>2</v>
      </c>
      <c r="MX85">
        <f>SUMPRODUCT(--('Данные 2st'!$Q$2:$Q$317=$A85),--ISNUMBER('Данные 2st'!$GD$2:$GD$317))</f>
        <v>2</v>
      </c>
      <c r="MY85">
        <f>SUMPRODUCT(--('Данные 2st'!$Q$2:$Q$317=$A85),--ISNUMBER('Данные 2st'!$GN$2:$GN$317))</f>
        <v>0</v>
      </c>
      <c r="MZ85">
        <f>SUMPRODUCT(--('Данные 2st'!$Q$2:$Q$317=$A85),--ISNUMBER('Данные 2st'!$GQ$2:$GQ$317))</f>
        <v>2</v>
      </c>
      <c r="NA85">
        <f>SUMPRODUCT(--('Данные 2st'!$Q$2:$Q$317=$A85),--ISNUMBER('Данные 2st'!$GV$2:$GV$317))</f>
        <v>2</v>
      </c>
      <c r="NB85">
        <f>SUMPRODUCT(--('Данные 2st'!$Q$2:$Q$317=$A85),--ISNUMBER('Данные 2st'!$GW$2:$GW$317))</f>
        <v>2</v>
      </c>
      <c r="NC85">
        <f>SUMPRODUCT(--('Данные 2st'!$Q$2:$Q$317=$A85),--ISNUMBER('Данные 2st'!$GX$2:$GX$317))</f>
        <v>2</v>
      </c>
      <c r="ND85">
        <f>SUMPRODUCT(--('Данные 2st'!$Q$2:$Q$317=$A85),--ISNUMBER('Данные 2st'!$GY$2:$GY$317))</f>
        <v>2</v>
      </c>
      <c r="NE85">
        <f>SUMPRODUCT(--('Данные 2st'!$Q$2:$Q$317=$A85),--ISNUMBER('Данные 2st'!$GZ$2:$GZ$317))</f>
        <v>2</v>
      </c>
      <c r="NF85">
        <f>SUMPRODUCT(--('Данные 2st'!$Q$2:$Q$317=$A85),--ISNUMBER('Данные 2st'!$HA$2:$HA$317))</f>
        <v>2</v>
      </c>
      <c r="NG85">
        <f>SUMPRODUCT(--('Данные 2st'!$Q$2:$Q$317=$A85),--ISNUMBER('Данные 2st'!$HB$2:$HB$317))</f>
        <v>2</v>
      </c>
      <c r="NH85">
        <f>SUMPRODUCT(--('Данные 2st'!$Q$2:$Q$317=$A85),--ISNUMBER('Данные 2st'!$HC$2:$HC$317))</f>
        <v>2</v>
      </c>
      <c r="NI85">
        <f>SUMPRODUCT(--('Данные 2st'!$Q$2:$Q$317=$A85),--ISNUMBER('Данные 2st'!$HD$2:$HD$317))</f>
        <v>2</v>
      </c>
      <c r="NJ85">
        <f>SUMPRODUCT(--('Данные 2st'!$Q$2:$Q$317=$A85),--ISNUMBER('Данные 2st'!$HM$2:$HM$317))</f>
        <v>2</v>
      </c>
      <c r="NK85">
        <f>SUMPRODUCT(--('Данные 2st'!$Q$2:$Q$317=$A85),--ISNUMBER('Данные 2st'!$HR$2:$HR$317))</f>
        <v>2</v>
      </c>
      <c r="NL85">
        <f>SUMPRODUCT(--('Данные 2st'!$Q$2:$Q$317=$A85),--ISNUMBER('Данные 2st'!$HS$2:$HS$317))</f>
        <v>2</v>
      </c>
      <c r="NM85">
        <f>SUMPRODUCT(--('Данные 2st'!$Q$2:$Q$317=$A85),--ISNUMBER('Данные 2st'!$HT$2:$HT$317))</f>
        <v>2</v>
      </c>
      <c r="NN85">
        <f>SUMPRODUCT(--('Данные 2st'!$Q$2:$Q$317=$A85),--ISNUMBER('Данные 2st'!$HY$2:$HY$317))</f>
        <v>2</v>
      </c>
      <c r="NO85">
        <f>SUMPRODUCT(--('Данные 2st'!$Q$2:$Q$317=$A85),--ISNUMBER('Данные 2st'!$HZ$2:$HZ$317))</f>
        <v>2</v>
      </c>
      <c r="NP85">
        <f>SUMPRODUCT(--('Данные 2st'!$Q$2:$Q$317=$A85),--ISNUMBER('Данные 2st'!$IA$2:$IA$317))</f>
        <v>2</v>
      </c>
      <c r="NQ85">
        <f>SUMPRODUCT(--('Данные 2st'!$Q$2:$Q$317=$A85),--ISNUMBER('Данные 2st'!$IB$2:$IB$317))</f>
        <v>2</v>
      </c>
      <c r="NR85">
        <f>SUMPRODUCT(--('Данные 2st'!$Q$2:$Q$317=$A85),--ISNUMBER('Данные 2st'!$IC$2:$IC$317))</f>
        <v>0</v>
      </c>
      <c r="NS85">
        <f>SUMPRODUCT(--('Данные 2st'!$Q$2:$Q$317=$A85),--ISNUMBER('Данные 2st'!$ID$2:$ID$317))</f>
        <v>2</v>
      </c>
      <c r="NT85">
        <f>SUMPRODUCT(--('Данные 2st'!$Q$2:$Q$317=$A85),--ISNUMBER('Данные 2st'!$IE$2:$IE$317))</f>
        <v>2</v>
      </c>
      <c r="NU85">
        <f>SUMPRODUCT(--('Данные 2st'!$Q$2:$Q$317=$A85),--ISNUMBER('Данные 2st'!$IF$2:$IF$317))</f>
        <v>2</v>
      </c>
      <c r="NV85">
        <f>SUMPRODUCT(--('Данные 2st'!$Q$2:$Q$317=$A85),--ISNUMBER('Данные 2st'!$IG$2:$IG$317))</f>
        <v>2</v>
      </c>
      <c r="NW85">
        <f>SUMPRODUCT(--('Данные 2st'!$Q$2:$Q$317=$A85),--ISNUMBER('Данные 2st'!$IH$2:$IH$317))</f>
        <v>2</v>
      </c>
      <c r="NX85">
        <f>SUMPRODUCT(--('Данные 2st'!$Q$2:$Q$317=$A85),--ISNUMBER('Данные 2st'!$IJ$2:$IJ$317))</f>
        <v>2</v>
      </c>
      <c r="NY85">
        <f>SUMPRODUCT(--('Данные 2st'!$Q$2:$Q$317=$A85),--ISNUMBER('Данные 2st'!$IM$2:$IM$317))</f>
        <v>2</v>
      </c>
      <c r="NZ85">
        <f>SUMPRODUCT(--('Данные 2st'!$Q$2:$Q$317=$A85),--ISNUMBER('Данные 2st'!$IN$2:$IN$317))</f>
        <v>2</v>
      </c>
      <c r="OA85">
        <f>SUMPRODUCT(--('Данные 2st'!$Q$2:$Q$317=$A85),--ISNUMBER('Данные 2st'!$IO$2:$IO$317))</f>
        <v>2</v>
      </c>
      <c r="OB85">
        <f>SUMPRODUCT(--('Данные 2st'!$Q$2:$Q$317=$A85),--ISNUMBER('Данные 2st'!$IP$2:$IP$317))</f>
        <v>2</v>
      </c>
      <c r="OC85">
        <f>SUMPRODUCT(--('Данные 2st'!$Q$2:$Q$317=$A85),--ISNUMBER('Данные 2st'!$IQ$2:$IQ$317))</f>
        <v>2</v>
      </c>
      <c r="OD85">
        <f>SUMPRODUCT(--('Данные 2st'!$Q$2:$Q$317=$A85),--ISNUMBER('Данные 2st'!$IR$2:$IR$317))</f>
        <v>2</v>
      </c>
      <c r="OE85">
        <f>SUMPRODUCT(--('Данные 2st'!$Q$2:$Q$317=$A85),--ISNUMBER('Данные 2st'!$IT$2:$IT$317))</f>
        <v>2</v>
      </c>
      <c r="OF85">
        <f>SUMPRODUCT(--('Данные 2st'!$Q$2:$Q$317=$A85),--ISNUMBER('Данные 2st'!$IU$2:$IU$317))</f>
        <v>2</v>
      </c>
      <c r="OG85">
        <f>SUMPRODUCT(--('Данные 2st'!$Q$2:$Q$317=$A85),--ISNUMBER('Данные 2st'!$IV$2:$IV$317))</f>
        <v>2</v>
      </c>
      <c r="OH85">
        <f>SUMPRODUCT(--('Данные 2st'!$Q$2:$Q$317=$A85),--ISNUMBER('Данные 2st'!$IW$2:$IW$317))</f>
        <v>2</v>
      </c>
      <c r="OI85">
        <f>SUMPRODUCT(--('Данные 2st'!$Q$2:$Q$317=$A85),--ISNUMBER('Данные 2st'!$IX$2:$IX$317))</f>
        <v>2</v>
      </c>
      <c r="OJ85">
        <f>SUMPRODUCT(--('Данные 2st'!$Q$2:$Q$317=$A85),--ISNUMBER('Данные 2st'!$IY$2:$IY$317))</f>
        <v>2</v>
      </c>
      <c r="OK85">
        <f>SUMPRODUCT(--('Данные 2st'!$Q$2:$Q$317=$A85),--ISNUMBER('Данные 2st'!$IZ$2:$IZ$317))</f>
        <v>2</v>
      </c>
      <c r="OL85">
        <f>SUMPRODUCT(--('Данные 2st'!$Q$2:$Q$317=$A85),--ISNUMBER('Данные 2st'!$JA$2:$JA$317))</f>
        <v>2</v>
      </c>
      <c r="OM85">
        <f>SUMPRODUCT(--('Данные 2st'!$Q$2:$Q$317=$A85),--ISNUMBER('Данные 2st'!$JB$2:$JB$317))</f>
        <v>2</v>
      </c>
      <c r="ON85">
        <f>SUMPRODUCT(--('Данные 2st'!$Q$2:$Q$317=$A85),--ISNUMBER('Данные 2st'!$JC$2:$JC$317))</f>
        <v>2</v>
      </c>
      <c r="OO85">
        <f>SUMPRODUCT(--('Данные 2st'!$Q$2:$Q$317=$A85),--ISNUMBER('Данные 2st'!$JD$2:$JD$317))</f>
        <v>2</v>
      </c>
      <c r="OP85">
        <f>SUMPRODUCT(--('Данные 2st'!$Q$2:$Q$317=$A85),--ISNUMBER('Данные 2st'!$JE$2:$JE$317))</f>
        <v>2</v>
      </c>
      <c r="OQ85">
        <f>SUMPRODUCT(--('Данные 2st'!$Q$2:$Q$317=$A85),--ISNUMBER('Данные 2st'!$JF$2:$JF$317))</f>
        <v>2</v>
      </c>
      <c r="OR85">
        <f>SUMPRODUCT(--('Данные 2st'!$Q$2:$Q$317=$A85),--ISNUMBER('Данные 2st'!$JG$2:$JG$317))</f>
        <v>2</v>
      </c>
      <c r="OS85">
        <f>SUMPRODUCT(--('Данные 2st'!$Q$2:$Q$317=$A85),--ISNUMBER('Данные 2st'!$JH$2:$JH$317))</f>
        <v>2</v>
      </c>
      <c r="OT85">
        <f>SUMPRODUCT(--('Данные 2st'!$Q$2:$Q$317=$A85),--ISNUMBER('Данные 2st'!$JI$2:$JI$317))</f>
        <v>2</v>
      </c>
      <c r="OU85">
        <f>SUMPRODUCT(--('Данные 2st'!$Q$2:$Q$317=$A85),--ISNUMBER('Данные 2st'!$JJ$2:$JJ$317))</f>
        <v>2</v>
      </c>
      <c r="OV85">
        <f>SUMPRODUCT(--('Данные 2st'!$Q$2:$Q$317=$A85),--ISNUMBER('Данные 2st'!$JK$2:$JK$317))</f>
        <v>2</v>
      </c>
      <c r="OW85">
        <f>SUMPRODUCT(--('Данные 2st'!$Q$2:$Q$317=$A85),--ISNUMBER('Данные 2st'!$JL$2:$JL$317))</f>
        <v>2</v>
      </c>
      <c r="OX85">
        <f>SUMPRODUCT(--('Данные 2st'!$Q$2:$Q$317=$A85),--ISNUMBER('Данные 2st'!$JM$2:$JM$317))</f>
        <v>2</v>
      </c>
      <c r="OY85">
        <f>SUMPRODUCT(--('Данные 2st'!$Q$2:$Q$317=$A85),--ISNUMBER('Данные 2st'!$JP$2:$JP$317))</f>
        <v>2</v>
      </c>
      <c r="OZ85">
        <f>SUMPRODUCT(--('Данные 2st'!$Q$2:$Q$317=$A85),--ISNUMBER('Данные 2st'!$JQ$2:$JQ$317))</f>
        <v>2</v>
      </c>
      <c r="PA85">
        <f>SUMPRODUCT(--('Данные 2st'!$Q$2:$Q$317=$A85),--ISNUMBER('Данные 2st'!$JR$2:$JR$317))</f>
        <v>2</v>
      </c>
      <c r="PB85">
        <f>SUMPRODUCT(--('Данные 2st'!$Q$2:$Q$317=$A85),--ISNUMBER('Данные 2st'!$JS$2:$JS$317))</f>
        <v>2</v>
      </c>
      <c r="PC85">
        <f>SUMPRODUCT(--('Данные 2st'!$Q$2:$Q$317=$A85),--ISNUMBER('Данные 2st'!$JT$2:$JT$317))</f>
        <v>2</v>
      </c>
      <c r="PD85">
        <f>SUMPRODUCT(--('Данные 2st'!$Q$2:$Q$317=$A85),--ISNUMBER('Данные 2st'!$JU$2:$JU$317))</f>
        <v>2</v>
      </c>
      <c r="PE85">
        <f>SUMPRODUCT(--('Данные 2st'!$Q$2:$Q$317=$A85),--ISNUMBER('Данные 2st'!$JV$2:$JV$317))</f>
        <v>2</v>
      </c>
      <c r="PF85">
        <f>SUMPRODUCT(--('Данные 2st'!$Q$2:$Q$317=$A85),--ISNUMBER('Данные 2st'!$JW$2:$JW$317))</f>
        <v>2</v>
      </c>
      <c r="PG85">
        <f>SUMPRODUCT(--('Данные 2st'!$Q$2:$Q$317=$A85),--ISNUMBER('Данные 2st'!$KF$2:$KF$317))</f>
        <v>2</v>
      </c>
      <c r="PH85">
        <f>SUMPRODUCT(--('Данные 2st'!$Q$2:$Q$317=$A85),--ISNUMBER('Данные 2st'!$KG$2:$KG$317))</f>
        <v>2</v>
      </c>
      <c r="PI85">
        <f>SUMPRODUCT(--('Данные 2st'!$Q$2:$Q$317=$A85),--ISNUMBER('Данные 2st'!$KM$2:$KM$317))</f>
        <v>2</v>
      </c>
      <c r="PJ85">
        <f>SUMPRODUCT(--('Данные 2st'!$Q$2:$Q$317=$A85),--ISNUMBER('Данные 2st'!$KN$2:$KN$317))</f>
        <v>2</v>
      </c>
      <c r="PK85">
        <f>SUMPRODUCT(--('Данные 2st'!$Q$2:$Q$317=$A85),--ISNUMBER('Данные 2st'!$KO$2:$KO$317))</f>
        <v>2</v>
      </c>
      <c r="PL85">
        <f>SUMPRODUCT(--('Данные 2st'!$Q$2:$Q$317=$A85),--ISNUMBER('Данные 2st'!$KP$2:$KP$317))</f>
        <v>2</v>
      </c>
      <c r="PM85">
        <f>SUMPRODUCT(--('Данные 2st'!$Q$2:$Q$317=$A85),--ISNUMBER('Данные 2st'!$KQ$2:$KQ$317))</f>
        <v>2</v>
      </c>
      <c r="PN85">
        <f>SUMPRODUCT(--('Данные 2st'!$Q$2:$Q$317=$A85),--ISNUMBER('Данные 2st'!$KR$2:$KR$317))</f>
        <v>2</v>
      </c>
      <c r="PO85">
        <f>SUMPRODUCT(--('Данные 2st'!$Q$2:$Q$317=$A85),--ISNUMBER('Данные 2st'!$KS$2:$KS$317))</f>
        <v>2</v>
      </c>
      <c r="PP85">
        <f>SUMPRODUCT(--('Данные 2st'!$Q$2:$Q$317=$A85),--ISNUMBER('Данные 2st'!$KT$2:$KT$317))</f>
        <v>2</v>
      </c>
      <c r="PQ85">
        <f>SUMPRODUCT(--('Данные 2st'!$Q$2:$Q$317=$A85),--ISNUMBER('Данные 2st'!$KU$2:$KU$317))</f>
        <v>2</v>
      </c>
      <c r="PR85">
        <f>SUMPRODUCT(--('Данные 2st'!$Q$2:$Q$317=$A85),--ISNUMBER('Данные 2st'!$KV$2:$KV$317))</f>
        <v>2</v>
      </c>
      <c r="PS85">
        <f>SUMPRODUCT(--('Данные 2st'!$Q$2:$Q$317=$A85),--ISNUMBER('Данные 2st'!$KW$2:$KW$317))</f>
        <v>2</v>
      </c>
      <c r="PT85">
        <f>SUMPRODUCT(--('Данные 2st'!$Q$2:$Q$317=$A85),--ISNUMBER('Данные 2st'!$KX$2:$KX$317))</f>
        <v>2</v>
      </c>
      <c r="PU85">
        <f>SUMPRODUCT(--('Данные 2st'!$Q$2:$Q$317=$A85),--ISNUMBER('Данные 2st'!$KY$2:$KY$317))</f>
        <v>2</v>
      </c>
      <c r="PV85">
        <f>SUMPRODUCT(--('Данные 2st'!$Q$2:$Q$317=$A85),--ISNUMBER('Данные 2st'!$KZ$2:$KZ$317))</f>
        <v>2</v>
      </c>
      <c r="PW85">
        <f>SUMPRODUCT(--('Данные 2st'!$Q$2:$Q$317=$A85),--ISNUMBER('Данные 2st'!$LA$2:$LA$317))</f>
        <v>2</v>
      </c>
      <c r="PX85">
        <f>SUMPRODUCT(--('Данные 2st'!$Q$2:$Q$317=$A85),--ISNUMBER('Данные 2st'!$LB$2:$LB$317))</f>
        <v>2</v>
      </c>
      <c r="PY85">
        <f>SUMPRODUCT(--('Данные 2st'!$Q$2:$Q$317=$A85),--ISNUMBER('Данные 2st'!$LC$2:$LC$317))</f>
        <v>2</v>
      </c>
      <c r="PZ85">
        <f>SUMPRODUCT(--('Данные 2st'!$Q$2:$Q$317=$A85),--ISNUMBER('Данные 2st'!$LD$2:$LD$317))</f>
        <v>2</v>
      </c>
      <c r="QA85">
        <f>SUMPRODUCT(--('Данные 2st'!$Q$2:$Q$317=$A85),--ISNUMBER('Данные 2st'!$LE$2:$LE$317))</f>
        <v>2</v>
      </c>
      <c r="QB85">
        <f>SUMPRODUCT(--('Данные 2st'!$Q$2:$Q$317=$A85),--ISNUMBER('Данные 2st'!$LF$2:$LF$317))</f>
        <v>2</v>
      </c>
      <c r="QC85">
        <f>SUMPRODUCT(--('Данные 2st'!$Q$2:$Q$317=$A85),--ISNUMBER('Данные 2st'!$LG$2:$LG$317))</f>
        <v>2</v>
      </c>
      <c r="QD85">
        <f>SUMPRODUCT(--('Данные 2st'!$Q$2:$Q$317=$A85),--ISNUMBER('Данные 2st'!$LH$2:$LH$317))</f>
        <v>2</v>
      </c>
      <c r="QE85">
        <f>SUMPRODUCT(--('Данные 2st'!$Q$2:$Q$317=$A85),--ISNUMBER('Данные 2st'!$LJ$2:$LJ$317))</f>
        <v>2</v>
      </c>
      <c r="QF85">
        <f>SUMPRODUCT(--('Данные 2st'!$Q$2:$Q$317=$A85),--ISNUMBER('Данные 2st'!$LK$2:$LK$317))</f>
        <v>2</v>
      </c>
      <c r="QG85">
        <f>SUMPRODUCT(--('Данные 2st'!$Q$2:$Q$317=$A85),--ISNUMBER('Данные 2st'!$LL$2:$LL$317))</f>
        <v>2</v>
      </c>
      <c r="QH85">
        <f>SUMPRODUCT(--('Данные 2st'!$Q$2:$Q$317=$A85),--ISNUMBER('Данные 2st'!$LM$2:$LM$317))</f>
        <v>2</v>
      </c>
      <c r="QI85">
        <f>SUMPRODUCT(--('Данные 2st'!$Q$2:$Q$317=$A85),--ISNUMBER('Данные 2st'!$LN$2:$LN$317))</f>
        <v>2</v>
      </c>
      <c r="QJ85">
        <f>SUMPRODUCT(--('Данные 2st'!$Q$2:$Q$317=$A85),--ISNUMBER('Данные 2st'!$LO$2:$LO$317))</f>
        <v>2</v>
      </c>
      <c r="QK85">
        <f>SUMPRODUCT(--('Данные 2st'!$Q$2:$Q$317=$A85),--ISNUMBER('Данные 2st'!$LP$2:$LP$317))</f>
        <v>2</v>
      </c>
      <c r="QL85">
        <f>SUMPRODUCT(--('Данные 2st'!$Q$2:$Q$317=$A85),--ISNUMBER('Данные 2st'!$LQ$2:$LQ$317))</f>
        <v>2</v>
      </c>
      <c r="QM85">
        <f>SUMPRODUCT(--('Данные 2st'!$Q$2:$Q$317=$A85),--ISNUMBER('Данные 2st'!$LW$2:$LW$317))</f>
        <v>2</v>
      </c>
      <c r="QN85">
        <f>SUMPRODUCT(--('Данные 2st'!$Q$2:$Q$317=$A85),--ISNUMBER('Данные 2st'!$LX$2:$LX$317))</f>
        <v>2</v>
      </c>
      <c r="QO85">
        <f>SUMPRODUCT(--('Данные 2st'!$Q$2:$Q$317=$A85),--ISNUMBER('Данные 2st'!$LY$2:$LY$317))</f>
        <v>2</v>
      </c>
      <c r="QP85">
        <f>SUMPRODUCT(--('Данные 2st'!$Q$2:$Q$317=$A85),--ISNUMBER('Данные 2st'!$LZ$2:$LZ$317))</f>
        <v>2</v>
      </c>
      <c r="QQ85">
        <f>SUMPRODUCT(--('Данные 2st'!$Q$2:$Q$317=$A85),--ISNUMBER('Данные 2st'!$MB$2:$MB$317))</f>
        <v>2</v>
      </c>
      <c r="QR85">
        <f>SUMPRODUCT(--('Данные 2st'!$Q$2:$Q$317=$A85),--ISNUMBER('Данные 2st'!$MG$2:$MG$317))</f>
        <v>2</v>
      </c>
      <c r="QS85">
        <f>SUMPRODUCT(--('Данные 2st'!$Q$2:$Q$317=$A85),--ISNUMBER('Данные 2st'!$MH$2:$MH$317))</f>
        <v>2</v>
      </c>
      <c r="QT85">
        <f>SUMPRODUCT(--('Данные 2st'!$Q$2:$Q$317=$A85),--ISNUMBER('Данные 2st'!$MI$2:$MI$317))</f>
        <v>2</v>
      </c>
      <c r="QU85">
        <f>SUMPRODUCT(--('Данные 2st'!$Q$2:$Q$317=$A85),--ISNUMBER('Данные 2st'!$MJ$2:$MJ$317))</f>
        <v>2</v>
      </c>
      <c r="QV85">
        <f>SUMPRODUCT(--('Данные 2st'!$Q$2:$Q$317=$A85),--ISNUMBER('Данные 2st'!$MK$2:$MK$317))</f>
        <v>2</v>
      </c>
      <c r="QW85">
        <f>SUMPRODUCT(--('Данные 2st'!$Q$2:$Q$317=$A85),--ISNUMBER('Данные 2st'!$MM$2:$MM$317))</f>
        <v>2</v>
      </c>
      <c r="QX85">
        <f>SUMPRODUCT(--('Данные 2st'!$Q$2:$Q$317=$A85),--ISNUMBER('Данные 2st'!$MQ$2:$MQ$317))</f>
        <v>0</v>
      </c>
      <c r="QY85">
        <f>SUMPRODUCT(--('Данные 2st'!$Q$2:$Q$317=$A85),--ISNUMBER('Данные 2st'!$MR$2:$MR$317))</f>
        <v>0</v>
      </c>
      <c r="QZ85">
        <f>SUMPRODUCT(--('Данные 2st'!$Q$2:$Q$317=$A85),--ISNUMBER('Данные 2st'!$MS$2:$MS$317))</f>
        <v>0</v>
      </c>
      <c r="RA85">
        <f>SUMPRODUCT(--('Данные 2st'!$Q$2:$Q$317=$A85),--ISNUMBER('Данные 2st'!$MT$2:$MT$317))</f>
        <v>0</v>
      </c>
      <c r="RB85">
        <f>SUMPRODUCT(--('Данные 2st'!$Q$2:$Q$317=$A85),--ISNUMBER('Данные 2st'!$MU$2:$MU$317))</f>
        <v>0</v>
      </c>
      <c r="RC85">
        <f>SUMPRODUCT(--('Данные 2st'!$Q$2:$Q$317=$A85),--ISNUMBER('Данные 2st'!$MV$2:$MV$317))</f>
        <v>0</v>
      </c>
      <c r="RD85">
        <f>SUMPRODUCT(--('Данные 2st'!$Q$2:$Q$317=$A85),--ISNUMBER('Данные 2st'!$MW$2:$MW$317))</f>
        <v>0</v>
      </c>
      <c r="RE85">
        <f>SUMPRODUCT(--('Данные 2st'!$Q$2:$Q$317=$A85),--ISNUMBER('Данные 2st'!$MX$2:$MX$317))</f>
        <v>0</v>
      </c>
      <c r="RF85">
        <f>SUMPRODUCT(--('Данные 2st'!$Q$2:$Q$317=$A85),--ISNUMBER('Данные 2st'!$MY$2:$MY$317))</f>
        <v>0</v>
      </c>
      <c r="RG85">
        <f>SUMPRODUCT(--('Данные 2st'!$Q$2:$Q$317=$A85),--ISNUMBER('Данные 2st'!$MZ$2:$MZ$317))</f>
        <v>0</v>
      </c>
      <c r="RH85">
        <f>SUMPRODUCT(--('Данные 2st'!$Q$2:$Q$317=$A85),--ISNUMBER('Данные 2st'!$NA$2:$NA$317))</f>
        <v>0</v>
      </c>
      <c r="RI85">
        <f>SUMPRODUCT(--('Данные 2st'!$Q$2:$Q$317=$A85),--ISNUMBER('Данные 2st'!$NB$2:$NB$317))</f>
        <v>0</v>
      </c>
      <c r="RJ85">
        <f>SUMPRODUCT(--('Данные 2st'!$Q$2:$Q$317=$A85),--ISNUMBER('Данные 2st'!$NC$2:$NC$317))</f>
        <v>0</v>
      </c>
      <c r="RK85">
        <f>SUMPRODUCT(--('Данные 2st'!$Q$2:$Q$317=$A85),--ISNUMBER('Данные 2st'!$ND$2:$ND$317))</f>
        <v>0</v>
      </c>
      <c r="RL85">
        <f>SUMPRODUCT(--('Данные 2st'!$Q$2:$Q$317=$A85),--ISNUMBER('Данные 2st'!$NE$2:$NE$317))</f>
        <v>0</v>
      </c>
      <c r="RM85">
        <f>SUMPRODUCT(--('Данные 2st'!$Q$2:$Q$317=$A85),--ISNUMBER('Данные 2st'!$NF$2:$NF$317))</f>
        <v>0</v>
      </c>
      <c r="RN85">
        <f>SUMPRODUCT(--('Данные 2st'!$Q$2:$Q$317=$A85),--ISNUMBER('Данные 2st'!$NG$2:$NG$317))</f>
        <v>0</v>
      </c>
      <c r="RO85">
        <f>SUMPRODUCT(--('Данные 2st'!$Q$2:$Q$317=$A85),--ISNUMBER('Данные 2st'!$NH$2:$NH$317))</f>
        <v>0</v>
      </c>
      <c r="RP85">
        <f>SUMPRODUCT(--('Данные 2st'!$Q$2:$Q$317=$A85),--ISNUMBER('Данные 2st'!$NJ$2:$NJ$317))</f>
        <v>0</v>
      </c>
      <c r="RQ85">
        <f>SUMPRODUCT(--('Данные 2st'!$Q$2:$Q$317=$A85),--ISNUMBER('Данные 2st'!$NK$2:$NK$317))</f>
        <v>0</v>
      </c>
      <c r="RR85">
        <f>SUMPRODUCT(--('Данные 2st'!$Q$2:$Q$317=$A85),--ISNUMBER('Данные 2st'!$NM$2:$NM$317))</f>
        <v>0</v>
      </c>
      <c r="RS85">
        <f>SUMPRODUCT(--('Данные 2st'!$Q$2:$Q$317=$A85),--ISNUMBER('Данные 2st'!$NN$2:$NN$317))</f>
        <v>0</v>
      </c>
      <c r="RT85">
        <f>SUMPRODUCT(--('Данные 2st'!$Q$2:$Q$317=$A85),--ISNUMBER('Данные 2st'!$NO$2:$NO$317))</f>
        <v>0</v>
      </c>
      <c r="RU85">
        <f>SUMPRODUCT(--('Данные 2st'!$Q$2:$Q$317=$A85),--ISNUMBER('Данные 2st'!$NP$2:$NP$317))</f>
        <v>0</v>
      </c>
      <c r="RV85">
        <f>SUMPRODUCT(--('Данные 2st'!$Q$2:$Q$317=$A85),--ISNUMBER('Данные 2st'!$NQ$2:$NQ$317))</f>
        <v>0</v>
      </c>
      <c r="RW85">
        <f>SUMPRODUCT(--('Данные 2st'!$Q$2:$Q$317=$A85),--ISNUMBER('Данные 2st'!$NR$2:$NR$317))</f>
        <v>0</v>
      </c>
      <c r="RX85">
        <f>SUMPRODUCT(--('Данные 2st'!$Q$2:$Q$317=$A85),--ISNUMBER('Данные 2st'!$NS$2:$NS$317))</f>
        <v>0</v>
      </c>
      <c r="RY85">
        <f>SUMPRODUCT(--('Данные 2st'!$Q$2:$Q$317=$A85),--ISNUMBER('Данные 2st'!$NT$2:$NT$317))</f>
        <v>0</v>
      </c>
      <c r="RZ85">
        <f>SUMPRODUCT(--('Данные 2st'!$Q$2:$Q$317=$A85),--ISNUMBER('Данные 2st'!$OK$2:$OK$317))</f>
        <v>2</v>
      </c>
      <c r="SA85">
        <f>SUMPRODUCT(--('Данные 2st'!$Q$2:$Q$317=$A85),--ISNUMBER('Данные 2st'!$OL$2:$OL$317))</f>
        <v>2</v>
      </c>
      <c r="SB85">
        <f>SUMPRODUCT(--('Данные 2st'!$Q$2:$Q$317=$A85),--ISNUMBER('Данные 2st'!$ON$2:$ON$317))</f>
        <v>2</v>
      </c>
      <c r="SC85">
        <f>SUMPRODUCT(--('Данные 2st'!$Q$2:$Q$317=$A85),--ISNUMBER('Данные 2st'!$OO$2:$OO$317))</f>
        <v>2</v>
      </c>
      <c r="SD85">
        <f>SUMPRODUCT(--('Данные 2st'!$Q$2:$Q$317=$A85),--ISNUMBER('Данные 2st'!$OP$2:$OP$317))</f>
        <v>2</v>
      </c>
      <c r="SE85">
        <f>SUMPRODUCT(--('Данные 2st'!$Q$2:$Q$317=$A85),--ISNUMBER('Данные 2st'!$OQ$2:$OQ$317))</f>
        <v>2</v>
      </c>
      <c r="SF85">
        <f>SUMPRODUCT(--('Данные 2st'!$Q$2:$Q$317=$A85),--ISNUMBER('Данные 2st'!$OS$2:$OS$317))</f>
        <v>2</v>
      </c>
      <c r="SG85">
        <f>SUMPRODUCT(--('Данные 2st'!$Q$2:$Q$317=$A85),--ISNUMBER('Данные 2st'!$OT$2:$OT$317))</f>
        <v>2</v>
      </c>
      <c r="SH85">
        <f>SUMPRODUCT(--('Данные 2st'!$Q$2:$Q$317=$A85),--ISNUMBER('Данные 2st'!$OU$2:$OU$317))</f>
        <v>2</v>
      </c>
      <c r="SI85">
        <f>SUMPRODUCT(--('Данные 2st'!$Q$2:$Q$317=$A85),--ISNUMBER('Данные 2st'!$OV$2:$OV$317))</f>
        <v>2</v>
      </c>
      <c r="SJ85">
        <f>SUMPRODUCT(--('Данные 2st'!$Q$2:$Q$317=$A85),--ISNUMBER('Данные 2st'!$OX$2:$OX$317))</f>
        <v>2</v>
      </c>
      <c r="SK85">
        <f>SUMPRODUCT(--('Данные 2st'!$Q$2:$Q$317=$A85),--ISNUMBER('Данные 2st'!$OY$2:$OY$317))</f>
        <v>2</v>
      </c>
      <c r="SL85">
        <f>SUMPRODUCT(--('Данные 2st'!$Q$2:$Q$317=$A85),--ISNUMBER('Данные 2st'!$OZ$2:$OZ$317))</f>
        <v>2</v>
      </c>
      <c r="SM85">
        <f>SUMPRODUCT(--('Данные 2st'!$Q$2:$Q$317=$A85),--ISNUMBER('Данные 2st'!$PA$2:$PA$317))</f>
        <v>2</v>
      </c>
      <c r="SN85">
        <f>SUMPRODUCT(--('Данные 2st'!$Q$2:$Q$317=$A85),--ISNUMBER('Данные 2st'!$PC$2:$PC$317))</f>
        <v>2</v>
      </c>
      <c r="SO85">
        <f>SUMPRODUCT(--('Данные 2st'!$Q$2:$Q$317=$A85),--ISNUMBER('Данные 2st'!$PD$2:$PD$317))</f>
        <v>2</v>
      </c>
      <c r="SP85">
        <f>SUMPRODUCT(--('Данные 2st'!$Q$2:$Q$317=$A85),--ISNUMBER('Данные 2st'!$PF$2:$PF$317))</f>
        <v>2</v>
      </c>
      <c r="SQ85">
        <f>SUMPRODUCT(--('Данные 2st'!$Q$2:$Q$317=$A85),--ISNUMBER('Данные 2st'!$PG$2:$PG$317))</f>
        <v>2</v>
      </c>
      <c r="SR85">
        <f>SUMPRODUCT(--('Данные 2st'!$Q$2:$Q$317=$A85),--ISNUMBER('Данные 2st'!$PH$2:$PH$317))</f>
        <v>2</v>
      </c>
      <c r="SS85">
        <f>SUMPRODUCT(--('Данные 2st'!$Q$2:$Q$317=$A85),--ISNUMBER('Данные 2st'!$PI$2:$PI$317))</f>
        <v>2</v>
      </c>
      <c r="ST85">
        <f>SUMPRODUCT(--('Данные 2st'!$Q$2:$Q$317=$A85),--ISNUMBER('Данные 2st'!$PJ$2:$PJ$317))</f>
        <v>2</v>
      </c>
      <c r="SU85">
        <f>SUMPRODUCT(--('Данные 2st'!$Q$2:$Q$317=$A85),--ISNUMBER('Данные 2st'!$PK$2:$PK$317))</f>
        <v>1</v>
      </c>
      <c r="SV85">
        <f>SUMPRODUCT(--('Данные 2st'!$Q$2:$Q$317=$A85),--ISNUMBER('Данные 2st'!$PL$2:$PL$317))</f>
        <v>2</v>
      </c>
      <c r="SW85">
        <f>SUMPRODUCT(--('Данные 2st'!$Q$2:$Q$317=$A85),--ISNUMBER('Данные 2st'!$PM$2:$PM$317))</f>
        <v>2</v>
      </c>
      <c r="SX85">
        <f>SUMPRODUCT(--('Данные 2st'!$Q$2:$Q$317=$A85),--ISNUMBER('Данные 2st'!$PN$2:$PN$317))</f>
        <v>2</v>
      </c>
      <c r="SY85">
        <f>SUMPRODUCT(--('Данные 2st'!$Q$2:$Q$317=$A85),--ISNUMBER('Данные 2st'!$PO$2:$PO$317))</f>
        <v>2</v>
      </c>
      <c r="SZ85">
        <f>SUMPRODUCT(--('Данные 2st'!$Q$2:$Q$317=$A85),--ISNUMBER('Данные 2st'!$PP$2:$PP$317))</f>
        <v>2</v>
      </c>
      <c r="TA85">
        <f>SUMPRODUCT(--('Данные 2st'!$Q$2:$Q$317=$A85),--ISNUMBER('Данные 2st'!$PQ$2:$PQ$317))</f>
        <v>2</v>
      </c>
      <c r="TB85">
        <f>SUMPRODUCT(--('Данные 2st'!$Q$2:$Q$317=$A85),--ISNUMBER('Данные 2st'!$PR$2:$PR$317))</f>
        <v>2</v>
      </c>
      <c r="TC85">
        <f>SUMPRODUCT(--('Данные 2st'!$Q$2:$Q$317=$A85),--ISNUMBER('Данные 2st'!$PS$2:$PS$317))</f>
        <v>2</v>
      </c>
      <c r="TD85">
        <f>SUMPRODUCT(--('Данные 2st'!$Q$2:$Q$317=$A85),--ISNUMBER('Данные 2st'!$PT$2:$PT$317))</f>
        <v>2</v>
      </c>
      <c r="TE85">
        <f>SUMPRODUCT(--('Данные 2st'!$Q$2:$Q$317=$A85),--ISNUMBER('Данные 2st'!$PU$2:$PU$317))</f>
        <v>2</v>
      </c>
      <c r="TF85">
        <f>SUMPRODUCT(--('Данные 2st'!$Q$2:$Q$317=$A85),--ISNUMBER('Данные 2st'!$PX$2:$PX$317))</f>
        <v>2</v>
      </c>
      <c r="TG85">
        <f>SUMPRODUCT(--('Данные 2st'!$Q$2:$Q$317=$A85),--ISNUMBER('Данные 2st'!$PY$2:$PY$317))</f>
        <v>2</v>
      </c>
      <c r="TH85">
        <f>SUMPRODUCT(--('Данные 2st'!$Q$2:$Q$317=$A85),--ISNUMBER('Данные 2st'!$PZ$2:$PZ$317))</f>
        <v>2</v>
      </c>
      <c r="TI85">
        <f>SUMPRODUCT(--('Данные 2st'!$Q$2:$Q$317=$A85),--ISNUMBER('Данные 2st'!$QA$2:$QA$317))</f>
        <v>2</v>
      </c>
      <c r="TJ85">
        <f>SUMPRODUCT(--('Данные 2st'!$Q$2:$Q$317=$A85),--ISNUMBER('Данные 2st'!$QB$2:$QB$317))</f>
        <v>2</v>
      </c>
      <c r="TK85">
        <f>SUMPRODUCT(--('Данные 2st'!$Q$2:$Q$317=$A85),--ISNUMBER('Данные 2st'!$QC$2:$QC$317))</f>
        <v>2</v>
      </c>
      <c r="TL85">
        <f>SUMPRODUCT(--('Данные 2st'!$Q$2:$Q$317=$A85),--ISNUMBER('Данные 2st'!$QD$2:$QD$317))</f>
        <v>2</v>
      </c>
      <c r="TM85">
        <f>SUMPRODUCT(--('Данные 2st'!$Q$2:$Q$317=$A85),--ISNUMBER('Данные 2st'!$QE$2:$QE$317))</f>
        <v>2</v>
      </c>
      <c r="TN85">
        <f>SUMPRODUCT(--('Данные 2st'!$Q$2:$Q$317=$A85),--ISNUMBER('Данные 2st'!$QF$2:$QF$317))</f>
        <v>2</v>
      </c>
      <c r="TO85">
        <f>SUMPRODUCT(--('Данные 2st'!$Q$2:$Q$317=$A85),--ISNUMBER('Данные 2st'!$QG$2:$QG$317))</f>
        <v>2</v>
      </c>
      <c r="TP85">
        <f>SUMPRODUCT(--('Данные 2st'!$Q$2:$Q$317=$A85),--ISNUMBER('Данные 2st'!$QH$2:$QH$317))</f>
        <v>2</v>
      </c>
      <c r="TQ85">
        <f>SUMPRODUCT(--('Данные 2st'!$Q$2:$Q$317=$A85),--ISNUMBER('Данные 2st'!$QI$2:$QI$317))</f>
        <v>2</v>
      </c>
      <c r="TR85">
        <f>SUMPRODUCT(--('Данные 2st'!$Q$2:$Q$317=$A85),--ISNUMBER('Данные 2st'!$QJ$2:$QJ$317))</f>
        <v>2</v>
      </c>
      <c r="TS85">
        <f>SUMPRODUCT(--('Данные 2st'!$Q$2:$Q$317=$A85),--ISNUMBER('Данные 2st'!$QK$2:$QK$317))</f>
        <v>2</v>
      </c>
      <c r="TT85">
        <f>SUMPRODUCT(--('Данные 2st'!$Q$2:$Q$317=$A85),--ISNUMBER('Данные 2st'!$QL$2:$QL$317))</f>
        <v>2</v>
      </c>
      <c r="TU85">
        <f>SUMPRODUCT(--('Данные 2st'!$Q$2:$Q$317=$A85),--ISNUMBER('Данные 2st'!$QM$2:$QM$317))</f>
        <v>2</v>
      </c>
      <c r="TV85">
        <f>SUMPRODUCT(--('Данные 2st'!$Q$2:$Q$317=$A85),--ISNUMBER('Данные 2st'!$QN$2:$QN$317))</f>
        <v>2</v>
      </c>
      <c r="TW85">
        <f>SUMPRODUCT(--('Данные 2st'!$Q$2:$Q$317=$A85),--ISNUMBER('Данные 2st'!$QQ$2:$QQ$317))</f>
        <v>2</v>
      </c>
      <c r="TX85">
        <f>SUMPRODUCT(--('Данные 2st'!$Q$2:$Q$317=$A85),--ISNUMBER('Данные 2st'!$QS$2:$QS$317))</f>
        <v>2</v>
      </c>
      <c r="TY85">
        <f>SUMPRODUCT(--('Данные 2st'!$Q$2:$Q$317=$A85),--ISNUMBER('Данные 2st'!$QT$2:$QT$317))</f>
        <v>2</v>
      </c>
    </row>
    <row r="86" spans="1:545" ht="32" customHeight="1">
      <c r="A86" s="11" t="str">
        <f>'По размерам'!A86</f>
        <v>285/60R18</v>
      </c>
      <c r="G86">
        <f>SUMPRODUCT(--('Данные 1st'!$S$2:$S$317=$A86),--ISNUMBER('Данные 1st'!$AE$2:$AE$317))</f>
        <v>5</v>
      </c>
      <c r="H86">
        <f>SUMPRODUCT(--('Данные 1st'!$S$2:$S$317=$A86),--ISNUMBER('Данные 1st'!$AF$2:$AF$317))</f>
        <v>5</v>
      </c>
      <c r="I86">
        <f>SUMPRODUCT(--('Данные 1st'!$S$2:$S$317=$A86),--ISNUMBER('Данные 1st'!$AJ$2:$AJ$317))</f>
        <v>5</v>
      </c>
      <c r="J86">
        <f>SUMPRODUCT(--('Данные 1st'!$S$2:$S$317=$A86),--ISNUMBER('Данные 1st'!$AL$2:$AL$317))</f>
        <v>5</v>
      </c>
      <c r="K86">
        <f>SUMPRODUCT(--('Данные 1st'!$S$2:$S$317=$A86),--ISNUMBER('Данные 1st'!$AR$2:$AR$317))</f>
        <v>5</v>
      </c>
      <c r="L86">
        <f>SUMPRODUCT(--('Данные 1st'!$S$2:$S$317=$A86),--ISNUMBER('Данные 1st'!$AS$2:$AS$317))</f>
        <v>5</v>
      </c>
      <c r="M86">
        <f>SUMPRODUCT(--('Данные 1st'!$S$2:$S$317=$A86),--ISNUMBER('Данные 1st'!$AY$2:$AY$317))</f>
        <v>5</v>
      </c>
      <c r="N86">
        <f>SUMPRODUCT(--('Данные 1st'!$S$2:$S$317=$A86),--ISNUMBER('Данные 1st'!$AZ$2:$AZ$317))</f>
        <v>5</v>
      </c>
      <c r="O86">
        <f>SUMPRODUCT(--('Данные 1st'!$S$2:$S$317=$A86),--ISNUMBER('Данные 1st'!$BF$2:$BF$317))</f>
        <v>5</v>
      </c>
      <c r="P86">
        <f>SUMPRODUCT(--('Данные 1st'!$S$2:$S$317=$A86),--ISNUMBER('Данные 1st'!$BG$2:$BG$317))</f>
        <v>5</v>
      </c>
      <c r="Q86">
        <f>SUMPRODUCT(--('Данные 1st'!$S$2:$S$317=$A86),--ISNUMBER('Данные 1st'!$BM$2:$BM$317))</f>
        <v>1</v>
      </c>
      <c r="R86">
        <f>SUMPRODUCT(--('Данные 1st'!$S$2:$S$317=$A86),--ISNUMBER('Данные 1st'!$BN$2:$BN$317))</f>
        <v>5</v>
      </c>
      <c r="S86">
        <f>SUMPRODUCT(--('Данные 1st'!$S$2:$S$317=$A86),--ISNUMBER('Данные 1st'!$BT$2:$BT$317))</f>
        <v>5</v>
      </c>
      <c r="T86">
        <f>SUMPRODUCT(--('Данные 1st'!$S$2:$S$317=$A86),--ISNUMBER('Данные 1st'!$BU$2:$BU$317))</f>
        <v>5</v>
      </c>
      <c r="U86">
        <f>SUMPRODUCT(--('Данные 1st'!$S$2:$S$317=$A86),--ISNUMBER('Данные 1st'!$BW$2:$BW$317))</f>
        <v>5</v>
      </c>
      <c r="V86">
        <f>SUMPRODUCT(--('Данные 1st'!$S$2:$S$317=$A86),--ISNUMBER('Данные 1st'!$BX$2:$BX$317))</f>
        <v>5</v>
      </c>
      <c r="W86">
        <f>SUMPRODUCT(--('Данные 1st'!$S$2:$S$317=$A86),--ISNUMBER('Данные 1st'!$BZ$2:$BZ$317))</f>
        <v>5</v>
      </c>
      <c r="X86">
        <f>SUMPRODUCT(--('Данные 1st'!$S$2:$S$317=$A86),--ISNUMBER('Данные 1st'!$CA$2:$CA$317))</f>
        <v>5</v>
      </c>
      <c r="Y86">
        <f>SUMPRODUCT(--('Данные 1st'!$S$2:$S$317=$A86),--ISNUMBER('Данные 1st'!$CD$2:$CD$317))</f>
        <v>5</v>
      </c>
      <c r="Z86">
        <f>SUMPRODUCT(--('Данные 1st'!$S$2:$S$317=$A86),--ISNUMBER('Данные 1st'!$CF$2:$CF$317))</f>
        <v>5</v>
      </c>
      <c r="AA86">
        <f>SUMPRODUCT(--('Данные 1st'!$S$2:$S$317=$A86),--ISNUMBER('Данные 1st'!$CI$2:$CI$317))</f>
        <v>5</v>
      </c>
      <c r="AB86">
        <f>SUMPRODUCT(--('Данные 1st'!$S$2:$S$317=$A86),--ISNUMBER('Данные 1st'!$CJ$2:$CJ$317))</f>
        <v>5</v>
      </c>
      <c r="AC86">
        <f>SUMPRODUCT(--('Данные 1st'!$S$2:$S$317=$A86),--ISNUMBER('Данные 1st'!$CK$2:$CK$317))</f>
        <v>5</v>
      </c>
      <c r="AD86">
        <f>SUMPRODUCT(--('Данные 1st'!$S$2:$S$317=$A86),--ISNUMBER('Данные 1st'!$CL$2:$CL$317))</f>
        <v>5</v>
      </c>
      <c r="AE86">
        <f>SUMPRODUCT(--('Данные 1st'!$S$2:$S$317=$A86),--ISNUMBER('Данные 1st'!$CM$2:$CM$317))</f>
        <v>5</v>
      </c>
      <c r="AF86">
        <f>SUMPRODUCT(--('Данные 1st'!$S$2:$S$317=$A86),--ISNUMBER('Данные 1st'!$CT$2:$CT$317))</f>
        <v>5</v>
      </c>
      <c r="AG86">
        <f>SUMPRODUCT(--('Данные 1st'!$S$2:$S$317=$A86),--ISNUMBER('Данные 1st'!$CU$2:$CU$317))</f>
        <v>5</v>
      </c>
      <c r="AH86">
        <f>SUMPRODUCT(--('Данные 1st'!$S$2:$S$317=$A86),--ISNUMBER('Данные 1st'!$CV$2:$CV$317))</f>
        <v>5</v>
      </c>
      <c r="AI86">
        <f>SUMPRODUCT(--('Данные 1st'!$S$2:$S$317=$A86),--ISNUMBER('Данные 1st'!$CW$2:$CW$317))</f>
        <v>5</v>
      </c>
      <c r="AJ86">
        <f>SUMPRODUCT(--('Данные 1st'!$S$2:$S$317=$A86),--ISNUMBER('Данные 1st'!$CX$2:$CX$317))</f>
        <v>5</v>
      </c>
      <c r="AK86">
        <f>SUMPRODUCT(--('Данные 1st'!$S$2:$S$317=$A86),--ISNUMBER('Данные 1st'!$CZ$2:$CZ$317))</f>
        <v>5</v>
      </c>
      <c r="AL86">
        <f>SUMPRODUCT(--('Данные 1st'!$S$2:$S$317=$A86),--ISNUMBER('Данные 1st'!$DA$2:$DA$317))</f>
        <v>5</v>
      </c>
      <c r="AM86">
        <f>SUMPRODUCT(--('Данные 1st'!$S$2:$S$317=$A86),--ISNUMBER('Данные 1st'!$DB$2:$DB$317))</f>
        <v>5</v>
      </c>
      <c r="AN86">
        <f>SUMPRODUCT(--('Данные 1st'!$S$2:$S$317=$A86),--ISNUMBER('Данные 1st'!$DC$2:$DC$317))</f>
        <v>5</v>
      </c>
      <c r="AO86">
        <f>SUMPRODUCT(--('Данные 1st'!$S$2:$S$317=$A86),--ISNUMBER('Данные 1st'!$DD$2:$DD$317))</f>
        <v>5</v>
      </c>
      <c r="AP86">
        <f>SUMPRODUCT(--('Данные 1st'!$S$2:$S$317=$A86),--ISNUMBER('Данные 1st'!$DF$2:$DF$317))</f>
        <v>5</v>
      </c>
      <c r="AQ86">
        <f>SUMPRODUCT(--('Данные 1st'!$S$2:$S$317=$A86),--ISNUMBER('Данные 1st'!$DG$2:$DG$317))</f>
        <v>5</v>
      </c>
      <c r="AR86">
        <f>SUMPRODUCT(--('Данные 1st'!$S$2:$S$317=$A86),--ISNUMBER('Данные 1st'!$DH$2:$DH$317))</f>
        <v>5</v>
      </c>
      <c r="AS86">
        <f>SUMPRODUCT(--('Данные 1st'!$S$2:$S$317=$A86),--ISNUMBER('Данные 1st'!$DI$2:$DI$317))</f>
        <v>5</v>
      </c>
      <c r="AT86">
        <f>SUMPRODUCT(--('Данные 1st'!$S$2:$S$317=$A86),--ISNUMBER('Данные 1st'!$DJ$2:$DJ$317))</f>
        <v>5</v>
      </c>
      <c r="AU86">
        <f>SUMPRODUCT(--('Данные 1st'!$S$2:$S$317=$A86),--ISNUMBER('Данные 1st'!$DL$2:$DL$317))</f>
        <v>5</v>
      </c>
      <c r="AV86">
        <f>SUMPRODUCT(--('Данные 1st'!$S$2:$S$317=$A86),--ISNUMBER('Данные 1st'!$DM$2:$DM$317))</f>
        <v>5</v>
      </c>
      <c r="AW86">
        <f>SUMPRODUCT(--('Данные 1st'!$S$2:$S$317=$A86),--ISNUMBER('Данные 1st'!$DN$2:$DN$317))</f>
        <v>5</v>
      </c>
      <c r="AX86">
        <f>SUMPRODUCT(--('Данные 1st'!$S$2:$S$317=$A86),--ISNUMBER('Данные 1st'!$DO$2:$DO$317))</f>
        <v>5</v>
      </c>
      <c r="AY86">
        <f>SUMPRODUCT(--('Данные 1st'!$S$2:$S$317=$A86),--ISNUMBER('Данные 1st'!$DP$2:$DP$317))</f>
        <v>5</v>
      </c>
      <c r="AZ86">
        <f>SUMPRODUCT(--('Данные 1st'!$S$2:$S$317=$A86),--ISNUMBER('Данные 1st'!$DR$2:$DR$317))</f>
        <v>1</v>
      </c>
      <c r="BA86">
        <f>SUMPRODUCT(--('Данные 1st'!$S$2:$S$317=$A86),--ISNUMBER('Данные 1st'!$DS$2:$DS$317))</f>
        <v>1</v>
      </c>
      <c r="BB86">
        <f>SUMPRODUCT(--('Данные 1st'!$S$2:$S$317=$A86),--ISNUMBER('Данные 1st'!$DT$2:$DT$317))</f>
        <v>1</v>
      </c>
      <c r="BC86">
        <f>SUMPRODUCT(--('Данные 1st'!$S$2:$S$317=$A86),--ISNUMBER('Данные 1st'!$DU$2:$DU$317))</f>
        <v>1</v>
      </c>
      <c r="BD86">
        <f>SUMPRODUCT(--('Данные 1st'!$S$2:$S$317=$A86),--ISNUMBER('Данные 1st'!$DV$2:$DV$317))</f>
        <v>1</v>
      </c>
      <c r="BE86">
        <f>SUMPRODUCT(--('Данные 1st'!$S$2:$S$317=$A86),--ISNUMBER('Данные 1st'!$DX$2:$DX$317))</f>
        <v>5</v>
      </c>
      <c r="BF86">
        <f>SUMPRODUCT(--('Данные 1st'!$S$2:$S$317=$A86),--ISNUMBER('Данные 1st'!$EA$2:$EA$317))</f>
        <v>5</v>
      </c>
      <c r="BG86">
        <f>SUMPRODUCT(--('Данные 1st'!$S$2:$S$317=$A86),--ISNUMBER('Данные 1st'!$EB$2:$EB$317))</f>
        <v>5</v>
      </c>
      <c r="BH86">
        <f>SUMPRODUCT(--('Данные 1st'!$S$2:$S$317=$A86),--ISNUMBER('Данные 1st'!$ED$2:$ED$317))</f>
        <v>5</v>
      </c>
      <c r="BI86">
        <f>SUMPRODUCT(--('Данные 1st'!$S$2:$S$317=$A86),--ISNUMBER('Данные 1st'!$EE$2:$EE$317))</f>
        <v>5</v>
      </c>
      <c r="BJ86">
        <f>SUMPRODUCT(--('Данные 1st'!$S$2:$S$317=$A86),--ISNUMBER('Данные 1st'!$EG$2:$EG$317))</f>
        <v>5</v>
      </c>
      <c r="BK86">
        <f>SUMPRODUCT(--('Данные 1st'!$S$2:$S$317=$A86),--ISNUMBER('Данные 1st'!$EH$2:$EH$317))</f>
        <v>5</v>
      </c>
      <c r="BL86">
        <f>SUMPRODUCT(--('Данные 1st'!$S$2:$S$317=$A86),--ISNUMBER('Данные 1st'!$EJ$2:$EJ$317))</f>
        <v>5</v>
      </c>
      <c r="BM86">
        <f>SUMPRODUCT(--('Данные 1st'!$S$2:$S$317=$A86),--ISNUMBER('Данные 1st'!$EK$2:$EK$317))</f>
        <v>5</v>
      </c>
      <c r="BN86">
        <f>SUMPRODUCT(--('Данные 1st'!$S$2:$S$317=$A86),--ISNUMBER('Данные 1st'!$EN$2:$EN$317))</f>
        <v>5</v>
      </c>
      <c r="BO86">
        <f>SUMPRODUCT(--('Данные 1st'!$S$2:$S$317=$A86),--ISNUMBER('Данные 1st'!$EQ$2:$EQ$317))</f>
        <v>5</v>
      </c>
      <c r="BP86">
        <f>SUMPRODUCT(--('Данные 1st'!$S$2:$S$317=$A86),--ISNUMBER('Данные 1st'!$ER$2:$ER$317))</f>
        <v>5</v>
      </c>
      <c r="BQ86">
        <f>SUMPRODUCT(--('Данные 1st'!$S$2:$S$317=$A86),--ISNUMBER('Данные 1st'!$ES$2:$ES$317))</f>
        <v>5</v>
      </c>
      <c r="BR86">
        <f>SUMPRODUCT(--('Данные 1st'!$S$2:$S$317=$A86),--ISNUMBER('Данные 1st'!$ET$2:$ET$317))</f>
        <v>5</v>
      </c>
      <c r="BS86">
        <f>SUMPRODUCT(--('Данные 1st'!$S$2:$S$317=$A86),--ISNUMBER('Данные 1st'!$EU$2:$EU$317))</f>
        <v>5</v>
      </c>
      <c r="BT86">
        <f>SUMPRODUCT(--('Данные 1st'!$S$2:$S$317=$A86),--ISNUMBER('Данные 1st'!$EV$2:$EV$317))</f>
        <v>5</v>
      </c>
      <c r="BU86">
        <f>SUMPRODUCT(--('Данные 1st'!$S$2:$S$317=$A86),--ISNUMBER('Данные 1st'!$EX$2:$EX$317))</f>
        <v>5</v>
      </c>
      <c r="BV86">
        <f>SUMPRODUCT(--('Данные 1st'!$S$2:$S$317=$A86),--ISNUMBER('Данные 1st'!$EY$2:$EY$317))</f>
        <v>5</v>
      </c>
      <c r="BW86">
        <f>SUMPRODUCT(--('Данные 1st'!$S$2:$S$317=$A86),--ISNUMBER('Данные 1st'!$EZ$2:$EZ$317))</f>
        <v>5</v>
      </c>
      <c r="BX86">
        <f>SUMPRODUCT(--('Данные 1st'!$S$2:$S$317=$A86),--ISNUMBER('Данные 1st'!$FA$2:$FA$317))</f>
        <v>5</v>
      </c>
      <c r="BY86">
        <f>SUMPRODUCT(--('Данные 1st'!$S$2:$S$317=$A86),--ISNUMBER('Данные 1st'!$FB$2:$FB$317))</f>
        <v>5</v>
      </c>
      <c r="BZ86">
        <f>SUMPRODUCT(--('Данные 1st'!$S$2:$S$317=$A86),--ISNUMBER('Данные 1st'!$FC$2:$FC$317))</f>
        <v>5</v>
      </c>
      <c r="CA86">
        <f>SUMPRODUCT(--('Данные 1st'!$S$2:$S$317=$A86),--ISNUMBER('Данные 1st'!$FE$2:$FE$317))</f>
        <v>5</v>
      </c>
      <c r="CB86">
        <f>SUMPRODUCT(--('Данные 1st'!$S$2:$S$317=$A86),--ISNUMBER('Данные 1st'!$FF$2:$FF$317))</f>
        <v>5</v>
      </c>
      <c r="CC86">
        <f>SUMPRODUCT(--('Данные 1st'!$S$2:$S$317=$A86),--ISNUMBER('Данные 1st'!$FI$2:$FI$317))</f>
        <v>5</v>
      </c>
      <c r="CD86">
        <f>SUMPRODUCT(--('Данные 1st'!$S$2:$S$317=$A86),--ISNUMBER('Данные 1st'!$FL$2:$FL$317))</f>
        <v>5</v>
      </c>
      <c r="CE86">
        <f>SUMPRODUCT(--('Данные 1st'!$S$2:$S$317=$A86),--ISNUMBER('Данные 1st'!$FM$2:$FM$317))</f>
        <v>5</v>
      </c>
      <c r="CF86">
        <f>SUMPRODUCT(--('Данные 1st'!$S$2:$S$317=$A86),--ISNUMBER('Данные 1st'!$FN$2:$FN$317))</f>
        <v>5</v>
      </c>
      <c r="CG86">
        <f>SUMPRODUCT(--('Данные 1st'!$S$2:$S$317=$A86),--ISNUMBER('Данные 1st'!$FO$2:$FO$317))</f>
        <v>5</v>
      </c>
      <c r="CH86">
        <f>SUMPRODUCT(--('Данные 1st'!$S$2:$S$317=$A86),--ISNUMBER('Данные 1st'!$FP$2:$FP$317))</f>
        <v>5</v>
      </c>
      <c r="CI86">
        <f>SUMPRODUCT(--('Данные 1st'!$S$2:$S$317=$A86),--ISNUMBER('Данные 1st'!$FS$2:$FS$317))</f>
        <v>2</v>
      </c>
      <c r="CJ86">
        <f>SUMPRODUCT(--('Данные 1st'!$S$2:$S$317=$A86),--ISNUMBER('Данные 1st'!$FT$2:$FT$317))</f>
        <v>2</v>
      </c>
      <c r="CK86">
        <f>SUMPRODUCT(--('Данные 1st'!$S$2:$S$317=$A86),--ISNUMBER('Данные 1st'!$FU$2:$FU$317))</f>
        <v>2</v>
      </c>
      <c r="CL86">
        <f>SUMPRODUCT(--('Данные 1st'!$S$2:$S$317=$A86),--ISNUMBER('Данные 1st'!$FV$2:$FV$317))</f>
        <v>0</v>
      </c>
      <c r="CM86">
        <f>SUMPRODUCT(--('Данные 1st'!$S$2:$S$317=$A86),--ISNUMBER('Данные 1st'!$FW$2:$FW$317))</f>
        <v>0</v>
      </c>
      <c r="CN86">
        <f>SUMPRODUCT(--('Данные 1st'!$S$2:$S$317=$A86),--ISNUMBER('Данные 1st'!$FZ$2:$FZ$317))</f>
        <v>0</v>
      </c>
      <c r="CO86">
        <f>SUMPRODUCT(--('Данные 1st'!$S$2:$S$317=$A86),--ISNUMBER('Данные 1st'!$GA$2:$GA$317))</f>
        <v>0</v>
      </c>
      <c r="CP86">
        <f>SUMPRODUCT(--('Данные 1st'!$S$2:$S$317=$A86),--ISNUMBER('Данные 1st'!$GB$2:$GB$317))</f>
        <v>0</v>
      </c>
      <c r="CQ86">
        <f>SUMPRODUCT(--('Данные 1st'!$S$2:$S$317=$A86),--ISNUMBER('Данные 1st'!$GH$2:$GH$317))</f>
        <v>0</v>
      </c>
      <c r="CR86">
        <f>SUMPRODUCT(--('Данные 1st'!$S$2:$S$317=$A86),--ISNUMBER('Данные 1st'!$GI$2:$GI$317))</f>
        <v>0</v>
      </c>
      <c r="CS86">
        <f>SUMPRODUCT(--('Данные 1st'!$S$2:$S$317=$A86),--ISNUMBER('Данные 1st'!$GJ$2:$GJ$317))</f>
        <v>0</v>
      </c>
      <c r="CT86">
        <f>SUMPRODUCT(--('Данные 1st'!$S$2:$S$317=$A86),--ISNUMBER('Данные 1st'!$GS$2:$GS$317))</f>
        <v>5</v>
      </c>
      <c r="CU86">
        <f>SUMPRODUCT(--('Данные 1st'!$S$2:$S$317=$A86),--ISNUMBER('Данные 1st'!$GT$2:$GT$317))</f>
        <v>5</v>
      </c>
      <c r="CV86">
        <f>SUMPRODUCT(--('Данные 1st'!$S$2:$S$317=$A86),--ISNUMBER('Данные 1st'!$GU$2:$GU$317))</f>
        <v>5</v>
      </c>
      <c r="CW86">
        <f>SUMPRODUCT(--('Данные 1st'!$S$2:$S$317=$A86),--ISNUMBER('Данные 1st'!$GV$2:$GV$317))</f>
        <v>1</v>
      </c>
      <c r="CX86">
        <f>SUMPRODUCT(--('Данные 1st'!$S$2:$S$317=$A86),--ISNUMBER('Данные 1st'!$GW$2:$GW$317))</f>
        <v>1</v>
      </c>
      <c r="CY86">
        <f>SUMPRODUCT(--('Данные 1st'!$S$2:$S$317=$A86),--ISNUMBER('Данные 1st'!$GZ$2:$GZ$317))</f>
        <v>0</v>
      </c>
      <c r="CZ86">
        <f>SUMPRODUCT(--('Данные 1st'!$S$2:$S$317=$A86),--ISNUMBER('Данные 1st'!$HA$2:$HA$317))</f>
        <v>0</v>
      </c>
      <c r="DA86">
        <f>SUMPRODUCT(--('Данные 1st'!$S$2:$S$317=$A86),--ISNUMBER('Данные 1st'!$HB$2:$HB$317))</f>
        <v>0</v>
      </c>
      <c r="DB86">
        <f>SUMPRODUCT(--('Данные 1st'!$S$2:$S$317=$A86),--ISNUMBER('Данные 1st'!$HC$2:$HC$317))</f>
        <v>5</v>
      </c>
      <c r="DC86">
        <f>SUMPRODUCT(--('Данные 1st'!$S$2:$S$317=$A86),--ISNUMBER('Данные 1st'!$HD$2:$HD$317))</f>
        <v>5</v>
      </c>
      <c r="DD86">
        <f>SUMPRODUCT(--('Данные 1st'!$S$2:$S$317=$A86),--ISNUMBER('Данные 1st'!$HE$2:$HE$317))</f>
        <v>5</v>
      </c>
      <c r="DE86">
        <f>SUMPRODUCT(--('Данные 1st'!$S$2:$S$317=$A86),--ISNUMBER('Данные 1st'!$HF$2:$HF$317))</f>
        <v>5</v>
      </c>
      <c r="DF86">
        <f>SUMPRODUCT(--('Данные 1st'!$S$2:$S$317=$A86),--ISNUMBER('Данные 1st'!$HG$2:$HG$317))</f>
        <v>5</v>
      </c>
      <c r="DG86">
        <f>SUMPRODUCT(--('Данные 1st'!$S$2:$S$317=$A86),--ISNUMBER('Данные 1st'!$HH$2:$HH$317))</f>
        <v>5</v>
      </c>
      <c r="DH86">
        <f>SUMPRODUCT(--('Данные 1st'!$S$2:$S$317=$A86),--ISNUMBER('Данные 1st'!$HI$2:$HI$317))</f>
        <v>5</v>
      </c>
      <c r="DI86">
        <f>SUMPRODUCT(--('Данные 1st'!$S$2:$S$317=$A86),--ISNUMBER('Данные 1st'!$HJ$2:$HJ$317))</f>
        <v>5</v>
      </c>
      <c r="DJ86">
        <f>SUMPRODUCT(--('Данные 1st'!$S$2:$S$317=$A86),--ISNUMBER('Данные 1st'!$HK$2:$HK$317))</f>
        <v>5</v>
      </c>
      <c r="DK86">
        <f>SUMPRODUCT(--('Данные 1st'!$S$2:$S$317=$A86),--ISNUMBER('Данные 1st'!$HL$2:$HL$317))</f>
        <v>5</v>
      </c>
      <c r="DL86">
        <f>SUMPRODUCT(--('Данные 1st'!$S$2:$S$317=$A86),--ISNUMBER('Данные 1st'!$HM$2:$HM$317))</f>
        <v>5</v>
      </c>
      <c r="DM86">
        <f>SUMPRODUCT(--('Данные 1st'!$S$2:$S$317=$A86),--ISNUMBER('Данные 1st'!$HN$2:$HN$317))</f>
        <v>5</v>
      </c>
      <c r="DN86">
        <f>SUMPRODUCT(--('Данные 1st'!$S$2:$S$317=$A86),--ISNUMBER('Данные 1st'!$HO$2:$HO$317))</f>
        <v>5</v>
      </c>
      <c r="DO86">
        <f>SUMPRODUCT(--('Данные 1st'!$S$2:$S$317=$A86),--ISNUMBER('Данные 1st'!$HP$2:$HP$317))</f>
        <v>5</v>
      </c>
      <c r="DP86">
        <f>SUMPRODUCT(--('Данные 1st'!$S$2:$S$317=$A86),--ISNUMBER('Данные 1st'!$HQ$2:$HQ$317))</f>
        <v>5</v>
      </c>
      <c r="DQ86">
        <f>SUMPRODUCT(--('Данные 1st'!$S$2:$S$317=$A86),--ISNUMBER('Данные 1st'!$HR$2:$HR$317))</f>
        <v>5</v>
      </c>
      <c r="DR86">
        <f>SUMPRODUCT(--('Данные 1st'!$S$2:$S$317=$A86),--ISNUMBER('Данные 1st'!$HS$2:$HS$317))</f>
        <v>5</v>
      </c>
      <c r="DS86">
        <f>SUMPRODUCT(--('Данные 1st'!$S$2:$S$317=$A86),--ISNUMBER('Данные 1st'!$HT$2:$HT$317))</f>
        <v>5</v>
      </c>
      <c r="DT86">
        <f>SUMPRODUCT(--('Данные 1st'!$S$2:$S$317=$A86),--ISNUMBER('Данные 1st'!$HU$2:$HU$317))</f>
        <v>5</v>
      </c>
      <c r="DU86">
        <f>SUMPRODUCT(--('Данные 1st'!$S$2:$S$317=$A86),--ISNUMBER('Данные 1st'!$HW$2:$HW$317))</f>
        <v>5</v>
      </c>
      <c r="DV86">
        <f>SUMPRODUCT(--('Данные 1st'!$S$2:$S$317=$A86),--ISNUMBER('Данные 1st'!$HX$2:$HX$317))</f>
        <v>5</v>
      </c>
      <c r="DW86">
        <f>SUMPRODUCT(--('Данные 1st'!$S$2:$S$317=$A86),--ISNUMBER('Данные 1st'!$HY$2:$HY$317))</f>
        <v>5</v>
      </c>
      <c r="DX86">
        <f>SUMPRODUCT(--('Данные 1st'!$S$2:$S$317=$A86),--ISNUMBER('Данные 1st'!$IA$2:$IA$317))</f>
        <v>5</v>
      </c>
      <c r="DY86">
        <f>SUMPRODUCT(--('Данные 1st'!$S$2:$S$317=$A86),--ISNUMBER('Данные 1st'!$IB$2:$IB$317))</f>
        <v>5</v>
      </c>
      <c r="DZ86">
        <f>SUMPRODUCT(--('Данные 1st'!$S$2:$S$317=$A86),--ISNUMBER('Данные 1st'!$IC$2:$IC$317))</f>
        <v>5</v>
      </c>
      <c r="EA86">
        <f>SUMPRODUCT(--('Данные 1st'!$S$2:$S$317=$A86),--ISNUMBER('Данные 1st'!$ID$2:$ID$317))</f>
        <v>5</v>
      </c>
      <c r="EB86">
        <f>SUMPRODUCT(--('Данные 1st'!$S$2:$S$317=$A86),--ISNUMBER('Данные 1st'!$IE$2:$IE$317))</f>
        <v>5</v>
      </c>
      <c r="EC86">
        <f>SUMPRODUCT(--('Данные 1st'!$S$2:$S$317=$A86),--ISNUMBER('Данные 1st'!$IF$2:$IF$317))</f>
        <v>5</v>
      </c>
      <c r="ED86">
        <f>SUMPRODUCT(--('Данные 1st'!$S$2:$S$317=$A86),--ISNUMBER('Данные 1st'!$IP$2:$IP$317))</f>
        <v>5</v>
      </c>
      <c r="EE86">
        <f>SUMPRODUCT(--('Данные 1st'!$S$2:$S$317=$A86),--ISNUMBER('Данные 1st'!$IV$2:$IV$317))</f>
        <v>5</v>
      </c>
      <c r="EF86">
        <f>SUMPRODUCT(--('Данные 1st'!$S$2:$S$317=$A86),--ISNUMBER('Данные 1st'!$IW$2:$IW$317))</f>
        <v>5</v>
      </c>
      <c r="EG86">
        <f>SUMPRODUCT(--('Данные 1st'!$S$2:$S$317=$A86),--ISNUMBER('Данные 1st'!$IX$2:$IX$317))</f>
        <v>0</v>
      </c>
      <c r="EH86">
        <f>SUMPRODUCT(--('Данные 1st'!$S$2:$S$317=$A86),--ISNUMBER('Данные 1st'!$IY$2:$IY$317))</f>
        <v>0</v>
      </c>
      <c r="EI86">
        <f>SUMPRODUCT(--('Данные 1st'!$S$2:$S$317=$A86),--ISNUMBER('Данные 1st'!$JD$2:$JD$317))</f>
        <v>5</v>
      </c>
      <c r="EJ86">
        <f>SUMPRODUCT(--('Данные 1st'!$S$2:$S$317=$A86),--ISNUMBER('Данные 1st'!$JE$2:$JE$317))</f>
        <v>5</v>
      </c>
      <c r="EK86">
        <f>SUMPRODUCT(--('Данные 1st'!$S$2:$S$317=$A86),--ISNUMBER('Данные 1st'!$JF$2:$JF$317))</f>
        <v>5</v>
      </c>
      <c r="EL86">
        <f>SUMPRODUCT(--('Данные 1st'!$S$2:$S$317=$A86),--ISNUMBER('Данные 1st'!$JG$2:$JG$317))</f>
        <v>5</v>
      </c>
      <c r="EM86">
        <f>SUMPRODUCT(--('Данные 1st'!$S$2:$S$317=$A86),--ISNUMBER('Данные 1st'!$JH$2:$JH$317))</f>
        <v>5</v>
      </c>
      <c r="EN86">
        <f>SUMPRODUCT(--('Данные 1st'!$S$2:$S$317=$A86),--ISNUMBER('Данные 1st'!$JJ$2:$JJ$317))</f>
        <v>5</v>
      </c>
      <c r="EO86">
        <f>SUMPRODUCT(--('Данные 1st'!$S$2:$S$317=$A86),--ISNUMBER('Данные 1st'!$JK$2:$JK$317))</f>
        <v>5</v>
      </c>
      <c r="EP86">
        <f>SUMPRODUCT(--('Данные 1st'!$S$2:$S$317=$A86),--ISNUMBER('Данные 1st'!$JL$2:$JL$317))</f>
        <v>0</v>
      </c>
      <c r="EQ86">
        <f>SUMPRODUCT(--('Данные 1st'!$S$2:$S$317=$A86),--ISNUMBER('Данные 1st'!$JM$2:$JM$317))</f>
        <v>0</v>
      </c>
      <c r="ER86">
        <f>SUMPRODUCT(--('Данные 1st'!$S$2:$S$317=$A86),--ISNUMBER('Данные 1st'!$JN$2:$JN$317))</f>
        <v>5</v>
      </c>
      <c r="ES86">
        <f>SUMPRODUCT(--('Данные 1st'!$S$2:$S$317=$A86),--ISNUMBER('Данные 1st'!$JO$2:$JO$317))</f>
        <v>5</v>
      </c>
      <c r="ET86">
        <f>SUMPRODUCT(--('Данные 1st'!$S$2:$S$317=$A86),--ISNUMBER('Данные 1st'!$JP$2:$JP$317))</f>
        <v>5</v>
      </c>
      <c r="EU86">
        <f>SUMPRODUCT(--('Данные 1st'!$S$2:$S$317=$A86),--ISNUMBER('Данные 1st'!$JQ$2:$JQ$317))</f>
        <v>5</v>
      </c>
      <c r="EV86">
        <f>SUMPRODUCT(--('Данные 1st'!$S$2:$S$317=$A86),--ISNUMBER('Данные 1st'!$JR$2:$JR$317))</f>
        <v>5</v>
      </c>
      <c r="EW86">
        <f>SUMPRODUCT(--('Данные 1st'!$S$2:$S$317=$A86),--ISNUMBER('Данные 1st'!$JS$2:$JS$317))</f>
        <v>5</v>
      </c>
      <c r="EX86">
        <f>SUMPRODUCT(--('Данные 1st'!$S$2:$S$317=$A86),--ISNUMBER('Данные 1st'!$JT$2:$JT$317))</f>
        <v>0</v>
      </c>
      <c r="EY86">
        <f>SUMPRODUCT(--('Данные 1st'!$S$2:$S$317=$A86),--ISNUMBER('Данные 1st'!$JU$2:$JU$317))</f>
        <v>0</v>
      </c>
      <c r="EZ86">
        <f>SUMPRODUCT(--('Данные 1st'!$S$2:$S$317=$A86),--ISNUMBER('Данные 1st'!$JV$2:$JV$317))</f>
        <v>5</v>
      </c>
      <c r="FA86">
        <f>SUMPRODUCT(--('Данные 1st'!$S$2:$S$317=$A86),--ISNUMBER('Данные 1st'!$JW$2:$JW$317))</f>
        <v>0</v>
      </c>
      <c r="FB86">
        <f>SUMPRODUCT(--('Данные 1st'!$S$2:$S$317=$A86),--ISNUMBER('Данные 1st'!$JX$2:$JX$317))</f>
        <v>5</v>
      </c>
      <c r="FC86">
        <f>SUMPRODUCT(--('Данные 1st'!$S$2:$S$317=$A86),--ISNUMBER('Данные 1st'!$JY$2:$JY$317))</f>
        <v>0</v>
      </c>
      <c r="FD86">
        <f>SUMPRODUCT(--('Данные 1st'!$S$2:$S$317=$A86),--ISNUMBER('Данные 1st'!$JZ$2:$JZ$317))</f>
        <v>0</v>
      </c>
      <c r="FE86">
        <f>SUMPRODUCT(--('Данные 1st'!$S$2:$S$317=$A86),--ISNUMBER('Данные 1st'!$KA$2:$KA$317))</f>
        <v>5</v>
      </c>
      <c r="FF86">
        <f>SUMPRODUCT(--('Данные 1st'!$S$2:$S$317=$A86),--ISNUMBER('Данные 1st'!$KB$2:$KB$317))</f>
        <v>5</v>
      </c>
      <c r="FG86">
        <f>SUMPRODUCT(--('Данные 1st'!$S$2:$S$317=$A86),--ISNUMBER('Данные 1st'!$KC$2:$KC$317))</f>
        <v>5</v>
      </c>
      <c r="FH86">
        <f>SUMPRODUCT(--('Данные 1st'!$S$2:$S$317=$A86),--ISNUMBER('Данные 1st'!$KD$2:$KD$317))</f>
        <v>5</v>
      </c>
      <c r="FI86">
        <f>SUMPRODUCT(--('Данные 1st'!$S$2:$S$317=$A86),--ISNUMBER('Данные 1st'!$KE$2:$KE$317))</f>
        <v>0</v>
      </c>
      <c r="FJ86">
        <f>SUMPRODUCT(--('Данные 1st'!$S$2:$S$317=$A86),--ISNUMBER('Данные 1st'!$KF$2:$KF$317))</f>
        <v>5</v>
      </c>
      <c r="FK86">
        <f>SUMPRODUCT(--('Данные 1st'!$S$2:$S$317=$A86),--ISNUMBER('Данные 1st'!$KG$2:$KG$317))</f>
        <v>5</v>
      </c>
      <c r="FL86">
        <f>SUMPRODUCT(--('Данные 1st'!$S$2:$S$317=$A86),--ISNUMBER('Данные 1st'!$KH$2:$KH$317))</f>
        <v>5</v>
      </c>
      <c r="FM86">
        <f>SUMPRODUCT(--('Данные 1st'!$S$2:$S$317=$A86),--ISNUMBER('Данные 1st'!$KI$2:$KI$317))</f>
        <v>5</v>
      </c>
      <c r="FN86">
        <f>SUMPRODUCT(--('Данные 1st'!$S$2:$S$317=$A86),--ISNUMBER('Данные 1st'!$KJ$2:$KJ$317))</f>
        <v>5</v>
      </c>
      <c r="FO86">
        <f>SUMPRODUCT(--('Данные 1st'!$S$2:$S$317=$A86),--ISNUMBER('Данные 1st'!$KK$2:$KK$317))</f>
        <v>5</v>
      </c>
      <c r="FP86">
        <f>SUMPRODUCT(--('Данные 1st'!$S$2:$S$317=$A86),--ISNUMBER('Данные 1st'!$KL$2:$KL$317))</f>
        <v>5</v>
      </c>
      <c r="FQ86">
        <f>SUMPRODUCT(--('Данные 1st'!$S$2:$S$317=$A86),--ISNUMBER('Данные 1st'!$KM$2:$KM$317))</f>
        <v>5</v>
      </c>
      <c r="FR86">
        <f>SUMPRODUCT(--('Данные 1st'!$S$2:$S$317=$A86),--ISNUMBER('Данные 1st'!$KN$2:$KN$317))</f>
        <v>5</v>
      </c>
      <c r="FS86">
        <f>SUMPRODUCT(--('Данные 1st'!$S$2:$S$317=$A86),--ISNUMBER('Данные 1st'!$KR$2:$KR$317))</f>
        <v>5</v>
      </c>
      <c r="FT86">
        <f>SUMPRODUCT(--('Данные 1st'!$S$2:$S$317=$A86),--ISNUMBER('Данные 1st'!$KS$2:$KS$317))</f>
        <v>5</v>
      </c>
      <c r="FU86">
        <f>SUMPRODUCT(--('Данные 1st'!$S$2:$S$317=$A86),--ISNUMBER('Данные 1st'!$KT$2:$KT$317))</f>
        <v>5</v>
      </c>
      <c r="FV86">
        <f>SUMPRODUCT(--('Данные 1st'!$S$2:$S$317=$A86),--ISNUMBER('Данные 1st'!$KV$2:$KV$317))</f>
        <v>0</v>
      </c>
      <c r="FW86">
        <f>SUMPRODUCT(--('Данные 1st'!$S$2:$S$317=$A86),--ISNUMBER('Данные 1st'!$KW$2:$KW$317))</f>
        <v>0</v>
      </c>
      <c r="FX86">
        <f>SUMPRODUCT(--('Данные 1st'!$S$2:$S$317=$A86),--ISNUMBER('Данные 1st'!$KX$2:$KX$317))</f>
        <v>0</v>
      </c>
      <c r="FY86">
        <f>SUMPRODUCT(--('Данные 1st'!$S$2:$S$317=$A86),--ISNUMBER('Данные 1st'!$KY$2:$KY$317))</f>
        <v>0</v>
      </c>
      <c r="FZ86">
        <f>SUMPRODUCT(--('Данные 1st'!$S$2:$S$317=$A86),--ISNUMBER('Данные 1st'!$KZ$2:$KZ$317))</f>
        <v>0</v>
      </c>
      <c r="GA86">
        <f>SUMPRODUCT(--('Данные 1st'!$S$2:$S$317=$A86),--ISNUMBER('Данные 1st'!$LA$2:$LA$317))</f>
        <v>0</v>
      </c>
      <c r="GB86">
        <f>SUMPRODUCT(--('Данные 1st'!$S$2:$S$317=$A86),--ISNUMBER('Данные 1st'!$LB$2:$LB$317))</f>
        <v>0</v>
      </c>
      <c r="GC86">
        <f>SUMPRODUCT(--('Данные 1st'!$S$2:$S$317=$A86),--ISNUMBER('Данные 1st'!$LC$2:$LC$317))</f>
        <v>0</v>
      </c>
      <c r="GD86">
        <f>SUMPRODUCT(--('Данные 1st'!$S$2:$S$317=$A86),--ISNUMBER('Данные 1st'!$LD$2:$LD$317))</f>
        <v>0</v>
      </c>
      <c r="GE86">
        <f>SUMPRODUCT(--('Данные 1st'!$S$2:$S$317=$A86),--ISNUMBER('Данные 1st'!$LE$2:$LE$317))</f>
        <v>0</v>
      </c>
      <c r="GF86">
        <f>SUMPRODUCT(--('Данные 1st'!$S$2:$S$317=$A86),--ISNUMBER('Данные 1st'!$LF$2:$LF$317))</f>
        <v>0</v>
      </c>
      <c r="GG86">
        <f>SUMPRODUCT(--('Данные 1st'!$S$2:$S$317=$A86),--ISNUMBER('Данные 1st'!$LG$2:$LG$317))</f>
        <v>0</v>
      </c>
      <c r="GH86">
        <f>SUMPRODUCT(--('Данные 1st'!$S$2:$S$317=$A86),--ISNUMBER('Данные 1st'!$LH$2:$LH$317))</f>
        <v>0</v>
      </c>
      <c r="GI86">
        <f>SUMPRODUCT(--('Данные 1st'!$S$2:$S$317=$A86),--ISNUMBER('Данные 1st'!$LI$2:$LI$317))</f>
        <v>0</v>
      </c>
      <c r="GJ86">
        <f>SUMPRODUCT(--('Данные 1st'!$S$2:$S$317=$A86),--ISNUMBER('Данные 1st'!$LJ$2:$LJ$317))</f>
        <v>0</v>
      </c>
      <c r="GK86">
        <f>SUMPRODUCT(--('Данные 1st'!$S$2:$S$317=$A86),--ISNUMBER('Данные 1st'!$LK$2:$LK$317))</f>
        <v>5</v>
      </c>
      <c r="GL86">
        <f>SUMPRODUCT(--('Данные 1st'!$S$2:$S$317=$A86),--ISNUMBER('Данные 1st'!$LV$2:$LV$317))</f>
        <v>0</v>
      </c>
      <c r="GM86">
        <f>SUMPRODUCT(--('Данные 1st'!$S$2:$S$317=$A86),--ISNUMBER('Данные 1st'!$LW$2:$LW$317))</f>
        <v>0</v>
      </c>
      <c r="GN86">
        <f>SUMPRODUCT(--('Данные 1st'!$S$2:$S$317=$A86),--ISNUMBER('Данные 1st'!$LX$2:$LX$317))</f>
        <v>0</v>
      </c>
      <c r="GO86">
        <f>SUMPRODUCT(--('Данные 1st'!$S$2:$S$317=$A86),--ISNUMBER('Данные 1st'!$LY$2:$LY$317))</f>
        <v>0</v>
      </c>
      <c r="GP86">
        <f>SUMPRODUCT(--('Данные 1st'!$S$2:$S$317=$A86),--ISNUMBER('Данные 1st'!$LZ$2:$LZ$317))</f>
        <v>0</v>
      </c>
      <c r="GQ86">
        <f>SUMPRODUCT(--('Данные 1st'!$S$2:$S$317=$A86),--ISNUMBER('Данные 1st'!$PG$2:$PG$317))</f>
        <v>5</v>
      </c>
      <c r="GR86">
        <f>SUMPRODUCT(--('Данные 1st'!$S$2:$S$317=$A86),--ISNUMBER('Данные 1st'!$PX$2:$PX$317))</f>
        <v>5</v>
      </c>
      <c r="GS86">
        <f>SUMPRODUCT(--('Данные 1st'!$S$2:$S$317=$A86),--ISNUMBER('Данные 1st'!$PY$2:$PY$317))</f>
        <v>5</v>
      </c>
      <c r="GT86">
        <f>SUMPRODUCT(--('Данные 1st'!$S$2:$S$317=$A86),--ISNUMBER('Данные 1st'!$QA$2:$QA$317))</f>
        <v>5</v>
      </c>
      <c r="GU86">
        <f>SUMPRODUCT(--('Данные 1st'!$S$2:$S$317=$A86),--ISNUMBER('Данные 1st'!$QB$2:$QB$317))</f>
        <v>5</v>
      </c>
      <c r="GV86">
        <f>SUMPRODUCT(--('Данные 1st'!$S$2:$S$317=$A86),--ISNUMBER('Данные 1st'!$QC$2:$QC$317))</f>
        <v>5</v>
      </c>
      <c r="GW86">
        <f>SUMPRODUCT(--('Данные 1st'!$S$2:$S$317=$A86),--ISNUMBER('Данные 1st'!$QD$2:$QD$317))</f>
        <v>5</v>
      </c>
      <c r="GX86">
        <f>SUMPRODUCT(--('Данные 1st'!$S$2:$S$317=$A86),--ISNUMBER('Данные 1st'!$QF$2:$QF$317))</f>
        <v>5</v>
      </c>
      <c r="GY86">
        <f>SUMPRODUCT(--('Данные 1st'!$S$2:$S$317=$A86),--ISNUMBER('Данные 1st'!$QG$2:$QG$317))</f>
        <v>5</v>
      </c>
      <c r="GZ86">
        <f>SUMPRODUCT(--('Данные 1st'!$S$2:$S$317=$A86),--ISNUMBER('Данные 1st'!$QH$2:$QH$317))</f>
        <v>5</v>
      </c>
      <c r="HA86">
        <f>SUMPRODUCT(--('Данные 1st'!$S$2:$S$317=$A86),--ISNUMBER('Данные 1st'!$QI$2:$QI$317))</f>
        <v>5</v>
      </c>
      <c r="HB86">
        <f>SUMPRODUCT(--('Данные 1st'!$S$2:$S$317=$A86),--ISNUMBER('Данные 1st'!$QK$2:$QK$317))</f>
        <v>5</v>
      </c>
      <c r="HC86">
        <f>SUMPRODUCT(--('Данные 1st'!$S$2:$S$317=$A86),--ISNUMBER('Данные 1st'!$QL$2:$QL$317))</f>
        <v>5</v>
      </c>
      <c r="HD86">
        <f>SUMPRODUCT(--('Данные 1st'!$S$2:$S$317=$A86),--ISNUMBER('Данные 1st'!$QM$2:$QM$317))</f>
        <v>5</v>
      </c>
      <c r="HE86">
        <f>SUMPRODUCT(--('Данные 1st'!$S$2:$S$317=$A86),--ISNUMBER('Данные 1st'!$QN$2:$QN$317))</f>
        <v>5</v>
      </c>
      <c r="HF86">
        <f>SUMPRODUCT(--('Данные 1st'!$S$2:$S$317=$A86),--ISNUMBER('Данные 1st'!$QP$2:$QP$317))</f>
        <v>5</v>
      </c>
      <c r="HG86">
        <f>SUMPRODUCT(--('Данные 1st'!$S$2:$S$317=$A86),--ISNUMBER('Данные 1st'!$QQ$2:$QQ$317))</f>
        <v>5</v>
      </c>
      <c r="HH86">
        <f>SUMPRODUCT(--('Данные 1st'!$S$2:$S$317=$A86),--ISNUMBER('Данные 1st'!$QR$2:$QR$317))</f>
        <v>5</v>
      </c>
      <c r="HI86">
        <f>SUMPRODUCT(--('Данные 1st'!$S$2:$S$317=$A86),--ISNUMBER('Данные 1st'!$QS$2:$QS$317))</f>
        <v>5</v>
      </c>
      <c r="HJ86">
        <f>SUMPRODUCT(--('Данные 1st'!$S$2:$S$317=$A86),--ISNUMBER('Данные 1st'!$QU$2:$QU$317))</f>
        <v>5</v>
      </c>
      <c r="HK86">
        <f>SUMPRODUCT(--('Данные 1st'!$S$2:$S$317=$A86),--ISNUMBER('Данные 1st'!$QV$2:$QV$317))</f>
        <v>5</v>
      </c>
      <c r="HL86">
        <f>SUMPRODUCT(--('Данные 1st'!$S$2:$S$317=$A86),--ISNUMBER('Данные 1st'!$QW$2:$QW$317))</f>
        <v>5</v>
      </c>
      <c r="HM86">
        <f>SUMPRODUCT(--('Данные 1st'!$S$2:$S$317=$A86),--ISNUMBER('Данные 1st'!$QX$2:$QX$317))</f>
        <v>5</v>
      </c>
      <c r="HN86">
        <f>SUMPRODUCT(--('Данные 1st'!$S$2:$S$317=$A86),--ISNUMBER('Данные 1st'!$QZ$2:$QZ$317))</f>
        <v>5</v>
      </c>
      <c r="HO86">
        <f>SUMPRODUCT(--('Данные 1st'!$S$2:$S$317=$A86),--ISNUMBER('Данные 1st'!$RA$2:$RA$317))</f>
        <v>5</v>
      </c>
      <c r="HP86">
        <f>SUMPRODUCT(--('Данные 1st'!$S$2:$S$317=$A86),--ISNUMBER('Данные 1st'!$RB$2:$RB$317))</f>
        <v>5</v>
      </c>
      <c r="HQ86">
        <f>SUMPRODUCT(--('Данные 1st'!$S$2:$S$317=$A86),--ISNUMBER('Данные 1st'!$RD$2:$RD$317))</f>
        <v>1</v>
      </c>
      <c r="HR86">
        <f>SUMPRODUCT(--('Данные 1st'!$S$2:$S$317=$A86),--ISNUMBER('Данные 1st'!$RE$2:$RE$317))</f>
        <v>5</v>
      </c>
      <c r="HS86">
        <f>SUMPRODUCT(--('Данные 1st'!$S$2:$S$317=$A86),--ISNUMBER('Данные 1st'!$RF$2:$RF$317))</f>
        <v>5</v>
      </c>
      <c r="HT86">
        <f>SUMPRODUCT(--('Данные 1st'!$S$2:$S$317=$A86),--ISNUMBER('Данные 1st'!$RG$2:$RG$317))</f>
        <v>0</v>
      </c>
      <c r="HU86">
        <f>SUMPRODUCT(--('Данные 1st'!$S$2:$S$317=$A86),--ISNUMBER('Данные 1st'!$RH$2:$RH$317))</f>
        <v>5</v>
      </c>
      <c r="HV86">
        <f>SUMPRODUCT(--('Данные 1st'!$S$2:$S$317=$A86),--ISNUMBER('Данные 1st'!$RI$2:$RI$317))</f>
        <v>0</v>
      </c>
      <c r="HW86">
        <f>SUMPRODUCT(--('Данные 1st'!$S$2:$S$317=$A86),--ISNUMBER('Данные 1st'!$RJ$2:$RJ$317))</f>
        <v>5</v>
      </c>
      <c r="HX86">
        <f>SUMPRODUCT(--('Данные 1st'!$S$2:$S$317=$A86),--ISNUMBER('Данные 1st'!$RK$2:$RK$317))</f>
        <v>5</v>
      </c>
      <c r="HY86">
        <f>SUMPRODUCT(--('Данные 1st'!$S$2:$S$317=$A86),--ISNUMBER('Данные 1st'!$RL$2:$RL$317))</f>
        <v>5</v>
      </c>
      <c r="HZ86">
        <f>SUMPRODUCT(--('Данные 1st'!$S$2:$S$317=$A86),--ISNUMBER('Данные 1st'!$RM$2:$RM$317))</f>
        <v>5</v>
      </c>
      <c r="IA86">
        <f>SUMPRODUCT(--('Данные 1st'!$S$2:$S$317=$A86),--ISNUMBER('Данные 1st'!$RN$2:$RN$317))</f>
        <v>1</v>
      </c>
      <c r="IB86">
        <f>SUMPRODUCT(--('Данные 1st'!$S$2:$S$317=$A86),--ISNUMBER('Данные 1st'!$RO$2:$RO$317))</f>
        <v>5</v>
      </c>
      <c r="IC86">
        <f>SUMPRODUCT(--('Данные 1st'!$S$2:$S$317=$A86),--ISNUMBER('Данные 1st'!$RP$2:$RP$317))</f>
        <v>5</v>
      </c>
      <c r="ID86">
        <f>SUMPRODUCT(--('Данные 1st'!$S$2:$S$317=$A86),--ISNUMBER('Данные 1st'!$RQ$2:$RQ$317))</f>
        <v>5</v>
      </c>
      <c r="IE86">
        <f>SUMPRODUCT(--('Данные 1st'!$S$2:$S$317=$A86),--ISNUMBER('Данные 1st'!$RR$2:$RR$317))</f>
        <v>5</v>
      </c>
      <c r="IF86">
        <f>SUMPRODUCT(--('Данные 1st'!$S$2:$S$317=$A86),--ISNUMBER('Данные 1st'!$RS$2:$RS$317))</f>
        <v>1</v>
      </c>
      <c r="IG86">
        <f>SUMPRODUCT(--('Данные 1st'!$S$2:$S$317=$A86),--ISNUMBER('Данные 1st'!$RT$2:$RT$317))</f>
        <v>5</v>
      </c>
      <c r="IH86">
        <f>SUMPRODUCT(--('Данные 1st'!$S$2:$S$317=$A86),--ISNUMBER('Данные 1st'!$RU$2:$RU$317))</f>
        <v>5</v>
      </c>
      <c r="II86">
        <f>SUMPRODUCT(--('Данные 1st'!$S$2:$S$317=$A86),--ISNUMBER('Данные 1st'!$RX$2:$RX$317))</f>
        <v>5</v>
      </c>
      <c r="IJ86">
        <f>SUMPRODUCT(--('Данные 1st'!$S$2:$S$317=$A86),--ISNUMBER('Данные 1st'!$RY$2:$RY$317))</f>
        <v>5</v>
      </c>
      <c r="IK86">
        <f>SUMPRODUCT(--('Данные 1st'!$S$2:$S$317=$A86),--ISNUMBER('Данные 1st'!$SA$2:$SA$317))</f>
        <v>5</v>
      </c>
      <c r="IL86">
        <f>SUMPRODUCT(--('Данные 1st'!$S$2:$S$317=$A86),--ISNUMBER('Данные 1st'!$SD$2:$SD$317))</f>
        <v>5</v>
      </c>
      <c r="IM86">
        <f>SUMPRODUCT(--('Данные 1st'!$S$2:$S$317=$A86),--ISNUMBER('Данные 1st'!$SG$2:$SG$317))</f>
        <v>5</v>
      </c>
      <c r="IN86">
        <f>SUMPRODUCT(--('Данные 1st'!$S$2:$S$317=$A86),--ISNUMBER('Данные 1st'!$SH$2:$SH$317))</f>
        <v>5</v>
      </c>
      <c r="IO86">
        <f>SUMPRODUCT(--('Данные 1st'!$S$2:$S$317=$A86),--ISNUMBER('Данные 1st'!$SI$2:$SI$317))</f>
        <v>5</v>
      </c>
      <c r="IP86">
        <f>SUMPRODUCT(--('Данные 1st'!$S$2:$S$317=$A86),--ISNUMBER('Данные 1st'!$SJ$2:$SJ$317))</f>
        <v>5</v>
      </c>
      <c r="IQ86">
        <f>SUMPRODUCT(--('Данные 1st'!$S$2:$S$317=$A86),--ISNUMBER('Данные 1st'!$SK$2:$SK$317))</f>
        <v>5</v>
      </c>
      <c r="IR86">
        <f>SUMPRODUCT(--('Данные 1st'!$S$2:$S$317=$A86),--ISNUMBER('Данные 1st'!$SL$2:$SL$317))</f>
        <v>5</v>
      </c>
      <c r="IS86">
        <f>SUMPRODUCT(--('Данные 1st'!$S$2:$S$317=$A86),--ISNUMBER('Данные 1st'!$SM$2:$SM$317))</f>
        <v>5</v>
      </c>
      <c r="IT86">
        <f>SUMPRODUCT(--('Данные 1st'!$S$2:$S$317=$A86),--ISNUMBER('Данные 1st'!$SN$2:$SN$317))</f>
        <v>5</v>
      </c>
      <c r="IU86">
        <f>SUMPRODUCT(--('Данные 1st'!$S$2:$S$317=$A86),--ISNUMBER('Данные 1st'!$SO$2:$SO$317))</f>
        <v>5</v>
      </c>
      <c r="IV86">
        <f>SUMPRODUCT(--('Данные 1st'!$S$2:$S$317=$A86),--ISNUMBER('Данные 1st'!$SP$2:$SP$317))</f>
        <v>5</v>
      </c>
      <c r="IW86">
        <f>SUMPRODUCT(--('Данные 1st'!$S$2:$S$317=$A86),--ISNUMBER('Данные 1st'!$SQ$2:$SQ$317))</f>
        <v>5</v>
      </c>
      <c r="IX86">
        <f>SUMPRODUCT(--('Данные 1st'!$S$2:$S$317=$A86),--ISNUMBER('Данные 1st'!$SR$2:$SR$317))</f>
        <v>5</v>
      </c>
      <c r="IY86">
        <f>SUMPRODUCT(--('Данные 1st'!$S$2:$S$317=$A86),--ISNUMBER('Данные 1st'!$SS$2:$SS$317))</f>
        <v>5</v>
      </c>
      <c r="IZ86">
        <f>SUMPRODUCT(--('Данные 1st'!$S$2:$S$317=$A86),--ISNUMBER('Данные 1st'!$ST$2:$ST$317))</f>
        <v>5</v>
      </c>
      <c r="JA86">
        <f>SUMPRODUCT(--('Данные 1st'!$S$2:$S$317=$A86),--ISNUMBER('Данные 1st'!$SU$2:$SU$317))</f>
        <v>5</v>
      </c>
      <c r="JB86">
        <f>SUMPRODUCT(--('Данные 1st'!$S$2:$S$317=$A86),--ISNUMBER('Данные 1st'!$SV$2:$SV$317))</f>
        <v>5</v>
      </c>
      <c r="JC86">
        <f>SUMPRODUCT(--('Данные 1st'!$S$2:$S$317=$A86),--ISNUMBER('Данные 1st'!$SW$2:$SW$317))</f>
        <v>5</v>
      </c>
      <c r="JD86">
        <f>SUMPRODUCT(--('Данные 1st'!$S$2:$S$317=$A86),--ISNUMBER('Данные 1st'!$SX$2:$SX$317))</f>
        <v>5</v>
      </c>
      <c r="JE86">
        <f>SUMPRODUCT(--('Данные 1st'!$S$2:$S$317=$A86),--ISNUMBER('Данные 1st'!$SY$2:$SY$317))</f>
        <v>5</v>
      </c>
      <c r="JF86">
        <f>SUMPRODUCT(--('Данные 1st'!$S$2:$S$317=$A86),--ISNUMBER('Данные 1st'!$SZ$2:$SZ$317))</f>
        <v>5</v>
      </c>
      <c r="JG86">
        <f>SUMPRODUCT(--('Данные 1st'!$S$2:$S$317=$A86),--ISNUMBER('Данные 1st'!$TA$2:$TA$317))</f>
        <v>1</v>
      </c>
      <c r="JH86">
        <f>SUMPRODUCT(--('Данные 1st'!$S$2:$S$317=$A86),--ISNUMBER('Данные 1st'!$TB$2:$TB$317))</f>
        <v>5</v>
      </c>
      <c r="JI86">
        <f>SUMPRODUCT(--('Данные 1st'!$S$2:$S$317=$A86),--ISNUMBER('Данные 1st'!$TC$2:$TC$317))</f>
        <v>5</v>
      </c>
      <c r="JJ86">
        <f>SUMPRODUCT(--('Данные 1st'!$S$2:$S$317=$A86),--ISNUMBER('Данные 1st'!$TD$2:$TD$317))</f>
        <v>5</v>
      </c>
      <c r="JK86">
        <f>SUMPRODUCT(--('Данные 1st'!$S$2:$S$317=$A86),--ISNUMBER('Данные 1st'!$TN$2:$TN$317))</f>
        <v>5</v>
      </c>
      <c r="JQ86">
        <f>SUMPRODUCT(--('Данные 2st'!$Q$2:$Q$317=$A86),--ISNUMBER('Данные 2st'!$AC$2:$AC$317))</f>
        <v>5</v>
      </c>
      <c r="JR86">
        <f>SUMPRODUCT(--('Данные 2st'!$Q$2:$Q$317=$A86),--ISNUMBER('Данные 2st'!$AF$2:$AF$317))</f>
        <v>5</v>
      </c>
      <c r="JS86">
        <f>SUMPRODUCT(--('Данные 2st'!$Q$2:$Q$317=$A86),--ISNUMBER('Данные 2st'!$AW$2:$AW$317))</f>
        <v>5</v>
      </c>
      <c r="JT86">
        <f>SUMPRODUCT(--('Данные 2st'!$Q$2:$Q$317=$A86),--ISNUMBER('Данные 2st'!$AX$2:$AX$317))</f>
        <v>5</v>
      </c>
      <c r="JU86">
        <f>SUMPRODUCT(--('Данные 2st'!$Q$2:$Q$317=$A86),--ISNUMBER('Данные 2st'!$AY$2:$AY$317))</f>
        <v>5</v>
      </c>
      <c r="JV86">
        <f>SUMPRODUCT(--('Данные 2st'!$Q$2:$Q$317=$A86),--ISNUMBER('Данные 2st'!$AZ$2:$AZ$317))</f>
        <v>5</v>
      </c>
      <c r="JW86">
        <f>SUMPRODUCT(--('Данные 2st'!$Q$2:$Q$317=$A86),--ISNUMBER('Данные 2st'!$BA$2:$BA$317))</f>
        <v>0</v>
      </c>
      <c r="JX86">
        <f>SUMPRODUCT(--('Данные 2st'!$Q$2:$Q$317=$A86),--ISNUMBER('Данные 2st'!$BB$2:$BB$317))</f>
        <v>0</v>
      </c>
      <c r="JY86">
        <f>SUMPRODUCT(--('Данные 2st'!$Q$2:$Q$317=$A86),--ISNUMBER('Данные 2st'!$BC$2:$BC$317))</f>
        <v>0</v>
      </c>
      <c r="JZ86">
        <f>SUMPRODUCT(--('Данные 2st'!$Q$2:$Q$317=$A86),--ISNUMBER('Данные 2st'!$BH$2:$BH$317))</f>
        <v>5</v>
      </c>
      <c r="KA86">
        <f>SUMPRODUCT(--('Данные 2st'!$Q$2:$Q$317=$A86),--ISNUMBER('Данные 2st'!$BI$2:$BI$317))</f>
        <v>5</v>
      </c>
      <c r="KB86">
        <f>SUMPRODUCT(--('Данные 2st'!$Q$2:$Q$317=$A86),--ISNUMBER('Данные 2st'!$BJ$2:$BJ$317))</f>
        <v>5</v>
      </c>
      <c r="KC86">
        <f>SUMPRODUCT(--('Данные 2st'!$Q$2:$Q$317=$A86),--ISNUMBER('Данные 2st'!$BK$2:$BK$317))</f>
        <v>5</v>
      </c>
      <c r="KD86">
        <f>SUMPRODUCT(--('Данные 2st'!$Q$2:$Q$317=$A86),--ISNUMBER('Данные 2st'!$BL$2:$BL$317))</f>
        <v>5</v>
      </c>
      <c r="KE86">
        <f>SUMPRODUCT(--('Данные 2st'!$Q$2:$Q$317=$A86),--ISNUMBER('Данные 2st'!$BM$2:$BM$317))</f>
        <v>5</v>
      </c>
      <c r="KF86">
        <f>SUMPRODUCT(--('Данные 2st'!$Q$2:$Q$317=$A86),--ISNUMBER('Данные 2st'!$BN$2:$BN$317))</f>
        <v>5</v>
      </c>
      <c r="KG86">
        <f>SUMPRODUCT(--('Данные 2st'!$Q$2:$Q$317=$A86),--ISNUMBER('Данные 2st'!$BO$2:$BO$317))</f>
        <v>3</v>
      </c>
      <c r="KH86">
        <f>SUMPRODUCT(--('Данные 2st'!$Q$2:$Q$317=$A86),--ISNUMBER('Данные 2st'!$BP$2:$BP$317))</f>
        <v>5</v>
      </c>
      <c r="KI86">
        <f>SUMPRODUCT(--('Данные 2st'!$Q$2:$Q$317=$A86),--ISNUMBER('Данные 2st'!$BR$2:$BR$317))</f>
        <v>5</v>
      </c>
      <c r="KJ86">
        <f>SUMPRODUCT(--('Данные 2st'!$Q$2:$Q$317=$A86),--ISNUMBER('Данные 2st'!$BS$2:$BS$317))</f>
        <v>5</v>
      </c>
      <c r="KK86">
        <f>SUMPRODUCT(--('Данные 2st'!$Q$2:$Q$317=$A86),--ISNUMBER('Данные 2st'!$BT$2:$BT$317))</f>
        <v>5</v>
      </c>
      <c r="KL86">
        <f>SUMPRODUCT(--('Данные 2st'!$Q$2:$Q$317=$A86),--ISNUMBER('Данные 2st'!$CV$2:$CV$317))</f>
        <v>5</v>
      </c>
      <c r="KM86">
        <f>SUMPRODUCT(--('Данные 2st'!$Q$2:$Q$317=$A86),--ISNUMBER('Данные 2st'!$CW$2:$CW$317))</f>
        <v>5</v>
      </c>
      <c r="KN86">
        <f>SUMPRODUCT(--('Данные 2st'!$Q$2:$Q$317=$A86),--ISNUMBER('Данные 2st'!$CX$2:$CX$317))</f>
        <v>5</v>
      </c>
      <c r="KO86">
        <f>SUMPRODUCT(--('Данные 2st'!$Q$2:$Q$317=$A86),--ISNUMBER('Данные 2st'!$CY$2:$CY$317))</f>
        <v>5</v>
      </c>
      <c r="KP86">
        <f>SUMPRODUCT(--('Данные 2st'!$Q$2:$Q$317=$A86),--ISNUMBER('Данные 2st'!$CZ$2:$CZ$317))</f>
        <v>5</v>
      </c>
      <c r="KQ86">
        <f>SUMPRODUCT(--('Данные 2st'!$Q$2:$Q$317=$A86),--ISNUMBER('Данные 2st'!$DA$2:$DA$317))</f>
        <v>5</v>
      </c>
      <c r="KR86">
        <f>SUMPRODUCT(--('Данные 2st'!$Q$2:$Q$317=$A86),--ISNUMBER('Данные 2st'!$DB$2:$DB$317))</f>
        <v>5</v>
      </c>
      <c r="KS86">
        <f>SUMPRODUCT(--('Данные 2st'!$Q$2:$Q$317=$A86),--ISNUMBER('Данные 2st'!$DC$2:$DC$317))</f>
        <v>5</v>
      </c>
      <c r="KT86">
        <f>SUMPRODUCT(--('Данные 2st'!$Q$2:$Q$317=$A86),--ISNUMBER('Данные 2st'!$DD$2:$DD$317))</f>
        <v>5</v>
      </c>
      <c r="KU86">
        <f>SUMPRODUCT(--('Данные 2st'!$Q$2:$Q$317=$A86),--ISNUMBER('Данные 2st'!$DE$2:$DE$317))</f>
        <v>5</v>
      </c>
      <c r="KV86">
        <f>SUMPRODUCT(--('Данные 2st'!$Q$2:$Q$317=$A86),--ISNUMBER('Данные 2st'!$DF$2:$DF$317))</f>
        <v>5</v>
      </c>
      <c r="KW86">
        <f>SUMPRODUCT(--('Данные 2st'!$Q$2:$Q$317=$A86),--ISNUMBER('Данные 2st'!$DG$2:$DG$317))</f>
        <v>5</v>
      </c>
      <c r="KX86">
        <f>SUMPRODUCT(--('Данные 2st'!$Q$2:$Q$317=$A86),--ISNUMBER('Данные 2st'!$DH$2:$DH$317))</f>
        <v>5</v>
      </c>
      <c r="KY86">
        <f>SUMPRODUCT(--('Данные 2st'!$Q$2:$Q$317=$A86),--ISNUMBER('Данные 2st'!$DI$2:$DI$317))</f>
        <v>1</v>
      </c>
      <c r="KZ86">
        <f>SUMPRODUCT(--('Данные 2st'!$Q$2:$Q$317=$A86),--ISNUMBER('Данные 2st'!$DK$2:$DK$317))</f>
        <v>5</v>
      </c>
      <c r="LA86">
        <f>SUMPRODUCT(--('Данные 2st'!$Q$2:$Q$317=$A86),--ISNUMBER('Данные 2st'!$DM$2:$DM$317))</f>
        <v>5</v>
      </c>
      <c r="LB86">
        <f>SUMPRODUCT(--('Данные 2st'!$Q$2:$Q$317=$A86),--ISNUMBER('Данные 2st'!$DN$2:$DN$317))</f>
        <v>5</v>
      </c>
      <c r="LC86">
        <f>SUMPRODUCT(--('Данные 2st'!$Q$2:$Q$317=$A86),--ISNUMBER('Данные 2st'!$DO$2:$DO$317))</f>
        <v>5</v>
      </c>
      <c r="LD86">
        <f>SUMPRODUCT(--('Данные 2st'!$Q$2:$Q$317=$A86),--ISNUMBER('Данные 2st'!$DP$2:$DP$317))</f>
        <v>5</v>
      </c>
      <c r="LE86">
        <f>SUMPRODUCT(--('Данные 2st'!$Q$2:$Q$317=$A86),--ISNUMBER('Данные 2st'!$DQ$2:$DQ$317))</f>
        <v>5</v>
      </c>
      <c r="LF86">
        <f>SUMPRODUCT(--('Данные 2st'!$Q$2:$Q$317=$A86),--ISNUMBER('Данные 2st'!$DS$2:$DS$317))</f>
        <v>5</v>
      </c>
      <c r="LG86">
        <f>SUMPRODUCT(--('Данные 2st'!$Q$2:$Q$317=$A86),--ISNUMBER('Данные 2st'!$DU$2:$DU$317))</f>
        <v>5</v>
      </c>
      <c r="LH86">
        <f>SUMPRODUCT(--('Данные 2st'!$Q$2:$Q$317=$A86),--ISNUMBER('Данные 2st'!$DV$2:$DV$317))</f>
        <v>5</v>
      </c>
      <c r="LI86">
        <f>SUMPRODUCT(--('Данные 2st'!$Q$2:$Q$317=$A86),--ISNUMBER('Данные 2st'!$DW$2:$DW$317))</f>
        <v>5</v>
      </c>
      <c r="LJ86">
        <f>SUMPRODUCT(--('Данные 2st'!$Q$2:$Q$317=$A86),--ISNUMBER('Данные 2st'!$DX$2:$DX$317))</f>
        <v>5</v>
      </c>
      <c r="LK86">
        <f>SUMPRODUCT(--('Данные 2st'!$Q$2:$Q$317=$A86),--ISNUMBER('Данные 2st'!$DY$2:$DY$317))</f>
        <v>5</v>
      </c>
      <c r="LL86">
        <f>SUMPRODUCT(--('Данные 2st'!$Q$2:$Q$317=$A86),--ISNUMBER('Данные 2st'!$EA$2:$EA$317))</f>
        <v>5</v>
      </c>
      <c r="LM86">
        <f>SUMPRODUCT(--('Данные 2st'!$Q$2:$Q$317=$A86),--ISNUMBER('Данные 2st'!$EC$2:$EC$317))</f>
        <v>5</v>
      </c>
      <c r="LN86">
        <f>SUMPRODUCT(--('Данные 2st'!$Q$2:$Q$317=$A86),--ISNUMBER('Данные 2st'!$ED$2:$ED$317))</f>
        <v>5</v>
      </c>
      <c r="LO86">
        <f>SUMPRODUCT(--('Данные 2st'!$Q$2:$Q$317=$A86),--ISNUMBER('Данные 2st'!$EE$2:$EE$317))</f>
        <v>5</v>
      </c>
      <c r="LP86">
        <f>SUMPRODUCT(--('Данные 2st'!$Q$2:$Q$317=$A86),--ISNUMBER('Данные 2st'!$EG$2:$EG$317))</f>
        <v>5</v>
      </c>
      <c r="LQ86">
        <f>SUMPRODUCT(--('Данные 2st'!$Q$2:$Q$317=$A86),--ISNUMBER('Данные 2st'!$EI$2:$EI$317))</f>
        <v>5</v>
      </c>
      <c r="LR86">
        <f>SUMPRODUCT(--('Данные 2st'!$Q$2:$Q$317=$A86),--ISNUMBER('Данные 2st'!$EJ$2:$EJ$317))</f>
        <v>0</v>
      </c>
      <c r="LS86">
        <f>SUMPRODUCT(--('Данные 2st'!$Q$2:$Q$317=$A86),--ISNUMBER('Данные 2st'!$EK$2:$EK$317))</f>
        <v>0</v>
      </c>
      <c r="LT86">
        <f>SUMPRODUCT(--('Данные 2st'!$Q$2:$Q$317=$A86),--ISNUMBER('Данные 2st'!$EM$2:$EM$317))</f>
        <v>5</v>
      </c>
      <c r="LU86">
        <f>SUMPRODUCT(--('Данные 2st'!$Q$2:$Q$317=$A86),--ISNUMBER('Данные 2st'!$EN$2:$EN$317))</f>
        <v>5</v>
      </c>
      <c r="LV86">
        <f>SUMPRODUCT(--('Данные 2st'!$Q$2:$Q$317=$A86),--ISNUMBER('Данные 2st'!$EO$2:$EO$317))</f>
        <v>5</v>
      </c>
      <c r="LW86">
        <f>SUMPRODUCT(--('Данные 2st'!$Q$2:$Q$317=$A86),--ISNUMBER('Данные 2st'!$EP$2:$EP$317))</f>
        <v>5</v>
      </c>
      <c r="LX86">
        <f>SUMPRODUCT(--('Данные 2st'!$Q$2:$Q$317=$A86),--ISNUMBER('Данные 2st'!$EQ$2:$EQ$317))</f>
        <v>5</v>
      </c>
      <c r="LY86">
        <f>SUMPRODUCT(--('Данные 2st'!$Q$2:$Q$317=$A86),--ISNUMBER('Данные 2st'!$ER$2:$ER$317))</f>
        <v>5</v>
      </c>
      <c r="LZ86">
        <f>SUMPRODUCT(--('Данные 2st'!$Q$2:$Q$317=$A86),--ISNUMBER('Данные 2st'!$ES$2:$ES$317))</f>
        <v>5</v>
      </c>
      <c r="MA86">
        <f>SUMPRODUCT(--('Данные 2st'!$Q$2:$Q$317=$A86),--ISNUMBER('Данные 2st'!$ET$2:$ET$317))</f>
        <v>5</v>
      </c>
      <c r="MB86">
        <f>SUMPRODUCT(--('Данные 2st'!$Q$2:$Q$317=$A86),--ISNUMBER('Данные 2st'!$EU$2:$EU$317))</f>
        <v>5</v>
      </c>
      <c r="MC86">
        <f>SUMPRODUCT(--('Данные 2st'!$Q$2:$Q$317=$A86),--ISNUMBER('Данные 2st'!$EV$2:$EV$317))</f>
        <v>5</v>
      </c>
      <c r="MD86">
        <f>SUMPRODUCT(--('Данные 2st'!$Q$2:$Q$317=$A86),--ISNUMBER('Данные 2st'!$EW$2:$EW$317))</f>
        <v>5</v>
      </c>
      <c r="ME86">
        <f>SUMPRODUCT(--('Данные 2st'!$Q$2:$Q$317=$A86),--ISNUMBER('Данные 2st'!$EY$2:$EY$317))</f>
        <v>5</v>
      </c>
      <c r="MF86">
        <f>SUMPRODUCT(--('Данные 2st'!$Q$2:$Q$317=$A86),--ISNUMBER('Данные 2st'!$FA$2:$FA$317))</f>
        <v>5</v>
      </c>
      <c r="MG86">
        <f>SUMPRODUCT(--('Данные 2st'!$Q$2:$Q$317=$A86),--ISNUMBER('Данные 2st'!$FB$2:$FB$317))</f>
        <v>5</v>
      </c>
      <c r="MH86">
        <f>SUMPRODUCT(--('Данные 2st'!$Q$2:$Q$317=$A86),--ISNUMBER('Данные 2st'!$FC$2:$FC$317))</f>
        <v>5</v>
      </c>
      <c r="MI86">
        <f>SUMPRODUCT(--('Данные 2st'!$Q$2:$Q$317=$A86),--ISNUMBER('Данные 2st'!$FD$2:$FD$317))</f>
        <v>5</v>
      </c>
      <c r="MJ86">
        <f>SUMPRODUCT(--('Данные 2st'!$Q$2:$Q$317=$A86),--ISNUMBER('Данные 2st'!$FE$2:$FE$317))</f>
        <v>5</v>
      </c>
      <c r="MK86">
        <f>SUMPRODUCT(--('Данные 2st'!$Q$2:$Q$317=$A86),--ISNUMBER('Данные 2st'!$FG$2:$FG$317))</f>
        <v>5</v>
      </c>
      <c r="ML86">
        <f>SUMPRODUCT(--('Данные 2st'!$Q$2:$Q$317=$A86),--ISNUMBER('Данные 2st'!$FI$2:$FI$317))</f>
        <v>5</v>
      </c>
      <c r="MM86">
        <f>SUMPRODUCT(--('Данные 2st'!$Q$2:$Q$317=$A86),--ISNUMBER('Данные 2st'!$FJ$2:$FJ$317))</f>
        <v>5</v>
      </c>
      <c r="MN86">
        <f>SUMPRODUCT(--('Данные 2st'!$Q$2:$Q$317=$A86),--ISNUMBER('Данные 2st'!$FK$2:$FK$317))</f>
        <v>5</v>
      </c>
      <c r="MO86">
        <f>SUMPRODUCT(--('Данные 2st'!$Q$2:$Q$317=$A86),--ISNUMBER('Данные 2st'!$FP$2:$FP$317))</f>
        <v>5</v>
      </c>
      <c r="MP86">
        <f>SUMPRODUCT(--('Данные 2st'!$Q$2:$Q$317=$A86),--ISNUMBER('Данные 2st'!$FQ$2:$FQ$317))</f>
        <v>5</v>
      </c>
      <c r="MQ86">
        <f>SUMPRODUCT(--('Данные 2st'!$Q$2:$Q$317=$A86),--ISNUMBER('Данные 2st'!$FS$2:$FS$317))</f>
        <v>5</v>
      </c>
      <c r="MR86">
        <f>SUMPRODUCT(--('Данные 2st'!$Q$2:$Q$317=$A86),--ISNUMBER('Данные 2st'!$FU$2:$FU$317))</f>
        <v>5</v>
      </c>
      <c r="MS86">
        <f>SUMPRODUCT(--('Данные 2st'!$Q$2:$Q$317=$A86),--ISNUMBER('Данные 2st'!$FV$2:$FV$317))</f>
        <v>5</v>
      </c>
      <c r="MT86">
        <f>SUMPRODUCT(--('Данные 2st'!$Q$2:$Q$317=$A86),--ISNUMBER('Данные 2st'!$FW$2:$FW$317))</f>
        <v>5</v>
      </c>
      <c r="MU86">
        <f>SUMPRODUCT(--('Данные 2st'!$Q$2:$Q$317=$A86),--ISNUMBER('Данные 2st'!$FY$2:$FY$317))</f>
        <v>5</v>
      </c>
      <c r="MV86">
        <f>SUMPRODUCT(--('Данные 2st'!$Q$2:$Q$317=$A86),--ISNUMBER('Данные 2st'!$GB$2:$GB$317))</f>
        <v>5</v>
      </c>
      <c r="MW86">
        <f>SUMPRODUCT(--('Данные 2st'!$Q$2:$Q$317=$A86),--ISNUMBER('Данные 2st'!$GC$2:$GC$317))</f>
        <v>5</v>
      </c>
      <c r="MX86">
        <f>SUMPRODUCT(--('Данные 2st'!$Q$2:$Q$317=$A86),--ISNUMBER('Данные 2st'!$GD$2:$GD$317))</f>
        <v>5</v>
      </c>
      <c r="MY86">
        <f>SUMPRODUCT(--('Данные 2st'!$Q$2:$Q$317=$A86),--ISNUMBER('Данные 2st'!$GN$2:$GN$317))</f>
        <v>0</v>
      </c>
      <c r="MZ86">
        <f>SUMPRODUCT(--('Данные 2st'!$Q$2:$Q$317=$A86),--ISNUMBER('Данные 2st'!$GQ$2:$GQ$317))</f>
        <v>5</v>
      </c>
      <c r="NA86">
        <f>SUMPRODUCT(--('Данные 2st'!$Q$2:$Q$317=$A86),--ISNUMBER('Данные 2st'!$GV$2:$GV$317))</f>
        <v>5</v>
      </c>
      <c r="NB86">
        <f>SUMPRODUCT(--('Данные 2st'!$Q$2:$Q$317=$A86),--ISNUMBER('Данные 2st'!$GW$2:$GW$317))</f>
        <v>5</v>
      </c>
      <c r="NC86">
        <f>SUMPRODUCT(--('Данные 2st'!$Q$2:$Q$317=$A86),--ISNUMBER('Данные 2st'!$GX$2:$GX$317))</f>
        <v>5</v>
      </c>
      <c r="ND86">
        <f>SUMPRODUCT(--('Данные 2st'!$Q$2:$Q$317=$A86),--ISNUMBER('Данные 2st'!$GY$2:$GY$317))</f>
        <v>5</v>
      </c>
      <c r="NE86">
        <f>SUMPRODUCT(--('Данные 2st'!$Q$2:$Q$317=$A86),--ISNUMBER('Данные 2st'!$GZ$2:$GZ$317))</f>
        <v>5</v>
      </c>
      <c r="NF86">
        <f>SUMPRODUCT(--('Данные 2st'!$Q$2:$Q$317=$A86),--ISNUMBER('Данные 2st'!$HA$2:$HA$317))</f>
        <v>5</v>
      </c>
      <c r="NG86">
        <f>SUMPRODUCT(--('Данные 2st'!$Q$2:$Q$317=$A86),--ISNUMBER('Данные 2st'!$HB$2:$HB$317))</f>
        <v>5</v>
      </c>
      <c r="NH86">
        <f>SUMPRODUCT(--('Данные 2st'!$Q$2:$Q$317=$A86),--ISNUMBER('Данные 2st'!$HC$2:$HC$317))</f>
        <v>5</v>
      </c>
      <c r="NI86">
        <f>SUMPRODUCT(--('Данные 2st'!$Q$2:$Q$317=$A86),--ISNUMBER('Данные 2st'!$HD$2:$HD$317))</f>
        <v>5</v>
      </c>
      <c r="NJ86">
        <f>SUMPRODUCT(--('Данные 2st'!$Q$2:$Q$317=$A86),--ISNUMBER('Данные 2st'!$HM$2:$HM$317))</f>
        <v>5</v>
      </c>
      <c r="NK86">
        <f>SUMPRODUCT(--('Данные 2st'!$Q$2:$Q$317=$A86),--ISNUMBER('Данные 2st'!$HR$2:$HR$317))</f>
        <v>5</v>
      </c>
      <c r="NL86">
        <f>SUMPRODUCT(--('Данные 2st'!$Q$2:$Q$317=$A86),--ISNUMBER('Данные 2st'!$HS$2:$HS$317))</f>
        <v>5</v>
      </c>
      <c r="NM86">
        <f>SUMPRODUCT(--('Данные 2st'!$Q$2:$Q$317=$A86),--ISNUMBER('Данные 2st'!$HT$2:$HT$317))</f>
        <v>5</v>
      </c>
      <c r="NN86">
        <f>SUMPRODUCT(--('Данные 2st'!$Q$2:$Q$317=$A86),--ISNUMBER('Данные 2st'!$HY$2:$HY$317))</f>
        <v>5</v>
      </c>
      <c r="NO86">
        <f>SUMPRODUCT(--('Данные 2st'!$Q$2:$Q$317=$A86),--ISNUMBER('Данные 2st'!$HZ$2:$HZ$317))</f>
        <v>5</v>
      </c>
      <c r="NP86">
        <f>SUMPRODUCT(--('Данные 2st'!$Q$2:$Q$317=$A86),--ISNUMBER('Данные 2st'!$IA$2:$IA$317))</f>
        <v>5</v>
      </c>
      <c r="NQ86">
        <f>SUMPRODUCT(--('Данные 2st'!$Q$2:$Q$317=$A86),--ISNUMBER('Данные 2st'!$IB$2:$IB$317))</f>
        <v>5</v>
      </c>
      <c r="NR86">
        <f>SUMPRODUCT(--('Данные 2st'!$Q$2:$Q$317=$A86),--ISNUMBER('Данные 2st'!$IC$2:$IC$317))</f>
        <v>0</v>
      </c>
      <c r="NS86">
        <f>SUMPRODUCT(--('Данные 2st'!$Q$2:$Q$317=$A86),--ISNUMBER('Данные 2st'!$ID$2:$ID$317))</f>
        <v>5</v>
      </c>
      <c r="NT86">
        <f>SUMPRODUCT(--('Данные 2st'!$Q$2:$Q$317=$A86),--ISNUMBER('Данные 2st'!$IE$2:$IE$317))</f>
        <v>5</v>
      </c>
      <c r="NU86">
        <f>SUMPRODUCT(--('Данные 2st'!$Q$2:$Q$317=$A86),--ISNUMBER('Данные 2st'!$IF$2:$IF$317))</f>
        <v>5</v>
      </c>
      <c r="NV86">
        <f>SUMPRODUCT(--('Данные 2st'!$Q$2:$Q$317=$A86),--ISNUMBER('Данные 2st'!$IG$2:$IG$317))</f>
        <v>5</v>
      </c>
      <c r="NW86">
        <f>SUMPRODUCT(--('Данные 2st'!$Q$2:$Q$317=$A86),--ISNUMBER('Данные 2st'!$IH$2:$IH$317))</f>
        <v>5</v>
      </c>
      <c r="NX86">
        <f>SUMPRODUCT(--('Данные 2st'!$Q$2:$Q$317=$A86),--ISNUMBER('Данные 2st'!$IJ$2:$IJ$317))</f>
        <v>5</v>
      </c>
      <c r="NY86">
        <f>SUMPRODUCT(--('Данные 2st'!$Q$2:$Q$317=$A86),--ISNUMBER('Данные 2st'!$IM$2:$IM$317))</f>
        <v>5</v>
      </c>
      <c r="NZ86">
        <f>SUMPRODUCT(--('Данные 2st'!$Q$2:$Q$317=$A86),--ISNUMBER('Данные 2st'!$IN$2:$IN$317))</f>
        <v>5</v>
      </c>
      <c r="OA86">
        <f>SUMPRODUCT(--('Данные 2st'!$Q$2:$Q$317=$A86),--ISNUMBER('Данные 2st'!$IO$2:$IO$317))</f>
        <v>5</v>
      </c>
      <c r="OB86">
        <f>SUMPRODUCT(--('Данные 2st'!$Q$2:$Q$317=$A86),--ISNUMBER('Данные 2st'!$IP$2:$IP$317))</f>
        <v>5</v>
      </c>
      <c r="OC86">
        <f>SUMPRODUCT(--('Данные 2st'!$Q$2:$Q$317=$A86),--ISNUMBER('Данные 2st'!$IQ$2:$IQ$317))</f>
        <v>5</v>
      </c>
      <c r="OD86">
        <f>SUMPRODUCT(--('Данные 2st'!$Q$2:$Q$317=$A86),--ISNUMBER('Данные 2st'!$IR$2:$IR$317))</f>
        <v>5</v>
      </c>
      <c r="OE86">
        <f>SUMPRODUCT(--('Данные 2st'!$Q$2:$Q$317=$A86),--ISNUMBER('Данные 2st'!$IT$2:$IT$317))</f>
        <v>5</v>
      </c>
      <c r="OF86">
        <f>SUMPRODUCT(--('Данные 2st'!$Q$2:$Q$317=$A86),--ISNUMBER('Данные 2st'!$IU$2:$IU$317))</f>
        <v>5</v>
      </c>
      <c r="OG86">
        <f>SUMPRODUCT(--('Данные 2st'!$Q$2:$Q$317=$A86),--ISNUMBER('Данные 2st'!$IV$2:$IV$317))</f>
        <v>5</v>
      </c>
      <c r="OH86">
        <f>SUMPRODUCT(--('Данные 2st'!$Q$2:$Q$317=$A86),--ISNUMBER('Данные 2st'!$IW$2:$IW$317))</f>
        <v>5</v>
      </c>
      <c r="OI86">
        <f>SUMPRODUCT(--('Данные 2st'!$Q$2:$Q$317=$A86),--ISNUMBER('Данные 2st'!$IX$2:$IX$317))</f>
        <v>5</v>
      </c>
      <c r="OJ86">
        <f>SUMPRODUCT(--('Данные 2st'!$Q$2:$Q$317=$A86),--ISNUMBER('Данные 2st'!$IY$2:$IY$317))</f>
        <v>5</v>
      </c>
      <c r="OK86">
        <f>SUMPRODUCT(--('Данные 2st'!$Q$2:$Q$317=$A86),--ISNUMBER('Данные 2st'!$IZ$2:$IZ$317))</f>
        <v>5</v>
      </c>
      <c r="OL86">
        <f>SUMPRODUCT(--('Данные 2st'!$Q$2:$Q$317=$A86),--ISNUMBER('Данные 2st'!$JA$2:$JA$317))</f>
        <v>5</v>
      </c>
      <c r="OM86">
        <f>SUMPRODUCT(--('Данные 2st'!$Q$2:$Q$317=$A86),--ISNUMBER('Данные 2st'!$JB$2:$JB$317))</f>
        <v>5</v>
      </c>
      <c r="ON86">
        <f>SUMPRODUCT(--('Данные 2st'!$Q$2:$Q$317=$A86),--ISNUMBER('Данные 2st'!$JC$2:$JC$317))</f>
        <v>5</v>
      </c>
      <c r="OO86">
        <f>SUMPRODUCT(--('Данные 2st'!$Q$2:$Q$317=$A86),--ISNUMBER('Данные 2st'!$JD$2:$JD$317))</f>
        <v>5</v>
      </c>
      <c r="OP86">
        <f>SUMPRODUCT(--('Данные 2st'!$Q$2:$Q$317=$A86),--ISNUMBER('Данные 2st'!$JE$2:$JE$317))</f>
        <v>5</v>
      </c>
      <c r="OQ86">
        <f>SUMPRODUCT(--('Данные 2st'!$Q$2:$Q$317=$A86),--ISNUMBER('Данные 2st'!$JF$2:$JF$317))</f>
        <v>5</v>
      </c>
      <c r="OR86">
        <f>SUMPRODUCT(--('Данные 2st'!$Q$2:$Q$317=$A86),--ISNUMBER('Данные 2st'!$JG$2:$JG$317))</f>
        <v>5</v>
      </c>
      <c r="OS86">
        <f>SUMPRODUCT(--('Данные 2st'!$Q$2:$Q$317=$A86),--ISNUMBER('Данные 2st'!$JH$2:$JH$317))</f>
        <v>5</v>
      </c>
      <c r="OT86">
        <f>SUMPRODUCT(--('Данные 2st'!$Q$2:$Q$317=$A86),--ISNUMBER('Данные 2st'!$JI$2:$JI$317))</f>
        <v>5</v>
      </c>
      <c r="OU86">
        <f>SUMPRODUCT(--('Данные 2st'!$Q$2:$Q$317=$A86),--ISNUMBER('Данные 2st'!$JJ$2:$JJ$317))</f>
        <v>5</v>
      </c>
      <c r="OV86">
        <f>SUMPRODUCT(--('Данные 2st'!$Q$2:$Q$317=$A86),--ISNUMBER('Данные 2st'!$JK$2:$JK$317))</f>
        <v>5</v>
      </c>
      <c r="OW86">
        <f>SUMPRODUCT(--('Данные 2st'!$Q$2:$Q$317=$A86),--ISNUMBER('Данные 2st'!$JL$2:$JL$317))</f>
        <v>5</v>
      </c>
      <c r="OX86">
        <f>SUMPRODUCT(--('Данные 2st'!$Q$2:$Q$317=$A86),--ISNUMBER('Данные 2st'!$JM$2:$JM$317))</f>
        <v>5</v>
      </c>
      <c r="OY86">
        <f>SUMPRODUCT(--('Данные 2st'!$Q$2:$Q$317=$A86),--ISNUMBER('Данные 2st'!$JP$2:$JP$317))</f>
        <v>5</v>
      </c>
      <c r="OZ86">
        <f>SUMPRODUCT(--('Данные 2st'!$Q$2:$Q$317=$A86),--ISNUMBER('Данные 2st'!$JQ$2:$JQ$317))</f>
        <v>5</v>
      </c>
      <c r="PA86">
        <f>SUMPRODUCT(--('Данные 2st'!$Q$2:$Q$317=$A86),--ISNUMBER('Данные 2st'!$JR$2:$JR$317))</f>
        <v>5</v>
      </c>
      <c r="PB86">
        <f>SUMPRODUCT(--('Данные 2st'!$Q$2:$Q$317=$A86),--ISNUMBER('Данные 2st'!$JS$2:$JS$317))</f>
        <v>5</v>
      </c>
      <c r="PC86">
        <f>SUMPRODUCT(--('Данные 2st'!$Q$2:$Q$317=$A86),--ISNUMBER('Данные 2st'!$JT$2:$JT$317))</f>
        <v>5</v>
      </c>
      <c r="PD86">
        <f>SUMPRODUCT(--('Данные 2st'!$Q$2:$Q$317=$A86),--ISNUMBER('Данные 2st'!$JU$2:$JU$317))</f>
        <v>5</v>
      </c>
      <c r="PE86">
        <f>SUMPRODUCT(--('Данные 2st'!$Q$2:$Q$317=$A86),--ISNUMBER('Данные 2st'!$JV$2:$JV$317))</f>
        <v>5</v>
      </c>
      <c r="PF86">
        <f>SUMPRODUCT(--('Данные 2st'!$Q$2:$Q$317=$A86),--ISNUMBER('Данные 2st'!$JW$2:$JW$317))</f>
        <v>5</v>
      </c>
      <c r="PG86">
        <f>SUMPRODUCT(--('Данные 2st'!$Q$2:$Q$317=$A86),--ISNUMBER('Данные 2st'!$KF$2:$KF$317))</f>
        <v>5</v>
      </c>
      <c r="PH86">
        <f>SUMPRODUCT(--('Данные 2st'!$Q$2:$Q$317=$A86),--ISNUMBER('Данные 2st'!$KG$2:$KG$317))</f>
        <v>5</v>
      </c>
      <c r="PI86">
        <f>SUMPRODUCT(--('Данные 2st'!$Q$2:$Q$317=$A86),--ISNUMBER('Данные 2st'!$KM$2:$KM$317))</f>
        <v>5</v>
      </c>
      <c r="PJ86">
        <f>SUMPRODUCT(--('Данные 2st'!$Q$2:$Q$317=$A86),--ISNUMBER('Данные 2st'!$KN$2:$KN$317))</f>
        <v>5</v>
      </c>
      <c r="PK86">
        <f>SUMPRODUCT(--('Данные 2st'!$Q$2:$Q$317=$A86),--ISNUMBER('Данные 2st'!$KO$2:$KO$317))</f>
        <v>5</v>
      </c>
      <c r="PL86">
        <f>SUMPRODUCT(--('Данные 2st'!$Q$2:$Q$317=$A86),--ISNUMBER('Данные 2st'!$KP$2:$KP$317))</f>
        <v>5</v>
      </c>
      <c r="PM86">
        <f>SUMPRODUCT(--('Данные 2st'!$Q$2:$Q$317=$A86),--ISNUMBER('Данные 2st'!$KQ$2:$KQ$317))</f>
        <v>5</v>
      </c>
      <c r="PN86">
        <f>SUMPRODUCT(--('Данные 2st'!$Q$2:$Q$317=$A86),--ISNUMBER('Данные 2st'!$KR$2:$KR$317))</f>
        <v>5</v>
      </c>
      <c r="PO86">
        <f>SUMPRODUCT(--('Данные 2st'!$Q$2:$Q$317=$A86),--ISNUMBER('Данные 2st'!$KS$2:$KS$317))</f>
        <v>5</v>
      </c>
      <c r="PP86">
        <f>SUMPRODUCT(--('Данные 2st'!$Q$2:$Q$317=$A86),--ISNUMBER('Данные 2st'!$KT$2:$KT$317))</f>
        <v>5</v>
      </c>
      <c r="PQ86">
        <f>SUMPRODUCT(--('Данные 2st'!$Q$2:$Q$317=$A86),--ISNUMBER('Данные 2st'!$KU$2:$KU$317))</f>
        <v>5</v>
      </c>
      <c r="PR86">
        <f>SUMPRODUCT(--('Данные 2st'!$Q$2:$Q$317=$A86),--ISNUMBER('Данные 2st'!$KV$2:$KV$317))</f>
        <v>5</v>
      </c>
      <c r="PS86">
        <f>SUMPRODUCT(--('Данные 2st'!$Q$2:$Q$317=$A86),--ISNUMBER('Данные 2st'!$KW$2:$KW$317))</f>
        <v>5</v>
      </c>
      <c r="PT86">
        <f>SUMPRODUCT(--('Данные 2st'!$Q$2:$Q$317=$A86),--ISNUMBER('Данные 2st'!$KX$2:$KX$317))</f>
        <v>5</v>
      </c>
      <c r="PU86">
        <f>SUMPRODUCT(--('Данные 2st'!$Q$2:$Q$317=$A86),--ISNUMBER('Данные 2st'!$KY$2:$KY$317))</f>
        <v>5</v>
      </c>
      <c r="PV86">
        <f>SUMPRODUCT(--('Данные 2st'!$Q$2:$Q$317=$A86),--ISNUMBER('Данные 2st'!$KZ$2:$KZ$317))</f>
        <v>5</v>
      </c>
      <c r="PW86">
        <f>SUMPRODUCT(--('Данные 2st'!$Q$2:$Q$317=$A86),--ISNUMBER('Данные 2st'!$LA$2:$LA$317))</f>
        <v>5</v>
      </c>
      <c r="PX86">
        <f>SUMPRODUCT(--('Данные 2st'!$Q$2:$Q$317=$A86),--ISNUMBER('Данные 2st'!$LB$2:$LB$317))</f>
        <v>5</v>
      </c>
      <c r="PY86">
        <f>SUMPRODUCT(--('Данные 2st'!$Q$2:$Q$317=$A86),--ISNUMBER('Данные 2st'!$LC$2:$LC$317))</f>
        <v>5</v>
      </c>
      <c r="PZ86">
        <f>SUMPRODUCT(--('Данные 2st'!$Q$2:$Q$317=$A86),--ISNUMBER('Данные 2st'!$LD$2:$LD$317))</f>
        <v>5</v>
      </c>
      <c r="QA86">
        <f>SUMPRODUCT(--('Данные 2st'!$Q$2:$Q$317=$A86),--ISNUMBER('Данные 2st'!$LE$2:$LE$317))</f>
        <v>5</v>
      </c>
      <c r="QB86">
        <f>SUMPRODUCT(--('Данные 2st'!$Q$2:$Q$317=$A86),--ISNUMBER('Данные 2st'!$LF$2:$LF$317))</f>
        <v>5</v>
      </c>
      <c r="QC86">
        <f>SUMPRODUCT(--('Данные 2st'!$Q$2:$Q$317=$A86),--ISNUMBER('Данные 2st'!$LG$2:$LG$317))</f>
        <v>5</v>
      </c>
      <c r="QD86">
        <f>SUMPRODUCT(--('Данные 2st'!$Q$2:$Q$317=$A86),--ISNUMBER('Данные 2st'!$LH$2:$LH$317))</f>
        <v>5</v>
      </c>
      <c r="QE86">
        <f>SUMPRODUCT(--('Данные 2st'!$Q$2:$Q$317=$A86),--ISNUMBER('Данные 2st'!$LJ$2:$LJ$317))</f>
        <v>5</v>
      </c>
      <c r="QF86">
        <f>SUMPRODUCT(--('Данные 2st'!$Q$2:$Q$317=$A86),--ISNUMBER('Данные 2st'!$LK$2:$LK$317))</f>
        <v>5</v>
      </c>
      <c r="QG86">
        <f>SUMPRODUCT(--('Данные 2st'!$Q$2:$Q$317=$A86),--ISNUMBER('Данные 2st'!$LL$2:$LL$317))</f>
        <v>5</v>
      </c>
      <c r="QH86">
        <f>SUMPRODUCT(--('Данные 2st'!$Q$2:$Q$317=$A86),--ISNUMBER('Данные 2st'!$LM$2:$LM$317))</f>
        <v>5</v>
      </c>
      <c r="QI86">
        <f>SUMPRODUCT(--('Данные 2st'!$Q$2:$Q$317=$A86),--ISNUMBER('Данные 2st'!$LN$2:$LN$317))</f>
        <v>5</v>
      </c>
      <c r="QJ86">
        <f>SUMPRODUCT(--('Данные 2st'!$Q$2:$Q$317=$A86),--ISNUMBER('Данные 2st'!$LO$2:$LO$317))</f>
        <v>5</v>
      </c>
      <c r="QK86">
        <f>SUMPRODUCT(--('Данные 2st'!$Q$2:$Q$317=$A86),--ISNUMBER('Данные 2st'!$LP$2:$LP$317))</f>
        <v>5</v>
      </c>
      <c r="QL86">
        <f>SUMPRODUCT(--('Данные 2st'!$Q$2:$Q$317=$A86),--ISNUMBER('Данные 2st'!$LQ$2:$LQ$317))</f>
        <v>5</v>
      </c>
      <c r="QM86">
        <f>SUMPRODUCT(--('Данные 2st'!$Q$2:$Q$317=$A86),--ISNUMBER('Данные 2st'!$LW$2:$LW$317))</f>
        <v>5</v>
      </c>
      <c r="QN86">
        <f>SUMPRODUCT(--('Данные 2st'!$Q$2:$Q$317=$A86),--ISNUMBER('Данные 2st'!$LX$2:$LX$317))</f>
        <v>5</v>
      </c>
      <c r="QO86">
        <f>SUMPRODUCT(--('Данные 2st'!$Q$2:$Q$317=$A86),--ISNUMBER('Данные 2st'!$LY$2:$LY$317))</f>
        <v>5</v>
      </c>
      <c r="QP86">
        <f>SUMPRODUCT(--('Данные 2st'!$Q$2:$Q$317=$A86),--ISNUMBER('Данные 2st'!$LZ$2:$LZ$317))</f>
        <v>5</v>
      </c>
      <c r="QQ86">
        <f>SUMPRODUCT(--('Данные 2st'!$Q$2:$Q$317=$A86),--ISNUMBER('Данные 2st'!$MB$2:$MB$317))</f>
        <v>5</v>
      </c>
      <c r="QR86">
        <f>SUMPRODUCT(--('Данные 2st'!$Q$2:$Q$317=$A86),--ISNUMBER('Данные 2st'!$MG$2:$MG$317))</f>
        <v>2</v>
      </c>
      <c r="QS86">
        <f>SUMPRODUCT(--('Данные 2st'!$Q$2:$Q$317=$A86),--ISNUMBER('Данные 2st'!$MH$2:$MH$317))</f>
        <v>2</v>
      </c>
      <c r="QT86">
        <f>SUMPRODUCT(--('Данные 2st'!$Q$2:$Q$317=$A86),--ISNUMBER('Данные 2st'!$MI$2:$MI$317))</f>
        <v>4</v>
      </c>
      <c r="QU86">
        <f>SUMPRODUCT(--('Данные 2st'!$Q$2:$Q$317=$A86),--ISNUMBER('Данные 2st'!$MJ$2:$MJ$317))</f>
        <v>4</v>
      </c>
      <c r="QV86">
        <f>SUMPRODUCT(--('Данные 2st'!$Q$2:$Q$317=$A86),--ISNUMBER('Данные 2st'!$MK$2:$MK$317))</f>
        <v>2</v>
      </c>
      <c r="QW86">
        <f>SUMPRODUCT(--('Данные 2st'!$Q$2:$Q$317=$A86),--ISNUMBER('Данные 2st'!$MM$2:$MM$317))</f>
        <v>4</v>
      </c>
      <c r="QX86">
        <f>SUMPRODUCT(--('Данные 2st'!$Q$2:$Q$317=$A86),--ISNUMBER('Данные 2st'!$MQ$2:$MQ$317))</f>
        <v>0</v>
      </c>
      <c r="QY86">
        <f>SUMPRODUCT(--('Данные 2st'!$Q$2:$Q$317=$A86),--ISNUMBER('Данные 2st'!$MR$2:$MR$317))</f>
        <v>0</v>
      </c>
      <c r="QZ86">
        <f>SUMPRODUCT(--('Данные 2st'!$Q$2:$Q$317=$A86),--ISNUMBER('Данные 2st'!$MS$2:$MS$317))</f>
        <v>0</v>
      </c>
      <c r="RA86">
        <f>SUMPRODUCT(--('Данные 2st'!$Q$2:$Q$317=$A86),--ISNUMBER('Данные 2st'!$MT$2:$MT$317))</f>
        <v>0</v>
      </c>
      <c r="RB86">
        <f>SUMPRODUCT(--('Данные 2st'!$Q$2:$Q$317=$A86),--ISNUMBER('Данные 2st'!$MU$2:$MU$317))</f>
        <v>0</v>
      </c>
      <c r="RC86">
        <f>SUMPRODUCT(--('Данные 2st'!$Q$2:$Q$317=$A86),--ISNUMBER('Данные 2st'!$MV$2:$MV$317))</f>
        <v>0</v>
      </c>
      <c r="RD86">
        <f>SUMPRODUCT(--('Данные 2st'!$Q$2:$Q$317=$A86),--ISNUMBER('Данные 2st'!$MW$2:$MW$317))</f>
        <v>0</v>
      </c>
      <c r="RE86">
        <f>SUMPRODUCT(--('Данные 2st'!$Q$2:$Q$317=$A86),--ISNUMBER('Данные 2st'!$MX$2:$MX$317))</f>
        <v>0</v>
      </c>
      <c r="RF86">
        <f>SUMPRODUCT(--('Данные 2st'!$Q$2:$Q$317=$A86),--ISNUMBER('Данные 2st'!$MY$2:$MY$317))</f>
        <v>0</v>
      </c>
      <c r="RG86">
        <f>SUMPRODUCT(--('Данные 2st'!$Q$2:$Q$317=$A86),--ISNUMBER('Данные 2st'!$MZ$2:$MZ$317))</f>
        <v>0</v>
      </c>
      <c r="RH86">
        <f>SUMPRODUCT(--('Данные 2st'!$Q$2:$Q$317=$A86),--ISNUMBER('Данные 2st'!$NA$2:$NA$317))</f>
        <v>0</v>
      </c>
      <c r="RI86">
        <f>SUMPRODUCT(--('Данные 2st'!$Q$2:$Q$317=$A86),--ISNUMBER('Данные 2st'!$NB$2:$NB$317))</f>
        <v>0</v>
      </c>
      <c r="RJ86">
        <f>SUMPRODUCT(--('Данные 2st'!$Q$2:$Q$317=$A86),--ISNUMBER('Данные 2st'!$NC$2:$NC$317))</f>
        <v>0</v>
      </c>
      <c r="RK86">
        <f>SUMPRODUCT(--('Данные 2st'!$Q$2:$Q$317=$A86),--ISNUMBER('Данные 2st'!$ND$2:$ND$317))</f>
        <v>0</v>
      </c>
      <c r="RL86">
        <f>SUMPRODUCT(--('Данные 2st'!$Q$2:$Q$317=$A86),--ISNUMBER('Данные 2st'!$NE$2:$NE$317))</f>
        <v>0</v>
      </c>
      <c r="RM86">
        <f>SUMPRODUCT(--('Данные 2st'!$Q$2:$Q$317=$A86),--ISNUMBER('Данные 2st'!$NF$2:$NF$317))</f>
        <v>0</v>
      </c>
      <c r="RN86">
        <f>SUMPRODUCT(--('Данные 2st'!$Q$2:$Q$317=$A86),--ISNUMBER('Данные 2st'!$NG$2:$NG$317))</f>
        <v>0</v>
      </c>
      <c r="RO86">
        <f>SUMPRODUCT(--('Данные 2st'!$Q$2:$Q$317=$A86),--ISNUMBER('Данные 2st'!$NH$2:$NH$317))</f>
        <v>0</v>
      </c>
      <c r="RP86">
        <f>SUMPRODUCT(--('Данные 2st'!$Q$2:$Q$317=$A86),--ISNUMBER('Данные 2st'!$NJ$2:$NJ$317))</f>
        <v>0</v>
      </c>
      <c r="RQ86">
        <f>SUMPRODUCT(--('Данные 2st'!$Q$2:$Q$317=$A86),--ISNUMBER('Данные 2st'!$NK$2:$NK$317))</f>
        <v>0</v>
      </c>
      <c r="RR86">
        <f>SUMPRODUCT(--('Данные 2st'!$Q$2:$Q$317=$A86),--ISNUMBER('Данные 2st'!$NM$2:$NM$317))</f>
        <v>0</v>
      </c>
      <c r="RS86">
        <f>SUMPRODUCT(--('Данные 2st'!$Q$2:$Q$317=$A86),--ISNUMBER('Данные 2st'!$NN$2:$NN$317))</f>
        <v>0</v>
      </c>
      <c r="RT86">
        <f>SUMPRODUCT(--('Данные 2st'!$Q$2:$Q$317=$A86),--ISNUMBER('Данные 2st'!$NO$2:$NO$317))</f>
        <v>0</v>
      </c>
      <c r="RU86">
        <f>SUMPRODUCT(--('Данные 2st'!$Q$2:$Q$317=$A86),--ISNUMBER('Данные 2st'!$NP$2:$NP$317))</f>
        <v>0</v>
      </c>
      <c r="RV86">
        <f>SUMPRODUCT(--('Данные 2st'!$Q$2:$Q$317=$A86),--ISNUMBER('Данные 2st'!$NQ$2:$NQ$317))</f>
        <v>0</v>
      </c>
      <c r="RW86">
        <f>SUMPRODUCT(--('Данные 2st'!$Q$2:$Q$317=$A86),--ISNUMBER('Данные 2st'!$NR$2:$NR$317))</f>
        <v>0</v>
      </c>
      <c r="RX86">
        <f>SUMPRODUCT(--('Данные 2st'!$Q$2:$Q$317=$A86),--ISNUMBER('Данные 2st'!$NS$2:$NS$317))</f>
        <v>0</v>
      </c>
      <c r="RY86">
        <f>SUMPRODUCT(--('Данные 2st'!$Q$2:$Q$317=$A86),--ISNUMBER('Данные 2st'!$NT$2:$NT$317))</f>
        <v>0</v>
      </c>
      <c r="RZ86">
        <f>SUMPRODUCT(--('Данные 2st'!$Q$2:$Q$317=$A86),--ISNUMBER('Данные 2st'!$OK$2:$OK$317))</f>
        <v>5</v>
      </c>
      <c r="SA86">
        <f>SUMPRODUCT(--('Данные 2st'!$Q$2:$Q$317=$A86),--ISNUMBER('Данные 2st'!$OL$2:$OL$317))</f>
        <v>5</v>
      </c>
      <c r="SB86">
        <f>SUMPRODUCT(--('Данные 2st'!$Q$2:$Q$317=$A86),--ISNUMBER('Данные 2st'!$ON$2:$ON$317))</f>
        <v>5</v>
      </c>
      <c r="SC86">
        <f>SUMPRODUCT(--('Данные 2st'!$Q$2:$Q$317=$A86),--ISNUMBER('Данные 2st'!$OO$2:$OO$317))</f>
        <v>5</v>
      </c>
      <c r="SD86">
        <f>SUMPRODUCT(--('Данные 2st'!$Q$2:$Q$317=$A86),--ISNUMBER('Данные 2st'!$OP$2:$OP$317))</f>
        <v>5</v>
      </c>
      <c r="SE86">
        <f>SUMPRODUCT(--('Данные 2st'!$Q$2:$Q$317=$A86),--ISNUMBER('Данные 2st'!$OQ$2:$OQ$317))</f>
        <v>5</v>
      </c>
      <c r="SF86">
        <f>SUMPRODUCT(--('Данные 2st'!$Q$2:$Q$317=$A86),--ISNUMBER('Данные 2st'!$OS$2:$OS$317))</f>
        <v>5</v>
      </c>
      <c r="SG86">
        <f>SUMPRODUCT(--('Данные 2st'!$Q$2:$Q$317=$A86),--ISNUMBER('Данные 2st'!$OT$2:$OT$317))</f>
        <v>5</v>
      </c>
      <c r="SH86">
        <f>SUMPRODUCT(--('Данные 2st'!$Q$2:$Q$317=$A86),--ISNUMBER('Данные 2st'!$OU$2:$OU$317))</f>
        <v>5</v>
      </c>
      <c r="SI86">
        <f>SUMPRODUCT(--('Данные 2st'!$Q$2:$Q$317=$A86),--ISNUMBER('Данные 2st'!$OV$2:$OV$317))</f>
        <v>5</v>
      </c>
      <c r="SJ86">
        <f>SUMPRODUCT(--('Данные 2st'!$Q$2:$Q$317=$A86),--ISNUMBER('Данные 2st'!$OX$2:$OX$317))</f>
        <v>5</v>
      </c>
      <c r="SK86">
        <f>SUMPRODUCT(--('Данные 2st'!$Q$2:$Q$317=$A86),--ISNUMBER('Данные 2st'!$OY$2:$OY$317))</f>
        <v>5</v>
      </c>
      <c r="SL86">
        <f>SUMPRODUCT(--('Данные 2st'!$Q$2:$Q$317=$A86),--ISNUMBER('Данные 2st'!$OZ$2:$OZ$317))</f>
        <v>5</v>
      </c>
      <c r="SM86">
        <f>SUMPRODUCT(--('Данные 2st'!$Q$2:$Q$317=$A86),--ISNUMBER('Данные 2st'!$PA$2:$PA$317))</f>
        <v>5</v>
      </c>
      <c r="SN86">
        <f>SUMPRODUCT(--('Данные 2st'!$Q$2:$Q$317=$A86),--ISNUMBER('Данные 2st'!$PC$2:$PC$317))</f>
        <v>5</v>
      </c>
      <c r="SO86">
        <f>SUMPRODUCT(--('Данные 2st'!$Q$2:$Q$317=$A86),--ISNUMBER('Данные 2st'!$PD$2:$PD$317))</f>
        <v>5</v>
      </c>
      <c r="SP86">
        <f>SUMPRODUCT(--('Данные 2st'!$Q$2:$Q$317=$A86),--ISNUMBER('Данные 2st'!$PF$2:$PF$317))</f>
        <v>5</v>
      </c>
      <c r="SQ86">
        <f>SUMPRODUCT(--('Данные 2st'!$Q$2:$Q$317=$A86),--ISNUMBER('Данные 2st'!$PG$2:$PG$317))</f>
        <v>5</v>
      </c>
      <c r="SR86">
        <f>SUMPRODUCT(--('Данные 2st'!$Q$2:$Q$317=$A86),--ISNUMBER('Данные 2st'!$PH$2:$PH$317))</f>
        <v>5</v>
      </c>
      <c r="SS86">
        <f>SUMPRODUCT(--('Данные 2st'!$Q$2:$Q$317=$A86),--ISNUMBER('Данные 2st'!$PI$2:$PI$317))</f>
        <v>5</v>
      </c>
      <c r="ST86">
        <f>SUMPRODUCT(--('Данные 2st'!$Q$2:$Q$317=$A86),--ISNUMBER('Данные 2st'!$PJ$2:$PJ$317))</f>
        <v>5</v>
      </c>
      <c r="SU86">
        <f>SUMPRODUCT(--('Данные 2st'!$Q$2:$Q$317=$A86),--ISNUMBER('Данные 2st'!$PK$2:$PK$317))</f>
        <v>4</v>
      </c>
      <c r="SV86">
        <f>SUMPRODUCT(--('Данные 2st'!$Q$2:$Q$317=$A86),--ISNUMBER('Данные 2st'!$PL$2:$PL$317))</f>
        <v>5</v>
      </c>
      <c r="SW86">
        <f>SUMPRODUCT(--('Данные 2st'!$Q$2:$Q$317=$A86),--ISNUMBER('Данные 2st'!$PM$2:$PM$317))</f>
        <v>5</v>
      </c>
      <c r="SX86">
        <f>SUMPRODUCT(--('Данные 2st'!$Q$2:$Q$317=$A86),--ISNUMBER('Данные 2st'!$PN$2:$PN$317))</f>
        <v>5</v>
      </c>
      <c r="SY86">
        <f>SUMPRODUCT(--('Данные 2st'!$Q$2:$Q$317=$A86),--ISNUMBER('Данные 2st'!$PO$2:$PO$317))</f>
        <v>5</v>
      </c>
      <c r="SZ86">
        <f>SUMPRODUCT(--('Данные 2st'!$Q$2:$Q$317=$A86),--ISNUMBER('Данные 2st'!$PP$2:$PP$317))</f>
        <v>5</v>
      </c>
      <c r="TA86">
        <f>SUMPRODUCT(--('Данные 2st'!$Q$2:$Q$317=$A86),--ISNUMBER('Данные 2st'!$PQ$2:$PQ$317))</f>
        <v>5</v>
      </c>
      <c r="TB86">
        <f>SUMPRODUCT(--('Данные 2st'!$Q$2:$Q$317=$A86),--ISNUMBER('Данные 2st'!$PR$2:$PR$317))</f>
        <v>5</v>
      </c>
      <c r="TC86">
        <f>SUMPRODUCT(--('Данные 2st'!$Q$2:$Q$317=$A86),--ISNUMBER('Данные 2st'!$PS$2:$PS$317))</f>
        <v>5</v>
      </c>
      <c r="TD86">
        <f>SUMPRODUCT(--('Данные 2st'!$Q$2:$Q$317=$A86),--ISNUMBER('Данные 2st'!$PT$2:$PT$317))</f>
        <v>5</v>
      </c>
      <c r="TE86">
        <f>SUMPRODUCT(--('Данные 2st'!$Q$2:$Q$317=$A86),--ISNUMBER('Данные 2st'!$PU$2:$PU$317))</f>
        <v>5</v>
      </c>
      <c r="TF86">
        <f>SUMPRODUCT(--('Данные 2st'!$Q$2:$Q$317=$A86),--ISNUMBER('Данные 2st'!$PX$2:$PX$317))</f>
        <v>5</v>
      </c>
      <c r="TG86">
        <f>SUMPRODUCT(--('Данные 2st'!$Q$2:$Q$317=$A86),--ISNUMBER('Данные 2st'!$PY$2:$PY$317))</f>
        <v>5</v>
      </c>
      <c r="TH86">
        <f>SUMPRODUCT(--('Данные 2st'!$Q$2:$Q$317=$A86),--ISNUMBER('Данные 2st'!$PZ$2:$PZ$317))</f>
        <v>5</v>
      </c>
      <c r="TI86">
        <f>SUMPRODUCT(--('Данные 2st'!$Q$2:$Q$317=$A86),--ISNUMBER('Данные 2st'!$QA$2:$QA$317))</f>
        <v>5</v>
      </c>
      <c r="TJ86">
        <f>SUMPRODUCT(--('Данные 2st'!$Q$2:$Q$317=$A86),--ISNUMBER('Данные 2st'!$QB$2:$QB$317))</f>
        <v>5</v>
      </c>
      <c r="TK86">
        <f>SUMPRODUCT(--('Данные 2st'!$Q$2:$Q$317=$A86),--ISNUMBER('Данные 2st'!$QC$2:$QC$317))</f>
        <v>5</v>
      </c>
      <c r="TL86">
        <f>SUMPRODUCT(--('Данные 2st'!$Q$2:$Q$317=$A86),--ISNUMBER('Данные 2st'!$QD$2:$QD$317))</f>
        <v>5</v>
      </c>
      <c r="TM86">
        <f>SUMPRODUCT(--('Данные 2st'!$Q$2:$Q$317=$A86),--ISNUMBER('Данные 2st'!$QE$2:$QE$317))</f>
        <v>5</v>
      </c>
      <c r="TN86">
        <f>SUMPRODUCT(--('Данные 2st'!$Q$2:$Q$317=$A86),--ISNUMBER('Данные 2st'!$QF$2:$QF$317))</f>
        <v>5</v>
      </c>
      <c r="TO86">
        <f>SUMPRODUCT(--('Данные 2st'!$Q$2:$Q$317=$A86),--ISNUMBER('Данные 2st'!$QG$2:$QG$317))</f>
        <v>5</v>
      </c>
      <c r="TP86">
        <f>SUMPRODUCT(--('Данные 2st'!$Q$2:$Q$317=$A86),--ISNUMBER('Данные 2st'!$QH$2:$QH$317))</f>
        <v>5</v>
      </c>
      <c r="TQ86">
        <f>SUMPRODUCT(--('Данные 2st'!$Q$2:$Q$317=$A86),--ISNUMBER('Данные 2st'!$QI$2:$QI$317))</f>
        <v>5</v>
      </c>
      <c r="TR86">
        <f>SUMPRODUCT(--('Данные 2st'!$Q$2:$Q$317=$A86),--ISNUMBER('Данные 2st'!$QJ$2:$QJ$317))</f>
        <v>5</v>
      </c>
      <c r="TS86">
        <f>SUMPRODUCT(--('Данные 2st'!$Q$2:$Q$317=$A86),--ISNUMBER('Данные 2st'!$QK$2:$QK$317))</f>
        <v>5</v>
      </c>
      <c r="TT86">
        <f>SUMPRODUCT(--('Данные 2st'!$Q$2:$Q$317=$A86),--ISNUMBER('Данные 2st'!$QL$2:$QL$317))</f>
        <v>5</v>
      </c>
      <c r="TU86">
        <f>SUMPRODUCT(--('Данные 2st'!$Q$2:$Q$317=$A86),--ISNUMBER('Данные 2st'!$QM$2:$QM$317))</f>
        <v>5</v>
      </c>
      <c r="TV86">
        <f>SUMPRODUCT(--('Данные 2st'!$Q$2:$Q$317=$A86),--ISNUMBER('Данные 2st'!$QN$2:$QN$317))</f>
        <v>5</v>
      </c>
      <c r="TW86">
        <f>SUMPRODUCT(--('Данные 2st'!$Q$2:$Q$317=$A86),--ISNUMBER('Данные 2st'!$QQ$2:$QQ$317))</f>
        <v>5</v>
      </c>
      <c r="TX86">
        <f>SUMPRODUCT(--('Данные 2st'!$Q$2:$Q$317=$A86),--ISNUMBER('Данные 2st'!$QS$2:$QS$317))</f>
        <v>4</v>
      </c>
      <c r="TY86">
        <f>SUMPRODUCT(--('Данные 2st'!$Q$2:$Q$317=$A86),--ISNUMBER('Данные 2st'!$QT$2:$QT$317))</f>
        <v>4</v>
      </c>
    </row>
  </sheetData>
  <autoFilter ref="A1:TY86"/>
  <conditionalFormatting sqref="B2:TY86">
    <cfRule type="expression" dxfId="0" priority="1">
      <formula>MOD(ROW(),2)=0</formula>
    </cfRule>
  </conditionalFormatting>
  <pageMargins left="0.3" right="0.3" top="0.4" bottom="0.4" header="0.3" footer="0.3"/>
  <pageSetup paperSize="9" fitToHeight="0" orientation="landscape"/>
  <headerFooter>
    <oddHeader>&amp;LПараметры по Size&amp;RКоличество значений</oddHeader>
    <oddFooter>&amp;LСредние значения по исходным данным&amp;RСтраница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C9DBF"/>
  </sheetPr>
  <dimension ref="A1:A9"/>
  <sheetViews>
    <sheetView showGridLines="0" workbookViewId="0"/>
  </sheetViews>
  <sheetFormatPr defaultRowHeight="15"/>
  <cols>
    <col min="1" max="1" width="115.7109375" customWidth="1"/>
  </cols>
  <sheetData>
    <row r="1" spans="1:1" ht="28" customHeight="1">
      <c r="A1" s="5" t="s">
        <v>0</v>
      </c>
    </row>
    <row r="2" spans="1:1" ht="75" customHeight="1">
      <c r="A2" s="6" t="s">
        <v>1</v>
      </c>
    </row>
    <row r="3" spans="1:1" ht="75" customHeight="1">
      <c r="A3" s="6" t="s">
        <v>2</v>
      </c>
    </row>
    <row r="4" spans="1:1" ht="75" customHeight="1">
      <c r="A4" s="6" t="s">
        <v>3</v>
      </c>
    </row>
    <row r="5" spans="1:1" ht="75" customHeight="1">
      <c r="A5" s="6" t="s">
        <v>4</v>
      </c>
    </row>
    <row r="6" spans="1:1" ht="75" customHeight="1">
      <c r="A6" s="6" t="s">
        <v>5</v>
      </c>
    </row>
    <row r="7" spans="1:1" ht="75" customHeight="1">
      <c r="A7" s="6" t="s">
        <v>6</v>
      </c>
    </row>
    <row r="8" spans="1:1" ht="75" customHeight="1">
      <c r="A8" s="6" t="s">
        <v>7</v>
      </c>
    </row>
    <row r="9" spans="1:1" ht="75" customHeight="1">
      <c r="A9" s="6" t="s">
        <v>6341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8BBD0"/>
  </sheetPr>
  <dimension ref="A1:TO317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35" width="15.7109375" customWidth="1"/>
  </cols>
  <sheetData>
    <row r="1" spans="1:535" ht="95" customHeight="1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5" t="s">
        <v>28</v>
      </c>
      <c r="V1" s="5" t="s">
        <v>29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  <c r="AE1" s="5" t="s">
        <v>38</v>
      </c>
      <c r="AF1" s="5" t="s">
        <v>39</v>
      </c>
      <c r="AG1" s="5" t="s">
        <v>40</v>
      </c>
      <c r="AH1" s="5" t="s">
        <v>41</v>
      </c>
      <c r="AI1" s="5" t="s">
        <v>35</v>
      </c>
      <c r="AJ1" s="5" t="s">
        <v>38</v>
      </c>
      <c r="AK1" s="5" t="s">
        <v>36</v>
      </c>
      <c r="AL1" s="5" t="s">
        <v>39</v>
      </c>
      <c r="AM1" s="5" t="s">
        <v>40</v>
      </c>
      <c r="AN1" s="5" t="s">
        <v>35</v>
      </c>
      <c r="AO1" s="5" t="s">
        <v>36</v>
      </c>
      <c r="AP1" s="5" t="s">
        <v>42</v>
      </c>
      <c r="AQ1" s="5" t="s">
        <v>43</v>
      </c>
      <c r="AR1" s="5" t="s">
        <v>38</v>
      </c>
      <c r="AS1" s="5" t="s">
        <v>39</v>
      </c>
      <c r="AT1" s="5" t="s">
        <v>40</v>
      </c>
      <c r="AU1" s="5" t="s">
        <v>44</v>
      </c>
      <c r="AV1" s="5" t="s">
        <v>45</v>
      </c>
      <c r="AW1" s="5" t="s">
        <v>35</v>
      </c>
      <c r="AX1" s="5" t="s">
        <v>36</v>
      </c>
      <c r="AY1" s="5" t="s">
        <v>38</v>
      </c>
      <c r="AZ1" s="5" t="s">
        <v>39</v>
      </c>
      <c r="BA1" s="5" t="s">
        <v>40</v>
      </c>
      <c r="BB1" s="5" t="s">
        <v>44</v>
      </c>
      <c r="BC1" s="5" t="s">
        <v>45</v>
      </c>
      <c r="BD1" s="5" t="s">
        <v>35</v>
      </c>
      <c r="BE1" s="5" t="s">
        <v>36</v>
      </c>
      <c r="BF1" s="5" t="s">
        <v>38</v>
      </c>
      <c r="BG1" s="5" t="s">
        <v>39</v>
      </c>
      <c r="BH1" s="5" t="s">
        <v>40</v>
      </c>
      <c r="BI1" s="5" t="s">
        <v>35</v>
      </c>
      <c r="BJ1" s="5" t="s">
        <v>36</v>
      </c>
      <c r="BK1" s="5" t="s">
        <v>42</v>
      </c>
      <c r="BL1" s="5" t="s">
        <v>46</v>
      </c>
      <c r="BM1" s="5" t="s">
        <v>38</v>
      </c>
      <c r="BN1" s="5" t="s">
        <v>39</v>
      </c>
      <c r="BO1" s="5" t="s">
        <v>40</v>
      </c>
      <c r="BP1" s="5" t="s">
        <v>35</v>
      </c>
      <c r="BQ1" s="5" t="s">
        <v>47</v>
      </c>
      <c r="BR1" s="5" t="s">
        <v>36</v>
      </c>
      <c r="BS1" s="5" t="s">
        <v>48</v>
      </c>
      <c r="BT1" s="5" t="s">
        <v>38</v>
      </c>
      <c r="BU1" s="5" t="s">
        <v>39</v>
      </c>
      <c r="BV1" s="5" t="s">
        <v>40</v>
      </c>
      <c r="BW1" s="5" t="s">
        <v>49</v>
      </c>
      <c r="BX1" s="5" t="s">
        <v>50</v>
      </c>
      <c r="BY1" s="5" t="s">
        <v>51</v>
      </c>
      <c r="BZ1" s="5" t="s">
        <v>52</v>
      </c>
      <c r="CA1" s="5" t="s">
        <v>53</v>
      </c>
      <c r="CB1" s="5" t="s">
        <v>54</v>
      </c>
      <c r="CC1" s="5" t="s">
        <v>55</v>
      </c>
      <c r="CD1" s="5" t="s">
        <v>56</v>
      </c>
      <c r="CE1" s="5" t="s">
        <v>57</v>
      </c>
      <c r="CF1" s="5" t="s">
        <v>58</v>
      </c>
      <c r="CG1" s="5" t="s">
        <v>59</v>
      </c>
      <c r="CH1" s="5" t="s">
        <v>60</v>
      </c>
      <c r="CI1" s="5" t="s">
        <v>61</v>
      </c>
      <c r="CJ1" s="5" t="s">
        <v>62</v>
      </c>
      <c r="CK1" s="5" t="s">
        <v>63</v>
      </c>
      <c r="CL1" s="5" t="s">
        <v>64</v>
      </c>
      <c r="CM1" s="5" t="s">
        <v>65</v>
      </c>
      <c r="CN1" s="5" t="s">
        <v>66</v>
      </c>
      <c r="CO1" s="5" t="s">
        <v>67</v>
      </c>
      <c r="CP1" s="5" t="s">
        <v>68</v>
      </c>
      <c r="CQ1" s="5" t="s">
        <v>69</v>
      </c>
      <c r="CR1" s="5" t="s">
        <v>70</v>
      </c>
      <c r="CS1" s="5" t="s">
        <v>71</v>
      </c>
      <c r="CT1" s="5" t="s">
        <v>72</v>
      </c>
      <c r="CU1" s="5" t="s">
        <v>73</v>
      </c>
      <c r="CV1" s="5" t="s">
        <v>74</v>
      </c>
      <c r="CW1" s="5" t="s">
        <v>75</v>
      </c>
      <c r="CX1" s="5" t="s">
        <v>76</v>
      </c>
      <c r="CY1" s="5" t="s">
        <v>77</v>
      </c>
      <c r="CZ1" s="5" t="s">
        <v>78</v>
      </c>
      <c r="DA1" s="5" t="s">
        <v>79</v>
      </c>
      <c r="DB1" s="5" t="s">
        <v>80</v>
      </c>
      <c r="DC1" s="5" t="s">
        <v>81</v>
      </c>
      <c r="DD1" s="5" t="s">
        <v>82</v>
      </c>
      <c r="DE1" s="5" t="s">
        <v>83</v>
      </c>
      <c r="DF1" s="5" t="s">
        <v>84</v>
      </c>
      <c r="DG1" s="5" t="s">
        <v>85</v>
      </c>
      <c r="DH1" s="5" t="s">
        <v>86</v>
      </c>
      <c r="DI1" s="5" t="s">
        <v>87</v>
      </c>
      <c r="DJ1" s="5" t="s">
        <v>88</v>
      </c>
      <c r="DK1" s="5" t="s">
        <v>89</v>
      </c>
      <c r="DL1" s="5" t="s">
        <v>90</v>
      </c>
      <c r="DM1" s="5" t="s">
        <v>91</v>
      </c>
      <c r="DN1" s="5" t="s">
        <v>92</v>
      </c>
      <c r="DO1" s="5" t="s">
        <v>93</v>
      </c>
      <c r="DP1" s="5" t="s">
        <v>94</v>
      </c>
      <c r="DQ1" s="5" t="s">
        <v>95</v>
      </c>
      <c r="DR1" s="5" t="s">
        <v>96</v>
      </c>
      <c r="DS1" s="5" t="s">
        <v>97</v>
      </c>
      <c r="DT1" s="5" t="s">
        <v>98</v>
      </c>
      <c r="DU1" s="5" t="s">
        <v>99</v>
      </c>
      <c r="DV1" s="5" t="s">
        <v>100</v>
      </c>
      <c r="DW1" s="5" t="s">
        <v>101</v>
      </c>
      <c r="DX1" s="5" t="s">
        <v>102</v>
      </c>
      <c r="DY1" s="5" t="s">
        <v>103</v>
      </c>
      <c r="DZ1" s="5" t="s">
        <v>104</v>
      </c>
      <c r="EA1" s="5" t="s">
        <v>105</v>
      </c>
      <c r="EB1" s="5" t="s">
        <v>106</v>
      </c>
      <c r="EC1" s="5" t="s">
        <v>107</v>
      </c>
      <c r="ED1" s="5" t="s">
        <v>108</v>
      </c>
      <c r="EE1" s="5" t="s">
        <v>109</v>
      </c>
      <c r="EF1" s="5" t="s">
        <v>110</v>
      </c>
      <c r="EG1" s="5" t="s">
        <v>111</v>
      </c>
      <c r="EH1" s="5" t="s">
        <v>112</v>
      </c>
      <c r="EI1" s="5" t="s">
        <v>113</v>
      </c>
      <c r="EJ1" s="5" t="s">
        <v>114</v>
      </c>
      <c r="EK1" s="5" t="s">
        <v>115</v>
      </c>
      <c r="EL1" s="5" t="s">
        <v>116</v>
      </c>
      <c r="EM1" s="5" t="s">
        <v>117</v>
      </c>
      <c r="EN1" s="5" t="s">
        <v>118</v>
      </c>
      <c r="EO1" s="5" t="s">
        <v>119</v>
      </c>
      <c r="EP1" s="5" t="s">
        <v>120</v>
      </c>
      <c r="EQ1" s="5" t="s">
        <v>121</v>
      </c>
      <c r="ER1" s="5" t="s">
        <v>122</v>
      </c>
      <c r="ES1" s="5" t="s">
        <v>123</v>
      </c>
      <c r="ET1" s="5" t="s">
        <v>124</v>
      </c>
      <c r="EU1" s="5" t="s">
        <v>125</v>
      </c>
      <c r="EV1" s="5" t="s">
        <v>126</v>
      </c>
      <c r="EW1" s="5" t="s">
        <v>127</v>
      </c>
      <c r="EX1" s="5" t="s">
        <v>128</v>
      </c>
      <c r="EY1" s="5" t="s">
        <v>129</v>
      </c>
      <c r="EZ1" s="5" t="s">
        <v>130</v>
      </c>
      <c r="FA1" s="5" t="s">
        <v>131</v>
      </c>
      <c r="FB1" s="5" t="s">
        <v>132</v>
      </c>
      <c r="FC1" s="5" t="s">
        <v>133</v>
      </c>
      <c r="FD1" s="5" t="s">
        <v>134</v>
      </c>
      <c r="FE1" s="5" t="s">
        <v>135</v>
      </c>
      <c r="FF1" s="5" t="s">
        <v>136</v>
      </c>
      <c r="FG1" s="5" t="s">
        <v>137</v>
      </c>
      <c r="FH1" s="5" t="s">
        <v>138</v>
      </c>
      <c r="FI1" s="5" t="s">
        <v>139</v>
      </c>
      <c r="FJ1" s="5" t="s">
        <v>140</v>
      </c>
      <c r="FK1" s="5" t="s">
        <v>141</v>
      </c>
      <c r="FL1" s="5" t="s">
        <v>142</v>
      </c>
      <c r="FM1" s="5" t="s">
        <v>143</v>
      </c>
      <c r="FN1" s="5" t="s">
        <v>144</v>
      </c>
      <c r="FO1" s="5" t="s">
        <v>145</v>
      </c>
      <c r="FP1" s="5" t="s">
        <v>146</v>
      </c>
      <c r="FQ1" s="5" t="s">
        <v>147</v>
      </c>
      <c r="FR1" s="5" t="s">
        <v>148</v>
      </c>
      <c r="FS1" s="5" t="s">
        <v>149</v>
      </c>
      <c r="FT1" s="5" t="s">
        <v>150</v>
      </c>
      <c r="FU1" s="5" t="s">
        <v>151</v>
      </c>
      <c r="FV1" s="5" t="s">
        <v>152</v>
      </c>
      <c r="FW1" s="5" t="s">
        <v>153</v>
      </c>
      <c r="FX1" s="5" t="s">
        <v>154</v>
      </c>
      <c r="FY1" s="5" t="s">
        <v>155</v>
      </c>
      <c r="FZ1" s="5" t="s">
        <v>156</v>
      </c>
      <c r="GA1" s="5" t="s">
        <v>157</v>
      </c>
      <c r="GB1" s="5" t="s">
        <v>158</v>
      </c>
      <c r="GC1" s="5" t="s">
        <v>159</v>
      </c>
      <c r="GD1" s="5" t="s">
        <v>160</v>
      </c>
      <c r="GE1" s="5" t="s">
        <v>161</v>
      </c>
      <c r="GF1" s="5" t="s">
        <v>162</v>
      </c>
      <c r="GG1" s="5" t="s">
        <v>163</v>
      </c>
      <c r="GH1" s="5" t="s">
        <v>164</v>
      </c>
      <c r="GI1" s="5" t="s">
        <v>165</v>
      </c>
      <c r="GJ1" s="5" t="s">
        <v>166</v>
      </c>
      <c r="GK1" s="5" t="s">
        <v>167</v>
      </c>
      <c r="GL1" s="5" t="s">
        <v>168</v>
      </c>
      <c r="GM1" s="5" t="s">
        <v>169</v>
      </c>
      <c r="GN1" s="5" t="s">
        <v>170</v>
      </c>
      <c r="GO1" s="5" t="s">
        <v>171</v>
      </c>
      <c r="GP1" s="5" t="s">
        <v>172</v>
      </c>
      <c r="GQ1" s="5" t="s">
        <v>173</v>
      </c>
      <c r="GR1" s="5" t="s">
        <v>174</v>
      </c>
      <c r="GS1" s="5" t="s">
        <v>175</v>
      </c>
      <c r="GT1" s="5" t="s">
        <v>176</v>
      </c>
      <c r="GU1" s="5" t="s">
        <v>177</v>
      </c>
      <c r="GV1" s="5" t="s">
        <v>178</v>
      </c>
      <c r="GW1" s="5" t="s">
        <v>179</v>
      </c>
      <c r="GX1" s="5" t="s">
        <v>180</v>
      </c>
      <c r="GY1" s="5" t="s">
        <v>181</v>
      </c>
      <c r="GZ1" s="5" t="s">
        <v>182</v>
      </c>
      <c r="HA1" s="5" t="s">
        <v>183</v>
      </c>
      <c r="HB1" s="5" t="s">
        <v>184</v>
      </c>
      <c r="HC1" s="5" t="s">
        <v>185</v>
      </c>
      <c r="HD1" s="5" t="s">
        <v>186</v>
      </c>
      <c r="HE1" s="5" t="s">
        <v>187</v>
      </c>
      <c r="HF1" s="5" t="s">
        <v>188</v>
      </c>
      <c r="HG1" s="5" t="s">
        <v>189</v>
      </c>
      <c r="HH1" s="5" t="s">
        <v>190</v>
      </c>
      <c r="HI1" s="5" t="s">
        <v>191</v>
      </c>
      <c r="HJ1" s="5" t="s">
        <v>192</v>
      </c>
      <c r="HK1" s="5" t="s">
        <v>193</v>
      </c>
      <c r="HL1" s="5" t="s">
        <v>194</v>
      </c>
      <c r="HM1" s="5" t="s">
        <v>195</v>
      </c>
      <c r="HN1" s="5" t="s">
        <v>196</v>
      </c>
      <c r="HO1" s="5" t="s">
        <v>197</v>
      </c>
      <c r="HP1" s="5" t="s">
        <v>198</v>
      </c>
      <c r="HQ1" s="5" t="s">
        <v>199</v>
      </c>
      <c r="HR1" s="5" t="s">
        <v>200</v>
      </c>
      <c r="HS1" s="5" t="s">
        <v>201</v>
      </c>
      <c r="HT1" s="5" t="s">
        <v>202</v>
      </c>
      <c r="HU1" s="5" t="s">
        <v>203</v>
      </c>
      <c r="HV1" s="5" t="s">
        <v>204</v>
      </c>
      <c r="HW1" s="5" t="s">
        <v>205</v>
      </c>
      <c r="HX1" s="5" t="s">
        <v>206</v>
      </c>
      <c r="HY1" s="5" t="s">
        <v>207</v>
      </c>
      <c r="HZ1" s="5" t="s">
        <v>208</v>
      </c>
      <c r="IA1" s="5" t="s">
        <v>209</v>
      </c>
      <c r="IB1" s="5" t="s">
        <v>210</v>
      </c>
      <c r="IC1" s="5" t="s">
        <v>211</v>
      </c>
      <c r="ID1" s="5" t="s">
        <v>212</v>
      </c>
      <c r="IE1" s="5" t="s">
        <v>213</v>
      </c>
      <c r="IF1" s="5" t="s">
        <v>214</v>
      </c>
      <c r="IG1" s="5" t="s">
        <v>215</v>
      </c>
      <c r="IH1" s="5" t="s">
        <v>216</v>
      </c>
      <c r="II1" s="5" t="s">
        <v>217</v>
      </c>
      <c r="IJ1" s="5" t="s">
        <v>218</v>
      </c>
      <c r="IK1" s="5" t="s">
        <v>219</v>
      </c>
      <c r="IL1" s="5" t="s">
        <v>220</v>
      </c>
      <c r="IM1" s="5" t="s">
        <v>221</v>
      </c>
      <c r="IN1" s="5" t="s">
        <v>222</v>
      </c>
      <c r="IO1" s="5" t="s">
        <v>223</v>
      </c>
      <c r="IP1" s="5" t="s">
        <v>224</v>
      </c>
      <c r="IQ1" s="5" t="s">
        <v>225</v>
      </c>
      <c r="IR1" s="5" t="s">
        <v>226</v>
      </c>
      <c r="IS1" s="5" t="s">
        <v>227</v>
      </c>
      <c r="IT1" s="5" t="s">
        <v>228</v>
      </c>
      <c r="IU1" s="5" t="s">
        <v>229</v>
      </c>
      <c r="IV1" s="5" t="s">
        <v>230</v>
      </c>
      <c r="IW1" s="5" t="s">
        <v>231</v>
      </c>
      <c r="IX1" s="5" t="s">
        <v>232</v>
      </c>
      <c r="IY1" s="5" t="s">
        <v>233</v>
      </c>
      <c r="IZ1" s="5" t="s">
        <v>234</v>
      </c>
      <c r="JA1" s="5" t="s">
        <v>235</v>
      </c>
      <c r="JB1" s="5" t="s">
        <v>236</v>
      </c>
      <c r="JC1" s="5" t="s">
        <v>237</v>
      </c>
      <c r="JD1" s="5" t="s">
        <v>238</v>
      </c>
      <c r="JE1" s="5" t="s">
        <v>239</v>
      </c>
      <c r="JF1" s="5" t="s">
        <v>240</v>
      </c>
      <c r="JG1" s="5" t="s">
        <v>241</v>
      </c>
      <c r="JH1" s="5" t="s">
        <v>242</v>
      </c>
      <c r="JI1" s="5" t="s">
        <v>243</v>
      </c>
      <c r="JJ1" s="5" t="s">
        <v>244</v>
      </c>
      <c r="JK1" s="5" t="s">
        <v>245</v>
      </c>
      <c r="JL1" s="5" t="s">
        <v>246</v>
      </c>
      <c r="JM1" s="5" t="s">
        <v>247</v>
      </c>
      <c r="JN1" s="5" t="s">
        <v>248</v>
      </c>
      <c r="JO1" s="5" t="s">
        <v>249</v>
      </c>
      <c r="JP1" s="5" t="s">
        <v>250</v>
      </c>
      <c r="JQ1" s="5" t="s">
        <v>251</v>
      </c>
      <c r="JR1" s="5" t="s">
        <v>252</v>
      </c>
      <c r="JS1" s="5" t="s">
        <v>253</v>
      </c>
      <c r="JT1" s="5" t="s">
        <v>254</v>
      </c>
      <c r="JU1" s="5" t="s">
        <v>255</v>
      </c>
      <c r="JV1" s="5" t="s">
        <v>256</v>
      </c>
      <c r="JW1" s="5" t="s">
        <v>257</v>
      </c>
      <c r="JX1" s="5" t="s">
        <v>258</v>
      </c>
      <c r="JY1" s="5" t="s">
        <v>259</v>
      </c>
      <c r="JZ1" s="5" t="s">
        <v>260</v>
      </c>
      <c r="KA1" s="5" t="s">
        <v>261</v>
      </c>
      <c r="KB1" s="5" t="s">
        <v>262</v>
      </c>
      <c r="KC1" s="5" t="s">
        <v>263</v>
      </c>
      <c r="KD1" s="5" t="s">
        <v>264</v>
      </c>
      <c r="KE1" s="5" t="s">
        <v>265</v>
      </c>
      <c r="KF1" s="5" t="s">
        <v>266</v>
      </c>
      <c r="KG1" s="5" t="s">
        <v>267</v>
      </c>
      <c r="KH1" s="5" t="s">
        <v>268</v>
      </c>
      <c r="KI1" s="5" t="s">
        <v>269</v>
      </c>
      <c r="KJ1" s="5" t="s">
        <v>270</v>
      </c>
      <c r="KK1" s="5" t="s">
        <v>271</v>
      </c>
      <c r="KL1" s="5" t="s">
        <v>272</v>
      </c>
      <c r="KM1" s="5" t="s">
        <v>273</v>
      </c>
      <c r="KN1" s="5" t="s">
        <v>274</v>
      </c>
      <c r="KO1" s="5" t="s">
        <v>275</v>
      </c>
      <c r="KP1" s="5" t="s">
        <v>276</v>
      </c>
      <c r="KQ1" s="5" t="s">
        <v>277</v>
      </c>
      <c r="KR1" s="5" t="s">
        <v>278</v>
      </c>
      <c r="KS1" s="5" t="s">
        <v>279</v>
      </c>
      <c r="KT1" s="5" t="s">
        <v>280</v>
      </c>
      <c r="KU1" s="5" t="s">
        <v>281</v>
      </c>
      <c r="KV1" s="5" t="s">
        <v>282</v>
      </c>
      <c r="KW1" s="5" t="s">
        <v>283</v>
      </c>
      <c r="KX1" s="5" t="s">
        <v>284</v>
      </c>
      <c r="KY1" s="5" t="s">
        <v>285</v>
      </c>
      <c r="KZ1" s="5" t="s">
        <v>286</v>
      </c>
      <c r="LA1" s="5" t="s">
        <v>287</v>
      </c>
      <c r="LB1" s="5" t="s">
        <v>288</v>
      </c>
      <c r="LC1" s="5" t="s">
        <v>289</v>
      </c>
      <c r="LD1" s="5" t="s">
        <v>290</v>
      </c>
      <c r="LE1" s="5" t="s">
        <v>291</v>
      </c>
      <c r="LF1" s="5" t="s">
        <v>292</v>
      </c>
      <c r="LG1" s="5" t="s">
        <v>293</v>
      </c>
      <c r="LH1" s="5" t="s">
        <v>294</v>
      </c>
      <c r="LI1" s="5" t="s">
        <v>295</v>
      </c>
      <c r="LJ1" s="5" t="s">
        <v>296</v>
      </c>
      <c r="LK1" s="5" t="s">
        <v>297</v>
      </c>
      <c r="LL1" s="5" t="s">
        <v>298</v>
      </c>
      <c r="LM1" s="5" t="s">
        <v>299</v>
      </c>
      <c r="LN1" s="5" t="s">
        <v>300</v>
      </c>
      <c r="LO1" s="5" t="s">
        <v>301</v>
      </c>
      <c r="LP1" s="5" t="s">
        <v>302</v>
      </c>
      <c r="LQ1" s="5" t="s">
        <v>303</v>
      </c>
      <c r="LR1" s="5" t="s">
        <v>304</v>
      </c>
      <c r="LS1" s="5" t="s">
        <v>305</v>
      </c>
      <c r="LT1" s="5" t="s">
        <v>306</v>
      </c>
      <c r="LU1" s="5" t="s">
        <v>307</v>
      </c>
      <c r="LV1" s="5" t="s">
        <v>308</v>
      </c>
      <c r="LW1" s="5" t="s">
        <v>309</v>
      </c>
      <c r="LX1" s="5" t="s">
        <v>310</v>
      </c>
      <c r="LY1" s="5" t="s">
        <v>311</v>
      </c>
      <c r="LZ1" s="5" t="s">
        <v>312</v>
      </c>
      <c r="MA1" s="5" t="s">
        <v>313</v>
      </c>
      <c r="MB1" s="5" t="s">
        <v>314</v>
      </c>
      <c r="MC1" s="5" t="s">
        <v>315</v>
      </c>
      <c r="MD1" s="5" t="s">
        <v>316</v>
      </c>
      <c r="ME1" s="5" t="s">
        <v>317</v>
      </c>
      <c r="MF1" s="5" t="s">
        <v>318</v>
      </c>
      <c r="MG1" s="5" t="s">
        <v>319</v>
      </c>
      <c r="MH1" s="5" t="s">
        <v>320</v>
      </c>
      <c r="MI1" s="5" t="s">
        <v>321</v>
      </c>
      <c r="MJ1" s="5" t="s">
        <v>322</v>
      </c>
      <c r="MK1" s="5" t="s">
        <v>323</v>
      </c>
      <c r="ML1" s="5" t="s">
        <v>324</v>
      </c>
      <c r="MM1" s="5" t="s">
        <v>325</v>
      </c>
      <c r="MN1" s="5" t="s">
        <v>326</v>
      </c>
      <c r="MO1" s="5" t="s">
        <v>327</v>
      </c>
      <c r="MP1" s="5" t="s">
        <v>328</v>
      </c>
      <c r="MQ1" s="5" t="s">
        <v>329</v>
      </c>
      <c r="MR1" s="5" t="s">
        <v>330</v>
      </c>
      <c r="MS1" s="5" t="s">
        <v>331</v>
      </c>
      <c r="MT1" s="5" t="s">
        <v>332</v>
      </c>
      <c r="MU1" s="5" t="s">
        <v>333</v>
      </c>
      <c r="MV1" s="5" t="s">
        <v>334</v>
      </c>
      <c r="MW1" s="5" t="s">
        <v>335</v>
      </c>
      <c r="MX1" s="5" t="s">
        <v>336</v>
      </c>
      <c r="MY1" s="5" t="s">
        <v>337</v>
      </c>
      <c r="MZ1" s="5" t="s">
        <v>338</v>
      </c>
      <c r="NA1" s="5" t="s">
        <v>339</v>
      </c>
      <c r="NB1" s="5" t="s">
        <v>340</v>
      </c>
      <c r="NC1" s="5" t="s">
        <v>341</v>
      </c>
      <c r="ND1" s="5" t="s">
        <v>342</v>
      </c>
      <c r="NE1" s="5" t="s">
        <v>343</v>
      </c>
      <c r="NF1" s="5" t="s">
        <v>344</v>
      </c>
      <c r="NG1" s="5" t="s">
        <v>345</v>
      </c>
      <c r="NH1" s="5" t="s">
        <v>346</v>
      </c>
      <c r="NI1" s="5" t="s">
        <v>347</v>
      </c>
      <c r="NJ1" s="5" t="s">
        <v>348</v>
      </c>
      <c r="NK1" s="5" t="s">
        <v>349</v>
      </c>
      <c r="NL1" s="5" t="s">
        <v>350</v>
      </c>
      <c r="NM1" s="5" t="s">
        <v>351</v>
      </c>
      <c r="NN1" s="5" t="s">
        <v>352</v>
      </c>
      <c r="NO1" s="5" t="s">
        <v>353</v>
      </c>
      <c r="NP1" s="5" t="s">
        <v>354</v>
      </c>
      <c r="NQ1" s="5" t="s">
        <v>355</v>
      </c>
      <c r="NR1" s="5" t="s">
        <v>356</v>
      </c>
      <c r="NS1" s="5" t="s">
        <v>357</v>
      </c>
      <c r="NT1" s="5" t="s">
        <v>358</v>
      </c>
      <c r="NU1" s="5" t="s">
        <v>359</v>
      </c>
      <c r="NV1" s="5" t="s">
        <v>360</v>
      </c>
      <c r="NW1" s="5" t="s">
        <v>361</v>
      </c>
      <c r="NX1" s="5" t="s">
        <v>362</v>
      </c>
      <c r="NY1" s="5" t="s">
        <v>363</v>
      </c>
      <c r="NZ1" s="5" t="s">
        <v>364</v>
      </c>
      <c r="OA1" s="5" t="s">
        <v>365</v>
      </c>
      <c r="OB1" s="5" t="s">
        <v>366</v>
      </c>
      <c r="OC1" s="5" t="s">
        <v>367</v>
      </c>
      <c r="OD1" s="5" t="s">
        <v>368</v>
      </c>
      <c r="OE1" s="5" t="s">
        <v>369</v>
      </c>
      <c r="OF1" s="5" t="s">
        <v>370</v>
      </c>
      <c r="OG1" s="5" t="s">
        <v>371</v>
      </c>
      <c r="OH1" s="5" t="s">
        <v>372</v>
      </c>
      <c r="OI1" s="5" t="s">
        <v>373</v>
      </c>
      <c r="OJ1" s="5" t="s">
        <v>374</v>
      </c>
      <c r="OK1" s="5" t="s">
        <v>375</v>
      </c>
      <c r="OL1" s="5" t="s">
        <v>376</v>
      </c>
      <c r="OM1" s="5" t="s">
        <v>377</v>
      </c>
      <c r="ON1" s="5" t="s">
        <v>378</v>
      </c>
      <c r="OO1" s="5" t="s">
        <v>379</v>
      </c>
      <c r="OP1" s="5" t="s">
        <v>380</v>
      </c>
      <c r="OQ1" s="5" t="s">
        <v>381</v>
      </c>
      <c r="OR1" s="5" t="s">
        <v>382</v>
      </c>
      <c r="OS1" s="5" t="s">
        <v>383</v>
      </c>
      <c r="OT1" s="5" t="s">
        <v>384</v>
      </c>
      <c r="OU1" s="5" t="s">
        <v>385</v>
      </c>
      <c r="OV1" s="5" t="s">
        <v>386</v>
      </c>
      <c r="OW1" s="5" t="s">
        <v>387</v>
      </c>
      <c r="OX1" s="5" t="s">
        <v>388</v>
      </c>
      <c r="OY1" s="5" t="s">
        <v>389</v>
      </c>
      <c r="OZ1" s="5" t="s">
        <v>390</v>
      </c>
      <c r="PA1" s="5" t="s">
        <v>391</v>
      </c>
      <c r="PB1" s="5" t="s">
        <v>392</v>
      </c>
      <c r="PC1" s="5" t="s">
        <v>393</v>
      </c>
      <c r="PD1" s="5" t="s">
        <v>394</v>
      </c>
      <c r="PE1" s="5" t="s">
        <v>395</v>
      </c>
      <c r="PF1" s="5" t="s">
        <v>396</v>
      </c>
      <c r="PG1" s="5" t="s">
        <v>397</v>
      </c>
      <c r="PH1" s="5" t="s">
        <v>398</v>
      </c>
      <c r="PI1" s="5" t="s">
        <v>399</v>
      </c>
      <c r="PJ1" s="5" t="s">
        <v>400</v>
      </c>
      <c r="PK1" s="5" t="s">
        <v>401</v>
      </c>
      <c r="PL1" s="5" t="s">
        <v>402</v>
      </c>
      <c r="PM1" s="5" t="s">
        <v>403</v>
      </c>
      <c r="PN1" s="5" t="s">
        <v>404</v>
      </c>
      <c r="PO1" s="5" t="s">
        <v>405</v>
      </c>
      <c r="PP1" s="5" t="s">
        <v>406</v>
      </c>
      <c r="PQ1" s="5" t="s">
        <v>407</v>
      </c>
      <c r="PR1" s="5" t="s">
        <v>408</v>
      </c>
      <c r="PS1" s="5" t="s">
        <v>409</v>
      </c>
      <c r="PT1" s="5" t="s">
        <v>410</v>
      </c>
      <c r="PU1" s="5" t="s">
        <v>411</v>
      </c>
      <c r="PV1" s="5" t="s">
        <v>412</v>
      </c>
      <c r="PW1" s="5" t="s">
        <v>413</v>
      </c>
      <c r="PX1" s="5" t="s">
        <v>414</v>
      </c>
      <c r="PY1" s="5" t="s">
        <v>415</v>
      </c>
      <c r="PZ1" s="5" t="s">
        <v>416</v>
      </c>
      <c r="QA1" s="5" t="s">
        <v>417</v>
      </c>
      <c r="QB1" s="5" t="s">
        <v>418</v>
      </c>
      <c r="QC1" s="5" t="s">
        <v>419</v>
      </c>
      <c r="QD1" s="5" t="s">
        <v>420</v>
      </c>
      <c r="QE1" s="5" t="s">
        <v>421</v>
      </c>
      <c r="QF1" s="5" t="s">
        <v>422</v>
      </c>
      <c r="QG1" s="5" t="s">
        <v>423</v>
      </c>
      <c r="QH1" s="5" t="s">
        <v>424</v>
      </c>
      <c r="QI1" s="5" t="s">
        <v>425</v>
      </c>
      <c r="QJ1" s="5" t="s">
        <v>426</v>
      </c>
      <c r="QK1" s="5" t="s">
        <v>427</v>
      </c>
      <c r="QL1" s="5" t="s">
        <v>428</v>
      </c>
      <c r="QM1" s="5" t="s">
        <v>429</v>
      </c>
      <c r="QN1" s="5" t="s">
        <v>430</v>
      </c>
      <c r="QO1" s="5" t="s">
        <v>431</v>
      </c>
      <c r="QP1" s="5" t="s">
        <v>432</v>
      </c>
      <c r="QQ1" s="5" t="s">
        <v>433</v>
      </c>
      <c r="QR1" s="5" t="s">
        <v>434</v>
      </c>
      <c r="QS1" s="5" t="s">
        <v>435</v>
      </c>
      <c r="QT1" s="5" t="s">
        <v>436</v>
      </c>
      <c r="QU1" s="5" t="s">
        <v>437</v>
      </c>
      <c r="QV1" s="5" t="s">
        <v>438</v>
      </c>
      <c r="QW1" s="5" t="s">
        <v>439</v>
      </c>
      <c r="QX1" s="5" t="s">
        <v>440</v>
      </c>
      <c r="QY1" s="5" t="s">
        <v>441</v>
      </c>
      <c r="QZ1" s="5" t="s">
        <v>442</v>
      </c>
      <c r="RA1" s="5" t="s">
        <v>443</v>
      </c>
      <c r="RB1" s="5" t="s">
        <v>444</v>
      </c>
      <c r="RC1" s="5" t="s">
        <v>445</v>
      </c>
      <c r="RD1" s="5" t="s">
        <v>446</v>
      </c>
      <c r="RE1" s="5" t="s">
        <v>447</v>
      </c>
      <c r="RF1" s="5" t="s">
        <v>448</v>
      </c>
      <c r="RG1" s="5" t="s">
        <v>449</v>
      </c>
      <c r="RH1" s="5" t="s">
        <v>450</v>
      </c>
      <c r="RI1" s="5" t="s">
        <v>451</v>
      </c>
      <c r="RJ1" s="5" t="s">
        <v>452</v>
      </c>
      <c r="RK1" s="5" t="s">
        <v>453</v>
      </c>
      <c r="RL1" s="5" t="s">
        <v>454</v>
      </c>
      <c r="RM1" s="5" t="s">
        <v>455</v>
      </c>
      <c r="RN1" s="5" t="s">
        <v>456</v>
      </c>
      <c r="RO1" s="5" t="s">
        <v>76</v>
      </c>
      <c r="RP1" s="5" t="s">
        <v>82</v>
      </c>
      <c r="RQ1" s="5" t="s">
        <v>457</v>
      </c>
      <c r="RR1" s="5" t="s">
        <v>458</v>
      </c>
      <c r="RS1" s="5" t="s">
        <v>100</v>
      </c>
      <c r="RT1" s="5" t="s">
        <v>459</v>
      </c>
      <c r="RU1" s="5" t="s">
        <v>460</v>
      </c>
      <c r="RV1" s="5" t="s">
        <v>461</v>
      </c>
      <c r="RW1" s="5" t="s">
        <v>462</v>
      </c>
      <c r="RX1" s="5" t="s">
        <v>463</v>
      </c>
      <c r="RY1" s="5" t="s">
        <v>464</v>
      </c>
      <c r="RZ1" s="5" t="s">
        <v>465</v>
      </c>
      <c r="SA1" s="5" t="s">
        <v>466</v>
      </c>
      <c r="SB1" s="5" t="s">
        <v>467</v>
      </c>
      <c r="SC1" s="5" t="s">
        <v>468</v>
      </c>
      <c r="SD1" s="5" t="s">
        <v>469</v>
      </c>
      <c r="SE1" s="5" t="s">
        <v>470</v>
      </c>
      <c r="SF1" s="5" t="s">
        <v>471</v>
      </c>
      <c r="SG1" s="5" t="s">
        <v>472</v>
      </c>
      <c r="SH1" s="5" t="s">
        <v>473</v>
      </c>
      <c r="SI1" s="5" t="s">
        <v>474</v>
      </c>
      <c r="SJ1" s="5" t="s">
        <v>475</v>
      </c>
      <c r="SK1" s="5" t="s">
        <v>476</v>
      </c>
      <c r="SL1" s="5" t="s">
        <v>477</v>
      </c>
      <c r="SM1" s="5" t="s">
        <v>478</v>
      </c>
      <c r="SN1" s="5" t="s">
        <v>479</v>
      </c>
      <c r="SO1" s="5" t="s">
        <v>480</v>
      </c>
      <c r="SP1" s="5" t="s">
        <v>481</v>
      </c>
      <c r="SQ1" s="5" t="s">
        <v>482</v>
      </c>
      <c r="SR1" s="5" t="s">
        <v>483</v>
      </c>
      <c r="SS1" s="5" t="s">
        <v>484</v>
      </c>
      <c r="ST1" s="5" t="s">
        <v>485</v>
      </c>
      <c r="SU1" s="5" t="s">
        <v>486</v>
      </c>
      <c r="SV1" s="5" t="s">
        <v>487</v>
      </c>
      <c r="SW1" s="5" t="s">
        <v>488</v>
      </c>
      <c r="SX1" s="5" t="s">
        <v>489</v>
      </c>
      <c r="SY1" s="5" t="s">
        <v>490</v>
      </c>
      <c r="SZ1" s="5" t="s">
        <v>491</v>
      </c>
      <c r="TA1" s="5" t="s">
        <v>492</v>
      </c>
      <c r="TB1" s="5" t="s">
        <v>493</v>
      </c>
      <c r="TC1" s="5" t="s">
        <v>494</v>
      </c>
      <c r="TD1" s="5" t="s">
        <v>495</v>
      </c>
      <c r="TE1" s="5" t="s">
        <v>496</v>
      </c>
      <c r="TF1" s="5" t="s">
        <v>497</v>
      </c>
      <c r="TG1" s="5" t="s">
        <v>498</v>
      </c>
      <c r="TH1" s="5" t="s">
        <v>499</v>
      </c>
      <c r="TI1" s="5" t="s">
        <v>500</v>
      </c>
      <c r="TJ1" s="5" t="s">
        <v>501</v>
      </c>
      <c r="TK1" s="5" t="s">
        <v>502</v>
      </c>
      <c r="TL1" s="5" t="s">
        <v>503</v>
      </c>
      <c r="TM1" s="5" t="s">
        <v>504</v>
      </c>
      <c r="TN1" s="5" t="s">
        <v>505</v>
      </c>
      <c r="TO1" s="5" t="s">
        <v>506</v>
      </c>
    </row>
    <row r="2" spans="1:535">
      <c r="A2" t="s">
        <v>507</v>
      </c>
      <c r="B2" t="s">
        <v>508</v>
      </c>
      <c r="C2" t="s">
        <v>509</v>
      </c>
      <c r="D2" t="s">
        <v>510</v>
      </c>
      <c r="G2" t="s">
        <v>511</v>
      </c>
      <c r="L2" t="s">
        <v>512</v>
      </c>
      <c r="N2" t="s">
        <v>513</v>
      </c>
      <c r="O2" t="s">
        <v>514</v>
      </c>
      <c r="P2" t="s">
        <v>515</v>
      </c>
      <c r="Q2" t="s">
        <v>516</v>
      </c>
      <c r="R2" t="s">
        <v>517</v>
      </c>
      <c r="S2" t="s">
        <v>518</v>
      </c>
      <c r="T2" t="s">
        <v>519</v>
      </c>
      <c r="U2" t="s">
        <v>520</v>
      </c>
      <c r="V2" t="s">
        <v>521</v>
      </c>
      <c r="W2" t="s">
        <v>522</v>
      </c>
      <c r="X2" t="s">
        <v>523</v>
      </c>
      <c r="Y2" t="s">
        <v>524</v>
      </c>
      <c r="Z2" t="s">
        <v>525</v>
      </c>
      <c r="AA2" t="s">
        <v>526</v>
      </c>
      <c r="AB2" t="s">
        <v>527</v>
      </c>
      <c r="AC2">
        <v>2</v>
      </c>
      <c r="AD2">
        <v>57</v>
      </c>
      <c r="AE2">
        <v>177</v>
      </c>
      <c r="AF2">
        <v>1.5</v>
      </c>
      <c r="AH2">
        <v>0</v>
      </c>
      <c r="AI2" t="s">
        <v>528</v>
      </c>
      <c r="AJ2">
        <v>187.5</v>
      </c>
      <c r="AK2">
        <v>1</v>
      </c>
      <c r="AL2">
        <v>1.5</v>
      </c>
      <c r="AM2" t="s">
        <v>529</v>
      </c>
      <c r="AO2">
        <v>0</v>
      </c>
      <c r="AR2">
        <v>0</v>
      </c>
      <c r="AS2">
        <v>1.5</v>
      </c>
      <c r="AU2" t="s">
        <v>530</v>
      </c>
      <c r="AW2" t="s">
        <v>530</v>
      </c>
      <c r="AX2">
        <v>1</v>
      </c>
      <c r="AY2">
        <v>260</v>
      </c>
      <c r="AZ2">
        <v>1.5</v>
      </c>
      <c r="BA2" t="s">
        <v>529</v>
      </c>
      <c r="BG2">
        <v>1.5</v>
      </c>
      <c r="BJ2">
        <v>0</v>
      </c>
      <c r="BN2">
        <v>1.5</v>
      </c>
      <c r="BP2" t="s">
        <v>531</v>
      </c>
      <c r="BQ2">
        <v>89</v>
      </c>
      <c r="BR2">
        <v>2</v>
      </c>
      <c r="BS2" t="s">
        <v>532</v>
      </c>
      <c r="BT2">
        <v>199</v>
      </c>
      <c r="BU2">
        <v>0.5</v>
      </c>
      <c r="BV2" t="s">
        <v>532</v>
      </c>
      <c r="BW2">
        <v>398</v>
      </c>
      <c r="BX2">
        <v>1</v>
      </c>
      <c r="BY2" t="s">
        <v>533</v>
      </c>
      <c r="BZ2">
        <v>300</v>
      </c>
      <c r="CA2">
        <v>520</v>
      </c>
      <c r="CB2" t="s">
        <v>534</v>
      </c>
      <c r="CC2" t="s">
        <v>534</v>
      </c>
      <c r="CD2">
        <v>415</v>
      </c>
      <c r="CE2" t="s">
        <v>535</v>
      </c>
      <c r="CF2">
        <v>15</v>
      </c>
      <c r="CG2" t="s">
        <v>536</v>
      </c>
      <c r="CH2" t="s">
        <v>536</v>
      </c>
      <c r="CI2">
        <v>110</v>
      </c>
      <c r="CJ2">
        <v>1200</v>
      </c>
      <c r="CK2">
        <v>2</v>
      </c>
      <c r="CL2">
        <v>1301</v>
      </c>
      <c r="CM2">
        <v>2</v>
      </c>
      <c r="CN2" t="s">
        <v>537</v>
      </c>
      <c r="CO2" t="s">
        <v>538</v>
      </c>
      <c r="CP2" t="s">
        <v>539</v>
      </c>
      <c r="CQ2" t="s">
        <v>540</v>
      </c>
      <c r="CR2" t="s">
        <v>541</v>
      </c>
      <c r="CS2" t="s">
        <v>542</v>
      </c>
      <c r="CT2">
        <v>375</v>
      </c>
      <c r="CU2">
        <v>5</v>
      </c>
      <c r="CV2">
        <v>1.3</v>
      </c>
      <c r="CW2">
        <v>1218</v>
      </c>
      <c r="CX2">
        <v>702</v>
      </c>
      <c r="DD2">
        <v>0</v>
      </c>
      <c r="DE2" t="s">
        <v>543</v>
      </c>
      <c r="DF2">
        <v>520</v>
      </c>
      <c r="DG2">
        <v>3</v>
      </c>
      <c r="DH2">
        <v>1.18</v>
      </c>
      <c r="DI2">
        <v>1212</v>
      </c>
      <c r="DJ2">
        <v>898</v>
      </c>
      <c r="DW2" t="s">
        <v>544</v>
      </c>
      <c r="DX2">
        <v>7.5</v>
      </c>
      <c r="EA2">
        <v>1284.1</v>
      </c>
      <c r="EB2">
        <v>183</v>
      </c>
      <c r="EC2" t="s">
        <v>545</v>
      </c>
      <c r="ED2">
        <v>35</v>
      </c>
      <c r="EE2">
        <v>3</v>
      </c>
      <c r="EG2">
        <v>1315</v>
      </c>
      <c r="EH2">
        <v>183</v>
      </c>
      <c r="EJ2">
        <v>0</v>
      </c>
      <c r="EK2">
        <v>1</v>
      </c>
      <c r="EN2">
        <v>0</v>
      </c>
      <c r="EP2" t="s">
        <v>546</v>
      </c>
      <c r="EQ2">
        <v>105</v>
      </c>
      <c r="ER2">
        <v>3</v>
      </c>
      <c r="ES2">
        <v>4.5</v>
      </c>
      <c r="ET2">
        <v>1191</v>
      </c>
      <c r="EU2">
        <v>382.3</v>
      </c>
      <c r="EV2">
        <v>455</v>
      </c>
      <c r="EW2" t="s">
        <v>547</v>
      </c>
      <c r="EX2">
        <v>70</v>
      </c>
      <c r="EY2">
        <v>2</v>
      </c>
      <c r="EZ2">
        <v>3.8</v>
      </c>
      <c r="FA2">
        <v>1191</v>
      </c>
      <c r="FB2">
        <v>197.5</v>
      </c>
      <c r="FC2">
        <v>235</v>
      </c>
      <c r="FE2">
        <v>0</v>
      </c>
      <c r="FF2">
        <v>2</v>
      </c>
      <c r="FI2">
        <v>0</v>
      </c>
      <c r="FK2" t="s">
        <v>548</v>
      </c>
      <c r="FL2">
        <v>0.4</v>
      </c>
      <c r="FM2">
        <v>40</v>
      </c>
      <c r="FN2">
        <v>170</v>
      </c>
      <c r="HC2">
        <v>0.1</v>
      </c>
      <c r="HD2">
        <v>3</v>
      </c>
      <c r="HE2">
        <v>3</v>
      </c>
      <c r="HF2">
        <v>3</v>
      </c>
      <c r="HG2">
        <v>3</v>
      </c>
      <c r="HH2">
        <v>3</v>
      </c>
      <c r="HI2">
        <v>160</v>
      </c>
      <c r="HJ2">
        <v>3</v>
      </c>
      <c r="HK2">
        <v>55</v>
      </c>
      <c r="HL2">
        <v>2</v>
      </c>
      <c r="HM2">
        <v>0</v>
      </c>
      <c r="HN2">
        <v>2</v>
      </c>
      <c r="HO2">
        <v>90</v>
      </c>
      <c r="HP2">
        <v>3</v>
      </c>
      <c r="HQ2">
        <v>0</v>
      </c>
      <c r="HR2">
        <v>2</v>
      </c>
      <c r="HS2">
        <v>3712</v>
      </c>
      <c r="HT2">
        <v>110</v>
      </c>
      <c r="HU2">
        <v>180</v>
      </c>
      <c r="HW2">
        <v>0</v>
      </c>
      <c r="HX2">
        <v>460</v>
      </c>
      <c r="HY2">
        <v>0.18</v>
      </c>
      <c r="IA2">
        <v>0.15</v>
      </c>
      <c r="IB2">
        <v>0</v>
      </c>
      <c r="IC2">
        <v>180</v>
      </c>
      <c r="ID2">
        <v>110</v>
      </c>
      <c r="IE2">
        <v>0</v>
      </c>
      <c r="IF2">
        <v>0</v>
      </c>
      <c r="IH2" t="s">
        <v>549</v>
      </c>
      <c r="IO2">
        <v>1</v>
      </c>
      <c r="IP2">
        <v>16</v>
      </c>
      <c r="IQ2">
        <v>1</v>
      </c>
      <c r="IR2">
        <v>1</v>
      </c>
      <c r="IV2">
        <v>1200</v>
      </c>
      <c r="IW2">
        <v>398</v>
      </c>
      <c r="JA2">
        <v>1</v>
      </c>
      <c r="JB2">
        <v>0</v>
      </c>
      <c r="JC2">
        <v>2</v>
      </c>
      <c r="JD2">
        <v>1218</v>
      </c>
      <c r="JE2">
        <v>1212</v>
      </c>
      <c r="JF2">
        <v>0</v>
      </c>
      <c r="JG2">
        <v>1191</v>
      </c>
      <c r="JH2">
        <v>0</v>
      </c>
      <c r="JJ2">
        <v>180</v>
      </c>
      <c r="JK2">
        <v>460</v>
      </c>
      <c r="JN2">
        <v>375</v>
      </c>
      <c r="JO2">
        <v>520</v>
      </c>
      <c r="JP2">
        <v>0</v>
      </c>
      <c r="JQ2">
        <v>0</v>
      </c>
      <c r="JR2">
        <v>354</v>
      </c>
      <c r="JS2">
        <v>160</v>
      </c>
      <c r="JV2">
        <v>8</v>
      </c>
      <c r="JW2" t="s">
        <v>550</v>
      </c>
      <c r="JX2">
        <v>0</v>
      </c>
      <c r="KA2">
        <v>0</v>
      </c>
      <c r="KB2">
        <v>110</v>
      </c>
      <c r="KC2">
        <v>0</v>
      </c>
      <c r="KD2">
        <v>80</v>
      </c>
      <c r="KF2">
        <v>4</v>
      </c>
      <c r="KG2">
        <v>4</v>
      </c>
      <c r="KH2">
        <v>2</v>
      </c>
      <c r="KI2">
        <v>2</v>
      </c>
      <c r="KJ2">
        <v>0</v>
      </c>
      <c r="KK2">
        <v>1.5</v>
      </c>
      <c r="KL2">
        <v>1.5</v>
      </c>
      <c r="KM2">
        <v>0</v>
      </c>
      <c r="KN2">
        <v>0</v>
      </c>
      <c r="KO2">
        <v>0</v>
      </c>
      <c r="KR2">
        <v>30</v>
      </c>
      <c r="KS2">
        <v>60</v>
      </c>
      <c r="KT2">
        <v>0</v>
      </c>
      <c r="LK2">
        <v>480</v>
      </c>
      <c r="PG2">
        <v>1</v>
      </c>
      <c r="PI2" t="s">
        <v>527</v>
      </c>
      <c r="PJ2" t="s">
        <v>530</v>
      </c>
      <c r="PL2" t="s">
        <v>528</v>
      </c>
      <c r="PP2" t="s">
        <v>531</v>
      </c>
      <c r="PX2">
        <v>56</v>
      </c>
      <c r="PY2">
        <v>57</v>
      </c>
      <c r="PZ2" t="s">
        <v>527</v>
      </c>
      <c r="QA2">
        <v>1</v>
      </c>
      <c r="QB2">
        <v>1191</v>
      </c>
      <c r="QC2">
        <v>69</v>
      </c>
      <c r="QD2">
        <v>69</v>
      </c>
      <c r="QE2" t="s">
        <v>528</v>
      </c>
      <c r="QF2">
        <v>1</v>
      </c>
      <c r="QG2">
        <v>1218</v>
      </c>
      <c r="QH2">
        <v>66</v>
      </c>
      <c r="QI2">
        <v>66</v>
      </c>
      <c r="QL2">
        <v>0</v>
      </c>
      <c r="QM2">
        <v>62</v>
      </c>
      <c r="QN2">
        <v>62</v>
      </c>
      <c r="QO2" t="s">
        <v>530</v>
      </c>
      <c r="QP2">
        <v>1</v>
      </c>
      <c r="QQ2">
        <v>1212</v>
      </c>
      <c r="QW2">
        <v>82</v>
      </c>
      <c r="QX2">
        <v>89</v>
      </c>
      <c r="QY2" t="s">
        <v>531</v>
      </c>
      <c r="QZ2">
        <v>1</v>
      </c>
      <c r="RA2">
        <v>66</v>
      </c>
      <c r="RB2">
        <v>66</v>
      </c>
      <c r="RE2">
        <v>0</v>
      </c>
      <c r="RF2">
        <v>1</v>
      </c>
      <c r="RJ2">
        <v>1</v>
      </c>
      <c r="RL2">
        <v>1</v>
      </c>
      <c r="RO2">
        <v>576</v>
      </c>
      <c r="RQ2">
        <v>741</v>
      </c>
      <c r="RT2">
        <v>183</v>
      </c>
      <c r="RU2">
        <v>183</v>
      </c>
      <c r="RV2" t="s">
        <v>551</v>
      </c>
      <c r="RW2" t="s">
        <v>552</v>
      </c>
      <c r="RX2">
        <v>15</v>
      </c>
      <c r="RY2">
        <v>4</v>
      </c>
      <c r="RZ2" t="s">
        <v>552</v>
      </c>
      <c r="SA2">
        <v>15</v>
      </c>
      <c r="SC2" t="s">
        <v>530</v>
      </c>
      <c r="SD2">
        <v>1</v>
      </c>
      <c r="SH2">
        <v>0.995</v>
      </c>
      <c r="SI2">
        <v>0.995</v>
      </c>
      <c r="SJ2">
        <v>0.995</v>
      </c>
      <c r="SK2">
        <v>15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TB2">
        <v>0</v>
      </c>
      <c r="TC2">
        <v>0</v>
      </c>
      <c r="TD2">
        <v>7.5</v>
      </c>
      <c r="TE2" t="s">
        <v>553</v>
      </c>
      <c r="TF2" t="s">
        <v>554</v>
      </c>
      <c r="TG2" t="s">
        <v>555</v>
      </c>
      <c r="TI2" t="s">
        <v>546</v>
      </c>
      <c r="TJ2" t="s">
        <v>547</v>
      </c>
      <c r="TL2" t="s">
        <v>556</v>
      </c>
      <c r="TM2" t="s">
        <v>513</v>
      </c>
      <c r="TN2">
        <v>0</v>
      </c>
      <c r="TO2" t="s">
        <v>557</v>
      </c>
    </row>
    <row r="3" spans="1:535">
      <c r="A3" t="s">
        <v>558</v>
      </c>
      <c r="B3" t="s">
        <v>559</v>
      </c>
      <c r="C3" t="s">
        <v>509</v>
      </c>
      <c r="D3" t="s">
        <v>560</v>
      </c>
      <c r="G3" t="s">
        <v>561</v>
      </c>
      <c r="I3" t="s">
        <v>562</v>
      </c>
      <c r="J3" t="s">
        <v>563</v>
      </c>
      <c r="L3" t="s">
        <v>512</v>
      </c>
      <c r="M3" t="s">
        <v>564</v>
      </c>
      <c r="N3" t="s">
        <v>513</v>
      </c>
      <c r="O3" t="s">
        <v>565</v>
      </c>
      <c r="Q3" t="s">
        <v>566</v>
      </c>
      <c r="R3" t="s">
        <v>567</v>
      </c>
      <c r="S3" t="s">
        <v>568</v>
      </c>
      <c r="T3" t="s">
        <v>569</v>
      </c>
      <c r="U3" t="s">
        <v>570</v>
      </c>
      <c r="V3" t="s">
        <v>571</v>
      </c>
      <c r="W3" t="s">
        <v>572</v>
      </c>
      <c r="X3" t="s">
        <v>573</v>
      </c>
      <c r="Y3" t="s">
        <v>574</v>
      </c>
      <c r="Z3" t="s">
        <v>575</v>
      </c>
      <c r="AA3" t="s">
        <v>576</v>
      </c>
      <c r="AB3" t="s">
        <v>577</v>
      </c>
      <c r="AC3">
        <v>2</v>
      </c>
      <c r="AD3">
        <v>56</v>
      </c>
      <c r="AE3">
        <v>261</v>
      </c>
      <c r="AF3">
        <v>1.5</v>
      </c>
      <c r="AH3">
        <v>0</v>
      </c>
      <c r="AI3" t="s">
        <v>578</v>
      </c>
      <c r="AJ3">
        <v>242.5</v>
      </c>
      <c r="AK3">
        <v>1</v>
      </c>
      <c r="AL3">
        <v>1.5</v>
      </c>
      <c r="AM3" t="s">
        <v>579</v>
      </c>
      <c r="AN3" t="s">
        <v>580</v>
      </c>
      <c r="AO3">
        <v>2</v>
      </c>
      <c r="AP3" t="s">
        <v>581</v>
      </c>
      <c r="AQ3" t="s">
        <v>582</v>
      </c>
      <c r="AR3">
        <v>291</v>
      </c>
      <c r="AS3">
        <v>1.5</v>
      </c>
      <c r="AT3" t="s">
        <v>583</v>
      </c>
      <c r="AU3" t="s">
        <v>584</v>
      </c>
      <c r="AW3" t="s">
        <v>584</v>
      </c>
      <c r="AX3">
        <v>1</v>
      </c>
      <c r="AY3">
        <v>342.5</v>
      </c>
      <c r="AZ3">
        <v>1.5</v>
      </c>
      <c r="BA3" t="s">
        <v>579</v>
      </c>
      <c r="BB3" t="s">
        <v>585</v>
      </c>
      <c r="BD3" t="s">
        <v>585</v>
      </c>
      <c r="BE3">
        <v>1</v>
      </c>
      <c r="BF3">
        <v>285</v>
      </c>
      <c r="BG3">
        <v>1.5</v>
      </c>
      <c r="BJ3">
        <v>0</v>
      </c>
      <c r="BN3">
        <v>1.5</v>
      </c>
      <c r="BP3" t="s">
        <v>586</v>
      </c>
      <c r="BQ3" t="s">
        <v>587</v>
      </c>
      <c r="BR3">
        <v>2</v>
      </c>
      <c r="BS3" t="s">
        <v>588</v>
      </c>
      <c r="BT3">
        <v>261</v>
      </c>
      <c r="BU3">
        <v>0.5</v>
      </c>
      <c r="BV3" t="s">
        <v>588</v>
      </c>
      <c r="BW3">
        <v>522</v>
      </c>
      <c r="BX3">
        <v>1</v>
      </c>
      <c r="BY3" t="s">
        <v>589</v>
      </c>
      <c r="BZ3">
        <v>470</v>
      </c>
      <c r="CA3">
        <v>590</v>
      </c>
      <c r="CB3" t="s">
        <v>590</v>
      </c>
      <c r="CC3" t="s">
        <v>590</v>
      </c>
      <c r="CD3">
        <v>542</v>
      </c>
      <c r="CE3" t="s">
        <v>591</v>
      </c>
      <c r="CF3">
        <v>15</v>
      </c>
      <c r="CG3" t="s">
        <v>592</v>
      </c>
      <c r="CH3" t="s">
        <v>592</v>
      </c>
      <c r="CI3">
        <v>60</v>
      </c>
      <c r="CJ3">
        <v>1538</v>
      </c>
      <c r="CK3">
        <v>2</v>
      </c>
      <c r="CL3">
        <v>1632</v>
      </c>
      <c r="CM3">
        <v>2</v>
      </c>
      <c r="CN3" t="s">
        <v>593</v>
      </c>
      <c r="CO3" t="s">
        <v>594</v>
      </c>
      <c r="CP3" t="s">
        <v>595</v>
      </c>
      <c r="CQ3" t="s">
        <v>596</v>
      </c>
      <c r="CR3" t="s">
        <v>541</v>
      </c>
      <c r="CS3" t="s">
        <v>542</v>
      </c>
      <c r="CT3">
        <v>485</v>
      </c>
      <c r="CU3">
        <v>5</v>
      </c>
      <c r="CV3">
        <v>1.3</v>
      </c>
      <c r="CW3">
        <v>1555</v>
      </c>
      <c r="CX3">
        <v>1160</v>
      </c>
      <c r="CY3" t="s">
        <v>597</v>
      </c>
      <c r="CZ3">
        <v>60</v>
      </c>
      <c r="DA3">
        <v>3</v>
      </c>
      <c r="DB3">
        <v>1.28</v>
      </c>
      <c r="DC3">
        <v>1555</v>
      </c>
      <c r="DD3">
        <v>132</v>
      </c>
      <c r="DE3" t="s">
        <v>543</v>
      </c>
      <c r="DF3">
        <v>685</v>
      </c>
      <c r="DG3">
        <v>3</v>
      </c>
      <c r="DH3">
        <v>1.18</v>
      </c>
      <c r="DI3">
        <v>1548</v>
      </c>
      <c r="DJ3">
        <v>1616</v>
      </c>
      <c r="DK3" t="s">
        <v>543</v>
      </c>
      <c r="DL3">
        <v>570</v>
      </c>
      <c r="DM3">
        <v>3</v>
      </c>
      <c r="DN3">
        <v>1.18</v>
      </c>
      <c r="DO3">
        <v>1555</v>
      </c>
      <c r="DP3">
        <v>1270</v>
      </c>
      <c r="DW3" t="s">
        <v>544</v>
      </c>
      <c r="DX3">
        <v>9.4</v>
      </c>
      <c r="EA3">
        <v>1627</v>
      </c>
      <c r="EB3">
        <v>382</v>
      </c>
      <c r="EC3" t="s">
        <v>545</v>
      </c>
      <c r="ED3">
        <v>45</v>
      </c>
      <c r="EE3">
        <v>3</v>
      </c>
      <c r="EG3">
        <v>1668</v>
      </c>
      <c r="EH3">
        <v>372</v>
      </c>
      <c r="EJ3">
        <v>0</v>
      </c>
      <c r="EK3">
        <v>1</v>
      </c>
      <c r="EN3">
        <v>0</v>
      </c>
      <c r="EP3" t="s">
        <v>546</v>
      </c>
      <c r="EQ3">
        <v>130</v>
      </c>
      <c r="ER3">
        <v>3</v>
      </c>
      <c r="ES3">
        <v>6.5</v>
      </c>
      <c r="ET3">
        <v>1540</v>
      </c>
      <c r="EU3">
        <v>646.3</v>
      </c>
      <c r="EV3">
        <v>995</v>
      </c>
      <c r="EW3" t="s">
        <v>547</v>
      </c>
      <c r="EX3">
        <v>45</v>
      </c>
      <c r="EY3">
        <v>2</v>
      </c>
      <c r="EZ3">
        <v>4.5</v>
      </c>
      <c r="FA3">
        <v>1540</v>
      </c>
      <c r="FB3">
        <v>151.6</v>
      </c>
      <c r="FC3">
        <v>233</v>
      </c>
      <c r="FE3">
        <v>0</v>
      </c>
      <c r="FF3">
        <v>2</v>
      </c>
      <c r="FI3">
        <v>0</v>
      </c>
      <c r="FK3" t="s">
        <v>548</v>
      </c>
      <c r="FL3">
        <v>0.4</v>
      </c>
      <c r="FM3">
        <v>35</v>
      </c>
      <c r="FN3">
        <v>480</v>
      </c>
      <c r="FO3">
        <v>95</v>
      </c>
      <c r="FP3">
        <v>200</v>
      </c>
      <c r="GR3" t="s">
        <v>548</v>
      </c>
      <c r="GS3">
        <v>0.4</v>
      </c>
      <c r="GT3">
        <v>50</v>
      </c>
      <c r="GU3">
        <v>340</v>
      </c>
      <c r="HC3">
        <v>0.1</v>
      </c>
      <c r="HD3">
        <v>3</v>
      </c>
      <c r="HE3">
        <v>3</v>
      </c>
      <c r="HF3">
        <v>3</v>
      </c>
      <c r="HG3">
        <v>3</v>
      </c>
      <c r="HH3">
        <v>3</v>
      </c>
      <c r="HI3">
        <v>160</v>
      </c>
      <c r="HJ3">
        <v>3</v>
      </c>
      <c r="HK3">
        <v>30</v>
      </c>
      <c r="HL3">
        <v>2</v>
      </c>
      <c r="HM3">
        <v>0</v>
      </c>
      <c r="HN3">
        <v>2</v>
      </c>
      <c r="HO3">
        <v>115</v>
      </c>
      <c r="HP3">
        <v>3</v>
      </c>
      <c r="HQ3">
        <v>0</v>
      </c>
      <c r="HR3">
        <v>2</v>
      </c>
      <c r="HS3">
        <v>8274</v>
      </c>
      <c r="HT3">
        <v>250</v>
      </c>
      <c r="HU3">
        <v>180</v>
      </c>
      <c r="HW3">
        <v>0</v>
      </c>
      <c r="HX3">
        <v>540</v>
      </c>
      <c r="HY3">
        <v>0.18</v>
      </c>
      <c r="IA3">
        <v>0.15</v>
      </c>
      <c r="IB3">
        <v>0</v>
      </c>
      <c r="IC3">
        <v>180</v>
      </c>
      <c r="ID3">
        <v>110</v>
      </c>
      <c r="IE3">
        <v>225</v>
      </c>
      <c r="IF3">
        <v>0</v>
      </c>
      <c r="IH3" t="s">
        <v>549</v>
      </c>
      <c r="IO3">
        <v>3</v>
      </c>
      <c r="IP3">
        <v>20</v>
      </c>
      <c r="IQ3">
        <v>1</v>
      </c>
      <c r="IR3">
        <v>0</v>
      </c>
      <c r="IV3">
        <v>1538</v>
      </c>
      <c r="IW3">
        <v>522</v>
      </c>
      <c r="JA3">
        <v>1</v>
      </c>
      <c r="JB3">
        <v>0</v>
      </c>
      <c r="JC3">
        <v>2</v>
      </c>
      <c r="JD3">
        <v>1555</v>
      </c>
      <c r="JE3">
        <v>1548</v>
      </c>
      <c r="JF3">
        <v>1555</v>
      </c>
      <c r="JG3">
        <v>1540</v>
      </c>
      <c r="JH3">
        <v>0</v>
      </c>
      <c r="JJ3">
        <v>180</v>
      </c>
      <c r="JK3">
        <v>540</v>
      </c>
      <c r="JN3">
        <v>485</v>
      </c>
      <c r="JO3">
        <v>685</v>
      </c>
      <c r="JP3">
        <v>570</v>
      </c>
      <c r="JQ3">
        <v>0</v>
      </c>
      <c r="JR3">
        <v>522</v>
      </c>
      <c r="JS3">
        <v>160</v>
      </c>
      <c r="JV3">
        <v>10</v>
      </c>
      <c r="JW3" t="s">
        <v>550</v>
      </c>
      <c r="JX3">
        <v>582</v>
      </c>
      <c r="KA3">
        <v>225</v>
      </c>
      <c r="KB3">
        <v>110</v>
      </c>
      <c r="KC3">
        <v>0</v>
      </c>
      <c r="KD3">
        <v>80</v>
      </c>
      <c r="KF3">
        <v>4</v>
      </c>
      <c r="KG3">
        <v>2</v>
      </c>
      <c r="KH3">
        <v>2</v>
      </c>
      <c r="KI3">
        <v>2</v>
      </c>
      <c r="KJ3">
        <v>0</v>
      </c>
      <c r="KK3">
        <v>1.5</v>
      </c>
      <c r="KL3">
        <v>1.5</v>
      </c>
      <c r="KM3">
        <v>0</v>
      </c>
      <c r="KN3">
        <v>0</v>
      </c>
      <c r="KO3">
        <v>0</v>
      </c>
      <c r="KR3">
        <v>30</v>
      </c>
      <c r="KS3">
        <v>60</v>
      </c>
      <c r="KT3">
        <v>0</v>
      </c>
      <c r="LK3">
        <v>480</v>
      </c>
      <c r="PG3">
        <v>1</v>
      </c>
      <c r="PI3" t="s">
        <v>577</v>
      </c>
      <c r="PJ3" t="s">
        <v>584</v>
      </c>
      <c r="PK3" t="s">
        <v>585</v>
      </c>
      <c r="PL3" t="s">
        <v>578</v>
      </c>
      <c r="PP3" t="s">
        <v>586</v>
      </c>
      <c r="PS3" t="s">
        <v>580</v>
      </c>
      <c r="PX3">
        <v>56</v>
      </c>
      <c r="PY3">
        <v>56</v>
      </c>
      <c r="PZ3" t="s">
        <v>577</v>
      </c>
      <c r="QA3">
        <v>2</v>
      </c>
      <c r="QB3">
        <v>1540</v>
      </c>
      <c r="QC3">
        <v>69</v>
      </c>
      <c r="QD3">
        <v>69</v>
      </c>
      <c r="QE3" t="s">
        <v>578</v>
      </c>
      <c r="QF3">
        <v>1</v>
      </c>
      <c r="QG3">
        <v>1555</v>
      </c>
      <c r="QH3">
        <v>66</v>
      </c>
      <c r="QI3">
        <v>66</v>
      </c>
      <c r="QJ3" t="s">
        <v>580</v>
      </c>
      <c r="QK3">
        <v>1</v>
      </c>
      <c r="QL3">
        <v>1555</v>
      </c>
      <c r="QM3">
        <v>62</v>
      </c>
      <c r="QN3">
        <v>62</v>
      </c>
      <c r="QO3" t="s">
        <v>584</v>
      </c>
      <c r="QP3">
        <v>1</v>
      </c>
      <c r="QQ3">
        <v>1548</v>
      </c>
      <c r="QR3">
        <v>62</v>
      </c>
      <c r="QS3">
        <v>62</v>
      </c>
      <c r="QT3" t="s">
        <v>585</v>
      </c>
      <c r="QU3">
        <v>1</v>
      </c>
      <c r="QV3">
        <v>1555</v>
      </c>
      <c r="QW3">
        <v>82</v>
      </c>
      <c r="QX3" t="s">
        <v>587</v>
      </c>
      <c r="QY3" t="s">
        <v>586</v>
      </c>
      <c r="QZ3">
        <v>1</v>
      </c>
      <c r="RA3">
        <v>66</v>
      </c>
      <c r="RB3">
        <v>66</v>
      </c>
      <c r="RE3">
        <v>0</v>
      </c>
      <c r="RF3">
        <v>1</v>
      </c>
      <c r="RH3">
        <v>1</v>
      </c>
      <c r="RJ3">
        <v>1</v>
      </c>
      <c r="RK3">
        <v>2</v>
      </c>
      <c r="RL3">
        <v>1</v>
      </c>
      <c r="RM3">
        <v>1</v>
      </c>
      <c r="RO3">
        <v>746</v>
      </c>
      <c r="RP3">
        <v>170</v>
      </c>
      <c r="RQ3">
        <v>1044</v>
      </c>
      <c r="RR3">
        <v>817</v>
      </c>
      <c r="RT3">
        <v>382</v>
      </c>
      <c r="RU3">
        <v>372</v>
      </c>
      <c r="RV3" t="s">
        <v>598</v>
      </c>
      <c r="RW3" t="s">
        <v>599</v>
      </c>
      <c r="RX3">
        <v>15</v>
      </c>
      <c r="RY3">
        <v>4</v>
      </c>
      <c r="RZ3" t="s">
        <v>599</v>
      </c>
      <c r="SA3">
        <v>15</v>
      </c>
      <c r="SC3" t="s">
        <v>584</v>
      </c>
      <c r="SD3">
        <v>1</v>
      </c>
      <c r="SF3" t="s">
        <v>585</v>
      </c>
      <c r="SG3">
        <v>1</v>
      </c>
      <c r="SH3">
        <v>0.995</v>
      </c>
      <c r="SI3">
        <v>0.995</v>
      </c>
      <c r="SJ3">
        <v>0.995</v>
      </c>
      <c r="SK3">
        <v>15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1</v>
      </c>
      <c r="TB3">
        <v>0</v>
      </c>
      <c r="TC3">
        <v>0</v>
      </c>
      <c r="TD3">
        <v>9.4</v>
      </c>
      <c r="TE3" t="s">
        <v>553</v>
      </c>
      <c r="TF3" t="s">
        <v>600</v>
      </c>
      <c r="TG3" t="s">
        <v>555</v>
      </c>
      <c r="TI3" t="s">
        <v>546</v>
      </c>
      <c r="TJ3" t="s">
        <v>547</v>
      </c>
      <c r="TL3" t="s">
        <v>556</v>
      </c>
      <c r="TM3" t="s">
        <v>513</v>
      </c>
      <c r="TN3">
        <v>0</v>
      </c>
      <c r="TO3" t="s">
        <v>601</v>
      </c>
    </row>
    <row r="4" spans="1:535">
      <c r="A4" t="s">
        <v>602</v>
      </c>
      <c r="B4" t="s">
        <v>559</v>
      </c>
      <c r="C4" t="s">
        <v>509</v>
      </c>
      <c r="D4" t="s">
        <v>603</v>
      </c>
      <c r="G4" t="s">
        <v>604</v>
      </c>
      <c r="H4" t="s">
        <v>605</v>
      </c>
      <c r="J4" t="s">
        <v>606</v>
      </c>
      <c r="L4" t="s">
        <v>512</v>
      </c>
      <c r="M4" t="s">
        <v>564</v>
      </c>
      <c r="N4" t="s">
        <v>513</v>
      </c>
      <c r="O4" t="s">
        <v>607</v>
      </c>
      <c r="Q4" t="s">
        <v>608</v>
      </c>
      <c r="R4" t="s">
        <v>567</v>
      </c>
      <c r="S4" t="s">
        <v>609</v>
      </c>
      <c r="T4" t="s">
        <v>610</v>
      </c>
      <c r="U4" t="s">
        <v>520</v>
      </c>
      <c r="V4" t="s">
        <v>521</v>
      </c>
      <c r="W4" t="s">
        <v>611</v>
      </c>
      <c r="X4" t="s">
        <v>573</v>
      </c>
      <c r="Y4" t="s">
        <v>524</v>
      </c>
      <c r="Z4" t="s">
        <v>612</v>
      </c>
      <c r="AA4" t="s">
        <v>613</v>
      </c>
      <c r="AB4" t="s">
        <v>614</v>
      </c>
      <c r="AC4">
        <v>2</v>
      </c>
      <c r="AD4">
        <v>56</v>
      </c>
      <c r="AE4">
        <v>188</v>
      </c>
      <c r="AF4">
        <v>1.5</v>
      </c>
      <c r="AH4">
        <v>0</v>
      </c>
      <c r="AI4" t="s">
        <v>615</v>
      </c>
      <c r="AJ4">
        <v>200</v>
      </c>
      <c r="AK4">
        <v>1</v>
      </c>
      <c r="AL4">
        <v>1.5</v>
      </c>
      <c r="AM4" t="s">
        <v>529</v>
      </c>
      <c r="AO4">
        <v>0</v>
      </c>
      <c r="AR4">
        <v>0</v>
      </c>
      <c r="AS4">
        <v>1.5</v>
      </c>
      <c r="AU4" t="s">
        <v>616</v>
      </c>
      <c r="AW4" t="s">
        <v>616</v>
      </c>
      <c r="AX4">
        <v>1</v>
      </c>
      <c r="AY4">
        <v>287.5</v>
      </c>
      <c r="AZ4">
        <v>1.5</v>
      </c>
      <c r="BA4" t="s">
        <v>529</v>
      </c>
      <c r="BB4" t="s">
        <v>617</v>
      </c>
      <c r="BD4" t="s">
        <v>617</v>
      </c>
      <c r="BE4">
        <v>1</v>
      </c>
      <c r="BF4">
        <v>235</v>
      </c>
      <c r="BG4">
        <v>1.5</v>
      </c>
      <c r="BJ4">
        <v>0</v>
      </c>
      <c r="BN4">
        <v>1.5</v>
      </c>
      <c r="BP4" t="s">
        <v>618</v>
      </c>
      <c r="BQ4">
        <v>88</v>
      </c>
      <c r="BR4">
        <v>2</v>
      </c>
      <c r="BS4" t="s">
        <v>619</v>
      </c>
      <c r="BT4">
        <v>210</v>
      </c>
      <c r="BU4">
        <v>0.5</v>
      </c>
      <c r="BV4" t="s">
        <v>619</v>
      </c>
      <c r="BW4">
        <v>420</v>
      </c>
      <c r="BX4">
        <v>1</v>
      </c>
      <c r="BY4" t="s">
        <v>533</v>
      </c>
      <c r="BZ4">
        <v>300</v>
      </c>
      <c r="CA4">
        <v>480</v>
      </c>
      <c r="CB4" t="s">
        <v>534</v>
      </c>
      <c r="CC4" t="s">
        <v>534</v>
      </c>
      <c r="CD4">
        <v>436</v>
      </c>
      <c r="CE4" t="s">
        <v>535</v>
      </c>
      <c r="CF4">
        <v>15</v>
      </c>
      <c r="CG4" t="s">
        <v>620</v>
      </c>
      <c r="CH4" t="s">
        <v>620</v>
      </c>
      <c r="CI4">
        <v>90</v>
      </c>
      <c r="CJ4">
        <v>1200</v>
      </c>
      <c r="CK4">
        <v>2</v>
      </c>
      <c r="CL4">
        <v>1301</v>
      </c>
      <c r="CM4">
        <v>2</v>
      </c>
      <c r="CN4" t="s">
        <v>537</v>
      </c>
      <c r="CO4" t="s">
        <v>538</v>
      </c>
      <c r="CP4" t="s">
        <v>539</v>
      </c>
      <c r="CQ4" t="s">
        <v>621</v>
      </c>
      <c r="CR4" t="s">
        <v>541</v>
      </c>
      <c r="CS4" t="s">
        <v>542</v>
      </c>
      <c r="CT4">
        <v>400</v>
      </c>
      <c r="CU4">
        <v>5</v>
      </c>
      <c r="CV4">
        <v>1.2</v>
      </c>
      <c r="CW4">
        <v>1213</v>
      </c>
      <c r="CX4">
        <v>688</v>
      </c>
      <c r="DD4">
        <v>0</v>
      </c>
      <c r="DE4" t="s">
        <v>622</v>
      </c>
      <c r="DF4">
        <v>575</v>
      </c>
      <c r="DG4">
        <v>3</v>
      </c>
      <c r="DH4">
        <v>0.88</v>
      </c>
      <c r="DI4">
        <v>1210</v>
      </c>
      <c r="DJ4">
        <v>814</v>
      </c>
      <c r="DK4" t="s">
        <v>622</v>
      </c>
      <c r="DL4">
        <v>470</v>
      </c>
      <c r="DM4">
        <v>3</v>
      </c>
      <c r="DN4">
        <v>0.88</v>
      </c>
      <c r="DO4">
        <v>1216</v>
      </c>
      <c r="DP4">
        <v>670</v>
      </c>
      <c r="DW4" t="s">
        <v>544</v>
      </c>
      <c r="DX4">
        <v>7.5</v>
      </c>
      <c r="EA4">
        <v>1285.7</v>
      </c>
      <c r="EB4">
        <v>228</v>
      </c>
      <c r="EC4" t="s">
        <v>545</v>
      </c>
      <c r="ED4">
        <v>40</v>
      </c>
      <c r="EE4">
        <v>3</v>
      </c>
      <c r="EG4">
        <v>1327</v>
      </c>
      <c r="EH4">
        <v>212</v>
      </c>
      <c r="EJ4">
        <v>0</v>
      </c>
      <c r="EK4">
        <v>1</v>
      </c>
      <c r="EN4">
        <v>0</v>
      </c>
      <c r="EP4" t="s">
        <v>546</v>
      </c>
      <c r="EQ4">
        <v>120</v>
      </c>
      <c r="ER4">
        <v>3</v>
      </c>
      <c r="ES4">
        <v>6</v>
      </c>
      <c r="ET4">
        <v>1201</v>
      </c>
      <c r="EU4">
        <v>554.9</v>
      </c>
      <c r="EV4">
        <v>666</v>
      </c>
      <c r="EW4" t="s">
        <v>547</v>
      </c>
      <c r="EX4">
        <v>70</v>
      </c>
      <c r="EY4">
        <v>2</v>
      </c>
      <c r="EZ4">
        <v>4.5</v>
      </c>
      <c r="FA4">
        <v>1201</v>
      </c>
      <c r="FB4">
        <v>219.6</v>
      </c>
      <c r="FC4">
        <v>264</v>
      </c>
      <c r="FE4">
        <v>0</v>
      </c>
      <c r="FF4">
        <v>2</v>
      </c>
      <c r="FI4">
        <v>0</v>
      </c>
      <c r="FK4" t="s">
        <v>548</v>
      </c>
      <c r="FL4">
        <v>0.4</v>
      </c>
      <c r="FM4">
        <v>120</v>
      </c>
      <c r="FN4">
        <v>100</v>
      </c>
      <c r="GR4" t="s">
        <v>548</v>
      </c>
      <c r="GS4">
        <v>0.4</v>
      </c>
      <c r="GT4">
        <v>100</v>
      </c>
      <c r="GU4">
        <v>250</v>
      </c>
      <c r="HC4">
        <v>0.1</v>
      </c>
      <c r="HD4">
        <v>3</v>
      </c>
      <c r="HE4">
        <v>3</v>
      </c>
      <c r="HF4">
        <v>3</v>
      </c>
      <c r="HG4">
        <v>3</v>
      </c>
      <c r="HH4">
        <v>3</v>
      </c>
      <c r="HI4">
        <v>175</v>
      </c>
      <c r="HJ4">
        <v>3</v>
      </c>
      <c r="HK4">
        <v>55</v>
      </c>
      <c r="HL4">
        <v>2</v>
      </c>
      <c r="HM4">
        <v>0</v>
      </c>
      <c r="HN4">
        <v>2</v>
      </c>
      <c r="HO4">
        <v>105</v>
      </c>
      <c r="HP4">
        <v>3</v>
      </c>
      <c r="HQ4">
        <v>0</v>
      </c>
      <c r="HR4">
        <v>2</v>
      </c>
      <c r="HS4">
        <v>4912</v>
      </c>
      <c r="HT4">
        <v>150</v>
      </c>
      <c r="HU4">
        <v>180</v>
      </c>
      <c r="HW4">
        <v>0</v>
      </c>
      <c r="HX4">
        <v>440</v>
      </c>
      <c r="HY4">
        <v>0.18</v>
      </c>
      <c r="IA4">
        <v>0.15</v>
      </c>
      <c r="IB4">
        <v>0</v>
      </c>
      <c r="IC4">
        <v>180</v>
      </c>
      <c r="ID4">
        <v>110</v>
      </c>
      <c r="IE4">
        <v>225</v>
      </c>
      <c r="IF4">
        <v>0</v>
      </c>
      <c r="IH4" t="s">
        <v>549</v>
      </c>
      <c r="IO4">
        <v>3</v>
      </c>
      <c r="IP4">
        <v>16</v>
      </c>
      <c r="IQ4">
        <v>0</v>
      </c>
      <c r="IR4">
        <v>1</v>
      </c>
      <c r="IV4">
        <v>1200</v>
      </c>
      <c r="IW4">
        <v>420</v>
      </c>
      <c r="JA4">
        <v>1</v>
      </c>
      <c r="JB4">
        <v>0</v>
      </c>
      <c r="JC4">
        <v>2</v>
      </c>
      <c r="JD4">
        <v>1213</v>
      </c>
      <c r="JE4">
        <v>1210</v>
      </c>
      <c r="JF4">
        <v>1216</v>
      </c>
      <c r="JG4">
        <v>1201</v>
      </c>
      <c r="JH4">
        <v>0</v>
      </c>
      <c r="JJ4">
        <v>180</v>
      </c>
      <c r="JK4">
        <v>440</v>
      </c>
      <c r="JN4">
        <v>400</v>
      </c>
      <c r="JO4">
        <v>575</v>
      </c>
      <c r="JP4">
        <v>470</v>
      </c>
      <c r="JQ4">
        <v>0</v>
      </c>
      <c r="JR4">
        <v>376</v>
      </c>
      <c r="JS4">
        <v>175</v>
      </c>
      <c r="JV4">
        <v>8</v>
      </c>
      <c r="JW4" t="s">
        <v>550</v>
      </c>
      <c r="JX4">
        <v>0</v>
      </c>
      <c r="KA4">
        <v>225</v>
      </c>
      <c r="KB4">
        <v>110</v>
      </c>
      <c r="KC4">
        <v>0</v>
      </c>
      <c r="KD4">
        <v>80</v>
      </c>
      <c r="KF4">
        <v>4</v>
      </c>
      <c r="KG4">
        <v>4</v>
      </c>
      <c r="KH4">
        <v>2</v>
      </c>
      <c r="KI4">
        <v>2</v>
      </c>
      <c r="KJ4">
        <v>0</v>
      </c>
      <c r="KK4">
        <v>1.5</v>
      </c>
      <c r="KL4">
        <v>1.5</v>
      </c>
      <c r="KM4">
        <v>0</v>
      </c>
      <c r="KN4">
        <v>0</v>
      </c>
      <c r="KO4">
        <v>0</v>
      </c>
      <c r="KR4">
        <v>30</v>
      </c>
      <c r="KS4">
        <v>60</v>
      </c>
      <c r="KT4">
        <v>0</v>
      </c>
      <c r="LK4">
        <v>480</v>
      </c>
      <c r="PG4">
        <v>1</v>
      </c>
      <c r="PI4" t="s">
        <v>614</v>
      </c>
      <c r="PJ4" t="s">
        <v>616</v>
      </c>
      <c r="PK4" t="s">
        <v>617</v>
      </c>
      <c r="PL4" t="s">
        <v>615</v>
      </c>
      <c r="PP4" t="s">
        <v>618</v>
      </c>
      <c r="PX4">
        <v>56</v>
      </c>
      <c r="PY4">
        <v>56</v>
      </c>
      <c r="PZ4" t="s">
        <v>614</v>
      </c>
      <c r="QA4">
        <v>3</v>
      </c>
      <c r="QB4">
        <v>1201</v>
      </c>
      <c r="QC4">
        <v>69</v>
      </c>
      <c r="QD4">
        <v>69</v>
      </c>
      <c r="QE4" t="s">
        <v>615</v>
      </c>
      <c r="QF4">
        <v>1</v>
      </c>
      <c r="QG4">
        <v>1213</v>
      </c>
      <c r="QH4">
        <v>66</v>
      </c>
      <c r="QI4">
        <v>66</v>
      </c>
      <c r="QL4">
        <v>0</v>
      </c>
      <c r="QM4">
        <v>62</v>
      </c>
      <c r="QN4">
        <v>62</v>
      </c>
      <c r="QO4" t="s">
        <v>616</v>
      </c>
      <c r="QP4">
        <v>1</v>
      </c>
      <c r="QQ4">
        <v>1210</v>
      </c>
      <c r="QR4">
        <v>62</v>
      </c>
      <c r="QS4">
        <v>62</v>
      </c>
      <c r="QT4" t="s">
        <v>617</v>
      </c>
      <c r="QU4">
        <v>1</v>
      </c>
      <c r="QV4">
        <v>1216</v>
      </c>
      <c r="QW4">
        <v>82</v>
      </c>
      <c r="QX4">
        <v>88</v>
      </c>
      <c r="QY4" t="s">
        <v>618</v>
      </c>
      <c r="QZ4">
        <v>1</v>
      </c>
      <c r="RA4">
        <v>66</v>
      </c>
      <c r="RB4">
        <v>66</v>
      </c>
      <c r="RE4">
        <v>0</v>
      </c>
      <c r="RF4">
        <v>1</v>
      </c>
      <c r="RH4">
        <v>1</v>
      </c>
      <c r="RJ4">
        <v>1</v>
      </c>
      <c r="RL4">
        <v>4</v>
      </c>
      <c r="RM4">
        <v>4</v>
      </c>
      <c r="RO4">
        <v>567</v>
      </c>
      <c r="RQ4">
        <v>673</v>
      </c>
      <c r="RR4">
        <v>551</v>
      </c>
      <c r="RT4">
        <v>228</v>
      </c>
      <c r="RU4">
        <v>212</v>
      </c>
      <c r="RV4" t="s">
        <v>623</v>
      </c>
      <c r="RW4" t="s">
        <v>552</v>
      </c>
      <c r="RX4">
        <v>15</v>
      </c>
      <c r="RY4">
        <v>4</v>
      </c>
      <c r="RZ4" t="s">
        <v>552</v>
      </c>
      <c r="SA4">
        <v>15</v>
      </c>
      <c r="SC4" t="s">
        <v>616</v>
      </c>
      <c r="SD4">
        <v>1</v>
      </c>
      <c r="SF4" t="s">
        <v>617</v>
      </c>
      <c r="SG4">
        <v>1</v>
      </c>
      <c r="SH4">
        <v>0.995</v>
      </c>
      <c r="SI4">
        <v>0.995</v>
      </c>
      <c r="SJ4">
        <v>0.995</v>
      </c>
      <c r="SK4">
        <v>15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Z4">
        <v>1</v>
      </c>
      <c r="TB4">
        <v>0</v>
      </c>
      <c r="TC4">
        <v>0</v>
      </c>
      <c r="TD4">
        <v>7.5</v>
      </c>
      <c r="TE4" t="s">
        <v>553</v>
      </c>
      <c r="TF4" t="s">
        <v>624</v>
      </c>
      <c r="TG4" t="s">
        <v>555</v>
      </c>
      <c r="TI4" t="s">
        <v>546</v>
      </c>
      <c r="TJ4" t="s">
        <v>547</v>
      </c>
      <c r="TL4" t="s">
        <v>556</v>
      </c>
      <c r="TM4" t="s">
        <v>513</v>
      </c>
      <c r="TN4">
        <v>0</v>
      </c>
      <c r="TO4" t="s">
        <v>557</v>
      </c>
    </row>
    <row r="5" spans="1:535">
      <c r="A5" t="s">
        <v>625</v>
      </c>
      <c r="B5" t="s">
        <v>564</v>
      </c>
      <c r="C5" t="s">
        <v>509</v>
      </c>
      <c r="D5" t="s">
        <v>626</v>
      </c>
      <c r="G5" t="s">
        <v>627</v>
      </c>
      <c r="H5" t="s">
        <v>604</v>
      </c>
      <c r="I5" t="s">
        <v>628</v>
      </c>
      <c r="J5" t="s">
        <v>606</v>
      </c>
      <c r="L5" t="s">
        <v>512</v>
      </c>
      <c r="M5" t="s">
        <v>629</v>
      </c>
      <c r="N5" t="s">
        <v>513</v>
      </c>
      <c r="O5" t="s">
        <v>607</v>
      </c>
      <c r="Q5" t="s">
        <v>630</v>
      </c>
      <c r="R5" t="s">
        <v>567</v>
      </c>
      <c r="S5" t="s">
        <v>631</v>
      </c>
      <c r="T5" t="s">
        <v>632</v>
      </c>
      <c r="U5" t="s">
        <v>633</v>
      </c>
      <c r="V5" t="s">
        <v>634</v>
      </c>
      <c r="W5" t="s">
        <v>635</v>
      </c>
      <c r="X5" t="s">
        <v>573</v>
      </c>
      <c r="Y5" t="s">
        <v>524</v>
      </c>
      <c r="Z5" t="s">
        <v>636</v>
      </c>
      <c r="AA5" t="s">
        <v>637</v>
      </c>
      <c r="AB5" t="s">
        <v>638</v>
      </c>
      <c r="AC5">
        <v>2</v>
      </c>
      <c r="AD5">
        <v>56</v>
      </c>
      <c r="AE5">
        <v>173</v>
      </c>
      <c r="AF5">
        <v>1.5</v>
      </c>
      <c r="AH5">
        <v>0</v>
      </c>
      <c r="AI5" t="s">
        <v>639</v>
      </c>
      <c r="AJ5">
        <v>185</v>
      </c>
      <c r="AK5">
        <v>1</v>
      </c>
      <c r="AL5">
        <v>1.5</v>
      </c>
      <c r="AM5" t="s">
        <v>529</v>
      </c>
      <c r="AO5">
        <v>0</v>
      </c>
      <c r="AR5">
        <v>0</v>
      </c>
      <c r="AS5">
        <v>1.5</v>
      </c>
      <c r="AV5" t="s">
        <v>640</v>
      </c>
      <c r="AW5" t="s">
        <v>640</v>
      </c>
      <c r="AX5">
        <v>1</v>
      </c>
      <c r="AY5">
        <v>257.5</v>
      </c>
      <c r="AZ5">
        <v>1.5</v>
      </c>
      <c r="BA5" t="s">
        <v>529</v>
      </c>
      <c r="BG5">
        <v>1.5</v>
      </c>
      <c r="BJ5">
        <v>0</v>
      </c>
      <c r="BN5">
        <v>1.5</v>
      </c>
      <c r="BP5" t="s">
        <v>641</v>
      </c>
      <c r="BQ5">
        <v>82</v>
      </c>
      <c r="BR5">
        <v>2</v>
      </c>
      <c r="BS5" t="s">
        <v>642</v>
      </c>
      <c r="BT5">
        <v>195</v>
      </c>
      <c r="BU5">
        <v>0.5</v>
      </c>
      <c r="BV5" t="s">
        <v>642</v>
      </c>
      <c r="BW5">
        <v>390</v>
      </c>
      <c r="BX5">
        <v>1</v>
      </c>
      <c r="BY5" t="s">
        <v>643</v>
      </c>
      <c r="BZ5">
        <v>300</v>
      </c>
      <c r="CA5">
        <v>460</v>
      </c>
      <c r="CB5" t="s">
        <v>644</v>
      </c>
      <c r="CC5" t="s">
        <v>644</v>
      </c>
      <c r="CD5">
        <v>406</v>
      </c>
      <c r="CE5" t="s">
        <v>544</v>
      </c>
      <c r="CF5">
        <v>15</v>
      </c>
      <c r="CG5" t="s">
        <v>645</v>
      </c>
      <c r="CH5" t="s">
        <v>645</v>
      </c>
      <c r="CI5">
        <v>80</v>
      </c>
      <c r="CJ5">
        <v>1301</v>
      </c>
      <c r="CK5">
        <v>2</v>
      </c>
      <c r="CL5">
        <v>1395</v>
      </c>
      <c r="CM5">
        <v>2</v>
      </c>
      <c r="CN5" t="s">
        <v>646</v>
      </c>
      <c r="CO5" t="s">
        <v>647</v>
      </c>
      <c r="CP5" t="s">
        <v>648</v>
      </c>
      <c r="CQ5" t="s">
        <v>649</v>
      </c>
      <c r="CR5" t="s">
        <v>650</v>
      </c>
      <c r="CS5" t="s">
        <v>542</v>
      </c>
      <c r="CT5">
        <v>370</v>
      </c>
      <c r="CU5">
        <v>5</v>
      </c>
      <c r="CV5">
        <v>1.3</v>
      </c>
      <c r="CW5">
        <v>1314</v>
      </c>
      <c r="CX5">
        <v>746</v>
      </c>
      <c r="DD5">
        <v>0</v>
      </c>
      <c r="DE5" t="s">
        <v>543</v>
      </c>
      <c r="DF5">
        <v>515</v>
      </c>
      <c r="DG5">
        <v>3</v>
      </c>
      <c r="DH5">
        <v>1.18</v>
      </c>
      <c r="DI5">
        <v>1312</v>
      </c>
      <c r="DJ5">
        <v>1208</v>
      </c>
      <c r="DW5" t="s">
        <v>544</v>
      </c>
      <c r="DX5">
        <v>7.5</v>
      </c>
      <c r="EA5">
        <v>1381.4</v>
      </c>
      <c r="EB5">
        <v>261</v>
      </c>
      <c r="EC5" t="s">
        <v>545</v>
      </c>
      <c r="ED5">
        <v>25</v>
      </c>
      <c r="EE5">
        <v>3</v>
      </c>
      <c r="EG5">
        <v>1422</v>
      </c>
      <c r="EH5">
        <v>154</v>
      </c>
      <c r="EJ5">
        <v>0</v>
      </c>
      <c r="EK5">
        <v>1</v>
      </c>
      <c r="EN5">
        <v>0</v>
      </c>
      <c r="EP5" t="s">
        <v>546</v>
      </c>
      <c r="EQ5">
        <v>75</v>
      </c>
      <c r="ER5">
        <v>3</v>
      </c>
      <c r="ES5">
        <v>5.5</v>
      </c>
      <c r="ET5">
        <v>1298</v>
      </c>
      <c r="EU5">
        <v>328.5</v>
      </c>
      <c r="EV5">
        <v>426</v>
      </c>
      <c r="EW5" t="s">
        <v>547</v>
      </c>
      <c r="EX5">
        <v>70</v>
      </c>
      <c r="EY5">
        <v>2</v>
      </c>
      <c r="EZ5">
        <v>4.5</v>
      </c>
      <c r="FA5">
        <v>1298</v>
      </c>
      <c r="FB5">
        <v>229</v>
      </c>
      <c r="FC5">
        <v>297</v>
      </c>
      <c r="FE5">
        <v>0</v>
      </c>
      <c r="FF5">
        <v>2</v>
      </c>
      <c r="FI5">
        <v>0</v>
      </c>
      <c r="FK5" t="s">
        <v>548</v>
      </c>
      <c r="FL5">
        <v>0.4</v>
      </c>
      <c r="FM5">
        <v>85</v>
      </c>
      <c r="FN5">
        <v>150</v>
      </c>
      <c r="FR5" t="s">
        <v>548</v>
      </c>
      <c r="FS5">
        <v>0.4</v>
      </c>
      <c r="FT5">
        <v>30</v>
      </c>
      <c r="FU5">
        <v>360</v>
      </c>
      <c r="FV5">
        <v>90</v>
      </c>
      <c r="FW5">
        <v>120</v>
      </c>
      <c r="FY5" t="s">
        <v>651</v>
      </c>
      <c r="FZ5">
        <v>1</v>
      </c>
      <c r="GA5">
        <v>20</v>
      </c>
      <c r="GB5">
        <v>170</v>
      </c>
      <c r="GG5" t="s">
        <v>651</v>
      </c>
      <c r="GH5">
        <v>1</v>
      </c>
      <c r="GI5">
        <v>20</v>
      </c>
      <c r="GJ5">
        <v>170</v>
      </c>
      <c r="HC5">
        <v>0.1</v>
      </c>
      <c r="HD5">
        <v>3</v>
      </c>
      <c r="HE5">
        <v>3</v>
      </c>
      <c r="HF5">
        <v>3</v>
      </c>
      <c r="HG5">
        <v>3</v>
      </c>
      <c r="HH5">
        <v>3</v>
      </c>
      <c r="HI5">
        <v>130</v>
      </c>
      <c r="HJ5">
        <v>3</v>
      </c>
      <c r="HK5">
        <v>55</v>
      </c>
      <c r="HL5">
        <v>2</v>
      </c>
      <c r="HM5">
        <v>0</v>
      </c>
      <c r="HN5">
        <v>2</v>
      </c>
      <c r="HO5">
        <v>60</v>
      </c>
      <c r="HP5">
        <v>3</v>
      </c>
      <c r="HQ5">
        <v>0</v>
      </c>
      <c r="HR5">
        <v>2</v>
      </c>
      <c r="HS5">
        <v>4230</v>
      </c>
      <c r="HT5">
        <v>130</v>
      </c>
      <c r="HU5">
        <v>180</v>
      </c>
      <c r="HW5">
        <v>0</v>
      </c>
      <c r="HX5">
        <v>446</v>
      </c>
      <c r="HY5">
        <v>0.18</v>
      </c>
      <c r="IA5">
        <v>0.15</v>
      </c>
      <c r="IB5">
        <v>0</v>
      </c>
      <c r="IC5">
        <v>180</v>
      </c>
      <c r="ID5">
        <v>110</v>
      </c>
      <c r="IE5">
        <v>0</v>
      </c>
      <c r="IF5">
        <v>0</v>
      </c>
      <c r="IH5" t="s">
        <v>549</v>
      </c>
      <c r="IO5">
        <v>1</v>
      </c>
      <c r="IP5">
        <v>17</v>
      </c>
      <c r="IQ5">
        <v>0</v>
      </c>
      <c r="IR5">
        <v>1</v>
      </c>
      <c r="IV5">
        <v>1301</v>
      </c>
      <c r="IW5">
        <v>390</v>
      </c>
      <c r="JA5">
        <v>1</v>
      </c>
      <c r="JB5">
        <v>0</v>
      </c>
      <c r="JC5">
        <v>2</v>
      </c>
      <c r="JD5">
        <v>1314</v>
      </c>
      <c r="JE5">
        <v>1312</v>
      </c>
      <c r="JF5">
        <v>0</v>
      </c>
      <c r="JG5">
        <v>1298</v>
      </c>
      <c r="JH5">
        <v>0</v>
      </c>
      <c r="JJ5">
        <v>180</v>
      </c>
      <c r="JK5">
        <v>446</v>
      </c>
      <c r="JN5">
        <v>370</v>
      </c>
      <c r="JO5">
        <v>515</v>
      </c>
      <c r="JP5">
        <v>0</v>
      </c>
      <c r="JQ5">
        <v>0</v>
      </c>
      <c r="JR5">
        <v>346</v>
      </c>
      <c r="JS5">
        <v>130</v>
      </c>
      <c r="JV5">
        <v>8</v>
      </c>
      <c r="JW5" t="s">
        <v>550</v>
      </c>
      <c r="JX5">
        <v>0</v>
      </c>
      <c r="KA5">
        <v>0</v>
      </c>
      <c r="KB5">
        <v>110</v>
      </c>
      <c r="KC5">
        <v>0</v>
      </c>
      <c r="KD5">
        <v>80</v>
      </c>
      <c r="KF5">
        <v>4</v>
      </c>
      <c r="KG5">
        <v>2.5</v>
      </c>
      <c r="KH5">
        <v>2</v>
      </c>
      <c r="KI5">
        <v>2</v>
      </c>
      <c r="KJ5">
        <v>0</v>
      </c>
      <c r="KK5">
        <v>1.5</v>
      </c>
      <c r="KL5">
        <v>1.5</v>
      </c>
      <c r="KM5">
        <v>0</v>
      </c>
      <c r="KN5">
        <v>0</v>
      </c>
      <c r="KO5">
        <v>0</v>
      </c>
      <c r="KR5">
        <v>30</v>
      </c>
      <c r="KS5">
        <v>60</v>
      </c>
      <c r="KT5">
        <v>0</v>
      </c>
      <c r="LK5">
        <v>480</v>
      </c>
      <c r="PG5">
        <v>1</v>
      </c>
      <c r="PI5" t="s">
        <v>638</v>
      </c>
      <c r="PJ5" t="s">
        <v>640</v>
      </c>
      <c r="PL5" t="s">
        <v>639</v>
      </c>
      <c r="PP5" t="s">
        <v>641</v>
      </c>
      <c r="PX5">
        <v>56</v>
      </c>
      <c r="PY5">
        <v>56</v>
      </c>
      <c r="PZ5" t="s">
        <v>638</v>
      </c>
      <c r="QA5">
        <v>2</v>
      </c>
      <c r="QB5">
        <v>1298</v>
      </c>
      <c r="QC5">
        <v>69</v>
      </c>
      <c r="QD5">
        <v>69</v>
      </c>
      <c r="QE5" t="s">
        <v>639</v>
      </c>
      <c r="QF5">
        <v>2</v>
      </c>
      <c r="QG5">
        <v>1314</v>
      </c>
      <c r="QH5">
        <v>66</v>
      </c>
      <c r="QI5">
        <v>66</v>
      </c>
      <c r="QL5">
        <v>0</v>
      </c>
      <c r="QM5">
        <v>63</v>
      </c>
      <c r="QN5">
        <v>63</v>
      </c>
      <c r="QO5" t="s">
        <v>640</v>
      </c>
      <c r="QP5">
        <v>1</v>
      </c>
      <c r="QQ5">
        <v>1312</v>
      </c>
      <c r="QW5">
        <v>82</v>
      </c>
      <c r="QX5">
        <v>82</v>
      </c>
      <c r="QY5" t="s">
        <v>641</v>
      </c>
      <c r="QZ5">
        <v>2</v>
      </c>
      <c r="RA5">
        <v>66</v>
      </c>
      <c r="RB5">
        <v>66</v>
      </c>
      <c r="RE5">
        <v>0</v>
      </c>
      <c r="RG5">
        <v>1</v>
      </c>
      <c r="RJ5">
        <v>1</v>
      </c>
      <c r="RL5">
        <v>1</v>
      </c>
      <c r="RO5">
        <v>568</v>
      </c>
      <c r="RQ5">
        <v>921</v>
      </c>
      <c r="RT5">
        <v>261</v>
      </c>
      <c r="RU5">
        <v>154</v>
      </c>
      <c r="RV5" t="s">
        <v>652</v>
      </c>
      <c r="RW5" t="s">
        <v>653</v>
      </c>
      <c r="RX5">
        <v>15</v>
      </c>
      <c r="RY5">
        <v>4</v>
      </c>
      <c r="RZ5" t="s">
        <v>653</v>
      </c>
      <c r="SA5">
        <v>15</v>
      </c>
      <c r="SB5" t="s">
        <v>654</v>
      </c>
      <c r="SC5" t="s">
        <v>654</v>
      </c>
      <c r="SD5">
        <v>1</v>
      </c>
      <c r="SH5">
        <v>0.995</v>
      </c>
      <c r="SI5">
        <v>0.995</v>
      </c>
      <c r="SJ5">
        <v>0.995</v>
      </c>
      <c r="SK5">
        <v>15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TB5">
        <v>0</v>
      </c>
      <c r="TC5">
        <v>0</v>
      </c>
      <c r="TD5">
        <v>7.5</v>
      </c>
      <c r="TE5" t="s">
        <v>553</v>
      </c>
      <c r="TF5" t="s">
        <v>655</v>
      </c>
      <c r="TG5" t="s">
        <v>555</v>
      </c>
      <c r="TI5" t="s">
        <v>546</v>
      </c>
      <c r="TJ5" t="s">
        <v>547</v>
      </c>
      <c r="TL5" t="s">
        <v>556</v>
      </c>
      <c r="TM5" t="s">
        <v>513</v>
      </c>
      <c r="TN5">
        <v>0</v>
      </c>
      <c r="TO5" t="s">
        <v>557</v>
      </c>
    </row>
    <row r="6" spans="1:535">
      <c r="A6" t="s">
        <v>656</v>
      </c>
      <c r="B6" t="s">
        <v>657</v>
      </c>
      <c r="C6" t="s">
        <v>509</v>
      </c>
      <c r="D6" t="s">
        <v>658</v>
      </c>
      <c r="G6" t="s">
        <v>604</v>
      </c>
      <c r="H6" t="s">
        <v>605</v>
      </c>
      <c r="I6" t="s">
        <v>628</v>
      </c>
      <c r="J6" t="s">
        <v>606</v>
      </c>
      <c r="L6" t="s">
        <v>512</v>
      </c>
      <c r="M6" t="s">
        <v>559</v>
      </c>
      <c r="N6" t="s">
        <v>513</v>
      </c>
      <c r="O6" t="s">
        <v>607</v>
      </c>
      <c r="Q6" t="s">
        <v>659</v>
      </c>
      <c r="R6" t="s">
        <v>567</v>
      </c>
      <c r="S6" t="s">
        <v>660</v>
      </c>
      <c r="T6" t="s">
        <v>661</v>
      </c>
      <c r="U6" t="s">
        <v>662</v>
      </c>
      <c r="V6" t="s">
        <v>663</v>
      </c>
      <c r="W6" t="s">
        <v>664</v>
      </c>
      <c r="X6" t="s">
        <v>573</v>
      </c>
      <c r="Y6" t="s">
        <v>524</v>
      </c>
      <c r="Z6" t="s">
        <v>665</v>
      </c>
      <c r="AA6" t="s">
        <v>666</v>
      </c>
      <c r="AB6" t="s">
        <v>667</v>
      </c>
      <c r="AC6">
        <v>2</v>
      </c>
      <c r="AD6">
        <v>56</v>
      </c>
      <c r="AE6">
        <v>189</v>
      </c>
      <c r="AF6">
        <v>1.5</v>
      </c>
      <c r="AH6">
        <v>0</v>
      </c>
      <c r="AI6" t="s">
        <v>615</v>
      </c>
      <c r="AJ6">
        <v>200</v>
      </c>
      <c r="AK6">
        <v>1</v>
      </c>
      <c r="AL6">
        <v>1.5</v>
      </c>
      <c r="AM6" t="s">
        <v>529</v>
      </c>
      <c r="AO6">
        <v>0</v>
      </c>
      <c r="AR6">
        <v>0</v>
      </c>
      <c r="AS6">
        <v>1.5</v>
      </c>
      <c r="AU6" t="s">
        <v>668</v>
      </c>
      <c r="AW6" t="s">
        <v>668</v>
      </c>
      <c r="AX6">
        <v>1</v>
      </c>
      <c r="AY6">
        <v>280</v>
      </c>
      <c r="AZ6">
        <v>1.5</v>
      </c>
      <c r="BA6" t="s">
        <v>529</v>
      </c>
      <c r="BC6" t="s">
        <v>669</v>
      </c>
      <c r="BD6" t="s">
        <v>669</v>
      </c>
      <c r="BE6">
        <v>1</v>
      </c>
      <c r="BF6">
        <v>235</v>
      </c>
      <c r="BG6">
        <v>1.5</v>
      </c>
      <c r="BJ6">
        <v>0</v>
      </c>
      <c r="BN6">
        <v>1.5</v>
      </c>
      <c r="BP6" t="s">
        <v>670</v>
      </c>
      <c r="BQ6">
        <v>82</v>
      </c>
      <c r="BR6">
        <v>2</v>
      </c>
      <c r="BS6" t="s">
        <v>671</v>
      </c>
      <c r="BT6">
        <v>211</v>
      </c>
      <c r="BU6">
        <v>0.5</v>
      </c>
      <c r="BV6" t="s">
        <v>671</v>
      </c>
      <c r="BW6">
        <v>422</v>
      </c>
      <c r="BX6">
        <v>1</v>
      </c>
      <c r="BY6" t="s">
        <v>643</v>
      </c>
      <c r="BZ6">
        <v>290</v>
      </c>
      <c r="CA6">
        <v>490</v>
      </c>
      <c r="CB6" t="s">
        <v>672</v>
      </c>
      <c r="CC6" t="s">
        <v>672</v>
      </c>
      <c r="CD6">
        <v>440</v>
      </c>
      <c r="CE6" t="s">
        <v>673</v>
      </c>
      <c r="CF6">
        <v>15</v>
      </c>
      <c r="CG6" t="s">
        <v>674</v>
      </c>
      <c r="CH6" t="s">
        <v>674</v>
      </c>
      <c r="CI6">
        <v>100</v>
      </c>
      <c r="CJ6">
        <v>1381</v>
      </c>
      <c r="CK6">
        <v>2</v>
      </c>
      <c r="CL6">
        <v>1475</v>
      </c>
      <c r="CM6">
        <v>2</v>
      </c>
      <c r="CN6" t="s">
        <v>675</v>
      </c>
      <c r="CO6" t="s">
        <v>676</v>
      </c>
      <c r="CP6" t="s">
        <v>595</v>
      </c>
      <c r="CQ6" t="s">
        <v>677</v>
      </c>
      <c r="CR6" t="s">
        <v>650</v>
      </c>
      <c r="CS6" t="s">
        <v>542</v>
      </c>
      <c r="CT6">
        <v>400</v>
      </c>
      <c r="CU6">
        <v>5</v>
      </c>
      <c r="CV6">
        <v>1.2</v>
      </c>
      <c r="CW6">
        <v>1393</v>
      </c>
      <c r="CX6">
        <v>790</v>
      </c>
      <c r="DD6">
        <v>0</v>
      </c>
      <c r="DE6" t="s">
        <v>622</v>
      </c>
      <c r="DF6">
        <v>560</v>
      </c>
      <c r="DG6">
        <v>3</v>
      </c>
      <c r="DH6">
        <v>0.88</v>
      </c>
      <c r="DI6">
        <v>1390</v>
      </c>
      <c r="DJ6">
        <v>890</v>
      </c>
      <c r="DK6" t="s">
        <v>622</v>
      </c>
      <c r="DL6">
        <v>470</v>
      </c>
      <c r="DM6">
        <v>3</v>
      </c>
      <c r="DN6">
        <v>0.88</v>
      </c>
      <c r="DO6">
        <v>1396</v>
      </c>
      <c r="DP6">
        <v>818</v>
      </c>
      <c r="DW6" t="s">
        <v>544</v>
      </c>
      <c r="DX6">
        <v>7.5</v>
      </c>
      <c r="EA6">
        <v>1464.3</v>
      </c>
      <c r="EB6">
        <v>345</v>
      </c>
      <c r="EC6" t="s">
        <v>545</v>
      </c>
      <c r="ED6">
        <v>40</v>
      </c>
      <c r="EE6">
        <v>3</v>
      </c>
      <c r="EG6">
        <v>1515</v>
      </c>
      <c r="EH6">
        <v>293</v>
      </c>
      <c r="EJ6">
        <v>0</v>
      </c>
      <c r="EK6">
        <v>1</v>
      </c>
      <c r="EN6">
        <v>0</v>
      </c>
      <c r="EP6" t="s">
        <v>546</v>
      </c>
      <c r="EQ6">
        <v>90</v>
      </c>
      <c r="ER6">
        <v>3</v>
      </c>
      <c r="ES6">
        <v>5.5</v>
      </c>
      <c r="ET6">
        <v>1378</v>
      </c>
      <c r="EU6">
        <v>407.8</v>
      </c>
      <c r="EV6">
        <v>562</v>
      </c>
      <c r="EW6" t="s">
        <v>547</v>
      </c>
      <c r="EX6">
        <v>70</v>
      </c>
      <c r="EY6">
        <v>2</v>
      </c>
      <c r="EZ6">
        <v>4.5</v>
      </c>
      <c r="FA6">
        <v>1378</v>
      </c>
      <c r="FB6">
        <v>229</v>
      </c>
      <c r="FC6">
        <v>316</v>
      </c>
      <c r="FE6">
        <v>0</v>
      </c>
      <c r="FF6">
        <v>2</v>
      </c>
      <c r="FI6">
        <v>0</v>
      </c>
      <c r="FK6" t="s">
        <v>548</v>
      </c>
      <c r="FL6">
        <v>0.4</v>
      </c>
      <c r="FM6">
        <v>100</v>
      </c>
      <c r="FN6">
        <v>120</v>
      </c>
      <c r="GR6" t="s">
        <v>548</v>
      </c>
      <c r="GS6">
        <v>0.4</v>
      </c>
      <c r="GT6">
        <v>90</v>
      </c>
      <c r="GU6">
        <v>260</v>
      </c>
      <c r="GY6" t="s">
        <v>651</v>
      </c>
      <c r="GZ6">
        <v>1</v>
      </c>
      <c r="HA6">
        <v>20</v>
      </c>
      <c r="HB6">
        <v>176</v>
      </c>
      <c r="HC6">
        <v>0.1</v>
      </c>
      <c r="HD6">
        <v>3</v>
      </c>
      <c r="HE6">
        <v>3</v>
      </c>
      <c r="HF6">
        <v>3</v>
      </c>
      <c r="HG6">
        <v>3</v>
      </c>
      <c r="HH6">
        <v>3</v>
      </c>
      <c r="HI6">
        <v>145</v>
      </c>
      <c r="HJ6">
        <v>3</v>
      </c>
      <c r="HK6">
        <v>55</v>
      </c>
      <c r="HL6">
        <v>2</v>
      </c>
      <c r="HM6">
        <v>0</v>
      </c>
      <c r="HN6">
        <v>2</v>
      </c>
      <c r="HO6">
        <v>75</v>
      </c>
      <c r="HP6">
        <v>3</v>
      </c>
      <c r="HQ6">
        <v>0</v>
      </c>
      <c r="HR6">
        <v>2</v>
      </c>
      <c r="HS6">
        <v>5530</v>
      </c>
      <c r="HT6">
        <v>170</v>
      </c>
      <c r="HU6">
        <v>180</v>
      </c>
      <c r="HW6">
        <v>0</v>
      </c>
      <c r="HX6">
        <v>446</v>
      </c>
      <c r="HY6">
        <v>0.18</v>
      </c>
      <c r="IA6">
        <v>0.15</v>
      </c>
      <c r="IB6">
        <v>0</v>
      </c>
      <c r="IC6">
        <v>180</v>
      </c>
      <c r="ID6">
        <v>110</v>
      </c>
      <c r="IE6">
        <v>225</v>
      </c>
      <c r="IF6">
        <v>0</v>
      </c>
      <c r="IH6" t="s">
        <v>549</v>
      </c>
      <c r="IO6">
        <v>3</v>
      </c>
      <c r="IP6">
        <v>18</v>
      </c>
      <c r="IQ6">
        <v>0</v>
      </c>
      <c r="IR6">
        <v>1</v>
      </c>
      <c r="IV6">
        <v>1381</v>
      </c>
      <c r="IW6">
        <v>422</v>
      </c>
      <c r="IY6">
        <v>290</v>
      </c>
      <c r="JA6">
        <v>1</v>
      </c>
      <c r="JB6">
        <v>0</v>
      </c>
      <c r="JC6">
        <v>2</v>
      </c>
      <c r="JD6">
        <v>1393</v>
      </c>
      <c r="JE6">
        <v>1390</v>
      </c>
      <c r="JF6">
        <v>1396</v>
      </c>
      <c r="JG6">
        <v>1378</v>
      </c>
      <c r="JH6">
        <v>0</v>
      </c>
      <c r="JJ6">
        <v>180</v>
      </c>
      <c r="JK6">
        <v>446</v>
      </c>
      <c r="JN6">
        <v>400</v>
      </c>
      <c r="JO6">
        <v>560</v>
      </c>
      <c r="JP6">
        <v>470</v>
      </c>
      <c r="JQ6">
        <v>0</v>
      </c>
      <c r="JR6">
        <v>378</v>
      </c>
      <c r="JS6">
        <v>145</v>
      </c>
      <c r="JV6">
        <v>8</v>
      </c>
      <c r="JW6" t="s">
        <v>550</v>
      </c>
      <c r="JX6">
        <v>0</v>
      </c>
      <c r="KA6">
        <v>225</v>
      </c>
      <c r="KB6">
        <v>110</v>
      </c>
      <c r="KC6">
        <v>0</v>
      </c>
      <c r="KD6">
        <v>80</v>
      </c>
      <c r="KF6">
        <v>4</v>
      </c>
      <c r="KG6">
        <v>2.5</v>
      </c>
      <c r="KH6">
        <v>2</v>
      </c>
      <c r="KI6">
        <v>2</v>
      </c>
      <c r="KJ6">
        <v>0</v>
      </c>
      <c r="KK6">
        <v>1.5</v>
      </c>
      <c r="KL6">
        <v>1.5</v>
      </c>
      <c r="KM6">
        <v>0</v>
      </c>
      <c r="KN6">
        <v>0</v>
      </c>
      <c r="KO6">
        <v>0</v>
      </c>
      <c r="KR6">
        <v>50</v>
      </c>
      <c r="KS6">
        <v>60</v>
      </c>
      <c r="KT6">
        <v>0</v>
      </c>
      <c r="LK6">
        <v>480</v>
      </c>
      <c r="PG6">
        <v>1</v>
      </c>
      <c r="PI6" t="s">
        <v>667</v>
      </c>
      <c r="PJ6" t="s">
        <v>668</v>
      </c>
      <c r="PK6" t="s">
        <v>669</v>
      </c>
      <c r="PL6" t="s">
        <v>615</v>
      </c>
      <c r="PP6" t="s">
        <v>670</v>
      </c>
      <c r="PX6">
        <v>56</v>
      </c>
      <c r="PY6">
        <v>56</v>
      </c>
      <c r="PZ6" t="s">
        <v>667</v>
      </c>
      <c r="QA6">
        <v>2</v>
      </c>
      <c r="QB6">
        <v>1378</v>
      </c>
      <c r="QC6">
        <v>69</v>
      </c>
      <c r="QD6">
        <v>69</v>
      </c>
      <c r="QE6" t="s">
        <v>615</v>
      </c>
      <c r="QF6">
        <v>1</v>
      </c>
      <c r="QG6">
        <v>1393</v>
      </c>
      <c r="QH6">
        <v>66</v>
      </c>
      <c r="QI6">
        <v>66</v>
      </c>
      <c r="QL6">
        <v>0</v>
      </c>
      <c r="QM6">
        <v>62</v>
      </c>
      <c r="QN6">
        <v>62</v>
      </c>
      <c r="QO6" t="s">
        <v>668</v>
      </c>
      <c r="QP6">
        <v>1</v>
      </c>
      <c r="QQ6">
        <v>1390</v>
      </c>
      <c r="QR6">
        <v>63</v>
      </c>
      <c r="QS6">
        <v>63</v>
      </c>
      <c r="QT6" t="s">
        <v>669</v>
      </c>
      <c r="QU6">
        <v>1</v>
      </c>
      <c r="QV6">
        <v>1396</v>
      </c>
      <c r="QW6">
        <v>82</v>
      </c>
      <c r="QX6">
        <v>82</v>
      </c>
      <c r="QY6" t="s">
        <v>670</v>
      </c>
      <c r="QZ6">
        <v>3</v>
      </c>
      <c r="RA6">
        <v>66</v>
      </c>
      <c r="RB6">
        <v>66</v>
      </c>
      <c r="RE6">
        <v>0</v>
      </c>
      <c r="RF6">
        <v>1</v>
      </c>
      <c r="RI6">
        <v>1</v>
      </c>
      <c r="RJ6">
        <v>1</v>
      </c>
      <c r="RL6">
        <v>4</v>
      </c>
      <c r="RM6">
        <v>4</v>
      </c>
      <c r="RO6">
        <v>567</v>
      </c>
      <c r="RQ6">
        <v>640</v>
      </c>
      <c r="RR6">
        <v>586</v>
      </c>
      <c r="RT6">
        <v>345</v>
      </c>
      <c r="RU6">
        <v>293</v>
      </c>
      <c r="RV6" t="s">
        <v>678</v>
      </c>
      <c r="RW6" t="s">
        <v>679</v>
      </c>
      <c r="RX6">
        <v>15</v>
      </c>
      <c r="RY6">
        <v>4</v>
      </c>
      <c r="RZ6" t="s">
        <v>679</v>
      </c>
      <c r="SA6">
        <v>15</v>
      </c>
      <c r="SC6" t="s">
        <v>668</v>
      </c>
      <c r="SD6">
        <v>1</v>
      </c>
      <c r="SE6" t="s">
        <v>680</v>
      </c>
      <c r="SF6" t="s">
        <v>680</v>
      </c>
      <c r="SG6">
        <v>1</v>
      </c>
      <c r="SH6">
        <v>0.995</v>
      </c>
      <c r="SI6">
        <v>0.995</v>
      </c>
      <c r="SJ6">
        <v>0.995</v>
      </c>
      <c r="SK6">
        <v>15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Z6">
        <v>1</v>
      </c>
      <c r="TB6">
        <v>0</v>
      </c>
      <c r="TC6">
        <v>0</v>
      </c>
      <c r="TD6">
        <v>7.5</v>
      </c>
      <c r="TE6" t="s">
        <v>553</v>
      </c>
      <c r="TF6" t="s">
        <v>681</v>
      </c>
      <c r="TG6" t="s">
        <v>555</v>
      </c>
      <c r="TI6" t="s">
        <v>546</v>
      </c>
      <c r="TJ6" t="s">
        <v>547</v>
      </c>
      <c r="TL6" t="s">
        <v>556</v>
      </c>
      <c r="TM6" t="s">
        <v>513</v>
      </c>
      <c r="TN6">
        <v>0</v>
      </c>
      <c r="TO6" t="s">
        <v>557</v>
      </c>
    </row>
    <row r="7" spans="1:535">
      <c r="A7" t="s">
        <v>682</v>
      </c>
      <c r="B7" t="s">
        <v>559</v>
      </c>
      <c r="C7" t="s">
        <v>509</v>
      </c>
      <c r="D7" t="s">
        <v>658</v>
      </c>
      <c r="G7" t="s">
        <v>604</v>
      </c>
      <c r="H7" t="s">
        <v>605</v>
      </c>
      <c r="I7" t="s">
        <v>628</v>
      </c>
      <c r="J7" t="s">
        <v>606</v>
      </c>
      <c r="L7" t="s">
        <v>512</v>
      </c>
      <c r="M7" t="s">
        <v>564</v>
      </c>
      <c r="N7" t="s">
        <v>513</v>
      </c>
      <c r="O7" t="s">
        <v>607</v>
      </c>
      <c r="Q7" t="s">
        <v>683</v>
      </c>
      <c r="R7" t="s">
        <v>567</v>
      </c>
      <c r="S7" t="s">
        <v>684</v>
      </c>
      <c r="T7" t="s">
        <v>685</v>
      </c>
      <c r="U7" t="s">
        <v>686</v>
      </c>
      <c r="V7" t="s">
        <v>687</v>
      </c>
      <c r="W7" t="s">
        <v>688</v>
      </c>
      <c r="X7" t="s">
        <v>573</v>
      </c>
      <c r="Y7" t="s">
        <v>524</v>
      </c>
      <c r="Z7" t="s">
        <v>689</v>
      </c>
      <c r="AA7" t="s">
        <v>690</v>
      </c>
      <c r="AB7" t="s">
        <v>691</v>
      </c>
      <c r="AC7">
        <v>2</v>
      </c>
      <c r="AD7">
        <v>56</v>
      </c>
      <c r="AE7">
        <v>218</v>
      </c>
      <c r="AF7">
        <v>1.5</v>
      </c>
      <c r="AH7">
        <v>0</v>
      </c>
      <c r="AI7" t="s">
        <v>692</v>
      </c>
      <c r="AJ7">
        <v>202.5</v>
      </c>
      <c r="AK7">
        <v>1</v>
      </c>
      <c r="AL7">
        <v>1.5</v>
      </c>
      <c r="AM7" t="s">
        <v>579</v>
      </c>
      <c r="AN7" t="s">
        <v>693</v>
      </c>
      <c r="AO7">
        <v>2</v>
      </c>
      <c r="AP7" t="s">
        <v>581</v>
      </c>
      <c r="AQ7" t="s">
        <v>582</v>
      </c>
      <c r="AR7">
        <v>242</v>
      </c>
      <c r="AS7">
        <v>1.5</v>
      </c>
      <c r="AT7" t="s">
        <v>583</v>
      </c>
      <c r="AU7" t="s">
        <v>694</v>
      </c>
      <c r="AW7" t="s">
        <v>694</v>
      </c>
      <c r="AX7">
        <v>1</v>
      </c>
      <c r="AY7">
        <v>292.5</v>
      </c>
      <c r="AZ7">
        <v>1.5</v>
      </c>
      <c r="BA7" t="s">
        <v>579</v>
      </c>
      <c r="BC7" t="s">
        <v>695</v>
      </c>
      <c r="BD7" t="s">
        <v>695</v>
      </c>
      <c r="BE7">
        <v>1</v>
      </c>
      <c r="BF7">
        <v>242.5</v>
      </c>
      <c r="BG7">
        <v>1.5</v>
      </c>
      <c r="BJ7">
        <v>0</v>
      </c>
      <c r="BN7">
        <v>1.5</v>
      </c>
      <c r="BP7" t="s">
        <v>696</v>
      </c>
      <c r="BQ7">
        <v>89</v>
      </c>
      <c r="BR7">
        <v>2</v>
      </c>
      <c r="BS7" t="s">
        <v>697</v>
      </c>
      <c r="BT7">
        <v>220</v>
      </c>
      <c r="BU7">
        <v>0.5</v>
      </c>
      <c r="BV7" t="s">
        <v>697</v>
      </c>
      <c r="BW7">
        <v>440</v>
      </c>
      <c r="BX7">
        <v>1</v>
      </c>
      <c r="BY7" t="s">
        <v>698</v>
      </c>
      <c r="BZ7">
        <v>300</v>
      </c>
      <c r="CA7">
        <v>520</v>
      </c>
      <c r="CB7" t="s">
        <v>699</v>
      </c>
      <c r="CC7" t="s">
        <v>699</v>
      </c>
      <c r="CD7">
        <v>455</v>
      </c>
      <c r="CE7" t="s">
        <v>700</v>
      </c>
      <c r="CF7">
        <v>15</v>
      </c>
      <c r="CG7" t="s">
        <v>701</v>
      </c>
      <c r="CH7" t="s">
        <v>701</v>
      </c>
      <c r="CI7">
        <v>110</v>
      </c>
      <c r="CJ7">
        <v>1458</v>
      </c>
      <c r="CK7">
        <v>2</v>
      </c>
      <c r="CL7">
        <v>1552</v>
      </c>
      <c r="CM7">
        <v>2</v>
      </c>
      <c r="CN7" t="s">
        <v>702</v>
      </c>
      <c r="CO7" t="s">
        <v>676</v>
      </c>
      <c r="CP7" t="s">
        <v>703</v>
      </c>
      <c r="CQ7" t="s">
        <v>704</v>
      </c>
      <c r="CR7" t="s">
        <v>650</v>
      </c>
      <c r="CS7" t="s">
        <v>542</v>
      </c>
      <c r="CT7">
        <v>405</v>
      </c>
      <c r="CU7">
        <v>5</v>
      </c>
      <c r="CV7">
        <v>1.2</v>
      </c>
      <c r="CW7">
        <v>1475</v>
      </c>
      <c r="CX7">
        <v>845</v>
      </c>
      <c r="CY7" t="s">
        <v>705</v>
      </c>
      <c r="CZ7">
        <v>50</v>
      </c>
      <c r="DA7">
        <v>3</v>
      </c>
      <c r="DB7">
        <v>1</v>
      </c>
      <c r="DC7">
        <v>1475</v>
      </c>
      <c r="DD7">
        <v>77</v>
      </c>
      <c r="DE7" t="s">
        <v>622</v>
      </c>
      <c r="DF7">
        <v>585</v>
      </c>
      <c r="DG7">
        <v>3</v>
      </c>
      <c r="DH7">
        <v>0.88</v>
      </c>
      <c r="DI7">
        <v>1467</v>
      </c>
      <c r="DJ7">
        <v>1006</v>
      </c>
      <c r="DK7" t="s">
        <v>622</v>
      </c>
      <c r="DL7">
        <v>485</v>
      </c>
      <c r="DM7">
        <v>3</v>
      </c>
      <c r="DN7">
        <v>0.88</v>
      </c>
      <c r="DO7">
        <v>1472</v>
      </c>
      <c r="DP7">
        <v>970</v>
      </c>
      <c r="DW7" t="s">
        <v>544</v>
      </c>
      <c r="DX7">
        <v>7.5</v>
      </c>
      <c r="EA7">
        <v>1545.7</v>
      </c>
      <c r="EB7">
        <v>273</v>
      </c>
      <c r="EC7" t="s">
        <v>545</v>
      </c>
      <c r="ED7">
        <v>45</v>
      </c>
      <c r="EE7">
        <v>3</v>
      </c>
      <c r="EG7">
        <v>1587</v>
      </c>
      <c r="EH7">
        <v>290</v>
      </c>
      <c r="EJ7">
        <v>0</v>
      </c>
      <c r="EK7">
        <v>1</v>
      </c>
      <c r="EN7">
        <v>0</v>
      </c>
      <c r="EP7" t="s">
        <v>546</v>
      </c>
      <c r="EQ7">
        <v>90</v>
      </c>
      <c r="ER7">
        <v>3</v>
      </c>
      <c r="ES7">
        <v>6.5</v>
      </c>
      <c r="ET7">
        <v>1461</v>
      </c>
      <c r="EU7">
        <v>479.7</v>
      </c>
      <c r="EV7">
        <v>701</v>
      </c>
      <c r="EW7" t="s">
        <v>547</v>
      </c>
      <c r="EX7">
        <v>45</v>
      </c>
      <c r="EY7">
        <v>2</v>
      </c>
      <c r="EZ7">
        <v>5</v>
      </c>
      <c r="FA7">
        <v>1461</v>
      </c>
      <c r="FB7">
        <v>171.7</v>
      </c>
      <c r="FC7">
        <v>251</v>
      </c>
      <c r="FE7">
        <v>0</v>
      </c>
      <c r="FF7">
        <v>2</v>
      </c>
      <c r="FI7">
        <v>0</v>
      </c>
      <c r="FK7" t="s">
        <v>548</v>
      </c>
      <c r="FL7">
        <v>0.4</v>
      </c>
      <c r="FM7">
        <v>45</v>
      </c>
      <c r="FN7">
        <v>370</v>
      </c>
      <c r="FO7">
        <v>80</v>
      </c>
      <c r="FP7">
        <v>140</v>
      </c>
      <c r="GR7" t="s">
        <v>548</v>
      </c>
      <c r="GS7">
        <v>0.6</v>
      </c>
      <c r="GT7">
        <v>85</v>
      </c>
      <c r="GU7">
        <v>290</v>
      </c>
      <c r="GY7" t="s">
        <v>651</v>
      </c>
      <c r="GZ7">
        <v>1.6</v>
      </c>
      <c r="HA7">
        <v>20</v>
      </c>
      <c r="HB7">
        <v>181</v>
      </c>
      <c r="HC7">
        <v>0.1</v>
      </c>
      <c r="HD7">
        <v>3</v>
      </c>
      <c r="HE7">
        <v>3</v>
      </c>
      <c r="HF7">
        <v>3</v>
      </c>
      <c r="HG7">
        <v>3</v>
      </c>
      <c r="HH7">
        <v>3</v>
      </c>
      <c r="HI7">
        <v>120</v>
      </c>
      <c r="HJ7">
        <v>3</v>
      </c>
      <c r="HK7">
        <v>30</v>
      </c>
      <c r="HL7">
        <v>2</v>
      </c>
      <c r="HM7">
        <v>0</v>
      </c>
      <c r="HN7">
        <v>2</v>
      </c>
      <c r="HO7">
        <v>75</v>
      </c>
      <c r="HP7">
        <v>3</v>
      </c>
      <c r="HQ7">
        <v>0</v>
      </c>
      <c r="HR7">
        <v>2</v>
      </c>
      <c r="HS7">
        <v>6005</v>
      </c>
      <c r="HT7">
        <v>180</v>
      </c>
      <c r="HU7">
        <v>180</v>
      </c>
      <c r="HW7">
        <v>0</v>
      </c>
      <c r="HX7">
        <v>460</v>
      </c>
      <c r="HY7">
        <v>0.18</v>
      </c>
      <c r="IA7">
        <v>0.15</v>
      </c>
      <c r="IB7">
        <v>0</v>
      </c>
      <c r="IC7">
        <v>180</v>
      </c>
      <c r="ID7">
        <v>110</v>
      </c>
      <c r="IE7">
        <v>225</v>
      </c>
      <c r="IF7">
        <v>0</v>
      </c>
      <c r="IH7" t="s">
        <v>549</v>
      </c>
      <c r="IO7">
        <v>3</v>
      </c>
      <c r="IP7">
        <v>19</v>
      </c>
      <c r="IQ7">
        <v>0</v>
      </c>
      <c r="IR7">
        <v>0</v>
      </c>
      <c r="IV7">
        <v>1458</v>
      </c>
      <c r="IW7">
        <v>440</v>
      </c>
      <c r="JA7">
        <v>1</v>
      </c>
      <c r="JB7">
        <v>0</v>
      </c>
      <c r="JC7">
        <v>2</v>
      </c>
      <c r="JD7">
        <v>1475</v>
      </c>
      <c r="JE7">
        <v>1467</v>
      </c>
      <c r="JF7">
        <v>1472</v>
      </c>
      <c r="JG7">
        <v>1461</v>
      </c>
      <c r="JH7">
        <v>0</v>
      </c>
      <c r="JJ7">
        <v>180</v>
      </c>
      <c r="JK7">
        <v>460</v>
      </c>
      <c r="JN7">
        <v>405</v>
      </c>
      <c r="JO7">
        <v>585</v>
      </c>
      <c r="JP7">
        <v>485</v>
      </c>
      <c r="JQ7">
        <v>0</v>
      </c>
      <c r="JR7">
        <v>436</v>
      </c>
      <c r="JS7">
        <v>120</v>
      </c>
      <c r="JV7">
        <v>8</v>
      </c>
      <c r="JW7" t="s">
        <v>550</v>
      </c>
      <c r="JX7">
        <v>484</v>
      </c>
      <c r="KA7">
        <v>225</v>
      </c>
      <c r="KB7">
        <v>110</v>
      </c>
      <c r="KC7">
        <v>0</v>
      </c>
      <c r="KD7">
        <v>80</v>
      </c>
      <c r="KF7">
        <v>4</v>
      </c>
      <c r="KG7">
        <v>4</v>
      </c>
      <c r="KH7">
        <v>2</v>
      </c>
      <c r="KI7">
        <v>2</v>
      </c>
      <c r="KJ7">
        <v>0</v>
      </c>
      <c r="KK7">
        <v>1.5</v>
      </c>
      <c r="KL7">
        <v>1.5</v>
      </c>
      <c r="KM7">
        <v>0</v>
      </c>
      <c r="KN7">
        <v>0</v>
      </c>
      <c r="KO7">
        <v>0</v>
      </c>
      <c r="KR7">
        <v>30</v>
      </c>
      <c r="KS7">
        <v>60</v>
      </c>
      <c r="KT7">
        <v>0</v>
      </c>
      <c r="LK7">
        <v>480</v>
      </c>
      <c r="PG7">
        <v>1</v>
      </c>
      <c r="PI7" t="s">
        <v>691</v>
      </c>
      <c r="PJ7" t="s">
        <v>694</v>
      </c>
      <c r="PK7" t="s">
        <v>695</v>
      </c>
      <c r="PL7" t="s">
        <v>692</v>
      </c>
      <c r="PP7" t="s">
        <v>696</v>
      </c>
      <c r="PS7" t="s">
        <v>693</v>
      </c>
      <c r="PX7">
        <v>56</v>
      </c>
      <c r="PY7">
        <v>56</v>
      </c>
      <c r="PZ7" t="s">
        <v>691</v>
      </c>
      <c r="QA7">
        <v>2</v>
      </c>
      <c r="QB7">
        <v>1461</v>
      </c>
      <c r="QC7">
        <v>69</v>
      </c>
      <c r="QD7">
        <v>69</v>
      </c>
      <c r="QE7" t="s">
        <v>692</v>
      </c>
      <c r="QF7">
        <v>1</v>
      </c>
      <c r="QG7">
        <v>1475</v>
      </c>
      <c r="QH7">
        <v>66</v>
      </c>
      <c r="QI7">
        <v>66</v>
      </c>
      <c r="QJ7" t="s">
        <v>693</v>
      </c>
      <c r="QK7">
        <v>1</v>
      </c>
      <c r="QL7">
        <v>1475</v>
      </c>
      <c r="QM7">
        <v>62</v>
      </c>
      <c r="QN7">
        <v>62</v>
      </c>
      <c r="QO7" t="s">
        <v>694</v>
      </c>
      <c r="QP7">
        <v>1</v>
      </c>
      <c r="QQ7">
        <v>1467</v>
      </c>
      <c r="QR7">
        <v>63</v>
      </c>
      <c r="QS7">
        <v>63</v>
      </c>
      <c r="QT7" t="s">
        <v>695</v>
      </c>
      <c r="QU7">
        <v>1</v>
      </c>
      <c r="QV7">
        <v>1472</v>
      </c>
      <c r="QW7">
        <v>82</v>
      </c>
      <c r="QX7">
        <v>89</v>
      </c>
      <c r="QY7" t="s">
        <v>696</v>
      </c>
      <c r="QZ7">
        <v>1</v>
      </c>
      <c r="RA7">
        <v>66</v>
      </c>
      <c r="RB7">
        <v>66</v>
      </c>
      <c r="RE7">
        <v>0</v>
      </c>
      <c r="RF7">
        <v>1</v>
      </c>
      <c r="RI7">
        <v>1</v>
      </c>
      <c r="RJ7">
        <v>1</v>
      </c>
      <c r="RK7">
        <v>2</v>
      </c>
      <c r="RL7">
        <v>4</v>
      </c>
      <c r="RM7">
        <v>4</v>
      </c>
      <c r="RO7">
        <v>573</v>
      </c>
      <c r="RP7">
        <v>105</v>
      </c>
      <c r="RQ7">
        <v>686</v>
      </c>
      <c r="RR7">
        <v>659</v>
      </c>
      <c r="RT7">
        <v>273</v>
      </c>
      <c r="RU7">
        <v>290</v>
      </c>
      <c r="RV7" t="s">
        <v>706</v>
      </c>
      <c r="RW7" t="s">
        <v>707</v>
      </c>
      <c r="RX7">
        <v>15</v>
      </c>
      <c r="RY7">
        <v>4</v>
      </c>
      <c r="RZ7" t="s">
        <v>707</v>
      </c>
      <c r="SA7">
        <v>15</v>
      </c>
      <c r="SC7" t="s">
        <v>694</v>
      </c>
      <c r="SD7">
        <v>1</v>
      </c>
      <c r="SE7" t="s">
        <v>708</v>
      </c>
      <c r="SF7" t="s">
        <v>708</v>
      </c>
      <c r="SG7">
        <v>1</v>
      </c>
      <c r="SH7">
        <v>0.995</v>
      </c>
      <c r="SI7">
        <v>0.995</v>
      </c>
      <c r="SJ7">
        <v>0.995</v>
      </c>
      <c r="SK7">
        <v>15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1</v>
      </c>
      <c r="SZ7">
        <v>1</v>
      </c>
      <c r="TB7">
        <v>0</v>
      </c>
      <c r="TC7">
        <v>0</v>
      </c>
      <c r="TD7">
        <v>7.5</v>
      </c>
      <c r="TE7" t="s">
        <v>553</v>
      </c>
      <c r="TF7" t="s">
        <v>624</v>
      </c>
      <c r="TG7" t="s">
        <v>555</v>
      </c>
      <c r="TI7" t="s">
        <v>546</v>
      </c>
      <c r="TJ7" t="s">
        <v>547</v>
      </c>
      <c r="TL7" t="s">
        <v>556</v>
      </c>
      <c r="TM7" t="s">
        <v>513</v>
      </c>
      <c r="TN7">
        <v>0</v>
      </c>
      <c r="TO7" t="s">
        <v>557</v>
      </c>
    </row>
    <row r="8" spans="1:535">
      <c r="A8" t="s">
        <v>709</v>
      </c>
      <c r="B8" t="s">
        <v>629</v>
      </c>
      <c r="C8" t="s">
        <v>509</v>
      </c>
      <c r="D8" t="s">
        <v>710</v>
      </c>
      <c r="G8" t="s">
        <v>604</v>
      </c>
      <c r="H8" t="s">
        <v>605</v>
      </c>
      <c r="I8" t="s">
        <v>628</v>
      </c>
      <c r="J8" t="s">
        <v>606</v>
      </c>
      <c r="L8" t="s">
        <v>512</v>
      </c>
      <c r="M8" t="s">
        <v>711</v>
      </c>
      <c r="N8" t="s">
        <v>513</v>
      </c>
      <c r="O8" t="s">
        <v>565</v>
      </c>
      <c r="Q8" t="s">
        <v>712</v>
      </c>
      <c r="R8" t="s">
        <v>567</v>
      </c>
      <c r="S8" t="s">
        <v>713</v>
      </c>
      <c r="T8" t="s">
        <v>714</v>
      </c>
      <c r="U8" t="s">
        <v>570</v>
      </c>
      <c r="V8" t="s">
        <v>571</v>
      </c>
      <c r="W8" t="s">
        <v>715</v>
      </c>
      <c r="X8" t="s">
        <v>573</v>
      </c>
      <c r="Y8" t="s">
        <v>524</v>
      </c>
      <c r="Z8" t="s">
        <v>716</v>
      </c>
      <c r="AA8" t="s">
        <v>717</v>
      </c>
      <c r="AB8" t="s">
        <v>718</v>
      </c>
      <c r="AC8">
        <v>2</v>
      </c>
      <c r="AD8">
        <v>56</v>
      </c>
      <c r="AE8">
        <v>202</v>
      </c>
      <c r="AF8">
        <v>1.5</v>
      </c>
      <c r="AH8">
        <v>0</v>
      </c>
      <c r="AI8" t="s">
        <v>719</v>
      </c>
      <c r="AJ8">
        <v>185</v>
      </c>
      <c r="AK8">
        <v>1</v>
      </c>
      <c r="AL8">
        <v>1.5</v>
      </c>
      <c r="AM8" t="s">
        <v>579</v>
      </c>
      <c r="AN8" t="s">
        <v>693</v>
      </c>
      <c r="AO8">
        <v>2</v>
      </c>
      <c r="AP8" t="s">
        <v>581</v>
      </c>
      <c r="AQ8" t="s">
        <v>582</v>
      </c>
      <c r="AR8">
        <v>230</v>
      </c>
      <c r="AS8">
        <v>1.5</v>
      </c>
      <c r="AT8" t="s">
        <v>583</v>
      </c>
      <c r="AU8" t="s">
        <v>720</v>
      </c>
      <c r="AW8" t="s">
        <v>720</v>
      </c>
      <c r="AX8">
        <v>1</v>
      </c>
      <c r="AY8">
        <v>262.5</v>
      </c>
      <c r="AZ8">
        <v>1.5</v>
      </c>
      <c r="BA8" t="s">
        <v>579</v>
      </c>
      <c r="BB8" t="s">
        <v>721</v>
      </c>
      <c r="BD8" t="s">
        <v>721</v>
      </c>
      <c r="BE8">
        <v>1</v>
      </c>
      <c r="BF8">
        <v>225</v>
      </c>
      <c r="BG8">
        <v>1.5</v>
      </c>
      <c r="BJ8">
        <v>0</v>
      </c>
      <c r="BN8">
        <v>1.5</v>
      </c>
      <c r="BP8" t="s">
        <v>722</v>
      </c>
      <c r="BQ8" t="s">
        <v>587</v>
      </c>
      <c r="BR8">
        <v>2</v>
      </c>
      <c r="BS8" t="s">
        <v>723</v>
      </c>
      <c r="BT8">
        <v>203</v>
      </c>
      <c r="BU8">
        <v>0.5</v>
      </c>
      <c r="BV8" t="s">
        <v>723</v>
      </c>
      <c r="BW8">
        <v>406</v>
      </c>
      <c r="BX8">
        <v>1</v>
      </c>
      <c r="BY8" t="s">
        <v>589</v>
      </c>
      <c r="BZ8">
        <v>300</v>
      </c>
      <c r="CA8">
        <v>480</v>
      </c>
      <c r="CB8" t="s">
        <v>590</v>
      </c>
      <c r="CC8" t="s">
        <v>590</v>
      </c>
      <c r="CD8">
        <v>420</v>
      </c>
      <c r="CE8" t="s">
        <v>591</v>
      </c>
      <c r="CF8">
        <v>15</v>
      </c>
      <c r="CG8" t="s">
        <v>724</v>
      </c>
      <c r="CH8" t="s">
        <v>724</v>
      </c>
      <c r="CI8">
        <v>90</v>
      </c>
      <c r="CJ8">
        <v>1538</v>
      </c>
      <c r="CK8">
        <v>2</v>
      </c>
      <c r="CL8">
        <v>1632</v>
      </c>
      <c r="CM8">
        <v>2</v>
      </c>
      <c r="CN8" t="s">
        <v>593</v>
      </c>
      <c r="CO8" t="s">
        <v>594</v>
      </c>
      <c r="CP8" t="s">
        <v>595</v>
      </c>
      <c r="CQ8" t="s">
        <v>596</v>
      </c>
      <c r="CR8" t="s">
        <v>541</v>
      </c>
      <c r="CS8" t="s">
        <v>542</v>
      </c>
      <c r="CT8">
        <v>370</v>
      </c>
      <c r="CU8">
        <v>5</v>
      </c>
      <c r="CV8">
        <v>1.2</v>
      </c>
      <c r="CW8">
        <v>1554</v>
      </c>
      <c r="CX8">
        <v>814</v>
      </c>
      <c r="CY8" t="s">
        <v>705</v>
      </c>
      <c r="CZ8">
        <v>50</v>
      </c>
      <c r="DA8">
        <v>3</v>
      </c>
      <c r="DB8">
        <v>1</v>
      </c>
      <c r="DC8">
        <v>1554</v>
      </c>
      <c r="DD8">
        <v>82</v>
      </c>
      <c r="DE8" t="s">
        <v>622</v>
      </c>
      <c r="DF8">
        <v>525</v>
      </c>
      <c r="DG8">
        <v>3</v>
      </c>
      <c r="DH8">
        <v>0.88</v>
      </c>
      <c r="DI8">
        <v>1548</v>
      </c>
      <c r="DJ8">
        <v>974</v>
      </c>
      <c r="DK8" t="s">
        <v>622</v>
      </c>
      <c r="DL8">
        <v>450</v>
      </c>
      <c r="DM8">
        <v>3</v>
      </c>
      <c r="DN8">
        <v>0.88</v>
      </c>
      <c r="DO8">
        <v>1553</v>
      </c>
      <c r="DP8">
        <v>758</v>
      </c>
      <c r="DW8" t="s">
        <v>544</v>
      </c>
      <c r="DX8">
        <v>7.5</v>
      </c>
      <c r="EA8">
        <v>1623.8</v>
      </c>
      <c r="EB8">
        <v>306</v>
      </c>
      <c r="EC8" t="s">
        <v>545</v>
      </c>
      <c r="ED8">
        <v>35</v>
      </c>
      <c r="EE8">
        <v>3</v>
      </c>
      <c r="EG8">
        <v>1665</v>
      </c>
      <c r="EH8">
        <v>231</v>
      </c>
      <c r="EJ8">
        <v>0</v>
      </c>
      <c r="EK8">
        <v>1</v>
      </c>
      <c r="EN8">
        <v>0</v>
      </c>
      <c r="EP8" t="s">
        <v>546</v>
      </c>
      <c r="EQ8">
        <v>85</v>
      </c>
      <c r="ER8">
        <v>3</v>
      </c>
      <c r="ES8">
        <v>6</v>
      </c>
      <c r="ET8">
        <v>1537</v>
      </c>
      <c r="EU8">
        <v>388.7</v>
      </c>
      <c r="EV8">
        <v>597</v>
      </c>
      <c r="EW8" t="s">
        <v>547</v>
      </c>
      <c r="EX8">
        <v>45</v>
      </c>
      <c r="EY8">
        <v>2</v>
      </c>
      <c r="EZ8">
        <v>4.5</v>
      </c>
      <c r="FA8">
        <v>1537</v>
      </c>
      <c r="FB8">
        <v>151.6</v>
      </c>
      <c r="FC8">
        <v>233</v>
      </c>
      <c r="FE8">
        <v>0</v>
      </c>
      <c r="FF8">
        <v>2</v>
      </c>
      <c r="FI8">
        <v>0</v>
      </c>
      <c r="FK8" t="s">
        <v>548</v>
      </c>
      <c r="FL8">
        <v>0.6</v>
      </c>
      <c r="FM8">
        <v>45</v>
      </c>
      <c r="FN8">
        <v>350</v>
      </c>
      <c r="FO8">
        <v>40</v>
      </c>
      <c r="FP8">
        <v>200</v>
      </c>
      <c r="GR8" t="s">
        <v>548</v>
      </c>
      <c r="GS8">
        <v>0.4</v>
      </c>
      <c r="GT8">
        <v>30</v>
      </c>
      <c r="GU8">
        <v>370</v>
      </c>
      <c r="GV8">
        <v>20</v>
      </c>
      <c r="GW8">
        <v>280</v>
      </c>
      <c r="HC8">
        <v>0.1</v>
      </c>
      <c r="HD8">
        <v>3</v>
      </c>
      <c r="HE8">
        <v>3</v>
      </c>
      <c r="HF8">
        <v>3</v>
      </c>
      <c r="HG8">
        <v>3</v>
      </c>
      <c r="HH8">
        <v>3</v>
      </c>
      <c r="HI8">
        <v>115</v>
      </c>
      <c r="HJ8">
        <v>3</v>
      </c>
      <c r="HK8">
        <v>30</v>
      </c>
      <c r="HL8">
        <v>2</v>
      </c>
      <c r="HM8">
        <v>0</v>
      </c>
      <c r="HN8">
        <v>2</v>
      </c>
      <c r="HO8">
        <v>70</v>
      </c>
      <c r="HP8">
        <v>3</v>
      </c>
      <c r="HQ8">
        <v>0</v>
      </c>
      <c r="HR8">
        <v>2</v>
      </c>
      <c r="HS8">
        <v>5444</v>
      </c>
      <c r="HT8">
        <v>160</v>
      </c>
      <c r="HU8">
        <v>180</v>
      </c>
      <c r="HW8">
        <v>0</v>
      </c>
      <c r="HX8">
        <v>460</v>
      </c>
      <c r="HY8">
        <v>0.18</v>
      </c>
      <c r="IA8">
        <v>0.15</v>
      </c>
      <c r="IB8">
        <v>0</v>
      </c>
      <c r="IC8">
        <v>180</v>
      </c>
      <c r="ID8">
        <v>110</v>
      </c>
      <c r="IE8">
        <v>225</v>
      </c>
      <c r="IF8">
        <v>0</v>
      </c>
      <c r="IH8" t="s">
        <v>549</v>
      </c>
      <c r="IO8">
        <v>3</v>
      </c>
      <c r="IP8">
        <v>20</v>
      </c>
      <c r="IQ8">
        <v>0</v>
      </c>
      <c r="IR8">
        <v>0</v>
      </c>
      <c r="IV8">
        <v>1538</v>
      </c>
      <c r="IW8">
        <v>406</v>
      </c>
      <c r="JA8">
        <v>1</v>
      </c>
      <c r="JB8">
        <v>0</v>
      </c>
      <c r="JC8">
        <v>2</v>
      </c>
      <c r="JD8">
        <v>1554</v>
      </c>
      <c r="JE8">
        <v>1548</v>
      </c>
      <c r="JF8">
        <v>1553</v>
      </c>
      <c r="JG8">
        <v>1537</v>
      </c>
      <c r="JH8">
        <v>0</v>
      </c>
      <c r="JJ8">
        <v>180</v>
      </c>
      <c r="JK8">
        <v>460</v>
      </c>
      <c r="JN8">
        <v>370</v>
      </c>
      <c r="JO8">
        <v>525</v>
      </c>
      <c r="JP8">
        <v>450</v>
      </c>
      <c r="JQ8">
        <v>0</v>
      </c>
      <c r="JR8">
        <v>404</v>
      </c>
      <c r="JS8">
        <v>115</v>
      </c>
      <c r="JV8">
        <v>8</v>
      </c>
      <c r="JW8" t="s">
        <v>550</v>
      </c>
      <c r="JX8">
        <v>460</v>
      </c>
      <c r="KA8">
        <v>225</v>
      </c>
      <c r="KB8">
        <v>110</v>
      </c>
      <c r="KC8">
        <v>0</v>
      </c>
      <c r="KD8">
        <v>80</v>
      </c>
      <c r="KF8">
        <v>4</v>
      </c>
      <c r="KG8">
        <v>2</v>
      </c>
      <c r="KH8">
        <v>2</v>
      </c>
      <c r="KI8">
        <v>2</v>
      </c>
      <c r="KJ8">
        <v>0</v>
      </c>
      <c r="KK8">
        <v>1.5</v>
      </c>
      <c r="KL8">
        <v>1.5</v>
      </c>
      <c r="KM8">
        <v>0</v>
      </c>
      <c r="KN8">
        <v>0</v>
      </c>
      <c r="KO8">
        <v>0</v>
      </c>
      <c r="KR8">
        <v>30</v>
      </c>
      <c r="KS8">
        <v>60</v>
      </c>
      <c r="KT8">
        <v>0</v>
      </c>
      <c r="LK8">
        <v>480</v>
      </c>
      <c r="PG8">
        <v>1</v>
      </c>
      <c r="PI8" t="s">
        <v>718</v>
      </c>
      <c r="PJ8" t="s">
        <v>720</v>
      </c>
      <c r="PK8" t="s">
        <v>721</v>
      </c>
      <c r="PL8" t="s">
        <v>719</v>
      </c>
      <c r="PP8" t="s">
        <v>722</v>
      </c>
      <c r="PS8" t="s">
        <v>693</v>
      </c>
      <c r="PX8">
        <v>56</v>
      </c>
      <c r="PY8">
        <v>56</v>
      </c>
      <c r="PZ8" t="s">
        <v>718</v>
      </c>
      <c r="QA8">
        <v>3</v>
      </c>
      <c r="QB8">
        <v>1537</v>
      </c>
      <c r="QC8">
        <v>69</v>
      </c>
      <c r="QD8">
        <v>69</v>
      </c>
      <c r="QE8" t="s">
        <v>719</v>
      </c>
      <c r="QF8">
        <v>1</v>
      </c>
      <c r="QG8">
        <v>1554</v>
      </c>
      <c r="QH8">
        <v>66</v>
      </c>
      <c r="QI8">
        <v>66</v>
      </c>
      <c r="QJ8" t="s">
        <v>693</v>
      </c>
      <c r="QK8">
        <v>1</v>
      </c>
      <c r="QL8">
        <v>1554</v>
      </c>
      <c r="QM8">
        <v>62</v>
      </c>
      <c r="QN8">
        <v>62</v>
      </c>
      <c r="QO8" t="s">
        <v>720</v>
      </c>
      <c r="QP8">
        <v>1</v>
      </c>
      <c r="QQ8">
        <v>1548</v>
      </c>
      <c r="QR8">
        <v>62</v>
      </c>
      <c r="QS8">
        <v>62</v>
      </c>
      <c r="QT8" t="s">
        <v>721</v>
      </c>
      <c r="QU8">
        <v>1</v>
      </c>
      <c r="QV8">
        <v>1553</v>
      </c>
      <c r="QW8">
        <v>82</v>
      </c>
      <c r="QX8" t="s">
        <v>587</v>
      </c>
      <c r="QY8" t="s">
        <v>722</v>
      </c>
      <c r="QZ8">
        <v>2</v>
      </c>
      <c r="RA8">
        <v>66</v>
      </c>
      <c r="RB8">
        <v>66</v>
      </c>
      <c r="RE8">
        <v>0</v>
      </c>
      <c r="RF8">
        <v>1</v>
      </c>
      <c r="RH8">
        <v>1</v>
      </c>
      <c r="RJ8">
        <v>1</v>
      </c>
      <c r="RK8">
        <v>2</v>
      </c>
      <c r="RL8">
        <v>3</v>
      </c>
      <c r="RM8">
        <v>3</v>
      </c>
      <c r="RO8">
        <v>524</v>
      </c>
      <c r="RP8">
        <v>105</v>
      </c>
      <c r="RQ8">
        <v>629</v>
      </c>
      <c r="RR8">
        <v>488</v>
      </c>
      <c r="RT8">
        <v>306</v>
      </c>
      <c r="RU8">
        <v>231</v>
      </c>
      <c r="RV8" t="s">
        <v>725</v>
      </c>
      <c r="RW8" t="s">
        <v>599</v>
      </c>
      <c r="RX8">
        <v>15</v>
      </c>
      <c r="RY8">
        <v>4</v>
      </c>
      <c r="RZ8" t="s">
        <v>599</v>
      </c>
      <c r="SA8">
        <v>15</v>
      </c>
      <c r="SC8" t="s">
        <v>720</v>
      </c>
      <c r="SD8">
        <v>1</v>
      </c>
      <c r="SF8" t="s">
        <v>721</v>
      </c>
      <c r="SG8">
        <v>1</v>
      </c>
      <c r="SH8">
        <v>0.995</v>
      </c>
      <c r="SI8">
        <v>0.995</v>
      </c>
      <c r="SJ8">
        <v>0.995</v>
      </c>
      <c r="SK8">
        <v>15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1</v>
      </c>
      <c r="SZ8">
        <v>1</v>
      </c>
      <c r="TB8">
        <v>0</v>
      </c>
      <c r="TC8">
        <v>0</v>
      </c>
      <c r="TD8">
        <v>7.5</v>
      </c>
      <c r="TE8" t="s">
        <v>553</v>
      </c>
      <c r="TF8" t="s">
        <v>655</v>
      </c>
      <c r="TG8" t="s">
        <v>555</v>
      </c>
      <c r="TI8" t="s">
        <v>546</v>
      </c>
      <c r="TJ8" t="s">
        <v>547</v>
      </c>
      <c r="TL8" t="s">
        <v>556</v>
      </c>
      <c r="TM8" t="s">
        <v>513</v>
      </c>
      <c r="TN8">
        <v>0</v>
      </c>
      <c r="TO8" t="s">
        <v>601</v>
      </c>
    </row>
    <row r="9" spans="1:535">
      <c r="A9" t="s">
        <v>726</v>
      </c>
      <c r="B9" t="s">
        <v>727</v>
      </c>
      <c r="C9" t="s">
        <v>509</v>
      </c>
      <c r="D9" t="s">
        <v>728</v>
      </c>
      <c r="G9" t="s">
        <v>604</v>
      </c>
      <c r="H9" t="s">
        <v>605</v>
      </c>
      <c r="I9" t="s">
        <v>628</v>
      </c>
      <c r="J9" t="s">
        <v>606</v>
      </c>
      <c r="L9" t="s">
        <v>512</v>
      </c>
      <c r="M9" t="s">
        <v>729</v>
      </c>
      <c r="N9" t="s">
        <v>513</v>
      </c>
      <c r="O9" t="s">
        <v>607</v>
      </c>
      <c r="Q9" t="s">
        <v>730</v>
      </c>
      <c r="R9" t="s">
        <v>567</v>
      </c>
      <c r="S9" t="s">
        <v>518</v>
      </c>
      <c r="T9" t="s">
        <v>519</v>
      </c>
      <c r="U9" t="s">
        <v>520</v>
      </c>
      <c r="V9" t="s">
        <v>521</v>
      </c>
      <c r="W9" t="s">
        <v>635</v>
      </c>
      <c r="X9" t="s">
        <v>573</v>
      </c>
      <c r="Y9" t="s">
        <v>524</v>
      </c>
      <c r="Z9" t="s">
        <v>731</v>
      </c>
      <c r="AA9" t="s">
        <v>732</v>
      </c>
      <c r="AB9" t="s">
        <v>733</v>
      </c>
      <c r="AC9">
        <v>2</v>
      </c>
      <c r="AD9">
        <v>56</v>
      </c>
      <c r="AE9">
        <v>170</v>
      </c>
      <c r="AF9">
        <v>1.5</v>
      </c>
      <c r="AH9">
        <v>0</v>
      </c>
      <c r="AI9" t="s">
        <v>734</v>
      </c>
      <c r="AJ9">
        <v>180</v>
      </c>
      <c r="AK9">
        <v>1</v>
      </c>
      <c r="AL9">
        <v>1.5</v>
      </c>
      <c r="AM9" t="s">
        <v>529</v>
      </c>
      <c r="AO9">
        <v>0</v>
      </c>
      <c r="AR9">
        <v>0</v>
      </c>
      <c r="AS9">
        <v>1.5</v>
      </c>
      <c r="AU9" t="s">
        <v>735</v>
      </c>
      <c r="AW9" t="s">
        <v>735</v>
      </c>
      <c r="AX9">
        <v>1</v>
      </c>
      <c r="AY9">
        <v>257.5</v>
      </c>
      <c r="AZ9">
        <v>1.5</v>
      </c>
      <c r="BA9" t="s">
        <v>529</v>
      </c>
      <c r="BG9">
        <v>1.5</v>
      </c>
      <c r="BJ9">
        <v>0</v>
      </c>
      <c r="BN9">
        <v>1.5</v>
      </c>
      <c r="BP9" t="s">
        <v>736</v>
      </c>
      <c r="BQ9">
        <v>89</v>
      </c>
      <c r="BR9">
        <v>2</v>
      </c>
      <c r="BS9" t="s">
        <v>737</v>
      </c>
      <c r="BT9">
        <v>192</v>
      </c>
      <c r="BU9">
        <v>0.5</v>
      </c>
      <c r="BV9" t="s">
        <v>737</v>
      </c>
      <c r="BW9">
        <v>384</v>
      </c>
      <c r="BX9">
        <v>1</v>
      </c>
      <c r="BY9" t="s">
        <v>533</v>
      </c>
      <c r="BZ9">
        <v>300</v>
      </c>
      <c r="CA9">
        <v>460</v>
      </c>
      <c r="CB9" t="s">
        <v>534</v>
      </c>
      <c r="CC9" t="s">
        <v>534</v>
      </c>
      <c r="CD9">
        <v>402</v>
      </c>
      <c r="CE9" t="s">
        <v>535</v>
      </c>
      <c r="CF9">
        <v>15</v>
      </c>
      <c r="CG9" t="s">
        <v>738</v>
      </c>
      <c r="CH9" t="s">
        <v>738</v>
      </c>
      <c r="CI9">
        <v>80</v>
      </c>
      <c r="CJ9">
        <v>1200</v>
      </c>
      <c r="CK9">
        <v>2</v>
      </c>
      <c r="CL9">
        <v>1301</v>
      </c>
      <c r="CM9">
        <v>2</v>
      </c>
      <c r="CN9" t="s">
        <v>537</v>
      </c>
      <c r="CO9" t="s">
        <v>538</v>
      </c>
      <c r="CP9" t="s">
        <v>539</v>
      </c>
      <c r="CQ9" t="s">
        <v>540</v>
      </c>
      <c r="CR9" t="s">
        <v>541</v>
      </c>
      <c r="CS9" t="s">
        <v>542</v>
      </c>
      <c r="CT9">
        <v>360</v>
      </c>
      <c r="CU9">
        <v>5</v>
      </c>
      <c r="CV9">
        <v>1.2</v>
      </c>
      <c r="CW9">
        <v>1213</v>
      </c>
      <c r="CX9">
        <v>617</v>
      </c>
      <c r="DD9">
        <v>0</v>
      </c>
      <c r="DE9" t="s">
        <v>543</v>
      </c>
      <c r="DF9">
        <v>515</v>
      </c>
      <c r="DG9">
        <v>3</v>
      </c>
      <c r="DH9">
        <v>1.18</v>
      </c>
      <c r="DI9">
        <v>1211</v>
      </c>
      <c r="DJ9">
        <v>1005</v>
      </c>
      <c r="DW9" t="s">
        <v>544</v>
      </c>
      <c r="DX9">
        <v>7.5</v>
      </c>
      <c r="EA9">
        <v>1284.1</v>
      </c>
      <c r="EB9">
        <v>228</v>
      </c>
      <c r="EC9" t="s">
        <v>545</v>
      </c>
      <c r="ED9">
        <v>35</v>
      </c>
      <c r="EE9">
        <v>3</v>
      </c>
      <c r="EG9">
        <v>1325</v>
      </c>
      <c r="EH9">
        <v>186</v>
      </c>
      <c r="EJ9">
        <v>0</v>
      </c>
      <c r="EK9">
        <v>1</v>
      </c>
      <c r="EN9">
        <v>0</v>
      </c>
      <c r="EP9" t="s">
        <v>546</v>
      </c>
      <c r="EQ9">
        <v>100</v>
      </c>
      <c r="ER9">
        <v>3</v>
      </c>
      <c r="ES9">
        <v>5</v>
      </c>
      <c r="ET9">
        <v>1194</v>
      </c>
      <c r="EU9">
        <v>406.3</v>
      </c>
      <c r="EV9">
        <v>485</v>
      </c>
      <c r="EW9" t="s">
        <v>547</v>
      </c>
      <c r="EX9">
        <v>70</v>
      </c>
      <c r="EY9">
        <v>2</v>
      </c>
      <c r="EZ9">
        <v>4.5</v>
      </c>
      <c r="FA9">
        <v>1194</v>
      </c>
      <c r="FB9">
        <v>219.6</v>
      </c>
      <c r="FC9">
        <v>262</v>
      </c>
      <c r="FE9">
        <v>0</v>
      </c>
      <c r="FF9">
        <v>2</v>
      </c>
      <c r="FI9">
        <v>0</v>
      </c>
      <c r="FK9" t="s">
        <v>548</v>
      </c>
      <c r="FL9">
        <v>0.4</v>
      </c>
      <c r="FM9">
        <v>90</v>
      </c>
      <c r="FN9">
        <v>130</v>
      </c>
      <c r="FR9" t="s">
        <v>548</v>
      </c>
      <c r="FS9">
        <v>0.4</v>
      </c>
      <c r="FT9">
        <v>30</v>
      </c>
      <c r="FU9">
        <v>350</v>
      </c>
      <c r="FV9">
        <v>30</v>
      </c>
      <c r="FW9">
        <v>220</v>
      </c>
      <c r="HC9">
        <v>0.1</v>
      </c>
      <c r="HD9">
        <v>3</v>
      </c>
      <c r="HE9">
        <v>3</v>
      </c>
      <c r="HF9">
        <v>3</v>
      </c>
      <c r="HG9">
        <v>3</v>
      </c>
      <c r="HH9">
        <v>3</v>
      </c>
      <c r="HI9">
        <v>155</v>
      </c>
      <c r="HJ9">
        <v>3</v>
      </c>
      <c r="HK9">
        <v>55</v>
      </c>
      <c r="HL9">
        <v>2</v>
      </c>
      <c r="HM9">
        <v>0</v>
      </c>
      <c r="HN9">
        <v>2</v>
      </c>
      <c r="HO9">
        <v>85</v>
      </c>
      <c r="HP9">
        <v>3</v>
      </c>
      <c r="HQ9">
        <v>0</v>
      </c>
      <c r="HR9">
        <v>2</v>
      </c>
      <c r="HS9">
        <v>3944</v>
      </c>
      <c r="HT9">
        <v>120</v>
      </c>
      <c r="HU9">
        <v>180</v>
      </c>
      <c r="HW9">
        <v>0</v>
      </c>
      <c r="HX9">
        <v>456</v>
      </c>
      <c r="HY9">
        <v>0.18</v>
      </c>
      <c r="IA9">
        <v>0.15</v>
      </c>
      <c r="IB9">
        <v>0</v>
      </c>
      <c r="IC9">
        <v>180</v>
      </c>
      <c r="ID9">
        <v>110</v>
      </c>
      <c r="IE9">
        <v>0</v>
      </c>
      <c r="IF9">
        <v>0</v>
      </c>
      <c r="IH9" t="s">
        <v>549</v>
      </c>
      <c r="IO9">
        <v>1</v>
      </c>
      <c r="IP9">
        <v>16</v>
      </c>
      <c r="IQ9">
        <v>0</v>
      </c>
      <c r="IR9">
        <v>1</v>
      </c>
      <c r="IV9">
        <v>1200</v>
      </c>
      <c r="IW9">
        <v>384</v>
      </c>
      <c r="JA9">
        <v>1</v>
      </c>
      <c r="JB9">
        <v>0</v>
      </c>
      <c r="JC9">
        <v>2</v>
      </c>
      <c r="JD9">
        <v>1213</v>
      </c>
      <c r="JE9">
        <v>1211</v>
      </c>
      <c r="JF9">
        <v>0</v>
      </c>
      <c r="JG9">
        <v>1194</v>
      </c>
      <c r="JH9">
        <v>0</v>
      </c>
      <c r="JJ9">
        <v>180</v>
      </c>
      <c r="JK9">
        <v>456</v>
      </c>
      <c r="JN9">
        <v>360</v>
      </c>
      <c r="JO9">
        <v>515</v>
      </c>
      <c r="JP9">
        <v>0</v>
      </c>
      <c r="JQ9">
        <v>0</v>
      </c>
      <c r="JR9">
        <v>340</v>
      </c>
      <c r="JS9">
        <v>155</v>
      </c>
      <c r="JV9">
        <v>8</v>
      </c>
      <c r="JW9" t="s">
        <v>550</v>
      </c>
      <c r="JX9">
        <v>0</v>
      </c>
      <c r="KA9">
        <v>0</v>
      </c>
      <c r="KB9">
        <v>110</v>
      </c>
      <c r="KC9">
        <v>0</v>
      </c>
      <c r="KD9">
        <v>80</v>
      </c>
      <c r="KF9">
        <v>4</v>
      </c>
      <c r="KG9">
        <v>2</v>
      </c>
      <c r="KH9">
        <v>2</v>
      </c>
      <c r="KI9">
        <v>2</v>
      </c>
      <c r="KJ9">
        <v>0</v>
      </c>
      <c r="KK9">
        <v>1.5</v>
      </c>
      <c r="KL9">
        <v>1.5</v>
      </c>
      <c r="KM9">
        <v>0</v>
      </c>
      <c r="KN9">
        <v>0</v>
      </c>
      <c r="KO9">
        <v>0</v>
      </c>
      <c r="KR9">
        <v>20</v>
      </c>
      <c r="KS9">
        <v>60</v>
      </c>
      <c r="KT9">
        <v>0</v>
      </c>
      <c r="LK9">
        <v>480</v>
      </c>
      <c r="LV9">
        <v>0</v>
      </c>
      <c r="LW9">
        <v>0</v>
      </c>
      <c r="LX9">
        <v>325</v>
      </c>
      <c r="LY9">
        <v>1</v>
      </c>
      <c r="PG9">
        <v>1</v>
      </c>
      <c r="PI9" t="s">
        <v>733</v>
      </c>
      <c r="PJ9" t="s">
        <v>735</v>
      </c>
      <c r="PL9" t="s">
        <v>734</v>
      </c>
      <c r="PP9" t="s">
        <v>736</v>
      </c>
      <c r="PX9">
        <v>56</v>
      </c>
      <c r="PY9">
        <v>56</v>
      </c>
      <c r="PZ9" t="s">
        <v>733</v>
      </c>
      <c r="QA9">
        <v>3</v>
      </c>
      <c r="QB9">
        <v>1194</v>
      </c>
      <c r="QC9">
        <v>69</v>
      </c>
      <c r="QD9">
        <v>69</v>
      </c>
      <c r="QE9" t="s">
        <v>734</v>
      </c>
      <c r="QF9">
        <v>1</v>
      </c>
      <c r="QG9">
        <v>1213</v>
      </c>
      <c r="QH9">
        <v>66</v>
      </c>
      <c r="QI9">
        <v>66</v>
      </c>
      <c r="QL9">
        <v>0</v>
      </c>
      <c r="QM9">
        <v>62</v>
      </c>
      <c r="QN9">
        <v>62</v>
      </c>
      <c r="QO9" t="s">
        <v>735</v>
      </c>
      <c r="QP9">
        <v>1</v>
      </c>
      <c r="QQ9">
        <v>1211</v>
      </c>
      <c r="QW9">
        <v>82</v>
      </c>
      <c r="QX9">
        <v>89</v>
      </c>
      <c r="QY9" t="s">
        <v>736</v>
      </c>
      <c r="QZ9">
        <v>1</v>
      </c>
      <c r="RA9">
        <v>66</v>
      </c>
      <c r="RB9">
        <v>66</v>
      </c>
      <c r="RE9">
        <v>0</v>
      </c>
      <c r="RF9">
        <v>1</v>
      </c>
      <c r="RJ9">
        <v>1</v>
      </c>
      <c r="RL9">
        <v>2</v>
      </c>
      <c r="RO9">
        <v>509</v>
      </c>
      <c r="RQ9">
        <v>830</v>
      </c>
      <c r="RT9">
        <v>228</v>
      </c>
      <c r="RU9">
        <v>186</v>
      </c>
      <c r="RV9" t="s">
        <v>739</v>
      </c>
      <c r="RW9" t="s">
        <v>552</v>
      </c>
      <c r="RX9">
        <v>15</v>
      </c>
      <c r="RY9">
        <v>4</v>
      </c>
      <c r="RZ9" t="s">
        <v>552</v>
      </c>
      <c r="SA9">
        <v>15</v>
      </c>
      <c r="SC9" t="s">
        <v>735</v>
      </c>
      <c r="SD9">
        <v>1</v>
      </c>
      <c r="SH9">
        <v>0.995</v>
      </c>
      <c r="SI9">
        <v>0.995</v>
      </c>
      <c r="SJ9">
        <v>0.995</v>
      </c>
      <c r="SK9">
        <v>15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TB9">
        <v>0</v>
      </c>
      <c r="TC9">
        <v>0</v>
      </c>
      <c r="TD9">
        <v>7.5</v>
      </c>
      <c r="TE9" t="s">
        <v>553</v>
      </c>
      <c r="TF9" t="s">
        <v>624</v>
      </c>
      <c r="TG9" t="s">
        <v>555</v>
      </c>
      <c r="TI9" t="s">
        <v>546</v>
      </c>
      <c r="TJ9" t="s">
        <v>547</v>
      </c>
      <c r="TL9" t="s">
        <v>556</v>
      </c>
      <c r="TM9" t="s">
        <v>513</v>
      </c>
      <c r="TN9">
        <v>0</v>
      </c>
      <c r="TO9" t="s">
        <v>557</v>
      </c>
    </row>
    <row r="10" spans="1:535">
      <c r="A10" t="s">
        <v>740</v>
      </c>
      <c r="B10" t="s">
        <v>657</v>
      </c>
      <c r="C10" t="s">
        <v>509</v>
      </c>
      <c r="D10" t="s">
        <v>728</v>
      </c>
      <c r="G10" t="s">
        <v>604</v>
      </c>
      <c r="H10" t="s">
        <v>605</v>
      </c>
      <c r="I10" t="s">
        <v>628</v>
      </c>
      <c r="J10" t="s">
        <v>606</v>
      </c>
      <c r="L10" t="s">
        <v>512</v>
      </c>
      <c r="M10" t="s">
        <v>559</v>
      </c>
      <c r="N10" t="s">
        <v>513</v>
      </c>
      <c r="O10" t="s">
        <v>607</v>
      </c>
      <c r="Q10" t="s">
        <v>741</v>
      </c>
      <c r="R10" t="s">
        <v>567</v>
      </c>
      <c r="S10" t="s">
        <v>742</v>
      </c>
      <c r="T10" t="s">
        <v>743</v>
      </c>
      <c r="U10" t="s">
        <v>633</v>
      </c>
      <c r="V10" t="s">
        <v>634</v>
      </c>
      <c r="W10" t="s">
        <v>744</v>
      </c>
      <c r="X10" t="s">
        <v>573</v>
      </c>
      <c r="Y10" t="s">
        <v>524</v>
      </c>
      <c r="Z10" t="s">
        <v>745</v>
      </c>
      <c r="AA10" t="s">
        <v>746</v>
      </c>
      <c r="AB10" t="s">
        <v>747</v>
      </c>
      <c r="AC10">
        <v>2</v>
      </c>
      <c r="AD10">
        <v>56</v>
      </c>
      <c r="AE10">
        <v>164</v>
      </c>
      <c r="AF10">
        <v>1.5</v>
      </c>
      <c r="AH10">
        <v>0</v>
      </c>
      <c r="AI10" t="s">
        <v>748</v>
      </c>
      <c r="AJ10">
        <v>175</v>
      </c>
      <c r="AK10">
        <v>1</v>
      </c>
      <c r="AL10">
        <v>1.5</v>
      </c>
      <c r="AM10" t="s">
        <v>529</v>
      </c>
      <c r="AO10">
        <v>0</v>
      </c>
      <c r="AR10">
        <v>0</v>
      </c>
      <c r="AS10">
        <v>1.5</v>
      </c>
      <c r="AV10" t="s">
        <v>749</v>
      </c>
      <c r="AW10" t="s">
        <v>749</v>
      </c>
      <c r="AX10">
        <v>1</v>
      </c>
      <c r="AY10">
        <v>240</v>
      </c>
      <c r="AZ10">
        <v>1.5</v>
      </c>
      <c r="BA10" t="s">
        <v>529</v>
      </c>
      <c r="BG10">
        <v>1.5</v>
      </c>
      <c r="BJ10">
        <v>0</v>
      </c>
      <c r="BN10">
        <v>1.5</v>
      </c>
      <c r="BP10" t="s">
        <v>750</v>
      </c>
      <c r="BQ10">
        <v>82</v>
      </c>
      <c r="BR10">
        <v>2</v>
      </c>
      <c r="BS10" t="s">
        <v>751</v>
      </c>
      <c r="BT10">
        <v>186</v>
      </c>
      <c r="BU10">
        <v>0.5</v>
      </c>
      <c r="BV10" t="s">
        <v>751</v>
      </c>
      <c r="BW10">
        <v>372</v>
      </c>
      <c r="BX10">
        <v>1</v>
      </c>
      <c r="BY10" t="s">
        <v>643</v>
      </c>
      <c r="BZ10">
        <v>300</v>
      </c>
      <c r="CA10">
        <v>460</v>
      </c>
      <c r="CB10" t="s">
        <v>644</v>
      </c>
      <c r="CC10" t="s">
        <v>644</v>
      </c>
      <c r="CD10">
        <v>396</v>
      </c>
      <c r="CE10" t="s">
        <v>544</v>
      </c>
      <c r="CF10">
        <v>15</v>
      </c>
      <c r="CG10" t="s">
        <v>645</v>
      </c>
      <c r="CH10" t="s">
        <v>645</v>
      </c>
      <c r="CI10">
        <v>80</v>
      </c>
      <c r="CJ10">
        <v>1301</v>
      </c>
      <c r="CK10">
        <v>2</v>
      </c>
      <c r="CL10">
        <v>1395</v>
      </c>
      <c r="CM10">
        <v>2</v>
      </c>
      <c r="CN10" t="s">
        <v>646</v>
      </c>
      <c r="CO10" t="s">
        <v>647</v>
      </c>
      <c r="CP10" t="s">
        <v>648</v>
      </c>
      <c r="CQ10" t="s">
        <v>649</v>
      </c>
      <c r="CR10" t="s">
        <v>650</v>
      </c>
      <c r="CS10" t="s">
        <v>542</v>
      </c>
      <c r="CT10">
        <v>350</v>
      </c>
      <c r="CU10">
        <v>5</v>
      </c>
      <c r="CV10">
        <v>1.2</v>
      </c>
      <c r="CW10">
        <v>1314</v>
      </c>
      <c r="CX10">
        <v>650</v>
      </c>
      <c r="DD10">
        <v>0</v>
      </c>
      <c r="DE10" t="s">
        <v>543</v>
      </c>
      <c r="DF10">
        <v>480</v>
      </c>
      <c r="DG10">
        <v>3</v>
      </c>
      <c r="DH10">
        <v>1.18</v>
      </c>
      <c r="DI10">
        <v>1312</v>
      </c>
      <c r="DJ10">
        <v>1106</v>
      </c>
      <c r="DW10" t="s">
        <v>544</v>
      </c>
      <c r="DX10">
        <v>7.5</v>
      </c>
      <c r="EA10">
        <v>1381.4</v>
      </c>
      <c r="EB10">
        <v>180</v>
      </c>
      <c r="EC10" t="s">
        <v>545</v>
      </c>
      <c r="ED10">
        <v>20</v>
      </c>
      <c r="EE10">
        <v>3</v>
      </c>
      <c r="EG10">
        <v>1412</v>
      </c>
      <c r="EH10">
        <v>137</v>
      </c>
      <c r="EJ10">
        <v>0</v>
      </c>
      <c r="EK10">
        <v>1</v>
      </c>
      <c r="EN10">
        <v>0</v>
      </c>
      <c r="EP10" t="s">
        <v>546</v>
      </c>
      <c r="EQ10">
        <v>65</v>
      </c>
      <c r="ER10">
        <v>3</v>
      </c>
      <c r="ES10">
        <v>4.3</v>
      </c>
      <c r="ET10">
        <v>1291</v>
      </c>
      <c r="EU10">
        <v>241.2</v>
      </c>
      <c r="EV10">
        <v>311</v>
      </c>
      <c r="EW10" t="s">
        <v>547</v>
      </c>
      <c r="EX10">
        <v>70</v>
      </c>
      <c r="EY10">
        <v>2</v>
      </c>
      <c r="EZ10">
        <v>4.3</v>
      </c>
      <c r="FA10">
        <v>1291</v>
      </c>
      <c r="FB10">
        <v>199.1</v>
      </c>
      <c r="FC10">
        <v>257</v>
      </c>
      <c r="FE10">
        <v>0</v>
      </c>
      <c r="FF10">
        <v>2</v>
      </c>
      <c r="FI10">
        <v>0</v>
      </c>
      <c r="FK10" t="s">
        <v>548</v>
      </c>
      <c r="FL10">
        <v>0.4</v>
      </c>
      <c r="FM10">
        <v>75</v>
      </c>
      <c r="FN10">
        <v>150</v>
      </c>
      <c r="FR10" t="s">
        <v>548</v>
      </c>
      <c r="FS10">
        <v>0.4</v>
      </c>
      <c r="FT10">
        <v>30</v>
      </c>
      <c r="FU10">
        <v>340</v>
      </c>
      <c r="FV10">
        <v>65</v>
      </c>
      <c r="FW10">
        <v>160</v>
      </c>
      <c r="FY10" t="s">
        <v>651</v>
      </c>
      <c r="FZ10">
        <v>1</v>
      </c>
      <c r="GA10">
        <v>20</v>
      </c>
      <c r="GB10">
        <v>176</v>
      </c>
      <c r="GG10" t="s">
        <v>651</v>
      </c>
      <c r="GH10">
        <v>1</v>
      </c>
      <c r="GI10">
        <v>20</v>
      </c>
      <c r="GJ10">
        <v>176</v>
      </c>
      <c r="HC10">
        <v>0.1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120</v>
      </c>
      <c r="HJ10">
        <v>3</v>
      </c>
      <c r="HK10">
        <v>55</v>
      </c>
      <c r="HL10">
        <v>2</v>
      </c>
      <c r="HM10">
        <v>0</v>
      </c>
      <c r="HN10">
        <v>2</v>
      </c>
      <c r="HO10">
        <v>50</v>
      </c>
      <c r="HP10">
        <v>3</v>
      </c>
      <c r="HQ10">
        <v>0</v>
      </c>
      <c r="HR10">
        <v>2</v>
      </c>
      <c r="HS10">
        <v>3526</v>
      </c>
      <c r="HT10">
        <v>110</v>
      </c>
      <c r="HU10">
        <v>180</v>
      </c>
      <c r="HW10">
        <v>0</v>
      </c>
      <c r="HX10">
        <v>390</v>
      </c>
      <c r="HY10">
        <v>0.18</v>
      </c>
      <c r="IA10">
        <v>0.15</v>
      </c>
      <c r="IB10">
        <v>0</v>
      </c>
      <c r="IC10">
        <v>180</v>
      </c>
      <c r="ID10">
        <v>110</v>
      </c>
      <c r="IE10">
        <v>0</v>
      </c>
      <c r="IF10">
        <v>0</v>
      </c>
      <c r="IH10" t="s">
        <v>549</v>
      </c>
      <c r="IO10">
        <v>1</v>
      </c>
      <c r="IP10">
        <v>17</v>
      </c>
      <c r="IQ10">
        <v>0</v>
      </c>
      <c r="IR10">
        <v>1</v>
      </c>
      <c r="IV10">
        <v>1301</v>
      </c>
      <c r="IW10">
        <v>372</v>
      </c>
      <c r="JA10">
        <v>1</v>
      </c>
      <c r="JB10">
        <v>0</v>
      </c>
      <c r="JC10">
        <v>2</v>
      </c>
      <c r="JD10">
        <v>1314</v>
      </c>
      <c r="JE10">
        <v>1312</v>
      </c>
      <c r="JF10">
        <v>0</v>
      </c>
      <c r="JG10">
        <v>1291</v>
      </c>
      <c r="JH10">
        <v>0</v>
      </c>
      <c r="JJ10">
        <v>180</v>
      </c>
      <c r="JK10">
        <v>390</v>
      </c>
      <c r="JN10">
        <v>350</v>
      </c>
      <c r="JO10">
        <v>480</v>
      </c>
      <c r="JP10">
        <v>0</v>
      </c>
      <c r="JQ10">
        <v>0</v>
      </c>
      <c r="JR10">
        <v>328</v>
      </c>
      <c r="JS10">
        <v>120</v>
      </c>
      <c r="JV10">
        <v>8</v>
      </c>
      <c r="JW10" t="s">
        <v>550</v>
      </c>
      <c r="JX10">
        <v>0</v>
      </c>
      <c r="KA10">
        <v>0</v>
      </c>
      <c r="KB10">
        <v>110</v>
      </c>
      <c r="KC10">
        <v>0</v>
      </c>
      <c r="KD10">
        <v>80</v>
      </c>
      <c r="KF10">
        <v>3</v>
      </c>
      <c r="KG10">
        <v>3</v>
      </c>
      <c r="KH10">
        <v>2</v>
      </c>
      <c r="KI10">
        <v>2</v>
      </c>
      <c r="KJ10">
        <v>0</v>
      </c>
      <c r="KK10">
        <v>1.5</v>
      </c>
      <c r="KL10">
        <v>1.5</v>
      </c>
      <c r="KM10">
        <v>0</v>
      </c>
      <c r="KN10">
        <v>0</v>
      </c>
      <c r="KO10">
        <v>0</v>
      </c>
      <c r="KR10">
        <v>25</v>
      </c>
      <c r="KS10">
        <v>30</v>
      </c>
      <c r="KT10">
        <v>0</v>
      </c>
      <c r="LK10">
        <v>480</v>
      </c>
      <c r="LZ10">
        <v>250</v>
      </c>
      <c r="PG10">
        <v>1</v>
      </c>
      <c r="PI10" t="s">
        <v>747</v>
      </c>
      <c r="PJ10" t="s">
        <v>749</v>
      </c>
      <c r="PL10" t="s">
        <v>748</v>
      </c>
      <c r="PP10" t="s">
        <v>750</v>
      </c>
      <c r="PX10">
        <v>56</v>
      </c>
      <c r="PY10">
        <v>56</v>
      </c>
      <c r="PZ10" t="s">
        <v>747</v>
      </c>
      <c r="QA10">
        <v>1</v>
      </c>
      <c r="QB10">
        <v>1291</v>
      </c>
      <c r="QC10">
        <v>69</v>
      </c>
      <c r="QD10">
        <v>69</v>
      </c>
      <c r="QE10" t="s">
        <v>748</v>
      </c>
      <c r="QF10">
        <v>1</v>
      </c>
      <c r="QG10">
        <v>1314</v>
      </c>
      <c r="QH10">
        <v>66</v>
      </c>
      <c r="QI10">
        <v>66</v>
      </c>
      <c r="QL10">
        <v>0</v>
      </c>
      <c r="QM10">
        <v>63</v>
      </c>
      <c r="QN10">
        <v>63</v>
      </c>
      <c r="QO10" t="s">
        <v>749</v>
      </c>
      <c r="QP10">
        <v>1</v>
      </c>
      <c r="QQ10">
        <v>1312</v>
      </c>
      <c r="QW10">
        <v>82</v>
      </c>
      <c r="QX10">
        <v>82</v>
      </c>
      <c r="QY10" t="s">
        <v>750</v>
      </c>
      <c r="QZ10">
        <v>1</v>
      </c>
      <c r="RA10">
        <v>66</v>
      </c>
      <c r="RB10">
        <v>66</v>
      </c>
      <c r="RE10">
        <v>0</v>
      </c>
      <c r="RG10">
        <v>1</v>
      </c>
      <c r="RJ10">
        <v>2</v>
      </c>
      <c r="RL10">
        <v>2</v>
      </c>
      <c r="RO10">
        <v>495</v>
      </c>
      <c r="RQ10">
        <v>843</v>
      </c>
      <c r="RT10">
        <v>180</v>
      </c>
      <c r="RU10">
        <v>137</v>
      </c>
      <c r="RV10" t="s">
        <v>752</v>
      </c>
      <c r="RW10" t="s">
        <v>653</v>
      </c>
      <c r="RX10">
        <v>15</v>
      </c>
      <c r="RY10">
        <v>4</v>
      </c>
      <c r="RZ10" t="s">
        <v>653</v>
      </c>
      <c r="SA10">
        <v>15</v>
      </c>
      <c r="SB10" t="s">
        <v>753</v>
      </c>
      <c r="SC10" t="s">
        <v>753</v>
      </c>
      <c r="SD10">
        <v>1</v>
      </c>
      <c r="SH10">
        <v>0.995</v>
      </c>
      <c r="SI10">
        <v>0.995</v>
      </c>
      <c r="SJ10">
        <v>0.995</v>
      </c>
      <c r="SK10">
        <v>15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TB10">
        <v>1</v>
      </c>
      <c r="TC10">
        <v>0</v>
      </c>
      <c r="TD10">
        <v>7.5</v>
      </c>
      <c r="TE10" t="s">
        <v>553</v>
      </c>
      <c r="TF10" t="s">
        <v>754</v>
      </c>
      <c r="TG10" t="s">
        <v>555</v>
      </c>
      <c r="TI10" t="s">
        <v>546</v>
      </c>
      <c r="TJ10" t="s">
        <v>547</v>
      </c>
      <c r="TL10" t="s">
        <v>556</v>
      </c>
      <c r="TM10" t="s">
        <v>513</v>
      </c>
      <c r="TN10">
        <v>0</v>
      </c>
      <c r="TO10" t="s">
        <v>557</v>
      </c>
    </row>
    <row r="11" spans="1:535">
      <c r="A11" t="s">
        <v>755</v>
      </c>
      <c r="B11" t="s">
        <v>629</v>
      </c>
      <c r="C11" t="s">
        <v>509</v>
      </c>
      <c r="D11" t="s">
        <v>756</v>
      </c>
      <c r="G11" t="s">
        <v>604</v>
      </c>
      <c r="H11" t="s">
        <v>605</v>
      </c>
      <c r="I11" t="s">
        <v>628</v>
      </c>
      <c r="J11" t="s">
        <v>606</v>
      </c>
      <c r="L11" t="s">
        <v>512</v>
      </c>
      <c r="M11" t="s">
        <v>711</v>
      </c>
      <c r="N11" t="s">
        <v>513</v>
      </c>
      <c r="O11" t="s">
        <v>607</v>
      </c>
      <c r="Q11" t="s">
        <v>757</v>
      </c>
      <c r="R11" t="s">
        <v>567</v>
      </c>
      <c r="S11" t="s">
        <v>758</v>
      </c>
      <c r="T11" t="s">
        <v>759</v>
      </c>
      <c r="U11" t="s">
        <v>662</v>
      </c>
      <c r="V11" t="s">
        <v>663</v>
      </c>
      <c r="W11" t="s">
        <v>760</v>
      </c>
      <c r="X11" t="s">
        <v>573</v>
      </c>
      <c r="Y11" t="s">
        <v>524</v>
      </c>
      <c r="Z11" t="s">
        <v>761</v>
      </c>
      <c r="AA11" t="s">
        <v>762</v>
      </c>
      <c r="AB11" t="s">
        <v>763</v>
      </c>
      <c r="AC11">
        <v>2</v>
      </c>
      <c r="AD11">
        <v>56</v>
      </c>
      <c r="AE11">
        <v>179</v>
      </c>
      <c r="AF11">
        <v>1.5</v>
      </c>
      <c r="AH11">
        <v>0</v>
      </c>
      <c r="AI11" t="s">
        <v>764</v>
      </c>
      <c r="AJ11">
        <v>190</v>
      </c>
      <c r="AK11">
        <v>1</v>
      </c>
      <c r="AL11">
        <v>1.5</v>
      </c>
      <c r="AM11" t="s">
        <v>529</v>
      </c>
      <c r="AO11">
        <v>0</v>
      </c>
      <c r="AR11">
        <v>0</v>
      </c>
      <c r="AS11">
        <v>1.5</v>
      </c>
      <c r="AU11" t="s">
        <v>765</v>
      </c>
      <c r="AW11" t="s">
        <v>765</v>
      </c>
      <c r="AX11">
        <v>1</v>
      </c>
      <c r="AY11">
        <v>270</v>
      </c>
      <c r="AZ11">
        <v>1.5</v>
      </c>
      <c r="BA11" t="s">
        <v>529</v>
      </c>
      <c r="BB11" t="s">
        <v>766</v>
      </c>
      <c r="BD11" t="s">
        <v>766</v>
      </c>
      <c r="BE11">
        <v>1</v>
      </c>
      <c r="BF11">
        <v>225</v>
      </c>
      <c r="BG11">
        <v>1.5</v>
      </c>
      <c r="BJ11">
        <v>0</v>
      </c>
      <c r="BN11">
        <v>1.5</v>
      </c>
      <c r="BP11" t="s">
        <v>767</v>
      </c>
      <c r="BQ11">
        <v>88</v>
      </c>
      <c r="BR11">
        <v>2</v>
      </c>
      <c r="BS11" t="s">
        <v>768</v>
      </c>
      <c r="BT11">
        <v>201</v>
      </c>
      <c r="BU11">
        <v>0.5</v>
      </c>
      <c r="BV11" t="s">
        <v>768</v>
      </c>
      <c r="BW11">
        <v>402</v>
      </c>
      <c r="BX11">
        <v>1</v>
      </c>
      <c r="BY11" t="s">
        <v>643</v>
      </c>
      <c r="BZ11">
        <v>290</v>
      </c>
      <c r="CA11">
        <v>470</v>
      </c>
      <c r="CB11" t="s">
        <v>672</v>
      </c>
      <c r="CC11" t="s">
        <v>672</v>
      </c>
      <c r="CD11">
        <v>410</v>
      </c>
      <c r="CE11" t="s">
        <v>673</v>
      </c>
      <c r="CF11">
        <v>15</v>
      </c>
      <c r="CG11" t="s">
        <v>769</v>
      </c>
      <c r="CH11" t="s">
        <v>769</v>
      </c>
      <c r="CI11">
        <v>90</v>
      </c>
      <c r="CJ11">
        <v>1381</v>
      </c>
      <c r="CK11">
        <v>2</v>
      </c>
      <c r="CL11">
        <v>1475</v>
      </c>
      <c r="CM11">
        <v>2</v>
      </c>
      <c r="CN11" t="s">
        <v>675</v>
      </c>
      <c r="CO11" t="s">
        <v>676</v>
      </c>
      <c r="CP11" t="s">
        <v>595</v>
      </c>
      <c r="CQ11" t="s">
        <v>621</v>
      </c>
      <c r="CR11" t="s">
        <v>541</v>
      </c>
      <c r="CS11" t="s">
        <v>542</v>
      </c>
      <c r="CT11">
        <v>380</v>
      </c>
      <c r="CU11">
        <v>5</v>
      </c>
      <c r="CV11">
        <v>1.2</v>
      </c>
      <c r="CW11">
        <v>1393</v>
      </c>
      <c r="CX11">
        <v>749</v>
      </c>
      <c r="DD11">
        <v>0</v>
      </c>
      <c r="DE11" t="s">
        <v>622</v>
      </c>
      <c r="DF11">
        <v>540</v>
      </c>
      <c r="DG11">
        <v>3</v>
      </c>
      <c r="DH11">
        <v>0.88</v>
      </c>
      <c r="DI11">
        <v>1390</v>
      </c>
      <c r="DJ11">
        <v>851</v>
      </c>
      <c r="DK11" t="s">
        <v>622</v>
      </c>
      <c r="DL11">
        <v>450</v>
      </c>
      <c r="DM11">
        <v>3</v>
      </c>
      <c r="DN11">
        <v>0.88</v>
      </c>
      <c r="DO11">
        <v>1396</v>
      </c>
      <c r="DP11">
        <v>723</v>
      </c>
      <c r="DW11" t="s">
        <v>544</v>
      </c>
      <c r="DX11">
        <v>7.5</v>
      </c>
      <c r="EA11">
        <v>1464.3</v>
      </c>
      <c r="EB11">
        <v>259</v>
      </c>
      <c r="EC11" t="s">
        <v>545</v>
      </c>
      <c r="ED11">
        <v>40</v>
      </c>
      <c r="EE11">
        <v>3</v>
      </c>
      <c r="EG11">
        <v>1505</v>
      </c>
      <c r="EH11">
        <v>241</v>
      </c>
      <c r="EJ11">
        <v>0</v>
      </c>
      <c r="EK11">
        <v>1</v>
      </c>
      <c r="EN11">
        <v>0</v>
      </c>
      <c r="EP11" t="s">
        <v>546</v>
      </c>
      <c r="EQ11">
        <v>95</v>
      </c>
      <c r="ER11">
        <v>3</v>
      </c>
      <c r="ES11">
        <v>5.5</v>
      </c>
      <c r="ET11">
        <v>1378</v>
      </c>
      <c r="EU11">
        <v>434.1</v>
      </c>
      <c r="EV11">
        <v>598</v>
      </c>
      <c r="EW11" t="s">
        <v>547</v>
      </c>
      <c r="EX11">
        <v>70</v>
      </c>
      <c r="EY11">
        <v>2</v>
      </c>
      <c r="EZ11">
        <v>4.5</v>
      </c>
      <c r="FA11">
        <v>1378</v>
      </c>
      <c r="FB11">
        <v>229</v>
      </c>
      <c r="FC11">
        <v>316</v>
      </c>
      <c r="FE11">
        <v>0</v>
      </c>
      <c r="FF11">
        <v>2</v>
      </c>
      <c r="FI11">
        <v>0</v>
      </c>
      <c r="FK11" t="s">
        <v>548</v>
      </c>
      <c r="FL11">
        <v>0.4</v>
      </c>
      <c r="FM11">
        <v>90</v>
      </c>
      <c r="FN11">
        <v>150</v>
      </c>
      <c r="GR11" t="s">
        <v>548</v>
      </c>
      <c r="GS11">
        <v>0.4</v>
      </c>
      <c r="GT11">
        <v>85</v>
      </c>
      <c r="GU11">
        <v>250</v>
      </c>
      <c r="HC11">
        <v>0.1</v>
      </c>
      <c r="HD11">
        <v>3</v>
      </c>
      <c r="HE11">
        <v>3</v>
      </c>
      <c r="HF11">
        <v>3</v>
      </c>
      <c r="HG11">
        <v>3</v>
      </c>
      <c r="HH11">
        <v>3</v>
      </c>
      <c r="HI11">
        <v>150</v>
      </c>
      <c r="HJ11">
        <v>3</v>
      </c>
      <c r="HK11">
        <v>55</v>
      </c>
      <c r="HL11">
        <v>2</v>
      </c>
      <c r="HM11">
        <v>0</v>
      </c>
      <c r="HN11">
        <v>2</v>
      </c>
      <c r="HO11">
        <v>80</v>
      </c>
      <c r="HP11">
        <v>3</v>
      </c>
      <c r="HQ11">
        <v>0</v>
      </c>
      <c r="HR11">
        <v>2</v>
      </c>
      <c r="HS11">
        <v>5151</v>
      </c>
      <c r="HT11">
        <v>150</v>
      </c>
      <c r="HU11">
        <v>180</v>
      </c>
      <c r="HW11">
        <v>0</v>
      </c>
      <c r="HX11">
        <v>470</v>
      </c>
      <c r="HY11">
        <v>0.18</v>
      </c>
      <c r="IA11">
        <v>0.15</v>
      </c>
      <c r="IB11">
        <v>0</v>
      </c>
      <c r="IC11">
        <v>180</v>
      </c>
      <c r="ID11">
        <v>110</v>
      </c>
      <c r="IE11">
        <v>225</v>
      </c>
      <c r="IF11">
        <v>0</v>
      </c>
      <c r="IH11" t="s">
        <v>549</v>
      </c>
      <c r="IO11">
        <v>3</v>
      </c>
      <c r="IP11">
        <v>18</v>
      </c>
      <c r="IQ11">
        <v>0</v>
      </c>
      <c r="IR11">
        <v>1</v>
      </c>
      <c r="IV11">
        <v>1381</v>
      </c>
      <c r="IW11">
        <v>402</v>
      </c>
      <c r="JA11">
        <v>1</v>
      </c>
      <c r="JB11">
        <v>0</v>
      </c>
      <c r="JC11">
        <v>2</v>
      </c>
      <c r="JD11">
        <v>1393</v>
      </c>
      <c r="JE11">
        <v>1390</v>
      </c>
      <c r="JF11">
        <v>1396</v>
      </c>
      <c r="JG11">
        <v>1378</v>
      </c>
      <c r="JH11">
        <v>0</v>
      </c>
      <c r="JJ11">
        <v>180</v>
      </c>
      <c r="JK11">
        <v>470</v>
      </c>
      <c r="JN11">
        <v>380</v>
      </c>
      <c r="JO11">
        <v>540</v>
      </c>
      <c r="JP11">
        <v>450</v>
      </c>
      <c r="JQ11">
        <v>0</v>
      </c>
      <c r="JR11">
        <v>358</v>
      </c>
      <c r="JS11">
        <v>150</v>
      </c>
      <c r="JV11">
        <v>8</v>
      </c>
      <c r="JW11" t="s">
        <v>550</v>
      </c>
      <c r="JX11">
        <v>0</v>
      </c>
      <c r="KA11">
        <v>225</v>
      </c>
      <c r="KB11">
        <v>110</v>
      </c>
      <c r="KC11">
        <v>0</v>
      </c>
      <c r="KD11">
        <v>80</v>
      </c>
      <c r="KF11">
        <v>4</v>
      </c>
      <c r="KG11">
        <v>2</v>
      </c>
      <c r="KH11">
        <v>2</v>
      </c>
      <c r="KI11">
        <v>2</v>
      </c>
      <c r="KJ11">
        <v>0</v>
      </c>
      <c r="KK11">
        <v>1.5</v>
      </c>
      <c r="KL11">
        <v>1.5</v>
      </c>
      <c r="KM11">
        <v>0</v>
      </c>
      <c r="KN11">
        <v>0</v>
      </c>
      <c r="KO11">
        <v>0</v>
      </c>
      <c r="KR11">
        <v>30</v>
      </c>
      <c r="KS11">
        <v>60</v>
      </c>
      <c r="KT11">
        <v>0</v>
      </c>
      <c r="LK11">
        <v>480</v>
      </c>
      <c r="PG11">
        <v>1</v>
      </c>
      <c r="PI11" t="s">
        <v>763</v>
      </c>
      <c r="PJ11" t="s">
        <v>765</v>
      </c>
      <c r="PK11" t="s">
        <v>766</v>
      </c>
      <c r="PL11" t="s">
        <v>764</v>
      </c>
      <c r="PP11" t="s">
        <v>767</v>
      </c>
      <c r="PX11">
        <v>56</v>
      </c>
      <c r="PY11">
        <v>56</v>
      </c>
      <c r="PZ11" t="s">
        <v>763</v>
      </c>
      <c r="QA11">
        <v>1</v>
      </c>
      <c r="QB11">
        <v>1378</v>
      </c>
      <c r="QC11">
        <v>69</v>
      </c>
      <c r="QD11">
        <v>69</v>
      </c>
      <c r="QE11" t="s">
        <v>764</v>
      </c>
      <c r="QF11">
        <v>1</v>
      </c>
      <c r="QG11">
        <v>1393</v>
      </c>
      <c r="QH11">
        <v>66</v>
      </c>
      <c r="QI11">
        <v>66</v>
      </c>
      <c r="QL11">
        <v>0</v>
      </c>
      <c r="QM11">
        <v>62</v>
      </c>
      <c r="QN11">
        <v>62</v>
      </c>
      <c r="QO11" t="s">
        <v>765</v>
      </c>
      <c r="QP11">
        <v>1</v>
      </c>
      <c r="QQ11">
        <v>1390</v>
      </c>
      <c r="QR11">
        <v>62</v>
      </c>
      <c r="QS11">
        <v>62</v>
      </c>
      <c r="QT11" t="s">
        <v>766</v>
      </c>
      <c r="QU11">
        <v>1</v>
      </c>
      <c r="QV11">
        <v>1396</v>
      </c>
      <c r="QW11">
        <v>82</v>
      </c>
      <c r="QX11">
        <v>88</v>
      </c>
      <c r="QY11" t="s">
        <v>767</v>
      </c>
      <c r="QZ11">
        <v>1</v>
      </c>
      <c r="RA11">
        <v>66</v>
      </c>
      <c r="RB11">
        <v>66</v>
      </c>
      <c r="RE11">
        <v>0</v>
      </c>
      <c r="RF11">
        <v>1</v>
      </c>
      <c r="RH11">
        <v>1</v>
      </c>
      <c r="RJ11">
        <v>1</v>
      </c>
      <c r="RL11">
        <v>4</v>
      </c>
      <c r="RM11">
        <v>4</v>
      </c>
      <c r="RO11">
        <v>538</v>
      </c>
      <c r="RQ11">
        <v>612</v>
      </c>
      <c r="RR11">
        <v>518</v>
      </c>
      <c r="RT11">
        <v>259</v>
      </c>
      <c r="RU11">
        <v>241</v>
      </c>
      <c r="RV11" t="s">
        <v>770</v>
      </c>
      <c r="RW11" t="s">
        <v>679</v>
      </c>
      <c r="RX11">
        <v>15</v>
      </c>
      <c r="RY11">
        <v>4</v>
      </c>
      <c r="RZ11" t="s">
        <v>679</v>
      </c>
      <c r="SA11">
        <v>15</v>
      </c>
      <c r="SC11" t="s">
        <v>765</v>
      </c>
      <c r="SD11">
        <v>1</v>
      </c>
      <c r="SF11" t="s">
        <v>766</v>
      </c>
      <c r="SG11">
        <v>1</v>
      </c>
      <c r="SH11">
        <v>0.995</v>
      </c>
      <c r="SI11">
        <v>0.995</v>
      </c>
      <c r="SJ11">
        <v>0.995</v>
      </c>
      <c r="SK11">
        <v>15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Z11">
        <v>1</v>
      </c>
      <c r="TB11">
        <v>0</v>
      </c>
      <c r="TC11">
        <v>0</v>
      </c>
      <c r="TD11">
        <v>7.5</v>
      </c>
      <c r="TE11" t="s">
        <v>553</v>
      </c>
      <c r="TF11" t="s">
        <v>624</v>
      </c>
      <c r="TG11" t="s">
        <v>555</v>
      </c>
      <c r="TI11" t="s">
        <v>546</v>
      </c>
      <c r="TJ11" t="s">
        <v>547</v>
      </c>
      <c r="TL11" t="s">
        <v>556</v>
      </c>
      <c r="TM11" t="s">
        <v>513</v>
      </c>
      <c r="TN11">
        <v>0</v>
      </c>
      <c r="TO11" t="s">
        <v>557</v>
      </c>
    </row>
    <row r="12" spans="1:535">
      <c r="A12" t="s">
        <v>771</v>
      </c>
      <c r="B12" t="s">
        <v>564</v>
      </c>
      <c r="C12" t="s">
        <v>509</v>
      </c>
      <c r="D12" t="s">
        <v>772</v>
      </c>
      <c r="G12" t="s">
        <v>627</v>
      </c>
      <c r="H12" t="s">
        <v>604</v>
      </c>
      <c r="I12" t="s">
        <v>628</v>
      </c>
      <c r="J12" t="s">
        <v>606</v>
      </c>
      <c r="L12" t="s">
        <v>512</v>
      </c>
      <c r="M12" t="s">
        <v>629</v>
      </c>
      <c r="N12" t="s">
        <v>513</v>
      </c>
      <c r="O12" t="s">
        <v>607</v>
      </c>
      <c r="Q12" t="s">
        <v>773</v>
      </c>
      <c r="R12" t="s">
        <v>567</v>
      </c>
      <c r="S12" t="s">
        <v>774</v>
      </c>
      <c r="T12" t="s">
        <v>661</v>
      </c>
      <c r="U12" t="s">
        <v>686</v>
      </c>
      <c r="V12" t="s">
        <v>687</v>
      </c>
      <c r="W12" t="s">
        <v>715</v>
      </c>
      <c r="X12" t="s">
        <v>573</v>
      </c>
      <c r="Y12" t="s">
        <v>524</v>
      </c>
      <c r="Z12" t="s">
        <v>775</v>
      </c>
      <c r="AA12" t="s">
        <v>776</v>
      </c>
      <c r="AB12" t="s">
        <v>777</v>
      </c>
      <c r="AC12">
        <v>2</v>
      </c>
      <c r="AD12">
        <v>56</v>
      </c>
      <c r="AE12">
        <v>210</v>
      </c>
      <c r="AF12">
        <v>1.5</v>
      </c>
      <c r="AH12">
        <v>0</v>
      </c>
      <c r="AI12" t="s">
        <v>778</v>
      </c>
      <c r="AJ12">
        <v>190</v>
      </c>
      <c r="AK12">
        <v>1</v>
      </c>
      <c r="AL12">
        <v>1.5</v>
      </c>
      <c r="AM12" t="s">
        <v>579</v>
      </c>
      <c r="AN12" t="s">
        <v>693</v>
      </c>
      <c r="AO12">
        <v>2</v>
      </c>
      <c r="AP12" t="s">
        <v>581</v>
      </c>
      <c r="AQ12" t="s">
        <v>582</v>
      </c>
      <c r="AR12">
        <v>228</v>
      </c>
      <c r="AS12">
        <v>1.5</v>
      </c>
      <c r="AT12" t="s">
        <v>583</v>
      </c>
      <c r="AU12" t="s">
        <v>779</v>
      </c>
      <c r="AW12" t="s">
        <v>779</v>
      </c>
      <c r="AX12">
        <v>1</v>
      </c>
      <c r="AY12">
        <v>277.5</v>
      </c>
      <c r="AZ12">
        <v>1.5</v>
      </c>
      <c r="BA12" t="s">
        <v>579</v>
      </c>
      <c r="BC12" t="s">
        <v>780</v>
      </c>
      <c r="BD12" t="s">
        <v>780</v>
      </c>
      <c r="BE12">
        <v>1</v>
      </c>
      <c r="BF12">
        <v>232.5</v>
      </c>
      <c r="BG12">
        <v>1.5</v>
      </c>
      <c r="BJ12">
        <v>0</v>
      </c>
      <c r="BN12">
        <v>1.5</v>
      </c>
      <c r="BP12" t="s">
        <v>781</v>
      </c>
      <c r="BQ12">
        <v>89</v>
      </c>
      <c r="BR12">
        <v>2</v>
      </c>
      <c r="BS12" t="s">
        <v>782</v>
      </c>
      <c r="BT12">
        <v>208</v>
      </c>
      <c r="BU12">
        <v>0.5</v>
      </c>
      <c r="BV12" t="s">
        <v>782</v>
      </c>
      <c r="BW12">
        <v>416</v>
      </c>
      <c r="BX12">
        <v>1</v>
      </c>
      <c r="BY12" t="s">
        <v>698</v>
      </c>
      <c r="BZ12">
        <v>300</v>
      </c>
      <c r="CA12">
        <v>480</v>
      </c>
      <c r="CB12" t="s">
        <v>699</v>
      </c>
      <c r="CC12" t="s">
        <v>699</v>
      </c>
      <c r="CD12">
        <v>434</v>
      </c>
      <c r="CE12" t="s">
        <v>700</v>
      </c>
      <c r="CF12">
        <v>15</v>
      </c>
      <c r="CG12" t="s">
        <v>783</v>
      </c>
      <c r="CH12" t="s">
        <v>783</v>
      </c>
      <c r="CI12">
        <v>90</v>
      </c>
      <c r="CJ12">
        <v>1458</v>
      </c>
      <c r="CK12">
        <v>2</v>
      </c>
      <c r="CL12">
        <v>1552</v>
      </c>
      <c r="CM12">
        <v>2</v>
      </c>
      <c r="CN12" t="s">
        <v>702</v>
      </c>
      <c r="CO12" t="s">
        <v>676</v>
      </c>
      <c r="CP12" t="s">
        <v>703</v>
      </c>
      <c r="CQ12" t="s">
        <v>704</v>
      </c>
      <c r="CR12" t="s">
        <v>650</v>
      </c>
      <c r="CS12" t="s">
        <v>542</v>
      </c>
      <c r="CT12">
        <v>380</v>
      </c>
      <c r="CU12">
        <v>5</v>
      </c>
      <c r="CV12">
        <v>1.3</v>
      </c>
      <c r="CW12">
        <v>1475</v>
      </c>
      <c r="CX12">
        <v>860</v>
      </c>
      <c r="CY12" t="s">
        <v>705</v>
      </c>
      <c r="CZ12">
        <v>50</v>
      </c>
      <c r="DA12">
        <v>3</v>
      </c>
      <c r="DB12">
        <v>1</v>
      </c>
      <c r="DC12">
        <v>1475</v>
      </c>
      <c r="DD12">
        <v>77</v>
      </c>
      <c r="DE12" t="s">
        <v>622</v>
      </c>
      <c r="DF12">
        <v>555</v>
      </c>
      <c r="DG12">
        <v>3</v>
      </c>
      <c r="DH12">
        <v>0.88</v>
      </c>
      <c r="DI12">
        <v>1468</v>
      </c>
      <c r="DJ12">
        <v>997</v>
      </c>
      <c r="DK12" t="s">
        <v>622</v>
      </c>
      <c r="DL12">
        <v>465</v>
      </c>
      <c r="DM12">
        <v>3</v>
      </c>
      <c r="DN12">
        <v>0.88</v>
      </c>
      <c r="DO12">
        <v>1473</v>
      </c>
      <c r="DP12">
        <v>829</v>
      </c>
      <c r="DW12" t="s">
        <v>544</v>
      </c>
      <c r="DX12">
        <v>7.5</v>
      </c>
      <c r="EA12">
        <v>1545.7</v>
      </c>
      <c r="EB12">
        <v>291</v>
      </c>
      <c r="EC12" t="s">
        <v>545</v>
      </c>
      <c r="ED12">
        <v>40</v>
      </c>
      <c r="EE12">
        <v>3</v>
      </c>
      <c r="EG12">
        <v>1587</v>
      </c>
      <c r="EH12">
        <v>252</v>
      </c>
      <c r="EJ12">
        <v>0</v>
      </c>
      <c r="EK12">
        <v>1</v>
      </c>
      <c r="EN12">
        <v>0</v>
      </c>
      <c r="EP12" t="s">
        <v>546</v>
      </c>
      <c r="EQ12">
        <v>85</v>
      </c>
      <c r="ER12">
        <v>3</v>
      </c>
      <c r="ES12">
        <v>6.5</v>
      </c>
      <c r="ET12">
        <v>1461</v>
      </c>
      <c r="EU12">
        <v>435.8</v>
      </c>
      <c r="EV12">
        <v>637</v>
      </c>
      <c r="EW12" t="s">
        <v>547</v>
      </c>
      <c r="EX12">
        <v>45</v>
      </c>
      <c r="EY12">
        <v>2</v>
      </c>
      <c r="EZ12">
        <v>5</v>
      </c>
      <c r="FA12">
        <v>1461</v>
      </c>
      <c r="FB12">
        <v>178.5</v>
      </c>
      <c r="FC12">
        <v>261</v>
      </c>
      <c r="FE12">
        <v>0</v>
      </c>
      <c r="FF12">
        <v>2</v>
      </c>
      <c r="FI12">
        <v>0</v>
      </c>
      <c r="FK12" t="s">
        <v>548</v>
      </c>
      <c r="FL12">
        <v>0.4</v>
      </c>
      <c r="FM12">
        <v>70</v>
      </c>
      <c r="FN12">
        <v>340</v>
      </c>
      <c r="FO12">
        <v>80</v>
      </c>
      <c r="FP12">
        <v>120</v>
      </c>
      <c r="GR12" t="s">
        <v>548</v>
      </c>
      <c r="GS12">
        <v>0.4</v>
      </c>
      <c r="GT12">
        <v>30</v>
      </c>
      <c r="GU12">
        <v>380</v>
      </c>
      <c r="GV12">
        <v>40</v>
      </c>
      <c r="GW12">
        <v>240</v>
      </c>
      <c r="GY12" t="s">
        <v>651</v>
      </c>
      <c r="GZ12">
        <v>1</v>
      </c>
      <c r="HA12">
        <v>20</v>
      </c>
      <c r="HB12">
        <v>181</v>
      </c>
      <c r="HC12">
        <v>0.1</v>
      </c>
      <c r="HD12">
        <v>3</v>
      </c>
      <c r="HE12">
        <v>3</v>
      </c>
      <c r="HF12">
        <v>3</v>
      </c>
      <c r="HG12">
        <v>3</v>
      </c>
      <c r="HH12">
        <v>3</v>
      </c>
      <c r="HI12">
        <v>115</v>
      </c>
      <c r="HJ12">
        <v>3</v>
      </c>
      <c r="HK12">
        <v>30</v>
      </c>
      <c r="HL12">
        <v>2</v>
      </c>
      <c r="HM12">
        <v>0</v>
      </c>
      <c r="HN12">
        <v>2</v>
      </c>
      <c r="HO12">
        <v>70</v>
      </c>
      <c r="HP12">
        <v>3</v>
      </c>
      <c r="HQ12">
        <v>0</v>
      </c>
      <c r="HR12">
        <v>2</v>
      </c>
      <c r="HS12">
        <v>5722</v>
      </c>
      <c r="HT12">
        <v>170</v>
      </c>
      <c r="HU12">
        <v>180</v>
      </c>
      <c r="HW12">
        <v>0</v>
      </c>
      <c r="HX12">
        <v>474</v>
      </c>
      <c r="HY12">
        <v>0.18</v>
      </c>
      <c r="IA12">
        <v>0.15</v>
      </c>
      <c r="IB12">
        <v>0</v>
      </c>
      <c r="IC12">
        <v>180</v>
      </c>
      <c r="ID12">
        <v>110</v>
      </c>
      <c r="IE12">
        <v>225</v>
      </c>
      <c r="IF12">
        <v>0</v>
      </c>
      <c r="IH12" t="s">
        <v>549</v>
      </c>
      <c r="IO12">
        <v>3</v>
      </c>
      <c r="IP12">
        <v>19</v>
      </c>
      <c r="IQ12">
        <v>0</v>
      </c>
      <c r="IR12">
        <v>0</v>
      </c>
      <c r="IV12">
        <v>1458</v>
      </c>
      <c r="IW12">
        <v>416</v>
      </c>
      <c r="JA12">
        <v>1</v>
      </c>
      <c r="JB12">
        <v>0</v>
      </c>
      <c r="JC12">
        <v>2</v>
      </c>
      <c r="JD12">
        <v>1475</v>
      </c>
      <c r="JE12">
        <v>1468</v>
      </c>
      <c r="JF12">
        <v>1473</v>
      </c>
      <c r="JG12">
        <v>1461</v>
      </c>
      <c r="JH12">
        <v>0</v>
      </c>
      <c r="JJ12">
        <v>180</v>
      </c>
      <c r="JK12">
        <v>474</v>
      </c>
      <c r="JN12">
        <v>380</v>
      </c>
      <c r="JO12">
        <v>555</v>
      </c>
      <c r="JP12">
        <v>465</v>
      </c>
      <c r="JQ12">
        <v>0</v>
      </c>
      <c r="JR12">
        <v>420</v>
      </c>
      <c r="JS12">
        <v>115</v>
      </c>
      <c r="JV12">
        <v>8</v>
      </c>
      <c r="JW12" t="s">
        <v>550</v>
      </c>
      <c r="JX12">
        <v>456</v>
      </c>
      <c r="KA12">
        <v>225</v>
      </c>
      <c r="KB12">
        <v>110</v>
      </c>
      <c r="KC12">
        <v>0</v>
      </c>
      <c r="KD12">
        <v>80</v>
      </c>
      <c r="KF12">
        <v>4</v>
      </c>
      <c r="KG12">
        <v>4</v>
      </c>
      <c r="KH12">
        <v>2</v>
      </c>
      <c r="KI12">
        <v>2</v>
      </c>
      <c r="KJ12">
        <v>0</v>
      </c>
      <c r="KK12">
        <v>1.5</v>
      </c>
      <c r="KL12">
        <v>1.5</v>
      </c>
      <c r="KM12">
        <v>0</v>
      </c>
      <c r="KN12">
        <v>0</v>
      </c>
      <c r="KO12">
        <v>0</v>
      </c>
      <c r="KR12">
        <v>30</v>
      </c>
      <c r="KS12">
        <v>60</v>
      </c>
      <c r="KT12">
        <v>0</v>
      </c>
      <c r="LK12">
        <v>480</v>
      </c>
      <c r="PG12">
        <v>1</v>
      </c>
      <c r="PI12" t="s">
        <v>777</v>
      </c>
      <c r="PJ12" t="s">
        <v>779</v>
      </c>
      <c r="PK12" t="s">
        <v>780</v>
      </c>
      <c r="PL12" t="s">
        <v>778</v>
      </c>
      <c r="PP12" t="s">
        <v>781</v>
      </c>
      <c r="PS12" t="s">
        <v>693</v>
      </c>
      <c r="PX12">
        <v>56</v>
      </c>
      <c r="PY12">
        <v>56</v>
      </c>
      <c r="PZ12" t="s">
        <v>777</v>
      </c>
      <c r="QA12">
        <v>3</v>
      </c>
      <c r="QB12">
        <v>1461</v>
      </c>
      <c r="QC12">
        <v>69</v>
      </c>
      <c r="QD12">
        <v>69</v>
      </c>
      <c r="QE12" t="s">
        <v>778</v>
      </c>
      <c r="QF12">
        <v>2</v>
      </c>
      <c r="QG12">
        <v>1475</v>
      </c>
      <c r="QH12">
        <v>66</v>
      </c>
      <c r="QI12">
        <v>66</v>
      </c>
      <c r="QJ12" t="s">
        <v>693</v>
      </c>
      <c r="QK12">
        <v>1</v>
      </c>
      <c r="QL12">
        <v>1475</v>
      </c>
      <c r="QM12">
        <v>62</v>
      </c>
      <c r="QN12">
        <v>62</v>
      </c>
      <c r="QO12" t="s">
        <v>779</v>
      </c>
      <c r="QP12">
        <v>1</v>
      </c>
      <c r="QQ12">
        <v>1468</v>
      </c>
      <c r="QR12">
        <v>63</v>
      </c>
      <c r="QS12">
        <v>63</v>
      </c>
      <c r="QT12" t="s">
        <v>780</v>
      </c>
      <c r="QU12">
        <v>1</v>
      </c>
      <c r="QV12">
        <v>1473</v>
      </c>
      <c r="QW12">
        <v>82</v>
      </c>
      <c r="QX12">
        <v>89</v>
      </c>
      <c r="QY12" t="s">
        <v>781</v>
      </c>
      <c r="QZ12">
        <v>1</v>
      </c>
      <c r="RA12">
        <v>66</v>
      </c>
      <c r="RB12">
        <v>66</v>
      </c>
      <c r="RE12">
        <v>0</v>
      </c>
      <c r="RF12">
        <v>1</v>
      </c>
      <c r="RI12">
        <v>1</v>
      </c>
      <c r="RJ12">
        <v>1</v>
      </c>
      <c r="RK12">
        <v>2</v>
      </c>
      <c r="RL12">
        <v>3</v>
      </c>
      <c r="RM12">
        <v>3</v>
      </c>
      <c r="RO12">
        <v>583</v>
      </c>
      <c r="RP12">
        <v>105</v>
      </c>
      <c r="RQ12">
        <v>679</v>
      </c>
      <c r="RR12">
        <v>563</v>
      </c>
      <c r="RT12">
        <v>291</v>
      </c>
      <c r="RU12">
        <v>252</v>
      </c>
      <c r="RV12" t="s">
        <v>784</v>
      </c>
      <c r="RW12" t="s">
        <v>707</v>
      </c>
      <c r="RX12">
        <v>15</v>
      </c>
      <c r="RY12">
        <v>4</v>
      </c>
      <c r="RZ12" t="s">
        <v>707</v>
      </c>
      <c r="SA12">
        <v>15</v>
      </c>
      <c r="SC12" t="s">
        <v>779</v>
      </c>
      <c r="SD12">
        <v>1</v>
      </c>
      <c r="SE12" t="s">
        <v>785</v>
      </c>
      <c r="SF12" t="s">
        <v>785</v>
      </c>
      <c r="SG12">
        <v>1</v>
      </c>
      <c r="SH12">
        <v>0.995</v>
      </c>
      <c r="SI12">
        <v>0.995</v>
      </c>
      <c r="SJ12">
        <v>0.995</v>
      </c>
      <c r="SK12">
        <v>15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1</v>
      </c>
      <c r="SZ12">
        <v>1</v>
      </c>
      <c r="TB12">
        <v>0</v>
      </c>
      <c r="TC12">
        <v>0</v>
      </c>
      <c r="TD12">
        <v>7.5</v>
      </c>
      <c r="TE12" t="s">
        <v>553</v>
      </c>
      <c r="TF12" t="s">
        <v>655</v>
      </c>
      <c r="TG12" t="s">
        <v>555</v>
      </c>
      <c r="TI12" t="s">
        <v>546</v>
      </c>
      <c r="TJ12" t="s">
        <v>547</v>
      </c>
      <c r="TL12" t="s">
        <v>556</v>
      </c>
      <c r="TM12" t="s">
        <v>513</v>
      </c>
      <c r="TN12">
        <v>0</v>
      </c>
      <c r="TO12" t="s">
        <v>557</v>
      </c>
    </row>
    <row r="13" spans="1:535">
      <c r="A13" t="s">
        <v>786</v>
      </c>
      <c r="B13" t="s">
        <v>564</v>
      </c>
      <c r="C13" t="s">
        <v>509</v>
      </c>
      <c r="D13" t="s">
        <v>787</v>
      </c>
      <c r="G13" t="s">
        <v>604</v>
      </c>
      <c r="H13" t="s">
        <v>605</v>
      </c>
      <c r="I13" t="s">
        <v>628</v>
      </c>
      <c r="J13" t="s">
        <v>606</v>
      </c>
      <c r="L13" t="s">
        <v>512</v>
      </c>
      <c r="M13" t="s">
        <v>629</v>
      </c>
      <c r="N13" t="s">
        <v>513</v>
      </c>
      <c r="O13" t="s">
        <v>607</v>
      </c>
      <c r="Q13" t="s">
        <v>788</v>
      </c>
      <c r="R13" t="s">
        <v>567</v>
      </c>
      <c r="S13" t="s">
        <v>789</v>
      </c>
      <c r="T13" t="s">
        <v>685</v>
      </c>
      <c r="U13" t="s">
        <v>570</v>
      </c>
      <c r="V13" t="s">
        <v>571</v>
      </c>
      <c r="W13" t="s">
        <v>790</v>
      </c>
      <c r="X13" t="s">
        <v>573</v>
      </c>
      <c r="Y13" t="s">
        <v>524</v>
      </c>
      <c r="Z13" t="s">
        <v>791</v>
      </c>
      <c r="AA13" t="s">
        <v>792</v>
      </c>
      <c r="AB13" t="s">
        <v>793</v>
      </c>
      <c r="AC13">
        <v>2</v>
      </c>
      <c r="AD13">
        <v>56</v>
      </c>
      <c r="AE13">
        <v>217</v>
      </c>
      <c r="AF13">
        <v>1.5</v>
      </c>
      <c r="AH13">
        <v>0</v>
      </c>
      <c r="AI13" t="s">
        <v>794</v>
      </c>
      <c r="AJ13">
        <v>200</v>
      </c>
      <c r="AK13">
        <v>1</v>
      </c>
      <c r="AL13">
        <v>1.5</v>
      </c>
      <c r="AM13" t="s">
        <v>579</v>
      </c>
      <c r="AN13" t="s">
        <v>795</v>
      </c>
      <c r="AO13">
        <v>2</v>
      </c>
      <c r="AP13" t="s">
        <v>581</v>
      </c>
      <c r="AQ13" t="s">
        <v>582</v>
      </c>
      <c r="AR13">
        <v>248</v>
      </c>
      <c r="AS13">
        <v>1.5</v>
      </c>
      <c r="AT13" t="s">
        <v>583</v>
      </c>
      <c r="AU13" t="s">
        <v>796</v>
      </c>
      <c r="AW13" t="s">
        <v>796</v>
      </c>
      <c r="AX13">
        <v>1</v>
      </c>
      <c r="AY13">
        <v>287.5</v>
      </c>
      <c r="AZ13">
        <v>1.5</v>
      </c>
      <c r="BA13" t="s">
        <v>579</v>
      </c>
      <c r="BB13" t="s">
        <v>797</v>
      </c>
      <c r="BD13" t="s">
        <v>797</v>
      </c>
      <c r="BE13">
        <v>1</v>
      </c>
      <c r="BF13">
        <v>240</v>
      </c>
      <c r="BG13">
        <v>1.5</v>
      </c>
      <c r="BJ13">
        <v>0</v>
      </c>
      <c r="BN13">
        <v>1.5</v>
      </c>
      <c r="BP13" t="s">
        <v>798</v>
      </c>
      <c r="BQ13" t="s">
        <v>587</v>
      </c>
      <c r="BR13">
        <v>2</v>
      </c>
      <c r="BS13" t="s">
        <v>799</v>
      </c>
      <c r="BT13">
        <v>217</v>
      </c>
      <c r="BU13">
        <v>0.5</v>
      </c>
      <c r="BV13" t="s">
        <v>799</v>
      </c>
      <c r="BW13">
        <v>434</v>
      </c>
      <c r="BX13">
        <v>1</v>
      </c>
      <c r="BY13" t="s">
        <v>589</v>
      </c>
      <c r="BZ13">
        <v>300</v>
      </c>
      <c r="CA13">
        <v>520</v>
      </c>
      <c r="CB13" t="s">
        <v>590</v>
      </c>
      <c r="CC13" t="s">
        <v>590</v>
      </c>
      <c r="CD13">
        <v>452</v>
      </c>
      <c r="CE13" t="s">
        <v>591</v>
      </c>
      <c r="CF13">
        <v>15</v>
      </c>
      <c r="CG13" t="s">
        <v>800</v>
      </c>
      <c r="CH13" t="s">
        <v>800</v>
      </c>
      <c r="CI13">
        <v>110</v>
      </c>
      <c r="CJ13">
        <v>1538</v>
      </c>
      <c r="CK13">
        <v>2</v>
      </c>
      <c r="CL13">
        <v>1632</v>
      </c>
      <c r="CM13">
        <v>2</v>
      </c>
      <c r="CN13" t="s">
        <v>593</v>
      </c>
      <c r="CO13" t="s">
        <v>594</v>
      </c>
      <c r="CP13" t="s">
        <v>595</v>
      </c>
      <c r="CQ13" t="s">
        <v>596</v>
      </c>
      <c r="CR13" t="s">
        <v>541</v>
      </c>
      <c r="CS13" t="s">
        <v>542</v>
      </c>
      <c r="CT13">
        <v>400</v>
      </c>
      <c r="CU13">
        <v>5</v>
      </c>
      <c r="CV13">
        <v>1.3</v>
      </c>
      <c r="CW13">
        <v>1555</v>
      </c>
      <c r="CX13">
        <v>956</v>
      </c>
      <c r="CY13" t="s">
        <v>705</v>
      </c>
      <c r="CZ13">
        <v>60</v>
      </c>
      <c r="DA13">
        <v>3</v>
      </c>
      <c r="DB13">
        <v>1</v>
      </c>
      <c r="DC13">
        <v>1555</v>
      </c>
      <c r="DD13">
        <v>97</v>
      </c>
      <c r="DE13" t="s">
        <v>622</v>
      </c>
      <c r="DF13">
        <v>575</v>
      </c>
      <c r="DG13">
        <v>3</v>
      </c>
      <c r="DH13">
        <v>0.88</v>
      </c>
      <c r="DI13">
        <v>1547</v>
      </c>
      <c r="DJ13">
        <v>1047</v>
      </c>
      <c r="DK13" t="s">
        <v>622</v>
      </c>
      <c r="DL13">
        <v>480</v>
      </c>
      <c r="DM13">
        <v>3</v>
      </c>
      <c r="DN13">
        <v>0.88</v>
      </c>
      <c r="DO13">
        <v>1553</v>
      </c>
      <c r="DP13">
        <v>859</v>
      </c>
      <c r="DW13" t="s">
        <v>544</v>
      </c>
      <c r="DX13">
        <v>7.5</v>
      </c>
      <c r="EA13">
        <v>1623.8</v>
      </c>
      <c r="EB13">
        <v>382</v>
      </c>
      <c r="EC13" t="s">
        <v>545</v>
      </c>
      <c r="ED13">
        <v>40</v>
      </c>
      <c r="EE13">
        <v>3</v>
      </c>
      <c r="EG13">
        <v>1675</v>
      </c>
      <c r="EH13">
        <v>266</v>
      </c>
      <c r="EJ13">
        <v>0</v>
      </c>
      <c r="EK13">
        <v>1</v>
      </c>
      <c r="EN13">
        <v>0</v>
      </c>
      <c r="EP13" t="s">
        <v>546</v>
      </c>
      <c r="EQ13">
        <v>105</v>
      </c>
      <c r="ER13">
        <v>3</v>
      </c>
      <c r="ES13">
        <v>6</v>
      </c>
      <c r="ET13">
        <v>1537</v>
      </c>
      <c r="EU13">
        <v>487.9</v>
      </c>
      <c r="EV13">
        <v>750</v>
      </c>
      <c r="EW13" t="s">
        <v>547</v>
      </c>
      <c r="EX13">
        <v>45</v>
      </c>
      <c r="EY13">
        <v>2</v>
      </c>
      <c r="EZ13">
        <v>4.5</v>
      </c>
      <c r="FA13">
        <v>1537</v>
      </c>
      <c r="FB13">
        <v>155</v>
      </c>
      <c r="FC13">
        <v>238</v>
      </c>
      <c r="FE13">
        <v>0</v>
      </c>
      <c r="FF13">
        <v>2</v>
      </c>
      <c r="FI13">
        <v>0</v>
      </c>
      <c r="FK13" t="s">
        <v>548</v>
      </c>
      <c r="FL13">
        <v>0.4</v>
      </c>
      <c r="FM13">
        <v>50</v>
      </c>
      <c r="FN13">
        <v>360</v>
      </c>
      <c r="FO13">
        <v>75</v>
      </c>
      <c r="FP13">
        <v>160</v>
      </c>
      <c r="GR13" t="s">
        <v>548</v>
      </c>
      <c r="GS13">
        <v>0.4</v>
      </c>
      <c r="GT13">
        <v>90</v>
      </c>
      <c r="GU13">
        <v>280</v>
      </c>
      <c r="HC13">
        <v>0.1</v>
      </c>
      <c r="HD13">
        <v>3</v>
      </c>
      <c r="HE13">
        <v>3</v>
      </c>
      <c r="HF13">
        <v>3</v>
      </c>
      <c r="HG13">
        <v>3</v>
      </c>
      <c r="HH13">
        <v>3</v>
      </c>
      <c r="HI13">
        <v>135</v>
      </c>
      <c r="HJ13">
        <v>3</v>
      </c>
      <c r="HK13">
        <v>30</v>
      </c>
      <c r="HL13">
        <v>2</v>
      </c>
      <c r="HM13">
        <v>0</v>
      </c>
      <c r="HN13">
        <v>2</v>
      </c>
      <c r="HO13">
        <v>90</v>
      </c>
      <c r="HP13">
        <v>3</v>
      </c>
      <c r="HQ13">
        <v>0</v>
      </c>
      <c r="HR13">
        <v>2</v>
      </c>
      <c r="HS13">
        <v>6328</v>
      </c>
      <c r="HT13">
        <v>190</v>
      </c>
      <c r="HU13">
        <v>180</v>
      </c>
      <c r="HW13">
        <v>0</v>
      </c>
      <c r="HX13">
        <v>500</v>
      </c>
      <c r="HY13">
        <v>0.18</v>
      </c>
      <c r="IA13">
        <v>0.15</v>
      </c>
      <c r="IB13">
        <v>0</v>
      </c>
      <c r="IC13">
        <v>180</v>
      </c>
      <c r="ID13">
        <v>110</v>
      </c>
      <c r="IE13">
        <v>225</v>
      </c>
      <c r="IF13">
        <v>0</v>
      </c>
      <c r="IH13" t="s">
        <v>549</v>
      </c>
      <c r="IO13">
        <v>3</v>
      </c>
      <c r="IP13">
        <v>20</v>
      </c>
      <c r="IQ13">
        <v>1</v>
      </c>
      <c r="IR13">
        <v>0</v>
      </c>
      <c r="IV13">
        <v>1538</v>
      </c>
      <c r="IW13">
        <v>434</v>
      </c>
      <c r="JA13">
        <v>1</v>
      </c>
      <c r="JB13">
        <v>0</v>
      </c>
      <c r="JC13">
        <v>2</v>
      </c>
      <c r="JD13">
        <v>1555</v>
      </c>
      <c r="JE13">
        <v>1547</v>
      </c>
      <c r="JF13">
        <v>1553</v>
      </c>
      <c r="JG13">
        <v>1537</v>
      </c>
      <c r="JH13">
        <v>0</v>
      </c>
      <c r="JJ13">
        <v>180</v>
      </c>
      <c r="JK13">
        <v>500</v>
      </c>
      <c r="JN13">
        <v>400</v>
      </c>
      <c r="JO13">
        <v>575</v>
      </c>
      <c r="JP13">
        <v>480</v>
      </c>
      <c r="JQ13">
        <v>0</v>
      </c>
      <c r="JR13">
        <v>434</v>
      </c>
      <c r="JS13">
        <v>135</v>
      </c>
      <c r="JV13">
        <v>8</v>
      </c>
      <c r="JW13" t="s">
        <v>550</v>
      </c>
      <c r="JX13">
        <v>496</v>
      </c>
      <c r="KA13">
        <v>225</v>
      </c>
      <c r="KB13">
        <v>110</v>
      </c>
      <c r="KC13">
        <v>0</v>
      </c>
      <c r="KD13">
        <v>80</v>
      </c>
      <c r="KF13">
        <v>4</v>
      </c>
      <c r="KG13">
        <v>4</v>
      </c>
      <c r="KH13">
        <v>2</v>
      </c>
      <c r="KI13">
        <v>2</v>
      </c>
      <c r="KJ13">
        <v>0</v>
      </c>
      <c r="KK13">
        <v>1.5</v>
      </c>
      <c r="KL13">
        <v>1.5</v>
      </c>
      <c r="KM13">
        <v>0</v>
      </c>
      <c r="KN13">
        <v>0</v>
      </c>
      <c r="KO13">
        <v>0</v>
      </c>
      <c r="KR13">
        <v>30</v>
      </c>
      <c r="KS13">
        <v>60</v>
      </c>
      <c r="KT13">
        <v>0</v>
      </c>
      <c r="LK13">
        <v>480</v>
      </c>
      <c r="PG13">
        <v>1</v>
      </c>
      <c r="PI13" t="s">
        <v>793</v>
      </c>
      <c r="PJ13" t="s">
        <v>796</v>
      </c>
      <c r="PK13" t="s">
        <v>797</v>
      </c>
      <c r="PL13" t="s">
        <v>794</v>
      </c>
      <c r="PP13" t="s">
        <v>798</v>
      </c>
      <c r="PS13" t="s">
        <v>795</v>
      </c>
      <c r="PX13">
        <v>56</v>
      </c>
      <c r="PY13">
        <v>56</v>
      </c>
      <c r="PZ13" t="s">
        <v>793</v>
      </c>
      <c r="QA13">
        <v>1</v>
      </c>
      <c r="QB13">
        <v>1537</v>
      </c>
      <c r="QC13">
        <v>69</v>
      </c>
      <c r="QD13">
        <v>69</v>
      </c>
      <c r="QE13" t="s">
        <v>794</v>
      </c>
      <c r="QF13">
        <v>2</v>
      </c>
      <c r="QG13">
        <v>1555</v>
      </c>
      <c r="QH13">
        <v>66</v>
      </c>
      <c r="QI13">
        <v>66</v>
      </c>
      <c r="QJ13" t="s">
        <v>795</v>
      </c>
      <c r="QK13">
        <v>1</v>
      </c>
      <c r="QL13">
        <v>1555</v>
      </c>
      <c r="QM13">
        <v>62</v>
      </c>
      <c r="QN13">
        <v>62</v>
      </c>
      <c r="QO13" t="s">
        <v>796</v>
      </c>
      <c r="QP13">
        <v>1</v>
      </c>
      <c r="QQ13">
        <v>1547</v>
      </c>
      <c r="QR13">
        <v>62</v>
      </c>
      <c r="QS13">
        <v>62</v>
      </c>
      <c r="QT13" t="s">
        <v>797</v>
      </c>
      <c r="QU13">
        <v>1</v>
      </c>
      <c r="QV13">
        <v>1553</v>
      </c>
      <c r="QW13">
        <v>82</v>
      </c>
      <c r="QX13" t="s">
        <v>587</v>
      </c>
      <c r="QY13" t="s">
        <v>798</v>
      </c>
      <c r="QZ13">
        <v>2</v>
      </c>
      <c r="RA13">
        <v>66</v>
      </c>
      <c r="RB13">
        <v>66</v>
      </c>
      <c r="RE13">
        <v>0</v>
      </c>
      <c r="RF13">
        <v>1</v>
      </c>
      <c r="RH13">
        <v>1</v>
      </c>
      <c r="RJ13">
        <v>1</v>
      </c>
      <c r="RK13">
        <v>2</v>
      </c>
      <c r="RL13">
        <v>3</v>
      </c>
      <c r="RM13">
        <v>3</v>
      </c>
      <c r="RO13">
        <v>615</v>
      </c>
      <c r="RP13">
        <v>125</v>
      </c>
      <c r="RQ13">
        <v>677</v>
      </c>
      <c r="RR13">
        <v>553</v>
      </c>
      <c r="RT13">
        <v>382</v>
      </c>
      <c r="RU13">
        <v>266</v>
      </c>
      <c r="RV13" t="s">
        <v>801</v>
      </c>
      <c r="RW13" t="s">
        <v>599</v>
      </c>
      <c r="RX13">
        <v>15</v>
      </c>
      <c r="RY13">
        <v>4</v>
      </c>
      <c r="RZ13" t="s">
        <v>599</v>
      </c>
      <c r="SA13">
        <v>15</v>
      </c>
      <c r="SC13" t="s">
        <v>796</v>
      </c>
      <c r="SD13">
        <v>1</v>
      </c>
      <c r="SF13" t="s">
        <v>797</v>
      </c>
      <c r="SG13">
        <v>1</v>
      </c>
      <c r="SH13">
        <v>0.995</v>
      </c>
      <c r="SI13">
        <v>0.995</v>
      </c>
      <c r="SJ13">
        <v>0.995</v>
      </c>
      <c r="SK13">
        <v>15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1</v>
      </c>
      <c r="SZ13">
        <v>1</v>
      </c>
      <c r="TB13">
        <v>0</v>
      </c>
      <c r="TC13">
        <v>0</v>
      </c>
      <c r="TD13">
        <v>7.5</v>
      </c>
      <c r="TE13" t="s">
        <v>553</v>
      </c>
      <c r="TF13" t="s">
        <v>681</v>
      </c>
      <c r="TG13" t="s">
        <v>555</v>
      </c>
      <c r="TI13" t="s">
        <v>546</v>
      </c>
      <c r="TJ13" t="s">
        <v>547</v>
      </c>
      <c r="TL13" t="s">
        <v>556</v>
      </c>
      <c r="TM13" t="s">
        <v>513</v>
      </c>
      <c r="TN13">
        <v>0</v>
      </c>
      <c r="TO13" t="s">
        <v>601</v>
      </c>
    </row>
    <row r="14" spans="1:535">
      <c r="A14" t="s">
        <v>802</v>
      </c>
      <c r="B14" t="s">
        <v>711</v>
      </c>
      <c r="C14" t="s">
        <v>509</v>
      </c>
      <c r="D14" t="s">
        <v>803</v>
      </c>
      <c r="G14" t="s">
        <v>604</v>
      </c>
      <c r="H14" t="s">
        <v>605</v>
      </c>
      <c r="I14" t="s">
        <v>628</v>
      </c>
      <c r="J14" t="s">
        <v>606</v>
      </c>
      <c r="L14" t="s">
        <v>512</v>
      </c>
      <c r="M14" t="s">
        <v>804</v>
      </c>
      <c r="N14" t="s">
        <v>513</v>
      </c>
      <c r="O14" t="s">
        <v>607</v>
      </c>
      <c r="Q14" t="s">
        <v>805</v>
      </c>
      <c r="R14" t="s">
        <v>567</v>
      </c>
      <c r="S14" t="s">
        <v>806</v>
      </c>
      <c r="T14" t="s">
        <v>807</v>
      </c>
      <c r="U14" t="s">
        <v>520</v>
      </c>
      <c r="V14" t="s">
        <v>521</v>
      </c>
      <c r="W14" t="s">
        <v>808</v>
      </c>
      <c r="X14" t="s">
        <v>573</v>
      </c>
      <c r="Y14" t="s">
        <v>574</v>
      </c>
      <c r="Z14" t="s">
        <v>809</v>
      </c>
      <c r="AA14" t="s">
        <v>810</v>
      </c>
      <c r="AB14" t="s">
        <v>811</v>
      </c>
      <c r="AC14">
        <v>2</v>
      </c>
      <c r="AD14">
        <v>56</v>
      </c>
      <c r="AE14">
        <v>195</v>
      </c>
      <c r="AF14">
        <v>1.5</v>
      </c>
      <c r="AH14">
        <v>0</v>
      </c>
      <c r="AI14" t="s">
        <v>812</v>
      </c>
      <c r="AJ14">
        <v>205</v>
      </c>
      <c r="AK14">
        <v>1</v>
      </c>
      <c r="AL14">
        <v>1.5</v>
      </c>
      <c r="AM14" t="s">
        <v>529</v>
      </c>
      <c r="AO14">
        <v>0</v>
      </c>
      <c r="AR14">
        <v>0</v>
      </c>
      <c r="AS14">
        <v>1.5</v>
      </c>
      <c r="AU14" t="s">
        <v>813</v>
      </c>
      <c r="AW14" t="s">
        <v>813</v>
      </c>
      <c r="AX14">
        <v>1</v>
      </c>
      <c r="AY14">
        <v>295</v>
      </c>
      <c r="AZ14">
        <v>1.5</v>
      </c>
      <c r="BA14" t="s">
        <v>529</v>
      </c>
      <c r="BB14" t="s">
        <v>814</v>
      </c>
      <c r="BD14" t="s">
        <v>814</v>
      </c>
      <c r="BE14">
        <v>1</v>
      </c>
      <c r="BF14">
        <v>240</v>
      </c>
      <c r="BG14">
        <v>1.5</v>
      </c>
      <c r="BJ14">
        <v>0</v>
      </c>
      <c r="BN14">
        <v>1.5</v>
      </c>
      <c r="BP14" t="s">
        <v>815</v>
      </c>
      <c r="BQ14">
        <v>88</v>
      </c>
      <c r="BR14">
        <v>2</v>
      </c>
      <c r="BS14" t="s">
        <v>619</v>
      </c>
      <c r="BT14">
        <v>217</v>
      </c>
      <c r="BU14">
        <v>0.5</v>
      </c>
      <c r="BV14" t="s">
        <v>619</v>
      </c>
      <c r="BW14">
        <v>434</v>
      </c>
      <c r="BX14">
        <v>1</v>
      </c>
      <c r="BY14" t="s">
        <v>533</v>
      </c>
      <c r="BZ14">
        <v>470</v>
      </c>
      <c r="CA14">
        <v>550</v>
      </c>
      <c r="CB14" t="s">
        <v>534</v>
      </c>
      <c r="CC14" t="s">
        <v>534</v>
      </c>
      <c r="CD14">
        <v>450</v>
      </c>
      <c r="CE14" t="s">
        <v>535</v>
      </c>
      <c r="CF14">
        <v>15</v>
      </c>
      <c r="CG14" t="s">
        <v>816</v>
      </c>
      <c r="CH14" t="s">
        <v>816</v>
      </c>
      <c r="CI14">
        <v>40</v>
      </c>
      <c r="CJ14">
        <v>1200</v>
      </c>
      <c r="CK14">
        <v>2</v>
      </c>
      <c r="CL14">
        <v>1301</v>
      </c>
      <c r="CM14">
        <v>2</v>
      </c>
      <c r="CN14" t="s">
        <v>537</v>
      </c>
      <c r="CO14" t="s">
        <v>538</v>
      </c>
      <c r="CP14" t="s">
        <v>539</v>
      </c>
      <c r="CQ14" t="s">
        <v>621</v>
      </c>
      <c r="CR14" t="s">
        <v>541</v>
      </c>
      <c r="CS14" t="s">
        <v>542</v>
      </c>
      <c r="CT14">
        <v>410</v>
      </c>
      <c r="CU14">
        <v>5</v>
      </c>
      <c r="CV14">
        <v>1.2</v>
      </c>
      <c r="CW14">
        <v>1213</v>
      </c>
      <c r="CX14">
        <v>705</v>
      </c>
      <c r="DD14">
        <v>0</v>
      </c>
      <c r="DE14" t="s">
        <v>622</v>
      </c>
      <c r="DF14">
        <v>590</v>
      </c>
      <c r="DG14">
        <v>3</v>
      </c>
      <c r="DH14">
        <v>0.88</v>
      </c>
      <c r="DI14">
        <v>1210</v>
      </c>
      <c r="DJ14">
        <v>820</v>
      </c>
      <c r="DK14" t="s">
        <v>622</v>
      </c>
      <c r="DL14">
        <v>480</v>
      </c>
      <c r="DM14">
        <v>3</v>
      </c>
      <c r="DN14">
        <v>0.88</v>
      </c>
      <c r="DO14">
        <v>1216</v>
      </c>
      <c r="DP14">
        <v>640</v>
      </c>
      <c r="DW14" t="s">
        <v>544</v>
      </c>
      <c r="DX14">
        <v>7.5</v>
      </c>
      <c r="EA14">
        <v>1285.7</v>
      </c>
      <c r="EB14">
        <v>228</v>
      </c>
      <c r="EC14" t="s">
        <v>545</v>
      </c>
      <c r="ED14">
        <v>50</v>
      </c>
      <c r="EE14">
        <v>3</v>
      </c>
      <c r="EG14">
        <v>1327</v>
      </c>
      <c r="EH14">
        <v>273</v>
      </c>
      <c r="EJ14">
        <v>0</v>
      </c>
      <c r="EK14">
        <v>1</v>
      </c>
      <c r="EN14">
        <v>0</v>
      </c>
      <c r="EP14" t="s">
        <v>546</v>
      </c>
      <c r="EQ14">
        <v>125</v>
      </c>
      <c r="ER14">
        <v>3</v>
      </c>
      <c r="ES14">
        <v>6</v>
      </c>
      <c r="ET14">
        <v>1201</v>
      </c>
      <c r="EU14">
        <v>574.3</v>
      </c>
      <c r="EV14">
        <v>690</v>
      </c>
      <c r="EW14" t="s">
        <v>547</v>
      </c>
      <c r="EX14">
        <v>70</v>
      </c>
      <c r="EY14">
        <v>2</v>
      </c>
      <c r="EZ14">
        <v>4.5</v>
      </c>
      <c r="FA14">
        <v>1201</v>
      </c>
      <c r="FB14">
        <v>219.6</v>
      </c>
      <c r="FC14">
        <v>264</v>
      </c>
      <c r="FE14">
        <v>0</v>
      </c>
      <c r="FF14">
        <v>2</v>
      </c>
      <c r="FI14">
        <v>0</v>
      </c>
      <c r="FK14" t="s">
        <v>548</v>
      </c>
      <c r="FL14">
        <v>0.4</v>
      </c>
      <c r="FM14">
        <v>110</v>
      </c>
      <c r="FN14">
        <v>130</v>
      </c>
      <c r="GR14" t="s">
        <v>548</v>
      </c>
      <c r="GS14">
        <v>0.4</v>
      </c>
      <c r="GT14">
        <v>30</v>
      </c>
      <c r="GU14">
        <v>400</v>
      </c>
      <c r="GV14">
        <v>30</v>
      </c>
      <c r="GW14">
        <v>260</v>
      </c>
      <c r="HC14">
        <v>0.1</v>
      </c>
      <c r="HD14">
        <v>3</v>
      </c>
      <c r="HE14">
        <v>3</v>
      </c>
      <c r="HF14">
        <v>3</v>
      </c>
      <c r="HG14">
        <v>3</v>
      </c>
      <c r="HH14">
        <v>3</v>
      </c>
      <c r="HI14">
        <v>180</v>
      </c>
      <c r="HJ14">
        <v>3</v>
      </c>
      <c r="HK14">
        <v>55</v>
      </c>
      <c r="HL14">
        <v>2</v>
      </c>
      <c r="HM14">
        <v>0</v>
      </c>
      <c r="HN14">
        <v>2</v>
      </c>
      <c r="HO14">
        <v>110</v>
      </c>
      <c r="HP14">
        <v>3</v>
      </c>
      <c r="HQ14">
        <v>0</v>
      </c>
      <c r="HR14">
        <v>2</v>
      </c>
      <c r="HS14">
        <v>5075</v>
      </c>
      <c r="HT14">
        <v>150</v>
      </c>
      <c r="HU14">
        <v>180</v>
      </c>
      <c r="HW14">
        <v>0</v>
      </c>
      <c r="HX14">
        <v>440</v>
      </c>
      <c r="HY14">
        <v>0.18</v>
      </c>
      <c r="IA14">
        <v>0.15</v>
      </c>
      <c r="IB14">
        <v>0</v>
      </c>
      <c r="IC14">
        <v>180</v>
      </c>
      <c r="ID14">
        <v>110</v>
      </c>
      <c r="IE14">
        <v>225</v>
      </c>
      <c r="IF14">
        <v>0</v>
      </c>
      <c r="IH14" t="s">
        <v>549</v>
      </c>
      <c r="IO14">
        <v>3</v>
      </c>
      <c r="IP14">
        <v>16</v>
      </c>
      <c r="IQ14">
        <v>0</v>
      </c>
      <c r="IR14">
        <v>1</v>
      </c>
      <c r="IV14">
        <v>1200</v>
      </c>
      <c r="IW14">
        <v>434</v>
      </c>
      <c r="JA14">
        <v>1</v>
      </c>
      <c r="JB14">
        <v>0</v>
      </c>
      <c r="JC14">
        <v>2</v>
      </c>
      <c r="JD14">
        <v>1213</v>
      </c>
      <c r="JE14">
        <v>1210</v>
      </c>
      <c r="JF14">
        <v>1216</v>
      </c>
      <c r="JG14">
        <v>1201</v>
      </c>
      <c r="JH14">
        <v>0</v>
      </c>
      <c r="JJ14">
        <v>180</v>
      </c>
      <c r="JK14">
        <v>440</v>
      </c>
      <c r="JN14">
        <v>410</v>
      </c>
      <c r="JO14">
        <v>590</v>
      </c>
      <c r="JP14">
        <v>480</v>
      </c>
      <c r="JQ14">
        <v>0</v>
      </c>
      <c r="JR14">
        <v>390</v>
      </c>
      <c r="JS14">
        <v>180</v>
      </c>
      <c r="JV14">
        <v>8</v>
      </c>
      <c r="JW14" t="s">
        <v>550</v>
      </c>
      <c r="JX14">
        <v>0</v>
      </c>
      <c r="KA14">
        <v>225</v>
      </c>
      <c r="KB14">
        <v>110</v>
      </c>
      <c r="KC14">
        <v>0</v>
      </c>
      <c r="KD14">
        <v>80</v>
      </c>
      <c r="KF14">
        <v>4</v>
      </c>
      <c r="KG14">
        <v>4</v>
      </c>
      <c r="KH14">
        <v>2</v>
      </c>
      <c r="KI14">
        <v>2</v>
      </c>
      <c r="KJ14">
        <v>0</v>
      </c>
      <c r="KK14">
        <v>1.5</v>
      </c>
      <c r="KL14">
        <v>1.5</v>
      </c>
      <c r="KM14">
        <v>0</v>
      </c>
      <c r="KN14">
        <v>0</v>
      </c>
      <c r="KO14">
        <v>0</v>
      </c>
      <c r="KR14">
        <v>30</v>
      </c>
      <c r="KS14">
        <v>60</v>
      </c>
      <c r="KT14">
        <v>0</v>
      </c>
      <c r="LK14">
        <v>480</v>
      </c>
      <c r="PG14">
        <v>1</v>
      </c>
      <c r="PI14" t="s">
        <v>811</v>
      </c>
      <c r="PJ14" t="s">
        <v>813</v>
      </c>
      <c r="PK14" t="s">
        <v>814</v>
      </c>
      <c r="PL14" t="s">
        <v>812</v>
      </c>
      <c r="PP14" t="s">
        <v>815</v>
      </c>
      <c r="PX14">
        <v>56</v>
      </c>
      <c r="PY14">
        <v>56</v>
      </c>
      <c r="PZ14" t="s">
        <v>811</v>
      </c>
      <c r="QA14">
        <v>3</v>
      </c>
      <c r="QB14">
        <v>1201</v>
      </c>
      <c r="QC14">
        <v>69</v>
      </c>
      <c r="QD14">
        <v>69</v>
      </c>
      <c r="QE14" t="s">
        <v>812</v>
      </c>
      <c r="QF14">
        <v>1</v>
      </c>
      <c r="QG14">
        <v>1213</v>
      </c>
      <c r="QH14">
        <v>66</v>
      </c>
      <c r="QI14">
        <v>66</v>
      </c>
      <c r="QL14">
        <v>0</v>
      </c>
      <c r="QM14">
        <v>62</v>
      </c>
      <c r="QN14">
        <v>62</v>
      </c>
      <c r="QO14" t="s">
        <v>813</v>
      </c>
      <c r="QP14">
        <v>1</v>
      </c>
      <c r="QQ14">
        <v>1210</v>
      </c>
      <c r="QR14">
        <v>62</v>
      </c>
      <c r="QS14">
        <v>62</v>
      </c>
      <c r="QT14" t="s">
        <v>814</v>
      </c>
      <c r="QU14">
        <v>1</v>
      </c>
      <c r="QV14">
        <v>1216</v>
      </c>
      <c r="QW14">
        <v>82</v>
      </c>
      <c r="QX14">
        <v>88</v>
      </c>
      <c r="QY14" t="s">
        <v>815</v>
      </c>
      <c r="QZ14">
        <v>1</v>
      </c>
      <c r="RA14">
        <v>66</v>
      </c>
      <c r="RB14">
        <v>66</v>
      </c>
      <c r="RE14">
        <v>0</v>
      </c>
      <c r="RF14">
        <v>1</v>
      </c>
      <c r="RH14">
        <v>1</v>
      </c>
      <c r="RJ14">
        <v>1</v>
      </c>
      <c r="RL14">
        <v>4</v>
      </c>
      <c r="RM14">
        <v>4</v>
      </c>
      <c r="RO14">
        <v>581</v>
      </c>
      <c r="RQ14">
        <v>678</v>
      </c>
      <c r="RR14">
        <v>526</v>
      </c>
      <c r="RT14">
        <v>228</v>
      </c>
      <c r="RU14">
        <v>273</v>
      </c>
      <c r="RV14" t="s">
        <v>623</v>
      </c>
      <c r="RW14" t="s">
        <v>552</v>
      </c>
      <c r="RX14">
        <v>15</v>
      </c>
      <c r="RY14">
        <v>4</v>
      </c>
      <c r="RZ14" t="s">
        <v>552</v>
      </c>
      <c r="SA14">
        <v>15</v>
      </c>
      <c r="SC14" t="s">
        <v>813</v>
      </c>
      <c r="SD14">
        <v>1</v>
      </c>
      <c r="SF14" t="s">
        <v>814</v>
      </c>
      <c r="SG14">
        <v>1</v>
      </c>
      <c r="SH14">
        <v>0.995</v>
      </c>
      <c r="SI14">
        <v>0.995</v>
      </c>
      <c r="SJ14">
        <v>0.995</v>
      </c>
      <c r="SK14">
        <v>15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Z14">
        <v>1</v>
      </c>
      <c r="TB14">
        <v>0</v>
      </c>
      <c r="TC14">
        <v>0</v>
      </c>
      <c r="TD14">
        <v>7.5</v>
      </c>
      <c r="TE14" t="s">
        <v>553</v>
      </c>
      <c r="TF14" t="s">
        <v>624</v>
      </c>
      <c r="TG14" t="s">
        <v>555</v>
      </c>
      <c r="TI14" t="s">
        <v>546</v>
      </c>
      <c r="TJ14" t="s">
        <v>547</v>
      </c>
      <c r="TL14" t="s">
        <v>556</v>
      </c>
      <c r="TM14" t="s">
        <v>513</v>
      </c>
      <c r="TN14">
        <v>0</v>
      </c>
      <c r="TO14" t="s">
        <v>557</v>
      </c>
    </row>
    <row r="15" spans="1:535">
      <c r="A15" t="s">
        <v>817</v>
      </c>
      <c r="B15" t="s">
        <v>564</v>
      </c>
      <c r="C15" t="s">
        <v>509</v>
      </c>
      <c r="D15" t="s">
        <v>772</v>
      </c>
      <c r="G15" t="s">
        <v>627</v>
      </c>
      <c r="H15" t="s">
        <v>604</v>
      </c>
      <c r="I15" t="s">
        <v>628</v>
      </c>
      <c r="J15" t="s">
        <v>606</v>
      </c>
      <c r="L15" t="s">
        <v>512</v>
      </c>
      <c r="M15" t="s">
        <v>629</v>
      </c>
      <c r="N15" t="s">
        <v>513</v>
      </c>
      <c r="O15" t="s">
        <v>607</v>
      </c>
      <c r="Q15" t="s">
        <v>818</v>
      </c>
      <c r="R15" t="s">
        <v>567</v>
      </c>
      <c r="S15" t="s">
        <v>819</v>
      </c>
      <c r="T15" t="s">
        <v>820</v>
      </c>
      <c r="U15" t="s">
        <v>633</v>
      </c>
      <c r="V15" t="s">
        <v>634</v>
      </c>
      <c r="W15" t="s">
        <v>821</v>
      </c>
      <c r="X15" t="s">
        <v>573</v>
      </c>
      <c r="Y15" t="s">
        <v>524</v>
      </c>
      <c r="Z15" t="s">
        <v>822</v>
      </c>
      <c r="AA15" t="s">
        <v>823</v>
      </c>
      <c r="AB15" t="s">
        <v>824</v>
      </c>
      <c r="AC15">
        <v>2</v>
      </c>
      <c r="AD15">
        <v>56</v>
      </c>
      <c r="AE15">
        <v>185</v>
      </c>
      <c r="AF15">
        <v>1.5</v>
      </c>
      <c r="AH15">
        <v>0</v>
      </c>
      <c r="AI15" t="s">
        <v>825</v>
      </c>
      <c r="AJ15">
        <v>197.5</v>
      </c>
      <c r="AK15">
        <v>1</v>
      </c>
      <c r="AL15">
        <v>1.5</v>
      </c>
      <c r="AM15" t="s">
        <v>529</v>
      </c>
      <c r="AO15">
        <v>0</v>
      </c>
      <c r="AR15">
        <v>0</v>
      </c>
      <c r="AS15">
        <v>1.5</v>
      </c>
      <c r="AU15" t="s">
        <v>826</v>
      </c>
      <c r="AW15" t="s">
        <v>826</v>
      </c>
      <c r="AX15">
        <v>1</v>
      </c>
      <c r="AY15">
        <v>280</v>
      </c>
      <c r="AZ15">
        <v>1.5</v>
      </c>
      <c r="BA15" t="s">
        <v>529</v>
      </c>
      <c r="BB15" t="s">
        <v>827</v>
      </c>
      <c r="BD15" t="s">
        <v>827</v>
      </c>
      <c r="BE15">
        <v>1</v>
      </c>
      <c r="BF15">
        <v>232.5</v>
      </c>
      <c r="BG15">
        <v>1.5</v>
      </c>
      <c r="BJ15">
        <v>0</v>
      </c>
      <c r="BN15">
        <v>1.5</v>
      </c>
      <c r="BP15" t="s">
        <v>828</v>
      </c>
      <c r="BQ15">
        <v>89</v>
      </c>
      <c r="BR15">
        <v>2</v>
      </c>
      <c r="BS15" t="s">
        <v>829</v>
      </c>
      <c r="BT15">
        <v>208</v>
      </c>
      <c r="BU15">
        <v>0.5</v>
      </c>
      <c r="BV15" t="s">
        <v>829</v>
      </c>
      <c r="BW15">
        <v>416</v>
      </c>
      <c r="BX15">
        <v>1</v>
      </c>
      <c r="BY15" t="s">
        <v>643</v>
      </c>
      <c r="BZ15">
        <v>300</v>
      </c>
      <c r="CA15">
        <v>480</v>
      </c>
      <c r="CB15" t="s">
        <v>644</v>
      </c>
      <c r="CC15" t="s">
        <v>644</v>
      </c>
      <c r="CD15">
        <v>430</v>
      </c>
      <c r="CE15" t="s">
        <v>544</v>
      </c>
      <c r="CF15">
        <v>15</v>
      </c>
      <c r="CG15" t="s">
        <v>830</v>
      </c>
      <c r="CH15" t="s">
        <v>830</v>
      </c>
      <c r="CI15">
        <v>90</v>
      </c>
      <c r="CJ15">
        <v>1301</v>
      </c>
      <c r="CK15">
        <v>2</v>
      </c>
      <c r="CL15">
        <v>1395</v>
      </c>
      <c r="CM15">
        <v>2</v>
      </c>
      <c r="CN15" t="s">
        <v>646</v>
      </c>
      <c r="CO15" t="s">
        <v>647</v>
      </c>
      <c r="CP15" t="s">
        <v>648</v>
      </c>
      <c r="CQ15" t="s">
        <v>621</v>
      </c>
      <c r="CR15" t="s">
        <v>541</v>
      </c>
      <c r="CS15" t="s">
        <v>542</v>
      </c>
      <c r="CT15">
        <v>395</v>
      </c>
      <c r="CU15">
        <v>5</v>
      </c>
      <c r="CV15">
        <v>1.3</v>
      </c>
      <c r="CW15">
        <v>1314</v>
      </c>
      <c r="CX15">
        <v>798</v>
      </c>
      <c r="DD15">
        <v>0</v>
      </c>
      <c r="DE15" t="s">
        <v>622</v>
      </c>
      <c r="DF15">
        <v>560</v>
      </c>
      <c r="DG15">
        <v>3</v>
      </c>
      <c r="DH15">
        <v>0.88</v>
      </c>
      <c r="DI15">
        <v>1311</v>
      </c>
      <c r="DJ15">
        <v>846</v>
      </c>
      <c r="DK15" t="s">
        <v>622</v>
      </c>
      <c r="DL15">
        <v>465</v>
      </c>
      <c r="DM15">
        <v>3</v>
      </c>
      <c r="DN15">
        <v>0.88</v>
      </c>
      <c r="DO15">
        <v>1317</v>
      </c>
      <c r="DP15">
        <v>673</v>
      </c>
      <c r="DW15" t="s">
        <v>544</v>
      </c>
      <c r="DX15">
        <v>7.5</v>
      </c>
      <c r="EA15">
        <v>1384.6</v>
      </c>
      <c r="EB15">
        <v>261</v>
      </c>
      <c r="EC15" t="s">
        <v>545</v>
      </c>
      <c r="ED15">
        <v>40</v>
      </c>
      <c r="EE15">
        <v>3</v>
      </c>
      <c r="EG15">
        <v>1425</v>
      </c>
      <c r="EH15">
        <v>227</v>
      </c>
      <c r="EJ15">
        <v>0</v>
      </c>
      <c r="EK15">
        <v>1</v>
      </c>
      <c r="EN15">
        <v>0</v>
      </c>
      <c r="EP15" t="s">
        <v>546</v>
      </c>
      <c r="EQ15">
        <v>110</v>
      </c>
      <c r="ER15">
        <v>3</v>
      </c>
      <c r="ES15">
        <v>6</v>
      </c>
      <c r="ET15">
        <v>1301</v>
      </c>
      <c r="EU15">
        <v>500.7</v>
      </c>
      <c r="EV15">
        <v>651</v>
      </c>
      <c r="EW15" t="s">
        <v>547</v>
      </c>
      <c r="EX15">
        <v>70</v>
      </c>
      <c r="EY15">
        <v>2</v>
      </c>
      <c r="EZ15">
        <v>4.5</v>
      </c>
      <c r="FA15">
        <v>1301</v>
      </c>
      <c r="FB15">
        <v>219.6</v>
      </c>
      <c r="FC15">
        <v>286</v>
      </c>
      <c r="FE15">
        <v>0</v>
      </c>
      <c r="FF15">
        <v>2</v>
      </c>
      <c r="FI15">
        <v>0</v>
      </c>
      <c r="FK15" t="s">
        <v>548</v>
      </c>
      <c r="FL15">
        <v>0.4</v>
      </c>
      <c r="FM15">
        <v>105</v>
      </c>
      <c r="FN15">
        <v>110</v>
      </c>
      <c r="GR15" t="s">
        <v>548</v>
      </c>
      <c r="GS15">
        <v>0.4</v>
      </c>
      <c r="GT15">
        <v>30</v>
      </c>
      <c r="GU15">
        <v>380</v>
      </c>
      <c r="GV15">
        <v>30</v>
      </c>
      <c r="GW15">
        <v>240</v>
      </c>
      <c r="HC15">
        <v>0.1</v>
      </c>
      <c r="HD15">
        <v>3</v>
      </c>
      <c r="HE15">
        <v>3</v>
      </c>
      <c r="HF15">
        <v>3</v>
      </c>
      <c r="HG15">
        <v>3</v>
      </c>
      <c r="HH15">
        <v>3</v>
      </c>
      <c r="HI15">
        <v>165</v>
      </c>
      <c r="HJ15">
        <v>3</v>
      </c>
      <c r="HK15">
        <v>55</v>
      </c>
      <c r="HL15">
        <v>2</v>
      </c>
      <c r="HM15">
        <v>0</v>
      </c>
      <c r="HN15">
        <v>2</v>
      </c>
      <c r="HO15">
        <v>95</v>
      </c>
      <c r="HP15">
        <v>3</v>
      </c>
      <c r="HQ15">
        <v>0</v>
      </c>
      <c r="HR15">
        <v>2</v>
      </c>
      <c r="HS15">
        <v>5167</v>
      </c>
      <c r="HT15">
        <v>160</v>
      </c>
      <c r="HU15">
        <v>180</v>
      </c>
      <c r="HW15">
        <v>0</v>
      </c>
      <c r="HX15">
        <v>435</v>
      </c>
      <c r="HY15">
        <v>0.18</v>
      </c>
      <c r="IA15">
        <v>0.15</v>
      </c>
      <c r="IB15">
        <v>0</v>
      </c>
      <c r="IC15">
        <v>180</v>
      </c>
      <c r="ID15">
        <v>110</v>
      </c>
      <c r="IE15">
        <v>225</v>
      </c>
      <c r="IF15">
        <v>0</v>
      </c>
      <c r="IH15" t="s">
        <v>549</v>
      </c>
      <c r="IO15">
        <v>3</v>
      </c>
      <c r="IP15">
        <v>17</v>
      </c>
      <c r="IQ15">
        <v>0</v>
      </c>
      <c r="IR15">
        <v>1</v>
      </c>
      <c r="IV15">
        <v>1301</v>
      </c>
      <c r="IW15">
        <v>416</v>
      </c>
      <c r="JA15">
        <v>1</v>
      </c>
      <c r="JB15">
        <v>0</v>
      </c>
      <c r="JC15">
        <v>2</v>
      </c>
      <c r="JD15">
        <v>1314</v>
      </c>
      <c r="JE15">
        <v>1311</v>
      </c>
      <c r="JF15">
        <v>1317</v>
      </c>
      <c r="JG15">
        <v>1301</v>
      </c>
      <c r="JH15">
        <v>0</v>
      </c>
      <c r="JJ15">
        <v>180</v>
      </c>
      <c r="JK15">
        <v>435</v>
      </c>
      <c r="JN15">
        <v>395</v>
      </c>
      <c r="JO15">
        <v>560</v>
      </c>
      <c r="JP15">
        <v>465</v>
      </c>
      <c r="JQ15">
        <v>0</v>
      </c>
      <c r="JR15">
        <v>370</v>
      </c>
      <c r="JS15">
        <v>165</v>
      </c>
      <c r="JV15">
        <v>8</v>
      </c>
      <c r="JW15" t="s">
        <v>550</v>
      </c>
      <c r="JX15">
        <v>0</v>
      </c>
      <c r="KA15">
        <v>225</v>
      </c>
      <c r="KB15">
        <v>110</v>
      </c>
      <c r="KC15">
        <v>0</v>
      </c>
      <c r="KD15">
        <v>80</v>
      </c>
      <c r="KF15">
        <v>4</v>
      </c>
      <c r="KG15">
        <v>2</v>
      </c>
      <c r="KH15">
        <v>2</v>
      </c>
      <c r="KI15">
        <v>2</v>
      </c>
      <c r="KJ15">
        <v>0</v>
      </c>
      <c r="KK15">
        <v>1.5</v>
      </c>
      <c r="KL15">
        <v>1.5</v>
      </c>
      <c r="KM15">
        <v>0</v>
      </c>
      <c r="KN15">
        <v>0</v>
      </c>
      <c r="KO15">
        <v>0</v>
      </c>
      <c r="KR15">
        <v>30</v>
      </c>
      <c r="KS15">
        <v>60</v>
      </c>
      <c r="KT15">
        <v>0</v>
      </c>
      <c r="LK15">
        <v>480</v>
      </c>
      <c r="PG15">
        <v>1</v>
      </c>
      <c r="PI15" t="s">
        <v>824</v>
      </c>
      <c r="PJ15" t="s">
        <v>826</v>
      </c>
      <c r="PK15" t="s">
        <v>827</v>
      </c>
      <c r="PL15" t="s">
        <v>825</v>
      </c>
      <c r="PP15" t="s">
        <v>828</v>
      </c>
      <c r="PX15">
        <v>56</v>
      </c>
      <c r="PY15">
        <v>56</v>
      </c>
      <c r="PZ15" t="s">
        <v>824</v>
      </c>
      <c r="QA15">
        <v>3</v>
      </c>
      <c r="QB15">
        <v>1301</v>
      </c>
      <c r="QC15">
        <v>69</v>
      </c>
      <c r="QD15">
        <v>69</v>
      </c>
      <c r="QE15" t="s">
        <v>825</v>
      </c>
      <c r="QF15">
        <v>2</v>
      </c>
      <c r="QG15">
        <v>1314</v>
      </c>
      <c r="QH15">
        <v>66</v>
      </c>
      <c r="QI15">
        <v>66</v>
      </c>
      <c r="QL15">
        <v>0</v>
      </c>
      <c r="QM15">
        <v>62</v>
      </c>
      <c r="QN15">
        <v>62</v>
      </c>
      <c r="QO15" t="s">
        <v>826</v>
      </c>
      <c r="QP15">
        <v>1</v>
      </c>
      <c r="QQ15">
        <v>1311</v>
      </c>
      <c r="QR15">
        <v>62</v>
      </c>
      <c r="QS15">
        <v>62</v>
      </c>
      <c r="QT15" t="s">
        <v>827</v>
      </c>
      <c r="QU15">
        <v>1</v>
      </c>
      <c r="QV15">
        <v>1317</v>
      </c>
      <c r="QW15">
        <v>82</v>
      </c>
      <c r="QX15">
        <v>89</v>
      </c>
      <c r="QY15" t="s">
        <v>828</v>
      </c>
      <c r="QZ15">
        <v>2</v>
      </c>
      <c r="RA15">
        <v>66</v>
      </c>
      <c r="RB15">
        <v>66</v>
      </c>
      <c r="RE15">
        <v>0</v>
      </c>
      <c r="RF15">
        <v>1</v>
      </c>
      <c r="RH15">
        <v>1</v>
      </c>
      <c r="RJ15">
        <v>1</v>
      </c>
      <c r="RL15">
        <v>3</v>
      </c>
      <c r="RM15">
        <v>3</v>
      </c>
      <c r="RO15">
        <v>607</v>
      </c>
      <c r="RQ15">
        <v>645</v>
      </c>
      <c r="RR15">
        <v>511</v>
      </c>
      <c r="RT15">
        <v>261</v>
      </c>
      <c r="RU15">
        <v>227</v>
      </c>
      <c r="RV15" t="s">
        <v>831</v>
      </c>
      <c r="RW15" t="s">
        <v>653</v>
      </c>
      <c r="RX15">
        <v>15</v>
      </c>
      <c r="RY15">
        <v>4</v>
      </c>
      <c r="RZ15" t="s">
        <v>653</v>
      </c>
      <c r="SA15">
        <v>15</v>
      </c>
      <c r="SC15" t="s">
        <v>826</v>
      </c>
      <c r="SD15">
        <v>1</v>
      </c>
      <c r="SF15" t="s">
        <v>827</v>
      </c>
      <c r="SG15">
        <v>1</v>
      </c>
      <c r="SH15">
        <v>0.995</v>
      </c>
      <c r="SI15">
        <v>0.995</v>
      </c>
      <c r="SJ15">
        <v>0.995</v>
      </c>
      <c r="SK15">
        <v>15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Z15">
        <v>1</v>
      </c>
      <c r="TB15">
        <v>0</v>
      </c>
      <c r="TC15">
        <v>0</v>
      </c>
      <c r="TD15">
        <v>7.5</v>
      </c>
      <c r="TE15" t="s">
        <v>553</v>
      </c>
      <c r="TF15" t="s">
        <v>655</v>
      </c>
      <c r="TG15" t="s">
        <v>555</v>
      </c>
      <c r="TI15" t="s">
        <v>546</v>
      </c>
      <c r="TJ15" t="s">
        <v>547</v>
      </c>
      <c r="TL15" t="s">
        <v>556</v>
      </c>
      <c r="TM15" t="s">
        <v>513</v>
      </c>
      <c r="TN15">
        <v>0</v>
      </c>
      <c r="TO15" t="s">
        <v>557</v>
      </c>
    </row>
    <row r="16" spans="1:535">
      <c r="A16" t="s">
        <v>832</v>
      </c>
      <c r="B16" t="s">
        <v>629</v>
      </c>
      <c r="C16" t="s">
        <v>509</v>
      </c>
      <c r="D16" t="s">
        <v>833</v>
      </c>
      <c r="G16" t="s">
        <v>604</v>
      </c>
      <c r="H16" t="s">
        <v>605</v>
      </c>
      <c r="I16" t="s">
        <v>628</v>
      </c>
      <c r="J16" t="s">
        <v>606</v>
      </c>
      <c r="L16" t="s">
        <v>512</v>
      </c>
      <c r="M16" t="s">
        <v>711</v>
      </c>
      <c r="N16" t="s">
        <v>513</v>
      </c>
      <c r="O16" t="s">
        <v>607</v>
      </c>
      <c r="Q16" t="s">
        <v>834</v>
      </c>
      <c r="R16" t="s">
        <v>567</v>
      </c>
      <c r="S16" t="s">
        <v>835</v>
      </c>
      <c r="T16" t="s">
        <v>685</v>
      </c>
      <c r="U16" t="s">
        <v>662</v>
      </c>
      <c r="V16" t="s">
        <v>663</v>
      </c>
      <c r="W16" t="s">
        <v>836</v>
      </c>
      <c r="X16" t="s">
        <v>573</v>
      </c>
      <c r="Y16" t="s">
        <v>524</v>
      </c>
      <c r="Z16" t="s">
        <v>837</v>
      </c>
      <c r="AA16" t="s">
        <v>838</v>
      </c>
      <c r="AB16" t="s">
        <v>839</v>
      </c>
      <c r="AC16">
        <v>2</v>
      </c>
      <c r="AD16">
        <v>56</v>
      </c>
      <c r="AE16">
        <v>196</v>
      </c>
      <c r="AF16">
        <v>1.5</v>
      </c>
      <c r="AH16">
        <v>0</v>
      </c>
      <c r="AI16" t="s">
        <v>840</v>
      </c>
      <c r="AJ16">
        <v>207.5</v>
      </c>
      <c r="AK16">
        <v>1</v>
      </c>
      <c r="AL16">
        <v>1.5</v>
      </c>
      <c r="AM16" t="s">
        <v>529</v>
      </c>
      <c r="AO16">
        <v>0</v>
      </c>
      <c r="AR16">
        <v>0</v>
      </c>
      <c r="AS16">
        <v>1.5</v>
      </c>
      <c r="AU16" t="s">
        <v>841</v>
      </c>
      <c r="AW16" t="s">
        <v>841</v>
      </c>
      <c r="AX16">
        <v>1</v>
      </c>
      <c r="AY16">
        <v>290</v>
      </c>
      <c r="AZ16">
        <v>1.5</v>
      </c>
      <c r="BA16" t="s">
        <v>529</v>
      </c>
      <c r="BC16" t="s">
        <v>842</v>
      </c>
      <c r="BD16" t="s">
        <v>842</v>
      </c>
      <c r="BE16">
        <v>1</v>
      </c>
      <c r="BF16">
        <v>242.5</v>
      </c>
      <c r="BG16">
        <v>1.5</v>
      </c>
      <c r="BJ16">
        <v>0</v>
      </c>
      <c r="BN16">
        <v>1.5</v>
      </c>
      <c r="BP16" t="s">
        <v>843</v>
      </c>
      <c r="BQ16">
        <v>82</v>
      </c>
      <c r="BR16">
        <v>2</v>
      </c>
      <c r="BS16" t="s">
        <v>844</v>
      </c>
      <c r="BT16">
        <v>218</v>
      </c>
      <c r="BU16">
        <v>0.5</v>
      </c>
      <c r="BV16" t="s">
        <v>844</v>
      </c>
      <c r="BW16">
        <v>436</v>
      </c>
      <c r="BX16">
        <v>1</v>
      </c>
      <c r="BY16" t="s">
        <v>643</v>
      </c>
      <c r="BZ16">
        <v>290</v>
      </c>
      <c r="CA16">
        <v>490</v>
      </c>
      <c r="CB16" t="s">
        <v>672</v>
      </c>
      <c r="CC16" t="s">
        <v>672</v>
      </c>
      <c r="CD16">
        <v>452</v>
      </c>
      <c r="CE16" t="s">
        <v>673</v>
      </c>
      <c r="CF16">
        <v>15</v>
      </c>
      <c r="CG16" t="s">
        <v>674</v>
      </c>
      <c r="CH16" t="s">
        <v>674</v>
      </c>
      <c r="CI16">
        <v>100</v>
      </c>
      <c r="CJ16">
        <v>1381</v>
      </c>
      <c r="CK16">
        <v>2</v>
      </c>
      <c r="CL16">
        <v>1475</v>
      </c>
      <c r="CM16">
        <v>2</v>
      </c>
      <c r="CN16" t="s">
        <v>675</v>
      </c>
      <c r="CO16" t="s">
        <v>676</v>
      </c>
      <c r="CP16" t="s">
        <v>595</v>
      </c>
      <c r="CQ16" t="s">
        <v>677</v>
      </c>
      <c r="CR16" t="s">
        <v>650</v>
      </c>
      <c r="CS16" t="s">
        <v>542</v>
      </c>
      <c r="CT16">
        <v>415</v>
      </c>
      <c r="CU16">
        <v>5</v>
      </c>
      <c r="CV16">
        <v>1.3</v>
      </c>
      <c r="CW16">
        <v>1394</v>
      </c>
      <c r="CX16">
        <v>889</v>
      </c>
      <c r="DD16">
        <v>0</v>
      </c>
      <c r="DE16" t="s">
        <v>622</v>
      </c>
      <c r="DF16">
        <v>580</v>
      </c>
      <c r="DG16">
        <v>3</v>
      </c>
      <c r="DH16">
        <v>0.88</v>
      </c>
      <c r="DI16">
        <v>1391</v>
      </c>
      <c r="DJ16">
        <v>936</v>
      </c>
      <c r="DK16" t="s">
        <v>622</v>
      </c>
      <c r="DL16">
        <v>485</v>
      </c>
      <c r="DM16">
        <v>3</v>
      </c>
      <c r="DN16">
        <v>0.88</v>
      </c>
      <c r="DO16">
        <v>1396</v>
      </c>
      <c r="DP16">
        <v>850</v>
      </c>
      <c r="DW16" t="s">
        <v>544</v>
      </c>
      <c r="DX16">
        <v>7.5</v>
      </c>
      <c r="EA16">
        <v>1464.3</v>
      </c>
      <c r="EB16">
        <v>276</v>
      </c>
      <c r="EC16" t="s">
        <v>545</v>
      </c>
      <c r="ED16">
        <v>40</v>
      </c>
      <c r="EE16">
        <v>3</v>
      </c>
      <c r="EG16">
        <v>1505</v>
      </c>
      <c r="EH16">
        <v>289</v>
      </c>
      <c r="EJ16">
        <v>0</v>
      </c>
      <c r="EK16">
        <v>1</v>
      </c>
      <c r="EN16">
        <v>0</v>
      </c>
      <c r="EP16" t="s">
        <v>546</v>
      </c>
      <c r="EQ16">
        <v>95</v>
      </c>
      <c r="ER16">
        <v>3</v>
      </c>
      <c r="ES16">
        <v>5.5</v>
      </c>
      <c r="ET16">
        <v>1378</v>
      </c>
      <c r="EU16">
        <v>429</v>
      </c>
      <c r="EV16">
        <v>591</v>
      </c>
      <c r="EW16" t="s">
        <v>547</v>
      </c>
      <c r="EX16">
        <v>70</v>
      </c>
      <c r="EY16">
        <v>2</v>
      </c>
      <c r="EZ16">
        <v>4.5</v>
      </c>
      <c r="FA16">
        <v>1378</v>
      </c>
      <c r="FB16">
        <v>236.3</v>
      </c>
      <c r="FC16">
        <v>326</v>
      </c>
      <c r="FE16">
        <v>0</v>
      </c>
      <c r="FF16">
        <v>2</v>
      </c>
      <c r="FI16">
        <v>0</v>
      </c>
      <c r="FK16" t="s">
        <v>548</v>
      </c>
      <c r="FL16">
        <v>0.4</v>
      </c>
      <c r="FM16">
        <v>115</v>
      </c>
      <c r="FN16">
        <v>140</v>
      </c>
      <c r="GR16" t="s">
        <v>548</v>
      </c>
      <c r="GS16">
        <v>0.4</v>
      </c>
      <c r="GT16">
        <v>30</v>
      </c>
      <c r="GU16">
        <v>400</v>
      </c>
      <c r="GV16">
        <v>40</v>
      </c>
      <c r="GW16">
        <v>240</v>
      </c>
      <c r="GY16" t="s">
        <v>651</v>
      </c>
      <c r="GZ16">
        <v>1.6</v>
      </c>
      <c r="HA16">
        <v>20</v>
      </c>
      <c r="HB16">
        <v>181</v>
      </c>
      <c r="HC16">
        <v>0.1</v>
      </c>
      <c r="HD16">
        <v>3</v>
      </c>
      <c r="HE16">
        <v>3</v>
      </c>
      <c r="HF16">
        <v>3</v>
      </c>
      <c r="HG16">
        <v>3</v>
      </c>
      <c r="HH16">
        <v>3</v>
      </c>
      <c r="HI16">
        <v>150</v>
      </c>
      <c r="HJ16">
        <v>3</v>
      </c>
      <c r="HK16">
        <v>55</v>
      </c>
      <c r="HL16">
        <v>2</v>
      </c>
      <c r="HM16">
        <v>0</v>
      </c>
      <c r="HN16">
        <v>2</v>
      </c>
      <c r="HO16">
        <v>80</v>
      </c>
      <c r="HP16">
        <v>3</v>
      </c>
      <c r="HQ16">
        <v>0</v>
      </c>
      <c r="HR16">
        <v>2</v>
      </c>
      <c r="HS16">
        <v>5639</v>
      </c>
      <c r="HT16">
        <v>170</v>
      </c>
      <c r="HU16">
        <v>180</v>
      </c>
      <c r="HW16">
        <v>0</v>
      </c>
      <c r="HX16">
        <v>455</v>
      </c>
      <c r="HY16">
        <v>0.18</v>
      </c>
      <c r="IA16">
        <v>0.15</v>
      </c>
      <c r="IB16">
        <v>0</v>
      </c>
      <c r="IC16">
        <v>180</v>
      </c>
      <c r="ID16">
        <v>110</v>
      </c>
      <c r="IE16">
        <v>225</v>
      </c>
      <c r="IF16">
        <v>0</v>
      </c>
      <c r="IH16" t="s">
        <v>549</v>
      </c>
      <c r="IO16">
        <v>3</v>
      </c>
      <c r="IP16">
        <v>18</v>
      </c>
      <c r="IQ16">
        <v>1</v>
      </c>
      <c r="IR16">
        <v>1</v>
      </c>
      <c r="IV16">
        <v>1381</v>
      </c>
      <c r="IW16">
        <v>436</v>
      </c>
      <c r="JA16">
        <v>1</v>
      </c>
      <c r="JB16">
        <v>0</v>
      </c>
      <c r="JC16">
        <v>2</v>
      </c>
      <c r="JD16">
        <v>1394</v>
      </c>
      <c r="JE16">
        <v>1391</v>
      </c>
      <c r="JF16">
        <v>1396</v>
      </c>
      <c r="JG16">
        <v>1378</v>
      </c>
      <c r="JH16">
        <v>0</v>
      </c>
      <c r="JJ16">
        <v>180</v>
      </c>
      <c r="JK16">
        <v>455</v>
      </c>
      <c r="JN16">
        <v>415</v>
      </c>
      <c r="JO16">
        <v>580</v>
      </c>
      <c r="JP16">
        <v>485</v>
      </c>
      <c r="JQ16">
        <v>0</v>
      </c>
      <c r="JR16">
        <v>392</v>
      </c>
      <c r="JS16">
        <v>150</v>
      </c>
      <c r="JV16">
        <v>8</v>
      </c>
      <c r="JW16" t="s">
        <v>550</v>
      </c>
      <c r="JX16">
        <v>0</v>
      </c>
      <c r="KA16">
        <v>225</v>
      </c>
      <c r="KB16">
        <v>110</v>
      </c>
      <c r="KC16">
        <v>0</v>
      </c>
      <c r="KD16">
        <v>80</v>
      </c>
      <c r="KF16">
        <v>4</v>
      </c>
      <c r="KG16">
        <v>2</v>
      </c>
      <c r="KH16">
        <v>2</v>
      </c>
      <c r="KI16">
        <v>2</v>
      </c>
      <c r="KJ16">
        <v>0</v>
      </c>
      <c r="KK16">
        <v>1.5</v>
      </c>
      <c r="KL16">
        <v>1.5</v>
      </c>
      <c r="KM16">
        <v>0</v>
      </c>
      <c r="KN16">
        <v>0</v>
      </c>
      <c r="KO16">
        <v>0</v>
      </c>
      <c r="KR16">
        <v>30</v>
      </c>
      <c r="KS16">
        <v>60</v>
      </c>
      <c r="KT16">
        <v>0</v>
      </c>
      <c r="LK16">
        <v>480</v>
      </c>
      <c r="PG16">
        <v>1</v>
      </c>
      <c r="PI16" t="s">
        <v>839</v>
      </c>
      <c r="PJ16" t="s">
        <v>841</v>
      </c>
      <c r="PK16" t="s">
        <v>842</v>
      </c>
      <c r="PL16" t="s">
        <v>840</v>
      </c>
      <c r="PP16" t="s">
        <v>843</v>
      </c>
      <c r="PX16">
        <v>56</v>
      </c>
      <c r="PY16">
        <v>56</v>
      </c>
      <c r="PZ16" t="s">
        <v>839</v>
      </c>
      <c r="QA16">
        <v>1</v>
      </c>
      <c r="QB16">
        <v>1378</v>
      </c>
      <c r="QC16">
        <v>69</v>
      </c>
      <c r="QD16">
        <v>69</v>
      </c>
      <c r="QE16" t="s">
        <v>840</v>
      </c>
      <c r="QF16">
        <v>2</v>
      </c>
      <c r="QG16">
        <v>1394</v>
      </c>
      <c r="QH16">
        <v>66</v>
      </c>
      <c r="QI16">
        <v>66</v>
      </c>
      <c r="QL16">
        <v>0</v>
      </c>
      <c r="QM16">
        <v>62</v>
      </c>
      <c r="QN16">
        <v>62</v>
      </c>
      <c r="QO16" t="s">
        <v>841</v>
      </c>
      <c r="QP16">
        <v>1</v>
      </c>
      <c r="QQ16">
        <v>1391</v>
      </c>
      <c r="QR16">
        <v>63</v>
      </c>
      <c r="QS16">
        <v>63</v>
      </c>
      <c r="QT16" t="s">
        <v>842</v>
      </c>
      <c r="QU16">
        <v>1</v>
      </c>
      <c r="QV16">
        <v>1396</v>
      </c>
      <c r="QW16">
        <v>82</v>
      </c>
      <c r="QX16">
        <v>82</v>
      </c>
      <c r="QY16" t="s">
        <v>843</v>
      </c>
      <c r="QZ16">
        <v>1</v>
      </c>
      <c r="RA16">
        <v>66</v>
      </c>
      <c r="RB16">
        <v>66</v>
      </c>
      <c r="RE16">
        <v>0</v>
      </c>
      <c r="RF16">
        <v>1</v>
      </c>
      <c r="RI16">
        <v>1</v>
      </c>
      <c r="RJ16">
        <v>1</v>
      </c>
      <c r="RL16">
        <v>3</v>
      </c>
      <c r="RM16">
        <v>3</v>
      </c>
      <c r="RO16">
        <v>638</v>
      </c>
      <c r="RQ16">
        <v>673</v>
      </c>
      <c r="RR16">
        <v>609</v>
      </c>
      <c r="RT16">
        <v>276</v>
      </c>
      <c r="RU16">
        <v>289</v>
      </c>
      <c r="RV16" t="s">
        <v>845</v>
      </c>
      <c r="RW16" t="s">
        <v>679</v>
      </c>
      <c r="RX16">
        <v>15</v>
      </c>
      <c r="RY16">
        <v>4</v>
      </c>
      <c r="RZ16" t="s">
        <v>679</v>
      </c>
      <c r="SA16">
        <v>15</v>
      </c>
      <c r="SC16" t="s">
        <v>841</v>
      </c>
      <c r="SD16">
        <v>1</v>
      </c>
      <c r="SE16" t="s">
        <v>846</v>
      </c>
      <c r="SF16" t="s">
        <v>846</v>
      </c>
      <c r="SG16">
        <v>1</v>
      </c>
      <c r="SH16">
        <v>0.995</v>
      </c>
      <c r="SI16">
        <v>0.995</v>
      </c>
      <c r="SJ16">
        <v>0.995</v>
      </c>
      <c r="SK16">
        <v>15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Z16">
        <v>1</v>
      </c>
      <c r="TB16">
        <v>0</v>
      </c>
      <c r="TC16">
        <v>0</v>
      </c>
      <c r="TD16">
        <v>7.5</v>
      </c>
      <c r="TE16" t="s">
        <v>553</v>
      </c>
      <c r="TF16" t="s">
        <v>655</v>
      </c>
      <c r="TG16" t="s">
        <v>555</v>
      </c>
      <c r="TI16" t="s">
        <v>546</v>
      </c>
      <c r="TJ16" t="s">
        <v>547</v>
      </c>
      <c r="TL16" t="s">
        <v>556</v>
      </c>
      <c r="TM16" t="s">
        <v>513</v>
      </c>
      <c r="TN16">
        <v>0</v>
      </c>
      <c r="TO16" t="s">
        <v>557</v>
      </c>
    </row>
    <row r="17" spans="1:535">
      <c r="A17" t="s">
        <v>847</v>
      </c>
      <c r="B17" t="s">
        <v>559</v>
      </c>
      <c r="C17" t="s">
        <v>509</v>
      </c>
      <c r="D17" t="s">
        <v>772</v>
      </c>
      <c r="G17" t="s">
        <v>627</v>
      </c>
      <c r="H17" t="s">
        <v>604</v>
      </c>
      <c r="I17" t="s">
        <v>628</v>
      </c>
      <c r="J17" t="s">
        <v>606</v>
      </c>
      <c r="L17" t="s">
        <v>512</v>
      </c>
      <c r="M17" t="s">
        <v>564</v>
      </c>
      <c r="N17" t="s">
        <v>513</v>
      </c>
      <c r="O17" t="s">
        <v>607</v>
      </c>
      <c r="Q17" t="s">
        <v>848</v>
      </c>
      <c r="R17" t="s">
        <v>567</v>
      </c>
      <c r="S17" t="s">
        <v>849</v>
      </c>
      <c r="T17" t="s">
        <v>743</v>
      </c>
      <c r="U17" t="s">
        <v>686</v>
      </c>
      <c r="V17" t="s">
        <v>687</v>
      </c>
      <c r="W17" t="s">
        <v>850</v>
      </c>
      <c r="X17" t="s">
        <v>573</v>
      </c>
      <c r="Y17" t="s">
        <v>524</v>
      </c>
      <c r="Z17" t="s">
        <v>851</v>
      </c>
      <c r="AA17" t="s">
        <v>852</v>
      </c>
      <c r="AB17" t="s">
        <v>853</v>
      </c>
      <c r="AC17">
        <v>2</v>
      </c>
      <c r="AD17">
        <v>56</v>
      </c>
      <c r="AE17">
        <v>185</v>
      </c>
      <c r="AF17">
        <v>1.5</v>
      </c>
      <c r="AH17">
        <v>0</v>
      </c>
      <c r="AI17" t="s">
        <v>854</v>
      </c>
      <c r="AJ17">
        <v>167.5</v>
      </c>
      <c r="AK17">
        <v>1</v>
      </c>
      <c r="AL17">
        <v>1.5</v>
      </c>
      <c r="AM17" t="s">
        <v>579</v>
      </c>
      <c r="AN17" t="s">
        <v>855</v>
      </c>
      <c r="AO17">
        <v>2</v>
      </c>
      <c r="AP17" t="s">
        <v>581</v>
      </c>
      <c r="AQ17" t="s">
        <v>582</v>
      </c>
      <c r="AR17">
        <v>205</v>
      </c>
      <c r="AS17">
        <v>1.5</v>
      </c>
      <c r="AT17" t="s">
        <v>583</v>
      </c>
      <c r="AV17" t="s">
        <v>856</v>
      </c>
      <c r="AW17" t="s">
        <v>856</v>
      </c>
      <c r="AX17">
        <v>1</v>
      </c>
      <c r="AY17">
        <v>242.5</v>
      </c>
      <c r="AZ17">
        <v>1.5</v>
      </c>
      <c r="BA17" t="s">
        <v>579</v>
      </c>
      <c r="BG17">
        <v>1.5</v>
      </c>
      <c r="BJ17">
        <v>0</v>
      </c>
      <c r="BN17">
        <v>1.5</v>
      </c>
      <c r="BP17" t="s">
        <v>857</v>
      </c>
      <c r="BQ17">
        <v>88</v>
      </c>
      <c r="BR17">
        <v>2</v>
      </c>
      <c r="BS17" t="s">
        <v>858</v>
      </c>
      <c r="BT17">
        <v>185</v>
      </c>
      <c r="BU17">
        <v>0.5</v>
      </c>
      <c r="BV17" t="s">
        <v>858</v>
      </c>
      <c r="BW17">
        <v>370</v>
      </c>
      <c r="BX17">
        <v>1</v>
      </c>
      <c r="BY17" t="s">
        <v>698</v>
      </c>
      <c r="BZ17">
        <v>300</v>
      </c>
      <c r="CA17">
        <v>440</v>
      </c>
      <c r="CB17" t="s">
        <v>699</v>
      </c>
      <c r="CC17" t="s">
        <v>699</v>
      </c>
      <c r="CD17">
        <v>392</v>
      </c>
      <c r="CE17" t="s">
        <v>700</v>
      </c>
      <c r="CF17">
        <v>15</v>
      </c>
      <c r="CG17" t="s">
        <v>859</v>
      </c>
      <c r="CH17" t="s">
        <v>859</v>
      </c>
      <c r="CI17">
        <v>70</v>
      </c>
      <c r="CJ17">
        <v>1458</v>
      </c>
      <c r="CK17">
        <v>2</v>
      </c>
      <c r="CL17">
        <v>1552</v>
      </c>
      <c r="CM17">
        <v>2</v>
      </c>
      <c r="CN17" t="s">
        <v>702</v>
      </c>
      <c r="CO17" t="s">
        <v>676</v>
      </c>
      <c r="CP17" t="s">
        <v>703</v>
      </c>
      <c r="CQ17" t="s">
        <v>860</v>
      </c>
      <c r="CR17" t="s">
        <v>650</v>
      </c>
      <c r="CS17" t="s">
        <v>542</v>
      </c>
      <c r="CT17">
        <v>335</v>
      </c>
      <c r="CU17">
        <v>5</v>
      </c>
      <c r="CV17">
        <v>1.3</v>
      </c>
      <c r="CW17">
        <v>1475</v>
      </c>
      <c r="CX17">
        <v>760</v>
      </c>
      <c r="CY17" t="s">
        <v>597</v>
      </c>
      <c r="CZ17">
        <v>50</v>
      </c>
      <c r="DA17">
        <v>3</v>
      </c>
      <c r="DB17">
        <v>1.28</v>
      </c>
      <c r="DC17">
        <v>1475</v>
      </c>
      <c r="DD17">
        <v>105</v>
      </c>
      <c r="DE17" t="s">
        <v>543</v>
      </c>
      <c r="DF17">
        <v>485</v>
      </c>
      <c r="DG17">
        <v>3</v>
      </c>
      <c r="DH17">
        <v>1.18</v>
      </c>
      <c r="DI17">
        <v>1469</v>
      </c>
      <c r="DJ17">
        <v>1255</v>
      </c>
      <c r="DW17" t="s">
        <v>544</v>
      </c>
      <c r="DX17">
        <v>7.5</v>
      </c>
      <c r="EA17">
        <v>1540.9</v>
      </c>
      <c r="EB17">
        <v>290</v>
      </c>
      <c r="EC17" t="s">
        <v>545</v>
      </c>
      <c r="ED17">
        <v>30</v>
      </c>
      <c r="EE17">
        <v>3</v>
      </c>
      <c r="EG17">
        <v>1582</v>
      </c>
      <c r="EH17">
        <v>185</v>
      </c>
      <c r="EJ17">
        <v>0</v>
      </c>
      <c r="EK17">
        <v>1</v>
      </c>
      <c r="EN17">
        <v>0</v>
      </c>
      <c r="EP17" t="s">
        <v>546</v>
      </c>
      <c r="EQ17">
        <v>60</v>
      </c>
      <c r="ER17">
        <v>3</v>
      </c>
      <c r="ES17">
        <v>6</v>
      </c>
      <c r="ET17">
        <v>1457</v>
      </c>
      <c r="EU17">
        <v>279.9</v>
      </c>
      <c r="EV17">
        <v>408</v>
      </c>
      <c r="EW17" t="s">
        <v>547</v>
      </c>
      <c r="EX17">
        <v>45</v>
      </c>
      <c r="EY17">
        <v>2</v>
      </c>
      <c r="EZ17">
        <v>4.5</v>
      </c>
      <c r="FA17">
        <v>1457</v>
      </c>
      <c r="FB17">
        <v>151.6</v>
      </c>
      <c r="FC17">
        <v>221</v>
      </c>
      <c r="FE17">
        <v>0</v>
      </c>
      <c r="FF17">
        <v>2</v>
      </c>
      <c r="FI17">
        <v>0</v>
      </c>
      <c r="FK17" t="s">
        <v>548</v>
      </c>
      <c r="FL17">
        <v>0.4</v>
      </c>
      <c r="FM17">
        <v>55</v>
      </c>
      <c r="FN17">
        <v>290</v>
      </c>
      <c r="FO17">
        <v>50</v>
      </c>
      <c r="FP17">
        <v>140</v>
      </c>
      <c r="FR17" t="s">
        <v>548</v>
      </c>
      <c r="FS17">
        <v>0.4</v>
      </c>
      <c r="FT17">
        <v>70</v>
      </c>
      <c r="FU17">
        <v>160</v>
      </c>
      <c r="FY17" t="s">
        <v>651</v>
      </c>
      <c r="FZ17">
        <v>1</v>
      </c>
      <c r="GA17">
        <v>20</v>
      </c>
      <c r="GB17">
        <v>176</v>
      </c>
      <c r="GG17" t="s">
        <v>651</v>
      </c>
      <c r="GH17">
        <v>1</v>
      </c>
      <c r="GI17">
        <v>20</v>
      </c>
      <c r="GJ17">
        <v>176</v>
      </c>
      <c r="HC17">
        <v>0.1</v>
      </c>
      <c r="HD17">
        <v>3</v>
      </c>
      <c r="HE17">
        <v>3</v>
      </c>
      <c r="HF17">
        <v>3</v>
      </c>
      <c r="HG17">
        <v>3</v>
      </c>
      <c r="HH17">
        <v>3</v>
      </c>
      <c r="HI17">
        <v>90</v>
      </c>
      <c r="HJ17">
        <v>3</v>
      </c>
      <c r="HK17">
        <v>30</v>
      </c>
      <c r="HL17">
        <v>2</v>
      </c>
      <c r="HM17">
        <v>0</v>
      </c>
      <c r="HN17">
        <v>2</v>
      </c>
      <c r="HO17">
        <v>45</v>
      </c>
      <c r="HP17">
        <v>3</v>
      </c>
      <c r="HQ17">
        <v>0</v>
      </c>
      <c r="HR17">
        <v>2</v>
      </c>
      <c r="HS17">
        <v>4433</v>
      </c>
      <c r="HT17">
        <v>130</v>
      </c>
      <c r="HU17">
        <v>180</v>
      </c>
      <c r="HW17">
        <v>0</v>
      </c>
      <c r="HX17">
        <v>380</v>
      </c>
      <c r="HY17">
        <v>0.18</v>
      </c>
      <c r="IA17">
        <v>0.15</v>
      </c>
      <c r="IB17">
        <v>0</v>
      </c>
      <c r="IC17">
        <v>180</v>
      </c>
      <c r="ID17">
        <v>110</v>
      </c>
      <c r="IE17">
        <v>0</v>
      </c>
      <c r="IF17">
        <v>0</v>
      </c>
      <c r="IH17" t="s">
        <v>549</v>
      </c>
      <c r="IO17">
        <v>1</v>
      </c>
      <c r="IP17">
        <v>19</v>
      </c>
      <c r="IQ17">
        <v>0</v>
      </c>
      <c r="IR17">
        <v>0</v>
      </c>
      <c r="IV17">
        <v>1458</v>
      </c>
      <c r="IW17">
        <v>370</v>
      </c>
      <c r="JA17">
        <v>1</v>
      </c>
      <c r="JB17">
        <v>0</v>
      </c>
      <c r="JC17">
        <v>2</v>
      </c>
      <c r="JD17">
        <v>1475</v>
      </c>
      <c r="JE17">
        <v>1469</v>
      </c>
      <c r="JF17">
        <v>0</v>
      </c>
      <c r="JG17">
        <v>1457</v>
      </c>
      <c r="JH17">
        <v>0</v>
      </c>
      <c r="JJ17">
        <v>180</v>
      </c>
      <c r="JK17">
        <v>380</v>
      </c>
      <c r="JN17">
        <v>335</v>
      </c>
      <c r="JO17">
        <v>485</v>
      </c>
      <c r="JP17">
        <v>0</v>
      </c>
      <c r="JQ17">
        <v>0</v>
      </c>
      <c r="JR17">
        <v>370</v>
      </c>
      <c r="JS17">
        <v>90</v>
      </c>
      <c r="JV17">
        <v>8</v>
      </c>
      <c r="JW17" t="s">
        <v>550</v>
      </c>
      <c r="JX17">
        <v>410</v>
      </c>
      <c r="KA17">
        <v>0</v>
      </c>
      <c r="KB17">
        <v>110</v>
      </c>
      <c r="KC17">
        <v>0</v>
      </c>
      <c r="KD17">
        <v>80</v>
      </c>
      <c r="KF17">
        <v>4</v>
      </c>
      <c r="KG17">
        <v>4</v>
      </c>
      <c r="KH17">
        <v>2</v>
      </c>
      <c r="KI17">
        <v>2</v>
      </c>
      <c r="KJ17">
        <v>0</v>
      </c>
      <c r="KK17">
        <v>1.5</v>
      </c>
      <c r="KL17">
        <v>1.5</v>
      </c>
      <c r="KM17">
        <v>0</v>
      </c>
      <c r="KN17">
        <v>0</v>
      </c>
      <c r="KO17">
        <v>0</v>
      </c>
      <c r="KR17">
        <v>30</v>
      </c>
      <c r="KS17">
        <v>60</v>
      </c>
      <c r="KT17">
        <v>0</v>
      </c>
      <c r="LK17">
        <v>480</v>
      </c>
      <c r="PG17">
        <v>1</v>
      </c>
      <c r="PI17" t="s">
        <v>853</v>
      </c>
      <c r="PJ17" t="s">
        <v>856</v>
      </c>
      <c r="PL17" t="s">
        <v>854</v>
      </c>
      <c r="PP17" t="s">
        <v>857</v>
      </c>
      <c r="PS17" t="s">
        <v>855</v>
      </c>
      <c r="PX17">
        <v>56</v>
      </c>
      <c r="PY17">
        <v>56</v>
      </c>
      <c r="PZ17" t="s">
        <v>853</v>
      </c>
      <c r="QA17">
        <v>2</v>
      </c>
      <c r="QB17">
        <v>1457</v>
      </c>
      <c r="QC17">
        <v>69</v>
      </c>
      <c r="QD17">
        <v>69</v>
      </c>
      <c r="QE17" t="s">
        <v>854</v>
      </c>
      <c r="QF17">
        <v>2</v>
      </c>
      <c r="QG17">
        <v>1475</v>
      </c>
      <c r="QH17">
        <v>66</v>
      </c>
      <c r="QI17">
        <v>66</v>
      </c>
      <c r="QJ17" t="s">
        <v>855</v>
      </c>
      <c r="QK17">
        <v>1</v>
      </c>
      <c r="QL17">
        <v>1475</v>
      </c>
      <c r="QM17">
        <v>63</v>
      </c>
      <c r="QN17">
        <v>63</v>
      </c>
      <c r="QO17" t="s">
        <v>856</v>
      </c>
      <c r="QP17">
        <v>1</v>
      </c>
      <c r="QQ17">
        <v>1469</v>
      </c>
      <c r="QW17">
        <v>82</v>
      </c>
      <c r="QX17">
        <v>88</v>
      </c>
      <c r="QY17" t="s">
        <v>857</v>
      </c>
      <c r="QZ17">
        <v>1</v>
      </c>
      <c r="RA17">
        <v>66</v>
      </c>
      <c r="RB17">
        <v>66</v>
      </c>
      <c r="RE17">
        <v>0</v>
      </c>
      <c r="RG17">
        <v>1</v>
      </c>
      <c r="RJ17">
        <v>1</v>
      </c>
      <c r="RK17">
        <v>2</v>
      </c>
      <c r="RL17">
        <v>1</v>
      </c>
      <c r="RO17">
        <v>515</v>
      </c>
      <c r="RP17">
        <v>142</v>
      </c>
      <c r="RQ17">
        <v>854</v>
      </c>
      <c r="RT17">
        <v>290</v>
      </c>
      <c r="RU17">
        <v>185</v>
      </c>
      <c r="RV17" t="s">
        <v>861</v>
      </c>
      <c r="RW17" t="s">
        <v>707</v>
      </c>
      <c r="RX17">
        <v>15</v>
      </c>
      <c r="RY17">
        <v>4</v>
      </c>
      <c r="RZ17" t="s">
        <v>707</v>
      </c>
      <c r="SA17">
        <v>15</v>
      </c>
      <c r="SB17" t="s">
        <v>862</v>
      </c>
      <c r="SC17" t="s">
        <v>862</v>
      </c>
      <c r="SD17">
        <v>1</v>
      </c>
      <c r="SH17">
        <v>0.995</v>
      </c>
      <c r="SI17">
        <v>0.995</v>
      </c>
      <c r="SJ17">
        <v>0.995</v>
      </c>
      <c r="SK17">
        <v>15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1</v>
      </c>
      <c r="TB17">
        <v>0</v>
      </c>
      <c r="TC17">
        <v>0</v>
      </c>
      <c r="TD17">
        <v>7.5</v>
      </c>
      <c r="TE17" t="s">
        <v>553</v>
      </c>
      <c r="TF17" t="s">
        <v>655</v>
      </c>
      <c r="TG17" t="s">
        <v>555</v>
      </c>
      <c r="TI17" t="s">
        <v>546</v>
      </c>
      <c r="TJ17" t="s">
        <v>547</v>
      </c>
      <c r="TL17" t="s">
        <v>556</v>
      </c>
      <c r="TM17" t="s">
        <v>513</v>
      </c>
      <c r="TN17">
        <v>0</v>
      </c>
      <c r="TO17" t="s">
        <v>557</v>
      </c>
    </row>
    <row r="18" spans="1:535">
      <c r="A18" t="s">
        <v>863</v>
      </c>
      <c r="B18" t="s">
        <v>657</v>
      </c>
      <c r="C18" t="s">
        <v>509</v>
      </c>
      <c r="D18" t="s">
        <v>864</v>
      </c>
      <c r="G18" t="s">
        <v>604</v>
      </c>
      <c r="H18" t="s">
        <v>605</v>
      </c>
      <c r="I18" t="s">
        <v>628</v>
      </c>
      <c r="J18" t="s">
        <v>606</v>
      </c>
      <c r="L18" t="s">
        <v>512</v>
      </c>
      <c r="M18" t="s">
        <v>559</v>
      </c>
      <c r="N18" t="s">
        <v>513</v>
      </c>
      <c r="O18" t="s">
        <v>565</v>
      </c>
      <c r="Q18" t="s">
        <v>865</v>
      </c>
      <c r="R18" t="s">
        <v>567</v>
      </c>
      <c r="S18" t="s">
        <v>866</v>
      </c>
      <c r="T18" t="s">
        <v>867</v>
      </c>
      <c r="U18" t="s">
        <v>570</v>
      </c>
      <c r="V18" t="s">
        <v>571</v>
      </c>
      <c r="W18" t="s">
        <v>688</v>
      </c>
      <c r="X18" t="s">
        <v>573</v>
      </c>
      <c r="Y18" t="s">
        <v>524</v>
      </c>
      <c r="Z18" t="s">
        <v>868</v>
      </c>
      <c r="AA18" t="s">
        <v>869</v>
      </c>
      <c r="AB18" t="s">
        <v>870</v>
      </c>
      <c r="AC18">
        <v>2</v>
      </c>
      <c r="AD18">
        <v>56</v>
      </c>
      <c r="AE18">
        <v>207</v>
      </c>
      <c r="AF18">
        <v>1.5</v>
      </c>
      <c r="AH18">
        <v>0</v>
      </c>
      <c r="AI18" t="s">
        <v>871</v>
      </c>
      <c r="AJ18">
        <v>192.5</v>
      </c>
      <c r="AK18">
        <v>1</v>
      </c>
      <c r="AL18">
        <v>1.5</v>
      </c>
      <c r="AM18" t="s">
        <v>579</v>
      </c>
      <c r="AN18" t="s">
        <v>693</v>
      </c>
      <c r="AO18">
        <v>2</v>
      </c>
      <c r="AP18" t="s">
        <v>581</v>
      </c>
      <c r="AQ18" t="s">
        <v>582</v>
      </c>
      <c r="AR18">
        <v>231</v>
      </c>
      <c r="AS18">
        <v>1.5</v>
      </c>
      <c r="AT18" t="s">
        <v>583</v>
      </c>
      <c r="AU18" t="s">
        <v>872</v>
      </c>
      <c r="AW18" t="s">
        <v>872</v>
      </c>
      <c r="AX18">
        <v>1</v>
      </c>
      <c r="AY18">
        <v>277.5</v>
      </c>
      <c r="AZ18">
        <v>1.5</v>
      </c>
      <c r="BA18" t="s">
        <v>579</v>
      </c>
      <c r="BB18" t="s">
        <v>873</v>
      </c>
      <c r="BD18" t="s">
        <v>873</v>
      </c>
      <c r="BE18">
        <v>1</v>
      </c>
      <c r="BF18">
        <v>235</v>
      </c>
      <c r="BG18">
        <v>1.5</v>
      </c>
      <c r="BJ18">
        <v>0</v>
      </c>
      <c r="BN18">
        <v>1.5</v>
      </c>
      <c r="BP18" t="s">
        <v>874</v>
      </c>
      <c r="BQ18" t="s">
        <v>587</v>
      </c>
      <c r="BR18">
        <v>2</v>
      </c>
      <c r="BS18" t="s">
        <v>875</v>
      </c>
      <c r="BT18">
        <v>209</v>
      </c>
      <c r="BU18">
        <v>0.5</v>
      </c>
      <c r="BV18" t="s">
        <v>875</v>
      </c>
      <c r="BW18">
        <v>418</v>
      </c>
      <c r="BX18">
        <v>1</v>
      </c>
      <c r="BY18" t="s">
        <v>589</v>
      </c>
      <c r="BZ18">
        <v>300</v>
      </c>
      <c r="CA18">
        <v>480</v>
      </c>
      <c r="CB18" t="s">
        <v>590</v>
      </c>
      <c r="CC18" t="s">
        <v>590</v>
      </c>
      <c r="CD18">
        <v>430</v>
      </c>
      <c r="CE18" t="s">
        <v>591</v>
      </c>
      <c r="CF18">
        <v>15</v>
      </c>
      <c r="CG18" t="s">
        <v>724</v>
      </c>
      <c r="CH18" t="s">
        <v>724</v>
      </c>
      <c r="CI18">
        <v>90</v>
      </c>
      <c r="CJ18">
        <v>1538</v>
      </c>
      <c r="CK18">
        <v>2</v>
      </c>
      <c r="CL18">
        <v>1632</v>
      </c>
      <c r="CM18">
        <v>2</v>
      </c>
      <c r="CN18" t="s">
        <v>593</v>
      </c>
      <c r="CO18" t="s">
        <v>594</v>
      </c>
      <c r="CP18" t="s">
        <v>595</v>
      </c>
      <c r="CQ18" t="s">
        <v>596</v>
      </c>
      <c r="CR18" t="s">
        <v>541</v>
      </c>
      <c r="CS18" t="s">
        <v>542</v>
      </c>
      <c r="CT18">
        <v>385</v>
      </c>
      <c r="CU18">
        <v>5</v>
      </c>
      <c r="CV18">
        <v>1.3</v>
      </c>
      <c r="CW18">
        <v>1555</v>
      </c>
      <c r="CX18">
        <v>921</v>
      </c>
      <c r="CY18" t="s">
        <v>705</v>
      </c>
      <c r="CZ18">
        <v>50</v>
      </c>
      <c r="DA18">
        <v>3</v>
      </c>
      <c r="DB18">
        <v>1</v>
      </c>
      <c r="DC18">
        <v>1555</v>
      </c>
      <c r="DD18">
        <v>82</v>
      </c>
      <c r="DE18" t="s">
        <v>622</v>
      </c>
      <c r="DF18">
        <v>555</v>
      </c>
      <c r="DG18">
        <v>3</v>
      </c>
      <c r="DH18">
        <v>0.88</v>
      </c>
      <c r="DI18">
        <v>1547</v>
      </c>
      <c r="DJ18">
        <v>996</v>
      </c>
      <c r="DK18" t="s">
        <v>622</v>
      </c>
      <c r="DL18">
        <v>470</v>
      </c>
      <c r="DM18">
        <v>3</v>
      </c>
      <c r="DN18">
        <v>0.88</v>
      </c>
      <c r="DO18">
        <v>1553</v>
      </c>
      <c r="DP18">
        <v>904</v>
      </c>
      <c r="DW18" t="s">
        <v>544</v>
      </c>
      <c r="DX18">
        <v>7.5</v>
      </c>
      <c r="EA18">
        <v>1625.4</v>
      </c>
      <c r="EB18">
        <v>383</v>
      </c>
      <c r="EC18" t="s">
        <v>545</v>
      </c>
      <c r="ED18">
        <v>35</v>
      </c>
      <c r="EE18">
        <v>3</v>
      </c>
      <c r="EG18">
        <v>1676</v>
      </c>
      <c r="EH18">
        <v>233</v>
      </c>
      <c r="EJ18">
        <v>0</v>
      </c>
      <c r="EK18">
        <v>1</v>
      </c>
      <c r="EN18">
        <v>0</v>
      </c>
      <c r="EP18" t="s">
        <v>546</v>
      </c>
      <c r="EQ18">
        <v>90</v>
      </c>
      <c r="ER18">
        <v>3</v>
      </c>
      <c r="ES18">
        <v>5</v>
      </c>
      <c r="ET18">
        <v>1531</v>
      </c>
      <c r="EU18">
        <v>367.3</v>
      </c>
      <c r="EV18">
        <v>562</v>
      </c>
      <c r="EW18" t="s">
        <v>547</v>
      </c>
      <c r="EX18">
        <v>45</v>
      </c>
      <c r="EY18">
        <v>2</v>
      </c>
      <c r="EZ18">
        <v>4.5</v>
      </c>
      <c r="FA18">
        <v>1531</v>
      </c>
      <c r="FB18">
        <v>156.7</v>
      </c>
      <c r="FC18">
        <v>240</v>
      </c>
      <c r="FE18">
        <v>0</v>
      </c>
      <c r="FF18">
        <v>2</v>
      </c>
      <c r="FI18">
        <v>0</v>
      </c>
      <c r="FK18" t="s">
        <v>548</v>
      </c>
      <c r="FL18">
        <v>0.4</v>
      </c>
      <c r="FM18">
        <v>45</v>
      </c>
      <c r="FN18">
        <v>360</v>
      </c>
      <c r="FO18">
        <v>65</v>
      </c>
      <c r="FP18">
        <v>160</v>
      </c>
      <c r="GR18" t="s">
        <v>548</v>
      </c>
      <c r="GS18">
        <v>0.6</v>
      </c>
      <c r="GT18">
        <v>90</v>
      </c>
      <c r="GU18">
        <v>250</v>
      </c>
      <c r="HC18">
        <v>0.1</v>
      </c>
      <c r="HD18">
        <v>3</v>
      </c>
      <c r="HE18">
        <v>3</v>
      </c>
      <c r="HF18">
        <v>3</v>
      </c>
      <c r="HG18">
        <v>3</v>
      </c>
      <c r="HH18">
        <v>3</v>
      </c>
      <c r="HI18">
        <v>120</v>
      </c>
      <c r="HJ18">
        <v>3</v>
      </c>
      <c r="HK18">
        <v>30</v>
      </c>
      <c r="HL18">
        <v>2</v>
      </c>
      <c r="HM18">
        <v>0</v>
      </c>
      <c r="HN18">
        <v>2</v>
      </c>
      <c r="HO18">
        <v>75</v>
      </c>
      <c r="HP18">
        <v>3</v>
      </c>
      <c r="HQ18">
        <v>0</v>
      </c>
      <c r="HR18">
        <v>2</v>
      </c>
      <c r="HS18">
        <v>5821</v>
      </c>
      <c r="HT18">
        <v>170</v>
      </c>
      <c r="HU18">
        <v>180</v>
      </c>
      <c r="HW18">
        <v>0</v>
      </c>
      <c r="HX18">
        <v>425</v>
      </c>
      <c r="HY18">
        <v>0.18</v>
      </c>
      <c r="IA18">
        <v>0.15</v>
      </c>
      <c r="IB18">
        <v>0</v>
      </c>
      <c r="IC18">
        <v>180</v>
      </c>
      <c r="ID18">
        <v>110</v>
      </c>
      <c r="IE18">
        <v>225</v>
      </c>
      <c r="IF18">
        <v>0</v>
      </c>
      <c r="IH18" t="s">
        <v>549</v>
      </c>
      <c r="IO18">
        <v>3</v>
      </c>
      <c r="IP18">
        <v>20</v>
      </c>
      <c r="IQ18">
        <v>1</v>
      </c>
      <c r="IR18">
        <v>0</v>
      </c>
      <c r="IV18">
        <v>1538</v>
      </c>
      <c r="IW18">
        <v>418</v>
      </c>
      <c r="JA18">
        <v>1</v>
      </c>
      <c r="JB18">
        <v>0</v>
      </c>
      <c r="JC18">
        <v>2</v>
      </c>
      <c r="JD18">
        <v>1555</v>
      </c>
      <c r="JE18">
        <v>1547</v>
      </c>
      <c r="JF18">
        <v>1553</v>
      </c>
      <c r="JG18">
        <v>1531</v>
      </c>
      <c r="JH18">
        <v>0</v>
      </c>
      <c r="JJ18">
        <v>180</v>
      </c>
      <c r="JK18">
        <v>425</v>
      </c>
      <c r="JN18">
        <v>385</v>
      </c>
      <c r="JO18">
        <v>555</v>
      </c>
      <c r="JP18">
        <v>470</v>
      </c>
      <c r="JQ18">
        <v>0</v>
      </c>
      <c r="JR18">
        <v>414</v>
      </c>
      <c r="JS18">
        <v>120</v>
      </c>
      <c r="JV18">
        <v>8</v>
      </c>
      <c r="JW18" t="s">
        <v>550</v>
      </c>
      <c r="JX18">
        <v>462</v>
      </c>
      <c r="KA18">
        <v>225</v>
      </c>
      <c r="KB18">
        <v>110</v>
      </c>
      <c r="KC18">
        <v>0</v>
      </c>
      <c r="KD18">
        <v>80</v>
      </c>
      <c r="KF18">
        <v>4</v>
      </c>
      <c r="KG18">
        <v>2</v>
      </c>
      <c r="KH18">
        <v>2</v>
      </c>
      <c r="KI18">
        <v>2</v>
      </c>
      <c r="KJ18">
        <v>0</v>
      </c>
      <c r="KK18">
        <v>1.5</v>
      </c>
      <c r="KL18">
        <v>1.5</v>
      </c>
      <c r="KM18">
        <v>0</v>
      </c>
      <c r="KN18">
        <v>0</v>
      </c>
      <c r="KO18">
        <v>0</v>
      </c>
      <c r="KR18">
        <v>30</v>
      </c>
      <c r="KS18">
        <v>60</v>
      </c>
      <c r="KT18">
        <v>0</v>
      </c>
      <c r="LK18">
        <v>480</v>
      </c>
      <c r="PG18">
        <v>1</v>
      </c>
      <c r="PI18" t="s">
        <v>870</v>
      </c>
      <c r="PJ18" t="s">
        <v>872</v>
      </c>
      <c r="PK18" t="s">
        <v>873</v>
      </c>
      <c r="PL18" t="s">
        <v>871</v>
      </c>
      <c r="PP18" t="s">
        <v>874</v>
      </c>
      <c r="PS18" t="s">
        <v>693</v>
      </c>
      <c r="PX18">
        <v>56</v>
      </c>
      <c r="PY18">
        <v>56</v>
      </c>
      <c r="PZ18" t="s">
        <v>870</v>
      </c>
      <c r="QA18">
        <v>2</v>
      </c>
      <c r="QB18">
        <v>1531</v>
      </c>
      <c r="QC18">
        <v>69</v>
      </c>
      <c r="QD18">
        <v>69</v>
      </c>
      <c r="QE18" t="s">
        <v>871</v>
      </c>
      <c r="QF18">
        <v>2</v>
      </c>
      <c r="QG18">
        <v>1555</v>
      </c>
      <c r="QH18">
        <v>66</v>
      </c>
      <c r="QI18">
        <v>66</v>
      </c>
      <c r="QJ18" t="s">
        <v>693</v>
      </c>
      <c r="QK18">
        <v>1</v>
      </c>
      <c r="QL18">
        <v>1555</v>
      </c>
      <c r="QM18">
        <v>62</v>
      </c>
      <c r="QN18">
        <v>62</v>
      </c>
      <c r="QO18" t="s">
        <v>872</v>
      </c>
      <c r="QP18">
        <v>1</v>
      </c>
      <c r="QQ18">
        <v>1547</v>
      </c>
      <c r="QR18">
        <v>62</v>
      </c>
      <c r="QS18">
        <v>62</v>
      </c>
      <c r="QT18" t="s">
        <v>873</v>
      </c>
      <c r="QU18">
        <v>1</v>
      </c>
      <c r="QV18">
        <v>1553</v>
      </c>
      <c r="QW18">
        <v>82</v>
      </c>
      <c r="QX18" t="s">
        <v>587</v>
      </c>
      <c r="QY18" t="s">
        <v>874</v>
      </c>
      <c r="QZ18">
        <v>2</v>
      </c>
      <c r="RA18">
        <v>66</v>
      </c>
      <c r="RB18">
        <v>66</v>
      </c>
      <c r="RE18">
        <v>0</v>
      </c>
      <c r="RF18">
        <v>1</v>
      </c>
      <c r="RH18">
        <v>1</v>
      </c>
      <c r="RJ18">
        <v>1</v>
      </c>
      <c r="RK18">
        <v>2</v>
      </c>
      <c r="RL18">
        <v>3</v>
      </c>
      <c r="RM18">
        <v>3</v>
      </c>
      <c r="RO18">
        <v>592</v>
      </c>
      <c r="RP18">
        <v>105</v>
      </c>
      <c r="RQ18">
        <v>644</v>
      </c>
      <c r="RR18">
        <v>582</v>
      </c>
      <c r="RT18">
        <v>383</v>
      </c>
      <c r="RU18">
        <v>233</v>
      </c>
      <c r="RV18" t="s">
        <v>876</v>
      </c>
      <c r="RW18" t="s">
        <v>599</v>
      </c>
      <c r="RX18">
        <v>15</v>
      </c>
      <c r="RY18">
        <v>4</v>
      </c>
      <c r="RZ18" t="s">
        <v>599</v>
      </c>
      <c r="SA18">
        <v>15</v>
      </c>
      <c r="SC18" t="s">
        <v>872</v>
      </c>
      <c r="SD18">
        <v>1</v>
      </c>
      <c r="SF18" t="s">
        <v>873</v>
      </c>
      <c r="SG18">
        <v>1</v>
      </c>
      <c r="SH18">
        <v>0.995</v>
      </c>
      <c r="SI18">
        <v>0.995</v>
      </c>
      <c r="SJ18">
        <v>0.995</v>
      </c>
      <c r="SK18">
        <v>15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1</v>
      </c>
      <c r="SZ18">
        <v>1</v>
      </c>
      <c r="TB18">
        <v>0</v>
      </c>
      <c r="TC18">
        <v>0</v>
      </c>
      <c r="TD18">
        <v>7.5</v>
      </c>
      <c r="TE18" t="s">
        <v>553</v>
      </c>
      <c r="TF18" t="s">
        <v>681</v>
      </c>
      <c r="TG18" t="s">
        <v>555</v>
      </c>
      <c r="TI18" t="s">
        <v>546</v>
      </c>
      <c r="TJ18" t="s">
        <v>547</v>
      </c>
      <c r="TL18" t="s">
        <v>556</v>
      </c>
      <c r="TM18" t="s">
        <v>513</v>
      </c>
      <c r="TN18">
        <v>0</v>
      </c>
      <c r="TO18" t="s">
        <v>601</v>
      </c>
    </row>
    <row r="19" spans="1:535">
      <c r="A19" t="s">
        <v>877</v>
      </c>
      <c r="B19" t="s">
        <v>564</v>
      </c>
      <c r="C19" t="s">
        <v>509</v>
      </c>
      <c r="D19" t="s">
        <v>658</v>
      </c>
      <c r="G19" t="s">
        <v>604</v>
      </c>
      <c r="H19" t="s">
        <v>605</v>
      </c>
      <c r="I19" t="s">
        <v>628</v>
      </c>
      <c r="J19" t="s">
        <v>606</v>
      </c>
      <c r="L19" t="s">
        <v>512</v>
      </c>
      <c r="M19" t="s">
        <v>629</v>
      </c>
      <c r="N19" t="s">
        <v>513</v>
      </c>
      <c r="O19" t="s">
        <v>607</v>
      </c>
      <c r="Q19" t="s">
        <v>878</v>
      </c>
      <c r="R19" t="s">
        <v>567</v>
      </c>
      <c r="S19" t="s">
        <v>879</v>
      </c>
      <c r="T19" t="s">
        <v>880</v>
      </c>
      <c r="U19" t="s">
        <v>633</v>
      </c>
      <c r="V19" t="s">
        <v>634</v>
      </c>
      <c r="W19" t="s">
        <v>881</v>
      </c>
      <c r="X19" t="s">
        <v>573</v>
      </c>
      <c r="Y19" t="s">
        <v>574</v>
      </c>
      <c r="Z19" t="s">
        <v>882</v>
      </c>
      <c r="AA19" t="s">
        <v>883</v>
      </c>
      <c r="AB19" t="s">
        <v>884</v>
      </c>
      <c r="AC19">
        <v>2</v>
      </c>
      <c r="AD19">
        <v>56</v>
      </c>
      <c r="AE19">
        <v>205</v>
      </c>
      <c r="AF19">
        <v>1.5</v>
      </c>
      <c r="AH19">
        <v>0</v>
      </c>
      <c r="AI19" t="s">
        <v>885</v>
      </c>
      <c r="AJ19">
        <v>215</v>
      </c>
      <c r="AK19">
        <v>1</v>
      </c>
      <c r="AL19">
        <v>1.5</v>
      </c>
      <c r="AM19" t="s">
        <v>529</v>
      </c>
      <c r="AO19">
        <v>0</v>
      </c>
      <c r="AR19">
        <v>0</v>
      </c>
      <c r="AS19">
        <v>1.5</v>
      </c>
      <c r="AU19" t="s">
        <v>886</v>
      </c>
      <c r="AW19" t="s">
        <v>886</v>
      </c>
      <c r="AX19">
        <v>1</v>
      </c>
      <c r="AY19">
        <v>312.5</v>
      </c>
      <c r="AZ19">
        <v>1.5</v>
      </c>
      <c r="BA19" t="s">
        <v>529</v>
      </c>
      <c r="BB19" t="s">
        <v>887</v>
      </c>
      <c r="BD19" t="s">
        <v>887</v>
      </c>
      <c r="BE19">
        <v>1</v>
      </c>
      <c r="BF19">
        <v>297.5</v>
      </c>
      <c r="BG19">
        <v>1.5</v>
      </c>
      <c r="BJ19">
        <v>0</v>
      </c>
      <c r="BN19">
        <v>1.5</v>
      </c>
      <c r="BP19" t="s">
        <v>888</v>
      </c>
      <c r="BQ19">
        <v>89</v>
      </c>
      <c r="BR19">
        <v>2</v>
      </c>
      <c r="BS19" t="s">
        <v>889</v>
      </c>
      <c r="BT19">
        <v>227</v>
      </c>
      <c r="BU19">
        <v>0.5</v>
      </c>
      <c r="BV19" t="s">
        <v>889</v>
      </c>
      <c r="BW19">
        <v>454</v>
      </c>
      <c r="BX19">
        <v>1</v>
      </c>
      <c r="BY19" t="s">
        <v>643</v>
      </c>
      <c r="BZ19">
        <v>470</v>
      </c>
      <c r="CA19">
        <v>590</v>
      </c>
      <c r="CB19" t="s">
        <v>644</v>
      </c>
      <c r="CC19" t="s">
        <v>890</v>
      </c>
      <c r="CD19">
        <v>470</v>
      </c>
      <c r="CE19" t="s">
        <v>544</v>
      </c>
      <c r="CF19">
        <v>15</v>
      </c>
      <c r="CG19" t="s">
        <v>891</v>
      </c>
      <c r="CH19" t="s">
        <v>891</v>
      </c>
      <c r="CI19">
        <v>60</v>
      </c>
      <c r="CJ19">
        <v>1301</v>
      </c>
      <c r="CK19">
        <v>2</v>
      </c>
      <c r="CL19">
        <v>1395</v>
      </c>
      <c r="CM19">
        <v>2</v>
      </c>
      <c r="CN19" t="s">
        <v>646</v>
      </c>
      <c r="CO19" t="s">
        <v>647</v>
      </c>
      <c r="CP19" t="s">
        <v>648</v>
      </c>
      <c r="CQ19" t="s">
        <v>892</v>
      </c>
      <c r="CR19" t="s">
        <v>541</v>
      </c>
      <c r="CS19" t="s">
        <v>542</v>
      </c>
      <c r="CT19">
        <v>430</v>
      </c>
      <c r="CU19">
        <v>5</v>
      </c>
      <c r="CV19">
        <v>1.2</v>
      </c>
      <c r="CW19">
        <v>1314</v>
      </c>
      <c r="CX19">
        <v>800</v>
      </c>
      <c r="DD19">
        <v>0</v>
      </c>
      <c r="DE19" t="s">
        <v>622</v>
      </c>
      <c r="DF19">
        <v>625</v>
      </c>
      <c r="DG19">
        <v>3</v>
      </c>
      <c r="DH19">
        <v>0.88</v>
      </c>
      <c r="DI19">
        <v>1311</v>
      </c>
      <c r="DJ19">
        <v>969</v>
      </c>
      <c r="DK19" t="s">
        <v>622</v>
      </c>
      <c r="DL19">
        <v>595</v>
      </c>
      <c r="DM19">
        <v>3</v>
      </c>
      <c r="DN19">
        <v>0.88</v>
      </c>
      <c r="DO19">
        <v>1319</v>
      </c>
      <c r="DP19">
        <v>896</v>
      </c>
      <c r="DW19" t="s">
        <v>544</v>
      </c>
      <c r="DX19">
        <v>7.5</v>
      </c>
      <c r="EA19">
        <v>1384.6</v>
      </c>
      <c r="EB19">
        <v>327</v>
      </c>
      <c r="EC19" t="s">
        <v>545</v>
      </c>
      <c r="ED19">
        <v>45</v>
      </c>
      <c r="EE19">
        <v>3</v>
      </c>
      <c r="EG19">
        <v>1435</v>
      </c>
      <c r="EH19">
        <v>261</v>
      </c>
      <c r="EJ19">
        <v>0</v>
      </c>
      <c r="EK19">
        <v>1</v>
      </c>
      <c r="EN19">
        <v>0</v>
      </c>
      <c r="EP19" t="s">
        <v>546</v>
      </c>
      <c r="EQ19">
        <v>125</v>
      </c>
      <c r="ER19">
        <v>3</v>
      </c>
      <c r="ES19">
        <v>6</v>
      </c>
      <c r="ET19">
        <v>1301</v>
      </c>
      <c r="EU19">
        <v>581.6</v>
      </c>
      <c r="EV19">
        <v>757</v>
      </c>
      <c r="EW19" t="s">
        <v>547</v>
      </c>
      <c r="EX19">
        <v>70</v>
      </c>
      <c r="EY19">
        <v>2</v>
      </c>
      <c r="EZ19">
        <v>4.5</v>
      </c>
      <c r="FA19">
        <v>1301</v>
      </c>
      <c r="FB19">
        <v>230.1</v>
      </c>
      <c r="FC19">
        <v>299</v>
      </c>
      <c r="FE19">
        <v>0</v>
      </c>
      <c r="FF19">
        <v>2</v>
      </c>
      <c r="FI19">
        <v>0</v>
      </c>
      <c r="FK19" t="s">
        <v>548</v>
      </c>
      <c r="FL19">
        <v>0.4</v>
      </c>
      <c r="FM19">
        <v>110</v>
      </c>
      <c r="FN19">
        <v>140</v>
      </c>
      <c r="FR19" t="s">
        <v>548</v>
      </c>
      <c r="FS19">
        <v>0.4</v>
      </c>
      <c r="FT19">
        <v>30</v>
      </c>
      <c r="FU19">
        <v>550</v>
      </c>
      <c r="GR19" t="s">
        <v>548</v>
      </c>
      <c r="GS19">
        <v>0.4</v>
      </c>
      <c r="GT19">
        <v>105</v>
      </c>
      <c r="GU19">
        <v>270</v>
      </c>
      <c r="HC19">
        <v>0.1</v>
      </c>
      <c r="HD19">
        <v>3</v>
      </c>
      <c r="HE19">
        <v>3</v>
      </c>
      <c r="HF19">
        <v>3</v>
      </c>
      <c r="HG19">
        <v>3</v>
      </c>
      <c r="HH19">
        <v>3</v>
      </c>
      <c r="HI19">
        <v>180</v>
      </c>
      <c r="HJ19">
        <v>3</v>
      </c>
      <c r="HK19">
        <v>55</v>
      </c>
      <c r="HL19">
        <v>2</v>
      </c>
      <c r="HM19">
        <v>0</v>
      </c>
      <c r="HN19">
        <v>2</v>
      </c>
      <c r="HO19">
        <v>110</v>
      </c>
      <c r="HP19">
        <v>3</v>
      </c>
      <c r="HQ19">
        <v>0</v>
      </c>
      <c r="HR19">
        <v>2</v>
      </c>
      <c r="HS19">
        <v>5953</v>
      </c>
      <c r="HT19">
        <v>180</v>
      </c>
      <c r="HU19">
        <v>180</v>
      </c>
      <c r="HW19">
        <v>0</v>
      </c>
      <c r="HX19">
        <v>470</v>
      </c>
      <c r="HY19">
        <v>0.18</v>
      </c>
      <c r="IA19">
        <v>0.15</v>
      </c>
      <c r="IB19">
        <v>0</v>
      </c>
      <c r="IC19">
        <v>180</v>
      </c>
      <c r="ID19">
        <v>110</v>
      </c>
      <c r="IE19">
        <v>225</v>
      </c>
      <c r="IF19">
        <v>0</v>
      </c>
      <c r="IH19" t="s">
        <v>549</v>
      </c>
      <c r="IO19">
        <v>3</v>
      </c>
      <c r="IP19">
        <v>17</v>
      </c>
      <c r="IQ19">
        <v>0</v>
      </c>
      <c r="IR19">
        <v>1</v>
      </c>
      <c r="IV19">
        <v>1301</v>
      </c>
      <c r="IW19">
        <v>454</v>
      </c>
      <c r="JA19">
        <v>1</v>
      </c>
      <c r="JB19">
        <v>0</v>
      </c>
      <c r="JC19">
        <v>2</v>
      </c>
      <c r="JD19">
        <v>1314</v>
      </c>
      <c r="JE19">
        <v>1311</v>
      </c>
      <c r="JF19">
        <v>1319</v>
      </c>
      <c r="JG19">
        <v>1301</v>
      </c>
      <c r="JH19">
        <v>0</v>
      </c>
      <c r="JJ19">
        <v>180</v>
      </c>
      <c r="JK19">
        <v>470</v>
      </c>
      <c r="JN19">
        <v>430</v>
      </c>
      <c r="JO19">
        <v>625</v>
      </c>
      <c r="JP19">
        <v>595</v>
      </c>
      <c r="JQ19">
        <v>0</v>
      </c>
      <c r="JR19">
        <v>410</v>
      </c>
      <c r="JS19">
        <v>180</v>
      </c>
      <c r="JV19">
        <v>8</v>
      </c>
      <c r="JW19" t="s">
        <v>550</v>
      </c>
      <c r="JX19">
        <v>0</v>
      </c>
      <c r="KA19">
        <v>225</v>
      </c>
      <c r="KB19">
        <v>110</v>
      </c>
      <c r="KC19">
        <v>0</v>
      </c>
      <c r="KD19">
        <v>80</v>
      </c>
      <c r="KF19">
        <v>4</v>
      </c>
      <c r="KG19">
        <v>2.5</v>
      </c>
      <c r="KH19">
        <v>2</v>
      </c>
      <c r="KI19">
        <v>2</v>
      </c>
      <c r="KJ19">
        <v>0</v>
      </c>
      <c r="KK19">
        <v>1.5</v>
      </c>
      <c r="KL19">
        <v>1.5</v>
      </c>
      <c r="KM19">
        <v>0</v>
      </c>
      <c r="KN19">
        <v>0</v>
      </c>
      <c r="KO19">
        <v>0</v>
      </c>
      <c r="KR19">
        <v>30</v>
      </c>
      <c r="KS19">
        <v>60</v>
      </c>
      <c r="KT19">
        <v>0</v>
      </c>
      <c r="LK19">
        <v>480</v>
      </c>
      <c r="PG19">
        <v>1</v>
      </c>
      <c r="PI19" t="s">
        <v>884</v>
      </c>
      <c r="PJ19" t="s">
        <v>886</v>
      </c>
      <c r="PK19" t="s">
        <v>887</v>
      </c>
      <c r="PL19" t="s">
        <v>885</v>
      </c>
      <c r="PP19" t="s">
        <v>888</v>
      </c>
      <c r="PX19">
        <v>56</v>
      </c>
      <c r="PY19">
        <v>56</v>
      </c>
      <c r="PZ19" t="s">
        <v>884</v>
      </c>
      <c r="QA19">
        <v>2</v>
      </c>
      <c r="QB19">
        <v>1301</v>
      </c>
      <c r="QC19">
        <v>69</v>
      </c>
      <c r="QD19">
        <v>69</v>
      </c>
      <c r="QE19" t="s">
        <v>885</v>
      </c>
      <c r="QF19">
        <v>1</v>
      </c>
      <c r="QG19">
        <v>1314</v>
      </c>
      <c r="QH19">
        <v>66</v>
      </c>
      <c r="QI19">
        <v>66</v>
      </c>
      <c r="QL19">
        <v>0</v>
      </c>
      <c r="QM19">
        <v>62</v>
      </c>
      <c r="QN19">
        <v>62</v>
      </c>
      <c r="QO19" t="s">
        <v>886</v>
      </c>
      <c r="QP19">
        <v>1</v>
      </c>
      <c r="QQ19">
        <v>1311</v>
      </c>
      <c r="QR19">
        <v>62</v>
      </c>
      <c r="QS19">
        <v>62</v>
      </c>
      <c r="QT19" t="s">
        <v>887</v>
      </c>
      <c r="QU19">
        <v>1</v>
      </c>
      <c r="QV19">
        <v>1319</v>
      </c>
      <c r="QW19">
        <v>82</v>
      </c>
      <c r="QX19">
        <v>89</v>
      </c>
      <c r="QY19" t="s">
        <v>888</v>
      </c>
      <c r="QZ19">
        <v>2</v>
      </c>
      <c r="RA19">
        <v>66</v>
      </c>
      <c r="RB19">
        <v>66</v>
      </c>
      <c r="RE19">
        <v>0</v>
      </c>
      <c r="RF19">
        <v>1</v>
      </c>
      <c r="RH19">
        <v>1</v>
      </c>
      <c r="RJ19">
        <v>2</v>
      </c>
      <c r="RL19">
        <v>4</v>
      </c>
      <c r="RM19">
        <v>4</v>
      </c>
      <c r="RO19">
        <v>609</v>
      </c>
      <c r="RQ19">
        <v>739</v>
      </c>
      <c r="RR19">
        <v>679</v>
      </c>
      <c r="RT19">
        <v>327</v>
      </c>
      <c r="RU19">
        <v>261</v>
      </c>
      <c r="RV19" t="s">
        <v>893</v>
      </c>
      <c r="RW19" t="s">
        <v>653</v>
      </c>
      <c r="RX19">
        <v>15</v>
      </c>
      <c r="RY19">
        <v>4</v>
      </c>
      <c r="RZ19" t="s">
        <v>653</v>
      </c>
      <c r="SA19">
        <v>15</v>
      </c>
      <c r="SC19" t="s">
        <v>886</v>
      </c>
      <c r="SD19">
        <v>1</v>
      </c>
      <c r="SF19" t="s">
        <v>887</v>
      </c>
      <c r="SG19">
        <v>1</v>
      </c>
      <c r="SH19">
        <v>0.995</v>
      </c>
      <c r="SI19">
        <v>0.995</v>
      </c>
      <c r="SJ19">
        <v>0.995</v>
      </c>
      <c r="SK19">
        <v>15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Z19">
        <v>1</v>
      </c>
      <c r="TB19">
        <v>0</v>
      </c>
      <c r="TC19">
        <v>0</v>
      </c>
      <c r="TD19">
        <v>7.5</v>
      </c>
      <c r="TE19" t="s">
        <v>553</v>
      </c>
      <c r="TF19" t="s">
        <v>681</v>
      </c>
      <c r="TG19" t="s">
        <v>555</v>
      </c>
      <c r="TI19" t="s">
        <v>546</v>
      </c>
      <c r="TJ19" t="s">
        <v>547</v>
      </c>
      <c r="TL19" t="s">
        <v>556</v>
      </c>
      <c r="TM19" t="s">
        <v>513</v>
      </c>
      <c r="TN19">
        <v>0</v>
      </c>
      <c r="TO19" t="s">
        <v>557</v>
      </c>
    </row>
    <row r="20" spans="1:535">
      <c r="A20" t="s">
        <v>894</v>
      </c>
      <c r="B20" t="s">
        <v>729</v>
      </c>
      <c r="C20" t="s">
        <v>509</v>
      </c>
      <c r="D20" t="s">
        <v>895</v>
      </c>
      <c r="G20" t="s">
        <v>605</v>
      </c>
      <c r="H20" t="s">
        <v>896</v>
      </c>
      <c r="I20" t="s">
        <v>628</v>
      </c>
      <c r="J20" t="s">
        <v>606</v>
      </c>
      <c r="L20" t="s">
        <v>512</v>
      </c>
      <c r="M20" t="s">
        <v>897</v>
      </c>
      <c r="N20" t="s">
        <v>513</v>
      </c>
      <c r="O20" t="s">
        <v>607</v>
      </c>
      <c r="Q20" t="s">
        <v>898</v>
      </c>
      <c r="R20" t="s">
        <v>567</v>
      </c>
      <c r="S20" t="s">
        <v>899</v>
      </c>
      <c r="T20" t="s">
        <v>743</v>
      </c>
      <c r="U20" t="s">
        <v>662</v>
      </c>
      <c r="V20" t="s">
        <v>663</v>
      </c>
      <c r="W20" t="s">
        <v>900</v>
      </c>
      <c r="X20" t="s">
        <v>573</v>
      </c>
      <c r="Y20" t="s">
        <v>524</v>
      </c>
      <c r="Z20" t="s">
        <v>901</v>
      </c>
      <c r="AA20" t="s">
        <v>902</v>
      </c>
      <c r="AB20" t="s">
        <v>903</v>
      </c>
      <c r="AC20">
        <v>2</v>
      </c>
      <c r="AD20">
        <v>56</v>
      </c>
      <c r="AE20">
        <v>163</v>
      </c>
      <c r="AF20">
        <v>1.5</v>
      </c>
      <c r="AH20">
        <v>0</v>
      </c>
      <c r="AI20" t="s">
        <v>748</v>
      </c>
      <c r="AJ20">
        <v>175</v>
      </c>
      <c r="AK20">
        <v>1</v>
      </c>
      <c r="AL20">
        <v>1.5</v>
      </c>
      <c r="AM20" t="s">
        <v>529</v>
      </c>
      <c r="AO20">
        <v>0</v>
      </c>
      <c r="AR20">
        <v>0</v>
      </c>
      <c r="AS20">
        <v>1.5</v>
      </c>
      <c r="AV20" t="s">
        <v>904</v>
      </c>
      <c r="AW20" t="s">
        <v>904</v>
      </c>
      <c r="AX20">
        <v>1</v>
      </c>
      <c r="AY20">
        <v>240</v>
      </c>
      <c r="AZ20">
        <v>1.5</v>
      </c>
      <c r="BA20" t="s">
        <v>529</v>
      </c>
      <c r="BG20">
        <v>1.5</v>
      </c>
      <c r="BJ20">
        <v>0</v>
      </c>
      <c r="BN20">
        <v>1.5</v>
      </c>
      <c r="BP20" t="s">
        <v>905</v>
      </c>
      <c r="BQ20">
        <v>84</v>
      </c>
      <c r="BR20">
        <v>2</v>
      </c>
      <c r="BS20" t="s">
        <v>906</v>
      </c>
      <c r="BT20">
        <v>186</v>
      </c>
      <c r="BU20">
        <v>0.5</v>
      </c>
      <c r="BV20" t="s">
        <v>906</v>
      </c>
      <c r="BW20">
        <v>372</v>
      </c>
      <c r="BX20">
        <v>1</v>
      </c>
      <c r="BY20" t="s">
        <v>643</v>
      </c>
      <c r="BZ20">
        <v>290</v>
      </c>
      <c r="CA20">
        <v>430</v>
      </c>
      <c r="CB20" t="s">
        <v>672</v>
      </c>
      <c r="CC20" t="s">
        <v>672</v>
      </c>
      <c r="CD20">
        <v>390</v>
      </c>
      <c r="CE20" t="s">
        <v>673</v>
      </c>
      <c r="CF20">
        <v>15</v>
      </c>
      <c r="CG20" t="s">
        <v>907</v>
      </c>
      <c r="CH20" t="s">
        <v>907</v>
      </c>
      <c r="CI20">
        <v>70</v>
      </c>
      <c r="CJ20">
        <v>1381</v>
      </c>
      <c r="CK20">
        <v>2</v>
      </c>
      <c r="CL20">
        <v>1475</v>
      </c>
      <c r="CM20">
        <v>2</v>
      </c>
      <c r="CN20" t="s">
        <v>675</v>
      </c>
      <c r="CO20" t="s">
        <v>676</v>
      </c>
      <c r="CP20" t="s">
        <v>595</v>
      </c>
      <c r="CQ20" t="s">
        <v>649</v>
      </c>
      <c r="CR20" t="s">
        <v>650</v>
      </c>
      <c r="CS20" t="s">
        <v>542</v>
      </c>
      <c r="CT20">
        <v>350</v>
      </c>
      <c r="CU20">
        <v>5</v>
      </c>
      <c r="CV20">
        <v>1.2</v>
      </c>
      <c r="CW20">
        <v>1393</v>
      </c>
      <c r="CX20">
        <v>690</v>
      </c>
      <c r="DD20">
        <v>0</v>
      </c>
      <c r="DE20" t="s">
        <v>543</v>
      </c>
      <c r="DF20">
        <v>480</v>
      </c>
      <c r="DG20">
        <v>3</v>
      </c>
      <c r="DH20">
        <v>1.18</v>
      </c>
      <c r="DI20">
        <v>1391</v>
      </c>
      <c r="DJ20">
        <v>1153</v>
      </c>
      <c r="DW20" t="s">
        <v>544</v>
      </c>
      <c r="DX20">
        <v>7.5</v>
      </c>
      <c r="EA20">
        <v>1459.5</v>
      </c>
      <c r="EB20">
        <v>258</v>
      </c>
      <c r="EC20" t="s">
        <v>545</v>
      </c>
      <c r="ED20">
        <v>25</v>
      </c>
      <c r="EE20">
        <v>3</v>
      </c>
      <c r="EG20">
        <v>1500</v>
      </c>
      <c r="EH20">
        <v>163</v>
      </c>
      <c r="EJ20">
        <v>0</v>
      </c>
      <c r="EK20">
        <v>1</v>
      </c>
      <c r="EN20">
        <v>0</v>
      </c>
      <c r="EP20" t="s">
        <v>546</v>
      </c>
      <c r="EQ20">
        <v>60</v>
      </c>
      <c r="ER20">
        <v>3</v>
      </c>
      <c r="ES20">
        <v>5</v>
      </c>
      <c r="ET20">
        <v>1375</v>
      </c>
      <c r="EU20">
        <v>237</v>
      </c>
      <c r="EV20">
        <v>326</v>
      </c>
      <c r="EW20" t="s">
        <v>547</v>
      </c>
      <c r="EX20">
        <v>70</v>
      </c>
      <c r="EY20">
        <v>2</v>
      </c>
      <c r="EZ20">
        <v>4.5</v>
      </c>
      <c r="FA20">
        <v>1375</v>
      </c>
      <c r="FB20">
        <v>221.6</v>
      </c>
      <c r="FC20">
        <v>305</v>
      </c>
      <c r="FE20">
        <v>0</v>
      </c>
      <c r="FF20">
        <v>2</v>
      </c>
      <c r="FI20">
        <v>0</v>
      </c>
      <c r="FK20" t="s">
        <v>548</v>
      </c>
      <c r="FL20">
        <v>0.4</v>
      </c>
      <c r="FM20">
        <v>90</v>
      </c>
      <c r="FN20">
        <v>100</v>
      </c>
      <c r="FR20" t="s">
        <v>548</v>
      </c>
      <c r="FS20">
        <v>0.4</v>
      </c>
      <c r="FT20">
        <v>30</v>
      </c>
      <c r="FU20">
        <v>340</v>
      </c>
      <c r="FV20">
        <v>35</v>
      </c>
      <c r="FW20">
        <v>226</v>
      </c>
      <c r="FY20" t="s">
        <v>651</v>
      </c>
      <c r="FZ20">
        <v>1</v>
      </c>
      <c r="GA20">
        <v>20</v>
      </c>
      <c r="GB20">
        <v>176</v>
      </c>
      <c r="GG20" t="s">
        <v>651</v>
      </c>
      <c r="GH20">
        <v>1</v>
      </c>
      <c r="GI20">
        <v>20</v>
      </c>
      <c r="GJ20">
        <v>176</v>
      </c>
      <c r="HC20">
        <v>0.1</v>
      </c>
      <c r="HD20">
        <v>3</v>
      </c>
      <c r="HE20">
        <v>3</v>
      </c>
      <c r="HF20">
        <v>3</v>
      </c>
      <c r="HG20">
        <v>3</v>
      </c>
      <c r="HH20">
        <v>3</v>
      </c>
      <c r="HI20">
        <v>115</v>
      </c>
      <c r="HJ20">
        <v>3</v>
      </c>
      <c r="HK20">
        <v>55</v>
      </c>
      <c r="HL20">
        <v>2</v>
      </c>
      <c r="HM20">
        <v>0</v>
      </c>
      <c r="HN20">
        <v>2</v>
      </c>
      <c r="HO20">
        <v>45</v>
      </c>
      <c r="HP20">
        <v>3</v>
      </c>
      <c r="HQ20">
        <v>0</v>
      </c>
      <c r="HR20">
        <v>2</v>
      </c>
      <c r="HS20">
        <v>3947</v>
      </c>
      <c r="HT20">
        <v>120</v>
      </c>
      <c r="HU20">
        <v>180</v>
      </c>
      <c r="HW20">
        <v>0</v>
      </c>
      <c r="HX20">
        <v>400</v>
      </c>
      <c r="HY20">
        <v>0.18</v>
      </c>
      <c r="IA20">
        <v>0.15</v>
      </c>
      <c r="IB20">
        <v>0</v>
      </c>
      <c r="IC20">
        <v>180</v>
      </c>
      <c r="ID20">
        <v>110</v>
      </c>
      <c r="IE20">
        <v>0</v>
      </c>
      <c r="IF20">
        <v>0</v>
      </c>
      <c r="IH20" t="s">
        <v>549</v>
      </c>
      <c r="IO20">
        <v>1</v>
      </c>
      <c r="IP20">
        <v>18</v>
      </c>
      <c r="IQ20">
        <v>0</v>
      </c>
      <c r="IR20">
        <v>1</v>
      </c>
      <c r="IV20">
        <v>1381</v>
      </c>
      <c r="IW20">
        <v>372</v>
      </c>
      <c r="IY20">
        <v>290</v>
      </c>
      <c r="JA20">
        <v>1</v>
      </c>
      <c r="JB20">
        <v>0</v>
      </c>
      <c r="JC20">
        <v>2</v>
      </c>
      <c r="JD20">
        <v>1393</v>
      </c>
      <c r="JE20">
        <v>1391</v>
      </c>
      <c r="JF20">
        <v>0</v>
      </c>
      <c r="JG20">
        <v>1375</v>
      </c>
      <c r="JH20">
        <v>0</v>
      </c>
      <c r="JJ20">
        <v>180</v>
      </c>
      <c r="JK20">
        <v>400</v>
      </c>
      <c r="JN20">
        <v>350</v>
      </c>
      <c r="JO20">
        <v>480</v>
      </c>
      <c r="JP20">
        <v>0</v>
      </c>
      <c r="JQ20">
        <v>0</v>
      </c>
      <c r="JR20">
        <v>326</v>
      </c>
      <c r="JS20">
        <v>115</v>
      </c>
      <c r="JV20">
        <v>8</v>
      </c>
      <c r="JW20" t="s">
        <v>550</v>
      </c>
      <c r="JX20">
        <v>0</v>
      </c>
      <c r="KA20">
        <v>0</v>
      </c>
      <c r="KB20">
        <v>110</v>
      </c>
      <c r="KC20">
        <v>0</v>
      </c>
      <c r="KD20">
        <v>80</v>
      </c>
      <c r="KF20">
        <v>4</v>
      </c>
      <c r="KG20">
        <v>2.5</v>
      </c>
      <c r="KH20">
        <v>2</v>
      </c>
      <c r="KI20">
        <v>2</v>
      </c>
      <c r="KJ20">
        <v>0</v>
      </c>
      <c r="KK20">
        <v>1.5</v>
      </c>
      <c r="KL20">
        <v>1.5</v>
      </c>
      <c r="KM20">
        <v>0</v>
      </c>
      <c r="KN20">
        <v>0</v>
      </c>
      <c r="KO20">
        <v>0</v>
      </c>
      <c r="KR20">
        <v>50</v>
      </c>
      <c r="KS20">
        <v>60</v>
      </c>
      <c r="KT20">
        <v>0</v>
      </c>
      <c r="LK20">
        <v>480</v>
      </c>
      <c r="PG20">
        <v>1</v>
      </c>
      <c r="PI20" t="s">
        <v>903</v>
      </c>
      <c r="PJ20" t="s">
        <v>904</v>
      </c>
      <c r="PL20" t="s">
        <v>748</v>
      </c>
      <c r="PP20" t="s">
        <v>905</v>
      </c>
      <c r="PX20">
        <v>56</v>
      </c>
      <c r="PY20">
        <v>56</v>
      </c>
      <c r="PZ20" t="s">
        <v>903</v>
      </c>
      <c r="QA20">
        <v>1</v>
      </c>
      <c r="QB20">
        <v>1375</v>
      </c>
      <c r="QC20">
        <v>69</v>
      </c>
      <c r="QD20">
        <v>69</v>
      </c>
      <c r="QE20" t="s">
        <v>748</v>
      </c>
      <c r="QF20">
        <v>1</v>
      </c>
      <c r="QG20">
        <v>1393</v>
      </c>
      <c r="QH20">
        <v>66</v>
      </c>
      <c r="QI20">
        <v>66</v>
      </c>
      <c r="QL20">
        <v>0</v>
      </c>
      <c r="QM20">
        <v>63</v>
      </c>
      <c r="QN20">
        <v>63</v>
      </c>
      <c r="QO20" t="s">
        <v>904</v>
      </c>
      <c r="QP20">
        <v>1</v>
      </c>
      <c r="QQ20">
        <v>1391</v>
      </c>
      <c r="QW20">
        <v>82</v>
      </c>
      <c r="QX20">
        <v>84</v>
      </c>
      <c r="QY20" t="s">
        <v>905</v>
      </c>
      <c r="QZ20">
        <v>1</v>
      </c>
      <c r="RA20">
        <v>66</v>
      </c>
      <c r="RB20">
        <v>66</v>
      </c>
      <c r="RE20">
        <v>0</v>
      </c>
      <c r="RG20">
        <v>1</v>
      </c>
      <c r="RJ20">
        <v>1</v>
      </c>
      <c r="RL20">
        <v>1</v>
      </c>
      <c r="RO20">
        <v>495</v>
      </c>
      <c r="RQ20">
        <v>829</v>
      </c>
      <c r="RT20">
        <v>258</v>
      </c>
      <c r="RU20">
        <v>163</v>
      </c>
      <c r="RV20" t="s">
        <v>908</v>
      </c>
      <c r="RW20" t="s">
        <v>679</v>
      </c>
      <c r="RX20">
        <v>15</v>
      </c>
      <c r="RY20">
        <v>4</v>
      </c>
      <c r="RZ20" t="s">
        <v>679</v>
      </c>
      <c r="SA20">
        <v>15</v>
      </c>
      <c r="SB20" t="s">
        <v>909</v>
      </c>
      <c r="SC20" t="s">
        <v>909</v>
      </c>
      <c r="SD20">
        <v>1</v>
      </c>
      <c r="SH20">
        <v>0.995</v>
      </c>
      <c r="SI20">
        <v>0.995</v>
      </c>
      <c r="SJ20">
        <v>0.995</v>
      </c>
      <c r="SK20">
        <v>15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TB20">
        <v>0</v>
      </c>
      <c r="TC20">
        <v>0</v>
      </c>
      <c r="TD20">
        <v>7.5</v>
      </c>
      <c r="TE20" t="s">
        <v>553</v>
      </c>
      <c r="TF20" t="s">
        <v>624</v>
      </c>
      <c r="TG20" t="s">
        <v>555</v>
      </c>
      <c r="TI20" t="s">
        <v>546</v>
      </c>
      <c r="TJ20" t="s">
        <v>547</v>
      </c>
      <c r="TL20" t="s">
        <v>556</v>
      </c>
      <c r="TM20" t="s">
        <v>513</v>
      </c>
      <c r="TN20">
        <v>0</v>
      </c>
      <c r="TO20" t="s">
        <v>557</v>
      </c>
    </row>
    <row r="21" spans="1:535">
      <c r="A21" t="s">
        <v>910</v>
      </c>
      <c r="B21" t="s">
        <v>559</v>
      </c>
      <c r="C21" t="s">
        <v>509</v>
      </c>
      <c r="D21" t="s">
        <v>911</v>
      </c>
      <c r="G21" t="s">
        <v>627</v>
      </c>
      <c r="H21" t="s">
        <v>604</v>
      </c>
      <c r="I21" t="s">
        <v>628</v>
      </c>
      <c r="J21" t="s">
        <v>606</v>
      </c>
      <c r="L21" t="s">
        <v>512</v>
      </c>
      <c r="M21" t="s">
        <v>564</v>
      </c>
      <c r="N21" t="s">
        <v>513</v>
      </c>
      <c r="O21" t="s">
        <v>565</v>
      </c>
      <c r="Q21" t="s">
        <v>912</v>
      </c>
      <c r="R21" t="s">
        <v>567</v>
      </c>
      <c r="S21" t="s">
        <v>913</v>
      </c>
      <c r="T21" t="s">
        <v>714</v>
      </c>
      <c r="U21" t="s">
        <v>686</v>
      </c>
      <c r="V21" t="s">
        <v>687</v>
      </c>
      <c r="W21" t="s">
        <v>914</v>
      </c>
      <c r="X21" t="s">
        <v>573</v>
      </c>
      <c r="Y21" t="s">
        <v>524</v>
      </c>
      <c r="Z21" t="s">
        <v>915</v>
      </c>
      <c r="AA21" t="s">
        <v>916</v>
      </c>
      <c r="AB21" t="s">
        <v>917</v>
      </c>
      <c r="AC21">
        <v>2</v>
      </c>
      <c r="AD21">
        <v>56</v>
      </c>
      <c r="AE21">
        <v>202</v>
      </c>
      <c r="AF21">
        <v>1.5</v>
      </c>
      <c r="AH21">
        <v>0</v>
      </c>
      <c r="AI21" t="s">
        <v>639</v>
      </c>
      <c r="AJ21">
        <v>185</v>
      </c>
      <c r="AK21">
        <v>1</v>
      </c>
      <c r="AL21">
        <v>1.5</v>
      </c>
      <c r="AM21" t="s">
        <v>579</v>
      </c>
      <c r="AN21" t="s">
        <v>693</v>
      </c>
      <c r="AO21">
        <v>2</v>
      </c>
      <c r="AP21" t="s">
        <v>581</v>
      </c>
      <c r="AQ21" t="s">
        <v>582</v>
      </c>
      <c r="AR21">
        <v>230</v>
      </c>
      <c r="AS21">
        <v>1.5</v>
      </c>
      <c r="AT21" t="s">
        <v>583</v>
      </c>
      <c r="AU21" t="s">
        <v>918</v>
      </c>
      <c r="AW21" t="s">
        <v>918</v>
      </c>
      <c r="AX21">
        <v>1</v>
      </c>
      <c r="AY21">
        <v>262.5</v>
      </c>
      <c r="AZ21">
        <v>1.5</v>
      </c>
      <c r="BA21" t="s">
        <v>579</v>
      </c>
      <c r="BB21" t="s">
        <v>919</v>
      </c>
      <c r="BD21" t="s">
        <v>919</v>
      </c>
      <c r="BE21">
        <v>1</v>
      </c>
      <c r="BF21">
        <v>222.5</v>
      </c>
      <c r="BG21">
        <v>1.5</v>
      </c>
      <c r="BJ21">
        <v>0</v>
      </c>
      <c r="BN21">
        <v>1.5</v>
      </c>
      <c r="BP21" t="s">
        <v>920</v>
      </c>
      <c r="BQ21">
        <v>89</v>
      </c>
      <c r="BR21">
        <v>2</v>
      </c>
      <c r="BS21" t="s">
        <v>921</v>
      </c>
      <c r="BT21">
        <v>201</v>
      </c>
      <c r="BU21">
        <v>0.5</v>
      </c>
      <c r="BV21" t="s">
        <v>921</v>
      </c>
      <c r="BW21">
        <v>402</v>
      </c>
      <c r="BX21">
        <v>1</v>
      </c>
      <c r="BY21" t="s">
        <v>698</v>
      </c>
      <c r="BZ21">
        <v>300</v>
      </c>
      <c r="CA21">
        <v>460</v>
      </c>
      <c r="CB21" t="s">
        <v>699</v>
      </c>
      <c r="CC21" t="s">
        <v>672</v>
      </c>
      <c r="CD21">
        <v>420</v>
      </c>
      <c r="CE21" t="s">
        <v>700</v>
      </c>
      <c r="CF21">
        <v>15</v>
      </c>
      <c r="CG21" t="s">
        <v>922</v>
      </c>
      <c r="CH21" t="s">
        <v>922</v>
      </c>
      <c r="CI21">
        <v>80</v>
      </c>
      <c r="CJ21">
        <v>1458</v>
      </c>
      <c r="CK21">
        <v>2</v>
      </c>
      <c r="CL21">
        <v>1552</v>
      </c>
      <c r="CM21">
        <v>2</v>
      </c>
      <c r="CN21" t="s">
        <v>702</v>
      </c>
      <c r="CO21" t="s">
        <v>676</v>
      </c>
      <c r="CP21" t="s">
        <v>703</v>
      </c>
      <c r="CQ21" t="s">
        <v>596</v>
      </c>
      <c r="CR21" t="s">
        <v>541</v>
      </c>
      <c r="CS21" t="s">
        <v>542</v>
      </c>
      <c r="CT21">
        <v>370</v>
      </c>
      <c r="CU21">
        <v>5</v>
      </c>
      <c r="CV21">
        <v>1.3</v>
      </c>
      <c r="CW21">
        <v>1475</v>
      </c>
      <c r="CX21">
        <v>838</v>
      </c>
      <c r="CY21" t="s">
        <v>705</v>
      </c>
      <c r="CZ21">
        <v>50</v>
      </c>
      <c r="DA21">
        <v>3</v>
      </c>
      <c r="DB21">
        <v>1</v>
      </c>
      <c r="DC21">
        <v>1475</v>
      </c>
      <c r="DD21">
        <v>77</v>
      </c>
      <c r="DE21" t="s">
        <v>622</v>
      </c>
      <c r="DF21">
        <v>525</v>
      </c>
      <c r="DG21">
        <v>3</v>
      </c>
      <c r="DH21">
        <v>0.88</v>
      </c>
      <c r="DI21">
        <v>1468</v>
      </c>
      <c r="DJ21">
        <v>928</v>
      </c>
      <c r="DK21" t="s">
        <v>622</v>
      </c>
      <c r="DL21">
        <v>445</v>
      </c>
      <c r="DM21">
        <v>3</v>
      </c>
      <c r="DN21">
        <v>0.88</v>
      </c>
      <c r="DO21">
        <v>1473</v>
      </c>
      <c r="DP21">
        <v>801</v>
      </c>
      <c r="DW21" t="s">
        <v>544</v>
      </c>
      <c r="DX21">
        <v>7.5</v>
      </c>
      <c r="EA21">
        <v>1544.1</v>
      </c>
      <c r="EB21">
        <v>291</v>
      </c>
      <c r="EC21" t="s">
        <v>545</v>
      </c>
      <c r="ED21">
        <v>35</v>
      </c>
      <c r="EE21">
        <v>3</v>
      </c>
      <c r="EG21">
        <v>1585</v>
      </c>
      <c r="EH21">
        <v>220</v>
      </c>
      <c r="EJ21">
        <v>0</v>
      </c>
      <c r="EK21">
        <v>1</v>
      </c>
      <c r="EN21">
        <v>0</v>
      </c>
      <c r="EP21" t="s">
        <v>546</v>
      </c>
      <c r="EQ21">
        <v>90</v>
      </c>
      <c r="ER21">
        <v>3</v>
      </c>
      <c r="ES21">
        <v>6</v>
      </c>
      <c r="ET21">
        <v>1457</v>
      </c>
      <c r="EU21">
        <v>408.4</v>
      </c>
      <c r="EV21">
        <v>595</v>
      </c>
      <c r="EW21" t="s">
        <v>547</v>
      </c>
      <c r="EX21">
        <v>45</v>
      </c>
      <c r="EY21">
        <v>2</v>
      </c>
      <c r="EZ21">
        <v>4.5</v>
      </c>
      <c r="FA21">
        <v>1457</v>
      </c>
      <c r="FB21">
        <v>151.6</v>
      </c>
      <c r="FC21">
        <v>221</v>
      </c>
      <c r="FE21">
        <v>0</v>
      </c>
      <c r="FF21">
        <v>2</v>
      </c>
      <c r="FI21">
        <v>0</v>
      </c>
      <c r="FK21" t="s">
        <v>548</v>
      </c>
      <c r="FL21">
        <v>0.4</v>
      </c>
      <c r="FM21">
        <v>50</v>
      </c>
      <c r="FN21">
        <v>330</v>
      </c>
      <c r="FO21">
        <v>80</v>
      </c>
      <c r="FP21">
        <v>120</v>
      </c>
      <c r="GR21" t="s">
        <v>548</v>
      </c>
      <c r="GS21">
        <v>0.6</v>
      </c>
      <c r="GT21">
        <v>80</v>
      </c>
      <c r="GU21">
        <v>260</v>
      </c>
      <c r="HC21">
        <v>0.1</v>
      </c>
      <c r="HD21">
        <v>3</v>
      </c>
      <c r="HE21">
        <v>3</v>
      </c>
      <c r="HF21">
        <v>3</v>
      </c>
      <c r="HG21">
        <v>3</v>
      </c>
      <c r="HH21">
        <v>3</v>
      </c>
      <c r="HI21">
        <v>120</v>
      </c>
      <c r="HJ21">
        <v>3</v>
      </c>
      <c r="HK21">
        <v>30</v>
      </c>
      <c r="HL21">
        <v>2</v>
      </c>
      <c r="HM21">
        <v>0</v>
      </c>
      <c r="HN21">
        <v>2</v>
      </c>
      <c r="HO21">
        <v>75</v>
      </c>
      <c r="HP21">
        <v>3</v>
      </c>
      <c r="HQ21">
        <v>0</v>
      </c>
      <c r="HR21">
        <v>2</v>
      </c>
      <c r="HS21">
        <v>5375</v>
      </c>
      <c r="HT21">
        <v>160</v>
      </c>
      <c r="HU21">
        <v>180</v>
      </c>
      <c r="HW21">
        <v>0</v>
      </c>
      <c r="HX21">
        <v>410</v>
      </c>
      <c r="HY21">
        <v>0.18</v>
      </c>
      <c r="IA21">
        <v>0.15</v>
      </c>
      <c r="IB21">
        <v>0</v>
      </c>
      <c r="IC21">
        <v>180</v>
      </c>
      <c r="ID21">
        <v>110</v>
      </c>
      <c r="IE21">
        <v>225</v>
      </c>
      <c r="IF21">
        <v>0</v>
      </c>
      <c r="IH21" t="s">
        <v>549</v>
      </c>
      <c r="IO21">
        <v>3</v>
      </c>
      <c r="IP21">
        <v>19</v>
      </c>
      <c r="IQ21">
        <v>0</v>
      </c>
      <c r="IR21">
        <v>0</v>
      </c>
      <c r="IV21">
        <v>1458</v>
      </c>
      <c r="IW21">
        <v>402</v>
      </c>
      <c r="IY21">
        <v>300</v>
      </c>
      <c r="JA21">
        <v>1</v>
      </c>
      <c r="JB21">
        <v>0</v>
      </c>
      <c r="JC21">
        <v>2</v>
      </c>
      <c r="JD21">
        <v>1475</v>
      </c>
      <c r="JE21">
        <v>1468</v>
      </c>
      <c r="JF21">
        <v>1473</v>
      </c>
      <c r="JG21">
        <v>1457</v>
      </c>
      <c r="JH21">
        <v>0</v>
      </c>
      <c r="JJ21">
        <v>180</v>
      </c>
      <c r="JK21">
        <v>410</v>
      </c>
      <c r="JN21">
        <v>370</v>
      </c>
      <c r="JO21">
        <v>525</v>
      </c>
      <c r="JP21">
        <v>445</v>
      </c>
      <c r="JQ21">
        <v>0</v>
      </c>
      <c r="JR21">
        <v>404</v>
      </c>
      <c r="JS21">
        <v>120</v>
      </c>
      <c r="JV21">
        <v>8</v>
      </c>
      <c r="JW21" t="s">
        <v>550</v>
      </c>
      <c r="JX21">
        <v>460</v>
      </c>
      <c r="KA21">
        <v>225</v>
      </c>
      <c r="KB21">
        <v>110</v>
      </c>
      <c r="KC21">
        <v>0</v>
      </c>
      <c r="KD21">
        <v>80</v>
      </c>
      <c r="KF21">
        <v>4</v>
      </c>
      <c r="KG21">
        <v>2</v>
      </c>
      <c r="KH21">
        <v>2</v>
      </c>
      <c r="KI21">
        <v>2</v>
      </c>
      <c r="KJ21">
        <v>0</v>
      </c>
      <c r="KK21">
        <v>1.5</v>
      </c>
      <c r="KL21">
        <v>1.5</v>
      </c>
      <c r="KM21">
        <v>0</v>
      </c>
      <c r="KN21">
        <v>0</v>
      </c>
      <c r="KO21">
        <v>0</v>
      </c>
      <c r="KR21">
        <v>30</v>
      </c>
      <c r="KS21">
        <v>60</v>
      </c>
      <c r="KT21">
        <v>0</v>
      </c>
      <c r="LK21">
        <v>480</v>
      </c>
      <c r="PG21">
        <v>1</v>
      </c>
      <c r="PI21" t="s">
        <v>917</v>
      </c>
      <c r="PJ21" t="s">
        <v>918</v>
      </c>
      <c r="PK21" t="s">
        <v>919</v>
      </c>
      <c r="PL21" t="s">
        <v>639</v>
      </c>
      <c r="PP21" t="s">
        <v>920</v>
      </c>
      <c r="PS21" t="s">
        <v>693</v>
      </c>
      <c r="PX21">
        <v>56</v>
      </c>
      <c r="PY21">
        <v>56</v>
      </c>
      <c r="PZ21" t="s">
        <v>917</v>
      </c>
      <c r="QA21">
        <v>2</v>
      </c>
      <c r="QB21">
        <v>1457</v>
      </c>
      <c r="QC21">
        <v>69</v>
      </c>
      <c r="QD21">
        <v>69</v>
      </c>
      <c r="QE21" t="s">
        <v>639</v>
      </c>
      <c r="QF21">
        <v>2</v>
      </c>
      <c r="QG21">
        <v>1475</v>
      </c>
      <c r="QH21">
        <v>66</v>
      </c>
      <c r="QI21">
        <v>66</v>
      </c>
      <c r="QJ21" t="s">
        <v>693</v>
      </c>
      <c r="QK21">
        <v>1</v>
      </c>
      <c r="QL21">
        <v>1475</v>
      </c>
      <c r="QM21">
        <v>62</v>
      </c>
      <c r="QN21">
        <v>62</v>
      </c>
      <c r="QO21" t="s">
        <v>918</v>
      </c>
      <c r="QP21">
        <v>1</v>
      </c>
      <c r="QQ21">
        <v>1468</v>
      </c>
      <c r="QR21">
        <v>62</v>
      </c>
      <c r="QS21">
        <v>62</v>
      </c>
      <c r="QT21" t="s">
        <v>919</v>
      </c>
      <c r="QU21">
        <v>1</v>
      </c>
      <c r="QV21">
        <v>1473</v>
      </c>
      <c r="QW21">
        <v>82</v>
      </c>
      <c r="QX21">
        <v>89</v>
      </c>
      <c r="QY21" t="s">
        <v>920</v>
      </c>
      <c r="QZ21">
        <v>1</v>
      </c>
      <c r="RA21">
        <v>66</v>
      </c>
      <c r="RB21">
        <v>66</v>
      </c>
      <c r="RE21">
        <v>0</v>
      </c>
      <c r="RF21">
        <v>1</v>
      </c>
      <c r="RH21">
        <v>1</v>
      </c>
      <c r="RJ21">
        <v>1</v>
      </c>
      <c r="RK21">
        <v>2</v>
      </c>
      <c r="RL21">
        <v>3</v>
      </c>
      <c r="RM21">
        <v>3</v>
      </c>
      <c r="RO21">
        <v>568</v>
      </c>
      <c r="RP21">
        <v>105</v>
      </c>
      <c r="RQ21">
        <v>632</v>
      </c>
      <c r="RR21">
        <v>544</v>
      </c>
      <c r="RT21">
        <v>291</v>
      </c>
      <c r="RU21">
        <v>220</v>
      </c>
      <c r="RV21" t="s">
        <v>923</v>
      </c>
      <c r="RW21" t="s">
        <v>707</v>
      </c>
      <c r="RX21">
        <v>15</v>
      </c>
      <c r="RY21">
        <v>4</v>
      </c>
      <c r="RZ21" t="s">
        <v>707</v>
      </c>
      <c r="SA21">
        <v>15</v>
      </c>
      <c r="SC21" t="s">
        <v>918</v>
      </c>
      <c r="SD21">
        <v>1</v>
      </c>
      <c r="SF21" t="s">
        <v>919</v>
      </c>
      <c r="SG21">
        <v>1</v>
      </c>
      <c r="SH21">
        <v>0.995</v>
      </c>
      <c r="SI21">
        <v>0.995</v>
      </c>
      <c r="SJ21">
        <v>0.995</v>
      </c>
      <c r="SK21">
        <v>15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1</v>
      </c>
      <c r="SZ21">
        <v>1</v>
      </c>
      <c r="TB21">
        <v>0</v>
      </c>
      <c r="TC21">
        <v>0</v>
      </c>
      <c r="TD21">
        <v>7.5</v>
      </c>
      <c r="TE21" t="s">
        <v>553</v>
      </c>
      <c r="TF21" t="s">
        <v>655</v>
      </c>
      <c r="TG21" t="s">
        <v>555</v>
      </c>
      <c r="TI21" t="s">
        <v>546</v>
      </c>
      <c r="TJ21" t="s">
        <v>547</v>
      </c>
      <c r="TL21" t="s">
        <v>556</v>
      </c>
      <c r="TM21" t="s">
        <v>513</v>
      </c>
      <c r="TN21">
        <v>0</v>
      </c>
      <c r="TO21" t="s">
        <v>557</v>
      </c>
    </row>
    <row r="22" spans="1:535">
      <c r="A22" t="s">
        <v>924</v>
      </c>
      <c r="B22" t="s">
        <v>629</v>
      </c>
      <c r="C22" t="s">
        <v>509</v>
      </c>
      <c r="D22" t="s">
        <v>911</v>
      </c>
      <c r="G22" t="s">
        <v>627</v>
      </c>
      <c r="H22" t="s">
        <v>604</v>
      </c>
      <c r="I22" t="s">
        <v>628</v>
      </c>
      <c r="J22" t="s">
        <v>606</v>
      </c>
      <c r="L22" t="s">
        <v>512</v>
      </c>
      <c r="M22" t="s">
        <v>711</v>
      </c>
      <c r="N22" t="s">
        <v>513</v>
      </c>
      <c r="O22" t="s">
        <v>607</v>
      </c>
      <c r="Q22" t="s">
        <v>925</v>
      </c>
      <c r="R22" t="s">
        <v>567</v>
      </c>
      <c r="S22" t="s">
        <v>926</v>
      </c>
      <c r="T22" t="s">
        <v>927</v>
      </c>
      <c r="U22" t="s">
        <v>570</v>
      </c>
      <c r="V22" t="s">
        <v>571</v>
      </c>
      <c r="W22" t="s">
        <v>928</v>
      </c>
      <c r="X22" t="s">
        <v>573</v>
      </c>
      <c r="Y22" t="s">
        <v>574</v>
      </c>
      <c r="Z22" t="s">
        <v>929</v>
      </c>
      <c r="AA22" t="s">
        <v>930</v>
      </c>
      <c r="AB22" t="s">
        <v>931</v>
      </c>
      <c r="AC22">
        <v>2</v>
      </c>
      <c r="AD22">
        <v>56</v>
      </c>
      <c r="AE22">
        <v>231</v>
      </c>
      <c r="AF22">
        <v>1.5</v>
      </c>
      <c r="AH22">
        <v>0</v>
      </c>
      <c r="AI22" t="s">
        <v>932</v>
      </c>
      <c r="AJ22">
        <v>215</v>
      </c>
      <c r="AK22">
        <v>1</v>
      </c>
      <c r="AL22">
        <v>1.5</v>
      </c>
      <c r="AM22" t="s">
        <v>579</v>
      </c>
      <c r="AN22" t="s">
        <v>693</v>
      </c>
      <c r="AO22">
        <v>2</v>
      </c>
      <c r="AP22" t="s">
        <v>581</v>
      </c>
      <c r="AQ22" t="s">
        <v>582</v>
      </c>
      <c r="AR22">
        <v>253</v>
      </c>
      <c r="AS22">
        <v>1.5</v>
      </c>
      <c r="AT22" t="s">
        <v>583</v>
      </c>
      <c r="AU22" t="s">
        <v>933</v>
      </c>
      <c r="AW22" t="s">
        <v>933</v>
      </c>
      <c r="AX22">
        <v>1</v>
      </c>
      <c r="AY22">
        <v>302.5</v>
      </c>
      <c r="AZ22">
        <v>1.5</v>
      </c>
      <c r="BA22" t="s">
        <v>579</v>
      </c>
      <c r="BB22" t="s">
        <v>934</v>
      </c>
      <c r="BD22" t="s">
        <v>934</v>
      </c>
      <c r="BE22">
        <v>1</v>
      </c>
      <c r="BF22">
        <v>255</v>
      </c>
      <c r="BG22">
        <v>1.5</v>
      </c>
      <c r="BJ22">
        <v>0</v>
      </c>
      <c r="BN22">
        <v>1.5</v>
      </c>
      <c r="BP22" t="s">
        <v>935</v>
      </c>
      <c r="BQ22" t="s">
        <v>587</v>
      </c>
      <c r="BR22">
        <v>2</v>
      </c>
      <c r="BS22" t="s">
        <v>875</v>
      </c>
      <c r="BT22">
        <v>231</v>
      </c>
      <c r="BU22">
        <v>0.5</v>
      </c>
      <c r="BV22" t="s">
        <v>875</v>
      </c>
      <c r="BW22">
        <v>462</v>
      </c>
      <c r="BX22">
        <v>1</v>
      </c>
      <c r="BY22" t="s">
        <v>589</v>
      </c>
      <c r="BZ22">
        <v>470</v>
      </c>
      <c r="CA22">
        <v>530</v>
      </c>
      <c r="CB22" t="s">
        <v>590</v>
      </c>
      <c r="CC22" t="s">
        <v>590</v>
      </c>
      <c r="CD22">
        <v>476</v>
      </c>
      <c r="CE22" t="s">
        <v>591</v>
      </c>
      <c r="CF22">
        <v>15</v>
      </c>
      <c r="CG22" t="s">
        <v>936</v>
      </c>
      <c r="CH22" t="s">
        <v>936</v>
      </c>
      <c r="CI22">
        <v>30</v>
      </c>
      <c r="CJ22">
        <v>1538</v>
      </c>
      <c r="CK22">
        <v>2</v>
      </c>
      <c r="CL22">
        <v>1632</v>
      </c>
      <c r="CM22">
        <v>2</v>
      </c>
      <c r="CN22" t="s">
        <v>593</v>
      </c>
      <c r="CO22" t="s">
        <v>594</v>
      </c>
      <c r="CP22" t="s">
        <v>595</v>
      </c>
      <c r="CQ22" t="s">
        <v>596</v>
      </c>
      <c r="CR22" t="s">
        <v>541</v>
      </c>
      <c r="CS22" t="s">
        <v>542</v>
      </c>
      <c r="CT22">
        <v>430</v>
      </c>
      <c r="CU22">
        <v>5</v>
      </c>
      <c r="CV22">
        <v>1.3</v>
      </c>
      <c r="CW22">
        <v>1555</v>
      </c>
      <c r="CX22">
        <v>1028</v>
      </c>
      <c r="CY22" t="s">
        <v>705</v>
      </c>
      <c r="CZ22">
        <v>50</v>
      </c>
      <c r="DA22">
        <v>3</v>
      </c>
      <c r="DB22">
        <v>1</v>
      </c>
      <c r="DC22">
        <v>1555</v>
      </c>
      <c r="DD22">
        <v>82</v>
      </c>
      <c r="DE22" t="s">
        <v>543</v>
      </c>
      <c r="DF22">
        <v>605</v>
      </c>
      <c r="DG22">
        <v>3</v>
      </c>
      <c r="DH22">
        <v>1.18</v>
      </c>
      <c r="DI22">
        <v>1548</v>
      </c>
      <c r="DJ22">
        <v>1433</v>
      </c>
      <c r="DK22" t="s">
        <v>543</v>
      </c>
      <c r="DL22">
        <v>510</v>
      </c>
      <c r="DM22">
        <v>3</v>
      </c>
      <c r="DN22">
        <v>1.18</v>
      </c>
      <c r="DO22">
        <v>1555</v>
      </c>
      <c r="DP22">
        <v>1157</v>
      </c>
      <c r="DW22" t="s">
        <v>544</v>
      </c>
      <c r="DX22">
        <v>7.5</v>
      </c>
      <c r="EA22">
        <v>1625.4</v>
      </c>
      <c r="EB22">
        <v>383</v>
      </c>
      <c r="EC22" t="s">
        <v>545</v>
      </c>
      <c r="ED22">
        <v>40</v>
      </c>
      <c r="EE22">
        <v>3</v>
      </c>
      <c r="EG22">
        <v>1676</v>
      </c>
      <c r="EH22">
        <v>266</v>
      </c>
      <c r="EJ22">
        <v>0</v>
      </c>
      <c r="EK22">
        <v>1</v>
      </c>
      <c r="EN22">
        <v>0</v>
      </c>
      <c r="EP22" t="s">
        <v>546</v>
      </c>
      <c r="EQ22">
        <v>115</v>
      </c>
      <c r="ER22">
        <v>3</v>
      </c>
      <c r="ES22">
        <v>5.5</v>
      </c>
      <c r="ET22">
        <v>1534</v>
      </c>
      <c r="EU22">
        <v>519.7</v>
      </c>
      <c r="EV22">
        <v>797</v>
      </c>
      <c r="EW22" t="s">
        <v>547</v>
      </c>
      <c r="EX22">
        <v>45</v>
      </c>
      <c r="EY22">
        <v>2</v>
      </c>
      <c r="EZ22">
        <v>4.5</v>
      </c>
      <c r="FA22">
        <v>1534</v>
      </c>
      <c r="FB22">
        <v>151.6</v>
      </c>
      <c r="FC22">
        <v>233</v>
      </c>
      <c r="FE22">
        <v>0</v>
      </c>
      <c r="FF22">
        <v>2</v>
      </c>
      <c r="FI22">
        <v>0</v>
      </c>
      <c r="FK22" t="s">
        <v>548</v>
      </c>
      <c r="FL22">
        <v>0.4</v>
      </c>
      <c r="FM22">
        <v>40</v>
      </c>
      <c r="FN22">
        <v>400</v>
      </c>
      <c r="FO22">
        <v>80</v>
      </c>
      <c r="FP22">
        <v>170</v>
      </c>
      <c r="GR22" t="s">
        <v>548</v>
      </c>
      <c r="GS22">
        <v>0.4</v>
      </c>
      <c r="GT22">
        <v>60</v>
      </c>
      <c r="GU22">
        <v>310</v>
      </c>
      <c r="HC22">
        <v>0.1</v>
      </c>
      <c r="HD22">
        <v>3</v>
      </c>
      <c r="HE22">
        <v>3</v>
      </c>
      <c r="HF22">
        <v>3</v>
      </c>
      <c r="HG22">
        <v>3</v>
      </c>
      <c r="HH22">
        <v>3</v>
      </c>
      <c r="HI22">
        <v>145</v>
      </c>
      <c r="HJ22">
        <v>3</v>
      </c>
      <c r="HK22">
        <v>30</v>
      </c>
      <c r="HL22">
        <v>2</v>
      </c>
      <c r="HM22">
        <v>0</v>
      </c>
      <c r="HN22">
        <v>2</v>
      </c>
      <c r="HO22">
        <v>100</v>
      </c>
      <c r="HP22">
        <v>3</v>
      </c>
      <c r="HQ22">
        <v>0</v>
      </c>
      <c r="HR22">
        <v>2</v>
      </c>
      <c r="HS22">
        <v>7140</v>
      </c>
      <c r="HT22">
        <v>210</v>
      </c>
      <c r="HU22">
        <v>180</v>
      </c>
      <c r="HW22">
        <v>0</v>
      </c>
      <c r="HX22">
        <v>570</v>
      </c>
      <c r="HY22">
        <v>0.18</v>
      </c>
      <c r="IA22">
        <v>0.15</v>
      </c>
      <c r="IB22">
        <v>0</v>
      </c>
      <c r="IC22">
        <v>180</v>
      </c>
      <c r="ID22">
        <v>110</v>
      </c>
      <c r="IE22">
        <v>225</v>
      </c>
      <c r="IF22">
        <v>0</v>
      </c>
      <c r="IH22" t="s">
        <v>549</v>
      </c>
      <c r="IO22">
        <v>3</v>
      </c>
      <c r="IP22">
        <v>20</v>
      </c>
      <c r="IQ22">
        <v>0</v>
      </c>
      <c r="IR22">
        <v>0</v>
      </c>
      <c r="IV22">
        <v>1538</v>
      </c>
      <c r="IW22">
        <v>462</v>
      </c>
      <c r="JA22">
        <v>1</v>
      </c>
      <c r="JB22">
        <v>0</v>
      </c>
      <c r="JC22">
        <v>2</v>
      </c>
      <c r="JD22">
        <v>1555</v>
      </c>
      <c r="JE22">
        <v>1548</v>
      </c>
      <c r="JF22">
        <v>1555</v>
      </c>
      <c r="JG22">
        <v>1534</v>
      </c>
      <c r="JH22">
        <v>0</v>
      </c>
      <c r="JJ22">
        <v>180</v>
      </c>
      <c r="JK22">
        <v>570</v>
      </c>
      <c r="JN22">
        <v>430</v>
      </c>
      <c r="JO22">
        <v>605</v>
      </c>
      <c r="JP22">
        <v>510</v>
      </c>
      <c r="JQ22">
        <v>0</v>
      </c>
      <c r="JR22">
        <v>462</v>
      </c>
      <c r="JS22">
        <v>145</v>
      </c>
      <c r="JV22">
        <v>8</v>
      </c>
      <c r="JW22" t="s">
        <v>550</v>
      </c>
      <c r="JX22">
        <v>506</v>
      </c>
      <c r="KA22">
        <v>225</v>
      </c>
      <c r="KB22">
        <v>110</v>
      </c>
      <c r="KC22">
        <v>0</v>
      </c>
      <c r="KD22">
        <v>80</v>
      </c>
      <c r="KF22">
        <v>4</v>
      </c>
      <c r="KG22">
        <v>2</v>
      </c>
      <c r="KH22">
        <v>2</v>
      </c>
      <c r="KI22">
        <v>2</v>
      </c>
      <c r="KJ22">
        <v>0</v>
      </c>
      <c r="KK22">
        <v>1.5</v>
      </c>
      <c r="KL22">
        <v>1.5</v>
      </c>
      <c r="KM22">
        <v>0</v>
      </c>
      <c r="KN22">
        <v>0</v>
      </c>
      <c r="KO22">
        <v>0</v>
      </c>
      <c r="KR22">
        <v>30</v>
      </c>
      <c r="KS22">
        <v>60</v>
      </c>
      <c r="KT22">
        <v>0</v>
      </c>
      <c r="LK22">
        <v>480</v>
      </c>
      <c r="PG22">
        <v>1</v>
      </c>
      <c r="PI22" t="s">
        <v>931</v>
      </c>
      <c r="PJ22" t="s">
        <v>933</v>
      </c>
      <c r="PK22" t="s">
        <v>934</v>
      </c>
      <c r="PL22" t="s">
        <v>932</v>
      </c>
      <c r="PP22" t="s">
        <v>935</v>
      </c>
      <c r="PS22" t="s">
        <v>693</v>
      </c>
      <c r="PX22">
        <v>56</v>
      </c>
      <c r="PY22">
        <v>56</v>
      </c>
      <c r="PZ22" t="s">
        <v>931</v>
      </c>
      <c r="QA22">
        <v>1</v>
      </c>
      <c r="QB22">
        <v>1534</v>
      </c>
      <c r="QC22">
        <v>69</v>
      </c>
      <c r="QD22">
        <v>69</v>
      </c>
      <c r="QE22" t="s">
        <v>932</v>
      </c>
      <c r="QF22">
        <v>2</v>
      </c>
      <c r="QG22">
        <v>1555</v>
      </c>
      <c r="QH22">
        <v>66</v>
      </c>
      <c r="QI22">
        <v>66</v>
      </c>
      <c r="QJ22" t="s">
        <v>693</v>
      </c>
      <c r="QK22">
        <v>1</v>
      </c>
      <c r="QL22">
        <v>1555</v>
      </c>
      <c r="QM22">
        <v>62</v>
      </c>
      <c r="QN22">
        <v>62</v>
      </c>
      <c r="QO22" t="s">
        <v>933</v>
      </c>
      <c r="QP22">
        <v>1</v>
      </c>
      <c r="QQ22">
        <v>1548</v>
      </c>
      <c r="QR22">
        <v>62</v>
      </c>
      <c r="QS22">
        <v>62</v>
      </c>
      <c r="QT22" t="s">
        <v>934</v>
      </c>
      <c r="QU22">
        <v>1</v>
      </c>
      <c r="QV22">
        <v>1555</v>
      </c>
      <c r="QW22">
        <v>82</v>
      </c>
      <c r="QX22" t="s">
        <v>587</v>
      </c>
      <c r="QY22" t="s">
        <v>935</v>
      </c>
      <c r="QZ22">
        <v>3</v>
      </c>
      <c r="RA22">
        <v>66</v>
      </c>
      <c r="RB22">
        <v>66</v>
      </c>
      <c r="RE22">
        <v>0</v>
      </c>
      <c r="RF22">
        <v>1</v>
      </c>
      <c r="RH22">
        <v>1</v>
      </c>
      <c r="RJ22">
        <v>1</v>
      </c>
      <c r="RK22">
        <v>2</v>
      </c>
      <c r="RL22">
        <v>1</v>
      </c>
      <c r="RM22">
        <v>1</v>
      </c>
      <c r="RO22">
        <v>661</v>
      </c>
      <c r="RP22">
        <v>105</v>
      </c>
      <c r="RQ22">
        <v>926</v>
      </c>
      <c r="RR22">
        <v>744</v>
      </c>
      <c r="RT22">
        <v>383</v>
      </c>
      <c r="RU22">
        <v>266</v>
      </c>
      <c r="RV22" t="s">
        <v>876</v>
      </c>
      <c r="RW22" t="s">
        <v>599</v>
      </c>
      <c r="RX22">
        <v>15</v>
      </c>
      <c r="RY22">
        <v>4</v>
      </c>
      <c r="RZ22" t="s">
        <v>599</v>
      </c>
      <c r="SA22">
        <v>15</v>
      </c>
      <c r="SC22" t="s">
        <v>933</v>
      </c>
      <c r="SD22">
        <v>1</v>
      </c>
      <c r="SF22" t="s">
        <v>934</v>
      </c>
      <c r="SG22">
        <v>1</v>
      </c>
      <c r="SH22">
        <v>0.995</v>
      </c>
      <c r="SI22">
        <v>0.995</v>
      </c>
      <c r="SJ22">
        <v>0.995</v>
      </c>
      <c r="SK22">
        <v>15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1</v>
      </c>
      <c r="SZ22">
        <v>1</v>
      </c>
      <c r="TB22">
        <v>0</v>
      </c>
      <c r="TC22">
        <v>0</v>
      </c>
      <c r="TD22">
        <v>7.5</v>
      </c>
      <c r="TE22" t="s">
        <v>553</v>
      </c>
      <c r="TF22" t="s">
        <v>681</v>
      </c>
      <c r="TG22" t="s">
        <v>555</v>
      </c>
      <c r="TI22" t="s">
        <v>546</v>
      </c>
      <c r="TJ22" t="s">
        <v>547</v>
      </c>
      <c r="TL22" t="s">
        <v>556</v>
      </c>
      <c r="TM22" t="s">
        <v>513</v>
      </c>
      <c r="TN22">
        <v>0</v>
      </c>
      <c r="TO22" t="s">
        <v>601</v>
      </c>
    </row>
    <row r="23" spans="1:535">
      <c r="A23" t="s">
        <v>937</v>
      </c>
      <c r="B23" t="s">
        <v>564</v>
      </c>
      <c r="C23" t="s">
        <v>509</v>
      </c>
      <c r="D23" t="s">
        <v>803</v>
      </c>
      <c r="G23" t="s">
        <v>604</v>
      </c>
      <c r="H23" t="s">
        <v>605</v>
      </c>
      <c r="I23" t="s">
        <v>628</v>
      </c>
      <c r="J23" t="s">
        <v>606</v>
      </c>
      <c r="L23" t="s">
        <v>512</v>
      </c>
      <c r="M23" t="s">
        <v>629</v>
      </c>
      <c r="N23" t="s">
        <v>513</v>
      </c>
      <c r="O23" t="s">
        <v>607</v>
      </c>
      <c r="Q23" t="s">
        <v>938</v>
      </c>
      <c r="R23" t="s">
        <v>567</v>
      </c>
      <c r="S23" t="s">
        <v>939</v>
      </c>
      <c r="T23" t="s">
        <v>759</v>
      </c>
      <c r="U23" t="s">
        <v>633</v>
      </c>
      <c r="V23" t="s">
        <v>634</v>
      </c>
      <c r="W23" t="s">
        <v>940</v>
      </c>
      <c r="X23" t="s">
        <v>573</v>
      </c>
      <c r="Y23" t="s">
        <v>524</v>
      </c>
      <c r="Z23" t="s">
        <v>941</v>
      </c>
      <c r="AA23" t="s">
        <v>942</v>
      </c>
      <c r="AB23" t="s">
        <v>943</v>
      </c>
      <c r="AC23">
        <v>2</v>
      </c>
      <c r="AD23">
        <v>56</v>
      </c>
      <c r="AE23">
        <v>177</v>
      </c>
      <c r="AF23">
        <v>1.5</v>
      </c>
      <c r="AH23">
        <v>0</v>
      </c>
      <c r="AI23" t="s">
        <v>944</v>
      </c>
      <c r="AJ23">
        <v>187.5</v>
      </c>
      <c r="AK23">
        <v>1</v>
      </c>
      <c r="AL23">
        <v>1.5</v>
      </c>
      <c r="AM23" t="s">
        <v>529</v>
      </c>
      <c r="AO23">
        <v>0</v>
      </c>
      <c r="AR23">
        <v>0</v>
      </c>
      <c r="AS23">
        <v>1.5</v>
      </c>
      <c r="AU23" t="s">
        <v>945</v>
      </c>
      <c r="AW23" t="s">
        <v>945</v>
      </c>
      <c r="AX23">
        <v>1</v>
      </c>
      <c r="AY23">
        <v>267.5</v>
      </c>
      <c r="AZ23">
        <v>1.5</v>
      </c>
      <c r="BA23" t="s">
        <v>529</v>
      </c>
      <c r="BG23">
        <v>1.5</v>
      </c>
      <c r="BJ23">
        <v>0</v>
      </c>
      <c r="BN23">
        <v>1.5</v>
      </c>
      <c r="BP23" t="s">
        <v>946</v>
      </c>
      <c r="BQ23">
        <v>89</v>
      </c>
      <c r="BR23">
        <v>2</v>
      </c>
      <c r="BS23" t="s">
        <v>947</v>
      </c>
      <c r="BT23">
        <v>200</v>
      </c>
      <c r="BU23">
        <v>0.5</v>
      </c>
      <c r="BV23" t="s">
        <v>947</v>
      </c>
      <c r="BW23">
        <v>400</v>
      </c>
      <c r="BX23">
        <v>1</v>
      </c>
      <c r="BY23" t="s">
        <v>643</v>
      </c>
      <c r="BZ23">
        <v>300</v>
      </c>
      <c r="CA23">
        <v>460</v>
      </c>
      <c r="CB23" t="s">
        <v>644</v>
      </c>
      <c r="CC23" t="s">
        <v>644</v>
      </c>
      <c r="CD23">
        <v>410</v>
      </c>
      <c r="CE23" t="s">
        <v>544</v>
      </c>
      <c r="CF23">
        <v>15</v>
      </c>
      <c r="CG23" t="s">
        <v>645</v>
      </c>
      <c r="CH23" t="s">
        <v>645</v>
      </c>
      <c r="CI23">
        <v>80</v>
      </c>
      <c r="CJ23">
        <v>1301</v>
      </c>
      <c r="CK23">
        <v>2</v>
      </c>
      <c r="CL23">
        <v>1395</v>
      </c>
      <c r="CM23">
        <v>2</v>
      </c>
      <c r="CN23" t="s">
        <v>646</v>
      </c>
      <c r="CO23" t="s">
        <v>647</v>
      </c>
      <c r="CP23" t="s">
        <v>648</v>
      </c>
      <c r="CQ23" t="s">
        <v>540</v>
      </c>
      <c r="CR23" t="s">
        <v>541</v>
      </c>
      <c r="CS23" t="s">
        <v>542</v>
      </c>
      <c r="CT23">
        <v>375</v>
      </c>
      <c r="CU23">
        <v>5</v>
      </c>
      <c r="CV23">
        <v>1.2</v>
      </c>
      <c r="CW23">
        <v>1314</v>
      </c>
      <c r="CX23">
        <v>698</v>
      </c>
      <c r="DD23">
        <v>0</v>
      </c>
      <c r="DE23" t="s">
        <v>948</v>
      </c>
      <c r="DF23">
        <v>535</v>
      </c>
      <c r="DG23">
        <v>3</v>
      </c>
      <c r="DH23">
        <v>1.22</v>
      </c>
      <c r="DI23">
        <v>1312</v>
      </c>
      <c r="DJ23">
        <v>1185</v>
      </c>
      <c r="DW23" t="s">
        <v>544</v>
      </c>
      <c r="DX23">
        <v>7.5</v>
      </c>
      <c r="EA23">
        <v>1381.4</v>
      </c>
      <c r="EB23">
        <v>245</v>
      </c>
      <c r="EC23" t="s">
        <v>545</v>
      </c>
      <c r="ED23">
        <v>40</v>
      </c>
      <c r="EE23">
        <v>3</v>
      </c>
      <c r="EG23">
        <v>1422</v>
      </c>
      <c r="EH23">
        <v>228</v>
      </c>
      <c r="EJ23">
        <v>0</v>
      </c>
      <c r="EK23">
        <v>1</v>
      </c>
      <c r="EN23">
        <v>0</v>
      </c>
      <c r="EP23" t="s">
        <v>546</v>
      </c>
      <c r="EQ23">
        <v>95</v>
      </c>
      <c r="ER23">
        <v>3</v>
      </c>
      <c r="ES23">
        <v>6</v>
      </c>
      <c r="ET23">
        <v>1301</v>
      </c>
      <c r="EU23">
        <v>453.4</v>
      </c>
      <c r="EV23">
        <v>590</v>
      </c>
      <c r="EW23" t="s">
        <v>547</v>
      </c>
      <c r="EX23">
        <v>70</v>
      </c>
      <c r="EY23">
        <v>2</v>
      </c>
      <c r="EZ23">
        <v>4.5</v>
      </c>
      <c r="FA23">
        <v>1301</v>
      </c>
      <c r="FB23">
        <v>219.6</v>
      </c>
      <c r="FC23">
        <v>286</v>
      </c>
      <c r="FE23">
        <v>0</v>
      </c>
      <c r="FF23">
        <v>2</v>
      </c>
      <c r="FI23">
        <v>0</v>
      </c>
      <c r="FK23" t="s">
        <v>548</v>
      </c>
      <c r="FL23">
        <v>0.4</v>
      </c>
      <c r="FM23">
        <v>90</v>
      </c>
      <c r="FN23">
        <v>140</v>
      </c>
      <c r="FR23" t="s">
        <v>548</v>
      </c>
      <c r="FS23">
        <v>0.4</v>
      </c>
      <c r="FT23">
        <v>30</v>
      </c>
      <c r="FU23">
        <v>360</v>
      </c>
      <c r="FV23">
        <v>55</v>
      </c>
      <c r="FW23">
        <v>180</v>
      </c>
      <c r="HC23">
        <v>0.1</v>
      </c>
      <c r="HD23">
        <v>3</v>
      </c>
      <c r="HE23">
        <v>3</v>
      </c>
      <c r="HF23">
        <v>3</v>
      </c>
      <c r="HG23">
        <v>3</v>
      </c>
      <c r="HH23">
        <v>3</v>
      </c>
      <c r="HI23">
        <v>150</v>
      </c>
      <c r="HJ23">
        <v>3</v>
      </c>
      <c r="HK23">
        <v>55</v>
      </c>
      <c r="HL23">
        <v>2</v>
      </c>
      <c r="HM23">
        <v>0</v>
      </c>
      <c r="HN23">
        <v>2</v>
      </c>
      <c r="HO23">
        <v>80</v>
      </c>
      <c r="HP23">
        <v>3</v>
      </c>
      <c r="HQ23">
        <v>0</v>
      </c>
      <c r="HR23">
        <v>2</v>
      </c>
      <c r="HS23">
        <v>4581</v>
      </c>
      <c r="HT23">
        <v>140</v>
      </c>
      <c r="HU23">
        <v>180</v>
      </c>
      <c r="HW23">
        <v>0</v>
      </c>
      <c r="HX23">
        <v>450</v>
      </c>
      <c r="HY23">
        <v>0.18</v>
      </c>
      <c r="IA23">
        <v>0.15</v>
      </c>
      <c r="IB23">
        <v>0</v>
      </c>
      <c r="IC23">
        <v>180</v>
      </c>
      <c r="ID23">
        <v>110</v>
      </c>
      <c r="IE23">
        <v>0</v>
      </c>
      <c r="IF23">
        <v>0</v>
      </c>
      <c r="IH23" t="s">
        <v>549</v>
      </c>
      <c r="IO23">
        <v>1</v>
      </c>
      <c r="IP23">
        <v>17</v>
      </c>
      <c r="IQ23">
        <v>0</v>
      </c>
      <c r="IR23">
        <v>1</v>
      </c>
      <c r="IV23">
        <v>1301</v>
      </c>
      <c r="IW23">
        <v>400</v>
      </c>
      <c r="JA23">
        <v>1</v>
      </c>
      <c r="JB23">
        <v>0</v>
      </c>
      <c r="JC23">
        <v>2</v>
      </c>
      <c r="JD23">
        <v>1314</v>
      </c>
      <c r="JE23">
        <v>1312</v>
      </c>
      <c r="JF23">
        <v>0</v>
      </c>
      <c r="JG23">
        <v>1301</v>
      </c>
      <c r="JH23">
        <v>0</v>
      </c>
      <c r="JJ23">
        <v>180</v>
      </c>
      <c r="JK23">
        <v>450</v>
      </c>
      <c r="JN23">
        <v>375</v>
      </c>
      <c r="JO23">
        <v>535</v>
      </c>
      <c r="JP23">
        <v>0</v>
      </c>
      <c r="JQ23">
        <v>0</v>
      </c>
      <c r="JR23">
        <v>354</v>
      </c>
      <c r="JS23">
        <v>150</v>
      </c>
      <c r="JV23">
        <v>8</v>
      </c>
      <c r="JW23" t="s">
        <v>550</v>
      </c>
      <c r="JX23">
        <v>0</v>
      </c>
      <c r="KA23">
        <v>0</v>
      </c>
      <c r="KB23">
        <v>110</v>
      </c>
      <c r="KC23">
        <v>0</v>
      </c>
      <c r="KD23">
        <v>80</v>
      </c>
      <c r="KF23">
        <v>4</v>
      </c>
      <c r="KG23">
        <v>2.5</v>
      </c>
      <c r="KH23">
        <v>2</v>
      </c>
      <c r="KI23">
        <v>2</v>
      </c>
      <c r="KJ23">
        <v>0</v>
      </c>
      <c r="KK23">
        <v>1.5</v>
      </c>
      <c r="KL23">
        <v>1.5</v>
      </c>
      <c r="KM23">
        <v>0</v>
      </c>
      <c r="KN23">
        <v>0</v>
      </c>
      <c r="KO23">
        <v>0</v>
      </c>
      <c r="KR23">
        <v>30</v>
      </c>
      <c r="KS23">
        <v>60</v>
      </c>
      <c r="KT23">
        <v>0</v>
      </c>
      <c r="LK23">
        <v>480</v>
      </c>
      <c r="PG23">
        <v>1</v>
      </c>
      <c r="PI23" t="s">
        <v>943</v>
      </c>
      <c r="PJ23" t="s">
        <v>945</v>
      </c>
      <c r="PL23" t="s">
        <v>944</v>
      </c>
      <c r="PP23" t="s">
        <v>946</v>
      </c>
      <c r="PX23">
        <v>56</v>
      </c>
      <c r="PY23">
        <v>56</v>
      </c>
      <c r="PZ23" t="s">
        <v>943</v>
      </c>
      <c r="QA23">
        <v>2</v>
      </c>
      <c r="QB23">
        <v>1301</v>
      </c>
      <c r="QC23">
        <v>69</v>
      </c>
      <c r="QD23">
        <v>69</v>
      </c>
      <c r="QE23" t="s">
        <v>944</v>
      </c>
      <c r="QF23">
        <v>1</v>
      </c>
      <c r="QG23">
        <v>1314</v>
      </c>
      <c r="QH23">
        <v>66</v>
      </c>
      <c r="QI23">
        <v>66</v>
      </c>
      <c r="QL23">
        <v>0</v>
      </c>
      <c r="QM23">
        <v>62</v>
      </c>
      <c r="QN23">
        <v>62</v>
      </c>
      <c r="QO23" t="s">
        <v>945</v>
      </c>
      <c r="QP23">
        <v>1</v>
      </c>
      <c r="QQ23">
        <v>1312</v>
      </c>
      <c r="QW23">
        <v>82</v>
      </c>
      <c r="QX23">
        <v>89</v>
      </c>
      <c r="QY23" t="s">
        <v>946</v>
      </c>
      <c r="QZ23">
        <v>1</v>
      </c>
      <c r="RA23">
        <v>66</v>
      </c>
      <c r="RB23">
        <v>66</v>
      </c>
      <c r="RE23">
        <v>0</v>
      </c>
      <c r="RF23">
        <v>1</v>
      </c>
      <c r="RJ23">
        <v>1</v>
      </c>
      <c r="RL23">
        <v>2</v>
      </c>
      <c r="RO23">
        <v>531</v>
      </c>
      <c r="RQ23">
        <v>903</v>
      </c>
      <c r="RT23">
        <v>245</v>
      </c>
      <c r="RU23">
        <v>228</v>
      </c>
      <c r="RV23" t="s">
        <v>949</v>
      </c>
      <c r="RW23" t="s">
        <v>653</v>
      </c>
      <c r="RX23">
        <v>15</v>
      </c>
      <c r="RY23">
        <v>4</v>
      </c>
      <c r="RZ23" t="s">
        <v>653</v>
      </c>
      <c r="SA23">
        <v>15</v>
      </c>
      <c r="SC23" t="s">
        <v>945</v>
      </c>
      <c r="SD23">
        <v>1</v>
      </c>
      <c r="SH23">
        <v>0.995</v>
      </c>
      <c r="SI23">
        <v>0.995</v>
      </c>
      <c r="SJ23">
        <v>0.995</v>
      </c>
      <c r="SK23">
        <v>15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TB23">
        <v>0</v>
      </c>
      <c r="TC23">
        <v>0</v>
      </c>
      <c r="TD23">
        <v>7.5</v>
      </c>
      <c r="TE23" t="s">
        <v>553</v>
      </c>
      <c r="TF23" t="s">
        <v>624</v>
      </c>
      <c r="TG23" t="s">
        <v>555</v>
      </c>
      <c r="TI23" t="s">
        <v>546</v>
      </c>
      <c r="TJ23" t="s">
        <v>547</v>
      </c>
      <c r="TL23" t="s">
        <v>556</v>
      </c>
      <c r="TM23" t="s">
        <v>513</v>
      </c>
      <c r="TN23">
        <v>0</v>
      </c>
      <c r="TO23" t="s">
        <v>557</v>
      </c>
    </row>
    <row r="24" spans="1:535">
      <c r="A24" t="s">
        <v>950</v>
      </c>
      <c r="B24" t="s">
        <v>559</v>
      </c>
      <c r="C24" t="s">
        <v>509</v>
      </c>
      <c r="D24" t="s">
        <v>951</v>
      </c>
      <c r="G24" t="s">
        <v>604</v>
      </c>
      <c r="H24" t="s">
        <v>605</v>
      </c>
      <c r="J24" t="s">
        <v>606</v>
      </c>
      <c r="L24" t="s">
        <v>512</v>
      </c>
      <c r="M24" t="s">
        <v>564</v>
      </c>
      <c r="N24" t="s">
        <v>513</v>
      </c>
      <c r="O24" t="s">
        <v>607</v>
      </c>
      <c r="Q24" t="s">
        <v>952</v>
      </c>
      <c r="R24" t="s">
        <v>567</v>
      </c>
      <c r="S24" t="s">
        <v>953</v>
      </c>
      <c r="T24" t="s">
        <v>954</v>
      </c>
      <c r="U24" t="s">
        <v>662</v>
      </c>
      <c r="V24" t="s">
        <v>663</v>
      </c>
      <c r="W24" t="s">
        <v>955</v>
      </c>
      <c r="X24" t="s">
        <v>573</v>
      </c>
      <c r="Y24" t="s">
        <v>524</v>
      </c>
      <c r="Z24" t="s">
        <v>956</v>
      </c>
      <c r="AA24" t="s">
        <v>957</v>
      </c>
      <c r="AB24" t="s">
        <v>958</v>
      </c>
      <c r="AC24">
        <v>2</v>
      </c>
      <c r="AD24">
        <v>56</v>
      </c>
      <c r="AE24">
        <v>190</v>
      </c>
      <c r="AF24">
        <v>1.5</v>
      </c>
      <c r="AH24">
        <v>0</v>
      </c>
      <c r="AI24" t="s">
        <v>812</v>
      </c>
      <c r="AJ24">
        <v>205</v>
      </c>
      <c r="AK24">
        <v>1</v>
      </c>
      <c r="AL24">
        <v>1.5</v>
      </c>
      <c r="AM24" t="s">
        <v>529</v>
      </c>
      <c r="AO24">
        <v>0</v>
      </c>
      <c r="AR24">
        <v>0</v>
      </c>
      <c r="AS24">
        <v>1.5</v>
      </c>
      <c r="AU24" t="s">
        <v>959</v>
      </c>
      <c r="AW24" t="s">
        <v>959</v>
      </c>
      <c r="AX24">
        <v>1</v>
      </c>
      <c r="AY24">
        <v>292.5</v>
      </c>
      <c r="AZ24">
        <v>1.5</v>
      </c>
      <c r="BA24" t="s">
        <v>529</v>
      </c>
      <c r="BB24" t="s">
        <v>960</v>
      </c>
      <c r="BD24" t="s">
        <v>960</v>
      </c>
      <c r="BE24">
        <v>1</v>
      </c>
      <c r="BF24">
        <v>240</v>
      </c>
      <c r="BG24">
        <v>1.5</v>
      </c>
      <c r="BJ24">
        <v>0</v>
      </c>
      <c r="BN24">
        <v>1.5</v>
      </c>
      <c r="BP24" t="s">
        <v>961</v>
      </c>
      <c r="BQ24">
        <v>88</v>
      </c>
      <c r="BR24">
        <v>2</v>
      </c>
      <c r="BS24" t="s">
        <v>768</v>
      </c>
      <c r="BT24">
        <v>216</v>
      </c>
      <c r="BU24">
        <v>0.5</v>
      </c>
      <c r="BV24" t="s">
        <v>768</v>
      </c>
      <c r="BW24">
        <v>432</v>
      </c>
      <c r="BX24">
        <v>1</v>
      </c>
      <c r="BY24" t="s">
        <v>643</v>
      </c>
      <c r="BZ24">
        <v>290</v>
      </c>
      <c r="CA24">
        <v>490</v>
      </c>
      <c r="CB24" t="s">
        <v>672</v>
      </c>
      <c r="CC24" t="s">
        <v>672</v>
      </c>
      <c r="CD24">
        <v>450</v>
      </c>
      <c r="CE24" t="s">
        <v>673</v>
      </c>
      <c r="CF24">
        <v>15</v>
      </c>
      <c r="CG24" t="s">
        <v>674</v>
      </c>
      <c r="CH24" t="s">
        <v>674</v>
      </c>
      <c r="CI24">
        <v>100</v>
      </c>
      <c r="CJ24">
        <v>1381</v>
      </c>
      <c r="CK24">
        <v>2</v>
      </c>
      <c r="CL24">
        <v>1475</v>
      </c>
      <c r="CM24">
        <v>2</v>
      </c>
      <c r="CN24" t="s">
        <v>675</v>
      </c>
      <c r="CO24" t="s">
        <v>676</v>
      </c>
      <c r="CP24" t="s">
        <v>595</v>
      </c>
      <c r="CQ24" t="s">
        <v>621</v>
      </c>
      <c r="CR24" t="s">
        <v>541</v>
      </c>
      <c r="CS24" t="s">
        <v>542</v>
      </c>
      <c r="CT24">
        <v>410</v>
      </c>
      <c r="CU24">
        <v>5</v>
      </c>
      <c r="CV24">
        <v>1.2</v>
      </c>
      <c r="CW24">
        <v>1393</v>
      </c>
      <c r="CX24">
        <v>809</v>
      </c>
      <c r="DD24">
        <v>0</v>
      </c>
      <c r="DE24" t="s">
        <v>622</v>
      </c>
      <c r="DF24">
        <v>585</v>
      </c>
      <c r="DG24">
        <v>3</v>
      </c>
      <c r="DH24">
        <v>0.88</v>
      </c>
      <c r="DI24">
        <v>1390</v>
      </c>
      <c r="DJ24">
        <v>942</v>
      </c>
      <c r="DK24" t="s">
        <v>622</v>
      </c>
      <c r="DL24">
        <v>480</v>
      </c>
      <c r="DM24">
        <v>3</v>
      </c>
      <c r="DN24">
        <v>0.88</v>
      </c>
      <c r="DO24">
        <v>1396</v>
      </c>
      <c r="DP24">
        <v>772</v>
      </c>
      <c r="DW24" t="s">
        <v>544</v>
      </c>
      <c r="DX24">
        <v>7.5</v>
      </c>
      <c r="EA24">
        <v>1464.3</v>
      </c>
      <c r="EB24">
        <v>259</v>
      </c>
      <c r="EC24" t="s">
        <v>545</v>
      </c>
      <c r="ED24">
        <v>45</v>
      </c>
      <c r="EE24">
        <v>3</v>
      </c>
      <c r="EG24">
        <v>1505</v>
      </c>
      <c r="EH24">
        <v>275</v>
      </c>
      <c r="EJ24">
        <v>0</v>
      </c>
      <c r="EK24">
        <v>1</v>
      </c>
      <c r="EN24">
        <v>0</v>
      </c>
      <c r="EP24" t="s">
        <v>546</v>
      </c>
      <c r="EQ24">
        <v>115</v>
      </c>
      <c r="ER24">
        <v>3</v>
      </c>
      <c r="ES24">
        <v>6</v>
      </c>
      <c r="ET24">
        <v>1381</v>
      </c>
      <c r="EU24">
        <v>522.3</v>
      </c>
      <c r="EV24">
        <v>721</v>
      </c>
      <c r="EW24" t="s">
        <v>547</v>
      </c>
      <c r="EX24">
        <v>70</v>
      </c>
      <c r="EY24">
        <v>2</v>
      </c>
      <c r="EZ24">
        <v>4.5</v>
      </c>
      <c r="FA24">
        <v>1381</v>
      </c>
      <c r="FB24">
        <v>232.9</v>
      </c>
      <c r="FC24">
        <v>322</v>
      </c>
      <c r="FE24">
        <v>0</v>
      </c>
      <c r="FF24">
        <v>2</v>
      </c>
      <c r="FI24">
        <v>0</v>
      </c>
      <c r="FK24" t="s">
        <v>548</v>
      </c>
      <c r="FL24">
        <v>0.4</v>
      </c>
      <c r="FM24">
        <v>115</v>
      </c>
      <c r="FN24">
        <v>130</v>
      </c>
      <c r="GR24" t="s">
        <v>548</v>
      </c>
      <c r="GS24">
        <v>0.4</v>
      </c>
      <c r="GT24">
        <v>90</v>
      </c>
      <c r="GU24">
        <v>270</v>
      </c>
      <c r="HC24">
        <v>0.1</v>
      </c>
      <c r="HD24">
        <v>3</v>
      </c>
      <c r="HE24">
        <v>3</v>
      </c>
      <c r="HF24">
        <v>3</v>
      </c>
      <c r="HG24">
        <v>3</v>
      </c>
      <c r="HH24">
        <v>3</v>
      </c>
      <c r="HI24">
        <v>170</v>
      </c>
      <c r="HJ24">
        <v>3</v>
      </c>
      <c r="HK24">
        <v>55</v>
      </c>
      <c r="HL24">
        <v>2</v>
      </c>
      <c r="HM24">
        <v>0</v>
      </c>
      <c r="HN24">
        <v>2</v>
      </c>
      <c r="HO24">
        <v>100</v>
      </c>
      <c r="HP24">
        <v>3</v>
      </c>
      <c r="HQ24">
        <v>0</v>
      </c>
      <c r="HR24">
        <v>2</v>
      </c>
      <c r="HS24">
        <v>5677</v>
      </c>
      <c r="HT24">
        <v>170</v>
      </c>
      <c r="HU24">
        <v>180</v>
      </c>
      <c r="HW24">
        <v>0</v>
      </c>
      <c r="HX24">
        <v>450</v>
      </c>
      <c r="HY24">
        <v>0.18</v>
      </c>
      <c r="IA24">
        <v>0.15</v>
      </c>
      <c r="IB24">
        <v>0</v>
      </c>
      <c r="IC24">
        <v>180</v>
      </c>
      <c r="ID24">
        <v>110</v>
      </c>
      <c r="IE24">
        <v>225</v>
      </c>
      <c r="IF24">
        <v>0</v>
      </c>
      <c r="IH24" t="s">
        <v>549</v>
      </c>
      <c r="IO24">
        <v>3</v>
      </c>
      <c r="IP24">
        <v>18</v>
      </c>
      <c r="IQ24">
        <v>0</v>
      </c>
      <c r="IR24">
        <v>1</v>
      </c>
      <c r="IV24">
        <v>1381</v>
      </c>
      <c r="IW24">
        <v>432</v>
      </c>
      <c r="JA24">
        <v>1</v>
      </c>
      <c r="JB24">
        <v>0</v>
      </c>
      <c r="JC24">
        <v>2</v>
      </c>
      <c r="JD24">
        <v>1393</v>
      </c>
      <c r="JE24">
        <v>1390</v>
      </c>
      <c r="JF24">
        <v>1396</v>
      </c>
      <c r="JG24">
        <v>1381</v>
      </c>
      <c r="JH24">
        <v>0</v>
      </c>
      <c r="JJ24">
        <v>180</v>
      </c>
      <c r="JK24">
        <v>450</v>
      </c>
      <c r="JN24">
        <v>410</v>
      </c>
      <c r="JO24">
        <v>585</v>
      </c>
      <c r="JP24">
        <v>480</v>
      </c>
      <c r="JQ24">
        <v>0</v>
      </c>
      <c r="JR24">
        <v>380</v>
      </c>
      <c r="JS24">
        <v>170</v>
      </c>
      <c r="JV24">
        <v>8</v>
      </c>
      <c r="JW24" t="s">
        <v>550</v>
      </c>
      <c r="JX24">
        <v>0</v>
      </c>
      <c r="KA24">
        <v>225</v>
      </c>
      <c r="KB24">
        <v>110</v>
      </c>
      <c r="KC24">
        <v>0</v>
      </c>
      <c r="KD24">
        <v>80</v>
      </c>
      <c r="KF24">
        <v>4</v>
      </c>
      <c r="KG24">
        <v>2.5</v>
      </c>
      <c r="KH24">
        <v>2</v>
      </c>
      <c r="KI24">
        <v>2</v>
      </c>
      <c r="KJ24">
        <v>0</v>
      </c>
      <c r="KK24">
        <v>1.5</v>
      </c>
      <c r="KL24">
        <v>1.5</v>
      </c>
      <c r="KM24">
        <v>0</v>
      </c>
      <c r="KN24">
        <v>0</v>
      </c>
      <c r="KO24">
        <v>0</v>
      </c>
      <c r="KR24">
        <v>30</v>
      </c>
      <c r="KS24">
        <v>60</v>
      </c>
      <c r="KT24">
        <v>0</v>
      </c>
      <c r="LK24">
        <v>480</v>
      </c>
      <c r="PG24">
        <v>1</v>
      </c>
      <c r="PI24" t="s">
        <v>958</v>
      </c>
      <c r="PJ24" t="s">
        <v>959</v>
      </c>
      <c r="PK24" t="s">
        <v>960</v>
      </c>
      <c r="PL24" t="s">
        <v>812</v>
      </c>
      <c r="PP24" t="s">
        <v>961</v>
      </c>
      <c r="PX24">
        <v>56</v>
      </c>
      <c r="PY24">
        <v>56</v>
      </c>
      <c r="PZ24" t="s">
        <v>958</v>
      </c>
      <c r="QA24">
        <v>1</v>
      </c>
      <c r="QB24">
        <v>1381</v>
      </c>
      <c r="QC24">
        <v>69</v>
      </c>
      <c r="QD24">
        <v>69</v>
      </c>
      <c r="QE24" t="s">
        <v>812</v>
      </c>
      <c r="QF24">
        <v>1</v>
      </c>
      <c r="QG24">
        <v>1393</v>
      </c>
      <c r="QH24">
        <v>66</v>
      </c>
      <c r="QI24">
        <v>66</v>
      </c>
      <c r="QL24">
        <v>0</v>
      </c>
      <c r="QM24">
        <v>62</v>
      </c>
      <c r="QN24">
        <v>62</v>
      </c>
      <c r="QO24" t="s">
        <v>959</v>
      </c>
      <c r="QP24">
        <v>1</v>
      </c>
      <c r="QQ24">
        <v>1390</v>
      </c>
      <c r="QR24">
        <v>62</v>
      </c>
      <c r="QS24">
        <v>62</v>
      </c>
      <c r="QT24" t="s">
        <v>960</v>
      </c>
      <c r="QU24">
        <v>1</v>
      </c>
      <c r="QV24">
        <v>1396</v>
      </c>
      <c r="QW24">
        <v>82</v>
      </c>
      <c r="QX24">
        <v>88</v>
      </c>
      <c r="QY24" t="s">
        <v>961</v>
      </c>
      <c r="QZ24">
        <v>1</v>
      </c>
      <c r="RA24">
        <v>66</v>
      </c>
      <c r="RB24">
        <v>66</v>
      </c>
      <c r="RE24">
        <v>0</v>
      </c>
      <c r="RF24">
        <v>1</v>
      </c>
      <c r="RH24">
        <v>1</v>
      </c>
      <c r="RJ24">
        <v>1</v>
      </c>
      <c r="RL24">
        <v>4</v>
      </c>
      <c r="RM24">
        <v>4</v>
      </c>
      <c r="RO24">
        <v>581</v>
      </c>
      <c r="RQ24">
        <v>678</v>
      </c>
      <c r="RR24">
        <v>553</v>
      </c>
      <c r="RT24">
        <v>259</v>
      </c>
      <c r="RU24">
        <v>275</v>
      </c>
      <c r="RV24" t="s">
        <v>770</v>
      </c>
      <c r="RW24" t="s">
        <v>679</v>
      </c>
      <c r="RX24">
        <v>15</v>
      </c>
      <c r="RY24">
        <v>4</v>
      </c>
      <c r="RZ24" t="s">
        <v>679</v>
      </c>
      <c r="SA24">
        <v>15</v>
      </c>
      <c r="SC24" t="s">
        <v>959</v>
      </c>
      <c r="SD24">
        <v>1</v>
      </c>
      <c r="SF24" t="s">
        <v>960</v>
      </c>
      <c r="SG24">
        <v>1</v>
      </c>
      <c r="SH24">
        <v>0.995</v>
      </c>
      <c r="SI24">
        <v>0.995</v>
      </c>
      <c r="SJ24">
        <v>0.995</v>
      </c>
      <c r="SK24">
        <v>15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Z24">
        <v>1</v>
      </c>
      <c r="TB24">
        <v>0</v>
      </c>
      <c r="TC24">
        <v>0</v>
      </c>
      <c r="TD24">
        <v>7.5</v>
      </c>
      <c r="TE24" t="s">
        <v>553</v>
      </c>
      <c r="TF24" t="s">
        <v>624</v>
      </c>
      <c r="TG24" t="s">
        <v>555</v>
      </c>
      <c r="TI24" t="s">
        <v>546</v>
      </c>
      <c r="TJ24" t="s">
        <v>547</v>
      </c>
      <c r="TL24" t="s">
        <v>556</v>
      </c>
      <c r="TM24" t="s">
        <v>513</v>
      </c>
      <c r="TN24">
        <v>0</v>
      </c>
      <c r="TO24" t="s">
        <v>557</v>
      </c>
    </row>
    <row r="25" spans="1:535">
      <c r="A25" t="s">
        <v>962</v>
      </c>
      <c r="B25" t="s">
        <v>564</v>
      </c>
      <c r="C25" t="s">
        <v>509</v>
      </c>
      <c r="D25" t="s">
        <v>710</v>
      </c>
      <c r="G25" t="s">
        <v>604</v>
      </c>
      <c r="H25" t="s">
        <v>605</v>
      </c>
      <c r="I25" t="s">
        <v>628</v>
      </c>
      <c r="J25" t="s">
        <v>606</v>
      </c>
      <c r="L25" t="s">
        <v>512</v>
      </c>
      <c r="M25" t="s">
        <v>629</v>
      </c>
      <c r="N25" t="s">
        <v>513</v>
      </c>
      <c r="O25" t="s">
        <v>565</v>
      </c>
      <c r="Q25" t="s">
        <v>963</v>
      </c>
      <c r="R25" t="s">
        <v>567</v>
      </c>
      <c r="S25" t="s">
        <v>964</v>
      </c>
      <c r="T25" t="s">
        <v>965</v>
      </c>
      <c r="U25" t="s">
        <v>686</v>
      </c>
      <c r="V25" t="s">
        <v>687</v>
      </c>
      <c r="W25" t="s">
        <v>715</v>
      </c>
      <c r="X25" t="s">
        <v>573</v>
      </c>
      <c r="Y25" t="s">
        <v>524</v>
      </c>
      <c r="Z25" t="s">
        <v>966</v>
      </c>
      <c r="AA25" t="s">
        <v>967</v>
      </c>
      <c r="AB25" t="s">
        <v>968</v>
      </c>
      <c r="AC25">
        <v>2</v>
      </c>
      <c r="AD25">
        <v>56</v>
      </c>
      <c r="AE25">
        <v>210</v>
      </c>
      <c r="AF25">
        <v>1.5</v>
      </c>
      <c r="AH25">
        <v>0</v>
      </c>
      <c r="AI25" t="s">
        <v>969</v>
      </c>
      <c r="AJ25">
        <v>192.5</v>
      </c>
      <c r="AK25">
        <v>1</v>
      </c>
      <c r="AL25">
        <v>1.5</v>
      </c>
      <c r="AM25" t="s">
        <v>579</v>
      </c>
      <c r="AN25" t="s">
        <v>693</v>
      </c>
      <c r="AO25">
        <v>2</v>
      </c>
      <c r="AP25" t="s">
        <v>581</v>
      </c>
      <c r="AQ25" t="s">
        <v>582</v>
      </c>
      <c r="AR25">
        <v>230</v>
      </c>
      <c r="AS25">
        <v>1.5</v>
      </c>
      <c r="AT25" t="s">
        <v>583</v>
      </c>
      <c r="AU25" t="s">
        <v>970</v>
      </c>
      <c r="AW25" t="s">
        <v>970</v>
      </c>
      <c r="AX25">
        <v>1</v>
      </c>
      <c r="AY25">
        <v>277.5</v>
      </c>
      <c r="AZ25">
        <v>1.5</v>
      </c>
      <c r="BA25" t="s">
        <v>579</v>
      </c>
      <c r="BC25" t="s">
        <v>971</v>
      </c>
      <c r="BD25" t="s">
        <v>971</v>
      </c>
      <c r="BE25">
        <v>1</v>
      </c>
      <c r="BF25">
        <v>235</v>
      </c>
      <c r="BG25">
        <v>1.5</v>
      </c>
      <c r="BJ25">
        <v>0</v>
      </c>
      <c r="BN25">
        <v>1.5</v>
      </c>
      <c r="BP25" t="s">
        <v>781</v>
      </c>
      <c r="BQ25">
        <v>88</v>
      </c>
      <c r="BR25">
        <v>2</v>
      </c>
      <c r="BS25" t="s">
        <v>782</v>
      </c>
      <c r="BT25">
        <v>211</v>
      </c>
      <c r="BU25">
        <v>0.5</v>
      </c>
      <c r="BV25" t="s">
        <v>782</v>
      </c>
      <c r="BW25">
        <v>422</v>
      </c>
      <c r="BX25">
        <v>1</v>
      </c>
      <c r="BY25" t="s">
        <v>698</v>
      </c>
      <c r="BZ25">
        <v>300</v>
      </c>
      <c r="CA25">
        <v>480</v>
      </c>
      <c r="CB25" t="s">
        <v>699</v>
      </c>
      <c r="CC25" t="s">
        <v>699</v>
      </c>
      <c r="CD25">
        <v>444</v>
      </c>
      <c r="CE25" t="s">
        <v>700</v>
      </c>
      <c r="CF25">
        <v>15</v>
      </c>
      <c r="CG25" t="s">
        <v>783</v>
      </c>
      <c r="CH25" t="s">
        <v>783</v>
      </c>
      <c r="CI25">
        <v>90</v>
      </c>
      <c r="CJ25">
        <v>1458</v>
      </c>
      <c r="CK25">
        <v>2</v>
      </c>
      <c r="CL25">
        <v>1552</v>
      </c>
      <c r="CM25">
        <v>2</v>
      </c>
      <c r="CN25" t="s">
        <v>702</v>
      </c>
      <c r="CO25" t="s">
        <v>676</v>
      </c>
      <c r="CP25" t="s">
        <v>703</v>
      </c>
      <c r="CQ25" t="s">
        <v>704</v>
      </c>
      <c r="CR25" t="s">
        <v>650</v>
      </c>
      <c r="CS25" t="s">
        <v>542</v>
      </c>
      <c r="CT25">
        <v>385</v>
      </c>
      <c r="CU25">
        <v>5</v>
      </c>
      <c r="CV25">
        <v>1.2</v>
      </c>
      <c r="CW25">
        <v>1475</v>
      </c>
      <c r="CX25">
        <v>804</v>
      </c>
      <c r="CY25" t="s">
        <v>705</v>
      </c>
      <c r="CZ25">
        <v>50</v>
      </c>
      <c r="DA25">
        <v>3</v>
      </c>
      <c r="DB25">
        <v>1</v>
      </c>
      <c r="DC25">
        <v>1475</v>
      </c>
      <c r="DD25">
        <v>77</v>
      </c>
      <c r="DE25" t="s">
        <v>622</v>
      </c>
      <c r="DF25">
        <v>555</v>
      </c>
      <c r="DG25">
        <v>3</v>
      </c>
      <c r="DH25">
        <v>0.88</v>
      </c>
      <c r="DI25">
        <v>1467</v>
      </c>
      <c r="DJ25">
        <v>971</v>
      </c>
      <c r="DK25" t="s">
        <v>622</v>
      </c>
      <c r="DL25">
        <v>470</v>
      </c>
      <c r="DM25">
        <v>3</v>
      </c>
      <c r="DN25">
        <v>0.88</v>
      </c>
      <c r="DO25">
        <v>1472</v>
      </c>
      <c r="DP25">
        <v>882</v>
      </c>
      <c r="DW25" t="s">
        <v>544</v>
      </c>
      <c r="DX25">
        <v>7.5</v>
      </c>
      <c r="EA25">
        <v>1545.7</v>
      </c>
      <c r="EB25">
        <v>291</v>
      </c>
      <c r="EC25" t="s">
        <v>545</v>
      </c>
      <c r="ED25">
        <v>40</v>
      </c>
      <c r="EE25">
        <v>3</v>
      </c>
      <c r="EG25">
        <v>1587</v>
      </c>
      <c r="EH25">
        <v>252</v>
      </c>
      <c r="EJ25">
        <v>0</v>
      </c>
      <c r="EK25">
        <v>1</v>
      </c>
      <c r="EN25">
        <v>0</v>
      </c>
      <c r="EP25" t="s">
        <v>546</v>
      </c>
      <c r="EQ25">
        <v>80</v>
      </c>
      <c r="ER25">
        <v>3</v>
      </c>
      <c r="ES25">
        <v>6</v>
      </c>
      <c r="ET25">
        <v>1457</v>
      </c>
      <c r="EU25">
        <v>376.2</v>
      </c>
      <c r="EV25">
        <v>548</v>
      </c>
      <c r="EW25" t="s">
        <v>547</v>
      </c>
      <c r="EX25">
        <v>45</v>
      </c>
      <c r="EY25">
        <v>2</v>
      </c>
      <c r="EZ25">
        <v>5</v>
      </c>
      <c r="FA25">
        <v>1457</v>
      </c>
      <c r="FB25">
        <v>138.3</v>
      </c>
      <c r="FC25">
        <v>202</v>
      </c>
      <c r="FE25">
        <v>0</v>
      </c>
      <c r="FF25">
        <v>2</v>
      </c>
      <c r="FI25">
        <v>0</v>
      </c>
      <c r="FK25" t="s">
        <v>548</v>
      </c>
      <c r="FL25">
        <v>0.4</v>
      </c>
      <c r="FM25">
        <v>50</v>
      </c>
      <c r="FN25">
        <v>340</v>
      </c>
      <c r="FO25">
        <v>80</v>
      </c>
      <c r="FP25">
        <v>140</v>
      </c>
      <c r="GR25" t="s">
        <v>548</v>
      </c>
      <c r="GS25">
        <v>0.4</v>
      </c>
      <c r="GT25">
        <v>30</v>
      </c>
      <c r="GU25">
        <v>370</v>
      </c>
      <c r="GV25">
        <v>75</v>
      </c>
      <c r="GW25">
        <v>170</v>
      </c>
      <c r="GY25" t="s">
        <v>651</v>
      </c>
      <c r="GZ25">
        <v>1</v>
      </c>
      <c r="HA25">
        <v>20</v>
      </c>
      <c r="HB25">
        <v>196</v>
      </c>
      <c r="HC25">
        <v>0.1</v>
      </c>
      <c r="HD25">
        <v>3</v>
      </c>
      <c r="HE25">
        <v>3</v>
      </c>
      <c r="HF25">
        <v>3</v>
      </c>
      <c r="HG25">
        <v>3</v>
      </c>
      <c r="HH25">
        <v>3</v>
      </c>
      <c r="HI25">
        <v>110</v>
      </c>
      <c r="HJ25">
        <v>3</v>
      </c>
      <c r="HK25">
        <v>30</v>
      </c>
      <c r="HL25">
        <v>2</v>
      </c>
      <c r="HM25">
        <v>0</v>
      </c>
      <c r="HN25">
        <v>2</v>
      </c>
      <c r="HO25">
        <v>65</v>
      </c>
      <c r="HP25">
        <v>3</v>
      </c>
      <c r="HQ25">
        <v>0</v>
      </c>
      <c r="HR25">
        <v>2</v>
      </c>
      <c r="HS25">
        <v>5397</v>
      </c>
      <c r="HT25">
        <v>160</v>
      </c>
      <c r="HU25">
        <v>180</v>
      </c>
      <c r="HW25">
        <v>0</v>
      </c>
      <c r="HX25">
        <v>425</v>
      </c>
      <c r="HY25">
        <v>0.18</v>
      </c>
      <c r="IA25">
        <v>0.15</v>
      </c>
      <c r="IB25">
        <v>0</v>
      </c>
      <c r="IC25">
        <v>180</v>
      </c>
      <c r="ID25">
        <v>110</v>
      </c>
      <c r="IE25">
        <v>225</v>
      </c>
      <c r="IF25">
        <v>0</v>
      </c>
      <c r="IH25" t="s">
        <v>549</v>
      </c>
      <c r="IO25">
        <v>3</v>
      </c>
      <c r="IP25">
        <v>19</v>
      </c>
      <c r="IQ25">
        <v>0</v>
      </c>
      <c r="IR25">
        <v>0</v>
      </c>
      <c r="IV25">
        <v>1458</v>
      </c>
      <c r="IW25">
        <v>422</v>
      </c>
      <c r="JA25">
        <v>1</v>
      </c>
      <c r="JB25">
        <v>0</v>
      </c>
      <c r="JC25">
        <v>2</v>
      </c>
      <c r="JD25">
        <v>1475</v>
      </c>
      <c r="JE25">
        <v>1467</v>
      </c>
      <c r="JF25">
        <v>1472</v>
      </c>
      <c r="JG25">
        <v>1457</v>
      </c>
      <c r="JH25">
        <v>0</v>
      </c>
      <c r="JJ25">
        <v>180</v>
      </c>
      <c r="JK25">
        <v>425</v>
      </c>
      <c r="JN25">
        <v>385</v>
      </c>
      <c r="JO25">
        <v>555</v>
      </c>
      <c r="JP25">
        <v>470</v>
      </c>
      <c r="JQ25">
        <v>0</v>
      </c>
      <c r="JR25">
        <v>420</v>
      </c>
      <c r="JS25">
        <v>110</v>
      </c>
      <c r="JV25">
        <v>8</v>
      </c>
      <c r="JW25" t="s">
        <v>550</v>
      </c>
      <c r="JX25">
        <v>460</v>
      </c>
      <c r="KA25">
        <v>225</v>
      </c>
      <c r="KB25">
        <v>110</v>
      </c>
      <c r="KC25">
        <v>0</v>
      </c>
      <c r="KD25">
        <v>80</v>
      </c>
      <c r="KF25">
        <v>4</v>
      </c>
      <c r="KG25">
        <v>4</v>
      </c>
      <c r="KH25">
        <v>2</v>
      </c>
      <c r="KI25">
        <v>2</v>
      </c>
      <c r="KJ25">
        <v>0</v>
      </c>
      <c r="KK25">
        <v>1.5</v>
      </c>
      <c r="KL25">
        <v>1.5</v>
      </c>
      <c r="KM25">
        <v>0</v>
      </c>
      <c r="KN25">
        <v>0</v>
      </c>
      <c r="KO25">
        <v>0</v>
      </c>
      <c r="KR25">
        <v>30</v>
      </c>
      <c r="KS25">
        <v>60</v>
      </c>
      <c r="KT25">
        <v>0</v>
      </c>
      <c r="LK25">
        <v>480</v>
      </c>
      <c r="PG25">
        <v>1</v>
      </c>
      <c r="PI25" t="s">
        <v>968</v>
      </c>
      <c r="PJ25" t="s">
        <v>970</v>
      </c>
      <c r="PK25" t="s">
        <v>971</v>
      </c>
      <c r="PL25" t="s">
        <v>969</v>
      </c>
      <c r="PP25" t="s">
        <v>781</v>
      </c>
      <c r="PS25" t="s">
        <v>693</v>
      </c>
      <c r="PX25">
        <v>56</v>
      </c>
      <c r="PY25">
        <v>56</v>
      </c>
      <c r="PZ25" t="s">
        <v>968</v>
      </c>
      <c r="QA25">
        <v>1</v>
      </c>
      <c r="QB25">
        <v>1457</v>
      </c>
      <c r="QC25">
        <v>69</v>
      </c>
      <c r="QD25">
        <v>69</v>
      </c>
      <c r="QE25" t="s">
        <v>969</v>
      </c>
      <c r="QF25">
        <v>1</v>
      </c>
      <c r="QG25">
        <v>1475</v>
      </c>
      <c r="QH25">
        <v>66</v>
      </c>
      <c r="QI25">
        <v>66</v>
      </c>
      <c r="QJ25" t="s">
        <v>693</v>
      </c>
      <c r="QK25">
        <v>1</v>
      </c>
      <c r="QL25">
        <v>1475</v>
      </c>
      <c r="QM25">
        <v>62</v>
      </c>
      <c r="QN25">
        <v>62</v>
      </c>
      <c r="QO25" t="s">
        <v>970</v>
      </c>
      <c r="QP25">
        <v>1</v>
      </c>
      <c r="QQ25">
        <v>1467</v>
      </c>
      <c r="QR25">
        <v>63</v>
      </c>
      <c r="QS25">
        <v>63</v>
      </c>
      <c r="QT25" t="s">
        <v>971</v>
      </c>
      <c r="QU25">
        <v>1</v>
      </c>
      <c r="QV25">
        <v>1472</v>
      </c>
      <c r="QW25">
        <v>82</v>
      </c>
      <c r="QX25">
        <v>88</v>
      </c>
      <c r="QY25" t="s">
        <v>781</v>
      </c>
      <c r="QZ25">
        <v>1</v>
      </c>
      <c r="RA25">
        <v>66</v>
      </c>
      <c r="RB25">
        <v>66</v>
      </c>
      <c r="RE25">
        <v>0</v>
      </c>
      <c r="RF25">
        <v>1</v>
      </c>
      <c r="RI25">
        <v>1</v>
      </c>
      <c r="RJ25">
        <v>1</v>
      </c>
      <c r="RK25">
        <v>2</v>
      </c>
      <c r="RL25">
        <v>3</v>
      </c>
      <c r="RM25">
        <v>3</v>
      </c>
      <c r="RO25">
        <v>545</v>
      </c>
      <c r="RP25">
        <v>105</v>
      </c>
      <c r="RQ25">
        <v>662</v>
      </c>
      <c r="RR25">
        <v>599</v>
      </c>
      <c r="RT25">
        <v>291</v>
      </c>
      <c r="RU25">
        <v>252</v>
      </c>
      <c r="RV25" t="s">
        <v>784</v>
      </c>
      <c r="RW25" t="s">
        <v>707</v>
      </c>
      <c r="RX25">
        <v>15</v>
      </c>
      <c r="RY25">
        <v>4</v>
      </c>
      <c r="RZ25" t="s">
        <v>707</v>
      </c>
      <c r="SA25">
        <v>15</v>
      </c>
      <c r="SC25" t="s">
        <v>970</v>
      </c>
      <c r="SD25">
        <v>1</v>
      </c>
      <c r="SE25" t="s">
        <v>972</v>
      </c>
      <c r="SF25" t="s">
        <v>972</v>
      </c>
      <c r="SG25">
        <v>1</v>
      </c>
      <c r="SH25">
        <v>0.995</v>
      </c>
      <c r="SI25">
        <v>0.995</v>
      </c>
      <c r="SJ25">
        <v>0.995</v>
      </c>
      <c r="SK25">
        <v>15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1</v>
      </c>
      <c r="SZ25">
        <v>1</v>
      </c>
      <c r="TB25">
        <v>0</v>
      </c>
      <c r="TC25">
        <v>0</v>
      </c>
      <c r="TD25">
        <v>7.5</v>
      </c>
      <c r="TE25" t="s">
        <v>553</v>
      </c>
      <c r="TF25" t="s">
        <v>655</v>
      </c>
      <c r="TG25" t="s">
        <v>555</v>
      </c>
      <c r="TI25" t="s">
        <v>546</v>
      </c>
      <c r="TJ25" t="s">
        <v>547</v>
      </c>
      <c r="TL25" t="s">
        <v>556</v>
      </c>
      <c r="TM25" t="s">
        <v>513</v>
      </c>
      <c r="TN25">
        <v>0</v>
      </c>
      <c r="TO25" t="s">
        <v>557</v>
      </c>
    </row>
    <row r="26" spans="1:535">
      <c r="A26" t="s">
        <v>973</v>
      </c>
      <c r="B26" t="s">
        <v>564</v>
      </c>
      <c r="C26" t="s">
        <v>509</v>
      </c>
      <c r="D26" t="s">
        <v>974</v>
      </c>
      <c r="G26" t="s">
        <v>604</v>
      </c>
      <c r="H26" t="s">
        <v>605</v>
      </c>
      <c r="I26" t="s">
        <v>628</v>
      </c>
      <c r="J26" t="s">
        <v>606</v>
      </c>
      <c r="L26" t="s">
        <v>512</v>
      </c>
      <c r="M26" t="s">
        <v>629</v>
      </c>
      <c r="N26" t="s">
        <v>513</v>
      </c>
      <c r="O26" t="s">
        <v>607</v>
      </c>
      <c r="Q26" t="s">
        <v>975</v>
      </c>
      <c r="R26" t="s">
        <v>567</v>
      </c>
      <c r="S26" t="s">
        <v>976</v>
      </c>
      <c r="T26" t="s">
        <v>954</v>
      </c>
      <c r="U26" t="s">
        <v>633</v>
      </c>
      <c r="V26" t="s">
        <v>634</v>
      </c>
      <c r="W26" t="s">
        <v>715</v>
      </c>
      <c r="X26" t="s">
        <v>573</v>
      </c>
      <c r="Y26" t="s">
        <v>524</v>
      </c>
      <c r="Z26" t="s">
        <v>977</v>
      </c>
      <c r="AA26" t="s">
        <v>978</v>
      </c>
      <c r="AB26" t="s">
        <v>979</v>
      </c>
      <c r="AC26">
        <v>2</v>
      </c>
      <c r="AD26">
        <v>56</v>
      </c>
      <c r="AE26">
        <v>195</v>
      </c>
      <c r="AF26">
        <v>1.5</v>
      </c>
      <c r="AH26">
        <v>0</v>
      </c>
      <c r="AI26" t="s">
        <v>812</v>
      </c>
      <c r="AJ26">
        <v>205</v>
      </c>
      <c r="AK26">
        <v>1</v>
      </c>
      <c r="AL26">
        <v>1.5</v>
      </c>
      <c r="AM26" t="s">
        <v>529</v>
      </c>
      <c r="AO26">
        <v>0</v>
      </c>
      <c r="AR26">
        <v>0</v>
      </c>
      <c r="AS26">
        <v>1.5</v>
      </c>
      <c r="AU26" t="s">
        <v>980</v>
      </c>
      <c r="AW26" t="s">
        <v>980</v>
      </c>
      <c r="AX26">
        <v>1</v>
      </c>
      <c r="AY26">
        <v>297.5</v>
      </c>
      <c r="AZ26">
        <v>1.5</v>
      </c>
      <c r="BA26" t="s">
        <v>529</v>
      </c>
      <c r="BB26" t="s">
        <v>981</v>
      </c>
      <c r="BD26" t="s">
        <v>981</v>
      </c>
      <c r="BE26">
        <v>1</v>
      </c>
      <c r="BF26">
        <v>282.5</v>
      </c>
      <c r="BG26">
        <v>1.5</v>
      </c>
      <c r="BJ26">
        <v>0</v>
      </c>
      <c r="BN26">
        <v>1.5</v>
      </c>
      <c r="BP26" t="s">
        <v>982</v>
      </c>
      <c r="BQ26">
        <v>89</v>
      </c>
      <c r="BR26">
        <v>2</v>
      </c>
      <c r="BS26" t="s">
        <v>983</v>
      </c>
      <c r="BT26">
        <v>217</v>
      </c>
      <c r="BU26">
        <v>0.5</v>
      </c>
      <c r="BV26" t="s">
        <v>983</v>
      </c>
      <c r="BW26">
        <v>434</v>
      </c>
      <c r="BX26">
        <v>1</v>
      </c>
      <c r="BY26" t="s">
        <v>643</v>
      </c>
      <c r="BZ26">
        <v>300</v>
      </c>
      <c r="CA26">
        <v>480</v>
      </c>
      <c r="CB26" t="s">
        <v>644</v>
      </c>
      <c r="CC26" t="s">
        <v>644</v>
      </c>
      <c r="CD26">
        <v>450</v>
      </c>
      <c r="CE26" t="s">
        <v>544</v>
      </c>
      <c r="CF26">
        <v>15</v>
      </c>
      <c r="CG26" t="s">
        <v>830</v>
      </c>
      <c r="CH26" t="s">
        <v>830</v>
      </c>
      <c r="CI26">
        <v>90</v>
      </c>
      <c r="CJ26">
        <v>1301</v>
      </c>
      <c r="CK26">
        <v>2</v>
      </c>
      <c r="CL26">
        <v>1395</v>
      </c>
      <c r="CM26">
        <v>2</v>
      </c>
      <c r="CN26" t="s">
        <v>646</v>
      </c>
      <c r="CO26" t="s">
        <v>647</v>
      </c>
      <c r="CP26" t="s">
        <v>648</v>
      </c>
      <c r="CQ26" t="s">
        <v>892</v>
      </c>
      <c r="CR26" t="s">
        <v>541</v>
      </c>
      <c r="CS26" t="s">
        <v>542</v>
      </c>
      <c r="CT26">
        <v>410</v>
      </c>
      <c r="CU26">
        <v>5</v>
      </c>
      <c r="CV26">
        <v>1.2</v>
      </c>
      <c r="CW26">
        <v>1314</v>
      </c>
      <c r="CX26">
        <v>763</v>
      </c>
      <c r="DD26">
        <v>0</v>
      </c>
      <c r="DE26" t="s">
        <v>622</v>
      </c>
      <c r="DF26">
        <v>595</v>
      </c>
      <c r="DG26">
        <v>3</v>
      </c>
      <c r="DH26">
        <v>0.88</v>
      </c>
      <c r="DI26">
        <v>1311</v>
      </c>
      <c r="DJ26">
        <v>924</v>
      </c>
      <c r="DK26" t="s">
        <v>622</v>
      </c>
      <c r="DL26">
        <v>565</v>
      </c>
      <c r="DM26">
        <v>3</v>
      </c>
      <c r="DN26">
        <v>0.88</v>
      </c>
      <c r="DO26">
        <v>1319</v>
      </c>
      <c r="DP26">
        <v>845</v>
      </c>
      <c r="DW26" t="s">
        <v>544</v>
      </c>
      <c r="DX26">
        <v>7.5</v>
      </c>
      <c r="EA26">
        <v>1384.6</v>
      </c>
      <c r="EB26">
        <v>245</v>
      </c>
      <c r="EC26" t="s">
        <v>545</v>
      </c>
      <c r="ED26">
        <v>45</v>
      </c>
      <c r="EE26">
        <v>3</v>
      </c>
      <c r="EG26">
        <v>1425</v>
      </c>
      <c r="EH26">
        <v>261</v>
      </c>
      <c r="EJ26">
        <v>0</v>
      </c>
      <c r="EK26">
        <v>1</v>
      </c>
      <c r="EN26">
        <v>0</v>
      </c>
      <c r="EP26" t="s">
        <v>546</v>
      </c>
      <c r="EQ26">
        <v>115</v>
      </c>
      <c r="ER26">
        <v>3</v>
      </c>
      <c r="ES26">
        <v>5.5</v>
      </c>
      <c r="ET26">
        <v>1298</v>
      </c>
      <c r="EU26">
        <v>496.5</v>
      </c>
      <c r="EV26">
        <v>644</v>
      </c>
      <c r="EW26" t="s">
        <v>547</v>
      </c>
      <c r="EX26">
        <v>70</v>
      </c>
      <c r="EY26">
        <v>2</v>
      </c>
      <c r="EZ26">
        <v>4.5</v>
      </c>
      <c r="FA26">
        <v>1298</v>
      </c>
      <c r="FB26">
        <v>228.7</v>
      </c>
      <c r="FC26">
        <v>297</v>
      </c>
      <c r="FE26">
        <v>0</v>
      </c>
      <c r="FF26">
        <v>2</v>
      </c>
      <c r="FI26">
        <v>0</v>
      </c>
      <c r="FK26" t="s">
        <v>548</v>
      </c>
      <c r="FL26">
        <v>0.4</v>
      </c>
      <c r="FM26">
        <v>105</v>
      </c>
      <c r="FN26">
        <v>140</v>
      </c>
      <c r="FR26" t="s">
        <v>548</v>
      </c>
      <c r="FS26">
        <v>0.4</v>
      </c>
      <c r="FT26">
        <v>30</v>
      </c>
      <c r="FU26">
        <v>520</v>
      </c>
      <c r="GR26" t="s">
        <v>548</v>
      </c>
      <c r="GS26">
        <v>0.4</v>
      </c>
      <c r="GT26">
        <v>95</v>
      </c>
      <c r="GU26">
        <v>270</v>
      </c>
      <c r="HC26">
        <v>0.1</v>
      </c>
      <c r="HD26">
        <v>3</v>
      </c>
      <c r="HE26">
        <v>3</v>
      </c>
      <c r="HF26">
        <v>3</v>
      </c>
      <c r="HG26">
        <v>3</v>
      </c>
      <c r="HH26">
        <v>3</v>
      </c>
      <c r="HI26">
        <v>170</v>
      </c>
      <c r="HJ26">
        <v>3</v>
      </c>
      <c r="HK26">
        <v>55</v>
      </c>
      <c r="HL26">
        <v>2</v>
      </c>
      <c r="HM26">
        <v>0</v>
      </c>
      <c r="HN26">
        <v>2</v>
      </c>
      <c r="HO26">
        <v>100</v>
      </c>
      <c r="HP26">
        <v>3</v>
      </c>
      <c r="HQ26">
        <v>0</v>
      </c>
      <c r="HR26">
        <v>2</v>
      </c>
      <c r="HS26">
        <v>5426</v>
      </c>
      <c r="HT26">
        <v>160</v>
      </c>
      <c r="HU26">
        <v>180</v>
      </c>
      <c r="HW26">
        <v>0</v>
      </c>
      <c r="HX26">
        <v>450</v>
      </c>
      <c r="HY26">
        <v>0.18</v>
      </c>
      <c r="IA26">
        <v>0.15</v>
      </c>
      <c r="IB26">
        <v>0</v>
      </c>
      <c r="IC26">
        <v>180</v>
      </c>
      <c r="ID26">
        <v>110</v>
      </c>
      <c r="IE26">
        <v>225</v>
      </c>
      <c r="IF26">
        <v>0</v>
      </c>
      <c r="IH26" t="s">
        <v>549</v>
      </c>
      <c r="IO26">
        <v>3</v>
      </c>
      <c r="IP26">
        <v>17</v>
      </c>
      <c r="IQ26">
        <v>0</v>
      </c>
      <c r="IR26">
        <v>1</v>
      </c>
      <c r="IV26">
        <v>1301</v>
      </c>
      <c r="IW26">
        <v>434</v>
      </c>
      <c r="JA26">
        <v>1</v>
      </c>
      <c r="JB26">
        <v>0</v>
      </c>
      <c r="JC26">
        <v>2</v>
      </c>
      <c r="JD26">
        <v>1314</v>
      </c>
      <c r="JE26">
        <v>1311</v>
      </c>
      <c r="JF26">
        <v>1319</v>
      </c>
      <c r="JG26">
        <v>1298</v>
      </c>
      <c r="JH26">
        <v>0</v>
      </c>
      <c r="JJ26">
        <v>180</v>
      </c>
      <c r="JK26">
        <v>450</v>
      </c>
      <c r="JN26">
        <v>410</v>
      </c>
      <c r="JO26">
        <v>595</v>
      </c>
      <c r="JP26">
        <v>565</v>
      </c>
      <c r="JQ26">
        <v>0</v>
      </c>
      <c r="JR26">
        <v>390</v>
      </c>
      <c r="JS26">
        <v>170</v>
      </c>
      <c r="JV26">
        <v>8</v>
      </c>
      <c r="JW26" t="s">
        <v>550</v>
      </c>
      <c r="JX26">
        <v>0</v>
      </c>
      <c r="KA26">
        <v>225</v>
      </c>
      <c r="KB26">
        <v>110</v>
      </c>
      <c r="KC26">
        <v>0</v>
      </c>
      <c r="KD26">
        <v>80</v>
      </c>
      <c r="KF26">
        <v>4</v>
      </c>
      <c r="KG26">
        <v>2.5</v>
      </c>
      <c r="KH26">
        <v>2</v>
      </c>
      <c r="KI26">
        <v>2</v>
      </c>
      <c r="KJ26">
        <v>0</v>
      </c>
      <c r="KK26">
        <v>1.5</v>
      </c>
      <c r="KL26">
        <v>1.5</v>
      </c>
      <c r="KM26">
        <v>0</v>
      </c>
      <c r="KN26">
        <v>0</v>
      </c>
      <c r="KO26">
        <v>0</v>
      </c>
      <c r="KR26">
        <v>25</v>
      </c>
      <c r="KS26">
        <v>60</v>
      </c>
      <c r="KT26">
        <v>0</v>
      </c>
      <c r="LK26">
        <v>480</v>
      </c>
      <c r="PG26">
        <v>1</v>
      </c>
      <c r="PI26" t="s">
        <v>979</v>
      </c>
      <c r="PJ26" t="s">
        <v>980</v>
      </c>
      <c r="PK26" t="s">
        <v>981</v>
      </c>
      <c r="PL26" t="s">
        <v>812</v>
      </c>
      <c r="PP26" t="s">
        <v>982</v>
      </c>
      <c r="PX26">
        <v>56</v>
      </c>
      <c r="PY26">
        <v>56</v>
      </c>
      <c r="PZ26" t="s">
        <v>979</v>
      </c>
      <c r="QA26">
        <v>1</v>
      </c>
      <c r="QB26">
        <v>1298</v>
      </c>
      <c r="QC26">
        <v>69</v>
      </c>
      <c r="QD26">
        <v>69</v>
      </c>
      <c r="QE26" t="s">
        <v>812</v>
      </c>
      <c r="QF26">
        <v>1</v>
      </c>
      <c r="QG26">
        <v>1314</v>
      </c>
      <c r="QH26">
        <v>66</v>
      </c>
      <c r="QI26">
        <v>66</v>
      </c>
      <c r="QL26">
        <v>0</v>
      </c>
      <c r="QM26">
        <v>62</v>
      </c>
      <c r="QN26">
        <v>62</v>
      </c>
      <c r="QO26" t="s">
        <v>980</v>
      </c>
      <c r="QP26">
        <v>1</v>
      </c>
      <c r="QQ26">
        <v>1311</v>
      </c>
      <c r="QR26">
        <v>62</v>
      </c>
      <c r="QS26">
        <v>62</v>
      </c>
      <c r="QT26" t="s">
        <v>981</v>
      </c>
      <c r="QU26">
        <v>1</v>
      </c>
      <c r="QV26">
        <v>1319</v>
      </c>
      <c r="QW26">
        <v>82</v>
      </c>
      <c r="QX26">
        <v>89</v>
      </c>
      <c r="QY26" t="s">
        <v>982</v>
      </c>
      <c r="QZ26">
        <v>1</v>
      </c>
      <c r="RA26">
        <v>66</v>
      </c>
      <c r="RB26">
        <v>66</v>
      </c>
      <c r="RE26">
        <v>0</v>
      </c>
      <c r="RF26">
        <v>1</v>
      </c>
      <c r="RH26">
        <v>1</v>
      </c>
      <c r="RJ26">
        <v>1</v>
      </c>
      <c r="RL26">
        <v>4</v>
      </c>
      <c r="RM26">
        <v>4</v>
      </c>
      <c r="RO26">
        <v>581</v>
      </c>
      <c r="RQ26">
        <v>705</v>
      </c>
      <c r="RR26">
        <v>641</v>
      </c>
      <c r="RT26">
        <v>245</v>
      </c>
      <c r="RU26">
        <v>261</v>
      </c>
      <c r="RV26" t="s">
        <v>984</v>
      </c>
      <c r="RW26" t="s">
        <v>653</v>
      </c>
      <c r="RX26">
        <v>15</v>
      </c>
      <c r="RY26">
        <v>4</v>
      </c>
      <c r="RZ26" t="s">
        <v>653</v>
      </c>
      <c r="SA26">
        <v>15</v>
      </c>
      <c r="SC26" t="s">
        <v>980</v>
      </c>
      <c r="SD26">
        <v>1</v>
      </c>
      <c r="SF26" t="s">
        <v>981</v>
      </c>
      <c r="SG26">
        <v>1</v>
      </c>
      <c r="SH26">
        <v>0.995</v>
      </c>
      <c r="SI26">
        <v>0.995</v>
      </c>
      <c r="SJ26">
        <v>0.995</v>
      </c>
      <c r="SK26">
        <v>15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Z26">
        <v>1</v>
      </c>
      <c r="TB26">
        <v>1</v>
      </c>
      <c r="TC26">
        <v>0</v>
      </c>
      <c r="TD26">
        <v>7.5</v>
      </c>
      <c r="TE26" t="s">
        <v>553</v>
      </c>
      <c r="TF26" t="s">
        <v>624</v>
      </c>
      <c r="TG26" t="s">
        <v>555</v>
      </c>
      <c r="TI26" t="s">
        <v>546</v>
      </c>
      <c r="TJ26" t="s">
        <v>547</v>
      </c>
      <c r="TL26" t="s">
        <v>556</v>
      </c>
      <c r="TM26" t="s">
        <v>513</v>
      </c>
      <c r="TN26">
        <v>0</v>
      </c>
      <c r="TO26" t="s">
        <v>557</v>
      </c>
    </row>
    <row r="27" spans="1:535">
      <c r="A27" t="s">
        <v>985</v>
      </c>
      <c r="B27" t="s">
        <v>629</v>
      </c>
      <c r="C27" t="s">
        <v>509</v>
      </c>
      <c r="D27" t="s">
        <v>658</v>
      </c>
      <c r="G27" t="s">
        <v>604</v>
      </c>
      <c r="H27" t="s">
        <v>605</v>
      </c>
      <c r="I27" t="s">
        <v>628</v>
      </c>
      <c r="J27" t="s">
        <v>606</v>
      </c>
      <c r="L27" t="s">
        <v>512</v>
      </c>
      <c r="M27" t="s">
        <v>711</v>
      </c>
      <c r="N27" t="s">
        <v>513</v>
      </c>
      <c r="O27" t="s">
        <v>607</v>
      </c>
      <c r="Q27" t="s">
        <v>986</v>
      </c>
      <c r="R27" t="s">
        <v>567</v>
      </c>
      <c r="S27" t="s">
        <v>987</v>
      </c>
      <c r="T27" t="s">
        <v>988</v>
      </c>
      <c r="U27" t="s">
        <v>662</v>
      </c>
      <c r="V27" t="s">
        <v>663</v>
      </c>
      <c r="W27" t="s">
        <v>989</v>
      </c>
      <c r="X27" t="s">
        <v>573</v>
      </c>
      <c r="Y27" t="s">
        <v>574</v>
      </c>
      <c r="Z27" t="s">
        <v>990</v>
      </c>
      <c r="AA27" t="s">
        <v>991</v>
      </c>
      <c r="AB27" t="s">
        <v>992</v>
      </c>
      <c r="AC27">
        <v>2</v>
      </c>
      <c r="AD27">
        <v>56</v>
      </c>
      <c r="AE27">
        <v>257</v>
      </c>
      <c r="AF27">
        <v>1.5</v>
      </c>
      <c r="AH27">
        <v>0</v>
      </c>
      <c r="AI27" t="s">
        <v>993</v>
      </c>
      <c r="AJ27">
        <v>237.5</v>
      </c>
      <c r="AK27">
        <v>1</v>
      </c>
      <c r="AL27">
        <v>1.5</v>
      </c>
      <c r="AM27" t="s">
        <v>579</v>
      </c>
      <c r="AN27" t="s">
        <v>693</v>
      </c>
      <c r="AO27">
        <v>2</v>
      </c>
      <c r="AP27" t="s">
        <v>581</v>
      </c>
      <c r="AQ27" t="s">
        <v>582</v>
      </c>
      <c r="AR27">
        <v>275</v>
      </c>
      <c r="AS27">
        <v>1.5</v>
      </c>
      <c r="AT27" t="s">
        <v>583</v>
      </c>
      <c r="AU27" t="s">
        <v>994</v>
      </c>
      <c r="AW27" t="s">
        <v>994</v>
      </c>
      <c r="AX27">
        <v>1</v>
      </c>
      <c r="AY27">
        <v>345</v>
      </c>
      <c r="AZ27">
        <v>1.5</v>
      </c>
      <c r="BA27" t="s">
        <v>579</v>
      </c>
      <c r="BB27" t="s">
        <v>995</v>
      </c>
      <c r="BD27" t="s">
        <v>995</v>
      </c>
      <c r="BE27">
        <v>1</v>
      </c>
      <c r="BF27">
        <v>280</v>
      </c>
      <c r="BG27">
        <v>1.5</v>
      </c>
      <c r="BJ27">
        <v>0</v>
      </c>
      <c r="BN27">
        <v>1.5</v>
      </c>
      <c r="BP27" t="s">
        <v>996</v>
      </c>
      <c r="BQ27">
        <v>88</v>
      </c>
      <c r="BR27">
        <v>2</v>
      </c>
      <c r="BS27" t="s">
        <v>671</v>
      </c>
      <c r="BT27">
        <v>256</v>
      </c>
      <c r="BU27">
        <v>0.5</v>
      </c>
      <c r="BV27" t="s">
        <v>671</v>
      </c>
      <c r="BW27">
        <v>512</v>
      </c>
      <c r="BX27">
        <v>1</v>
      </c>
      <c r="BY27" t="s">
        <v>643</v>
      </c>
      <c r="BZ27">
        <v>470</v>
      </c>
      <c r="CA27">
        <v>570</v>
      </c>
      <c r="CB27" t="s">
        <v>672</v>
      </c>
      <c r="CC27" t="s">
        <v>997</v>
      </c>
      <c r="CD27">
        <v>526</v>
      </c>
      <c r="CE27" t="s">
        <v>673</v>
      </c>
      <c r="CF27">
        <v>15</v>
      </c>
      <c r="CG27" t="s">
        <v>998</v>
      </c>
      <c r="CH27" t="s">
        <v>998</v>
      </c>
      <c r="CI27">
        <v>50</v>
      </c>
      <c r="CJ27">
        <v>1381</v>
      </c>
      <c r="CK27">
        <v>2</v>
      </c>
      <c r="CL27">
        <v>1475</v>
      </c>
      <c r="CM27">
        <v>2</v>
      </c>
      <c r="CN27" t="s">
        <v>675</v>
      </c>
      <c r="CO27" t="s">
        <v>676</v>
      </c>
      <c r="CP27" t="s">
        <v>595</v>
      </c>
      <c r="CQ27" t="s">
        <v>596</v>
      </c>
      <c r="CR27" t="s">
        <v>541</v>
      </c>
      <c r="CS27" t="s">
        <v>542</v>
      </c>
      <c r="CT27">
        <v>475</v>
      </c>
      <c r="CU27">
        <v>5</v>
      </c>
      <c r="CV27">
        <v>1.2</v>
      </c>
      <c r="CW27">
        <v>1398</v>
      </c>
      <c r="CX27">
        <v>941</v>
      </c>
      <c r="CY27" t="s">
        <v>705</v>
      </c>
      <c r="CZ27">
        <v>50</v>
      </c>
      <c r="DA27">
        <v>3</v>
      </c>
      <c r="DB27">
        <v>1</v>
      </c>
      <c r="DC27">
        <v>1398</v>
      </c>
      <c r="DD27">
        <v>73</v>
      </c>
      <c r="DE27" t="s">
        <v>543</v>
      </c>
      <c r="DF27">
        <v>690</v>
      </c>
      <c r="DG27">
        <v>3</v>
      </c>
      <c r="DH27">
        <v>1.18</v>
      </c>
      <c r="DI27">
        <v>1391</v>
      </c>
      <c r="DJ27">
        <v>1484</v>
      </c>
      <c r="DK27" t="s">
        <v>543</v>
      </c>
      <c r="DL27">
        <v>560</v>
      </c>
      <c r="DM27">
        <v>3</v>
      </c>
      <c r="DN27">
        <v>1.18</v>
      </c>
      <c r="DO27">
        <v>1399</v>
      </c>
      <c r="DP27">
        <v>1192</v>
      </c>
      <c r="DW27" t="s">
        <v>544</v>
      </c>
      <c r="DX27">
        <v>7.5</v>
      </c>
      <c r="EA27">
        <v>1464.3</v>
      </c>
      <c r="EB27">
        <v>345</v>
      </c>
      <c r="EC27" t="s">
        <v>545</v>
      </c>
      <c r="ED27">
        <v>55</v>
      </c>
      <c r="EE27">
        <v>3</v>
      </c>
      <c r="EG27">
        <v>1515</v>
      </c>
      <c r="EH27">
        <v>341</v>
      </c>
      <c r="EJ27">
        <v>0</v>
      </c>
      <c r="EK27">
        <v>1</v>
      </c>
      <c r="EN27">
        <v>0</v>
      </c>
      <c r="EP27" t="s">
        <v>546</v>
      </c>
      <c r="EQ27">
        <v>140</v>
      </c>
      <c r="ER27">
        <v>3</v>
      </c>
      <c r="ES27">
        <v>6.5</v>
      </c>
      <c r="ET27">
        <v>1384</v>
      </c>
      <c r="EU27">
        <v>701.9</v>
      </c>
      <c r="EV27">
        <v>971</v>
      </c>
      <c r="EW27" t="s">
        <v>547</v>
      </c>
      <c r="EX27">
        <v>45</v>
      </c>
      <c r="EY27">
        <v>2</v>
      </c>
      <c r="EZ27">
        <v>4.5</v>
      </c>
      <c r="FA27">
        <v>1384</v>
      </c>
      <c r="FB27">
        <v>159.5</v>
      </c>
      <c r="FC27">
        <v>221</v>
      </c>
      <c r="FE27">
        <v>0</v>
      </c>
      <c r="FF27">
        <v>2</v>
      </c>
      <c r="FI27">
        <v>0</v>
      </c>
      <c r="FK27" t="s">
        <v>548</v>
      </c>
      <c r="FL27">
        <v>0.4</v>
      </c>
      <c r="FM27">
        <v>50</v>
      </c>
      <c r="FN27">
        <v>430</v>
      </c>
      <c r="FO27">
        <v>100</v>
      </c>
      <c r="FP27">
        <v>170</v>
      </c>
      <c r="GR27" t="s">
        <v>548</v>
      </c>
      <c r="GS27">
        <v>0.4</v>
      </c>
      <c r="GT27">
        <v>105</v>
      </c>
      <c r="GU27">
        <v>320</v>
      </c>
      <c r="HC27">
        <v>0.1</v>
      </c>
      <c r="HD27">
        <v>3</v>
      </c>
      <c r="HE27">
        <v>3</v>
      </c>
      <c r="HF27">
        <v>3</v>
      </c>
      <c r="HG27">
        <v>3</v>
      </c>
      <c r="HH27">
        <v>3</v>
      </c>
      <c r="HI27">
        <v>170</v>
      </c>
      <c r="HJ27">
        <v>3</v>
      </c>
      <c r="HK27">
        <v>30</v>
      </c>
      <c r="HL27">
        <v>2</v>
      </c>
      <c r="HM27">
        <v>0</v>
      </c>
      <c r="HN27">
        <v>2</v>
      </c>
      <c r="HO27">
        <v>125</v>
      </c>
      <c r="HP27">
        <v>3</v>
      </c>
      <c r="HQ27">
        <v>0</v>
      </c>
      <c r="HR27">
        <v>2</v>
      </c>
      <c r="HS27">
        <v>7519</v>
      </c>
      <c r="HT27">
        <v>230</v>
      </c>
      <c r="HU27">
        <v>180</v>
      </c>
      <c r="HW27">
        <v>0</v>
      </c>
      <c r="HX27">
        <v>590</v>
      </c>
      <c r="HY27">
        <v>0.18</v>
      </c>
      <c r="IA27">
        <v>0.15</v>
      </c>
      <c r="IB27">
        <v>0</v>
      </c>
      <c r="IC27">
        <v>180</v>
      </c>
      <c r="ID27">
        <v>110</v>
      </c>
      <c r="IE27">
        <v>225</v>
      </c>
      <c r="IF27">
        <v>0</v>
      </c>
      <c r="IH27" t="s">
        <v>549</v>
      </c>
      <c r="IO27">
        <v>3</v>
      </c>
      <c r="IP27">
        <v>18</v>
      </c>
      <c r="IQ27">
        <v>0</v>
      </c>
      <c r="IR27">
        <v>0</v>
      </c>
      <c r="IV27">
        <v>1381</v>
      </c>
      <c r="IW27">
        <v>512</v>
      </c>
      <c r="JA27">
        <v>1</v>
      </c>
      <c r="JB27">
        <v>0</v>
      </c>
      <c r="JC27">
        <v>2</v>
      </c>
      <c r="JD27">
        <v>1398</v>
      </c>
      <c r="JE27">
        <v>1391</v>
      </c>
      <c r="JF27">
        <v>1399</v>
      </c>
      <c r="JG27">
        <v>1384</v>
      </c>
      <c r="JH27">
        <v>0</v>
      </c>
      <c r="JJ27">
        <v>180</v>
      </c>
      <c r="JK27">
        <v>590</v>
      </c>
      <c r="JN27">
        <v>475</v>
      </c>
      <c r="JO27">
        <v>690</v>
      </c>
      <c r="JP27">
        <v>560</v>
      </c>
      <c r="JQ27">
        <v>0</v>
      </c>
      <c r="JR27">
        <v>514</v>
      </c>
      <c r="JS27">
        <v>170</v>
      </c>
      <c r="JV27">
        <v>8</v>
      </c>
      <c r="JW27" t="s">
        <v>550</v>
      </c>
      <c r="JX27">
        <v>550</v>
      </c>
      <c r="KA27">
        <v>225</v>
      </c>
      <c r="KB27">
        <v>110</v>
      </c>
      <c r="KC27">
        <v>0</v>
      </c>
      <c r="KD27">
        <v>80</v>
      </c>
      <c r="KF27">
        <v>4</v>
      </c>
      <c r="KG27">
        <v>2</v>
      </c>
      <c r="KH27">
        <v>2</v>
      </c>
      <c r="KI27">
        <v>2</v>
      </c>
      <c r="KJ27">
        <v>0</v>
      </c>
      <c r="KK27">
        <v>1.5</v>
      </c>
      <c r="KL27">
        <v>1.5</v>
      </c>
      <c r="KM27">
        <v>0</v>
      </c>
      <c r="KN27">
        <v>0</v>
      </c>
      <c r="KO27">
        <v>0</v>
      </c>
      <c r="KR27">
        <v>30</v>
      </c>
      <c r="KS27">
        <v>60</v>
      </c>
      <c r="KT27">
        <v>0</v>
      </c>
      <c r="LK27">
        <v>480</v>
      </c>
      <c r="PG27">
        <v>1</v>
      </c>
      <c r="PI27" t="s">
        <v>992</v>
      </c>
      <c r="PJ27" t="s">
        <v>994</v>
      </c>
      <c r="PK27" t="s">
        <v>995</v>
      </c>
      <c r="PL27" t="s">
        <v>993</v>
      </c>
      <c r="PP27" t="s">
        <v>996</v>
      </c>
      <c r="PS27" t="s">
        <v>693</v>
      </c>
      <c r="PX27">
        <v>56</v>
      </c>
      <c r="PY27">
        <v>56</v>
      </c>
      <c r="PZ27" t="s">
        <v>992</v>
      </c>
      <c r="QA27">
        <v>1</v>
      </c>
      <c r="QB27">
        <v>1384</v>
      </c>
      <c r="QC27">
        <v>69</v>
      </c>
      <c r="QD27">
        <v>69</v>
      </c>
      <c r="QE27" t="s">
        <v>993</v>
      </c>
      <c r="QF27">
        <v>1</v>
      </c>
      <c r="QG27">
        <v>1398</v>
      </c>
      <c r="QH27">
        <v>66</v>
      </c>
      <c r="QI27">
        <v>66</v>
      </c>
      <c r="QJ27" t="s">
        <v>693</v>
      </c>
      <c r="QK27">
        <v>1</v>
      </c>
      <c r="QL27">
        <v>1398</v>
      </c>
      <c r="QM27">
        <v>62</v>
      </c>
      <c r="QN27">
        <v>62</v>
      </c>
      <c r="QO27" t="s">
        <v>994</v>
      </c>
      <c r="QP27">
        <v>1</v>
      </c>
      <c r="QQ27">
        <v>1391</v>
      </c>
      <c r="QR27">
        <v>62</v>
      </c>
      <c r="QS27">
        <v>62</v>
      </c>
      <c r="QT27" t="s">
        <v>995</v>
      </c>
      <c r="QU27">
        <v>1</v>
      </c>
      <c r="QV27">
        <v>1399</v>
      </c>
      <c r="QW27">
        <v>82</v>
      </c>
      <c r="QX27">
        <v>88</v>
      </c>
      <c r="QY27" t="s">
        <v>996</v>
      </c>
      <c r="QZ27">
        <v>2</v>
      </c>
      <c r="RA27">
        <v>66</v>
      </c>
      <c r="RB27">
        <v>66</v>
      </c>
      <c r="RE27">
        <v>0</v>
      </c>
      <c r="RF27">
        <v>1</v>
      </c>
      <c r="RH27">
        <v>1</v>
      </c>
      <c r="RJ27">
        <v>1</v>
      </c>
      <c r="RK27">
        <v>2</v>
      </c>
      <c r="RL27">
        <v>2</v>
      </c>
      <c r="RM27">
        <v>2</v>
      </c>
      <c r="RO27">
        <v>673</v>
      </c>
      <c r="RP27">
        <v>105</v>
      </c>
      <c r="RQ27">
        <v>1067</v>
      </c>
      <c r="RR27">
        <v>852</v>
      </c>
      <c r="RT27">
        <v>345</v>
      </c>
      <c r="RU27">
        <v>341</v>
      </c>
      <c r="RV27" t="s">
        <v>678</v>
      </c>
      <c r="RW27" t="s">
        <v>679</v>
      </c>
      <c r="RX27">
        <v>15</v>
      </c>
      <c r="RY27">
        <v>4</v>
      </c>
      <c r="RZ27" t="s">
        <v>679</v>
      </c>
      <c r="SA27">
        <v>15</v>
      </c>
      <c r="SC27" t="s">
        <v>994</v>
      </c>
      <c r="SD27">
        <v>1</v>
      </c>
      <c r="SF27" t="s">
        <v>995</v>
      </c>
      <c r="SG27">
        <v>1</v>
      </c>
      <c r="SH27">
        <v>0.995</v>
      </c>
      <c r="SI27">
        <v>0.995</v>
      </c>
      <c r="SJ27">
        <v>0.995</v>
      </c>
      <c r="SK27">
        <v>15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1</v>
      </c>
      <c r="SZ27">
        <v>1</v>
      </c>
      <c r="TB27">
        <v>0</v>
      </c>
      <c r="TC27">
        <v>0</v>
      </c>
      <c r="TD27">
        <v>7.5</v>
      </c>
      <c r="TE27" t="s">
        <v>553</v>
      </c>
      <c r="TF27" t="s">
        <v>681</v>
      </c>
      <c r="TG27" t="s">
        <v>555</v>
      </c>
      <c r="TI27" t="s">
        <v>546</v>
      </c>
      <c r="TJ27" t="s">
        <v>547</v>
      </c>
      <c r="TL27" t="s">
        <v>556</v>
      </c>
      <c r="TM27" t="s">
        <v>513</v>
      </c>
      <c r="TN27">
        <v>0</v>
      </c>
      <c r="TO27" t="s">
        <v>557</v>
      </c>
    </row>
    <row r="28" spans="1:535">
      <c r="A28" t="s">
        <v>999</v>
      </c>
      <c r="B28" t="s">
        <v>564</v>
      </c>
      <c r="C28" t="s">
        <v>509</v>
      </c>
      <c r="D28" t="s">
        <v>1000</v>
      </c>
      <c r="G28" t="s">
        <v>627</v>
      </c>
      <c r="H28" t="s">
        <v>604</v>
      </c>
      <c r="I28" t="s">
        <v>628</v>
      </c>
      <c r="J28" t="s">
        <v>606</v>
      </c>
      <c r="L28" t="s">
        <v>512</v>
      </c>
      <c r="M28" t="s">
        <v>629</v>
      </c>
      <c r="N28" t="s">
        <v>513</v>
      </c>
      <c r="O28" t="s">
        <v>565</v>
      </c>
      <c r="Q28" t="s">
        <v>1001</v>
      </c>
      <c r="R28" t="s">
        <v>567</v>
      </c>
      <c r="S28" t="s">
        <v>1002</v>
      </c>
      <c r="T28" t="s">
        <v>1003</v>
      </c>
      <c r="U28" t="s">
        <v>686</v>
      </c>
      <c r="V28" t="s">
        <v>687</v>
      </c>
      <c r="W28" t="s">
        <v>1004</v>
      </c>
      <c r="X28" t="s">
        <v>573</v>
      </c>
      <c r="Y28" t="s">
        <v>524</v>
      </c>
      <c r="Z28" t="s">
        <v>1005</v>
      </c>
      <c r="AA28" t="s">
        <v>1006</v>
      </c>
      <c r="AB28" t="s">
        <v>1007</v>
      </c>
      <c r="AC28">
        <v>2</v>
      </c>
      <c r="AD28">
        <v>56</v>
      </c>
      <c r="AE28">
        <v>231</v>
      </c>
      <c r="AF28">
        <v>1.5</v>
      </c>
      <c r="AH28">
        <v>0</v>
      </c>
      <c r="AI28" t="s">
        <v>1008</v>
      </c>
      <c r="AJ28">
        <v>212.5</v>
      </c>
      <c r="AK28">
        <v>1</v>
      </c>
      <c r="AL28">
        <v>1.5</v>
      </c>
      <c r="AM28" t="s">
        <v>579</v>
      </c>
      <c r="AN28" t="s">
        <v>693</v>
      </c>
      <c r="AO28">
        <v>2</v>
      </c>
      <c r="AP28" t="s">
        <v>581</v>
      </c>
      <c r="AQ28" t="s">
        <v>582</v>
      </c>
      <c r="AR28">
        <v>250</v>
      </c>
      <c r="AS28">
        <v>1.5</v>
      </c>
      <c r="AT28" t="s">
        <v>583</v>
      </c>
      <c r="AU28" t="s">
        <v>1009</v>
      </c>
      <c r="AW28" t="s">
        <v>1009</v>
      </c>
      <c r="AX28">
        <v>1</v>
      </c>
      <c r="AY28">
        <v>307.5</v>
      </c>
      <c r="AZ28">
        <v>1.5</v>
      </c>
      <c r="BA28" t="s">
        <v>579</v>
      </c>
      <c r="BB28" t="s">
        <v>1010</v>
      </c>
      <c r="BD28" t="s">
        <v>1010</v>
      </c>
      <c r="BE28">
        <v>1</v>
      </c>
      <c r="BF28">
        <v>255</v>
      </c>
      <c r="BG28">
        <v>1.5</v>
      </c>
      <c r="BJ28">
        <v>0</v>
      </c>
      <c r="BN28">
        <v>1.5</v>
      </c>
      <c r="BP28" t="s">
        <v>1011</v>
      </c>
      <c r="BQ28">
        <v>89</v>
      </c>
      <c r="BR28">
        <v>2</v>
      </c>
      <c r="BS28" t="s">
        <v>921</v>
      </c>
      <c r="BT28">
        <v>232</v>
      </c>
      <c r="BU28">
        <v>0.5</v>
      </c>
      <c r="BV28" t="s">
        <v>921</v>
      </c>
      <c r="BW28">
        <v>464</v>
      </c>
      <c r="BX28">
        <v>1</v>
      </c>
      <c r="BY28" t="s">
        <v>698</v>
      </c>
      <c r="BZ28">
        <v>300</v>
      </c>
      <c r="CA28">
        <v>520</v>
      </c>
      <c r="CB28" t="s">
        <v>699</v>
      </c>
      <c r="CC28" t="s">
        <v>699</v>
      </c>
      <c r="CD28">
        <v>478</v>
      </c>
      <c r="CE28" t="s">
        <v>700</v>
      </c>
      <c r="CF28">
        <v>15</v>
      </c>
      <c r="CG28" t="s">
        <v>701</v>
      </c>
      <c r="CH28" t="s">
        <v>701</v>
      </c>
      <c r="CI28">
        <v>110</v>
      </c>
      <c r="CJ28">
        <v>1458</v>
      </c>
      <c r="CK28">
        <v>2</v>
      </c>
      <c r="CL28">
        <v>1552</v>
      </c>
      <c r="CM28">
        <v>2</v>
      </c>
      <c r="CN28" t="s">
        <v>702</v>
      </c>
      <c r="CO28" t="s">
        <v>676</v>
      </c>
      <c r="CP28" t="s">
        <v>703</v>
      </c>
      <c r="CQ28" t="s">
        <v>596</v>
      </c>
      <c r="CR28" t="s">
        <v>541</v>
      </c>
      <c r="CS28" t="s">
        <v>542</v>
      </c>
      <c r="CT28">
        <v>425</v>
      </c>
      <c r="CU28">
        <v>5</v>
      </c>
      <c r="CV28">
        <v>1.3</v>
      </c>
      <c r="CW28">
        <v>1475</v>
      </c>
      <c r="CX28">
        <v>963</v>
      </c>
      <c r="CY28" t="s">
        <v>705</v>
      </c>
      <c r="CZ28">
        <v>50</v>
      </c>
      <c r="DA28">
        <v>3</v>
      </c>
      <c r="DB28">
        <v>1</v>
      </c>
      <c r="DC28">
        <v>1475</v>
      </c>
      <c r="DD28">
        <v>77</v>
      </c>
      <c r="DE28" t="s">
        <v>622</v>
      </c>
      <c r="DF28">
        <v>615</v>
      </c>
      <c r="DG28">
        <v>3</v>
      </c>
      <c r="DH28">
        <v>0.88</v>
      </c>
      <c r="DI28">
        <v>1468</v>
      </c>
      <c r="DJ28">
        <v>1051</v>
      </c>
      <c r="DK28" t="s">
        <v>622</v>
      </c>
      <c r="DL28">
        <v>510</v>
      </c>
      <c r="DM28">
        <v>3</v>
      </c>
      <c r="DN28">
        <v>0.88</v>
      </c>
      <c r="DO28">
        <v>1473</v>
      </c>
      <c r="DP28">
        <v>863</v>
      </c>
      <c r="DW28" t="s">
        <v>544</v>
      </c>
      <c r="DX28">
        <v>7.5</v>
      </c>
      <c r="EA28">
        <v>1544.1</v>
      </c>
      <c r="EB28">
        <v>291</v>
      </c>
      <c r="EC28" t="s">
        <v>545</v>
      </c>
      <c r="ED28">
        <v>45</v>
      </c>
      <c r="EE28">
        <v>3</v>
      </c>
      <c r="EG28">
        <v>1585</v>
      </c>
      <c r="EH28">
        <v>288</v>
      </c>
      <c r="EJ28">
        <v>0</v>
      </c>
      <c r="EK28">
        <v>1</v>
      </c>
      <c r="EN28">
        <v>0</v>
      </c>
      <c r="EP28" t="s">
        <v>546</v>
      </c>
      <c r="EQ28">
        <v>120</v>
      </c>
      <c r="ER28">
        <v>3</v>
      </c>
      <c r="ES28">
        <v>6</v>
      </c>
      <c r="ET28">
        <v>1457</v>
      </c>
      <c r="EU28">
        <v>566.4</v>
      </c>
      <c r="EV28">
        <v>825</v>
      </c>
      <c r="EW28" t="s">
        <v>547</v>
      </c>
      <c r="EX28">
        <v>45</v>
      </c>
      <c r="EY28">
        <v>2</v>
      </c>
      <c r="EZ28">
        <v>4.5</v>
      </c>
      <c r="FA28">
        <v>1457</v>
      </c>
      <c r="FB28">
        <v>160.1</v>
      </c>
      <c r="FC28">
        <v>233</v>
      </c>
      <c r="FE28">
        <v>0</v>
      </c>
      <c r="FF28">
        <v>2</v>
      </c>
      <c r="FI28">
        <v>0</v>
      </c>
      <c r="FK28" t="s">
        <v>548</v>
      </c>
      <c r="FL28">
        <v>0.4</v>
      </c>
      <c r="FM28">
        <v>50</v>
      </c>
      <c r="FN28">
        <v>380</v>
      </c>
      <c r="FO28">
        <v>75</v>
      </c>
      <c r="FP28">
        <v>170</v>
      </c>
      <c r="GR28" t="s">
        <v>548</v>
      </c>
      <c r="GS28">
        <v>0.4</v>
      </c>
      <c r="GT28">
        <v>95</v>
      </c>
      <c r="GU28">
        <v>290</v>
      </c>
      <c r="HC28">
        <v>0.1</v>
      </c>
      <c r="HD28">
        <v>3</v>
      </c>
      <c r="HE28">
        <v>3</v>
      </c>
      <c r="HF28">
        <v>3</v>
      </c>
      <c r="HG28">
        <v>3</v>
      </c>
      <c r="HH28">
        <v>3</v>
      </c>
      <c r="HI28">
        <v>150</v>
      </c>
      <c r="HJ28">
        <v>3</v>
      </c>
      <c r="HK28">
        <v>30</v>
      </c>
      <c r="HL28">
        <v>2</v>
      </c>
      <c r="HM28">
        <v>0</v>
      </c>
      <c r="HN28">
        <v>2</v>
      </c>
      <c r="HO28">
        <v>105</v>
      </c>
      <c r="HP28">
        <v>3</v>
      </c>
      <c r="HQ28">
        <v>0</v>
      </c>
      <c r="HR28">
        <v>2</v>
      </c>
      <c r="HS28">
        <v>6305</v>
      </c>
      <c r="HT28">
        <v>190</v>
      </c>
      <c r="HU28">
        <v>180</v>
      </c>
      <c r="HW28">
        <v>0</v>
      </c>
      <c r="HX28">
        <v>465</v>
      </c>
      <c r="HY28">
        <v>0.18</v>
      </c>
      <c r="IA28">
        <v>0.15</v>
      </c>
      <c r="IB28">
        <v>0</v>
      </c>
      <c r="IC28">
        <v>180</v>
      </c>
      <c r="ID28">
        <v>110</v>
      </c>
      <c r="IE28">
        <v>225</v>
      </c>
      <c r="IF28">
        <v>0</v>
      </c>
      <c r="IH28" t="s">
        <v>549</v>
      </c>
      <c r="IO28">
        <v>3</v>
      </c>
      <c r="IP28">
        <v>19</v>
      </c>
      <c r="IQ28">
        <v>0</v>
      </c>
      <c r="IR28">
        <v>0</v>
      </c>
      <c r="IV28">
        <v>1458</v>
      </c>
      <c r="IW28">
        <v>464</v>
      </c>
      <c r="JA28">
        <v>1</v>
      </c>
      <c r="JB28">
        <v>0</v>
      </c>
      <c r="JC28">
        <v>2</v>
      </c>
      <c r="JD28">
        <v>1475</v>
      </c>
      <c r="JE28">
        <v>1468</v>
      </c>
      <c r="JF28">
        <v>1473</v>
      </c>
      <c r="JG28">
        <v>1457</v>
      </c>
      <c r="JH28">
        <v>0</v>
      </c>
      <c r="JJ28">
        <v>180</v>
      </c>
      <c r="JK28">
        <v>465</v>
      </c>
      <c r="JN28">
        <v>425</v>
      </c>
      <c r="JO28">
        <v>615</v>
      </c>
      <c r="JP28">
        <v>510</v>
      </c>
      <c r="JQ28">
        <v>0</v>
      </c>
      <c r="JR28">
        <v>462</v>
      </c>
      <c r="JS28">
        <v>150</v>
      </c>
      <c r="JV28">
        <v>8</v>
      </c>
      <c r="JW28" t="s">
        <v>550</v>
      </c>
      <c r="JX28">
        <v>500</v>
      </c>
      <c r="KA28">
        <v>225</v>
      </c>
      <c r="KB28">
        <v>110</v>
      </c>
      <c r="KC28">
        <v>0</v>
      </c>
      <c r="KD28">
        <v>80</v>
      </c>
      <c r="KF28">
        <v>4</v>
      </c>
      <c r="KG28">
        <v>4</v>
      </c>
      <c r="KH28">
        <v>2</v>
      </c>
      <c r="KI28">
        <v>2</v>
      </c>
      <c r="KJ28">
        <v>0</v>
      </c>
      <c r="KK28">
        <v>1.5</v>
      </c>
      <c r="KL28">
        <v>1.5</v>
      </c>
      <c r="KM28">
        <v>0</v>
      </c>
      <c r="KN28">
        <v>0</v>
      </c>
      <c r="KO28">
        <v>0</v>
      </c>
      <c r="KR28">
        <v>30</v>
      </c>
      <c r="KS28">
        <v>60</v>
      </c>
      <c r="KT28">
        <v>0</v>
      </c>
      <c r="LK28">
        <v>480</v>
      </c>
      <c r="PG28">
        <v>1</v>
      </c>
      <c r="PI28" t="s">
        <v>1007</v>
      </c>
      <c r="PJ28" t="s">
        <v>1009</v>
      </c>
      <c r="PK28" t="s">
        <v>1010</v>
      </c>
      <c r="PL28" t="s">
        <v>1008</v>
      </c>
      <c r="PP28" t="s">
        <v>1011</v>
      </c>
      <c r="PS28" t="s">
        <v>693</v>
      </c>
      <c r="PX28">
        <v>56</v>
      </c>
      <c r="PY28">
        <v>56</v>
      </c>
      <c r="PZ28" t="s">
        <v>1007</v>
      </c>
      <c r="QA28">
        <v>2</v>
      </c>
      <c r="QB28">
        <v>1457</v>
      </c>
      <c r="QC28">
        <v>69</v>
      </c>
      <c r="QD28">
        <v>69</v>
      </c>
      <c r="QE28" t="s">
        <v>1008</v>
      </c>
      <c r="QF28">
        <v>2</v>
      </c>
      <c r="QG28">
        <v>1475</v>
      </c>
      <c r="QH28">
        <v>66</v>
      </c>
      <c r="QI28">
        <v>66</v>
      </c>
      <c r="QJ28" t="s">
        <v>693</v>
      </c>
      <c r="QK28">
        <v>1</v>
      </c>
      <c r="QL28">
        <v>1475</v>
      </c>
      <c r="QM28">
        <v>62</v>
      </c>
      <c r="QN28">
        <v>62</v>
      </c>
      <c r="QO28" t="s">
        <v>1009</v>
      </c>
      <c r="QP28">
        <v>1</v>
      </c>
      <c r="QQ28">
        <v>1468</v>
      </c>
      <c r="QR28">
        <v>62</v>
      </c>
      <c r="QS28">
        <v>62</v>
      </c>
      <c r="QT28" t="s">
        <v>1010</v>
      </c>
      <c r="QU28">
        <v>1</v>
      </c>
      <c r="QV28">
        <v>1473</v>
      </c>
      <c r="QW28">
        <v>82</v>
      </c>
      <c r="QX28">
        <v>89</v>
      </c>
      <c r="QY28" t="s">
        <v>1011</v>
      </c>
      <c r="QZ28">
        <v>1</v>
      </c>
      <c r="RA28">
        <v>66</v>
      </c>
      <c r="RB28">
        <v>66</v>
      </c>
      <c r="RE28">
        <v>0</v>
      </c>
      <c r="RF28">
        <v>1</v>
      </c>
      <c r="RH28">
        <v>1</v>
      </c>
      <c r="RJ28">
        <v>1</v>
      </c>
      <c r="RK28">
        <v>2</v>
      </c>
      <c r="RL28">
        <v>3</v>
      </c>
      <c r="RM28">
        <v>3</v>
      </c>
      <c r="RO28">
        <v>653</v>
      </c>
      <c r="RP28">
        <v>105</v>
      </c>
      <c r="RQ28">
        <v>716</v>
      </c>
      <c r="RR28">
        <v>586</v>
      </c>
      <c r="RT28">
        <v>291</v>
      </c>
      <c r="RU28">
        <v>288</v>
      </c>
      <c r="RV28" t="s">
        <v>923</v>
      </c>
      <c r="RW28" t="s">
        <v>707</v>
      </c>
      <c r="RX28">
        <v>15</v>
      </c>
      <c r="RY28">
        <v>4</v>
      </c>
      <c r="RZ28" t="s">
        <v>707</v>
      </c>
      <c r="SA28">
        <v>15</v>
      </c>
      <c r="SC28" t="s">
        <v>1009</v>
      </c>
      <c r="SD28">
        <v>1</v>
      </c>
      <c r="SF28" t="s">
        <v>1010</v>
      </c>
      <c r="SG28">
        <v>1</v>
      </c>
      <c r="SH28">
        <v>0.995</v>
      </c>
      <c r="SI28">
        <v>0.995</v>
      </c>
      <c r="SJ28">
        <v>0.995</v>
      </c>
      <c r="SK28">
        <v>15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1</v>
      </c>
      <c r="SZ28">
        <v>1</v>
      </c>
      <c r="TB28">
        <v>0</v>
      </c>
      <c r="TC28">
        <v>0</v>
      </c>
      <c r="TD28">
        <v>7.5</v>
      </c>
      <c r="TE28" t="s">
        <v>553</v>
      </c>
      <c r="TF28" t="s">
        <v>655</v>
      </c>
      <c r="TG28" t="s">
        <v>555</v>
      </c>
      <c r="TI28" t="s">
        <v>546</v>
      </c>
      <c r="TJ28" t="s">
        <v>547</v>
      </c>
      <c r="TL28" t="s">
        <v>556</v>
      </c>
      <c r="TM28" t="s">
        <v>513</v>
      </c>
      <c r="TN28">
        <v>0</v>
      </c>
      <c r="TO28" t="s">
        <v>557</v>
      </c>
    </row>
    <row r="29" spans="1:535">
      <c r="A29" t="s">
        <v>1012</v>
      </c>
      <c r="B29" t="s">
        <v>559</v>
      </c>
      <c r="C29" t="s">
        <v>509</v>
      </c>
      <c r="D29" t="s">
        <v>1013</v>
      </c>
      <c r="G29" t="s">
        <v>604</v>
      </c>
      <c r="H29" t="s">
        <v>605</v>
      </c>
      <c r="I29" t="s">
        <v>628</v>
      </c>
      <c r="J29" t="s">
        <v>606</v>
      </c>
      <c r="L29" t="s">
        <v>512</v>
      </c>
      <c r="M29" t="s">
        <v>564</v>
      </c>
      <c r="N29" t="s">
        <v>513</v>
      </c>
      <c r="O29" t="s">
        <v>607</v>
      </c>
      <c r="Q29" t="s">
        <v>1014</v>
      </c>
      <c r="R29" t="s">
        <v>567</v>
      </c>
      <c r="S29" t="s">
        <v>1015</v>
      </c>
      <c r="T29" t="s">
        <v>1016</v>
      </c>
      <c r="U29" t="s">
        <v>633</v>
      </c>
      <c r="V29" t="s">
        <v>634</v>
      </c>
      <c r="W29" t="s">
        <v>1017</v>
      </c>
      <c r="X29" t="s">
        <v>573</v>
      </c>
      <c r="Y29" t="s">
        <v>524</v>
      </c>
      <c r="Z29" t="s">
        <v>1018</v>
      </c>
      <c r="AA29" t="s">
        <v>1019</v>
      </c>
      <c r="AB29" t="s">
        <v>1020</v>
      </c>
      <c r="AC29">
        <v>2</v>
      </c>
      <c r="AD29">
        <v>56</v>
      </c>
      <c r="AE29">
        <v>161</v>
      </c>
      <c r="AF29">
        <v>1.5</v>
      </c>
      <c r="AH29">
        <v>0</v>
      </c>
      <c r="AI29" t="s">
        <v>1021</v>
      </c>
      <c r="AJ29">
        <v>172.5</v>
      </c>
      <c r="AK29">
        <v>1</v>
      </c>
      <c r="AL29">
        <v>1.5</v>
      </c>
      <c r="AM29" t="s">
        <v>529</v>
      </c>
      <c r="AO29">
        <v>0</v>
      </c>
      <c r="AR29">
        <v>0</v>
      </c>
      <c r="AS29">
        <v>1.5</v>
      </c>
      <c r="AV29" t="s">
        <v>1022</v>
      </c>
      <c r="AW29" t="s">
        <v>1022</v>
      </c>
      <c r="AX29">
        <v>1</v>
      </c>
      <c r="AY29">
        <v>240</v>
      </c>
      <c r="AZ29">
        <v>1.5</v>
      </c>
      <c r="BA29" t="s">
        <v>529</v>
      </c>
      <c r="BG29">
        <v>1.5</v>
      </c>
      <c r="BJ29">
        <v>0</v>
      </c>
      <c r="BN29">
        <v>1.5</v>
      </c>
      <c r="BP29" t="s">
        <v>1023</v>
      </c>
      <c r="BQ29">
        <v>84</v>
      </c>
      <c r="BR29">
        <v>2</v>
      </c>
      <c r="BS29" t="s">
        <v>947</v>
      </c>
      <c r="BT29">
        <v>184</v>
      </c>
      <c r="BU29">
        <v>0.5</v>
      </c>
      <c r="BV29" t="s">
        <v>947</v>
      </c>
      <c r="BW29">
        <v>368</v>
      </c>
      <c r="BX29">
        <v>1</v>
      </c>
      <c r="BY29" t="s">
        <v>643</v>
      </c>
      <c r="BZ29">
        <v>300</v>
      </c>
      <c r="CA29">
        <v>440</v>
      </c>
      <c r="CB29" t="s">
        <v>644</v>
      </c>
      <c r="CC29" t="s">
        <v>644</v>
      </c>
      <c r="CD29">
        <v>384</v>
      </c>
      <c r="CE29" t="s">
        <v>544</v>
      </c>
      <c r="CF29">
        <v>15</v>
      </c>
      <c r="CG29" t="s">
        <v>1024</v>
      </c>
      <c r="CH29" t="s">
        <v>1024</v>
      </c>
      <c r="CI29">
        <v>70</v>
      </c>
      <c r="CJ29">
        <v>1301</v>
      </c>
      <c r="CK29">
        <v>2</v>
      </c>
      <c r="CL29">
        <v>1395</v>
      </c>
      <c r="CM29">
        <v>2</v>
      </c>
      <c r="CN29" t="s">
        <v>646</v>
      </c>
      <c r="CO29" t="s">
        <v>647</v>
      </c>
      <c r="CP29" t="s">
        <v>648</v>
      </c>
      <c r="CQ29" t="s">
        <v>649</v>
      </c>
      <c r="CR29" t="s">
        <v>650</v>
      </c>
      <c r="CS29" t="s">
        <v>542</v>
      </c>
      <c r="CT29">
        <v>345</v>
      </c>
      <c r="CU29">
        <v>5</v>
      </c>
      <c r="CV29">
        <v>1.2</v>
      </c>
      <c r="CW29">
        <v>1314</v>
      </c>
      <c r="CX29">
        <v>641</v>
      </c>
      <c r="DD29">
        <v>0</v>
      </c>
      <c r="DE29" t="s">
        <v>543</v>
      </c>
      <c r="DF29">
        <v>480</v>
      </c>
      <c r="DG29">
        <v>3</v>
      </c>
      <c r="DH29">
        <v>1.18</v>
      </c>
      <c r="DI29">
        <v>1312</v>
      </c>
      <c r="DJ29">
        <v>1186</v>
      </c>
      <c r="DW29" t="s">
        <v>544</v>
      </c>
      <c r="DX29">
        <v>7.5</v>
      </c>
      <c r="EA29">
        <v>1381.4</v>
      </c>
      <c r="EB29">
        <v>245</v>
      </c>
      <c r="EC29" t="s">
        <v>545</v>
      </c>
      <c r="ED29">
        <v>25</v>
      </c>
      <c r="EE29">
        <v>3</v>
      </c>
      <c r="EG29">
        <v>1422</v>
      </c>
      <c r="EH29">
        <v>155</v>
      </c>
      <c r="EJ29">
        <v>0</v>
      </c>
      <c r="EK29">
        <v>1</v>
      </c>
      <c r="EN29">
        <v>0</v>
      </c>
      <c r="EP29" t="s">
        <v>546</v>
      </c>
      <c r="EQ29">
        <v>70</v>
      </c>
      <c r="ER29">
        <v>3</v>
      </c>
      <c r="ES29">
        <v>5.5</v>
      </c>
      <c r="ET29">
        <v>1298</v>
      </c>
      <c r="EU29">
        <v>293.9</v>
      </c>
      <c r="EV29">
        <v>381</v>
      </c>
      <c r="EW29" t="s">
        <v>547</v>
      </c>
      <c r="EX29">
        <v>70</v>
      </c>
      <c r="EY29">
        <v>2</v>
      </c>
      <c r="EZ29">
        <v>4.5</v>
      </c>
      <c r="FA29">
        <v>1298</v>
      </c>
      <c r="FB29">
        <v>229</v>
      </c>
      <c r="FC29">
        <v>297</v>
      </c>
      <c r="FE29">
        <v>0</v>
      </c>
      <c r="FF29">
        <v>2</v>
      </c>
      <c r="FI29">
        <v>0</v>
      </c>
      <c r="FK29" t="s">
        <v>548</v>
      </c>
      <c r="FL29">
        <v>0.4</v>
      </c>
      <c r="FM29">
        <v>90</v>
      </c>
      <c r="FN29">
        <v>120</v>
      </c>
      <c r="FR29" t="s">
        <v>548</v>
      </c>
      <c r="FS29">
        <v>0.6</v>
      </c>
      <c r="FT29">
        <v>30</v>
      </c>
      <c r="FU29">
        <v>330</v>
      </c>
      <c r="FV29">
        <v>70</v>
      </c>
      <c r="FW29">
        <v>140</v>
      </c>
      <c r="FY29" t="s">
        <v>651</v>
      </c>
      <c r="FZ29">
        <v>1</v>
      </c>
      <c r="GA29">
        <v>20</v>
      </c>
      <c r="GB29">
        <v>161</v>
      </c>
      <c r="GG29" t="s">
        <v>651</v>
      </c>
      <c r="GH29">
        <v>1</v>
      </c>
      <c r="GI29">
        <v>20</v>
      </c>
      <c r="GJ29">
        <v>161</v>
      </c>
      <c r="HC29">
        <v>0.1</v>
      </c>
      <c r="HD29">
        <v>3</v>
      </c>
      <c r="HE29">
        <v>3</v>
      </c>
      <c r="HF29">
        <v>3</v>
      </c>
      <c r="HG29">
        <v>3</v>
      </c>
      <c r="HH29">
        <v>3</v>
      </c>
      <c r="HI29">
        <v>125</v>
      </c>
      <c r="HJ29">
        <v>3</v>
      </c>
      <c r="HK29">
        <v>55</v>
      </c>
      <c r="HL29">
        <v>2</v>
      </c>
      <c r="HM29">
        <v>0</v>
      </c>
      <c r="HN29">
        <v>2</v>
      </c>
      <c r="HO29">
        <v>55</v>
      </c>
      <c r="HP29">
        <v>3</v>
      </c>
      <c r="HQ29">
        <v>0</v>
      </c>
      <c r="HR29">
        <v>2</v>
      </c>
      <c r="HS29">
        <v>3983</v>
      </c>
      <c r="HT29">
        <v>120</v>
      </c>
      <c r="HU29">
        <v>180</v>
      </c>
      <c r="HW29">
        <v>0</v>
      </c>
      <c r="HX29">
        <v>410</v>
      </c>
      <c r="HY29">
        <v>0.18</v>
      </c>
      <c r="IA29">
        <v>0.15</v>
      </c>
      <c r="IB29">
        <v>0</v>
      </c>
      <c r="IC29">
        <v>180</v>
      </c>
      <c r="ID29">
        <v>110</v>
      </c>
      <c r="IE29">
        <v>0</v>
      </c>
      <c r="IF29">
        <v>0</v>
      </c>
      <c r="IH29" t="s">
        <v>549</v>
      </c>
      <c r="IO29">
        <v>1</v>
      </c>
      <c r="IP29">
        <v>17</v>
      </c>
      <c r="IQ29">
        <v>0</v>
      </c>
      <c r="IR29">
        <v>1</v>
      </c>
      <c r="IV29">
        <v>1301</v>
      </c>
      <c r="IW29">
        <v>368</v>
      </c>
      <c r="JA29">
        <v>1</v>
      </c>
      <c r="JB29">
        <v>0</v>
      </c>
      <c r="JC29">
        <v>2</v>
      </c>
      <c r="JD29">
        <v>1314</v>
      </c>
      <c r="JE29">
        <v>1312</v>
      </c>
      <c r="JF29">
        <v>0</v>
      </c>
      <c r="JG29">
        <v>1298</v>
      </c>
      <c r="JH29">
        <v>0</v>
      </c>
      <c r="JJ29">
        <v>180</v>
      </c>
      <c r="JK29">
        <v>410</v>
      </c>
      <c r="JN29">
        <v>345</v>
      </c>
      <c r="JO29">
        <v>480</v>
      </c>
      <c r="JP29">
        <v>0</v>
      </c>
      <c r="JQ29">
        <v>0</v>
      </c>
      <c r="JR29">
        <v>322</v>
      </c>
      <c r="JS29">
        <v>125</v>
      </c>
      <c r="JV29">
        <v>8</v>
      </c>
      <c r="JW29" t="s">
        <v>550</v>
      </c>
      <c r="JX29">
        <v>0</v>
      </c>
      <c r="KA29">
        <v>0</v>
      </c>
      <c r="KB29">
        <v>110</v>
      </c>
      <c r="KC29">
        <v>0</v>
      </c>
      <c r="KD29">
        <v>80</v>
      </c>
      <c r="KF29">
        <v>4</v>
      </c>
      <c r="KG29">
        <v>2</v>
      </c>
      <c r="KH29">
        <v>2</v>
      </c>
      <c r="KI29">
        <v>2</v>
      </c>
      <c r="KJ29">
        <v>0</v>
      </c>
      <c r="KK29">
        <v>1.5</v>
      </c>
      <c r="KL29">
        <v>1.5</v>
      </c>
      <c r="KM29">
        <v>0</v>
      </c>
      <c r="KN29">
        <v>0</v>
      </c>
      <c r="KO29">
        <v>0</v>
      </c>
      <c r="KR29">
        <v>50</v>
      </c>
      <c r="KS29">
        <v>60</v>
      </c>
      <c r="KT29">
        <v>0</v>
      </c>
      <c r="LK29">
        <v>480</v>
      </c>
      <c r="PG29">
        <v>1</v>
      </c>
      <c r="PI29" t="s">
        <v>1020</v>
      </c>
      <c r="PJ29" t="s">
        <v>1022</v>
      </c>
      <c r="PL29" t="s">
        <v>1021</v>
      </c>
      <c r="PP29" t="s">
        <v>1023</v>
      </c>
      <c r="PX29">
        <v>56</v>
      </c>
      <c r="PY29">
        <v>56</v>
      </c>
      <c r="PZ29" t="s">
        <v>1020</v>
      </c>
      <c r="QA29">
        <v>1</v>
      </c>
      <c r="QB29">
        <v>1298</v>
      </c>
      <c r="QC29">
        <v>69</v>
      </c>
      <c r="QD29">
        <v>69</v>
      </c>
      <c r="QE29" t="s">
        <v>1021</v>
      </c>
      <c r="QF29">
        <v>1</v>
      </c>
      <c r="QG29">
        <v>1314</v>
      </c>
      <c r="QH29">
        <v>66</v>
      </c>
      <c r="QI29">
        <v>66</v>
      </c>
      <c r="QL29">
        <v>0</v>
      </c>
      <c r="QM29">
        <v>63</v>
      </c>
      <c r="QN29">
        <v>63</v>
      </c>
      <c r="QO29" t="s">
        <v>1022</v>
      </c>
      <c r="QP29">
        <v>1</v>
      </c>
      <c r="QQ29">
        <v>1312</v>
      </c>
      <c r="QW29">
        <v>82</v>
      </c>
      <c r="QX29">
        <v>84</v>
      </c>
      <c r="QY29" t="s">
        <v>1023</v>
      </c>
      <c r="QZ29">
        <v>1</v>
      </c>
      <c r="RA29">
        <v>66</v>
      </c>
      <c r="RB29">
        <v>66</v>
      </c>
      <c r="RE29">
        <v>0</v>
      </c>
      <c r="RG29">
        <v>1</v>
      </c>
      <c r="RJ29">
        <v>1</v>
      </c>
      <c r="RL29">
        <v>2</v>
      </c>
      <c r="RO29">
        <v>488</v>
      </c>
      <c r="RQ29">
        <v>904</v>
      </c>
      <c r="RT29">
        <v>245</v>
      </c>
      <c r="RU29">
        <v>155</v>
      </c>
      <c r="RV29" t="s">
        <v>949</v>
      </c>
      <c r="RW29" t="s">
        <v>653</v>
      </c>
      <c r="RX29">
        <v>15</v>
      </c>
      <c r="RY29">
        <v>4</v>
      </c>
      <c r="RZ29" t="s">
        <v>653</v>
      </c>
      <c r="SA29">
        <v>15</v>
      </c>
      <c r="SB29" t="s">
        <v>1025</v>
      </c>
      <c r="SC29" t="s">
        <v>1025</v>
      </c>
      <c r="SD29">
        <v>1</v>
      </c>
      <c r="SH29">
        <v>0.995</v>
      </c>
      <c r="SI29">
        <v>0.995</v>
      </c>
      <c r="SJ29">
        <v>0.995</v>
      </c>
      <c r="SK29">
        <v>15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TB29">
        <v>0</v>
      </c>
      <c r="TC29">
        <v>0</v>
      </c>
      <c r="TD29">
        <v>7.5</v>
      </c>
      <c r="TE29" t="s">
        <v>553</v>
      </c>
      <c r="TF29" t="s">
        <v>624</v>
      </c>
      <c r="TG29" t="s">
        <v>555</v>
      </c>
      <c r="TI29" t="s">
        <v>546</v>
      </c>
      <c r="TJ29" t="s">
        <v>547</v>
      </c>
      <c r="TL29" t="s">
        <v>556</v>
      </c>
      <c r="TM29" t="s">
        <v>513</v>
      </c>
      <c r="TN29">
        <v>0</v>
      </c>
      <c r="TO29" t="s">
        <v>557</v>
      </c>
    </row>
    <row r="30" spans="1:535">
      <c r="A30" t="s">
        <v>1026</v>
      </c>
      <c r="B30" t="s">
        <v>559</v>
      </c>
      <c r="C30" t="s">
        <v>509</v>
      </c>
      <c r="D30" t="s">
        <v>658</v>
      </c>
      <c r="G30" t="s">
        <v>604</v>
      </c>
      <c r="H30" t="s">
        <v>605</v>
      </c>
      <c r="I30" t="s">
        <v>628</v>
      </c>
      <c r="J30" t="s">
        <v>606</v>
      </c>
      <c r="L30" t="s">
        <v>512</v>
      </c>
      <c r="M30" t="s">
        <v>564</v>
      </c>
      <c r="N30" t="s">
        <v>513</v>
      </c>
      <c r="O30" t="s">
        <v>607</v>
      </c>
      <c r="Q30" t="s">
        <v>1027</v>
      </c>
      <c r="R30" t="s">
        <v>567</v>
      </c>
      <c r="S30" t="s">
        <v>1028</v>
      </c>
      <c r="T30" t="s">
        <v>1029</v>
      </c>
      <c r="U30" t="s">
        <v>662</v>
      </c>
      <c r="V30" t="s">
        <v>663</v>
      </c>
      <c r="W30" t="s">
        <v>940</v>
      </c>
      <c r="X30" t="s">
        <v>573</v>
      </c>
      <c r="Y30" t="s">
        <v>524</v>
      </c>
      <c r="Z30" t="s">
        <v>1030</v>
      </c>
      <c r="AA30" t="s">
        <v>1031</v>
      </c>
      <c r="AB30" t="s">
        <v>1032</v>
      </c>
      <c r="AC30">
        <v>2</v>
      </c>
      <c r="AD30">
        <v>56</v>
      </c>
      <c r="AE30">
        <v>167</v>
      </c>
      <c r="AF30">
        <v>1.5</v>
      </c>
      <c r="AH30">
        <v>0</v>
      </c>
      <c r="AI30" t="s">
        <v>1033</v>
      </c>
      <c r="AJ30">
        <v>177.5</v>
      </c>
      <c r="AK30">
        <v>1</v>
      </c>
      <c r="AL30">
        <v>1.5</v>
      </c>
      <c r="AM30" t="s">
        <v>529</v>
      </c>
      <c r="AO30">
        <v>0</v>
      </c>
      <c r="AR30">
        <v>0</v>
      </c>
      <c r="AS30">
        <v>1.5</v>
      </c>
      <c r="AV30" t="s">
        <v>1034</v>
      </c>
      <c r="AW30" t="s">
        <v>1034</v>
      </c>
      <c r="AX30">
        <v>1</v>
      </c>
      <c r="AY30">
        <v>250</v>
      </c>
      <c r="AZ30">
        <v>1.5</v>
      </c>
      <c r="BA30" t="s">
        <v>529</v>
      </c>
      <c r="BG30">
        <v>1.5</v>
      </c>
      <c r="BJ30">
        <v>0</v>
      </c>
      <c r="BN30">
        <v>1.5</v>
      </c>
      <c r="BP30" t="s">
        <v>1035</v>
      </c>
      <c r="BQ30">
        <v>82</v>
      </c>
      <c r="BR30">
        <v>2</v>
      </c>
      <c r="BS30" t="s">
        <v>1036</v>
      </c>
      <c r="BT30">
        <v>190</v>
      </c>
      <c r="BU30">
        <v>0.5</v>
      </c>
      <c r="BV30" t="s">
        <v>1036</v>
      </c>
      <c r="BW30">
        <v>380</v>
      </c>
      <c r="BX30">
        <v>1</v>
      </c>
      <c r="BY30" t="s">
        <v>643</v>
      </c>
      <c r="BZ30">
        <v>290</v>
      </c>
      <c r="CA30">
        <v>430</v>
      </c>
      <c r="CB30" t="s">
        <v>672</v>
      </c>
      <c r="CC30" t="s">
        <v>672</v>
      </c>
      <c r="CD30">
        <v>395</v>
      </c>
      <c r="CE30" t="s">
        <v>673</v>
      </c>
      <c r="CF30">
        <v>15</v>
      </c>
      <c r="CG30" t="s">
        <v>907</v>
      </c>
      <c r="CH30" t="s">
        <v>907</v>
      </c>
      <c r="CI30">
        <v>70</v>
      </c>
      <c r="CJ30">
        <v>1381</v>
      </c>
      <c r="CK30">
        <v>2</v>
      </c>
      <c r="CL30">
        <v>1475</v>
      </c>
      <c r="CM30">
        <v>2</v>
      </c>
      <c r="CN30" t="s">
        <v>675</v>
      </c>
      <c r="CO30" t="s">
        <v>676</v>
      </c>
      <c r="CP30" t="s">
        <v>595</v>
      </c>
      <c r="CQ30" t="s">
        <v>649</v>
      </c>
      <c r="CR30" t="s">
        <v>650</v>
      </c>
      <c r="CS30" t="s">
        <v>542</v>
      </c>
      <c r="CT30">
        <v>355</v>
      </c>
      <c r="CU30">
        <v>5</v>
      </c>
      <c r="CV30">
        <v>1.2</v>
      </c>
      <c r="CW30">
        <v>1393</v>
      </c>
      <c r="CX30">
        <v>701</v>
      </c>
      <c r="DD30">
        <v>0</v>
      </c>
      <c r="DE30" t="s">
        <v>543</v>
      </c>
      <c r="DF30">
        <v>500</v>
      </c>
      <c r="DG30">
        <v>3</v>
      </c>
      <c r="DH30">
        <v>1.18</v>
      </c>
      <c r="DI30">
        <v>1391</v>
      </c>
      <c r="DJ30">
        <v>1271</v>
      </c>
      <c r="DW30" t="s">
        <v>544</v>
      </c>
      <c r="DX30">
        <v>7.5</v>
      </c>
      <c r="EA30">
        <v>1459.5</v>
      </c>
      <c r="EB30">
        <v>344</v>
      </c>
      <c r="EC30" t="s">
        <v>545</v>
      </c>
      <c r="ED30">
        <v>25</v>
      </c>
      <c r="EE30">
        <v>3</v>
      </c>
      <c r="EG30">
        <v>1510</v>
      </c>
      <c r="EH30">
        <v>164</v>
      </c>
      <c r="EJ30">
        <v>0</v>
      </c>
      <c r="EK30">
        <v>1</v>
      </c>
      <c r="EN30">
        <v>0</v>
      </c>
      <c r="EP30" t="s">
        <v>546</v>
      </c>
      <c r="EQ30">
        <v>65</v>
      </c>
      <c r="ER30">
        <v>3</v>
      </c>
      <c r="ES30">
        <v>5</v>
      </c>
      <c r="ET30">
        <v>1375</v>
      </c>
      <c r="EU30">
        <v>278.6</v>
      </c>
      <c r="EV30">
        <v>383</v>
      </c>
      <c r="EW30" t="s">
        <v>547</v>
      </c>
      <c r="EX30">
        <v>70</v>
      </c>
      <c r="EY30">
        <v>2</v>
      </c>
      <c r="EZ30">
        <v>4.3</v>
      </c>
      <c r="FA30">
        <v>1375</v>
      </c>
      <c r="FB30">
        <v>230.4</v>
      </c>
      <c r="FC30">
        <v>317</v>
      </c>
      <c r="FE30">
        <v>0</v>
      </c>
      <c r="FF30">
        <v>2</v>
      </c>
      <c r="FI30">
        <v>0</v>
      </c>
      <c r="FK30" t="s">
        <v>548</v>
      </c>
      <c r="FL30">
        <v>0.4</v>
      </c>
      <c r="FM30">
        <v>95</v>
      </c>
      <c r="FN30">
        <v>120</v>
      </c>
      <c r="FR30" t="s">
        <v>548</v>
      </c>
      <c r="FS30">
        <v>0.4</v>
      </c>
      <c r="FT30">
        <v>30</v>
      </c>
      <c r="FU30">
        <v>350</v>
      </c>
      <c r="FV30">
        <v>65</v>
      </c>
      <c r="FW30">
        <v>160</v>
      </c>
      <c r="FY30" t="s">
        <v>651</v>
      </c>
      <c r="FZ30">
        <v>1.6</v>
      </c>
      <c r="GA30">
        <v>20</v>
      </c>
      <c r="GB30">
        <v>181</v>
      </c>
      <c r="GG30" t="s">
        <v>651</v>
      </c>
      <c r="GH30">
        <v>1.6</v>
      </c>
      <c r="GI30">
        <v>20</v>
      </c>
      <c r="GJ30">
        <v>181</v>
      </c>
      <c r="HC30">
        <v>0.1</v>
      </c>
      <c r="HD30">
        <v>3</v>
      </c>
      <c r="HE30">
        <v>3</v>
      </c>
      <c r="HF30">
        <v>3</v>
      </c>
      <c r="HG30">
        <v>3</v>
      </c>
      <c r="HH30">
        <v>3</v>
      </c>
      <c r="HI30">
        <v>120</v>
      </c>
      <c r="HJ30">
        <v>3</v>
      </c>
      <c r="HK30">
        <v>55</v>
      </c>
      <c r="HL30">
        <v>2</v>
      </c>
      <c r="HM30">
        <v>0</v>
      </c>
      <c r="HN30">
        <v>2</v>
      </c>
      <c r="HO30">
        <v>50</v>
      </c>
      <c r="HP30">
        <v>3</v>
      </c>
      <c r="HQ30">
        <v>0</v>
      </c>
      <c r="HR30">
        <v>2</v>
      </c>
      <c r="HS30">
        <v>4388</v>
      </c>
      <c r="HT30">
        <v>130</v>
      </c>
      <c r="HU30">
        <v>180</v>
      </c>
      <c r="HW30">
        <v>0</v>
      </c>
      <c r="HX30">
        <v>400</v>
      </c>
      <c r="HY30">
        <v>0.18</v>
      </c>
      <c r="IA30">
        <v>0.15</v>
      </c>
      <c r="IB30">
        <v>0</v>
      </c>
      <c r="IC30">
        <v>180</v>
      </c>
      <c r="ID30">
        <v>110</v>
      </c>
      <c r="IE30">
        <v>0</v>
      </c>
      <c r="IF30">
        <v>0</v>
      </c>
      <c r="IH30" t="s">
        <v>549</v>
      </c>
      <c r="IO30">
        <v>1</v>
      </c>
      <c r="IP30">
        <v>18</v>
      </c>
      <c r="IQ30">
        <v>0</v>
      </c>
      <c r="IR30">
        <v>1</v>
      </c>
      <c r="IV30">
        <v>1381</v>
      </c>
      <c r="IW30">
        <v>380</v>
      </c>
      <c r="IY30">
        <v>290</v>
      </c>
      <c r="JA30">
        <v>1</v>
      </c>
      <c r="JB30">
        <v>0</v>
      </c>
      <c r="JC30">
        <v>2</v>
      </c>
      <c r="JD30">
        <v>1393</v>
      </c>
      <c r="JE30">
        <v>1391</v>
      </c>
      <c r="JF30">
        <v>0</v>
      </c>
      <c r="JG30">
        <v>1375</v>
      </c>
      <c r="JH30">
        <v>0</v>
      </c>
      <c r="JJ30">
        <v>180</v>
      </c>
      <c r="JK30">
        <v>400</v>
      </c>
      <c r="JN30">
        <v>355</v>
      </c>
      <c r="JO30">
        <v>500</v>
      </c>
      <c r="JP30">
        <v>0</v>
      </c>
      <c r="JQ30">
        <v>0</v>
      </c>
      <c r="JR30">
        <v>334</v>
      </c>
      <c r="JS30">
        <v>120</v>
      </c>
      <c r="JV30">
        <v>8</v>
      </c>
      <c r="JW30" t="s">
        <v>550</v>
      </c>
      <c r="JX30">
        <v>0</v>
      </c>
      <c r="KA30">
        <v>0</v>
      </c>
      <c r="KB30">
        <v>110</v>
      </c>
      <c r="KC30">
        <v>0</v>
      </c>
      <c r="KD30">
        <v>80</v>
      </c>
      <c r="KF30">
        <v>4</v>
      </c>
      <c r="KG30">
        <v>2</v>
      </c>
      <c r="KH30">
        <v>2</v>
      </c>
      <c r="KI30">
        <v>2</v>
      </c>
      <c r="KJ30">
        <v>0</v>
      </c>
      <c r="KK30">
        <v>1.5</v>
      </c>
      <c r="KL30">
        <v>1.5</v>
      </c>
      <c r="KM30">
        <v>0</v>
      </c>
      <c r="KN30">
        <v>0</v>
      </c>
      <c r="KO30">
        <v>0</v>
      </c>
      <c r="KR30">
        <v>50</v>
      </c>
      <c r="KS30">
        <v>60</v>
      </c>
      <c r="KT30">
        <v>0</v>
      </c>
      <c r="LK30">
        <v>480</v>
      </c>
      <c r="PG30">
        <v>1</v>
      </c>
      <c r="PI30" t="s">
        <v>1032</v>
      </c>
      <c r="PJ30" t="s">
        <v>1034</v>
      </c>
      <c r="PL30" t="s">
        <v>1033</v>
      </c>
      <c r="PP30" t="s">
        <v>1035</v>
      </c>
      <c r="PX30">
        <v>56</v>
      </c>
      <c r="PY30">
        <v>56</v>
      </c>
      <c r="PZ30" t="s">
        <v>1032</v>
      </c>
      <c r="QA30">
        <v>1</v>
      </c>
      <c r="QB30">
        <v>1375</v>
      </c>
      <c r="QC30">
        <v>69</v>
      </c>
      <c r="QD30">
        <v>69</v>
      </c>
      <c r="QE30" t="s">
        <v>1033</v>
      </c>
      <c r="QF30">
        <v>1</v>
      </c>
      <c r="QG30">
        <v>1393</v>
      </c>
      <c r="QH30">
        <v>66</v>
      </c>
      <c r="QI30">
        <v>66</v>
      </c>
      <c r="QL30">
        <v>0</v>
      </c>
      <c r="QM30">
        <v>63</v>
      </c>
      <c r="QN30">
        <v>63</v>
      </c>
      <c r="QO30" t="s">
        <v>1034</v>
      </c>
      <c r="QP30">
        <v>1</v>
      </c>
      <c r="QQ30">
        <v>1391</v>
      </c>
      <c r="QW30">
        <v>82</v>
      </c>
      <c r="QX30">
        <v>82</v>
      </c>
      <c r="QY30" t="s">
        <v>1035</v>
      </c>
      <c r="QZ30">
        <v>2</v>
      </c>
      <c r="RA30">
        <v>66</v>
      </c>
      <c r="RB30">
        <v>66</v>
      </c>
      <c r="RE30">
        <v>0</v>
      </c>
      <c r="RG30">
        <v>1</v>
      </c>
      <c r="RJ30">
        <v>1</v>
      </c>
      <c r="RL30">
        <v>2</v>
      </c>
      <c r="RO30">
        <v>503</v>
      </c>
      <c r="RQ30">
        <v>914</v>
      </c>
      <c r="RT30">
        <v>344</v>
      </c>
      <c r="RU30">
        <v>164</v>
      </c>
      <c r="RV30" t="s">
        <v>1037</v>
      </c>
      <c r="RW30" t="s">
        <v>679</v>
      </c>
      <c r="RX30">
        <v>15</v>
      </c>
      <c r="RY30">
        <v>4</v>
      </c>
      <c r="RZ30" t="s">
        <v>679</v>
      </c>
      <c r="SA30">
        <v>15</v>
      </c>
      <c r="SB30" t="s">
        <v>1038</v>
      </c>
      <c r="SC30" t="s">
        <v>1038</v>
      </c>
      <c r="SD30">
        <v>1</v>
      </c>
      <c r="SH30">
        <v>0.995</v>
      </c>
      <c r="SI30">
        <v>0.995</v>
      </c>
      <c r="SJ30">
        <v>0.995</v>
      </c>
      <c r="SK30">
        <v>15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TB30">
        <v>0</v>
      </c>
      <c r="TC30">
        <v>0</v>
      </c>
      <c r="TD30">
        <v>7.5</v>
      </c>
      <c r="TE30" t="s">
        <v>553</v>
      </c>
      <c r="TF30" t="s">
        <v>681</v>
      </c>
      <c r="TG30" t="s">
        <v>555</v>
      </c>
      <c r="TI30" t="s">
        <v>546</v>
      </c>
      <c r="TJ30" t="s">
        <v>547</v>
      </c>
      <c r="TL30" t="s">
        <v>556</v>
      </c>
      <c r="TM30" t="s">
        <v>513</v>
      </c>
      <c r="TN30">
        <v>0</v>
      </c>
      <c r="TO30" t="s">
        <v>557</v>
      </c>
    </row>
    <row r="31" spans="1:535">
      <c r="A31" t="s">
        <v>1039</v>
      </c>
      <c r="B31" t="s">
        <v>629</v>
      </c>
      <c r="C31" t="s">
        <v>509</v>
      </c>
      <c r="D31" t="s">
        <v>1040</v>
      </c>
      <c r="G31" t="s">
        <v>627</v>
      </c>
      <c r="H31" t="s">
        <v>604</v>
      </c>
      <c r="I31" t="s">
        <v>628</v>
      </c>
      <c r="J31" t="s">
        <v>606</v>
      </c>
      <c r="L31" t="s">
        <v>512</v>
      </c>
      <c r="M31" t="s">
        <v>711</v>
      </c>
      <c r="N31" t="s">
        <v>513</v>
      </c>
      <c r="O31" t="s">
        <v>565</v>
      </c>
      <c r="Q31" t="s">
        <v>1041</v>
      </c>
      <c r="R31" t="s">
        <v>567</v>
      </c>
      <c r="S31" t="s">
        <v>1042</v>
      </c>
      <c r="T31" t="s">
        <v>1043</v>
      </c>
      <c r="U31" t="s">
        <v>686</v>
      </c>
      <c r="V31" t="s">
        <v>687</v>
      </c>
      <c r="W31" t="s">
        <v>1044</v>
      </c>
      <c r="X31" t="s">
        <v>573</v>
      </c>
      <c r="Y31" t="s">
        <v>574</v>
      </c>
      <c r="Z31" t="s">
        <v>1045</v>
      </c>
      <c r="AA31" t="s">
        <v>1046</v>
      </c>
      <c r="AB31" t="s">
        <v>1047</v>
      </c>
      <c r="AC31">
        <v>2</v>
      </c>
      <c r="AD31">
        <v>56</v>
      </c>
      <c r="AE31">
        <v>244</v>
      </c>
      <c r="AF31">
        <v>1.5</v>
      </c>
      <c r="AH31">
        <v>0</v>
      </c>
      <c r="AI31" t="s">
        <v>1048</v>
      </c>
      <c r="AJ31">
        <v>225</v>
      </c>
      <c r="AK31">
        <v>1</v>
      </c>
      <c r="AL31">
        <v>1.5</v>
      </c>
      <c r="AM31" t="s">
        <v>579</v>
      </c>
      <c r="AN31" t="s">
        <v>855</v>
      </c>
      <c r="AO31">
        <v>2</v>
      </c>
      <c r="AP31" t="s">
        <v>581</v>
      </c>
      <c r="AQ31" t="s">
        <v>582</v>
      </c>
      <c r="AR31">
        <v>263</v>
      </c>
      <c r="AS31">
        <v>1.5</v>
      </c>
      <c r="AT31" t="s">
        <v>583</v>
      </c>
      <c r="AU31" t="s">
        <v>1049</v>
      </c>
      <c r="AW31" t="s">
        <v>1049</v>
      </c>
      <c r="AX31">
        <v>1</v>
      </c>
      <c r="AY31">
        <v>322.5</v>
      </c>
      <c r="AZ31">
        <v>1.5</v>
      </c>
      <c r="BA31" t="s">
        <v>579</v>
      </c>
      <c r="BB31" t="s">
        <v>1050</v>
      </c>
      <c r="BD31" t="s">
        <v>1050</v>
      </c>
      <c r="BE31">
        <v>1</v>
      </c>
      <c r="BF31">
        <v>265</v>
      </c>
      <c r="BG31">
        <v>1.5</v>
      </c>
      <c r="BJ31">
        <v>0</v>
      </c>
      <c r="BN31">
        <v>1.5</v>
      </c>
      <c r="BP31" t="s">
        <v>1051</v>
      </c>
      <c r="BQ31">
        <v>89</v>
      </c>
      <c r="BR31">
        <v>2</v>
      </c>
      <c r="BS31" t="s">
        <v>1052</v>
      </c>
      <c r="BT31">
        <v>243</v>
      </c>
      <c r="BU31">
        <v>0.5</v>
      </c>
      <c r="BV31" t="s">
        <v>1052</v>
      </c>
      <c r="BW31">
        <v>486</v>
      </c>
      <c r="BX31">
        <v>1</v>
      </c>
      <c r="BY31" t="s">
        <v>698</v>
      </c>
      <c r="BZ31">
        <v>470</v>
      </c>
      <c r="CA31">
        <v>590</v>
      </c>
      <c r="CB31" t="s">
        <v>699</v>
      </c>
      <c r="CC31" t="s">
        <v>1053</v>
      </c>
      <c r="CD31">
        <v>502</v>
      </c>
      <c r="CE31" t="s">
        <v>700</v>
      </c>
      <c r="CF31">
        <v>15</v>
      </c>
      <c r="CG31" t="s">
        <v>1054</v>
      </c>
      <c r="CH31" t="s">
        <v>1054</v>
      </c>
      <c r="CI31">
        <v>60</v>
      </c>
      <c r="CJ31">
        <v>1458</v>
      </c>
      <c r="CK31">
        <v>2</v>
      </c>
      <c r="CL31">
        <v>1552</v>
      </c>
      <c r="CM31">
        <v>2</v>
      </c>
      <c r="CN31" t="s">
        <v>702</v>
      </c>
      <c r="CO31" t="s">
        <v>676</v>
      </c>
      <c r="CP31" t="s">
        <v>703</v>
      </c>
      <c r="CQ31" t="s">
        <v>596</v>
      </c>
      <c r="CR31" t="s">
        <v>541</v>
      </c>
      <c r="CS31" t="s">
        <v>542</v>
      </c>
      <c r="CT31">
        <v>450</v>
      </c>
      <c r="CU31">
        <v>5</v>
      </c>
      <c r="CV31">
        <v>1.2</v>
      </c>
      <c r="CW31">
        <v>1475</v>
      </c>
      <c r="CX31">
        <v>940</v>
      </c>
      <c r="CY31" t="s">
        <v>597</v>
      </c>
      <c r="CZ31">
        <v>50</v>
      </c>
      <c r="DA31">
        <v>3</v>
      </c>
      <c r="DB31">
        <v>1.28</v>
      </c>
      <c r="DC31">
        <v>1475</v>
      </c>
      <c r="DD31">
        <v>105</v>
      </c>
      <c r="DE31" t="s">
        <v>622</v>
      </c>
      <c r="DF31">
        <v>645</v>
      </c>
      <c r="DG31">
        <v>3</v>
      </c>
      <c r="DH31">
        <v>0.88</v>
      </c>
      <c r="DI31">
        <v>1467</v>
      </c>
      <c r="DJ31">
        <v>1172</v>
      </c>
      <c r="DK31" t="s">
        <v>622</v>
      </c>
      <c r="DL31">
        <v>530</v>
      </c>
      <c r="DM31">
        <v>3</v>
      </c>
      <c r="DN31">
        <v>0.88</v>
      </c>
      <c r="DO31">
        <v>1472</v>
      </c>
      <c r="DP31">
        <v>892</v>
      </c>
      <c r="DW31" t="s">
        <v>544</v>
      </c>
      <c r="DX31">
        <v>7.5</v>
      </c>
      <c r="EA31">
        <v>1544.1</v>
      </c>
      <c r="EB31">
        <v>364</v>
      </c>
      <c r="EC31" t="s">
        <v>545</v>
      </c>
      <c r="ED31">
        <v>45</v>
      </c>
      <c r="EE31">
        <v>3</v>
      </c>
      <c r="EG31">
        <v>1595</v>
      </c>
      <c r="EH31">
        <v>290</v>
      </c>
      <c r="EJ31">
        <v>0</v>
      </c>
      <c r="EK31">
        <v>1</v>
      </c>
      <c r="EN31">
        <v>0</v>
      </c>
      <c r="EP31" t="s">
        <v>546</v>
      </c>
      <c r="EQ31">
        <v>125</v>
      </c>
      <c r="ER31">
        <v>3</v>
      </c>
      <c r="ES31">
        <v>6</v>
      </c>
      <c r="ET31">
        <v>1457</v>
      </c>
      <c r="EU31">
        <v>577.8</v>
      </c>
      <c r="EV31">
        <v>842</v>
      </c>
      <c r="EW31" t="s">
        <v>547</v>
      </c>
      <c r="EX31">
        <v>45</v>
      </c>
      <c r="EY31">
        <v>2</v>
      </c>
      <c r="EZ31">
        <v>4.5</v>
      </c>
      <c r="FA31">
        <v>1457</v>
      </c>
      <c r="FB31">
        <v>151.6</v>
      </c>
      <c r="FC31">
        <v>221</v>
      </c>
      <c r="FE31">
        <v>0</v>
      </c>
      <c r="FF31">
        <v>2</v>
      </c>
      <c r="FI31">
        <v>0</v>
      </c>
      <c r="FK31" t="s">
        <v>548</v>
      </c>
      <c r="FL31">
        <v>0.4</v>
      </c>
      <c r="FM31">
        <v>65</v>
      </c>
      <c r="FN31">
        <v>420</v>
      </c>
      <c r="FO31">
        <v>120</v>
      </c>
      <c r="FP31">
        <v>120</v>
      </c>
      <c r="GR31" t="s">
        <v>548</v>
      </c>
      <c r="GS31">
        <v>0.4</v>
      </c>
      <c r="GT31">
        <v>95</v>
      </c>
      <c r="GU31">
        <v>310</v>
      </c>
      <c r="HC31">
        <v>0.1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155</v>
      </c>
      <c r="HJ31">
        <v>3</v>
      </c>
      <c r="HK31">
        <v>30</v>
      </c>
      <c r="HL31">
        <v>2</v>
      </c>
      <c r="HM31">
        <v>0</v>
      </c>
      <c r="HN31">
        <v>2</v>
      </c>
      <c r="HO31">
        <v>110</v>
      </c>
      <c r="HP31">
        <v>3</v>
      </c>
      <c r="HQ31">
        <v>0</v>
      </c>
      <c r="HR31">
        <v>2</v>
      </c>
      <c r="HS31">
        <v>6648</v>
      </c>
      <c r="HT31">
        <v>200</v>
      </c>
      <c r="HU31">
        <v>180</v>
      </c>
      <c r="HW31">
        <v>0</v>
      </c>
      <c r="HX31">
        <v>500</v>
      </c>
      <c r="HY31">
        <v>0.18</v>
      </c>
      <c r="IA31">
        <v>0.15</v>
      </c>
      <c r="IB31">
        <v>0</v>
      </c>
      <c r="IC31">
        <v>180</v>
      </c>
      <c r="ID31">
        <v>110</v>
      </c>
      <c r="IE31">
        <v>225</v>
      </c>
      <c r="IF31">
        <v>0</v>
      </c>
      <c r="IH31" t="s">
        <v>549</v>
      </c>
      <c r="IO31">
        <v>3</v>
      </c>
      <c r="IP31">
        <v>19</v>
      </c>
      <c r="IQ31">
        <v>0</v>
      </c>
      <c r="IR31">
        <v>0</v>
      </c>
      <c r="IV31">
        <v>1458</v>
      </c>
      <c r="IW31">
        <v>486</v>
      </c>
      <c r="JA31">
        <v>1</v>
      </c>
      <c r="JB31">
        <v>0</v>
      </c>
      <c r="JC31">
        <v>2</v>
      </c>
      <c r="JD31">
        <v>1475</v>
      </c>
      <c r="JE31">
        <v>1467</v>
      </c>
      <c r="JF31">
        <v>1472</v>
      </c>
      <c r="JG31">
        <v>1457</v>
      </c>
      <c r="JH31">
        <v>0</v>
      </c>
      <c r="JJ31">
        <v>180</v>
      </c>
      <c r="JK31">
        <v>500</v>
      </c>
      <c r="JN31">
        <v>450</v>
      </c>
      <c r="JO31">
        <v>645</v>
      </c>
      <c r="JP31">
        <v>530</v>
      </c>
      <c r="JQ31">
        <v>0</v>
      </c>
      <c r="JR31">
        <v>488</v>
      </c>
      <c r="JS31">
        <v>155</v>
      </c>
      <c r="JV31">
        <v>8</v>
      </c>
      <c r="JW31" t="s">
        <v>550</v>
      </c>
      <c r="JX31">
        <v>526</v>
      </c>
      <c r="KA31">
        <v>225</v>
      </c>
      <c r="KB31">
        <v>110</v>
      </c>
      <c r="KC31">
        <v>0</v>
      </c>
      <c r="KD31">
        <v>80</v>
      </c>
      <c r="KF31">
        <v>4</v>
      </c>
      <c r="KG31">
        <v>2</v>
      </c>
      <c r="KH31">
        <v>2</v>
      </c>
      <c r="KI31">
        <v>2</v>
      </c>
      <c r="KJ31">
        <v>0</v>
      </c>
      <c r="KK31">
        <v>1.5</v>
      </c>
      <c r="KL31">
        <v>1.5</v>
      </c>
      <c r="KM31">
        <v>0</v>
      </c>
      <c r="KN31">
        <v>0</v>
      </c>
      <c r="KO31">
        <v>0</v>
      </c>
      <c r="KR31">
        <v>30</v>
      </c>
      <c r="KS31">
        <v>60</v>
      </c>
      <c r="KT31">
        <v>0</v>
      </c>
      <c r="LK31">
        <v>480</v>
      </c>
      <c r="PG31">
        <v>1</v>
      </c>
      <c r="PI31" t="s">
        <v>1047</v>
      </c>
      <c r="PJ31" t="s">
        <v>1049</v>
      </c>
      <c r="PK31" t="s">
        <v>1050</v>
      </c>
      <c r="PL31" t="s">
        <v>1048</v>
      </c>
      <c r="PP31" t="s">
        <v>1051</v>
      </c>
      <c r="PS31" t="s">
        <v>855</v>
      </c>
      <c r="PX31">
        <v>56</v>
      </c>
      <c r="PY31">
        <v>56</v>
      </c>
      <c r="PZ31" t="s">
        <v>1047</v>
      </c>
      <c r="QA31">
        <v>3</v>
      </c>
      <c r="QB31">
        <v>1457</v>
      </c>
      <c r="QC31">
        <v>69</v>
      </c>
      <c r="QD31">
        <v>69</v>
      </c>
      <c r="QE31" t="s">
        <v>1048</v>
      </c>
      <c r="QF31">
        <v>1</v>
      </c>
      <c r="QG31">
        <v>1475</v>
      </c>
      <c r="QH31">
        <v>66</v>
      </c>
      <c r="QI31">
        <v>66</v>
      </c>
      <c r="QJ31" t="s">
        <v>855</v>
      </c>
      <c r="QK31">
        <v>1</v>
      </c>
      <c r="QL31">
        <v>1475</v>
      </c>
      <c r="QM31">
        <v>62</v>
      </c>
      <c r="QN31">
        <v>62</v>
      </c>
      <c r="QO31" t="s">
        <v>1049</v>
      </c>
      <c r="QP31">
        <v>1</v>
      </c>
      <c r="QQ31">
        <v>1467</v>
      </c>
      <c r="QR31">
        <v>62</v>
      </c>
      <c r="QS31">
        <v>62</v>
      </c>
      <c r="QT31" t="s">
        <v>1050</v>
      </c>
      <c r="QU31">
        <v>1</v>
      </c>
      <c r="QV31">
        <v>1472</v>
      </c>
      <c r="QW31">
        <v>82</v>
      </c>
      <c r="QX31">
        <v>89</v>
      </c>
      <c r="QY31" t="s">
        <v>1051</v>
      </c>
      <c r="QZ31">
        <v>1</v>
      </c>
      <c r="RA31">
        <v>66</v>
      </c>
      <c r="RB31">
        <v>66</v>
      </c>
      <c r="RE31">
        <v>0</v>
      </c>
      <c r="RF31">
        <v>1</v>
      </c>
      <c r="RH31">
        <v>1</v>
      </c>
      <c r="RJ31">
        <v>1</v>
      </c>
      <c r="RK31">
        <v>2</v>
      </c>
      <c r="RL31">
        <v>3</v>
      </c>
      <c r="RM31">
        <v>3</v>
      </c>
      <c r="RO31">
        <v>637</v>
      </c>
      <c r="RP31">
        <v>142</v>
      </c>
      <c r="RQ31">
        <v>799</v>
      </c>
      <c r="RR31">
        <v>606</v>
      </c>
      <c r="RT31">
        <v>364</v>
      </c>
      <c r="RU31">
        <v>290</v>
      </c>
      <c r="RV31" t="s">
        <v>1055</v>
      </c>
      <c r="RW31" t="s">
        <v>707</v>
      </c>
      <c r="RX31">
        <v>15</v>
      </c>
      <c r="RY31">
        <v>4</v>
      </c>
      <c r="RZ31" t="s">
        <v>707</v>
      </c>
      <c r="SA31">
        <v>15</v>
      </c>
      <c r="SC31" t="s">
        <v>1049</v>
      </c>
      <c r="SD31">
        <v>1</v>
      </c>
      <c r="SF31" t="s">
        <v>1050</v>
      </c>
      <c r="SG31">
        <v>1</v>
      </c>
      <c r="SH31">
        <v>0.995</v>
      </c>
      <c r="SI31">
        <v>0.995</v>
      </c>
      <c r="SJ31">
        <v>0.995</v>
      </c>
      <c r="SK31">
        <v>15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1</v>
      </c>
      <c r="SZ31">
        <v>1</v>
      </c>
      <c r="TB31">
        <v>0</v>
      </c>
      <c r="TC31">
        <v>0</v>
      </c>
      <c r="TD31">
        <v>7.5</v>
      </c>
      <c r="TE31" t="s">
        <v>553</v>
      </c>
      <c r="TF31" t="s">
        <v>681</v>
      </c>
      <c r="TG31" t="s">
        <v>555</v>
      </c>
      <c r="TI31" t="s">
        <v>546</v>
      </c>
      <c r="TJ31" t="s">
        <v>547</v>
      </c>
      <c r="TL31" t="s">
        <v>556</v>
      </c>
      <c r="TM31" t="s">
        <v>513</v>
      </c>
      <c r="TN31">
        <v>0</v>
      </c>
      <c r="TO31" t="s">
        <v>557</v>
      </c>
    </row>
    <row r="32" spans="1:535">
      <c r="A32" t="s">
        <v>1056</v>
      </c>
      <c r="B32" t="s">
        <v>564</v>
      </c>
      <c r="C32" t="s">
        <v>509</v>
      </c>
      <c r="D32" t="s">
        <v>1057</v>
      </c>
      <c r="G32" t="s">
        <v>604</v>
      </c>
      <c r="H32" t="s">
        <v>605</v>
      </c>
      <c r="I32" t="s">
        <v>628</v>
      </c>
      <c r="J32" t="s">
        <v>606</v>
      </c>
      <c r="L32" t="s">
        <v>512</v>
      </c>
      <c r="M32" t="s">
        <v>629</v>
      </c>
      <c r="N32" t="s">
        <v>513</v>
      </c>
      <c r="O32" t="s">
        <v>607</v>
      </c>
      <c r="Q32" t="s">
        <v>1058</v>
      </c>
      <c r="R32" t="s">
        <v>567</v>
      </c>
      <c r="S32" t="s">
        <v>1059</v>
      </c>
      <c r="T32" t="s">
        <v>1060</v>
      </c>
      <c r="U32" t="s">
        <v>633</v>
      </c>
      <c r="V32" t="s">
        <v>634</v>
      </c>
      <c r="W32" t="s">
        <v>1061</v>
      </c>
      <c r="X32" t="s">
        <v>573</v>
      </c>
      <c r="Y32" t="s">
        <v>574</v>
      </c>
      <c r="Z32" t="s">
        <v>1062</v>
      </c>
      <c r="AA32" t="s">
        <v>1063</v>
      </c>
      <c r="AB32" t="s">
        <v>1064</v>
      </c>
      <c r="AC32">
        <v>2</v>
      </c>
      <c r="AD32">
        <v>56</v>
      </c>
      <c r="AE32">
        <v>270</v>
      </c>
      <c r="AF32">
        <v>1.5</v>
      </c>
      <c r="AH32">
        <v>0</v>
      </c>
      <c r="AI32" t="s">
        <v>1065</v>
      </c>
      <c r="AJ32">
        <v>250</v>
      </c>
      <c r="AK32">
        <v>1</v>
      </c>
      <c r="AL32">
        <v>1.5</v>
      </c>
      <c r="AM32" t="s">
        <v>579</v>
      </c>
      <c r="AN32" t="s">
        <v>580</v>
      </c>
      <c r="AO32">
        <v>2</v>
      </c>
      <c r="AP32" t="s">
        <v>581</v>
      </c>
      <c r="AQ32" t="s">
        <v>582</v>
      </c>
      <c r="AR32">
        <v>298</v>
      </c>
      <c r="AS32">
        <v>1.5</v>
      </c>
      <c r="AT32" t="s">
        <v>583</v>
      </c>
      <c r="AU32" t="s">
        <v>1066</v>
      </c>
      <c r="AW32" t="s">
        <v>1066</v>
      </c>
      <c r="AX32">
        <v>1</v>
      </c>
      <c r="AY32">
        <v>362.5</v>
      </c>
      <c r="AZ32">
        <v>1.5</v>
      </c>
      <c r="BA32" t="s">
        <v>579</v>
      </c>
      <c r="BB32" t="s">
        <v>1067</v>
      </c>
      <c r="BD32" t="s">
        <v>1067</v>
      </c>
      <c r="BE32">
        <v>1</v>
      </c>
      <c r="BF32">
        <v>287.5</v>
      </c>
      <c r="BG32">
        <v>1.5</v>
      </c>
      <c r="BJ32">
        <v>0</v>
      </c>
      <c r="BN32">
        <v>1.5</v>
      </c>
      <c r="BP32" t="s">
        <v>1068</v>
      </c>
      <c r="BQ32">
        <v>89</v>
      </c>
      <c r="BR32">
        <v>2</v>
      </c>
      <c r="BS32" t="s">
        <v>1069</v>
      </c>
      <c r="BT32">
        <v>267</v>
      </c>
      <c r="BU32">
        <v>0.5</v>
      </c>
      <c r="BV32" t="s">
        <v>1069</v>
      </c>
      <c r="BW32">
        <v>534</v>
      </c>
      <c r="BX32">
        <v>1</v>
      </c>
      <c r="BY32" t="s">
        <v>643</v>
      </c>
      <c r="BZ32">
        <v>470</v>
      </c>
      <c r="CA32">
        <v>590</v>
      </c>
      <c r="CB32" t="s">
        <v>644</v>
      </c>
      <c r="CC32" t="s">
        <v>1070</v>
      </c>
      <c r="CD32">
        <v>554</v>
      </c>
      <c r="CE32" t="s">
        <v>544</v>
      </c>
      <c r="CF32">
        <v>15</v>
      </c>
      <c r="CG32" t="s">
        <v>891</v>
      </c>
      <c r="CH32" t="s">
        <v>891</v>
      </c>
      <c r="CI32">
        <v>60</v>
      </c>
      <c r="CJ32">
        <v>1301</v>
      </c>
      <c r="CK32">
        <v>2</v>
      </c>
      <c r="CL32">
        <v>1395</v>
      </c>
      <c r="CM32">
        <v>2</v>
      </c>
      <c r="CN32" t="s">
        <v>646</v>
      </c>
      <c r="CO32" t="s">
        <v>647</v>
      </c>
      <c r="CP32" t="s">
        <v>648</v>
      </c>
      <c r="CQ32" t="s">
        <v>596</v>
      </c>
      <c r="CR32" t="s">
        <v>541</v>
      </c>
      <c r="CS32" t="s">
        <v>542</v>
      </c>
      <c r="CT32">
        <v>500</v>
      </c>
      <c r="CU32">
        <v>5</v>
      </c>
      <c r="CV32">
        <v>1.2</v>
      </c>
      <c r="CW32">
        <v>1319</v>
      </c>
      <c r="CX32">
        <v>935</v>
      </c>
      <c r="CY32" t="s">
        <v>597</v>
      </c>
      <c r="CZ32">
        <v>60</v>
      </c>
      <c r="DA32">
        <v>3</v>
      </c>
      <c r="DB32">
        <v>1.28</v>
      </c>
      <c r="DC32">
        <v>1319</v>
      </c>
      <c r="DD32">
        <v>112</v>
      </c>
      <c r="DE32" t="s">
        <v>543</v>
      </c>
      <c r="DF32">
        <v>725</v>
      </c>
      <c r="DG32">
        <v>3</v>
      </c>
      <c r="DH32">
        <v>1.18</v>
      </c>
      <c r="DI32">
        <v>1312</v>
      </c>
      <c r="DJ32">
        <v>1475</v>
      </c>
      <c r="DK32" t="s">
        <v>543</v>
      </c>
      <c r="DL32">
        <v>575</v>
      </c>
      <c r="DM32">
        <v>3</v>
      </c>
      <c r="DN32">
        <v>1.18</v>
      </c>
      <c r="DO32">
        <v>1319</v>
      </c>
      <c r="DP32">
        <v>1150</v>
      </c>
      <c r="DW32" t="s">
        <v>544</v>
      </c>
      <c r="DX32">
        <v>7.5</v>
      </c>
      <c r="EA32">
        <v>1386.2</v>
      </c>
      <c r="EB32">
        <v>327</v>
      </c>
      <c r="EC32" t="s">
        <v>545</v>
      </c>
      <c r="ED32">
        <v>50</v>
      </c>
      <c r="EE32">
        <v>3</v>
      </c>
      <c r="EG32">
        <v>1437</v>
      </c>
      <c r="EH32">
        <v>295</v>
      </c>
      <c r="EJ32">
        <v>0</v>
      </c>
      <c r="EK32">
        <v>1</v>
      </c>
      <c r="EN32">
        <v>0</v>
      </c>
      <c r="EP32" t="s">
        <v>546</v>
      </c>
      <c r="EQ32">
        <v>155</v>
      </c>
      <c r="ER32">
        <v>3</v>
      </c>
      <c r="ES32">
        <v>6.5</v>
      </c>
      <c r="ET32">
        <v>1304</v>
      </c>
      <c r="EU32">
        <v>782.7</v>
      </c>
      <c r="EV32">
        <v>1021</v>
      </c>
      <c r="EW32" t="s">
        <v>547</v>
      </c>
      <c r="EX32">
        <v>45</v>
      </c>
      <c r="EY32">
        <v>2</v>
      </c>
      <c r="EZ32">
        <v>4.2</v>
      </c>
      <c r="FA32">
        <v>1304</v>
      </c>
      <c r="FB32">
        <v>135.2</v>
      </c>
      <c r="FC32">
        <v>176</v>
      </c>
      <c r="FE32">
        <v>0</v>
      </c>
      <c r="FF32">
        <v>2</v>
      </c>
      <c r="FI32">
        <v>0</v>
      </c>
      <c r="FK32" t="s">
        <v>548</v>
      </c>
      <c r="FL32">
        <v>0.4</v>
      </c>
      <c r="FM32">
        <v>50</v>
      </c>
      <c r="FN32">
        <v>460</v>
      </c>
      <c r="FO32">
        <v>110</v>
      </c>
      <c r="FP32">
        <v>160</v>
      </c>
      <c r="GR32" t="s">
        <v>548</v>
      </c>
      <c r="GS32">
        <v>0.4</v>
      </c>
      <c r="GT32">
        <v>105</v>
      </c>
      <c r="GU32">
        <v>350</v>
      </c>
      <c r="HC32">
        <v>0.1</v>
      </c>
      <c r="HD32">
        <v>3</v>
      </c>
      <c r="HE32">
        <v>3</v>
      </c>
      <c r="HF32">
        <v>3</v>
      </c>
      <c r="HG32">
        <v>3</v>
      </c>
      <c r="HH32">
        <v>3</v>
      </c>
      <c r="HI32">
        <v>185</v>
      </c>
      <c r="HJ32">
        <v>3</v>
      </c>
      <c r="HK32">
        <v>30</v>
      </c>
      <c r="HL32">
        <v>2</v>
      </c>
      <c r="HM32">
        <v>0</v>
      </c>
      <c r="HN32">
        <v>2</v>
      </c>
      <c r="HO32">
        <v>140</v>
      </c>
      <c r="HP32">
        <v>3</v>
      </c>
      <c r="HQ32">
        <v>0</v>
      </c>
      <c r="HR32">
        <v>2</v>
      </c>
      <c r="HS32">
        <v>7422</v>
      </c>
      <c r="HT32">
        <v>220</v>
      </c>
      <c r="HU32">
        <v>180</v>
      </c>
      <c r="HW32">
        <v>0</v>
      </c>
      <c r="HX32">
        <v>446</v>
      </c>
      <c r="HY32">
        <v>0.18</v>
      </c>
      <c r="IA32">
        <v>0.15</v>
      </c>
      <c r="IB32">
        <v>0</v>
      </c>
      <c r="IC32">
        <v>180</v>
      </c>
      <c r="ID32">
        <v>110</v>
      </c>
      <c r="IE32">
        <v>225</v>
      </c>
      <c r="IF32">
        <v>0</v>
      </c>
      <c r="IH32" t="s">
        <v>549</v>
      </c>
      <c r="IO32">
        <v>3</v>
      </c>
      <c r="IP32">
        <v>17</v>
      </c>
      <c r="IQ32">
        <v>0</v>
      </c>
      <c r="IR32">
        <v>0</v>
      </c>
      <c r="IV32">
        <v>1301</v>
      </c>
      <c r="IW32">
        <v>534</v>
      </c>
      <c r="JA32">
        <v>1</v>
      </c>
      <c r="JB32">
        <v>0</v>
      </c>
      <c r="JC32">
        <v>2</v>
      </c>
      <c r="JD32">
        <v>1319</v>
      </c>
      <c r="JE32">
        <v>1312</v>
      </c>
      <c r="JF32">
        <v>1319</v>
      </c>
      <c r="JG32">
        <v>1304</v>
      </c>
      <c r="JH32">
        <v>0</v>
      </c>
      <c r="JJ32">
        <v>180</v>
      </c>
      <c r="JK32">
        <v>446</v>
      </c>
      <c r="JN32">
        <v>500</v>
      </c>
      <c r="JO32">
        <v>725</v>
      </c>
      <c r="JP32">
        <v>575</v>
      </c>
      <c r="JQ32">
        <v>0</v>
      </c>
      <c r="JR32">
        <v>540</v>
      </c>
      <c r="JS32">
        <v>185</v>
      </c>
      <c r="JV32">
        <v>8</v>
      </c>
      <c r="JW32" t="s">
        <v>550</v>
      </c>
      <c r="JX32">
        <v>596</v>
      </c>
      <c r="KA32">
        <v>225</v>
      </c>
      <c r="KB32">
        <v>110</v>
      </c>
      <c r="KC32">
        <v>0</v>
      </c>
      <c r="KD32">
        <v>80</v>
      </c>
      <c r="KF32">
        <v>4</v>
      </c>
      <c r="KG32">
        <v>2.5</v>
      </c>
      <c r="KH32">
        <v>2</v>
      </c>
      <c r="KI32">
        <v>2</v>
      </c>
      <c r="KJ32">
        <v>0</v>
      </c>
      <c r="KK32">
        <v>1.5</v>
      </c>
      <c r="KL32">
        <v>1.5</v>
      </c>
      <c r="KM32">
        <v>0</v>
      </c>
      <c r="KN32">
        <v>0</v>
      </c>
      <c r="KO32">
        <v>0</v>
      </c>
      <c r="KR32">
        <v>30</v>
      </c>
      <c r="KS32">
        <v>60</v>
      </c>
      <c r="KT32">
        <v>0</v>
      </c>
      <c r="LK32">
        <v>480</v>
      </c>
      <c r="PG32">
        <v>1</v>
      </c>
      <c r="PI32" t="s">
        <v>1064</v>
      </c>
      <c r="PJ32" t="s">
        <v>1066</v>
      </c>
      <c r="PK32" t="s">
        <v>1067</v>
      </c>
      <c r="PL32" t="s">
        <v>1065</v>
      </c>
      <c r="PP32" t="s">
        <v>1068</v>
      </c>
      <c r="PS32" t="s">
        <v>580</v>
      </c>
      <c r="PX32">
        <v>56</v>
      </c>
      <c r="PY32">
        <v>56</v>
      </c>
      <c r="PZ32" t="s">
        <v>1064</v>
      </c>
      <c r="QA32">
        <v>3</v>
      </c>
      <c r="QB32">
        <v>1304</v>
      </c>
      <c r="QC32">
        <v>69</v>
      </c>
      <c r="QD32">
        <v>69</v>
      </c>
      <c r="QE32" t="s">
        <v>1065</v>
      </c>
      <c r="QF32">
        <v>1</v>
      </c>
      <c r="QG32">
        <v>1319</v>
      </c>
      <c r="QH32">
        <v>66</v>
      </c>
      <c r="QI32">
        <v>66</v>
      </c>
      <c r="QJ32" t="s">
        <v>580</v>
      </c>
      <c r="QK32">
        <v>1</v>
      </c>
      <c r="QL32">
        <v>1319</v>
      </c>
      <c r="QM32">
        <v>62</v>
      </c>
      <c r="QN32">
        <v>62</v>
      </c>
      <c r="QO32" t="s">
        <v>1066</v>
      </c>
      <c r="QP32">
        <v>1</v>
      </c>
      <c r="QQ32">
        <v>1312</v>
      </c>
      <c r="QR32">
        <v>62</v>
      </c>
      <c r="QS32">
        <v>62</v>
      </c>
      <c r="QT32" t="s">
        <v>1067</v>
      </c>
      <c r="QU32">
        <v>1</v>
      </c>
      <c r="QV32">
        <v>1319</v>
      </c>
      <c r="QW32">
        <v>82</v>
      </c>
      <c r="QX32">
        <v>89</v>
      </c>
      <c r="QY32" t="s">
        <v>1068</v>
      </c>
      <c r="QZ32">
        <v>1</v>
      </c>
      <c r="RA32">
        <v>66</v>
      </c>
      <c r="RB32">
        <v>66</v>
      </c>
      <c r="RE32">
        <v>0</v>
      </c>
      <c r="RF32">
        <v>1</v>
      </c>
      <c r="RH32">
        <v>1</v>
      </c>
      <c r="RJ32">
        <v>1</v>
      </c>
      <c r="RK32">
        <v>3</v>
      </c>
      <c r="RL32">
        <v>2</v>
      </c>
      <c r="RM32">
        <v>2</v>
      </c>
      <c r="RO32">
        <v>709</v>
      </c>
      <c r="RP32">
        <v>170</v>
      </c>
      <c r="RQ32">
        <v>1124</v>
      </c>
      <c r="RR32">
        <v>872</v>
      </c>
      <c r="RT32">
        <v>327</v>
      </c>
      <c r="RU32">
        <v>295</v>
      </c>
      <c r="RV32" t="s">
        <v>1071</v>
      </c>
      <c r="RW32" t="s">
        <v>653</v>
      </c>
      <c r="RX32">
        <v>15</v>
      </c>
      <c r="RY32">
        <v>4</v>
      </c>
      <c r="RZ32" t="s">
        <v>653</v>
      </c>
      <c r="SA32">
        <v>15</v>
      </c>
      <c r="SC32" t="s">
        <v>1066</v>
      </c>
      <c r="SD32">
        <v>1</v>
      </c>
      <c r="SF32" t="s">
        <v>1067</v>
      </c>
      <c r="SG32">
        <v>1</v>
      </c>
      <c r="SH32">
        <v>0.995</v>
      </c>
      <c r="SI32">
        <v>0.995</v>
      </c>
      <c r="SJ32">
        <v>0.995</v>
      </c>
      <c r="SK32">
        <v>15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1</v>
      </c>
      <c r="SZ32">
        <v>1</v>
      </c>
      <c r="TB32">
        <v>0</v>
      </c>
      <c r="TC32">
        <v>0</v>
      </c>
      <c r="TD32">
        <v>7.5</v>
      </c>
      <c r="TE32" t="s">
        <v>553</v>
      </c>
      <c r="TF32" t="s">
        <v>681</v>
      </c>
      <c r="TG32" t="s">
        <v>555</v>
      </c>
      <c r="TI32" t="s">
        <v>546</v>
      </c>
      <c r="TJ32" t="s">
        <v>547</v>
      </c>
      <c r="TL32" t="s">
        <v>556</v>
      </c>
      <c r="TM32" t="s">
        <v>513</v>
      </c>
      <c r="TN32">
        <v>0</v>
      </c>
      <c r="TO32" t="s">
        <v>557</v>
      </c>
    </row>
    <row r="33" spans="1:535">
      <c r="A33" t="s">
        <v>1072</v>
      </c>
      <c r="B33" t="s">
        <v>629</v>
      </c>
      <c r="C33" t="s">
        <v>509</v>
      </c>
      <c r="D33" t="s">
        <v>1073</v>
      </c>
      <c r="G33" t="s">
        <v>604</v>
      </c>
      <c r="H33" t="s">
        <v>605</v>
      </c>
      <c r="I33" t="s">
        <v>628</v>
      </c>
      <c r="L33" t="s">
        <v>512</v>
      </c>
      <c r="M33" t="s">
        <v>711</v>
      </c>
      <c r="N33" t="s">
        <v>513</v>
      </c>
      <c r="O33" t="s">
        <v>565</v>
      </c>
      <c r="Q33" t="s">
        <v>1074</v>
      </c>
      <c r="R33" t="s">
        <v>567</v>
      </c>
      <c r="S33" t="s">
        <v>1075</v>
      </c>
      <c r="T33" t="s">
        <v>1076</v>
      </c>
      <c r="U33" t="s">
        <v>662</v>
      </c>
      <c r="V33" t="s">
        <v>663</v>
      </c>
      <c r="W33" t="s">
        <v>1004</v>
      </c>
      <c r="X33" t="s">
        <v>573</v>
      </c>
      <c r="Y33" t="s">
        <v>574</v>
      </c>
      <c r="Z33" t="s">
        <v>1077</v>
      </c>
      <c r="AA33" t="s">
        <v>1078</v>
      </c>
      <c r="AB33" t="s">
        <v>1079</v>
      </c>
      <c r="AC33">
        <v>2</v>
      </c>
      <c r="AD33">
        <v>56</v>
      </c>
      <c r="AE33">
        <v>206</v>
      </c>
      <c r="AF33">
        <v>1.5</v>
      </c>
      <c r="AH33">
        <v>0</v>
      </c>
      <c r="AI33" t="s">
        <v>1080</v>
      </c>
      <c r="AJ33">
        <v>217.5</v>
      </c>
      <c r="AK33">
        <v>1</v>
      </c>
      <c r="AL33">
        <v>1.5</v>
      </c>
      <c r="AM33" t="s">
        <v>529</v>
      </c>
      <c r="AO33">
        <v>0</v>
      </c>
      <c r="AR33">
        <v>0</v>
      </c>
      <c r="AS33">
        <v>1.5</v>
      </c>
      <c r="AU33" t="s">
        <v>1081</v>
      </c>
      <c r="AW33" t="s">
        <v>1081</v>
      </c>
      <c r="AX33">
        <v>1</v>
      </c>
      <c r="AY33">
        <v>307.5</v>
      </c>
      <c r="AZ33">
        <v>1.5</v>
      </c>
      <c r="BA33" t="s">
        <v>529</v>
      </c>
      <c r="BB33" t="s">
        <v>1082</v>
      </c>
      <c r="BD33" t="s">
        <v>1082</v>
      </c>
      <c r="BE33">
        <v>1</v>
      </c>
      <c r="BF33">
        <v>252.5</v>
      </c>
      <c r="BG33">
        <v>1.5</v>
      </c>
      <c r="BJ33">
        <v>0</v>
      </c>
      <c r="BN33">
        <v>1.5</v>
      </c>
      <c r="BP33" t="s">
        <v>1083</v>
      </c>
      <c r="BQ33">
        <v>88</v>
      </c>
      <c r="BR33">
        <v>2</v>
      </c>
      <c r="BS33" t="s">
        <v>1084</v>
      </c>
      <c r="BT33">
        <v>228</v>
      </c>
      <c r="BU33">
        <v>0.5</v>
      </c>
      <c r="BV33" t="s">
        <v>1084</v>
      </c>
      <c r="BW33">
        <v>456</v>
      </c>
      <c r="BX33">
        <v>1</v>
      </c>
      <c r="BY33" t="s">
        <v>643</v>
      </c>
      <c r="BZ33">
        <v>470</v>
      </c>
      <c r="CA33">
        <v>570</v>
      </c>
      <c r="CB33" t="s">
        <v>672</v>
      </c>
      <c r="CC33" t="s">
        <v>672</v>
      </c>
      <c r="CD33">
        <v>472</v>
      </c>
      <c r="CE33" t="s">
        <v>673</v>
      </c>
      <c r="CF33">
        <v>15</v>
      </c>
      <c r="CG33" t="s">
        <v>998</v>
      </c>
      <c r="CH33" t="s">
        <v>998</v>
      </c>
      <c r="CI33">
        <v>50</v>
      </c>
      <c r="CJ33">
        <v>1381</v>
      </c>
      <c r="CK33">
        <v>2</v>
      </c>
      <c r="CL33">
        <v>1475</v>
      </c>
      <c r="CM33">
        <v>2</v>
      </c>
      <c r="CN33" t="s">
        <v>675</v>
      </c>
      <c r="CO33" t="s">
        <v>676</v>
      </c>
      <c r="CP33" t="s">
        <v>595</v>
      </c>
      <c r="CQ33" t="s">
        <v>621</v>
      </c>
      <c r="CR33" t="s">
        <v>541</v>
      </c>
      <c r="CS33" t="s">
        <v>542</v>
      </c>
      <c r="CT33">
        <v>435</v>
      </c>
      <c r="CU33">
        <v>5</v>
      </c>
      <c r="CV33">
        <v>1.2</v>
      </c>
      <c r="CW33">
        <v>1393</v>
      </c>
      <c r="CX33">
        <v>858</v>
      </c>
      <c r="DD33">
        <v>0</v>
      </c>
      <c r="DE33" t="s">
        <v>543</v>
      </c>
      <c r="DF33">
        <v>615</v>
      </c>
      <c r="DG33">
        <v>3</v>
      </c>
      <c r="DH33">
        <v>1.18</v>
      </c>
      <c r="DI33">
        <v>1391</v>
      </c>
      <c r="DJ33">
        <v>1295</v>
      </c>
      <c r="DK33" t="s">
        <v>543</v>
      </c>
      <c r="DL33">
        <v>505</v>
      </c>
      <c r="DM33">
        <v>3</v>
      </c>
      <c r="DN33">
        <v>1.18</v>
      </c>
      <c r="DO33">
        <v>1399</v>
      </c>
      <c r="DP33">
        <v>1031</v>
      </c>
      <c r="DW33" t="s">
        <v>544</v>
      </c>
      <c r="DX33">
        <v>7.5</v>
      </c>
      <c r="EA33">
        <v>1461.1</v>
      </c>
      <c r="EB33">
        <v>345</v>
      </c>
      <c r="EC33" t="s">
        <v>545</v>
      </c>
      <c r="ED33">
        <v>40</v>
      </c>
      <c r="EE33">
        <v>3</v>
      </c>
      <c r="EG33">
        <v>1512</v>
      </c>
      <c r="EH33">
        <v>240</v>
      </c>
      <c r="EJ33">
        <v>0</v>
      </c>
      <c r="EK33">
        <v>1</v>
      </c>
      <c r="EN33">
        <v>0</v>
      </c>
      <c r="EP33" t="s">
        <v>546</v>
      </c>
      <c r="EQ33">
        <v>130</v>
      </c>
      <c r="ER33">
        <v>3</v>
      </c>
      <c r="ES33">
        <v>6</v>
      </c>
      <c r="ET33">
        <v>1381</v>
      </c>
      <c r="EU33">
        <v>593.1</v>
      </c>
      <c r="EV33">
        <v>819</v>
      </c>
      <c r="EW33" t="s">
        <v>547</v>
      </c>
      <c r="EX33">
        <v>70</v>
      </c>
      <c r="EY33">
        <v>2</v>
      </c>
      <c r="EZ33">
        <v>4.5</v>
      </c>
      <c r="FA33">
        <v>1381</v>
      </c>
      <c r="FB33">
        <v>211.1</v>
      </c>
      <c r="FC33">
        <v>292</v>
      </c>
      <c r="FE33">
        <v>0</v>
      </c>
      <c r="FF33">
        <v>2</v>
      </c>
      <c r="FI33">
        <v>0</v>
      </c>
      <c r="FK33" t="s">
        <v>548</v>
      </c>
      <c r="FL33">
        <v>0.4</v>
      </c>
      <c r="FM33">
        <v>110</v>
      </c>
      <c r="FN33">
        <v>140</v>
      </c>
      <c r="GR33" t="s">
        <v>548</v>
      </c>
      <c r="GS33">
        <v>0.4</v>
      </c>
      <c r="GT33">
        <v>30</v>
      </c>
      <c r="GU33">
        <v>420</v>
      </c>
      <c r="GV33">
        <v>30</v>
      </c>
      <c r="GW33">
        <v>280</v>
      </c>
      <c r="HC33">
        <v>0.1</v>
      </c>
      <c r="HD33">
        <v>3</v>
      </c>
      <c r="HE33">
        <v>3</v>
      </c>
      <c r="HF33">
        <v>3</v>
      </c>
      <c r="HG33">
        <v>3</v>
      </c>
      <c r="HH33">
        <v>3</v>
      </c>
      <c r="HI33">
        <v>185</v>
      </c>
      <c r="HJ33">
        <v>3</v>
      </c>
      <c r="HK33">
        <v>55</v>
      </c>
      <c r="HL33">
        <v>2</v>
      </c>
      <c r="HM33">
        <v>0</v>
      </c>
      <c r="HN33">
        <v>2</v>
      </c>
      <c r="HO33">
        <v>115</v>
      </c>
      <c r="HP33">
        <v>3</v>
      </c>
      <c r="HQ33">
        <v>0</v>
      </c>
      <c r="HR33">
        <v>2</v>
      </c>
      <c r="HS33">
        <v>6576</v>
      </c>
      <c r="HT33">
        <v>200</v>
      </c>
      <c r="HU33">
        <v>180</v>
      </c>
      <c r="HW33">
        <v>0</v>
      </c>
      <c r="HX33">
        <v>510</v>
      </c>
      <c r="HY33">
        <v>0.18</v>
      </c>
      <c r="IA33">
        <v>0.15</v>
      </c>
      <c r="IB33">
        <v>0</v>
      </c>
      <c r="IC33">
        <v>180</v>
      </c>
      <c r="ID33">
        <v>110</v>
      </c>
      <c r="IE33">
        <v>225</v>
      </c>
      <c r="IF33">
        <v>0</v>
      </c>
      <c r="IH33" t="s">
        <v>549</v>
      </c>
      <c r="IO33">
        <v>3</v>
      </c>
      <c r="IP33">
        <v>18</v>
      </c>
      <c r="IQ33">
        <v>0</v>
      </c>
      <c r="IR33">
        <v>1</v>
      </c>
      <c r="IV33">
        <v>1381</v>
      </c>
      <c r="IW33">
        <v>456</v>
      </c>
      <c r="JA33">
        <v>1</v>
      </c>
      <c r="JB33">
        <v>0</v>
      </c>
      <c r="JC33">
        <v>2</v>
      </c>
      <c r="JD33">
        <v>1393</v>
      </c>
      <c r="JE33">
        <v>1391</v>
      </c>
      <c r="JF33">
        <v>1399</v>
      </c>
      <c r="JG33">
        <v>1381</v>
      </c>
      <c r="JH33">
        <v>0</v>
      </c>
      <c r="JJ33">
        <v>180</v>
      </c>
      <c r="JK33">
        <v>510</v>
      </c>
      <c r="JN33">
        <v>435</v>
      </c>
      <c r="JO33">
        <v>615</v>
      </c>
      <c r="JP33">
        <v>505</v>
      </c>
      <c r="JQ33">
        <v>0</v>
      </c>
      <c r="JR33">
        <v>412</v>
      </c>
      <c r="JS33">
        <v>185</v>
      </c>
      <c r="JV33">
        <v>8</v>
      </c>
      <c r="JW33" t="s">
        <v>550</v>
      </c>
      <c r="JX33">
        <v>0</v>
      </c>
      <c r="KA33">
        <v>225</v>
      </c>
      <c r="KB33">
        <v>110</v>
      </c>
      <c r="KC33">
        <v>0</v>
      </c>
      <c r="KD33">
        <v>80</v>
      </c>
      <c r="KF33">
        <v>4</v>
      </c>
      <c r="KG33">
        <v>2</v>
      </c>
      <c r="KH33">
        <v>2</v>
      </c>
      <c r="KI33">
        <v>2</v>
      </c>
      <c r="KJ33">
        <v>0</v>
      </c>
      <c r="KK33">
        <v>1.5</v>
      </c>
      <c r="KL33">
        <v>1.5</v>
      </c>
      <c r="KM33">
        <v>0</v>
      </c>
      <c r="KN33">
        <v>0</v>
      </c>
      <c r="KO33">
        <v>0</v>
      </c>
      <c r="KR33">
        <v>30</v>
      </c>
      <c r="KS33">
        <v>60</v>
      </c>
      <c r="KT33">
        <v>0</v>
      </c>
      <c r="LK33">
        <v>480</v>
      </c>
      <c r="PG33">
        <v>1</v>
      </c>
      <c r="PI33" t="s">
        <v>1079</v>
      </c>
      <c r="PJ33" t="s">
        <v>1081</v>
      </c>
      <c r="PK33" t="s">
        <v>1082</v>
      </c>
      <c r="PL33" t="s">
        <v>1080</v>
      </c>
      <c r="PP33" t="s">
        <v>1083</v>
      </c>
      <c r="PX33">
        <v>56</v>
      </c>
      <c r="PY33">
        <v>56</v>
      </c>
      <c r="PZ33" t="s">
        <v>1079</v>
      </c>
      <c r="QA33">
        <v>1</v>
      </c>
      <c r="QB33">
        <v>1381</v>
      </c>
      <c r="QC33">
        <v>69</v>
      </c>
      <c r="QD33">
        <v>69</v>
      </c>
      <c r="QE33" t="s">
        <v>1080</v>
      </c>
      <c r="QF33">
        <v>1</v>
      </c>
      <c r="QG33">
        <v>1393</v>
      </c>
      <c r="QH33">
        <v>66</v>
      </c>
      <c r="QI33">
        <v>66</v>
      </c>
      <c r="QL33">
        <v>0</v>
      </c>
      <c r="QM33">
        <v>62</v>
      </c>
      <c r="QN33">
        <v>62</v>
      </c>
      <c r="QO33" t="s">
        <v>1081</v>
      </c>
      <c r="QP33">
        <v>1</v>
      </c>
      <c r="QQ33">
        <v>1391</v>
      </c>
      <c r="QR33">
        <v>62</v>
      </c>
      <c r="QS33">
        <v>62</v>
      </c>
      <c r="QT33" t="s">
        <v>1082</v>
      </c>
      <c r="QU33">
        <v>1</v>
      </c>
      <c r="QV33">
        <v>1399</v>
      </c>
      <c r="QW33">
        <v>82</v>
      </c>
      <c r="QX33">
        <v>88</v>
      </c>
      <c r="QY33" t="s">
        <v>1083</v>
      </c>
      <c r="QZ33">
        <v>1</v>
      </c>
      <c r="RA33">
        <v>66</v>
      </c>
      <c r="RB33">
        <v>66</v>
      </c>
      <c r="RE33">
        <v>0</v>
      </c>
      <c r="RF33">
        <v>1</v>
      </c>
      <c r="RH33">
        <v>1</v>
      </c>
      <c r="RJ33">
        <v>1</v>
      </c>
      <c r="RL33">
        <v>1</v>
      </c>
      <c r="RM33">
        <v>1</v>
      </c>
      <c r="RO33">
        <v>616</v>
      </c>
      <c r="RQ33">
        <v>931</v>
      </c>
      <c r="RR33">
        <v>737</v>
      </c>
      <c r="RT33">
        <v>345</v>
      </c>
      <c r="RU33">
        <v>240</v>
      </c>
      <c r="RV33" t="s">
        <v>1085</v>
      </c>
      <c r="RW33" t="s">
        <v>679</v>
      </c>
      <c r="RX33">
        <v>15</v>
      </c>
      <c r="RY33">
        <v>4</v>
      </c>
      <c r="RZ33" t="s">
        <v>679</v>
      </c>
      <c r="SA33">
        <v>15</v>
      </c>
      <c r="SC33" t="s">
        <v>1081</v>
      </c>
      <c r="SD33">
        <v>1</v>
      </c>
      <c r="SF33" t="s">
        <v>1082</v>
      </c>
      <c r="SG33">
        <v>1</v>
      </c>
      <c r="SH33">
        <v>0.995</v>
      </c>
      <c r="SI33">
        <v>0.995</v>
      </c>
      <c r="SJ33">
        <v>0.995</v>
      </c>
      <c r="SK33">
        <v>15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Z33">
        <v>1</v>
      </c>
      <c r="TB33">
        <v>0</v>
      </c>
      <c r="TC33">
        <v>0</v>
      </c>
      <c r="TD33">
        <v>7.5</v>
      </c>
      <c r="TE33" t="s">
        <v>553</v>
      </c>
      <c r="TF33" t="s">
        <v>681</v>
      </c>
      <c r="TG33" t="s">
        <v>555</v>
      </c>
      <c r="TI33" t="s">
        <v>546</v>
      </c>
      <c r="TJ33" t="s">
        <v>547</v>
      </c>
      <c r="TL33" t="s">
        <v>556</v>
      </c>
      <c r="TM33" t="s">
        <v>513</v>
      </c>
      <c r="TN33">
        <v>0</v>
      </c>
      <c r="TO33" t="s">
        <v>557</v>
      </c>
    </row>
    <row r="34" spans="1:535">
      <c r="A34" t="s">
        <v>1086</v>
      </c>
      <c r="B34" t="s">
        <v>629</v>
      </c>
      <c r="C34" t="s">
        <v>509</v>
      </c>
      <c r="D34" t="s">
        <v>1087</v>
      </c>
      <c r="G34" t="s">
        <v>1088</v>
      </c>
      <c r="L34" t="s">
        <v>512</v>
      </c>
      <c r="M34" t="s">
        <v>711</v>
      </c>
      <c r="N34" t="s">
        <v>513</v>
      </c>
      <c r="O34" t="s">
        <v>607</v>
      </c>
      <c r="Q34" t="s">
        <v>1089</v>
      </c>
      <c r="R34" t="s">
        <v>567</v>
      </c>
      <c r="S34" t="s">
        <v>1090</v>
      </c>
      <c r="T34" t="s">
        <v>1091</v>
      </c>
      <c r="U34" t="s">
        <v>686</v>
      </c>
      <c r="V34" t="s">
        <v>687</v>
      </c>
      <c r="W34" t="s">
        <v>1092</v>
      </c>
      <c r="X34" t="s">
        <v>573</v>
      </c>
      <c r="Y34" t="s">
        <v>574</v>
      </c>
      <c r="Z34" t="s">
        <v>1093</v>
      </c>
      <c r="AA34" t="s">
        <v>1094</v>
      </c>
      <c r="AB34" t="s">
        <v>1095</v>
      </c>
      <c r="AC34">
        <v>2</v>
      </c>
      <c r="AD34">
        <v>56</v>
      </c>
      <c r="AE34">
        <v>252</v>
      </c>
      <c r="AF34">
        <v>1.5</v>
      </c>
      <c r="AH34">
        <v>0</v>
      </c>
      <c r="AI34" t="s">
        <v>1096</v>
      </c>
      <c r="AJ34">
        <v>232.5</v>
      </c>
      <c r="AK34">
        <v>1</v>
      </c>
      <c r="AL34">
        <v>1.5</v>
      </c>
      <c r="AM34" t="s">
        <v>579</v>
      </c>
      <c r="AN34" t="s">
        <v>855</v>
      </c>
      <c r="AO34">
        <v>2</v>
      </c>
      <c r="AP34" t="s">
        <v>581</v>
      </c>
      <c r="AQ34" t="s">
        <v>582</v>
      </c>
      <c r="AR34">
        <v>271</v>
      </c>
      <c r="AS34">
        <v>1.5</v>
      </c>
      <c r="AT34" t="s">
        <v>583</v>
      </c>
      <c r="AU34" t="s">
        <v>1097</v>
      </c>
      <c r="AW34" t="s">
        <v>1097</v>
      </c>
      <c r="AX34">
        <v>1</v>
      </c>
      <c r="AY34">
        <v>335</v>
      </c>
      <c r="AZ34">
        <v>1.5</v>
      </c>
      <c r="BA34" t="s">
        <v>579</v>
      </c>
      <c r="BB34" t="s">
        <v>1098</v>
      </c>
      <c r="BD34" t="s">
        <v>1098</v>
      </c>
      <c r="BE34">
        <v>1</v>
      </c>
      <c r="BF34">
        <v>277.5</v>
      </c>
      <c r="BG34">
        <v>1.5</v>
      </c>
      <c r="BJ34">
        <v>0</v>
      </c>
      <c r="BN34">
        <v>1.5</v>
      </c>
      <c r="BP34" t="s">
        <v>1051</v>
      </c>
      <c r="BQ34">
        <v>89</v>
      </c>
      <c r="BR34">
        <v>2</v>
      </c>
      <c r="BS34" t="s">
        <v>1052</v>
      </c>
      <c r="BT34">
        <v>252</v>
      </c>
      <c r="BU34">
        <v>0.5</v>
      </c>
      <c r="BV34" t="s">
        <v>1052</v>
      </c>
      <c r="BW34">
        <v>504</v>
      </c>
      <c r="BX34">
        <v>1</v>
      </c>
      <c r="BY34" t="s">
        <v>698</v>
      </c>
      <c r="BZ34">
        <v>470</v>
      </c>
      <c r="CA34">
        <v>570</v>
      </c>
      <c r="CB34" t="s">
        <v>699</v>
      </c>
      <c r="CC34" t="s">
        <v>699</v>
      </c>
      <c r="CD34">
        <v>520</v>
      </c>
      <c r="CE34" t="s">
        <v>700</v>
      </c>
      <c r="CF34">
        <v>15</v>
      </c>
      <c r="CG34" t="s">
        <v>1099</v>
      </c>
      <c r="CH34" t="s">
        <v>1099</v>
      </c>
      <c r="CI34">
        <v>50</v>
      </c>
      <c r="CJ34">
        <v>1458</v>
      </c>
      <c r="CK34">
        <v>2</v>
      </c>
      <c r="CL34">
        <v>1552</v>
      </c>
      <c r="CM34">
        <v>2</v>
      </c>
      <c r="CN34" t="s">
        <v>702</v>
      </c>
      <c r="CO34" t="s">
        <v>676</v>
      </c>
      <c r="CP34" t="s">
        <v>703</v>
      </c>
      <c r="CQ34" t="s">
        <v>596</v>
      </c>
      <c r="CR34" t="s">
        <v>541</v>
      </c>
      <c r="CS34" t="s">
        <v>542</v>
      </c>
      <c r="CT34">
        <v>465</v>
      </c>
      <c r="CU34">
        <v>5</v>
      </c>
      <c r="CV34">
        <v>1.2</v>
      </c>
      <c r="CW34">
        <v>1475</v>
      </c>
      <c r="CX34">
        <v>972</v>
      </c>
      <c r="CY34" t="s">
        <v>597</v>
      </c>
      <c r="CZ34">
        <v>50</v>
      </c>
      <c r="DA34">
        <v>3</v>
      </c>
      <c r="DB34">
        <v>1.28</v>
      </c>
      <c r="DC34">
        <v>1475</v>
      </c>
      <c r="DD34">
        <v>105</v>
      </c>
      <c r="DE34" t="s">
        <v>622</v>
      </c>
      <c r="DF34">
        <v>670</v>
      </c>
      <c r="DG34">
        <v>3</v>
      </c>
      <c r="DH34">
        <v>0.88</v>
      </c>
      <c r="DI34">
        <v>1467</v>
      </c>
      <c r="DJ34">
        <v>1137</v>
      </c>
      <c r="DK34" t="s">
        <v>622</v>
      </c>
      <c r="DL34">
        <v>555</v>
      </c>
      <c r="DM34">
        <v>3</v>
      </c>
      <c r="DN34">
        <v>0.88</v>
      </c>
      <c r="DO34">
        <v>1472</v>
      </c>
      <c r="DP34">
        <v>923</v>
      </c>
      <c r="DW34" t="s">
        <v>544</v>
      </c>
      <c r="DX34">
        <v>7.5</v>
      </c>
      <c r="EA34">
        <v>1544.1</v>
      </c>
      <c r="EB34">
        <v>364</v>
      </c>
      <c r="EC34" t="s">
        <v>545</v>
      </c>
      <c r="ED34">
        <v>45</v>
      </c>
      <c r="EE34">
        <v>3</v>
      </c>
      <c r="EG34">
        <v>1595</v>
      </c>
      <c r="EH34">
        <v>290</v>
      </c>
      <c r="EJ34">
        <v>0</v>
      </c>
      <c r="EK34">
        <v>1</v>
      </c>
      <c r="EN34">
        <v>0</v>
      </c>
      <c r="EP34" t="s">
        <v>546</v>
      </c>
      <c r="EQ34">
        <v>130</v>
      </c>
      <c r="ER34">
        <v>3</v>
      </c>
      <c r="ES34">
        <v>6</v>
      </c>
      <c r="ET34">
        <v>1457</v>
      </c>
      <c r="EU34">
        <v>617.8</v>
      </c>
      <c r="EV34">
        <v>900</v>
      </c>
      <c r="EW34" t="s">
        <v>547</v>
      </c>
      <c r="EX34">
        <v>45</v>
      </c>
      <c r="EY34">
        <v>2</v>
      </c>
      <c r="EZ34">
        <v>4.5</v>
      </c>
      <c r="FA34">
        <v>1457</v>
      </c>
      <c r="FB34">
        <v>151.6</v>
      </c>
      <c r="FC34">
        <v>221</v>
      </c>
      <c r="FE34">
        <v>0</v>
      </c>
      <c r="FF34">
        <v>2</v>
      </c>
      <c r="FI34">
        <v>0</v>
      </c>
      <c r="FK34" t="s">
        <v>548</v>
      </c>
      <c r="FL34">
        <v>0.4</v>
      </c>
      <c r="FM34">
        <v>45</v>
      </c>
      <c r="FN34">
        <v>440</v>
      </c>
      <c r="FO34">
        <v>85</v>
      </c>
      <c r="FP34">
        <v>190</v>
      </c>
      <c r="GR34" t="s">
        <v>548</v>
      </c>
      <c r="GS34">
        <v>0.6</v>
      </c>
      <c r="GT34">
        <v>30</v>
      </c>
      <c r="GU34">
        <v>460</v>
      </c>
      <c r="GV34">
        <v>30</v>
      </c>
      <c r="GW34">
        <v>320</v>
      </c>
      <c r="HC34">
        <v>0.1</v>
      </c>
      <c r="HD34">
        <v>3</v>
      </c>
      <c r="HE34">
        <v>3</v>
      </c>
      <c r="HF34">
        <v>3</v>
      </c>
      <c r="HG34">
        <v>3</v>
      </c>
      <c r="HH34">
        <v>3</v>
      </c>
      <c r="HI34">
        <v>160</v>
      </c>
      <c r="HJ34">
        <v>3</v>
      </c>
      <c r="HK34">
        <v>30</v>
      </c>
      <c r="HL34">
        <v>2</v>
      </c>
      <c r="HM34">
        <v>0</v>
      </c>
      <c r="HN34">
        <v>2</v>
      </c>
      <c r="HO34">
        <v>115</v>
      </c>
      <c r="HP34">
        <v>3</v>
      </c>
      <c r="HQ34">
        <v>0</v>
      </c>
      <c r="HR34">
        <v>2</v>
      </c>
      <c r="HS34">
        <v>6792</v>
      </c>
      <c r="HT34">
        <v>200</v>
      </c>
      <c r="HU34">
        <v>180</v>
      </c>
      <c r="HW34">
        <v>0</v>
      </c>
      <c r="HX34">
        <v>570</v>
      </c>
      <c r="HY34">
        <v>0.18</v>
      </c>
      <c r="IA34">
        <v>0.15</v>
      </c>
      <c r="IB34">
        <v>0</v>
      </c>
      <c r="IC34">
        <v>180</v>
      </c>
      <c r="ID34">
        <v>110</v>
      </c>
      <c r="IE34">
        <v>225</v>
      </c>
      <c r="IF34">
        <v>0</v>
      </c>
      <c r="IH34" t="s">
        <v>549</v>
      </c>
      <c r="IO34">
        <v>3</v>
      </c>
      <c r="IP34">
        <v>19</v>
      </c>
      <c r="IQ34">
        <v>0</v>
      </c>
      <c r="IR34">
        <v>0</v>
      </c>
      <c r="IV34">
        <v>1458</v>
      </c>
      <c r="IW34">
        <v>504</v>
      </c>
      <c r="JA34">
        <v>1</v>
      </c>
      <c r="JB34">
        <v>0</v>
      </c>
      <c r="JC34">
        <v>2</v>
      </c>
      <c r="JD34">
        <v>1475</v>
      </c>
      <c r="JE34">
        <v>1467</v>
      </c>
      <c r="JF34">
        <v>1472</v>
      </c>
      <c r="JG34">
        <v>1457</v>
      </c>
      <c r="JH34">
        <v>0</v>
      </c>
      <c r="JJ34">
        <v>180</v>
      </c>
      <c r="JK34">
        <v>570</v>
      </c>
      <c r="JN34">
        <v>465</v>
      </c>
      <c r="JO34">
        <v>670</v>
      </c>
      <c r="JP34">
        <v>555</v>
      </c>
      <c r="JQ34">
        <v>0</v>
      </c>
      <c r="JR34">
        <v>504</v>
      </c>
      <c r="JS34">
        <v>160</v>
      </c>
      <c r="JV34">
        <v>8</v>
      </c>
      <c r="JW34" t="s">
        <v>550</v>
      </c>
      <c r="JX34">
        <v>542</v>
      </c>
      <c r="KA34">
        <v>225</v>
      </c>
      <c r="KB34">
        <v>110</v>
      </c>
      <c r="KC34">
        <v>0</v>
      </c>
      <c r="KD34">
        <v>80</v>
      </c>
      <c r="KF34">
        <v>4</v>
      </c>
      <c r="KG34">
        <v>2</v>
      </c>
      <c r="KH34">
        <v>2</v>
      </c>
      <c r="KI34">
        <v>2</v>
      </c>
      <c r="KJ34">
        <v>0</v>
      </c>
      <c r="KK34">
        <v>1.5</v>
      </c>
      <c r="KL34">
        <v>1.5</v>
      </c>
      <c r="KM34">
        <v>0</v>
      </c>
      <c r="KN34">
        <v>0</v>
      </c>
      <c r="KO34">
        <v>0</v>
      </c>
      <c r="KR34">
        <v>30</v>
      </c>
      <c r="KS34">
        <v>60</v>
      </c>
      <c r="KT34">
        <v>0</v>
      </c>
      <c r="LK34">
        <v>480</v>
      </c>
      <c r="PG34">
        <v>1</v>
      </c>
      <c r="PI34" t="s">
        <v>1095</v>
      </c>
      <c r="PJ34" t="s">
        <v>1097</v>
      </c>
      <c r="PK34" t="s">
        <v>1098</v>
      </c>
      <c r="PL34" t="s">
        <v>1096</v>
      </c>
      <c r="PP34" t="s">
        <v>1051</v>
      </c>
      <c r="PS34" t="s">
        <v>855</v>
      </c>
      <c r="PX34">
        <v>56</v>
      </c>
      <c r="PY34">
        <v>56</v>
      </c>
      <c r="PZ34" t="s">
        <v>1095</v>
      </c>
      <c r="QA34">
        <v>2</v>
      </c>
      <c r="QB34">
        <v>1457</v>
      </c>
      <c r="QC34">
        <v>69</v>
      </c>
      <c r="QD34">
        <v>69</v>
      </c>
      <c r="QE34" t="s">
        <v>1096</v>
      </c>
      <c r="QF34">
        <v>1</v>
      </c>
      <c r="QG34">
        <v>1475</v>
      </c>
      <c r="QH34">
        <v>66</v>
      </c>
      <c r="QI34">
        <v>66</v>
      </c>
      <c r="QJ34" t="s">
        <v>855</v>
      </c>
      <c r="QK34">
        <v>1</v>
      </c>
      <c r="QL34">
        <v>1475</v>
      </c>
      <c r="QM34">
        <v>62</v>
      </c>
      <c r="QN34">
        <v>62</v>
      </c>
      <c r="QO34" t="s">
        <v>1097</v>
      </c>
      <c r="QP34">
        <v>1</v>
      </c>
      <c r="QQ34">
        <v>1467</v>
      </c>
      <c r="QR34">
        <v>62</v>
      </c>
      <c r="QS34">
        <v>62</v>
      </c>
      <c r="QT34" t="s">
        <v>1098</v>
      </c>
      <c r="QU34">
        <v>1</v>
      </c>
      <c r="QV34">
        <v>1472</v>
      </c>
      <c r="QW34">
        <v>82</v>
      </c>
      <c r="QX34">
        <v>89</v>
      </c>
      <c r="QY34" t="s">
        <v>1051</v>
      </c>
      <c r="QZ34">
        <v>1</v>
      </c>
      <c r="RA34">
        <v>66</v>
      </c>
      <c r="RB34">
        <v>66</v>
      </c>
      <c r="RE34">
        <v>0</v>
      </c>
      <c r="RF34">
        <v>1</v>
      </c>
      <c r="RH34">
        <v>1</v>
      </c>
      <c r="RJ34">
        <v>1</v>
      </c>
      <c r="RK34">
        <v>2</v>
      </c>
      <c r="RL34">
        <v>3</v>
      </c>
      <c r="RM34">
        <v>3</v>
      </c>
      <c r="RO34">
        <v>659</v>
      </c>
      <c r="RP34">
        <v>142</v>
      </c>
      <c r="RQ34">
        <v>775</v>
      </c>
      <c r="RR34">
        <v>627</v>
      </c>
      <c r="RT34">
        <v>364</v>
      </c>
      <c r="RU34">
        <v>290</v>
      </c>
      <c r="RV34" t="s">
        <v>1055</v>
      </c>
      <c r="RW34" t="s">
        <v>707</v>
      </c>
      <c r="RX34">
        <v>15</v>
      </c>
      <c r="RY34">
        <v>4</v>
      </c>
      <c r="RZ34" t="s">
        <v>707</v>
      </c>
      <c r="SA34">
        <v>15</v>
      </c>
      <c r="SC34" t="s">
        <v>1097</v>
      </c>
      <c r="SD34">
        <v>1</v>
      </c>
      <c r="SF34" t="s">
        <v>1098</v>
      </c>
      <c r="SG34">
        <v>1</v>
      </c>
      <c r="SH34">
        <v>0.995</v>
      </c>
      <c r="SI34">
        <v>0.995</v>
      </c>
      <c r="SJ34">
        <v>0.995</v>
      </c>
      <c r="SK34">
        <v>15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1</v>
      </c>
      <c r="SZ34">
        <v>1</v>
      </c>
      <c r="TB34">
        <v>0</v>
      </c>
      <c r="TC34">
        <v>0</v>
      </c>
      <c r="TD34">
        <v>7.5</v>
      </c>
      <c r="TE34" t="s">
        <v>553</v>
      </c>
      <c r="TF34" t="s">
        <v>681</v>
      </c>
      <c r="TG34" t="s">
        <v>555</v>
      </c>
      <c r="TI34" t="s">
        <v>546</v>
      </c>
      <c r="TJ34" t="s">
        <v>547</v>
      </c>
      <c r="TL34" t="s">
        <v>556</v>
      </c>
      <c r="TM34" t="s">
        <v>513</v>
      </c>
      <c r="TN34">
        <v>0</v>
      </c>
      <c r="TO34" t="s">
        <v>557</v>
      </c>
    </row>
    <row r="35" spans="1:535">
      <c r="A35" t="s">
        <v>1100</v>
      </c>
      <c r="B35" t="s">
        <v>711</v>
      </c>
      <c r="C35" t="s">
        <v>509</v>
      </c>
      <c r="D35" t="s">
        <v>951</v>
      </c>
      <c r="G35" t="s">
        <v>604</v>
      </c>
      <c r="H35" t="s">
        <v>605</v>
      </c>
      <c r="J35" t="s">
        <v>606</v>
      </c>
      <c r="L35" t="s">
        <v>512</v>
      </c>
      <c r="M35" t="s">
        <v>804</v>
      </c>
      <c r="N35" t="s">
        <v>513</v>
      </c>
      <c r="O35" t="s">
        <v>607</v>
      </c>
      <c r="Q35" t="s">
        <v>1101</v>
      </c>
      <c r="R35" t="s">
        <v>567</v>
      </c>
      <c r="S35" t="s">
        <v>1102</v>
      </c>
      <c r="T35" t="s">
        <v>1103</v>
      </c>
      <c r="U35" t="s">
        <v>633</v>
      </c>
      <c r="V35" t="s">
        <v>634</v>
      </c>
      <c r="W35" t="s">
        <v>1104</v>
      </c>
      <c r="X35" t="s">
        <v>573</v>
      </c>
      <c r="Y35" t="s">
        <v>524</v>
      </c>
      <c r="Z35" t="s">
        <v>1105</v>
      </c>
      <c r="AA35" t="s">
        <v>1106</v>
      </c>
      <c r="AB35" t="s">
        <v>1107</v>
      </c>
      <c r="AC35">
        <v>2</v>
      </c>
      <c r="AD35">
        <v>56</v>
      </c>
      <c r="AE35">
        <v>213</v>
      </c>
      <c r="AF35">
        <v>1.5</v>
      </c>
      <c r="AH35">
        <v>0</v>
      </c>
      <c r="AI35" t="s">
        <v>1048</v>
      </c>
      <c r="AJ35">
        <v>225</v>
      </c>
      <c r="AK35">
        <v>1</v>
      </c>
      <c r="AL35">
        <v>1.5</v>
      </c>
      <c r="AM35" t="s">
        <v>529</v>
      </c>
      <c r="AO35">
        <v>0</v>
      </c>
      <c r="AR35">
        <v>0</v>
      </c>
      <c r="AS35">
        <v>1.5</v>
      </c>
      <c r="AU35" t="s">
        <v>1108</v>
      </c>
      <c r="AW35" t="s">
        <v>1108</v>
      </c>
      <c r="AX35">
        <v>1</v>
      </c>
      <c r="AY35">
        <v>327.5</v>
      </c>
      <c r="AZ35">
        <v>1.5</v>
      </c>
      <c r="BA35" t="s">
        <v>529</v>
      </c>
      <c r="BB35" t="s">
        <v>1109</v>
      </c>
      <c r="BD35" t="s">
        <v>1109</v>
      </c>
      <c r="BE35">
        <v>1</v>
      </c>
      <c r="BF35">
        <v>310</v>
      </c>
      <c r="BG35">
        <v>1.5</v>
      </c>
      <c r="BJ35">
        <v>0</v>
      </c>
      <c r="BN35">
        <v>1.5</v>
      </c>
      <c r="BP35" t="s">
        <v>1110</v>
      </c>
      <c r="BQ35">
        <v>88</v>
      </c>
      <c r="BR35">
        <v>2</v>
      </c>
      <c r="BS35" t="s">
        <v>1111</v>
      </c>
      <c r="BT35">
        <v>235</v>
      </c>
      <c r="BU35">
        <v>0.5</v>
      </c>
      <c r="BV35" t="s">
        <v>1111</v>
      </c>
      <c r="BW35">
        <v>470</v>
      </c>
      <c r="BX35">
        <v>1</v>
      </c>
      <c r="BY35" t="s">
        <v>643</v>
      </c>
      <c r="BZ35">
        <v>300</v>
      </c>
      <c r="CA35">
        <v>520</v>
      </c>
      <c r="CB35" t="s">
        <v>644</v>
      </c>
      <c r="CC35" t="s">
        <v>644</v>
      </c>
      <c r="CD35">
        <v>490</v>
      </c>
      <c r="CE35" t="s">
        <v>544</v>
      </c>
      <c r="CF35">
        <v>15</v>
      </c>
      <c r="CG35" t="s">
        <v>1112</v>
      </c>
      <c r="CH35" t="s">
        <v>1112</v>
      </c>
      <c r="CI35">
        <v>110</v>
      </c>
      <c r="CJ35">
        <v>1301</v>
      </c>
      <c r="CK35">
        <v>2</v>
      </c>
      <c r="CL35">
        <v>1395</v>
      </c>
      <c r="CM35">
        <v>2</v>
      </c>
      <c r="CN35" t="s">
        <v>646</v>
      </c>
      <c r="CO35" t="s">
        <v>647</v>
      </c>
      <c r="CP35" t="s">
        <v>648</v>
      </c>
      <c r="CQ35" t="s">
        <v>892</v>
      </c>
      <c r="CR35" t="s">
        <v>541</v>
      </c>
      <c r="CS35" t="s">
        <v>542</v>
      </c>
      <c r="CT35">
        <v>450</v>
      </c>
      <c r="CU35">
        <v>5</v>
      </c>
      <c r="CV35">
        <v>1.2</v>
      </c>
      <c r="CW35">
        <v>1314</v>
      </c>
      <c r="CX35">
        <v>837</v>
      </c>
      <c r="DD35">
        <v>0</v>
      </c>
      <c r="DE35" t="s">
        <v>543</v>
      </c>
      <c r="DF35">
        <v>655</v>
      </c>
      <c r="DG35">
        <v>3</v>
      </c>
      <c r="DH35">
        <v>1.18</v>
      </c>
      <c r="DI35">
        <v>1312</v>
      </c>
      <c r="DJ35">
        <v>1367</v>
      </c>
      <c r="DK35" t="s">
        <v>543</v>
      </c>
      <c r="DL35">
        <v>620</v>
      </c>
      <c r="DM35">
        <v>3</v>
      </c>
      <c r="DN35">
        <v>1.18</v>
      </c>
      <c r="DO35">
        <v>1322</v>
      </c>
      <c r="DP35">
        <v>1326</v>
      </c>
      <c r="DW35" t="s">
        <v>544</v>
      </c>
      <c r="DX35">
        <v>7.5</v>
      </c>
      <c r="EA35">
        <v>1383</v>
      </c>
      <c r="EB35">
        <v>327</v>
      </c>
      <c r="EC35" t="s">
        <v>545</v>
      </c>
      <c r="ED35">
        <v>55</v>
      </c>
      <c r="EE35">
        <v>3</v>
      </c>
      <c r="EG35">
        <v>1434</v>
      </c>
      <c r="EH35">
        <v>323</v>
      </c>
      <c r="EJ35">
        <v>0</v>
      </c>
      <c r="EK35">
        <v>1</v>
      </c>
      <c r="EN35">
        <v>0</v>
      </c>
      <c r="EP35" t="s">
        <v>546</v>
      </c>
      <c r="EQ35">
        <v>135</v>
      </c>
      <c r="ER35">
        <v>3</v>
      </c>
      <c r="ES35">
        <v>6.5</v>
      </c>
      <c r="ET35">
        <v>1304</v>
      </c>
      <c r="EU35">
        <v>665.4</v>
      </c>
      <c r="EV35">
        <v>868</v>
      </c>
      <c r="EW35" t="s">
        <v>547</v>
      </c>
      <c r="EX35">
        <v>70</v>
      </c>
      <c r="EY35">
        <v>2</v>
      </c>
      <c r="EZ35">
        <v>4.5</v>
      </c>
      <c r="FA35">
        <v>1304</v>
      </c>
      <c r="FB35">
        <v>219.6</v>
      </c>
      <c r="FC35">
        <v>286</v>
      </c>
      <c r="FE35">
        <v>0</v>
      </c>
      <c r="FF35">
        <v>2</v>
      </c>
      <c r="FI35">
        <v>0</v>
      </c>
      <c r="FK35" t="s">
        <v>548</v>
      </c>
      <c r="FL35">
        <v>0.4</v>
      </c>
      <c r="FM35">
        <v>120</v>
      </c>
      <c r="FN35">
        <v>140</v>
      </c>
      <c r="FR35" t="s">
        <v>548</v>
      </c>
      <c r="FS35">
        <v>0.4</v>
      </c>
      <c r="FT35">
        <v>55</v>
      </c>
      <c r="FU35">
        <v>530</v>
      </c>
      <c r="GR35" t="s">
        <v>548</v>
      </c>
      <c r="GS35">
        <v>0.4</v>
      </c>
      <c r="GT35">
        <v>185</v>
      </c>
      <c r="GU35">
        <v>120</v>
      </c>
      <c r="HC35">
        <v>0.1</v>
      </c>
      <c r="HD35">
        <v>3</v>
      </c>
      <c r="HE35">
        <v>3</v>
      </c>
      <c r="HF35">
        <v>3</v>
      </c>
      <c r="HG35">
        <v>3</v>
      </c>
      <c r="HH35">
        <v>3</v>
      </c>
      <c r="HI35">
        <v>190</v>
      </c>
      <c r="HJ35">
        <v>3</v>
      </c>
      <c r="HK35">
        <v>55</v>
      </c>
      <c r="HL35">
        <v>2</v>
      </c>
      <c r="HM35">
        <v>0</v>
      </c>
      <c r="HN35">
        <v>2</v>
      </c>
      <c r="HO35">
        <v>120</v>
      </c>
      <c r="HP35">
        <v>3</v>
      </c>
      <c r="HQ35">
        <v>0</v>
      </c>
      <c r="HR35">
        <v>2</v>
      </c>
      <c r="HS35">
        <v>7138</v>
      </c>
      <c r="HT35">
        <v>210</v>
      </c>
      <c r="HU35">
        <v>180</v>
      </c>
      <c r="HW35">
        <v>0</v>
      </c>
      <c r="HX35">
        <v>460</v>
      </c>
      <c r="HY35">
        <v>0.18</v>
      </c>
      <c r="IA35">
        <v>0.15</v>
      </c>
      <c r="IB35">
        <v>0</v>
      </c>
      <c r="IC35">
        <v>180</v>
      </c>
      <c r="ID35">
        <v>110</v>
      </c>
      <c r="IE35">
        <v>225</v>
      </c>
      <c r="IF35">
        <v>0</v>
      </c>
      <c r="IH35" t="s">
        <v>549</v>
      </c>
      <c r="IO35">
        <v>3</v>
      </c>
      <c r="IP35">
        <v>17</v>
      </c>
      <c r="IQ35">
        <v>0</v>
      </c>
      <c r="IR35">
        <v>1</v>
      </c>
      <c r="IV35">
        <v>1301</v>
      </c>
      <c r="IW35">
        <v>470</v>
      </c>
      <c r="JA35">
        <v>1</v>
      </c>
      <c r="JB35">
        <v>0</v>
      </c>
      <c r="JC35">
        <v>2</v>
      </c>
      <c r="JD35">
        <v>1314</v>
      </c>
      <c r="JE35">
        <v>1312</v>
      </c>
      <c r="JF35">
        <v>1322</v>
      </c>
      <c r="JG35">
        <v>1304</v>
      </c>
      <c r="JH35">
        <v>0</v>
      </c>
      <c r="JJ35">
        <v>180</v>
      </c>
      <c r="JK35">
        <v>460</v>
      </c>
      <c r="JN35">
        <v>450</v>
      </c>
      <c r="JO35">
        <v>655</v>
      </c>
      <c r="JP35">
        <v>620</v>
      </c>
      <c r="JQ35">
        <v>0</v>
      </c>
      <c r="JR35">
        <v>426</v>
      </c>
      <c r="JS35">
        <v>190</v>
      </c>
      <c r="JV35">
        <v>8</v>
      </c>
      <c r="JW35" t="s">
        <v>550</v>
      </c>
      <c r="JX35">
        <v>0</v>
      </c>
      <c r="KA35">
        <v>225</v>
      </c>
      <c r="KB35">
        <v>110</v>
      </c>
      <c r="KC35">
        <v>0</v>
      </c>
      <c r="KD35">
        <v>80</v>
      </c>
      <c r="KF35">
        <v>4</v>
      </c>
      <c r="KG35">
        <v>4</v>
      </c>
      <c r="KH35">
        <v>2</v>
      </c>
      <c r="KI35">
        <v>2</v>
      </c>
      <c r="KJ35">
        <v>0</v>
      </c>
      <c r="KK35">
        <v>1.5</v>
      </c>
      <c r="KL35">
        <v>1.5</v>
      </c>
      <c r="KM35">
        <v>0</v>
      </c>
      <c r="KN35">
        <v>0</v>
      </c>
      <c r="KO35">
        <v>0</v>
      </c>
      <c r="KR35">
        <v>30</v>
      </c>
      <c r="KS35">
        <v>60</v>
      </c>
      <c r="KT35">
        <v>0</v>
      </c>
      <c r="LK35">
        <v>480</v>
      </c>
      <c r="PG35">
        <v>1</v>
      </c>
      <c r="PI35" t="s">
        <v>1107</v>
      </c>
      <c r="PJ35" t="s">
        <v>1108</v>
      </c>
      <c r="PK35" t="s">
        <v>1109</v>
      </c>
      <c r="PL35" t="s">
        <v>1048</v>
      </c>
      <c r="PP35" t="s">
        <v>1110</v>
      </c>
      <c r="PX35">
        <v>56</v>
      </c>
      <c r="PY35">
        <v>56</v>
      </c>
      <c r="PZ35" t="s">
        <v>1107</v>
      </c>
      <c r="QA35">
        <v>2</v>
      </c>
      <c r="QB35">
        <v>1304</v>
      </c>
      <c r="QC35">
        <v>69</v>
      </c>
      <c r="QD35">
        <v>69</v>
      </c>
      <c r="QE35" t="s">
        <v>1048</v>
      </c>
      <c r="QF35">
        <v>1</v>
      </c>
      <c r="QG35">
        <v>1314</v>
      </c>
      <c r="QH35">
        <v>66</v>
      </c>
      <c r="QI35">
        <v>66</v>
      </c>
      <c r="QL35">
        <v>0</v>
      </c>
      <c r="QM35">
        <v>62</v>
      </c>
      <c r="QN35">
        <v>62</v>
      </c>
      <c r="QO35" t="s">
        <v>1108</v>
      </c>
      <c r="QP35">
        <v>1</v>
      </c>
      <c r="QQ35">
        <v>1312</v>
      </c>
      <c r="QR35">
        <v>62</v>
      </c>
      <c r="QS35">
        <v>62</v>
      </c>
      <c r="QT35" t="s">
        <v>1109</v>
      </c>
      <c r="QU35">
        <v>1</v>
      </c>
      <c r="QV35">
        <v>1322</v>
      </c>
      <c r="QW35">
        <v>82</v>
      </c>
      <c r="QX35">
        <v>88</v>
      </c>
      <c r="QY35" t="s">
        <v>1110</v>
      </c>
      <c r="QZ35">
        <v>2</v>
      </c>
      <c r="RA35">
        <v>66</v>
      </c>
      <c r="RB35">
        <v>66</v>
      </c>
      <c r="RE35">
        <v>0</v>
      </c>
      <c r="RF35">
        <v>1</v>
      </c>
      <c r="RH35">
        <v>1</v>
      </c>
      <c r="RJ35">
        <v>1</v>
      </c>
      <c r="RL35">
        <v>2</v>
      </c>
      <c r="RM35">
        <v>2</v>
      </c>
      <c r="RO35">
        <v>637</v>
      </c>
      <c r="RQ35">
        <v>1042</v>
      </c>
      <c r="RR35">
        <v>1003</v>
      </c>
      <c r="RT35">
        <v>327</v>
      </c>
      <c r="RU35">
        <v>323</v>
      </c>
      <c r="RV35" t="s">
        <v>1113</v>
      </c>
      <c r="RW35" t="s">
        <v>653</v>
      </c>
      <c r="RX35">
        <v>15</v>
      </c>
      <c r="RY35">
        <v>4</v>
      </c>
      <c r="RZ35" t="s">
        <v>653</v>
      </c>
      <c r="SA35">
        <v>15</v>
      </c>
      <c r="SC35" t="s">
        <v>1108</v>
      </c>
      <c r="SD35">
        <v>1</v>
      </c>
      <c r="SF35" t="s">
        <v>1109</v>
      </c>
      <c r="SG35">
        <v>1</v>
      </c>
      <c r="SH35">
        <v>0.995</v>
      </c>
      <c r="SI35">
        <v>0.995</v>
      </c>
      <c r="SJ35">
        <v>0.995</v>
      </c>
      <c r="SK35">
        <v>15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Z35">
        <v>1</v>
      </c>
      <c r="TB35">
        <v>0</v>
      </c>
      <c r="TC35">
        <v>0</v>
      </c>
      <c r="TD35">
        <v>7.5</v>
      </c>
      <c r="TE35" t="s">
        <v>553</v>
      </c>
      <c r="TF35" t="s">
        <v>681</v>
      </c>
      <c r="TG35" t="s">
        <v>555</v>
      </c>
      <c r="TI35" t="s">
        <v>546</v>
      </c>
      <c r="TJ35" t="s">
        <v>547</v>
      </c>
      <c r="TL35" t="s">
        <v>556</v>
      </c>
      <c r="TM35" t="s">
        <v>513</v>
      </c>
      <c r="TN35">
        <v>0</v>
      </c>
      <c r="TO35" t="s">
        <v>557</v>
      </c>
    </row>
    <row r="36" spans="1:535">
      <c r="A36" t="s">
        <v>1114</v>
      </c>
      <c r="B36" t="s">
        <v>564</v>
      </c>
      <c r="C36" t="s">
        <v>509</v>
      </c>
      <c r="D36" t="s">
        <v>864</v>
      </c>
      <c r="G36" t="s">
        <v>1115</v>
      </c>
      <c r="I36" t="s">
        <v>562</v>
      </c>
      <c r="J36" t="s">
        <v>563</v>
      </c>
      <c r="L36" t="s">
        <v>512</v>
      </c>
      <c r="M36" t="s">
        <v>629</v>
      </c>
      <c r="N36" t="s">
        <v>513</v>
      </c>
      <c r="O36" t="s">
        <v>607</v>
      </c>
      <c r="Q36" t="s">
        <v>1116</v>
      </c>
      <c r="R36" t="s">
        <v>567</v>
      </c>
      <c r="S36" t="s">
        <v>1117</v>
      </c>
      <c r="T36" t="s">
        <v>714</v>
      </c>
      <c r="U36" t="s">
        <v>662</v>
      </c>
      <c r="V36" t="s">
        <v>663</v>
      </c>
      <c r="W36" t="s">
        <v>1118</v>
      </c>
      <c r="X36" t="s">
        <v>573</v>
      </c>
      <c r="Y36" t="s">
        <v>524</v>
      </c>
      <c r="Z36" t="s">
        <v>1119</v>
      </c>
      <c r="AA36" t="s">
        <v>1120</v>
      </c>
      <c r="AB36" t="s">
        <v>1121</v>
      </c>
      <c r="AC36">
        <v>2</v>
      </c>
      <c r="AD36">
        <v>56</v>
      </c>
      <c r="AE36">
        <v>177</v>
      </c>
      <c r="AF36">
        <v>1.5</v>
      </c>
      <c r="AH36">
        <v>0</v>
      </c>
      <c r="AI36" t="s">
        <v>778</v>
      </c>
      <c r="AJ36">
        <v>190</v>
      </c>
      <c r="AK36">
        <v>1</v>
      </c>
      <c r="AL36">
        <v>1.5</v>
      </c>
      <c r="AM36" t="s">
        <v>529</v>
      </c>
      <c r="AO36">
        <v>0</v>
      </c>
      <c r="AR36">
        <v>0</v>
      </c>
      <c r="AS36">
        <v>1.5</v>
      </c>
      <c r="AU36" t="s">
        <v>1122</v>
      </c>
      <c r="AW36" t="s">
        <v>1122</v>
      </c>
      <c r="AX36">
        <v>1</v>
      </c>
      <c r="AY36">
        <v>262.5</v>
      </c>
      <c r="AZ36">
        <v>1.5</v>
      </c>
      <c r="BA36" t="s">
        <v>529</v>
      </c>
      <c r="BG36">
        <v>1.5</v>
      </c>
      <c r="BJ36">
        <v>0</v>
      </c>
      <c r="BN36">
        <v>1.5</v>
      </c>
      <c r="BP36" t="s">
        <v>1123</v>
      </c>
      <c r="BQ36">
        <v>88</v>
      </c>
      <c r="BR36">
        <v>2</v>
      </c>
      <c r="BS36" t="s">
        <v>1084</v>
      </c>
      <c r="BT36">
        <v>200</v>
      </c>
      <c r="BU36">
        <v>0.5</v>
      </c>
      <c r="BV36" t="s">
        <v>1084</v>
      </c>
      <c r="BW36">
        <v>400</v>
      </c>
      <c r="BX36">
        <v>1</v>
      </c>
      <c r="BY36" t="s">
        <v>643</v>
      </c>
      <c r="BZ36">
        <v>290</v>
      </c>
      <c r="CA36">
        <v>470</v>
      </c>
      <c r="CB36" t="s">
        <v>672</v>
      </c>
      <c r="CC36" t="s">
        <v>672</v>
      </c>
      <c r="CD36">
        <v>420</v>
      </c>
      <c r="CE36" t="s">
        <v>673</v>
      </c>
      <c r="CF36">
        <v>15</v>
      </c>
      <c r="CG36" t="s">
        <v>769</v>
      </c>
      <c r="CH36" t="s">
        <v>769</v>
      </c>
      <c r="CI36">
        <v>90</v>
      </c>
      <c r="CJ36">
        <v>1381</v>
      </c>
      <c r="CK36">
        <v>2</v>
      </c>
      <c r="CL36">
        <v>1475</v>
      </c>
      <c r="CM36">
        <v>2</v>
      </c>
      <c r="CN36" t="s">
        <v>675</v>
      </c>
      <c r="CO36" t="s">
        <v>676</v>
      </c>
      <c r="CP36" t="s">
        <v>595</v>
      </c>
      <c r="CQ36" t="s">
        <v>540</v>
      </c>
      <c r="CR36" t="s">
        <v>541</v>
      </c>
      <c r="CS36" t="s">
        <v>542</v>
      </c>
      <c r="CT36">
        <v>380</v>
      </c>
      <c r="CU36">
        <v>5</v>
      </c>
      <c r="CV36">
        <v>1.3</v>
      </c>
      <c r="CW36">
        <v>1394</v>
      </c>
      <c r="CX36">
        <v>813</v>
      </c>
      <c r="DD36">
        <v>0</v>
      </c>
      <c r="DE36" t="s">
        <v>543</v>
      </c>
      <c r="DF36">
        <v>525</v>
      </c>
      <c r="DG36">
        <v>3</v>
      </c>
      <c r="DH36">
        <v>1.18</v>
      </c>
      <c r="DI36">
        <v>1392</v>
      </c>
      <c r="DJ36">
        <v>1186</v>
      </c>
      <c r="DW36" t="s">
        <v>544</v>
      </c>
      <c r="DX36">
        <v>7.5</v>
      </c>
      <c r="EA36">
        <v>1461.1</v>
      </c>
      <c r="EB36">
        <v>345</v>
      </c>
      <c r="EC36" t="s">
        <v>545</v>
      </c>
      <c r="ED36">
        <v>35</v>
      </c>
      <c r="EE36">
        <v>3</v>
      </c>
      <c r="EG36">
        <v>1512</v>
      </c>
      <c r="EH36">
        <v>210</v>
      </c>
      <c r="EJ36">
        <v>0</v>
      </c>
      <c r="EK36">
        <v>1</v>
      </c>
      <c r="EN36">
        <v>0</v>
      </c>
      <c r="EP36" t="s">
        <v>546</v>
      </c>
      <c r="EQ36">
        <v>90</v>
      </c>
      <c r="ER36">
        <v>3</v>
      </c>
      <c r="ES36">
        <v>6</v>
      </c>
      <c r="ET36">
        <v>1381</v>
      </c>
      <c r="EU36">
        <v>405.7</v>
      </c>
      <c r="EV36">
        <v>560</v>
      </c>
      <c r="EW36" t="s">
        <v>547</v>
      </c>
      <c r="EX36">
        <v>70</v>
      </c>
      <c r="EY36">
        <v>2</v>
      </c>
      <c r="EZ36">
        <v>4.5</v>
      </c>
      <c r="FA36">
        <v>1381</v>
      </c>
      <c r="FB36">
        <v>231.8</v>
      </c>
      <c r="FC36">
        <v>320</v>
      </c>
      <c r="FE36">
        <v>0</v>
      </c>
      <c r="FF36">
        <v>2</v>
      </c>
      <c r="FI36">
        <v>0</v>
      </c>
      <c r="FK36" t="s">
        <v>548</v>
      </c>
      <c r="FL36">
        <v>0.4</v>
      </c>
      <c r="FM36">
        <v>85</v>
      </c>
      <c r="FN36">
        <v>120</v>
      </c>
      <c r="FR36" t="s">
        <v>548</v>
      </c>
      <c r="FS36">
        <v>0.4</v>
      </c>
      <c r="FT36">
        <v>75</v>
      </c>
      <c r="FU36">
        <v>270</v>
      </c>
      <c r="HC36">
        <v>0.1</v>
      </c>
      <c r="HD36">
        <v>3</v>
      </c>
      <c r="HE36">
        <v>3</v>
      </c>
      <c r="HF36">
        <v>3</v>
      </c>
      <c r="HG36">
        <v>3</v>
      </c>
      <c r="HH36">
        <v>3</v>
      </c>
      <c r="HI36">
        <v>145</v>
      </c>
      <c r="HJ36">
        <v>3</v>
      </c>
      <c r="HK36">
        <v>55</v>
      </c>
      <c r="HL36">
        <v>2</v>
      </c>
      <c r="HM36">
        <v>0</v>
      </c>
      <c r="HN36">
        <v>2</v>
      </c>
      <c r="HO36">
        <v>75</v>
      </c>
      <c r="HP36">
        <v>3</v>
      </c>
      <c r="HQ36">
        <v>0</v>
      </c>
      <c r="HR36">
        <v>2</v>
      </c>
      <c r="HS36">
        <v>4869</v>
      </c>
      <c r="HT36">
        <v>150</v>
      </c>
      <c r="HU36">
        <v>180</v>
      </c>
      <c r="HW36">
        <v>0</v>
      </c>
      <c r="HX36">
        <v>440</v>
      </c>
      <c r="HY36">
        <v>0.18</v>
      </c>
      <c r="IA36">
        <v>0.15</v>
      </c>
      <c r="IB36">
        <v>0</v>
      </c>
      <c r="IC36">
        <v>180</v>
      </c>
      <c r="ID36">
        <v>110</v>
      </c>
      <c r="IE36">
        <v>0</v>
      </c>
      <c r="IF36">
        <v>0</v>
      </c>
      <c r="IH36" t="s">
        <v>549</v>
      </c>
      <c r="IO36">
        <v>1</v>
      </c>
      <c r="IP36">
        <v>18</v>
      </c>
      <c r="IQ36">
        <v>1</v>
      </c>
      <c r="IR36">
        <v>1</v>
      </c>
      <c r="IV36">
        <v>1381</v>
      </c>
      <c r="IW36">
        <v>400</v>
      </c>
      <c r="IY36">
        <v>290</v>
      </c>
      <c r="JA36">
        <v>1</v>
      </c>
      <c r="JB36">
        <v>0</v>
      </c>
      <c r="JC36">
        <v>2</v>
      </c>
      <c r="JD36">
        <v>1394</v>
      </c>
      <c r="JE36">
        <v>1392</v>
      </c>
      <c r="JF36">
        <v>0</v>
      </c>
      <c r="JG36">
        <v>1381</v>
      </c>
      <c r="JH36">
        <v>0</v>
      </c>
      <c r="JJ36">
        <v>180</v>
      </c>
      <c r="JK36">
        <v>440</v>
      </c>
      <c r="JN36">
        <v>380</v>
      </c>
      <c r="JO36">
        <v>525</v>
      </c>
      <c r="JP36">
        <v>0</v>
      </c>
      <c r="JQ36">
        <v>0</v>
      </c>
      <c r="JR36">
        <v>354</v>
      </c>
      <c r="JS36">
        <v>145</v>
      </c>
      <c r="JV36">
        <v>8</v>
      </c>
      <c r="JW36" t="s">
        <v>550</v>
      </c>
      <c r="JX36">
        <v>0</v>
      </c>
      <c r="KA36">
        <v>0</v>
      </c>
      <c r="KB36">
        <v>110</v>
      </c>
      <c r="KC36">
        <v>0</v>
      </c>
      <c r="KD36">
        <v>80</v>
      </c>
      <c r="KF36">
        <v>4</v>
      </c>
      <c r="KG36">
        <v>2</v>
      </c>
      <c r="KH36">
        <v>2</v>
      </c>
      <c r="KI36">
        <v>2</v>
      </c>
      <c r="KJ36">
        <v>0</v>
      </c>
      <c r="KK36">
        <v>1.5</v>
      </c>
      <c r="KL36">
        <v>1.5</v>
      </c>
      <c r="KM36">
        <v>0</v>
      </c>
      <c r="KN36">
        <v>0</v>
      </c>
      <c r="KO36">
        <v>0</v>
      </c>
      <c r="KR36">
        <v>30</v>
      </c>
      <c r="KS36">
        <v>60</v>
      </c>
      <c r="KT36">
        <v>0</v>
      </c>
      <c r="LK36">
        <v>480</v>
      </c>
      <c r="PG36">
        <v>1</v>
      </c>
      <c r="PI36" t="s">
        <v>1121</v>
      </c>
      <c r="PJ36" t="s">
        <v>1122</v>
      </c>
      <c r="PL36" t="s">
        <v>778</v>
      </c>
      <c r="PP36" t="s">
        <v>1123</v>
      </c>
      <c r="PX36">
        <v>56</v>
      </c>
      <c r="PY36">
        <v>56</v>
      </c>
      <c r="PZ36" t="s">
        <v>1121</v>
      </c>
      <c r="QA36">
        <v>2</v>
      </c>
      <c r="QB36">
        <v>1381</v>
      </c>
      <c r="QC36">
        <v>69</v>
      </c>
      <c r="QD36">
        <v>69</v>
      </c>
      <c r="QE36" t="s">
        <v>778</v>
      </c>
      <c r="QF36">
        <v>2</v>
      </c>
      <c r="QG36">
        <v>1394</v>
      </c>
      <c r="QH36">
        <v>66</v>
      </c>
      <c r="QI36">
        <v>66</v>
      </c>
      <c r="QL36">
        <v>0</v>
      </c>
      <c r="QM36">
        <v>62</v>
      </c>
      <c r="QN36">
        <v>62</v>
      </c>
      <c r="QO36" t="s">
        <v>1122</v>
      </c>
      <c r="QP36">
        <v>1</v>
      </c>
      <c r="QQ36">
        <v>1392</v>
      </c>
      <c r="QW36">
        <v>82</v>
      </c>
      <c r="QX36">
        <v>88</v>
      </c>
      <c r="QY36" t="s">
        <v>1123</v>
      </c>
      <c r="QZ36">
        <v>1</v>
      </c>
      <c r="RA36">
        <v>66</v>
      </c>
      <c r="RB36">
        <v>66</v>
      </c>
      <c r="RE36">
        <v>0</v>
      </c>
      <c r="RF36">
        <v>1</v>
      </c>
      <c r="RJ36">
        <v>1</v>
      </c>
      <c r="RL36">
        <v>1</v>
      </c>
      <c r="RO36">
        <v>583</v>
      </c>
      <c r="RQ36">
        <v>852</v>
      </c>
      <c r="RT36">
        <v>345</v>
      </c>
      <c r="RU36">
        <v>210</v>
      </c>
      <c r="RV36" t="s">
        <v>1085</v>
      </c>
      <c r="RW36" t="s">
        <v>679</v>
      </c>
      <c r="RX36">
        <v>15</v>
      </c>
      <c r="RY36">
        <v>4</v>
      </c>
      <c r="RZ36" t="s">
        <v>679</v>
      </c>
      <c r="SA36">
        <v>15</v>
      </c>
      <c r="SC36" t="s">
        <v>1122</v>
      </c>
      <c r="SD36">
        <v>1</v>
      </c>
      <c r="SH36">
        <v>0.995</v>
      </c>
      <c r="SI36">
        <v>0.995</v>
      </c>
      <c r="SJ36">
        <v>0.995</v>
      </c>
      <c r="SK36">
        <v>15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TB36">
        <v>0</v>
      </c>
      <c r="TC36">
        <v>0</v>
      </c>
      <c r="TD36">
        <v>7.5</v>
      </c>
      <c r="TE36" t="s">
        <v>553</v>
      </c>
      <c r="TF36" t="s">
        <v>681</v>
      </c>
      <c r="TG36" t="s">
        <v>555</v>
      </c>
      <c r="TI36" t="s">
        <v>546</v>
      </c>
      <c r="TJ36" t="s">
        <v>547</v>
      </c>
      <c r="TL36" t="s">
        <v>556</v>
      </c>
      <c r="TM36" t="s">
        <v>513</v>
      </c>
      <c r="TN36">
        <v>0</v>
      </c>
      <c r="TO36" t="s">
        <v>557</v>
      </c>
    </row>
    <row r="37" spans="1:535">
      <c r="A37" t="s">
        <v>1124</v>
      </c>
      <c r="B37" t="s">
        <v>564</v>
      </c>
      <c r="C37" t="s">
        <v>509</v>
      </c>
      <c r="D37" t="s">
        <v>658</v>
      </c>
      <c r="G37" t="s">
        <v>604</v>
      </c>
      <c r="H37" t="s">
        <v>605</v>
      </c>
      <c r="I37" t="s">
        <v>628</v>
      </c>
      <c r="J37" t="s">
        <v>606</v>
      </c>
      <c r="L37" t="s">
        <v>512</v>
      </c>
      <c r="M37" t="s">
        <v>629</v>
      </c>
      <c r="N37" t="s">
        <v>513</v>
      </c>
      <c r="O37" t="s">
        <v>607</v>
      </c>
      <c r="Q37" t="s">
        <v>1125</v>
      </c>
      <c r="R37" t="s">
        <v>567</v>
      </c>
      <c r="S37" t="s">
        <v>1126</v>
      </c>
      <c r="T37" t="s">
        <v>1127</v>
      </c>
      <c r="U37" t="s">
        <v>633</v>
      </c>
      <c r="V37" t="s">
        <v>634</v>
      </c>
      <c r="W37" t="s">
        <v>940</v>
      </c>
      <c r="X37" t="s">
        <v>573</v>
      </c>
      <c r="Y37" t="s">
        <v>524</v>
      </c>
      <c r="Z37" t="s">
        <v>1128</v>
      </c>
      <c r="AA37" t="s">
        <v>1129</v>
      </c>
      <c r="AB37" t="s">
        <v>1130</v>
      </c>
      <c r="AC37">
        <v>2</v>
      </c>
      <c r="AD37">
        <v>56</v>
      </c>
      <c r="AE37">
        <v>181</v>
      </c>
      <c r="AF37">
        <v>1.5</v>
      </c>
      <c r="AH37">
        <v>0</v>
      </c>
      <c r="AI37" t="s">
        <v>969</v>
      </c>
      <c r="AJ37">
        <v>192.5</v>
      </c>
      <c r="AK37">
        <v>1</v>
      </c>
      <c r="AL37">
        <v>1.5</v>
      </c>
      <c r="AM37" t="s">
        <v>529</v>
      </c>
      <c r="AO37">
        <v>0</v>
      </c>
      <c r="AR37">
        <v>0</v>
      </c>
      <c r="AS37">
        <v>1.5</v>
      </c>
      <c r="AU37" t="s">
        <v>1131</v>
      </c>
      <c r="AW37" t="s">
        <v>1131</v>
      </c>
      <c r="AX37">
        <v>1</v>
      </c>
      <c r="AY37">
        <v>267.5</v>
      </c>
      <c r="AZ37">
        <v>1.5</v>
      </c>
      <c r="BA37" t="s">
        <v>529</v>
      </c>
      <c r="BG37">
        <v>1.5</v>
      </c>
      <c r="BJ37">
        <v>0</v>
      </c>
      <c r="BN37">
        <v>1.5</v>
      </c>
      <c r="BP37" t="s">
        <v>1132</v>
      </c>
      <c r="BQ37">
        <v>89</v>
      </c>
      <c r="BR37">
        <v>2</v>
      </c>
      <c r="BS37" t="s">
        <v>947</v>
      </c>
      <c r="BT37">
        <v>202</v>
      </c>
      <c r="BU37">
        <v>0.5</v>
      </c>
      <c r="BV37" t="s">
        <v>947</v>
      </c>
      <c r="BW37">
        <v>404</v>
      </c>
      <c r="BX37">
        <v>1</v>
      </c>
      <c r="BY37" t="s">
        <v>643</v>
      </c>
      <c r="BZ37">
        <v>300</v>
      </c>
      <c r="CA37">
        <v>480</v>
      </c>
      <c r="CB37" t="s">
        <v>644</v>
      </c>
      <c r="CC37" t="s">
        <v>644</v>
      </c>
      <c r="CD37">
        <v>416</v>
      </c>
      <c r="CE37" t="s">
        <v>544</v>
      </c>
      <c r="CF37">
        <v>15</v>
      </c>
      <c r="CG37" t="s">
        <v>830</v>
      </c>
      <c r="CH37" t="s">
        <v>830</v>
      </c>
      <c r="CI37">
        <v>90</v>
      </c>
      <c r="CJ37">
        <v>1301</v>
      </c>
      <c r="CK37">
        <v>2</v>
      </c>
      <c r="CL37">
        <v>1395</v>
      </c>
      <c r="CM37">
        <v>2</v>
      </c>
      <c r="CN37" t="s">
        <v>646</v>
      </c>
      <c r="CO37" t="s">
        <v>647</v>
      </c>
      <c r="CP37" t="s">
        <v>648</v>
      </c>
      <c r="CQ37" t="s">
        <v>540</v>
      </c>
      <c r="CR37" t="s">
        <v>541</v>
      </c>
      <c r="CS37" t="s">
        <v>542</v>
      </c>
      <c r="CT37">
        <v>385</v>
      </c>
      <c r="CU37">
        <v>5</v>
      </c>
      <c r="CV37">
        <v>1.2</v>
      </c>
      <c r="CW37">
        <v>1314</v>
      </c>
      <c r="CX37">
        <v>716</v>
      </c>
      <c r="DD37">
        <v>0</v>
      </c>
      <c r="DE37" t="s">
        <v>948</v>
      </c>
      <c r="DF37">
        <v>535</v>
      </c>
      <c r="DG37">
        <v>3</v>
      </c>
      <c r="DH37">
        <v>1.22</v>
      </c>
      <c r="DI37">
        <v>1312</v>
      </c>
      <c r="DJ37">
        <v>1156</v>
      </c>
      <c r="DW37" t="s">
        <v>544</v>
      </c>
      <c r="DX37">
        <v>7.5</v>
      </c>
      <c r="EA37">
        <v>1381.4</v>
      </c>
      <c r="EB37">
        <v>245</v>
      </c>
      <c r="EC37" t="s">
        <v>545</v>
      </c>
      <c r="ED37">
        <v>35</v>
      </c>
      <c r="EE37">
        <v>3</v>
      </c>
      <c r="EG37">
        <v>1422</v>
      </c>
      <c r="EH37">
        <v>199</v>
      </c>
      <c r="EJ37">
        <v>0</v>
      </c>
      <c r="EK37">
        <v>1</v>
      </c>
      <c r="EN37">
        <v>0</v>
      </c>
      <c r="EP37" t="s">
        <v>546</v>
      </c>
      <c r="EQ37">
        <v>90</v>
      </c>
      <c r="ER37">
        <v>3</v>
      </c>
      <c r="ES37">
        <v>5</v>
      </c>
      <c r="ET37">
        <v>1295</v>
      </c>
      <c r="EU37">
        <v>372.5</v>
      </c>
      <c r="EV37">
        <v>482</v>
      </c>
      <c r="EW37" t="s">
        <v>547</v>
      </c>
      <c r="EX37">
        <v>70</v>
      </c>
      <c r="EY37">
        <v>2</v>
      </c>
      <c r="EZ37">
        <v>4.5</v>
      </c>
      <c r="FA37">
        <v>1295</v>
      </c>
      <c r="FB37">
        <v>219.6</v>
      </c>
      <c r="FC37">
        <v>284</v>
      </c>
      <c r="FE37">
        <v>0</v>
      </c>
      <c r="FF37">
        <v>2</v>
      </c>
      <c r="FI37">
        <v>0</v>
      </c>
      <c r="FK37" t="s">
        <v>548</v>
      </c>
      <c r="FL37">
        <v>0.4</v>
      </c>
      <c r="FM37">
        <v>90</v>
      </c>
      <c r="FN37">
        <v>150</v>
      </c>
      <c r="FR37" t="s">
        <v>548</v>
      </c>
      <c r="FS37">
        <v>0.4</v>
      </c>
      <c r="FT37">
        <v>30</v>
      </c>
      <c r="FU37">
        <v>370</v>
      </c>
      <c r="FV37">
        <v>30</v>
      </c>
      <c r="FW37">
        <v>240</v>
      </c>
      <c r="HC37">
        <v>0.1</v>
      </c>
      <c r="HD37">
        <v>3</v>
      </c>
      <c r="HE37">
        <v>3</v>
      </c>
      <c r="HF37">
        <v>3</v>
      </c>
      <c r="HG37">
        <v>3</v>
      </c>
      <c r="HH37">
        <v>3</v>
      </c>
      <c r="HI37">
        <v>145</v>
      </c>
      <c r="HJ37">
        <v>3</v>
      </c>
      <c r="HK37">
        <v>55</v>
      </c>
      <c r="HL37">
        <v>2</v>
      </c>
      <c r="HM37">
        <v>0</v>
      </c>
      <c r="HN37">
        <v>2</v>
      </c>
      <c r="HO37">
        <v>75</v>
      </c>
      <c r="HP37">
        <v>3</v>
      </c>
      <c r="HQ37">
        <v>0</v>
      </c>
      <c r="HR37">
        <v>2</v>
      </c>
      <c r="HS37">
        <v>4292</v>
      </c>
      <c r="HT37">
        <v>130</v>
      </c>
      <c r="HU37">
        <v>180</v>
      </c>
      <c r="HW37">
        <v>0</v>
      </c>
      <c r="HX37">
        <v>425</v>
      </c>
      <c r="HY37">
        <v>0.18</v>
      </c>
      <c r="IA37">
        <v>0.15</v>
      </c>
      <c r="IB37">
        <v>0</v>
      </c>
      <c r="IC37">
        <v>180</v>
      </c>
      <c r="ID37">
        <v>110</v>
      </c>
      <c r="IE37">
        <v>0</v>
      </c>
      <c r="IF37">
        <v>0</v>
      </c>
      <c r="IH37" t="s">
        <v>549</v>
      </c>
      <c r="IO37">
        <v>1</v>
      </c>
      <c r="IP37">
        <v>17</v>
      </c>
      <c r="IQ37">
        <v>0</v>
      </c>
      <c r="IR37">
        <v>1</v>
      </c>
      <c r="IV37">
        <v>1301</v>
      </c>
      <c r="IW37">
        <v>404</v>
      </c>
      <c r="JA37">
        <v>1</v>
      </c>
      <c r="JB37">
        <v>0</v>
      </c>
      <c r="JC37">
        <v>2</v>
      </c>
      <c r="JD37">
        <v>1314</v>
      </c>
      <c r="JE37">
        <v>1312</v>
      </c>
      <c r="JF37">
        <v>0</v>
      </c>
      <c r="JG37">
        <v>1295</v>
      </c>
      <c r="JH37">
        <v>0</v>
      </c>
      <c r="JJ37">
        <v>180</v>
      </c>
      <c r="JK37">
        <v>425</v>
      </c>
      <c r="JN37">
        <v>385</v>
      </c>
      <c r="JO37">
        <v>535</v>
      </c>
      <c r="JP37">
        <v>0</v>
      </c>
      <c r="JQ37">
        <v>0</v>
      </c>
      <c r="JR37">
        <v>362</v>
      </c>
      <c r="JS37">
        <v>145</v>
      </c>
      <c r="JV37">
        <v>8</v>
      </c>
      <c r="JW37" t="s">
        <v>550</v>
      </c>
      <c r="JX37">
        <v>0</v>
      </c>
      <c r="KA37">
        <v>0</v>
      </c>
      <c r="KB37">
        <v>110</v>
      </c>
      <c r="KC37">
        <v>0</v>
      </c>
      <c r="KD37">
        <v>80</v>
      </c>
      <c r="KF37">
        <v>4</v>
      </c>
      <c r="KG37">
        <v>2</v>
      </c>
      <c r="KH37">
        <v>2</v>
      </c>
      <c r="KI37">
        <v>2</v>
      </c>
      <c r="KJ37">
        <v>0</v>
      </c>
      <c r="KK37">
        <v>1.5</v>
      </c>
      <c r="KL37">
        <v>1.5</v>
      </c>
      <c r="KM37">
        <v>0</v>
      </c>
      <c r="KN37">
        <v>0</v>
      </c>
      <c r="KO37">
        <v>0</v>
      </c>
      <c r="KR37">
        <v>30</v>
      </c>
      <c r="KS37">
        <v>60</v>
      </c>
      <c r="KT37">
        <v>0</v>
      </c>
      <c r="LK37">
        <v>480</v>
      </c>
      <c r="PG37">
        <v>1</v>
      </c>
      <c r="PI37" t="s">
        <v>1130</v>
      </c>
      <c r="PJ37" t="s">
        <v>1131</v>
      </c>
      <c r="PL37" t="s">
        <v>969</v>
      </c>
      <c r="PP37" t="s">
        <v>1132</v>
      </c>
      <c r="PX37">
        <v>56</v>
      </c>
      <c r="PY37">
        <v>56</v>
      </c>
      <c r="PZ37" t="s">
        <v>1130</v>
      </c>
      <c r="QA37">
        <v>2</v>
      </c>
      <c r="QB37">
        <v>1295</v>
      </c>
      <c r="QC37">
        <v>69</v>
      </c>
      <c r="QD37">
        <v>69</v>
      </c>
      <c r="QE37" t="s">
        <v>969</v>
      </c>
      <c r="QF37">
        <v>1</v>
      </c>
      <c r="QG37">
        <v>1314</v>
      </c>
      <c r="QH37">
        <v>66</v>
      </c>
      <c r="QI37">
        <v>66</v>
      </c>
      <c r="QL37">
        <v>0</v>
      </c>
      <c r="QM37">
        <v>62</v>
      </c>
      <c r="QN37">
        <v>62</v>
      </c>
      <c r="QO37" t="s">
        <v>1131</v>
      </c>
      <c r="QP37">
        <v>1</v>
      </c>
      <c r="QQ37">
        <v>1312</v>
      </c>
      <c r="QW37">
        <v>82</v>
      </c>
      <c r="QX37">
        <v>89</v>
      </c>
      <c r="QY37" t="s">
        <v>1132</v>
      </c>
      <c r="QZ37">
        <v>1</v>
      </c>
      <c r="RA37">
        <v>66</v>
      </c>
      <c r="RB37">
        <v>66</v>
      </c>
      <c r="RE37">
        <v>0</v>
      </c>
      <c r="RF37">
        <v>1</v>
      </c>
      <c r="RJ37">
        <v>1</v>
      </c>
      <c r="RL37">
        <v>2</v>
      </c>
      <c r="RO37">
        <v>545</v>
      </c>
      <c r="RQ37">
        <v>881</v>
      </c>
      <c r="RT37">
        <v>245</v>
      </c>
      <c r="RU37">
        <v>199</v>
      </c>
      <c r="RV37" t="s">
        <v>949</v>
      </c>
      <c r="RW37" t="s">
        <v>653</v>
      </c>
      <c r="RX37">
        <v>15</v>
      </c>
      <c r="RY37">
        <v>4</v>
      </c>
      <c r="RZ37" t="s">
        <v>653</v>
      </c>
      <c r="SA37">
        <v>15</v>
      </c>
      <c r="SC37" t="s">
        <v>1131</v>
      </c>
      <c r="SD37">
        <v>1</v>
      </c>
      <c r="SH37">
        <v>0.995</v>
      </c>
      <c r="SI37">
        <v>0.995</v>
      </c>
      <c r="SJ37">
        <v>0.995</v>
      </c>
      <c r="SK37">
        <v>15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TB37">
        <v>0</v>
      </c>
      <c r="TC37">
        <v>0</v>
      </c>
      <c r="TD37">
        <v>7.5</v>
      </c>
      <c r="TE37" t="s">
        <v>553</v>
      </c>
      <c r="TF37" t="s">
        <v>624</v>
      </c>
      <c r="TG37" t="s">
        <v>555</v>
      </c>
      <c r="TI37" t="s">
        <v>546</v>
      </c>
      <c r="TJ37" t="s">
        <v>547</v>
      </c>
      <c r="TL37" t="s">
        <v>556</v>
      </c>
      <c r="TM37" t="s">
        <v>513</v>
      </c>
      <c r="TN37">
        <v>0</v>
      </c>
      <c r="TO37" t="s">
        <v>557</v>
      </c>
    </row>
    <row r="38" spans="1:535">
      <c r="A38" t="s">
        <v>1133</v>
      </c>
      <c r="B38" t="s">
        <v>564</v>
      </c>
      <c r="C38" t="s">
        <v>509</v>
      </c>
      <c r="D38" t="s">
        <v>1134</v>
      </c>
      <c r="G38" t="s">
        <v>1135</v>
      </c>
      <c r="I38" t="s">
        <v>562</v>
      </c>
      <c r="J38" t="s">
        <v>563</v>
      </c>
      <c r="L38" t="s">
        <v>512</v>
      </c>
      <c r="M38" t="s">
        <v>629</v>
      </c>
      <c r="N38" t="s">
        <v>513</v>
      </c>
      <c r="O38" t="s">
        <v>607</v>
      </c>
      <c r="Q38" t="s">
        <v>1136</v>
      </c>
      <c r="R38" t="s">
        <v>567</v>
      </c>
      <c r="S38" t="s">
        <v>1137</v>
      </c>
      <c r="T38" t="s">
        <v>1138</v>
      </c>
      <c r="U38" t="s">
        <v>662</v>
      </c>
      <c r="V38" t="s">
        <v>663</v>
      </c>
      <c r="W38" t="s">
        <v>1139</v>
      </c>
      <c r="X38" t="s">
        <v>573</v>
      </c>
      <c r="Y38" t="s">
        <v>524</v>
      </c>
      <c r="Z38" t="s">
        <v>1140</v>
      </c>
      <c r="AA38" t="s">
        <v>1141</v>
      </c>
      <c r="AB38" t="s">
        <v>1142</v>
      </c>
      <c r="AC38">
        <v>2</v>
      </c>
      <c r="AD38">
        <v>56</v>
      </c>
      <c r="AE38">
        <v>172</v>
      </c>
      <c r="AF38">
        <v>1.5</v>
      </c>
      <c r="AH38">
        <v>0</v>
      </c>
      <c r="AI38" t="s">
        <v>639</v>
      </c>
      <c r="AJ38">
        <v>185</v>
      </c>
      <c r="AK38">
        <v>1</v>
      </c>
      <c r="AL38">
        <v>1.5</v>
      </c>
      <c r="AM38" t="s">
        <v>529</v>
      </c>
      <c r="AO38">
        <v>0</v>
      </c>
      <c r="AR38">
        <v>0</v>
      </c>
      <c r="AS38">
        <v>1.5</v>
      </c>
      <c r="AV38" t="s">
        <v>1143</v>
      </c>
      <c r="AW38" t="s">
        <v>1143</v>
      </c>
      <c r="AX38">
        <v>1</v>
      </c>
      <c r="AY38">
        <v>250</v>
      </c>
      <c r="AZ38">
        <v>1.5</v>
      </c>
      <c r="BA38" t="s">
        <v>529</v>
      </c>
      <c r="BG38">
        <v>1.5</v>
      </c>
      <c r="BJ38">
        <v>0</v>
      </c>
      <c r="BN38">
        <v>1.5</v>
      </c>
      <c r="BP38" t="s">
        <v>1144</v>
      </c>
      <c r="BQ38">
        <v>84</v>
      </c>
      <c r="BR38">
        <v>2</v>
      </c>
      <c r="BS38" t="s">
        <v>1145</v>
      </c>
      <c r="BT38">
        <v>195</v>
      </c>
      <c r="BU38">
        <v>0.5</v>
      </c>
      <c r="BV38" t="s">
        <v>1145</v>
      </c>
      <c r="BW38">
        <v>390</v>
      </c>
      <c r="BX38">
        <v>1</v>
      </c>
      <c r="BY38" t="s">
        <v>643</v>
      </c>
      <c r="BZ38">
        <v>290</v>
      </c>
      <c r="CA38">
        <v>450</v>
      </c>
      <c r="CB38" t="s">
        <v>672</v>
      </c>
      <c r="CC38" t="s">
        <v>672</v>
      </c>
      <c r="CD38">
        <v>402</v>
      </c>
      <c r="CE38" t="s">
        <v>673</v>
      </c>
      <c r="CF38">
        <v>15</v>
      </c>
      <c r="CG38" t="s">
        <v>1146</v>
      </c>
      <c r="CH38" t="s">
        <v>1146</v>
      </c>
      <c r="CI38">
        <v>80</v>
      </c>
      <c r="CJ38">
        <v>1381</v>
      </c>
      <c r="CK38">
        <v>2</v>
      </c>
      <c r="CL38">
        <v>1475</v>
      </c>
      <c r="CM38">
        <v>2</v>
      </c>
      <c r="CN38" t="s">
        <v>675</v>
      </c>
      <c r="CO38" t="s">
        <v>676</v>
      </c>
      <c r="CP38" t="s">
        <v>595</v>
      </c>
      <c r="CQ38" t="s">
        <v>649</v>
      </c>
      <c r="CR38" t="s">
        <v>650</v>
      </c>
      <c r="CS38" t="s">
        <v>542</v>
      </c>
      <c r="CT38">
        <v>370</v>
      </c>
      <c r="CU38">
        <v>5</v>
      </c>
      <c r="CV38">
        <v>1.3</v>
      </c>
      <c r="CW38">
        <v>1394</v>
      </c>
      <c r="CX38">
        <v>792</v>
      </c>
      <c r="DD38">
        <v>0</v>
      </c>
      <c r="DE38" t="s">
        <v>543</v>
      </c>
      <c r="DF38">
        <v>500</v>
      </c>
      <c r="DG38">
        <v>3</v>
      </c>
      <c r="DH38">
        <v>1.18</v>
      </c>
      <c r="DI38">
        <v>1392</v>
      </c>
      <c r="DJ38">
        <v>1187</v>
      </c>
      <c r="DW38" t="s">
        <v>544</v>
      </c>
      <c r="DX38">
        <v>7.5</v>
      </c>
      <c r="EA38">
        <v>1461.1</v>
      </c>
      <c r="EB38">
        <v>275</v>
      </c>
      <c r="EC38" t="s">
        <v>545</v>
      </c>
      <c r="ED38">
        <v>25</v>
      </c>
      <c r="EE38">
        <v>3</v>
      </c>
      <c r="EG38">
        <v>1502</v>
      </c>
      <c r="EH38">
        <v>162</v>
      </c>
      <c r="EJ38">
        <v>0</v>
      </c>
      <c r="EK38">
        <v>1</v>
      </c>
      <c r="EN38">
        <v>0</v>
      </c>
      <c r="EP38" t="s">
        <v>546</v>
      </c>
      <c r="EQ38">
        <v>55</v>
      </c>
      <c r="ER38">
        <v>3</v>
      </c>
      <c r="ES38">
        <v>5</v>
      </c>
      <c r="ET38">
        <v>1375</v>
      </c>
      <c r="EU38">
        <v>207.2</v>
      </c>
      <c r="EV38">
        <v>285</v>
      </c>
      <c r="EW38" t="s">
        <v>547</v>
      </c>
      <c r="EX38">
        <v>70</v>
      </c>
      <c r="EY38">
        <v>2</v>
      </c>
      <c r="EZ38">
        <v>4.5</v>
      </c>
      <c r="FA38">
        <v>1375</v>
      </c>
      <c r="FB38">
        <v>225.9</v>
      </c>
      <c r="FC38">
        <v>311</v>
      </c>
      <c r="FE38">
        <v>0</v>
      </c>
      <c r="FF38">
        <v>2</v>
      </c>
      <c r="FI38">
        <v>0</v>
      </c>
      <c r="FK38" t="s">
        <v>548</v>
      </c>
      <c r="FL38">
        <v>0.4</v>
      </c>
      <c r="FM38">
        <v>75</v>
      </c>
      <c r="FN38">
        <v>160</v>
      </c>
      <c r="FR38" t="s">
        <v>548</v>
      </c>
      <c r="FS38">
        <v>0.6</v>
      </c>
      <c r="FT38">
        <v>30</v>
      </c>
      <c r="FU38">
        <v>350</v>
      </c>
      <c r="FY38" t="s">
        <v>651</v>
      </c>
      <c r="FZ38">
        <v>1.6</v>
      </c>
      <c r="GA38">
        <v>20</v>
      </c>
      <c r="GB38">
        <v>196</v>
      </c>
      <c r="GG38" t="s">
        <v>651</v>
      </c>
      <c r="GH38">
        <v>1.6</v>
      </c>
      <c r="GI38">
        <v>20</v>
      </c>
      <c r="GJ38">
        <v>196</v>
      </c>
      <c r="HC38">
        <v>0.1</v>
      </c>
      <c r="HD38">
        <v>3</v>
      </c>
      <c r="HE38">
        <v>3</v>
      </c>
      <c r="HF38">
        <v>3</v>
      </c>
      <c r="HG38">
        <v>3</v>
      </c>
      <c r="HH38">
        <v>3</v>
      </c>
      <c r="HI38">
        <v>110</v>
      </c>
      <c r="HJ38">
        <v>3</v>
      </c>
      <c r="HK38">
        <v>55</v>
      </c>
      <c r="HL38">
        <v>2</v>
      </c>
      <c r="HM38">
        <v>0</v>
      </c>
      <c r="HN38">
        <v>2</v>
      </c>
      <c r="HO38">
        <v>40</v>
      </c>
      <c r="HP38">
        <v>3</v>
      </c>
      <c r="HQ38">
        <v>0</v>
      </c>
      <c r="HR38">
        <v>2</v>
      </c>
      <c r="HS38">
        <v>4045</v>
      </c>
      <c r="HT38">
        <v>120</v>
      </c>
      <c r="HU38">
        <v>180</v>
      </c>
      <c r="HW38">
        <v>0</v>
      </c>
      <c r="HX38">
        <v>450</v>
      </c>
      <c r="HY38">
        <v>0.18</v>
      </c>
      <c r="IA38">
        <v>0.15</v>
      </c>
      <c r="IB38">
        <v>0</v>
      </c>
      <c r="IC38">
        <v>180</v>
      </c>
      <c r="ID38">
        <v>110</v>
      </c>
      <c r="IE38">
        <v>0</v>
      </c>
      <c r="IF38">
        <v>0</v>
      </c>
      <c r="IH38" t="s">
        <v>549</v>
      </c>
      <c r="IO38">
        <v>1</v>
      </c>
      <c r="IP38">
        <v>18</v>
      </c>
      <c r="IQ38">
        <v>1</v>
      </c>
      <c r="IR38">
        <v>1</v>
      </c>
      <c r="IV38">
        <v>1381</v>
      </c>
      <c r="IW38">
        <v>390</v>
      </c>
      <c r="JA38">
        <v>1</v>
      </c>
      <c r="JB38">
        <v>0</v>
      </c>
      <c r="JC38">
        <v>2</v>
      </c>
      <c r="JD38">
        <v>1394</v>
      </c>
      <c r="JE38">
        <v>1392</v>
      </c>
      <c r="JF38">
        <v>0</v>
      </c>
      <c r="JG38">
        <v>1375</v>
      </c>
      <c r="JH38">
        <v>0</v>
      </c>
      <c r="JJ38">
        <v>180</v>
      </c>
      <c r="JK38">
        <v>450</v>
      </c>
      <c r="JN38">
        <v>370</v>
      </c>
      <c r="JO38">
        <v>500</v>
      </c>
      <c r="JP38">
        <v>0</v>
      </c>
      <c r="JQ38">
        <v>0</v>
      </c>
      <c r="JR38">
        <v>344</v>
      </c>
      <c r="JS38">
        <v>110</v>
      </c>
      <c r="JV38">
        <v>8</v>
      </c>
      <c r="JW38" t="s">
        <v>550</v>
      </c>
      <c r="JX38">
        <v>0</v>
      </c>
      <c r="KA38">
        <v>0</v>
      </c>
      <c r="KB38">
        <v>110</v>
      </c>
      <c r="KC38">
        <v>0</v>
      </c>
      <c r="KD38">
        <v>80</v>
      </c>
      <c r="KF38">
        <v>4</v>
      </c>
      <c r="KG38">
        <v>2</v>
      </c>
      <c r="KH38">
        <v>2</v>
      </c>
      <c r="KI38">
        <v>2</v>
      </c>
      <c r="KJ38">
        <v>0</v>
      </c>
      <c r="KK38">
        <v>1.5</v>
      </c>
      <c r="KL38">
        <v>1.5</v>
      </c>
      <c r="KM38">
        <v>0</v>
      </c>
      <c r="KN38">
        <v>0</v>
      </c>
      <c r="KO38">
        <v>0</v>
      </c>
      <c r="KR38">
        <v>30</v>
      </c>
      <c r="KS38">
        <v>60</v>
      </c>
      <c r="KT38">
        <v>0</v>
      </c>
      <c r="LK38">
        <v>480</v>
      </c>
      <c r="PG38">
        <v>1</v>
      </c>
      <c r="PI38" t="s">
        <v>1142</v>
      </c>
      <c r="PJ38" t="s">
        <v>1143</v>
      </c>
      <c r="PL38" t="s">
        <v>639</v>
      </c>
      <c r="PP38" t="s">
        <v>1144</v>
      </c>
      <c r="PX38">
        <v>56</v>
      </c>
      <c r="PY38">
        <v>56</v>
      </c>
      <c r="PZ38" t="s">
        <v>1142</v>
      </c>
      <c r="QA38">
        <v>2</v>
      </c>
      <c r="QB38">
        <v>1375</v>
      </c>
      <c r="QC38">
        <v>69</v>
      </c>
      <c r="QD38">
        <v>69</v>
      </c>
      <c r="QE38" t="s">
        <v>639</v>
      </c>
      <c r="QF38">
        <v>2</v>
      </c>
      <c r="QG38">
        <v>1394</v>
      </c>
      <c r="QH38">
        <v>66</v>
      </c>
      <c r="QI38">
        <v>66</v>
      </c>
      <c r="QL38">
        <v>0</v>
      </c>
      <c r="QM38">
        <v>63</v>
      </c>
      <c r="QN38">
        <v>63</v>
      </c>
      <c r="QO38" t="s">
        <v>1143</v>
      </c>
      <c r="QP38">
        <v>1</v>
      </c>
      <c r="QQ38">
        <v>1392</v>
      </c>
      <c r="QW38">
        <v>82</v>
      </c>
      <c r="QX38">
        <v>84</v>
      </c>
      <c r="QY38" t="s">
        <v>1144</v>
      </c>
      <c r="QZ38">
        <v>1</v>
      </c>
      <c r="RA38">
        <v>66</v>
      </c>
      <c r="RB38">
        <v>66</v>
      </c>
      <c r="RE38">
        <v>0</v>
      </c>
      <c r="RG38">
        <v>1</v>
      </c>
      <c r="RJ38">
        <v>1</v>
      </c>
      <c r="RL38">
        <v>1</v>
      </c>
      <c r="RO38">
        <v>568</v>
      </c>
      <c r="RQ38">
        <v>853</v>
      </c>
      <c r="RT38">
        <v>275</v>
      </c>
      <c r="RU38">
        <v>162</v>
      </c>
      <c r="RV38" t="s">
        <v>1147</v>
      </c>
      <c r="RW38" t="s">
        <v>679</v>
      </c>
      <c r="RX38">
        <v>15</v>
      </c>
      <c r="RY38">
        <v>4</v>
      </c>
      <c r="RZ38" t="s">
        <v>679</v>
      </c>
      <c r="SA38">
        <v>15</v>
      </c>
      <c r="SB38" t="s">
        <v>1148</v>
      </c>
      <c r="SC38" t="s">
        <v>1148</v>
      </c>
      <c r="SD38">
        <v>1</v>
      </c>
      <c r="SH38">
        <v>0.995</v>
      </c>
      <c r="SI38">
        <v>0.995</v>
      </c>
      <c r="SJ38">
        <v>0.995</v>
      </c>
      <c r="SK38">
        <v>15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TB38">
        <v>0</v>
      </c>
      <c r="TC38">
        <v>0</v>
      </c>
      <c r="TD38">
        <v>7.5</v>
      </c>
      <c r="TE38" t="s">
        <v>553</v>
      </c>
      <c r="TF38" t="s">
        <v>655</v>
      </c>
      <c r="TG38" t="s">
        <v>555</v>
      </c>
      <c r="TI38" t="s">
        <v>546</v>
      </c>
      <c r="TJ38" t="s">
        <v>547</v>
      </c>
      <c r="TL38" t="s">
        <v>556</v>
      </c>
      <c r="TM38" t="s">
        <v>513</v>
      </c>
      <c r="TN38">
        <v>0</v>
      </c>
      <c r="TO38" t="s">
        <v>557</v>
      </c>
    </row>
    <row r="39" spans="1:535">
      <c r="A39" t="s">
        <v>1149</v>
      </c>
      <c r="B39" t="s">
        <v>897</v>
      </c>
      <c r="C39" t="s">
        <v>509</v>
      </c>
      <c r="D39" t="s">
        <v>1150</v>
      </c>
      <c r="G39" t="s">
        <v>604</v>
      </c>
      <c r="H39" t="s">
        <v>605</v>
      </c>
      <c r="I39" t="s">
        <v>628</v>
      </c>
      <c r="J39" t="s">
        <v>606</v>
      </c>
      <c r="L39" t="s">
        <v>512</v>
      </c>
      <c r="M39" t="s">
        <v>657</v>
      </c>
      <c r="N39" t="s">
        <v>513</v>
      </c>
      <c r="O39" t="s">
        <v>607</v>
      </c>
      <c r="Q39" t="s">
        <v>1151</v>
      </c>
      <c r="R39" t="s">
        <v>567</v>
      </c>
      <c r="S39" t="s">
        <v>1152</v>
      </c>
      <c r="T39" t="s">
        <v>661</v>
      </c>
      <c r="U39" t="s">
        <v>633</v>
      </c>
      <c r="V39" t="s">
        <v>634</v>
      </c>
      <c r="W39" t="s">
        <v>1153</v>
      </c>
      <c r="X39" t="s">
        <v>573</v>
      </c>
      <c r="Y39" t="s">
        <v>524</v>
      </c>
      <c r="Z39" t="s">
        <v>1154</v>
      </c>
      <c r="AA39" t="s">
        <v>1155</v>
      </c>
      <c r="AB39" t="s">
        <v>667</v>
      </c>
      <c r="AC39">
        <v>2</v>
      </c>
      <c r="AD39">
        <v>56</v>
      </c>
      <c r="AE39">
        <v>188</v>
      </c>
      <c r="AF39">
        <v>1.5</v>
      </c>
      <c r="AH39">
        <v>0</v>
      </c>
      <c r="AI39" t="s">
        <v>615</v>
      </c>
      <c r="AJ39">
        <v>200</v>
      </c>
      <c r="AK39">
        <v>1</v>
      </c>
      <c r="AL39">
        <v>1.5</v>
      </c>
      <c r="AM39" t="s">
        <v>529</v>
      </c>
      <c r="AO39">
        <v>0</v>
      </c>
      <c r="AR39">
        <v>0</v>
      </c>
      <c r="AS39">
        <v>1.5</v>
      </c>
      <c r="AU39" t="s">
        <v>668</v>
      </c>
      <c r="AW39" t="s">
        <v>668</v>
      </c>
      <c r="AX39">
        <v>1</v>
      </c>
      <c r="AY39">
        <v>280</v>
      </c>
      <c r="AZ39">
        <v>1.5</v>
      </c>
      <c r="BA39" t="s">
        <v>529</v>
      </c>
      <c r="BC39" t="s">
        <v>669</v>
      </c>
      <c r="BD39" t="s">
        <v>669</v>
      </c>
      <c r="BE39">
        <v>1</v>
      </c>
      <c r="BF39">
        <v>235</v>
      </c>
      <c r="BG39">
        <v>1.5</v>
      </c>
      <c r="BJ39">
        <v>0</v>
      </c>
      <c r="BN39">
        <v>1.5</v>
      </c>
      <c r="BP39" t="s">
        <v>1156</v>
      </c>
      <c r="BQ39">
        <v>84</v>
      </c>
      <c r="BR39">
        <v>2</v>
      </c>
      <c r="BS39" t="s">
        <v>983</v>
      </c>
      <c r="BT39">
        <v>210</v>
      </c>
      <c r="BU39">
        <v>0.5</v>
      </c>
      <c r="BV39" t="s">
        <v>983</v>
      </c>
      <c r="BW39">
        <v>420</v>
      </c>
      <c r="BX39">
        <v>1</v>
      </c>
      <c r="BY39" t="s">
        <v>643</v>
      </c>
      <c r="BZ39">
        <v>300</v>
      </c>
      <c r="CA39">
        <v>480</v>
      </c>
      <c r="CB39" t="s">
        <v>644</v>
      </c>
      <c r="CC39" t="s">
        <v>644</v>
      </c>
      <c r="CD39">
        <v>440</v>
      </c>
      <c r="CE39" t="s">
        <v>544</v>
      </c>
      <c r="CF39">
        <v>15</v>
      </c>
      <c r="CG39" t="s">
        <v>830</v>
      </c>
      <c r="CH39" t="s">
        <v>830</v>
      </c>
      <c r="CI39">
        <v>90</v>
      </c>
      <c r="CJ39">
        <v>1301</v>
      </c>
      <c r="CK39">
        <v>2</v>
      </c>
      <c r="CL39">
        <v>1395</v>
      </c>
      <c r="CM39">
        <v>2</v>
      </c>
      <c r="CN39" t="s">
        <v>646</v>
      </c>
      <c r="CO39" t="s">
        <v>647</v>
      </c>
      <c r="CP39" t="s">
        <v>648</v>
      </c>
      <c r="CQ39" t="s">
        <v>677</v>
      </c>
      <c r="CR39" t="s">
        <v>650</v>
      </c>
      <c r="CS39" t="s">
        <v>542</v>
      </c>
      <c r="CT39">
        <v>400</v>
      </c>
      <c r="CU39">
        <v>5</v>
      </c>
      <c r="CV39">
        <v>1.2</v>
      </c>
      <c r="CW39">
        <v>1314</v>
      </c>
      <c r="CX39">
        <v>745</v>
      </c>
      <c r="DD39">
        <v>0</v>
      </c>
      <c r="DE39" t="s">
        <v>622</v>
      </c>
      <c r="DF39">
        <v>560</v>
      </c>
      <c r="DG39">
        <v>3</v>
      </c>
      <c r="DH39">
        <v>0.88</v>
      </c>
      <c r="DI39">
        <v>1311</v>
      </c>
      <c r="DJ39">
        <v>839</v>
      </c>
      <c r="DK39" t="s">
        <v>622</v>
      </c>
      <c r="DL39">
        <v>470</v>
      </c>
      <c r="DM39">
        <v>3</v>
      </c>
      <c r="DN39">
        <v>0.88</v>
      </c>
      <c r="DO39">
        <v>1316</v>
      </c>
      <c r="DP39">
        <v>771</v>
      </c>
      <c r="DW39" t="s">
        <v>544</v>
      </c>
      <c r="DX39">
        <v>7.5</v>
      </c>
      <c r="EA39">
        <v>1384.6</v>
      </c>
      <c r="EB39">
        <v>245</v>
      </c>
      <c r="EC39" t="s">
        <v>545</v>
      </c>
      <c r="ED39">
        <v>40</v>
      </c>
      <c r="EE39">
        <v>3</v>
      </c>
      <c r="EG39">
        <v>1425</v>
      </c>
      <c r="EH39">
        <v>276</v>
      </c>
      <c r="EJ39">
        <v>0</v>
      </c>
      <c r="EK39">
        <v>1</v>
      </c>
      <c r="EN39">
        <v>0</v>
      </c>
      <c r="EP39" t="s">
        <v>546</v>
      </c>
      <c r="EQ39">
        <v>90</v>
      </c>
      <c r="ER39">
        <v>3</v>
      </c>
      <c r="ES39">
        <v>5.5</v>
      </c>
      <c r="ET39">
        <v>1298</v>
      </c>
      <c r="EU39">
        <v>407.8</v>
      </c>
      <c r="EV39">
        <v>529</v>
      </c>
      <c r="EW39" t="s">
        <v>547</v>
      </c>
      <c r="EX39">
        <v>70</v>
      </c>
      <c r="EY39">
        <v>2</v>
      </c>
      <c r="EZ39">
        <v>4.5</v>
      </c>
      <c r="FA39">
        <v>1298</v>
      </c>
      <c r="FB39">
        <v>229</v>
      </c>
      <c r="FC39">
        <v>297</v>
      </c>
      <c r="FE39">
        <v>0</v>
      </c>
      <c r="FF39">
        <v>2</v>
      </c>
      <c r="FI39">
        <v>0</v>
      </c>
      <c r="FK39" t="s">
        <v>548</v>
      </c>
      <c r="FL39">
        <v>0.4</v>
      </c>
      <c r="FM39">
        <v>100</v>
      </c>
      <c r="FN39">
        <v>120</v>
      </c>
      <c r="GR39" t="s">
        <v>548</v>
      </c>
      <c r="GS39">
        <v>0.4</v>
      </c>
      <c r="GT39">
        <v>90</v>
      </c>
      <c r="GU39">
        <v>260</v>
      </c>
      <c r="GY39" t="s">
        <v>651</v>
      </c>
      <c r="GZ39">
        <v>1</v>
      </c>
      <c r="HA39">
        <v>20</v>
      </c>
      <c r="HB39">
        <v>176</v>
      </c>
      <c r="HC39">
        <v>0.1</v>
      </c>
      <c r="HD39">
        <v>3</v>
      </c>
      <c r="HE39">
        <v>3</v>
      </c>
      <c r="HF39">
        <v>3</v>
      </c>
      <c r="HG39">
        <v>3</v>
      </c>
      <c r="HH39">
        <v>3</v>
      </c>
      <c r="HI39">
        <v>145</v>
      </c>
      <c r="HJ39">
        <v>3</v>
      </c>
      <c r="HK39">
        <v>55</v>
      </c>
      <c r="HL39">
        <v>2</v>
      </c>
      <c r="HM39">
        <v>0</v>
      </c>
      <c r="HN39">
        <v>2</v>
      </c>
      <c r="HO39">
        <v>75</v>
      </c>
      <c r="HP39">
        <v>3</v>
      </c>
      <c r="HQ39">
        <v>0</v>
      </c>
      <c r="HR39">
        <v>2</v>
      </c>
      <c r="HS39">
        <v>5049</v>
      </c>
      <c r="HT39">
        <v>150</v>
      </c>
      <c r="HU39">
        <v>180</v>
      </c>
      <c r="HW39">
        <v>0</v>
      </c>
      <c r="HX39">
        <v>480</v>
      </c>
      <c r="HY39">
        <v>0.18</v>
      </c>
      <c r="IA39">
        <v>0.15</v>
      </c>
      <c r="IB39">
        <v>0</v>
      </c>
      <c r="IC39">
        <v>180</v>
      </c>
      <c r="ID39">
        <v>110</v>
      </c>
      <c r="IE39">
        <v>225</v>
      </c>
      <c r="IF39">
        <v>0</v>
      </c>
      <c r="IH39" t="s">
        <v>549</v>
      </c>
      <c r="IO39">
        <v>3</v>
      </c>
      <c r="IP39">
        <v>17</v>
      </c>
      <c r="IQ39">
        <v>0</v>
      </c>
      <c r="IR39">
        <v>1</v>
      </c>
      <c r="IV39">
        <v>1301</v>
      </c>
      <c r="IW39">
        <v>420</v>
      </c>
      <c r="IY39">
        <v>290</v>
      </c>
      <c r="JA39">
        <v>1</v>
      </c>
      <c r="JB39">
        <v>0</v>
      </c>
      <c r="JC39">
        <v>2</v>
      </c>
      <c r="JD39">
        <v>1314</v>
      </c>
      <c r="JE39">
        <v>1311</v>
      </c>
      <c r="JF39">
        <v>1316</v>
      </c>
      <c r="JG39">
        <v>1298</v>
      </c>
      <c r="JH39">
        <v>0</v>
      </c>
      <c r="JJ39">
        <v>180</v>
      </c>
      <c r="JK39">
        <v>480</v>
      </c>
      <c r="JN39">
        <v>400</v>
      </c>
      <c r="JO39">
        <v>560</v>
      </c>
      <c r="JP39">
        <v>470</v>
      </c>
      <c r="JQ39">
        <v>0</v>
      </c>
      <c r="JR39">
        <v>376</v>
      </c>
      <c r="JS39">
        <v>145</v>
      </c>
      <c r="JV39">
        <v>8</v>
      </c>
      <c r="JW39" t="s">
        <v>550</v>
      </c>
      <c r="JX39">
        <v>0</v>
      </c>
      <c r="KA39">
        <v>225</v>
      </c>
      <c r="KB39">
        <v>110</v>
      </c>
      <c r="KC39">
        <v>0</v>
      </c>
      <c r="KD39">
        <v>80</v>
      </c>
      <c r="KF39">
        <v>4</v>
      </c>
      <c r="KG39">
        <v>2.5</v>
      </c>
      <c r="KH39">
        <v>2</v>
      </c>
      <c r="KI39">
        <v>2</v>
      </c>
      <c r="KJ39">
        <v>0</v>
      </c>
      <c r="KK39">
        <v>1.5</v>
      </c>
      <c r="KL39">
        <v>1.5</v>
      </c>
      <c r="KM39">
        <v>0</v>
      </c>
      <c r="KN39">
        <v>0</v>
      </c>
      <c r="KO39">
        <v>0</v>
      </c>
      <c r="KR39">
        <v>50</v>
      </c>
      <c r="KS39">
        <v>60</v>
      </c>
      <c r="KT39">
        <v>0</v>
      </c>
      <c r="LK39">
        <v>480</v>
      </c>
      <c r="PG39">
        <v>1</v>
      </c>
      <c r="PI39" t="s">
        <v>667</v>
      </c>
      <c r="PJ39" t="s">
        <v>668</v>
      </c>
      <c r="PK39" t="s">
        <v>669</v>
      </c>
      <c r="PL39" t="s">
        <v>615</v>
      </c>
      <c r="PP39" t="s">
        <v>1156</v>
      </c>
      <c r="PX39">
        <v>56</v>
      </c>
      <c r="PY39">
        <v>56</v>
      </c>
      <c r="PZ39" t="s">
        <v>667</v>
      </c>
      <c r="QA39">
        <v>2</v>
      </c>
      <c r="QB39">
        <v>1298</v>
      </c>
      <c r="QC39">
        <v>69</v>
      </c>
      <c r="QD39">
        <v>69</v>
      </c>
      <c r="QE39" t="s">
        <v>615</v>
      </c>
      <c r="QF39">
        <v>1</v>
      </c>
      <c r="QG39">
        <v>1314</v>
      </c>
      <c r="QH39">
        <v>66</v>
      </c>
      <c r="QI39">
        <v>66</v>
      </c>
      <c r="QL39">
        <v>0</v>
      </c>
      <c r="QM39">
        <v>62</v>
      </c>
      <c r="QN39">
        <v>62</v>
      </c>
      <c r="QO39" t="s">
        <v>668</v>
      </c>
      <c r="QP39">
        <v>1</v>
      </c>
      <c r="QQ39">
        <v>1311</v>
      </c>
      <c r="QR39">
        <v>63</v>
      </c>
      <c r="QS39">
        <v>63</v>
      </c>
      <c r="QT39" t="s">
        <v>669</v>
      </c>
      <c r="QU39">
        <v>1</v>
      </c>
      <c r="QV39">
        <v>1316</v>
      </c>
      <c r="QW39">
        <v>82</v>
      </c>
      <c r="QX39">
        <v>84</v>
      </c>
      <c r="QY39" t="s">
        <v>1156</v>
      </c>
      <c r="QZ39">
        <v>1</v>
      </c>
      <c r="RA39">
        <v>66</v>
      </c>
      <c r="RB39">
        <v>66</v>
      </c>
      <c r="RE39">
        <v>0</v>
      </c>
      <c r="RF39">
        <v>1</v>
      </c>
      <c r="RI39">
        <v>1</v>
      </c>
      <c r="RJ39">
        <v>1</v>
      </c>
      <c r="RL39">
        <v>4</v>
      </c>
      <c r="RM39">
        <v>4</v>
      </c>
      <c r="RO39">
        <v>567</v>
      </c>
      <c r="RQ39">
        <v>640</v>
      </c>
      <c r="RR39">
        <v>586</v>
      </c>
      <c r="RT39">
        <v>245</v>
      </c>
      <c r="RU39">
        <v>276</v>
      </c>
      <c r="RV39" t="s">
        <v>984</v>
      </c>
      <c r="RW39" t="s">
        <v>653</v>
      </c>
      <c r="RX39">
        <v>15</v>
      </c>
      <c r="RY39">
        <v>4</v>
      </c>
      <c r="RZ39" t="s">
        <v>653</v>
      </c>
      <c r="SA39">
        <v>15</v>
      </c>
      <c r="SC39" t="s">
        <v>668</v>
      </c>
      <c r="SD39">
        <v>1</v>
      </c>
      <c r="SE39" t="s">
        <v>680</v>
      </c>
      <c r="SF39" t="s">
        <v>680</v>
      </c>
      <c r="SG39">
        <v>1</v>
      </c>
      <c r="SH39">
        <v>0.995</v>
      </c>
      <c r="SI39">
        <v>0.995</v>
      </c>
      <c r="SJ39">
        <v>0.995</v>
      </c>
      <c r="SK39">
        <v>15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Z39">
        <v>1</v>
      </c>
      <c r="TB39">
        <v>0</v>
      </c>
      <c r="TC39">
        <v>0</v>
      </c>
      <c r="TD39">
        <v>7.5</v>
      </c>
      <c r="TE39" t="s">
        <v>553</v>
      </c>
      <c r="TF39" t="s">
        <v>624</v>
      </c>
      <c r="TG39" t="s">
        <v>555</v>
      </c>
      <c r="TI39" t="s">
        <v>546</v>
      </c>
      <c r="TJ39" t="s">
        <v>547</v>
      </c>
      <c r="TL39" t="s">
        <v>556</v>
      </c>
      <c r="TM39" t="s">
        <v>513</v>
      </c>
      <c r="TN39">
        <v>0</v>
      </c>
      <c r="TO39" t="s">
        <v>557</v>
      </c>
    </row>
    <row r="40" spans="1:535">
      <c r="A40" t="s">
        <v>1157</v>
      </c>
      <c r="B40" t="s">
        <v>564</v>
      </c>
      <c r="C40" t="s">
        <v>509</v>
      </c>
      <c r="D40" t="s">
        <v>1057</v>
      </c>
      <c r="G40" t="s">
        <v>604</v>
      </c>
      <c r="H40" t="s">
        <v>605</v>
      </c>
      <c r="I40" t="s">
        <v>628</v>
      </c>
      <c r="J40" t="s">
        <v>606</v>
      </c>
      <c r="L40" t="s">
        <v>512</v>
      </c>
      <c r="M40" t="s">
        <v>629</v>
      </c>
      <c r="N40" t="s">
        <v>513</v>
      </c>
      <c r="O40" t="s">
        <v>607</v>
      </c>
      <c r="Q40" t="s">
        <v>1158</v>
      </c>
      <c r="R40" t="s">
        <v>567</v>
      </c>
      <c r="S40" t="s">
        <v>1159</v>
      </c>
      <c r="T40" t="s">
        <v>1160</v>
      </c>
      <c r="U40" t="s">
        <v>662</v>
      </c>
      <c r="V40" t="s">
        <v>663</v>
      </c>
      <c r="W40" t="s">
        <v>1161</v>
      </c>
      <c r="X40" t="s">
        <v>573</v>
      </c>
      <c r="Y40" t="s">
        <v>574</v>
      </c>
      <c r="Z40" t="s">
        <v>1162</v>
      </c>
      <c r="AA40" t="s">
        <v>1163</v>
      </c>
      <c r="AB40" t="s">
        <v>1164</v>
      </c>
      <c r="AC40">
        <v>2</v>
      </c>
      <c r="AD40">
        <v>56</v>
      </c>
      <c r="AE40">
        <v>281</v>
      </c>
      <c r="AF40">
        <v>1.5</v>
      </c>
      <c r="AH40">
        <v>0</v>
      </c>
      <c r="AI40" t="s">
        <v>1165</v>
      </c>
      <c r="AJ40">
        <v>257.5</v>
      </c>
      <c r="AK40">
        <v>1</v>
      </c>
      <c r="AL40">
        <v>1.5</v>
      </c>
      <c r="AM40" t="s">
        <v>579</v>
      </c>
      <c r="AN40" t="s">
        <v>580</v>
      </c>
      <c r="AO40">
        <v>2</v>
      </c>
      <c r="AP40" t="s">
        <v>581</v>
      </c>
      <c r="AQ40" t="s">
        <v>582</v>
      </c>
      <c r="AR40">
        <v>307</v>
      </c>
      <c r="AS40">
        <v>1.5</v>
      </c>
      <c r="AT40" t="s">
        <v>583</v>
      </c>
      <c r="AU40" t="s">
        <v>1166</v>
      </c>
      <c r="AW40" t="s">
        <v>1166</v>
      </c>
      <c r="AX40">
        <v>1</v>
      </c>
      <c r="AY40">
        <v>380</v>
      </c>
      <c r="AZ40">
        <v>1.5</v>
      </c>
      <c r="BA40" t="s">
        <v>579</v>
      </c>
      <c r="BB40" t="s">
        <v>1167</v>
      </c>
      <c r="BD40" t="s">
        <v>1167</v>
      </c>
      <c r="BE40">
        <v>1</v>
      </c>
      <c r="BF40">
        <v>300</v>
      </c>
      <c r="BG40">
        <v>1.5</v>
      </c>
      <c r="BJ40">
        <v>0</v>
      </c>
      <c r="BN40">
        <v>1.5</v>
      </c>
      <c r="BP40" t="s">
        <v>1168</v>
      </c>
      <c r="BQ40">
        <v>89</v>
      </c>
      <c r="BR40">
        <v>2</v>
      </c>
      <c r="BS40" t="s">
        <v>1169</v>
      </c>
      <c r="BT40">
        <v>277</v>
      </c>
      <c r="BU40">
        <v>0.5</v>
      </c>
      <c r="BV40" t="s">
        <v>1169</v>
      </c>
      <c r="BW40">
        <v>554</v>
      </c>
      <c r="BX40">
        <v>1</v>
      </c>
      <c r="BY40" t="s">
        <v>643</v>
      </c>
      <c r="BZ40">
        <v>470</v>
      </c>
      <c r="CA40">
        <v>610</v>
      </c>
      <c r="CB40" t="s">
        <v>672</v>
      </c>
      <c r="CC40" t="s">
        <v>997</v>
      </c>
      <c r="CD40">
        <v>574</v>
      </c>
      <c r="CE40" t="s">
        <v>673</v>
      </c>
      <c r="CF40">
        <v>15</v>
      </c>
      <c r="CG40" t="s">
        <v>907</v>
      </c>
      <c r="CH40" t="s">
        <v>907</v>
      </c>
      <c r="CI40">
        <v>70</v>
      </c>
      <c r="CJ40">
        <v>1381</v>
      </c>
      <c r="CK40">
        <v>2</v>
      </c>
      <c r="CL40">
        <v>1475</v>
      </c>
      <c r="CM40">
        <v>2</v>
      </c>
      <c r="CN40" t="s">
        <v>675</v>
      </c>
      <c r="CO40" t="s">
        <v>676</v>
      </c>
      <c r="CP40" t="s">
        <v>595</v>
      </c>
      <c r="CQ40" t="s">
        <v>596</v>
      </c>
      <c r="CR40" t="s">
        <v>541</v>
      </c>
      <c r="CS40" t="s">
        <v>542</v>
      </c>
      <c r="CT40">
        <v>515</v>
      </c>
      <c r="CU40">
        <v>5</v>
      </c>
      <c r="CV40">
        <v>1.2</v>
      </c>
      <c r="CW40">
        <v>1398</v>
      </c>
      <c r="CX40">
        <v>1019</v>
      </c>
      <c r="CY40" t="s">
        <v>597</v>
      </c>
      <c r="CZ40">
        <v>60</v>
      </c>
      <c r="DA40">
        <v>3</v>
      </c>
      <c r="DB40">
        <v>1.28</v>
      </c>
      <c r="DC40">
        <v>1398</v>
      </c>
      <c r="DD40">
        <v>119</v>
      </c>
      <c r="DE40" t="s">
        <v>543</v>
      </c>
      <c r="DF40">
        <v>760</v>
      </c>
      <c r="DG40">
        <v>3</v>
      </c>
      <c r="DH40">
        <v>1.18</v>
      </c>
      <c r="DI40">
        <v>1391</v>
      </c>
      <c r="DJ40">
        <v>1641</v>
      </c>
      <c r="DK40" t="s">
        <v>543</v>
      </c>
      <c r="DL40">
        <v>600</v>
      </c>
      <c r="DM40">
        <v>3</v>
      </c>
      <c r="DN40">
        <v>1.18</v>
      </c>
      <c r="DO40">
        <v>1399</v>
      </c>
      <c r="DP40">
        <v>1298</v>
      </c>
      <c r="DW40" t="s">
        <v>544</v>
      </c>
      <c r="DX40">
        <v>9.4</v>
      </c>
      <c r="EA40">
        <v>1465.9</v>
      </c>
      <c r="EB40">
        <v>431</v>
      </c>
      <c r="EC40" t="s">
        <v>545</v>
      </c>
      <c r="ED40">
        <v>55</v>
      </c>
      <c r="EE40">
        <v>3</v>
      </c>
      <c r="EG40">
        <v>1517</v>
      </c>
      <c r="EH40">
        <v>419</v>
      </c>
      <c r="EJ40">
        <v>0</v>
      </c>
      <c r="EK40">
        <v>1</v>
      </c>
      <c r="EN40">
        <v>0</v>
      </c>
      <c r="EP40" t="s">
        <v>546</v>
      </c>
      <c r="EQ40">
        <v>155</v>
      </c>
      <c r="ER40">
        <v>3</v>
      </c>
      <c r="ES40">
        <v>7.5</v>
      </c>
      <c r="ET40">
        <v>1390</v>
      </c>
      <c r="EU40">
        <v>888.3</v>
      </c>
      <c r="EV40">
        <v>1235</v>
      </c>
      <c r="EW40" t="s">
        <v>547</v>
      </c>
      <c r="EX40">
        <v>45</v>
      </c>
      <c r="EY40">
        <v>2</v>
      </c>
      <c r="EZ40">
        <v>4.5</v>
      </c>
      <c r="FA40">
        <v>1390</v>
      </c>
      <c r="FB40">
        <v>168.6</v>
      </c>
      <c r="FC40">
        <v>234</v>
      </c>
      <c r="FE40">
        <v>0</v>
      </c>
      <c r="FF40">
        <v>2</v>
      </c>
      <c r="FI40">
        <v>0</v>
      </c>
      <c r="FK40" t="s">
        <v>548</v>
      </c>
      <c r="FL40">
        <v>0.4</v>
      </c>
      <c r="FM40">
        <v>50</v>
      </c>
      <c r="FN40">
        <v>490</v>
      </c>
      <c r="FO40">
        <v>120</v>
      </c>
      <c r="FP40">
        <v>170</v>
      </c>
      <c r="GR40" t="s">
        <v>548</v>
      </c>
      <c r="GS40">
        <v>0.4</v>
      </c>
      <c r="GT40">
        <v>30</v>
      </c>
      <c r="GU40">
        <v>520</v>
      </c>
      <c r="GV40">
        <v>100</v>
      </c>
      <c r="GW40">
        <v>190</v>
      </c>
      <c r="HC40">
        <v>0.1</v>
      </c>
      <c r="HD40">
        <v>3</v>
      </c>
      <c r="HE40">
        <v>3</v>
      </c>
      <c r="HF40">
        <v>3</v>
      </c>
      <c r="HG40">
        <v>3</v>
      </c>
      <c r="HH40">
        <v>3</v>
      </c>
      <c r="HI40">
        <v>185</v>
      </c>
      <c r="HJ40">
        <v>3</v>
      </c>
      <c r="HK40">
        <v>30</v>
      </c>
      <c r="HL40">
        <v>2</v>
      </c>
      <c r="HM40">
        <v>0</v>
      </c>
      <c r="HN40">
        <v>2</v>
      </c>
      <c r="HO40">
        <v>140</v>
      </c>
      <c r="HP40">
        <v>3</v>
      </c>
      <c r="HQ40">
        <v>0</v>
      </c>
      <c r="HR40">
        <v>2</v>
      </c>
      <c r="HS40">
        <v>8834</v>
      </c>
      <c r="HT40">
        <v>270</v>
      </c>
      <c r="HU40">
        <v>180</v>
      </c>
      <c r="HW40">
        <v>0</v>
      </c>
      <c r="HX40">
        <v>660</v>
      </c>
      <c r="HY40">
        <v>0.18</v>
      </c>
      <c r="IA40">
        <v>0.15</v>
      </c>
      <c r="IB40">
        <v>0</v>
      </c>
      <c r="IC40">
        <v>180</v>
      </c>
      <c r="ID40">
        <v>110</v>
      </c>
      <c r="IE40">
        <v>225</v>
      </c>
      <c r="IF40">
        <v>0</v>
      </c>
      <c r="IH40" t="s">
        <v>549</v>
      </c>
      <c r="IO40">
        <v>3</v>
      </c>
      <c r="IP40">
        <v>18</v>
      </c>
      <c r="IQ40">
        <v>0</v>
      </c>
      <c r="IR40">
        <v>0</v>
      </c>
      <c r="IV40">
        <v>1381</v>
      </c>
      <c r="IW40">
        <v>554</v>
      </c>
      <c r="JA40">
        <v>1</v>
      </c>
      <c r="JB40">
        <v>0</v>
      </c>
      <c r="JC40">
        <v>2</v>
      </c>
      <c r="JD40">
        <v>1398</v>
      </c>
      <c r="JE40">
        <v>1391</v>
      </c>
      <c r="JF40">
        <v>1399</v>
      </c>
      <c r="JG40">
        <v>1390</v>
      </c>
      <c r="JH40">
        <v>0</v>
      </c>
      <c r="JJ40">
        <v>180</v>
      </c>
      <c r="JK40">
        <v>660</v>
      </c>
      <c r="JN40">
        <v>515</v>
      </c>
      <c r="JO40">
        <v>760</v>
      </c>
      <c r="JP40">
        <v>600</v>
      </c>
      <c r="JQ40">
        <v>0</v>
      </c>
      <c r="JR40">
        <v>562</v>
      </c>
      <c r="JS40">
        <v>185</v>
      </c>
      <c r="JV40">
        <v>10</v>
      </c>
      <c r="JW40" t="s">
        <v>550</v>
      </c>
      <c r="JX40">
        <v>614</v>
      </c>
      <c r="KA40">
        <v>225</v>
      </c>
      <c r="KB40">
        <v>110</v>
      </c>
      <c r="KC40">
        <v>0</v>
      </c>
      <c r="KD40">
        <v>80</v>
      </c>
      <c r="KF40">
        <v>4</v>
      </c>
      <c r="KG40">
        <v>2</v>
      </c>
      <c r="KH40">
        <v>2</v>
      </c>
      <c r="KI40">
        <v>2</v>
      </c>
      <c r="KJ40">
        <v>0</v>
      </c>
      <c r="KK40">
        <v>1.5</v>
      </c>
      <c r="KL40">
        <v>1.5</v>
      </c>
      <c r="KM40">
        <v>0</v>
      </c>
      <c r="KN40">
        <v>0</v>
      </c>
      <c r="KO40">
        <v>0</v>
      </c>
      <c r="KR40">
        <v>20</v>
      </c>
      <c r="KS40">
        <v>60</v>
      </c>
      <c r="KT40">
        <v>0</v>
      </c>
      <c r="LK40">
        <v>480</v>
      </c>
      <c r="PG40">
        <v>1</v>
      </c>
      <c r="PI40" t="s">
        <v>1164</v>
      </c>
      <c r="PJ40" t="s">
        <v>1166</v>
      </c>
      <c r="PK40" t="s">
        <v>1167</v>
      </c>
      <c r="PL40" t="s">
        <v>1165</v>
      </c>
      <c r="PP40" t="s">
        <v>1168</v>
      </c>
      <c r="PS40" t="s">
        <v>580</v>
      </c>
      <c r="PX40">
        <v>56</v>
      </c>
      <c r="PY40">
        <v>56</v>
      </c>
      <c r="PZ40" t="s">
        <v>1164</v>
      </c>
      <c r="QA40">
        <v>1</v>
      </c>
      <c r="QB40">
        <v>1390</v>
      </c>
      <c r="QC40">
        <v>69</v>
      </c>
      <c r="QD40">
        <v>69</v>
      </c>
      <c r="QE40" t="s">
        <v>1165</v>
      </c>
      <c r="QF40">
        <v>1</v>
      </c>
      <c r="QG40">
        <v>1398</v>
      </c>
      <c r="QH40">
        <v>66</v>
      </c>
      <c r="QI40">
        <v>66</v>
      </c>
      <c r="QJ40" t="s">
        <v>580</v>
      </c>
      <c r="QK40">
        <v>1</v>
      </c>
      <c r="QL40">
        <v>1398</v>
      </c>
      <c r="QM40">
        <v>62</v>
      </c>
      <c r="QN40">
        <v>62</v>
      </c>
      <c r="QO40" t="s">
        <v>1166</v>
      </c>
      <c r="QP40">
        <v>1</v>
      </c>
      <c r="QQ40">
        <v>1391</v>
      </c>
      <c r="QR40">
        <v>62</v>
      </c>
      <c r="QS40">
        <v>62</v>
      </c>
      <c r="QT40" t="s">
        <v>1167</v>
      </c>
      <c r="QU40">
        <v>1</v>
      </c>
      <c r="QV40">
        <v>1399</v>
      </c>
      <c r="QW40">
        <v>82</v>
      </c>
      <c r="QX40">
        <v>89</v>
      </c>
      <c r="QY40" t="s">
        <v>1168</v>
      </c>
      <c r="QZ40">
        <v>1</v>
      </c>
      <c r="RA40">
        <v>66</v>
      </c>
      <c r="RB40">
        <v>66</v>
      </c>
      <c r="RE40">
        <v>0</v>
      </c>
      <c r="RF40">
        <v>1</v>
      </c>
      <c r="RH40">
        <v>1</v>
      </c>
      <c r="RJ40">
        <v>1</v>
      </c>
      <c r="RK40">
        <v>3</v>
      </c>
      <c r="RL40">
        <v>2</v>
      </c>
      <c r="RM40">
        <v>2</v>
      </c>
      <c r="RO40">
        <v>729</v>
      </c>
      <c r="RP40">
        <v>170</v>
      </c>
      <c r="RQ40">
        <v>1180</v>
      </c>
      <c r="RR40">
        <v>928</v>
      </c>
      <c r="RT40">
        <v>431</v>
      </c>
      <c r="RU40">
        <v>419</v>
      </c>
      <c r="RV40" t="s">
        <v>1170</v>
      </c>
      <c r="RW40" t="s">
        <v>679</v>
      </c>
      <c r="RX40">
        <v>15</v>
      </c>
      <c r="RY40">
        <v>4</v>
      </c>
      <c r="RZ40" t="s">
        <v>679</v>
      </c>
      <c r="SA40">
        <v>15</v>
      </c>
      <c r="SC40" t="s">
        <v>1166</v>
      </c>
      <c r="SD40">
        <v>1</v>
      </c>
      <c r="SF40" t="s">
        <v>1167</v>
      </c>
      <c r="SG40">
        <v>1</v>
      </c>
      <c r="SH40">
        <v>0.995</v>
      </c>
      <c r="SI40">
        <v>0.995</v>
      </c>
      <c r="SJ40">
        <v>0.995</v>
      </c>
      <c r="SK40">
        <v>15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1</v>
      </c>
      <c r="SZ40">
        <v>1</v>
      </c>
      <c r="TB40">
        <v>0</v>
      </c>
      <c r="TC40">
        <v>0</v>
      </c>
      <c r="TD40">
        <v>9.4</v>
      </c>
      <c r="TE40" t="s">
        <v>553</v>
      </c>
      <c r="TF40" t="s">
        <v>1171</v>
      </c>
      <c r="TG40" t="s">
        <v>555</v>
      </c>
      <c r="TI40" t="s">
        <v>546</v>
      </c>
      <c r="TJ40" t="s">
        <v>547</v>
      </c>
      <c r="TL40" t="s">
        <v>556</v>
      </c>
      <c r="TM40" t="s">
        <v>513</v>
      </c>
      <c r="TN40">
        <v>0</v>
      </c>
      <c r="TO40" t="s">
        <v>557</v>
      </c>
    </row>
    <row r="41" spans="1:535">
      <c r="A41" t="s">
        <v>1172</v>
      </c>
      <c r="B41" t="s">
        <v>559</v>
      </c>
      <c r="C41" t="s">
        <v>509</v>
      </c>
      <c r="D41" t="s">
        <v>1173</v>
      </c>
      <c r="G41" t="s">
        <v>627</v>
      </c>
      <c r="H41" t="s">
        <v>604</v>
      </c>
      <c r="I41" t="s">
        <v>628</v>
      </c>
      <c r="J41" t="s">
        <v>606</v>
      </c>
      <c r="L41" t="s">
        <v>512</v>
      </c>
      <c r="M41" t="s">
        <v>564</v>
      </c>
      <c r="N41" t="s">
        <v>513</v>
      </c>
      <c r="O41" t="s">
        <v>565</v>
      </c>
      <c r="Q41" t="s">
        <v>1174</v>
      </c>
      <c r="R41" t="s">
        <v>567</v>
      </c>
      <c r="S41" t="s">
        <v>1175</v>
      </c>
      <c r="T41" t="s">
        <v>685</v>
      </c>
      <c r="U41" t="s">
        <v>633</v>
      </c>
      <c r="V41" t="s">
        <v>634</v>
      </c>
      <c r="W41" t="s">
        <v>715</v>
      </c>
      <c r="X41" t="s">
        <v>573</v>
      </c>
      <c r="Y41" t="s">
        <v>524</v>
      </c>
      <c r="Z41" t="s">
        <v>1176</v>
      </c>
      <c r="AA41" t="s">
        <v>1177</v>
      </c>
      <c r="AB41" t="s">
        <v>1178</v>
      </c>
      <c r="AC41">
        <v>2</v>
      </c>
      <c r="AD41">
        <v>56</v>
      </c>
      <c r="AE41">
        <v>196</v>
      </c>
      <c r="AF41">
        <v>1.5</v>
      </c>
      <c r="AH41">
        <v>0</v>
      </c>
      <c r="AI41" t="s">
        <v>1179</v>
      </c>
      <c r="AJ41">
        <v>207.5</v>
      </c>
      <c r="AK41">
        <v>1</v>
      </c>
      <c r="AL41">
        <v>1.5</v>
      </c>
      <c r="AM41" t="s">
        <v>529</v>
      </c>
      <c r="AO41">
        <v>0</v>
      </c>
      <c r="AR41">
        <v>0</v>
      </c>
      <c r="AS41">
        <v>1.5</v>
      </c>
      <c r="AU41" t="s">
        <v>1180</v>
      </c>
      <c r="AW41" t="s">
        <v>1180</v>
      </c>
      <c r="AX41">
        <v>1</v>
      </c>
      <c r="AY41">
        <v>292.5</v>
      </c>
      <c r="AZ41">
        <v>1.5</v>
      </c>
      <c r="BA41" t="s">
        <v>529</v>
      </c>
      <c r="BC41" t="s">
        <v>1181</v>
      </c>
      <c r="BD41" t="s">
        <v>1181</v>
      </c>
      <c r="BE41">
        <v>1</v>
      </c>
      <c r="BF41">
        <v>242.5</v>
      </c>
      <c r="BG41">
        <v>1.5</v>
      </c>
      <c r="BJ41">
        <v>0</v>
      </c>
      <c r="BN41">
        <v>1.5</v>
      </c>
      <c r="BP41" t="s">
        <v>1182</v>
      </c>
      <c r="BQ41">
        <v>84</v>
      </c>
      <c r="BR41">
        <v>2</v>
      </c>
      <c r="BS41" t="s">
        <v>829</v>
      </c>
      <c r="BT41">
        <v>219</v>
      </c>
      <c r="BU41">
        <v>0.5</v>
      </c>
      <c r="BV41" t="s">
        <v>829</v>
      </c>
      <c r="BW41">
        <v>438</v>
      </c>
      <c r="BX41">
        <v>1</v>
      </c>
      <c r="BY41" t="s">
        <v>643</v>
      </c>
      <c r="BZ41">
        <v>300</v>
      </c>
      <c r="CA41">
        <v>500</v>
      </c>
      <c r="CB41" t="s">
        <v>644</v>
      </c>
      <c r="CC41" t="s">
        <v>644</v>
      </c>
      <c r="CD41">
        <v>454</v>
      </c>
      <c r="CE41" t="s">
        <v>544</v>
      </c>
      <c r="CF41">
        <v>15</v>
      </c>
      <c r="CG41" t="s">
        <v>1183</v>
      </c>
      <c r="CH41" t="s">
        <v>1183</v>
      </c>
      <c r="CI41">
        <v>100</v>
      </c>
      <c r="CJ41">
        <v>1301</v>
      </c>
      <c r="CK41">
        <v>2</v>
      </c>
      <c r="CL41">
        <v>1395</v>
      </c>
      <c r="CM41">
        <v>2</v>
      </c>
      <c r="CN41" t="s">
        <v>646</v>
      </c>
      <c r="CO41" t="s">
        <v>647</v>
      </c>
      <c r="CP41" t="s">
        <v>648</v>
      </c>
      <c r="CQ41" t="s">
        <v>677</v>
      </c>
      <c r="CR41" t="s">
        <v>650</v>
      </c>
      <c r="CS41" t="s">
        <v>542</v>
      </c>
      <c r="CT41">
        <v>415</v>
      </c>
      <c r="CU41">
        <v>5</v>
      </c>
      <c r="CV41">
        <v>1.2</v>
      </c>
      <c r="CW41">
        <v>1314</v>
      </c>
      <c r="CX41">
        <v>771</v>
      </c>
      <c r="DD41">
        <v>0</v>
      </c>
      <c r="DE41" t="s">
        <v>622</v>
      </c>
      <c r="DF41">
        <v>585</v>
      </c>
      <c r="DG41">
        <v>3</v>
      </c>
      <c r="DH41">
        <v>0.88</v>
      </c>
      <c r="DI41">
        <v>1311</v>
      </c>
      <c r="DJ41">
        <v>860</v>
      </c>
      <c r="DK41" t="s">
        <v>622</v>
      </c>
      <c r="DL41">
        <v>485</v>
      </c>
      <c r="DM41">
        <v>3</v>
      </c>
      <c r="DN41">
        <v>0.88</v>
      </c>
      <c r="DO41">
        <v>1316</v>
      </c>
      <c r="DP41">
        <v>779</v>
      </c>
      <c r="DW41" t="s">
        <v>544</v>
      </c>
      <c r="DX41">
        <v>7.5</v>
      </c>
      <c r="EA41">
        <v>1384.6</v>
      </c>
      <c r="EB41">
        <v>261</v>
      </c>
      <c r="EC41" t="s">
        <v>545</v>
      </c>
      <c r="ED41">
        <v>40</v>
      </c>
      <c r="EE41">
        <v>3</v>
      </c>
      <c r="EG41">
        <v>1425</v>
      </c>
      <c r="EH41">
        <v>274</v>
      </c>
      <c r="EJ41">
        <v>0</v>
      </c>
      <c r="EK41">
        <v>1</v>
      </c>
      <c r="EN41">
        <v>0</v>
      </c>
      <c r="EP41" t="s">
        <v>546</v>
      </c>
      <c r="EQ41">
        <v>95</v>
      </c>
      <c r="ER41">
        <v>3</v>
      </c>
      <c r="ES41">
        <v>6</v>
      </c>
      <c r="ET41">
        <v>1301</v>
      </c>
      <c r="EU41">
        <v>480</v>
      </c>
      <c r="EV41">
        <v>624</v>
      </c>
      <c r="EW41" t="s">
        <v>547</v>
      </c>
      <c r="EX41">
        <v>70</v>
      </c>
      <c r="EY41">
        <v>2</v>
      </c>
      <c r="EZ41">
        <v>4.5</v>
      </c>
      <c r="FA41">
        <v>1301</v>
      </c>
      <c r="FB41">
        <v>231.8</v>
      </c>
      <c r="FC41">
        <v>302</v>
      </c>
      <c r="FE41">
        <v>0</v>
      </c>
      <c r="FF41">
        <v>2</v>
      </c>
      <c r="FI41">
        <v>0</v>
      </c>
      <c r="FK41" t="s">
        <v>548</v>
      </c>
      <c r="FL41">
        <v>0.4</v>
      </c>
      <c r="FM41">
        <v>90</v>
      </c>
      <c r="FN41">
        <v>130</v>
      </c>
      <c r="GR41" t="s">
        <v>548</v>
      </c>
      <c r="GS41">
        <v>0.4</v>
      </c>
      <c r="GT41">
        <v>30</v>
      </c>
      <c r="GU41">
        <v>400</v>
      </c>
      <c r="GV41">
        <v>50</v>
      </c>
      <c r="GW41">
        <v>240</v>
      </c>
      <c r="GY41" t="s">
        <v>651</v>
      </c>
      <c r="GZ41">
        <v>1</v>
      </c>
      <c r="HA41">
        <v>20</v>
      </c>
      <c r="HB41">
        <v>186</v>
      </c>
      <c r="HC41">
        <v>0.1</v>
      </c>
      <c r="HD41">
        <v>3</v>
      </c>
      <c r="HE41">
        <v>3</v>
      </c>
      <c r="HF41">
        <v>3</v>
      </c>
      <c r="HG41">
        <v>3</v>
      </c>
      <c r="HH41">
        <v>3</v>
      </c>
      <c r="HI41">
        <v>150</v>
      </c>
      <c r="HJ41">
        <v>3</v>
      </c>
      <c r="HK41">
        <v>55</v>
      </c>
      <c r="HL41">
        <v>2</v>
      </c>
      <c r="HM41">
        <v>0</v>
      </c>
      <c r="HN41">
        <v>2</v>
      </c>
      <c r="HO41">
        <v>80</v>
      </c>
      <c r="HP41">
        <v>3</v>
      </c>
      <c r="HQ41">
        <v>0</v>
      </c>
      <c r="HR41">
        <v>2</v>
      </c>
      <c r="HS41">
        <v>5332</v>
      </c>
      <c r="HT41">
        <v>160</v>
      </c>
      <c r="HU41">
        <v>180</v>
      </c>
      <c r="HW41">
        <v>0</v>
      </c>
      <c r="HX41">
        <v>470</v>
      </c>
      <c r="HY41">
        <v>0.18</v>
      </c>
      <c r="IA41">
        <v>0.15</v>
      </c>
      <c r="IB41">
        <v>0</v>
      </c>
      <c r="IC41">
        <v>180</v>
      </c>
      <c r="ID41">
        <v>110</v>
      </c>
      <c r="IE41">
        <v>225</v>
      </c>
      <c r="IF41">
        <v>0</v>
      </c>
      <c r="IH41" t="s">
        <v>549</v>
      </c>
      <c r="IO41">
        <v>3</v>
      </c>
      <c r="IP41">
        <v>17</v>
      </c>
      <c r="IQ41">
        <v>0</v>
      </c>
      <c r="IR41">
        <v>1</v>
      </c>
      <c r="IV41">
        <v>1301</v>
      </c>
      <c r="IW41">
        <v>438</v>
      </c>
      <c r="JA41">
        <v>1</v>
      </c>
      <c r="JB41">
        <v>0</v>
      </c>
      <c r="JC41">
        <v>2</v>
      </c>
      <c r="JD41">
        <v>1314</v>
      </c>
      <c r="JE41">
        <v>1311</v>
      </c>
      <c r="JF41">
        <v>1316</v>
      </c>
      <c r="JG41">
        <v>1301</v>
      </c>
      <c r="JH41">
        <v>0</v>
      </c>
      <c r="JJ41">
        <v>180</v>
      </c>
      <c r="JK41">
        <v>470</v>
      </c>
      <c r="JN41">
        <v>415</v>
      </c>
      <c r="JO41">
        <v>585</v>
      </c>
      <c r="JP41">
        <v>485</v>
      </c>
      <c r="JQ41">
        <v>0</v>
      </c>
      <c r="JR41">
        <v>392</v>
      </c>
      <c r="JS41">
        <v>150</v>
      </c>
      <c r="JV41">
        <v>8</v>
      </c>
      <c r="JW41" t="s">
        <v>550</v>
      </c>
      <c r="JX41">
        <v>0</v>
      </c>
      <c r="KA41">
        <v>225</v>
      </c>
      <c r="KB41">
        <v>110</v>
      </c>
      <c r="KC41">
        <v>0</v>
      </c>
      <c r="KD41">
        <v>80</v>
      </c>
      <c r="KF41">
        <v>4</v>
      </c>
      <c r="KG41">
        <v>2</v>
      </c>
      <c r="KH41">
        <v>2</v>
      </c>
      <c r="KI41">
        <v>2</v>
      </c>
      <c r="KJ41">
        <v>0</v>
      </c>
      <c r="KK41">
        <v>1.5</v>
      </c>
      <c r="KL41">
        <v>1.5</v>
      </c>
      <c r="KM41">
        <v>0</v>
      </c>
      <c r="KN41">
        <v>0</v>
      </c>
      <c r="KO41">
        <v>0</v>
      </c>
      <c r="KR41">
        <v>20</v>
      </c>
      <c r="KS41">
        <v>60</v>
      </c>
      <c r="KT41">
        <v>0</v>
      </c>
      <c r="LK41">
        <v>480</v>
      </c>
      <c r="PG41">
        <v>1</v>
      </c>
      <c r="PI41" t="s">
        <v>1178</v>
      </c>
      <c r="PJ41" t="s">
        <v>1180</v>
      </c>
      <c r="PK41" t="s">
        <v>1181</v>
      </c>
      <c r="PL41" t="s">
        <v>1179</v>
      </c>
      <c r="PP41" t="s">
        <v>1182</v>
      </c>
      <c r="PX41">
        <v>56</v>
      </c>
      <c r="PY41">
        <v>56</v>
      </c>
      <c r="PZ41" t="s">
        <v>1178</v>
      </c>
      <c r="QA41">
        <v>2</v>
      </c>
      <c r="QB41">
        <v>1301</v>
      </c>
      <c r="QC41">
        <v>69</v>
      </c>
      <c r="QD41">
        <v>69</v>
      </c>
      <c r="QE41" t="s">
        <v>1179</v>
      </c>
      <c r="QF41">
        <v>1</v>
      </c>
      <c r="QG41">
        <v>1314</v>
      </c>
      <c r="QH41">
        <v>66</v>
      </c>
      <c r="QI41">
        <v>66</v>
      </c>
      <c r="QL41">
        <v>0</v>
      </c>
      <c r="QM41">
        <v>62</v>
      </c>
      <c r="QN41">
        <v>62</v>
      </c>
      <c r="QO41" t="s">
        <v>1180</v>
      </c>
      <c r="QP41">
        <v>1</v>
      </c>
      <c r="QQ41">
        <v>1311</v>
      </c>
      <c r="QR41">
        <v>63</v>
      </c>
      <c r="QS41">
        <v>63</v>
      </c>
      <c r="QT41" t="s">
        <v>1181</v>
      </c>
      <c r="QU41">
        <v>1</v>
      </c>
      <c r="QV41">
        <v>1316</v>
      </c>
      <c r="QW41">
        <v>82</v>
      </c>
      <c r="QX41">
        <v>84</v>
      </c>
      <c r="QY41" t="s">
        <v>1182</v>
      </c>
      <c r="QZ41">
        <v>1</v>
      </c>
      <c r="RA41">
        <v>66</v>
      </c>
      <c r="RB41">
        <v>66</v>
      </c>
      <c r="RE41">
        <v>0</v>
      </c>
      <c r="RF41">
        <v>1</v>
      </c>
      <c r="RI41">
        <v>1</v>
      </c>
      <c r="RJ41">
        <v>1</v>
      </c>
      <c r="RL41">
        <v>3</v>
      </c>
      <c r="RM41">
        <v>3</v>
      </c>
      <c r="RO41">
        <v>587</v>
      </c>
      <c r="RQ41">
        <v>656</v>
      </c>
      <c r="RR41">
        <v>592</v>
      </c>
      <c r="RT41">
        <v>261</v>
      </c>
      <c r="RU41">
        <v>274</v>
      </c>
      <c r="RV41" t="s">
        <v>831</v>
      </c>
      <c r="RW41" t="s">
        <v>653</v>
      </c>
      <c r="RX41">
        <v>15</v>
      </c>
      <c r="RY41">
        <v>4</v>
      </c>
      <c r="RZ41" t="s">
        <v>653</v>
      </c>
      <c r="SA41">
        <v>15</v>
      </c>
      <c r="SC41" t="s">
        <v>1180</v>
      </c>
      <c r="SD41">
        <v>1</v>
      </c>
      <c r="SE41" t="s">
        <v>1184</v>
      </c>
      <c r="SF41" t="s">
        <v>1184</v>
      </c>
      <c r="SG41">
        <v>1</v>
      </c>
      <c r="SH41">
        <v>0.995</v>
      </c>
      <c r="SI41">
        <v>0.995</v>
      </c>
      <c r="SJ41">
        <v>0.995</v>
      </c>
      <c r="SK41">
        <v>15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Z41">
        <v>1</v>
      </c>
      <c r="TB41">
        <v>0</v>
      </c>
      <c r="TC41">
        <v>0</v>
      </c>
      <c r="TD41">
        <v>7.5</v>
      </c>
      <c r="TE41" t="s">
        <v>553</v>
      </c>
      <c r="TF41" t="s">
        <v>655</v>
      </c>
      <c r="TG41" t="s">
        <v>555</v>
      </c>
      <c r="TI41" t="s">
        <v>546</v>
      </c>
      <c r="TJ41" t="s">
        <v>547</v>
      </c>
      <c r="TL41" t="s">
        <v>556</v>
      </c>
      <c r="TM41" t="s">
        <v>513</v>
      </c>
      <c r="TN41">
        <v>0</v>
      </c>
      <c r="TO41" t="s">
        <v>557</v>
      </c>
    </row>
    <row r="42" spans="1:535">
      <c r="A42" t="s">
        <v>1185</v>
      </c>
      <c r="B42" t="s">
        <v>629</v>
      </c>
      <c r="C42" t="s">
        <v>509</v>
      </c>
      <c r="D42" t="s">
        <v>1073</v>
      </c>
      <c r="G42" t="s">
        <v>604</v>
      </c>
      <c r="H42" t="s">
        <v>605</v>
      </c>
      <c r="I42" t="s">
        <v>628</v>
      </c>
      <c r="L42" t="s">
        <v>512</v>
      </c>
      <c r="M42" t="s">
        <v>711</v>
      </c>
      <c r="N42" t="s">
        <v>513</v>
      </c>
      <c r="O42" t="s">
        <v>565</v>
      </c>
      <c r="Q42" t="s">
        <v>1186</v>
      </c>
      <c r="R42" t="s">
        <v>567</v>
      </c>
      <c r="S42" t="s">
        <v>1187</v>
      </c>
      <c r="T42" t="s">
        <v>1103</v>
      </c>
      <c r="U42" t="s">
        <v>662</v>
      </c>
      <c r="V42" t="s">
        <v>663</v>
      </c>
      <c r="W42" t="s">
        <v>1188</v>
      </c>
      <c r="X42" t="s">
        <v>573</v>
      </c>
      <c r="Y42" t="s">
        <v>524</v>
      </c>
      <c r="Z42" t="s">
        <v>1189</v>
      </c>
      <c r="AA42" t="s">
        <v>1190</v>
      </c>
      <c r="AB42" t="s">
        <v>1191</v>
      </c>
      <c r="AC42">
        <v>2</v>
      </c>
      <c r="AD42">
        <v>56</v>
      </c>
      <c r="AE42">
        <v>213</v>
      </c>
      <c r="AF42">
        <v>1.5</v>
      </c>
      <c r="AH42">
        <v>0</v>
      </c>
      <c r="AI42" t="s">
        <v>1048</v>
      </c>
      <c r="AJ42">
        <v>225</v>
      </c>
      <c r="AK42">
        <v>1</v>
      </c>
      <c r="AL42">
        <v>1.5</v>
      </c>
      <c r="AM42" t="s">
        <v>529</v>
      </c>
      <c r="AO42">
        <v>0</v>
      </c>
      <c r="AR42">
        <v>0</v>
      </c>
      <c r="AS42">
        <v>1.5</v>
      </c>
      <c r="AU42" t="s">
        <v>1192</v>
      </c>
      <c r="AW42" t="s">
        <v>1192</v>
      </c>
      <c r="AX42">
        <v>1</v>
      </c>
      <c r="AY42">
        <v>322.5</v>
      </c>
      <c r="AZ42">
        <v>1.5</v>
      </c>
      <c r="BA42" t="s">
        <v>529</v>
      </c>
      <c r="BB42" t="s">
        <v>1193</v>
      </c>
      <c r="BD42" t="s">
        <v>1193</v>
      </c>
      <c r="BE42">
        <v>1</v>
      </c>
      <c r="BF42">
        <v>262.5</v>
      </c>
      <c r="BG42">
        <v>1.5</v>
      </c>
      <c r="BJ42">
        <v>0</v>
      </c>
      <c r="BN42">
        <v>1.5</v>
      </c>
      <c r="BP42" t="s">
        <v>1194</v>
      </c>
      <c r="BQ42">
        <v>89</v>
      </c>
      <c r="BR42">
        <v>2</v>
      </c>
      <c r="BS42" t="s">
        <v>1195</v>
      </c>
      <c r="BT42">
        <v>235</v>
      </c>
      <c r="BU42">
        <v>0.5</v>
      </c>
      <c r="BV42" t="s">
        <v>1195</v>
      </c>
      <c r="BW42">
        <v>470</v>
      </c>
      <c r="BX42">
        <v>1</v>
      </c>
      <c r="BY42" t="s">
        <v>643</v>
      </c>
      <c r="BZ42">
        <v>290</v>
      </c>
      <c r="CA42">
        <v>510</v>
      </c>
      <c r="CB42" t="s">
        <v>672</v>
      </c>
      <c r="CC42" t="s">
        <v>672</v>
      </c>
      <c r="CD42">
        <v>476</v>
      </c>
      <c r="CE42" t="s">
        <v>673</v>
      </c>
      <c r="CF42">
        <v>15</v>
      </c>
      <c r="CG42" t="s">
        <v>1196</v>
      </c>
      <c r="CH42" t="s">
        <v>1196</v>
      </c>
      <c r="CI42">
        <v>110</v>
      </c>
      <c r="CJ42">
        <v>1381</v>
      </c>
      <c r="CK42">
        <v>2</v>
      </c>
      <c r="CL42">
        <v>1475</v>
      </c>
      <c r="CM42">
        <v>2</v>
      </c>
      <c r="CN42" t="s">
        <v>675</v>
      </c>
      <c r="CO42" t="s">
        <v>676</v>
      </c>
      <c r="CP42" t="s">
        <v>595</v>
      </c>
      <c r="CQ42" t="s">
        <v>621</v>
      </c>
      <c r="CR42" t="s">
        <v>541</v>
      </c>
      <c r="CS42" t="s">
        <v>542</v>
      </c>
      <c r="CT42">
        <v>450</v>
      </c>
      <c r="CU42">
        <v>5</v>
      </c>
      <c r="CV42">
        <v>1.2</v>
      </c>
      <c r="CW42">
        <v>1393</v>
      </c>
      <c r="CX42">
        <v>887</v>
      </c>
      <c r="DD42">
        <v>0</v>
      </c>
      <c r="DE42" t="s">
        <v>543</v>
      </c>
      <c r="DF42">
        <v>645</v>
      </c>
      <c r="DG42">
        <v>3</v>
      </c>
      <c r="DH42">
        <v>1.18</v>
      </c>
      <c r="DI42">
        <v>1391</v>
      </c>
      <c r="DJ42">
        <v>1376</v>
      </c>
      <c r="DK42" t="s">
        <v>543</v>
      </c>
      <c r="DL42">
        <v>525</v>
      </c>
      <c r="DM42">
        <v>3</v>
      </c>
      <c r="DN42">
        <v>1.18</v>
      </c>
      <c r="DO42">
        <v>1399</v>
      </c>
      <c r="DP42">
        <v>1205</v>
      </c>
      <c r="DW42" t="s">
        <v>544</v>
      </c>
      <c r="DX42">
        <v>7.5</v>
      </c>
      <c r="EA42">
        <v>1465.9</v>
      </c>
      <c r="EB42">
        <v>346</v>
      </c>
      <c r="EC42" t="s">
        <v>545</v>
      </c>
      <c r="ED42">
        <v>50</v>
      </c>
      <c r="EE42">
        <v>3</v>
      </c>
      <c r="EG42">
        <v>1517</v>
      </c>
      <c r="EH42">
        <v>311</v>
      </c>
      <c r="EJ42">
        <v>0</v>
      </c>
      <c r="EK42">
        <v>1</v>
      </c>
      <c r="EN42">
        <v>0</v>
      </c>
      <c r="EP42" t="s">
        <v>546</v>
      </c>
      <c r="EQ42">
        <v>135</v>
      </c>
      <c r="ER42">
        <v>3</v>
      </c>
      <c r="ES42">
        <v>6</v>
      </c>
      <c r="ET42">
        <v>1381</v>
      </c>
      <c r="EU42">
        <v>634.1</v>
      </c>
      <c r="EV42">
        <v>876</v>
      </c>
      <c r="EW42" t="s">
        <v>547</v>
      </c>
      <c r="EX42">
        <v>70</v>
      </c>
      <c r="EY42">
        <v>2</v>
      </c>
      <c r="EZ42">
        <v>4.5</v>
      </c>
      <c r="FA42">
        <v>1381</v>
      </c>
      <c r="FB42">
        <v>219.6</v>
      </c>
      <c r="FC42">
        <v>303</v>
      </c>
      <c r="FE42">
        <v>0</v>
      </c>
      <c r="FF42">
        <v>2</v>
      </c>
      <c r="FI42">
        <v>0</v>
      </c>
      <c r="FK42" t="s">
        <v>548</v>
      </c>
      <c r="FL42">
        <v>0.4</v>
      </c>
      <c r="FM42">
        <v>130</v>
      </c>
      <c r="FN42">
        <v>130</v>
      </c>
      <c r="GR42" t="s">
        <v>548</v>
      </c>
      <c r="GS42">
        <v>0.4</v>
      </c>
      <c r="GT42">
        <v>170</v>
      </c>
      <c r="GU42">
        <v>150</v>
      </c>
      <c r="HC42">
        <v>0.1</v>
      </c>
      <c r="HD42">
        <v>3</v>
      </c>
      <c r="HE42">
        <v>3</v>
      </c>
      <c r="HF42">
        <v>3</v>
      </c>
      <c r="HG42">
        <v>3</v>
      </c>
      <c r="HH42">
        <v>3</v>
      </c>
      <c r="HI42">
        <v>190</v>
      </c>
      <c r="HJ42">
        <v>3</v>
      </c>
      <c r="HK42">
        <v>55</v>
      </c>
      <c r="HL42">
        <v>2</v>
      </c>
      <c r="HM42">
        <v>0</v>
      </c>
      <c r="HN42">
        <v>2</v>
      </c>
      <c r="HO42">
        <v>120</v>
      </c>
      <c r="HP42">
        <v>3</v>
      </c>
      <c r="HQ42">
        <v>0</v>
      </c>
      <c r="HR42">
        <v>2</v>
      </c>
      <c r="HS42">
        <v>7140</v>
      </c>
      <c r="HT42">
        <v>210</v>
      </c>
      <c r="HU42">
        <v>180</v>
      </c>
      <c r="HW42">
        <v>0</v>
      </c>
      <c r="HX42">
        <v>500</v>
      </c>
      <c r="HY42">
        <v>0.18</v>
      </c>
      <c r="IA42">
        <v>0.15</v>
      </c>
      <c r="IB42">
        <v>0</v>
      </c>
      <c r="IC42">
        <v>180</v>
      </c>
      <c r="ID42">
        <v>110</v>
      </c>
      <c r="IE42">
        <v>225</v>
      </c>
      <c r="IF42">
        <v>0</v>
      </c>
      <c r="IH42" t="s">
        <v>549</v>
      </c>
      <c r="IO42">
        <v>3</v>
      </c>
      <c r="IP42">
        <v>18</v>
      </c>
      <c r="IQ42">
        <v>0</v>
      </c>
      <c r="IR42">
        <v>1</v>
      </c>
      <c r="IV42">
        <v>1381</v>
      </c>
      <c r="IW42">
        <v>470</v>
      </c>
      <c r="JA42">
        <v>1</v>
      </c>
      <c r="JB42">
        <v>0</v>
      </c>
      <c r="JC42">
        <v>2</v>
      </c>
      <c r="JD42">
        <v>1393</v>
      </c>
      <c r="JE42">
        <v>1391</v>
      </c>
      <c r="JF42">
        <v>1399</v>
      </c>
      <c r="JG42">
        <v>1381</v>
      </c>
      <c r="JH42">
        <v>0</v>
      </c>
      <c r="JJ42">
        <v>180</v>
      </c>
      <c r="JK42">
        <v>500</v>
      </c>
      <c r="JN42">
        <v>450</v>
      </c>
      <c r="JO42">
        <v>645</v>
      </c>
      <c r="JP42">
        <v>525</v>
      </c>
      <c r="JQ42">
        <v>0</v>
      </c>
      <c r="JR42">
        <v>426</v>
      </c>
      <c r="JS42">
        <v>190</v>
      </c>
      <c r="JV42">
        <v>8</v>
      </c>
      <c r="JW42" t="s">
        <v>550</v>
      </c>
      <c r="JX42">
        <v>0</v>
      </c>
      <c r="KA42">
        <v>225</v>
      </c>
      <c r="KB42">
        <v>110</v>
      </c>
      <c r="KC42">
        <v>0</v>
      </c>
      <c r="KD42">
        <v>80</v>
      </c>
      <c r="KF42">
        <v>4</v>
      </c>
      <c r="KG42">
        <v>2</v>
      </c>
      <c r="KH42">
        <v>2</v>
      </c>
      <c r="KI42">
        <v>2</v>
      </c>
      <c r="KJ42">
        <v>0</v>
      </c>
      <c r="KK42">
        <v>1.5</v>
      </c>
      <c r="KL42">
        <v>1.5</v>
      </c>
      <c r="KM42">
        <v>0</v>
      </c>
      <c r="KN42">
        <v>0</v>
      </c>
      <c r="KO42">
        <v>0</v>
      </c>
      <c r="KR42">
        <v>50</v>
      </c>
      <c r="KS42">
        <v>60</v>
      </c>
      <c r="KT42">
        <v>0</v>
      </c>
      <c r="LK42">
        <v>480</v>
      </c>
      <c r="PG42">
        <v>1</v>
      </c>
      <c r="PI42" t="s">
        <v>1191</v>
      </c>
      <c r="PJ42" t="s">
        <v>1192</v>
      </c>
      <c r="PK42" t="s">
        <v>1193</v>
      </c>
      <c r="PL42" t="s">
        <v>1048</v>
      </c>
      <c r="PP42" t="s">
        <v>1194</v>
      </c>
      <c r="PX42">
        <v>56</v>
      </c>
      <c r="PY42">
        <v>56</v>
      </c>
      <c r="PZ42" t="s">
        <v>1191</v>
      </c>
      <c r="QA42">
        <v>2</v>
      </c>
      <c r="QB42">
        <v>1381</v>
      </c>
      <c r="QC42">
        <v>69</v>
      </c>
      <c r="QD42">
        <v>69</v>
      </c>
      <c r="QE42" t="s">
        <v>1048</v>
      </c>
      <c r="QF42">
        <v>1</v>
      </c>
      <c r="QG42">
        <v>1393</v>
      </c>
      <c r="QH42">
        <v>66</v>
      </c>
      <c r="QI42">
        <v>66</v>
      </c>
      <c r="QL42">
        <v>0</v>
      </c>
      <c r="QM42">
        <v>62</v>
      </c>
      <c r="QN42">
        <v>62</v>
      </c>
      <c r="QO42" t="s">
        <v>1192</v>
      </c>
      <c r="QP42">
        <v>1</v>
      </c>
      <c r="QQ42">
        <v>1391</v>
      </c>
      <c r="QR42">
        <v>62</v>
      </c>
      <c r="QS42">
        <v>62</v>
      </c>
      <c r="QT42" t="s">
        <v>1193</v>
      </c>
      <c r="QU42">
        <v>1</v>
      </c>
      <c r="QV42">
        <v>1399</v>
      </c>
      <c r="QW42">
        <v>82</v>
      </c>
      <c r="QX42">
        <v>89</v>
      </c>
      <c r="QY42" t="s">
        <v>1194</v>
      </c>
      <c r="QZ42">
        <v>1</v>
      </c>
      <c r="RA42">
        <v>66</v>
      </c>
      <c r="RB42">
        <v>66</v>
      </c>
      <c r="RE42">
        <v>0</v>
      </c>
      <c r="RF42">
        <v>1</v>
      </c>
      <c r="RH42">
        <v>1</v>
      </c>
      <c r="RJ42">
        <v>1</v>
      </c>
      <c r="RL42">
        <v>1</v>
      </c>
      <c r="RM42">
        <v>1</v>
      </c>
      <c r="RO42">
        <v>637</v>
      </c>
      <c r="RQ42">
        <v>989</v>
      </c>
      <c r="RR42">
        <v>861</v>
      </c>
      <c r="RT42">
        <v>346</v>
      </c>
      <c r="RU42">
        <v>311</v>
      </c>
      <c r="RV42" t="s">
        <v>1197</v>
      </c>
      <c r="RW42" t="s">
        <v>679</v>
      </c>
      <c r="RX42">
        <v>15</v>
      </c>
      <c r="RY42">
        <v>4</v>
      </c>
      <c r="RZ42" t="s">
        <v>679</v>
      </c>
      <c r="SA42">
        <v>15</v>
      </c>
      <c r="SC42" t="s">
        <v>1192</v>
      </c>
      <c r="SD42">
        <v>1</v>
      </c>
      <c r="SF42" t="s">
        <v>1193</v>
      </c>
      <c r="SG42">
        <v>1</v>
      </c>
      <c r="SH42">
        <v>0.995</v>
      </c>
      <c r="SI42">
        <v>0.995</v>
      </c>
      <c r="SJ42">
        <v>0.995</v>
      </c>
      <c r="SK42">
        <v>15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Z42">
        <v>1</v>
      </c>
      <c r="TB42">
        <v>0</v>
      </c>
      <c r="TC42">
        <v>0</v>
      </c>
      <c r="TD42">
        <v>7.5</v>
      </c>
      <c r="TE42" t="s">
        <v>553</v>
      </c>
      <c r="TF42" t="s">
        <v>681</v>
      </c>
      <c r="TG42" t="s">
        <v>555</v>
      </c>
      <c r="TI42" t="s">
        <v>546</v>
      </c>
      <c r="TJ42" t="s">
        <v>547</v>
      </c>
      <c r="TL42" t="s">
        <v>556</v>
      </c>
      <c r="TM42" t="s">
        <v>513</v>
      </c>
      <c r="TN42">
        <v>0</v>
      </c>
      <c r="TO42" t="s">
        <v>557</v>
      </c>
    </row>
    <row r="43" spans="1:535">
      <c r="A43" t="s">
        <v>1198</v>
      </c>
      <c r="B43" t="s">
        <v>559</v>
      </c>
      <c r="C43" t="s">
        <v>509</v>
      </c>
      <c r="D43" t="s">
        <v>1199</v>
      </c>
      <c r="G43" t="s">
        <v>627</v>
      </c>
      <c r="H43" t="s">
        <v>605</v>
      </c>
      <c r="I43" t="s">
        <v>628</v>
      </c>
      <c r="J43" t="s">
        <v>606</v>
      </c>
      <c r="L43" t="s">
        <v>512</v>
      </c>
      <c r="M43" t="s">
        <v>564</v>
      </c>
      <c r="N43" t="s">
        <v>513</v>
      </c>
      <c r="O43" t="s">
        <v>607</v>
      </c>
      <c r="Q43" t="s">
        <v>1200</v>
      </c>
      <c r="R43" t="s">
        <v>567</v>
      </c>
      <c r="S43" t="s">
        <v>1201</v>
      </c>
      <c r="T43" t="s">
        <v>807</v>
      </c>
      <c r="U43" t="s">
        <v>633</v>
      </c>
      <c r="V43" t="s">
        <v>634</v>
      </c>
      <c r="W43" t="s">
        <v>1202</v>
      </c>
      <c r="X43" t="s">
        <v>573</v>
      </c>
      <c r="Y43" t="s">
        <v>524</v>
      </c>
      <c r="Z43" t="s">
        <v>1203</v>
      </c>
      <c r="AA43" t="s">
        <v>1204</v>
      </c>
      <c r="AB43" t="s">
        <v>1205</v>
      </c>
      <c r="AC43">
        <v>2</v>
      </c>
      <c r="AD43">
        <v>56</v>
      </c>
      <c r="AE43">
        <v>195</v>
      </c>
      <c r="AF43">
        <v>1.5</v>
      </c>
      <c r="AH43">
        <v>0</v>
      </c>
      <c r="AI43" t="s">
        <v>812</v>
      </c>
      <c r="AJ43">
        <v>205</v>
      </c>
      <c r="AK43">
        <v>1</v>
      </c>
      <c r="AL43">
        <v>1.5</v>
      </c>
      <c r="AM43" t="s">
        <v>529</v>
      </c>
      <c r="AO43">
        <v>0</v>
      </c>
      <c r="AR43">
        <v>0</v>
      </c>
      <c r="AS43">
        <v>1.5</v>
      </c>
      <c r="AU43" t="s">
        <v>1206</v>
      </c>
      <c r="AW43" t="s">
        <v>1206</v>
      </c>
      <c r="AX43">
        <v>1</v>
      </c>
      <c r="AY43">
        <v>295</v>
      </c>
      <c r="AZ43">
        <v>1.5</v>
      </c>
      <c r="BA43" t="s">
        <v>529</v>
      </c>
      <c r="BB43" t="s">
        <v>1207</v>
      </c>
      <c r="BD43" t="s">
        <v>1207</v>
      </c>
      <c r="BE43">
        <v>1</v>
      </c>
      <c r="BF43">
        <v>240</v>
      </c>
      <c r="BG43">
        <v>1.5</v>
      </c>
      <c r="BJ43">
        <v>0</v>
      </c>
      <c r="BN43">
        <v>1.5</v>
      </c>
      <c r="BP43" t="s">
        <v>982</v>
      </c>
      <c r="BQ43">
        <v>89</v>
      </c>
      <c r="BR43">
        <v>2</v>
      </c>
      <c r="BS43" t="s">
        <v>983</v>
      </c>
      <c r="BT43">
        <v>217</v>
      </c>
      <c r="BU43">
        <v>0.5</v>
      </c>
      <c r="BV43" t="s">
        <v>983</v>
      </c>
      <c r="BW43">
        <v>434</v>
      </c>
      <c r="BX43">
        <v>1</v>
      </c>
      <c r="BY43" t="s">
        <v>643</v>
      </c>
      <c r="BZ43">
        <v>300</v>
      </c>
      <c r="CA43">
        <v>500</v>
      </c>
      <c r="CB43" t="s">
        <v>644</v>
      </c>
      <c r="CC43" t="s">
        <v>644</v>
      </c>
      <c r="CD43">
        <v>455</v>
      </c>
      <c r="CE43" t="s">
        <v>544</v>
      </c>
      <c r="CF43">
        <v>15</v>
      </c>
      <c r="CG43" t="s">
        <v>1183</v>
      </c>
      <c r="CH43" t="s">
        <v>1183</v>
      </c>
      <c r="CI43">
        <v>100</v>
      </c>
      <c r="CJ43">
        <v>1301</v>
      </c>
      <c r="CK43">
        <v>2</v>
      </c>
      <c r="CL43">
        <v>1395</v>
      </c>
      <c r="CM43">
        <v>2</v>
      </c>
      <c r="CN43" t="s">
        <v>646</v>
      </c>
      <c r="CO43" t="s">
        <v>647</v>
      </c>
      <c r="CP43" t="s">
        <v>648</v>
      </c>
      <c r="CQ43" t="s">
        <v>621</v>
      </c>
      <c r="CR43" t="s">
        <v>541</v>
      </c>
      <c r="CS43" t="s">
        <v>542</v>
      </c>
      <c r="CT43">
        <v>410</v>
      </c>
      <c r="CU43">
        <v>5</v>
      </c>
      <c r="CV43">
        <v>1.2</v>
      </c>
      <c r="CW43">
        <v>1314</v>
      </c>
      <c r="CX43">
        <v>763</v>
      </c>
      <c r="DD43">
        <v>0</v>
      </c>
      <c r="DE43" t="s">
        <v>622</v>
      </c>
      <c r="DF43">
        <v>590</v>
      </c>
      <c r="DG43">
        <v>3</v>
      </c>
      <c r="DH43">
        <v>0.88</v>
      </c>
      <c r="DI43">
        <v>1311</v>
      </c>
      <c r="DJ43">
        <v>895</v>
      </c>
      <c r="DK43" t="s">
        <v>622</v>
      </c>
      <c r="DL43">
        <v>480</v>
      </c>
      <c r="DM43">
        <v>3</v>
      </c>
      <c r="DN43">
        <v>0.88</v>
      </c>
      <c r="DO43">
        <v>1316</v>
      </c>
      <c r="DP43">
        <v>733</v>
      </c>
      <c r="DW43" t="s">
        <v>544</v>
      </c>
      <c r="DX43">
        <v>7.5</v>
      </c>
      <c r="EA43">
        <v>1384.6</v>
      </c>
      <c r="EB43">
        <v>245</v>
      </c>
      <c r="EC43" t="s">
        <v>545</v>
      </c>
      <c r="ED43">
        <v>45</v>
      </c>
      <c r="EE43">
        <v>3</v>
      </c>
      <c r="EG43">
        <v>1425</v>
      </c>
      <c r="EH43">
        <v>261</v>
      </c>
      <c r="EJ43">
        <v>0</v>
      </c>
      <c r="EK43">
        <v>1</v>
      </c>
      <c r="EN43">
        <v>0</v>
      </c>
      <c r="EP43" t="s">
        <v>546</v>
      </c>
      <c r="EQ43">
        <v>125</v>
      </c>
      <c r="ER43">
        <v>3</v>
      </c>
      <c r="ES43">
        <v>6</v>
      </c>
      <c r="ET43">
        <v>1301</v>
      </c>
      <c r="EU43">
        <v>581.6</v>
      </c>
      <c r="EV43">
        <v>757</v>
      </c>
      <c r="EW43" t="s">
        <v>547</v>
      </c>
      <c r="EX43">
        <v>70</v>
      </c>
      <c r="EY43">
        <v>2</v>
      </c>
      <c r="EZ43">
        <v>4.5</v>
      </c>
      <c r="FA43">
        <v>1301</v>
      </c>
      <c r="FB43">
        <v>219.6</v>
      </c>
      <c r="FC43">
        <v>286</v>
      </c>
      <c r="FE43">
        <v>0</v>
      </c>
      <c r="FF43">
        <v>2</v>
      </c>
      <c r="FI43">
        <v>0</v>
      </c>
      <c r="FK43" t="s">
        <v>548</v>
      </c>
      <c r="FL43">
        <v>0.4</v>
      </c>
      <c r="FM43">
        <v>115</v>
      </c>
      <c r="FN43">
        <v>130</v>
      </c>
      <c r="GR43" t="s">
        <v>548</v>
      </c>
      <c r="GS43">
        <v>0.4</v>
      </c>
      <c r="GT43">
        <v>95</v>
      </c>
      <c r="GU43">
        <v>270</v>
      </c>
      <c r="HC43">
        <v>0.1</v>
      </c>
      <c r="HD43">
        <v>3</v>
      </c>
      <c r="HE43">
        <v>3</v>
      </c>
      <c r="HF43">
        <v>3</v>
      </c>
      <c r="HG43">
        <v>3</v>
      </c>
      <c r="HH43">
        <v>3</v>
      </c>
      <c r="HI43">
        <v>180</v>
      </c>
      <c r="HJ43">
        <v>3</v>
      </c>
      <c r="HK43">
        <v>55</v>
      </c>
      <c r="HL43">
        <v>2</v>
      </c>
      <c r="HM43">
        <v>0</v>
      </c>
      <c r="HN43">
        <v>2</v>
      </c>
      <c r="HO43">
        <v>110</v>
      </c>
      <c r="HP43">
        <v>3</v>
      </c>
      <c r="HQ43">
        <v>0</v>
      </c>
      <c r="HR43">
        <v>2</v>
      </c>
      <c r="HS43">
        <v>5489</v>
      </c>
      <c r="HT43">
        <v>160</v>
      </c>
      <c r="HU43">
        <v>180</v>
      </c>
      <c r="HW43">
        <v>0</v>
      </c>
      <c r="HX43">
        <v>455</v>
      </c>
      <c r="HY43">
        <v>0.18</v>
      </c>
      <c r="IA43">
        <v>0.15</v>
      </c>
      <c r="IB43">
        <v>0</v>
      </c>
      <c r="IC43">
        <v>180</v>
      </c>
      <c r="ID43">
        <v>110</v>
      </c>
      <c r="IE43">
        <v>225</v>
      </c>
      <c r="IF43">
        <v>0</v>
      </c>
      <c r="IH43" t="s">
        <v>549</v>
      </c>
      <c r="IO43">
        <v>3</v>
      </c>
      <c r="IP43">
        <v>17</v>
      </c>
      <c r="IQ43">
        <v>0</v>
      </c>
      <c r="IR43">
        <v>1</v>
      </c>
      <c r="IV43">
        <v>1301</v>
      </c>
      <c r="IW43">
        <v>434</v>
      </c>
      <c r="JA43">
        <v>1</v>
      </c>
      <c r="JB43">
        <v>0</v>
      </c>
      <c r="JC43">
        <v>2</v>
      </c>
      <c r="JD43">
        <v>1314</v>
      </c>
      <c r="JE43">
        <v>1311</v>
      </c>
      <c r="JF43">
        <v>1316</v>
      </c>
      <c r="JG43">
        <v>1301</v>
      </c>
      <c r="JH43">
        <v>0</v>
      </c>
      <c r="JJ43">
        <v>180</v>
      </c>
      <c r="JK43">
        <v>455</v>
      </c>
      <c r="JN43">
        <v>410</v>
      </c>
      <c r="JO43">
        <v>590</v>
      </c>
      <c r="JP43">
        <v>480</v>
      </c>
      <c r="JQ43">
        <v>0</v>
      </c>
      <c r="JR43">
        <v>390</v>
      </c>
      <c r="JS43">
        <v>180</v>
      </c>
      <c r="JV43">
        <v>8</v>
      </c>
      <c r="JW43" t="s">
        <v>550</v>
      </c>
      <c r="JX43">
        <v>0</v>
      </c>
      <c r="KA43">
        <v>225</v>
      </c>
      <c r="KB43">
        <v>110</v>
      </c>
      <c r="KC43">
        <v>0</v>
      </c>
      <c r="KD43">
        <v>80</v>
      </c>
      <c r="KF43">
        <v>4</v>
      </c>
      <c r="KG43">
        <v>4</v>
      </c>
      <c r="KH43">
        <v>2</v>
      </c>
      <c r="KI43">
        <v>2</v>
      </c>
      <c r="KJ43">
        <v>0</v>
      </c>
      <c r="KK43">
        <v>1.5</v>
      </c>
      <c r="KL43">
        <v>1.5</v>
      </c>
      <c r="KM43">
        <v>0</v>
      </c>
      <c r="KN43">
        <v>0</v>
      </c>
      <c r="KO43">
        <v>0</v>
      </c>
      <c r="KR43">
        <v>30</v>
      </c>
      <c r="KS43">
        <v>60</v>
      </c>
      <c r="KT43">
        <v>0</v>
      </c>
      <c r="LK43">
        <v>480</v>
      </c>
      <c r="PG43">
        <v>1</v>
      </c>
      <c r="PI43" t="s">
        <v>1205</v>
      </c>
      <c r="PJ43" t="s">
        <v>1206</v>
      </c>
      <c r="PK43" t="s">
        <v>1207</v>
      </c>
      <c r="PL43" t="s">
        <v>812</v>
      </c>
      <c r="PP43" t="s">
        <v>982</v>
      </c>
      <c r="PX43">
        <v>56</v>
      </c>
      <c r="PY43">
        <v>56</v>
      </c>
      <c r="PZ43" t="s">
        <v>1205</v>
      </c>
      <c r="QA43">
        <v>2</v>
      </c>
      <c r="QB43">
        <v>1301</v>
      </c>
      <c r="QC43">
        <v>69</v>
      </c>
      <c r="QD43">
        <v>69</v>
      </c>
      <c r="QE43" t="s">
        <v>812</v>
      </c>
      <c r="QF43">
        <v>1</v>
      </c>
      <c r="QG43">
        <v>1314</v>
      </c>
      <c r="QH43">
        <v>66</v>
      </c>
      <c r="QI43">
        <v>66</v>
      </c>
      <c r="QL43">
        <v>0</v>
      </c>
      <c r="QM43">
        <v>62</v>
      </c>
      <c r="QN43">
        <v>62</v>
      </c>
      <c r="QO43" t="s">
        <v>1206</v>
      </c>
      <c r="QP43">
        <v>1</v>
      </c>
      <c r="QQ43">
        <v>1311</v>
      </c>
      <c r="QR43">
        <v>62</v>
      </c>
      <c r="QS43">
        <v>62</v>
      </c>
      <c r="QT43" t="s">
        <v>1207</v>
      </c>
      <c r="QU43">
        <v>1</v>
      </c>
      <c r="QV43">
        <v>1316</v>
      </c>
      <c r="QW43">
        <v>82</v>
      </c>
      <c r="QX43">
        <v>89</v>
      </c>
      <c r="QY43" t="s">
        <v>982</v>
      </c>
      <c r="QZ43">
        <v>1</v>
      </c>
      <c r="RA43">
        <v>66</v>
      </c>
      <c r="RB43">
        <v>66</v>
      </c>
      <c r="RE43">
        <v>0</v>
      </c>
      <c r="RF43">
        <v>1</v>
      </c>
      <c r="RH43">
        <v>1</v>
      </c>
      <c r="RJ43">
        <v>1</v>
      </c>
      <c r="RL43">
        <v>4</v>
      </c>
      <c r="RM43">
        <v>4</v>
      </c>
      <c r="RO43">
        <v>581</v>
      </c>
      <c r="RQ43">
        <v>683</v>
      </c>
      <c r="RR43">
        <v>557</v>
      </c>
      <c r="RT43">
        <v>245</v>
      </c>
      <c r="RU43">
        <v>261</v>
      </c>
      <c r="RV43" t="s">
        <v>984</v>
      </c>
      <c r="RW43" t="s">
        <v>653</v>
      </c>
      <c r="RX43">
        <v>15</v>
      </c>
      <c r="RY43">
        <v>4</v>
      </c>
      <c r="RZ43" t="s">
        <v>653</v>
      </c>
      <c r="SA43">
        <v>15</v>
      </c>
      <c r="SC43" t="s">
        <v>1206</v>
      </c>
      <c r="SD43">
        <v>1</v>
      </c>
      <c r="SF43" t="s">
        <v>1207</v>
      </c>
      <c r="SG43">
        <v>1</v>
      </c>
      <c r="SH43">
        <v>0.995</v>
      </c>
      <c r="SI43">
        <v>0.995</v>
      </c>
      <c r="SJ43">
        <v>0.995</v>
      </c>
      <c r="SK43">
        <v>15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Z43">
        <v>1</v>
      </c>
      <c r="TB43">
        <v>0</v>
      </c>
      <c r="TC43">
        <v>0</v>
      </c>
      <c r="TD43">
        <v>7.5</v>
      </c>
      <c r="TE43" t="s">
        <v>553</v>
      </c>
      <c r="TF43" t="s">
        <v>624</v>
      </c>
      <c r="TG43" t="s">
        <v>555</v>
      </c>
      <c r="TI43" t="s">
        <v>546</v>
      </c>
      <c r="TJ43" t="s">
        <v>547</v>
      </c>
      <c r="TL43" t="s">
        <v>556</v>
      </c>
      <c r="TM43" t="s">
        <v>513</v>
      </c>
      <c r="TN43">
        <v>0</v>
      </c>
      <c r="TO43" t="s">
        <v>557</v>
      </c>
    </row>
    <row r="44" spans="1:535">
      <c r="A44" t="s">
        <v>1208</v>
      </c>
      <c r="B44" t="s">
        <v>629</v>
      </c>
      <c r="C44" t="s">
        <v>509</v>
      </c>
      <c r="D44" t="s">
        <v>1209</v>
      </c>
      <c r="G44" t="s">
        <v>627</v>
      </c>
      <c r="H44" t="s">
        <v>604</v>
      </c>
      <c r="I44" t="s">
        <v>628</v>
      </c>
      <c r="J44" t="s">
        <v>606</v>
      </c>
      <c r="L44" t="s">
        <v>512</v>
      </c>
      <c r="M44" t="s">
        <v>711</v>
      </c>
      <c r="N44" t="s">
        <v>513</v>
      </c>
      <c r="O44" t="s">
        <v>565</v>
      </c>
      <c r="Q44" t="s">
        <v>1210</v>
      </c>
      <c r="R44" t="s">
        <v>567</v>
      </c>
      <c r="S44" t="s">
        <v>1211</v>
      </c>
      <c r="T44" t="s">
        <v>965</v>
      </c>
      <c r="U44" t="s">
        <v>662</v>
      </c>
      <c r="V44" t="s">
        <v>663</v>
      </c>
      <c r="W44" t="s">
        <v>1212</v>
      </c>
      <c r="X44" t="s">
        <v>573</v>
      </c>
      <c r="Y44" t="s">
        <v>524</v>
      </c>
      <c r="Z44" t="s">
        <v>1213</v>
      </c>
      <c r="AA44" t="s">
        <v>1214</v>
      </c>
      <c r="AB44" t="s">
        <v>1215</v>
      </c>
      <c r="AC44">
        <v>2</v>
      </c>
      <c r="AD44">
        <v>56</v>
      </c>
      <c r="AE44">
        <v>191</v>
      </c>
      <c r="AF44">
        <v>1.5</v>
      </c>
      <c r="AH44">
        <v>0</v>
      </c>
      <c r="AI44" t="s">
        <v>692</v>
      </c>
      <c r="AJ44">
        <v>202.5</v>
      </c>
      <c r="AK44">
        <v>1</v>
      </c>
      <c r="AL44">
        <v>1.5</v>
      </c>
      <c r="AM44" t="s">
        <v>529</v>
      </c>
      <c r="AO44">
        <v>0</v>
      </c>
      <c r="AR44">
        <v>0</v>
      </c>
      <c r="AS44">
        <v>1.5</v>
      </c>
      <c r="AU44" t="s">
        <v>1216</v>
      </c>
      <c r="AW44" t="s">
        <v>1216</v>
      </c>
      <c r="AX44">
        <v>1</v>
      </c>
      <c r="AY44">
        <v>280</v>
      </c>
      <c r="AZ44">
        <v>1.5</v>
      </c>
      <c r="BA44" t="s">
        <v>529</v>
      </c>
      <c r="BB44" t="s">
        <v>1217</v>
      </c>
      <c r="BD44" t="s">
        <v>1217</v>
      </c>
      <c r="BE44">
        <v>1</v>
      </c>
      <c r="BF44">
        <v>237.5</v>
      </c>
      <c r="BG44">
        <v>1.5</v>
      </c>
      <c r="BJ44">
        <v>0</v>
      </c>
      <c r="BN44">
        <v>1.5</v>
      </c>
      <c r="BP44" t="s">
        <v>1218</v>
      </c>
      <c r="BQ44">
        <v>89</v>
      </c>
      <c r="BR44">
        <v>2</v>
      </c>
      <c r="BS44" t="s">
        <v>844</v>
      </c>
      <c r="BT44">
        <v>213</v>
      </c>
      <c r="BU44">
        <v>0.5</v>
      </c>
      <c r="BV44" t="s">
        <v>844</v>
      </c>
      <c r="BW44">
        <v>426</v>
      </c>
      <c r="BX44">
        <v>1</v>
      </c>
      <c r="BY44" t="s">
        <v>643</v>
      </c>
      <c r="BZ44">
        <v>290</v>
      </c>
      <c r="CA44">
        <v>490</v>
      </c>
      <c r="CB44" t="s">
        <v>672</v>
      </c>
      <c r="CC44" t="s">
        <v>672</v>
      </c>
      <c r="CD44">
        <v>440</v>
      </c>
      <c r="CE44" t="s">
        <v>673</v>
      </c>
      <c r="CF44">
        <v>15</v>
      </c>
      <c r="CG44" t="s">
        <v>674</v>
      </c>
      <c r="CH44" t="s">
        <v>674</v>
      </c>
      <c r="CI44">
        <v>100</v>
      </c>
      <c r="CJ44">
        <v>1381</v>
      </c>
      <c r="CK44">
        <v>2</v>
      </c>
      <c r="CL44">
        <v>1475</v>
      </c>
      <c r="CM44">
        <v>2</v>
      </c>
      <c r="CN44" t="s">
        <v>675</v>
      </c>
      <c r="CO44" t="s">
        <v>676</v>
      </c>
      <c r="CP44" t="s">
        <v>595</v>
      </c>
      <c r="CQ44" t="s">
        <v>621</v>
      </c>
      <c r="CR44" t="s">
        <v>541</v>
      </c>
      <c r="CS44" t="s">
        <v>542</v>
      </c>
      <c r="CT44">
        <v>405</v>
      </c>
      <c r="CU44">
        <v>5</v>
      </c>
      <c r="CV44">
        <v>1.2</v>
      </c>
      <c r="CW44">
        <v>1393</v>
      </c>
      <c r="CX44">
        <v>798</v>
      </c>
      <c r="DD44">
        <v>0</v>
      </c>
      <c r="DE44" t="s">
        <v>622</v>
      </c>
      <c r="DF44">
        <v>560</v>
      </c>
      <c r="DG44">
        <v>3</v>
      </c>
      <c r="DH44">
        <v>0.88</v>
      </c>
      <c r="DI44">
        <v>1390</v>
      </c>
      <c r="DJ44">
        <v>890</v>
      </c>
      <c r="DK44" t="s">
        <v>622</v>
      </c>
      <c r="DL44">
        <v>475</v>
      </c>
      <c r="DM44">
        <v>3</v>
      </c>
      <c r="DN44">
        <v>0.88</v>
      </c>
      <c r="DO44">
        <v>1396</v>
      </c>
      <c r="DP44">
        <v>752</v>
      </c>
      <c r="DW44" t="s">
        <v>544</v>
      </c>
      <c r="DX44">
        <v>7.5</v>
      </c>
      <c r="EA44">
        <v>1464.3</v>
      </c>
      <c r="EB44">
        <v>276</v>
      </c>
      <c r="EC44" t="s">
        <v>545</v>
      </c>
      <c r="ED44">
        <v>35</v>
      </c>
      <c r="EE44">
        <v>3</v>
      </c>
      <c r="EG44">
        <v>1505</v>
      </c>
      <c r="EH44">
        <v>209</v>
      </c>
      <c r="EJ44">
        <v>0</v>
      </c>
      <c r="EK44">
        <v>1</v>
      </c>
      <c r="EN44">
        <v>0</v>
      </c>
      <c r="EP44" t="s">
        <v>546</v>
      </c>
      <c r="EQ44">
        <v>100</v>
      </c>
      <c r="ER44">
        <v>3</v>
      </c>
      <c r="ES44">
        <v>5</v>
      </c>
      <c r="ET44">
        <v>1375</v>
      </c>
      <c r="EU44">
        <v>406.3</v>
      </c>
      <c r="EV44">
        <v>559</v>
      </c>
      <c r="EW44" t="s">
        <v>547</v>
      </c>
      <c r="EX44">
        <v>70</v>
      </c>
      <c r="EY44">
        <v>2</v>
      </c>
      <c r="EZ44">
        <v>4.5</v>
      </c>
      <c r="FA44">
        <v>1375</v>
      </c>
      <c r="FB44">
        <v>232.9</v>
      </c>
      <c r="FC44">
        <v>320</v>
      </c>
      <c r="FE44">
        <v>0</v>
      </c>
      <c r="FF44">
        <v>2</v>
      </c>
      <c r="FI44">
        <v>0</v>
      </c>
      <c r="FK44" t="s">
        <v>548</v>
      </c>
      <c r="FL44">
        <v>0.4</v>
      </c>
      <c r="FM44">
        <v>100</v>
      </c>
      <c r="FN44">
        <v>150</v>
      </c>
      <c r="GR44" t="s">
        <v>548</v>
      </c>
      <c r="GS44">
        <v>0.4</v>
      </c>
      <c r="GT44">
        <v>80</v>
      </c>
      <c r="GU44">
        <v>280</v>
      </c>
      <c r="HC44">
        <v>0.1</v>
      </c>
      <c r="HD44">
        <v>3</v>
      </c>
      <c r="HE44">
        <v>3</v>
      </c>
      <c r="HF44">
        <v>3</v>
      </c>
      <c r="HG44">
        <v>3</v>
      </c>
      <c r="HH44">
        <v>3</v>
      </c>
      <c r="HI44">
        <v>155</v>
      </c>
      <c r="HJ44">
        <v>3</v>
      </c>
      <c r="HK44">
        <v>55</v>
      </c>
      <c r="HL44">
        <v>2</v>
      </c>
      <c r="HM44">
        <v>0</v>
      </c>
      <c r="HN44">
        <v>2</v>
      </c>
      <c r="HO44">
        <v>85</v>
      </c>
      <c r="HP44">
        <v>3</v>
      </c>
      <c r="HQ44">
        <v>0</v>
      </c>
      <c r="HR44">
        <v>2</v>
      </c>
      <c r="HS44">
        <v>5168</v>
      </c>
      <c r="HT44">
        <v>160</v>
      </c>
      <c r="HU44">
        <v>180</v>
      </c>
      <c r="HW44">
        <v>0</v>
      </c>
      <c r="HX44">
        <v>435</v>
      </c>
      <c r="HY44">
        <v>0.18</v>
      </c>
      <c r="IA44">
        <v>0.15</v>
      </c>
      <c r="IB44">
        <v>0</v>
      </c>
      <c r="IC44">
        <v>180</v>
      </c>
      <c r="ID44">
        <v>110</v>
      </c>
      <c r="IE44">
        <v>225</v>
      </c>
      <c r="IF44">
        <v>0</v>
      </c>
      <c r="IH44" t="s">
        <v>549</v>
      </c>
      <c r="IO44">
        <v>3</v>
      </c>
      <c r="IP44">
        <v>18</v>
      </c>
      <c r="IQ44">
        <v>0</v>
      </c>
      <c r="IR44">
        <v>1</v>
      </c>
      <c r="IV44">
        <v>1381</v>
      </c>
      <c r="IW44">
        <v>426</v>
      </c>
      <c r="JA44">
        <v>1</v>
      </c>
      <c r="JB44">
        <v>0</v>
      </c>
      <c r="JC44">
        <v>2</v>
      </c>
      <c r="JD44">
        <v>1393</v>
      </c>
      <c r="JE44">
        <v>1390</v>
      </c>
      <c r="JF44">
        <v>1396</v>
      </c>
      <c r="JG44">
        <v>1375</v>
      </c>
      <c r="JH44">
        <v>0</v>
      </c>
      <c r="JJ44">
        <v>180</v>
      </c>
      <c r="JK44">
        <v>435</v>
      </c>
      <c r="JN44">
        <v>405</v>
      </c>
      <c r="JO44">
        <v>560</v>
      </c>
      <c r="JP44">
        <v>475</v>
      </c>
      <c r="JQ44">
        <v>0</v>
      </c>
      <c r="JR44">
        <v>382</v>
      </c>
      <c r="JS44">
        <v>155</v>
      </c>
      <c r="JV44">
        <v>8</v>
      </c>
      <c r="JW44" t="s">
        <v>550</v>
      </c>
      <c r="JX44">
        <v>0</v>
      </c>
      <c r="KA44">
        <v>225</v>
      </c>
      <c r="KB44">
        <v>110</v>
      </c>
      <c r="KC44">
        <v>0</v>
      </c>
      <c r="KD44">
        <v>80</v>
      </c>
      <c r="KF44">
        <v>4</v>
      </c>
      <c r="KG44">
        <v>2</v>
      </c>
      <c r="KH44">
        <v>2</v>
      </c>
      <c r="KI44">
        <v>2</v>
      </c>
      <c r="KJ44">
        <v>0</v>
      </c>
      <c r="KK44">
        <v>1.5</v>
      </c>
      <c r="KL44">
        <v>1.5</v>
      </c>
      <c r="KM44">
        <v>0</v>
      </c>
      <c r="KN44">
        <v>0</v>
      </c>
      <c r="KO44">
        <v>0</v>
      </c>
      <c r="KR44">
        <v>30</v>
      </c>
      <c r="KS44">
        <v>60</v>
      </c>
      <c r="KT44">
        <v>0</v>
      </c>
      <c r="LK44">
        <v>480</v>
      </c>
      <c r="PG44">
        <v>1</v>
      </c>
      <c r="PI44" t="s">
        <v>1215</v>
      </c>
      <c r="PJ44" t="s">
        <v>1216</v>
      </c>
      <c r="PK44" t="s">
        <v>1217</v>
      </c>
      <c r="PL44" t="s">
        <v>692</v>
      </c>
      <c r="PP44" t="s">
        <v>1218</v>
      </c>
      <c r="PX44">
        <v>56</v>
      </c>
      <c r="PY44">
        <v>56</v>
      </c>
      <c r="PZ44" t="s">
        <v>1215</v>
      </c>
      <c r="QA44">
        <v>1</v>
      </c>
      <c r="QB44">
        <v>1375</v>
      </c>
      <c r="QC44">
        <v>69</v>
      </c>
      <c r="QD44">
        <v>69</v>
      </c>
      <c r="QE44" t="s">
        <v>692</v>
      </c>
      <c r="QF44">
        <v>1</v>
      </c>
      <c r="QG44">
        <v>1393</v>
      </c>
      <c r="QH44">
        <v>66</v>
      </c>
      <c r="QI44">
        <v>66</v>
      </c>
      <c r="QL44">
        <v>0</v>
      </c>
      <c r="QM44">
        <v>62</v>
      </c>
      <c r="QN44">
        <v>62</v>
      </c>
      <c r="QO44" t="s">
        <v>1216</v>
      </c>
      <c r="QP44">
        <v>1</v>
      </c>
      <c r="QQ44">
        <v>1390</v>
      </c>
      <c r="QR44">
        <v>62</v>
      </c>
      <c r="QS44">
        <v>62</v>
      </c>
      <c r="QT44" t="s">
        <v>1217</v>
      </c>
      <c r="QU44">
        <v>1</v>
      </c>
      <c r="QV44">
        <v>1396</v>
      </c>
      <c r="QW44">
        <v>82</v>
      </c>
      <c r="QX44">
        <v>89</v>
      </c>
      <c r="QY44" t="s">
        <v>1218</v>
      </c>
      <c r="QZ44">
        <v>1</v>
      </c>
      <c r="RA44">
        <v>66</v>
      </c>
      <c r="RB44">
        <v>66</v>
      </c>
      <c r="RE44">
        <v>0</v>
      </c>
      <c r="RF44">
        <v>1</v>
      </c>
      <c r="RH44">
        <v>1</v>
      </c>
      <c r="RJ44">
        <v>1</v>
      </c>
      <c r="RL44">
        <v>3</v>
      </c>
      <c r="RM44">
        <v>3</v>
      </c>
      <c r="RO44">
        <v>573</v>
      </c>
      <c r="RQ44">
        <v>640</v>
      </c>
      <c r="RR44">
        <v>539</v>
      </c>
      <c r="RT44">
        <v>276</v>
      </c>
      <c r="RU44">
        <v>209</v>
      </c>
      <c r="RV44" t="s">
        <v>845</v>
      </c>
      <c r="RW44" t="s">
        <v>679</v>
      </c>
      <c r="RX44">
        <v>15</v>
      </c>
      <c r="RY44">
        <v>4</v>
      </c>
      <c r="RZ44" t="s">
        <v>679</v>
      </c>
      <c r="SA44">
        <v>15</v>
      </c>
      <c r="SC44" t="s">
        <v>1216</v>
      </c>
      <c r="SD44">
        <v>1</v>
      </c>
      <c r="SF44" t="s">
        <v>1217</v>
      </c>
      <c r="SG44">
        <v>1</v>
      </c>
      <c r="SH44">
        <v>0.995</v>
      </c>
      <c r="SI44">
        <v>0.995</v>
      </c>
      <c r="SJ44">
        <v>0.995</v>
      </c>
      <c r="SK44">
        <v>15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Z44">
        <v>1</v>
      </c>
      <c r="TB44">
        <v>0</v>
      </c>
      <c r="TC44">
        <v>0</v>
      </c>
      <c r="TD44">
        <v>7.5</v>
      </c>
      <c r="TE44" t="s">
        <v>553</v>
      </c>
      <c r="TF44" t="s">
        <v>655</v>
      </c>
      <c r="TG44" t="s">
        <v>555</v>
      </c>
      <c r="TI44" t="s">
        <v>546</v>
      </c>
      <c r="TJ44" t="s">
        <v>547</v>
      </c>
      <c r="TL44" t="s">
        <v>556</v>
      </c>
      <c r="TM44" t="s">
        <v>513</v>
      </c>
      <c r="TN44">
        <v>0</v>
      </c>
      <c r="TO44" t="s">
        <v>557</v>
      </c>
    </row>
    <row r="45" spans="1:535">
      <c r="A45" t="s">
        <v>1219</v>
      </c>
      <c r="B45" t="s">
        <v>564</v>
      </c>
      <c r="C45" t="s">
        <v>509</v>
      </c>
      <c r="D45" t="s">
        <v>1209</v>
      </c>
      <c r="G45" t="s">
        <v>627</v>
      </c>
      <c r="H45" t="s">
        <v>604</v>
      </c>
      <c r="I45" t="s">
        <v>628</v>
      </c>
      <c r="J45" t="s">
        <v>606</v>
      </c>
      <c r="L45" t="s">
        <v>512</v>
      </c>
      <c r="M45" t="s">
        <v>629</v>
      </c>
      <c r="N45" t="s">
        <v>513</v>
      </c>
      <c r="O45" t="s">
        <v>565</v>
      </c>
      <c r="Q45" t="s">
        <v>1220</v>
      </c>
      <c r="R45" t="s">
        <v>567</v>
      </c>
      <c r="S45" t="s">
        <v>1221</v>
      </c>
      <c r="T45" t="s">
        <v>519</v>
      </c>
      <c r="U45" t="s">
        <v>633</v>
      </c>
      <c r="V45" t="s">
        <v>634</v>
      </c>
      <c r="W45" t="s">
        <v>1222</v>
      </c>
      <c r="X45" t="s">
        <v>573</v>
      </c>
      <c r="Y45" t="s">
        <v>524</v>
      </c>
      <c r="Z45" t="s">
        <v>1223</v>
      </c>
      <c r="AA45" t="s">
        <v>1224</v>
      </c>
      <c r="AB45" t="s">
        <v>1225</v>
      </c>
      <c r="AC45">
        <v>2</v>
      </c>
      <c r="AD45">
        <v>56</v>
      </c>
      <c r="AE45">
        <v>169</v>
      </c>
      <c r="AF45">
        <v>1.5</v>
      </c>
      <c r="AH45">
        <v>0</v>
      </c>
      <c r="AI45" t="s">
        <v>734</v>
      </c>
      <c r="AJ45">
        <v>180</v>
      </c>
      <c r="AK45">
        <v>1</v>
      </c>
      <c r="AL45">
        <v>1.5</v>
      </c>
      <c r="AM45" t="s">
        <v>529</v>
      </c>
      <c r="AO45">
        <v>0</v>
      </c>
      <c r="AR45">
        <v>0</v>
      </c>
      <c r="AS45">
        <v>1.5</v>
      </c>
      <c r="AU45" t="s">
        <v>1226</v>
      </c>
      <c r="AW45" t="s">
        <v>1226</v>
      </c>
      <c r="AX45">
        <v>1</v>
      </c>
      <c r="AY45">
        <v>255</v>
      </c>
      <c r="AZ45">
        <v>1.5</v>
      </c>
      <c r="BA45" t="s">
        <v>529</v>
      </c>
      <c r="BG45">
        <v>1.5</v>
      </c>
      <c r="BJ45">
        <v>0</v>
      </c>
      <c r="BN45">
        <v>1.5</v>
      </c>
      <c r="BP45" t="s">
        <v>1227</v>
      </c>
      <c r="BQ45">
        <v>88</v>
      </c>
      <c r="BR45">
        <v>2</v>
      </c>
      <c r="BS45" t="s">
        <v>642</v>
      </c>
      <c r="BT45">
        <v>191</v>
      </c>
      <c r="BU45">
        <v>0.5</v>
      </c>
      <c r="BV45" t="s">
        <v>642</v>
      </c>
      <c r="BW45">
        <v>382</v>
      </c>
      <c r="BX45">
        <v>1</v>
      </c>
      <c r="BY45" t="s">
        <v>643</v>
      </c>
      <c r="BZ45">
        <v>300</v>
      </c>
      <c r="CA45">
        <v>460</v>
      </c>
      <c r="CB45" t="s">
        <v>644</v>
      </c>
      <c r="CC45" t="s">
        <v>644</v>
      </c>
      <c r="CD45">
        <v>402</v>
      </c>
      <c r="CE45" t="s">
        <v>544</v>
      </c>
      <c r="CF45">
        <v>15</v>
      </c>
      <c r="CG45" t="s">
        <v>645</v>
      </c>
      <c r="CH45" t="s">
        <v>645</v>
      </c>
      <c r="CI45">
        <v>80</v>
      </c>
      <c r="CJ45">
        <v>1301</v>
      </c>
      <c r="CK45">
        <v>2</v>
      </c>
      <c r="CL45">
        <v>1395</v>
      </c>
      <c r="CM45">
        <v>2</v>
      </c>
      <c r="CN45" t="s">
        <v>646</v>
      </c>
      <c r="CO45" t="s">
        <v>647</v>
      </c>
      <c r="CP45" t="s">
        <v>648</v>
      </c>
      <c r="CQ45" t="s">
        <v>540</v>
      </c>
      <c r="CR45" t="s">
        <v>541</v>
      </c>
      <c r="CS45" t="s">
        <v>542</v>
      </c>
      <c r="CT45">
        <v>360</v>
      </c>
      <c r="CU45">
        <v>5</v>
      </c>
      <c r="CV45">
        <v>1.2</v>
      </c>
      <c r="CW45">
        <v>1314</v>
      </c>
      <c r="CX45">
        <v>669</v>
      </c>
      <c r="DD45">
        <v>0</v>
      </c>
      <c r="DE45" t="s">
        <v>543</v>
      </c>
      <c r="DF45">
        <v>510</v>
      </c>
      <c r="DG45">
        <v>3</v>
      </c>
      <c r="DH45">
        <v>1.18</v>
      </c>
      <c r="DI45">
        <v>1312</v>
      </c>
      <c r="DJ45">
        <v>1080</v>
      </c>
      <c r="DW45" t="s">
        <v>544</v>
      </c>
      <c r="DX45">
        <v>7.5</v>
      </c>
      <c r="EA45">
        <v>1381.4</v>
      </c>
      <c r="EB45">
        <v>261</v>
      </c>
      <c r="EC45" t="s">
        <v>545</v>
      </c>
      <c r="ED45">
        <v>35</v>
      </c>
      <c r="EE45">
        <v>3</v>
      </c>
      <c r="EG45">
        <v>1422</v>
      </c>
      <c r="EH45">
        <v>198</v>
      </c>
      <c r="EJ45">
        <v>0</v>
      </c>
      <c r="EK45">
        <v>1</v>
      </c>
      <c r="EN45">
        <v>0</v>
      </c>
      <c r="EP45" t="s">
        <v>546</v>
      </c>
      <c r="EQ45">
        <v>95</v>
      </c>
      <c r="ER45">
        <v>3</v>
      </c>
      <c r="ES45">
        <v>5</v>
      </c>
      <c r="ET45">
        <v>1295</v>
      </c>
      <c r="EU45">
        <v>381</v>
      </c>
      <c r="EV45">
        <v>493</v>
      </c>
      <c r="EW45" t="s">
        <v>547</v>
      </c>
      <c r="EX45">
        <v>70</v>
      </c>
      <c r="EY45">
        <v>2</v>
      </c>
      <c r="EZ45">
        <v>4.5</v>
      </c>
      <c r="FA45">
        <v>1295</v>
      </c>
      <c r="FB45">
        <v>219.6</v>
      </c>
      <c r="FC45">
        <v>284</v>
      </c>
      <c r="FE45">
        <v>0</v>
      </c>
      <c r="FF45">
        <v>2</v>
      </c>
      <c r="FI45">
        <v>0</v>
      </c>
      <c r="FK45" t="s">
        <v>548</v>
      </c>
      <c r="FL45">
        <v>0.4</v>
      </c>
      <c r="FM45">
        <v>90</v>
      </c>
      <c r="FN45">
        <v>130</v>
      </c>
      <c r="FR45" t="s">
        <v>548</v>
      </c>
      <c r="FS45">
        <v>0.4</v>
      </c>
      <c r="FT45">
        <v>30</v>
      </c>
      <c r="FU45">
        <v>350</v>
      </c>
      <c r="FV45">
        <v>30</v>
      </c>
      <c r="FW45">
        <v>220</v>
      </c>
      <c r="HC45">
        <v>0.1</v>
      </c>
      <c r="HD45">
        <v>3</v>
      </c>
      <c r="HE45">
        <v>3</v>
      </c>
      <c r="HF45">
        <v>3</v>
      </c>
      <c r="HG45">
        <v>3</v>
      </c>
      <c r="HH45">
        <v>3</v>
      </c>
      <c r="HI45">
        <v>150</v>
      </c>
      <c r="HJ45">
        <v>3</v>
      </c>
      <c r="HK45">
        <v>55</v>
      </c>
      <c r="HL45">
        <v>2</v>
      </c>
      <c r="HM45">
        <v>0</v>
      </c>
      <c r="HN45">
        <v>2</v>
      </c>
      <c r="HO45">
        <v>80</v>
      </c>
      <c r="HP45">
        <v>3</v>
      </c>
      <c r="HQ45">
        <v>0</v>
      </c>
      <c r="HR45">
        <v>2</v>
      </c>
      <c r="HS45">
        <v>4221</v>
      </c>
      <c r="HT45">
        <v>130</v>
      </c>
      <c r="HU45">
        <v>180</v>
      </c>
      <c r="HW45">
        <v>0</v>
      </c>
      <c r="HX45">
        <v>456</v>
      </c>
      <c r="HY45">
        <v>0.18</v>
      </c>
      <c r="IA45">
        <v>0.15</v>
      </c>
      <c r="IB45">
        <v>0</v>
      </c>
      <c r="IC45">
        <v>180</v>
      </c>
      <c r="ID45">
        <v>110</v>
      </c>
      <c r="IE45">
        <v>0</v>
      </c>
      <c r="IF45">
        <v>0</v>
      </c>
      <c r="IH45" t="s">
        <v>549</v>
      </c>
      <c r="IO45">
        <v>1</v>
      </c>
      <c r="IP45">
        <v>17</v>
      </c>
      <c r="IQ45">
        <v>0</v>
      </c>
      <c r="IR45">
        <v>1</v>
      </c>
      <c r="IV45">
        <v>1301</v>
      </c>
      <c r="IW45">
        <v>382</v>
      </c>
      <c r="JA45">
        <v>1</v>
      </c>
      <c r="JB45">
        <v>0</v>
      </c>
      <c r="JC45">
        <v>2</v>
      </c>
      <c r="JD45">
        <v>1314</v>
      </c>
      <c r="JE45">
        <v>1312</v>
      </c>
      <c r="JF45">
        <v>0</v>
      </c>
      <c r="JG45">
        <v>1295</v>
      </c>
      <c r="JH45">
        <v>0</v>
      </c>
      <c r="JJ45">
        <v>180</v>
      </c>
      <c r="JK45">
        <v>456</v>
      </c>
      <c r="JN45">
        <v>360</v>
      </c>
      <c r="JO45">
        <v>510</v>
      </c>
      <c r="JP45">
        <v>0</v>
      </c>
      <c r="JQ45">
        <v>0</v>
      </c>
      <c r="JR45">
        <v>338</v>
      </c>
      <c r="JS45">
        <v>150</v>
      </c>
      <c r="JV45">
        <v>8</v>
      </c>
      <c r="JW45" t="s">
        <v>550</v>
      </c>
      <c r="JX45">
        <v>0</v>
      </c>
      <c r="KA45">
        <v>0</v>
      </c>
      <c r="KB45">
        <v>110</v>
      </c>
      <c r="KC45">
        <v>0</v>
      </c>
      <c r="KD45">
        <v>80</v>
      </c>
      <c r="KF45">
        <v>4</v>
      </c>
      <c r="KG45">
        <v>2</v>
      </c>
      <c r="KH45">
        <v>2</v>
      </c>
      <c r="KI45">
        <v>2</v>
      </c>
      <c r="KJ45">
        <v>0</v>
      </c>
      <c r="KK45">
        <v>1.5</v>
      </c>
      <c r="KL45">
        <v>1.5</v>
      </c>
      <c r="KM45">
        <v>0</v>
      </c>
      <c r="KN45">
        <v>0</v>
      </c>
      <c r="KO45">
        <v>0</v>
      </c>
      <c r="KR45">
        <v>20</v>
      </c>
      <c r="KS45">
        <v>60</v>
      </c>
      <c r="KT45">
        <v>0</v>
      </c>
      <c r="LK45">
        <v>480</v>
      </c>
      <c r="LV45">
        <v>0</v>
      </c>
      <c r="LW45">
        <v>0</v>
      </c>
      <c r="LX45">
        <v>325</v>
      </c>
      <c r="LY45">
        <v>1</v>
      </c>
      <c r="PG45">
        <v>1</v>
      </c>
      <c r="PI45" t="s">
        <v>1225</v>
      </c>
      <c r="PJ45" t="s">
        <v>1226</v>
      </c>
      <c r="PL45" t="s">
        <v>734</v>
      </c>
      <c r="PP45" t="s">
        <v>1227</v>
      </c>
      <c r="PX45">
        <v>56</v>
      </c>
      <c r="PY45">
        <v>56</v>
      </c>
      <c r="PZ45" t="s">
        <v>1225</v>
      </c>
      <c r="QA45">
        <v>2</v>
      </c>
      <c r="QB45">
        <v>1295</v>
      </c>
      <c r="QC45">
        <v>69</v>
      </c>
      <c r="QD45">
        <v>69</v>
      </c>
      <c r="QE45" t="s">
        <v>734</v>
      </c>
      <c r="QF45">
        <v>1</v>
      </c>
      <c r="QG45">
        <v>1314</v>
      </c>
      <c r="QH45">
        <v>66</v>
      </c>
      <c r="QI45">
        <v>66</v>
      </c>
      <c r="QL45">
        <v>0</v>
      </c>
      <c r="QM45">
        <v>62</v>
      </c>
      <c r="QN45">
        <v>62</v>
      </c>
      <c r="QO45" t="s">
        <v>1226</v>
      </c>
      <c r="QP45">
        <v>1</v>
      </c>
      <c r="QQ45">
        <v>1312</v>
      </c>
      <c r="QW45">
        <v>82</v>
      </c>
      <c r="QX45">
        <v>88</v>
      </c>
      <c r="QY45" t="s">
        <v>1227</v>
      </c>
      <c r="QZ45">
        <v>1</v>
      </c>
      <c r="RA45">
        <v>66</v>
      </c>
      <c r="RB45">
        <v>66</v>
      </c>
      <c r="RE45">
        <v>0</v>
      </c>
      <c r="RF45">
        <v>1</v>
      </c>
      <c r="RJ45">
        <v>1</v>
      </c>
      <c r="RL45">
        <v>1</v>
      </c>
      <c r="RO45">
        <v>509</v>
      </c>
      <c r="RQ45">
        <v>823</v>
      </c>
      <c r="RT45">
        <v>261</v>
      </c>
      <c r="RU45">
        <v>198</v>
      </c>
      <c r="RV45" t="s">
        <v>652</v>
      </c>
      <c r="RW45" t="s">
        <v>653</v>
      </c>
      <c r="RX45">
        <v>15</v>
      </c>
      <c r="RY45">
        <v>4</v>
      </c>
      <c r="RZ45" t="s">
        <v>653</v>
      </c>
      <c r="SA45">
        <v>15</v>
      </c>
      <c r="SC45" t="s">
        <v>1226</v>
      </c>
      <c r="SD45">
        <v>1</v>
      </c>
      <c r="SH45">
        <v>0.995</v>
      </c>
      <c r="SI45">
        <v>0.995</v>
      </c>
      <c r="SJ45">
        <v>0.995</v>
      </c>
      <c r="SK45">
        <v>15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TB45">
        <v>0</v>
      </c>
      <c r="TC45">
        <v>0</v>
      </c>
      <c r="TD45">
        <v>7.5</v>
      </c>
      <c r="TE45" t="s">
        <v>553</v>
      </c>
      <c r="TF45" t="s">
        <v>655</v>
      </c>
      <c r="TG45" t="s">
        <v>555</v>
      </c>
      <c r="TI45" t="s">
        <v>546</v>
      </c>
      <c r="TJ45" t="s">
        <v>547</v>
      </c>
      <c r="TL45" t="s">
        <v>556</v>
      </c>
      <c r="TM45" t="s">
        <v>513</v>
      </c>
      <c r="TN45">
        <v>0</v>
      </c>
      <c r="TO45" t="s">
        <v>557</v>
      </c>
    </row>
    <row r="46" spans="1:535">
      <c r="A46" t="s">
        <v>1228</v>
      </c>
      <c r="B46" t="s">
        <v>629</v>
      </c>
      <c r="C46" t="s">
        <v>509</v>
      </c>
      <c r="D46" t="s">
        <v>1229</v>
      </c>
      <c r="G46" t="s">
        <v>627</v>
      </c>
      <c r="H46" t="s">
        <v>604</v>
      </c>
      <c r="I46" t="s">
        <v>628</v>
      </c>
      <c r="J46" t="s">
        <v>606</v>
      </c>
      <c r="L46" t="s">
        <v>512</v>
      </c>
      <c r="M46" t="s">
        <v>711</v>
      </c>
      <c r="N46" t="s">
        <v>513</v>
      </c>
      <c r="O46" t="s">
        <v>565</v>
      </c>
      <c r="Q46" t="s">
        <v>1230</v>
      </c>
      <c r="R46" t="s">
        <v>567</v>
      </c>
      <c r="S46" t="s">
        <v>1231</v>
      </c>
      <c r="T46" t="s">
        <v>1127</v>
      </c>
      <c r="U46" t="s">
        <v>662</v>
      </c>
      <c r="V46" t="s">
        <v>663</v>
      </c>
      <c r="W46" t="s">
        <v>1232</v>
      </c>
      <c r="X46" t="s">
        <v>573</v>
      </c>
      <c r="Y46" t="s">
        <v>524</v>
      </c>
      <c r="Z46" t="s">
        <v>1233</v>
      </c>
      <c r="AA46" t="s">
        <v>1234</v>
      </c>
      <c r="AB46" t="s">
        <v>1235</v>
      </c>
      <c r="AC46">
        <v>2</v>
      </c>
      <c r="AD46">
        <v>56</v>
      </c>
      <c r="AE46">
        <v>178</v>
      </c>
      <c r="AF46">
        <v>1.5</v>
      </c>
      <c r="AH46">
        <v>0</v>
      </c>
      <c r="AI46" t="s">
        <v>764</v>
      </c>
      <c r="AJ46">
        <v>190</v>
      </c>
      <c r="AK46">
        <v>1</v>
      </c>
      <c r="AL46">
        <v>1.5</v>
      </c>
      <c r="AM46" t="s">
        <v>529</v>
      </c>
      <c r="AO46">
        <v>0</v>
      </c>
      <c r="AR46">
        <v>0</v>
      </c>
      <c r="AS46">
        <v>1.5</v>
      </c>
      <c r="AU46" t="s">
        <v>1236</v>
      </c>
      <c r="AW46" t="s">
        <v>1236</v>
      </c>
      <c r="AX46">
        <v>1</v>
      </c>
      <c r="AY46">
        <v>265</v>
      </c>
      <c r="AZ46">
        <v>1.5</v>
      </c>
      <c r="BA46" t="s">
        <v>529</v>
      </c>
      <c r="BB46" t="s">
        <v>1237</v>
      </c>
      <c r="BD46" t="s">
        <v>1237</v>
      </c>
      <c r="BE46">
        <v>1</v>
      </c>
      <c r="BF46">
        <v>225</v>
      </c>
      <c r="BG46">
        <v>1.5</v>
      </c>
      <c r="BJ46">
        <v>0</v>
      </c>
      <c r="BN46">
        <v>1.5</v>
      </c>
      <c r="BP46" t="s">
        <v>1218</v>
      </c>
      <c r="BQ46">
        <v>88</v>
      </c>
      <c r="BR46">
        <v>2</v>
      </c>
      <c r="BS46" t="s">
        <v>844</v>
      </c>
      <c r="BT46">
        <v>201</v>
      </c>
      <c r="BU46">
        <v>0.5</v>
      </c>
      <c r="BV46" t="s">
        <v>844</v>
      </c>
      <c r="BW46">
        <v>402</v>
      </c>
      <c r="BX46">
        <v>1</v>
      </c>
      <c r="BY46" t="s">
        <v>643</v>
      </c>
      <c r="BZ46">
        <v>290</v>
      </c>
      <c r="CA46">
        <v>450</v>
      </c>
      <c r="CB46" t="s">
        <v>672</v>
      </c>
      <c r="CC46" t="s">
        <v>672</v>
      </c>
      <c r="CD46">
        <v>416</v>
      </c>
      <c r="CE46" t="s">
        <v>673</v>
      </c>
      <c r="CF46">
        <v>15</v>
      </c>
      <c r="CG46" t="s">
        <v>1146</v>
      </c>
      <c r="CH46" t="s">
        <v>1146</v>
      </c>
      <c r="CI46">
        <v>80</v>
      </c>
      <c r="CJ46">
        <v>1381</v>
      </c>
      <c r="CK46">
        <v>2</v>
      </c>
      <c r="CL46">
        <v>1475</v>
      </c>
      <c r="CM46">
        <v>2</v>
      </c>
      <c r="CN46" t="s">
        <v>675</v>
      </c>
      <c r="CO46" t="s">
        <v>676</v>
      </c>
      <c r="CP46" t="s">
        <v>595</v>
      </c>
      <c r="CQ46" t="s">
        <v>621</v>
      </c>
      <c r="CR46" t="s">
        <v>541</v>
      </c>
      <c r="CS46" t="s">
        <v>542</v>
      </c>
      <c r="CT46">
        <v>380</v>
      </c>
      <c r="CU46">
        <v>5</v>
      </c>
      <c r="CV46">
        <v>1.2</v>
      </c>
      <c r="CW46">
        <v>1393</v>
      </c>
      <c r="CX46">
        <v>749</v>
      </c>
      <c r="DD46">
        <v>0</v>
      </c>
      <c r="DE46" t="s">
        <v>622</v>
      </c>
      <c r="DF46">
        <v>530</v>
      </c>
      <c r="DG46">
        <v>3</v>
      </c>
      <c r="DH46">
        <v>0.88</v>
      </c>
      <c r="DI46">
        <v>1390</v>
      </c>
      <c r="DJ46">
        <v>830</v>
      </c>
      <c r="DK46" t="s">
        <v>622</v>
      </c>
      <c r="DL46">
        <v>450</v>
      </c>
      <c r="DM46">
        <v>3</v>
      </c>
      <c r="DN46">
        <v>0.88</v>
      </c>
      <c r="DO46">
        <v>1396</v>
      </c>
      <c r="DP46">
        <v>718</v>
      </c>
      <c r="DW46" t="s">
        <v>544</v>
      </c>
      <c r="DX46">
        <v>7.5</v>
      </c>
      <c r="EA46">
        <v>1464.3</v>
      </c>
      <c r="EB46">
        <v>276</v>
      </c>
      <c r="EC46" t="s">
        <v>545</v>
      </c>
      <c r="ED46">
        <v>35</v>
      </c>
      <c r="EE46">
        <v>3</v>
      </c>
      <c r="EG46">
        <v>1505</v>
      </c>
      <c r="EH46">
        <v>209</v>
      </c>
      <c r="EJ46">
        <v>0</v>
      </c>
      <c r="EK46">
        <v>1</v>
      </c>
      <c r="EN46">
        <v>0</v>
      </c>
      <c r="EP46" t="s">
        <v>546</v>
      </c>
      <c r="EQ46">
        <v>95</v>
      </c>
      <c r="ER46">
        <v>3</v>
      </c>
      <c r="ES46">
        <v>5</v>
      </c>
      <c r="ET46">
        <v>1375</v>
      </c>
      <c r="EU46">
        <v>397.5</v>
      </c>
      <c r="EV46">
        <v>547</v>
      </c>
      <c r="EW46" t="s">
        <v>547</v>
      </c>
      <c r="EX46">
        <v>70</v>
      </c>
      <c r="EY46">
        <v>2</v>
      </c>
      <c r="EZ46">
        <v>4.5</v>
      </c>
      <c r="FA46">
        <v>1375</v>
      </c>
      <c r="FB46">
        <v>219.6</v>
      </c>
      <c r="FC46">
        <v>302</v>
      </c>
      <c r="FE46">
        <v>0</v>
      </c>
      <c r="FF46">
        <v>2</v>
      </c>
      <c r="FI46">
        <v>0</v>
      </c>
      <c r="FK46" t="s">
        <v>548</v>
      </c>
      <c r="FL46">
        <v>0.4</v>
      </c>
      <c r="FM46">
        <v>85</v>
      </c>
      <c r="FN46">
        <v>140</v>
      </c>
      <c r="GR46" t="s">
        <v>548</v>
      </c>
      <c r="GS46">
        <v>0.4</v>
      </c>
      <c r="GT46">
        <v>80</v>
      </c>
      <c r="GU46">
        <v>260</v>
      </c>
      <c r="HC46">
        <v>0.1</v>
      </c>
      <c r="HD46">
        <v>3</v>
      </c>
      <c r="HE46">
        <v>3</v>
      </c>
      <c r="HF46">
        <v>3</v>
      </c>
      <c r="HG46">
        <v>3</v>
      </c>
      <c r="HH46">
        <v>3</v>
      </c>
      <c r="HI46">
        <v>150</v>
      </c>
      <c r="HJ46">
        <v>3</v>
      </c>
      <c r="HK46">
        <v>55</v>
      </c>
      <c r="HL46">
        <v>2</v>
      </c>
      <c r="HM46">
        <v>0</v>
      </c>
      <c r="HN46">
        <v>2</v>
      </c>
      <c r="HO46">
        <v>80</v>
      </c>
      <c r="HP46">
        <v>3</v>
      </c>
      <c r="HQ46">
        <v>0</v>
      </c>
      <c r="HR46">
        <v>2</v>
      </c>
      <c r="HS46">
        <v>4965</v>
      </c>
      <c r="HT46">
        <v>150</v>
      </c>
      <c r="HU46">
        <v>180</v>
      </c>
      <c r="HW46">
        <v>0</v>
      </c>
      <c r="HX46">
        <v>450</v>
      </c>
      <c r="HY46">
        <v>0.18</v>
      </c>
      <c r="IA46">
        <v>0.15</v>
      </c>
      <c r="IB46">
        <v>0</v>
      </c>
      <c r="IC46">
        <v>180</v>
      </c>
      <c r="ID46">
        <v>110</v>
      </c>
      <c r="IE46">
        <v>225</v>
      </c>
      <c r="IF46">
        <v>0</v>
      </c>
      <c r="IH46" t="s">
        <v>549</v>
      </c>
      <c r="IO46">
        <v>3</v>
      </c>
      <c r="IP46">
        <v>18</v>
      </c>
      <c r="IQ46">
        <v>0</v>
      </c>
      <c r="IR46">
        <v>1</v>
      </c>
      <c r="IV46">
        <v>1381</v>
      </c>
      <c r="IW46">
        <v>402</v>
      </c>
      <c r="JA46">
        <v>1</v>
      </c>
      <c r="JB46">
        <v>0</v>
      </c>
      <c r="JC46">
        <v>2</v>
      </c>
      <c r="JD46">
        <v>1393</v>
      </c>
      <c r="JE46">
        <v>1390</v>
      </c>
      <c r="JF46">
        <v>1396</v>
      </c>
      <c r="JG46">
        <v>1375</v>
      </c>
      <c r="JH46">
        <v>0</v>
      </c>
      <c r="JJ46">
        <v>180</v>
      </c>
      <c r="JK46">
        <v>450</v>
      </c>
      <c r="JN46">
        <v>380</v>
      </c>
      <c r="JO46">
        <v>530</v>
      </c>
      <c r="JP46">
        <v>450</v>
      </c>
      <c r="JQ46">
        <v>0</v>
      </c>
      <c r="JR46">
        <v>356</v>
      </c>
      <c r="JS46">
        <v>150</v>
      </c>
      <c r="JV46">
        <v>8</v>
      </c>
      <c r="JW46" t="s">
        <v>550</v>
      </c>
      <c r="JX46">
        <v>0</v>
      </c>
      <c r="KA46">
        <v>225</v>
      </c>
      <c r="KB46">
        <v>110</v>
      </c>
      <c r="KC46">
        <v>0</v>
      </c>
      <c r="KD46">
        <v>80</v>
      </c>
      <c r="KF46">
        <v>4</v>
      </c>
      <c r="KG46">
        <v>2</v>
      </c>
      <c r="KH46">
        <v>2</v>
      </c>
      <c r="KI46">
        <v>2</v>
      </c>
      <c r="KJ46">
        <v>0</v>
      </c>
      <c r="KK46">
        <v>1.5</v>
      </c>
      <c r="KL46">
        <v>1.5</v>
      </c>
      <c r="KM46">
        <v>0</v>
      </c>
      <c r="KN46">
        <v>0</v>
      </c>
      <c r="KO46">
        <v>0</v>
      </c>
      <c r="KR46">
        <v>50</v>
      </c>
      <c r="KS46">
        <v>60</v>
      </c>
      <c r="KT46">
        <v>0</v>
      </c>
      <c r="LK46">
        <v>480</v>
      </c>
      <c r="PG46">
        <v>1</v>
      </c>
      <c r="PI46" t="s">
        <v>1235</v>
      </c>
      <c r="PJ46" t="s">
        <v>1236</v>
      </c>
      <c r="PK46" t="s">
        <v>1237</v>
      </c>
      <c r="PL46" t="s">
        <v>764</v>
      </c>
      <c r="PP46" t="s">
        <v>1218</v>
      </c>
      <c r="PX46">
        <v>56</v>
      </c>
      <c r="PY46">
        <v>56</v>
      </c>
      <c r="PZ46" t="s">
        <v>1235</v>
      </c>
      <c r="QA46">
        <v>3</v>
      </c>
      <c r="QB46">
        <v>1375</v>
      </c>
      <c r="QC46">
        <v>69</v>
      </c>
      <c r="QD46">
        <v>69</v>
      </c>
      <c r="QE46" t="s">
        <v>764</v>
      </c>
      <c r="QF46">
        <v>1</v>
      </c>
      <c r="QG46">
        <v>1393</v>
      </c>
      <c r="QH46">
        <v>66</v>
      </c>
      <c r="QI46">
        <v>66</v>
      </c>
      <c r="QL46">
        <v>0</v>
      </c>
      <c r="QM46">
        <v>62</v>
      </c>
      <c r="QN46">
        <v>62</v>
      </c>
      <c r="QO46" t="s">
        <v>1236</v>
      </c>
      <c r="QP46">
        <v>1</v>
      </c>
      <c r="QQ46">
        <v>1390</v>
      </c>
      <c r="QR46">
        <v>62</v>
      </c>
      <c r="QS46">
        <v>62</v>
      </c>
      <c r="QT46" t="s">
        <v>1237</v>
      </c>
      <c r="QU46">
        <v>1</v>
      </c>
      <c r="QV46">
        <v>1396</v>
      </c>
      <c r="QW46">
        <v>82</v>
      </c>
      <c r="QX46">
        <v>88</v>
      </c>
      <c r="QY46" t="s">
        <v>1218</v>
      </c>
      <c r="QZ46">
        <v>1</v>
      </c>
      <c r="RA46">
        <v>66</v>
      </c>
      <c r="RB46">
        <v>66</v>
      </c>
      <c r="RE46">
        <v>0</v>
      </c>
      <c r="RF46">
        <v>1</v>
      </c>
      <c r="RH46">
        <v>1</v>
      </c>
      <c r="RJ46">
        <v>1</v>
      </c>
      <c r="RL46">
        <v>3</v>
      </c>
      <c r="RM46">
        <v>3</v>
      </c>
      <c r="RO46">
        <v>538</v>
      </c>
      <c r="RQ46">
        <v>597</v>
      </c>
      <c r="RR46">
        <v>514</v>
      </c>
      <c r="RT46">
        <v>276</v>
      </c>
      <c r="RU46">
        <v>209</v>
      </c>
      <c r="RV46" t="s">
        <v>845</v>
      </c>
      <c r="RW46" t="s">
        <v>679</v>
      </c>
      <c r="RX46">
        <v>15</v>
      </c>
      <c r="RY46">
        <v>4</v>
      </c>
      <c r="RZ46" t="s">
        <v>679</v>
      </c>
      <c r="SA46">
        <v>15</v>
      </c>
      <c r="SC46" t="s">
        <v>1236</v>
      </c>
      <c r="SD46">
        <v>1</v>
      </c>
      <c r="SF46" t="s">
        <v>1237</v>
      </c>
      <c r="SG46">
        <v>1</v>
      </c>
      <c r="SH46">
        <v>0.995</v>
      </c>
      <c r="SI46">
        <v>0.995</v>
      </c>
      <c r="SJ46">
        <v>0.995</v>
      </c>
      <c r="SK46">
        <v>15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Z46">
        <v>1</v>
      </c>
      <c r="TB46">
        <v>0</v>
      </c>
      <c r="TC46">
        <v>0</v>
      </c>
      <c r="TD46">
        <v>7.5</v>
      </c>
      <c r="TE46" t="s">
        <v>553</v>
      </c>
      <c r="TF46" t="s">
        <v>655</v>
      </c>
      <c r="TG46" t="s">
        <v>555</v>
      </c>
      <c r="TI46" t="s">
        <v>546</v>
      </c>
      <c r="TJ46" t="s">
        <v>547</v>
      </c>
      <c r="TL46" t="s">
        <v>556</v>
      </c>
      <c r="TM46" t="s">
        <v>513</v>
      </c>
      <c r="TN46">
        <v>0</v>
      </c>
      <c r="TO46" t="s">
        <v>557</v>
      </c>
    </row>
    <row r="47" spans="1:535">
      <c r="A47" t="s">
        <v>1238</v>
      </c>
      <c r="B47" t="s">
        <v>564</v>
      </c>
      <c r="C47" t="s">
        <v>509</v>
      </c>
      <c r="D47" t="s">
        <v>1239</v>
      </c>
      <c r="G47" t="s">
        <v>1135</v>
      </c>
      <c r="I47" t="s">
        <v>562</v>
      </c>
      <c r="J47" t="s">
        <v>563</v>
      </c>
      <c r="L47" t="s">
        <v>512</v>
      </c>
      <c r="M47" t="s">
        <v>629</v>
      </c>
      <c r="N47" t="s">
        <v>513</v>
      </c>
      <c r="O47" t="s">
        <v>565</v>
      </c>
      <c r="Q47" t="s">
        <v>1240</v>
      </c>
      <c r="R47" t="s">
        <v>517</v>
      </c>
      <c r="S47" t="s">
        <v>926</v>
      </c>
      <c r="T47" t="s">
        <v>927</v>
      </c>
      <c r="U47" t="s">
        <v>570</v>
      </c>
      <c r="V47" t="s">
        <v>571</v>
      </c>
      <c r="W47" t="s">
        <v>1241</v>
      </c>
      <c r="X47" t="s">
        <v>1242</v>
      </c>
      <c r="Y47" t="s">
        <v>574</v>
      </c>
      <c r="Z47" t="s">
        <v>1243</v>
      </c>
      <c r="AA47" t="s">
        <v>1244</v>
      </c>
      <c r="AB47" t="s">
        <v>1245</v>
      </c>
      <c r="AC47">
        <v>2</v>
      </c>
      <c r="AD47">
        <v>56</v>
      </c>
      <c r="AE47">
        <v>226</v>
      </c>
      <c r="AF47">
        <v>1.5</v>
      </c>
      <c r="AH47">
        <v>0</v>
      </c>
      <c r="AI47" t="s">
        <v>1246</v>
      </c>
      <c r="AJ47">
        <v>210</v>
      </c>
      <c r="AK47">
        <v>1</v>
      </c>
      <c r="AL47">
        <v>1.5</v>
      </c>
      <c r="AM47" t="s">
        <v>579</v>
      </c>
      <c r="AN47" t="s">
        <v>580</v>
      </c>
      <c r="AO47">
        <v>2</v>
      </c>
      <c r="AP47" t="s">
        <v>581</v>
      </c>
      <c r="AQ47" t="s">
        <v>582</v>
      </c>
      <c r="AR47">
        <v>258</v>
      </c>
      <c r="AS47">
        <v>1.5</v>
      </c>
      <c r="AT47" t="s">
        <v>583</v>
      </c>
      <c r="AU47" t="s">
        <v>1247</v>
      </c>
      <c r="AW47" t="s">
        <v>1247</v>
      </c>
      <c r="AX47">
        <v>1</v>
      </c>
      <c r="AY47">
        <v>290</v>
      </c>
      <c r="AZ47">
        <v>1.5</v>
      </c>
      <c r="BA47" t="s">
        <v>579</v>
      </c>
      <c r="BB47" t="s">
        <v>1248</v>
      </c>
      <c r="BD47" t="s">
        <v>1248</v>
      </c>
      <c r="BE47">
        <v>1</v>
      </c>
      <c r="BF47">
        <v>247.5</v>
      </c>
      <c r="BG47">
        <v>1.5</v>
      </c>
      <c r="BJ47">
        <v>0</v>
      </c>
      <c r="BN47">
        <v>1.5</v>
      </c>
      <c r="BP47" t="s">
        <v>1249</v>
      </c>
      <c r="BQ47" t="s">
        <v>587</v>
      </c>
      <c r="BR47">
        <v>2</v>
      </c>
      <c r="BS47" t="s">
        <v>1250</v>
      </c>
      <c r="BT47">
        <v>225</v>
      </c>
      <c r="BU47">
        <v>0.5</v>
      </c>
      <c r="BV47" t="s">
        <v>1250</v>
      </c>
      <c r="BW47">
        <v>450</v>
      </c>
      <c r="BX47">
        <v>1</v>
      </c>
      <c r="BY47" t="s">
        <v>589</v>
      </c>
      <c r="BZ47">
        <v>470</v>
      </c>
      <c r="CA47">
        <v>530</v>
      </c>
      <c r="CB47" t="s">
        <v>590</v>
      </c>
      <c r="CC47" t="s">
        <v>590</v>
      </c>
      <c r="CD47">
        <v>476</v>
      </c>
      <c r="CE47" t="s">
        <v>591</v>
      </c>
      <c r="CF47">
        <v>15</v>
      </c>
      <c r="CG47" t="s">
        <v>936</v>
      </c>
      <c r="CH47" t="s">
        <v>936</v>
      </c>
      <c r="CI47">
        <v>30</v>
      </c>
      <c r="CJ47">
        <v>1538</v>
      </c>
      <c r="CK47">
        <v>2</v>
      </c>
      <c r="CL47">
        <v>1632</v>
      </c>
      <c r="CM47">
        <v>2</v>
      </c>
      <c r="CN47" t="s">
        <v>593</v>
      </c>
      <c r="CO47" t="s">
        <v>594</v>
      </c>
      <c r="CP47" t="s">
        <v>595</v>
      </c>
      <c r="CQ47" t="s">
        <v>596</v>
      </c>
      <c r="CR47" t="s">
        <v>541</v>
      </c>
      <c r="CS47" t="s">
        <v>542</v>
      </c>
      <c r="CT47">
        <v>420</v>
      </c>
      <c r="CU47">
        <v>5</v>
      </c>
      <c r="CV47">
        <v>1.2</v>
      </c>
      <c r="CW47">
        <v>1554</v>
      </c>
      <c r="CX47">
        <v>925</v>
      </c>
      <c r="CY47" t="s">
        <v>597</v>
      </c>
      <c r="CZ47">
        <v>60</v>
      </c>
      <c r="DA47">
        <v>3</v>
      </c>
      <c r="DB47">
        <v>1.28</v>
      </c>
      <c r="DC47">
        <v>1554</v>
      </c>
      <c r="DD47">
        <v>132</v>
      </c>
      <c r="DE47" t="s">
        <v>622</v>
      </c>
      <c r="DF47">
        <v>580</v>
      </c>
      <c r="DG47">
        <v>3</v>
      </c>
      <c r="DH47">
        <v>0.88</v>
      </c>
      <c r="DI47">
        <v>1547</v>
      </c>
      <c r="DJ47">
        <v>1088</v>
      </c>
      <c r="DK47" t="s">
        <v>622</v>
      </c>
      <c r="DL47">
        <v>495</v>
      </c>
      <c r="DM47">
        <v>3</v>
      </c>
      <c r="DN47">
        <v>0.88</v>
      </c>
      <c r="DO47">
        <v>1552</v>
      </c>
      <c r="DP47">
        <v>840</v>
      </c>
      <c r="DW47" t="s">
        <v>544</v>
      </c>
      <c r="DX47">
        <v>7.5</v>
      </c>
      <c r="EA47">
        <v>1623.8</v>
      </c>
      <c r="EB47">
        <v>287</v>
      </c>
      <c r="EC47" t="s">
        <v>545</v>
      </c>
      <c r="ED47">
        <v>30</v>
      </c>
      <c r="EE47">
        <v>3</v>
      </c>
      <c r="EG47">
        <v>1665</v>
      </c>
      <c r="EH47">
        <v>196</v>
      </c>
      <c r="EJ47">
        <v>0</v>
      </c>
      <c r="EK47">
        <v>1</v>
      </c>
      <c r="EN47">
        <v>0</v>
      </c>
      <c r="EP47" t="s">
        <v>546</v>
      </c>
      <c r="EQ47">
        <v>110</v>
      </c>
      <c r="ER47">
        <v>3</v>
      </c>
      <c r="ES47">
        <v>5</v>
      </c>
      <c r="ET47">
        <v>1531</v>
      </c>
      <c r="EU47">
        <v>457</v>
      </c>
      <c r="EV47">
        <v>700</v>
      </c>
      <c r="EW47" t="s">
        <v>547</v>
      </c>
      <c r="EX47">
        <v>45</v>
      </c>
      <c r="EY47">
        <v>2</v>
      </c>
      <c r="EZ47">
        <v>4.5</v>
      </c>
      <c r="FA47">
        <v>1531</v>
      </c>
      <c r="FB47">
        <v>126.7</v>
      </c>
      <c r="FC47">
        <v>194</v>
      </c>
      <c r="FE47">
        <v>0</v>
      </c>
      <c r="FF47">
        <v>2</v>
      </c>
      <c r="FI47">
        <v>0</v>
      </c>
      <c r="FK47" t="s">
        <v>548</v>
      </c>
      <c r="FL47">
        <v>0.4</v>
      </c>
      <c r="FM47">
        <v>65</v>
      </c>
      <c r="FN47">
        <v>380</v>
      </c>
      <c r="FO47">
        <v>85</v>
      </c>
      <c r="FP47">
        <v>160</v>
      </c>
      <c r="GR47" t="s">
        <v>548</v>
      </c>
      <c r="GS47">
        <v>0.4</v>
      </c>
      <c r="GT47">
        <v>30</v>
      </c>
      <c r="GU47">
        <v>420</v>
      </c>
      <c r="GV47">
        <v>30</v>
      </c>
      <c r="GW47">
        <v>300</v>
      </c>
      <c r="HC47">
        <v>0.1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140</v>
      </c>
      <c r="HJ47">
        <v>3</v>
      </c>
      <c r="HK47">
        <v>30</v>
      </c>
      <c r="HL47">
        <v>2</v>
      </c>
      <c r="HM47">
        <v>0</v>
      </c>
      <c r="HN47">
        <v>2</v>
      </c>
      <c r="HO47">
        <v>95</v>
      </c>
      <c r="HP47">
        <v>3</v>
      </c>
      <c r="HQ47">
        <v>0</v>
      </c>
      <c r="HR47">
        <v>2</v>
      </c>
      <c r="HS47">
        <v>5871</v>
      </c>
      <c r="HT47">
        <v>180</v>
      </c>
      <c r="HU47">
        <v>180</v>
      </c>
      <c r="HW47">
        <v>0</v>
      </c>
      <c r="HX47">
        <v>516</v>
      </c>
      <c r="HY47">
        <v>0.18</v>
      </c>
      <c r="IA47">
        <v>0.15</v>
      </c>
      <c r="IB47">
        <v>0</v>
      </c>
      <c r="IC47">
        <v>180</v>
      </c>
      <c r="ID47">
        <v>110</v>
      </c>
      <c r="IE47">
        <v>225</v>
      </c>
      <c r="IF47">
        <v>0</v>
      </c>
      <c r="IH47" t="s">
        <v>549</v>
      </c>
      <c r="IO47">
        <v>3</v>
      </c>
      <c r="IP47">
        <v>20</v>
      </c>
      <c r="IQ47">
        <v>0</v>
      </c>
      <c r="IR47">
        <v>0</v>
      </c>
      <c r="IV47">
        <v>1538</v>
      </c>
      <c r="IW47">
        <v>450</v>
      </c>
      <c r="JA47">
        <v>1</v>
      </c>
      <c r="JB47">
        <v>0</v>
      </c>
      <c r="JC47">
        <v>2</v>
      </c>
      <c r="JD47">
        <v>1554</v>
      </c>
      <c r="JE47">
        <v>1547</v>
      </c>
      <c r="JF47">
        <v>1552</v>
      </c>
      <c r="JG47">
        <v>1531</v>
      </c>
      <c r="JH47">
        <v>0</v>
      </c>
      <c r="JJ47">
        <v>180</v>
      </c>
      <c r="JK47">
        <v>516</v>
      </c>
      <c r="JN47">
        <v>420</v>
      </c>
      <c r="JO47">
        <v>580</v>
      </c>
      <c r="JP47">
        <v>495</v>
      </c>
      <c r="JQ47">
        <v>0</v>
      </c>
      <c r="JR47">
        <v>452</v>
      </c>
      <c r="JS47">
        <v>140</v>
      </c>
      <c r="JV47">
        <v>8</v>
      </c>
      <c r="JW47" t="s">
        <v>550</v>
      </c>
      <c r="JX47">
        <v>516</v>
      </c>
      <c r="KA47">
        <v>225</v>
      </c>
      <c r="KB47">
        <v>110</v>
      </c>
      <c r="KC47">
        <v>0</v>
      </c>
      <c r="KD47">
        <v>80</v>
      </c>
      <c r="KF47">
        <v>4</v>
      </c>
      <c r="KG47">
        <v>2</v>
      </c>
      <c r="KH47">
        <v>2</v>
      </c>
      <c r="KI47">
        <v>2</v>
      </c>
      <c r="KJ47">
        <v>0</v>
      </c>
      <c r="KK47">
        <v>1.5</v>
      </c>
      <c r="KL47">
        <v>1.5</v>
      </c>
      <c r="KM47">
        <v>0</v>
      </c>
      <c r="KN47">
        <v>0</v>
      </c>
      <c r="KO47">
        <v>0</v>
      </c>
      <c r="KR47">
        <v>50</v>
      </c>
      <c r="KS47">
        <v>60</v>
      </c>
      <c r="KT47">
        <v>0</v>
      </c>
      <c r="LK47">
        <v>480</v>
      </c>
      <c r="PG47">
        <v>1</v>
      </c>
      <c r="PI47" t="s">
        <v>1245</v>
      </c>
      <c r="PJ47" t="s">
        <v>1247</v>
      </c>
      <c r="PK47" t="s">
        <v>1248</v>
      </c>
      <c r="PL47" t="s">
        <v>1246</v>
      </c>
      <c r="PP47" t="s">
        <v>1249</v>
      </c>
      <c r="PS47" t="s">
        <v>580</v>
      </c>
      <c r="PX47">
        <v>56</v>
      </c>
      <c r="PY47">
        <v>56</v>
      </c>
      <c r="PZ47" t="s">
        <v>1245</v>
      </c>
      <c r="QA47">
        <v>1</v>
      </c>
      <c r="QB47">
        <v>1531</v>
      </c>
      <c r="QC47">
        <v>69</v>
      </c>
      <c r="QD47">
        <v>69</v>
      </c>
      <c r="QE47" t="s">
        <v>1246</v>
      </c>
      <c r="QF47">
        <v>1</v>
      </c>
      <c r="QG47">
        <v>1554</v>
      </c>
      <c r="QH47">
        <v>66</v>
      </c>
      <c r="QI47">
        <v>66</v>
      </c>
      <c r="QJ47" t="s">
        <v>580</v>
      </c>
      <c r="QK47">
        <v>1</v>
      </c>
      <c r="QL47">
        <v>1554</v>
      </c>
      <c r="QM47">
        <v>62</v>
      </c>
      <c r="QN47">
        <v>62</v>
      </c>
      <c r="QO47" t="s">
        <v>1247</v>
      </c>
      <c r="QP47">
        <v>1</v>
      </c>
      <c r="QQ47">
        <v>1547</v>
      </c>
      <c r="QR47">
        <v>62</v>
      </c>
      <c r="QS47">
        <v>62</v>
      </c>
      <c r="QT47" t="s">
        <v>1248</v>
      </c>
      <c r="QU47">
        <v>1</v>
      </c>
      <c r="QV47">
        <v>1552</v>
      </c>
      <c r="QW47">
        <v>82</v>
      </c>
      <c r="QX47" t="s">
        <v>587</v>
      </c>
      <c r="QY47" t="s">
        <v>1249</v>
      </c>
      <c r="QZ47">
        <v>1</v>
      </c>
      <c r="RA47">
        <v>66</v>
      </c>
      <c r="RB47">
        <v>66</v>
      </c>
      <c r="RE47">
        <v>0</v>
      </c>
      <c r="RF47">
        <v>1</v>
      </c>
      <c r="RH47">
        <v>1</v>
      </c>
      <c r="RJ47">
        <v>1</v>
      </c>
      <c r="RK47">
        <v>3</v>
      </c>
      <c r="RL47">
        <v>4</v>
      </c>
      <c r="RM47">
        <v>4</v>
      </c>
      <c r="RO47">
        <v>595</v>
      </c>
      <c r="RP47">
        <v>170</v>
      </c>
      <c r="RQ47">
        <v>703</v>
      </c>
      <c r="RR47">
        <v>541</v>
      </c>
      <c r="RT47">
        <v>287</v>
      </c>
      <c r="RU47">
        <v>196</v>
      </c>
      <c r="RV47" t="s">
        <v>1251</v>
      </c>
      <c r="RW47" t="s">
        <v>599</v>
      </c>
      <c r="RX47">
        <v>15</v>
      </c>
      <c r="RY47">
        <v>4</v>
      </c>
      <c r="RZ47" t="s">
        <v>599</v>
      </c>
      <c r="SA47">
        <v>15</v>
      </c>
      <c r="SC47" t="s">
        <v>1247</v>
      </c>
      <c r="SD47">
        <v>1</v>
      </c>
      <c r="SF47" t="s">
        <v>1248</v>
      </c>
      <c r="SG47">
        <v>1</v>
      </c>
      <c r="SH47">
        <v>0.995</v>
      </c>
      <c r="SI47">
        <v>0.995</v>
      </c>
      <c r="SJ47">
        <v>0.995</v>
      </c>
      <c r="SK47">
        <v>15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1</v>
      </c>
      <c r="SZ47">
        <v>1</v>
      </c>
      <c r="TB47">
        <v>0</v>
      </c>
      <c r="TC47">
        <v>0</v>
      </c>
      <c r="TD47">
        <v>7.5</v>
      </c>
      <c r="TE47" t="s">
        <v>553</v>
      </c>
      <c r="TF47" t="s">
        <v>624</v>
      </c>
      <c r="TG47" t="s">
        <v>555</v>
      </c>
      <c r="TI47" t="s">
        <v>546</v>
      </c>
      <c r="TJ47" t="s">
        <v>547</v>
      </c>
      <c r="TL47" t="s">
        <v>1252</v>
      </c>
      <c r="TM47" t="s">
        <v>513</v>
      </c>
      <c r="TN47">
        <v>0</v>
      </c>
      <c r="TO47" t="s">
        <v>601</v>
      </c>
    </row>
    <row r="48" spans="1:535">
      <c r="A48" t="s">
        <v>1253</v>
      </c>
      <c r="B48" t="s">
        <v>711</v>
      </c>
      <c r="C48" t="s">
        <v>509</v>
      </c>
      <c r="D48" t="s">
        <v>1254</v>
      </c>
      <c r="G48" t="s">
        <v>1088</v>
      </c>
      <c r="L48" t="s">
        <v>512</v>
      </c>
      <c r="M48" t="s">
        <v>804</v>
      </c>
      <c r="N48" t="s">
        <v>513</v>
      </c>
      <c r="O48" t="s">
        <v>1255</v>
      </c>
      <c r="P48" t="s">
        <v>515</v>
      </c>
      <c r="Q48" t="s">
        <v>1256</v>
      </c>
      <c r="R48" t="s">
        <v>517</v>
      </c>
      <c r="S48" t="s">
        <v>1159</v>
      </c>
      <c r="T48" t="s">
        <v>1160</v>
      </c>
      <c r="U48" t="s">
        <v>662</v>
      </c>
      <c r="V48" t="s">
        <v>663</v>
      </c>
      <c r="W48" t="s">
        <v>1257</v>
      </c>
      <c r="X48" t="s">
        <v>1242</v>
      </c>
      <c r="Y48" t="s">
        <v>574</v>
      </c>
      <c r="Z48" t="s">
        <v>1258</v>
      </c>
      <c r="AA48" t="s">
        <v>1259</v>
      </c>
      <c r="AB48" t="s">
        <v>1260</v>
      </c>
      <c r="AC48">
        <v>2</v>
      </c>
      <c r="AD48">
        <v>56</v>
      </c>
      <c r="AE48">
        <v>275</v>
      </c>
      <c r="AF48">
        <v>1.5</v>
      </c>
      <c r="AH48">
        <v>0</v>
      </c>
      <c r="AI48" t="s">
        <v>1165</v>
      </c>
      <c r="AJ48">
        <v>257.5</v>
      </c>
      <c r="AK48">
        <v>1</v>
      </c>
      <c r="AL48">
        <v>1.5</v>
      </c>
      <c r="AM48" t="s">
        <v>579</v>
      </c>
      <c r="AN48" t="s">
        <v>795</v>
      </c>
      <c r="AO48">
        <v>2</v>
      </c>
      <c r="AP48" t="s">
        <v>581</v>
      </c>
      <c r="AQ48" t="s">
        <v>582</v>
      </c>
      <c r="AR48">
        <v>304</v>
      </c>
      <c r="AS48">
        <v>1.5</v>
      </c>
      <c r="AT48" t="s">
        <v>583</v>
      </c>
      <c r="AU48" t="s">
        <v>1261</v>
      </c>
      <c r="AW48" t="s">
        <v>1261</v>
      </c>
      <c r="AX48">
        <v>1</v>
      </c>
      <c r="AY48">
        <v>370</v>
      </c>
      <c r="AZ48">
        <v>1.5</v>
      </c>
      <c r="BA48" t="s">
        <v>579</v>
      </c>
      <c r="BB48" t="s">
        <v>1262</v>
      </c>
      <c r="BD48" t="s">
        <v>1262</v>
      </c>
      <c r="BE48">
        <v>1</v>
      </c>
      <c r="BF48">
        <v>300</v>
      </c>
      <c r="BG48">
        <v>1.5</v>
      </c>
      <c r="BJ48">
        <v>0</v>
      </c>
      <c r="BN48">
        <v>1.5</v>
      </c>
      <c r="BP48" t="s">
        <v>1263</v>
      </c>
      <c r="BQ48">
        <v>88</v>
      </c>
      <c r="BR48">
        <v>2</v>
      </c>
      <c r="BS48" t="s">
        <v>1264</v>
      </c>
      <c r="BT48">
        <v>275</v>
      </c>
      <c r="BU48">
        <v>0.5</v>
      </c>
      <c r="BV48" t="s">
        <v>1264</v>
      </c>
      <c r="BW48">
        <v>550</v>
      </c>
      <c r="BX48">
        <v>1</v>
      </c>
      <c r="BY48" t="s">
        <v>643</v>
      </c>
      <c r="BZ48">
        <v>470</v>
      </c>
      <c r="CA48">
        <v>590</v>
      </c>
      <c r="CB48" t="s">
        <v>672</v>
      </c>
      <c r="CC48" t="s">
        <v>997</v>
      </c>
      <c r="CD48">
        <v>564</v>
      </c>
      <c r="CE48" t="s">
        <v>673</v>
      </c>
      <c r="CF48">
        <v>15</v>
      </c>
      <c r="CG48" t="s">
        <v>1265</v>
      </c>
      <c r="CH48" t="s">
        <v>1265</v>
      </c>
      <c r="CI48">
        <v>60</v>
      </c>
      <c r="CJ48">
        <v>1381</v>
      </c>
      <c r="CK48">
        <v>2</v>
      </c>
      <c r="CL48">
        <v>1475</v>
      </c>
      <c r="CM48">
        <v>2</v>
      </c>
      <c r="CN48" t="s">
        <v>675</v>
      </c>
      <c r="CO48" t="s">
        <v>676</v>
      </c>
      <c r="CP48" t="s">
        <v>595</v>
      </c>
      <c r="CQ48" t="s">
        <v>596</v>
      </c>
      <c r="CR48" t="s">
        <v>541</v>
      </c>
      <c r="CS48" t="s">
        <v>542</v>
      </c>
      <c r="CT48">
        <v>515</v>
      </c>
      <c r="CU48">
        <v>5</v>
      </c>
      <c r="CV48">
        <v>1.2</v>
      </c>
      <c r="CW48">
        <v>1398</v>
      </c>
      <c r="CX48">
        <v>1019</v>
      </c>
      <c r="CY48" t="s">
        <v>705</v>
      </c>
      <c r="CZ48">
        <v>60</v>
      </c>
      <c r="DA48">
        <v>3</v>
      </c>
      <c r="DB48">
        <v>1</v>
      </c>
      <c r="DC48">
        <v>1398</v>
      </c>
      <c r="DD48">
        <v>87</v>
      </c>
      <c r="DE48" t="s">
        <v>543</v>
      </c>
      <c r="DF48">
        <v>740</v>
      </c>
      <c r="DG48">
        <v>3</v>
      </c>
      <c r="DH48">
        <v>1.18</v>
      </c>
      <c r="DI48">
        <v>1391</v>
      </c>
      <c r="DJ48">
        <v>1640</v>
      </c>
      <c r="DK48" t="s">
        <v>543</v>
      </c>
      <c r="DL48">
        <v>600</v>
      </c>
      <c r="DM48">
        <v>3</v>
      </c>
      <c r="DN48">
        <v>1.18</v>
      </c>
      <c r="DO48">
        <v>1399</v>
      </c>
      <c r="DP48">
        <v>1175</v>
      </c>
      <c r="DW48" t="s">
        <v>544</v>
      </c>
      <c r="DX48">
        <v>9.4</v>
      </c>
      <c r="EA48">
        <v>1465.9</v>
      </c>
      <c r="EB48">
        <v>345</v>
      </c>
      <c r="EC48" t="s">
        <v>545</v>
      </c>
      <c r="ED48">
        <v>40</v>
      </c>
      <c r="EE48">
        <v>3</v>
      </c>
      <c r="EG48">
        <v>1507</v>
      </c>
      <c r="EH48">
        <v>294</v>
      </c>
      <c r="EJ48">
        <v>0</v>
      </c>
      <c r="EK48">
        <v>1</v>
      </c>
      <c r="EN48">
        <v>0</v>
      </c>
      <c r="EP48" t="s">
        <v>546</v>
      </c>
      <c r="EQ48">
        <v>165</v>
      </c>
      <c r="ER48">
        <v>3</v>
      </c>
      <c r="ES48">
        <v>6.5</v>
      </c>
      <c r="ET48">
        <v>1384</v>
      </c>
      <c r="EU48">
        <v>845.2</v>
      </c>
      <c r="EV48">
        <v>1170</v>
      </c>
      <c r="EW48" t="s">
        <v>547</v>
      </c>
      <c r="EX48">
        <v>40</v>
      </c>
      <c r="EY48">
        <v>2</v>
      </c>
      <c r="EZ48">
        <v>4</v>
      </c>
      <c r="FA48">
        <v>1384</v>
      </c>
      <c r="FB48">
        <v>114.8</v>
      </c>
      <c r="FC48">
        <v>159</v>
      </c>
      <c r="FE48">
        <v>0</v>
      </c>
      <c r="FF48">
        <v>2</v>
      </c>
      <c r="FI48">
        <v>0</v>
      </c>
      <c r="FK48" t="s">
        <v>548</v>
      </c>
      <c r="FL48">
        <v>0.4</v>
      </c>
      <c r="FM48">
        <v>80</v>
      </c>
      <c r="FN48">
        <v>480</v>
      </c>
      <c r="FO48">
        <v>120</v>
      </c>
      <c r="FP48">
        <v>170</v>
      </c>
      <c r="GR48" t="s">
        <v>548</v>
      </c>
      <c r="GS48">
        <v>0.4</v>
      </c>
      <c r="GT48">
        <v>30</v>
      </c>
      <c r="GU48">
        <v>510</v>
      </c>
      <c r="HC48">
        <v>0.1</v>
      </c>
      <c r="HD48">
        <v>3</v>
      </c>
      <c r="HE48">
        <v>3</v>
      </c>
      <c r="HF48">
        <v>3</v>
      </c>
      <c r="HG48">
        <v>3</v>
      </c>
      <c r="HH48">
        <v>3</v>
      </c>
      <c r="HI48">
        <v>190</v>
      </c>
      <c r="HJ48">
        <v>3</v>
      </c>
      <c r="HK48">
        <v>25</v>
      </c>
      <c r="HL48">
        <v>2</v>
      </c>
      <c r="HM48">
        <v>0</v>
      </c>
      <c r="HN48">
        <v>2</v>
      </c>
      <c r="HO48">
        <v>150</v>
      </c>
      <c r="HP48">
        <v>3</v>
      </c>
      <c r="HQ48">
        <v>0</v>
      </c>
      <c r="HR48">
        <v>2</v>
      </c>
      <c r="HS48">
        <v>7944</v>
      </c>
      <c r="HT48">
        <v>240</v>
      </c>
      <c r="HU48">
        <v>180</v>
      </c>
      <c r="HW48">
        <v>0</v>
      </c>
      <c r="HX48">
        <v>600</v>
      </c>
      <c r="HY48">
        <v>0.18</v>
      </c>
      <c r="IA48">
        <v>0.15</v>
      </c>
      <c r="IB48">
        <v>0</v>
      </c>
      <c r="IC48">
        <v>180</v>
      </c>
      <c r="ID48">
        <v>110</v>
      </c>
      <c r="IE48">
        <v>225</v>
      </c>
      <c r="IF48">
        <v>0</v>
      </c>
      <c r="IH48" t="s">
        <v>549</v>
      </c>
      <c r="IO48">
        <v>3</v>
      </c>
      <c r="IP48">
        <v>18</v>
      </c>
      <c r="IQ48">
        <v>0</v>
      </c>
      <c r="IR48">
        <v>0</v>
      </c>
      <c r="IV48">
        <v>1381</v>
      </c>
      <c r="IW48">
        <v>550</v>
      </c>
      <c r="JA48">
        <v>1</v>
      </c>
      <c r="JB48">
        <v>0</v>
      </c>
      <c r="JC48">
        <v>2</v>
      </c>
      <c r="JD48">
        <v>1398</v>
      </c>
      <c r="JE48">
        <v>1391</v>
      </c>
      <c r="JF48">
        <v>1399</v>
      </c>
      <c r="JG48">
        <v>1384</v>
      </c>
      <c r="JH48">
        <v>0</v>
      </c>
      <c r="JJ48">
        <v>180</v>
      </c>
      <c r="JK48">
        <v>600</v>
      </c>
      <c r="JN48">
        <v>515</v>
      </c>
      <c r="JO48">
        <v>740</v>
      </c>
      <c r="JP48">
        <v>600</v>
      </c>
      <c r="JQ48">
        <v>0</v>
      </c>
      <c r="JR48">
        <v>550</v>
      </c>
      <c r="JS48">
        <v>190</v>
      </c>
      <c r="JV48">
        <v>10</v>
      </c>
      <c r="JW48" t="s">
        <v>550</v>
      </c>
      <c r="JX48">
        <v>608</v>
      </c>
      <c r="KA48">
        <v>225</v>
      </c>
      <c r="KB48">
        <v>110</v>
      </c>
      <c r="KC48">
        <v>0</v>
      </c>
      <c r="KD48">
        <v>80</v>
      </c>
      <c r="KF48">
        <v>4</v>
      </c>
      <c r="KG48">
        <v>2</v>
      </c>
      <c r="KH48">
        <v>2</v>
      </c>
      <c r="KI48">
        <v>2</v>
      </c>
      <c r="KJ48">
        <v>0</v>
      </c>
      <c r="KK48">
        <v>1.5</v>
      </c>
      <c r="KL48">
        <v>1.5</v>
      </c>
      <c r="KM48">
        <v>0</v>
      </c>
      <c r="KN48">
        <v>0</v>
      </c>
      <c r="KO48">
        <v>0</v>
      </c>
      <c r="KR48">
        <v>30</v>
      </c>
      <c r="KS48">
        <v>60</v>
      </c>
      <c r="KT48">
        <v>0</v>
      </c>
      <c r="LK48">
        <v>480</v>
      </c>
      <c r="PG48">
        <v>1</v>
      </c>
      <c r="PI48" t="s">
        <v>1260</v>
      </c>
      <c r="PJ48" t="s">
        <v>1261</v>
      </c>
      <c r="PK48" t="s">
        <v>1262</v>
      </c>
      <c r="PL48" t="s">
        <v>1165</v>
      </c>
      <c r="PP48" t="s">
        <v>1263</v>
      </c>
      <c r="PS48" t="s">
        <v>795</v>
      </c>
      <c r="PX48">
        <v>56</v>
      </c>
      <c r="PY48">
        <v>56</v>
      </c>
      <c r="PZ48" t="s">
        <v>1260</v>
      </c>
      <c r="QA48">
        <v>1</v>
      </c>
      <c r="QB48">
        <v>1384</v>
      </c>
      <c r="QC48">
        <v>69</v>
      </c>
      <c r="QD48">
        <v>69</v>
      </c>
      <c r="QE48" t="s">
        <v>1165</v>
      </c>
      <c r="QF48">
        <v>1</v>
      </c>
      <c r="QG48">
        <v>1398</v>
      </c>
      <c r="QH48">
        <v>66</v>
      </c>
      <c r="QI48">
        <v>66</v>
      </c>
      <c r="QJ48" t="s">
        <v>795</v>
      </c>
      <c r="QK48">
        <v>2</v>
      </c>
      <c r="QL48">
        <v>1398</v>
      </c>
      <c r="QM48">
        <v>62</v>
      </c>
      <c r="QN48">
        <v>62</v>
      </c>
      <c r="QO48" t="s">
        <v>1261</v>
      </c>
      <c r="QP48">
        <v>1</v>
      </c>
      <c r="QQ48">
        <v>1391</v>
      </c>
      <c r="QR48">
        <v>62</v>
      </c>
      <c r="QS48">
        <v>62</v>
      </c>
      <c r="QT48" t="s">
        <v>1262</v>
      </c>
      <c r="QU48">
        <v>1</v>
      </c>
      <c r="QV48">
        <v>1399</v>
      </c>
      <c r="QW48">
        <v>82</v>
      </c>
      <c r="QX48">
        <v>88</v>
      </c>
      <c r="QY48" t="s">
        <v>1263</v>
      </c>
      <c r="QZ48">
        <v>1</v>
      </c>
      <c r="RA48">
        <v>66</v>
      </c>
      <c r="RB48">
        <v>66</v>
      </c>
      <c r="RE48">
        <v>0</v>
      </c>
      <c r="RF48">
        <v>1</v>
      </c>
      <c r="RH48">
        <v>1</v>
      </c>
      <c r="RJ48">
        <v>1</v>
      </c>
      <c r="RK48">
        <v>2</v>
      </c>
      <c r="RL48">
        <v>2</v>
      </c>
      <c r="RM48">
        <v>2</v>
      </c>
      <c r="RO48">
        <v>729</v>
      </c>
      <c r="RP48">
        <v>125</v>
      </c>
      <c r="RQ48">
        <v>1179</v>
      </c>
      <c r="RR48">
        <v>840</v>
      </c>
      <c r="RT48">
        <v>345</v>
      </c>
      <c r="RU48">
        <v>294</v>
      </c>
      <c r="RV48" t="s">
        <v>1266</v>
      </c>
      <c r="RW48" t="s">
        <v>679</v>
      </c>
      <c r="RX48">
        <v>15</v>
      </c>
      <c r="RY48">
        <v>4</v>
      </c>
      <c r="RZ48" t="s">
        <v>679</v>
      </c>
      <c r="SA48">
        <v>15</v>
      </c>
      <c r="SC48" t="s">
        <v>1261</v>
      </c>
      <c r="SD48">
        <v>1</v>
      </c>
      <c r="SF48" t="s">
        <v>1262</v>
      </c>
      <c r="SG48">
        <v>1</v>
      </c>
      <c r="SH48">
        <v>0.995</v>
      </c>
      <c r="SI48">
        <v>0.995</v>
      </c>
      <c r="SJ48">
        <v>0.995</v>
      </c>
      <c r="SK48">
        <v>15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1</v>
      </c>
      <c r="SZ48">
        <v>1</v>
      </c>
      <c r="TB48">
        <v>0</v>
      </c>
      <c r="TC48">
        <v>0</v>
      </c>
      <c r="TD48">
        <v>9.4</v>
      </c>
      <c r="TE48" t="s">
        <v>553</v>
      </c>
      <c r="TF48" t="s">
        <v>600</v>
      </c>
      <c r="TG48" t="s">
        <v>555</v>
      </c>
      <c r="TI48" t="s">
        <v>546</v>
      </c>
      <c r="TJ48" t="s">
        <v>547</v>
      </c>
      <c r="TL48" t="s">
        <v>1252</v>
      </c>
      <c r="TM48" t="s">
        <v>513</v>
      </c>
      <c r="TN48">
        <v>0</v>
      </c>
      <c r="TO48" t="s">
        <v>557</v>
      </c>
    </row>
    <row r="49" spans="1:535">
      <c r="A49" t="s">
        <v>1267</v>
      </c>
      <c r="B49" t="s">
        <v>629</v>
      </c>
      <c r="C49" t="s">
        <v>509</v>
      </c>
      <c r="D49" t="s">
        <v>1268</v>
      </c>
      <c r="G49" t="s">
        <v>511</v>
      </c>
      <c r="I49" t="s">
        <v>562</v>
      </c>
      <c r="L49" t="s">
        <v>512</v>
      </c>
      <c r="M49" t="s">
        <v>711</v>
      </c>
      <c r="N49" t="s">
        <v>513</v>
      </c>
      <c r="O49" t="s">
        <v>565</v>
      </c>
      <c r="Q49" t="s">
        <v>1269</v>
      </c>
      <c r="R49" t="s">
        <v>517</v>
      </c>
      <c r="S49" t="s">
        <v>1090</v>
      </c>
      <c r="T49" t="s">
        <v>1091</v>
      </c>
      <c r="U49" t="s">
        <v>686</v>
      </c>
      <c r="V49" t="s">
        <v>687</v>
      </c>
      <c r="W49" t="s">
        <v>1270</v>
      </c>
      <c r="X49" t="s">
        <v>1242</v>
      </c>
      <c r="Y49" t="s">
        <v>574</v>
      </c>
      <c r="Z49" t="s">
        <v>1271</v>
      </c>
      <c r="AA49" t="s">
        <v>1272</v>
      </c>
      <c r="AB49" t="s">
        <v>1273</v>
      </c>
      <c r="AC49">
        <v>2</v>
      </c>
      <c r="AD49">
        <v>56</v>
      </c>
      <c r="AE49">
        <v>251</v>
      </c>
      <c r="AF49">
        <v>1.5</v>
      </c>
      <c r="AH49">
        <v>0</v>
      </c>
      <c r="AI49" t="s">
        <v>1274</v>
      </c>
      <c r="AJ49">
        <v>235</v>
      </c>
      <c r="AK49">
        <v>1</v>
      </c>
      <c r="AL49">
        <v>1.5</v>
      </c>
      <c r="AM49" t="s">
        <v>579</v>
      </c>
      <c r="AN49" t="s">
        <v>795</v>
      </c>
      <c r="AO49">
        <v>2</v>
      </c>
      <c r="AP49" t="s">
        <v>581</v>
      </c>
      <c r="AQ49" t="s">
        <v>582</v>
      </c>
      <c r="AR49">
        <v>283</v>
      </c>
      <c r="AS49">
        <v>1.5</v>
      </c>
      <c r="AT49" t="s">
        <v>583</v>
      </c>
      <c r="AU49" t="s">
        <v>1275</v>
      </c>
      <c r="AW49" t="s">
        <v>1275</v>
      </c>
      <c r="AX49">
        <v>1</v>
      </c>
      <c r="AY49">
        <v>317.5</v>
      </c>
      <c r="AZ49">
        <v>1.5</v>
      </c>
      <c r="BA49" t="s">
        <v>579</v>
      </c>
      <c r="BB49" t="s">
        <v>1276</v>
      </c>
      <c r="BD49" t="s">
        <v>1276</v>
      </c>
      <c r="BE49">
        <v>1</v>
      </c>
      <c r="BF49">
        <v>275</v>
      </c>
      <c r="BG49">
        <v>1.5</v>
      </c>
      <c r="BJ49">
        <v>0</v>
      </c>
      <c r="BN49">
        <v>1.5</v>
      </c>
      <c r="BP49" t="s">
        <v>1277</v>
      </c>
      <c r="BQ49">
        <v>88</v>
      </c>
      <c r="BR49">
        <v>2</v>
      </c>
      <c r="BS49" t="s">
        <v>1278</v>
      </c>
      <c r="BT49">
        <v>250</v>
      </c>
      <c r="BU49">
        <v>0.5</v>
      </c>
      <c r="BV49" t="s">
        <v>1278</v>
      </c>
      <c r="BW49">
        <v>500</v>
      </c>
      <c r="BX49">
        <v>1</v>
      </c>
      <c r="BY49" t="s">
        <v>698</v>
      </c>
      <c r="BZ49">
        <v>470</v>
      </c>
      <c r="CA49">
        <v>610</v>
      </c>
      <c r="CB49" t="s">
        <v>699</v>
      </c>
      <c r="CC49" t="s">
        <v>699</v>
      </c>
      <c r="CD49">
        <v>520</v>
      </c>
      <c r="CE49" t="s">
        <v>700</v>
      </c>
      <c r="CF49">
        <v>15</v>
      </c>
      <c r="CG49" t="s">
        <v>859</v>
      </c>
      <c r="CH49" t="s">
        <v>859</v>
      </c>
      <c r="CI49">
        <v>70</v>
      </c>
      <c r="CJ49">
        <v>1458</v>
      </c>
      <c r="CK49">
        <v>2</v>
      </c>
      <c r="CL49">
        <v>1552</v>
      </c>
      <c r="CM49">
        <v>2</v>
      </c>
      <c r="CN49" t="s">
        <v>702</v>
      </c>
      <c r="CO49" t="s">
        <v>676</v>
      </c>
      <c r="CP49" t="s">
        <v>703</v>
      </c>
      <c r="CQ49" t="s">
        <v>596</v>
      </c>
      <c r="CR49" t="s">
        <v>541</v>
      </c>
      <c r="CS49" t="s">
        <v>542</v>
      </c>
      <c r="CT49">
        <v>470</v>
      </c>
      <c r="CU49">
        <v>5</v>
      </c>
      <c r="CV49">
        <v>1.2</v>
      </c>
      <c r="CW49">
        <v>1475</v>
      </c>
      <c r="CX49">
        <v>982</v>
      </c>
      <c r="CY49" t="s">
        <v>705</v>
      </c>
      <c r="CZ49">
        <v>60</v>
      </c>
      <c r="DA49">
        <v>3</v>
      </c>
      <c r="DB49">
        <v>1</v>
      </c>
      <c r="DC49">
        <v>1475</v>
      </c>
      <c r="DD49">
        <v>92</v>
      </c>
      <c r="DE49" t="s">
        <v>543</v>
      </c>
      <c r="DF49">
        <v>635</v>
      </c>
      <c r="DG49">
        <v>3</v>
      </c>
      <c r="DH49">
        <v>1.18</v>
      </c>
      <c r="DI49">
        <v>1468</v>
      </c>
      <c r="DJ49">
        <v>1484</v>
      </c>
      <c r="DK49" t="s">
        <v>543</v>
      </c>
      <c r="DL49">
        <v>550</v>
      </c>
      <c r="DM49">
        <v>3</v>
      </c>
      <c r="DN49">
        <v>1.18</v>
      </c>
      <c r="DO49">
        <v>1475</v>
      </c>
      <c r="DP49">
        <v>1139</v>
      </c>
      <c r="DW49" t="s">
        <v>544</v>
      </c>
      <c r="DX49">
        <v>9.4</v>
      </c>
      <c r="EA49">
        <v>1547.3</v>
      </c>
      <c r="EB49">
        <v>364</v>
      </c>
      <c r="EC49" t="s">
        <v>545</v>
      </c>
      <c r="ED49">
        <v>30</v>
      </c>
      <c r="EE49">
        <v>3</v>
      </c>
      <c r="EG49">
        <v>1588</v>
      </c>
      <c r="EH49">
        <v>221</v>
      </c>
      <c r="EJ49">
        <v>0</v>
      </c>
      <c r="EK49">
        <v>1</v>
      </c>
      <c r="EN49">
        <v>0</v>
      </c>
      <c r="EP49" t="s">
        <v>546</v>
      </c>
      <c r="EQ49">
        <v>135</v>
      </c>
      <c r="ER49">
        <v>3</v>
      </c>
      <c r="ES49">
        <v>6</v>
      </c>
      <c r="ET49">
        <v>1457</v>
      </c>
      <c r="EU49">
        <v>595.1</v>
      </c>
      <c r="EV49">
        <v>867</v>
      </c>
      <c r="EW49" t="s">
        <v>547</v>
      </c>
      <c r="EX49">
        <v>45</v>
      </c>
      <c r="EY49">
        <v>2</v>
      </c>
      <c r="EZ49">
        <v>4</v>
      </c>
      <c r="FA49">
        <v>1457</v>
      </c>
      <c r="FB49">
        <v>136.5</v>
      </c>
      <c r="FC49">
        <v>199</v>
      </c>
      <c r="FE49">
        <v>0</v>
      </c>
      <c r="FF49">
        <v>2</v>
      </c>
      <c r="FI49">
        <v>0</v>
      </c>
      <c r="FK49" t="s">
        <v>548</v>
      </c>
      <c r="FL49">
        <v>0.4</v>
      </c>
      <c r="FM49">
        <v>75</v>
      </c>
      <c r="FN49">
        <v>440</v>
      </c>
      <c r="FO49">
        <v>95</v>
      </c>
      <c r="FP49">
        <v>180</v>
      </c>
      <c r="GR49" t="s">
        <v>548</v>
      </c>
      <c r="GS49">
        <v>0.4</v>
      </c>
      <c r="GT49">
        <v>30</v>
      </c>
      <c r="GU49">
        <v>460</v>
      </c>
      <c r="HC49">
        <v>0.1</v>
      </c>
      <c r="HD49">
        <v>3</v>
      </c>
      <c r="HE49">
        <v>3</v>
      </c>
      <c r="HF49">
        <v>3</v>
      </c>
      <c r="HG49">
        <v>3</v>
      </c>
      <c r="HH49">
        <v>3</v>
      </c>
      <c r="HI49">
        <v>165</v>
      </c>
      <c r="HJ49">
        <v>3</v>
      </c>
      <c r="HK49">
        <v>30</v>
      </c>
      <c r="HL49">
        <v>2</v>
      </c>
      <c r="HM49">
        <v>0</v>
      </c>
      <c r="HN49">
        <v>2</v>
      </c>
      <c r="HO49">
        <v>120</v>
      </c>
      <c r="HP49">
        <v>3</v>
      </c>
      <c r="HQ49">
        <v>0</v>
      </c>
      <c r="HR49">
        <v>2</v>
      </c>
      <c r="HS49">
        <v>7091</v>
      </c>
      <c r="HT49">
        <v>210</v>
      </c>
      <c r="HU49">
        <v>180</v>
      </c>
      <c r="HW49">
        <v>0</v>
      </c>
      <c r="HX49">
        <v>540</v>
      </c>
      <c r="HY49">
        <v>0.18</v>
      </c>
      <c r="IA49">
        <v>0.15</v>
      </c>
      <c r="IB49">
        <v>0</v>
      </c>
      <c r="IC49">
        <v>180</v>
      </c>
      <c r="ID49">
        <v>110</v>
      </c>
      <c r="IE49">
        <v>225</v>
      </c>
      <c r="IF49">
        <v>0</v>
      </c>
      <c r="IH49" t="s">
        <v>549</v>
      </c>
      <c r="IO49">
        <v>3</v>
      </c>
      <c r="IP49">
        <v>19</v>
      </c>
      <c r="IQ49">
        <v>0</v>
      </c>
      <c r="IR49">
        <v>0</v>
      </c>
      <c r="IV49">
        <v>1458</v>
      </c>
      <c r="IW49">
        <v>500</v>
      </c>
      <c r="JA49">
        <v>1</v>
      </c>
      <c r="JB49">
        <v>0</v>
      </c>
      <c r="JC49">
        <v>2</v>
      </c>
      <c r="JD49">
        <v>1475</v>
      </c>
      <c r="JE49">
        <v>1468</v>
      </c>
      <c r="JF49">
        <v>1475</v>
      </c>
      <c r="JG49">
        <v>1457</v>
      </c>
      <c r="JH49">
        <v>0</v>
      </c>
      <c r="JJ49">
        <v>180</v>
      </c>
      <c r="JK49">
        <v>540</v>
      </c>
      <c r="JN49">
        <v>470</v>
      </c>
      <c r="JO49">
        <v>635</v>
      </c>
      <c r="JP49">
        <v>550</v>
      </c>
      <c r="JQ49">
        <v>0</v>
      </c>
      <c r="JR49">
        <v>502</v>
      </c>
      <c r="JS49">
        <v>165</v>
      </c>
      <c r="JV49">
        <v>10</v>
      </c>
      <c r="JW49" t="s">
        <v>550</v>
      </c>
      <c r="JX49">
        <v>566</v>
      </c>
      <c r="KA49">
        <v>225</v>
      </c>
      <c r="KB49">
        <v>110</v>
      </c>
      <c r="KC49">
        <v>0</v>
      </c>
      <c r="KD49">
        <v>80</v>
      </c>
      <c r="KF49">
        <v>4</v>
      </c>
      <c r="KG49">
        <v>2</v>
      </c>
      <c r="KH49">
        <v>2</v>
      </c>
      <c r="KI49">
        <v>2</v>
      </c>
      <c r="KJ49">
        <v>0</v>
      </c>
      <c r="KK49">
        <v>1.5</v>
      </c>
      <c r="KL49">
        <v>1.5</v>
      </c>
      <c r="KM49">
        <v>0</v>
      </c>
      <c r="KN49">
        <v>0</v>
      </c>
      <c r="KO49">
        <v>0</v>
      </c>
      <c r="KR49">
        <v>50</v>
      </c>
      <c r="KS49">
        <v>60</v>
      </c>
      <c r="KT49">
        <v>0</v>
      </c>
      <c r="LK49">
        <v>480</v>
      </c>
      <c r="PG49">
        <v>1</v>
      </c>
      <c r="PI49" t="s">
        <v>1273</v>
      </c>
      <c r="PJ49" t="s">
        <v>1275</v>
      </c>
      <c r="PK49" t="s">
        <v>1276</v>
      </c>
      <c r="PL49" t="s">
        <v>1274</v>
      </c>
      <c r="PP49" t="s">
        <v>1277</v>
      </c>
      <c r="PS49" t="s">
        <v>795</v>
      </c>
      <c r="PX49">
        <v>56</v>
      </c>
      <c r="PY49">
        <v>56</v>
      </c>
      <c r="PZ49" t="s">
        <v>1273</v>
      </c>
      <c r="QA49">
        <v>1</v>
      </c>
      <c r="QB49">
        <v>1457</v>
      </c>
      <c r="QC49">
        <v>69</v>
      </c>
      <c r="QD49">
        <v>69</v>
      </c>
      <c r="QE49" t="s">
        <v>1274</v>
      </c>
      <c r="QF49">
        <v>1</v>
      </c>
      <c r="QG49">
        <v>1475</v>
      </c>
      <c r="QH49">
        <v>66</v>
      </c>
      <c r="QI49">
        <v>66</v>
      </c>
      <c r="QJ49" t="s">
        <v>795</v>
      </c>
      <c r="QK49">
        <v>1</v>
      </c>
      <c r="QL49">
        <v>1475</v>
      </c>
      <c r="QM49">
        <v>62</v>
      </c>
      <c r="QN49">
        <v>62</v>
      </c>
      <c r="QO49" t="s">
        <v>1275</v>
      </c>
      <c r="QP49">
        <v>1</v>
      </c>
      <c r="QQ49">
        <v>1468</v>
      </c>
      <c r="QR49">
        <v>62</v>
      </c>
      <c r="QS49">
        <v>62</v>
      </c>
      <c r="QT49" t="s">
        <v>1276</v>
      </c>
      <c r="QU49">
        <v>1</v>
      </c>
      <c r="QV49">
        <v>1475</v>
      </c>
      <c r="QW49">
        <v>82</v>
      </c>
      <c r="QX49">
        <v>88</v>
      </c>
      <c r="QY49" t="s">
        <v>1277</v>
      </c>
      <c r="QZ49">
        <v>1</v>
      </c>
      <c r="RA49">
        <v>66</v>
      </c>
      <c r="RB49">
        <v>66</v>
      </c>
      <c r="RE49">
        <v>0</v>
      </c>
      <c r="RF49">
        <v>1</v>
      </c>
      <c r="RH49">
        <v>1</v>
      </c>
      <c r="RJ49">
        <v>1</v>
      </c>
      <c r="RK49">
        <v>2</v>
      </c>
      <c r="RL49">
        <v>2</v>
      </c>
      <c r="RM49">
        <v>2</v>
      </c>
      <c r="RO49">
        <v>666</v>
      </c>
      <c r="RP49">
        <v>125</v>
      </c>
      <c r="RQ49">
        <v>1011</v>
      </c>
      <c r="RR49">
        <v>772</v>
      </c>
      <c r="RT49">
        <v>364</v>
      </c>
      <c r="RU49">
        <v>221</v>
      </c>
      <c r="RV49" t="s">
        <v>1279</v>
      </c>
      <c r="RW49" t="s">
        <v>707</v>
      </c>
      <c r="RX49">
        <v>15</v>
      </c>
      <c r="RY49">
        <v>4</v>
      </c>
      <c r="RZ49" t="s">
        <v>707</v>
      </c>
      <c r="SA49">
        <v>15</v>
      </c>
      <c r="SC49" t="s">
        <v>1275</v>
      </c>
      <c r="SD49">
        <v>1</v>
      </c>
      <c r="SF49" t="s">
        <v>1276</v>
      </c>
      <c r="SG49">
        <v>1</v>
      </c>
      <c r="SH49">
        <v>0.995</v>
      </c>
      <c r="SI49">
        <v>0.995</v>
      </c>
      <c r="SJ49">
        <v>0.995</v>
      </c>
      <c r="SK49">
        <v>15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1</v>
      </c>
      <c r="SZ49">
        <v>1</v>
      </c>
      <c r="TB49">
        <v>0</v>
      </c>
      <c r="TC49">
        <v>0</v>
      </c>
      <c r="TD49">
        <v>9.4</v>
      </c>
      <c r="TE49" t="s">
        <v>553</v>
      </c>
      <c r="TF49" t="s">
        <v>600</v>
      </c>
      <c r="TG49" t="s">
        <v>555</v>
      </c>
      <c r="TI49" t="s">
        <v>546</v>
      </c>
      <c r="TJ49" t="s">
        <v>547</v>
      </c>
      <c r="TL49" t="s">
        <v>1252</v>
      </c>
      <c r="TM49" t="s">
        <v>513</v>
      </c>
      <c r="TN49">
        <v>0</v>
      </c>
      <c r="TO49" t="s">
        <v>557</v>
      </c>
    </row>
    <row r="50" spans="1:535">
      <c r="A50" t="s">
        <v>1280</v>
      </c>
      <c r="B50" t="s">
        <v>657</v>
      </c>
      <c r="C50" t="s">
        <v>509</v>
      </c>
      <c r="D50" t="s">
        <v>1281</v>
      </c>
      <c r="G50" t="s">
        <v>604</v>
      </c>
      <c r="H50" t="s">
        <v>605</v>
      </c>
      <c r="I50" t="s">
        <v>628</v>
      </c>
      <c r="J50" t="s">
        <v>606</v>
      </c>
      <c r="L50" t="s">
        <v>512</v>
      </c>
      <c r="M50" t="s">
        <v>559</v>
      </c>
      <c r="N50" t="s">
        <v>513</v>
      </c>
      <c r="Q50" t="s">
        <v>1282</v>
      </c>
      <c r="R50" t="s">
        <v>517</v>
      </c>
      <c r="S50" t="s">
        <v>713</v>
      </c>
      <c r="T50" t="s">
        <v>714</v>
      </c>
      <c r="U50" t="s">
        <v>570</v>
      </c>
      <c r="V50" t="s">
        <v>571</v>
      </c>
      <c r="W50" t="s">
        <v>1283</v>
      </c>
      <c r="X50" t="s">
        <v>1242</v>
      </c>
      <c r="Y50" t="s">
        <v>524</v>
      </c>
      <c r="Z50" t="s">
        <v>1284</v>
      </c>
      <c r="AA50" t="s">
        <v>1285</v>
      </c>
      <c r="AB50" t="s">
        <v>1286</v>
      </c>
      <c r="AC50">
        <v>2</v>
      </c>
      <c r="AD50">
        <v>56</v>
      </c>
      <c r="AE50">
        <v>200</v>
      </c>
      <c r="AF50">
        <v>1.5</v>
      </c>
      <c r="AH50">
        <v>0</v>
      </c>
      <c r="AI50" t="s">
        <v>1287</v>
      </c>
      <c r="AJ50">
        <v>182.5</v>
      </c>
      <c r="AK50">
        <v>1</v>
      </c>
      <c r="AL50">
        <v>1.5</v>
      </c>
      <c r="AM50" t="s">
        <v>579</v>
      </c>
      <c r="AN50" t="s">
        <v>855</v>
      </c>
      <c r="AO50">
        <v>2</v>
      </c>
      <c r="AP50" t="s">
        <v>581</v>
      </c>
      <c r="AQ50" t="s">
        <v>582</v>
      </c>
      <c r="AR50">
        <v>220</v>
      </c>
      <c r="AS50">
        <v>1.5</v>
      </c>
      <c r="AT50" t="s">
        <v>583</v>
      </c>
      <c r="AU50" t="s">
        <v>1288</v>
      </c>
      <c r="AW50" t="s">
        <v>1288</v>
      </c>
      <c r="AX50">
        <v>1</v>
      </c>
      <c r="AY50">
        <v>257.5</v>
      </c>
      <c r="AZ50">
        <v>1.5</v>
      </c>
      <c r="BA50" t="s">
        <v>579</v>
      </c>
      <c r="BC50" t="s">
        <v>1289</v>
      </c>
      <c r="BD50" t="s">
        <v>1289</v>
      </c>
      <c r="BE50">
        <v>1</v>
      </c>
      <c r="BF50">
        <v>220</v>
      </c>
      <c r="BG50">
        <v>1.5</v>
      </c>
      <c r="BJ50">
        <v>0</v>
      </c>
      <c r="BN50">
        <v>1.5</v>
      </c>
      <c r="BP50" t="s">
        <v>1249</v>
      </c>
      <c r="BQ50" t="s">
        <v>587</v>
      </c>
      <c r="BR50">
        <v>2</v>
      </c>
      <c r="BS50" t="s">
        <v>1250</v>
      </c>
      <c r="BT50">
        <v>200</v>
      </c>
      <c r="BU50">
        <v>0.5</v>
      </c>
      <c r="BV50" t="s">
        <v>1250</v>
      </c>
      <c r="BW50">
        <v>400</v>
      </c>
      <c r="BX50">
        <v>1</v>
      </c>
      <c r="BY50" t="s">
        <v>589</v>
      </c>
      <c r="BZ50">
        <v>300</v>
      </c>
      <c r="CA50">
        <v>500</v>
      </c>
      <c r="CB50" t="s">
        <v>590</v>
      </c>
      <c r="CC50" t="s">
        <v>590</v>
      </c>
      <c r="CD50">
        <v>465</v>
      </c>
      <c r="CE50" t="s">
        <v>591</v>
      </c>
      <c r="CF50">
        <v>15</v>
      </c>
      <c r="CG50" t="s">
        <v>1290</v>
      </c>
      <c r="CH50" t="s">
        <v>1290</v>
      </c>
      <c r="CI50">
        <v>100</v>
      </c>
      <c r="CJ50">
        <v>1538</v>
      </c>
      <c r="CK50">
        <v>2</v>
      </c>
      <c r="CL50">
        <v>1632</v>
      </c>
      <c r="CM50">
        <v>2</v>
      </c>
      <c r="CN50" t="s">
        <v>593</v>
      </c>
      <c r="CO50" t="s">
        <v>594</v>
      </c>
      <c r="CP50" t="s">
        <v>595</v>
      </c>
      <c r="CQ50" t="s">
        <v>704</v>
      </c>
      <c r="CR50" t="s">
        <v>650</v>
      </c>
      <c r="CS50" t="s">
        <v>542</v>
      </c>
      <c r="CT50">
        <v>365</v>
      </c>
      <c r="CU50">
        <v>5</v>
      </c>
      <c r="CV50">
        <v>1.2</v>
      </c>
      <c r="CW50">
        <v>1554</v>
      </c>
      <c r="CX50">
        <v>803</v>
      </c>
      <c r="CY50" t="s">
        <v>597</v>
      </c>
      <c r="CZ50">
        <v>50</v>
      </c>
      <c r="DA50">
        <v>3</v>
      </c>
      <c r="DB50">
        <v>1.28</v>
      </c>
      <c r="DC50">
        <v>1554</v>
      </c>
      <c r="DD50">
        <v>110</v>
      </c>
      <c r="DE50" t="s">
        <v>622</v>
      </c>
      <c r="DF50">
        <v>515</v>
      </c>
      <c r="DG50">
        <v>3</v>
      </c>
      <c r="DH50">
        <v>0.88</v>
      </c>
      <c r="DI50">
        <v>1547</v>
      </c>
      <c r="DJ50">
        <v>968</v>
      </c>
      <c r="DK50" t="s">
        <v>622</v>
      </c>
      <c r="DL50">
        <v>440</v>
      </c>
      <c r="DM50">
        <v>3</v>
      </c>
      <c r="DN50">
        <v>0.88</v>
      </c>
      <c r="DO50">
        <v>1552</v>
      </c>
      <c r="DP50">
        <v>861</v>
      </c>
      <c r="DW50" t="s">
        <v>544</v>
      </c>
      <c r="DX50">
        <v>7.5</v>
      </c>
      <c r="EA50">
        <v>1623.8</v>
      </c>
      <c r="EB50">
        <v>287</v>
      </c>
      <c r="EC50" t="s">
        <v>545</v>
      </c>
      <c r="ED50">
        <v>30</v>
      </c>
      <c r="EE50">
        <v>3</v>
      </c>
      <c r="EG50">
        <v>1665</v>
      </c>
      <c r="EH50">
        <v>196</v>
      </c>
      <c r="EJ50">
        <v>0</v>
      </c>
      <c r="EK50">
        <v>1</v>
      </c>
      <c r="EN50">
        <v>0</v>
      </c>
      <c r="EP50" t="s">
        <v>546</v>
      </c>
      <c r="EQ50">
        <v>75</v>
      </c>
      <c r="ER50">
        <v>3</v>
      </c>
      <c r="ES50">
        <v>6</v>
      </c>
      <c r="ET50">
        <v>1537</v>
      </c>
      <c r="EU50">
        <v>335.5</v>
      </c>
      <c r="EV50">
        <v>516</v>
      </c>
      <c r="EW50" t="s">
        <v>547</v>
      </c>
      <c r="EX50">
        <v>45</v>
      </c>
      <c r="EY50">
        <v>2</v>
      </c>
      <c r="EZ50">
        <v>4.5</v>
      </c>
      <c r="FA50">
        <v>1537</v>
      </c>
      <c r="FB50">
        <v>138.3</v>
      </c>
      <c r="FC50">
        <v>213</v>
      </c>
      <c r="FE50">
        <v>0</v>
      </c>
      <c r="FF50">
        <v>2</v>
      </c>
      <c r="FI50">
        <v>0</v>
      </c>
      <c r="FK50" t="s">
        <v>548</v>
      </c>
      <c r="FL50">
        <v>0.4</v>
      </c>
      <c r="FM50">
        <v>75</v>
      </c>
      <c r="FN50">
        <v>320</v>
      </c>
      <c r="FO50">
        <v>60</v>
      </c>
      <c r="FP50">
        <v>160</v>
      </c>
      <c r="GR50" t="s">
        <v>548</v>
      </c>
      <c r="GS50">
        <v>0.4</v>
      </c>
      <c r="GT50">
        <v>30</v>
      </c>
      <c r="GU50">
        <v>360</v>
      </c>
      <c r="GV50">
        <v>30</v>
      </c>
      <c r="GW50">
        <v>260</v>
      </c>
      <c r="GY50" t="s">
        <v>651</v>
      </c>
      <c r="GZ50">
        <v>1.6</v>
      </c>
      <c r="HA50">
        <v>20</v>
      </c>
      <c r="HB50">
        <v>181</v>
      </c>
      <c r="HC50">
        <v>0.1</v>
      </c>
      <c r="HD50">
        <v>3</v>
      </c>
      <c r="HE50">
        <v>3</v>
      </c>
      <c r="HF50">
        <v>3</v>
      </c>
      <c r="HG50">
        <v>3</v>
      </c>
      <c r="HH50">
        <v>3</v>
      </c>
      <c r="HI50">
        <v>105</v>
      </c>
      <c r="HJ50">
        <v>3</v>
      </c>
      <c r="HK50">
        <v>30</v>
      </c>
      <c r="HL50">
        <v>2</v>
      </c>
      <c r="HM50">
        <v>0</v>
      </c>
      <c r="HN50">
        <v>2</v>
      </c>
      <c r="HO50">
        <v>60</v>
      </c>
      <c r="HP50">
        <v>3</v>
      </c>
      <c r="HQ50">
        <v>0</v>
      </c>
      <c r="HR50">
        <v>2</v>
      </c>
      <c r="HS50">
        <v>5276</v>
      </c>
      <c r="HT50">
        <v>160</v>
      </c>
      <c r="HU50">
        <v>180</v>
      </c>
      <c r="HW50">
        <v>0</v>
      </c>
      <c r="HX50">
        <v>476</v>
      </c>
      <c r="HY50">
        <v>0.18</v>
      </c>
      <c r="IA50">
        <v>0.15</v>
      </c>
      <c r="IB50">
        <v>0</v>
      </c>
      <c r="IC50">
        <v>180</v>
      </c>
      <c r="ID50">
        <v>110</v>
      </c>
      <c r="IE50">
        <v>225</v>
      </c>
      <c r="IF50">
        <v>0</v>
      </c>
      <c r="IH50" t="s">
        <v>549</v>
      </c>
      <c r="IO50">
        <v>3</v>
      </c>
      <c r="IP50">
        <v>20</v>
      </c>
      <c r="IQ50">
        <v>0</v>
      </c>
      <c r="IR50">
        <v>0</v>
      </c>
      <c r="IV50">
        <v>1538</v>
      </c>
      <c r="IW50">
        <v>400</v>
      </c>
      <c r="JA50">
        <v>1</v>
      </c>
      <c r="JB50">
        <v>0</v>
      </c>
      <c r="JC50">
        <v>2</v>
      </c>
      <c r="JD50">
        <v>1554</v>
      </c>
      <c r="JE50">
        <v>1547</v>
      </c>
      <c r="JF50">
        <v>1552</v>
      </c>
      <c r="JG50">
        <v>1537</v>
      </c>
      <c r="JH50">
        <v>0</v>
      </c>
      <c r="JJ50">
        <v>180</v>
      </c>
      <c r="JK50">
        <v>476</v>
      </c>
      <c r="JN50">
        <v>365</v>
      </c>
      <c r="JO50">
        <v>515</v>
      </c>
      <c r="JP50">
        <v>440</v>
      </c>
      <c r="JQ50">
        <v>0</v>
      </c>
      <c r="JR50">
        <v>400</v>
      </c>
      <c r="JS50">
        <v>105</v>
      </c>
      <c r="JV50">
        <v>8</v>
      </c>
      <c r="JW50" t="s">
        <v>550</v>
      </c>
      <c r="JX50">
        <v>440</v>
      </c>
      <c r="KA50">
        <v>225</v>
      </c>
      <c r="KB50">
        <v>110</v>
      </c>
      <c r="KC50">
        <v>0</v>
      </c>
      <c r="KD50">
        <v>80</v>
      </c>
      <c r="KF50">
        <v>4</v>
      </c>
      <c r="KG50">
        <v>2</v>
      </c>
      <c r="KH50">
        <v>2</v>
      </c>
      <c r="KI50">
        <v>2</v>
      </c>
      <c r="KJ50">
        <v>0</v>
      </c>
      <c r="KK50">
        <v>1.5</v>
      </c>
      <c r="KL50">
        <v>1.5</v>
      </c>
      <c r="KM50">
        <v>0</v>
      </c>
      <c r="KN50">
        <v>0</v>
      </c>
      <c r="KO50">
        <v>0</v>
      </c>
      <c r="KR50">
        <v>20</v>
      </c>
      <c r="KS50">
        <v>60</v>
      </c>
      <c r="KT50">
        <v>0</v>
      </c>
      <c r="LK50">
        <v>480</v>
      </c>
      <c r="PG50">
        <v>1</v>
      </c>
      <c r="PI50" t="s">
        <v>1286</v>
      </c>
      <c r="PJ50" t="s">
        <v>1288</v>
      </c>
      <c r="PK50" t="s">
        <v>1289</v>
      </c>
      <c r="PL50" t="s">
        <v>1287</v>
      </c>
      <c r="PP50" t="s">
        <v>1249</v>
      </c>
      <c r="PS50" t="s">
        <v>855</v>
      </c>
      <c r="PX50">
        <v>56</v>
      </c>
      <c r="PY50">
        <v>56</v>
      </c>
      <c r="PZ50" t="s">
        <v>1286</v>
      </c>
      <c r="QA50">
        <v>3</v>
      </c>
      <c r="QB50">
        <v>1537</v>
      </c>
      <c r="QC50">
        <v>69</v>
      </c>
      <c r="QD50">
        <v>69</v>
      </c>
      <c r="QE50" t="s">
        <v>1287</v>
      </c>
      <c r="QF50">
        <v>1</v>
      </c>
      <c r="QG50">
        <v>1554</v>
      </c>
      <c r="QH50">
        <v>66</v>
      </c>
      <c r="QI50">
        <v>66</v>
      </c>
      <c r="QJ50" t="s">
        <v>855</v>
      </c>
      <c r="QK50">
        <v>1</v>
      </c>
      <c r="QL50">
        <v>1554</v>
      </c>
      <c r="QM50">
        <v>62</v>
      </c>
      <c r="QN50">
        <v>62</v>
      </c>
      <c r="QO50" t="s">
        <v>1288</v>
      </c>
      <c r="QP50">
        <v>1</v>
      </c>
      <c r="QQ50">
        <v>1547</v>
      </c>
      <c r="QR50">
        <v>63</v>
      </c>
      <c r="QS50">
        <v>63</v>
      </c>
      <c r="QT50" t="s">
        <v>1289</v>
      </c>
      <c r="QU50">
        <v>1</v>
      </c>
      <c r="QV50">
        <v>1552</v>
      </c>
      <c r="QW50">
        <v>82</v>
      </c>
      <c r="QX50" t="s">
        <v>587</v>
      </c>
      <c r="QY50" t="s">
        <v>1249</v>
      </c>
      <c r="QZ50">
        <v>1</v>
      </c>
      <c r="RA50">
        <v>66</v>
      </c>
      <c r="RB50">
        <v>66</v>
      </c>
      <c r="RE50">
        <v>0</v>
      </c>
      <c r="RF50">
        <v>1</v>
      </c>
      <c r="RI50">
        <v>1</v>
      </c>
      <c r="RJ50">
        <v>1</v>
      </c>
      <c r="RK50">
        <v>3</v>
      </c>
      <c r="RL50">
        <v>4</v>
      </c>
      <c r="RM50">
        <v>4</v>
      </c>
      <c r="RO50">
        <v>517</v>
      </c>
      <c r="RP50">
        <v>142</v>
      </c>
      <c r="RQ50">
        <v>626</v>
      </c>
      <c r="RR50">
        <v>555</v>
      </c>
      <c r="RT50">
        <v>287</v>
      </c>
      <c r="RU50">
        <v>196</v>
      </c>
      <c r="RV50" t="s">
        <v>1251</v>
      </c>
      <c r="RW50" t="s">
        <v>599</v>
      </c>
      <c r="RX50">
        <v>15</v>
      </c>
      <c r="RY50">
        <v>4</v>
      </c>
      <c r="RZ50" t="s">
        <v>599</v>
      </c>
      <c r="SA50">
        <v>15</v>
      </c>
      <c r="SC50" t="s">
        <v>1288</v>
      </c>
      <c r="SD50">
        <v>1</v>
      </c>
      <c r="SE50" t="s">
        <v>1291</v>
      </c>
      <c r="SF50" t="s">
        <v>1291</v>
      </c>
      <c r="SG50">
        <v>1</v>
      </c>
      <c r="SH50">
        <v>0.995</v>
      </c>
      <c r="SI50">
        <v>0.995</v>
      </c>
      <c r="SJ50">
        <v>0.995</v>
      </c>
      <c r="SK50">
        <v>15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1</v>
      </c>
      <c r="SZ50">
        <v>1</v>
      </c>
      <c r="TB50">
        <v>0</v>
      </c>
      <c r="TC50">
        <v>0</v>
      </c>
      <c r="TD50">
        <v>7.5</v>
      </c>
      <c r="TE50" t="s">
        <v>553</v>
      </c>
      <c r="TF50" t="s">
        <v>624</v>
      </c>
      <c r="TG50" t="s">
        <v>555</v>
      </c>
      <c r="TI50" t="s">
        <v>546</v>
      </c>
      <c r="TJ50" t="s">
        <v>547</v>
      </c>
      <c r="TL50" t="s">
        <v>1252</v>
      </c>
      <c r="TM50" t="s">
        <v>513</v>
      </c>
      <c r="TN50">
        <v>0</v>
      </c>
      <c r="TO50" t="s">
        <v>601</v>
      </c>
    </row>
    <row r="51" spans="1:535">
      <c r="A51" t="s">
        <v>1292</v>
      </c>
      <c r="B51" t="s">
        <v>711</v>
      </c>
      <c r="C51" t="s">
        <v>509</v>
      </c>
      <c r="D51" t="s">
        <v>1293</v>
      </c>
      <c r="G51" t="s">
        <v>1294</v>
      </c>
      <c r="I51" t="s">
        <v>562</v>
      </c>
      <c r="J51" t="s">
        <v>563</v>
      </c>
      <c r="L51" t="s">
        <v>512</v>
      </c>
      <c r="M51" t="s">
        <v>804</v>
      </c>
      <c r="N51" t="s">
        <v>513</v>
      </c>
      <c r="O51" t="s">
        <v>565</v>
      </c>
      <c r="Q51" t="s">
        <v>1295</v>
      </c>
      <c r="R51" t="s">
        <v>517</v>
      </c>
      <c r="S51" t="s">
        <v>1042</v>
      </c>
      <c r="T51" t="s">
        <v>1043</v>
      </c>
      <c r="U51" t="s">
        <v>686</v>
      </c>
      <c r="V51" t="s">
        <v>687</v>
      </c>
      <c r="W51" t="s">
        <v>1296</v>
      </c>
      <c r="X51" t="s">
        <v>1242</v>
      </c>
      <c r="Y51" t="s">
        <v>574</v>
      </c>
      <c r="Z51" t="s">
        <v>1297</v>
      </c>
      <c r="AA51" t="s">
        <v>1298</v>
      </c>
      <c r="AB51" t="s">
        <v>1299</v>
      </c>
      <c r="AC51">
        <v>2</v>
      </c>
      <c r="AD51">
        <v>56</v>
      </c>
      <c r="AE51">
        <v>243</v>
      </c>
      <c r="AF51">
        <v>1.5</v>
      </c>
      <c r="AH51">
        <v>0</v>
      </c>
      <c r="AI51" t="s">
        <v>1300</v>
      </c>
      <c r="AJ51">
        <v>222.5</v>
      </c>
      <c r="AK51">
        <v>1</v>
      </c>
      <c r="AL51">
        <v>1.5</v>
      </c>
      <c r="AM51" t="s">
        <v>579</v>
      </c>
      <c r="AN51" t="s">
        <v>693</v>
      </c>
      <c r="AO51">
        <v>2</v>
      </c>
      <c r="AP51" t="s">
        <v>581</v>
      </c>
      <c r="AQ51" t="s">
        <v>582</v>
      </c>
      <c r="AR51">
        <v>261</v>
      </c>
      <c r="AS51">
        <v>1.5</v>
      </c>
      <c r="AT51" t="s">
        <v>583</v>
      </c>
      <c r="AU51" t="s">
        <v>1301</v>
      </c>
      <c r="AW51" t="s">
        <v>1301</v>
      </c>
      <c r="AX51">
        <v>1</v>
      </c>
      <c r="AY51">
        <v>322.5</v>
      </c>
      <c r="AZ51">
        <v>1.5</v>
      </c>
      <c r="BA51" t="s">
        <v>579</v>
      </c>
      <c r="BB51" t="s">
        <v>1302</v>
      </c>
      <c r="BD51" t="s">
        <v>1302</v>
      </c>
      <c r="BE51">
        <v>1</v>
      </c>
      <c r="BF51">
        <v>265</v>
      </c>
      <c r="BG51">
        <v>1.5</v>
      </c>
      <c r="BJ51">
        <v>0</v>
      </c>
      <c r="BN51">
        <v>1.5</v>
      </c>
      <c r="BP51" t="s">
        <v>1303</v>
      </c>
      <c r="BQ51">
        <v>89</v>
      </c>
      <c r="BR51">
        <v>2</v>
      </c>
      <c r="BS51" t="s">
        <v>1304</v>
      </c>
      <c r="BT51">
        <v>242</v>
      </c>
      <c r="BU51">
        <v>0.5</v>
      </c>
      <c r="BV51" t="s">
        <v>1304</v>
      </c>
      <c r="BW51">
        <v>484</v>
      </c>
      <c r="BX51">
        <v>1</v>
      </c>
      <c r="BY51" t="s">
        <v>698</v>
      </c>
      <c r="BZ51">
        <v>470</v>
      </c>
      <c r="CA51">
        <v>590</v>
      </c>
      <c r="CB51" t="s">
        <v>699</v>
      </c>
      <c r="CC51" t="s">
        <v>1053</v>
      </c>
      <c r="CD51">
        <v>498</v>
      </c>
      <c r="CE51" t="s">
        <v>700</v>
      </c>
      <c r="CF51">
        <v>15</v>
      </c>
      <c r="CG51" t="s">
        <v>1054</v>
      </c>
      <c r="CH51" t="s">
        <v>1054</v>
      </c>
      <c r="CI51">
        <v>60</v>
      </c>
      <c r="CJ51">
        <v>1458</v>
      </c>
      <c r="CK51">
        <v>2</v>
      </c>
      <c r="CL51">
        <v>1552</v>
      </c>
      <c r="CM51">
        <v>2</v>
      </c>
      <c r="CN51" t="s">
        <v>702</v>
      </c>
      <c r="CO51" t="s">
        <v>676</v>
      </c>
      <c r="CP51" t="s">
        <v>703</v>
      </c>
      <c r="CQ51" t="s">
        <v>596</v>
      </c>
      <c r="CR51" t="s">
        <v>541</v>
      </c>
      <c r="CS51" t="s">
        <v>542</v>
      </c>
      <c r="CT51">
        <v>445</v>
      </c>
      <c r="CU51">
        <v>5</v>
      </c>
      <c r="CV51">
        <v>1.2</v>
      </c>
      <c r="CW51">
        <v>1475</v>
      </c>
      <c r="CX51">
        <v>931</v>
      </c>
      <c r="CY51" t="s">
        <v>705</v>
      </c>
      <c r="CZ51">
        <v>50</v>
      </c>
      <c r="DA51">
        <v>3</v>
      </c>
      <c r="DB51">
        <v>1</v>
      </c>
      <c r="DC51">
        <v>1475</v>
      </c>
      <c r="DD51">
        <v>77</v>
      </c>
      <c r="DE51" t="s">
        <v>622</v>
      </c>
      <c r="DF51">
        <v>645</v>
      </c>
      <c r="DG51">
        <v>3</v>
      </c>
      <c r="DH51">
        <v>0.88</v>
      </c>
      <c r="DI51">
        <v>1467</v>
      </c>
      <c r="DJ51">
        <v>1113</v>
      </c>
      <c r="DK51" t="s">
        <v>622</v>
      </c>
      <c r="DL51">
        <v>530</v>
      </c>
      <c r="DM51">
        <v>3</v>
      </c>
      <c r="DN51">
        <v>0.88</v>
      </c>
      <c r="DO51">
        <v>1472</v>
      </c>
      <c r="DP51">
        <v>846</v>
      </c>
      <c r="DW51" t="s">
        <v>544</v>
      </c>
      <c r="DX51">
        <v>7.5</v>
      </c>
      <c r="EA51">
        <v>1544.1</v>
      </c>
      <c r="EB51">
        <v>273</v>
      </c>
      <c r="EC51" t="s">
        <v>545</v>
      </c>
      <c r="ED51">
        <v>35</v>
      </c>
      <c r="EE51">
        <v>3</v>
      </c>
      <c r="EG51">
        <v>1585</v>
      </c>
      <c r="EH51">
        <v>222</v>
      </c>
      <c r="EJ51">
        <v>0</v>
      </c>
      <c r="EK51">
        <v>1</v>
      </c>
      <c r="EN51">
        <v>0</v>
      </c>
      <c r="EP51" t="s">
        <v>546</v>
      </c>
      <c r="EQ51">
        <v>125</v>
      </c>
      <c r="ER51">
        <v>3</v>
      </c>
      <c r="ES51">
        <v>4.8</v>
      </c>
      <c r="ET51">
        <v>1450</v>
      </c>
      <c r="EU51">
        <v>468</v>
      </c>
      <c r="EV51">
        <v>679</v>
      </c>
      <c r="EW51" t="s">
        <v>547</v>
      </c>
      <c r="EX51">
        <v>45</v>
      </c>
      <c r="EY51">
        <v>2</v>
      </c>
      <c r="EZ51">
        <v>4</v>
      </c>
      <c r="FA51">
        <v>1450</v>
      </c>
      <c r="FB51">
        <v>126.1</v>
      </c>
      <c r="FC51">
        <v>183</v>
      </c>
      <c r="FE51">
        <v>0</v>
      </c>
      <c r="FF51">
        <v>2</v>
      </c>
      <c r="FI51">
        <v>0</v>
      </c>
      <c r="FK51" t="s">
        <v>548</v>
      </c>
      <c r="FL51">
        <v>0.4</v>
      </c>
      <c r="FM51">
        <v>40</v>
      </c>
      <c r="FN51">
        <v>420</v>
      </c>
      <c r="FO51">
        <v>100</v>
      </c>
      <c r="FP51">
        <v>160</v>
      </c>
      <c r="GR51" t="s">
        <v>548</v>
      </c>
      <c r="GS51">
        <v>0.4</v>
      </c>
      <c r="GT51">
        <v>30</v>
      </c>
      <c r="GU51">
        <v>450</v>
      </c>
      <c r="GV51">
        <v>30</v>
      </c>
      <c r="GW51">
        <v>300</v>
      </c>
      <c r="HC51">
        <v>0.1</v>
      </c>
      <c r="HD51">
        <v>3</v>
      </c>
      <c r="HE51">
        <v>3</v>
      </c>
      <c r="HF51">
        <v>3</v>
      </c>
      <c r="HG51">
        <v>3</v>
      </c>
      <c r="HH51">
        <v>3</v>
      </c>
      <c r="HI51">
        <v>155</v>
      </c>
      <c r="HJ51">
        <v>3</v>
      </c>
      <c r="HK51">
        <v>30</v>
      </c>
      <c r="HL51">
        <v>2</v>
      </c>
      <c r="HM51">
        <v>0</v>
      </c>
      <c r="HN51">
        <v>2</v>
      </c>
      <c r="HO51">
        <v>110</v>
      </c>
      <c r="HP51">
        <v>3</v>
      </c>
      <c r="HQ51">
        <v>0</v>
      </c>
      <c r="HR51">
        <v>2</v>
      </c>
      <c r="HS51">
        <v>5758</v>
      </c>
      <c r="HT51">
        <v>170</v>
      </c>
      <c r="HU51">
        <v>180</v>
      </c>
      <c r="HW51">
        <v>0</v>
      </c>
      <c r="HX51">
        <v>485</v>
      </c>
      <c r="HY51">
        <v>0.18</v>
      </c>
      <c r="IA51">
        <v>0.15</v>
      </c>
      <c r="IB51">
        <v>0</v>
      </c>
      <c r="IC51">
        <v>180</v>
      </c>
      <c r="ID51">
        <v>110</v>
      </c>
      <c r="IE51">
        <v>225</v>
      </c>
      <c r="IF51">
        <v>0</v>
      </c>
      <c r="IH51" t="s">
        <v>549</v>
      </c>
      <c r="IO51">
        <v>3</v>
      </c>
      <c r="IP51">
        <v>19</v>
      </c>
      <c r="IQ51">
        <v>0</v>
      </c>
      <c r="IR51">
        <v>0</v>
      </c>
      <c r="IV51">
        <v>1458</v>
      </c>
      <c r="IW51">
        <v>484</v>
      </c>
      <c r="JA51">
        <v>1</v>
      </c>
      <c r="JB51">
        <v>0</v>
      </c>
      <c r="JC51">
        <v>2</v>
      </c>
      <c r="JD51">
        <v>1475</v>
      </c>
      <c r="JE51">
        <v>1467</v>
      </c>
      <c r="JF51">
        <v>1472</v>
      </c>
      <c r="JG51">
        <v>1450</v>
      </c>
      <c r="JH51">
        <v>0</v>
      </c>
      <c r="JJ51">
        <v>180</v>
      </c>
      <c r="JK51">
        <v>485</v>
      </c>
      <c r="JN51">
        <v>445</v>
      </c>
      <c r="JO51">
        <v>645</v>
      </c>
      <c r="JP51">
        <v>530</v>
      </c>
      <c r="JQ51">
        <v>0</v>
      </c>
      <c r="JR51">
        <v>486</v>
      </c>
      <c r="JS51">
        <v>155</v>
      </c>
      <c r="JV51">
        <v>8</v>
      </c>
      <c r="JW51" t="s">
        <v>550</v>
      </c>
      <c r="JX51">
        <v>522</v>
      </c>
      <c r="KA51">
        <v>225</v>
      </c>
      <c r="KB51">
        <v>110</v>
      </c>
      <c r="KC51">
        <v>0</v>
      </c>
      <c r="KD51">
        <v>80</v>
      </c>
      <c r="KF51">
        <v>4</v>
      </c>
      <c r="KG51">
        <v>2</v>
      </c>
      <c r="KH51">
        <v>2</v>
      </c>
      <c r="KI51">
        <v>2</v>
      </c>
      <c r="KJ51">
        <v>0</v>
      </c>
      <c r="KK51">
        <v>1.5</v>
      </c>
      <c r="KL51">
        <v>1.5</v>
      </c>
      <c r="KM51">
        <v>0</v>
      </c>
      <c r="KN51">
        <v>0</v>
      </c>
      <c r="KO51">
        <v>0</v>
      </c>
      <c r="KR51">
        <v>30</v>
      </c>
      <c r="KS51">
        <v>60</v>
      </c>
      <c r="KT51">
        <v>0</v>
      </c>
      <c r="LK51">
        <v>480</v>
      </c>
      <c r="PG51">
        <v>1</v>
      </c>
      <c r="PI51" t="s">
        <v>1299</v>
      </c>
      <c r="PJ51" t="s">
        <v>1301</v>
      </c>
      <c r="PK51" t="s">
        <v>1302</v>
      </c>
      <c r="PL51" t="s">
        <v>1300</v>
      </c>
      <c r="PP51" t="s">
        <v>1303</v>
      </c>
      <c r="PS51" t="s">
        <v>693</v>
      </c>
      <c r="PX51">
        <v>56</v>
      </c>
      <c r="PY51">
        <v>56</v>
      </c>
      <c r="PZ51" t="s">
        <v>1299</v>
      </c>
      <c r="QA51">
        <v>2</v>
      </c>
      <c r="QB51">
        <v>1450</v>
      </c>
      <c r="QC51">
        <v>69</v>
      </c>
      <c r="QD51">
        <v>69</v>
      </c>
      <c r="QE51" t="s">
        <v>1300</v>
      </c>
      <c r="QF51">
        <v>1</v>
      </c>
      <c r="QG51">
        <v>1475</v>
      </c>
      <c r="QH51">
        <v>66</v>
      </c>
      <c r="QI51">
        <v>66</v>
      </c>
      <c r="QJ51" t="s">
        <v>693</v>
      </c>
      <c r="QK51">
        <v>1</v>
      </c>
      <c r="QL51">
        <v>1475</v>
      </c>
      <c r="QM51">
        <v>62</v>
      </c>
      <c r="QN51">
        <v>62</v>
      </c>
      <c r="QO51" t="s">
        <v>1301</v>
      </c>
      <c r="QP51">
        <v>1</v>
      </c>
      <c r="QQ51">
        <v>1467</v>
      </c>
      <c r="QR51">
        <v>62</v>
      </c>
      <c r="QS51">
        <v>62</v>
      </c>
      <c r="QT51" t="s">
        <v>1302</v>
      </c>
      <c r="QU51">
        <v>1</v>
      </c>
      <c r="QV51">
        <v>1472</v>
      </c>
      <c r="QW51">
        <v>82</v>
      </c>
      <c r="QX51">
        <v>89</v>
      </c>
      <c r="QY51" t="s">
        <v>1303</v>
      </c>
      <c r="QZ51">
        <v>1</v>
      </c>
      <c r="RA51">
        <v>66</v>
      </c>
      <c r="RB51">
        <v>66</v>
      </c>
      <c r="RE51">
        <v>0</v>
      </c>
      <c r="RF51">
        <v>1</v>
      </c>
      <c r="RH51">
        <v>1</v>
      </c>
      <c r="RJ51">
        <v>1</v>
      </c>
      <c r="RK51">
        <v>2</v>
      </c>
      <c r="RL51">
        <v>4</v>
      </c>
      <c r="RM51">
        <v>4</v>
      </c>
      <c r="RO51">
        <v>631</v>
      </c>
      <c r="RP51">
        <v>105</v>
      </c>
      <c r="RQ51">
        <v>759</v>
      </c>
      <c r="RR51">
        <v>575</v>
      </c>
      <c r="RT51">
        <v>273</v>
      </c>
      <c r="RU51">
        <v>222</v>
      </c>
      <c r="RV51" t="s">
        <v>1305</v>
      </c>
      <c r="RW51" t="s">
        <v>707</v>
      </c>
      <c r="RX51">
        <v>15</v>
      </c>
      <c r="RY51">
        <v>4</v>
      </c>
      <c r="RZ51" t="s">
        <v>707</v>
      </c>
      <c r="SA51">
        <v>15</v>
      </c>
      <c r="SC51" t="s">
        <v>1301</v>
      </c>
      <c r="SD51">
        <v>1</v>
      </c>
      <c r="SF51" t="s">
        <v>1302</v>
      </c>
      <c r="SG51">
        <v>1</v>
      </c>
      <c r="SH51">
        <v>0.995</v>
      </c>
      <c r="SI51">
        <v>0.995</v>
      </c>
      <c r="SJ51">
        <v>0.995</v>
      </c>
      <c r="SK51">
        <v>15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1</v>
      </c>
      <c r="SZ51">
        <v>1</v>
      </c>
      <c r="TB51">
        <v>0</v>
      </c>
      <c r="TC51">
        <v>0</v>
      </c>
      <c r="TD51">
        <v>7.5</v>
      </c>
      <c r="TE51" t="s">
        <v>553</v>
      </c>
      <c r="TF51" t="s">
        <v>624</v>
      </c>
      <c r="TG51" t="s">
        <v>555</v>
      </c>
      <c r="TI51" t="s">
        <v>546</v>
      </c>
      <c r="TJ51" t="s">
        <v>547</v>
      </c>
      <c r="TL51" t="s">
        <v>1252</v>
      </c>
      <c r="TM51" t="s">
        <v>513</v>
      </c>
      <c r="TN51">
        <v>0</v>
      </c>
      <c r="TO51" t="s">
        <v>557</v>
      </c>
    </row>
    <row r="52" spans="1:535">
      <c r="A52" t="s">
        <v>1306</v>
      </c>
      <c r="B52" t="s">
        <v>629</v>
      </c>
      <c r="C52" t="s">
        <v>509</v>
      </c>
      <c r="D52" t="s">
        <v>1307</v>
      </c>
      <c r="G52" t="s">
        <v>511</v>
      </c>
      <c r="L52" t="s">
        <v>512</v>
      </c>
      <c r="M52" t="s">
        <v>711</v>
      </c>
      <c r="N52" t="s">
        <v>513</v>
      </c>
      <c r="O52" t="s">
        <v>565</v>
      </c>
      <c r="Q52" t="s">
        <v>1308</v>
      </c>
      <c r="R52" t="s">
        <v>517</v>
      </c>
      <c r="S52" t="s">
        <v>866</v>
      </c>
      <c r="T52" t="s">
        <v>867</v>
      </c>
      <c r="U52" t="s">
        <v>570</v>
      </c>
      <c r="V52" t="s">
        <v>571</v>
      </c>
      <c r="W52" t="s">
        <v>1309</v>
      </c>
      <c r="X52" t="s">
        <v>1242</v>
      </c>
      <c r="Y52" t="s">
        <v>524</v>
      </c>
      <c r="Z52" t="s">
        <v>1310</v>
      </c>
      <c r="AA52" t="s">
        <v>1311</v>
      </c>
      <c r="AB52" t="s">
        <v>1312</v>
      </c>
      <c r="AC52">
        <v>2</v>
      </c>
      <c r="AD52">
        <v>56</v>
      </c>
      <c r="AE52">
        <v>207</v>
      </c>
      <c r="AF52">
        <v>1.5</v>
      </c>
      <c r="AH52">
        <v>0</v>
      </c>
      <c r="AI52" t="s">
        <v>764</v>
      </c>
      <c r="AJ52">
        <v>190</v>
      </c>
      <c r="AK52">
        <v>1</v>
      </c>
      <c r="AL52">
        <v>1.5</v>
      </c>
      <c r="AM52" t="s">
        <v>579</v>
      </c>
      <c r="AN52" t="s">
        <v>855</v>
      </c>
      <c r="AO52">
        <v>2</v>
      </c>
      <c r="AP52" t="s">
        <v>581</v>
      </c>
      <c r="AQ52" t="s">
        <v>582</v>
      </c>
      <c r="AR52">
        <v>228</v>
      </c>
      <c r="AS52">
        <v>1.5</v>
      </c>
      <c r="AT52" t="s">
        <v>583</v>
      </c>
      <c r="AU52" t="s">
        <v>1313</v>
      </c>
      <c r="AW52" t="s">
        <v>1313</v>
      </c>
      <c r="AX52">
        <v>1</v>
      </c>
      <c r="AY52">
        <v>267.5</v>
      </c>
      <c r="AZ52">
        <v>1.5</v>
      </c>
      <c r="BA52" t="s">
        <v>579</v>
      </c>
      <c r="BB52" t="s">
        <v>1314</v>
      </c>
      <c r="BD52" t="s">
        <v>1314</v>
      </c>
      <c r="BE52">
        <v>1</v>
      </c>
      <c r="BF52">
        <v>230</v>
      </c>
      <c r="BG52">
        <v>1.5</v>
      </c>
      <c r="BJ52">
        <v>0</v>
      </c>
      <c r="BN52">
        <v>1.5</v>
      </c>
      <c r="BP52" t="s">
        <v>1249</v>
      </c>
      <c r="BQ52" t="s">
        <v>587</v>
      </c>
      <c r="BR52">
        <v>2</v>
      </c>
      <c r="BS52" t="s">
        <v>1250</v>
      </c>
      <c r="BT52">
        <v>206</v>
      </c>
      <c r="BU52">
        <v>0.5</v>
      </c>
      <c r="BV52" t="s">
        <v>1250</v>
      </c>
      <c r="BW52">
        <v>412</v>
      </c>
      <c r="BX52">
        <v>1</v>
      </c>
      <c r="BY52" t="s">
        <v>589</v>
      </c>
      <c r="BZ52">
        <v>300</v>
      </c>
      <c r="CA52">
        <v>480</v>
      </c>
      <c r="CB52" t="s">
        <v>590</v>
      </c>
      <c r="CC52" t="s">
        <v>590</v>
      </c>
      <c r="CD52">
        <v>428</v>
      </c>
      <c r="CE52" t="s">
        <v>591</v>
      </c>
      <c r="CF52">
        <v>15</v>
      </c>
      <c r="CG52" t="s">
        <v>724</v>
      </c>
      <c r="CH52" t="s">
        <v>724</v>
      </c>
      <c r="CI52">
        <v>90</v>
      </c>
      <c r="CJ52">
        <v>1538</v>
      </c>
      <c r="CK52">
        <v>2</v>
      </c>
      <c r="CL52">
        <v>1632</v>
      </c>
      <c r="CM52">
        <v>2</v>
      </c>
      <c r="CN52" t="s">
        <v>593</v>
      </c>
      <c r="CO52" t="s">
        <v>594</v>
      </c>
      <c r="CP52" t="s">
        <v>595</v>
      </c>
      <c r="CQ52" t="s">
        <v>596</v>
      </c>
      <c r="CR52" t="s">
        <v>541</v>
      </c>
      <c r="CS52" t="s">
        <v>542</v>
      </c>
      <c r="CT52">
        <v>380</v>
      </c>
      <c r="CU52">
        <v>5</v>
      </c>
      <c r="CV52">
        <v>1.2</v>
      </c>
      <c r="CW52">
        <v>1554</v>
      </c>
      <c r="CX52">
        <v>836</v>
      </c>
      <c r="CY52" t="s">
        <v>597</v>
      </c>
      <c r="CZ52">
        <v>50</v>
      </c>
      <c r="DA52">
        <v>3</v>
      </c>
      <c r="DB52">
        <v>1.28</v>
      </c>
      <c r="DC52">
        <v>1554</v>
      </c>
      <c r="DD52">
        <v>110</v>
      </c>
      <c r="DE52" t="s">
        <v>622</v>
      </c>
      <c r="DF52">
        <v>535</v>
      </c>
      <c r="DG52">
        <v>3</v>
      </c>
      <c r="DH52">
        <v>0.88</v>
      </c>
      <c r="DI52">
        <v>1547</v>
      </c>
      <c r="DJ52">
        <v>1006</v>
      </c>
      <c r="DK52" t="s">
        <v>622</v>
      </c>
      <c r="DL52">
        <v>460</v>
      </c>
      <c r="DM52">
        <v>3</v>
      </c>
      <c r="DN52">
        <v>0.88</v>
      </c>
      <c r="DO52">
        <v>1552</v>
      </c>
      <c r="DP52">
        <v>785</v>
      </c>
      <c r="DW52" t="s">
        <v>544</v>
      </c>
      <c r="DX52">
        <v>7.5</v>
      </c>
      <c r="EA52">
        <v>1623.8</v>
      </c>
      <c r="EB52">
        <v>287</v>
      </c>
      <c r="EC52" t="s">
        <v>545</v>
      </c>
      <c r="ED52">
        <v>30</v>
      </c>
      <c r="EE52">
        <v>3</v>
      </c>
      <c r="EG52">
        <v>1665</v>
      </c>
      <c r="EH52">
        <v>196</v>
      </c>
      <c r="EJ52">
        <v>0</v>
      </c>
      <c r="EK52">
        <v>1</v>
      </c>
      <c r="EN52">
        <v>0</v>
      </c>
      <c r="EP52" t="s">
        <v>546</v>
      </c>
      <c r="EQ52">
        <v>95</v>
      </c>
      <c r="ER52">
        <v>3</v>
      </c>
      <c r="ES52">
        <v>5.5</v>
      </c>
      <c r="ET52">
        <v>1534</v>
      </c>
      <c r="EU52">
        <v>403.5</v>
      </c>
      <c r="EV52">
        <v>619</v>
      </c>
      <c r="EW52" t="s">
        <v>547</v>
      </c>
      <c r="EX52">
        <v>45</v>
      </c>
      <c r="EY52">
        <v>2</v>
      </c>
      <c r="EZ52">
        <v>4.2</v>
      </c>
      <c r="FA52">
        <v>1534</v>
      </c>
      <c r="FB52">
        <v>136.6</v>
      </c>
      <c r="FC52">
        <v>210</v>
      </c>
      <c r="FE52">
        <v>0</v>
      </c>
      <c r="FF52">
        <v>2</v>
      </c>
      <c r="FI52">
        <v>0</v>
      </c>
      <c r="FK52" t="s">
        <v>548</v>
      </c>
      <c r="FL52">
        <v>0.4</v>
      </c>
      <c r="FM52">
        <v>70</v>
      </c>
      <c r="FN52">
        <v>340</v>
      </c>
      <c r="FO52">
        <v>70</v>
      </c>
      <c r="FP52">
        <v>160</v>
      </c>
      <c r="GR52" t="s">
        <v>548</v>
      </c>
      <c r="GS52">
        <v>0.4</v>
      </c>
      <c r="GT52">
        <v>30</v>
      </c>
      <c r="GU52">
        <v>380</v>
      </c>
      <c r="GV52">
        <v>30</v>
      </c>
      <c r="GW52">
        <v>270</v>
      </c>
      <c r="HC52">
        <v>0.1</v>
      </c>
      <c r="HD52">
        <v>3</v>
      </c>
      <c r="HE52">
        <v>3</v>
      </c>
      <c r="HF52">
        <v>3</v>
      </c>
      <c r="HG52">
        <v>3</v>
      </c>
      <c r="HH52">
        <v>3</v>
      </c>
      <c r="HI52">
        <v>125</v>
      </c>
      <c r="HJ52">
        <v>3</v>
      </c>
      <c r="HK52">
        <v>30</v>
      </c>
      <c r="HL52">
        <v>2</v>
      </c>
      <c r="HM52">
        <v>0</v>
      </c>
      <c r="HN52">
        <v>2</v>
      </c>
      <c r="HO52">
        <v>80</v>
      </c>
      <c r="HP52">
        <v>3</v>
      </c>
      <c r="HQ52">
        <v>0</v>
      </c>
      <c r="HR52">
        <v>2</v>
      </c>
      <c r="HS52">
        <v>5471</v>
      </c>
      <c r="HT52">
        <v>160</v>
      </c>
      <c r="HU52">
        <v>180</v>
      </c>
      <c r="HW52">
        <v>0</v>
      </c>
      <c r="HX52">
        <v>450</v>
      </c>
      <c r="HY52">
        <v>0.18</v>
      </c>
      <c r="IA52">
        <v>0.15</v>
      </c>
      <c r="IB52">
        <v>0</v>
      </c>
      <c r="IC52">
        <v>180</v>
      </c>
      <c r="ID52">
        <v>110</v>
      </c>
      <c r="IE52">
        <v>225</v>
      </c>
      <c r="IF52">
        <v>0</v>
      </c>
      <c r="IH52" t="s">
        <v>549</v>
      </c>
      <c r="IO52">
        <v>3</v>
      </c>
      <c r="IP52">
        <v>20</v>
      </c>
      <c r="IQ52">
        <v>0</v>
      </c>
      <c r="IR52">
        <v>0</v>
      </c>
      <c r="IV52">
        <v>1538</v>
      </c>
      <c r="IW52">
        <v>412</v>
      </c>
      <c r="JA52">
        <v>1</v>
      </c>
      <c r="JB52">
        <v>0</v>
      </c>
      <c r="JC52">
        <v>2</v>
      </c>
      <c r="JD52">
        <v>1554</v>
      </c>
      <c r="JE52">
        <v>1547</v>
      </c>
      <c r="JF52">
        <v>1552</v>
      </c>
      <c r="JG52">
        <v>1534</v>
      </c>
      <c r="JH52">
        <v>0</v>
      </c>
      <c r="JJ52">
        <v>180</v>
      </c>
      <c r="JK52">
        <v>450</v>
      </c>
      <c r="JN52">
        <v>380</v>
      </c>
      <c r="JO52">
        <v>535</v>
      </c>
      <c r="JP52">
        <v>460</v>
      </c>
      <c r="JQ52">
        <v>0</v>
      </c>
      <c r="JR52">
        <v>414</v>
      </c>
      <c r="JS52">
        <v>125</v>
      </c>
      <c r="JV52">
        <v>8</v>
      </c>
      <c r="JW52" t="s">
        <v>550</v>
      </c>
      <c r="JX52">
        <v>456</v>
      </c>
      <c r="KA52">
        <v>225</v>
      </c>
      <c r="KB52">
        <v>110</v>
      </c>
      <c r="KC52">
        <v>0</v>
      </c>
      <c r="KD52">
        <v>80</v>
      </c>
      <c r="KF52">
        <v>4</v>
      </c>
      <c r="KG52">
        <v>2</v>
      </c>
      <c r="KH52">
        <v>2</v>
      </c>
      <c r="KI52">
        <v>2</v>
      </c>
      <c r="KJ52">
        <v>0</v>
      </c>
      <c r="KK52">
        <v>1.5</v>
      </c>
      <c r="KL52">
        <v>1.5</v>
      </c>
      <c r="KM52">
        <v>0</v>
      </c>
      <c r="KN52">
        <v>0</v>
      </c>
      <c r="KO52">
        <v>0</v>
      </c>
      <c r="KR52">
        <v>20</v>
      </c>
      <c r="KS52">
        <v>60</v>
      </c>
      <c r="KT52">
        <v>0</v>
      </c>
      <c r="LK52">
        <v>480</v>
      </c>
      <c r="PG52">
        <v>1</v>
      </c>
      <c r="PI52" t="s">
        <v>1312</v>
      </c>
      <c r="PJ52" t="s">
        <v>1313</v>
      </c>
      <c r="PK52" t="s">
        <v>1314</v>
      </c>
      <c r="PL52" t="s">
        <v>764</v>
      </c>
      <c r="PP52" t="s">
        <v>1249</v>
      </c>
      <c r="PS52" t="s">
        <v>855</v>
      </c>
      <c r="PX52">
        <v>56</v>
      </c>
      <c r="PY52">
        <v>56</v>
      </c>
      <c r="PZ52" t="s">
        <v>1312</v>
      </c>
      <c r="QA52">
        <v>2</v>
      </c>
      <c r="QB52">
        <v>1534</v>
      </c>
      <c r="QC52">
        <v>69</v>
      </c>
      <c r="QD52">
        <v>69</v>
      </c>
      <c r="QE52" t="s">
        <v>764</v>
      </c>
      <c r="QF52">
        <v>1</v>
      </c>
      <c r="QG52">
        <v>1554</v>
      </c>
      <c r="QH52">
        <v>66</v>
      </c>
      <c r="QI52">
        <v>66</v>
      </c>
      <c r="QJ52" t="s">
        <v>855</v>
      </c>
      <c r="QK52">
        <v>1</v>
      </c>
      <c r="QL52">
        <v>1554</v>
      </c>
      <c r="QM52">
        <v>62</v>
      </c>
      <c r="QN52">
        <v>62</v>
      </c>
      <c r="QO52" t="s">
        <v>1313</v>
      </c>
      <c r="QP52">
        <v>1</v>
      </c>
      <c r="QQ52">
        <v>1547</v>
      </c>
      <c r="QR52">
        <v>62</v>
      </c>
      <c r="QS52">
        <v>62</v>
      </c>
      <c r="QT52" t="s">
        <v>1314</v>
      </c>
      <c r="QU52">
        <v>1</v>
      </c>
      <c r="QV52">
        <v>1552</v>
      </c>
      <c r="QW52">
        <v>82</v>
      </c>
      <c r="QX52" t="s">
        <v>587</v>
      </c>
      <c r="QY52" t="s">
        <v>1249</v>
      </c>
      <c r="QZ52">
        <v>1</v>
      </c>
      <c r="RA52">
        <v>66</v>
      </c>
      <c r="RB52">
        <v>66</v>
      </c>
      <c r="RE52">
        <v>0</v>
      </c>
      <c r="RF52">
        <v>1</v>
      </c>
      <c r="RH52">
        <v>1</v>
      </c>
      <c r="RJ52">
        <v>1</v>
      </c>
      <c r="RK52">
        <v>3</v>
      </c>
      <c r="RL52">
        <v>4</v>
      </c>
      <c r="RM52">
        <v>4</v>
      </c>
      <c r="RO52">
        <v>538</v>
      </c>
      <c r="RP52">
        <v>142</v>
      </c>
      <c r="RQ52">
        <v>650</v>
      </c>
      <c r="RR52">
        <v>506</v>
      </c>
      <c r="RT52">
        <v>287</v>
      </c>
      <c r="RU52">
        <v>196</v>
      </c>
      <c r="RV52" t="s">
        <v>1251</v>
      </c>
      <c r="RW52" t="s">
        <v>599</v>
      </c>
      <c r="RX52">
        <v>15</v>
      </c>
      <c r="RY52">
        <v>4</v>
      </c>
      <c r="RZ52" t="s">
        <v>599</v>
      </c>
      <c r="SA52">
        <v>15</v>
      </c>
      <c r="SC52" t="s">
        <v>1313</v>
      </c>
      <c r="SD52">
        <v>1</v>
      </c>
      <c r="SF52" t="s">
        <v>1314</v>
      </c>
      <c r="SG52">
        <v>1</v>
      </c>
      <c r="SH52">
        <v>0.995</v>
      </c>
      <c r="SI52">
        <v>0.995</v>
      </c>
      <c r="SJ52">
        <v>0.995</v>
      </c>
      <c r="SK52">
        <v>15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1</v>
      </c>
      <c r="SZ52">
        <v>1</v>
      </c>
      <c r="TB52">
        <v>0</v>
      </c>
      <c r="TC52">
        <v>0</v>
      </c>
      <c r="TD52">
        <v>7.5</v>
      </c>
      <c r="TE52" t="s">
        <v>553</v>
      </c>
      <c r="TF52" t="s">
        <v>624</v>
      </c>
      <c r="TG52" t="s">
        <v>555</v>
      </c>
      <c r="TI52" t="s">
        <v>546</v>
      </c>
      <c r="TJ52" t="s">
        <v>547</v>
      </c>
      <c r="TL52" t="s">
        <v>1252</v>
      </c>
      <c r="TM52" t="s">
        <v>513</v>
      </c>
      <c r="TN52">
        <v>0</v>
      </c>
      <c r="TO52" t="s">
        <v>601</v>
      </c>
    </row>
    <row r="53" spans="1:535">
      <c r="A53" t="s">
        <v>1315</v>
      </c>
      <c r="B53" t="s">
        <v>564</v>
      </c>
      <c r="C53" t="s">
        <v>509</v>
      </c>
      <c r="D53" t="s">
        <v>1281</v>
      </c>
      <c r="G53" t="s">
        <v>604</v>
      </c>
      <c r="H53" t="s">
        <v>605</v>
      </c>
      <c r="I53" t="s">
        <v>628</v>
      </c>
      <c r="J53" t="s">
        <v>606</v>
      </c>
      <c r="L53" t="s">
        <v>512</v>
      </c>
      <c r="M53" t="s">
        <v>629</v>
      </c>
      <c r="N53" t="s">
        <v>513</v>
      </c>
      <c r="O53" t="s">
        <v>607</v>
      </c>
      <c r="Q53" t="s">
        <v>1316</v>
      </c>
      <c r="R53" t="s">
        <v>517</v>
      </c>
      <c r="S53" t="s">
        <v>684</v>
      </c>
      <c r="T53" t="s">
        <v>685</v>
      </c>
      <c r="U53" t="s">
        <v>686</v>
      </c>
      <c r="V53" t="s">
        <v>687</v>
      </c>
      <c r="W53" t="s">
        <v>1309</v>
      </c>
      <c r="X53" t="s">
        <v>1242</v>
      </c>
      <c r="Y53" t="s">
        <v>524</v>
      </c>
      <c r="Z53" t="s">
        <v>1317</v>
      </c>
      <c r="AA53" t="s">
        <v>1318</v>
      </c>
      <c r="AB53" t="s">
        <v>1319</v>
      </c>
      <c r="AC53">
        <v>2</v>
      </c>
      <c r="AD53">
        <v>56</v>
      </c>
      <c r="AE53">
        <v>221</v>
      </c>
      <c r="AF53">
        <v>1.5</v>
      </c>
      <c r="AH53">
        <v>0</v>
      </c>
      <c r="AI53" t="s">
        <v>692</v>
      </c>
      <c r="AJ53">
        <v>202.5</v>
      </c>
      <c r="AK53">
        <v>1</v>
      </c>
      <c r="AL53">
        <v>1.5</v>
      </c>
      <c r="AM53" t="s">
        <v>579</v>
      </c>
      <c r="AN53" t="s">
        <v>855</v>
      </c>
      <c r="AO53">
        <v>2</v>
      </c>
      <c r="AP53" t="s">
        <v>581</v>
      </c>
      <c r="AQ53" t="s">
        <v>582</v>
      </c>
      <c r="AR53">
        <v>240</v>
      </c>
      <c r="AS53">
        <v>1.5</v>
      </c>
      <c r="AT53" t="s">
        <v>583</v>
      </c>
      <c r="AU53" t="s">
        <v>1320</v>
      </c>
      <c r="AW53" t="s">
        <v>1320</v>
      </c>
      <c r="AX53">
        <v>1</v>
      </c>
      <c r="AY53">
        <v>290</v>
      </c>
      <c r="AZ53">
        <v>1.5</v>
      </c>
      <c r="BA53" t="s">
        <v>579</v>
      </c>
      <c r="BB53" t="s">
        <v>1321</v>
      </c>
      <c r="BD53" t="s">
        <v>1321</v>
      </c>
      <c r="BE53">
        <v>1</v>
      </c>
      <c r="BF53">
        <v>245</v>
      </c>
      <c r="BG53">
        <v>1.5</v>
      </c>
      <c r="BJ53">
        <v>0</v>
      </c>
      <c r="BN53">
        <v>1.5</v>
      </c>
      <c r="BP53" t="s">
        <v>1303</v>
      </c>
      <c r="BQ53">
        <v>89</v>
      </c>
      <c r="BR53">
        <v>2</v>
      </c>
      <c r="BS53" t="s">
        <v>1304</v>
      </c>
      <c r="BT53">
        <v>220</v>
      </c>
      <c r="BU53">
        <v>0.5</v>
      </c>
      <c r="BV53" t="s">
        <v>1304</v>
      </c>
      <c r="BW53">
        <v>440</v>
      </c>
      <c r="BX53">
        <v>1</v>
      </c>
      <c r="BY53" t="s">
        <v>698</v>
      </c>
      <c r="BZ53">
        <v>300</v>
      </c>
      <c r="CA53">
        <v>500</v>
      </c>
      <c r="CB53" t="s">
        <v>699</v>
      </c>
      <c r="CC53" t="s">
        <v>699</v>
      </c>
      <c r="CD53">
        <v>456</v>
      </c>
      <c r="CE53" t="s">
        <v>700</v>
      </c>
      <c r="CF53">
        <v>15</v>
      </c>
      <c r="CG53" t="s">
        <v>1322</v>
      </c>
      <c r="CH53" t="s">
        <v>1322</v>
      </c>
      <c r="CI53">
        <v>100</v>
      </c>
      <c r="CJ53">
        <v>1458</v>
      </c>
      <c r="CK53">
        <v>2</v>
      </c>
      <c r="CL53">
        <v>1552</v>
      </c>
      <c r="CM53">
        <v>2</v>
      </c>
      <c r="CN53" t="s">
        <v>702</v>
      </c>
      <c r="CO53" t="s">
        <v>676</v>
      </c>
      <c r="CP53" t="s">
        <v>703</v>
      </c>
      <c r="CQ53" t="s">
        <v>596</v>
      </c>
      <c r="CR53" t="s">
        <v>541</v>
      </c>
      <c r="CS53" t="s">
        <v>542</v>
      </c>
      <c r="CT53">
        <v>405</v>
      </c>
      <c r="CU53">
        <v>5</v>
      </c>
      <c r="CV53">
        <v>1.2</v>
      </c>
      <c r="CW53">
        <v>1475</v>
      </c>
      <c r="CX53">
        <v>845</v>
      </c>
      <c r="CY53" t="s">
        <v>597</v>
      </c>
      <c r="CZ53">
        <v>50</v>
      </c>
      <c r="DA53">
        <v>3</v>
      </c>
      <c r="DB53">
        <v>1.28</v>
      </c>
      <c r="DC53">
        <v>1475</v>
      </c>
      <c r="DD53">
        <v>105</v>
      </c>
      <c r="DE53" t="s">
        <v>622</v>
      </c>
      <c r="DF53">
        <v>580</v>
      </c>
      <c r="DG53">
        <v>3</v>
      </c>
      <c r="DH53">
        <v>0.88</v>
      </c>
      <c r="DI53">
        <v>1467</v>
      </c>
      <c r="DJ53">
        <v>1025</v>
      </c>
      <c r="DK53" t="s">
        <v>622</v>
      </c>
      <c r="DL53">
        <v>490</v>
      </c>
      <c r="DM53">
        <v>3</v>
      </c>
      <c r="DN53">
        <v>0.88</v>
      </c>
      <c r="DO53">
        <v>1472</v>
      </c>
      <c r="DP53">
        <v>789</v>
      </c>
      <c r="DW53" t="s">
        <v>544</v>
      </c>
      <c r="DX53">
        <v>7.5</v>
      </c>
      <c r="EA53">
        <v>1544.1</v>
      </c>
      <c r="EB53">
        <v>273</v>
      </c>
      <c r="EC53" t="s">
        <v>545</v>
      </c>
      <c r="ED53">
        <v>35</v>
      </c>
      <c r="EE53">
        <v>3</v>
      </c>
      <c r="EG53">
        <v>1585</v>
      </c>
      <c r="EH53">
        <v>222</v>
      </c>
      <c r="EJ53">
        <v>0</v>
      </c>
      <c r="EK53">
        <v>1</v>
      </c>
      <c r="EN53">
        <v>0</v>
      </c>
      <c r="EP53" t="s">
        <v>546</v>
      </c>
      <c r="EQ53">
        <v>110</v>
      </c>
      <c r="ER53">
        <v>3</v>
      </c>
      <c r="ES53">
        <v>5.5</v>
      </c>
      <c r="ET53">
        <v>1454</v>
      </c>
      <c r="EU53">
        <v>469.9</v>
      </c>
      <c r="EV53">
        <v>683</v>
      </c>
      <c r="EW53" t="s">
        <v>547</v>
      </c>
      <c r="EX53">
        <v>45</v>
      </c>
      <c r="EY53">
        <v>2</v>
      </c>
      <c r="EZ53">
        <v>4.2</v>
      </c>
      <c r="FA53">
        <v>1454</v>
      </c>
      <c r="FB53">
        <v>133.7</v>
      </c>
      <c r="FC53">
        <v>194</v>
      </c>
      <c r="FE53">
        <v>0</v>
      </c>
      <c r="FF53">
        <v>2</v>
      </c>
      <c r="FI53">
        <v>0</v>
      </c>
      <c r="FK53" t="s">
        <v>548</v>
      </c>
      <c r="FL53">
        <v>0.4</v>
      </c>
      <c r="FM53">
        <v>60</v>
      </c>
      <c r="FN53">
        <v>390</v>
      </c>
      <c r="FO53">
        <v>85</v>
      </c>
      <c r="FP53">
        <v>140</v>
      </c>
      <c r="GR53" t="s">
        <v>548</v>
      </c>
      <c r="GS53">
        <v>0.4</v>
      </c>
      <c r="GT53">
        <v>30</v>
      </c>
      <c r="GU53">
        <v>400</v>
      </c>
      <c r="GV53">
        <v>30</v>
      </c>
      <c r="GW53">
        <v>270</v>
      </c>
      <c r="HC53">
        <v>0.1</v>
      </c>
      <c r="HD53">
        <v>3</v>
      </c>
      <c r="HE53">
        <v>3</v>
      </c>
      <c r="HF53">
        <v>3</v>
      </c>
      <c r="HG53">
        <v>3</v>
      </c>
      <c r="HH53">
        <v>3</v>
      </c>
      <c r="HI53">
        <v>140</v>
      </c>
      <c r="HJ53">
        <v>3</v>
      </c>
      <c r="HK53">
        <v>30</v>
      </c>
      <c r="HL53">
        <v>2</v>
      </c>
      <c r="HM53">
        <v>0</v>
      </c>
      <c r="HN53">
        <v>2</v>
      </c>
      <c r="HO53">
        <v>95</v>
      </c>
      <c r="HP53">
        <v>3</v>
      </c>
      <c r="HQ53">
        <v>0</v>
      </c>
      <c r="HR53">
        <v>2</v>
      </c>
      <c r="HS53">
        <v>5613</v>
      </c>
      <c r="HT53">
        <v>170</v>
      </c>
      <c r="HU53">
        <v>180</v>
      </c>
      <c r="HW53">
        <v>0</v>
      </c>
      <c r="HX53">
        <v>435</v>
      </c>
      <c r="HY53">
        <v>0.18</v>
      </c>
      <c r="IA53">
        <v>0.15</v>
      </c>
      <c r="IB53">
        <v>0</v>
      </c>
      <c r="IC53">
        <v>180</v>
      </c>
      <c r="ID53">
        <v>110</v>
      </c>
      <c r="IE53">
        <v>225</v>
      </c>
      <c r="IF53">
        <v>0</v>
      </c>
      <c r="IH53" t="s">
        <v>549</v>
      </c>
      <c r="IO53">
        <v>3</v>
      </c>
      <c r="IP53">
        <v>19</v>
      </c>
      <c r="IQ53">
        <v>0</v>
      </c>
      <c r="IR53">
        <v>0</v>
      </c>
      <c r="IV53">
        <v>1458</v>
      </c>
      <c r="IW53">
        <v>440</v>
      </c>
      <c r="JA53">
        <v>1</v>
      </c>
      <c r="JB53">
        <v>0</v>
      </c>
      <c r="JC53">
        <v>2</v>
      </c>
      <c r="JD53">
        <v>1475</v>
      </c>
      <c r="JE53">
        <v>1467</v>
      </c>
      <c r="JF53">
        <v>1472</v>
      </c>
      <c r="JG53">
        <v>1454</v>
      </c>
      <c r="JH53">
        <v>0</v>
      </c>
      <c r="JJ53">
        <v>180</v>
      </c>
      <c r="JK53">
        <v>435</v>
      </c>
      <c r="JN53">
        <v>405</v>
      </c>
      <c r="JO53">
        <v>580</v>
      </c>
      <c r="JP53">
        <v>490</v>
      </c>
      <c r="JQ53">
        <v>0</v>
      </c>
      <c r="JR53">
        <v>442</v>
      </c>
      <c r="JS53">
        <v>140</v>
      </c>
      <c r="JV53">
        <v>8</v>
      </c>
      <c r="JW53" t="s">
        <v>550</v>
      </c>
      <c r="JX53">
        <v>480</v>
      </c>
      <c r="KA53">
        <v>225</v>
      </c>
      <c r="KB53">
        <v>110</v>
      </c>
      <c r="KC53">
        <v>0</v>
      </c>
      <c r="KD53">
        <v>80</v>
      </c>
      <c r="KF53">
        <v>4</v>
      </c>
      <c r="KG53">
        <v>2</v>
      </c>
      <c r="KH53">
        <v>2</v>
      </c>
      <c r="KI53">
        <v>2</v>
      </c>
      <c r="KJ53">
        <v>0</v>
      </c>
      <c r="KK53">
        <v>1.5</v>
      </c>
      <c r="KL53">
        <v>1.5</v>
      </c>
      <c r="KM53">
        <v>0</v>
      </c>
      <c r="KN53">
        <v>0</v>
      </c>
      <c r="KO53">
        <v>0</v>
      </c>
      <c r="KR53">
        <v>50</v>
      </c>
      <c r="KS53">
        <v>60</v>
      </c>
      <c r="KT53">
        <v>0</v>
      </c>
      <c r="LK53">
        <v>480</v>
      </c>
      <c r="LX53">
        <v>380</v>
      </c>
      <c r="PG53">
        <v>1</v>
      </c>
      <c r="PI53" t="s">
        <v>1319</v>
      </c>
      <c r="PJ53" t="s">
        <v>1320</v>
      </c>
      <c r="PK53" t="s">
        <v>1321</v>
      </c>
      <c r="PL53" t="s">
        <v>692</v>
      </c>
      <c r="PP53" t="s">
        <v>1303</v>
      </c>
      <c r="PS53" t="s">
        <v>855</v>
      </c>
      <c r="PX53">
        <v>56</v>
      </c>
      <c r="PY53">
        <v>56</v>
      </c>
      <c r="PZ53" t="s">
        <v>1319</v>
      </c>
      <c r="QA53">
        <v>3</v>
      </c>
      <c r="QB53">
        <v>1454</v>
      </c>
      <c r="QC53">
        <v>69</v>
      </c>
      <c r="QD53">
        <v>69</v>
      </c>
      <c r="QE53" t="s">
        <v>692</v>
      </c>
      <c r="QF53">
        <v>1</v>
      </c>
      <c r="QG53">
        <v>1475</v>
      </c>
      <c r="QH53">
        <v>66</v>
      </c>
      <c r="QI53">
        <v>66</v>
      </c>
      <c r="QJ53" t="s">
        <v>855</v>
      </c>
      <c r="QK53">
        <v>1</v>
      </c>
      <c r="QL53">
        <v>1475</v>
      </c>
      <c r="QM53">
        <v>62</v>
      </c>
      <c r="QN53">
        <v>62</v>
      </c>
      <c r="QO53" t="s">
        <v>1320</v>
      </c>
      <c r="QP53">
        <v>1</v>
      </c>
      <c r="QQ53">
        <v>1467</v>
      </c>
      <c r="QR53">
        <v>62</v>
      </c>
      <c r="QS53">
        <v>62</v>
      </c>
      <c r="QT53" t="s">
        <v>1321</v>
      </c>
      <c r="QU53">
        <v>1</v>
      </c>
      <c r="QV53">
        <v>1472</v>
      </c>
      <c r="QW53">
        <v>82</v>
      </c>
      <c r="QX53">
        <v>89</v>
      </c>
      <c r="QY53" t="s">
        <v>1303</v>
      </c>
      <c r="QZ53">
        <v>1</v>
      </c>
      <c r="RA53">
        <v>66</v>
      </c>
      <c r="RB53">
        <v>66</v>
      </c>
      <c r="RE53">
        <v>0</v>
      </c>
      <c r="RF53">
        <v>1</v>
      </c>
      <c r="RH53">
        <v>1</v>
      </c>
      <c r="RJ53">
        <v>1</v>
      </c>
      <c r="RK53">
        <v>3</v>
      </c>
      <c r="RL53">
        <v>4</v>
      </c>
      <c r="RM53">
        <v>4</v>
      </c>
      <c r="RO53">
        <v>573</v>
      </c>
      <c r="RP53">
        <v>142</v>
      </c>
      <c r="RQ53">
        <v>699</v>
      </c>
      <c r="RR53">
        <v>536</v>
      </c>
      <c r="RT53">
        <v>273</v>
      </c>
      <c r="RU53">
        <v>222</v>
      </c>
      <c r="RV53" t="s">
        <v>1305</v>
      </c>
      <c r="RW53" t="s">
        <v>707</v>
      </c>
      <c r="RX53">
        <v>15</v>
      </c>
      <c r="RY53">
        <v>4</v>
      </c>
      <c r="RZ53" t="s">
        <v>707</v>
      </c>
      <c r="SA53">
        <v>15</v>
      </c>
      <c r="SC53" t="s">
        <v>1320</v>
      </c>
      <c r="SD53">
        <v>1</v>
      </c>
      <c r="SF53" t="s">
        <v>1321</v>
      </c>
      <c r="SG53">
        <v>1</v>
      </c>
      <c r="SH53">
        <v>0.995</v>
      </c>
      <c r="SI53">
        <v>0.995</v>
      </c>
      <c r="SJ53">
        <v>0.995</v>
      </c>
      <c r="SK53">
        <v>15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1</v>
      </c>
      <c r="SZ53">
        <v>1</v>
      </c>
      <c r="TB53">
        <v>0</v>
      </c>
      <c r="TC53">
        <v>0</v>
      </c>
      <c r="TD53">
        <v>7.5</v>
      </c>
      <c r="TE53" t="s">
        <v>553</v>
      </c>
      <c r="TF53" t="s">
        <v>624</v>
      </c>
      <c r="TG53" t="s">
        <v>555</v>
      </c>
      <c r="TI53" t="s">
        <v>546</v>
      </c>
      <c r="TJ53" t="s">
        <v>547</v>
      </c>
      <c r="TL53" t="s">
        <v>1252</v>
      </c>
      <c r="TM53" t="s">
        <v>513</v>
      </c>
      <c r="TN53">
        <v>0</v>
      </c>
      <c r="TO53" t="s">
        <v>557</v>
      </c>
    </row>
    <row r="54" spans="1:535">
      <c r="A54" t="s">
        <v>1323</v>
      </c>
      <c r="B54" t="s">
        <v>559</v>
      </c>
      <c r="C54" t="s">
        <v>509</v>
      </c>
      <c r="D54" t="s">
        <v>1324</v>
      </c>
      <c r="G54" t="s">
        <v>561</v>
      </c>
      <c r="I54" t="s">
        <v>562</v>
      </c>
      <c r="J54" t="s">
        <v>563</v>
      </c>
      <c r="L54" t="s">
        <v>512</v>
      </c>
      <c r="M54" t="s">
        <v>564</v>
      </c>
      <c r="N54" t="s">
        <v>513</v>
      </c>
      <c r="O54" t="s">
        <v>565</v>
      </c>
      <c r="Q54" t="s">
        <v>1325</v>
      </c>
      <c r="R54" t="s">
        <v>517</v>
      </c>
      <c r="S54" t="s">
        <v>1326</v>
      </c>
      <c r="T54" t="s">
        <v>1327</v>
      </c>
      <c r="U54" t="s">
        <v>570</v>
      </c>
      <c r="V54" t="s">
        <v>571</v>
      </c>
      <c r="W54" t="s">
        <v>1309</v>
      </c>
      <c r="X54" t="s">
        <v>1242</v>
      </c>
      <c r="Y54" t="s">
        <v>524</v>
      </c>
      <c r="Z54" t="s">
        <v>1328</v>
      </c>
      <c r="AA54" t="s">
        <v>1329</v>
      </c>
      <c r="AB54" t="s">
        <v>1330</v>
      </c>
      <c r="AC54">
        <v>2</v>
      </c>
      <c r="AD54">
        <v>56</v>
      </c>
      <c r="AE54">
        <v>215</v>
      </c>
      <c r="AF54">
        <v>1.5</v>
      </c>
      <c r="AH54">
        <v>0</v>
      </c>
      <c r="AI54" t="s">
        <v>1331</v>
      </c>
      <c r="AJ54">
        <v>197.5</v>
      </c>
      <c r="AK54">
        <v>1</v>
      </c>
      <c r="AL54">
        <v>1.5</v>
      </c>
      <c r="AM54" t="s">
        <v>579</v>
      </c>
      <c r="AN54" t="s">
        <v>795</v>
      </c>
      <c r="AO54">
        <v>2</v>
      </c>
      <c r="AP54" t="s">
        <v>581</v>
      </c>
      <c r="AQ54" t="s">
        <v>582</v>
      </c>
      <c r="AR54">
        <v>245</v>
      </c>
      <c r="AS54">
        <v>1.5</v>
      </c>
      <c r="AT54" t="s">
        <v>583</v>
      </c>
      <c r="AU54" t="s">
        <v>1332</v>
      </c>
      <c r="AW54" t="s">
        <v>1332</v>
      </c>
      <c r="AX54">
        <v>1</v>
      </c>
      <c r="AY54">
        <v>277.5</v>
      </c>
      <c r="AZ54">
        <v>1.5</v>
      </c>
      <c r="BA54" t="s">
        <v>579</v>
      </c>
      <c r="BB54" t="s">
        <v>1333</v>
      </c>
      <c r="BD54" t="s">
        <v>1333</v>
      </c>
      <c r="BE54">
        <v>1</v>
      </c>
      <c r="BF54">
        <v>235</v>
      </c>
      <c r="BG54">
        <v>1.5</v>
      </c>
      <c r="BJ54">
        <v>0</v>
      </c>
      <c r="BN54">
        <v>1.5</v>
      </c>
      <c r="BP54" t="s">
        <v>1249</v>
      </c>
      <c r="BQ54" t="s">
        <v>587</v>
      </c>
      <c r="BR54">
        <v>2</v>
      </c>
      <c r="BS54" t="s">
        <v>1250</v>
      </c>
      <c r="BT54">
        <v>215</v>
      </c>
      <c r="BU54">
        <v>0.5</v>
      </c>
      <c r="BV54" t="s">
        <v>1250</v>
      </c>
      <c r="BW54">
        <v>430</v>
      </c>
      <c r="BX54">
        <v>1</v>
      </c>
      <c r="BY54" t="s">
        <v>589</v>
      </c>
      <c r="BZ54">
        <v>300</v>
      </c>
      <c r="CA54">
        <v>520</v>
      </c>
      <c r="CB54" t="s">
        <v>590</v>
      </c>
      <c r="CC54" t="s">
        <v>590</v>
      </c>
      <c r="CD54">
        <v>454</v>
      </c>
      <c r="CE54" t="s">
        <v>591</v>
      </c>
      <c r="CF54">
        <v>15</v>
      </c>
      <c r="CG54" t="s">
        <v>800</v>
      </c>
      <c r="CH54" t="s">
        <v>800</v>
      </c>
      <c r="CI54">
        <v>110</v>
      </c>
      <c r="CJ54">
        <v>1538</v>
      </c>
      <c r="CK54">
        <v>2</v>
      </c>
      <c r="CL54">
        <v>1632</v>
      </c>
      <c r="CM54">
        <v>2</v>
      </c>
      <c r="CN54" t="s">
        <v>593</v>
      </c>
      <c r="CO54" t="s">
        <v>594</v>
      </c>
      <c r="CP54" t="s">
        <v>595</v>
      </c>
      <c r="CQ54" t="s">
        <v>596</v>
      </c>
      <c r="CR54" t="s">
        <v>541</v>
      </c>
      <c r="CS54" t="s">
        <v>542</v>
      </c>
      <c r="CT54">
        <v>395</v>
      </c>
      <c r="CU54">
        <v>5</v>
      </c>
      <c r="CV54">
        <v>1.2</v>
      </c>
      <c r="CW54">
        <v>1554</v>
      </c>
      <c r="CX54">
        <v>869</v>
      </c>
      <c r="CY54" t="s">
        <v>705</v>
      </c>
      <c r="CZ54">
        <v>60</v>
      </c>
      <c r="DA54">
        <v>3</v>
      </c>
      <c r="DB54">
        <v>1</v>
      </c>
      <c r="DC54">
        <v>1554</v>
      </c>
      <c r="DD54">
        <v>97</v>
      </c>
      <c r="DE54" t="s">
        <v>622</v>
      </c>
      <c r="DF54">
        <v>555</v>
      </c>
      <c r="DG54">
        <v>3</v>
      </c>
      <c r="DH54">
        <v>0.88</v>
      </c>
      <c r="DI54">
        <v>1547</v>
      </c>
      <c r="DJ54">
        <v>1050</v>
      </c>
      <c r="DK54" t="s">
        <v>622</v>
      </c>
      <c r="DL54">
        <v>470</v>
      </c>
      <c r="DM54">
        <v>3</v>
      </c>
      <c r="DN54">
        <v>0.88</v>
      </c>
      <c r="DO54">
        <v>1552</v>
      </c>
      <c r="DP54">
        <v>801</v>
      </c>
      <c r="DW54" t="s">
        <v>544</v>
      </c>
      <c r="DX54">
        <v>7.5</v>
      </c>
      <c r="EA54">
        <v>1623.8</v>
      </c>
      <c r="EB54">
        <v>287</v>
      </c>
      <c r="EC54" t="s">
        <v>545</v>
      </c>
      <c r="ED54">
        <v>30</v>
      </c>
      <c r="EE54">
        <v>3</v>
      </c>
      <c r="EG54">
        <v>1665</v>
      </c>
      <c r="EH54">
        <v>196</v>
      </c>
      <c r="EJ54">
        <v>0</v>
      </c>
      <c r="EK54">
        <v>1</v>
      </c>
      <c r="EN54">
        <v>0</v>
      </c>
      <c r="EP54" t="s">
        <v>546</v>
      </c>
      <c r="EQ54">
        <v>105</v>
      </c>
      <c r="ER54">
        <v>3</v>
      </c>
      <c r="ES54">
        <v>5.5</v>
      </c>
      <c r="ET54">
        <v>1534</v>
      </c>
      <c r="EU54">
        <v>446.3</v>
      </c>
      <c r="EV54">
        <v>685</v>
      </c>
      <c r="EW54" t="s">
        <v>547</v>
      </c>
      <c r="EX54">
        <v>45</v>
      </c>
      <c r="EY54">
        <v>2</v>
      </c>
      <c r="EZ54">
        <v>4.3</v>
      </c>
      <c r="FA54">
        <v>1534</v>
      </c>
      <c r="FB54">
        <v>135.2</v>
      </c>
      <c r="FC54">
        <v>207</v>
      </c>
      <c r="FE54">
        <v>0</v>
      </c>
      <c r="FF54">
        <v>2</v>
      </c>
      <c r="FI54">
        <v>0</v>
      </c>
      <c r="FK54" t="s">
        <v>548</v>
      </c>
      <c r="FL54">
        <v>0.4</v>
      </c>
      <c r="FM54">
        <v>70</v>
      </c>
      <c r="FN54">
        <v>360</v>
      </c>
      <c r="FO54">
        <v>80</v>
      </c>
      <c r="FP54">
        <v>160</v>
      </c>
      <c r="GR54" t="s">
        <v>548</v>
      </c>
      <c r="GS54">
        <v>0.4</v>
      </c>
      <c r="GT54">
        <v>30</v>
      </c>
      <c r="GU54">
        <v>390</v>
      </c>
      <c r="GV54">
        <v>30</v>
      </c>
      <c r="GW54">
        <v>280</v>
      </c>
      <c r="HC54">
        <v>0.1</v>
      </c>
      <c r="HD54">
        <v>3</v>
      </c>
      <c r="HE54">
        <v>3</v>
      </c>
      <c r="HF54">
        <v>3</v>
      </c>
      <c r="HG54">
        <v>3</v>
      </c>
      <c r="HH54">
        <v>3</v>
      </c>
      <c r="HI54">
        <v>135</v>
      </c>
      <c r="HJ54">
        <v>3</v>
      </c>
      <c r="HK54">
        <v>30</v>
      </c>
      <c r="HL54">
        <v>2</v>
      </c>
      <c r="HM54">
        <v>0</v>
      </c>
      <c r="HN54">
        <v>2</v>
      </c>
      <c r="HO54">
        <v>90</v>
      </c>
      <c r="HP54">
        <v>3</v>
      </c>
      <c r="HQ54">
        <v>0</v>
      </c>
      <c r="HR54">
        <v>2</v>
      </c>
      <c r="HS54">
        <v>5664</v>
      </c>
      <c r="HT54">
        <v>170</v>
      </c>
      <c r="HU54">
        <v>180</v>
      </c>
      <c r="HW54">
        <v>0</v>
      </c>
      <c r="HX54">
        <v>445</v>
      </c>
      <c r="HY54">
        <v>0.18</v>
      </c>
      <c r="IA54">
        <v>0.15</v>
      </c>
      <c r="IB54">
        <v>0</v>
      </c>
      <c r="IC54">
        <v>180</v>
      </c>
      <c r="ID54">
        <v>110</v>
      </c>
      <c r="IE54">
        <v>225</v>
      </c>
      <c r="IF54">
        <v>0</v>
      </c>
      <c r="IH54" t="s">
        <v>549</v>
      </c>
      <c r="IO54">
        <v>3</v>
      </c>
      <c r="IP54">
        <v>20</v>
      </c>
      <c r="IQ54">
        <v>0</v>
      </c>
      <c r="IR54">
        <v>0</v>
      </c>
      <c r="IV54">
        <v>1538</v>
      </c>
      <c r="IW54">
        <v>430</v>
      </c>
      <c r="JA54">
        <v>1</v>
      </c>
      <c r="JB54">
        <v>0</v>
      </c>
      <c r="JC54">
        <v>2</v>
      </c>
      <c r="JD54">
        <v>1554</v>
      </c>
      <c r="JE54">
        <v>1547</v>
      </c>
      <c r="JF54">
        <v>1552</v>
      </c>
      <c r="JG54">
        <v>1534</v>
      </c>
      <c r="JH54">
        <v>0</v>
      </c>
      <c r="JJ54">
        <v>180</v>
      </c>
      <c r="JK54">
        <v>445</v>
      </c>
      <c r="JN54">
        <v>395</v>
      </c>
      <c r="JO54">
        <v>555</v>
      </c>
      <c r="JP54">
        <v>470</v>
      </c>
      <c r="JQ54">
        <v>0</v>
      </c>
      <c r="JR54">
        <v>430</v>
      </c>
      <c r="JS54">
        <v>135</v>
      </c>
      <c r="JV54">
        <v>8</v>
      </c>
      <c r="JW54" t="s">
        <v>550</v>
      </c>
      <c r="JX54">
        <v>490</v>
      </c>
      <c r="KA54">
        <v>225</v>
      </c>
      <c r="KB54">
        <v>110</v>
      </c>
      <c r="KC54">
        <v>0</v>
      </c>
      <c r="KD54">
        <v>80</v>
      </c>
      <c r="KF54">
        <v>4</v>
      </c>
      <c r="KG54">
        <v>4</v>
      </c>
      <c r="KH54">
        <v>2</v>
      </c>
      <c r="KI54">
        <v>2</v>
      </c>
      <c r="KJ54">
        <v>0</v>
      </c>
      <c r="KK54">
        <v>1.5</v>
      </c>
      <c r="KL54">
        <v>1.5</v>
      </c>
      <c r="KM54">
        <v>0</v>
      </c>
      <c r="KN54">
        <v>0</v>
      </c>
      <c r="KO54">
        <v>0</v>
      </c>
      <c r="KR54">
        <v>30</v>
      </c>
      <c r="KS54">
        <v>60</v>
      </c>
      <c r="KT54">
        <v>0</v>
      </c>
      <c r="LK54">
        <v>480</v>
      </c>
      <c r="PG54">
        <v>1</v>
      </c>
      <c r="PI54" t="s">
        <v>1330</v>
      </c>
      <c r="PJ54" t="s">
        <v>1332</v>
      </c>
      <c r="PK54" t="s">
        <v>1333</v>
      </c>
      <c r="PL54" t="s">
        <v>1331</v>
      </c>
      <c r="PP54" t="s">
        <v>1249</v>
      </c>
      <c r="PS54" t="s">
        <v>795</v>
      </c>
      <c r="PX54">
        <v>56</v>
      </c>
      <c r="PY54">
        <v>56</v>
      </c>
      <c r="PZ54" t="s">
        <v>1330</v>
      </c>
      <c r="QA54">
        <v>2</v>
      </c>
      <c r="QB54">
        <v>1534</v>
      </c>
      <c r="QC54">
        <v>69</v>
      </c>
      <c r="QD54">
        <v>69</v>
      </c>
      <c r="QE54" t="s">
        <v>1331</v>
      </c>
      <c r="QF54">
        <v>1</v>
      </c>
      <c r="QG54">
        <v>1554</v>
      </c>
      <c r="QH54">
        <v>66</v>
      </c>
      <c r="QI54">
        <v>66</v>
      </c>
      <c r="QJ54" t="s">
        <v>795</v>
      </c>
      <c r="QK54">
        <v>1</v>
      </c>
      <c r="QL54">
        <v>1554</v>
      </c>
      <c r="QM54">
        <v>62</v>
      </c>
      <c r="QN54">
        <v>62</v>
      </c>
      <c r="QO54" t="s">
        <v>1332</v>
      </c>
      <c r="QP54">
        <v>1</v>
      </c>
      <c r="QQ54">
        <v>1547</v>
      </c>
      <c r="QR54">
        <v>62</v>
      </c>
      <c r="QS54">
        <v>62</v>
      </c>
      <c r="QT54" t="s">
        <v>1333</v>
      </c>
      <c r="QU54">
        <v>1</v>
      </c>
      <c r="QV54">
        <v>1552</v>
      </c>
      <c r="QW54">
        <v>82</v>
      </c>
      <c r="QX54" t="s">
        <v>587</v>
      </c>
      <c r="QY54" t="s">
        <v>1249</v>
      </c>
      <c r="QZ54">
        <v>1</v>
      </c>
      <c r="RA54">
        <v>66</v>
      </c>
      <c r="RB54">
        <v>66</v>
      </c>
      <c r="RE54">
        <v>0</v>
      </c>
      <c r="RF54">
        <v>1</v>
      </c>
      <c r="RH54">
        <v>1</v>
      </c>
      <c r="RJ54">
        <v>1</v>
      </c>
      <c r="RK54">
        <v>2</v>
      </c>
      <c r="RL54">
        <v>4</v>
      </c>
      <c r="RM54">
        <v>4</v>
      </c>
      <c r="RO54">
        <v>559</v>
      </c>
      <c r="RP54">
        <v>125</v>
      </c>
      <c r="RQ54">
        <v>679</v>
      </c>
      <c r="RR54">
        <v>516</v>
      </c>
      <c r="RT54">
        <v>287</v>
      </c>
      <c r="RU54">
        <v>196</v>
      </c>
      <c r="RV54" t="s">
        <v>1251</v>
      </c>
      <c r="RW54" t="s">
        <v>599</v>
      </c>
      <c r="RX54">
        <v>15</v>
      </c>
      <c r="RY54">
        <v>4</v>
      </c>
      <c r="RZ54" t="s">
        <v>599</v>
      </c>
      <c r="SA54">
        <v>15</v>
      </c>
      <c r="SC54" t="s">
        <v>1332</v>
      </c>
      <c r="SD54">
        <v>1</v>
      </c>
      <c r="SF54" t="s">
        <v>1333</v>
      </c>
      <c r="SG54">
        <v>1</v>
      </c>
      <c r="SH54">
        <v>0.995</v>
      </c>
      <c r="SI54">
        <v>0.995</v>
      </c>
      <c r="SJ54">
        <v>0.995</v>
      </c>
      <c r="SK54">
        <v>15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1</v>
      </c>
      <c r="SZ54">
        <v>1</v>
      </c>
      <c r="TB54">
        <v>0</v>
      </c>
      <c r="TC54">
        <v>0</v>
      </c>
      <c r="TD54">
        <v>7.5</v>
      </c>
      <c r="TE54" t="s">
        <v>553</v>
      </c>
      <c r="TF54" t="s">
        <v>624</v>
      </c>
      <c r="TG54" t="s">
        <v>555</v>
      </c>
      <c r="TI54" t="s">
        <v>546</v>
      </c>
      <c r="TJ54" t="s">
        <v>547</v>
      </c>
      <c r="TL54" t="s">
        <v>1252</v>
      </c>
      <c r="TM54" t="s">
        <v>513</v>
      </c>
      <c r="TN54">
        <v>0</v>
      </c>
      <c r="TO54" t="s">
        <v>601</v>
      </c>
    </row>
    <row r="55" spans="1:535">
      <c r="A55" t="s">
        <v>1334</v>
      </c>
      <c r="B55" t="s">
        <v>559</v>
      </c>
      <c r="C55" t="s">
        <v>509</v>
      </c>
      <c r="D55" t="s">
        <v>1335</v>
      </c>
      <c r="G55" t="s">
        <v>1294</v>
      </c>
      <c r="I55" t="s">
        <v>562</v>
      </c>
      <c r="J55" t="s">
        <v>563</v>
      </c>
      <c r="L55" t="s">
        <v>512</v>
      </c>
      <c r="M55" t="s">
        <v>564</v>
      </c>
      <c r="N55" t="s">
        <v>513</v>
      </c>
      <c r="O55" t="s">
        <v>607</v>
      </c>
      <c r="Q55" t="s">
        <v>1336</v>
      </c>
      <c r="R55" t="s">
        <v>517</v>
      </c>
      <c r="S55" t="s">
        <v>774</v>
      </c>
      <c r="T55" t="s">
        <v>661</v>
      </c>
      <c r="U55" t="s">
        <v>686</v>
      </c>
      <c r="V55" t="s">
        <v>687</v>
      </c>
      <c r="W55" t="s">
        <v>1283</v>
      </c>
      <c r="X55" t="s">
        <v>1242</v>
      </c>
      <c r="Y55" t="s">
        <v>524</v>
      </c>
      <c r="Z55" t="s">
        <v>1337</v>
      </c>
      <c r="AA55" t="s">
        <v>1338</v>
      </c>
      <c r="AB55" t="s">
        <v>1339</v>
      </c>
      <c r="AC55">
        <v>2</v>
      </c>
      <c r="AD55">
        <v>56</v>
      </c>
      <c r="AE55">
        <v>209</v>
      </c>
      <c r="AF55">
        <v>1.5</v>
      </c>
      <c r="AH55">
        <v>0</v>
      </c>
      <c r="AI55" t="s">
        <v>969</v>
      </c>
      <c r="AJ55">
        <v>192.5</v>
      </c>
      <c r="AK55">
        <v>1</v>
      </c>
      <c r="AL55">
        <v>1.5</v>
      </c>
      <c r="AM55" t="s">
        <v>579</v>
      </c>
      <c r="AN55" t="s">
        <v>580</v>
      </c>
      <c r="AO55">
        <v>2</v>
      </c>
      <c r="AP55" t="s">
        <v>581</v>
      </c>
      <c r="AQ55" t="s">
        <v>582</v>
      </c>
      <c r="AR55">
        <v>240</v>
      </c>
      <c r="AS55">
        <v>1.5</v>
      </c>
      <c r="AT55" t="s">
        <v>583</v>
      </c>
      <c r="AU55" t="s">
        <v>1340</v>
      </c>
      <c r="AW55" t="s">
        <v>1340</v>
      </c>
      <c r="AX55">
        <v>1</v>
      </c>
      <c r="AY55">
        <v>345</v>
      </c>
      <c r="AZ55">
        <v>1.5</v>
      </c>
      <c r="BA55" t="s">
        <v>579</v>
      </c>
      <c r="BG55">
        <v>1.5</v>
      </c>
      <c r="BJ55">
        <v>0</v>
      </c>
      <c r="BN55">
        <v>1.5</v>
      </c>
      <c r="BP55" t="s">
        <v>1341</v>
      </c>
      <c r="BQ55">
        <v>89</v>
      </c>
      <c r="BR55">
        <v>2</v>
      </c>
      <c r="BS55" t="s">
        <v>1342</v>
      </c>
      <c r="BT55">
        <v>209</v>
      </c>
      <c r="BU55">
        <v>0.5</v>
      </c>
      <c r="BV55" t="s">
        <v>1342</v>
      </c>
      <c r="BW55">
        <v>418</v>
      </c>
      <c r="BX55">
        <v>1</v>
      </c>
      <c r="BY55" t="s">
        <v>698</v>
      </c>
      <c r="BZ55">
        <v>300</v>
      </c>
      <c r="CA55">
        <v>500</v>
      </c>
      <c r="CB55" t="s">
        <v>699</v>
      </c>
      <c r="CC55" t="s">
        <v>699</v>
      </c>
      <c r="CD55">
        <v>480</v>
      </c>
      <c r="CE55" t="s">
        <v>700</v>
      </c>
      <c r="CF55">
        <v>15</v>
      </c>
      <c r="CG55" t="s">
        <v>1322</v>
      </c>
      <c r="CH55" t="s">
        <v>1322</v>
      </c>
      <c r="CI55">
        <v>100</v>
      </c>
      <c r="CJ55">
        <v>1458</v>
      </c>
      <c r="CK55">
        <v>2</v>
      </c>
      <c r="CL55">
        <v>1552</v>
      </c>
      <c r="CM55">
        <v>2</v>
      </c>
      <c r="CN55" t="s">
        <v>702</v>
      </c>
      <c r="CO55" t="s">
        <v>676</v>
      </c>
      <c r="CP55" t="s">
        <v>703</v>
      </c>
      <c r="CQ55" t="s">
        <v>1343</v>
      </c>
      <c r="CR55" t="s">
        <v>541</v>
      </c>
      <c r="CS55" t="s">
        <v>542</v>
      </c>
      <c r="CT55">
        <v>385</v>
      </c>
      <c r="CU55">
        <v>5</v>
      </c>
      <c r="CV55">
        <v>1.2</v>
      </c>
      <c r="CW55">
        <v>1475</v>
      </c>
      <c r="CX55">
        <v>804</v>
      </c>
      <c r="CY55" t="s">
        <v>597</v>
      </c>
      <c r="CZ55">
        <v>60</v>
      </c>
      <c r="DA55">
        <v>3</v>
      </c>
      <c r="DB55">
        <v>1.28</v>
      </c>
      <c r="DC55">
        <v>1475</v>
      </c>
      <c r="DD55">
        <v>125</v>
      </c>
      <c r="DE55" t="s">
        <v>543</v>
      </c>
      <c r="DF55">
        <v>690</v>
      </c>
      <c r="DG55">
        <v>3</v>
      </c>
      <c r="DH55">
        <v>1.18</v>
      </c>
      <c r="DI55">
        <v>1468</v>
      </c>
      <c r="DJ55">
        <v>1572</v>
      </c>
      <c r="DW55" t="s">
        <v>544</v>
      </c>
      <c r="DX55">
        <v>7.5</v>
      </c>
      <c r="EA55">
        <v>1540.9</v>
      </c>
      <c r="EB55">
        <v>272</v>
      </c>
      <c r="EC55" t="s">
        <v>545</v>
      </c>
      <c r="ED55">
        <v>30</v>
      </c>
      <c r="EE55">
        <v>3</v>
      </c>
      <c r="EG55">
        <v>1582</v>
      </c>
      <c r="EH55">
        <v>187</v>
      </c>
      <c r="EJ55">
        <v>0</v>
      </c>
      <c r="EK55">
        <v>1</v>
      </c>
      <c r="EN55">
        <v>0</v>
      </c>
      <c r="EP55" t="s">
        <v>546</v>
      </c>
      <c r="EQ55">
        <v>100</v>
      </c>
      <c r="ER55">
        <v>3</v>
      </c>
      <c r="ES55">
        <v>5</v>
      </c>
      <c r="ET55">
        <v>1451</v>
      </c>
      <c r="EU55">
        <v>392.9</v>
      </c>
      <c r="EV55">
        <v>570</v>
      </c>
      <c r="EW55" t="s">
        <v>547</v>
      </c>
      <c r="EX55">
        <v>45</v>
      </c>
      <c r="EY55">
        <v>2</v>
      </c>
      <c r="EZ55">
        <v>4.3</v>
      </c>
      <c r="FA55">
        <v>1451</v>
      </c>
      <c r="FB55">
        <v>135.2</v>
      </c>
      <c r="FC55">
        <v>196</v>
      </c>
      <c r="FE55">
        <v>0</v>
      </c>
      <c r="FF55">
        <v>2</v>
      </c>
      <c r="FI55">
        <v>0</v>
      </c>
      <c r="FK55" t="s">
        <v>548</v>
      </c>
      <c r="FL55">
        <v>0.4</v>
      </c>
      <c r="FM55">
        <v>40</v>
      </c>
      <c r="FN55">
        <v>370</v>
      </c>
      <c r="FO55">
        <v>85</v>
      </c>
      <c r="FP55">
        <v>140</v>
      </c>
      <c r="FR55" t="s">
        <v>548</v>
      </c>
      <c r="FS55">
        <v>0.4</v>
      </c>
      <c r="FT55">
        <v>30</v>
      </c>
      <c r="FU55">
        <v>380</v>
      </c>
      <c r="HC55">
        <v>0.1</v>
      </c>
      <c r="HD55">
        <v>3</v>
      </c>
      <c r="HE55">
        <v>3</v>
      </c>
      <c r="HF55">
        <v>3</v>
      </c>
      <c r="HG55">
        <v>3</v>
      </c>
      <c r="HH55">
        <v>3</v>
      </c>
      <c r="HI55">
        <v>130</v>
      </c>
      <c r="HJ55">
        <v>3</v>
      </c>
      <c r="HK55">
        <v>30</v>
      </c>
      <c r="HL55">
        <v>2</v>
      </c>
      <c r="HM55">
        <v>0</v>
      </c>
      <c r="HN55">
        <v>2</v>
      </c>
      <c r="HO55">
        <v>85</v>
      </c>
      <c r="HP55">
        <v>3</v>
      </c>
      <c r="HQ55">
        <v>0</v>
      </c>
      <c r="HR55">
        <v>2</v>
      </c>
      <c r="HS55">
        <v>5076</v>
      </c>
      <c r="HT55">
        <v>150</v>
      </c>
      <c r="HU55">
        <v>180</v>
      </c>
      <c r="HW55">
        <v>20</v>
      </c>
      <c r="HX55">
        <v>490</v>
      </c>
      <c r="HY55">
        <v>0.18</v>
      </c>
      <c r="IA55">
        <v>0.15</v>
      </c>
      <c r="IB55">
        <v>0</v>
      </c>
      <c r="IC55">
        <v>180</v>
      </c>
      <c r="ID55">
        <v>110</v>
      </c>
      <c r="IE55">
        <v>0</v>
      </c>
      <c r="IF55">
        <v>0</v>
      </c>
      <c r="IH55" t="s">
        <v>549</v>
      </c>
      <c r="IO55">
        <v>1</v>
      </c>
      <c r="IP55">
        <v>19</v>
      </c>
      <c r="IQ55">
        <v>0</v>
      </c>
      <c r="IR55">
        <v>0</v>
      </c>
      <c r="IV55">
        <v>1458</v>
      </c>
      <c r="IW55">
        <v>418</v>
      </c>
      <c r="JA55">
        <v>1</v>
      </c>
      <c r="JB55">
        <v>0</v>
      </c>
      <c r="JC55">
        <v>2</v>
      </c>
      <c r="JD55">
        <v>1475</v>
      </c>
      <c r="JE55">
        <v>1468</v>
      </c>
      <c r="JF55">
        <v>0</v>
      </c>
      <c r="JG55">
        <v>1451</v>
      </c>
      <c r="JH55">
        <v>0</v>
      </c>
      <c r="JJ55">
        <v>180</v>
      </c>
      <c r="JK55">
        <v>490</v>
      </c>
      <c r="JN55">
        <v>385</v>
      </c>
      <c r="JO55">
        <v>690</v>
      </c>
      <c r="JP55">
        <v>0</v>
      </c>
      <c r="JQ55">
        <v>0</v>
      </c>
      <c r="JR55">
        <v>418</v>
      </c>
      <c r="JS55">
        <v>130</v>
      </c>
      <c r="JV55">
        <v>8</v>
      </c>
      <c r="JW55" t="s">
        <v>550</v>
      </c>
      <c r="JX55">
        <v>480</v>
      </c>
      <c r="KA55">
        <v>0</v>
      </c>
      <c r="KB55">
        <v>110</v>
      </c>
      <c r="KC55">
        <v>0</v>
      </c>
      <c r="KD55">
        <v>80</v>
      </c>
      <c r="KF55">
        <v>4</v>
      </c>
      <c r="KG55">
        <v>2</v>
      </c>
      <c r="KH55">
        <v>2</v>
      </c>
      <c r="KI55">
        <v>2</v>
      </c>
      <c r="KJ55">
        <v>0</v>
      </c>
      <c r="KK55">
        <v>1.5</v>
      </c>
      <c r="KL55">
        <v>1.5</v>
      </c>
      <c r="KM55">
        <v>0</v>
      </c>
      <c r="KN55">
        <v>0</v>
      </c>
      <c r="KO55">
        <v>0</v>
      </c>
      <c r="KR55">
        <v>50</v>
      </c>
      <c r="KS55">
        <v>60</v>
      </c>
      <c r="KT55">
        <v>0</v>
      </c>
      <c r="LK55">
        <v>480</v>
      </c>
      <c r="PG55">
        <v>1</v>
      </c>
      <c r="PI55" t="s">
        <v>1339</v>
      </c>
      <c r="PJ55" t="s">
        <v>1340</v>
      </c>
      <c r="PL55" t="s">
        <v>969</v>
      </c>
      <c r="PP55" t="s">
        <v>1341</v>
      </c>
      <c r="PS55" t="s">
        <v>580</v>
      </c>
      <c r="PX55">
        <v>56</v>
      </c>
      <c r="PY55">
        <v>56</v>
      </c>
      <c r="PZ55" t="s">
        <v>1339</v>
      </c>
      <c r="QA55">
        <v>3</v>
      </c>
      <c r="QB55">
        <v>1451</v>
      </c>
      <c r="QC55">
        <v>69</v>
      </c>
      <c r="QD55">
        <v>69</v>
      </c>
      <c r="QE55" t="s">
        <v>969</v>
      </c>
      <c r="QF55">
        <v>1</v>
      </c>
      <c r="QG55">
        <v>1475</v>
      </c>
      <c r="QH55">
        <v>66</v>
      </c>
      <c r="QI55">
        <v>66</v>
      </c>
      <c r="QJ55" t="s">
        <v>580</v>
      </c>
      <c r="QK55">
        <v>1</v>
      </c>
      <c r="QL55">
        <v>1475</v>
      </c>
      <c r="QM55">
        <v>62</v>
      </c>
      <c r="QN55">
        <v>62</v>
      </c>
      <c r="QO55" t="s">
        <v>1340</v>
      </c>
      <c r="QP55">
        <v>1</v>
      </c>
      <c r="QQ55">
        <v>1468</v>
      </c>
      <c r="QW55">
        <v>82</v>
      </c>
      <c r="QX55">
        <v>89</v>
      </c>
      <c r="QY55" t="s">
        <v>1341</v>
      </c>
      <c r="QZ55">
        <v>1</v>
      </c>
      <c r="RA55">
        <v>66</v>
      </c>
      <c r="RB55">
        <v>66</v>
      </c>
      <c r="RE55">
        <v>0</v>
      </c>
      <c r="RF55">
        <v>1</v>
      </c>
      <c r="RJ55">
        <v>1</v>
      </c>
      <c r="RK55">
        <v>3</v>
      </c>
      <c r="RL55">
        <v>2</v>
      </c>
      <c r="RO55">
        <v>545</v>
      </c>
      <c r="RP55">
        <v>170</v>
      </c>
      <c r="RQ55">
        <v>1071</v>
      </c>
      <c r="RT55">
        <v>272</v>
      </c>
      <c r="RU55">
        <v>187</v>
      </c>
      <c r="RV55" t="s">
        <v>1344</v>
      </c>
      <c r="RW55" t="s">
        <v>707</v>
      </c>
      <c r="RX55">
        <v>15</v>
      </c>
      <c r="RY55">
        <v>4</v>
      </c>
      <c r="RZ55" t="s">
        <v>707</v>
      </c>
      <c r="SA55">
        <v>15</v>
      </c>
      <c r="SC55" t="s">
        <v>1340</v>
      </c>
      <c r="SD55">
        <v>1</v>
      </c>
      <c r="SH55">
        <v>0.995</v>
      </c>
      <c r="SI55">
        <v>0.995</v>
      </c>
      <c r="SJ55">
        <v>0.995</v>
      </c>
      <c r="SK55">
        <v>15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1</v>
      </c>
      <c r="TB55">
        <v>0</v>
      </c>
      <c r="TC55">
        <v>0</v>
      </c>
      <c r="TD55">
        <v>7.5</v>
      </c>
      <c r="TE55" t="s">
        <v>553</v>
      </c>
      <c r="TF55" t="s">
        <v>624</v>
      </c>
      <c r="TG55" t="s">
        <v>555</v>
      </c>
      <c r="TI55" t="s">
        <v>546</v>
      </c>
      <c r="TJ55" t="s">
        <v>547</v>
      </c>
      <c r="TL55" t="s">
        <v>1252</v>
      </c>
      <c r="TM55" t="s">
        <v>513</v>
      </c>
      <c r="TN55">
        <v>0</v>
      </c>
      <c r="TO55" t="s">
        <v>557</v>
      </c>
    </row>
    <row r="56" spans="1:535">
      <c r="A56" t="s">
        <v>1345</v>
      </c>
      <c r="B56" t="s">
        <v>564</v>
      </c>
      <c r="C56" t="s">
        <v>509</v>
      </c>
      <c r="D56" t="s">
        <v>1346</v>
      </c>
      <c r="G56" t="s">
        <v>604</v>
      </c>
      <c r="H56" t="s">
        <v>605</v>
      </c>
      <c r="I56" t="s">
        <v>628</v>
      </c>
      <c r="J56" t="s">
        <v>606</v>
      </c>
      <c r="L56" t="s">
        <v>512</v>
      </c>
      <c r="M56" t="s">
        <v>629</v>
      </c>
      <c r="N56" t="s">
        <v>513</v>
      </c>
      <c r="O56" t="s">
        <v>607</v>
      </c>
      <c r="Q56" t="s">
        <v>1347</v>
      </c>
      <c r="R56" t="s">
        <v>517</v>
      </c>
      <c r="S56" t="s">
        <v>964</v>
      </c>
      <c r="T56" t="s">
        <v>965</v>
      </c>
      <c r="U56" t="s">
        <v>686</v>
      </c>
      <c r="V56" t="s">
        <v>687</v>
      </c>
      <c r="W56" t="s">
        <v>1283</v>
      </c>
      <c r="X56" t="s">
        <v>1242</v>
      </c>
      <c r="Y56" t="s">
        <v>524</v>
      </c>
      <c r="Z56" t="s">
        <v>1348</v>
      </c>
      <c r="AA56" t="s">
        <v>1349</v>
      </c>
      <c r="AB56" t="s">
        <v>1350</v>
      </c>
      <c r="AC56">
        <v>2</v>
      </c>
      <c r="AD56">
        <v>56</v>
      </c>
      <c r="AE56">
        <v>208</v>
      </c>
      <c r="AF56">
        <v>1.5</v>
      </c>
      <c r="AH56">
        <v>0</v>
      </c>
      <c r="AI56" t="s">
        <v>944</v>
      </c>
      <c r="AJ56">
        <v>187.5</v>
      </c>
      <c r="AK56">
        <v>1</v>
      </c>
      <c r="AL56">
        <v>1.5</v>
      </c>
      <c r="AM56" t="s">
        <v>579</v>
      </c>
      <c r="AN56" t="s">
        <v>580</v>
      </c>
      <c r="AO56">
        <v>2</v>
      </c>
      <c r="AP56" t="s">
        <v>581</v>
      </c>
      <c r="AQ56" t="s">
        <v>582</v>
      </c>
      <c r="AR56">
        <v>236</v>
      </c>
      <c r="AS56">
        <v>1.5</v>
      </c>
      <c r="AT56" t="s">
        <v>583</v>
      </c>
      <c r="AU56" t="s">
        <v>1351</v>
      </c>
      <c r="AW56" t="s">
        <v>1351</v>
      </c>
      <c r="AX56">
        <v>1</v>
      </c>
      <c r="AY56">
        <v>332.5</v>
      </c>
      <c r="AZ56">
        <v>1.5</v>
      </c>
      <c r="BA56" t="s">
        <v>579</v>
      </c>
      <c r="BG56">
        <v>1.5</v>
      </c>
      <c r="BJ56">
        <v>0</v>
      </c>
      <c r="BN56">
        <v>1.5</v>
      </c>
      <c r="BP56" t="s">
        <v>1341</v>
      </c>
      <c r="BQ56">
        <v>89</v>
      </c>
      <c r="BR56">
        <v>2</v>
      </c>
      <c r="BS56" t="s">
        <v>1342</v>
      </c>
      <c r="BT56">
        <v>207</v>
      </c>
      <c r="BU56">
        <v>0.5</v>
      </c>
      <c r="BV56" t="s">
        <v>1342</v>
      </c>
      <c r="BW56">
        <v>414</v>
      </c>
      <c r="BX56">
        <v>1</v>
      </c>
      <c r="BY56" t="s">
        <v>698</v>
      </c>
      <c r="BZ56">
        <v>300</v>
      </c>
      <c r="CA56">
        <v>480</v>
      </c>
      <c r="CB56" t="s">
        <v>699</v>
      </c>
      <c r="CC56" t="s">
        <v>699</v>
      </c>
      <c r="CD56">
        <v>446</v>
      </c>
      <c r="CE56" t="s">
        <v>700</v>
      </c>
      <c r="CF56">
        <v>15</v>
      </c>
      <c r="CG56" t="s">
        <v>783</v>
      </c>
      <c r="CH56" t="s">
        <v>783</v>
      </c>
      <c r="CI56">
        <v>90</v>
      </c>
      <c r="CJ56">
        <v>1458</v>
      </c>
      <c r="CK56">
        <v>2</v>
      </c>
      <c r="CL56">
        <v>1552</v>
      </c>
      <c r="CM56">
        <v>2</v>
      </c>
      <c r="CN56" t="s">
        <v>702</v>
      </c>
      <c r="CO56" t="s">
        <v>676</v>
      </c>
      <c r="CP56" t="s">
        <v>703</v>
      </c>
      <c r="CQ56" t="s">
        <v>1343</v>
      </c>
      <c r="CR56" t="s">
        <v>541</v>
      </c>
      <c r="CS56" t="s">
        <v>542</v>
      </c>
      <c r="CT56">
        <v>375</v>
      </c>
      <c r="CU56">
        <v>5</v>
      </c>
      <c r="CV56">
        <v>1.2</v>
      </c>
      <c r="CW56">
        <v>1475</v>
      </c>
      <c r="CX56">
        <v>783</v>
      </c>
      <c r="CY56" t="s">
        <v>597</v>
      </c>
      <c r="CZ56">
        <v>60</v>
      </c>
      <c r="DA56">
        <v>3</v>
      </c>
      <c r="DB56">
        <v>1.28</v>
      </c>
      <c r="DC56">
        <v>1475</v>
      </c>
      <c r="DD56">
        <v>125</v>
      </c>
      <c r="DE56" t="s">
        <v>543</v>
      </c>
      <c r="DF56">
        <v>665</v>
      </c>
      <c r="DG56">
        <v>3</v>
      </c>
      <c r="DH56">
        <v>1.18</v>
      </c>
      <c r="DI56">
        <v>1468</v>
      </c>
      <c r="DJ56">
        <v>1536</v>
      </c>
      <c r="DW56" t="s">
        <v>544</v>
      </c>
      <c r="DX56">
        <v>7.5</v>
      </c>
      <c r="EA56">
        <v>1540.9</v>
      </c>
      <c r="EB56">
        <v>272</v>
      </c>
      <c r="EC56" t="s">
        <v>545</v>
      </c>
      <c r="ED56">
        <v>30</v>
      </c>
      <c r="EE56">
        <v>3</v>
      </c>
      <c r="EG56">
        <v>1582</v>
      </c>
      <c r="EH56">
        <v>187</v>
      </c>
      <c r="EJ56">
        <v>0</v>
      </c>
      <c r="EK56">
        <v>1</v>
      </c>
      <c r="EN56">
        <v>0</v>
      </c>
      <c r="EP56" t="s">
        <v>546</v>
      </c>
      <c r="EQ56">
        <v>90</v>
      </c>
      <c r="ER56">
        <v>3</v>
      </c>
      <c r="ES56">
        <v>5.5</v>
      </c>
      <c r="ET56">
        <v>1454</v>
      </c>
      <c r="EU56">
        <v>385.9</v>
      </c>
      <c r="EV56">
        <v>561</v>
      </c>
      <c r="EW56" t="s">
        <v>547</v>
      </c>
      <c r="EX56">
        <v>45</v>
      </c>
      <c r="EY56">
        <v>2</v>
      </c>
      <c r="EZ56">
        <v>4.3</v>
      </c>
      <c r="FA56">
        <v>1454</v>
      </c>
      <c r="FB56">
        <v>134</v>
      </c>
      <c r="FC56">
        <v>195</v>
      </c>
      <c r="FE56">
        <v>0</v>
      </c>
      <c r="FF56">
        <v>2</v>
      </c>
      <c r="FI56">
        <v>0</v>
      </c>
      <c r="FK56" t="s">
        <v>548</v>
      </c>
      <c r="FL56">
        <v>0.4</v>
      </c>
      <c r="FM56">
        <v>70</v>
      </c>
      <c r="FN56">
        <v>340</v>
      </c>
      <c r="FO56">
        <v>65</v>
      </c>
      <c r="FP56">
        <v>150</v>
      </c>
      <c r="FR56" t="s">
        <v>548</v>
      </c>
      <c r="FS56">
        <v>0.4</v>
      </c>
      <c r="FT56">
        <v>30</v>
      </c>
      <c r="FU56">
        <v>380</v>
      </c>
      <c r="HC56">
        <v>0.1</v>
      </c>
      <c r="HD56">
        <v>3</v>
      </c>
      <c r="HE56">
        <v>3</v>
      </c>
      <c r="HF56">
        <v>3</v>
      </c>
      <c r="HG56">
        <v>3</v>
      </c>
      <c r="HH56">
        <v>3</v>
      </c>
      <c r="HI56">
        <v>120</v>
      </c>
      <c r="HJ56">
        <v>3</v>
      </c>
      <c r="HK56">
        <v>30</v>
      </c>
      <c r="HL56">
        <v>2</v>
      </c>
      <c r="HM56">
        <v>0</v>
      </c>
      <c r="HN56">
        <v>2</v>
      </c>
      <c r="HO56">
        <v>75</v>
      </c>
      <c r="HP56">
        <v>3</v>
      </c>
      <c r="HQ56">
        <v>0</v>
      </c>
      <c r="HR56">
        <v>2</v>
      </c>
      <c r="HS56">
        <v>4999</v>
      </c>
      <c r="HT56">
        <v>150</v>
      </c>
      <c r="HU56">
        <v>180</v>
      </c>
      <c r="HW56">
        <v>20</v>
      </c>
      <c r="HX56">
        <v>440</v>
      </c>
      <c r="HY56">
        <v>0.18</v>
      </c>
      <c r="IA56">
        <v>0.15</v>
      </c>
      <c r="IB56">
        <v>0</v>
      </c>
      <c r="IC56">
        <v>180</v>
      </c>
      <c r="ID56">
        <v>110</v>
      </c>
      <c r="IE56">
        <v>0</v>
      </c>
      <c r="IF56">
        <v>0</v>
      </c>
      <c r="IH56" t="s">
        <v>549</v>
      </c>
      <c r="IO56">
        <v>1</v>
      </c>
      <c r="IP56">
        <v>19</v>
      </c>
      <c r="IQ56">
        <v>0</v>
      </c>
      <c r="IR56">
        <v>0</v>
      </c>
      <c r="IV56">
        <v>1458</v>
      </c>
      <c r="IW56">
        <v>414</v>
      </c>
      <c r="JA56">
        <v>1</v>
      </c>
      <c r="JB56">
        <v>0</v>
      </c>
      <c r="JC56">
        <v>2</v>
      </c>
      <c r="JD56">
        <v>1475</v>
      </c>
      <c r="JE56">
        <v>1468</v>
      </c>
      <c r="JF56">
        <v>0</v>
      </c>
      <c r="JG56">
        <v>1454</v>
      </c>
      <c r="JH56">
        <v>0</v>
      </c>
      <c r="JJ56">
        <v>180</v>
      </c>
      <c r="JK56">
        <v>440</v>
      </c>
      <c r="JN56">
        <v>375</v>
      </c>
      <c r="JO56">
        <v>665</v>
      </c>
      <c r="JP56">
        <v>0</v>
      </c>
      <c r="JQ56">
        <v>0</v>
      </c>
      <c r="JR56">
        <v>416</v>
      </c>
      <c r="JS56">
        <v>120</v>
      </c>
      <c r="JV56">
        <v>8</v>
      </c>
      <c r="JW56" t="s">
        <v>550</v>
      </c>
      <c r="JX56">
        <v>472</v>
      </c>
      <c r="KA56">
        <v>0</v>
      </c>
      <c r="KB56">
        <v>110</v>
      </c>
      <c r="KC56">
        <v>0</v>
      </c>
      <c r="KD56">
        <v>80</v>
      </c>
      <c r="KF56">
        <v>4</v>
      </c>
      <c r="KG56">
        <v>2</v>
      </c>
      <c r="KH56">
        <v>2</v>
      </c>
      <c r="KI56">
        <v>2</v>
      </c>
      <c r="KJ56">
        <v>0</v>
      </c>
      <c r="KK56">
        <v>1.5</v>
      </c>
      <c r="KL56">
        <v>1.5</v>
      </c>
      <c r="KM56">
        <v>0</v>
      </c>
      <c r="KN56">
        <v>0</v>
      </c>
      <c r="KO56">
        <v>0</v>
      </c>
      <c r="KR56">
        <v>50</v>
      </c>
      <c r="KS56">
        <v>60</v>
      </c>
      <c r="KT56">
        <v>0</v>
      </c>
      <c r="LK56">
        <v>480</v>
      </c>
      <c r="PG56">
        <v>1</v>
      </c>
      <c r="PI56" t="s">
        <v>1350</v>
      </c>
      <c r="PJ56" t="s">
        <v>1351</v>
      </c>
      <c r="PL56" t="s">
        <v>944</v>
      </c>
      <c r="PP56" t="s">
        <v>1341</v>
      </c>
      <c r="PS56" t="s">
        <v>580</v>
      </c>
      <c r="PX56">
        <v>56</v>
      </c>
      <c r="PY56">
        <v>56</v>
      </c>
      <c r="PZ56" t="s">
        <v>1350</v>
      </c>
      <c r="QA56">
        <v>3</v>
      </c>
      <c r="QB56">
        <v>1454</v>
      </c>
      <c r="QC56">
        <v>69</v>
      </c>
      <c r="QD56">
        <v>69</v>
      </c>
      <c r="QE56" t="s">
        <v>944</v>
      </c>
      <c r="QF56">
        <v>1</v>
      </c>
      <c r="QG56">
        <v>1475</v>
      </c>
      <c r="QH56">
        <v>66</v>
      </c>
      <c r="QI56">
        <v>66</v>
      </c>
      <c r="QJ56" t="s">
        <v>580</v>
      </c>
      <c r="QK56">
        <v>1</v>
      </c>
      <c r="QL56">
        <v>1475</v>
      </c>
      <c r="QM56">
        <v>62</v>
      </c>
      <c r="QN56">
        <v>62</v>
      </c>
      <c r="QO56" t="s">
        <v>1351</v>
      </c>
      <c r="QP56">
        <v>1</v>
      </c>
      <c r="QQ56">
        <v>1468</v>
      </c>
      <c r="QW56">
        <v>82</v>
      </c>
      <c r="QX56">
        <v>89</v>
      </c>
      <c r="QY56" t="s">
        <v>1341</v>
      </c>
      <c r="QZ56">
        <v>1</v>
      </c>
      <c r="RA56">
        <v>66</v>
      </c>
      <c r="RB56">
        <v>66</v>
      </c>
      <c r="RE56">
        <v>0</v>
      </c>
      <c r="RF56">
        <v>1</v>
      </c>
      <c r="RJ56">
        <v>1</v>
      </c>
      <c r="RK56">
        <v>3</v>
      </c>
      <c r="RL56">
        <v>2</v>
      </c>
      <c r="RO56">
        <v>531</v>
      </c>
      <c r="RP56">
        <v>170</v>
      </c>
      <c r="RQ56">
        <v>1046</v>
      </c>
      <c r="RT56">
        <v>272</v>
      </c>
      <c r="RU56">
        <v>187</v>
      </c>
      <c r="RV56" t="s">
        <v>1344</v>
      </c>
      <c r="RW56" t="s">
        <v>707</v>
      </c>
      <c r="RX56">
        <v>15</v>
      </c>
      <c r="RY56">
        <v>4</v>
      </c>
      <c r="RZ56" t="s">
        <v>707</v>
      </c>
      <c r="SA56">
        <v>15</v>
      </c>
      <c r="SC56" t="s">
        <v>1351</v>
      </c>
      <c r="SD56">
        <v>1</v>
      </c>
      <c r="SH56">
        <v>0.995</v>
      </c>
      <c r="SI56">
        <v>0.995</v>
      </c>
      <c r="SJ56">
        <v>0.995</v>
      </c>
      <c r="SK56">
        <v>15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1</v>
      </c>
      <c r="TB56">
        <v>0</v>
      </c>
      <c r="TC56">
        <v>0</v>
      </c>
      <c r="TD56">
        <v>7.5</v>
      </c>
      <c r="TE56" t="s">
        <v>553</v>
      </c>
      <c r="TF56" t="s">
        <v>624</v>
      </c>
      <c r="TG56" t="s">
        <v>555</v>
      </c>
      <c r="TI56" t="s">
        <v>546</v>
      </c>
      <c r="TJ56" t="s">
        <v>547</v>
      </c>
      <c r="TL56" t="s">
        <v>1252</v>
      </c>
      <c r="TM56" t="s">
        <v>513</v>
      </c>
      <c r="TN56">
        <v>0</v>
      </c>
      <c r="TO56" t="s">
        <v>557</v>
      </c>
    </row>
    <row r="57" spans="1:535">
      <c r="A57" t="s">
        <v>1352</v>
      </c>
      <c r="B57" t="s">
        <v>564</v>
      </c>
      <c r="C57" t="s">
        <v>509</v>
      </c>
      <c r="D57" t="s">
        <v>1239</v>
      </c>
      <c r="G57" t="s">
        <v>1294</v>
      </c>
      <c r="I57" t="s">
        <v>562</v>
      </c>
      <c r="J57" t="s">
        <v>563</v>
      </c>
      <c r="L57" t="s">
        <v>512</v>
      </c>
      <c r="M57" t="s">
        <v>629</v>
      </c>
      <c r="N57" t="s">
        <v>513</v>
      </c>
      <c r="O57" t="s">
        <v>565</v>
      </c>
      <c r="Q57" t="s">
        <v>1353</v>
      </c>
      <c r="R57" t="s">
        <v>517</v>
      </c>
      <c r="S57" t="s">
        <v>849</v>
      </c>
      <c r="T57" t="s">
        <v>743</v>
      </c>
      <c r="U57" t="s">
        <v>686</v>
      </c>
      <c r="V57" t="s">
        <v>687</v>
      </c>
      <c r="W57" t="s">
        <v>1354</v>
      </c>
      <c r="X57" t="s">
        <v>1355</v>
      </c>
      <c r="Y57" t="s">
        <v>524</v>
      </c>
      <c r="Z57" t="s">
        <v>1356</v>
      </c>
      <c r="AA57" t="s">
        <v>1357</v>
      </c>
      <c r="AB57" t="s">
        <v>1358</v>
      </c>
      <c r="AC57">
        <v>2</v>
      </c>
      <c r="AD57">
        <v>56</v>
      </c>
      <c r="AE57">
        <v>183</v>
      </c>
      <c r="AF57">
        <v>1.5</v>
      </c>
      <c r="AH57">
        <v>0</v>
      </c>
      <c r="AI57" t="s">
        <v>1359</v>
      </c>
      <c r="AJ57">
        <v>162.5</v>
      </c>
      <c r="AK57">
        <v>1</v>
      </c>
      <c r="AL57">
        <v>1.5</v>
      </c>
      <c r="AM57" t="s">
        <v>579</v>
      </c>
      <c r="AN57" t="s">
        <v>795</v>
      </c>
      <c r="AO57">
        <v>2</v>
      </c>
      <c r="AP57" t="s">
        <v>581</v>
      </c>
      <c r="AQ57" t="s">
        <v>582</v>
      </c>
      <c r="AR57">
        <v>211</v>
      </c>
      <c r="AS57">
        <v>1.5</v>
      </c>
      <c r="AT57" t="s">
        <v>583</v>
      </c>
      <c r="AU57" t="s">
        <v>1360</v>
      </c>
      <c r="AW57" t="s">
        <v>1360</v>
      </c>
      <c r="AX57">
        <v>1</v>
      </c>
      <c r="AY57">
        <v>290</v>
      </c>
      <c r="AZ57">
        <v>1.5</v>
      </c>
      <c r="BA57" t="s">
        <v>579</v>
      </c>
      <c r="BG57">
        <v>1.5</v>
      </c>
      <c r="BJ57">
        <v>0</v>
      </c>
      <c r="BN57">
        <v>1.5</v>
      </c>
      <c r="BP57" t="s">
        <v>1361</v>
      </c>
      <c r="BQ57">
        <v>89</v>
      </c>
      <c r="BR57">
        <v>2</v>
      </c>
      <c r="BS57" t="s">
        <v>1362</v>
      </c>
      <c r="BT57">
        <v>182</v>
      </c>
      <c r="BU57">
        <v>0.5</v>
      </c>
      <c r="BV57" t="s">
        <v>1362</v>
      </c>
      <c r="BW57">
        <v>364</v>
      </c>
      <c r="BX57">
        <v>1</v>
      </c>
      <c r="BY57" t="s">
        <v>698</v>
      </c>
      <c r="BZ57">
        <v>300</v>
      </c>
      <c r="CA57">
        <v>420</v>
      </c>
      <c r="CB57" t="s">
        <v>699</v>
      </c>
      <c r="CC57" t="s">
        <v>699</v>
      </c>
      <c r="CD57">
        <v>380</v>
      </c>
      <c r="CE57" t="s">
        <v>700</v>
      </c>
      <c r="CF57">
        <v>15</v>
      </c>
      <c r="CG57" t="s">
        <v>1054</v>
      </c>
      <c r="CH57" t="s">
        <v>1054</v>
      </c>
      <c r="CI57">
        <v>60</v>
      </c>
      <c r="CJ57">
        <v>1458</v>
      </c>
      <c r="CK57">
        <v>2</v>
      </c>
      <c r="CL57">
        <v>1552</v>
      </c>
      <c r="CM57">
        <v>2</v>
      </c>
      <c r="CN57" t="s">
        <v>702</v>
      </c>
      <c r="CO57" t="s">
        <v>676</v>
      </c>
      <c r="CP57" t="s">
        <v>703</v>
      </c>
      <c r="CQ57" t="s">
        <v>1343</v>
      </c>
      <c r="CR57" t="s">
        <v>541</v>
      </c>
      <c r="CS57" t="s">
        <v>542</v>
      </c>
      <c r="CT57">
        <v>325</v>
      </c>
      <c r="CU57">
        <v>5</v>
      </c>
      <c r="CV57">
        <v>1.2</v>
      </c>
      <c r="CW57">
        <v>1475</v>
      </c>
      <c r="CX57">
        <v>679</v>
      </c>
      <c r="CY57" t="s">
        <v>705</v>
      </c>
      <c r="CZ57">
        <v>60</v>
      </c>
      <c r="DA57">
        <v>3</v>
      </c>
      <c r="DB57">
        <v>1</v>
      </c>
      <c r="DC57">
        <v>1475</v>
      </c>
      <c r="DD57">
        <v>92</v>
      </c>
      <c r="DE57" t="s">
        <v>622</v>
      </c>
      <c r="DF57">
        <v>580</v>
      </c>
      <c r="DG57">
        <v>3</v>
      </c>
      <c r="DH57">
        <v>0.88</v>
      </c>
      <c r="DI57">
        <v>1468</v>
      </c>
      <c r="DJ57">
        <v>1129</v>
      </c>
      <c r="DW57" t="s">
        <v>544</v>
      </c>
      <c r="DX57">
        <v>7.5</v>
      </c>
      <c r="EA57">
        <v>1539.3</v>
      </c>
      <c r="EB57">
        <v>272</v>
      </c>
      <c r="EC57" t="s">
        <v>545</v>
      </c>
      <c r="ED57">
        <v>30</v>
      </c>
      <c r="EE57">
        <v>3</v>
      </c>
      <c r="EG57">
        <v>1580</v>
      </c>
      <c r="EH57">
        <v>186</v>
      </c>
      <c r="EJ57">
        <v>0</v>
      </c>
      <c r="EK57">
        <v>1</v>
      </c>
      <c r="EN57">
        <v>0</v>
      </c>
      <c r="EP57" t="s">
        <v>546</v>
      </c>
      <c r="EQ57">
        <v>70</v>
      </c>
      <c r="ER57">
        <v>3</v>
      </c>
      <c r="ES57">
        <v>5.5</v>
      </c>
      <c r="ET57">
        <v>1454</v>
      </c>
      <c r="EU57">
        <v>285.7</v>
      </c>
      <c r="EV57">
        <v>415</v>
      </c>
      <c r="EW57" t="s">
        <v>547</v>
      </c>
      <c r="EX57">
        <v>45</v>
      </c>
      <c r="EY57">
        <v>2</v>
      </c>
      <c r="EZ57">
        <v>4.5</v>
      </c>
      <c r="FA57">
        <v>1454</v>
      </c>
      <c r="FB57">
        <v>147.4</v>
      </c>
      <c r="FC57">
        <v>214</v>
      </c>
      <c r="FE57">
        <v>0</v>
      </c>
      <c r="FF57">
        <v>2</v>
      </c>
      <c r="FI57">
        <v>0</v>
      </c>
      <c r="FK57" t="s">
        <v>548</v>
      </c>
      <c r="FL57">
        <v>0.6</v>
      </c>
      <c r="FM57">
        <v>70</v>
      </c>
      <c r="FN57">
        <v>290</v>
      </c>
      <c r="FO57">
        <v>60</v>
      </c>
      <c r="FP57">
        <v>130</v>
      </c>
      <c r="FR57" t="s">
        <v>548</v>
      </c>
      <c r="FS57">
        <v>0.4</v>
      </c>
      <c r="FT57">
        <v>30</v>
      </c>
      <c r="FU57">
        <v>330</v>
      </c>
      <c r="HC57">
        <v>0.1</v>
      </c>
      <c r="HD57">
        <v>3</v>
      </c>
      <c r="HE57">
        <v>3</v>
      </c>
      <c r="HF57">
        <v>3</v>
      </c>
      <c r="HG57">
        <v>3</v>
      </c>
      <c r="HH57">
        <v>3</v>
      </c>
      <c r="HI57">
        <v>100</v>
      </c>
      <c r="HJ57">
        <v>3</v>
      </c>
      <c r="HK57">
        <v>30</v>
      </c>
      <c r="HL57">
        <v>2</v>
      </c>
      <c r="HM57">
        <v>0</v>
      </c>
      <c r="HN57">
        <v>2</v>
      </c>
      <c r="HO57">
        <v>55</v>
      </c>
      <c r="HP57">
        <v>3</v>
      </c>
      <c r="HQ57">
        <v>0</v>
      </c>
      <c r="HR57">
        <v>2</v>
      </c>
      <c r="HS57">
        <v>4166</v>
      </c>
      <c r="HT57">
        <v>120</v>
      </c>
      <c r="HU57">
        <v>180</v>
      </c>
      <c r="HW57">
        <v>20</v>
      </c>
      <c r="HX57">
        <v>400</v>
      </c>
      <c r="HY57">
        <v>0.18</v>
      </c>
      <c r="IA57">
        <v>0.15</v>
      </c>
      <c r="IB57">
        <v>0</v>
      </c>
      <c r="IC57">
        <v>180</v>
      </c>
      <c r="ID57">
        <v>110</v>
      </c>
      <c r="IE57">
        <v>0</v>
      </c>
      <c r="IF57">
        <v>0</v>
      </c>
      <c r="IH57" t="s">
        <v>549</v>
      </c>
      <c r="IO57">
        <v>1</v>
      </c>
      <c r="IP57">
        <v>19</v>
      </c>
      <c r="IQ57">
        <v>0</v>
      </c>
      <c r="IR57">
        <v>0</v>
      </c>
      <c r="IV57">
        <v>1458</v>
      </c>
      <c r="IW57">
        <v>364</v>
      </c>
      <c r="JA57">
        <v>1</v>
      </c>
      <c r="JB57">
        <v>0</v>
      </c>
      <c r="JC57">
        <v>2</v>
      </c>
      <c r="JD57">
        <v>1475</v>
      </c>
      <c r="JE57">
        <v>1468</v>
      </c>
      <c r="JF57">
        <v>0</v>
      </c>
      <c r="JG57">
        <v>1454</v>
      </c>
      <c r="JH57">
        <v>0</v>
      </c>
      <c r="JJ57">
        <v>180</v>
      </c>
      <c r="JK57">
        <v>400</v>
      </c>
      <c r="JN57">
        <v>325</v>
      </c>
      <c r="JO57">
        <v>580</v>
      </c>
      <c r="JP57">
        <v>0</v>
      </c>
      <c r="JQ57">
        <v>0</v>
      </c>
      <c r="JR57">
        <v>366</v>
      </c>
      <c r="JS57">
        <v>100</v>
      </c>
      <c r="JV57">
        <v>8</v>
      </c>
      <c r="JW57" t="s">
        <v>550</v>
      </c>
      <c r="JX57">
        <v>422</v>
      </c>
      <c r="KA57">
        <v>0</v>
      </c>
      <c r="KB57">
        <v>110</v>
      </c>
      <c r="KC57">
        <v>0</v>
      </c>
      <c r="KD57">
        <v>80</v>
      </c>
      <c r="KF57">
        <v>4</v>
      </c>
      <c r="KG57">
        <v>2</v>
      </c>
      <c r="KH57">
        <v>2</v>
      </c>
      <c r="KI57">
        <v>2</v>
      </c>
      <c r="KJ57">
        <v>0</v>
      </c>
      <c r="KK57">
        <v>1.5</v>
      </c>
      <c r="KL57">
        <v>1.5</v>
      </c>
      <c r="KM57">
        <v>0</v>
      </c>
      <c r="KN57">
        <v>0</v>
      </c>
      <c r="KO57">
        <v>0</v>
      </c>
      <c r="KR57">
        <v>50</v>
      </c>
      <c r="KS57">
        <v>60</v>
      </c>
      <c r="KT57">
        <v>0</v>
      </c>
      <c r="LK57">
        <v>480</v>
      </c>
      <c r="PG57">
        <v>1</v>
      </c>
      <c r="PI57" t="s">
        <v>1358</v>
      </c>
      <c r="PJ57" t="s">
        <v>1360</v>
      </c>
      <c r="PL57" t="s">
        <v>1359</v>
      </c>
      <c r="PP57" t="s">
        <v>1361</v>
      </c>
      <c r="PS57" t="s">
        <v>795</v>
      </c>
      <c r="PX57">
        <v>56</v>
      </c>
      <c r="PY57">
        <v>56</v>
      </c>
      <c r="PZ57" t="s">
        <v>1358</v>
      </c>
      <c r="QA57">
        <v>1</v>
      </c>
      <c r="QB57">
        <v>1454</v>
      </c>
      <c r="QC57">
        <v>69</v>
      </c>
      <c r="QD57">
        <v>69</v>
      </c>
      <c r="QE57" t="s">
        <v>1359</v>
      </c>
      <c r="QF57">
        <v>1</v>
      </c>
      <c r="QG57">
        <v>1475</v>
      </c>
      <c r="QH57">
        <v>66</v>
      </c>
      <c r="QI57">
        <v>66</v>
      </c>
      <c r="QJ57" t="s">
        <v>795</v>
      </c>
      <c r="QK57">
        <v>1</v>
      </c>
      <c r="QL57">
        <v>1475</v>
      </c>
      <c r="QM57">
        <v>62</v>
      </c>
      <c r="QN57">
        <v>62</v>
      </c>
      <c r="QO57" t="s">
        <v>1360</v>
      </c>
      <c r="QP57">
        <v>1</v>
      </c>
      <c r="QQ57">
        <v>1468</v>
      </c>
      <c r="QW57">
        <v>82</v>
      </c>
      <c r="QX57">
        <v>89</v>
      </c>
      <c r="QY57" t="s">
        <v>1361</v>
      </c>
      <c r="QZ57">
        <v>1</v>
      </c>
      <c r="RA57">
        <v>66</v>
      </c>
      <c r="RB57">
        <v>66</v>
      </c>
      <c r="RE57">
        <v>0</v>
      </c>
      <c r="RF57">
        <v>1</v>
      </c>
      <c r="RJ57">
        <v>1</v>
      </c>
      <c r="RK57">
        <v>2</v>
      </c>
      <c r="RL57">
        <v>4</v>
      </c>
      <c r="RO57">
        <v>460</v>
      </c>
      <c r="RP57">
        <v>125</v>
      </c>
      <c r="RQ57">
        <v>769</v>
      </c>
      <c r="RT57">
        <v>272</v>
      </c>
      <c r="RU57">
        <v>186</v>
      </c>
      <c r="RV57" t="s">
        <v>1363</v>
      </c>
      <c r="RW57" t="s">
        <v>707</v>
      </c>
      <c r="RX57">
        <v>15</v>
      </c>
      <c r="RY57">
        <v>4</v>
      </c>
      <c r="RZ57" t="s">
        <v>707</v>
      </c>
      <c r="SA57">
        <v>15</v>
      </c>
      <c r="SC57" t="s">
        <v>1360</v>
      </c>
      <c r="SD57">
        <v>1</v>
      </c>
      <c r="SH57">
        <v>0.995</v>
      </c>
      <c r="SI57">
        <v>0.995</v>
      </c>
      <c r="SJ57">
        <v>0.995</v>
      </c>
      <c r="SK57">
        <v>15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1</v>
      </c>
      <c r="TB57">
        <v>0</v>
      </c>
      <c r="TC57">
        <v>0</v>
      </c>
      <c r="TD57">
        <v>7.5</v>
      </c>
      <c r="TE57" t="s">
        <v>553</v>
      </c>
      <c r="TF57" t="s">
        <v>624</v>
      </c>
      <c r="TG57" t="s">
        <v>555</v>
      </c>
      <c r="TI57" t="s">
        <v>546</v>
      </c>
      <c r="TJ57" t="s">
        <v>547</v>
      </c>
      <c r="TL57" t="s">
        <v>1252</v>
      </c>
      <c r="TM57" t="s">
        <v>513</v>
      </c>
      <c r="TN57">
        <v>0</v>
      </c>
      <c r="TO57" t="s">
        <v>557</v>
      </c>
    </row>
    <row r="58" spans="1:535">
      <c r="A58" t="s">
        <v>1364</v>
      </c>
      <c r="B58" t="s">
        <v>897</v>
      </c>
      <c r="C58" t="s">
        <v>509</v>
      </c>
      <c r="D58" t="s">
        <v>1365</v>
      </c>
      <c r="G58" t="s">
        <v>604</v>
      </c>
      <c r="H58" t="s">
        <v>605</v>
      </c>
      <c r="I58" t="s">
        <v>628</v>
      </c>
      <c r="J58" t="s">
        <v>606</v>
      </c>
      <c r="L58" t="s">
        <v>512</v>
      </c>
      <c r="M58" t="s">
        <v>657</v>
      </c>
      <c r="N58" t="s">
        <v>513</v>
      </c>
      <c r="O58" t="s">
        <v>607</v>
      </c>
      <c r="Q58" t="s">
        <v>1366</v>
      </c>
      <c r="R58" t="s">
        <v>517</v>
      </c>
      <c r="S58" t="s">
        <v>713</v>
      </c>
      <c r="T58" t="s">
        <v>714</v>
      </c>
      <c r="U58" t="s">
        <v>570</v>
      </c>
      <c r="V58" t="s">
        <v>571</v>
      </c>
      <c r="W58" t="s">
        <v>1367</v>
      </c>
      <c r="X58" t="s">
        <v>1368</v>
      </c>
      <c r="Y58" t="s">
        <v>524</v>
      </c>
      <c r="Z58" t="s">
        <v>1369</v>
      </c>
      <c r="AA58" t="s">
        <v>1370</v>
      </c>
      <c r="AB58" t="s">
        <v>1371</v>
      </c>
      <c r="AC58">
        <v>2</v>
      </c>
      <c r="AD58">
        <v>57</v>
      </c>
      <c r="AE58">
        <v>196</v>
      </c>
      <c r="AF58">
        <v>1.5</v>
      </c>
      <c r="AH58">
        <v>0</v>
      </c>
      <c r="AI58" t="s">
        <v>1287</v>
      </c>
      <c r="AJ58">
        <v>182.5</v>
      </c>
      <c r="AK58">
        <v>1</v>
      </c>
      <c r="AL58">
        <v>1.5</v>
      </c>
      <c r="AM58" t="s">
        <v>579</v>
      </c>
      <c r="AN58" t="s">
        <v>795</v>
      </c>
      <c r="AO58">
        <v>2</v>
      </c>
      <c r="AP58" t="s">
        <v>581</v>
      </c>
      <c r="AQ58" t="s">
        <v>582</v>
      </c>
      <c r="AR58">
        <v>229</v>
      </c>
      <c r="AS58">
        <v>1.5</v>
      </c>
      <c r="AT58" t="s">
        <v>583</v>
      </c>
      <c r="AU58" t="s">
        <v>1372</v>
      </c>
      <c r="AW58" t="s">
        <v>1372</v>
      </c>
      <c r="AX58">
        <v>1</v>
      </c>
      <c r="AY58">
        <v>257.5</v>
      </c>
      <c r="AZ58">
        <v>1.5</v>
      </c>
      <c r="BA58" t="s">
        <v>579</v>
      </c>
      <c r="BC58" t="s">
        <v>1373</v>
      </c>
      <c r="BD58" t="s">
        <v>1373</v>
      </c>
      <c r="BE58">
        <v>1</v>
      </c>
      <c r="BF58">
        <v>220</v>
      </c>
      <c r="BG58">
        <v>1.5</v>
      </c>
      <c r="BJ58">
        <v>0</v>
      </c>
      <c r="BN58">
        <v>1.5</v>
      </c>
      <c r="BP58" t="s">
        <v>1374</v>
      </c>
      <c r="BQ58" t="s">
        <v>587</v>
      </c>
      <c r="BR58">
        <v>2</v>
      </c>
      <c r="BS58" t="s">
        <v>799</v>
      </c>
      <c r="BT58">
        <v>197</v>
      </c>
      <c r="BU58">
        <v>0.5</v>
      </c>
      <c r="BV58" t="s">
        <v>799</v>
      </c>
      <c r="BW58">
        <v>394</v>
      </c>
      <c r="BX58">
        <v>1</v>
      </c>
      <c r="BY58" t="s">
        <v>589</v>
      </c>
      <c r="BZ58">
        <v>300</v>
      </c>
      <c r="CA58">
        <v>460</v>
      </c>
      <c r="CB58" t="s">
        <v>590</v>
      </c>
      <c r="CC58" t="s">
        <v>590</v>
      </c>
      <c r="CD58">
        <v>420</v>
      </c>
      <c r="CE58" t="s">
        <v>591</v>
      </c>
      <c r="CF58">
        <v>15</v>
      </c>
      <c r="CG58" t="s">
        <v>1375</v>
      </c>
      <c r="CH58" t="s">
        <v>1375</v>
      </c>
      <c r="CI58">
        <v>80</v>
      </c>
      <c r="CJ58">
        <v>1538</v>
      </c>
      <c r="CK58">
        <v>2</v>
      </c>
      <c r="CL58">
        <v>1632</v>
      </c>
      <c r="CM58">
        <v>2</v>
      </c>
      <c r="CN58" t="s">
        <v>593</v>
      </c>
      <c r="CO58" t="s">
        <v>594</v>
      </c>
      <c r="CP58" t="s">
        <v>595</v>
      </c>
      <c r="CQ58" t="s">
        <v>704</v>
      </c>
      <c r="CR58" t="s">
        <v>650</v>
      </c>
      <c r="CS58" t="s">
        <v>542</v>
      </c>
      <c r="CT58">
        <v>365</v>
      </c>
      <c r="CU58">
        <v>5</v>
      </c>
      <c r="CV58">
        <v>1.2</v>
      </c>
      <c r="CW58">
        <v>1554</v>
      </c>
      <c r="CX58">
        <v>803</v>
      </c>
      <c r="CY58" t="s">
        <v>705</v>
      </c>
      <c r="CZ58">
        <v>60</v>
      </c>
      <c r="DA58">
        <v>3</v>
      </c>
      <c r="DB58">
        <v>1</v>
      </c>
      <c r="DC58">
        <v>1554</v>
      </c>
      <c r="DD58">
        <v>97</v>
      </c>
      <c r="DE58" t="s">
        <v>622</v>
      </c>
      <c r="DF58">
        <v>515</v>
      </c>
      <c r="DG58">
        <v>3</v>
      </c>
      <c r="DH58">
        <v>0.88</v>
      </c>
      <c r="DI58">
        <v>1547</v>
      </c>
      <c r="DJ58">
        <v>942</v>
      </c>
      <c r="DK58" t="s">
        <v>622</v>
      </c>
      <c r="DL58">
        <v>440</v>
      </c>
      <c r="DM58">
        <v>3</v>
      </c>
      <c r="DN58">
        <v>0.88</v>
      </c>
      <c r="DO58">
        <v>1552</v>
      </c>
      <c r="DP58">
        <v>861</v>
      </c>
      <c r="DW58" t="s">
        <v>544</v>
      </c>
      <c r="DX58">
        <v>7.5</v>
      </c>
      <c r="EA58">
        <v>1623.8</v>
      </c>
      <c r="EB58">
        <v>382</v>
      </c>
      <c r="EC58" t="s">
        <v>545</v>
      </c>
      <c r="ED58">
        <v>30</v>
      </c>
      <c r="EE58">
        <v>3</v>
      </c>
      <c r="EG58">
        <v>1675</v>
      </c>
      <c r="EH58">
        <v>198</v>
      </c>
      <c r="EJ58">
        <v>0</v>
      </c>
      <c r="EK58">
        <v>1</v>
      </c>
      <c r="EN58">
        <v>0</v>
      </c>
      <c r="EP58" t="s">
        <v>546</v>
      </c>
      <c r="EQ58">
        <v>75</v>
      </c>
      <c r="ER58">
        <v>3</v>
      </c>
      <c r="ES58">
        <v>4.5</v>
      </c>
      <c r="ET58">
        <v>1528</v>
      </c>
      <c r="EU58">
        <v>277.9</v>
      </c>
      <c r="EV58">
        <v>425</v>
      </c>
      <c r="EW58" t="s">
        <v>547</v>
      </c>
      <c r="EX58">
        <v>45</v>
      </c>
      <c r="EY58">
        <v>2</v>
      </c>
      <c r="EZ58">
        <v>4.3</v>
      </c>
      <c r="FA58">
        <v>1528</v>
      </c>
      <c r="FB58">
        <v>135.2</v>
      </c>
      <c r="FC58">
        <v>207</v>
      </c>
      <c r="FE58">
        <v>0</v>
      </c>
      <c r="FF58">
        <v>2</v>
      </c>
      <c r="FI58">
        <v>0</v>
      </c>
      <c r="FK58" t="s">
        <v>548</v>
      </c>
      <c r="FL58">
        <v>0.4</v>
      </c>
      <c r="FM58">
        <v>55</v>
      </c>
      <c r="FN58">
        <v>310</v>
      </c>
      <c r="FO58">
        <v>60</v>
      </c>
      <c r="FP58">
        <v>160</v>
      </c>
      <c r="GR58" t="s">
        <v>548</v>
      </c>
      <c r="GS58">
        <v>0.4</v>
      </c>
      <c r="GT58">
        <v>30</v>
      </c>
      <c r="GU58">
        <v>360</v>
      </c>
      <c r="GV58">
        <v>30</v>
      </c>
      <c r="GW58">
        <v>240</v>
      </c>
      <c r="GY58" t="s">
        <v>651</v>
      </c>
      <c r="GZ58">
        <v>1.6</v>
      </c>
      <c r="HA58">
        <v>20</v>
      </c>
      <c r="HB58">
        <v>186</v>
      </c>
      <c r="HC58">
        <v>0.1</v>
      </c>
      <c r="HD58">
        <v>3</v>
      </c>
      <c r="HE58">
        <v>3</v>
      </c>
      <c r="HF58">
        <v>3</v>
      </c>
      <c r="HG58">
        <v>3</v>
      </c>
      <c r="HH58">
        <v>3</v>
      </c>
      <c r="HI58">
        <v>105</v>
      </c>
      <c r="HJ58">
        <v>3</v>
      </c>
      <c r="HK58">
        <v>30</v>
      </c>
      <c r="HL58">
        <v>2</v>
      </c>
      <c r="HM58">
        <v>0</v>
      </c>
      <c r="HN58">
        <v>2</v>
      </c>
      <c r="HO58">
        <v>60</v>
      </c>
      <c r="HP58">
        <v>3</v>
      </c>
      <c r="HQ58">
        <v>0</v>
      </c>
      <c r="HR58">
        <v>2</v>
      </c>
      <c r="HS58">
        <v>5224</v>
      </c>
      <c r="HT58">
        <v>160</v>
      </c>
      <c r="HU58">
        <v>180</v>
      </c>
      <c r="HW58">
        <v>0</v>
      </c>
      <c r="HX58">
        <v>480</v>
      </c>
      <c r="HY58">
        <v>0.18</v>
      </c>
      <c r="IA58">
        <v>0.15</v>
      </c>
      <c r="IB58">
        <v>0</v>
      </c>
      <c r="IC58">
        <v>180</v>
      </c>
      <c r="ID58">
        <v>110</v>
      </c>
      <c r="IE58">
        <v>225</v>
      </c>
      <c r="IF58">
        <v>0</v>
      </c>
      <c r="IH58" t="s">
        <v>549</v>
      </c>
      <c r="IO58">
        <v>3</v>
      </c>
      <c r="IP58">
        <v>20</v>
      </c>
      <c r="IQ58">
        <v>0</v>
      </c>
      <c r="IR58">
        <v>0</v>
      </c>
      <c r="IV58">
        <v>1538</v>
      </c>
      <c r="IW58">
        <v>394</v>
      </c>
      <c r="JA58">
        <v>1</v>
      </c>
      <c r="JB58">
        <v>0</v>
      </c>
      <c r="JC58">
        <v>2</v>
      </c>
      <c r="JD58">
        <v>1554</v>
      </c>
      <c r="JE58">
        <v>1547</v>
      </c>
      <c r="JF58">
        <v>1552</v>
      </c>
      <c r="JG58">
        <v>1528</v>
      </c>
      <c r="JH58">
        <v>0</v>
      </c>
      <c r="JJ58">
        <v>180</v>
      </c>
      <c r="JK58">
        <v>480</v>
      </c>
      <c r="JN58">
        <v>365</v>
      </c>
      <c r="JO58">
        <v>515</v>
      </c>
      <c r="JP58">
        <v>440</v>
      </c>
      <c r="JQ58">
        <v>0</v>
      </c>
      <c r="JR58">
        <v>392</v>
      </c>
      <c r="JS58">
        <v>105</v>
      </c>
      <c r="JV58">
        <v>8</v>
      </c>
      <c r="JW58" t="s">
        <v>550</v>
      </c>
      <c r="JX58">
        <v>458</v>
      </c>
      <c r="KA58">
        <v>225</v>
      </c>
      <c r="KB58">
        <v>110</v>
      </c>
      <c r="KC58">
        <v>0</v>
      </c>
      <c r="KD58">
        <v>80</v>
      </c>
      <c r="KF58">
        <v>4</v>
      </c>
      <c r="KG58">
        <v>2</v>
      </c>
      <c r="KH58">
        <v>2</v>
      </c>
      <c r="KI58">
        <v>2</v>
      </c>
      <c r="KJ58">
        <v>0</v>
      </c>
      <c r="KK58">
        <v>1.5</v>
      </c>
      <c r="KL58">
        <v>1.5</v>
      </c>
      <c r="KM58">
        <v>0</v>
      </c>
      <c r="KN58">
        <v>0</v>
      </c>
      <c r="KO58">
        <v>0</v>
      </c>
      <c r="KR58">
        <v>25</v>
      </c>
      <c r="KS58">
        <v>30</v>
      </c>
      <c r="KT58">
        <v>0</v>
      </c>
      <c r="LK58">
        <v>480</v>
      </c>
      <c r="LX58">
        <v>332</v>
      </c>
      <c r="LY58">
        <v>2</v>
      </c>
      <c r="LZ58">
        <v>200</v>
      </c>
      <c r="PG58">
        <v>1</v>
      </c>
      <c r="PI58" t="s">
        <v>1371</v>
      </c>
      <c r="PJ58" t="s">
        <v>1372</v>
      </c>
      <c r="PK58" t="s">
        <v>1373</v>
      </c>
      <c r="PL58" t="s">
        <v>1287</v>
      </c>
      <c r="PP58" t="s">
        <v>1374</v>
      </c>
      <c r="PS58" t="s">
        <v>795</v>
      </c>
      <c r="PX58">
        <v>56</v>
      </c>
      <c r="PY58">
        <v>57</v>
      </c>
      <c r="PZ58" t="s">
        <v>1371</v>
      </c>
      <c r="QA58">
        <v>1</v>
      </c>
      <c r="QB58">
        <v>1528</v>
      </c>
      <c r="QC58">
        <v>69</v>
      </c>
      <c r="QD58">
        <v>69</v>
      </c>
      <c r="QE58" t="s">
        <v>1287</v>
      </c>
      <c r="QF58">
        <v>1</v>
      </c>
      <c r="QG58">
        <v>1554</v>
      </c>
      <c r="QH58">
        <v>66</v>
      </c>
      <c r="QI58">
        <v>66</v>
      </c>
      <c r="QJ58" t="s">
        <v>795</v>
      </c>
      <c r="QK58">
        <v>1</v>
      </c>
      <c r="QL58">
        <v>1554</v>
      </c>
      <c r="QM58">
        <v>62</v>
      </c>
      <c r="QN58">
        <v>62</v>
      </c>
      <c r="QO58" t="s">
        <v>1372</v>
      </c>
      <c r="QP58">
        <v>1</v>
      </c>
      <c r="QQ58">
        <v>1547</v>
      </c>
      <c r="QR58">
        <v>63</v>
      </c>
      <c r="QS58">
        <v>63</v>
      </c>
      <c r="QT58" t="s">
        <v>1373</v>
      </c>
      <c r="QU58">
        <v>1</v>
      </c>
      <c r="QV58">
        <v>1552</v>
      </c>
      <c r="QW58">
        <v>82</v>
      </c>
      <c r="QX58" t="s">
        <v>587</v>
      </c>
      <c r="QY58" t="s">
        <v>1374</v>
      </c>
      <c r="QZ58">
        <v>3</v>
      </c>
      <c r="RA58">
        <v>66</v>
      </c>
      <c r="RB58">
        <v>66</v>
      </c>
      <c r="RE58">
        <v>0</v>
      </c>
      <c r="RF58">
        <v>1</v>
      </c>
      <c r="RI58">
        <v>1</v>
      </c>
      <c r="RJ58">
        <v>1</v>
      </c>
      <c r="RK58">
        <v>2</v>
      </c>
      <c r="RL58">
        <v>4</v>
      </c>
      <c r="RM58">
        <v>4</v>
      </c>
      <c r="RO58">
        <v>517</v>
      </c>
      <c r="RP58">
        <v>125</v>
      </c>
      <c r="RQ58">
        <v>609</v>
      </c>
      <c r="RR58">
        <v>555</v>
      </c>
      <c r="RT58">
        <v>382</v>
      </c>
      <c r="RU58">
        <v>198</v>
      </c>
      <c r="RV58" t="s">
        <v>801</v>
      </c>
      <c r="RW58" t="s">
        <v>599</v>
      </c>
      <c r="RX58">
        <v>15</v>
      </c>
      <c r="RY58">
        <v>4</v>
      </c>
      <c r="RZ58" t="s">
        <v>599</v>
      </c>
      <c r="SA58">
        <v>15</v>
      </c>
      <c r="SC58" t="s">
        <v>1372</v>
      </c>
      <c r="SD58">
        <v>1</v>
      </c>
      <c r="SE58" t="s">
        <v>1376</v>
      </c>
      <c r="SF58" t="s">
        <v>1376</v>
      </c>
      <c r="SG58">
        <v>1</v>
      </c>
      <c r="SH58">
        <v>0.995</v>
      </c>
      <c r="SI58">
        <v>0.995</v>
      </c>
      <c r="SJ58">
        <v>0.995</v>
      </c>
      <c r="SK58">
        <v>15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1</v>
      </c>
      <c r="SZ58">
        <v>1</v>
      </c>
      <c r="TB58">
        <v>1</v>
      </c>
      <c r="TC58">
        <v>0</v>
      </c>
      <c r="TD58">
        <v>7.5</v>
      </c>
      <c r="TE58" t="s">
        <v>553</v>
      </c>
      <c r="TF58" t="s">
        <v>681</v>
      </c>
      <c r="TG58" t="s">
        <v>555</v>
      </c>
      <c r="TI58" t="s">
        <v>546</v>
      </c>
      <c r="TJ58" t="s">
        <v>547</v>
      </c>
      <c r="TL58" t="s">
        <v>1377</v>
      </c>
      <c r="TM58" t="s">
        <v>513</v>
      </c>
      <c r="TN58">
        <v>0</v>
      </c>
      <c r="TO58" t="s">
        <v>601</v>
      </c>
    </row>
    <row r="59" spans="1:535">
      <c r="A59" t="s">
        <v>1378</v>
      </c>
      <c r="B59" t="s">
        <v>897</v>
      </c>
      <c r="C59" t="s">
        <v>509</v>
      </c>
      <c r="D59" t="s">
        <v>1379</v>
      </c>
      <c r="G59" t="s">
        <v>1135</v>
      </c>
      <c r="I59" t="s">
        <v>511</v>
      </c>
      <c r="J59" t="s">
        <v>563</v>
      </c>
      <c r="L59" t="s">
        <v>512</v>
      </c>
      <c r="M59" t="s">
        <v>657</v>
      </c>
      <c r="N59" t="s">
        <v>513</v>
      </c>
      <c r="O59" t="s">
        <v>607</v>
      </c>
      <c r="Q59" t="s">
        <v>1380</v>
      </c>
      <c r="R59" t="s">
        <v>517</v>
      </c>
      <c r="S59" t="s">
        <v>849</v>
      </c>
      <c r="T59" t="s">
        <v>743</v>
      </c>
      <c r="U59" t="s">
        <v>686</v>
      </c>
      <c r="V59" t="s">
        <v>687</v>
      </c>
      <c r="W59" t="s">
        <v>1354</v>
      </c>
      <c r="X59" t="s">
        <v>1381</v>
      </c>
      <c r="Y59" t="s">
        <v>524</v>
      </c>
      <c r="Z59" t="s">
        <v>1382</v>
      </c>
      <c r="AA59" t="s">
        <v>1383</v>
      </c>
      <c r="AB59" t="s">
        <v>1384</v>
      </c>
      <c r="AC59">
        <v>2</v>
      </c>
      <c r="AD59">
        <v>57</v>
      </c>
      <c r="AE59">
        <v>182</v>
      </c>
      <c r="AF59">
        <v>1.5</v>
      </c>
      <c r="AH59">
        <v>0</v>
      </c>
      <c r="AI59" t="s">
        <v>1359</v>
      </c>
      <c r="AJ59">
        <v>162.5</v>
      </c>
      <c r="AK59">
        <v>1</v>
      </c>
      <c r="AL59">
        <v>1.5</v>
      </c>
      <c r="AM59" t="s">
        <v>579</v>
      </c>
      <c r="AN59" t="s">
        <v>795</v>
      </c>
      <c r="AO59">
        <v>2</v>
      </c>
      <c r="AP59" t="s">
        <v>581</v>
      </c>
      <c r="AQ59" t="s">
        <v>582</v>
      </c>
      <c r="AR59">
        <v>211</v>
      </c>
      <c r="AS59">
        <v>1.5</v>
      </c>
      <c r="AT59" t="s">
        <v>583</v>
      </c>
      <c r="AU59" t="s">
        <v>1385</v>
      </c>
      <c r="AW59" t="s">
        <v>1385</v>
      </c>
      <c r="AX59">
        <v>1</v>
      </c>
      <c r="AY59">
        <v>287.5</v>
      </c>
      <c r="AZ59">
        <v>1.5</v>
      </c>
      <c r="BA59" t="s">
        <v>579</v>
      </c>
      <c r="BG59">
        <v>1.5</v>
      </c>
      <c r="BJ59">
        <v>0</v>
      </c>
      <c r="BN59">
        <v>1.5</v>
      </c>
      <c r="BP59" t="s">
        <v>1361</v>
      </c>
      <c r="BQ59">
        <v>89</v>
      </c>
      <c r="BR59">
        <v>2</v>
      </c>
      <c r="BS59" t="s">
        <v>1362</v>
      </c>
      <c r="BT59">
        <v>181</v>
      </c>
      <c r="BU59">
        <v>0.5</v>
      </c>
      <c r="BV59" t="s">
        <v>1362</v>
      </c>
      <c r="BW59">
        <v>362</v>
      </c>
      <c r="BX59">
        <v>1</v>
      </c>
      <c r="BY59" t="s">
        <v>698</v>
      </c>
      <c r="BZ59">
        <v>300</v>
      </c>
      <c r="CA59">
        <v>440</v>
      </c>
      <c r="CB59" t="s">
        <v>699</v>
      </c>
      <c r="CC59" t="s">
        <v>699</v>
      </c>
      <c r="CD59">
        <v>410</v>
      </c>
      <c r="CE59" t="s">
        <v>700</v>
      </c>
      <c r="CF59">
        <v>15</v>
      </c>
      <c r="CG59" t="s">
        <v>859</v>
      </c>
      <c r="CH59" t="s">
        <v>859</v>
      </c>
      <c r="CI59">
        <v>70</v>
      </c>
      <c r="CJ59">
        <v>1458</v>
      </c>
      <c r="CK59">
        <v>2</v>
      </c>
      <c r="CL59">
        <v>1552</v>
      </c>
      <c r="CM59">
        <v>2</v>
      </c>
      <c r="CN59" t="s">
        <v>702</v>
      </c>
      <c r="CO59" t="s">
        <v>676</v>
      </c>
      <c r="CP59" t="s">
        <v>703</v>
      </c>
      <c r="CQ59" t="s">
        <v>1343</v>
      </c>
      <c r="CR59" t="s">
        <v>541</v>
      </c>
      <c r="CS59" t="s">
        <v>542</v>
      </c>
      <c r="CT59">
        <v>325</v>
      </c>
      <c r="CU59">
        <v>5</v>
      </c>
      <c r="CV59">
        <v>1.2</v>
      </c>
      <c r="CW59">
        <v>1475</v>
      </c>
      <c r="CX59">
        <v>679</v>
      </c>
      <c r="CY59" t="s">
        <v>705</v>
      </c>
      <c r="CZ59">
        <v>60</v>
      </c>
      <c r="DA59">
        <v>3</v>
      </c>
      <c r="DB59">
        <v>1</v>
      </c>
      <c r="DC59">
        <v>1475</v>
      </c>
      <c r="DD59">
        <v>92</v>
      </c>
      <c r="DE59" t="s">
        <v>622</v>
      </c>
      <c r="DF59">
        <v>575</v>
      </c>
      <c r="DG59">
        <v>3</v>
      </c>
      <c r="DH59">
        <v>0.88</v>
      </c>
      <c r="DI59">
        <v>1468</v>
      </c>
      <c r="DJ59">
        <v>1075</v>
      </c>
      <c r="DW59" t="s">
        <v>544</v>
      </c>
      <c r="DX59">
        <v>7.5</v>
      </c>
      <c r="EA59">
        <v>1539.3</v>
      </c>
      <c r="EB59">
        <v>272</v>
      </c>
      <c r="EC59" t="s">
        <v>545</v>
      </c>
      <c r="ED59">
        <v>30</v>
      </c>
      <c r="EE59">
        <v>3</v>
      </c>
      <c r="EG59">
        <v>1580</v>
      </c>
      <c r="EH59">
        <v>186</v>
      </c>
      <c r="EJ59">
        <v>0</v>
      </c>
      <c r="EK59">
        <v>1</v>
      </c>
      <c r="EN59">
        <v>0</v>
      </c>
      <c r="EP59" t="s">
        <v>546</v>
      </c>
      <c r="EQ59">
        <v>70</v>
      </c>
      <c r="ER59">
        <v>3</v>
      </c>
      <c r="ES59">
        <v>5</v>
      </c>
      <c r="ET59">
        <v>1451</v>
      </c>
      <c r="EU59">
        <v>255.1</v>
      </c>
      <c r="EV59">
        <v>370</v>
      </c>
      <c r="EW59" t="s">
        <v>547</v>
      </c>
      <c r="EX59">
        <v>45</v>
      </c>
      <c r="EY59">
        <v>2</v>
      </c>
      <c r="EZ59">
        <v>4</v>
      </c>
      <c r="FA59">
        <v>1451</v>
      </c>
      <c r="FB59">
        <v>127.8</v>
      </c>
      <c r="FC59">
        <v>185</v>
      </c>
      <c r="FE59">
        <v>0</v>
      </c>
      <c r="FF59">
        <v>2</v>
      </c>
      <c r="FI59">
        <v>0</v>
      </c>
      <c r="FK59" t="s">
        <v>548</v>
      </c>
      <c r="FL59">
        <v>0.6</v>
      </c>
      <c r="FM59">
        <v>45</v>
      </c>
      <c r="FN59">
        <v>310</v>
      </c>
      <c r="FO59">
        <v>60</v>
      </c>
      <c r="FP59">
        <v>120</v>
      </c>
      <c r="FR59" t="s">
        <v>548</v>
      </c>
      <c r="FS59">
        <v>0.4</v>
      </c>
      <c r="FT59">
        <v>30</v>
      </c>
      <c r="FU59">
        <v>320</v>
      </c>
      <c r="HC59">
        <v>0.1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100</v>
      </c>
      <c r="HJ59">
        <v>3</v>
      </c>
      <c r="HK59">
        <v>30</v>
      </c>
      <c r="HL59">
        <v>2</v>
      </c>
      <c r="HM59">
        <v>0</v>
      </c>
      <c r="HN59">
        <v>2</v>
      </c>
      <c r="HO59">
        <v>55</v>
      </c>
      <c r="HP59">
        <v>3</v>
      </c>
      <c r="HQ59">
        <v>0</v>
      </c>
      <c r="HR59">
        <v>2</v>
      </c>
      <c r="HS59">
        <v>3964</v>
      </c>
      <c r="HT59">
        <v>120</v>
      </c>
      <c r="HU59">
        <v>180</v>
      </c>
      <c r="HW59">
        <v>20</v>
      </c>
      <c r="HX59">
        <v>480</v>
      </c>
      <c r="HY59">
        <v>0.18</v>
      </c>
      <c r="IA59">
        <v>0.15</v>
      </c>
      <c r="IB59">
        <v>0</v>
      </c>
      <c r="IC59">
        <v>180</v>
      </c>
      <c r="ID59">
        <v>110</v>
      </c>
      <c r="IE59">
        <v>0</v>
      </c>
      <c r="IF59">
        <v>0</v>
      </c>
      <c r="IH59" t="s">
        <v>549</v>
      </c>
      <c r="IO59">
        <v>1</v>
      </c>
      <c r="IP59">
        <v>19</v>
      </c>
      <c r="IQ59">
        <v>0</v>
      </c>
      <c r="IR59">
        <v>0</v>
      </c>
      <c r="IV59">
        <v>1458</v>
      </c>
      <c r="IW59">
        <v>362</v>
      </c>
      <c r="JA59">
        <v>1</v>
      </c>
      <c r="JB59">
        <v>0</v>
      </c>
      <c r="JC59">
        <v>2</v>
      </c>
      <c r="JD59">
        <v>1475</v>
      </c>
      <c r="JE59">
        <v>1468</v>
      </c>
      <c r="JF59">
        <v>0</v>
      </c>
      <c r="JG59">
        <v>1451</v>
      </c>
      <c r="JH59">
        <v>0</v>
      </c>
      <c r="JJ59">
        <v>180</v>
      </c>
      <c r="JK59">
        <v>480</v>
      </c>
      <c r="JN59">
        <v>325</v>
      </c>
      <c r="JO59">
        <v>575</v>
      </c>
      <c r="JP59">
        <v>0</v>
      </c>
      <c r="JQ59">
        <v>0</v>
      </c>
      <c r="JR59">
        <v>364</v>
      </c>
      <c r="JS59">
        <v>100</v>
      </c>
      <c r="JV59">
        <v>8</v>
      </c>
      <c r="JW59" t="s">
        <v>550</v>
      </c>
      <c r="JX59">
        <v>422</v>
      </c>
      <c r="KA59">
        <v>0</v>
      </c>
      <c r="KB59">
        <v>110</v>
      </c>
      <c r="KC59">
        <v>0</v>
      </c>
      <c r="KD59">
        <v>80</v>
      </c>
      <c r="KF59">
        <v>4</v>
      </c>
      <c r="KG59">
        <v>2</v>
      </c>
      <c r="KH59">
        <v>2</v>
      </c>
      <c r="KI59">
        <v>2</v>
      </c>
      <c r="KJ59">
        <v>0</v>
      </c>
      <c r="KK59">
        <v>1.5</v>
      </c>
      <c r="KL59">
        <v>1.5</v>
      </c>
      <c r="KM59">
        <v>0</v>
      </c>
      <c r="KN59">
        <v>0</v>
      </c>
      <c r="KO59">
        <v>0</v>
      </c>
      <c r="KR59">
        <v>20</v>
      </c>
      <c r="KS59">
        <v>60</v>
      </c>
      <c r="KT59">
        <v>0</v>
      </c>
      <c r="LK59">
        <v>480</v>
      </c>
      <c r="PG59">
        <v>1</v>
      </c>
      <c r="PI59" t="s">
        <v>1384</v>
      </c>
      <c r="PJ59" t="s">
        <v>1385</v>
      </c>
      <c r="PL59" t="s">
        <v>1359</v>
      </c>
      <c r="PP59" t="s">
        <v>1361</v>
      </c>
      <c r="PS59" t="s">
        <v>795</v>
      </c>
      <c r="PX59">
        <v>56</v>
      </c>
      <c r="PY59">
        <v>57</v>
      </c>
      <c r="PZ59" t="s">
        <v>1384</v>
      </c>
      <c r="QA59">
        <v>2</v>
      </c>
      <c r="QB59">
        <v>1451</v>
      </c>
      <c r="QC59">
        <v>69</v>
      </c>
      <c r="QD59">
        <v>69</v>
      </c>
      <c r="QE59" t="s">
        <v>1359</v>
      </c>
      <c r="QF59">
        <v>1</v>
      </c>
      <c r="QG59">
        <v>1475</v>
      </c>
      <c r="QH59">
        <v>66</v>
      </c>
      <c r="QI59">
        <v>66</v>
      </c>
      <c r="QJ59" t="s">
        <v>795</v>
      </c>
      <c r="QK59">
        <v>1</v>
      </c>
      <c r="QL59">
        <v>1475</v>
      </c>
      <c r="QM59">
        <v>62</v>
      </c>
      <c r="QN59">
        <v>62</v>
      </c>
      <c r="QO59" t="s">
        <v>1385</v>
      </c>
      <c r="QP59">
        <v>1</v>
      </c>
      <c r="QQ59">
        <v>1468</v>
      </c>
      <c r="QW59">
        <v>82</v>
      </c>
      <c r="QX59">
        <v>89</v>
      </c>
      <c r="QY59" t="s">
        <v>1361</v>
      </c>
      <c r="QZ59">
        <v>1</v>
      </c>
      <c r="RA59">
        <v>66</v>
      </c>
      <c r="RB59">
        <v>66</v>
      </c>
      <c r="RE59">
        <v>0</v>
      </c>
      <c r="RF59">
        <v>1</v>
      </c>
      <c r="RJ59">
        <v>1</v>
      </c>
      <c r="RK59">
        <v>2</v>
      </c>
      <c r="RL59">
        <v>4</v>
      </c>
      <c r="RO59">
        <v>460</v>
      </c>
      <c r="RP59">
        <v>125</v>
      </c>
      <c r="RQ59">
        <v>732</v>
      </c>
      <c r="RT59">
        <v>272</v>
      </c>
      <c r="RU59">
        <v>186</v>
      </c>
      <c r="RV59" t="s">
        <v>1363</v>
      </c>
      <c r="RW59" t="s">
        <v>707</v>
      </c>
      <c r="RX59">
        <v>15</v>
      </c>
      <c r="RY59">
        <v>4</v>
      </c>
      <c r="RZ59" t="s">
        <v>707</v>
      </c>
      <c r="SA59">
        <v>15</v>
      </c>
      <c r="SC59" t="s">
        <v>1385</v>
      </c>
      <c r="SD59">
        <v>1</v>
      </c>
      <c r="SH59">
        <v>0.995</v>
      </c>
      <c r="SI59">
        <v>0.995</v>
      </c>
      <c r="SJ59">
        <v>0.995</v>
      </c>
      <c r="SK59">
        <v>15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1</v>
      </c>
      <c r="TB59">
        <v>0</v>
      </c>
      <c r="TC59">
        <v>0</v>
      </c>
      <c r="TD59">
        <v>7.5</v>
      </c>
      <c r="TE59" t="s">
        <v>553</v>
      </c>
      <c r="TF59" t="s">
        <v>624</v>
      </c>
      <c r="TG59" t="s">
        <v>555</v>
      </c>
      <c r="TI59" t="s">
        <v>546</v>
      </c>
      <c r="TJ59" t="s">
        <v>547</v>
      </c>
      <c r="TL59" t="s">
        <v>1377</v>
      </c>
      <c r="TM59" t="s">
        <v>513</v>
      </c>
      <c r="TN59">
        <v>0</v>
      </c>
      <c r="TO59" t="s">
        <v>557</v>
      </c>
    </row>
    <row r="60" spans="1:535">
      <c r="A60" t="s">
        <v>1386</v>
      </c>
      <c r="B60" t="s">
        <v>559</v>
      </c>
      <c r="C60" t="s">
        <v>509</v>
      </c>
      <c r="D60" t="s">
        <v>1387</v>
      </c>
      <c r="G60" t="s">
        <v>1294</v>
      </c>
      <c r="I60" t="s">
        <v>562</v>
      </c>
      <c r="J60" t="s">
        <v>563</v>
      </c>
      <c r="L60" t="s">
        <v>512</v>
      </c>
      <c r="M60" t="s">
        <v>564</v>
      </c>
      <c r="N60" t="s">
        <v>513</v>
      </c>
      <c r="O60" t="s">
        <v>607</v>
      </c>
      <c r="Q60" t="s">
        <v>1388</v>
      </c>
      <c r="R60" t="s">
        <v>517</v>
      </c>
      <c r="S60" t="s">
        <v>1326</v>
      </c>
      <c r="T60" t="s">
        <v>1327</v>
      </c>
      <c r="U60" t="s">
        <v>570</v>
      </c>
      <c r="V60" t="s">
        <v>571</v>
      </c>
      <c r="W60" t="s">
        <v>1309</v>
      </c>
      <c r="X60" t="s">
        <v>1368</v>
      </c>
      <c r="Y60" t="s">
        <v>574</v>
      </c>
      <c r="Z60" t="s">
        <v>1389</v>
      </c>
      <c r="AA60" t="s">
        <v>1390</v>
      </c>
      <c r="AB60" t="s">
        <v>1391</v>
      </c>
      <c r="AC60">
        <v>2</v>
      </c>
      <c r="AD60">
        <v>57</v>
      </c>
      <c r="AE60">
        <v>216</v>
      </c>
      <c r="AF60">
        <v>1.5</v>
      </c>
      <c r="AH60">
        <v>0</v>
      </c>
      <c r="AI60" t="s">
        <v>1331</v>
      </c>
      <c r="AJ60">
        <v>197.5</v>
      </c>
      <c r="AK60">
        <v>1</v>
      </c>
      <c r="AL60">
        <v>1.5</v>
      </c>
      <c r="AM60" t="s">
        <v>579</v>
      </c>
      <c r="AN60" t="s">
        <v>580</v>
      </c>
      <c r="AO60">
        <v>2</v>
      </c>
      <c r="AP60" t="s">
        <v>581</v>
      </c>
      <c r="AQ60" t="s">
        <v>582</v>
      </c>
      <c r="AR60">
        <v>245</v>
      </c>
      <c r="AS60">
        <v>1.5</v>
      </c>
      <c r="AT60" t="s">
        <v>583</v>
      </c>
      <c r="AU60" t="s">
        <v>1392</v>
      </c>
      <c r="AW60" t="s">
        <v>1392</v>
      </c>
      <c r="AX60">
        <v>1</v>
      </c>
      <c r="AY60">
        <v>287.5</v>
      </c>
      <c r="AZ60">
        <v>1.5</v>
      </c>
      <c r="BA60" t="s">
        <v>579</v>
      </c>
      <c r="BB60" t="s">
        <v>1393</v>
      </c>
      <c r="BD60" t="s">
        <v>1393</v>
      </c>
      <c r="BE60">
        <v>1</v>
      </c>
      <c r="BF60">
        <v>237.5</v>
      </c>
      <c r="BG60">
        <v>1.5</v>
      </c>
      <c r="BJ60">
        <v>0</v>
      </c>
      <c r="BN60">
        <v>1.5</v>
      </c>
      <c r="BP60" t="s">
        <v>1374</v>
      </c>
      <c r="BQ60" t="s">
        <v>587</v>
      </c>
      <c r="BR60">
        <v>2</v>
      </c>
      <c r="BS60" t="s">
        <v>799</v>
      </c>
      <c r="BT60">
        <v>216</v>
      </c>
      <c r="BU60">
        <v>0.5</v>
      </c>
      <c r="BV60" t="s">
        <v>799</v>
      </c>
      <c r="BW60">
        <v>432</v>
      </c>
      <c r="BX60">
        <v>1</v>
      </c>
      <c r="BY60" t="s">
        <v>589</v>
      </c>
      <c r="BZ60">
        <v>470</v>
      </c>
      <c r="CA60">
        <v>510</v>
      </c>
      <c r="CB60" t="s">
        <v>590</v>
      </c>
      <c r="CC60" t="s">
        <v>590</v>
      </c>
      <c r="CD60">
        <v>452</v>
      </c>
      <c r="CE60" t="s">
        <v>591</v>
      </c>
      <c r="CF60">
        <v>15</v>
      </c>
      <c r="CG60" t="s">
        <v>1394</v>
      </c>
      <c r="CH60" t="s">
        <v>1394</v>
      </c>
      <c r="CI60">
        <v>20</v>
      </c>
      <c r="CJ60">
        <v>1538</v>
      </c>
      <c r="CK60">
        <v>2</v>
      </c>
      <c r="CL60">
        <v>1632</v>
      </c>
      <c r="CM60">
        <v>2</v>
      </c>
      <c r="CN60" t="s">
        <v>593</v>
      </c>
      <c r="CO60" t="s">
        <v>594</v>
      </c>
      <c r="CP60" t="s">
        <v>595</v>
      </c>
      <c r="CQ60" t="s">
        <v>596</v>
      </c>
      <c r="CR60" t="s">
        <v>541</v>
      </c>
      <c r="CS60" t="s">
        <v>542</v>
      </c>
      <c r="CT60">
        <v>395</v>
      </c>
      <c r="CU60">
        <v>5</v>
      </c>
      <c r="CV60">
        <v>1.2</v>
      </c>
      <c r="CW60">
        <v>1554</v>
      </c>
      <c r="CX60">
        <v>869</v>
      </c>
      <c r="CY60" t="s">
        <v>597</v>
      </c>
      <c r="CZ60">
        <v>60</v>
      </c>
      <c r="DA60">
        <v>3</v>
      </c>
      <c r="DB60">
        <v>1.28</v>
      </c>
      <c r="DC60">
        <v>1554</v>
      </c>
      <c r="DD60">
        <v>132</v>
      </c>
      <c r="DE60" t="s">
        <v>622</v>
      </c>
      <c r="DF60">
        <v>575</v>
      </c>
      <c r="DG60">
        <v>3</v>
      </c>
      <c r="DH60">
        <v>0.88</v>
      </c>
      <c r="DI60">
        <v>1547</v>
      </c>
      <c r="DJ60">
        <v>1047</v>
      </c>
      <c r="DK60" t="s">
        <v>622</v>
      </c>
      <c r="DL60">
        <v>475</v>
      </c>
      <c r="DM60">
        <v>3</v>
      </c>
      <c r="DN60">
        <v>0.88</v>
      </c>
      <c r="DO60">
        <v>1552</v>
      </c>
      <c r="DP60">
        <v>809</v>
      </c>
      <c r="DW60" t="s">
        <v>544</v>
      </c>
      <c r="DX60">
        <v>7.5</v>
      </c>
      <c r="EA60">
        <v>1623.8</v>
      </c>
      <c r="EB60">
        <v>382</v>
      </c>
      <c r="EC60" t="s">
        <v>545</v>
      </c>
      <c r="ED60">
        <v>30</v>
      </c>
      <c r="EE60">
        <v>3</v>
      </c>
      <c r="EG60">
        <v>1675</v>
      </c>
      <c r="EH60">
        <v>198</v>
      </c>
      <c r="EJ60">
        <v>0</v>
      </c>
      <c r="EK60">
        <v>1</v>
      </c>
      <c r="EN60">
        <v>0</v>
      </c>
      <c r="EP60" t="s">
        <v>546</v>
      </c>
      <c r="EQ60">
        <v>110</v>
      </c>
      <c r="ER60">
        <v>3</v>
      </c>
      <c r="ES60">
        <v>5</v>
      </c>
      <c r="ET60">
        <v>1531</v>
      </c>
      <c r="EU60">
        <v>465.5</v>
      </c>
      <c r="EV60">
        <v>713</v>
      </c>
      <c r="EW60" t="s">
        <v>547</v>
      </c>
      <c r="EX60">
        <v>45</v>
      </c>
      <c r="EY60">
        <v>2</v>
      </c>
      <c r="EZ60">
        <v>4.5</v>
      </c>
      <c r="FA60">
        <v>1531</v>
      </c>
      <c r="FB60">
        <v>142.5</v>
      </c>
      <c r="FC60">
        <v>218</v>
      </c>
      <c r="FE60">
        <v>0</v>
      </c>
      <c r="FF60">
        <v>2</v>
      </c>
      <c r="FI60">
        <v>0</v>
      </c>
      <c r="FK60" t="s">
        <v>548</v>
      </c>
      <c r="FL60">
        <v>0.4</v>
      </c>
      <c r="FM60">
        <v>40</v>
      </c>
      <c r="FN60">
        <v>380</v>
      </c>
      <c r="FO60">
        <v>85</v>
      </c>
      <c r="FP60">
        <v>160</v>
      </c>
      <c r="GR60" t="s">
        <v>548</v>
      </c>
      <c r="GS60">
        <v>0.4</v>
      </c>
      <c r="GT60">
        <v>30</v>
      </c>
      <c r="GU60">
        <v>400</v>
      </c>
      <c r="GV60">
        <v>30</v>
      </c>
      <c r="GW60">
        <v>280</v>
      </c>
      <c r="HC60">
        <v>0.1</v>
      </c>
      <c r="HD60">
        <v>3</v>
      </c>
      <c r="HE60">
        <v>3</v>
      </c>
      <c r="HF60">
        <v>3</v>
      </c>
      <c r="HG60">
        <v>3</v>
      </c>
      <c r="HH60">
        <v>3</v>
      </c>
      <c r="HI60">
        <v>140</v>
      </c>
      <c r="HJ60">
        <v>3</v>
      </c>
      <c r="HK60">
        <v>30</v>
      </c>
      <c r="HL60">
        <v>2</v>
      </c>
      <c r="HM60">
        <v>0</v>
      </c>
      <c r="HN60">
        <v>2</v>
      </c>
      <c r="HO60">
        <v>95</v>
      </c>
      <c r="HP60">
        <v>3</v>
      </c>
      <c r="HQ60">
        <v>0</v>
      </c>
      <c r="HR60">
        <v>2</v>
      </c>
      <c r="HS60">
        <v>6011</v>
      </c>
      <c r="HT60">
        <v>180</v>
      </c>
      <c r="HU60">
        <v>180</v>
      </c>
      <c r="HW60">
        <v>0</v>
      </c>
      <c r="HX60">
        <v>475</v>
      </c>
      <c r="HY60">
        <v>0.18</v>
      </c>
      <c r="IA60">
        <v>0.15</v>
      </c>
      <c r="IB60">
        <v>0</v>
      </c>
      <c r="IC60">
        <v>180</v>
      </c>
      <c r="ID60">
        <v>110</v>
      </c>
      <c r="IE60">
        <v>225</v>
      </c>
      <c r="IF60">
        <v>0</v>
      </c>
      <c r="IH60" t="s">
        <v>549</v>
      </c>
      <c r="IO60">
        <v>3</v>
      </c>
      <c r="IP60">
        <v>20</v>
      </c>
      <c r="IQ60">
        <v>0</v>
      </c>
      <c r="IR60">
        <v>0</v>
      </c>
      <c r="IV60">
        <v>1538</v>
      </c>
      <c r="IW60">
        <v>432</v>
      </c>
      <c r="JA60">
        <v>1</v>
      </c>
      <c r="JB60">
        <v>0</v>
      </c>
      <c r="JC60">
        <v>2</v>
      </c>
      <c r="JD60">
        <v>1554</v>
      </c>
      <c r="JE60">
        <v>1547</v>
      </c>
      <c r="JF60">
        <v>1552</v>
      </c>
      <c r="JG60">
        <v>1531</v>
      </c>
      <c r="JH60">
        <v>0</v>
      </c>
      <c r="JJ60">
        <v>180</v>
      </c>
      <c r="JK60">
        <v>475</v>
      </c>
      <c r="JN60">
        <v>395</v>
      </c>
      <c r="JO60">
        <v>575</v>
      </c>
      <c r="JP60">
        <v>475</v>
      </c>
      <c r="JQ60">
        <v>0</v>
      </c>
      <c r="JR60">
        <v>432</v>
      </c>
      <c r="JS60">
        <v>140</v>
      </c>
      <c r="JV60">
        <v>8</v>
      </c>
      <c r="JW60" t="s">
        <v>550</v>
      </c>
      <c r="JX60">
        <v>490</v>
      </c>
      <c r="KA60">
        <v>225</v>
      </c>
      <c r="KB60">
        <v>110</v>
      </c>
      <c r="KC60">
        <v>0</v>
      </c>
      <c r="KD60">
        <v>80</v>
      </c>
      <c r="KF60">
        <v>4</v>
      </c>
      <c r="KG60">
        <v>2</v>
      </c>
      <c r="KH60">
        <v>2</v>
      </c>
      <c r="KI60">
        <v>2</v>
      </c>
      <c r="KJ60">
        <v>0</v>
      </c>
      <c r="KK60">
        <v>1.5</v>
      </c>
      <c r="KL60">
        <v>1.5</v>
      </c>
      <c r="KM60">
        <v>0</v>
      </c>
      <c r="KN60">
        <v>0</v>
      </c>
      <c r="KO60">
        <v>0</v>
      </c>
      <c r="KR60">
        <v>25</v>
      </c>
      <c r="KS60">
        <v>30</v>
      </c>
      <c r="KT60">
        <v>0</v>
      </c>
      <c r="LK60">
        <v>480</v>
      </c>
      <c r="PG60">
        <v>1</v>
      </c>
      <c r="PI60" t="s">
        <v>1391</v>
      </c>
      <c r="PJ60" t="s">
        <v>1392</v>
      </c>
      <c r="PK60" t="s">
        <v>1393</v>
      </c>
      <c r="PL60" t="s">
        <v>1331</v>
      </c>
      <c r="PP60" t="s">
        <v>1374</v>
      </c>
      <c r="PS60" t="s">
        <v>580</v>
      </c>
      <c r="PX60">
        <v>56</v>
      </c>
      <c r="PY60">
        <v>57</v>
      </c>
      <c r="PZ60" t="s">
        <v>1391</v>
      </c>
      <c r="QA60">
        <v>1</v>
      </c>
      <c r="QB60">
        <v>1531</v>
      </c>
      <c r="QC60">
        <v>69</v>
      </c>
      <c r="QD60">
        <v>69</v>
      </c>
      <c r="QE60" t="s">
        <v>1331</v>
      </c>
      <c r="QF60">
        <v>1</v>
      </c>
      <c r="QG60">
        <v>1554</v>
      </c>
      <c r="QH60">
        <v>66</v>
      </c>
      <c r="QI60">
        <v>66</v>
      </c>
      <c r="QJ60" t="s">
        <v>580</v>
      </c>
      <c r="QK60">
        <v>1</v>
      </c>
      <c r="QL60">
        <v>1554</v>
      </c>
      <c r="QM60">
        <v>62</v>
      </c>
      <c r="QN60">
        <v>62</v>
      </c>
      <c r="QO60" t="s">
        <v>1392</v>
      </c>
      <c r="QP60">
        <v>1</v>
      </c>
      <c r="QQ60">
        <v>1547</v>
      </c>
      <c r="QR60">
        <v>62</v>
      </c>
      <c r="QS60">
        <v>62</v>
      </c>
      <c r="QT60" t="s">
        <v>1393</v>
      </c>
      <c r="QU60">
        <v>1</v>
      </c>
      <c r="QV60">
        <v>1552</v>
      </c>
      <c r="QW60">
        <v>82</v>
      </c>
      <c r="QX60" t="s">
        <v>587</v>
      </c>
      <c r="QY60" t="s">
        <v>1374</v>
      </c>
      <c r="QZ60">
        <v>3</v>
      </c>
      <c r="RA60">
        <v>66</v>
      </c>
      <c r="RB60">
        <v>66</v>
      </c>
      <c r="RE60">
        <v>0</v>
      </c>
      <c r="RF60">
        <v>1</v>
      </c>
      <c r="RH60">
        <v>1</v>
      </c>
      <c r="RJ60">
        <v>1</v>
      </c>
      <c r="RK60">
        <v>3</v>
      </c>
      <c r="RL60">
        <v>4</v>
      </c>
      <c r="RM60">
        <v>4</v>
      </c>
      <c r="RO60">
        <v>559</v>
      </c>
      <c r="RP60">
        <v>170</v>
      </c>
      <c r="RQ60">
        <v>677</v>
      </c>
      <c r="RR60">
        <v>521</v>
      </c>
      <c r="RT60">
        <v>382</v>
      </c>
      <c r="RU60">
        <v>198</v>
      </c>
      <c r="RV60" t="s">
        <v>801</v>
      </c>
      <c r="RW60" t="s">
        <v>599</v>
      </c>
      <c r="RX60">
        <v>15</v>
      </c>
      <c r="RY60">
        <v>4</v>
      </c>
      <c r="RZ60" t="s">
        <v>599</v>
      </c>
      <c r="SA60">
        <v>15</v>
      </c>
      <c r="SC60" t="s">
        <v>1392</v>
      </c>
      <c r="SD60">
        <v>1</v>
      </c>
      <c r="SF60" t="s">
        <v>1393</v>
      </c>
      <c r="SG60">
        <v>1</v>
      </c>
      <c r="SH60">
        <v>0.995</v>
      </c>
      <c r="SI60">
        <v>0.995</v>
      </c>
      <c r="SJ60">
        <v>0.995</v>
      </c>
      <c r="SK60">
        <v>15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1</v>
      </c>
      <c r="SZ60">
        <v>1</v>
      </c>
      <c r="TB60">
        <v>1</v>
      </c>
      <c r="TC60">
        <v>0</v>
      </c>
      <c r="TD60">
        <v>7.5</v>
      </c>
      <c r="TE60" t="s">
        <v>553</v>
      </c>
      <c r="TF60" t="s">
        <v>681</v>
      </c>
      <c r="TG60" t="s">
        <v>555</v>
      </c>
      <c r="TI60" t="s">
        <v>546</v>
      </c>
      <c r="TJ60" t="s">
        <v>547</v>
      </c>
      <c r="TL60" t="s">
        <v>1377</v>
      </c>
      <c r="TM60" t="s">
        <v>513</v>
      </c>
      <c r="TN60">
        <v>0</v>
      </c>
      <c r="TO60" t="s">
        <v>601</v>
      </c>
    </row>
    <row r="61" spans="1:535">
      <c r="A61" t="s">
        <v>1395</v>
      </c>
      <c r="B61" t="s">
        <v>564</v>
      </c>
      <c r="C61" t="s">
        <v>509</v>
      </c>
      <c r="D61" t="s">
        <v>1268</v>
      </c>
      <c r="G61" t="s">
        <v>1135</v>
      </c>
      <c r="I61" t="s">
        <v>562</v>
      </c>
      <c r="J61" t="s">
        <v>563</v>
      </c>
      <c r="L61" t="s">
        <v>512</v>
      </c>
      <c r="M61" t="s">
        <v>629</v>
      </c>
      <c r="N61" t="s">
        <v>513</v>
      </c>
      <c r="O61" t="s">
        <v>607</v>
      </c>
      <c r="Q61" t="s">
        <v>1396</v>
      </c>
      <c r="R61" t="s">
        <v>517</v>
      </c>
      <c r="S61" t="s">
        <v>1090</v>
      </c>
      <c r="T61" t="s">
        <v>1091</v>
      </c>
      <c r="U61" t="s">
        <v>686</v>
      </c>
      <c r="V61" t="s">
        <v>687</v>
      </c>
      <c r="W61" t="s">
        <v>1270</v>
      </c>
      <c r="X61" t="s">
        <v>1368</v>
      </c>
      <c r="Y61" t="s">
        <v>574</v>
      </c>
      <c r="Z61" t="s">
        <v>1397</v>
      </c>
      <c r="AA61" t="s">
        <v>1398</v>
      </c>
      <c r="AB61" t="s">
        <v>1399</v>
      </c>
      <c r="AC61">
        <v>2</v>
      </c>
      <c r="AD61">
        <v>57</v>
      </c>
      <c r="AE61">
        <v>250</v>
      </c>
      <c r="AF61">
        <v>1.5</v>
      </c>
      <c r="AH61">
        <v>0</v>
      </c>
      <c r="AI61" t="s">
        <v>1096</v>
      </c>
      <c r="AJ61">
        <v>232.5</v>
      </c>
      <c r="AK61">
        <v>1</v>
      </c>
      <c r="AL61">
        <v>1.5</v>
      </c>
      <c r="AM61" t="s">
        <v>579</v>
      </c>
      <c r="AN61" t="s">
        <v>580</v>
      </c>
      <c r="AO61">
        <v>2</v>
      </c>
      <c r="AP61" t="s">
        <v>581</v>
      </c>
      <c r="AQ61" t="s">
        <v>582</v>
      </c>
      <c r="AR61">
        <v>280</v>
      </c>
      <c r="AS61">
        <v>1.5</v>
      </c>
      <c r="AT61" t="s">
        <v>583</v>
      </c>
      <c r="AU61" t="s">
        <v>1400</v>
      </c>
      <c r="AW61" t="s">
        <v>1400</v>
      </c>
      <c r="AX61">
        <v>1</v>
      </c>
      <c r="AY61">
        <v>332.5</v>
      </c>
      <c r="AZ61">
        <v>1.5</v>
      </c>
      <c r="BA61" t="s">
        <v>579</v>
      </c>
      <c r="BB61" t="s">
        <v>1401</v>
      </c>
      <c r="BD61" t="s">
        <v>1401</v>
      </c>
      <c r="BE61">
        <v>1</v>
      </c>
      <c r="BF61">
        <v>272.5</v>
      </c>
      <c r="BG61">
        <v>1.5</v>
      </c>
      <c r="BJ61">
        <v>0</v>
      </c>
      <c r="BN61">
        <v>1.5</v>
      </c>
      <c r="BP61" t="s">
        <v>1402</v>
      </c>
      <c r="BQ61">
        <v>89</v>
      </c>
      <c r="BR61">
        <v>2</v>
      </c>
      <c r="BS61" t="s">
        <v>1403</v>
      </c>
      <c r="BT61">
        <v>250</v>
      </c>
      <c r="BU61">
        <v>0.5</v>
      </c>
      <c r="BV61" t="s">
        <v>1403</v>
      </c>
      <c r="BW61">
        <v>500</v>
      </c>
      <c r="BX61">
        <v>1</v>
      </c>
      <c r="BY61" t="s">
        <v>698</v>
      </c>
      <c r="BZ61">
        <v>470</v>
      </c>
      <c r="CA61">
        <v>570</v>
      </c>
      <c r="CB61" t="s">
        <v>699</v>
      </c>
      <c r="CC61" t="s">
        <v>699</v>
      </c>
      <c r="CD61">
        <v>520</v>
      </c>
      <c r="CE61" t="s">
        <v>700</v>
      </c>
      <c r="CF61">
        <v>15</v>
      </c>
      <c r="CG61" t="s">
        <v>1099</v>
      </c>
      <c r="CH61" t="s">
        <v>1099</v>
      </c>
      <c r="CI61">
        <v>50</v>
      </c>
      <c r="CJ61">
        <v>1458</v>
      </c>
      <c r="CK61">
        <v>2</v>
      </c>
      <c r="CL61">
        <v>1552</v>
      </c>
      <c r="CM61">
        <v>2</v>
      </c>
      <c r="CN61" t="s">
        <v>702</v>
      </c>
      <c r="CO61" t="s">
        <v>676</v>
      </c>
      <c r="CP61" t="s">
        <v>703</v>
      </c>
      <c r="CQ61" t="s">
        <v>596</v>
      </c>
      <c r="CR61" t="s">
        <v>541</v>
      </c>
      <c r="CS61" t="s">
        <v>542</v>
      </c>
      <c r="CT61">
        <v>465</v>
      </c>
      <c r="CU61">
        <v>5</v>
      </c>
      <c r="CV61">
        <v>1.2</v>
      </c>
      <c r="CW61">
        <v>1475</v>
      </c>
      <c r="CX61">
        <v>972</v>
      </c>
      <c r="CY61" t="s">
        <v>597</v>
      </c>
      <c r="CZ61">
        <v>60</v>
      </c>
      <c r="DA61">
        <v>3</v>
      </c>
      <c r="DB61">
        <v>1.28</v>
      </c>
      <c r="DC61">
        <v>1475</v>
      </c>
      <c r="DD61">
        <v>125</v>
      </c>
      <c r="DE61" t="s">
        <v>622</v>
      </c>
      <c r="DF61">
        <v>665</v>
      </c>
      <c r="DG61">
        <v>3</v>
      </c>
      <c r="DH61">
        <v>0.88</v>
      </c>
      <c r="DI61">
        <v>1467</v>
      </c>
      <c r="DJ61">
        <v>1141</v>
      </c>
      <c r="DK61" t="s">
        <v>622</v>
      </c>
      <c r="DL61">
        <v>545</v>
      </c>
      <c r="DM61">
        <v>3</v>
      </c>
      <c r="DN61">
        <v>0.88</v>
      </c>
      <c r="DO61">
        <v>1472</v>
      </c>
      <c r="DP61">
        <v>920</v>
      </c>
      <c r="DW61" t="s">
        <v>544</v>
      </c>
      <c r="DX61">
        <v>9.4</v>
      </c>
      <c r="EA61">
        <v>1545.7</v>
      </c>
      <c r="EB61">
        <v>363</v>
      </c>
      <c r="EC61" t="s">
        <v>545</v>
      </c>
      <c r="ED61">
        <v>40</v>
      </c>
      <c r="EE61">
        <v>3</v>
      </c>
      <c r="EG61">
        <v>1587</v>
      </c>
      <c r="EH61">
        <v>309</v>
      </c>
      <c r="EJ61">
        <v>0</v>
      </c>
      <c r="EK61">
        <v>1</v>
      </c>
      <c r="EN61">
        <v>0</v>
      </c>
      <c r="EP61" t="s">
        <v>546</v>
      </c>
      <c r="EQ61">
        <v>135</v>
      </c>
      <c r="ER61">
        <v>3</v>
      </c>
      <c r="ES61">
        <v>6</v>
      </c>
      <c r="ET61">
        <v>1457</v>
      </c>
      <c r="EU61">
        <v>590.6</v>
      </c>
      <c r="EV61">
        <v>861</v>
      </c>
      <c r="EW61" t="s">
        <v>547</v>
      </c>
      <c r="EX61">
        <v>45</v>
      </c>
      <c r="EY61">
        <v>2</v>
      </c>
      <c r="EZ61">
        <v>4.5</v>
      </c>
      <c r="FA61">
        <v>1457</v>
      </c>
      <c r="FB61">
        <v>151.6</v>
      </c>
      <c r="FC61">
        <v>221</v>
      </c>
      <c r="FE61">
        <v>0</v>
      </c>
      <c r="FF61">
        <v>2</v>
      </c>
      <c r="FI61">
        <v>0</v>
      </c>
      <c r="FK61" t="s">
        <v>548</v>
      </c>
      <c r="FL61">
        <v>0.4</v>
      </c>
      <c r="FM61">
        <v>45</v>
      </c>
      <c r="FN61">
        <v>450</v>
      </c>
      <c r="FO61">
        <v>95</v>
      </c>
      <c r="FP61">
        <v>190</v>
      </c>
      <c r="GR61" t="s">
        <v>548</v>
      </c>
      <c r="GS61">
        <v>0.4</v>
      </c>
      <c r="GT61">
        <v>100</v>
      </c>
      <c r="GU61">
        <v>330</v>
      </c>
      <c r="HC61">
        <v>0.1</v>
      </c>
      <c r="HD61">
        <v>3</v>
      </c>
      <c r="HE61">
        <v>3</v>
      </c>
      <c r="HF61">
        <v>3</v>
      </c>
      <c r="HG61">
        <v>3</v>
      </c>
      <c r="HH61">
        <v>3</v>
      </c>
      <c r="HI61">
        <v>165</v>
      </c>
      <c r="HJ61">
        <v>3</v>
      </c>
      <c r="HK61">
        <v>30</v>
      </c>
      <c r="HL61">
        <v>2</v>
      </c>
      <c r="HM61">
        <v>0</v>
      </c>
      <c r="HN61">
        <v>2</v>
      </c>
      <c r="HO61">
        <v>120</v>
      </c>
      <c r="HP61">
        <v>3</v>
      </c>
      <c r="HQ61">
        <v>0</v>
      </c>
      <c r="HR61">
        <v>2</v>
      </c>
      <c r="HS61">
        <v>6791</v>
      </c>
      <c r="HT61">
        <v>200</v>
      </c>
      <c r="HU61">
        <v>180</v>
      </c>
      <c r="HW61">
        <v>0</v>
      </c>
      <c r="HX61">
        <v>510</v>
      </c>
      <c r="HY61">
        <v>0.18</v>
      </c>
      <c r="IA61">
        <v>0.15</v>
      </c>
      <c r="IB61">
        <v>0</v>
      </c>
      <c r="IC61">
        <v>180</v>
      </c>
      <c r="ID61">
        <v>110</v>
      </c>
      <c r="IE61">
        <v>225</v>
      </c>
      <c r="IF61">
        <v>0</v>
      </c>
      <c r="IH61" t="s">
        <v>549</v>
      </c>
      <c r="IO61">
        <v>3</v>
      </c>
      <c r="IP61">
        <v>19</v>
      </c>
      <c r="IQ61">
        <v>0</v>
      </c>
      <c r="IR61">
        <v>0</v>
      </c>
      <c r="IV61">
        <v>1458</v>
      </c>
      <c r="IW61">
        <v>500</v>
      </c>
      <c r="JA61">
        <v>1</v>
      </c>
      <c r="JB61">
        <v>0</v>
      </c>
      <c r="JC61">
        <v>2</v>
      </c>
      <c r="JD61">
        <v>1475</v>
      </c>
      <c r="JE61">
        <v>1467</v>
      </c>
      <c r="JF61">
        <v>1472</v>
      </c>
      <c r="JG61">
        <v>1457</v>
      </c>
      <c r="JH61">
        <v>0</v>
      </c>
      <c r="JJ61">
        <v>180</v>
      </c>
      <c r="JK61">
        <v>510</v>
      </c>
      <c r="JN61">
        <v>465</v>
      </c>
      <c r="JO61">
        <v>665</v>
      </c>
      <c r="JP61">
        <v>545</v>
      </c>
      <c r="JQ61">
        <v>0</v>
      </c>
      <c r="JR61">
        <v>500</v>
      </c>
      <c r="JS61">
        <v>165</v>
      </c>
      <c r="JV61">
        <v>10</v>
      </c>
      <c r="JW61" t="s">
        <v>550</v>
      </c>
      <c r="JX61">
        <v>560</v>
      </c>
      <c r="KA61">
        <v>225</v>
      </c>
      <c r="KB61">
        <v>110</v>
      </c>
      <c r="KC61">
        <v>0</v>
      </c>
      <c r="KD61">
        <v>80</v>
      </c>
      <c r="KF61">
        <v>4</v>
      </c>
      <c r="KG61">
        <v>4</v>
      </c>
      <c r="KH61">
        <v>2</v>
      </c>
      <c r="KI61">
        <v>2</v>
      </c>
      <c r="KJ61">
        <v>0</v>
      </c>
      <c r="KK61">
        <v>1.5</v>
      </c>
      <c r="KL61">
        <v>1.5</v>
      </c>
      <c r="KM61">
        <v>0</v>
      </c>
      <c r="KN61">
        <v>0</v>
      </c>
      <c r="KO61">
        <v>0</v>
      </c>
      <c r="KR61">
        <v>30</v>
      </c>
      <c r="KS61">
        <v>60</v>
      </c>
      <c r="KT61">
        <v>0</v>
      </c>
      <c r="LK61">
        <v>480</v>
      </c>
      <c r="PG61">
        <v>1</v>
      </c>
      <c r="PI61" t="s">
        <v>1399</v>
      </c>
      <c r="PJ61" t="s">
        <v>1400</v>
      </c>
      <c r="PK61" t="s">
        <v>1401</v>
      </c>
      <c r="PL61" t="s">
        <v>1096</v>
      </c>
      <c r="PP61" t="s">
        <v>1402</v>
      </c>
      <c r="PS61" t="s">
        <v>580</v>
      </c>
      <c r="PX61">
        <v>56</v>
      </c>
      <c r="PY61">
        <v>57</v>
      </c>
      <c r="PZ61" t="s">
        <v>1399</v>
      </c>
      <c r="QA61">
        <v>1</v>
      </c>
      <c r="QB61">
        <v>1457</v>
      </c>
      <c r="QC61">
        <v>69</v>
      </c>
      <c r="QD61">
        <v>69</v>
      </c>
      <c r="QE61" t="s">
        <v>1096</v>
      </c>
      <c r="QF61">
        <v>1</v>
      </c>
      <c r="QG61">
        <v>1475</v>
      </c>
      <c r="QH61">
        <v>66</v>
      </c>
      <c r="QI61">
        <v>66</v>
      </c>
      <c r="QJ61" t="s">
        <v>580</v>
      </c>
      <c r="QK61">
        <v>1</v>
      </c>
      <c r="QL61">
        <v>1475</v>
      </c>
      <c r="QM61">
        <v>62</v>
      </c>
      <c r="QN61">
        <v>62</v>
      </c>
      <c r="QO61" t="s">
        <v>1400</v>
      </c>
      <c r="QP61">
        <v>1</v>
      </c>
      <c r="QQ61">
        <v>1467</v>
      </c>
      <c r="QR61">
        <v>62</v>
      </c>
      <c r="QS61">
        <v>62</v>
      </c>
      <c r="QT61" t="s">
        <v>1401</v>
      </c>
      <c r="QU61">
        <v>1</v>
      </c>
      <c r="QV61">
        <v>1472</v>
      </c>
      <c r="QW61">
        <v>82</v>
      </c>
      <c r="QX61">
        <v>89</v>
      </c>
      <c r="QY61" t="s">
        <v>1402</v>
      </c>
      <c r="QZ61">
        <v>1</v>
      </c>
      <c r="RA61">
        <v>66</v>
      </c>
      <c r="RB61">
        <v>66</v>
      </c>
      <c r="RE61">
        <v>0</v>
      </c>
      <c r="RF61">
        <v>1</v>
      </c>
      <c r="RH61">
        <v>1</v>
      </c>
      <c r="RJ61">
        <v>1</v>
      </c>
      <c r="RK61">
        <v>3</v>
      </c>
      <c r="RL61">
        <v>4</v>
      </c>
      <c r="RM61">
        <v>4</v>
      </c>
      <c r="RO61">
        <v>659</v>
      </c>
      <c r="RP61">
        <v>170</v>
      </c>
      <c r="RQ61">
        <v>778</v>
      </c>
      <c r="RR61">
        <v>625</v>
      </c>
      <c r="RT61">
        <v>363</v>
      </c>
      <c r="RU61">
        <v>309</v>
      </c>
      <c r="RV61" t="s">
        <v>1404</v>
      </c>
      <c r="RW61" t="s">
        <v>707</v>
      </c>
      <c r="RX61">
        <v>15</v>
      </c>
      <c r="RY61">
        <v>4</v>
      </c>
      <c r="RZ61" t="s">
        <v>707</v>
      </c>
      <c r="SA61">
        <v>15</v>
      </c>
      <c r="SC61" t="s">
        <v>1400</v>
      </c>
      <c r="SD61">
        <v>1</v>
      </c>
      <c r="SF61" t="s">
        <v>1401</v>
      </c>
      <c r="SG61">
        <v>1</v>
      </c>
      <c r="SH61">
        <v>0.995</v>
      </c>
      <c r="SI61">
        <v>0.995</v>
      </c>
      <c r="SJ61">
        <v>0.995</v>
      </c>
      <c r="SK61">
        <v>15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1</v>
      </c>
      <c r="SZ61">
        <v>1</v>
      </c>
      <c r="TB61">
        <v>0</v>
      </c>
      <c r="TC61">
        <v>0</v>
      </c>
      <c r="TD61">
        <v>9.4</v>
      </c>
      <c r="TE61" t="s">
        <v>553</v>
      </c>
      <c r="TF61" t="s">
        <v>600</v>
      </c>
      <c r="TG61" t="s">
        <v>555</v>
      </c>
      <c r="TI61" t="s">
        <v>546</v>
      </c>
      <c r="TJ61" t="s">
        <v>547</v>
      </c>
      <c r="TL61" t="s">
        <v>1377</v>
      </c>
      <c r="TM61" t="s">
        <v>513</v>
      </c>
      <c r="TN61">
        <v>0</v>
      </c>
      <c r="TO61" t="s">
        <v>557</v>
      </c>
    </row>
    <row r="62" spans="1:535">
      <c r="A62" t="s">
        <v>1405</v>
      </c>
      <c r="B62" t="s">
        <v>629</v>
      </c>
      <c r="C62" t="s">
        <v>509</v>
      </c>
      <c r="D62" t="s">
        <v>1406</v>
      </c>
      <c r="G62" t="s">
        <v>561</v>
      </c>
      <c r="I62" t="s">
        <v>562</v>
      </c>
      <c r="J62" t="s">
        <v>563</v>
      </c>
      <c r="L62" t="s">
        <v>512</v>
      </c>
      <c r="M62" t="s">
        <v>711</v>
      </c>
      <c r="N62" t="s">
        <v>513</v>
      </c>
      <c r="O62" t="s">
        <v>565</v>
      </c>
      <c r="Q62" t="s">
        <v>1407</v>
      </c>
      <c r="R62" t="s">
        <v>517</v>
      </c>
      <c r="S62" t="s">
        <v>866</v>
      </c>
      <c r="T62" t="s">
        <v>867</v>
      </c>
      <c r="U62" t="s">
        <v>570</v>
      </c>
      <c r="V62" t="s">
        <v>571</v>
      </c>
      <c r="W62" t="s">
        <v>1309</v>
      </c>
      <c r="X62" t="s">
        <v>1368</v>
      </c>
      <c r="Y62" t="s">
        <v>524</v>
      </c>
      <c r="Z62" t="s">
        <v>1408</v>
      </c>
      <c r="AA62" t="s">
        <v>1409</v>
      </c>
      <c r="AB62" t="s">
        <v>1410</v>
      </c>
      <c r="AC62">
        <v>2</v>
      </c>
      <c r="AD62">
        <v>57</v>
      </c>
      <c r="AE62">
        <v>205</v>
      </c>
      <c r="AF62">
        <v>1.5</v>
      </c>
      <c r="AH62">
        <v>0</v>
      </c>
      <c r="AI62" t="s">
        <v>944</v>
      </c>
      <c r="AJ62">
        <v>187.5</v>
      </c>
      <c r="AK62">
        <v>1</v>
      </c>
      <c r="AL62">
        <v>1.5</v>
      </c>
      <c r="AM62" t="s">
        <v>579</v>
      </c>
      <c r="AN62" t="s">
        <v>580</v>
      </c>
      <c r="AO62">
        <v>2</v>
      </c>
      <c r="AP62" t="s">
        <v>581</v>
      </c>
      <c r="AQ62" t="s">
        <v>582</v>
      </c>
      <c r="AR62">
        <v>233</v>
      </c>
      <c r="AS62">
        <v>1.5</v>
      </c>
      <c r="AT62" t="s">
        <v>583</v>
      </c>
      <c r="AU62" t="s">
        <v>1411</v>
      </c>
      <c r="AW62" t="s">
        <v>1411</v>
      </c>
      <c r="AX62">
        <v>1</v>
      </c>
      <c r="AY62">
        <v>265</v>
      </c>
      <c r="AZ62">
        <v>1.5</v>
      </c>
      <c r="BA62" t="s">
        <v>579</v>
      </c>
      <c r="BB62" t="s">
        <v>1412</v>
      </c>
      <c r="BD62" t="s">
        <v>1412</v>
      </c>
      <c r="BE62">
        <v>1</v>
      </c>
      <c r="BF62">
        <v>227.5</v>
      </c>
      <c r="BG62">
        <v>1.5</v>
      </c>
      <c r="BJ62">
        <v>0</v>
      </c>
      <c r="BN62">
        <v>1.5</v>
      </c>
      <c r="BP62" t="s">
        <v>1374</v>
      </c>
      <c r="BQ62" t="s">
        <v>587</v>
      </c>
      <c r="BR62">
        <v>2</v>
      </c>
      <c r="BS62" t="s">
        <v>799</v>
      </c>
      <c r="BT62">
        <v>204</v>
      </c>
      <c r="BU62">
        <v>0.5</v>
      </c>
      <c r="BV62" t="s">
        <v>799</v>
      </c>
      <c r="BW62">
        <v>408</v>
      </c>
      <c r="BX62">
        <v>1</v>
      </c>
      <c r="BY62" t="s">
        <v>589</v>
      </c>
      <c r="BZ62">
        <v>300</v>
      </c>
      <c r="CA62">
        <v>480</v>
      </c>
      <c r="CB62" t="s">
        <v>590</v>
      </c>
      <c r="CC62" t="s">
        <v>699</v>
      </c>
      <c r="CD62">
        <v>436</v>
      </c>
      <c r="CE62" t="s">
        <v>591</v>
      </c>
      <c r="CF62">
        <v>15</v>
      </c>
      <c r="CG62" t="s">
        <v>724</v>
      </c>
      <c r="CH62" t="s">
        <v>724</v>
      </c>
      <c r="CI62">
        <v>90</v>
      </c>
      <c r="CJ62">
        <v>1538</v>
      </c>
      <c r="CK62">
        <v>2</v>
      </c>
      <c r="CL62">
        <v>1632</v>
      </c>
      <c r="CM62">
        <v>2</v>
      </c>
      <c r="CN62" t="s">
        <v>593</v>
      </c>
      <c r="CO62" t="s">
        <v>594</v>
      </c>
      <c r="CP62" t="s">
        <v>595</v>
      </c>
      <c r="CQ62" t="s">
        <v>596</v>
      </c>
      <c r="CR62" t="s">
        <v>541</v>
      </c>
      <c r="CS62" t="s">
        <v>542</v>
      </c>
      <c r="CT62">
        <v>375</v>
      </c>
      <c r="CU62">
        <v>5</v>
      </c>
      <c r="CV62">
        <v>1.2</v>
      </c>
      <c r="CW62">
        <v>1554</v>
      </c>
      <c r="CX62">
        <v>825</v>
      </c>
      <c r="CY62" t="s">
        <v>597</v>
      </c>
      <c r="CZ62">
        <v>60</v>
      </c>
      <c r="DA62">
        <v>3</v>
      </c>
      <c r="DB62">
        <v>1.28</v>
      </c>
      <c r="DC62">
        <v>1554</v>
      </c>
      <c r="DD62">
        <v>132</v>
      </c>
      <c r="DE62" t="s">
        <v>622</v>
      </c>
      <c r="DF62">
        <v>530</v>
      </c>
      <c r="DG62">
        <v>3</v>
      </c>
      <c r="DH62">
        <v>0.88</v>
      </c>
      <c r="DI62">
        <v>1547</v>
      </c>
      <c r="DJ62">
        <v>985</v>
      </c>
      <c r="DK62" t="s">
        <v>622</v>
      </c>
      <c r="DL62">
        <v>455</v>
      </c>
      <c r="DM62">
        <v>3</v>
      </c>
      <c r="DN62">
        <v>0.88</v>
      </c>
      <c r="DO62">
        <v>1552</v>
      </c>
      <c r="DP62">
        <v>778</v>
      </c>
      <c r="DW62" t="s">
        <v>544</v>
      </c>
      <c r="DX62">
        <v>7.5</v>
      </c>
      <c r="EA62">
        <v>1623.8</v>
      </c>
      <c r="EB62">
        <v>382</v>
      </c>
      <c r="EC62" t="s">
        <v>545</v>
      </c>
      <c r="ED62">
        <v>30</v>
      </c>
      <c r="EE62">
        <v>3</v>
      </c>
      <c r="EG62">
        <v>1675</v>
      </c>
      <c r="EH62">
        <v>198</v>
      </c>
      <c r="EJ62">
        <v>0</v>
      </c>
      <c r="EK62">
        <v>1</v>
      </c>
      <c r="EN62">
        <v>0</v>
      </c>
      <c r="EP62" t="s">
        <v>546</v>
      </c>
      <c r="EQ62">
        <v>90</v>
      </c>
      <c r="ER62">
        <v>3</v>
      </c>
      <c r="ES62">
        <v>5</v>
      </c>
      <c r="ET62">
        <v>1531</v>
      </c>
      <c r="EU62">
        <v>358</v>
      </c>
      <c r="EV62">
        <v>548</v>
      </c>
      <c r="EW62" t="s">
        <v>547</v>
      </c>
      <c r="EX62">
        <v>45</v>
      </c>
      <c r="EY62">
        <v>2</v>
      </c>
      <c r="EZ62">
        <v>4.4</v>
      </c>
      <c r="FA62">
        <v>1531</v>
      </c>
      <c r="FB62">
        <v>135</v>
      </c>
      <c r="FC62">
        <v>207</v>
      </c>
      <c r="FE62">
        <v>0</v>
      </c>
      <c r="FF62">
        <v>2</v>
      </c>
      <c r="FI62">
        <v>0</v>
      </c>
      <c r="FK62" t="s">
        <v>548</v>
      </c>
      <c r="FL62">
        <v>0.4</v>
      </c>
      <c r="FM62">
        <v>70</v>
      </c>
      <c r="FN62">
        <v>350</v>
      </c>
      <c r="FO62">
        <v>60</v>
      </c>
      <c r="FP62">
        <v>170</v>
      </c>
      <c r="GR62" t="s">
        <v>548</v>
      </c>
      <c r="GS62">
        <v>0.4</v>
      </c>
      <c r="GT62">
        <v>30</v>
      </c>
      <c r="GU62">
        <v>370</v>
      </c>
      <c r="GV62">
        <v>30</v>
      </c>
      <c r="GW62">
        <v>260</v>
      </c>
      <c r="HC62">
        <v>0.1</v>
      </c>
      <c r="HD62">
        <v>3</v>
      </c>
      <c r="HE62">
        <v>3</v>
      </c>
      <c r="HF62">
        <v>3</v>
      </c>
      <c r="HG62">
        <v>3</v>
      </c>
      <c r="HH62">
        <v>3</v>
      </c>
      <c r="HI62">
        <v>120</v>
      </c>
      <c r="HJ62">
        <v>3</v>
      </c>
      <c r="HK62">
        <v>30</v>
      </c>
      <c r="HL62">
        <v>2</v>
      </c>
      <c r="HM62">
        <v>0</v>
      </c>
      <c r="HN62">
        <v>2</v>
      </c>
      <c r="HO62">
        <v>75</v>
      </c>
      <c r="HP62">
        <v>3</v>
      </c>
      <c r="HQ62">
        <v>0</v>
      </c>
      <c r="HR62">
        <v>2</v>
      </c>
      <c r="HS62">
        <v>5522</v>
      </c>
      <c r="HT62">
        <v>170</v>
      </c>
      <c r="HU62">
        <v>180</v>
      </c>
      <c r="HW62">
        <v>0</v>
      </c>
      <c r="HX62">
        <v>500</v>
      </c>
      <c r="HY62">
        <v>0.18</v>
      </c>
      <c r="IA62">
        <v>0.15</v>
      </c>
      <c r="IB62">
        <v>0</v>
      </c>
      <c r="IC62">
        <v>180</v>
      </c>
      <c r="ID62">
        <v>110</v>
      </c>
      <c r="IE62">
        <v>225</v>
      </c>
      <c r="IF62">
        <v>0</v>
      </c>
      <c r="IH62" t="s">
        <v>549</v>
      </c>
      <c r="IO62">
        <v>3</v>
      </c>
      <c r="IP62">
        <v>20</v>
      </c>
      <c r="IQ62">
        <v>0</v>
      </c>
      <c r="IR62">
        <v>0</v>
      </c>
      <c r="IV62">
        <v>1538</v>
      </c>
      <c r="IW62">
        <v>408</v>
      </c>
      <c r="JA62">
        <v>1</v>
      </c>
      <c r="JB62">
        <v>0</v>
      </c>
      <c r="JC62">
        <v>2</v>
      </c>
      <c r="JD62">
        <v>1554</v>
      </c>
      <c r="JE62">
        <v>1547</v>
      </c>
      <c r="JF62">
        <v>1552</v>
      </c>
      <c r="JG62">
        <v>1531</v>
      </c>
      <c r="JH62">
        <v>0</v>
      </c>
      <c r="JJ62">
        <v>180</v>
      </c>
      <c r="JK62">
        <v>500</v>
      </c>
      <c r="JN62">
        <v>375</v>
      </c>
      <c r="JO62">
        <v>530</v>
      </c>
      <c r="JP62">
        <v>455</v>
      </c>
      <c r="JQ62">
        <v>0</v>
      </c>
      <c r="JR62">
        <v>410</v>
      </c>
      <c r="JS62">
        <v>120</v>
      </c>
      <c r="JV62">
        <v>8</v>
      </c>
      <c r="JW62" t="s">
        <v>550</v>
      </c>
      <c r="JX62">
        <v>466</v>
      </c>
      <c r="KA62">
        <v>225</v>
      </c>
      <c r="KB62">
        <v>110</v>
      </c>
      <c r="KC62">
        <v>0</v>
      </c>
      <c r="KD62">
        <v>80</v>
      </c>
      <c r="KF62">
        <v>4</v>
      </c>
      <c r="KG62">
        <v>2</v>
      </c>
      <c r="KH62">
        <v>2</v>
      </c>
      <c r="KI62">
        <v>2</v>
      </c>
      <c r="KJ62">
        <v>0</v>
      </c>
      <c r="KK62">
        <v>1.5</v>
      </c>
      <c r="KL62">
        <v>1.5</v>
      </c>
      <c r="KM62">
        <v>0</v>
      </c>
      <c r="KN62">
        <v>0</v>
      </c>
      <c r="KO62">
        <v>0</v>
      </c>
      <c r="KR62">
        <v>20</v>
      </c>
      <c r="KS62">
        <v>60</v>
      </c>
      <c r="KT62">
        <v>0</v>
      </c>
      <c r="LK62">
        <v>480</v>
      </c>
      <c r="PG62">
        <v>1</v>
      </c>
      <c r="PI62" t="s">
        <v>1410</v>
      </c>
      <c r="PJ62" t="s">
        <v>1411</v>
      </c>
      <c r="PK62" t="s">
        <v>1412</v>
      </c>
      <c r="PL62" t="s">
        <v>944</v>
      </c>
      <c r="PP62" t="s">
        <v>1374</v>
      </c>
      <c r="PS62" t="s">
        <v>580</v>
      </c>
      <c r="PX62">
        <v>56</v>
      </c>
      <c r="PY62">
        <v>57</v>
      </c>
      <c r="PZ62" t="s">
        <v>1410</v>
      </c>
      <c r="QA62">
        <v>1</v>
      </c>
      <c r="QB62">
        <v>1531</v>
      </c>
      <c r="QC62">
        <v>69</v>
      </c>
      <c r="QD62">
        <v>69</v>
      </c>
      <c r="QE62" t="s">
        <v>944</v>
      </c>
      <c r="QF62">
        <v>1</v>
      </c>
      <c r="QG62">
        <v>1554</v>
      </c>
      <c r="QH62">
        <v>66</v>
      </c>
      <c r="QI62">
        <v>66</v>
      </c>
      <c r="QJ62" t="s">
        <v>580</v>
      </c>
      <c r="QK62">
        <v>1</v>
      </c>
      <c r="QL62">
        <v>1554</v>
      </c>
      <c r="QM62">
        <v>62</v>
      </c>
      <c r="QN62">
        <v>62</v>
      </c>
      <c r="QO62" t="s">
        <v>1411</v>
      </c>
      <c r="QP62">
        <v>1</v>
      </c>
      <c r="QQ62">
        <v>1547</v>
      </c>
      <c r="QR62">
        <v>62</v>
      </c>
      <c r="QS62">
        <v>62</v>
      </c>
      <c r="QT62" t="s">
        <v>1412</v>
      </c>
      <c r="QU62">
        <v>1</v>
      </c>
      <c r="QV62">
        <v>1552</v>
      </c>
      <c r="QW62">
        <v>82</v>
      </c>
      <c r="QX62" t="s">
        <v>587</v>
      </c>
      <c r="QY62" t="s">
        <v>1374</v>
      </c>
      <c r="QZ62">
        <v>3</v>
      </c>
      <c r="RA62">
        <v>66</v>
      </c>
      <c r="RB62">
        <v>66</v>
      </c>
      <c r="RE62">
        <v>0</v>
      </c>
      <c r="RF62">
        <v>1</v>
      </c>
      <c r="RH62">
        <v>1</v>
      </c>
      <c r="RJ62">
        <v>1</v>
      </c>
      <c r="RK62">
        <v>3</v>
      </c>
      <c r="RL62">
        <v>4</v>
      </c>
      <c r="RM62">
        <v>4</v>
      </c>
      <c r="RO62">
        <v>531</v>
      </c>
      <c r="RP62">
        <v>170</v>
      </c>
      <c r="RQ62">
        <v>637</v>
      </c>
      <c r="RR62">
        <v>501</v>
      </c>
      <c r="RT62">
        <v>382</v>
      </c>
      <c r="RU62">
        <v>198</v>
      </c>
      <c r="RV62" t="s">
        <v>801</v>
      </c>
      <c r="RW62" t="s">
        <v>599</v>
      </c>
      <c r="RX62">
        <v>15</v>
      </c>
      <c r="RY62">
        <v>4</v>
      </c>
      <c r="RZ62" t="s">
        <v>599</v>
      </c>
      <c r="SA62">
        <v>15</v>
      </c>
      <c r="SC62" t="s">
        <v>1411</v>
      </c>
      <c r="SD62">
        <v>1</v>
      </c>
      <c r="SF62" t="s">
        <v>1412</v>
      </c>
      <c r="SG62">
        <v>1</v>
      </c>
      <c r="SH62">
        <v>0.995</v>
      </c>
      <c r="SI62">
        <v>0.995</v>
      </c>
      <c r="SJ62">
        <v>0.995</v>
      </c>
      <c r="SK62">
        <v>15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1</v>
      </c>
      <c r="SZ62">
        <v>1</v>
      </c>
      <c r="TB62">
        <v>0</v>
      </c>
      <c r="TC62">
        <v>0</v>
      </c>
      <c r="TD62">
        <v>7.5</v>
      </c>
      <c r="TE62" t="s">
        <v>553</v>
      </c>
      <c r="TF62" t="s">
        <v>681</v>
      </c>
      <c r="TG62" t="s">
        <v>555</v>
      </c>
      <c r="TI62" t="s">
        <v>546</v>
      </c>
      <c r="TJ62" t="s">
        <v>547</v>
      </c>
      <c r="TL62" t="s">
        <v>1377</v>
      </c>
      <c r="TM62" t="s">
        <v>513</v>
      </c>
      <c r="TN62">
        <v>0</v>
      </c>
      <c r="TO62" t="s">
        <v>601</v>
      </c>
    </row>
    <row r="63" spans="1:535">
      <c r="A63" t="s">
        <v>1413</v>
      </c>
      <c r="B63" t="s">
        <v>564</v>
      </c>
      <c r="C63" t="s">
        <v>509</v>
      </c>
      <c r="D63" t="s">
        <v>1281</v>
      </c>
      <c r="G63" t="s">
        <v>604</v>
      </c>
      <c r="H63" t="s">
        <v>605</v>
      </c>
      <c r="I63" t="s">
        <v>628</v>
      </c>
      <c r="J63" t="s">
        <v>606</v>
      </c>
      <c r="L63" t="s">
        <v>512</v>
      </c>
      <c r="M63" t="s">
        <v>629</v>
      </c>
      <c r="N63" t="s">
        <v>513</v>
      </c>
      <c r="O63" t="s">
        <v>607</v>
      </c>
      <c r="Q63" t="s">
        <v>1414</v>
      </c>
      <c r="R63" t="s">
        <v>517</v>
      </c>
      <c r="S63" t="s">
        <v>964</v>
      </c>
      <c r="T63" t="s">
        <v>965</v>
      </c>
      <c r="U63" t="s">
        <v>686</v>
      </c>
      <c r="V63" t="s">
        <v>687</v>
      </c>
      <c r="W63" t="s">
        <v>1283</v>
      </c>
      <c r="X63" t="s">
        <v>1368</v>
      </c>
      <c r="Y63" t="s">
        <v>524</v>
      </c>
      <c r="Z63" t="s">
        <v>1415</v>
      </c>
      <c r="AA63" t="s">
        <v>1416</v>
      </c>
      <c r="AB63" t="s">
        <v>1417</v>
      </c>
      <c r="AC63">
        <v>2</v>
      </c>
      <c r="AD63">
        <v>57</v>
      </c>
      <c r="AE63">
        <v>209</v>
      </c>
      <c r="AF63">
        <v>1.5</v>
      </c>
      <c r="AH63">
        <v>0</v>
      </c>
      <c r="AI63" t="s">
        <v>764</v>
      </c>
      <c r="AJ63">
        <v>190</v>
      </c>
      <c r="AK63">
        <v>1</v>
      </c>
      <c r="AL63">
        <v>1.5</v>
      </c>
      <c r="AM63" t="s">
        <v>579</v>
      </c>
      <c r="AN63" t="s">
        <v>855</v>
      </c>
      <c r="AO63">
        <v>2</v>
      </c>
      <c r="AP63" t="s">
        <v>581</v>
      </c>
      <c r="AQ63" t="s">
        <v>582</v>
      </c>
      <c r="AR63">
        <v>228</v>
      </c>
      <c r="AS63">
        <v>1.5</v>
      </c>
      <c r="AT63" t="s">
        <v>583</v>
      </c>
      <c r="AU63" t="s">
        <v>1418</v>
      </c>
      <c r="AW63" t="s">
        <v>1418</v>
      </c>
      <c r="AX63">
        <v>1</v>
      </c>
      <c r="AY63">
        <v>267.5</v>
      </c>
      <c r="AZ63">
        <v>1.5</v>
      </c>
      <c r="BA63" t="s">
        <v>579</v>
      </c>
      <c r="BG63">
        <v>1.5</v>
      </c>
      <c r="BJ63">
        <v>0</v>
      </c>
      <c r="BN63">
        <v>1.5</v>
      </c>
      <c r="BP63" t="s">
        <v>1419</v>
      </c>
      <c r="BQ63">
        <v>88</v>
      </c>
      <c r="BR63">
        <v>2</v>
      </c>
      <c r="BS63" t="s">
        <v>1342</v>
      </c>
      <c r="BT63">
        <v>208</v>
      </c>
      <c r="BU63">
        <v>0.5</v>
      </c>
      <c r="BV63" t="s">
        <v>1342</v>
      </c>
      <c r="BW63">
        <v>416</v>
      </c>
      <c r="BX63">
        <v>1</v>
      </c>
      <c r="BY63" t="s">
        <v>698</v>
      </c>
      <c r="BZ63">
        <v>300</v>
      </c>
      <c r="CA63">
        <v>460</v>
      </c>
      <c r="CB63" t="s">
        <v>699</v>
      </c>
      <c r="CC63" t="s">
        <v>699</v>
      </c>
      <c r="CD63">
        <v>510</v>
      </c>
      <c r="CE63" t="s">
        <v>700</v>
      </c>
      <c r="CF63">
        <v>15</v>
      </c>
      <c r="CG63" t="s">
        <v>922</v>
      </c>
      <c r="CH63" t="s">
        <v>922</v>
      </c>
      <c r="CI63">
        <v>80</v>
      </c>
      <c r="CJ63">
        <v>1458</v>
      </c>
      <c r="CK63">
        <v>2</v>
      </c>
      <c r="CL63">
        <v>1552</v>
      </c>
      <c r="CM63">
        <v>2</v>
      </c>
      <c r="CN63" t="s">
        <v>702</v>
      </c>
      <c r="CO63" t="s">
        <v>676</v>
      </c>
      <c r="CP63" t="s">
        <v>703</v>
      </c>
      <c r="CQ63" t="s">
        <v>1420</v>
      </c>
      <c r="CR63" t="s">
        <v>541</v>
      </c>
      <c r="CS63" t="s">
        <v>542</v>
      </c>
      <c r="CT63">
        <v>380</v>
      </c>
      <c r="CU63">
        <v>5</v>
      </c>
      <c r="CV63">
        <v>1.2</v>
      </c>
      <c r="CW63">
        <v>1475</v>
      </c>
      <c r="CX63">
        <v>794</v>
      </c>
      <c r="CY63" t="s">
        <v>597</v>
      </c>
      <c r="CZ63">
        <v>50</v>
      </c>
      <c r="DA63">
        <v>3</v>
      </c>
      <c r="DB63">
        <v>1.28</v>
      </c>
      <c r="DC63">
        <v>1475</v>
      </c>
      <c r="DD63">
        <v>105</v>
      </c>
      <c r="DE63" t="s">
        <v>543</v>
      </c>
      <c r="DF63">
        <v>535</v>
      </c>
      <c r="DG63">
        <v>3</v>
      </c>
      <c r="DH63">
        <v>1.18</v>
      </c>
      <c r="DI63">
        <v>1468</v>
      </c>
      <c r="DJ63">
        <v>1239</v>
      </c>
      <c r="DW63" t="s">
        <v>544</v>
      </c>
      <c r="DX63">
        <v>7.5</v>
      </c>
      <c r="EA63">
        <v>1540.9</v>
      </c>
      <c r="EB63">
        <v>272</v>
      </c>
      <c r="EC63" t="s">
        <v>545</v>
      </c>
      <c r="ED63">
        <v>25</v>
      </c>
      <c r="EE63">
        <v>3</v>
      </c>
      <c r="EG63">
        <v>1582</v>
      </c>
      <c r="EH63">
        <v>150</v>
      </c>
      <c r="EJ63">
        <v>0</v>
      </c>
      <c r="EK63">
        <v>1</v>
      </c>
      <c r="EN63">
        <v>0</v>
      </c>
      <c r="EP63" t="s">
        <v>546</v>
      </c>
      <c r="EQ63">
        <v>100</v>
      </c>
      <c r="ER63">
        <v>3</v>
      </c>
      <c r="ES63">
        <v>5.5</v>
      </c>
      <c r="ET63">
        <v>1454</v>
      </c>
      <c r="EU63">
        <v>404.4</v>
      </c>
      <c r="EV63">
        <v>588</v>
      </c>
      <c r="EW63" t="s">
        <v>547</v>
      </c>
      <c r="EX63">
        <v>45</v>
      </c>
      <c r="EY63">
        <v>2</v>
      </c>
      <c r="EZ63">
        <v>4.5</v>
      </c>
      <c r="FA63">
        <v>1454</v>
      </c>
      <c r="FB63">
        <v>138.3</v>
      </c>
      <c r="FC63">
        <v>201</v>
      </c>
      <c r="FE63">
        <v>0</v>
      </c>
      <c r="FF63">
        <v>2</v>
      </c>
      <c r="FI63">
        <v>0</v>
      </c>
      <c r="FK63" t="s">
        <v>548</v>
      </c>
      <c r="FL63">
        <v>0.4</v>
      </c>
      <c r="FM63">
        <v>65</v>
      </c>
      <c r="FN63">
        <v>370</v>
      </c>
      <c r="FO63">
        <v>70</v>
      </c>
      <c r="FP63">
        <v>160</v>
      </c>
      <c r="HC63">
        <v>0.1</v>
      </c>
      <c r="HD63">
        <v>3</v>
      </c>
      <c r="HE63">
        <v>3</v>
      </c>
      <c r="HF63">
        <v>3</v>
      </c>
      <c r="HG63">
        <v>3</v>
      </c>
      <c r="HH63">
        <v>3</v>
      </c>
      <c r="HI63">
        <v>130</v>
      </c>
      <c r="HJ63">
        <v>3</v>
      </c>
      <c r="HK63">
        <v>30</v>
      </c>
      <c r="HL63">
        <v>2</v>
      </c>
      <c r="HM63">
        <v>0</v>
      </c>
      <c r="HN63">
        <v>2</v>
      </c>
      <c r="HO63">
        <v>85</v>
      </c>
      <c r="HP63">
        <v>3</v>
      </c>
      <c r="HQ63">
        <v>0</v>
      </c>
      <c r="HR63">
        <v>2</v>
      </c>
      <c r="HS63">
        <v>4665</v>
      </c>
      <c r="HT63">
        <v>140</v>
      </c>
      <c r="HU63">
        <v>180</v>
      </c>
      <c r="HW63">
        <v>0</v>
      </c>
      <c r="HX63">
        <v>500</v>
      </c>
      <c r="HY63">
        <v>0.18</v>
      </c>
      <c r="IA63">
        <v>0.15</v>
      </c>
      <c r="IB63">
        <v>0</v>
      </c>
      <c r="IC63">
        <v>180</v>
      </c>
      <c r="ID63">
        <v>110</v>
      </c>
      <c r="IE63">
        <v>0</v>
      </c>
      <c r="IF63">
        <v>0</v>
      </c>
      <c r="IH63" t="s">
        <v>549</v>
      </c>
      <c r="IO63">
        <v>1</v>
      </c>
      <c r="IP63">
        <v>19</v>
      </c>
      <c r="IQ63">
        <v>0</v>
      </c>
      <c r="IR63">
        <v>0</v>
      </c>
      <c r="IV63">
        <v>1458</v>
      </c>
      <c r="IW63">
        <v>416</v>
      </c>
      <c r="JA63">
        <v>1</v>
      </c>
      <c r="JB63">
        <v>0</v>
      </c>
      <c r="JC63">
        <v>2</v>
      </c>
      <c r="JD63">
        <v>1475</v>
      </c>
      <c r="JE63">
        <v>1468</v>
      </c>
      <c r="JF63">
        <v>0</v>
      </c>
      <c r="JG63">
        <v>1454</v>
      </c>
      <c r="JH63">
        <v>0</v>
      </c>
      <c r="JJ63">
        <v>180</v>
      </c>
      <c r="JK63">
        <v>500</v>
      </c>
      <c r="JN63">
        <v>380</v>
      </c>
      <c r="JO63">
        <v>535</v>
      </c>
      <c r="JP63">
        <v>0</v>
      </c>
      <c r="JQ63">
        <v>0</v>
      </c>
      <c r="JR63">
        <v>418</v>
      </c>
      <c r="JS63">
        <v>130</v>
      </c>
      <c r="JV63">
        <v>8</v>
      </c>
      <c r="JW63" t="s">
        <v>550</v>
      </c>
      <c r="JX63">
        <v>456</v>
      </c>
      <c r="KA63">
        <v>0</v>
      </c>
      <c r="KB63">
        <v>110</v>
      </c>
      <c r="KC63">
        <v>0</v>
      </c>
      <c r="KD63">
        <v>80</v>
      </c>
      <c r="KF63">
        <v>4</v>
      </c>
      <c r="KG63">
        <v>2</v>
      </c>
      <c r="KH63">
        <v>2</v>
      </c>
      <c r="KI63">
        <v>2</v>
      </c>
      <c r="KJ63">
        <v>0</v>
      </c>
      <c r="KK63">
        <v>1.5</v>
      </c>
      <c r="KL63">
        <v>1.5</v>
      </c>
      <c r="KM63">
        <v>0</v>
      </c>
      <c r="KN63">
        <v>0</v>
      </c>
      <c r="KO63">
        <v>0</v>
      </c>
      <c r="KR63">
        <v>50</v>
      </c>
      <c r="KS63">
        <v>60</v>
      </c>
      <c r="KT63">
        <v>0</v>
      </c>
      <c r="LK63">
        <v>480</v>
      </c>
      <c r="PG63">
        <v>1</v>
      </c>
      <c r="PI63" t="s">
        <v>1417</v>
      </c>
      <c r="PJ63" t="s">
        <v>1418</v>
      </c>
      <c r="PL63" t="s">
        <v>764</v>
      </c>
      <c r="PP63" t="s">
        <v>1419</v>
      </c>
      <c r="PS63" t="s">
        <v>855</v>
      </c>
      <c r="PX63">
        <v>56</v>
      </c>
      <c r="PY63">
        <v>57</v>
      </c>
      <c r="PZ63" t="s">
        <v>1417</v>
      </c>
      <c r="QA63">
        <v>1</v>
      </c>
      <c r="QB63">
        <v>1454</v>
      </c>
      <c r="QC63">
        <v>69</v>
      </c>
      <c r="QD63">
        <v>69</v>
      </c>
      <c r="QE63" t="s">
        <v>764</v>
      </c>
      <c r="QF63">
        <v>1</v>
      </c>
      <c r="QG63">
        <v>1475</v>
      </c>
      <c r="QH63">
        <v>66</v>
      </c>
      <c r="QI63">
        <v>66</v>
      </c>
      <c r="QJ63" t="s">
        <v>855</v>
      </c>
      <c r="QK63">
        <v>1</v>
      </c>
      <c r="QL63">
        <v>1475</v>
      </c>
      <c r="QM63">
        <v>62</v>
      </c>
      <c r="QN63">
        <v>62</v>
      </c>
      <c r="QO63" t="s">
        <v>1418</v>
      </c>
      <c r="QP63">
        <v>1</v>
      </c>
      <c r="QQ63">
        <v>1468</v>
      </c>
      <c r="QW63">
        <v>82</v>
      </c>
      <c r="QX63">
        <v>88</v>
      </c>
      <c r="QY63" t="s">
        <v>1419</v>
      </c>
      <c r="QZ63">
        <v>1</v>
      </c>
      <c r="RA63">
        <v>66</v>
      </c>
      <c r="RB63">
        <v>66</v>
      </c>
      <c r="RE63">
        <v>0</v>
      </c>
      <c r="RF63">
        <v>1</v>
      </c>
      <c r="RJ63">
        <v>1</v>
      </c>
      <c r="RK63">
        <v>3</v>
      </c>
      <c r="RL63">
        <v>2</v>
      </c>
      <c r="RO63">
        <v>538</v>
      </c>
      <c r="RP63">
        <v>142</v>
      </c>
      <c r="RQ63">
        <v>844</v>
      </c>
      <c r="RT63">
        <v>272</v>
      </c>
      <c r="RU63">
        <v>150</v>
      </c>
      <c r="RV63" t="s">
        <v>1344</v>
      </c>
      <c r="RW63" t="s">
        <v>707</v>
      </c>
      <c r="RX63">
        <v>15</v>
      </c>
      <c r="RY63">
        <v>4</v>
      </c>
      <c r="RZ63" t="s">
        <v>707</v>
      </c>
      <c r="SA63">
        <v>15</v>
      </c>
      <c r="SC63" t="s">
        <v>1418</v>
      </c>
      <c r="SD63">
        <v>1</v>
      </c>
      <c r="SH63">
        <v>0.995</v>
      </c>
      <c r="SI63">
        <v>0.995</v>
      </c>
      <c r="SJ63">
        <v>0.995</v>
      </c>
      <c r="SK63">
        <v>15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1</v>
      </c>
      <c r="TB63">
        <v>0</v>
      </c>
      <c r="TC63">
        <v>0</v>
      </c>
      <c r="TD63">
        <v>7.5</v>
      </c>
      <c r="TE63" t="s">
        <v>553</v>
      </c>
      <c r="TF63" t="s">
        <v>624</v>
      </c>
      <c r="TG63" t="s">
        <v>555</v>
      </c>
      <c r="TI63" t="s">
        <v>546</v>
      </c>
      <c r="TJ63" t="s">
        <v>547</v>
      </c>
      <c r="TL63" t="s">
        <v>1377</v>
      </c>
      <c r="TM63" t="s">
        <v>513</v>
      </c>
      <c r="TN63">
        <v>0</v>
      </c>
      <c r="TO63" t="s">
        <v>557</v>
      </c>
    </row>
    <row r="64" spans="1:535">
      <c r="A64" t="s">
        <v>1421</v>
      </c>
      <c r="B64" t="s">
        <v>564</v>
      </c>
      <c r="C64" t="s">
        <v>509</v>
      </c>
      <c r="D64" t="s">
        <v>1422</v>
      </c>
      <c r="G64" t="s">
        <v>605</v>
      </c>
      <c r="H64" t="s">
        <v>896</v>
      </c>
      <c r="I64" t="s">
        <v>1423</v>
      </c>
      <c r="J64" t="s">
        <v>606</v>
      </c>
      <c r="L64" t="s">
        <v>512</v>
      </c>
      <c r="M64" t="s">
        <v>629</v>
      </c>
      <c r="N64" t="s">
        <v>513</v>
      </c>
      <c r="O64" t="s">
        <v>565</v>
      </c>
      <c r="Q64" t="s">
        <v>1424</v>
      </c>
      <c r="R64" t="s">
        <v>517</v>
      </c>
      <c r="S64" t="s">
        <v>926</v>
      </c>
      <c r="T64" t="s">
        <v>927</v>
      </c>
      <c r="U64" t="s">
        <v>570</v>
      </c>
      <c r="V64" t="s">
        <v>571</v>
      </c>
      <c r="W64" t="s">
        <v>1241</v>
      </c>
      <c r="X64" t="s">
        <v>1368</v>
      </c>
      <c r="Y64" t="s">
        <v>574</v>
      </c>
      <c r="Z64" t="s">
        <v>1425</v>
      </c>
      <c r="AA64" t="s">
        <v>1426</v>
      </c>
      <c r="AB64" t="s">
        <v>1427</v>
      </c>
      <c r="AC64">
        <v>2</v>
      </c>
      <c r="AD64">
        <v>57</v>
      </c>
      <c r="AE64">
        <v>226</v>
      </c>
      <c r="AF64">
        <v>1.5</v>
      </c>
      <c r="AH64">
        <v>0</v>
      </c>
      <c r="AI64" t="s">
        <v>1246</v>
      </c>
      <c r="AJ64">
        <v>210</v>
      </c>
      <c r="AK64">
        <v>1</v>
      </c>
      <c r="AL64">
        <v>1.5</v>
      </c>
      <c r="AM64" t="s">
        <v>579</v>
      </c>
      <c r="AN64" t="s">
        <v>693</v>
      </c>
      <c r="AO64">
        <v>2</v>
      </c>
      <c r="AP64" t="s">
        <v>581</v>
      </c>
      <c r="AQ64" t="s">
        <v>582</v>
      </c>
      <c r="AR64">
        <v>248</v>
      </c>
      <c r="AS64">
        <v>1.5</v>
      </c>
      <c r="AT64" t="s">
        <v>583</v>
      </c>
      <c r="AU64" t="s">
        <v>1428</v>
      </c>
      <c r="AW64" t="s">
        <v>1428</v>
      </c>
      <c r="AX64">
        <v>1</v>
      </c>
      <c r="AY64">
        <v>297.5</v>
      </c>
      <c r="AZ64">
        <v>1.5</v>
      </c>
      <c r="BA64" t="s">
        <v>579</v>
      </c>
      <c r="BB64" t="s">
        <v>1429</v>
      </c>
      <c r="BD64" t="s">
        <v>1429</v>
      </c>
      <c r="BE64">
        <v>1</v>
      </c>
      <c r="BF64">
        <v>250</v>
      </c>
      <c r="BG64">
        <v>1.5</v>
      </c>
      <c r="BJ64">
        <v>0</v>
      </c>
      <c r="BN64">
        <v>1.5</v>
      </c>
      <c r="BP64" t="s">
        <v>1374</v>
      </c>
      <c r="BQ64" t="s">
        <v>587</v>
      </c>
      <c r="BR64">
        <v>2</v>
      </c>
      <c r="BS64" t="s">
        <v>799</v>
      </c>
      <c r="BT64">
        <v>226</v>
      </c>
      <c r="BU64">
        <v>0.5</v>
      </c>
      <c r="BV64" t="s">
        <v>799</v>
      </c>
      <c r="BW64">
        <v>452</v>
      </c>
      <c r="BX64">
        <v>1</v>
      </c>
      <c r="BY64" t="s">
        <v>589</v>
      </c>
      <c r="BZ64">
        <v>470</v>
      </c>
      <c r="CA64">
        <v>530</v>
      </c>
      <c r="CB64" t="s">
        <v>590</v>
      </c>
      <c r="CC64" t="s">
        <v>590</v>
      </c>
      <c r="CD64">
        <v>466</v>
      </c>
      <c r="CE64" t="s">
        <v>591</v>
      </c>
      <c r="CF64">
        <v>15</v>
      </c>
      <c r="CG64" t="s">
        <v>936</v>
      </c>
      <c r="CH64" t="s">
        <v>936</v>
      </c>
      <c r="CI64">
        <v>30</v>
      </c>
      <c r="CJ64">
        <v>1538</v>
      </c>
      <c r="CK64">
        <v>2</v>
      </c>
      <c r="CL64">
        <v>1632</v>
      </c>
      <c r="CM64">
        <v>2</v>
      </c>
      <c r="CN64" t="s">
        <v>593</v>
      </c>
      <c r="CO64" t="s">
        <v>594</v>
      </c>
      <c r="CP64" t="s">
        <v>595</v>
      </c>
      <c r="CQ64" t="s">
        <v>596</v>
      </c>
      <c r="CR64" t="s">
        <v>541</v>
      </c>
      <c r="CS64" t="s">
        <v>542</v>
      </c>
      <c r="CT64">
        <v>420</v>
      </c>
      <c r="CU64">
        <v>5</v>
      </c>
      <c r="CV64">
        <v>1.2</v>
      </c>
      <c r="CW64">
        <v>1554</v>
      </c>
      <c r="CX64">
        <v>925</v>
      </c>
      <c r="CY64" t="s">
        <v>705</v>
      </c>
      <c r="CZ64">
        <v>50</v>
      </c>
      <c r="DA64">
        <v>3</v>
      </c>
      <c r="DB64">
        <v>1</v>
      </c>
      <c r="DC64">
        <v>1554</v>
      </c>
      <c r="DD64">
        <v>82</v>
      </c>
      <c r="DE64" t="s">
        <v>622</v>
      </c>
      <c r="DF64">
        <v>595</v>
      </c>
      <c r="DG64">
        <v>3</v>
      </c>
      <c r="DH64">
        <v>0.88</v>
      </c>
      <c r="DI64">
        <v>1547</v>
      </c>
      <c r="DJ64">
        <v>1077</v>
      </c>
      <c r="DK64" t="s">
        <v>622</v>
      </c>
      <c r="DL64">
        <v>500</v>
      </c>
      <c r="DM64">
        <v>3</v>
      </c>
      <c r="DN64">
        <v>0.88</v>
      </c>
      <c r="DO64">
        <v>1552</v>
      </c>
      <c r="DP64">
        <v>847</v>
      </c>
      <c r="DW64" t="s">
        <v>544</v>
      </c>
      <c r="DX64">
        <v>7.5</v>
      </c>
      <c r="EA64">
        <v>1623.8</v>
      </c>
      <c r="EB64">
        <v>382</v>
      </c>
      <c r="EC64" t="s">
        <v>545</v>
      </c>
      <c r="ED64">
        <v>30</v>
      </c>
      <c r="EE64">
        <v>3</v>
      </c>
      <c r="EG64">
        <v>1675</v>
      </c>
      <c r="EH64">
        <v>198</v>
      </c>
      <c r="EJ64">
        <v>0</v>
      </c>
      <c r="EK64">
        <v>1</v>
      </c>
      <c r="EN64">
        <v>0</v>
      </c>
      <c r="EP64" t="s">
        <v>546</v>
      </c>
      <c r="EQ64">
        <v>115</v>
      </c>
      <c r="ER64">
        <v>3</v>
      </c>
      <c r="ES64">
        <v>5.5</v>
      </c>
      <c r="ET64">
        <v>1534</v>
      </c>
      <c r="EU64">
        <v>487.5</v>
      </c>
      <c r="EV64">
        <v>748</v>
      </c>
      <c r="EW64" t="s">
        <v>547</v>
      </c>
      <c r="EX64">
        <v>45</v>
      </c>
      <c r="EY64">
        <v>2</v>
      </c>
      <c r="EZ64">
        <v>4.2</v>
      </c>
      <c r="FA64">
        <v>1534</v>
      </c>
      <c r="FB64">
        <v>122.4</v>
      </c>
      <c r="FC64">
        <v>188</v>
      </c>
      <c r="FE64">
        <v>0</v>
      </c>
      <c r="FF64">
        <v>2</v>
      </c>
      <c r="FI64">
        <v>0</v>
      </c>
      <c r="FK64" t="s">
        <v>548</v>
      </c>
      <c r="FL64">
        <v>0.4</v>
      </c>
      <c r="FM64">
        <v>45</v>
      </c>
      <c r="FN64">
        <v>390</v>
      </c>
      <c r="FO64">
        <v>80</v>
      </c>
      <c r="FP64">
        <v>170</v>
      </c>
      <c r="GR64" t="s">
        <v>548</v>
      </c>
      <c r="GS64">
        <v>0.4</v>
      </c>
      <c r="GT64">
        <v>30</v>
      </c>
      <c r="GU64">
        <v>410</v>
      </c>
      <c r="GV64">
        <v>30</v>
      </c>
      <c r="GW64">
        <v>290</v>
      </c>
      <c r="HC64">
        <v>0.1</v>
      </c>
      <c r="HD64">
        <v>3</v>
      </c>
      <c r="HE64">
        <v>3</v>
      </c>
      <c r="HF64">
        <v>3</v>
      </c>
      <c r="HG64">
        <v>3</v>
      </c>
      <c r="HH64">
        <v>3</v>
      </c>
      <c r="HI64">
        <v>145</v>
      </c>
      <c r="HJ64">
        <v>3</v>
      </c>
      <c r="HK64">
        <v>30</v>
      </c>
      <c r="HL64">
        <v>2</v>
      </c>
      <c r="HM64">
        <v>0</v>
      </c>
      <c r="HN64">
        <v>2</v>
      </c>
      <c r="HO64">
        <v>100</v>
      </c>
      <c r="HP64">
        <v>3</v>
      </c>
      <c r="HQ64">
        <v>0</v>
      </c>
      <c r="HR64">
        <v>2</v>
      </c>
      <c r="HS64">
        <v>6045</v>
      </c>
      <c r="HT64">
        <v>180</v>
      </c>
      <c r="HU64">
        <v>180</v>
      </c>
      <c r="HW64">
        <v>0</v>
      </c>
      <c r="HX64">
        <v>480</v>
      </c>
      <c r="HY64">
        <v>0.18</v>
      </c>
      <c r="IA64">
        <v>0.15</v>
      </c>
      <c r="IB64">
        <v>0</v>
      </c>
      <c r="IC64">
        <v>180</v>
      </c>
      <c r="ID64">
        <v>110</v>
      </c>
      <c r="IE64">
        <v>225</v>
      </c>
      <c r="IF64">
        <v>0</v>
      </c>
      <c r="IH64" t="s">
        <v>549</v>
      </c>
      <c r="IO64">
        <v>3</v>
      </c>
      <c r="IP64">
        <v>20</v>
      </c>
      <c r="IQ64">
        <v>0</v>
      </c>
      <c r="IR64">
        <v>0</v>
      </c>
      <c r="IV64">
        <v>1538</v>
      </c>
      <c r="IW64">
        <v>452</v>
      </c>
      <c r="JA64">
        <v>1</v>
      </c>
      <c r="JB64">
        <v>0</v>
      </c>
      <c r="JC64">
        <v>2</v>
      </c>
      <c r="JD64">
        <v>1554</v>
      </c>
      <c r="JE64">
        <v>1547</v>
      </c>
      <c r="JF64">
        <v>1552</v>
      </c>
      <c r="JG64">
        <v>1534</v>
      </c>
      <c r="JH64">
        <v>0</v>
      </c>
      <c r="JJ64">
        <v>180</v>
      </c>
      <c r="JK64">
        <v>480</v>
      </c>
      <c r="JN64">
        <v>420</v>
      </c>
      <c r="JO64">
        <v>595</v>
      </c>
      <c r="JP64">
        <v>500</v>
      </c>
      <c r="JQ64">
        <v>0</v>
      </c>
      <c r="JR64">
        <v>452</v>
      </c>
      <c r="JS64">
        <v>145</v>
      </c>
      <c r="JV64">
        <v>8</v>
      </c>
      <c r="JW64" t="s">
        <v>550</v>
      </c>
      <c r="JX64">
        <v>496</v>
      </c>
      <c r="KA64">
        <v>225</v>
      </c>
      <c r="KB64">
        <v>110</v>
      </c>
      <c r="KC64">
        <v>0</v>
      </c>
      <c r="KD64">
        <v>80</v>
      </c>
      <c r="KF64">
        <v>4</v>
      </c>
      <c r="KG64">
        <v>4</v>
      </c>
      <c r="KH64">
        <v>2</v>
      </c>
      <c r="KI64">
        <v>2</v>
      </c>
      <c r="KJ64">
        <v>0</v>
      </c>
      <c r="KK64">
        <v>1.5</v>
      </c>
      <c r="KL64">
        <v>1.5</v>
      </c>
      <c r="KM64">
        <v>0</v>
      </c>
      <c r="KN64">
        <v>0</v>
      </c>
      <c r="KO64">
        <v>0</v>
      </c>
      <c r="KR64">
        <v>30</v>
      </c>
      <c r="KS64">
        <v>60</v>
      </c>
      <c r="KT64">
        <v>0</v>
      </c>
      <c r="LK64">
        <v>480</v>
      </c>
      <c r="PG64">
        <v>1</v>
      </c>
      <c r="PI64" t="s">
        <v>1427</v>
      </c>
      <c r="PJ64" t="s">
        <v>1428</v>
      </c>
      <c r="PK64" t="s">
        <v>1429</v>
      </c>
      <c r="PL64" t="s">
        <v>1246</v>
      </c>
      <c r="PP64" t="s">
        <v>1374</v>
      </c>
      <c r="PS64" t="s">
        <v>693</v>
      </c>
      <c r="PX64">
        <v>56</v>
      </c>
      <c r="PY64">
        <v>57</v>
      </c>
      <c r="PZ64" t="s">
        <v>1427</v>
      </c>
      <c r="QA64">
        <v>3</v>
      </c>
      <c r="QB64">
        <v>1534</v>
      </c>
      <c r="QC64">
        <v>69</v>
      </c>
      <c r="QD64">
        <v>69</v>
      </c>
      <c r="QE64" t="s">
        <v>1246</v>
      </c>
      <c r="QF64">
        <v>1</v>
      </c>
      <c r="QG64">
        <v>1554</v>
      </c>
      <c r="QH64">
        <v>66</v>
      </c>
      <c r="QI64">
        <v>66</v>
      </c>
      <c r="QJ64" t="s">
        <v>693</v>
      </c>
      <c r="QK64">
        <v>1</v>
      </c>
      <c r="QL64">
        <v>1554</v>
      </c>
      <c r="QM64">
        <v>62</v>
      </c>
      <c r="QN64">
        <v>62</v>
      </c>
      <c r="QO64" t="s">
        <v>1428</v>
      </c>
      <c r="QP64">
        <v>1</v>
      </c>
      <c r="QQ64">
        <v>1547</v>
      </c>
      <c r="QR64">
        <v>62</v>
      </c>
      <c r="QS64">
        <v>62</v>
      </c>
      <c r="QT64" t="s">
        <v>1429</v>
      </c>
      <c r="QU64">
        <v>1</v>
      </c>
      <c r="QV64">
        <v>1552</v>
      </c>
      <c r="QW64">
        <v>82</v>
      </c>
      <c r="QX64" t="s">
        <v>587</v>
      </c>
      <c r="QY64" t="s">
        <v>1374</v>
      </c>
      <c r="QZ64">
        <v>3</v>
      </c>
      <c r="RA64">
        <v>66</v>
      </c>
      <c r="RB64">
        <v>66</v>
      </c>
      <c r="RE64">
        <v>0</v>
      </c>
      <c r="RF64">
        <v>1</v>
      </c>
      <c r="RH64">
        <v>1</v>
      </c>
      <c r="RJ64">
        <v>1</v>
      </c>
      <c r="RK64">
        <v>2</v>
      </c>
      <c r="RL64">
        <v>4</v>
      </c>
      <c r="RM64">
        <v>4</v>
      </c>
      <c r="RO64">
        <v>595</v>
      </c>
      <c r="RP64">
        <v>105</v>
      </c>
      <c r="RQ64">
        <v>696</v>
      </c>
      <c r="RR64">
        <v>546</v>
      </c>
      <c r="RT64">
        <v>382</v>
      </c>
      <c r="RU64">
        <v>198</v>
      </c>
      <c r="RV64" t="s">
        <v>801</v>
      </c>
      <c r="RW64" t="s">
        <v>599</v>
      </c>
      <c r="RX64">
        <v>15</v>
      </c>
      <c r="RY64">
        <v>4</v>
      </c>
      <c r="RZ64" t="s">
        <v>599</v>
      </c>
      <c r="SA64">
        <v>15</v>
      </c>
      <c r="SC64" t="s">
        <v>1428</v>
      </c>
      <c r="SD64">
        <v>1</v>
      </c>
      <c r="SF64" t="s">
        <v>1429</v>
      </c>
      <c r="SG64">
        <v>1</v>
      </c>
      <c r="SH64">
        <v>0.995</v>
      </c>
      <c r="SI64">
        <v>0.995</v>
      </c>
      <c r="SJ64">
        <v>0.995</v>
      </c>
      <c r="SK64">
        <v>15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1</v>
      </c>
      <c r="SZ64">
        <v>1</v>
      </c>
      <c r="TB64">
        <v>0</v>
      </c>
      <c r="TC64">
        <v>0</v>
      </c>
      <c r="TD64">
        <v>7.5</v>
      </c>
      <c r="TE64" t="s">
        <v>553</v>
      </c>
      <c r="TF64" t="s">
        <v>681</v>
      </c>
      <c r="TG64" t="s">
        <v>555</v>
      </c>
      <c r="TI64" t="s">
        <v>546</v>
      </c>
      <c r="TJ64" t="s">
        <v>547</v>
      </c>
      <c r="TL64" t="s">
        <v>1377</v>
      </c>
      <c r="TM64" t="s">
        <v>513</v>
      </c>
      <c r="TN64">
        <v>0</v>
      </c>
      <c r="TO64" t="s">
        <v>601</v>
      </c>
    </row>
    <row r="65" spans="1:535">
      <c r="A65" t="s">
        <v>1430</v>
      </c>
      <c r="B65" t="s">
        <v>564</v>
      </c>
      <c r="C65" t="s">
        <v>509</v>
      </c>
      <c r="D65" t="s">
        <v>1365</v>
      </c>
      <c r="G65" t="s">
        <v>604</v>
      </c>
      <c r="H65" t="s">
        <v>605</v>
      </c>
      <c r="I65" t="s">
        <v>628</v>
      </c>
      <c r="J65" t="s">
        <v>606</v>
      </c>
      <c r="L65" t="s">
        <v>512</v>
      </c>
      <c r="M65" t="s">
        <v>629</v>
      </c>
      <c r="N65" t="s">
        <v>513</v>
      </c>
      <c r="O65" t="s">
        <v>607</v>
      </c>
      <c r="Q65" t="s">
        <v>1431</v>
      </c>
      <c r="R65" t="s">
        <v>517</v>
      </c>
      <c r="S65" t="s">
        <v>684</v>
      </c>
      <c r="T65" t="s">
        <v>685</v>
      </c>
      <c r="U65" t="s">
        <v>686</v>
      </c>
      <c r="V65" t="s">
        <v>687</v>
      </c>
      <c r="W65" t="s">
        <v>1309</v>
      </c>
      <c r="X65" t="s">
        <v>1368</v>
      </c>
      <c r="Y65" t="s">
        <v>524</v>
      </c>
      <c r="Z65" t="s">
        <v>1432</v>
      </c>
      <c r="AA65" t="s">
        <v>1433</v>
      </c>
      <c r="AB65" t="s">
        <v>1434</v>
      </c>
      <c r="AC65">
        <v>2</v>
      </c>
      <c r="AD65">
        <v>57</v>
      </c>
      <c r="AE65">
        <v>219</v>
      </c>
      <c r="AF65">
        <v>1.5</v>
      </c>
      <c r="AH65">
        <v>0</v>
      </c>
      <c r="AI65" t="s">
        <v>615</v>
      </c>
      <c r="AJ65">
        <v>200</v>
      </c>
      <c r="AK65">
        <v>1</v>
      </c>
      <c r="AL65">
        <v>1.5</v>
      </c>
      <c r="AM65" t="s">
        <v>579</v>
      </c>
      <c r="AN65" t="s">
        <v>855</v>
      </c>
      <c r="AO65">
        <v>2</v>
      </c>
      <c r="AP65" t="s">
        <v>581</v>
      </c>
      <c r="AQ65" t="s">
        <v>582</v>
      </c>
      <c r="AR65">
        <v>239</v>
      </c>
      <c r="AS65">
        <v>1.5</v>
      </c>
      <c r="AT65" t="s">
        <v>583</v>
      </c>
      <c r="AU65" t="s">
        <v>1435</v>
      </c>
      <c r="AW65" t="s">
        <v>1435</v>
      </c>
      <c r="AX65">
        <v>1</v>
      </c>
      <c r="AY65">
        <v>292.5</v>
      </c>
      <c r="AZ65">
        <v>1.5</v>
      </c>
      <c r="BA65" t="s">
        <v>579</v>
      </c>
      <c r="BG65">
        <v>1.5</v>
      </c>
      <c r="BJ65">
        <v>0</v>
      </c>
      <c r="BN65">
        <v>1.5</v>
      </c>
      <c r="BP65" t="s">
        <v>1436</v>
      </c>
      <c r="BQ65">
        <v>89</v>
      </c>
      <c r="BR65">
        <v>2</v>
      </c>
      <c r="BS65" t="s">
        <v>1342</v>
      </c>
      <c r="BT65">
        <v>219</v>
      </c>
      <c r="BU65">
        <v>0.5</v>
      </c>
      <c r="BV65" t="s">
        <v>1342</v>
      </c>
      <c r="BW65">
        <v>438</v>
      </c>
      <c r="BX65">
        <v>1</v>
      </c>
      <c r="BY65" t="s">
        <v>698</v>
      </c>
      <c r="BZ65">
        <v>300</v>
      </c>
      <c r="CA65">
        <v>500</v>
      </c>
      <c r="CB65" t="s">
        <v>699</v>
      </c>
      <c r="CC65" t="s">
        <v>699</v>
      </c>
      <c r="CD65">
        <v>488</v>
      </c>
      <c r="CE65" t="s">
        <v>700</v>
      </c>
      <c r="CF65">
        <v>15</v>
      </c>
      <c r="CG65" t="s">
        <v>1322</v>
      </c>
      <c r="CH65" t="s">
        <v>1322</v>
      </c>
      <c r="CI65">
        <v>100</v>
      </c>
      <c r="CJ65">
        <v>1458</v>
      </c>
      <c r="CK65">
        <v>2</v>
      </c>
      <c r="CL65">
        <v>1552</v>
      </c>
      <c r="CM65">
        <v>2</v>
      </c>
      <c r="CN65" t="s">
        <v>702</v>
      </c>
      <c r="CO65" t="s">
        <v>676</v>
      </c>
      <c r="CP65" t="s">
        <v>703</v>
      </c>
      <c r="CQ65" t="s">
        <v>1420</v>
      </c>
      <c r="CR65" t="s">
        <v>541</v>
      </c>
      <c r="CS65" t="s">
        <v>542</v>
      </c>
      <c r="CT65">
        <v>400</v>
      </c>
      <c r="CU65">
        <v>5</v>
      </c>
      <c r="CV65">
        <v>1.2</v>
      </c>
      <c r="CW65">
        <v>1475</v>
      </c>
      <c r="CX65">
        <v>836</v>
      </c>
      <c r="CY65" t="s">
        <v>597</v>
      </c>
      <c r="CZ65">
        <v>50</v>
      </c>
      <c r="DA65">
        <v>3</v>
      </c>
      <c r="DB65">
        <v>1.28</v>
      </c>
      <c r="DC65">
        <v>1475</v>
      </c>
      <c r="DD65">
        <v>105</v>
      </c>
      <c r="DE65" t="s">
        <v>948</v>
      </c>
      <c r="DF65">
        <v>585</v>
      </c>
      <c r="DG65">
        <v>3</v>
      </c>
      <c r="DH65">
        <v>1.22</v>
      </c>
      <c r="DI65">
        <v>1468</v>
      </c>
      <c r="DJ65">
        <v>1434</v>
      </c>
      <c r="DW65" t="s">
        <v>544</v>
      </c>
      <c r="DX65">
        <v>7.5</v>
      </c>
      <c r="EA65">
        <v>1540.9</v>
      </c>
      <c r="EB65">
        <v>272</v>
      </c>
      <c r="EC65" t="s">
        <v>545</v>
      </c>
      <c r="ED65">
        <v>35</v>
      </c>
      <c r="EE65">
        <v>3</v>
      </c>
      <c r="EG65">
        <v>1582</v>
      </c>
      <c r="EH65">
        <v>221</v>
      </c>
      <c r="EJ65">
        <v>0</v>
      </c>
      <c r="EK65">
        <v>1</v>
      </c>
      <c r="EN65">
        <v>0</v>
      </c>
      <c r="EP65" t="s">
        <v>546</v>
      </c>
      <c r="EQ65">
        <v>115</v>
      </c>
      <c r="ER65">
        <v>3</v>
      </c>
      <c r="ES65">
        <v>5.5</v>
      </c>
      <c r="ET65">
        <v>1454</v>
      </c>
      <c r="EU65">
        <v>495.6</v>
      </c>
      <c r="EV65">
        <v>721</v>
      </c>
      <c r="EW65" t="s">
        <v>547</v>
      </c>
      <c r="EX65">
        <v>45</v>
      </c>
      <c r="EY65">
        <v>2</v>
      </c>
      <c r="EZ65">
        <v>4.5</v>
      </c>
      <c r="FA65">
        <v>1454</v>
      </c>
      <c r="FB65">
        <v>138.3</v>
      </c>
      <c r="FC65">
        <v>201</v>
      </c>
      <c r="FE65">
        <v>0</v>
      </c>
      <c r="FF65">
        <v>2</v>
      </c>
      <c r="FI65">
        <v>0</v>
      </c>
      <c r="FK65" t="s">
        <v>548</v>
      </c>
      <c r="FL65">
        <v>0.4</v>
      </c>
      <c r="FM65">
        <v>60</v>
      </c>
      <c r="FN65">
        <v>350</v>
      </c>
      <c r="FO65">
        <v>90</v>
      </c>
      <c r="FP65">
        <v>140</v>
      </c>
      <c r="FR65" t="s">
        <v>548</v>
      </c>
      <c r="FS65">
        <v>0.4</v>
      </c>
      <c r="FT65">
        <v>30</v>
      </c>
      <c r="FU65">
        <v>270</v>
      </c>
      <c r="HC65">
        <v>0.1</v>
      </c>
      <c r="HD65">
        <v>3</v>
      </c>
      <c r="HE65">
        <v>3</v>
      </c>
      <c r="HF65">
        <v>3</v>
      </c>
      <c r="HG65">
        <v>3</v>
      </c>
      <c r="HH65">
        <v>3</v>
      </c>
      <c r="HI65">
        <v>145</v>
      </c>
      <c r="HJ65">
        <v>3</v>
      </c>
      <c r="HK65">
        <v>30</v>
      </c>
      <c r="HL65">
        <v>2</v>
      </c>
      <c r="HM65">
        <v>0</v>
      </c>
      <c r="HN65">
        <v>2</v>
      </c>
      <c r="HO65">
        <v>100</v>
      </c>
      <c r="HP65">
        <v>3</v>
      </c>
      <c r="HQ65">
        <v>0</v>
      </c>
      <c r="HR65">
        <v>2</v>
      </c>
      <c r="HS65">
        <v>5310</v>
      </c>
      <c r="HT65">
        <v>160</v>
      </c>
      <c r="HU65">
        <v>180</v>
      </c>
      <c r="HW65">
        <v>0</v>
      </c>
      <c r="HX65">
        <v>500</v>
      </c>
      <c r="HY65">
        <v>0.18</v>
      </c>
      <c r="IA65">
        <v>0.15</v>
      </c>
      <c r="IB65">
        <v>0</v>
      </c>
      <c r="IC65">
        <v>180</v>
      </c>
      <c r="ID65">
        <v>110</v>
      </c>
      <c r="IE65">
        <v>0</v>
      </c>
      <c r="IF65">
        <v>0</v>
      </c>
      <c r="IH65" t="s">
        <v>549</v>
      </c>
      <c r="IO65">
        <v>1</v>
      </c>
      <c r="IP65">
        <v>19</v>
      </c>
      <c r="IQ65">
        <v>0</v>
      </c>
      <c r="IR65">
        <v>0</v>
      </c>
      <c r="IV65">
        <v>1458</v>
      </c>
      <c r="IW65">
        <v>438</v>
      </c>
      <c r="JA65">
        <v>1</v>
      </c>
      <c r="JB65">
        <v>0</v>
      </c>
      <c r="JC65">
        <v>2</v>
      </c>
      <c r="JD65">
        <v>1475</v>
      </c>
      <c r="JE65">
        <v>1468</v>
      </c>
      <c r="JF65">
        <v>0</v>
      </c>
      <c r="JG65">
        <v>1454</v>
      </c>
      <c r="JH65">
        <v>0</v>
      </c>
      <c r="JJ65">
        <v>180</v>
      </c>
      <c r="JK65">
        <v>500</v>
      </c>
      <c r="JN65">
        <v>400</v>
      </c>
      <c r="JO65">
        <v>585</v>
      </c>
      <c r="JP65">
        <v>0</v>
      </c>
      <c r="JQ65">
        <v>0</v>
      </c>
      <c r="JR65">
        <v>438</v>
      </c>
      <c r="JS65">
        <v>145</v>
      </c>
      <c r="JV65">
        <v>8</v>
      </c>
      <c r="JW65" t="s">
        <v>550</v>
      </c>
      <c r="JX65">
        <v>478</v>
      </c>
      <c r="KA65">
        <v>0</v>
      </c>
      <c r="KB65">
        <v>110</v>
      </c>
      <c r="KC65">
        <v>0</v>
      </c>
      <c r="KD65">
        <v>80</v>
      </c>
      <c r="KF65">
        <v>4</v>
      </c>
      <c r="KG65">
        <v>2</v>
      </c>
      <c r="KH65">
        <v>2</v>
      </c>
      <c r="KI65">
        <v>2</v>
      </c>
      <c r="KJ65">
        <v>0</v>
      </c>
      <c r="KK65">
        <v>1.5</v>
      </c>
      <c r="KL65">
        <v>1.5</v>
      </c>
      <c r="KM65">
        <v>0</v>
      </c>
      <c r="KN65">
        <v>0</v>
      </c>
      <c r="KO65">
        <v>0</v>
      </c>
      <c r="KR65">
        <v>25</v>
      </c>
      <c r="KS65">
        <v>30</v>
      </c>
      <c r="KT65">
        <v>0</v>
      </c>
      <c r="LK65">
        <v>480</v>
      </c>
      <c r="LX65">
        <v>374</v>
      </c>
      <c r="LY65">
        <v>3.5</v>
      </c>
      <c r="LZ65">
        <v>250</v>
      </c>
      <c r="PG65">
        <v>1</v>
      </c>
      <c r="PI65" t="s">
        <v>1434</v>
      </c>
      <c r="PJ65" t="s">
        <v>1435</v>
      </c>
      <c r="PL65" t="s">
        <v>615</v>
      </c>
      <c r="PP65" t="s">
        <v>1436</v>
      </c>
      <c r="PS65" t="s">
        <v>855</v>
      </c>
      <c r="PX65">
        <v>56</v>
      </c>
      <c r="PY65">
        <v>57</v>
      </c>
      <c r="PZ65" t="s">
        <v>1434</v>
      </c>
      <c r="QA65">
        <v>1</v>
      </c>
      <c r="QB65">
        <v>1454</v>
      </c>
      <c r="QC65">
        <v>69</v>
      </c>
      <c r="QD65">
        <v>69</v>
      </c>
      <c r="QE65" t="s">
        <v>615</v>
      </c>
      <c r="QF65">
        <v>1</v>
      </c>
      <c r="QG65">
        <v>1475</v>
      </c>
      <c r="QH65">
        <v>66</v>
      </c>
      <c r="QI65">
        <v>66</v>
      </c>
      <c r="QJ65" t="s">
        <v>855</v>
      </c>
      <c r="QK65">
        <v>1</v>
      </c>
      <c r="QL65">
        <v>1475</v>
      </c>
      <c r="QM65">
        <v>62</v>
      </c>
      <c r="QN65">
        <v>62</v>
      </c>
      <c r="QO65" t="s">
        <v>1435</v>
      </c>
      <c r="QP65">
        <v>1</v>
      </c>
      <c r="QQ65">
        <v>1468</v>
      </c>
      <c r="QW65">
        <v>82</v>
      </c>
      <c r="QX65">
        <v>89</v>
      </c>
      <c r="QY65" t="s">
        <v>1436</v>
      </c>
      <c r="QZ65">
        <v>1</v>
      </c>
      <c r="RA65">
        <v>66</v>
      </c>
      <c r="RB65">
        <v>66</v>
      </c>
      <c r="RE65">
        <v>0</v>
      </c>
      <c r="RF65">
        <v>1</v>
      </c>
      <c r="RJ65">
        <v>1</v>
      </c>
      <c r="RK65">
        <v>3</v>
      </c>
      <c r="RL65">
        <v>2</v>
      </c>
      <c r="RO65">
        <v>567</v>
      </c>
      <c r="RP65">
        <v>142</v>
      </c>
      <c r="RQ65">
        <v>977</v>
      </c>
      <c r="RT65">
        <v>272</v>
      </c>
      <c r="RU65">
        <v>221</v>
      </c>
      <c r="RV65" t="s">
        <v>1344</v>
      </c>
      <c r="RW65" t="s">
        <v>707</v>
      </c>
      <c r="RX65">
        <v>15</v>
      </c>
      <c r="RY65">
        <v>4</v>
      </c>
      <c r="RZ65" t="s">
        <v>707</v>
      </c>
      <c r="SA65">
        <v>15</v>
      </c>
      <c r="SC65" t="s">
        <v>1435</v>
      </c>
      <c r="SD65">
        <v>1</v>
      </c>
      <c r="SH65">
        <v>0.995</v>
      </c>
      <c r="SI65">
        <v>0.995</v>
      </c>
      <c r="SJ65">
        <v>0.995</v>
      </c>
      <c r="SK65">
        <v>15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1</v>
      </c>
      <c r="TB65">
        <v>1</v>
      </c>
      <c r="TC65">
        <v>0</v>
      </c>
      <c r="TD65">
        <v>7.5</v>
      </c>
      <c r="TE65" t="s">
        <v>553</v>
      </c>
      <c r="TF65" t="s">
        <v>624</v>
      </c>
      <c r="TG65" t="s">
        <v>555</v>
      </c>
      <c r="TI65" t="s">
        <v>546</v>
      </c>
      <c r="TJ65" t="s">
        <v>547</v>
      </c>
      <c r="TL65" t="s">
        <v>1377</v>
      </c>
      <c r="TM65" t="s">
        <v>513</v>
      </c>
      <c r="TN65">
        <v>0</v>
      </c>
      <c r="TO65" t="s">
        <v>557</v>
      </c>
    </row>
    <row r="66" spans="1:535">
      <c r="A66" t="s">
        <v>1437</v>
      </c>
      <c r="B66" t="s">
        <v>559</v>
      </c>
      <c r="C66" t="s">
        <v>509</v>
      </c>
      <c r="D66" t="s">
        <v>1365</v>
      </c>
      <c r="G66" t="s">
        <v>604</v>
      </c>
      <c r="H66" t="s">
        <v>605</v>
      </c>
      <c r="I66" t="s">
        <v>628</v>
      </c>
      <c r="J66" t="s">
        <v>606</v>
      </c>
      <c r="L66" t="s">
        <v>512</v>
      </c>
      <c r="M66" t="s">
        <v>564</v>
      </c>
      <c r="N66" t="s">
        <v>513</v>
      </c>
      <c r="O66" t="s">
        <v>565</v>
      </c>
      <c r="Q66" t="s">
        <v>1438</v>
      </c>
      <c r="R66" t="s">
        <v>517</v>
      </c>
      <c r="S66" t="s">
        <v>774</v>
      </c>
      <c r="T66" t="s">
        <v>661</v>
      </c>
      <c r="U66" t="s">
        <v>686</v>
      </c>
      <c r="V66" t="s">
        <v>687</v>
      </c>
      <c r="W66" t="s">
        <v>1283</v>
      </c>
      <c r="X66" t="s">
        <v>1368</v>
      </c>
      <c r="Y66" t="s">
        <v>524</v>
      </c>
      <c r="Z66" t="s">
        <v>1439</v>
      </c>
      <c r="AA66" t="s">
        <v>1440</v>
      </c>
      <c r="AB66" t="s">
        <v>1441</v>
      </c>
      <c r="AC66">
        <v>2</v>
      </c>
      <c r="AD66">
        <v>57</v>
      </c>
      <c r="AE66">
        <v>210</v>
      </c>
      <c r="AF66">
        <v>1.5</v>
      </c>
      <c r="AH66">
        <v>0</v>
      </c>
      <c r="AI66" t="s">
        <v>969</v>
      </c>
      <c r="AJ66">
        <v>192.5</v>
      </c>
      <c r="AK66">
        <v>1</v>
      </c>
      <c r="AL66">
        <v>1.5</v>
      </c>
      <c r="AM66" t="s">
        <v>579</v>
      </c>
      <c r="AN66" t="s">
        <v>693</v>
      </c>
      <c r="AO66">
        <v>2</v>
      </c>
      <c r="AP66" t="s">
        <v>581</v>
      </c>
      <c r="AQ66" t="s">
        <v>582</v>
      </c>
      <c r="AR66">
        <v>230</v>
      </c>
      <c r="AS66">
        <v>1.5</v>
      </c>
      <c r="AT66" t="s">
        <v>583</v>
      </c>
      <c r="AU66" t="s">
        <v>1442</v>
      </c>
      <c r="AW66" t="s">
        <v>1442</v>
      </c>
      <c r="AX66">
        <v>1</v>
      </c>
      <c r="AY66">
        <v>282.5</v>
      </c>
      <c r="AZ66">
        <v>1.5</v>
      </c>
      <c r="BA66" t="s">
        <v>579</v>
      </c>
      <c r="BG66">
        <v>1.5</v>
      </c>
      <c r="BJ66">
        <v>0</v>
      </c>
      <c r="BN66">
        <v>1.5</v>
      </c>
      <c r="BP66" t="s">
        <v>1436</v>
      </c>
      <c r="BQ66">
        <v>89</v>
      </c>
      <c r="BR66">
        <v>2</v>
      </c>
      <c r="BS66" t="s">
        <v>1342</v>
      </c>
      <c r="BT66">
        <v>210</v>
      </c>
      <c r="BU66">
        <v>0.5</v>
      </c>
      <c r="BV66" t="s">
        <v>1342</v>
      </c>
      <c r="BW66">
        <v>420</v>
      </c>
      <c r="BX66">
        <v>1</v>
      </c>
      <c r="BY66" t="s">
        <v>698</v>
      </c>
      <c r="BZ66">
        <v>300</v>
      </c>
      <c r="CA66">
        <v>480</v>
      </c>
      <c r="CB66" t="s">
        <v>699</v>
      </c>
      <c r="CC66" t="s">
        <v>699</v>
      </c>
      <c r="CD66">
        <v>432</v>
      </c>
      <c r="CE66" t="s">
        <v>700</v>
      </c>
      <c r="CF66">
        <v>15</v>
      </c>
      <c r="CG66" t="s">
        <v>783</v>
      </c>
      <c r="CH66" t="s">
        <v>783</v>
      </c>
      <c r="CI66">
        <v>90</v>
      </c>
      <c r="CJ66">
        <v>1458</v>
      </c>
      <c r="CK66">
        <v>2</v>
      </c>
      <c r="CL66">
        <v>1552</v>
      </c>
      <c r="CM66">
        <v>2</v>
      </c>
      <c r="CN66" t="s">
        <v>702</v>
      </c>
      <c r="CO66" t="s">
        <v>676</v>
      </c>
      <c r="CP66" t="s">
        <v>703</v>
      </c>
      <c r="CQ66" t="s">
        <v>1420</v>
      </c>
      <c r="CR66" t="s">
        <v>541</v>
      </c>
      <c r="CS66" t="s">
        <v>542</v>
      </c>
      <c r="CT66">
        <v>385</v>
      </c>
      <c r="CU66">
        <v>5</v>
      </c>
      <c r="CV66">
        <v>1.2</v>
      </c>
      <c r="CW66">
        <v>1475</v>
      </c>
      <c r="CX66">
        <v>804</v>
      </c>
      <c r="CY66" t="s">
        <v>705</v>
      </c>
      <c r="CZ66">
        <v>50</v>
      </c>
      <c r="DA66">
        <v>3</v>
      </c>
      <c r="DB66">
        <v>1</v>
      </c>
      <c r="DC66">
        <v>1475</v>
      </c>
      <c r="DD66">
        <v>77</v>
      </c>
      <c r="DE66" t="s">
        <v>543</v>
      </c>
      <c r="DF66">
        <v>565</v>
      </c>
      <c r="DG66">
        <v>3</v>
      </c>
      <c r="DH66">
        <v>1.18</v>
      </c>
      <c r="DI66">
        <v>1468</v>
      </c>
      <c r="DJ66">
        <v>1324</v>
      </c>
      <c r="DW66" t="s">
        <v>544</v>
      </c>
      <c r="DX66">
        <v>7.5</v>
      </c>
      <c r="EA66">
        <v>1540.9</v>
      </c>
      <c r="EB66">
        <v>272</v>
      </c>
      <c r="EC66" t="s">
        <v>545</v>
      </c>
      <c r="ED66">
        <v>35</v>
      </c>
      <c r="EE66">
        <v>3</v>
      </c>
      <c r="EG66">
        <v>1582</v>
      </c>
      <c r="EH66">
        <v>221</v>
      </c>
      <c r="EJ66">
        <v>0</v>
      </c>
      <c r="EK66">
        <v>1</v>
      </c>
      <c r="EN66">
        <v>0</v>
      </c>
      <c r="EP66" t="s">
        <v>546</v>
      </c>
      <c r="EQ66">
        <v>110</v>
      </c>
      <c r="ER66">
        <v>3</v>
      </c>
      <c r="ES66">
        <v>5</v>
      </c>
      <c r="ET66">
        <v>1451</v>
      </c>
      <c r="EU66">
        <v>451.7</v>
      </c>
      <c r="EV66">
        <v>655</v>
      </c>
      <c r="EW66" t="s">
        <v>547</v>
      </c>
      <c r="EX66">
        <v>45</v>
      </c>
      <c r="EY66">
        <v>2</v>
      </c>
      <c r="EZ66">
        <v>4</v>
      </c>
      <c r="FA66">
        <v>1451</v>
      </c>
      <c r="FB66">
        <v>133.2</v>
      </c>
      <c r="FC66">
        <v>193</v>
      </c>
      <c r="FE66">
        <v>0</v>
      </c>
      <c r="FF66">
        <v>2</v>
      </c>
      <c r="FI66">
        <v>0</v>
      </c>
      <c r="FK66" t="s">
        <v>548</v>
      </c>
      <c r="FL66">
        <v>0.4</v>
      </c>
      <c r="FM66">
        <v>55</v>
      </c>
      <c r="FN66">
        <v>330</v>
      </c>
      <c r="FO66">
        <v>70</v>
      </c>
      <c r="FP66">
        <v>160</v>
      </c>
      <c r="FR66" t="s">
        <v>548</v>
      </c>
      <c r="FS66">
        <v>0.4</v>
      </c>
      <c r="FT66">
        <v>30</v>
      </c>
      <c r="FU66">
        <v>380</v>
      </c>
      <c r="HC66">
        <v>0.1</v>
      </c>
      <c r="HD66">
        <v>3</v>
      </c>
      <c r="HE66">
        <v>3</v>
      </c>
      <c r="HF66">
        <v>3</v>
      </c>
      <c r="HG66">
        <v>3</v>
      </c>
      <c r="HH66">
        <v>3</v>
      </c>
      <c r="HI66">
        <v>140</v>
      </c>
      <c r="HJ66">
        <v>3</v>
      </c>
      <c r="HK66">
        <v>30</v>
      </c>
      <c r="HL66">
        <v>2</v>
      </c>
      <c r="HM66">
        <v>0</v>
      </c>
      <c r="HN66">
        <v>2</v>
      </c>
      <c r="HO66">
        <v>95</v>
      </c>
      <c r="HP66">
        <v>3</v>
      </c>
      <c r="HQ66">
        <v>0</v>
      </c>
      <c r="HR66">
        <v>2</v>
      </c>
      <c r="HS66">
        <v>4964</v>
      </c>
      <c r="HT66">
        <v>150</v>
      </c>
      <c r="HU66">
        <v>180</v>
      </c>
      <c r="HW66">
        <v>0</v>
      </c>
      <c r="HX66">
        <v>425</v>
      </c>
      <c r="HY66">
        <v>0.18</v>
      </c>
      <c r="IA66">
        <v>0.15</v>
      </c>
      <c r="IB66">
        <v>0</v>
      </c>
      <c r="IC66">
        <v>180</v>
      </c>
      <c r="ID66">
        <v>110</v>
      </c>
      <c r="IE66">
        <v>0</v>
      </c>
      <c r="IF66">
        <v>0</v>
      </c>
      <c r="IH66" t="s">
        <v>549</v>
      </c>
      <c r="IO66">
        <v>1</v>
      </c>
      <c r="IP66">
        <v>19</v>
      </c>
      <c r="IQ66">
        <v>0</v>
      </c>
      <c r="IR66">
        <v>0</v>
      </c>
      <c r="IV66">
        <v>1458</v>
      </c>
      <c r="IW66">
        <v>420</v>
      </c>
      <c r="JA66">
        <v>1</v>
      </c>
      <c r="JB66">
        <v>0</v>
      </c>
      <c r="JC66">
        <v>2</v>
      </c>
      <c r="JD66">
        <v>1475</v>
      </c>
      <c r="JE66">
        <v>1468</v>
      </c>
      <c r="JF66">
        <v>0</v>
      </c>
      <c r="JG66">
        <v>1451</v>
      </c>
      <c r="JH66">
        <v>0</v>
      </c>
      <c r="JJ66">
        <v>180</v>
      </c>
      <c r="JK66">
        <v>425</v>
      </c>
      <c r="JN66">
        <v>385</v>
      </c>
      <c r="JO66">
        <v>565</v>
      </c>
      <c r="JP66">
        <v>0</v>
      </c>
      <c r="JQ66">
        <v>0</v>
      </c>
      <c r="JR66">
        <v>420</v>
      </c>
      <c r="JS66">
        <v>140</v>
      </c>
      <c r="JV66">
        <v>8</v>
      </c>
      <c r="JW66" t="s">
        <v>550</v>
      </c>
      <c r="JX66">
        <v>460</v>
      </c>
      <c r="KA66">
        <v>0</v>
      </c>
      <c r="KB66">
        <v>110</v>
      </c>
      <c r="KC66">
        <v>0</v>
      </c>
      <c r="KD66">
        <v>80</v>
      </c>
      <c r="KF66">
        <v>4</v>
      </c>
      <c r="KG66">
        <v>2</v>
      </c>
      <c r="KH66">
        <v>2</v>
      </c>
      <c r="KI66">
        <v>2</v>
      </c>
      <c r="KJ66">
        <v>0</v>
      </c>
      <c r="KK66">
        <v>1.5</v>
      </c>
      <c r="KL66">
        <v>1.5</v>
      </c>
      <c r="KM66">
        <v>0</v>
      </c>
      <c r="KN66">
        <v>0</v>
      </c>
      <c r="KO66">
        <v>0</v>
      </c>
      <c r="KR66">
        <v>25</v>
      </c>
      <c r="KS66">
        <v>30</v>
      </c>
      <c r="KT66">
        <v>0</v>
      </c>
      <c r="LK66">
        <v>480</v>
      </c>
      <c r="LX66">
        <v>358</v>
      </c>
      <c r="LY66">
        <v>2</v>
      </c>
      <c r="LZ66">
        <v>250</v>
      </c>
      <c r="PG66">
        <v>1</v>
      </c>
      <c r="PI66" t="s">
        <v>1441</v>
      </c>
      <c r="PJ66" t="s">
        <v>1442</v>
      </c>
      <c r="PL66" t="s">
        <v>969</v>
      </c>
      <c r="PP66" t="s">
        <v>1436</v>
      </c>
      <c r="PS66" t="s">
        <v>693</v>
      </c>
      <c r="PX66">
        <v>56</v>
      </c>
      <c r="PY66">
        <v>57</v>
      </c>
      <c r="PZ66" t="s">
        <v>1441</v>
      </c>
      <c r="QA66">
        <v>2</v>
      </c>
      <c r="QB66">
        <v>1451</v>
      </c>
      <c r="QC66">
        <v>69</v>
      </c>
      <c r="QD66">
        <v>69</v>
      </c>
      <c r="QE66" t="s">
        <v>969</v>
      </c>
      <c r="QF66">
        <v>1</v>
      </c>
      <c r="QG66">
        <v>1475</v>
      </c>
      <c r="QH66">
        <v>66</v>
      </c>
      <c r="QI66">
        <v>66</v>
      </c>
      <c r="QJ66" t="s">
        <v>693</v>
      </c>
      <c r="QK66">
        <v>1</v>
      </c>
      <c r="QL66">
        <v>1475</v>
      </c>
      <c r="QM66">
        <v>62</v>
      </c>
      <c r="QN66">
        <v>62</v>
      </c>
      <c r="QO66" t="s">
        <v>1442</v>
      </c>
      <c r="QP66">
        <v>1</v>
      </c>
      <c r="QQ66">
        <v>1468</v>
      </c>
      <c r="QW66">
        <v>82</v>
      </c>
      <c r="QX66">
        <v>89</v>
      </c>
      <c r="QY66" t="s">
        <v>1436</v>
      </c>
      <c r="QZ66">
        <v>1</v>
      </c>
      <c r="RA66">
        <v>66</v>
      </c>
      <c r="RB66">
        <v>66</v>
      </c>
      <c r="RE66">
        <v>0</v>
      </c>
      <c r="RF66">
        <v>1</v>
      </c>
      <c r="RJ66">
        <v>1</v>
      </c>
      <c r="RK66">
        <v>2</v>
      </c>
      <c r="RL66">
        <v>2</v>
      </c>
      <c r="RO66">
        <v>545</v>
      </c>
      <c r="RP66">
        <v>105</v>
      </c>
      <c r="RQ66">
        <v>902</v>
      </c>
      <c r="RT66">
        <v>272</v>
      </c>
      <c r="RU66">
        <v>221</v>
      </c>
      <c r="RV66" t="s">
        <v>1344</v>
      </c>
      <c r="RW66" t="s">
        <v>707</v>
      </c>
      <c r="RX66">
        <v>15</v>
      </c>
      <c r="RY66">
        <v>4</v>
      </c>
      <c r="RZ66" t="s">
        <v>707</v>
      </c>
      <c r="SA66">
        <v>15</v>
      </c>
      <c r="SC66" t="s">
        <v>1442</v>
      </c>
      <c r="SD66">
        <v>1</v>
      </c>
      <c r="SH66">
        <v>0.995</v>
      </c>
      <c r="SI66">
        <v>0.995</v>
      </c>
      <c r="SJ66">
        <v>0.995</v>
      </c>
      <c r="SK66">
        <v>15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1</v>
      </c>
      <c r="TB66">
        <v>1</v>
      </c>
      <c r="TC66">
        <v>0</v>
      </c>
      <c r="TD66">
        <v>7.5</v>
      </c>
      <c r="TE66" t="s">
        <v>553</v>
      </c>
      <c r="TF66" t="s">
        <v>624</v>
      </c>
      <c r="TG66" t="s">
        <v>555</v>
      </c>
      <c r="TI66" t="s">
        <v>546</v>
      </c>
      <c r="TJ66" t="s">
        <v>547</v>
      </c>
      <c r="TL66" t="s">
        <v>1377</v>
      </c>
      <c r="TM66" t="s">
        <v>513</v>
      </c>
      <c r="TN66">
        <v>0</v>
      </c>
      <c r="TO66" t="s">
        <v>557</v>
      </c>
    </row>
    <row r="67" spans="1:535">
      <c r="A67" t="s">
        <v>1443</v>
      </c>
      <c r="B67" t="s">
        <v>711</v>
      </c>
      <c r="C67" t="s">
        <v>509</v>
      </c>
      <c r="D67" t="s">
        <v>1444</v>
      </c>
      <c r="G67" t="s">
        <v>1294</v>
      </c>
      <c r="I67" t="s">
        <v>511</v>
      </c>
      <c r="J67" t="s">
        <v>563</v>
      </c>
      <c r="L67" t="s">
        <v>512</v>
      </c>
      <c r="M67" t="s">
        <v>804</v>
      </c>
      <c r="N67" t="s">
        <v>513</v>
      </c>
      <c r="O67" t="s">
        <v>565</v>
      </c>
      <c r="Q67" t="s">
        <v>1445</v>
      </c>
      <c r="R67" t="s">
        <v>517</v>
      </c>
      <c r="S67" t="s">
        <v>1042</v>
      </c>
      <c r="T67" t="s">
        <v>1043</v>
      </c>
      <c r="U67" t="s">
        <v>686</v>
      </c>
      <c r="V67" t="s">
        <v>687</v>
      </c>
      <c r="W67" t="s">
        <v>1296</v>
      </c>
      <c r="X67" t="s">
        <v>1368</v>
      </c>
      <c r="Y67" t="s">
        <v>574</v>
      </c>
      <c r="Z67" t="s">
        <v>1446</v>
      </c>
      <c r="AA67" t="s">
        <v>1447</v>
      </c>
      <c r="AB67" t="s">
        <v>1448</v>
      </c>
      <c r="AC67">
        <v>2</v>
      </c>
      <c r="AD67">
        <v>57</v>
      </c>
      <c r="AE67">
        <v>241</v>
      </c>
      <c r="AF67">
        <v>1.5</v>
      </c>
      <c r="AH67">
        <v>0</v>
      </c>
      <c r="AI67" t="s">
        <v>1300</v>
      </c>
      <c r="AJ67">
        <v>222.5</v>
      </c>
      <c r="AK67">
        <v>1</v>
      </c>
      <c r="AL67">
        <v>1.5</v>
      </c>
      <c r="AM67" t="s">
        <v>579</v>
      </c>
      <c r="AN67" t="s">
        <v>855</v>
      </c>
      <c r="AO67">
        <v>2</v>
      </c>
      <c r="AP67" t="s">
        <v>581</v>
      </c>
      <c r="AQ67" t="s">
        <v>582</v>
      </c>
      <c r="AR67">
        <v>261</v>
      </c>
      <c r="AS67">
        <v>1.5</v>
      </c>
      <c r="AT67" t="s">
        <v>583</v>
      </c>
      <c r="AU67" t="s">
        <v>1449</v>
      </c>
      <c r="AW67" t="s">
        <v>1449</v>
      </c>
      <c r="AX67">
        <v>1</v>
      </c>
      <c r="AY67">
        <v>317.5</v>
      </c>
      <c r="AZ67">
        <v>1.5</v>
      </c>
      <c r="BA67" t="s">
        <v>579</v>
      </c>
      <c r="BB67" t="s">
        <v>1450</v>
      </c>
      <c r="BD67" t="s">
        <v>1450</v>
      </c>
      <c r="BE67">
        <v>1</v>
      </c>
      <c r="BF67">
        <v>262.5</v>
      </c>
      <c r="BG67">
        <v>1.5</v>
      </c>
      <c r="BJ67">
        <v>0</v>
      </c>
      <c r="BN67">
        <v>1.5</v>
      </c>
      <c r="BP67" t="s">
        <v>1451</v>
      </c>
      <c r="BQ67">
        <v>88</v>
      </c>
      <c r="BR67">
        <v>2</v>
      </c>
      <c r="BS67" t="s">
        <v>1304</v>
      </c>
      <c r="BT67">
        <v>240</v>
      </c>
      <c r="BU67">
        <v>0.5</v>
      </c>
      <c r="BV67" t="s">
        <v>1304</v>
      </c>
      <c r="BW67">
        <v>480</v>
      </c>
      <c r="BX67">
        <v>1</v>
      </c>
      <c r="BY67" t="s">
        <v>698</v>
      </c>
      <c r="BZ67">
        <v>470</v>
      </c>
      <c r="CA67">
        <v>570</v>
      </c>
      <c r="CB67" t="s">
        <v>699</v>
      </c>
      <c r="CC67" t="s">
        <v>699</v>
      </c>
      <c r="CD67">
        <v>496</v>
      </c>
      <c r="CE67" t="s">
        <v>700</v>
      </c>
      <c r="CF67">
        <v>15</v>
      </c>
      <c r="CG67" t="s">
        <v>1099</v>
      </c>
      <c r="CH67" t="s">
        <v>1099</v>
      </c>
      <c r="CI67">
        <v>50</v>
      </c>
      <c r="CJ67">
        <v>1458</v>
      </c>
      <c r="CK67">
        <v>2</v>
      </c>
      <c r="CL67">
        <v>1552</v>
      </c>
      <c r="CM67">
        <v>2</v>
      </c>
      <c r="CN67" t="s">
        <v>702</v>
      </c>
      <c r="CO67" t="s">
        <v>676</v>
      </c>
      <c r="CP67" t="s">
        <v>703</v>
      </c>
      <c r="CQ67" t="s">
        <v>596</v>
      </c>
      <c r="CR67" t="s">
        <v>541</v>
      </c>
      <c r="CS67" t="s">
        <v>542</v>
      </c>
      <c r="CT67">
        <v>445</v>
      </c>
      <c r="CU67">
        <v>5</v>
      </c>
      <c r="CV67">
        <v>1.2</v>
      </c>
      <c r="CW67">
        <v>1475</v>
      </c>
      <c r="CX67">
        <v>931</v>
      </c>
      <c r="CY67" t="s">
        <v>597</v>
      </c>
      <c r="CZ67">
        <v>50</v>
      </c>
      <c r="DA67">
        <v>3</v>
      </c>
      <c r="DB67">
        <v>1.28</v>
      </c>
      <c r="DC67">
        <v>1475</v>
      </c>
      <c r="DD67">
        <v>105</v>
      </c>
      <c r="DE67" t="s">
        <v>622</v>
      </c>
      <c r="DF67">
        <v>635</v>
      </c>
      <c r="DG67">
        <v>3</v>
      </c>
      <c r="DH67">
        <v>0.88</v>
      </c>
      <c r="DI67">
        <v>1467</v>
      </c>
      <c r="DJ67">
        <v>1106</v>
      </c>
      <c r="DK67" t="s">
        <v>622</v>
      </c>
      <c r="DL67">
        <v>525</v>
      </c>
      <c r="DM67">
        <v>3</v>
      </c>
      <c r="DN67">
        <v>0.88</v>
      </c>
      <c r="DO67">
        <v>1472</v>
      </c>
      <c r="DP67">
        <v>846</v>
      </c>
      <c r="DW67" t="s">
        <v>544</v>
      </c>
      <c r="DX67">
        <v>7.5</v>
      </c>
      <c r="EA67">
        <v>1544.1</v>
      </c>
      <c r="EB67">
        <v>273</v>
      </c>
      <c r="EC67" t="s">
        <v>545</v>
      </c>
      <c r="ED67">
        <v>40</v>
      </c>
      <c r="EE67">
        <v>3</v>
      </c>
      <c r="EG67">
        <v>1585</v>
      </c>
      <c r="EH67">
        <v>254</v>
      </c>
      <c r="EJ67">
        <v>0</v>
      </c>
      <c r="EK67">
        <v>1</v>
      </c>
      <c r="EN67">
        <v>0</v>
      </c>
      <c r="EP67" t="s">
        <v>546</v>
      </c>
      <c r="EQ67">
        <v>125</v>
      </c>
      <c r="ER67">
        <v>3</v>
      </c>
      <c r="ES67">
        <v>6</v>
      </c>
      <c r="ET67">
        <v>1457</v>
      </c>
      <c r="EU67">
        <v>568.4</v>
      </c>
      <c r="EV67">
        <v>828</v>
      </c>
      <c r="EW67" t="s">
        <v>547</v>
      </c>
      <c r="EX67">
        <v>45</v>
      </c>
      <c r="EY67">
        <v>2</v>
      </c>
      <c r="EZ67">
        <v>4</v>
      </c>
      <c r="FA67">
        <v>1457</v>
      </c>
      <c r="FB67">
        <v>141.7</v>
      </c>
      <c r="FC67">
        <v>206</v>
      </c>
      <c r="FE67">
        <v>0</v>
      </c>
      <c r="FF67">
        <v>2</v>
      </c>
      <c r="FI67">
        <v>0</v>
      </c>
      <c r="FK67" t="s">
        <v>548</v>
      </c>
      <c r="FL67">
        <v>0.4</v>
      </c>
      <c r="FM67">
        <v>45</v>
      </c>
      <c r="FN67">
        <v>420</v>
      </c>
      <c r="FO67">
        <v>100</v>
      </c>
      <c r="FP67">
        <v>170</v>
      </c>
      <c r="GR67" t="s">
        <v>548</v>
      </c>
      <c r="GS67">
        <v>0.4</v>
      </c>
      <c r="GT67">
        <v>30</v>
      </c>
      <c r="GU67">
        <v>440</v>
      </c>
      <c r="GV67">
        <v>35</v>
      </c>
      <c r="GW67">
        <v>290</v>
      </c>
      <c r="HC67">
        <v>0.1</v>
      </c>
      <c r="HD67">
        <v>3</v>
      </c>
      <c r="HE67">
        <v>3</v>
      </c>
      <c r="HF67">
        <v>3</v>
      </c>
      <c r="HG67">
        <v>3</v>
      </c>
      <c r="HH67">
        <v>3</v>
      </c>
      <c r="HI67">
        <v>155</v>
      </c>
      <c r="HJ67">
        <v>3</v>
      </c>
      <c r="HK67">
        <v>30</v>
      </c>
      <c r="HL67">
        <v>2</v>
      </c>
      <c r="HM67">
        <v>0</v>
      </c>
      <c r="HN67">
        <v>2</v>
      </c>
      <c r="HO67">
        <v>110</v>
      </c>
      <c r="HP67">
        <v>3</v>
      </c>
      <c r="HQ67">
        <v>0</v>
      </c>
      <c r="HR67">
        <v>2</v>
      </c>
      <c r="HS67">
        <v>6215</v>
      </c>
      <c r="HT67">
        <v>190</v>
      </c>
      <c r="HU67">
        <v>180</v>
      </c>
      <c r="HW67">
        <v>0</v>
      </c>
      <c r="HX67">
        <v>485</v>
      </c>
      <c r="HY67">
        <v>0.18</v>
      </c>
      <c r="IA67">
        <v>0.15</v>
      </c>
      <c r="IB67">
        <v>0</v>
      </c>
      <c r="IC67">
        <v>180</v>
      </c>
      <c r="ID67">
        <v>110</v>
      </c>
      <c r="IE67">
        <v>225</v>
      </c>
      <c r="IF67">
        <v>0</v>
      </c>
      <c r="IH67" t="s">
        <v>549</v>
      </c>
      <c r="IO67">
        <v>3</v>
      </c>
      <c r="IP67">
        <v>19</v>
      </c>
      <c r="IQ67">
        <v>0</v>
      </c>
      <c r="IR67">
        <v>0</v>
      </c>
      <c r="IV67">
        <v>1458</v>
      </c>
      <c r="IW67">
        <v>480</v>
      </c>
      <c r="JA67">
        <v>1</v>
      </c>
      <c r="JB67">
        <v>0</v>
      </c>
      <c r="JC67">
        <v>2</v>
      </c>
      <c r="JD67">
        <v>1475</v>
      </c>
      <c r="JE67">
        <v>1467</v>
      </c>
      <c r="JF67">
        <v>1472</v>
      </c>
      <c r="JG67">
        <v>1457</v>
      </c>
      <c r="JH67">
        <v>0</v>
      </c>
      <c r="JJ67">
        <v>180</v>
      </c>
      <c r="JK67">
        <v>485</v>
      </c>
      <c r="JN67">
        <v>445</v>
      </c>
      <c r="JO67">
        <v>635</v>
      </c>
      <c r="JP67">
        <v>525</v>
      </c>
      <c r="JQ67">
        <v>0</v>
      </c>
      <c r="JR67">
        <v>482</v>
      </c>
      <c r="JS67">
        <v>155</v>
      </c>
      <c r="JV67">
        <v>8</v>
      </c>
      <c r="JW67" t="s">
        <v>550</v>
      </c>
      <c r="JX67">
        <v>522</v>
      </c>
      <c r="KA67">
        <v>225</v>
      </c>
      <c r="KB67">
        <v>110</v>
      </c>
      <c r="KC67">
        <v>0</v>
      </c>
      <c r="KD67">
        <v>80</v>
      </c>
      <c r="KF67">
        <v>4</v>
      </c>
      <c r="KG67">
        <v>2</v>
      </c>
      <c r="KH67">
        <v>2</v>
      </c>
      <c r="KI67">
        <v>2</v>
      </c>
      <c r="KJ67">
        <v>0</v>
      </c>
      <c r="KK67">
        <v>1.5</v>
      </c>
      <c r="KL67">
        <v>1.5</v>
      </c>
      <c r="KM67">
        <v>0</v>
      </c>
      <c r="KN67">
        <v>0</v>
      </c>
      <c r="KO67">
        <v>0</v>
      </c>
      <c r="KR67">
        <v>30</v>
      </c>
      <c r="KS67">
        <v>60</v>
      </c>
      <c r="KT67">
        <v>0</v>
      </c>
      <c r="LK67">
        <v>480</v>
      </c>
      <c r="PG67">
        <v>1</v>
      </c>
      <c r="PI67" t="s">
        <v>1448</v>
      </c>
      <c r="PJ67" t="s">
        <v>1449</v>
      </c>
      <c r="PK67" t="s">
        <v>1450</v>
      </c>
      <c r="PL67" t="s">
        <v>1300</v>
      </c>
      <c r="PP67" t="s">
        <v>1451</v>
      </c>
      <c r="PS67" t="s">
        <v>855</v>
      </c>
      <c r="PX67">
        <v>56</v>
      </c>
      <c r="PY67">
        <v>57</v>
      </c>
      <c r="PZ67" t="s">
        <v>1448</v>
      </c>
      <c r="QA67">
        <v>1</v>
      </c>
      <c r="QB67">
        <v>1457</v>
      </c>
      <c r="QC67">
        <v>69</v>
      </c>
      <c r="QD67">
        <v>69</v>
      </c>
      <c r="QE67" t="s">
        <v>1300</v>
      </c>
      <c r="QF67">
        <v>1</v>
      </c>
      <c r="QG67">
        <v>1475</v>
      </c>
      <c r="QH67">
        <v>66</v>
      </c>
      <c r="QI67">
        <v>66</v>
      </c>
      <c r="QJ67" t="s">
        <v>855</v>
      </c>
      <c r="QK67">
        <v>1</v>
      </c>
      <c r="QL67">
        <v>1475</v>
      </c>
      <c r="QM67">
        <v>62</v>
      </c>
      <c r="QN67">
        <v>62</v>
      </c>
      <c r="QO67" t="s">
        <v>1449</v>
      </c>
      <c r="QP67">
        <v>1</v>
      </c>
      <c r="QQ67">
        <v>1467</v>
      </c>
      <c r="QR67">
        <v>62</v>
      </c>
      <c r="QS67">
        <v>62</v>
      </c>
      <c r="QT67" t="s">
        <v>1450</v>
      </c>
      <c r="QU67">
        <v>1</v>
      </c>
      <c r="QV67">
        <v>1472</v>
      </c>
      <c r="QW67">
        <v>82</v>
      </c>
      <c r="QX67">
        <v>88</v>
      </c>
      <c r="QY67" t="s">
        <v>1451</v>
      </c>
      <c r="QZ67">
        <v>1</v>
      </c>
      <c r="RA67">
        <v>66</v>
      </c>
      <c r="RB67">
        <v>66</v>
      </c>
      <c r="RE67">
        <v>0</v>
      </c>
      <c r="RF67">
        <v>1</v>
      </c>
      <c r="RH67">
        <v>1</v>
      </c>
      <c r="RJ67">
        <v>1</v>
      </c>
      <c r="RK67">
        <v>3</v>
      </c>
      <c r="RL67">
        <v>4</v>
      </c>
      <c r="RM67">
        <v>4</v>
      </c>
      <c r="RO67">
        <v>631</v>
      </c>
      <c r="RP67">
        <v>142</v>
      </c>
      <c r="RQ67">
        <v>754</v>
      </c>
      <c r="RR67">
        <v>575</v>
      </c>
      <c r="RT67">
        <v>273</v>
      </c>
      <c r="RU67">
        <v>254</v>
      </c>
      <c r="RV67" t="s">
        <v>1305</v>
      </c>
      <c r="RW67" t="s">
        <v>707</v>
      </c>
      <c r="RX67">
        <v>15</v>
      </c>
      <c r="RY67">
        <v>4</v>
      </c>
      <c r="RZ67" t="s">
        <v>707</v>
      </c>
      <c r="SA67">
        <v>15</v>
      </c>
      <c r="SC67" t="s">
        <v>1449</v>
      </c>
      <c r="SD67">
        <v>1</v>
      </c>
      <c r="SF67" t="s">
        <v>1450</v>
      </c>
      <c r="SG67">
        <v>1</v>
      </c>
      <c r="SH67">
        <v>0.995</v>
      </c>
      <c r="SI67">
        <v>0.995</v>
      </c>
      <c r="SJ67">
        <v>0.995</v>
      </c>
      <c r="SK67">
        <v>15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1</v>
      </c>
      <c r="SZ67">
        <v>1</v>
      </c>
      <c r="TB67">
        <v>0</v>
      </c>
      <c r="TC67">
        <v>0</v>
      </c>
      <c r="TD67">
        <v>7.5</v>
      </c>
      <c r="TE67" t="s">
        <v>553</v>
      </c>
      <c r="TF67" t="s">
        <v>624</v>
      </c>
      <c r="TG67" t="s">
        <v>555</v>
      </c>
      <c r="TI67" t="s">
        <v>546</v>
      </c>
      <c r="TJ67" t="s">
        <v>547</v>
      </c>
      <c r="TL67" t="s">
        <v>1377</v>
      </c>
      <c r="TM67" t="s">
        <v>513</v>
      </c>
      <c r="TN67">
        <v>0</v>
      </c>
      <c r="TO67" t="s">
        <v>557</v>
      </c>
    </row>
    <row r="68" spans="1:535">
      <c r="A68" t="s">
        <v>1452</v>
      </c>
      <c r="B68" t="s">
        <v>1453</v>
      </c>
      <c r="C68" t="s">
        <v>509</v>
      </c>
      <c r="D68" t="s">
        <v>803</v>
      </c>
      <c r="G68" t="s">
        <v>604</v>
      </c>
      <c r="H68" t="s">
        <v>605</v>
      </c>
      <c r="I68" t="s">
        <v>628</v>
      </c>
      <c r="J68" t="s">
        <v>606</v>
      </c>
      <c r="L68" t="s">
        <v>512</v>
      </c>
      <c r="M68" t="s">
        <v>727</v>
      </c>
      <c r="N68" t="s">
        <v>513</v>
      </c>
      <c r="O68" t="s">
        <v>607</v>
      </c>
      <c r="Q68" t="s">
        <v>1454</v>
      </c>
      <c r="R68" t="s">
        <v>567</v>
      </c>
      <c r="S68" t="s">
        <v>1455</v>
      </c>
      <c r="T68" t="s">
        <v>1456</v>
      </c>
      <c r="U68" t="s">
        <v>1457</v>
      </c>
      <c r="V68" t="s">
        <v>1458</v>
      </c>
      <c r="W68" t="s">
        <v>1459</v>
      </c>
      <c r="X68" t="s">
        <v>1460</v>
      </c>
      <c r="Y68" t="s">
        <v>524</v>
      </c>
      <c r="Z68" t="s">
        <v>1461</v>
      </c>
      <c r="AA68" t="s">
        <v>1462</v>
      </c>
      <c r="AB68" t="s">
        <v>1463</v>
      </c>
      <c r="AC68">
        <v>2</v>
      </c>
      <c r="AD68">
        <v>56</v>
      </c>
      <c r="AE68">
        <v>155</v>
      </c>
      <c r="AF68">
        <v>1.5</v>
      </c>
      <c r="AH68">
        <v>0</v>
      </c>
      <c r="AI68" t="s">
        <v>1464</v>
      </c>
      <c r="AJ68">
        <v>165</v>
      </c>
      <c r="AK68">
        <v>1</v>
      </c>
      <c r="AL68">
        <v>1.5</v>
      </c>
      <c r="AM68" t="s">
        <v>529</v>
      </c>
      <c r="AO68">
        <v>0</v>
      </c>
      <c r="AR68">
        <v>0</v>
      </c>
      <c r="AS68">
        <v>1.5</v>
      </c>
      <c r="AU68" t="s">
        <v>1465</v>
      </c>
      <c r="AW68" t="s">
        <v>1465</v>
      </c>
      <c r="AX68">
        <v>1</v>
      </c>
      <c r="AY68">
        <v>242.5</v>
      </c>
      <c r="AZ68">
        <v>1.5</v>
      </c>
      <c r="BA68" t="s">
        <v>529</v>
      </c>
      <c r="BG68">
        <v>1.5</v>
      </c>
      <c r="BJ68">
        <v>0</v>
      </c>
      <c r="BN68">
        <v>1.5</v>
      </c>
      <c r="BP68" t="s">
        <v>1466</v>
      </c>
      <c r="BQ68">
        <v>89</v>
      </c>
      <c r="BR68">
        <v>2</v>
      </c>
      <c r="BS68" t="s">
        <v>1467</v>
      </c>
      <c r="BT68">
        <v>177</v>
      </c>
      <c r="BU68">
        <v>0.5</v>
      </c>
      <c r="BV68" t="s">
        <v>1467</v>
      </c>
      <c r="BW68">
        <v>354</v>
      </c>
      <c r="BX68">
        <v>1</v>
      </c>
      <c r="BY68" t="s">
        <v>1468</v>
      </c>
      <c r="BZ68">
        <v>300</v>
      </c>
      <c r="CA68">
        <v>400</v>
      </c>
      <c r="CB68" t="s">
        <v>1469</v>
      </c>
      <c r="CC68" t="s">
        <v>1469</v>
      </c>
      <c r="CD68">
        <v>360</v>
      </c>
      <c r="CE68" t="s">
        <v>1470</v>
      </c>
      <c r="CF68">
        <v>15</v>
      </c>
      <c r="CG68" t="s">
        <v>1471</v>
      </c>
      <c r="CH68" t="s">
        <v>1471</v>
      </c>
      <c r="CI68">
        <v>50</v>
      </c>
      <c r="CJ68">
        <v>1050</v>
      </c>
      <c r="CK68">
        <v>2</v>
      </c>
      <c r="CL68">
        <v>1144</v>
      </c>
      <c r="CM68">
        <v>2</v>
      </c>
      <c r="CN68" t="s">
        <v>1472</v>
      </c>
      <c r="CO68" t="s">
        <v>1473</v>
      </c>
      <c r="CP68" t="s">
        <v>1474</v>
      </c>
      <c r="CQ68" t="s">
        <v>540</v>
      </c>
      <c r="CR68" t="s">
        <v>541</v>
      </c>
      <c r="CS68" t="s">
        <v>542</v>
      </c>
      <c r="CT68">
        <v>330</v>
      </c>
      <c r="CU68">
        <v>5</v>
      </c>
      <c r="CV68">
        <v>1.2</v>
      </c>
      <c r="CW68">
        <v>1064</v>
      </c>
      <c r="CX68">
        <v>497</v>
      </c>
      <c r="DD68">
        <v>0</v>
      </c>
      <c r="DE68" t="s">
        <v>543</v>
      </c>
      <c r="DF68">
        <v>485</v>
      </c>
      <c r="DG68">
        <v>3</v>
      </c>
      <c r="DH68">
        <v>1.18</v>
      </c>
      <c r="DI68">
        <v>1062</v>
      </c>
      <c r="DJ68">
        <v>834</v>
      </c>
      <c r="DW68" t="s">
        <v>544</v>
      </c>
      <c r="DX68">
        <v>7.5</v>
      </c>
      <c r="EA68">
        <v>1124.6</v>
      </c>
      <c r="EB68">
        <v>147</v>
      </c>
      <c r="EC68" t="s">
        <v>545</v>
      </c>
      <c r="ED68">
        <v>30</v>
      </c>
      <c r="EE68">
        <v>3</v>
      </c>
      <c r="EG68">
        <v>1155</v>
      </c>
      <c r="EH68">
        <v>135</v>
      </c>
      <c r="EJ68">
        <v>0</v>
      </c>
      <c r="EK68">
        <v>1</v>
      </c>
      <c r="EN68">
        <v>0</v>
      </c>
      <c r="EP68" t="s">
        <v>546</v>
      </c>
      <c r="EQ68">
        <v>100</v>
      </c>
      <c r="ER68">
        <v>3</v>
      </c>
      <c r="ES68">
        <v>5</v>
      </c>
      <c r="ET68">
        <v>1045</v>
      </c>
      <c r="EU68">
        <v>390.4</v>
      </c>
      <c r="EV68">
        <v>408</v>
      </c>
      <c r="EW68" t="s">
        <v>547</v>
      </c>
      <c r="EX68">
        <v>70</v>
      </c>
      <c r="EY68">
        <v>2</v>
      </c>
      <c r="EZ68">
        <v>4.3</v>
      </c>
      <c r="FA68">
        <v>1045</v>
      </c>
      <c r="FB68">
        <v>208.3</v>
      </c>
      <c r="FC68">
        <v>218</v>
      </c>
      <c r="FE68">
        <v>0</v>
      </c>
      <c r="FF68">
        <v>2</v>
      </c>
      <c r="FI68">
        <v>0</v>
      </c>
      <c r="FK68" t="s">
        <v>548</v>
      </c>
      <c r="FL68">
        <v>0.4</v>
      </c>
      <c r="FM68">
        <v>85</v>
      </c>
      <c r="FN68">
        <v>100</v>
      </c>
      <c r="FR68" t="s">
        <v>548</v>
      </c>
      <c r="FS68">
        <v>0.4</v>
      </c>
      <c r="FT68">
        <v>30</v>
      </c>
      <c r="FU68">
        <v>310</v>
      </c>
      <c r="FV68">
        <v>30</v>
      </c>
      <c r="FW68">
        <v>190</v>
      </c>
      <c r="HC68">
        <v>0.1</v>
      </c>
      <c r="HD68">
        <v>3</v>
      </c>
      <c r="HE68">
        <v>3</v>
      </c>
      <c r="HF68">
        <v>3</v>
      </c>
      <c r="HG68">
        <v>3</v>
      </c>
      <c r="HH68">
        <v>3</v>
      </c>
      <c r="HI68">
        <v>155</v>
      </c>
      <c r="HJ68">
        <v>3</v>
      </c>
      <c r="HK68">
        <v>55</v>
      </c>
      <c r="HL68">
        <v>2</v>
      </c>
      <c r="HM68">
        <v>0</v>
      </c>
      <c r="HN68">
        <v>2</v>
      </c>
      <c r="HO68">
        <v>85</v>
      </c>
      <c r="HP68">
        <v>3</v>
      </c>
      <c r="HQ68">
        <v>0</v>
      </c>
      <c r="HR68">
        <v>2</v>
      </c>
      <c r="HS68">
        <v>3147</v>
      </c>
      <c r="HT68">
        <v>90</v>
      </c>
      <c r="HU68">
        <v>180</v>
      </c>
      <c r="HW68">
        <v>0</v>
      </c>
      <c r="HX68">
        <v>380</v>
      </c>
      <c r="HY68">
        <v>0.18</v>
      </c>
      <c r="IA68">
        <v>0.15</v>
      </c>
      <c r="IB68">
        <v>0</v>
      </c>
      <c r="IC68">
        <v>180</v>
      </c>
      <c r="ID68">
        <v>110</v>
      </c>
      <c r="IE68">
        <v>0</v>
      </c>
      <c r="IF68">
        <v>0</v>
      </c>
      <c r="IH68" t="s">
        <v>549</v>
      </c>
      <c r="IO68">
        <v>1</v>
      </c>
      <c r="IP68">
        <v>14</v>
      </c>
      <c r="IQ68">
        <v>0</v>
      </c>
      <c r="IR68">
        <v>1</v>
      </c>
      <c r="IV68">
        <v>1050</v>
      </c>
      <c r="IW68">
        <v>354</v>
      </c>
      <c r="JA68">
        <v>1</v>
      </c>
      <c r="JB68">
        <v>0</v>
      </c>
      <c r="JC68">
        <v>2</v>
      </c>
      <c r="JD68">
        <v>1064</v>
      </c>
      <c r="JE68">
        <v>1062</v>
      </c>
      <c r="JF68">
        <v>0</v>
      </c>
      <c r="JG68">
        <v>1045</v>
      </c>
      <c r="JH68">
        <v>0</v>
      </c>
      <c r="JJ68">
        <v>180</v>
      </c>
      <c r="JK68">
        <v>380</v>
      </c>
      <c r="JN68">
        <v>330</v>
      </c>
      <c r="JO68">
        <v>485</v>
      </c>
      <c r="JP68">
        <v>0</v>
      </c>
      <c r="JQ68">
        <v>0</v>
      </c>
      <c r="JR68">
        <v>310</v>
      </c>
      <c r="JS68">
        <v>155</v>
      </c>
      <c r="JV68">
        <v>8</v>
      </c>
      <c r="JW68" t="s">
        <v>550</v>
      </c>
      <c r="JX68">
        <v>0</v>
      </c>
      <c r="KA68">
        <v>0</v>
      </c>
      <c r="KB68">
        <v>110</v>
      </c>
      <c r="KC68">
        <v>0</v>
      </c>
      <c r="KD68">
        <v>80</v>
      </c>
      <c r="KF68">
        <v>4</v>
      </c>
      <c r="KG68">
        <v>3</v>
      </c>
      <c r="KH68">
        <v>2</v>
      </c>
      <c r="KI68">
        <v>2</v>
      </c>
      <c r="KJ68">
        <v>0</v>
      </c>
      <c r="KK68">
        <v>1.5</v>
      </c>
      <c r="KL68">
        <v>1.5</v>
      </c>
      <c r="KM68">
        <v>0</v>
      </c>
      <c r="KN68">
        <v>0</v>
      </c>
      <c r="KO68">
        <v>0</v>
      </c>
      <c r="KR68">
        <v>50</v>
      </c>
      <c r="KS68">
        <v>60</v>
      </c>
      <c r="KT68">
        <v>0</v>
      </c>
      <c r="LK68">
        <v>480</v>
      </c>
      <c r="LX68">
        <v>340</v>
      </c>
      <c r="PG68">
        <v>1</v>
      </c>
      <c r="PI68" t="s">
        <v>1463</v>
      </c>
      <c r="PJ68" t="s">
        <v>1465</v>
      </c>
      <c r="PL68" t="s">
        <v>1464</v>
      </c>
      <c r="PP68" t="s">
        <v>1466</v>
      </c>
      <c r="PX68">
        <v>56</v>
      </c>
      <c r="PY68">
        <v>56</v>
      </c>
      <c r="PZ68" t="s">
        <v>1463</v>
      </c>
      <c r="QA68">
        <v>4</v>
      </c>
      <c r="QB68">
        <v>1045</v>
      </c>
      <c r="QC68">
        <v>69</v>
      </c>
      <c r="QD68">
        <v>69</v>
      </c>
      <c r="QE68" t="s">
        <v>1464</v>
      </c>
      <c r="QF68">
        <v>1</v>
      </c>
      <c r="QG68">
        <v>1064</v>
      </c>
      <c r="QH68">
        <v>66</v>
      </c>
      <c r="QI68">
        <v>66</v>
      </c>
      <c r="QL68">
        <v>0</v>
      </c>
      <c r="QM68">
        <v>62</v>
      </c>
      <c r="QN68">
        <v>62</v>
      </c>
      <c r="QO68" t="s">
        <v>1465</v>
      </c>
      <c r="QP68">
        <v>1</v>
      </c>
      <c r="QQ68">
        <v>1062</v>
      </c>
      <c r="QW68">
        <v>82</v>
      </c>
      <c r="QX68">
        <v>89</v>
      </c>
      <c r="QY68" t="s">
        <v>1466</v>
      </c>
      <c r="QZ68">
        <v>1</v>
      </c>
      <c r="RA68">
        <v>66</v>
      </c>
      <c r="RB68">
        <v>66</v>
      </c>
      <c r="RE68">
        <v>0</v>
      </c>
      <c r="RF68">
        <v>1</v>
      </c>
      <c r="RJ68">
        <v>2</v>
      </c>
      <c r="RL68">
        <v>2</v>
      </c>
      <c r="RO68">
        <v>467</v>
      </c>
      <c r="RQ68">
        <v>785</v>
      </c>
      <c r="RT68">
        <v>147</v>
      </c>
      <c r="RU68">
        <v>135</v>
      </c>
      <c r="RV68" t="s">
        <v>1475</v>
      </c>
      <c r="RW68" t="s">
        <v>1476</v>
      </c>
      <c r="RX68">
        <v>15</v>
      </c>
      <c r="RY68">
        <v>4</v>
      </c>
      <c r="RZ68" t="s">
        <v>1476</v>
      </c>
      <c r="SA68">
        <v>15</v>
      </c>
      <c r="SC68" t="s">
        <v>1465</v>
      </c>
      <c r="SD68">
        <v>1</v>
      </c>
      <c r="SH68">
        <v>0.995</v>
      </c>
      <c r="SI68">
        <v>0.995</v>
      </c>
      <c r="SJ68">
        <v>0.995</v>
      </c>
      <c r="SK68">
        <v>15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TB68">
        <v>0</v>
      </c>
      <c r="TC68">
        <v>0</v>
      </c>
      <c r="TD68">
        <v>7.5</v>
      </c>
      <c r="TE68" t="s">
        <v>553</v>
      </c>
      <c r="TF68" t="s">
        <v>754</v>
      </c>
      <c r="TG68" t="s">
        <v>555</v>
      </c>
      <c r="TI68" t="s">
        <v>546</v>
      </c>
      <c r="TJ68" t="s">
        <v>547</v>
      </c>
      <c r="TL68" t="s">
        <v>1477</v>
      </c>
      <c r="TM68" t="s">
        <v>513</v>
      </c>
      <c r="TN68">
        <v>0</v>
      </c>
      <c r="TO68" t="s">
        <v>557</v>
      </c>
    </row>
    <row r="69" spans="1:535">
      <c r="A69" t="s">
        <v>1478</v>
      </c>
      <c r="B69" t="s">
        <v>897</v>
      </c>
      <c r="C69" t="s">
        <v>509</v>
      </c>
      <c r="D69" t="s">
        <v>756</v>
      </c>
      <c r="G69" t="s">
        <v>604</v>
      </c>
      <c r="H69" t="s">
        <v>605</v>
      </c>
      <c r="I69" t="s">
        <v>628</v>
      </c>
      <c r="J69" t="s">
        <v>606</v>
      </c>
      <c r="L69" t="s">
        <v>512</v>
      </c>
      <c r="M69" t="s">
        <v>657</v>
      </c>
      <c r="N69" t="s">
        <v>513</v>
      </c>
      <c r="O69" t="s">
        <v>607</v>
      </c>
      <c r="Q69" t="s">
        <v>1479</v>
      </c>
      <c r="R69" t="s">
        <v>567</v>
      </c>
      <c r="S69" t="s">
        <v>1480</v>
      </c>
      <c r="T69" t="s">
        <v>1481</v>
      </c>
      <c r="U69" t="s">
        <v>1482</v>
      </c>
      <c r="V69" t="s">
        <v>1483</v>
      </c>
      <c r="W69" t="s">
        <v>1484</v>
      </c>
      <c r="X69" t="s">
        <v>1460</v>
      </c>
      <c r="Y69" t="s">
        <v>524</v>
      </c>
      <c r="Z69" t="s">
        <v>1485</v>
      </c>
      <c r="AA69" t="s">
        <v>1486</v>
      </c>
      <c r="AB69" t="s">
        <v>1487</v>
      </c>
      <c r="AC69">
        <v>2</v>
      </c>
      <c r="AD69">
        <v>56</v>
      </c>
      <c r="AE69">
        <v>165</v>
      </c>
      <c r="AF69">
        <v>1.5</v>
      </c>
      <c r="AH69">
        <v>0</v>
      </c>
      <c r="AI69" t="s">
        <v>748</v>
      </c>
      <c r="AJ69">
        <v>175</v>
      </c>
      <c r="AK69">
        <v>1</v>
      </c>
      <c r="AL69">
        <v>1.5</v>
      </c>
      <c r="AM69" t="s">
        <v>529</v>
      </c>
      <c r="AO69">
        <v>0</v>
      </c>
      <c r="AR69">
        <v>0</v>
      </c>
      <c r="AS69">
        <v>1.5</v>
      </c>
      <c r="AU69" t="s">
        <v>1488</v>
      </c>
      <c r="AW69" t="s">
        <v>1488</v>
      </c>
      <c r="AX69">
        <v>1</v>
      </c>
      <c r="AY69">
        <v>322.5</v>
      </c>
      <c r="AZ69">
        <v>1.5</v>
      </c>
      <c r="BA69" t="s">
        <v>529</v>
      </c>
      <c r="BG69">
        <v>1.5</v>
      </c>
      <c r="BJ69">
        <v>0</v>
      </c>
      <c r="BN69">
        <v>1.5</v>
      </c>
      <c r="BP69" t="s">
        <v>1489</v>
      </c>
      <c r="BQ69">
        <v>88</v>
      </c>
      <c r="BR69">
        <v>2</v>
      </c>
      <c r="BS69" t="s">
        <v>1490</v>
      </c>
      <c r="BT69">
        <v>187</v>
      </c>
      <c r="BU69">
        <v>0.5</v>
      </c>
      <c r="BV69" t="s">
        <v>1490</v>
      </c>
      <c r="BW69">
        <v>374</v>
      </c>
      <c r="BX69">
        <v>1</v>
      </c>
      <c r="BY69" t="s">
        <v>1491</v>
      </c>
      <c r="BZ69">
        <v>300</v>
      </c>
      <c r="CA69">
        <v>500</v>
      </c>
      <c r="CB69" t="s">
        <v>1492</v>
      </c>
      <c r="CC69" t="s">
        <v>1492</v>
      </c>
      <c r="CD69">
        <v>388</v>
      </c>
      <c r="CE69" t="s">
        <v>1493</v>
      </c>
      <c r="CF69">
        <v>15</v>
      </c>
      <c r="CG69" t="s">
        <v>1494</v>
      </c>
      <c r="CH69" t="s">
        <v>1494</v>
      </c>
      <c r="CI69">
        <v>100</v>
      </c>
      <c r="CJ69">
        <v>1122</v>
      </c>
      <c r="CK69">
        <v>2</v>
      </c>
      <c r="CL69">
        <v>1222</v>
      </c>
      <c r="CM69">
        <v>2</v>
      </c>
      <c r="CN69" t="s">
        <v>1495</v>
      </c>
      <c r="CO69" t="s">
        <v>1473</v>
      </c>
      <c r="CP69" t="s">
        <v>1474</v>
      </c>
      <c r="CQ69" t="s">
        <v>1496</v>
      </c>
      <c r="CR69" t="s">
        <v>541</v>
      </c>
      <c r="CS69" t="s">
        <v>542</v>
      </c>
      <c r="CT69">
        <v>350</v>
      </c>
      <c r="CU69">
        <v>5</v>
      </c>
      <c r="CV69">
        <v>1.2</v>
      </c>
      <c r="CW69">
        <v>1136</v>
      </c>
      <c r="CX69">
        <v>562</v>
      </c>
      <c r="DD69">
        <v>0</v>
      </c>
      <c r="DE69" t="s">
        <v>622</v>
      </c>
      <c r="DF69">
        <v>645</v>
      </c>
      <c r="DG69">
        <v>3</v>
      </c>
      <c r="DH69">
        <v>0.88</v>
      </c>
      <c r="DI69">
        <v>1134</v>
      </c>
      <c r="DJ69">
        <v>886</v>
      </c>
      <c r="DW69" t="s">
        <v>544</v>
      </c>
      <c r="DX69">
        <v>7.5</v>
      </c>
      <c r="EA69">
        <v>1202.7</v>
      </c>
      <c r="EB69">
        <v>157</v>
      </c>
      <c r="EC69" t="s">
        <v>545</v>
      </c>
      <c r="ED69">
        <v>35</v>
      </c>
      <c r="EE69">
        <v>3</v>
      </c>
      <c r="EG69">
        <v>1233</v>
      </c>
      <c r="EH69">
        <v>171</v>
      </c>
      <c r="EJ69">
        <v>0</v>
      </c>
      <c r="EK69">
        <v>1</v>
      </c>
      <c r="EN69">
        <v>0</v>
      </c>
      <c r="EP69" t="s">
        <v>546</v>
      </c>
      <c r="EQ69">
        <v>100</v>
      </c>
      <c r="ER69">
        <v>3</v>
      </c>
      <c r="ES69">
        <v>5.2</v>
      </c>
      <c r="ET69">
        <v>1118</v>
      </c>
      <c r="EU69">
        <v>381.6</v>
      </c>
      <c r="EV69">
        <v>427</v>
      </c>
      <c r="EW69" t="s">
        <v>547</v>
      </c>
      <c r="EX69">
        <v>70</v>
      </c>
      <c r="EY69">
        <v>2</v>
      </c>
      <c r="EZ69">
        <v>4.3</v>
      </c>
      <c r="FA69">
        <v>1118</v>
      </c>
      <c r="FB69">
        <v>209.1</v>
      </c>
      <c r="FC69">
        <v>234</v>
      </c>
      <c r="FE69">
        <v>0</v>
      </c>
      <c r="FF69">
        <v>2</v>
      </c>
      <c r="FI69">
        <v>0</v>
      </c>
      <c r="FK69" t="s">
        <v>548</v>
      </c>
      <c r="FL69">
        <v>0.6</v>
      </c>
      <c r="FM69">
        <v>90</v>
      </c>
      <c r="FN69">
        <v>90</v>
      </c>
      <c r="FR69" t="s">
        <v>548</v>
      </c>
      <c r="FS69">
        <v>0.4</v>
      </c>
      <c r="FT69">
        <v>30</v>
      </c>
      <c r="FU69">
        <v>340</v>
      </c>
      <c r="HC69">
        <v>0.1</v>
      </c>
      <c r="HD69">
        <v>3</v>
      </c>
      <c r="HE69">
        <v>3</v>
      </c>
      <c r="HF69">
        <v>3</v>
      </c>
      <c r="HG69">
        <v>3</v>
      </c>
      <c r="HH69">
        <v>3</v>
      </c>
      <c r="HI69">
        <v>155</v>
      </c>
      <c r="HJ69">
        <v>3</v>
      </c>
      <c r="HK69">
        <v>55</v>
      </c>
      <c r="HL69">
        <v>2</v>
      </c>
      <c r="HM69">
        <v>0</v>
      </c>
      <c r="HN69">
        <v>2</v>
      </c>
      <c r="HO69">
        <v>85</v>
      </c>
      <c r="HP69">
        <v>3</v>
      </c>
      <c r="HQ69">
        <v>0</v>
      </c>
      <c r="HR69">
        <v>2</v>
      </c>
      <c r="HS69">
        <v>3426</v>
      </c>
      <c r="HT69">
        <v>100</v>
      </c>
      <c r="HU69">
        <v>180</v>
      </c>
      <c r="HW69">
        <v>20</v>
      </c>
      <c r="HX69">
        <v>390</v>
      </c>
      <c r="HY69">
        <v>0.18</v>
      </c>
      <c r="IA69">
        <v>0.15</v>
      </c>
      <c r="IB69">
        <v>0</v>
      </c>
      <c r="IC69">
        <v>180</v>
      </c>
      <c r="ID69">
        <v>110</v>
      </c>
      <c r="IE69">
        <v>0</v>
      </c>
      <c r="IF69">
        <v>0</v>
      </c>
      <c r="IH69" t="s">
        <v>549</v>
      </c>
      <c r="IO69">
        <v>1</v>
      </c>
      <c r="IP69">
        <v>15</v>
      </c>
      <c r="IQ69">
        <v>0</v>
      </c>
      <c r="IR69">
        <v>1</v>
      </c>
      <c r="IV69">
        <v>1122</v>
      </c>
      <c r="IW69">
        <v>374</v>
      </c>
      <c r="JA69">
        <v>1</v>
      </c>
      <c r="JB69">
        <v>0</v>
      </c>
      <c r="JC69">
        <v>2</v>
      </c>
      <c r="JD69">
        <v>1136</v>
      </c>
      <c r="JE69">
        <v>1134</v>
      </c>
      <c r="JF69">
        <v>0</v>
      </c>
      <c r="JG69">
        <v>1118</v>
      </c>
      <c r="JH69">
        <v>0</v>
      </c>
      <c r="JJ69">
        <v>180</v>
      </c>
      <c r="JK69">
        <v>390</v>
      </c>
      <c r="JN69">
        <v>350</v>
      </c>
      <c r="JO69">
        <v>645</v>
      </c>
      <c r="JP69">
        <v>0</v>
      </c>
      <c r="JQ69">
        <v>0</v>
      </c>
      <c r="JR69">
        <v>330</v>
      </c>
      <c r="JS69">
        <v>155</v>
      </c>
      <c r="JV69">
        <v>8</v>
      </c>
      <c r="JW69" t="s">
        <v>550</v>
      </c>
      <c r="JX69">
        <v>0</v>
      </c>
      <c r="KA69">
        <v>0</v>
      </c>
      <c r="KB69">
        <v>110</v>
      </c>
      <c r="KC69">
        <v>0</v>
      </c>
      <c r="KD69">
        <v>80</v>
      </c>
      <c r="KF69">
        <v>4</v>
      </c>
      <c r="KG69">
        <v>2</v>
      </c>
      <c r="KH69">
        <v>2</v>
      </c>
      <c r="KI69">
        <v>2</v>
      </c>
      <c r="KJ69">
        <v>0</v>
      </c>
      <c r="KK69">
        <v>1.5</v>
      </c>
      <c r="KL69">
        <v>1.5</v>
      </c>
      <c r="KO69">
        <v>0</v>
      </c>
      <c r="KR69">
        <v>30</v>
      </c>
      <c r="KS69">
        <v>60</v>
      </c>
      <c r="LK69">
        <v>388</v>
      </c>
      <c r="PG69">
        <v>1</v>
      </c>
      <c r="PI69" t="s">
        <v>1487</v>
      </c>
      <c r="PJ69" t="s">
        <v>1488</v>
      </c>
      <c r="PL69" t="s">
        <v>748</v>
      </c>
      <c r="PP69" t="s">
        <v>1489</v>
      </c>
      <c r="PX69">
        <v>56</v>
      </c>
      <c r="PY69">
        <v>56</v>
      </c>
      <c r="PZ69" t="s">
        <v>1487</v>
      </c>
      <c r="QA69">
        <v>2</v>
      </c>
      <c r="QB69">
        <v>1118</v>
      </c>
      <c r="QC69">
        <v>69</v>
      </c>
      <c r="QD69">
        <v>69</v>
      </c>
      <c r="QE69" t="s">
        <v>748</v>
      </c>
      <c r="QF69">
        <v>1</v>
      </c>
      <c r="QG69">
        <v>1136</v>
      </c>
      <c r="QH69">
        <v>66</v>
      </c>
      <c r="QI69">
        <v>66</v>
      </c>
      <c r="QL69">
        <v>0</v>
      </c>
      <c r="QM69">
        <v>62</v>
      </c>
      <c r="QN69">
        <v>62</v>
      </c>
      <c r="QO69" t="s">
        <v>1488</v>
      </c>
      <c r="QP69">
        <v>1</v>
      </c>
      <c r="QQ69">
        <v>1134</v>
      </c>
      <c r="QW69">
        <v>82</v>
      </c>
      <c r="QX69">
        <v>88</v>
      </c>
      <c r="QY69" t="s">
        <v>1489</v>
      </c>
      <c r="QZ69">
        <v>1</v>
      </c>
      <c r="RA69">
        <v>66</v>
      </c>
      <c r="RB69">
        <v>66</v>
      </c>
      <c r="RE69">
        <v>0</v>
      </c>
      <c r="RF69">
        <v>1</v>
      </c>
      <c r="RJ69">
        <v>2</v>
      </c>
      <c r="RL69">
        <v>4</v>
      </c>
      <c r="RO69">
        <v>495</v>
      </c>
      <c r="RQ69">
        <v>781</v>
      </c>
      <c r="RT69">
        <v>157</v>
      </c>
      <c r="RU69">
        <v>171</v>
      </c>
      <c r="RV69" t="s">
        <v>1497</v>
      </c>
      <c r="RW69" t="s">
        <v>1498</v>
      </c>
      <c r="RX69">
        <v>15</v>
      </c>
      <c r="RY69">
        <v>4</v>
      </c>
      <c r="RZ69" t="s">
        <v>1498</v>
      </c>
      <c r="SA69">
        <v>15</v>
      </c>
      <c r="SC69" t="s">
        <v>1488</v>
      </c>
      <c r="SD69">
        <v>1</v>
      </c>
      <c r="SH69">
        <v>0.995</v>
      </c>
      <c r="SI69">
        <v>0.995</v>
      </c>
      <c r="SJ69">
        <v>0.995</v>
      </c>
      <c r="SK69">
        <v>15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TB69">
        <v>0</v>
      </c>
      <c r="TC69">
        <v>0</v>
      </c>
      <c r="TD69">
        <v>7.5</v>
      </c>
      <c r="TE69" t="s">
        <v>553</v>
      </c>
      <c r="TF69" t="s">
        <v>754</v>
      </c>
      <c r="TG69" t="s">
        <v>555</v>
      </c>
      <c r="TI69" t="s">
        <v>546</v>
      </c>
      <c r="TJ69" t="s">
        <v>547</v>
      </c>
      <c r="TL69" t="s">
        <v>1477</v>
      </c>
      <c r="TM69" t="s">
        <v>513</v>
      </c>
      <c r="TN69">
        <v>0</v>
      </c>
      <c r="TO69" t="s">
        <v>557</v>
      </c>
    </row>
    <row r="70" spans="1:535">
      <c r="A70" t="s">
        <v>1499</v>
      </c>
      <c r="B70" t="s">
        <v>897</v>
      </c>
      <c r="C70" t="s">
        <v>509</v>
      </c>
      <c r="D70" t="s">
        <v>1379</v>
      </c>
      <c r="G70" t="s">
        <v>605</v>
      </c>
      <c r="H70" t="s">
        <v>896</v>
      </c>
      <c r="I70" t="s">
        <v>1423</v>
      </c>
      <c r="J70" t="s">
        <v>606</v>
      </c>
      <c r="L70" t="s">
        <v>512</v>
      </c>
      <c r="M70" t="s">
        <v>657</v>
      </c>
      <c r="N70" t="s">
        <v>513</v>
      </c>
      <c r="O70" t="s">
        <v>607</v>
      </c>
      <c r="Q70" t="s">
        <v>1500</v>
      </c>
      <c r="R70" t="s">
        <v>567</v>
      </c>
      <c r="S70" t="s">
        <v>518</v>
      </c>
      <c r="T70" t="s">
        <v>519</v>
      </c>
      <c r="U70" t="s">
        <v>520</v>
      </c>
      <c r="V70" t="s">
        <v>521</v>
      </c>
      <c r="W70" t="s">
        <v>744</v>
      </c>
      <c r="X70" t="s">
        <v>1460</v>
      </c>
      <c r="Y70" t="s">
        <v>524</v>
      </c>
      <c r="Z70" t="s">
        <v>1501</v>
      </c>
      <c r="AA70" t="s">
        <v>1502</v>
      </c>
      <c r="AB70" t="s">
        <v>1503</v>
      </c>
      <c r="AC70">
        <v>2</v>
      </c>
      <c r="AD70">
        <v>56</v>
      </c>
      <c r="AE70">
        <v>171</v>
      </c>
      <c r="AF70">
        <v>1.5</v>
      </c>
      <c r="AH70">
        <v>0</v>
      </c>
      <c r="AI70" t="s">
        <v>1287</v>
      </c>
      <c r="AJ70">
        <v>182.5</v>
      </c>
      <c r="AK70">
        <v>1</v>
      </c>
      <c r="AL70">
        <v>1.5</v>
      </c>
      <c r="AM70" t="s">
        <v>529</v>
      </c>
      <c r="AO70">
        <v>0</v>
      </c>
      <c r="AR70">
        <v>0</v>
      </c>
      <c r="AS70">
        <v>1.5</v>
      </c>
      <c r="AU70" t="s">
        <v>1504</v>
      </c>
      <c r="AW70" t="s">
        <v>1504</v>
      </c>
      <c r="AX70">
        <v>1</v>
      </c>
      <c r="AY70">
        <v>322.5</v>
      </c>
      <c r="AZ70">
        <v>1.5</v>
      </c>
      <c r="BA70" t="s">
        <v>529</v>
      </c>
      <c r="BG70">
        <v>1.5</v>
      </c>
      <c r="BJ70">
        <v>0</v>
      </c>
      <c r="BN70">
        <v>1.5</v>
      </c>
      <c r="BP70" t="s">
        <v>1505</v>
      </c>
      <c r="BQ70">
        <v>89</v>
      </c>
      <c r="BR70">
        <v>2</v>
      </c>
      <c r="BS70" t="s">
        <v>737</v>
      </c>
      <c r="BT70">
        <v>193</v>
      </c>
      <c r="BU70">
        <v>0.5</v>
      </c>
      <c r="BV70" t="s">
        <v>737</v>
      </c>
      <c r="BW70">
        <v>386</v>
      </c>
      <c r="BX70">
        <v>1</v>
      </c>
      <c r="BY70" t="s">
        <v>533</v>
      </c>
      <c r="BZ70">
        <v>300</v>
      </c>
      <c r="CA70">
        <v>520</v>
      </c>
      <c r="CB70" t="s">
        <v>534</v>
      </c>
      <c r="CC70" t="s">
        <v>534</v>
      </c>
      <c r="CD70">
        <v>400</v>
      </c>
      <c r="CE70" t="s">
        <v>535</v>
      </c>
      <c r="CF70">
        <v>15</v>
      </c>
      <c r="CG70" t="s">
        <v>536</v>
      </c>
      <c r="CH70" t="s">
        <v>536</v>
      </c>
      <c r="CI70">
        <v>110</v>
      </c>
      <c r="CJ70">
        <v>1200</v>
      </c>
      <c r="CK70">
        <v>2</v>
      </c>
      <c r="CL70">
        <v>1301</v>
      </c>
      <c r="CM70">
        <v>2</v>
      </c>
      <c r="CN70" t="s">
        <v>537</v>
      </c>
      <c r="CO70" t="s">
        <v>538</v>
      </c>
      <c r="CP70" t="s">
        <v>539</v>
      </c>
      <c r="CQ70" t="s">
        <v>1496</v>
      </c>
      <c r="CR70" t="s">
        <v>541</v>
      </c>
      <c r="CS70" t="s">
        <v>542</v>
      </c>
      <c r="CT70">
        <v>365</v>
      </c>
      <c r="CU70">
        <v>5</v>
      </c>
      <c r="CV70">
        <v>1.2</v>
      </c>
      <c r="CW70">
        <v>1213</v>
      </c>
      <c r="CX70">
        <v>627</v>
      </c>
      <c r="DD70">
        <v>0</v>
      </c>
      <c r="DE70" t="s">
        <v>543</v>
      </c>
      <c r="DF70">
        <v>645</v>
      </c>
      <c r="DG70">
        <v>3</v>
      </c>
      <c r="DH70">
        <v>1.18</v>
      </c>
      <c r="DI70">
        <v>1211</v>
      </c>
      <c r="DJ70">
        <v>1198</v>
      </c>
      <c r="DW70" t="s">
        <v>544</v>
      </c>
      <c r="DX70">
        <v>7.5</v>
      </c>
      <c r="EA70">
        <v>1284.1</v>
      </c>
      <c r="EB70">
        <v>228</v>
      </c>
      <c r="EC70" t="s">
        <v>545</v>
      </c>
      <c r="ED70">
        <v>30</v>
      </c>
      <c r="EE70">
        <v>3</v>
      </c>
      <c r="EG70">
        <v>1325</v>
      </c>
      <c r="EH70">
        <v>156</v>
      </c>
      <c r="EJ70">
        <v>0</v>
      </c>
      <c r="EK70">
        <v>1</v>
      </c>
      <c r="EN70">
        <v>0</v>
      </c>
      <c r="EP70" t="s">
        <v>546</v>
      </c>
      <c r="EQ70">
        <v>95</v>
      </c>
      <c r="ER70">
        <v>3</v>
      </c>
      <c r="ES70">
        <v>5.5</v>
      </c>
      <c r="ET70">
        <v>1198</v>
      </c>
      <c r="EU70">
        <v>374.4</v>
      </c>
      <c r="EV70">
        <v>449</v>
      </c>
      <c r="EW70" t="s">
        <v>547</v>
      </c>
      <c r="EX70">
        <v>70</v>
      </c>
      <c r="EY70">
        <v>2</v>
      </c>
      <c r="EZ70">
        <v>4.5</v>
      </c>
      <c r="FA70">
        <v>1198</v>
      </c>
      <c r="FB70">
        <v>216.8</v>
      </c>
      <c r="FC70">
        <v>260</v>
      </c>
      <c r="FE70">
        <v>0</v>
      </c>
      <c r="FF70">
        <v>2</v>
      </c>
      <c r="FI70">
        <v>0</v>
      </c>
      <c r="FK70" t="s">
        <v>548</v>
      </c>
      <c r="FL70">
        <v>0.4</v>
      </c>
      <c r="FM70">
        <v>85</v>
      </c>
      <c r="FN70">
        <v>110</v>
      </c>
      <c r="FR70" t="s">
        <v>548</v>
      </c>
      <c r="FS70">
        <v>0.6</v>
      </c>
      <c r="FT70">
        <v>30</v>
      </c>
      <c r="FU70">
        <v>350</v>
      </c>
      <c r="HC70">
        <v>0.1</v>
      </c>
      <c r="HD70">
        <v>3</v>
      </c>
      <c r="HE70">
        <v>3</v>
      </c>
      <c r="HF70">
        <v>3</v>
      </c>
      <c r="HG70">
        <v>3</v>
      </c>
      <c r="HH70">
        <v>3</v>
      </c>
      <c r="HI70">
        <v>150</v>
      </c>
      <c r="HJ70">
        <v>3</v>
      </c>
      <c r="HK70">
        <v>55</v>
      </c>
      <c r="HL70">
        <v>2</v>
      </c>
      <c r="HM70">
        <v>0</v>
      </c>
      <c r="HN70">
        <v>2</v>
      </c>
      <c r="HO70">
        <v>80</v>
      </c>
      <c r="HP70">
        <v>3</v>
      </c>
      <c r="HQ70">
        <v>0</v>
      </c>
      <c r="HR70">
        <v>2</v>
      </c>
      <c r="HS70">
        <v>4011</v>
      </c>
      <c r="HT70">
        <v>120</v>
      </c>
      <c r="HU70">
        <v>180</v>
      </c>
      <c r="HW70">
        <v>20</v>
      </c>
      <c r="HX70">
        <v>405</v>
      </c>
      <c r="HY70">
        <v>0.18</v>
      </c>
      <c r="IA70">
        <v>0.15</v>
      </c>
      <c r="IB70">
        <v>0</v>
      </c>
      <c r="IC70">
        <v>180</v>
      </c>
      <c r="ID70">
        <v>110</v>
      </c>
      <c r="IE70">
        <v>0</v>
      </c>
      <c r="IF70">
        <v>0</v>
      </c>
      <c r="IH70" t="s">
        <v>549</v>
      </c>
      <c r="IO70">
        <v>1</v>
      </c>
      <c r="IP70">
        <v>16</v>
      </c>
      <c r="IQ70">
        <v>0</v>
      </c>
      <c r="IR70">
        <v>1</v>
      </c>
      <c r="IS70">
        <v>0</v>
      </c>
      <c r="IT70">
        <v>0</v>
      </c>
      <c r="IU70">
        <v>0</v>
      </c>
      <c r="IV70">
        <v>1200</v>
      </c>
      <c r="IW70">
        <v>386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2</v>
      </c>
      <c r="JD70">
        <v>1213</v>
      </c>
      <c r="JE70">
        <v>1211</v>
      </c>
      <c r="JF70">
        <v>0</v>
      </c>
      <c r="JG70">
        <v>1198</v>
      </c>
      <c r="JH70">
        <v>0</v>
      </c>
      <c r="JI70">
        <v>0</v>
      </c>
      <c r="JJ70">
        <v>180</v>
      </c>
      <c r="JK70">
        <v>405</v>
      </c>
      <c r="JL70">
        <v>0</v>
      </c>
      <c r="JM70">
        <v>0</v>
      </c>
      <c r="JN70">
        <v>365</v>
      </c>
      <c r="JO70">
        <v>645</v>
      </c>
      <c r="JP70">
        <v>0</v>
      </c>
      <c r="JQ70">
        <v>0</v>
      </c>
      <c r="JR70">
        <v>342</v>
      </c>
      <c r="JS70">
        <v>150</v>
      </c>
      <c r="JT70">
        <v>0</v>
      </c>
      <c r="JU70">
        <v>0</v>
      </c>
      <c r="JV70">
        <v>8</v>
      </c>
      <c r="JW70" t="s">
        <v>550</v>
      </c>
      <c r="JX70">
        <v>0</v>
      </c>
      <c r="JY70">
        <v>0</v>
      </c>
      <c r="JZ70">
        <v>0</v>
      </c>
      <c r="KA70">
        <v>0</v>
      </c>
      <c r="KB70">
        <v>110</v>
      </c>
      <c r="KC70">
        <v>0</v>
      </c>
      <c r="KD70">
        <v>80</v>
      </c>
      <c r="KE70">
        <v>0</v>
      </c>
      <c r="KF70">
        <v>4</v>
      </c>
      <c r="KG70">
        <v>2</v>
      </c>
      <c r="KH70">
        <v>2</v>
      </c>
      <c r="KI70">
        <v>2</v>
      </c>
      <c r="KJ70">
        <v>0</v>
      </c>
      <c r="KK70">
        <v>1.5</v>
      </c>
      <c r="KL70">
        <v>1.5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30</v>
      </c>
      <c r="KS70">
        <v>60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480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1</v>
      </c>
      <c r="PI70" t="s">
        <v>1503</v>
      </c>
      <c r="PJ70" t="s">
        <v>1504</v>
      </c>
      <c r="PL70" t="s">
        <v>1287</v>
      </c>
      <c r="PP70" t="s">
        <v>1505</v>
      </c>
      <c r="PX70">
        <v>56</v>
      </c>
      <c r="PY70">
        <v>56</v>
      </c>
      <c r="PZ70" t="s">
        <v>1503</v>
      </c>
      <c r="QA70">
        <v>2</v>
      </c>
      <c r="QB70">
        <v>1198</v>
      </c>
      <c r="QC70">
        <v>69</v>
      </c>
      <c r="QD70">
        <v>69</v>
      </c>
      <c r="QE70" t="s">
        <v>1287</v>
      </c>
      <c r="QF70">
        <v>1</v>
      </c>
      <c r="QG70">
        <v>1213</v>
      </c>
      <c r="QH70">
        <v>66</v>
      </c>
      <c r="QI70">
        <v>66</v>
      </c>
      <c r="QL70">
        <v>0</v>
      </c>
      <c r="QM70">
        <v>62</v>
      </c>
      <c r="QN70">
        <v>62</v>
      </c>
      <c r="QO70" t="s">
        <v>1504</v>
      </c>
      <c r="QP70">
        <v>1</v>
      </c>
      <c r="QQ70">
        <v>1211</v>
      </c>
      <c r="QW70">
        <v>82</v>
      </c>
      <c r="QX70">
        <v>89</v>
      </c>
      <c r="QY70" t="s">
        <v>1505</v>
      </c>
      <c r="QZ70">
        <v>1</v>
      </c>
      <c r="RA70">
        <v>66</v>
      </c>
      <c r="RB70">
        <v>66</v>
      </c>
      <c r="RE70">
        <v>0</v>
      </c>
      <c r="RF70">
        <v>1</v>
      </c>
      <c r="RJ70">
        <v>1</v>
      </c>
      <c r="RL70">
        <v>2</v>
      </c>
      <c r="RO70">
        <v>517</v>
      </c>
      <c r="RQ70">
        <v>989</v>
      </c>
      <c r="RT70">
        <v>228</v>
      </c>
      <c r="RU70">
        <v>156</v>
      </c>
      <c r="RV70" t="s">
        <v>739</v>
      </c>
      <c r="RW70" t="s">
        <v>552</v>
      </c>
      <c r="RX70">
        <v>15</v>
      </c>
      <c r="RY70">
        <v>4</v>
      </c>
      <c r="RZ70" t="s">
        <v>552</v>
      </c>
      <c r="SA70">
        <v>15</v>
      </c>
      <c r="SC70" t="s">
        <v>1504</v>
      </c>
      <c r="SD70">
        <v>1</v>
      </c>
      <c r="SH70">
        <v>0.995</v>
      </c>
      <c r="SI70">
        <v>0.995</v>
      </c>
      <c r="SJ70">
        <v>0.995</v>
      </c>
      <c r="SK70">
        <v>15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TB70">
        <v>0</v>
      </c>
      <c r="TC70">
        <v>0</v>
      </c>
      <c r="TD70">
        <v>7.5</v>
      </c>
      <c r="TE70" t="s">
        <v>553</v>
      </c>
      <c r="TF70" t="s">
        <v>624</v>
      </c>
      <c r="TG70" t="s">
        <v>555</v>
      </c>
      <c r="TI70" t="s">
        <v>546</v>
      </c>
      <c r="TJ70" t="s">
        <v>547</v>
      </c>
      <c r="TL70" t="s">
        <v>1477</v>
      </c>
      <c r="TM70" t="s">
        <v>513</v>
      </c>
      <c r="TN70">
        <v>0</v>
      </c>
      <c r="TO70" t="s">
        <v>557</v>
      </c>
    </row>
    <row r="71" spans="1:535">
      <c r="A71" t="s">
        <v>1506</v>
      </c>
      <c r="B71" t="s">
        <v>897</v>
      </c>
      <c r="C71" t="s">
        <v>509</v>
      </c>
      <c r="D71" t="s">
        <v>1013</v>
      </c>
      <c r="G71" t="s">
        <v>604</v>
      </c>
      <c r="H71" t="s">
        <v>605</v>
      </c>
      <c r="I71" t="s">
        <v>628</v>
      </c>
      <c r="J71" t="s">
        <v>606</v>
      </c>
      <c r="L71" t="s">
        <v>512</v>
      </c>
      <c r="M71" t="s">
        <v>657</v>
      </c>
      <c r="N71" t="s">
        <v>513</v>
      </c>
      <c r="O71" t="s">
        <v>607</v>
      </c>
      <c r="Q71" t="s">
        <v>1507</v>
      </c>
      <c r="R71" t="s">
        <v>567</v>
      </c>
      <c r="S71" t="s">
        <v>631</v>
      </c>
      <c r="T71" t="s">
        <v>632</v>
      </c>
      <c r="U71" t="s">
        <v>633</v>
      </c>
      <c r="V71" t="s">
        <v>634</v>
      </c>
      <c r="W71" t="s">
        <v>744</v>
      </c>
      <c r="X71" t="s">
        <v>1460</v>
      </c>
      <c r="Y71" t="s">
        <v>524</v>
      </c>
      <c r="Z71" t="s">
        <v>1508</v>
      </c>
      <c r="AA71" t="s">
        <v>1509</v>
      </c>
      <c r="AB71" t="s">
        <v>1510</v>
      </c>
      <c r="AC71">
        <v>2</v>
      </c>
      <c r="AD71">
        <v>56</v>
      </c>
      <c r="AE71">
        <v>173</v>
      </c>
      <c r="AF71">
        <v>1.5</v>
      </c>
      <c r="AH71">
        <v>0</v>
      </c>
      <c r="AI71" t="s">
        <v>719</v>
      </c>
      <c r="AJ71">
        <v>185</v>
      </c>
      <c r="AK71">
        <v>1</v>
      </c>
      <c r="AL71">
        <v>1.5</v>
      </c>
      <c r="AM71" t="s">
        <v>529</v>
      </c>
      <c r="AO71">
        <v>0</v>
      </c>
      <c r="AR71">
        <v>0</v>
      </c>
      <c r="AS71">
        <v>1.5</v>
      </c>
      <c r="AU71" t="s">
        <v>1511</v>
      </c>
      <c r="AW71" t="s">
        <v>1511</v>
      </c>
      <c r="AX71">
        <v>1</v>
      </c>
      <c r="AY71">
        <v>322.5</v>
      </c>
      <c r="AZ71">
        <v>1.5</v>
      </c>
      <c r="BA71" t="s">
        <v>529</v>
      </c>
      <c r="BG71">
        <v>1.5</v>
      </c>
      <c r="BJ71">
        <v>0</v>
      </c>
      <c r="BN71">
        <v>1.5</v>
      </c>
      <c r="BP71" t="s">
        <v>1512</v>
      </c>
      <c r="BQ71">
        <v>88</v>
      </c>
      <c r="BR71">
        <v>2</v>
      </c>
      <c r="BS71" t="s">
        <v>1513</v>
      </c>
      <c r="BT71">
        <v>195</v>
      </c>
      <c r="BU71">
        <v>0.5</v>
      </c>
      <c r="BV71" t="s">
        <v>1513</v>
      </c>
      <c r="BW71">
        <v>390</v>
      </c>
      <c r="BX71">
        <v>1</v>
      </c>
      <c r="BY71" t="s">
        <v>643</v>
      </c>
      <c r="BZ71">
        <v>300</v>
      </c>
      <c r="CA71">
        <v>460</v>
      </c>
      <c r="CB71" t="s">
        <v>644</v>
      </c>
      <c r="CC71" t="s">
        <v>644</v>
      </c>
      <c r="CD71">
        <v>404</v>
      </c>
      <c r="CE71" t="s">
        <v>544</v>
      </c>
      <c r="CF71">
        <v>15</v>
      </c>
      <c r="CG71" t="s">
        <v>645</v>
      </c>
      <c r="CH71" t="s">
        <v>645</v>
      </c>
      <c r="CI71">
        <v>80</v>
      </c>
      <c r="CJ71">
        <v>1301</v>
      </c>
      <c r="CK71">
        <v>2</v>
      </c>
      <c r="CL71">
        <v>1395</v>
      </c>
      <c r="CM71">
        <v>2</v>
      </c>
      <c r="CN71" t="s">
        <v>646</v>
      </c>
      <c r="CO71" t="s">
        <v>647</v>
      </c>
      <c r="CP71" t="s">
        <v>648</v>
      </c>
      <c r="CQ71" t="s">
        <v>1496</v>
      </c>
      <c r="CR71" t="s">
        <v>541</v>
      </c>
      <c r="CS71" t="s">
        <v>542</v>
      </c>
      <c r="CT71">
        <v>370</v>
      </c>
      <c r="CU71">
        <v>5</v>
      </c>
      <c r="CV71">
        <v>1.2</v>
      </c>
      <c r="CW71">
        <v>1314</v>
      </c>
      <c r="CX71">
        <v>689</v>
      </c>
      <c r="DD71">
        <v>0</v>
      </c>
      <c r="DE71" t="s">
        <v>543</v>
      </c>
      <c r="DF71">
        <v>645</v>
      </c>
      <c r="DG71">
        <v>3</v>
      </c>
      <c r="DH71">
        <v>1.18</v>
      </c>
      <c r="DI71">
        <v>1312</v>
      </c>
      <c r="DJ71">
        <v>1274</v>
      </c>
      <c r="DW71" t="s">
        <v>544</v>
      </c>
      <c r="DX71">
        <v>7.5</v>
      </c>
      <c r="EA71">
        <v>1379.8</v>
      </c>
      <c r="EB71">
        <v>244</v>
      </c>
      <c r="EC71" t="s">
        <v>545</v>
      </c>
      <c r="ED71">
        <v>35</v>
      </c>
      <c r="EE71">
        <v>3</v>
      </c>
      <c r="EG71">
        <v>1421</v>
      </c>
      <c r="EH71">
        <v>199</v>
      </c>
      <c r="EJ71">
        <v>0</v>
      </c>
      <c r="EK71">
        <v>1</v>
      </c>
      <c r="EN71">
        <v>0</v>
      </c>
      <c r="EP71" t="s">
        <v>546</v>
      </c>
      <c r="EQ71">
        <v>80</v>
      </c>
      <c r="ER71">
        <v>3</v>
      </c>
      <c r="ES71">
        <v>4.5</v>
      </c>
      <c r="ET71">
        <v>1292</v>
      </c>
      <c r="EU71">
        <v>306.1</v>
      </c>
      <c r="EV71">
        <v>395</v>
      </c>
      <c r="EW71" t="s">
        <v>547</v>
      </c>
      <c r="EX71">
        <v>70</v>
      </c>
      <c r="EY71">
        <v>2</v>
      </c>
      <c r="EZ71">
        <v>4.5</v>
      </c>
      <c r="FA71">
        <v>1292</v>
      </c>
      <c r="FB71">
        <v>222.5</v>
      </c>
      <c r="FC71">
        <v>287</v>
      </c>
      <c r="FE71">
        <v>0</v>
      </c>
      <c r="FF71">
        <v>2</v>
      </c>
      <c r="FI71">
        <v>0</v>
      </c>
      <c r="FK71" t="s">
        <v>548</v>
      </c>
      <c r="FL71">
        <v>0.4</v>
      </c>
      <c r="FM71">
        <v>80</v>
      </c>
      <c r="FN71">
        <v>120</v>
      </c>
      <c r="FR71" t="s">
        <v>548</v>
      </c>
      <c r="FS71">
        <v>0.4</v>
      </c>
      <c r="FT71">
        <v>30</v>
      </c>
      <c r="FU71">
        <v>350</v>
      </c>
      <c r="HC71">
        <v>0.1</v>
      </c>
      <c r="HD71">
        <v>3</v>
      </c>
      <c r="HE71">
        <v>3</v>
      </c>
      <c r="HF71">
        <v>3</v>
      </c>
      <c r="HG71">
        <v>3</v>
      </c>
      <c r="HH71">
        <v>3</v>
      </c>
      <c r="HI71">
        <v>135</v>
      </c>
      <c r="HJ71">
        <v>3</v>
      </c>
      <c r="HK71">
        <v>55</v>
      </c>
      <c r="HL71">
        <v>2</v>
      </c>
      <c r="HM71">
        <v>0</v>
      </c>
      <c r="HN71">
        <v>2</v>
      </c>
      <c r="HO71">
        <v>65</v>
      </c>
      <c r="HP71">
        <v>3</v>
      </c>
      <c r="HQ71">
        <v>0</v>
      </c>
      <c r="HR71">
        <v>2</v>
      </c>
      <c r="HS71">
        <v>4213</v>
      </c>
      <c r="HT71">
        <v>130</v>
      </c>
      <c r="HU71">
        <v>180</v>
      </c>
      <c r="HW71">
        <v>20</v>
      </c>
      <c r="HX71">
        <v>402</v>
      </c>
      <c r="HY71">
        <v>0.18</v>
      </c>
      <c r="IA71">
        <v>0.15</v>
      </c>
      <c r="IB71">
        <v>0</v>
      </c>
      <c r="IC71">
        <v>180</v>
      </c>
      <c r="ID71">
        <v>110</v>
      </c>
      <c r="IE71">
        <v>0</v>
      </c>
      <c r="IF71">
        <v>0</v>
      </c>
      <c r="IH71" t="s">
        <v>549</v>
      </c>
      <c r="IO71">
        <v>1</v>
      </c>
      <c r="IP71">
        <v>17</v>
      </c>
      <c r="IQ71">
        <v>0</v>
      </c>
      <c r="IR71">
        <v>1</v>
      </c>
      <c r="IV71">
        <v>1301</v>
      </c>
      <c r="IW71">
        <v>390</v>
      </c>
      <c r="JA71">
        <v>1</v>
      </c>
      <c r="JB71">
        <v>0</v>
      </c>
      <c r="JC71">
        <v>2</v>
      </c>
      <c r="JD71">
        <v>1314</v>
      </c>
      <c r="JE71">
        <v>1312</v>
      </c>
      <c r="JF71">
        <v>0</v>
      </c>
      <c r="JG71">
        <v>1292</v>
      </c>
      <c r="JH71">
        <v>0</v>
      </c>
      <c r="JJ71">
        <v>180</v>
      </c>
      <c r="JK71">
        <v>402</v>
      </c>
      <c r="JN71">
        <v>370</v>
      </c>
      <c r="JO71">
        <v>645</v>
      </c>
      <c r="JP71">
        <v>0</v>
      </c>
      <c r="JQ71">
        <v>0</v>
      </c>
      <c r="JR71">
        <v>346</v>
      </c>
      <c r="JS71">
        <v>135</v>
      </c>
      <c r="JV71">
        <v>8</v>
      </c>
      <c r="JW71" t="s">
        <v>550</v>
      </c>
      <c r="JX71">
        <v>0</v>
      </c>
      <c r="KA71">
        <v>0</v>
      </c>
      <c r="KB71">
        <v>110</v>
      </c>
      <c r="KC71">
        <v>0</v>
      </c>
      <c r="KD71">
        <v>80</v>
      </c>
      <c r="KF71">
        <v>4</v>
      </c>
      <c r="KG71">
        <v>2</v>
      </c>
      <c r="KH71">
        <v>2</v>
      </c>
      <c r="KI71">
        <v>2</v>
      </c>
      <c r="KJ71">
        <v>0</v>
      </c>
      <c r="KK71">
        <v>1.5</v>
      </c>
      <c r="KL71">
        <v>1.5</v>
      </c>
      <c r="KM71">
        <v>0</v>
      </c>
      <c r="KN71">
        <v>0</v>
      </c>
      <c r="KO71">
        <v>0</v>
      </c>
      <c r="KR71">
        <v>50</v>
      </c>
      <c r="KS71">
        <v>60</v>
      </c>
      <c r="KT71">
        <v>0</v>
      </c>
      <c r="LK71">
        <v>480</v>
      </c>
      <c r="PG71">
        <v>1</v>
      </c>
      <c r="PI71" t="s">
        <v>1510</v>
      </c>
      <c r="PJ71" t="s">
        <v>1511</v>
      </c>
      <c r="PL71" t="s">
        <v>719</v>
      </c>
      <c r="PP71" t="s">
        <v>1512</v>
      </c>
      <c r="PX71">
        <v>56</v>
      </c>
      <c r="PY71">
        <v>56</v>
      </c>
      <c r="PZ71" t="s">
        <v>1510</v>
      </c>
      <c r="QA71">
        <v>2</v>
      </c>
      <c r="QB71">
        <v>1292</v>
      </c>
      <c r="QC71">
        <v>69</v>
      </c>
      <c r="QD71">
        <v>69</v>
      </c>
      <c r="QE71" t="s">
        <v>719</v>
      </c>
      <c r="QF71">
        <v>1</v>
      </c>
      <c r="QG71">
        <v>1314</v>
      </c>
      <c r="QH71">
        <v>66</v>
      </c>
      <c r="QI71">
        <v>66</v>
      </c>
      <c r="QL71">
        <v>0</v>
      </c>
      <c r="QM71">
        <v>62</v>
      </c>
      <c r="QN71">
        <v>62</v>
      </c>
      <c r="QO71" t="s">
        <v>1511</v>
      </c>
      <c r="QP71">
        <v>1</v>
      </c>
      <c r="QQ71">
        <v>1312</v>
      </c>
      <c r="QW71">
        <v>82</v>
      </c>
      <c r="QX71">
        <v>88</v>
      </c>
      <c r="QY71" t="s">
        <v>1512</v>
      </c>
      <c r="QZ71">
        <v>1</v>
      </c>
      <c r="RA71">
        <v>66</v>
      </c>
      <c r="RB71">
        <v>66</v>
      </c>
      <c r="RE71">
        <v>0</v>
      </c>
      <c r="RF71">
        <v>1</v>
      </c>
      <c r="RJ71">
        <v>1</v>
      </c>
      <c r="RL71">
        <v>2</v>
      </c>
      <c r="RO71">
        <v>524</v>
      </c>
      <c r="RQ71">
        <v>971</v>
      </c>
      <c r="RT71">
        <v>244</v>
      </c>
      <c r="RU71">
        <v>199</v>
      </c>
      <c r="RV71" t="s">
        <v>1514</v>
      </c>
      <c r="RW71" t="s">
        <v>653</v>
      </c>
      <c r="RX71">
        <v>15</v>
      </c>
      <c r="RY71">
        <v>4</v>
      </c>
      <c r="RZ71" t="s">
        <v>653</v>
      </c>
      <c r="SA71">
        <v>15</v>
      </c>
      <c r="SC71" t="s">
        <v>1511</v>
      </c>
      <c r="SD71">
        <v>1</v>
      </c>
      <c r="SH71">
        <v>0.995</v>
      </c>
      <c r="SI71">
        <v>0.995</v>
      </c>
      <c r="SJ71">
        <v>0.995</v>
      </c>
      <c r="SK71">
        <v>15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TB71">
        <v>0</v>
      </c>
      <c r="TC71">
        <v>0</v>
      </c>
      <c r="TD71">
        <v>7.5</v>
      </c>
      <c r="TE71" t="s">
        <v>553</v>
      </c>
      <c r="TF71" t="s">
        <v>624</v>
      </c>
      <c r="TG71" t="s">
        <v>555</v>
      </c>
      <c r="TI71" t="s">
        <v>546</v>
      </c>
      <c r="TJ71" t="s">
        <v>547</v>
      </c>
      <c r="TL71" t="s">
        <v>1477</v>
      </c>
      <c r="TM71" t="s">
        <v>513</v>
      </c>
      <c r="TN71">
        <v>0</v>
      </c>
      <c r="TO71" t="s">
        <v>557</v>
      </c>
    </row>
    <row r="72" spans="1:535">
      <c r="A72" t="s">
        <v>1515</v>
      </c>
      <c r="B72" t="s">
        <v>657</v>
      </c>
      <c r="C72" t="s">
        <v>509</v>
      </c>
      <c r="D72" t="s">
        <v>1087</v>
      </c>
      <c r="G72" t="s">
        <v>627</v>
      </c>
      <c r="H72" t="s">
        <v>604</v>
      </c>
      <c r="I72" t="s">
        <v>628</v>
      </c>
      <c r="J72" t="s">
        <v>606</v>
      </c>
      <c r="L72" t="s">
        <v>512</v>
      </c>
      <c r="M72" t="s">
        <v>559</v>
      </c>
      <c r="N72" t="s">
        <v>513</v>
      </c>
      <c r="O72" t="s">
        <v>607</v>
      </c>
      <c r="Q72" t="s">
        <v>1516</v>
      </c>
      <c r="R72" t="s">
        <v>567</v>
      </c>
      <c r="S72" t="s">
        <v>1159</v>
      </c>
      <c r="T72" t="s">
        <v>1160</v>
      </c>
      <c r="U72" t="s">
        <v>662</v>
      </c>
      <c r="V72" t="s">
        <v>663</v>
      </c>
      <c r="W72" t="s">
        <v>1517</v>
      </c>
      <c r="X72" t="s">
        <v>1460</v>
      </c>
      <c r="Y72" t="s">
        <v>574</v>
      </c>
      <c r="Z72" t="s">
        <v>1518</v>
      </c>
      <c r="AA72" t="s">
        <v>1519</v>
      </c>
      <c r="AB72" t="s">
        <v>1520</v>
      </c>
      <c r="AC72">
        <v>2</v>
      </c>
      <c r="AD72">
        <v>56</v>
      </c>
      <c r="AE72">
        <v>282</v>
      </c>
      <c r="AF72">
        <v>1.5</v>
      </c>
      <c r="AH72">
        <v>0</v>
      </c>
      <c r="AI72" t="s">
        <v>1521</v>
      </c>
      <c r="AJ72">
        <v>260</v>
      </c>
      <c r="AK72">
        <v>1</v>
      </c>
      <c r="AL72">
        <v>1.5</v>
      </c>
      <c r="AM72" t="s">
        <v>579</v>
      </c>
      <c r="AN72" t="s">
        <v>795</v>
      </c>
      <c r="AO72">
        <v>2</v>
      </c>
      <c r="AP72" t="s">
        <v>581</v>
      </c>
      <c r="AQ72" t="s">
        <v>582</v>
      </c>
      <c r="AR72">
        <v>310</v>
      </c>
      <c r="AS72">
        <v>1.5</v>
      </c>
      <c r="AT72" t="s">
        <v>583</v>
      </c>
      <c r="AU72" t="s">
        <v>1522</v>
      </c>
      <c r="AW72" t="s">
        <v>1522</v>
      </c>
      <c r="AX72">
        <v>1</v>
      </c>
      <c r="AY72">
        <v>377.5</v>
      </c>
      <c r="AZ72">
        <v>1.5</v>
      </c>
      <c r="BA72" t="s">
        <v>579</v>
      </c>
      <c r="BB72" t="s">
        <v>1523</v>
      </c>
      <c r="BD72" t="s">
        <v>1523</v>
      </c>
      <c r="BE72">
        <v>1</v>
      </c>
      <c r="BF72">
        <v>360</v>
      </c>
      <c r="BG72">
        <v>1.5</v>
      </c>
      <c r="BI72" t="s">
        <v>1524</v>
      </c>
      <c r="BJ72">
        <v>0</v>
      </c>
      <c r="BK72" t="s">
        <v>581</v>
      </c>
      <c r="BL72" t="s">
        <v>1525</v>
      </c>
      <c r="BM72">
        <v>300</v>
      </c>
      <c r="BN72">
        <v>1.5</v>
      </c>
      <c r="BP72" t="s">
        <v>1526</v>
      </c>
      <c r="BQ72">
        <v>88</v>
      </c>
      <c r="BR72">
        <v>2</v>
      </c>
      <c r="BS72" t="s">
        <v>1169</v>
      </c>
      <c r="BT72">
        <v>279</v>
      </c>
      <c r="BU72">
        <v>0.5</v>
      </c>
      <c r="BV72" t="s">
        <v>1169</v>
      </c>
      <c r="BW72">
        <v>558</v>
      </c>
      <c r="BX72">
        <v>1</v>
      </c>
      <c r="BY72" t="s">
        <v>643</v>
      </c>
      <c r="BZ72">
        <v>470</v>
      </c>
      <c r="CA72">
        <v>590</v>
      </c>
      <c r="CB72" t="s">
        <v>672</v>
      </c>
      <c r="CC72" t="s">
        <v>997</v>
      </c>
      <c r="CD72">
        <v>630</v>
      </c>
      <c r="CE72" t="s">
        <v>673</v>
      </c>
      <c r="CF72">
        <v>15</v>
      </c>
      <c r="CG72" t="s">
        <v>1265</v>
      </c>
      <c r="CH72" t="s">
        <v>1265</v>
      </c>
      <c r="CI72">
        <v>60</v>
      </c>
      <c r="CJ72">
        <v>1381</v>
      </c>
      <c r="CK72">
        <v>2</v>
      </c>
      <c r="CL72">
        <v>1475</v>
      </c>
      <c r="CM72">
        <v>2</v>
      </c>
      <c r="CN72" t="s">
        <v>675</v>
      </c>
      <c r="CO72" t="s">
        <v>676</v>
      </c>
      <c r="CP72" t="s">
        <v>595</v>
      </c>
      <c r="CQ72" t="s">
        <v>1527</v>
      </c>
      <c r="CR72" t="s">
        <v>541</v>
      </c>
      <c r="CS72" t="s">
        <v>542</v>
      </c>
      <c r="CT72">
        <v>520</v>
      </c>
      <c r="CU72">
        <v>5</v>
      </c>
      <c r="CV72">
        <v>1.2</v>
      </c>
      <c r="CW72">
        <v>1398</v>
      </c>
      <c r="CX72">
        <v>1030</v>
      </c>
      <c r="CY72" t="s">
        <v>705</v>
      </c>
      <c r="CZ72">
        <v>60</v>
      </c>
      <c r="DA72">
        <v>3</v>
      </c>
      <c r="DB72">
        <v>1</v>
      </c>
      <c r="DC72">
        <v>1398</v>
      </c>
      <c r="DD72">
        <v>87</v>
      </c>
      <c r="DE72" t="s">
        <v>543</v>
      </c>
      <c r="DF72">
        <v>755</v>
      </c>
      <c r="DG72">
        <v>3</v>
      </c>
      <c r="DH72">
        <v>1.18</v>
      </c>
      <c r="DI72">
        <v>1391</v>
      </c>
      <c r="DJ72">
        <v>1675</v>
      </c>
      <c r="DK72" t="s">
        <v>543</v>
      </c>
      <c r="DL72">
        <v>720</v>
      </c>
      <c r="DM72">
        <v>3</v>
      </c>
      <c r="DN72">
        <v>1.18</v>
      </c>
      <c r="DO72">
        <v>1401</v>
      </c>
      <c r="DP72">
        <v>1454</v>
      </c>
      <c r="DQ72" t="s">
        <v>1528</v>
      </c>
      <c r="DR72">
        <v>50</v>
      </c>
      <c r="DS72">
        <v>3</v>
      </c>
      <c r="DT72">
        <v>0.96</v>
      </c>
      <c r="DU72">
        <v>1411</v>
      </c>
      <c r="DV72">
        <v>73</v>
      </c>
      <c r="DW72" t="s">
        <v>544</v>
      </c>
      <c r="DX72">
        <v>9.4</v>
      </c>
      <c r="EA72">
        <v>1465.9</v>
      </c>
      <c r="EB72">
        <v>431</v>
      </c>
      <c r="EC72" t="s">
        <v>545</v>
      </c>
      <c r="ED72">
        <v>45</v>
      </c>
      <c r="EE72">
        <v>3</v>
      </c>
      <c r="EG72">
        <v>1517</v>
      </c>
      <c r="EH72">
        <v>338</v>
      </c>
      <c r="EJ72">
        <v>0</v>
      </c>
      <c r="EK72">
        <v>1</v>
      </c>
      <c r="EN72">
        <v>0</v>
      </c>
      <c r="EP72" t="s">
        <v>546</v>
      </c>
      <c r="EQ72">
        <v>155</v>
      </c>
      <c r="ER72">
        <v>3</v>
      </c>
      <c r="ES72">
        <v>6.5</v>
      </c>
      <c r="ET72">
        <v>1384</v>
      </c>
      <c r="EU72">
        <v>770.8</v>
      </c>
      <c r="EV72">
        <v>1067</v>
      </c>
      <c r="EW72" t="s">
        <v>547</v>
      </c>
      <c r="EX72">
        <v>45</v>
      </c>
      <c r="EY72">
        <v>2</v>
      </c>
      <c r="EZ72">
        <v>4.3</v>
      </c>
      <c r="FA72">
        <v>1384</v>
      </c>
      <c r="FB72">
        <v>140.3</v>
      </c>
      <c r="FC72">
        <v>194</v>
      </c>
      <c r="FE72">
        <v>0</v>
      </c>
      <c r="FF72">
        <v>2</v>
      </c>
      <c r="FI72">
        <v>0</v>
      </c>
      <c r="FK72" t="s">
        <v>548</v>
      </c>
      <c r="FL72">
        <v>0.4</v>
      </c>
      <c r="FM72">
        <v>55</v>
      </c>
      <c r="FN72">
        <v>480</v>
      </c>
      <c r="FO72">
        <v>120</v>
      </c>
      <c r="FP72">
        <v>180</v>
      </c>
      <c r="FR72" t="s">
        <v>548</v>
      </c>
      <c r="FS72">
        <v>0.4</v>
      </c>
      <c r="FT72">
        <v>30</v>
      </c>
      <c r="FU72">
        <v>680</v>
      </c>
      <c r="GR72" t="s">
        <v>548</v>
      </c>
      <c r="GS72">
        <v>0.4</v>
      </c>
      <c r="GT72">
        <v>70</v>
      </c>
      <c r="GU72">
        <v>350</v>
      </c>
      <c r="HC72">
        <v>0.1</v>
      </c>
      <c r="HD72">
        <v>3</v>
      </c>
      <c r="HE72">
        <v>3</v>
      </c>
      <c r="HF72">
        <v>3</v>
      </c>
      <c r="HG72">
        <v>3</v>
      </c>
      <c r="HH72">
        <v>3</v>
      </c>
      <c r="HI72">
        <v>185</v>
      </c>
      <c r="HJ72">
        <v>3</v>
      </c>
      <c r="HK72">
        <v>30</v>
      </c>
      <c r="HL72">
        <v>2</v>
      </c>
      <c r="HM72">
        <v>0</v>
      </c>
      <c r="HN72">
        <v>2</v>
      </c>
      <c r="HO72">
        <v>140</v>
      </c>
      <c r="HP72">
        <v>3</v>
      </c>
      <c r="HQ72">
        <v>0</v>
      </c>
      <c r="HR72">
        <v>2</v>
      </c>
      <c r="HS72">
        <v>8539</v>
      </c>
      <c r="HT72">
        <v>260</v>
      </c>
      <c r="HU72">
        <v>180</v>
      </c>
      <c r="HW72">
        <v>0</v>
      </c>
      <c r="HX72">
        <v>670</v>
      </c>
      <c r="HY72">
        <v>0.18</v>
      </c>
      <c r="IA72">
        <v>0.15</v>
      </c>
      <c r="IB72">
        <v>0</v>
      </c>
      <c r="IC72">
        <v>180</v>
      </c>
      <c r="ID72">
        <v>110</v>
      </c>
      <c r="IE72">
        <v>225</v>
      </c>
      <c r="IF72">
        <v>0</v>
      </c>
      <c r="IH72" t="s">
        <v>549</v>
      </c>
      <c r="IO72">
        <v>4</v>
      </c>
      <c r="IP72">
        <v>18</v>
      </c>
      <c r="IQ72">
        <v>0</v>
      </c>
      <c r="IR72">
        <v>0</v>
      </c>
      <c r="IV72">
        <v>1381</v>
      </c>
      <c r="IW72">
        <v>558</v>
      </c>
      <c r="JA72">
        <v>1</v>
      </c>
      <c r="JB72">
        <v>0</v>
      </c>
      <c r="JC72">
        <v>2</v>
      </c>
      <c r="JD72">
        <v>1398</v>
      </c>
      <c r="JE72">
        <v>1391</v>
      </c>
      <c r="JF72">
        <v>1401</v>
      </c>
      <c r="JG72">
        <v>1384</v>
      </c>
      <c r="JH72">
        <v>0</v>
      </c>
      <c r="JJ72">
        <v>180</v>
      </c>
      <c r="JK72">
        <v>670</v>
      </c>
      <c r="JN72">
        <v>520</v>
      </c>
      <c r="JO72">
        <v>755</v>
      </c>
      <c r="JP72">
        <v>720</v>
      </c>
      <c r="JQ72">
        <v>600</v>
      </c>
      <c r="JR72">
        <v>564</v>
      </c>
      <c r="JS72">
        <v>185</v>
      </c>
      <c r="JV72">
        <v>10</v>
      </c>
      <c r="JW72" t="s">
        <v>550</v>
      </c>
      <c r="JX72">
        <v>620</v>
      </c>
      <c r="KA72">
        <v>225</v>
      </c>
      <c r="KB72">
        <v>110</v>
      </c>
      <c r="KC72">
        <v>0</v>
      </c>
      <c r="KD72">
        <v>80</v>
      </c>
      <c r="KF72">
        <v>4</v>
      </c>
      <c r="KG72">
        <v>2</v>
      </c>
      <c r="KH72">
        <v>2</v>
      </c>
      <c r="KI72">
        <v>2</v>
      </c>
      <c r="KJ72">
        <v>0</v>
      </c>
      <c r="KK72">
        <v>1.5</v>
      </c>
      <c r="KL72">
        <v>1.5</v>
      </c>
      <c r="KM72">
        <v>0</v>
      </c>
      <c r="KN72">
        <v>0</v>
      </c>
      <c r="KO72">
        <v>0</v>
      </c>
      <c r="KR72">
        <v>30</v>
      </c>
      <c r="KS72">
        <v>60</v>
      </c>
      <c r="KT72">
        <v>0</v>
      </c>
      <c r="LK72">
        <v>480</v>
      </c>
      <c r="PG72">
        <v>1</v>
      </c>
      <c r="PI72" t="s">
        <v>1520</v>
      </c>
      <c r="PJ72" t="s">
        <v>1522</v>
      </c>
      <c r="PK72" t="s">
        <v>1523</v>
      </c>
      <c r="PL72" t="s">
        <v>1521</v>
      </c>
      <c r="PO72" t="s">
        <v>1524</v>
      </c>
      <c r="PP72" t="s">
        <v>1526</v>
      </c>
      <c r="PS72" t="s">
        <v>795</v>
      </c>
      <c r="PX72">
        <v>56</v>
      </c>
      <c r="PY72">
        <v>56</v>
      </c>
      <c r="PZ72" t="s">
        <v>1520</v>
      </c>
      <c r="QA72">
        <v>3</v>
      </c>
      <c r="QB72">
        <v>1384</v>
      </c>
      <c r="QC72">
        <v>69</v>
      </c>
      <c r="QD72">
        <v>69</v>
      </c>
      <c r="QE72" t="s">
        <v>1521</v>
      </c>
      <c r="QF72">
        <v>1</v>
      </c>
      <c r="QG72">
        <v>1398</v>
      </c>
      <c r="QH72">
        <v>66</v>
      </c>
      <c r="QI72">
        <v>66</v>
      </c>
      <c r="QJ72" t="s">
        <v>795</v>
      </c>
      <c r="QK72">
        <v>1</v>
      </c>
      <c r="QL72">
        <v>1398</v>
      </c>
      <c r="QM72">
        <v>62</v>
      </c>
      <c r="QN72">
        <v>62</v>
      </c>
      <c r="QO72" t="s">
        <v>1522</v>
      </c>
      <c r="QP72">
        <v>1</v>
      </c>
      <c r="QQ72">
        <v>1391</v>
      </c>
      <c r="QR72">
        <v>62</v>
      </c>
      <c r="QS72">
        <v>62</v>
      </c>
      <c r="QT72" t="s">
        <v>1523</v>
      </c>
      <c r="QU72">
        <v>1</v>
      </c>
      <c r="QV72">
        <v>1401</v>
      </c>
      <c r="QW72">
        <v>82</v>
      </c>
      <c r="QX72">
        <v>88</v>
      </c>
      <c r="QY72" t="s">
        <v>1526</v>
      </c>
      <c r="QZ72">
        <v>1</v>
      </c>
      <c r="RA72">
        <v>66</v>
      </c>
      <c r="RB72">
        <v>66</v>
      </c>
      <c r="RC72" t="s">
        <v>1524</v>
      </c>
      <c r="RD72">
        <v>1</v>
      </c>
      <c r="RE72">
        <v>1411</v>
      </c>
      <c r="RF72">
        <v>1</v>
      </c>
      <c r="RH72">
        <v>1</v>
      </c>
      <c r="RJ72">
        <v>1</v>
      </c>
      <c r="RK72">
        <v>2</v>
      </c>
      <c r="RL72">
        <v>1</v>
      </c>
      <c r="RM72">
        <v>1</v>
      </c>
      <c r="RN72">
        <v>3</v>
      </c>
      <c r="RO72">
        <v>737</v>
      </c>
      <c r="RP72">
        <v>125</v>
      </c>
      <c r="RQ72">
        <v>1204</v>
      </c>
      <c r="RR72">
        <v>1038</v>
      </c>
      <c r="RS72">
        <v>103</v>
      </c>
      <c r="RT72">
        <v>431</v>
      </c>
      <c r="RU72">
        <v>338</v>
      </c>
      <c r="RV72" t="s">
        <v>1170</v>
      </c>
      <c r="RW72" t="s">
        <v>679</v>
      </c>
      <c r="RX72">
        <v>15</v>
      </c>
      <c r="RY72">
        <v>4</v>
      </c>
      <c r="RZ72" t="s">
        <v>679</v>
      </c>
      <c r="SA72">
        <v>15</v>
      </c>
      <c r="SC72" t="s">
        <v>1522</v>
      </c>
      <c r="SD72">
        <v>1</v>
      </c>
      <c r="SF72" t="s">
        <v>1523</v>
      </c>
      <c r="SG72">
        <v>1</v>
      </c>
      <c r="SH72">
        <v>0.995</v>
      </c>
      <c r="SI72">
        <v>0.995</v>
      </c>
      <c r="SJ72">
        <v>0.995</v>
      </c>
      <c r="SK72">
        <v>15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1</v>
      </c>
      <c r="SZ72">
        <v>1</v>
      </c>
      <c r="TA72">
        <v>1</v>
      </c>
      <c r="TB72">
        <v>0</v>
      </c>
      <c r="TC72">
        <v>0</v>
      </c>
      <c r="TD72">
        <v>9.4</v>
      </c>
      <c r="TE72" t="s">
        <v>553</v>
      </c>
      <c r="TF72" t="s">
        <v>1171</v>
      </c>
      <c r="TG72" t="s">
        <v>555</v>
      </c>
      <c r="TI72" t="s">
        <v>546</v>
      </c>
      <c r="TJ72" t="s">
        <v>547</v>
      </c>
      <c r="TL72" t="s">
        <v>1477</v>
      </c>
      <c r="TM72" t="s">
        <v>513</v>
      </c>
      <c r="TN72">
        <v>0</v>
      </c>
      <c r="TO72" t="s">
        <v>557</v>
      </c>
    </row>
    <row r="73" spans="1:535">
      <c r="A73" t="s">
        <v>1529</v>
      </c>
      <c r="B73" t="s">
        <v>559</v>
      </c>
      <c r="C73" t="s">
        <v>509</v>
      </c>
      <c r="D73" t="s">
        <v>1530</v>
      </c>
      <c r="G73" t="s">
        <v>604</v>
      </c>
      <c r="H73" t="s">
        <v>605</v>
      </c>
      <c r="J73" t="s">
        <v>606</v>
      </c>
      <c r="L73" t="s">
        <v>512</v>
      </c>
      <c r="M73" t="s">
        <v>564</v>
      </c>
      <c r="N73" t="s">
        <v>513</v>
      </c>
      <c r="O73" t="s">
        <v>607</v>
      </c>
      <c r="Q73" t="s">
        <v>1531</v>
      </c>
      <c r="R73" t="s">
        <v>567</v>
      </c>
      <c r="S73" t="s">
        <v>684</v>
      </c>
      <c r="T73" t="s">
        <v>685</v>
      </c>
      <c r="U73" t="s">
        <v>686</v>
      </c>
      <c r="V73" t="s">
        <v>687</v>
      </c>
      <c r="W73" t="s">
        <v>1532</v>
      </c>
      <c r="X73" t="s">
        <v>1460</v>
      </c>
      <c r="Y73" t="s">
        <v>524</v>
      </c>
      <c r="Z73" t="s">
        <v>1533</v>
      </c>
      <c r="AA73" t="s">
        <v>1534</v>
      </c>
      <c r="AB73" t="s">
        <v>1535</v>
      </c>
      <c r="AC73">
        <v>2</v>
      </c>
      <c r="AD73">
        <v>56</v>
      </c>
      <c r="AE73">
        <v>218</v>
      </c>
      <c r="AF73">
        <v>1.5</v>
      </c>
      <c r="AH73">
        <v>0</v>
      </c>
      <c r="AI73" t="s">
        <v>615</v>
      </c>
      <c r="AJ73">
        <v>200</v>
      </c>
      <c r="AK73">
        <v>1</v>
      </c>
      <c r="AL73">
        <v>1.5</v>
      </c>
      <c r="AM73" t="s">
        <v>579</v>
      </c>
      <c r="AN73" t="s">
        <v>693</v>
      </c>
      <c r="AO73">
        <v>2</v>
      </c>
      <c r="AP73" t="s">
        <v>581</v>
      </c>
      <c r="AQ73" t="s">
        <v>582</v>
      </c>
      <c r="AR73">
        <v>238</v>
      </c>
      <c r="AS73">
        <v>1.5</v>
      </c>
      <c r="AT73" t="s">
        <v>583</v>
      </c>
      <c r="AU73" t="s">
        <v>1536</v>
      </c>
      <c r="AW73" t="s">
        <v>1536</v>
      </c>
      <c r="AX73">
        <v>1</v>
      </c>
      <c r="AY73">
        <v>295</v>
      </c>
      <c r="AZ73">
        <v>1.5</v>
      </c>
      <c r="BA73" t="s">
        <v>579</v>
      </c>
      <c r="BC73" t="s">
        <v>1537</v>
      </c>
      <c r="BD73" t="s">
        <v>1537</v>
      </c>
      <c r="BE73">
        <v>1</v>
      </c>
      <c r="BF73">
        <v>250</v>
      </c>
      <c r="BG73">
        <v>1.5</v>
      </c>
      <c r="BJ73">
        <v>0</v>
      </c>
      <c r="BN73">
        <v>1.5</v>
      </c>
      <c r="BP73" t="s">
        <v>1538</v>
      </c>
      <c r="BQ73">
        <v>89</v>
      </c>
      <c r="BR73">
        <v>2</v>
      </c>
      <c r="BS73" t="s">
        <v>1539</v>
      </c>
      <c r="BT73">
        <v>218</v>
      </c>
      <c r="BU73">
        <v>0.5</v>
      </c>
      <c r="BV73" t="s">
        <v>1539</v>
      </c>
      <c r="BW73">
        <v>436</v>
      </c>
      <c r="BX73">
        <v>1</v>
      </c>
      <c r="BY73" t="s">
        <v>698</v>
      </c>
      <c r="BZ73">
        <v>300</v>
      </c>
      <c r="CA73">
        <v>500</v>
      </c>
      <c r="CB73" t="s">
        <v>699</v>
      </c>
      <c r="CC73" t="s">
        <v>699</v>
      </c>
      <c r="CD73">
        <v>454</v>
      </c>
      <c r="CE73" t="s">
        <v>700</v>
      </c>
      <c r="CF73">
        <v>15</v>
      </c>
      <c r="CG73" t="s">
        <v>1322</v>
      </c>
      <c r="CH73" t="s">
        <v>1322</v>
      </c>
      <c r="CI73">
        <v>100</v>
      </c>
      <c r="CJ73">
        <v>1458</v>
      </c>
      <c r="CK73">
        <v>2</v>
      </c>
      <c r="CL73">
        <v>1552</v>
      </c>
      <c r="CM73">
        <v>2</v>
      </c>
      <c r="CN73" t="s">
        <v>702</v>
      </c>
      <c r="CO73" t="s">
        <v>676</v>
      </c>
      <c r="CP73" t="s">
        <v>703</v>
      </c>
      <c r="CQ73" t="s">
        <v>704</v>
      </c>
      <c r="CR73" t="s">
        <v>650</v>
      </c>
      <c r="CS73" t="s">
        <v>542</v>
      </c>
      <c r="CT73">
        <v>400</v>
      </c>
      <c r="CU73">
        <v>5</v>
      </c>
      <c r="CV73">
        <v>1.2</v>
      </c>
      <c r="CW73">
        <v>1475</v>
      </c>
      <c r="CX73">
        <v>836</v>
      </c>
      <c r="CY73" t="s">
        <v>705</v>
      </c>
      <c r="CZ73">
        <v>50</v>
      </c>
      <c r="DA73">
        <v>3</v>
      </c>
      <c r="DB73">
        <v>1</v>
      </c>
      <c r="DC73">
        <v>1475</v>
      </c>
      <c r="DD73">
        <v>77</v>
      </c>
      <c r="DE73" t="s">
        <v>543</v>
      </c>
      <c r="DF73">
        <v>590</v>
      </c>
      <c r="DG73">
        <v>3</v>
      </c>
      <c r="DH73">
        <v>1.18</v>
      </c>
      <c r="DI73">
        <v>1468</v>
      </c>
      <c r="DJ73">
        <v>1368</v>
      </c>
      <c r="DK73" t="s">
        <v>543</v>
      </c>
      <c r="DL73">
        <v>500</v>
      </c>
      <c r="DM73">
        <v>3</v>
      </c>
      <c r="DN73">
        <v>1.18</v>
      </c>
      <c r="DO73">
        <v>1475</v>
      </c>
      <c r="DP73">
        <v>1258</v>
      </c>
      <c r="DW73" t="s">
        <v>544</v>
      </c>
      <c r="DX73">
        <v>7.5</v>
      </c>
      <c r="EA73">
        <v>1545.7</v>
      </c>
      <c r="EB73">
        <v>364</v>
      </c>
      <c r="EC73" t="s">
        <v>545</v>
      </c>
      <c r="ED73">
        <v>40</v>
      </c>
      <c r="EE73">
        <v>3</v>
      </c>
      <c r="EG73">
        <v>1597</v>
      </c>
      <c r="EH73">
        <v>254</v>
      </c>
      <c r="EJ73">
        <v>0</v>
      </c>
      <c r="EK73">
        <v>1</v>
      </c>
      <c r="EN73">
        <v>0</v>
      </c>
      <c r="EP73" t="s">
        <v>546</v>
      </c>
      <c r="EQ73">
        <v>100</v>
      </c>
      <c r="ER73">
        <v>3</v>
      </c>
      <c r="ES73">
        <v>6.5</v>
      </c>
      <c r="ET73">
        <v>1461</v>
      </c>
      <c r="EU73">
        <v>502.5</v>
      </c>
      <c r="EV73">
        <v>734</v>
      </c>
      <c r="EW73" t="s">
        <v>547</v>
      </c>
      <c r="EX73">
        <v>45</v>
      </c>
      <c r="EY73">
        <v>2</v>
      </c>
      <c r="EZ73">
        <v>4.3</v>
      </c>
      <c r="FA73">
        <v>1461</v>
      </c>
      <c r="FB73">
        <v>140.3</v>
      </c>
      <c r="FC73">
        <v>205</v>
      </c>
      <c r="FE73">
        <v>0</v>
      </c>
      <c r="FF73">
        <v>2</v>
      </c>
      <c r="FI73">
        <v>0</v>
      </c>
      <c r="FK73" t="s">
        <v>548</v>
      </c>
      <c r="FL73">
        <v>0.4</v>
      </c>
      <c r="FM73">
        <v>50</v>
      </c>
      <c r="FN73">
        <v>360</v>
      </c>
      <c r="FO73">
        <v>100</v>
      </c>
      <c r="FP73">
        <v>120</v>
      </c>
      <c r="GR73" t="s">
        <v>548</v>
      </c>
      <c r="GS73">
        <v>0.4</v>
      </c>
      <c r="GT73">
        <v>120</v>
      </c>
      <c r="GU73">
        <v>160</v>
      </c>
      <c r="GY73" t="s">
        <v>651</v>
      </c>
      <c r="GZ73">
        <v>1.6</v>
      </c>
      <c r="HA73">
        <v>20</v>
      </c>
      <c r="HB73">
        <v>181</v>
      </c>
      <c r="HC73">
        <v>0.1</v>
      </c>
      <c r="HD73">
        <v>3</v>
      </c>
      <c r="HE73">
        <v>3</v>
      </c>
      <c r="HF73">
        <v>3</v>
      </c>
      <c r="HG73">
        <v>3</v>
      </c>
      <c r="HH73">
        <v>3</v>
      </c>
      <c r="HI73">
        <v>130</v>
      </c>
      <c r="HJ73">
        <v>3</v>
      </c>
      <c r="HK73">
        <v>30</v>
      </c>
      <c r="HL73">
        <v>2</v>
      </c>
      <c r="HM73">
        <v>0</v>
      </c>
      <c r="HN73">
        <v>2</v>
      </c>
      <c r="HO73">
        <v>85</v>
      </c>
      <c r="HP73">
        <v>3</v>
      </c>
      <c r="HQ73">
        <v>0</v>
      </c>
      <c r="HR73">
        <v>2</v>
      </c>
      <c r="HS73">
        <v>6730</v>
      </c>
      <c r="HT73">
        <v>200</v>
      </c>
      <c r="HU73">
        <v>180</v>
      </c>
      <c r="HW73">
        <v>0</v>
      </c>
      <c r="HX73">
        <v>548</v>
      </c>
      <c r="HY73">
        <v>0.18</v>
      </c>
      <c r="IA73">
        <v>0.15</v>
      </c>
      <c r="IB73">
        <v>0</v>
      </c>
      <c r="IC73">
        <v>180</v>
      </c>
      <c r="ID73">
        <v>110</v>
      </c>
      <c r="IE73">
        <v>225</v>
      </c>
      <c r="IF73">
        <v>0</v>
      </c>
      <c r="IH73" t="s">
        <v>549</v>
      </c>
      <c r="IO73">
        <v>3</v>
      </c>
      <c r="IP73">
        <v>19</v>
      </c>
      <c r="IQ73">
        <v>0</v>
      </c>
      <c r="IR73">
        <v>0</v>
      </c>
      <c r="IV73">
        <v>1458</v>
      </c>
      <c r="IW73">
        <v>436</v>
      </c>
      <c r="JA73">
        <v>1</v>
      </c>
      <c r="JB73">
        <v>0</v>
      </c>
      <c r="JC73">
        <v>2</v>
      </c>
      <c r="JD73">
        <v>1475</v>
      </c>
      <c r="JE73">
        <v>1468</v>
      </c>
      <c r="JF73">
        <v>1475</v>
      </c>
      <c r="JG73">
        <v>1461</v>
      </c>
      <c r="JH73">
        <v>0</v>
      </c>
      <c r="JJ73">
        <v>180</v>
      </c>
      <c r="JK73">
        <v>548</v>
      </c>
      <c r="JN73">
        <v>400</v>
      </c>
      <c r="JO73">
        <v>590</v>
      </c>
      <c r="JP73">
        <v>500</v>
      </c>
      <c r="JQ73">
        <v>0</v>
      </c>
      <c r="JR73">
        <v>436</v>
      </c>
      <c r="JS73">
        <v>130</v>
      </c>
      <c r="JV73">
        <v>8</v>
      </c>
      <c r="JW73" t="s">
        <v>550</v>
      </c>
      <c r="JX73">
        <v>476</v>
      </c>
      <c r="KA73">
        <v>225</v>
      </c>
      <c r="KB73">
        <v>110</v>
      </c>
      <c r="KC73">
        <v>0</v>
      </c>
      <c r="KD73">
        <v>80</v>
      </c>
      <c r="KF73">
        <v>4</v>
      </c>
      <c r="KG73">
        <v>2</v>
      </c>
      <c r="KH73">
        <v>2</v>
      </c>
      <c r="KI73">
        <v>2</v>
      </c>
      <c r="KJ73">
        <v>0</v>
      </c>
      <c r="KK73">
        <v>1.5</v>
      </c>
      <c r="KL73">
        <v>1.5</v>
      </c>
      <c r="KM73">
        <v>0</v>
      </c>
      <c r="KN73">
        <v>0</v>
      </c>
      <c r="KO73">
        <v>0</v>
      </c>
      <c r="KR73">
        <v>20</v>
      </c>
      <c r="KS73">
        <v>60</v>
      </c>
      <c r="KT73">
        <v>0</v>
      </c>
      <c r="LK73">
        <v>480</v>
      </c>
      <c r="PG73">
        <v>1</v>
      </c>
      <c r="PI73" t="s">
        <v>1535</v>
      </c>
      <c r="PJ73" t="s">
        <v>1536</v>
      </c>
      <c r="PK73" t="s">
        <v>1537</v>
      </c>
      <c r="PL73" t="s">
        <v>615</v>
      </c>
      <c r="PP73" t="s">
        <v>1538</v>
      </c>
      <c r="PS73" t="s">
        <v>693</v>
      </c>
      <c r="PX73">
        <v>56</v>
      </c>
      <c r="PY73">
        <v>56</v>
      </c>
      <c r="PZ73" t="s">
        <v>1535</v>
      </c>
      <c r="QA73">
        <v>2</v>
      </c>
      <c r="QB73">
        <v>1461</v>
      </c>
      <c r="QC73">
        <v>69</v>
      </c>
      <c r="QD73">
        <v>69</v>
      </c>
      <c r="QE73" t="s">
        <v>615</v>
      </c>
      <c r="QF73">
        <v>1</v>
      </c>
      <c r="QG73">
        <v>1475</v>
      </c>
      <c r="QH73">
        <v>66</v>
      </c>
      <c r="QI73">
        <v>66</v>
      </c>
      <c r="QJ73" t="s">
        <v>693</v>
      </c>
      <c r="QK73">
        <v>1</v>
      </c>
      <c r="QL73">
        <v>1475</v>
      </c>
      <c r="QM73">
        <v>62</v>
      </c>
      <c r="QN73">
        <v>62</v>
      </c>
      <c r="QO73" t="s">
        <v>1536</v>
      </c>
      <c r="QP73">
        <v>1</v>
      </c>
      <c r="QQ73">
        <v>1468</v>
      </c>
      <c r="QR73">
        <v>63</v>
      </c>
      <c r="QS73">
        <v>63</v>
      </c>
      <c r="QT73" t="s">
        <v>1537</v>
      </c>
      <c r="QU73">
        <v>1</v>
      </c>
      <c r="QV73">
        <v>1475</v>
      </c>
      <c r="QW73">
        <v>82</v>
      </c>
      <c r="QX73">
        <v>89</v>
      </c>
      <c r="QY73" t="s">
        <v>1538</v>
      </c>
      <c r="QZ73">
        <v>1</v>
      </c>
      <c r="RA73">
        <v>66</v>
      </c>
      <c r="RB73">
        <v>66</v>
      </c>
      <c r="RE73">
        <v>0</v>
      </c>
      <c r="RF73">
        <v>1</v>
      </c>
      <c r="RI73">
        <v>1</v>
      </c>
      <c r="RJ73">
        <v>1</v>
      </c>
      <c r="RK73">
        <v>2</v>
      </c>
      <c r="RL73">
        <v>2</v>
      </c>
      <c r="RM73">
        <v>2</v>
      </c>
      <c r="RO73">
        <v>567</v>
      </c>
      <c r="RP73">
        <v>105</v>
      </c>
      <c r="RQ73">
        <v>932</v>
      </c>
      <c r="RR73">
        <v>853</v>
      </c>
      <c r="RT73">
        <v>364</v>
      </c>
      <c r="RU73">
        <v>254</v>
      </c>
      <c r="RV73" t="s">
        <v>1540</v>
      </c>
      <c r="RW73" t="s">
        <v>707</v>
      </c>
      <c r="RX73">
        <v>15</v>
      </c>
      <c r="RY73">
        <v>4</v>
      </c>
      <c r="RZ73" t="s">
        <v>707</v>
      </c>
      <c r="SA73">
        <v>15</v>
      </c>
      <c r="SC73" t="s">
        <v>1536</v>
      </c>
      <c r="SD73">
        <v>1</v>
      </c>
      <c r="SE73" t="s">
        <v>1541</v>
      </c>
      <c r="SF73" t="s">
        <v>1541</v>
      </c>
      <c r="SG73">
        <v>1</v>
      </c>
      <c r="SH73">
        <v>0.995</v>
      </c>
      <c r="SI73">
        <v>0.995</v>
      </c>
      <c r="SJ73">
        <v>0.995</v>
      </c>
      <c r="SK73">
        <v>15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1</v>
      </c>
      <c r="SZ73">
        <v>1</v>
      </c>
      <c r="TB73">
        <v>0</v>
      </c>
      <c r="TC73">
        <v>0</v>
      </c>
      <c r="TD73">
        <v>7.5</v>
      </c>
      <c r="TE73" t="s">
        <v>553</v>
      </c>
      <c r="TF73" t="s">
        <v>681</v>
      </c>
      <c r="TG73" t="s">
        <v>555</v>
      </c>
      <c r="TI73" t="s">
        <v>546</v>
      </c>
      <c r="TJ73" t="s">
        <v>547</v>
      </c>
      <c r="TL73" t="s">
        <v>1477</v>
      </c>
      <c r="TM73" t="s">
        <v>513</v>
      </c>
      <c r="TN73">
        <v>0</v>
      </c>
      <c r="TO73" t="s">
        <v>557</v>
      </c>
    </row>
    <row r="74" spans="1:535">
      <c r="A74" t="s">
        <v>1542</v>
      </c>
      <c r="B74" t="s">
        <v>897</v>
      </c>
      <c r="C74" t="s">
        <v>509</v>
      </c>
      <c r="D74" t="s">
        <v>951</v>
      </c>
      <c r="G74" t="s">
        <v>604</v>
      </c>
      <c r="H74" t="s">
        <v>605</v>
      </c>
      <c r="J74" t="s">
        <v>606</v>
      </c>
      <c r="L74" t="s">
        <v>512</v>
      </c>
      <c r="M74" t="s">
        <v>657</v>
      </c>
      <c r="N74" t="s">
        <v>513</v>
      </c>
      <c r="O74" t="s">
        <v>607</v>
      </c>
      <c r="Q74" t="s">
        <v>1543</v>
      </c>
      <c r="R74" t="s">
        <v>567</v>
      </c>
      <c r="S74" t="s">
        <v>1544</v>
      </c>
      <c r="T74" t="s">
        <v>1481</v>
      </c>
      <c r="U74" t="s">
        <v>1457</v>
      </c>
      <c r="V74" t="s">
        <v>1458</v>
      </c>
      <c r="W74" t="s">
        <v>1545</v>
      </c>
      <c r="X74" t="s">
        <v>1460</v>
      </c>
      <c r="Y74" t="s">
        <v>524</v>
      </c>
      <c r="Z74" t="s">
        <v>1546</v>
      </c>
      <c r="AA74" t="s">
        <v>1547</v>
      </c>
      <c r="AB74" t="s">
        <v>1548</v>
      </c>
      <c r="AC74">
        <v>2</v>
      </c>
      <c r="AD74">
        <v>56</v>
      </c>
      <c r="AE74">
        <v>164</v>
      </c>
      <c r="AF74">
        <v>1.5</v>
      </c>
      <c r="AH74">
        <v>0</v>
      </c>
      <c r="AI74" t="s">
        <v>748</v>
      </c>
      <c r="AJ74">
        <v>175</v>
      </c>
      <c r="AK74">
        <v>1</v>
      </c>
      <c r="AL74">
        <v>1.5</v>
      </c>
      <c r="AM74" t="s">
        <v>529</v>
      </c>
      <c r="AO74">
        <v>0</v>
      </c>
      <c r="AR74">
        <v>0</v>
      </c>
      <c r="AS74">
        <v>1.5</v>
      </c>
      <c r="AU74" t="s">
        <v>1549</v>
      </c>
      <c r="AW74" t="s">
        <v>1549</v>
      </c>
      <c r="AX74">
        <v>1</v>
      </c>
      <c r="AY74">
        <v>252.5</v>
      </c>
      <c r="AZ74">
        <v>1.5</v>
      </c>
      <c r="BA74" t="s">
        <v>529</v>
      </c>
      <c r="BG74">
        <v>1.5</v>
      </c>
      <c r="BJ74">
        <v>0</v>
      </c>
      <c r="BN74">
        <v>1.5</v>
      </c>
      <c r="BP74" t="s">
        <v>1466</v>
      </c>
      <c r="BQ74">
        <v>89</v>
      </c>
      <c r="BR74">
        <v>2</v>
      </c>
      <c r="BS74" t="s">
        <v>1467</v>
      </c>
      <c r="BT74">
        <v>186</v>
      </c>
      <c r="BU74">
        <v>0.5</v>
      </c>
      <c r="BV74" t="s">
        <v>1467</v>
      </c>
      <c r="BW74">
        <v>372</v>
      </c>
      <c r="BX74">
        <v>1</v>
      </c>
      <c r="BY74" t="s">
        <v>1468</v>
      </c>
      <c r="BZ74">
        <v>300</v>
      </c>
      <c r="CA74">
        <v>440</v>
      </c>
      <c r="CB74" t="s">
        <v>1469</v>
      </c>
      <c r="CC74" t="s">
        <v>1469</v>
      </c>
      <c r="CD74">
        <v>390</v>
      </c>
      <c r="CE74" t="s">
        <v>1470</v>
      </c>
      <c r="CF74">
        <v>15</v>
      </c>
      <c r="CG74" t="s">
        <v>1550</v>
      </c>
      <c r="CH74" t="s">
        <v>1550</v>
      </c>
      <c r="CI74">
        <v>70</v>
      </c>
      <c r="CJ74">
        <v>1050</v>
      </c>
      <c r="CK74">
        <v>2</v>
      </c>
      <c r="CL74">
        <v>1144</v>
      </c>
      <c r="CM74">
        <v>2</v>
      </c>
      <c r="CN74" t="s">
        <v>1472</v>
      </c>
      <c r="CO74" t="s">
        <v>1473</v>
      </c>
      <c r="CP74" t="s">
        <v>1474</v>
      </c>
      <c r="CQ74" t="s">
        <v>540</v>
      </c>
      <c r="CR74" t="s">
        <v>541</v>
      </c>
      <c r="CS74" t="s">
        <v>542</v>
      </c>
      <c r="CT74">
        <v>350</v>
      </c>
      <c r="CU74">
        <v>5</v>
      </c>
      <c r="CV74">
        <v>1.2</v>
      </c>
      <c r="CW74">
        <v>1064</v>
      </c>
      <c r="CX74">
        <v>527</v>
      </c>
      <c r="DD74">
        <v>0</v>
      </c>
      <c r="DE74" t="s">
        <v>543</v>
      </c>
      <c r="DF74">
        <v>505</v>
      </c>
      <c r="DG74">
        <v>3</v>
      </c>
      <c r="DH74">
        <v>1.18</v>
      </c>
      <c r="DI74">
        <v>1062</v>
      </c>
      <c r="DJ74">
        <v>880</v>
      </c>
      <c r="DW74" t="s">
        <v>544</v>
      </c>
      <c r="DX74">
        <v>7.5</v>
      </c>
      <c r="EA74">
        <v>1124.6</v>
      </c>
      <c r="EB74">
        <v>147</v>
      </c>
      <c r="EC74" t="s">
        <v>545</v>
      </c>
      <c r="ED74">
        <v>30</v>
      </c>
      <c r="EE74">
        <v>3</v>
      </c>
      <c r="EG74">
        <v>1155</v>
      </c>
      <c r="EH74">
        <v>135</v>
      </c>
      <c r="EJ74">
        <v>0</v>
      </c>
      <c r="EK74">
        <v>1</v>
      </c>
      <c r="EN74">
        <v>0</v>
      </c>
      <c r="EP74" t="s">
        <v>546</v>
      </c>
      <c r="EQ74">
        <v>105</v>
      </c>
      <c r="ER74">
        <v>3</v>
      </c>
      <c r="ES74">
        <v>5</v>
      </c>
      <c r="ET74">
        <v>1045</v>
      </c>
      <c r="EU74">
        <v>428.4</v>
      </c>
      <c r="EV74">
        <v>448</v>
      </c>
      <c r="EW74" t="s">
        <v>547</v>
      </c>
      <c r="EX74">
        <v>70</v>
      </c>
      <c r="EY74">
        <v>2</v>
      </c>
      <c r="EZ74">
        <v>4.3</v>
      </c>
      <c r="FA74">
        <v>1045</v>
      </c>
      <c r="FB74">
        <v>212.3</v>
      </c>
      <c r="FC74">
        <v>222</v>
      </c>
      <c r="FE74">
        <v>0</v>
      </c>
      <c r="FF74">
        <v>2</v>
      </c>
      <c r="FI74">
        <v>0</v>
      </c>
      <c r="FK74" t="s">
        <v>548</v>
      </c>
      <c r="FL74">
        <v>0.4</v>
      </c>
      <c r="FM74">
        <v>105</v>
      </c>
      <c r="FN74">
        <v>100</v>
      </c>
      <c r="FR74" t="s">
        <v>548</v>
      </c>
      <c r="FS74">
        <v>0.4</v>
      </c>
      <c r="FT74">
        <v>30</v>
      </c>
      <c r="FU74">
        <v>340</v>
      </c>
      <c r="FV74">
        <v>30</v>
      </c>
      <c r="FW74">
        <v>220</v>
      </c>
      <c r="HC74">
        <v>0.1</v>
      </c>
      <c r="HD74">
        <v>3</v>
      </c>
      <c r="HE74">
        <v>3</v>
      </c>
      <c r="HF74">
        <v>3</v>
      </c>
      <c r="HG74">
        <v>3</v>
      </c>
      <c r="HH74">
        <v>3</v>
      </c>
      <c r="HI74">
        <v>160</v>
      </c>
      <c r="HJ74">
        <v>3</v>
      </c>
      <c r="HK74">
        <v>55</v>
      </c>
      <c r="HL74">
        <v>2</v>
      </c>
      <c r="HM74">
        <v>0</v>
      </c>
      <c r="HN74">
        <v>2</v>
      </c>
      <c r="HO74">
        <v>90</v>
      </c>
      <c r="HP74">
        <v>3</v>
      </c>
      <c r="HQ74">
        <v>0</v>
      </c>
      <c r="HR74">
        <v>2</v>
      </c>
      <c r="HS74">
        <v>3311</v>
      </c>
      <c r="HT74">
        <v>100</v>
      </c>
      <c r="HU74">
        <v>180</v>
      </c>
      <c r="HW74">
        <v>0</v>
      </c>
      <c r="HX74">
        <v>390</v>
      </c>
      <c r="HY74">
        <v>0.18</v>
      </c>
      <c r="IA74">
        <v>0.15</v>
      </c>
      <c r="IB74">
        <v>0</v>
      </c>
      <c r="IC74">
        <v>180</v>
      </c>
      <c r="ID74">
        <v>110</v>
      </c>
      <c r="IE74">
        <v>0</v>
      </c>
      <c r="IF74">
        <v>0</v>
      </c>
      <c r="IH74" t="s">
        <v>549</v>
      </c>
      <c r="IO74">
        <v>1</v>
      </c>
      <c r="IP74">
        <v>14</v>
      </c>
      <c r="IQ74">
        <v>0</v>
      </c>
      <c r="IR74">
        <v>1</v>
      </c>
      <c r="IV74">
        <v>1050</v>
      </c>
      <c r="IW74">
        <v>372</v>
      </c>
      <c r="JA74">
        <v>1</v>
      </c>
      <c r="JB74">
        <v>0</v>
      </c>
      <c r="JC74">
        <v>2</v>
      </c>
      <c r="JD74">
        <v>1064</v>
      </c>
      <c r="JE74">
        <v>1062</v>
      </c>
      <c r="JF74">
        <v>0</v>
      </c>
      <c r="JG74">
        <v>1045</v>
      </c>
      <c r="JH74">
        <v>0</v>
      </c>
      <c r="JJ74">
        <v>180</v>
      </c>
      <c r="JK74">
        <v>390</v>
      </c>
      <c r="JN74">
        <v>350</v>
      </c>
      <c r="JO74">
        <v>505</v>
      </c>
      <c r="JP74">
        <v>0</v>
      </c>
      <c r="JQ74">
        <v>0</v>
      </c>
      <c r="JR74">
        <v>328</v>
      </c>
      <c r="JS74">
        <v>160</v>
      </c>
      <c r="JV74">
        <v>8</v>
      </c>
      <c r="JW74" t="s">
        <v>550</v>
      </c>
      <c r="JX74">
        <v>0</v>
      </c>
      <c r="KA74">
        <v>0</v>
      </c>
      <c r="KB74">
        <v>110</v>
      </c>
      <c r="KC74">
        <v>0</v>
      </c>
      <c r="KD74">
        <v>80</v>
      </c>
      <c r="KF74">
        <v>4</v>
      </c>
      <c r="KG74">
        <v>3</v>
      </c>
      <c r="KH74">
        <v>2</v>
      </c>
      <c r="KI74">
        <v>2</v>
      </c>
      <c r="KJ74">
        <v>0</v>
      </c>
      <c r="KK74">
        <v>1.5</v>
      </c>
      <c r="KL74">
        <v>1.5</v>
      </c>
      <c r="KM74">
        <v>0</v>
      </c>
      <c r="KN74">
        <v>0</v>
      </c>
      <c r="KO74">
        <v>0</v>
      </c>
      <c r="KR74">
        <v>50</v>
      </c>
      <c r="KS74">
        <v>60</v>
      </c>
      <c r="KT74">
        <v>0</v>
      </c>
      <c r="LK74">
        <v>480</v>
      </c>
      <c r="PG74">
        <v>1</v>
      </c>
      <c r="PI74" t="s">
        <v>1548</v>
      </c>
      <c r="PJ74" t="s">
        <v>1549</v>
      </c>
      <c r="PL74" t="s">
        <v>748</v>
      </c>
      <c r="PP74" t="s">
        <v>1466</v>
      </c>
      <c r="PX74">
        <v>56</v>
      </c>
      <c r="PY74">
        <v>56</v>
      </c>
      <c r="PZ74" t="s">
        <v>1548</v>
      </c>
      <c r="QA74">
        <v>3</v>
      </c>
      <c r="QB74">
        <v>1045</v>
      </c>
      <c r="QC74">
        <v>69</v>
      </c>
      <c r="QD74">
        <v>69</v>
      </c>
      <c r="QE74" t="s">
        <v>748</v>
      </c>
      <c r="QF74">
        <v>1</v>
      </c>
      <c r="QG74">
        <v>1064</v>
      </c>
      <c r="QH74">
        <v>66</v>
      </c>
      <c r="QI74">
        <v>66</v>
      </c>
      <c r="QL74">
        <v>0</v>
      </c>
      <c r="QM74">
        <v>62</v>
      </c>
      <c r="QN74">
        <v>62</v>
      </c>
      <c r="QO74" t="s">
        <v>1549</v>
      </c>
      <c r="QP74">
        <v>1</v>
      </c>
      <c r="QQ74">
        <v>1062</v>
      </c>
      <c r="QW74">
        <v>82</v>
      </c>
      <c r="QX74">
        <v>89</v>
      </c>
      <c r="QY74" t="s">
        <v>1466</v>
      </c>
      <c r="QZ74">
        <v>1</v>
      </c>
      <c r="RA74">
        <v>66</v>
      </c>
      <c r="RB74">
        <v>66</v>
      </c>
      <c r="RE74">
        <v>0</v>
      </c>
      <c r="RF74">
        <v>1</v>
      </c>
      <c r="RJ74">
        <v>2</v>
      </c>
      <c r="RL74">
        <v>2</v>
      </c>
      <c r="RO74">
        <v>495</v>
      </c>
      <c r="RQ74">
        <v>829</v>
      </c>
      <c r="RT74">
        <v>147</v>
      </c>
      <c r="RU74">
        <v>135</v>
      </c>
      <c r="RV74" t="s">
        <v>1475</v>
      </c>
      <c r="RW74" t="s">
        <v>1476</v>
      </c>
      <c r="RX74">
        <v>15</v>
      </c>
      <c r="RY74">
        <v>4</v>
      </c>
      <c r="RZ74" t="s">
        <v>1476</v>
      </c>
      <c r="SA74">
        <v>15</v>
      </c>
      <c r="SC74" t="s">
        <v>1549</v>
      </c>
      <c r="SD74">
        <v>1</v>
      </c>
      <c r="SH74">
        <v>0.995</v>
      </c>
      <c r="SI74">
        <v>0.995</v>
      </c>
      <c r="SJ74">
        <v>0.995</v>
      </c>
      <c r="SK74">
        <v>15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TB74">
        <v>0</v>
      </c>
      <c r="TC74">
        <v>0</v>
      </c>
      <c r="TD74">
        <v>7.5</v>
      </c>
      <c r="TE74" t="s">
        <v>553</v>
      </c>
      <c r="TF74" t="s">
        <v>754</v>
      </c>
      <c r="TG74" t="s">
        <v>555</v>
      </c>
      <c r="TI74" t="s">
        <v>546</v>
      </c>
      <c r="TJ74" t="s">
        <v>547</v>
      </c>
      <c r="TL74" t="s">
        <v>1477</v>
      </c>
      <c r="TM74" t="s">
        <v>513</v>
      </c>
      <c r="TN74">
        <v>0</v>
      </c>
      <c r="TO74" t="s">
        <v>557</v>
      </c>
    </row>
    <row r="75" spans="1:535">
      <c r="A75" t="s">
        <v>1551</v>
      </c>
      <c r="B75" t="s">
        <v>564</v>
      </c>
      <c r="C75" t="s">
        <v>509</v>
      </c>
      <c r="D75" t="s">
        <v>951</v>
      </c>
      <c r="G75" t="s">
        <v>604</v>
      </c>
      <c r="H75" t="s">
        <v>605</v>
      </c>
      <c r="J75" t="s">
        <v>606</v>
      </c>
      <c r="L75" t="s">
        <v>512</v>
      </c>
      <c r="M75" t="s">
        <v>629</v>
      </c>
      <c r="N75" t="s">
        <v>513</v>
      </c>
      <c r="O75" t="s">
        <v>607</v>
      </c>
      <c r="Q75" t="s">
        <v>1552</v>
      </c>
      <c r="R75" t="s">
        <v>567</v>
      </c>
      <c r="S75" t="s">
        <v>1553</v>
      </c>
      <c r="T75" t="s">
        <v>1554</v>
      </c>
      <c r="U75" t="s">
        <v>1482</v>
      </c>
      <c r="V75" t="s">
        <v>1483</v>
      </c>
      <c r="W75" t="s">
        <v>1555</v>
      </c>
      <c r="X75" t="s">
        <v>1460</v>
      </c>
      <c r="Y75" t="s">
        <v>524</v>
      </c>
      <c r="Z75" t="s">
        <v>1556</v>
      </c>
      <c r="AA75" t="s">
        <v>1557</v>
      </c>
      <c r="AB75" t="s">
        <v>1558</v>
      </c>
      <c r="AC75">
        <v>2</v>
      </c>
      <c r="AD75">
        <v>56</v>
      </c>
      <c r="AE75">
        <v>157</v>
      </c>
      <c r="AF75">
        <v>1.5</v>
      </c>
      <c r="AH75">
        <v>0</v>
      </c>
      <c r="AI75" t="s">
        <v>1559</v>
      </c>
      <c r="AJ75">
        <v>167.5</v>
      </c>
      <c r="AK75">
        <v>1</v>
      </c>
      <c r="AL75">
        <v>1.5</v>
      </c>
      <c r="AM75" t="s">
        <v>529</v>
      </c>
      <c r="AO75">
        <v>0</v>
      </c>
      <c r="AR75">
        <v>0</v>
      </c>
      <c r="AS75">
        <v>1.5</v>
      </c>
      <c r="AU75" t="s">
        <v>1560</v>
      </c>
      <c r="AW75" t="s">
        <v>1560</v>
      </c>
      <c r="AX75">
        <v>1</v>
      </c>
      <c r="AY75">
        <v>240</v>
      </c>
      <c r="AZ75">
        <v>1.5</v>
      </c>
      <c r="BA75" t="s">
        <v>529</v>
      </c>
      <c r="BG75">
        <v>1.5</v>
      </c>
      <c r="BJ75">
        <v>0</v>
      </c>
      <c r="BN75">
        <v>1.5</v>
      </c>
      <c r="BP75" t="s">
        <v>1561</v>
      </c>
      <c r="BQ75">
        <v>88</v>
      </c>
      <c r="BR75">
        <v>2</v>
      </c>
      <c r="BS75" t="s">
        <v>1562</v>
      </c>
      <c r="BT75">
        <v>179</v>
      </c>
      <c r="BU75">
        <v>0.5</v>
      </c>
      <c r="BV75" t="s">
        <v>1562</v>
      </c>
      <c r="BW75">
        <v>358</v>
      </c>
      <c r="BX75">
        <v>1</v>
      </c>
      <c r="BY75" t="s">
        <v>1491</v>
      </c>
      <c r="BZ75">
        <v>300</v>
      </c>
      <c r="CA75">
        <v>420</v>
      </c>
      <c r="CB75" t="s">
        <v>1492</v>
      </c>
      <c r="CC75" t="s">
        <v>1492</v>
      </c>
      <c r="CD75">
        <v>376</v>
      </c>
      <c r="CE75" t="s">
        <v>1493</v>
      </c>
      <c r="CF75">
        <v>15</v>
      </c>
      <c r="CG75" t="s">
        <v>1563</v>
      </c>
      <c r="CH75" t="s">
        <v>1563</v>
      </c>
      <c r="CI75">
        <v>60</v>
      </c>
      <c r="CJ75">
        <v>1122</v>
      </c>
      <c r="CK75">
        <v>2</v>
      </c>
      <c r="CL75">
        <v>1222</v>
      </c>
      <c r="CM75">
        <v>2</v>
      </c>
      <c r="CN75" t="s">
        <v>1495</v>
      </c>
      <c r="CO75" t="s">
        <v>1473</v>
      </c>
      <c r="CP75" t="s">
        <v>1474</v>
      </c>
      <c r="CQ75" t="s">
        <v>540</v>
      </c>
      <c r="CR75" t="s">
        <v>541</v>
      </c>
      <c r="CS75" t="s">
        <v>542</v>
      </c>
      <c r="CT75">
        <v>335</v>
      </c>
      <c r="CU75">
        <v>5</v>
      </c>
      <c r="CV75">
        <v>1.2</v>
      </c>
      <c r="CW75">
        <v>1136</v>
      </c>
      <c r="CX75">
        <v>538</v>
      </c>
      <c r="DD75">
        <v>0</v>
      </c>
      <c r="DE75" t="s">
        <v>543</v>
      </c>
      <c r="DF75">
        <v>480</v>
      </c>
      <c r="DG75">
        <v>3</v>
      </c>
      <c r="DH75">
        <v>1.18</v>
      </c>
      <c r="DI75">
        <v>1134</v>
      </c>
      <c r="DJ75">
        <v>916</v>
      </c>
      <c r="DW75" t="s">
        <v>544</v>
      </c>
      <c r="DX75">
        <v>7.5</v>
      </c>
      <c r="EA75">
        <v>1204.3</v>
      </c>
      <c r="EB75">
        <v>157</v>
      </c>
      <c r="EC75" t="s">
        <v>545</v>
      </c>
      <c r="ED75">
        <v>35</v>
      </c>
      <c r="EE75">
        <v>3</v>
      </c>
      <c r="EG75">
        <v>1235</v>
      </c>
      <c r="EH75">
        <v>172</v>
      </c>
      <c r="EJ75">
        <v>0</v>
      </c>
      <c r="EK75">
        <v>1</v>
      </c>
      <c r="EN75">
        <v>0</v>
      </c>
      <c r="EP75" t="s">
        <v>546</v>
      </c>
      <c r="EQ75">
        <v>90</v>
      </c>
      <c r="ER75">
        <v>3</v>
      </c>
      <c r="ES75">
        <v>5</v>
      </c>
      <c r="ET75">
        <v>1117</v>
      </c>
      <c r="EU75">
        <v>358.1</v>
      </c>
      <c r="EV75">
        <v>400</v>
      </c>
      <c r="EW75" t="s">
        <v>547</v>
      </c>
      <c r="EX75">
        <v>70</v>
      </c>
      <c r="EY75">
        <v>2</v>
      </c>
      <c r="EZ75">
        <v>4.5</v>
      </c>
      <c r="FA75">
        <v>1117</v>
      </c>
      <c r="FB75">
        <v>219.6</v>
      </c>
      <c r="FC75">
        <v>245</v>
      </c>
      <c r="FE75">
        <v>0</v>
      </c>
      <c r="FF75">
        <v>2</v>
      </c>
      <c r="FI75">
        <v>0</v>
      </c>
      <c r="FK75" t="s">
        <v>548</v>
      </c>
      <c r="FL75">
        <v>0.4</v>
      </c>
      <c r="FM75">
        <v>100</v>
      </c>
      <c r="FN75">
        <v>90</v>
      </c>
      <c r="FR75" t="s">
        <v>548</v>
      </c>
      <c r="FS75">
        <v>0.4</v>
      </c>
      <c r="FT75">
        <v>80</v>
      </c>
      <c r="FU75">
        <v>220</v>
      </c>
      <c r="HC75">
        <v>0.1</v>
      </c>
      <c r="HD75">
        <v>3</v>
      </c>
      <c r="HE75">
        <v>3</v>
      </c>
      <c r="HF75">
        <v>3</v>
      </c>
      <c r="HG75">
        <v>3</v>
      </c>
      <c r="HH75">
        <v>3</v>
      </c>
      <c r="HI75">
        <v>145</v>
      </c>
      <c r="HJ75">
        <v>3</v>
      </c>
      <c r="HK75">
        <v>55</v>
      </c>
      <c r="HL75">
        <v>2</v>
      </c>
      <c r="HM75">
        <v>0</v>
      </c>
      <c r="HN75">
        <v>2</v>
      </c>
      <c r="HO75">
        <v>75</v>
      </c>
      <c r="HP75">
        <v>3</v>
      </c>
      <c r="HQ75">
        <v>0</v>
      </c>
      <c r="HR75">
        <v>2</v>
      </c>
      <c r="HS75">
        <v>3402</v>
      </c>
      <c r="HT75">
        <v>100</v>
      </c>
      <c r="HU75">
        <v>180</v>
      </c>
      <c r="HW75">
        <v>0</v>
      </c>
      <c r="HX75">
        <v>480</v>
      </c>
      <c r="HY75">
        <v>0.18</v>
      </c>
      <c r="IA75">
        <v>0.15</v>
      </c>
      <c r="IB75">
        <v>0</v>
      </c>
      <c r="IC75">
        <v>180</v>
      </c>
      <c r="ID75">
        <v>110</v>
      </c>
      <c r="IE75">
        <v>0</v>
      </c>
      <c r="IF75">
        <v>0</v>
      </c>
      <c r="IH75" t="s">
        <v>549</v>
      </c>
      <c r="IO75">
        <v>1</v>
      </c>
      <c r="IP75">
        <v>15</v>
      </c>
      <c r="IQ75">
        <v>0</v>
      </c>
      <c r="IR75">
        <v>1</v>
      </c>
      <c r="IV75">
        <v>1122</v>
      </c>
      <c r="IW75">
        <v>358</v>
      </c>
      <c r="JA75">
        <v>1</v>
      </c>
      <c r="JB75">
        <v>0</v>
      </c>
      <c r="JC75">
        <v>2</v>
      </c>
      <c r="JD75">
        <v>1136</v>
      </c>
      <c r="JE75">
        <v>1134</v>
      </c>
      <c r="JF75">
        <v>0</v>
      </c>
      <c r="JG75">
        <v>1117</v>
      </c>
      <c r="JH75">
        <v>0</v>
      </c>
      <c r="JJ75">
        <v>180</v>
      </c>
      <c r="JK75">
        <v>480</v>
      </c>
      <c r="JN75">
        <v>335</v>
      </c>
      <c r="JO75">
        <v>480</v>
      </c>
      <c r="JP75">
        <v>0</v>
      </c>
      <c r="JQ75">
        <v>0</v>
      </c>
      <c r="JR75">
        <v>314</v>
      </c>
      <c r="JS75">
        <v>145</v>
      </c>
      <c r="JV75">
        <v>8</v>
      </c>
      <c r="JW75" t="s">
        <v>550</v>
      </c>
      <c r="JX75">
        <v>0</v>
      </c>
      <c r="KA75">
        <v>0</v>
      </c>
      <c r="KB75">
        <v>110</v>
      </c>
      <c r="KC75">
        <v>0</v>
      </c>
      <c r="KD75">
        <v>80</v>
      </c>
      <c r="KF75">
        <v>4</v>
      </c>
      <c r="KG75">
        <v>2</v>
      </c>
      <c r="KH75">
        <v>2</v>
      </c>
      <c r="KI75">
        <v>2</v>
      </c>
      <c r="KJ75">
        <v>0</v>
      </c>
      <c r="KK75">
        <v>1.5</v>
      </c>
      <c r="KL75">
        <v>1.5</v>
      </c>
      <c r="KM75">
        <v>0</v>
      </c>
      <c r="KN75">
        <v>0</v>
      </c>
      <c r="KO75">
        <v>0</v>
      </c>
      <c r="KR75">
        <v>30</v>
      </c>
      <c r="KS75">
        <v>60</v>
      </c>
      <c r="KT75">
        <v>0</v>
      </c>
      <c r="LK75">
        <v>480</v>
      </c>
      <c r="PG75">
        <v>1</v>
      </c>
      <c r="PI75" t="s">
        <v>1558</v>
      </c>
      <c r="PJ75" t="s">
        <v>1560</v>
      </c>
      <c r="PL75" t="s">
        <v>1559</v>
      </c>
      <c r="PP75" t="s">
        <v>1561</v>
      </c>
      <c r="PX75">
        <v>56</v>
      </c>
      <c r="PY75">
        <v>56</v>
      </c>
      <c r="PZ75" t="s">
        <v>1558</v>
      </c>
      <c r="QA75">
        <v>2</v>
      </c>
      <c r="QB75">
        <v>1117</v>
      </c>
      <c r="QC75">
        <v>69</v>
      </c>
      <c r="QD75">
        <v>69</v>
      </c>
      <c r="QE75" t="s">
        <v>1559</v>
      </c>
      <c r="QF75">
        <v>1</v>
      </c>
      <c r="QG75">
        <v>1136</v>
      </c>
      <c r="QH75">
        <v>66</v>
      </c>
      <c r="QI75">
        <v>66</v>
      </c>
      <c r="QL75">
        <v>0</v>
      </c>
      <c r="QM75">
        <v>62</v>
      </c>
      <c r="QN75">
        <v>62</v>
      </c>
      <c r="QO75" t="s">
        <v>1560</v>
      </c>
      <c r="QP75">
        <v>1</v>
      </c>
      <c r="QQ75">
        <v>1134</v>
      </c>
      <c r="QW75">
        <v>82</v>
      </c>
      <c r="QX75">
        <v>88</v>
      </c>
      <c r="QY75" t="s">
        <v>1561</v>
      </c>
      <c r="QZ75">
        <v>1</v>
      </c>
      <c r="RA75">
        <v>66</v>
      </c>
      <c r="RB75">
        <v>66</v>
      </c>
      <c r="RE75">
        <v>0</v>
      </c>
      <c r="RF75">
        <v>1</v>
      </c>
      <c r="RJ75">
        <v>2</v>
      </c>
      <c r="RL75">
        <v>2</v>
      </c>
      <c r="RO75">
        <v>474</v>
      </c>
      <c r="RQ75">
        <v>808</v>
      </c>
      <c r="RT75">
        <v>157</v>
      </c>
      <c r="RU75">
        <v>172</v>
      </c>
      <c r="RV75" t="s">
        <v>1564</v>
      </c>
      <c r="RW75" t="s">
        <v>1498</v>
      </c>
      <c r="RX75">
        <v>15</v>
      </c>
      <c r="RY75">
        <v>4</v>
      </c>
      <c r="RZ75" t="s">
        <v>1498</v>
      </c>
      <c r="SA75">
        <v>15</v>
      </c>
      <c r="SC75" t="s">
        <v>1560</v>
      </c>
      <c r="SD75">
        <v>1</v>
      </c>
      <c r="SH75">
        <v>0.995</v>
      </c>
      <c r="SI75">
        <v>0.995</v>
      </c>
      <c r="SJ75">
        <v>0.995</v>
      </c>
      <c r="SK75">
        <v>15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TB75">
        <v>0</v>
      </c>
      <c r="TC75">
        <v>0</v>
      </c>
      <c r="TD75">
        <v>7.5</v>
      </c>
      <c r="TE75" t="s">
        <v>553</v>
      </c>
      <c r="TF75" t="s">
        <v>754</v>
      </c>
      <c r="TG75" t="s">
        <v>555</v>
      </c>
      <c r="TI75" t="s">
        <v>546</v>
      </c>
      <c r="TJ75" t="s">
        <v>547</v>
      </c>
      <c r="TL75" t="s">
        <v>1477</v>
      </c>
      <c r="TM75" t="s">
        <v>513</v>
      </c>
      <c r="TN75">
        <v>0</v>
      </c>
      <c r="TO75" t="s">
        <v>557</v>
      </c>
    </row>
    <row r="76" spans="1:535">
      <c r="A76" t="s">
        <v>1565</v>
      </c>
      <c r="B76" t="s">
        <v>559</v>
      </c>
      <c r="C76" t="s">
        <v>509</v>
      </c>
      <c r="D76" t="s">
        <v>710</v>
      </c>
      <c r="G76" t="s">
        <v>627</v>
      </c>
      <c r="H76" t="s">
        <v>604</v>
      </c>
      <c r="I76" t="s">
        <v>628</v>
      </c>
      <c r="J76" t="s">
        <v>606</v>
      </c>
      <c r="L76" t="s">
        <v>512</v>
      </c>
      <c r="M76" t="s">
        <v>564</v>
      </c>
      <c r="N76" t="s">
        <v>513</v>
      </c>
      <c r="O76" t="s">
        <v>607</v>
      </c>
      <c r="Q76" t="s">
        <v>1566</v>
      </c>
      <c r="R76" t="s">
        <v>567</v>
      </c>
      <c r="S76" t="s">
        <v>1567</v>
      </c>
      <c r="T76" t="s">
        <v>1568</v>
      </c>
      <c r="U76" t="s">
        <v>520</v>
      </c>
      <c r="V76" t="s">
        <v>521</v>
      </c>
      <c r="W76" t="s">
        <v>955</v>
      </c>
      <c r="X76" t="s">
        <v>1460</v>
      </c>
      <c r="Y76" t="s">
        <v>574</v>
      </c>
      <c r="Z76" t="s">
        <v>1569</v>
      </c>
      <c r="AA76" t="s">
        <v>1570</v>
      </c>
      <c r="AB76" t="s">
        <v>1571</v>
      </c>
      <c r="AC76">
        <v>2</v>
      </c>
      <c r="AD76">
        <v>56</v>
      </c>
      <c r="AE76">
        <v>201</v>
      </c>
      <c r="AF76">
        <v>1.5</v>
      </c>
      <c r="AH76">
        <v>0</v>
      </c>
      <c r="AI76" t="s">
        <v>1572</v>
      </c>
      <c r="AJ76">
        <v>212.5</v>
      </c>
      <c r="AK76">
        <v>1</v>
      </c>
      <c r="AL76">
        <v>1.5</v>
      </c>
      <c r="AM76" t="s">
        <v>529</v>
      </c>
      <c r="AO76">
        <v>0</v>
      </c>
      <c r="AR76">
        <v>0</v>
      </c>
      <c r="AS76">
        <v>1.5</v>
      </c>
      <c r="AU76" t="s">
        <v>1573</v>
      </c>
      <c r="AW76" t="s">
        <v>1573</v>
      </c>
      <c r="AX76">
        <v>1</v>
      </c>
      <c r="AY76">
        <v>307.5</v>
      </c>
      <c r="AZ76">
        <v>1.5</v>
      </c>
      <c r="BA76" t="s">
        <v>529</v>
      </c>
      <c r="BB76" t="s">
        <v>1574</v>
      </c>
      <c r="BD76" t="s">
        <v>1574</v>
      </c>
      <c r="BE76">
        <v>1</v>
      </c>
      <c r="BF76">
        <v>252.5</v>
      </c>
      <c r="BG76">
        <v>1.5</v>
      </c>
      <c r="BJ76">
        <v>0</v>
      </c>
      <c r="BN76">
        <v>1.5</v>
      </c>
      <c r="BP76" t="s">
        <v>1575</v>
      </c>
      <c r="BQ76">
        <v>88</v>
      </c>
      <c r="BR76">
        <v>2</v>
      </c>
      <c r="BS76" t="s">
        <v>1576</v>
      </c>
      <c r="BT76">
        <v>223</v>
      </c>
      <c r="BU76">
        <v>0.5</v>
      </c>
      <c r="BV76" t="s">
        <v>1576</v>
      </c>
      <c r="BW76">
        <v>446</v>
      </c>
      <c r="BX76">
        <v>1</v>
      </c>
      <c r="BY76" t="s">
        <v>533</v>
      </c>
      <c r="BZ76">
        <v>470</v>
      </c>
      <c r="CA76">
        <v>570</v>
      </c>
      <c r="CB76" t="s">
        <v>534</v>
      </c>
      <c r="CC76" t="s">
        <v>534</v>
      </c>
      <c r="CD76">
        <v>474</v>
      </c>
      <c r="CE76" t="s">
        <v>535</v>
      </c>
      <c r="CF76">
        <v>15</v>
      </c>
      <c r="CG76" t="s">
        <v>1577</v>
      </c>
      <c r="CH76" t="s">
        <v>1577</v>
      </c>
      <c r="CI76">
        <v>50</v>
      </c>
      <c r="CJ76">
        <v>1200</v>
      </c>
      <c r="CK76">
        <v>2</v>
      </c>
      <c r="CL76">
        <v>1301</v>
      </c>
      <c r="CM76">
        <v>2</v>
      </c>
      <c r="CN76" t="s">
        <v>537</v>
      </c>
      <c r="CO76" t="s">
        <v>538</v>
      </c>
      <c r="CP76" t="s">
        <v>539</v>
      </c>
      <c r="CQ76" t="s">
        <v>621</v>
      </c>
      <c r="CR76" t="s">
        <v>541</v>
      </c>
      <c r="CS76" t="s">
        <v>542</v>
      </c>
      <c r="CT76">
        <v>425</v>
      </c>
      <c r="CU76">
        <v>5</v>
      </c>
      <c r="CV76">
        <v>1.2</v>
      </c>
      <c r="CW76">
        <v>1213</v>
      </c>
      <c r="CX76">
        <v>730</v>
      </c>
      <c r="DD76">
        <v>0</v>
      </c>
      <c r="DE76" t="s">
        <v>622</v>
      </c>
      <c r="DF76">
        <v>615</v>
      </c>
      <c r="DG76">
        <v>3</v>
      </c>
      <c r="DH76">
        <v>0.88</v>
      </c>
      <c r="DI76">
        <v>1210</v>
      </c>
      <c r="DJ76">
        <v>862</v>
      </c>
      <c r="DK76" t="s">
        <v>622</v>
      </c>
      <c r="DL76">
        <v>505</v>
      </c>
      <c r="DM76">
        <v>3</v>
      </c>
      <c r="DN76">
        <v>0.88</v>
      </c>
      <c r="DO76">
        <v>1216</v>
      </c>
      <c r="DP76">
        <v>669</v>
      </c>
      <c r="DW76" t="s">
        <v>544</v>
      </c>
      <c r="DX76">
        <v>7.5</v>
      </c>
      <c r="EA76">
        <v>1285.7</v>
      </c>
      <c r="EB76">
        <v>243</v>
      </c>
      <c r="EC76" t="s">
        <v>545</v>
      </c>
      <c r="ED76">
        <v>40</v>
      </c>
      <c r="EE76">
        <v>3</v>
      </c>
      <c r="EG76">
        <v>1327</v>
      </c>
      <c r="EH76">
        <v>211</v>
      </c>
      <c r="EJ76">
        <v>0</v>
      </c>
      <c r="EK76">
        <v>1</v>
      </c>
      <c r="EN76">
        <v>0</v>
      </c>
      <c r="EP76" t="s">
        <v>546</v>
      </c>
      <c r="EQ76">
        <v>135</v>
      </c>
      <c r="ER76">
        <v>3</v>
      </c>
      <c r="ES76">
        <v>5.5</v>
      </c>
      <c r="ET76">
        <v>1198</v>
      </c>
      <c r="EU76">
        <v>586.9</v>
      </c>
      <c r="EV76">
        <v>703</v>
      </c>
      <c r="EW76" t="s">
        <v>547</v>
      </c>
      <c r="EX76">
        <v>70</v>
      </c>
      <c r="EY76">
        <v>2</v>
      </c>
      <c r="EZ76">
        <v>4.3</v>
      </c>
      <c r="FA76">
        <v>1198</v>
      </c>
      <c r="FB76">
        <v>208.3</v>
      </c>
      <c r="FC76">
        <v>250</v>
      </c>
      <c r="FE76">
        <v>0</v>
      </c>
      <c r="FF76">
        <v>2</v>
      </c>
      <c r="FI76">
        <v>0</v>
      </c>
      <c r="FK76" t="s">
        <v>548</v>
      </c>
      <c r="FL76">
        <v>0.4</v>
      </c>
      <c r="FM76">
        <v>120</v>
      </c>
      <c r="FN76">
        <v>130</v>
      </c>
      <c r="GR76" t="s">
        <v>548</v>
      </c>
      <c r="GS76">
        <v>0.4</v>
      </c>
      <c r="GT76">
        <v>30</v>
      </c>
      <c r="GU76">
        <v>410</v>
      </c>
      <c r="GV76">
        <v>30</v>
      </c>
      <c r="GW76">
        <v>260</v>
      </c>
      <c r="HC76">
        <v>0.1</v>
      </c>
      <c r="HD76">
        <v>3</v>
      </c>
      <c r="HE76">
        <v>3</v>
      </c>
      <c r="HF76">
        <v>3</v>
      </c>
      <c r="HG76">
        <v>3</v>
      </c>
      <c r="HH76">
        <v>3</v>
      </c>
      <c r="HI76">
        <v>190</v>
      </c>
      <c r="HJ76">
        <v>3</v>
      </c>
      <c r="HK76">
        <v>55</v>
      </c>
      <c r="HL76">
        <v>2</v>
      </c>
      <c r="HM76">
        <v>0</v>
      </c>
      <c r="HN76">
        <v>2</v>
      </c>
      <c r="HO76">
        <v>120</v>
      </c>
      <c r="HP76">
        <v>3</v>
      </c>
      <c r="HQ76">
        <v>0</v>
      </c>
      <c r="HR76">
        <v>2</v>
      </c>
      <c r="HS76">
        <v>5075</v>
      </c>
      <c r="HT76">
        <v>150</v>
      </c>
      <c r="HU76">
        <v>180</v>
      </c>
      <c r="HW76">
        <v>0</v>
      </c>
      <c r="HX76">
        <v>465</v>
      </c>
      <c r="HY76">
        <v>0.18</v>
      </c>
      <c r="IA76">
        <v>0.15</v>
      </c>
      <c r="IB76">
        <v>0</v>
      </c>
      <c r="IC76">
        <v>180</v>
      </c>
      <c r="ID76">
        <v>110</v>
      </c>
      <c r="IE76">
        <v>225</v>
      </c>
      <c r="IF76">
        <v>0</v>
      </c>
      <c r="IH76" t="s">
        <v>549</v>
      </c>
      <c r="IO76">
        <v>3</v>
      </c>
      <c r="IP76">
        <v>16</v>
      </c>
      <c r="IQ76">
        <v>0</v>
      </c>
      <c r="IR76">
        <v>1</v>
      </c>
      <c r="IV76">
        <v>1200</v>
      </c>
      <c r="IW76">
        <v>446</v>
      </c>
      <c r="JA76">
        <v>1</v>
      </c>
      <c r="JB76">
        <v>0</v>
      </c>
      <c r="JC76">
        <v>2</v>
      </c>
      <c r="JD76">
        <v>1213</v>
      </c>
      <c r="JE76">
        <v>1210</v>
      </c>
      <c r="JF76">
        <v>1216</v>
      </c>
      <c r="JG76">
        <v>1198</v>
      </c>
      <c r="JH76">
        <v>0</v>
      </c>
      <c r="JJ76">
        <v>180</v>
      </c>
      <c r="JK76">
        <v>465</v>
      </c>
      <c r="JN76">
        <v>425</v>
      </c>
      <c r="JO76">
        <v>615</v>
      </c>
      <c r="JP76">
        <v>505</v>
      </c>
      <c r="JQ76">
        <v>0</v>
      </c>
      <c r="JR76">
        <v>402</v>
      </c>
      <c r="JS76">
        <v>190</v>
      </c>
      <c r="JV76">
        <v>8</v>
      </c>
      <c r="JW76" t="s">
        <v>550</v>
      </c>
      <c r="JX76">
        <v>0</v>
      </c>
      <c r="KA76">
        <v>225</v>
      </c>
      <c r="KB76">
        <v>110</v>
      </c>
      <c r="KC76">
        <v>0</v>
      </c>
      <c r="KD76">
        <v>80</v>
      </c>
      <c r="KF76">
        <v>4</v>
      </c>
      <c r="KG76">
        <v>2</v>
      </c>
      <c r="KH76">
        <v>2</v>
      </c>
      <c r="KI76">
        <v>2</v>
      </c>
      <c r="KJ76">
        <v>0</v>
      </c>
      <c r="KK76">
        <v>1.5</v>
      </c>
      <c r="KL76">
        <v>1.5</v>
      </c>
      <c r="KM76">
        <v>0</v>
      </c>
      <c r="KN76">
        <v>0</v>
      </c>
      <c r="KO76">
        <v>0</v>
      </c>
      <c r="KR76">
        <v>30</v>
      </c>
      <c r="KS76">
        <v>60</v>
      </c>
      <c r="KT76">
        <v>0</v>
      </c>
      <c r="LK76">
        <v>480</v>
      </c>
      <c r="PG76">
        <v>1</v>
      </c>
      <c r="PI76" t="s">
        <v>1571</v>
      </c>
      <c r="PJ76" t="s">
        <v>1573</v>
      </c>
      <c r="PK76" t="s">
        <v>1574</v>
      </c>
      <c r="PL76" t="s">
        <v>1572</v>
      </c>
      <c r="PP76" t="s">
        <v>1575</v>
      </c>
      <c r="PX76">
        <v>56</v>
      </c>
      <c r="PY76">
        <v>56</v>
      </c>
      <c r="PZ76" t="s">
        <v>1571</v>
      </c>
      <c r="QA76">
        <v>2</v>
      </c>
      <c r="QB76">
        <v>1198</v>
      </c>
      <c r="QC76">
        <v>69</v>
      </c>
      <c r="QD76">
        <v>69</v>
      </c>
      <c r="QE76" t="s">
        <v>1572</v>
      </c>
      <c r="QF76">
        <v>1</v>
      </c>
      <c r="QG76">
        <v>1213</v>
      </c>
      <c r="QH76">
        <v>66</v>
      </c>
      <c r="QI76">
        <v>66</v>
      </c>
      <c r="QL76">
        <v>0</v>
      </c>
      <c r="QM76">
        <v>62</v>
      </c>
      <c r="QN76">
        <v>62</v>
      </c>
      <c r="QO76" t="s">
        <v>1573</v>
      </c>
      <c r="QP76">
        <v>1</v>
      </c>
      <c r="QQ76">
        <v>1210</v>
      </c>
      <c r="QR76">
        <v>62</v>
      </c>
      <c r="QS76">
        <v>62</v>
      </c>
      <c r="QT76" t="s">
        <v>1574</v>
      </c>
      <c r="QU76">
        <v>1</v>
      </c>
      <c r="QV76">
        <v>1216</v>
      </c>
      <c r="QW76">
        <v>82</v>
      </c>
      <c r="QX76">
        <v>88</v>
      </c>
      <c r="QY76" t="s">
        <v>1575</v>
      </c>
      <c r="QZ76">
        <v>1</v>
      </c>
      <c r="RA76">
        <v>66</v>
      </c>
      <c r="RB76">
        <v>66</v>
      </c>
      <c r="RE76">
        <v>0</v>
      </c>
      <c r="RF76">
        <v>1</v>
      </c>
      <c r="RH76">
        <v>1</v>
      </c>
      <c r="RJ76">
        <v>1</v>
      </c>
      <c r="RL76">
        <v>3</v>
      </c>
      <c r="RM76">
        <v>3</v>
      </c>
      <c r="RO76">
        <v>602</v>
      </c>
      <c r="RQ76">
        <v>712</v>
      </c>
      <c r="RR76">
        <v>550</v>
      </c>
      <c r="RT76">
        <v>243</v>
      </c>
      <c r="RU76">
        <v>211</v>
      </c>
      <c r="RV76" t="s">
        <v>1578</v>
      </c>
      <c r="RW76" t="s">
        <v>552</v>
      </c>
      <c r="RX76">
        <v>15</v>
      </c>
      <c r="RY76">
        <v>4</v>
      </c>
      <c r="RZ76" t="s">
        <v>552</v>
      </c>
      <c r="SA76">
        <v>15</v>
      </c>
      <c r="SC76" t="s">
        <v>1573</v>
      </c>
      <c r="SD76">
        <v>1</v>
      </c>
      <c r="SF76" t="s">
        <v>1574</v>
      </c>
      <c r="SG76">
        <v>1</v>
      </c>
      <c r="SH76">
        <v>0.995</v>
      </c>
      <c r="SI76">
        <v>0.995</v>
      </c>
      <c r="SJ76">
        <v>0.995</v>
      </c>
      <c r="SK76">
        <v>15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Z76">
        <v>1</v>
      </c>
      <c r="TB76">
        <v>0</v>
      </c>
      <c r="TC76">
        <v>0</v>
      </c>
      <c r="TD76">
        <v>7.5</v>
      </c>
      <c r="TE76" t="s">
        <v>553</v>
      </c>
      <c r="TF76" t="s">
        <v>655</v>
      </c>
      <c r="TG76" t="s">
        <v>555</v>
      </c>
      <c r="TI76" t="s">
        <v>546</v>
      </c>
      <c r="TJ76" t="s">
        <v>547</v>
      </c>
      <c r="TL76" t="s">
        <v>1477</v>
      </c>
      <c r="TM76" t="s">
        <v>513</v>
      </c>
      <c r="TN76">
        <v>0</v>
      </c>
      <c r="TO76" t="s">
        <v>557</v>
      </c>
    </row>
    <row r="77" spans="1:535">
      <c r="A77" t="s">
        <v>1579</v>
      </c>
      <c r="B77" t="s">
        <v>564</v>
      </c>
      <c r="C77" t="s">
        <v>509</v>
      </c>
      <c r="D77" t="s">
        <v>951</v>
      </c>
      <c r="G77" t="s">
        <v>604</v>
      </c>
      <c r="H77" t="s">
        <v>605</v>
      </c>
      <c r="J77" t="s">
        <v>606</v>
      </c>
      <c r="L77" t="s">
        <v>512</v>
      </c>
      <c r="M77" t="s">
        <v>629</v>
      </c>
      <c r="N77" t="s">
        <v>513</v>
      </c>
      <c r="O77" t="s">
        <v>607</v>
      </c>
      <c r="Q77" t="s">
        <v>1580</v>
      </c>
      <c r="R77" t="s">
        <v>567</v>
      </c>
      <c r="S77" t="s">
        <v>879</v>
      </c>
      <c r="T77" t="s">
        <v>880</v>
      </c>
      <c r="U77" t="s">
        <v>633</v>
      </c>
      <c r="V77" t="s">
        <v>634</v>
      </c>
      <c r="W77" t="s">
        <v>881</v>
      </c>
      <c r="X77" t="s">
        <v>1460</v>
      </c>
      <c r="Y77" t="s">
        <v>524</v>
      </c>
      <c r="Z77" t="s">
        <v>1581</v>
      </c>
      <c r="AA77" t="s">
        <v>1582</v>
      </c>
      <c r="AB77" t="s">
        <v>1583</v>
      </c>
      <c r="AC77">
        <v>2</v>
      </c>
      <c r="AD77">
        <v>56</v>
      </c>
      <c r="AE77">
        <v>200</v>
      </c>
      <c r="AF77">
        <v>1.5</v>
      </c>
      <c r="AH77">
        <v>0</v>
      </c>
      <c r="AI77" t="s">
        <v>1246</v>
      </c>
      <c r="AJ77">
        <v>210</v>
      </c>
      <c r="AK77">
        <v>1</v>
      </c>
      <c r="AL77">
        <v>1.5</v>
      </c>
      <c r="AM77" t="s">
        <v>529</v>
      </c>
      <c r="AO77">
        <v>0</v>
      </c>
      <c r="AR77">
        <v>0</v>
      </c>
      <c r="AS77">
        <v>1.5</v>
      </c>
      <c r="AU77" t="s">
        <v>1584</v>
      </c>
      <c r="AW77" t="s">
        <v>1584</v>
      </c>
      <c r="AX77">
        <v>1</v>
      </c>
      <c r="AY77">
        <v>305</v>
      </c>
      <c r="AZ77">
        <v>1.5</v>
      </c>
      <c r="BA77" t="s">
        <v>529</v>
      </c>
      <c r="BB77" t="s">
        <v>1585</v>
      </c>
      <c r="BD77" t="s">
        <v>1585</v>
      </c>
      <c r="BE77">
        <v>1</v>
      </c>
      <c r="BF77">
        <v>252.5</v>
      </c>
      <c r="BG77">
        <v>1.5</v>
      </c>
      <c r="BJ77">
        <v>0</v>
      </c>
      <c r="BN77">
        <v>1.5</v>
      </c>
      <c r="BP77" t="s">
        <v>1586</v>
      </c>
      <c r="BQ77">
        <v>89</v>
      </c>
      <c r="BR77">
        <v>2</v>
      </c>
      <c r="BS77" t="s">
        <v>889</v>
      </c>
      <c r="BT77">
        <v>222</v>
      </c>
      <c r="BU77">
        <v>0.5</v>
      </c>
      <c r="BV77" t="s">
        <v>889</v>
      </c>
      <c r="BW77">
        <v>444</v>
      </c>
      <c r="BX77">
        <v>1</v>
      </c>
      <c r="BY77" t="s">
        <v>643</v>
      </c>
      <c r="BZ77">
        <v>300</v>
      </c>
      <c r="CA77">
        <v>520</v>
      </c>
      <c r="CB77" t="s">
        <v>644</v>
      </c>
      <c r="CC77" t="s">
        <v>644</v>
      </c>
      <c r="CD77">
        <v>470</v>
      </c>
      <c r="CE77" t="s">
        <v>544</v>
      </c>
      <c r="CF77">
        <v>15</v>
      </c>
      <c r="CG77" t="s">
        <v>1112</v>
      </c>
      <c r="CH77" t="s">
        <v>1112</v>
      </c>
      <c r="CI77">
        <v>110</v>
      </c>
      <c r="CJ77">
        <v>1301</v>
      </c>
      <c r="CK77">
        <v>2</v>
      </c>
      <c r="CL77">
        <v>1395</v>
      </c>
      <c r="CM77">
        <v>2</v>
      </c>
      <c r="CN77" t="s">
        <v>646</v>
      </c>
      <c r="CO77" t="s">
        <v>647</v>
      </c>
      <c r="CP77" t="s">
        <v>648</v>
      </c>
      <c r="CQ77" t="s">
        <v>621</v>
      </c>
      <c r="CR77" t="s">
        <v>541</v>
      </c>
      <c r="CS77" t="s">
        <v>542</v>
      </c>
      <c r="CT77">
        <v>420</v>
      </c>
      <c r="CU77">
        <v>5</v>
      </c>
      <c r="CV77">
        <v>1.2</v>
      </c>
      <c r="CW77">
        <v>1314</v>
      </c>
      <c r="CX77">
        <v>782</v>
      </c>
      <c r="DD77">
        <v>0</v>
      </c>
      <c r="DE77" t="s">
        <v>622</v>
      </c>
      <c r="DF77">
        <v>610</v>
      </c>
      <c r="DG77">
        <v>3</v>
      </c>
      <c r="DH77">
        <v>0.88</v>
      </c>
      <c r="DI77">
        <v>1311</v>
      </c>
      <c r="DJ77">
        <v>927</v>
      </c>
      <c r="DK77" t="s">
        <v>622</v>
      </c>
      <c r="DL77">
        <v>505</v>
      </c>
      <c r="DM77">
        <v>3</v>
      </c>
      <c r="DN77">
        <v>0.88</v>
      </c>
      <c r="DO77">
        <v>1316</v>
      </c>
      <c r="DP77">
        <v>770</v>
      </c>
      <c r="DW77" t="s">
        <v>544</v>
      </c>
      <c r="DX77">
        <v>7.5</v>
      </c>
      <c r="EA77">
        <v>1384.6</v>
      </c>
      <c r="EB77">
        <v>327</v>
      </c>
      <c r="EC77" t="s">
        <v>545</v>
      </c>
      <c r="ED77">
        <v>40</v>
      </c>
      <c r="EE77">
        <v>3</v>
      </c>
      <c r="EG77">
        <v>1435</v>
      </c>
      <c r="EH77">
        <v>228</v>
      </c>
      <c r="EJ77">
        <v>0</v>
      </c>
      <c r="EK77">
        <v>1</v>
      </c>
      <c r="EN77">
        <v>0</v>
      </c>
      <c r="EP77" t="s">
        <v>546</v>
      </c>
      <c r="EQ77">
        <v>130</v>
      </c>
      <c r="ER77">
        <v>3</v>
      </c>
      <c r="ES77">
        <v>5.5</v>
      </c>
      <c r="ET77">
        <v>1298</v>
      </c>
      <c r="EU77">
        <v>561.4</v>
      </c>
      <c r="EV77">
        <v>729</v>
      </c>
      <c r="EW77" t="s">
        <v>547</v>
      </c>
      <c r="EX77">
        <v>70</v>
      </c>
      <c r="EY77">
        <v>2</v>
      </c>
      <c r="EZ77">
        <v>4.3</v>
      </c>
      <c r="FA77">
        <v>1298</v>
      </c>
      <c r="FB77">
        <v>208.3</v>
      </c>
      <c r="FC77">
        <v>270</v>
      </c>
      <c r="FE77">
        <v>0</v>
      </c>
      <c r="FF77">
        <v>2</v>
      </c>
      <c r="FI77">
        <v>0</v>
      </c>
      <c r="FK77" t="s">
        <v>548</v>
      </c>
      <c r="FL77">
        <v>0.4</v>
      </c>
      <c r="FM77">
        <v>120</v>
      </c>
      <c r="FN77">
        <v>120</v>
      </c>
      <c r="GR77" t="s">
        <v>548</v>
      </c>
      <c r="GS77">
        <v>0.4</v>
      </c>
      <c r="GT77">
        <v>100</v>
      </c>
      <c r="GU77">
        <v>270</v>
      </c>
      <c r="HC77">
        <v>0.1</v>
      </c>
      <c r="HD77">
        <v>3</v>
      </c>
      <c r="HE77">
        <v>3</v>
      </c>
      <c r="HF77">
        <v>3</v>
      </c>
      <c r="HG77">
        <v>3</v>
      </c>
      <c r="HH77">
        <v>3</v>
      </c>
      <c r="HI77">
        <v>185</v>
      </c>
      <c r="HJ77">
        <v>3</v>
      </c>
      <c r="HK77">
        <v>55</v>
      </c>
      <c r="HL77">
        <v>2</v>
      </c>
      <c r="HM77">
        <v>0</v>
      </c>
      <c r="HN77">
        <v>2</v>
      </c>
      <c r="HO77">
        <v>115</v>
      </c>
      <c r="HP77">
        <v>3</v>
      </c>
      <c r="HQ77">
        <v>0</v>
      </c>
      <c r="HR77">
        <v>2</v>
      </c>
      <c r="HS77">
        <v>5587</v>
      </c>
      <c r="HT77">
        <v>170</v>
      </c>
      <c r="HU77">
        <v>180</v>
      </c>
      <c r="HW77">
        <v>0</v>
      </c>
      <c r="HX77">
        <v>460</v>
      </c>
      <c r="HY77">
        <v>0.18</v>
      </c>
      <c r="IA77">
        <v>0.15</v>
      </c>
      <c r="IB77">
        <v>0</v>
      </c>
      <c r="IC77">
        <v>180</v>
      </c>
      <c r="ID77">
        <v>110</v>
      </c>
      <c r="IE77">
        <v>0</v>
      </c>
      <c r="IF77">
        <v>0</v>
      </c>
      <c r="IH77" t="s">
        <v>549</v>
      </c>
      <c r="IO77">
        <v>3</v>
      </c>
      <c r="IP77">
        <v>17</v>
      </c>
      <c r="IQ77">
        <v>0</v>
      </c>
      <c r="IR77">
        <v>1</v>
      </c>
      <c r="IV77">
        <v>1301</v>
      </c>
      <c r="IW77">
        <v>444</v>
      </c>
      <c r="JA77">
        <v>1</v>
      </c>
      <c r="JB77">
        <v>0</v>
      </c>
      <c r="JC77">
        <v>2</v>
      </c>
      <c r="JD77">
        <v>1314</v>
      </c>
      <c r="JE77">
        <v>1311</v>
      </c>
      <c r="JF77">
        <v>1316</v>
      </c>
      <c r="JG77">
        <v>1298</v>
      </c>
      <c r="JH77">
        <v>0</v>
      </c>
      <c r="JJ77">
        <v>180</v>
      </c>
      <c r="JK77">
        <v>460</v>
      </c>
      <c r="JN77">
        <v>420</v>
      </c>
      <c r="JO77">
        <v>610</v>
      </c>
      <c r="JP77">
        <v>505</v>
      </c>
      <c r="JQ77">
        <v>0</v>
      </c>
      <c r="JR77">
        <v>400</v>
      </c>
      <c r="JS77">
        <v>185</v>
      </c>
      <c r="JV77">
        <v>8</v>
      </c>
      <c r="JW77" t="s">
        <v>550</v>
      </c>
      <c r="JX77">
        <v>0</v>
      </c>
      <c r="KA77">
        <v>0</v>
      </c>
      <c r="KB77">
        <v>110</v>
      </c>
      <c r="KC77">
        <v>0</v>
      </c>
      <c r="KD77">
        <v>80</v>
      </c>
      <c r="KF77">
        <v>4</v>
      </c>
      <c r="KG77">
        <v>2</v>
      </c>
      <c r="KH77">
        <v>2</v>
      </c>
      <c r="KI77">
        <v>2</v>
      </c>
      <c r="KJ77">
        <v>0</v>
      </c>
      <c r="KK77">
        <v>1.5</v>
      </c>
      <c r="KL77">
        <v>1.5</v>
      </c>
      <c r="KM77">
        <v>0</v>
      </c>
      <c r="KN77">
        <v>0</v>
      </c>
      <c r="KO77">
        <v>0</v>
      </c>
      <c r="KR77">
        <v>50</v>
      </c>
      <c r="KS77">
        <v>60</v>
      </c>
      <c r="KT77">
        <v>0</v>
      </c>
      <c r="LK77">
        <v>480</v>
      </c>
      <c r="PG77">
        <v>1</v>
      </c>
      <c r="PI77" t="s">
        <v>1583</v>
      </c>
      <c r="PJ77" t="s">
        <v>1584</v>
      </c>
      <c r="PK77" t="s">
        <v>1585</v>
      </c>
      <c r="PL77" t="s">
        <v>1246</v>
      </c>
      <c r="PP77" t="s">
        <v>1586</v>
      </c>
      <c r="PX77">
        <v>56</v>
      </c>
      <c r="PY77">
        <v>56</v>
      </c>
      <c r="PZ77" t="s">
        <v>1583</v>
      </c>
      <c r="QA77">
        <v>3</v>
      </c>
      <c r="QB77">
        <v>1298</v>
      </c>
      <c r="QC77">
        <v>69</v>
      </c>
      <c r="QD77">
        <v>69</v>
      </c>
      <c r="QE77" t="s">
        <v>1246</v>
      </c>
      <c r="QF77">
        <v>1</v>
      </c>
      <c r="QG77">
        <v>1314</v>
      </c>
      <c r="QH77">
        <v>66</v>
      </c>
      <c r="QI77">
        <v>66</v>
      </c>
      <c r="QL77">
        <v>0</v>
      </c>
      <c r="QM77">
        <v>62</v>
      </c>
      <c r="QN77">
        <v>62</v>
      </c>
      <c r="QO77" t="s">
        <v>1584</v>
      </c>
      <c r="QP77">
        <v>1</v>
      </c>
      <c r="QQ77">
        <v>1311</v>
      </c>
      <c r="QR77">
        <v>62</v>
      </c>
      <c r="QS77">
        <v>62</v>
      </c>
      <c r="QT77" t="s">
        <v>1585</v>
      </c>
      <c r="QU77">
        <v>1</v>
      </c>
      <c r="QV77">
        <v>1316</v>
      </c>
      <c r="QW77">
        <v>82</v>
      </c>
      <c r="QX77">
        <v>89</v>
      </c>
      <c r="QY77" t="s">
        <v>1586</v>
      </c>
      <c r="QZ77">
        <v>3</v>
      </c>
      <c r="RA77">
        <v>66</v>
      </c>
      <c r="RB77">
        <v>66</v>
      </c>
      <c r="RE77">
        <v>0</v>
      </c>
      <c r="RF77">
        <v>1</v>
      </c>
      <c r="RH77">
        <v>1</v>
      </c>
      <c r="RJ77">
        <v>2</v>
      </c>
      <c r="RL77">
        <v>4</v>
      </c>
      <c r="RM77">
        <v>4</v>
      </c>
      <c r="RO77">
        <v>595</v>
      </c>
      <c r="RQ77">
        <v>707</v>
      </c>
      <c r="RR77">
        <v>585</v>
      </c>
      <c r="RT77">
        <v>327</v>
      </c>
      <c r="RU77">
        <v>228</v>
      </c>
      <c r="RV77" t="s">
        <v>893</v>
      </c>
      <c r="RW77" t="s">
        <v>653</v>
      </c>
      <c r="RX77">
        <v>15</v>
      </c>
      <c r="RY77">
        <v>4</v>
      </c>
      <c r="RZ77" t="s">
        <v>653</v>
      </c>
      <c r="SA77">
        <v>15</v>
      </c>
      <c r="SC77" t="s">
        <v>1584</v>
      </c>
      <c r="SD77">
        <v>1</v>
      </c>
      <c r="SF77" t="s">
        <v>1585</v>
      </c>
      <c r="SG77">
        <v>1</v>
      </c>
      <c r="SH77">
        <v>0.995</v>
      </c>
      <c r="SI77">
        <v>0.995</v>
      </c>
      <c r="SJ77">
        <v>0.995</v>
      </c>
      <c r="SK77">
        <v>15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Z77">
        <v>1</v>
      </c>
      <c r="TB77">
        <v>0</v>
      </c>
      <c r="TC77">
        <v>0</v>
      </c>
      <c r="TD77">
        <v>7.5</v>
      </c>
      <c r="TE77" t="s">
        <v>553</v>
      </c>
      <c r="TF77" t="s">
        <v>681</v>
      </c>
      <c r="TG77" t="s">
        <v>555</v>
      </c>
      <c r="TI77" t="s">
        <v>546</v>
      </c>
      <c r="TJ77" t="s">
        <v>547</v>
      </c>
      <c r="TL77" t="s">
        <v>1477</v>
      </c>
      <c r="TM77" t="s">
        <v>513</v>
      </c>
      <c r="TN77">
        <v>0</v>
      </c>
      <c r="TO77" t="s">
        <v>557</v>
      </c>
    </row>
    <row r="78" spans="1:535">
      <c r="A78" t="s">
        <v>1587</v>
      </c>
      <c r="B78" t="s">
        <v>559</v>
      </c>
      <c r="C78" t="s">
        <v>509</v>
      </c>
      <c r="D78" t="s">
        <v>1013</v>
      </c>
      <c r="G78" t="s">
        <v>604</v>
      </c>
      <c r="H78" t="s">
        <v>605</v>
      </c>
      <c r="I78" t="s">
        <v>628</v>
      </c>
      <c r="J78" t="s">
        <v>606</v>
      </c>
      <c r="L78" t="s">
        <v>512</v>
      </c>
      <c r="M78" t="s">
        <v>564</v>
      </c>
      <c r="N78" t="s">
        <v>513</v>
      </c>
      <c r="O78" t="s">
        <v>607</v>
      </c>
      <c r="Q78" t="s">
        <v>1588</v>
      </c>
      <c r="R78" t="s">
        <v>567</v>
      </c>
      <c r="S78" t="s">
        <v>987</v>
      </c>
      <c r="T78" t="s">
        <v>988</v>
      </c>
      <c r="U78" t="s">
        <v>662</v>
      </c>
      <c r="V78" t="s">
        <v>663</v>
      </c>
      <c r="W78" t="s">
        <v>1589</v>
      </c>
      <c r="X78" t="s">
        <v>1460</v>
      </c>
      <c r="Y78" t="s">
        <v>574</v>
      </c>
      <c r="Z78" t="s">
        <v>1590</v>
      </c>
      <c r="AA78" t="s">
        <v>1591</v>
      </c>
      <c r="AB78" t="s">
        <v>1592</v>
      </c>
      <c r="AC78">
        <v>2</v>
      </c>
      <c r="AD78">
        <v>56</v>
      </c>
      <c r="AE78">
        <v>262</v>
      </c>
      <c r="AF78">
        <v>1.5</v>
      </c>
      <c r="AH78">
        <v>0</v>
      </c>
      <c r="AI78" t="s">
        <v>1593</v>
      </c>
      <c r="AJ78">
        <v>240</v>
      </c>
      <c r="AK78">
        <v>1</v>
      </c>
      <c r="AL78">
        <v>1.5</v>
      </c>
      <c r="AM78" t="s">
        <v>579</v>
      </c>
      <c r="AN78" t="s">
        <v>693</v>
      </c>
      <c r="AO78">
        <v>2</v>
      </c>
      <c r="AP78" t="s">
        <v>581</v>
      </c>
      <c r="AQ78" t="s">
        <v>582</v>
      </c>
      <c r="AR78">
        <v>278</v>
      </c>
      <c r="AS78">
        <v>1.5</v>
      </c>
      <c r="AT78" t="s">
        <v>583</v>
      </c>
      <c r="AU78" t="s">
        <v>1594</v>
      </c>
      <c r="AW78" t="s">
        <v>1594</v>
      </c>
      <c r="AX78">
        <v>1</v>
      </c>
      <c r="AY78">
        <v>352.5</v>
      </c>
      <c r="AZ78">
        <v>1.5</v>
      </c>
      <c r="BA78" t="s">
        <v>579</v>
      </c>
      <c r="BB78" t="s">
        <v>1595</v>
      </c>
      <c r="BD78" t="s">
        <v>1595</v>
      </c>
      <c r="BE78">
        <v>1</v>
      </c>
      <c r="BF78">
        <v>280</v>
      </c>
      <c r="BG78">
        <v>1.5</v>
      </c>
      <c r="BJ78">
        <v>0</v>
      </c>
      <c r="BN78">
        <v>1.5</v>
      </c>
      <c r="BP78" t="s">
        <v>1596</v>
      </c>
      <c r="BQ78">
        <v>88</v>
      </c>
      <c r="BR78">
        <v>2</v>
      </c>
      <c r="BS78" t="s">
        <v>671</v>
      </c>
      <c r="BT78">
        <v>259</v>
      </c>
      <c r="BU78">
        <v>0.5</v>
      </c>
      <c r="BV78" t="s">
        <v>671</v>
      </c>
      <c r="BW78">
        <v>518</v>
      </c>
      <c r="BX78">
        <v>1</v>
      </c>
      <c r="BY78" t="s">
        <v>643</v>
      </c>
      <c r="BZ78">
        <v>470</v>
      </c>
      <c r="CA78">
        <v>590</v>
      </c>
      <c r="CB78" t="s">
        <v>672</v>
      </c>
      <c r="CC78" t="s">
        <v>997</v>
      </c>
      <c r="CD78">
        <v>530</v>
      </c>
      <c r="CE78" t="s">
        <v>673</v>
      </c>
      <c r="CF78">
        <v>15</v>
      </c>
      <c r="CG78" t="s">
        <v>1265</v>
      </c>
      <c r="CH78" t="s">
        <v>1265</v>
      </c>
      <c r="CI78">
        <v>60</v>
      </c>
      <c r="CJ78">
        <v>1381</v>
      </c>
      <c r="CK78">
        <v>2</v>
      </c>
      <c r="CL78">
        <v>1475</v>
      </c>
      <c r="CM78">
        <v>2</v>
      </c>
      <c r="CN78" t="s">
        <v>675</v>
      </c>
      <c r="CO78" t="s">
        <v>676</v>
      </c>
      <c r="CP78" t="s">
        <v>595</v>
      </c>
      <c r="CQ78" t="s">
        <v>596</v>
      </c>
      <c r="CR78" t="s">
        <v>541</v>
      </c>
      <c r="CS78" t="s">
        <v>542</v>
      </c>
      <c r="CT78">
        <v>480</v>
      </c>
      <c r="CU78">
        <v>5</v>
      </c>
      <c r="CV78">
        <v>1.2</v>
      </c>
      <c r="CW78">
        <v>1398</v>
      </c>
      <c r="CX78">
        <v>951</v>
      </c>
      <c r="CY78" t="s">
        <v>705</v>
      </c>
      <c r="CZ78">
        <v>50</v>
      </c>
      <c r="DA78">
        <v>3</v>
      </c>
      <c r="DB78">
        <v>1</v>
      </c>
      <c r="DC78">
        <v>1398</v>
      </c>
      <c r="DD78">
        <v>73</v>
      </c>
      <c r="DE78" t="s">
        <v>543</v>
      </c>
      <c r="DF78">
        <v>705</v>
      </c>
      <c r="DG78">
        <v>3</v>
      </c>
      <c r="DH78">
        <v>1.18</v>
      </c>
      <c r="DI78">
        <v>1391</v>
      </c>
      <c r="DJ78">
        <v>1477</v>
      </c>
      <c r="DK78" t="s">
        <v>543</v>
      </c>
      <c r="DL78">
        <v>560</v>
      </c>
      <c r="DM78">
        <v>3</v>
      </c>
      <c r="DN78">
        <v>1.18</v>
      </c>
      <c r="DO78">
        <v>1399</v>
      </c>
      <c r="DP78">
        <v>1136</v>
      </c>
      <c r="DW78" t="s">
        <v>544</v>
      </c>
      <c r="DX78">
        <v>7.5</v>
      </c>
      <c r="EA78">
        <v>1464.3</v>
      </c>
      <c r="EB78">
        <v>345</v>
      </c>
      <c r="EC78" t="s">
        <v>545</v>
      </c>
      <c r="ED78">
        <v>30</v>
      </c>
      <c r="EE78">
        <v>3</v>
      </c>
      <c r="EG78">
        <v>1515</v>
      </c>
      <c r="EH78">
        <v>177</v>
      </c>
      <c r="EJ78">
        <v>0</v>
      </c>
      <c r="EK78">
        <v>1</v>
      </c>
      <c r="EN78">
        <v>0</v>
      </c>
      <c r="EP78" t="s">
        <v>546</v>
      </c>
      <c r="EQ78">
        <v>140</v>
      </c>
      <c r="ER78">
        <v>3</v>
      </c>
      <c r="ES78">
        <v>6.5</v>
      </c>
      <c r="ET78">
        <v>1384</v>
      </c>
      <c r="EU78">
        <v>674.6</v>
      </c>
      <c r="EV78">
        <v>934</v>
      </c>
      <c r="EW78" t="s">
        <v>547</v>
      </c>
      <c r="EX78">
        <v>45</v>
      </c>
      <c r="EY78">
        <v>2</v>
      </c>
      <c r="EZ78">
        <v>4.5</v>
      </c>
      <c r="FA78">
        <v>1384</v>
      </c>
      <c r="FB78">
        <v>151.6</v>
      </c>
      <c r="FC78">
        <v>210</v>
      </c>
      <c r="FE78">
        <v>0</v>
      </c>
      <c r="FF78">
        <v>2</v>
      </c>
      <c r="FI78">
        <v>0</v>
      </c>
      <c r="FK78" t="s">
        <v>548</v>
      </c>
      <c r="FL78">
        <v>0.4</v>
      </c>
      <c r="FM78">
        <v>55</v>
      </c>
      <c r="FN78">
        <v>420</v>
      </c>
      <c r="FO78">
        <v>65</v>
      </c>
      <c r="FP78">
        <v>170</v>
      </c>
      <c r="GR78" t="s">
        <v>548</v>
      </c>
      <c r="GS78">
        <v>0.4</v>
      </c>
      <c r="GT78">
        <v>60</v>
      </c>
      <c r="GU78">
        <v>320</v>
      </c>
      <c r="HC78">
        <v>0.1</v>
      </c>
      <c r="HD78">
        <v>3</v>
      </c>
      <c r="HE78">
        <v>3</v>
      </c>
      <c r="HF78">
        <v>3</v>
      </c>
      <c r="HG78">
        <v>3</v>
      </c>
      <c r="HH78">
        <v>3</v>
      </c>
      <c r="HI78">
        <v>170</v>
      </c>
      <c r="HJ78">
        <v>3</v>
      </c>
      <c r="HK78">
        <v>30</v>
      </c>
      <c r="HL78">
        <v>2</v>
      </c>
      <c r="HM78">
        <v>0</v>
      </c>
      <c r="HN78">
        <v>2</v>
      </c>
      <c r="HO78">
        <v>125</v>
      </c>
      <c r="HP78">
        <v>3</v>
      </c>
      <c r="HQ78">
        <v>0</v>
      </c>
      <c r="HR78">
        <v>2</v>
      </c>
      <c r="HS78">
        <v>7042</v>
      </c>
      <c r="HT78">
        <v>210</v>
      </c>
      <c r="HU78">
        <v>180</v>
      </c>
      <c r="HW78">
        <v>0</v>
      </c>
      <c r="HX78">
        <v>590</v>
      </c>
      <c r="HY78">
        <v>0.18</v>
      </c>
      <c r="IA78">
        <v>0.15</v>
      </c>
      <c r="IB78">
        <v>0</v>
      </c>
      <c r="IC78">
        <v>180</v>
      </c>
      <c r="ID78">
        <v>110</v>
      </c>
      <c r="IE78">
        <v>225</v>
      </c>
      <c r="IF78">
        <v>0</v>
      </c>
      <c r="IH78" t="s">
        <v>549</v>
      </c>
      <c r="IO78">
        <v>3</v>
      </c>
      <c r="IP78">
        <v>18</v>
      </c>
      <c r="IQ78">
        <v>0</v>
      </c>
      <c r="IR78">
        <v>0</v>
      </c>
      <c r="IV78">
        <v>1381</v>
      </c>
      <c r="IW78">
        <v>518</v>
      </c>
      <c r="JA78">
        <v>1</v>
      </c>
      <c r="JB78">
        <v>0</v>
      </c>
      <c r="JC78">
        <v>2</v>
      </c>
      <c r="JD78">
        <v>1398</v>
      </c>
      <c r="JE78">
        <v>1391</v>
      </c>
      <c r="JF78">
        <v>1399</v>
      </c>
      <c r="JG78">
        <v>1384</v>
      </c>
      <c r="JH78">
        <v>0</v>
      </c>
      <c r="JJ78">
        <v>180</v>
      </c>
      <c r="JK78">
        <v>590</v>
      </c>
      <c r="JN78">
        <v>480</v>
      </c>
      <c r="JO78">
        <v>705</v>
      </c>
      <c r="JP78">
        <v>560</v>
      </c>
      <c r="JQ78">
        <v>0</v>
      </c>
      <c r="JR78">
        <v>524</v>
      </c>
      <c r="JS78">
        <v>170</v>
      </c>
      <c r="JV78">
        <v>8</v>
      </c>
      <c r="JW78" t="s">
        <v>550</v>
      </c>
      <c r="JX78">
        <v>556</v>
      </c>
      <c r="KA78">
        <v>225</v>
      </c>
      <c r="KB78">
        <v>110</v>
      </c>
      <c r="KC78">
        <v>0</v>
      </c>
      <c r="KD78">
        <v>80</v>
      </c>
      <c r="KF78">
        <v>4</v>
      </c>
      <c r="KG78">
        <v>2</v>
      </c>
      <c r="KH78">
        <v>2</v>
      </c>
      <c r="KI78">
        <v>2</v>
      </c>
      <c r="KJ78">
        <v>0</v>
      </c>
      <c r="KK78">
        <v>1.5</v>
      </c>
      <c r="KL78">
        <v>1.5</v>
      </c>
      <c r="KM78">
        <v>0</v>
      </c>
      <c r="KN78">
        <v>0</v>
      </c>
      <c r="KO78">
        <v>0</v>
      </c>
      <c r="KR78">
        <v>30</v>
      </c>
      <c r="KS78">
        <v>60</v>
      </c>
      <c r="KT78">
        <v>0</v>
      </c>
      <c r="LK78">
        <v>480</v>
      </c>
      <c r="PG78">
        <v>1</v>
      </c>
      <c r="PI78" t="s">
        <v>1592</v>
      </c>
      <c r="PJ78" t="s">
        <v>1594</v>
      </c>
      <c r="PK78" t="s">
        <v>1595</v>
      </c>
      <c r="PL78" t="s">
        <v>1593</v>
      </c>
      <c r="PP78" t="s">
        <v>1596</v>
      </c>
      <c r="PS78" t="s">
        <v>693</v>
      </c>
      <c r="PX78">
        <v>56</v>
      </c>
      <c r="PY78">
        <v>56</v>
      </c>
      <c r="PZ78" t="s">
        <v>1592</v>
      </c>
      <c r="QA78">
        <v>1</v>
      </c>
      <c r="QB78">
        <v>1384</v>
      </c>
      <c r="QC78">
        <v>69</v>
      </c>
      <c r="QD78">
        <v>69</v>
      </c>
      <c r="QE78" t="s">
        <v>1593</v>
      </c>
      <c r="QF78">
        <v>1</v>
      </c>
      <c r="QG78">
        <v>1398</v>
      </c>
      <c r="QH78">
        <v>66</v>
      </c>
      <c r="QI78">
        <v>66</v>
      </c>
      <c r="QJ78" t="s">
        <v>693</v>
      </c>
      <c r="QK78">
        <v>1</v>
      </c>
      <c r="QL78">
        <v>1398</v>
      </c>
      <c r="QM78">
        <v>62</v>
      </c>
      <c r="QN78">
        <v>62</v>
      </c>
      <c r="QO78" t="s">
        <v>1594</v>
      </c>
      <c r="QP78">
        <v>1</v>
      </c>
      <c r="QQ78">
        <v>1391</v>
      </c>
      <c r="QR78">
        <v>62</v>
      </c>
      <c r="QS78">
        <v>62</v>
      </c>
      <c r="QT78" t="s">
        <v>1595</v>
      </c>
      <c r="QU78">
        <v>1</v>
      </c>
      <c r="QV78">
        <v>1399</v>
      </c>
      <c r="QW78">
        <v>82</v>
      </c>
      <c r="QX78">
        <v>88</v>
      </c>
      <c r="QY78" t="s">
        <v>1596</v>
      </c>
      <c r="QZ78">
        <v>1</v>
      </c>
      <c r="RA78">
        <v>66</v>
      </c>
      <c r="RB78">
        <v>66</v>
      </c>
      <c r="RE78">
        <v>0</v>
      </c>
      <c r="RF78">
        <v>1</v>
      </c>
      <c r="RH78">
        <v>1</v>
      </c>
      <c r="RJ78">
        <v>1</v>
      </c>
      <c r="RK78">
        <v>2</v>
      </c>
      <c r="RL78">
        <v>2</v>
      </c>
      <c r="RM78">
        <v>2</v>
      </c>
      <c r="RO78">
        <v>680</v>
      </c>
      <c r="RP78">
        <v>105</v>
      </c>
      <c r="RQ78">
        <v>1062</v>
      </c>
      <c r="RR78">
        <v>812</v>
      </c>
      <c r="RT78">
        <v>345</v>
      </c>
      <c r="RU78">
        <v>177</v>
      </c>
      <c r="RV78" t="s">
        <v>678</v>
      </c>
      <c r="RW78" t="s">
        <v>679</v>
      </c>
      <c r="RX78">
        <v>15</v>
      </c>
      <c r="RY78">
        <v>4</v>
      </c>
      <c r="RZ78" t="s">
        <v>679</v>
      </c>
      <c r="SA78">
        <v>15</v>
      </c>
      <c r="SC78" t="s">
        <v>1594</v>
      </c>
      <c r="SD78">
        <v>1</v>
      </c>
      <c r="SF78" t="s">
        <v>1595</v>
      </c>
      <c r="SG78">
        <v>1</v>
      </c>
      <c r="SH78">
        <v>0.995</v>
      </c>
      <c r="SI78">
        <v>0.995</v>
      </c>
      <c r="SJ78">
        <v>0.995</v>
      </c>
      <c r="SK78">
        <v>15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1</v>
      </c>
      <c r="SZ78">
        <v>1</v>
      </c>
      <c r="TB78">
        <v>0</v>
      </c>
      <c r="TC78">
        <v>0</v>
      </c>
      <c r="TD78">
        <v>7.5</v>
      </c>
      <c r="TE78" t="s">
        <v>553</v>
      </c>
      <c r="TF78" t="s">
        <v>681</v>
      </c>
      <c r="TG78" t="s">
        <v>555</v>
      </c>
      <c r="TI78" t="s">
        <v>546</v>
      </c>
      <c r="TJ78" t="s">
        <v>547</v>
      </c>
      <c r="TL78" t="s">
        <v>1477</v>
      </c>
      <c r="TM78" t="s">
        <v>513</v>
      </c>
      <c r="TN78">
        <v>0</v>
      </c>
      <c r="TO78" t="s">
        <v>557</v>
      </c>
    </row>
    <row r="79" spans="1:535">
      <c r="A79" t="s">
        <v>1597</v>
      </c>
      <c r="B79" t="s">
        <v>629</v>
      </c>
      <c r="C79" t="s">
        <v>509</v>
      </c>
      <c r="D79" t="s">
        <v>1598</v>
      </c>
      <c r="G79" t="s">
        <v>604</v>
      </c>
      <c r="H79" t="s">
        <v>605</v>
      </c>
      <c r="I79" t="s">
        <v>628</v>
      </c>
      <c r="J79" t="s">
        <v>606</v>
      </c>
      <c r="L79" t="s">
        <v>512</v>
      </c>
      <c r="M79" t="s">
        <v>711</v>
      </c>
      <c r="N79" t="s">
        <v>513</v>
      </c>
      <c r="O79" t="s">
        <v>565</v>
      </c>
      <c r="Q79" t="s">
        <v>1599</v>
      </c>
      <c r="R79" t="s">
        <v>567</v>
      </c>
      <c r="S79" t="s">
        <v>1002</v>
      </c>
      <c r="T79" t="s">
        <v>1003</v>
      </c>
      <c r="U79" t="s">
        <v>686</v>
      </c>
      <c r="V79" t="s">
        <v>687</v>
      </c>
      <c r="W79" t="s">
        <v>1004</v>
      </c>
      <c r="X79" t="s">
        <v>1460</v>
      </c>
      <c r="Y79" t="s">
        <v>574</v>
      </c>
      <c r="Z79" t="s">
        <v>1600</v>
      </c>
      <c r="AA79" t="s">
        <v>1601</v>
      </c>
      <c r="AB79" t="s">
        <v>1602</v>
      </c>
      <c r="AC79">
        <v>2</v>
      </c>
      <c r="AD79">
        <v>56</v>
      </c>
      <c r="AE79">
        <v>230</v>
      </c>
      <c r="AF79">
        <v>1.5</v>
      </c>
      <c r="AH79">
        <v>0</v>
      </c>
      <c r="AI79" t="s">
        <v>1603</v>
      </c>
      <c r="AJ79">
        <v>210</v>
      </c>
      <c r="AK79">
        <v>1</v>
      </c>
      <c r="AL79">
        <v>1.5</v>
      </c>
      <c r="AM79" t="s">
        <v>579</v>
      </c>
      <c r="AN79" t="s">
        <v>693</v>
      </c>
      <c r="AO79">
        <v>2</v>
      </c>
      <c r="AP79" t="s">
        <v>581</v>
      </c>
      <c r="AQ79" t="s">
        <v>582</v>
      </c>
      <c r="AR79">
        <v>248</v>
      </c>
      <c r="AS79">
        <v>1.5</v>
      </c>
      <c r="AT79" t="s">
        <v>583</v>
      </c>
      <c r="AU79" t="s">
        <v>1604</v>
      </c>
      <c r="AW79" t="s">
        <v>1604</v>
      </c>
      <c r="AX79">
        <v>1</v>
      </c>
      <c r="AY79">
        <v>310</v>
      </c>
      <c r="AZ79">
        <v>1.5</v>
      </c>
      <c r="BA79" t="s">
        <v>579</v>
      </c>
      <c r="BC79" t="s">
        <v>1605</v>
      </c>
      <c r="BD79" t="s">
        <v>1605</v>
      </c>
      <c r="BE79">
        <v>1</v>
      </c>
      <c r="BF79">
        <v>255</v>
      </c>
      <c r="BG79">
        <v>1.5</v>
      </c>
      <c r="BJ79">
        <v>0</v>
      </c>
      <c r="BN79">
        <v>1.5</v>
      </c>
      <c r="BP79" t="s">
        <v>1538</v>
      </c>
      <c r="BQ79">
        <v>89</v>
      </c>
      <c r="BR79">
        <v>2</v>
      </c>
      <c r="BS79" t="s">
        <v>1539</v>
      </c>
      <c r="BT79">
        <v>229</v>
      </c>
      <c r="BU79">
        <v>0.5</v>
      </c>
      <c r="BV79" t="s">
        <v>1539</v>
      </c>
      <c r="BW79">
        <v>458</v>
      </c>
      <c r="BX79">
        <v>1</v>
      </c>
      <c r="BY79" t="s">
        <v>698</v>
      </c>
      <c r="BZ79">
        <v>470</v>
      </c>
      <c r="CA79">
        <v>570</v>
      </c>
      <c r="CB79" t="s">
        <v>699</v>
      </c>
      <c r="CC79" t="s">
        <v>699</v>
      </c>
      <c r="CD79">
        <v>474</v>
      </c>
      <c r="CE79" t="s">
        <v>700</v>
      </c>
      <c r="CF79">
        <v>15</v>
      </c>
      <c r="CG79" t="s">
        <v>1099</v>
      </c>
      <c r="CH79" t="s">
        <v>1099</v>
      </c>
      <c r="CI79">
        <v>50</v>
      </c>
      <c r="CJ79">
        <v>1458</v>
      </c>
      <c r="CK79">
        <v>2</v>
      </c>
      <c r="CL79">
        <v>1552</v>
      </c>
      <c r="CM79">
        <v>2</v>
      </c>
      <c r="CN79" t="s">
        <v>702</v>
      </c>
      <c r="CO79" t="s">
        <v>676</v>
      </c>
      <c r="CP79" t="s">
        <v>703</v>
      </c>
      <c r="CQ79" t="s">
        <v>704</v>
      </c>
      <c r="CR79" t="s">
        <v>650</v>
      </c>
      <c r="CS79" t="s">
        <v>542</v>
      </c>
      <c r="CT79">
        <v>420</v>
      </c>
      <c r="CU79">
        <v>5</v>
      </c>
      <c r="CV79">
        <v>1.3</v>
      </c>
      <c r="CW79">
        <v>1475</v>
      </c>
      <c r="CX79">
        <v>953</v>
      </c>
      <c r="CY79" t="s">
        <v>705</v>
      </c>
      <c r="CZ79">
        <v>50</v>
      </c>
      <c r="DA79">
        <v>3</v>
      </c>
      <c r="DB79">
        <v>1</v>
      </c>
      <c r="DC79">
        <v>1475</v>
      </c>
      <c r="DD79">
        <v>77</v>
      </c>
      <c r="DE79" t="s">
        <v>543</v>
      </c>
      <c r="DF79">
        <v>620</v>
      </c>
      <c r="DG79">
        <v>3</v>
      </c>
      <c r="DH79">
        <v>1.18</v>
      </c>
      <c r="DI79">
        <v>1469</v>
      </c>
      <c r="DJ79">
        <v>1409</v>
      </c>
      <c r="DK79" t="s">
        <v>543</v>
      </c>
      <c r="DL79">
        <v>510</v>
      </c>
      <c r="DM79">
        <v>3</v>
      </c>
      <c r="DN79">
        <v>1.18</v>
      </c>
      <c r="DO79">
        <v>1476</v>
      </c>
      <c r="DP79">
        <v>1181</v>
      </c>
      <c r="DW79" t="s">
        <v>544</v>
      </c>
      <c r="DX79">
        <v>7.5</v>
      </c>
      <c r="EA79">
        <v>1545.7</v>
      </c>
      <c r="EB79">
        <v>364</v>
      </c>
      <c r="EC79" t="s">
        <v>545</v>
      </c>
      <c r="ED79">
        <v>40</v>
      </c>
      <c r="EE79">
        <v>3</v>
      </c>
      <c r="EG79">
        <v>1597</v>
      </c>
      <c r="EH79">
        <v>254</v>
      </c>
      <c r="EJ79">
        <v>0</v>
      </c>
      <c r="EK79">
        <v>1</v>
      </c>
      <c r="EN79">
        <v>0</v>
      </c>
      <c r="EP79" t="s">
        <v>546</v>
      </c>
      <c r="EQ79">
        <v>100</v>
      </c>
      <c r="ER79">
        <v>3</v>
      </c>
      <c r="ES79">
        <v>6.5</v>
      </c>
      <c r="ET79">
        <v>1461</v>
      </c>
      <c r="EU79">
        <v>509</v>
      </c>
      <c r="EV79">
        <v>744</v>
      </c>
      <c r="EW79" t="s">
        <v>547</v>
      </c>
      <c r="EX79">
        <v>45</v>
      </c>
      <c r="EY79">
        <v>2</v>
      </c>
      <c r="EZ79">
        <v>4.3</v>
      </c>
      <c r="FA79">
        <v>1461</v>
      </c>
      <c r="FB79">
        <v>147.6</v>
      </c>
      <c r="FC79">
        <v>216</v>
      </c>
      <c r="FE79">
        <v>0</v>
      </c>
      <c r="FF79">
        <v>2</v>
      </c>
      <c r="FI79">
        <v>0</v>
      </c>
      <c r="FK79" t="s">
        <v>548</v>
      </c>
      <c r="FL79">
        <v>0.4</v>
      </c>
      <c r="FM79">
        <v>50</v>
      </c>
      <c r="FN79">
        <v>380</v>
      </c>
      <c r="FO79">
        <v>85</v>
      </c>
      <c r="FP79">
        <v>150</v>
      </c>
      <c r="GR79" t="s">
        <v>548</v>
      </c>
      <c r="GS79">
        <v>0.4</v>
      </c>
      <c r="GT79">
        <v>45</v>
      </c>
      <c r="GU79">
        <v>250</v>
      </c>
      <c r="GY79" t="s">
        <v>651</v>
      </c>
      <c r="GZ79">
        <v>1.6</v>
      </c>
      <c r="HA79">
        <v>20</v>
      </c>
      <c r="HB79">
        <v>191</v>
      </c>
      <c r="HC79">
        <v>0.1</v>
      </c>
      <c r="HD79">
        <v>3</v>
      </c>
      <c r="HE79">
        <v>3</v>
      </c>
      <c r="HF79">
        <v>3</v>
      </c>
      <c r="HG79">
        <v>3</v>
      </c>
      <c r="HH79">
        <v>3</v>
      </c>
      <c r="HI79">
        <v>130</v>
      </c>
      <c r="HJ79">
        <v>3</v>
      </c>
      <c r="HK79">
        <v>30</v>
      </c>
      <c r="HL79">
        <v>2</v>
      </c>
      <c r="HM79">
        <v>0</v>
      </c>
      <c r="HN79">
        <v>2</v>
      </c>
      <c r="HO79">
        <v>85</v>
      </c>
      <c r="HP79">
        <v>3</v>
      </c>
      <c r="HQ79">
        <v>0</v>
      </c>
      <c r="HR79">
        <v>2</v>
      </c>
      <c r="HS79">
        <v>6853</v>
      </c>
      <c r="HT79">
        <v>210</v>
      </c>
      <c r="HU79">
        <v>180</v>
      </c>
      <c r="HW79">
        <v>0</v>
      </c>
      <c r="HX79">
        <v>520</v>
      </c>
      <c r="HY79">
        <v>0.18</v>
      </c>
      <c r="IA79">
        <v>0.15</v>
      </c>
      <c r="IB79">
        <v>0</v>
      </c>
      <c r="IC79">
        <v>180</v>
      </c>
      <c r="ID79">
        <v>110</v>
      </c>
      <c r="IE79">
        <v>225</v>
      </c>
      <c r="IF79">
        <v>0</v>
      </c>
      <c r="IH79" t="s">
        <v>549</v>
      </c>
      <c r="IO79">
        <v>3</v>
      </c>
      <c r="IP79">
        <v>19</v>
      </c>
      <c r="IQ79">
        <v>1</v>
      </c>
      <c r="IR79">
        <v>0</v>
      </c>
      <c r="IV79">
        <v>1458</v>
      </c>
      <c r="IW79">
        <v>458</v>
      </c>
      <c r="JA79">
        <v>1</v>
      </c>
      <c r="JB79">
        <v>0</v>
      </c>
      <c r="JC79">
        <v>2</v>
      </c>
      <c r="JD79">
        <v>1475</v>
      </c>
      <c r="JE79">
        <v>1469</v>
      </c>
      <c r="JF79">
        <v>1476</v>
      </c>
      <c r="JG79">
        <v>1461</v>
      </c>
      <c r="JH79">
        <v>0</v>
      </c>
      <c r="JJ79">
        <v>180</v>
      </c>
      <c r="JK79">
        <v>520</v>
      </c>
      <c r="JN79">
        <v>420</v>
      </c>
      <c r="JO79">
        <v>620</v>
      </c>
      <c r="JP79">
        <v>510</v>
      </c>
      <c r="JQ79">
        <v>0</v>
      </c>
      <c r="JR79">
        <v>460</v>
      </c>
      <c r="JS79">
        <v>130</v>
      </c>
      <c r="JV79">
        <v>8</v>
      </c>
      <c r="JW79" t="s">
        <v>550</v>
      </c>
      <c r="JX79">
        <v>496</v>
      </c>
      <c r="KA79">
        <v>225</v>
      </c>
      <c r="KB79">
        <v>110</v>
      </c>
      <c r="KC79">
        <v>0</v>
      </c>
      <c r="KD79">
        <v>80</v>
      </c>
      <c r="KF79">
        <v>4</v>
      </c>
      <c r="KG79">
        <v>2</v>
      </c>
      <c r="KH79">
        <v>2</v>
      </c>
      <c r="KI79">
        <v>2</v>
      </c>
      <c r="KJ79">
        <v>0</v>
      </c>
      <c r="KK79">
        <v>1.5</v>
      </c>
      <c r="KL79">
        <v>1.5</v>
      </c>
      <c r="KM79">
        <v>0</v>
      </c>
      <c r="KN79">
        <v>0</v>
      </c>
      <c r="KO79">
        <v>0</v>
      </c>
      <c r="KR79">
        <v>20</v>
      </c>
      <c r="KS79">
        <v>60</v>
      </c>
      <c r="KT79">
        <v>0</v>
      </c>
      <c r="LK79">
        <v>480</v>
      </c>
      <c r="PG79">
        <v>1</v>
      </c>
      <c r="PI79" t="s">
        <v>1602</v>
      </c>
      <c r="PJ79" t="s">
        <v>1604</v>
      </c>
      <c r="PK79" t="s">
        <v>1605</v>
      </c>
      <c r="PL79" t="s">
        <v>1603</v>
      </c>
      <c r="PP79" t="s">
        <v>1538</v>
      </c>
      <c r="PS79" t="s">
        <v>693</v>
      </c>
      <c r="PX79">
        <v>56</v>
      </c>
      <c r="PY79">
        <v>56</v>
      </c>
      <c r="PZ79" t="s">
        <v>1602</v>
      </c>
      <c r="QA79">
        <v>1</v>
      </c>
      <c r="QB79">
        <v>1461</v>
      </c>
      <c r="QC79">
        <v>69</v>
      </c>
      <c r="QD79">
        <v>69</v>
      </c>
      <c r="QE79" t="s">
        <v>1603</v>
      </c>
      <c r="QF79">
        <v>2</v>
      </c>
      <c r="QG79">
        <v>1475</v>
      </c>
      <c r="QH79">
        <v>66</v>
      </c>
      <c r="QI79">
        <v>66</v>
      </c>
      <c r="QJ79" t="s">
        <v>693</v>
      </c>
      <c r="QK79">
        <v>1</v>
      </c>
      <c r="QL79">
        <v>1475</v>
      </c>
      <c r="QM79">
        <v>62</v>
      </c>
      <c r="QN79">
        <v>62</v>
      </c>
      <c r="QO79" t="s">
        <v>1604</v>
      </c>
      <c r="QP79">
        <v>1</v>
      </c>
      <c r="QQ79">
        <v>1469</v>
      </c>
      <c r="QR79">
        <v>63</v>
      </c>
      <c r="QS79">
        <v>63</v>
      </c>
      <c r="QT79" t="s">
        <v>1605</v>
      </c>
      <c r="QU79">
        <v>1</v>
      </c>
      <c r="QV79">
        <v>1476</v>
      </c>
      <c r="QW79">
        <v>82</v>
      </c>
      <c r="QX79">
        <v>89</v>
      </c>
      <c r="QY79" t="s">
        <v>1538</v>
      </c>
      <c r="QZ79">
        <v>1</v>
      </c>
      <c r="RA79">
        <v>66</v>
      </c>
      <c r="RB79">
        <v>66</v>
      </c>
      <c r="RE79">
        <v>0</v>
      </c>
      <c r="RF79">
        <v>1</v>
      </c>
      <c r="RI79">
        <v>1</v>
      </c>
      <c r="RJ79">
        <v>1</v>
      </c>
      <c r="RK79">
        <v>2</v>
      </c>
      <c r="RL79">
        <v>1</v>
      </c>
      <c r="RM79">
        <v>1</v>
      </c>
      <c r="RO79">
        <v>646</v>
      </c>
      <c r="RP79">
        <v>105</v>
      </c>
      <c r="RQ79">
        <v>959</v>
      </c>
      <c r="RR79">
        <v>800</v>
      </c>
      <c r="RT79">
        <v>364</v>
      </c>
      <c r="RU79">
        <v>254</v>
      </c>
      <c r="RV79" t="s">
        <v>1540</v>
      </c>
      <c r="RW79" t="s">
        <v>707</v>
      </c>
      <c r="RX79">
        <v>15</v>
      </c>
      <c r="RY79">
        <v>4</v>
      </c>
      <c r="RZ79" t="s">
        <v>707</v>
      </c>
      <c r="SA79">
        <v>15</v>
      </c>
      <c r="SC79" t="s">
        <v>1604</v>
      </c>
      <c r="SD79">
        <v>1</v>
      </c>
      <c r="SE79" t="s">
        <v>1606</v>
      </c>
      <c r="SF79" t="s">
        <v>1606</v>
      </c>
      <c r="SG79">
        <v>1</v>
      </c>
      <c r="SH79">
        <v>0.995</v>
      </c>
      <c r="SI79">
        <v>0.995</v>
      </c>
      <c r="SJ79">
        <v>0.995</v>
      </c>
      <c r="SK79">
        <v>15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1</v>
      </c>
      <c r="SZ79">
        <v>1</v>
      </c>
      <c r="TB79">
        <v>0</v>
      </c>
      <c r="TC79">
        <v>0</v>
      </c>
      <c r="TD79">
        <v>7.5</v>
      </c>
      <c r="TE79" t="s">
        <v>553</v>
      </c>
      <c r="TF79" t="s">
        <v>681</v>
      </c>
      <c r="TG79" t="s">
        <v>555</v>
      </c>
      <c r="TI79" t="s">
        <v>546</v>
      </c>
      <c r="TJ79" t="s">
        <v>547</v>
      </c>
      <c r="TL79" t="s">
        <v>1477</v>
      </c>
      <c r="TM79" t="s">
        <v>513</v>
      </c>
      <c r="TN79">
        <v>0</v>
      </c>
      <c r="TO79" t="s">
        <v>557</v>
      </c>
    </row>
    <row r="80" spans="1:535">
      <c r="A80" t="s">
        <v>1607</v>
      </c>
      <c r="B80" t="s">
        <v>897</v>
      </c>
      <c r="C80" t="s">
        <v>509</v>
      </c>
      <c r="D80" t="s">
        <v>1281</v>
      </c>
      <c r="G80" t="s">
        <v>604</v>
      </c>
      <c r="H80" t="s">
        <v>605</v>
      </c>
      <c r="I80" t="s">
        <v>628</v>
      </c>
      <c r="J80" t="s">
        <v>606</v>
      </c>
      <c r="L80" t="s">
        <v>512</v>
      </c>
      <c r="M80" t="s">
        <v>657</v>
      </c>
      <c r="N80" t="s">
        <v>513</v>
      </c>
      <c r="O80" t="s">
        <v>607</v>
      </c>
      <c r="Q80" t="s">
        <v>1608</v>
      </c>
      <c r="R80" t="s">
        <v>567</v>
      </c>
      <c r="S80" t="s">
        <v>1609</v>
      </c>
      <c r="T80" t="s">
        <v>1554</v>
      </c>
      <c r="U80" t="s">
        <v>1457</v>
      </c>
      <c r="V80" t="s">
        <v>1458</v>
      </c>
      <c r="W80" t="s">
        <v>1459</v>
      </c>
      <c r="X80" t="s">
        <v>1460</v>
      </c>
      <c r="Y80" t="s">
        <v>524</v>
      </c>
      <c r="Z80" t="s">
        <v>1610</v>
      </c>
      <c r="AA80" t="s">
        <v>1611</v>
      </c>
      <c r="AB80" t="s">
        <v>1612</v>
      </c>
      <c r="AC80">
        <v>2</v>
      </c>
      <c r="AD80">
        <v>57</v>
      </c>
      <c r="AE80">
        <v>156</v>
      </c>
      <c r="AF80">
        <v>1.5</v>
      </c>
      <c r="AH80">
        <v>0</v>
      </c>
      <c r="AI80" t="s">
        <v>1559</v>
      </c>
      <c r="AJ80">
        <v>167.5</v>
      </c>
      <c r="AK80">
        <v>1</v>
      </c>
      <c r="AL80">
        <v>1.5</v>
      </c>
      <c r="AM80" t="s">
        <v>529</v>
      </c>
      <c r="AO80">
        <v>0</v>
      </c>
      <c r="AR80">
        <v>0</v>
      </c>
      <c r="AS80">
        <v>1.5</v>
      </c>
      <c r="AU80" t="s">
        <v>1613</v>
      </c>
      <c r="AW80" t="s">
        <v>1613</v>
      </c>
      <c r="AX80">
        <v>1</v>
      </c>
      <c r="AY80">
        <v>242.5</v>
      </c>
      <c r="AZ80">
        <v>1.5</v>
      </c>
      <c r="BA80" t="s">
        <v>529</v>
      </c>
      <c r="BG80">
        <v>1.5</v>
      </c>
      <c r="BJ80">
        <v>0</v>
      </c>
      <c r="BN80">
        <v>1.5</v>
      </c>
      <c r="BP80" t="s">
        <v>1466</v>
      </c>
      <c r="BQ80">
        <v>89</v>
      </c>
      <c r="BR80">
        <v>2</v>
      </c>
      <c r="BS80" t="s">
        <v>1467</v>
      </c>
      <c r="BT80">
        <v>178</v>
      </c>
      <c r="BU80">
        <v>0.5</v>
      </c>
      <c r="BV80" t="s">
        <v>1467</v>
      </c>
      <c r="BW80">
        <v>356</v>
      </c>
      <c r="BX80">
        <v>1</v>
      </c>
      <c r="BY80" t="s">
        <v>1468</v>
      </c>
      <c r="BZ80">
        <v>300</v>
      </c>
      <c r="CA80">
        <v>380</v>
      </c>
      <c r="CB80" t="s">
        <v>1469</v>
      </c>
      <c r="CC80" t="s">
        <v>1469</v>
      </c>
      <c r="CD80">
        <v>320</v>
      </c>
      <c r="CE80" t="s">
        <v>1470</v>
      </c>
      <c r="CF80">
        <v>15</v>
      </c>
      <c r="CG80" t="s">
        <v>1614</v>
      </c>
      <c r="CH80" t="s">
        <v>1614</v>
      </c>
      <c r="CI80">
        <v>40</v>
      </c>
      <c r="CJ80">
        <v>1050</v>
      </c>
      <c r="CK80">
        <v>2</v>
      </c>
      <c r="CL80">
        <v>1144</v>
      </c>
      <c r="CM80">
        <v>2</v>
      </c>
      <c r="CN80" t="s">
        <v>1472</v>
      </c>
      <c r="CO80" t="s">
        <v>1473</v>
      </c>
      <c r="CP80" t="s">
        <v>1474</v>
      </c>
      <c r="CQ80" t="s">
        <v>540</v>
      </c>
      <c r="CR80" t="s">
        <v>541</v>
      </c>
      <c r="CS80" t="s">
        <v>542</v>
      </c>
      <c r="CT80">
        <v>335</v>
      </c>
      <c r="CU80">
        <v>5</v>
      </c>
      <c r="CV80">
        <v>1.2</v>
      </c>
      <c r="CW80">
        <v>1064</v>
      </c>
      <c r="CX80">
        <v>504</v>
      </c>
      <c r="DD80">
        <v>0</v>
      </c>
      <c r="DE80" t="s">
        <v>543</v>
      </c>
      <c r="DF80">
        <v>485</v>
      </c>
      <c r="DG80">
        <v>3</v>
      </c>
      <c r="DH80">
        <v>1.18</v>
      </c>
      <c r="DI80">
        <v>1062</v>
      </c>
      <c r="DJ80">
        <v>842</v>
      </c>
      <c r="DW80" t="s">
        <v>544</v>
      </c>
      <c r="DX80">
        <v>7.5</v>
      </c>
      <c r="EA80">
        <v>1124.6</v>
      </c>
      <c r="EB80">
        <v>147</v>
      </c>
      <c r="EC80" t="s">
        <v>545</v>
      </c>
      <c r="ED80">
        <v>30</v>
      </c>
      <c r="EE80">
        <v>3</v>
      </c>
      <c r="EG80">
        <v>1155</v>
      </c>
      <c r="EH80">
        <v>135</v>
      </c>
      <c r="EJ80">
        <v>0</v>
      </c>
      <c r="EK80">
        <v>1</v>
      </c>
      <c r="EN80">
        <v>0</v>
      </c>
      <c r="EP80" t="s">
        <v>546</v>
      </c>
      <c r="EQ80">
        <v>95</v>
      </c>
      <c r="ER80">
        <v>3</v>
      </c>
      <c r="ES80">
        <v>5</v>
      </c>
      <c r="ET80">
        <v>1045</v>
      </c>
      <c r="EU80">
        <v>375.7</v>
      </c>
      <c r="EV80">
        <v>393</v>
      </c>
      <c r="EW80" t="s">
        <v>547</v>
      </c>
      <c r="EX80">
        <v>70</v>
      </c>
      <c r="EY80">
        <v>2</v>
      </c>
      <c r="EZ80">
        <v>4.3</v>
      </c>
      <c r="FA80">
        <v>1045</v>
      </c>
      <c r="FB80">
        <v>208.3</v>
      </c>
      <c r="FC80">
        <v>218</v>
      </c>
      <c r="FE80">
        <v>0</v>
      </c>
      <c r="FF80">
        <v>2</v>
      </c>
      <c r="FI80">
        <v>0</v>
      </c>
      <c r="FK80" t="s">
        <v>548</v>
      </c>
      <c r="FL80">
        <v>0.4</v>
      </c>
      <c r="FM80">
        <v>95</v>
      </c>
      <c r="FN80">
        <v>90</v>
      </c>
      <c r="FR80" t="s">
        <v>548</v>
      </c>
      <c r="FS80">
        <v>0.4</v>
      </c>
      <c r="FT80">
        <v>30</v>
      </c>
      <c r="FU80">
        <v>320</v>
      </c>
      <c r="FV80">
        <v>30</v>
      </c>
      <c r="FW80">
        <v>200</v>
      </c>
      <c r="HC80">
        <v>0.1</v>
      </c>
      <c r="HD80">
        <v>3</v>
      </c>
      <c r="HE80">
        <v>3</v>
      </c>
      <c r="HF80">
        <v>3</v>
      </c>
      <c r="HG80">
        <v>3</v>
      </c>
      <c r="HH80">
        <v>3</v>
      </c>
      <c r="HI80">
        <v>150</v>
      </c>
      <c r="HJ80">
        <v>3</v>
      </c>
      <c r="HK80">
        <v>55</v>
      </c>
      <c r="HL80">
        <v>2</v>
      </c>
      <c r="HM80">
        <v>0</v>
      </c>
      <c r="HN80">
        <v>2</v>
      </c>
      <c r="HO80">
        <v>80</v>
      </c>
      <c r="HP80">
        <v>3</v>
      </c>
      <c r="HQ80">
        <v>0</v>
      </c>
      <c r="HR80">
        <v>2</v>
      </c>
      <c r="HS80">
        <v>3132</v>
      </c>
      <c r="HT80">
        <v>90</v>
      </c>
      <c r="HU80">
        <v>180</v>
      </c>
      <c r="HW80">
        <v>0</v>
      </c>
      <c r="HX80">
        <v>360</v>
      </c>
      <c r="HY80">
        <v>0.18</v>
      </c>
      <c r="IA80">
        <v>0.15</v>
      </c>
      <c r="IB80">
        <v>0</v>
      </c>
      <c r="IC80">
        <v>180</v>
      </c>
      <c r="ID80">
        <v>110</v>
      </c>
      <c r="IE80">
        <v>0</v>
      </c>
      <c r="IF80">
        <v>0</v>
      </c>
      <c r="IH80" t="s">
        <v>549</v>
      </c>
      <c r="IO80">
        <v>1</v>
      </c>
      <c r="IP80">
        <v>14</v>
      </c>
      <c r="IQ80">
        <v>0</v>
      </c>
      <c r="IR80">
        <v>1</v>
      </c>
      <c r="IV80">
        <v>1050</v>
      </c>
      <c r="IW80">
        <v>356</v>
      </c>
      <c r="JA80">
        <v>1</v>
      </c>
      <c r="JB80">
        <v>0</v>
      </c>
      <c r="JC80">
        <v>2</v>
      </c>
      <c r="JD80">
        <v>1064</v>
      </c>
      <c r="JE80">
        <v>1062</v>
      </c>
      <c r="JF80">
        <v>0</v>
      </c>
      <c r="JG80">
        <v>1045</v>
      </c>
      <c r="JH80">
        <v>0</v>
      </c>
      <c r="JJ80">
        <v>180</v>
      </c>
      <c r="JK80">
        <v>360</v>
      </c>
      <c r="JN80">
        <v>335</v>
      </c>
      <c r="JO80">
        <v>485</v>
      </c>
      <c r="JP80">
        <v>0</v>
      </c>
      <c r="JQ80">
        <v>0</v>
      </c>
      <c r="JR80">
        <v>312</v>
      </c>
      <c r="JS80">
        <v>150</v>
      </c>
      <c r="JV80">
        <v>8</v>
      </c>
      <c r="JW80" t="s">
        <v>550</v>
      </c>
      <c r="JX80">
        <v>0</v>
      </c>
      <c r="KA80">
        <v>0</v>
      </c>
      <c r="KB80">
        <v>110</v>
      </c>
      <c r="KC80">
        <v>0</v>
      </c>
      <c r="KD80">
        <v>80</v>
      </c>
      <c r="KF80">
        <v>4</v>
      </c>
      <c r="KG80">
        <v>2</v>
      </c>
      <c r="KH80">
        <v>2</v>
      </c>
      <c r="KI80">
        <v>2</v>
      </c>
      <c r="KJ80">
        <v>0</v>
      </c>
      <c r="KK80">
        <v>1.5</v>
      </c>
      <c r="KL80">
        <v>1.5</v>
      </c>
      <c r="KM80">
        <v>0</v>
      </c>
      <c r="KN80">
        <v>0</v>
      </c>
      <c r="KO80">
        <v>0</v>
      </c>
      <c r="KR80">
        <v>30</v>
      </c>
      <c r="KS80">
        <v>60</v>
      </c>
      <c r="KT80">
        <v>0</v>
      </c>
      <c r="LK80">
        <v>480</v>
      </c>
      <c r="LX80">
        <v>320</v>
      </c>
      <c r="LY80">
        <v>2</v>
      </c>
      <c r="LZ80">
        <v>250</v>
      </c>
      <c r="PG80">
        <v>1</v>
      </c>
      <c r="PI80" t="s">
        <v>1612</v>
      </c>
      <c r="PJ80" t="s">
        <v>1613</v>
      </c>
      <c r="PL80" t="s">
        <v>1559</v>
      </c>
      <c r="PP80" t="s">
        <v>1466</v>
      </c>
      <c r="PX80">
        <v>56</v>
      </c>
      <c r="PY80">
        <v>57</v>
      </c>
      <c r="PZ80" t="s">
        <v>1612</v>
      </c>
      <c r="QA80">
        <v>2</v>
      </c>
      <c r="QB80">
        <v>1045</v>
      </c>
      <c r="QC80">
        <v>69</v>
      </c>
      <c r="QD80">
        <v>69</v>
      </c>
      <c r="QE80" t="s">
        <v>1559</v>
      </c>
      <c r="QF80">
        <v>1</v>
      </c>
      <c r="QG80">
        <v>1064</v>
      </c>
      <c r="QH80">
        <v>66</v>
      </c>
      <c r="QI80">
        <v>66</v>
      </c>
      <c r="QL80">
        <v>0</v>
      </c>
      <c r="QM80">
        <v>62</v>
      </c>
      <c r="QN80">
        <v>62</v>
      </c>
      <c r="QO80" t="s">
        <v>1613</v>
      </c>
      <c r="QP80">
        <v>1</v>
      </c>
      <c r="QQ80">
        <v>1062</v>
      </c>
      <c r="QW80">
        <v>82</v>
      </c>
      <c r="QX80">
        <v>89</v>
      </c>
      <c r="QY80" t="s">
        <v>1466</v>
      </c>
      <c r="QZ80">
        <v>1</v>
      </c>
      <c r="RA80">
        <v>66</v>
      </c>
      <c r="RB80">
        <v>66</v>
      </c>
      <c r="RE80">
        <v>0</v>
      </c>
      <c r="RF80">
        <v>1</v>
      </c>
      <c r="RJ80">
        <v>2</v>
      </c>
      <c r="RL80">
        <v>2</v>
      </c>
      <c r="RO80">
        <v>474</v>
      </c>
      <c r="RQ80">
        <v>793</v>
      </c>
      <c r="RT80">
        <v>147</v>
      </c>
      <c r="RU80">
        <v>135</v>
      </c>
      <c r="RV80" t="s">
        <v>1475</v>
      </c>
      <c r="RW80" t="s">
        <v>1476</v>
      </c>
      <c r="RX80">
        <v>15</v>
      </c>
      <c r="RY80">
        <v>4</v>
      </c>
      <c r="RZ80" t="s">
        <v>1476</v>
      </c>
      <c r="SA80">
        <v>15</v>
      </c>
      <c r="SC80" t="s">
        <v>1613</v>
      </c>
      <c r="SD80">
        <v>1</v>
      </c>
      <c r="SH80">
        <v>0.995</v>
      </c>
      <c r="SI80">
        <v>0.995</v>
      </c>
      <c r="SJ80">
        <v>0.995</v>
      </c>
      <c r="SK80">
        <v>15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TB80">
        <v>0</v>
      </c>
      <c r="TC80">
        <v>0</v>
      </c>
      <c r="TD80">
        <v>7.5</v>
      </c>
      <c r="TE80" t="s">
        <v>553</v>
      </c>
      <c r="TF80" t="s">
        <v>754</v>
      </c>
      <c r="TG80" t="s">
        <v>555</v>
      </c>
      <c r="TI80" t="s">
        <v>546</v>
      </c>
      <c r="TJ80" t="s">
        <v>547</v>
      </c>
      <c r="TL80" t="s">
        <v>1477</v>
      </c>
      <c r="TM80" t="s">
        <v>513</v>
      </c>
      <c r="TN80">
        <v>0</v>
      </c>
      <c r="TO80" t="s">
        <v>557</v>
      </c>
    </row>
    <row r="81" spans="1:535">
      <c r="A81" t="s">
        <v>1615</v>
      </c>
      <c r="B81" t="s">
        <v>559</v>
      </c>
      <c r="C81" t="s">
        <v>509</v>
      </c>
      <c r="D81" t="s">
        <v>1379</v>
      </c>
      <c r="G81" t="s">
        <v>605</v>
      </c>
      <c r="H81" t="s">
        <v>896</v>
      </c>
      <c r="I81" t="s">
        <v>1423</v>
      </c>
      <c r="J81" t="s">
        <v>606</v>
      </c>
      <c r="L81" t="s">
        <v>512</v>
      </c>
      <c r="M81" t="s">
        <v>564</v>
      </c>
      <c r="N81" t="s">
        <v>513</v>
      </c>
      <c r="O81" t="s">
        <v>607</v>
      </c>
      <c r="Q81" t="s">
        <v>1616</v>
      </c>
      <c r="R81" t="s">
        <v>567</v>
      </c>
      <c r="S81" t="s">
        <v>1617</v>
      </c>
      <c r="T81" t="s">
        <v>1618</v>
      </c>
      <c r="U81" t="s">
        <v>1482</v>
      </c>
      <c r="V81" t="s">
        <v>1483</v>
      </c>
      <c r="W81" t="s">
        <v>1619</v>
      </c>
      <c r="X81" t="s">
        <v>1460</v>
      </c>
      <c r="Y81" t="s">
        <v>524</v>
      </c>
      <c r="Z81" t="s">
        <v>1620</v>
      </c>
      <c r="AA81" t="s">
        <v>1621</v>
      </c>
      <c r="AB81" t="s">
        <v>1622</v>
      </c>
      <c r="AC81">
        <v>2</v>
      </c>
      <c r="AD81">
        <v>56</v>
      </c>
      <c r="AE81">
        <v>175</v>
      </c>
      <c r="AF81">
        <v>1.5</v>
      </c>
      <c r="AH81">
        <v>0</v>
      </c>
      <c r="AI81" t="s">
        <v>719</v>
      </c>
      <c r="AJ81">
        <v>185</v>
      </c>
      <c r="AK81">
        <v>1</v>
      </c>
      <c r="AL81">
        <v>1.5</v>
      </c>
      <c r="AM81" t="s">
        <v>529</v>
      </c>
      <c r="AO81">
        <v>0</v>
      </c>
      <c r="AR81">
        <v>0</v>
      </c>
      <c r="AS81">
        <v>1.5</v>
      </c>
      <c r="AU81" t="s">
        <v>1623</v>
      </c>
      <c r="AW81" t="s">
        <v>1623</v>
      </c>
      <c r="AX81">
        <v>1</v>
      </c>
      <c r="AY81">
        <v>342.5</v>
      </c>
      <c r="AZ81">
        <v>1.5</v>
      </c>
      <c r="BA81" t="s">
        <v>529</v>
      </c>
      <c r="BG81">
        <v>1.5</v>
      </c>
      <c r="BJ81">
        <v>0</v>
      </c>
      <c r="BN81">
        <v>1.5</v>
      </c>
      <c r="BP81" t="s">
        <v>1561</v>
      </c>
      <c r="BQ81">
        <v>88</v>
      </c>
      <c r="BR81">
        <v>2</v>
      </c>
      <c r="BS81" t="s">
        <v>1562</v>
      </c>
      <c r="BT81">
        <v>197</v>
      </c>
      <c r="BU81">
        <v>0.5</v>
      </c>
      <c r="BV81" t="s">
        <v>1562</v>
      </c>
      <c r="BW81">
        <v>394</v>
      </c>
      <c r="BX81">
        <v>1</v>
      </c>
      <c r="BY81" t="s">
        <v>1491</v>
      </c>
      <c r="BZ81">
        <v>300</v>
      </c>
      <c r="CA81">
        <v>520</v>
      </c>
      <c r="CB81" t="s">
        <v>1492</v>
      </c>
      <c r="CC81" t="s">
        <v>1492</v>
      </c>
      <c r="CD81">
        <v>410</v>
      </c>
      <c r="CE81" t="s">
        <v>1493</v>
      </c>
      <c r="CF81">
        <v>15</v>
      </c>
      <c r="CG81" t="s">
        <v>1624</v>
      </c>
      <c r="CH81" t="s">
        <v>1624</v>
      </c>
      <c r="CI81">
        <v>110</v>
      </c>
      <c r="CJ81">
        <v>1122</v>
      </c>
      <c r="CK81">
        <v>2</v>
      </c>
      <c r="CL81">
        <v>1222</v>
      </c>
      <c r="CM81">
        <v>2</v>
      </c>
      <c r="CN81" t="s">
        <v>1495</v>
      </c>
      <c r="CO81" t="s">
        <v>1473</v>
      </c>
      <c r="CP81" t="s">
        <v>1474</v>
      </c>
      <c r="CQ81" t="s">
        <v>1496</v>
      </c>
      <c r="CR81" t="s">
        <v>541</v>
      </c>
      <c r="CS81" t="s">
        <v>542</v>
      </c>
      <c r="CT81">
        <v>370</v>
      </c>
      <c r="CU81">
        <v>5</v>
      </c>
      <c r="CV81">
        <v>1.2</v>
      </c>
      <c r="CW81">
        <v>1136</v>
      </c>
      <c r="CX81">
        <v>595</v>
      </c>
      <c r="DD81">
        <v>0</v>
      </c>
      <c r="DE81" t="s">
        <v>543</v>
      </c>
      <c r="DF81">
        <v>685</v>
      </c>
      <c r="DG81">
        <v>3</v>
      </c>
      <c r="DH81">
        <v>1.18</v>
      </c>
      <c r="DI81">
        <v>1134</v>
      </c>
      <c r="DJ81">
        <v>1174</v>
      </c>
      <c r="DW81" t="s">
        <v>544</v>
      </c>
      <c r="DX81">
        <v>7.5</v>
      </c>
      <c r="EA81">
        <v>1204.3</v>
      </c>
      <c r="EB81">
        <v>157</v>
      </c>
      <c r="EC81" t="s">
        <v>545</v>
      </c>
      <c r="ED81">
        <v>35</v>
      </c>
      <c r="EE81">
        <v>3</v>
      </c>
      <c r="EG81">
        <v>1235</v>
      </c>
      <c r="EH81">
        <v>172</v>
      </c>
      <c r="EJ81">
        <v>0</v>
      </c>
      <c r="EK81">
        <v>1</v>
      </c>
      <c r="EN81">
        <v>0</v>
      </c>
      <c r="EP81" t="s">
        <v>546</v>
      </c>
      <c r="EQ81">
        <v>105</v>
      </c>
      <c r="ER81">
        <v>3</v>
      </c>
      <c r="ES81">
        <v>4.5</v>
      </c>
      <c r="ET81">
        <v>1114</v>
      </c>
      <c r="EU81">
        <v>387.6</v>
      </c>
      <c r="EV81">
        <v>432</v>
      </c>
      <c r="EW81" t="s">
        <v>547</v>
      </c>
      <c r="EX81">
        <v>70</v>
      </c>
      <c r="EY81">
        <v>2</v>
      </c>
      <c r="EZ81">
        <v>4.3</v>
      </c>
      <c r="FA81">
        <v>1114</v>
      </c>
      <c r="FB81">
        <v>208.3</v>
      </c>
      <c r="FC81">
        <v>232</v>
      </c>
      <c r="FE81">
        <v>0</v>
      </c>
      <c r="FF81">
        <v>2</v>
      </c>
      <c r="FI81">
        <v>0</v>
      </c>
      <c r="FK81" t="s">
        <v>548</v>
      </c>
      <c r="FL81">
        <v>0.4</v>
      </c>
      <c r="FM81">
        <v>90</v>
      </c>
      <c r="FN81">
        <v>120</v>
      </c>
      <c r="FR81" t="s">
        <v>548</v>
      </c>
      <c r="FS81">
        <v>0.4</v>
      </c>
      <c r="FT81">
        <v>30</v>
      </c>
      <c r="FU81">
        <v>360</v>
      </c>
      <c r="HC81">
        <v>0.1</v>
      </c>
      <c r="HD81">
        <v>3</v>
      </c>
      <c r="HE81">
        <v>3</v>
      </c>
      <c r="HF81">
        <v>3</v>
      </c>
      <c r="HG81">
        <v>3</v>
      </c>
      <c r="HH81">
        <v>3</v>
      </c>
      <c r="HI81">
        <v>160</v>
      </c>
      <c r="HJ81">
        <v>3</v>
      </c>
      <c r="HK81">
        <v>55</v>
      </c>
      <c r="HL81">
        <v>2</v>
      </c>
      <c r="HM81">
        <v>0</v>
      </c>
      <c r="HN81">
        <v>2</v>
      </c>
      <c r="HO81">
        <v>90</v>
      </c>
      <c r="HP81">
        <v>3</v>
      </c>
      <c r="HQ81">
        <v>0</v>
      </c>
      <c r="HR81">
        <v>2</v>
      </c>
      <c r="HS81">
        <v>3755</v>
      </c>
      <c r="HT81">
        <v>110</v>
      </c>
      <c r="HU81">
        <v>180</v>
      </c>
      <c r="HW81">
        <v>20</v>
      </c>
      <c r="HX81">
        <v>490</v>
      </c>
      <c r="HY81">
        <v>0.18</v>
      </c>
      <c r="IA81">
        <v>0.15</v>
      </c>
      <c r="IB81">
        <v>0</v>
      </c>
      <c r="IC81">
        <v>180</v>
      </c>
      <c r="ID81">
        <v>110</v>
      </c>
      <c r="IE81">
        <v>0</v>
      </c>
      <c r="IF81">
        <v>0</v>
      </c>
      <c r="IH81" t="s">
        <v>549</v>
      </c>
      <c r="IO81">
        <v>1</v>
      </c>
      <c r="IP81">
        <v>15</v>
      </c>
      <c r="IQ81">
        <v>0</v>
      </c>
      <c r="IR81">
        <v>1</v>
      </c>
      <c r="IV81">
        <v>1122</v>
      </c>
      <c r="IW81">
        <v>394</v>
      </c>
      <c r="JA81">
        <v>1</v>
      </c>
      <c r="JB81">
        <v>0</v>
      </c>
      <c r="JC81">
        <v>2</v>
      </c>
      <c r="JD81">
        <v>1136</v>
      </c>
      <c r="JE81">
        <v>1134</v>
      </c>
      <c r="JF81">
        <v>0</v>
      </c>
      <c r="JG81">
        <v>1114</v>
      </c>
      <c r="JH81">
        <v>0</v>
      </c>
      <c r="JJ81">
        <v>180</v>
      </c>
      <c r="JK81">
        <v>490</v>
      </c>
      <c r="JN81">
        <v>370</v>
      </c>
      <c r="JO81">
        <v>685</v>
      </c>
      <c r="JP81">
        <v>0</v>
      </c>
      <c r="JQ81">
        <v>0</v>
      </c>
      <c r="JR81">
        <v>350</v>
      </c>
      <c r="JS81">
        <v>160</v>
      </c>
      <c r="JV81">
        <v>8</v>
      </c>
      <c r="JW81" t="s">
        <v>550</v>
      </c>
      <c r="JX81">
        <v>0</v>
      </c>
      <c r="KA81">
        <v>0</v>
      </c>
      <c r="KB81">
        <v>110</v>
      </c>
      <c r="KC81">
        <v>0</v>
      </c>
      <c r="KD81">
        <v>80</v>
      </c>
      <c r="KF81">
        <v>4</v>
      </c>
      <c r="KG81">
        <v>4</v>
      </c>
      <c r="KH81">
        <v>2</v>
      </c>
      <c r="KI81">
        <v>2</v>
      </c>
      <c r="KJ81">
        <v>0</v>
      </c>
      <c r="KK81">
        <v>1.5</v>
      </c>
      <c r="KL81">
        <v>1.5</v>
      </c>
      <c r="KM81">
        <v>0</v>
      </c>
      <c r="KN81">
        <v>0</v>
      </c>
      <c r="KO81">
        <v>0</v>
      </c>
      <c r="KR81">
        <v>30</v>
      </c>
      <c r="KS81">
        <v>60</v>
      </c>
      <c r="KT81">
        <v>0</v>
      </c>
      <c r="LK81">
        <v>480</v>
      </c>
      <c r="PG81">
        <v>1</v>
      </c>
      <c r="PI81" t="s">
        <v>1622</v>
      </c>
      <c r="PJ81" t="s">
        <v>1623</v>
      </c>
      <c r="PL81" t="s">
        <v>719</v>
      </c>
      <c r="PP81" t="s">
        <v>1561</v>
      </c>
      <c r="PX81">
        <v>56</v>
      </c>
      <c r="PY81">
        <v>56</v>
      </c>
      <c r="PZ81" t="s">
        <v>1622</v>
      </c>
      <c r="QA81">
        <v>4</v>
      </c>
      <c r="QB81">
        <v>1114</v>
      </c>
      <c r="QC81">
        <v>69</v>
      </c>
      <c r="QD81">
        <v>69</v>
      </c>
      <c r="QE81" t="s">
        <v>719</v>
      </c>
      <c r="QF81">
        <v>1</v>
      </c>
      <c r="QG81">
        <v>1136</v>
      </c>
      <c r="QH81">
        <v>66</v>
      </c>
      <c r="QI81">
        <v>66</v>
      </c>
      <c r="QL81">
        <v>0</v>
      </c>
      <c r="QM81">
        <v>62</v>
      </c>
      <c r="QN81">
        <v>62</v>
      </c>
      <c r="QO81" t="s">
        <v>1623</v>
      </c>
      <c r="QP81">
        <v>1</v>
      </c>
      <c r="QQ81">
        <v>1134</v>
      </c>
      <c r="QW81">
        <v>82</v>
      </c>
      <c r="QX81">
        <v>88</v>
      </c>
      <c r="QY81" t="s">
        <v>1561</v>
      </c>
      <c r="QZ81">
        <v>1</v>
      </c>
      <c r="RA81">
        <v>66</v>
      </c>
      <c r="RB81">
        <v>66</v>
      </c>
      <c r="RE81">
        <v>0</v>
      </c>
      <c r="RF81">
        <v>1</v>
      </c>
      <c r="RJ81">
        <v>2</v>
      </c>
      <c r="RL81">
        <v>2</v>
      </c>
      <c r="RO81">
        <v>524</v>
      </c>
      <c r="RQ81">
        <v>1035</v>
      </c>
      <c r="RT81">
        <v>157</v>
      </c>
      <c r="RU81">
        <v>172</v>
      </c>
      <c r="RV81" t="s">
        <v>1564</v>
      </c>
      <c r="RW81" t="s">
        <v>1498</v>
      </c>
      <c r="RX81">
        <v>15</v>
      </c>
      <c r="RY81">
        <v>4</v>
      </c>
      <c r="RZ81" t="s">
        <v>1498</v>
      </c>
      <c r="SA81">
        <v>15</v>
      </c>
      <c r="SC81" t="s">
        <v>1623</v>
      </c>
      <c r="SD81">
        <v>1</v>
      </c>
      <c r="SH81">
        <v>0.995</v>
      </c>
      <c r="SI81">
        <v>0.995</v>
      </c>
      <c r="SJ81">
        <v>0.995</v>
      </c>
      <c r="SK81">
        <v>15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TB81">
        <v>0</v>
      </c>
      <c r="TC81">
        <v>0</v>
      </c>
      <c r="TD81">
        <v>7.5</v>
      </c>
      <c r="TE81" t="s">
        <v>553</v>
      </c>
      <c r="TF81" t="s">
        <v>754</v>
      </c>
      <c r="TG81" t="s">
        <v>555</v>
      </c>
      <c r="TI81" t="s">
        <v>546</v>
      </c>
      <c r="TJ81" t="s">
        <v>547</v>
      </c>
      <c r="TL81" t="s">
        <v>1477</v>
      </c>
      <c r="TM81" t="s">
        <v>513</v>
      </c>
      <c r="TN81">
        <v>0</v>
      </c>
      <c r="TO81" t="s">
        <v>557</v>
      </c>
    </row>
    <row r="82" spans="1:535">
      <c r="A82" t="s">
        <v>1625</v>
      </c>
      <c r="B82" t="s">
        <v>564</v>
      </c>
      <c r="C82" t="s">
        <v>509</v>
      </c>
      <c r="D82" t="s">
        <v>951</v>
      </c>
      <c r="G82" t="s">
        <v>604</v>
      </c>
      <c r="H82" t="s">
        <v>605</v>
      </c>
      <c r="J82" t="s">
        <v>606</v>
      </c>
      <c r="L82" t="s">
        <v>512</v>
      </c>
      <c r="M82" t="s">
        <v>629</v>
      </c>
      <c r="N82" t="s">
        <v>513</v>
      </c>
      <c r="O82" t="s">
        <v>607</v>
      </c>
      <c r="Q82" t="s">
        <v>1626</v>
      </c>
      <c r="R82" t="s">
        <v>567</v>
      </c>
      <c r="S82" t="s">
        <v>806</v>
      </c>
      <c r="T82" t="s">
        <v>807</v>
      </c>
      <c r="U82" t="s">
        <v>520</v>
      </c>
      <c r="V82" t="s">
        <v>521</v>
      </c>
      <c r="W82" t="s">
        <v>808</v>
      </c>
      <c r="X82" t="s">
        <v>1460</v>
      </c>
      <c r="Y82" t="s">
        <v>524</v>
      </c>
      <c r="Z82" t="s">
        <v>1627</v>
      </c>
      <c r="AA82" t="s">
        <v>1628</v>
      </c>
      <c r="AB82" t="s">
        <v>1629</v>
      </c>
      <c r="AC82">
        <v>2</v>
      </c>
      <c r="AD82">
        <v>56</v>
      </c>
      <c r="AE82">
        <v>192</v>
      </c>
      <c r="AF82">
        <v>1.5</v>
      </c>
      <c r="AH82">
        <v>0</v>
      </c>
      <c r="AI82" t="s">
        <v>692</v>
      </c>
      <c r="AJ82">
        <v>202.5</v>
      </c>
      <c r="AK82">
        <v>1</v>
      </c>
      <c r="AL82">
        <v>1.5</v>
      </c>
      <c r="AM82" t="s">
        <v>529</v>
      </c>
      <c r="AO82">
        <v>0</v>
      </c>
      <c r="AR82">
        <v>0</v>
      </c>
      <c r="AS82">
        <v>1.5</v>
      </c>
      <c r="AU82" t="s">
        <v>1630</v>
      </c>
      <c r="AW82" t="s">
        <v>1630</v>
      </c>
      <c r="AX82">
        <v>1</v>
      </c>
      <c r="AY82">
        <v>300</v>
      </c>
      <c r="AZ82">
        <v>1.5</v>
      </c>
      <c r="BA82" t="s">
        <v>529</v>
      </c>
      <c r="BB82" t="s">
        <v>1631</v>
      </c>
      <c r="BD82" t="s">
        <v>1631</v>
      </c>
      <c r="BE82">
        <v>1</v>
      </c>
      <c r="BF82">
        <v>242.5</v>
      </c>
      <c r="BG82">
        <v>1.5</v>
      </c>
      <c r="BJ82">
        <v>0</v>
      </c>
      <c r="BN82">
        <v>1.5</v>
      </c>
      <c r="BP82" t="s">
        <v>618</v>
      </c>
      <c r="BQ82">
        <v>88</v>
      </c>
      <c r="BR82">
        <v>2</v>
      </c>
      <c r="BS82" t="s">
        <v>619</v>
      </c>
      <c r="BT82">
        <v>214</v>
      </c>
      <c r="BU82">
        <v>0.5</v>
      </c>
      <c r="BV82" t="s">
        <v>619</v>
      </c>
      <c r="BW82">
        <v>428</v>
      </c>
      <c r="BX82">
        <v>1</v>
      </c>
      <c r="BY82" t="s">
        <v>533</v>
      </c>
      <c r="BZ82">
        <v>300</v>
      </c>
      <c r="CA82">
        <v>480</v>
      </c>
      <c r="CB82" t="s">
        <v>534</v>
      </c>
      <c r="CC82" t="s">
        <v>534</v>
      </c>
      <c r="CD82">
        <v>450</v>
      </c>
      <c r="CE82" t="s">
        <v>535</v>
      </c>
      <c r="CF82">
        <v>15</v>
      </c>
      <c r="CG82" t="s">
        <v>620</v>
      </c>
      <c r="CH82" t="s">
        <v>620</v>
      </c>
      <c r="CI82">
        <v>90</v>
      </c>
      <c r="CJ82">
        <v>1200</v>
      </c>
      <c r="CK82">
        <v>2</v>
      </c>
      <c r="CL82">
        <v>1301</v>
      </c>
      <c r="CM82">
        <v>2</v>
      </c>
      <c r="CN82" t="s">
        <v>537</v>
      </c>
      <c r="CO82" t="s">
        <v>538</v>
      </c>
      <c r="CP82" t="s">
        <v>539</v>
      </c>
      <c r="CQ82" t="s">
        <v>621</v>
      </c>
      <c r="CR82" t="s">
        <v>541</v>
      </c>
      <c r="CS82" t="s">
        <v>542</v>
      </c>
      <c r="CT82">
        <v>405</v>
      </c>
      <c r="CU82">
        <v>5</v>
      </c>
      <c r="CV82">
        <v>1.2</v>
      </c>
      <c r="CW82">
        <v>1213</v>
      </c>
      <c r="CX82">
        <v>695</v>
      </c>
      <c r="DD82">
        <v>0</v>
      </c>
      <c r="DE82" t="s">
        <v>622</v>
      </c>
      <c r="DF82">
        <v>600</v>
      </c>
      <c r="DG82">
        <v>3</v>
      </c>
      <c r="DH82">
        <v>0.88</v>
      </c>
      <c r="DI82">
        <v>1210</v>
      </c>
      <c r="DJ82">
        <v>839</v>
      </c>
      <c r="DK82" t="s">
        <v>622</v>
      </c>
      <c r="DL82">
        <v>485</v>
      </c>
      <c r="DM82">
        <v>3</v>
      </c>
      <c r="DN82">
        <v>0.88</v>
      </c>
      <c r="DO82">
        <v>1216</v>
      </c>
      <c r="DP82">
        <v>614</v>
      </c>
      <c r="DW82" t="s">
        <v>544</v>
      </c>
      <c r="DX82">
        <v>7.5</v>
      </c>
      <c r="EA82">
        <v>1285.7</v>
      </c>
      <c r="EB82">
        <v>228</v>
      </c>
      <c r="EC82" t="s">
        <v>545</v>
      </c>
      <c r="ED82">
        <v>40</v>
      </c>
      <c r="EE82">
        <v>3</v>
      </c>
      <c r="EG82">
        <v>1327</v>
      </c>
      <c r="EH82">
        <v>212</v>
      </c>
      <c r="EJ82">
        <v>0</v>
      </c>
      <c r="EK82">
        <v>1</v>
      </c>
      <c r="EN82">
        <v>0</v>
      </c>
      <c r="EP82" t="s">
        <v>546</v>
      </c>
      <c r="EQ82">
        <v>120</v>
      </c>
      <c r="ER82">
        <v>3</v>
      </c>
      <c r="ES82">
        <v>6.5</v>
      </c>
      <c r="ET82">
        <v>1204</v>
      </c>
      <c r="EU82">
        <v>564.5</v>
      </c>
      <c r="EV82">
        <v>680</v>
      </c>
      <c r="EW82" t="s">
        <v>547</v>
      </c>
      <c r="EX82">
        <v>70</v>
      </c>
      <c r="EY82">
        <v>2</v>
      </c>
      <c r="EZ82">
        <v>4.3</v>
      </c>
      <c r="FA82">
        <v>1204</v>
      </c>
      <c r="FB82">
        <v>208.3</v>
      </c>
      <c r="FC82">
        <v>251</v>
      </c>
      <c r="FE82">
        <v>0</v>
      </c>
      <c r="FF82">
        <v>2</v>
      </c>
      <c r="FI82">
        <v>0</v>
      </c>
      <c r="FK82" t="s">
        <v>548</v>
      </c>
      <c r="FL82">
        <v>0.4</v>
      </c>
      <c r="FM82">
        <v>115</v>
      </c>
      <c r="FN82">
        <v>120</v>
      </c>
      <c r="GR82" t="s">
        <v>548</v>
      </c>
      <c r="GS82">
        <v>0.4</v>
      </c>
      <c r="GT82">
        <v>30</v>
      </c>
      <c r="GU82">
        <v>240</v>
      </c>
      <c r="HC82">
        <v>0.1</v>
      </c>
      <c r="HD82">
        <v>3</v>
      </c>
      <c r="HE82">
        <v>3</v>
      </c>
      <c r="HF82">
        <v>3</v>
      </c>
      <c r="HG82">
        <v>3</v>
      </c>
      <c r="HH82">
        <v>3</v>
      </c>
      <c r="HI82">
        <v>175</v>
      </c>
      <c r="HJ82">
        <v>3</v>
      </c>
      <c r="HK82">
        <v>55</v>
      </c>
      <c r="HL82">
        <v>2</v>
      </c>
      <c r="HM82">
        <v>0</v>
      </c>
      <c r="HN82">
        <v>2</v>
      </c>
      <c r="HO82">
        <v>105</v>
      </c>
      <c r="HP82">
        <v>3</v>
      </c>
      <c r="HQ82">
        <v>0</v>
      </c>
      <c r="HR82">
        <v>2</v>
      </c>
      <c r="HS82">
        <v>4890</v>
      </c>
      <c r="HT82">
        <v>150</v>
      </c>
      <c r="HU82">
        <v>180</v>
      </c>
      <c r="HW82">
        <v>0</v>
      </c>
      <c r="HX82">
        <v>460</v>
      </c>
      <c r="HY82">
        <v>0.18</v>
      </c>
      <c r="IA82">
        <v>0.15</v>
      </c>
      <c r="IB82">
        <v>0</v>
      </c>
      <c r="IC82">
        <v>180</v>
      </c>
      <c r="ID82">
        <v>110</v>
      </c>
      <c r="IE82">
        <v>225</v>
      </c>
      <c r="IF82">
        <v>0</v>
      </c>
      <c r="IH82" t="s">
        <v>549</v>
      </c>
      <c r="IO82">
        <v>3</v>
      </c>
      <c r="IP82">
        <v>16</v>
      </c>
      <c r="IQ82">
        <v>0</v>
      </c>
      <c r="IR82">
        <v>1</v>
      </c>
      <c r="IV82">
        <v>1200</v>
      </c>
      <c r="IW82">
        <v>428</v>
      </c>
      <c r="JA82">
        <v>1</v>
      </c>
      <c r="JB82">
        <v>0</v>
      </c>
      <c r="JC82">
        <v>2</v>
      </c>
      <c r="JD82">
        <v>1213</v>
      </c>
      <c r="JE82">
        <v>1210</v>
      </c>
      <c r="JF82">
        <v>1216</v>
      </c>
      <c r="JG82">
        <v>1204</v>
      </c>
      <c r="JH82">
        <v>0</v>
      </c>
      <c r="JJ82">
        <v>180</v>
      </c>
      <c r="JK82">
        <v>460</v>
      </c>
      <c r="JN82">
        <v>405</v>
      </c>
      <c r="JO82">
        <v>600</v>
      </c>
      <c r="JP82">
        <v>485</v>
      </c>
      <c r="JQ82">
        <v>0</v>
      </c>
      <c r="JR82">
        <v>384</v>
      </c>
      <c r="JS82">
        <v>175</v>
      </c>
      <c r="JV82">
        <v>8</v>
      </c>
      <c r="JW82" t="s">
        <v>550</v>
      </c>
      <c r="JX82">
        <v>0</v>
      </c>
      <c r="KA82">
        <v>225</v>
      </c>
      <c r="KB82">
        <v>110</v>
      </c>
      <c r="KC82">
        <v>0</v>
      </c>
      <c r="KD82">
        <v>80</v>
      </c>
      <c r="KF82">
        <v>4</v>
      </c>
      <c r="KG82">
        <v>4</v>
      </c>
      <c r="KH82">
        <v>2</v>
      </c>
      <c r="KI82">
        <v>2</v>
      </c>
      <c r="KJ82">
        <v>0</v>
      </c>
      <c r="KK82">
        <v>1.5</v>
      </c>
      <c r="KL82">
        <v>1.5</v>
      </c>
      <c r="KM82">
        <v>0</v>
      </c>
      <c r="KN82">
        <v>0</v>
      </c>
      <c r="KO82">
        <v>0</v>
      </c>
      <c r="KR82">
        <v>50</v>
      </c>
      <c r="KS82">
        <v>60</v>
      </c>
      <c r="KT82">
        <v>0</v>
      </c>
      <c r="LK82">
        <v>480</v>
      </c>
      <c r="PG82">
        <v>1</v>
      </c>
      <c r="PI82" t="s">
        <v>1629</v>
      </c>
      <c r="PJ82" t="s">
        <v>1630</v>
      </c>
      <c r="PK82" t="s">
        <v>1631</v>
      </c>
      <c r="PL82" t="s">
        <v>692</v>
      </c>
      <c r="PP82" t="s">
        <v>618</v>
      </c>
      <c r="PX82">
        <v>56</v>
      </c>
      <c r="PY82">
        <v>56</v>
      </c>
      <c r="PZ82" t="s">
        <v>1629</v>
      </c>
      <c r="QA82">
        <v>5</v>
      </c>
      <c r="QB82">
        <v>1204</v>
      </c>
      <c r="QC82">
        <v>69</v>
      </c>
      <c r="QD82">
        <v>69</v>
      </c>
      <c r="QE82" t="s">
        <v>692</v>
      </c>
      <c r="QF82">
        <v>1</v>
      </c>
      <c r="QG82">
        <v>1213</v>
      </c>
      <c r="QH82">
        <v>66</v>
      </c>
      <c r="QI82">
        <v>66</v>
      </c>
      <c r="QL82">
        <v>0</v>
      </c>
      <c r="QM82">
        <v>62</v>
      </c>
      <c r="QN82">
        <v>62</v>
      </c>
      <c r="QO82" t="s">
        <v>1630</v>
      </c>
      <c r="QP82">
        <v>1</v>
      </c>
      <c r="QQ82">
        <v>1210</v>
      </c>
      <c r="QR82">
        <v>62</v>
      </c>
      <c r="QS82">
        <v>62</v>
      </c>
      <c r="QT82" t="s">
        <v>1631</v>
      </c>
      <c r="QU82">
        <v>1</v>
      </c>
      <c r="QV82">
        <v>1216</v>
      </c>
      <c r="QW82">
        <v>82</v>
      </c>
      <c r="QX82">
        <v>88</v>
      </c>
      <c r="QY82" t="s">
        <v>618</v>
      </c>
      <c r="QZ82">
        <v>1</v>
      </c>
      <c r="RA82">
        <v>66</v>
      </c>
      <c r="RB82">
        <v>66</v>
      </c>
      <c r="RE82">
        <v>0</v>
      </c>
      <c r="RF82">
        <v>1</v>
      </c>
      <c r="RH82">
        <v>1</v>
      </c>
      <c r="RJ82">
        <v>1</v>
      </c>
      <c r="RL82">
        <v>4</v>
      </c>
      <c r="RM82">
        <v>4</v>
      </c>
      <c r="RO82">
        <v>573</v>
      </c>
      <c r="RQ82">
        <v>693</v>
      </c>
      <c r="RR82">
        <v>505</v>
      </c>
      <c r="RT82">
        <v>228</v>
      </c>
      <c r="RU82">
        <v>212</v>
      </c>
      <c r="RV82" t="s">
        <v>623</v>
      </c>
      <c r="RW82" t="s">
        <v>552</v>
      </c>
      <c r="RX82">
        <v>15</v>
      </c>
      <c r="RY82">
        <v>4</v>
      </c>
      <c r="RZ82" t="s">
        <v>552</v>
      </c>
      <c r="SA82">
        <v>15</v>
      </c>
      <c r="SC82" t="s">
        <v>1630</v>
      </c>
      <c r="SD82">
        <v>1</v>
      </c>
      <c r="SF82" t="s">
        <v>1631</v>
      </c>
      <c r="SG82">
        <v>1</v>
      </c>
      <c r="SH82">
        <v>0.995</v>
      </c>
      <c r="SI82">
        <v>0.995</v>
      </c>
      <c r="SJ82">
        <v>0.995</v>
      </c>
      <c r="SK82">
        <v>15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Z82">
        <v>1</v>
      </c>
      <c r="TB82">
        <v>0</v>
      </c>
      <c r="TC82">
        <v>0</v>
      </c>
      <c r="TD82">
        <v>7.5</v>
      </c>
      <c r="TE82" t="s">
        <v>553</v>
      </c>
      <c r="TF82" t="s">
        <v>624</v>
      </c>
      <c r="TG82" t="s">
        <v>555</v>
      </c>
      <c r="TI82" t="s">
        <v>546</v>
      </c>
      <c r="TJ82" t="s">
        <v>547</v>
      </c>
      <c r="TL82" t="s">
        <v>1477</v>
      </c>
      <c r="TM82" t="s">
        <v>513</v>
      </c>
      <c r="TN82">
        <v>0</v>
      </c>
      <c r="TO82" t="s">
        <v>557</v>
      </c>
    </row>
    <row r="83" spans="1:535">
      <c r="A83" t="s">
        <v>1632</v>
      </c>
      <c r="B83" t="s">
        <v>729</v>
      </c>
      <c r="C83" t="s">
        <v>509</v>
      </c>
      <c r="D83" t="s">
        <v>1346</v>
      </c>
      <c r="G83" t="s">
        <v>604</v>
      </c>
      <c r="H83" t="s">
        <v>605</v>
      </c>
      <c r="I83" t="s">
        <v>628</v>
      </c>
      <c r="J83" t="s">
        <v>606</v>
      </c>
      <c r="L83" t="s">
        <v>512</v>
      </c>
      <c r="M83" t="s">
        <v>897</v>
      </c>
      <c r="N83" t="s">
        <v>513</v>
      </c>
      <c r="O83" t="s">
        <v>607</v>
      </c>
      <c r="Q83" t="s">
        <v>1633</v>
      </c>
      <c r="R83" t="s">
        <v>567</v>
      </c>
      <c r="S83" t="s">
        <v>939</v>
      </c>
      <c r="T83" t="s">
        <v>759</v>
      </c>
      <c r="U83" t="s">
        <v>633</v>
      </c>
      <c r="V83" t="s">
        <v>634</v>
      </c>
      <c r="W83" t="s">
        <v>1634</v>
      </c>
      <c r="X83" t="s">
        <v>1460</v>
      </c>
      <c r="Y83" t="s">
        <v>524</v>
      </c>
      <c r="Z83" t="s">
        <v>1635</v>
      </c>
      <c r="AA83" t="s">
        <v>1636</v>
      </c>
      <c r="AB83" t="s">
        <v>1637</v>
      </c>
      <c r="AC83">
        <v>2</v>
      </c>
      <c r="AD83">
        <v>56</v>
      </c>
      <c r="AE83">
        <v>177</v>
      </c>
      <c r="AF83">
        <v>1.5</v>
      </c>
      <c r="AH83">
        <v>0</v>
      </c>
      <c r="AI83" t="s">
        <v>944</v>
      </c>
      <c r="AJ83">
        <v>187.5</v>
      </c>
      <c r="AK83">
        <v>1</v>
      </c>
      <c r="AL83">
        <v>1.5</v>
      </c>
      <c r="AM83" t="s">
        <v>529</v>
      </c>
      <c r="AO83">
        <v>0</v>
      </c>
      <c r="AR83">
        <v>0</v>
      </c>
      <c r="AS83">
        <v>1.5</v>
      </c>
      <c r="AU83" t="s">
        <v>1638</v>
      </c>
      <c r="AW83" t="s">
        <v>1638</v>
      </c>
      <c r="AX83">
        <v>1</v>
      </c>
      <c r="AY83">
        <v>330</v>
      </c>
      <c r="AZ83">
        <v>1.5</v>
      </c>
      <c r="BA83" t="s">
        <v>529</v>
      </c>
      <c r="BG83">
        <v>1.5</v>
      </c>
      <c r="BJ83">
        <v>0</v>
      </c>
      <c r="BN83">
        <v>1.5</v>
      </c>
      <c r="BP83" t="s">
        <v>1639</v>
      </c>
      <c r="BQ83">
        <v>89</v>
      </c>
      <c r="BR83">
        <v>2</v>
      </c>
      <c r="BS83" t="s">
        <v>1640</v>
      </c>
      <c r="BT83">
        <v>199</v>
      </c>
      <c r="BU83">
        <v>0.5</v>
      </c>
      <c r="BV83" t="s">
        <v>1640</v>
      </c>
      <c r="BW83">
        <v>398</v>
      </c>
      <c r="BX83">
        <v>1</v>
      </c>
      <c r="BY83" t="s">
        <v>643</v>
      </c>
      <c r="BZ83">
        <v>300</v>
      </c>
      <c r="CA83">
        <v>520</v>
      </c>
      <c r="CB83" t="s">
        <v>644</v>
      </c>
      <c r="CC83" t="s">
        <v>644</v>
      </c>
      <c r="CD83">
        <v>416</v>
      </c>
      <c r="CE83" t="s">
        <v>544</v>
      </c>
      <c r="CF83">
        <v>15</v>
      </c>
      <c r="CG83" t="s">
        <v>1112</v>
      </c>
      <c r="CH83" t="s">
        <v>1112</v>
      </c>
      <c r="CI83">
        <v>110</v>
      </c>
      <c r="CJ83">
        <v>1301</v>
      </c>
      <c r="CK83">
        <v>2</v>
      </c>
      <c r="CL83">
        <v>1395</v>
      </c>
      <c r="CM83">
        <v>2</v>
      </c>
      <c r="CN83" t="s">
        <v>646</v>
      </c>
      <c r="CO83" t="s">
        <v>647</v>
      </c>
      <c r="CP83" t="s">
        <v>648</v>
      </c>
      <c r="CQ83" t="s">
        <v>1496</v>
      </c>
      <c r="CR83" t="s">
        <v>541</v>
      </c>
      <c r="CS83" t="s">
        <v>542</v>
      </c>
      <c r="CT83">
        <v>375</v>
      </c>
      <c r="CU83">
        <v>5</v>
      </c>
      <c r="CV83">
        <v>1.2</v>
      </c>
      <c r="CW83">
        <v>1314</v>
      </c>
      <c r="CX83">
        <v>698</v>
      </c>
      <c r="DD83">
        <v>0</v>
      </c>
      <c r="DE83" t="s">
        <v>543</v>
      </c>
      <c r="DF83">
        <v>660</v>
      </c>
      <c r="DG83">
        <v>3</v>
      </c>
      <c r="DH83">
        <v>1.18</v>
      </c>
      <c r="DI83">
        <v>1312</v>
      </c>
      <c r="DJ83">
        <v>1302</v>
      </c>
      <c r="DW83" t="s">
        <v>544</v>
      </c>
      <c r="DX83">
        <v>7.5</v>
      </c>
      <c r="EA83">
        <v>1379.8</v>
      </c>
      <c r="EB83">
        <v>180</v>
      </c>
      <c r="EC83" t="s">
        <v>545</v>
      </c>
      <c r="ED83">
        <v>40</v>
      </c>
      <c r="EE83">
        <v>3</v>
      </c>
      <c r="EG83">
        <v>1411</v>
      </c>
      <c r="EH83">
        <v>226</v>
      </c>
      <c r="EJ83">
        <v>0</v>
      </c>
      <c r="EK83">
        <v>1</v>
      </c>
      <c r="EN83">
        <v>0</v>
      </c>
      <c r="EP83" t="s">
        <v>546</v>
      </c>
      <c r="EQ83">
        <v>95</v>
      </c>
      <c r="ER83">
        <v>3</v>
      </c>
      <c r="ES83">
        <v>5.5</v>
      </c>
      <c r="ET83">
        <v>1298</v>
      </c>
      <c r="EU83">
        <v>401.9</v>
      </c>
      <c r="EV83">
        <v>522</v>
      </c>
      <c r="EW83" t="s">
        <v>547</v>
      </c>
      <c r="EX83">
        <v>70</v>
      </c>
      <c r="EY83">
        <v>2</v>
      </c>
      <c r="EZ83">
        <v>4.5</v>
      </c>
      <c r="FA83">
        <v>1298</v>
      </c>
      <c r="FB83">
        <v>225.9</v>
      </c>
      <c r="FC83">
        <v>293</v>
      </c>
      <c r="FE83">
        <v>0</v>
      </c>
      <c r="FF83">
        <v>2</v>
      </c>
      <c r="FI83">
        <v>0</v>
      </c>
      <c r="FK83" t="s">
        <v>548</v>
      </c>
      <c r="FL83">
        <v>0.4</v>
      </c>
      <c r="FM83">
        <v>80</v>
      </c>
      <c r="FN83">
        <v>120</v>
      </c>
      <c r="FR83" t="s">
        <v>548</v>
      </c>
      <c r="FS83">
        <v>0.4</v>
      </c>
      <c r="FT83">
        <v>30</v>
      </c>
      <c r="FU83">
        <v>360</v>
      </c>
      <c r="HC83">
        <v>0.1</v>
      </c>
      <c r="HD83">
        <v>3</v>
      </c>
      <c r="HE83">
        <v>3</v>
      </c>
      <c r="HF83">
        <v>3</v>
      </c>
      <c r="HG83">
        <v>3</v>
      </c>
      <c r="HH83">
        <v>3</v>
      </c>
      <c r="HI83">
        <v>150</v>
      </c>
      <c r="HJ83">
        <v>3</v>
      </c>
      <c r="HK83">
        <v>55</v>
      </c>
      <c r="HL83">
        <v>2</v>
      </c>
      <c r="HM83">
        <v>0</v>
      </c>
      <c r="HN83">
        <v>2</v>
      </c>
      <c r="HO83">
        <v>80</v>
      </c>
      <c r="HP83">
        <v>3</v>
      </c>
      <c r="HQ83">
        <v>0</v>
      </c>
      <c r="HR83">
        <v>2</v>
      </c>
      <c r="HS83">
        <v>4442</v>
      </c>
      <c r="HT83">
        <v>130</v>
      </c>
      <c r="HU83">
        <v>180</v>
      </c>
      <c r="HW83">
        <v>20</v>
      </c>
      <c r="HX83">
        <v>510</v>
      </c>
      <c r="HY83">
        <v>0.18</v>
      </c>
      <c r="IA83">
        <v>0.15</v>
      </c>
      <c r="IB83">
        <v>0</v>
      </c>
      <c r="IC83">
        <v>180</v>
      </c>
      <c r="ID83">
        <v>110</v>
      </c>
      <c r="IE83">
        <v>0</v>
      </c>
      <c r="IF83">
        <v>0</v>
      </c>
      <c r="IH83" t="s">
        <v>549</v>
      </c>
      <c r="IO83">
        <v>1</v>
      </c>
      <c r="IP83">
        <v>17</v>
      </c>
      <c r="IQ83">
        <v>0</v>
      </c>
      <c r="IR83">
        <v>1</v>
      </c>
      <c r="IV83">
        <v>1301</v>
      </c>
      <c r="IW83">
        <v>398</v>
      </c>
      <c r="JA83">
        <v>1</v>
      </c>
      <c r="JB83">
        <v>0</v>
      </c>
      <c r="JC83">
        <v>2</v>
      </c>
      <c r="JD83">
        <v>1314</v>
      </c>
      <c r="JE83">
        <v>1312</v>
      </c>
      <c r="JF83">
        <v>0</v>
      </c>
      <c r="JG83">
        <v>1298</v>
      </c>
      <c r="JH83">
        <v>0</v>
      </c>
      <c r="JJ83">
        <v>180</v>
      </c>
      <c r="JK83">
        <v>510</v>
      </c>
      <c r="JN83">
        <v>375</v>
      </c>
      <c r="JO83">
        <v>660</v>
      </c>
      <c r="JP83">
        <v>0</v>
      </c>
      <c r="JQ83">
        <v>0</v>
      </c>
      <c r="JR83">
        <v>354</v>
      </c>
      <c r="JS83">
        <v>150</v>
      </c>
      <c r="JV83">
        <v>8</v>
      </c>
      <c r="JW83" t="s">
        <v>550</v>
      </c>
      <c r="JX83">
        <v>0</v>
      </c>
      <c r="KA83">
        <v>0</v>
      </c>
      <c r="KB83">
        <v>110</v>
      </c>
      <c r="KC83">
        <v>0</v>
      </c>
      <c r="KD83">
        <v>80</v>
      </c>
      <c r="KF83">
        <v>4</v>
      </c>
      <c r="KG83">
        <v>2</v>
      </c>
      <c r="KH83">
        <v>2</v>
      </c>
      <c r="KI83">
        <v>2</v>
      </c>
      <c r="KJ83">
        <v>0</v>
      </c>
      <c r="KK83">
        <v>1.5</v>
      </c>
      <c r="KL83">
        <v>1.5</v>
      </c>
      <c r="KM83">
        <v>0</v>
      </c>
      <c r="KN83">
        <v>0</v>
      </c>
      <c r="KO83">
        <v>0</v>
      </c>
      <c r="KR83">
        <v>50</v>
      </c>
      <c r="KS83">
        <v>60</v>
      </c>
      <c r="KT83">
        <v>0</v>
      </c>
      <c r="LK83">
        <v>480</v>
      </c>
      <c r="PG83">
        <v>1</v>
      </c>
      <c r="PI83" t="s">
        <v>1637</v>
      </c>
      <c r="PJ83" t="s">
        <v>1638</v>
      </c>
      <c r="PL83" t="s">
        <v>944</v>
      </c>
      <c r="PP83" t="s">
        <v>1639</v>
      </c>
      <c r="PX83">
        <v>56</v>
      </c>
      <c r="PY83">
        <v>56</v>
      </c>
      <c r="PZ83" t="s">
        <v>1637</v>
      </c>
      <c r="QA83">
        <v>1</v>
      </c>
      <c r="QB83">
        <v>1298</v>
      </c>
      <c r="QC83">
        <v>69</v>
      </c>
      <c r="QD83">
        <v>69</v>
      </c>
      <c r="QE83" t="s">
        <v>944</v>
      </c>
      <c r="QF83">
        <v>1</v>
      </c>
      <c r="QG83">
        <v>1314</v>
      </c>
      <c r="QH83">
        <v>66</v>
      </c>
      <c r="QI83">
        <v>66</v>
      </c>
      <c r="QL83">
        <v>0</v>
      </c>
      <c r="QM83">
        <v>62</v>
      </c>
      <c r="QN83">
        <v>62</v>
      </c>
      <c r="QO83" t="s">
        <v>1638</v>
      </c>
      <c r="QP83">
        <v>1</v>
      </c>
      <c r="QQ83">
        <v>1312</v>
      </c>
      <c r="QW83">
        <v>82</v>
      </c>
      <c r="QX83">
        <v>89</v>
      </c>
      <c r="QY83" t="s">
        <v>1639</v>
      </c>
      <c r="QZ83">
        <v>1</v>
      </c>
      <c r="RA83">
        <v>66</v>
      </c>
      <c r="RB83">
        <v>66</v>
      </c>
      <c r="RE83">
        <v>0</v>
      </c>
      <c r="RF83">
        <v>1</v>
      </c>
      <c r="RJ83">
        <v>2</v>
      </c>
      <c r="RL83">
        <v>2</v>
      </c>
      <c r="RO83">
        <v>531</v>
      </c>
      <c r="RQ83">
        <v>992</v>
      </c>
      <c r="RT83">
        <v>180</v>
      </c>
      <c r="RU83">
        <v>226</v>
      </c>
      <c r="RV83" t="s">
        <v>1641</v>
      </c>
      <c r="RW83" t="s">
        <v>653</v>
      </c>
      <c r="RX83">
        <v>15</v>
      </c>
      <c r="RY83">
        <v>4</v>
      </c>
      <c r="RZ83" t="s">
        <v>653</v>
      </c>
      <c r="SA83">
        <v>15</v>
      </c>
      <c r="SC83" t="s">
        <v>1638</v>
      </c>
      <c r="SD83">
        <v>1</v>
      </c>
      <c r="SH83">
        <v>0.995</v>
      </c>
      <c r="SI83">
        <v>0.995</v>
      </c>
      <c r="SJ83">
        <v>0.995</v>
      </c>
      <c r="SK83">
        <v>15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TB83">
        <v>0</v>
      </c>
      <c r="TC83">
        <v>0</v>
      </c>
      <c r="TD83">
        <v>7.5</v>
      </c>
      <c r="TE83" t="s">
        <v>553</v>
      </c>
      <c r="TF83" t="s">
        <v>754</v>
      </c>
      <c r="TG83" t="s">
        <v>555</v>
      </c>
      <c r="TI83" t="s">
        <v>546</v>
      </c>
      <c r="TJ83" t="s">
        <v>547</v>
      </c>
      <c r="TL83" t="s">
        <v>1477</v>
      </c>
      <c r="TM83" t="s">
        <v>513</v>
      </c>
      <c r="TN83">
        <v>0</v>
      </c>
      <c r="TO83" t="s">
        <v>557</v>
      </c>
    </row>
    <row r="84" spans="1:535">
      <c r="A84" t="s">
        <v>1642</v>
      </c>
      <c r="B84" t="s">
        <v>564</v>
      </c>
      <c r="C84" t="s">
        <v>509</v>
      </c>
      <c r="D84" t="s">
        <v>1013</v>
      </c>
      <c r="G84" t="s">
        <v>604</v>
      </c>
      <c r="H84" t="s">
        <v>605</v>
      </c>
      <c r="I84" t="s">
        <v>628</v>
      </c>
      <c r="J84" t="s">
        <v>606</v>
      </c>
      <c r="L84" t="s">
        <v>512</v>
      </c>
      <c r="M84" t="s">
        <v>629</v>
      </c>
      <c r="N84" t="s">
        <v>513</v>
      </c>
      <c r="O84" t="s">
        <v>607</v>
      </c>
      <c r="Q84" t="s">
        <v>1643</v>
      </c>
      <c r="R84" t="s">
        <v>567</v>
      </c>
      <c r="S84" t="s">
        <v>1644</v>
      </c>
      <c r="T84" t="s">
        <v>1043</v>
      </c>
      <c r="U84" t="s">
        <v>662</v>
      </c>
      <c r="V84" t="s">
        <v>663</v>
      </c>
      <c r="W84" t="s">
        <v>928</v>
      </c>
      <c r="X84" t="s">
        <v>1460</v>
      </c>
      <c r="Y84" t="s">
        <v>574</v>
      </c>
      <c r="Z84" t="s">
        <v>1645</v>
      </c>
      <c r="AA84" t="s">
        <v>1646</v>
      </c>
      <c r="AB84" t="s">
        <v>1647</v>
      </c>
      <c r="AC84">
        <v>2</v>
      </c>
      <c r="AD84">
        <v>56</v>
      </c>
      <c r="AE84">
        <v>215</v>
      </c>
      <c r="AF84">
        <v>1.5</v>
      </c>
      <c r="AH84">
        <v>0</v>
      </c>
      <c r="AI84" t="s">
        <v>1648</v>
      </c>
      <c r="AJ84">
        <v>227.5</v>
      </c>
      <c r="AK84">
        <v>1</v>
      </c>
      <c r="AL84">
        <v>1.5</v>
      </c>
      <c r="AM84" t="s">
        <v>529</v>
      </c>
      <c r="AO84">
        <v>0</v>
      </c>
      <c r="AR84">
        <v>0</v>
      </c>
      <c r="AS84">
        <v>1.5</v>
      </c>
      <c r="AU84" t="s">
        <v>1649</v>
      </c>
      <c r="AW84" t="s">
        <v>1649</v>
      </c>
      <c r="AX84">
        <v>1</v>
      </c>
      <c r="AY84">
        <v>322.5</v>
      </c>
      <c r="AZ84">
        <v>1.5</v>
      </c>
      <c r="BA84" t="s">
        <v>529</v>
      </c>
      <c r="BC84" t="s">
        <v>1650</v>
      </c>
      <c r="BD84" t="s">
        <v>1650</v>
      </c>
      <c r="BE84">
        <v>1</v>
      </c>
      <c r="BF84">
        <v>267.5</v>
      </c>
      <c r="BG84">
        <v>1.5</v>
      </c>
      <c r="BJ84">
        <v>0</v>
      </c>
      <c r="BN84">
        <v>1.5</v>
      </c>
      <c r="BP84" t="s">
        <v>1651</v>
      </c>
      <c r="BQ84">
        <v>82</v>
      </c>
      <c r="BR84">
        <v>2</v>
      </c>
      <c r="BS84" t="s">
        <v>1652</v>
      </c>
      <c r="BT84">
        <v>238</v>
      </c>
      <c r="BU84">
        <v>0.5</v>
      </c>
      <c r="BV84" t="s">
        <v>1652</v>
      </c>
      <c r="BW84">
        <v>476</v>
      </c>
      <c r="BX84">
        <v>1</v>
      </c>
      <c r="BY84" t="s">
        <v>643</v>
      </c>
      <c r="BZ84">
        <v>470</v>
      </c>
      <c r="CA84">
        <v>550</v>
      </c>
      <c r="CB84" t="s">
        <v>672</v>
      </c>
      <c r="CC84" t="s">
        <v>672</v>
      </c>
      <c r="CD84">
        <v>490</v>
      </c>
      <c r="CE84" t="s">
        <v>673</v>
      </c>
      <c r="CF84">
        <v>15</v>
      </c>
      <c r="CG84" t="s">
        <v>1653</v>
      </c>
      <c r="CH84" t="s">
        <v>1653</v>
      </c>
      <c r="CI84">
        <v>40</v>
      </c>
      <c r="CJ84">
        <v>1381</v>
      </c>
      <c r="CK84">
        <v>2</v>
      </c>
      <c r="CL84">
        <v>1475</v>
      </c>
      <c r="CM84">
        <v>2</v>
      </c>
      <c r="CN84" t="s">
        <v>675</v>
      </c>
      <c r="CO84" t="s">
        <v>676</v>
      </c>
      <c r="CP84" t="s">
        <v>595</v>
      </c>
      <c r="CQ84" t="s">
        <v>677</v>
      </c>
      <c r="CR84" t="s">
        <v>650</v>
      </c>
      <c r="CS84" t="s">
        <v>542</v>
      </c>
      <c r="CT84">
        <v>455</v>
      </c>
      <c r="CU84">
        <v>5</v>
      </c>
      <c r="CV84">
        <v>1.2</v>
      </c>
      <c r="CW84">
        <v>1393</v>
      </c>
      <c r="CX84">
        <v>898</v>
      </c>
      <c r="DD84">
        <v>0</v>
      </c>
      <c r="DE84" t="s">
        <v>543</v>
      </c>
      <c r="DF84">
        <v>645</v>
      </c>
      <c r="DG84">
        <v>3</v>
      </c>
      <c r="DH84">
        <v>1.18</v>
      </c>
      <c r="DI84">
        <v>1391</v>
      </c>
      <c r="DJ84">
        <v>1363</v>
      </c>
      <c r="DK84" t="s">
        <v>543</v>
      </c>
      <c r="DL84">
        <v>535</v>
      </c>
      <c r="DM84">
        <v>3</v>
      </c>
      <c r="DN84">
        <v>1.18</v>
      </c>
      <c r="DO84">
        <v>1399</v>
      </c>
      <c r="DP84">
        <v>1247</v>
      </c>
      <c r="DW84" t="s">
        <v>544</v>
      </c>
      <c r="DX84">
        <v>7.5</v>
      </c>
      <c r="EA84">
        <v>1465.9</v>
      </c>
      <c r="EB84">
        <v>259</v>
      </c>
      <c r="EC84" t="s">
        <v>545</v>
      </c>
      <c r="ED84">
        <v>40</v>
      </c>
      <c r="EE84">
        <v>3</v>
      </c>
      <c r="EG84">
        <v>1507</v>
      </c>
      <c r="EH84">
        <v>292</v>
      </c>
      <c r="EJ84">
        <v>0</v>
      </c>
      <c r="EK84">
        <v>1</v>
      </c>
      <c r="EN84">
        <v>0</v>
      </c>
      <c r="EP84" t="s">
        <v>546</v>
      </c>
      <c r="EQ84">
        <v>110</v>
      </c>
      <c r="ER84">
        <v>3</v>
      </c>
      <c r="ES84">
        <v>5.5</v>
      </c>
      <c r="ET84">
        <v>1378</v>
      </c>
      <c r="EU84">
        <v>478.1</v>
      </c>
      <c r="EV84">
        <v>659</v>
      </c>
      <c r="EW84" t="s">
        <v>547</v>
      </c>
      <c r="EX84">
        <v>70</v>
      </c>
      <c r="EY84">
        <v>2</v>
      </c>
      <c r="EZ84">
        <v>4.3</v>
      </c>
      <c r="FA84">
        <v>1378</v>
      </c>
      <c r="FB84">
        <v>208.3</v>
      </c>
      <c r="FC84">
        <v>287</v>
      </c>
      <c r="FE84">
        <v>0</v>
      </c>
      <c r="FF84">
        <v>2</v>
      </c>
      <c r="FI84">
        <v>0</v>
      </c>
      <c r="FK84" t="s">
        <v>548</v>
      </c>
      <c r="FL84">
        <v>0.4</v>
      </c>
      <c r="FM84">
        <v>120</v>
      </c>
      <c r="FN84">
        <v>160</v>
      </c>
      <c r="GR84" t="s">
        <v>548</v>
      </c>
      <c r="GS84">
        <v>0.4</v>
      </c>
      <c r="GT84">
        <v>30</v>
      </c>
      <c r="GU84">
        <v>440</v>
      </c>
      <c r="GV84">
        <v>80</v>
      </c>
      <c r="GW84">
        <v>180</v>
      </c>
      <c r="GY84" t="s">
        <v>651</v>
      </c>
      <c r="GZ84">
        <v>1.6</v>
      </c>
      <c r="HA84">
        <v>20</v>
      </c>
      <c r="HB84">
        <v>201</v>
      </c>
      <c r="HC84">
        <v>0.1</v>
      </c>
      <c r="HD84">
        <v>3</v>
      </c>
      <c r="HE84">
        <v>3</v>
      </c>
      <c r="HF84">
        <v>3</v>
      </c>
      <c r="HG84">
        <v>3</v>
      </c>
      <c r="HH84">
        <v>3</v>
      </c>
      <c r="HI84">
        <v>165</v>
      </c>
      <c r="HJ84">
        <v>3</v>
      </c>
      <c r="HK84">
        <v>55</v>
      </c>
      <c r="HL84">
        <v>2</v>
      </c>
      <c r="HM84">
        <v>0</v>
      </c>
      <c r="HN84">
        <v>2</v>
      </c>
      <c r="HO84">
        <v>95</v>
      </c>
      <c r="HP84">
        <v>3</v>
      </c>
      <c r="HQ84">
        <v>0</v>
      </c>
      <c r="HR84">
        <v>2</v>
      </c>
      <c r="HS84">
        <v>6502</v>
      </c>
      <c r="HT84">
        <v>200</v>
      </c>
      <c r="HU84">
        <v>180</v>
      </c>
      <c r="HW84">
        <v>0</v>
      </c>
      <c r="HX84">
        <v>495</v>
      </c>
      <c r="HY84">
        <v>0.18</v>
      </c>
      <c r="IA84">
        <v>0.15</v>
      </c>
      <c r="IB84">
        <v>0</v>
      </c>
      <c r="IC84">
        <v>180</v>
      </c>
      <c r="ID84">
        <v>110</v>
      </c>
      <c r="IE84">
        <v>225</v>
      </c>
      <c r="IF84">
        <v>0</v>
      </c>
      <c r="IH84" t="s">
        <v>549</v>
      </c>
      <c r="IO84">
        <v>3</v>
      </c>
      <c r="IP84">
        <v>18</v>
      </c>
      <c r="IQ84">
        <v>0</v>
      </c>
      <c r="IR84">
        <v>1</v>
      </c>
      <c r="IV84">
        <v>1381</v>
      </c>
      <c r="IW84">
        <v>476</v>
      </c>
      <c r="JA84">
        <v>1</v>
      </c>
      <c r="JB84">
        <v>0</v>
      </c>
      <c r="JC84">
        <v>2</v>
      </c>
      <c r="JD84">
        <v>1393</v>
      </c>
      <c r="JE84">
        <v>1391</v>
      </c>
      <c r="JF84">
        <v>1399</v>
      </c>
      <c r="JG84">
        <v>1378</v>
      </c>
      <c r="JH84">
        <v>0</v>
      </c>
      <c r="JJ84">
        <v>180</v>
      </c>
      <c r="JK84">
        <v>495</v>
      </c>
      <c r="JN84">
        <v>455</v>
      </c>
      <c r="JO84">
        <v>645</v>
      </c>
      <c r="JP84">
        <v>535</v>
      </c>
      <c r="JQ84">
        <v>0</v>
      </c>
      <c r="JR84">
        <v>430</v>
      </c>
      <c r="JS84">
        <v>165</v>
      </c>
      <c r="JV84">
        <v>8</v>
      </c>
      <c r="JW84" t="s">
        <v>550</v>
      </c>
      <c r="JX84">
        <v>0</v>
      </c>
      <c r="KA84">
        <v>225</v>
      </c>
      <c r="KB84">
        <v>110</v>
      </c>
      <c r="KC84">
        <v>0</v>
      </c>
      <c r="KD84">
        <v>80</v>
      </c>
      <c r="KF84">
        <v>4</v>
      </c>
      <c r="KG84">
        <v>2</v>
      </c>
      <c r="KH84">
        <v>2</v>
      </c>
      <c r="KI84">
        <v>2</v>
      </c>
      <c r="KJ84">
        <v>0</v>
      </c>
      <c r="KK84">
        <v>1.5</v>
      </c>
      <c r="KL84">
        <v>1.5</v>
      </c>
      <c r="KM84">
        <v>0</v>
      </c>
      <c r="KN84">
        <v>0</v>
      </c>
      <c r="KO84">
        <v>0</v>
      </c>
      <c r="KR84">
        <v>30</v>
      </c>
      <c r="KS84">
        <v>60</v>
      </c>
      <c r="KT84">
        <v>0</v>
      </c>
      <c r="LK84">
        <v>480</v>
      </c>
      <c r="PG84">
        <v>1</v>
      </c>
      <c r="PI84" t="s">
        <v>1647</v>
      </c>
      <c r="PJ84" t="s">
        <v>1649</v>
      </c>
      <c r="PK84" t="s">
        <v>1650</v>
      </c>
      <c r="PL84" t="s">
        <v>1648</v>
      </c>
      <c r="PP84" t="s">
        <v>1651</v>
      </c>
      <c r="PX84">
        <v>56</v>
      </c>
      <c r="PY84">
        <v>56</v>
      </c>
      <c r="PZ84" t="s">
        <v>1647</v>
      </c>
      <c r="QA84">
        <v>2</v>
      </c>
      <c r="QB84">
        <v>1378</v>
      </c>
      <c r="QC84">
        <v>69</v>
      </c>
      <c r="QD84">
        <v>69</v>
      </c>
      <c r="QE84" t="s">
        <v>1648</v>
      </c>
      <c r="QF84">
        <v>1</v>
      </c>
      <c r="QG84">
        <v>1393</v>
      </c>
      <c r="QH84">
        <v>66</v>
      </c>
      <c r="QI84">
        <v>66</v>
      </c>
      <c r="QL84">
        <v>0</v>
      </c>
      <c r="QM84">
        <v>62</v>
      </c>
      <c r="QN84">
        <v>62</v>
      </c>
      <c r="QO84" t="s">
        <v>1649</v>
      </c>
      <c r="QP84">
        <v>1</v>
      </c>
      <c r="QQ84">
        <v>1391</v>
      </c>
      <c r="QR84">
        <v>63</v>
      </c>
      <c r="QS84">
        <v>63</v>
      </c>
      <c r="QT84" t="s">
        <v>1650</v>
      </c>
      <c r="QU84">
        <v>1</v>
      </c>
      <c r="QV84">
        <v>1399</v>
      </c>
      <c r="QW84">
        <v>82</v>
      </c>
      <c r="QX84">
        <v>82</v>
      </c>
      <c r="QY84" t="s">
        <v>1651</v>
      </c>
      <c r="QZ84">
        <v>1</v>
      </c>
      <c r="RA84">
        <v>66</v>
      </c>
      <c r="RB84">
        <v>66</v>
      </c>
      <c r="RE84">
        <v>0</v>
      </c>
      <c r="RF84">
        <v>1</v>
      </c>
      <c r="RI84">
        <v>1</v>
      </c>
      <c r="RJ84">
        <v>1</v>
      </c>
      <c r="RL84">
        <v>2</v>
      </c>
      <c r="RM84">
        <v>2</v>
      </c>
      <c r="RO84">
        <v>645</v>
      </c>
      <c r="RQ84">
        <v>980</v>
      </c>
      <c r="RR84">
        <v>891</v>
      </c>
      <c r="RT84">
        <v>259</v>
      </c>
      <c r="RU84">
        <v>292</v>
      </c>
      <c r="RV84" t="s">
        <v>1654</v>
      </c>
      <c r="RW84" t="s">
        <v>679</v>
      </c>
      <c r="RX84">
        <v>15</v>
      </c>
      <c r="RY84">
        <v>4</v>
      </c>
      <c r="RZ84" t="s">
        <v>679</v>
      </c>
      <c r="SA84">
        <v>15</v>
      </c>
      <c r="SC84" t="s">
        <v>1649</v>
      </c>
      <c r="SD84">
        <v>1</v>
      </c>
      <c r="SE84" t="s">
        <v>1655</v>
      </c>
      <c r="SF84" t="s">
        <v>1655</v>
      </c>
      <c r="SG84">
        <v>1</v>
      </c>
      <c r="SH84">
        <v>0.995</v>
      </c>
      <c r="SI84">
        <v>0.995</v>
      </c>
      <c r="SJ84">
        <v>0.995</v>
      </c>
      <c r="SK84">
        <v>15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Z84">
        <v>1</v>
      </c>
      <c r="TB84">
        <v>0</v>
      </c>
      <c r="TC84">
        <v>0</v>
      </c>
      <c r="TD84">
        <v>7.5</v>
      </c>
      <c r="TE84" t="s">
        <v>553</v>
      </c>
      <c r="TF84" t="s">
        <v>624</v>
      </c>
      <c r="TG84" t="s">
        <v>555</v>
      </c>
      <c r="TI84" t="s">
        <v>546</v>
      </c>
      <c r="TJ84" t="s">
        <v>547</v>
      </c>
      <c r="TL84" t="s">
        <v>1477</v>
      </c>
      <c r="TM84" t="s">
        <v>513</v>
      </c>
      <c r="TN84">
        <v>0</v>
      </c>
      <c r="TO84" t="s">
        <v>557</v>
      </c>
    </row>
    <row r="85" spans="1:535">
      <c r="A85" t="s">
        <v>1656</v>
      </c>
      <c r="B85" t="s">
        <v>629</v>
      </c>
      <c r="C85" t="s">
        <v>509</v>
      </c>
      <c r="D85" t="s">
        <v>1657</v>
      </c>
      <c r="G85" t="s">
        <v>604</v>
      </c>
      <c r="H85" t="s">
        <v>605</v>
      </c>
      <c r="I85" t="s">
        <v>628</v>
      </c>
      <c r="J85" t="s">
        <v>606</v>
      </c>
      <c r="L85" t="s">
        <v>512</v>
      </c>
      <c r="M85" t="s">
        <v>711</v>
      </c>
      <c r="N85" t="s">
        <v>513</v>
      </c>
      <c r="O85" t="s">
        <v>565</v>
      </c>
      <c r="Q85" t="s">
        <v>1658</v>
      </c>
      <c r="R85" t="s">
        <v>567</v>
      </c>
      <c r="S85" t="s">
        <v>849</v>
      </c>
      <c r="T85" t="s">
        <v>743</v>
      </c>
      <c r="U85" t="s">
        <v>686</v>
      </c>
      <c r="V85" t="s">
        <v>687</v>
      </c>
      <c r="W85" t="s">
        <v>1659</v>
      </c>
      <c r="X85" t="s">
        <v>1460</v>
      </c>
      <c r="Y85" t="s">
        <v>524</v>
      </c>
      <c r="Z85" t="s">
        <v>1660</v>
      </c>
      <c r="AA85" t="s">
        <v>1661</v>
      </c>
      <c r="AB85" t="s">
        <v>1662</v>
      </c>
      <c r="AC85">
        <v>2</v>
      </c>
      <c r="AD85">
        <v>56</v>
      </c>
      <c r="AE85">
        <v>186</v>
      </c>
      <c r="AF85">
        <v>1.5</v>
      </c>
      <c r="AH85">
        <v>0</v>
      </c>
      <c r="AI85" t="s">
        <v>1559</v>
      </c>
      <c r="AJ85">
        <v>167.5</v>
      </c>
      <c r="AK85">
        <v>1</v>
      </c>
      <c r="AL85">
        <v>1.5</v>
      </c>
      <c r="AM85" t="s">
        <v>579</v>
      </c>
      <c r="AN85" t="s">
        <v>693</v>
      </c>
      <c r="AO85">
        <v>2</v>
      </c>
      <c r="AP85" t="s">
        <v>581</v>
      </c>
      <c r="AQ85" t="s">
        <v>582</v>
      </c>
      <c r="AR85">
        <v>205</v>
      </c>
      <c r="AS85">
        <v>1.5</v>
      </c>
      <c r="AT85" t="s">
        <v>583</v>
      </c>
      <c r="AU85" t="s">
        <v>1663</v>
      </c>
      <c r="AW85" t="s">
        <v>1663</v>
      </c>
      <c r="AX85">
        <v>1</v>
      </c>
      <c r="AY85">
        <v>297.5</v>
      </c>
      <c r="AZ85">
        <v>1.5</v>
      </c>
      <c r="BA85" t="s">
        <v>579</v>
      </c>
      <c r="BG85">
        <v>1.5</v>
      </c>
      <c r="BJ85">
        <v>0</v>
      </c>
      <c r="BN85">
        <v>1.5</v>
      </c>
      <c r="BP85" t="s">
        <v>1664</v>
      </c>
      <c r="BQ85">
        <v>88</v>
      </c>
      <c r="BR85">
        <v>2</v>
      </c>
      <c r="BS85" t="s">
        <v>1665</v>
      </c>
      <c r="BT85">
        <v>185</v>
      </c>
      <c r="BU85">
        <v>0.5</v>
      </c>
      <c r="BV85" t="s">
        <v>1665</v>
      </c>
      <c r="BW85">
        <v>370</v>
      </c>
      <c r="BX85">
        <v>1</v>
      </c>
      <c r="BY85" t="s">
        <v>698</v>
      </c>
      <c r="BZ85">
        <v>300</v>
      </c>
      <c r="CA85">
        <v>440</v>
      </c>
      <c r="CB85" t="s">
        <v>699</v>
      </c>
      <c r="CC85" t="s">
        <v>699</v>
      </c>
      <c r="CD85">
        <v>390</v>
      </c>
      <c r="CE85" t="s">
        <v>700</v>
      </c>
      <c r="CF85">
        <v>15</v>
      </c>
      <c r="CG85" t="s">
        <v>859</v>
      </c>
      <c r="CH85" t="s">
        <v>859</v>
      </c>
      <c r="CI85">
        <v>70</v>
      </c>
      <c r="CJ85">
        <v>1458</v>
      </c>
      <c r="CK85">
        <v>2</v>
      </c>
      <c r="CL85">
        <v>1552</v>
      </c>
      <c r="CM85">
        <v>2</v>
      </c>
      <c r="CN85" t="s">
        <v>702</v>
      </c>
      <c r="CO85" t="s">
        <v>676</v>
      </c>
      <c r="CP85" t="s">
        <v>703</v>
      </c>
      <c r="CQ85" t="s">
        <v>1343</v>
      </c>
      <c r="CR85" t="s">
        <v>541</v>
      </c>
      <c r="CS85" t="s">
        <v>542</v>
      </c>
      <c r="CT85">
        <v>335</v>
      </c>
      <c r="CU85">
        <v>5</v>
      </c>
      <c r="CV85">
        <v>1.2</v>
      </c>
      <c r="CW85">
        <v>1475</v>
      </c>
      <c r="CX85">
        <v>699</v>
      </c>
      <c r="CY85" t="s">
        <v>705</v>
      </c>
      <c r="CZ85">
        <v>50</v>
      </c>
      <c r="DA85">
        <v>3</v>
      </c>
      <c r="DB85">
        <v>1</v>
      </c>
      <c r="DC85">
        <v>1475</v>
      </c>
      <c r="DD85">
        <v>77</v>
      </c>
      <c r="DE85" t="s">
        <v>543</v>
      </c>
      <c r="DF85">
        <v>595</v>
      </c>
      <c r="DG85">
        <v>3</v>
      </c>
      <c r="DH85">
        <v>1.18</v>
      </c>
      <c r="DI85">
        <v>1468</v>
      </c>
      <c r="DJ85">
        <v>1352</v>
      </c>
      <c r="DW85" t="s">
        <v>544</v>
      </c>
      <c r="DX85">
        <v>7.5</v>
      </c>
      <c r="EA85">
        <v>1540.9</v>
      </c>
      <c r="EB85">
        <v>363</v>
      </c>
      <c r="EC85" t="s">
        <v>545</v>
      </c>
      <c r="ED85">
        <v>30</v>
      </c>
      <c r="EE85">
        <v>3</v>
      </c>
      <c r="EG85">
        <v>1592</v>
      </c>
      <c r="EH85">
        <v>186</v>
      </c>
      <c r="EJ85">
        <v>0</v>
      </c>
      <c r="EK85">
        <v>1</v>
      </c>
      <c r="EN85">
        <v>0</v>
      </c>
      <c r="EP85" t="s">
        <v>546</v>
      </c>
      <c r="EQ85">
        <v>70</v>
      </c>
      <c r="ER85">
        <v>3</v>
      </c>
      <c r="ES85">
        <v>5.5</v>
      </c>
      <c r="ET85">
        <v>1454</v>
      </c>
      <c r="EU85">
        <v>292.3</v>
      </c>
      <c r="EV85">
        <v>425</v>
      </c>
      <c r="EW85" t="s">
        <v>547</v>
      </c>
      <c r="EX85">
        <v>45</v>
      </c>
      <c r="EY85">
        <v>2</v>
      </c>
      <c r="EZ85">
        <v>4.5</v>
      </c>
      <c r="FA85">
        <v>1454</v>
      </c>
      <c r="FB85">
        <v>160.1</v>
      </c>
      <c r="FC85">
        <v>233</v>
      </c>
      <c r="FE85">
        <v>0</v>
      </c>
      <c r="FF85">
        <v>2</v>
      </c>
      <c r="FI85">
        <v>0</v>
      </c>
      <c r="FK85" t="s">
        <v>548</v>
      </c>
      <c r="FL85">
        <v>0.4</v>
      </c>
      <c r="FM85">
        <v>45</v>
      </c>
      <c r="FN85">
        <v>310</v>
      </c>
      <c r="FO85">
        <v>55</v>
      </c>
      <c r="FP85">
        <v>130</v>
      </c>
      <c r="FR85" t="s">
        <v>548</v>
      </c>
      <c r="FS85">
        <v>0.4</v>
      </c>
      <c r="FT85">
        <v>30</v>
      </c>
      <c r="FU85">
        <v>330</v>
      </c>
      <c r="HC85">
        <v>0.1</v>
      </c>
      <c r="HD85">
        <v>3</v>
      </c>
      <c r="HE85">
        <v>3</v>
      </c>
      <c r="HF85">
        <v>3</v>
      </c>
      <c r="HG85">
        <v>3</v>
      </c>
      <c r="HH85">
        <v>3</v>
      </c>
      <c r="HI85">
        <v>100</v>
      </c>
      <c r="HJ85">
        <v>3</v>
      </c>
      <c r="HK85">
        <v>30</v>
      </c>
      <c r="HL85">
        <v>2</v>
      </c>
      <c r="HM85">
        <v>0</v>
      </c>
      <c r="HN85">
        <v>2</v>
      </c>
      <c r="HO85">
        <v>55</v>
      </c>
      <c r="HP85">
        <v>3</v>
      </c>
      <c r="HQ85">
        <v>0</v>
      </c>
      <c r="HR85">
        <v>2</v>
      </c>
      <c r="HS85">
        <v>4619</v>
      </c>
      <c r="HT85">
        <v>140</v>
      </c>
      <c r="HU85">
        <v>180</v>
      </c>
      <c r="HW85">
        <v>20</v>
      </c>
      <c r="HX85">
        <v>380</v>
      </c>
      <c r="HY85">
        <v>0.18</v>
      </c>
      <c r="IA85">
        <v>0.15</v>
      </c>
      <c r="IB85">
        <v>0</v>
      </c>
      <c r="IC85">
        <v>180</v>
      </c>
      <c r="ID85">
        <v>110</v>
      </c>
      <c r="IE85">
        <v>0</v>
      </c>
      <c r="IF85">
        <v>0</v>
      </c>
      <c r="IH85" t="s">
        <v>549</v>
      </c>
      <c r="IO85">
        <v>1</v>
      </c>
      <c r="IP85">
        <v>19</v>
      </c>
      <c r="IQ85">
        <v>0</v>
      </c>
      <c r="IR85">
        <v>0</v>
      </c>
      <c r="IV85">
        <v>1458</v>
      </c>
      <c r="IW85">
        <v>370</v>
      </c>
      <c r="JA85">
        <v>1</v>
      </c>
      <c r="JB85">
        <v>0</v>
      </c>
      <c r="JC85">
        <v>2</v>
      </c>
      <c r="JD85">
        <v>1475</v>
      </c>
      <c r="JE85">
        <v>1468</v>
      </c>
      <c r="JF85">
        <v>0</v>
      </c>
      <c r="JG85">
        <v>1454</v>
      </c>
      <c r="JH85">
        <v>0</v>
      </c>
      <c r="JJ85">
        <v>180</v>
      </c>
      <c r="JK85">
        <v>380</v>
      </c>
      <c r="JN85">
        <v>335</v>
      </c>
      <c r="JO85">
        <v>595</v>
      </c>
      <c r="JP85">
        <v>0</v>
      </c>
      <c r="JQ85">
        <v>0</v>
      </c>
      <c r="JR85">
        <v>372</v>
      </c>
      <c r="JS85">
        <v>100</v>
      </c>
      <c r="JV85">
        <v>8</v>
      </c>
      <c r="JW85" t="s">
        <v>550</v>
      </c>
      <c r="JX85">
        <v>410</v>
      </c>
      <c r="KA85">
        <v>0</v>
      </c>
      <c r="KB85">
        <v>110</v>
      </c>
      <c r="KC85">
        <v>0</v>
      </c>
      <c r="KD85">
        <v>80</v>
      </c>
      <c r="KF85">
        <v>4</v>
      </c>
      <c r="KG85">
        <v>4</v>
      </c>
      <c r="KH85">
        <v>2</v>
      </c>
      <c r="KI85">
        <v>2</v>
      </c>
      <c r="KJ85">
        <v>0</v>
      </c>
      <c r="KK85">
        <v>1.5</v>
      </c>
      <c r="KL85">
        <v>1.5</v>
      </c>
      <c r="KM85">
        <v>0</v>
      </c>
      <c r="KN85">
        <v>0</v>
      </c>
      <c r="KO85">
        <v>0</v>
      </c>
      <c r="KR85">
        <v>30</v>
      </c>
      <c r="KS85">
        <v>60</v>
      </c>
      <c r="KT85">
        <v>0</v>
      </c>
      <c r="LK85">
        <v>480</v>
      </c>
      <c r="PG85">
        <v>1</v>
      </c>
      <c r="PI85" t="s">
        <v>1662</v>
      </c>
      <c r="PJ85" t="s">
        <v>1663</v>
      </c>
      <c r="PL85" t="s">
        <v>1559</v>
      </c>
      <c r="PP85" t="s">
        <v>1664</v>
      </c>
      <c r="PS85" t="s">
        <v>693</v>
      </c>
      <c r="PX85">
        <v>56</v>
      </c>
      <c r="PY85">
        <v>56</v>
      </c>
      <c r="PZ85" t="s">
        <v>1662</v>
      </c>
      <c r="QA85">
        <v>1</v>
      </c>
      <c r="QB85">
        <v>1454</v>
      </c>
      <c r="QC85">
        <v>69</v>
      </c>
      <c r="QD85">
        <v>69</v>
      </c>
      <c r="QE85" t="s">
        <v>1559</v>
      </c>
      <c r="QF85">
        <v>1</v>
      </c>
      <c r="QG85">
        <v>1475</v>
      </c>
      <c r="QH85">
        <v>66</v>
      </c>
      <c r="QI85">
        <v>66</v>
      </c>
      <c r="QJ85" t="s">
        <v>693</v>
      </c>
      <c r="QK85">
        <v>1</v>
      </c>
      <c r="QL85">
        <v>1475</v>
      </c>
      <c r="QM85">
        <v>62</v>
      </c>
      <c r="QN85">
        <v>62</v>
      </c>
      <c r="QO85" t="s">
        <v>1663</v>
      </c>
      <c r="QP85">
        <v>1</v>
      </c>
      <c r="QQ85">
        <v>1468</v>
      </c>
      <c r="QW85">
        <v>82</v>
      </c>
      <c r="QX85">
        <v>88</v>
      </c>
      <c r="QY85" t="s">
        <v>1664</v>
      </c>
      <c r="QZ85">
        <v>1</v>
      </c>
      <c r="RA85">
        <v>66</v>
      </c>
      <c r="RB85">
        <v>66</v>
      </c>
      <c r="RE85">
        <v>0</v>
      </c>
      <c r="RF85">
        <v>1</v>
      </c>
      <c r="RJ85">
        <v>1</v>
      </c>
      <c r="RK85">
        <v>2</v>
      </c>
      <c r="RL85">
        <v>1</v>
      </c>
      <c r="RO85">
        <v>474</v>
      </c>
      <c r="RP85">
        <v>105</v>
      </c>
      <c r="RQ85">
        <v>921</v>
      </c>
      <c r="RT85">
        <v>363</v>
      </c>
      <c r="RU85">
        <v>186</v>
      </c>
      <c r="RV85" t="s">
        <v>1666</v>
      </c>
      <c r="RW85" t="s">
        <v>707</v>
      </c>
      <c r="RX85">
        <v>15</v>
      </c>
      <c r="RY85">
        <v>4</v>
      </c>
      <c r="RZ85" t="s">
        <v>707</v>
      </c>
      <c r="SA85">
        <v>15</v>
      </c>
      <c r="SC85" t="s">
        <v>1663</v>
      </c>
      <c r="SD85">
        <v>1</v>
      </c>
      <c r="SH85">
        <v>0.995</v>
      </c>
      <c r="SI85">
        <v>0.995</v>
      </c>
      <c r="SJ85">
        <v>0.995</v>
      </c>
      <c r="SK85">
        <v>15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1</v>
      </c>
      <c r="TB85">
        <v>0</v>
      </c>
      <c r="TC85">
        <v>0</v>
      </c>
      <c r="TD85">
        <v>7.5</v>
      </c>
      <c r="TE85" t="s">
        <v>553</v>
      </c>
      <c r="TF85" t="s">
        <v>681</v>
      </c>
      <c r="TG85" t="s">
        <v>555</v>
      </c>
      <c r="TI85" t="s">
        <v>546</v>
      </c>
      <c r="TJ85" t="s">
        <v>547</v>
      </c>
      <c r="TL85" t="s">
        <v>1477</v>
      </c>
      <c r="TM85" t="s">
        <v>513</v>
      </c>
      <c r="TN85">
        <v>0</v>
      </c>
      <c r="TO85" t="s">
        <v>557</v>
      </c>
    </row>
    <row r="86" spans="1:535">
      <c r="A86" t="s">
        <v>1667</v>
      </c>
      <c r="B86" t="s">
        <v>564</v>
      </c>
      <c r="C86" t="s">
        <v>509</v>
      </c>
      <c r="D86" t="s">
        <v>1668</v>
      </c>
      <c r="G86" t="s">
        <v>627</v>
      </c>
      <c r="H86" t="s">
        <v>604</v>
      </c>
      <c r="I86" t="s">
        <v>628</v>
      </c>
      <c r="J86" t="s">
        <v>606</v>
      </c>
      <c r="L86" t="s">
        <v>512</v>
      </c>
      <c r="M86" t="s">
        <v>629</v>
      </c>
      <c r="N86" t="s">
        <v>513</v>
      </c>
      <c r="O86" t="s">
        <v>607</v>
      </c>
      <c r="Q86" t="s">
        <v>1669</v>
      </c>
      <c r="R86" t="s">
        <v>567</v>
      </c>
      <c r="S86" t="s">
        <v>1670</v>
      </c>
      <c r="T86" t="s">
        <v>1671</v>
      </c>
      <c r="U86" t="s">
        <v>1482</v>
      </c>
      <c r="V86" t="s">
        <v>1483</v>
      </c>
      <c r="W86" t="s">
        <v>821</v>
      </c>
      <c r="X86" t="s">
        <v>1460</v>
      </c>
      <c r="Y86" t="s">
        <v>524</v>
      </c>
      <c r="Z86" t="s">
        <v>1672</v>
      </c>
      <c r="AA86" t="s">
        <v>1673</v>
      </c>
      <c r="AB86" t="s">
        <v>1674</v>
      </c>
      <c r="AC86">
        <v>2</v>
      </c>
      <c r="AD86">
        <v>56</v>
      </c>
      <c r="AE86">
        <v>194</v>
      </c>
      <c r="AF86">
        <v>1.5</v>
      </c>
      <c r="AH86">
        <v>0</v>
      </c>
      <c r="AI86" t="s">
        <v>812</v>
      </c>
      <c r="AJ86">
        <v>205</v>
      </c>
      <c r="AK86">
        <v>1</v>
      </c>
      <c r="AL86">
        <v>1.5</v>
      </c>
      <c r="AM86" t="s">
        <v>529</v>
      </c>
      <c r="AO86">
        <v>0</v>
      </c>
      <c r="AR86">
        <v>0</v>
      </c>
      <c r="AS86">
        <v>1.5</v>
      </c>
      <c r="AU86" t="s">
        <v>1675</v>
      </c>
      <c r="AW86" t="s">
        <v>1675</v>
      </c>
      <c r="AX86">
        <v>1</v>
      </c>
      <c r="AY86">
        <v>377.5</v>
      </c>
      <c r="AZ86">
        <v>1.5</v>
      </c>
      <c r="BA86" t="s">
        <v>529</v>
      </c>
      <c r="BG86">
        <v>1.5</v>
      </c>
      <c r="BJ86">
        <v>0</v>
      </c>
      <c r="BN86">
        <v>1.5</v>
      </c>
      <c r="BP86" t="s">
        <v>1676</v>
      </c>
      <c r="BQ86">
        <v>89</v>
      </c>
      <c r="BR86">
        <v>2</v>
      </c>
      <c r="BS86" t="s">
        <v>1677</v>
      </c>
      <c r="BT86">
        <v>216</v>
      </c>
      <c r="BU86">
        <v>0.5</v>
      </c>
      <c r="BV86" t="s">
        <v>1677</v>
      </c>
      <c r="BW86">
        <v>432</v>
      </c>
      <c r="BX86">
        <v>1</v>
      </c>
      <c r="BY86" t="s">
        <v>1491</v>
      </c>
      <c r="BZ86">
        <v>300</v>
      </c>
      <c r="CA86">
        <v>520</v>
      </c>
      <c r="CB86" t="s">
        <v>1492</v>
      </c>
      <c r="CC86" t="s">
        <v>1492</v>
      </c>
      <c r="CD86">
        <v>450</v>
      </c>
      <c r="CE86" t="s">
        <v>1493</v>
      </c>
      <c r="CF86">
        <v>15</v>
      </c>
      <c r="CG86" t="s">
        <v>1624</v>
      </c>
      <c r="CH86" t="s">
        <v>1624</v>
      </c>
      <c r="CI86">
        <v>110</v>
      </c>
      <c r="CJ86">
        <v>1122</v>
      </c>
      <c r="CK86">
        <v>2</v>
      </c>
      <c r="CL86">
        <v>1222</v>
      </c>
      <c r="CM86">
        <v>2</v>
      </c>
      <c r="CN86" t="s">
        <v>1495</v>
      </c>
      <c r="CO86" t="s">
        <v>1473</v>
      </c>
      <c r="CP86" t="s">
        <v>1474</v>
      </c>
      <c r="CQ86" t="s">
        <v>1496</v>
      </c>
      <c r="CR86" t="s">
        <v>541</v>
      </c>
      <c r="CS86" t="s">
        <v>542</v>
      </c>
      <c r="CT86">
        <v>410</v>
      </c>
      <c r="CU86">
        <v>5</v>
      </c>
      <c r="CV86">
        <v>1.2</v>
      </c>
      <c r="CW86">
        <v>1136</v>
      </c>
      <c r="CX86">
        <v>660</v>
      </c>
      <c r="DD86">
        <v>0</v>
      </c>
      <c r="DE86" t="s">
        <v>543</v>
      </c>
      <c r="DF86">
        <v>755</v>
      </c>
      <c r="DG86">
        <v>3</v>
      </c>
      <c r="DH86">
        <v>1.18</v>
      </c>
      <c r="DI86">
        <v>1134</v>
      </c>
      <c r="DJ86">
        <v>1321</v>
      </c>
      <c r="DW86" t="s">
        <v>544</v>
      </c>
      <c r="DX86">
        <v>7.5</v>
      </c>
      <c r="EA86">
        <v>1204.3</v>
      </c>
      <c r="EB86">
        <v>228</v>
      </c>
      <c r="EC86" t="s">
        <v>545</v>
      </c>
      <c r="ED86">
        <v>40</v>
      </c>
      <c r="EE86">
        <v>3</v>
      </c>
      <c r="EG86">
        <v>1245</v>
      </c>
      <c r="EH86">
        <v>199</v>
      </c>
      <c r="EJ86">
        <v>0</v>
      </c>
      <c r="EK86">
        <v>1</v>
      </c>
      <c r="EN86">
        <v>0</v>
      </c>
      <c r="EP86" t="s">
        <v>546</v>
      </c>
      <c r="EQ86">
        <v>125</v>
      </c>
      <c r="ER86">
        <v>3</v>
      </c>
      <c r="ES86">
        <v>6</v>
      </c>
      <c r="ET86">
        <v>1123</v>
      </c>
      <c r="EU86">
        <v>571.2</v>
      </c>
      <c r="EV86">
        <v>641</v>
      </c>
      <c r="EW86" t="s">
        <v>547</v>
      </c>
      <c r="EX86">
        <v>70</v>
      </c>
      <c r="EY86">
        <v>2</v>
      </c>
      <c r="EZ86">
        <v>4.3</v>
      </c>
      <c r="FA86">
        <v>1123</v>
      </c>
      <c r="FB86">
        <v>208.3</v>
      </c>
      <c r="FC86">
        <v>234</v>
      </c>
      <c r="FE86">
        <v>0</v>
      </c>
      <c r="FF86">
        <v>2</v>
      </c>
      <c r="FI86">
        <v>0</v>
      </c>
      <c r="FK86" t="s">
        <v>548</v>
      </c>
      <c r="FL86">
        <v>0.4</v>
      </c>
      <c r="FM86">
        <v>130</v>
      </c>
      <c r="FN86">
        <v>100</v>
      </c>
      <c r="FR86" t="s">
        <v>548</v>
      </c>
      <c r="FS86">
        <v>0.4</v>
      </c>
      <c r="FT86">
        <v>30</v>
      </c>
      <c r="FU86">
        <v>400</v>
      </c>
      <c r="HC86">
        <v>0.1</v>
      </c>
      <c r="HD86">
        <v>3</v>
      </c>
      <c r="HE86">
        <v>3</v>
      </c>
      <c r="HF86">
        <v>3</v>
      </c>
      <c r="HG86">
        <v>3</v>
      </c>
      <c r="HH86">
        <v>3</v>
      </c>
      <c r="HI86">
        <v>180</v>
      </c>
      <c r="HJ86">
        <v>3</v>
      </c>
      <c r="HK86">
        <v>55</v>
      </c>
      <c r="HL86">
        <v>2</v>
      </c>
      <c r="HM86">
        <v>0</v>
      </c>
      <c r="HN86">
        <v>2</v>
      </c>
      <c r="HO86">
        <v>110</v>
      </c>
      <c r="HP86">
        <v>3</v>
      </c>
      <c r="HQ86">
        <v>0</v>
      </c>
      <c r="HR86">
        <v>2</v>
      </c>
      <c r="HS86">
        <v>4585</v>
      </c>
      <c r="HT86">
        <v>140</v>
      </c>
      <c r="HU86">
        <v>180</v>
      </c>
      <c r="HW86">
        <v>20</v>
      </c>
      <c r="HX86">
        <v>500</v>
      </c>
      <c r="HY86">
        <v>0.18</v>
      </c>
      <c r="IA86">
        <v>0.15</v>
      </c>
      <c r="IB86">
        <v>0</v>
      </c>
      <c r="IC86">
        <v>180</v>
      </c>
      <c r="ID86">
        <v>110</v>
      </c>
      <c r="IE86">
        <v>0</v>
      </c>
      <c r="IF86">
        <v>0</v>
      </c>
      <c r="IH86" t="s">
        <v>549</v>
      </c>
      <c r="IO86">
        <v>1</v>
      </c>
      <c r="IP86">
        <v>15</v>
      </c>
      <c r="IQ86">
        <v>0</v>
      </c>
      <c r="IR86">
        <v>1</v>
      </c>
      <c r="IV86">
        <v>1122</v>
      </c>
      <c r="IW86">
        <v>432</v>
      </c>
      <c r="JA86">
        <v>1</v>
      </c>
      <c r="JB86">
        <v>0</v>
      </c>
      <c r="JC86">
        <v>2</v>
      </c>
      <c r="JD86">
        <v>1136</v>
      </c>
      <c r="JE86">
        <v>1134</v>
      </c>
      <c r="JF86">
        <v>0</v>
      </c>
      <c r="JG86">
        <v>1123</v>
      </c>
      <c r="JH86">
        <v>0</v>
      </c>
      <c r="JJ86">
        <v>180</v>
      </c>
      <c r="JK86">
        <v>500</v>
      </c>
      <c r="JN86">
        <v>410</v>
      </c>
      <c r="JO86">
        <v>755</v>
      </c>
      <c r="JP86">
        <v>0</v>
      </c>
      <c r="JQ86">
        <v>0</v>
      </c>
      <c r="JR86">
        <v>388</v>
      </c>
      <c r="JS86">
        <v>180</v>
      </c>
      <c r="JV86">
        <v>8</v>
      </c>
      <c r="JW86" t="s">
        <v>550</v>
      </c>
      <c r="JX86">
        <v>0</v>
      </c>
      <c r="KA86">
        <v>0</v>
      </c>
      <c r="KB86">
        <v>110</v>
      </c>
      <c r="KC86">
        <v>0</v>
      </c>
      <c r="KD86">
        <v>80</v>
      </c>
      <c r="KF86">
        <v>4</v>
      </c>
      <c r="KG86">
        <v>4</v>
      </c>
      <c r="KH86">
        <v>2</v>
      </c>
      <c r="KI86">
        <v>2</v>
      </c>
      <c r="KJ86">
        <v>0</v>
      </c>
      <c r="KK86">
        <v>1.5</v>
      </c>
      <c r="KL86">
        <v>1.5</v>
      </c>
      <c r="KM86">
        <v>0</v>
      </c>
      <c r="KN86">
        <v>0</v>
      </c>
      <c r="KO86">
        <v>0</v>
      </c>
      <c r="KR86">
        <v>30</v>
      </c>
      <c r="KS86">
        <v>60</v>
      </c>
      <c r="KT86">
        <v>0</v>
      </c>
      <c r="LK86">
        <v>480</v>
      </c>
      <c r="PG86">
        <v>1</v>
      </c>
      <c r="PI86" t="s">
        <v>1674</v>
      </c>
      <c r="PJ86" t="s">
        <v>1675</v>
      </c>
      <c r="PL86" t="s">
        <v>812</v>
      </c>
      <c r="PP86" t="s">
        <v>1676</v>
      </c>
      <c r="PX86">
        <v>56</v>
      </c>
      <c r="PY86">
        <v>56</v>
      </c>
      <c r="PZ86" t="s">
        <v>1674</v>
      </c>
      <c r="QA86">
        <v>3</v>
      </c>
      <c r="QB86">
        <v>1123</v>
      </c>
      <c r="QC86">
        <v>69</v>
      </c>
      <c r="QD86">
        <v>69</v>
      </c>
      <c r="QE86" t="s">
        <v>812</v>
      </c>
      <c r="QF86">
        <v>1</v>
      </c>
      <c r="QG86">
        <v>1136</v>
      </c>
      <c r="QH86">
        <v>66</v>
      </c>
      <c r="QI86">
        <v>66</v>
      </c>
      <c r="QL86">
        <v>0</v>
      </c>
      <c r="QM86">
        <v>62</v>
      </c>
      <c r="QN86">
        <v>62</v>
      </c>
      <c r="QO86" t="s">
        <v>1675</v>
      </c>
      <c r="QP86">
        <v>1</v>
      </c>
      <c r="QQ86">
        <v>1134</v>
      </c>
      <c r="QW86">
        <v>82</v>
      </c>
      <c r="QX86">
        <v>89</v>
      </c>
      <c r="QY86" t="s">
        <v>1676</v>
      </c>
      <c r="QZ86">
        <v>2</v>
      </c>
      <c r="RA86">
        <v>66</v>
      </c>
      <c r="RB86">
        <v>66</v>
      </c>
      <c r="RE86">
        <v>0</v>
      </c>
      <c r="RF86">
        <v>1</v>
      </c>
      <c r="RJ86">
        <v>2</v>
      </c>
      <c r="RL86">
        <v>1</v>
      </c>
      <c r="RO86">
        <v>581</v>
      </c>
      <c r="RQ86">
        <v>1165</v>
      </c>
      <c r="RT86">
        <v>228</v>
      </c>
      <c r="RU86">
        <v>199</v>
      </c>
      <c r="RV86" t="s">
        <v>1678</v>
      </c>
      <c r="RW86" t="s">
        <v>1498</v>
      </c>
      <c r="RX86">
        <v>15</v>
      </c>
      <c r="RY86">
        <v>4</v>
      </c>
      <c r="RZ86" t="s">
        <v>1498</v>
      </c>
      <c r="SA86">
        <v>15</v>
      </c>
      <c r="SC86" t="s">
        <v>1675</v>
      </c>
      <c r="SD86">
        <v>1</v>
      </c>
      <c r="SH86">
        <v>0.995</v>
      </c>
      <c r="SI86">
        <v>0.995</v>
      </c>
      <c r="SJ86">
        <v>0.995</v>
      </c>
      <c r="SK86">
        <v>15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TB86">
        <v>0</v>
      </c>
      <c r="TC86">
        <v>0</v>
      </c>
      <c r="TD86">
        <v>7.5</v>
      </c>
      <c r="TE86" t="s">
        <v>553</v>
      </c>
      <c r="TF86" t="s">
        <v>655</v>
      </c>
      <c r="TG86" t="s">
        <v>555</v>
      </c>
      <c r="TI86" t="s">
        <v>546</v>
      </c>
      <c r="TJ86" t="s">
        <v>547</v>
      </c>
      <c r="TL86" t="s">
        <v>1477</v>
      </c>
      <c r="TM86" t="s">
        <v>513</v>
      </c>
      <c r="TN86">
        <v>0</v>
      </c>
      <c r="TO86" t="s">
        <v>557</v>
      </c>
    </row>
    <row r="87" spans="1:535">
      <c r="A87" t="s">
        <v>1679</v>
      </c>
      <c r="B87" t="s">
        <v>897</v>
      </c>
      <c r="C87" t="s">
        <v>509</v>
      </c>
      <c r="D87" t="s">
        <v>951</v>
      </c>
      <c r="G87" t="s">
        <v>604</v>
      </c>
      <c r="H87" t="s">
        <v>605</v>
      </c>
      <c r="J87" t="s">
        <v>606</v>
      </c>
      <c r="L87" t="s">
        <v>512</v>
      </c>
      <c r="M87" t="s">
        <v>657</v>
      </c>
      <c r="N87" t="s">
        <v>513</v>
      </c>
      <c r="O87" t="s">
        <v>607</v>
      </c>
      <c r="Q87" t="s">
        <v>1680</v>
      </c>
      <c r="R87" t="s">
        <v>567</v>
      </c>
      <c r="S87" t="s">
        <v>1681</v>
      </c>
      <c r="T87" t="s">
        <v>1682</v>
      </c>
      <c r="U87" t="s">
        <v>520</v>
      </c>
      <c r="V87" t="s">
        <v>521</v>
      </c>
      <c r="W87" t="s">
        <v>1683</v>
      </c>
      <c r="X87" t="s">
        <v>1460</v>
      </c>
      <c r="Y87" t="s">
        <v>524</v>
      </c>
      <c r="Z87" t="s">
        <v>1684</v>
      </c>
      <c r="AA87" t="s">
        <v>1685</v>
      </c>
      <c r="AB87" t="s">
        <v>1686</v>
      </c>
      <c r="AC87">
        <v>2</v>
      </c>
      <c r="AD87">
        <v>56</v>
      </c>
      <c r="AE87">
        <v>174</v>
      </c>
      <c r="AF87">
        <v>1.5</v>
      </c>
      <c r="AH87">
        <v>0</v>
      </c>
      <c r="AI87" t="s">
        <v>944</v>
      </c>
      <c r="AJ87">
        <v>187.5</v>
      </c>
      <c r="AK87">
        <v>1</v>
      </c>
      <c r="AL87">
        <v>1.5</v>
      </c>
      <c r="AM87" t="s">
        <v>529</v>
      </c>
      <c r="AO87">
        <v>0</v>
      </c>
      <c r="AR87">
        <v>0</v>
      </c>
      <c r="AS87">
        <v>1.5</v>
      </c>
      <c r="AU87" t="s">
        <v>1687</v>
      </c>
      <c r="AW87" t="s">
        <v>1687</v>
      </c>
      <c r="AX87">
        <v>1</v>
      </c>
      <c r="AY87">
        <v>340</v>
      </c>
      <c r="AZ87">
        <v>1.5</v>
      </c>
      <c r="BA87" t="s">
        <v>529</v>
      </c>
      <c r="BG87">
        <v>1.5</v>
      </c>
      <c r="BJ87">
        <v>0</v>
      </c>
      <c r="BN87">
        <v>1.5</v>
      </c>
      <c r="BP87" t="s">
        <v>1688</v>
      </c>
      <c r="BQ87">
        <v>89</v>
      </c>
      <c r="BR87">
        <v>2</v>
      </c>
      <c r="BS87" t="s">
        <v>737</v>
      </c>
      <c r="BT87">
        <v>200</v>
      </c>
      <c r="BU87">
        <v>0.5</v>
      </c>
      <c r="BV87" t="s">
        <v>737</v>
      </c>
      <c r="BW87">
        <v>400</v>
      </c>
      <c r="BX87">
        <v>1</v>
      </c>
      <c r="BY87" t="s">
        <v>533</v>
      </c>
      <c r="BZ87">
        <v>300</v>
      </c>
      <c r="CA87">
        <v>520</v>
      </c>
      <c r="CB87" t="s">
        <v>534</v>
      </c>
      <c r="CC87" t="s">
        <v>534</v>
      </c>
      <c r="CD87">
        <v>414</v>
      </c>
      <c r="CE87" t="s">
        <v>535</v>
      </c>
      <c r="CF87">
        <v>15</v>
      </c>
      <c r="CG87" t="s">
        <v>536</v>
      </c>
      <c r="CH87" t="s">
        <v>536</v>
      </c>
      <c r="CI87">
        <v>110</v>
      </c>
      <c r="CJ87">
        <v>1200</v>
      </c>
      <c r="CK87">
        <v>2</v>
      </c>
      <c r="CL87">
        <v>1301</v>
      </c>
      <c r="CM87">
        <v>2</v>
      </c>
      <c r="CN87" t="s">
        <v>537</v>
      </c>
      <c r="CO87" t="s">
        <v>538</v>
      </c>
      <c r="CP87" t="s">
        <v>539</v>
      </c>
      <c r="CQ87" t="s">
        <v>1496</v>
      </c>
      <c r="CR87" t="s">
        <v>541</v>
      </c>
      <c r="CS87" t="s">
        <v>542</v>
      </c>
      <c r="CT87">
        <v>375</v>
      </c>
      <c r="CU87">
        <v>5</v>
      </c>
      <c r="CV87">
        <v>1.2</v>
      </c>
      <c r="CW87">
        <v>1213</v>
      </c>
      <c r="CX87">
        <v>644</v>
      </c>
      <c r="DD87">
        <v>0</v>
      </c>
      <c r="DE87" t="s">
        <v>543</v>
      </c>
      <c r="DF87">
        <v>680</v>
      </c>
      <c r="DG87">
        <v>3</v>
      </c>
      <c r="DH87">
        <v>1.18</v>
      </c>
      <c r="DI87">
        <v>1211</v>
      </c>
      <c r="DJ87">
        <v>1207</v>
      </c>
      <c r="DW87" t="s">
        <v>544</v>
      </c>
      <c r="DX87">
        <v>7.5</v>
      </c>
      <c r="EA87">
        <v>1284.1</v>
      </c>
      <c r="EB87">
        <v>228</v>
      </c>
      <c r="EC87" t="s">
        <v>545</v>
      </c>
      <c r="ED87">
        <v>40</v>
      </c>
      <c r="EE87">
        <v>3</v>
      </c>
      <c r="EG87">
        <v>1325</v>
      </c>
      <c r="EH87">
        <v>212</v>
      </c>
      <c r="EJ87">
        <v>0</v>
      </c>
      <c r="EK87">
        <v>1</v>
      </c>
      <c r="EN87">
        <v>0</v>
      </c>
      <c r="EP87" t="s">
        <v>546</v>
      </c>
      <c r="EQ87">
        <v>105</v>
      </c>
      <c r="ER87">
        <v>3</v>
      </c>
      <c r="ES87">
        <v>5.2</v>
      </c>
      <c r="ET87">
        <v>1196</v>
      </c>
      <c r="EU87">
        <v>424.4</v>
      </c>
      <c r="EV87">
        <v>508</v>
      </c>
      <c r="EW87" t="s">
        <v>547</v>
      </c>
      <c r="EX87">
        <v>70</v>
      </c>
      <c r="EY87">
        <v>2</v>
      </c>
      <c r="EZ87">
        <v>4.5</v>
      </c>
      <c r="FA87">
        <v>1196</v>
      </c>
      <c r="FB87">
        <v>214.5</v>
      </c>
      <c r="FC87">
        <v>257</v>
      </c>
      <c r="FE87">
        <v>0</v>
      </c>
      <c r="FF87">
        <v>2</v>
      </c>
      <c r="FI87">
        <v>0</v>
      </c>
      <c r="FK87" t="s">
        <v>548</v>
      </c>
      <c r="FL87">
        <v>0.4</v>
      </c>
      <c r="FM87">
        <v>55</v>
      </c>
      <c r="FN87">
        <v>150</v>
      </c>
      <c r="FR87" t="s">
        <v>548</v>
      </c>
      <c r="FS87">
        <v>0.4</v>
      </c>
      <c r="FT87">
        <v>30</v>
      </c>
      <c r="FU87">
        <v>360</v>
      </c>
      <c r="HC87">
        <v>0.1</v>
      </c>
      <c r="HD87">
        <v>3</v>
      </c>
      <c r="HE87">
        <v>3</v>
      </c>
      <c r="HF87">
        <v>3</v>
      </c>
      <c r="HG87">
        <v>3</v>
      </c>
      <c r="HH87">
        <v>3</v>
      </c>
      <c r="HI87">
        <v>160</v>
      </c>
      <c r="HJ87">
        <v>3</v>
      </c>
      <c r="HK87">
        <v>55</v>
      </c>
      <c r="HL87">
        <v>2</v>
      </c>
      <c r="HM87">
        <v>0</v>
      </c>
      <c r="HN87">
        <v>2</v>
      </c>
      <c r="HO87">
        <v>90</v>
      </c>
      <c r="HP87">
        <v>3</v>
      </c>
      <c r="HQ87">
        <v>0</v>
      </c>
      <c r="HR87">
        <v>2</v>
      </c>
      <c r="HS87">
        <v>4261</v>
      </c>
      <c r="HT87">
        <v>130</v>
      </c>
      <c r="HU87">
        <v>180</v>
      </c>
      <c r="HW87">
        <v>20</v>
      </c>
      <c r="HX87">
        <v>415</v>
      </c>
      <c r="HY87">
        <v>0.18</v>
      </c>
      <c r="IA87">
        <v>0.15</v>
      </c>
      <c r="IB87">
        <v>0</v>
      </c>
      <c r="IC87">
        <v>180</v>
      </c>
      <c r="ID87">
        <v>110</v>
      </c>
      <c r="IE87">
        <v>0</v>
      </c>
      <c r="IF87">
        <v>0</v>
      </c>
      <c r="IH87" t="s">
        <v>549</v>
      </c>
      <c r="IO87">
        <v>1</v>
      </c>
      <c r="IP87">
        <v>16</v>
      </c>
      <c r="IQ87">
        <v>0</v>
      </c>
      <c r="IR87">
        <v>1</v>
      </c>
      <c r="IV87">
        <v>1200</v>
      </c>
      <c r="IW87">
        <v>400</v>
      </c>
      <c r="JA87">
        <v>1</v>
      </c>
      <c r="JB87">
        <v>0</v>
      </c>
      <c r="JC87">
        <v>2</v>
      </c>
      <c r="JD87">
        <v>1213</v>
      </c>
      <c r="JE87">
        <v>1211</v>
      </c>
      <c r="JF87">
        <v>0</v>
      </c>
      <c r="JG87">
        <v>1196</v>
      </c>
      <c r="JH87">
        <v>0</v>
      </c>
      <c r="JJ87">
        <v>180</v>
      </c>
      <c r="JK87">
        <v>415</v>
      </c>
      <c r="JN87">
        <v>375</v>
      </c>
      <c r="JO87">
        <v>680</v>
      </c>
      <c r="JP87">
        <v>0</v>
      </c>
      <c r="JQ87">
        <v>0</v>
      </c>
      <c r="JR87">
        <v>348</v>
      </c>
      <c r="JS87">
        <v>160</v>
      </c>
      <c r="JV87">
        <v>8</v>
      </c>
      <c r="JW87" t="s">
        <v>550</v>
      </c>
      <c r="JX87">
        <v>0</v>
      </c>
      <c r="KA87">
        <v>0</v>
      </c>
      <c r="KB87">
        <v>110</v>
      </c>
      <c r="KC87">
        <v>0</v>
      </c>
      <c r="KD87">
        <v>80</v>
      </c>
      <c r="KF87">
        <v>4</v>
      </c>
      <c r="KG87">
        <v>2</v>
      </c>
      <c r="KH87">
        <v>2</v>
      </c>
      <c r="KI87">
        <v>2</v>
      </c>
      <c r="KJ87">
        <v>0</v>
      </c>
      <c r="KK87">
        <v>1.5</v>
      </c>
      <c r="KL87">
        <v>1.5</v>
      </c>
      <c r="KM87">
        <v>0</v>
      </c>
      <c r="KN87">
        <v>0</v>
      </c>
      <c r="KO87">
        <v>0</v>
      </c>
      <c r="KR87">
        <v>30</v>
      </c>
      <c r="KS87">
        <v>60</v>
      </c>
      <c r="KT87">
        <v>0</v>
      </c>
      <c r="LK87">
        <v>480</v>
      </c>
      <c r="PG87">
        <v>1</v>
      </c>
      <c r="PI87" t="s">
        <v>1686</v>
      </c>
      <c r="PJ87" t="s">
        <v>1687</v>
      </c>
      <c r="PL87" t="s">
        <v>944</v>
      </c>
      <c r="PP87" t="s">
        <v>1688</v>
      </c>
      <c r="PX87">
        <v>56</v>
      </c>
      <c r="PY87">
        <v>56</v>
      </c>
      <c r="PZ87" t="s">
        <v>1686</v>
      </c>
      <c r="QA87">
        <v>1</v>
      </c>
      <c r="QB87">
        <v>1196</v>
      </c>
      <c r="QC87">
        <v>69</v>
      </c>
      <c r="QD87">
        <v>69</v>
      </c>
      <c r="QE87" t="s">
        <v>944</v>
      </c>
      <c r="QF87">
        <v>1</v>
      </c>
      <c r="QG87">
        <v>1213</v>
      </c>
      <c r="QH87">
        <v>66</v>
      </c>
      <c r="QI87">
        <v>66</v>
      </c>
      <c r="QL87">
        <v>0</v>
      </c>
      <c r="QM87">
        <v>62</v>
      </c>
      <c r="QN87">
        <v>62</v>
      </c>
      <c r="QO87" t="s">
        <v>1687</v>
      </c>
      <c r="QP87">
        <v>1</v>
      </c>
      <c r="QQ87">
        <v>1211</v>
      </c>
      <c r="QW87">
        <v>82</v>
      </c>
      <c r="QX87">
        <v>89</v>
      </c>
      <c r="QY87" t="s">
        <v>1688</v>
      </c>
      <c r="QZ87">
        <v>1</v>
      </c>
      <c r="RA87">
        <v>66</v>
      </c>
      <c r="RB87">
        <v>66</v>
      </c>
      <c r="RE87">
        <v>0</v>
      </c>
      <c r="RF87">
        <v>1</v>
      </c>
      <c r="RJ87">
        <v>1</v>
      </c>
      <c r="RL87">
        <v>2</v>
      </c>
      <c r="RO87">
        <v>531</v>
      </c>
      <c r="RQ87">
        <v>997</v>
      </c>
      <c r="RT87">
        <v>228</v>
      </c>
      <c r="RU87">
        <v>212</v>
      </c>
      <c r="RV87" t="s">
        <v>739</v>
      </c>
      <c r="RW87" t="s">
        <v>552</v>
      </c>
      <c r="RX87">
        <v>15</v>
      </c>
      <c r="RY87">
        <v>4</v>
      </c>
      <c r="RZ87" t="s">
        <v>552</v>
      </c>
      <c r="SA87">
        <v>15</v>
      </c>
      <c r="SC87" t="s">
        <v>1687</v>
      </c>
      <c r="SD87">
        <v>1</v>
      </c>
      <c r="SH87">
        <v>0.995</v>
      </c>
      <c r="SI87">
        <v>0.995</v>
      </c>
      <c r="SJ87">
        <v>0.995</v>
      </c>
      <c r="SK87">
        <v>15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TB87">
        <v>0</v>
      </c>
      <c r="TC87">
        <v>0</v>
      </c>
      <c r="TD87">
        <v>7.5</v>
      </c>
      <c r="TE87" t="s">
        <v>553</v>
      </c>
      <c r="TF87" t="s">
        <v>624</v>
      </c>
      <c r="TG87" t="s">
        <v>555</v>
      </c>
      <c r="TI87" t="s">
        <v>546</v>
      </c>
      <c r="TJ87" t="s">
        <v>547</v>
      </c>
      <c r="TL87" t="s">
        <v>1477</v>
      </c>
      <c r="TM87" t="s">
        <v>513</v>
      </c>
      <c r="TN87">
        <v>0</v>
      </c>
      <c r="TO87" t="s">
        <v>557</v>
      </c>
    </row>
    <row r="88" spans="1:535">
      <c r="A88" t="s">
        <v>1689</v>
      </c>
      <c r="B88" t="s">
        <v>629</v>
      </c>
      <c r="C88" t="s">
        <v>509</v>
      </c>
      <c r="D88" t="s">
        <v>1013</v>
      </c>
      <c r="G88" t="s">
        <v>604</v>
      </c>
      <c r="H88" t="s">
        <v>605</v>
      </c>
      <c r="I88" t="s">
        <v>628</v>
      </c>
      <c r="J88" t="s">
        <v>606</v>
      </c>
      <c r="L88" t="s">
        <v>512</v>
      </c>
      <c r="M88" t="s">
        <v>711</v>
      </c>
      <c r="N88" t="s">
        <v>513</v>
      </c>
      <c r="O88" t="s">
        <v>607</v>
      </c>
      <c r="Q88" t="s">
        <v>1690</v>
      </c>
      <c r="R88" t="s">
        <v>567</v>
      </c>
      <c r="S88" t="s">
        <v>976</v>
      </c>
      <c r="T88" t="s">
        <v>954</v>
      </c>
      <c r="U88" t="s">
        <v>633</v>
      </c>
      <c r="V88" t="s">
        <v>634</v>
      </c>
      <c r="W88" t="s">
        <v>715</v>
      </c>
      <c r="X88" t="s">
        <v>1460</v>
      </c>
      <c r="Y88" t="s">
        <v>524</v>
      </c>
      <c r="Z88" t="s">
        <v>1691</v>
      </c>
      <c r="AA88" t="s">
        <v>1692</v>
      </c>
      <c r="AB88" t="s">
        <v>1693</v>
      </c>
      <c r="AC88">
        <v>2</v>
      </c>
      <c r="AD88">
        <v>57</v>
      </c>
      <c r="AE88">
        <v>195</v>
      </c>
      <c r="AF88">
        <v>1.5</v>
      </c>
      <c r="AH88">
        <v>0</v>
      </c>
      <c r="AI88" t="s">
        <v>1179</v>
      </c>
      <c r="AJ88">
        <v>207.5</v>
      </c>
      <c r="AK88">
        <v>1</v>
      </c>
      <c r="AL88">
        <v>1.5</v>
      </c>
      <c r="AM88" t="s">
        <v>529</v>
      </c>
      <c r="AO88">
        <v>0</v>
      </c>
      <c r="AR88">
        <v>0</v>
      </c>
      <c r="AS88">
        <v>1.5</v>
      </c>
      <c r="AU88" t="s">
        <v>1694</v>
      </c>
      <c r="AW88" t="s">
        <v>1694</v>
      </c>
      <c r="AX88">
        <v>1</v>
      </c>
      <c r="AY88">
        <v>295</v>
      </c>
      <c r="AZ88">
        <v>1.5</v>
      </c>
      <c r="BA88" t="s">
        <v>529</v>
      </c>
      <c r="BB88" t="s">
        <v>1695</v>
      </c>
      <c r="BD88" t="s">
        <v>1695</v>
      </c>
      <c r="BE88">
        <v>1</v>
      </c>
      <c r="BF88">
        <v>247.5</v>
      </c>
      <c r="BG88">
        <v>1.5</v>
      </c>
      <c r="BJ88">
        <v>0</v>
      </c>
      <c r="BN88">
        <v>1.5</v>
      </c>
      <c r="BP88" t="s">
        <v>1696</v>
      </c>
      <c r="BQ88">
        <v>89</v>
      </c>
      <c r="BR88">
        <v>2</v>
      </c>
      <c r="BS88" t="s">
        <v>1697</v>
      </c>
      <c r="BT88">
        <v>217</v>
      </c>
      <c r="BU88">
        <v>0.5</v>
      </c>
      <c r="BV88" t="s">
        <v>1697</v>
      </c>
      <c r="BW88">
        <v>434</v>
      </c>
      <c r="BX88">
        <v>1</v>
      </c>
      <c r="BY88" t="s">
        <v>643</v>
      </c>
      <c r="BZ88">
        <v>300</v>
      </c>
      <c r="CA88">
        <v>460</v>
      </c>
      <c r="CB88" t="s">
        <v>644</v>
      </c>
      <c r="CC88" t="s">
        <v>644</v>
      </c>
      <c r="CD88">
        <v>400</v>
      </c>
      <c r="CE88" t="s">
        <v>544</v>
      </c>
      <c r="CF88">
        <v>15</v>
      </c>
      <c r="CG88" t="s">
        <v>645</v>
      </c>
      <c r="CH88" t="s">
        <v>645</v>
      </c>
      <c r="CI88">
        <v>80</v>
      </c>
      <c r="CJ88">
        <v>1301</v>
      </c>
      <c r="CK88">
        <v>2</v>
      </c>
      <c r="CL88">
        <v>1395</v>
      </c>
      <c r="CM88">
        <v>2</v>
      </c>
      <c r="CN88" t="s">
        <v>646</v>
      </c>
      <c r="CO88" t="s">
        <v>647</v>
      </c>
      <c r="CP88" t="s">
        <v>648</v>
      </c>
      <c r="CQ88" t="s">
        <v>621</v>
      </c>
      <c r="CR88" t="s">
        <v>541</v>
      </c>
      <c r="CS88" t="s">
        <v>542</v>
      </c>
      <c r="CT88">
        <v>415</v>
      </c>
      <c r="CU88">
        <v>5</v>
      </c>
      <c r="CV88">
        <v>1.2</v>
      </c>
      <c r="CW88">
        <v>1314</v>
      </c>
      <c r="CX88">
        <v>771</v>
      </c>
      <c r="DD88">
        <v>0</v>
      </c>
      <c r="DE88" t="s">
        <v>543</v>
      </c>
      <c r="DF88">
        <v>590</v>
      </c>
      <c r="DG88">
        <v>3</v>
      </c>
      <c r="DH88">
        <v>1.18</v>
      </c>
      <c r="DI88">
        <v>1312</v>
      </c>
      <c r="DJ88">
        <v>1189</v>
      </c>
      <c r="DK88" t="s">
        <v>543</v>
      </c>
      <c r="DL88">
        <v>495</v>
      </c>
      <c r="DM88">
        <v>3</v>
      </c>
      <c r="DN88">
        <v>1.18</v>
      </c>
      <c r="DO88">
        <v>1319</v>
      </c>
      <c r="DP88">
        <v>1001</v>
      </c>
      <c r="DW88" t="s">
        <v>544</v>
      </c>
      <c r="DX88">
        <v>7.5</v>
      </c>
      <c r="EA88">
        <v>1386.2</v>
      </c>
      <c r="EB88">
        <v>245</v>
      </c>
      <c r="EC88" t="s">
        <v>545</v>
      </c>
      <c r="ED88">
        <v>40</v>
      </c>
      <c r="EE88">
        <v>3</v>
      </c>
      <c r="EG88">
        <v>1427</v>
      </c>
      <c r="EH88">
        <v>228</v>
      </c>
      <c r="EJ88">
        <v>0</v>
      </c>
      <c r="EK88">
        <v>1</v>
      </c>
      <c r="EN88">
        <v>0</v>
      </c>
      <c r="EP88" t="s">
        <v>546</v>
      </c>
      <c r="EQ88">
        <v>125</v>
      </c>
      <c r="ER88">
        <v>3</v>
      </c>
      <c r="ES88">
        <v>5</v>
      </c>
      <c r="ET88">
        <v>1295</v>
      </c>
      <c r="EU88">
        <v>500.9</v>
      </c>
      <c r="EV88">
        <v>649</v>
      </c>
      <c r="EW88" t="s">
        <v>547</v>
      </c>
      <c r="EX88">
        <v>70</v>
      </c>
      <c r="EY88">
        <v>2</v>
      </c>
      <c r="EZ88">
        <v>4.3</v>
      </c>
      <c r="FA88">
        <v>1295</v>
      </c>
      <c r="FB88">
        <v>218.5</v>
      </c>
      <c r="FC88">
        <v>283</v>
      </c>
      <c r="FE88">
        <v>0</v>
      </c>
      <c r="FF88">
        <v>2</v>
      </c>
      <c r="FI88">
        <v>0</v>
      </c>
      <c r="FK88" t="s">
        <v>548</v>
      </c>
      <c r="FL88">
        <v>0.4</v>
      </c>
      <c r="FM88">
        <v>120</v>
      </c>
      <c r="FN88">
        <v>120</v>
      </c>
      <c r="GR88" t="s">
        <v>548</v>
      </c>
      <c r="GS88">
        <v>0.4</v>
      </c>
      <c r="GT88">
        <v>100</v>
      </c>
      <c r="GU88">
        <v>260</v>
      </c>
      <c r="HC88">
        <v>0.1</v>
      </c>
      <c r="HD88">
        <v>3</v>
      </c>
      <c r="HE88">
        <v>3</v>
      </c>
      <c r="HF88">
        <v>3</v>
      </c>
      <c r="HG88">
        <v>3</v>
      </c>
      <c r="HH88">
        <v>3</v>
      </c>
      <c r="HI88">
        <v>180</v>
      </c>
      <c r="HJ88">
        <v>3</v>
      </c>
      <c r="HK88">
        <v>55</v>
      </c>
      <c r="HL88">
        <v>2</v>
      </c>
      <c r="HM88">
        <v>0</v>
      </c>
      <c r="HN88">
        <v>2</v>
      </c>
      <c r="HO88">
        <v>110</v>
      </c>
      <c r="HP88">
        <v>3</v>
      </c>
      <c r="HQ88">
        <v>0</v>
      </c>
      <c r="HR88">
        <v>2</v>
      </c>
      <c r="HS88">
        <v>5771</v>
      </c>
      <c r="HT88">
        <v>170</v>
      </c>
      <c r="HU88">
        <v>180</v>
      </c>
      <c r="HW88">
        <v>0</v>
      </c>
      <c r="HX88">
        <v>465</v>
      </c>
      <c r="HY88">
        <v>0.18</v>
      </c>
      <c r="IA88">
        <v>0.15</v>
      </c>
      <c r="IB88">
        <v>0</v>
      </c>
      <c r="IC88">
        <v>180</v>
      </c>
      <c r="ID88">
        <v>110</v>
      </c>
      <c r="IE88">
        <v>225</v>
      </c>
      <c r="IF88">
        <v>0</v>
      </c>
      <c r="IH88" t="s">
        <v>549</v>
      </c>
      <c r="IO88">
        <v>3</v>
      </c>
      <c r="IP88">
        <v>17</v>
      </c>
      <c r="IQ88">
        <v>0</v>
      </c>
      <c r="IR88">
        <v>1</v>
      </c>
      <c r="IV88">
        <v>1301</v>
      </c>
      <c r="IW88">
        <v>434</v>
      </c>
      <c r="JA88">
        <v>1</v>
      </c>
      <c r="JB88">
        <v>0</v>
      </c>
      <c r="JC88">
        <v>2</v>
      </c>
      <c r="JD88">
        <v>1314</v>
      </c>
      <c r="JE88">
        <v>1312</v>
      </c>
      <c r="JF88">
        <v>1319</v>
      </c>
      <c r="JG88">
        <v>1295</v>
      </c>
      <c r="JH88">
        <v>0</v>
      </c>
      <c r="JJ88">
        <v>180</v>
      </c>
      <c r="JK88">
        <v>465</v>
      </c>
      <c r="JN88">
        <v>415</v>
      </c>
      <c r="JO88">
        <v>590</v>
      </c>
      <c r="JP88">
        <v>495</v>
      </c>
      <c r="JQ88">
        <v>0</v>
      </c>
      <c r="JR88">
        <v>390</v>
      </c>
      <c r="JS88">
        <v>180</v>
      </c>
      <c r="JV88">
        <v>8</v>
      </c>
      <c r="JW88" t="s">
        <v>550</v>
      </c>
      <c r="JX88">
        <v>0</v>
      </c>
      <c r="KA88">
        <v>225</v>
      </c>
      <c r="KB88">
        <v>110</v>
      </c>
      <c r="KC88">
        <v>0</v>
      </c>
      <c r="KD88">
        <v>80</v>
      </c>
      <c r="KF88">
        <v>4</v>
      </c>
      <c r="KG88">
        <v>2.5</v>
      </c>
      <c r="KH88">
        <v>2</v>
      </c>
      <c r="KI88">
        <v>2</v>
      </c>
      <c r="KJ88">
        <v>0</v>
      </c>
      <c r="KK88">
        <v>1.5</v>
      </c>
      <c r="KL88">
        <v>1.5</v>
      </c>
      <c r="KM88">
        <v>0</v>
      </c>
      <c r="KN88">
        <v>0</v>
      </c>
      <c r="KO88">
        <v>0</v>
      </c>
      <c r="KR88">
        <v>30</v>
      </c>
      <c r="KS88">
        <v>60</v>
      </c>
      <c r="KT88">
        <v>0</v>
      </c>
      <c r="LK88">
        <v>480</v>
      </c>
      <c r="PG88">
        <v>1</v>
      </c>
      <c r="PI88" t="s">
        <v>1693</v>
      </c>
      <c r="PJ88" t="s">
        <v>1694</v>
      </c>
      <c r="PK88" t="s">
        <v>1695</v>
      </c>
      <c r="PL88" t="s">
        <v>1179</v>
      </c>
      <c r="PP88" t="s">
        <v>1696</v>
      </c>
      <c r="PX88">
        <v>56</v>
      </c>
      <c r="PY88">
        <v>57</v>
      </c>
      <c r="PZ88" t="s">
        <v>1693</v>
      </c>
      <c r="QA88">
        <v>3</v>
      </c>
      <c r="QB88">
        <v>1295</v>
      </c>
      <c r="QC88">
        <v>69</v>
      </c>
      <c r="QD88">
        <v>69</v>
      </c>
      <c r="QE88" t="s">
        <v>1179</v>
      </c>
      <c r="QF88">
        <v>1</v>
      </c>
      <c r="QG88">
        <v>1314</v>
      </c>
      <c r="QH88">
        <v>66</v>
      </c>
      <c r="QI88">
        <v>66</v>
      </c>
      <c r="QL88">
        <v>0</v>
      </c>
      <c r="QM88">
        <v>62</v>
      </c>
      <c r="QN88">
        <v>62</v>
      </c>
      <c r="QO88" t="s">
        <v>1694</v>
      </c>
      <c r="QP88">
        <v>1</v>
      </c>
      <c r="QQ88">
        <v>1312</v>
      </c>
      <c r="QR88">
        <v>62</v>
      </c>
      <c r="QS88">
        <v>62</v>
      </c>
      <c r="QT88" t="s">
        <v>1695</v>
      </c>
      <c r="QU88">
        <v>1</v>
      </c>
      <c r="QV88">
        <v>1319</v>
      </c>
      <c r="QW88">
        <v>82</v>
      </c>
      <c r="QX88">
        <v>89</v>
      </c>
      <c r="QY88" t="s">
        <v>1696</v>
      </c>
      <c r="QZ88">
        <v>1</v>
      </c>
      <c r="RA88">
        <v>66</v>
      </c>
      <c r="RB88">
        <v>66</v>
      </c>
      <c r="RE88">
        <v>0</v>
      </c>
      <c r="RF88">
        <v>1</v>
      </c>
      <c r="RH88">
        <v>1</v>
      </c>
      <c r="RJ88">
        <v>1</v>
      </c>
      <c r="RL88">
        <v>2</v>
      </c>
      <c r="RM88">
        <v>2</v>
      </c>
      <c r="RO88">
        <v>587</v>
      </c>
      <c r="RQ88">
        <v>906</v>
      </c>
      <c r="RR88">
        <v>759</v>
      </c>
      <c r="RT88">
        <v>245</v>
      </c>
      <c r="RU88">
        <v>228</v>
      </c>
      <c r="RV88" t="s">
        <v>1698</v>
      </c>
      <c r="RW88" t="s">
        <v>653</v>
      </c>
      <c r="RX88">
        <v>15</v>
      </c>
      <c r="RY88">
        <v>4</v>
      </c>
      <c r="RZ88" t="s">
        <v>653</v>
      </c>
      <c r="SA88">
        <v>15</v>
      </c>
      <c r="SC88" t="s">
        <v>1694</v>
      </c>
      <c r="SD88">
        <v>1</v>
      </c>
      <c r="SF88" t="s">
        <v>1695</v>
      </c>
      <c r="SG88">
        <v>1</v>
      </c>
      <c r="SH88">
        <v>0.995</v>
      </c>
      <c r="SI88">
        <v>0.995</v>
      </c>
      <c r="SJ88">
        <v>0.995</v>
      </c>
      <c r="SK88">
        <v>15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Z88">
        <v>1</v>
      </c>
      <c r="TB88">
        <v>0</v>
      </c>
      <c r="TC88">
        <v>0</v>
      </c>
      <c r="TD88">
        <v>7.5</v>
      </c>
      <c r="TE88" t="s">
        <v>553</v>
      </c>
      <c r="TF88" t="s">
        <v>624</v>
      </c>
      <c r="TG88" t="s">
        <v>555</v>
      </c>
      <c r="TI88" t="s">
        <v>546</v>
      </c>
      <c r="TJ88" t="s">
        <v>547</v>
      </c>
      <c r="TL88" t="s">
        <v>1477</v>
      </c>
      <c r="TM88" t="s">
        <v>513</v>
      </c>
      <c r="TN88">
        <v>0</v>
      </c>
      <c r="TO88" t="s">
        <v>557</v>
      </c>
    </row>
    <row r="89" spans="1:535">
      <c r="A89" t="s">
        <v>1699</v>
      </c>
      <c r="B89" t="s">
        <v>629</v>
      </c>
      <c r="C89" t="s">
        <v>509</v>
      </c>
      <c r="D89" t="s">
        <v>1668</v>
      </c>
      <c r="G89" t="s">
        <v>627</v>
      </c>
      <c r="H89" t="s">
        <v>604</v>
      </c>
      <c r="I89" t="s">
        <v>628</v>
      </c>
      <c r="J89" t="s">
        <v>606</v>
      </c>
      <c r="L89" t="s">
        <v>512</v>
      </c>
      <c r="M89" t="s">
        <v>711</v>
      </c>
      <c r="N89" t="s">
        <v>513</v>
      </c>
      <c r="O89" t="s">
        <v>565</v>
      </c>
      <c r="Q89" t="s">
        <v>1700</v>
      </c>
      <c r="R89" t="s">
        <v>567</v>
      </c>
      <c r="S89" t="s">
        <v>1211</v>
      </c>
      <c r="T89" t="s">
        <v>965</v>
      </c>
      <c r="U89" t="s">
        <v>662</v>
      </c>
      <c r="V89" t="s">
        <v>663</v>
      </c>
      <c r="W89" t="s">
        <v>1212</v>
      </c>
      <c r="X89" t="s">
        <v>1460</v>
      </c>
      <c r="Y89" t="s">
        <v>524</v>
      </c>
      <c r="Z89" t="s">
        <v>1701</v>
      </c>
      <c r="AA89" t="s">
        <v>1702</v>
      </c>
      <c r="AB89" t="s">
        <v>1703</v>
      </c>
      <c r="AC89">
        <v>2</v>
      </c>
      <c r="AD89">
        <v>56</v>
      </c>
      <c r="AE89">
        <v>191</v>
      </c>
      <c r="AF89">
        <v>1.5</v>
      </c>
      <c r="AH89">
        <v>0</v>
      </c>
      <c r="AI89" t="s">
        <v>692</v>
      </c>
      <c r="AJ89">
        <v>202.5</v>
      </c>
      <c r="AK89">
        <v>1</v>
      </c>
      <c r="AL89">
        <v>1.5</v>
      </c>
      <c r="AM89" t="s">
        <v>529</v>
      </c>
      <c r="AO89">
        <v>0</v>
      </c>
      <c r="AR89">
        <v>0</v>
      </c>
      <c r="AS89">
        <v>1.5</v>
      </c>
      <c r="AU89" t="s">
        <v>1704</v>
      </c>
      <c r="AW89" t="s">
        <v>1704</v>
      </c>
      <c r="AX89">
        <v>1</v>
      </c>
      <c r="AY89">
        <v>280</v>
      </c>
      <c r="AZ89">
        <v>1.5</v>
      </c>
      <c r="BA89" t="s">
        <v>529</v>
      </c>
      <c r="BC89" t="s">
        <v>1705</v>
      </c>
      <c r="BD89" t="s">
        <v>1705</v>
      </c>
      <c r="BE89">
        <v>1</v>
      </c>
      <c r="BF89">
        <v>242.5</v>
      </c>
      <c r="BG89">
        <v>1.5</v>
      </c>
      <c r="BJ89">
        <v>0</v>
      </c>
      <c r="BN89">
        <v>1.5</v>
      </c>
      <c r="BP89" t="s">
        <v>1706</v>
      </c>
      <c r="BQ89">
        <v>82</v>
      </c>
      <c r="BR89">
        <v>2</v>
      </c>
      <c r="BS89" t="s">
        <v>844</v>
      </c>
      <c r="BT89">
        <v>212</v>
      </c>
      <c r="BU89">
        <v>0.5</v>
      </c>
      <c r="BV89" t="s">
        <v>844</v>
      </c>
      <c r="BW89">
        <v>424</v>
      </c>
      <c r="BX89">
        <v>1</v>
      </c>
      <c r="BY89" t="s">
        <v>643</v>
      </c>
      <c r="BZ89">
        <v>290</v>
      </c>
      <c r="CA89">
        <v>490</v>
      </c>
      <c r="CB89" t="s">
        <v>672</v>
      </c>
      <c r="CC89" t="s">
        <v>672</v>
      </c>
      <c r="CD89">
        <v>438</v>
      </c>
      <c r="CE89" t="s">
        <v>673</v>
      </c>
      <c r="CF89">
        <v>15</v>
      </c>
      <c r="CG89" t="s">
        <v>674</v>
      </c>
      <c r="CH89" t="s">
        <v>674</v>
      </c>
      <c r="CI89">
        <v>100</v>
      </c>
      <c r="CJ89">
        <v>1381</v>
      </c>
      <c r="CK89">
        <v>2</v>
      </c>
      <c r="CL89">
        <v>1475</v>
      </c>
      <c r="CM89">
        <v>2</v>
      </c>
      <c r="CN89" t="s">
        <v>675</v>
      </c>
      <c r="CO89" t="s">
        <v>676</v>
      </c>
      <c r="CP89" t="s">
        <v>595</v>
      </c>
      <c r="CQ89" t="s">
        <v>677</v>
      </c>
      <c r="CR89" t="s">
        <v>650</v>
      </c>
      <c r="CS89" t="s">
        <v>542</v>
      </c>
      <c r="CT89">
        <v>405</v>
      </c>
      <c r="CU89">
        <v>5</v>
      </c>
      <c r="CV89">
        <v>1.2</v>
      </c>
      <c r="CW89">
        <v>1393</v>
      </c>
      <c r="CX89">
        <v>798</v>
      </c>
      <c r="DD89">
        <v>0</v>
      </c>
      <c r="DE89" t="s">
        <v>622</v>
      </c>
      <c r="DF89">
        <v>560</v>
      </c>
      <c r="DG89">
        <v>3</v>
      </c>
      <c r="DH89">
        <v>0.88</v>
      </c>
      <c r="DI89">
        <v>1390</v>
      </c>
      <c r="DJ89">
        <v>915</v>
      </c>
      <c r="DK89" t="s">
        <v>622</v>
      </c>
      <c r="DL89">
        <v>485</v>
      </c>
      <c r="DM89">
        <v>3</v>
      </c>
      <c r="DN89">
        <v>0.88</v>
      </c>
      <c r="DO89">
        <v>1396</v>
      </c>
      <c r="DP89">
        <v>948</v>
      </c>
      <c r="DW89" t="s">
        <v>544</v>
      </c>
      <c r="DX89">
        <v>7.5</v>
      </c>
      <c r="EA89">
        <v>1464.3</v>
      </c>
      <c r="EB89">
        <v>276</v>
      </c>
      <c r="EC89" t="s">
        <v>545</v>
      </c>
      <c r="ED89">
        <v>35</v>
      </c>
      <c r="EE89">
        <v>3</v>
      </c>
      <c r="EG89">
        <v>1505</v>
      </c>
      <c r="EH89">
        <v>241</v>
      </c>
      <c r="EJ89">
        <v>0</v>
      </c>
      <c r="EK89">
        <v>1</v>
      </c>
      <c r="EN89">
        <v>0</v>
      </c>
      <c r="EP89" t="s">
        <v>546</v>
      </c>
      <c r="EQ89">
        <v>80</v>
      </c>
      <c r="ER89">
        <v>3</v>
      </c>
      <c r="ES89">
        <v>6.5</v>
      </c>
      <c r="ET89">
        <v>1384</v>
      </c>
      <c r="EU89">
        <v>396.4</v>
      </c>
      <c r="EV89">
        <v>549</v>
      </c>
      <c r="EW89" t="s">
        <v>547</v>
      </c>
      <c r="EX89">
        <v>70</v>
      </c>
      <c r="EY89">
        <v>2</v>
      </c>
      <c r="EZ89">
        <v>4.3</v>
      </c>
      <c r="FA89">
        <v>1384</v>
      </c>
      <c r="FB89">
        <v>208.3</v>
      </c>
      <c r="FC89">
        <v>288</v>
      </c>
      <c r="FE89">
        <v>0</v>
      </c>
      <c r="FF89">
        <v>2</v>
      </c>
      <c r="FI89">
        <v>0</v>
      </c>
      <c r="FK89" t="s">
        <v>548</v>
      </c>
      <c r="FL89">
        <v>0.4</v>
      </c>
      <c r="FM89">
        <v>120</v>
      </c>
      <c r="FN89">
        <v>110</v>
      </c>
      <c r="GR89" t="s">
        <v>548</v>
      </c>
      <c r="GS89">
        <v>0.4</v>
      </c>
      <c r="GT89">
        <v>150</v>
      </c>
      <c r="GU89">
        <v>150</v>
      </c>
      <c r="GY89" t="s">
        <v>651</v>
      </c>
      <c r="GZ89">
        <v>1.6</v>
      </c>
      <c r="HA89">
        <v>20</v>
      </c>
      <c r="HB89">
        <v>196</v>
      </c>
      <c r="HC89">
        <v>0.1</v>
      </c>
      <c r="HD89">
        <v>3</v>
      </c>
      <c r="HE89">
        <v>3</v>
      </c>
      <c r="HF89">
        <v>3</v>
      </c>
      <c r="HG89">
        <v>3</v>
      </c>
      <c r="HH89">
        <v>3</v>
      </c>
      <c r="HI89">
        <v>135</v>
      </c>
      <c r="HJ89">
        <v>3</v>
      </c>
      <c r="HK89">
        <v>55</v>
      </c>
      <c r="HL89">
        <v>2</v>
      </c>
      <c r="HM89">
        <v>0</v>
      </c>
      <c r="HN89">
        <v>2</v>
      </c>
      <c r="HO89">
        <v>65</v>
      </c>
      <c r="HP89">
        <v>3</v>
      </c>
      <c r="HQ89">
        <v>0</v>
      </c>
      <c r="HR89">
        <v>2</v>
      </c>
      <c r="HS89">
        <v>5369</v>
      </c>
      <c r="HT89">
        <v>160</v>
      </c>
      <c r="HU89">
        <v>180</v>
      </c>
      <c r="HW89">
        <v>0</v>
      </c>
      <c r="HX89">
        <v>440</v>
      </c>
      <c r="HY89">
        <v>0.18</v>
      </c>
      <c r="IA89">
        <v>0.15</v>
      </c>
      <c r="IB89">
        <v>0</v>
      </c>
      <c r="IC89">
        <v>180</v>
      </c>
      <c r="ID89">
        <v>110</v>
      </c>
      <c r="IE89">
        <v>225</v>
      </c>
      <c r="IF89">
        <v>0</v>
      </c>
      <c r="IH89" t="s">
        <v>549</v>
      </c>
      <c r="IO89">
        <v>3</v>
      </c>
      <c r="IP89">
        <v>18</v>
      </c>
      <c r="IQ89">
        <v>0</v>
      </c>
      <c r="IR89">
        <v>1</v>
      </c>
      <c r="IV89">
        <v>1381</v>
      </c>
      <c r="IW89">
        <v>424</v>
      </c>
      <c r="JA89">
        <v>1</v>
      </c>
      <c r="JB89">
        <v>0</v>
      </c>
      <c r="JC89">
        <v>2</v>
      </c>
      <c r="JD89">
        <v>1393</v>
      </c>
      <c r="JE89">
        <v>1390</v>
      </c>
      <c r="JF89">
        <v>1396</v>
      </c>
      <c r="JG89">
        <v>1384</v>
      </c>
      <c r="JH89">
        <v>0</v>
      </c>
      <c r="JJ89">
        <v>180</v>
      </c>
      <c r="JK89">
        <v>440</v>
      </c>
      <c r="JN89">
        <v>405</v>
      </c>
      <c r="JO89">
        <v>560</v>
      </c>
      <c r="JP89">
        <v>485</v>
      </c>
      <c r="JQ89">
        <v>0</v>
      </c>
      <c r="JR89">
        <v>382</v>
      </c>
      <c r="JS89">
        <v>135</v>
      </c>
      <c r="JV89">
        <v>8</v>
      </c>
      <c r="JW89" t="s">
        <v>550</v>
      </c>
      <c r="JX89">
        <v>0</v>
      </c>
      <c r="KA89">
        <v>225</v>
      </c>
      <c r="KB89">
        <v>110</v>
      </c>
      <c r="KC89">
        <v>0</v>
      </c>
      <c r="KD89">
        <v>80</v>
      </c>
      <c r="KF89">
        <v>4</v>
      </c>
      <c r="KG89">
        <v>2</v>
      </c>
      <c r="KH89">
        <v>2</v>
      </c>
      <c r="KI89">
        <v>2</v>
      </c>
      <c r="KJ89">
        <v>0</v>
      </c>
      <c r="KK89">
        <v>1.5</v>
      </c>
      <c r="KL89">
        <v>1.5</v>
      </c>
      <c r="KM89">
        <v>0</v>
      </c>
      <c r="KN89">
        <v>0</v>
      </c>
      <c r="KO89">
        <v>0</v>
      </c>
      <c r="KR89">
        <v>30</v>
      </c>
      <c r="KS89">
        <v>60</v>
      </c>
      <c r="KT89">
        <v>0</v>
      </c>
      <c r="LK89">
        <v>480</v>
      </c>
      <c r="PG89">
        <v>1</v>
      </c>
      <c r="PI89" t="s">
        <v>1703</v>
      </c>
      <c r="PJ89" t="s">
        <v>1704</v>
      </c>
      <c r="PK89" t="s">
        <v>1705</v>
      </c>
      <c r="PL89" t="s">
        <v>692</v>
      </c>
      <c r="PP89" t="s">
        <v>1706</v>
      </c>
      <c r="PX89">
        <v>56</v>
      </c>
      <c r="PY89">
        <v>56</v>
      </c>
      <c r="PZ89" t="s">
        <v>1703</v>
      </c>
      <c r="QA89">
        <v>2</v>
      </c>
      <c r="QB89">
        <v>1384</v>
      </c>
      <c r="QC89">
        <v>69</v>
      </c>
      <c r="QD89">
        <v>69</v>
      </c>
      <c r="QE89" t="s">
        <v>692</v>
      </c>
      <c r="QF89">
        <v>1</v>
      </c>
      <c r="QG89">
        <v>1393</v>
      </c>
      <c r="QH89">
        <v>66</v>
      </c>
      <c r="QI89">
        <v>66</v>
      </c>
      <c r="QL89">
        <v>0</v>
      </c>
      <c r="QM89">
        <v>62</v>
      </c>
      <c r="QN89">
        <v>62</v>
      </c>
      <c r="QO89" t="s">
        <v>1704</v>
      </c>
      <c r="QP89">
        <v>1</v>
      </c>
      <c r="QQ89">
        <v>1390</v>
      </c>
      <c r="QR89">
        <v>63</v>
      </c>
      <c r="QS89">
        <v>63</v>
      </c>
      <c r="QT89" t="s">
        <v>1705</v>
      </c>
      <c r="QU89">
        <v>1</v>
      </c>
      <c r="QV89">
        <v>1396</v>
      </c>
      <c r="QW89">
        <v>82</v>
      </c>
      <c r="QX89">
        <v>82</v>
      </c>
      <c r="QY89" t="s">
        <v>1706</v>
      </c>
      <c r="QZ89">
        <v>2</v>
      </c>
      <c r="RA89">
        <v>66</v>
      </c>
      <c r="RB89">
        <v>66</v>
      </c>
      <c r="RE89">
        <v>0</v>
      </c>
      <c r="RF89">
        <v>1</v>
      </c>
      <c r="RI89">
        <v>1</v>
      </c>
      <c r="RJ89">
        <v>1</v>
      </c>
      <c r="RL89">
        <v>3</v>
      </c>
      <c r="RM89">
        <v>3</v>
      </c>
      <c r="RO89">
        <v>573</v>
      </c>
      <c r="RQ89">
        <v>658</v>
      </c>
      <c r="RR89">
        <v>679</v>
      </c>
      <c r="RT89">
        <v>276</v>
      </c>
      <c r="RU89">
        <v>241</v>
      </c>
      <c r="RV89" t="s">
        <v>845</v>
      </c>
      <c r="RW89" t="s">
        <v>679</v>
      </c>
      <c r="RX89">
        <v>15</v>
      </c>
      <c r="RY89">
        <v>4</v>
      </c>
      <c r="RZ89" t="s">
        <v>679</v>
      </c>
      <c r="SA89">
        <v>15</v>
      </c>
      <c r="SC89" t="s">
        <v>1704</v>
      </c>
      <c r="SD89">
        <v>1</v>
      </c>
      <c r="SE89" t="s">
        <v>1707</v>
      </c>
      <c r="SF89" t="s">
        <v>1707</v>
      </c>
      <c r="SG89">
        <v>1</v>
      </c>
      <c r="SH89">
        <v>0.995</v>
      </c>
      <c r="SI89">
        <v>0.995</v>
      </c>
      <c r="SJ89">
        <v>0.995</v>
      </c>
      <c r="SK89">
        <v>15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Z89">
        <v>1</v>
      </c>
      <c r="TB89">
        <v>0</v>
      </c>
      <c r="TC89">
        <v>0</v>
      </c>
      <c r="TD89">
        <v>7.5</v>
      </c>
      <c r="TE89" t="s">
        <v>553</v>
      </c>
      <c r="TF89" t="s">
        <v>655</v>
      </c>
      <c r="TG89" t="s">
        <v>555</v>
      </c>
      <c r="TI89" t="s">
        <v>546</v>
      </c>
      <c r="TJ89" t="s">
        <v>547</v>
      </c>
      <c r="TL89" t="s">
        <v>1477</v>
      </c>
      <c r="TM89" t="s">
        <v>513</v>
      </c>
      <c r="TN89">
        <v>0</v>
      </c>
      <c r="TO89" t="s">
        <v>557</v>
      </c>
    </row>
    <row r="90" spans="1:535">
      <c r="A90" t="s">
        <v>1708</v>
      </c>
      <c r="B90" t="s">
        <v>564</v>
      </c>
      <c r="C90" t="s">
        <v>509</v>
      </c>
      <c r="D90" t="s">
        <v>1087</v>
      </c>
      <c r="G90" t="s">
        <v>604</v>
      </c>
      <c r="H90" t="s">
        <v>605</v>
      </c>
      <c r="I90" t="s">
        <v>628</v>
      </c>
      <c r="J90" t="s">
        <v>606</v>
      </c>
      <c r="L90" t="s">
        <v>512</v>
      </c>
      <c r="M90" t="s">
        <v>629</v>
      </c>
      <c r="N90" t="s">
        <v>513</v>
      </c>
      <c r="O90" t="s">
        <v>565</v>
      </c>
      <c r="Q90" t="s">
        <v>1709</v>
      </c>
      <c r="R90" t="s">
        <v>567</v>
      </c>
      <c r="S90" t="s">
        <v>774</v>
      </c>
      <c r="T90" t="s">
        <v>661</v>
      </c>
      <c r="U90" t="s">
        <v>686</v>
      </c>
      <c r="V90" t="s">
        <v>687</v>
      </c>
      <c r="W90" t="s">
        <v>1710</v>
      </c>
      <c r="X90" t="s">
        <v>1460</v>
      </c>
      <c r="Y90" t="s">
        <v>524</v>
      </c>
      <c r="Z90" t="s">
        <v>1711</v>
      </c>
      <c r="AA90" t="s">
        <v>1712</v>
      </c>
      <c r="AB90" t="s">
        <v>1713</v>
      </c>
      <c r="AC90">
        <v>2</v>
      </c>
      <c r="AD90">
        <v>56</v>
      </c>
      <c r="AE90">
        <v>206</v>
      </c>
      <c r="AF90">
        <v>1.5</v>
      </c>
      <c r="AH90">
        <v>0</v>
      </c>
      <c r="AI90" t="s">
        <v>764</v>
      </c>
      <c r="AJ90">
        <v>190</v>
      </c>
      <c r="AK90">
        <v>1</v>
      </c>
      <c r="AL90">
        <v>1.5</v>
      </c>
      <c r="AM90" t="s">
        <v>579</v>
      </c>
      <c r="AN90" t="s">
        <v>693</v>
      </c>
      <c r="AO90">
        <v>2</v>
      </c>
      <c r="AP90" t="s">
        <v>581</v>
      </c>
      <c r="AQ90" t="s">
        <v>582</v>
      </c>
      <c r="AR90">
        <v>228</v>
      </c>
      <c r="AS90">
        <v>1.5</v>
      </c>
      <c r="AT90" t="s">
        <v>583</v>
      </c>
      <c r="AU90" t="s">
        <v>1714</v>
      </c>
      <c r="AW90" t="s">
        <v>1714</v>
      </c>
      <c r="AX90">
        <v>1</v>
      </c>
      <c r="AY90">
        <v>350</v>
      </c>
      <c r="AZ90">
        <v>1.5</v>
      </c>
      <c r="BA90" t="s">
        <v>579</v>
      </c>
      <c r="BG90">
        <v>1.5</v>
      </c>
      <c r="BJ90">
        <v>0</v>
      </c>
      <c r="BN90">
        <v>1.5</v>
      </c>
      <c r="BP90" t="s">
        <v>1715</v>
      </c>
      <c r="BQ90">
        <v>89</v>
      </c>
      <c r="BR90">
        <v>2</v>
      </c>
      <c r="BS90" t="s">
        <v>1665</v>
      </c>
      <c r="BT90">
        <v>208</v>
      </c>
      <c r="BU90">
        <v>0.5</v>
      </c>
      <c r="BV90" t="s">
        <v>1665</v>
      </c>
      <c r="BW90">
        <v>416</v>
      </c>
      <c r="BX90">
        <v>1</v>
      </c>
      <c r="BY90" t="s">
        <v>698</v>
      </c>
      <c r="BZ90">
        <v>300</v>
      </c>
      <c r="CA90">
        <v>480</v>
      </c>
      <c r="CB90" t="s">
        <v>699</v>
      </c>
      <c r="CC90" t="s">
        <v>699</v>
      </c>
      <c r="CD90">
        <v>440</v>
      </c>
      <c r="CE90" t="s">
        <v>700</v>
      </c>
      <c r="CF90">
        <v>15</v>
      </c>
      <c r="CG90" t="s">
        <v>783</v>
      </c>
      <c r="CH90" t="s">
        <v>783</v>
      </c>
      <c r="CI90">
        <v>90</v>
      </c>
      <c r="CJ90">
        <v>1458</v>
      </c>
      <c r="CK90">
        <v>2</v>
      </c>
      <c r="CL90">
        <v>1552</v>
      </c>
      <c r="CM90">
        <v>2</v>
      </c>
      <c r="CN90" t="s">
        <v>702</v>
      </c>
      <c r="CO90" t="s">
        <v>676</v>
      </c>
      <c r="CP90" t="s">
        <v>703</v>
      </c>
      <c r="CQ90" t="s">
        <v>1343</v>
      </c>
      <c r="CR90" t="s">
        <v>541</v>
      </c>
      <c r="CS90" t="s">
        <v>542</v>
      </c>
      <c r="CT90">
        <v>380</v>
      </c>
      <c r="CU90">
        <v>5</v>
      </c>
      <c r="CV90">
        <v>1.2</v>
      </c>
      <c r="CW90">
        <v>1475</v>
      </c>
      <c r="CX90">
        <v>794</v>
      </c>
      <c r="CY90" t="s">
        <v>705</v>
      </c>
      <c r="CZ90">
        <v>50</v>
      </c>
      <c r="DA90">
        <v>3</v>
      </c>
      <c r="DB90">
        <v>1</v>
      </c>
      <c r="DC90">
        <v>1475</v>
      </c>
      <c r="DD90">
        <v>77</v>
      </c>
      <c r="DE90" t="s">
        <v>543</v>
      </c>
      <c r="DF90">
        <v>700</v>
      </c>
      <c r="DG90">
        <v>3</v>
      </c>
      <c r="DH90">
        <v>1.18</v>
      </c>
      <c r="DI90">
        <v>1468</v>
      </c>
      <c r="DJ90">
        <v>1555</v>
      </c>
      <c r="DW90" t="s">
        <v>544</v>
      </c>
      <c r="DX90">
        <v>7.5</v>
      </c>
      <c r="EA90">
        <v>1540.9</v>
      </c>
      <c r="EB90">
        <v>363</v>
      </c>
      <c r="EC90" t="s">
        <v>545</v>
      </c>
      <c r="ED90">
        <v>35</v>
      </c>
      <c r="EE90">
        <v>3</v>
      </c>
      <c r="EG90">
        <v>1592</v>
      </c>
      <c r="EH90">
        <v>221</v>
      </c>
      <c r="EJ90">
        <v>0</v>
      </c>
      <c r="EK90">
        <v>1</v>
      </c>
      <c r="EN90">
        <v>0</v>
      </c>
      <c r="EP90" t="s">
        <v>546</v>
      </c>
      <c r="EQ90">
        <v>100</v>
      </c>
      <c r="ER90">
        <v>3</v>
      </c>
      <c r="ES90">
        <v>6</v>
      </c>
      <c r="ET90">
        <v>1457</v>
      </c>
      <c r="EU90">
        <v>475.4</v>
      </c>
      <c r="EV90">
        <v>693</v>
      </c>
      <c r="EW90" t="s">
        <v>547</v>
      </c>
      <c r="EX90">
        <v>45</v>
      </c>
      <c r="EY90">
        <v>2</v>
      </c>
      <c r="EZ90">
        <v>4.5</v>
      </c>
      <c r="FA90">
        <v>1457</v>
      </c>
      <c r="FB90">
        <v>139.5</v>
      </c>
      <c r="FC90">
        <v>203</v>
      </c>
      <c r="FE90">
        <v>0</v>
      </c>
      <c r="FF90">
        <v>2</v>
      </c>
      <c r="FI90">
        <v>0</v>
      </c>
      <c r="FK90" t="s">
        <v>548</v>
      </c>
      <c r="FL90">
        <v>0.4</v>
      </c>
      <c r="FM90">
        <v>45</v>
      </c>
      <c r="FN90">
        <v>350</v>
      </c>
      <c r="FO90">
        <v>80</v>
      </c>
      <c r="FP90">
        <v>120</v>
      </c>
      <c r="HC90">
        <v>0.1</v>
      </c>
      <c r="HD90">
        <v>3</v>
      </c>
      <c r="HE90">
        <v>3</v>
      </c>
      <c r="HF90">
        <v>3</v>
      </c>
      <c r="HG90">
        <v>3</v>
      </c>
      <c r="HH90">
        <v>3</v>
      </c>
      <c r="HI90">
        <v>130</v>
      </c>
      <c r="HJ90">
        <v>3</v>
      </c>
      <c r="HK90">
        <v>30</v>
      </c>
      <c r="HL90">
        <v>2</v>
      </c>
      <c r="HM90">
        <v>0</v>
      </c>
      <c r="HN90">
        <v>2</v>
      </c>
      <c r="HO90">
        <v>85</v>
      </c>
      <c r="HP90">
        <v>3</v>
      </c>
      <c r="HQ90">
        <v>0</v>
      </c>
      <c r="HR90">
        <v>2</v>
      </c>
      <c r="HS90">
        <v>5463</v>
      </c>
      <c r="HT90">
        <v>160</v>
      </c>
      <c r="HU90">
        <v>180</v>
      </c>
      <c r="HW90">
        <v>20</v>
      </c>
      <c r="HX90">
        <v>435</v>
      </c>
      <c r="HY90">
        <v>0.18</v>
      </c>
      <c r="IA90">
        <v>0.15</v>
      </c>
      <c r="IB90">
        <v>0</v>
      </c>
      <c r="IC90">
        <v>180</v>
      </c>
      <c r="ID90">
        <v>110</v>
      </c>
      <c r="IE90">
        <v>0</v>
      </c>
      <c r="IF90">
        <v>0</v>
      </c>
      <c r="IH90" t="s">
        <v>549</v>
      </c>
      <c r="IO90">
        <v>1</v>
      </c>
      <c r="IP90">
        <v>19</v>
      </c>
      <c r="IQ90">
        <v>0</v>
      </c>
      <c r="IR90">
        <v>0</v>
      </c>
      <c r="IV90">
        <v>1458</v>
      </c>
      <c r="IW90">
        <v>416</v>
      </c>
      <c r="JA90">
        <v>1</v>
      </c>
      <c r="JB90">
        <v>0</v>
      </c>
      <c r="JC90">
        <v>2</v>
      </c>
      <c r="JD90">
        <v>1475</v>
      </c>
      <c r="JE90">
        <v>1468</v>
      </c>
      <c r="JF90">
        <v>0</v>
      </c>
      <c r="JG90">
        <v>1457</v>
      </c>
      <c r="JH90">
        <v>0</v>
      </c>
      <c r="JJ90">
        <v>180</v>
      </c>
      <c r="JK90">
        <v>435</v>
      </c>
      <c r="JN90">
        <v>380</v>
      </c>
      <c r="JO90">
        <v>700</v>
      </c>
      <c r="JP90">
        <v>0</v>
      </c>
      <c r="JQ90">
        <v>0</v>
      </c>
      <c r="JR90">
        <v>412</v>
      </c>
      <c r="JS90">
        <v>130</v>
      </c>
      <c r="JV90">
        <v>8</v>
      </c>
      <c r="JW90" t="s">
        <v>550</v>
      </c>
      <c r="JX90">
        <v>456</v>
      </c>
      <c r="KA90">
        <v>0</v>
      </c>
      <c r="KB90">
        <v>110</v>
      </c>
      <c r="KC90">
        <v>0</v>
      </c>
      <c r="KD90">
        <v>80</v>
      </c>
      <c r="KF90">
        <v>5</v>
      </c>
      <c r="KG90">
        <v>5</v>
      </c>
      <c r="KH90">
        <v>2</v>
      </c>
      <c r="KI90">
        <v>2</v>
      </c>
      <c r="KJ90">
        <v>0</v>
      </c>
      <c r="KK90">
        <v>1.5</v>
      </c>
      <c r="KL90">
        <v>1.5</v>
      </c>
      <c r="KM90">
        <v>0</v>
      </c>
      <c r="KN90">
        <v>0</v>
      </c>
      <c r="KO90">
        <v>0</v>
      </c>
      <c r="KR90">
        <v>25</v>
      </c>
      <c r="KS90">
        <v>60</v>
      </c>
      <c r="KT90">
        <v>0</v>
      </c>
      <c r="LK90">
        <v>480</v>
      </c>
      <c r="LX90">
        <v>385</v>
      </c>
      <c r="LY90">
        <v>2</v>
      </c>
      <c r="LZ90">
        <v>250</v>
      </c>
      <c r="PG90">
        <v>1</v>
      </c>
      <c r="PI90" t="s">
        <v>1713</v>
      </c>
      <c r="PJ90" t="s">
        <v>1714</v>
      </c>
      <c r="PL90" t="s">
        <v>764</v>
      </c>
      <c r="PP90" t="s">
        <v>1715</v>
      </c>
      <c r="PS90" t="s">
        <v>693</v>
      </c>
      <c r="PX90">
        <v>56</v>
      </c>
      <c r="PY90">
        <v>56</v>
      </c>
      <c r="PZ90" t="s">
        <v>1713</v>
      </c>
      <c r="QA90">
        <v>1</v>
      </c>
      <c r="QB90">
        <v>1457</v>
      </c>
      <c r="QC90">
        <v>69</v>
      </c>
      <c r="QD90">
        <v>69</v>
      </c>
      <c r="QE90" t="s">
        <v>764</v>
      </c>
      <c r="QF90">
        <v>1</v>
      </c>
      <c r="QG90">
        <v>1475</v>
      </c>
      <c r="QH90">
        <v>66</v>
      </c>
      <c r="QI90">
        <v>66</v>
      </c>
      <c r="QJ90" t="s">
        <v>693</v>
      </c>
      <c r="QK90">
        <v>1</v>
      </c>
      <c r="QL90">
        <v>1475</v>
      </c>
      <c r="QM90">
        <v>62</v>
      </c>
      <c r="QN90">
        <v>62</v>
      </c>
      <c r="QO90" t="s">
        <v>1714</v>
      </c>
      <c r="QP90">
        <v>1</v>
      </c>
      <c r="QQ90">
        <v>1468</v>
      </c>
      <c r="QW90">
        <v>82</v>
      </c>
      <c r="QX90">
        <v>89</v>
      </c>
      <c r="QY90" t="s">
        <v>1715</v>
      </c>
      <c r="QZ90">
        <v>1</v>
      </c>
      <c r="RA90">
        <v>66</v>
      </c>
      <c r="RB90">
        <v>66</v>
      </c>
      <c r="RE90">
        <v>0</v>
      </c>
      <c r="RF90">
        <v>1</v>
      </c>
      <c r="RJ90">
        <v>1</v>
      </c>
      <c r="RK90">
        <v>2</v>
      </c>
      <c r="RL90">
        <v>1</v>
      </c>
      <c r="RO90">
        <v>538</v>
      </c>
      <c r="RP90">
        <v>105</v>
      </c>
      <c r="RQ90">
        <v>1059</v>
      </c>
      <c r="RT90">
        <v>363</v>
      </c>
      <c r="RU90">
        <v>221</v>
      </c>
      <c r="RV90" t="s">
        <v>1666</v>
      </c>
      <c r="RW90" t="s">
        <v>707</v>
      </c>
      <c r="RX90">
        <v>15</v>
      </c>
      <c r="RY90">
        <v>4</v>
      </c>
      <c r="RZ90" t="s">
        <v>707</v>
      </c>
      <c r="SA90">
        <v>15</v>
      </c>
      <c r="SC90" t="s">
        <v>1714</v>
      </c>
      <c r="SD90">
        <v>1</v>
      </c>
      <c r="SH90">
        <v>0.995</v>
      </c>
      <c r="SI90">
        <v>0.995</v>
      </c>
      <c r="SJ90">
        <v>0.995</v>
      </c>
      <c r="SK90">
        <v>15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1</v>
      </c>
      <c r="TB90">
        <v>1</v>
      </c>
      <c r="TC90">
        <v>0</v>
      </c>
      <c r="TD90">
        <v>7.5</v>
      </c>
      <c r="TE90" t="s">
        <v>553</v>
      </c>
      <c r="TF90" t="s">
        <v>681</v>
      </c>
      <c r="TG90" t="s">
        <v>555</v>
      </c>
      <c r="TI90" t="s">
        <v>546</v>
      </c>
      <c r="TJ90" t="s">
        <v>547</v>
      </c>
      <c r="TL90" t="s">
        <v>1477</v>
      </c>
      <c r="TM90" t="s">
        <v>513</v>
      </c>
      <c r="TN90">
        <v>0</v>
      </c>
      <c r="TO90" t="s">
        <v>557</v>
      </c>
    </row>
    <row r="91" spans="1:535">
      <c r="A91" t="s">
        <v>1716</v>
      </c>
      <c r="B91" t="s">
        <v>559</v>
      </c>
      <c r="C91" t="s">
        <v>509</v>
      </c>
      <c r="D91" t="s">
        <v>803</v>
      </c>
      <c r="G91" t="s">
        <v>604</v>
      </c>
      <c r="H91" t="s">
        <v>605</v>
      </c>
      <c r="I91" t="s">
        <v>628</v>
      </c>
      <c r="J91" t="s">
        <v>606</v>
      </c>
      <c r="L91" t="s">
        <v>512</v>
      </c>
      <c r="M91" t="s">
        <v>564</v>
      </c>
      <c r="N91" t="s">
        <v>513</v>
      </c>
      <c r="O91" t="s">
        <v>607</v>
      </c>
      <c r="Q91" t="s">
        <v>1717</v>
      </c>
      <c r="R91" t="s">
        <v>567</v>
      </c>
      <c r="S91" t="s">
        <v>1718</v>
      </c>
      <c r="T91" t="s">
        <v>610</v>
      </c>
      <c r="U91" t="s">
        <v>1482</v>
      </c>
      <c r="V91" t="s">
        <v>1483</v>
      </c>
      <c r="W91" t="s">
        <v>1719</v>
      </c>
      <c r="X91" t="s">
        <v>1460</v>
      </c>
      <c r="Y91" t="s">
        <v>524</v>
      </c>
      <c r="Z91" t="s">
        <v>1720</v>
      </c>
      <c r="AA91" t="s">
        <v>1721</v>
      </c>
      <c r="AB91" t="s">
        <v>1722</v>
      </c>
      <c r="AC91">
        <v>2</v>
      </c>
      <c r="AD91">
        <v>56</v>
      </c>
      <c r="AE91">
        <v>183</v>
      </c>
      <c r="AF91">
        <v>1.5</v>
      </c>
      <c r="AH91">
        <v>0</v>
      </c>
      <c r="AI91" t="s">
        <v>1723</v>
      </c>
      <c r="AJ91">
        <v>195</v>
      </c>
      <c r="AK91">
        <v>1</v>
      </c>
      <c r="AL91">
        <v>1.5</v>
      </c>
      <c r="AM91" t="s">
        <v>529</v>
      </c>
      <c r="AO91">
        <v>0</v>
      </c>
      <c r="AR91">
        <v>0</v>
      </c>
      <c r="AS91">
        <v>1.5</v>
      </c>
      <c r="AU91" t="s">
        <v>1724</v>
      </c>
      <c r="AW91" t="s">
        <v>1724</v>
      </c>
      <c r="AX91">
        <v>1</v>
      </c>
      <c r="AY91">
        <v>362.5</v>
      </c>
      <c r="AZ91">
        <v>1.5</v>
      </c>
      <c r="BA91" t="s">
        <v>529</v>
      </c>
      <c r="BG91">
        <v>1.5</v>
      </c>
      <c r="BJ91">
        <v>0</v>
      </c>
      <c r="BN91">
        <v>1.5</v>
      </c>
      <c r="BP91" t="s">
        <v>1561</v>
      </c>
      <c r="BQ91">
        <v>88</v>
      </c>
      <c r="BR91">
        <v>2</v>
      </c>
      <c r="BS91" t="s">
        <v>1562</v>
      </c>
      <c r="BT91">
        <v>207</v>
      </c>
      <c r="BU91">
        <v>0.5</v>
      </c>
      <c r="BV91" t="s">
        <v>1562</v>
      </c>
      <c r="BW91">
        <v>414</v>
      </c>
      <c r="BX91">
        <v>1</v>
      </c>
      <c r="BY91" t="s">
        <v>1491</v>
      </c>
      <c r="BZ91">
        <v>300</v>
      </c>
      <c r="CA91">
        <v>480</v>
      </c>
      <c r="CB91" t="s">
        <v>1492</v>
      </c>
      <c r="CC91" t="s">
        <v>1492</v>
      </c>
      <c r="CD91">
        <v>400</v>
      </c>
      <c r="CE91" t="s">
        <v>1493</v>
      </c>
      <c r="CF91">
        <v>15</v>
      </c>
      <c r="CG91" t="s">
        <v>1725</v>
      </c>
      <c r="CH91" t="s">
        <v>1725</v>
      </c>
      <c r="CI91">
        <v>90</v>
      </c>
      <c r="CJ91">
        <v>1122</v>
      </c>
      <c r="CK91">
        <v>2</v>
      </c>
      <c r="CL91">
        <v>1222</v>
      </c>
      <c r="CM91">
        <v>2</v>
      </c>
      <c r="CN91" t="s">
        <v>1495</v>
      </c>
      <c r="CO91" t="s">
        <v>1473</v>
      </c>
      <c r="CP91" t="s">
        <v>1474</v>
      </c>
      <c r="CQ91" t="s">
        <v>1496</v>
      </c>
      <c r="CR91" t="s">
        <v>541</v>
      </c>
      <c r="CS91" t="s">
        <v>542</v>
      </c>
      <c r="CT91">
        <v>390</v>
      </c>
      <c r="CU91">
        <v>5</v>
      </c>
      <c r="CV91">
        <v>1.2</v>
      </c>
      <c r="CW91">
        <v>1136</v>
      </c>
      <c r="CX91">
        <v>627</v>
      </c>
      <c r="DD91">
        <v>0</v>
      </c>
      <c r="DE91" t="s">
        <v>543</v>
      </c>
      <c r="DF91">
        <v>725</v>
      </c>
      <c r="DG91">
        <v>3</v>
      </c>
      <c r="DH91">
        <v>1.18</v>
      </c>
      <c r="DI91">
        <v>1134</v>
      </c>
      <c r="DJ91">
        <v>1254</v>
      </c>
      <c r="DW91" t="s">
        <v>544</v>
      </c>
      <c r="DX91">
        <v>7.5</v>
      </c>
      <c r="EA91">
        <v>1204.3</v>
      </c>
      <c r="EB91">
        <v>157</v>
      </c>
      <c r="EC91" t="s">
        <v>545</v>
      </c>
      <c r="ED91">
        <v>35</v>
      </c>
      <c r="EE91">
        <v>3</v>
      </c>
      <c r="EG91">
        <v>1235</v>
      </c>
      <c r="EH91">
        <v>172</v>
      </c>
      <c r="EJ91">
        <v>0</v>
      </c>
      <c r="EK91">
        <v>1</v>
      </c>
      <c r="EN91">
        <v>0</v>
      </c>
      <c r="EP91" t="s">
        <v>546</v>
      </c>
      <c r="EQ91">
        <v>120</v>
      </c>
      <c r="ER91">
        <v>3</v>
      </c>
      <c r="ES91">
        <v>5.5</v>
      </c>
      <c r="ET91">
        <v>1120</v>
      </c>
      <c r="EU91">
        <v>512.8</v>
      </c>
      <c r="EV91">
        <v>574</v>
      </c>
      <c r="EW91" t="s">
        <v>547</v>
      </c>
      <c r="EX91">
        <v>70</v>
      </c>
      <c r="EY91">
        <v>2</v>
      </c>
      <c r="EZ91">
        <v>4.3</v>
      </c>
      <c r="FA91">
        <v>1120</v>
      </c>
      <c r="FB91">
        <v>208.3</v>
      </c>
      <c r="FC91">
        <v>233</v>
      </c>
      <c r="FE91">
        <v>0</v>
      </c>
      <c r="FF91">
        <v>2</v>
      </c>
      <c r="FI91">
        <v>0</v>
      </c>
      <c r="FK91" t="s">
        <v>548</v>
      </c>
      <c r="FL91">
        <v>0.4</v>
      </c>
      <c r="FM91">
        <v>95</v>
      </c>
      <c r="FN91">
        <v>100</v>
      </c>
      <c r="FR91" t="s">
        <v>548</v>
      </c>
      <c r="FS91">
        <v>0.6</v>
      </c>
      <c r="FT91">
        <v>30</v>
      </c>
      <c r="FU91">
        <v>370</v>
      </c>
      <c r="HC91">
        <v>0.1</v>
      </c>
      <c r="HD91">
        <v>3</v>
      </c>
      <c r="HE91">
        <v>3</v>
      </c>
      <c r="HF91">
        <v>3</v>
      </c>
      <c r="HG91">
        <v>3</v>
      </c>
      <c r="HH91">
        <v>3</v>
      </c>
      <c r="HI91">
        <v>175</v>
      </c>
      <c r="HJ91">
        <v>3</v>
      </c>
      <c r="HK91">
        <v>55</v>
      </c>
      <c r="HL91">
        <v>2</v>
      </c>
      <c r="HM91">
        <v>0</v>
      </c>
      <c r="HN91">
        <v>2</v>
      </c>
      <c r="HO91">
        <v>105</v>
      </c>
      <c r="HP91">
        <v>3</v>
      </c>
      <c r="HQ91">
        <v>0</v>
      </c>
      <c r="HR91">
        <v>2</v>
      </c>
      <c r="HS91">
        <v>4153</v>
      </c>
      <c r="HT91">
        <v>120</v>
      </c>
      <c r="HU91">
        <v>180</v>
      </c>
      <c r="HW91">
        <v>20</v>
      </c>
      <c r="HX91">
        <v>476</v>
      </c>
      <c r="HY91">
        <v>0.18</v>
      </c>
      <c r="IA91">
        <v>0.15</v>
      </c>
      <c r="IB91">
        <v>0</v>
      </c>
      <c r="IC91">
        <v>180</v>
      </c>
      <c r="ID91">
        <v>110</v>
      </c>
      <c r="IE91">
        <v>0</v>
      </c>
      <c r="IF91">
        <v>0</v>
      </c>
      <c r="IH91" t="s">
        <v>549</v>
      </c>
      <c r="IO91">
        <v>1</v>
      </c>
      <c r="IP91">
        <v>15</v>
      </c>
      <c r="IQ91">
        <v>0</v>
      </c>
      <c r="IR91">
        <v>1</v>
      </c>
      <c r="IV91">
        <v>1122</v>
      </c>
      <c r="IW91">
        <v>414</v>
      </c>
      <c r="JA91">
        <v>1</v>
      </c>
      <c r="JB91">
        <v>0</v>
      </c>
      <c r="JC91">
        <v>2</v>
      </c>
      <c r="JD91">
        <v>1136</v>
      </c>
      <c r="JE91">
        <v>1134</v>
      </c>
      <c r="JF91">
        <v>0</v>
      </c>
      <c r="JG91">
        <v>1120</v>
      </c>
      <c r="JH91">
        <v>0</v>
      </c>
      <c r="JJ91">
        <v>180</v>
      </c>
      <c r="JK91">
        <v>476</v>
      </c>
      <c r="JN91">
        <v>390</v>
      </c>
      <c r="JO91">
        <v>725</v>
      </c>
      <c r="JP91">
        <v>0</v>
      </c>
      <c r="JQ91">
        <v>0</v>
      </c>
      <c r="JR91">
        <v>366</v>
      </c>
      <c r="JS91">
        <v>175</v>
      </c>
      <c r="JV91">
        <v>8</v>
      </c>
      <c r="JW91" t="s">
        <v>550</v>
      </c>
      <c r="JX91">
        <v>0</v>
      </c>
      <c r="KA91">
        <v>0</v>
      </c>
      <c r="KB91">
        <v>110</v>
      </c>
      <c r="KC91">
        <v>0</v>
      </c>
      <c r="KD91">
        <v>80</v>
      </c>
      <c r="KF91">
        <v>2</v>
      </c>
      <c r="KG91">
        <v>4</v>
      </c>
      <c r="KH91">
        <v>2</v>
      </c>
      <c r="KI91">
        <v>2</v>
      </c>
      <c r="KJ91">
        <v>0</v>
      </c>
      <c r="KK91">
        <v>1.5</v>
      </c>
      <c r="KL91">
        <v>1.5</v>
      </c>
      <c r="KM91">
        <v>0</v>
      </c>
      <c r="KN91">
        <v>0</v>
      </c>
      <c r="KO91">
        <v>0</v>
      </c>
      <c r="KR91">
        <v>30</v>
      </c>
      <c r="KS91">
        <v>60</v>
      </c>
      <c r="KT91">
        <v>0</v>
      </c>
      <c r="LK91">
        <v>480</v>
      </c>
      <c r="PG91">
        <v>1</v>
      </c>
      <c r="PI91" t="s">
        <v>1722</v>
      </c>
      <c r="PJ91" t="s">
        <v>1724</v>
      </c>
      <c r="PL91" t="s">
        <v>1723</v>
      </c>
      <c r="PP91" t="s">
        <v>1561</v>
      </c>
      <c r="PX91">
        <v>56</v>
      </c>
      <c r="PY91">
        <v>56</v>
      </c>
      <c r="PZ91" t="s">
        <v>1722</v>
      </c>
      <c r="QA91">
        <v>3</v>
      </c>
      <c r="QB91">
        <v>1120</v>
      </c>
      <c r="QC91">
        <v>69</v>
      </c>
      <c r="QD91">
        <v>69</v>
      </c>
      <c r="QE91" t="s">
        <v>1723</v>
      </c>
      <c r="QF91">
        <v>1</v>
      </c>
      <c r="QG91">
        <v>1136</v>
      </c>
      <c r="QH91">
        <v>66</v>
      </c>
      <c r="QI91">
        <v>66</v>
      </c>
      <c r="QL91">
        <v>0</v>
      </c>
      <c r="QM91">
        <v>62</v>
      </c>
      <c r="QN91">
        <v>62</v>
      </c>
      <c r="QO91" t="s">
        <v>1724</v>
      </c>
      <c r="QP91">
        <v>1</v>
      </c>
      <c r="QQ91">
        <v>1134</v>
      </c>
      <c r="QW91">
        <v>82</v>
      </c>
      <c r="QX91">
        <v>88</v>
      </c>
      <c r="QY91" t="s">
        <v>1561</v>
      </c>
      <c r="QZ91">
        <v>1</v>
      </c>
      <c r="RA91">
        <v>66</v>
      </c>
      <c r="RB91">
        <v>66</v>
      </c>
      <c r="RE91">
        <v>0</v>
      </c>
      <c r="RF91">
        <v>1</v>
      </c>
      <c r="RJ91">
        <v>2</v>
      </c>
      <c r="RL91">
        <v>2</v>
      </c>
      <c r="RO91">
        <v>552</v>
      </c>
      <c r="RQ91">
        <v>1106</v>
      </c>
      <c r="RT91">
        <v>157</v>
      </c>
      <c r="RU91">
        <v>172</v>
      </c>
      <c r="RV91" t="s">
        <v>1564</v>
      </c>
      <c r="RW91" t="s">
        <v>1498</v>
      </c>
      <c r="RX91">
        <v>15</v>
      </c>
      <c r="RY91">
        <v>4</v>
      </c>
      <c r="RZ91" t="s">
        <v>1498</v>
      </c>
      <c r="SA91">
        <v>15</v>
      </c>
      <c r="SC91" t="s">
        <v>1724</v>
      </c>
      <c r="SD91">
        <v>1</v>
      </c>
      <c r="SH91">
        <v>0.995</v>
      </c>
      <c r="SI91">
        <v>0.995</v>
      </c>
      <c r="SJ91">
        <v>0.995</v>
      </c>
      <c r="SK91">
        <v>15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TB91">
        <v>0</v>
      </c>
      <c r="TC91">
        <v>0</v>
      </c>
      <c r="TD91">
        <v>7.5</v>
      </c>
      <c r="TE91" t="s">
        <v>553</v>
      </c>
      <c r="TF91" t="s">
        <v>754</v>
      </c>
      <c r="TG91" t="s">
        <v>555</v>
      </c>
      <c r="TI91" t="s">
        <v>546</v>
      </c>
      <c r="TJ91" t="s">
        <v>547</v>
      </c>
      <c r="TL91" t="s">
        <v>1477</v>
      </c>
      <c r="TM91" t="s">
        <v>513</v>
      </c>
      <c r="TN91">
        <v>0</v>
      </c>
      <c r="TO91" t="s">
        <v>557</v>
      </c>
    </row>
    <row r="92" spans="1:535">
      <c r="A92" t="s">
        <v>1726</v>
      </c>
      <c r="B92" t="s">
        <v>564</v>
      </c>
      <c r="C92" t="s">
        <v>509</v>
      </c>
      <c r="D92" t="s">
        <v>1087</v>
      </c>
      <c r="G92" t="s">
        <v>627</v>
      </c>
      <c r="H92" t="s">
        <v>604</v>
      </c>
      <c r="I92" t="s">
        <v>628</v>
      </c>
      <c r="J92" t="s">
        <v>606</v>
      </c>
      <c r="L92" t="s">
        <v>512</v>
      </c>
      <c r="M92" t="s">
        <v>629</v>
      </c>
      <c r="N92" t="s">
        <v>513</v>
      </c>
      <c r="O92" t="s">
        <v>607</v>
      </c>
      <c r="Q92" t="s">
        <v>1727</v>
      </c>
      <c r="R92" t="s">
        <v>567</v>
      </c>
      <c r="S92" t="s">
        <v>1728</v>
      </c>
      <c r="T92" t="s">
        <v>759</v>
      </c>
      <c r="U92" t="s">
        <v>520</v>
      </c>
      <c r="V92" t="s">
        <v>521</v>
      </c>
      <c r="W92" t="s">
        <v>1729</v>
      </c>
      <c r="X92" t="s">
        <v>1460</v>
      </c>
      <c r="Y92" t="s">
        <v>524</v>
      </c>
      <c r="Z92" t="s">
        <v>1730</v>
      </c>
      <c r="AA92" t="s">
        <v>1731</v>
      </c>
      <c r="AB92" t="s">
        <v>1732</v>
      </c>
      <c r="AC92">
        <v>2</v>
      </c>
      <c r="AD92">
        <v>56</v>
      </c>
      <c r="AE92">
        <v>180</v>
      </c>
      <c r="AF92">
        <v>1.5</v>
      </c>
      <c r="AH92">
        <v>0</v>
      </c>
      <c r="AI92" t="s">
        <v>969</v>
      </c>
      <c r="AJ92">
        <v>192.5</v>
      </c>
      <c r="AK92">
        <v>1</v>
      </c>
      <c r="AL92">
        <v>1.5</v>
      </c>
      <c r="AM92" t="s">
        <v>529</v>
      </c>
      <c r="AO92">
        <v>0</v>
      </c>
      <c r="AR92">
        <v>0</v>
      </c>
      <c r="AS92">
        <v>1.5</v>
      </c>
      <c r="AU92" t="s">
        <v>1733</v>
      </c>
      <c r="AW92" t="s">
        <v>1733</v>
      </c>
      <c r="AX92">
        <v>1</v>
      </c>
      <c r="AY92">
        <v>337.5</v>
      </c>
      <c r="AZ92">
        <v>1.5</v>
      </c>
      <c r="BA92" t="s">
        <v>529</v>
      </c>
      <c r="BG92">
        <v>1.5</v>
      </c>
      <c r="BJ92">
        <v>0</v>
      </c>
      <c r="BN92">
        <v>1.5</v>
      </c>
      <c r="BP92" t="s">
        <v>1734</v>
      </c>
      <c r="BQ92">
        <v>88</v>
      </c>
      <c r="BR92">
        <v>2</v>
      </c>
      <c r="BS92" t="s">
        <v>1735</v>
      </c>
      <c r="BT92">
        <v>203</v>
      </c>
      <c r="BU92">
        <v>0.5</v>
      </c>
      <c r="BV92" t="s">
        <v>1735</v>
      </c>
      <c r="BW92">
        <v>406</v>
      </c>
      <c r="BX92">
        <v>1</v>
      </c>
      <c r="BY92" t="s">
        <v>533</v>
      </c>
      <c r="BZ92">
        <v>300</v>
      </c>
      <c r="CA92">
        <v>480</v>
      </c>
      <c r="CB92" t="s">
        <v>534</v>
      </c>
      <c r="CC92" t="s">
        <v>534</v>
      </c>
      <c r="CD92">
        <v>422</v>
      </c>
      <c r="CE92" t="s">
        <v>535</v>
      </c>
      <c r="CF92">
        <v>15</v>
      </c>
      <c r="CG92" t="s">
        <v>620</v>
      </c>
      <c r="CH92" t="s">
        <v>620</v>
      </c>
      <c r="CI92">
        <v>90</v>
      </c>
      <c r="CJ92">
        <v>1200</v>
      </c>
      <c r="CK92">
        <v>2</v>
      </c>
      <c r="CL92">
        <v>1301</v>
      </c>
      <c r="CM92">
        <v>2</v>
      </c>
      <c r="CN92" t="s">
        <v>537</v>
      </c>
      <c r="CO92" t="s">
        <v>538</v>
      </c>
      <c r="CP92" t="s">
        <v>539</v>
      </c>
      <c r="CQ92" t="s">
        <v>1496</v>
      </c>
      <c r="CR92" t="s">
        <v>541</v>
      </c>
      <c r="CS92" t="s">
        <v>542</v>
      </c>
      <c r="CT92">
        <v>385</v>
      </c>
      <c r="CU92">
        <v>5</v>
      </c>
      <c r="CV92">
        <v>1.2</v>
      </c>
      <c r="CW92">
        <v>1213</v>
      </c>
      <c r="CX92">
        <v>661</v>
      </c>
      <c r="DD92">
        <v>0</v>
      </c>
      <c r="DE92" t="s">
        <v>543</v>
      </c>
      <c r="DF92">
        <v>675</v>
      </c>
      <c r="DG92">
        <v>3</v>
      </c>
      <c r="DH92">
        <v>1.18</v>
      </c>
      <c r="DI92">
        <v>1211</v>
      </c>
      <c r="DJ92">
        <v>1247</v>
      </c>
      <c r="DW92" t="s">
        <v>544</v>
      </c>
      <c r="DX92">
        <v>7.5</v>
      </c>
      <c r="EA92">
        <v>1284.1</v>
      </c>
      <c r="EB92">
        <v>243</v>
      </c>
      <c r="EC92" t="s">
        <v>545</v>
      </c>
      <c r="ED92">
        <v>40</v>
      </c>
      <c r="EE92">
        <v>3</v>
      </c>
      <c r="EG92">
        <v>1325</v>
      </c>
      <c r="EH92">
        <v>211</v>
      </c>
      <c r="EJ92">
        <v>0</v>
      </c>
      <c r="EK92">
        <v>1</v>
      </c>
      <c r="EN92">
        <v>0</v>
      </c>
      <c r="EP92" t="s">
        <v>546</v>
      </c>
      <c r="EQ92">
        <v>100</v>
      </c>
      <c r="ER92">
        <v>3</v>
      </c>
      <c r="ES92">
        <v>5.5</v>
      </c>
      <c r="ET92">
        <v>1198</v>
      </c>
      <c r="EU92">
        <v>428.2</v>
      </c>
      <c r="EV92">
        <v>513</v>
      </c>
      <c r="EW92" t="s">
        <v>547</v>
      </c>
      <c r="EX92">
        <v>70</v>
      </c>
      <c r="EY92">
        <v>2</v>
      </c>
      <c r="EZ92">
        <v>4.5</v>
      </c>
      <c r="FA92">
        <v>1198</v>
      </c>
      <c r="FB92">
        <v>219.6</v>
      </c>
      <c r="FC92">
        <v>263</v>
      </c>
      <c r="FE92">
        <v>0</v>
      </c>
      <c r="FF92">
        <v>2</v>
      </c>
      <c r="FI92">
        <v>0</v>
      </c>
      <c r="FK92" t="s">
        <v>548</v>
      </c>
      <c r="FL92">
        <v>0.4</v>
      </c>
      <c r="FM92">
        <v>100</v>
      </c>
      <c r="FN92">
        <v>120</v>
      </c>
      <c r="FR92" t="s">
        <v>548</v>
      </c>
      <c r="FS92">
        <v>0.4</v>
      </c>
      <c r="FT92">
        <v>30</v>
      </c>
      <c r="FU92">
        <v>370</v>
      </c>
      <c r="HC92">
        <v>0.1</v>
      </c>
      <c r="HD92">
        <v>3</v>
      </c>
      <c r="HE92">
        <v>3</v>
      </c>
      <c r="HF92">
        <v>3</v>
      </c>
      <c r="HG92">
        <v>3</v>
      </c>
      <c r="HH92">
        <v>3</v>
      </c>
      <c r="HI92">
        <v>155</v>
      </c>
      <c r="HJ92">
        <v>3</v>
      </c>
      <c r="HK92">
        <v>55</v>
      </c>
      <c r="HL92">
        <v>2</v>
      </c>
      <c r="HM92">
        <v>0</v>
      </c>
      <c r="HN92">
        <v>2</v>
      </c>
      <c r="HO92">
        <v>85</v>
      </c>
      <c r="HP92">
        <v>3</v>
      </c>
      <c r="HQ92">
        <v>0</v>
      </c>
      <c r="HR92">
        <v>2</v>
      </c>
      <c r="HS92">
        <v>4368</v>
      </c>
      <c r="HT92">
        <v>130</v>
      </c>
      <c r="HU92">
        <v>180</v>
      </c>
      <c r="HW92">
        <v>20</v>
      </c>
      <c r="HX92">
        <v>505</v>
      </c>
      <c r="HY92">
        <v>0.18</v>
      </c>
      <c r="IA92">
        <v>0.15</v>
      </c>
      <c r="IB92">
        <v>0</v>
      </c>
      <c r="IC92">
        <v>180</v>
      </c>
      <c r="ID92">
        <v>110</v>
      </c>
      <c r="IE92">
        <v>0</v>
      </c>
      <c r="IF92">
        <v>0</v>
      </c>
      <c r="IH92" t="s">
        <v>549</v>
      </c>
      <c r="IO92">
        <v>1</v>
      </c>
      <c r="IP92">
        <v>16</v>
      </c>
      <c r="IQ92">
        <v>0</v>
      </c>
      <c r="IR92">
        <v>1</v>
      </c>
      <c r="IV92">
        <v>1200</v>
      </c>
      <c r="IW92">
        <v>406</v>
      </c>
      <c r="JA92">
        <v>1</v>
      </c>
      <c r="JB92">
        <v>0</v>
      </c>
      <c r="JC92">
        <v>2</v>
      </c>
      <c r="JD92">
        <v>1213</v>
      </c>
      <c r="JE92">
        <v>1211</v>
      </c>
      <c r="JF92">
        <v>0</v>
      </c>
      <c r="JG92">
        <v>1198</v>
      </c>
      <c r="JH92">
        <v>0</v>
      </c>
      <c r="JJ92">
        <v>180</v>
      </c>
      <c r="JK92">
        <v>505</v>
      </c>
      <c r="JN92">
        <v>385</v>
      </c>
      <c r="JO92">
        <v>675</v>
      </c>
      <c r="JP92">
        <v>0</v>
      </c>
      <c r="JQ92">
        <v>0</v>
      </c>
      <c r="JR92">
        <v>360</v>
      </c>
      <c r="JS92">
        <v>155</v>
      </c>
      <c r="JV92">
        <v>8</v>
      </c>
      <c r="JW92" t="s">
        <v>550</v>
      </c>
      <c r="JX92">
        <v>0</v>
      </c>
      <c r="KA92">
        <v>0</v>
      </c>
      <c r="KB92">
        <v>110</v>
      </c>
      <c r="KC92">
        <v>0</v>
      </c>
      <c r="KD92">
        <v>80</v>
      </c>
      <c r="KF92">
        <v>4</v>
      </c>
      <c r="KG92">
        <v>2</v>
      </c>
      <c r="KH92">
        <v>2</v>
      </c>
      <c r="KI92">
        <v>2</v>
      </c>
      <c r="KJ92">
        <v>0</v>
      </c>
      <c r="KK92">
        <v>1.5</v>
      </c>
      <c r="KL92">
        <v>1.5</v>
      </c>
      <c r="KM92">
        <v>0</v>
      </c>
      <c r="KN92">
        <v>0</v>
      </c>
      <c r="KO92">
        <v>0</v>
      </c>
      <c r="KR92">
        <v>30</v>
      </c>
      <c r="KS92">
        <v>60</v>
      </c>
      <c r="KT92">
        <v>0</v>
      </c>
      <c r="LK92">
        <v>480</v>
      </c>
      <c r="PG92">
        <v>1</v>
      </c>
      <c r="PI92" t="s">
        <v>1732</v>
      </c>
      <c r="PJ92" t="s">
        <v>1733</v>
      </c>
      <c r="PL92" t="s">
        <v>969</v>
      </c>
      <c r="PP92" t="s">
        <v>1734</v>
      </c>
      <c r="PX92">
        <v>56</v>
      </c>
      <c r="PY92">
        <v>56</v>
      </c>
      <c r="PZ92" t="s">
        <v>1732</v>
      </c>
      <c r="QA92">
        <v>2</v>
      </c>
      <c r="QB92">
        <v>1198</v>
      </c>
      <c r="QC92">
        <v>69</v>
      </c>
      <c r="QD92">
        <v>69</v>
      </c>
      <c r="QE92" t="s">
        <v>969</v>
      </c>
      <c r="QF92">
        <v>1</v>
      </c>
      <c r="QG92">
        <v>1213</v>
      </c>
      <c r="QH92">
        <v>66</v>
      </c>
      <c r="QI92">
        <v>66</v>
      </c>
      <c r="QL92">
        <v>0</v>
      </c>
      <c r="QM92">
        <v>62</v>
      </c>
      <c r="QN92">
        <v>62</v>
      </c>
      <c r="QO92" t="s">
        <v>1733</v>
      </c>
      <c r="QP92">
        <v>1</v>
      </c>
      <c r="QQ92">
        <v>1211</v>
      </c>
      <c r="QW92">
        <v>82</v>
      </c>
      <c r="QX92">
        <v>88</v>
      </c>
      <c r="QY92" t="s">
        <v>1734</v>
      </c>
      <c r="QZ92">
        <v>1</v>
      </c>
      <c r="RA92">
        <v>66</v>
      </c>
      <c r="RB92">
        <v>66</v>
      </c>
      <c r="RE92">
        <v>0</v>
      </c>
      <c r="RF92">
        <v>1</v>
      </c>
      <c r="RJ92">
        <v>1</v>
      </c>
      <c r="RL92">
        <v>1</v>
      </c>
      <c r="RO92">
        <v>545</v>
      </c>
      <c r="RQ92">
        <v>1030</v>
      </c>
      <c r="RT92">
        <v>243</v>
      </c>
      <c r="RU92">
        <v>211</v>
      </c>
      <c r="RV92" t="s">
        <v>1736</v>
      </c>
      <c r="RW92" t="s">
        <v>552</v>
      </c>
      <c r="RX92">
        <v>15</v>
      </c>
      <c r="RY92">
        <v>4</v>
      </c>
      <c r="RZ92" t="s">
        <v>552</v>
      </c>
      <c r="SA92">
        <v>15</v>
      </c>
      <c r="SC92" t="s">
        <v>1733</v>
      </c>
      <c r="SD92">
        <v>1</v>
      </c>
      <c r="SH92">
        <v>0.995</v>
      </c>
      <c r="SI92">
        <v>0.995</v>
      </c>
      <c r="SJ92">
        <v>0.995</v>
      </c>
      <c r="SK92">
        <v>15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TB92">
        <v>0</v>
      </c>
      <c r="TC92">
        <v>0</v>
      </c>
      <c r="TD92">
        <v>7.5</v>
      </c>
      <c r="TE92" t="s">
        <v>553</v>
      </c>
      <c r="TF92" t="s">
        <v>655</v>
      </c>
      <c r="TG92" t="s">
        <v>555</v>
      </c>
      <c r="TI92" t="s">
        <v>546</v>
      </c>
      <c r="TJ92" t="s">
        <v>547</v>
      </c>
      <c r="TL92" t="s">
        <v>1477</v>
      </c>
      <c r="TM92" t="s">
        <v>513</v>
      </c>
      <c r="TN92">
        <v>0</v>
      </c>
      <c r="TO92" t="s">
        <v>557</v>
      </c>
    </row>
    <row r="93" spans="1:535">
      <c r="A93" t="s">
        <v>1737</v>
      </c>
      <c r="B93" t="s">
        <v>897</v>
      </c>
      <c r="C93" t="s">
        <v>509</v>
      </c>
      <c r="D93" t="s">
        <v>1738</v>
      </c>
      <c r="G93" t="s">
        <v>604</v>
      </c>
      <c r="H93" t="s">
        <v>605</v>
      </c>
      <c r="I93" t="s">
        <v>628</v>
      </c>
      <c r="J93" t="s">
        <v>606</v>
      </c>
      <c r="L93" t="s">
        <v>512</v>
      </c>
      <c r="M93" t="s">
        <v>657</v>
      </c>
      <c r="N93" t="s">
        <v>513</v>
      </c>
      <c r="O93" t="s">
        <v>607</v>
      </c>
      <c r="Q93" t="s">
        <v>1739</v>
      </c>
      <c r="R93" t="s">
        <v>567</v>
      </c>
      <c r="S93" t="s">
        <v>742</v>
      </c>
      <c r="T93" t="s">
        <v>743</v>
      </c>
      <c r="U93" t="s">
        <v>633</v>
      </c>
      <c r="V93" t="s">
        <v>634</v>
      </c>
      <c r="W93" t="s">
        <v>744</v>
      </c>
      <c r="X93" t="s">
        <v>1460</v>
      </c>
      <c r="Y93" t="s">
        <v>524</v>
      </c>
      <c r="Z93" t="s">
        <v>1740</v>
      </c>
      <c r="AA93" t="s">
        <v>1741</v>
      </c>
      <c r="AB93" t="s">
        <v>1742</v>
      </c>
      <c r="AC93">
        <v>2</v>
      </c>
      <c r="AD93">
        <v>56</v>
      </c>
      <c r="AE93">
        <v>164</v>
      </c>
      <c r="AF93">
        <v>1.5</v>
      </c>
      <c r="AH93">
        <v>0</v>
      </c>
      <c r="AI93" t="s">
        <v>748</v>
      </c>
      <c r="AJ93">
        <v>175</v>
      </c>
      <c r="AK93">
        <v>1</v>
      </c>
      <c r="AL93">
        <v>1.5</v>
      </c>
      <c r="AM93" t="s">
        <v>529</v>
      </c>
      <c r="AO93">
        <v>0</v>
      </c>
      <c r="AR93">
        <v>0</v>
      </c>
      <c r="AS93">
        <v>1.5</v>
      </c>
      <c r="AU93" t="s">
        <v>1743</v>
      </c>
      <c r="AW93" t="s">
        <v>1743</v>
      </c>
      <c r="AX93">
        <v>1</v>
      </c>
      <c r="AY93">
        <v>302.5</v>
      </c>
      <c r="AZ93">
        <v>1.5</v>
      </c>
      <c r="BA93" t="s">
        <v>529</v>
      </c>
      <c r="BG93">
        <v>1.5</v>
      </c>
      <c r="BJ93">
        <v>0</v>
      </c>
      <c r="BN93">
        <v>1.5</v>
      </c>
      <c r="BP93" t="s">
        <v>1744</v>
      </c>
      <c r="BQ93">
        <v>88</v>
      </c>
      <c r="BR93">
        <v>2</v>
      </c>
      <c r="BS93" t="s">
        <v>1513</v>
      </c>
      <c r="BT93">
        <v>186</v>
      </c>
      <c r="BU93">
        <v>0.5</v>
      </c>
      <c r="BV93" t="s">
        <v>1513</v>
      </c>
      <c r="BW93">
        <v>372</v>
      </c>
      <c r="BX93">
        <v>1</v>
      </c>
      <c r="BY93" t="s">
        <v>643</v>
      </c>
      <c r="BZ93">
        <v>300</v>
      </c>
      <c r="CA93">
        <v>420</v>
      </c>
      <c r="CB93" t="s">
        <v>644</v>
      </c>
      <c r="CC93" t="s">
        <v>644</v>
      </c>
      <c r="CD93">
        <v>386</v>
      </c>
      <c r="CE93" t="s">
        <v>544</v>
      </c>
      <c r="CF93">
        <v>15</v>
      </c>
      <c r="CG93" t="s">
        <v>891</v>
      </c>
      <c r="CH93" t="s">
        <v>891</v>
      </c>
      <c r="CI93">
        <v>60</v>
      </c>
      <c r="CJ93">
        <v>1301</v>
      </c>
      <c r="CK93">
        <v>2</v>
      </c>
      <c r="CL93">
        <v>1395</v>
      </c>
      <c r="CM93">
        <v>2</v>
      </c>
      <c r="CN93" t="s">
        <v>646</v>
      </c>
      <c r="CO93" t="s">
        <v>647</v>
      </c>
      <c r="CP93" t="s">
        <v>648</v>
      </c>
      <c r="CQ93" t="s">
        <v>1496</v>
      </c>
      <c r="CR93" t="s">
        <v>541</v>
      </c>
      <c r="CS93" t="s">
        <v>542</v>
      </c>
      <c r="CT93">
        <v>350</v>
      </c>
      <c r="CU93">
        <v>5</v>
      </c>
      <c r="CV93">
        <v>1.2</v>
      </c>
      <c r="CW93">
        <v>1314</v>
      </c>
      <c r="CX93">
        <v>650</v>
      </c>
      <c r="DD93">
        <v>0</v>
      </c>
      <c r="DE93" t="s">
        <v>622</v>
      </c>
      <c r="DF93">
        <v>605</v>
      </c>
      <c r="DG93">
        <v>3</v>
      </c>
      <c r="DH93">
        <v>0.88</v>
      </c>
      <c r="DI93">
        <v>1311</v>
      </c>
      <c r="DJ93">
        <v>915</v>
      </c>
      <c r="DW93" t="s">
        <v>544</v>
      </c>
      <c r="DX93">
        <v>7.5</v>
      </c>
      <c r="EA93">
        <v>1379.8</v>
      </c>
      <c r="EB93">
        <v>244</v>
      </c>
      <c r="EC93" t="s">
        <v>545</v>
      </c>
      <c r="ED93">
        <v>30</v>
      </c>
      <c r="EE93">
        <v>3</v>
      </c>
      <c r="EG93">
        <v>1421</v>
      </c>
      <c r="EH93">
        <v>168</v>
      </c>
      <c r="EJ93">
        <v>0</v>
      </c>
      <c r="EK93">
        <v>1</v>
      </c>
      <c r="EN93">
        <v>0</v>
      </c>
      <c r="EP93" t="s">
        <v>546</v>
      </c>
      <c r="EQ93">
        <v>75</v>
      </c>
      <c r="ER93">
        <v>3</v>
      </c>
      <c r="ES93">
        <v>4</v>
      </c>
      <c r="ET93">
        <v>1289</v>
      </c>
      <c r="EU93">
        <v>251.8</v>
      </c>
      <c r="EV93">
        <v>325</v>
      </c>
      <c r="EW93" t="s">
        <v>547</v>
      </c>
      <c r="EX93">
        <v>70</v>
      </c>
      <c r="EY93">
        <v>2</v>
      </c>
      <c r="EZ93">
        <v>3.7</v>
      </c>
      <c r="FA93">
        <v>1289</v>
      </c>
      <c r="FB93">
        <v>200.1</v>
      </c>
      <c r="FC93">
        <v>258</v>
      </c>
      <c r="FE93">
        <v>0</v>
      </c>
      <c r="FF93">
        <v>2</v>
      </c>
      <c r="FI93">
        <v>0</v>
      </c>
      <c r="FK93" t="s">
        <v>548</v>
      </c>
      <c r="FL93">
        <v>0.4</v>
      </c>
      <c r="FM93">
        <v>70</v>
      </c>
      <c r="FN93">
        <v>130</v>
      </c>
      <c r="FR93" t="s">
        <v>548</v>
      </c>
      <c r="FS93">
        <v>0.6</v>
      </c>
      <c r="FT93">
        <v>30</v>
      </c>
      <c r="FU93">
        <v>340</v>
      </c>
      <c r="HC93">
        <v>0.1</v>
      </c>
      <c r="HD93">
        <v>3</v>
      </c>
      <c r="HE93">
        <v>3</v>
      </c>
      <c r="HF93">
        <v>3</v>
      </c>
      <c r="HG93">
        <v>3</v>
      </c>
      <c r="HH93">
        <v>3</v>
      </c>
      <c r="HI93">
        <v>130</v>
      </c>
      <c r="HJ93">
        <v>3</v>
      </c>
      <c r="HK93">
        <v>55</v>
      </c>
      <c r="HL93">
        <v>2</v>
      </c>
      <c r="HM93">
        <v>0</v>
      </c>
      <c r="HN93">
        <v>2</v>
      </c>
      <c r="HO93">
        <v>60</v>
      </c>
      <c r="HP93">
        <v>3</v>
      </c>
      <c r="HQ93">
        <v>0</v>
      </c>
      <c r="HR93">
        <v>2</v>
      </c>
      <c r="HS93">
        <v>3555</v>
      </c>
      <c r="HT93">
        <v>110</v>
      </c>
      <c r="HU93">
        <v>180</v>
      </c>
      <c r="HW93">
        <v>20</v>
      </c>
      <c r="HX93">
        <v>380</v>
      </c>
      <c r="HY93">
        <v>0.18</v>
      </c>
      <c r="IA93">
        <v>0.15</v>
      </c>
      <c r="IB93">
        <v>0</v>
      </c>
      <c r="IC93">
        <v>180</v>
      </c>
      <c r="ID93">
        <v>110</v>
      </c>
      <c r="IE93">
        <v>0</v>
      </c>
      <c r="IF93">
        <v>0</v>
      </c>
      <c r="IH93" t="s">
        <v>549</v>
      </c>
      <c r="IO93">
        <v>1</v>
      </c>
      <c r="IP93">
        <v>17</v>
      </c>
      <c r="IQ93">
        <v>0</v>
      </c>
      <c r="IR93">
        <v>1</v>
      </c>
      <c r="IV93">
        <v>1301</v>
      </c>
      <c r="IW93">
        <v>372</v>
      </c>
      <c r="JA93">
        <v>1</v>
      </c>
      <c r="JB93">
        <v>0</v>
      </c>
      <c r="JC93">
        <v>2</v>
      </c>
      <c r="JD93">
        <v>1314</v>
      </c>
      <c r="JE93">
        <v>1311</v>
      </c>
      <c r="JF93">
        <v>0</v>
      </c>
      <c r="JG93">
        <v>1289</v>
      </c>
      <c r="JH93">
        <v>0</v>
      </c>
      <c r="JJ93">
        <v>180</v>
      </c>
      <c r="JK93">
        <v>380</v>
      </c>
      <c r="JN93">
        <v>350</v>
      </c>
      <c r="JO93">
        <v>605</v>
      </c>
      <c r="JP93">
        <v>0</v>
      </c>
      <c r="JQ93">
        <v>0</v>
      </c>
      <c r="JR93">
        <v>328</v>
      </c>
      <c r="JS93">
        <v>130</v>
      </c>
      <c r="JV93">
        <v>8</v>
      </c>
      <c r="JW93" t="s">
        <v>550</v>
      </c>
      <c r="JX93">
        <v>0</v>
      </c>
      <c r="KA93">
        <v>0</v>
      </c>
      <c r="KB93">
        <v>110</v>
      </c>
      <c r="KC93">
        <v>0</v>
      </c>
      <c r="KD93">
        <v>80</v>
      </c>
      <c r="KF93">
        <v>4</v>
      </c>
      <c r="KG93">
        <v>4</v>
      </c>
      <c r="KH93">
        <v>2</v>
      </c>
      <c r="KI93">
        <v>2</v>
      </c>
      <c r="KJ93">
        <v>0</v>
      </c>
      <c r="KK93">
        <v>1.5</v>
      </c>
      <c r="KL93">
        <v>1.5</v>
      </c>
      <c r="KM93">
        <v>0</v>
      </c>
      <c r="KN93">
        <v>0</v>
      </c>
      <c r="KO93">
        <v>0</v>
      </c>
      <c r="KR93">
        <v>30</v>
      </c>
      <c r="KS93">
        <v>60</v>
      </c>
      <c r="KT93">
        <v>0</v>
      </c>
      <c r="LK93">
        <v>480</v>
      </c>
      <c r="PG93">
        <v>1</v>
      </c>
      <c r="PI93" t="s">
        <v>1742</v>
      </c>
      <c r="PJ93" t="s">
        <v>1743</v>
      </c>
      <c r="PL93" t="s">
        <v>748</v>
      </c>
      <c r="PP93" t="s">
        <v>1744</v>
      </c>
      <c r="PX93">
        <v>56</v>
      </c>
      <c r="PY93">
        <v>56</v>
      </c>
      <c r="PZ93" t="s">
        <v>1742</v>
      </c>
      <c r="QA93">
        <v>1</v>
      </c>
      <c r="QB93">
        <v>1289</v>
      </c>
      <c r="QC93">
        <v>69</v>
      </c>
      <c r="QD93">
        <v>69</v>
      </c>
      <c r="QE93" t="s">
        <v>748</v>
      </c>
      <c r="QF93">
        <v>1</v>
      </c>
      <c r="QG93">
        <v>1314</v>
      </c>
      <c r="QH93">
        <v>66</v>
      </c>
      <c r="QI93">
        <v>66</v>
      </c>
      <c r="QL93">
        <v>0</v>
      </c>
      <c r="QM93">
        <v>62</v>
      </c>
      <c r="QN93">
        <v>62</v>
      </c>
      <c r="QO93" t="s">
        <v>1743</v>
      </c>
      <c r="QP93">
        <v>1</v>
      </c>
      <c r="QQ93">
        <v>1311</v>
      </c>
      <c r="QW93">
        <v>82</v>
      </c>
      <c r="QX93">
        <v>88</v>
      </c>
      <c r="QY93" t="s">
        <v>1744</v>
      </c>
      <c r="QZ93">
        <v>1</v>
      </c>
      <c r="RA93">
        <v>66</v>
      </c>
      <c r="RB93">
        <v>66</v>
      </c>
      <c r="RE93">
        <v>0</v>
      </c>
      <c r="RF93">
        <v>1</v>
      </c>
      <c r="RJ93">
        <v>1</v>
      </c>
      <c r="RL93">
        <v>4</v>
      </c>
      <c r="RO93">
        <v>495</v>
      </c>
      <c r="RQ93">
        <v>698</v>
      </c>
      <c r="RT93">
        <v>244</v>
      </c>
      <c r="RU93">
        <v>168</v>
      </c>
      <c r="RV93" t="s">
        <v>1514</v>
      </c>
      <c r="RW93" t="s">
        <v>653</v>
      </c>
      <c r="RX93">
        <v>15</v>
      </c>
      <c r="RY93">
        <v>4</v>
      </c>
      <c r="RZ93" t="s">
        <v>653</v>
      </c>
      <c r="SA93">
        <v>15</v>
      </c>
      <c r="SC93" t="s">
        <v>1743</v>
      </c>
      <c r="SD93">
        <v>1</v>
      </c>
      <c r="SH93">
        <v>0.995</v>
      </c>
      <c r="SI93">
        <v>0.995</v>
      </c>
      <c r="SJ93">
        <v>0.995</v>
      </c>
      <c r="SK93">
        <v>15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TB93">
        <v>0</v>
      </c>
      <c r="TC93">
        <v>0</v>
      </c>
      <c r="TD93">
        <v>7.5</v>
      </c>
      <c r="TE93" t="s">
        <v>553</v>
      </c>
      <c r="TF93" t="s">
        <v>624</v>
      </c>
      <c r="TG93" t="s">
        <v>555</v>
      </c>
      <c r="TI93" t="s">
        <v>546</v>
      </c>
      <c r="TJ93" t="s">
        <v>547</v>
      </c>
      <c r="TL93" t="s">
        <v>1477</v>
      </c>
      <c r="TM93" t="s">
        <v>513</v>
      </c>
      <c r="TN93">
        <v>0</v>
      </c>
      <c r="TO93" t="s">
        <v>557</v>
      </c>
    </row>
    <row r="94" spans="1:535">
      <c r="A94" t="s">
        <v>1745</v>
      </c>
      <c r="B94" t="s">
        <v>564</v>
      </c>
      <c r="C94" t="s">
        <v>509</v>
      </c>
      <c r="D94" t="s">
        <v>1040</v>
      </c>
      <c r="G94" t="s">
        <v>627</v>
      </c>
      <c r="H94" t="s">
        <v>604</v>
      </c>
      <c r="I94" t="s">
        <v>628</v>
      </c>
      <c r="J94" t="s">
        <v>606</v>
      </c>
      <c r="L94" t="s">
        <v>512</v>
      </c>
      <c r="M94" t="s">
        <v>629</v>
      </c>
      <c r="N94" t="s">
        <v>513</v>
      </c>
      <c r="O94" t="s">
        <v>565</v>
      </c>
      <c r="Q94" t="s">
        <v>1746</v>
      </c>
      <c r="R94" t="s">
        <v>567</v>
      </c>
      <c r="S94" t="s">
        <v>758</v>
      </c>
      <c r="T94" t="s">
        <v>759</v>
      </c>
      <c r="U94" t="s">
        <v>662</v>
      </c>
      <c r="V94" t="s">
        <v>663</v>
      </c>
      <c r="W94" t="s">
        <v>760</v>
      </c>
      <c r="X94" t="s">
        <v>1460</v>
      </c>
      <c r="Y94" t="s">
        <v>524</v>
      </c>
      <c r="Z94" t="s">
        <v>1747</v>
      </c>
      <c r="AA94" t="s">
        <v>1748</v>
      </c>
      <c r="AB94" t="s">
        <v>1749</v>
      </c>
      <c r="AC94">
        <v>2</v>
      </c>
      <c r="AD94">
        <v>56</v>
      </c>
      <c r="AE94">
        <v>177</v>
      </c>
      <c r="AF94">
        <v>1.5</v>
      </c>
      <c r="AH94">
        <v>0</v>
      </c>
      <c r="AI94" t="s">
        <v>944</v>
      </c>
      <c r="AJ94">
        <v>187.5</v>
      </c>
      <c r="AK94">
        <v>1</v>
      </c>
      <c r="AL94">
        <v>1.5</v>
      </c>
      <c r="AM94" t="s">
        <v>529</v>
      </c>
      <c r="AO94">
        <v>0</v>
      </c>
      <c r="AR94">
        <v>0</v>
      </c>
      <c r="AS94">
        <v>1.5</v>
      </c>
      <c r="AU94" t="s">
        <v>1750</v>
      </c>
      <c r="AW94" t="s">
        <v>1750</v>
      </c>
      <c r="AX94">
        <v>1</v>
      </c>
      <c r="AY94">
        <v>327.5</v>
      </c>
      <c r="AZ94">
        <v>1.5</v>
      </c>
      <c r="BA94" t="s">
        <v>529</v>
      </c>
      <c r="BG94">
        <v>1.5</v>
      </c>
      <c r="BJ94">
        <v>0</v>
      </c>
      <c r="BN94">
        <v>1.5</v>
      </c>
      <c r="BP94" t="s">
        <v>1751</v>
      </c>
      <c r="BQ94">
        <v>88</v>
      </c>
      <c r="BR94">
        <v>2</v>
      </c>
      <c r="BS94" t="s">
        <v>1145</v>
      </c>
      <c r="BT94">
        <v>200</v>
      </c>
      <c r="BU94">
        <v>0.5</v>
      </c>
      <c r="BV94" t="s">
        <v>1145</v>
      </c>
      <c r="BW94">
        <v>400</v>
      </c>
      <c r="BX94">
        <v>1</v>
      </c>
      <c r="BY94" t="s">
        <v>643</v>
      </c>
      <c r="BZ94">
        <v>290</v>
      </c>
      <c r="CA94">
        <v>470</v>
      </c>
      <c r="CB94" t="s">
        <v>672</v>
      </c>
      <c r="CC94" t="s">
        <v>672</v>
      </c>
      <c r="CD94">
        <v>416</v>
      </c>
      <c r="CE94" t="s">
        <v>673</v>
      </c>
      <c r="CF94">
        <v>15</v>
      </c>
      <c r="CG94" t="s">
        <v>769</v>
      </c>
      <c r="CH94" t="s">
        <v>769</v>
      </c>
      <c r="CI94">
        <v>90</v>
      </c>
      <c r="CJ94">
        <v>1381</v>
      </c>
      <c r="CK94">
        <v>2</v>
      </c>
      <c r="CL94">
        <v>1475</v>
      </c>
      <c r="CM94">
        <v>2</v>
      </c>
      <c r="CN94" t="s">
        <v>675</v>
      </c>
      <c r="CO94" t="s">
        <v>676</v>
      </c>
      <c r="CP94" t="s">
        <v>595</v>
      </c>
      <c r="CQ94" t="s">
        <v>1496</v>
      </c>
      <c r="CR94" t="s">
        <v>541</v>
      </c>
      <c r="CS94" t="s">
        <v>542</v>
      </c>
      <c r="CT94">
        <v>375</v>
      </c>
      <c r="CU94">
        <v>5</v>
      </c>
      <c r="CV94">
        <v>1.2</v>
      </c>
      <c r="CW94">
        <v>1393</v>
      </c>
      <c r="CX94">
        <v>740</v>
      </c>
      <c r="DD94">
        <v>0</v>
      </c>
      <c r="DE94" t="s">
        <v>543</v>
      </c>
      <c r="DF94">
        <v>655</v>
      </c>
      <c r="DG94">
        <v>3</v>
      </c>
      <c r="DH94">
        <v>1.18</v>
      </c>
      <c r="DI94">
        <v>1391</v>
      </c>
      <c r="DJ94">
        <v>1370</v>
      </c>
      <c r="DW94" t="s">
        <v>544</v>
      </c>
      <c r="DX94">
        <v>7.5</v>
      </c>
      <c r="EA94">
        <v>1461.1</v>
      </c>
      <c r="EB94">
        <v>275</v>
      </c>
      <c r="EC94" t="s">
        <v>545</v>
      </c>
      <c r="ED94">
        <v>35</v>
      </c>
      <c r="EE94">
        <v>3</v>
      </c>
      <c r="EG94">
        <v>1502</v>
      </c>
      <c r="EH94">
        <v>209</v>
      </c>
      <c r="EJ94">
        <v>0</v>
      </c>
      <c r="EK94">
        <v>1</v>
      </c>
      <c r="EN94">
        <v>0</v>
      </c>
      <c r="EP94" t="s">
        <v>546</v>
      </c>
      <c r="EQ94">
        <v>100</v>
      </c>
      <c r="ER94">
        <v>3</v>
      </c>
      <c r="ES94">
        <v>5.5</v>
      </c>
      <c r="ET94">
        <v>1378</v>
      </c>
      <c r="EU94">
        <v>449.4</v>
      </c>
      <c r="EV94">
        <v>619</v>
      </c>
      <c r="EW94" t="s">
        <v>547</v>
      </c>
      <c r="EX94">
        <v>70</v>
      </c>
      <c r="EY94">
        <v>2</v>
      </c>
      <c r="EZ94">
        <v>4.5</v>
      </c>
      <c r="FA94">
        <v>1378</v>
      </c>
      <c r="FB94">
        <v>219.6</v>
      </c>
      <c r="FC94">
        <v>303</v>
      </c>
      <c r="FE94">
        <v>0</v>
      </c>
      <c r="FF94">
        <v>2</v>
      </c>
      <c r="FI94">
        <v>0</v>
      </c>
      <c r="FK94" t="s">
        <v>548</v>
      </c>
      <c r="FL94">
        <v>0.4</v>
      </c>
      <c r="FM94">
        <v>80</v>
      </c>
      <c r="FN94">
        <v>130</v>
      </c>
      <c r="FR94" t="s">
        <v>548</v>
      </c>
      <c r="FS94">
        <v>0.4</v>
      </c>
      <c r="FT94">
        <v>30</v>
      </c>
      <c r="FU94">
        <v>370</v>
      </c>
      <c r="HC94">
        <v>0.1</v>
      </c>
      <c r="HD94">
        <v>3</v>
      </c>
      <c r="HE94">
        <v>3</v>
      </c>
      <c r="HF94">
        <v>3</v>
      </c>
      <c r="HG94">
        <v>3</v>
      </c>
      <c r="HH94">
        <v>3</v>
      </c>
      <c r="HI94">
        <v>155</v>
      </c>
      <c r="HJ94">
        <v>3</v>
      </c>
      <c r="HK94">
        <v>55</v>
      </c>
      <c r="HL94">
        <v>2</v>
      </c>
      <c r="HM94">
        <v>0</v>
      </c>
      <c r="HN94">
        <v>2</v>
      </c>
      <c r="HO94">
        <v>85</v>
      </c>
      <c r="HP94">
        <v>3</v>
      </c>
      <c r="HQ94">
        <v>0</v>
      </c>
      <c r="HR94">
        <v>2</v>
      </c>
      <c r="HS94">
        <v>4922</v>
      </c>
      <c r="HT94">
        <v>150</v>
      </c>
      <c r="HU94">
        <v>180</v>
      </c>
      <c r="HW94">
        <v>20</v>
      </c>
      <c r="HX94">
        <v>420</v>
      </c>
      <c r="HY94">
        <v>0.18</v>
      </c>
      <c r="IA94">
        <v>0.15</v>
      </c>
      <c r="IB94">
        <v>0</v>
      </c>
      <c r="IC94">
        <v>180</v>
      </c>
      <c r="ID94">
        <v>110</v>
      </c>
      <c r="IE94">
        <v>0</v>
      </c>
      <c r="IF94">
        <v>0</v>
      </c>
      <c r="IH94" t="s">
        <v>549</v>
      </c>
      <c r="IO94">
        <v>1</v>
      </c>
      <c r="IP94">
        <v>18</v>
      </c>
      <c r="IQ94">
        <v>0</v>
      </c>
      <c r="IR94">
        <v>1</v>
      </c>
      <c r="IV94">
        <v>1381</v>
      </c>
      <c r="IW94">
        <v>400</v>
      </c>
      <c r="JA94">
        <v>1</v>
      </c>
      <c r="JB94">
        <v>0</v>
      </c>
      <c r="JC94">
        <v>2</v>
      </c>
      <c r="JD94">
        <v>1393</v>
      </c>
      <c r="JE94">
        <v>1391</v>
      </c>
      <c r="JF94">
        <v>0</v>
      </c>
      <c r="JG94">
        <v>1378</v>
      </c>
      <c r="JH94">
        <v>0</v>
      </c>
      <c r="JJ94">
        <v>180</v>
      </c>
      <c r="JK94">
        <v>420</v>
      </c>
      <c r="JN94">
        <v>375</v>
      </c>
      <c r="JO94">
        <v>655</v>
      </c>
      <c r="JP94">
        <v>0</v>
      </c>
      <c r="JQ94">
        <v>0</v>
      </c>
      <c r="JR94">
        <v>354</v>
      </c>
      <c r="JS94">
        <v>155</v>
      </c>
      <c r="JV94">
        <v>8</v>
      </c>
      <c r="JW94" t="s">
        <v>550</v>
      </c>
      <c r="JX94">
        <v>0</v>
      </c>
      <c r="KA94">
        <v>0</v>
      </c>
      <c r="KB94">
        <v>110</v>
      </c>
      <c r="KC94">
        <v>0</v>
      </c>
      <c r="KD94">
        <v>80</v>
      </c>
      <c r="KF94">
        <v>4</v>
      </c>
      <c r="KG94">
        <v>2</v>
      </c>
      <c r="KH94">
        <v>2</v>
      </c>
      <c r="KI94">
        <v>2</v>
      </c>
      <c r="KJ94">
        <v>0</v>
      </c>
      <c r="KK94">
        <v>1.5</v>
      </c>
      <c r="KL94">
        <v>1.5</v>
      </c>
      <c r="KM94">
        <v>0</v>
      </c>
      <c r="KN94">
        <v>0</v>
      </c>
      <c r="KO94">
        <v>0</v>
      </c>
      <c r="KR94">
        <v>30</v>
      </c>
      <c r="KS94">
        <v>60</v>
      </c>
      <c r="KT94">
        <v>0</v>
      </c>
      <c r="LK94">
        <v>480</v>
      </c>
      <c r="PG94">
        <v>1</v>
      </c>
      <c r="PI94" t="s">
        <v>1749</v>
      </c>
      <c r="PJ94" t="s">
        <v>1750</v>
      </c>
      <c r="PL94" t="s">
        <v>944</v>
      </c>
      <c r="PP94" t="s">
        <v>1751</v>
      </c>
      <c r="PX94">
        <v>56</v>
      </c>
      <c r="PY94">
        <v>56</v>
      </c>
      <c r="PZ94" t="s">
        <v>1749</v>
      </c>
      <c r="QA94">
        <v>1</v>
      </c>
      <c r="QB94">
        <v>1378</v>
      </c>
      <c r="QC94">
        <v>69</v>
      </c>
      <c r="QD94">
        <v>69</v>
      </c>
      <c r="QE94" t="s">
        <v>944</v>
      </c>
      <c r="QF94">
        <v>1</v>
      </c>
      <c r="QG94">
        <v>1393</v>
      </c>
      <c r="QH94">
        <v>66</v>
      </c>
      <c r="QI94">
        <v>66</v>
      </c>
      <c r="QL94">
        <v>0</v>
      </c>
      <c r="QM94">
        <v>62</v>
      </c>
      <c r="QN94">
        <v>62</v>
      </c>
      <c r="QO94" t="s">
        <v>1750</v>
      </c>
      <c r="QP94">
        <v>1</v>
      </c>
      <c r="QQ94">
        <v>1391</v>
      </c>
      <c r="QW94">
        <v>82</v>
      </c>
      <c r="QX94">
        <v>88</v>
      </c>
      <c r="QY94" t="s">
        <v>1751</v>
      </c>
      <c r="QZ94">
        <v>1</v>
      </c>
      <c r="RA94">
        <v>66</v>
      </c>
      <c r="RB94">
        <v>66</v>
      </c>
      <c r="RE94">
        <v>0</v>
      </c>
      <c r="RF94">
        <v>1</v>
      </c>
      <c r="RJ94">
        <v>1</v>
      </c>
      <c r="RL94">
        <v>1</v>
      </c>
      <c r="RO94">
        <v>531</v>
      </c>
      <c r="RQ94">
        <v>985</v>
      </c>
      <c r="RT94">
        <v>275</v>
      </c>
      <c r="RU94">
        <v>209</v>
      </c>
      <c r="RV94" t="s">
        <v>1147</v>
      </c>
      <c r="RW94" t="s">
        <v>679</v>
      </c>
      <c r="RX94">
        <v>15</v>
      </c>
      <c r="RY94">
        <v>4</v>
      </c>
      <c r="RZ94" t="s">
        <v>679</v>
      </c>
      <c r="SA94">
        <v>15</v>
      </c>
      <c r="SC94" t="s">
        <v>1750</v>
      </c>
      <c r="SD94">
        <v>1</v>
      </c>
      <c r="SH94">
        <v>0.995</v>
      </c>
      <c r="SI94">
        <v>0.995</v>
      </c>
      <c r="SJ94">
        <v>0.995</v>
      </c>
      <c r="SK94">
        <v>15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TB94">
        <v>0</v>
      </c>
      <c r="TC94">
        <v>0</v>
      </c>
      <c r="TD94">
        <v>7.5</v>
      </c>
      <c r="TE94" t="s">
        <v>553</v>
      </c>
      <c r="TF94" t="s">
        <v>655</v>
      </c>
      <c r="TG94" t="s">
        <v>555</v>
      </c>
      <c r="TI94" t="s">
        <v>546</v>
      </c>
      <c r="TJ94" t="s">
        <v>547</v>
      </c>
      <c r="TL94" t="s">
        <v>1477</v>
      </c>
      <c r="TM94" t="s">
        <v>513</v>
      </c>
      <c r="TN94">
        <v>0</v>
      </c>
      <c r="TO94" t="s">
        <v>557</v>
      </c>
    </row>
    <row r="95" spans="1:535">
      <c r="A95" t="s">
        <v>1752</v>
      </c>
      <c r="B95" t="s">
        <v>629</v>
      </c>
      <c r="C95" t="s">
        <v>509</v>
      </c>
      <c r="D95" t="s">
        <v>1087</v>
      </c>
      <c r="G95" t="s">
        <v>604</v>
      </c>
      <c r="H95" t="s">
        <v>605</v>
      </c>
      <c r="I95" t="s">
        <v>628</v>
      </c>
      <c r="J95" t="s">
        <v>606</v>
      </c>
      <c r="L95" t="s">
        <v>512</v>
      </c>
      <c r="M95" t="s">
        <v>711</v>
      </c>
      <c r="N95" t="s">
        <v>513</v>
      </c>
      <c r="O95" t="s">
        <v>565</v>
      </c>
      <c r="Q95" t="s">
        <v>1753</v>
      </c>
      <c r="R95" t="s">
        <v>567</v>
      </c>
      <c r="S95" t="s">
        <v>1754</v>
      </c>
      <c r="T95" t="s">
        <v>927</v>
      </c>
      <c r="U95" t="s">
        <v>686</v>
      </c>
      <c r="V95" t="s">
        <v>687</v>
      </c>
      <c r="W95" t="s">
        <v>1755</v>
      </c>
      <c r="X95" t="s">
        <v>1460</v>
      </c>
      <c r="Y95" t="s">
        <v>574</v>
      </c>
      <c r="Z95" t="s">
        <v>1756</v>
      </c>
      <c r="AA95" t="s">
        <v>1757</v>
      </c>
      <c r="AB95" t="s">
        <v>1758</v>
      </c>
      <c r="AC95">
        <v>2</v>
      </c>
      <c r="AD95">
        <v>56</v>
      </c>
      <c r="AE95">
        <v>231</v>
      </c>
      <c r="AF95">
        <v>1.5</v>
      </c>
      <c r="AH95">
        <v>0</v>
      </c>
      <c r="AI95" t="s">
        <v>1572</v>
      </c>
      <c r="AJ95">
        <v>212.5</v>
      </c>
      <c r="AK95">
        <v>1</v>
      </c>
      <c r="AL95">
        <v>1.5</v>
      </c>
      <c r="AM95" t="s">
        <v>579</v>
      </c>
      <c r="AN95" t="s">
        <v>693</v>
      </c>
      <c r="AO95">
        <v>2</v>
      </c>
      <c r="AP95" t="s">
        <v>581</v>
      </c>
      <c r="AQ95" t="s">
        <v>582</v>
      </c>
      <c r="AR95">
        <v>251</v>
      </c>
      <c r="AS95">
        <v>1.5</v>
      </c>
      <c r="AT95" t="s">
        <v>583</v>
      </c>
      <c r="AU95" t="s">
        <v>1759</v>
      </c>
      <c r="AW95" t="s">
        <v>1759</v>
      </c>
      <c r="AX95">
        <v>1</v>
      </c>
      <c r="AY95">
        <v>305</v>
      </c>
      <c r="AZ95">
        <v>1.5</v>
      </c>
      <c r="BA95" t="s">
        <v>579</v>
      </c>
      <c r="BC95" t="s">
        <v>1760</v>
      </c>
      <c r="BD95" t="s">
        <v>1760</v>
      </c>
      <c r="BE95">
        <v>1</v>
      </c>
      <c r="BF95">
        <v>255</v>
      </c>
      <c r="BG95">
        <v>1.5</v>
      </c>
      <c r="BJ95">
        <v>0</v>
      </c>
      <c r="BN95">
        <v>1.5</v>
      </c>
      <c r="BP95" t="s">
        <v>1761</v>
      </c>
      <c r="BQ95">
        <v>88</v>
      </c>
      <c r="BR95">
        <v>2</v>
      </c>
      <c r="BS95" t="s">
        <v>1052</v>
      </c>
      <c r="BT95">
        <v>231</v>
      </c>
      <c r="BU95">
        <v>0.5</v>
      </c>
      <c r="BV95" t="s">
        <v>1052</v>
      </c>
      <c r="BW95">
        <v>462</v>
      </c>
      <c r="BX95">
        <v>1</v>
      </c>
      <c r="BY95" t="s">
        <v>698</v>
      </c>
      <c r="BZ95">
        <v>470</v>
      </c>
      <c r="CA95">
        <v>530</v>
      </c>
      <c r="CB95" t="s">
        <v>699</v>
      </c>
      <c r="CC95" t="s">
        <v>699</v>
      </c>
      <c r="CD95">
        <v>480</v>
      </c>
      <c r="CE95" t="s">
        <v>700</v>
      </c>
      <c r="CF95">
        <v>15</v>
      </c>
      <c r="CG95" t="s">
        <v>1762</v>
      </c>
      <c r="CH95" t="s">
        <v>1762</v>
      </c>
      <c r="CI95">
        <v>30</v>
      </c>
      <c r="CJ95">
        <v>1458</v>
      </c>
      <c r="CK95">
        <v>2</v>
      </c>
      <c r="CL95">
        <v>1552</v>
      </c>
      <c r="CM95">
        <v>2</v>
      </c>
      <c r="CN95" t="s">
        <v>702</v>
      </c>
      <c r="CO95" t="s">
        <v>676</v>
      </c>
      <c r="CP95" t="s">
        <v>703</v>
      </c>
      <c r="CQ95" t="s">
        <v>704</v>
      </c>
      <c r="CR95" t="s">
        <v>650</v>
      </c>
      <c r="CS95" t="s">
        <v>542</v>
      </c>
      <c r="CT95">
        <v>425</v>
      </c>
      <c r="CU95">
        <v>5</v>
      </c>
      <c r="CV95">
        <v>1.2</v>
      </c>
      <c r="CW95">
        <v>1475</v>
      </c>
      <c r="CX95">
        <v>888</v>
      </c>
      <c r="CY95" t="s">
        <v>705</v>
      </c>
      <c r="CZ95">
        <v>50</v>
      </c>
      <c r="DA95">
        <v>3</v>
      </c>
      <c r="DB95">
        <v>1</v>
      </c>
      <c r="DC95">
        <v>1475</v>
      </c>
      <c r="DD95">
        <v>77</v>
      </c>
      <c r="DE95" t="s">
        <v>622</v>
      </c>
      <c r="DF95">
        <v>610</v>
      </c>
      <c r="DG95">
        <v>3</v>
      </c>
      <c r="DH95">
        <v>0.88</v>
      </c>
      <c r="DI95">
        <v>1467</v>
      </c>
      <c r="DJ95">
        <v>1043</v>
      </c>
      <c r="DK95" t="s">
        <v>622</v>
      </c>
      <c r="DL95">
        <v>510</v>
      </c>
      <c r="DM95">
        <v>3</v>
      </c>
      <c r="DN95">
        <v>0.88</v>
      </c>
      <c r="DO95">
        <v>1472</v>
      </c>
      <c r="DP95">
        <v>880</v>
      </c>
      <c r="DW95" t="s">
        <v>544</v>
      </c>
      <c r="DX95">
        <v>7.5</v>
      </c>
      <c r="EA95">
        <v>1544.1</v>
      </c>
      <c r="EB95">
        <v>364</v>
      </c>
      <c r="EC95" t="s">
        <v>545</v>
      </c>
      <c r="ED95">
        <v>40</v>
      </c>
      <c r="EE95">
        <v>3</v>
      </c>
      <c r="EG95">
        <v>1595</v>
      </c>
      <c r="EH95">
        <v>254</v>
      </c>
      <c r="EJ95">
        <v>0</v>
      </c>
      <c r="EK95">
        <v>1</v>
      </c>
      <c r="EN95">
        <v>0</v>
      </c>
      <c r="EP95" t="s">
        <v>546</v>
      </c>
      <c r="EQ95">
        <v>95</v>
      </c>
      <c r="ER95">
        <v>3</v>
      </c>
      <c r="ES95">
        <v>6</v>
      </c>
      <c r="ET95">
        <v>1457</v>
      </c>
      <c r="EU95">
        <v>449.4</v>
      </c>
      <c r="EV95">
        <v>655</v>
      </c>
      <c r="EW95" t="s">
        <v>547</v>
      </c>
      <c r="EX95">
        <v>45</v>
      </c>
      <c r="EY95">
        <v>2</v>
      </c>
      <c r="EZ95">
        <v>4.5</v>
      </c>
      <c r="FA95">
        <v>1457</v>
      </c>
      <c r="FB95">
        <v>138.1</v>
      </c>
      <c r="FC95">
        <v>201</v>
      </c>
      <c r="FE95">
        <v>0</v>
      </c>
      <c r="FF95">
        <v>2</v>
      </c>
      <c r="FI95">
        <v>0</v>
      </c>
      <c r="FK95" t="s">
        <v>548</v>
      </c>
      <c r="FL95">
        <v>0.4</v>
      </c>
      <c r="FM95">
        <v>45</v>
      </c>
      <c r="FN95">
        <v>400</v>
      </c>
      <c r="FO95">
        <v>80</v>
      </c>
      <c r="FP95">
        <v>180</v>
      </c>
      <c r="GR95" t="s">
        <v>548</v>
      </c>
      <c r="GS95">
        <v>0.4</v>
      </c>
      <c r="GT95">
        <v>30</v>
      </c>
      <c r="GU95">
        <v>420</v>
      </c>
      <c r="GY95" t="s">
        <v>651</v>
      </c>
      <c r="GZ95">
        <v>1.6</v>
      </c>
      <c r="HA95">
        <v>20</v>
      </c>
      <c r="HB95">
        <v>206</v>
      </c>
      <c r="HC95">
        <v>0.1</v>
      </c>
      <c r="HD95">
        <v>3</v>
      </c>
      <c r="HE95">
        <v>3</v>
      </c>
      <c r="HF95">
        <v>3</v>
      </c>
      <c r="HG95">
        <v>3</v>
      </c>
      <c r="HH95">
        <v>3</v>
      </c>
      <c r="HI95">
        <v>125</v>
      </c>
      <c r="HJ95">
        <v>3</v>
      </c>
      <c r="HK95">
        <v>30</v>
      </c>
      <c r="HL95">
        <v>2</v>
      </c>
      <c r="HM95">
        <v>0</v>
      </c>
      <c r="HN95">
        <v>2</v>
      </c>
      <c r="HO95">
        <v>80</v>
      </c>
      <c r="HP95">
        <v>3</v>
      </c>
      <c r="HQ95">
        <v>0</v>
      </c>
      <c r="HR95">
        <v>2</v>
      </c>
      <c r="HS95">
        <v>5913</v>
      </c>
      <c r="HT95">
        <v>180</v>
      </c>
      <c r="HU95">
        <v>180</v>
      </c>
      <c r="HW95">
        <v>0</v>
      </c>
      <c r="HX95">
        <v>530</v>
      </c>
      <c r="HY95">
        <v>0.18</v>
      </c>
      <c r="IA95">
        <v>0.15</v>
      </c>
      <c r="IB95">
        <v>0</v>
      </c>
      <c r="IC95">
        <v>180</v>
      </c>
      <c r="ID95">
        <v>110</v>
      </c>
      <c r="IE95">
        <v>225</v>
      </c>
      <c r="IF95">
        <v>0</v>
      </c>
      <c r="IH95" t="s">
        <v>549</v>
      </c>
      <c r="IO95">
        <v>3</v>
      </c>
      <c r="IP95">
        <v>19</v>
      </c>
      <c r="IQ95">
        <v>0</v>
      </c>
      <c r="IR95">
        <v>0</v>
      </c>
      <c r="IV95">
        <v>1458</v>
      </c>
      <c r="IW95">
        <v>462</v>
      </c>
      <c r="JA95">
        <v>1</v>
      </c>
      <c r="JB95">
        <v>0</v>
      </c>
      <c r="JC95">
        <v>2</v>
      </c>
      <c r="JD95">
        <v>1475</v>
      </c>
      <c r="JE95">
        <v>1467</v>
      </c>
      <c r="JF95">
        <v>1472</v>
      </c>
      <c r="JG95">
        <v>1457</v>
      </c>
      <c r="JH95">
        <v>0</v>
      </c>
      <c r="JJ95">
        <v>180</v>
      </c>
      <c r="JK95">
        <v>530</v>
      </c>
      <c r="JN95">
        <v>425</v>
      </c>
      <c r="JO95">
        <v>610</v>
      </c>
      <c r="JP95">
        <v>510</v>
      </c>
      <c r="JQ95">
        <v>0</v>
      </c>
      <c r="JR95">
        <v>462</v>
      </c>
      <c r="JS95">
        <v>125</v>
      </c>
      <c r="JV95">
        <v>8</v>
      </c>
      <c r="JW95" t="s">
        <v>550</v>
      </c>
      <c r="JX95">
        <v>502</v>
      </c>
      <c r="KA95">
        <v>225</v>
      </c>
      <c r="KB95">
        <v>110</v>
      </c>
      <c r="KC95">
        <v>0</v>
      </c>
      <c r="KD95">
        <v>80</v>
      </c>
      <c r="KF95">
        <v>4</v>
      </c>
      <c r="KG95">
        <v>2</v>
      </c>
      <c r="KH95">
        <v>2</v>
      </c>
      <c r="KI95">
        <v>2</v>
      </c>
      <c r="KJ95">
        <v>0</v>
      </c>
      <c r="KK95">
        <v>1.5</v>
      </c>
      <c r="KL95">
        <v>1.5</v>
      </c>
      <c r="KM95">
        <v>0</v>
      </c>
      <c r="KN95">
        <v>0</v>
      </c>
      <c r="KO95">
        <v>0</v>
      </c>
      <c r="KR95">
        <v>30</v>
      </c>
      <c r="KS95">
        <v>60</v>
      </c>
      <c r="KT95">
        <v>0</v>
      </c>
      <c r="LK95">
        <v>480</v>
      </c>
      <c r="PG95">
        <v>1</v>
      </c>
      <c r="PI95" t="s">
        <v>1758</v>
      </c>
      <c r="PJ95" t="s">
        <v>1759</v>
      </c>
      <c r="PK95" t="s">
        <v>1760</v>
      </c>
      <c r="PL95" t="s">
        <v>1572</v>
      </c>
      <c r="PP95" t="s">
        <v>1761</v>
      </c>
      <c r="PS95" t="s">
        <v>693</v>
      </c>
      <c r="PX95">
        <v>56</v>
      </c>
      <c r="PY95">
        <v>56</v>
      </c>
      <c r="PZ95" t="s">
        <v>1758</v>
      </c>
      <c r="QA95">
        <v>1</v>
      </c>
      <c r="QB95">
        <v>1457</v>
      </c>
      <c r="QC95">
        <v>69</v>
      </c>
      <c r="QD95">
        <v>69</v>
      </c>
      <c r="QE95" t="s">
        <v>1572</v>
      </c>
      <c r="QF95">
        <v>1</v>
      </c>
      <c r="QG95">
        <v>1475</v>
      </c>
      <c r="QH95">
        <v>66</v>
      </c>
      <c r="QI95">
        <v>66</v>
      </c>
      <c r="QJ95" t="s">
        <v>693</v>
      </c>
      <c r="QK95">
        <v>1</v>
      </c>
      <c r="QL95">
        <v>1475</v>
      </c>
      <c r="QM95">
        <v>62</v>
      </c>
      <c r="QN95">
        <v>62</v>
      </c>
      <c r="QO95" t="s">
        <v>1759</v>
      </c>
      <c r="QP95">
        <v>1</v>
      </c>
      <c r="QQ95">
        <v>1467</v>
      </c>
      <c r="QR95">
        <v>63</v>
      </c>
      <c r="QS95">
        <v>63</v>
      </c>
      <c r="QT95" t="s">
        <v>1760</v>
      </c>
      <c r="QU95">
        <v>1</v>
      </c>
      <c r="QV95">
        <v>1472</v>
      </c>
      <c r="QW95">
        <v>82</v>
      </c>
      <c r="QX95">
        <v>88</v>
      </c>
      <c r="QY95" t="s">
        <v>1761</v>
      </c>
      <c r="QZ95">
        <v>1</v>
      </c>
      <c r="RA95">
        <v>66</v>
      </c>
      <c r="RB95">
        <v>66</v>
      </c>
      <c r="RE95">
        <v>0</v>
      </c>
      <c r="RF95">
        <v>1</v>
      </c>
      <c r="RI95">
        <v>1</v>
      </c>
      <c r="RJ95">
        <v>1</v>
      </c>
      <c r="RK95">
        <v>2</v>
      </c>
      <c r="RL95">
        <v>3</v>
      </c>
      <c r="RM95">
        <v>3</v>
      </c>
      <c r="RO95">
        <v>602</v>
      </c>
      <c r="RP95">
        <v>105</v>
      </c>
      <c r="RQ95">
        <v>711</v>
      </c>
      <c r="RR95">
        <v>598</v>
      </c>
      <c r="RT95">
        <v>364</v>
      </c>
      <c r="RU95">
        <v>254</v>
      </c>
      <c r="RV95" t="s">
        <v>1055</v>
      </c>
      <c r="RW95" t="s">
        <v>707</v>
      </c>
      <c r="RX95">
        <v>15</v>
      </c>
      <c r="RY95">
        <v>4</v>
      </c>
      <c r="RZ95" t="s">
        <v>707</v>
      </c>
      <c r="SA95">
        <v>15</v>
      </c>
      <c r="SC95" t="s">
        <v>1759</v>
      </c>
      <c r="SD95">
        <v>1</v>
      </c>
      <c r="SE95" t="s">
        <v>1763</v>
      </c>
      <c r="SF95" t="s">
        <v>1763</v>
      </c>
      <c r="SG95">
        <v>1</v>
      </c>
      <c r="SH95">
        <v>0.995</v>
      </c>
      <c r="SI95">
        <v>0.995</v>
      </c>
      <c r="SJ95">
        <v>0.995</v>
      </c>
      <c r="SK95">
        <v>15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1</v>
      </c>
      <c r="SZ95">
        <v>1</v>
      </c>
      <c r="TB95">
        <v>0</v>
      </c>
      <c r="TC95">
        <v>0</v>
      </c>
      <c r="TD95">
        <v>7.5</v>
      </c>
      <c r="TE95" t="s">
        <v>553</v>
      </c>
      <c r="TF95" t="s">
        <v>681</v>
      </c>
      <c r="TG95" t="s">
        <v>555</v>
      </c>
      <c r="TI95" t="s">
        <v>546</v>
      </c>
      <c r="TJ95" t="s">
        <v>547</v>
      </c>
      <c r="TL95" t="s">
        <v>1477</v>
      </c>
      <c r="TM95" t="s">
        <v>513</v>
      </c>
      <c r="TN95">
        <v>0</v>
      </c>
      <c r="TO95" t="s">
        <v>557</v>
      </c>
    </row>
    <row r="96" spans="1:535">
      <c r="A96" t="s">
        <v>1764</v>
      </c>
      <c r="B96" t="s">
        <v>897</v>
      </c>
      <c r="C96" t="s">
        <v>509</v>
      </c>
      <c r="D96" t="s">
        <v>951</v>
      </c>
      <c r="G96" t="s">
        <v>604</v>
      </c>
      <c r="H96" t="s">
        <v>605</v>
      </c>
      <c r="J96" t="s">
        <v>606</v>
      </c>
      <c r="L96" t="s">
        <v>512</v>
      </c>
      <c r="M96" t="s">
        <v>657</v>
      </c>
      <c r="N96" t="s">
        <v>513</v>
      </c>
      <c r="O96" t="s">
        <v>607</v>
      </c>
      <c r="Q96" t="s">
        <v>1765</v>
      </c>
      <c r="R96" t="s">
        <v>567</v>
      </c>
      <c r="S96" t="s">
        <v>1766</v>
      </c>
      <c r="T96" t="s">
        <v>1767</v>
      </c>
      <c r="U96" t="s">
        <v>1482</v>
      </c>
      <c r="V96" t="s">
        <v>1483</v>
      </c>
      <c r="W96" t="s">
        <v>1484</v>
      </c>
      <c r="X96" t="s">
        <v>1460</v>
      </c>
      <c r="Y96" t="s">
        <v>524</v>
      </c>
      <c r="Z96" t="s">
        <v>1768</v>
      </c>
      <c r="AA96" t="s">
        <v>1769</v>
      </c>
      <c r="AB96" t="s">
        <v>1770</v>
      </c>
      <c r="AC96">
        <v>2</v>
      </c>
      <c r="AD96">
        <v>57</v>
      </c>
      <c r="AE96">
        <v>166</v>
      </c>
      <c r="AF96">
        <v>1.5</v>
      </c>
      <c r="AH96">
        <v>0</v>
      </c>
      <c r="AI96" t="s">
        <v>1033</v>
      </c>
      <c r="AJ96">
        <v>177.5</v>
      </c>
      <c r="AK96">
        <v>1</v>
      </c>
      <c r="AL96">
        <v>1.5</v>
      </c>
      <c r="AM96" t="s">
        <v>529</v>
      </c>
      <c r="AO96">
        <v>0</v>
      </c>
      <c r="AR96">
        <v>0</v>
      </c>
      <c r="AS96">
        <v>1.5</v>
      </c>
      <c r="AU96" t="s">
        <v>1771</v>
      </c>
      <c r="AW96" t="s">
        <v>1771</v>
      </c>
      <c r="AX96">
        <v>1</v>
      </c>
      <c r="AY96">
        <v>327.5</v>
      </c>
      <c r="AZ96">
        <v>1.5</v>
      </c>
      <c r="BA96" t="s">
        <v>529</v>
      </c>
      <c r="BG96">
        <v>1.5</v>
      </c>
      <c r="BJ96">
        <v>0</v>
      </c>
      <c r="BN96">
        <v>1.5</v>
      </c>
      <c r="BP96" t="s">
        <v>1772</v>
      </c>
      <c r="BQ96">
        <v>89</v>
      </c>
      <c r="BR96">
        <v>2</v>
      </c>
      <c r="BS96" t="s">
        <v>1562</v>
      </c>
      <c r="BT96">
        <v>188</v>
      </c>
      <c r="BU96">
        <v>0.5</v>
      </c>
      <c r="BV96" t="s">
        <v>1562</v>
      </c>
      <c r="BW96">
        <v>376</v>
      </c>
      <c r="BX96">
        <v>1</v>
      </c>
      <c r="BY96" t="s">
        <v>1491</v>
      </c>
      <c r="BZ96">
        <v>300</v>
      </c>
      <c r="CA96">
        <v>460</v>
      </c>
      <c r="CB96" t="s">
        <v>1492</v>
      </c>
      <c r="CC96" t="s">
        <v>1492</v>
      </c>
      <c r="CD96">
        <v>392</v>
      </c>
      <c r="CE96" t="s">
        <v>1493</v>
      </c>
      <c r="CF96">
        <v>15</v>
      </c>
      <c r="CG96" t="s">
        <v>1773</v>
      </c>
      <c r="CH96" t="s">
        <v>1773</v>
      </c>
      <c r="CI96">
        <v>80</v>
      </c>
      <c r="CJ96">
        <v>1122</v>
      </c>
      <c r="CK96">
        <v>2</v>
      </c>
      <c r="CL96">
        <v>1222</v>
      </c>
      <c r="CM96">
        <v>2</v>
      </c>
      <c r="CN96" t="s">
        <v>1495</v>
      </c>
      <c r="CO96" t="s">
        <v>1473</v>
      </c>
      <c r="CP96" t="s">
        <v>1474</v>
      </c>
      <c r="CQ96" t="s">
        <v>1496</v>
      </c>
      <c r="CR96" t="s">
        <v>541</v>
      </c>
      <c r="CS96" t="s">
        <v>542</v>
      </c>
      <c r="CT96">
        <v>355</v>
      </c>
      <c r="CU96">
        <v>5</v>
      </c>
      <c r="CV96">
        <v>1.2</v>
      </c>
      <c r="CW96">
        <v>1136</v>
      </c>
      <c r="CX96">
        <v>571</v>
      </c>
      <c r="DD96">
        <v>0</v>
      </c>
      <c r="DE96" t="s">
        <v>543</v>
      </c>
      <c r="DF96">
        <v>655</v>
      </c>
      <c r="DG96">
        <v>3</v>
      </c>
      <c r="DH96">
        <v>1.18</v>
      </c>
      <c r="DI96">
        <v>1134</v>
      </c>
      <c r="DJ96">
        <v>1132</v>
      </c>
      <c r="DW96" t="s">
        <v>544</v>
      </c>
      <c r="DX96">
        <v>7.5</v>
      </c>
      <c r="EA96">
        <v>1204.3</v>
      </c>
      <c r="EB96">
        <v>157</v>
      </c>
      <c r="EC96" t="s">
        <v>545</v>
      </c>
      <c r="ED96">
        <v>30</v>
      </c>
      <c r="EE96">
        <v>3</v>
      </c>
      <c r="EG96">
        <v>1235</v>
      </c>
      <c r="EH96">
        <v>144</v>
      </c>
      <c r="EJ96">
        <v>0</v>
      </c>
      <c r="EK96">
        <v>1</v>
      </c>
      <c r="EN96">
        <v>0</v>
      </c>
      <c r="EP96" t="s">
        <v>546</v>
      </c>
      <c r="EQ96">
        <v>100</v>
      </c>
      <c r="ER96">
        <v>3</v>
      </c>
      <c r="ES96">
        <v>5.5</v>
      </c>
      <c r="ET96">
        <v>1120</v>
      </c>
      <c r="EU96">
        <v>457</v>
      </c>
      <c r="EV96">
        <v>512</v>
      </c>
      <c r="EW96" t="s">
        <v>547</v>
      </c>
      <c r="EX96">
        <v>70</v>
      </c>
      <c r="EY96">
        <v>2</v>
      </c>
      <c r="EZ96">
        <v>4.3</v>
      </c>
      <c r="FA96">
        <v>1120</v>
      </c>
      <c r="FB96">
        <v>171.7</v>
      </c>
      <c r="FC96">
        <v>192</v>
      </c>
      <c r="FE96">
        <v>0</v>
      </c>
      <c r="FF96">
        <v>2</v>
      </c>
      <c r="FI96">
        <v>0</v>
      </c>
      <c r="FK96" t="s">
        <v>548</v>
      </c>
      <c r="FL96">
        <v>0.4</v>
      </c>
      <c r="FM96">
        <v>95</v>
      </c>
      <c r="FN96">
        <v>90</v>
      </c>
      <c r="FR96" t="s">
        <v>548</v>
      </c>
      <c r="FS96">
        <v>0.4</v>
      </c>
      <c r="FT96">
        <v>30</v>
      </c>
      <c r="FU96">
        <v>340</v>
      </c>
      <c r="HC96">
        <v>0.1</v>
      </c>
      <c r="HD96">
        <v>3</v>
      </c>
      <c r="HE96">
        <v>3</v>
      </c>
      <c r="HF96">
        <v>3</v>
      </c>
      <c r="HG96">
        <v>3</v>
      </c>
      <c r="HH96">
        <v>3</v>
      </c>
      <c r="HI96">
        <v>155</v>
      </c>
      <c r="HJ96">
        <v>3</v>
      </c>
      <c r="HK96">
        <v>55</v>
      </c>
      <c r="HL96">
        <v>2</v>
      </c>
      <c r="HM96">
        <v>0</v>
      </c>
      <c r="HN96">
        <v>2</v>
      </c>
      <c r="HO96">
        <v>85</v>
      </c>
      <c r="HP96">
        <v>3</v>
      </c>
      <c r="HQ96">
        <v>0</v>
      </c>
      <c r="HR96">
        <v>2</v>
      </c>
      <c r="HS96">
        <v>3713</v>
      </c>
      <c r="HT96">
        <v>110</v>
      </c>
      <c r="HU96">
        <v>180</v>
      </c>
      <c r="HW96">
        <v>20</v>
      </c>
      <c r="HX96">
        <v>400</v>
      </c>
      <c r="HY96">
        <v>0.18</v>
      </c>
      <c r="IA96">
        <v>0.15</v>
      </c>
      <c r="IB96">
        <v>0</v>
      </c>
      <c r="IC96">
        <v>180</v>
      </c>
      <c r="ID96">
        <v>110</v>
      </c>
      <c r="IE96">
        <v>0</v>
      </c>
      <c r="IF96">
        <v>0</v>
      </c>
      <c r="IH96" t="s">
        <v>549</v>
      </c>
      <c r="IO96">
        <v>1</v>
      </c>
      <c r="IP96">
        <v>15</v>
      </c>
      <c r="IQ96">
        <v>0</v>
      </c>
      <c r="IR96">
        <v>1</v>
      </c>
      <c r="IV96">
        <v>1122</v>
      </c>
      <c r="IW96">
        <v>376</v>
      </c>
      <c r="JA96">
        <v>1</v>
      </c>
      <c r="JB96">
        <v>0</v>
      </c>
      <c r="JC96">
        <v>2</v>
      </c>
      <c r="JD96">
        <v>1136</v>
      </c>
      <c r="JE96">
        <v>1134</v>
      </c>
      <c r="JF96">
        <v>0</v>
      </c>
      <c r="JG96">
        <v>1120</v>
      </c>
      <c r="JH96">
        <v>0</v>
      </c>
      <c r="JJ96">
        <v>180</v>
      </c>
      <c r="JK96">
        <v>400</v>
      </c>
      <c r="JN96">
        <v>355</v>
      </c>
      <c r="JO96">
        <v>655</v>
      </c>
      <c r="JP96">
        <v>0</v>
      </c>
      <c r="JQ96">
        <v>0</v>
      </c>
      <c r="JR96">
        <v>332</v>
      </c>
      <c r="JS96">
        <v>155</v>
      </c>
      <c r="JV96">
        <v>8</v>
      </c>
      <c r="JW96" t="s">
        <v>550</v>
      </c>
      <c r="JX96">
        <v>0</v>
      </c>
      <c r="KA96">
        <v>0</v>
      </c>
      <c r="KB96">
        <v>110</v>
      </c>
      <c r="KC96">
        <v>0</v>
      </c>
      <c r="KD96">
        <v>80</v>
      </c>
      <c r="KF96">
        <v>4</v>
      </c>
      <c r="KG96">
        <v>4</v>
      </c>
      <c r="KH96">
        <v>2</v>
      </c>
      <c r="KI96">
        <v>2</v>
      </c>
      <c r="KJ96">
        <v>0</v>
      </c>
      <c r="KK96">
        <v>1.5</v>
      </c>
      <c r="KL96">
        <v>1.5</v>
      </c>
      <c r="KM96">
        <v>0</v>
      </c>
      <c r="KN96">
        <v>0</v>
      </c>
      <c r="KO96">
        <v>0</v>
      </c>
      <c r="KR96">
        <v>30</v>
      </c>
      <c r="KS96">
        <v>60</v>
      </c>
      <c r="KT96">
        <v>0</v>
      </c>
      <c r="LK96">
        <v>480</v>
      </c>
      <c r="LX96">
        <v>300</v>
      </c>
      <c r="LY96">
        <v>2</v>
      </c>
      <c r="PG96">
        <v>1</v>
      </c>
      <c r="PI96" t="s">
        <v>1770</v>
      </c>
      <c r="PJ96" t="s">
        <v>1771</v>
      </c>
      <c r="PL96" t="s">
        <v>1033</v>
      </c>
      <c r="PP96" t="s">
        <v>1772</v>
      </c>
      <c r="PX96">
        <v>56</v>
      </c>
      <c r="PY96">
        <v>57</v>
      </c>
      <c r="PZ96" t="s">
        <v>1770</v>
      </c>
      <c r="QA96">
        <v>3</v>
      </c>
      <c r="QB96">
        <v>1120</v>
      </c>
      <c r="QC96">
        <v>69</v>
      </c>
      <c r="QD96">
        <v>69</v>
      </c>
      <c r="QE96" t="s">
        <v>1033</v>
      </c>
      <c r="QF96">
        <v>1</v>
      </c>
      <c r="QG96">
        <v>1136</v>
      </c>
      <c r="QH96">
        <v>66</v>
      </c>
      <c r="QI96">
        <v>66</v>
      </c>
      <c r="QL96">
        <v>0</v>
      </c>
      <c r="QM96">
        <v>62</v>
      </c>
      <c r="QN96">
        <v>62</v>
      </c>
      <c r="QO96" t="s">
        <v>1771</v>
      </c>
      <c r="QP96">
        <v>1</v>
      </c>
      <c r="QQ96">
        <v>1134</v>
      </c>
      <c r="QW96">
        <v>82</v>
      </c>
      <c r="QX96">
        <v>89</v>
      </c>
      <c r="QY96" t="s">
        <v>1772</v>
      </c>
      <c r="QZ96">
        <v>2</v>
      </c>
      <c r="RA96">
        <v>66</v>
      </c>
      <c r="RB96">
        <v>66</v>
      </c>
      <c r="RE96">
        <v>0</v>
      </c>
      <c r="RF96">
        <v>1</v>
      </c>
      <c r="RJ96">
        <v>2</v>
      </c>
      <c r="RL96">
        <v>2</v>
      </c>
      <c r="RO96">
        <v>503</v>
      </c>
      <c r="RQ96">
        <v>998</v>
      </c>
      <c r="RT96">
        <v>157</v>
      </c>
      <c r="RU96">
        <v>144</v>
      </c>
      <c r="RV96" t="s">
        <v>1564</v>
      </c>
      <c r="RW96" t="s">
        <v>1498</v>
      </c>
      <c r="RX96">
        <v>15</v>
      </c>
      <c r="RY96">
        <v>4</v>
      </c>
      <c r="RZ96" t="s">
        <v>1498</v>
      </c>
      <c r="SA96">
        <v>15</v>
      </c>
      <c r="SC96" t="s">
        <v>1771</v>
      </c>
      <c r="SD96">
        <v>1</v>
      </c>
      <c r="SH96">
        <v>0.995</v>
      </c>
      <c r="SI96">
        <v>0.995</v>
      </c>
      <c r="SJ96">
        <v>0.995</v>
      </c>
      <c r="SK96">
        <v>15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TB96">
        <v>0</v>
      </c>
      <c r="TC96">
        <v>0</v>
      </c>
      <c r="TD96">
        <v>7.5</v>
      </c>
      <c r="TE96" t="s">
        <v>553</v>
      </c>
      <c r="TF96" t="s">
        <v>754</v>
      </c>
      <c r="TG96" t="s">
        <v>555</v>
      </c>
      <c r="TI96" t="s">
        <v>546</v>
      </c>
      <c r="TJ96" t="s">
        <v>547</v>
      </c>
      <c r="TL96" t="s">
        <v>1477</v>
      </c>
      <c r="TM96" t="s">
        <v>513</v>
      </c>
      <c r="TN96">
        <v>0</v>
      </c>
      <c r="TO96" t="s">
        <v>557</v>
      </c>
    </row>
    <row r="97" spans="1:535">
      <c r="A97" t="s">
        <v>1774</v>
      </c>
      <c r="B97" t="s">
        <v>564</v>
      </c>
      <c r="C97" t="s">
        <v>509</v>
      </c>
      <c r="D97" t="s">
        <v>1087</v>
      </c>
      <c r="G97" t="s">
        <v>627</v>
      </c>
      <c r="H97" t="s">
        <v>604</v>
      </c>
      <c r="I97" t="s">
        <v>628</v>
      </c>
      <c r="J97" t="s">
        <v>606</v>
      </c>
      <c r="L97" t="s">
        <v>512</v>
      </c>
      <c r="M97" t="s">
        <v>629</v>
      </c>
      <c r="N97" t="s">
        <v>513</v>
      </c>
      <c r="O97" t="s">
        <v>607</v>
      </c>
      <c r="Q97" t="s">
        <v>1775</v>
      </c>
      <c r="R97" t="s">
        <v>567</v>
      </c>
      <c r="S97" t="s">
        <v>1776</v>
      </c>
      <c r="T97" t="s">
        <v>1777</v>
      </c>
      <c r="U97" t="s">
        <v>520</v>
      </c>
      <c r="V97" t="s">
        <v>521</v>
      </c>
      <c r="W97" t="s">
        <v>1778</v>
      </c>
      <c r="X97" t="s">
        <v>1460</v>
      </c>
      <c r="Y97" t="s">
        <v>574</v>
      </c>
      <c r="Z97" t="s">
        <v>1779</v>
      </c>
      <c r="AA97" t="s">
        <v>1780</v>
      </c>
      <c r="AB97" t="s">
        <v>1781</v>
      </c>
      <c r="AC97">
        <v>2</v>
      </c>
      <c r="AD97">
        <v>56</v>
      </c>
      <c r="AE97">
        <v>239</v>
      </c>
      <c r="AF97">
        <v>1.5</v>
      </c>
      <c r="AH97">
        <v>0</v>
      </c>
      <c r="AI97" t="s">
        <v>1080</v>
      </c>
      <c r="AJ97">
        <v>217.5</v>
      </c>
      <c r="AK97">
        <v>1</v>
      </c>
      <c r="AL97">
        <v>1.5</v>
      </c>
      <c r="AM97" t="s">
        <v>579</v>
      </c>
      <c r="AN97" t="s">
        <v>693</v>
      </c>
      <c r="AO97">
        <v>2</v>
      </c>
      <c r="AP97" t="s">
        <v>581</v>
      </c>
      <c r="AQ97" t="s">
        <v>582</v>
      </c>
      <c r="AR97">
        <v>257</v>
      </c>
      <c r="AS97">
        <v>1.5</v>
      </c>
      <c r="AT97" t="s">
        <v>583</v>
      </c>
      <c r="AU97" t="s">
        <v>1782</v>
      </c>
      <c r="AW97" t="s">
        <v>1782</v>
      </c>
      <c r="AX97">
        <v>1</v>
      </c>
      <c r="AY97">
        <v>325</v>
      </c>
      <c r="AZ97">
        <v>1.5</v>
      </c>
      <c r="BA97" t="s">
        <v>579</v>
      </c>
      <c r="BB97" t="s">
        <v>1783</v>
      </c>
      <c r="BD97" t="s">
        <v>1783</v>
      </c>
      <c r="BE97">
        <v>1</v>
      </c>
      <c r="BF97">
        <v>262.5</v>
      </c>
      <c r="BG97">
        <v>1.5</v>
      </c>
      <c r="BJ97">
        <v>0</v>
      </c>
      <c r="BN97">
        <v>1.5</v>
      </c>
      <c r="BP97" t="s">
        <v>1784</v>
      </c>
      <c r="BQ97">
        <v>88</v>
      </c>
      <c r="BR97">
        <v>2</v>
      </c>
      <c r="BS97" t="s">
        <v>1785</v>
      </c>
      <c r="BT97">
        <v>236</v>
      </c>
      <c r="BU97">
        <v>0.5</v>
      </c>
      <c r="BV97" t="s">
        <v>1785</v>
      </c>
      <c r="BW97">
        <v>472</v>
      </c>
      <c r="BX97">
        <v>1</v>
      </c>
      <c r="BY97" t="s">
        <v>533</v>
      </c>
      <c r="BZ97">
        <v>470</v>
      </c>
      <c r="CA97">
        <v>550</v>
      </c>
      <c r="CB97" t="s">
        <v>534</v>
      </c>
      <c r="CC97" t="s">
        <v>534</v>
      </c>
      <c r="CD97">
        <v>488</v>
      </c>
      <c r="CE97" t="s">
        <v>535</v>
      </c>
      <c r="CF97">
        <v>15</v>
      </c>
      <c r="CG97" t="s">
        <v>816</v>
      </c>
      <c r="CH97" t="s">
        <v>816</v>
      </c>
      <c r="CI97">
        <v>40</v>
      </c>
      <c r="CJ97">
        <v>1200</v>
      </c>
      <c r="CK97">
        <v>2</v>
      </c>
      <c r="CL97">
        <v>1301</v>
      </c>
      <c r="CM97">
        <v>2</v>
      </c>
      <c r="CN97" t="s">
        <v>537</v>
      </c>
      <c r="CO97" t="s">
        <v>538</v>
      </c>
      <c r="CP97" t="s">
        <v>539</v>
      </c>
      <c r="CQ97" t="s">
        <v>596</v>
      </c>
      <c r="CR97" t="s">
        <v>541</v>
      </c>
      <c r="CS97" t="s">
        <v>542</v>
      </c>
      <c r="CT97">
        <v>435</v>
      </c>
      <c r="CU97">
        <v>5</v>
      </c>
      <c r="CV97">
        <v>1.2</v>
      </c>
      <c r="CW97">
        <v>1218</v>
      </c>
      <c r="CX97">
        <v>750</v>
      </c>
      <c r="CY97" t="s">
        <v>705</v>
      </c>
      <c r="CZ97">
        <v>50</v>
      </c>
      <c r="DA97">
        <v>3</v>
      </c>
      <c r="DB97">
        <v>1</v>
      </c>
      <c r="DC97">
        <v>1218</v>
      </c>
      <c r="DD97">
        <v>64</v>
      </c>
      <c r="DE97" t="s">
        <v>543</v>
      </c>
      <c r="DF97">
        <v>650</v>
      </c>
      <c r="DG97">
        <v>3</v>
      </c>
      <c r="DH97">
        <v>1.18</v>
      </c>
      <c r="DI97">
        <v>1211</v>
      </c>
      <c r="DJ97">
        <v>1222</v>
      </c>
      <c r="DK97" t="s">
        <v>543</v>
      </c>
      <c r="DL97">
        <v>525</v>
      </c>
      <c r="DM97">
        <v>3</v>
      </c>
      <c r="DN97">
        <v>1.18</v>
      </c>
      <c r="DO97">
        <v>1219</v>
      </c>
      <c r="DP97">
        <v>1028</v>
      </c>
      <c r="DW97" t="s">
        <v>544</v>
      </c>
      <c r="DX97">
        <v>7.5</v>
      </c>
      <c r="EA97">
        <v>1285.7</v>
      </c>
      <c r="EB97">
        <v>304</v>
      </c>
      <c r="EC97" t="s">
        <v>545</v>
      </c>
      <c r="ED97">
        <v>40</v>
      </c>
      <c r="EE97">
        <v>3</v>
      </c>
      <c r="EG97">
        <v>1337</v>
      </c>
      <c r="EH97">
        <v>213</v>
      </c>
      <c r="EJ97">
        <v>0</v>
      </c>
      <c r="EK97">
        <v>1</v>
      </c>
      <c r="EN97">
        <v>0</v>
      </c>
      <c r="EP97" t="s">
        <v>546</v>
      </c>
      <c r="EQ97">
        <v>140</v>
      </c>
      <c r="ER97">
        <v>3</v>
      </c>
      <c r="ES97">
        <v>5.5</v>
      </c>
      <c r="ET97">
        <v>1198</v>
      </c>
      <c r="EU97">
        <v>653</v>
      </c>
      <c r="EV97">
        <v>782</v>
      </c>
      <c r="EW97" t="s">
        <v>547</v>
      </c>
      <c r="EX97">
        <v>45</v>
      </c>
      <c r="EY97">
        <v>2</v>
      </c>
      <c r="EZ97">
        <v>4.8</v>
      </c>
      <c r="FA97">
        <v>1198</v>
      </c>
      <c r="FB97">
        <v>167.3</v>
      </c>
      <c r="FC97">
        <v>200</v>
      </c>
      <c r="FE97">
        <v>0</v>
      </c>
      <c r="FF97">
        <v>2</v>
      </c>
      <c r="FI97">
        <v>0</v>
      </c>
      <c r="FK97" t="s">
        <v>548</v>
      </c>
      <c r="FL97">
        <v>0.4</v>
      </c>
      <c r="FM97">
        <v>40</v>
      </c>
      <c r="FN97">
        <v>410</v>
      </c>
      <c r="FO97">
        <v>105</v>
      </c>
      <c r="FP97">
        <v>120</v>
      </c>
      <c r="GR97" t="s">
        <v>548</v>
      </c>
      <c r="GS97">
        <v>0.4</v>
      </c>
      <c r="GT97">
        <v>150</v>
      </c>
      <c r="GU97">
        <v>130</v>
      </c>
      <c r="HC97">
        <v>0.1</v>
      </c>
      <c r="HD97">
        <v>3</v>
      </c>
      <c r="HE97">
        <v>3</v>
      </c>
      <c r="HF97">
        <v>3</v>
      </c>
      <c r="HG97">
        <v>3</v>
      </c>
      <c r="HH97">
        <v>3</v>
      </c>
      <c r="HI97">
        <v>170</v>
      </c>
      <c r="HJ97">
        <v>3</v>
      </c>
      <c r="HK97">
        <v>30</v>
      </c>
      <c r="HL97">
        <v>2</v>
      </c>
      <c r="HM97">
        <v>0</v>
      </c>
      <c r="HN97">
        <v>2</v>
      </c>
      <c r="HO97">
        <v>125</v>
      </c>
      <c r="HP97">
        <v>3</v>
      </c>
      <c r="HQ97">
        <v>0</v>
      </c>
      <c r="HR97">
        <v>2</v>
      </c>
      <c r="HS97">
        <v>6126</v>
      </c>
      <c r="HT97">
        <v>180</v>
      </c>
      <c r="HU97">
        <v>180</v>
      </c>
      <c r="HW97">
        <v>0</v>
      </c>
      <c r="HX97">
        <v>530</v>
      </c>
      <c r="HY97">
        <v>0.18</v>
      </c>
      <c r="IA97">
        <v>0.15</v>
      </c>
      <c r="IB97">
        <v>0</v>
      </c>
      <c r="IC97">
        <v>180</v>
      </c>
      <c r="ID97">
        <v>110</v>
      </c>
      <c r="IE97">
        <v>225</v>
      </c>
      <c r="IF97">
        <v>0</v>
      </c>
      <c r="IH97" t="s">
        <v>549</v>
      </c>
      <c r="IO97">
        <v>3</v>
      </c>
      <c r="IP97">
        <v>16</v>
      </c>
      <c r="IQ97">
        <v>0</v>
      </c>
      <c r="IR97">
        <v>0</v>
      </c>
      <c r="IV97">
        <v>1200</v>
      </c>
      <c r="IW97">
        <v>472</v>
      </c>
      <c r="JA97">
        <v>1</v>
      </c>
      <c r="JB97">
        <v>0</v>
      </c>
      <c r="JC97">
        <v>2</v>
      </c>
      <c r="JD97">
        <v>1218</v>
      </c>
      <c r="JE97">
        <v>1211</v>
      </c>
      <c r="JF97">
        <v>1219</v>
      </c>
      <c r="JG97">
        <v>1198</v>
      </c>
      <c r="JH97">
        <v>0</v>
      </c>
      <c r="JJ97">
        <v>180</v>
      </c>
      <c r="JK97">
        <v>530</v>
      </c>
      <c r="JN97">
        <v>435</v>
      </c>
      <c r="JO97">
        <v>650</v>
      </c>
      <c r="JP97">
        <v>525</v>
      </c>
      <c r="JQ97">
        <v>0</v>
      </c>
      <c r="JR97">
        <v>478</v>
      </c>
      <c r="JS97">
        <v>170</v>
      </c>
      <c r="JV97">
        <v>8</v>
      </c>
      <c r="JW97" t="s">
        <v>550</v>
      </c>
      <c r="JX97">
        <v>514</v>
      </c>
      <c r="KA97">
        <v>225</v>
      </c>
      <c r="KB97">
        <v>110</v>
      </c>
      <c r="KC97">
        <v>0</v>
      </c>
      <c r="KD97">
        <v>80</v>
      </c>
      <c r="KF97">
        <v>4</v>
      </c>
      <c r="KG97">
        <v>2</v>
      </c>
      <c r="KH97">
        <v>2</v>
      </c>
      <c r="KI97">
        <v>2</v>
      </c>
      <c r="KJ97">
        <v>0</v>
      </c>
      <c r="KK97">
        <v>1.5</v>
      </c>
      <c r="KL97">
        <v>1.5</v>
      </c>
      <c r="KM97">
        <v>0</v>
      </c>
      <c r="KN97">
        <v>0</v>
      </c>
      <c r="KO97">
        <v>0</v>
      </c>
      <c r="KR97">
        <v>30</v>
      </c>
      <c r="KS97">
        <v>60</v>
      </c>
      <c r="KT97">
        <v>0</v>
      </c>
      <c r="LK97">
        <v>480</v>
      </c>
      <c r="PG97">
        <v>1</v>
      </c>
      <c r="PI97" t="s">
        <v>1781</v>
      </c>
      <c r="PJ97" t="s">
        <v>1782</v>
      </c>
      <c r="PK97" t="s">
        <v>1783</v>
      </c>
      <c r="PL97" t="s">
        <v>1080</v>
      </c>
      <c r="PP97" t="s">
        <v>1784</v>
      </c>
      <c r="PS97" t="s">
        <v>693</v>
      </c>
      <c r="PX97">
        <v>56</v>
      </c>
      <c r="PY97">
        <v>56</v>
      </c>
      <c r="PZ97" t="s">
        <v>1781</v>
      </c>
      <c r="QA97">
        <v>2</v>
      </c>
      <c r="QB97">
        <v>1198</v>
      </c>
      <c r="QC97">
        <v>69</v>
      </c>
      <c r="QD97">
        <v>69</v>
      </c>
      <c r="QE97" t="s">
        <v>1080</v>
      </c>
      <c r="QF97">
        <v>1</v>
      </c>
      <c r="QG97">
        <v>1218</v>
      </c>
      <c r="QH97">
        <v>66</v>
      </c>
      <c r="QI97">
        <v>66</v>
      </c>
      <c r="QJ97" t="s">
        <v>693</v>
      </c>
      <c r="QK97">
        <v>1</v>
      </c>
      <c r="QL97">
        <v>1218</v>
      </c>
      <c r="QM97">
        <v>62</v>
      </c>
      <c r="QN97">
        <v>62</v>
      </c>
      <c r="QO97" t="s">
        <v>1782</v>
      </c>
      <c r="QP97">
        <v>1</v>
      </c>
      <c r="QQ97">
        <v>1211</v>
      </c>
      <c r="QR97">
        <v>62</v>
      </c>
      <c r="QS97">
        <v>62</v>
      </c>
      <c r="QT97" t="s">
        <v>1783</v>
      </c>
      <c r="QU97">
        <v>1</v>
      </c>
      <c r="QV97">
        <v>1219</v>
      </c>
      <c r="QW97">
        <v>82</v>
      </c>
      <c r="QX97">
        <v>88</v>
      </c>
      <c r="QY97" t="s">
        <v>1784</v>
      </c>
      <c r="QZ97">
        <v>1</v>
      </c>
      <c r="RA97">
        <v>66</v>
      </c>
      <c r="RB97">
        <v>66</v>
      </c>
      <c r="RE97">
        <v>0</v>
      </c>
      <c r="RF97">
        <v>1</v>
      </c>
      <c r="RH97">
        <v>1</v>
      </c>
      <c r="RJ97">
        <v>2</v>
      </c>
      <c r="RK97">
        <v>2</v>
      </c>
      <c r="RL97">
        <v>1</v>
      </c>
      <c r="RM97">
        <v>1</v>
      </c>
      <c r="RO97">
        <v>616</v>
      </c>
      <c r="RP97">
        <v>105</v>
      </c>
      <c r="RQ97">
        <v>1009</v>
      </c>
      <c r="RR97">
        <v>843</v>
      </c>
      <c r="RT97">
        <v>304</v>
      </c>
      <c r="RU97">
        <v>213</v>
      </c>
      <c r="RV97" t="s">
        <v>1786</v>
      </c>
      <c r="RW97" t="s">
        <v>552</v>
      </c>
      <c r="RX97">
        <v>15</v>
      </c>
      <c r="RY97">
        <v>4</v>
      </c>
      <c r="RZ97" t="s">
        <v>552</v>
      </c>
      <c r="SA97">
        <v>15</v>
      </c>
      <c r="SC97" t="s">
        <v>1782</v>
      </c>
      <c r="SD97">
        <v>1</v>
      </c>
      <c r="SF97" t="s">
        <v>1783</v>
      </c>
      <c r="SG97">
        <v>1</v>
      </c>
      <c r="SH97">
        <v>0.995</v>
      </c>
      <c r="SI97">
        <v>0.995</v>
      </c>
      <c r="SJ97">
        <v>0.995</v>
      </c>
      <c r="SK97">
        <v>15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1</v>
      </c>
      <c r="SZ97">
        <v>1</v>
      </c>
      <c r="TB97">
        <v>0</v>
      </c>
      <c r="TC97">
        <v>0</v>
      </c>
      <c r="TD97">
        <v>7.5</v>
      </c>
      <c r="TE97" t="s">
        <v>553</v>
      </c>
      <c r="TF97" t="s">
        <v>681</v>
      </c>
      <c r="TG97" t="s">
        <v>555</v>
      </c>
      <c r="TI97" t="s">
        <v>546</v>
      </c>
      <c r="TJ97" t="s">
        <v>547</v>
      </c>
      <c r="TL97" t="s">
        <v>1477</v>
      </c>
      <c r="TM97" t="s">
        <v>513</v>
      </c>
      <c r="TN97">
        <v>0</v>
      </c>
      <c r="TO97" t="s">
        <v>557</v>
      </c>
    </row>
    <row r="98" spans="1:535">
      <c r="A98" t="s">
        <v>1787</v>
      </c>
      <c r="B98" t="s">
        <v>711</v>
      </c>
      <c r="C98" t="s">
        <v>509</v>
      </c>
      <c r="D98" t="s">
        <v>1087</v>
      </c>
      <c r="G98" t="s">
        <v>627</v>
      </c>
      <c r="H98" t="s">
        <v>604</v>
      </c>
      <c r="I98" t="s">
        <v>628</v>
      </c>
      <c r="J98" t="s">
        <v>606</v>
      </c>
      <c r="L98" t="s">
        <v>512</v>
      </c>
      <c r="M98" t="s">
        <v>804</v>
      </c>
      <c r="N98" t="s">
        <v>513</v>
      </c>
      <c r="O98" t="s">
        <v>565</v>
      </c>
      <c r="Q98" t="s">
        <v>1788</v>
      </c>
      <c r="R98" t="s">
        <v>567</v>
      </c>
      <c r="S98" t="s">
        <v>1152</v>
      </c>
      <c r="T98" t="s">
        <v>661</v>
      </c>
      <c r="U98" t="s">
        <v>633</v>
      </c>
      <c r="V98" t="s">
        <v>634</v>
      </c>
      <c r="W98" t="s">
        <v>1212</v>
      </c>
      <c r="X98" t="s">
        <v>1460</v>
      </c>
      <c r="Y98" t="s">
        <v>524</v>
      </c>
      <c r="Z98" t="s">
        <v>1789</v>
      </c>
      <c r="AA98" t="s">
        <v>1790</v>
      </c>
      <c r="AB98" t="s">
        <v>1732</v>
      </c>
      <c r="AC98">
        <v>2</v>
      </c>
      <c r="AD98">
        <v>56</v>
      </c>
      <c r="AE98">
        <v>187</v>
      </c>
      <c r="AF98">
        <v>1.5</v>
      </c>
      <c r="AH98">
        <v>0</v>
      </c>
      <c r="AI98" t="s">
        <v>1331</v>
      </c>
      <c r="AJ98">
        <v>197.5</v>
      </c>
      <c r="AK98">
        <v>1</v>
      </c>
      <c r="AL98">
        <v>1.5</v>
      </c>
      <c r="AM98" t="s">
        <v>529</v>
      </c>
      <c r="AO98">
        <v>0</v>
      </c>
      <c r="AR98">
        <v>0</v>
      </c>
      <c r="AS98">
        <v>1.5</v>
      </c>
      <c r="AU98" t="s">
        <v>1791</v>
      </c>
      <c r="AW98" t="s">
        <v>1791</v>
      </c>
      <c r="AX98">
        <v>1</v>
      </c>
      <c r="AY98">
        <v>350</v>
      </c>
      <c r="AZ98">
        <v>1.5</v>
      </c>
      <c r="BA98" t="s">
        <v>529</v>
      </c>
      <c r="BG98">
        <v>1.5</v>
      </c>
      <c r="BJ98">
        <v>0</v>
      </c>
      <c r="BN98">
        <v>1.5</v>
      </c>
      <c r="BP98" t="s">
        <v>1792</v>
      </c>
      <c r="BQ98">
        <v>89</v>
      </c>
      <c r="BR98">
        <v>2</v>
      </c>
      <c r="BS98" t="s">
        <v>642</v>
      </c>
      <c r="BT98">
        <v>209</v>
      </c>
      <c r="BU98">
        <v>0.5</v>
      </c>
      <c r="BV98" t="s">
        <v>642</v>
      </c>
      <c r="BW98">
        <v>418</v>
      </c>
      <c r="BX98">
        <v>1</v>
      </c>
      <c r="BY98" t="s">
        <v>643</v>
      </c>
      <c r="BZ98">
        <v>300</v>
      </c>
      <c r="CA98">
        <v>480</v>
      </c>
      <c r="CB98" t="s">
        <v>644</v>
      </c>
      <c r="CC98" t="s">
        <v>644</v>
      </c>
      <c r="CD98">
        <v>434</v>
      </c>
      <c r="CE98" t="s">
        <v>544</v>
      </c>
      <c r="CF98">
        <v>15</v>
      </c>
      <c r="CG98" t="s">
        <v>830</v>
      </c>
      <c r="CH98" t="s">
        <v>830</v>
      </c>
      <c r="CI98">
        <v>90</v>
      </c>
      <c r="CJ98">
        <v>1301</v>
      </c>
      <c r="CK98">
        <v>2</v>
      </c>
      <c r="CL98">
        <v>1395</v>
      </c>
      <c r="CM98">
        <v>2</v>
      </c>
      <c r="CN98" t="s">
        <v>646</v>
      </c>
      <c r="CO98" t="s">
        <v>647</v>
      </c>
      <c r="CP98" t="s">
        <v>648</v>
      </c>
      <c r="CQ98" t="s">
        <v>1496</v>
      </c>
      <c r="CR98" t="s">
        <v>541</v>
      </c>
      <c r="CS98" t="s">
        <v>542</v>
      </c>
      <c r="CT98">
        <v>395</v>
      </c>
      <c r="CU98">
        <v>5</v>
      </c>
      <c r="CV98">
        <v>1.2</v>
      </c>
      <c r="CW98">
        <v>1314</v>
      </c>
      <c r="CX98">
        <v>735</v>
      </c>
      <c r="DD98">
        <v>0</v>
      </c>
      <c r="DE98" t="s">
        <v>543</v>
      </c>
      <c r="DF98">
        <v>700</v>
      </c>
      <c r="DG98">
        <v>3</v>
      </c>
      <c r="DH98">
        <v>1.18</v>
      </c>
      <c r="DI98">
        <v>1312</v>
      </c>
      <c r="DJ98">
        <v>1384</v>
      </c>
      <c r="DW98" t="s">
        <v>544</v>
      </c>
      <c r="DX98">
        <v>7.5</v>
      </c>
      <c r="EA98">
        <v>1381.4</v>
      </c>
      <c r="EB98">
        <v>261</v>
      </c>
      <c r="EC98" t="s">
        <v>545</v>
      </c>
      <c r="ED98">
        <v>45</v>
      </c>
      <c r="EE98">
        <v>3</v>
      </c>
      <c r="EG98">
        <v>1422</v>
      </c>
      <c r="EH98">
        <v>259</v>
      </c>
      <c r="EJ98">
        <v>0</v>
      </c>
      <c r="EK98">
        <v>1</v>
      </c>
      <c r="EN98">
        <v>0</v>
      </c>
      <c r="EP98" t="s">
        <v>546</v>
      </c>
      <c r="EQ98">
        <v>100</v>
      </c>
      <c r="ER98">
        <v>3</v>
      </c>
      <c r="ES98">
        <v>5.5</v>
      </c>
      <c r="ET98">
        <v>1298</v>
      </c>
      <c r="EU98">
        <v>428.2</v>
      </c>
      <c r="EV98">
        <v>556</v>
      </c>
      <c r="EW98" t="s">
        <v>547</v>
      </c>
      <c r="EX98">
        <v>70</v>
      </c>
      <c r="EY98">
        <v>2</v>
      </c>
      <c r="EZ98">
        <v>4.5</v>
      </c>
      <c r="FA98">
        <v>1298</v>
      </c>
      <c r="FB98">
        <v>219.6</v>
      </c>
      <c r="FC98">
        <v>285</v>
      </c>
      <c r="FE98">
        <v>0</v>
      </c>
      <c r="FF98">
        <v>2</v>
      </c>
      <c r="FI98">
        <v>0</v>
      </c>
      <c r="FK98" t="s">
        <v>548</v>
      </c>
      <c r="FL98">
        <v>0.4</v>
      </c>
      <c r="FM98">
        <v>90</v>
      </c>
      <c r="FN98">
        <v>120</v>
      </c>
      <c r="FR98" t="s">
        <v>548</v>
      </c>
      <c r="FS98">
        <v>0.4</v>
      </c>
      <c r="FT98">
        <v>30</v>
      </c>
      <c r="FU98">
        <v>380</v>
      </c>
      <c r="HC98">
        <v>0.1</v>
      </c>
      <c r="HD98">
        <v>3</v>
      </c>
      <c r="HE98">
        <v>3</v>
      </c>
      <c r="HF98">
        <v>3</v>
      </c>
      <c r="HG98">
        <v>3</v>
      </c>
      <c r="HH98">
        <v>3</v>
      </c>
      <c r="HI98">
        <v>155</v>
      </c>
      <c r="HJ98">
        <v>3</v>
      </c>
      <c r="HK98">
        <v>55</v>
      </c>
      <c r="HL98">
        <v>2</v>
      </c>
      <c r="HM98">
        <v>0</v>
      </c>
      <c r="HN98">
        <v>2</v>
      </c>
      <c r="HO98">
        <v>85</v>
      </c>
      <c r="HP98">
        <v>3</v>
      </c>
      <c r="HQ98">
        <v>0</v>
      </c>
      <c r="HR98">
        <v>2</v>
      </c>
      <c r="HS98">
        <v>4841</v>
      </c>
      <c r="HT98">
        <v>150</v>
      </c>
      <c r="HU98">
        <v>180</v>
      </c>
      <c r="HW98">
        <v>20</v>
      </c>
      <c r="HX98">
        <v>480</v>
      </c>
      <c r="HY98">
        <v>0.18</v>
      </c>
      <c r="IA98">
        <v>0.15</v>
      </c>
      <c r="IB98">
        <v>0</v>
      </c>
      <c r="IC98">
        <v>180</v>
      </c>
      <c r="ID98">
        <v>110</v>
      </c>
      <c r="IE98">
        <v>0</v>
      </c>
      <c r="IF98">
        <v>0</v>
      </c>
      <c r="IH98" t="s">
        <v>549</v>
      </c>
      <c r="IO98">
        <v>1</v>
      </c>
      <c r="IP98">
        <v>17</v>
      </c>
      <c r="IQ98">
        <v>0</v>
      </c>
      <c r="IR98">
        <v>1</v>
      </c>
      <c r="IV98">
        <v>1301</v>
      </c>
      <c r="IW98">
        <v>418</v>
      </c>
      <c r="JA98">
        <v>1</v>
      </c>
      <c r="JB98">
        <v>0</v>
      </c>
      <c r="JC98">
        <v>2</v>
      </c>
      <c r="JD98">
        <v>1314</v>
      </c>
      <c r="JE98">
        <v>1312</v>
      </c>
      <c r="JF98">
        <v>0</v>
      </c>
      <c r="JG98">
        <v>1298</v>
      </c>
      <c r="JH98">
        <v>0</v>
      </c>
      <c r="JJ98">
        <v>180</v>
      </c>
      <c r="JK98">
        <v>480</v>
      </c>
      <c r="JN98">
        <v>395</v>
      </c>
      <c r="JO98">
        <v>700</v>
      </c>
      <c r="JP98">
        <v>0</v>
      </c>
      <c r="JQ98">
        <v>0</v>
      </c>
      <c r="JR98">
        <v>374</v>
      </c>
      <c r="JS98">
        <v>155</v>
      </c>
      <c r="JV98">
        <v>8</v>
      </c>
      <c r="JW98" t="s">
        <v>550</v>
      </c>
      <c r="JX98">
        <v>0</v>
      </c>
      <c r="KA98">
        <v>0</v>
      </c>
      <c r="KB98">
        <v>110</v>
      </c>
      <c r="KC98">
        <v>0</v>
      </c>
      <c r="KD98">
        <v>80</v>
      </c>
      <c r="KF98">
        <v>4</v>
      </c>
      <c r="KG98">
        <v>4</v>
      </c>
      <c r="KH98">
        <v>2</v>
      </c>
      <c r="KI98">
        <v>2</v>
      </c>
      <c r="KJ98">
        <v>0</v>
      </c>
      <c r="KK98">
        <v>1.5</v>
      </c>
      <c r="KL98">
        <v>1.5</v>
      </c>
      <c r="KM98">
        <v>0</v>
      </c>
      <c r="KN98">
        <v>0</v>
      </c>
      <c r="KO98">
        <v>0</v>
      </c>
      <c r="KR98">
        <v>30</v>
      </c>
      <c r="KS98">
        <v>60</v>
      </c>
      <c r="KT98">
        <v>0</v>
      </c>
      <c r="LK98">
        <v>480</v>
      </c>
      <c r="PG98">
        <v>1</v>
      </c>
      <c r="PI98" t="s">
        <v>1732</v>
      </c>
      <c r="PJ98" t="s">
        <v>1791</v>
      </c>
      <c r="PL98" t="s">
        <v>1331</v>
      </c>
      <c r="PP98" t="s">
        <v>1792</v>
      </c>
      <c r="PX98">
        <v>56</v>
      </c>
      <c r="PY98">
        <v>56</v>
      </c>
      <c r="PZ98" t="s">
        <v>1732</v>
      </c>
      <c r="QA98">
        <v>2</v>
      </c>
      <c r="QB98">
        <v>1298</v>
      </c>
      <c r="QC98">
        <v>69</v>
      </c>
      <c r="QD98">
        <v>69</v>
      </c>
      <c r="QE98" t="s">
        <v>1331</v>
      </c>
      <c r="QF98">
        <v>1</v>
      </c>
      <c r="QG98">
        <v>1314</v>
      </c>
      <c r="QH98">
        <v>66</v>
      </c>
      <c r="QI98">
        <v>66</v>
      </c>
      <c r="QL98">
        <v>0</v>
      </c>
      <c r="QM98">
        <v>62</v>
      </c>
      <c r="QN98">
        <v>62</v>
      </c>
      <c r="QO98" t="s">
        <v>1791</v>
      </c>
      <c r="QP98">
        <v>1</v>
      </c>
      <c r="QQ98">
        <v>1312</v>
      </c>
      <c r="QW98">
        <v>82</v>
      </c>
      <c r="QX98">
        <v>89</v>
      </c>
      <c r="QY98" t="s">
        <v>1792</v>
      </c>
      <c r="QZ98">
        <v>1</v>
      </c>
      <c r="RA98">
        <v>66</v>
      </c>
      <c r="RB98">
        <v>66</v>
      </c>
      <c r="RE98">
        <v>0</v>
      </c>
      <c r="RF98">
        <v>1</v>
      </c>
      <c r="RJ98">
        <v>1</v>
      </c>
      <c r="RL98">
        <v>1</v>
      </c>
      <c r="RO98">
        <v>559</v>
      </c>
      <c r="RQ98">
        <v>1055</v>
      </c>
      <c r="RT98">
        <v>261</v>
      </c>
      <c r="RU98">
        <v>259</v>
      </c>
      <c r="RV98" t="s">
        <v>652</v>
      </c>
      <c r="RW98" t="s">
        <v>653</v>
      </c>
      <c r="RX98">
        <v>15</v>
      </c>
      <c r="RY98">
        <v>4</v>
      </c>
      <c r="RZ98" t="s">
        <v>653</v>
      </c>
      <c r="SA98">
        <v>15</v>
      </c>
      <c r="SC98" t="s">
        <v>1791</v>
      </c>
      <c r="SD98">
        <v>1</v>
      </c>
      <c r="SH98">
        <v>0.995</v>
      </c>
      <c r="SI98">
        <v>0.995</v>
      </c>
      <c r="SJ98">
        <v>0.995</v>
      </c>
      <c r="SK98">
        <v>15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TB98">
        <v>0</v>
      </c>
      <c r="TC98">
        <v>0</v>
      </c>
      <c r="TD98">
        <v>7.5</v>
      </c>
      <c r="TE98" t="s">
        <v>553</v>
      </c>
      <c r="TF98" t="s">
        <v>655</v>
      </c>
      <c r="TG98" t="s">
        <v>555</v>
      </c>
      <c r="TI98" t="s">
        <v>546</v>
      </c>
      <c r="TJ98" t="s">
        <v>547</v>
      </c>
      <c r="TL98" t="s">
        <v>1477</v>
      </c>
      <c r="TM98" t="s">
        <v>513</v>
      </c>
      <c r="TN98">
        <v>0</v>
      </c>
      <c r="TO98" t="s">
        <v>557</v>
      </c>
    </row>
    <row r="99" spans="1:535">
      <c r="A99" t="s">
        <v>1793</v>
      </c>
      <c r="B99" t="s">
        <v>657</v>
      </c>
      <c r="C99" t="s">
        <v>509</v>
      </c>
      <c r="D99" t="s">
        <v>1073</v>
      </c>
      <c r="G99" t="s">
        <v>604</v>
      </c>
      <c r="H99" t="s">
        <v>605</v>
      </c>
      <c r="I99" t="s">
        <v>628</v>
      </c>
      <c r="L99" t="s">
        <v>512</v>
      </c>
      <c r="M99" t="s">
        <v>559</v>
      </c>
      <c r="N99" t="s">
        <v>513</v>
      </c>
      <c r="O99" t="s">
        <v>565</v>
      </c>
      <c r="Q99" t="s">
        <v>1794</v>
      </c>
      <c r="R99" t="s">
        <v>567</v>
      </c>
      <c r="S99" t="s">
        <v>1795</v>
      </c>
      <c r="T99" t="s">
        <v>1796</v>
      </c>
      <c r="U99" t="s">
        <v>1482</v>
      </c>
      <c r="V99" t="s">
        <v>1483</v>
      </c>
      <c r="W99" t="s">
        <v>1797</v>
      </c>
      <c r="X99" t="s">
        <v>1460</v>
      </c>
      <c r="Y99" t="s">
        <v>524</v>
      </c>
      <c r="Z99" t="s">
        <v>1798</v>
      </c>
      <c r="AA99" t="s">
        <v>1799</v>
      </c>
      <c r="AB99" t="s">
        <v>1800</v>
      </c>
      <c r="AC99">
        <v>2</v>
      </c>
      <c r="AD99">
        <v>56</v>
      </c>
      <c r="AE99">
        <v>148</v>
      </c>
      <c r="AF99">
        <v>1.5</v>
      </c>
      <c r="AH99">
        <v>0</v>
      </c>
      <c r="AI99" t="s">
        <v>1801</v>
      </c>
      <c r="AJ99">
        <v>160</v>
      </c>
      <c r="AK99">
        <v>1</v>
      </c>
      <c r="AL99">
        <v>1.5</v>
      </c>
      <c r="AM99" t="s">
        <v>529</v>
      </c>
      <c r="AO99">
        <v>0</v>
      </c>
      <c r="AR99">
        <v>0</v>
      </c>
      <c r="AS99">
        <v>1.5</v>
      </c>
      <c r="AV99" t="s">
        <v>1802</v>
      </c>
      <c r="AW99" t="s">
        <v>1802</v>
      </c>
      <c r="AX99">
        <v>1</v>
      </c>
      <c r="AY99">
        <v>227.5</v>
      </c>
      <c r="AZ99">
        <v>1.5</v>
      </c>
      <c r="BA99" t="s">
        <v>529</v>
      </c>
      <c r="BG99">
        <v>1.5</v>
      </c>
      <c r="BJ99">
        <v>0</v>
      </c>
      <c r="BN99">
        <v>1.5</v>
      </c>
      <c r="BP99" t="s">
        <v>1803</v>
      </c>
      <c r="BQ99">
        <v>82</v>
      </c>
      <c r="BR99">
        <v>2</v>
      </c>
      <c r="BS99" t="s">
        <v>1804</v>
      </c>
      <c r="BT99">
        <v>171</v>
      </c>
      <c r="BU99">
        <v>0.5</v>
      </c>
      <c r="BV99" t="s">
        <v>1804</v>
      </c>
      <c r="BW99">
        <v>342</v>
      </c>
      <c r="BX99">
        <v>1</v>
      </c>
      <c r="BY99" t="s">
        <v>1491</v>
      </c>
      <c r="BZ99">
        <v>300</v>
      </c>
      <c r="CA99">
        <v>400</v>
      </c>
      <c r="CB99" t="s">
        <v>1492</v>
      </c>
      <c r="CC99" t="s">
        <v>1492</v>
      </c>
      <c r="CD99">
        <v>350</v>
      </c>
      <c r="CE99" t="s">
        <v>1493</v>
      </c>
      <c r="CF99">
        <v>15</v>
      </c>
      <c r="CG99" t="s">
        <v>1805</v>
      </c>
      <c r="CH99" t="s">
        <v>1805</v>
      </c>
      <c r="CI99">
        <v>50</v>
      </c>
      <c r="CJ99">
        <v>1122</v>
      </c>
      <c r="CK99">
        <v>2</v>
      </c>
      <c r="CL99">
        <v>1222</v>
      </c>
      <c r="CM99">
        <v>2</v>
      </c>
      <c r="CN99" t="s">
        <v>1495</v>
      </c>
      <c r="CO99" t="s">
        <v>1473</v>
      </c>
      <c r="CP99" t="s">
        <v>1474</v>
      </c>
      <c r="CQ99" t="s">
        <v>649</v>
      </c>
      <c r="CR99" t="s">
        <v>650</v>
      </c>
      <c r="CS99" t="s">
        <v>542</v>
      </c>
      <c r="CT99">
        <v>320</v>
      </c>
      <c r="CU99">
        <v>5</v>
      </c>
      <c r="CV99">
        <v>1.2</v>
      </c>
      <c r="CW99">
        <v>1136</v>
      </c>
      <c r="CX99">
        <v>515</v>
      </c>
      <c r="DD99">
        <v>0</v>
      </c>
      <c r="DE99" t="s">
        <v>543</v>
      </c>
      <c r="DF99">
        <v>455</v>
      </c>
      <c r="DG99">
        <v>3</v>
      </c>
      <c r="DH99">
        <v>1.18</v>
      </c>
      <c r="DI99">
        <v>1134</v>
      </c>
      <c r="DJ99">
        <v>907</v>
      </c>
      <c r="DW99" t="s">
        <v>544</v>
      </c>
      <c r="DX99">
        <v>7.5</v>
      </c>
      <c r="EA99">
        <v>1202.7</v>
      </c>
      <c r="EB99">
        <v>171</v>
      </c>
      <c r="EC99" t="s">
        <v>545</v>
      </c>
      <c r="ED99">
        <v>25</v>
      </c>
      <c r="EE99">
        <v>3</v>
      </c>
      <c r="EG99">
        <v>1233</v>
      </c>
      <c r="EH99">
        <v>134</v>
      </c>
      <c r="EJ99">
        <v>0</v>
      </c>
      <c r="EK99">
        <v>1</v>
      </c>
      <c r="EN99">
        <v>0</v>
      </c>
      <c r="EP99" t="s">
        <v>546</v>
      </c>
      <c r="EQ99">
        <v>65</v>
      </c>
      <c r="ER99">
        <v>3</v>
      </c>
      <c r="ES99">
        <v>5</v>
      </c>
      <c r="ET99">
        <v>1117</v>
      </c>
      <c r="EU99">
        <v>261.5</v>
      </c>
      <c r="EV99">
        <v>292</v>
      </c>
      <c r="EW99" t="s">
        <v>547</v>
      </c>
      <c r="EX99">
        <v>70</v>
      </c>
      <c r="EY99">
        <v>2</v>
      </c>
      <c r="EZ99">
        <v>4</v>
      </c>
      <c r="FA99">
        <v>1117</v>
      </c>
      <c r="FB99">
        <v>219.1</v>
      </c>
      <c r="FC99">
        <v>245</v>
      </c>
      <c r="FE99">
        <v>0</v>
      </c>
      <c r="FF99">
        <v>2</v>
      </c>
      <c r="FI99">
        <v>0</v>
      </c>
      <c r="FK99" t="s">
        <v>548</v>
      </c>
      <c r="FL99">
        <v>0.4</v>
      </c>
      <c r="FM99">
        <v>90</v>
      </c>
      <c r="FN99">
        <v>100</v>
      </c>
      <c r="FR99" t="s">
        <v>548</v>
      </c>
      <c r="FS99">
        <v>0.4</v>
      </c>
      <c r="FT99">
        <v>30</v>
      </c>
      <c r="FU99">
        <v>310</v>
      </c>
      <c r="FV99">
        <v>40</v>
      </c>
      <c r="FW99">
        <v>180</v>
      </c>
      <c r="FY99" t="s">
        <v>651</v>
      </c>
      <c r="FZ99">
        <v>1</v>
      </c>
      <c r="GA99">
        <v>20</v>
      </c>
      <c r="GB99">
        <v>136</v>
      </c>
      <c r="GG99" t="s">
        <v>651</v>
      </c>
      <c r="GH99">
        <v>1</v>
      </c>
      <c r="GI99">
        <v>20</v>
      </c>
      <c r="GJ99">
        <v>136</v>
      </c>
      <c r="HC99">
        <v>0.1</v>
      </c>
      <c r="HD99">
        <v>3</v>
      </c>
      <c r="HE99">
        <v>3</v>
      </c>
      <c r="HF99">
        <v>3</v>
      </c>
      <c r="HG99">
        <v>3</v>
      </c>
      <c r="HH99">
        <v>3</v>
      </c>
      <c r="HI99">
        <v>120</v>
      </c>
      <c r="HJ99">
        <v>3</v>
      </c>
      <c r="HK99">
        <v>55</v>
      </c>
      <c r="HL99">
        <v>2</v>
      </c>
      <c r="HM99">
        <v>0</v>
      </c>
      <c r="HN99">
        <v>2</v>
      </c>
      <c r="HO99">
        <v>50</v>
      </c>
      <c r="HP99">
        <v>3</v>
      </c>
      <c r="HQ99">
        <v>0</v>
      </c>
      <c r="HR99">
        <v>2</v>
      </c>
      <c r="HS99">
        <v>3106</v>
      </c>
      <c r="HT99">
        <v>90</v>
      </c>
      <c r="HU99">
        <v>180</v>
      </c>
      <c r="HW99">
        <v>0</v>
      </c>
      <c r="HX99">
        <v>360</v>
      </c>
      <c r="HY99">
        <v>0.18</v>
      </c>
      <c r="IA99">
        <v>0.15</v>
      </c>
      <c r="IB99">
        <v>0</v>
      </c>
      <c r="IC99">
        <v>180</v>
      </c>
      <c r="ID99">
        <v>110</v>
      </c>
      <c r="IE99">
        <v>0</v>
      </c>
      <c r="IF99">
        <v>0</v>
      </c>
      <c r="IH99" t="s">
        <v>549</v>
      </c>
      <c r="IO99">
        <v>1</v>
      </c>
      <c r="IP99">
        <v>15</v>
      </c>
      <c r="IQ99">
        <v>0</v>
      </c>
      <c r="IR99">
        <v>1</v>
      </c>
      <c r="IV99">
        <v>1122</v>
      </c>
      <c r="IW99">
        <v>342</v>
      </c>
      <c r="JA99">
        <v>1</v>
      </c>
      <c r="JB99">
        <v>0</v>
      </c>
      <c r="JC99">
        <v>2</v>
      </c>
      <c r="JD99">
        <v>1136</v>
      </c>
      <c r="JE99">
        <v>1134</v>
      </c>
      <c r="JF99">
        <v>0</v>
      </c>
      <c r="JG99">
        <v>1117</v>
      </c>
      <c r="JH99">
        <v>0</v>
      </c>
      <c r="JJ99">
        <v>180</v>
      </c>
      <c r="JK99">
        <v>360</v>
      </c>
      <c r="JN99">
        <v>320</v>
      </c>
      <c r="JO99">
        <v>455</v>
      </c>
      <c r="JP99">
        <v>0</v>
      </c>
      <c r="JQ99">
        <v>0</v>
      </c>
      <c r="JR99">
        <v>296</v>
      </c>
      <c r="JS99">
        <v>120</v>
      </c>
      <c r="JV99">
        <v>8</v>
      </c>
      <c r="JW99" t="s">
        <v>550</v>
      </c>
      <c r="JX99">
        <v>0</v>
      </c>
      <c r="KA99">
        <v>0</v>
      </c>
      <c r="KB99">
        <v>110</v>
      </c>
      <c r="KC99">
        <v>0</v>
      </c>
      <c r="KD99">
        <v>80</v>
      </c>
      <c r="KF99">
        <v>4</v>
      </c>
      <c r="KG99">
        <v>2</v>
      </c>
      <c r="KH99">
        <v>2</v>
      </c>
      <c r="KI99">
        <v>2</v>
      </c>
      <c r="KJ99">
        <v>0</v>
      </c>
      <c r="KK99">
        <v>1.5</v>
      </c>
      <c r="KL99">
        <v>1.5</v>
      </c>
      <c r="KM99">
        <v>0</v>
      </c>
      <c r="KN99">
        <v>0</v>
      </c>
      <c r="KO99">
        <v>0</v>
      </c>
      <c r="KR99">
        <v>30</v>
      </c>
      <c r="KS99">
        <v>60</v>
      </c>
      <c r="KT99">
        <v>0</v>
      </c>
      <c r="LK99">
        <v>480</v>
      </c>
      <c r="PG99">
        <v>1</v>
      </c>
      <c r="PI99" t="s">
        <v>1800</v>
      </c>
      <c r="PJ99" t="s">
        <v>1802</v>
      </c>
      <c r="PL99" t="s">
        <v>1801</v>
      </c>
      <c r="PP99" t="s">
        <v>1803</v>
      </c>
      <c r="PX99">
        <v>56</v>
      </c>
      <c r="PY99">
        <v>56</v>
      </c>
      <c r="PZ99" t="s">
        <v>1800</v>
      </c>
      <c r="QA99">
        <v>2</v>
      </c>
      <c r="QB99">
        <v>1117</v>
      </c>
      <c r="QC99">
        <v>69</v>
      </c>
      <c r="QD99">
        <v>69</v>
      </c>
      <c r="QE99" t="s">
        <v>1801</v>
      </c>
      <c r="QF99">
        <v>1</v>
      </c>
      <c r="QG99">
        <v>1136</v>
      </c>
      <c r="QH99">
        <v>66</v>
      </c>
      <c r="QI99">
        <v>66</v>
      </c>
      <c r="QL99">
        <v>0</v>
      </c>
      <c r="QM99">
        <v>63</v>
      </c>
      <c r="QN99">
        <v>63</v>
      </c>
      <c r="QO99" t="s">
        <v>1802</v>
      </c>
      <c r="QP99">
        <v>1</v>
      </c>
      <c r="QQ99">
        <v>1134</v>
      </c>
      <c r="QW99">
        <v>82</v>
      </c>
      <c r="QX99">
        <v>82</v>
      </c>
      <c r="QY99" t="s">
        <v>1803</v>
      </c>
      <c r="QZ99">
        <v>2</v>
      </c>
      <c r="RA99">
        <v>66</v>
      </c>
      <c r="RB99">
        <v>66</v>
      </c>
      <c r="RE99">
        <v>0</v>
      </c>
      <c r="RG99">
        <v>1</v>
      </c>
      <c r="RJ99">
        <v>1</v>
      </c>
      <c r="RL99">
        <v>1</v>
      </c>
      <c r="RO99">
        <v>453</v>
      </c>
      <c r="RQ99">
        <v>800</v>
      </c>
      <c r="RT99">
        <v>171</v>
      </c>
      <c r="RU99">
        <v>134</v>
      </c>
      <c r="RV99" t="s">
        <v>1806</v>
      </c>
      <c r="RW99" t="s">
        <v>1498</v>
      </c>
      <c r="RX99">
        <v>15</v>
      </c>
      <c r="RY99">
        <v>4</v>
      </c>
      <c r="RZ99" t="s">
        <v>1498</v>
      </c>
      <c r="SA99">
        <v>15</v>
      </c>
      <c r="SB99" t="s">
        <v>1807</v>
      </c>
      <c r="SC99" t="s">
        <v>1807</v>
      </c>
      <c r="SD99">
        <v>1</v>
      </c>
      <c r="SH99">
        <v>0.995</v>
      </c>
      <c r="SI99">
        <v>0.995</v>
      </c>
      <c r="SJ99">
        <v>0.995</v>
      </c>
      <c r="SK99">
        <v>15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TB99">
        <v>0</v>
      </c>
      <c r="TC99">
        <v>0</v>
      </c>
      <c r="TD99">
        <v>7.5</v>
      </c>
      <c r="TE99" t="s">
        <v>553</v>
      </c>
      <c r="TF99" t="s">
        <v>554</v>
      </c>
      <c r="TG99" t="s">
        <v>555</v>
      </c>
      <c r="TI99" t="s">
        <v>546</v>
      </c>
      <c r="TJ99" t="s">
        <v>547</v>
      </c>
      <c r="TL99" t="s">
        <v>1477</v>
      </c>
      <c r="TM99" t="s">
        <v>513</v>
      </c>
      <c r="TN99">
        <v>0</v>
      </c>
      <c r="TO99" t="s">
        <v>557</v>
      </c>
    </row>
    <row r="100" spans="1:535">
      <c r="A100" t="s">
        <v>1808</v>
      </c>
      <c r="B100" t="s">
        <v>629</v>
      </c>
      <c r="C100" t="s">
        <v>509</v>
      </c>
      <c r="D100" t="s">
        <v>1809</v>
      </c>
      <c r="G100" t="s">
        <v>1135</v>
      </c>
      <c r="I100" t="s">
        <v>562</v>
      </c>
      <c r="J100" t="s">
        <v>563</v>
      </c>
      <c r="L100" t="s">
        <v>512</v>
      </c>
      <c r="M100" t="s">
        <v>711</v>
      </c>
      <c r="N100" t="s">
        <v>513</v>
      </c>
      <c r="O100" t="s">
        <v>607</v>
      </c>
      <c r="Q100" t="s">
        <v>1810</v>
      </c>
      <c r="R100" t="s">
        <v>567</v>
      </c>
      <c r="S100" t="s">
        <v>1811</v>
      </c>
      <c r="T100" t="s">
        <v>1812</v>
      </c>
      <c r="U100" t="s">
        <v>520</v>
      </c>
      <c r="V100" t="s">
        <v>521</v>
      </c>
      <c r="W100" t="s">
        <v>1813</v>
      </c>
      <c r="X100" t="s">
        <v>1460</v>
      </c>
      <c r="Y100" t="s">
        <v>524</v>
      </c>
      <c r="Z100" t="s">
        <v>1814</v>
      </c>
      <c r="AA100" t="s">
        <v>1815</v>
      </c>
      <c r="AB100" t="s">
        <v>1816</v>
      </c>
      <c r="AC100">
        <v>2</v>
      </c>
      <c r="AD100">
        <v>56</v>
      </c>
      <c r="AE100">
        <v>161</v>
      </c>
      <c r="AF100">
        <v>1.5</v>
      </c>
      <c r="AH100">
        <v>0</v>
      </c>
      <c r="AI100" t="s">
        <v>1021</v>
      </c>
      <c r="AJ100">
        <v>172.5</v>
      </c>
      <c r="AK100">
        <v>1</v>
      </c>
      <c r="AL100">
        <v>1.5</v>
      </c>
      <c r="AM100" t="s">
        <v>529</v>
      </c>
      <c r="AO100">
        <v>0</v>
      </c>
      <c r="AR100">
        <v>0</v>
      </c>
      <c r="AS100">
        <v>1.5</v>
      </c>
      <c r="AV100" t="s">
        <v>1817</v>
      </c>
      <c r="AW100" t="s">
        <v>1817</v>
      </c>
      <c r="AX100">
        <v>1</v>
      </c>
      <c r="AY100">
        <v>247.5</v>
      </c>
      <c r="AZ100">
        <v>1.5</v>
      </c>
      <c r="BA100" t="s">
        <v>529</v>
      </c>
      <c r="BG100">
        <v>1.5</v>
      </c>
      <c r="BJ100">
        <v>0</v>
      </c>
      <c r="BN100">
        <v>1.5</v>
      </c>
      <c r="BP100" t="s">
        <v>1818</v>
      </c>
      <c r="BQ100">
        <v>82</v>
      </c>
      <c r="BR100">
        <v>2</v>
      </c>
      <c r="BS100" t="s">
        <v>1735</v>
      </c>
      <c r="BT100">
        <v>183</v>
      </c>
      <c r="BU100">
        <v>0.5</v>
      </c>
      <c r="BV100" t="s">
        <v>1735</v>
      </c>
      <c r="BW100">
        <v>366</v>
      </c>
      <c r="BX100">
        <v>1</v>
      </c>
      <c r="BY100" t="s">
        <v>533</v>
      </c>
      <c r="BZ100">
        <v>300</v>
      </c>
      <c r="CA100">
        <v>440</v>
      </c>
      <c r="CB100" t="s">
        <v>534</v>
      </c>
      <c r="CC100" t="s">
        <v>534</v>
      </c>
      <c r="CD100">
        <v>392</v>
      </c>
      <c r="CE100" t="s">
        <v>535</v>
      </c>
      <c r="CF100">
        <v>15</v>
      </c>
      <c r="CG100" t="s">
        <v>1819</v>
      </c>
      <c r="CH100" t="s">
        <v>1819</v>
      </c>
      <c r="CI100">
        <v>70</v>
      </c>
      <c r="CJ100">
        <v>1200</v>
      </c>
      <c r="CK100">
        <v>2</v>
      </c>
      <c r="CL100">
        <v>1301</v>
      </c>
      <c r="CM100">
        <v>2</v>
      </c>
      <c r="CN100" t="s">
        <v>537</v>
      </c>
      <c r="CO100" t="s">
        <v>538</v>
      </c>
      <c r="CP100" t="s">
        <v>539</v>
      </c>
      <c r="CQ100" t="s">
        <v>649</v>
      </c>
      <c r="CR100" t="s">
        <v>650</v>
      </c>
      <c r="CS100" t="s">
        <v>542</v>
      </c>
      <c r="CT100">
        <v>345</v>
      </c>
      <c r="CU100">
        <v>5</v>
      </c>
      <c r="CV100">
        <v>1.2</v>
      </c>
      <c r="CW100">
        <v>1213</v>
      </c>
      <c r="CX100">
        <v>592</v>
      </c>
      <c r="DD100">
        <v>0</v>
      </c>
      <c r="DE100" t="s">
        <v>543</v>
      </c>
      <c r="DF100">
        <v>495</v>
      </c>
      <c r="DG100">
        <v>3</v>
      </c>
      <c r="DH100">
        <v>1.18</v>
      </c>
      <c r="DI100">
        <v>1211</v>
      </c>
      <c r="DJ100">
        <v>1083</v>
      </c>
      <c r="DW100" t="s">
        <v>544</v>
      </c>
      <c r="DX100">
        <v>7.5</v>
      </c>
      <c r="EA100">
        <v>1284.1</v>
      </c>
      <c r="EB100">
        <v>243</v>
      </c>
      <c r="EC100" t="s">
        <v>545</v>
      </c>
      <c r="ED100">
        <v>30</v>
      </c>
      <c r="EE100">
        <v>3</v>
      </c>
      <c r="EG100">
        <v>1325</v>
      </c>
      <c r="EH100">
        <v>163</v>
      </c>
      <c r="EJ100">
        <v>0</v>
      </c>
      <c r="EK100">
        <v>1</v>
      </c>
      <c r="EN100">
        <v>0</v>
      </c>
      <c r="EP100" t="s">
        <v>546</v>
      </c>
      <c r="EQ100">
        <v>75</v>
      </c>
      <c r="ER100">
        <v>3</v>
      </c>
      <c r="ES100">
        <v>5</v>
      </c>
      <c r="ET100">
        <v>1194</v>
      </c>
      <c r="EU100">
        <v>304.3</v>
      </c>
      <c r="EV100">
        <v>363</v>
      </c>
      <c r="EW100" t="s">
        <v>547</v>
      </c>
      <c r="EX100">
        <v>70</v>
      </c>
      <c r="EY100">
        <v>2</v>
      </c>
      <c r="EZ100">
        <v>4.5</v>
      </c>
      <c r="FA100">
        <v>1194</v>
      </c>
      <c r="FB100">
        <v>229</v>
      </c>
      <c r="FC100">
        <v>273</v>
      </c>
      <c r="FE100">
        <v>0</v>
      </c>
      <c r="FF100">
        <v>2</v>
      </c>
      <c r="FI100">
        <v>0</v>
      </c>
      <c r="FK100" t="s">
        <v>548</v>
      </c>
      <c r="FL100">
        <v>0.4</v>
      </c>
      <c r="FM100">
        <v>95</v>
      </c>
      <c r="FN100">
        <v>100</v>
      </c>
      <c r="FR100" t="s">
        <v>548</v>
      </c>
      <c r="FS100">
        <v>0.4</v>
      </c>
      <c r="FT100">
        <v>30</v>
      </c>
      <c r="FU100">
        <v>330</v>
      </c>
      <c r="FV100">
        <v>80</v>
      </c>
      <c r="FW100">
        <v>120</v>
      </c>
      <c r="FY100" t="s">
        <v>651</v>
      </c>
      <c r="FZ100">
        <v>1</v>
      </c>
      <c r="GA100">
        <v>20</v>
      </c>
      <c r="GB100">
        <v>146</v>
      </c>
      <c r="GG100" t="s">
        <v>651</v>
      </c>
      <c r="GH100">
        <v>1</v>
      </c>
      <c r="GI100">
        <v>20</v>
      </c>
      <c r="GJ100">
        <v>146</v>
      </c>
      <c r="HC100">
        <v>0.1</v>
      </c>
      <c r="HD100">
        <v>3</v>
      </c>
      <c r="HE100">
        <v>3</v>
      </c>
      <c r="HF100">
        <v>3</v>
      </c>
      <c r="HG100">
        <v>3</v>
      </c>
      <c r="HH100">
        <v>3</v>
      </c>
      <c r="HI100">
        <v>130</v>
      </c>
      <c r="HJ100">
        <v>3</v>
      </c>
      <c r="HK100">
        <v>55</v>
      </c>
      <c r="HL100">
        <v>2</v>
      </c>
      <c r="HM100">
        <v>0</v>
      </c>
      <c r="HN100">
        <v>2</v>
      </c>
      <c r="HO100">
        <v>60</v>
      </c>
      <c r="HP100">
        <v>3</v>
      </c>
      <c r="HQ100">
        <v>0</v>
      </c>
      <c r="HR100">
        <v>2</v>
      </c>
      <c r="HS100">
        <v>3759</v>
      </c>
      <c r="HT100">
        <v>110</v>
      </c>
      <c r="HU100">
        <v>180</v>
      </c>
      <c r="HW100">
        <v>0</v>
      </c>
      <c r="HX100">
        <v>390</v>
      </c>
      <c r="HY100">
        <v>0.18</v>
      </c>
      <c r="IA100">
        <v>0.15</v>
      </c>
      <c r="IB100">
        <v>0</v>
      </c>
      <c r="IC100">
        <v>180</v>
      </c>
      <c r="ID100">
        <v>110</v>
      </c>
      <c r="IE100">
        <v>0</v>
      </c>
      <c r="IF100">
        <v>0</v>
      </c>
      <c r="IH100" t="s">
        <v>549</v>
      </c>
      <c r="IO100">
        <v>1</v>
      </c>
      <c r="IP100">
        <v>16</v>
      </c>
      <c r="IQ100">
        <v>0</v>
      </c>
      <c r="IR100">
        <v>1</v>
      </c>
      <c r="IV100">
        <v>1200</v>
      </c>
      <c r="IW100">
        <v>366</v>
      </c>
      <c r="JA100">
        <v>1</v>
      </c>
      <c r="JB100">
        <v>0</v>
      </c>
      <c r="JC100">
        <v>2</v>
      </c>
      <c r="JD100">
        <v>1213</v>
      </c>
      <c r="JE100">
        <v>1211</v>
      </c>
      <c r="JF100">
        <v>0</v>
      </c>
      <c r="JG100">
        <v>1194</v>
      </c>
      <c r="JH100">
        <v>0</v>
      </c>
      <c r="JJ100">
        <v>180</v>
      </c>
      <c r="JK100">
        <v>390</v>
      </c>
      <c r="JN100">
        <v>345</v>
      </c>
      <c r="JO100">
        <v>495</v>
      </c>
      <c r="JP100">
        <v>0</v>
      </c>
      <c r="JQ100">
        <v>0</v>
      </c>
      <c r="JR100">
        <v>322</v>
      </c>
      <c r="JS100">
        <v>130</v>
      </c>
      <c r="JV100">
        <v>8</v>
      </c>
      <c r="JW100" t="s">
        <v>550</v>
      </c>
      <c r="JX100">
        <v>0</v>
      </c>
      <c r="KA100">
        <v>0</v>
      </c>
      <c r="KB100">
        <v>110</v>
      </c>
      <c r="KC100">
        <v>0</v>
      </c>
      <c r="KD100">
        <v>80</v>
      </c>
      <c r="KF100">
        <v>4</v>
      </c>
      <c r="KG100">
        <v>2</v>
      </c>
      <c r="KH100">
        <v>2</v>
      </c>
      <c r="KI100">
        <v>2</v>
      </c>
      <c r="KJ100">
        <v>0</v>
      </c>
      <c r="KK100">
        <v>1.5</v>
      </c>
      <c r="KL100">
        <v>1.5</v>
      </c>
      <c r="KM100">
        <v>0</v>
      </c>
      <c r="KN100">
        <v>0</v>
      </c>
      <c r="KO100">
        <v>0</v>
      </c>
      <c r="KR100">
        <v>30</v>
      </c>
      <c r="KS100">
        <v>60</v>
      </c>
      <c r="KT100">
        <v>0</v>
      </c>
      <c r="LK100">
        <v>480</v>
      </c>
      <c r="PG100">
        <v>1</v>
      </c>
      <c r="PI100" t="s">
        <v>1816</v>
      </c>
      <c r="PJ100" t="s">
        <v>1817</v>
      </c>
      <c r="PL100" t="s">
        <v>1021</v>
      </c>
      <c r="PP100" t="s">
        <v>1818</v>
      </c>
      <c r="PX100">
        <v>56</v>
      </c>
      <c r="PY100">
        <v>56</v>
      </c>
      <c r="PZ100" t="s">
        <v>1816</v>
      </c>
      <c r="QA100">
        <v>1</v>
      </c>
      <c r="QB100">
        <v>1194</v>
      </c>
      <c r="QC100">
        <v>69</v>
      </c>
      <c r="QD100">
        <v>69</v>
      </c>
      <c r="QE100" t="s">
        <v>1021</v>
      </c>
      <c r="QF100">
        <v>1</v>
      </c>
      <c r="QG100">
        <v>1213</v>
      </c>
      <c r="QH100">
        <v>66</v>
      </c>
      <c r="QI100">
        <v>66</v>
      </c>
      <c r="QL100">
        <v>0</v>
      </c>
      <c r="QM100">
        <v>63</v>
      </c>
      <c r="QN100">
        <v>63</v>
      </c>
      <c r="QO100" t="s">
        <v>1817</v>
      </c>
      <c r="QP100">
        <v>1</v>
      </c>
      <c r="QQ100">
        <v>1211</v>
      </c>
      <c r="QW100">
        <v>82</v>
      </c>
      <c r="QX100">
        <v>82</v>
      </c>
      <c r="QY100" t="s">
        <v>1818</v>
      </c>
      <c r="QZ100">
        <v>2</v>
      </c>
      <c r="RA100">
        <v>66</v>
      </c>
      <c r="RB100">
        <v>66</v>
      </c>
      <c r="RE100">
        <v>0</v>
      </c>
      <c r="RG100">
        <v>1</v>
      </c>
      <c r="RJ100">
        <v>1</v>
      </c>
      <c r="RL100">
        <v>1</v>
      </c>
      <c r="RO100">
        <v>488</v>
      </c>
      <c r="RQ100">
        <v>894</v>
      </c>
      <c r="RT100">
        <v>243</v>
      </c>
      <c r="RU100">
        <v>163</v>
      </c>
      <c r="RV100" t="s">
        <v>1736</v>
      </c>
      <c r="RW100" t="s">
        <v>552</v>
      </c>
      <c r="RX100">
        <v>15</v>
      </c>
      <c r="RY100">
        <v>4</v>
      </c>
      <c r="RZ100" t="s">
        <v>552</v>
      </c>
      <c r="SA100">
        <v>15</v>
      </c>
      <c r="SB100" t="s">
        <v>1820</v>
      </c>
      <c r="SC100" t="s">
        <v>1820</v>
      </c>
      <c r="SD100">
        <v>1</v>
      </c>
      <c r="SH100">
        <v>0.995</v>
      </c>
      <c r="SI100">
        <v>0.995</v>
      </c>
      <c r="SJ100">
        <v>0.995</v>
      </c>
      <c r="SK100">
        <v>15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TB100">
        <v>0</v>
      </c>
      <c r="TC100">
        <v>0</v>
      </c>
      <c r="TD100">
        <v>7.5</v>
      </c>
      <c r="TE100" t="s">
        <v>553</v>
      </c>
      <c r="TF100" t="s">
        <v>655</v>
      </c>
      <c r="TG100" t="s">
        <v>555</v>
      </c>
      <c r="TI100" t="s">
        <v>546</v>
      </c>
      <c r="TJ100" t="s">
        <v>547</v>
      </c>
      <c r="TL100" t="s">
        <v>1477</v>
      </c>
      <c r="TM100" t="s">
        <v>513</v>
      </c>
      <c r="TN100">
        <v>0</v>
      </c>
      <c r="TO100" t="s">
        <v>557</v>
      </c>
    </row>
    <row r="101" spans="1:535">
      <c r="A101" t="s">
        <v>1821</v>
      </c>
      <c r="B101" t="s">
        <v>629</v>
      </c>
      <c r="C101" t="s">
        <v>509</v>
      </c>
      <c r="D101" t="s">
        <v>1598</v>
      </c>
      <c r="G101" t="s">
        <v>604</v>
      </c>
      <c r="H101" t="s">
        <v>605</v>
      </c>
      <c r="I101" t="s">
        <v>628</v>
      </c>
      <c r="J101" t="s">
        <v>606</v>
      </c>
      <c r="L101" t="s">
        <v>512</v>
      </c>
      <c r="M101" t="s">
        <v>711</v>
      </c>
      <c r="N101" t="s">
        <v>513</v>
      </c>
      <c r="O101" t="s">
        <v>565</v>
      </c>
      <c r="Q101" t="s">
        <v>1822</v>
      </c>
      <c r="R101" t="s">
        <v>567</v>
      </c>
      <c r="S101" t="s">
        <v>1175</v>
      </c>
      <c r="T101" t="s">
        <v>685</v>
      </c>
      <c r="U101" t="s">
        <v>633</v>
      </c>
      <c r="V101" t="s">
        <v>634</v>
      </c>
      <c r="W101" t="s">
        <v>1823</v>
      </c>
      <c r="X101" t="s">
        <v>1460</v>
      </c>
      <c r="Y101" t="s">
        <v>524</v>
      </c>
      <c r="Z101" t="s">
        <v>1824</v>
      </c>
      <c r="AA101" t="s">
        <v>1825</v>
      </c>
      <c r="AB101" t="s">
        <v>1826</v>
      </c>
      <c r="AC101">
        <v>2</v>
      </c>
      <c r="AD101">
        <v>56</v>
      </c>
      <c r="AE101">
        <v>196</v>
      </c>
      <c r="AF101">
        <v>1.5</v>
      </c>
      <c r="AH101">
        <v>0</v>
      </c>
      <c r="AI101" t="s">
        <v>840</v>
      </c>
      <c r="AJ101">
        <v>207.5</v>
      </c>
      <c r="AK101">
        <v>1</v>
      </c>
      <c r="AL101">
        <v>1.5</v>
      </c>
      <c r="AM101" t="s">
        <v>529</v>
      </c>
      <c r="AO101">
        <v>0</v>
      </c>
      <c r="AR101">
        <v>0</v>
      </c>
      <c r="AS101">
        <v>1.5</v>
      </c>
      <c r="AU101" t="s">
        <v>1827</v>
      </c>
      <c r="AW101" t="s">
        <v>1827</v>
      </c>
      <c r="AX101">
        <v>1</v>
      </c>
      <c r="AY101">
        <v>292.5</v>
      </c>
      <c r="AZ101">
        <v>1.5</v>
      </c>
      <c r="BA101" t="s">
        <v>529</v>
      </c>
      <c r="BC101" t="s">
        <v>1828</v>
      </c>
      <c r="BD101" t="s">
        <v>1828</v>
      </c>
      <c r="BE101">
        <v>1</v>
      </c>
      <c r="BF101">
        <v>250</v>
      </c>
      <c r="BG101">
        <v>1.5</v>
      </c>
      <c r="BJ101">
        <v>0</v>
      </c>
      <c r="BN101">
        <v>1.5</v>
      </c>
      <c r="BP101" t="s">
        <v>1829</v>
      </c>
      <c r="BQ101">
        <v>82</v>
      </c>
      <c r="BR101">
        <v>2</v>
      </c>
      <c r="BS101" t="s">
        <v>1830</v>
      </c>
      <c r="BT101">
        <v>218</v>
      </c>
      <c r="BU101">
        <v>0.5</v>
      </c>
      <c r="BV101" t="s">
        <v>1830</v>
      </c>
      <c r="BW101">
        <v>436</v>
      </c>
      <c r="BX101">
        <v>1</v>
      </c>
      <c r="BY101" t="s">
        <v>643</v>
      </c>
      <c r="BZ101">
        <v>300</v>
      </c>
      <c r="CA101">
        <v>500</v>
      </c>
      <c r="CB101" t="s">
        <v>644</v>
      </c>
      <c r="CC101" t="s">
        <v>644</v>
      </c>
      <c r="CD101">
        <v>460</v>
      </c>
      <c r="CE101" t="s">
        <v>544</v>
      </c>
      <c r="CF101">
        <v>15</v>
      </c>
      <c r="CG101" t="s">
        <v>1183</v>
      </c>
      <c r="CH101" t="s">
        <v>1183</v>
      </c>
      <c r="CI101">
        <v>100</v>
      </c>
      <c r="CJ101">
        <v>1301</v>
      </c>
      <c r="CK101">
        <v>2</v>
      </c>
      <c r="CL101">
        <v>1395</v>
      </c>
      <c r="CM101">
        <v>2</v>
      </c>
      <c r="CN101" t="s">
        <v>646</v>
      </c>
      <c r="CO101" t="s">
        <v>647</v>
      </c>
      <c r="CP101" t="s">
        <v>648</v>
      </c>
      <c r="CQ101" t="s">
        <v>677</v>
      </c>
      <c r="CR101" t="s">
        <v>650</v>
      </c>
      <c r="CS101" t="s">
        <v>542</v>
      </c>
      <c r="CT101">
        <v>415</v>
      </c>
      <c r="CU101">
        <v>5</v>
      </c>
      <c r="CV101">
        <v>1.3</v>
      </c>
      <c r="CW101">
        <v>1314</v>
      </c>
      <c r="CX101">
        <v>838</v>
      </c>
      <c r="DD101">
        <v>0</v>
      </c>
      <c r="DE101" t="s">
        <v>543</v>
      </c>
      <c r="DF101">
        <v>585</v>
      </c>
      <c r="DG101">
        <v>3</v>
      </c>
      <c r="DH101">
        <v>1.18</v>
      </c>
      <c r="DI101">
        <v>1312</v>
      </c>
      <c r="DJ101">
        <v>1156</v>
      </c>
      <c r="DK101" t="s">
        <v>543</v>
      </c>
      <c r="DL101">
        <v>500</v>
      </c>
      <c r="DM101">
        <v>3</v>
      </c>
      <c r="DN101">
        <v>1.18</v>
      </c>
      <c r="DO101">
        <v>1320</v>
      </c>
      <c r="DP101">
        <v>1114</v>
      </c>
      <c r="DW101" t="s">
        <v>544</v>
      </c>
      <c r="DX101">
        <v>7.5</v>
      </c>
      <c r="EA101">
        <v>1386.2</v>
      </c>
      <c r="EB101">
        <v>262</v>
      </c>
      <c r="EC101" t="s">
        <v>545</v>
      </c>
      <c r="ED101">
        <v>35</v>
      </c>
      <c r="EE101">
        <v>3</v>
      </c>
      <c r="EG101">
        <v>1427</v>
      </c>
      <c r="EH101">
        <v>226</v>
      </c>
      <c r="EJ101">
        <v>0</v>
      </c>
      <c r="EK101">
        <v>1</v>
      </c>
      <c r="EN101">
        <v>0</v>
      </c>
      <c r="EP101" t="s">
        <v>546</v>
      </c>
      <c r="EQ101">
        <v>100</v>
      </c>
      <c r="ER101">
        <v>3</v>
      </c>
      <c r="ES101">
        <v>6</v>
      </c>
      <c r="ET101">
        <v>1301</v>
      </c>
      <c r="EU101">
        <v>459</v>
      </c>
      <c r="EV101">
        <v>597</v>
      </c>
      <c r="EW101" t="s">
        <v>547</v>
      </c>
      <c r="EX101">
        <v>70</v>
      </c>
      <c r="EY101">
        <v>2</v>
      </c>
      <c r="EZ101">
        <v>4.3</v>
      </c>
      <c r="FA101">
        <v>1301</v>
      </c>
      <c r="FB101">
        <v>208.3</v>
      </c>
      <c r="FC101">
        <v>271</v>
      </c>
      <c r="FE101">
        <v>0</v>
      </c>
      <c r="FF101">
        <v>2</v>
      </c>
      <c r="FI101">
        <v>0</v>
      </c>
      <c r="FK101" t="s">
        <v>548</v>
      </c>
      <c r="FL101">
        <v>0.4</v>
      </c>
      <c r="FM101">
        <v>100</v>
      </c>
      <c r="FN101">
        <v>140</v>
      </c>
      <c r="GR101" t="s">
        <v>548</v>
      </c>
      <c r="GS101">
        <v>0.4</v>
      </c>
      <c r="GT101">
        <v>110</v>
      </c>
      <c r="GU101">
        <v>240</v>
      </c>
      <c r="GY101" t="s">
        <v>651</v>
      </c>
      <c r="GZ101">
        <v>1.6</v>
      </c>
      <c r="HA101">
        <v>20</v>
      </c>
      <c r="HB101">
        <v>181</v>
      </c>
      <c r="HC101">
        <v>0.1</v>
      </c>
      <c r="HD101">
        <v>3</v>
      </c>
      <c r="HE101">
        <v>3</v>
      </c>
      <c r="HF101">
        <v>3</v>
      </c>
      <c r="HG101">
        <v>3</v>
      </c>
      <c r="HH101">
        <v>3</v>
      </c>
      <c r="HI101">
        <v>155</v>
      </c>
      <c r="HJ101">
        <v>3</v>
      </c>
      <c r="HK101">
        <v>55</v>
      </c>
      <c r="HL101">
        <v>2</v>
      </c>
      <c r="HM101">
        <v>0</v>
      </c>
      <c r="HN101">
        <v>2</v>
      </c>
      <c r="HO101">
        <v>85</v>
      </c>
      <c r="HP101">
        <v>3</v>
      </c>
      <c r="HQ101">
        <v>0</v>
      </c>
      <c r="HR101">
        <v>2</v>
      </c>
      <c r="HS101">
        <v>5820</v>
      </c>
      <c r="HT101">
        <v>170</v>
      </c>
      <c r="HU101">
        <v>180</v>
      </c>
      <c r="HW101">
        <v>0</v>
      </c>
      <c r="HX101">
        <v>455</v>
      </c>
      <c r="HY101">
        <v>0.18</v>
      </c>
      <c r="IA101">
        <v>0.15</v>
      </c>
      <c r="IB101">
        <v>0</v>
      </c>
      <c r="IC101">
        <v>180</v>
      </c>
      <c r="ID101">
        <v>110</v>
      </c>
      <c r="IE101">
        <v>225</v>
      </c>
      <c r="IF101">
        <v>0</v>
      </c>
      <c r="IH101" t="s">
        <v>549</v>
      </c>
      <c r="IO101">
        <v>3</v>
      </c>
      <c r="IP101">
        <v>17</v>
      </c>
      <c r="IQ101">
        <v>1</v>
      </c>
      <c r="IR101">
        <v>1</v>
      </c>
      <c r="IV101">
        <v>1301</v>
      </c>
      <c r="IW101">
        <v>436</v>
      </c>
      <c r="JA101">
        <v>1</v>
      </c>
      <c r="JB101">
        <v>0</v>
      </c>
      <c r="JC101">
        <v>2</v>
      </c>
      <c r="JD101">
        <v>1314</v>
      </c>
      <c r="JE101">
        <v>1312</v>
      </c>
      <c r="JF101">
        <v>1320</v>
      </c>
      <c r="JG101">
        <v>1301</v>
      </c>
      <c r="JH101">
        <v>0</v>
      </c>
      <c r="JJ101">
        <v>180</v>
      </c>
      <c r="JK101">
        <v>455</v>
      </c>
      <c r="JN101">
        <v>415</v>
      </c>
      <c r="JO101">
        <v>585</v>
      </c>
      <c r="JP101">
        <v>500</v>
      </c>
      <c r="JQ101">
        <v>0</v>
      </c>
      <c r="JR101">
        <v>392</v>
      </c>
      <c r="JS101">
        <v>155</v>
      </c>
      <c r="JV101">
        <v>8</v>
      </c>
      <c r="JW101" t="s">
        <v>550</v>
      </c>
      <c r="JX101">
        <v>0</v>
      </c>
      <c r="KA101">
        <v>225</v>
      </c>
      <c r="KB101">
        <v>110</v>
      </c>
      <c r="KC101">
        <v>0</v>
      </c>
      <c r="KD101">
        <v>80</v>
      </c>
      <c r="KF101">
        <v>4</v>
      </c>
      <c r="KG101">
        <v>4</v>
      </c>
      <c r="KH101">
        <v>2</v>
      </c>
      <c r="KI101">
        <v>2</v>
      </c>
      <c r="KJ101">
        <v>0</v>
      </c>
      <c r="KK101">
        <v>1.5</v>
      </c>
      <c r="KL101">
        <v>1.5</v>
      </c>
      <c r="KM101">
        <v>0</v>
      </c>
      <c r="KN101">
        <v>0</v>
      </c>
      <c r="KO101">
        <v>0</v>
      </c>
      <c r="KR101">
        <v>30</v>
      </c>
      <c r="KS101">
        <v>60</v>
      </c>
      <c r="KT101">
        <v>0</v>
      </c>
      <c r="LK101">
        <v>480</v>
      </c>
      <c r="PG101">
        <v>1</v>
      </c>
      <c r="PI101" t="s">
        <v>1826</v>
      </c>
      <c r="PJ101" t="s">
        <v>1827</v>
      </c>
      <c r="PK101" t="s">
        <v>1828</v>
      </c>
      <c r="PL101" t="s">
        <v>840</v>
      </c>
      <c r="PP101" t="s">
        <v>1829</v>
      </c>
      <c r="PX101">
        <v>56</v>
      </c>
      <c r="PY101">
        <v>56</v>
      </c>
      <c r="PZ101" t="s">
        <v>1826</v>
      </c>
      <c r="QA101">
        <v>2</v>
      </c>
      <c r="QB101">
        <v>1301</v>
      </c>
      <c r="QC101">
        <v>69</v>
      </c>
      <c r="QD101">
        <v>69</v>
      </c>
      <c r="QE101" t="s">
        <v>840</v>
      </c>
      <c r="QF101">
        <v>2</v>
      </c>
      <c r="QG101">
        <v>1314</v>
      </c>
      <c r="QH101">
        <v>66</v>
      </c>
      <c r="QI101">
        <v>66</v>
      </c>
      <c r="QL101">
        <v>0</v>
      </c>
      <c r="QM101">
        <v>62</v>
      </c>
      <c r="QN101">
        <v>62</v>
      </c>
      <c r="QO101" t="s">
        <v>1827</v>
      </c>
      <c r="QP101">
        <v>1</v>
      </c>
      <c r="QQ101">
        <v>1312</v>
      </c>
      <c r="QR101">
        <v>63</v>
      </c>
      <c r="QS101">
        <v>63</v>
      </c>
      <c r="QT101" t="s">
        <v>1828</v>
      </c>
      <c r="QU101">
        <v>1</v>
      </c>
      <c r="QV101">
        <v>1320</v>
      </c>
      <c r="QW101">
        <v>82</v>
      </c>
      <c r="QX101">
        <v>82</v>
      </c>
      <c r="QY101" t="s">
        <v>1829</v>
      </c>
      <c r="QZ101">
        <v>1</v>
      </c>
      <c r="RA101">
        <v>66</v>
      </c>
      <c r="RB101">
        <v>66</v>
      </c>
      <c r="RE101">
        <v>0</v>
      </c>
      <c r="RF101">
        <v>1</v>
      </c>
      <c r="RI101">
        <v>1</v>
      </c>
      <c r="RJ101">
        <v>1</v>
      </c>
      <c r="RL101">
        <v>1</v>
      </c>
      <c r="RM101">
        <v>1</v>
      </c>
      <c r="RO101">
        <v>638</v>
      </c>
      <c r="RQ101">
        <v>881</v>
      </c>
      <c r="RR101">
        <v>844</v>
      </c>
      <c r="RT101">
        <v>262</v>
      </c>
      <c r="RU101">
        <v>226</v>
      </c>
      <c r="RV101" t="s">
        <v>1831</v>
      </c>
      <c r="RW101" t="s">
        <v>653</v>
      </c>
      <c r="RX101">
        <v>15</v>
      </c>
      <c r="RY101">
        <v>4</v>
      </c>
      <c r="RZ101" t="s">
        <v>653</v>
      </c>
      <c r="SA101">
        <v>15</v>
      </c>
      <c r="SC101" t="s">
        <v>1827</v>
      </c>
      <c r="SD101">
        <v>1</v>
      </c>
      <c r="SE101" t="s">
        <v>1832</v>
      </c>
      <c r="SF101" t="s">
        <v>1832</v>
      </c>
      <c r="SG101">
        <v>1</v>
      </c>
      <c r="SH101">
        <v>0.995</v>
      </c>
      <c r="SI101">
        <v>0.995</v>
      </c>
      <c r="SJ101">
        <v>0.995</v>
      </c>
      <c r="SK101">
        <v>15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Z101">
        <v>1</v>
      </c>
      <c r="TB101">
        <v>0</v>
      </c>
      <c r="TC101">
        <v>0</v>
      </c>
      <c r="TD101">
        <v>7.5</v>
      </c>
      <c r="TE101" t="s">
        <v>553</v>
      </c>
      <c r="TF101" t="s">
        <v>655</v>
      </c>
      <c r="TG101" t="s">
        <v>555</v>
      </c>
      <c r="TI101" t="s">
        <v>546</v>
      </c>
      <c r="TJ101" t="s">
        <v>547</v>
      </c>
      <c r="TL101" t="s">
        <v>1477</v>
      </c>
      <c r="TM101" t="s">
        <v>513</v>
      </c>
      <c r="TN101">
        <v>0</v>
      </c>
      <c r="TO101" t="s">
        <v>557</v>
      </c>
    </row>
    <row r="102" spans="1:535">
      <c r="A102" t="s">
        <v>1833</v>
      </c>
      <c r="B102" t="s">
        <v>629</v>
      </c>
      <c r="C102" t="s">
        <v>509</v>
      </c>
      <c r="D102" t="s">
        <v>1073</v>
      </c>
      <c r="G102" t="s">
        <v>604</v>
      </c>
      <c r="H102" t="s">
        <v>605</v>
      </c>
      <c r="I102" t="s">
        <v>628</v>
      </c>
      <c r="L102" t="s">
        <v>512</v>
      </c>
      <c r="M102" t="s">
        <v>711</v>
      </c>
      <c r="N102" t="s">
        <v>513</v>
      </c>
      <c r="O102" t="s">
        <v>565</v>
      </c>
      <c r="Q102" t="s">
        <v>1834</v>
      </c>
      <c r="R102" t="s">
        <v>567</v>
      </c>
      <c r="S102" t="s">
        <v>609</v>
      </c>
      <c r="T102" t="s">
        <v>610</v>
      </c>
      <c r="U102" t="s">
        <v>520</v>
      </c>
      <c r="V102" t="s">
        <v>521</v>
      </c>
      <c r="W102" t="s">
        <v>1835</v>
      </c>
      <c r="X102" t="s">
        <v>1460</v>
      </c>
      <c r="Y102" t="s">
        <v>524</v>
      </c>
      <c r="Z102" t="s">
        <v>1836</v>
      </c>
      <c r="AA102" t="s">
        <v>1837</v>
      </c>
      <c r="AB102" t="s">
        <v>1838</v>
      </c>
      <c r="AC102">
        <v>2</v>
      </c>
      <c r="AD102">
        <v>56</v>
      </c>
      <c r="AE102">
        <v>186</v>
      </c>
      <c r="AF102">
        <v>1.5</v>
      </c>
      <c r="AH102">
        <v>0</v>
      </c>
      <c r="AI102" t="s">
        <v>1331</v>
      </c>
      <c r="AJ102">
        <v>197.5</v>
      </c>
      <c r="AK102">
        <v>1</v>
      </c>
      <c r="AL102">
        <v>1.5</v>
      </c>
      <c r="AM102" t="s">
        <v>529</v>
      </c>
      <c r="AO102">
        <v>0</v>
      </c>
      <c r="AR102">
        <v>0</v>
      </c>
      <c r="AS102">
        <v>1.5</v>
      </c>
      <c r="AU102" t="s">
        <v>1839</v>
      </c>
      <c r="AW102" t="s">
        <v>1839</v>
      </c>
      <c r="AX102">
        <v>1</v>
      </c>
      <c r="AY102">
        <v>285</v>
      </c>
      <c r="AZ102">
        <v>1.5</v>
      </c>
      <c r="BA102" t="s">
        <v>529</v>
      </c>
      <c r="BG102">
        <v>1.5</v>
      </c>
      <c r="BJ102">
        <v>0</v>
      </c>
      <c r="BN102">
        <v>1.5</v>
      </c>
      <c r="BP102" t="s">
        <v>1734</v>
      </c>
      <c r="BQ102">
        <v>88</v>
      </c>
      <c r="BR102">
        <v>2</v>
      </c>
      <c r="BS102" t="s">
        <v>1735</v>
      </c>
      <c r="BT102">
        <v>208</v>
      </c>
      <c r="BU102">
        <v>0.5</v>
      </c>
      <c r="BV102" t="s">
        <v>1735</v>
      </c>
      <c r="BW102">
        <v>416</v>
      </c>
      <c r="BX102">
        <v>1</v>
      </c>
      <c r="BY102" t="s">
        <v>533</v>
      </c>
      <c r="BZ102">
        <v>300</v>
      </c>
      <c r="CA102">
        <v>500</v>
      </c>
      <c r="CB102" t="s">
        <v>534</v>
      </c>
      <c r="CC102" t="s">
        <v>534</v>
      </c>
      <c r="CD102">
        <v>432</v>
      </c>
      <c r="CE102" t="s">
        <v>535</v>
      </c>
      <c r="CF102">
        <v>15</v>
      </c>
      <c r="CG102" t="s">
        <v>1840</v>
      </c>
      <c r="CH102" t="s">
        <v>1840</v>
      </c>
      <c r="CI102">
        <v>100</v>
      </c>
      <c r="CJ102">
        <v>1200</v>
      </c>
      <c r="CK102">
        <v>2</v>
      </c>
      <c r="CL102">
        <v>1301</v>
      </c>
      <c r="CM102">
        <v>2</v>
      </c>
      <c r="CN102" t="s">
        <v>537</v>
      </c>
      <c r="CO102" t="s">
        <v>538</v>
      </c>
      <c r="CP102" t="s">
        <v>539</v>
      </c>
      <c r="CQ102" t="s">
        <v>540</v>
      </c>
      <c r="CR102" t="s">
        <v>541</v>
      </c>
      <c r="CS102" t="s">
        <v>542</v>
      </c>
      <c r="CT102">
        <v>395</v>
      </c>
      <c r="CU102">
        <v>5</v>
      </c>
      <c r="CV102">
        <v>1.2</v>
      </c>
      <c r="CW102">
        <v>1213</v>
      </c>
      <c r="CX102">
        <v>678</v>
      </c>
      <c r="DD102">
        <v>0</v>
      </c>
      <c r="DE102" t="s">
        <v>948</v>
      </c>
      <c r="DF102">
        <v>570</v>
      </c>
      <c r="DG102">
        <v>3</v>
      </c>
      <c r="DH102">
        <v>1.22</v>
      </c>
      <c r="DI102">
        <v>1211</v>
      </c>
      <c r="DJ102">
        <v>1148</v>
      </c>
      <c r="DW102" t="s">
        <v>544</v>
      </c>
      <c r="DX102">
        <v>7.5</v>
      </c>
      <c r="EA102">
        <v>1284.1</v>
      </c>
      <c r="EB102">
        <v>243</v>
      </c>
      <c r="EC102" t="s">
        <v>545</v>
      </c>
      <c r="ED102">
        <v>40</v>
      </c>
      <c r="EE102">
        <v>3</v>
      </c>
      <c r="EG102">
        <v>1325</v>
      </c>
      <c r="EH102">
        <v>211</v>
      </c>
      <c r="EJ102">
        <v>0</v>
      </c>
      <c r="EK102">
        <v>1</v>
      </c>
      <c r="EN102">
        <v>0</v>
      </c>
      <c r="EP102" t="s">
        <v>546</v>
      </c>
      <c r="EQ102">
        <v>120</v>
      </c>
      <c r="ER102">
        <v>3</v>
      </c>
      <c r="ES102">
        <v>6</v>
      </c>
      <c r="ET102">
        <v>1201</v>
      </c>
      <c r="EU102">
        <v>538.9</v>
      </c>
      <c r="EV102">
        <v>647</v>
      </c>
      <c r="EW102" t="s">
        <v>547</v>
      </c>
      <c r="EX102">
        <v>70</v>
      </c>
      <c r="EY102">
        <v>2</v>
      </c>
      <c r="EZ102">
        <v>4.3</v>
      </c>
      <c r="FA102">
        <v>1201</v>
      </c>
      <c r="FB102">
        <v>208.3</v>
      </c>
      <c r="FC102">
        <v>250</v>
      </c>
      <c r="FE102">
        <v>0</v>
      </c>
      <c r="FF102">
        <v>2</v>
      </c>
      <c r="FI102">
        <v>0</v>
      </c>
      <c r="FK102" t="s">
        <v>548</v>
      </c>
      <c r="FL102">
        <v>0.4</v>
      </c>
      <c r="FM102">
        <v>110</v>
      </c>
      <c r="FN102">
        <v>120</v>
      </c>
      <c r="FR102" t="s">
        <v>548</v>
      </c>
      <c r="FS102">
        <v>0.4</v>
      </c>
      <c r="FT102">
        <v>30</v>
      </c>
      <c r="FU102">
        <v>380</v>
      </c>
      <c r="FV102">
        <v>30</v>
      </c>
      <c r="FW102">
        <v>240</v>
      </c>
      <c r="HC102">
        <v>0.1</v>
      </c>
      <c r="HD102">
        <v>3</v>
      </c>
      <c r="HE102">
        <v>3</v>
      </c>
      <c r="HF102">
        <v>3</v>
      </c>
      <c r="HG102">
        <v>3</v>
      </c>
      <c r="HH102">
        <v>3</v>
      </c>
      <c r="HI102">
        <v>175</v>
      </c>
      <c r="HJ102">
        <v>3</v>
      </c>
      <c r="HK102">
        <v>55</v>
      </c>
      <c r="HL102">
        <v>2</v>
      </c>
      <c r="HM102">
        <v>0</v>
      </c>
      <c r="HN102">
        <v>2</v>
      </c>
      <c r="HO102">
        <v>105</v>
      </c>
      <c r="HP102">
        <v>3</v>
      </c>
      <c r="HQ102">
        <v>0</v>
      </c>
      <c r="HR102">
        <v>2</v>
      </c>
      <c r="HS102">
        <v>4528</v>
      </c>
      <c r="HT102">
        <v>140</v>
      </c>
      <c r="HU102">
        <v>180</v>
      </c>
      <c r="HW102">
        <v>0</v>
      </c>
      <c r="HX102">
        <v>500</v>
      </c>
      <c r="HY102">
        <v>0.18</v>
      </c>
      <c r="IA102">
        <v>0.15</v>
      </c>
      <c r="IB102">
        <v>0</v>
      </c>
      <c r="IC102">
        <v>180</v>
      </c>
      <c r="ID102">
        <v>110</v>
      </c>
      <c r="IE102">
        <v>0</v>
      </c>
      <c r="IF102">
        <v>0</v>
      </c>
      <c r="IH102" t="s">
        <v>549</v>
      </c>
      <c r="IO102">
        <v>1</v>
      </c>
      <c r="IP102">
        <v>16</v>
      </c>
      <c r="IQ102">
        <v>0</v>
      </c>
      <c r="IR102">
        <v>1</v>
      </c>
      <c r="IV102">
        <v>1200</v>
      </c>
      <c r="IW102">
        <v>416</v>
      </c>
      <c r="JA102">
        <v>1</v>
      </c>
      <c r="JB102">
        <v>0</v>
      </c>
      <c r="JC102">
        <v>2</v>
      </c>
      <c r="JD102">
        <v>1213</v>
      </c>
      <c r="JE102">
        <v>1211</v>
      </c>
      <c r="JF102">
        <v>0</v>
      </c>
      <c r="JG102">
        <v>1201</v>
      </c>
      <c r="JH102">
        <v>0</v>
      </c>
      <c r="JJ102">
        <v>180</v>
      </c>
      <c r="JK102">
        <v>500</v>
      </c>
      <c r="JN102">
        <v>395</v>
      </c>
      <c r="JO102">
        <v>570</v>
      </c>
      <c r="JP102">
        <v>0</v>
      </c>
      <c r="JQ102">
        <v>0</v>
      </c>
      <c r="JR102">
        <v>372</v>
      </c>
      <c r="JS102">
        <v>175</v>
      </c>
      <c r="JV102">
        <v>8</v>
      </c>
      <c r="JW102" t="s">
        <v>550</v>
      </c>
      <c r="JX102">
        <v>0</v>
      </c>
      <c r="KA102">
        <v>0</v>
      </c>
      <c r="KB102">
        <v>110</v>
      </c>
      <c r="KC102">
        <v>0</v>
      </c>
      <c r="KD102">
        <v>80</v>
      </c>
      <c r="KF102">
        <v>4</v>
      </c>
      <c r="KG102">
        <v>4</v>
      </c>
      <c r="KH102">
        <v>2</v>
      </c>
      <c r="KI102">
        <v>2</v>
      </c>
      <c r="KJ102">
        <v>0</v>
      </c>
      <c r="KK102">
        <v>1.5</v>
      </c>
      <c r="KL102">
        <v>1.5</v>
      </c>
      <c r="KM102">
        <v>0</v>
      </c>
      <c r="KN102">
        <v>0</v>
      </c>
      <c r="KO102">
        <v>0</v>
      </c>
      <c r="KR102">
        <v>30</v>
      </c>
      <c r="KS102">
        <v>60</v>
      </c>
      <c r="KT102">
        <v>0</v>
      </c>
      <c r="LK102">
        <v>480</v>
      </c>
      <c r="PG102">
        <v>1</v>
      </c>
      <c r="PI102" t="s">
        <v>1838</v>
      </c>
      <c r="PJ102" t="s">
        <v>1839</v>
      </c>
      <c r="PL102" t="s">
        <v>1331</v>
      </c>
      <c r="PP102" t="s">
        <v>1734</v>
      </c>
      <c r="PX102">
        <v>56</v>
      </c>
      <c r="PY102">
        <v>56</v>
      </c>
      <c r="PZ102" t="s">
        <v>1838</v>
      </c>
      <c r="QA102">
        <v>3</v>
      </c>
      <c r="QB102">
        <v>1201</v>
      </c>
      <c r="QC102">
        <v>69</v>
      </c>
      <c r="QD102">
        <v>69</v>
      </c>
      <c r="QE102" t="s">
        <v>1331</v>
      </c>
      <c r="QF102">
        <v>1</v>
      </c>
      <c r="QG102">
        <v>1213</v>
      </c>
      <c r="QH102">
        <v>66</v>
      </c>
      <c r="QI102">
        <v>66</v>
      </c>
      <c r="QL102">
        <v>0</v>
      </c>
      <c r="QM102">
        <v>62</v>
      </c>
      <c r="QN102">
        <v>62</v>
      </c>
      <c r="QO102" t="s">
        <v>1839</v>
      </c>
      <c r="QP102">
        <v>1</v>
      </c>
      <c r="QQ102">
        <v>1211</v>
      </c>
      <c r="QW102">
        <v>82</v>
      </c>
      <c r="QX102">
        <v>88</v>
      </c>
      <c r="QY102" t="s">
        <v>1734</v>
      </c>
      <c r="QZ102">
        <v>1</v>
      </c>
      <c r="RA102">
        <v>66</v>
      </c>
      <c r="RB102">
        <v>66</v>
      </c>
      <c r="RE102">
        <v>0</v>
      </c>
      <c r="RF102">
        <v>1</v>
      </c>
      <c r="RJ102">
        <v>1</v>
      </c>
      <c r="RL102">
        <v>1</v>
      </c>
      <c r="RO102">
        <v>559</v>
      </c>
      <c r="RQ102">
        <v>948</v>
      </c>
      <c r="RT102">
        <v>243</v>
      </c>
      <c r="RU102">
        <v>211</v>
      </c>
      <c r="RV102" t="s">
        <v>1736</v>
      </c>
      <c r="RW102" t="s">
        <v>552</v>
      </c>
      <c r="RX102">
        <v>15</v>
      </c>
      <c r="RY102">
        <v>4</v>
      </c>
      <c r="RZ102" t="s">
        <v>552</v>
      </c>
      <c r="SA102">
        <v>15</v>
      </c>
      <c r="SC102" t="s">
        <v>1839</v>
      </c>
      <c r="SD102">
        <v>1</v>
      </c>
      <c r="SH102">
        <v>0.995</v>
      </c>
      <c r="SI102">
        <v>0.995</v>
      </c>
      <c r="SJ102">
        <v>0.995</v>
      </c>
      <c r="SK102">
        <v>15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TB102">
        <v>0</v>
      </c>
      <c r="TC102">
        <v>0</v>
      </c>
      <c r="TD102">
        <v>7.5</v>
      </c>
      <c r="TE102" t="s">
        <v>553</v>
      </c>
      <c r="TF102" t="s">
        <v>655</v>
      </c>
      <c r="TG102" t="s">
        <v>555</v>
      </c>
      <c r="TI102" t="s">
        <v>546</v>
      </c>
      <c r="TJ102" t="s">
        <v>547</v>
      </c>
      <c r="TL102" t="s">
        <v>1477</v>
      </c>
      <c r="TM102" t="s">
        <v>513</v>
      </c>
      <c r="TN102">
        <v>0</v>
      </c>
      <c r="TO102" t="s">
        <v>557</v>
      </c>
    </row>
    <row r="103" spans="1:535">
      <c r="A103" t="s">
        <v>1841</v>
      </c>
      <c r="B103" t="s">
        <v>559</v>
      </c>
      <c r="C103" t="s">
        <v>509</v>
      </c>
      <c r="D103" t="s">
        <v>1087</v>
      </c>
      <c r="G103" t="s">
        <v>627</v>
      </c>
      <c r="H103" t="s">
        <v>604</v>
      </c>
      <c r="I103" t="s">
        <v>628</v>
      </c>
      <c r="J103" t="s">
        <v>606</v>
      </c>
      <c r="L103" t="s">
        <v>512</v>
      </c>
      <c r="M103" t="s">
        <v>564</v>
      </c>
      <c r="N103" t="s">
        <v>513</v>
      </c>
      <c r="O103" t="s">
        <v>607</v>
      </c>
      <c r="Q103" t="s">
        <v>1842</v>
      </c>
      <c r="R103" t="s">
        <v>567</v>
      </c>
      <c r="S103" t="s">
        <v>1059</v>
      </c>
      <c r="T103" t="s">
        <v>1060</v>
      </c>
      <c r="U103" t="s">
        <v>633</v>
      </c>
      <c r="V103" t="s">
        <v>634</v>
      </c>
      <c r="W103" t="s">
        <v>1061</v>
      </c>
      <c r="X103" t="s">
        <v>1460</v>
      </c>
      <c r="Y103" t="s">
        <v>574</v>
      </c>
      <c r="Z103" t="s">
        <v>1843</v>
      </c>
      <c r="AA103" t="s">
        <v>1844</v>
      </c>
      <c r="AB103" t="s">
        <v>1845</v>
      </c>
      <c r="AC103">
        <v>2</v>
      </c>
      <c r="AD103">
        <v>56</v>
      </c>
      <c r="AE103">
        <v>263</v>
      </c>
      <c r="AF103">
        <v>1.5</v>
      </c>
      <c r="AH103">
        <v>0</v>
      </c>
      <c r="AI103" t="s">
        <v>1846</v>
      </c>
      <c r="AJ103">
        <v>245</v>
      </c>
      <c r="AK103">
        <v>1</v>
      </c>
      <c r="AL103">
        <v>1.5</v>
      </c>
      <c r="AM103" t="s">
        <v>579</v>
      </c>
      <c r="AN103" t="s">
        <v>693</v>
      </c>
      <c r="AO103">
        <v>2</v>
      </c>
      <c r="AP103" t="s">
        <v>581</v>
      </c>
      <c r="AQ103" t="s">
        <v>582</v>
      </c>
      <c r="AR103">
        <v>284</v>
      </c>
      <c r="AS103">
        <v>1.5</v>
      </c>
      <c r="AT103" t="s">
        <v>583</v>
      </c>
      <c r="AU103" t="s">
        <v>1847</v>
      </c>
      <c r="AW103" t="s">
        <v>1847</v>
      </c>
      <c r="AX103">
        <v>1</v>
      </c>
      <c r="AY103">
        <v>367.5</v>
      </c>
      <c r="AZ103">
        <v>1.5</v>
      </c>
      <c r="BA103" t="s">
        <v>579</v>
      </c>
      <c r="BB103" t="s">
        <v>1848</v>
      </c>
      <c r="BD103" t="s">
        <v>1848</v>
      </c>
      <c r="BE103">
        <v>1</v>
      </c>
      <c r="BF103">
        <v>342.5</v>
      </c>
      <c r="BG103">
        <v>1.5</v>
      </c>
      <c r="BJ103">
        <v>0</v>
      </c>
      <c r="BN103">
        <v>1.5</v>
      </c>
      <c r="BP103" t="s">
        <v>888</v>
      </c>
      <c r="BQ103">
        <v>89</v>
      </c>
      <c r="BR103">
        <v>2</v>
      </c>
      <c r="BS103" t="s">
        <v>889</v>
      </c>
      <c r="BT103">
        <v>263</v>
      </c>
      <c r="BU103">
        <v>0.5</v>
      </c>
      <c r="BV103" t="s">
        <v>889</v>
      </c>
      <c r="BW103">
        <v>526</v>
      </c>
      <c r="BX103">
        <v>1</v>
      </c>
      <c r="BY103" t="s">
        <v>643</v>
      </c>
      <c r="BZ103">
        <v>470</v>
      </c>
      <c r="CA103">
        <v>610</v>
      </c>
      <c r="CB103" t="s">
        <v>644</v>
      </c>
      <c r="CC103" t="s">
        <v>1070</v>
      </c>
      <c r="CD103">
        <v>540</v>
      </c>
      <c r="CE103" t="s">
        <v>544</v>
      </c>
      <c r="CF103">
        <v>15</v>
      </c>
      <c r="CG103" t="s">
        <v>1024</v>
      </c>
      <c r="CH103" t="s">
        <v>1024</v>
      </c>
      <c r="CI103">
        <v>70</v>
      </c>
      <c r="CJ103">
        <v>1301</v>
      </c>
      <c r="CK103">
        <v>2</v>
      </c>
      <c r="CL103">
        <v>1395</v>
      </c>
      <c r="CM103">
        <v>2</v>
      </c>
      <c r="CN103" t="s">
        <v>646</v>
      </c>
      <c r="CO103" t="s">
        <v>647</v>
      </c>
      <c r="CP103" t="s">
        <v>648</v>
      </c>
      <c r="CQ103" t="s">
        <v>1849</v>
      </c>
      <c r="CR103" t="s">
        <v>541</v>
      </c>
      <c r="CS103" t="s">
        <v>542</v>
      </c>
      <c r="CT103">
        <v>490</v>
      </c>
      <c r="CU103">
        <v>5</v>
      </c>
      <c r="CV103">
        <v>1.2</v>
      </c>
      <c r="CW103">
        <v>1319</v>
      </c>
      <c r="CX103">
        <v>917</v>
      </c>
      <c r="CY103" t="s">
        <v>705</v>
      </c>
      <c r="CZ103">
        <v>50</v>
      </c>
      <c r="DA103">
        <v>3</v>
      </c>
      <c r="DB103">
        <v>1</v>
      </c>
      <c r="DC103">
        <v>1319</v>
      </c>
      <c r="DD103">
        <v>69</v>
      </c>
      <c r="DE103" t="s">
        <v>543</v>
      </c>
      <c r="DF103">
        <v>735</v>
      </c>
      <c r="DG103">
        <v>3</v>
      </c>
      <c r="DH103">
        <v>1.18</v>
      </c>
      <c r="DI103">
        <v>1312</v>
      </c>
      <c r="DJ103">
        <v>1577</v>
      </c>
      <c r="DK103" t="s">
        <v>543</v>
      </c>
      <c r="DL103">
        <v>685</v>
      </c>
      <c r="DM103">
        <v>3</v>
      </c>
      <c r="DN103">
        <v>1.18</v>
      </c>
      <c r="DO103">
        <v>1322</v>
      </c>
      <c r="DP103">
        <v>1415</v>
      </c>
      <c r="DW103" t="s">
        <v>544</v>
      </c>
      <c r="DX103">
        <v>7.5</v>
      </c>
      <c r="EA103">
        <v>1384.6</v>
      </c>
      <c r="EB103">
        <v>327</v>
      </c>
      <c r="EC103" t="s">
        <v>545</v>
      </c>
      <c r="ED103">
        <v>45</v>
      </c>
      <c r="EE103">
        <v>3</v>
      </c>
      <c r="EG103">
        <v>1435</v>
      </c>
      <c r="EH103">
        <v>261</v>
      </c>
      <c r="EJ103">
        <v>0</v>
      </c>
      <c r="EK103">
        <v>1</v>
      </c>
      <c r="EN103">
        <v>0</v>
      </c>
      <c r="EP103" t="s">
        <v>546</v>
      </c>
      <c r="EQ103">
        <v>155</v>
      </c>
      <c r="ER103">
        <v>3</v>
      </c>
      <c r="ES103">
        <v>6.5</v>
      </c>
      <c r="ET103">
        <v>1304</v>
      </c>
      <c r="EU103">
        <v>783.3</v>
      </c>
      <c r="EV103">
        <v>1021</v>
      </c>
      <c r="EW103" t="s">
        <v>547</v>
      </c>
      <c r="EX103">
        <v>45</v>
      </c>
      <c r="EY103">
        <v>2</v>
      </c>
      <c r="EZ103">
        <v>4.3</v>
      </c>
      <c r="FA103">
        <v>1304</v>
      </c>
      <c r="FB103">
        <v>140.3</v>
      </c>
      <c r="FC103">
        <v>183</v>
      </c>
      <c r="FE103">
        <v>0</v>
      </c>
      <c r="FF103">
        <v>2</v>
      </c>
      <c r="FI103">
        <v>0</v>
      </c>
      <c r="FK103" t="s">
        <v>548</v>
      </c>
      <c r="FL103">
        <v>0.4</v>
      </c>
      <c r="FM103">
        <v>90</v>
      </c>
      <c r="FN103">
        <v>440</v>
      </c>
      <c r="FO103">
        <v>115</v>
      </c>
      <c r="FP103">
        <v>170</v>
      </c>
      <c r="FR103" t="s">
        <v>548</v>
      </c>
      <c r="FS103">
        <v>0.4</v>
      </c>
      <c r="FT103">
        <v>30</v>
      </c>
      <c r="FU103">
        <v>660</v>
      </c>
      <c r="GR103" t="s">
        <v>548</v>
      </c>
      <c r="GS103">
        <v>0.4</v>
      </c>
      <c r="GT103">
        <v>160</v>
      </c>
      <c r="GU103">
        <v>140</v>
      </c>
      <c r="HC103">
        <v>0.1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185</v>
      </c>
      <c r="HJ103">
        <v>3</v>
      </c>
      <c r="HK103">
        <v>30</v>
      </c>
      <c r="HL103">
        <v>2</v>
      </c>
      <c r="HM103">
        <v>0</v>
      </c>
      <c r="HN103">
        <v>2</v>
      </c>
      <c r="HO103">
        <v>140</v>
      </c>
      <c r="HP103">
        <v>3</v>
      </c>
      <c r="HQ103">
        <v>0</v>
      </c>
      <c r="HR103">
        <v>2</v>
      </c>
      <c r="HS103">
        <v>7631</v>
      </c>
      <c r="HT103">
        <v>230</v>
      </c>
      <c r="HU103">
        <v>180</v>
      </c>
      <c r="HW103">
        <v>0</v>
      </c>
      <c r="HX103">
        <v>630</v>
      </c>
      <c r="HY103">
        <v>0.18</v>
      </c>
      <c r="IA103">
        <v>0.15</v>
      </c>
      <c r="IB103">
        <v>0</v>
      </c>
      <c r="IC103">
        <v>180</v>
      </c>
      <c r="ID103">
        <v>110</v>
      </c>
      <c r="IE103">
        <v>225</v>
      </c>
      <c r="IF103">
        <v>0</v>
      </c>
      <c r="IH103" t="s">
        <v>549</v>
      </c>
      <c r="IO103">
        <v>3</v>
      </c>
      <c r="IP103">
        <v>17</v>
      </c>
      <c r="IQ103">
        <v>0</v>
      </c>
      <c r="IR103">
        <v>0</v>
      </c>
      <c r="IV103">
        <v>1301</v>
      </c>
      <c r="IW103">
        <v>526</v>
      </c>
      <c r="JA103">
        <v>1</v>
      </c>
      <c r="JB103">
        <v>0</v>
      </c>
      <c r="JC103">
        <v>2</v>
      </c>
      <c r="JD103">
        <v>1319</v>
      </c>
      <c r="JE103">
        <v>1312</v>
      </c>
      <c r="JF103">
        <v>1322</v>
      </c>
      <c r="JG103">
        <v>1304</v>
      </c>
      <c r="JH103">
        <v>0</v>
      </c>
      <c r="JJ103">
        <v>180</v>
      </c>
      <c r="JK103">
        <v>630</v>
      </c>
      <c r="JN103">
        <v>490</v>
      </c>
      <c r="JO103">
        <v>735</v>
      </c>
      <c r="JP103">
        <v>685</v>
      </c>
      <c r="JQ103">
        <v>0</v>
      </c>
      <c r="JR103">
        <v>526</v>
      </c>
      <c r="JS103">
        <v>185</v>
      </c>
      <c r="JV103">
        <v>8</v>
      </c>
      <c r="JW103" t="s">
        <v>550</v>
      </c>
      <c r="JX103">
        <v>568</v>
      </c>
      <c r="KA103">
        <v>225</v>
      </c>
      <c r="KB103">
        <v>110</v>
      </c>
      <c r="KC103">
        <v>0</v>
      </c>
      <c r="KD103">
        <v>80</v>
      </c>
      <c r="KF103">
        <v>4</v>
      </c>
      <c r="KG103">
        <v>2.5</v>
      </c>
      <c r="KH103">
        <v>2</v>
      </c>
      <c r="KI103">
        <v>2</v>
      </c>
      <c r="KJ103">
        <v>0</v>
      </c>
      <c r="KK103">
        <v>1.5</v>
      </c>
      <c r="KL103">
        <v>1.5</v>
      </c>
      <c r="KM103">
        <v>0</v>
      </c>
      <c r="KN103">
        <v>0</v>
      </c>
      <c r="KO103">
        <v>0</v>
      </c>
      <c r="KR103">
        <v>30</v>
      </c>
      <c r="KS103">
        <v>60</v>
      </c>
      <c r="KT103">
        <v>0</v>
      </c>
      <c r="LK103">
        <v>480</v>
      </c>
      <c r="PG103">
        <v>1</v>
      </c>
      <c r="PI103" t="s">
        <v>1845</v>
      </c>
      <c r="PJ103" t="s">
        <v>1847</v>
      </c>
      <c r="PK103" t="s">
        <v>1848</v>
      </c>
      <c r="PL103" t="s">
        <v>1846</v>
      </c>
      <c r="PP103" t="s">
        <v>888</v>
      </c>
      <c r="PS103" t="s">
        <v>693</v>
      </c>
      <c r="PX103">
        <v>56</v>
      </c>
      <c r="PY103">
        <v>56</v>
      </c>
      <c r="PZ103" t="s">
        <v>1845</v>
      </c>
      <c r="QA103">
        <v>1</v>
      </c>
      <c r="QB103">
        <v>1304</v>
      </c>
      <c r="QC103">
        <v>69</v>
      </c>
      <c r="QD103">
        <v>69</v>
      </c>
      <c r="QE103" t="s">
        <v>1846</v>
      </c>
      <c r="QF103">
        <v>1</v>
      </c>
      <c r="QG103">
        <v>1319</v>
      </c>
      <c r="QH103">
        <v>66</v>
      </c>
      <c r="QI103">
        <v>66</v>
      </c>
      <c r="QJ103" t="s">
        <v>693</v>
      </c>
      <c r="QK103">
        <v>1</v>
      </c>
      <c r="QL103">
        <v>1319</v>
      </c>
      <c r="QM103">
        <v>62</v>
      </c>
      <c r="QN103">
        <v>62</v>
      </c>
      <c r="QO103" t="s">
        <v>1847</v>
      </c>
      <c r="QP103">
        <v>1</v>
      </c>
      <c r="QQ103">
        <v>1312</v>
      </c>
      <c r="QR103">
        <v>62</v>
      </c>
      <c r="QS103">
        <v>62</v>
      </c>
      <c r="QT103" t="s">
        <v>1848</v>
      </c>
      <c r="QU103">
        <v>1</v>
      </c>
      <c r="QV103">
        <v>1322</v>
      </c>
      <c r="QW103">
        <v>82</v>
      </c>
      <c r="QX103">
        <v>89</v>
      </c>
      <c r="QY103" t="s">
        <v>888</v>
      </c>
      <c r="QZ103">
        <v>2</v>
      </c>
      <c r="RA103">
        <v>66</v>
      </c>
      <c r="RB103">
        <v>66</v>
      </c>
      <c r="RE103">
        <v>0</v>
      </c>
      <c r="RF103">
        <v>1</v>
      </c>
      <c r="RH103">
        <v>1</v>
      </c>
      <c r="RJ103">
        <v>2</v>
      </c>
      <c r="RK103">
        <v>2</v>
      </c>
      <c r="RL103">
        <v>1</v>
      </c>
      <c r="RM103">
        <v>1</v>
      </c>
      <c r="RO103">
        <v>695</v>
      </c>
      <c r="RP103">
        <v>105</v>
      </c>
      <c r="RQ103">
        <v>1202</v>
      </c>
      <c r="RR103">
        <v>1070</v>
      </c>
      <c r="RT103">
        <v>327</v>
      </c>
      <c r="RU103">
        <v>261</v>
      </c>
      <c r="RV103" t="s">
        <v>893</v>
      </c>
      <c r="RW103" t="s">
        <v>653</v>
      </c>
      <c r="RX103">
        <v>15</v>
      </c>
      <c r="RY103">
        <v>4</v>
      </c>
      <c r="RZ103" t="s">
        <v>653</v>
      </c>
      <c r="SA103">
        <v>15</v>
      </c>
      <c r="SC103" t="s">
        <v>1847</v>
      </c>
      <c r="SD103">
        <v>1</v>
      </c>
      <c r="SF103" t="s">
        <v>1848</v>
      </c>
      <c r="SG103">
        <v>1</v>
      </c>
      <c r="SH103">
        <v>0.995</v>
      </c>
      <c r="SI103">
        <v>0.995</v>
      </c>
      <c r="SJ103">
        <v>0.995</v>
      </c>
      <c r="SK103">
        <v>15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1</v>
      </c>
      <c r="SZ103">
        <v>1</v>
      </c>
      <c r="TB103">
        <v>0</v>
      </c>
      <c r="TC103">
        <v>0</v>
      </c>
      <c r="TD103">
        <v>7.5</v>
      </c>
      <c r="TE103" t="s">
        <v>553</v>
      </c>
      <c r="TF103" t="s">
        <v>681</v>
      </c>
      <c r="TG103" t="s">
        <v>555</v>
      </c>
      <c r="TI103" t="s">
        <v>546</v>
      </c>
      <c r="TJ103" t="s">
        <v>547</v>
      </c>
      <c r="TL103" t="s">
        <v>1477</v>
      </c>
      <c r="TM103" t="s">
        <v>513</v>
      </c>
      <c r="TN103">
        <v>0</v>
      </c>
      <c r="TO103" t="s">
        <v>557</v>
      </c>
    </row>
    <row r="104" spans="1:535">
      <c r="A104" t="s">
        <v>1850</v>
      </c>
      <c r="B104" t="s">
        <v>564</v>
      </c>
      <c r="C104" t="s">
        <v>509</v>
      </c>
      <c r="D104" t="s">
        <v>1851</v>
      </c>
      <c r="G104" t="s">
        <v>561</v>
      </c>
      <c r="I104" t="s">
        <v>562</v>
      </c>
      <c r="J104" t="s">
        <v>563</v>
      </c>
      <c r="L104" t="s">
        <v>512</v>
      </c>
      <c r="M104" t="s">
        <v>629</v>
      </c>
      <c r="N104" t="s">
        <v>513</v>
      </c>
      <c r="O104" t="s">
        <v>565</v>
      </c>
      <c r="Q104" t="s">
        <v>1852</v>
      </c>
      <c r="R104" t="s">
        <v>567</v>
      </c>
      <c r="S104" t="s">
        <v>1853</v>
      </c>
      <c r="T104" t="s">
        <v>820</v>
      </c>
      <c r="U104" t="s">
        <v>520</v>
      </c>
      <c r="V104" t="s">
        <v>521</v>
      </c>
      <c r="W104" t="s">
        <v>1835</v>
      </c>
      <c r="X104" t="s">
        <v>1460</v>
      </c>
      <c r="Y104" t="s">
        <v>524</v>
      </c>
      <c r="Z104" t="s">
        <v>1854</v>
      </c>
      <c r="AA104" t="s">
        <v>1855</v>
      </c>
      <c r="AB104" t="s">
        <v>1856</v>
      </c>
      <c r="AC104">
        <v>2</v>
      </c>
      <c r="AD104">
        <v>56</v>
      </c>
      <c r="AE104">
        <v>189</v>
      </c>
      <c r="AF104">
        <v>1.5</v>
      </c>
      <c r="AH104">
        <v>0</v>
      </c>
      <c r="AI104" t="s">
        <v>615</v>
      </c>
      <c r="AJ104">
        <v>200</v>
      </c>
      <c r="AK104">
        <v>1</v>
      </c>
      <c r="AL104">
        <v>1.5</v>
      </c>
      <c r="AM104" t="s">
        <v>529</v>
      </c>
      <c r="AO104">
        <v>0</v>
      </c>
      <c r="AR104">
        <v>0</v>
      </c>
      <c r="AS104">
        <v>1.5</v>
      </c>
      <c r="AU104" t="s">
        <v>1857</v>
      </c>
      <c r="AW104" t="s">
        <v>1857</v>
      </c>
      <c r="AX104">
        <v>1</v>
      </c>
      <c r="AY104">
        <v>285</v>
      </c>
      <c r="AZ104">
        <v>1.5</v>
      </c>
      <c r="BA104" t="s">
        <v>529</v>
      </c>
      <c r="BB104" t="s">
        <v>1858</v>
      </c>
      <c r="BD104" t="s">
        <v>1858</v>
      </c>
      <c r="BE104">
        <v>1</v>
      </c>
      <c r="BF104">
        <v>235</v>
      </c>
      <c r="BG104">
        <v>1.5</v>
      </c>
      <c r="BJ104">
        <v>0</v>
      </c>
      <c r="BN104">
        <v>1.5</v>
      </c>
      <c r="BP104" t="s">
        <v>1575</v>
      </c>
      <c r="BQ104">
        <v>88</v>
      </c>
      <c r="BR104">
        <v>2</v>
      </c>
      <c r="BS104" t="s">
        <v>1576</v>
      </c>
      <c r="BT104">
        <v>211</v>
      </c>
      <c r="BU104">
        <v>0.5</v>
      </c>
      <c r="BV104" t="s">
        <v>1576</v>
      </c>
      <c r="BW104">
        <v>422</v>
      </c>
      <c r="BX104">
        <v>1</v>
      </c>
      <c r="BY104" t="s">
        <v>533</v>
      </c>
      <c r="BZ104">
        <v>300</v>
      </c>
      <c r="CA104">
        <v>480</v>
      </c>
      <c r="CB104" t="s">
        <v>534</v>
      </c>
      <c r="CC104" t="s">
        <v>534</v>
      </c>
      <c r="CD104">
        <v>444</v>
      </c>
      <c r="CE104" t="s">
        <v>535</v>
      </c>
      <c r="CF104">
        <v>15</v>
      </c>
      <c r="CG104" t="s">
        <v>620</v>
      </c>
      <c r="CH104" t="s">
        <v>620</v>
      </c>
      <c r="CI104">
        <v>90</v>
      </c>
      <c r="CJ104">
        <v>1200</v>
      </c>
      <c r="CK104">
        <v>2</v>
      </c>
      <c r="CL104">
        <v>1301</v>
      </c>
      <c r="CM104">
        <v>2</v>
      </c>
      <c r="CN104" t="s">
        <v>537</v>
      </c>
      <c r="CO104" t="s">
        <v>538</v>
      </c>
      <c r="CP104" t="s">
        <v>539</v>
      </c>
      <c r="CQ104" t="s">
        <v>621</v>
      </c>
      <c r="CR104" t="s">
        <v>541</v>
      </c>
      <c r="CS104" t="s">
        <v>542</v>
      </c>
      <c r="CT104">
        <v>400</v>
      </c>
      <c r="CU104">
        <v>5</v>
      </c>
      <c r="CV104">
        <v>1.2</v>
      </c>
      <c r="CW104">
        <v>1213</v>
      </c>
      <c r="CX104">
        <v>688</v>
      </c>
      <c r="DD104">
        <v>0</v>
      </c>
      <c r="DE104" t="s">
        <v>622</v>
      </c>
      <c r="DF104">
        <v>570</v>
      </c>
      <c r="DG104">
        <v>3</v>
      </c>
      <c r="DH104">
        <v>0.88</v>
      </c>
      <c r="DI104">
        <v>1210</v>
      </c>
      <c r="DJ104">
        <v>797</v>
      </c>
      <c r="DK104" t="s">
        <v>622</v>
      </c>
      <c r="DL104">
        <v>470</v>
      </c>
      <c r="DM104">
        <v>3</v>
      </c>
      <c r="DN104">
        <v>0.88</v>
      </c>
      <c r="DO104">
        <v>1216</v>
      </c>
      <c r="DP104">
        <v>660</v>
      </c>
      <c r="DW104" t="s">
        <v>544</v>
      </c>
      <c r="DX104">
        <v>7.5</v>
      </c>
      <c r="EA104">
        <v>1285.7</v>
      </c>
      <c r="EB104">
        <v>243</v>
      </c>
      <c r="EC104" t="s">
        <v>545</v>
      </c>
      <c r="ED104">
        <v>40</v>
      </c>
      <c r="EE104">
        <v>3</v>
      </c>
      <c r="EG104">
        <v>1327</v>
      </c>
      <c r="EH104">
        <v>211</v>
      </c>
      <c r="EJ104">
        <v>0</v>
      </c>
      <c r="EK104">
        <v>1</v>
      </c>
      <c r="EN104">
        <v>0</v>
      </c>
      <c r="EP104" t="s">
        <v>546</v>
      </c>
      <c r="EQ104">
        <v>110</v>
      </c>
      <c r="ER104">
        <v>3</v>
      </c>
      <c r="ES104">
        <v>5.2</v>
      </c>
      <c r="ET104">
        <v>1196</v>
      </c>
      <c r="EU104">
        <v>450.9</v>
      </c>
      <c r="EV104">
        <v>539</v>
      </c>
      <c r="EW104" t="s">
        <v>547</v>
      </c>
      <c r="EX104">
        <v>70</v>
      </c>
      <c r="EY104">
        <v>2</v>
      </c>
      <c r="EZ104">
        <v>4.5</v>
      </c>
      <c r="FA104">
        <v>1196</v>
      </c>
      <c r="FB104">
        <v>214.5</v>
      </c>
      <c r="FC104">
        <v>257</v>
      </c>
      <c r="FE104">
        <v>0</v>
      </c>
      <c r="FF104">
        <v>2</v>
      </c>
      <c r="FI104">
        <v>0</v>
      </c>
      <c r="FK104" t="s">
        <v>548</v>
      </c>
      <c r="FL104">
        <v>0.4</v>
      </c>
      <c r="FM104">
        <v>110</v>
      </c>
      <c r="FN104">
        <v>130</v>
      </c>
      <c r="GR104" t="s">
        <v>548</v>
      </c>
      <c r="GS104">
        <v>0.6</v>
      </c>
      <c r="GT104">
        <v>30</v>
      </c>
      <c r="GU104">
        <v>390</v>
      </c>
      <c r="GV104">
        <v>30</v>
      </c>
      <c r="GW104">
        <v>250</v>
      </c>
      <c r="HC104">
        <v>0.1</v>
      </c>
      <c r="HD104">
        <v>3</v>
      </c>
      <c r="HE104">
        <v>3</v>
      </c>
      <c r="HF104">
        <v>3</v>
      </c>
      <c r="HG104">
        <v>3</v>
      </c>
      <c r="HH104">
        <v>3</v>
      </c>
      <c r="HI104">
        <v>165</v>
      </c>
      <c r="HJ104">
        <v>3</v>
      </c>
      <c r="HK104">
        <v>55</v>
      </c>
      <c r="HL104">
        <v>2</v>
      </c>
      <c r="HM104">
        <v>0</v>
      </c>
      <c r="HN104">
        <v>2</v>
      </c>
      <c r="HO104">
        <v>95</v>
      </c>
      <c r="HP104">
        <v>3</v>
      </c>
      <c r="HQ104">
        <v>0</v>
      </c>
      <c r="HR104">
        <v>2</v>
      </c>
      <c r="HS104">
        <v>4645</v>
      </c>
      <c r="HT104">
        <v>140</v>
      </c>
      <c r="HU104">
        <v>180</v>
      </c>
      <c r="HW104">
        <v>0</v>
      </c>
      <c r="HX104">
        <v>480</v>
      </c>
      <c r="HY104">
        <v>0.18</v>
      </c>
      <c r="IA104">
        <v>0.15</v>
      </c>
      <c r="IB104">
        <v>0</v>
      </c>
      <c r="IC104">
        <v>180</v>
      </c>
      <c r="ID104">
        <v>110</v>
      </c>
      <c r="IE104">
        <v>225</v>
      </c>
      <c r="IF104">
        <v>0</v>
      </c>
      <c r="IH104" t="s">
        <v>549</v>
      </c>
      <c r="IO104">
        <v>3</v>
      </c>
      <c r="IP104">
        <v>16</v>
      </c>
      <c r="IQ104">
        <v>0</v>
      </c>
      <c r="IR104">
        <v>1</v>
      </c>
      <c r="IV104">
        <v>1200</v>
      </c>
      <c r="IW104">
        <v>422</v>
      </c>
      <c r="JA104">
        <v>1</v>
      </c>
      <c r="JB104">
        <v>0</v>
      </c>
      <c r="JC104">
        <v>2</v>
      </c>
      <c r="JD104">
        <v>1213</v>
      </c>
      <c r="JE104">
        <v>1210</v>
      </c>
      <c r="JF104">
        <v>1216</v>
      </c>
      <c r="JG104">
        <v>1196</v>
      </c>
      <c r="JH104">
        <v>0</v>
      </c>
      <c r="JJ104">
        <v>180</v>
      </c>
      <c r="JK104">
        <v>480</v>
      </c>
      <c r="JN104">
        <v>400</v>
      </c>
      <c r="JO104">
        <v>570</v>
      </c>
      <c r="JP104">
        <v>470</v>
      </c>
      <c r="JQ104">
        <v>0</v>
      </c>
      <c r="JR104">
        <v>378</v>
      </c>
      <c r="JS104">
        <v>165</v>
      </c>
      <c r="JV104">
        <v>8</v>
      </c>
      <c r="JW104" t="s">
        <v>550</v>
      </c>
      <c r="JX104">
        <v>0</v>
      </c>
      <c r="KA104">
        <v>225</v>
      </c>
      <c r="KB104">
        <v>110</v>
      </c>
      <c r="KC104">
        <v>0</v>
      </c>
      <c r="KD104">
        <v>80</v>
      </c>
      <c r="KF104">
        <v>4</v>
      </c>
      <c r="KG104">
        <v>2</v>
      </c>
      <c r="KH104">
        <v>2</v>
      </c>
      <c r="KI104">
        <v>2</v>
      </c>
      <c r="KJ104">
        <v>0</v>
      </c>
      <c r="KK104">
        <v>1.5</v>
      </c>
      <c r="KL104">
        <v>1.5</v>
      </c>
      <c r="KM104">
        <v>0</v>
      </c>
      <c r="KN104">
        <v>0</v>
      </c>
      <c r="KO104">
        <v>0</v>
      </c>
      <c r="KR104">
        <v>30</v>
      </c>
      <c r="KS104">
        <v>50</v>
      </c>
      <c r="KT104">
        <v>0</v>
      </c>
      <c r="LK104">
        <v>480</v>
      </c>
      <c r="PG104">
        <v>1</v>
      </c>
      <c r="PI104" t="s">
        <v>1856</v>
      </c>
      <c r="PJ104" t="s">
        <v>1857</v>
      </c>
      <c r="PK104" t="s">
        <v>1858</v>
      </c>
      <c r="PL104" t="s">
        <v>615</v>
      </c>
      <c r="PP104" t="s">
        <v>1575</v>
      </c>
      <c r="PX104">
        <v>56</v>
      </c>
      <c r="PY104">
        <v>56</v>
      </c>
      <c r="PZ104" t="s">
        <v>1856</v>
      </c>
      <c r="QA104">
        <v>2</v>
      </c>
      <c r="QB104">
        <v>1196</v>
      </c>
      <c r="QC104">
        <v>69</v>
      </c>
      <c r="QD104">
        <v>69</v>
      </c>
      <c r="QE104" t="s">
        <v>615</v>
      </c>
      <c r="QF104">
        <v>1</v>
      </c>
      <c r="QG104">
        <v>1213</v>
      </c>
      <c r="QH104">
        <v>66</v>
      </c>
      <c r="QI104">
        <v>66</v>
      </c>
      <c r="QL104">
        <v>0</v>
      </c>
      <c r="QM104">
        <v>62</v>
      </c>
      <c r="QN104">
        <v>62</v>
      </c>
      <c r="QO104" t="s">
        <v>1857</v>
      </c>
      <c r="QP104">
        <v>1</v>
      </c>
      <c r="QQ104">
        <v>1210</v>
      </c>
      <c r="QR104">
        <v>62</v>
      </c>
      <c r="QS104">
        <v>62</v>
      </c>
      <c r="QT104" t="s">
        <v>1858</v>
      </c>
      <c r="QU104">
        <v>1</v>
      </c>
      <c r="QV104">
        <v>1216</v>
      </c>
      <c r="QW104">
        <v>82</v>
      </c>
      <c r="QX104">
        <v>88</v>
      </c>
      <c r="QY104" t="s">
        <v>1575</v>
      </c>
      <c r="QZ104">
        <v>1</v>
      </c>
      <c r="RA104">
        <v>66</v>
      </c>
      <c r="RB104">
        <v>66</v>
      </c>
      <c r="RE104">
        <v>0</v>
      </c>
      <c r="RF104">
        <v>1</v>
      </c>
      <c r="RH104">
        <v>1</v>
      </c>
      <c r="RJ104">
        <v>1</v>
      </c>
      <c r="RL104">
        <v>3</v>
      </c>
      <c r="RM104">
        <v>3</v>
      </c>
      <c r="RO104">
        <v>567</v>
      </c>
      <c r="RQ104">
        <v>659</v>
      </c>
      <c r="RR104">
        <v>543</v>
      </c>
      <c r="RT104">
        <v>243</v>
      </c>
      <c r="RU104">
        <v>211</v>
      </c>
      <c r="RV104" t="s">
        <v>1578</v>
      </c>
      <c r="RW104" t="s">
        <v>552</v>
      </c>
      <c r="RX104">
        <v>15</v>
      </c>
      <c r="RY104">
        <v>4</v>
      </c>
      <c r="RZ104" t="s">
        <v>552</v>
      </c>
      <c r="SA104">
        <v>15</v>
      </c>
      <c r="SC104" t="s">
        <v>1857</v>
      </c>
      <c r="SD104">
        <v>1</v>
      </c>
      <c r="SF104" t="s">
        <v>1858</v>
      </c>
      <c r="SG104">
        <v>1</v>
      </c>
      <c r="SH104">
        <v>0.995</v>
      </c>
      <c r="SI104">
        <v>0.995</v>
      </c>
      <c r="SJ104">
        <v>0.995</v>
      </c>
      <c r="SK104">
        <v>15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Z104">
        <v>1</v>
      </c>
      <c r="TB104">
        <v>0</v>
      </c>
      <c r="TC104">
        <v>0</v>
      </c>
      <c r="TD104">
        <v>7.5</v>
      </c>
      <c r="TE104" t="s">
        <v>553</v>
      </c>
      <c r="TF104" t="s">
        <v>655</v>
      </c>
      <c r="TG104" t="s">
        <v>555</v>
      </c>
      <c r="TI104" t="s">
        <v>546</v>
      </c>
      <c r="TJ104" t="s">
        <v>547</v>
      </c>
      <c r="TL104" t="s">
        <v>1477</v>
      </c>
      <c r="TM104" t="s">
        <v>513</v>
      </c>
      <c r="TN104">
        <v>0</v>
      </c>
      <c r="TO104" t="s">
        <v>557</v>
      </c>
    </row>
    <row r="105" spans="1:535">
      <c r="A105" t="s">
        <v>1859</v>
      </c>
      <c r="B105" t="s">
        <v>564</v>
      </c>
      <c r="C105" t="s">
        <v>509</v>
      </c>
      <c r="D105" t="s">
        <v>1860</v>
      </c>
      <c r="G105" t="s">
        <v>1115</v>
      </c>
      <c r="I105" t="s">
        <v>562</v>
      </c>
      <c r="J105" t="s">
        <v>563</v>
      </c>
      <c r="L105" t="s">
        <v>512</v>
      </c>
      <c r="M105" t="s">
        <v>629</v>
      </c>
      <c r="N105" t="s">
        <v>513</v>
      </c>
      <c r="O105" t="s">
        <v>607</v>
      </c>
      <c r="Q105" t="s">
        <v>1861</v>
      </c>
      <c r="R105" t="s">
        <v>567</v>
      </c>
      <c r="S105" t="s">
        <v>1015</v>
      </c>
      <c r="T105" t="s">
        <v>1016</v>
      </c>
      <c r="U105" t="s">
        <v>633</v>
      </c>
      <c r="V105" t="s">
        <v>634</v>
      </c>
      <c r="W105" t="s">
        <v>1862</v>
      </c>
      <c r="X105" t="s">
        <v>1460</v>
      </c>
      <c r="Y105" t="s">
        <v>524</v>
      </c>
      <c r="Z105" t="s">
        <v>1863</v>
      </c>
      <c r="AA105" t="s">
        <v>1864</v>
      </c>
      <c r="AB105" t="s">
        <v>1865</v>
      </c>
      <c r="AC105">
        <v>2</v>
      </c>
      <c r="AD105">
        <v>56</v>
      </c>
      <c r="AE105">
        <v>162</v>
      </c>
      <c r="AF105">
        <v>1.5</v>
      </c>
      <c r="AH105">
        <v>0</v>
      </c>
      <c r="AI105" t="s">
        <v>748</v>
      </c>
      <c r="AJ105">
        <v>175</v>
      </c>
      <c r="AK105">
        <v>1</v>
      </c>
      <c r="AL105">
        <v>1.5</v>
      </c>
      <c r="AM105" t="s">
        <v>529</v>
      </c>
      <c r="AO105">
        <v>0</v>
      </c>
      <c r="AR105">
        <v>0</v>
      </c>
      <c r="AS105">
        <v>1.5</v>
      </c>
      <c r="AV105" t="s">
        <v>1866</v>
      </c>
      <c r="AW105" t="s">
        <v>1866</v>
      </c>
      <c r="AX105">
        <v>1</v>
      </c>
      <c r="AY105">
        <v>242.5</v>
      </c>
      <c r="AZ105">
        <v>1.5</v>
      </c>
      <c r="BA105" t="s">
        <v>529</v>
      </c>
      <c r="BG105">
        <v>1.5</v>
      </c>
      <c r="BJ105">
        <v>0</v>
      </c>
      <c r="BN105">
        <v>1.5</v>
      </c>
      <c r="BP105" t="s">
        <v>641</v>
      </c>
      <c r="BQ105">
        <v>84</v>
      </c>
      <c r="BR105">
        <v>2</v>
      </c>
      <c r="BS105" t="s">
        <v>642</v>
      </c>
      <c r="BT105">
        <v>184</v>
      </c>
      <c r="BU105">
        <v>0.5</v>
      </c>
      <c r="BV105" t="s">
        <v>642</v>
      </c>
      <c r="BW105">
        <v>368</v>
      </c>
      <c r="BX105">
        <v>1</v>
      </c>
      <c r="BY105" t="s">
        <v>643</v>
      </c>
      <c r="BZ105">
        <v>300</v>
      </c>
      <c r="CA105">
        <v>420</v>
      </c>
      <c r="CB105" t="s">
        <v>644</v>
      </c>
      <c r="CC105" t="s">
        <v>644</v>
      </c>
      <c r="CD105">
        <v>380</v>
      </c>
      <c r="CE105" t="s">
        <v>544</v>
      </c>
      <c r="CF105">
        <v>15</v>
      </c>
      <c r="CG105" t="s">
        <v>891</v>
      </c>
      <c r="CH105" t="s">
        <v>891</v>
      </c>
      <c r="CI105">
        <v>60</v>
      </c>
      <c r="CJ105">
        <v>1301</v>
      </c>
      <c r="CK105">
        <v>2</v>
      </c>
      <c r="CL105">
        <v>1395</v>
      </c>
      <c r="CM105">
        <v>2</v>
      </c>
      <c r="CN105" t="s">
        <v>646</v>
      </c>
      <c r="CO105" t="s">
        <v>647</v>
      </c>
      <c r="CP105" t="s">
        <v>648</v>
      </c>
      <c r="CQ105" t="s">
        <v>649</v>
      </c>
      <c r="CR105" t="s">
        <v>650</v>
      </c>
      <c r="CS105" t="s">
        <v>542</v>
      </c>
      <c r="CT105">
        <v>350</v>
      </c>
      <c r="CU105">
        <v>5</v>
      </c>
      <c r="CV105">
        <v>1.2</v>
      </c>
      <c r="CW105">
        <v>1314</v>
      </c>
      <c r="CX105">
        <v>650</v>
      </c>
      <c r="DD105">
        <v>0</v>
      </c>
      <c r="DE105" t="s">
        <v>543</v>
      </c>
      <c r="DF105">
        <v>485</v>
      </c>
      <c r="DG105">
        <v>3</v>
      </c>
      <c r="DH105">
        <v>1.18</v>
      </c>
      <c r="DI105">
        <v>1312</v>
      </c>
      <c r="DJ105">
        <v>1046</v>
      </c>
      <c r="DW105" t="s">
        <v>544</v>
      </c>
      <c r="DX105">
        <v>7.5</v>
      </c>
      <c r="EA105">
        <v>1381.4</v>
      </c>
      <c r="EB105">
        <v>261</v>
      </c>
      <c r="EC105" t="s">
        <v>545</v>
      </c>
      <c r="ED105">
        <v>25</v>
      </c>
      <c r="EE105">
        <v>3</v>
      </c>
      <c r="EG105">
        <v>1422</v>
      </c>
      <c r="EH105">
        <v>155</v>
      </c>
      <c r="EJ105">
        <v>0</v>
      </c>
      <c r="EK105">
        <v>1</v>
      </c>
      <c r="EN105">
        <v>0</v>
      </c>
      <c r="EP105" t="s">
        <v>546</v>
      </c>
      <c r="EQ105">
        <v>65</v>
      </c>
      <c r="ER105">
        <v>3</v>
      </c>
      <c r="ES105">
        <v>5.5</v>
      </c>
      <c r="ET105">
        <v>1298</v>
      </c>
      <c r="EU105">
        <v>280.7</v>
      </c>
      <c r="EV105">
        <v>364</v>
      </c>
      <c r="EW105" t="s">
        <v>547</v>
      </c>
      <c r="EX105">
        <v>70</v>
      </c>
      <c r="EY105">
        <v>2</v>
      </c>
      <c r="EZ105">
        <v>4.5</v>
      </c>
      <c r="FA105">
        <v>1298</v>
      </c>
      <c r="FB105">
        <v>228.7</v>
      </c>
      <c r="FC105">
        <v>297</v>
      </c>
      <c r="FE105">
        <v>0</v>
      </c>
      <c r="FF105">
        <v>2</v>
      </c>
      <c r="FI105">
        <v>0</v>
      </c>
      <c r="FK105" t="s">
        <v>548</v>
      </c>
      <c r="FL105">
        <v>0.4</v>
      </c>
      <c r="FM105">
        <v>80</v>
      </c>
      <c r="FN105">
        <v>120</v>
      </c>
      <c r="FR105" t="s">
        <v>548</v>
      </c>
      <c r="FS105">
        <v>0.4</v>
      </c>
      <c r="FT105">
        <v>30</v>
      </c>
      <c r="FU105">
        <v>340</v>
      </c>
      <c r="FY105" t="s">
        <v>651</v>
      </c>
      <c r="FZ105">
        <v>1</v>
      </c>
      <c r="GA105">
        <v>20</v>
      </c>
      <c r="GB105">
        <v>161</v>
      </c>
      <c r="GG105" t="s">
        <v>651</v>
      </c>
      <c r="GH105">
        <v>1</v>
      </c>
      <c r="GI105">
        <v>20</v>
      </c>
      <c r="GJ105">
        <v>161</v>
      </c>
      <c r="HC105">
        <v>0.1</v>
      </c>
      <c r="HD105">
        <v>3</v>
      </c>
      <c r="HE105">
        <v>3</v>
      </c>
      <c r="HF105">
        <v>3</v>
      </c>
      <c r="HG105">
        <v>3</v>
      </c>
      <c r="HH105">
        <v>3</v>
      </c>
      <c r="HI105">
        <v>120</v>
      </c>
      <c r="HJ105">
        <v>3</v>
      </c>
      <c r="HK105">
        <v>55</v>
      </c>
      <c r="HL105">
        <v>2</v>
      </c>
      <c r="HM105">
        <v>0</v>
      </c>
      <c r="HN105">
        <v>2</v>
      </c>
      <c r="HO105">
        <v>50</v>
      </c>
      <c r="HP105">
        <v>3</v>
      </c>
      <c r="HQ105">
        <v>0</v>
      </c>
      <c r="HR105">
        <v>2</v>
      </c>
      <c r="HS105">
        <v>3850</v>
      </c>
      <c r="HT105">
        <v>120</v>
      </c>
      <c r="HU105">
        <v>180</v>
      </c>
      <c r="HW105">
        <v>0</v>
      </c>
      <c r="HX105">
        <v>420</v>
      </c>
      <c r="HY105">
        <v>0.18</v>
      </c>
      <c r="IA105">
        <v>0.15</v>
      </c>
      <c r="IB105">
        <v>0</v>
      </c>
      <c r="IC105">
        <v>180</v>
      </c>
      <c r="ID105">
        <v>110</v>
      </c>
      <c r="IE105">
        <v>0</v>
      </c>
      <c r="IF105">
        <v>0</v>
      </c>
      <c r="IH105" t="s">
        <v>549</v>
      </c>
      <c r="IO105">
        <v>1</v>
      </c>
      <c r="IP105">
        <v>17</v>
      </c>
      <c r="IQ105">
        <v>0</v>
      </c>
      <c r="IR105">
        <v>1</v>
      </c>
      <c r="IV105">
        <v>1301</v>
      </c>
      <c r="IW105">
        <v>368</v>
      </c>
      <c r="JA105">
        <v>1</v>
      </c>
      <c r="JB105">
        <v>0</v>
      </c>
      <c r="JC105">
        <v>2</v>
      </c>
      <c r="JD105">
        <v>1314</v>
      </c>
      <c r="JE105">
        <v>1312</v>
      </c>
      <c r="JF105">
        <v>0</v>
      </c>
      <c r="JG105">
        <v>1298</v>
      </c>
      <c r="JH105">
        <v>0</v>
      </c>
      <c r="JJ105">
        <v>180</v>
      </c>
      <c r="JK105">
        <v>420</v>
      </c>
      <c r="JN105">
        <v>350</v>
      </c>
      <c r="JO105">
        <v>485</v>
      </c>
      <c r="JP105">
        <v>0</v>
      </c>
      <c r="JQ105">
        <v>0</v>
      </c>
      <c r="JR105">
        <v>324</v>
      </c>
      <c r="JS105">
        <v>120</v>
      </c>
      <c r="JV105">
        <v>8</v>
      </c>
      <c r="JW105" t="s">
        <v>550</v>
      </c>
      <c r="JX105">
        <v>0</v>
      </c>
      <c r="KA105">
        <v>0</v>
      </c>
      <c r="KB105">
        <v>110</v>
      </c>
      <c r="KC105">
        <v>0</v>
      </c>
      <c r="KD105">
        <v>80</v>
      </c>
      <c r="KF105">
        <v>4</v>
      </c>
      <c r="KG105">
        <v>2</v>
      </c>
      <c r="KH105">
        <v>2</v>
      </c>
      <c r="KI105">
        <v>2</v>
      </c>
      <c r="KJ105">
        <v>0</v>
      </c>
      <c r="KK105">
        <v>1.5</v>
      </c>
      <c r="KL105">
        <v>1.5</v>
      </c>
      <c r="KM105">
        <v>0</v>
      </c>
      <c r="KN105">
        <v>0</v>
      </c>
      <c r="KO105">
        <v>0</v>
      </c>
      <c r="KR105">
        <v>50</v>
      </c>
      <c r="KS105">
        <v>60</v>
      </c>
      <c r="KT105">
        <v>0</v>
      </c>
      <c r="LK105">
        <v>480</v>
      </c>
      <c r="PG105">
        <v>1</v>
      </c>
      <c r="PI105" t="s">
        <v>1865</v>
      </c>
      <c r="PJ105" t="s">
        <v>1866</v>
      </c>
      <c r="PL105" t="s">
        <v>748</v>
      </c>
      <c r="PP105" t="s">
        <v>641</v>
      </c>
      <c r="PX105">
        <v>56</v>
      </c>
      <c r="PY105">
        <v>56</v>
      </c>
      <c r="PZ105" t="s">
        <v>1865</v>
      </c>
      <c r="QA105">
        <v>1</v>
      </c>
      <c r="QB105">
        <v>1298</v>
      </c>
      <c r="QC105">
        <v>69</v>
      </c>
      <c r="QD105">
        <v>69</v>
      </c>
      <c r="QE105" t="s">
        <v>748</v>
      </c>
      <c r="QF105">
        <v>1</v>
      </c>
      <c r="QG105">
        <v>1314</v>
      </c>
      <c r="QH105">
        <v>66</v>
      </c>
      <c r="QI105">
        <v>66</v>
      </c>
      <c r="QL105">
        <v>0</v>
      </c>
      <c r="QM105">
        <v>63</v>
      </c>
      <c r="QN105">
        <v>63</v>
      </c>
      <c r="QO105" t="s">
        <v>1866</v>
      </c>
      <c r="QP105">
        <v>1</v>
      </c>
      <c r="QQ105">
        <v>1312</v>
      </c>
      <c r="QW105">
        <v>82</v>
      </c>
      <c r="QX105">
        <v>84</v>
      </c>
      <c r="QY105" t="s">
        <v>641</v>
      </c>
      <c r="QZ105">
        <v>2</v>
      </c>
      <c r="RA105">
        <v>66</v>
      </c>
      <c r="RB105">
        <v>66</v>
      </c>
      <c r="RE105">
        <v>0</v>
      </c>
      <c r="RG105">
        <v>1</v>
      </c>
      <c r="RJ105">
        <v>1</v>
      </c>
      <c r="RL105">
        <v>1</v>
      </c>
      <c r="RO105">
        <v>495</v>
      </c>
      <c r="RQ105">
        <v>797</v>
      </c>
      <c r="RT105">
        <v>261</v>
      </c>
      <c r="RU105">
        <v>155</v>
      </c>
      <c r="RV105" t="s">
        <v>652</v>
      </c>
      <c r="RW105" t="s">
        <v>653</v>
      </c>
      <c r="RX105">
        <v>15</v>
      </c>
      <c r="RY105">
        <v>4</v>
      </c>
      <c r="RZ105" t="s">
        <v>653</v>
      </c>
      <c r="SA105">
        <v>15</v>
      </c>
      <c r="SB105" t="s">
        <v>1867</v>
      </c>
      <c r="SC105" t="s">
        <v>1867</v>
      </c>
      <c r="SD105">
        <v>1</v>
      </c>
      <c r="SH105">
        <v>0.995</v>
      </c>
      <c r="SI105">
        <v>0.995</v>
      </c>
      <c r="SJ105">
        <v>0.995</v>
      </c>
      <c r="SK105">
        <v>15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TB105">
        <v>0</v>
      </c>
      <c r="TC105">
        <v>0</v>
      </c>
      <c r="TD105">
        <v>7.5</v>
      </c>
      <c r="TE105" t="s">
        <v>553</v>
      </c>
      <c r="TF105" t="s">
        <v>655</v>
      </c>
      <c r="TG105" t="s">
        <v>555</v>
      </c>
      <c r="TI105" t="s">
        <v>546</v>
      </c>
      <c r="TJ105" t="s">
        <v>547</v>
      </c>
      <c r="TL105" t="s">
        <v>1477</v>
      </c>
      <c r="TM105" t="s">
        <v>513</v>
      </c>
      <c r="TN105">
        <v>0</v>
      </c>
      <c r="TO105" t="s">
        <v>557</v>
      </c>
    </row>
    <row r="106" spans="1:535">
      <c r="A106" t="s">
        <v>1868</v>
      </c>
      <c r="B106" t="s">
        <v>629</v>
      </c>
      <c r="C106" t="s">
        <v>509</v>
      </c>
      <c r="D106" t="s">
        <v>1860</v>
      </c>
      <c r="G106" t="s">
        <v>1294</v>
      </c>
      <c r="I106" t="s">
        <v>562</v>
      </c>
      <c r="J106" t="s">
        <v>563</v>
      </c>
      <c r="L106" t="s">
        <v>512</v>
      </c>
      <c r="M106" t="s">
        <v>711</v>
      </c>
      <c r="N106" t="s">
        <v>513</v>
      </c>
      <c r="O106" t="s">
        <v>565</v>
      </c>
      <c r="Q106" t="s">
        <v>1869</v>
      </c>
      <c r="R106" t="s">
        <v>567</v>
      </c>
      <c r="S106" t="s">
        <v>819</v>
      </c>
      <c r="T106" t="s">
        <v>820</v>
      </c>
      <c r="U106" t="s">
        <v>633</v>
      </c>
      <c r="V106" t="s">
        <v>634</v>
      </c>
      <c r="W106" t="s">
        <v>1870</v>
      </c>
      <c r="X106" t="s">
        <v>1460</v>
      </c>
      <c r="Y106" t="s">
        <v>524</v>
      </c>
      <c r="Z106" t="s">
        <v>1871</v>
      </c>
      <c r="AA106" t="s">
        <v>1872</v>
      </c>
      <c r="AB106" t="s">
        <v>1873</v>
      </c>
      <c r="AC106">
        <v>2</v>
      </c>
      <c r="AD106">
        <v>56</v>
      </c>
      <c r="AE106">
        <v>184</v>
      </c>
      <c r="AF106">
        <v>1.5</v>
      </c>
      <c r="AH106">
        <v>0</v>
      </c>
      <c r="AI106" t="s">
        <v>1723</v>
      </c>
      <c r="AJ106">
        <v>195</v>
      </c>
      <c r="AK106">
        <v>1</v>
      </c>
      <c r="AL106">
        <v>1.5</v>
      </c>
      <c r="AM106" t="s">
        <v>529</v>
      </c>
      <c r="AO106">
        <v>0</v>
      </c>
      <c r="AR106">
        <v>0</v>
      </c>
      <c r="AS106">
        <v>1.5</v>
      </c>
      <c r="AU106" t="s">
        <v>1874</v>
      </c>
      <c r="AW106" t="s">
        <v>1874</v>
      </c>
      <c r="AX106">
        <v>1</v>
      </c>
      <c r="AY106">
        <v>280</v>
      </c>
      <c r="AZ106">
        <v>1.5</v>
      </c>
      <c r="BA106" t="s">
        <v>529</v>
      </c>
      <c r="BB106" t="s">
        <v>1875</v>
      </c>
      <c r="BD106" t="s">
        <v>1875</v>
      </c>
      <c r="BE106">
        <v>1</v>
      </c>
      <c r="BF106">
        <v>230</v>
      </c>
      <c r="BG106">
        <v>1.5</v>
      </c>
      <c r="BJ106">
        <v>0</v>
      </c>
      <c r="BN106">
        <v>1.5</v>
      </c>
      <c r="BP106" t="s">
        <v>828</v>
      </c>
      <c r="BQ106">
        <v>89</v>
      </c>
      <c r="BR106">
        <v>2</v>
      </c>
      <c r="BS106" t="s">
        <v>829</v>
      </c>
      <c r="BT106">
        <v>207</v>
      </c>
      <c r="BU106">
        <v>0.5</v>
      </c>
      <c r="BV106" t="s">
        <v>829</v>
      </c>
      <c r="BW106">
        <v>414</v>
      </c>
      <c r="BX106">
        <v>1</v>
      </c>
      <c r="BY106" t="s">
        <v>643</v>
      </c>
      <c r="BZ106">
        <v>300</v>
      </c>
      <c r="CA106">
        <v>480</v>
      </c>
      <c r="CB106" t="s">
        <v>644</v>
      </c>
      <c r="CC106" t="s">
        <v>644</v>
      </c>
      <c r="CD106">
        <v>434</v>
      </c>
      <c r="CE106" t="s">
        <v>544</v>
      </c>
      <c r="CF106">
        <v>15</v>
      </c>
      <c r="CG106" t="s">
        <v>830</v>
      </c>
      <c r="CH106" t="s">
        <v>830</v>
      </c>
      <c r="CI106">
        <v>90</v>
      </c>
      <c r="CJ106">
        <v>1301</v>
      </c>
      <c r="CK106">
        <v>2</v>
      </c>
      <c r="CL106">
        <v>1395</v>
      </c>
      <c r="CM106">
        <v>2</v>
      </c>
      <c r="CN106" t="s">
        <v>646</v>
      </c>
      <c r="CO106" t="s">
        <v>647</v>
      </c>
      <c r="CP106" t="s">
        <v>648</v>
      </c>
      <c r="CQ106" t="s">
        <v>621</v>
      </c>
      <c r="CR106" t="s">
        <v>541</v>
      </c>
      <c r="CS106" t="s">
        <v>542</v>
      </c>
      <c r="CT106">
        <v>390</v>
      </c>
      <c r="CU106">
        <v>5</v>
      </c>
      <c r="CV106">
        <v>1.2</v>
      </c>
      <c r="CW106">
        <v>1314</v>
      </c>
      <c r="CX106">
        <v>725</v>
      </c>
      <c r="DD106">
        <v>0</v>
      </c>
      <c r="DE106" t="s">
        <v>622</v>
      </c>
      <c r="DF106">
        <v>560</v>
      </c>
      <c r="DG106">
        <v>3</v>
      </c>
      <c r="DH106">
        <v>0.88</v>
      </c>
      <c r="DI106">
        <v>1311</v>
      </c>
      <c r="DJ106">
        <v>846</v>
      </c>
      <c r="DK106" t="s">
        <v>622</v>
      </c>
      <c r="DL106">
        <v>460</v>
      </c>
      <c r="DM106">
        <v>3</v>
      </c>
      <c r="DN106">
        <v>0.88</v>
      </c>
      <c r="DO106">
        <v>1316</v>
      </c>
      <c r="DP106">
        <v>701</v>
      </c>
      <c r="DW106" t="s">
        <v>544</v>
      </c>
      <c r="DX106">
        <v>7.5</v>
      </c>
      <c r="EA106">
        <v>1384.6</v>
      </c>
      <c r="EB106">
        <v>261</v>
      </c>
      <c r="EC106" t="s">
        <v>545</v>
      </c>
      <c r="ED106">
        <v>40</v>
      </c>
      <c r="EE106">
        <v>3</v>
      </c>
      <c r="EG106">
        <v>1425</v>
      </c>
      <c r="EH106">
        <v>227</v>
      </c>
      <c r="EJ106">
        <v>0</v>
      </c>
      <c r="EK106">
        <v>1</v>
      </c>
      <c r="EN106">
        <v>0</v>
      </c>
      <c r="EP106" t="s">
        <v>546</v>
      </c>
      <c r="EQ106">
        <v>110</v>
      </c>
      <c r="ER106">
        <v>3</v>
      </c>
      <c r="ES106">
        <v>5.2</v>
      </c>
      <c r="ET106">
        <v>1296</v>
      </c>
      <c r="EU106">
        <v>442.3</v>
      </c>
      <c r="EV106">
        <v>573</v>
      </c>
      <c r="EW106" t="s">
        <v>547</v>
      </c>
      <c r="EX106">
        <v>70</v>
      </c>
      <c r="EY106">
        <v>2</v>
      </c>
      <c r="EZ106">
        <v>4.5</v>
      </c>
      <c r="FA106">
        <v>1296</v>
      </c>
      <c r="FB106">
        <v>214.5</v>
      </c>
      <c r="FC106">
        <v>278</v>
      </c>
      <c r="FE106">
        <v>0</v>
      </c>
      <c r="FF106">
        <v>2</v>
      </c>
      <c r="FI106">
        <v>0</v>
      </c>
      <c r="FK106" t="s">
        <v>548</v>
      </c>
      <c r="FL106">
        <v>0.4</v>
      </c>
      <c r="FM106">
        <v>105</v>
      </c>
      <c r="FN106">
        <v>140</v>
      </c>
      <c r="GR106" t="s">
        <v>548</v>
      </c>
      <c r="GS106">
        <v>0.6</v>
      </c>
      <c r="GT106">
        <v>30</v>
      </c>
      <c r="GU106">
        <v>380</v>
      </c>
      <c r="GV106">
        <v>30</v>
      </c>
      <c r="GW106">
        <v>250</v>
      </c>
      <c r="HC106">
        <v>0.1</v>
      </c>
      <c r="HD106">
        <v>3</v>
      </c>
      <c r="HE106">
        <v>3</v>
      </c>
      <c r="HF106">
        <v>3</v>
      </c>
      <c r="HG106">
        <v>3</v>
      </c>
      <c r="HH106">
        <v>3</v>
      </c>
      <c r="HI106">
        <v>165</v>
      </c>
      <c r="HJ106">
        <v>3</v>
      </c>
      <c r="HK106">
        <v>55</v>
      </c>
      <c r="HL106">
        <v>2</v>
      </c>
      <c r="HM106">
        <v>0</v>
      </c>
      <c r="HN106">
        <v>2</v>
      </c>
      <c r="HO106">
        <v>95</v>
      </c>
      <c r="HP106">
        <v>3</v>
      </c>
      <c r="HQ106">
        <v>0</v>
      </c>
      <c r="HR106">
        <v>2</v>
      </c>
      <c r="HS106">
        <v>4950</v>
      </c>
      <c r="HT106">
        <v>150</v>
      </c>
      <c r="HU106">
        <v>180</v>
      </c>
      <c r="HW106">
        <v>0</v>
      </c>
      <c r="HX106">
        <v>435</v>
      </c>
      <c r="HY106">
        <v>0.18</v>
      </c>
      <c r="IA106">
        <v>0.15</v>
      </c>
      <c r="IB106">
        <v>0</v>
      </c>
      <c r="IC106">
        <v>180</v>
      </c>
      <c r="ID106">
        <v>110</v>
      </c>
      <c r="IE106">
        <v>225</v>
      </c>
      <c r="IF106">
        <v>0</v>
      </c>
      <c r="IH106" t="s">
        <v>549</v>
      </c>
      <c r="IO106">
        <v>3</v>
      </c>
      <c r="IP106">
        <v>17</v>
      </c>
      <c r="IQ106">
        <v>0</v>
      </c>
      <c r="IR106">
        <v>1</v>
      </c>
      <c r="IV106">
        <v>1301</v>
      </c>
      <c r="IW106">
        <v>414</v>
      </c>
      <c r="JA106">
        <v>1</v>
      </c>
      <c r="JB106">
        <v>0</v>
      </c>
      <c r="JC106">
        <v>2</v>
      </c>
      <c r="JD106">
        <v>1314</v>
      </c>
      <c r="JE106">
        <v>1311</v>
      </c>
      <c r="JF106">
        <v>1316</v>
      </c>
      <c r="JG106">
        <v>1296</v>
      </c>
      <c r="JH106">
        <v>0</v>
      </c>
      <c r="JJ106">
        <v>180</v>
      </c>
      <c r="JK106">
        <v>435</v>
      </c>
      <c r="JN106">
        <v>390</v>
      </c>
      <c r="JO106">
        <v>560</v>
      </c>
      <c r="JP106">
        <v>460</v>
      </c>
      <c r="JQ106">
        <v>0</v>
      </c>
      <c r="JR106">
        <v>368</v>
      </c>
      <c r="JS106">
        <v>165</v>
      </c>
      <c r="JV106">
        <v>8</v>
      </c>
      <c r="JW106" t="s">
        <v>550</v>
      </c>
      <c r="JX106">
        <v>0</v>
      </c>
      <c r="KA106">
        <v>225</v>
      </c>
      <c r="KB106">
        <v>110</v>
      </c>
      <c r="KC106">
        <v>0</v>
      </c>
      <c r="KD106">
        <v>80</v>
      </c>
      <c r="KF106">
        <v>4</v>
      </c>
      <c r="KG106">
        <v>2</v>
      </c>
      <c r="KH106">
        <v>2</v>
      </c>
      <c r="KI106">
        <v>2</v>
      </c>
      <c r="KJ106">
        <v>0</v>
      </c>
      <c r="KK106">
        <v>1.5</v>
      </c>
      <c r="KL106">
        <v>1.5</v>
      </c>
      <c r="KM106">
        <v>0</v>
      </c>
      <c r="KN106">
        <v>0</v>
      </c>
      <c r="KO106">
        <v>0</v>
      </c>
      <c r="KR106">
        <v>30</v>
      </c>
      <c r="KS106">
        <v>60</v>
      </c>
      <c r="KT106">
        <v>0</v>
      </c>
      <c r="LK106">
        <v>480</v>
      </c>
      <c r="PG106">
        <v>1</v>
      </c>
      <c r="PI106" t="s">
        <v>1873</v>
      </c>
      <c r="PJ106" t="s">
        <v>1874</v>
      </c>
      <c r="PK106" t="s">
        <v>1875</v>
      </c>
      <c r="PL106" t="s">
        <v>1723</v>
      </c>
      <c r="PP106" t="s">
        <v>828</v>
      </c>
      <c r="PX106">
        <v>56</v>
      </c>
      <c r="PY106">
        <v>56</v>
      </c>
      <c r="PZ106" t="s">
        <v>1873</v>
      </c>
      <c r="QA106">
        <v>2</v>
      </c>
      <c r="QB106">
        <v>1296</v>
      </c>
      <c r="QC106">
        <v>69</v>
      </c>
      <c r="QD106">
        <v>69</v>
      </c>
      <c r="QE106" t="s">
        <v>1723</v>
      </c>
      <c r="QF106">
        <v>1</v>
      </c>
      <c r="QG106">
        <v>1314</v>
      </c>
      <c r="QH106">
        <v>66</v>
      </c>
      <c r="QI106">
        <v>66</v>
      </c>
      <c r="QL106">
        <v>0</v>
      </c>
      <c r="QM106">
        <v>62</v>
      </c>
      <c r="QN106">
        <v>62</v>
      </c>
      <c r="QO106" t="s">
        <v>1874</v>
      </c>
      <c r="QP106">
        <v>1</v>
      </c>
      <c r="QQ106">
        <v>1311</v>
      </c>
      <c r="QR106">
        <v>62</v>
      </c>
      <c r="QS106">
        <v>62</v>
      </c>
      <c r="QT106" t="s">
        <v>1875</v>
      </c>
      <c r="QU106">
        <v>1</v>
      </c>
      <c r="QV106">
        <v>1316</v>
      </c>
      <c r="QW106">
        <v>82</v>
      </c>
      <c r="QX106">
        <v>89</v>
      </c>
      <c r="QY106" t="s">
        <v>828</v>
      </c>
      <c r="QZ106">
        <v>2</v>
      </c>
      <c r="RA106">
        <v>66</v>
      </c>
      <c r="RB106">
        <v>66</v>
      </c>
      <c r="RE106">
        <v>0</v>
      </c>
      <c r="RF106">
        <v>1</v>
      </c>
      <c r="RH106">
        <v>1</v>
      </c>
      <c r="RJ106">
        <v>1</v>
      </c>
      <c r="RL106">
        <v>3</v>
      </c>
      <c r="RM106">
        <v>3</v>
      </c>
      <c r="RO106">
        <v>552</v>
      </c>
      <c r="RQ106">
        <v>645</v>
      </c>
      <c r="RR106">
        <v>533</v>
      </c>
      <c r="RT106">
        <v>261</v>
      </c>
      <c r="RU106">
        <v>227</v>
      </c>
      <c r="RV106" t="s">
        <v>831</v>
      </c>
      <c r="RW106" t="s">
        <v>653</v>
      </c>
      <c r="RX106">
        <v>15</v>
      </c>
      <c r="RY106">
        <v>4</v>
      </c>
      <c r="RZ106" t="s">
        <v>653</v>
      </c>
      <c r="SA106">
        <v>15</v>
      </c>
      <c r="SC106" t="s">
        <v>1874</v>
      </c>
      <c r="SD106">
        <v>1</v>
      </c>
      <c r="SF106" t="s">
        <v>1875</v>
      </c>
      <c r="SG106">
        <v>1</v>
      </c>
      <c r="SH106">
        <v>0.995</v>
      </c>
      <c r="SI106">
        <v>0.995</v>
      </c>
      <c r="SJ106">
        <v>0.995</v>
      </c>
      <c r="SK106">
        <v>15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Z106">
        <v>1</v>
      </c>
      <c r="TB106">
        <v>0</v>
      </c>
      <c r="TC106">
        <v>0</v>
      </c>
      <c r="TD106">
        <v>7.5</v>
      </c>
      <c r="TE106" t="s">
        <v>553</v>
      </c>
      <c r="TF106" t="s">
        <v>655</v>
      </c>
      <c r="TG106" t="s">
        <v>555</v>
      </c>
      <c r="TI106" t="s">
        <v>546</v>
      </c>
      <c r="TJ106" t="s">
        <v>547</v>
      </c>
      <c r="TL106" t="s">
        <v>1477</v>
      </c>
      <c r="TM106" t="s">
        <v>513</v>
      </c>
      <c r="TN106">
        <v>0</v>
      </c>
      <c r="TO106" t="s">
        <v>557</v>
      </c>
    </row>
    <row r="107" spans="1:535">
      <c r="A107" t="s">
        <v>1876</v>
      </c>
      <c r="B107" t="s">
        <v>804</v>
      </c>
      <c r="C107" t="s">
        <v>509</v>
      </c>
      <c r="D107" t="s">
        <v>1877</v>
      </c>
      <c r="G107" t="s">
        <v>1088</v>
      </c>
      <c r="L107" t="s">
        <v>512</v>
      </c>
      <c r="M107" t="s">
        <v>508</v>
      </c>
      <c r="N107" t="s">
        <v>513</v>
      </c>
      <c r="O107" t="s">
        <v>1255</v>
      </c>
      <c r="P107" t="s">
        <v>515</v>
      </c>
      <c r="Q107" t="s">
        <v>1878</v>
      </c>
      <c r="R107" t="s">
        <v>567</v>
      </c>
      <c r="S107" t="s">
        <v>866</v>
      </c>
      <c r="T107" t="s">
        <v>867</v>
      </c>
      <c r="U107" t="s">
        <v>570</v>
      </c>
      <c r="V107" t="s">
        <v>571</v>
      </c>
      <c r="W107" t="s">
        <v>1879</v>
      </c>
      <c r="X107" t="s">
        <v>1880</v>
      </c>
      <c r="Y107" t="s">
        <v>524</v>
      </c>
      <c r="Z107" t="s">
        <v>1881</v>
      </c>
      <c r="AA107" t="s">
        <v>1882</v>
      </c>
      <c r="AB107" t="s">
        <v>1410</v>
      </c>
      <c r="AC107">
        <v>2</v>
      </c>
      <c r="AD107">
        <v>57</v>
      </c>
      <c r="AE107">
        <v>210</v>
      </c>
      <c r="AF107">
        <v>1.5</v>
      </c>
      <c r="AH107">
        <v>0</v>
      </c>
      <c r="AI107" t="s">
        <v>969</v>
      </c>
      <c r="AJ107">
        <v>192.5</v>
      </c>
      <c r="AK107">
        <v>1</v>
      </c>
      <c r="AL107">
        <v>1.5</v>
      </c>
      <c r="AM107" t="s">
        <v>579</v>
      </c>
      <c r="AN107" t="s">
        <v>795</v>
      </c>
      <c r="AO107">
        <v>2</v>
      </c>
      <c r="AP107" t="s">
        <v>581</v>
      </c>
      <c r="AQ107" t="s">
        <v>582</v>
      </c>
      <c r="AR107">
        <v>240</v>
      </c>
      <c r="AS107">
        <v>1.5</v>
      </c>
      <c r="AT107" t="s">
        <v>583</v>
      </c>
      <c r="AU107" t="s">
        <v>1883</v>
      </c>
      <c r="AW107" t="s">
        <v>1883</v>
      </c>
      <c r="AX107">
        <v>1</v>
      </c>
      <c r="AY107">
        <v>272.5</v>
      </c>
      <c r="AZ107">
        <v>1.5</v>
      </c>
      <c r="BA107" t="s">
        <v>579</v>
      </c>
      <c r="BB107" t="s">
        <v>1884</v>
      </c>
      <c r="BD107" t="s">
        <v>1884</v>
      </c>
      <c r="BE107">
        <v>1</v>
      </c>
      <c r="BF107">
        <v>240</v>
      </c>
      <c r="BG107">
        <v>1.5</v>
      </c>
      <c r="BJ107">
        <v>0</v>
      </c>
      <c r="BN107">
        <v>1.5</v>
      </c>
      <c r="BP107" t="s">
        <v>1885</v>
      </c>
      <c r="BQ107" t="s">
        <v>587</v>
      </c>
      <c r="BR107">
        <v>2</v>
      </c>
      <c r="BS107" t="s">
        <v>1886</v>
      </c>
      <c r="BT107">
        <v>209</v>
      </c>
      <c r="BU107">
        <v>0.5</v>
      </c>
      <c r="BV107" t="s">
        <v>1886</v>
      </c>
      <c r="BW107">
        <v>418</v>
      </c>
      <c r="BX107">
        <v>1</v>
      </c>
      <c r="BY107" t="s">
        <v>589</v>
      </c>
      <c r="BZ107">
        <v>300</v>
      </c>
      <c r="CA107">
        <v>500</v>
      </c>
      <c r="CB107" t="s">
        <v>590</v>
      </c>
      <c r="CC107" t="s">
        <v>590</v>
      </c>
      <c r="CD107">
        <v>460</v>
      </c>
      <c r="CE107" t="s">
        <v>591</v>
      </c>
      <c r="CF107">
        <v>15</v>
      </c>
      <c r="CG107" t="s">
        <v>1290</v>
      </c>
      <c r="CH107" t="s">
        <v>1290</v>
      </c>
      <c r="CI107">
        <v>100</v>
      </c>
      <c r="CJ107">
        <v>1538</v>
      </c>
      <c r="CK107">
        <v>2</v>
      </c>
      <c r="CL107">
        <v>1632</v>
      </c>
      <c r="CM107">
        <v>2</v>
      </c>
      <c r="CN107" t="s">
        <v>593</v>
      </c>
      <c r="CO107" t="s">
        <v>594</v>
      </c>
      <c r="CP107" t="s">
        <v>595</v>
      </c>
      <c r="CQ107" t="s">
        <v>596</v>
      </c>
      <c r="CR107" t="s">
        <v>541</v>
      </c>
      <c r="CS107" t="s">
        <v>542</v>
      </c>
      <c r="CT107">
        <v>385</v>
      </c>
      <c r="CU107">
        <v>5</v>
      </c>
      <c r="CV107">
        <v>1.2</v>
      </c>
      <c r="CW107">
        <v>1554</v>
      </c>
      <c r="CX107">
        <v>847</v>
      </c>
      <c r="CY107" t="s">
        <v>705</v>
      </c>
      <c r="CZ107">
        <v>60</v>
      </c>
      <c r="DA107">
        <v>3</v>
      </c>
      <c r="DB107">
        <v>1</v>
      </c>
      <c r="DC107">
        <v>1554</v>
      </c>
      <c r="DD107">
        <v>97</v>
      </c>
      <c r="DE107" t="s">
        <v>622</v>
      </c>
      <c r="DF107">
        <v>545</v>
      </c>
      <c r="DG107">
        <v>3</v>
      </c>
      <c r="DH107">
        <v>0.88</v>
      </c>
      <c r="DI107">
        <v>1547</v>
      </c>
      <c r="DJ107">
        <v>995</v>
      </c>
      <c r="DK107" t="s">
        <v>622</v>
      </c>
      <c r="DL107">
        <v>480</v>
      </c>
      <c r="DM107">
        <v>3</v>
      </c>
      <c r="DN107">
        <v>0.88</v>
      </c>
      <c r="DO107">
        <v>1552</v>
      </c>
      <c r="DP107">
        <v>858</v>
      </c>
      <c r="DW107" t="s">
        <v>544</v>
      </c>
      <c r="DX107">
        <v>9.4</v>
      </c>
      <c r="EA107">
        <v>1623.8</v>
      </c>
      <c r="EB107">
        <v>381</v>
      </c>
      <c r="EC107" t="s">
        <v>545</v>
      </c>
      <c r="ED107">
        <v>35</v>
      </c>
      <c r="EE107">
        <v>3</v>
      </c>
      <c r="EG107">
        <v>1665</v>
      </c>
      <c r="EH107">
        <v>298</v>
      </c>
      <c r="EJ107">
        <v>0</v>
      </c>
      <c r="EK107">
        <v>1</v>
      </c>
      <c r="EN107">
        <v>0</v>
      </c>
      <c r="EP107" t="s">
        <v>546</v>
      </c>
      <c r="EQ107">
        <v>90</v>
      </c>
      <c r="ER107">
        <v>3</v>
      </c>
      <c r="ES107">
        <v>5</v>
      </c>
      <c r="ET107">
        <v>1531</v>
      </c>
      <c r="EU107">
        <v>358</v>
      </c>
      <c r="EV107">
        <v>548</v>
      </c>
      <c r="EW107" t="s">
        <v>547</v>
      </c>
      <c r="EX107">
        <v>45</v>
      </c>
      <c r="EY107">
        <v>2</v>
      </c>
      <c r="EZ107">
        <v>4.4</v>
      </c>
      <c r="FA107">
        <v>1531</v>
      </c>
      <c r="FB107">
        <v>135</v>
      </c>
      <c r="FC107">
        <v>207</v>
      </c>
      <c r="FE107">
        <v>0</v>
      </c>
      <c r="FF107">
        <v>2</v>
      </c>
      <c r="FI107">
        <v>0</v>
      </c>
      <c r="FK107" t="s">
        <v>548</v>
      </c>
      <c r="FL107">
        <v>0.4</v>
      </c>
      <c r="FM107">
        <v>50</v>
      </c>
      <c r="FN107">
        <v>360</v>
      </c>
      <c r="FO107">
        <v>70</v>
      </c>
      <c r="FP107">
        <v>170</v>
      </c>
      <c r="GR107" t="s">
        <v>548</v>
      </c>
      <c r="GS107">
        <v>0.6</v>
      </c>
      <c r="GT107">
        <v>30</v>
      </c>
      <c r="GU107">
        <v>380</v>
      </c>
      <c r="GV107">
        <v>30</v>
      </c>
      <c r="GW107">
        <v>270</v>
      </c>
      <c r="HC107">
        <v>0.1</v>
      </c>
      <c r="HD107">
        <v>3</v>
      </c>
      <c r="HE107">
        <v>3</v>
      </c>
      <c r="HF107">
        <v>3</v>
      </c>
      <c r="HG107">
        <v>3</v>
      </c>
      <c r="HH107">
        <v>3</v>
      </c>
      <c r="HI107">
        <v>120</v>
      </c>
      <c r="HJ107">
        <v>3</v>
      </c>
      <c r="HK107">
        <v>30</v>
      </c>
      <c r="HL107">
        <v>2</v>
      </c>
      <c r="HM107">
        <v>0</v>
      </c>
      <c r="HN107">
        <v>2</v>
      </c>
      <c r="HO107">
        <v>75</v>
      </c>
      <c r="HP107">
        <v>3</v>
      </c>
      <c r="HQ107">
        <v>0</v>
      </c>
      <c r="HR107">
        <v>2</v>
      </c>
      <c r="HS107">
        <v>5762</v>
      </c>
      <c r="HT107">
        <v>170</v>
      </c>
      <c r="HU107">
        <v>180</v>
      </c>
      <c r="HW107">
        <v>0</v>
      </c>
      <c r="HX107">
        <v>530</v>
      </c>
      <c r="HY107">
        <v>0.18</v>
      </c>
      <c r="IA107">
        <v>0.15</v>
      </c>
      <c r="IB107">
        <v>0</v>
      </c>
      <c r="IC107">
        <v>180</v>
      </c>
      <c r="ID107">
        <v>110</v>
      </c>
      <c r="IE107">
        <v>225</v>
      </c>
      <c r="IF107">
        <v>0</v>
      </c>
      <c r="IH107" t="s">
        <v>549</v>
      </c>
      <c r="IO107">
        <v>3</v>
      </c>
      <c r="IP107">
        <v>20</v>
      </c>
      <c r="IQ107">
        <v>0</v>
      </c>
      <c r="IR107">
        <v>0</v>
      </c>
      <c r="IV107">
        <v>1538</v>
      </c>
      <c r="IW107">
        <v>418</v>
      </c>
      <c r="JA107">
        <v>1</v>
      </c>
      <c r="JB107">
        <v>0</v>
      </c>
      <c r="JC107">
        <v>2</v>
      </c>
      <c r="JD107">
        <v>1554</v>
      </c>
      <c r="JE107">
        <v>1547</v>
      </c>
      <c r="JF107">
        <v>1552</v>
      </c>
      <c r="JG107">
        <v>1531</v>
      </c>
      <c r="JH107">
        <v>0</v>
      </c>
      <c r="JJ107">
        <v>180</v>
      </c>
      <c r="JK107">
        <v>530</v>
      </c>
      <c r="JN107">
        <v>385</v>
      </c>
      <c r="JO107">
        <v>545</v>
      </c>
      <c r="JP107">
        <v>480</v>
      </c>
      <c r="JQ107">
        <v>0</v>
      </c>
      <c r="JR107">
        <v>420</v>
      </c>
      <c r="JS107">
        <v>120</v>
      </c>
      <c r="JV107">
        <v>10</v>
      </c>
      <c r="JW107" t="s">
        <v>550</v>
      </c>
      <c r="JX107">
        <v>480</v>
      </c>
      <c r="KA107">
        <v>225</v>
      </c>
      <c r="KB107">
        <v>110</v>
      </c>
      <c r="KC107">
        <v>0</v>
      </c>
      <c r="KD107">
        <v>80</v>
      </c>
      <c r="KF107">
        <v>4</v>
      </c>
      <c r="KG107">
        <v>2</v>
      </c>
      <c r="KH107">
        <v>2</v>
      </c>
      <c r="KI107">
        <v>2</v>
      </c>
      <c r="KJ107">
        <v>0</v>
      </c>
      <c r="KK107">
        <v>1.5</v>
      </c>
      <c r="KL107">
        <v>1.5</v>
      </c>
      <c r="KM107">
        <v>0</v>
      </c>
      <c r="KN107">
        <v>0</v>
      </c>
      <c r="KO107">
        <v>0</v>
      </c>
      <c r="KR107">
        <v>30</v>
      </c>
      <c r="KS107">
        <v>60</v>
      </c>
      <c r="KT107">
        <v>0</v>
      </c>
      <c r="LK107">
        <v>480</v>
      </c>
      <c r="PG107">
        <v>1</v>
      </c>
      <c r="PI107" t="s">
        <v>1410</v>
      </c>
      <c r="PJ107" t="s">
        <v>1883</v>
      </c>
      <c r="PK107" t="s">
        <v>1884</v>
      </c>
      <c r="PL107" t="s">
        <v>969</v>
      </c>
      <c r="PP107" t="s">
        <v>1885</v>
      </c>
      <c r="PS107" t="s">
        <v>795</v>
      </c>
      <c r="PX107">
        <v>56</v>
      </c>
      <c r="PY107">
        <v>57</v>
      </c>
      <c r="PZ107" t="s">
        <v>1410</v>
      </c>
      <c r="QA107">
        <v>1</v>
      </c>
      <c r="QB107">
        <v>1531</v>
      </c>
      <c r="QC107">
        <v>69</v>
      </c>
      <c r="QD107">
        <v>69</v>
      </c>
      <c r="QE107" t="s">
        <v>969</v>
      </c>
      <c r="QF107">
        <v>1</v>
      </c>
      <c r="QG107">
        <v>1554</v>
      </c>
      <c r="QH107">
        <v>66</v>
      </c>
      <c r="QI107">
        <v>66</v>
      </c>
      <c r="QJ107" t="s">
        <v>795</v>
      </c>
      <c r="QK107">
        <v>1</v>
      </c>
      <c r="QL107">
        <v>1554</v>
      </c>
      <c r="QM107">
        <v>62</v>
      </c>
      <c r="QN107">
        <v>62</v>
      </c>
      <c r="QO107" t="s">
        <v>1883</v>
      </c>
      <c r="QP107">
        <v>1</v>
      </c>
      <c r="QQ107">
        <v>1547</v>
      </c>
      <c r="QR107">
        <v>62</v>
      </c>
      <c r="QS107">
        <v>62</v>
      </c>
      <c r="QT107" t="s">
        <v>1884</v>
      </c>
      <c r="QU107">
        <v>1</v>
      </c>
      <c r="QV107">
        <v>1552</v>
      </c>
      <c r="QW107">
        <v>82</v>
      </c>
      <c r="QX107" t="s">
        <v>587</v>
      </c>
      <c r="QY107" t="s">
        <v>1885</v>
      </c>
      <c r="QZ107">
        <v>3</v>
      </c>
      <c r="RA107">
        <v>66</v>
      </c>
      <c r="RB107">
        <v>66</v>
      </c>
      <c r="RE107">
        <v>0</v>
      </c>
      <c r="RF107">
        <v>1</v>
      </c>
      <c r="RH107">
        <v>1</v>
      </c>
      <c r="RJ107">
        <v>1</v>
      </c>
      <c r="RK107">
        <v>2</v>
      </c>
      <c r="RL107">
        <v>4</v>
      </c>
      <c r="RM107">
        <v>4</v>
      </c>
      <c r="RO107">
        <v>545</v>
      </c>
      <c r="RP107">
        <v>125</v>
      </c>
      <c r="RQ107">
        <v>643</v>
      </c>
      <c r="RR107">
        <v>553</v>
      </c>
      <c r="RT107">
        <v>381</v>
      </c>
      <c r="RU107">
        <v>298</v>
      </c>
      <c r="RV107" t="s">
        <v>1887</v>
      </c>
      <c r="RW107" t="s">
        <v>599</v>
      </c>
      <c r="RX107">
        <v>15</v>
      </c>
      <c r="RY107">
        <v>4</v>
      </c>
      <c r="RZ107" t="s">
        <v>599</v>
      </c>
      <c r="SA107">
        <v>15</v>
      </c>
      <c r="SC107" t="s">
        <v>1883</v>
      </c>
      <c r="SD107">
        <v>1</v>
      </c>
      <c r="SF107" t="s">
        <v>1884</v>
      </c>
      <c r="SG107">
        <v>1</v>
      </c>
      <c r="SH107">
        <v>0.995</v>
      </c>
      <c r="SI107">
        <v>0.995</v>
      </c>
      <c r="SJ107">
        <v>0.995</v>
      </c>
      <c r="SK107">
        <v>15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1</v>
      </c>
      <c r="SZ107">
        <v>1</v>
      </c>
      <c r="TB107">
        <v>0</v>
      </c>
      <c r="TC107">
        <v>0</v>
      </c>
      <c r="TD107">
        <v>9.4</v>
      </c>
      <c r="TE107" t="s">
        <v>553</v>
      </c>
      <c r="TF107" t="s">
        <v>600</v>
      </c>
      <c r="TG107" t="s">
        <v>555</v>
      </c>
      <c r="TI107" t="s">
        <v>546</v>
      </c>
      <c r="TJ107" t="s">
        <v>547</v>
      </c>
      <c r="TL107" t="s">
        <v>1888</v>
      </c>
      <c r="TM107" t="s">
        <v>513</v>
      </c>
      <c r="TN107">
        <v>0</v>
      </c>
      <c r="TO107" t="s">
        <v>601</v>
      </c>
    </row>
    <row r="108" spans="1:535">
      <c r="A108" t="s">
        <v>1889</v>
      </c>
      <c r="B108" t="s">
        <v>1453</v>
      </c>
      <c r="C108" t="s">
        <v>509</v>
      </c>
      <c r="D108" t="s">
        <v>1890</v>
      </c>
      <c r="G108" t="s">
        <v>604</v>
      </c>
      <c r="H108" t="s">
        <v>605</v>
      </c>
      <c r="J108" t="s">
        <v>606</v>
      </c>
      <c r="L108" t="s">
        <v>512</v>
      </c>
      <c r="M108" t="s">
        <v>727</v>
      </c>
      <c r="N108" t="s">
        <v>513</v>
      </c>
      <c r="O108" t="s">
        <v>607</v>
      </c>
      <c r="Q108" t="s">
        <v>1891</v>
      </c>
      <c r="R108" t="s">
        <v>567</v>
      </c>
      <c r="S108" t="s">
        <v>1609</v>
      </c>
      <c r="T108" t="s">
        <v>1554</v>
      </c>
      <c r="U108" t="s">
        <v>1457</v>
      </c>
      <c r="V108" t="s">
        <v>1458</v>
      </c>
      <c r="W108" t="s">
        <v>1892</v>
      </c>
      <c r="X108" t="s">
        <v>1880</v>
      </c>
      <c r="Y108" t="s">
        <v>524</v>
      </c>
      <c r="Z108" t="s">
        <v>1893</v>
      </c>
      <c r="AA108" t="s">
        <v>1894</v>
      </c>
      <c r="AB108" t="s">
        <v>1895</v>
      </c>
      <c r="AC108">
        <v>2</v>
      </c>
      <c r="AD108">
        <v>57</v>
      </c>
      <c r="AE108">
        <v>154</v>
      </c>
      <c r="AF108">
        <v>1.5</v>
      </c>
      <c r="AH108">
        <v>0</v>
      </c>
      <c r="AI108" t="s">
        <v>1464</v>
      </c>
      <c r="AJ108">
        <v>165</v>
      </c>
      <c r="AK108">
        <v>1</v>
      </c>
      <c r="AL108">
        <v>1.5</v>
      </c>
      <c r="AM108" t="s">
        <v>529</v>
      </c>
      <c r="AO108">
        <v>0</v>
      </c>
      <c r="AR108">
        <v>0</v>
      </c>
      <c r="AS108">
        <v>1.5</v>
      </c>
      <c r="AU108" t="s">
        <v>1896</v>
      </c>
      <c r="AW108" t="s">
        <v>1896</v>
      </c>
      <c r="AX108">
        <v>1</v>
      </c>
      <c r="AY108">
        <v>237.5</v>
      </c>
      <c r="AZ108">
        <v>1.5</v>
      </c>
      <c r="BA108" t="s">
        <v>529</v>
      </c>
      <c r="BG108">
        <v>1.5</v>
      </c>
      <c r="BJ108">
        <v>0</v>
      </c>
      <c r="BN108">
        <v>1.5</v>
      </c>
      <c r="BP108" t="s">
        <v>1897</v>
      </c>
      <c r="BQ108">
        <v>89</v>
      </c>
      <c r="BR108">
        <v>2</v>
      </c>
      <c r="BS108" t="s">
        <v>1898</v>
      </c>
      <c r="BT108">
        <v>176</v>
      </c>
      <c r="BU108">
        <v>0.5</v>
      </c>
      <c r="BV108" t="s">
        <v>1898</v>
      </c>
      <c r="BW108">
        <v>352</v>
      </c>
      <c r="BX108">
        <v>1</v>
      </c>
      <c r="BY108" t="s">
        <v>1468</v>
      </c>
      <c r="BZ108">
        <v>300</v>
      </c>
      <c r="CA108">
        <v>460</v>
      </c>
      <c r="CB108" t="s">
        <v>1469</v>
      </c>
      <c r="CC108" t="s">
        <v>1492</v>
      </c>
      <c r="CD108">
        <v>366</v>
      </c>
      <c r="CE108" t="s">
        <v>1470</v>
      </c>
      <c r="CF108">
        <v>15</v>
      </c>
      <c r="CG108" t="s">
        <v>1899</v>
      </c>
      <c r="CH108" t="s">
        <v>1899</v>
      </c>
      <c r="CI108">
        <v>80</v>
      </c>
      <c r="CJ108">
        <v>1050</v>
      </c>
      <c r="CK108">
        <v>2</v>
      </c>
      <c r="CL108">
        <v>1144</v>
      </c>
      <c r="CM108">
        <v>2</v>
      </c>
      <c r="CN108" t="s">
        <v>1472</v>
      </c>
      <c r="CO108" t="s">
        <v>1473</v>
      </c>
      <c r="CP108" t="s">
        <v>1474</v>
      </c>
      <c r="CQ108" t="s">
        <v>540</v>
      </c>
      <c r="CR108" t="s">
        <v>541</v>
      </c>
      <c r="CS108" t="s">
        <v>542</v>
      </c>
      <c r="CT108">
        <v>330</v>
      </c>
      <c r="CU108">
        <v>5</v>
      </c>
      <c r="CV108">
        <v>1.2</v>
      </c>
      <c r="CW108">
        <v>1064</v>
      </c>
      <c r="CX108">
        <v>497</v>
      </c>
      <c r="DD108">
        <v>0</v>
      </c>
      <c r="DE108" t="s">
        <v>543</v>
      </c>
      <c r="DF108">
        <v>475</v>
      </c>
      <c r="DG108">
        <v>3</v>
      </c>
      <c r="DH108">
        <v>1.18</v>
      </c>
      <c r="DI108">
        <v>1062</v>
      </c>
      <c r="DJ108">
        <v>815</v>
      </c>
      <c r="DW108" t="s">
        <v>544</v>
      </c>
      <c r="DX108">
        <v>7.5</v>
      </c>
      <c r="EA108">
        <v>1123</v>
      </c>
      <c r="EB108">
        <v>147</v>
      </c>
      <c r="EC108" t="s">
        <v>545</v>
      </c>
      <c r="ED108">
        <v>15</v>
      </c>
      <c r="EE108" t="s">
        <v>1900</v>
      </c>
      <c r="EG108">
        <v>1154</v>
      </c>
      <c r="EH108">
        <v>44</v>
      </c>
      <c r="EJ108">
        <v>0</v>
      </c>
      <c r="EK108">
        <v>1</v>
      </c>
      <c r="EN108">
        <v>0</v>
      </c>
      <c r="EP108" t="s">
        <v>546</v>
      </c>
      <c r="EQ108">
        <v>95</v>
      </c>
      <c r="ER108">
        <v>3</v>
      </c>
      <c r="ES108">
        <v>5.5</v>
      </c>
      <c r="ET108">
        <v>1048</v>
      </c>
      <c r="EU108">
        <v>393</v>
      </c>
      <c r="EV108">
        <v>412</v>
      </c>
      <c r="EW108" t="s">
        <v>547</v>
      </c>
      <c r="EX108">
        <v>70</v>
      </c>
      <c r="EY108">
        <v>2</v>
      </c>
      <c r="EZ108">
        <v>4.5</v>
      </c>
      <c r="FA108">
        <v>1048</v>
      </c>
      <c r="FB108">
        <v>214</v>
      </c>
      <c r="FC108">
        <v>224</v>
      </c>
      <c r="FE108">
        <v>0</v>
      </c>
      <c r="FF108">
        <v>2</v>
      </c>
      <c r="FI108">
        <v>0</v>
      </c>
      <c r="FK108" t="s">
        <v>548</v>
      </c>
      <c r="FL108">
        <v>0.4</v>
      </c>
      <c r="FM108">
        <v>30</v>
      </c>
      <c r="FN108">
        <v>370</v>
      </c>
      <c r="FO108">
        <v>80</v>
      </c>
      <c r="FP108">
        <v>100</v>
      </c>
      <c r="FR108" t="s">
        <v>548</v>
      </c>
      <c r="FS108">
        <v>0.4</v>
      </c>
      <c r="FT108">
        <v>30</v>
      </c>
      <c r="FU108">
        <v>320</v>
      </c>
      <c r="HC108">
        <v>0.1</v>
      </c>
      <c r="HD108">
        <v>3</v>
      </c>
      <c r="HE108">
        <v>3</v>
      </c>
      <c r="HF108">
        <v>3</v>
      </c>
      <c r="HG108">
        <v>3</v>
      </c>
      <c r="HH108">
        <v>3</v>
      </c>
      <c r="HI108">
        <v>150</v>
      </c>
      <c r="HJ108">
        <v>3</v>
      </c>
      <c r="HK108">
        <v>55</v>
      </c>
      <c r="HL108">
        <v>2</v>
      </c>
      <c r="HM108">
        <v>0</v>
      </c>
      <c r="HN108">
        <v>2</v>
      </c>
      <c r="HO108">
        <v>80</v>
      </c>
      <c r="HP108">
        <v>3</v>
      </c>
      <c r="HQ108">
        <v>0</v>
      </c>
      <c r="HR108">
        <v>2</v>
      </c>
      <c r="HS108">
        <v>2966</v>
      </c>
      <c r="HT108">
        <v>90</v>
      </c>
      <c r="HU108">
        <v>180</v>
      </c>
      <c r="HW108">
        <v>0</v>
      </c>
      <c r="HX108">
        <v>422</v>
      </c>
      <c r="HY108">
        <v>0.18</v>
      </c>
      <c r="IA108">
        <v>0.15</v>
      </c>
      <c r="IB108">
        <v>0</v>
      </c>
      <c r="IC108">
        <v>178</v>
      </c>
      <c r="ID108">
        <v>110</v>
      </c>
      <c r="IE108">
        <v>0</v>
      </c>
      <c r="IF108">
        <v>0</v>
      </c>
      <c r="IH108" t="s">
        <v>549</v>
      </c>
      <c r="IO108">
        <v>1</v>
      </c>
      <c r="IP108">
        <v>14</v>
      </c>
      <c r="IQ108">
        <v>0</v>
      </c>
      <c r="IR108">
        <v>1</v>
      </c>
      <c r="IV108">
        <v>1050</v>
      </c>
      <c r="IW108">
        <v>352</v>
      </c>
      <c r="JA108">
        <v>1</v>
      </c>
      <c r="JB108">
        <v>0</v>
      </c>
      <c r="JC108">
        <v>2</v>
      </c>
      <c r="JD108">
        <v>1064</v>
      </c>
      <c r="JE108">
        <v>1062</v>
      </c>
      <c r="JF108">
        <v>0</v>
      </c>
      <c r="JG108">
        <v>1048</v>
      </c>
      <c r="JH108">
        <v>0</v>
      </c>
      <c r="JJ108">
        <v>180</v>
      </c>
      <c r="JK108">
        <v>422</v>
      </c>
      <c r="JN108">
        <v>330</v>
      </c>
      <c r="JO108">
        <v>475</v>
      </c>
      <c r="JP108">
        <v>0</v>
      </c>
      <c r="JQ108">
        <v>0</v>
      </c>
      <c r="JR108">
        <v>308</v>
      </c>
      <c r="JS108">
        <v>150</v>
      </c>
      <c r="JV108">
        <v>8</v>
      </c>
      <c r="JW108" t="s">
        <v>550</v>
      </c>
      <c r="JX108">
        <v>0</v>
      </c>
      <c r="KA108">
        <v>0</v>
      </c>
      <c r="KB108">
        <v>110</v>
      </c>
      <c r="KC108">
        <v>0</v>
      </c>
      <c r="KD108">
        <v>80</v>
      </c>
      <c r="KF108">
        <v>4</v>
      </c>
      <c r="KG108">
        <v>3</v>
      </c>
      <c r="KH108">
        <v>2</v>
      </c>
      <c r="KI108">
        <v>2</v>
      </c>
      <c r="KJ108">
        <v>0</v>
      </c>
      <c r="KK108">
        <v>1.5</v>
      </c>
      <c r="KL108">
        <v>1.5</v>
      </c>
      <c r="KM108">
        <v>0</v>
      </c>
      <c r="KN108">
        <v>0</v>
      </c>
      <c r="KO108">
        <v>0</v>
      </c>
      <c r="KR108">
        <v>20</v>
      </c>
      <c r="KS108">
        <v>60</v>
      </c>
      <c r="KT108">
        <v>0</v>
      </c>
      <c r="LK108">
        <v>480</v>
      </c>
      <c r="LX108">
        <v>325</v>
      </c>
      <c r="LZ108">
        <v>255</v>
      </c>
      <c r="PG108">
        <v>1</v>
      </c>
      <c r="PI108" t="s">
        <v>1895</v>
      </c>
      <c r="PJ108" t="s">
        <v>1896</v>
      </c>
      <c r="PL108" t="s">
        <v>1464</v>
      </c>
      <c r="PP108" t="s">
        <v>1897</v>
      </c>
      <c r="PX108">
        <v>56</v>
      </c>
      <c r="PY108">
        <v>57</v>
      </c>
      <c r="PZ108" t="s">
        <v>1895</v>
      </c>
      <c r="QA108">
        <v>1</v>
      </c>
      <c r="QB108">
        <v>1048</v>
      </c>
      <c r="QC108">
        <v>69</v>
      </c>
      <c r="QD108">
        <v>69</v>
      </c>
      <c r="QE108" t="s">
        <v>1464</v>
      </c>
      <c r="QF108">
        <v>1</v>
      </c>
      <c r="QG108">
        <v>1064</v>
      </c>
      <c r="QH108">
        <v>66</v>
      </c>
      <c r="QI108">
        <v>66</v>
      </c>
      <c r="QL108">
        <v>0</v>
      </c>
      <c r="QM108">
        <v>62</v>
      </c>
      <c r="QN108">
        <v>62</v>
      </c>
      <c r="QO108" t="s">
        <v>1896</v>
      </c>
      <c r="QP108">
        <v>1</v>
      </c>
      <c r="QQ108">
        <v>1062</v>
      </c>
      <c r="QW108">
        <v>82</v>
      </c>
      <c r="QX108">
        <v>89</v>
      </c>
      <c r="QY108" t="s">
        <v>1897</v>
      </c>
      <c r="QZ108">
        <v>3</v>
      </c>
      <c r="RA108">
        <v>66</v>
      </c>
      <c r="RB108">
        <v>66</v>
      </c>
      <c r="RE108">
        <v>0</v>
      </c>
      <c r="RF108">
        <v>1</v>
      </c>
      <c r="RJ108">
        <v>3</v>
      </c>
      <c r="RL108">
        <v>2</v>
      </c>
      <c r="RO108">
        <v>467</v>
      </c>
      <c r="RQ108">
        <v>767</v>
      </c>
      <c r="RT108">
        <v>147</v>
      </c>
      <c r="RU108">
        <v>44</v>
      </c>
      <c r="RV108" t="s">
        <v>1901</v>
      </c>
      <c r="RW108" t="s">
        <v>1476</v>
      </c>
      <c r="RX108">
        <v>15</v>
      </c>
      <c r="RY108">
        <v>4</v>
      </c>
      <c r="RZ108" t="s">
        <v>1476</v>
      </c>
      <c r="SA108">
        <v>15</v>
      </c>
      <c r="SC108" t="s">
        <v>1896</v>
      </c>
      <c r="SD108">
        <v>1</v>
      </c>
      <c r="SH108">
        <v>0.995</v>
      </c>
      <c r="SI108">
        <v>0.995</v>
      </c>
      <c r="SJ108">
        <v>0.995</v>
      </c>
      <c r="SK108">
        <v>15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TB108">
        <v>0</v>
      </c>
      <c r="TC108">
        <v>0</v>
      </c>
      <c r="TD108">
        <v>7.5</v>
      </c>
      <c r="TE108" t="s">
        <v>553</v>
      </c>
      <c r="TF108" t="s">
        <v>754</v>
      </c>
      <c r="TG108" t="s">
        <v>555</v>
      </c>
      <c r="TI108" t="s">
        <v>546</v>
      </c>
      <c r="TJ108" t="s">
        <v>547</v>
      </c>
      <c r="TL108" t="s">
        <v>1888</v>
      </c>
      <c r="TM108" t="s">
        <v>513</v>
      </c>
      <c r="TN108">
        <v>0</v>
      </c>
      <c r="TO108" t="s">
        <v>557</v>
      </c>
    </row>
    <row r="109" spans="1:535">
      <c r="A109" t="s">
        <v>1902</v>
      </c>
      <c r="B109" t="s">
        <v>897</v>
      </c>
      <c r="C109" t="s">
        <v>509</v>
      </c>
      <c r="D109" t="s">
        <v>1903</v>
      </c>
      <c r="G109" t="s">
        <v>604</v>
      </c>
      <c r="H109" t="s">
        <v>605</v>
      </c>
      <c r="I109" t="s">
        <v>628</v>
      </c>
      <c r="J109" t="s">
        <v>606</v>
      </c>
      <c r="L109" t="s">
        <v>512</v>
      </c>
      <c r="M109" t="s">
        <v>657</v>
      </c>
      <c r="N109" t="s">
        <v>513</v>
      </c>
      <c r="O109" t="s">
        <v>607</v>
      </c>
      <c r="Q109" t="s">
        <v>1904</v>
      </c>
      <c r="R109" t="s">
        <v>567</v>
      </c>
      <c r="S109" t="s">
        <v>1617</v>
      </c>
      <c r="T109" t="s">
        <v>1618</v>
      </c>
      <c r="U109" t="s">
        <v>1482</v>
      </c>
      <c r="V109" t="s">
        <v>1483</v>
      </c>
      <c r="W109" t="s">
        <v>1905</v>
      </c>
      <c r="X109" t="s">
        <v>1880</v>
      </c>
      <c r="Y109" t="s">
        <v>524</v>
      </c>
      <c r="Z109" t="s">
        <v>1906</v>
      </c>
      <c r="AA109" t="s">
        <v>1907</v>
      </c>
      <c r="AB109" t="s">
        <v>1908</v>
      </c>
      <c r="AC109">
        <v>2</v>
      </c>
      <c r="AD109">
        <v>57</v>
      </c>
      <c r="AE109">
        <v>173</v>
      </c>
      <c r="AF109">
        <v>1.5</v>
      </c>
      <c r="AH109">
        <v>0</v>
      </c>
      <c r="AI109" t="s">
        <v>719</v>
      </c>
      <c r="AJ109">
        <v>185</v>
      </c>
      <c r="AK109">
        <v>1</v>
      </c>
      <c r="AL109">
        <v>1.5</v>
      </c>
      <c r="AM109" t="s">
        <v>529</v>
      </c>
      <c r="AO109">
        <v>0</v>
      </c>
      <c r="AR109">
        <v>0</v>
      </c>
      <c r="AS109">
        <v>1.5</v>
      </c>
      <c r="AU109" t="s">
        <v>1909</v>
      </c>
      <c r="AW109" t="s">
        <v>1909</v>
      </c>
      <c r="AX109">
        <v>1</v>
      </c>
      <c r="AY109">
        <v>340</v>
      </c>
      <c r="AZ109">
        <v>1.5</v>
      </c>
      <c r="BA109" t="s">
        <v>529</v>
      </c>
      <c r="BG109">
        <v>1.5</v>
      </c>
      <c r="BJ109">
        <v>0</v>
      </c>
      <c r="BN109">
        <v>1.5</v>
      </c>
      <c r="BP109" t="s">
        <v>1910</v>
      </c>
      <c r="BQ109">
        <v>84</v>
      </c>
      <c r="BR109">
        <v>2</v>
      </c>
      <c r="BS109" t="s">
        <v>1490</v>
      </c>
      <c r="BT109">
        <v>195</v>
      </c>
      <c r="BU109">
        <v>0.5</v>
      </c>
      <c r="BV109" t="s">
        <v>1490</v>
      </c>
      <c r="BW109">
        <v>390</v>
      </c>
      <c r="BX109">
        <v>1</v>
      </c>
      <c r="BY109" t="s">
        <v>1491</v>
      </c>
      <c r="BZ109">
        <v>300</v>
      </c>
      <c r="CA109">
        <v>500</v>
      </c>
      <c r="CB109" t="s">
        <v>1492</v>
      </c>
      <c r="CC109" t="s">
        <v>1492</v>
      </c>
      <c r="CD109">
        <v>404</v>
      </c>
      <c r="CE109" t="s">
        <v>1493</v>
      </c>
      <c r="CF109">
        <v>15</v>
      </c>
      <c r="CG109" t="s">
        <v>1494</v>
      </c>
      <c r="CH109" t="s">
        <v>1494</v>
      </c>
      <c r="CI109">
        <v>100</v>
      </c>
      <c r="CJ109">
        <v>1122</v>
      </c>
      <c r="CK109">
        <v>2</v>
      </c>
      <c r="CL109">
        <v>1222</v>
      </c>
      <c r="CM109">
        <v>2</v>
      </c>
      <c r="CN109" t="s">
        <v>1495</v>
      </c>
      <c r="CO109" t="s">
        <v>1473</v>
      </c>
      <c r="CP109" t="s">
        <v>1474</v>
      </c>
      <c r="CQ109" t="s">
        <v>1496</v>
      </c>
      <c r="CR109" t="s">
        <v>541</v>
      </c>
      <c r="CS109" t="s">
        <v>542</v>
      </c>
      <c r="CT109">
        <v>370</v>
      </c>
      <c r="CU109">
        <v>5</v>
      </c>
      <c r="CV109">
        <v>1.2</v>
      </c>
      <c r="CW109">
        <v>1136</v>
      </c>
      <c r="CX109">
        <v>595</v>
      </c>
      <c r="DD109">
        <v>0</v>
      </c>
      <c r="DE109" t="s">
        <v>622</v>
      </c>
      <c r="DF109">
        <v>680</v>
      </c>
      <c r="DG109">
        <v>3</v>
      </c>
      <c r="DH109">
        <v>0.88</v>
      </c>
      <c r="DI109">
        <v>1134</v>
      </c>
      <c r="DJ109">
        <v>924</v>
      </c>
      <c r="DW109" t="s">
        <v>544</v>
      </c>
      <c r="DX109">
        <v>7.5</v>
      </c>
      <c r="EA109">
        <v>1202.7</v>
      </c>
      <c r="EB109">
        <v>157</v>
      </c>
      <c r="EC109" t="s">
        <v>545</v>
      </c>
      <c r="ED109">
        <v>30</v>
      </c>
      <c r="EE109">
        <v>3</v>
      </c>
      <c r="EG109">
        <v>1233</v>
      </c>
      <c r="EH109">
        <v>151</v>
      </c>
      <c r="EJ109">
        <v>0</v>
      </c>
      <c r="EK109">
        <v>1</v>
      </c>
      <c r="EN109">
        <v>0</v>
      </c>
      <c r="EP109" t="s">
        <v>546</v>
      </c>
      <c r="EQ109">
        <v>105</v>
      </c>
      <c r="ER109">
        <v>3</v>
      </c>
      <c r="ES109">
        <v>3.9</v>
      </c>
      <c r="ET109">
        <v>1110</v>
      </c>
      <c r="EU109">
        <v>328.8</v>
      </c>
      <c r="EV109">
        <v>365</v>
      </c>
      <c r="EW109" t="s">
        <v>547</v>
      </c>
      <c r="EX109">
        <v>70</v>
      </c>
      <c r="EY109">
        <v>2</v>
      </c>
      <c r="EZ109">
        <v>3.2</v>
      </c>
      <c r="FA109">
        <v>1110</v>
      </c>
      <c r="FB109">
        <v>198.9</v>
      </c>
      <c r="FC109">
        <v>221</v>
      </c>
      <c r="FE109">
        <v>0</v>
      </c>
      <c r="FF109">
        <v>2</v>
      </c>
      <c r="FI109">
        <v>0</v>
      </c>
      <c r="FK109" t="s">
        <v>548</v>
      </c>
      <c r="FL109">
        <v>0.6</v>
      </c>
      <c r="FM109">
        <v>80</v>
      </c>
      <c r="FN109">
        <v>90</v>
      </c>
      <c r="FR109" t="s">
        <v>548</v>
      </c>
      <c r="FS109">
        <v>0.6</v>
      </c>
      <c r="FT109">
        <v>30</v>
      </c>
      <c r="FU109">
        <v>350</v>
      </c>
      <c r="HC109">
        <v>0.1</v>
      </c>
      <c r="HD109">
        <v>3</v>
      </c>
      <c r="HE109">
        <v>3</v>
      </c>
      <c r="HF109">
        <v>3</v>
      </c>
      <c r="HG109">
        <v>3</v>
      </c>
      <c r="HH109">
        <v>3</v>
      </c>
      <c r="HI109">
        <v>160</v>
      </c>
      <c r="HJ109">
        <v>3</v>
      </c>
      <c r="HK109">
        <v>55</v>
      </c>
      <c r="HL109">
        <v>2</v>
      </c>
      <c r="HM109">
        <v>0</v>
      </c>
      <c r="HN109">
        <v>2</v>
      </c>
      <c r="HO109">
        <v>90</v>
      </c>
      <c r="HP109">
        <v>3</v>
      </c>
      <c r="HQ109">
        <v>0</v>
      </c>
      <c r="HR109">
        <v>2</v>
      </c>
      <c r="HS109">
        <v>3307</v>
      </c>
      <c r="HT109">
        <v>100</v>
      </c>
      <c r="HU109">
        <v>180</v>
      </c>
      <c r="HW109">
        <v>20</v>
      </c>
      <c r="HX109">
        <v>490</v>
      </c>
      <c r="HY109">
        <v>0.18</v>
      </c>
      <c r="IA109">
        <v>0.15</v>
      </c>
      <c r="IB109">
        <v>0</v>
      </c>
      <c r="IC109">
        <v>180</v>
      </c>
      <c r="ID109">
        <v>110</v>
      </c>
      <c r="IE109">
        <v>0</v>
      </c>
      <c r="IF109">
        <v>0</v>
      </c>
      <c r="IH109" t="s">
        <v>549</v>
      </c>
      <c r="IO109">
        <v>1</v>
      </c>
      <c r="IP109">
        <v>15</v>
      </c>
      <c r="IQ109">
        <v>0</v>
      </c>
      <c r="IR109">
        <v>1</v>
      </c>
      <c r="IV109">
        <v>1122</v>
      </c>
      <c r="IW109">
        <v>390</v>
      </c>
      <c r="JA109">
        <v>1</v>
      </c>
      <c r="JB109">
        <v>0</v>
      </c>
      <c r="JC109">
        <v>2</v>
      </c>
      <c r="JD109">
        <v>1136</v>
      </c>
      <c r="JE109">
        <v>1134</v>
      </c>
      <c r="JF109">
        <v>0</v>
      </c>
      <c r="JG109">
        <v>1110</v>
      </c>
      <c r="JH109">
        <v>0</v>
      </c>
      <c r="JJ109">
        <v>180</v>
      </c>
      <c r="JK109">
        <v>490</v>
      </c>
      <c r="JN109">
        <v>370</v>
      </c>
      <c r="JO109">
        <v>680</v>
      </c>
      <c r="JP109">
        <v>0</v>
      </c>
      <c r="JQ109">
        <v>0</v>
      </c>
      <c r="JR109">
        <v>346</v>
      </c>
      <c r="JS109">
        <v>160</v>
      </c>
      <c r="JV109">
        <v>8</v>
      </c>
      <c r="JW109" t="s">
        <v>550</v>
      </c>
      <c r="JX109">
        <v>0</v>
      </c>
      <c r="KA109">
        <v>0</v>
      </c>
      <c r="KB109">
        <v>110</v>
      </c>
      <c r="KC109">
        <v>0</v>
      </c>
      <c r="KD109">
        <v>80</v>
      </c>
      <c r="KF109">
        <v>4</v>
      </c>
      <c r="KG109">
        <v>4</v>
      </c>
      <c r="KH109">
        <v>2</v>
      </c>
      <c r="KI109">
        <v>2</v>
      </c>
      <c r="KJ109">
        <v>0</v>
      </c>
      <c r="KK109">
        <v>1.5</v>
      </c>
      <c r="KL109">
        <v>1.5</v>
      </c>
      <c r="KM109">
        <v>0</v>
      </c>
      <c r="KN109">
        <v>0</v>
      </c>
      <c r="KO109">
        <v>0</v>
      </c>
      <c r="KR109">
        <v>30</v>
      </c>
      <c r="KS109">
        <v>40</v>
      </c>
      <c r="KT109">
        <v>0</v>
      </c>
      <c r="LK109">
        <v>480</v>
      </c>
      <c r="PG109">
        <v>1</v>
      </c>
      <c r="PI109" t="s">
        <v>1908</v>
      </c>
      <c r="PJ109" t="s">
        <v>1909</v>
      </c>
      <c r="PL109" t="s">
        <v>719</v>
      </c>
      <c r="PP109" t="s">
        <v>1910</v>
      </c>
      <c r="PX109">
        <v>56</v>
      </c>
      <c r="PY109">
        <v>57</v>
      </c>
      <c r="PZ109" t="s">
        <v>1908</v>
      </c>
      <c r="QA109">
        <v>1</v>
      </c>
      <c r="QB109">
        <v>1110</v>
      </c>
      <c r="QC109">
        <v>69</v>
      </c>
      <c r="QD109">
        <v>69</v>
      </c>
      <c r="QE109" t="s">
        <v>719</v>
      </c>
      <c r="QF109">
        <v>1</v>
      </c>
      <c r="QG109">
        <v>1136</v>
      </c>
      <c r="QH109">
        <v>66</v>
      </c>
      <c r="QI109">
        <v>66</v>
      </c>
      <c r="QL109">
        <v>0</v>
      </c>
      <c r="QM109">
        <v>62</v>
      </c>
      <c r="QN109">
        <v>62</v>
      </c>
      <c r="QO109" t="s">
        <v>1909</v>
      </c>
      <c r="QP109">
        <v>1</v>
      </c>
      <c r="QQ109">
        <v>1134</v>
      </c>
      <c r="QW109">
        <v>82</v>
      </c>
      <c r="QX109">
        <v>84</v>
      </c>
      <c r="QY109" t="s">
        <v>1910</v>
      </c>
      <c r="QZ109">
        <v>3</v>
      </c>
      <c r="RA109">
        <v>66</v>
      </c>
      <c r="RB109">
        <v>66</v>
      </c>
      <c r="RE109">
        <v>0</v>
      </c>
      <c r="RF109">
        <v>1</v>
      </c>
      <c r="RJ109">
        <v>2</v>
      </c>
      <c r="RL109">
        <v>4</v>
      </c>
      <c r="RO109">
        <v>524</v>
      </c>
      <c r="RQ109">
        <v>815</v>
      </c>
      <c r="RT109">
        <v>157</v>
      </c>
      <c r="RU109">
        <v>151</v>
      </c>
      <c r="RV109" t="s">
        <v>1497</v>
      </c>
      <c r="RW109" t="s">
        <v>1498</v>
      </c>
      <c r="RX109">
        <v>15</v>
      </c>
      <c r="RY109">
        <v>4</v>
      </c>
      <c r="RZ109" t="s">
        <v>1498</v>
      </c>
      <c r="SA109">
        <v>15</v>
      </c>
      <c r="SC109" t="s">
        <v>1909</v>
      </c>
      <c r="SD109">
        <v>1</v>
      </c>
      <c r="SH109">
        <v>0.995</v>
      </c>
      <c r="SI109">
        <v>0.995</v>
      </c>
      <c r="SJ109">
        <v>0.995</v>
      </c>
      <c r="SK109">
        <v>15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TB109">
        <v>0</v>
      </c>
      <c r="TC109">
        <v>0</v>
      </c>
      <c r="TD109">
        <v>7.5</v>
      </c>
      <c r="TE109" t="s">
        <v>553</v>
      </c>
      <c r="TF109" t="s">
        <v>754</v>
      </c>
      <c r="TG109" t="s">
        <v>555</v>
      </c>
      <c r="TI109" t="s">
        <v>546</v>
      </c>
      <c r="TJ109" t="s">
        <v>547</v>
      </c>
      <c r="TL109" t="s">
        <v>1888</v>
      </c>
      <c r="TM109" t="s">
        <v>513</v>
      </c>
      <c r="TN109">
        <v>0</v>
      </c>
      <c r="TO109" t="s">
        <v>557</v>
      </c>
    </row>
    <row r="110" spans="1:535">
      <c r="A110" t="s">
        <v>1911</v>
      </c>
      <c r="B110" t="s">
        <v>727</v>
      </c>
      <c r="C110" t="s">
        <v>509</v>
      </c>
      <c r="D110" t="s">
        <v>1254</v>
      </c>
      <c r="G110" t="s">
        <v>605</v>
      </c>
      <c r="I110" t="s">
        <v>628</v>
      </c>
      <c r="J110" t="s">
        <v>606</v>
      </c>
      <c r="L110" t="s">
        <v>512</v>
      </c>
      <c r="M110" t="s">
        <v>729</v>
      </c>
      <c r="N110" t="s">
        <v>513</v>
      </c>
      <c r="O110" t="s">
        <v>607</v>
      </c>
      <c r="Q110" t="s">
        <v>1912</v>
      </c>
      <c r="R110" t="s">
        <v>567</v>
      </c>
      <c r="S110" t="s">
        <v>1681</v>
      </c>
      <c r="T110" t="s">
        <v>1682</v>
      </c>
      <c r="U110" t="s">
        <v>520</v>
      </c>
      <c r="V110" t="s">
        <v>521</v>
      </c>
      <c r="W110" t="s">
        <v>1913</v>
      </c>
      <c r="X110" t="s">
        <v>1880</v>
      </c>
      <c r="Y110" t="s">
        <v>524</v>
      </c>
      <c r="Z110" t="s">
        <v>1914</v>
      </c>
      <c r="AA110" t="s">
        <v>1915</v>
      </c>
      <c r="AB110" t="s">
        <v>1916</v>
      </c>
      <c r="AC110">
        <v>2</v>
      </c>
      <c r="AD110">
        <v>57</v>
      </c>
      <c r="AE110">
        <v>174</v>
      </c>
      <c r="AF110">
        <v>1.5</v>
      </c>
      <c r="AH110">
        <v>0</v>
      </c>
      <c r="AI110" t="s">
        <v>719</v>
      </c>
      <c r="AJ110">
        <v>185</v>
      </c>
      <c r="AK110">
        <v>1</v>
      </c>
      <c r="AL110">
        <v>1.5</v>
      </c>
      <c r="AM110" t="s">
        <v>529</v>
      </c>
      <c r="AO110">
        <v>0</v>
      </c>
      <c r="AR110">
        <v>0</v>
      </c>
      <c r="AS110">
        <v>1.5</v>
      </c>
      <c r="AU110" t="s">
        <v>1917</v>
      </c>
      <c r="AW110" t="s">
        <v>1917</v>
      </c>
      <c r="AX110">
        <v>1</v>
      </c>
      <c r="AY110">
        <v>337.5</v>
      </c>
      <c r="AZ110">
        <v>1.5</v>
      </c>
      <c r="BA110" t="s">
        <v>529</v>
      </c>
      <c r="BG110">
        <v>1.5</v>
      </c>
      <c r="BJ110">
        <v>0</v>
      </c>
      <c r="BN110">
        <v>1.5</v>
      </c>
      <c r="BP110" t="s">
        <v>1918</v>
      </c>
      <c r="BQ110">
        <v>84</v>
      </c>
      <c r="BR110">
        <v>2</v>
      </c>
      <c r="BS110" t="s">
        <v>1919</v>
      </c>
      <c r="BT110">
        <v>197</v>
      </c>
      <c r="BU110">
        <v>0.5</v>
      </c>
      <c r="BV110" t="s">
        <v>1919</v>
      </c>
      <c r="BW110">
        <v>394</v>
      </c>
      <c r="BX110">
        <v>1</v>
      </c>
      <c r="BY110" t="s">
        <v>533</v>
      </c>
      <c r="BZ110">
        <v>300</v>
      </c>
      <c r="CA110">
        <v>520</v>
      </c>
      <c r="CB110" t="s">
        <v>534</v>
      </c>
      <c r="CC110" t="s">
        <v>534</v>
      </c>
      <c r="CD110">
        <v>410</v>
      </c>
      <c r="CE110" t="s">
        <v>535</v>
      </c>
      <c r="CF110">
        <v>15</v>
      </c>
      <c r="CG110" t="s">
        <v>536</v>
      </c>
      <c r="CH110" t="s">
        <v>536</v>
      </c>
      <c r="CI110">
        <v>110</v>
      </c>
      <c r="CJ110">
        <v>1200</v>
      </c>
      <c r="CK110">
        <v>2</v>
      </c>
      <c r="CL110">
        <v>1301</v>
      </c>
      <c r="CM110">
        <v>2</v>
      </c>
      <c r="CN110" t="s">
        <v>537</v>
      </c>
      <c r="CO110" t="s">
        <v>538</v>
      </c>
      <c r="CP110" t="s">
        <v>539</v>
      </c>
      <c r="CQ110" t="s">
        <v>1496</v>
      </c>
      <c r="CR110" t="s">
        <v>541</v>
      </c>
      <c r="CS110" t="s">
        <v>542</v>
      </c>
      <c r="CT110">
        <v>370</v>
      </c>
      <c r="CU110">
        <v>5</v>
      </c>
      <c r="CV110">
        <v>1.2</v>
      </c>
      <c r="CW110">
        <v>1213</v>
      </c>
      <c r="CX110">
        <v>636</v>
      </c>
      <c r="DD110">
        <v>0</v>
      </c>
      <c r="DE110" t="s">
        <v>622</v>
      </c>
      <c r="DF110">
        <v>675</v>
      </c>
      <c r="DG110">
        <v>3</v>
      </c>
      <c r="DH110">
        <v>0.88</v>
      </c>
      <c r="DI110">
        <v>1211</v>
      </c>
      <c r="DJ110">
        <v>958</v>
      </c>
      <c r="DW110" t="s">
        <v>544</v>
      </c>
      <c r="DX110">
        <v>7.5</v>
      </c>
      <c r="EA110">
        <v>1282.5</v>
      </c>
      <c r="EB110">
        <v>227</v>
      </c>
      <c r="EC110" t="s">
        <v>545</v>
      </c>
      <c r="ED110">
        <v>25</v>
      </c>
      <c r="EE110">
        <v>3</v>
      </c>
      <c r="EG110">
        <v>1323</v>
      </c>
      <c r="EH110">
        <v>144</v>
      </c>
      <c r="EJ110">
        <v>0</v>
      </c>
      <c r="EK110">
        <v>1</v>
      </c>
      <c r="EN110">
        <v>0</v>
      </c>
      <c r="EP110" t="s">
        <v>546</v>
      </c>
      <c r="EQ110">
        <v>100</v>
      </c>
      <c r="ER110">
        <v>3</v>
      </c>
      <c r="ES110">
        <v>5.5</v>
      </c>
      <c r="ET110">
        <v>1198</v>
      </c>
      <c r="EU110">
        <v>388.9</v>
      </c>
      <c r="EV110">
        <v>466</v>
      </c>
      <c r="EW110" t="s">
        <v>547</v>
      </c>
      <c r="EX110">
        <v>70</v>
      </c>
      <c r="EY110">
        <v>2</v>
      </c>
      <c r="EZ110">
        <v>3.5</v>
      </c>
      <c r="FA110">
        <v>1198</v>
      </c>
      <c r="FB110">
        <v>209.1</v>
      </c>
      <c r="FC110">
        <v>251</v>
      </c>
      <c r="FE110">
        <v>0</v>
      </c>
      <c r="FF110">
        <v>2</v>
      </c>
      <c r="FI110">
        <v>0</v>
      </c>
      <c r="FK110" t="s">
        <v>548</v>
      </c>
      <c r="FL110">
        <v>0.6</v>
      </c>
      <c r="FM110">
        <v>75</v>
      </c>
      <c r="FN110">
        <v>100</v>
      </c>
      <c r="FR110" t="s">
        <v>548</v>
      </c>
      <c r="FS110">
        <v>0.4</v>
      </c>
      <c r="FT110">
        <v>30</v>
      </c>
      <c r="FU110">
        <v>360</v>
      </c>
      <c r="HC110">
        <v>0.1</v>
      </c>
      <c r="HD110">
        <v>3</v>
      </c>
      <c r="HE110">
        <v>3</v>
      </c>
      <c r="HF110">
        <v>3</v>
      </c>
      <c r="HG110">
        <v>3</v>
      </c>
      <c r="HH110">
        <v>3</v>
      </c>
      <c r="HI110">
        <v>155</v>
      </c>
      <c r="HJ110">
        <v>3</v>
      </c>
      <c r="HK110">
        <v>55</v>
      </c>
      <c r="HL110">
        <v>2</v>
      </c>
      <c r="HM110">
        <v>0</v>
      </c>
      <c r="HN110">
        <v>2</v>
      </c>
      <c r="HO110">
        <v>85</v>
      </c>
      <c r="HP110">
        <v>3</v>
      </c>
      <c r="HQ110">
        <v>0</v>
      </c>
      <c r="HR110">
        <v>2</v>
      </c>
      <c r="HS110">
        <v>3770</v>
      </c>
      <c r="HT110">
        <v>110</v>
      </c>
      <c r="HU110">
        <v>180</v>
      </c>
      <c r="HW110">
        <v>20</v>
      </c>
      <c r="HX110">
        <v>490</v>
      </c>
      <c r="HY110">
        <v>0.18</v>
      </c>
      <c r="IA110">
        <v>0.15</v>
      </c>
      <c r="IB110">
        <v>0</v>
      </c>
      <c r="IC110">
        <v>180</v>
      </c>
      <c r="ID110">
        <v>110</v>
      </c>
      <c r="IE110">
        <v>0</v>
      </c>
      <c r="IF110">
        <v>0</v>
      </c>
      <c r="IH110" t="s">
        <v>549</v>
      </c>
      <c r="IO110">
        <v>1</v>
      </c>
      <c r="IP110">
        <v>16</v>
      </c>
      <c r="IQ110">
        <v>0</v>
      </c>
      <c r="IR110">
        <v>1</v>
      </c>
      <c r="IV110">
        <v>1200</v>
      </c>
      <c r="IW110">
        <v>394</v>
      </c>
      <c r="JA110">
        <v>1</v>
      </c>
      <c r="JB110">
        <v>0</v>
      </c>
      <c r="JC110">
        <v>2</v>
      </c>
      <c r="JD110">
        <v>1213</v>
      </c>
      <c r="JE110">
        <v>1211</v>
      </c>
      <c r="JF110">
        <v>0</v>
      </c>
      <c r="JG110">
        <v>1198</v>
      </c>
      <c r="JH110">
        <v>0</v>
      </c>
      <c r="JJ110">
        <v>180</v>
      </c>
      <c r="JK110">
        <v>490</v>
      </c>
      <c r="JN110">
        <v>370</v>
      </c>
      <c r="JO110">
        <v>675</v>
      </c>
      <c r="JP110">
        <v>0</v>
      </c>
      <c r="JQ110">
        <v>0</v>
      </c>
      <c r="JR110">
        <v>348</v>
      </c>
      <c r="JS110">
        <v>155</v>
      </c>
      <c r="JV110">
        <v>8</v>
      </c>
      <c r="JW110" t="s">
        <v>550</v>
      </c>
      <c r="JX110">
        <v>0</v>
      </c>
      <c r="KA110">
        <v>0</v>
      </c>
      <c r="KB110">
        <v>110</v>
      </c>
      <c r="KC110">
        <v>0</v>
      </c>
      <c r="KD110">
        <v>80</v>
      </c>
      <c r="KF110">
        <v>4</v>
      </c>
      <c r="KG110">
        <v>2</v>
      </c>
      <c r="KH110">
        <v>2</v>
      </c>
      <c r="KI110">
        <v>2</v>
      </c>
      <c r="KJ110">
        <v>0</v>
      </c>
      <c r="KK110">
        <v>1.5</v>
      </c>
      <c r="KL110">
        <v>1.5</v>
      </c>
      <c r="KM110">
        <v>0</v>
      </c>
      <c r="KN110">
        <v>0</v>
      </c>
      <c r="KO110">
        <v>0</v>
      </c>
      <c r="KR110">
        <v>30</v>
      </c>
      <c r="KS110">
        <v>60</v>
      </c>
      <c r="KT110">
        <v>0</v>
      </c>
      <c r="LK110">
        <v>480</v>
      </c>
      <c r="PG110">
        <v>1</v>
      </c>
      <c r="PI110" t="s">
        <v>1916</v>
      </c>
      <c r="PJ110" t="s">
        <v>1917</v>
      </c>
      <c r="PL110" t="s">
        <v>719</v>
      </c>
      <c r="PP110" t="s">
        <v>1918</v>
      </c>
      <c r="PX110">
        <v>56</v>
      </c>
      <c r="PY110">
        <v>57</v>
      </c>
      <c r="PZ110" t="s">
        <v>1916</v>
      </c>
      <c r="QA110">
        <v>1</v>
      </c>
      <c r="QB110">
        <v>1198</v>
      </c>
      <c r="QC110">
        <v>69</v>
      </c>
      <c r="QD110">
        <v>69</v>
      </c>
      <c r="QE110" t="s">
        <v>719</v>
      </c>
      <c r="QF110">
        <v>1</v>
      </c>
      <c r="QG110">
        <v>1213</v>
      </c>
      <c r="QH110">
        <v>66</v>
      </c>
      <c r="QI110">
        <v>66</v>
      </c>
      <c r="QL110">
        <v>0</v>
      </c>
      <c r="QM110">
        <v>62</v>
      </c>
      <c r="QN110">
        <v>62</v>
      </c>
      <c r="QO110" t="s">
        <v>1917</v>
      </c>
      <c r="QP110">
        <v>1</v>
      </c>
      <c r="QQ110">
        <v>1211</v>
      </c>
      <c r="QW110">
        <v>82</v>
      </c>
      <c r="QX110">
        <v>84</v>
      </c>
      <c r="QY110" t="s">
        <v>1918</v>
      </c>
      <c r="QZ110">
        <v>1</v>
      </c>
      <c r="RA110">
        <v>66</v>
      </c>
      <c r="RB110">
        <v>66</v>
      </c>
      <c r="RE110">
        <v>0</v>
      </c>
      <c r="RF110">
        <v>1</v>
      </c>
      <c r="RJ110">
        <v>1</v>
      </c>
      <c r="RL110">
        <v>4</v>
      </c>
      <c r="RO110">
        <v>524</v>
      </c>
      <c r="RQ110">
        <v>791</v>
      </c>
      <c r="RT110">
        <v>227</v>
      </c>
      <c r="RU110">
        <v>144</v>
      </c>
      <c r="RV110" t="s">
        <v>1920</v>
      </c>
      <c r="RW110" t="s">
        <v>552</v>
      </c>
      <c r="RX110">
        <v>15</v>
      </c>
      <c r="RY110">
        <v>4</v>
      </c>
      <c r="RZ110" t="s">
        <v>552</v>
      </c>
      <c r="SA110">
        <v>15</v>
      </c>
      <c r="SC110" t="s">
        <v>1917</v>
      </c>
      <c r="SD110">
        <v>1</v>
      </c>
      <c r="SH110">
        <v>0.995</v>
      </c>
      <c r="SI110">
        <v>0.995</v>
      </c>
      <c r="SJ110">
        <v>0.995</v>
      </c>
      <c r="SK110">
        <v>15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TB110">
        <v>0</v>
      </c>
      <c r="TC110">
        <v>0</v>
      </c>
      <c r="TD110">
        <v>7.5</v>
      </c>
      <c r="TE110" t="s">
        <v>553</v>
      </c>
      <c r="TF110" t="s">
        <v>624</v>
      </c>
      <c r="TG110" t="s">
        <v>555</v>
      </c>
      <c r="TI110" t="s">
        <v>546</v>
      </c>
      <c r="TJ110" t="s">
        <v>547</v>
      </c>
      <c r="TL110" t="s">
        <v>1888</v>
      </c>
      <c r="TM110" t="s">
        <v>513</v>
      </c>
      <c r="TN110">
        <v>0</v>
      </c>
      <c r="TO110" t="s">
        <v>557</v>
      </c>
    </row>
    <row r="111" spans="1:535">
      <c r="A111" t="s">
        <v>1921</v>
      </c>
      <c r="B111" t="s">
        <v>727</v>
      </c>
      <c r="C111" t="s">
        <v>509</v>
      </c>
      <c r="D111" t="s">
        <v>1668</v>
      </c>
      <c r="G111" t="s">
        <v>627</v>
      </c>
      <c r="H111" t="s">
        <v>604</v>
      </c>
      <c r="I111" t="s">
        <v>628</v>
      </c>
      <c r="J111" t="s">
        <v>606</v>
      </c>
      <c r="L111" t="s">
        <v>512</v>
      </c>
      <c r="M111" t="s">
        <v>729</v>
      </c>
      <c r="N111" t="s">
        <v>513</v>
      </c>
      <c r="O111" t="s">
        <v>607</v>
      </c>
      <c r="Q111" t="s">
        <v>1922</v>
      </c>
      <c r="R111" t="s">
        <v>567</v>
      </c>
      <c r="S111" t="s">
        <v>939</v>
      </c>
      <c r="T111" t="s">
        <v>759</v>
      </c>
      <c r="U111" t="s">
        <v>633</v>
      </c>
      <c r="V111" t="s">
        <v>634</v>
      </c>
      <c r="W111" t="s">
        <v>1923</v>
      </c>
      <c r="X111" t="s">
        <v>1880</v>
      </c>
      <c r="Y111" t="s">
        <v>524</v>
      </c>
      <c r="Z111" t="s">
        <v>1924</v>
      </c>
      <c r="AA111" t="s">
        <v>1925</v>
      </c>
      <c r="AB111" t="s">
        <v>1926</v>
      </c>
      <c r="AC111">
        <v>2</v>
      </c>
      <c r="AD111">
        <v>57</v>
      </c>
      <c r="AE111">
        <v>196</v>
      </c>
      <c r="AF111">
        <v>1.5</v>
      </c>
      <c r="AH111">
        <v>0</v>
      </c>
      <c r="AI111" t="s">
        <v>734</v>
      </c>
      <c r="AJ111">
        <v>180</v>
      </c>
      <c r="AK111">
        <v>1</v>
      </c>
      <c r="AL111">
        <v>1.5</v>
      </c>
      <c r="AM111" t="s">
        <v>579</v>
      </c>
      <c r="AN111" t="s">
        <v>693</v>
      </c>
      <c r="AO111">
        <v>2</v>
      </c>
      <c r="AP111" t="s">
        <v>581</v>
      </c>
      <c r="AQ111" t="s">
        <v>582</v>
      </c>
      <c r="AR111">
        <v>220</v>
      </c>
      <c r="AS111">
        <v>1.5</v>
      </c>
      <c r="AT111" t="s">
        <v>583</v>
      </c>
      <c r="AU111" t="s">
        <v>1927</v>
      </c>
      <c r="AW111" t="s">
        <v>1927</v>
      </c>
      <c r="AX111">
        <v>1</v>
      </c>
      <c r="AY111">
        <v>327.5</v>
      </c>
      <c r="AZ111">
        <v>1.5</v>
      </c>
      <c r="BA111" t="s">
        <v>579</v>
      </c>
      <c r="BG111">
        <v>1.5</v>
      </c>
      <c r="BJ111">
        <v>0</v>
      </c>
      <c r="BN111">
        <v>1.5</v>
      </c>
      <c r="BP111" t="s">
        <v>1928</v>
      </c>
      <c r="BQ111">
        <v>84</v>
      </c>
      <c r="BR111">
        <v>2</v>
      </c>
      <c r="BS111" t="s">
        <v>1929</v>
      </c>
      <c r="BT111">
        <v>195</v>
      </c>
      <c r="BU111">
        <v>0.5</v>
      </c>
      <c r="BV111" t="s">
        <v>1929</v>
      </c>
      <c r="BW111">
        <v>390</v>
      </c>
      <c r="BX111">
        <v>1</v>
      </c>
      <c r="BY111" t="s">
        <v>643</v>
      </c>
      <c r="BZ111">
        <v>300</v>
      </c>
      <c r="CA111">
        <v>520</v>
      </c>
      <c r="CB111" t="s">
        <v>644</v>
      </c>
      <c r="CC111" t="s">
        <v>644</v>
      </c>
      <c r="CD111">
        <v>404</v>
      </c>
      <c r="CE111" t="s">
        <v>544</v>
      </c>
      <c r="CF111">
        <v>15</v>
      </c>
      <c r="CG111" t="s">
        <v>1112</v>
      </c>
      <c r="CH111" t="s">
        <v>1112</v>
      </c>
      <c r="CI111">
        <v>110</v>
      </c>
      <c r="CJ111">
        <v>1301</v>
      </c>
      <c r="CK111">
        <v>2</v>
      </c>
      <c r="CL111">
        <v>1395</v>
      </c>
      <c r="CM111">
        <v>2</v>
      </c>
      <c r="CN111" t="s">
        <v>646</v>
      </c>
      <c r="CO111" t="s">
        <v>647</v>
      </c>
      <c r="CP111" t="s">
        <v>648</v>
      </c>
      <c r="CQ111" t="s">
        <v>1343</v>
      </c>
      <c r="CR111" t="s">
        <v>541</v>
      </c>
      <c r="CS111" t="s">
        <v>542</v>
      </c>
      <c r="CT111">
        <v>360</v>
      </c>
      <c r="CU111">
        <v>5</v>
      </c>
      <c r="CV111">
        <v>1.2</v>
      </c>
      <c r="CW111">
        <v>1319</v>
      </c>
      <c r="CX111">
        <v>671</v>
      </c>
      <c r="CY111" t="s">
        <v>705</v>
      </c>
      <c r="CZ111">
        <v>50</v>
      </c>
      <c r="DA111">
        <v>3</v>
      </c>
      <c r="DB111">
        <v>1</v>
      </c>
      <c r="DC111">
        <v>1319</v>
      </c>
      <c r="DD111">
        <v>69</v>
      </c>
      <c r="DE111" t="s">
        <v>543</v>
      </c>
      <c r="DF111">
        <v>655</v>
      </c>
      <c r="DG111">
        <v>3</v>
      </c>
      <c r="DH111">
        <v>1.18</v>
      </c>
      <c r="DI111">
        <v>1312</v>
      </c>
      <c r="DJ111">
        <v>1338</v>
      </c>
      <c r="DW111" t="s">
        <v>544</v>
      </c>
      <c r="DX111">
        <v>7.5</v>
      </c>
      <c r="EA111">
        <v>1379.8</v>
      </c>
      <c r="EB111">
        <v>260</v>
      </c>
      <c r="EC111" t="s">
        <v>545</v>
      </c>
      <c r="ED111">
        <v>30</v>
      </c>
      <c r="EE111">
        <v>3</v>
      </c>
      <c r="EG111">
        <v>1421</v>
      </c>
      <c r="EH111">
        <v>174</v>
      </c>
      <c r="EJ111">
        <v>0</v>
      </c>
      <c r="EK111">
        <v>1</v>
      </c>
      <c r="EN111">
        <v>0</v>
      </c>
      <c r="EP111" t="s">
        <v>546</v>
      </c>
      <c r="EQ111">
        <v>85</v>
      </c>
      <c r="ER111">
        <v>3</v>
      </c>
      <c r="ES111">
        <v>4.8</v>
      </c>
      <c r="ET111">
        <v>1294</v>
      </c>
      <c r="EU111">
        <v>313</v>
      </c>
      <c r="EV111">
        <v>405</v>
      </c>
      <c r="EW111" t="s">
        <v>547</v>
      </c>
      <c r="EX111">
        <v>45</v>
      </c>
      <c r="EY111">
        <v>2</v>
      </c>
      <c r="EZ111">
        <v>4.2</v>
      </c>
      <c r="FA111">
        <v>1294</v>
      </c>
      <c r="FB111">
        <v>154.2</v>
      </c>
      <c r="FC111">
        <v>200</v>
      </c>
      <c r="FE111">
        <v>0</v>
      </c>
      <c r="FF111">
        <v>2</v>
      </c>
      <c r="FI111">
        <v>0</v>
      </c>
      <c r="FK111" t="s">
        <v>548</v>
      </c>
      <c r="FL111">
        <v>0.4</v>
      </c>
      <c r="FM111">
        <v>50</v>
      </c>
      <c r="FN111">
        <v>320</v>
      </c>
      <c r="FO111">
        <v>70</v>
      </c>
      <c r="FP111">
        <v>110</v>
      </c>
      <c r="FR111" t="s">
        <v>548</v>
      </c>
      <c r="FS111">
        <v>0.4</v>
      </c>
      <c r="FT111">
        <v>30</v>
      </c>
      <c r="FU111">
        <v>350</v>
      </c>
      <c r="HC111">
        <v>0.1</v>
      </c>
      <c r="HD111">
        <v>3</v>
      </c>
      <c r="HE111">
        <v>3</v>
      </c>
      <c r="HF111">
        <v>3</v>
      </c>
      <c r="HG111">
        <v>3</v>
      </c>
      <c r="HH111">
        <v>3</v>
      </c>
      <c r="HI111">
        <v>115</v>
      </c>
      <c r="HJ111">
        <v>3</v>
      </c>
      <c r="HK111">
        <v>30</v>
      </c>
      <c r="HL111">
        <v>2</v>
      </c>
      <c r="HM111">
        <v>0</v>
      </c>
      <c r="HN111">
        <v>2</v>
      </c>
      <c r="HO111">
        <v>70</v>
      </c>
      <c r="HP111">
        <v>3</v>
      </c>
      <c r="HQ111">
        <v>0</v>
      </c>
      <c r="HR111">
        <v>2</v>
      </c>
      <c r="HS111">
        <v>4225</v>
      </c>
      <c r="HT111">
        <v>130</v>
      </c>
      <c r="HU111">
        <v>180</v>
      </c>
      <c r="HW111">
        <v>20</v>
      </c>
      <c r="HX111">
        <v>476</v>
      </c>
      <c r="HY111">
        <v>0.18</v>
      </c>
      <c r="IA111">
        <v>0.15</v>
      </c>
      <c r="IB111">
        <v>0</v>
      </c>
      <c r="IC111">
        <v>180</v>
      </c>
      <c r="ID111">
        <v>110</v>
      </c>
      <c r="IE111">
        <v>0</v>
      </c>
      <c r="IF111">
        <v>0</v>
      </c>
      <c r="IH111" t="s">
        <v>549</v>
      </c>
      <c r="IO111">
        <v>1</v>
      </c>
      <c r="IP111">
        <v>17</v>
      </c>
      <c r="IQ111">
        <v>0</v>
      </c>
      <c r="IR111">
        <v>0</v>
      </c>
      <c r="IV111">
        <v>1301</v>
      </c>
      <c r="IW111">
        <v>390</v>
      </c>
      <c r="JA111">
        <v>1</v>
      </c>
      <c r="JB111">
        <v>0</v>
      </c>
      <c r="JC111">
        <v>2</v>
      </c>
      <c r="JD111">
        <v>1319</v>
      </c>
      <c r="JE111">
        <v>1312</v>
      </c>
      <c r="JF111">
        <v>0</v>
      </c>
      <c r="JG111">
        <v>1294</v>
      </c>
      <c r="JH111">
        <v>0</v>
      </c>
      <c r="JJ111">
        <v>180</v>
      </c>
      <c r="JK111">
        <v>476</v>
      </c>
      <c r="JN111">
        <v>360</v>
      </c>
      <c r="JO111">
        <v>655</v>
      </c>
      <c r="JP111">
        <v>0</v>
      </c>
      <c r="JQ111">
        <v>0</v>
      </c>
      <c r="JR111">
        <v>392</v>
      </c>
      <c r="JS111">
        <v>115</v>
      </c>
      <c r="JV111">
        <v>8</v>
      </c>
      <c r="JW111" t="s">
        <v>550</v>
      </c>
      <c r="JX111">
        <v>440</v>
      </c>
      <c r="KA111">
        <v>0</v>
      </c>
      <c r="KB111">
        <v>110</v>
      </c>
      <c r="KC111">
        <v>0</v>
      </c>
      <c r="KD111">
        <v>80</v>
      </c>
      <c r="KF111">
        <v>4</v>
      </c>
      <c r="KG111">
        <v>2</v>
      </c>
      <c r="KH111">
        <v>2</v>
      </c>
      <c r="KI111">
        <v>2</v>
      </c>
      <c r="KJ111">
        <v>0</v>
      </c>
      <c r="KK111">
        <v>1.5</v>
      </c>
      <c r="KL111">
        <v>1.5</v>
      </c>
      <c r="KM111">
        <v>0</v>
      </c>
      <c r="KN111">
        <v>0</v>
      </c>
      <c r="KO111">
        <v>0</v>
      </c>
      <c r="KR111">
        <v>30</v>
      </c>
      <c r="KS111">
        <v>60</v>
      </c>
      <c r="KT111">
        <v>0</v>
      </c>
      <c r="LK111">
        <v>480</v>
      </c>
      <c r="PG111">
        <v>1</v>
      </c>
      <c r="PI111" t="s">
        <v>1926</v>
      </c>
      <c r="PJ111" t="s">
        <v>1927</v>
      </c>
      <c r="PL111" t="s">
        <v>734</v>
      </c>
      <c r="PP111" t="s">
        <v>1928</v>
      </c>
      <c r="PS111" t="s">
        <v>693</v>
      </c>
      <c r="PX111">
        <v>56</v>
      </c>
      <c r="PY111">
        <v>57</v>
      </c>
      <c r="PZ111" t="s">
        <v>1926</v>
      </c>
      <c r="QA111">
        <v>3</v>
      </c>
      <c r="QB111">
        <v>1294</v>
      </c>
      <c r="QC111">
        <v>69</v>
      </c>
      <c r="QD111">
        <v>69</v>
      </c>
      <c r="QE111" t="s">
        <v>734</v>
      </c>
      <c r="QF111">
        <v>1</v>
      </c>
      <c r="QG111">
        <v>1319</v>
      </c>
      <c r="QH111">
        <v>66</v>
      </c>
      <c r="QI111">
        <v>66</v>
      </c>
      <c r="QJ111" t="s">
        <v>693</v>
      </c>
      <c r="QK111">
        <v>1</v>
      </c>
      <c r="QL111">
        <v>1319</v>
      </c>
      <c r="QM111">
        <v>62</v>
      </c>
      <c r="QN111">
        <v>62</v>
      </c>
      <c r="QO111" t="s">
        <v>1927</v>
      </c>
      <c r="QP111">
        <v>1</v>
      </c>
      <c r="QQ111">
        <v>1312</v>
      </c>
      <c r="QW111">
        <v>82</v>
      </c>
      <c r="QX111">
        <v>84</v>
      </c>
      <c r="QY111" t="s">
        <v>1928</v>
      </c>
      <c r="QZ111">
        <v>3</v>
      </c>
      <c r="RA111">
        <v>66</v>
      </c>
      <c r="RB111">
        <v>66</v>
      </c>
      <c r="RE111">
        <v>0</v>
      </c>
      <c r="RF111">
        <v>1</v>
      </c>
      <c r="RJ111">
        <v>1</v>
      </c>
      <c r="RK111">
        <v>2</v>
      </c>
      <c r="RL111">
        <v>1</v>
      </c>
      <c r="RO111">
        <v>509</v>
      </c>
      <c r="RP111">
        <v>105</v>
      </c>
      <c r="RQ111">
        <v>1020</v>
      </c>
      <c r="RT111">
        <v>260</v>
      </c>
      <c r="RU111">
        <v>174</v>
      </c>
      <c r="RV111" t="s">
        <v>1930</v>
      </c>
      <c r="RW111" t="s">
        <v>653</v>
      </c>
      <c r="RX111">
        <v>15</v>
      </c>
      <c r="RY111">
        <v>4</v>
      </c>
      <c r="RZ111" t="s">
        <v>653</v>
      </c>
      <c r="SA111">
        <v>15</v>
      </c>
      <c r="SC111" t="s">
        <v>1927</v>
      </c>
      <c r="SD111">
        <v>1</v>
      </c>
      <c r="SH111">
        <v>0.995</v>
      </c>
      <c r="SI111">
        <v>0.995</v>
      </c>
      <c r="SJ111">
        <v>0.995</v>
      </c>
      <c r="SK111">
        <v>15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1</v>
      </c>
      <c r="TB111">
        <v>0</v>
      </c>
      <c r="TC111">
        <v>0</v>
      </c>
      <c r="TD111">
        <v>7.5</v>
      </c>
      <c r="TE111" t="s">
        <v>553</v>
      </c>
      <c r="TF111" t="s">
        <v>655</v>
      </c>
      <c r="TG111" t="s">
        <v>555</v>
      </c>
      <c r="TI111" t="s">
        <v>546</v>
      </c>
      <c r="TJ111" t="s">
        <v>547</v>
      </c>
      <c r="TL111" t="s">
        <v>1888</v>
      </c>
      <c r="TM111" t="s">
        <v>513</v>
      </c>
      <c r="TN111">
        <v>0</v>
      </c>
      <c r="TO111" t="s">
        <v>557</v>
      </c>
    </row>
    <row r="112" spans="1:535">
      <c r="A112" t="s">
        <v>1931</v>
      </c>
      <c r="B112" t="s">
        <v>804</v>
      </c>
      <c r="C112" t="s">
        <v>509</v>
      </c>
      <c r="D112" t="s">
        <v>1932</v>
      </c>
      <c r="G112" t="s">
        <v>511</v>
      </c>
      <c r="I112" t="s">
        <v>562</v>
      </c>
      <c r="L112" t="s">
        <v>512</v>
      </c>
      <c r="M112" t="s">
        <v>508</v>
      </c>
      <c r="N112" t="s">
        <v>513</v>
      </c>
      <c r="O112" t="s">
        <v>1255</v>
      </c>
      <c r="P112" t="s">
        <v>515</v>
      </c>
      <c r="Q112" t="s">
        <v>1933</v>
      </c>
      <c r="R112" t="s">
        <v>567</v>
      </c>
      <c r="S112" t="s">
        <v>1075</v>
      </c>
      <c r="T112" t="s">
        <v>1076</v>
      </c>
      <c r="U112" t="s">
        <v>662</v>
      </c>
      <c r="V112" t="s">
        <v>663</v>
      </c>
      <c r="W112" t="s">
        <v>1755</v>
      </c>
      <c r="X112" t="s">
        <v>1880</v>
      </c>
      <c r="Y112" t="s">
        <v>574</v>
      </c>
      <c r="Z112" t="s">
        <v>1934</v>
      </c>
      <c r="AA112" t="s">
        <v>1935</v>
      </c>
      <c r="AB112" t="s">
        <v>1936</v>
      </c>
      <c r="AC112">
        <v>2</v>
      </c>
      <c r="AD112">
        <v>57</v>
      </c>
      <c r="AE112">
        <v>205</v>
      </c>
      <c r="AF112">
        <v>1.5</v>
      </c>
      <c r="AH112">
        <v>0</v>
      </c>
      <c r="AI112" t="s">
        <v>885</v>
      </c>
      <c r="AJ112">
        <v>215</v>
      </c>
      <c r="AK112">
        <v>1</v>
      </c>
      <c r="AL112">
        <v>1.5</v>
      </c>
      <c r="AM112" t="s">
        <v>529</v>
      </c>
      <c r="AO112">
        <v>0</v>
      </c>
      <c r="AR112">
        <v>0</v>
      </c>
      <c r="AS112">
        <v>1.5</v>
      </c>
      <c r="AU112" t="s">
        <v>1937</v>
      </c>
      <c r="AW112" t="s">
        <v>1937</v>
      </c>
      <c r="AX112">
        <v>1</v>
      </c>
      <c r="AY112">
        <v>305</v>
      </c>
      <c r="AZ112">
        <v>1.5</v>
      </c>
      <c r="BA112" t="s">
        <v>529</v>
      </c>
      <c r="BB112" t="s">
        <v>1938</v>
      </c>
      <c r="BD112" t="s">
        <v>1938</v>
      </c>
      <c r="BE112">
        <v>1</v>
      </c>
      <c r="BF112">
        <v>252.5</v>
      </c>
      <c r="BG112">
        <v>1.5</v>
      </c>
      <c r="BJ112">
        <v>0</v>
      </c>
      <c r="BN112">
        <v>1.5</v>
      </c>
      <c r="BP112" t="s">
        <v>1939</v>
      </c>
      <c r="BQ112">
        <v>88</v>
      </c>
      <c r="BR112">
        <v>2</v>
      </c>
      <c r="BS112" t="s">
        <v>844</v>
      </c>
      <c r="BT112">
        <v>227</v>
      </c>
      <c r="BU112">
        <v>0.5</v>
      </c>
      <c r="BV112" t="s">
        <v>844</v>
      </c>
      <c r="BW112">
        <v>454</v>
      </c>
      <c r="BX112">
        <v>1</v>
      </c>
      <c r="BY112" t="s">
        <v>643</v>
      </c>
      <c r="BZ112">
        <v>470</v>
      </c>
      <c r="CA112">
        <v>610</v>
      </c>
      <c r="CB112" t="s">
        <v>672</v>
      </c>
      <c r="CC112" t="s">
        <v>672</v>
      </c>
      <c r="CD112">
        <v>490</v>
      </c>
      <c r="CE112" t="s">
        <v>673</v>
      </c>
      <c r="CF112">
        <v>15</v>
      </c>
      <c r="CG112" t="s">
        <v>907</v>
      </c>
      <c r="CH112" t="s">
        <v>907</v>
      </c>
      <c r="CI112">
        <v>70</v>
      </c>
      <c r="CJ112">
        <v>1381</v>
      </c>
      <c r="CK112">
        <v>2</v>
      </c>
      <c r="CL112">
        <v>1475</v>
      </c>
      <c r="CM112">
        <v>2</v>
      </c>
      <c r="CN112" t="s">
        <v>675</v>
      </c>
      <c r="CO112" t="s">
        <v>676</v>
      </c>
      <c r="CP112" t="s">
        <v>595</v>
      </c>
      <c r="CQ112" t="s">
        <v>621</v>
      </c>
      <c r="CR112" t="s">
        <v>541</v>
      </c>
      <c r="CS112" t="s">
        <v>542</v>
      </c>
      <c r="CT112">
        <v>430</v>
      </c>
      <c r="CU112">
        <v>5</v>
      </c>
      <c r="CV112">
        <v>1.2</v>
      </c>
      <c r="CW112">
        <v>1393</v>
      </c>
      <c r="CX112">
        <v>848</v>
      </c>
      <c r="DD112">
        <v>0</v>
      </c>
      <c r="DE112" t="s">
        <v>622</v>
      </c>
      <c r="DF112">
        <v>610</v>
      </c>
      <c r="DG112">
        <v>3</v>
      </c>
      <c r="DH112">
        <v>0.88</v>
      </c>
      <c r="DI112">
        <v>1390</v>
      </c>
      <c r="DJ112">
        <v>970</v>
      </c>
      <c r="DK112" t="s">
        <v>622</v>
      </c>
      <c r="DL112">
        <v>505</v>
      </c>
      <c r="DM112">
        <v>3</v>
      </c>
      <c r="DN112">
        <v>0.88</v>
      </c>
      <c r="DO112">
        <v>1396</v>
      </c>
      <c r="DP112">
        <v>768</v>
      </c>
      <c r="DW112" t="s">
        <v>544</v>
      </c>
      <c r="DX112">
        <v>7.5</v>
      </c>
      <c r="EA112">
        <v>1464.3</v>
      </c>
      <c r="EB112">
        <v>276</v>
      </c>
      <c r="EC112" t="s">
        <v>545</v>
      </c>
      <c r="ED112">
        <v>45</v>
      </c>
      <c r="EE112">
        <v>3</v>
      </c>
      <c r="EG112">
        <v>1505</v>
      </c>
      <c r="EH112">
        <v>274</v>
      </c>
      <c r="EJ112">
        <v>0</v>
      </c>
      <c r="EK112">
        <v>1</v>
      </c>
      <c r="EN112">
        <v>0</v>
      </c>
      <c r="EP112" t="s">
        <v>546</v>
      </c>
      <c r="EQ112">
        <v>125</v>
      </c>
      <c r="ER112">
        <v>3</v>
      </c>
      <c r="ES112">
        <v>6</v>
      </c>
      <c r="ET112">
        <v>1381</v>
      </c>
      <c r="EU112">
        <v>556.1</v>
      </c>
      <c r="EV112">
        <v>768</v>
      </c>
      <c r="EW112" t="s">
        <v>547</v>
      </c>
      <c r="EX112">
        <v>70</v>
      </c>
      <c r="EY112">
        <v>2</v>
      </c>
      <c r="EZ112">
        <v>4.5</v>
      </c>
      <c r="FA112">
        <v>1381</v>
      </c>
      <c r="FB112">
        <v>215.4</v>
      </c>
      <c r="FC112">
        <v>297</v>
      </c>
      <c r="FE112">
        <v>0</v>
      </c>
      <c r="FF112">
        <v>2</v>
      </c>
      <c r="FI112">
        <v>0</v>
      </c>
      <c r="FK112" t="s">
        <v>548</v>
      </c>
      <c r="FL112">
        <v>0.4</v>
      </c>
      <c r="FM112">
        <v>110</v>
      </c>
      <c r="FN112">
        <v>140</v>
      </c>
      <c r="GR112" t="s">
        <v>548</v>
      </c>
      <c r="GS112">
        <v>0.4</v>
      </c>
      <c r="GT112">
        <v>30</v>
      </c>
      <c r="GU112">
        <v>420</v>
      </c>
      <c r="GV112">
        <v>30</v>
      </c>
      <c r="GW112">
        <v>270</v>
      </c>
      <c r="HC112">
        <v>0.1</v>
      </c>
      <c r="HD112">
        <v>3</v>
      </c>
      <c r="HE112">
        <v>3</v>
      </c>
      <c r="HF112">
        <v>3</v>
      </c>
      <c r="HG112">
        <v>3</v>
      </c>
      <c r="HH112">
        <v>3</v>
      </c>
      <c r="HI112">
        <v>180</v>
      </c>
      <c r="HJ112">
        <v>3</v>
      </c>
      <c r="HK112">
        <v>55</v>
      </c>
      <c r="HL112">
        <v>2</v>
      </c>
      <c r="HM112">
        <v>0</v>
      </c>
      <c r="HN112">
        <v>2</v>
      </c>
      <c r="HO112">
        <v>110</v>
      </c>
      <c r="HP112">
        <v>3</v>
      </c>
      <c r="HQ112">
        <v>0</v>
      </c>
      <c r="HR112">
        <v>2</v>
      </c>
      <c r="HS112">
        <v>5816</v>
      </c>
      <c r="HT112">
        <v>170</v>
      </c>
      <c r="HU112">
        <v>180</v>
      </c>
      <c r="HW112">
        <v>0</v>
      </c>
      <c r="HX112">
        <v>490</v>
      </c>
      <c r="HY112">
        <v>0.18</v>
      </c>
      <c r="IA112">
        <v>0.15</v>
      </c>
      <c r="IB112">
        <v>0</v>
      </c>
      <c r="IC112">
        <v>180</v>
      </c>
      <c r="ID112">
        <v>110</v>
      </c>
      <c r="IE112">
        <v>225</v>
      </c>
      <c r="IF112">
        <v>0</v>
      </c>
      <c r="IH112" t="s">
        <v>549</v>
      </c>
      <c r="IO112">
        <v>3</v>
      </c>
      <c r="IP112">
        <v>18</v>
      </c>
      <c r="IQ112">
        <v>0</v>
      </c>
      <c r="IR112">
        <v>1</v>
      </c>
      <c r="IV112">
        <v>1381</v>
      </c>
      <c r="IW112">
        <v>454</v>
      </c>
      <c r="JA112">
        <v>1</v>
      </c>
      <c r="JB112">
        <v>0</v>
      </c>
      <c r="JC112">
        <v>2</v>
      </c>
      <c r="JD112">
        <v>1393</v>
      </c>
      <c r="JE112">
        <v>1390</v>
      </c>
      <c r="JF112">
        <v>1396</v>
      </c>
      <c r="JG112">
        <v>1381</v>
      </c>
      <c r="JH112">
        <v>0</v>
      </c>
      <c r="JJ112">
        <v>180</v>
      </c>
      <c r="JK112">
        <v>490</v>
      </c>
      <c r="JN112">
        <v>430</v>
      </c>
      <c r="JO112">
        <v>610</v>
      </c>
      <c r="JP112">
        <v>505</v>
      </c>
      <c r="JQ112">
        <v>0</v>
      </c>
      <c r="JR112">
        <v>410</v>
      </c>
      <c r="JS112">
        <v>180</v>
      </c>
      <c r="JV112">
        <v>8</v>
      </c>
      <c r="JW112" t="s">
        <v>550</v>
      </c>
      <c r="JX112">
        <v>0</v>
      </c>
      <c r="KA112">
        <v>225</v>
      </c>
      <c r="KB112">
        <v>110</v>
      </c>
      <c r="KC112">
        <v>0</v>
      </c>
      <c r="KD112">
        <v>80</v>
      </c>
      <c r="KF112">
        <v>4</v>
      </c>
      <c r="KG112">
        <v>4</v>
      </c>
      <c r="KH112">
        <v>2</v>
      </c>
      <c r="KI112">
        <v>2</v>
      </c>
      <c r="KJ112">
        <v>0</v>
      </c>
      <c r="KK112">
        <v>1.5</v>
      </c>
      <c r="KL112">
        <v>1.5</v>
      </c>
      <c r="KM112">
        <v>0</v>
      </c>
      <c r="KN112">
        <v>0</v>
      </c>
      <c r="KO112">
        <v>0</v>
      </c>
      <c r="KR112">
        <v>30</v>
      </c>
      <c r="KS112">
        <v>60</v>
      </c>
      <c r="KT112">
        <v>0</v>
      </c>
      <c r="LK112">
        <v>480</v>
      </c>
      <c r="PG112">
        <v>1</v>
      </c>
      <c r="PI112" t="s">
        <v>1936</v>
      </c>
      <c r="PJ112" t="s">
        <v>1937</v>
      </c>
      <c r="PK112" t="s">
        <v>1938</v>
      </c>
      <c r="PL112" t="s">
        <v>885</v>
      </c>
      <c r="PP112" t="s">
        <v>1939</v>
      </c>
      <c r="PX112">
        <v>56</v>
      </c>
      <c r="PY112">
        <v>57</v>
      </c>
      <c r="PZ112" t="s">
        <v>1936</v>
      </c>
      <c r="QA112">
        <v>1</v>
      </c>
      <c r="QB112">
        <v>1381</v>
      </c>
      <c r="QC112">
        <v>69</v>
      </c>
      <c r="QD112">
        <v>69</v>
      </c>
      <c r="QE112" t="s">
        <v>885</v>
      </c>
      <c r="QF112">
        <v>1</v>
      </c>
      <c r="QG112">
        <v>1393</v>
      </c>
      <c r="QH112">
        <v>66</v>
      </c>
      <c r="QI112">
        <v>66</v>
      </c>
      <c r="QL112">
        <v>0</v>
      </c>
      <c r="QM112">
        <v>62</v>
      </c>
      <c r="QN112">
        <v>62</v>
      </c>
      <c r="QO112" t="s">
        <v>1937</v>
      </c>
      <c r="QP112">
        <v>1</v>
      </c>
      <c r="QQ112">
        <v>1390</v>
      </c>
      <c r="QR112">
        <v>62</v>
      </c>
      <c r="QS112">
        <v>62</v>
      </c>
      <c r="QT112" t="s">
        <v>1938</v>
      </c>
      <c r="QU112">
        <v>1</v>
      </c>
      <c r="QV112">
        <v>1396</v>
      </c>
      <c r="QW112">
        <v>82</v>
      </c>
      <c r="QX112">
        <v>88</v>
      </c>
      <c r="QY112" t="s">
        <v>1939</v>
      </c>
      <c r="QZ112">
        <v>1</v>
      </c>
      <c r="RA112">
        <v>66</v>
      </c>
      <c r="RB112">
        <v>66</v>
      </c>
      <c r="RE112">
        <v>0</v>
      </c>
      <c r="RF112">
        <v>1</v>
      </c>
      <c r="RH112">
        <v>1</v>
      </c>
      <c r="RJ112">
        <v>1</v>
      </c>
      <c r="RL112">
        <v>3</v>
      </c>
      <c r="RM112">
        <v>3</v>
      </c>
      <c r="RO112">
        <v>609</v>
      </c>
      <c r="RQ112">
        <v>698</v>
      </c>
      <c r="RR112">
        <v>550</v>
      </c>
      <c r="RT112">
        <v>276</v>
      </c>
      <c r="RU112">
        <v>274</v>
      </c>
      <c r="RV112" t="s">
        <v>845</v>
      </c>
      <c r="RW112" t="s">
        <v>679</v>
      </c>
      <c r="RX112">
        <v>15</v>
      </c>
      <c r="RY112">
        <v>4</v>
      </c>
      <c r="RZ112" t="s">
        <v>679</v>
      </c>
      <c r="SA112">
        <v>15</v>
      </c>
      <c r="SC112" t="s">
        <v>1937</v>
      </c>
      <c r="SD112">
        <v>1</v>
      </c>
      <c r="SF112" t="s">
        <v>1938</v>
      </c>
      <c r="SG112">
        <v>1</v>
      </c>
      <c r="SH112">
        <v>0.995</v>
      </c>
      <c r="SI112">
        <v>0.995</v>
      </c>
      <c r="SJ112">
        <v>0.995</v>
      </c>
      <c r="SK112">
        <v>15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Z112">
        <v>1</v>
      </c>
      <c r="TB112">
        <v>0</v>
      </c>
      <c r="TC112">
        <v>0</v>
      </c>
      <c r="TD112">
        <v>7.5</v>
      </c>
      <c r="TE112" t="s">
        <v>553</v>
      </c>
      <c r="TF112" t="s">
        <v>655</v>
      </c>
      <c r="TG112" t="s">
        <v>555</v>
      </c>
      <c r="TI112" t="s">
        <v>546</v>
      </c>
      <c r="TJ112" t="s">
        <v>547</v>
      </c>
      <c r="TL112" t="s">
        <v>1888</v>
      </c>
      <c r="TM112" t="s">
        <v>513</v>
      </c>
      <c r="TN112">
        <v>0</v>
      </c>
      <c r="TO112" t="s">
        <v>557</v>
      </c>
    </row>
    <row r="113" spans="1:535">
      <c r="A113" t="s">
        <v>1940</v>
      </c>
      <c r="B113" t="s">
        <v>804</v>
      </c>
      <c r="C113" t="s">
        <v>509</v>
      </c>
      <c r="D113" t="s">
        <v>1941</v>
      </c>
      <c r="G113" t="s">
        <v>1135</v>
      </c>
      <c r="I113" t="s">
        <v>562</v>
      </c>
      <c r="J113" t="s">
        <v>563</v>
      </c>
      <c r="L113" t="s">
        <v>512</v>
      </c>
      <c r="M113" t="s">
        <v>508</v>
      </c>
      <c r="N113" t="s">
        <v>513</v>
      </c>
      <c r="O113" t="s">
        <v>1942</v>
      </c>
      <c r="P113" t="s">
        <v>515</v>
      </c>
      <c r="Q113" t="s">
        <v>1943</v>
      </c>
      <c r="R113" t="s">
        <v>567</v>
      </c>
      <c r="S113" t="s">
        <v>684</v>
      </c>
      <c r="T113" t="s">
        <v>685</v>
      </c>
      <c r="U113" t="s">
        <v>686</v>
      </c>
      <c r="V113" t="s">
        <v>687</v>
      </c>
      <c r="W113" t="s">
        <v>1879</v>
      </c>
      <c r="X113" t="s">
        <v>1880</v>
      </c>
      <c r="Y113" t="s">
        <v>574</v>
      </c>
      <c r="Z113" t="s">
        <v>1944</v>
      </c>
      <c r="AA113" t="s">
        <v>1945</v>
      </c>
      <c r="AB113" t="s">
        <v>1946</v>
      </c>
      <c r="AC113">
        <v>2</v>
      </c>
      <c r="AD113">
        <v>56</v>
      </c>
      <c r="AE113">
        <v>217</v>
      </c>
      <c r="AF113">
        <v>1.5</v>
      </c>
      <c r="AH113">
        <v>0</v>
      </c>
      <c r="AI113" t="s">
        <v>1331</v>
      </c>
      <c r="AJ113">
        <v>197.5</v>
      </c>
      <c r="AK113">
        <v>1</v>
      </c>
      <c r="AL113">
        <v>1.5</v>
      </c>
      <c r="AM113" t="s">
        <v>579</v>
      </c>
      <c r="AN113" t="s">
        <v>693</v>
      </c>
      <c r="AO113">
        <v>2</v>
      </c>
      <c r="AP113" t="s">
        <v>581</v>
      </c>
      <c r="AQ113" t="s">
        <v>582</v>
      </c>
      <c r="AR113">
        <v>235</v>
      </c>
      <c r="AS113">
        <v>1.5</v>
      </c>
      <c r="AT113" t="s">
        <v>583</v>
      </c>
      <c r="AU113" t="s">
        <v>1947</v>
      </c>
      <c r="AW113" t="s">
        <v>1947</v>
      </c>
      <c r="AX113">
        <v>1</v>
      </c>
      <c r="AY113">
        <v>285</v>
      </c>
      <c r="AZ113">
        <v>1.5</v>
      </c>
      <c r="BA113" t="s">
        <v>579</v>
      </c>
      <c r="BB113" t="s">
        <v>1948</v>
      </c>
      <c r="BD113" t="s">
        <v>1948</v>
      </c>
      <c r="BE113">
        <v>1</v>
      </c>
      <c r="BF113">
        <v>245</v>
      </c>
      <c r="BG113">
        <v>1.5</v>
      </c>
      <c r="BJ113">
        <v>0</v>
      </c>
      <c r="BN113">
        <v>1.5</v>
      </c>
      <c r="BP113" t="s">
        <v>1451</v>
      </c>
      <c r="BQ113">
        <v>88</v>
      </c>
      <c r="BR113">
        <v>2</v>
      </c>
      <c r="BS113" t="s">
        <v>1304</v>
      </c>
      <c r="BT113">
        <v>216</v>
      </c>
      <c r="BU113">
        <v>0.5</v>
      </c>
      <c r="BV113" t="s">
        <v>1304</v>
      </c>
      <c r="BW113">
        <v>432</v>
      </c>
      <c r="BX113">
        <v>1</v>
      </c>
      <c r="BY113" t="s">
        <v>698</v>
      </c>
      <c r="BZ113">
        <v>470</v>
      </c>
      <c r="CA113">
        <v>550</v>
      </c>
      <c r="CB113" t="s">
        <v>699</v>
      </c>
      <c r="CC113" t="s">
        <v>699</v>
      </c>
      <c r="CD113">
        <v>446</v>
      </c>
      <c r="CE113" t="s">
        <v>700</v>
      </c>
      <c r="CF113">
        <v>15</v>
      </c>
      <c r="CG113" t="s">
        <v>1949</v>
      </c>
      <c r="CH113" t="s">
        <v>1949</v>
      </c>
      <c r="CI113">
        <v>40</v>
      </c>
      <c r="CJ113">
        <v>1458</v>
      </c>
      <c r="CK113">
        <v>2</v>
      </c>
      <c r="CL113">
        <v>1552</v>
      </c>
      <c r="CM113">
        <v>2</v>
      </c>
      <c r="CN113" t="s">
        <v>702</v>
      </c>
      <c r="CO113" t="s">
        <v>676</v>
      </c>
      <c r="CP113" t="s">
        <v>703</v>
      </c>
      <c r="CQ113" t="s">
        <v>596</v>
      </c>
      <c r="CR113" t="s">
        <v>541</v>
      </c>
      <c r="CS113" t="s">
        <v>542</v>
      </c>
      <c r="CT113">
        <v>395</v>
      </c>
      <c r="CU113">
        <v>5</v>
      </c>
      <c r="CV113">
        <v>1.2</v>
      </c>
      <c r="CW113">
        <v>1475</v>
      </c>
      <c r="CX113">
        <v>825</v>
      </c>
      <c r="CY113" t="s">
        <v>705</v>
      </c>
      <c r="CZ113">
        <v>50</v>
      </c>
      <c r="DA113">
        <v>3</v>
      </c>
      <c r="DB113">
        <v>1</v>
      </c>
      <c r="DC113">
        <v>1475</v>
      </c>
      <c r="DD113">
        <v>77</v>
      </c>
      <c r="DE113" t="s">
        <v>622</v>
      </c>
      <c r="DF113">
        <v>570</v>
      </c>
      <c r="DG113">
        <v>3</v>
      </c>
      <c r="DH113">
        <v>0.88</v>
      </c>
      <c r="DI113">
        <v>1467</v>
      </c>
      <c r="DJ113">
        <v>999</v>
      </c>
      <c r="DK113" t="s">
        <v>622</v>
      </c>
      <c r="DL113">
        <v>490</v>
      </c>
      <c r="DM113">
        <v>3</v>
      </c>
      <c r="DN113">
        <v>0.88</v>
      </c>
      <c r="DO113">
        <v>1472</v>
      </c>
      <c r="DP113">
        <v>829</v>
      </c>
      <c r="DW113" t="s">
        <v>544</v>
      </c>
      <c r="DX113">
        <v>7.5</v>
      </c>
      <c r="EA113">
        <v>1544.1</v>
      </c>
      <c r="EB113">
        <v>273</v>
      </c>
      <c r="EC113" t="s">
        <v>545</v>
      </c>
      <c r="ED113">
        <v>40</v>
      </c>
      <c r="EE113">
        <v>3</v>
      </c>
      <c r="EG113">
        <v>1585</v>
      </c>
      <c r="EH113">
        <v>254</v>
      </c>
      <c r="EJ113">
        <v>0</v>
      </c>
      <c r="EK113">
        <v>1</v>
      </c>
      <c r="EN113">
        <v>0</v>
      </c>
      <c r="EP113" t="s">
        <v>546</v>
      </c>
      <c r="EQ113">
        <v>120</v>
      </c>
      <c r="ER113">
        <v>3</v>
      </c>
      <c r="ES113">
        <v>5</v>
      </c>
      <c r="ET113">
        <v>1451</v>
      </c>
      <c r="EU113">
        <v>488.3</v>
      </c>
      <c r="EV113">
        <v>709</v>
      </c>
      <c r="EW113" t="s">
        <v>547</v>
      </c>
      <c r="EX113">
        <v>45</v>
      </c>
      <c r="EY113">
        <v>2</v>
      </c>
      <c r="EZ113">
        <v>4.3</v>
      </c>
      <c r="FA113">
        <v>1451</v>
      </c>
      <c r="FB113">
        <v>135.2</v>
      </c>
      <c r="FC113">
        <v>196</v>
      </c>
      <c r="FE113">
        <v>0</v>
      </c>
      <c r="FF113">
        <v>2</v>
      </c>
      <c r="FI113">
        <v>0</v>
      </c>
      <c r="FK113" t="s">
        <v>548</v>
      </c>
      <c r="FL113">
        <v>0.4</v>
      </c>
      <c r="FM113">
        <v>45</v>
      </c>
      <c r="FN113">
        <v>370</v>
      </c>
      <c r="FO113">
        <v>90</v>
      </c>
      <c r="FP113">
        <v>140</v>
      </c>
      <c r="GR113" t="s">
        <v>548</v>
      </c>
      <c r="GS113">
        <v>0.6</v>
      </c>
      <c r="GT113">
        <v>30</v>
      </c>
      <c r="GU113">
        <v>390</v>
      </c>
      <c r="GV113">
        <v>30</v>
      </c>
      <c r="GW113">
        <v>270</v>
      </c>
      <c r="HC113">
        <v>0.1</v>
      </c>
      <c r="HD113">
        <v>3</v>
      </c>
      <c r="HE113">
        <v>3</v>
      </c>
      <c r="HF113">
        <v>3</v>
      </c>
      <c r="HG113">
        <v>3</v>
      </c>
      <c r="HH113">
        <v>3</v>
      </c>
      <c r="HI113">
        <v>150</v>
      </c>
      <c r="HJ113">
        <v>3</v>
      </c>
      <c r="HK113">
        <v>30</v>
      </c>
      <c r="HL113">
        <v>2</v>
      </c>
      <c r="HM113">
        <v>0</v>
      </c>
      <c r="HN113">
        <v>2</v>
      </c>
      <c r="HO113">
        <v>105</v>
      </c>
      <c r="HP113">
        <v>3</v>
      </c>
      <c r="HQ113">
        <v>0</v>
      </c>
      <c r="HR113">
        <v>2</v>
      </c>
      <c r="HS113">
        <v>5671</v>
      </c>
      <c r="HT113">
        <v>170</v>
      </c>
      <c r="HU113">
        <v>180</v>
      </c>
      <c r="HW113">
        <v>0</v>
      </c>
      <c r="HX113">
        <v>435</v>
      </c>
      <c r="HY113">
        <v>0.18</v>
      </c>
      <c r="IA113">
        <v>0.15</v>
      </c>
      <c r="IB113">
        <v>0</v>
      </c>
      <c r="IC113">
        <v>180</v>
      </c>
      <c r="ID113">
        <v>110</v>
      </c>
      <c r="IE113">
        <v>225</v>
      </c>
      <c r="IF113">
        <v>0</v>
      </c>
      <c r="IH113" t="s">
        <v>549</v>
      </c>
      <c r="IO113">
        <v>3</v>
      </c>
      <c r="IP113">
        <v>19</v>
      </c>
      <c r="IQ113">
        <v>0</v>
      </c>
      <c r="IR113">
        <v>0</v>
      </c>
      <c r="IV113">
        <v>1458</v>
      </c>
      <c r="IW113">
        <v>432</v>
      </c>
      <c r="IY113">
        <v>470</v>
      </c>
      <c r="JA113">
        <v>1</v>
      </c>
      <c r="JB113">
        <v>0</v>
      </c>
      <c r="JC113">
        <v>2</v>
      </c>
      <c r="JD113">
        <v>1475</v>
      </c>
      <c r="JE113">
        <v>1467</v>
      </c>
      <c r="JF113">
        <v>1472</v>
      </c>
      <c r="JG113">
        <v>1451</v>
      </c>
      <c r="JH113">
        <v>0</v>
      </c>
      <c r="JJ113">
        <v>180</v>
      </c>
      <c r="JK113">
        <v>435</v>
      </c>
      <c r="JN113">
        <v>395</v>
      </c>
      <c r="JO113">
        <v>570</v>
      </c>
      <c r="JP113">
        <v>490</v>
      </c>
      <c r="JQ113">
        <v>0</v>
      </c>
      <c r="JR113">
        <v>434</v>
      </c>
      <c r="JS113">
        <v>150</v>
      </c>
      <c r="JV113">
        <v>8</v>
      </c>
      <c r="JW113" t="s">
        <v>550</v>
      </c>
      <c r="JX113">
        <v>470</v>
      </c>
      <c r="KA113">
        <v>225</v>
      </c>
      <c r="KB113">
        <v>110</v>
      </c>
      <c r="KC113">
        <v>0</v>
      </c>
      <c r="KD113">
        <v>80</v>
      </c>
      <c r="KF113">
        <v>4</v>
      </c>
      <c r="KG113">
        <v>2</v>
      </c>
      <c r="KH113">
        <v>2</v>
      </c>
      <c r="KI113">
        <v>2</v>
      </c>
      <c r="KJ113">
        <v>0</v>
      </c>
      <c r="KK113">
        <v>1.5</v>
      </c>
      <c r="KL113">
        <v>1.5</v>
      </c>
      <c r="KM113">
        <v>0</v>
      </c>
      <c r="KN113">
        <v>0</v>
      </c>
      <c r="KO113">
        <v>0</v>
      </c>
      <c r="KR113">
        <v>30</v>
      </c>
      <c r="KS113">
        <v>60</v>
      </c>
      <c r="KT113">
        <v>0</v>
      </c>
      <c r="LK113">
        <v>480</v>
      </c>
      <c r="PG113">
        <v>1</v>
      </c>
      <c r="PI113" t="s">
        <v>1946</v>
      </c>
      <c r="PJ113" t="s">
        <v>1947</v>
      </c>
      <c r="PK113" t="s">
        <v>1948</v>
      </c>
      <c r="PL113" t="s">
        <v>1331</v>
      </c>
      <c r="PP113" t="s">
        <v>1451</v>
      </c>
      <c r="PS113" t="s">
        <v>693</v>
      </c>
      <c r="PX113">
        <v>56</v>
      </c>
      <c r="PY113">
        <v>56</v>
      </c>
      <c r="PZ113" t="s">
        <v>1946</v>
      </c>
      <c r="QA113">
        <v>1</v>
      </c>
      <c r="QB113">
        <v>1451</v>
      </c>
      <c r="QC113">
        <v>69</v>
      </c>
      <c r="QD113">
        <v>69</v>
      </c>
      <c r="QE113" t="s">
        <v>1331</v>
      </c>
      <c r="QF113">
        <v>1</v>
      </c>
      <c r="QG113">
        <v>1475</v>
      </c>
      <c r="QH113">
        <v>66</v>
      </c>
      <c r="QI113">
        <v>66</v>
      </c>
      <c r="QJ113" t="s">
        <v>693</v>
      </c>
      <c r="QK113">
        <v>1</v>
      </c>
      <c r="QL113">
        <v>1475</v>
      </c>
      <c r="QM113">
        <v>62</v>
      </c>
      <c r="QN113">
        <v>62</v>
      </c>
      <c r="QO113" t="s">
        <v>1947</v>
      </c>
      <c r="QP113">
        <v>1</v>
      </c>
      <c r="QQ113">
        <v>1467</v>
      </c>
      <c r="QR113">
        <v>62</v>
      </c>
      <c r="QS113">
        <v>62</v>
      </c>
      <c r="QT113" t="s">
        <v>1948</v>
      </c>
      <c r="QU113">
        <v>1</v>
      </c>
      <c r="QV113">
        <v>1472</v>
      </c>
      <c r="QW113">
        <v>82</v>
      </c>
      <c r="QX113">
        <v>88</v>
      </c>
      <c r="QY113" t="s">
        <v>1451</v>
      </c>
      <c r="QZ113">
        <v>1</v>
      </c>
      <c r="RA113">
        <v>66</v>
      </c>
      <c r="RB113">
        <v>66</v>
      </c>
      <c r="RE113">
        <v>0</v>
      </c>
      <c r="RF113">
        <v>1</v>
      </c>
      <c r="RH113">
        <v>1</v>
      </c>
      <c r="RJ113">
        <v>1</v>
      </c>
      <c r="RK113">
        <v>2</v>
      </c>
      <c r="RL113">
        <v>4</v>
      </c>
      <c r="RM113">
        <v>4</v>
      </c>
      <c r="RO113">
        <v>559</v>
      </c>
      <c r="RP113">
        <v>105</v>
      </c>
      <c r="RQ113">
        <v>681</v>
      </c>
      <c r="RR113">
        <v>563</v>
      </c>
      <c r="RT113">
        <v>273</v>
      </c>
      <c r="RU113">
        <v>254</v>
      </c>
      <c r="RV113" t="s">
        <v>1305</v>
      </c>
      <c r="RW113" t="s">
        <v>707</v>
      </c>
      <c r="RX113">
        <v>15</v>
      </c>
      <c r="RY113">
        <v>4</v>
      </c>
      <c r="RZ113" t="s">
        <v>707</v>
      </c>
      <c r="SA113">
        <v>15</v>
      </c>
      <c r="SC113" t="s">
        <v>1947</v>
      </c>
      <c r="SD113">
        <v>1</v>
      </c>
      <c r="SF113" t="s">
        <v>1948</v>
      </c>
      <c r="SG113">
        <v>1</v>
      </c>
      <c r="SH113">
        <v>0.995</v>
      </c>
      <c r="SI113">
        <v>0.995</v>
      </c>
      <c r="SJ113">
        <v>0.995</v>
      </c>
      <c r="SK113">
        <v>15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1</v>
      </c>
      <c r="SZ113">
        <v>1</v>
      </c>
      <c r="TB113">
        <v>0</v>
      </c>
      <c r="TC113">
        <v>0</v>
      </c>
      <c r="TD113">
        <v>7.5</v>
      </c>
      <c r="TE113" t="s">
        <v>553</v>
      </c>
      <c r="TF113" t="s">
        <v>624</v>
      </c>
      <c r="TG113" t="s">
        <v>555</v>
      </c>
      <c r="TI113" t="s">
        <v>546</v>
      </c>
      <c r="TJ113" t="s">
        <v>547</v>
      </c>
      <c r="TL113" t="s">
        <v>1888</v>
      </c>
      <c r="TM113" t="s">
        <v>513</v>
      </c>
      <c r="TN113">
        <v>0</v>
      </c>
      <c r="TO113" t="s">
        <v>557</v>
      </c>
    </row>
    <row r="114" spans="1:535">
      <c r="A114" t="s">
        <v>1950</v>
      </c>
      <c r="B114" t="s">
        <v>804</v>
      </c>
      <c r="C114" t="s">
        <v>509</v>
      </c>
      <c r="D114" t="s">
        <v>1951</v>
      </c>
      <c r="G114" t="s">
        <v>1135</v>
      </c>
      <c r="I114" t="s">
        <v>562</v>
      </c>
      <c r="J114" t="s">
        <v>563</v>
      </c>
      <c r="L114" t="s">
        <v>512</v>
      </c>
      <c r="M114" t="s">
        <v>508</v>
      </c>
      <c r="N114" t="s">
        <v>513</v>
      </c>
      <c r="O114" t="s">
        <v>1255</v>
      </c>
      <c r="P114" t="s">
        <v>515</v>
      </c>
      <c r="Q114" t="s">
        <v>1952</v>
      </c>
      <c r="R114" t="s">
        <v>567</v>
      </c>
      <c r="S114" t="s">
        <v>1326</v>
      </c>
      <c r="T114" t="s">
        <v>1327</v>
      </c>
      <c r="U114" t="s">
        <v>570</v>
      </c>
      <c r="V114" t="s">
        <v>571</v>
      </c>
      <c r="W114" t="s">
        <v>1879</v>
      </c>
      <c r="X114" t="s">
        <v>1880</v>
      </c>
      <c r="Y114" t="s">
        <v>574</v>
      </c>
      <c r="Z114" t="s">
        <v>1953</v>
      </c>
      <c r="AA114" t="s">
        <v>1954</v>
      </c>
      <c r="AB114" t="s">
        <v>1955</v>
      </c>
      <c r="AC114">
        <v>2</v>
      </c>
      <c r="AD114">
        <v>57</v>
      </c>
      <c r="AE114">
        <v>223</v>
      </c>
      <c r="AF114">
        <v>1.5</v>
      </c>
      <c r="AH114">
        <v>0</v>
      </c>
      <c r="AI114" t="s">
        <v>812</v>
      </c>
      <c r="AJ114">
        <v>205</v>
      </c>
      <c r="AK114">
        <v>1</v>
      </c>
      <c r="AL114">
        <v>1.5</v>
      </c>
      <c r="AM114" t="s">
        <v>579</v>
      </c>
      <c r="AN114" t="s">
        <v>795</v>
      </c>
      <c r="AO114">
        <v>2</v>
      </c>
      <c r="AP114" t="s">
        <v>581</v>
      </c>
      <c r="AQ114" t="s">
        <v>582</v>
      </c>
      <c r="AR114">
        <v>253</v>
      </c>
      <c r="AS114">
        <v>1.5</v>
      </c>
      <c r="AT114" t="s">
        <v>583</v>
      </c>
      <c r="AU114" t="s">
        <v>1956</v>
      </c>
      <c r="AW114" t="s">
        <v>1956</v>
      </c>
      <c r="AX114">
        <v>1</v>
      </c>
      <c r="AY114">
        <v>287.5</v>
      </c>
      <c r="AZ114">
        <v>1.5</v>
      </c>
      <c r="BA114" t="s">
        <v>579</v>
      </c>
      <c r="BB114" t="s">
        <v>1957</v>
      </c>
      <c r="BD114" t="s">
        <v>1957</v>
      </c>
      <c r="BE114">
        <v>1</v>
      </c>
      <c r="BF114">
        <v>250</v>
      </c>
      <c r="BG114">
        <v>1.5</v>
      </c>
      <c r="BJ114">
        <v>0</v>
      </c>
      <c r="BN114">
        <v>1.5</v>
      </c>
      <c r="BP114" t="s">
        <v>1885</v>
      </c>
      <c r="BQ114" t="s">
        <v>587</v>
      </c>
      <c r="BR114">
        <v>2</v>
      </c>
      <c r="BS114" t="s">
        <v>1886</v>
      </c>
      <c r="BT114">
        <v>221</v>
      </c>
      <c r="BU114">
        <v>0.5</v>
      </c>
      <c r="BV114" t="s">
        <v>1886</v>
      </c>
      <c r="BW114">
        <v>442</v>
      </c>
      <c r="BX114">
        <v>1</v>
      </c>
      <c r="BY114" t="s">
        <v>589</v>
      </c>
      <c r="BZ114">
        <v>470</v>
      </c>
      <c r="CA114">
        <v>570</v>
      </c>
      <c r="CB114" t="s">
        <v>590</v>
      </c>
      <c r="CC114" t="s">
        <v>590</v>
      </c>
      <c r="CD114">
        <v>480</v>
      </c>
      <c r="CE114" t="s">
        <v>591</v>
      </c>
      <c r="CF114">
        <v>15</v>
      </c>
      <c r="CG114" t="s">
        <v>1958</v>
      </c>
      <c r="CH114" t="s">
        <v>1958</v>
      </c>
      <c r="CI114">
        <v>50</v>
      </c>
      <c r="CJ114">
        <v>1538</v>
      </c>
      <c r="CK114">
        <v>2</v>
      </c>
      <c r="CL114">
        <v>1632</v>
      </c>
      <c r="CM114">
        <v>2</v>
      </c>
      <c r="CN114" t="s">
        <v>593</v>
      </c>
      <c r="CO114" t="s">
        <v>594</v>
      </c>
      <c r="CP114" t="s">
        <v>595</v>
      </c>
      <c r="CQ114" t="s">
        <v>596</v>
      </c>
      <c r="CR114" t="s">
        <v>541</v>
      </c>
      <c r="CS114" t="s">
        <v>542</v>
      </c>
      <c r="CT114">
        <v>410</v>
      </c>
      <c r="CU114">
        <v>5</v>
      </c>
      <c r="CV114">
        <v>1.2</v>
      </c>
      <c r="CW114">
        <v>1554</v>
      </c>
      <c r="CX114">
        <v>903</v>
      </c>
      <c r="CY114" t="s">
        <v>705</v>
      </c>
      <c r="CZ114">
        <v>60</v>
      </c>
      <c r="DA114">
        <v>3</v>
      </c>
      <c r="DB114">
        <v>1</v>
      </c>
      <c r="DC114">
        <v>1554</v>
      </c>
      <c r="DD114">
        <v>97</v>
      </c>
      <c r="DE114" t="s">
        <v>622</v>
      </c>
      <c r="DF114">
        <v>575</v>
      </c>
      <c r="DG114">
        <v>3</v>
      </c>
      <c r="DH114">
        <v>0.88</v>
      </c>
      <c r="DI114">
        <v>1547</v>
      </c>
      <c r="DJ114">
        <v>1055</v>
      </c>
      <c r="DK114" t="s">
        <v>622</v>
      </c>
      <c r="DL114">
        <v>500</v>
      </c>
      <c r="DM114">
        <v>3</v>
      </c>
      <c r="DN114">
        <v>0.88</v>
      </c>
      <c r="DO114">
        <v>1552</v>
      </c>
      <c r="DP114">
        <v>889</v>
      </c>
      <c r="DW114" t="s">
        <v>544</v>
      </c>
      <c r="DX114">
        <v>9.4</v>
      </c>
      <c r="EA114">
        <v>1623.8</v>
      </c>
      <c r="EB114">
        <v>381</v>
      </c>
      <c r="EC114" t="s">
        <v>545</v>
      </c>
      <c r="ED114">
        <v>35</v>
      </c>
      <c r="EE114">
        <v>3</v>
      </c>
      <c r="EG114">
        <v>1665</v>
      </c>
      <c r="EH114">
        <v>298</v>
      </c>
      <c r="EJ114">
        <v>0</v>
      </c>
      <c r="EK114">
        <v>1</v>
      </c>
      <c r="EN114">
        <v>0</v>
      </c>
      <c r="EP114" t="s">
        <v>546</v>
      </c>
      <c r="EQ114">
        <v>105</v>
      </c>
      <c r="ER114">
        <v>3</v>
      </c>
      <c r="ES114">
        <v>5.5</v>
      </c>
      <c r="ET114">
        <v>1534</v>
      </c>
      <c r="EU114">
        <v>435.3</v>
      </c>
      <c r="EV114">
        <v>668</v>
      </c>
      <c r="EW114" t="s">
        <v>547</v>
      </c>
      <c r="EX114">
        <v>45</v>
      </c>
      <c r="EY114">
        <v>2</v>
      </c>
      <c r="EZ114">
        <v>4.5</v>
      </c>
      <c r="FA114">
        <v>1534</v>
      </c>
      <c r="FB114">
        <v>138.3</v>
      </c>
      <c r="FC114">
        <v>212</v>
      </c>
      <c r="FE114">
        <v>0</v>
      </c>
      <c r="FF114">
        <v>2</v>
      </c>
      <c r="FI114">
        <v>0</v>
      </c>
      <c r="FK114" t="s">
        <v>548</v>
      </c>
      <c r="FL114">
        <v>0.4</v>
      </c>
      <c r="FM114">
        <v>50</v>
      </c>
      <c r="FN114">
        <v>380</v>
      </c>
      <c r="FO114">
        <v>80</v>
      </c>
      <c r="FP114">
        <v>160</v>
      </c>
      <c r="GR114" t="s">
        <v>548</v>
      </c>
      <c r="GS114">
        <v>0.6</v>
      </c>
      <c r="GT114">
        <v>30</v>
      </c>
      <c r="GU114">
        <v>400</v>
      </c>
      <c r="GV114">
        <v>30</v>
      </c>
      <c r="GW114">
        <v>280</v>
      </c>
      <c r="HC114">
        <v>0.1</v>
      </c>
      <c r="HD114">
        <v>3</v>
      </c>
      <c r="HE114">
        <v>3</v>
      </c>
      <c r="HF114">
        <v>3</v>
      </c>
      <c r="HG114">
        <v>3</v>
      </c>
      <c r="HH114">
        <v>3</v>
      </c>
      <c r="HI114">
        <v>135</v>
      </c>
      <c r="HJ114">
        <v>3</v>
      </c>
      <c r="HK114">
        <v>30</v>
      </c>
      <c r="HL114">
        <v>2</v>
      </c>
      <c r="HM114">
        <v>0</v>
      </c>
      <c r="HN114">
        <v>2</v>
      </c>
      <c r="HO114">
        <v>90</v>
      </c>
      <c r="HP114">
        <v>3</v>
      </c>
      <c r="HQ114">
        <v>0</v>
      </c>
      <c r="HR114">
        <v>2</v>
      </c>
      <c r="HS114">
        <v>6159</v>
      </c>
      <c r="HT114">
        <v>180</v>
      </c>
      <c r="HU114">
        <v>180</v>
      </c>
      <c r="HW114">
        <v>0</v>
      </c>
      <c r="HX114">
        <v>450</v>
      </c>
      <c r="HY114">
        <v>0.18</v>
      </c>
      <c r="IA114">
        <v>0.15</v>
      </c>
      <c r="IB114">
        <v>0</v>
      </c>
      <c r="IC114">
        <v>180</v>
      </c>
      <c r="ID114">
        <v>110</v>
      </c>
      <c r="IE114">
        <v>225</v>
      </c>
      <c r="IF114">
        <v>0</v>
      </c>
      <c r="IH114" t="s">
        <v>549</v>
      </c>
      <c r="IO114">
        <v>3</v>
      </c>
      <c r="IP114">
        <v>20</v>
      </c>
      <c r="IQ114">
        <v>0</v>
      </c>
      <c r="IR114">
        <v>0</v>
      </c>
      <c r="IV114">
        <v>1538</v>
      </c>
      <c r="IW114">
        <v>442</v>
      </c>
      <c r="JA114">
        <v>1</v>
      </c>
      <c r="JB114">
        <v>0</v>
      </c>
      <c r="JC114">
        <v>2</v>
      </c>
      <c r="JD114">
        <v>1554</v>
      </c>
      <c r="JE114">
        <v>1547</v>
      </c>
      <c r="JF114">
        <v>1552</v>
      </c>
      <c r="JG114">
        <v>1534</v>
      </c>
      <c r="JH114">
        <v>0</v>
      </c>
      <c r="JJ114">
        <v>180</v>
      </c>
      <c r="JK114">
        <v>450</v>
      </c>
      <c r="JN114">
        <v>410</v>
      </c>
      <c r="JO114">
        <v>575</v>
      </c>
      <c r="JP114">
        <v>500</v>
      </c>
      <c r="JQ114">
        <v>0</v>
      </c>
      <c r="JR114">
        <v>446</v>
      </c>
      <c r="JS114">
        <v>135</v>
      </c>
      <c r="JV114">
        <v>10</v>
      </c>
      <c r="JW114" t="s">
        <v>550</v>
      </c>
      <c r="JX114">
        <v>506</v>
      </c>
      <c r="KA114">
        <v>225</v>
      </c>
      <c r="KB114">
        <v>110</v>
      </c>
      <c r="KC114">
        <v>0</v>
      </c>
      <c r="KD114">
        <v>80</v>
      </c>
      <c r="KF114">
        <v>4</v>
      </c>
      <c r="KG114">
        <v>2</v>
      </c>
      <c r="KH114">
        <v>2</v>
      </c>
      <c r="KI114">
        <v>2</v>
      </c>
      <c r="KJ114">
        <v>0</v>
      </c>
      <c r="KK114">
        <v>1.5</v>
      </c>
      <c r="KL114">
        <v>1.5</v>
      </c>
      <c r="KM114">
        <v>0</v>
      </c>
      <c r="KN114">
        <v>0</v>
      </c>
      <c r="KO114">
        <v>0</v>
      </c>
      <c r="KR114">
        <v>30</v>
      </c>
      <c r="KS114">
        <v>60</v>
      </c>
      <c r="KT114">
        <v>0</v>
      </c>
      <c r="LK114">
        <v>480</v>
      </c>
      <c r="PG114">
        <v>1</v>
      </c>
      <c r="PI114" t="s">
        <v>1955</v>
      </c>
      <c r="PJ114" t="s">
        <v>1956</v>
      </c>
      <c r="PK114" t="s">
        <v>1957</v>
      </c>
      <c r="PL114" t="s">
        <v>812</v>
      </c>
      <c r="PP114" t="s">
        <v>1885</v>
      </c>
      <c r="PS114" t="s">
        <v>795</v>
      </c>
      <c r="PX114">
        <v>56</v>
      </c>
      <c r="PY114">
        <v>57</v>
      </c>
      <c r="PZ114" t="s">
        <v>1955</v>
      </c>
      <c r="QA114">
        <v>2</v>
      </c>
      <c r="QB114">
        <v>1534</v>
      </c>
      <c r="QC114">
        <v>69</v>
      </c>
      <c r="QD114">
        <v>69</v>
      </c>
      <c r="QE114" t="s">
        <v>812</v>
      </c>
      <c r="QF114">
        <v>1</v>
      </c>
      <c r="QG114">
        <v>1554</v>
      </c>
      <c r="QH114">
        <v>66</v>
      </c>
      <c r="QI114">
        <v>66</v>
      </c>
      <c r="QJ114" t="s">
        <v>795</v>
      </c>
      <c r="QK114">
        <v>1</v>
      </c>
      <c r="QL114">
        <v>1554</v>
      </c>
      <c r="QM114">
        <v>62</v>
      </c>
      <c r="QN114">
        <v>62</v>
      </c>
      <c r="QO114" t="s">
        <v>1956</v>
      </c>
      <c r="QP114">
        <v>1</v>
      </c>
      <c r="QQ114">
        <v>1547</v>
      </c>
      <c r="QR114">
        <v>62</v>
      </c>
      <c r="QS114">
        <v>62</v>
      </c>
      <c r="QT114" t="s">
        <v>1957</v>
      </c>
      <c r="QU114">
        <v>1</v>
      </c>
      <c r="QV114">
        <v>1552</v>
      </c>
      <c r="QW114">
        <v>82</v>
      </c>
      <c r="QX114" t="s">
        <v>587</v>
      </c>
      <c r="QY114" t="s">
        <v>1885</v>
      </c>
      <c r="QZ114">
        <v>3</v>
      </c>
      <c r="RA114">
        <v>66</v>
      </c>
      <c r="RB114">
        <v>66</v>
      </c>
      <c r="RE114">
        <v>0</v>
      </c>
      <c r="RF114">
        <v>1</v>
      </c>
      <c r="RH114">
        <v>1</v>
      </c>
      <c r="RJ114">
        <v>1</v>
      </c>
      <c r="RK114">
        <v>2</v>
      </c>
      <c r="RL114">
        <v>4</v>
      </c>
      <c r="RM114">
        <v>4</v>
      </c>
      <c r="RO114">
        <v>581</v>
      </c>
      <c r="RP114">
        <v>125</v>
      </c>
      <c r="RQ114">
        <v>682</v>
      </c>
      <c r="RR114">
        <v>573</v>
      </c>
      <c r="RT114">
        <v>381</v>
      </c>
      <c r="RU114">
        <v>298</v>
      </c>
      <c r="RV114" t="s">
        <v>1887</v>
      </c>
      <c r="RW114" t="s">
        <v>599</v>
      </c>
      <c r="RX114">
        <v>15</v>
      </c>
      <c r="RY114">
        <v>4</v>
      </c>
      <c r="RZ114" t="s">
        <v>599</v>
      </c>
      <c r="SA114">
        <v>15</v>
      </c>
      <c r="SC114" t="s">
        <v>1956</v>
      </c>
      <c r="SD114">
        <v>1</v>
      </c>
      <c r="SF114" t="s">
        <v>1957</v>
      </c>
      <c r="SG114">
        <v>1</v>
      </c>
      <c r="SH114">
        <v>0.995</v>
      </c>
      <c r="SI114">
        <v>0.995</v>
      </c>
      <c r="SJ114">
        <v>0.995</v>
      </c>
      <c r="SK114">
        <v>15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1</v>
      </c>
      <c r="SZ114">
        <v>1</v>
      </c>
      <c r="TB114">
        <v>0</v>
      </c>
      <c r="TC114">
        <v>0</v>
      </c>
      <c r="TD114">
        <v>9.4</v>
      </c>
      <c r="TE114" t="s">
        <v>553</v>
      </c>
      <c r="TF114" t="s">
        <v>600</v>
      </c>
      <c r="TG114" t="s">
        <v>555</v>
      </c>
      <c r="TI114" t="s">
        <v>546</v>
      </c>
      <c r="TJ114" t="s">
        <v>547</v>
      </c>
      <c r="TL114" t="s">
        <v>1888</v>
      </c>
      <c r="TM114" t="s">
        <v>513</v>
      </c>
      <c r="TN114">
        <v>0</v>
      </c>
      <c r="TO114" t="s">
        <v>601</v>
      </c>
    </row>
    <row r="115" spans="1:535">
      <c r="A115" t="s">
        <v>1959</v>
      </c>
      <c r="B115" t="s">
        <v>1960</v>
      </c>
      <c r="C115" t="s">
        <v>509</v>
      </c>
      <c r="D115" t="s">
        <v>1199</v>
      </c>
      <c r="G115" t="s">
        <v>627</v>
      </c>
      <c r="H115" t="s">
        <v>605</v>
      </c>
      <c r="I115" t="s">
        <v>628</v>
      </c>
      <c r="J115" t="s">
        <v>606</v>
      </c>
      <c r="L115" t="s">
        <v>512</v>
      </c>
      <c r="M115" t="s">
        <v>1453</v>
      </c>
      <c r="N115" t="s">
        <v>513</v>
      </c>
      <c r="O115" t="s">
        <v>607</v>
      </c>
      <c r="Q115" t="s">
        <v>1961</v>
      </c>
      <c r="R115" t="s">
        <v>567</v>
      </c>
      <c r="S115" t="s">
        <v>1455</v>
      </c>
      <c r="T115" t="s">
        <v>1456</v>
      </c>
      <c r="U115" t="s">
        <v>1457</v>
      </c>
      <c r="V115" t="s">
        <v>1458</v>
      </c>
      <c r="W115" t="s">
        <v>1962</v>
      </c>
      <c r="X115" t="s">
        <v>1880</v>
      </c>
      <c r="Y115" t="s">
        <v>524</v>
      </c>
      <c r="Z115" t="s">
        <v>1963</v>
      </c>
      <c r="AA115" t="s">
        <v>1964</v>
      </c>
      <c r="AB115" t="s">
        <v>1965</v>
      </c>
      <c r="AC115">
        <v>2</v>
      </c>
      <c r="AD115">
        <v>57</v>
      </c>
      <c r="AE115">
        <v>152</v>
      </c>
      <c r="AF115">
        <v>1.5</v>
      </c>
      <c r="AH115">
        <v>0</v>
      </c>
      <c r="AI115" t="s">
        <v>1359</v>
      </c>
      <c r="AJ115">
        <v>162.5</v>
      </c>
      <c r="AK115">
        <v>1</v>
      </c>
      <c r="AL115">
        <v>1.5</v>
      </c>
      <c r="AM115" t="s">
        <v>529</v>
      </c>
      <c r="AO115">
        <v>0</v>
      </c>
      <c r="AR115">
        <v>0</v>
      </c>
      <c r="AS115">
        <v>1.5</v>
      </c>
      <c r="AU115" t="s">
        <v>1966</v>
      </c>
      <c r="AW115" t="s">
        <v>1966</v>
      </c>
      <c r="AX115">
        <v>1</v>
      </c>
      <c r="AY115">
        <v>230</v>
      </c>
      <c r="AZ115">
        <v>1.5</v>
      </c>
      <c r="BA115" t="s">
        <v>529</v>
      </c>
      <c r="BG115">
        <v>1.5</v>
      </c>
      <c r="BJ115">
        <v>0</v>
      </c>
      <c r="BN115">
        <v>1.5</v>
      </c>
      <c r="BP115" t="s">
        <v>1967</v>
      </c>
      <c r="BQ115">
        <v>83</v>
      </c>
      <c r="BR115">
        <v>2</v>
      </c>
      <c r="BS115" t="s">
        <v>1898</v>
      </c>
      <c r="BT115">
        <v>175</v>
      </c>
      <c r="BU115">
        <v>0.5</v>
      </c>
      <c r="BV115" t="s">
        <v>1898</v>
      </c>
      <c r="BW115">
        <v>350</v>
      </c>
      <c r="BX115">
        <v>1</v>
      </c>
      <c r="BY115" t="s">
        <v>1468</v>
      </c>
      <c r="BZ115">
        <v>300</v>
      </c>
      <c r="CA115">
        <v>460</v>
      </c>
      <c r="CB115" t="s">
        <v>1469</v>
      </c>
      <c r="CC115" t="s">
        <v>1469</v>
      </c>
      <c r="CD115">
        <v>360</v>
      </c>
      <c r="CE115" t="s">
        <v>1470</v>
      </c>
      <c r="CF115">
        <v>15</v>
      </c>
      <c r="CG115" t="s">
        <v>1899</v>
      </c>
      <c r="CH115" t="s">
        <v>1899</v>
      </c>
      <c r="CI115">
        <v>80</v>
      </c>
      <c r="CJ115">
        <v>1050</v>
      </c>
      <c r="CK115">
        <v>2</v>
      </c>
      <c r="CL115">
        <v>1144</v>
      </c>
      <c r="CM115">
        <v>2</v>
      </c>
      <c r="CN115" t="s">
        <v>1472</v>
      </c>
      <c r="CO115" t="s">
        <v>1473</v>
      </c>
      <c r="CP115" t="s">
        <v>1474</v>
      </c>
      <c r="CQ115" t="s">
        <v>540</v>
      </c>
      <c r="CR115" t="s">
        <v>541</v>
      </c>
      <c r="CS115" t="s">
        <v>542</v>
      </c>
      <c r="CT115">
        <v>325</v>
      </c>
      <c r="CU115">
        <v>5</v>
      </c>
      <c r="CV115">
        <v>1.2</v>
      </c>
      <c r="CW115">
        <v>1064</v>
      </c>
      <c r="CX115">
        <v>489</v>
      </c>
      <c r="DD115">
        <v>0</v>
      </c>
      <c r="DE115" t="s">
        <v>543</v>
      </c>
      <c r="DF115">
        <v>460</v>
      </c>
      <c r="DG115">
        <v>3</v>
      </c>
      <c r="DH115">
        <v>1.18</v>
      </c>
      <c r="DI115">
        <v>1062</v>
      </c>
      <c r="DJ115">
        <v>792</v>
      </c>
      <c r="DW115" t="s">
        <v>544</v>
      </c>
      <c r="DX115">
        <v>7.5</v>
      </c>
      <c r="EA115">
        <v>1123</v>
      </c>
      <c r="EB115">
        <v>147</v>
      </c>
      <c r="EC115" t="s">
        <v>545</v>
      </c>
      <c r="ED115">
        <v>20</v>
      </c>
      <c r="EE115">
        <v>3</v>
      </c>
      <c r="EG115">
        <v>1154</v>
      </c>
      <c r="EH115">
        <v>111</v>
      </c>
      <c r="EJ115">
        <v>0</v>
      </c>
      <c r="EK115">
        <v>1</v>
      </c>
      <c r="EN115">
        <v>0</v>
      </c>
      <c r="EP115" t="s">
        <v>546</v>
      </c>
      <c r="EQ115">
        <v>95</v>
      </c>
      <c r="ER115">
        <v>3</v>
      </c>
      <c r="ES115">
        <v>4.5</v>
      </c>
      <c r="ET115">
        <v>1042</v>
      </c>
      <c r="EU115">
        <v>358.9</v>
      </c>
      <c r="EV115">
        <v>374</v>
      </c>
      <c r="EW115" t="s">
        <v>547</v>
      </c>
      <c r="EX115">
        <v>70</v>
      </c>
      <c r="EY115">
        <v>2</v>
      </c>
      <c r="EZ115">
        <v>4.5</v>
      </c>
      <c r="FA115">
        <v>1042</v>
      </c>
      <c r="FB115">
        <v>214</v>
      </c>
      <c r="FC115">
        <v>223</v>
      </c>
      <c r="FE115">
        <v>0</v>
      </c>
      <c r="FF115">
        <v>2</v>
      </c>
      <c r="FI115">
        <v>0</v>
      </c>
      <c r="FK115" t="s">
        <v>548</v>
      </c>
      <c r="FL115">
        <v>0.4</v>
      </c>
      <c r="FM115">
        <v>30</v>
      </c>
      <c r="FN115">
        <v>350</v>
      </c>
      <c r="FO115">
        <v>80</v>
      </c>
      <c r="FP115">
        <v>110</v>
      </c>
      <c r="FR115" t="s">
        <v>548</v>
      </c>
      <c r="FS115">
        <v>0.4</v>
      </c>
      <c r="FT115">
        <v>30</v>
      </c>
      <c r="FU115">
        <v>320</v>
      </c>
      <c r="HC115">
        <v>0.1</v>
      </c>
      <c r="HD115">
        <v>3</v>
      </c>
      <c r="HE115">
        <v>3</v>
      </c>
      <c r="HF115">
        <v>3</v>
      </c>
      <c r="HG115">
        <v>3</v>
      </c>
      <c r="HH115">
        <v>3</v>
      </c>
      <c r="HI115">
        <v>150</v>
      </c>
      <c r="HJ115">
        <v>3</v>
      </c>
      <c r="HK115">
        <v>55</v>
      </c>
      <c r="HL115">
        <v>2</v>
      </c>
      <c r="HM115">
        <v>0</v>
      </c>
      <c r="HN115">
        <v>2</v>
      </c>
      <c r="HO115">
        <v>80</v>
      </c>
      <c r="HP115">
        <v>3</v>
      </c>
      <c r="HQ115">
        <v>0</v>
      </c>
      <c r="HR115">
        <v>2</v>
      </c>
      <c r="HS115">
        <v>2991</v>
      </c>
      <c r="HT115">
        <v>90</v>
      </c>
      <c r="HU115">
        <v>180</v>
      </c>
      <c r="HW115">
        <v>0</v>
      </c>
      <c r="HX115">
        <v>435</v>
      </c>
      <c r="HY115">
        <v>0.18</v>
      </c>
      <c r="IA115">
        <v>0.15</v>
      </c>
      <c r="IB115">
        <v>0</v>
      </c>
      <c r="IC115">
        <v>180</v>
      </c>
      <c r="ID115">
        <v>110</v>
      </c>
      <c r="IE115">
        <v>0</v>
      </c>
      <c r="IF115">
        <v>0</v>
      </c>
      <c r="IH115" t="s">
        <v>549</v>
      </c>
      <c r="IO115">
        <v>1</v>
      </c>
      <c r="IP115">
        <v>14</v>
      </c>
      <c r="IQ115">
        <v>0</v>
      </c>
      <c r="IR115">
        <v>1</v>
      </c>
      <c r="IV115">
        <v>1050</v>
      </c>
      <c r="IW115">
        <v>350</v>
      </c>
      <c r="JA115">
        <v>1</v>
      </c>
      <c r="JB115">
        <v>0</v>
      </c>
      <c r="JC115">
        <v>2</v>
      </c>
      <c r="JD115">
        <v>1064</v>
      </c>
      <c r="JE115">
        <v>1062</v>
      </c>
      <c r="JF115">
        <v>0</v>
      </c>
      <c r="JG115">
        <v>1042</v>
      </c>
      <c r="JH115">
        <v>0</v>
      </c>
      <c r="JJ115">
        <v>180</v>
      </c>
      <c r="JK115">
        <v>435</v>
      </c>
      <c r="JN115">
        <v>325</v>
      </c>
      <c r="JO115">
        <v>460</v>
      </c>
      <c r="JP115">
        <v>0</v>
      </c>
      <c r="JQ115">
        <v>0</v>
      </c>
      <c r="JR115">
        <v>304</v>
      </c>
      <c r="JS115">
        <v>150</v>
      </c>
      <c r="JV115">
        <v>8</v>
      </c>
      <c r="JW115" t="s">
        <v>550</v>
      </c>
      <c r="JX115">
        <v>0</v>
      </c>
      <c r="KA115">
        <v>0</v>
      </c>
      <c r="KB115">
        <v>110</v>
      </c>
      <c r="KC115">
        <v>0</v>
      </c>
      <c r="KD115">
        <v>80</v>
      </c>
      <c r="KF115">
        <v>4</v>
      </c>
      <c r="KG115">
        <v>3</v>
      </c>
      <c r="KH115">
        <v>2</v>
      </c>
      <c r="KI115">
        <v>2</v>
      </c>
      <c r="KJ115">
        <v>0</v>
      </c>
      <c r="KK115">
        <v>1.5</v>
      </c>
      <c r="KL115">
        <v>1.5</v>
      </c>
      <c r="KM115">
        <v>0</v>
      </c>
      <c r="KN115">
        <v>0</v>
      </c>
      <c r="KO115">
        <v>0</v>
      </c>
      <c r="KR115">
        <v>20</v>
      </c>
      <c r="KS115">
        <v>60</v>
      </c>
      <c r="KT115">
        <v>0</v>
      </c>
      <c r="LK115">
        <v>480</v>
      </c>
      <c r="LX115">
        <v>320</v>
      </c>
      <c r="LY115">
        <v>2.5</v>
      </c>
      <c r="LZ115">
        <v>250</v>
      </c>
      <c r="PG115">
        <v>1</v>
      </c>
      <c r="PI115" t="s">
        <v>1965</v>
      </c>
      <c r="PJ115" t="s">
        <v>1966</v>
      </c>
      <c r="PL115" t="s">
        <v>1359</v>
      </c>
      <c r="PP115" t="s">
        <v>1967</v>
      </c>
      <c r="PX115">
        <v>56</v>
      </c>
      <c r="PY115">
        <v>57</v>
      </c>
      <c r="PZ115" t="s">
        <v>1965</v>
      </c>
      <c r="QA115">
        <v>1</v>
      </c>
      <c r="QB115">
        <v>1042</v>
      </c>
      <c r="QC115">
        <v>69</v>
      </c>
      <c r="QD115">
        <v>69</v>
      </c>
      <c r="QE115" t="s">
        <v>1359</v>
      </c>
      <c r="QF115">
        <v>1</v>
      </c>
      <c r="QG115">
        <v>1064</v>
      </c>
      <c r="QH115">
        <v>66</v>
      </c>
      <c r="QI115">
        <v>66</v>
      </c>
      <c r="QL115">
        <v>0</v>
      </c>
      <c r="QM115">
        <v>62</v>
      </c>
      <c r="QN115">
        <v>62</v>
      </c>
      <c r="QO115" t="s">
        <v>1966</v>
      </c>
      <c r="QP115">
        <v>1</v>
      </c>
      <c r="QQ115">
        <v>1062</v>
      </c>
      <c r="QW115">
        <v>82</v>
      </c>
      <c r="QX115">
        <v>83</v>
      </c>
      <c r="QY115" t="s">
        <v>1967</v>
      </c>
      <c r="QZ115">
        <v>2</v>
      </c>
      <c r="RA115">
        <v>66</v>
      </c>
      <c r="RB115">
        <v>66</v>
      </c>
      <c r="RE115">
        <v>0</v>
      </c>
      <c r="RF115">
        <v>1</v>
      </c>
      <c r="RJ115">
        <v>4</v>
      </c>
      <c r="RL115">
        <v>2</v>
      </c>
      <c r="RO115">
        <v>460</v>
      </c>
      <c r="RQ115">
        <v>746</v>
      </c>
      <c r="RT115">
        <v>147</v>
      </c>
      <c r="RU115">
        <v>111</v>
      </c>
      <c r="RV115" t="s">
        <v>1901</v>
      </c>
      <c r="RW115" t="s">
        <v>1476</v>
      </c>
      <c r="RX115">
        <v>15</v>
      </c>
      <c r="RY115">
        <v>4</v>
      </c>
      <c r="RZ115" t="s">
        <v>1476</v>
      </c>
      <c r="SA115">
        <v>15</v>
      </c>
      <c r="SC115" t="s">
        <v>1966</v>
      </c>
      <c r="SD115">
        <v>1</v>
      </c>
      <c r="SH115">
        <v>0.995</v>
      </c>
      <c r="SI115">
        <v>0.995</v>
      </c>
      <c r="SJ115">
        <v>0.995</v>
      </c>
      <c r="SK115">
        <v>15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TB115">
        <v>0</v>
      </c>
      <c r="TC115">
        <v>0</v>
      </c>
      <c r="TD115">
        <v>7.5</v>
      </c>
      <c r="TE115" t="s">
        <v>553</v>
      </c>
      <c r="TF115" t="s">
        <v>754</v>
      </c>
      <c r="TG115" t="s">
        <v>555</v>
      </c>
      <c r="TI115" t="s">
        <v>546</v>
      </c>
      <c r="TJ115" t="s">
        <v>547</v>
      </c>
      <c r="TL115" t="s">
        <v>1888</v>
      </c>
      <c r="TM115" t="s">
        <v>513</v>
      </c>
      <c r="TN115">
        <v>0</v>
      </c>
      <c r="TO115" t="s">
        <v>557</v>
      </c>
    </row>
    <row r="116" spans="1:535">
      <c r="A116" t="s">
        <v>1968</v>
      </c>
      <c r="B116" t="s">
        <v>1453</v>
      </c>
      <c r="C116" t="s">
        <v>509</v>
      </c>
      <c r="D116" t="s">
        <v>1969</v>
      </c>
      <c r="G116" t="s">
        <v>605</v>
      </c>
      <c r="I116" t="s">
        <v>628</v>
      </c>
      <c r="J116" t="s">
        <v>606</v>
      </c>
      <c r="L116" t="s">
        <v>512</v>
      </c>
      <c r="M116" t="s">
        <v>727</v>
      </c>
      <c r="N116" t="s">
        <v>513</v>
      </c>
      <c r="O116" t="s">
        <v>607</v>
      </c>
      <c r="Q116" t="s">
        <v>1970</v>
      </c>
      <c r="R116" t="s">
        <v>567</v>
      </c>
      <c r="S116" t="s">
        <v>1480</v>
      </c>
      <c r="T116" t="s">
        <v>1481</v>
      </c>
      <c r="U116" t="s">
        <v>1482</v>
      </c>
      <c r="V116" t="s">
        <v>1483</v>
      </c>
      <c r="W116" t="s">
        <v>1971</v>
      </c>
      <c r="X116" t="s">
        <v>1880</v>
      </c>
      <c r="Y116" t="s">
        <v>524</v>
      </c>
      <c r="Z116" t="s">
        <v>1972</v>
      </c>
      <c r="AA116" t="s">
        <v>1973</v>
      </c>
      <c r="AB116" t="s">
        <v>1974</v>
      </c>
      <c r="AC116">
        <v>2</v>
      </c>
      <c r="AD116">
        <v>57</v>
      </c>
      <c r="AE116">
        <v>164</v>
      </c>
      <c r="AF116">
        <v>1.5</v>
      </c>
      <c r="AH116">
        <v>0</v>
      </c>
      <c r="AI116" t="s">
        <v>748</v>
      </c>
      <c r="AJ116">
        <v>175</v>
      </c>
      <c r="AK116">
        <v>1</v>
      </c>
      <c r="AL116">
        <v>1.5</v>
      </c>
      <c r="AM116" t="s">
        <v>529</v>
      </c>
      <c r="AO116">
        <v>0</v>
      </c>
      <c r="AR116">
        <v>0</v>
      </c>
      <c r="AS116">
        <v>1.5</v>
      </c>
      <c r="AU116" t="s">
        <v>1975</v>
      </c>
      <c r="AW116" t="s">
        <v>1975</v>
      </c>
      <c r="AX116">
        <v>1</v>
      </c>
      <c r="AY116">
        <v>320</v>
      </c>
      <c r="AZ116">
        <v>1.5</v>
      </c>
      <c r="BA116" t="s">
        <v>529</v>
      </c>
      <c r="BG116">
        <v>1.5</v>
      </c>
      <c r="BJ116">
        <v>0</v>
      </c>
      <c r="BN116">
        <v>1.5</v>
      </c>
      <c r="BP116" t="s">
        <v>1976</v>
      </c>
      <c r="BQ116">
        <v>88</v>
      </c>
      <c r="BR116">
        <v>2</v>
      </c>
      <c r="BS116" t="s">
        <v>1490</v>
      </c>
      <c r="BT116">
        <v>186</v>
      </c>
      <c r="BU116">
        <v>0.5</v>
      </c>
      <c r="BV116" t="s">
        <v>1490</v>
      </c>
      <c r="BW116">
        <v>372</v>
      </c>
      <c r="BX116">
        <v>1</v>
      </c>
      <c r="BY116" t="s">
        <v>1491</v>
      </c>
      <c r="BZ116">
        <v>300</v>
      </c>
      <c r="CA116">
        <v>460</v>
      </c>
      <c r="CB116" t="s">
        <v>1492</v>
      </c>
      <c r="CC116" t="s">
        <v>1492</v>
      </c>
      <c r="CD116">
        <v>392</v>
      </c>
      <c r="CE116" t="s">
        <v>1493</v>
      </c>
      <c r="CF116">
        <v>15</v>
      </c>
      <c r="CG116" t="s">
        <v>1773</v>
      </c>
      <c r="CH116" t="s">
        <v>1773</v>
      </c>
      <c r="CI116">
        <v>80</v>
      </c>
      <c r="CJ116">
        <v>1122</v>
      </c>
      <c r="CK116">
        <v>2</v>
      </c>
      <c r="CL116">
        <v>1222</v>
      </c>
      <c r="CM116">
        <v>2</v>
      </c>
      <c r="CN116" t="s">
        <v>1495</v>
      </c>
      <c r="CO116" t="s">
        <v>1473</v>
      </c>
      <c r="CP116" t="s">
        <v>1474</v>
      </c>
      <c r="CQ116" t="s">
        <v>1496</v>
      </c>
      <c r="CR116" t="s">
        <v>541</v>
      </c>
      <c r="CS116" t="s">
        <v>542</v>
      </c>
      <c r="CT116">
        <v>350</v>
      </c>
      <c r="CU116">
        <v>5</v>
      </c>
      <c r="CV116">
        <v>1.2</v>
      </c>
      <c r="CW116">
        <v>1136</v>
      </c>
      <c r="CX116">
        <v>562</v>
      </c>
      <c r="DD116">
        <v>0</v>
      </c>
      <c r="DE116" t="s">
        <v>622</v>
      </c>
      <c r="DF116">
        <v>640</v>
      </c>
      <c r="DG116">
        <v>3</v>
      </c>
      <c r="DH116">
        <v>0.88</v>
      </c>
      <c r="DI116">
        <v>1134</v>
      </c>
      <c r="DJ116">
        <v>865</v>
      </c>
      <c r="DW116" t="s">
        <v>544</v>
      </c>
      <c r="DX116">
        <v>7.5</v>
      </c>
      <c r="EA116">
        <v>1202.7</v>
      </c>
      <c r="EB116">
        <v>157</v>
      </c>
      <c r="EC116" t="s">
        <v>545</v>
      </c>
      <c r="ED116">
        <v>30</v>
      </c>
      <c r="EE116">
        <v>3</v>
      </c>
      <c r="EG116">
        <v>1233</v>
      </c>
      <c r="EH116">
        <v>144</v>
      </c>
      <c r="EJ116">
        <v>0</v>
      </c>
      <c r="EK116">
        <v>1</v>
      </c>
      <c r="EN116">
        <v>0</v>
      </c>
      <c r="EP116" t="s">
        <v>546</v>
      </c>
      <c r="EQ116">
        <v>100</v>
      </c>
      <c r="ER116">
        <v>3</v>
      </c>
      <c r="ES116">
        <v>5</v>
      </c>
      <c r="ET116">
        <v>1117</v>
      </c>
      <c r="EU116">
        <v>369.1</v>
      </c>
      <c r="EV116">
        <v>412</v>
      </c>
      <c r="EW116" t="s">
        <v>547</v>
      </c>
      <c r="EX116">
        <v>70</v>
      </c>
      <c r="EY116">
        <v>2</v>
      </c>
      <c r="EZ116">
        <v>4</v>
      </c>
      <c r="FA116">
        <v>1117</v>
      </c>
      <c r="FB116">
        <v>213.4</v>
      </c>
      <c r="FC116">
        <v>238</v>
      </c>
      <c r="FE116">
        <v>0</v>
      </c>
      <c r="FF116">
        <v>2</v>
      </c>
      <c r="FI116">
        <v>0</v>
      </c>
      <c r="FK116" t="s">
        <v>548</v>
      </c>
      <c r="FL116">
        <v>0.6</v>
      </c>
      <c r="FM116">
        <v>80</v>
      </c>
      <c r="FN116">
        <v>80</v>
      </c>
      <c r="FR116" t="s">
        <v>548</v>
      </c>
      <c r="FS116">
        <v>0.4</v>
      </c>
      <c r="FT116">
        <v>30</v>
      </c>
      <c r="FU116">
        <v>330</v>
      </c>
      <c r="HC116">
        <v>0.1</v>
      </c>
      <c r="HD116">
        <v>3</v>
      </c>
      <c r="HE116">
        <v>3</v>
      </c>
      <c r="HF116">
        <v>3</v>
      </c>
      <c r="HG116">
        <v>3</v>
      </c>
      <c r="HH116">
        <v>3</v>
      </c>
      <c r="HI116">
        <v>155</v>
      </c>
      <c r="HJ116">
        <v>3</v>
      </c>
      <c r="HK116">
        <v>55</v>
      </c>
      <c r="HL116">
        <v>2</v>
      </c>
      <c r="HM116">
        <v>0</v>
      </c>
      <c r="HN116">
        <v>2</v>
      </c>
      <c r="HO116">
        <v>85</v>
      </c>
      <c r="HP116">
        <v>3</v>
      </c>
      <c r="HQ116">
        <v>0</v>
      </c>
      <c r="HR116">
        <v>2</v>
      </c>
      <c r="HS116">
        <v>3329</v>
      </c>
      <c r="HT116">
        <v>100</v>
      </c>
      <c r="HU116">
        <v>180</v>
      </c>
      <c r="HW116">
        <v>20</v>
      </c>
      <c r="HX116">
        <v>436</v>
      </c>
      <c r="HY116">
        <v>0.18</v>
      </c>
      <c r="IA116">
        <v>0.15</v>
      </c>
      <c r="IB116">
        <v>0</v>
      </c>
      <c r="IC116">
        <v>180</v>
      </c>
      <c r="ID116">
        <v>110</v>
      </c>
      <c r="IE116">
        <v>0</v>
      </c>
      <c r="IF116">
        <v>0</v>
      </c>
      <c r="IH116" t="s">
        <v>549</v>
      </c>
      <c r="IO116">
        <v>1</v>
      </c>
      <c r="IP116">
        <v>15</v>
      </c>
      <c r="IQ116">
        <v>0</v>
      </c>
      <c r="IR116">
        <v>1</v>
      </c>
      <c r="IV116">
        <v>1122</v>
      </c>
      <c r="IW116">
        <v>372</v>
      </c>
      <c r="JA116">
        <v>1</v>
      </c>
      <c r="JB116">
        <v>0</v>
      </c>
      <c r="JC116">
        <v>2</v>
      </c>
      <c r="JD116">
        <v>1136</v>
      </c>
      <c r="JE116">
        <v>1134</v>
      </c>
      <c r="JF116">
        <v>0</v>
      </c>
      <c r="JG116">
        <v>1117</v>
      </c>
      <c r="JH116">
        <v>0</v>
      </c>
      <c r="JJ116">
        <v>180</v>
      </c>
      <c r="JK116">
        <v>436</v>
      </c>
      <c r="JN116">
        <v>350</v>
      </c>
      <c r="JO116">
        <v>640</v>
      </c>
      <c r="JP116">
        <v>0</v>
      </c>
      <c r="JQ116">
        <v>0</v>
      </c>
      <c r="JR116">
        <v>328</v>
      </c>
      <c r="JS116">
        <v>155</v>
      </c>
      <c r="JV116">
        <v>8</v>
      </c>
      <c r="JW116" t="s">
        <v>550</v>
      </c>
      <c r="JX116">
        <v>0</v>
      </c>
      <c r="KA116">
        <v>0</v>
      </c>
      <c r="KB116">
        <v>110</v>
      </c>
      <c r="KC116">
        <v>0</v>
      </c>
      <c r="KD116">
        <v>80</v>
      </c>
      <c r="KF116">
        <v>4</v>
      </c>
      <c r="KG116">
        <v>4</v>
      </c>
      <c r="KH116">
        <v>2</v>
      </c>
      <c r="KI116">
        <v>2</v>
      </c>
      <c r="KJ116">
        <v>0</v>
      </c>
      <c r="KK116">
        <v>1.5</v>
      </c>
      <c r="KL116">
        <v>1.5</v>
      </c>
      <c r="KM116">
        <v>0</v>
      </c>
      <c r="KN116">
        <v>0</v>
      </c>
      <c r="KO116">
        <v>0</v>
      </c>
      <c r="KR116">
        <v>25</v>
      </c>
      <c r="KS116">
        <v>60</v>
      </c>
      <c r="KT116">
        <v>0</v>
      </c>
      <c r="LK116">
        <v>480</v>
      </c>
      <c r="LX116">
        <v>360</v>
      </c>
      <c r="LY116">
        <v>2.5</v>
      </c>
      <c r="PG116">
        <v>1</v>
      </c>
      <c r="PI116" t="s">
        <v>1974</v>
      </c>
      <c r="PJ116" t="s">
        <v>1975</v>
      </c>
      <c r="PL116" t="s">
        <v>748</v>
      </c>
      <c r="PP116" t="s">
        <v>1976</v>
      </c>
      <c r="PX116">
        <v>56</v>
      </c>
      <c r="PY116">
        <v>57</v>
      </c>
      <c r="PZ116" t="s">
        <v>1974</v>
      </c>
      <c r="QA116">
        <v>1</v>
      </c>
      <c r="QB116">
        <v>1117</v>
      </c>
      <c r="QC116">
        <v>69</v>
      </c>
      <c r="QD116">
        <v>69</v>
      </c>
      <c r="QE116" t="s">
        <v>748</v>
      </c>
      <c r="QF116">
        <v>1</v>
      </c>
      <c r="QG116">
        <v>1136</v>
      </c>
      <c r="QH116">
        <v>66</v>
      </c>
      <c r="QI116">
        <v>66</v>
      </c>
      <c r="QL116">
        <v>0</v>
      </c>
      <c r="QM116">
        <v>62</v>
      </c>
      <c r="QN116">
        <v>62</v>
      </c>
      <c r="QO116" t="s">
        <v>1975</v>
      </c>
      <c r="QP116">
        <v>1</v>
      </c>
      <c r="QQ116">
        <v>1134</v>
      </c>
      <c r="QW116">
        <v>82</v>
      </c>
      <c r="QX116">
        <v>88</v>
      </c>
      <c r="QY116" t="s">
        <v>1976</v>
      </c>
      <c r="QZ116">
        <v>1</v>
      </c>
      <c r="RA116">
        <v>66</v>
      </c>
      <c r="RB116">
        <v>66</v>
      </c>
      <c r="RE116">
        <v>0</v>
      </c>
      <c r="RF116">
        <v>1</v>
      </c>
      <c r="RJ116">
        <v>2</v>
      </c>
      <c r="RL116">
        <v>3</v>
      </c>
      <c r="RO116">
        <v>495</v>
      </c>
      <c r="RQ116">
        <v>763</v>
      </c>
      <c r="RT116">
        <v>157</v>
      </c>
      <c r="RU116">
        <v>144</v>
      </c>
      <c r="RV116" t="s">
        <v>1497</v>
      </c>
      <c r="RW116" t="s">
        <v>1498</v>
      </c>
      <c r="RX116">
        <v>15</v>
      </c>
      <c r="RY116">
        <v>4</v>
      </c>
      <c r="RZ116" t="s">
        <v>1498</v>
      </c>
      <c r="SA116">
        <v>15</v>
      </c>
      <c r="SC116" t="s">
        <v>1975</v>
      </c>
      <c r="SD116">
        <v>1</v>
      </c>
      <c r="SH116">
        <v>0.995</v>
      </c>
      <c r="SI116">
        <v>0.995</v>
      </c>
      <c r="SJ116">
        <v>0.995</v>
      </c>
      <c r="SK116">
        <v>15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TB116">
        <v>1</v>
      </c>
      <c r="TC116">
        <v>0</v>
      </c>
      <c r="TD116">
        <v>7.5</v>
      </c>
      <c r="TE116" t="s">
        <v>553</v>
      </c>
      <c r="TF116" t="s">
        <v>754</v>
      </c>
      <c r="TG116" t="s">
        <v>555</v>
      </c>
      <c r="TI116" t="s">
        <v>546</v>
      </c>
      <c r="TJ116" t="s">
        <v>547</v>
      </c>
      <c r="TL116" t="s">
        <v>1888</v>
      </c>
      <c r="TM116" t="s">
        <v>513</v>
      </c>
      <c r="TN116">
        <v>0</v>
      </c>
      <c r="TO116" t="s">
        <v>557</v>
      </c>
    </row>
    <row r="117" spans="1:535">
      <c r="A117" t="s">
        <v>1977</v>
      </c>
      <c r="B117" t="s">
        <v>729</v>
      </c>
      <c r="C117" t="s">
        <v>509</v>
      </c>
      <c r="D117" t="s">
        <v>1978</v>
      </c>
      <c r="G117" t="s">
        <v>604</v>
      </c>
      <c r="H117" t="s">
        <v>605</v>
      </c>
      <c r="J117" t="s">
        <v>606</v>
      </c>
      <c r="L117" t="s">
        <v>512</v>
      </c>
      <c r="M117" t="s">
        <v>897</v>
      </c>
      <c r="N117" t="s">
        <v>513</v>
      </c>
      <c r="O117" t="s">
        <v>607</v>
      </c>
      <c r="Q117" t="s">
        <v>1979</v>
      </c>
      <c r="R117" t="s">
        <v>567</v>
      </c>
      <c r="S117" t="s">
        <v>518</v>
      </c>
      <c r="T117" t="s">
        <v>519</v>
      </c>
      <c r="U117" t="s">
        <v>520</v>
      </c>
      <c r="V117" t="s">
        <v>521</v>
      </c>
      <c r="W117" t="s">
        <v>1980</v>
      </c>
      <c r="X117" t="s">
        <v>1880</v>
      </c>
      <c r="Y117" t="s">
        <v>524</v>
      </c>
      <c r="Z117" t="s">
        <v>1981</v>
      </c>
      <c r="AA117" t="s">
        <v>1982</v>
      </c>
      <c r="AB117" t="s">
        <v>1983</v>
      </c>
      <c r="AC117">
        <v>2</v>
      </c>
      <c r="AD117">
        <v>57</v>
      </c>
      <c r="AE117">
        <v>169</v>
      </c>
      <c r="AF117">
        <v>1.5</v>
      </c>
      <c r="AH117">
        <v>0</v>
      </c>
      <c r="AI117" t="s">
        <v>734</v>
      </c>
      <c r="AJ117">
        <v>180</v>
      </c>
      <c r="AK117">
        <v>1</v>
      </c>
      <c r="AL117">
        <v>1.5</v>
      </c>
      <c r="AM117" t="s">
        <v>529</v>
      </c>
      <c r="AO117">
        <v>0</v>
      </c>
      <c r="AR117">
        <v>0</v>
      </c>
      <c r="AS117">
        <v>1.5</v>
      </c>
      <c r="AU117" t="s">
        <v>1984</v>
      </c>
      <c r="AW117" t="s">
        <v>1984</v>
      </c>
      <c r="AX117">
        <v>1</v>
      </c>
      <c r="AY117">
        <v>322.5</v>
      </c>
      <c r="AZ117">
        <v>1.5</v>
      </c>
      <c r="BA117" t="s">
        <v>529</v>
      </c>
      <c r="BG117">
        <v>1.5</v>
      </c>
      <c r="BJ117">
        <v>0</v>
      </c>
      <c r="BN117">
        <v>1.5</v>
      </c>
      <c r="BP117" t="s">
        <v>1985</v>
      </c>
      <c r="BQ117">
        <v>88</v>
      </c>
      <c r="BR117">
        <v>2</v>
      </c>
      <c r="BS117" t="s">
        <v>1919</v>
      </c>
      <c r="BT117">
        <v>191</v>
      </c>
      <c r="BU117">
        <v>0.5</v>
      </c>
      <c r="BV117" t="s">
        <v>1919</v>
      </c>
      <c r="BW117">
        <v>382</v>
      </c>
      <c r="BX117">
        <v>1</v>
      </c>
      <c r="BY117" t="s">
        <v>533</v>
      </c>
      <c r="BZ117">
        <v>300</v>
      </c>
      <c r="CA117">
        <v>500</v>
      </c>
      <c r="CB117" t="s">
        <v>534</v>
      </c>
      <c r="CC117" t="s">
        <v>534</v>
      </c>
      <c r="CD117">
        <v>395</v>
      </c>
      <c r="CE117" t="s">
        <v>535</v>
      </c>
      <c r="CF117">
        <v>15</v>
      </c>
      <c r="CG117" t="s">
        <v>1840</v>
      </c>
      <c r="CH117" t="s">
        <v>1840</v>
      </c>
      <c r="CI117">
        <v>100</v>
      </c>
      <c r="CJ117">
        <v>1200</v>
      </c>
      <c r="CK117">
        <v>2</v>
      </c>
      <c r="CL117">
        <v>1301</v>
      </c>
      <c r="CM117">
        <v>2</v>
      </c>
      <c r="CN117" t="s">
        <v>537</v>
      </c>
      <c r="CO117" t="s">
        <v>538</v>
      </c>
      <c r="CP117" t="s">
        <v>539</v>
      </c>
      <c r="CQ117" t="s">
        <v>1496</v>
      </c>
      <c r="CR117" t="s">
        <v>541</v>
      </c>
      <c r="CS117" t="s">
        <v>542</v>
      </c>
      <c r="CT117">
        <v>360</v>
      </c>
      <c r="CU117">
        <v>5</v>
      </c>
      <c r="CV117">
        <v>1.2</v>
      </c>
      <c r="CW117">
        <v>1213</v>
      </c>
      <c r="CX117">
        <v>617</v>
      </c>
      <c r="DD117">
        <v>0</v>
      </c>
      <c r="DE117" t="s">
        <v>543</v>
      </c>
      <c r="DF117">
        <v>645</v>
      </c>
      <c r="DG117">
        <v>3</v>
      </c>
      <c r="DH117">
        <v>1.18</v>
      </c>
      <c r="DI117">
        <v>1211</v>
      </c>
      <c r="DJ117">
        <v>1165</v>
      </c>
      <c r="DW117" t="s">
        <v>544</v>
      </c>
      <c r="DX117">
        <v>7.5</v>
      </c>
      <c r="EA117">
        <v>1282.5</v>
      </c>
      <c r="EB117">
        <v>227</v>
      </c>
      <c r="EC117" t="s">
        <v>545</v>
      </c>
      <c r="ED117">
        <v>30</v>
      </c>
      <c r="EE117">
        <v>3</v>
      </c>
      <c r="EG117">
        <v>1323</v>
      </c>
      <c r="EH117">
        <v>156</v>
      </c>
      <c r="EJ117">
        <v>0</v>
      </c>
      <c r="EK117">
        <v>1</v>
      </c>
      <c r="EN117">
        <v>0</v>
      </c>
      <c r="EP117" t="s">
        <v>546</v>
      </c>
      <c r="EQ117">
        <v>95</v>
      </c>
      <c r="ER117">
        <v>3</v>
      </c>
      <c r="ES117">
        <v>5.7</v>
      </c>
      <c r="ET117">
        <v>1199</v>
      </c>
      <c r="EU117">
        <v>403.7</v>
      </c>
      <c r="EV117">
        <v>484</v>
      </c>
      <c r="EW117" t="s">
        <v>547</v>
      </c>
      <c r="EX117">
        <v>70</v>
      </c>
      <c r="EY117">
        <v>2</v>
      </c>
      <c r="EZ117">
        <v>4</v>
      </c>
      <c r="FA117">
        <v>1199</v>
      </c>
      <c r="FB117">
        <v>219.1</v>
      </c>
      <c r="FC117">
        <v>263</v>
      </c>
      <c r="FE117">
        <v>0</v>
      </c>
      <c r="FF117">
        <v>2</v>
      </c>
      <c r="FI117">
        <v>0</v>
      </c>
      <c r="FK117" t="s">
        <v>548</v>
      </c>
      <c r="FL117">
        <v>0.4</v>
      </c>
      <c r="FM117">
        <v>70</v>
      </c>
      <c r="FN117">
        <v>100</v>
      </c>
      <c r="FR117" t="s">
        <v>548</v>
      </c>
      <c r="FS117">
        <v>0.4</v>
      </c>
      <c r="FT117">
        <v>30</v>
      </c>
      <c r="FU117">
        <v>350</v>
      </c>
      <c r="HC117">
        <v>0.1</v>
      </c>
      <c r="HD117">
        <v>3</v>
      </c>
      <c r="HE117">
        <v>3</v>
      </c>
      <c r="HF117">
        <v>3</v>
      </c>
      <c r="HG117">
        <v>3</v>
      </c>
      <c r="HH117">
        <v>3</v>
      </c>
      <c r="HI117">
        <v>150</v>
      </c>
      <c r="HJ117">
        <v>3</v>
      </c>
      <c r="HK117">
        <v>55</v>
      </c>
      <c r="HL117">
        <v>2</v>
      </c>
      <c r="HM117">
        <v>0</v>
      </c>
      <c r="HN117">
        <v>2</v>
      </c>
      <c r="HO117">
        <v>80</v>
      </c>
      <c r="HP117">
        <v>3</v>
      </c>
      <c r="HQ117">
        <v>0</v>
      </c>
      <c r="HR117">
        <v>2</v>
      </c>
      <c r="HS117">
        <v>4042</v>
      </c>
      <c r="HT117">
        <v>120</v>
      </c>
      <c r="HU117">
        <v>180</v>
      </c>
      <c r="HW117">
        <v>20</v>
      </c>
      <c r="HX117">
        <v>456</v>
      </c>
      <c r="HY117">
        <v>0.18</v>
      </c>
      <c r="IA117">
        <v>0.15</v>
      </c>
      <c r="IB117">
        <v>0</v>
      </c>
      <c r="IC117">
        <v>180</v>
      </c>
      <c r="ID117">
        <v>110</v>
      </c>
      <c r="IE117">
        <v>0</v>
      </c>
      <c r="IF117">
        <v>0</v>
      </c>
      <c r="IH117" t="s">
        <v>549</v>
      </c>
      <c r="IO117">
        <v>1</v>
      </c>
      <c r="IP117">
        <v>16</v>
      </c>
      <c r="IQ117">
        <v>0</v>
      </c>
      <c r="IR117">
        <v>1</v>
      </c>
      <c r="IV117">
        <v>1200</v>
      </c>
      <c r="IW117">
        <v>382</v>
      </c>
      <c r="JA117">
        <v>1</v>
      </c>
      <c r="JB117">
        <v>0</v>
      </c>
      <c r="JC117">
        <v>2</v>
      </c>
      <c r="JD117">
        <v>1213</v>
      </c>
      <c r="JE117">
        <v>1211</v>
      </c>
      <c r="JF117">
        <v>0</v>
      </c>
      <c r="JG117">
        <v>1199</v>
      </c>
      <c r="JH117">
        <v>0</v>
      </c>
      <c r="JJ117">
        <v>180</v>
      </c>
      <c r="JK117">
        <v>456</v>
      </c>
      <c r="JN117">
        <v>360</v>
      </c>
      <c r="JO117">
        <v>645</v>
      </c>
      <c r="JP117">
        <v>0</v>
      </c>
      <c r="JQ117">
        <v>0</v>
      </c>
      <c r="JR117">
        <v>338</v>
      </c>
      <c r="JS117">
        <v>150</v>
      </c>
      <c r="JV117">
        <v>8</v>
      </c>
      <c r="JW117" t="s">
        <v>550</v>
      </c>
      <c r="JX117">
        <v>0</v>
      </c>
      <c r="KA117">
        <v>0</v>
      </c>
      <c r="KB117">
        <v>110</v>
      </c>
      <c r="KC117">
        <v>0</v>
      </c>
      <c r="KD117">
        <v>80</v>
      </c>
      <c r="KF117">
        <v>3</v>
      </c>
      <c r="KG117">
        <v>2</v>
      </c>
      <c r="KH117">
        <v>2</v>
      </c>
      <c r="KI117">
        <v>2</v>
      </c>
      <c r="KJ117">
        <v>0</v>
      </c>
      <c r="KK117">
        <v>1.5</v>
      </c>
      <c r="KL117">
        <v>1.5</v>
      </c>
      <c r="KM117">
        <v>0</v>
      </c>
      <c r="KN117">
        <v>0</v>
      </c>
      <c r="KO117">
        <v>0</v>
      </c>
      <c r="KR117">
        <v>30</v>
      </c>
      <c r="KS117">
        <v>60</v>
      </c>
      <c r="KT117">
        <v>0</v>
      </c>
      <c r="LK117">
        <v>480</v>
      </c>
      <c r="LX117">
        <v>319</v>
      </c>
      <c r="LY117">
        <v>2</v>
      </c>
      <c r="LZ117">
        <v>220</v>
      </c>
      <c r="PG117">
        <v>1</v>
      </c>
      <c r="PI117" t="s">
        <v>1983</v>
      </c>
      <c r="PJ117" t="s">
        <v>1984</v>
      </c>
      <c r="PL117" t="s">
        <v>734</v>
      </c>
      <c r="PP117" t="s">
        <v>1985</v>
      </c>
      <c r="PX117">
        <v>56</v>
      </c>
      <c r="PY117">
        <v>57</v>
      </c>
      <c r="PZ117" t="s">
        <v>1983</v>
      </c>
      <c r="QA117">
        <v>1</v>
      </c>
      <c r="QB117">
        <v>1199</v>
      </c>
      <c r="QC117">
        <v>69</v>
      </c>
      <c r="QD117">
        <v>69</v>
      </c>
      <c r="QE117" t="s">
        <v>734</v>
      </c>
      <c r="QF117">
        <v>1</v>
      </c>
      <c r="QG117">
        <v>1213</v>
      </c>
      <c r="QH117">
        <v>66</v>
      </c>
      <c r="QI117">
        <v>66</v>
      </c>
      <c r="QL117">
        <v>0</v>
      </c>
      <c r="QM117">
        <v>62</v>
      </c>
      <c r="QN117">
        <v>62</v>
      </c>
      <c r="QO117" t="s">
        <v>1984</v>
      </c>
      <c r="QP117">
        <v>1</v>
      </c>
      <c r="QQ117">
        <v>1211</v>
      </c>
      <c r="QW117">
        <v>82</v>
      </c>
      <c r="QX117">
        <v>88</v>
      </c>
      <c r="QY117" t="s">
        <v>1985</v>
      </c>
      <c r="QZ117">
        <v>1</v>
      </c>
      <c r="RA117">
        <v>66</v>
      </c>
      <c r="RB117">
        <v>66</v>
      </c>
      <c r="RE117">
        <v>0</v>
      </c>
      <c r="RF117">
        <v>1</v>
      </c>
      <c r="RJ117">
        <v>1</v>
      </c>
      <c r="RL117">
        <v>2</v>
      </c>
      <c r="RO117">
        <v>509</v>
      </c>
      <c r="RQ117">
        <v>962</v>
      </c>
      <c r="RT117">
        <v>227</v>
      </c>
      <c r="RU117">
        <v>156</v>
      </c>
      <c r="RV117" t="s">
        <v>1920</v>
      </c>
      <c r="RW117" t="s">
        <v>552</v>
      </c>
      <c r="RX117">
        <v>15</v>
      </c>
      <c r="RY117">
        <v>4</v>
      </c>
      <c r="RZ117" t="s">
        <v>552</v>
      </c>
      <c r="SA117">
        <v>15</v>
      </c>
      <c r="SC117" t="s">
        <v>1984</v>
      </c>
      <c r="SD117">
        <v>1</v>
      </c>
      <c r="SH117">
        <v>0.995</v>
      </c>
      <c r="SI117">
        <v>0.995</v>
      </c>
      <c r="SJ117">
        <v>0.995</v>
      </c>
      <c r="SK117">
        <v>15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TB117">
        <v>0</v>
      </c>
      <c r="TC117">
        <v>0</v>
      </c>
      <c r="TD117">
        <v>7.5</v>
      </c>
      <c r="TE117" t="s">
        <v>553</v>
      </c>
      <c r="TF117" t="s">
        <v>624</v>
      </c>
      <c r="TG117" t="s">
        <v>555</v>
      </c>
      <c r="TI117" t="s">
        <v>546</v>
      </c>
      <c r="TJ117" t="s">
        <v>547</v>
      </c>
      <c r="TL117" t="s">
        <v>1888</v>
      </c>
      <c r="TM117" t="s">
        <v>513</v>
      </c>
      <c r="TN117">
        <v>0</v>
      </c>
      <c r="TO117" t="s">
        <v>557</v>
      </c>
    </row>
    <row r="118" spans="1:535">
      <c r="A118" t="s">
        <v>1986</v>
      </c>
      <c r="B118" t="s">
        <v>559</v>
      </c>
      <c r="C118" t="s">
        <v>509</v>
      </c>
      <c r="D118" t="s">
        <v>1987</v>
      </c>
      <c r="G118" t="s">
        <v>511</v>
      </c>
      <c r="I118" t="s">
        <v>562</v>
      </c>
      <c r="J118" t="s">
        <v>563</v>
      </c>
      <c r="L118" t="s">
        <v>512</v>
      </c>
      <c r="M118" t="s">
        <v>564</v>
      </c>
      <c r="N118" t="s">
        <v>513</v>
      </c>
      <c r="O118" t="s">
        <v>565</v>
      </c>
      <c r="Q118" t="s">
        <v>1988</v>
      </c>
      <c r="R118" t="s">
        <v>567</v>
      </c>
      <c r="S118" t="s">
        <v>1059</v>
      </c>
      <c r="T118" t="s">
        <v>1060</v>
      </c>
      <c r="U118" t="s">
        <v>633</v>
      </c>
      <c r="V118" t="s">
        <v>634</v>
      </c>
      <c r="W118" t="s">
        <v>1989</v>
      </c>
      <c r="X118" t="s">
        <v>1880</v>
      </c>
      <c r="Y118" t="s">
        <v>574</v>
      </c>
      <c r="Z118" t="s">
        <v>1990</v>
      </c>
      <c r="AA118" t="s">
        <v>1991</v>
      </c>
      <c r="AB118" t="s">
        <v>1992</v>
      </c>
      <c r="AC118">
        <v>2</v>
      </c>
      <c r="AD118">
        <v>57</v>
      </c>
      <c r="AE118">
        <v>267</v>
      </c>
      <c r="AF118">
        <v>1.5</v>
      </c>
      <c r="AH118">
        <v>0</v>
      </c>
      <c r="AI118" t="s">
        <v>1993</v>
      </c>
      <c r="AJ118">
        <v>247.5</v>
      </c>
      <c r="AK118">
        <v>1</v>
      </c>
      <c r="AL118">
        <v>1.5</v>
      </c>
      <c r="AM118" t="s">
        <v>579</v>
      </c>
      <c r="AN118" t="s">
        <v>855</v>
      </c>
      <c r="AO118">
        <v>2</v>
      </c>
      <c r="AP118" t="s">
        <v>581</v>
      </c>
      <c r="AQ118" t="s">
        <v>582</v>
      </c>
      <c r="AR118">
        <v>285</v>
      </c>
      <c r="AS118">
        <v>1.5</v>
      </c>
      <c r="AT118" t="s">
        <v>583</v>
      </c>
      <c r="AU118" t="s">
        <v>1994</v>
      </c>
      <c r="AW118" t="s">
        <v>1994</v>
      </c>
      <c r="AX118">
        <v>1</v>
      </c>
      <c r="AY118">
        <v>357.5</v>
      </c>
      <c r="AZ118">
        <v>1.5</v>
      </c>
      <c r="BA118" t="s">
        <v>579</v>
      </c>
      <c r="BB118" t="s">
        <v>1995</v>
      </c>
      <c r="BD118" t="s">
        <v>1995</v>
      </c>
      <c r="BE118">
        <v>1</v>
      </c>
      <c r="BF118">
        <v>295</v>
      </c>
      <c r="BG118">
        <v>1.5</v>
      </c>
      <c r="BJ118">
        <v>0</v>
      </c>
      <c r="BN118">
        <v>1.5</v>
      </c>
      <c r="BP118" t="s">
        <v>1996</v>
      </c>
      <c r="BQ118">
        <v>89</v>
      </c>
      <c r="BR118">
        <v>2</v>
      </c>
      <c r="BS118" t="s">
        <v>1697</v>
      </c>
      <c r="BT118">
        <v>266</v>
      </c>
      <c r="BU118">
        <v>0.5</v>
      </c>
      <c r="BV118" t="s">
        <v>1697</v>
      </c>
      <c r="BW118">
        <v>532</v>
      </c>
      <c r="BX118">
        <v>1</v>
      </c>
      <c r="BY118" t="s">
        <v>643</v>
      </c>
      <c r="BZ118">
        <v>470</v>
      </c>
      <c r="CA118">
        <v>610</v>
      </c>
      <c r="CB118" t="s">
        <v>644</v>
      </c>
      <c r="CC118" t="s">
        <v>1070</v>
      </c>
      <c r="CD118">
        <v>548</v>
      </c>
      <c r="CE118" t="s">
        <v>544</v>
      </c>
      <c r="CF118">
        <v>15</v>
      </c>
      <c r="CG118" t="s">
        <v>1024</v>
      </c>
      <c r="CH118" t="s">
        <v>1024</v>
      </c>
      <c r="CI118">
        <v>70</v>
      </c>
      <c r="CJ118">
        <v>1301</v>
      </c>
      <c r="CK118">
        <v>2</v>
      </c>
      <c r="CL118">
        <v>1395</v>
      </c>
      <c r="CM118">
        <v>2</v>
      </c>
      <c r="CN118" t="s">
        <v>646</v>
      </c>
      <c r="CO118" t="s">
        <v>647</v>
      </c>
      <c r="CP118" t="s">
        <v>648</v>
      </c>
      <c r="CQ118" t="s">
        <v>596</v>
      </c>
      <c r="CR118" t="s">
        <v>541</v>
      </c>
      <c r="CS118" t="s">
        <v>542</v>
      </c>
      <c r="CT118">
        <v>495</v>
      </c>
      <c r="CU118">
        <v>5</v>
      </c>
      <c r="CV118">
        <v>1.2</v>
      </c>
      <c r="CW118">
        <v>1319</v>
      </c>
      <c r="CX118">
        <v>925</v>
      </c>
      <c r="CY118" t="s">
        <v>597</v>
      </c>
      <c r="CZ118">
        <v>50</v>
      </c>
      <c r="DA118">
        <v>3</v>
      </c>
      <c r="DB118">
        <v>1.28</v>
      </c>
      <c r="DC118">
        <v>1319</v>
      </c>
      <c r="DD118">
        <v>94</v>
      </c>
      <c r="DE118" t="s">
        <v>543</v>
      </c>
      <c r="DF118">
        <v>715</v>
      </c>
      <c r="DG118">
        <v>3</v>
      </c>
      <c r="DH118">
        <v>1.18</v>
      </c>
      <c r="DI118">
        <v>1312</v>
      </c>
      <c r="DJ118">
        <v>1468</v>
      </c>
      <c r="DK118" t="s">
        <v>543</v>
      </c>
      <c r="DL118">
        <v>590</v>
      </c>
      <c r="DM118">
        <v>3</v>
      </c>
      <c r="DN118">
        <v>1.18</v>
      </c>
      <c r="DO118">
        <v>1319</v>
      </c>
      <c r="DP118">
        <v>1091</v>
      </c>
      <c r="DW118" t="s">
        <v>544</v>
      </c>
      <c r="DX118">
        <v>7.5</v>
      </c>
      <c r="EA118">
        <v>1386.2</v>
      </c>
      <c r="EB118">
        <v>245</v>
      </c>
      <c r="EC118" t="s">
        <v>545</v>
      </c>
      <c r="ED118">
        <v>55</v>
      </c>
      <c r="EE118">
        <v>3</v>
      </c>
      <c r="EG118">
        <v>1427</v>
      </c>
      <c r="EH118">
        <v>324</v>
      </c>
      <c r="EJ118">
        <v>0</v>
      </c>
      <c r="EK118">
        <v>1</v>
      </c>
      <c r="EN118">
        <v>0</v>
      </c>
      <c r="EP118" t="s">
        <v>546</v>
      </c>
      <c r="EQ118">
        <v>160</v>
      </c>
      <c r="ER118">
        <v>3</v>
      </c>
      <c r="ES118">
        <v>5.5</v>
      </c>
      <c r="ET118">
        <v>1298</v>
      </c>
      <c r="EU118">
        <v>710.8</v>
      </c>
      <c r="EV118">
        <v>923</v>
      </c>
      <c r="EW118" t="s">
        <v>547</v>
      </c>
      <c r="EX118">
        <v>45</v>
      </c>
      <c r="EY118">
        <v>2</v>
      </c>
      <c r="EZ118">
        <v>3.8</v>
      </c>
      <c r="FA118">
        <v>1298</v>
      </c>
      <c r="FB118">
        <v>127</v>
      </c>
      <c r="FC118">
        <v>165</v>
      </c>
      <c r="FE118">
        <v>0</v>
      </c>
      <c r="FF118">
        <v>2</v>
      </c>
      <c r="FI118">
        <v>0</v>
      </c>
      <c r="FK118" t="s">
        <v>548</v>
      </c>
      <c r="FL118">
        <v>0.4</v>
      </c>
      <c r="FM118">
        <v>55</v>
      </c>
      <c r="FN118">
        <v>470</v>
      </c>
      <c r="FO118">
        <v>115</v>
      </c>
      <c r="FP118">
        <v>150</v>
      </c>
      <c r="GR118" t="s">
        <v>548</v>
      </c>
      <c r="GS118">
        <v>0.4</v>
      </c>
      <c r="GT118">
        <v>30</v>
      </c>
      <c r="GU118">
        <v>490</v>
      </c>
      <c r="HC118">
        <v>0.1</v>
      </c>
      <c r="HD118">
        <v>3</v>
      </c>
      <c r="HE118">
        <v>3</v>
      </c>
      <c r="HF118">
        <v>3</v>
      </c>
      <c r="HG118">
        <v>3</v>
      </c>
      <c r="HH118">
        <v>3</v>
      </c>
      <c r="HI118">
        <v>190</v>
      </c>
      <c r="HJ118">
        <v>3</v>
      </c>
      <c r="HK118">
        <v>30</v>
      </c>
      <c r="HL118">
        <v>2</v>
      </c>
      <c r="HM118">
        <v>0</v>
      </c>
      <c r="HN118">
        <v>2</v>
      </c>
      <c r="HO118">
        <v>145</v>
      </c>
      <c r="HP118">
        <v>3</v>
      </c>
      <c r="HQ118">
        <v>0</v>
      </c>
      <c r="HR118">
        <v>2</v>
      </c>
      <c r="HS118">
        <v>6986</v>
      </c>
      <c r="HT118">
        <v>210</v>
      </c>
      <c r="HU118">
        <v>180</v>
      </c>
      <c r="HW118">
        <v>0</v>
      </c>
      <c r="HX118">
        <v>580</v>
      </c>
      <c r="HY118">
        <v>0.18</v>
      </c>
      <c r="IA118">
        <v>0.15</v>
      </c>
      <c r="IB118">
        <v>0</v>
      </c>
      <c r="IC118">
        <v>180</v>
      </c>
      <c r="ID118">
        <v>110</v>
      </c>
      <c r="IE118">
        <v>225</v>
      </c>
      <c r="IF118">
        <v>0</v>
      </c>
      <c r="IH118" t="s">
        <v>549</v>
      </c>
      <c r="IO118">
        <v>3</v>
      </c>
      <c r="IP118">
        <v>17</v>
      </c>
      <c r="IQ118">
        <v>0</v>
      </c>
      <c r="IR118">
        <v>0</v>
      </c>
      <c r="IV118">
        <v>1301</v>
      </c>
      <c r="IW118">
        <v>532</v>
      </c>
      <c r="JA118">
        <v>1</v>
      </c>
      <c r="JB118">
        <v>0</v>
      </c>
      <c r="JC118">
        <v>2</v>
      </c>
      <c r="JD118">
        <v>1319</v>
      </c>
      <c r="JE118">
        <v>1312</v>
      </c>
      <c r="JF118">
        <v>1319</v>
      </c>
      <c r="JG118">
        <v>1298</v>
      </c>
      <c r="JH118">
        <v>0</v>
      </c>
      <c r="JJ118">
        <v>180</v>
      </c>
      <c r="JK118">
        <v>580</v>
      </c>
      <c r="JN118">
        <v>495</v>
      </c>
      <c r="JO118">
        <v>715</v>
      </c>
      <c r="JP118">
        <v>590</v>
      </c>
      <c r="JQ118">
        <v>0</v>
      </c>
      <c r="JR118">
        <v>534</v>
      </c>
      <c r="JS118">
        <v>190</v>
      </c>
      <c r="JV118">
        <v>8</v>
      </c>
      <c r="JW118" t="s">
        <v>550</v>
      </c>
      <c r="JX118">
        <v>570</v>
      </c>
      <c r="KA118">
        <v>225</v>
      </c>
      <c r="KB118">
        <v>110</v>
      </c>
      <c r="KC118">
        <v>0</v>
      </c>
      <c r="KD118">
        <v>80</v>
      </c>
      <c r="KF118">
        <v>4</v>
      </c>
      <c r="KG118">
        <v>2.5</v>
      </c>
      <c r="KH118">
        <v>2</v>
      </c>
      <c r="KI118">
        <v>2</v>
      </c>
      <c r="KJ118">
        <v>0</v>
      </c>
      <c r="KK118">
        <v>1.5</v>
      </c>
      <c r="KL118">
        <v>1.5</v>
      </c>
      <c r="KM118">
        <v>0</v>
      </c>
      <c r="KN118">
        <v>0</v>
      </c>
      <c r="KO118">
        <v>0</v>
      </c>
      <c r="KR118">
        <v>30</v>
      </c>
      <c r="KS118">
        <v>60</v>
      </c>
      <c r="KT118">
        <v>0</v>
      </c>
      <c r="LK118">
        <v>480</v>
      </c>
      <c r="PG118">
        <v>1</v>
      </c>
      <c r="PI118" t="s">
        <v>1992</v>
      </c>
      <c r="PJ118" t="s">
        <v>1994</v>
      </c>
      <c r="PK118" t="s">
        <v>1995</v>
      </c>
      <c r="PL118" t="s">
        <v>1993</v>
      </c>
      <c r="PP118" t="s">
        <v>1996</v>
      </c>
      <c r="PS118" t="s">
        <v>855</v>
      </c>
      <c r="PX118">
        <v>56</v>
      </c>
      <c r="PY118">
        <v>57</v>
      </c>
      <c r="PZ118" t="s">
        <v>1992</v>
      </c>
      <c r="QA118">
        <v>1</v>
      </c>
      <c r="QB118">
        <v>1298</v>
      </c>
      <c r="QC118">
        <v>69</v>
      </c>
      <c r="QD118">
        <v>69</v>
      </c>
      <c r="QE118" t="s">
        <v>1993</v>
      </c>
      <c r="QF118">
        <v>1</v>
      </c>
      <c r="QG118">
        <v>1319</v>
      </c>
      <c r="QH118">
        <v>66</v>
      </c>
      <c r="QI118">
        <v>66</v>
      </c>
      <c r="QJ118" t="s">
        <v>855</v>
      </c>
      <c r="QK118">
        <v>1</v>
      </c>
      <c r="QL118">
        <v>1319</v>
      </c>
      <c r="QM118">
        <v>62</v>
      </c>
      <c r="QN118">
        <v>62</v>
      </c>
      <c r="QO118" t="s">
        <v>1994</v>
      </c>
      <c r="QP118">
        <v>1</v>
      </c>
      <c r="QQ118">
        <v>1312</v>
      </c>
      <c r="QR118">
        <v>62</v>
      </c>
      <c r="QS118">
        <v>62</v>
      </c>
      <c r="QT118" t="s">
        <v>1995</v>
      </c>
      <c r="QU118">
        <v>1</v>
      </c>
      <c r="QV118">
        <v>1319</v>
      </c>
      <c r="QW118">
        <v>82</v>
      </c>
      <c r="QX118">
        <v>89</v>
      </c>
      <c r="QY118" t="s">
        <v>1996</v>
      </c>
      <c r="QZ118">
        <v>1</v>
      </c>
      <c r="RA118">
        <v>66</v>
      </c>
      <c r="RB118">
        <v>66</v>
      </c>
      <c r="RE118">
        <v>0</v>
      </c>
      <c r="RF118">
        <v>1</v>
      </c>
      <c r="RH118">
        <v>1</v>
      </c>
      <c r="RJ118">
        <v>1</v>
      </c>
      <c r="RK118">
        <v>3</v>
      </c>
      <c r="RL118">
        <v>2</v>
      </c>
      <c r="RM118">
        <v>2</v>
      </c>
      <c r="RO118">
        <v>701</v>
      </c>
      <c r="RP118">
        <v>142</v>
      </c>
      <c r="RQ118">
        <v>1119</v>
      </c>
      <c r="RR118">
        <v>827</v>
      </c>
      <c r="RT118">
        <v>245</v>
      </c>
      <c r="RU118">
        <v>324</v>
      </c>
      <c r="RV118" t="s">
        <v>1698</v>
      </c>
      <c r="RW118" t="s">
        <v>653</v>
      </c>
      <c r="RX118">
        <v>15</v>
      </c>
      <c r="RY118">
        <v>4</v>
      </c>
      <c r="RZ118" t="s">
        <v>653</v>
      </c>
      <c r="SA118">
        <v>15</v>
      </c>
      <c r="SC118" t="s">
        <v>1994</v>
      </c>
      <c r="SD118">
        <v>1</v>
      </c>
      <c r="SF118" t="s">
        <v>1995</v>
      </c>
      <c r="SG118">
        <v>1</v>
      </c>
      <c r="SH118">
        <v>0.995</v>
      </c>
      <c r="SI118">
        <v>0.995</v>
      </c>
      <c r="SJ118">
        <v>0.995</v>
      </c>
      <c r="SK118">
        <v>15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1</v>
      </c>
      <c r="SZ118">
        <v>1</v>
      </c>
      <c r="TB118">
        <v>0</v>
      </c>
      <c r="TC118">
        <v>0</v>
      </c>
      <c r="TD118">
        <v>7.5</v>
      </c>
      <c r="TE118" t="s">
        <v>553</v>
      </c>
      <c r="TF118" t="s">
        <v>624</v>
      </c>
      <c r="TG118" t="s">
        <v>555</v>
      </c>
      <c r="TI118" t="s">
        <v>546</v>
      </c>
      <c r="TJ118" t="s">
        <v>547</v>
      </c>
      <c r="TL118" t="s">
        <v>1888</v>
      </c>
      <c r="TM118" t="s">
        <v>513</v>
      </c>
      <c r="TN118">
        <v>0</v>
      </c>
      <c r="TO118" t="s">
        <v>557</v>
      </c>
    </row>
    <row r="119" spans="1:535">
      <c r="A119" t="s">
        <v>1997</v>
      </c>
      <c r="B119" t="s">
        <v>804</v>
      </c>
      <c r="C119" t="s">
        <v>509</v>
      </c>
      <c r="D119" t="s">
        <v>1941</v>
      </c>
      <c r="G119" t="s">
        <v>561</v>
      </c>
      <c r="I119" t="s">
        <v>562</v>
      </c>
      <c r="J119" t="s">
        <v>563</v>
      </c>
      <c r="L119" t="s">
        <v>512</v>
      </c>
      <c r="M119" t="s">
        <v>508</v>
      </c>
      <c r="N119" t="s">
        <v>513</v>
      </c>
      <c r="O119" t="s">
        <v>1255</v>
      </c>
      <c r="P119" t="s">
        <v>515</v>
      </c>
      <c r="Q119" t="s">
        <v>1998</v>
      </c>
      <c r="R119" t="s">
        <v>567</v>
      </c>
      <c r="S119" t="s">
        <v>660</v>
      </c>
      <c r="T119" t="s">
        <v>661</v>
      </c>
      <c r="U119" t="s">
        <v>662</v>
      </c>
      <c r="V119" t="s">
        <v>663</v>
      </c>
      <c r="W119" t="s">
        <v>914</v>
      </c>
      <c r="X119" t="s">
        <v>1880</v>
      </c>
      <c r="Y119" t="s">
        <v>524</v>
      </c>
      <c r="Z119" t="s">
        <v>1999</v>
      </c>
      <c r="AA119" t="s">
        <v>2000</v>
      </c>
      <c r="AB119" t="s">
        <v>2001</v>
      </c>
      <c r="AC119">
        <v>2</v>
      </c>
      <c r="AD119">
        <v>56</v>
      </c>
      <c r="AE119">
        <v>187</v>
      </c>
      <c r="AF119">
        <v>1.5</v>
      </c>
      <c r="AH119">
        <v>0</v>
      </c>
      <c r="AI119" t="s">
        <v>1331</v>
      </c>
      <c r="AJ119">
        <v>197.5</v>
      </c>
      <c r="AK119">
        <v>1</v>
      </c>
      <c r="AL119">
        <v>1.5</v>
      </c>
      <c r="AM119" t="s">
        <v>529</v>
      </c>
      <c r="AO119">
        <v>0</v>
      </c>
      <c r="AR119">
        <v>0</v>
      </c>
      <c r="AS119">
        <v>1.5</v>
      </c>
      <c r="AU119" t="s">
        <v>2002</v>
      </c>
      <c r="AW119" t="s">
        <v>2002</v>
      </c>
      <c r="AX119">
        <v>1</v>
      </c>
      <c r="AY119">
        <v>277.5</v>
      </c>
      <c r="AZ119">
        <v>1.5</v>
      </c>
      <c r="BA119" t="s">
        <v>529</v>
      </c>
      <c r="BB119" t="s">
        <v>2003</v>
      </c>
      <c r="BD119" t="s">
        <v>2003</v>
      </c>
      <c r="BE119">
        <v>1</v>
      </c>
      <c r="BF119">
        <v>232.5</v>
      </c>
      <c r="BG119">
        <v>1.5</v>
      </c>
      <c r="BJ119">
        <v>0</v>
      </c>
      <c r="BN119">
        <v>1.5</v>
      </c>
      <c r="BP119" t="s">
        <v>767</v>
      </c>
      <c r="BQ119">
        <v>88</v>
      </c>
      <c r="BR119">
        <v>2</v>
      </c>
      <c r="BS119" t="s">
        <v>768</v>
      </c>
      <c r="BT119">
        <v>209</v>
      </c>
      <c r="BU119">
        <v>0.5</v>
      </c>
      <c r="BV119" t="s">
        <v>768</v>
      </c>
      <c r="BW119">
        <v>418</v>
      </c>
      <c r="BX119">
        <v>1</v>
      </c>
      <c r="BY119" t="s">
        <v>643</v>
      </c>
      <c r="BZ119">
        <v>290</v>
      </c>
      <c r="CA119">
        <v>470</v>
      </c>
      <c r="CB119" t="s">
        <v>672</v>
      </c>
      <c r="CC119" t="s">
        <v>672</v>
      </c>
      <c r="CD119">
        <v>434</v>
      </c>
      <c r="CE119" t="s">
        <v>673</v>
      </c>
      <c r="CF119">
        <v>15</v>
      </c>
      <c r="CG119" t="s">
        <v>769</v>
      </c>
      <c r="CH119" t="s">
        <v>769</v>
      </c>
      <c r="CI119">
        <v>90</v>
      </c>
      <c r="CJ119">
        <v>1381</v>
      </c>
      <c r="CK119">
        <v>2</v>
      </c>
      <c r="CL119">
        <v>1475</v>
      </c>
      <c r="CM119">
        <v>2</v>
      </c>
      <c r="CN119" t="s">
        <v>675</v>
      </c>
      <c r="CO119" t="s">
        <v>676</v>
      </c>
      <c r="CP119" t="s">
        <v>595</v>
      </c>
      <c r="CQ119" t="s">
        <v>621</v>
      </c>
      <c r="CR119" t="s">
        <v>541</v>
      </c>
      <c r="CS119" t="s">
        <v>542</v>
      </c>
      <c r="CT119">
        <v>395</v>
      </c>
      <c r="CU119">
        <v>5</v>
      </c>
      <c r="CV119">
        <v>1.2</v>
      </c>
      <c r="CW119">
        <v>1393</v>
      </c>
      <c r="CX119">
        <v>779</v>
      </c>
      <c r="DD119">
        <v>0</v>
      </c>
      <c r="DE119" t="s">
        <v>622</v>
      </c>
      <c r="DF119">
        <v>555</v>
      </c>
      <c r="DG119">
        <v>3</v>
      </c>
      <c r="DH119">
        <v>0.88</v>
      </c>
      <c r="DI119">
        <v>1390</v>
      </c>
      <c r="DJ119">
        <v>890</v>
      </c>
      <c r="DK119" t="s">
        <v>622</v>
      </c>
      <c r="DL119">
        <v>465</v>
      </c>
      <c r="DM119">
        <v>3</v>
      </c>
      <c r="DN119">
        <v>0.88</v>
      </c>
      <c r="DO119">
        <v>1396</v>
      </c>
      <c r="DP119">
        <v>713</v>
      </c>
      <c r="DW119" t="s">
        <v>544</v>
      </c>
      <c r="DX119">
        <v>7.5</v>
      </c>
      <c r="EA119">
        <v>1464.3</v>
      </c>
      <c r="EB119">
        <v>259</v>
      </c>
      <c r="EC119" t="s">
        <v>545</v>
      </c>
      <c r="ED119">
        <v>40</v>
      </c>
      <c r="EE119">
        <v>3</v>
      </c>
      <c r="EG119">
        <v>1505</v>
      </c>
      <c r="EH119">
        <v>241</v>
      </c>
      <c r="EJ119">
        <v>0</v>
      </c>
      <c r="EK119">
        <v>1</v>
      </c>
      <c r="EN119">
        <v>0</v>
      </c>
      <c r="EP119" t="s">
        <v>546</v>
      </c>
      <c r="EQ119">
        <v>110</v>
      </c>
      <c r="ER119">
        <v>3</v>
      </c>
      <c r="ES119">
        <v>5.5</v>
      </c>
      <c r="ET119">
        <v>1378</v>
      </c>
      <c r="EU119">
        <v>487.8</v>
      </c>
      <c r="EV119">
        <v>672</v>
      </c>
      <c r="EW119" t="s">
        <v>547</v>
      </c>
      <c r="EX119">
        <v>70</v>
      </c>
      <c r="EY119">
        <v>2</v>
      </c>
      <c r="EZ119">
        <v>4.5</v>
      </c>
      <c r="FA119">
        <v>1378</v>
      </c>
      <c r="FB119">
        <v>227</v>
      </c>
      <c r="FC119">
        <v>313</v>
      </c>
      <c r="FE119">
        <v>0</v>
      </c>
      <c r="FF119">
        <v>2</v>
      </c>
      <c r="FI119">
        <v>0</v>
      </c>
      <c r="FK119" t="s">
        <v>548</v>
      </c>
      <c r="FL119">
        <v>0.4</v>
      </c>
      <c r="FM119">
        <v>105</v>
      </c>
      <c r="FN119">
        <v>140</v>
      </c>
      <c r="GR119" t="s">
        <v>548</v>
      </c>
      <c r="GS119">
        <v>0.4</v>
      </c>
      <c r="GT119">
        <v>30</v>
      </c>
      <c r="GU119">
        <v>380</v>
      </c>
      <c r="GV119">
        <v>30</v>
      </c>
      <c r="GW119">
        <v>250</v>
      </c>
      <c r="HC119">
        <v>0.1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165</v>
      </c>
      <c r="HJ119">
        <v>3</v>
      </c>
      <c r="HK119">
        <v>55</v>
      </c>
      <c r="HL119">
        <v>2</v>
      </c>
      <c r="HM119">
        <v>0</v>
      </c>
      <c r="HN119">
        <v>2</v>
      </c>
      <c r="HO119">
        <v>95</v>
      </c>
      <c r="HP119">
        <v>3</v>
      </c>
      <c r="HQ119">
        <v>0</v>
      </c>
      <c r="HR119">
        <v>2</v>
      </c>
      <c r="HS119">
        <v>5352</v>
      </c>
      <c r="HT119">
        <v>160</v>
      </c>
      <c r="HU119">
        <v>180</v>
      </c>
      <c r="HW119">
        <v>0</v>
      </c>
      <c r="HX119">
        <v>446</v>
      </c>
      <c r="HY119">
        <v>0.18</v>
      </c>
      <c r="IA119">
        <v>0.15</v>
      </c>
      <c r="IB119">
        <v>0</v>
      </c>
      <c r="IC119">
        <v>180</v>
      </c>
      <c r="ID119">
        <v>110</v>
      </c>
      <c r="IE119">
        <v>225</v>
      </c>
      <c r="IF119">
        <v>0</v>
      </c>
      <c r="IH119" t="s">
        <v>549</v>
      </c>
      <c r="IO119">
        <v>3</v>
      </c>
      <c r="IP119">
        <v>18</v>
      </c>
      <c r="IQ119">
        <v>0</v>
      </c>
      <c r="IR119">
        <v>1</v>
      </c>
      <c r="IV119">
        <v>1381</v>
      </c>
      <c r="IW119">
        <v>418</v>
      </c>
      <c r="IY119">
        <v>290</v>
      </c>
      <c r="JA119">
        <v>1</v>
      </c>
      <c r="JB119">
        <v>0</v>
      </c>
      <c r="JC119">
        <v>2</v>
      </c>
      <c r="JD119">
        <v>1393</v>
      </c>
      <c r="JE119">
        <v>1390</v>
      </c>
      <c r="JF119">
        <v>1396</v>
      </c>
      <c r="JG119">
        <v>1378</v>
      </c>
      <c r="JH119">
        <v>0</v>
      </c>
      <c r="JJ119">
        <v>180</v>
      </c>
      <c r="JK119">
        <v>446</v>
      </c>
      <c r="JN119">
        <v>395</v>
      </c>
      <c r="JO119">
        <v>555</v>
      </c>
      <c r="JP119">
        <v>465</v>
      </c>
      <c r="JQ119">
        <v>0</v>
      </c>
      <c r="JR119">
        <v>374</v>
      </c>
      <c r="JS119">
        <v>165</v>
      </c>
      <c r="JV119">
        <v>8</v>
      </c>
      <c r="JW119" t="s">
        <v>550</v>
      </c>
      <c r="JX119">
        <v>0</v>
      </c>
      <c r="KA119">
        <v>225</v>
      </c>
      <c r="KB119">
        <v>110</v>
      </c>
      <c r="KC119">
        <v>0</v>
      </c>
      <c r="KD119">
        <v>80</v>
      </c>
      <c r="KF119">
        <v>4</v>
      </c>
      <c r="KG119">
        <v>2.5</v>
      </c>
      <c r="KH119">
        <v>2</v>
      </c>
      <c r="KI119">
        <v>2</v>
      </c>
      <c r="KJ119">
        <v>0</v>
      </c>
      <c r="KK119">
        <v>1.5</v>
      </c>
      <c r="KL119">
        <v>1.5</v>
      </c>
      <c r="KM119">
        <v>0</v>
      </c>
      <c r="KN119">
        <v>0</v>
      </c>
      <c r="KO119">
        <v>0</v>
      </c>
      <c r="KR119">
        <v>50</v>
      </c>
      <c r="KS119">
        <v>60</v>
      </c>
      <c r="KT119">
        <v>0</v>
      </c>
      <c r="LK119">
        <v>480</v>
      </c>
      <c r="PG119">
        <v>1</v>
      </c>
      <c r="PI119" t="s">
        <v>2001</v>
      </c>
      <c r="PJ119" t="s">
        <v>2002</v>
      </c>
      <c r="PK119" t="s">
        <v>2003</v>
      </c>
      <c r="PL119" t="s">
        <v>1331</v>
      </c>
      <c r="PP119" t="s">
        <v>767</v>
      </c>
      <c r="PX119">
        <v>56</v>
      </c>
      <c r="PY119">
        <v>56</v>
      </c>
      <c r="PZ119" t="s">
        <v>2001</v>
      </c>
      <c r="QA119">
        <v>1</v>
      </c>
      <c r="QB119">
        <v>1378</v>
      </c>
      <c r="QC119">
        <v>69</v>
      </c>
      <c r="QD119">
        <v>69</v>
      </c>
      <c r="QE119" t="s">
        <v>1331</v>
      </c>
      <c r="QF119">
        <v>1</v>
      </c>
      <c r="QG119">
        <v>1393</v>
      </c>
      <c r="QH119">
        <v>66</v>
      </c>
      <c r="QI119">
        <v>66</v>
      </c>
      <c r="QL119">
        <v>0</v>
      </c>
      <c r="QM119">
        <v>62</v>
      </c>
      <c r="QN119">
        <v>62</v>
      </c>
      <c r="QO119" t="s">
        <v>2002</v>
      </c>
      <c r="QP119">
        <v>1</v>
      </c>
      <c r="QQ119">
        <v>1390</v>
      </c>
      <c r="QR119">
        <v>62</v>
      </c>
      <c r="QS119">
        <v>62</v>
      </c>
      <c r="QT119" t="s">
        <v>2003</v>
      </c>
      <c r="QU119">
        <v>1</v>
      </c>
      <c r="QV119">
        <v>1396</v>
      </c>
      <c r="QW119">
        <v>82</v>
      </c>
      <c r="QX119">
        <v>88</v>
      </c>
      <c r="QY119" t="s">
        <v>767</v>
      </c>
      <c r="QZ119">
        <v>1</v>
      </c>
      <c r="RA119">
        <v>66</v>
      </c>
      <c r="RB119">
        <v>66</v>
      </c>
      <c r="RE119">
        <v>0</v>
      </c>
      <c r="RF119">
        <v>1</v>
      </c>
      <c r="RH119">
        <v>1</v>
      </c>
      <c r="RJ119">
        <v>1</v>
      </c>
      <c r="RL119">
        <v>4</v>
      </c>
      <c r="RM119">
        <v>4</v>
      </c>
      <c r="RO119">
        <v>559</v>
      </c>
      <c r="RQ119">
        <v>640</v>
      </c>
      <c r="RR119">
        <v>511</v>
      </c>
      <c r="RT119">
        <v>259</v>
      </c>
      <c r="RU119">
        <v>241</v>
      </c>
      <c r="RV119" t="s">
        <v>770</v>
      </c>
      <c r="RW119" t="s">
        <v>679</v>
      </c>
      <c r="RX119">
        <v>15</v>
      </c>
      <c r="RY119">
        <v>4</v>
      </c>
      <c r="RZ119" t="s">
        <v>679</v>
      </c>
      <c r="SA119">
        <v>15</v>
      </c>
      <c r="SC119" t="s">
        <v>2002</v>
      </c>
      <c r="SD119">
        <v>1</v>
      </c>
      <c r="SF119" t="s">
        <v>2003</v>
      </c>
      <c r="SG119">
        <v>1</v>
      </c>
      <c r="SH119">
        <v>0.995</v>
      </c>
      <c r="SI119">
        <v>0.995</v>
      </c>
      <c r="SJ119">
        <v>0.995</v>
      </c>
      <c r="SK119">
        <v>15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Z119">
        <v>1</v>
      </c>
      <c r="TB119">
        <v>0</v>
      </c>
      <c r="TC119">
        <v>0</v>
      </c>
      <c r="TD119">
        <v>7.5</v>
      </c>
      <c r="TE119" t="s">
        <v>553</v>
      </c>
      <c r="TF119" t="s">
        <v>624</v>
      </c>
      <c r="TG119" t="s">
        <v>555</v>
      </c>
      <c r="TI119" t="s">
        <v>546</v>
      </c>
      <c r="TJ119" t="s">
        <v>547</v>
      </c>
      <c r="TL119" t="s">
        <v>1888</v>
      </c>
      <c r="TM119" t="s">
        <v>513</v>
      </c>
      <c r="TN119">
        <v>0</v>
      </c>
      <c r="TO119" t="s">
        <v>557</v>
      </c>
    </row>
    <row r="120" spans="1:535">
      <c r="A120" t="s">
        <v>2004</v>
      </c>
      <c r="B120" t="s">
        <v>804</v>
      </c>
      <c r="C120" t="s">
        <v>509</v>
      </c>
      <c r="D120" t="s">
        <v>2005</v>
      </c>
      <c r="G120" t="s">
        <v>1115</v>
      </c>
      <c r="I120" t="s">
        <v>562</v>
      </c>
      <c r="J120" t="s">
        <v>563</v>
      </c>
      <c r="L120" t="s">
        <v>512</v>
      </c>
      <c r="M120" t="s">
        <v>508</v>
      </c>
      <c r="N120" t="s">
        <v>513</v>
      </c>
      <c r="O120" t="s">
        <v>514</v>
      </c>
      <c r="P120" t="s">
        <v>515</v>
      </c>
      <c r="Q120" t="s">
        <v>2006</v>
      </c>
      <c r="R120" t="s">
        <v>567</v>
      </c>
      <c r="S120" t="s">
        <v>964</v>
      </c>
      <c r="T120" t="s">
        <v>965</v>
      </c>
      <c r="U120" t="s">
        <v>686</v>
      </c>
      <c r="V120" t="s">
        <v>687</v>
      </c>
      <c r="W120" t="s">
        <v>1710</v>
      </c>
      <c r="X120" t="s">
        <v>1880</v>
      </c>
      <c r="Y120" t="s">
        <v>524</v>
      </c>
      <c r="Z120" t="s">
        <v>2007</v>
      </c>
      <c r="AA120" t="s">
        <v>2008</v>
      </c>
      <c r="AB120" t="s">
        <v>2009</v>
      </c>
      <c r="AC120">
        <v>2</v>
      </c>
      <c r="AD120">
        <v>57</v>
      </c>
      <c r="AE120">
        <v>211</v>
      </c>
      <c r="AF120">
        <v>1.5</v>
      </c>
      <c r="AH120">
        <v>0</v>
      </c>
      <c r="AI120" t="s">
        <v>969</v>
      </c>
      <c r="AJ120">
        <v>192.5</v>
      </c>
      <c r="AK120">
        <v>1</v>
      </c>
      <c r="AL120">
        <v>1.5</v>
      </c>
      <c r="AM120" t="s">
        <v>579</v>
      </c>
      <c r="AN120" t="s">
        <v>693</v>
      </c>
      <c r="AO120">
        <v>2</v>
      </c>
      <c r="AP120" t="s">
        <v>581</v>
      </c>
      <c r="AQ120" t="s">
        <v>582</v>
      </c>
      <c r="AR120">
        <v>229</v>
      </c>
      <c r="AS120">
        <v>1.5</v>
      </c>
      <c r="AT120" t="s">
        <v>583</v>
      </c>
      <c r="AU120" t="s">
        <v>2010</v>
      </c>
      <c r="AW120" t="s">
        <v>2010</v>
      </c>
      <c r="AX120">
        <v>1</v>
      </c>
      <c r="AY120">
        <v>342.5</v>
      </c>
      <c r="AZ120">
        <v>1.5</v>
      </c>
      <c r="BA120" t="s">
        <v>579</v>
      </c>
      <c r="BG120">
        <v>1.5</v>
      </c>
      <c r="BJ120">
        <v>0</v>
      </c>
      <c r="BN120">
        <v>1.5</v>
      </c>
      <c r="BP120" t="s">
        <v>1436</v>
      </c>
      <c r="BQ120">
        <v>89</v>
      </c>
      <c r="BR120">
        <v>2</v>
      </c>
      <c r="BS120" t="s">
        <v>1342</v>
      </c>
      <c r="BT120">
        <v>210</v>
      </c>
      <c r="BU120">
        <v>0.5</v>
      </c>
      <c r="BV120" t="s">
        <v>1342</v>
      </c>
      <c r="BW120">
        <v>420</v>
      </c>
      <c r="BX120">
        <v>1</v>
      </c>
      <c r="BY120" t="s">
        <v>698</v>
      </c>
      <c r="BZ120">
        <v>300</v>
      </c>
      <c r="CA120">
        <v>480</v>
      </c>
      <c r="CB120" t="s">
        <v>699</v>
      </c>
      <c r="CC120" t="s">
        <v>699</v>
      </c>
      <c r="CD120">
        <v>448</v>
      </c>
      <c r="CE120" t="s">
        <v>700</v>
      </c>
      <c r="CF120">
        <v>15</v>
      </c>
      <c r="CG120" t="s">
        <v>783</v>
      </c>
      <c r="CH120" t="s">
        <v>783</v>
      </c>
      <c r="CI120">
        <v>90</v>
      </c>
      <c r="CJ120">
        <v>1458</v>
      </c>
      <c r="CK120">
        <v>2</v>
      </c>
      <c r="CL120">
        <v>1552</v>
      </c>
      <c r="CM120">
        <v>2</v>
      </c>
      <c r="CN120" t="s">
        <v>702</v>
      </c>
      <c r="CO120" t="s">
        <v>676</v>
      </c>
      <c r="CP120" t="s">
        <v>703</v>
      </c>
      <c r="CQ120" t="s">
        <v>1343</v>
      </c>
      <c r="CR120" t="s">
        <v>541</v>
      </c>
      <c r="CS120" t="s">
        <v>542</v>
      </c>
      <c r="CT120">
        <v>385</v>
      </c>
      <c r="CU120">
        <v>5</v>
      </c>
      <c r="CV120">
        <v>1.2</v>
      </c>
      <c r="CW120">
        <v>1475</v>
      </c>
      <c r="CX120">
        <v>804</v>
      </c>
      <c r="CY120" t="s">
        <v>705</v>
      </c>
      <c r="CZ120">
        <v>50</v>
      </c>
      <c r="DA120">
        <v>3</v>
      </c>
      <c r="DB120">
        <v>1</v>
      </c>
      <c r="DC120">
        <v>1475</v>
      </c>
      <c r="DD120">
        <v>77</v>
      </c>
      <c r="DE120" t="s">
        <v>543</v>
      </c>
      <c r="DF120">
        <v>685</v>
      </c>
      <c r="DG120">
        <v>3</v>
      </c>
      <c r="DH120">
        <v>1.18</v>
      </c>
      <c r="DI120">
        <v>1468</v>
      </c>
      <c r="DJ120">
        <v>1558</v>
      </c>
      <c r="DW120" t="s">
        <v>544</v>
      </c>
      <c r="DX120">
        <v>7.5</v>
      </c>
      <c r="EA120">
        <v>1540.9</v>
      </c>
      <c r="EB120">
        <v>272</v>
      </c>
      <c r="EC120" t="s">
        <v>545</v>
      </c>
      <c r="ED120">
        <v>35</v>
      </c>
      <c r="EE120">
        <v>3</v>
      </c>
      <c r="EG120">
        <v>1582</v>
      </c>
      <c r="EH120">
        <v>221</v>
      </c>
      <c r="EJ120">
        <v>0</v>
      </c>
      <c r="EK120">
        <v>1</v>
      </c>
      <c r="EN120">
        <v>0</v>
      </c>
      <c r="EP120" t="s">
        <v>546</v>
      </c>
      <c r="EQ120">
        <v>95</v>
      </c>
      <c r="ER120">
        <v>3</v>
      </c>
      <c r="ES120">
        <v>5.5</v>
      </c>
      <c r="ET120">
        <v>1454</v>
      </c>
      <c r="EU120">
        <v>390.2</v>
      </c>
      <c r="EV120">
        <v>567</v>
      </c>
      <c r="EW120" t="s">
        <v>547</v>
      </c>
      <c r="EX120">
        <v>45</v>
      </c>
      <c r="EY120">
        <v>2</v>
      </c>
      <c r="EZ120">
        <v>4</v>
      </c>
      <c r="FA120">
        <v>1454</v>
      </c>
      <c r="FB120">
        <v>133.6</v>
      </c>
      <c r="FC120">
        <v>194</v>
      </c>
      <c r="FE120">
        <v>0</v>
      </c>
      <c r="FF120">
        <v>2</v>
      </c>
      <c r="FI120">
        <v>0</v>
      </c>
      <c r="FK120" t="s">
        <v>548</v>
      </c>
      <c r="FL120">
        <v>0.4</v>
      </c>
      <c r="FM120">
        <v>45</v>
      </c>
      <c r="FN120">
        <v>360</v>
      </c>
      <c r="FO120">
        <v>75</v>
      </c>
      <c r="FP120">
        <v>140</v>
      </c>
      <c r="FR120" t="s">
        <v>548</v>
      </c>
      <c r="FS120">
        <v>0.4</v>
      </c>
      <c r="FT120">
        <v>30</v>
      </c>
      <c r="FU120">
        <v>380</v>
      </c>
      <c r="HC120">
        <v>0.1</v>
      </c>
      <c r="HD120">
        <v>3</v>
      </c>
      <c r="HE120">
        <v>3</v>
      </c>
      <c r="HF120">
        <v>3</v>
      </c>
      <c r="HG120">
        <v>3</v>
      </c>
      <c r="HH120">
        <v>3</v>
      </c>
      <c r="HI120">
        <v>125</v>
      </c>
      <c r="HJ120">
        <v>3</v>
      </c>
      <c r="HK120">
        <v>30</v>
      </c>
      <c r="HL120">
        <v>2</v>
      </c>
      <c r="HM120">
        <v>0</v>
      </c>
      <c r="HN120">
        <v>2</v>
      </c>
      <c r="HO120">
        <v>80</v>
      </c>
      <c r="HP120">
        <v>3</v>
      </c>
      <c r="HQ120">
        <v>0</v>
      </c>
      <c r="HR120">
        <v>2</v>
      </c>
      <c r="HS120">
        <v>5024</v>
      </c>
      <c r="HT120">
        <v>150</v>
      </c>
      <c r="HU120">
        <v>180</v>
      </c>
      <c r="HW120">
        <v>20</v>
      </c>
      <c r="HX120">
        <v>450</v>
      </c>
      <c r="HY120">
        <v>0.18</v>
      </c>
      <c r="IA120">
        <v>0.15</v>
      </c>
      <c r="IB120">
        <v>0</v>
      </c>
      <c r="IC120">
        <v>180</v>
      </c>
      <c r="ID120">
        <v>110</v>
      </c>
      <c r="IE120">
        <v>0</v>
      </c>
      <c r="IF120">
        <v>0</v>
      </c>
      <c r="IH120" t="s">
        <v>549</v>
      </c>
      <c r="IO120">
        <v>1</v>
      </c>
      <c r="IP120">
        <v>19</v>
      </c>
      <c r="IQ120">
        <v>0</v>
      </c>
      <c r="IR120">
        <v>0</v>
      </c>
      <c r="IV120">
        <v>1458</v>
      </c>
      <c r="IW120">
        <v>420</v>
      </c>
      <c r="JA120">
        <v>1</v>
      </c>
      <c r="JB120">
        <v>0</v>
      </c>
      <c r="JC120">
        <v>2</v>
      </c>
      <c r="JD120">
        <v>1475</v>
      </c>
      <c r="JE120">
        <v>1468</v>
      </c>
      <c r="JF120">
        <v>0</v>
      </c>
      <c r="JG120">
        <v>1454</v>
      </c>
      <c r="JH120">
        <v>0</v>
      </c>
      <c r="JJ120">
        <v>180</v>
      </c>
      <c r="JK120">
        <v>450</v>
      </c>
      <c r="JN120">
        <v>385</v>
      </c>
      <c r="JO120">
        <v>685</v>
      </c>
      <c r="JP120">
        <v>0</v>
      </c>
      <c r="JQ120">
        <v>0</v>
      </c>
      <c r="JR120">
        <v>422</v>
      </c>
      <c r="JS120">
        <v>125</v>
      </c>
      <c r="JV120">
        <v>8</v>
      </c>
      <c r="JW120" t="s">
        <v>550</v>
      </c>
      <c r="JX120">
        <v>458</v>
      </c>
      <c r="KA120">
        <v>0</v>
      </c>
      <c r="KB120">
        <v>110</v>
      </c>
      <c r="KC120">
        <v>0</v>
      </c>
      <c r="KD120">
        <v>80</v>
      </c>
      <c r="KF120">
        <v>4</v>
      </c>
      <c r="KG120">
        <v>2</v>
      </c>
      <c r="KH120">
        <v>2</v>
      </c>
      <c r="KI120">
        <v>2</v>
      </c>
      <c r="KJ120">
        <v>0</v>
      </c>
      <c r="KK120">
        <v>1.5</v>
      </c>
      <c r="KL120">
        <v>1.5</v>
      </c>
      <c r="KM120">
        <v>0</v>
      </c>
      <c r="KN120">
        <v>0</v>
      </c>
      <c r="KO120">
        <v>0</v>
      </c>
      <c r="KR120">
        <v>20</v>
      </c>
      <c r="KS120">
        <v>60</v>
      </c>
      <c r="KT120">
        <v>0</v>
      </c>
      <c r="LK120">
        <v>480</v>
      </c>
      <c r="PG120">
        <v>1</v>
      </c>
      <c r="PI120" t="s">
        <v>2009</v>
      </c>
      <c r="PJ120" t="s">
        <v>2010</v>
      </c>
      <c r="PL120" t="s">
        <v>969</v>
      </c>
      <c r="PP120" t="s">
        <v>1436</v>
      </c>
      <c r="PS120" t="s">
        <v>693</v>
      </c>
      <c r="PX120">
        <v>56</v>
      </c>
      <c r="PY120">
        <v>57</v>
      </c>
      <c r="PZ120" t="s">
        <v>2009</v>
      </c>
      <c r="QA120">
        <v>1</v>
      </c>
      <c r="QB120">
        <v>1454</v>
      </c>
      <c r="QC120">
        <v>69</v>
      </c>
      <c r="QD120">
        <v>69</v>
      </c>
      <c r="QE120" t="s">
        <v>969</v>
      </c>
      <c r="QF120">
        <v>1</v>
      </c>
      <c r="QG120">
        <v>1475</v>
      </c>
      <c r="QH120">
        <v>66</v>
      </c>
      <c r="QI120">
        <v>66</v>
      </c>
      <c r="QJ120" t="s">
        <v>693</v>
      </c>
      <c r="QK120">
        <v>1</v>
      </c>
      <c r="QL120">
        <v>1475</v>
      </c>
      <c r="QM120">
        <v>62</v>
      </c>
      <c r="QN120">
        <v>62</v>
      </c>
      <c r="QO120" t="s">
        <v>2010</v>
      </c>
      <c r="QP120">
        <v>1</v>
      </c>
      <c r="QQ120">
        <v>1468</v>
      </c>
      <c r="QW120">
        <v>82</v>
      </c>
      <c r="QX120">
        <v>89</v>
      </c>
      <c r="QY120" t="s">
        <v>1436</v>
      </c>
      <c r="QZ120">
        <v>1</v>
      </c>
      <c r="RA120">
        <v>66</v>
      </c>
      <c r="RB120">
        <v>66</v>
      </c>
      <c r="RE120">
        <v>0</v>
      </c>
      <c r="RF120">
        <v>1</v>
      </c>
      <c r="RJ120">
        <v>1</v>
      </c>
      <c r="RK120">
        <v>2</v>
      </c>
      <c r="RL120">
        <v>2</v>
      </c>
      <c r="RO120">
        <v>545</v>
      </c>
      <c r="RP120">
        <v>105</v>
      </c>
      <c r="RQ120">
        <v>1061</v>
      </c>
      <c r="RT120">
        <v>272</v>
      </c>
      <c r="RU120">
        <v>221</v>
      </c>
      <c r="RV120" t="s">
        <v>1344</v>
      </c>
      <c r="RW120" t="s">
        <v>707</v>
      </c>
      <c r="RX120">
        <v>15</v>
      </c>
      <c r="RY120">
        <v>4</v>
      </c>
      <c r="RZ120" t="s">
        <v>707</v>
      </c>
      <c r="SA120">
        <v>15</v>
      </c>
      <c r="SC120" t="s">
        <v>2010</v>
      </c>
      <c r="SD120">
        <v>1</v>
      </c>
      <c r="SH120">
        <v>0.995</v>
      </c>
      <c r="SI120">
        <v>0.995</v>
      </c>
      <c r="SJ120">
        <v>0.995</v>
      </c>
      <c r="SK120">
        <v>15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1</v>
      </c>
      <c r="TB120">
        <v>0</v>
      </c>
      <c r="TC120">
        <v>0</v>
      </c>
      <c r="TD120">
        <v>7.5</v>
      </c>
      <c r="TE120" t="s">
        <v>553</v>
      </c>
      <c r="TF120" t="s">
        <v>624</v>
      </c>
      <c r="TG120" t="s">
        <v>555</v>
      </c>
      <c r="TI120" t="s">
        <v>546</v>
      </c>
      <c r="TJ120" t="s">
        <v>547</v>
      </c>
      <c r="TL120" t="s">
        <v>1888</v>
      </c>
      <c r="TM120" t="s">
        <v>513</v>
      </c>
      <c r="TN120">
        <v>0</v>
      </c>
      <c r="TO120" t="s">
        <v>557</v>
      </c>
    </row>
    <row r="121" spans="1:535">
      <c r="A121" t="s">
        <v>2011</v>
      </c>
      <c r="B121" t="s">
        <v>804</v>
      </c>
      <c r="C121" t="s">
        <v>509</v>
      </c>
      <c r="D121" t="s">
        <v>2012</v>
      </c>
      <c r="G121" t="s">
        <v>1088</v>
      </c>
      <c r="I121" t="s">
        <v>562</v>
      </c>
      <c r="J121" t="s">
        <v>563</v>
      </c>
      <c r="L121" t="s">
        <v>512</v>
      </c>
      <c r="M121" t="s">
        <v>508</v>
      </c>
      <c r="N121" t="s">
        <v>513</v>
      </c>
      <c r="O121" t="s">
        <v>1942</v>
      </c>
      <c r="P121" t="s">
        <v>515</v>
      </c>
      <c r="Q121" t="s">
        <v>2013</v>
      </c>
      <c r="R121" t="s">
        <v>567</v>
      </c>
      <c r="S121" t="s">
        <v>926</v>
      </c>
      <c r="T121" t="s">
        <v>927</v>
      </c>
      <c r="U121" t="s">
        <v>570</v>
      </c>
      <c r="V121" t="s">
        <v>571</v>
      </c>
      <c r="W121" t="s">
        <v>928</v>
      </c>
      <c r="X121" t="s">
        <v>1880</v>
      </c>
      <c r="Y121" t="s">
        <v>574</v>
      </c>
      <c r="Z121" t="s">
        <v>2014</v>
      </c>
      <c r="AA121" t="s">
        <v>2015</v>
      </c>
      <c r="AB121" t="s">
        <v>2016</v>
      </c>
      <c r="AC121">
        <v>2</v>
      </c>
      <c r="AD121">
        <v>57</v>
      </c>
      <c r="AE121">
        <v>230</v>
      </c>
      <c r="AF121">
        <v>1.5</v>
      </c>
      <c r="AH121">
        <v>0</v>
      </c>
      <c r="AI121" t="s">
        <v>1246</v>
      </c>
      <c r="AJ121">
        <v>210</v>
      </c>
      <c r="AK121">
        <v>1</v>
      </c>
      <c r="AL121">
        <v>1.5</v>
      </c>
      <c r="AM121" t="s">
        <v>579</v>
      </c>
      <c r="AN121" t="s">
        <v>795</v>
      </c>
      <c r="AO121">
        <v>2</v>
      </c>
      <c r="AP121" t="s">
        <v>581</v>
      </c>
      <c r="AQ121" t="s">
        <v>582</v>
      </c>
      <c r="AR121">
        <v>258</v>
      </c>
      <c r="AS121">
        <v>1.5</v>
      </c>
      <c r="AT121" t="s">
        <v>583</v>
      </c>
      <c r="AU121" t="s">
        <v>2017</v>
      </c>
      <c r="AW121" t="s">
        <v>2017</v>
      </c>
      <c r="AX121">
        <v>1</v>
      </c>
      <c r="AY121">
        <v>297.5</v>
      </c>
      <c r="AZ121">
        <v>1.5</v>
      </c>
      <c r="BA121" t="s">
        <v>579</v>
      </c>
      <c r="BB121" t="s">
        <v>2018</v>
      </c>
      <c r="BD121" t="s">
        <v>2018</v>
      </c>
      <c r="BE121">
        <v>1</v>
      </c>
      <c r="BF121">
        <v>252.5</v>
      </c>
      <c r="BG121">
        <v>1.5</v>
      </c>
      <c r="BJ121">
        <v>0</v>
      </c>
      <c r="BN121">
        <v>1.5</v>
      </c>
      <c r="BP121" t="s">
        <v>2019</v>
      </c>
      <c r="BQ121" t="s">
        <v>587</v>
      </c>
      <c r="BR121">
        <v>2</v>
      </c>
      <c r="BS121" t="s">
        <v>1886</v>
      </c>
      <c r="BT121">
        <v>229</v>
      </c>
      <c r="BU121">
        <v>0.5</v>
      </c>
      <c r="BV121" t="s">
        <v>1886</v>
      </c>
      <c r="BW121">
        <v>458</v>
      </c>
      <c r="BX121">
        <v>1</v>
      </c>
      <c r="BY121" t="s">
        <v>589</v>
      </c>
      <c r="BZ121">
        <v>470</v>
      </c>
      <c r="CA121">
        <v>610</v>
      </c>
      <c r="CB121" t="s">
        <v>590</v>
      </c>
      <c r="CC121" t="s">
        <v>590</v>
      </c>
      <c r="CD121">
        <v>488</v>
      </c>
      <c r="CE121" t="s">
        <v>591</v>
      </c>
      <c r="CF121">
        <v>15</v>
      </c>
      <c r="CG121" t="s">
        <v>2020</v>
      </c>
      <c r="CH121" t="s">
        <v>2020</v>
      </c>
      <c r="CI121">
        <v>70</v>
      </c>
      <c r="CJ121">
        <v>1538</v>
      </c>
      <c r="CK121">
        <v>2</v>
      </c>
      <c r="CL121">
        <v>1632</v>
      </c>
      <c r="CM121">
        <v>2</v>
      </c>
      <c r="CN121" t="s">
        <v>593</v>
      </c>
      <c r="CO121" t="s">
        <v>594</v>
      </c>
      <c r="CP121" t="s">
        <v>595</v>
      </c>
      <c r="CQ121" t="s">
        <v>596</v>
      </c>
      <c r="CR121" t="s">
        <v>541</v>
      </c>
      <c r="CS121" t="s">
        <v>542</v>
      </c>
      <c r="CT121">
        <v>420</v>
      </c>
      <c r="CU121">
        <v>5</v>
      </c>
      <c r="CV121">
        <v>1.2</v>
      </c>
      <c r="CW121">
        <v>1554</v>
      </c>
      <c r="CX121">
        <v>925</v>
      </c>
      <c r="CY121" t="s">
        <v>705</v>
      </c>
      <c r="CZ121">
        <v>60</v>
      </c>
      <c r="DA121">
        <v>3</v>
      </c>
      <c r="DB121">
        <v>1</v>
      </c>
      <c r="DC121">
        <v>1554</v>
      </c>
      <c r="DD121">
        <v>97</v>
      </c>
      <c r="DE121" t="s">
        <v>622</v>
      </c>
      <c r="DF121">
        <v>595</v>
      </c>
      <c r="DG121">
        <v>3</v>
      </c>
      <c r="DH121">
        <v>0.88</v>
      </c>
      <c r="DI121">
        <v>1547</v>
      </c>
      <c r="DJ121">
        <v>1084</v>
      </c>
      <c r="DK121" t="s">
        <v>622</v>
      </c>
      <c r="DL121">
        <v>505</v>
      </c>
      <c r="DM121">
        <v>3</v>
      </c>
      <c r="DN121">
        <v>0.88</v>
      </c>
      <c r="DO121">
        <v>1552</v>
      </c>
      <c r="DP121">
        <v>896</v>
      </c>
      <c r="DW121" t="s">
        <v>544</v>
      </c>
      <c r="DX121">
        <v>9.4</v>
      </c>
      <c r="EA121">
        <v>1623.8</v>
      </c>
      <c r="EB121">
        <v>381</v>
      </c>
      <c r="EC121" t="s">
        <v>545</v>
      </c>
      <c r="ED121">
        <v>40</v>
      </c>
      <c r="EE121">
        <v>3</v>
      </c>
      <c r="EG121">
        <v>1665</v>
      </c>
      <c r="EH121">
        <v>325</v>
      </c>
      <c r="EJ121">
        <v>0</v>
      </c>
      <c r="EK121">
        <v>1</v>
      </c>
      <c r="EN121">
        <v>0</v>
      </c>
      <c r="EP121" t="s">
        <v>546</v>
      </c>
      <c r="EQ121">
        <v>115</v>
      </c>
      <c r="ER121">
        <v>3</v>
      </c>
      <c r="ES121">
        <v>5.5</v>
      </c>
      <c r="ET121">
        <v>1534</v>
      </c>
      <c r="EU121">
        <v>484.5</v>
      </c>
      <c r="EV121">
        <v>743</v>
      </c>
      <c r="EW121" t="s">
        <v>547</v>
      </c>
      <c r="EX121">
        <v>45</v>
      </c>
      <c r="EY121">
        <v>2</v>
      </c>
      <c r="EZ121">
        <v>4.5</v>
      </c>
      <c r="FA121">
        <v>1534</v>
      </c>
      <c r="FB121">
        <v>138.3</v>
      </c>
      <c r="FC121">
        <v>212</v>
      </c>
      <c r="FE121">
        <v>0</v>
      </c>
      <c r="FF121">
        <v>2</v>
      </c>
      <c r="FI121">
        <v>0</v>
      </c>
      <c r="FK121" t="s">
        <v>548</v>
      </c>
      <c r="FL121">
        <v>0.4</v>
      </c>
      <c r="FM121">
        <v>50</v>
      </c>
      <c r="FN121">
        <v>400</v>
      </c>
      <c r="FO121">
        <v>80</v>
      </c>
      <c r="FP121">
        <v>170</v>
      </c>
      <c r="GR121" t="s">
        <v>548</v>
      </c>
      <c r="GS121">
        <v>0.6</v>
      </c>
      <c r="GT121">
        <v>30</v>
      </c>
      <c r="GU121">
        <v>420</v>
      </c>
      <c r="GV121">
        <v>30</v>
      </c>
      <c r="GW121">
        <v>290</v>
      </c>
      <c r="HC121">
        <v>0.1</v>
      </c>
      <c r="HD121">
        <v>3</v>
      </c>
      <c r="HE121">
        <v>3</v>
      </c>
      <c r="HF121">
        <v>3</v>
      </c>
      <c r="HG121">
        <v>3</v>
      </c>
      <c r="HH121">
        <v>3</v>
      </c>
      <c r="HI121">
        <v>145</v>
      </c>
      <c r="HJ121">
        <v>3</v>
      </c>
      <c r="HK121">
        <v>30</v>
      </c>
      <c r="HL121">
        <v>2</v>
      </c>
      <c r="HM121">
        <v>0</v>
      </c>
      <c r="HN121">
        <v>2</v>
      </c>
      <c r="HO121">
        <v>100</v>
      </c>
      <c r="HP121">
        <v>3</v>
      </c>
      <c r="HQ121">
        <v>0</v>
      </c>
      <c r="HR121">
        <v>2</v>
      </c>
      <c r="HS121">
        <v>6421</v>
      </c>
      <c r="HT121">
        <v>190</v>
      </c>
      <c r="HU121">
        <v>180</v>
      </c>
      <c r="HW121">
        <v>0</v>
      </c>
      <c r="HX121">
        <v>530</v>
      </c>
      <c r="HY121">
        <v>0.18</v>
      </c>
      <c r="IA121">
        <v>0.15</v>
      </c>
      <c r="IB121">
        <v>0</v>
      </c>
      <c r="IC121">
        <v>180</v>
      </c>
      <c r="ID121">
        <v>110</v>
      </c>
      <c r="IE121">
        <v>225</v>
      </c>
      <c r="IF121">
        <v>0</v>
      </c>
      <c r="IH121" t="s">
        <v>549</v>
      </c>
      <c r="IO121">
        <v>3</v>
      </c>
      <c r="IP121">
        <v>20</v>
      </c>
      <c r="IQ121">
        <v>0</v>
      </c>
      <c r="IR121">
        <v>0</v>
      </c>
      <c r="IV121">
        <v>1538</v>
      </c>
      <c r="IW121">
        <v>458</v>
      </c>
      <c r="JA121">
        <v>1</v>
      </c>
      <c r="JB121">
        <v>0</v>
      </c>
      <c r="JC121">
        <v>2</v>
      </c>
      <c r="JD121">
        <v>1554</v>
      </c>
      <c r="JE121">
        <v>1547</v>
      </c>
      <c r="JF121">
        <v>1552</v>
      </c>
      <c r="JG121">
        <v>1534</v>
      </c>
      <c r="JH121">
        <v>0</v>
      </c>
      <c r="JJ121">
        <v>180</v>
      </c>
      <c r="JK121">
        <v>530</v>
      </c>
      <c r="JN121">
        <v>420</v>
      </c>
      <c r="JO121">
        <v>595</v>
      </c>
      <c r="JP121">
        <v>505</v>
      </c>
      <c r="JQ121">
        <v>0</v>
      </c>
      <c r="JR121">
        <v>460</v>
      </c>
      <c r="JS121">
        <v>145</v>
      </c>
      <c r="JV121">
        <v>10</v>
      </c>
      <c r="JW121" t="s">
        <v>550</v>
      </c>
      <c r="JX121">
        <v>516</v>
      </c>
      <c r="KA121">
        <v>225</v>
      </c>
      <c r="KB121">
        <v>110</v>
      </c>
      <c r="KC121">
        <v>0</v>
      </c>
      <c r="KD121">
        <v>80</v>
      </c>
      <c r="KF121">
        <v>4</v>
      </c>
      <c r="KG121">
        <v>2</v>
      </c>
      <c r="KH121">
        <v>2</v>
      </c>
      <c r="KI121">
        <v>2</v>
      </c>
      <c r="KJ121">
        <v>0</v>
      </c>
      <c r="KK121">
        <v>1.5</v>
      </c>
      <c r="KL121">
        <v>1.5</v>
      </c>
      <c r="KM121">
        <v>0</v>
      </c>
      <c r="KN121">
        <v>0</v>
      </c>
      <c r="KO121">
        <v>0</v>
      </c>
      <c r="KR121">
        <v>30</v>
      </c>
      <c r="KS121">
        <v>60</v>
      </c>
      <c r="KT121">
        <v>0</v>
      </c>
      <c r="LK121">
        <v>480</v>
      </c>
      <c r="PG121">
        <v>1</v>
      </c>
      <c r="PI121" t="s">
        <v>2016</v>
      </c>
      <c r="PJ121" t="s">
        <v>2017</v>
      </c>
      <c r="PK121" t="s">
        <v>2018</v>
      </c>
      <c r="PL121" t="s">
        <v>1246</v>
      </c>
      <c r="PP121" t="s">
        <v>2019</v>
      </c>
      <c r="PS121" t="s">
        <v>795</v>
      </c>
      <c r="PX121">
        <v>56</v>
      </c>
      <c r="PY121">
        <v>57</v>
      </c>
      <c r="PZ121" t="s">
        <v>2016</v>
      </c>
      <c r="QA121">
        <v>1</v>
      </c>
      <c r="QB121">
        <v>1534</v>
      </c>
      <c r="QC121">
        <v>69</v>
      </c>
      <c r="QD121">
        <v>69</v>
      </c>
      <c r="QE121" t="s">
        <v>1246</v>
      </c>
      <c r="QF121">
        <v>1</v>
      </c>
      <c r="QG121">
        <v>1554</v>
      </c>
      <c r="QH121">
        <v>66</v>
      </c>
      <c r="QI121">
        <v>66</v>
      </c>
      <c r="QJ121" t="s">
        <v>795</v>
      </c>
      <c r="QK121">
        <v>1</v>
      </c>
      <c r="QL121">
        <v>1554</v>
      </c>
      <c r="QM121">
        <v>62</v>
      </c>
      <c r="QN121">
        <v>62</v>
      </c>
      <c r="QO121" t="s">
        <v>2017</v>
      </c>
      <c r="QP121">
        <v>1</v>
      </c>
      <c r="QQ121">
        <v>1547</v>
      </c>
      <c r="QR121">
        <v>62</v>
      </c>
      <c r="QS121">
        <v>62</v>
      </c>
      <c r="QT121" t="s">
        <v>2018</v>
      </c>
      <c r="QU121">
        <v>1</v>
      </c>
      <c r="QV121">
        <v>1552</v>
      </c>
      <c r="QW121">
        <v>82</v>
      </c>
      <c r="QX121" t="s">
        <v>587</v>
      </c>
      <c r="QY121" t="s">
        <v>2019</v>
      </c>
      <c r="QZ121">
        <v>2</v>
      </c>
      <c r="RA121">
        <v>66</v>
      </c>
      <c r="RB121">
        <v>66</v>
      </c>
      <c r="RE121">
        <v>0</v>
      </c>
      <c r="RF121">
        <v>1</v>
      </c>
      <c r="RH121">
        <v>1</v>
      </c>
      <c r="RJ121">
        <v>1</v>
      </c>
      <c r="RK121">
        <v>2</v>
      </c>
      <c r="RL121">
        <v>4</v>
      </c>
      <c r="RM121">
        <v>4</v>
      </c>
      <c r="RO121">
        <v>595</v>
      </c>
      <c r="RP121">
        <v>125</v>
      </c>
      <c r="RQ121">
        <v>701</v>
      </c>
      <c r="RR121">
        <v>577</v>
      </c>
      <c r="RT121">
        <v>381</v>
      </c>
      <c r="RU121">
        <v>325</v>
      </c>
      <c r="RV121" t="s">
        <v>1887</v>
      </c>
      <c r="RW121" t="s">
        <v>599</v>
      </c>
      <c r="RX121">
        <v>15</v>
      </c>
      <c r="RY121">
        <v>4</v>
      </c>
      <c r="RZ121" t="s">
        <v>599</v>
      </c>
      <c r="SA121">
        <v>15</v>
      </c>
      <c r="SC121" t="s">
        <v>2017</v>
      </c>
      <c r="SD121">
        <v>1</v>
      </c>
      <c r="SF121" t="s">
        <v>2018</v>
      </c>
      <c r="SG121">
        <v>1</v>
      </c>
      <c r="SH121">
        <v>0.995</v>
      </c>
      <c r="SI121">
        <v>0.995</v>
      </c>
      <c r="SJ121">
        <v>0.995</v>
      </c>
      <c r="SK121">
        <v>15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1</v>
      </c>
      <c r="SZ121">
        <v>1</v>
      </c>
      <c r="TB121">
        <v>0</v>
      </c>
      <c r="TC121">
        <v>0</v>
      </c>
      <c r="TD121">
        <v>9.4</v>
      </c>
      <c r="TE121" t="s">
        <v>553</v>
      </c>
      <c r="TF121" t="s">
        <v>600</v>
      </c>
      <c r="TG121" t="s">
        <v>555</v>
      </c>
      <c r="TI121" t="s">
        <v>546</v>
      </c>
      <c r="TJ121" t="s">
        <v>547</v>
      </c>
      <c r="TL121" t="s">
        <v>1888</v>
      </c>
      <c r="TM121" t="s">
        <v>513</v>
      </c>
      <c r="TN121">
        <v>0</v>
      </c>
      <c r="TO121" t="s">
        <v>601</v>
      </c>
    </row>
    <row r="122" spans="1:535">
      <c r="A122" t="s">
        <v>2021</v>
      </c>
      <c r="B122" t="s">
        <v>657</v>
      </c>
      <c r="C122" t="s">
        <v>509</v>
      </c>
      <c r="D122" t="s">
        <v>603</v>
      </c>
      <c r="G122" t="s">
        <v>604</v>
      </c>
      <c r="H122" t="s">
        <v>605</v>
      </c>
      <c r="J122" t="s">
        <v>606</v>
      </c>
      <c r="L122" t="s">
        <v>512</v>
      </c>
      <c r="M122" t="s">
        <v>559</v>
      </c>
      <c r="N122" t="s">
        <v>513</v>
      </c>
      <c r="O122" t="s">
        <v>607</v>
      </c>
      <c r="Q122" t="s">
        <v>2022</v>
      </c>
      <c r="R122" t="s">
        <v>567</v>
      </c>
      <c r="S122" t="s">
        <v>1553</v>
      </c>
      <c r="T122" t="s">
        <v>1554</v>
      </c>
      <c r="U122" t="s">
        <v>1482</v>
      </c>
      <c r="V122" t="s">
        <v>1483</v>
      </c>
      <c r="W122" t="s">
        <v>2023</v>
      </c>
      <c r="X122" t="s">
        <v>1880</v>
      </c>
      <c r="Y122" t="s">
        <v>524</v>
      </c>
      <c r="Z122" t="s">
        <v>2024</v>
      </c>
      <c r="AA122" t="s">
        <v>2025</v>
      </c>
      <c r="AB122" t="s">
        <v>2026</v>
      </c>
      <c r="AC122">
        <v>2</v>
      </c>
      <c r="AD122">
        <v>57</v>
      </c>
      <c r="AE122">
        <v>155</v>
      </c>
      <c r="AF122">
        <v>1.5</v>
      </c>
      <c r="AH122">
        <v>0</v>
      </c>
      <c r="AI122" t="s">
        <v>1464</v>
      </c>
      <c r="AJ122">
        <v>165</v>
      </c>
      <c r="AK122">
        <v>1</v>
      </c>
      <c r="AL122">
        <v>1.5</v>
      </c>
      <c r="AM122" t="s">
        <v>529</v>
      </c>
      <c r="AO122">
        <v>0</v>
      </c>
      <c r="AR122">
        <v>0</v>
      </c>
      <c r="AS122">
        <v>1.5</v>
      </c>
      <c r="AU122" t="s">
        <v>2027</v>
      </c>
      <c r="AW122" t="s">
        <v>2027</v>
      </c>
      <c r="AX122">
        <v>1</v>
      </c>
      <c r="AY122">
        <v>305</v>
      </c>
      <c r="AZ122">
        <v>1.5</v>
      </c>
      <c r="BA122" t="s">
        <v>529</v>
      </c>
      <c r="BG122">
        <v>1.5</v>
      </c>
      <c r="BJ122">
        <v>0</v>
      </c>
      <c r="BN122">
        <v>1.5</v>
      </c>
      <c r="BP122" t="s">
        <v>2028</v>
      </c>
      <c r="BQ122">
        <v>82</v>
      </c>
      <c r="BR122">
        <v>2</v>
      </c>
      <c r="BS122" t="s">
        <v>1490</v>
      </c>
      <c r="BT122">
        <v>177</v>
      </c>
      <c r="BU122">
        <v>0.5</v>
      </c>
      <c r="BV122" t="s">
        <v>1490</v>
      </c>
      <c r="BW122">
        <v>354</v>
      </c>
      <c r="BX122">
        <v>1</v>
      </c>
      <c r="BY122" t="s">
        <v>1491</v>
      </c>
      <c r="BZ122">
        <v>300</v>
      </c>
      <c r="CA122">
        <v>460</v>
      </c>
      <c r="CB122" t="s">
        <v>1492</v>
      </c>
      <c r="CC122" t="s">
        <v>1492</v>
      </c>
      <c r="CD122">
        <v>376</v>
      </c>
      <c r="CE122" t="s">
        <v>1493</v>
      </c>
      <c r="CF122">
        <v>15</v>
      </c>
      <c r="CG122" t="s">
        <v>1773</v>
      </c>
      <c r="CH122" t="s">
        <v>1773</v>
      </c>
      <c r="CI122">
        <v>80</v>
      </c>
      <c r="CJ122">
        <v>1122</v>
      </c>
      <c r="CK122">
        <v>2</v>
      </c>
      <c r="CL122">
        <v>1222</v>
      </c>
      <c r="CM122">
        <v>2</v>
      </c>
      <c r="CN122" t="s">
        <v>1495</v>
      </c>
      <c r="CO122" t="s">
        <v>1473</v>
      </c>
      <c r="CP122" t="s">
        <v>1474</v>
      </c>
      <c r="CQ122" t="s">
        <v>1496</v>
      </c>
      <c r="CR122" t="s">
        <v>541</v>
      </c>
      <c r="CS122" t="s">
        <v>542</v>
      </c>
      <c r="CT122">
        <v>330</v>
      </c>
      <c r="CU122">
        <v>5</v>
      </c>
      <c r="CV122">
        <v>1.2</v>
      </c>
      <c r="CW122">
        <v>1136</v>
      </c>
      <c r="CX122">
        <v>531</v>
      </c>
      <c r="DD122">
        <v>0</v>
      </c>
      <c r="DE122" t="s">
        <v>622</v>
      </c>
      <c r="DF122">
        <v>610</v>
      </c>
      <c r="DG122">
        <v>3</v>
      </c>
      <c r="DH122">
        <v>0.88</v>
      </c>
      <c r="DI122">
        <v>1134</v>
      </c>
      <c r="DJ122">
        <v>824</v>
      </c>
      <c r="DW122" t="s">
        <v>544</v>
      </c>
      <c r="DX122">
        <v>7.5</v>
      </c>
      <c r="EA122">
        <v>1202.7</v>
      </c>
      <c r="EB122">
        <v>157</v>
      </c>
      <c r="EC122" t="s">
        <v>545</v>
      </c>
      <c r="ED122">
        <v>25</v>
      </c>
      <c r="EE122">
        <v>3</v>
      </c>
      <c r="EG122">
        <v>1233</v>
      </c>
      <c r="EH122">
        <v>134</v>
      </c>
      <c r="EJ122">
        <v>0</v>
      </c>
      <c r="EK122">
        <v>1</v>
      </c>
      <c r="EN122">
        <v>0</v>
      </c>
      <c r="EP122" t="s">
        <v>546</v>
      </c>
      <c r="EQ122">
        <v>90</v>
      </c>
      <c r="ER122">
        <v>3</v>
      </c>
      <c r="ES122">
        <v>4.8</v>
      </c>
      <c r="ET122">
        <v>1116</v>
      </c>
      <c r="EU122">
        <v>333.6</v>
      </c>
      <c r="EV122">
        <v>372</v>
      </c>
      <c r="EW122" t="s">
        <v>547</v>
      </c>
      <c r="EX122">
        <v>70</v>
      </c>
      <c r="EY122">
        <v>2</v>
      </c>
      <c r="EZ122">
        <v>4</v>
      </c>
      <c r="FA122">
        <v>1116</v>
      </c>
      <c r="FB122">
        <v>217.9</v>
      </c>
      <c r="FC122">
        <v>243</v>
      </c>
      <c r="FE122">
        <v>0</v>
      </c>
      <c r="FF122">
        <v>2</v>
      </c>
      <c r="FI122">
        <v>0</v>
      </c>
      <c r="FK122" t="s">
        <v>548</v>
      </c>
      <c r="FL122">
        <v>0.6</v>
      </c>
      <c r="FM122">
        <v>75</v>
      </c>
      <c r="FN122">
        <v>80</v>
      </c>
      <c r="FR122" t="s">
        <v>548</v>
      </c>
      <c r="FS122">
        <v>0.4</v>
      </c>
      <c r="FT122">
        <v>30</v>
      </c>
      <c r="FU122">
        <v>320</v>
      </c>
      <c r="HC122">
        <v>0.1</v>
      </c>
      <c r="HD122">
        <v>3</v>
      </c>
      <c r="HE122">
        <v>3</v>
      </c>
      <c r="HF122">
        <v>3</v>
      </c>
      <c r="HG122">
        <v>3</v>
      </c>
      <c r="HH122">
        <v>3</v>
      </c>
      <c r="HI122">
        <v>145</v>
      </c>
      <c r="HJ122">
        <v>3</v>
      </c>
      <c r="HK122">
        <v>55</v>
      </c>
      <c r="HL122">
        <v>2</v>
      </c>
      <c r="HM122">
        <v>0</v>
      </c>
      <c r="HN122">
        <v>2</v>
      </c>
      <c r="HO122">
        <v>75</v>
      </c>
      <c r="HP122">
        <v>3</v>
      </c>
      <c r="HQ122">
        <v>0</v>
      </c>
      <c r="HR122">
        <v>2</v>
      </c>
      <c r="HS122">
        <v>3167</v>
      </c>
      <c r="HT122">
        <v>100</v>
      </c>
      <c r="HU122">
        <v>180</v>
      </c>
      <c r="HW122">
        <v>20</v>
      </c>
      <c r="HX122">
        <v>416</v>
      </c>
      <c r="HY122">
        <v>0.18</v>
      </c>
      <c r="IA122">
        <v>0.15</v>
      </c>
      <c r="IB122">
        <v>0</v>
      </c>
      <c r="IC122">
        <v>180</v>
      </c>
      <c r="ID122">
        <v>110</v>
      </c>
      <c r="IE122">
        <v>0</v>
      </c>
      <c r="IF122">
        <v>0</v>
      </c>
      <c r="IH122" t="s">
        <v>549</v>
      </c>
      <c r="IO122">
        <v>1</v>
      </c>
      <c r="IP122">
        <v>15</v>
      </c>
      <c r="IQ122">
        <v>0</v>
      </c>
      <c r="IR122">
        <v>1</v>
      </c>
      <c r="IV122">
        <v>1122</v>
      </c>
      <c r="IW122">
        <v>354</v>
      </c>
      <c r="JA122">
        <v>1</v>
      </c>
      <c r="JB122">
        <v>0</v>
      </c>
      <c r="JC122">
        <v>2</v>
      </c>
      <c r="JD122">
        <v>1136</v>
      </c>
      <c r="JE122">
        <v>1134</v>
      </c>
      <c r="JF122">
        <v>0</v>
      </c>
      <c r="JG122">
        <v>1116</v>
      </c>
      <c r="JH122">
        <v>0</v>
      </c>
      <c r="JJ122">
        <v>180</v>
      </c>
      <c r="JK122">
        <v>416</v>
      </c>
      <c r="JN122">
        <v>330</v>
      </c>
      <c r="JO122">
        <v>610</v>
      </c>
      <c r="JP122">
        <v>0</v>
      </c>
      <c r="JQ122">
        <v>0</v>
      </c>
      <c r="JR122">
        <v>310</v>
      </c>
      <c r="JS122">
        <v>145</v>
      </c>
      <c r="JV122">
        <v>8</v>
      </c>
      <c r="JW122" t="s">
        <v>550</v>
      </c>
      <c r="JX122">
        <v>0</v>
      </c>
      <c r="KA122">
        <v>0</v>
      </c>
      <c r="KB122">
        <v>110</v>
      </c>
      <c r="KC122">
        <v>0</v>
      </c>
      <c r="KD122">
        <v>80</v>
      </c>
      <c r="KF122">
        <v>4</v>
      </c>
      <c r="KG122">
        <v>2</v>
      </c>
      <c r="KH122">
        <v>2</v>
      </c>
      <c r="KI122">
        <v>2</v>
      </c>
      <c r="KJ122">
        <v>0</v>
      </c>
      <c r="KK122">
        <v>1.5</v>
      </c>
      <c r="KL122">
        <v>1.5</v>
      </c>
      <c r="KM122">
        <v>0</v>
      </c>
      <c r="KN122">
        <v>0</v>
      </c>
      <c r="KO122">
        <v>0</v>
      </c>
      <c r="KR122">
        <v>50</v>
      </c>
      <c r="KS122">
        <v>60</v>
      </c>
      <c r="KT122">
        <v>0</v>
      </c>
      <c r="LK122">
        <v>480</v>
      </c>
      <c r="LX122">
        <v>330</v>
      </c>
      <c r="LY122">
        <v>2</v>
      </c>
      <c r="LZ122">
        <v>0</v>
      </c>
      <c r="PG122">
        <v>1</v>
      </c>
      <c r="PI122" t="s">
        <v>2026</v>
      </c>
      <c r="PJ122" t="s">
        <v>2027</v>
      </c>
      <c r="PL122" t="s">
        <v>1464</v>
      </c>
      <c r="PP122" t="s">
        <v>2028</v>
      </c>
      <c r="PX122">
        <v>56</v>
      </c>
      <c r="PY122">
        <v>57</v>
      </c>
      <c r="PZ122" t="s">
        <v>2026</v>
      </c>
      <c r="QA122">
        <v>1</v>
      </c>
      <c r="QB122">
        <v>1116</v>
      </c>
      <c r="QC122">
        <v>69</v>
      </c>
      <c r="QD122">
        <v>69</v>
      </c>
      <c r="QE122" t="s">
        <v>1464</v>
      </c>
      <c r="QF122">
        <v>1</v>
      </c>
      <c r="QG122">
        <v>1136</v>
      </c>
      <c r="QH122">
        <v>66</v>
      </c>
      <c r="QI122">
        <v>66</v>
      </c>
      <c r="QL122">
        <v>0</v>
      </c>
      <c r="QM122">
        <v>62</v>
      </c>
      <c r="QN122">
        <v>62</v>
      </c>
      <c r="QO122" t="s">
        <v>2027</v>
      </c>
      <c r="QP122">
        <v>1</v>
      </c>
      <c r="QQ122">
        <v>1134</v>
      </c>
      <c r="QW122">
        <v>82</v>
      </c>
      <c r="QX122">
        <v>82</v>
      </c>
      <c r="QY122" t="s">
        <v>2028</v>
      </c>
      <c r="QZ122">
        <v>3</v>
      </c>
      <c r="RA122">
        <v>66</v>
      </c>
      <c r="RB122">
        <v>66</v>
      </c>
      <c r="RE122">
        <v>0</v>
      </c>
      <c r="RF122">
        <v>1</v>
      </c>
      <c r="RJ122">
        <v>2</v>
      </c>
      <c r="RL122">
        <v>4</v>
      </c>
      <c r="RO122">
        <v>467</v>
      </c>
      <c r="RQ122">
        <v>727</v>
      </c>
      <c r="RT122">
        <v>157</v>
      </c>
      <c r="RU122">
        <v>134</v>
      </c>
      <c r="RV122" t="s">
        <v>1497</v>
      </c>
      <c r="RW122" t="s">
        <v>1498</v>
      </c>
      <c r="RX122">
        <v>15</v>
      </c>
      <c r="RY122">
        <v>4</v>
      </c>
      <c r="RZ122" t="s">
        <v>1498</v>
      </c>
      <c r="SA122">
        <v>15</v>
      </c>
      <c r="SC122" t="s">
        <v>2027</v>
      </c>
      <c r="SD122">
        <v>1</v>
      </c>
      <c r="SH122">
        <v>0.995</v>
      </c>
      <c r="SI122">
        <v>0.995</v>
      </c>
      <c r="SJ122">
        <v>0.995</v>
      </c>
      <c r="SK122">
        <v>15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TB122">
        <v>0</v>
      </c>
      <c r="TC122">
        <v>0</v>
      </c>
      <c r="TD122">
        <v>7.5</v>
      </c>
      <c r="TE122" t="s">
        <v>553</v>
      </c>
      <c r="TF122" t="s">
        <v>754</v>
      </c>
      <c r="TG122" t="s">
        <v>555</v>
      </c>
      <c r="TI122" t="s">
        <v>546</v>
      </c>
      <c r="TJ122" t="s">
        <v>547</v>
      </c>
      <c r="TL122" t="s">
        <v>1888</v>
      </c>
      <c r="TM122" t="s">
        <v>513</v>
      </c>
      <c r="TN122">
        <v>0</v>
      </c>
      <c r="TO122" t="s">
        <v>557</v>
      </c>
    </row>
    <row r="123" spans="1:535">
      <c r="A123" t="s">
        <v>2029</v>
      </c>
      <c r="B123" t="s">
        <v>2030</v>
      </c>
      <c r="C123" t="s">
        <v>509</v>
      </c>
      <c r="D123" t="s">
        <v>1307</v>
      </c>
      <c r="G123" t="s">
        <v>604</v>
      </c>
      <c r="H123" t="s">
        <v>605</v>
      </c>
      <c r="I123" t="s">
        <v>628</v>
      </c>
      <c r="J123" t="s">
        <v>606</v>
      </c>
      <c r="L123" t="s">
        <v>512</v>
      </c>
      <c r="M123" t="s">
        <v>2031</v>
      </c>
      <c r="N123" t="s">
        <v>513</v>
      </c>
      <c r="O123" t="s">
        <v>607</v>
      </c>
      <c r="Q123" t="s">
        <v>2032</v>
      </c>
      <c r="R123" t="s">
        <v>567</v>
      </c>
      <c r="S123" t="s">
        <v>806</v>
      </c>
      <c r="T123" t="s">
        <v>807</v>
      </c>
      <c r="U123" t="s">
        <v>520</v>
      </c>
      <c r="V123" t="s">
        <v>521</v>
      </c>
      <c r="W123" t="s">
        <v>2033</v>
      </c>
      <c r="X123" t="s">
        <v>1880</v>
      </c>
      <c r="Y123" t="s">
        <v>524</v>
      </c>
      <c r="Z123" t="s">
        <v>2034</v>
      </c>
      <c r="AA123" t="s">
        <v>2035</v>
      </c>
      <c r="AB123" t="s">
        <v>2036</v>
      </c>
      <c r="AC123">
        <v>2</v>
      </c>
      <c r="AD123">
        <v>57</v>
      </c>
      <c r="AE123">
        <v>193</v>
      </c>
      <c r="AF123">
        <v>1.5</v>
      </c>
      <c r="AH123">
        <v>0</v>
      </c>
      <c r="AI123" t="s">
        <v>812</v>
      </c>
      <c r="AJ123">
        <v>205</v>
      </c>
      <c r="AK123">
        <v>1</v>
      </c>
      <c r="AL123">
        <v>1.5</v>
      </c>
      <c r="AM123" t="s">
        <v>529</v>
      </c>
      <c r="AO123">
        <v>0</v>
      </c>
      <c r="AR123">
        <v>0</v>
      </c>
      <c r="AS123">
        <v>1.5</v>
      </c>
      <c r="AU123" t="s">
        <v>2037</v>
      </c>
      <c r="AW123" t="s">
        <v>2037</v>
      </c>
      <c r="AX123">
        <v>1</v>
      </c>
      <c r="AY123">
        <v>370</v>
      </c>
      <c r="AZ123">
        <v>1.5</v>
      </c>
      <c r="BA123" t="s">
        <v>529</v>
      </c>
      <c r="BG123">
        <v>1.5</v>
      </c>
      <c r="BJ123">
        <v>0</v>
      </c>
      <c r="BN123">
        <v>1.5</v>
      </c>
      <c r="BP123" t="s">
        <v>2038</v>
      </c>
      <c r="BQ123">
        <v>82</v>
      </c>
      <c r="BR123">
        <v>2</v>
      </c>
      <c r="BS123" t="s">
        <v>1919</v>
      </c>
      <c r="BT123">
        <v>215</v>
      </c>
      <c r="BU123">
        <v>0.5</v>
      </c>
      <c r="BV123" t="s">
        <v>1919</v>
      </c>
      <c r="BW123">
        <v>430</v>
      </c>
      <c r="BX123">
        <v>1</v>
      </c>
      <c r="BY123" t="s">
        <v>533</v>
      </c>
      <c r="BZ123">
        <v>300</v>
      </c>
      <c r="CA123">
        <v>520</v>
      </c>
      <c r="CB123" t="s">
        <v>534</v>
      </c>
      <c r="CC123" t="s">
        <v>534</v>
      </c>
      <c r="CD123">
        <v>446</v>
      </c>
      <c r="CE123" t="s">
        <v>535</v>
      </c>
      <c r="CF123">
        <v>15</v>
      </c>
      <c r="CG123" t="s">
        <v>536</v>
      </c>
      <c r="CH123" t="s">
        <v>536</v>
      </c>
      <c r="CI123">
        <v>110</v>
      </c>
      <c r="CJ123">
        <v>1200</v>
      </c>
      <c r="CK123">
        <v>2</v>
      </c>
      <c r="CL123">
        <v>1301</v>
      </c>
      <c r="CM123">
        <v>2</v>
      </c>
      <c r="CN123" t="s">
        <v>537</v>
      </c>
      <c r="CO123" t="s">
        <v>538</v>
      </c>
      <c r="CP123" t="s">
        <v>539</v>
      </c>
      <c r="CQ123" t="s">
        <v>1496</v>
      </c>
      <c r="CR123" t="s">
        <v>541</v>
      </c>
      <c r="CS123" t="s">
        <v>542</v>
      </c>
      <c r="CT123">
        <v>410</v>
      </c>
      <c r="CU123">
        <v>5</v>
      </c>
      <c r="CV123">
        <v>1.2</v>
      </c>
      <c r="CW123">
        <v>1213</v>
      </c>
      <c r="CX123">
        <v>705</v>
      </c>
      <c r="DD123">
        <v>0</v>
      </c>
      <c r="DE123" t="s">
        <v>543</v>
      </c>
      <c r="DF123">
        <v>740</v>
      </c>
      <c r="DG123">
        <v>3</v>
      </c>
      <c r="DH123">
        <v>1.18</v>
      </c>
      <c r="DI123">
        <v>1211</v>
      </c>
      <c r="DJ123">
        <v>1312</v>
      </c>
      <c r="DW123" t="s">
        <v>544</v>
      </c>
      <c r="DX123">
        <v>7.5</v>
      </c>
      <c r="EA123">
        <v>1282.5</v>
      </c>
      <c r="EB123">
        <v>227</v>
      </c>
      <c r="EC123" t="s">
        <v>545</v>
      </c>
      <c r="ED123">
        <v>35</v>
      </c>
      <c r="EE123">
        <v>3</v>
      </c>
      <c r="EG123">
        <v>1323</v>
      </c>
      <c r="EH123">
        <v>212</v>
      </c>
      <c r="EJ123">
        <v>0</v>
      </c>
      <c r="EK123">
        <v>1</v>
      </c>
      <c r="EN123">
        <v>0</v>
      </c>
      <c r="EP123" t="s">
        <v>546</v>
      </c>
      <c r="EQ123">
        <v>120</v>
      </c>
      <c r="ER123">
        <v>3</v>
      </c>
      <c r="ES123">
        <v>4.8</v>
      </c>
      <c r="ET123">
        <v>1193</v>
      </c>
      <c r="EU123">
        <v>455.7</v>
      </c>
      <c r="EV123">
        <v>544</v>
      </c>
      <c r="EW123" t="s">
        <v>547</v>
      </c>
      <c r="EX123">
        <v>70</v>
      </c>
      <c r="EY123">
        <v>2</v>
      </c>
      <c r="EZ123">
        <v>4</v>
      </c>
      <c r="FA123">
        <v>1193</v>
      </c>
      <c r="FB123">
        <v>219.1</v>
      </c>
      <c r="FC123">
        <v>261</v>
      </c>
      <c r="FE123">
        <v>0</v>
      </c>
      <c r="FF123">
        <v>2</v>
      </c>
      <c r="FI123">
        <v>0</v>
      </c>
      <c r="FK123" t="s">
        <v>548</v>
      </c>
      <c r="FL123">
        <v>0.4</v>
      </c>
      <c r="FM123">
        <v>60</v>
      </c>
      <c r="FN123">
        <v>140</v>
      </c>
      <c r="FR123" t="s">
        <v>548</v>
      </c>
      <c r="FS123">
        <v>0.4</v>
      </c>
      <c r="FT123">
        <v>30</v>
      </c>
      <c r="FU123">
        <v>390</v>
      </c>
      <c r="HC123">
        <v>0.1</v>
      </c>
      <c r="HD123">
        <v>3</v>
      </c>
      <c r="HE123">
        <v>3</v>
      </c>
      <c r="HF123">
        <v>3</v>
      </c>
      <c r="HG123">
        <v>3</v>
      </c>
      <c r="HH123">
        <v>3</v>
      </c>
      <c r="HI123">
        <v>175</v>
      </c>
      <c r="HJ123">
        <v>3</v>
      </c>
      <c r="HK123">
        <v>55</v>
      </c>
      <c r="HL123">
        <v>2</v>
      </c>
      <c r="HM123">
        <v>0</v>
      </c>
      <c r="HN123">
        <v>2</v>
      </c>
      <c r="HO123">
        <v>105</v>
      </c>
      <c r="HP123">
        <v>3</v>
      </c>
      <c r="HQ123">
        <v>0</v>
      </c>
      <c r="HR123">
        <v>2</v>
      </c>
      <c r="HS123">
        <v>4505</v>
      </c>
      <c r="HT123">
        <v>140</v>
      </c>
      <c r="HU123">
        <v>180</v>
      </c>
      <c r="HW123">
        <v>20</v>
      </c>
      <c r="HX123">
        <v>516</v>
      </c>
      <c r="HY123">
        <v>0.18</v>
      </c>
      <c r="IA123">
        <v>0.15</v>
      </c>
      <c r="IB123">
        <v>0</v>
      </c>
      <c r="IC123">
        <v>180</v>
      </c>
      <c r="ID123">
        <v>110</v>
      </c>
      <c r="IE123">
        <v>0</v>
      </c>
      <c r="IF123">
        <v>0</v>
      </c>
      <c r="IH123" t="s">
        <v>549</v>
      </c>
      <c r="IO123">
        <v>1</v>
      </c>
      <c r="IP123">
        <v>16</v>
      </c>
      <c r="IQ123">
        <v>0</v>
      </c>
      <c r="IR123">
        <v>1</v>
      </c>
      <c r="IV123">
        <v>1200</v>
      </c>
      <c r="IW123">
        <v>430</v>
      </c>
      <c r="JA123">
        <v>1</v>
      </c>
      <c r="JB123">
        <v>0</v>
      </c>
      <c r="JC123">
        <v>2</v>
      </c>
      <c r="JD123">
        <v>1213</v>
      </c>
      <c r="JE123">
        <v>1211</v>
      </c>
      <c r="JF123">
        <v>0</v>
      </c>
      <c r="JG123">
        <v>1193</v>
      </c>
      <c r="JH123">
        <v>0</v>
      </c>
      <c r="JJ123">
        <v>180</v>
      </c>
      <c r="JK123">
        <v>516</v>
      </c>
      <c r="JN123">
        <v>410</v>
      </c>
      <c r="JO123">
        <v>740</v>
      </c>
      <c r="JP123">
        <v>0</v>
      </c>
      <c r="JQ123">
        <v>0</v>
      </c>
      <c r="JR123">
        <v>386</v>
      </c>
      <c r="JS123">
        <v>175</v>
      </c>
      <c r="JV123">
        <v>8</v>
      </c>
      <c r="JW123" t="s">
        <v>550</v>
      </c>
      <c r="JX123">
        <v>0</v>
      </c>
      <c r="KA123">
        <v>0</v>
      </c>
      <c r="KB123">
        <v>110</v>
      </c>
      <c r="KC123">
        <v>0</v>
      </c>
      <c r="KD123">
        <v>80</v>
      </c>
      <c r="KF123">
        <v>4</v>
      </c>
      <c r="KG123">
        <v>2</v>
      </c>
      <c r="KH123">
        <v>2</v>
      </c>
      <c r="KI123">
        <v>2</v>
      </c>
      <c r="KJ123">
        <v>0</v>
      </c>
      <c r="KK123">
        <v>1.5</v>
      </c>
      <c r="KL123">
        <v>1.5</v>
      </c>
      <c r="KM123">
        <v>0</v>
      </c>
      <c r="KN123">
        <v>0</v>
      </c>
      <c r="KO123">
        <v>0</v>
      </c>
      <c r="KR123">
        <v>50</v>
      </c>
      <c r="KS123">
        <v>60</v>
      </c>
      <c r="KT123">
        <v>0</v>
      </c>
      <c r="LK123">
        <v>480</v>
      </c>
      <c r="PG123">
        <v>1</v>
      </c>
      <c r="PI123" t="s">
        <v>2036</v>
      </c>
      <c r="PJ123" t="s">
        <v>2037</v>
      </c>
      <c r="PL123" t="s">
        <v>812</v>
      </c>
      <c r="PP123" t="s">
        <v>2038</v>
      </c>
      <c r="PX123">
        <v>56</v>
      </c>
      <c r="PY123">
        <v>57</v>
      </c>
      <c r="PZ123" t="s">
        <v>2036</v>
      </c>
      <c r="QA123">
        <v>1</v>
      </c>
      <c r="QB123">
        <v>1193</v>
      </c>
      <c r="QC123">
        <v>69</v>
      </c>
      <c r="QD123">
        <v>69</v>
      </c>
      <c r="QE123" t="s">
        <v>812</v>
      </c>
      <c r="QF123">
        <v>1</v>
      </c>
      <c r="QG123">
        <v>1213</v>
      </c>
      <c r="QH123">
        <v>66</v>
      </c>
      <c r="QI123">
        <v>66</v>
      </c>
      <c r="QL123">
        <v>0</v>
      </c>
      <c r="QM123">
        <v>62</v>
      </c>
      <c r="QN123">
        <v>62</v>
      </c>
      <c r="QO123" t="s">
        <v>2037</v>
      </c>
      <c r="QP123">
        <v>1</v>
      </c>
      <c r="QQ123">
        <v>1211</v>
      </c>
      <c r="QW123">
        <v>82</v>
      </c>
      <c r="QX123">
        <v>82</v>
      </c>
      <c r="QY123" t="s">
        <v>2038</v>
      </c>
      <c r="QZ123">
        <v>1</v>
      </c>
      <c r="RA123">
        <v>66</v>
      </c>
      <c r="RB123">
        <v>66</v>
      </c>
      <c r="RE123">
        <v>0</v>
      </c>
      <c r="RF123">
        <v>1</v>
      </c>
      <c r="RJ123">
        <v>1</v>
      </c>
      <c r="RL123">
        <v>2</v>
      </c>
      <c r="RO123">
        <v>581</v>
      </c>
      <c r="RQ123">
        <v>1083</v>
      </c>
      <c r="RT123">
        <v>227</v>
      </c>
      <c r="RU123">
        <v>212</v>
      </c>
      <c r="RV123" t="s">
        <v>1920</v>
      </c>
      <c r="RW123" t="s">
        <v>552</v>
      </c>
      <c r="RX123">
        <v>15</v>
      </c>
      <c r="RY123">
        <v>4</v>
      </c>
      <c r="RZ123" t="s">
        <v>552</v>
      </c>
      <c r="SA123">
        <v>15</v>
      </c>
      <c r="SC123" t="s">
        <v>2037</v>
      </c>
      <c r="SD123">
        <v>1</v>
      </c>
      <c r="SH123">
        <v>0.995</v>
      </c>
      <c r="SI123">
        <v>0.995</v>
      </c>
      <c r="SJ123">
        <v>0.995</v>
      </c>
      <c r="SK123">
        <v>15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TB123">
        <v>0</v>
      </c>
      <c r="TC123">
        <v>0</v>
      </c>
      <c r="TD123">
        <v>7.5</v>
      </c>
      <c r="TE123" t="s">
        <v>553</v>
      </c>
      <c r="TF123" t="s">
        <v>624</v>
      </c>
      <c r="TG123" t="s">
        <v>555</v>
      </c>
      <c r="TI123" t="s">
        <v>546</v>
      </c>
      <c r="TJ123" t="s">
        <v>547</v>
      </c>
      <c r="TL123" t="s">
        <v>1888</v>
      </c>
      <c r="TM123" t="s">
        <v>513</v>
      </c>
      <c r="TN123">
        <v>0</v>
      </c>
      <c r="TO123" t="s">
        <v>557</v>
      </c>
    </row>
    <row r="124" spans="1:535">
      <c r="A124" t="s">
        <v>2039</v>
      </c>
      <c r="B124" t="s">
        <v>629</v>
      </c>
      <c r="C124" t="s">
        <v>509</v>
      </c>
      <c r="D124" t="s">
        <v>1738</v>
      </c>
      <c r="G124" t="s">
        <v>1088</v>
      </c>
      <c r="L124" t="s">
        <v>512</v>
      </c>
      <c r="M124" t="s">
        <v>711</v>
      </c>
      <c r="N124" t="s">
        <v>513</v>
      </c>
      <c r="O124" t="s">
        <v>565</v>
      </c>
      <c r="Q124" t="s">
        <v>2040</v>
      </c>
      <c r="R124" t="s">
        <v>567</v>
      </c>
      <c r="S124" t="s">
        <v>1015</v>
      </c>
      <c r="T124" t="s">
        <v>1016</v>
      </c>
      <c r="U124" t="s">
        <v>633</v>
      </c>
      <c r="V124" t="s">
        <v>634</v>
      </c>
      <c r="W124" t="s">
        <v>1862</v>
      </c>
      <c r="X124" t="s">
        <v>1880</v>
      </c>
      <c r="Y124" t="s">
        <v>524</v>
      </c>
      <c r="Z124" t="s">
        <v>2041</v>
      </c>
      <c r="AA124" t="s">
        <v>2042</v>
      </c>
      <c r="AB124" t="s">
        <v>2043</v>
      </c>
      <c r="AC124">
        <v>2</v>
      </c>
      <c r="AD124">
        <v>57</v>
      </c>
      <c r="AE124">
        <v>161</v>
      </c>
      <c r="AF124">
        <v>1.5</v>
      </c>
      <c r="AH124">
        <v>0</v>
      </c>
      <c r="AI124" t="s">
        <v>1021</v>
      </c>
      <c r="AJ124">
        <v>172.5</v>
      </c>
      <c r="AK124">
        <v>1</v>
      </c>
      <c r="AL124">
        <v>1.5</v>
      </c>
      <c r="AM124" t="s">
        <v>529</v>
      </c>
      <c r="AO124">
        <v>0</v>
      </c>
      <c r="AR124">
        <v>0</v>
      </c>
      <c r="AS124">
        <v>1.5</v>
      </c>
      <c r="AU124" t="s">
        <v>2044</v>
      </c>
      <c r="AW124" t="s">
        <v>2044</v>
      </c>
      <c r="AX124">
        <v>1</v>
      </c>
      <c r="AY124">
        <v>302.5</v>
      </c>
      <c r="AZ124">
        <v>1.5</v>
      </c>
      <c r="BA124" t="s">
        <v>529</v>
      </c>
      <c r="BG124">
        <v>1.5</v>
      </c>
      <c r="BJ124">
        <v>0</v>
      </c>
      <c r="BN124">
        <v>1.5</v>
      </c>
      <c r="BP124" t="s">
        <v>1744</v>
      </c>
      <c r="BQ124">
        <v>88</v>
      </c>
      <c r="BR124">
        <v>2</v>
      </c>
      <c r="BS124" t="s">
        <v>1513</v>
      </c>
      <c r="BT124">
        <v>183</v>
      </c>
      <c r="BU124">
        <v>0.5</v>
      </c>
      <c r="BV124" t="s">
        <v>1513</v>
      </c>
      <c r="BW124">
        <v>366</v>
      </c>
      <c r="BX124">
        <v>1</v>
      </c>
      <c r="BY124" t="s">
        <v>643</v>
      </c>
      <c r="BZ124">
        <v>300</v>
      </c>
      <c r="CA124">
        <v>420</v>
      </c>
      <c r="CB124" t="s">
        <v>644</v>
      </c>
      <c r="CC124" t="s">
        <v>644</v>
      </c>
      <c r="CD124">
        <v>380</v>
      </c>
      <c r="CE124" t="s">
        <v>544</v>
      </c>
      <c r="CF124">
        <v>15</v>
      </c>
      <c r="CG124" t="s">
        <v>891</v>
      </c>
      <c r="CH124" t="s">
        <v>891</v>
      </c>
      <c r="CI124">
        <v>60</v>
      </c>
      <c r="CJ124">
        <v>1301</v>
      </c>
      <c r="CK124">
        <v>2</v>
      </c>
      <c r="CL124">
        <v>1395</v>
      </c>
      <c r="CM124">
        <v>2</v>
      </c>
      <c r="CN124" t="s">
        <v>646</v>
      </c>
      <c r="CO124" t="s">
        <v>647</v>
      </c>
      <c r="CP124" t="s">
        <v>648</v>
      </c>
      <c r="CQ124" t="s">
        <v>1496</v>
      </c>
      <c r="CR124" t="s">
        <v>541</v>
      </c>
      <c r="CS124" t="s">
        <v>542</v>
      </c>
      <c r="CT124">
        <v>345</v>
      </c>
      <c r="CU124">
        <v>5</v>
      </c>
      <c r="CV124">
        <v>1.2</v>
      </c>
      <c r="CW124">
        <v>1314</v>
      </c>
      <c r="CX124">
        <v>641</v>
      </c>
      <c r="DD124">
        <v>0</v>
      </c>
      <c r="DE124" t="s">
        <v>622</v>
      </c>
      <c r="DF124">
        <v>605</v>
      </c>
      <c r="DG124">
        <v>3</v>
      </c>
      <c r="DH124">
        <v>0.88</v>
      </c>
      <c r="DI124">
        <v>1312</v>
      </c>
      <c r="DJ124">
        <v>955</v>
      </c>
      <c r="DW124" t="s">
        <v>544</v>
      </c>
      <c r="DX124">
        <v>7.5</v>
      </c>
      <c r="EA124">
        <v>1379.8</v>
      </c>
      <c r="EB124">
        <v>244</v>
      </c>
      <c r="EC124" t="s">
        <v>545</v>
      </c>
      <c r="ED124">
        <v>30</v>
      </c>
      <c r="EE124">
        <v>3</v>
      </c>
      <c r="EG124">
        <v>1421</v>
      </c>
      <c r="EH124">
        <v>168</v>
      </c>
      <c r="EJ124">
        <v>0</v>
      </c>
      <c r="EK124">
        <v>1</v>
      </c>
      <c r="EN124">
        <v>0</v>
      </c>
      <c r="EP124" t="s">
        <v>546</v>
      </c>
      <c r="EQ124">
        <v>85</v>
      </c>
      <c r="ER124">
        <v>3</v>
      </c>
      <c r="ES124">
        <v>5.5</v>
      </c>
      <c r="ET124">
        <v>1298</v>
      </c>
      <c r="EU124">
        <v>359.1</v>
      </c>
      <c r="EV124">
        <v>466</v>
      </c>
      <c r="EW124" t="s">
        <v>547</v>
      </c>
      <c r="EX124">
        <v>70</v>
      </c>
      <c r="EY124">
        <v>2</v>
      </c>
      <c r="EZ124">
        <v>4</v>
      </c>
      <c r="FA124">
        <v>1298</v>
      </c>
      <c r="FB124">
        <v>219.1</v>
      </c>
      <c r="FC124">
        <v>284</v>
      </c>
      <c r="FE124">
        <v>0</v>
      </c>
      <c r="FF124">
        <v>2</v>
      </c>
      <c r="FI124">
        <v>0</v>
      </c>
      <c r="FK124" t="s">
        <v>548</v>
      </c>
      <c r="FL124">
        <v>0.6</v>
      </c>
      <c r="FM124">
        <v>80</v>
      </c>
      <c r="FN124">
        <v>120</v>
      </c>
      <c r="FR124" t="s">
        <v>548</v>
      </c>
      <c r="FS124">
        <v>0.4</v>
      </c>
      <c r="FT124">
        <v>30</v>
      </c>
      <c r="FU124">
        <v>330</v>
      </c>
      <c r="HC124">
        <v>0.1</v>
      </c>
      <c r="HD124">
        <v>3</v>
      </c>
      <c r="HE124">
        <v>3</v>
      </c>
      <c r="HF124">
        <v>3</v>
      </c>
      <c r="HG124">
        <v>3</v>
      </c>
      <c r="HH124">
        <v>3</v>
      </c>
      <c r="HI124">
        <v>140</v>
      </c>
      <c r="HJ124">
        <v>3</v>
      </c>
      <c r="HK124">
        <v>55</v>
      </c>
      <c r="HL124">
        <v>2</v>
      </c>
      <c r="HM124">
        <v>0</v>
      </c>
      <c r="HN124">
        <v>2</v>
      </c>
      <c r="HO124">
        <v>70</v>
      </c>
      <c r="HP124">
        <v>3</v>
      </c>
      <c r="HQ124">
        <v>0</v>
      </c>
      <c r="HR124">
        <v>2</v>
      </c>
      <c r="HS124">
        <v>3920</v>
      </c>
      <c r="HT124">
        <v>120</v>
      </c>
      <c r="HU124">
        <v>180</v>
      </c>
      <c r="HW124">
        <v>20</v>
      </c>
      <c r="HX124">
        <v>420</v>
      </c>
      <c r="HY124">
        <v>0.18</v>
      </c>
      <c r="IA124">
        <v>0.15</v>
      </c>
      <c r="IB124">
        <v>0</v>
      </c>
      <c r="IC124">
        <v>180</v>
      </c>
      <c r="ID124">
        <v>110</v>
      </c>
      <c r="IE124">
        <v>0</v>
      </c>
      <c r="IF124">
        <v>0</v>
      </c>
      <c r="IH124" t="s">
        <v>549</v>
      </c>
      <c r="IO124">
        <v>1</v>
      </c>
      <c r="IP124">
        <v>17</v>
      </c>
      <c r="IQ124">
        <v>0</v>
      </c>
      <c r="IR124">
        <v>1</v>
      </c>
      <c r="IV124">
        <v>1301</v>
      </c>
      <c r="IW124">
        <v>366</v>
      </c>
      <c r="JA124">
        <v>1</v>
      </c>
      <c r="JB124">
        <v>0</v>
      </c>
      <c r="JC124">
        <v>2</v>
      </c>
      <c r="JD124">
        <v>1314</v>
      </c>
      <c r="JE124">
        <v>1312</v>
      </c>
      <c r="JF124">
        <v>0</v>
      </c>
      <c r="JG124">
        <v>1298</v>
      </c>
      <c r="JH124">
        <v>0</v>
      </c>
      <c r="JJ124">
        <v>180</v>
      </c>
      <c r="JK124">
        <v>420</v>
      </c>
      <c r="JN124">
        <v>345</v>
      </c>
      <c r="JO124">
        <v>605</v>
      </c>
      <c r="JP124">
        <v>0</v>
      </c>
      <c r="JQ124">
        <v>0</v>
      </c>
      <c r="JR124">
        <v>322</v>
      </c>
      <c r="JS124">
        <v>140</v>
      </c>
      <c r="JV124">
        <v>8</v>
      </c>
      <c r="JW124" t="s">
        <v>550</v>
      </c>
      <c r="JX124">
        <v>0</v>
      </c>
      <c r="KA124">
        <v>0</v>
      </c>
      <c r="KB124">
        <v>110</v>
      </c>
      <c r="KC124">
        <v>0</v>
      </c>
      <c r="KD124">
        <v>80</v>
      </c>
      <c r="KF124">
        <v>4</v>
      </c>
      <c r="KG124">
        <v>2</v>
      </c>
      <c r="KH124">
        <v>2</v>
      </c>
      <c r="KI124">
        <v>2</v>
      </c>
      <c r="KJ124">
        <v>0</v>
      </c>
      <c r="KK124">
        <v>1.5</v>
      </c>
      <c r="KL124">
        <v>1.5</v>
      </c>
      <c r="KM124">
        <v>0</v>
      </c>
      <c r="KN124">
        <v>0</v>
      </c>
      <c r="KO124">
        <v>0</v>
      </c>
      <c r="KR124">
        <v>50</v>
      </c>
      <c r="KS124">
        <v>60</v>
      </c>
      <c r="KT124">
        <v>0</v>
      </c>
      <c r="LK124">
        <v>480</v>
      </c>
      <c r="PG124">
        <v>1</v>
      </c>
      <c r="PI124" t="s">
        <v>2043</v>
      </c>
      <c r="PJ124" t="s">
        <v>2044</v>
      </c>
      <c r="PL124" t="s">
        <v>1021</v>
      </c>
      <c r="PP124" t="s">
        <v>1744</v>
      </c>
      <c r="PX124">
        <v>56</v>
      </c>
      <c r="PY124">
        <v>57</v>
      </c>
      <c r="PZ124" t="s">
        <v>2043</v>
      </c>
      <c r="QA124">
        <v>1</v>
      </c>
      <c r="QB124">
        <v>1298</v>
      </c>
      <c r="QC124">
        <v>69</v>
      </c>
      <c r="QD124">
        <v>69</v>
      </c>
      <c r="QE124" t="s">
        <v>1021</v>
      </c>
      <c r="QF124">
        <v>1</v>
      </c>
      <c r="QG124">
        <v>1314</v>
      </c>
      <c r="QH124">
        <v>66</v>
      </c>
      <c r="QI124">
        <v>66</v>
      </c>
      <c r="QL124">
        <v>0</v>
      </c>
      <c r="QM124">
        <v>62</v>
      </c>
      <c r="QN124">
        <v>62</v>
      </c>
      <c r="QO124" t="s">
        <v>2044</v>
      </c>
      <c r="QP124">
        <v>1</v>
      </c>
      <c r="QQ124">
        <v>1312</v>
      </c>
      <c r="QW124">
        <v>82</v>
      </c>
      <c r="QX124">
        <v>88</v>
      </c>
      <c r="QY124" t="s">
        <v>1744</v>
      </c>
      <c r="QZ124">
        <v>1</v>
      </c>
      <c r="RA124">
        <v>66</v>
      </c>
      <c r="RB124">
        <v>66</v>
      </c>
      <c r="RE124">
        <v>0</v>
      </c>
      <c r="RF124">
        <v>1</v>
      </c>
      <c r="RJ124">
        <v>1</v>
      </c>
      <c r="RL124">
        <v>4</v>
      </c>
      <c r="RO124">
        <v>488</v>
      </c>
      <c r="RQ124">
        <v>728</v>
      </c>
      <c r="RT124">
        <v>244</v>
      </c>
      <c r="RU124">
        <v>168</v>
      </c>
      <c r="RV124" t="s">
        <v>1514</v>
      </c>
      <c r="RW124" t="s">
        <v>653</v>
      </c>
      <c r="RX124">
        <v>15</v>
      </c>
      <c r="RY124">
        <v>4</v>
      </c>
      <c r="RZ124" t="s">
        <v>653</v>
      </c>
      <c r="SA124">
        <v>15</v>
      </c>
      <c r="SC124" t="s">
        <v>2044</v>
      </c>
      <c r="SD124">
        <v>1</v>
      </c>
      <c r="SH124">
        <v>0.995</v>
      </c>
      <c r="SI124">
        <v>0.995</v>
      </c>
      <c r="SJ124">
        <v>0.995</v>
      </c>
      <c r="SK124">
        <v>15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TB124">
        <v>0</v>
      </c>
      <c r="TC124">
        <v>0</v>
      </c>
      <c r="TD124">
        <v>7.5</v>
      </c>
      <c r="TE124" t="s">
        <v>553</v>
      </c>
      <c r="TF124" t="s">
        <v>624</v>
      </c>
      <c r="TG124" t="s">
        <v>555</v>
      </c>
      <c r="TI124" t="s">
        <v>546</v>
      </c>
      <c r="TJ124" t="s">
        <v>547</v>
      </c>
      <c r="TL124" t="s">
        <v>1888</v>
      </c>
      <c r="TM124" t="s">
        <v>513</v>
      </c>
      <c r="TN124">
        <v>0</v>
      </c>
      <c r="TO124" t="s">
        <v>557</v>
      </c>
    </row>
    <row r="125" spans="1:535">
      <c r="A125" t="s">
        <v>2045</v>
      </c>
      <c r="B125" t="s">
        <v>804</v>
      </c>
      <c r="C125" t="s">
        <v>509</v>
      </c>
      <c r="D125" t="s">
        <v>2046</v>
      </c>
      <c r="G125" t="s">
        <v>561</v>
      </c>
      <c r="I125" t="s">
        <v>562</v>
      </c>
      <c r="J125" t="s">
        <v>563</v>
      </c>
      <c r="L125" t="s">
        <v>512</v>
      </c>
      <c r="M125" t="s">
        <v>508</v>
      </c>
      <c r="N125" t="s">
        <v>513</v>
      </c>
      <c r="O125" t="s">
        <v>1942</v>
      </c>
      <c r="P125" t="s">
        <v>515</v>
      </c>
      <c r="Q125" t="s">
        <v>2047</v>
      </c>
      <c r="R125" t="s">
        <v>567</v>
      </c>
      <c r="S125" t="s">
        <v>1644</v>
      </c>
      <c r="T125" t="s">
        <v>1043</v>
      </c>
      <c r="U125" t="s">
        <v>662</v>
      </c>
      <c r="V125" t="s">
        <v>663</v>
      </c>
      <c r="W125" t="s">
        <v>2048</v>
      </c>
      <c r="X125" t="s">
        <v>1880</v>
      </c>
      <c r="Y125" t="s">
        <v>574</v>
      </c>
      <c r="Z125" t="s">
        <v>2049</v>
      </c>
      <c r="AA125" t="s">
        <v>2050</v>
      </c>
      <c r="AB125" t="s">
        <v>2051</v>
      </c>
      <c r="AC125">
        <v>2</v>
      </c>
      <c r="AD125">
        <v>57</v>
      </c>
      <c r="AE125">
        <v>216</v>
      </c>
      <c r="AF125">
        <v>1.5</v>
      </c>
      <c r="AH125">
        <v>0</v>
      </c>
      <c r="AI125" t="s">
        <v>1648</v>
      </c>
      <c r="AJ125">
        <v>227.5</v>
      </c>
      <c r="AK125">
        <v>1</v>
      </c>
      <c r="AL125">
        <v>1.5</v>
      </c>
      <c r="AM125" t="s">
        <v>529</v>
      </c>
      <c r="AO125">
        <v>0</v>
      </c>
      <c r="AR125">
        <v>0</v>
      </c>
      <c r="AS125">
        <v>1.5</v>
      </c>
      <c r="AU125" t="s">
        <v>2052</v>
      </c>
      <c r="AW125" t="s">
        <v>2052</v>
      </c>
      <c r="AX125">
        <v>1</v>
      </c>
      <c r="AY125">
        <v>320</v>
      </c>
      <c r="AZ125">
        <v>1.5</v>
      </c>
      <c r="BA125" t="s">
        <v>529</v>
      </c>
      <c r="BB125" t="s">
        <v>2053</v>
      </c>
      <c r="BD125" t="s">
        <v>2053</v>
      </c>
      <c r="BE125">
        <v>1</v>
      </c>
      <c r="BF125">
        <v>265</v>
      </c>
      <c r="BG125">
        <v>1.5</v>
      </c>
      <c r="BJ125">
        <v>0</v>
      </c>
      <c r="BN125">
        <v>1.5</v>
      </c>
      <c r="BP125" t="s">
        <v>961</v>
      </c>
      <c r="BQ125">
        <v>88</v>
      </c>
      <c r="BR125">
        <v>2</v>
      </c>
      <c r="BS125" t="s">
        <v>768</v>
      </c>
      <c r="BT125">
        <v>238</v>
      </c>
      <c r="BU125">
        <v>0.5</v>
      </c>
      <c r="BV125" t="s">
        <v>768</v>
      </c>
      <c r="BW125">
        <v>476</v>
      </c>
      <c r="BX125">
        <v>1</v>
      </c>
      <c r="BY125" t="s">
        <v>643</v>
      </c>
      <c r="BZ125">
        <v>470</v>
      </c>
      <c r="CA125">
        <v>530</v>
      </c>
      <c r="CB125" t="s">
        <v>672</v>
      </c>
      <c r="CC125" t="s">
        <v>672</v>
      </c>
      <c r="CD125">
        <v>485</v>
      </c>
      <c r="CE125" t="s">
        <v>673</v>
      </c>
      <c r="CF125">
        <v>15</v>
      </c>
      <c r="CG125" t="s">
        <v>2054</v>
      </c>
      <c r="CH125" t="s">
        <v>2054</v>
      </c>
      <c r="CI125">
        <v>30</v>
      </c>
      <c r="CJ125">
        <v>1381</v>
      </c>
      <c r="CK125">
        <v>2</v>
      </c>
      <c r="CL125">
        <v>1475</v>
      </c>
      <c r="CM125">
        <v>2</v>
      </c>
      <c r="CN125" t="s">
        <v>675</v>
      </c>
      <c r="CO125" t="s">
        <v>676</v>
      </c>
      <c r="CP125" t="s">
        <v>595</v>
      </c>
      <c r="CQ125" t="s">
        <v>621</v>
      </c>
      <c r="CR125" t="s">
        <v>541</v>
      </c>
      <c r="CS125" t="s">
        <v>542</v>
      </c>
      <c r="CT125">
        <v>455</v>
      </c>
      <c r="CU125">
        <v>5</v>
      </c>
      <c r="CV125">
        <v>1.2</v>
      </c>
      <c r="CW125">
        <v>1393</v>
      </c>
      <c r="CX125">
        <v>898</v>
      </c>
      <c r="DD125">
        <v>0</v>
      </c>
      <c r="DE125" t="s">
        <v>622</v>
      </c>
      <c r="DF125">
        <v>640</v>
      </c>
      <c r="DG125">
        <v>3</v>
      </c>
      <c r="DH125">
        <v>0.88</v>
      </c>
      <c r="DI125">
        <v>1390</v>
      </c>
      <c r="DJ125">
        <v>1012</v>
      </c>
      <c r="DK125" t="s">
        <v>622</v>
      </c>
      <c r="DL125">
        <v>530</v>
      </c>
      <c r="DM125">
        <v>3</v>
      </c>
      <c r="DN125">
        <v>0.88</v>
      </c>
      <c r="DO125">
        <v>1396</v>
      </c>
      <c r="DP125">
        <v>803</v>
      </c>
      <c r="DW125" t="s">
        <v>544</v>
      </c>
      <c r="DX125">
        <v>7.5</v>
      </c>
      <c r="EA125">
        <v>1464.3</v>
      </c>
      <c r="EB125">
        <v>259</v>
      </c>
      <c r="EC125" t="s">
        <v>545</v>
      </c>
      <c r="ED125">
        <v>45</v>
      </c>
      <c r="EE125">
        <v>3</v>
      </c>
      <c r="EG125">
        <v>1505</v>
      </c>
      <c r="EH125">
        <v>275</v>
      </c>
      <c r="EJ125">
        <v>0</v>
      </c>
      <c r="EK125">
        <v>1</v>
      </c>
      <c r="EN125">
        <v>0</v>
      </c>
      <c r="EP125" t="s">
        <v>546</v>
      </c>
      <c r="EQ125">
        <v>130</v>
      </c>
      <c r="ER125">
        <v>3</v>
      </c>
      <c r="ES125">
        <v>6</v>
      </c>
      <c r="ET125">
        <v>1381</v>
      </c>
      <c r="EU125">
        <v>589.5</v>
      </c>
      <c r="EV125">
        <v>814</v>
      </c>
      <c r="EW125" t="s">
        <v>547</v>
      </c>
      <c r="EX125">
        <v>70</v>
      </c>
      <c r="EY125">
        <v>2</v>
      </c>
      <c r="EZ125">
        <v>4.3</v>
      </c>
      <c r="FA125">
        <v>1381</v>
      </c>
      <c r="FB125">
        <v>221</v>
      </c>
      <c r="FC125">
        <v>305</v>
      </c>
      <c r="FE125">
        <v>0</v>
      </c>
      <c r="FF125">
        <v>2</v>
      </c>
      <c r="FI125">
        <v>0</v>
      </c>
      <c r="FK125" t="s">
        <v>548</v>
      </c>
      <c r="FL125">
        <v>0.4</v>
      </c>
      <c r="FM125">
        <v>110</v>
      </c>
      <c r="FN125">
        <v>160</v>
      </c>
      <c r="GR125" t="s">
        <v>548</v>
      </c>
      <c r="GS125">
        <v>0.4</v>
      </c>
      <c r="GT125">
        <v>30</v>
      </c>
      <c r="GU125">
        <v>440</v>
      </c>
      <c r="GV125">
        <v>30</v>
      </c>
      <c r="GW125">
        <v>290</v>
      </c>
      <c r="HC125">
        <v>0.1</v>
      </c>
      <c r="HD125">
        <v>3</v>
      </c>
      <c r="HE125">
        <v>3</v>
      </c>
      <c r="HF125">
        <v>3</v>
      </c>
      <c r="HG125">
        <v>3</v>
      </c>
      <c r="HH125">
        <v>3</v>
      </c>
      <c r="HI125">
        <v>185</v>
      </c>
      <c r="HJ125">
        <v>3</v>
      </c>
      <c r="HK125">
        <v>55</v>
      </c>
      <c r="HL125">
        <v>2</v>
      </c>
      <c r="HM125">
        <v>0</v>
      </c>
      <c r="HN125">
        <v>2</v>
      </c>
      <c r="HO125">
        <v>115</v>
      </c>
      <c r="HP125">
        <v>3</v>
      </c>
      <c r="HQ125">
        <v>0</v>
      </c>
      <c r="HR125">
        <v>2</v>
      </c>
      <c r="HS125">
        <v>6019</v>
      </c>
      <c r="HT125">
        <v>180</v>
      </c>
      <c r="HU125">
        <v>180</v>
      </c>
      <c r="HW125">
        <v>0</v>
      </c>
      <c r="HX125">
        <v>495</v>
      </c>
      <c r="HY125">
        <v>0.18</v>
      </c>
      <c r="IA125">
        <v>0.15</v>
      </c>
      <c r="IB125">
        <v>0</v>
      </c>
      <c r="IC125">
        <v>180</v>
      </c>
      <c r="ID125">
        <v>110</v>
      </c>
      <c r="IE125">
        <v>225</v>
      </c>
      <c r="IF125">
        <v>0</v>
      </c>
      <c r="IH125" t="s">
        <v>549</v>
      </c>
      <c r="IO125">
        <v>3</v>
      </c>
      <c r="IP125">
        <v>18</v>
      </c>
      <c r="IQ125">
        <v>0</v>
      </c>
      <c r="IR125">
        <v>1</v>
      </c>
      <c r="IV125">
        <v>1381</v>
      </c>
      <c r="IW125">
        <v>476</v>
      </c>
      <c r="JA125">
        <v>1</v>
      </c>
      <c r="JB125">
        <v>0</v>
      </c>
      <c r="JC125">
        <v>2</v>
      </c>
      <c r="JD125">
        <v>1393</v>
      </c>
      <c r="JE125">
        <v>1390</v>
      </c>
      <c r="JF125">
        <v>1396</v>
      </c>
      <c r="JG125">
        <v>1381</v>
      </c>
      <c r="JH125">
        <v>0</v>
      </c>
      <c r="JJ125">
        <v>180</v>
      </c>
      <c r="JK125">
        <v>495</v>
      </c>
      <c r="JN125">
        <v>455</v>
      </c>
      <c r="JO125">
        <v>640</v>
      </c>
      <c r="JP125">
        <v>530</v>
      </c>
      <c r="JQ125">
        <v>0</v>
      </c>
      <c r="JR125">
        <v>432</v>
      </c>
      <c r="JS125">
        <v>185</v>
      </c>
      <c r="JV125">
        <v>8</v>
      </c>
      <c r="JW125" t="s">
        <v>550</v>
      </c>
      <c r="JX125">
        <v>0</v>
      </c>
      <c r="KA125">
        <v>225</v>
      </c>
      <c r="KB125">
        <v>110</v>
      </c>
      <c r="KC125">
        <v>0</v>
      </c>
      <c r="KD125">
        <v>80</v>
      </c>
      <c r="KF125">
        <v>4</v>
      </c>
      <c r="KG125">
        <v>2</v>
      </c>
      <c r="KH125">
        <v>2</v>
      </c>
      <c r="KI125">
        <v>2</v>
      </c>
      <c r="KJ125">
        <v>0</v>
      </c>
      <c r="KK125">
        <v>1.5</v>
      </c>
      <c r="KL125">
        <v>1.5</v>
      </c>
      <c r="KM125">
        <v>0</v>
      </c>
      <c r="KN125">
        <v>0</v>
      </c>
      <c r="KO125">
        <v>0</v>
      </c>
      <c r="KR125">
        <v>30</v>
      </c>
      <c r="KS125">
        <v>60</v>
      </c>
      <c r="KT125">
        <v>0</v>
      </c>
      <c r="LK125">
        <v>480</v>
      </c>
      <c r="PG125">
        <v>1</v>
      </c>
      <c r="PI125" t="s">
        <v>2051</v>
      </c>
      <c r="PJ125" t="s">
        <v>2052</v>
      </c>
      <c r="PK125" t="s">
        <v>2053</v>
      </c>
      <c r="PL125" t="s">
        <v>1648</v>
      </c>
      <c r="PP125" t="s">
        <v>961</v>
      </c>
      <c r="PX125">
        <v>56</v>
      </c>
      <c r="PY125">
        <v>57</v>
      </c>
      <c r="PZ125" t="s">
        <v>2051</v>
      </c>
      <c r="QA125">
        <v>1</v>
      </c>
      <c r="QB125">
        <v>1381</v>
      </c>
      <c r="QC125">
        <v>69</v>
      </c>
      <c r="QD125">
        <v>69</v>
      </c>
      <c r="QE125" t="s">
        <v>1648</v>
      </c>
      <c r="QF125">
        <v>1</v>
      </c>
      <c r="QG125">
        <v>1393</v>
      </c>
      <c r="QH125">
        <v>66</v>
      </c>
      <c r="QI125">
        <v>66</v>
      </c>
      <c r="QL125">
        <v>0</v>
      </c>
      <c r="QM125">
        <v>62</v>
      </c>
      <c r="QN125">
        <v>62</v>
      </c>
      <c r="QO125" t="s">
        <v>2052</v>
      </c>
      <c r="QP125">
        <v>1</v>
      </c>
      <c r="QQ125">
        <v>1390</v>
      </c>
      <c r="QR125">
        <v>62</v>
      </c>
      <c r="QS125">
        <v>62</v>
      </c>
      <c r="QT125" t="s">
        <v>2053</v>
      </c>
      <c r="QU125">
        <v>1</v>
      </c>
      <c r="QV125">
        <v>1396</v>
      </c>
      <c r="QW125">
        <v>82</v>
      </c>
      <c r="QX125">
        <v>88</v>
      </c>
      <c r="QY125" t="s">
        <v>961</v>
      </c>
      <c r="QZ125">
        <v>1</v>
      </c>
      <c r="RA125">
        <v>66</v>
      </c>
      <c r="RB125">
        <v>66</v>
      </c>
      <c r="RE125">
        <v>0</v>
      </c>
      <c r="RF125">
        <v>1</v>
      </c>
      <c r="RH125">
        <v>1</v>
      </c>
      <c r="RJ125">
        <v>1</v>
      </c>
      <c r="RL125">
        <v>4</v>
      </c>
      <c r="RM125">
        <v>4</v>
      </c>
      <c r="RO125">
        <v>645</v>
      </c>
      <c r="RQ125">
        <v>728</v>
      </c>
      <c r="RR125">
        <v>575</v>
      </c>
      <c r="RT125">
        <v>259</v>
      </c>
      <c r="RU125">
        <v>275</v>
      </c>
      <c r="RV125" t="s">
        <v>770</v>
      </c>
      <c r="RW125" t="s">
        <v>679</v>
      </c>
      <c r="RX125">
        <v>15</v>
      </c>
      <c r="RY125">
        <v>4</v>
      </c>
      <c r="RZ125" t="s">
        <v>679</v>
      </c>
      <c r="SA125">
        <v>15</v>
      </c>
      <c r="SC125" t="s">
        <v>2052</v>
      </c>
      <c r="SD125">
        <v>1</v>
      </c>
      <c r="SF125" t="s">
        <v>2053</v>
      </c>
      <c r="SG125">
        <v>1</v>
      </c>
      <c r="SH125">
        <v>0.995</v>
      </c>
      <c r="SI125">
        <v>0.995</v>
      </c>
      <c r="SJ125">
        <v>0.995</v>
      </c>
      <c r="SK125">
        <v>15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Z125">
        <v>1</v>
      </c>
      <c r="TB125">
        <v>0</v>
      </c>
      <c r="TC125">
        <v>0</v>
      </c>
      <c r="TD125">
        <v>7.5</v>
      </c>
      <c r="TE125" t="s">
        <v>553</v>
      </c>
      <c r="TF125" t="s">
        <v>624</v>
      </c>
      <c r="TG125" t="s">
        <v>555</v>
      </c>
      <c r="TI125" t="s">
        <v>546</v>
      </c>
      <c r="TJ125" t="s">
        <v>547</v>
      </c>
      <c r="TL125" t="s">
        <v>1888</v>
      </c>
      <c r="TM125" t="s">
        <v>513</v>
      </c>
      <c r="TN125">
        <v>0</v>
      </c>
      <c r="TO125" t="s">
        <v>557</v>
      </c>
    </row>
    <row r="126" spans="1:535">
      <c r="A126" t="s">
        <v>2055</v>
      </c>
      <c r="B126" t="s">
        <v>804</v>
      </c>
      <c r="C126" t="s">
        <v>509</v>
      </c>
      <c r="D126" t="s">
        <v>2056</v>
      </c>
      <c r="G126" t="s">
        <v>1088</v>
      </c>
      <c r="L126" t="s">
        <v>512</v>
      </c>
      <c r="M126" t="s">
        <v>508</v>
      </c>
      <c r="N126" t="s">
        <v>513</v>
      </c>
      <c r="O126" t="s">
        <v>1255</v>
      </c>
      <c r="P126" t="s">
        <v>515</v>
      </c>
      <c r="Q126" t="s">
        <v>2057</v>
      </c>
      <c r="R126" t="s">
        <v>567</v>
      </c>
      <c r="S126" t="s">
        <v>774</v>
      </c>
      <c r="T126" t="s">
        <v>661</v>
      </c>
      <c r="U126" t="s">
        <v>686</v>
      </c>
      <c r="V126" t="s">
        <v>687</v>
      </c>
      <c r="W126" t="s">
        <v>1710</v>
      </c>
      <c r="X126" t="s">
        <v>1880</v>
      </c>
      <c r="Y126" t="s">
        <v>524</v>
      </c>
      <c r="Z126" t="s">
        <v>2058</v>
      </c>
      <c r="AA126" t="s">
        <v>2059</v>
      </c>
      <c r="AB126" t="s">
        <v>2060</v>
      </c>
      <c r="AC126">
        <v>2</v>
      </c>
      <c r="AD126">
        <v>57</v>
      </c>
      <c r="AE126">
        <v>208</v>
      </c>
      <c r="AF126">
        <v>1.5</v>
      </c>
      <c r="AH126">
        <v>0</v>
      </c>
      <c r="AI126" t="s">
        <v>944</v>
      </c>
      <c r="AJ126">
        <v>187.5</v>
      </c>
      <c r="AK126">
        <v>1</v>
      </c>
      <c r="AL126">
        <v>1.5</v>
      </c>
      <c r="AM126" t="s">
        <v>579</v>
      </c>
      <c r="AN126" t="s">
        <v>693</v>
      </c>
      <c r="AO126">
        <v>2</v>
      </c>
      <c r="AP126" t="s">
        <v>581</v>
      </c>
      <c r="AQ126" t="s">
        <v>582</v>
      </c>
      <c r="AR126">
        <v>226</v>
      </c>
      <c r="AS126">
        <v>1.5</v>
      </c>
      <c r="AT126" t="s">
        <v>583</v>
      </c>
      <c r="AU126" t="s">
        <v>2061</v>
      </c>
      <c r="AW126" t="s">
        <v>2061</v>
      </c>
      <c r="AX126">
        <v>1</v>
      </c>
      <c r="AY126">
        <v>275</v>
      </c>
      <c r="AZ126">
        <v>1.5</v>
      </c>
      <c r="BA126" t="s">
        <v>579</v>
      </c>
      <c r="BB126" t="s">
        <v>2062</v>
      </c>
      <c r="BD126" t="s">
        <v>2062</v>
      </c>
      <c r="BE126">
        <v>1</v>
      </c>
      <c r="BF126">
        <v>230</v>
      </c>
      <c r="BG126">
        <v>1.5</v>
      </c>
      <c r="BJ126">
        <v>0</v>
      </c>
      <c r="BN126">
        <v>1.5</v>
      </c>
      <c r="BP126" t="s">
        <v>1451</v>
      </c>
      <c r="BQ126">
        <v>88</v>
      </c>
      <c r="BR126">
        <v>2</v>
      </c>
      <c r="BS126" t="s">
        <v>1304</v>
      </c>
      <c r="BT126">
        <v>207</v>
      </c>
      <c r="BU126">
        <v>0.5</v>
      </c>
      <c r="BV126" t="s">
        <v>1304</v>
      </c>
      <c r="BW126">
        <v>414</v>
      </c>
      <c r="BX126">
        <v>1</v>
      </c>
      <c r="BY126" t="s">
        <v>698</v>
      </c>
      <c r="BZ126">
        <v>300</v>
      </c>
      <c r="CA126">
        <v>480</v>
      </c>
      <c r="CB126" t="s">
        <v>699</v>
      </c>
      <c r="CC126" t="s">
        <v>699</v>
      </c>
      <c r="CD126">
        <v>456</v>
      </c>
      <c r="CE126" t="s">
        <v>700</v>
      </c>
      <c r="CF126">
        <v>15</v>
      </c>
      <c r="CG126" t="s">
        <v>783</v>
      </c>
      <c r="CH126" t="s">
        <v>783</v>
      </c>
      <c r="CI126">
        <v>90</v>
      </c>
      <c r="CJ126">
        <v>1458</v>
      </c>
      <c r="CK126">
        <v>2</v>
      </c>
      <c r="CL126">
        <v>1552</v>
      </c>
      <c r="CM126">
        <v>2</v>
      </c>
      <c r="CN126" t="s">
        <v>702</v>
      </c>
      <c r="CO126" t="s">
        <v>676</v>
      </c>
      <c r="CP126" t="s">
        <v>703</v>
      </c>
      <c r="CQ126" t="s">
        <v>596</v>
      </c>
      <c r="CR126" t="s">
        <v>541</v>
      </c>
      <c r="CS126" t="s">
        <v>542</v>
      </c>
      <c r="CT126">
        <v>375</v>
      </c>
      <c r="CU126">
        <v>5</v>
      </c>
      <c r="CV126">
        <v>1.2</v>
      </c>
      <c r="CW126">
        <v>1475</v>
      </c>
      <c r="CX126">
        <v>783</v>
      </c>
      <c r="CY126" t="s">
        <v>705</v>
      </c>
      <c r="CZ126">
        <v>50</v>
      </c>
      <c r="DA126">
        <v>3</v>
      </c>
      <c r="DB126">
        <v>1</v>
      </c>
      <c r="DC126">
        <v>1475</v>
      </c>
      <c r="DD126">
        <v>77</v>
      </c>
      <c r="DE126" t="s">
        <v>622</v>
      </c>
      <c r="DF126">
        <v>550</v>
      </c>
      <c r="DG126">
        <v>3</v>
      </c>
      <c r="DH126">
        <v>0.88</v>
      </c>
      <c r="DI126">
        <v>1467</v>
      </c>
      <c r="DJ126">
        <v>951</v>
      </c>
      <c r="DK126" t="s">
        <v>622</v>
      </c>
      <c r="DL126">
        <v>460</v>
      </c>
      <c r="DM126">
        <v>3</v>
      </c>
      <c r="DN126">
        <v>0.88</v>
      </c>
      <c r="DO126">
        <v>1472</v>
      </c>
      <c r="DP126">
        <v>785</v>
      </c>
      <c r="DW126" t="s">
        <v>544</v>
      </c>
      <c r="DX126">
        <v>7.5</v>
      </c>
      <c r="EA126">
        <v>1544.1</v>
      </c>
      <c r="EB126">
        <v>273</v>
      </c>
      <c r="EC126" t="s">
        <v>545</v>
      </c>
      <c r="ED126">
        <v>40</v>
      </c>
      <c r="EE126">
        <v>3</v>
      </c>
      <c r="EG126">
        <v>1585</v>
      </c>
      <c r="EH126">
        <v>254</v>
      </c>
      <c r="EJ126">
        <v>0</v>
      </c>
      <c r="EK126">
        <v>1</v>
      </c>
      <c r="EN126">
        <v>0</v>
      </c>
      <c r="EP126" t="s">
        <v>546</v>
      </c>
      <c r="EQ126">
        <v>110</v>
      </c>
      <c r="ER126">
        <v>3</v>
      </c>
      <c r="ES126">
        <v>5.5</v>
      </c>
      <c r="ET126">
        <v>1454</v>
      </c>
      <c r="EU126">
        <v>471.2</v>
      </c>
      <c r="EV126">
        <v>685</v>
      </c>
      <c r="EW126" t="s">
        <v>547</v>
      </c>
      <c r="EX126">
        <v>45</v>
      </c>
      <c r="EY126">
        <v>2</v>
      </c>
      <c r="EZ126">
        <v>4.5</v>
      </c>
      <c r="FA126">
        <v>1454</v>
      </c>
      <c r="FB126">
        <v>138.3</v>
      </c>
      <c r="FC126">
        <v>201</v>
      </c>
      <c r="FE126">
        <v>0</v>
      </c>
      <c r="FF126">
        <v>2</v>
      </c>
      <c r="FI126">
        <v>0</v>
      </c>
      <c r="FK126" t="s">
        <v>548</v>
      </c>
      <c r="FL126">
        <v>0.4</v>
      </c>
      <c r="FM126">
        <v>40</v>
      </c>
      <c r="FN126">
        <v>360</v>
      </c>
      <c r="FO126">
        <v>80</v>
      </c>
      <c r="FP126">
        <v>140</v>
      </c>
      <c r="GR126" t="s">
        <v>548</v>
      </c>
      <c r="GS126">
        <v>0.6</v>
      </c>
      <c r="GT126">
        <v>30</v>
      </c>
      <c r="GU126">
        <v>370</v>
      </c>
      <c r="GV126">
        <v>30</v>
      </c>
      <c r="GW126">
        <v>250</v>
      </c>
      <c r="HC126">
        <v>0.1</v>
      </c>
      <c r="HD126">
        <v>3</v>
      </c>
      <c r="HE126">
        <v>3</v>
      </c>
      <c r="HF126">
        <v>3</v>
      </c>
      <c r="HG126">
        <v>3</v>
      </c>
      <c r="HH126">
        <v>3</v>
      </c>
      <c r="HI126">
        <v>140</v>
      </c>
      <c r="HJ126">
        <v>3</v>
      </c>
      <c r="HK126">
        <v>30</v>
      </c>
      <c r="HL126">
        <v>2</v>
      </c>
      <c r="HM126">
        <v>0</v>
      </c>
      <c r="HN126">
        <v>2</v>
      </c>
      <c r="HO126">
        <v>95</v>
      </c>
      <c r="HP126">
        <v>3</v>
      </c>
      <c r="HQ126">
        <v>0</v>
      </c>
      <c r="HR126">
        <v>2</v>
      </c>
      <c r="HS126">
        <v>5499</v>
      </c>
      <c r="HT126">
        <v>160</v>
      </c>
      <c r="HU126">
        <v>180</v>
      </c>
      <c r="HW126">
        <v>0</v>
      </c>
      <c r="HX126">
        <v>435</v>
      </c>
      <c r="HY126">
        <v>0.18</v>
      </c>
      <c r="IA126">
        <v>0.15</v>
      </c>
      <c r="IB126">
        <v>0</v>
      </c>
      <c r="IC126">
        <v>180</v>
      </c>
      <c r="ID126">
        <v>110</v>
      </c>
      <c r="IE126">
        <v>225</v>
      </c>
      <c r="IF126">
        <v>0</v>
      </c>
      <c r="IH126" t="s">
        <v>549</v>
      </c>
      <c r="IO126">
        <v>3</v>
      </c>
      <c r="IP126">
        <v>19</v>
      </c>
      <c r="IQ126">
        <v>0</v>
      </c>
      <c r="IR126">
        <v>0</v>
      </c>
      <c r="IV126">
        <v>1458</v>
      </c>
      <c r="IW126">
        <v>414</v>
      </c>
      <c r="JA126">
        <v>1</v>
      </c>
      <c r="JB126">
        <v>0</v>
      </c>
      <c r="JC126">
        <v>2</v>
      </c>
      <c r="JD126">
        <v>1475</v>
      </c>
      <c r="JE126">
        <v>1467</v>
      </c>
      <c r="JF126">
        <v>1472</v>
      </c>
      <c r="JG126">
        <v>1454</v>
      </c>
      <c r="JH126">
        <v>0</v>
      </c>
      <c r="JJ126">
        <v>180</v>
      </c>
      <c r="JK126">
        <v>435</v>
      </c>
      <c r="JN126">
        <v>375</v>
      </c>
      <c r="JO126">
        <v>550</v>
      </c>
      <c r="JP126">
        <v>460</v>
      </c>
      <c r="JQ126">
        <v>0</v>
      </c>
      <c r="JR126">
        <v>416</v>
      </c>
      <c r="JS126">
        <v>140</v>
      </c>
      <c r="JV126">
        <v>8</v>
      </c>
      <c r="JW126" t="s">
        <v>550</v>
      </c>
      <c r="JX126">
        <v>452</v>
      </c>
      <c r="KA126">
        <v>225</v>
      </c>
      <c r="KB126">
        <v>110</v>
      </c>
      <c r="KC126">
        <v>0</v>
      </c>
      <c r="KD126">
        <v>80</v>
      </c>
      <c r="KF126">
        <v>5</v>
      </c>
      <c r="KG126">
        <v>5</v>
      </c>
      <c r="KH126">
        <v>2</v>
      </c>
      <c r="KI126">
        <v>2</v>
      </c>
      <c r="KJ126">
        <v>0</v>
      </c>
      <c r="KK126">
        <v>1.5</v>
      </c>
      <c r="KL126">
        <v>1.5</v>
      </c>
      <c r="KM126">
        <v>0</v>
      </c>
      <c r="KN126">
        <v>0</v>
      </c>
      <c r="KO126">
        <v>0</v>
      </c>
      <c r="KR126">
        <v>25</v>
      </c>
      <c r="KS126">
        <v>60</v>
      </c>
      <c r="KT126">
        <v>0</v>
      </c>
      <c r="LK126">
        <v>480</v>
      </c>
      <c r="LX126">
        <v>385</v>
      </c>
      <c r="LY126">
        <v>2</v>
      </c>
      <c r="LZ126">
        <v>250</v>
      </c>
      <c r="PG126">
        <v>1</v>
      </c>
      <c r="PI126" t="s">
        <v>2060</v>
      </c>
      <c r="PJ126" t="s">
        <v>2061</v>
      </c>
      <c r="PK126" t="s">
        <v>2062</v>
      </c>
      <c r="PL126" t="s">
        <v>944</v>
      </c>
      <c r="PP126" t="s">
        <v>1451</v>
      </c>
      <c r="PS126" t="s">
        <v>693</v>
      </c>
      <c r="PX126">
        <v>56</v>
      </c>
      <c r="PY126">
        <v>57</v>
      </c>
      <c r="PZ126" t="s">
        <v>2060</v>
      </c>
      <c r="QA126">
        <v>1</v>
      </c>
      <c r="QB126">
        <v>1454</v>
      </c>
      <c r="QC126">
        <v>69</v>
      </c>
      <c r="QD126">
        <v>69</v>
      </c>
      <c r="QE126" t="s">
        <v>944</v>
      </c>
      <c r="QF126">
        <v>1</v>
      </c>
      <c r="QG126">
        <v>1475</v>
      </c>
      <c r="QH126">
        <v>66</v>
      </c>
      <c r="QI126">
        <v>66</v>
      </c>
      <c r="QJ126" t="s">
        <v>693</v>
      </c>
      <c r="QK126">
        <v>1</v>
      </c>
      <c r="QL126">
        <v>1475</v>
      </c>
      <c r="QM126">
        <v>62</v>
      </c>
      <c r="QN126">
        <v>62</v>
      </c>
      <c r="QO126" t="s">
        <v>2061</v>
      </c>
      <c r="QP126">
        <v>1</v>
      </c>
      <c r="QQ126">
        <v>1467</v>
      </c>
      <c r="QR126">
        <v>62</v>
      </c>
      <c r="QS126">
        <v>62</v>
      </c>
      <c r="QT126" t="s">
        <v>2062</v>
      </c>
      <c r="QU126">
        <v>1</v>
      </c>
      <c r="QV126">
        <v>1472</v>
      </c>
      <c r="QW126">
        <v>82</v>
      </c>
      <c r="QX126">
        <v>88</v>
      </c>
      <c r="QY126" t="s">
        <v>1451</v>
      </c>
      <c r="QZ126">
        <v>1</v>
      </c>
      <c r="RA126">
        <v>66</v>
      </c>
      <c r="RB126">
        <v>66</v>
      </c>
      <c r="RE126">
        <v>0</v>
      </c>
      <c r="RF126">
        <v>1</v>
      </c>
      <c r="RH126">
        <v>1</v>
      </c>
      <c r="RJ126">
        <v>1</v>
      </c>
      <c r="RK126">
        <v>2</v>
      </c>
      <c r="RL126">
        <v>4</v>
      </c>
      <c r="RM126">
        <v>4</v>
      </c>
      <c r="RO126">
        <v>531</v>
      </c>
      <c r="RP126">
        <v>105</v>
      </c>
      <c r="RQ126">
        <v>648</v>
      </c>
      <c r="RR126">
        <v>533</v>
      </c>
      <c r="RT126">
        <v>273</v>
      </c>
      <c r="RU126">
        <v>254</v>
      </c>
      <c r="RV126" t="s">
        <v>1305</v>
      </c>
      <c r="RW126" t="s">
        <v>707</v>
      </c>
      <c r="RX126">
        <v>15</v>
      </c>
      <c r="RY126">
        <v>4</v>
      </c>
      <c r="RZ126" t="s">
        <v>707</v>
      </c>
      <c r="SA126">
        <v>15</v>
      </c>
      <c r="SC126" t="s">
        <v>2061</v>
      </c>
      <c r="SD126">
        <v>1</v>
      </c>
      <c r="SF126" t="s">
        <v>2062</v>
      </c>
      <c r="SG126">
        <v>1</v>
      </c>
      <c r="SH126">
        <v>0.995</v>
      </c>
      <c r="SI126">
        <v>0.995</v>
      </c>
      <c r="SJ126">
        <v>0.995</v>
      </c>
      <c r="SK126">
        <v>15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1</v>
      </c>
      <c r="SZ126">
        <v>1</v>
      </c>
      <c r="TB126">
        <v>1</v>
      </c>
      <c r="TC126">
        <v>0</v>
      </c>
      <c r="TD126">
        <v>7.5</v>
      </c>
      <c r="TE126" t="s">
        <v>553</v>
      </c>
      <c r="TF126" t="s">
        <v>624</v>
      </c>
      <c r="TG126" t="s">
        <v>555</v>
      </c>
      <c r="TI126" t="s">
        <v>546</v>
      </c>
      <c r="TJ126" t="s">
        <v>547</v>
      </c>
      <c r="TL126" t="s">
        <v>1888</v>
      </c>
      <c r="TM126" t="s">
        <v>513</v>
      </c>
      <c r="TN126">
        <v>0</v>
      </c>
      <c r="TO126" t="s">
        <v>557</v>
      </c>
    </row>
    <row r="127" spans="1:535">
      <c r="A127" t="s">
        <v>2063</v>
      </c>
      <c r="B127" t="s">
        <v>804</v>
      </c>
      <c r="C127" t="s">
        <v>509</v>
      </c>
      <c r="D127" t="s">
        <v>2064</v>
      </c>
      <c r="G127" t="s">
        <v>1135</v>
      </c>
      <c r="I127" t="s">
        <v>562</v>
      </c>
      <c r="J127" t="s">
        <v>563</v>
      </c>
      <c r="L127" t="s">
        <v>512</v>
      </c>
      <c r="M127" t="s">
        <v>508</v>
      </c>
      <c r="N127" t="s">
        <v>513</v>
      </c>
      <c r="O127" t="s">
        <v>1255</v>
      </c>
      <c r="P127" t="s">
        <v>515</v>
      </c>
      <c r="Q127" t="s">
        <v>2065</v>
      </c>
      <c r="R127" t="s">
        <v>567</v>
      </c>
      <c r="S127" t="s">
        <v>2066</v>
      </c>
      <c r="T127" t="s">
        <v>1043</v>
      </c>
      <c r="U127" t="s">
        <v>570</v>
      </c>
      <c r="V127" t="s">
        <v>571</v>
      </c>
      <c r="W127" t="s">
        <v>2067</v>
      </c>
      <c r="X127" t="s">
        <v>1880</v>
      </c>
      <c r="Y127" t="s">
        <v>574</v>
      </c>
      <c r="Z127" t="s">
        <v>2068</v>
      </c>
      <c r="AA127" t="s">
        <v>2069</v>
      </c>
      <c r="AB127" t="s">
        <v>2070</v>
      </c>
      <c r="AC127">
        <v>2</v>
      </c>
      <c r="AD127">
        <v>57</v>
      </c>
      <c r="AE127">
        <v>239</v>
      </c>
      <c r="AF127">
        <v>1.5</v>
      </c>
      <c r="AH127">
        <v>0</v>
      </c>
      <c r="AI127" t="s">
        <v>2071</v>
      </c>
      <c r="AJ127">
        <v>220</v>
      </c>
      <c r="AK127">
        <v>1</v>
      </c>
      <c r="AL127">
        <v>1.5</v>
      </c>
      <c r="AM127" t="s">
        <v>579</v>
      </c>
      <c r="AN127" t="s">
        <v>693</v>
      </c>
      <c r="AO127">
        <v>2</v>
      </c>
      <c r="AP127" t="s">
        <v>581</v>
      </c>
      <c r="AQ127" t="s">
        <v>582</v>
      </c>
      <c r="AR127">
        <v>258</v>
      </c>
      <c r="AS127">
        <v>1.5</v>
      </c>
      <c r="AT127" t="s">
        <v>583</v>
      </c>
      <c r="AU127" t="s">
        <v>2072</v>
      </c>
      <c r="AW127" t="s">
        <v>2072</v>
      </c>
      <c r="AX127">
        <v>1</v>
      </c>
      <c r="AY127">
        <v>315</v>
      </c>
      <c r="AZ127">
        <v>1.5</v>
      </c>
      <c r="BA127" t="s">
        <v>579</v>
      </c>
      <c r="BB127" t="s">
        <v>2073</v>
      </c>
      <c r="BD127" t="s">
        <v>2073</v>
      </c>
      <c r="BE127">
        <v>1</v>
      </c>
      <c r="BF127">
        <v>265</v>
      </c>
      <c r="BG127">
        <v>1.5</v>
      </c>
      <c r="BJ127">
        <v>0</v>
      </c>
      <c r="BN127">
        <v>1.5</v>
      </c>
      <c r="BP127" t="s">
        <v>2074</v>
      </c>
      <c r="BQ127" t="s">
        <v>587</v>
      </c>
      <c r="BR127">
        <v>2</v>
      </c>
      <c r="BS127" t="s">
        <v>1250</v>
      </c>
      <c r="BT127">
        <v>238</v>
      </c>
      <c r="BU127">
        <v>0.5</v>
      </c>
      <c r="BV127" t="s">
        <v>1250</v>
      </c>
      <c r="BW127">
        <v>476</v>
      </c>
      <c r="BX127">
        <v>1</v>
      </c>
      <c r="BY127" t="s">
        <v>589</v>
      </c>
      <c r="BZ127">
        <v>470</v>
      </c>
      <c r="CA127">
        <v>530</v>
      </c>
      <c r="CB127" t="s">
        <v>590</v>
      </c>
      <c r="CC127" t="s">
        <v>590</v>
      </c>
      <c r="CD127">
        <v>488</v>
      </c>
      <c r="CE127" t="s">
        <v>591</v>
      </c>
      <c r="CF127">
        <v>15</v>
      </c>
      <c r="CG127" t="s">
        <v>936</v>
      </c>
      <c r="CH127" t="s">
        <v>936</v>
      </c>
      <c r="CI127">
        <v>30</v>
      </c>
      <c r="CJ127">
        <v>1538</v>
      </c>
      <c r="CK127">
        <v>2</v>
      </c>
      <c r="CL127">
        <v>1632</v>
      </c>
      <c r="CM127">
        <v>2</v>
      </c>
      <c r="CN127" t="s">
        <v>593</v>
      </c>
      <c r="CO127" t="s">
        <v>594</v>
      </c>
      <c r="CP127" t="s">
        <v>595</v>
      </c>
      <c r="CQ127" t="s">
        <v>596</v>
      </c>
      <c r="CR127" t="s">
        <v>541</v>
      </c>
      <c r="CS127" t="s">
        <v>542</v>
      </c>
      <c r="CT127">
        <v>440</v>
      </c>
      <c r="CU127">
        <v>5</v>
      </c>
      <c r="CV127">
        <v>1.2</v>
      </c>
      <c r="CW127">
        <v>1554</v>
      </c>
      <c r="CX127">
        <v>968</v>
      </c>
      <c r="CY127" t="s">
        <v>705</v>
      </c>
      <c r="CZ127">
        <v>50</v>
      </c>
      <c r="DA127">
        <v>3</v>
      </c>
      <c r="DB127">
        <v>1</v>
      </c>
      <c r="DC127">
        <v>1554</v>
      </c>
      <c r="DD127">
        <v>82</v>
      </c>
      <c r="DE127" t="s">
        <v>622</v>
      </c>
      <c r="DF127">
        <v>630</v>
      </c>
      <c r="DG127">
        <v>3</v>
      </c>
      <c r="DH127">
        <v>0.88</v>
      </c>
      <c r="DI127">
        <v>1547</v>
      </c>
      <c r="DJ127">
        <v>1151</v>
      </c>
      <c r="DK127" t="s">
        <v>622</v>
      </c>
      <c r="DL127">
        <v>530</v>
      </c>
      <c r="DM127">
        <v>3</v>
      </c>
      <c r="DN127">
        <v>0.88</v>
      </c>
      <c r="DO127">
        <v>1552</v>
      </c>
      <c r="DP127">
        <v>892</v>
      </c>
      <c r="DW127" t="s">
        <v>544</v>
      </c>
      <c r="DX127">
        <v>7.5</v>
      </c>
      <c r="EA127">
        <v>1623.8</v>
      </c>
      <c r="EB127">
        <v>287</v>
      </c>
      <c r="EC127" t="s">
        <v>545</v>
      </c>
      <c r="ED127">
        <v>45</v>
      </c>
      <c r="EE127">
        <v>3</v>
      </c>
      <c r="EG127">
        <v>1665</v>
      </c>
      <c r="EH127">
        <v>305</v>
      </c>
      <c r="EJ127">
        <v>0</v>
      </c>
      <c r="EK127">
        <v>1</v>
      </c>
      <c r="EN127">
        <v>0</v>
      </c>
      <c r="EP127" t="s">
        <v>546</v>
      </c>
      <c r="EQ127">
        <v>130</v>
      </c>
      <c r="ER127">
        <v>3</v>
      </c>
      <c r="ES127">
        <v>6</v>
      </c>
      <c r="ET127">
        <v>1537</v>
      </c>
      <c r="EU127">
        <v>606.6</v>
      </c>
      <c r="EV127">
        <v>932</v>
      </c>
      <c r="EW127" t="s">
        <v>547</v>
      </c>
      <c r="EX127">
        <v>45</v>
      </c>
      <c r="EY127">
        <v>2</v>
      </c>
      <c r="EZ127">
        <v>4.5</v>
      </c>
      <c r="FA127">
        <v>1537</v>
      </c>
      <c r="FB127">
        <v>133.2</v>
      </c>
      <c r="FC127">
        <v>205</v>
      </c>
      <c r="FE127">
        <v>0</v>
      </c>
      <c r="FF127">
        <v>2</v>
      </c>
      <c r="FI127">
        <v>0</v>
      </c>
      <c r="FK127" t="s">
        <v>548</v>
      </c>
      <c r="FL127">
        <v>0.4</v>
      </c>
      <c r="FM127">
        <v>40</v>
      </c>
      <c r="FN127">
        <v>420</v>
      </c>
      <c r="FO127">
        <v>100</v>
      </c>
      <c r="FP127">
        <v>150</v>
      </c>
      <c r="GR127" t="s">
        <v>548</v>
      </c>
      <c r="GS127">
        <v>0.4</v>
      </c>
      <c r="GT127">
        <v>30</v>
      </c>
      <c r="GU127">
        <v>430</v>
      </c>
      <c r="GV127">
        <v>30</v>
      </c>
      <c r="GW127">
        <v>290</v>
      </c>
      <c r="HC127">
        <v>0.1</v>
      </c>
      <c r="HD127">
        <v>3</v>
      </c>
      <c r="HE127">
        <v>3</v>
      </c>
      <c r="HF127">
        <v>3</v>
      </c>
      <c r="HG127">
        <v>3</v>
      </c>
      <c r="HH127">
        <v>3</v>
      </c>
      <c r="HI127">
        <v>160</v>
      </c>
      <c r="HJ127">
        <v>3</v>
      </c>
      <c r="HK127">
        <v>30</v>
      </c>
      <c r="HL127">
        <v>2</v>
      </c>
      <c r="HM127">
        <v>0</v>
      </c>
      <c r="HN127">
        <v>2</v>
      </c>
      <c r="HO127">
        <v>115</v>
      </c>
      <c r="HP127">
        <v>3</v>
      </c>
      <c r="HQ127">
        <v>0</v>
      </c>
      <c r="HR127">
        <v>2</v>
      </c>
      <c r="HS127">
        <v>6633</v>
      </c>
      <c r="HT127">
        <v>200</v>
      </c>
      <c r="HU127">
        <v>180</v>
      </c>
      <c r="HW127">
        <v>0</v>
      </c>
      <c r="HX127">
        <v>570</v>
      </c>
      <c r="HY127">
        <v>0.18</v>
      </c>
      <c r="IA127">
        <v>0.15</v>
      </c>
      <c r="IB127">
        <v>0</v>
      </c>
      <c r="IC127">
        <v>180</v>
      </c>
      <c r="ID127">
        <v>110</v>
      </c>
      <c r="IE127">
        <v>225</v>
      </c>
      <c r="IF127">
        <v>0</v>
      </c>
      <c r="IH127" t="s">
        <v>549</v>
      </c>
      <c r="IO127">
        <v>3</v>
      </c>
      <c r="IP127">
        <v>20</v>
      </c>
      <c r="IQ127">
        <v>0</v>
      </c>
      <c r="IR127">
        <v>0</v>
      </c>
      <c r="IV127">
        <v>1538</v>
      </c>
      <c r="IW127">
        <v>476</v>
      </c>
      <c r="JA127">
        <v>1</v>
      </c>
      <c r="JB127">
        <v>0</v>
      </c>
      <c r="JC127">
        <v>2</v>
      </c>
      <c r="JD127">
        <v>1554</v>
      </c>
      <c r="JE127">
        <v>1547</v>
      </c>
      <c r="JF127">
        <v>1552</v>
      </c>
      <c r="JG127">
        <v>1537</v>
      </c>
      <c r="JH127">
        <v>0</v>
      </c>
      <c r="JJ127">
        <v>180</v>
      </c>
      <c r="JK127">
        <v>570</v>
      </c>
      <c r="JN127">
        <v>440</v>
      </c>
      <c r="JO127">
        <v>630</v>
      </c>
      <c r="JP127">
        <v>530</v>
      </c>
      <c r="JQ127">
        <v>0</v>
      </c>
      <c r="JR127">
        <v>478</v>
      </c>
      <c r="JS127">
        <v>160</v>
      </c>
      <c r="JV127">
        <v>8</v>
      </c>
      <c r="JW127" t="s">
        <v>550</v>
      </c>
      <c r="JX127">
        <v>516</v>
      </c>
      <c r="KA127">
        <v>225</v>
      </c>
      <c r="KB127">
        <v>110</v>
      </c>
      <c r="KC127">
        <v>0</v>
      </c>
      <c r="KD127">
        <v>80</v>
      </c>
      <c r="KF127">
        <v>4</v>
      </c>
      <c r="KG127">
        <v>2</v>
      </c>
      <c r="KH127">
        <v>2</v>
      </c>
      <c r="KI127">
        <v>2</v>
      </c>
      <c r="KJ127">
        <v>0</v>
      </c>
      <c r="KK127">
        <v>1.5</v>
      </c>
      <c r="KL127">
        <v>1.5</v>
      </c>
      <c r="KM127">
        <v>0</v>
      </c>
      <c r="KN127">
        <v>0</v>
      </c>
      <c r="KO127">
        <v>0</v>
      </c>
      <c r="KR127">
        <v>30</v>
      </c>
      <c r="KS127">
        <v>60</v>
      </c>
      <c r="KT127">
        <v>0</v>
      </c>
      <c r="LK127">
        <v>480</v>
      </c>
      <c r="PG127">
        <v>1</v>
      </c>
      <c r="PI127" t="s">
        <v>2070</v>
      </c>
      <c r="PJ127" t="s">
        <v>2072</v>
      </c>
      <c r="PK127" t="s">
        <v>2073</v>
      </c>
      <c r="PL127" t="s">
        <v>2071</v>
      </c>
      <c r="PP127" t="s">
        <v>2074</v>
      </c>
      <c r="PS127" t="s">
        <v>693</v>
      </c>
      <c r="PX127">
        <v>56</v>
      </c>
      <c r="PY127">
        <v>57</v>
      </c>
      <c r="PZ127" t="s">
        <v>2070</v>
      </c>
      <c r="QA127">
        <v>1</v>
      </c>
      <c r="QB127">
        <v>1537</v>
      </c>
      <c r="QC127">
        <v>69</v>
      </c>
      <c r="QD127">
        <v>69</v>
      </c>
      <c r="QE127" t="s">
        <v>2071</v>
      </c>
      <c r="QF127">
        <v>1</v>
      </c>
      <c r="QG127">
        <v>1554</v>
      </c>
      <c r="QH127">
        <v>66</v>
      </c>
      <c r="QI127">
        <v>66</v>
      </c>
      <c r="QJ127" t="s">
        <v>693</v>
      </c>
      <c r="QK127">
        <v>1</v>
      </c>
      <c r="QL127">
        <v>1554</v>
      </c>
      <c r="QM127">
        <v>62</v>
      </c>
      <c r="QN127">
        <v>62</v>
      </c>
      <c r="QO127" t="s">
        <v>2072</v>
      </c>
      <c r="QP127">
        <v>1</v>
      </c>
      <c r="QQ127">
        <v>1547</v>
      </c>
      <c r="QR127">
        <v>62</v>
      </c>
      <c r="QS127">
        <v>62</v>
      </c>
      <c r="QT127" t="s">
        <v>2073</v>
      </c>
      <c r="QU127">
        <v>1</v>
      </c>
      <c r="QV127">
        <v>1552</v>
      </c>
      <c r="QW127">
        <v>82</v>
      </c>
      <c r="QX127" t="s">
        <v>587</v>
      </c>
      <c r="QY127" t="s">
        <v>2074</v>
      </c>
      <c r="QZ127">
        <v>1</v>
      </c>
      <c r="RA127">
        <v>66</v>
      </c>
      <c r="RB127">
        <v>66</v>
      </c>
      <c r="RE127">
        <v>0</v>
      </c>
      <c r="RF127">
        <v>1</v>
      </c>
      <c r="RH127">
        <v>1</v>
      </c>
      <c r="RJ127">
        <v>1</v>
      </c>
      <c r="RK127">
        <v>2</v>
      </c>
      <c r="RL127">
        <v>4</v>
      </c>
      <c r="RM127">
        <v>4</v>
      </c>
      <c r="RO127">
        <v>623</v>
      </c>
      <c r="RP127">
        <v>105</v>
      </c>
      <c r="RQ127">
        <v>744</v>
      </c>
      <c r="RR127">
        <v>575</v>
      </c>
      <c r="RT127">
        <v>287</v>
      </c>
      <c r="RU127">
        <v>305</v>
      </c>
      <c r="RV127" t="s">
        <v>1251</v>
      </c>
      <c r="RW127" t="s">
        <v>599</v>
      </c>
      <c r="RX127">
        <v>15</v>
      </c>
      <c r="RY127">
        <v>4</v>
      </c>
      <c r="RZ127" t="s">
        <v>599</v>
      </c>
      <c r="SA127">
        <v>15</v>
      </c>
      <c r="SC127" t="s">
        <v>2072</v>
      </c>
      <c r="SD127">
        <v>1</v>
      </c>
      <c r="SF127" t="s">
        <v>2073</v>
      </c>
      <c r="SG127">
        <v>1</v>
      </c>
      <c r="SH127">
        <v>0.995</v>
      </c>
      <c r="SI127">
        <v>0.995</v>
      </c>
      <c r="SJ127">
        <v>0.995</v>
      </c>
      <c r="SK127">
        <v>15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1</v>
      </c>
      <c r="SZ127">
        <v>1</v>
      </c>
      <c r="TB127">
        <v>0</v>
      </c>
      <c r="TC127">
        <v>0</v>
      </c>
      <c r="TD127">
        <v>7.5</v>
      </c>
      <c r="TE127" t="s">
        <v>553</v>
      </c>
      <c r="TF127" t="s">
        <v>624</v>
      </c>
      <c r="TG127" t="s">
        <v>555</v>
      </c>
      <c r="TI127" t="s">
        <v>546</v>
      </c>
      <c r="TJ127" t="s">
        <v>547</v>
      </c>
      <c r="TL127" t="s">
        <v>1888</v>
      </c>
      <c r="TM127" t="s">
        <v>513</v>
      </c>
      <c r="TN127">
        <v>0</v>
      </c>
      <c r="TO127" t="s">
        <v>601</v>
      </c>
    </row>
    <row r="128" spans="1:535">
      <c r="A128" t="s">
        <v>2075</v>
      </c>
      <c r="B128" t="s">
        <v>727</v>
      </c>
      <c r="C128" t="s">
        <v>509</v>
      </c>
      <c r="D128" t="s">
        <v>1229</v>
      </c>
      <c r="G128" t="s">
        <v>627</v>
      </c>
      <c r="H128" t="s">
        <v>604</v>
      </c>
      <c r="I128" t="s">
        <v>628</v>
      </c>
      <c r="J128" t="s">
        <v>606</v>
      </c>
      <c r="L128" t="s">
        <v>512</v>
      </c>
      <c r="M128" t="s">
        <v>729</v>
      </c>
      <c r="N128" t="s">
        <v>513</v>
      </c>
      <c r="O128" t="s">
        <v>565</v>
      </c>
      <c r="Q128" t="s">
        <v>2076</v>
      </c>
      <c r="R128" t="s">
        <v>567</v>
      </c>
      <c r="S128" t="s">
        <v>2077</v>
      </c>
      <c r="T128" t="s">
        <v>1812</v>
      </c>
      <c r="U128" t="s">
        <v>1482</v>
      </c>
      <c r="V128" t="s">
        <v>1483</v>
      </c>
      <c r="W128" t="s">
        <v>2078</v>
      </c>
      <c r="X128" t="s">
        <v>1880</v>
      </c>
      <c r="Y128" t="s">
        <v>524</v>
      </c>
      <c r="Z128" t="s">
        <v>2079</v>
      </c>
      <c r="AA128" t="s">
        <v>2080</v>
      </c>
      <c r="AB128" t="s">
        <v>2081</v>
      </c>
      <c r="AC128">
        <v>2</v>
      </c>
      <c r="AD128">
        <v>57</v>
      </c>
      <c r="AE128">
        <v>181</v>
      </c>
      <c r="AF128">
        <v>1.5</v>
      </c>
      <c r="AH128">
        <v>0</v>
      </c>
      <c r="AI128" t="s">
        <v>1801</v>
      </c>
      <c r="AJ128">
        <v>160</v>
      </c>
      <c r="AK128">
        <v>1</v>
      </c>
      <c r="AL128">
        <v>1.5</v>
      </c>
      <c r="AM128" t="s">
        <v>579</v>
      </c>
      <c r="AN128" t="s">
        <v>693</v>
      </c>
      <c r="AO128">
        <v>2</v>
      </c>
      <c r="AP128" t="s">
        <v>581</v>
      </c>
      <c r="AQ128" t="s">
        <v>582</v>
      </c>
      <c r="AR128">
        <v>198</v>
      </c>
      <c r="AS128">
        <v>1.5</v>
      </c>
      <c r="AT128" t="s">
        <v>583</v>
      </c>
      <c r="AU128" t="s">
        <v>2082</v>
      </c>
      <c r="AW128" t="s">
        <v>2082</v>
      </c>
      <c r="AX128">
        <v>1</v>
      </c>
      <c r="AY128">
        <v>305</v>
      </c>
      <c r="AZ128">
        <v>1.5</v>
      </c>
      <c r="BA128" t="s">
        <v>579</v>
      </c>
      <c r="BG128">
        <v>1.5</v>
      </c>
      <c r="BJ128">
        <v>0</v>
      </c>
      <c r="BN128">
        <v>1.5</v>
      </c>
      <c r="BP128" t="s">
        <v>2028</v>
      </c>
      <c r="BQ128">
        <v>82</v>
      </c>
      <c r="BR128">
        <v>2</v>
      </c>
      <c r="BS128" t="s">
        <v>1490</v>
      </c>
      <c r="BT128">
        <v>179</v>
      </c>
      <c r="BU128">
        <v>0.5</v>
      </c>
      <c r="BV128" t="s">
        <v>1490</v>
      </c>
      <c r="BW128">
        <v>358</v>
      </c>
      <c r="BX128">
        <v>1</v>
      </c>
      <c r="BY128" t="s">
        <v>1491</v>
      </c>
      <c r="BZ128">
        <v>300</v>
      </c>
      <c r="CA128">
        <v>520</v>
      </c>
      <c r="CB128" t="s">
        <v>1492</v>
      </c>
      <c r="CC128" t="s">
        <v>1492</v>
      </c>
      <c r="CD128">
        <v>372</v>
      </c>
      <c r="CE128" t="s">
        <v>1493</v>
      </c>
      <c r="CF128">
        <v>15</v>
      </c>
      <c r="CG128" t="s">
        <v>1624</v>
      </c>
      <c r="CH128" t="s">
        <v>1624</v>
      </c>
      <c r="CI128">
        <v>110</v>
      </c>
      <c r="CJ128">
        <v>1122</v>
      </c>
      <c r="CK128">
        <v>2</v>
      </c>
      <c r="CL128">
        <v>1222</v>
      </c>
      <c r="CM128">
        <v>2</v>
      </c>
      <c r="CN128" t="s">
        <v>1495</v>
      </c>
      <c r="CO128" t="s">
        <v>1473</v>
      </c>
      <c r="CP128" t="s">
        <v>1474</v>
      </c>
      <c r="CQ128" t="s">
        <v>1343</v>
      </c>
      <c r="CR128" t="s">
        <v>541</v>
      </c>
      <c r="CS128" t="s">
        <v>542</v>
      </c>
      <c r="CT128">
        <v>320</v>
      </c>
      <c r="CU128">
        <v>5</v>
      </c>
      <c r="CV128">
        <v>1.2</v>
      </c>
      <c r="CW128">
        <v>1141</v>
      </c>
      <c r="CX128">
        <v>517</v>
      </c>
      <c r="CY128" t="s">
        <v>705</v>
      </c>
      <c r="CZ128">
        <v>50</v>
      </c>
      <c r="DA128">
        <v>3</v>
      </c>
      <c r="DB128">
        <v>1</v>
      </c>
      <c r="DC128">
        <v>1141</v>
      </c>
      <c r="DD128">
        <v>60</v>
      </c>
      <c r="DE128" t="s">
        <v>622</v>
      </c>
      <c r="DF128">
        <v>610</v>
      </c>
      <c r="DG128">
        <v>3</v>
      </c>
      <c r="DH128">
        <v>0.88</v>
      </c>
      <c r="DI128">
        <v>1134</v>
      </c>
      <c r="DJ128">
        <v>990</v>
      </c>
      <c r="DW128" t="s">
        <v>544</v>
      </c>
      <c r="DX128">
        <v>7.5</v>
      </c>
      <c r="EA128">
        <v>1202.7</v>
      </c>
      <c r="EB128">
        <v>157</v>
      </c>
      <c r="EC128" t="s">
        <v>545</v>
      </c>
      <c r="ED128">
        <v>25</v>
      </c>
      <c r="EE128">
        <v>3</v>
      </c>
      <c r="EG128">
        <v>1233</v>
      </c>
      <c r="EH128">
        <v>134</v>
      </c>
      <c r="EJ128">
        <v>0</v>
      </c>
      <c r="EK128">
        <v>1</v>
      </c>
      <c r="EN128">
        <v>0</v>
      </c>
      <c r="EP128" t="s">
        <v>546</v>
      </c>
      <c r="EQ128">
        <v>85</v>
      </c>
      <c r="ER128">
        <v>3</v>
      </c>
      <c r="ES128">
        <v>4.7</v>
      </c>
      <c r="ET128">
        <v>1115</v>
      </c>
      <c r="EU128">
        <v>314.3</v>
      </c>
      <c r="EV128">
        <v>350</v>
      </c>
      <c r="EW128" t="s">
        <v>547</v>
      </c>
      <c r="EX128">
        <v>45</v>
      </c>
      <c r="EY128">
        <v>2</v>
      </c>
      <c r="EZ128">
        <v>4.5</v>
      </c>
      <c r="FA128">
        <v>1115</v>
      </c>
      <c r="FB128">
        <v>151.6</v>
      </c>
      <c r="FC128">
        <v>169</v>
      </c>
      <c r="FE128">
        <v>0</v>
      </c>
      <c r="FF128">
        <v>2</v>
      </c>
      <c r="FI128">
        <v>0</v>
      </c>
      <c r="FK128" t="s">
        <v>548</v>
      </c>
      <c r="FL128">
        <v>0.6</v>
      </c>
      <c r="FM128">
        <v>50</v>
      </c>
      <c r="FN128">
        <v>280</v>
      </c>
      <c r="FO128">
        <v>60</v>
      </c>
      <c r="FP128">
        <v>100</v>
      </c>
      <c r="FR128" t="s">
        <v>548</v>
      </c>
      <c r="FS128">
        <v>0.4</v>
      </c>
      <c r="FT128">
        <v>145</v>
      </c>
      <c r="FU128">
        <v>80</v>
      </c>
      <c r="HC128">
        <v>0.1</v>
      </c>
      <c r="HD128">
        <v>3</v>
      </c>
      <c r="HE128">
        <v>3</v>
      </c>
      <c r="HF128">
        <v>3</v>
      </c>
      <c r="HG128">
        <v>3</v>
      </c>
      <c r="HH128">
        <v>3</v>
      </c>
      <c r="HI128">
        <v>115</v>
      </c>
      <c r="HJ128">
        <v>3</v>
      </c>
      <c r="HK128">
        <v>30</v>
      </c>
      <c r="HL128">
        <v>2</v>
      </c>
      <c r="HM128">
        <v>0</v>
      </c>
      <c r="HN128">
        <v>2</v>
      </c>
      <c r="HO128">
        <v>70</v>
      </c>
      <c r="HP128">
        <v>3</v>
      </c>
      <c r="HQ128">
        <v>0</v>
      </c>
      <c r="HR128">
        <v>2</v>
      </c>
      <c r="HS128">
        <v>3247</v>
      </c>
      <c r="HT128">
        <v>100</v>
      </c>
      <c r="HU128">
        <v>180</v>
      </c>
      <c r="HW128">
        <v>20</v>
      </c>
      <c r="HX128">
        <v>450</v>
      </c>
      <c r="HY128">
        <v>0.18</v>
      </c>
      <c r="IA128">
        <v>0.15</v>
      </c>
      <c r="IB128">
        <v>0</v>
      </c>
      <c r="IC128">
        <v>180</v>
      </c>
      <c r="ID128">
        <v>110</v>
      </c>
      <c r="IE128">
        <v>0</v>
      </c>
      <c r="IF128">
        <v>0</v>
      </c>
      <c r="IH128" t="s">
        <v>549</v>
      </c>
      <c r="IO128">
        <v>1</v>
      </c>
      <c r="IP128">
        <v>15</v>
      </c>
      <c r="IQ128">
        <v>0</v>
      </c>
      <c r="IR128">
        <v>0</v>
      </c>
      <c r="IV128">
        <v>1122</v>
      </c>
      <c r="IW128">
        <v>358</v>
      </c>
      <c r="JA128">
        <v>1</v>
      </c>
      <c r="JB128">
        <v>0</v>
      </c>
      <c r="JC128">
        <v>2</v>
      </c>
      <c r="JD128">
        <v>1141</v>
      </c>
      <c r="JE128">
        <v>1134</v>
      </c>
      <c r="JF128">
        <v>0</v>
      </c>
      <c r="JG128">
        <v>1115</v>
      </c>
      <c r="JH128">
        <v>0</v>
      </c>
      <c r="JJ128">
        <v>180</v>
      </c>
      <c r="JK128">
        <v>450</v>
      </c>
      <c r="JN128">
        <v>320</v>
      </c>
      <c r="JO128">
        <v>610</v>
      </c>
      <c r="JP128">
        <v>0</v>
      </c>
      <c r="JQ128">
        <v>0</v>
      </c>
      <c r="JR128">
        <v>362</v>
      </c>
      <c r="JS128">
        <v>115</v>
      </c>
      <c r="JV128">
        <v>8</v>
      </c>
      <c r="JW128" t="s">
        <v>550</v>
      </c>
      <c r="JX128">
        <v>396</v>
      </c>
      <c r="KA128">
        <v>0</v>
      </c>
      <c r="KB128">
        <v>110</v>
      </c>
      <c r="KC128">
        <v>0</v>
      </c>
      <c r="KD128">
        <v>80</v>
      </c>
      <c r="KF128">
        <v>4</v>
      </c>
      <c r="KG128">
        <v>4</v>
      </c>
      <c r="KH128">
        <v>2</v>
      </c>
      <c r="KI128">
        <v>2</v>
      </c>
      <c r="KJ128">
        <v>0</v>
      </c>
      <c r="KK128">
        <v>1.5</v>
      </c>
      <c r="KL128">
        <v>1.5</v>
      </c>
      <c r="KM128">
        <v>0</v>
      </c>
      <c r="KN128">
        <v>0</v>
      </c>
      <c r="KO128">
        <v>0</v>
      </c>
      <c r="KR128">
        <v>30</v>
      </c>
      <c r="KS128">
        <v>60</v>
      </c>
      <c r="KT128">
        <v>0</v>
      </c>
      <c r="LK128">
        <v>480</v>
      </c>
      <c r="LX128">
        <v>380</v>
      </c>
      <c r="LY128">
        <v>2</v>
      </c>
      <c r="PG128">
        <v>1</v>
      </c>
      <c r="PI128" t="s">
        <v>2081</v>
      </c>
      <c r="PJ128" t="s">
        <v>2082</v>
      </c>
      <c r="PL128" t="s">
        <v>1801</v>
      </c>
      <c r="PP128" t="s">
        <v>2028</v>
      </c>
      <c r="PS128" t="s">
        <v>693</v>
      </c>
      <c r="PX128">
        <v>56</v>
      </c>
      <c r="PY128">
        <v>57</v>
      </c>
      <c r="PZ128" t="s">
        <v>2081</v>
      </c>
      <c r="QA128">
        <v>3</v>
      </c>
      <c r="QB128">
        <v>1115</v>
      </c>
      <c r="QC128">
        <v>69</v>
      </c>
      <c r="QD128">
        <v>69</v>
      </c>
      <c r="QE128" t="s">
        <v>1801</v>
      </c>
      <c r="QF128">
        <v>1</v>
      </c>
      <c r="QG128">
        <v>1141</v>
      </c>
      <c r="QH128">
        <v>66</v>
      </c>
      <c r="QI128">
        <v>66</v>
      </c>
      <c r="QJ128" t="s">
        <v>693</v>
      </c>
      <c r="QK128">
        <v>1</v>
      </c>
      <c r="QL128">
        <v>1141</v>
      </c>
      <c r="QM128">
        <v>62</v>
      </c>
      <c r="QN128">
        <v>62</v>
      </c>
      <c r="QO128" t="s">
        <v>2082</v>
      </c>
      <c r="QP128">
        <v>1</v>
      </c>
      <c r="QQ128">
        <v>1134</v>
      </c>
      <c r="QW128">
        <v>82</v>
      </c>
      <c r="QX128">
        <v>82</v>
      </c>
      <c r="QY128" t="s">
        <v>2028</v>
      </c>
      <c r="QZ128">
        <v>3</v>
      </c>
      <c r="RA128">
        <v>66</v>
      </c>
      <c r="RB128">
        <v>66</v>
      </c>
      <c r="RE128">
        <v>0</v>
      </c>
      <c r="RF128">
        <v>1</v>
      </c>
      <c r="RJ128">
        <v>2</v>
      </c>
      <c r="RK128">
        <v>2</v>
      </c>
      <c r="RL128">
        <v>3</v>
      </c>
      <c r="RO128">
        <v>453</v>
      </c>
      <c r="RP128">
        <v>105</v>
      </c>
      <c r="RQ128">
        <v>873</v>
      </c>
      <c r="RT128">
        <v>157</v>
      </c>
      <c r="RU128">
        <v>134</v>
      </c>
      <c r="RV128" t="s">
        <v>1497</v>
      </c>
      <c r="RW128" t="s">
        <v>1498</v>
      </c>
      <c r="RX128">
        <v>15</v>
      </c>
      <c r="RY128">
        <v>4</v>
      </c>
      <c r="RZ128" t="s">
        <v>1498</v>
      </c>
      <c r="SA128">
        <v>15</v>
      </c>
      <c r="SC128" t="s">
        <v>2082</v>
      </c>
      <c r="SD128">
        <v>1</v>
      </c>
      <c r="SH128">
        <v>0.995</v>
      </c>
      <c r="SI128">
        <v>0.995</v>
      </c>
      <c r="SJ128">
        <v>0.995</v>
      </c>
      <c r="SK128">
        <v>15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1</v>
      </c>
      <c r="TB128">
        <v>0</v>
      </c>
      <c r="TC128">
        <v>0</v>
      </c>
      <c r="TD128">
        <v>7.5</v>
      </c>
      <c r="TE128" t="s">
        <v>553</v>
      </c>
      <c r="TF128" t="s">
        <v>754</v>
      </c>
      <c r="TG128" t="s">
        <v>555</v>
      </c>
      <c r="TI128" t="s">
        <v>546</v>
      </c>
      <c r="TJ128" t="s">
        <v>547</v>
      </c>
      <c r="TL128" t="s">
        <v>1888</v>
      </c>
      <c r="TM128" t="s">
        <v>513</v>
      </c>
      <c r="TN128">
        <v>0</v>
      </c>
      <c r="TO128" t="s">
        <v>557</v>
      </c>
    </row>
    <row r="129" spans="1:535">
      <c r="A129" t="s">
        <v>2083</v>
      </c>
      <c r="B129" t="s">
        <v>711</v>
      </c>
      <c r="C129" t="s">
        <v>509</v>
      </c>
      <c r="D129" t="s">
        <v>1335</v>
      </c>
      <c r="G129" t="s">
        <v>1135</v>
      </c>
      <c r="I129" t="s">
        <v>562</v>
      </c>
      <c r="J129" t="s">
        <v>563</v>
      </c>
      <c r="L129" t="s">
        <v>512</v>
      </c>
      <c r="M129" t="s">
        <v>804</v>
      </c>
      <c r="N129" t="s">
        <v>513</v>
      </c>
      <c r="O129" t="s">
        <v>565</v>
      </c>
      <c r="Q129" t="s">
        <v>2084</v>
      </c>
      <c r="R129" t="s">
        <v>567</v>
      </c>
      <c r="S129" t="s">
        <v>1728</v>
      </c>
      <c r="T129" t="s">
        <v>759</v>
      </c>
      <c r="U129" t="s">
        <v>520</v>
      </c>
      <c r="V129" t="s">
        <v>521</v>
      </c>
      <c r="W129" t="s">
        <v>2085</v>
      </c>
      <c r="X129" t="s">
        <v>1880</v>
      </c>
      <c r="Y129" t="s">
        <v>524</v>
      </c>
      <c r="Z129" t="s">
        <v>2086</v>
      </c>
      <c r="AA129" t="s">
        <v>2087</v>
      </c>
      <c r="AB129" t="s">
        <v>2088</v>
      </c>
      <c r="AC129">
        <v>2</v>
      </c>
      <c r="AD129">
        <v>57</v>
      </c>
      <c r="AE129">
        <v>180</v>
      </c>
      <c r="AF129">
        <v>1.5</v>
      </c>
      <c r="AH129">
        <v>0</v>
      </c>
      <c r="AI129" t="s">
        <v>969</v>
      </c>
      <c r="AJ129">
        <v>192.5</v>
      </c>
      <c r="AK129">
        <v>1</v>
      </c>
      <c r="AL129">
        <v>1.5</v>
      </c>
      <c r="AM129" t="s">
        <v>529</v>
      </c>
      <c r="AO129">
        <v>0</v>
      </c>
      <c r="AR129">
        <v>0</v>
      </c>
      <c r="AS129">
        <v>1.5</v>
      </c>
      <c r="AU129" t="s">
        <v>2089</v>
      </c>
      <c r="AW129" t="s">
        <v>2089</v>
      </c>
      <c r="AX129">
        <v>1</v>
      </c>
      <c r="AY129">
        <v>337.5</v>
      </c>
      <c r="AZ129">
        <v>1.5</v>
      </c>
      <c r="BA129" t="s">
        <v>529</v>
      </c>
      <c r="BG129">
        <v>1.5</v>
      </c>
      <c r="BJ129">
        <v>0</v>
      </c>
      <c r="BN129">
        <v>1.5</v>
      </c>
      <c r="BP129" t="s">
        <v>1688</v>
      </c>
      <c r="BQ129">
        <v>89</v>
      </c>
      <c r="BR129">
        <v>2</v>
      </c>
      <c r="BS129" t="s">
        <v>737</v>
      </c>
      <c r="BT129">
        <v>202</v>
      </c>
      <c r="BU129">
        <v>0.5</v>
      </c>
      <c r="BV129" t="s">
        <v>737</v>
      </c>
      <c r="BW129">
        <v>404</v>
      </c>
      <c r="BX129">
        <v>1</v>
      </c>
      <c r="BY129" t="s">
        <v>533</v>
      </c>
      <c r="BZ129">
        <v>300</v>
      </c>
      <c r="CA129">
        <v>460</v>
      </c>
      <c r="CB129" t="s">
        <v>534</v>
      </c>
      <c r="CC129" t="s">
        <v>534</v>
      </c>
      <c r="CD129">
        <v>416</v>
      </c>
      <c r="CE129" t="s">
        <v>535</v>
      </c>
      <c r="CF129">
        <v>15</v>
      </c>
      <c r="CG129" t="s">
        <v>738</v>
      </c>
      <c r="CH129" t="s">
        <v>738</v>
      </c>
      <c r="CI129">
        <v>80</v>
      </c>
      <c r="CJ129">
        <v>1200</v>
      </c>
      <c r="CK129">
        <v>2</v>
      </c>
      <c r="CL129">
        <v>1301</v>
      </c>
      <c r="CM129">
        <v>2</v>
      </c>
      <c r="CN129" t="s">
        <v>537</v>
      </c>
      <c r="CO129" t="s">
        <v>538</v>
      </c>
      <c r="CP129" t="s">
        <v>539</v>
      </c>
      <c r="CQ129" t="s">
        <v>1496</v>
      </c>
      <c r="CR129" t="s">
        <v>541</v>
      </c>
      <c r="CS129" t="s">
        <v>542</v>
      </c>
      <c r="CT129">
        <v>385</v>
      </c>
      <c r="CU129">
        <v>5</v>
      </c>
      <c r="CV129">
        <v>1.2</v>
      </c>
      <c r="CW129">
        <v>1213</v>
      </c>
      <c r="CX129">
        <v>661</v>
      </c>
      <c r="DD129">
        <v>0</v>
      </c>
      <c r="DE129" t="s">
        <v>543</v>
      </c>
      <c r="DF129">
        <v>675</v>
      </c>
      <c r="DG129">
        <v>3</v>
      </c>
      <c r="DH129">
        <v>1.18</v>
      </c>
      <c r="DI129">
        <v>1211</v>
      </c>
      <c r="DJ129">
        <v>1236</v>
      </c>
      <c r="DW129" t="s">
        <v>544</v>
      </c>
      <c r="DX129">
        <v>7.5</v>
      </c>
      <c r="EA129">
        <v>1284.1</v>
      </c>
      <c r="EB129">
        <v>228</v>
      </c>
      <c r="EC129" t="s">
        <v>545</v>
      </c>
      <c r="ED129">
        <v>40</v>
      </c>
      <c r="EE129">
        <v>3</v>
      </c>
      <c r="EG129">
        <v>1325</v>
      </c>
      <c r="EH129">
        <v>212</v>
      </c>
      <c r="EJ129">
        <v>0</v>
      </c>
      <c r="EK129">
        <v>1</v>
      </c>
      <c r="EN129">
        <v>0</v>
      </c>
      <c r="EP129" t="s">
        <v>546</v>
      </c>
      <c r="EQ129">
        <v>100</v>
      </c>
      <c r="ER129">
        <v>3</v>
      </c>
      <c r="ES129">
        <v>5.5</v>
      </c>
      <c r="ET129">
        <v>1198</v>
      </c>
      <c r="EU129">
        <v>415.5</v>
      </c>
      <c r="EV129">
        <v>498</v>
      </c>
      <c r="EW129" t="s">
        <v>547</v>
      </c>
      <c r="EX129">
        <v>70</v>
      </c>
      <c r="EY129">
        <v>2</v>
      </c>
      <c r="EZ129">
        <v>4.5</v>
      </c>
      <c r="FA129">
        <v>1198</v>
      </c>
      <c r="FB129">
        <v>229</v>
      </c>
      <c r="FC129">
        <v>274</v>
      </c>
      <c r="FE129">
        <v>0</v>
      </c>
      <c r="FF129">
        <v>2</v>
      </c>
      <c r="FI129">
        <v>0</v>
      </c>
      <c r="FK129" t="s">
        <v>548</v>
      </c>
      <c r="FL129">
        <v>0.4</v>
      </c>
      <c r="FM129">
        <v>90</v>
      </c>
      <c r="FN129">
        <v>120</v>
      </c>
      <c r="FR129" t="s">
        <v>548</v>
      </c>
      <c r="FS129">
        <v>0.4</v>
      </c>
      <c r="FT129">
        <v>30</v>
      </c>
      <c r="FU129">
        <v>360</v>
      </c>
      <c r="HC129">
        <v>0.1</v>
      </c>
      <c r="HD129">
        <v>3</v>
      </c>
      <c r="HE129">
        <v>3</v>
      </c>
      <c r="HF129">
        <v>3</v>
      </c>
      <c r="HG129">
        <v>3</v>
      </c>
      <c r="HH129">
        <v>3</v>
      </c>
      <c r="HI129">
        <v>155</v>
      </c>
      <c r="HJ129">
        <v>3</v>
      </c>
      <c r="HK129">
        <v>55</v>
      </c>
      <c r="HL129">
        <v>2</v>
      </c>
      <c r="HM129">
        <v>0</v>
      </c>
      <c r="HN129">
        <v>2</v>
      </c>
      <c r="HO129">
        <v>85</v>
      </c>
      <c r="HP129">
        <v>3</v>
      </c>
      <c r="HQ129">
        <v>0</v>
      </c>
      <c r="HR129">
        <v>2</v>
      </c>
      <c r="HS129">
        <v>4321</v>
      </c>
      <c r="HT129">
        <v>130</v>
      </c>
      <c r="HU129">
        <v>180</v>
      </c>
      <c r="HW129">
        <v>20</v>
      </c>
      <c r="HX129">
        <v>425</v>
      </c>
      <c r="HY129">
        <v>0.18</v>
      </c>
      <c r="IA129">
        <v>0.15</v>
      </c>
      <c r="IB129">
        <v>0</v>
      </c>
      <c r="IC129">
        <v>180</v>
      </c>
      <c r="ID129">
        <v>110</v>
      </c>
      <c r="IE129">
        <v>0</v>
      </c>
      <c r="IF129">
        <v>0</v>
      </c>
      <c r="IH129" t="s">
        <v>549</v>
      </c>
      <c r="IO129">
        <v>1</v>
      </c>
      <c r="IP129">
        <v>16</v>
      </c>
      <c r="IQ129">
        <v>0</v>
      </c>
      <c r="IR129">
        <v>1</v>
      </c>
      <c r="IV129">
        <v>1200</v>
      </c>
      <c r="IW129">
        <v>404</v>
      </c>
      <c r="JA129">
        <v>1</v>
      </c>
      <c r="JB129">
        <v>0</v>
      </c>
      <c r="JC129">
        <v>2</v>
      </c>
      <c r="JD129">
        <v>1213</v>
      </c>
      <c r="JE129">
        <v>1211</v>
      </c>
      <c r="JF129">
        <v>0</v>
      </c>
      <c r="JG129">
        <v>1198</v>
      </c>
      <c r="JH129">
        <v>0</v>
      </c>
      <c r="JJ129">
        <v>180</v>
      </c>
      <c r="JK129">
        <v>425</v>
      </c>
      <c r="JN129">
        <v>385</v>
      </c>
      <c r="JO129">
        <v>675</v>
      </c>
      <c r="JP129">
        <v>0</v>
      </c>
      <c r="JQ129">
        <v>0</v>
      </c>
      <c r="JR129">
        <v>360</v>
      </c>
      <c r="JS129">
        <v>155</v>
      </c>
      <c r="JV129">
        <v>8</v>
      </c>
      <c r="JW129" t="s">
        <v>550</v>
      </c>
      <c r="JX129">
        <v>0</v>
      </c>
      <c r="KA129">
        <v>0</v>
      </c>
      <c r="KB129">
        <v>110</v>
      </c>
      <c r="KC129">
        <v>0</v>
      </c>
      <c r="KD129">
        <v>80</v>
      </c>
      <c r="KF129">
        <v>4</v>
      </c>
      <c r="KG129">
        <v>2</v>
      </c>
      <c r="KH129">
        <v>2</v>
      </c>
      <c r="KI129">
        <v>2</v>
      </c>
      <c r="KJ129">
        <v>0</v>
      </c>
      <c r="KK129">
        <v>1.5</v>
      </c>
      <c r="KL129">
        <v>1.5</v>
      </c>
      <c r="KM129">
        <v>0</v>
      </c>
      <c r="KN129">
        <v>0</v>
      </c>
      <c r="KO129">
        <v>0</v>
      </c>
      <c r="KR129">
        <v>30</v>
      </c>
      <c r="KS129">
        <v>60</v>
      </c>
      <c r="KT129">
        <v>0</v>
      </c>
      <c r="LK129">
        <v>480</v>
      </c>
      <c r="PG129">
        <v>1</v>
      </c>
      <c r="PI129" t="s">
        <v>2088</v>
      </c>
      <c r="PJ129" t="s">
        <v>2089</v>
      </c>
      <c r="PL129" t="s">
        <v>969</v>
      </c>
      <c r="PP129" t="s">
        <v>1688</v>
      </c>
      <c r="PX129">
        <v>56</v>
      </c>
      <c r="PY129">
        <v>57</v>
      </c>
      <c r="PZ129" t="s">
        <v>2088</v>
      </c>
      <c r="QA129">
        <v>1</v>
      </c>
      <c r="QB129">
        <v>1198</v>
      </c>
      <c r="QC129">
        <v>69</v>
      </c>
      <c r="QD129">
        <v>69</v>
      </c>
      <c r="QE129" t="s">
        <v>969</v>
      </c>
      <c r="QF129">
        <v>1</v>
      </c>
      <c r="QG129">
        <v>1213</v>
      </c>
      <c r="QH129">
        <v>66</v>
      </c>
      <c r="QI129">
        <v>66</v>
      </c>
      <c r="QL129">
        <v>0</v>
      </c>
      <c r="QM129">
        <v>62</v>
      </c>
      <c r="QN129">
        <v>62</v>
      </c>
      <c r="QO129" t="s">
        <v>2089</v>
      </c>
      <c r="QP129">
        <v>1</v>
      </c>
      <c r="QQ129">
        <v>1211</v>
      </c>
      <c r="QW129">
        <v>82</v>
      </c>
      <c r="QX129">
        <v>89</v>
      </c>
      <c r="QY129" t="s">
        <v>1688</v>
      </c>
      <c r="QZ129">
        <v>1</v>
      </c>
      <c r="RA129">
        <v>66</v>
      </c>
      <c r="RB129">
        <v>66</v>
      </c>
      <c r="RE129">
        <v>0</v>
      </c>
      <c r="RF129">
        <v>1</v>
      </c>
      <c r="RJ129">
        <v>1</v>
      </c>
      <c r="RL129">
        <v>2</v>
      </c>
      <c r="RO129">
        <v>545</v>
      </c>
      <c r="RQ129">
        <v>1021</v>
      </c>
      <c r="RT129">
        <v>228</v>
      </c>
      <c r="RU129">
        <v>212</v>
      </c>
      <c r="RV129" t="s">
        <v>739</v>
      </c>
      <c r="RW129" t="s">
        <v>552</v>
      </c>
      <c r="RX129">
        <v>15</v>
      </c>
      <c r="RY129">
        <v>4</v>
      </c>
      <c r="RZ129" t="s">
        <v>552</v>
      </c>
      <c r="SA129">
        <v>15</v>
      </c>
      <c r="SC129" t="s">
        <v>2089</v>
      </c>
      <c r="SD129">
        <v>1</v>
      </c>
      <c r="SH129">
        <v>0.995</v>
      </c>
      <c r="SI129">
        <v>0.995</v>
      </c>
      <c r="SJ129">
        <v>0.995</v>
      </c>
      <c r="SK129">
        <v>15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TB129">
        <v>0</v>
      </c>
      <c r="TC129">
        <v>0</v>
      </c>
      <c r="TD129">
        <v>7.5</v>
      </c>
      <c r="TE129" t="s">
        <v>553</v>
      </c>
      <c r="TF129" t="s">
        <v>624</v>
      </c>
      <c r="TG129" t="s">
        <v>555</v>
      </c>
      <c r="TI129" t="s">
        <v>546</v>
      </c>
      <c r="TJ129" t="s">
        <v>547</v>
      </c>
      <c r="TL129" t="s">
        <v>1888</v>
      </c>
      <c r="TM129" t="s">
        <v>513</v>
      </c>
      <c r="TN129">
        <v>0</v>
      </c>
      <c r="TO129" t="s">
        <v>557</v>
      </c>
    </row>
    <row r="130" spans="1:535">
      <c r="A130" t="s">
        <v>2090</v>
      </c>
      <c r="B130" t="s">
        <v>711</v>
      </c>
      <c r="C130" t="s">
        <v>509</v>
      </c>
      <c r="D130" t="s">
        <v>1281</v>
      </c>
      <c r="G130" t="s">
        <v>1294</v>
      </c>
      <c r="I130" t="s">
        <v>562</v>
      </c>
      <c r="J130" t="s">
        <v>563</v>
      </c>
      <c r="L130" t="s">
        <v>512</v>
      </c>
      <c r="M130" t="s">
        <v>804</v>
      </c>
      <c r="N130" t="s">
        <v>513</v>
      </c>
      <c r="O130" t="s">
        <v>565</v>
      </c>
      <c r="Q130" t="s">
        <v>2091</v>
      </c>
      <c r="R130" t="s">
        <v>567</v>
      </c>
      <c r="S130" t="s">
        <v>819</v>
      </c>
      <c r="T130" t="s">
        <v>820</v>
      </c>
      <c r="U130" t="s">
        <v>633</v>
      </c>
      <c r="V130" t="s">
        <v>634</v>
      </c>
      <c r="W130" t="s">
        <v>1870</v>
      </c>
      <c r="X130" t="s">
        <v>1880</v>
      </c>
      <c r="Y130" t="s">
        <v>524</v>
      </c>
      <c r="Z130" t="s">
        <v>2092</v>
      </c>
      <c r="AA130" t="s">
        <v>2093</v>
      </c>
      <c r="AB130" t="s">
        <v>2094</v>
      </c>
      <c r="AC130">
        <v>2</v>
      </c>
      <c r="AD130">
        <v>57</v>
      </c>
      <c r="AE130">
        <v>184</v>
      </c>
      <c r="AF130">
        <v>1.5</v>
      </c>
      <c r="AH130">
        <v>0</v>
      </c>
      <c r="AI130" t="s">
        <v>1723</v>
      </c>
      <c r="AJ130">
        <v>195</v>
      </c>
      <c r="AK130">
        <v>1</v>
      </c>
      <c r="AL130">
        <v>1.5</v>
      </c>
      <c r="AM130" t="s">
        <v>529</v>
      </c>
      <c r="AO130">
        <v>0</v>
      </c>
      <c r="AR130">
        <v>0</v>
      </c>
      <c r="AS130">
        <v>1.5</v>
      </c>
      <c r="AU130" t="s">
        <v>2095</v>
      </c>
      <c r="AW130" t="s">
        <v>2095</v>
      </c>
      <c r="AX130">
        <v>1</v>
      </c>
      <c r="AY130">
        <v>280</v>
      </c>
      <c r="AZ130">
        <v>1.5</v>
      </c>
      <c r="BA130" t="s">
        <v>529</v>
      </c>
      <c r="BB130" t="s">
        <v>2096</v>
      </c>
      <c r="BD130" t="s">
        <v>2096</v>
      </c>
      <c r="BE130">
        <v>1</v>
      </c>
      <c r="BF130">
        <v>230</v>
      </c>
      <c r="BG130">
        <v>1.5</v>
      </c>
      <c r="BJ130">
        <v>0</v>
      </c>
      <c r="BN130">
        <v>1.5</v>
      </c>
      <c r="BP130" t="s">
        <v>2097</v>
      </c>
      <c r="BQ130">
        <v>88</v>
      </c>
      <c r="BR130">
        <v>2</v>
      </c>
      <c r="BS130" t="s">
        <v>983</v>
      </c>
      <c r="BT130">
        <v>206</v>
      </c>
      <c r="BU130">
        <v>0.5</v>
      </c>
      <c r="BV130" t="s">
        <v>983</v>
      </c>
      <c r="BW130">
        <v>412</v>
      </c>
      <c r="BX130">
        <v>1</v>
      </c>
      <c r="BY130" t="s">
        <v>643</v>
      </c>
      <c r="BZ130">
        <v>300</v>
      </c>
      <c r="CA130">
        <v>480</v>
      </c>
      <c r="CB130" t="s">
        <v>644</v>
      </c>
      <c r="CC130" t="s">
        <v>644</v>
      </c>
      <c r="CD130">
        <v>380</v>
      </c>
      <c r="CE130" t="s">
        <v>544</v>
      </c>
      <c r="CF130">
        <v>15</v>
      </c>
      <c r="CG130" t="s">
        <v>830</v>
      </c>
      <c r="CH130" t="s">
        <v>830</v>
      </c>
      <c r="CI130">
        <v>90</v>
      </c>
      <c r="CJ130">
        <v>1301</v>
      </c>
      <c r="CK130">
        <v>2</v>
      </c>
      <c r="CL130">
        <v>1395</v>
      </c>
      <c r="CM130">
        <v>2</v>
      </c>
      <c r="CN130" t="s">
        <v>646</v>
      </c>
      <c r="CO130" t="s">
        <v>647</v>
      </c>
      <c r="CP130" t="s">
        <v>648</v>
      </c>
      <c r="CQ130" t="s">
        <v>621</v>
      </c>
      <c r="CR130" t="s">
        <v>541</v>
      </c>
      <c r="CS130" t="s">
        <v>542</v>
      </c>
      <c r="CT130">
        <v>390</v>
      </c>
      <c r="CU130">
        <v>5</v>
      </c>
      <c r="CV130">
        <v>1.2</v>
      </c>
      <c r="CW130">
        <v>1314</v>
      </c>
      <c r="CX130">
        <v>725</v>
      </c>
      <c r="DD130">
        <v>0</v>
      </c>
      <c r="DE130" t="s">
        <v>622</v>
      </c>
      <c r="DF130">
        <v>560</v>
      </c>
      <c r="DG130">
        <v>3</v>
      </c>
      <c r="DH130">
        <v>0.88</v>
      </c>
      <c r="DI130">
        <v>1311</v>
      </c>
      <c r="DJ130">
        <v>822</v>
      </c>
      <c r="DK130" t="s">
        <v>622</v>
      </c>
      <c r="DL130">
        <v>460</v>
      </c>
      <c r="DM130">
        <v>3</v>
      </c>
      <c r="DN130">
        <v>0.88</v>
      </c>
      <c r="DO130">
        <v>1316</v>
      </c>
      <c r="DP130">
        <v>666</v>
      </c>
      <c r="DW130" t="s">
        <v>544</v>
      </c>
      <c r="DX130">
        <v>7.5</v>
      </c>
      <c r="EA130">
        <v>1384.6</v>
      </c>
      <c r="EB130">
        <v>245</v>
      </c>
      <c r="EC130" t="s">
        <v>545</v>
      </c>
      <c r="ED130">
        <v>40</v>
      </c>
      <c r="EE130">
        <v>3</v>
      </c>
      <c r="EG130">
        <v>1425</v>
      </c>
      <c r="EH130">
        <v>228</v>
      </c>
      <c r="EJ130">
        <v>0</v>
      </c>
      <c r="EK130">
        <v>1</v>
      </c>
      <c r="EN130">
        <v>0</v>
      </c>
      <c r="EP130" t="s">
        <v>546</v>
      </c>
      <c r="EQ130">
        <v>120</v>
      </c>
      <c r="ER130">
        <v>3</v>
      </c>
      <c r="ES130">
        <v>6</v>
      </c>
      <c r="ET130">
        <v>1301</v>
      </c>
      <c r="EU130">
        <v>551.6</v>
      </c>
      <c r="EV130">
        <v>718</v>
      </c>
      <c r="EW130" t="s">
        <v>547</v>
      </c>
      <c r="EX130">
        <v>70</v>
      </c>
      <c r="EY130">
        <v>2</v>
      </c>
      <c r="EZ130">
        <v>4</v>
      </c>
      <c r="FA130">
        <v>1301</v>
      </c>
      <c r="FB130">
        <v>219.1</v>
      </c>
      <c r="FC130">
        <v>285</v>
      </c>
      <c r="FE130">
        <v>0</v>
      </c>
      <c r="FF130">
        <v>2</v>
      </c>
      <c r="FI130">
        <v>0</v>
      </c>
      <c r="FK130" t="s">
        <v>548</v>
      </c>
      <c r="FL130">
        <v>0.4</v>
      </c>
      <c r="FM130">
        <v>85</v>
      </c>
      <c r="FN130">
        <v>120</v>
      </c>
      <c r="GR130" t="s">
        <v>548</v>
      </c>
      <c r="GS130">
        <v>0.4</v>
      </c>
      <c r="GT130">
        <v>30</v>
      </c>
      <c r="GU130">
        <v>370</v>
      </c>
      <c r="GV130">
        <v>30</v>
      </c>
      <c r="GW130">
        <v>240</v>
      </c>
      <c r="HC130">
        <v>0.1</v>
      </c>
      <c r="HD130">
        <v>3</v>
      </c>
      <c r="HE130">
        <v>3</v>
      </c>
      <c r="HF130">
        <v>3</v>
      </c>
      <c r="HG130">
        <v>3</v>
      </c>
      <c r="HH130">
        <v>3</v>
      </c>
      <c r="HI130">
        <v>175</v>
      </c>
      <c r="HJ130">
        <v>3</v>
      </c>
      <c r="HK130">
        <v>55</v>
      </c>
      <c r="HL130">
        <v>2</v>
      </c>
      <c r="HM130">
        <v>0</v>
      </c>
      <c r="HN130">
        <v>2</v>
      </c>
      <c r="HO130">
        <v>105</v>
      </c>
      <c r="HP130">
        <v>3</v>
      </c>
      <c r="HQ130">
        <v>0</v>
      </c>
      <c r="HR130">
        <v>2</v>
      </c>
      <c r="HS130">
        <v>5165</v>
      </c>
      <c r="HT130">
        <v>150</v>
      </c>
      <c r="HU130">
        <v>180</v>
      </c>
      <c r="HW130">
        <v>0</v>
      </c>
      <c r="HX130">
        <v>430</v>
      </c>
      <c r="HY130">
        <v>0.18</v>
      </c>
      <c r="IA130">
        <v>0.15</v>
      </c>
      <c r="IB130">
        <v>0</v>
      </c>
      <c r="IC130">
        <v>180</v>
      </c>
      <c r="ID130">
        <v>110</v>
      </c>
      <c r="IE130">
        <v>225</v>
      </c>
      <c r="IF130">
        <v>0</v>
      </c>
      <c r="IH130" t="s">
        <v>549</v>
      </c>
      <c r="IO130">
        <v>3</v>
      </c>
      <c r="IP130">
        <v>17</v>
      </c>
      <c r="IQ130">
        <v>0</v>
      </c>
      <c r="IR130">
        <v>1</v>
      </c>
      <c r="IV130">
        <v>1301</v>
      </c>
      <c r="IW130">
        <v>412</v>
      </c>
      <c r="JA130">
        <v>1</v>
      </c>
      <c r="JB130">
        <v>0</v>
      </c>
      <c r="JC130">
        <v>2</v>
      </c>
      <c r="JD130">
        <v>1314</v>
      </c>
      <c r="JE130">
        <v>1311</v>
      </c>
      <c r="JF130">
        <v>1316</v>
      </c>
      <c r="JG130">
        <v>1301</v>
      </c>
      <c r="JH130">
        <v>0</v>
      </c>
      <c r="JJ130">
        <v>180</v>
      </c>
      <c r="JK130">
        <v>430</v>
      </c>
      <c r="JN130">
        <v>390</v>
      </c>
      <c r="JO130">
        <v>560</v>
      </c>
      <c r="JP130">
        <v>460</v>
      </c>
      <c r="JQ130">
        <v>0</v>
      </c>
      <c r="JR130">
        <v>368</v>
      </c>
      <c r="JS130">
        <v>175</v>
      </c>
      <c r="JV130">
        <v>8</v>
      </c>
      <c r="JW130" t="s">
        <v>550</v>
      </c>
      <c r="JX130">
        <v>0</v>
      </c>
      <c r="KA130">
        <v>225</v>
      </c>
      <c r="KB130">
        <v>110</v>
      </c>
      <c r="KC130">
        <v>0</v>
      </c>
      <c r="KD130">
        <v>80</v>
      </c>
      <c r="KF130">
        <v>4</v>
      </c>
      <c r="KG130">
        <v>2</v>
      </c>
      <c r="KH130">
        <v>2</v>
      </c>
      <c r="KI130">
        <v>2</v>
      </c>
      <c r="KJ130">
        <v>0</v>
      </c>
      <c r="KK130">
        <v>1.5</v>
      </c>
      <c r="KL130">
        <v>1.5</v>
      </c>
      <c r="KM130">
        <v>0</v>
      </c>
      <c r="KN130">
        <v>0</v>
      </c>
      <c r="KO130">
        <v>0</v>
      </c>
      <c r="KR130">
        <v>30</v>
      </c>
      <c r="KS130">
        <v>60</v>
      </c>
      <c r="KT130">
        <v>0</v>
      </c>
      <c r="LK130">
        <v>480</v>
      </c>
      <c r="PG130">
        <v>1</v>
      </c>
      <c r="PI130" t="s">
        <v>2094</v>
      </c>
      <c r="PJ130" t="s">
        <v>2095</v>
      </c>
      <c r="PK130" t="s">
        <v>2096</v>
      </c>
      <c r="PL130" t="s">
        <v>1723</v>
      </c>
      <c r="PP130" t="s">
        <v>2097</v>
      </c>
      <c r="PX130">
        <v>56</v>
      </c>
      <c r="PY130">
        <v>57</v>
      </c>
      <c r="PZ130" t="s">
        <v>2094</v>
      </c>
      <c r="QA130">
        <v>1</v>
      </c>
      <c r="QB130">
        <v>1301</v>
      </c>
      <c r="QC130">
        <v>69</v>
      </c>
      <c r="QD130">
        <v>69</v>
      </c>
      <c r="QE130" t="s">
        <v>1723</v>
      </c>
      <c r="QF130">
        <v>1</v>
      </c>
      <c r="QG130">
        <v>1314</v>
      </c>
      <c r="QH130">
        <v>66</v>
      </c>
      <c r="QI130">
        <v>66</v>
      </c>
      <c r="QL130">
        <v>0</v>
      </c>
      <c r="QM130">
        <v>62</v>
      </c>
      <c r="QN130">
        <v>62</v>
      </c>
      <c r="QO130" t="s">
        <v>2095</v>
      </c>
      <c r="QP130">
        <v>1</v>
      </c>
      <c r="QQ130">
        <v>1311</v>
      </c>
      <c r="QR130">
        <v>62</v>
      </c>
      <c r="QS130">
        <v>62</v>
      </c>
      <c r="QT130" t="s">
        <v>2096</v>
      </c>
      <c r="QU130">
        <v>1</v>
      </c>
      <c r="QV130">
        <v>1316</v>
      </c>
      <c r="QW130">
        <v>82</v>
      </c>
      <c r="QX130">
        <v>88</v>
      </c>
      <c r="QY130" t="s">
        <v>2097</v>
      </c>
      <c r="QZ130">
        <v>1</v>
      </c>
      <c r="RA130">
        <v>66</v>
      </c>
      <c r="RB130">
        <v>66</v>
      </c>
      <c r="RE130">
        <v>0</v>
      </c>
      <c r="RF130">
        <v>1</v>
      </c>
      <c r="RH130">
        <v>1</v>
      </c>
      <c r="RJ130">
        <v>1</v>
      </c>
      <c r="RL130">
        <v>4</v>
      </c>
      <c r="RM130">
        <v>4</v>
      </c>
      <c r="RO130">
        <v>552</v>
      </c>
      <c r="RQ130">
        <v>627</v>
      </c>
      <c r="RR130">
        <v>506</v>
      </c>
      <c r="RT130">
        <v>245</v>
      </c>
      <c r="RU130">
        <v>228</v>
      </c>
      <c r="RV130" t="s">
        <v>984</v>
      </c>
      <c r="RW130" t="s">
        <v>653</v>
      </c>
      <c r="RX130">
        <v>15</v>
      </c>
      <c r="RY130">
        <v>4</v>
      </c>
      <c r="RZ130" t="s">
        <v>653</v>
      </c>
      <c r="SA130">
        <v>15</v>
      </c>
      <c r="SC130" t="s">
        <v>2095</v>
      </c>
      <c r="SD130">
        <v>1</v>
      </c>
      <c r="SF130" t="s">
        <v>2096</v>
      </c>
      <c r="SG130">
        <v>1</v>
      </c>
      <c r="SH130">
        <v>0.995</v>
      </c>
      <c r="SI130">
        <v>0.995</v>
      </c>
      <c r="SJ130">
        <v>0.995</v>
      </c>
      <c r="SK130">
        <v>15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Z130">
        <v>1</v>
      </c>
      <c r="TB130">
        <v>0</v>
      </c>
      <c r="TC130">
        <v>0</v>
      </c>
      <c r="TD130">
        <v>7.5</v>
      </c>
      <c r="TE130" t="s">
        <v>553</v>
      </c>
      <c r="TF130" t="s">
        <v>624</v>
      </c>
      <c r="TG130" t="s">
        <v>555</v>
      </c>
      <c r="TI130" t="s">
        <v>546</v>
      </c>
      <c r="TJ130" t="s">
        <v>547</v>
      </c>
      <c r="TL130" t="s">
        <v>1888</v>
      </c>
      <c r="TM130" t="s">
        <v>513</v>
      </c>
      <c r="TN130">
        <v>0</v>
      </c>
      <c r="TO130" t="s">
        <v>557</v>
      </c>
    </row>
    <row r="131" spans="1:535">
      <c r="A131" t="s">
        <v>2098</v>
      </c>
      <c r="B131" t="s">
        <v>804</v>
      </c>
      <c r="C131" t="s">
        <v>509</v>
      </c>
      <c r="D131" t="s">
        <v>2099</v>
      </c>
      <c r="G131" t="s">
        <v>1294</v>
      </c>
      <c r="I131" t="s">
        <v>562</v>
      </c>
      <c r="J131" t="s">
        <v>563</v>
      </c>
      <c r="L131" t="s">
        <v>512</v>
      </c>
      <c r="M131" t="s">
        <v>508</v>
      </c>
      <c r="N131" t="s">
        <v>513</v>
      </c>
      <c r="O131" t="s">
        <v>1255</v>
      </c>
      <c r="P131" t="s">
        <v>515</v>
      </c>
      <c r="Q131" t="s">
        <v>2100</v>
      </c>
      <c r="R131" t="s">
        <v>567</v>
      </c>
      <c r="S131" t="s">
        <v>899</v>
      </c>
      <c r="T131" t="s">
        <v>743</v>
      </c>
      <c r="U131" t="s">
        <v>662</v>
      </c>
      <c r="V131" t="s">
        <v>663</v>
      </c>
      <c r="W131" t="s">
        <v>1222</v>
      </c>
      <c r="X131" t="s">
        <v>1880</v>
      </c>
      <c r="Y131" t="s">
        <v>524</v>
      </c>
      <c r="Z131" t="s">
        <v>2101</v>
      </c>
      <c r="AA131" t="s">
        <v>2102</v>
      </c>
      <c r="AB131" t="s">
        <v>2103</v>
      </c>
      <c r="AC131">
        <v>2</v>
      </c>
      <c r="AD131">
        <v>56</v>
      </c>
      <c r="AE131">
        <v>162</v>
      </c>
      <c r="AF131">
        <v>1.5</v>
      </c>
      <c r="AH131">
        <v>0</v>
      </c>
      <c r="AI131" t="s">
        <v>1021</v>
      </c>
      <c r="AJ131">
        <v>172.5</v>
      </c>
      <c r="AK131">
        <v>1</v>
      </c>
      <c r="AL131">
        <v>1.5</v>
      </c>
      <c r="AM131" t="s">
        <v>529</v>
      </c>
      <c r="AO131">
        <v>0</v>
      </c>
      <c r="AR131">
        <v>0</v>
      </c>
      <c r="AS131">
        <v>1.5</v>
      </c>
      <c r="AU131" t="s">
        <v>2104</v>
      </c>
      <c r="AW131" t="s">
        <v>2104</v>
      </c>
      <c r="AX131">
        <v>1</v>
      </c>
      <c r="AY131">
        <v>297.5</v>
      </c>
      <c r="AZ131">
        <v>1.5</v>
      </c>
      <c r="BA131" t="s">
        <v>529</v>
      </c>
      <c r="BG131">
        <v>1.5</v>
      </c>
      <c r="BJ131">
        <v>0</v>
      </c>
      <c r="BN131">
        <v>1.5</v>
      </c>
      <c r="BP131" t="s">
        <v>2105</v>
      </c>
      <c r="BQ131">
        <v>89</v>
      </c>
      <c r="BR131">
        <v>2</v>
      </c>
      <c r="BS131" t="s">
        <v>906</v>
      </c>
      <c r="BT131">
        <v>184</v>
      </c>
      <c r="BU131">
        <v>0.5</v>
      </c>
      <c r="BV131" t="s">
        <v>906</v>
      </c>
      <c r="BW131">
        <v>368</v>
      </c>
      <c r="BX131">
        <v>1</v>
      </c>
      <c r="BY131" t="s">
        <v>643</v>
      </c>
      <c r="BZ131">
        <v>290</v>
      </c>
      <c r="CA131">
        <v>430</v>
      </c>
      <c r="CB131" t="s">
        <v>672</v>
      </c>
      <c r="CC131" t="s">
        <v>672</v>
      </c>
      <c r="CD131">
        <v>392</v>
      </c>
      <c r="CE131" t="s">
        <v>673</v>
      </c>
      <c r="CF131">
        <v>15</v>
      </c>
      <c r="CG131" t="s">
        <v>907</v>
      </c>
      <c r="CH131" t="s">
        <v>907</v>
      </c>
      <c r="CI131">
        <v>70</v>
      </c>
      <c r="CJ131">
        <v>1381</v>
      </c>
      <c r="CK131">
        <v>2</v>
      </c>
      <c r="CL131">
        <v>1475</v>
      </c>
      <c r="CM131">
        <v>2</v>
      </c>
      <c r="CN131" t="s">
        <v>675</v>
      </c>
      <c r="CO131" t="s">
        <v>676</v>
      </c>
      <c r="CP131" t="s">
        <v>595</v>
      </c>
      <c r="CQ131" t="s">
        <v>1496</v>
      </c>
      <c r="CR131" t="s">
        <v>541</v>
      </c>
      <c r="CS131" t="s">
        <v>542</v>
      </c>
      <c r="CT131">
        <v>345</v>
      </c>
      <c r="CU131">
        <v>5</v>
      </c>
      <c r="CV131">
        <v>1.2</v>
      </c>
      <c r="CW131">
        <v>1393</v>
      </c>
      <c r="CX131">
        <v>680</v>
      </c>
      <c r="DD131">
        <v>0</v>
      </c>
      <c r="DE131" t="s">
        <v>622</v>
      </c>
      <c r="DF131">
        <v>595</v>
      </c>
      <c r="DG131">
        <v>3</v>
      </c>
      <c r="DH131">
        <v>0.88</v>
      </c>
      <c r="DI131">
        <v>1392</v>
      </c>
      <c r="DJ131">
        <v>981</v>
      </c>
      <c r="DW131" t="s">
        <v>544</v>
      </c>
      <c r="DX131">
        <v>7.5</v>
      </c>
      <c r="EA131">
        <v>1459.5</v>
      </c>
      <c r="EB131">
        <v>258</v>
      </c>
      <c r="EC131" t="s">
        <v>545</v>
      </c>
      <c r="ED131">
        <v>30</v>
      </c>
      <c r="EE131">
        <v>3</v>
      </c>
      <c r="EG131">
        <v>1500</v>
      </c>
      <c r="EH131">
        <v>177</v>
      </c>
      <c r="EJ131">
        <v>0</v>
      </c>
      <c r="EK131">
        <v>1</v>
      </c>
      <c r="EN131">
        <v>0</v>
      </c>
      <c r="EP131" t="s">
        <v>546</v>
      </c>
      <c r="EQ131">
        <v>70</v>
      </c>
      <c r="ER131">
        <v>3</v>
      </c>
      <c r="ES131">
        <v>5.5</v>
      </c>
      <c r="ET131">
        <v>1378</v>
      </c>
      <c r="EU131">
        <v>305.1</v>
      </c>
      <c r="EV131">
        <v>420</v>
      </c>
      <c r="EW131" t="s">
        <v>547</v>
      </c>
      <c r="EX131">
        <v>70</v>
      </c>
      <c r="EY131">
        <v>2</v>
      </c>
      <c r="EZ131">
        <v>4.5</v>
      </c>
      <c r="FA131">
        <v>1378</v>
      </c>
      <c r="FB131">
        <v>219.6</v>
      </c>
      <c r="FC131">
        <v>303</v>
      </c>
      <c r="FE131">
        <v>0</v>
      </c>
      <c r="FF131">
        <v>2</v>
      </c>
      <c r="FI131">
        <v>0</v>
      </c>
      <c r="FK131" t="s">
        <v>548</v>
      </c>
      <c r="FL131">
        <v>0.6</v>
      </c>
      <c r="FM131">
        <v>70</v>
      </c>
      <c r="FN131">
        <v>130</v>
      </c>
      <c r="FR131" t="s">
        <v>548</v>
      </c>
      <c r="FS131">
        <v>0.4</v>
      </c>
      <c r="FT131">
        <v>30</v>
      </c>
      <c r="FU131">
        <v>330</v>
      </c>
      <c r="HC131">
        <v>0.1</v>
      </c>
      <c r="HD131">
        <v>3</v>
      </c>
      <c r="HE131">
        <v>3</v>
      </c>
      <c r="HF131">
        <v>3</v>
      </c>
      <c r="HG131">
        <v>3</v>
      </c>
      <c r="HH131">
        <v>3</v>
      </c>
      <c r="HI131">
        <v>125</v>
      </c>
      <c r="HJ131">
        <v>3</v>
      </c>
      <c r="HK131">
        <v>55</v>
      </c>
      <c r="HL131">
        <v>2</v>
      </c>
      <c r="HM131">
        <v>0</v>
      </c>
      <c r="HN131">
        <v>2</v>
      </c>
      <c r="HO131">
        <v>55</v>
      </c>
      <c r="HP131">
        <v>3</v>
      </c>
      <c r="HQ131">
        <v>0</v>
      </c>
      <c r="HR131">
        <v>2</v>
      </c>
      <c r="HS131">
        <v>3977</v>
      </c>
      <c r="HT131">
        <v>120</v>
      </c>
      <c r="HU131">
        <v>180</v>
      </c>
      <c r="HW131">
        <v>20</v>
      </c>
      <c r="HX131">
        <v>385</v>
      </c>
      <c r="HY131">
        <v>0.18</v>
      </c>
      <c r="IA131">
        <v>0.15</v>
      </c>
      <c r="IB131">
        <v>0</v>
      </c>
      <c r="IC131">
        <v>180</v>
      </c>
      <c r="ID131">
        <v>110</v>
      </c>
      <c r="IE131">
        <v>0</v>
      </c>
      <c r="IF131">
        <v>0</v>
      </c>
      <c r="IH131" t="s">
        <v>549</v>
      </c>
      <c r="IO131">
        <v>1</v>
      </c>
      <c r="IP131">
        <v>18</v>
      </c>
      <c r="IQ131">
        <v>0</v>
      </c>
      <c r="IR131">
        <v>1</v>
      </c>
      <c r="IV131">
        <v>1381</v>
      </c>
      <c r="IW131">
        <v>368</v>
      </c>
      <c r="JA131">
        <v>1</v>
      </c>
      <c r="JB131">
        <v>0</v>
      </c>
      <c r="JC131">
        <v>2</v>
      </c>
      <c r="JD131">
        <v>1393</v>
      </c>
      <c r="JE131">
        <v>1392</v>
      </c>
      <c r="JF131">
        <v>0</v>
      </c>
      <c r="JG131">
        <v>1378</v>
      </c>
      <c r="JH131">
        <v>0</v>
      </c>
      <c r="JJ131">
        <v>180</v>
      </c>
      <c r="JK131">
        <v>385</v>
      </c>
      <c r="JN131">
        <v>345</v>
      </c>
      <c r="JO131">
        <v>595</v>
      </c>
      <c r="JP131">
        <v>0</v>
      </c>
      <c r="JQ131">
        <v>0</v>
      </c>
      <c r="JR131">
        <v>324</v>
      </c>
      <c r="JS131">
        <v>125</v>
      </c>
      <c r="JV131">
        <v>8</v>
      </c>
      <c r="JW131" t="s">
        <v>550</v>
      </c>
      <c r="JX131">
        <v>0</v>
      </c>
      <c r="KA131">
        <v>0</v>
      </c>
      <c r="KB131">
        <v>110</v>
      </c>
      <c r="KC131">
        <v>0</v>
      </c>
      <c r="KD131">
        <v>80</v>
      </c>
      <c r="KF131">
        <v>4</v>
      </c>
      <c r="KG131">
        <v>4</v>
      </c>
      <c r="KH131">
        <v>2</v>
      </c>
      <c r="KI131">
        <v>2</v>
      </c>
      <c r="KJ131">
        <v>0</v>
      </c>
      <c r="KK131">
        <v>1.5</v>
      </c>
      <c r="KL131">
        <v>1.5</v>
      </c>
      <c r="KM131">
        <v>0</v>
      </c>
      <c r="KN131">
        <v>0</v>
      </c>
      <c r="KO131">
        <v>0</v>
      </c>
      <c r="KR131">
        <v>30</v>
      </c>
      <c r="KS131">
        <v>60</v>
      </c>
      <c r="KT131">
        <v>0</v>
      </c>
      <c r="LK131">
        <v>480</v>
      </c>
      <c r="PG131">
        <v>1</v>
      </c>
      <c r="PI131" t="s">
        <v>2103</v>
      </c>
      <c r="PJ131" t="s">
        <v>2104</v>
      </c>
      <c r="PL131" t="s">
        <v>1021</v>
      </c>
      <c r="PP131" t="s">
        <v>2105</v>
      </c>
      <c r="PX131">
        <v>56</v>
      </c>
      <c r="PY131">
        <v>56</v>
      </c>
      <c r="PZ131" t="s">
        <v>2103</v>
      </c>
      <c r="QA131">
        <v>3</v>
      </c>
      <c r="QB131">
        <v>1378</v>
      </c>
      <c r="QC131">
        <v>69</v>
      </c>
      <c r="QD131">
        <v>69</v>
      </c>
      <c r="QE131" t="s">
        <v>1021</v>
      </c>
      <c r="QF131">
        <v>1</v>
      </c>
      <c r="QG131">
        <v>1393</v>
      </c>
      <c r="QH131">
        <v>66</v>
      </c>
      <c r="QI131">
        <v>66</v>
      </c>
      <c r="QL131">
        <v>0</v>
      </c>
      <c r="QM131">
        <v>62</v>
      </c>
      <c r="QN131">
        <v>62</v>
      </c>
      <c r="QO131" t="s">
        <v>2104</v>
      </c>
      <c r="QP131">
        <v>1</v>
      </c>
      <c r="QQ131">
        <v>1392</v>
      </c>
      <c r="QW131">
        <v>82</v>
      </c>
      <c r="QX131">
        <v>89</v>
      </c>
      <c r="QY131" t="s">
        <v>2105</v>
      </c>
      <c r="QZ131">
        <v>1</v>
      </c>
      <c r="RA131">
        <v>66</v>
      </c>
      <c r="RB131">
        <v>66</v>
      </c>
      <c r="RE131">
        <v>0</v>
      </c>
      <c r="RF131">
        <v>1</v>
      </c>
      <c r="RJ131">
        <v>1</v>
      </c>
      <c r="RL131">
        <v>4</v>
      </c>
      <c r="RO131">
        <v>488</v>
      </c>
      <c r="RQ131">
        <v>705</v>
      </c>
      <c r="RT131">
        <v>258</v>
      </c>
      <c r="RU131">
        <v>177</v>
      </c>
      <c r="RV131" t="s">
        <v>908</v>
      </c>
      <c r="RW131" t="s">
        <v>679</v>
      </c>
      <c r="RX131">
        <v>15</v>
      </c>
      <c r="RY131">
        <v>4</v>
      </c>
      <c r="RZ131" t="s">
        <v>679</v>
      </c>
      <c r="SA131">
        <v>15</v>
      </c>
      <c r="SC131" t="s">
        <v>2104</v>
      </c>
      <c r="SD131">
        <v>1</v>
      </c>
      <c r="SH131">
        <v>0.995</v>
      </c>
      <c r="SI131">
        <v>0.995</v>
      </c>
      <c r="SJ131">
        <v>0.995</v>
      </c>
      <c r="SK131">
        <v>15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TB131">
        <v>0</v>
      </c>
      <c r="TC131">
        <v>0</v>
      </c>
      <c r="TD131">
        <v>7.5</v>
      </c>
      <c r="TE131" t="s">
        <v>553</v>
      </c>
      <c r="TF131" t="s">
        <v>624</v>
      </c>
      <c r="TG131" t="s">
        <v>555</v>
      </c>
      <c r="TI131" t="s">
        <v>546</v>
      </c>
      <c r="TJ131" t="s">
        <v>547</v>
      </c>
      <c r="TL131" t="s">
        <v>1888</v>
      </c>
      <c r="TM131" t="s">
        <v>513</v>
      </c>
      <c r="TN131">
        <v>0</v>
      </c>
      <c r="TO131" t="s">
        <v>557</v>
      </c>
    </row>
    <row r="132" spans="1:535">
      <c r="A132" t="s">
        <v>2106</v>
      </c>
      <c r="B132" t="s">
        <v>804</v>
      </c>
      <c r="C132" t="s">
        <v>509</v>
      </c>
      <c r="D132" t="s">
        <v>2056</v>
      </c>
      <c r="G132" t="s">
        <v>511</v>
      </c>
      <c r="I132" t="s">
        <v>562</v>
      </c>
      <c r="L132" t="s">
        <v>512</v>
      </c>
      <c r="M132" t="s">
        <v>508</v>
      </c>
      <c r="N132" t="s">
        <v>513</v>
      </c>
      <c r="O132" t="s">
        <v>1255</v>
      </c>
      <c r="P132" t="s">
        <v>515</v>
      </c>
      <c r="Q132" t="s">
        <v>2107</v>
      </c>
      <c r="R132" t="s">
        <v>567</v>
      </c>
      <c r="S132" t="s">
        <v>713</v>
      </c>
      <c r="T132" t="s">
        <v>714</v>
      </c>
      <c r="U132" t="s">
        <v>570</v>
      </c>
      <c r="V132" t="s">
        <v>571</v>
      </c>
      <c r="W132" t="s">
        <v>1710</v>
      </c>
      <c r="X132" t="s">
        <v>1880</v>
      </c>
      <c r="Y132" t="s">
        <v>524</v>
      </c>
      <c r="Z132" t="s">
        <v>2108</v>
      </c>
      <c r="AA132" t="s">
        <v>2109</v>
      </c>
      <c r="AB132" t="s">
        <v>2110</v>
      </c>
      <c r="AC132">
        <v>2</v>
      </c>
      <c r="AD132">
        <v>57</v>
      </c>
      <c r="AE132">
        <v>201</v>
      </c>
      <c r="AF132">
        <v>1.5</v>
      </c>
      <c r="AH132">
        <v>0</v>
      </c>
      <c r="AI132" t="s">
        <v>1287</v>
      </c>
      <c r="AJ132">
        <v>182.5</v>
      </c>
      <c r="AK132">
        <v>1</v>
      </c>
      <c r="AL132">
        <v>1.5</v>
      </c>
      <c r="AM132" t="s">
        <v>579</v>
      </c>
      <c r="AN132" t="s">
        <v>795</v>
      </c>
      <c r="AO132">
        <v>2</v>
      </c>
      <c r="AP132" t="s">
        <v>581</v>
      </c>
      <c r="AQ132" t="s">
        <v>582</v>
      </c>
      <c r="AR132">
        <v>228</v>
      </c>
      <c r="AS132">
        <v>1.5</v>
      </c>
      <c r="AT132" t="s">
        <v>583</v>
      </c>
      <c r="AU132" t="s">
        <v>2111</v>
      </c>
      <c r="AW132" t="s">
        <v>2111</v>
      </c>
      <c r="AX132">
        <v>1</v>
      </c>
      <c r="AY132">
        <v>260</v>
      </c>
      <c r="AZ132">
        <v>1.5</v>
      </c>
      <c r="BA132" t="s">
        <v>579</v>
      </c>
      <c r="BC132" t="s">
        <v>2112</v>
      </c>
      <c r="BD132" t="s">
        <v>2112</v>
      </c>
      <c r="BE132">
        <v>1</v>
      </c>
      <c r="BF132">
        <v>227.5</v>
      </c>
      <c r="BG132">
        <v>1.5</v>
      </c>
      <c r="BJ132">
        <v>0</v>
      </c>
      <c r="BN132">
        <v>1.5</v>
      </c>
      <c r="BP132" t="s">
        <v>2113</v>
      </c>
      <c r="BQ132" t="s">
        <v>587</v>
      </c>
      <c r="BR132">
        <v>2</v>
      </c>
      <c r="BS132" t="s">
        <v>1886</v>
      </c>
      <c r="BT132">
        <v>200</v>
      </c>
      <c r="BU132">
        <v>0.5</v>
      </c>
      <c r="BV132" t="s">
        <v>1886</v>
      </c>
      <c r="BW132">
        <v>400</v>
      </c>
      <c r="BX132">
        <v>1</v>
      </c>
      <c r="BY132" t="s">
        <v>589</v>
      </c>
      <c r="BZ132">
        <v>300</v>
      </c>
      <c r="CA132">
        <v>460</v>
      </c>
      <c r="CB132" t="s">
        <v>590</v>
      </c>
      <c r="CC132" t="s">
        <v>590</v>
      </c>
      <c r="CD132">
        <v>440</v>
      </c>
      <c r="CE132" t="s">
        <v>591</v>
      </c>
      <c r="CF132">
        <v>15</v>
      </c>
      <c r="CG132" t="s">
        <v>1375</v>
      </c>
      <c r="CH132" t="s">
        <v>1375</v>
      </c>
      <c r="CI132">
        <v>80</v>
      </c>
      <c r="CJ132">
        <v>1538</v>
      </c>
      <c r="CK132">
        <v>2</v>
      </c>
      <c r="CL132">
        <v>1632</v>
      </c>
      <c r="CM132">
        <v>2</v>
      </c>
      <c r="CN132" t="s">
        <v>593</v>
      </c>
      <c r="CO132" t="s">
        <v>594</v>
      </c>
      <c r="CP132" t="s">
        <v>595</v>
      </c>
      <c r="CQ132" t="s">
        <v>704</v>
      </c>
      <c r="CR132" t="s">
        <v>650</v>
      </c>
      <c r="CS132" t="s">
        <v>542</v>
      </c>
      <c r="CT132">
        <v>365</v>
      </c>
      <c r="CU132">
        <v>5</v>
      </c>
      <c r="CV132">
        <v>1.2</v>
      </c>
      <c r="CW132">
        <v>1554</v>
      </c>
      <c r="CX132">
        <v>803</v>
      </c>
      <c r="CY132" t="s">
        <v>705</v>
      </c>
      <c r="CZ132">
        <v>60</v>
      </c>
      <c r="DA132">
        <v>3</v>
      </c>
      <c r="DB132">
        <v>1</v>
      </c>
      <c r="DC132">
        <v>1554</v>
      </c>
      <c r="DD132">
        <v>97</v>
      </c>
      <c r="DE132" t="s">
        <v>622</v>
      </c>
      <c r="DF132">
        <v>520</v>
      </c>
      <c r="DG132">
        <v>3</v>
      </c>
      <c r="DH132">
        <v>0.88</v>
      </c>
      <c r="DI132">
        <v>1547</v>
      </c>
      <c r="DJ132">
        <v>936</v>
      </c>
      <c r="DK132" t="s">
        <v>622</v>
      </c>
      <c r="DL132">
        <v>455</v>
      </c>
      <c r="DM132">
        <v>3</v>
      </c>
      <c r="DN132">
        <v>0.88</v>
      </c>
      <c r="DO132">
        <v>1552</v>
      </c>
      <c r="DP132">
        <v>892</v>
      </c>
      <c r="DW132" t="s">
        <v>544</v>
      </c>
      <c r="DX132">
        <v>9.4</v>
      </c>
      <c r="EA132">
        <v>1623.8</v>
      </c>
      <c r="EB132">
        <v>381</v>
      </c>
      <c r="EC132" t="s">
        <v>545</v>
      </c>
      <c r="ED132">
        <v>30</v>
      </c>
      <c r="EE132">
        <v>3</v>
      </c>
      <c r="EG132">
        <v>1665</v>
      </c>
      <c r="EH132">
        <v>231</v>
      </c>
      <c r="EJ132">
        <v>0</v>
      </c>
      <c r="EK132">
        <v>1</v>
      </c>
      <c r="EN132">
        <v>0</v>
      </c>
      <c r="EP132" t="s">
        <v>546</v>
      </c>
      <c r="EQ132">
        <v>70</v>
      </c>
      <c r="ER132">
        <v>3</v>
      </c>
      <c r="ES132">
        <v>4.5</v>
      </c>
      <c r="ET132">
        <v>1528</v>
      </c>
      <c r="EU132">
        <v>267.2</v>
      </c>
      <c r="EV132">
        <v>408</v>
      </c>
      <c r="EW132" t="s">
        <v>547</v>
      </c>
      <c r="EX132">
        <v>45</v>
      </c>
      <c r="EY132">
        <v>2</v>
      </c>
      <c r="EZ132">
        <v>4.3</v>
      </c>
      <c r="FA132">
        <v>1528</v>
      </c>
      <c r="FB132">
        <v>135.2</v>
      </c>
      <c r="FC132">
        <v>207</v>
      </c>
      <c r="FE132">
        <v>0</v>
      </c>
      <c r="FF132">
        <v>2</v>
      </c>
      <c r="FI132">
        <v>0</v>
      </c>
      <c r="FK132" t="s">
        <v>548</v>
      </c>
      <c r="FL132">
        <v>0.4</v>
      </c>
      <c r="FM132">
        <v>50</v>
      </c>
      <c r="FN132">
        <v>340</v>
      </c>
      <c r="FO132">
        <v>55</v>
      </c>
      <c r="FP132">
        <v>170</v>
      </c>
      <c r="GR132" t="s">
        <v>548</v>
      </c>
      <c r="GS132">
        <v>0.4</v>
      </c>
      <c r="GT132">
        <v>30</v>
      </c>
      <c r="GU132">
        <v>360</v>
      </c>
      <c r="GV132">
        <v>35</v>
      </c>
      <c r="GW132">
        <v>240</v>
      </c>
      <c r="GY132" t="s">
        <v>651</v>
      </c>
      <c r="GZ132">
        <v>1.6</v>
      </c>
      <c r="HA132">
        <v>20</v>
      </c>
      <c r="HB132">
        <v>191</v>
      </c>
      <c r="HC132">
        <v>0.1</v>
      </c>
      <c r="HD132">
        <v>3</v>
      </c>
      <c r="HE132">
        <v>3</v>
      </c>
      <c r="HF132">
        <v>3</v>
      </c>
      <c r="HG132">
        <v>3</v>
      </c>
      <c r="HH132">
        <v>3</v>
      </c>
      <c r="HI132">
        <v>100</v>
      </c>
      <c r="HJ132">
        <v>3</v>
      </c>
      <c r="HK132">
        <v>30</v>
      </c>
      <c r="HL132">
        <v>2</v>
      </c>
      <c r="HM132">
        <v>0</v>
      </c>
      <c r="HN132">
        <v>2</v>
      </c>
      <c r="HO132">
        <v>55</v>
      </c>
      <c r="HP132">
        <v>3</v>
      </c>
      <c r="HQ132">
        <v>0</v>
      </c>
      <c r="HR132">
        <v>2</v>
      </c>
      <c r="HS132">
        <v>5279</v>
      </c>
      <c r="HT132">
        <v>160</v>
      </c>
      <c r="HU132">
        <v>180</v>
      </c>
      <c r="HW132">
        <v>0</v>
      </c>
      <c r="HX132">
        <v>440</v>
      </c>
      <c r="HY132">
        <v>0.18</v>
      </c>
      <c r="IA132">
        <v>0.15</v>
      </c>
      <c r="IB132">
        <v>0</v>
      </c>
      <c r="IC132">
        <v>180</v>
      </c>
      <c r="ID132">
        <v>110</v>
      </c>
      <c r="IE132">
        <v>225</v>
      </c>
      <c r="IF132">
        <v>0</v>
      </c>
      <c r="IH132" t="s">
        <v>549</v>
      </c>
      <c r="IO132">
        <v>3</v>
      </c>
      <c r="IP132">
        <v>20</v>
      </c>
      <c r="IQ132">
        <v>0</v>
      </c>
      <c r="IR132">
        <v>0</v>
      </c>
      <c r="IV132">
        <v>1538</v>
      </c>
      <c r="IW132">
        <v>400</v>
      </c>
      <c r="JA132">
        <v>1</v>
      </c>
      <c r="JB132">
        <v>0</v>
      </c>
      <c r="JC132">
        <v>2</v>
      </c>
      <c r="JD132">
        <v>1554</v>
      </c>
      <c r="JE132">
        <v>1547</v>
      </c>
      <c r="JF132">
        <v>1552</v>
      </c>
      <c r="JG132">
        <v>1528</v>
      </c>
      <c r="JH132">
        <v>0</v>
      </c>
      <c r="JJ132">
        <v>180</v>
      </c>
      <c r="JK132">
        <v>440</v>
      </c>
      <c r="JN132">
        <v>365</v>
      </c>
      <c r="JO132">
        <v>520</v>
      </c>
      <c r="JP132">
        <v>455</v>
      </c>
      <c r="JQ132">
        <v>0</v>
      </c>
      <c r="JR132">
        <v>402</v>
      </c>
      <c r="JS132">
        <v>100</v>
      </c>
      <c r="JV132">
        <v>10</v>
      </c>
      <c r="JW132" t="s">
        <v>550</v>
      </c>
      <c r="JX132">
        <v>456</v>
      </c>
      <c r="KA132">
        <v>225</v>
      </c>
      <c r="KB132">
        <v>110</v>
      </c>
      <c r="KC132">
        <v>0</v>
      </c>
      <c r="KD132">
        <v>80</v>
      </c>
      <c r="KF132">
        <v>4</v>
      </c>
      <c r="KG132">
        <v>2</v>
      </c>
      <c r="KH132">
        <v>2</v>
      </c>
      <c r="KI132">
        <v>2</v>
      </c>
      <c r="KJ132">
        <v>0</v>
      </c>
      <c r="KK132">
        <v>1.5</v>
      </c>
      <c r="KL132">
        <v>1.5</v>
      </c>
      <c r="KM132">
        <v>0</v>
      </c>
      <c r="KN132">
        <v>0</v>
      </c>
      <c r="KO132">
        <v>0</v>
      </c>
      <c r="KR132">
        <v>30</v>
      </c>
      <c r="KS132">
        <v>60</v>
      </c>
      <c r="KT132">
        <v>0</v>
      </c>
      <c r="LK132">
        <v>480</v>
      </c>
      <c r="PG132">
        <v>1</v>
      </c>
      <c r="PI132" t="s">
        <v>2110</v>
      </c>
      <c r="PJ132" t="s">
        <v>2111</v>
      </c>
      <c r="PK132" t="s">
        <v>2112</v>
      </c>
      <c r="PL132" t="s">
        <v>1287</v>
      </c>
      <c r="PP132" t="s">
        <v>2113</v>
      </c>
      <c r="PS132" t="s">
        <v>795</v>
      </c>
      <c r="PX132">
        <v>56</v>
      </c>
      <c r="PY132">
        <v>57</v>
      </c>
      <c r="PZ132" t="s">
        <v>2110</v>
      </c>
      <c r="QA132">
        <v>1</v>
      </c>
      <c r="QB132">
        <v>1528</v>
      </c>
      <c r="QC132">
        <v>69</v>
      </c>
      <c r="QD132">
        <v>69</v>
      </c>
      <c r="QE132" t="s">
        <v>1287</v>
      </c>
      <c r="QF132">
        <v>1</v>
      </c>
      <c r="QG132">
        <v>1554</v>
      </c>
      <c r="QH132">
        <v>66</v>
      </c>
      <c r="QI132">
        <v>66</v>
      </c>
      <c r="QJ132" t="s">
        <v>795</v>
      </c>
      <c r="QK132">
        <v>1</v>
      </c>
      <c r="QL132">
        <v>1554</v>
      </c>
      <c r="QM132">
        <v>62</v>
      </c>
      <c r="QN132">
        <v>62</v>
      </c>
      <c r="QO132" t="s">
        <v>2111</v>
      </c>
      <c r="QP132">
        <v>1</v>
      </c>
      <c r="QQ132">
        <v>1547</v>
      </c>
      <c r="QR132">
        <v>63</v>
      </c>
      <c r="QS132">
        <v>63</v>
      </c>
      <c r="QT132" t="s">
        <v>2112</v>
      </c>
      <c r="QU132">
        <v>1</v>
      </c>
      <c r="QV132">
        <v>1552</v>
      </c>
      <c r="QW132">
        <v>82</v>
      </c>
      <c r="QX132" t="s">
        <v>587</v>
      </c>
      <c r="QY132" t="s">
        <v>2113</v>
      </c>
      <c r="QZ132">
        <v>2</v>
      </c>
      <c r="RA132">
        <v>66</v>
      </c>
      <c r="RB132">
        <v>66</v>
      </c>
      <c r="RE132">
        <v>0</v>
      </c>
      <c r="RF132">
        <v>1</v>
      </c>
      <c r="RI132">
        <v>1</v>
      </c>
      <c r="RJ132">
        <v>1</v>
      </c>
      <c r="RK132">
        <v>2</v>
      </c>
      <c r="RL132">
        <v>4</v>
      </c>
      <c r="RM132">
        <v>4</v>
      </c>
      <c r="RO132">
        <v>517</v>
      </c>
      <c r="RP132">
        <v>125</v>
      </c>
      <c r="RQ132">
        <v>605</v>
      </c>
      <c r="RR132">
        <v>575</v>
      </c>
      <c r="RT132">
        <v>381</v>
      </c>
      <c r="RU132">
        <v>231</v>
      </c>
      <c r="RV132" t="s">
        <v>1887</v>
      </c>
      <c r="RW132" t="s">
        <v>599</v>
      </c>
      <c r="RX132">
        <v>15</v>
      </c>
      <c r="RY132">
        <v>4</v>
      </c>
      <c r="RZ132" t="s">
        <v>599</v>
      </c>
      <c r="SA132">
        <v>15</v>
      </c>
      <c r="SC132" t="s">
        <v>2111</v>
      </c>
      <c r="SD132">
        <v>1</v>
      </c>
      <c r="SE132" t="s">
        <v>2114</v>
      </c>
      <c r="SF132" t="s">
        <v>2114</v>
      </c>
      <c r="SG132">
        <v>1</v>
      </c>
      <c r="SH132">
        <v>0.995</v>
      </c>
      <c r="SI132">
        <v>0.995</v>
      </c>
      <c r="SJ132">
        <v>0.995</v>
      </c>
      <c r="SK132">
        <v>15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1</v>
      </c>
      <c r="SZ132">
        <v>1</v>
      </c>
      <c r="TB132">
        <v>0</v>
      </c>
      <c r="TC132">
        <v>0</v>
      </c>
      <c r="TD132">
        <v>9.4</v>
      </c>
      <c r="TE132" t="s">
        <v>553</v>
      </c>
      <c r="TF132" t="s">
        <v>600</v>
      </c>
      <c r="TG132" t="s">
        <v>555</v>
      </c>
      <c r="TI132" t="s">
        <v>546</v>
      </c>
      <c r="TJ132" t="s">
        <v>547</v>
      </c>
      <c r="TL132" t="s">
        <v>1888</v>
      </c>
      <c r="TM132" t="s">
        <v>513</v>
      </c>
      <c r="TN132">
        <v>0</v>
      </c>
      <c r="TO132" t="s">
        <v>601</v>
      </c>
    </row>
    <row r="133" spans="1:535">
      <c r="A133" t="s">
        <v>2115</v>
      </c>
      <c r="B133" t="s">
        <v>629</v>
      </c>
      <c r="C133" t="s">
        <v>509</v>
      </c>
      <c r="D133" t="s">
        <v>1307</v>
      </c>
      <c r="G133" t="s">
        <v>561</v>
      </c>
      <c r="I133" t="s">
        <v>562</v>
      </c>
      <c r="J133" t="s">
        <v>563</v>
      </c>
      <c r="L133" t="s">
        <v>512</v>
      </c>
      <c r="M133" t="s">
        <v>711</v>
      </c>
      <c r="N133" t="s">
        <v>513</v>
      </c>
      <c r="O133" t="s">
        <v>565</v>
      </c>
      <c r="Q133" t="s">
        <v>2116</v>
      </c>
      <c r="R133" t="s">
        <v>567</v>
      </c>
      <c r="S133" t="s">
        <v>1718</v>
      </c>
      <c r="T133" t="s">
        <v>610</v>
      </c>
      <c r="U133" t="s">
        <v>1482</v>
      </c>
      <c r="V133" t="s">
        <v>1483</v>
      </c>
      <c r="W133" t="s">
        <v>1835</v>
      </c>
      <c r="X133" t="s">
        <v>1880</v>
      </c>
      <c r="Y133" t="s">
        <v>524</v>
      </c>
      <c r="Z133" t="s">
        <v>2117</v>
      </c>
      <c r="AA133" t="s">
        <v>2118</v>
      </c>
      <c r="AB133" t="s">
        <v>2119</v>
      </c>
      <c r="AC133">
        <v>2</v>
      </c>
      <c r="AD133">
        <v>57</v>
      </c>
      <c r="AE133">
        <v>186</v>
      </c>
      <c r="AF133">
        <v>1.5</v>
      </c>
      <c r="AH133">
        <v>0</v>
      </c>
      <c r="AI133" t="s">
        <v>1331</v>
      </c>
      <c r="AJ133">
        <v>197.5</v>
      </c>
      <c r="AK133">
        <v>1</v>
      </c>
      <c r="AL133">
        <v>1.5</v>
      </c>
      <c r="AM133" t="s">
        <v>529</v>
      </c>
      <c r="AO133">
        <v>0</v>
      </c>
      <c r="AR133">
        <v>0</v>
      </c>
      <c r="AS133">
        <v>1.5</v>
      </c>
      <c r="AU133" t="s">
        <v>2120</v>
      </c>
      <c r="AW133" t="s">
        <v>2120</v>
      </c>
      <c r="AX133">
        <v>1</v>
      </c>
      <c r="AY133">
        <v>287.5</v>
      </c>
      <c r="AZ133">
        <v>1.5</v>
      </c>
      <c r="BA133" t="s">
        <v>529</v>
      </c>
      <c r="BB133" t="s">
        <v>2121</v>
      </c>
      <c r="BD133" t="s">
        <v>2121</v>
      </c>
      <c r="BE133">
        <v>1</v>
      </c>
      <c r="BF133">
        <v>232.5</v>
      </c>
      <c r="BG133">
        <v>1.5</v>
      </c>
      <c r="BJ133">
        <v>0</v>
      </c>
      <c r="BN133">
        <v>1.5</v>
      </c>
      <c r="BP133" t="s">
        <v>2122</v>
      </c>
      <c r="BQ133">
        <v>89</v>
      </c>
      <c r="BR133">
        <v>2</v>
      </c>
      <c r="BS133" t="s">
        <v>2123</v>
      </c>
      <c r="BT133">
        <v>208</v>
      </c>
      <c r="BU133">
        <v>0.5</v>
      </c>
      <c r="BV133" t="s">
        <v>2123</v>
      </c>
      <c r="BW133">
        <v>416</v>
      </c>
      <c r="BX133">
        <v>1</v>
      </c>
      <c r="BY133" t="s">
        <v>1491</v>
      </c>
      <c r="BZ133">
        <v>300</v>
      </c>
      <c r="CA133">
        <v>480</v>
      </c>
      <c r="CB133" t="s">
        <v>1492</v>
      </c>
      <c r="CC133" t="s">
        <v>1492</v>
      </c>
      <c r="CD133">
        <v>432</v>
      </c>
      <c r="CE133" t="s">
        <v>1493</v>
      </c>
      <c r="CF133">
        <v>15</v>
      </c>
      <c r="CG133" t="s">
        <v>1725</v>
      </c>
      <c r="CH133" t="s">
        <v>1725</v>
      </c>
      <c r="CI133">
        <v>90</v>
      </c>
      <c r="CJ133">
        <v>1122</v>
      </c>
      <c r="CK133">
        <v>2</v>
      </c>
      <c r="CL133">
        <v>1222</v>
      </c>
      <c r="CM133">
        <v>2</v>
      </c>
      <c r="CN133" t="s">
        <v>1495</v>
      </c>
      <c r="CO133" t="s">
        <v>1473</v>
      </c>
      <c r="CP133" t="s">
        <v>1474</v>
      </c>
      <c r="CQ133" t="s">
        <v>621</v>
      </c>
      <c r="CR133" t="s">
        <v>541</v>
      </c>
      <c r="CS133" t="s">
        <v>542</v>
      </c>
      <c r="CT133">
        <v>395</v>
      </c>
      <c r="CU133">
        <v>5</v>
      </c>
      <c r="CV133">
        <v>1.2</v>
      </c>
      <c r="CW133">
        <v>1136</v>
      </c>
      <c r="CX133">
        <v>635</v>
      </c>
      <c r="DD133">
        <v>0</v>
      </c>
      <c r="DE133" t="s">
        <v>622</v>
      </c>
      <c r="DF133">
        <v>575</v>
      </c>
      <c r="DG133">
        <v>3</v>
      </c>
      <c r="DH133">
        <v>0.88</v>
      </c>
      <c r="DI133">
        <v>1133</v>
      </c>
      <c r="DJ133">
        <v>733</v>
      </c>
      <c r="DK133" t="s">
        <v>622</v>
      </c>
      <c r="DL133">
        <v>465</v>
      </c>
      <c r="DM133">
        <v>3</v>
      </c>
      <c r="DN133">
        <v>0.88</v>
      </c>
      <c r="DO133">
        <v>1138</v>
      </c>
      <c r="DP133">
        <v>582</v>
      </c>
      <c r="DW133" t="s">
        <v>544</v>
      </c>
      <c r="DX133">
        <v>7.5</v>
      </c>
      <c r="EA133">
        <v>1205.9</v>
      </c>
      <c r="EB133">
        <v>214</v>
      </c>
      <c r="EC133" t="s">
        <v>545</v>
      </c>
      <c r="ED133">
        <v>45</v>
      </c>
      <c r="EE133">
        <v>3</v>
      </c>
      <c r="EG133">
        <v>1247</v>
      </c>
      <c r="EH133">
        <v>228</v>
      </c>
      <c r="EJ133">
        <v>0</v>
      </c>
      <c r="EK133">
        <v>1</v>
      </c>
      <c r="EN133">
        <v>0</v>
      </c>
      <c r="EP133" t="s">
        <v>546</v>
      </c>
      <c r="EQ133">
        <v>125</v>
      </c>
      <c r="ER133">
        <v>3</v>
      </c>
      <c r="ES133">
        <v>6.3</v>
      </c>
      <c r="ET133">
        <v>1125</v>
      </c>
      <c r="EU133">
        <v>615.3</v>
      </c>
      <c r="EV133">
        <v>692</v>
      </c>
      <c r="EW133" t="s">
        <v>547</v>
      </c>
      <c r="EX133">
        <v>70</v>
      </c>
      <c r="EY133">
        <v>2</v>
      </c>
      <c r="EZ133">
        <v>4.5</v>
      </c>
      <c r="FA133">
        <v>1125</v>
      </c>
      <c r="FB133">
        <v>219.6</v>
      </c>
      <c r="FC133">
        <v>247</v>
      </c>
      <c r="FE133">
        <v>0</v>
      </c>
      <c r="FF133">
        <v>2</v>
      </c>
      <c r="FI133">
        <v>0</v>
      </c>
      <c r="FK133" t="s">
        <v>548</v>
      </c>
      <c r="FL133">
        <v>0.4</v>
      </c>
      <c r="FM133">
        <v>90</v>
      </c>
      <c r="FN133">
        <v>110</v>
      </c>
      <c r="GR133" t="s">
        <v>548</v>
      </c>
      <c r="GS133">
        <v>0.4</v>
      </c>
      <c r="GT133">
        <v>30</v>
      </c>
      <c r="GU133">
        <v>380</v>
      </c>
      <c r="GV133">
        <v>30</v>
      </c>
      <c r="GW133">
        <v>240</v>
      </c>
      <c r="HC133">
        <v>0.1</v>
      </c>
      <c r="HD133">
        <v>3</v>
      </c>
      <c r="HE133">
        <v>3</v>
      </c>
      <c r="HF133">
        <v>3</v>
      </c>
      <c r="HG133">
        <v>3</v>
      </c>
      <c r="HH133">
        <v>3</v>
      </c>
      <c r="HI133">
        <v>180</v>
      </c>
      <c r="HJ133">
        <v>3</v>
      </c>
      <c r="HK133">
        <v>55</v>
      </c>
      <c r="HL133">
        <v>2</v>
      </c>
      <c r="HM133">
        <v>0</v>
      </c>
      <c r="HN133">
        <v>2</v>
      </c>
      <c r="HO133">
        <v>110</v>
      </c>
      <c r="HP133">
        <v>3</v>
      </c>
      <c r="HQ133">
        <v>0</v>
      </c>
      <c r="HR133">
        <v>2</v>
      </c>
      <c r="HS133">
        <v>4712</v>
      </c>
      <c r="HT133">
        <v>140</v>
      </c>
      <c r="HU133">
        <v>180</v>
      </c>
      <c r="HW133">
        <v>0</v>
      </c>
      <c r="HX133">
        <v>470</v>
      </c>
      <c r="HY133">
        <v>0.18</v>
      </c>
      <c r="IA133">
        <v>0.15</v>
      </c>
      <c r="IB133">
        <v>0</v>
      </c>
      <c r="IC133">
        <v>180</v>
      </c>
      <c r="ID133">
        <v>110</v>
      </c>
      <c r="IE133">
        <v>225</v>
      </c>
      <c r="IF133">
        <v>0</v>
      </c>
      <c r="IH133" t="s">
        <v>549</v>
      </c>
      <c r="IO133">
        <v>3</v>
      </c>
      <c r="IP133">
        <v>15</v>
      </c>
      <c r="IQ133">
        <v>0</v>
      </c>
      <c r="IR133">
        <v>1</v>
      </c>
      <c r="IV133">
        <v>1122</v>
      </c>
      <c r="IW133">
        <v>416</v>
      </c>
      <c r="JA133">
        <v>1</v>
      </c>
      <c r="JB133">
        <v>0</v>
      </c>
      <c r="JC133">
        <v>2</v>
      </c>
      <c r="JD133">
        <v>1136</v>
      </c>
      <c r="JE133">
        <v>1133</v>
      </c>
      <c r="JF133">
        <v>1138</v>
      </c>
      <c r="JG133">
        <v>1125</v>
      </c>
      <c r="JH133">
        <v>0</v>
      </c>
      <c r="JJ133">
        <v>180</v>
      </c>
      <c r="JK133">
        <v>470</v>
      </c>
      <c r="JN133">
        <v>395</v>
      </c>
      <c r="JO133">
        <v>575</v>
      </c>
      <c r="JP133">
        <v>465</v>
      </c>
      <c r="JQ133">
        <v>0</v>
      </c>
      <c r="JR133">
        <v>372</v>
      </c>
      <c r="JS133">
        <v>180</v>
      </c>
      <c r="JV133">
        <v>8</v>
      </c>
      <c r="JW133" t="s">
        <v>550</v>
      </c>
      <c r="JX133">
        <v>0</v>
      </c>
      <c r="KA133">
        <v>225</v>
      </c>
      <c r="KB133">
        <v>110</v>
      </c>
      <c r="KC133">
        <v>0</v>
      </c>
      <c r="KD133">
        <v>80</v>
      </c>
      <c r="KF133">
        <v>4</v>
      </c>
      <c r="KG133">
        <v>4</v>
      </c>
      <c r="KH133">
        <v>2</v>
      </c>
      <c r="KI133">
        <v>2</v>
      </c>
      <c r="KJ133">
        <v>0</v>
      </c>
      <c r="KK133">
        <v>1.5</v>
      </c>
      <c r="KL133">
        <v>1.5</v>
      </c>
      <c r="KM133">
        <v>0</v>
      </c>
      <c r="KN133">
        <v>0</v>
      </c>
      <c r="KO133">
        <v>0</v>
      </c>
      <c r="KR133">
        <v>30</v>
      </c>
      <c r="KS133">
        <v>60</v>
      </c>
      <c r="KT133">
        <v>0</v>
      </c>
      <c r="LK133">
        <v>480</v>
      </c>
      <c r="PG133">
        <v>1</v>
      </c>
      <c r="PI133" t="s">
        <v>2119</v>
      </c>
      <c r="PJ133" t="s">
        <v>2120</v>
      </c>
      <c r="PK133" t="s">
        <v>2121</v>
      </c>
      <c r="PL133" t="s">
        <v>1331</v>
      </c>
      <c r="PP133" t="s">
        <v>2122</v>
      </c>
      <c r="PX133">
        <v>56</v>
      </c>
      <c r="PY133">
        <v>57</v>
      </c>
      <c r="PZ133" t="s">
        <v>2119</v>
      </c>
      <c r="QA133">
        <v>1</v>
      </c>
      <c r="QB133">
        <v>1125</v>
      </c>
      <c r="QC133">
        <v>69</v>
      </c>
      <c r="QD133">
        <v>69</v>
      </c>
      <c r="QE133" t="s">
        <v>1331</v>
      </c>
      <c r="QF133">
        <v>1</v>
      </c>
      <c r="QG133">
        <v>1136</v>
      </c>
      <c r="QH133">
        <v>66</v>
      </c>
      <c r="QI133">
        <v>66</v>
      </c>
      <c r="QL133">
        <v>0</v>
      </c>
      <c r="QM133">
        <v>62</v>
      </c>
      <c r="QN133">
        <v>62</v>
      </c>
      <c r="QO133" t="s">
        <v>2120</v>
      </c>
      <c r="QP133">
        <v>1</v>
      </c>
      <c r="QQ133">
        <v>1133</v>
      </c>
      <c r="QR133">
        <v>62</v>
      </c>
      <c r="QS133">
        <v>62</v>
      </c>
      <c r="QT133" t="s">
        <v>2121</v>
      </c>
      <c r="QU133">
        <v>1</v>
      </c>
      <c r="QV133">
        <v>1138</v>
      </c>
      <c r="QW133">
        <v>82</v>
      </c>
      <c r="QX133">
        <v>89</v>
      </c>
      <c r="QY133" t="s">
        <v>2122</v>
      </c>
      <c r="QZ133">
        <v>1</v>
      </c>
      <c r="RA133">
        <v>66</v>
      </c>
      <c r="RB133">
        <v>66</v>
      </c>
      <c r="RE133">
        <v>0</v>
      </c>
      <c r="RF133">
        <v>1</v>
      </c>
      <c r="RH133">
        <v>1</v>
      </c>
      <c r="RJ133">
        <v>1</v>
      </c>
      <c r="RL133">
        <v>4</v>
      </c>
      <c r="RM133">
        <v>4</v>
      </c>
      <c r="RO133">
        <v>559</v>
      </c>
      <c r="RQ133">
        <v>647</v>
      </c>
      <c r="RR133">
        <v>511</v>
      </c>
      <c r="RT133">
        <v>214</v>
      </c>
      <c r="RU133">
        <v>228</v>
      </c>
      <c r="RV133" t="s">
        <v>2124</v>
      </c>
      <c r="RW133" t="s">
        <v>1498</v>
      </c>
      <c r="RX133">
        <v>15</v>
      </c>
      <c r="RY133">
        <v>4</v>
      </c>
      <c r="RZ133" t="s">
        <v>1498</v>
      </c>
      <c r="SA133">
        <v>15</v>
      </c>
      <c r="SC133" t="s">
        <v>2120</v>
      </c>
      <c r="SD133">
        <v>1</v>
      </c>
      <c r="SF133" t="s">
        <v>2121</v>
      </c>
      <c r="SG133">
        <v>1</v>
      </c>
      <c r="SH133">
        <v>0.995</v>
      </c>
      <c r="SI133">
        <v>0.995</v>
      </c>
      <c r="SJ133">
        <v>0.995</v>
      </c>
      <c r="SK133">
        <v>15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Z133">
        <v>1</v>
      </c>
      <c r="TB133">
        <v>0</v>
      </c>
      <c r="TC133">
        <v>0</v>
      </c>
      <c r="TD133">
        <v>7.5</v>
      </c>
      <c r="TE133" t="s">
        <v>553</v>
      </c>
      <c r="TF133" t="s">
        <v>624</v>
      </c>
      <c r="TG133" t="s">
        <v>555</v>
      </c>
      <c r="TI133" t="s">
        <v>546</v>
      </c>
      <c r="TJ133" t="s">
        <v>547</v>
      </c>
      <c r="TL133" t="s">
        <v>1888</v>
      </c>
      <c r="TM133" t="s">
        <v>513</v>
      </c>
      <c r="TN133">
        <v>0</v>
      </c>
      <c r="TO133" t="s">
        <v>557</v>
      </c>
    </row>
    <row r="134" spans="1:535">
      <c r="A134" t="s">
        <v>2125</v>
      </c>
      <c r="B134" t="s">
        <v>711</v>
      </c>
      <c r="C134" t="s">
        <v>509</v>
      </c>
      <c r="D134" t="s">
        <v>2126</v>
      </c>
      <c r="G134" t="s">
        <v>561</v>
      </c>
      <c r="I134" t="s">
        <v>562</v>
      </c>
      <c r="L134" t="s">
        <v>512</v>
      </c>
      <c r="M134" t="s">
        <v>804</v>
      </c>
      <c r="N134" t="s">
        <v>513</v>
      </c>
      <c r="O134" t="s">
        <v>565</v>
      </c>
      <c r="Q134" t="s">
        <v>2127</v>
      </c>
      <c r="R134" t="s">
        <v>567</v>
      </c>
      <c r="S134" t="s">
        <v>609</v>
      </c>
      <c r="T134" t="s">
        <v>610</v>
      </c>
      <c r="U134" t="s">
        <v>520</v>
      </c>
      <c r="V134" t="s">
        <v>521</v>
      </c>
      <c r="W134" t="s">
        <v>1835</v>
      </c>
      <c r="X134" t="s">
        <v>1880</v>
      </c>
      <c r="Y134" t="s">
        <v>524</v>
      </c>
      <c r="Z134" t="s">
        <v>2128</v>
      </c>
      <c r="AA134" t="s">
        <v>2129</v>
      </c>
      <c r="AB134" t="s">
        <v>2130</v>
      </c>
      <c r="AC134">
        <v>2</v>
      </c>
      <c r="AD134">
        <v>57</v>
      </c>
      <c r="AE134">
        <v>186</v>
      </c>
      <c r="AF134">
        <v>1.5</v>
      </c>
      <c r="AH134">
        <v>0</v>
      </c>
      <c r="AI134" t="s">
        <v>1331</v>
      </c>
      <c r="AJ134">
        <v>197.5</v>
      </c>
      <c r="AK134">
        <v>1</v>
      </c>
      <c r="AL134">
        <v>1.5</v>
      </c>
      <c r="AM134" t="s">
        <v>529</v>
      </c>
      <c r="AO134">
        <v>0</v>
      </c>
      <c r="AR134">
        <v>0</v>
      </c>
      <c r="AS134">
        <v>1.5</v>
      </c>
      <c r="AU134" t="s">
        <v>2131</v>
      </c>
      <c r="AW134" t="s">
        <v>2131</v>
      </c>
      <c r="AX134">
        <v>1</v>
      </c>
      <c r="AY134">
        <v>280</v>
      </c>
      <c r="AZ134">
        <v>1.5</v>
      </c>
      <c r="BA134" t="s">
        <v>529</v>
      </c>
      <c r="BB134" t="s">
        <v>2132</v>
      </c>
      <c r="BD134" t="s">
        <v>2132</v>
      </c>
      <c r="BE134">
        <v>1</v>
      </c>
      <c r="BF134">
        <v>230</v>
      </c>
      <c r="BG134">
        <v>1.5</v>
      </c>
      <c r="BJ134">
        <v>0</v>
      </c>
      <c r="BN134">
        <v>1.5</v>
      </c>
      <c r="BP134" t="s">
        <v>2133</v>
      </c>
      <c r="BQ134">
        <v>89</v>
      </c>
      <c r="BR134">
        <v>2</v>
      </c>
      <c r="BS134" t="s">
        <v>619</v>
      </c>
      <c r="BT134">
        <v>208</v>
      </c>
      <c r="BU134">
        <v>0.5</v>
      </c>
      <c r="BV134" t="s">
        <v>619</v>
      </c>
      <c r="BW134">
        <v>416</v>
      </c>
      <c r="BX134">
        <v>1</v>
      </c>
      <c r="BY134" t="s">
        <v>533</v>
      </c>
      <c r="BZ134">
        <v>300</v>
      </c>
      <c r="CA134">
        <v>460</v>
      </c>
      <c r="CB134" t="s">
        <v>534</v>
      </c>
      <c r="CC134" t="s">
        <v>534</v>
      </c>
      <c r="CD134">
        <v>430</v>
      </c>
      <c r="CE134" t="s">
        <v>535</v>
      </c>
      <c r="CF134">
        <v>15</v>
      </c>
      <c r="CG134" t="s">
        <v>738</v>
      </c>
      <c r="CH134" t="s">
        <v>738</v>
      </c>
      <c r="CI134">
        <v>80</v>
      </c>
      <c r="CJ134">
        <v>1200</v>
      </c>
      <c r="CK134">
        <v>2</v>
      </c>
      <c r="CL134">
        <v>1301</v>
      </c>
      <c r="CM134">
        <v>2</v>
      </c>
      <c r="CN134" t="s">
        <v>537</v>
      </c>
      <c r="CO134" t="s">
        <v>538</v>
      </c>
      <c r="CP134" t="s">
        <v>539</v>
      </c>
      <c r="CQ134" t="s">
        <v>621</v>
      </c>
      <c r="CR134" t="s">
        <v>541</v>
      </c>
      <c r="CS134" t="s">
        <v>542</v>
      </c>
      <c r="CT134">
        <v>395</v>
      </c>
      <c r="CU134">
        <v>5</v>
      </c>
      <c r="CV134">
        <v>1.2</v>
      </c>
      <c r="CW134">
        <v>1213</v>
      </c>
      <c r="CX134">
        <v>678</v>
      </c>
      <c r="DD134">
        <v>0</v>
      </c>
      <c r="DE134" t="s">
        <v>622</v>
      </c>
      <c r="DF134">
        <v>560</v>
      </c>
      <c r="DG134">
        <v>3</v>
      </c>
      <c r="DH134">
        <v>0.88</v>
      </c>
      <c r="DI134">
        <v>1210</v>
      </c>
      <c r="DJ134">
        <v>785</v>
      </c>
      <c r="DK134" t="s">
        <v>622</v>
      </c>
      <c r="DL134">
        <v>460</v>
      </c>
      <c r="DM134">
        <v>3</v>
      </c>
      <c r="DN134">
        <v>0.88</v>
      </c>
      <c r="DO134">
        <v>1216</v>
      </c>
      <c r="DP134">
        <v>615</v>
      </c>
      <c r="DW134" t="s">
        <v>544</v>
      </c>
      <c r="DX134">
        <v>7.5</v>
      </c>
      <c r="EA134">
        <v>1285.7</v>
      </c>
      <c r="EB134">
        <v>228</v>
      </c>
      <c r="EC134" t="s">
        <v>545</v>
      </c>
      <c r="ED134">
        <v>45</v>
      </c>
      <c r="EE134">
        <v>3</v>
      </c>
      <c r="EG134">
        <v>1327</v>
      </c>
      <c r="EH134">
        <v>243</v>
      </c>
      <c r="EJ134">
        <v>0</v>
      </c>
      <c r="EK134">
        <v>1</v>
      </c>
      <c r="EN134">
        <v>0</v>
      </c>
      <c r="EP134" t="s">
        <v>546</v>
      </c>
      <c r="EQ134">
        <v>125</v>
      </c>
      <c r="ER134">
        <v>3</v>
      </c>
      <c r="ES134">
        <v>6</v>
      </c>
      <c r="ET134">
        <v>1201</v>
      </c>
      <c r="EU134">
        <v>577.5</v>
      </c>
      <c r="EV134">
        <v>694</v>
      </c>
      <c r="EW134" t="s">
        <v>547</v>
      </c>
      <c r="EX134">
        <v>70</v>
      </c>
      <c r="EY134">
        <v>2</v>
      </c>
      <c r="EZ134">
        <v>4.4</v>
      </c>
      <c r="FA134">
        <v>1201</v>
      </c>
      <c r="FB134">
        <v>210.3</v>
      </c>
      <c r="FC134">
        <v>253</v>
      </c>
      <c r="FE134">
        <v>0</v>
      </c>
      <c r="FF134">
        <v>2</v>
      </c>
      <c r="FI134">
        <v>0</v>
      </c>
      <c r="FK134" t="s">
        <v>548</v>
      </c>
      <c r="FL134">
        <v>0.4</v>
      </c>
      <c r="FM134">
        <v>110</v>
      </c>
      <c r="FN134">
        <v>120</v>
      </c>
      <c r="GR134" t="s">
        <v>548</v>
      </c>
      <c r="GS134">
        <v>0.4</v>
      </c>
      <c r="GT134">
        <v>30</v>
      </c>
      <c r="GU134">
        <v>380</v>
      </c>
      <c r="GV134">
        <v>30</v>
      </c>
      <c r="GW134">
        <v>250</v>
      </c>
      <c r="HC134">
        <v>0.1</v>
      </c>
      <c r="HD134">
        <v>3</v>
      </c>
      <c r="HE134">
        <v>3</v>
      </c>
      <c r="HF134">
        <v>3</v>
      </c>
      <c r="HG134">
        <v>3</v>
      </c>
      <c r="HH134">
        <v>3</v>
      </c>
      <c r="HI134">
        <v>180</v>
      </c>
      <c r="HJ134">
        <v>3</v>
      </c>
      <c r="HK134">
        <v>55</v>
      </c>
      <c r="HL134">
        <v>2</v>
      </c>
      <c r="HM134">
        <v>0</v>
      </c>
      <c r="HN134">
        <v>2</v>
      </c>
      <c r="HO134">
        <v>110</v>
      </c>
      <c r="HP134">
        <v>3</v>
      </c>
      <c r="HQ134">
        <v>0</v>
      </c>
      <c r="HR134">
        <v>2</v>
      </c>
      <c r="HS134">
        <v>4914</v>
      </c>
      <c r="HT134">
        <v>150</v>
      </c>
      <c r="HU134">
        <v>180</v>
      </c>
      <c r="HW134">
        <v>0</v>
      </c>
      <c r="HX134">
        <v>430</v>
      </c>
      <c r="HY134">
        <v>0.18</v>
      </c>
      <c r="IA134">
        <v>0.15</v>
      </c>
      <c r="IB134">
        <v>0</v>
      </c>
      <c r="IC134">
        <v>180</v>
      </c>
      <c r="ID134">
        <v>110</v>
      </c>
      <c r="IE134">
        <v>225</v>
      </c>
      <c r="IF134">
        <v>0</v>
      </c>
      <c r="IH134" t="s">
        <v>549</v>
      </c>
      <c r="IO134">
        <v>3</v>
      </c>
      <c r="IP134">
        <v>16</v>
      </c>
      <c r="IQ134">
        <v>0</v>
      </c>
      <c r="IR134">
        <v>1</v>
      </c>
      <c r="IV134">
        <v>1200</v>
      </c>
      <c r="IW134">
        <v>416</v>
      </c>
      <c r="JA134">
        <v>1</v>
      </c>
      <c r="JB134">
        <v>0</v>
      </c>
      <c r="JC134">
        <v>2</v>
      </c>
      <c r="JD134">
        <v>1213</v>
      </c>
      <c r="JE134">
        <v>1210</v>
      </c>
      <c r="JF134">
        <v>1216</v>
      </c>
      <c r="JG134">
        <v>1201</v>
      </c>
      <c r="JH134">
        <v>0</v>
      </c>
      <c r="JJ134">
        <v>180</v>
      </c>
      <c r="JK134">
        <v>430</v>
      </c>
      <c r="JN134">
        <v>395</v>
      </c>
      <c r="JO134">
        <v>560</v>
      </c>
      <c r="JP134">
        <v>460</v>
      </c>
      <c r="JQ134">
        <v>0</v>
      </c>
      <c r="JR134">
        <v>372</v>
      </c>
      <c r="JS134">
        <v>180</v>
      </c>
      <c r="JV134">
        <v>8</v>
      </c>
      <c r="JW134" t="s">
        <v>550</v>
      </c>
      <c r="JX134">
        <v>0</v>
      </c>
      <c r="KA134">
        <v>225</v>
      </c>
      <c r="KB134">
        <v>110</v>
      </c>
      <c r="KC134">
        <v>0</v>
      </c>
      <c r="KD134">
        <v>80</v>
      </c>
      <c r="KF134">
        <v>4</v>
      </c>
      <c r="KG134">
        <v>4</v>
      </c>
      <c r="KH134">
        <v>2</v>
      </c>
      <c r="KI134">
        <v>2</v>
      </c>
      <c r="KJ134">
        <v>0</v>
      </c>
      <c r="KK134">
        <v>1.5</v>
      </c>
      <c r="KL134">
        <v>1.5</v>
      </c>
      <c r="KM134">
        <v>0</v>
      </c>
      <c r="KN134">
        <v>0</v>
      </c>
      <c r="KO134">
        <v>0</v>
      </c>
      <c r="KR134">
        <v>30</v>
      </c>
      <c r="KS134">
        <v>60</v>
      </c>
      <c r="KT134">
        <v>0</v>
      </c>
      <c r="LK134">
        <v>480</v>
      </c>
      <c r="PG134">
        <v>1</v>
      </c>
      <c r="PI134" t="s">
        <v>2130</v>
      </c>
      <c r="PJ134" t="s">
        <v>2131</v>
      </c>
      <c r="PK134" t="s">
        <v>2132</v>
      </c>
      <c r="PL134" t="s">
        <v>1331</v>
      </c>
      <c r="PP134" t="s">
        <v>2133</v>
      </c>
      <c r="PX134">
        <v>56</v>
      </c>
      <c r="PY134">
        <v>57</v>
      </c>
      <c r="PZ134" t="s">
        <v>2130</v>
      </c>
      <c r="QA134">
        <v>1</v>
      </c>
      <c r="QB134">
        <v>1201</v>
      </c>
      <c r="QC134">
        <v>69</v>
      </c>
      <c r="QD134">
        <v>69</v>
      </c>
      <c r="QE134" t="s">
        <v>1331</v>
      </c>
      <c r="QF134">
        <v>1</v>
      </c>
      <c r="QG134">
        <v>1213</v>
      </c>
      <c r="QH134">
        <v>66</v>
      </c>
      <c r="QI134">
        <v>66</v>
      </c>
      <c r="QL134">
        <v>0</v>
      </c>
      <c r="QM134">
        <v>62</v>
      </c>
      <c r="QN134">
        <v>62</v>
      </c>
      <c r="QO134" t="s">
        <v>2131</v>
      </c>
      <c r="QP134">
        <v>1</v>
      </c>
      <c r="QQ134">
        <v>1210</v>
      </c>
      <c r="QR134">
        <v>62</v>
      </c>
      <c r="QS134">
        <v>62</v>
      </c>
      <c r="QT134" t="s">
        <v>2132</v>
      </c>
      <c r="QU134">
        <v>1</v>
      </c>
      <c r="QV134">
        <v>1216</v>
      </c>
      <c r="QW134">
        <v>82</v>
      </c>
      <c r="QX134">
        <v>89</v>
      </c>
      <c r="QY134" t="s">
        <v>2133</v>
      </c>
      <c r="QZ134">
        <v>1</v>
      </c>
      <c r="RA134">
        <v>66</v>
      </c>
      <c r="RB134">
        <v>66</v>
      </c>
      <c r="RE134">
        <v>0</v>
      </c>
      <c r="RF134">
        <v>1</v>
      </c>
      <c r="RH134">
        <v>1</v>
      </c>
      <c r="RJ134">
        <v>1</v>
      </c>
      <c r="RL134">
        <v>4</v>
      </c>
      <c r="RM134">
        <v>4</v>
      </c>
      <c r="RO134">
        <v>559</v>
      </c>
      <c r="RQ134">
        <v>649</v>
      </c>
      <c r="RR134">
        <v>506</v>
      </c>
      <c r="RT134">
        <v>228</v>
      </c>
      <c r="RU134">
        <v>243</v>
      </c>
      <c r="RV134" t="s">
        <v>623</v>
      </c>
      <c r="RW134" t="s">
        <v>552</v>
      </c>
      <c r="RX134">
        <v>15</v>
      </c>
      <c r="RY134">
        <v>4</v>
      </c>
      <c r="RZ134" t="s">
        <v>552</v>
      </c>
      <c r="SA134">
        <v>15</v>
      </c>
      <c r="SC134" t="s">
        <v>2131</v>
      </c>
      <c r="SD134">
        <v>1</v>
      </c>
      <c r="SF134" t="s">
        <v>2132</v>
      </c>
      <c r="SG134">
        <v>1</v>
      </c>
      <c r="SH134">
        <v>0.995</v>
      </c>
      <c r="SI134">
        <v>0.995</v>
      </c>
      <c r="SJ134">
        <v>0.995</v>
      </c>
      <c r="SK134">
        <v>15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Z134">
        <v>1</v>
      </c>
      <c r="TB134">
        <v>0</v>
      </c>
      <c r="TC134">
        <v>0</v>
      </c>
      <c r="TD134">
        <v>7.5</v>
      </c>
      <c r="TE134" t="s">
        <v>553</v>
      </c>
      <c r="TF134" t="s">
        <v>624</v>
      </c>
      <c r="TG134" t="s">
        <v>555</v>
      </c>
      <c r="TI134" t="s">
        <v>546</v>
      </c>
      <c r="TJ134" t="s">
        <v>547</v>
      </c>
      <c r="TL134" t="s">
        <v>1888</v>
      </c>
      <c r="TM134" t="s">
        <v>513</v>
      </c>
      <c r="TN134">
        <v>0</v>
      </c>
      <c r="TO134" t="s">
        <v>557</v>
      </c>
    </row>
    <row r="135" spans="1:535">
      <c r="A135" t="s">
        <v>2134</v>
      </c>
      <c r="B135" t="s">
        <v>711</v>
      </c>
      <c r="C135" t="s">
        <v>509</v>
      </c>
      <c r="D135" t="s">
        <v>1281</v>
      </c>
      <c r="G135" t="s">
        <v>1088</v>
      </c>
      <c r="L135" t="s">
        <v>512</v>
      </c>
      <c r="M135" t="s">
        <v>804</v>
      </c>
      <c r="N135" t="s">
        <v>513</v>
      </c>
      <c r="O135" t="s">
        <v>565</v>
      </c>
      <c r="Q135" t="s">
        <v>2135</v>
      </c>
      <c r="R135" t="s">
        <v>567</v>
      </c>
      <c r="S135" t="s">
        <v>742</v>
      </c>
      <c r="T135" t="s">
        <v>743</v>
      </c>
      <c r="U135" t="s">
        <v>633</v>
      </c>
      <c r="V135" t="s">
        <v>634</v>
      </c>
      <c r="W135" t="s">
        <v>1980</v>
      </c>
      <c r="X135" t="s">
        <v>1880</v>
      </c>
      <c r="Y135" t="s">
        <v>524</v>
      </c>
      <c r="Z135" t="s">
        <v>2136</v>
      </c>
      <c r="AA135" t="s">
        <v>2137</v>
      </c>
      <c r="AB135" t="s">
        <v>2138</v>
      </c>
      <c r="AC135">
        <v>2</v>
      </c>
      <c r="AD135">
        <v>57</v>
      </c>
      <c r="AE135">
        <v>163</v>
      </c>
      <c r="AF135">
        <v>1.5</v>
      </c>
      <c r="AH135">
        <v>0</v>
      </c>
      <c r="AI135" t="s">
        <v>748</v>
      </c>
      <c r="AJ135">
        <v>175</v>
      </c>
      <c r="AK135">
        <v>1</v>
      </c>
      <c r="AL135">
        <v>1.5</v>
      </c>
      <c r="AM135" t="s">
        <v>529</v>
      </c>
      <c r="AO135">
        <v>0</v>
      </c>
      <c r="AR135">
        <v>0</v>
      </c>
      <c r="AS135">
        <v>1.5</v>
      </c>
      <c r="AU135" t="s">
        <v>2139</v>
      </c>
      <c r="AW135" t="s">
        <v>2139</v>
      </c>
      <c r="AX135">
        <v>1</v>
      </c>
      <c r="AY135">
        <v>295</v>
      </c>
      <c r="AZ135">
        <v>1.5</v>
      </c>
      <c r="BA135" t="s">
        <v>529</v>
      </c>
      <c r="BG135">
        <v>1.5</v>
      </c>
      <c r="BJ135">
        <v>0</v>
      </c>
      <c r="BN135">
        <v>1.5</v>
      </c>
      <c r="BP135" t="s">
        <v>2140</v>
      </c>
      <c r="BQ135">
        <v>89</v>
      </c>
      <c r="BR135">
        <v>2</v>
      </c>
      <c r="BS135" t="s">
        <v>947</v>
      </c>
      <c r="BT135">
        <v>185</v>
      </c>
      <c r="BU135">
        <v>0.5</v>
      </c>
      <c r="BV135" t="s">
        <v>947</v>
      </c>
      <c r="BW135">
        <v>370</v>
      </c>
      <c r="BX135">
        <v>1</v>
      </c>
      <c r="BY135" t="s">
        <v>643</v>
      </c>
      <c r="BZ135">
        <v>300</v>
      </c>
      <c r="CA135">
        <v>440</v>
      </c>
      <c r="CB135" t="s">
        <v>644</v>
      </c>
      <c r="CC135" t="s">
        <v>644</v>
      </c>
      <c r="CD135">
        <v>380</v>
      </c>
      <c r="CE135" t="s">
        <v>544</v>
      </c>
      <c r="CF135">
        <v>15</v>
      </c>
      <c r="CG135" t="s">
        <v>1024</v>
      </c>
      <c r="CH135" t="s">
        <v>1024</v>
      </c>
      <c r="CI135">
        <v>70</v>
      </c>
      <c r="CJ135">
        <v>1301</v>
      </c>
      <c r="CK135">
        <v>2</v>
      </c>
      <c r="CL135">
        <v>1395</v>
      </c>
      <c r="CM135">
        <v>2</v>
      </c>
      <c r="CN135" t="s">
        <v>646</v>
      </c>
      <c r="CO135" t="s">
        <v>647</v>
      </c>
      <c r="CP135" t="s">
        <v>648</v>
      </c>
      <c r="CQ135" t="s">
        <v>1496</v>
      </c>
      <c r="CR135" t="s">
        <v>541</v>
      </c>
      <c r="CS135" t="s">
        <v>542</v>
      </c>
      <c r="CT135">
        <v>350</v>
      </c>
      <c r="CU135">
        <v>5</v>
      </c>
      <c r="CV135">
        <v>1.2</v>
      </c>
      <c r="CW135">
        <v>1314</v>
      </c>
      <c r="CX135">
        <v>650</v>
      </c>
      <c r="DD135">
        <v>0</v>
      </c>
      <c r="DE135" t="s">
        <v>543</v>
      </c>
      <c r="DF135">
        <v>590</v>
      </c>
      <c r="DG135">
        <v>3</v>
      </c>
      <c r="DH135">
        <v>1.18</v>
      </c>
      <c r="DI135">
        <v>1312</v>
      </c>
      <c r="DJ135">
        <v>1165</v>
      </c>
      <c r="DW135" t="s">
        <v>544</v>
      </c>
      <c r="DX135">
        <v>7.5</v>
      </c>
      <c r="EA135">
        <v>1381.4</v>
      </c>
      <c r="EB135">
        <v>245</v>
      </c>
      <c r="EC135" t="s">
        <v>545</v>
      </c>
      <c r="ED135">
        <v>30</v>
      </c>
      <c r="EE135">
        <v>3</v>
      </c>
      <c r="EG135">
        <v>1422</v>
      </c>
      <c r="EH135">
        <v>168</v>
      </c>
      <c r="EJ135">
        <v>0</v>
      </c>
      <c r="EK135">
        <v>1</v>
      </c>
      <c r="EN135">
        <v>0</v>
      </c>
      <c r="EP135" t="s">
        <v>546</v>
      </c>
      <c r="EQ135">
        <v>70</v>
      </c>
      <c r="ER135">
        <v>3</v>
      </c>
      <c r="ES135">
        <v>5</v>
      </c>
      <c r="ET135">
        <v>1295</v>
      </c>
      <c r="EU135">
        <v>289.8</v>
      </c>
      <c r="EV135">
        <v>375</v>
      </c>
      <c r="EW135" t="s">
        <v>547</v>
      </c>
      <c r="EX135">
        <v>70</v>
      </c>
      <c r="EY135">
        <v>2</v>
      </c>
      <c r="EZ135">
        <v>4</v>
      </c>
      <c r="FA135">
        <v>1295</v>
      </c>
      <c r="FB135">
        <v>209.7</v>
      </c>
      <c r="FC135">
        <v>272</v>
      </c>
      <c r="FE135">
        <v>0</v>
      </c>
      <c r="FF135">
        <v>2</v>
      </c>
      <c r="FI135">
        <v>0</v>
      </c>
      <c r="FK135" t="s">
        <v>548</v>
      </c>
      <c r="FL135">
        <v>0.4</v>
      </c>
      <c r="FM135">
        <v>70</v>
      </c>
      <c r="FN135">
        <v>130</v>
      </c>
      <c r="FR135" t="s">
        <v>548</v>
      </c>
      <c r="FS135">
        <v>0.4</v>
      </c>
      <c r="FT135">
        <v>30</v>
      </c>
      <c r="FU135">
        <v>330</v>
      </c>
      <c r="HC135">
        <v>0.1</v>
      </c>
      <c r="HD135">
        <v>3</v>
      </c>
      <c r="HE135">
        <v>3</v>
      </c>
      <c r="HF135">
        <v>3</v>
      </c>
      <c r="HG135">
        <v>3</v>
      </c>
      <c r="HH135">
        <v>3</v>
      </c>
      <c r="HI135">
        <v>125</v>
      </c>
      <c r="HJ135">
        <v>3</v>
      </c>
      <c r="HK135">
        <v>55</v>
      </c>
      <c r="HL135">
        <v>2</v>
      </c>
      <c r="HM135">
        <v>0</v>
      </c>
      <c r="HN135">
        <v>2</v>
      </c>
      <c r="HO135">
        <v>55</v>
      </c>
      <c r="HP135">
        <v>3</v>
      </c>
      <c r="HQ135">
        <v>0</v>
      </c>
      <c r="HR135">
        <v>2</v>
      </c>
      <c r="HS135">
        <v>3935</v>
      </c>
      <c r="HT135">
        <v>120</v>
      </c>
      <c r="HU135">
        <v>180</v>
      </c>
      <c r="HW135">
        <v>20</v>
      </c>
      <c r="HX135">
        <v>420</v>
      </c>
      <c r="HY135">
        <v>0.18</v>
      </c>
      <c r="IA135">
        <v>0.15</v>
      </c>
      <c r="IB135">
        <v>0</v>
      </c>
      <c r="IC135">
        <v>180</v>
      </c>
      <c r="ID135">
        <v>110</v>
      </c>
      <c r="IE135">
        <v>0</v>
      </c>
      <c r="IF135">
        <v>0</v>
      </c>
      <c r="IH135" t="s">
        <v>549</v>
      </c>
      <c r="IO135">
        <v>1</v>
      </c>
      <c r="IP135">
        <v>17</v>
      </c>
      <c r="IQ135">
        <v>0</v>
      </c>
      <c r="IR135">
        <v>1</v>
      </c>
      <c r="IV135">
        <v>1301</v>
      </c>
      <c r="IW135">
        <v>370</v>
      </c>
      <c r="JA135">
        <v>1</v>
      </c>
      <c r="JB135">
        <v>0</v>
      </c>
      <c r="JC135">
        <v>2</v>
      </c>
      <c r="JD135">
        <v>1314</v>
      </c>
      <c r="JE135">
        <v>1312</v>
      </c>
      <c r="JF135">
        <v>0</v>
      </c>
      <c r="JG135">
        <v>1295</v>
      </c>
      <c r="JH135">
        <v>0</v>
      </c>
      <c r="JJ135">
        <v>180</v>
      </c>
      <c r="JK135">
        <v>420</v>
      </c>
      <c r="JN135">
        <v>350</v>
      </c>
      <c r="JO135">
        <v>590</v>
      </c>
      <c r="JP135">
        <v>0</v>
      </c>
      <c r="JQ135">
        <v>0</v>
      </c>
      <c r="JR135">
        <v>326</v>
      </c>
      <c r="JS135">
        <v>125</v>
      </c>
      <c r="JV135">
        <v>8</v>
      </c>
      <c r="JW135" t="s">
        <v>550</v>
      </c>
      <c r="JX135">
        <v>0</v>
      </c>
      <c r="KA135">
        <v>0</v>
      </c>
      <c r="KB135">
        <v>110</v>
      </c>
      <c r="KC135">
        <v>0</v>
      </c>
      <c r="KD135">
        <v>80</v>
      </c>
      <c r="KF135">
        <v>4</v>
      </c>
      <c r="KG135">
        <v>2</v>
      </c>
      <c r="KH135">
        <v>2</v>
      </c>
      <c r="KI135">
        <v>2</v>
      </c>
      <c r="KJ135">
        <v>0</v>
      </c>
      <c r="KK135">
        <v>1.5</v>
      </c>
      <c r="KL135">
        <v>1.5</v>
      </c>
      <c r="KM135">
        <v>0</v>
      </c>
      <c r="KN135">
        <v>0</v>
      </c>
      <c r="KO135">
        <v>0</v>
      </c>
      <c r="KR135">
        <v>50</v>
      </c>
      <c r="KS135">
        <v>60</v>
      </c>
      <c r="KT135">
        <v>0</v>
      </c>
      <c r="LK135">
        <v>480</v>
      </c>
      <c r="PG135">
        <v>1</v>
      </c>
      <c r="PI135" t="s">
        <v>2138</v>
      </c>
      <c r="PJ135" t="s">
        <v>2139</v>
      </c>
      <c r="PL135" t="s">
        <v>748</v>
      </c>
      <c r="PP135" t="s">
        <v>2140</v>
      </c>
      <c r="PX135">
        <v>56</v>
      </c>
      <c r="PY135">
        <v>57</v>
      </c>
      <c r="PZ135" t="s">
        <v>2138</v>
      </c>
      <c r="QA135">
        <v>1</v>
      </c>
      <c r="QB135">
        <v>1295</v>
      </c>
      <c r="QC135">
        <v>69</v>
      </c>
      <c r="QD135">
        <v>69</v>
      </c>
      <c r="QE135" t="s">
        <v>748</v>
      </c>
      <c r="QF135">
        <v>1</v>
      </c>
      <c r="QG135">
        <v>1314</v>
      </c>
      <c r="QH135">
        <v>66</v>
      </c>
      <c r="QI135">
        <v>66</v>
      </c>
      <c r="QL135">
        <v>0</v>
      </c>
      <c r="QM135">
        <v>62</v>
      </c>
      <c r="QN135">
        <v>62</v>
      </c>
      <c r="QO135" t="s">
        <v>2139</v>
      </c>
      <c r="QP135">
        <v>1</v>
      </c>
      <c r="QQ135">
        <v>1312</v>
      </c>
      <c r="QW135">
        <v>82</v>
      </c>
      <c r="QX135">
        <v>89</v>
      </c>
      <c r="QY135" t="s">
        <v>2140</v>
      </c>
      <c r="QZ135">
        <v>1</v>
      </c>
      <c r="RA135">
        <v>66</v>
      </c>
      <c r="RB135">
        <v>66</v>
      </c>
      <c r="RE135">
        <v>0</v>
      </c>
      <c r="RF135">
        <v>1</v>
      </c>
      <c r="RJ135">
        <v>1</v>
      </c>
      <c r="RL135">
        <v>2</v>
      </c>
      <c r="RO135">
        <v>495</v>
      </c>
      <c r="RQ135">
        <v>888</v>
      </c>
      <c r="RT135">
        <v>245</v>
      </c>
      <c r="RU135">
        <v>168</v>
      </c>
      <c r="RV135" t="s">
        <v>949</v>
      </c>
      <c r="RW135" t="s">
        <v>653</v>
      </c>
      <c r="RX135">
        <v>15</v>
      </c>
      <c r="RY135">
        <v>4</v>
      </c>
      <c r="RZ135" t="s">
        <v>653</v>
      </c>
      <c r="SA135">
        <v>15</v>
      </c>
      <c r="SC135" t="s">
        <v>2139</v>
      </c>
      <c r="SD135">
        <v>1</v>
      </c>
      <c r="SH135">
        <v>0.995</v>
      </c>
      <c r="SI135">
        <v>0.995</v>
      </c>
      <c r="SJ135">
        <v>0.995</v>
      </c>
      <c r="SK135">
        <v>15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TB135">
        <v>0</v>
      </c>
      <c r="TC135">
        <v>0</v>
      </c>
      <c r="TD135">
        <v>7.5</v>
      </c>
      <c r="TE135" t="s">
        <v>553</v>
      </c>
      <c r="TF135" t="s">
        <v>624</v>
      </c>
      <c r="TG135" t="s">
        <v>555</v>
      </c>
      <c r="TI135" t="s">
        <v>546</v>
      </c>
      <c r="TJ135" t="s">
        <v>547</v>
      </c>
      <c r="TL135" t="s">
        <v>1888</v>
      </c>
      <c r="TM135" t="s">
        <v>513</v>
      </c>
      <c r="TN135">
        <v>0</v>
      </c>
      <c r="TO135" t="s">
        <v>557</v>
      </c>
    </row>
    <row r="136" spans="1:535">
      <c r="A136" t="s">
        <v>2141</v>
      </c>
      <c r="B136" t="s">
        <v>804</v>
      </c>
      <c r="C136" t="s">
        <v>509</v>
      </c>
      <c r="D136" t="s">
        <v>2142</v>
      </c>
      <c r="G136" t="s">
        <v>561</v>
      </c>
      <c r="I136" t="s">
        <v>562</v>
      </c>
      <c r="J136" t="s">
        <v>563</v>
      </c>
      <c r="L136" t="s">
        <v>512</v>
      </c>
      <c r="M136" t="s">
        <v>508</v>
      </c>
      <c r="N136" t="s">
        <v>513</v>
      </c>
      <c r="O136" t="s">
        <v>1942</v>
      </c>
      <c r="P136" t="s">
        <v>515</v>
      </c>
      <c r="Q136" t="s">
        <v>2143</v>
      </c>
      <c r="R136" t="s">
        <v>567</v>
      </c>
      <c r="S136" t="s">
        <v>1231</v>
      </c>
      <c r="T136" t="s">
        <v>1127</v>
      </c>
      <c r="U136" t="s">
        <v>662</v>
      </c>
      <c r="V136" t="s">
        <v>663</v>
      </c>
      <c r="W136" t="s">
        <v>760</v>
      </c>
      <c r="X136" t="s">
        <v>1880</v>
      </c>
      <c r="Y136" t="s">
        <v>524</v>
      </c>
      <c r="Z136" t="s">
        <v>2144</v>
      </c>
      <c r="AA136" t="s">
        <v>2145</v>
      </c>
      <c r="AB136" t="s">
        <v>2146</v>
      </c>
      <c r="AC136">
        <v>2</v>
      </c>
      <c r="AD136">
        <v>57</v>
      </c>
      <c r="AE136">
        <v>180</v>
      </c>
      <c r="AF136">
        <v>1.5</v>
      </c>
      <c r="AH136">
        <v>0</v>
      </c>
      <c r="AI136" t="s">
        <v>764</v>
      </c>
      <c r="AJ136">
        <v>190</v>
      </c>
      <c r="AK136">
        <v>1</v>
      </c>
      <c r="AL136">
        <v>1.5</v>
      </c>
      <c r="AM136" t="s">
        <v>529</v>
      </c>
      <c r="AO136">
        <v>0</v>
      </c>
      <c r="AR136">
        <v>0</v>
      </c>
      <c r="AS136">
        <v>1.5</v>
      </c>
      <c r="AU136" t="s">
        <v>2147</v>
      </c>
      <c r="AW136" t="s">
        <v>2147</v>
      </c>
      <c r="AX136">
        <v>1</v>
      </c>
      <c r="AY136">
        <v>332.5</v>
      </c>
      <c r="AZ136">
        <v>1.5</v>
      </c>
      <c r="BA136" t="s">
        <v>529</v>
      </c>
      <c r="BG136">
        <v>1.5</v>
      </c>
      <c r="BJ136">
        <v>0</v>
      </c>
      <c r="BN136">
        <v>1.5</v>
      </c>
      <c r="BP136" t="s">
        <v>2148</v>
      </c>
      <c r="BQ136">
        <v>89</v>
      </c>
      <c r="BR136">
        <v>2</v>
      </c>
      <c r="BS136" t="s">
        <v>2149</v>
      </c>
      <c r="BT136">
        <v>202</v>
      </c>
      <c r="BU136">
        <v>0.5</v>
      </c>
      <c r="BV136" t="s">
        <v>2149</v>
      </c>
      <c r="BW136">
        <v>404</v>
      </c>
      <c r="BX136">
        <v>1</v>
      </c>
      <c r="BY136" t="s">
        <v>643</v>
      </c>
      <c r="BZ136">
        <v>290</v>
      </c>
      <c r="CA136">
        <v>470</v>
      </c>
      <c r="CB136" t="s">
        <v>672</v>
      </c>
      <c r="CC136" t="s">
        <v>672</v>
      </c>
      <c r="CD136">
        <v>420</v>
      </c>
      <c r="CE136" t="s">
        <v>673</v>
      </c>
      <c r="CF136">
        <v>15</v>
      </c>
      <c r="CG136" t="s">
        <v>769</v>
      </c>
      <c r="CH136" t="s">
        <v>769</v>
      </c>
      <c r="CI136">
        <v>90</v>
      </c>
      <c r="CJ136">
        <v>1381</v>
      </c>
      <c r="CK136">
        <v>2</v>
      </c>
      <c r="CL136">
        <v>1475</v>
      </c>
      <c r="CM136">
        <v>2</v>
      </c>
      <c r="CN136" t="s">
        <v>675</v>
      </c>
      <c r="CO136" t="s">
        <v>676</v>
      </c>
      <c r="CP136" t="s">
        <v>595</v>
      </c>
      <c r="CQ136" t="s">
        <v>1496</v>
      </c>
      <c r="CR136" t="s">
        <v>541</v>
      </c>
      <c r="CS136" t="s">
        <v>542</v>
      </c>
      <c r="CT136">
        <v>380</v>
      </c>
      <c r="CU136">
        <v>5</v>
      </c>
      <c r="CV136">
        <v>1.2</v>
      </c>
      <c r="CW136">
        <v>1393</v>
      </c>
      <c r="CX136">
        <v>749</v>
      </c>
      <c r="DD136">
        <v>0</v>
      </c>
      <c r="DE136" t="s">
        <v>543</v>
      </c>
      <c r="DF136">
        <v>665</v>
      </c>
      <c r="DG136">
        <v>3</v>
      </c>
      <c r="DH136">
        <v>1.18</v>
      </c>
      <c r="DI136">
        <v>1391</v>
      </c>
      <c r="DJ136">
        <v>1395</v>
      </c>
      <c r="DW136" t="s">
        <v>544</v>
      </c>
      <c r="DX136">
        <v>7.5</v>
      </c>
      <c r="EA136">
        <v>1461.1</v>
      </c>
      <c r="EB136">
        <v>258</v>
      </c>
      <c r="EC136" t="s">
        <v>545</v>
      </c>
      <c r="ED136">
        <v>35</v>
      </c>
      <c r="EE136">
        <v>3</v>
      </c>
      <c r="EG136">
        <v>1502</v>
      </c>
      <c r="EH136">
        <v>210</v>
      </c>
      <c r="EJ136">
        <v>0</v>
      </c>
      <c r="EK136">
        <v>1</v>
      </c>
      <c r="EN136">
        <v>0</v>
      </c>
      <c r="EP136" t="s">
        <v>546</v>
      </c>
      <c r="EQ136">
        <v>90</v>
      </c>
      <c r="ER136">
        <v>3</v>
      </c>
      <c r="ES136">
        <v>5</v>
      </c>
      <c r="ET136">
        <v>1375</v>
      </c>
      <c r="EU136">
        <v>378.2</v>
      </c>
      <c r="EV136">
        <v>520</v>
      </c>
      <c r="EW136" t="s">
        <v>547</v>
      </c>
      <c r="EX136">
        <v>70</v>
      </c>
      <c r="EY136">
        <v>2</v>
      </c>
      <c r="EZ136">
        <v>4.5</v>
      </c>
      <c r="FA136">
        <v>1375</v>
      </c>
      <c r="FB136">
        <v>231.8</v>
      </c>
      <c r="FC136">
        <v>319</v>
      </c>
      <c r="FE136">
        <v>0</v>
      </c>
      <c r="FF136">
        <v>2</v>
      </c>
      <c r="FI136">
        <v>0</v>
      </c>
      <c r="FK136" t="s">
        <v>548</v>
      </c>
      <c r="FL136">
        <v>0.4</v>
      </c>
      <c r="FM136">
        <v>85</v>
      </c>
      <c r="FN136">
        <v>130</v>
      </c>
      <c r="FR136" t="s">
        <v>548</v>
      </c>
      <c r="FS136">
        <v>0.4</v>
      </c>
      <c r="FT136">
        <v>30</v>
      </c>
      <c r="FU136">
        <v>360</v>
      </c>
      <c r="HC136">
        <v>0.1</v>
      </c>
      <c r="HD136">
        <v>3</v>
      </c>
      <c r="HE136">
        <v>3</v>
      </c>
      <c r="HF136">
        <v>3</v>
      </c>
      <c r="HG136">
        <v>3</v>
      </c>
      <c r="HH136">
        <v>3</v>
      </c>
      <c r="HI136">
        <v>145</v>
      </c>
      <c r="HJ136">
        <v>3</v>
      </c>
      <c r="HK136">
        <v>55</v>
      </c>
      <c r="HL136">
        <v>2</v>
      </c>
      <c r="HM136">
        <v>0</v>
      </c>
      <c r="HN136">
        <v>2</v>
      </c>
      <c r="HO136">
        <v>75</v>
      </c>
      <c r="HP136">
        <v>3</v>
      </c>
      <c r="HQ136">
        <v>0</v>
      </c>
      <c r="HR136">
        <v>2</v>
      </c>
      <c r="HS136">
        <v>4758</v>
      </c>
      <c r="HT136">
        <v>140</v>
      </c>
      <c r="HU136">
        <v>180</v>
      </c>
      <c r="HW136">
        <v>20</v>
      </c>
      <c r="HX136">
        <v>420</v>
      </c>
      <c r="HY136">
        <v>0.18</v>
      </c>
      <c r="IA136">
        <v>0.15</v>
      </c>
      <c r="IB136">
        <v>0</v>
      </c>
      <c r="IC136">
        <v>180</v>
      </c>
      <c r="ID136">
        <v>110</v>
      </c>
      <c r="IE136">
        <v>0</v>
      </c>
      <c r="IF136">
        <v>0</v>
      </c>
      <c r="IH136" t="s">
        <v>549</v>
      </c>
      <c r="IO136">
        <v>1</v>
      </c>
      <c r="IP136">
        <v>18</v>
      </c>
      <c r="IQ136">
        <v>0</v>
      </c>
      <c r="IR136">
        <v>1</v>
      </c>
      <c r="IV136">
        <v>1381</v>
      </c>
      <c r="IW136">
        <v>404</v>
      </c>
      <c r="JA136">
        <v>1</v>
      </c>
      <c r="JB136">
        <v>0</v>
      </c>
      <c r="JC136">
        <v>2</v>
      </c>
      <c r="JD136">
        <v>1393</v>
      </c>
      <c r="JE136">
        <v>1391</v>
      </c>
      <c r="JF136">
        <v>0</v>
      </c>
      <c r="JG136">
        <v>1375</v>
      </c>
      <c r="JH136">
        <v>0</v>
      </c>
      <c r="JJ136">
        <v>180</v>
      </c>
      <c r="JK136">
        <v>420</v>
      </c>
      <c r="JN136">
        <v>380</v>
      </c>
      <c r="JO136">
        <v>665</v>
      </c>
      <c r="JP136">
        <v>0</v>
      </c>
      <c r="JQ136">
        <v>0</v>
      </c>
      <c r="JR136">
        <v>360</v>
      </c>
      <c r="JS136">
        <v>145</v>
      </c>
      <c r="JV136">
        <v>8</v>
      </c>
      <c r="JW136" t="s">
        <v>550</v>
      </c>
      <c r="JX136">
        <v>0</v>
      </c>
      <c r="KA136">
        <v>0</v>
      </c>
      <c r="KB136">
        <v>110</v>
      </c>
      <c r="KC136">
        <v>0</v>
      </c>
      <c r="KD136">
        <v>80</v>
      </c>
      <c r="KF136">
        <v>4</v>
      </c>
      <c r="KG136">
        <v>2</v>
      </c>
      <c r="KH136">
        <v>2</v>
      </c>
      <c r="KI136">
        <v>2</v>
      </c>
      <c r="KJ136">
        <v>0</v>
      </c>
      <c r="KK136">
        <v>1.5</v>
      </c>
      <c r="KL136">
        <v>1.5</v>
      </c>
      <c r="KM136">
        <v>0</v>
      </c>
      <c r="KN136">
        <v>0</v>
      </c>
      <c r="KO136">
        <v>0</v>
      </c>
      <c r="KR136">
        <v>50</v>
      </c>
      <c r="KS136">
        <v>60</v>
      </c>
      <c r="KT136">
        <v>0</v>
      </c>
      <c r="LK136">
        <v>480</v>
      </c>
      <c r="PG136">
        <v>1</v>
      </c>
      <c r="PI136" t="s">
        <v>2146</v>
      </c>
      <c r="PJ136" t="s">
        <v>2147</v>
      </c>
      <c r="PL136" t="s">
        <v>764</v>
      </c>
      <c r="PP136" t="s">
        <v>2148</v>
      </c>
      <c r="PX136">
        <v>56</v>
      </c>
      <c r="PY136">
        <v>57</v>
      </c>
      <c r="PZ136" t="s">
        <v>2146</v>
      </c>
      <c r="QA136">
        <v>1</v>
      </c>
      <c r="QB136">
        <v>1375</v>
      </c>
      <c r="QC136">
        <v>69</v>
      </c>
      <c r="QD136">
        <v>69</v>
      </c>
      <c r="QE136" t="s">
        <v>764</v>
      </c>
      <c r="QF136">
        <v>1</v>
      </c>
      <c r="QG136">
        <v>1393</v>
      </c>
      <c r="QH136">
        <v>66</v>
      </c>
      <c r="QI136">
        <v>66</v>
      </c>
      <c r="QL136">
        <v>0</v>
      </c>
      <c r="QM136">
        <v>62</v>
      </c>
      <c r="QN136">
        <v>62</v>
      </c>
      <c r="QO136" t="s">
        <v>2147</v>
      </c>
      <c r="QP136">
        <v>1</v>
      </c>
      <c r="QQ136">
        <v>1391</v>
      </c>
      <c r="QW136">
        <v>82</v>
      </c>
      <c r="QX136">
        <v>89</v>
      </c>
      <c r="QY136" t="s">
        <v>2148</v>
      </c>
      <c r="QZ136">
        <v>1</v>
      </c>
      <c r="RA136">
        <v>66</v>
      </c>
      <c r="RB136">
        <v>66</v>
      </c>
      <c r="RE136">
        <v>0</v>
      </c>
      <c r="RF136">
        <v>1</v>
      </c>
      <c r="RJ136">
        <v>1</v>
      </c>
      <c r="RL136">
        <v>2</v>
      </c>
      <c r="RO136">
        <v>538</v>
      </c>
      <c r="RQ136">
        <v>1003</v>
      </c>
      <c r="RT136">
        <v>258</v>
      </c>
      <c r="RU136">
        <v>210</v>
      </c>
      <c r="RV136" t="s">
        <v>2150</v>
      </c>
      <c r="RW136" t="s">
        <v>679</v>
      </c>
      <c r="RX136">
        <v>15</v>
      </c>
      <c r="RY136">
        <v>4</v>
      </c>
      <c r="RZ136" t="s">
        <v>679</v>
      </c>
      <c r="SA136">
        <v>15</v>
      </c>
      <c r="SC136" t="s">
        <v>2147</v>
      </c>
      <c r="SD136">
        <v>1</v>
      </c>
      <c r="SH136">
        <v>0.995</v>
      </c>
      <c r="SI136">
        <v>0.995</v>
      </c>
      <c r="SJ136">
        <v>0.995</v>
      </c>
      <c r="SK136">
        <v>15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TB136">
        <v>0</v>
      </c>
      <c r="TC136">
        <v>0</v>
      </c>
      <c r="TD136">
        <v>7.5</v>
      </c>
      <c r="TE136" t="s">
        <v>553</v>
      </c>
      <c r="TF136" t="s">
        <v>624</v>
      </c>
      <c r="TG136" t="s">
        <v>555</v>
      </c>
      <c r="TI136" t="s">
        <v>546</v>
      </c>
      <c r="TJ136" t="s">
        <v>547</v>
      </c>
      <c r="TL136" t="s">
        <v>1888</v>
      </c>
      <c r="TM136" t="s">
        <v>513</v>
      </c>
      <c r="TN136">
        <v>0</v>
      </c>
      <c r="TO136" t="s">
        <v>557</v>
      </c>
    </row>
    <row r="137" spans="1:535">
      <c r="A137" t="s">
        <v>2151</v>
      </c>
      <c r="B137" t="s">
        <v>564</v>
      </c>
      <c r="C137" t="s">
        <v>509</v>
      </c>
      <c r="D137" t="s">
        <v>1335</v>
      </c>
      <c r="G137" t="s">
        <v>1294</v>
      </c>
      <c r="I137" t="s">
        <v>562</v>
      </c>
      <c r="J137" t="s">
        <v>563</v>
      </c>
      <c r="L137" t="s">
        <v>512</v>
      </c>
      <c r="M137" t="s">
        <v>629</v>
      </c>
      <c r="N137" t="s">
        <v>513</v>
      </c>
      <c r="O137" t="s">
        <v>565</v>
      </c>
      <c r="Q137" t="s">
        <v>2152</v>
      </c>
      <c r="R137" t="s">
        <v>567</v>
      </c>
      <c r="S137" t="s">
        <v>1795</v>
      </c>
      <c r="T137" t="s">
        <v>1796</v>
      </c>
      <c r="U137" t="s">
        <v>1482</v>
      </c>
      <c r="V137" t="s">
        <v>1483</v>
      </c>
      <c r="W137" t="s">
        <v>1797</v>
      </c>
      <c r="X137" t="s">
        <v>1880</v>
      </c>
      <c r="Y137" t="s">
        <v>524</v>
      </c>
      <c r="Z137" t="s">
        <v>2153</v>
      </c>
      <c r="AA137" t="s">
        <v>2154</v>
      </c>
      <c r="AB137" t="s">
        <v>2155</v>
      </c>
      <c r="AC137">
        <v>2</v>
      </c>
      <c r="AD137">
        <v>57</v>
      </c>
      <c r="AE137">
        <v>149</v>
      </c>
      <c r="AF137">
        <v>1.5</v>
      </c>
      <c r="AH137">
        <v>0</v>
      </c>
      <c r="AI137" t="s">
        <v>1801</v>
      </c>
      <c r="AJ137">
        <v>160</v>
      </c>
      <c r="AK137">
        <v>1</v>
      </c>
      <c r="AL137">
        <v>1.5</v>
      </c>
      <c r="AM137" t="s">
        <v>529</v>
      </c>
      <c r="AO137">
        <v>0</v>
      </c>
      <c r="AR137">
        <v>0</v>
      </c>
      <c r="AS137">
        <v>1.5</v>
      </c>
      <c r="AU137" t="s">
        <v>2156</v>
      </c>
      <c r="AW137" t="s">
        <v>2156</v>
      </c>
      <c r="AX137">
        <v>1</v>
      </c>
      <c r="AY137">
        <v>292.5</v>
      </c>
      <c r="AZ137">
        <v>1.5</v>
      </c>
      <c r="BA137" t="s">
        <v>529</v>
      </c>
      <c r="BG137">
        <v>1.5</v>
      </c>
      <c r="BJ137">
        <v>0</v>
      </c>
      <c r="BN137">
        <v>1.5</v>
      </c>
      <c r="BP137" t="s">
        <v>1772</v>
      </c>
      <c r="BQ137">
        <v>89</v>
      </c>
      <c r="BR137">
        <v>2</v>
      </c>
      <c r="BS137" t="s">
        <v>1562</v>
      </c>
      <c r="BT137">
        <v>172</v>
      </c>
      <c r="BU137">
        <v>0.5</v>
      </c>
      <c r="BV137" t="s">
        <v>1562</v>
      </c>
      <c r="BW137">
        <v>344</v>
      </c>
      <c r="BX137">
        <v>1</v>
      </c>
      <c r="BY137" t="s">
        <v>1491</v>
      </c>
      <c r="BZ137">
        <v>300</v>
      </c>
      <c r="CA137">
        <v>420</v>
      </c>
      <c r="CB137" t="s">
        <v>1492</v>
      </c>
      <c r="CC137" t="s">
        <v>1492</v>
      </c>
      <c r="CD137">
        <v>392</v>
      </c>
      <c r="CE137" t="s">
        <v>1493</v>
      </c>
      <c r="CF137">
        <v>15</v>
      </c>
      <c r="CG137" t="s">
        <v>1563</v>
      </c>
      <c r="CH137" t="s">
        <v>1563</v>
      </c>
      <c r="CI137">
        <v>60</v>
      </c>
      <c r="CJ137">
        <v>1122</v>
      </c>
      <c r="CK137">
        <v>2</v>
      </c>
      <c r="CL137">
        <v>1222</v>
      </c>
      <c r="CM137">
        <v>2</v>
      </c>
      <c r="CN137" t="s">
        <v>1495</v>
      </c>
      <c r="CO137" t="s">
        <v>1473</v>
      </c>
      <c r="CP137" t="s">
        <v>1474</v>
      </c>
      <c r="CQ137" t="s">
        <v>1496</v>
      </c>
      <c r="CR137" t="s">
        <v>541</v>
      </c>
      <c r="CS137" t="s">
        <v>542</v>
      </c>
      <c r="CT137">
        <v>320</v>
      </c>
      <c r="CU137">
        <v>5</v>
      </c>
      <c r="CV137">
        <v>1.2</v>
      </c>
      <c r="CW137">
        <v>1136</v>
      </c>
      <c r="CX137">
        <v>515</v>
      </c>
      <c r="DD137">
        <v>0</v>
      </c>
      <c r="DE137" t="s">
        <v>543</v>
      </c>
      <c r="DF137">
        <v>585</v>
      </c>
      <c r="DG137">
        <v>3</v>
      </c>
      <c r="DH137">
        <v>1.18</v>
      </c>
      <c r="DI137">
        <v>1134</v>
      </c>
      <c r="DJ137">
        <v>1015</v>
      </c>
      <c r="DW137" t="s">
        <v>544</v>
      </c>
      <c r="DX137">
        <v>7.5</v>
      </c>
      <c r="EA137">
        <v>1204.3</v>
      </c>
      <c r="EB137">
        <v>157</v>
      </c>
      <c r="EC137" t="s">
        <v>545</v>
      </c>
      <c r="ED137">
        <v>30</v>
      </c>
      <c r="EE137">
        <v>3</v>
      </c>
      <c r="EG137">
        <v>1235</v>
      </c>
      <c r="EH137">
        <v>144</v>
      </c>
      <c r="EJ137">
        <v>0</v>
      </c>
      <c r="EK137">
        <v>1</v>
      </c>
      <c r="EN137">
        <v>0</v>
      </c>
      <c r="EP137" t="s">
        <v>546</v>
      </c>
      <c r="EQ137">
        <v>80</v>
      </c>
      <c r="ER137">
        <v>3</v>
      </c>
      <c r="ES137">
        <v>5.5</v>
      </c>
      <c r="ET137">
        <v>1120</v>
      </c>
      <c r="EU137">
        <v>334</v>
      </c>
      <c r="EV137">
        <v>374</v>
      </c>
      <c r="EW137" t="s">
        <v>547</v>
      </c>
      <c r="EX137">
        <v>70</v>
      </c>
      <c r="EY137">
        <v>2</v>
      </c>
      <c r="EZ137">
        <v>4.5</v>
      </c>
      <c r="FA137">
        <v>1120</v>
      </c>
      <c r="FB137">
        <v>222.5</v>
      </c>
      <c r="FC137">
        <v>249</v>
      </c>
      <c r="FE137">
        <v>0</v>
      </c>
      <c r="FF137">
        <v>2</v>
      </c>
      <c r="FI137">
        <v>0</v>
      </c>
      <c r="FK137" t="s">
        <v>548</v>
      </c>
      <c r="FL137">
        <v>0.4</v>
      </c>
      <c r="FM137">
        <v>85</v>
      </c>
      <c r="FN137">
        <v>90</v>
      </c>
      <c r="FR137" t="s">
        <v>548</v>
      </c>
      <c r="FS137">
        <v>0.4</v>
      </c>
      <c r="FT137">
        <v>30</v>
      </c>
      <c r="FU137">
        <v>310</v>
      </c>
      <c r="HC137">
        <v>0.1</v>
      </c>
      <c r="HD137">
        <v>3</v>
      </c>
      <c r="HE137">
        <v>3</v>
      </c>
      <c r="HF137">
        <v>3</v>
      </c>
      <c r="HG137">
        <v>3</v>
      </c>
      <c r="HH137">
        <v>3</v>
      </c>
      <c r="HI137">
        <v>135</v>
      </c>
      <c r="HJ137">
        <v>3</v>
      </c>
      <c r="HK137">
        <v>55</v>
      </c>
      <c r="HL137">
        <v>2</v>
      </c>
      <c r="HM137">
        <v>0</v>
      </c>
      <c r="HN137">
        <v>2</v>
      </c>
      <c r="HO137">
        <v>65</v>
      </c>
      <c r="HP137">
        <v>3</v>
      </c>
      <c r="HQ137">
        <v>0</v>
      </c>
      <c r="HR137">
        <v>2</v>
      </c>
      <c r="HS137">
        <v>3378</v>
      </c>
      <c r="HT137">
        <v>100</v>
      </c>
      <c r="HU137">
        <v>180</v>
      </c>
      <c r="HW137">
        <v>20</v>
      </c>
      <c r="HX137">
        <v>360</v>
      </c>
      <c r="HY137">
        <v>0.18</v>
      </c>
      <c r="IA137">
        <v>0.15</v>
      </c>
      <c r="IB137">
        <v>0</v>
      </c>
      <c r="IC137">
        <v>180</v>
      </c>
      <c r="ID137">
        <v>110</v>
      </c>
      <c r="IE137">
        <v>0</v>
      </c>
      <c r="IF137">
        <v>0</v>
      </c>
      <c r="IH137" t="s">
        <v>549</v>
      </c>
      <c r="IO137">
        <v>1</v>
      </c>
      <c r="IP137">
        <v>15</v>
      </c>
      <c r="IQ137">
        <v>0</v>
      </c>
      <c r="IR137">
        <v>1</v>
      </c>
      <c r="IV137">
        <v>1122</v>
      </c>
      <c r="IW137">
        <v>344</v>
      </c>
      <c r="JA137">
        <v>1</v>
      </c>
      <c r="JB137">
        <v>0</v>
      </c>
      <c r="JC137">
        <v>2</v>
      </c>
      <c r="JD137">
        <v>1136</v>
      </c>
      <c r="JE137">
        <v>1134</v>
      </c>
      <c r="JF137">
        <v>0</v>
      </c>
      <c r="JG137">
        <v>1120</v>
      </c>
      <c r="JH137">
        <v>0</v>
      </c>
      <c r="JJ137">
        <v>180</v>
      </c>
      <c r="JK137">
        <v>360</v>
      </c>
      <c r="JN137">
        <v>320</v>
      </c>
      <c r="JO137">
        <v>585</v>
      </c>
      <c r="JP137">
        <v>0</v>
      </c>
      <c r="JQ137">
        <v>0</v>
      </c>
      <c r="JR137">
        <v>298</v>
      </c>
      <c r="JS137">
        <v>135</v>
      </c>
      <c r="JV137">
        <v>8</v>
      </c>
      <c r="JW137" t="s">
        <v>550</v>
      </c>
      <c r="JX137">
        <v>0</v>
      </c>
      <c r="KA137">
        <v>0</v>
      </c>
      <c r="KB137">
        <v>110</v>
      </c>
      <c r="KC137">
        <v>0</v>
      </c>
      <c r="KD137">
        <v>80</v>
      </c>
      <c r="KF137">
        <v>4</v>
      </c>
      <c r="KG137">
        <v>2</v>
      </c>
      <c r="KH137">
        <v>2</v>
      </c>
      <c r="KI137">
        <v>2</v>
      </c>
      <c r="KJ137">
        <v>0</v>
      </c>
      <c r="KK137">
        <v>1.5</v>
      </c>
      <c r="KL137">
        <v>1.5</v>
      </c>
      <c r="KM137">
        <v>0</v>
      </c>
      <c r="KN137">
        <v>0</v>
      </c>
      <c r="KO137">
        <v>0</v>
      </c>
      <c r="KR137">
        <v>30</v>
      </c>
      <c r="KS137">
        <v>60</v>
      </c>
      <c r="KT137">
        <v>0</v>
      </c>
      <c r="LK137">
        <v>480</v>
      </c>
      <c r="PG137">
        <v>1</v>
      </c>
      <c r="PI137" t="s">
        <v>2155</v>
      </c>
      <c r="PJ137" t="s">
        <v>2156</v>
      </c>
      <c r="PL137" t="s">
        <v>1801</v>
      </c>
      <c r="PP137" t="s">
        <v>1772</v>
      </c>
      <c r="PX137">
        <v>56</v>
      </c>
      <c r="PY137">
        <v>57</v>
      </c>
      <c r="PZ137" t="s">
        <v>2155</v>
      </c>
      <c r="QA137">
        <v>1</v>
      </c>
      <c r="QB137">
        <v>1120</v>
      </c>
      <c r="QC137">
        <v>69</v>
      </c>
      <c r="QD137">
        <v>69</v>
      </c>
      <c r="QE137" t="s">
        <v>1801</v>
      </c>
      <c r="QF137">
        <v>1</v>
      </c>
      <c r="QG137">
        <v>1136</v>
      </c>
      <c r="QH137">
        <v>66</v>
      </c>
      <c r="QI137">
        <v>66</v>
      </c>
      <c r="QL137">
        <v>0</v>
      </c>
      <c r="QM137">
        <v>62</v>
      </c>
      <c r="QN137">
        <v>62</v>
      </c>
      <c r="QO137" t="s">
        <v>2156</v>
      </c>
      <c r="QP137">
        <v>1</v>
      </c>
      <c r="QQ137">
        <v>1134</v>
      </c>
      <c r="QW137">
        <v>82</v>
      </c>
      <c r="QX137">
        <v>89</v>
      </c>
      <c r="QY137" t="s">
        <v>1772</v>
      </c>
      <c r="QZ137">
        <v>2</v>
      </c>
      <c r="RA137">
        <v>66</v>
      </c>
      <c r="RB137">
        <v>66</v>
      </c>
      <c r="RE137">
        <v>0</v>
      </c>
      <c r="RF137">
        <v>1</v>
      </c>
      <c r="RJ137">
        <v>2</v>
      </c>
      <c r="RL137">
        <v>2</v>
      </c>
      <c r="RO137">
        <v>453</v>
      </c>
      <c r="RQ137">
        <v>895</v>
      </c>
      <c r="RT137">
        <v>157</v>
      </c>
      <c r="RU137">
        <v>144</v>
      </c>
      <c r="RV137" t="s">
        <v>1564</v>
      </c>
      <c r="RW137" t="s">
        <v>1498</v>
      </c>
      <c r="RX137">
        <v>15</v>
      </c>
      <c r="RY137">
        <v>4</v>
      </c>
      <c r="RZ137" t="s">
        <v>1498</v>
      </c>
      <c r="SA137">
        <v>15</v>
      </c>
      <c r="SC137" t="s">
        <v>2156</v>
      </c>
      <c r="SD137">
        <v>1</v>
      </c>
      <c r="SH137">
        <v>0.995</v>
      </c>
      <c r="SI137">
        <v>0.995</v>
      </c>
      <c r="SJ137">
        <v>0.995</v>
      </c>
      <c r="SK137">
        <v>15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TB137">
        <v>0</v>
      </c>
      <c r="TC137">
        <v>0</v>
      </c>
      <c r="TD137">
        <v>7.5</v>
      </c>
      <c r="TE137" t="s">
        <v>553</v>
      </c>
      <c r="TF137" t="s">
        <v>754</v>
      </c>
      <c r="TG137" t="s">
        <v>555</v>
      </c>
      <c r="TI137" t="s">
        <v>546</v>
      </c>
      <c r="TJ137" t="s">
        <v>547</v>
      </c>
      <c r="TL137" t="s">
        <v>1888</v>
      </c>
      <c r="TM137" t="s">
        <v>513</v>
      </c>
      <c r="TN137">
        <v>0</v>
      </c>
      <c r="TO137" t="s">
        <v>557</v>
      </c>
    </row>
    <row r="138" spans="1:535">
      <c r="A138" t="s">
        <v>2157</v>
      </c>
      <c r="B138" t="s">
        <v>711</v>
      </c>
      <c r="C138" t="s">
        <v>509</v>
      </c>
      <c r="D138" t="s">
        <v>2158</v>
      </c>
      <c r="G138" t="s">
        <v>1294</v>
      </c>
      <c r="I138" t="s">
        <v>562</v>
      </c>
      <c r="J138" t="s">
        <v>563</v>
      </c>
      <c r="L138" t="s">
        <v>512</v>
      </c>
      <c r="M138" t="s">
        <v>804</v>
      </c>
      <c r="N138" t="s">
        <v>513</v>
      </c>
      <c r="O138" t="s">
        <v>565</v>
      </c>
      <c r="Q138" t="s">
        <v>2159</v>
      </c>
      <c r="R138" t="s">
        <v>567</v>
      </c>
      <c r="S138" t="s">
        <v>1853</v>
      </c>
      <c r="T138" t="s">
        <v>820</v>
      </c>
      <c r="U138" t="s">
        <v>520</v>
      </c>
      <c r="V138" t="s">
        <v>521</v>
      </c>
      <c r="W138" t="s">
        <v>1835</v>
      </c>
      <c r="X138" t="s">
        <v>1880</v>
      </c>
      <c r="Y138" t="s">
        <v>524</v>
      </c>
      <c r="Z138" t="s">
        <v>2160</v>
      </c>
      <c r="AA138" t="s">
        <v>2161</v>
      </c>
      <c r="AB138" t="s">
        <v>2162</v>
      </c>
      <c r="AC138">
        <v>2</v>
      </c>
      <c r="AD138">
        <v>57</v>
      </c>
      <c r="AE138">
        <v>186</v>
      </c>
      <c r="AF138">
        <v>1.5</v>
      </c>
      <c r="AH138">
        <v>0</v>
      </c>
      <c r="AI138" t="s">
        <v>1331</v>
      </c>
      <c r="AJ138">
        <v>197.5</v>
      </c>
      <c r="AK138">
        <v>1</v>
      </c>
      <c r="AL138">
        <v>1.5</v>
      </c>
      <c r="AM138" t="s">
        <v>529</v>
      </c>
      <c r="AO138">
        <v>0</v>
      </c>
      <c r="AR138">
        <v>0</v>
      </c>
      <c r="AS138">
        <v>1.5</v>
      </c>
      <c r="AU138" t="s">
        <v>826</v>
      </c>
      <c r="AW138" t="s">
        <v>826</v>
      </c>
      <c r="AX138">
        <v>1</v>
      </c>
      <c r="AY138">
        <v>280</v>
      </c>
      <c r="AZ138">
        <v>1.5</v>
      </c>
      <c r="BA138" t="s">
        <v>529</v>
      </c>
      <c r="BB138" t="s">
        <v>827</v>
      </c>
      <c r="BD138" t="s">
        <v>827</v>
      </c>
      <c r="BE138">
        <v>1</v>
      </c>
      <c r="BF138">
        <v>232.5</v>
      </c>
      <c r="BG138">
        <v>1.5</v>
      </c>
      <c r="BJ138">
        <v>0</v>
      </c>
      <c r="BN138">
        <v>1.5</v>
      </c>
      <c r="BP138" t="s">
        <v>2163</v>
      </c>
      <c r="BQ138">
        <v>89</v>
      </c>
      <c r="BR138">
        <v>2</v>
      </c>
      <c r="BS138" t="s">
        <v>619</v>
      </c>
      <c r="BT138">
        <v>209</v>
      </c>
      <c r="BU138">
        <v>0.5</v>
      </c>
      <c r="BV138" t="s">
        <v>619</v>
      </c>
      <c r="BW138">
        <v>418</v>
      </c>
      <c r="BX138">
        <v>1</v>
      </c>
      <c r="BY138" t="s">
        <v>533</v>
      </c>
      <c r="BZ138">
        <v>300</v>
      </c>
      <c r="CA138">
        <v>500</v>
      </c>
      <c r="CB138" t="s">
        <v>534</v>
      </c>
      <c r="CC138" t="s">
        <v>534</v>
      </c>
      <c r="CD138">
        <v>430</v>
      </c>
      <c r="CE138" t="s">
        <v>535</v>
      </c>
      <c r="CF138">
        <v>15</v>
      </c>
      <c r="CG138" t="s">
        <v>1840</v>
      </c>
      <c r="CH138" t="s">
        <v>1840</v>
      </c>
      <c r="CI138">
        <v>100</v>
      </c>
      <c r="CJ138">
        <v>1200</v>
      </c>
      <c r="CK138">
        <v>2</v>
      </c>
      <c r="CL138">
        <v>1301</v>
      </c>
      <c r="CM138">
        <v>2</v>
      </c>
      <c r="CN138" t="s">
        <v>537</v>
      </c>
      <c r="CO138" t="s">
        <v>538</v>
      </c>
      <c r="CP138" t="s">
        <v>539</v>
      </c>
      <c r="CQ138" t="s">
        <v>621</v>
      </c>
      <c r="CR138" t="s">
        <v>541</v>
      </c>
      <c r="CS138" t="s">
        <v>542</v>
      </c>
      <c r="CT138">
        <v>395</v>
      </c>
      <c r="CU138">
        <v>5</v>
      </c>
      <c r="CV138">
        <v>1.2</v>
      </c>
      <c r="CW138">
        <v>1213</v>
      </c>
      <c r="CX138">
        <v>678</v>
      </c>
      <c r="DD138">
        <v>0</v>
      </c>
      <c r="DE138" t="s">
        <v>622</v>
      </c>
      <c r="DF138">
        <v>560</v>
      </c>
      <c r="DG138">
        <v>3</v>
      </c>
      <c r="DH138">
        <v>0.88</v>
      </c>
      <c r="DI138">
        <v>1210</v>
      </c>
      <c r="DJ138">
        <v>780</v>
      </c>
      <c r="DK138" t="s">
        <v>622</v>
      </c>
      <c r="DL138">
        <v>465</v>
      </c>
      <c r="DM138">
        <v>3</v>
      </c>
      <c r="DN138">
        <v>0.88</v>
      </c>
      <c r="DO138">
        <v>1216</v>
      </c>
      <c r="DP138">
        <v>621</v>
      </c>
      <c r="DW138" t="s">
        <v>544</v>
      </c>
      <c r="DX138">
        <v>7.5</v>
      </c>
      <c r="EA138">
        <v>1285.7</v>
      </c>
      <c r="EB138">
        <v>228</v>
      </c>
      <c r="EC138" t="s">
        <v>545</v>
      </c>
      <c r="ED138">
        <v>30</v>
      </c>
      <c r="EE138">
        <v>3</v>
      </c>
      <c r="EG138">
        <v>1327</v>
      </c>
      <c r="EH138">
        <v>157</v>
      </c>
      <c r="EJ138">
        <v>0</v>
      </c>
      <c r="EK138">
        <v>1</v>
      </c>
      <c r="EN138">
        <v>0</v>
      </c>
      <c r="EP138" t="s">
        <v>546</v>
      </c>
      <c r="EQ138">
        <v>120</v>
      </c>
      <c r="ER138">
        <v>3</v>
      </c>
      <c r="ES138">
        <v>5.5</v>
      </c>
      <c r="ET138">
        <v>1198</v>
      </c>
      <c r="EU138">
        <v>511.5</v>
      </c>
      <c r="EV138">
        <v>613</v>
      </c>
      <c r="EW138" t="s">
        <v>547</v>
      </c>
      <c r="EX138">
        <v>70</v>
      </c>
      <c r="EY138">
        <v>2</v>
      </c>
      <c r="EZ138">
        <v>4.5</v>
      </c>
      <c r="FA138">
        <v>1198</v>
      </c>
      <c r="FB138">
        <v>228.7</v>
      </c>
      <c r="FC138">
        <v>274</v>
      </c>
      <c r="FE138">
        <v>0</v>
      </c>
      <c r="FF138">
        <v>2</v>
      </c>
      <c r="FI138">
        <v>0</v>
      </c>
      <c r="FK138" t="s">
        <v>548</v>
      </c>
      <c r="FL138">
        <v>0.4</v>
      </c>
      <c r="FM138">
        <v>105</v>
      </c>
      <c r="FN138">
        <v>110</v>
      </c>
      <c r="GR138" t="s">
        <v>548</v>
      </c>
      <c r="GS138">
        <v>0.4</v>
      </c>
      <c r="GT138">
        <v>30</v>
      </c>
      <c r="GU138">
        <v>380</v>
      </c>
      <c r="GV138">
        <v>30</v>
      </c>
      <c r="GW138">
        <v>240</v>
      </c>
      <c r="HC138">
        <v>0.1</v>
      </c>
      <c r="HD138">
        <v>3</v>
      </c>
      <c r="HE138">
        <v>3</v>
      </c>
      <c r="HF138">
        <v>3</v>
      </c>
      <c r="HG138">
        <v>3</v>
      </c>
      <c r="HH138">
        <v>3</v>
      </c>
      <c r="HI138">
        <v>175</v>
      </c>
      <c r="HJ138">
        <v>3</v>
      </c>
      <c r="HK138">
        <v>55</v>
      </c>
      <c r="HL138">
        <v>2</v>
      </c>
      <c r="HM138">
        <v>0</v>
      </c>
      <c r="HN138">
        <v>2</v>
      </c>
      <c r="HO138">
        <v>105</v>
      </c>
      <c r="HP138">
        <v>3</v>
      </c>
      <c r="HQ138">
        <v>0</v>
      </c>
      <c r="HR138">
        <v>2</v>
      </c>
      <c r="HS138">
        <v>4623</v>
      </c>
      <c r="HT138">
        <v>140</v>
      </c>
      <c r="HU138">
        <v>180</v>
      </c>
      <c r="HW138">
        <v>0</v>
      </c>
      <c r="HX138">
        <v>435</v>
      </c>
      <c r="HY138">
        <v>0.18</v>
      </c>
      <c r="IA138">
        <v>0.15</v>
      </c>
      <c r="IB138">
        <v>0</v>
      </c>
      <c r="IC138">
        <v>180</v>
      </c>
      <c r="ID138">
        <v>110</v>
      </c>
      <c r="IE138">
        <v>225</v>
      </c>
      <c r="IF138">
        <v>0</v>
      </c>
      <c r="IH138" t="s">
        <v>549</v>
      </c>
      <c r="IO138">
        <v>3</v>
      </c>
      <c r="IP138">
        <v>16</v>
      </c>
      <c r="IQ138">
        <v>0</v>
      </c>
      <c r="IR138">
        <v>1</v>
      </c>
      <c r="IV138">
        <v>1200</v>
      </c>
      <c r="IW138">
        <v>418</v>
      </c>
      <c r="JA138">
        <v>1</v>
      </c>
      <c r="JB138">
        <v>0</v>
      </c>
      <c r="JC138">
        <v>2</v>
      </c>
      <c r="JD138">
        <v>1213</v>
      </c>
      <c r="JE138">
        <v>1210</v>
      </c>
      <c r="JF138">
        <v>1216</v>
      </c>
      <c r="JG138">
        <v>1198</v>
      </c>
      <c r="JH138">
        <v>0</v>
      </c>
      <c r="JJ138">
        <v>180</v>
      </c>
      <c r="JK138">
        <v>435</v>
      </c>
      <c r="JN138">
        <v>395</v>
      </c>
      <c r="JO138">
        <v>560</v>
      </c>
      <c r="JP138">
        <v>465</v>
      </c>
      <c r="JQ138">
        <v>0</v>
      </c>
      <c r="JR138">
        <v>372</v>
      </c>
      <c r="JS138">
        <v>175</v>
      </c>
      <c r="JV138">
        <v>8</v>
      </c>
      <c r="JW138" t="s">
        <v>550</v>
      </c>
      <c r="JX138">
        <v>0</v>
      </c>
      <c r="KA138">
        <v>225</v>
      </c>
      <c r="KB138">
        <v>110</v>
      </c>
      <c r="KC138">
        <v>0</v>
      </c>
      <c r="KD138">
        <v>80</v>
      </c>
      <c r="KF138">
        <v>4</v>
      </c>
      <c r="KG138">
        <v>2</v>
      </c>
      <c r="KH138">
        <v>2</v>
      </c>
      <c r="KI138">
        <v>2</v>
      </c>
      <c r="KJ138">
        <v>0</v>
      </c>
      <c r="KK138">
        <v>1.5</v>
      </c>
      <c r="KL138">
        <v>1.5</v>
      </c>
      <c r="KM138">
        <v>0</v>
      </c>
      <c r="KN138">
        <v>0</v>
      </c>
      <c r="KO138">
        <v>0</v>
      </c>
      <c r="KR138">
        <v>30</v>
      </c>
      <c r="KS138">
        <v>50</v>
      </c>
      <c r="KT138">
        <v>0</v>
      </c>
      <c r="LK138">
        <v>480</v>
      </c>
      <c r="PG138">
        <v>1</v>
      </c>
      <c r="PI138" t="s">
        <v>2162</v>
      </c>
      <c r="PJ138" t="s">
        <v>826</v>
      </c>
      <c r="PK138" t="s">
        <v>827</v>
      </c>
      <c r="PL138" t="s">
        <v>1331</v>
      </c>
      <c r="PP138" t="s">
        <v>2163</v>
      </c>
      <c r="PX138">
        <v>56</v>
      </c>
      <c r="PY138">
        <v>57</v>
      </c>
      <c r="PZ138" t="s">
        <v>2162</v>
      </c>
      <c r="QA138">
        <v>2</v>
      </c>
      <c r="QB138">
        <v>1198</v>
      </c>
      <c r="QC138">
        <v>69</v>
      </c>
      <c r="QD138">
        <v>69</v>
      </c>
      <c r="QE138" t="s">
        <v>1331</v>
      </c>
      <c r="QF138">
        <v>1</v>
      </c>
      <c r="QG138">
        <v>1213</v>
      </c>
      <c r="QH138">
        <v>66</v>
      </c>
      <c r="QI138">
        <v>66</v>
      </c>
      <c r="QL138">
        <v>0</v>
      </c>
      <c r="QM138">
        <v>62</v>
      </c>
      <c r="QN138">
        <v>62</v>
      </c>
      <c r="QO138" t="s">
        <v>826</v>
      </c>
      <c r="QP138">
        <v>1</v>
      </c>
      <c r="QQ138">
        <v>1210</v>
      </c>
      <c r="QR138">
        <v>62</v>
      </c>
      <c r="QS138">
        <v>62</v>
      </c>
      <c r="QT138" t="s">
        <v>827</v>
      </c>
      <c r="QU138">
        <v>1</v>
      </c>
      <c r="QV138">
        <v>1216</v>
      </c>
      <c r="QW138">
        <v>82</v>
      </c>
      <c r="QX138">
        <v>89</v>
      </c>
      <c r="QY138" t="s">
        <v>2163</v>
      </c>
      <c r="QZ138">
        <v>1</v>
      </c>
      <c r="RA138">
        <v>66</v>
      </c>
      <c r="RB138">
        <v>66</v>
      </c>
      <c r="RE138">
        <v>0</v>
      </c>
      <c r="RF138">
        <v>1</v>
      </c>
      <c r="RH138">
        <v>1</v>
      </c>
      <c r="RJ138">
        <v>1</v>
      </c>
      <c r="RL138">
        <v>4</v>
      </c>
      <c r="RM138">
        <v>4</v>
      </c>
      <c r="RO138">
        <v>559</v>
      </c>
      <c r="RQ138">
        <v>645</v>
      </c>
      <c r="RR138">
        <v>511</v>
      </c>
      <c r="RT138">
        <v>228</v>
      </c>
      <c r="RU138">
        <v>157</v>
      </c>
      <c r="RV138" t="s">
        <v>623</v>
      </c>
      <c r="RW138" t="s">
        <v>552</v>
      </c>
      <c r="RX138">
        <v>15</v>
      </c>
      <c r="RY138">
        <v>4</v>
      </c>
      <c r="RZ138" t="s">
        <v>552</v>
      </c>
      <c r="SA138">
        <v>15</v>
      </c>
      <c r="SC138" t="s">
        <v>826</v>
      </c>
      <c r="SD138">
        <v>1</v>
      </c>
      <c r="SF138" t="s">
        <v>827</v>
      </c>
      <c r="SG138">
        <v>1</v>
      </c>
      <c r="SH138">
        <v>0.995</v>
      </c>
      <c r="SI138">
        <v>0.995</v>
      </c>
      <c r="SJ138">
        <v>0.995</v>
      </c>
      <c r="SK138">
        <v>15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Z138">
        <v>1</v>
      </c>
      <c r="TB138">
        <v>0</v>
      </c>
      <c r="TC138">
        <v>0</v>
      </c>
      <c r="TD138">
        <v>7.5</v>
      </c>
      <c r="TE138" t="s">
        <v>553</v>
      </c>
      <c r="TF138" t="s">
        <v>624</v>
      </c>
      <c r="TG138" t="s">
        <v>555</v>
      </c>
      <c r="TI138" t="s">
        <v>546</v>
      </c>
      <c r="TJ138" t="s">
        <v>547</v>
      </c>
      <c r="TL138" t="s">
        <v>1888</v>
      </c>
      <c r="TM138" t="s">
        <v>513</v>
      </c>
      <c r="TN138">
        <v>0</v>
      </c>
      <c r="TO138" t="s">
        <v>557</v>
      </c>
    </row>
    <row r="139" spans="1:535">
      <c r="A139" t="s">
        <v>2164</v>
      </c>
      <c r="B139" t="s">
        <v>711</v>
      </c>
      <c r="C139" t="s">
        <v>509</v>
      </c>
      <c r="D139" t="s">
        <v>974</v>
      </c>
      <c r="G139" t="s">
        <v>1115</v>
      </c>
      <c r="I139" t="s">
        <v>562</v>
      </c>
      <c r="J139" t="s">
        <v>563</v>
      </c>
      <c r="L139" t="s">
        <v>512</v>
      </c>
      <c r="M139" t="s">
        <v>804</v>
      </c>
      <c r="N139" t="s">
        <v>513</v>
      </c>
      <c r="O139" t="s">
        <v>565</v>
      </c>
      <c r="Q139" t="s">
        <v>2165</v>
      </c>
      <c r="R139" t="s">
        <v>567</v>
      </c>
      <c r="S139" t="s">
        <v>1126</v>
      </c>
      <c r="T139" t="s">
        <v>1127</v>
      </c>
      <c r="U139" t="s">
        <v>633</v>
      </c>
      <c r="V139" t="s">
        <v>634</v>
      </c>
      <c r="W139" t="s">
        <v>1923</v>
      </c>
      <c r="X139" t="s">
        <v>1880</v>
      </c>
      <c r="Y139" t="s">
        <v>524</v>
      </c>
      <c r="Z139" t="s">
        <v>2166</v>
      </c>
      <c r="AA139" t="s">
        <v>2167</v>
      </c>
      <c r="AB139" t="s">
        <v>2168</v>
      </c>
      <c r="AC139">
        <v>2</v>
      </c>
      <c r="AD139">
        <v>57</v>
      </c>
      <c r="AE139">
        <v>181</v>
      </c>
      <c r="AF139">
        <v>1.5</v>
      </c>
      <c r="AH139">
        <v>0</v>
      </c>
      <c r="AI139" t="s">
        <v>969</v>
      </c>
      <c r="AJ139">
        <v>192.5</v>
      </c>
      <c r="AK139">
        <v>1</v>
      </c>
      <c r="AL139">
        <v>1.5</v>
      </c>
      <c r="AM139" t="s">
        <v>529</v>
      </c>
      <c r="AO139">
        <v>0</v>
      </c>
      <c r="AR139">
        <v>0</v>
      </c>
      <c r="AS139">
        <v>1.5</v>
      </c>
      <c r="AU139" t="s">
        <v>2169</v>
      </c>
      <c r="AW139" t="s">
        <v>2169</v>
      </c>
      <c r="AX139">
        <v>1</v>
      </c>
      <c r="AY139">
        <v>335</v>
      </c>
      <c r="AZ139">
        <v>1.5</v>
      </c>
      <c r="BA139" t="s">
        <v>529</v>
      </c>
      <c r="BG139">
        <v>1.5</v>
      </c>
      <c r="BJ139">
        <v>0</v>
      </c>
      <c r="BN139">
        <v>1.5</v>
      </c>
      <c r="BP139" t="s">
        <v>1132</v>
      </c>
      <c r="BQ139">
        <v>89</v>
      </c>
      <c r="BR139">
        <v>2</v>
      </c>
      <c r="BS139" t="s">
        <v>947</v>
      </c>
      <c r="BT139">
        <v>203</v>
      </c>
      <c r="BU139">
        <v>0.5</v>
      </c>
      <c r="BV139" t="s">
        <v>947</v>
      </c>
      <c r="BW139">
        <v>406</v>
      </c>
      <c r="BX139">
        <v>1</v>
      </c>
      <c r="BY139" t="s">
        <v>643</v>
      </c>
      <c r="BZ139">
        <v>300</v>
      </c>
      <c r="CA139">
        <v>460</v>
      </c>
      <c r="CB139" t="s">
        <v>644</v>
      </c>
      <c r="CC139" t="s">
        <v>644</v>
      </c>
      <c r="CD139">
        <v>416</v>
      </c>
      <c r="CE139" t="s">
        <v>544</v>
      </c>
      <c r="CF139">
        <v>15</v>
      </c>
      <c r="CG139" t="s">
        <v>645</v>
      </c>
      <c r="CH139" t="s">
        <v>645</v>
      </c>
      <c r="CI139">
        <v>80</v>
      </c>
      <c r="CJ139">
        <v>1301</v>
      </c>
      <c r="CK139">
        <v>2</v>
      </c>
      <c r="CL139">
        <v>1395</v>
      </c>
      <c r="CM139">
        <v>2</v>
      </c>
      <c r="CN139" t="s">
        <v>646</v>
      </c>
      <c r="CO139" t="s">
        <v>647</v>
      </c>
      <c r="CP139" t="s">
        <v>648</v>
      </c>
      <c r="CQ139" t="s">
        <v>1496</v>
      </c>
      <c r="CR139" t="s">
        <v>541</v>
      </c>
      <c r="CS139" t="s">
        <v>542</v>
      </c>
      <c r="CT139">
        <v>385</v>
      </c>
      <c r="CU139">
        <v>5</v>
      </c>
      <c r="CV139">
        <v>1.2</v>
      </c>
      <c r="CW139">
        <v>1314</v>
      </c>
      <c r="CX139">
        <v>716</v>
      </c>
      <c r="DD139">
        <v>0</v>
      </c>
      <c r="DE139" t="s">
        <v>543</v>
      </c>
      <c r="DF139">
        <v>670</v>
      </c>
      <c r="DG139">
        <v>3</v>
      </c>
      <c r="DH139">
        <v>1.18</v>
      </c>
      <c r="DI139">
        <v>1312</v>
      </c>
      <c r="DJ139">
        <v>1307</v>
      </c>
      <c r="DW139" t="s">
        <v>544</v>
      </c>
      <c r="DX139">
        <v>7.5</v>
      </c>
      <c r="EA139">
        <v>1381.4</v>
      </c>
      <c r="EB139">
        <v>245</v>
      </c>
      <c r="EC139" t="s">
        <v>545</v>
      </c>
      <c r="ED139">
        <v>35</v>
      </c>
      <c r="EE139">
        <v>3</v>
      </c>
      <c r="EG139">
        <v>1422</v>
      </c>
      <c r="EH139">
        <v>199</v>
      </c>
      <c r="EJ139">
        <v>0</v>
      </c>
      <c r="EK139">
        <v>1</v>
      </c>
      <c r="EN139">
        <v>0</v>
      </c>
      <c r="EP139" t="s">
        <v>546</v>
      </c>
      <c r="EQ139">
        <v>95</v>
      </c>
      <c r="ER139">
        <v>3</v>
      </c>
      <c r="ES139">
        <v>5</v>
      </c>
      <c r="ET139">
        <v>1295</v>
      </c>
      <c r="EU139">
        <v>368.9</v>
      </c>
      <c r="EV139">
        <v>478</v>
      </c>
      <c r="EW139" t="s">
        <v>547</v>
      </c>
      <c r="EX139">
        <v>70</v>
      </c>
      <c r="EY139">
        <v>2</v>
      </c>
      <c r="EZ139">
        <v>4.3</v>
      </c>
      <c r="FA139">
        <v>1295</v>
      </c>
      <c r="FB139">
        <v>215.7</v>
      </c>
      <c r="FC139">
        <v>279</v>
      </c>
      <c r="FE139">
        <v>0</v>
      </c>
      <c r="FF139">
        <v>2</v>
      </c>
      <c r="FI139">
        <v>0</v>
      </c>
      <c r="FK139" t="s">
        <v>548</v>
      </c>
      <c r="FL139">
        <v>0.4</v>
      </c>
      <c r="FM139">
        <v>70</v>
      </c>
      <c r="FN139">
        <v>140</v>
      </c>
      <c r="FR139" t="s">
        <v>548</v>
      </c>
      <c r="FS139">
        <v>0.4</v>
      </c>
      <c r="FT139">
        <v>30</v>
      </c>
      <c r="FU139">
        <v>370</v>
      </c>
      <c r="HC139">
        <v>0.1</v>
      </c>
      <c r="HD139">
        <v>3</v>
      </c>
      <c r="HE139">
        <v>3</v>
      </c>
      <c r="HF139">
        <v>3</v>
      </c>
      <c r="HG139">
        <v>3</v>
      </c>
      <c r="HH139">
        <v>3</v>
      </c>
      <c r="HI139">
        <v>150</v>
      </c>
      <c r="HJ139">
        <v>3</v>
      </c>
      <c r="HK139">
        <v>55</v>
      </c>
      <c r="HL139">
        <v>2</v>
      </c>
      <c r="HM139">
        <v>0</v>
      </c>
      <c r="HN139">
        <v>2</v>
      </c>
      <c r="HO139">
        <v>80</v>
      </c>
      <c r="HP139">
        <v>3</v>
      </c>
      <c r="HQ139">
        <v>0</v>
      </c>
      <c r="HR139">
        <v>2</v>
      </c>
      <c r="HS139">
        <v>4425</v>
      </c>
      <c r="HT139">
        <v>130</v>
      </c>
      <c r="HU139">
        <v>180</v>
      </c>
      <c r="HW139">
        <v>20</v>
      </c>
      <c r="HX139">
        <v>490</v>
      </c>
      <c r="HY139">
        <v>0.18</v>
      </c>
      <c r="IA139">
        <v>0.15</v>
      </c>
      <c r="IB139">
        <v>0</v>
      </c>
      <c r="IC139">
        <v>180</v>
      </c>
      <c r="ID139">
        <v>110</v>
      </c>
      <c r="IE139">
        <v>0</v>
      </c>
      <c r="IF139">
        <v>0</v>
      </c>
      <c r="IH139" t="s">
        <v>549</v>
      </c>
      <c r="IO139">
        <v>1</v>
      </c>
      <c r="IP139">
        <v>17</v>
      </c>
      <c r="IQ139">
        <v>0</v>
      </c>
      <c r="IR139">
        <v>1</v>
      </c>
      <c r="IV139">
        <v>1301</v>
      </c>
      <c r="IW139">
        <v>406</v>
      </c>
      <c r="JA139">
        <v>1</v>
      </c>
      <c r="JB139">
        <v>0</v>
      </c>
      <c r="JC139">
        <v>2</v>
      </c>
      <c r="JD139">
        <v>1314</v>
      </c>
      <c r="JE139">
        <v>1312</v>
      </c>
      <c r="JF139">
        <v>0</v>
      </c>
      <c r="JG139">
        <v>1295</v>
      </c>
      <c r="JH139">
        <v>0</v>
      </c>
      <c r="JJ139">
        <v>180</v>
      </c>
      <c r="JK139">
        <v>490</v>
      </c>
      <c r="JN139">
        <v>385</v>
      </c>
      <c r="JO139">
        <v>670</v>
      </c>
      <c r="JP139">
        <v>0</v>
      </c>
      <c r="JQ139">
        <v>0</v>
      </c>
      <c r="JR139">
        <v>362</v>
      </c>
      <c r="JS139">
        <v>150</v>
      </c>
      <c r="JV139">
        <v>8</v>
      </c>
      <c r="JW139" t="s">
        <v>550</v>
      </c>
      <c r="JX139">
        <v>0</v>
      </c>
      <c r="KA139">
        <v>0</v>
      </c>
      <c r="KB139">
        <v>110</v>
      </c>
      <c r="KC139">
        <v>0</v>
      </c>
      <c r="KD139">
        <v>80</v>
      </c>
      <c r="KF139">
        <v>4</v>
      </c>
      <c r="KG139">
        <v>2.5</v>
      </c>
      <c r="KH139">
        <v>2</v>
      </c>
      <c r="KI139">
        <v>2</v>
      </c>
      <c r="KJ139">
        <v>0</v>
      </c>
      <c r="KK139">
        <v>1.5</v>
      </c>
      <c r="KL139">
        <v>1.5</v>
      </c>
      <c r="KM139">
        <v>0</v>
      </c>
      <c r="KN139">
        <v>0</v>
      </c>
      <c r="KO139">
        <v>0</v>
      </c>
      <c r="KR139">
        <v>50</v>
      </c>
      <c r="KS139">
        <v>60</v>
      </c>
      <c r="KT139">
        <v>0</v>
      </c>
      <c r="LK139">
        <v>480</v>
      </c>
      <c r="PG139">
        <v>1</v>
      </c>
      <c r="PI139" t="s">
        <v>2168</v>
      </c>
      <c r="PJ139" t="s">
        <v>2169</v>
      </c>
      <c r="PL139" t="s">
        <v>969</v>
      </c>
      <c r="PP139" t="s">
        <v>1132</v>
      </c>
      <c r="PX139">
        <v>56</v>
      </c>
      <c r="PY139">
        <v>57</v>
      </c>
      <c r="PZ139" t="s">
        <v>2168</v>
      </c>
      <c r="QA139">
        <v>1</v>
      </c>
      <c r="QB139">
        <v>1295</v>
      </c>
      <c r="QC139">
        <v>69</v>
      </c>
      <c r="QD139">
        <v>69</v>
      </c>
      <c r="QE139" t="s">
        <v>969</v>
      </c>
      <c r="QF139">
        <v>1</v>
      </c>
      <c r="QG139">
        <v>1314</v>
      </c>
      <c r="QH139">
        <v>66</v>
      </c>
      <c r="QI139">
        <v>66</v>
      </c>
      <c r="QL139">
        <v>0</v>
      </c>
      <c r="QM139">
        <v>62</v>
      </c>
      <c r="QN139">
        <v>62</v>
      </c>
      <c r="QO139" t="s">
        <v>2169</v>
      </c>
      <c r="QP139">
        <v>1</v>
      </c>
      <c r="QQ139">
        <v>1312</v>
      </c>
      <c r="QW139">
        <v>82</v>
      </c>
      <c r="QX139">
        <v>89</v>
      </c>
      <c r="QY139" t="s">
        <v>1132</v>
      </c>
      <c r="QZ139">
        <v>1</v>
      </c>
      <c r="RA139">
        <v>66</v>
      </c>
      <c r="RB139">
        <v>66</v>
      </c>
      <c r="RE139">
        <v>0</v>
      </c>
      <c r="RF139">
        <v>1</v>
      </c>
      <c r="RJ139">
        <v>1</v>
      </c>
      <c r="RL139">
        <v>2</v>
      </c>
      <c r="RO139">
        <v>545</v>
      </c>
      <c r="RQ139">
        <v>996</v>
      </c>
      <c r="RT139">
        <v>245</v>
      </c>
      <c r="RU139">
        <v>199</v>
      </c>
      <c r="RV139" t="s">
        <v>949</v>
      </c>
      <c r="RW139" t="s">
        <v>653</v>
      </c>
      <c r="RX139">
        <v>15</v>
      </c>
      <c r="RY139">
        <v>4</v>
      </c>
      <c r="RZ139" t="s">
        <v>653</v>
      </c>
      <c r="SA139">
        <v>15</v>
      </c>
      <c r="SC139" t="s">
        <v>2169</v>
      </c>
      <c r="SD139">
        <v>1</v>
      </c>
      <c r="SH139">
        <v>0.995</v>
      </c>
      <c r="SI139">
        <v>0.995</v>
      </c>
      <c r="SJ139">
        <v>0.995</v>
      </c>
      <c r="SK139">
        <v>15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TB139">
        <v>0</v>
      </c>
      <c r="TC139">
        <v>0</v>
      </c>
      <c r="TD139">
        <v>7.5</v>
      </c>
      <c r="TE139" t="s">
        <v>553</v>
      </c>
      <c r="TF139" t="s">
        <v>624</v>
      </c>
      <c r="TG139" t="s">
        <v>555</v>
      </c>
      <c r="TI139" t="s">
        <v>546</v>
      </c>
      <c r="TJ139" t="s">
        <v>547</v>
      </c>
      <c r="TL139" t="s">
        <v>1888</v>
      </c>
      <c r="TM139" t="s">
        <v>513</v>
      </c>
      <c r="TN139">
        <v>0</v>
      </c>
      <c r="TO139" t="s">
        <v>557</v>
      </c>
    </row>
    <row r="140" spans="1:535">
      <c r="A140" t="s">
        <v>2170</v>
      </c>
      <c r="B140" t="s">
        <v>804</v>
      </c>
      <c r="C140" t="s">
        <v>509</v>
      </c>
      <c r="D140" t="s">
        <v>2142</v>
      </c>
      <c r="G140" t="s">
        <v>1135</v>
      </c>
      <c r="I140" t="s">
        <v>562</v>
      </c>
      <c r="J140" t="s">
        <v>563</v>
      </c>
      <c r="L140" t="s">
        <v>512</v>
      </c>
      <c r="M140" t="s">
        <v>508</v>
      </c>
      <c r="N140" t="s">
        <v>513</v>
      </c>
      <c r="O140" t="s">
        <v>1255</v>
      </c>
      <c r="P140" t="s">
        <v>515</v>
      </c>
      <c r="Q140" t="s">
        <v>2171</v>
      </c>
      <c r="R140" t="s">
        <v>567</v>
      </c>
      <c r="S140" t="s">
        <v>953</v>
      </c>
      <c r="T140" t="s">
        <v>954</v>
      </c>
      <c r="U140" t="s">
        <v>662</v>
      </c>
      <c r="V140" t="s">
        <v>663</v>
      </c>
      <c r="W140" t="s">
        <v>2172</v>
      </c>
      <c r="X140" t="s">
        <v>1880</v>
      </c>
      <c r="Y140" t="s">
        <v>524</v>
      </c>
      <c r="Z140" t="s">
        <v>2173</v>
      </c>
      <c r="AA140" t="s">
        <v>2174</v>
      </c>
      <c r="AB140" t="s">
        <v>2175</v>
      </c>
      <c r="AC140">
        <v>2</v>
      </c>
      <c r="AD140">
        <v>57</v>
      </c>
      <c r="AE140">
        <v>194</v>
      </c>
      <c r="AF140">
        <v>1.5</v>
      </c>
      <c r="AH140">
        <v>0</v>
      </c>
      <c r="AI140" t="s">
        <v>812</v>
      </c>
      <c r="AJ140">
        <v>205</v>
      </c>
      <c r="AK140">
        <v>1</v>
      </c>
      <c r="AL140">
        <v>1.5</v>
      </c>
      <c r="AM140" t="s">
        <v>529</v>
      </c>
      <c r="AO140">
        <v>0</v>
      </c>
      <c r="AR140">
        <v>0</v>
      </c>
      <c r="AS140">
        <v>1.5</v>
      </c>
      <c r="AU140" t="s">
        <v>2176</v>
      </c>
      <c r="AW140" t="s">
        <v>2176</v>
      </c>
      <c r="AX140">
        <v>1</v>
      </c>
      <c r="AY140">
        <v>287.5</v>
      </c>
      <c r="AZ140">
        <v>1.5</v>
      </c>
      <c r="BA140" t="s">
        <v>529</v>
      </c>
      <c r="BB140" t="s">
        <v>2177</v>
      </c>
      <c r="BD140" t="s">
        <v>2177</v>
      </c>
      <c r="BE140">
        <v>1</v>
      </c>
      <c r="BF140">
        <v>240</v>
      </c>
      <c r="BG140">
        <v>1.5</v>
      </c>
      <c r="BJ140">
        <v>0</v>
      </c>
      <c r="BN140">
        <v>1.5</v>
      </c>
      <c r="BP140" t="s">
        <v>767</v>
      </c>
      <c r="BQ140">
        <v>88</v>
      </c>
      <c r="BR140">
        <v>2</v>
      </c>
      <c r="BS140" t="s">
        <v>768</v>
      </c>
      <c r="BT140">
        <v>216</v>
      </c>
      <c r="BU140">
        <v>0.5</v>
      </c>
      <c r="BV140" t="s">
        <v>768</v>
      </c>
      <c r="BW140">
        <v>432</v>
      </c>
      <c r="BX140">
        <v>1</v>
      </c>
      <c r="BY140" t="s">
        <v>643</v>
      </c>
      <c r="BZ140">
        <v>290</v>
      </c>
      <c r="CA140">
        <v>470</v>
      </c>
      <c r="CB140" t="s">
        <v>672</v>
      </c>
      <c r="CC140" t="s">
        <v>672</v>
      </c>
      <c r="CD140">
        <v>438</v>
      </c>
      <c r="CE140" t="s">
        <v>673</v>
      </c>
      <c r="CF140">
        <v>15</v>
      </c>
      <c r="CG140" t="s">
        <v>769</v>
      </c>
      <c r="CH140" t="s">
        <v>769</v>
      </c>
      <c r="CI140">
        <v>90</v>
      </c>
      <c r="CJ140">
        <v>1381</v>
      </c>
      <c r="CK140">
        <v>2</v>
      </c>
      <c r="CL140">
        <v>1475</v>
      </c>
      <c r="CM140">
        <v>2</v>
      </c>
      <c r="CN140" t="s">
        <v>675</v>
      </c>
      <c r="CO140" t="s">
        <v>676</v>
      </c>
      <c r="CP140" t="s">
        <v>595</v>
      </c>
      <c r="CQ140" t="s">
        <v>621</v>
      </c>
      <c r="CR140" t="s">
        <v>541</v>
      </c>
      <c r="CS140" t="s">
        <v>542</v>
      </c>
      <c r="CT140">
        <v>410</v>
      </c>
      <c r="CU140">
        <v>5</v>
      </c>
      <c r="CV140">
        <v>1.2</v>
      </c>
      <c r="CW140">
        <v>1393</v>
      </c>
      <c r="CX140">
        <v>809</v>
      </c>
      <c r="DD140">
        <v>0</v>
      </c>
      <c r="DE140" t="s">
        <v>622</v>
      </c>
      <c r="DF140">
        <v>575</v>
      </c>
      <c r="DG140">
        <v>3</v>
      </c>
      <c r="DH140">
        <v>0.88</v>
      </c>
      <c r="DI140">
        <v>1390</v>
      </c>
      <c r="DJ140">
        <v>910</v>
      </c>
      <c r="DK140" t="s">
        <v>622</v>
      </c>
      <c r="DL140">
        <v>480</v>
      </c>
      <c r="DM140">
        <v>3</v>
      </c>
      <c r="DN140">
        <v>0.88</v>
      </c>
      <c r="DO140">
        <v>1396</v>
      </c>
      <c r="DP140">
        <v>734</v>
      </c>
      <c r="DW140" t="s">
        <v>544</v>
      </c>
      <c r="DX140">
        <v>7.5</v>
      </c>
      <c r="EA140">
        <v>1464.3</v>
      </c>
      <c r="EB140">
        <v>259</v>
      </c>
      <c r="EC140" t="s">
        <v>545</v>
      </c>
      <c r="ED140">
        <v>40</v>
      </c>
      <c r="EE140">
        <v>3</v>
      </c>
      <c r="EG140">
        <v>1505</v>
      </c>
      <c r="EH140">
        <v>241</v>
      </c>
      <c r="EJ140">
        <v>0</v>
      </c>
      <c r="EK140">
        <v>1</v>
      </c>
      <c r="EN140">
        <v>0</v>
      </c>
      <c r="EP140" t="s">
        <v>546</v>
      </c>
      <c r="EQ140">
        <v>120</v>
      </c>
      <c r="ER140">
        <v>3</v>
      </c>
      <c r="ES140">
        <v>6</v>
      </c>
      <c r="ET140">
        <v>1381</v>
      </c>
      <c r="EU140">
        <v>548.8</v>
      </c>
      <c r="EV140">
        <v>758</v>
      </c>
      <c r="EW140" t="s">
        <v>547</v>
      </c>
      <c r="EX140">
        <v>70</v>
      </c>
      <c r="EY140">
        <v>2</v>
      </c>
      <c r="EZ140">
        <v>4.3</v>
      </c>
      <c r="FA140">
        <v>1381</v>
      </c>
      <c r="FB140">
        <v>218.5</v>
      </c>
      <c r="FC140">
        <v>302</v>
      </c>
      <c r="FE140">
        <v>0</v>
      </c>
      <c r="FF140">
        <v>2</v>
      </c>
      <c r="FI140">
        <v>0</v>
      </c>
      <c r="FK140" t="s">
        <v>548</v>
      </c>
      <c r="FL140">
        <v>0.4</v>
      </c>
      <c r="FM140">
        <v>100</v>
      </c>
      <c r="FN140">
        <v>130</v>
      </c>
      <c r="GR140" t="s">
        <v>548</v>
      </c>
      <c r="GS140">
        <v>0.4</v>
      </c>
      <c r="GT140">
        <v>30</v>
      </c>
      <c r="GU140">
        <v>390</v>
      </c>
      <c r="GV140">
        <v>30</v>
      </c>
      <c r="GW140">
        <v>250</v>
      </c>
      <c r="HC140">
        <v>0.1</v>
      </c>
      <c r="HD140">
        <v>3</v>
      </c>
      <c r="HE140">
        <v>3</v>
      </c>
      <c r="HF140">
        <v>3</v>
      </c>
      <c r="HG140">
        <v>3</v>
      </c>
      <c r="HH140">
        <v>3</v>
      </c>
      <c r="HI140">
        <v>175</v>
      </c>
      <c r="HJ140">
        <v>3</v>
      </c>
      <c r="HK140">
        <v>55</v>
      </c>
      <c r="HL140">
        <v>2</v>
      </c>
      <c r="HM140">
        <v>0</v>
      </c>
      <c r="HN140">
        <v>2</v>
      </c>
      <c r="HO140">
        <v>105</v>
      </c>
      <c r="HP140">
        <v>3</v>
      </c>
      <c r="HQ140">
        <v>0</v>
      </c>
      <c r="HR140">
        <v>2</v>
      </c>
      <c r="HS140">
        <v>5573</v>
      </c>
      <c r="HT140">
        <v>170</v>
      </c>
      <c r="HU140">
        <v>180</v>
      </c>
      <c r="HW140">
        <v>0</v>
      </c>
      <c r="HX140">
        <v>450</v>
      </c>
      <c r="HY140">
        <v>0.18</v>
      </c>
      <c r="IA140">
        <v>0.15</v>
      </c>
      <c r="IB140">
        <v>0</v>
      </c>
      <c r="IC140">
        <v>180</v>
      </c>
      <c r="ID140">
        <v>110</v>
      </c>
      <c r="IE140">
        <v>225</v>
      </c>
      <c r="IF140">
        <v>0</v>
      </c>
      <c r="IH140" t="s">
        <v>549</v>
      </c>
      <c r="IO140">
        <v>3</v>
      </c>
      <c r="IP140">
        <v>18</v>
      </c>
      <c r="IQ140">
        <v>0</v>
      </c>
      <c r="IR140">
        <v>1</v>
      </c>
      <c r="IV140">
        <v>1381</v>
      </c>
      <c r="IW140">
        <v>432</v>
      </c>
      <c r="JA140">
        <v>1</v>
      </c>
      <c r="JB140">
        <v>0</v>
      </c>
      <c r="JC140">
        <v>2</v>
      </c>
      <c r="JD140">
        <v>1393</v>
      </c>
      <c r="JE140">
        <v>1390</v>
      </c>
      <c r="JF140">
        <v>1396</v>
      </c>
      <c r="JG140">
        <v>1381</v>
      </c>
      <c r="JH140">
        <v>0</v>
      </c>
      <c r="JJ140">
        <v>180</v>
      </c>
      <c r="JK140">
        <v>450</v>
      </c>
      <c r="JN140">
        <v>410</v>
      </c>
      <c r="JO140">
        <v>575</v>
      </c>
      <c r="JP140">
        <v>480</v>
      </c>
      <c r="JQ140">
        <v>0</v>
      </c>
      <c r="JR140">
        <v>388</v>
      </c>
      <c r="JS140">
        <v>175</v>
      </c>
      <c r="JV140">
        <v>8</v>
      </c>
      <c r="JW140" t="s">
        <v>550</v>
      </c>
      <c r="JX140">
        <v>0</v>
      </c>
      <c r="KA140">
        <v>225</v>
      </c>
      <c r="KB140">
        <v>110</v>
      </c>
      <c r="KC140">
        <v>0</v>
      </c>
      <c r="KD140">
        <v>80</v>
      </c>
      <c r="KF140">
        <v>4</v>
      </c>
      <c r="KG140">
        <v>2</v>
      </c>
      <c r="KH140">
        <v>2</v>
      </c>
      <c r="KI140">
        <v>2</v>
      </c>
      <c r="KJ140">
        <v>0</v>
      </c>
      <c r="KK140">
        <v>1.5</v>
      </c>
      <c r="KL140">
        <v>1.5</v>
      </c>
      <c r="KM140">
        <v>0</v>
      </c>
      <c r="KN140">
        <v>0</v>
      </c>
      <c r="KO140">
        <v>0</v>
      </c>
      <c r="KR140">
        <v>30</v>
      </c>
      <c r="KS140">
        <v>60</v>
      </c>
      <c r="KT140">
        <v>0</v>
      </c>
      <c r="LK140">
        <v>480</v>
      </c>
      <c r="PG140">
        <v>1</v>
      </c>
      <c r="PI140" t="s">
        <v>2175</v>
      </c>
      <c r="PJ140" t="s">
        <v>2176</v>
      </c>
      <c r="PK140" t="s">
        <v>2177</v>
      </c>
      <c r="PL140" t="s">
        <v>812</v>
      </c>
      <c r="PP140" t="s">
        <v>767</v>
      </c>
      <c r="PX140">
        <v>56</v>
      </c>
      <c r="PY140">
        <v>57</v>
      </c>
      <c r="PZ140" t="s">
        <v>2175</v>
      </c>
      <c r="QA140">
        <v>1</v>
      </c>
      <c r="QB140">
        <v>1381</v>
      </c>
      <c r="QC140">
        <v>69</v>
      </c>
      <c r="QD140">
        <v>69</v>
      </c>
      <c r="QE140" t="s">
        <v>812</v>
      </c>
      <c r="QF140">
        <v>1</v>
      </c>
      <c r="QG140">
        <v>1393</v>
      </c>
      <c r="QH140">
        <v>66</v>
      </c>
      <c r="QI140">
        <v>66</v>
      </c>
      <c r="QL140">
        <v>0</v>
      </c>
      <c r="QM140">
        <v>62</v>
      </c>
      <c r="QN140">
        <v>62</v>
      </c>
      <c r="QO140" t="s">
        <v>2176</v>
      </c>
      <c r="QP140">
        <v>1</v>
      </c>
      <c r="QQ140">
        <v>1390</v>
      </c>
      <c r="QR140">
        <v>62</v>
      </c>
      <c r="QS140">
        <v>62</v>
      </c>
      <c r="QT140" t="s">
        <v>2177</v>
      </c>
      <c r="QU140">
        <v>1</v>
      </c>
      <c r="QV140">
        <v>1396</v>
      </c>
      <c r="QW140">
        <v>82</v>
      </c>
      <c r="QX140">
        <v>88</v>
      </c>
      <c r="QY140" t="s">
        <v>767</v>
      </c>
      <c r="QZ140">
        <v>1</v>
      </c>
      <c r="RA140">
        <v>66</v>
      </c>
      <c r="RB140">
        <v>66</v>
      </c>
      <c r="RE140">
        <v>0</v>
      </c>
      <c r="RF140">
        <v>1</v>
      </c>
      <c r="RH140">
        <v>1</v>
      </c>
      <c r="RJ140">
        <v>1</v>
      </c>
      <c r="RL140">
        <v>4</v>
      </c>
      <c r="RM140">
        <v>4</v>
      </c>
      <c r="RO140">
        <v>581</v>
      </c>
      <c r="RQ140">
        <v>655</v>
      </c>
      <c r="RR140">
        <v>526</v>
      </c>
      <c r="RT140">
        <v>259</v>
      </c>
      <c r="RU140">
        <v>241</v>
      </c>
      <c r="RV140" t="s">
        <v>770</v>
      </c>
      <c r="RW140" t="s">
        <v>679</v>
      </c>
      <c r="RX140">
        <v>15</v>
      </c>
      <c r="RY140">
        <v>4</v>
      </c>
      <c r="RZ140" t="s">
        <v>679</v>
      </c>
      <c r="SA140">
        <v>15</v>
      </c>
      <c r="SC140" t="s">
        <v>2176</v>
      </c>
      <c r="SD140">
        <v>1</v>
      </c>
      <c r="SF140" t="s">
        <v>2177</v>
      </c>
      <c r="SG140">
        <v>1</v>
      </c>
      <c r="SH140">
        <v>0.995</v>
      </c>
      <c r="SI140">
        <v>0.995</v>
      </c>
      <c r="SJ140">
        <v>0.995</v>
      </c>
      <c r="SK140">
        <v>15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Z140">
        <v>1</v>
      </c>
      <c r="TB140">
        <v>0</v>
      </c>
      <c r="TC140">
        <v>0</v>
      </c>
      <c r="TD140">
        <v>7.5</v>
      </c>
      <c r="TE140" t="s">
        <v>553</v>
      </c>
      <c r="TF140" t="s">
        <v>624</v>
      </c>
      <c r="TG140" t="s">
        <v>555</v>
      </c>
      <c r="TI140" t="s">
        <v>546</v>
      </c>
      <c r="TJ140" t="s">
        <v>547</v>
      </c>
      <c r="TL140" t="s">
        <v>1888</v>
      </c>
      <c r="TM140" t="s">
        <v>513</v>
      </c>
      <c r="TN140">
        <v>0</v>
      </c>
      <c r="TO140" t="s">
        <v>557</v>
      </c>
    </row>
    <row r="141" spans="1:535">
      <c r="A141" t="s">
        <v>2178</v>
      </c>
      <c r="B141" t="s">
        <v>629</v>
      </c>
      <c r="C141" t="s">
        <v>509</v>
      </c>
      <c r="D141" t="s">
        <v>1281</v>
      </c>
      <c r="G141" t="s">
        <v>561</v>
      </c>
      <c r="I141" t="s">
        <v>562</v>
      </c>
      <c r="J141" t="s">
        <v>563</v>
      </c>
      <c r="L141" t="s">
        <v>512</v>
      </c>
      <c r="M141" t="s">
        <v>711</v>
      </c>
      <c r="N141" t="s">
        <v>513</v>
      </c>
      <c r="O141" t="s">
        <v>565</v>
      </c>
      <c r="Q141" t="s">
        <v>2179</v>
      </c>
      <c r="R141" t="s">
        <v>567</v>
      </c>
      <c r="S141" t="s">
        <v>1102</v>
      </c>
      <c r="T141" t="s">
        <v>1103</v>
      </c>
      <c r="U141" t="s">
        <v>633</v>
      </c>
      <c r="V141" t="s">
        <v>634</v>
      </c>
      <c r="W141" t="s">
        <v>2180</v>
      </c>
      <c r="X141" t="s">
        <v>1880</v>
      </c>
      <c r="Y141" t="s">
        <v>574</v>
      </c>
      <c r="Z141" t="s">
        <v>2181</v>
      </c>
      <c r="AA141" t="s">
        <v>2182</v>
      </c>
      <c r="AB141" t="s">
        <v>2183</v>
      </c>
      <c r="AC141">
        <v>2</v>
      </c>
      <c r="AD141">
        <v>57</v>
      </c>
      <c r="AE141">
        <v>212</v>
      </c>
      <c r="AF141">
        <v>1.5</v>
      </c>
      <c r="AH141">
        <v>0</v>
      </c>
      <c r="AI141" t="s">
        <v>1048</v>
      </c>
      <c r="AJ141">
        <v>225</v>
      </c>
      <c r="AK141">
        <v>1</v>
      </c>
      <c r="AL141">
        <v>1.5</v>
      </c>
      <c r="AM141" t="s">
        <v>529</v>
      </c>
      <c r="AO141">
        <v>0</v>
      </c>
      <c r="AR141">
        <v>0</v>
      </c>
      <c r="AS141">
        <v>1.5</v>
      </c>
      <c r="AU141" t="s">
        <v>2184</v>
      </c>
      <c r="AW141" t="s">
        <v>2184</v>
      </c>
      <c r="AX141">
        <v>1</v>
      </c>
      <c r="AY141">
        <v>317.5</v>
      </c>
      <c r="AZ141">
        <v>1.5</v>
      </c>
      <c r="BA141" t="s">
        <v>529</v>
      </c>
      <c r="BB141" t="s">
        <v>2185</v>
      </c>
      <c r="BD141" t="s">
        <v>2185</v>
      </c>
      <c r="BE141">
        <v>1</v>
      </c>
      <c r="BF141">
        <v>257.5</v>
      </c>
      <c r="BG141">
        <v>1.5</v>
      </c>
      <c r="BJ141">
        <v>0</v>
      </c>
      <c r="BN141">
        <v>1.5</v>
      </c>
      <c r="BP141" t="s">
        <v>2186</v>
      </c>
      <c r="BQ141">
        <v>89</v>
      </c>
      <c r="BR141">
        <v>2</v>
      </c>
      <c r="BS141" t="s">
        <v>1697</v>
      </c>
      <c r="BT141">
        <v>234</v>
      </c>
      <c r="BU141">
        <v>0.5</v>
      </c>
      <c r="BV141" t="s">
        <v>1697</v>
      </c>
      <c r="BW141">
        <v>468</v>
      </c>
      <c r="BX141">
        <v>1</v>
      </c>
      <c r="BY141" t="s">
        <v>643</v>
      </c>
      <c r="BZ141">
        <v>470</v>
      </c>
      <c r="CA141">
        <v>530</v>
      </c>
      <c r="CB141" t="s">
        <v>644</v>
      </c>
      <c r="CC141" t="s">
        <v>644</v>
      </c>
      <c r="CD141">
        <v>484</v>
      </c>
      <c r="CE141" t="s">
        <v>544</v>
      </c>
      <c r="CF141">
        <v>15</v>
      </c>
      <c r="CG141" t="s">
        <v>2187</v>
      </c>
      <c r="CH141" t="s">
        <v>2187</v>
      </c>
      <c r="CI141">
        <v>30</v>
      </c>
      <c r="CJ141">
        <v>1301</v>
      </c>
      <c r="CK141">
        <v>2</v>
      </c>
      <c r="CL141">
        <v>1395</v>
      </c>
      <c r="CM141">
        <v>2</v>
      </c>
      <c r="CN141" t="s">
        <v>646</v>
      </c>
      <c r="CO141" t="s">
        <v>647</v>
      </c>
      <c r="CP141" t="s">
        <v>648</v>
      </c>
      <c r="CQ141" t="s">
        <v>621</v>
      </c>
      <c r="CR141" t="s">
        <v>541</v>
      </c>
      <c r="CS141" t="s">
        <v>542</v>
      </c>
      <c r="CT141">
        <v>450</v>
      </c>
      <c r="CU141">
        <v>5</v>
      </c>
      <c r="CV141">
        <v>1.2</v>
      </c>
      <c r="CW141">
        <v>1314</v>
      </c>
      <c r="CX141">
        <v>837</v>
      </c>
      <c r="DD141">
        <v>0</v>
      </c>
      <c r="DE141" t="s">
        <v>543</v>
      </c>
      <c r="DF141">
        <v>635</v>
      </c>
      <c r="DG141">
        <v>3</v>
      </c>
      <c r="DH141">
        <v>1.18</v>
      </c>
      <c r="DI141">
        <v>1312</v>
      </c>
      <c r="DJ141">
        <v>1286</v>
      </c>
      <c r="DK141" t="s">
        <v>543</v>
      </c>
      <c r="DL141">
        <v>515</v>
      </c>
      <c r="DM141">
        <v>3</v>
      </c>
      <c r="DN141">
        <v>1.18</v>
      </c>
      <c r="DO141">
        <v>1319</v>
      </c>
      <c r="DP141">
        <v>991</v>
      </c>
      <c r="DW141" t="s">
        <v>544</v>
      </c>
      <c r="DX141">
        <v>7.5</v>
      </c>
      <c r="EA141">
        <v>1386.2</v>
      </c>
      <c r="EB141">
        <v>245</v>
      </c>
      <c r="EC141" t="s">
        <v>545</v>
      </c>
      <c r="ED141">
        <v>45</v>
      </c>
      <c r="EE141">
        <v>3</v>
      </c>
      <c r="EG141">
        <v>1427</v>
      </c>
      <c r="EH141">
        <v>261</v>
      </c>
      <c r="EJ141">
        <v>0</v>
      </c>
      <c r="EK141">
        <v>1</v>
      </c>
      <c r="EN141">
        <v>0</v>
      </c>
      <c r="EP141" t="s">
        <v>546</v>
      </c>
      <c r="EQ141">
        <v>140</v>
      </c>
      <c r="ER141">
        <v>3</v>
      </c>
      <c r="ES141">
        <v>5.5</v>
      </c>
      <c r="ET141">
        <v>1298</v>
      </c>
      <c r="EU141">
        <v>622.3</v>
      </c>
      <c r="EV141">
        <v>808</v>
      </c>
      <c r="EW141" t="s">
        <v>547</v>
      </c>
      <c r="EX141">
        <v>70</v>
      </c>
      <c r="EY141">
        <v>2</v>
      </c>
      <c r="EZ141">
        <v>4.3</v>
      </c>
      <c r="FA141">
        <v>1298</v>
      </c>
      <c r="FB141">
        <v>215.7</v>
      </c>
      <c r="FC141">
        <v>280</v>
      </c>
      <c r="FE141">
        <v>0</v>
      </c>
      <c r="FF141">
        <v>2</v>
      </c>
      <c r="FI141">
        <v>0</v>
      </c>
      <c r="FK141" t="s">
        <v>548</v>
      </c>
      <c r="FL141">
        <v>0.4</v>
      </c>
      <c r="FM141">
        <v>135</v>
      </c>
      <c r="FN141">
        <v>130</v>
      </c>
      <c r="GR141" t="s">
        <v>548</v>
      </c>
      <c r="GS141">
        <v>0.4</v>
      </c>
      <c r="GT141">
        <v>30</v>
      </c>
      <c r="GU141">
        <v>440</v>
      </c>
      <c r="GV141">
        <v>30</v>
      </c>
      <c r="GW141">
        <v>280</v>
      </c>
      <c r="HC141">
        <v>0.1</v>
      </c>
      <c r="HD141">
        <v>3</v>
      </c>
      <c r="HE141">
        <v>3</v>
      </c>
      <c r="HF141">
        <v>3</v>
      </c>
      <c r="HG141">
        <v>3</v>
      </c>
      <c r="HH141">
        <v>3</v>
      </c>
      <c r="HI141">
        <v>195</v>
      </c>
      <c r="HJ141">
        <v>3</v>
      </c>
      <c r="HK141">
        <v>55</v>
      </c>
      <c r="HL141">
        <v>2</v>
      </c>
      <c r="HM141">
        <v>0</v>
      </c>
      <c r="HN141">
        <v>2</v>
      </c>
      <c r="HO141">
        <v>125</v>
      </c>
      <c r="HP141">
        <v>3</v>
      </c>
      <c r="HQ141">
        <v>0</v>
      </c>
      <c r="HR141">
        <v>2</v>
      </c>
      <c r="HS141">
        <v>6302</v>
      </c>
      <c r="HT141">
        <v>190</v>
      </c>
      <c r="HU141">
        <v>180</v>
      </c>
      <c r="HW141">
        <v>0</v>
      </c>
      <c r="HX141">
        <v>490</v>
      </c>
      <c r="HY141">
        <v>0.18</v>
      </c>
      <c r="IA141">
        <v>0.15</v>
      </c>
      <c r="IB141">
        <v>0</v>
      </c>
      <c r="IC141">
        <v>180</v>
      </c>
      <c r="ID141">
        <v>110</v>
      </c>
      <c r="IE141">
        <v>225</v>
      </c>
      <c r="IF141">
        <v>0</v>
      </c>
      <c r="IH141" t="s">
        <v>549</v>
      </c>
      <c r="IO141">
        <v>3</v>
      </c>
      <c r="IP141">
        <v>17</v>
      </c>
      <c r="IQ141">
        <v>0</v>
      </c>
      <c r="IR141">
        <v>1</v>
      </c>
      <c r="IV141">
        <v>1301</v>
      </c>
      <c r="IW141">
        <v>468</v>
      </c>
      <c r="JA141">
        <v>1</v>
      </c>
      <c r="JB141">
        <v>0</v>
      </c>
      <c r="JC141">
        <v>2</v>
      </c>
      <c r="JD141">
        <v>1314</v>
      </c>
      <c r="JE141">
        <v>1312</v>
      </c>
      <c r="JF141">
        <v>1319</v>
      </c>
      <c r="JG141">
        <v>1298</v>
      </c>
      <c r="JH141">
        <v>0</v>
      </c>
      <c r="JJ141">
        <v>180</v>
      </c>
      <c r="JK141">
        <v>490</v>
      </c>
      <c r="JN141">
        <v>450</v>
      </c>
      <c r="JO141">
        <v>635</v>
      </c>
      <c r="JP141">
        <v>515</v>
      </c>
      <c r="JQ141">
        <v>0</v>
      </c>
      <c r="JR141">
        <v>424</v>
      </c>
      <c r="JS141">
        <v>195</v>
      </c>
      <c r="JV141">
        <v>8</v>
      </c>
      <c r="JW141" t="s">
        <v>550</v>
      </c>
      <c r="JX141">
        <v>0</v>
      </c>
      <c r="KA141">
        <v>225</v>
      </c>
      <c r="KB141">
        <v>110</v>
      </c>
      <c r="KC141">
        <v>0</v>
      </c>
      <c r="KD141">
        <v>80</v>
      </c>
      <c r="KF141">
        <v>4</v>
      </c>
      <c r="KG141">
        <v>4</v>
      </c>
      <c r="KH141">
        <v>2</v>
      </c>
      <c r="KI141">
        <v>2</v>
      </c>
      <c r="KJ141">
        <v>0</v>
      </c>
      <c r="KK141">
        <v>1.5</v>
      </c>
      <c r="KL141">
        <v>1.5</v>
      </c>
      <c r="KM141">
        <v>0</v>
      </c>
      <c r="KN141">
        <v>0</v>
      </c>
      <c r="KO141">
        <v>0</v>
      </c>
      <c r="KR141">
        <v>30</v>
      </c>
      <c r="KS141">
        <v>60</v>
      </c>
      <c r="KT141">
        <v>0</v>
      </c>
      <c r="LK141">
        <v>480</v>
      </c>
      <c r="PG141">
        <v>1</v>
      </c>
      <c r="PI141" t="s">
        <v>2183</v>
      </c>
      <c r="PJ141" t="s">
        <v>2184</v>
      </c>
      <c r="PK141" t="s">
        <v>2185</v>
      </c>
      <c r="PL141" t="s">
        <v>1048</v>
      </c>
      <c r="PP141" t="s">
        <v>2186</v>
      </c>
      <c r="PX141">
        <v>56</v>
      </c>
      <c r="PY141">
        <v>57</v>
      </c>
      <c r="PZ141" t="s">
        <v>2183</v>
      </c>
      <c r="QA141">
        <v>1</v>
      </c>
      <c r="QB141">
        <v>1298</v>
      </c>
      <c r="QC141">
        <v>69</v>
      </c>
      <c r="QD141">
        <v>69</v>
      </c>
      <c r="QE141" t="s">
        <v>1048</v>
      </c>
      <c r="QF141">
        <v>1</v>
      </c>
      <c r="QG141">
        <v>1314</v>
      </c>
      <c r="QH141">
        <v>66</v>
      </c>
      <c r="QI141">
        <v>66</v>
      </c>
      <c r="QL141">
        <v>0</v>
      </c>
      <c r="QM141">
        <v>62</v>
      </c>
      <c r="QN141">
        <v>62</v>
      </c>
      <c r="QO141" t="s">
        <v>2184</v>
      </c>
      <c r="QP141">
        <v>1</v>
      </c>
      <c r="QQ141">
        <v>1312</v>
      </c>
      <c r="QR141">
        <v>62</v>
      </c>
      <c r="QS141">
        <v>62</v>
      </c>
      <c r="QT141" t="s">
        <v>2185</v>
      </c>
      <c r="QU141">
        <v>1</v>
      </c>
      <c r="QV141">
        <v>1319</v>
      </c>
      <c r="QW141">
        <v>82</v>
      </c>
      <c r="QX141">
        <v>89</v>
      </c>
      <c r="QY141" t="s">
        <v>2186</v>
      </c>
      <c r="QZ141">
        <v>1</v>
      </c>
      <c r="RA141">
        <v>66</v>
      </c>
      <c r="RB141">
        <v>66</v>
      </c>
      <c r="RE141">
        <v>0</v>
      </c>
      <c r="RF141">
        <v>1</v>
      </c>
      <c r="RH141">
        <v>1</v>
      </c>
      <c r="RJ141">
        <v>1</v>
      </c>
      <c r="RL141">
        <v>2</v>
      </c>
      <c r="RM141">
        <v>2</v>
      </c>
      <c r="RO141">
        <v>637</v>
      </c>
      <c r="RQ141">
        <v>980</v>
      </c>
      <c r="RR141">
        <v>751</v>
      </c>
      <c r="RT141">
        <v>245</v>
      </c>
      <c r="RU141">
        <v>261</v>
      </c>
      <c r="RV141" t="s">
        <v>1698</v>
      </c>
      <c r="RW141" t="s">
        <v>653</v>
      </c>
      <c r="RX141">
        <v>15</v>
      </c>
      <c r="RY141">
        <v>4</v>
      </c>
      <c r="RZ141" t="s">
        <v>653</v>
      </c>
      <c r="SA141">
        <v>15</v>
      </c>
      <c r="SC141" t="s">
        <v>2184</v>
      </c>
      <c r="SD141">
        <v>1</v>
      </c>
      <c r="SF141" t="s">
        <v>2185</v>
      </c>
      <c r="SG141">
        <v>1</v>
      </c>
      <c r="SH141">
        <v>0.995</v>
      </c>
      <c r="SI141">
        <v>0.995</v>
      </c>
      <c r="SJ141">
        <v>0.995</v>
      </c>
      <c r="SK141">
        <v>15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Z141">
        <v>1</v>
      </c>
      <c r="TB141">
        <v>0</v>
      </c>
      <c r="TC141">
        <v>0</v>
      </c>
      <c r="TD141">
        <v>7.5</v>
      </c>
      <c r="TE141" t="s">
        <v>553</v>
      </c>
      <c r="TF141" t="s">
        <v>624</v>
      </c>
      <c r="TG141" t="s">
        <v>555</v>
      </c>
      <c r="TI141" t="s">
        <v>546</v>
      </c>
      <c r="TJ141" t="s">
        <v>547</v>
      </c>
      <c r="TL141" t="s">
        <v>1888</v>
      </c>
      <c r="TM141" t="s">
        <v>513</v>
      </c>
      <c r="TN141">
        <v>0</v>
      </c>
      <c r="TO141" t="s">
        <v>557</v>
      </c>
    </row>
    <row r="142" spans="1:535">
      <c r="A142" t="s">
        <v>2188</v>
      </c>
      <c r="B142" t="s">
        <v>804</v>
      </c>
      <c r="C142" t="s">
        <v>509</v>
      </c>
      <c r="D142" t="s">
        <v>2142</v>
      </c>
      <c r="G142" t="s">
        <v>1294</v>
      </c>
      <c r="I142" t="s">
        <v>562</v>
      </c>
      <c r="J142" t="s">
        <v>563</v>
      </c>
      <c r="L142" t="s">
        <v>512</v>
      </c>
      <c r="M142" t="s">
        <v>508</v>
      </c>
      <c r="N142" t="s">
        <v>513</v>
      </c>
      <c r="O142" t="s">
        <v>1255</v>
      </c>
      <c r="P142" t="s">
        <v>515</v>
      </c>
      <c r="Q142" t="s">
        <v>2189</v>
      </c>
      <c r="R142" t="s">
        <v>567</v>
      </c>
      <c r="S142" t="s">
        <v>1028</v>
      </c>
      <c r="T142" t="s">
        <v>1029</v>
      </c>
      <c r="U142" t="s">
        <v>662</v>
      </c>
      <c r="V142" t="s">
        <v>663</v>
      </c>
      <c r="W142" t="s">
        <v>1923</v>
      </c>
      <c r="X142" t="s">
        <v>1880</v>
      </c>
      <c r="Y142" t="s">
        <v>524</v>
      </c>
      <c r="Z142" t="s">
        <v>2190</v>
      </c>
      <c r="AA142" t="s">
        <v>2191</v>
      </c>
      <c r="AB142" t="s">
        <v>2192</v>
      </c>
      <c r="AC142">
        <v>2</v>
      </c>
      <c r="AD142">
        <v>57</v>
      </c>
      <c r="AE142">
        <v>172</v>
      </c>
      <c r="AF142">
        <v>1.5</v>
      </c>
      <c r="AH142">
        <v>0</v>
      </c>
      <c r="AI142" t="s">
        <v>1287</v>
      </c>
      <c r="AJ142">
        <v>182.5</v>
      </c>
      <c r="AK142">
        <v>1</v>
      </c>
      <c r="AL142">
        <v>1.5</v>
      </c>
      <c r="AM142" t="s">
        <v>529</v>
      </c>
      <c r="AO142">
        <v>0</v>
      </c>
      <c r="AR142">
        <v>0</v>
      </c>
      <c r="AS142">
        <v>1.5</v>
      </c>
      <c r="AU142" t="s">
        <v>2193</v>
      </c>
      <c r="AW142" t="s">
        <v>2193</v>
      </c>
      <c r="AX142">
        <v>1</v>
      </c>
      <c r="AY142">
        <v>307.5</v>
      </c>
      <c r="AZ142">
        <v>1.5</v>
      </c>
      <c r="BA142" t="s">
        <v>529</v>
      </c>
      <c r="BG142">
        <v>1.5</v>
      </c>
      <c r="BJ142">
        <v>0</v>
      </c>
      <c r="BN142">
        <v>1.5</v>
      </c>
      <c r="BP142" t="s">
        <v>2194</v>
      </c>
      <c r="BQ142">
        <v>88</v>
      </c>
      <c r="BR142">
        <v>2</v>
      </c>
      <c r="BS142" t="s">
        <v>2149</v>
      </c>
      <c r="BT142">
        <v>194</v>
      </c>
      <c r="BU142">
        <v>0.5</v>
      </c>
      <c r="BV142" t="s">
        <v>2149</v>
      </c>
      <c r="BW142">
        <v>388</v>
      </c>
      <c r="BX142">
        <v>1</v>
      </c>
      <c r="BY142" t="s">
        <v>643</v>
      </c>
      <c r="BZ142">
        <v>290</v>
      </c>
      <c r="CA142">
        <v>470</v>
      </c>
      <c r="CB142" t="s">
        <v>672</v>
      </c>
      <c r="CC142" t="s">
        <v>672</v>
      </c>
      <c r="CD142">
        <v>350</v>
      </c>
      <c r="CE142" t="s">
        <v>673</v>
      </c>
      <c r="CF142">
        <v>15</v>
      </c>
      <c r="CG142" t="s">
        <v>769</v>
      </c>
      <c r="CH142" t="s">
        <v>769</v>
      </c>
      <c r="CI142">
        <v>90</v>
      </c>
      <c r="CJ142">
        <v>1381</v>
      </c>
      <c r="CK142">
        <v>2</v>
      </c>
      <c r="CL142">
        <v>1475</v>
      </c>
      <c r="CM142">
        <v>2</v>
      </c>
      <c r="CN142" t="s">
        <v>675</v>
      </c>
      <c r="CO142" t="s">
        <v>676</v>
      </c>
      <c r="CP142" t="s">
        <v>595</v>
      </c>
      <c r="CQ142" t="s">
        <v>1496</v>
      </c>
      <c r="CR142" t="s">
        <v>541</v>
      </c>
      <c r="CS142" t="s">
        <v>542</v>
      </c>
      <c r="CT142">
        <v>365</v>
      </c>
      <c r="CU142">
        <v>5</v>
      </c>
      <c r="CV142">
        <v>1.2</v>
      </c>
      <c r="CW142">
        <v>1393</v>
      </c>
      <c r="CX142">
        <v>720</v>
      </c>
      <c r="DD142">
        <v>0</v>
      </c>
      <c r="DE142" t="s">
        <v>543</v>
      </c>
      <c r="DF142">
        <v>615</v>
      </c>
      <c r="DG142">
        <v>3</v>
      </c>
      <c r="DH142">
        <v>1.18</v>
      </c>
      <c r="DI142">
        <v>1391</v>
      </c>
      <c r="DJ142">
        <v>1277</v>
      </c>
      <c r="DW142" t="s">
        <v>544</v>
      </c>
      <c r="DX142">
        <v>7.5</v>
      </c>
      <c r="EA142">
        <v>1461.1</v>
      </c>
      <c r="EB142">
        <v>258</v>
      </c>
      <c r="EC142" t="s">
        <v>545</v>
      </c>
      <c r="ED142">
        <v>30</v>
      </c>
      <c r="EE142">
        <v>3</v>
      </c>
      <c r="EG142">
        <v>1502</v>
      </c>
      <c r="EH142">
        <v>177</v>
      </c>
      <c r="EJ142">
        <v>0</v>
      </c>
      <c r="EK142">
        <v>1</v>
      </c>
      <c r="EN142">
        <v>0</v>
      </c>
      <c r="EP142" t="s">
        <v>546</v>
      </c>
      <c r="EQ142">
        <v>80</v>
      </c>
      <c r="ER142">
        <v>3</v>
      </c>
      <c r="ES142">
        <v>5</v>
      </c>
      <c r="ET142">
        <v>1375</v>
      </c>
      <c r="EU142">
        <v>340.8</v>
      </c>
      <c r="EV142">
        <v>469</v>
      </c>
      <c r="EW142" t="s">
        <v>547</v>
      </c>
      <c r="EX142">
        <v>70</v>
      </c>
      <c r="EY142">
        <v>2</v>
      </c>
      <c r="EZ142">
        <v>4</v>
      </c>
      <c r="FA142">
        <v>1375</v>
      </c>
      <c r="FB142">
        <v>209.7</v>
      </c>
      <c r="FC142">
        <v>288</v>
      </c>
      <c r="FE142">
        <v>0</v>
      </c>
      <c r="FF142">
        <v>2</v>
      </c>
      <c r="FI142">
        <v>0</v>
      </c>
      <c r="FK142" t="s">
        <v>548</v>
      </c>
      <c r="FL142">
        <v>0.4</v>
      </c>
      <c r="FM142">
        <v>65</v>
      </c>
      <c r="FN142">
        <v>150</v>
      </c>
      <c r="FR142" t="s">
        <v>548</v>
      </c>
      <c r="FS142">
        <v>0.4</v>
      </c>
      <c r="FT142">
        <v>30</v>
      </c>
      <c r="FU142">
        <v>340</v>
      </c>
      <c r="HC142">
        <v>0.1</v>
      </c>
      <c r="HD142">
        <v>3</v>
      </c>
      <c r="HE142">
        <v>3</v>
      </c>
      <c r="HF142">
        <v>3</v>
      </c>
      <c r="HG142">
        <v>3</v>
      </c>
      <c r="HH142">
        <v>3</v>
      </c>
      <c r="HI142">
        <v>135</v>
      </c>
      <c r="HJ142">
        <v>3</v>
      </c>
      <c r="HK142">
        <v>55</v>
      </c>
      <c r="HL142">
        <v>2</v>
      </c>
      <c r="HM142">
        <v>0</v>
      </c>
      <c r="HN142">
        <v>2</v>
      </c>
      <c r="HO142">
        <v>65</v>
      </c>
      <c r="HP142">
        <v>3</v>
      </c>
      <c r="HQ142">
        <v>0</v>
      </c>
      <c r="HR142">
        <v>2</v>
      </c>
      <c r="HS142">
        <v>4381</v>
      </c>
      <c r="HT142">
        <v>130</v>
      </c>
      <c r="HU142">
        <v>180</v>
      </c>
      <c r="HW142">
        <v>20</v>
      </c>
      <c r="HX142">
        <v>405</v>
      </c>
      <c r="HY142">
        <v>0.18</v>
      </c>
      <c r="IA142">
        <v>0.15</v>
      </c>
      <c r="IB142">
        <v>0</v>
      </c>
      <c r="IC142">
        <v>180</v>
      </c>
      <c r="ID142">
        <v>110</v>
      </c>
      <c r="IE142">
        <v>0</v>
      </c>
      <c r="IF142">
        <v>0</v>
      </c>
      <c r="IH142" t="s">
        <v>549</v>
      </c>
      <c r="IO142">
        <v>1</v>
      </c>
      <c r="IP142">
        <v>18</v>
      </c>
      <c r="IQ142">
        <v>0</v>
      </c>
      <c r="IR142">
        <v>1</v>
      </c>
      <c r="IV142">
        <v>1381</v>
      </c>
      <c r="IW142">
        <v>388</v>
      </c>
      <c r="IY142">
        <v>290</v>
      </c>
      <c r="JA142">
        <v>1</v>
      </c>
      <c r="JB142">
        <v>0</v>
      </c>
      <c r="JC142">
        <v>2</v>
      </c>
      <c r="JD142">
        <v>1393</v>
      </c>
      <c r="JE142">
        <v>1391</v>
      </c>
      <c r="JF142">
        <v>0</v>
      </c>
      <c r="JG142">
        <v>1375</v>
      </c>
      <c r="JH142">
        <v>0</v>
      </c>
      <c r="JJ142">
        <v>180</v>
      </c>
      <c r="JK142">
        <v>405</v>
      </c>
      <c r="JN142">
        <v>365</v>
      </c>
      <c r="JO142">
        <v>615</v>
      </c>
      <c r="JP142">
        <v>0</v>
      </c>
      <c r="JQ142">
        <v>0</v>
      </c>
      <c r="JR142">
        <v>344</v>
      </c>
      <c r="JS142">
        <v>135</v>
      </c>
      <c r="JV142">
        <v>8</v>
      </c>
      <c r="JW142" t="s">
        <v>550</v>
      </c>
      <c r="JX142">
        <v>0</v>
      </c>
      <c r="KA142">
        <v>0</v>
      </c>
      <c r="KB142">
        <v>110</v>
      </c>
      <c r="KC142">
        <v>0</v>
      </c>
      <c r="KD142">
        <v>80</v>
      </c>
      <c r="KF142">
        <v>4</v>
      </c>
      <c r="KG142">
        <v>2</v>
      </c>
      <c r="KH142">
        <v>2</v>
      </c>
      <c r="KI142">
        <v>2</v>
      </c>
      <c r="KJ142">
        <v>0</v>
      </c>
      <c r="KK142">
        <v>1.5</v>
      </c>
      <c r="KL142">
        <v>1.5</v>
      </c>
      <c r="KM142">
        <v>0</v>
      </c>
      <c r="KN142">
        <v>0</v>
      </c>
      <c r="KO142">
        <v>0</v>
      </c>
      <c r="KR142">
        <v>50</v>
      </c>
      <c r="KS142">
        <v>60</v>
      </c>
      <c r="KT142">
        <v>0</v>
      </c>
      <c r="LK142">
        <v>480</v>
      </c>
      <c r="PG142">
        <v>1</v>
      </c>
      <c r="PI142" t="s">
        <v>2192</v>
      </c>
      <c r="PJ142" t="s">
        <v>2193</v>
      </c>
      <c r="PL142" t="s">
        <v>1287</v>
      </c>
      <c r="PP142" t="s">
        <v>2194</v>
      </c>
      <c r="PX142">
        <v>56</v>
      </c>
      <c r="PY142">
        <v>57</v>
      </c>
      <c r="PZ142" t="s">
        <v>2192</v>
      </c>
      <c r="QA142">
        <v>1</v>
      </c>
      <c r="QB142">
        <v>1375</v>
      </c>
      <c r="QC142">
        <v>69</v>
      </c>
      <c r="QD142">
        <v>69</v>
      </c>
      <c r="QE142" t="s">
        <v>1287</v>
      </c>
      <c r="QF142">
        <v>1</v>
      </c>
      <c r="QG142">
        <v>1393</v>
      </c>
      <c r="QH142">
        <v>66</v>
      </c>
      <c r="QI142">
        <v>66</v>
      </c>
      <c r="QL142">
        <v>0</v>
      </c>
      <c r="QM142">
        <v>62</v>
      </c>
      <c r="QN142">
        <v>62</v>
      </c>
      <c r="QO142" t="s">
        <v>2193</v>
      </c>
      <c r="QP142">
        <v>1</v>
      </c>
      <c r="QQ142">
        <v>1391</v>
      </c>
      <c r="QW142">
        <v>82</v>
      </c>
      <c r="QX142">
        <v>88</v>
      </c>
      <c r="QY142" t="s">
        <v>2194</v>
      </c>
      <c r="QZ142">
        <v>1</v>
      </c>
      <c r="RA142">
        <v>66</v>
      </c>
      <c r="RB142">
        <v>66</v>
      </c>
      <c r="RE142">
        <v>0</v>
      </c>
      <c r="RF142">
        <v>1</v>
      </c>
      <c r="RJ142">
        <v>1</v>
      </c>
      <c r="RL142">
        <v>2</v>
      </c>
      <c r="RO142">
        <v>517</v>
      </c>
      <c r="RQ142">
        <v>918</v>
      </c>
      <c r="RT142">
        <v>258</v>
      </c>
      <c r="RU142">
        <v>177</v>
      </c>
      <c r="RV142" t="s">
        <v>2150</v>
      </c>
      <c r="RW142" t="s">
        <v>679</v>
      </c>
      <c r="RX142">
        <v>15</v>
      </c>
      <c r="RY142">
        <v>4</v>
      </c>
      <c r="RZ142" t="s">
        <v>679</v>
      </c>
      <c r="SA142">
        <v>15</v>
      </c>
      <c r="SC142" t="s">
        <v>2193</v>
      </c>
      <c r="SD142">
        <v>1</v>
      </c>
      <c r="SH142">
        <v>0.995</v>
      </c>
      <c r="SI142">
        <v>0.995</v>
      </c>
      <c r="SJ142">
        <v>0.995</v>
      </c>
      <c r="SK142">
        <v>15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TB142">
        <v>0</v>
      </c>
      <c r="TC142">
        <v>0</v>
      </c>
      <c r="TD142">
        <v>7.5</v>
      </c>
      <c r="TE142" t="s">
        <v>553</v>
      </c>
      <c r="TF142" t="s">
        <v>624</v>
      </c>
      <c r="TG142" t="s">
        <v>555</v>
      </c>
      <c r="TI142" t="s">
        <v>546</v>
      </c>
      <c r="TJ142" t="s">
        <v>547</v>
      </c>
      <c r="TL142" t="s">
        <v>1888</v>
      </c>
      <c r="TM142" t="s">
        <v>513</v>
      </c>
      <c r="TN142">
        <v>0</v>
      </c>
      <c r="TO142" t="s">
        <v>557</v>
      </c>
    </row>
    <row r="143" spans="1:535">
      <c r="A143" t="s">
        <v>2195</v>
      </c>
      <c r="B143" t="s">
        <v>711</v>
      </c>
      <c r="C143" t="s">
        <v>509</v>
      </c>
      <c r="D143" t="s">
        <v>2196</v>
      </c>
      <c r="G143" t="s">
        <v>511</v>
      </c>
      <c r="I143" t="s">
        <v>562</v>
      </c>
      <c r="L143" t="s">
        <v>512</v>
      </c>
      <c r="M143" t="s">
        <v>804</v>
      </c>
      <c r="N143" t="s">
        <v>513</v>
      </c>
      <c r="O143" t="s">
        <v>565</v>
      </c>
      <c r="Q143" t="s">
        <v>2197</v>
      </c>
      <c r="R143" t="s">
        <v>567</v>
      </c>
      <c r="S143" t="s">
        <v>879</v>
      </c>
      <c r="T143" t="s">
        <v>880</v>
      </c>
      <c r="U143" t="s">
        <v>633</v>
      </c>
      <c r="V143" t="s">
        <v>634</v>
      </c>
      <c r="W143" t="s">
        <v>2198</v>
      </c>
      <c r="X143" t="s">
        <v>1880</v>
      </c>
      <c r="Y143" t="s">
        <v>574</v>
      </c>
      <c r="Z143" t="s">
        <v>2199</v>
      </c>
      <c r="AA143" t="s">
        <v>2200</v>
      </c>
      <c r="AB143" t="s">
        <v>2201</v>
      </c>
      <c r="AC143">
        <v>2</v>
      </c>
      <c r="AD143">
        <v>57</v>
      </c>
      <c r="AE143">
        <v>204</v>
      </c>
      <c r="AF143">
        <v>1.5</v>
      </c>
      <c r="AH143">
        <v>0</v>
      </c>
      <c r="AI143" t="s">
        <v>885</v>
      </c>
      <c r="AJ143">
        <v>215</v>
      </c>
      <c r="AK143">
        <v>1</v>
      </c>
      <c r="AL143">
        <v>1.5</v>
      </c>
      <c r="AM143" t="s">
        <v>529</v>
      </c>
      <c r="AO143">
        <v>0</v>
      </c>
      <c r="AR143">
        <v>0</v>
      </c>
      <c r="AS143">
        <v>1.5</v>
      </c>
      <c r="AU143" t="s">
        <v>2202</v>
      </c>
      <c r="AW143" t="s">
        <v>2202</v>
      </c>
      <c r="AX143">
        <v>1</v>
      </c>
      <c r="AY143">
        <v>297.5</v>
      </c>
      <c r="AZ143">
        <v>1.5</v>
      </c>
      <c r="BA143" t="s">
        <v>529</v>
      </c>
      <c r="BB143" t="s">
        <v>2203</v>
      </c>
      <c r="BD143" t="s">
        <v>2203</v>
      </c>
      <c r="BE143">
        <v>1</v>
      </c>
      <c r="BF143">
        <v>250</v>
      </c>
      <c r="BG143">
        <v>1.5</v>
      </c>
      <c r="BJ143">
        <v>0</v>
      </c>
      <c r="BN143">
        <v>1.5</v>
      </c>
      <c r="BP143" t="s">
        <v>2204</v>
      </c>
      <c r="BQ143">
        <v>89</v>
      </c>
      <c r="BR143">
        <v>2</v>
      </c>
      <c r="BS143" t="s">
        <v>983</v>
      </c>
      <c r="BT143">
        <v>226</v>
      </c>
      <c r="BU143">
        <v>0.5</v>
      </c>
      <c r="BV143" t="s">
        <v>983</v>
      </c>
      <c r="BW143">
        <v>452</v>
      </c>
      <c r="BX143">
        <v>1</v>
      </c>
      <c r="BY143" t="s">
        <v>643</v>
      </c>
      <c r="BZ143">
        <v>470</v>
      </c>
      <c r="CA143">
        <v>590</v>
      </c>
      <c r="CB143" t="s">
        <v>644</v>
      </c>
      <c r="CC143" t="s">
        <v>644</v>
      </c>
      <c r="CD143">
        <v>464</v>
      </c>
      <c r="CE143" t="s">
        <v>544</v>
      </c>
      <c r="CF143">
        <v>15</v>
      </c>
      <c r="CG143" t="s">
        <v>891</v>
      </c>
      <c r="CH143" t="s">
        <v>891</v>
      </c>
      <c r="CI143">
        <v>60</v>
      </c>
      <c r="CJ143">
        <v>1301</v>
      </c>
      <c r="CK143">
        <v>2</v>
      </c>
      <c r="CL143">
        <v>1395</v>
      </c>
      <c r="CM143">
        <v>2</v>
      </c>
      <c r="CN143" t="s">
        <v>646</v>
      </c>
      <c r="CO143" t="s">
        <v>647</v>
      </c>
      <c r="CP143" t="s">
        <v>648</v>
      </c>
      <c r="CQ143" t="s">
        <v>621</v>
      </c>
      <c r="CR143" t="s">
        <v>541</v>
      </c>
      <c r="CS143" t="s">
        <v>542</v>
      </c>
      <c r="CT143">
        <v>430</v>
      </c>
      <c r="CU143">
        <v>5</v>
      </c>
      <c r="CV143">
        <v>1.2</v>
      </c>
      <c r="CW143">
        <v>1314</v>
      </c>
      <c r="CX143">
        <v>800</v>
      </c>
      <c r="DD143">
        <v>0</v>
      </c>
      <c r="DE143" t="s">
        <v>622</v>
      </c>
      <c r="DF143">
        <v>595</v>
      </c>
      <c r="DG143">
        <v>3</v>
      </c>
      <c r="DH143">
        <v>0.88</v>
      </c>
      <c r="DI143">
        <v>1311</v>
      </c>
      <c r="DJ143">
        <v>895</v>
      </c>
      <c r="DK143" t="s">
        <v>622</v>
      </c>
      <c r="DL143">
        <v>500</v>
      </c>
      <c r="DM143">
        <v>3</v>
      </c>
      <c r="DN143">
        <v>0.88</v>
      </c>
      <c r="DO143">
        <v>1316</v>
      </c>
      <c r="DP143">
        <v>719</v>
      </c>
      <c r="DW143" t="s">
        <v>544</v>
      </c>
      <c r="DX143">
        <v>7.5</v>
      </c>
      <c r="EA143">
        <v>1384.6</v>
      </c>
      <c r="EB143">
        <v>245</v>
      </c>
      <c r="EC143" t="s">
        <v>545</v>
      </c>
      <c r="ED143">
        <v>35</v>
      </c>
      <c r="EE143">
        <v>3</v>
      </c>
      <c r="EG143">
        <v>1425</v>
      </c>
      <c r="EH143">
        <v>200</v>
      </c>
      <c r="EJ143">
        <v>0</v>
      </c>
      <c r="EK143">
        <v>1</v>
      </c>
      <c r="EN143">
        <v>0</v>
      </c>
      <c r="EP143" t="s">
        <v>546</v>
      </c>
      <c r="EQ143">
        <v>135</v>
      </c>
      <c r="ER143">
        <v>3</v>
      </c>
      <c r="ES143">
        <v>5.5</v>
      </c>
      <c r="ET143">
        <v>1298</v>
      </c>
      <c r="EU143">
        <v>593.2</v>
      </c>
      <c r="EV143">
        <v>770</v>
      </c>
      <c r="EW143" t="s">
        <v>547</v>
      </c>
      <c r="EX143">
        <v>70</v>
      </c>
      <c r="EY143">
        <v>2</v>
      </c>
      <c r="EZ143">
        <v>4.3</v>
      </c>
      <c r="FA143">
        <v>1298</v>
      </c>
      <c r="FB143">
        <v>215.7</v>
      </c>
      <c r="FC143">
        <v>280</v>
      </c>
      <c r="FE143">
        <v>0</v>
      </c>
      <c r="FF143">
        <v>2</v>
      </c>
      <c r="FI143">
        <v>0</v>
      </c>
      <c r="FK143" t="s">
        <v>548</v>
      </c>
      <c r="FL143">
        <v>0.4</v>
      </c>
      <c r="FM143">
        <v>110</v>
      </c>
      <c r="FN143">
        <v>120</v>
      </c>
      <c r="GR143" t="s">
        <v>548</v>
      </c>
      <c r="GS143">
        <v>0.4</v>
      </c>
      <c r="GT143">
        <v>30</v>
      </c>
      <c r="GU143">
        <v>410</v>
      </c>
      <c r="GV143">
        <v>30</v>
      </c>
      <c r="GW143">
        <v>280</v>
      </c>
      <c r="HC143">
        <v>0.1</v>
      </c>
      <c r="HD143">
        <v>3</v>
      </c>
      <c r="HE143">
        <v>3</v>
      </c>
      <c r="HF143">
        <v>3</v>
      </c>
      <c r="HG143">
        <v>3</v>
      </c>
      <c r="HH143">
        <v>3</v>
      </c>
      <c r="HI143">
        <v>190</v>
      </c>
      <c r="HJ143">
        <v>3</v>
      </c>
      <c r="HK143">
        <v>55</v>
      </c>
      <c r="HL143">
        <v>2</v>
      </c>
      <c r="HM143">
        <v>0</v>
      </c>
      <c r="HN143">
        <v>2</v>
      </c>
      <c r="HO143">
        <v>120</v>
      </c>
      <c r="HP143">
        <v>3</v>
      </c>
      <c r="HQ143">
        <v>0</v>
      </c>
      <c r="HR143">
        <v>2</v>
      </c>
      <c r="HS143">
        <v>5404</v>
      </c>
      <c r="HT143">
        <v>160</v>
      </c>
      <c r="HU143">
        <v>180</v>
      </c>
      <c r="HW143">
        <v>0</v>
      </c>
      <c r="HX143">
        <v>460</v>
      </c>
      <c r="HY143">
        <v>0.18</v>
      </c>
      <c r="IA143">
        <v>0.15</v>
      </c>
      <c r="IB143">
        <v>0</v>
      </c>
      <c r="IC143">
        <v>180</v>
      </c>
      <c r="ID143">
        <v>110</v>
      </c>
      <c r="IE143">
        <v>225</v>
      </c>
      <c r="IF143">
        <v>0</v>
      </c>
      <c r="IH143" t="s">
        <v>549</v>
      </c>
      <c r="IO143">
        <v>3</v>
      </c>
      <c r="IP143">
        <v>17</v>
      </c>
      <c r="IQ143">
        <v>0</v>
      </c>
      <c r="IR143">
        <v>1</v>
      </c>
      <c r="IV143">
        <v>1301</v>
      </c>
      <c r="IW143">
        <v>452</v>
      </c>
      <c r="JA143">
        <v>1</v>
      </c>
      <c r="JB143">
        <v>0</v>
      </c>
      <c r="JC143">
        <v>2</v>
      </c>
      <c r="JD143">
        <v>1314</v>
      </c>
      <c r="JE143">
        <v>1311</v>
      </c>
      <c r="JF143">
        <v>1316</v>
      </c>
      <c r="JG143">
        <v>1298</v>
      </c>
      <c r="JH143">
        <v>0</v>
      </c>
      <c r="JJ143">
        <v>180</v>
      </c>
      <c r="JK143">
        <v>460</v>
      </c>
      <c r="JN143">
        <v>430</v>
      </c>
      <c r="JO143">
        <v>595</v>
      </c>
      <c r="JP143">
        <v>500</v>
      </c>
      <c r="JQ143">
        <v>0</v>
      </c>
      <c r="JR143">
        <v>408</v>
      </c>
      <c r="JS143">
        <v>190</v>
      </c>
      <c r="JV143">
        <v>8</v>
      </c>
      <c r="JW143" t="s">
        <v>550</v>
      </c>
      <c r="JX143">
        <v>0</v>
      </c>
      <c r="KA143">
        <v>225</v>
      </c>
      <c r="KB143">
        <v>110</v>
      </c>
      <c r="KC143">
        <v>0</v>
      </c>
      <c r="KD143">
        <v>80</v>
      </c>
      <c r="KF143">
        <v>4</v>
      </c>
      <c r="KG143">
        <v>2</v>
      </c>
      <c r="KH143">
        <v>2</v>
      </c>
      <c r="KI143">
        <v>2</v>
      </c>
      <c r="KJ143">
        <v>0</v>
      </c>
      <c r="KK143">
        <v>1.5</v>
      </c>
      <c r="KL143">
        <v>1.5</v>
      </c>
      <c r="KM143">
        <v>0</v>
      </c>
      <c r="KN143">
        <v>0</v>
      </c>
      <c r="KO143">
        <v>0</v>
      </c>
      <c r="KR143">
        <v>50</v>
      </c>
      <c r="KS143">
        <v>60</v>
      </c>
      <c r="KT143">
        <v>0</v>
      </c>
      <c r="LK143">
        <v>480</v>
      </c>
      <c r="PG143">
        <v>1</v>
      </c>
      <c r="PI143" t="s">
        <v>2201</v>
      </c>
      <c r="PJ143" t="s">
        <v>2202</v>
      </c>
      <c r="PK143" t="s">
        <v>2203</v>
      </c>
      <c r="PL143" t="s">
        <v>885</v>
      </c>
      <c r="PP143" t="s">
        <v>2204</v>
      </c>
      <c r="PX143">
        <v>56</v>
      </c>
      <c r="PY143">
        <v>57</v>
      </c>
      <c r="PZ143" t="s">
        <v>2201</v>
      </c>
      <c r="QA143">
        <v>1</v>
      </c>
      <c r="QB143">
        <v>1298</v>
      </c>
      <c r="QC143">
        <v>69</v>
      </c>
      <c r="QD143">
        <v>69</v>
      </c>
      <c r="QE143" t="s">
        <v>885</v>
      </c>
      <c r="QF143">
        <v>1</v>
      </c>
      <c r="QG143">
        <v>1314</v>
      </c>
      <c r="QH143">
        <v>66</v>
      </c>
      <c r="QI143">
        <v>66</v>
      </c>
      <c r="QL143">
        <v>0</v>
      </c>
      <c r="QM143">
        <v>62</v>
      </c>
      <c r="QN143">
        <v>62</v>
      </c>
      <c r="QO143" t="s">
        <v>2202</v>
      </c>
      <c r="QP143">
        <v>1</v>
      </c>
      <c r="QQ143">
        <v>1311</v>
      </c>
      <c r="QR143">
        <v>62</v>
      </c>
      <c r="QS143">
        <v>62</v>
      </c>
      <c r="QT143" t="s">
        <v>2203</v>
      </c>
      <c r="QU143">
        <v>1</v>
      </c>
      <c r="QV143">
        <v>1316</v>
      </c>
      <c r="QW143">
        <v>82</v>
      </c>
      <c r="QX143">
        <v>89</v>
      </c>
      <c r="QY143" t="s">
        <v>2204</v>
      </c>
      <c r="QZ143">
        <v>1</v>
      </c>
      <c r="RA143">
        <v>66</v>
      </c>
      <c r="RB143">
        <v>66</v>
      </c>
      <c r="RE143">
        <v>0</v>
      </c>
      <c r="RF143">
        <v>1</v>
      </c>
      <c r="RH143">
        <v>1</v>
      </c>
      <c r="RJ143">
        <v>1</v>
      </c>
      <c r="RL143">
        <v>4</v>
      </c>
      <c r="RM143">
        <v>4</v>
      </c>
      <c r="RO143">
        <v>609</v>
      </c>
      <c r="RQ143">
        <v>683</v>
      </c>
      <c r="RR143">
        <v>546</v>
      </c>
      <c r="RT143">
        <v>245</v>
      </c>
      <c r="RU143">
        <v>200</v>
      </c>
      <c r="RV143" t="s">
        <v>984</v>
      </c>
      <c r="RW143" t="s">
        <v>653</v>
      </c>
      <c r="RX143">
        <v>15</v>
      </c>
      <c r="RY143">
        <v>4</v>
      </c>
      <c r="RZ143" t="s">
        <v>653</v>
      </c>
      <c r="SA143">
        <v>15</v>
      </c>
      <c r="SC143" t="s">
        <v>2202</v>
      </c>
      <c r="SD143">
        <v>1</v>
      </c>
      <c r="SF143" t="s">
        <v>2203</v>
      </c>
      <c r="SG143">
        <v>1</v>
      </c>
      <c r="SH143">
        <v>0.995</v>
      </c>
      <c r="SI143">
        <v>0.995</v>
      </c>
      <c r="SJ143">
        <v>0.995</v>
      </c>
      <c r="SK143">
        <v>15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Z143">
        <v>1</v>
      </c>
      <c r="TB143">
        <v>0</v>
      </c>
      <c r="TC143">
        <v>0</v>
      </c>
      <c r="TD143">
        <v>7.5</v>
      </c>
      <c r="TE143" t="s">
        <v>553</v>
      </c>
      <c r="TF143" t="s">
        <v>624</v>
      </c>
      <c r="TG143" t="s">
        <v>555</v>
      </c>
      <c r="TI143" t="s">
        <v>546</v>
      </c>
      <c r="TJ143" t="s">
        <v>547</v>
      </c>
      <c r="TL143" t="s">
        <v>1888</v>
      </c>
      <c r="TM143" t="s">
        <v>513</v>
      </c>
      <c r="TN143">
        <v>0</v>
      </c>
      <c r="TO143" t="s">
        <v>557</v>
      </c>
    </row>
    <row r="144" spans="1:535">
      <c r="A144" t="s">
        <v>2205</v>
      </c>
      <c r="B144" t="s">
        <v>804</v>
      </c>
      <c r="C144" t="s">
        <v>509</v>
      </c>
      <c r="D144" t="s">
        <v>2206</v>
      </c>
      <c r="G144" t="s">
        <v>1135</v>
      </c>
      <c r="I144" t="s">
        <v>562</v>
      </c>
      <c r="J144" t="s">
        <v>563</v>
      </c>
      <c r="L144" t="s">
        <v>512</v>
      </c>
      <c r="M144" t="s">
        <v>508</v>
      </c>
      <c r="N144" t="s">
        <v>513</v>
      </c>
      <c r="O144" t="s">
        <v>1255</v>
      </c>
      <c r="P144" t="s">
        <v>515</v>
      </c>
      <c r="Q144" t="s">
        <v>2207</v>
      </c>
      <c r="R144" t="s">
        <v>567</v>
      </c>
      <c r="S144" t="s">
        <v>835</v>
      </c>
      <c r="T144" t="s">
        <v>685</v>
      </c>
      <c r="U144" t="s">
        <v>662</v>
      </c>
      <c r="V144" t="s">
        <v>663</v>
      </c>
      <c r="W144" t="s">
        <v>2208</v>
      </c>
      <c r="X144" t="s">
        <v>1880</v>
      </c>
      <c r="Y144" t="s">
        <v>524</v>
      </c>
      <c r="Z144" t="s">
        <v>2209</v>
      </c>
      <c r="AA144" t="s">
        <v>2210</v>
      </c>
      <c r="AB144" t="s">
        <v>2211</v>
      </c>
      <c r="AC144">
        <v>2</v>
      </c>
      <c r="AD144">
        <v>56</v>
      </c>
      <c r="AE144">
        <v>194</v>
      </c>
      <c r="AF144">
        <v>1.5</v>
      </c>
      <c r="AH144">
        <v>0</v>
      </c>
      <c r="AI144" t="s">
        <v>812</v>
      </c>
      <c r="AJ144">
        <v>205</v>
      </c>
      <c r="AK144">
        <v>1</v>
      </c>
      <c r="AL144">
        <v>1.5</v>
      </c>
      <c r="AM144" t="s">
        <v>529</v>
      </c>
      <c r="AO144">
        <v>0</v>
      </c>
      <c r="AR144">
        <v>0</v>
      </c>
      <c r="AS144">
        <v>1.5</v>
      </c>
      <c r="AU144" t="s">
        <v>2212</v>
      </c>
      <c r="AW144" t="s">
        <v>2212</v>
      </c>
      <c r="AX144">
        <v>1</v>
      </c>
      <c r="AY144">
        <v>285</v>
      </c>
      <c r="AZ144">
        <v>1.5</v>
      </c>
      <c r="BA144" t="s">
        <v>529</v>
      </c>
      <c r="BB144" t="s">
        <v>2213</v>
      </c>
      <c r="BD144" t="s">
        <v>2213</v>
      </c>
      <c r="BE144">
        <v>1</v>
      </c>
      <c r="BF144">
        <v>240</v>
      </c>
      <c r="BG144">
        <v>1.5</v>
      </c>
      <c r="BJ144">
        <v>0</v>
      </c>
      <c r="BN144">
        <v>1.5</v>
      </c>
      <c r="BP144" t="s">
        <v>767</v>
      </c>
      <c r="BQ144">
        <v>88</v>
      </c>
      <c r="BR144">
        <v>2</v>
      </c>
      <c r="BS144" t="s">
        <v>768</v>
      </c>
      <c r="BT144">
        <v>216</v>
      </c>
      <c r="BU144">
        <v>0.5</v>
      </c>
      <c r="BV144" t="s">
        <v>768</v>
      </c>
      <c r="BW144">
        <v>432</v>
      </c>
      <c r="BX144">
        <v>1</v>
      </c>
      <c r="BY144" t="s">
        <v>643</v>
      </c>
      <c r="BZ144">
        <v>290</v>
      </c>
      <c r="CA144">
        <v>510</v>
      </c>
      <c r="CB144" t="s">
        <v>672</v>
      </c>
      <c r="CC144" t="s">
        <v>672</v>
      </c>
      <c r="CD144">
        <v>448</v>
      </c>
      <c r="CE144" t="s">
        <v>673</v>
      </c>
      <c r="CF144">
        <v>15</v>
      </c>
      <c r="CG144" t="s">
        <v>1196</v>
      </c>
      <c r="CH144" t="s">
        <v>1196</v>
      </c>
      <c r="CI144">
        <v>110</v>
      </c>
      <c r="CJ144">
        <v>1381</v>
      </c>
      <c r="CK144">
        <v>2</v>
      </c>
      <c r="CL144">
        <v>1475</v>
      </c>
      <c r="CM144">
        <v>2</v>
      </c>
      <c r="CN144" t="s">
        <v>675</v>
      </c>
      <c r="CO144" t="s">
        <v>676</v>
      </c>
      <c r="CP144" t="s">
        <v>595</v>
      </c>
      <c r="CQ144" t="s">
        <v>621</v>
      </c>
      <c r="CR144" t="s">
        <v>541</v>
      </c>
      <c r="CS144" t="s">
        <v>542</v>
      </c>
      <c r="CT144">
        <v>410</v>
      </c>
      <c r="CU144">
        <v>5</v>
      </c>
      <c r="CV144">
        <v>1.2</v>
      </c>
      <c r="CW144">
        <v>1393</v>
      </c>
      <c r="CX144">
        <v>809</v>
      </c>
      <c r="DD144">
        <v>0</v>
      </c>
      <c r="DE144" t="s">
        <v>622</v>
      </c>
      <c r="DF144">
        <v>570</v>
      </c>
      <c r="DG144">
        <v>3</v>
      </c>
      <c r="DH144">
        <v>0.88</v>
      </c>
      <c r="DI144">
        <v>1390</v>
      </c>
      <c r="DJ144">
        <v>892</v>
      </c>
      <c r="DK144" t="s">
        <v>622</v>
      </c>
      <c r="DL144">
        <v>480</v>
      </c>
      <c r="DM144">
        <v>3</v>
      </c>
      <c r="DN144">
        <v>0.88</v>
      </c>
      <c r="DO144">
        <v>1396</v>
      </c>
      <c r="DP144">
        <v>734</v>
      </c>
      <c r="DW144" t="s">
        <v>544</v>
      </c>
      <c r="DX144">
        <v>7.5</v>
      </c>
      <c r="EA144">
        <v>1464.3</v>
      </c>
      <c r="EB144">
        <v>259</v>
      </c>
      <c r="EC144" t="s">
        <v>545</v>
      </c>
      <c r="ED144">
        <v>40</v>
      </c>
      <c r="EE144">
        <v>3</v>
      </c>
      <c r="EG144">
        <v>1505</v>
      </c>
      <c r="EH144">
        <v>241</v>
      </c>
      <c r="EJ144">
        <v>0</v>
      </c>
      <c r="EK144">
        <v>1</v>
      </c>
      <c r="EN144">
        <v>0</v>
      </c>
      <c r="EP144" t="s">
        <v>546</v>
      </c>
      <c r="EQ144">
        <v>115</v>
      </c>
      <c r="ER144">
        <v>3</v>
      </c>
      <c r="ES144">
        <v>5.5</v>
      </c>
      <c r="ET144">
        <v>1378</v>
      </c>
      <c r="EU144">
        <v>528.6</v>
      </c>
      <c r="EV144">
        <v>728</v>
      </c>
      <c r="EW144" t="s">
        <v>547</v>
      </c>
      <c r="EX144">
        <v>70</v>
      </c>
      <c r="EY144">
        <v>2</v>
      </c>
      <c r="EZ144">
        <v>4.5</v>
      </c>
      <c r="FA144">
        <v>1378</v>
      </c>
      <c r="FB144">
        <v>219.6</v>
      </c>
      <c r="FC144">
        <v>303</v>
      </c>
      <c r="FE144">
        <v>0</v>
      </c>
      <c r="FF144">
        <v>2</v>
      </c>
      <c r="FI144">
        <v>0</v>
      </c>
      <c r="FK144" t="s">
        <v>548</v>
      </c>
      <c r="FL144">
        <v>0.4</v>
      </c>
      <c r="FM144">
        <v>90</v>
      </c>
      <c r="FN144">
        <v>140</v>
      </c>
      <c r="GR144" t="s">
        <v>548</v>
      </c>
      <c r="GS144">
        <v>0.4</v>
      </c>
      <c r="GT144">
        <v>30</v>
      </c>
      <c r="GU144">
        <v>390</v>
      </c>
      <c r="GV144">
        <v>30</v>
      </c>
      <c r="GW144">
        <v>270</v>
      </c>
      <c r="HC144">
        <v>0.1</v>
      </c>
      <c r="HD144">
        <v>3</v>
      </c>
      <c r="HE144">
        <v>3</v>
      </c>
      <c r="HF144">
        <v>3</v>
      </c>
      <c r="HG144">
        <v>3</v>
      </c>
      <c r="HH144">
        <v>3</v>
      </c>
      <c r="HI144">
        <v>170</v>
      </c>
      <c r="HJ144">
        <v>3</v>
      </c>
      <c r="HK144">
        <v>55</v>
      </c>
      <c r="HL144">
        <v>2</v>
      </c>
      <c r="HM144">
        <v>0</v>
      </c>
      <c r="HN144">
        <v>2</v>
      </c>
      <c r="HO144">
        <v>100</v>
      </c>
      <c r="HP144">
        <v>3</v>
      </c>
      <c r="HQ144">
        <v>0</v>
      </c>
      <c r="HR144">
        <v>2</v>
      </c>
      <c r="HS144">
        <v>5497</v>
      </c>
      <c r="HT144">
        <v>160</v>
      </c>
      <c r="HU144">
        <v>180</v>
      </c>
      <c r="HW144">
        <v>0</v>
      </c>
      <c r="HX144">
        <v>450</v>
      </c>
      <c r="HY144">
        <v>0.18</v>
      </c>
      <c r="IA144">
        <v>0.15</v>
      </c>
      <c r="IB144">
        <v>0</v>
      </c>
      <c r="IC144">
        <v>180</v>
      </c>
      <c r="ID144">
        <v>110</v>
      </c>
      <c r="IE144">
        <v>225</v>
      </c>
      <c r="IF144">
        <v>0</v>
      </c>
      <c r="IH144" t="s">
        <v>549</v>
      </c>
      <c r="IO144">
        <v>3</v>
      </c>
      <c r="IP144">
        <v>18</v>
      </c>
      <c r="IQ144">
        <v>0</v>
      </c>
      <c r="IR144">
        <v>1</v>
      </c>
      <c r="IV144">
        <v>1381</v>
      </c>
      <c r="IW144">
        <v>432</v>
      </c>
      <c r="JA144">
        <v>1</v>
      </c>
      <c r="JB144">
        <v>0</v>
      </c>
      <c r="JC144">
        <v>2</v>
      </c>
      <c r="JD144">
        <v>1393</v>
      </c>
      <c r="JE144">
        <v>1390</v>
      </c>
      <c r="JF144">
        <v>1396</v>
      </c>
      <c r="JG144">
        <v>1378</v>
      </c>
      <c r="JH144">
        <v>0</v>
      </c>
      <c r="JJ144">
        <v>180</v>
      </c>
      <c r="JK144">
        <v>450</v>
      </c>
      <c r="JN144">
        <v>410</v>
      </c>
      <c r="JO144">
        <v>570</v>
      </c>
      <c r="JP144">
        <v>480</v>
      </c>
      <c r="JQ144">
        <v>0</v>
      </c>
      <c r="JR144">
        <v>388</v>
      </c>
      <c r="JS144">
        <v>170</v>
      </c>
      <c r="JV144">
        <v>8</v>
      </c>
      <c r="JW144" t="s">
        <v>550</v>
      </c>
      <c r="JX144">
        <v>0</v>
      </c>
      <c r="KA144">
        <v>225</v>
      </c>
      <c r="KB144">
        <v>110</v>
      </c>
      <c r="KC144">
        <v>0</v>
      </c>
      <c r="KD144">
        <v>80</v>
      </c>
      <c r="KF144">
        <v>4</v>
      </c>
      <c r="KG144">
        <v>2</v>
      </c>
      <c r="KH144">
        <v>2</v>
      </c>
      <c r="KI144">
        <v>2</v>
      </c>
      <c r="KJ144">
        <v>0</v>
      </c>
      <c r="KK144">
        <v>1.5</v>
      </c>
      <c r="KL144">
        <v>1.5</v>
      </c>
      <c r="KM144">
        <v>0</v>
      </c>
      <c r="KN144">
        <v>0</v>
      </c>
      <c r="KO144">
        <v>0</v>
      </c>
      <c r="KR144">
        <v>30</v>
      </c>
      <c r="KS144">
        <v>60</v>
      </c>
      <c r="KT144">
        <v>0</v>
      </c>
      <c r="LK144">
        <v>480</v>
      </c>
      <c r="PG144">
        <v>1</v>
      </c>
      <c r="PI144" t="s">
        <v>2211</v>
      </c>
      <c r="PJ144" t="s">
        <v>2212</v>
      </c>
      <c r="PK144" t="s">
        <v>2213</v>
      </c>
      <c r="PL144" t="s">
        <v>812</v>
      </c>
      <c r="PP144" t="s">
        <v>767</v>
      </c>
      <c r="PX144">
        <v>56</v>
      </c>
      <c r="PY144">
        <v>56</v>
      </c>
      <c r="PZ144" t="s">
        <v>2211</v>
      </c>
      <c r="QA144">
        <v>1</v>
      </c>
      <c r="QB144">
        <v>1378</v>
      </c>
      <c r="QC144">
        <v>69</v>
      </c>
      <c r="QD144">
        <v>69</v>
      </c>
      <c r="QE144" t="s">
        <v>812</v>
      </c>
      <c r="QF144">
        <v>1</v>
      </c>
      <c r="QG144">
        <v>1393</v>
      </c>
      <c r="QH144">
        <v>66</v>
      </c>
      <c r="QI144">
        <v>66</v>
      </c>
      <c r="QL144">
        <v>0</v>
      </c>
      <c r="QM144">
        <v>62</v>
      </c>
      <c r="QN144">
        <v>62</v>
      </c>
      <c r="QO144" t="s">
        <v>2212</v>
      </c>
      <c r="QP144">
        <v>1</v>
      </c>
      <c r="QQ144">
        <v>1390</v>
      </c>
      <c r="QR144">
        <v>62</v>
      </c>
      <c r="QS144">
        <v>62</v>
      </c>
      <c r="QT144" t="s">
        <v>2213</v>
      </c>
      <c r="QU144">
        <v>1</v>
      </c>
      <c r="QV144">
        <v>1396</v>
      </c>
      <c r="QW144">
        <v>82</v>
      </c>
      <c r="QX144">
        <v>88</v>
      </c>
      <c r="QY144" t="s">
        <v>767</v>
      </c>
      <c r="QZ144">
        <v>1</v>
      </c>
      <c r="RA144">
        <v>66</v>
      </c>
      <c r="RB144">
        <v>66</v>
      </c>
      <c r="RE144">
        <v>0</v>
      </c>
      <c r="RF144">
        <v>1</v>
      </c>
      <c r="RH144">
        <v>1</v>
      </c>
      <c r="RJ144">
        <v>1</v>
      </c>
      <c r="RL144">
        <v>4</v>
      </c>
      <c r="RM144">
        <v>4</v>
      </c>
      <c r="RO144">
        <v>581</v>
      </c>
      <c r="RQ144">
        <v>642</v>
      </c>
      <c r="RR144">
        <v>526</v>
      </c>
      <c r="RT144">
        <v>259</v>
      </c>
      <c r="RU144">
        <v>241</v>
      </c>
      <c r="RV144" t="s">
        <v>770</v>
      </c>
      <c r="RW144" t="s">
        <v>679</v>
      </c>
      <c r="RX144">
        <v>15</v>
      </c>
      <c r="RY144">
        <v>4</v>
      </c>
      <c r="RZ144" t="s">
        <v>679</v>
      </c>
      <c r="SA144">
        <v>15</v>
      </c>
      <c r="SC144" t="s">
        <v>2212</v>
      </c>
      <c r="SD144">
        <v>1</v>
      </c>
      <c r="SF144" t="s">
        <v>2213</v>
      </c>
      <c r="SG144">
        <v>1</v>
      </c>
      <c r="SH144">
        <v>0.995</v>
      </c>
      <c r="SI144">
        <v>0.995</v>
      </c>
      <c r="SJ144">
        <v>0.995</v>
      </c>
      <c r="SK144">
        <v>15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Z144">
        <v>1</v>
      </c>
      <c r="TB144">
        <v>0</v>
      </c>
      <c r="TC144">
        <v>0</v>
      </c>
      <c r="TD144">
        <v>7.5</v>
      </c>
      <c r="TE144" t="s">
        <v>553</v>
      </c>
      <c r="TF144" t="s">
        <v>624</v>
      </c>
      <c r="TG144" t="s">
        <v>555</v>
      </c>
      <c r="TI144" t="s">
        <v>546</v>
      </c>
      <c r="TJ144" t="s">
        <v>547</v>
      </c>
      <c r="TL144" t="s">
        <v>1888</v>
      </c>
      <c r="TM144" t="s">
        <v>513</v>
      </c>
      <c r="TN144">
        <v>0</v>
      </c>
      <c r="TO144" t="s">
        <v>557</v>
      </c>
    </row>
    <row r="145" spans="1:535">
      <c r="A145" t="s">
        <v>2214</v>
      </c>
      <c r="B145" t="s">
        <v>508</v>
      </c>
      <c r="C145" t="s">
        <v>509</v>
      </c>
      <c r="D145" t="s">
        <v>2215</v>
      </c>
      <c r="G145" t="s">
        <v>2216</v>
      </c>
      <c r="H145" t="s">
        <v>511</v>
      </c>
      <c r="I145" t="s">
        <v>562</v>
      </c>
      <c r="J145" t="s">
        <v>2217</v>
      </c>
      <c r="L145" t="s">
        <v>512</v>
      </c>
      <c r="N145" t="s">
        <v>513</v>
      </c>
      <c r="O145" t="s">
        <v>1255</v>
      </c>
      <c r="P145" t="s">
        <v>515</v>
      </c>
      <c r="Q145" t="s">
        <v>2218</v>
      </c>
      <c r="R145" t="s">
        <v>517</v>
      </c>
      <c r="S145" t="s">
        <v>518</v>
      </c>
      <c r="T145" t="s">
        <v>519</v>
      </c>
      <c r="U145" t="s">
        <v>520</v>
      </c>
      <c r="V145" t="s">
        <v>521</v>
      </c>
      <c r="W145" t="s">
        <v>2219</v>
      </c>
      <c r="X145" t="s">
        <v>2220</v>
      </c>
      <c r="Y145" t="s">
        <v>524</v>
      </c>
      <c r="Z145" t="s">
        <v>2221</v>
      </c>
      <c r="AA145" t="s">
        <v>2222</v>
      </c>
      <c r="AB145" t="s">
        <v>2223</v>
      </c>
      <c r="AC145">
        <v>2</v>
      </c>
      <c r="AD145">
        <v>57</v>
      </c>
      <c r="AE145">
        <v>196</v>
      </c>
      <c r="AF145">
        <v>1.5</v>
      </c>
      <c r="AH145">
        <v>0</v>
      </c>
      <c r="AI145" t="s">
        <v>2224</v>
      </c>
      <c r="AJ145">
        <v>175</v>
      </c>
      <c r="AK145">
        <v>1</v>
      </c>
      <c r="AL145">
        <v>1.5</v>
      </c>
      <c r="AM145" t="s">
        <v>579</v>
      </c>
      <c r="AN145" t="s">
        <v>855</v>
      </c>
      <c r="AO145">
        <v>2</v>
      </c>
      <c r="AP145" t="s">
        <v>581</v>
      </c>
      <c r="AQ145" t="s">
        <v>582</v>
      </c>
      <c r="AR145">
        <v>213</v>
      </c>
      <c r="AS145">
        <v>1.5</v>
      </c>
      <c r="AT145" t="s">
        <v>583</v>
      </c>
      <c r="AU145" t="s">
        <v>2225</v>
      </c>
      <c r="AW145" t="s">
        <v>2225</v>
      </c>
      <c r="AX145">
        <v>1</v>
      </c>
      <c r="AY145">
        <v>317.5</v>
      </c>
      <c r="AZ145">
        <v>1.5</v>
      </c>
      <c r="BA145" t="s">
        <v>579</v>
      </c>
      <c r="BG145">
        <v>1.5</v>
      </c>
      <c r="BJ145">
        <v>0</v>
      </c>
      <c r="BN145">
        <v>1.5</v>
      </c>
      <c r="BP145" t="s">
        <v>2226</v>
      </c>
      <c r="BQ145">
        <v>82</v>
      </c>
      <c r="BR145">
        <v>2</v>
      </c>
      <c r="BS145" t="s">
        <v>2227</v>
      </c>
      <c r="BT145">
        <v>191</v>
      </c>
      <c r="BU145">
        <v>0.5</v>
      </c>
      <c r="BV145" t="s">
        <v>2227</v>
      </c>
      <c r="BW145">
        <v>382</v>
      </c>
      <c r="BX145">
        <v>1</v>
      </c>
      <c r="BY145" t="s">
        <v>533</v>
      </c>
      <c r="BZ145">
        <v>300</v>
      </c>
      <c r="CA145">
        <v>400</v>
      </c>
      <c r="CB145" t="s">
        <v>534</v>
      </c>
      <c r="CC145" t="s">
        <v>534</v>
      </c>
      <c r="CD145">
        <v>416</v>
      </c>
      <c r="CE145" t="s">
        <v>535</v>
      </c>
      <c r="CF145">
        <v>15</v>
      </c>
      <c r="CG145" t="s">
        <v>1577</v>
      </c>
      <c r="CH145" t="s">
        <v>1577</v>
      </c>
      <c r="CI145">
        <v>50</v>
      </c>
      <c r="CJ145">
        <v>1200</v>
      </c>
      <c r="CK145">
        <v>2</v>
      </c>
      <c r="CL145">
        <v>1301</v>
      </c>
      <c r="CM145">
        <v>2</v>
      </c>
      <c r="CN145" t="s">
        <v>537</v>
      </c>
      <c r="CO145" t="s">
        <v>538</v>
      </c>
      <c r="CP145" t="s">
        <v>539</v>
      </c>
      <c r="CQ145" t="s">
        <v>1343</v>
      </c>
      <c r="CR145" t="s">
        <v>541</v>
      </c>
      <c r="CS145" t="s">
        <v>542</v>
      </c>
      <c r="CT145">
        <v>350</v>
      </c>
      <c r="CU145">
        <v>5</v>
      </c>
      <c r="CV145">
        <v>1.3</v>
      </c>
      <c r="CW145">
        <v>1218</v>
      </c>
      <c r="CX145">
        <v>654</v>
      </c>
      <c r="CY145" t="s">
        <v>597</v>
      </c>
      <c r="CZ145">
        <v>50</v>
      </c>
      <c r="DA145">
        <v>3</v>
      </c>
      <c r="DB145">
        <v>1.28</v>
      </c>
      <c r="DC145">
        <v>1218</v>
      </c>
      <c r="DD145">
        <v>86</v>
      </c>
      <c r="DE145" t="s">
        <v>543</v>
      </c>
      <c r="DF145">
        <v>635</v>
      </c>
      <c r="DG145">
        <v>3</v>
      </c>
      <c r="DH145">
        <v>1.18</v>
      </c>
      <c r="DI145">
        <v>1210</v>
      </c>
      <c r="DJ145">
        <v>1154</v>
      </c>
      <c r="DW145" t="s">
        <v>544</v>
      </c>
      <c r="DX145">
        <v>7.5</v>
      </c>
      <c r="EA145">
        <v>1282.5</v>
      </c>
      <c r="EB145">
        <v>242</v>
      </c>
      <c r="EC145" t="s">
        <v>545</v>
      </c>
      <c r="ED145">
        <v>35</v>
      </c>
      <c r="EE145">
        <v>3</v>
      </c>
      <c r="EG145">
        <v>1323</v>
      </c>
      <c r="EH145">
        <v>210</v>
      </c>
      <c r="EJ145">
        <v>0</v>
      </c>
      <c r="EK145">
        <v>1</v>
      </c>
      <c r="EN145">
        <v>0</v>
      </c>
      <c r="EP145" t="s">
        <v>546</v>
      </c>
      <c r="EQ145">
        <v>95</v>
      </c>
      <c r="ER145">
        <v>3</v>
      </c>
      <c r="ES145">
        <v>5.4</v>
      </c>
      <c r="ET145">
        <v>1197</v>
      </c>
      <c r="EU145">
        <v>375.7</v>
      </c>
      <c r="EV145">
        <v>450</v>
      </c>
      <c r="EW145" t="s">
        <v>547</v>
      </c>
      <c r="EX145">
        <v>45</v>
      </c>
      <c r="EY145">
        <v>2</v>
      </c>
      <c r="EZ145">
        <v>4</v>
      </c>
      <c r="FA145">
        <v>1197</v>
      </c>
      <c r="FB145">
        <v>128.9</v>
      </c>
      <c r="FC145">
        <v>154</v>
      </c>
      <c r="FE145">
        <v>0</v>
      </c>
      <c r="FF145">
        <v>2</v>
      </c>
      <c r="FI145">
        <v>0</v>
      </c>
      <c r="FK145" t="s">
        <v>548</v>
      </c>
      <c r="FL145">
        <v>0.4</v>
      </c>
      <c r="FM145">
        <v>55</v>
      </c>
      <c r="FN145">
        <v>290</v>
      </c>
      <c r="FO145">
        <v>50</v>
      </c>
      <c r="FP145">
        <v>120</v>
      </c>
      <c r="HC145">
        <v>0.1</v>
      </c>
      <c r="HD145">
        <v>3</v>
      </c>
      <c r="HE145">
        <v>3</v>
      </c>
      <c r="HF145">
        <v>3</v>
      </c>
      <c r="HG145">
        <v>3</v>
      </c>
      <c r="HH145">
        <v>3</v>
      </c>
      <c r="HI145">
        <v>120</v>
      </c>
      <c r="HJ145">
        <v>3</v>
      </c>
      <c r="HK145">
        <v>25</v>
      </c>
      <c r="HL145">
        <v>2</v>
      </c>
      <c r="HM145">
        <v>0</v>
      </c>
      <c r="HN145">
        <v>2</v>
      </c>
      <c r="HO145">
        <v>75</v>
      </c>
      <c r="HP145">
        <v>3</v>
      </c>
      <c r="HQ145">
        <v>0</v>
      </c>
      <c r="HR145">
        <v>2</v>
      </c>
      <c r="HS145">
        <v>4092</v>
      </c>
      <c r="HT145">
        <v>120</v>
      </c>
      <c r="HU145">
        <v>170</v>
      </c>
      <c r="HW145">
        <v>20</v>
      </c>
      <c r="HX145">
        <v>456</v>
      </c>
      <c r="HY145">
        <v>0.18</v>
      </c>
      <c r="IA145">
        <v>0.15</v>
      </c>
      <c r="IB145">
        <v>0</v>
      </c>
      <c r="IC145">
        <v>90</v>
      </c>
      <c r="ID145">
        <v>110</v>
      </c>
      <c r="IE145">
        <v>29</v>
      </c>
      <c r="IF145">
        <v>34</v>
      </c>
      <c r="IH145" t="s">
        <v>549</v>
      </c>
      <c r="IO145">
        <v>1</v>
      </c>
      <c r="IP145">
        <v>16</v>
      </c>
      <c r="IQ145">
        <v>1</v>
      </c>
      <c r="IR145">
        <v>0</v>
      </c>
      <c r="IV145">
        <v>1200</v>
      </c>
      <c r="IW145">
        <v>382</v>
      </c>
      <c r="JA145">
        <v>1</v>
      </c>
      <c r="JB145">
        <v>0</v>
      </c>
      <c r="JC145">
        <v>2</v>
      </c>
      <c r="JD145">
        <v>1218</v>
      </c>
      <c r="JE145">
        <v>1210</v>
      </c>
      <c r="JF145">
        <v>0</v>
      </c>
      <c r="JG145">
        <v>1197</v>
      </c>
      <c r="JH145">
        <v>0</v>
      </c>
      <c r="JJ145">
        <v>170</v>
      </c>
      <c r="JK145">
        <v>456</v>
      </c>
      <c r="JN145">
        <v>350</v>
      </c>
      <c r="JO145">
        <v>635</v>
      </c>
      <c r="JP145">
        <v>0</v>
      </c>
      <c r="JQ145">
        <v>0</v>
      </c>
      <c r="JR145">
        <v>392</v>
      </c>
      <c r="JS145">
        <v>120</v>
      </c>
      <c r="JV145">
        <v>8</v>
      </c>
      <c r="JW145" t="s">
        <v>550</v>
      </c>
      <c r="JX145">
        <v>426</v>
      </c>
      <c r="KA145">
        <v>29</v>
      </c>
      <c r="KB145">
        <v>110</v>
      </c>
      <c r="KC145">
        <v>34</v>
      </c>
      <c r="KD145">
        <v>80</v>
      </c>
      <c r="KF145">
        <v>4</v>
      </c>
      <c r="KG145">
        <v>4</v>
      </c>
      <c r="KH145">
        <v>2</v>
      </c>
      <c r="KI145">
        <v>2</v>
      </c>
      <c r="KJ145">
        <v>0</v>
      </c>
      <c r="KK145">
        <v>1.5</v>
      </c>
      <c r="KL145">
        <v>1.5</v>
      </c>
      <c r="KM145">
        <v>0</v>
      </c>
      <c r="KN145">
        <v>0</v>
      </c>
      <c r="KO145">
        <v>0</v>
      </c>
      <c r="KR145">
        <v>20</v>
      </c>
      <c r="KS145">
        <v>60</v>
      </c>
      <c r="KT145">
        <v>0</v>
      </c>
      <c r="LK145">
        <v>480</v>
      </c>
      <c r="PG145">
        <v>1</v>
      </c>
      <c r="PI145" t="s">
        <v>2223</v>
      </c>
      <c r="PJ145" t="s">
        <v>2225</v>
      </c>
      <c r="PL145" t="s">
        <v>2224</v>
      </c>
      <c r="PP145" t="s">
        <v>2226</v>
      </c>
      <c r="PS145" t="s">
        <v>855</v>
      </c>
      <c r="PX145">
        <v>56</v>
      </c>
      <c r="PY145">
        <v>57</v>
      </c>
      <c r="PZ145" t="s">
        <v>2223</v>
      </c>
      <c r="QA145">
        <v>1</v>
      </c>
      <c r="QB145">
        <v>1197</v>
      </c>
      <c r="QC145">
        <v>69</v>
      </c>
      <c r="QD145">
        <v>69</v>
      </c>
      <c r="QE145" t="s">
        <v>2224</v>
      </c>
      <c r="QF145">
        <v>1</v>
      </c>
      <c r="QG145">
        <v>1218</v>
      </c>
      <c r="QH145">
        <v>66</v>
      </c>
      <c r="QI145">
        <v>66</v>
      </c>
      <c r="QJ145" t="s">
        <v>855</v>
      </c>
      <c r="QK145">
        <v>1</v>
      </c>
      <c r="QL145">
        <v>1218</v>
      </c>
      <c r="QM145">
        <v>62</v>
      </c>
      <c r="QN145">
        <v>62</v>
      </c>
      <c r="QO145" t="s">
        <v>2225</v>
      </c>
      <c r="QP145">
        <v>1</v>
      </c>
      <c r="QQ145">
        <v>1210</v>
      </c>
      <c r="QW145">
        <v>82</v>
      </c>
      <c r="QX145">
        <v>82</v>
      </c>
      <c r="QY145" t="s">
        <v>2226</v>
      </c>
      <c r="QZ145">
        <v>1</v>
      </c>
      <c r="RA145">
        <v>66</v>
      </c>
      <c r="RB145">
        <v>66</v>
      </c>
      <c r="RE145">
        <v>0</v>
      </c>
      <c r="RF145">
        <v>1</v>
      </c>
      <c r="RJ145">
        <v>1</v>
      </c>
      <c r="RK145">
        <v>1</v>
      </c>
      <c r="RL145">
        <v>1</v>
      </c>
      <c r="RO145">
        <v>537</v>
      </c>
      <c r="RP145">
        <v>142</v>
      </c>
      <c r="RQ145">
        <v>954</v>
      </c>
      <c r="RT145">
        <v>242</v>
      </c>
      <c r="RU145">
        <v>210</v>
      </c>
      <c r="RV145" t="s">
        <v>2228</v>
      </c>
      <c r="RW145" t="s">
        <v>552</v>
      </c>
      <c r="RX145">
        <v>15</v>
      </c>
      <c r="RY145">
        <v>4</v>
      </c>
      <c r="RZ145" t="s">
        <v>552</v>
      </c>
      <c r="SA145">
        <v>15</v>
      </c>
      <c r="SC145" t="s">
        <v>2225</v>
      </c>
      <c r="SD145">
        <v>1</v>
      </c>
      <c r="SH145">
        <v>0.995</v>
      </c>
      <c r="SI145">
        <v>0.995</v>
      </c>
      <c r="SJ145">
        <v>0.995</v>
      </c>
      <c r="SK145">
        <v>15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1</v>
      </c>
      <c r="TB145">
        <v>0</v>
      </c>
      <c r="TC145">
        <v>0</v>
      </c>
      <c r="TD145">
        <v>7.5</v>
      </c>
      <c r="TE145" t="s">
        <v>553</v>
      </c>
      <c r="TF145" t="s">
        <v>655</v>
      </c>
      <c r="TG145" t="s">
        <v>555</v>
      </c>
      <c r="TI145" t="s">
        <v>546</v>
      </c>
      <c r="TJ145" t="s">
        <v>547</v>
      </c>
      <c r="TL145" t="s">
        <v>1888</v>
      </c>
      <c r="TM145" t="s">
        <v>513</v>
      </c>
      <c r="TN145">
        <v>0</v>
      </c>
      <c r="TO145" t="s">
        <v>557</v>
      </c>
    </row>
    <row r="146" spans="1:535">
      <c r="A146" t="s">
        <v>2229</v>
      </c>
      <c r="B146" t="s">
        <v>559</v>
      </c>
      <c r="C146" t="s">
        <v>509</v>
      </c>
      <c r="D146" t="s">
        <v>1293</v>
      </c>
      <c r="G146" t="s">
        <v>1088</v>
      </c>
      <c r="L146" t="s">
        <v>512</v>
      </c>
      <c r="M146" t="s">
        <v>564</v>
      </c>
      <c r="N146" t="s">
        <v>513</v>
      </c>
      <c r="O146" t="s">
        <v>1255</v>
      </c>
      <c r="P146" t="s">
        <v>515</v>
      </c>
      <c r="Q146" t="s">
        <v>2230</v>
      </c>
      <c r="R146" t="s">
        <v>567</v>
      </c>
      <c r="S146" t="s">
        <v>2231</v>
      </c>
      <c r="T146" t="s">
        <v>1138</v>
      </c>
      <c r="U146" t="s">
        <v>570</v>
      </c>
      <c r="V146" t="s">
        <v>571</v>
      </c>
      <c r="W146" t="s">
        <v>1232</v>
      </c>
      <c r="X146" t="s">
        <v>2232</v>
      </c>
      <c r="Y146" t="s">
        <v>524</v>
      </c>
      <c r="Z146" t="s">
        <v>2233</v>
      </c>
      <c r="AA146" t="s">
        <v>2234</v>
      </c>
      <c r="AB146" t="s">
        <v>2235</v>
      </c>
      <c r="AC146">
        <v>2</v>
      </c>
      <c r="AD146">
        <v>57</v>
      </c>
      <c r="AE146">
        <v>190</v>
      </c>
      <c r="AF146">
        <v>1.5</v>
      </c>
      <c r="AH146">
        <v>0</v>
      </c>
      <c r="AI146" t="s">
        <v>1021</v>
      </c>
      <c r="AJ146">
        <v>172.5</v>
      </c>
      <c r="AK146">
        <v>1</v>
      </c>
      <c r="AL146">
        <v>1.5</v>
      </c>
      <c r="AM146" t="s">
        <v>579</v>
      </c>
      <c r="AN146" t="s">
        <v>855</v>
      </c>
      <c r="AO146">
        <v>2</v>
      </c>
      <c r="AP146" t="s">
        <v>581</v>
      </c>
      <c r="AQ146" t="s">
        <v>582</v>
      </c>
      <c r="AR146">
        <v>210</v>
      </c>
      <c r="AS146">
        <v>1.5</v>
      </c>
      <c r="AT146" t="s">
        <v>583</v>
      </c>
      <c r="AU146" t="s">
        <v>2236</v>
      </c>
      <c r="AW146" t="s">
        <v>2236</v>
      </c>
      <c r="AX146">
        <v>1</v>
      </c>
      <c r="AY146">
        <v>235</v>
      </c>
      <c r="AZ146">
        <v>1.5</v>
      </c>
      <c r="BA146" t="s">
        <v>579</v>
      </c>
      <c r="BC146" t="s">
        <v>2237</v>
      </c>
      <c r="BD146" t="s">
        <v>2237</v>
      </c>
      <c r="BE146">
        <v>1</v>
      </c>
      <c r="BF146">
        <v>212.5</v>
      </c>
      <c r="BG146">
        <v>1.5</v>
      </c>
      <c r="BJ146">
        <v>0</v>
      </c>
      <c r="BN146">
        <v>1.5</v>
      </c>
      <c r="BP146" t="s">
        <v>2238</v>
      </c>
      <c r="BQ146" t="s">
        <v>587</v>
      </c>
      <c r="BR146">
        <v>2</v>
      </c>
      <c r="BS146" t="s">
        <v>799</v>
      </c>
      <c r="BT146">
        <v>190</v>
      </c>
      <c r="BU146">
        <v>0.5</v>
      </c>
      <c r="BV146" t="s">
        <v>799</v>
      </c>
      <c r="BW146">
        <v>380</v>
      </c>
      <c r="BX146">
        <v>1</v>
      </c>
      <c r="BY146" t="s">
        <v>589</v>
      </c>
      <c r="BZ146">
        <v>300</v>
      </c>
      <c r="CA146">
        <v>440</v>
      </c>
      <c r="CB146" t="s">
        <v>590</v>
      </c>
      <c r="CC146" t="s">
        <v>590</v>
      </c>
      <c r="CD146">
        <v>402</v>
      </c>
      <c r="CE146" t="s">
        <v>591</v>
      </c>
      <c r="CF146">
        <v>15</v>
      </c>
      <c r="CG146" t="s">
        <v>2020</v>
      </c>
      <c r="CH146" t="s">
        <v>2020</v>
      </c>
      <c r="CI146">
        <v>70</v>
      </c>
      <c r="CJ146">
        <v>1538</v>
      </c>
      <c r="CK146">
        <v>2</v>
      </c>
      <c r="CL146">
        <v>1632</v>
      </c>
      <c r="CM146">
        <v>2</v>
      </c>
      <c r="CN146" t="s">
        <v>593</v>
      </c>
      <c r="CO146" t="s">
        <v>594</v>
      </c>
      <c r="CP146" t="s">
        <v>595</v>
      </c>
      <c r="CQ146" t="s">
        <v>704</v>
      </c>
      <c r="CR146" t="s">
        <v>650</v>
      </c>
      <c r="CS146" t="s">
        <v>542</v>
      </c>
      <c r="CT146">
        <v>345</v>
      </c>
      <c r="CU146">
        <v>5</v>
      </c>
      <c r="CV146">
        <v>1.2</v>
      </c>
      <c r="CW146">
        <v>1554</v>
      </c>
      <c r="CX146">
        <v>758</v>
      </c>
      <c r="CY146" t="s">
        <v>597</v>
      </c>
      <c r="CZ146">
        <v>50</v>
      </c>
      <c r="DA146">
        <v>3</v>
      </c>
      <c r="DB146">
        <v>1.28</v>
      </c>
      <c r="DC146">
        <v>1554</v>
      </c>
      <c r="DD146">
        <v>110</v>
      </c>
      <c r="DE146" t="s">
        <v>622</v>
      </c>
      <c r="DF146">
        <v>470</v>
      </c>
      <c r="DG146">
        <v>3</v>
      </c>
      <c r="DH146">
        <v>0.88</v>
      </c>
      <c r="DI146">
        <v>1547</v>
      </c>
      <c r="DJ146">
        <v>840</v>
      </c>
      <c r="DK146" t="s">
        <v>622</v>
      </c>
      <c r="DL146">
        <v>425</v>
      </c>
      <c r="DM146">
        <v>3</v>
      </c>
      <c r="DN146">
        <v>0.88</v>
      </c>
      <c r="DO146">
        <v>1552</v>
      </c>
      <c r="DP146">
        <v>886</v>
      </c>
      <c r="DW146" t="s">
        <v>544</v>
      </c>
      <c r="DX146">
        <v>7.5</v>
      </c>
      <c r="EA146">
        <v>1623.8</v>
      </c>
      <c r="EB146">
        <v>382</v>
      </c>
      <c r="EC146" t="s">
        <v>545</v>
      </c>
      <c r="ED146">
        <v>20</v>
      </c>
      <c r="EE146" t="s">
        <v>1900</v>
      </c>
      <c r="EG146">
        <v>1675</v>
      </c>
      <c r="EH146">
        <v>124</v>
      </c>
      <c r="EJ146">
        <v>0</v>
      </c>
      <c r="EK146">
        <v>1</v>
      </c>
      <c r="EN146">
        <v>0</v>
      </c>
      <c r="EP146" t="s">
        <v>546</v>
      </c>
      <c r="EQ146">
        <v>55</v>
      </c>
      <c r="ER146">
        <v>3</v>
      </c>
      <c r="ES146">
        <v>4.5</v>
      </c>
      <c r="ET146">
        <v>1528</v>
      </c>
      <c r="EU146">
        <v>209</v>
      </c>
      <c r="EV146">
        <v>319</v>
      </c>
      <c r="EW146" t="s">
        <v>547</v>
      </c>
      <c r="EX146">
        <v>45</v>
      </c>
      <c r="EY146">
        <v>2</v>
      </c>
      <c r="EZ146">
        <v>4.3</v>
      </c>
      <c r="FA146">
        <v>1528</v>
      </c>
      <c r="FB146">
        <v>135.4</v>
      </c>
      <c r="FC146">
        <v>207</v>
      </c>
      <c r="FE146">
        <v>0</v>
      </c>
      <c r="FF146">
        <v>2</v>
      </c>
      <c r="FI146">
        <v>0</v>
      </c>
      <c r="FK146" t="s">
        <v>548</v>
      </c>
      <c r="FL146">
        <v>0.4</v>
      </c>
      <c r="FM146">
        <v>35</v>
      </c>
      <c r="FN146">
        <v>330</v>
      </c>
      <c r="FO146">
        <v>55</v>
      </c>
      <c r="FP146">
        <v>160</v>
      </c>
      <c r="GR146" t="s">
        <v>548</v>
      </c>
      <c r="GS146">
        <v>0.4</v>
      </c>
      <c r="GT146">
        <v>30</v>
      </c>
      <c r="GU146">
        <v>350</v>
      </c>
      <c r="GV146">
        <v>65</v>
      </c>
      <c r="GW146">
        <v>180</v>
      </c>
      <c r="GY146" t="s">
        <v>651</v>
      </c>
      <c r="GZ146">
        <v>1.6</v>
      </c>
      <c r="HA146">
        <v>20</v>
      </c>
      <c r="HB146">
        <v>201</v>
      </c>
      <c r="HC146">
        <v>0.1</v>
      </c>
      <c r="HD146">
        <v>3</v>
      </c>
      <c r="HE146">
        <v>3</v>
      </c>
      <c r="HF146">
        <v>3</v>
      </c>
      <c r="HG146">
        <v>3</v>
      </c>
      <c r="HH146">
        <v>3</v>
      </c>
      <c r="HI146">
        <v>85</v>
      </c>
      <c r="HJ146">
        <v>3</v>
      </c>
      <c r="HK146">
        <v>30</v>
      </c>
      <c r="HL146">
        <v>2</v>
      </c>
      <c r="HM146">
        <v>0</v>
      </c>
      <c r="HN146">
        <v>2</v>
      </c>
      <c r="HO146">
        <v>40</v>
      </c>
      <c r="HP146">
        <v>3</v>
      </c>
      <c r="HQ146">
        <v>0</v>
      </c>
      <c r="HR146">
        <v>2</v>
      </c>
      <c r="HS146">
        <v>4768</v>
      </c>
      <c r="HT146">
        <v>140</v>
      </c>
      <c r="HU146">
        <v>180</v>
      </c>
      <c r="HW146">
        <v>0</v>
      </c>
      <c r="HX146">
        <v>430</v>
      </c>
      <c r="HY146">
        <v>0.18</v>
      </c>
      <c r="IA146">
        <v>0.15</v>
      </c>
      <c r="IB146">
        <v>0</v>
      </c>
      <c r="IC146">
        <v>180</v>
      </c>
      <c r="ID146">
        <v>110</v>
      </c>
      <c r="IE146">
        <v>225</v>
      </c>
      <c r="IF146">
        <v>0</v>
      </c>
      <c r="IH146" t="s">
        <v>549</v>
      </c>
      <c r="IO146">
        <v>3</v>
      </c>
      <c r="IP146">
        <v>20</v>
      </c>
      <c r="IQ146">
        <v>0</v>
      </c>
      <c r="IR146">
        <v>0</v>
      </c>
      <c r="IV146">
        <v>1538</v>
      </c>
      <c r="IW146">
        <v>380</v>
      </c>
      <c r="JA146">
        <v>1</v>
      </c>
      <c r="JB146">
        <v>0</v>
      </c>
      <c r="JC146">
        <v>2</v>
      </c>
      <c r="JD146">
        <v>1554</v>
      </c>
      <c r="JE146">
        <v>1547</v>
      </c>
      <c r="JF146">
        <v>1552</v>
      </c>
      <c r="JG146">
        <v>1528</v>
      </c>
      <c r="JH146">
        <v>0</v>
      </c>
      <c r="JJ146">
        <v>180</v>
      </c>
      <c r="JK146">
        <v>430</v>
      </c>
      <c r="JN146">
        <v>345</v>
      </c>
      <c r="JO146">
        <v>470</v>
      </c>
      <c r="JP146">
        <v>425</v>
      </c>
      <c r="JQ146">
        <v>0</v>
      </c>
      <c r="JR146">
        <v>380</v>
      </c>
      <c r="JS146">
        <v>85</v>
      </c>
      <c r="JV146">
        <v>8</v>
      </c>
      <c r="JW146" t="s">
        <v>550</v>
      </c>
      <c r="JX146">
        <v>420</v>
      </c>
      <c r="KA146">
        <v>225</v>
      </c>
      <c r="KB146">
        <v>110</v>
      </c>
      <c r="KC146">
        <v>0</v>
      </c>
      <c r="KD146">
        <v>80</v>
      </c>
      <c r="KF146">
        <v>4</v>
      </c>
      <c r="KG146">
        <v>2</v>
      </c>
      <c r="KH146">
        <v>2</v>
      </c>
      <c r="KI146">
        <v>2</v>
      </c>
      <c r="KJ146">
        <v>0</v>
      </c>
      <c r="KK146">
        <v>1.5</v>
      </c>
      <c r="KL146">
        <v>1.5</v>
      </c>
      <c r="KM146">
        <v>0</v>
      </c>
      <c r="KN146">
        <v>0</v>
      </c>
      <c r="KO146">
        <v>0</v>
      </c>
      <c r="KR146">
        <v>30</v>
      </c>
      <c r="KS146">
        <v>60</v>
      </c>
      <c r="KT146">
        <v>0</v>
      </c>
      <c r="LK146">
        <v>480</v>
      </c>
      <c r="PG146">
        <v>1</v>
      </c>
      <c r="PI146" t="s">
        <v>2235</v>
      </c>
      <c r="PJ146" t="s">
        <v>2236</v>
      </c>
      <c r="PK146" t="s">
        <v>2237</v>
      </c>
      <c r="PL146" t="s">
        <v>1021</v>
      </c>
      <c r="PP146" t="s">
        <v>2238</v>
      </c>
      <c r="PS146" t="s">
        <v>855</v>
      </c>
      <c r="PX146">
        <v>56</v>
      </c>
      <c r="PY146">
        <v>57</v>
      </c>
      <c r="PZ146" t="s">
        <v>2235</v>
      </c>
      <c r="QA146">
        <v>1</v>
      </c>
      <c r="QB146">
        <v>1528</v>
      </c>
      <c r="QC146">
        <v>69</v>
      </c>
      <c r="QD146">
        <v>69</v>
      </c>
      <c r="QE146" t="s">
        <v>1021</v>
      </c>
      <c r="QF146">
        <v>1</v>
      </c>
      <c r="QG146">
        <v>1554</v>
      </c>
      <c r="QH146">
        <v>66</v>
      </c>
      <c r="QI146">
        <v>66</v>
      </c>
      <c r="QJ146" t="s">
        <v>855</v>
      </c>
      <c r="QK146">
        <v>1</v>
      </c>
      <c r="QL146">
        <v>1554</v>
      </c>
      <c r="QM146">
        <v>62</v>
      </c>
      <c r="QN146">
        <v>62</v>
      </c>
      <c r="QO146" t="s">
        <v>2236</v>
      </c>
      <c r="QP146">
        <v>1</v>
      </c>
      <c r="QQ146">
        <v>1547</v>
      </c>
      <c r="QR146">
        <v>63</v>
      </c>
      <c r="QS146">
        <v>63</v>
      </c>
      <c r="QT146" t="s">
        <v>2237</v>
      </c>
      <c r="QU146">
        <v>1</v>
      </c>
      <c r="QV146">
        <v>1552</v>
      </c>
      <c r="QW146">
        <v>82</v>
      </c>
      <c r="QX146" t="s">
        <v>587</v>
      </c>
      <c r="QY146" t="s">
        <v>2238</v>
      </c>
      <c r="QZ146">
        <v>1</v>
      </c>
      <c r="RA146">
        <v>66</v>
      </c>
      <c r="RB146">
        <v>66</v>
      </c>
      <c r="RE146">
        <v>0</v>
      </c>
      <c r="RF146">
        <v>1</v>
      </c>
      <c r="RI146">
        <v>1</v>
      </c>
      <c r="RJ146">
        <v>1</v>
      </c>
      <c r="RK146">
        <v>3</v>
      </c>
      <c r="RL146">
        <v>4</v>
      </c>
      <c r="RM146">
        <v>4</v>
      </c>
      <c r="RO146">
        <v>488</v>
      </c>
      <c r="RP146">
        <v>142</v>
      </c>
      <c r="RQ146">
        <v>543</v>
      </c>
      <c r="RR146">
        <v>571</v>
      </c>
      <c r="RT146">
        <v>382</v>
      </c>
      <c r="RU146">
        <v>124</v>
      </c>
      <c r="RV146" t="s">
        <v>801</v>
      </c>
      <c r="RW146" t="s">
        <v>599</v>
      </c>
      <c r="RX146">
        <v>15</v>
      </c>
      <c r="RY146">
        <v>4</v>
      </c>
      <c r="RZ146" t="s">
        <v>599</v>
      </c>
      <c r="SA146">
        <v>15</v>
      </c>
      <c r="SC146" t="s">
        <v>2236</v>
      </c>
      <c r="SD146">
        <v>1</v>
      </c>
      <c r="SE146" t="s">
        <v>2239</v>
      </c>
      <c r="SF146" t="s">
        <v>2239</v>
      </c>
      <c r="SG146">
        <v>1</v>
      </c>
      <c r="SH146">
        <v>0.995</v>
      </c>
      <c r="SI146">
        <v>0.995</v>
      </c>
      <c r="SJ146">
        <v>0.995</v>
      </c>
      <c r="SK146">
        <v>15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1</v>
      </c>
      <c r="SZ146">
        <v>1</v>
      </c>
      <c r="TB146">
        <v>0</v>
      </c>
      <c r="TC146">
        <v>0</v>
      </c>
      <c r="TD146">
        <v>7.5</v>
      </c>
      <c r="TE146" t="s">
        <v>553</v>
      </c>
      <c r="TF146" t="s">
        <v>681</v>
      </c>
      <c r="TG146" t="s">
        <v>555</v>
      </c>
      <c r="TI146" t="s">
        <v>546</v>
      </c>
      <c r="TJ146" t="s">
        <v>547</v>
      </c>
      <c r="TL146" t="s">
        <v>2240</v>
      </c>
      <c r="TM146" t="s">
        <v>513</v>
      </c>
      <c r="TN146">
        <v>0</v>
      </c>
      <c r="TO146" t="s">
        <v>601</v>
      </c>
    </row>
    <row r="147" spans="1:535">
      <c r="A147" t="s">
        <v>2241</v>
      </c>
      <c r="B147" t="s">
        <v>897</v>
      </c>
      <c r="C147" t="s">
        <v>509</v>
      </c>
      <c r="D147" t="s">
        <v>1281</v>
      </c>
      <c r="G147" t="s">
        <v>1135</v>
      </c>
      <c r="I147" t="s">
        <v>562</v>
      </c>
      <c r="J147" t="s">
        <v>563</v>
      </c>
      <c r="L147" t="s">
        <v>512</v>
      </c>
      <c r="M147" t="s">
        <v>657</v>
      </c>
      <c r="N147" t="s">
        <v>513</v>
      </c>
      <c r="O147" t="s">
        <v>607</v>
      </c>
      <c r="Q147" t="s">
        <v>2242</v>
      </c>
      <c r="R147" t="s">
        <v>567</v>
      </c>
      <c r="S147" t="s">
        <v>1090</v>
      </c>
      <c r="T147" t="s">
        <v>1091</v>
      </c>
      <c r="U147" t="s">
        <v>686</v>
      </c>
      <c r="V147" t="s">
        <v>687</v>
      </c>
      <c r="W147" t="s">
        <v>2243</v>
      </c>
      <c r="X147" t="s">
        <v>2244</v>
      </c>
      <c r="Y147" t="s">
        <v>574</v>
      </c>
      <c r="Z147" t="s">
        <v>2245</v>
      </c>
      <c r="AA147" t="s">
        <v>2246</v>
      </c>
      <c r="AB147" t="s">
        <v>2247</v>
      </c>
      <c r="AC147">
        <v>2</v>
      </c>
      <c r="AD147">
        <v>57</v>
      </c>
      <c r="AE147">
        <v>245</v>
      </c>
      <c r="AF147">
        <v>1.5</v>
      </c>
      <c r="AH147">
        <v>0</v>
      </c>
      <c r="AI147" t="s">
        <v>1096</v>
      </c>
      <c r="AJ147">
        <v>232.5</v>
      </c>
      <c r="AK147">
        <v>1</v>
      </c>
      <c r="AL147">
        <v>1.5</v>
      </c>
      <c r="AM147" t="s">
        <v>579</v>
      </c>
      <c r="AN147" t="s">
        <v>855</v>
      </c>
      <c r="AO147">
        <v>2</v>
      </c>
      <c r="AP147" t="s">
        <v>581</v>
      </c>
      <c r="AQ147" t="s">
        <v>582</v>
      </c>
      <c r="AR147">
        <v>270</v>
      </c>
      <c r="AS147">
        <v>1.5</v>
      </c>
      <c r="AT147" t="s">
        <v>583</v>
      </c>
      <c r="AU147" t="s">
        <v>2248</v>
      </c>
      <c r="AW147" t="s">
        <v>2248</v>
      </c>
      <c r="AX147">
        <v>1</v>
      </c>
      <c r="AY147">
        <v>332.5</v>
      </c>
      <c r="AZ147">
        <v>1.5</v>
      </c>
      <c r="BA147" t="s">
        <v>579</v>
      </c>
      <c r="BB147" t="s">
        <v>2249</v>
      </c>
      <c r="BD147" t="s">
        <v>2249</v>
      </c>
      <c r="BE147">
        <v>1</v>
      </c>
      <c r="BF147">
        <v>270</v>
      </c>
      <c r="BG147">
        <v>1.5</v>
      </c>
      <c r="BJ147">
        <v>0</v>
      </c>
      <c r="BN147">
        <v>1.5</v>
      </c>
      <c r="BP147" t="s">
        <v>2250</v>
      </c>
      <c r="BQ147">
        <v>89</v>
      </c>
      <c r="BR147">
        <v>2</v>
      </c>
      <c r="BS147" t="s">
        <v>1052</v>
      </c>
      <c r="BT147">
        <v>245</v>
      </c>
      <c r="BU147">
        <v>0.5</v>
      </c>
      <c r="BV147" t="s">
        <v>1052</v>
      </c>
      <c r="BW147">
        <v>490</v>
      </c>
      <c r="BX147">
        <v>1</v>
      </c>
      <c r="BY147" t="s">
        <v>698</v>
      </c>
      <c r="BZ147">
        <v>470</v>
      </c>
      <c r="CA147">
        <v>550</v>
      </c>
      <c r="CB147" t="s">
        <v>699</v>
      </c>
      <c r="CC147" t="s">
        <v>1053</v>
      </c>
      <c r="CD147">
        <v>502</v>
      </c>
      <c r="CE147" t="s">
        <v>700</v>
      </c>
      <c r="CF147">
        <v>15</v>
      </c>
      <c r="CG147" t="s">
        <v>1949</v>
      </c>
      <c r="CH147" t="s">
        <v>1949</v>
      </c>
      <c r="CI147">
        <v>40</v>
      </c>
      <c r="CJ147">
        <v>1458</v>
      </c>
      <c r="CK147">
        <v>2</v>
      </c>
      <c r="CL147">
        <v>1552</v>
      </c>
      <c r="CM147">
        <v>2</v>
      </c>
      <c r="CN147" t="s">
        <v>702</v>
      </c>
      <c r="CO147" t="s">
        <v>676</v>
      </c>
      <c r="CP147" t="s">
        <v>703</v>
      </c>
      <c r="CQ147" t="s">
        <v>596</v>
      </c>
      <c r="CR147" t="s">
        <v>541</v>
      </c>
      <c r="CS147" t="s">
        <v>542</v>
      </c>
      <c r="CT147">
        <v>465</v>
      </c>
      <c r="CU147">
        <v>5</v>
      </c>
      <c r="CV147">
        <v>1.2</v>
      </c>
      <c r="CW147">
        <v>1475</v>
      </c>
      <c r="CX147">
        <v>972</v>
      </c>
      <c r="CY147" t="s">
        <v>597</v>
      </c>
      <c r="CZ147">
        <v>50</v>
      </c>
      <c r="DA147">
        <v>3</v>
      </c>
      <c r="DB147">
        <v>1.28</v>
      </c>
      <c r="DC147">
        <v>1475</v>
      </c>
      <c r="DD147">
        <v>105</v>
      </c>
      <c r="DE147" t="s">
        <v>622</v>
      </c>
      <c r="DF147">
        <v>665</v>
      </c>
      <c r="DG147">
        <v>3</v>
      </c>
      <c r="DH147">
        <v>0.88</v>
      </c>
      <c r="DI147">
        <v>1467</v>
      </c>
      <c r="DJ147">
        <v>1135</v>
      </c>
      <c r="DK147" t="s">
        <v>622</v>
      </c>
      <c r="DL147">
        <v>540</v>
      </c>
      <c r="DM147">
        <v>3</v>
      </c>
      <c r="DN147">
        <v>0.88</v>
      </c>
      <c r="DO147">
        <v>1472</v>
      </c>
      <c r="DP147">
        <v>901</v>
      </c>
      <c r="DW147" t="s">
        <v>544</v>
      </c>
      <c r="DX147">
        <v>7.5</v>
      </c>
      <c r="EA147">
        <v>1544.1</v>
      </c>
      <c r="EB147">
        <v>364</v>
      </c>
      <c r="EC147" t="s">
        <v>545</v>
      </c>
      <c r="ED147">
        <v>35</v>
      </c>
      <c r="EE147">
        <v>3</v>
      </c>
      <c r="EG147">
        <v>1595</v>
      </c>
      <c r="EH147">
        <v>223</v>
      </c>
      <c r="EJ147">
        <v>0</v>
      </c>
      <c r="EK147">
        <v>1</v>
      </c>
      <c r="EN147">
        <v>0</v>
      </c>
      <c r="EP147" t="s">
        <v>546</v>
      </c>
      <c r="EQ147">
        <v>130</v>
      </c>
      <c r="ER147">
        <v>3</v>
      </c>
      <c r="ES147">
        <v>6</v>
      </c>
      <c r="ET147">
        <v>1457</v>
      </c>
      <c r="EU147">
        <v>628.6</v>
      </c>
      <c r="EV147">
        <v>916</v>
      </c>
      <c r="EW147" t="s">
        <v>547</v>
      </c>
      <c r="EX147">
        <v>45</v>
      </c>
      <c r="EY147">
        <v>2</v>
      </c>
      <c r="EZ147">
        <v>4.5</v>
      </c>
      <c r="FA147">
        <v>1457</v>
      </c>
      <c r="FB147">
        <v>160.1</v>
      </c>
      <c r="FC147">
        <v>233</v>
      </c>
      <c r="FE147">
        <v>0</v>
      </c>
      <c r="FF147">
        <v>2</v>
      </c>
      <c r="FI147">
        <v>0</v>
      </c>
      <c r="FK147" t="s">
        <v>548</v>
      </c>
      <c r="FL147">
        <v>0.4</v>
      </c>
      <c r="FM147">
        <v>40</v>
      </c>
      <c r="FN147">
        <v>440</v>
      </c>
      <c r="FO147">
        <v>95</v>
      </c>
      <c r="FP147">
        <v>180</v>
      </c>
      <c r="GR147" t="s">
        <v>548</v>
      </c>
      <c r="GS147">
        <v>0.6</v>
      </c>
      <c r="GT147">
        <v>30</v>
      </c>
      <c r="GU147">
        <v>450</v>
      </c>
      <c r="GV147">
        <v>30</v>
      </c>
      <c r="GW147">
        <v>310</v>
      </c>
      <c r="HC147">
        <v>0.1</v>
      </c>
      <c r="HD147">
        <v>3</v>
      </c>
      <c r="HE147">
        <v>3</v>
      </c>
      <c r="HF147">
        <v>3</v>
      </c>
      <c r="HG147">
        <v>3</v>
      </c>
      <c r="HH147">
        <v>3</v>
      </c>
      <c r="HI147">
        <v>160</v>
      </c>
      <c r="HJ147">
        <v>3</v>
      </c>
      <c r="HK147">
        <v>30</v>
      </c>
      <c r="HL147">
        <v>2</v>
      </c>
      <c r="HM147">
        <v>0</v>
      </c>
      <c r="HN147">
        <v>2</v>
      </c>
      <c r="HO147">
        <v>115</v>
      </c>
      <c r="HP147">
        <v>3</v>
      </c>
      <c r="HQ147">
        <v>0</v>
      </c>
      <c r="HR147">
        <v>2</v>
      </c>
      <c r="HS147">
        <v>6690</v>
      </c>
      <c r="HT147">
        <v>200</v>
      </c>
      <c r="HU147">
        <v>180</v>
      </c>
      <c r="HW147">
        <v>0</v>
      </c>
      <c r="HX147">
        <v>570</v>
      </c>
      <c r="HY147">
        <v>0.18</v>
      </c>
      <c r="IA147">
        <v>0.15</v>
      </c>
      <c r="IB147">
        <v>0</v>
      </c>
      <c r="IC147">
        <v>180</v>
      </c>
      <c r="ID147">
        <v>110</v>
      </c>
      <c r="IE147">
        <v>225</v>
      </c>
      <c r="IF147">
        <v>0</v>
      </c>
      <c r="IH147" t="s">
        <v>549</v>
      </c>
      <c r="IO147">
        <v>3</v>
      </c>
      <c r="IP147">
        <v>19</v>
      </c>
      <c r="IQ147">
        <v>0</v>
      </c>
      <c r="IR147">
        <v>0</v>
      </c>
      <c r="IV147">
        <v>1458</v>
      </c>
      <c r="IW147">
        <v>490</v>
      </c>
      <c r="JA147">
        <v>1</v>
      </c>
      <c r="JB147">
        <v>0</v>
      </c>
      <c r="JC147">
        <v>2</v>
      </c>
      <c r="JD147">
        <v>1475</v>
      </c>
      <c r="JE147">
        <v>1467</v>
      </c>
      <c r="JF147">
        <v>1472</v>
      </c>
      <c r="JG147">
        <v>1457</v>
      </c>
      <c r="JH147">
        <v>0</v>
      </c>
      <c r="JJ147">
        <v>180</v>
      </c>
      <c r="JK147">
        <v>570</v>
      </c>
      <c r="JN147">
        <v>465</v>
      </c>
      <c r="JO147">
        <v>665</v>
      </c>
      <c r="JP147">
        <v>540</v>
      </c>
      <c r="JQ147">
        <v>0</v>
      </c>
      <c r="JR147">
        <v>490</v>
      </c>
      <c r="JS147">
        <v>160</v>
      </c>
      <c r="JV147">
        <v>8</v>
      </c>
      <c r="JW147" t="s">
        <v>550</v>
      </c>
      <c r="JX147">
        <v>540</v>
      </c>
      <c r="KA147">
        <v>225</v>
      </c>
      <c r="KB147">
        <v>110</v>
      </c>
      <c r="KC147">
        <v>0</v>
      </c>
      <c r="KD147">
        <v>80</v>
      </c>
      <c r="KF147">
        <v>4</v>
      </c>
      <c r="KG147">
        <v>2</v>
      </c>
      <c r="KH147">
        <v>2</v>
      </c>
      <c r="KI147">
        <v>2</v>
      </c>
      <c r="KJ147">
        <v>0</v>
      </c>
      <c r="KK147">
        <v>1.5</v>
      </c>
      <c r="KL147">
        <v>1.5</v>
      </c>
      <c r="KM147">
        <v>0</v>
      </c>
      <c r="KN147">
        <v>0</v>
      </c>
      <c r="KO147">
        <v>0</v>
      </c>
      <c r="KR147">
        <v>30</v>
      </c>
      <c r="KS147">
        <v>60</v>
      </c>
      <c r="KT147">
        <v>0</v>
      </c>
      <c r="LK147">
        <v>480</v>
      </c>
      <c r="PG147">
        <v>1</v>
      </c>
      <c r="PI147" t="s">
        <v>2247</v>
      </c>
      <c r="PJ147" t="s">
        <v>2248</v>
      </c>
      <c r="PK147" t="s">
        <v>2249</v>
      </c>
      <c r="PL147" t="s">
        <v>1096</v>
      </c>
      <c r="PP147" t="s">
        <v>2250</v>
      </c>
      <c r="PS147" t="s">
        <v>855</v>
      </c>
      <c r="PX147">
        <v>56</v>
      </c>
      <c r="PY147">
        <v>57</v>
      </c>
      <c r="PZ147" t="s">
        <v>2247</v>
      </c>
      <c r="QA147">
        <v>2</v>
      </c>
      <c r="QB147">
        <v>1457</v>
      </c>
      <c r="QC147">
        <v>69</v>
      </c>
      <c r="QD147">
        <v>69</v>
      </c>
      <c r="QE147" t="s">
        <v>1096</v>
      </c>
      <c r="QF147">
        <v>1</v>
      </c>
      <c r="QG147">
        <v>1475</v>
      </c>
      <c r="QH147">
        <v>66</v>
      </c>
      <c r="QI147">
        <v>66</v>
      </c>
      <c r="QJ147" t="s">
        <v>855</v>
      </c>
      <c r="QK147">
        <v>1</v>
      </c>
      <c r="QL147">
        <v>1475</v>
      </c>
      <c r="QM147">
        <v>62</v>
      </c>
      <c r="QN147">
        <v>62</v>
      </c>
      <c r="QO147" t="s">
        <v>2248</v>
      </c>
      <c r="QP147">
        <v>1</v>
      </c>
      <c r="QQ147">
        <v>1467</v>
      </c>
      <c r="QR147">
        <v>62</v>
      </c>
      <c r="QS147">
        <v>62</v>
      </c>
      <c r="QT147" t="s">
        <v>2249</v>
      </c>
      <c r="QU147">
        <v>1</v>
      </c>
      <c r="QV147">
        <v>1472</v>
      </c>
      <c r="QW147">
        <v>82</v>
      </c>
      <c r="QX147">
        <v>89</v>
      </c>
      <c r="QY147" t="s">
        <v>2250</v>
      </c>
      <c r="QZ147">
        <v>1</v>
      </c>
      <c r="RA147">
        <v>66</v>
      </c>
      <c r="RB147">
        <v>66</v>
      </c>
      <c r="RE147">
        <v>0</v>
      </c>
      <c r="RF147">
        <v>1</v>
      </c>
      <c r="RH147">
        <v>1</v>
      </c>
      <c r="RJ147">
        <v>1</v>
      </c>
      <c r="RK147">
        <v>3</v>
      </c>
      <c r="RL147">
        <v>4</v>
      </c>
      <c r="RM147">
        <v>4</v>
      </c>
      <c r="RO147">
        <v>659</v>
      </c>
      <c r="RP147">
        <v>142</v>
      </c>
      <c r="RQ147">
        <v>774</v>
      </c>
      <c r="RR147">
        <v>612</v>
      </c>
      <c r="RT147">
        <v>364</v>
      </c>
      <c r="RU147">
        <v>223</v>
      </c>
      <c r="RV147" t="s">
        <v>1055</v>
      </c>
      <c r="RW147" t="s">
        <v>707</v>
      </c>
      <c r="RX147">
        <v>15</v>
      </c>
      <c r="RY147">
        <v>4</v>
      </c>
      <c r="RZ147" t="s">
        <v>707</v>
      </c>
      <c r="SA147">
        <v>15</v>
      </c>
      <c r="SC147" t="s">
        <v>2248</v>
      </c>
      <c r="SD147">
        <v>1</v>
      </c>
      <c r="SF147" t="s">
        <v>2249</v>
      </c>
      <c r="SG147">
        <v>1</v>
      </c>
      <c r="SH147">
        <v>0.995</v>
      </c>
      <c r="SI147">
        <v>0.995</v>
      </c>
      <c r="SJ147">
        <v>0.995</v>
      </c>
      <c r="SK147">
        <v>15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1</v>
      </c>
      <c r="SZ147">
        <v>1</v>
      </c>
      <c r="TB147">
        <v>0</v>
      </c>
      <c r="TC147">
        <v>0</v>
      </c>
      <c r="TD147">
        <v>7.5</v>
      </c>
      <c r="TE147" t="s">
        <v>553</v>
      </c>
      <c r="TF147" t="s">
        <v>681</v>
      </c>
      <c r="TG147" t="s">
        <v>555</v>
      </c>
      <c r="TI147" t="s">
        <v>546</v>
      </c>
      <c r="TJ147" t="s">
        <v>547</v>
      </c>
      <c r="TL147" t="s">
        <v>2240</v>
      </c>
      <c r="TM147" t="s">
        <v>513</v>
      </c>
      <c r="TN147">
        <v>0</v>
      </c>
      <c r="TO147" t="s">
        <v>557</v>
      </c>
    </row>
    <row r="148" spans="1:535">
      <c r="A148" t="s">
        <v>2251</v>
      </c>
      <c r="B148" t="s">
        <v>559</v>
      </c>
      <c r="C148" t="s">
        <v>509</v>
      </c>
      <c r="D148" t="s">
        <v>2252</v>
      </c>
      <c r="G148" t="s">
        <v>561</v>
      </c>
      <c r="I148" t="s">
        <v>562</v>
      </c>
      <c r="J148" t="s">
        <v>563</v>
      </c>
      <c r="L148" t="s">
        <v>512</v>
      </c>
      <c r="M148" t="s">
        <v>564</v>
      </c>
      <c r="N148" t="s">
        <v>513</v>
      </c>
      <c r="O148" t="s">
        <v>565</v>
      </c>
      <c r="Q148" t="s">
        <v>2253</v>
      </c>
      <c r="R148" t="s">
        <v>567</v>
      </c>
      <c r="S148" t="s">
        <v>866</v>
      </c>
      <c r="T148" t="s">
        <v>867</v>
      </c>
      <c r="U148" t="s">
        <v>570</v>
      </c>
      <c r="V148" t="s">
        <v>571</v>
      </c>
      <c r="W148" t="s">
        <v>2254</v>
      </c>
      <c r="X148" t="s">
        <v>2244</v>
      </c>
      <c r="Y148" t="s">
        <v>524</v>
      </c>
      <c r="Z148" t="s">
        <v>2255</v>
      </c>
      <c r="AA148" t="s">
        <v>2256</v>
      </c>
      <c r="AB148" t="s">
        <v>2257</v>
      </c>
      <c r="AC148">
        <v>2</v>
      </c>
      <c r="AD148">
        <v>57</v>
      </c>
      <c r="AE148">
        <v>209</v>
      </c>
      <c r="AF148">
        <v>1.5</v>
      </c>
      <c r="AH148">
        <v>0</v>
      </c>
      <c r="AI148" t="s">
        <v>969</v>
      </c>
      <c r="AJ148">
        <v>192.5</v>
      </c>
      <c r="AK148">
        <v>1</v>
      </c>
      <c r="AL148">
        <v>1.5</v>
      </c>
      <c r="AM148" t="s">
        <v>579</v>
      </c>
      <c r="AN148" t="s">
        <v>580</v>
      </c>
      <c r="AO148">
        <v>2</v>
      </c>
      <c r="AP148" t="s">
        <v>581</v>
      </c>
      <c r="AQ148" t="s">
        <v>582</v>
      </c>
      <c r="AR148">
        <v>240</v>
      </c>
      <c r="AS148">
        <v>1.5</v>
      </c>
      <c r="AT148" t="s">
        <v>583</v>
      </c>
      <c r="AU148" t="s">
        <v>2258</v>
      </c>
      <c r="AW148" t="s">
        <v>2258</v>
      </c>
      <c r="AX148">
        <v>1</v>
      </c>
      <c r="AY148">
        <v>275</v>
      </c>
      <c r="AZ148">
        <v>1.5</v>
      </c>
      <c r="BA148" t="s">
        <v>579</v>
      </c>
      <c r="BB148" t="s">
        <v>2259</v>
      </c>
      <c r="BD148" t="s">
        <v>2259</v>
      </c>
      <c r="BE148">
        <v>1</v>
      </c>
      <c r="BF148">
        <v>235</v>
      </c>
      <c r="BG148">
        <v>1.5</v>
      </c>
      <c r="BJ148">
        <v>0</v>
      </c>
      <c r="BN148">
        <v>1.5</v>
      </c>
      <c r="BP148" t="s">
        <v>2260</v>
      </c>
      <c r="BQ148" t="s">
        <v>587</v>
      </c>
      <c r="BR148">
        <v>2</v>
      </c>
      <c r="BS148" t="s">
        <v>799</v>
      </c>
      <c r="BT148">
        <v>208</v>
      </c>
      <c r="BU148">
        <v>0.5</v>
      </c>
      <c r="BV148" t="s">
        <v>799</v>
      </c>
      <c r="BW148">
        <v>416</v>
      </c>
      <c r="BX148">
        <v>1</v>
      </c>
      <c r="BY148" t="s">
        <v>589</v>
      </c>
      <c r="BZ148">
        <v>300</v>
      </c>
      <c r="CA148">
        <v>480</v>
      </c>
      <c r="CB148" t="s">
        <v>590</v>
      </c>
      <c r="CC148" t="s">
        <v>590</v>
      </c>
      <c r="CD148">
        <v>436</v>
      </c>
      <c r="CE148" t="s">
        <v>591</v>
      </c>
      <c r="CF148">
        <v>15</v>
      </c>
      <c r="CG148" t="s">
        <v>724</v>
      </c>
      <c r="CH148" t="s">
        <v>724</v>
      </c>
      <c r="CI148">
        <v>90</v>
      </c>
      <c r="CJ148">
        <v>1538</v>
      </c>
      <c r="CK148">
        <v>2</v>
      </c>
      <c r="CL148">
        <v>1632</v>
      </c>
      <c r="CM148">
        <v>2</v>
      </c>
      <c r="CN148" t="s">
        <v>593</v>
      </c>
      <c r="CO148" t="s">
        <v>594</v>
      </c>
      <c r="CP148" t="s">
        <v>595</v>
      </c>
      <c r="CQ148" t="s">
        <v>596</v>
      </c>
      <c r="CR148" t="s">
        <v>541</v>
      </c>
      <c r="CS148" t="s">
        <v>542</v>
      </c>
      <c r="CT148">
        <v>385</v>
      </c>
      <c r="CU148">
        <v>5</v>
      </c>
      <c r="CV148">
        <v>1.2</v>
      </c>
      <c r="CW148">
        <v>1554</v>
      </c>
      <c r="CX148">
        <v>847</v>
      </c>
      <c r="CY148" t="s">
        <v>597</v>
      </c>
      <c r="CZ148">
        <v>60</v>
      </c>
      <c r="DA148">
        <v>3</v>
      </c>
      <c r="DB148">
        <v>1.28</v>
      </c>
      <c r="DC148">
        <v>1554</v>
      </c>
      <c r="DD148">
        <v>132</v>
      </c>
      <c r="DE148" t="s">
        <v>622</v>
      </c>
      <c r="DF148">
        <v>550</v>
      </c>
      <c r="DG148">
        <v>3</v>
      </c>
      <c r="DH148">
        <v>0.88</v>
      </c>
      <c r="DI148">
        <v>1547</v>
      </c>
      <c r="DJ148">
        <v>1009</v>
      </c>
      <c r="DK148" t="s">
        <v>622</v>
      </c>
      <c r="DL148">
        <v>470</v>
      </c>
      <c r="DM148">
        <v>3</v>
      </c>
      <c r="DN148">
        <v>0.88</v>
      </c>
      <c r="DO148">
        <v>1552</v>
      </c>
      <c r="DP148">
        <v>801</v>
      </c>
      <c r="DW148" t="s">
        <v>544</v>
      </c>
      <c r="DX148">
        <v>7.5</v>
      </c>
      <c r="EA148">
        <v>1623.8</v>
      </c>
      <c r="EB148">
        <v>382</v>
      </c>
      <c r="EC148" t="s">
        <v>545</v>
      </c>
      <c r="ED148">
        <v>35</v>
      </c>
      <c r="EE148">
        <v>3</v>
      </c>
      <c r="EG148">
        <v>1675</v>
      </c>
      <c r="EH148">
        <v>235</v>
      </c>
      <c r="EJ148">
        <v>0</v>
      </c>
      <c r="EK148">
        <v>1</v>
      </c>
      <c r="EN148">
        <v>0</v>
      </c>
      <c r="EP148" t="s">
        <v>546</v>
      </c>
      <c r="EQ148">
        <v>85</v>
      </c>
      <c r="ER148">
        <v>3</v>
      </c>
      <c r="ES148">
        <v>5.3</v>
      </c>
      <c r="ET148">
        <v>1533</v>
      </c>
      <c r="EU148">
        <v>388.2</v>
      </c>
      <c r="EV148">
        <v>595</v>
      </c>
      <c r="EW148" t="s">
        <v>547</v>
      </c>
      <c r="EX148">
        <v>45</v>
      </c>
      <c r="EY148">
        <v>2</v>
      </c>
      <c r="EZ148">
        <v>4.5</v>
      </c>
      <c r="FA148">
        <v>1533</v>
      </c>
      <c r="FB148">
        <v>143.2</v>
      </c>
      <c r="FC148">
        <v>220</v>
      </c>
      <c r="FE148">
        <v>0</v>
      </c>
      <c r="FF148">
        <v>2</v>
      </c>
      <c r="FI148">
        <v>0</v>
      </c>
      <c r="FK148" t="s">
        <v>548</v>
      </c>
      <c r="FL148">
        <v>0.4</v>
      </c>
      <c r="FM148">
        <v>55</v>
      </c>
      <c r="FN148">
        <v>350</v>
      </c>
      <c r="FO148">
        <v>70</v>
      </c>
      <c r="FP148">
        <v>170</v>
      </c>
      <c r="GR148" t="s">
        <v>548</v>
      </c>
      <c r="GS148">
        <v>0.4</v>
      </c>
      <c r="GT148">
        <v>30</v>
      </c>
      <c r="GU148">
        <v>380</v>
      </c>
      <c r="GV148">
        <v>30</v>
      </c>
      <c r="GW148">
        <v>250</v>
      </c>
      <c r="HC148">
        <v>0.1</v>
      </c>
      <c r="HD148">
        <v>3</v>
      </c>
      <c r="HE148">
        <v>3</v>
      </c>
      <c r="HF148">
        <v>3</v>
      </c>
      <c r="HG148">
        <v>3</v>
      </c>
      <c r="HH148">
        <v>3</v>
      </c>
      <c r="HI148">
        <v>115</v>
      </c>
      <c r="HJ148">
        <v>3</v>
      </c>
      <c r="HK148">
        <v>30</v>
      </c>
      <c r="HL148">
        <v>2</v>
      </c>
      <c r="HM148">
        <v>0</v>
      </c>
      <c r="HN148">
        <v>2</v>
      </c>
      <c r="HO148">
        <v>70</v>
      </c>
      <c r="HP148">
        <v>3</v>
      </c>
      <c r="HQ148">
        <v>0</v>
      </c>
      <c r="HR148">
        <v>2</v>
      </c>
      <c r="HS148">
        <v>5785</v>
      </c>
      <c r="HT148">
        <v>170</v>
      </c>
      <c r="HU148">
        <v>180</v>
      </c>
      <c r="HW148">
        <v>0</v>
      </c>
      <c r="HX148">
        <v>420</v>
      </c>
      <c r="HY148">
        <v>0.18</v>
      </c>
      <c r="IA148">
        <v>0.15</v>
      </c>
      <c r="IB148">
        <v>0</v>
      </c>
      <c r="IC148">
        <v>180</v>
      </c>
      <c r="ID148">
        <v>110</v>
      </c>
      <c r="IE148">
        <v>225</v>
      </c>
      <c r="IF148">
        <v>0</v>
      </c>
      <c r="IH148" t="s">
        <v>549</v>
      </c>
      <c r="IO148">
        <v>3</v>
      </c>
      <c r="IP148">
        <v>20</v>
      </c>
      <c r="IQ148">
        <v>0</v>
      </c>
      <c r="IR148">
        <v>0</v>
      </c>
      <c r="IV148">
        <v>1538</v>
      </c>
      <c r="IW148">
        <v>416</v>
      </c>
      <c r="JA148">
        <v>1</v>
      </c>
      <c r="JB148">
        <v>0</v>
      </c>
      <c r="JC148">
        <v>2</v>
      </c>
      <c r="JD148">
        <v>1554</v>
      </c>
      <c r="JE148">
        <v>1547</v>
      </c>
      <c r="JF148">
        <v>1552</v>
      </c>
      <c r="JG148">
        <v>1533</v>
      </c>
      <c r="JH148">
        <v>0</v>
      </c>
      <c r="JJ148">
        <v>180</v>
      </c>
      <c r="JK148">
        <v>420</v>
      </c>
      <c r="JN148">
        <v>385</v>
      </c>
      <c r="JO148">
        <v>550</v>
      </c>
      <c r="JP148">
        <v>470</v>
      </c>
      <c r="JQ148">
        <v>0</v>
      </c>
      <c r="JR148">
        <v>418</v>
      </c>
      <c r="JS148">
        <v>115</v>
      </c>
      <c r="JV148">
        <v>8</v>
      </c>
      <c r="JW148" t="s">
        <v>550</v>
      </c>
      <c r="JX148">
        <v>480</v>
      </c>
      <c r="KA148">
        <v>225</v>
      </c>
      <c r="KB148">
        <v>110</v>
      </c>
      <c r="KC148">
        <v>0</v>
      </c>
      <c r="KD148">
        <v>80</v>
      </c>
      <c r="KF148">
        <v>4</v>
      </c>
      <c r="KG148">
        <v>2</v>
      </c>
      <c r="KH148">
        <v>2</v>
      </c>
      <c r="KI148">
        <v>2</v>
      </c>
      <c r="KJ148">
        <v>0</v>
      </c>
      <c r="KK148">
        <v>1.5</v>
      </c>
      <c r="KL148">
        <v>1.5</v>
      </c>
      <c r="KM148">
        <v>0</v>
      </c>
      <c r="KN148">
        <v>0</v>
      </c>
      <c r="KO148">
        <v>0</v>
      </c>
      <c r="KR148">
        <v>30</v>
      </c>
      <c r="KS148">
        <v>60</v>
      </c>
      <c r="KT148">
        <v>0</v>
      </c>
      <c r="LK148">
        <v>480</v>
      </c>
      <c r="PG148">
        <v>1</v>
      </c>
      <c r="PI148" t="s">
        <v>2257</v>
      </c>
      <c r="PJ148" t="s">
        <v>2258</v>
      </c>
      <c r="PK148" t="s">
        <v>2259</v>
      </c>
      <c r="PL148" t="s">
        <v>969</v>
      </c>
      <c r="PP148" t="s">
        <v>2260</v>
      </c>
      <c r="PS148" t="s">
        <v>580</v>
      </c>
      <c r="PX148">
        <v>56</v>
      </c>
      <c r="PY148">
        <v>57</v>
      </c>
      <c r="PZ148" t="s">
        <v>2257</v>
      </c>
      <c r="QA148">
        <v>1</v>
      </c>
      <c r="QB148">
        <v>1533</v>
      </c>
      <c r="QC148">
        <v>69</v>
      </c>
      <c r="QD148">
        <v>69</v>
      </c>
      <c r="QE148" t="s">
        <v>969</v>
      </c>
      <c r="QF148">
        <v>1</v>
      </c>
      <c r="QG148">
        <v>1554</v>
      </c>
      <c r="QH148">
        <v>66</v>
      </c>
      <c r="QI148">
        <v>66</v>
      </c>
      <c r="QJ148" t="s">
        <v>580</v>
      </c>
      <c r="QK148">
        <v>1</v>
      </c>
      <c r="QL148">
        <v>1554</v>
      </c>
      <c r="QM148">
        <v>62</v>
      </c>
      <c r="QN148">
        <v>62</v>
      </c>
      <c r="QO148" t="s">
        <v>2258</v>
      </c>
      <c r="QP148">
        <v>1</v>
      </c>
      <c r="QQ148">
        <v>1547</v>
      </c>
      <c r="QR148">
        <v>62</v>
      </c>
      <c r="QS148">
        <v>62</v>
      </c>
      <c r="QT148" t="s">
        <v>2259</v>
      </c>
      <c r="QU148">
        <v>1</v>
      </c>
      <c r="QV148">
        <v>1552</v>
      </c>
      <c r="QW148">
        <v>82</v>
      </c>
      <c r="QX148" t="s">
        <v>587</v>
      </c>
      <c r="QY148" t="s">
        <v>2260</v>
      </c>
      <c r="QZ148">
        <v>3</v>
      </c>
      <c r="RA148">
        <v>66</v>
      </c>
      <c r="RB148">
        <v>66</v>
      </c>
      <c r="RE148">
        <v>0</v>
      </c>
      <c r="RF148">
        <v>1</v>
      </c>
      <c r="RH148">
        <v>1</v>
      </c>
      <c r="RJ148">
        <v>1</v>
      </c>
      <c r="RK148">
        <v>3</v>
      </c>
      <c r="RL148">
        <v>4</v>
      </c>
      <c r="RM148">
        <v>4</v>
      </c>
      <c r="RO148">
        <v>545</v>
      </c>
      <c r="RP148">
        <v>170</v>
      </c>
      <c r="RQ148">
        <v>652</v>
      </c>
      <c r="RR148">
        <v>516</v>
      </c>
      <c r="RT148">
        <v>382</v>
      </c>
      <c r="RU148">
        <v>235</v>
      </c>
      <c r="RV148" t="s">
        <v>801</v>
      </c>
      <c r="RW148" t="s">
        <v>599</v>
      </c>
      <c r="RX148">
        <v>15</v>
      </c>
      <c r="RY148">
        <v>4</v>
      </c>
      <c r="RZ148" t="s">
        <v>599</v>
      </c>
      <c r="SA148">
        <v>15</v>
      </c>
      <c r="SC148" t="s">
        <v>2258</v>
      </c>
      <c r="SD148">
        <v>1</v>
      </c>
      <c r="SF148" t="s">
        <v>2259</v>
      </c>
      <c r="SG148">
        <v>1</v>
      </c>
      <c r="SH148">
        <v>0.995</v>
      </c>
      <c r="SI148">
        <v>0.995</v>
      </c>
      <c r="SJ148">
        <v>0.995</v>
      </c>
      <c r="SK148">
        <v>15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1</v>
      </c>
      <c r="SZ148">
        <v>1</v>
      </c>
      <c r="TB148">
        <v>0</v>
      </c>
      <c r="TC148">
        <v>0</v>
      </c>
      <c r="TD148">
        <v>7.5</v>
      </c>
      <c r="TE148" t="s">
        <v>553</v>
      </c>
      <c r="TF148" t="s">
        <v>681</v>
      </c>
      <c r="TG148" t="s">
        <v>555</v>
      </c>
      <c r="TI148" t="s">
        <v>546</v>
      </c>
      <c r="TJ148" t="s">
        <v>547</v>
      </c>
      <c r="TL148" t="s">
        <v>2240</v>
      </c>
      <c r="TM148" t="s">
        <v>513</v>
      </c>
      <c r="TN148">
        <v>0</v>
      </c>
      <c r="TO148" t="s">
        <v>601</v>
      </c>
    </row>
    <row r="149" spans="1:535">
      <c r="A149" t="s">
        <v>2261</v>
      </c>
      <c r="B149" t="s">
        <v>564</v>
      </c>
      <c r="C149" t="s">
        <v>509</v>
      </c>
      <c r="D149" t="s">
        <v>1903</v>
      </c>
      <c r="G149" t="s">
        <v>1088</v>
      </c>
      <c r="L149" t="s">
        <v>512</v>
      </c>
      <c r="M149" t="s">
        <v>629</v>
      </c>
      <c r="N149" t="s">
        <v>513</v>
      </c>
      <c r="O149" t="s">
        <v>565</v>
      </c>
      <c r="Q149" t="s">
        <v>2262</v>
      </c>
      <c r="R149" t="s">
        <v>567</v>
      </c>
      <c r="S149" t="s">
        <v>684</v>
      </c>
      <c r="T149" t="s">
        <v>685</v>
      </c>
      <c r="U149" t="s">
        <v>686</v>
      </c>
      <c r="V149" t="s">
        <v>687</v>
      </c>
      <c r="W149" t="s">
        <v>1879</v>
      </c>
      <c r="X149" t="s">
        <v>2244</v>
      </c>
      <c r="Y149" t="s">
        <v>524</v>
      </c>
      <c r="Z149" t="s">
        <v>2263</v>
      </c>
      <c r="AA149" t="s">
        <v>2264</v>
      </c>
      <c r="AB149" t="s">
        <v>2265</v>
      </c>
      <c r="AC149">
        <v>2</v>
      </c>
      <c r="AD149">
        <v>57</v>
      </c>
      <c r="AE149">
        <v>220</v>
      </c>
      <c r="AF149">
        <v>1.5</v>
      </c>
      <c r="AH149">
        <v>0</v>
      </c>
      <c r="AI149" t="s">
        <v>692</v>
      </c>
      <c r="AJ149">
        <v>202.5</v>
      </c>
      <c r="AK149">
        <v>1</v>
      </c>
      <c r="AL149">
        <v>1.5</v>
      </c>
      <c r="AM149" t="s">
        <v>579</v>
      </c>
      <c r="AN149" t="s">
        <v>855</v>
      </c>
      <c r="AO149">
        <v>2</v>
      </c>
      <c r="AP149" t="s">
        <v>581</v>
      </c>
      <c r="AQ149" t="s">
        <v>582</v>
      </c>
      <c r="AR149">
        <v>242</v>
      </c>
      <c r="AS149">
        <v>1.5</v>
      </c>
      <c r="AT149" t="s">
        <v>583</v>
      </c>
      <c r="AU149" t="s">
        <v>2266</v>
      </c>
      <c r="AW149" t="s">
        <v>2266</v>
      </c>
      <c r="AX149">
        <v>1</v>
      </c>
      <c r="AY149">
        <v>295</v>
      </c>
      <c r="AZ149">
        <v>1.5</v>
      </c>
      <c r="BA149" t="s">
        <v>579</v>
      </c>
      <c r="BB149" t="s">
        <v>2267</v>
      </c>
      <c r="BD149" t="s">
        <v>2267</v>
      </c>
      <c r="BE149">
        <v>1</v>
      </c>
      <c r="BF149">
        <v>242.5</v>
      </c>
      <c r="BG149">
        <v>1.5</v>
      </c>
      <c r="BJ149">
        <v>0</v>
      </c>
      <c r="BN149">
        <v>1.5</v>
      </c>
      <c r="BP149" t="s">
        <v>1451</v>
      </c>
      <c r="BQ149">
        <v>88</v>
      </c>
      <c r="BR149">
        <v>2</v>
      </c>
      <c r="BS149" t="s">
        <v>1304</v>
      </c>
      <c r="BT149">
        <v>219</v>
      </c>
      <c r="BU149">
        <v>0.5</v>
      </c>
      <c r="BV149" t="s">
        <v>1304</v>
      </c>
      <c r="BW149">
        <v>438</v>
      </c>
      <c r="BX149">
        <v>1</v>
      </c>
      <c r="BY149" t="s">
        <v>698</v>
      </c>
      <c r="BZ149">
        <v>300</v>
      </c>
      <c r="CA149">
        <v>480</v>
      </c>
      <c r="CB149" t="s">
        <v>699</v>
      </c>
      <c r="CC149" t="s">
        <v>672</v>
      </c>
      <c r="CD149">
        <v>454</v>
      </c>
      <c r="CE149" t="s">
        <v>700</v>
      </c>
      <c r="CF149">
        <v>15</v>
      </c>
      <c r="CG149" t="s">
        <v>783</v>
      </c>
      <c r="CH149" t="s">
        <v>783</v>
      </c>
      <c r="CI149">
        <v>90</v>
      </c>
      <c r="CJ149">
        <v>1458</v>
      </c>
      <c r="CK149">
        <v>2</v>
      </c>
      <c r="CL149">
        <v>1552</v>
      </c>
      <c r="CM149">
        <v>2</v>
      </c>
      <c r="CN149" t="s">
        <v>702</v>
      </c>
      <c r="CO149" t="s">
        <v>676</v>
      </c>
      <c r="CP149" t="s">
        <v>703</v>
      </c>
      <c r="CQ149" t="s">
        <v>596</v>
      </c>
      <c r="CR149" t="s">
        <v>541</v>
      </c>
      <c r="CS149" t="s">
        <v>542</v>
      </c>
      <c r="CT149">
        <v>405</v>
      </c>
      <c r="CU149">
        <v>5</v>
      </c>
      <c r="CV149">
        <v>1.2</v>
      </c>
      <c r="CW149">
        <v>1475</v>
      </c>
      <c r="CX149">
        <v>845</v>
      </c>
      <c r="CY149" t="s">
        <v>597</v>
      </c>
      <c r="CZ149">
        <v>50</v>
      </c>
      <c r="DA149">
        <v>3</v>
      </c>
      <c r="DB149">
        <v>1.28</v>
      </c>
      <c r="DC149">
        <v>1475</v>
      </c>
      <c r="DD149">
        <v>105</v>
      </c>
      <c r="DE149" t="s">
        <v>622</v>
      </c>
      <c r="DF149">
        <v>590</v>
      </c>
      <c r="DG149">
        <v>3</v>
      </c>
      <c r="DH149">
        <v>0.88</v>
      </c>
      <c r="DI149">
        <v>1467</v>
      </c>
      <c r="DJ149">
        <v>989</v>
      </c>
      <c r="DK149" t="s">
        <v>622</v>
      </c>
      <c r="DL149">
        <v>485</v>
      </c>
      <c r="DM149">
        <v>3</v>
      </c>
      <c r="DN149">
        <v>0.88</v>
      </c>
      <c r="DO149">
        <v>1472</v>
      </c>
      <c r="DP149">
        <v>782</v>
      </c>
      <c r="DW149" t="s">
        <v>544</v>
      </c>
      <c r="DX149">
        <v>7.5</v>
      </c>
      <c r="EA149">
        <v>1544.1</v>
      </c>
      <c r="EB149">
        <v>273</v>
      </c>
      <c r="EC149" t="s">
        <v>545</v>
      </c>
      <c r="ED149">
        <v>40</v>
      </c>
      <c r="EE149">
        <v>3</v>
      </c>
      <c r="EG149">
        <v>1585</v>
      </c>
      <c r="EH149">
        <v>254</v>
      </c>
      <c r="EJ149">
        <v>0</v>
      </c>
      <c r="EK149">
        <v>1</v>
      </c>
      <c r="EN149">
        <v>0</v>
      </c>
      <c r="EP149" t="s">
        <v>546</v>
      </c>
      <c r="EQ149">
        <v>115</v>
      </c>
      <c r="ER149">
        <v>3</v>
      </c>
      <c r="ES149">
        <v>5.5</v>
      </c>
      <c r="ET149">
        <v>1454</v>
      </c>
      <c r="EU149">
        <v>520.2</v>
      </c>
      <c r="EV149">
        <v>756</v>
      </c>
      <c r="EW149" t="s">
        <v>547</v>
      </c>
      <c r="EX149">
        <v>45</v>
      </c>
      <c r="EY149">
        <v>2</v>
      </c>
      <c r="EZ149">
        <v>4.2</v>
      </c>
      <c r="FA149">
        <v>1454</v>
      </c>
      <c r="FB149">
        <v>134</v>
      </c>
      <c r="FC149">
        <v>195</v>
      </c>
      <c r="FE149">
        <v>0</v>
      </c>
      <c r="FF149">
        <v>2</v>
      </c>
      <c r="FI149">
        <v>0</v>
      </c>
      <c r="FK149" t="s">
        <v>548</v>
      </c>
      <c r="FL149">
        <v>0.4</v>
      </c>
      <c r="FM149">
        <v>45</v>
      </c>
      <c r="FN149">
        <v>380</v>
      </c>
      <c r="FO149">
        <v>60</v>
      </c>
      <c r="FP149">
        <v>150</v>
      </c>
      <c r="GR149" t="s">
        <v>548</v>
      </c>
      <c r="GS149">
        <v>0.4</v>
      </c>
      <c r="GT149">
        <v>30</v>
      </c>
      <c r="GU149">
        <v>390</v>
      </c>
      <c r="GV149">
        <v>30</v>
      </c>
      <c r="GW149">
        <v>260</v>
      </c>
      <c r="HC149">
        <v>0.1</v>
      </c>
      <c r="HD149">
        <v>3</v>
      </c>
      <c r="HE149">
        <v>3</v>
      </c>
      <c r="HF149">
        <v>3</v>
      </c>
      <c r="HG149">
        <v>3</v>
      </c>
      <c r="HH149">
        <v>3</v>
      </c>
      <c r="HI149">
        <v>145</v>
      </c>
      <c r="HJ149">
        <v>3</v>
      </c>
      <c r="HK149">
        <v>30</v>
      </c>
      <c r="HL149">
        <v>2</v>
      </c>
      <c r="HM149">
        <v>0</v>
      </c>
      <c r="HN149">
        <v>2</v>
      </c>
      <c r="HO149">
        <v>100</v>
      </c>
      <c r="HP149">
        <v>3</v>
      </c>
      <c r="HQ149">
        <v>0</v>
      </c>
      <c r="HR149">
        <v>2</v>
      </c>
      <c r="HS149">
        <v>5782</v>
      </c>
      <c r="HT149">
        <v>170</v>
      </c>
      <c r="HU149">
        <v>180</v>
      </c>
      <c r="HW149">
        <v>0</v>
      </c>
      <c r="HX149">
        <v>470</v>
      </c>
      <c r="HY149">
        <v>0.18</v>
      </c>
      <c r="IA149">
        <v>0.15</v>
      </c>
      <c r="IB149">
        <v>0</v>
      </c>
      <c r="IC149">
        <v>180</v>
      </c>
      <c r="ID149">
        <v>110</v>
      </c>
      <c r="IE149">
        <v>225</v>
      </c>
      <c r="IF149">
        <v>0</v>
      </c>
      <c r="IH149" t="s">
        <v>549</v>
      </c>
      <c r="IO149">
        <v>3</v>
      </c>
      <c r="IP149">
        <v>19</v>
      </c>
      <c r="IQ149">
        <v>0</v>
      </c>
      <c r="IR149">
        <v>0</v>
      </c>
      <c r="IV149">
        <v>1458</v>
      </c>
      <c r="IW149">
        <v>438</v>
      </c>
      <c r="JA149">
        <v>1</v>
      </c>
      <c r="JB149">
        <v>0</v>
      </c>
      <c r="JC149">
        <v>2</v>
      </c>
      <c r="JD149">
        <v>1475</v>
      </c>
      <c r="JE149">
        <v>1467</v>
      </c>
      <c r="JF149">
        <v>1472</v>
      </c>
      <c r="JG149">
        <v>1454</v>
      </c>
      <c r="JH149">
        <v>0</v>
      </c>
      <c r="JJ149">
        <v>180</v>
      </c>
      <c r="JK149">
        <v>470</v>
      </c>
      <c r="JN149">
        <v>405</v>
      </c>
      <c r="JO149">
        <v>590</v>
      </c>
      <c r="JP149">
        <v>485</v>
      </c>
      <c r="JQ149">
        <v>0</v>
      </c>
      <c r="JR149">
        <v>440</v>
      </c>
      <c r="JS149">
        <v>145</v>
      </c>
      <c r="JV149">
        <v>8</v>
      </c>
      <c r="JW149" t="s">
        <v>550</v>
      </c>
      <c r="JX149">
        <v>484</v>
      </c>
      <c r="KA149">
        <v>225</v>
      </c>
      <c r="KB149">
        <v>110</v>
      </c>
      <c r="KC149">
        <v>0</v>
      </c>
      <c r="KD149">
        <v>80</v>
      </c>
      <c r="KF149">
        <v>4</v>
      </c>
      <c r="KG149">
        <v>2</v>
      </c>
      <c r="KH149">
        <v>2</v>
      </c>
      <c r="KI149">
        <v>2</v>
      </c>
      <c r="KJ149">
        <v>0</v>
      </c>
      <c r="KK149">
        <v>1.5</v>
      </c>
      <c r="KL149">
        <v>1.5</v>
      </c>
      <c r="KM149">
        <v>0</v>
      </c>
      <c r="KN149">
        <v>0</v>
      </c>
      <c r="KO149">
        <v>0</v>
      </c>
      <c r="KR149">
        <v>30</v>
      </c>
      <c r="KS149">
        <v>60</v>
      </c>
      <c r="KT149">
        <v>0</v>
      </c>
      <c r="LK149">
        <v>480</v>
      </c>
      <c r="PG149">
        <v>1</v>
      </c>
      <c r="PI149" t="s">
        <v>2265</v>
      </c>
      <c r="PJ149" t="s">
        <v>2266</v>
      </c>
      <c r="PK149" t="s">
        <v>2267</v>
      </c>
      <c r="PL149" t="s">
        <v>692</v>
      </c>
      <c r="PP149" t="s">
        <v>1451</v>
      </c>
      <c r="PS149" t="s">
        <v>855</v>
      </c>
      <c r="PX149">
        <v>56</v>
      </c>
      <c r="PY149">
        <v>57</v>
      </c>
      <c r="PZ149" t="s">
        <v>2265</v>
      </c>
      <c r="QA149">
        <v>1</v>
      </c>
      <c r="QB149">
        <v>1454</v>
      </c>
      <c r="QC149">
        <v>69</v>
      </c>
      <c r="QD149">
        <v>69</v>
      </c>
      <c r="QE149" t="s">
        <v>692</v>
      </c>
      <c r="QF149">
        <v>1</v>
      </c>
      <c r="QG149">
        <v>1475</v>
      </c>
      <c r="QH149">
        <v>66</v>
      </c>
      <c r="QI149">
        <v>66</v>
      </c>
      <c r="QJ149" t="s">
        <v>855</v>
      </c>
      <c r="QK149">
        <v>1</v>
      </c>
      <c r="QL149">
        <v>1475</v>
      </c>
      <c r="QM149">
        <v>62</v>
      </c>
      <c r="QN149">
        <v>62</v>
      </c>
      <c r="QO149" t="s">
        <v>2266</v>
      </c>
      <c r="QP149">
        <v>1</v>
      </c>
      <c r="QQ149">
        <v>1467</v>
      </c>
      <c r="QR149">
        <v>62</v>
      </c>
      <c r="QS149">
        <v>62</v>
      </c>
      <c r="QT149" t="s">
        <v>2267</v>
      </c>
      <c r="QU149">
        <v>1</v>
      </c>
      <c r="QV149">
        <v>1472</v>
      </c>
      <c r="QW149">
        <v>82</v>
      </c>
      <c r="QX149">
        <v>88</v>
      </c>
      <c r="QY149" t="s">
        <v>1451</v>
      </c>
      <c r="QZ149">
        <v>1</v>
      </c>
      <c r="RA149">
        <v>66</v>
      </c>
      <c r="RB149">
        <v>66</v>
      </c>
      <c r="RE149">
        <v>0</v>
      </c>
      <c r="RF149">
        <v>1</v>
      </c>
      <c r="RH149">
        <v>1</v>
      </c>
      <c r="RJ149">
        <v>1</v>
      </c>
      <c r="RK149">
        <v>3</v>
      </c>
      <c r="RL149">
        <v>4</v>
      </c>
      <c r="RM149">
        <v>4</v>
      </c>
      <c r="RO149">
        <v>573</v>
      </c>
      <c r="RP149">
        <v>142</v>
      </c>
      <c r="RQ149">
        <v>674</v>
      </c>
      <c r="RR149">
        <v>531</v>
      </c>
      <c r="RT149">
        <v>273</v>
      </c>
      <c r="RU149">
        <v>254</v>
      </c>
      <c r="RV149" t="s">
        <v>1305</v>
      </c>
      <c r="RW149" t="s">
        <v>707</v>
      </c>
      <c r="RX149">
        <v>15</v>
      </c>
      <c r="RY149">
        <v>4</v>
      </c>
      <c r="RZ149" t="s">
        <v>707</v>
      </c>
      <c r="SA149">
        <v>15</v>
      </c>
      <c r="SC149" t="s">
        <v>2266</v>
      </c>
      <c r="SD149">
        <v>1</v>
      </c>
      <c r="SF149" t="s">
        <v>2267</v>
      </c>
      <c r="SG149">
        <v>1</v>
      </c>
      <c r="SH149">
        <v>0.995</v>
      </c>
      <c r="SI149">
        <v>0.995</v>
      </c>
      <c r="SJ149">
        <v>0.995</v>
      </c>
      <c r="SK149">
        <v>15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1</v>
      </c>
      <c r="SZ149">
        <v>1</v>
      </c>
      <c r="TB149">
        <v>0</v>
      </c>
      <c r="TC149">
        <v>0</v>
      </c>
      <c r="TD149">
        <v>7.5</v>
      </c>
      <c r="TE149" t="s">
        <v>553</v>
      </c>
      <c r="TF149" t="s">
        <v>624</v>
      </c>
      <c r="TG149" t="s">
        <v>555</v>
      </c>
      <c r="TI149" t="s">
        <v>546</v>
      </c>
      <c r="TJ149" t="s">
        <v>547</v>
      </c>
      <c r="TL149" t="s">
        <v>2240</v>
      </c>
      <c r="TM149" t="s">
        <v>513</v>
      </c>
      <c r="TN149">
        <v>0</v>
      </c>
      <c r="TO149" t="s">
        <v>557</v>
      </c>
    </row>
    <row r="150" spans="1:535">
      <c r="A150" t="s">
        <v>2268</v>
      </c>
      <c r="B150" t="s">
        <v>629</v>
      </c>
      <c r="C150" t="s">
        <v>509</v>
      </c>
      <c r="D150" t="s">
        <v>1281</v>
      </c>
      <c r="G150" t="s">
        <v>1135</v>
      </c>
      <c r="I150" t="s">
        <v>562</v>
      </c>
      <c r="J150" t="s">
        <v>563</v>
      </c>
      <c r="L150" t="s">
        <v>512</v>
      </c>
      <c r="M150" t="s">
        <v>711</v>
      </c>
      <c r="N150" t="s">
        <v>513</v>
      </c>
      <c r="O150" t="s">
        <v>607</v>
      </c>
      <c r="Q150" t="s">
        <v>2269</v>
      </c>
      <c r="R150" t="s">
        <v>567</v>
      </c>
      <c r="S150" t="s">
        <v>1326</v>
      </c>
      <c r="T150" t="s">
        <v>1327</v>
      </c>
      <c r="U150" t="s">
        <v>570</v>
      </c>
      <c r="V150" t="s">
        <v>571</v>
      </c>
      <c r="W150" t="s">
        <v>1879</v>
      </c>
      <c r="X150" t="s">
        <v>2244</v>
      </c>
      <c r="Y150" t="s">
        <v>524</v>
      </c>
      <c r="Z150" t="s">
        <v>2270</v>
      </c>
      <c r="AA150" t="s">
        <v>2271</v>
      </c>
      <c r="AB150" t="s">
        <v>2272</v>
      </c>
      <c r="AC150">
        <v>2</v>
      </c>
      <c r="AD150">
        <v>57</v>
      </c>
      <c r="AE150">
        <v>217</v>
      </c>
      <c r="AF150">
        <v>1.5</v>
      </c>
      <c r="AH150">
        <v>0</v>
      </c>
      <c r="AI150" t="s">
        <v>615</v>
      </c>
      <c r="AJ150">
        <v>200</v>
      </c>
      <c r="AK150">
        <v>1</v>
      </c>
      <c r="AL150">
        <v>1.5</v>
      </c>
      <c r="AM150" t="s">
        <v>579</v>
      </c>
      <c r="AN150" t="s">
        <v>693</v>
      </c>
      <c r="AO150">
        <v>2</v>
      </c>
      <c r="AP150" t="s">
        <v>581</v>
      </c>
      <c r="AQ150" t="s">
        <v>582</v>
      </c>
      <c r="AR150">
        <v>238</v>
      </c>
      <c r="AS150">
        <v>1.5</v>
      </c>
      <c r="AT150" t="s">
        <v>583</v>
      </c>
      <c r="AU150" t="s">
        <v>2273</v>
      </c>
      <c r="AW150" t="s">
        <v>2273</v>
      </c>
      <c r="AX150">
        <v>1</v>
      </c>
      <c r="AY150">
        <v>295</v>
      </c>
      <c r="AZ150">
        <v>1.5</v>
      </c>
      <c r="BA150" t="s">
        <v>579</v>
      </c>
      <c r="BB150" t="s">
        <v>2274</v>
      </c>
      <c r="BD150" t="s">
        <v>2274</v>
      </c>
      <c r="BE150">
        <v>1</v>
      </c>
      <c r="BF150">
        <v>277.5</v>
      </c>
      <c r="BG150">
        <v>1.5</v>
      </c>
      <c r="BJ150">
        <v>0</v>
      </c>
      <c r="BN150">
        <v>1.5</v>
      </c>
      <c r="BP150" t="s">
        <v>2260</v>
      </c>
      <c r="BQ150" t="s">
        <v>587</v>
      </c>
      <c r="BR150">
        <v>2</v>
      </c>
      <c r="BS150" t="s">
        <v>799</v>
      </c>
      <c r="BT150">
        <v>216</v>
      </c>
      <c r="BU150">
        <v>0.5</v>
      </c>
      <c r="BV150" t="s">
        <v>799</v>
      </c>
      <c r="BW150">
        <v>432</v>
      </c>
      <c r="BX150">
        <v>1</v>
      </c>
      <c r="BY150" t="s">
        <v>589</v>
      </c>
      <c r="BZ150">
        <v>300</v>
      </c>
      <c r="CA150">
        <v>480</v>
      </c>
      <c r="CB150" t="s">
        <v>590</v>
      </c>
      <c r="CC150" t="s">
        <v>590</v>
      </c>
      <c r="CD150">
        <v>446</v>
      </c>
      <c r="CE150" t="s">
        <v>591</v>
      </c>
      <c r="CF150">
        <v>15</v>
      </c>
      <c r="CG150" t="s">
        <v>724</v>
      </c>
      <c r="CH150" t="s">
        <v>724</v>
      </c>
      <c r="CI150">
        <v>90</v>
      </c>
      <c r="CJ150">
        <v>1538</v>
      </c>
      <c r="CK150">
        <v>2</v>
      </c>
      <c r="CL150">
        <v>1632</v>
      </c>
      <c r="CM150">
        <v>2</v>
      </c>
      <c r="CN150" t="s">
        <v>593</v>
      </c>
      <c r="CO150" t="s">
        <v>594</v>
      </c>
      <c r="CP150" t="s">
        <v>595</v>
      </c>
      <c r="CQ150" t="s">
        <v>1849</v>
      </c>
      <c r="CR150" t="s">
        <v>541</v>
      </c>
      <c r="CS150" t="s">
        <v>542</v>
      </c>
      <c r="CT150">
        <v>400</v>
      </c>
      <c r="CU150">
        <v>5</v>
      </c>
      <c r="CV150">
        <v>1.2</v>
      </c>
      <c r="CW150">
        <v>1554</v>
      </c>
      <c r="CX150">
        <v>881</v>
      </c>
      <c r="CY150" t="s">
        <v>705</v>
      </c>
      <c r="CZ150">
        <v>50</v>
      </c>
      <c r="DA150">
        <v>3</v>
      </c>
      <c r="DB150">
        <v>1</v>
      </c>
      <c r="DC150">
        <v>1554</v>
      </c>
      <c r="DD150">
        <v>82</v>
      </c>
      <c r="DE150" t="s">
        <v>622</v>
      </c>
      <c r="DF150">
        <v>590</v>
      </c>
      <c r="DG150">
        <v>3</v>
      </c>
      <c r="DH150">
        <v>0.88</v>
      </c>
      <c r="DI150">
        <v>1547</v>
      </c>
      <c r="DJ150">
        <v>1143</v>
      </c>
      <c r="DK150" t="s">
        <v>622</v>
      </c>
      <c r="DL150">
        <v>555</v>
      </c>
      <c r="DM150">
        <v>3</v>
      </c>
      <c r="DN150">
        <v>0.88</v>
      </c>
      <c r="DO150">
        <v>1555</v>
      </c>
      <c r="DP150">
        <v>933</v>
      </c>
      <c r="DW150" t="s">
        <v>544</v>
      </c>
      <c r="DX150">
        <v>7.5</v>
      </c>
      <c r="EA150">
        <v>1623.8</v>
      </c>
      <c r="EB150">
        <v>382</v>
      </c>
      <c r="EC150" t="s">
        <v>545</v>
      </c>
      <c r="ED150">
        <v>35</v>
      </c>
      <c r="EE150">
        <v>3</v>
      </c>
      <c r="EG150">
        <v>1675</v>
      </c>
      <c r="EH150">
        <v>235</v>
      </c>
      <c r="EJ150">
        <v>0</v>
      </c>
      <c r="EK150">
        <v>1</v>
      </c>
      <c r="EN150">
        <v>0</v>
      </c>
      <c r="EP150" t="s">
        <v>546</v>
      </c>
      <c r="EQ150">
        <v>110</v>
      </c>
      <c r="ER150">
        <v>3</v>
      </c>
      <c r="ES150">
        <v>5</v>
      </c>
      <c r="ET150">
        <v>1531</v>
      </c>
      <c r="EU150">
        <v>439.1</v>
      </c>
      <c r="EV150">
        <v>672</v>
      </c>
      <c r="EW150" t="s">
        <v>547</v>
      </c>
      <c r="EX150">
        <v>45</v>
      </c>
      <c r="EY150">
        <v>2</v>
      </c>
      <c r="EZ150">
        <v>4.5</v>
      </c>
      <c r="FA150">
        <v>1531</v>
      </c>
      <c r="FB150">
        <v>138.3</v>
      </c>
      <c r="FC150">
        <v>212</v>
      </c>
      <c r="FE150">
        <v>0</v>
      </c>
      <c r="FF150">
        <v>2</v>
      </c>
      <c r="FI150">
        <v>0</v>
      </c>
      <c r="FK150" t="s">
        <v>548</v>
      </c>
      <c r="FL150">
        <v>0.4</v>
      </c>
      <c r="FM150">
        <v>65</v>
      </c>
      <c r="FN150">
        <v>370</v>
      </c>
      <c r="FO150">
        <v>85</v>
      </c>
      <c r="FP150">
        <v>140</v>
      </c>
      <c r="FR150" t="s">
        <v>548</v>
      </c>
      <c r="FS150">
        <v>0.4</v>
      </c>
      <c r="FT150">
        <v>30</v>
      </c>
      <c r="FU150">
        <v>510</v>
      </c>
      <c r="GR150" t="s">
        <v>548</v>
      </c>
      <c r="GS150">
        <v>0.4</v>
      </c>
      <c r="GT150">
        <v>30</v>
      </c>
      <c r="GU150">
        <v>400</v>
      </c>
      <c r="GV150">
        <v>30</v>
      </c>
      <c r="GW150">
        <v>250</v>
      </c>
      <c r="HC150">
        <v>0.1</v>
      </c>
      <c r="HD150">
        <v>3</v>
      </c>
      <c r="HE150">
        <v>3</v>
      </c>
      <c r="HF150">
        <v>3</v>
      </c>
      <c r="HG150">
        <v>3</v>
      </c>
      <c r="HH150">
        <v>3</v>
      </c>
      <c r="HI150">
        <v>140</v>
      </c>
      <c r="HJ150">
        <v>3</v>
      </c>
      <c r="HK150">
        <v>30</v>
      </c>
      <c r="HL150">
        <v>2</v>
      </c>
      <c r="HM150">
        <v>0</v>
      </c>
      <c r="HN150">
        <v>2</v>
      </c>
      <c r="HO150">
        <v>95</v>
      </c>
      <c r="HP150">
        <v>3</v>
      </c>
      <c r="HQ150">
        <v>0</v>
      </c>
      <c r="HR150">
        <v>2</v>
      </c>
      <c r="HS150">
        <v>6123</v>
      </c>
      <c r="HT150">
        <v>180</v>
      </c>
      <c r="HU150">
        <v>180</v>
      </c>
      <c r="HW150">
        <v>0</v>
      </c>
      <c r="HX150">
        <v>440</v>
      </c>
      <c r="HY150">
        <v>0.18</v>
      </c>
      <c r="IA150">
        <v>0.15</v>
      </c>
      <c r="IB150">
        <v>0</v>
      </c>
      <c r="IC150">
        <v>180</v>
      </c>
      <c r="ID150">
        <v>110</v>
      </c>
      <c r="IE150">
        <v>225</v>
      </c>
      <c r="IF150">
        <v>0</v>
      </c>
      <c r="IH150" t="s">
        <v>549</v>
      </c>
      <c r="IO150">
        <v>3</v>
      </c>
      <c r="IP150">
        <v>20</v>
      </c>
      <c r="IQ150">
        <v>0</v>
      </c>
      <c r="IR150">
        <v>0</v>
      </c>
      <c r="IV150">
        <v>1538</v>
      </c>
      <c r="IW150">
        <v>432</v>
      </c>
      <c r="JA150">
        <v>1</v>
      </c>
      <c r="JB150">
        <v>0</v>
      </c>
      <c r="JC150">
        <v>2</v>
      </c>
      <c r="JD150">
        <v>1554</v>
      </c>
      <c r="JE150">
        <v>1547</v>
      </c>
      <c r="JF150">
        <v>1555</v>
      </c>
      <c r="JG150">
        <v>1531</v>
      </c>
      <c r="JH150">
        <v>0</v>
      </c>
      <c r="JJ150">
        <v>180</v>
      </c>
      <c r="JK150">
        <v>440</v>
      </c>
      <c r="JN150">
        <v>400</v>
      </c>
      <c r="JO150">
        <v>590</v>
      </c>
      <c r="JP150">
        <v>555</v>
      </c>
      <c r="JQ150">
        <v>0</v>
      </c>
      <c r="JR150">
        <v>434</v>
      </c>
      <c r="JS150">
        <v>140</v>
      </c>
      <c r="JV150">
        <v>8</v>
      </c>
      <c r="JW150" t="s">
        <v>550</v>
      </c>
      <c r="JX150">
        <v>476</v>
      </c>
      <c r="KA150">
        <v>225</v>
      </c>
      <c r="KB150">
        <v>110</v>
      </c>
      <c r="KC150">
        <v>0</v>
      </c>
      <c r="KD150">
        <v>80</v>
      </c>
      <c r="KF150">
        <v>4</v>
      </c>
      <c r="KG150">
        <v>2</v>
      </c>
      <c r="KH150">
        <v>2</v>
      </c>
      <c r="KI150">
        <v>2</v>
      </c>
      <c r="KJ150">
        <v>0</v>
      </c>
      <c r="KK150">
        <v>1.5</v>
      </c>
      <c r="KL150">
        <v>1.5</v>
      </c>
      <c r="KM150">
        <v>0</v>
      </c>
      <c r="KN150">
        <v>0</v>
      </c>
      <c r="KO150">
        <v>0</v>
      </c>
      <c r="KR150">
        <v>25</v>
      </c>
      <c r="KS150">
        <v>30</v>
      </c>
      <c r="KT150">
        <v>0</v>
      </c>
      <c r="LK150">
        <v>480</v>
      </c>
      <c r="PG150">
        <v>1</v>
      </c>
      <c r="PI150" t="s">
        <v>2272</v>
      </c>
      <c r="PJ150" t="s">
        <v>2273</v>
      </c>
      <c r="PK150" t="s">
        <v>2274</v>
      </c>
      <c r="PL150" t="s">
        <v>615</v>
      </c>
      <c r="PP150" t="s">
        <v>2260</v>
      </c>
      <c r="PS150" t="s">
        <v>693</v>
      </c>
      <c r="PX150">
        <v>56</v>
      </c>
      <c r="PY150">
        <v>57</v>
      </c>
      <c r="PZ150" t="s">
        <v>2272</v>
      </c>
      <c r="QA150">
        <v>1</v>
      </c>
      <c r="QB150">
        <v>1531</v>
      </c>
      <c r="QC150">
        <v>69</v>
      </c>
      <c r="QD150">
        <v>69</v>
      </c>
      <c r="QE150" t="s">
        <v>615</v>
      </c>
      <c r="QF150">
        <v>1</v>
      </c>
      <c r="QG150">
        <v>1554</v>
      </c>
      <c r="QH150">
        <v>66</v>
      </c>
      <c r="QI150">
        <v>66</v>
      </c>
      <c r="QJ150" t="s">
        <v>693</v>
      </c>
      <c r="QK150">
        <v>1</v>
      </c>
      <c r="QL150">
        <v>1554</v>
      </c>
      <c r="QM150">
        <v>62</v>
      </c>
      <c r="QN150">
        <v>62</v>
      </c>
      <c r="QO150" t="s">
        <v>2273</v>
      </c>
      <c r="QP150">
        <v>1</v>
      </c>
      <c r="QQ150">
        <v>1547</v>
      </c>
      <c r="QR150">
        <v>62</v>
      </c>
      <c r="QS150">
        <v>62</v>
      </c>
      <c r="QT150" t="s">
        <v>2274</v>
      </c>
      <c r="QU150">
        <v>1</v>
      </c>
      <c r="QV150">
        <v>1555</v>
      </c>
      <c r="QW150">
        <v>82</v>
      </c>
      <c r="QX150" t="s">
        <v>587</v>
      </c>
      <c r="QY150" t="s">
        <v>2260</v>
      </c>
      <c r="QZ150">
        <v>3</v>
      </c>
      <c r="RA150">
        <v>66</v>
      </c>
      <c r="RB150">
        <v>66</v>
      </c>
      <c r="RE150">
        <v>0</v>
      </c>
      <c r="RF150">
        <v>1</v>
      </c>
      <c r="RH150">
        <v>1</v>
      </c>
      <c r="RJ150">
        <v>1</v>
      </c>
      <c r="RK150">
        <v>2</v>
      </c>
      <c r="RL150">
        <v>4</v>
      </c>
      <c r="RM150">
        <v>4</v>
      </c>
      <c r="RO150">
        <v>567</v>
      </c>
      <c r="RP150">
        <v>105</v>
      </c>
      <c r="RQ150">
        <v>739</v>
      </c>
      <c r="RR150">
        <v>600</v>
      </c>
      <c r="RT150">
        <v>382</v>
      </c>
      <c r="RU150">
        <v>235</v>
      </c>
      <c r="RV150" t="s">
        <v>801</v>
      </c>
      <c r="RW150" t="s">
        <v>599</v>
      </c>
      <c r="RX150">
        <v>15</v>
      </c>
      <c r="RY150">
        <v>4</v>
      </c>
      <c r="RZ150" t="s">
        <v>599</v>
      </c>
      <c r="SA150">
        <v>15</v>
      </c>
      <c r="SC150" t="s">
        <v>2273</v>
      </c>
      <c r="SD150">
        <v>1</v>
      </c>
      <c r="SF150" t="s">
        <v>2274</v>
      </c>
      <c r="SG150">
        <v>1</v>
      </c>
      <c r="SH150">
        <v>0.995</v>
      </c>
      <c r="SI150">
        <v>0.995</v>
      </c>
      <c r="SJ150">
        <v>0.995</v>
      </c>
      <c r="SK150">
        <v>15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1</v>
      </c>
      <c r="SZ150">
        <v>1</v>
      </c>
      <c r="TB150">
        <v>1</v>
      </c>
      <c r="TC150">
        <v>0</v>
      </c>
      <c r="TD150">
        <v>7.5</v>
      </c>
      <c r="TE150" t="s">
        <v>553</v>
      </c>
      <c r="TF150" t="s">
        <v>681</v>
      </c>
      <c r="TG150" t="s">
        <v>555</v>
      </c>
      <c r="TI150" t="s">
        <v>546</v>
      </c>
      <c r="TJ150" t="s">
        <v>547</v>
      </c>
      <c r="TL150" t="s">
        <v>2240</v>
      </c>
      <c r="TM150" t="s">
        <v>513</v>
      </c>
      <c r="TN150">
        <v>0</v>
      </c>
      <c r="TO150" t="s">
        <v>601</v>
      </c>
    </row>
    <row r="151" spans="1:535">
      <c r="A151" t="s">
        <v>2275</v>
      </c>
      <c r="B151" t="s">
        <v>564</v>
      </c>
      <c r="C151" t="s">
        <v>509</v>
      </c>
      <c r="D151" t="s">
        <v>2276</v>
      </c>
      <c r="G151" t="s">
        <v>1088</v>
      </c>
      <c r="L151" t="s">
        <v>512</v>
      </c>
      <c r="M151" t="s">
        <v>629</v>
      </c>
      <c r="N151" t="s">
        <v>513</v>
      </c>
      <c r="O151" t="s">
        <v>607</v>
      </c>
      <c r="Q151" t="s">
        <v>2277</v>
      </c>
      <c r="R151" t="s">
        <v>567</v>
      </c>
      <c r="S151" t="s">
        <v>964</v>
      </c>
      <c r="T151" t="s">
        <v>965</v>
      </c>
      <c r="U151" t="s">
        <v>686</v>
      </c>
      <c r="V151" t="s">
        <v>687</v>
      </c>
      <c r="W151" t="s">
        <v>1710</v>
      </c>
      <c r="X151" t="s">
        <v>2244</v>
      </c>
      <c r="Y151" t="s">
        <v>524</v>
      </c>
      <c r="Z151" t="s">
        <v>2278</v>
      </c>
      <c r="AA151" t="s">
        <v>2279</v>
      </c>
      <c r="AB151" t="s">
        <v>2280</v>
      </c>
      <c r="AC151">
        <v>2</v>
      </c>
      <c r="AD151">
        <v>57</v>
      </c>
      <c r="AE151">
        <v>210</v>
      </c>
      <c r="AF151">
        <v>1.5</v>
      </c>
      <c r="AH151">
        <v>0</v>
      </c>
      <c r="AI151" t="s">
        <v>1723</v>
      </c>
      <c r="AJ151">
        <v>195</v>
      </c>
      <c r="AK151">
        <v>1</v>
      </c>
      <c r="AL151">
        <v>1.5</v>
      </c>
      <c r="AM151" t="s">
        <v>579</v>
      </c>
      <c r="AN151" t="s">
        <v>580</v>
      </c>
      <c r="AO151">
        <v>2</v>
      </c>
      <c r="AP151" t="s">
        <v>581</v>
      </c>
      <c r="AQ151" t="s">
        <v>582</v>
      </c>
      <c r="AR151">
        <v>242</v>
      </c>
      <c r="AS151">
        <v>1.5</v>
      </c>
      <c r="AT151" t="s">
        <v>583</v>
      </c>
      <c r="AU151" t="s">
        <v>2281</v>
      </c>
      <c r="AW151" t="s">
        <v>2281</v>
      </c>
      <c r="AX151">
        <v>1</v>
      </c>
      <c r="AY151">
        <v>282.5</v>
      </c>
      <c r="AZ151">
        <v>1.5</v>
      </c>
      <c r="BA151" t="s">
        <v>579</v>
      </c>
      <c r="BB151" t="s">
        <v>2282</v>
      </c>
      <c r="BD151" t="s">
        <v>2282</v>
      </c>
      <c r="BE151">
        <v>1</v>
      </c>
      <c r="BF151">
        <v>237.5</v>
      </c>
      <c r="BG151">
        <v>1.5</v>
      </c>
      <c r="BJ151">
        <v>0</v>
      </c>
      <c r="BN151">
        <v>1.5</v>
      </c>
      <c r="BP151" t="s">
        <v>1303</v>
      </c>
      <c r="BQ151">
        <v>89</v>
      </c>
      <c r="BR151">
        <v>2</v>
      </c>
      <c r="BS151" t="s">
        <v>1304</v>
      </c>
      <c r="BT151">
        <v>210</v>
      </c>
      <c r="BU151">
        <v>0.5</v>
      </c>
      <c r="BV151" t="s">
        <v>1304</v>
      </c>
      <c r="BW151">
        <v>420</v>
      </c>
      <c r="BX151">
        <v>1</v>
      </c>
      <c r="BY151" t="s">
        <v>698</v>
      </c>
      <c r="BZ151">
        <v>300</v>
      </c>
      <c r="CA151">
        <v>480</v>
      </c>
      <c r="CB151" t="s">
        <v>699</v>
      </c>
      <c r="CC151" t="s">
        <v>699</v>
      </c>
      <c r="CD151">
        <v>432</v>
      </c>
      <c r="CE151" t="s">
        <v>700</v>
      </c>
      <c r="CF151">
        <v>15</v>
      </c>
      <c r="CG151" t="s">
        <v>783</v>
      </c>
      <c r="CH151" t="s">
        <v>783</v>
      </c>
      <c r="CI151">
        <v>90</v>
      </c>
      <c r="CJ151">
        <v>1458</v>
      </c>
      <c r="CK151">
        <v>2</v>
      </c>
      <c r="CL151">
        <v>1552</v>
      </c>
      <c r="CM151">
        <v>2</v>
      </c>
      <c r="CN151" t="s">
        <v>702</v>
      </c>
      <c r="CO151" t="s">
        <v>676</v>
      </c>
      <c r="CP151" t="s">
        <v>703</v>
      </c>
      <c r="CQ151" t="s">
        <v>596</v>
      </c>
      <c r="CR151" t="s">
        <v>541</v>
      </c>
      <c r="CS151" t="s">
        <v>542</v>
      </c>
      <c r="CT151">
        <v>390</v>
      </c>
      <c r="CU151">
        <v>5</v>
      </c>
      <c r="CV151">
        <v>1.2</v>
      </c>
      <c r="CW151">
        <v>1475</v>
      </c>
      <c r="CX151">
        <v>814</v>
      </c>
      <c r="CY151" t="s">
        <v>597</v>
      </c>
      <c r="CZ151">
        <v>60</v>
      </c>
      <c r="DA151">
        <v>3</v>
      </c>
      <c r="DB151">
        <v>1.28</v>
      </c>
      <c r="DC151">
        <v>1475</v>
      </c>
      <c r="DD151">
        <v>125</v>
      </c>
      <c r="DE151" t="s">
        <v>622</v>
      </c>
      <c r="DF151">
        <v>565</v>
      </c>
      <c r="DG151">
        <v>3</v>
      </c>
      <c r="DH151">
        <v>0.88</v>
      </c>
      <c r="DI151">
        <v>1467</v>
      </c>
      <c r="DJ151">
        <v>986</v>
      </c>
      <c r="DK151" t="s">
        <v>622</v>
      </c>
      <c r="DL151">
        <v>475</v>
      </c>
      <c r="DM151">
        <v>3</v>
      </c>
      <c r="DN151">
        <v>0.88</v>
      </c>
      <c r="DO151">
        <v>1472</v>
      </c>
      <c r="DP151">
        <v>729</v>
      </c>
      <c r="DW151" t="s">
        <v>544</v>
      </c>
      <c r="DX151">
        <v>7.5</v>
      </c>
      <c r="EA151">
        <v>1544.1</v>
      </c>
      <c r="EB151">
        <v>273</v>
      </c>
      <c r="EC151" t="s">
        <v>545</v>
      </c>
      <c r="ED151">
        <v>35</v>
      </c>
      <c r="EE151">
        <v>3</v>
      </c>
      <c r="EG151">
        <v>1585</v>
      </c>
      <c r="EH151">
        <v>222</v>
      </c>
      <c r="EJ151">
        <v>0</v>
      </c>
      <c r="EK151">
        <v>1</v>
      </c>
      <c r="EN151">
        <v>0</v>
      </c>
      <c r="EP151" t="s">
        <v>546</v>
      </c>
      <c r="EQ151">
        <v>105</v>
      </c>
      <c r="ER151">
        <v>3</v>
      </c>
      <c r="ES151">
        <v>5</v>
      </c>
      <c r="ET151">
        <v>1451</v>
      </c>
      <c r="EU151">
        <v>438.9</v>
      </c>
      <c r="EV151">
        <v>637</v>
      </c>
      <c r="EW151" t="s">
        <v>547</v>
      </c>
      <c r="EX151">
        <v>45</v>
      </c>
      <c r="EY151">
        <v>2</v>
      </c>
      <c r="EZ151">
        <v>4.3</v>
      </c>
      <c r="FA151">
        <v>1451</v>
      </c>
      <c r="FB151">
        <v>142.5</v>
      </c>
      <c r="FC151">
        <v>207</v>
      </c>
      <c r="FE151">
        <v>0</v>
      </c>
      <c r="FF151">
        <v>2</v>
      </c>
      <c r="FI151">
        <v>0</v>
      </c>
      <c r="FK151" t="s">
        <v>548</v>
      </c>
      <c r="FL151">
        <v>0.4</v>
      </c>
      <c r="FM151">
        <v>70</v>
      </c>
      <c r="FN151">
        <v>360</v>
      </c>
      <c r="FO151">
        <v>60</v>
      </c>
      <c r="FP151">
        <v>150</v>
      </c>
      <c r="GR151" t="s">
        <v>548</v>
      </c>
      <c r="GS151">
        <v>0.4</v>
      </c>
      <c r="GT151">
        <v>30</v>
      </c>
      <c r="GU151">
        <v>260</v>
      </c>
      <c r="HC151">
        <v>0.1</v>
      </c>
      <c r="HD151">
        <v>3</v>
      </c>
      <c r="HE151">
        <v>3</v>
      </c>
      <c r="HF151">
        <v>3</v>
      </c>
      <c r="HG151">
        <v>3</v>
      </c>
      <c r="HH151">
        <v>3</v>
      </c>
      <c r="HI151">
        <v>135</v>
      </c>
      <c r="HJ151">
        <v>3</v>
      </c>
      <c r="HK151">
        <v>30</v>
      </c>
      <c r="HL151">
        <v>2</v>
      </c>
      <c r="HM151">
        <v>0</v>
      </c>
      <c r="HN151">
        <v>2</v>
      </c>
      <c r="HO151">
        <v>90</v>
      </c>
      <c r="HP151">
        <v>3</v>
      </c>
      <c r="HQ151">
        <v>0</v>
      </c>
      <c r="HR151">
        <v>2</v>
      </c>
      <c r="HS151">
        <v>5457</v>
      </c>
      <c r="HT151">
        <v>160</v>
      </c>
      <c r="HU151">
        <v>180</v>
      </c>
      <c r="HW151">
        <v>0</v>
      </c>
      <c r="HX151">
        <v>425</v>
      </c>
      <c r="HY151">
        <v>0.18</v>
      </c>
      <c r="IA151">
        <v>0.15</v>
      </c>
      <c r="IB151">
        <v>0</v>
      </c>
      <c r="IC151">
        <v>180</v>
      </c>
      <c r="ID151">
        <v>110</v>
      </c>
      <c r="IE151">
        <v>225</v>
      </c>
      <c r="IF151">
        <v>0</v>
      </c>
      <c r="IH151" t="s">
        <v>549</v>
      </c>
      <c r="IO151">
        <v>3</v>
      </c>
      <c r="IP151">
        <v>19</v>
      </c>
      <c r="IQ151">
        <v>0</v>
      </c>
      <c r="IR151">
        <v>0</v>
      </c>
      <c r="IV151">
        <v>1458</v>
      </c>
      <c r="IW151">
        <v>420</v>
      </c>
      <c r="JA151">
        <v>1</v>
      </c>
      <c r="JB151">
        <v>0</v>
      </c>
      <c r="JC151">
        <v>2</v>
      </c>
      <c r="JD151">
        <v>1475</v>
      </c>
      <c r="JE151">
        <v>1467</v>
      </c>
      <c r="JF151">
        <v>1472</v>
      </c>
      <c r="JG151">
        <v>1451</v>
      </c>
      <c r="JH151">
        <v>0</v>
      </c>
      <c r="JJ151">
        <v>180</v>
      </c>
      <c r="JK151">
        <v>425</v>
      </c>
      <c r="JN151">
        <v>390</v>
      </c>
      <c r="JO151">
        <v>565</v>
      </c>
      <c r="JP151">
        <v>475</v>
      </c>
      <c r="JQ151">
        <v>0</v>
      </c>
      <c r="JR151">
        <v>420</v>
      </c>
      <c r="JS151">
        <v>135</v>
      </c>
      <c r="JV151">
        <v>8</v>
      </c>
      <c r="JW151" t="s">
        <v>550</v>
      </c>
      <c r="JX151">
        <v>484</v>
      </c>
      <c r="KA151">
        <v>225</v>
      </c>
      <c r="KB151">
        <v>110</v>
      </c>
      <c r="KC151">
        <v>0</v>
      </c>
      <c r="KD151">
        <v>80</v>
      </c>
      <c r="KF151">
        <v>4</v>
      </c>
      <c r="KG151">
        <v>4</v>
      </c>
      <c r="KH151">
        <v>2</v>
      </c>
      <c r="KI151">
        <v>2</v>
      </c>
      <c r="KJ151">
        <v>0</v>
      </c>
      <c r="KK151">
        <v>1.5</v>
      </c>
      <c r="KL151">
        <v>1.5</v>
      </c>
      <c r="KM151">
        <v>0</v>
      </c>
      <c r="KN151">
        <v>0</v>
      </c>
      <c r="KO151">
        <v>0</v>
      </c>
      <c r="KR151">
        <v>30</v>
      </c>
      <c r="KS151">
        <v>60</v>
      </c>
      <c r="KT151">
        <v>0</v>
      </c>
      <c r="LK151">
        <v>480</v>
      </c>
      <c r="PG151">
        <v>1</v>
      </c>
      <c r="PI151" t="s">
        <v>2280</v>
      </c>
      <c r="PJ151" t="s">
        <v>2281</v>
      </c>
      <c r="PK151" t="s">
        <v>2282</v>
      </c>
      <c r="PL151" t="s">
        <v>1723</v>
      </c>
      <c r="PP151" t="s">
        <v>1303</v>
      </c>
      <c r="PS151" t="s">
        <v>580</v>
      </c>
      <c r="PX151">
        <v>56</v>
      </c>
      <c r="PY151">
        <v>57</v>
      </c>
      <c r="PZ151" t="s">
        <v>2280</v>
      </c>
      <c r="QA151">
        <v>1</v>
      </c>
      <c r="QB151">
        <v>1451</v>
      </c>
      <c r="QC151">
        <v>69</v>
      </c>
      <c r="QD151">
        <v>69</v>
      </c>
      <c r="QE151" t="s">
        <v>1723</v>
      </c>
      <c r="QF151">
        <v>1</v>
      </c>
      <c r="QG151">
        <v>1475</v>
      </c>
      <c r="QH151">
        <v>66</v>
      </c>
      <c r="QI151">
        <v>66</v>
      </c>
      <c r="QJ151" t="s">
        <v>580</v>
      </c>
      <c r="QK151">
        <v>1</v>
      </c>
      <c r="QL151">
        <v>1475</v>
      </c>
      <c r="QM151">
        <v>62</v>
      </c>
      <c r="QN151">
        <v>62</v>
      </c>
      <c r="QO151" t="s">
        <v>2281</v>
      </c>
      <c r="QP151">
        <v>1</v>
      </c>
      <c r="QQ151">
        <v>1467</v>
      </c>
      <c r="QR151">
        <v>62</v>
      </c>
      <c r="QS151">
        <v>62</v>
      </c>
      <c r="QT151" t="s">
        <v>2282</v>
      </c>
      <c r="QU151">
        <v>1</v>
      </c>
      <c r="QV151">
        <v>1472</v>
      </c>
      <c r="QW151">
        <v>82</v>
      </c>
      <c r="QX151">
        <v>89</v>
      </c>
      <c r="QY151" t="s">
        <v>1303</v>
      </c>
      <c r="QZ151">
        <v>1</v>
      </c>
      <c r="RA151">
        <v>66</v>
      </c>
      <c r="RB151">
        <v>66</v>
      </c>
      <c r="RE151">
        <v>0</v>
      </c>
      <c r="RF151">
        <v>1</v>
      </c>
      <c r="RH151">
        <v>1</v>
      </c>
      <c r="RJ151">
        <v>1</v>
      </c>
      <c r="RK151">
        <v>3</v>
      </c>
      <c r="RL151">
        <v>4</v>
      </c>
      <c r="RM151">
        <v>4</v>
      </c>
      <c r="RO151">
        <v>552</v>
      </c>
      <c r="RP151">
        <v>170</v>
      </c>
      <c r="RQ151">
        <v>672</v>
      </c>
      <c r="RR151">
        <v>495</v>
      </c>
      <c r="RT151">
        <v>273</v>
      </c>
      <c r="RU151">
        <v>222</v>
      </c>
      <c r="RV151" t="s">
        <v>1305</v>
      </c>
      <c r="RW151" t="s">
        <v>707</v>
      </c>
      <c r="RX151">
        <v>15</v>
      </c>
      <c r="RY151">
        <v>4</v>
      </c>
      <c r="RZ151" t="s">
        <v>707</v>
      </c>
      <c r="SA151">
        <v>15</v>
      </c>
      <c r="SC151" t="s">
        <v>2281</v>
      </c>
      <c r="SD151">
        <v>1</v>
      </c>
      <c r="SF151" t="s">
        <v>2282</v>
      </c>
      <c r="SG151">
        <v>1</v>
      </c>
      <c r="SH151">
        <v>0.995</v>
      </c>
      <c r="SI151">
        <v>0.995</v>
      </c>
      <c r="SJ151">
        <v>0.995</v>
      </c>
      <c r="SK151">
        <v>15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1</v>
      </c>
      <c r="SZ151">
        <v>1</v>
      </c>
      <c r="TB151">
        <v>0</v>
      </c>
      <c r="TC151">
        <v>0</v>
      </c>
      <c r="TD151">
        <v>7.5</v>
      </c>
      <c r="TE151" t="s">
        <v>553</v>
      </c>
      <c r="TF151" t="s">
        <v>624</v>
      </c>
      <c r="TG151" t="s">
        <v>555</v>
      </c>
      <c r="TI151" t="s">
        <v>546</v>
      </c>
      <c r="TJ151" t="s">
        <v>547</v>
      </c>
      <c r="TL151" t="s">
        <v>2240</v>
      </c>
      <c r="TM151" t="s">
        <v>513</v>
      </c>
      <c r="TN151">
        <v>0</v>
      </c>
      <c r="TO151" t="s">
        <v>557</v>
      </c>
    </row>
    <row r="152" spans="1:535">
      <c r="A152" t="s">
        <v>2283</v>
      </c>
      <c r="B152" t="s">
        <v>564</v>
      </c>
      <c r="C152" t="s">
        <v>509</v>
      </c>
      <c r="D152" t="s">
        <v>1903</v>
      </c>
      <c r="G152" t="s">
        <v>1294</v>
      </c>
      <c r="I152" t="s">
        <v>562</v>
      </c>
      <c r="J152" t="s">
        <v>563</v>
      </c>
      <c r="L152" t="s">
        <v>512</v>
      </c>
      <c r="M152" t="s">
        <v>629</v>
      </c>
      <c r="N152" t="s">
        <v>513</v>
      </c>
      <c r="O152" t="s">
        <v>607</v>
      </c>
      <c r="Q152" t="s">
        <v>2284</v>
      </c>
      <c r="R152" t="s">
        <v>567</v>
      </c>
      <c r="S152" t="s">
        <v>926</v>
      </c>
      <c r="T152" t="s">
        <v>927</v>
      </c>
      <c r="U152" t="s">
        <v>570</v>
      </c>
      <c r="V152" t="s">
        <v>571</v>
      </c>
      <c r="W152" t="s">
        <v>928</v>
      </c>
      <c r="X152" t="s">
        <v>2244</v>
      </c>
      <c r="Y152" t="s">
        <v>574</v>
      </c>
      <c r="Z152" t="s">
        <v>2285</v>
      </c>
      <c r="AA152" t="s">
        <v>2286</v>
      </c>
      <c r="AB152" t="s">
        <v>2287</v>
      </c>
      <c r="AC152">
        <v>2</v>
      </c>
      <c r="AD152">
        <v>57</v>
      </c>
      <c r="AE152">
        <v>230</v>
      </c>
      <c r="AF152">
        <v>1.5</v>
      </c>
      <c r="AH152">
        <v>0</v>
      </c>
      <c r="AI152" t="s">
        <v>1246</v>
      </c>
      <c r="AJ152">
        <v>210</v>
      </c>
      <c r="AK152">
        <v>1</v>
      </c>
      <c r="AL152">
        <v>1.5</v>
      </c>
      <c r="AM152" t="s">
        <v>579</v>
      </c>
      <c r="AN152" t="s">
        <v>855</v>
      </c>
      <c r="AO152">
        <v>2</v>
      </c>
      <c r="AP152" t="s">
        <v>581</v>
      </c>
      <c r="AQ152" t="s">
        <v>582</v>
      </c>
      <c r="AR152">
        <v>248</v>
      </c>
      <c r="AS152">
        <v>1.5</v>
      </c>
      <c r="AT152" t="s">
        <v>583</v>
      </c>
      <c r="AU152" t="s">
        <v>2288</v>
      </c>
      <c r="AW152" t="s">
        <v>2288</v>
      </c>
      <c r="AX152">
        <v>1</v>
      </c>
      <c r="AY152">
        <v>312.5</v>
      </c>
      <c r="AZ152">
        <v>1.5</v>
      </c>
      <c r="BA152" t="s">
        <v>579</v>
      </c>
      <c r="BB152" t="s">
        <v>2289</v>
      </c>
      <c r="BD152" t="s">
        <v>2289</v>
      </c>
      <c r="BE152">
        <v>1</v>
      </c>
      <c r="BF152">
        <v>295</v>
      </c>
      <c r="BG152">
        <v>1.5</v>
      </c>
      <c r="BJ152">
        <v>0</v>
      </c>
      <c r="BN152">
        <v>1.5</v>
      </c>
      <c r="BP152" t="s">
        <v>1374</v>
      </c>
      <c r="BQ152" t="s">
        <v>587</v>
      </c>
      <c r="BR152">
        <v>2</v>
      </c>
      <c r="BS152" t="s">
        <v>799</v>
      </c>
      <c r="BT152">
        <v>227</v>
      </c>
      <c r="BU152">
        <v>0.5</v>
      </c>
      <c r="BV152" t="s">
        <v>799</v>
      </c>
      <c r="BW152">
        <v>454</v>
      </c>
      <c r="BX152">
        <v>1</v>
      </c>
      <c r="BY152" t="s">
        <v>589</v>
      </c>
      <c r="BZ152">
        <v>470</v>
      </c>
      <c r="CA152">
        <v>530</v>
      </c>
      <c r="CB152" t="s">
        <v>590</v>
      </c>
      <c r="CC152" t="s">
        <v>590</v>
      </c>
      <c r="CD152">
        <v>476</v>
      </c>
      <c r="CE152" t="s">
        <v>591</v>
      </c>
      <c r="CF152">
        <v>15</v>
      </c>
      <c r="CG152" t="s">
        <v>936</v>
      </c>
      <c r="CH152" t="s">
        <v>936</v>
      </c>
      <c r="CI152">
        <v>30</v>
      </c>
      <c r="CJ152">
        <v>1538</v>
      </c>
      <c r="CK152">
        <v>2</v>
      </c>
      <c r="CL152">
        <v>1632</v>
      </c>
      <c r="CM152">
        <v>2</v>
      </c>
      <c r="CN152" t="s">
        <v>593</v>
      </c>
      <c r="CO152" t="s">
        <v>594</v>
      </c>
      <c r="CP152" t="s">
        <v>595</v>
      </c>
      <c r="CQ152" t="s">
        <v>1849</v>
      </c>
      <c r="CR152" t="s">
        <v>541</v>
      </c>
      <c r="CS152" t="s">
        <v>542</v>
      </c>
      <c r="CT152">
        <v>420</v>
      </c>
      <c r="CU152">
        <v>5</v>
      </c>
      <c r="CV152">
        <v>1.2</v>
      </c>
      <c r="CW152">
        <v>1554</v>
      </c>
      <c r="CX152">
        <v>925</v>
      </c>
      <c r="CY152" t="s">
        <v>597</v>
      </c>
      <c r="CZ152">
        <v>50</v>
      </c>
      <c r="DA152">
        <v>3</v>
      </c>
      <c r="DB152">
        <v>1.28</v>
      </c>
      <c r="DC152">
        <v>1554</v>
      </c>
      <c r="DD152">
        <v>110</v>
      </c>
      <c r="DE152" t="s">
        <v>622</v>
      </c>
      <c r="DF152">
        <v>625</v>
      </c>
      <c r="DG152">
        <v>3</v>
      </c>
      <c r="DH152">
        <v>0.88</v>
      </c>
      <c r="DI152">
        <v>1547</v>
      </c>
      <c r="DJ152">
        <v>1177</v>
      </c>
      <c r="DK152" t="s">
        <v>622</v>
      </c>
      <c r="DL152">
        <v>590</v>
      </c>
      <c r="DM152">
        <v>3</v>
      </c>
      <c r="DN152">
        <v>0.88</v>
      </c>
      <c r="DO152">
        <v>1555</v>
      </c>
      <c r="DP152">
        <v>994</v>
      </c>
      <c r="DW152" t="s">
        <v>544</v>
      </c>
      <c r="DX152">
        <v>7.5</v>
      </c>
      <c r="EA152">
        <v>1623.8</v>
      </c>
      <c r="EB152">
        <v>382</v>
      </c>
      <c r="EC152" t="s">
        <v>545</v>
      </c>
      <c r="ED152">
        <v>30</v>
      </c>
      <c r="EE152">
        <v>3</v>
      </c>
      <c r="EG152">
        <v>1675</v>
      </c>
      <c r="EH152">
        <v>198</v>
      </c>
      <c r="EJ152">
        <v>0</v>
      </c>
      <c r="EK152">
        <v>1</v>
      </c>
      <c r="EN152">
        <v>0</v>
      </c>
      <c r="EP152" t="s">
        <v>546</v>
      </c>
      <c r="EQ152">
        <v>115</v>
      </c>
      <c r="ER152">
        <v>3</v>
      </c>
      <c r="ES152">
        <v>5.5</v>
      </c>
      <c r="ET152">
        <v>1534</v>
      </c>
      <c r="EU152">
        <v>530.4</v>
      </c>
      <c r="EV152">
        <v>814</v>
      </c>
      <c r="EW152" t="s">
        <v>547</v>
      </c>
      <c r="EX152">
        <v>45</v>
      </c>
      <c r="EY152">
        <v>2</v>
      </c>
      <c r="EZ152">
        <v>4.5</v>
      </c>
      <c r="FA152">
        <v>1534</v>
      </c>
      <c r="FB152">
        <v>138.3</v>
      </c>
      <c r="FC152">
        <v>212</v>
      </c>
      <c r="FE152">
        <v>0</v>
      </c>
      <c r="FF152">
        <v>2</v>
      </c>
      <c r="FI152">
        <v>0</v>
      </c>
      <c r="FK152" t="s">
        <v>548</v>
      </c>
      <c r="FL152">
        <v>0.4</v>
      </c>
      <c r="FM152">
        <v>45</v>
      </c>
      <c r="FN152">
        <v>400</v>
      </c>
      <c r="FO152">
        <v>90</v>
      </c>
      <c r="FP152">
        <v>160</v>
      </c>
      <c r="FR152" t="s">
        <v>548</v>
      </c>
      <c r="FS152">
        <v>0.4</v>
      </c>
      <c r="FT152">
        <v>30</v>
      </c>
      <c r="FU152">
        <v>550</v>
      </c>
      <c r="GR152" t="s">
        <v>548</v>
      </c>
      <c r="GS152">
        <v>0.4</v>
      </c>
      <c r="GT152">
        <v>65</v>
      </c>
      <c r="GU152">
        <v>290</v>
      </c>
      <c r="HC152">
        <v>0.1</v>
      </c>
      <c r="HD152">
        <v>3</v>
      </c>
      <c r="HE152">
        <v>3</v>
      </c>
      <c r="HF152">
        <v>3</v>
      </c>
      <c r="HG152">
        <v>3</v>
      </c>
      <c r="HH152">
        <v>3</v>
      </c>
      <c r="HI152">
        <v>145</v>
      </c>
      <c r="HJ152">
        <v>3</v>
      </c>
      <c r="HK152">
        <v>30</v>
      </c>
      <c r="HL152">
        <v>2</v>
      </c>
      <c r="HM152">
        <v>0</v>
      </c>
      <c r="HN152">
        <v>2</v>
      </c>
      <c r="HO152">
        <v>100</v>
      </c>
      <c r="HP152">
        <v>3</v>
      </c>
      <c r="HQ152">
        <v>0</v>
      </c>
      <c r="HR152">
        <v>2</v>
      </c>
      <c r="HS152">
        <v>6528</v>
      </c>
      <c r="HT152">
        <v>200</v>
      </c>
      <c r="HU152">
        <v>180</v>
      </c>
      <c r="HW152">
        <v>0</v>
      </c>
      <c r="HX152">
        <v>460</v>
      </c>
      <c r="HY152">
        <v>0.18</v>
      </c>
      <c r="IA152">
        <v>0.15</v>
      </c>
      <c r="IB152">
        <v>0</v>
      </c>
      <c r="IC152">
        <v>180</v>
      </c>
      <c r="ID152">
        <v>110</v>
      </c>
      <c r="IE152">
        <v>225</v>
      </c>
      <c r="IF152">
        <v>0</v>
      </c>
      <c r="IH152" t="s">
        <v>549</v>
      </c>
      <c r="IO152">
        <v>3</v>
      </c>
      <c r="IP152">
        <v>20</v>
      </c>
      <c r="IQ152">
        <v>0</v>
      </c>
      <c r="IR152">
        <v>0</v>
      </c>
      <c r="IV152">
        <v>1538</v>
      </c>
      <c r="IW152">
        <v>454</v>
      </c>
      <c r="JA152">
        <v>1</v>
      </c>
      <c r="JB152">
        <v>0</v>
      </c>
      <c r="JC152">
        <v>2</v>
      </c>
      <c r="JD152">
        <v>1554</v>
      </c>
      <c r="JE152">
        <v>1547</v>
      </c>
      <c r="JF152">
        <v>1555</v>
      </c>
      <c r="JG152">
        <v>1534</v>
      </c>
      <c r="JH152">
        <v>0</v>
      </c>
      <c r="JJ152">
        <v>180</v>
      </c>
      <c r="JK152">
        <v>460</v>
      </c>
      <c r="JN152">
        <v>420</v>
      </c>
      <c r="JO152">
        <v>625</v>
      </c>
      <c r="JP152">
        <v>590</v>
      </c>
      <c r="JQ152">
        <v>0</v>
      </c>
      <c r="JR152">
        <v>460</v>
      </c>
      <c r="JS152">
        <v>145</v>
      </c>
      <c r="JV152">
        <v>8</v>
      </c>
      <c r="JW152" t="s">
        <v>550</v>
      </c>
      <c r="JX152">
        <v>496</v>
      </c>
      <c r="KA152">
        <v>225</v>
      </c>
      <c r="KB152">
        <v>110</v>
      </c>
      <c r="KC152">
        <v>0</v>
      </c>
      <c r="KD152">
        <v>80</v>
      </c>
      <c r="KF152">
        <v>4</v>
      </c>
      <c r="KG152">
        <v>2</v>
      </c>
      <c r="KH152">
        <v>2</v>
      </c>
      <c r="KI152">
        <v>2</v>
      </c>
      <c r="KJ152">
        <v>0</v>
      </c>
      <c r="KK152">
        <v>1.5</v>
      </c>
      <c r="KL152">
        <v>1.5</v>
      </c>
      <c r="KM152">
        <v>0</v>
      </c>
      <c r="KN152">
        <v>0</v>
      </c>
      <c r="KO152">
        <v>0</v>
      </c>
      <c r="KR152">
        <v>30</v>
      </c>
      <c r="KS152">
        <v>60</v>
      </c>
      <c r="KT152">
        <v>0</v>
      </c>
      <c r="LK152">
        <v>480</v>
      </c>
      <c r="PG152">
        <v>1</v>
      </c>
      <c r="PI152" t="s">
        <v>2287</v>
      </c>
      <c r="PJ152" t="s">
        <v>2288</v>
      </c>
      <c r="PK152" t="s">
        <v>2289</v>
      </c>
      <c r="PL152" t="s">
        <v>1246</v>
      </c>
      <c r="PP152" t="s">
        <v>1374</v>
      </c>
      <c r="PS152" t="s">
        <v>855</v>
      </c>
      <c r="PX152">
        <v>56</v>
      </c>
      <c r="PY152">
        <v>57</v>
      </c>
      <c r="PZ152" t="s">
        <v>2287</v>
      </c>
      <c r="QA152">
        <v>1</v>
      </c>
      <c r="QB152">
        <v>1534</v>
      </c>
      <c r="QC152">
        <v>69</v>
      </c>
      <c r="QD152">
        <v>69</v>
      </c>
      <c r="QE152" t="s">
        <v>1246</v>
      </c>
      <c r="QF152">
        <v>1</v>
      </c>
      <c r="QG152">
        <v>1554</v>
      </c>
      <c r="QH152">
        <v>66</v>
      </c>
      <c r="QI152">
        <v>66</v>
      </c>
      <c r="QJ152" t="s">
        <v>855</v>
      </c>
      <c r="QK152">
        <v>1</v>
      </c>
      <c r="QL152">
        <v>1554</v>
      </c>
      <c r="QM152">
        <v>62</v>
      </c>
      <c r="QN152">
        <v>62</v>
      </c>
      <c r="QO152" t="s">
        <v>2288</v>
      </c>
      <c r="QP152">
        <v>1</v>
      </c>
      <c r="QQ152">
        <v>1547</v>
      </c>
      <c r="QR152">
        <v>62</v>
      </c>
      <c r="QS152">
        <v>62</v>
      </c>
      <c r="QT152" t="s">
        <v>2289</v>
      </c>
      <c r="QU152">
        <v>1</v>
      </c>
      <c r="QV152">
        <v>1555</v>
      </c>
      <c r="QW152">
        <v>82</v>
      </c>
      <c r="QX152" t="s">
        <v>587</v>
      </c>
      <c r="QY152" t="s">
        <v>1374</v>
      </c>
      <c r="QZ152">
        <v>3</v>
      </c>
      <c r="RA152">
        <v>66</v>
      </c>
      <c r="RB152">
        <v>66</v>
      </c>
      <c r="RE152">
        <v>0</v>
      </c>
      <c r="RF152">
        <v>1</v>
      </c>
      <c r="RH152">
        <v>1</v>
      </c>
      <c r="RJ152">
        <v>1</v>
      </c>
      <c r="RK152">
        <v>3</v>
      </c>
      <c r="RL152">
        <v>4</v>
      </c>
      <c r="RM152">
        <v>4</v>
      </c>
      <c r="RO152">
        <v>595</v>
      </c>
      <c r="RP152">
        <v>142</v>
      </c>
      <c r="RQ152">
        <v>761</v>
      </c>
      <c r="RR152">
        <v>639</v>
      </c>
      <c r="RT152">
        <v>382</v>
      </c>
      <c r="RU152">
        <v>198</v>
      </c>
      <c r="RV152" t="s">
        <v>801</v>
      </c>
      <c r="RW152" t="s">
        <v>599</v>
      </c>
      <c r="RX152">
        <v>15</v>
      </c>
      <c r="RY152">
        <v>4</v>
      </c>
      <c r="RZ152" t="s">
        <v>599</v>
      </c>
      <c r="SA152">
        <v>15</v>
      </c>
      <c r="SC152" t="s">
        <v>2288</v>
      </c>
      <c r="SD152">
        <v>1</v>
      </c>
      <c r="SF152" t="s">
        <v>2289</v>
      </c>
      <c r="SG152">
        <v>1</v>
      </c>
      <c r="SH152">
        <v>0.995</v>
      </c>
      <c r="SI152">
        <v>0.995</v>
      </c>
      <c r="SJ152">
        <v>0.995</v>
      </c>
      <c r="SK152">
        <v>15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1</v>
      </c>
      <c r="SZ152">
        <v>1</v>
      </c>
      <c r="TB152">
        <v>0</v>
      </c>
      <c r="TC152">
        <v>0</v>
      </c>
      <c r="TD152">
        <v>7.5</v>
      </c>
      <c r="TE152" t="s">
        <v>553</v>
      </c>
      <c r="TF152" t="s">
        <v>681</v>
      </c>
      <c r="TG152" t="s">
        <v>555</v>
      </c>
      <c r="TI152" t="s">
        <v>546</v>
      </c>
      <c r="TJ152" t="s">
        <v>547</v>
      </c>
      <c r="TL152" t="s">
        <v>2240</v>
      </c>
      <c r="TM152" t="s">
        <v>513</v>
      </c>
      <c r="TN152">
        <v>0</v>
      </c>
      <c r="TO152" t="s">
        <v>601</v>
      </c>
    </row>
    <row r="153" spans="1:535">
      <c r="A153" t="s">
        <v>2290</v>
      </c>
      <c r="B153" t="s">
        <v>629</v>
      </c>
      <c r="C153" t="s">
        <v>509</v>
      </c>
      <c r="D153" t="s">
        <v>803</v>
      </c>
      <c r="G153" t="s">
        <v>561</v>
      </c>
      <c r="I153" t="s">
        <v>562</v>
      </c>
      <c r="J153" t="s">
        <v>563</v>
      </c>
      <c r="L153" t="s">
        <v>512</v>
      </c>
      <c r="M153" t="s">
        <v>711</v>
      </c>
      <c r="N153" t="s">
        <v>513</v>
      </c>
      <c r="O153" t="s">
        <v>607</v>
      </c>
      <c r="Q153" t="s">
        <v>2291</v>
      </c>
      <c r="R153" t="s">
        <v>567</v>
      </c>
      <c r="S153" t="s">
        <v>1042</v>
      </c>
      <c r="T153" t="s">
        <v>1043</v>
      </c>
      <c r="U153" t="s">
        <v>686</v>
      </c>
      <c r="V153" t="s">
        <v>687</v>
      </c>
      <c r="W153" t="s">
        <v>2292</v>
      </c>
      <c r="X153" t="s">
        <v>2244</v>
      </c>
      <c r="Y153" t="s">
        <v>574</v>
      </c>
      <c r="Z153" t="s">
        <v>2293</v>
      </c>
      <c r="AA153" t="s">
        <v>2294</v>
      </c>
      <c r="AB153" t="s">
        <v>2295</v>
      </c>
      <c r="AC153">
        <v>2</v>
      </c>
      <c r="AD153">
        <v>57</v>
      </c>
      <c r="AE153">
        <v>239</v>
      </c>
      <c r="AF153">
        <v>1.5</v>
      </c>
      <c r="AH153">
        <v>0</v>
      </c>
      <c r="AI153" t="s">
        <v>2071</v>
      </c>
      <c r="AJ153">
        <v>220</v>
      </c>
      <c r="AK153">
        <v>1</v>
      </c>
      <c r="AL153">
        <v>1.5</v>
      </c>
      <c r="AM153" t="s">
        <v>579</v>
      </c>
      <c r="AN153" t="s">
        <v>855</v>
      </c>
      <c r="AO153">
        <v>2</v>
      </c>
      <c r="AP153" t="s">
        <v>581</v>
      </c>
      <c r="AQ153" t="s">
        <v>582</v>
      </c>
      <c r="AR153">
        <v>258</v>
      </c>
      <c r="AS153">
        <v>1.5</v>
      </c>
      <c r="AT153" t="s">
        <v>583</v>
      </c>
      <c r="AU153" t="s">
        <v>2296</v>
      </c>
      <c r="AW153" t="s">
        <v>2296</v>
      </c>
      <c r="AX153">
        <v>1</v>
      </c>
      <c r="AY153">
        <v>322.5</v>
      </c>
      <c r="AZ153">
        <v>1.5</v>
      </c>
      <c r="BA153" t="s">
        <v>579</v>
      </c>
      <c r="BB153" t="s">
        <v>2297</v>
      </c>
      <c r="BD153" t="s">
        <v>2297</v>
      </c>
      <c r="BE153">
        <v>1</v>
      </c>
      <c r="BF153">
        <v>302.5</v>
      </c>
      <c r="BG153">
        <v>1.5</v>
      </c>
      <c r="BJ153">
        <v>0</v>
      </c>
      <c r="BN153">
        <v>1.5</v>
      </c>
      <c r="BP153" t="s">
        <v>1761</v>
      </c>
      <c r="BQ153">
        <v>88</v>
      </c>
      <c r="BR153">
        <v>2</v>
      </c>
      <c r="BS153" t="s">
        <v>1052</v>
      </c>
      <c r="BT153">
        <v>237</v>
      </c>
      <c r="BU153">
        <v>0.5</v>
      </c>
      <c r="BV153" t="s">
        <v>1052</v>
      </c>
      <c r="BW153">
        <v>474</v>
      </c>
      <c r="BX153">
        <v>1</v>
      </c>
      <c r="BY153" t="s">
        <v>698</v>
      </c>
      <c r="BZ153">
        <v>470</v>
      </c>
      <c r="CA153">
        <v>570</v>
      </c>
      <c r="CB153" t="s">
        <v>699</v>
      </c>
      <c r="CC153" t="s">
        <v>1053</v>
      </c>
      <c r="CD153">
        <v>490</v>
      </c>
      <c r="CE153" t="s">
        <v>700</v>
      </c>
      <c r="CF153">
        <v>15</v>
      </c>
      <c r="CG153" t="s">
        <v>1099</v>
      </c>
      <c r="CH153" t="s">
        <v>1099</v>
      </c>
      <c r="CI153">
        <v>50</v>
      </c>
      <c r="CJ153">
        <v>1458</v>
      </c>
      <c r="CK153">
        <v>2</v>
      </c>
      <c r="CL153">
        <v>1552</v>
      </c>
      <c r="CM153">
        <v>2</v>
      </c>
      <c r="CN153" t="s">
        <v>702</v>
      </c>
      <c r="CO153" t="s">
        <v>676</v>
      </c>
      <c r="CP153" t="s">
        <v>703</v>
      </c>
      <c r="CQ153" t="s">
        <v>1849</v>
      </c>
      <c r="CR153" t="s">
        <v>541</v>
      </c>
      <c r="CS153" t="s">
        <v>542</v>
      </c>
      <c r="CT153">
        <v>440</v>
      </c>
      <c r="CU153">
        <v>5</v>
      </c>
      <c r="CV153">
        <v>1.2</v>
      </c>
      <c r="CW153">
        <v>1475</v>
      </c>
      <c r="CX153">
        <v>919</v>
      </c>
      <c r="CY153" t="s">
        <v>597</v>
      </c>
      <c r="CZ153">
        <v>50</v>
      </c>
      <c r="DA153">
        <v>3</v>
      </c>
      <c r="DB153">
        <v>1.28</v>
      </c>
      <c r="DC153">
        <v>1475</v>
      </c>
      <c r="DD153">
        <v>105</v>
      </c>
      <c r="DE153" t="s">
        <v>622</v>
      </c>
      <c r="DF153">
        <v>645</v>
      </c>
      <c r="DG153">
        <v>3</v>
      </c>
      <c r="DH153">
        <v>0.88</v>
      </c>
      <c r="DI153">
        <v>1467</v>
      </c>
      <c r="DJ153">
        <v>1153</v>
      </c>
      <c r="DK153" t="s">
        <v>622</v>
      </c>
      <c r="DL153">
        <v>605</v>
      </c>
      <c r="DM153">
        <v>3</v>
      </c>
      <c r="DN153">
        <v>0.88</v>
      </c>
      <c r="DO153">
        <v>1475</v>
      </c>
      <c r="DP153">
        <v>957</v>
      </c>
      <c r="DW153" t="s">
        <v>544</v>
      </c>
      <c r="DX153">
        <v>7.5</v>
      </c>
      <c r="EA153">
        <v>1544.1</v>
      </c>
      <c r="EB153">
        <v>364</v>
      </c>
      <c r="EC153" t="s">
        <v>545</v>
      </c>
      <c r="ED153">
        <v>40</v>
      </c>
      <c r="EE153">
        <v>3</v>
      </c>
      <c r="EG153">
        <v>1595</v>
      </c>
      <c r="EH153">
        <v>254</v>
      </c>
      <c r="EJ153">
        <v>0</v>
      </c>
      <c r="EK153">
        <v>1</v>
      </c>
      <c r="EN153">
        <v>0</v>
      </c>
      <c r="EP153" t="s">
        <v>546</v>
      </c>
      <c r="EQ153">
        <v>130</v>
      </c>
      <c r="ER153">
        <v>3</v>
      </c>
      <c r="ES153">
        <v>5</v>
      </c>
      <c r="ET153">
        <v>1451</v>
      </c>
      <c r="EU153">
        <v>551.8</v>
      </c>
      <c r="EV153">
        <v>801</v>
      </c>
      <c r="EW153" t="s">
        <v>547</v>
      </c>
      <c r="EX153">
        <v>45</v>
      </c>
      <c r="EY153">
        <v>2</v>
      </c>
      <c r="EZ153">
        <v>4.3</v>
      </c>
      <c r="FA153">
        <v>1451</v>
      </c>
      <c r="FB153">
        <v>135.2</v>
      </c>
      <c r="FC153">
        <v>196</v>
      </c>
      <c r="FE153">
        <v>0</v>
      </c>
      <c r="FF153">
        <v>2</v>
      </c>
      <c r="FI153">
        <v>0</v>
      </c>
      <c r="FK153" t="s">
        <v>548</v>
      </c>
      <c r="FL153">
        <v>0.4</v>
      </c>
      <c r="FM153">
        <v>45</v>
      </c>
      <c r="FN153">
        <v>410</v>
      </c>
      <c r="FO153">
        <v>95</v>
      </c>
      <c r="FP153">
        <v>160</v>
      </c>
      <c r="FR153" t="s">
        <v>548</v>
      </c>
      <c r="FS153">
        <v>0.4</v>
      </c>
      <c r="FT153">
        <v>30</v>
      </c>
      <c r="FU153">
        <v>570</v>
      </c>
      <c r="GR153" t="s">
        <v>548</v>
      </c>
      <c r="GS153">
        <v>0.4</v>
      </c>
      <c r="GT153">
        <v>30</v>
      </c>
      <c r="GU153">
        <v>430</v>
      </c>
      <c r="GV153">
        <v>30</v>
      </c>
      <c r="GW153">
        <v>280</v>
      </c>
      <c r="HC153">
        <v>0.1</v>
      </c>
      <c r="HD153">
        <v>3</v>
      </c>
      <c r="HE153">
        <v>3</v>
      </c>
      <c r="HF153">
        <v>3</v>
      </c>
      <c r="HG153">
        <v>3</v>
      </c>
      <c r="HH153">
        <v>3</v>
      </c>
      <c r="HI153">
        <v>160</v>
      </c>
      <c r="HJ153">
        <v>3</v>
      </c>
      <c r="HK153">
        <v>30</v>
      </c>
      <c r="HL153">
        <v>2</v>
      </c>
      <c r="HM153">
        <v>0</v>
      </c>
      <c r="HN153">
        <v>2</v>
      </c>
      <c r="HO153">
        <v>115</v>
      </c>
      <c r="HP153">
        <v>3</v>
      </c>
      <c r="HQ153">
        <v>0</v>
      </c>
      <c r="HR153">
        <v>2</v>
      </c>
      <c r="HS153">
        <v>6469</v>
      </c>
      <c r="HT153">
        <v>190</v>
      </c>
      <c r="HU153">
        <v>180</v>
      </c>
      <c r="HW153">
        <v>0</v>
      </c>
      <c r="HX153">
        <v>465</v>
      </c>
      <c r="HY153">
        <v>0.18</v>
      </c>
      <c r="IA153">
        <v>0.15</v>
      </c>
      <c r="IB153">
        <v>0</v>
      </c>
      <c r="IC153">
        <v>180</v>
      </c>
      <c r="ID153">
        <v>110</v>
      </c>
      <c r="IE153">
        <v>225</v>
      </c>
      <c r="IF153">
        <v>0</v>
      </c>
      <c r="IH153" t="s">
        <v>549</v>
      </c>
      <c r="IO153">
        <v>3</v>
      </c>
      <c r="IP153">
        <v>19</v>
      </c>
      <c r="IQ153">
        <v>0</v>
      </c>
      <c r="IR153">
        <v>0</v>
      </c>
      <c r="IV153">
        <v>1458</v>
      </c>
      <c r="IW153">
        <v>474</v>
      </c>
      <c r="JA153">
        <v>1</v>
      </c>
      <c r="JB153">
        <v>0</v>
      </c>
      <c r="JC153">
        <v>2</v>
      </c>
      <c r="JD153">
        <v>1475</v>
      </c>
      <c r="JE153">
        <v>1467</v>
      </c>
      <c r="JF153">
        <v>1475</v>
      </c>
      <c r="JG153">
        <v>1451</v>
      </c>
      <c r="JH153">
        <v>0</v>
      </c>
      <c r="JJ153">
        <v>180</v>
      </c>
      <c r="JK153">
        <v>465</v>
      </c>
      <c r="JN153">
        <v>440</v>
      </c>
      <c r="JO153">
        <v>645</v>
      </c>
      <c r="JP153">
        <v>605</v>
      </c>
      <c r="JQ153">
        <v>0</v>
      </c>
      <c r="JR153">
        <v>478</v>
      </c>
      <c r="JS153">
        <v>160</v>
      </c>
      <c r="JV153">
        <v>8</v>
      </c>
      <c r="JW153" t="s">
        <v>550</v>
      </c>
      <c r="JX153">
        <v>516</v>
      </c>
      <c r="KA153">
        <v>225</v>
      </c>
      <c r="KB153">
        <v>110</v>
      </c>
      <c r="KC153">
        <v>0</v>
      </c>
      <c r="KD153">
        <v>80</v>
      </c>
      <c r="KF153">
        <v>4</v>
      </c>
      <c r="KG153">
        <v>2</v>
      </c>
      <c r="KH153">
        <v>2</v>
      </c>
      <c r="KI153">
        <v>2</v>
      </c>
      <c r="KJ153">
        <v>0</v>
      </c>
      <c r="KK153">
        <v>1.5</v>
      </c>
      <c r="KL153">
        <v>1.5</v>
      </c>
      <c r="KM153">
        <v>0</v>
      </c>
      <c r="KN153">
        <v>0</v>
      </c>
      <c r="KO153">
        <v>0</v>
      </c>
      <c r="KR153">
        <v>30</v>
      </c>
      <c r="KS153">
        <v>60</v>
      </c>
      <c r="KT153">
        <v>0</v>
      </c>
      <c r="LK153">
        <v>480</v>
      </c>
      <c r="PG153">
        <v>1</v>
      </c>
      <c r="PI153" t="s">
        <v>2295</v>
      </c>
      <c r="PJ153" t="s">
        <v>2296</v>
      </c>
      <c r="PK153" t="s">
        <v>2297</v>
      </c>
      <c r="PL153" t="s">
        <v>2071</v>
      </c>
      <c r="PP153" t="s">
        <v>1761</v>
      </c>
      <c r="PS153" t="s">
        <v>855</v>
      </c>
      <c r="PX153">
        <v>56</v>
      </c>
      <c r="PY153">
        <v>57</v>
      </c>
      <c r="PZ153" t="s">
        <v>2295</v>
      </c>
      <c r="QA153">
        <v>2</v>
      </c>
      <c r="QB153">
        <v>1451</v>
      </c>
      <c r="QC153">
        <v>69</v>
      </c>
      <c r="QD153">
        <v>69</v>
      </c>
      <c r="QE153" t="s">
        <v>2071</v>
      </c>
      <c r="QF153">
        <v>1</v>
      </c>
      <c r="QG153">
        <v>1475</v>
      </c>
      <c r="QH153">
        <v>66</v>
      </c>
      <c r="QI153">
        <v>66</v>
      </c>
      <c r="QJ153" t="s">
        <v>855</v>
      </c>
      <c r="QK153">
        <v>1</v>
      </c>
      <c r="QL153">
        <v>1475</v>
      </c>
      <c r="QM153">
        <v>62</v>
      </c>
      <c r="QN153">
        <v>62</v>
      </c>
      <c r="QO153" t="s">
        <v>2296</v>
      </c>
      <c r="QP153">
        <v>1</v>
      </c>
      <c r="QQ153">
        <v>1467</v>
      </c>
      <c r="QR153">
        <v>62</v>
      </c>
      <c r="QS153">
        <v>62</v>
      </c>
      <c r="QT153" t="s">
        <v>2297</v>
      </c>
      <c r="QU153">
        <v>1</v>
      </c>
      <c r="QV153">
        <v>1475</v>
      </c>
      <c r="QW153">
        <v>82</v>
      </c>
      <c r="QX153">
        <v>88</v>
      </c>
      <c r="QY153" t="s">
        <v>1761</v>
      </c>
      <c r="QZ153">
        <v>1</v>
      </c>
      <c r="RA153">
        <v>66</v>
      </c>
      <c r="RB153">
        <v>66</v>
      </c>
      <c r="RE153">
        <v>0</v>
      </c>
      <c r="RF153">
        <v>1</v>
      </c>
      <c r="RH153">
        <v>1</v>
      </c>
      <c r="RJ153">
        <v>1</v>
      </c>
      <c r="RK153">
        <v>3</v>
      </c>
      <c r="RL153">
        <v>4</v>
      </c>
      <c r="RM153">
        <v>4</v>
      </c>
      <c r="RO153">
        <v>623</v>
      </c>
      <c r="RP153">
        <v>142</v>
      </c>
      <c r="RQ153">
        <v>786</v>
      </c>
      <c r="RR153">
        <v>649</v>
      </c>
      <c r="RT153">
        <v>364</v>
      </c>
      <c r="RU153">
        <v>254</v>
      </c>
      <c r="RV153" t="s">
        <v>1055</v>
      </c>
      <c r="RW153" t="s">
        <v>707</v>
      </c>
      <c r="RX153">
        <v>15</v>
      </c>
      <c r="RY153">
        <v>4</v>
      </c>
      <c r="RZ153" t="s">
        <v>707</v>
      </c>
      <c r="SA153">
        <v>15</v>
      </c>
      <c r="SC153" t="s">
        <v>2296</v>
      </c>
      <c r="SD153">
        <v>1</v>
      </c>
      <c r="SF153" t="s">
        <v>2297</v>
      </c>
      <c r="SG153">
        <v>1</v>
      </c>
      <c r="SH153">
        <v>0.995</v>
      </c>
      <c r="SI153">
        <v>0.995</v>
      </c>
      <c r="SJ153">
        <v>0.995</v>
      </c>
      <c r="SK153">
        <v>15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1</v>
      </c>
      <c r="SZ153">
        <v>1</v>
      </c>
      <c r="TB153">
        <v>0</v>
      </c>
      <c r="TC153">
        <v>0</v>
      </c>
      <c r="TD153">
        <v>7.5</v>
      </c>
      <c r="TE153" t="s">
        <v>553</v>
      </c>
      <c r="TF153" t="s">
        <v>681</v>
      </c>
      <c r="TG153" t="s">
        <v>555</v>
      </c>
      <c r="TI153" t="s">
        <v>546</v>
      </c>
      <c r="TJ153" t="s">
        <v>547</v>
      </c>
      <c r="TL153" t="s">
        <v>2240</v>
      </c>
      <c r="TM153" t="s">
        <v>513</v>
      </c>
      <c r="TN153">
        <v>0</v>
      </c>
      <c r="TO153" t="s">
        <v>557</v>
      </c>
    </row>
    <row r="154" spans="1:535">
      <c r="A154" t="s">
        <v>2298</v>
      </c>
      <c r="B154" t="s">
        <v>564</v>
      </c>
      <c r="C154" t="s">
        <v>509</v>
      </c>
      <c r="D154" t="s">
        <v>2299</v>
      </c>
      <c r="G154" t="s">
        <v>511</v>
      </c>
      <c r="L154" t="s">
        <v>512</v>
      </c>
      <c r="M154" t="s">
        <v>629</v>
      </c>
      <c r="N154" t="s">
        <v>513</v>
      </c>
      <c r="O154" t="s">
        <v>565</v>
      </c>
      <c r="Q154" t="s">
        <v>2300</v>
      </c>
      <c r="R154" t="s">
        <v>567</v>
      </c>
      <c r="S154" t="s">
        <v>713</v>
      </c>
      <c r="T154" t="s">
        <v>714</v>
      </c>
      <c r="U154" t="s">
        <v>570</v>
      </c>
      <c r="V154" t="s">
        <v>571</v>
      </c>
      <c r="W154" t="s">
        <v>1710</v>
      </c>
      <c r="X154" t="s">
        <v>2244</v>
      </c>
      <c r="Y154" t="s">
        <v>524</v>
      </c>
      <c r="Z154" t="s">
        <v>2301</v>
      </c>
      <c r="AA154" t="s">
        <v>2302</v>
      </c>
      <c r="AB154" t="s">
        <v>2303</v>
      </c>
      <c r="AC154">
        <v>2</v>
      </c>
      <c r="AD154">
        <v>57</v>
      </c>
      <c r="AE154">
        <v>199</v>
      </c>
      <c r="AF154">
        <v>1.5</v>
      </c>
      <c r="AH154">
        <v>0</v>
      </c>
      <c r="AI154" t="s">
        <v>719</v>
      </c>
      <c r="AJ154">
        <v>185</v>
      </c>
      <c r="AK154">
        <v>1</v>
      </c>
      <c r="AL154">
        <v>1.5</v>
      </c>
      <c r="AM154" t="s">
        <v>579</v>
      </c>
      <c r="AN154" t="s">
        <v>855</v>
      </c>
      <c r="AO154">
        <v>2</v>
      </c>
      <c r="AP154" t="s">
        <v>581</v>
      </c>
      <c r="AQ154" t="s">
        <v>582</v>
      </c>
      <c r="AR154">
        <v>222</v>
      </c>
      <c r="AS154">
        <v>1.5</v>
      </c>
      <c r="AT154" t="s">
        <v>583</v>
      </c>
      <c r="AU154" t="s">
        <v>2304</v>
      </c>
      <c r="AW154" t="s">
        <v>2304</v>
      </c>
      <c r="AX154">
        <v>1</v>
      </c>
      <c r="AY154">
        <v>265</v>
      </c>
      <c r="AZ154">
        <v>1.5</v>
      </c>
      <c r="BA154" t="s">
        <v>579</v>
      </c>
      <c r="BB154" t="s">
        <v>2305</v>
      </c>
      <c r="BD154" t="s">
        <v>2305</v>
      </c>
      <c r="BE154">
        <v>1</v>
      </c>
      <c r="BF154">
        <v>225</v>
      </c>
      <c r="BG154">
        <v>1.5</v>
      </c>
      <c r="BJ154">
        <v>0</v>
      </c>
      <c r="BN154">
        <v>1.5</v>
      </c>
      <c r="BP154" t="s">
        <v>1374</v>
      </c>
      <c r="BQ154" t="s">
        <v>587</v>
      </c>
      <c r="BR154">
        <v>2</v>
      </c>
      <c r="BS154" t="s">
        <v>799</v>
      </c>
      <c r="BT154">
        <v>198</v>
      </c>
      <c r="BU154">
        <v>0.5</v>
      </c>
      <c r="BV154" t="s">
        <v>799</v>
      </c>
      <c r="BW154">
        <v>396</v>
      </c>
      <c r="BX154">
        <v>1</v>
      </c>
      <c r="BY154" t="s">
        <v>589</v>
      </c>
      <c r="BZ154">
        <v>300</v>
      </c>
      <c r="CA154">
        <v>460</v>
      </c>
      <c r="CB154" t="s">
        <v>590</v>
      </c>
      <c r="CC154" t="s">
        <v>590</v>
      </c>
      <c r="CD154">
        <v>410</v>
      </c>
      <c r="CE154" t="s">
        <v>591</v>
      </c>
      <c r="CF154">
        <v>15</v>
      </c>
      <c r="CG154" t="s">
        <v>1375</v>
      </c>
      <c r="CH154" t="s">
        <v>1375</v>
      </c>
      <c r="CI154">
        <v>80</v>
      </c>
      <c r="CJ154">
        <v>1538</v>
      </c>
      <c r="CK154">
        <v>2</v>
      </c>
      <c r="CL154">
        <v>1632</v>
      </c>
      <c r="CM154">
        <v>2</v>
      </c>
      <c r="CN154" t="s">
        <v>593</v>
      </c>
      <c r="CO154" t="s">
        <v>594</v>
      </c>
      <c r="CP154" t="s">
        <v>595</v>
      </c>
      <c r="CQ154" t="s">
        <v>596</v>
      </c>
      <c r="CR154" t="s">
        <v>541</v>
      </c>
      <c r="CS154" t="s">
        <v>542</v>
      </c>
      <c r="CT154">
        <v>370</v>
      </c>
      <c r="CU154">
        <v>5</v>
      </c>
      <c r="CV154">
        <v>1.2</v>
      </c>
      <c r="CW154">
        <v>1554</v>
      </c>
      <c r="CX154">
        <v>814</v>
      </c>
      <c r="CY154" t="s">
        <v>597</v>
      </c>
      <c r="CZ154">
        <v>50</v>
      </c>
      <c r="DA154">
        <v>3</v>
      </c>
      <c r="DB154">
        <v>1.28</v>
      </c>
      <c r="DC154">
        <v>1554</v>
      </c>
      <c r="DD154">
        <v>110</v>
      </c>
      <c r="DE154" t="s">
        <v>622</v>
      </c>
      <c r="DF154">
        <v>530</v>
      </c>
      <c r="DG154">
        <v>3</v>
      </c>
      <c r="DH154">
        <v>0.88</v>
      </c>
      <c r="DI154">
        <v>1547</v>
      </c>
      <c r="DJ154">
        <v>965</v>
      </c>
      <c r="DK154" t="s">
        <v>622</v>
      </c>
      <c r="DL154">
        <v>450</v>
      </c>
      <c r="DM154">
        <v>3</v>
      </c>
      <c r="DN154">
        <v>0.88</v>
      </c>
      <c r="DO154">
        <v>1552</v>
      </c>
      <c r="DP154">
        <v>824</v>
      </c>
      <c r="DW154" t="s">
        <v>544</v>
      </c>
      <c r="DX154">
        <v>7.5</v>
      </c>
      <c r="EA154">
        <v>1623.8</v>
      </c>
      <c r="EB154">
        <v>382</v>
      </c>
      <c r="EC154" t="s">
        <v>545</v>
      </c>
      <c r="ED154">
        <v>30</v>
      </c>
      <c r="EE154">
        <v>3</v>
      </c>
      <c r="EG154">
        <v>1675</v>
      </c>
      <c r="EH154">
        <v>198</v>
      </c>
      <c r="EJ154">
        <v>0</v>
      </c>
      <c r="EK154">
        <v>1</v>
      </c>
      <c r="EN154">
        <v>0</v>
      </c>
      <c r="EP154" t="s">
        <v>546</v>
      </c>
      <c r="EQ154">
        <v>85</v>
      </c>
      <c r="ER154">
        <v>3</v>
      </c>
      <c r="ES154">
        <v>4.5</v>
      </c>
      <c r="ET154">
        <v>1528</v>
      </c>
      <c r="EU154">
        <v>347.1</v>
      </c>
      <c r="EV154">
        <v>530</v>
      </c>
      <c r="EW154" t="s">
        <v>547</v>
      </c>
      <c r="EX154">
        <v>45</v>
      </c>
      <c r="EY154">
        <v>2</v>
      </c>
      <c r="EZ154">
        <v>4.5</v>
      </c>
      <c r="FA154">
        <v>1528</v>
      </c>
      <c r="FB154">
        <v>141.7</v>
      </c>
      <c r="FC154">
        <v>217</v>
      </c>
      <c r="FE154">
        <v>0</v>
      </c>
      <c r="FF154">
        <v>2</v>
      </c>
      <c r="FI154">
        <v>0</v>
      </c>
      <c r="FK154" t="s">
        <v>548</v>
      </c>
      <c r="FL154">
        <v>0.4</v>
      </c>
      <c r="FM154">
        <v>45</v>
      </c>
      <c r="FN154">
        <v>340</v>
      </c>
      <c r="FO154">
        <v>70</v>
      </c>
      <c r="FP154">
        <v>140</v>
      </c>
      <c r="GR154" t="s">
        <v>548</v>
      </c>
      <c r="GS154">
        <v>0.4</v>
      </c>
      <c r="GT154">
        <v>30</v>
      </c>
      <c r="GU154">
        <v>360</v>
      </c>
      <c r="GV154">
        <v>70</v>
      </c>
      <c r="GW154">
        <v>160</v>
      </c>
      <c r="HC154">
        <v>0.1</v>
      </c>
      <c r="HD154">
        <v>3</v>
      </c>
      <c r="HE154">
        <v>3</v>
      </c>
      <c r="HF154">
        <v>3</v>
      </c>
      <c r="HG154">
        <v>3</v>
      </c>
      <c r="HH154">
        <v>3</v>
      </c>
      <c r="HI154">
        <v>115</v>
      </c>
      <c r="HJ154">
        <v>3</v>
      </c>
      <c r="HK154">
        <v>30</v>
      </c>
      <c r="HL154">
        <v>2</v>
      </c>
      <c r="HM154">
        <v>0</v>
      </c>
      <c r="HN154">
        <v>2</v>
      </c>
      <c r="HO154">
        <v>70</v>
      </c>
      <c r="HP154">
        <v>3</v>
      </c>
      <c r="HQ154">
        <v>0</v>
      </c>
      <c r="HR154">
        <v>2</v>
      </c>
      <c r="HS154">
        <v>5477</v>
      </c>
      <c r="HT154">
        <v>160</v>
      </c>
      <c r="HU154">
        <v>180</v>
      </c>
      <c r="HW154">
        <v>0</v>
      </c>
      <c r="HX154">
        <v>430</v>
      </c>
      <c r="HY154">
        <v>0.18</v>
      </c>
      <c r="IA154">
        <v>0.15</v>
      </c>
      <c r="IB154">
        <v>0</v>
      </c>
      <c r="IC154">
        <v>180</v>
      </c>
      <c r="ID154">
        <v>110</v>
      </c>
      <c r="IE154">
        <v>225</v>
      </c>
      <c r="IF154">
        <v>0</v>
      </c>
      <c r="IH154" t="s">
        <v>549</v>
      </c>
      <c r="IO154">
        <v>3</v>
      </c>
      <c r="IP154">
        <v>20</v>
      </c>
      <c r="IQ154">
        <v>0</v>
      </c>
      <c r="IR154">
        <v>0</v>
      </c>
      <c r="IV154">
        <v>1538</v>
      </c>
      <c r="IW154">
        <v>396</v>
      </c>
      <c r="JA154">
        <v>1</v>
      </c>
      <c r="JB154">
        <v>0</v>
      </c>
      <c r="JC154">
        <v>2</v>
      </c>
      <c r="JD154">
        <v>1554</v>
      </c>
      <c r="JE154">
        <v>1547</v>
      </c>
      <c r="JF154">
        <v>1552</v>
      </c>
      <c r="JG154">
        <v>1528</v>
      </c>
      <c r="JH154">
        <v>0</v>
      </c>
      <c r="JJ154">
        <v>180</v>
      </c>
      <c r="JK154">
        <v>430</v>
      </c>
      <c r="JN154">
        <v>370</v>
      </c>
      <c r="JO154">
        <v>530</v>
      </c>
      <c r="JP154">
        <v>450</v>
      </c>
      <c r="JQ154">
        <v>0</v>
      </c>
      <c r="JR154">
        <v>398</v>
      </c>
      <c r="JS154">
        <v>115</v>
      </c>
      <c r="JV154">
        <v>8</v>
      </c>
      <c r="JW154" t="s">
        <v>550</v>
      </c>
      <c r="JX154">
        <v>444</v>
      </c>
      <c r="KA154">
        <v>225</v>
      </c>
      <c r="KB154">
        <v>110</v>
      </c>
      <c r="KC154">
        <v>0</v>
      </c>
      <c r="KD154">
        <v>80</v>
      </c>
      <c r="KF154">
        <v>4</v>
      </c>
      <c r="KG154">
        <v>2</v>
      </c>
      <c r="KH154">
        <v>2</v>
      </c>
      <c r="KI154">
        <v>2</v>
      </c>
      <c r="KJ154">
        <v>0</v>
      </c>
      <c r="KK154">
        <v>1.5</v>
      </c>
      <c r="KL154">
        <v>1.5</v>
      </c>
      <c r="KM154">
        <v>0</v>
      </c>
      <c r="KN154">
        <v>0</v>
      </c>
      <c r="KO154">
        <v>0</v>
      </c>
      <c r="KR154">
        <v>30</v>
      </c>
      <c r="KS154">
        <v>60</v>
      </c>
      <c r="KT154">
        <v>0</v>
      </c>
      <c r="LK154">
        <v>480</v>
      </c>
      <c r="PG154">
        <v>1</v>
      </c>
      <c r="PI154" t="s">
        <v>2303</v>
      </c>
      <c r="PJ154" t="s">
        <v>2304</v>
      </c>
      <c r="PK154" t="s">
        <v>2305</v>
      </c>
      <c r="PL154" t="s">
        <v>719</v>
      </c>
      <c r="PP154" t="s">
        <v>1374</v>
      </c>
      <c r="PS154" t="s">
        <v>855</v>
      </c>
      <c r="PX154">
        <v>56</v>
      </c>
      <c r="PY154">
        <v>57</v>
      </c>
      <c r="PZ154" t="s">
        <v>2303</v>
      </c>
      <c r="QA154">
        <v>1</v>
      </c>
      <c r="QB154">
        <v>1528</v>
      </c>
      <c r="QC154">
        <v>69</v>
      </c>
      <c r="QD154">
        <v>69</v>
      </c>
      <c r="QE154" t="s">
        <v>719</v>
      </c>
      <c r="QF154">
        <v>1</v>
      </c>
      <c r="QG154">
        <v>1554</v>
      </c>
      <c r="QH154">
        <v>66</v>
      </c>
      <c r="QI154">
        <v>66</v>
      </c>
      <c r="QJ154" t="s">
        <v>855</v>
      </c>
      <c r="QK154">
        <v>1</v>
      </c>
      <c r="QL154">
        <v>1554</v>
      </c>
      <c r="QM154">
        <v>62</v>
      </c>
      <c r="QN154">
        <v>62</v>
      </c>
      <c r="QO154" t="s">
        <v>2304</v>
      </c>
      <c r="QP154">
        <v>1</v>
      </c>
      <c r="QQ154">
        <v>1547</v>
      </c>
      <c r="QR154">
        <v>62</v>
      </c>
      <c r="QS154">
        <v>62</v>
      </c>
      <c r="QT154" t="s">
        <v>2305</v>
      </c>
      <c r="QU154">
        <v>1</v>
      </c>
      <c r="QV154">
        <v>1552</v>
      </c>
      <c r="QW154">
        <v>82</v>
      </c>
      <c r="QX154" t="s">
        <v>587</v>
      </c>
      <c r="QY154" t="s">
        <v>1374</v>
      </c>
      <c r="QZ154">
        <v>3</v>
      </c>
      <c r="RA154">
        <v>66</v>
      </c>
      <c r="RB154">
        <v>66</v>
      </c>
      <c r="RE154">
        <v>0</v>
      </c>
      <c r="RF154">
        <v>1</v>
      </c>
      <c r="RH154">
        <v>1</v>
      </c>
      <c r="RJ154">
        <v>1</v>
      </c>
      <c r="RK154">
        <v>3</v>
      </c>
      <c r="RL154">
        <v>4</v>
      </c>
      <c r="RM154">
        <v>4</v>
      </c>
      <c r="RO154">
        <v>524</v>
      </c>
      <c r="RP154">
        <v>142</v>
      </c>
      <c r="RQ154">
        <v>624</v>
      </c>
      <c r="RR154">
        <v>531</v>
      </c>
      <c r="RT154">
        <v>382</v>
      </c>
      <c r="RU154">
        <v>198</v>
      </c>
      <c r="RV154" t="s">
        <v>801</v>
      </c>
      <c r="RW154" t="s">
        <v>599</v>
      </c>
      <c r="RX154">
        <v>15</v>
      </c>
      <c r="RY154">
        <v>4</v>
      </c>
      <c r="RZ154" t="s">
        <v>599</v>
      </c>
      <c r="SA154">
        <v>15</v>
      </c>
      <c r="SC154" t="s">
        <v>2304</v>
      </c>
      <c r="SD154">
        <v>1</v>
      </c>
      <c r="SF154" t="s">
        <v>2305</v>
      </c>
      <c r="SG154">
        <v>1</v>
      </c>
      <c r="SH154">
        <v>0.995</v>
      </c>
      <c r="SI154">
        <v>0.995</v>
      </c>
      <c r="SJ154">
        <v>0.995</v>
      </c>
      <c r="SK154">
        <v>15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1</v>
      </c>
      <c r="SZ154">
        <v>1</v>
      </c>
      <c r="TB154">
        <v>0</v>
      </c>
      <c r="TC154">
        <v>0</v>
      </c>
      <c r="TD154">
        <v>7.5</v>
      </c>
      <c r="TE154" t="s">
        <v>553</v>
      </c>
      <c r="TF154" t="s">
        <v>681</v>
      </c>
      <c r="TG154" t="s">
        <v>555</v>
      </c>
      <c r="TI154" t="s">
        <v>546</v>
      </c>
      <c r="TJ154" t="s">
        <v>547</v>
      </c>
      <c r="TL154" t="s">
        <v>2240</v>
      </c>
      <c r="TM154" t="s">
        <v>513</v>
      </c>
      <c r="TN154">
        <v>0</v>
      </c>
      <c r="TO154" t="s">
        <v>601</v>
      </c>
    </row>
    <row r="155" spans="1:535">
      <c r="A155" t="s">
        <v>2306</v>
      </c>
      <c r="B155" t="s">
        <v>629</v>
      </c>
      <c r="C155" t="s">
        <v>509</v>
      </c>
      <c r="D155" t="s">
        <v>2307</v>
      </c>
      <c r="G155" t="s">
        <v>604</v>
      </c>
      <c r="H155" t="s">
        <v>605</v>
      </c>
      <c r="I155" t="s">
        <v>628</v>
      </c>
      <c r="J155" t="s">
        <v>606</v>
      </c>
      <c r="L155" t="s">
        <v>512</v>
      </c>
      <c r="M155" t="s">
        <v>711</v>
      </c>
      <c r="N155" t="s">
        <v>513</v>
      </c>
      <c r="O155" t="s">
        <v>565</v>
      </c>
      <c r="Q155" t="s">
        <v>2308</v>
      </c>
      <c r="R155" t="s">
        <v>567</v>
      </c>
      <c r="S155" t="s">
        <v>774</v>
      </c>
      <c r="T155" t="s">
        <v>661</v>
      </c>
      <c r="U155" t="s">
        <v>686</v>
      </c>
      <c r="V155" t="s">
        <v>687</v>
      </c>
      <c r="W155" t="s">
        <v>1710</v>
      </c>
      <c r="X155" t="s">
        <v>2244</v>
      </c>
      <c r="Y155" t="s">
        <v>524</v>
      </c>
      <c r="Z155" t="s">
        <v>2309</v>
      </c>
      <c r="AA155" t="s">
        <v>2310</v>
      </c>
      <c r="AB155" t="s">
        <v>2311</v>
      </c>
      <c r="AC155">
        <v>2</v>
      </c>
      <c r="AD155">
        <v>57</v>
      </c>
      <c r="AE155">
        <v>209</v>
      </c>
      <c r="AF155">
        <v>1.5</v>
      </c>
      <c r="AH155">
        <v>0</v>
      </c>
      <c r="AI155" t="s">
        <v>764</v>
      </c>
      <c r="AJ155">
        <v>190</v>
      </c>
      <c r="AK155">
        <v>1</v>
      </c>
      <c r="AL155">
        <v>1.5</v>
      </c>
      <c r="AM155" t="s">
        <v>579</v>
      </c>
      <c r="AN155" t="s">
        <v>855</v>
      </c>
      <c r="AO155">
        <v>2</v>
      </c>
      <c r="AP155" t="s">
        <v>581</v>
      </c>
      <c r="AQ155" t="s">
        <v>582</v>
      </c>
      <c r="AR155">
        <v>228</v>
      </c>
      <c r="AS155">
        <v>1.5</v>
      </c>
      <c r="AT155" t="s">
        <v>583</v>
      </c>
      <c r="AU155" t="s">
        <v>2312</v>
      </c>
      <c r="AW155" t="s">
        <v>2312</v>
      </c>
      <c r="AX155">
        <v>1</v>
      </c>
      <c r="AY155">
        <v>285</v>
      </c>
      <c r="AZ155">
        <v>1.5</v>
      </c>
      <c r="BA155" t="s">
        <v>579</v>
      </c>
      <c r="BB155" t="s">
        <v>2313</v>
      </c>
      <c r="BD155" t="s">
        <v>2313</v>
      </c>
      <c r="BE155">
        <v>1</v>
      </c>
      <c r="BF155">
        <v>235</v>
      </c>
      <c r="BG155">
        <v>1.5</v>
      </c>
      <c r="BJ155">
        <v>0</v>
      </c>
      <c r="BN155">
        <v>1.5</v>
      </c>
      <c r="BP155" t="s">
        <v>1303</v>
      </c>
      <c r="BQ155">
        <v>89</v>
      </c>
      <c r="BR155">
        <v>2</v>
      </c>
      <c r="BS155" t="s">
        <v>1304</v>
      </c>
      <c r="BT155">
        <v>208</v>
      </c>
      <c r="BU155">
        <v>0.5</v>
      </c>
      <c r="BV155" t="s">
        <v>1304</v>
      </c>
      <c r="BW155">
        <v>416</v>
      </c>
      <c r="BX155">
        <v>1</v>
      </c>
      <c r="BY155" t="s">
        <v>698</v>
      </c>
      <c r="BZ155">
        <v>300</v>
      </c>
      <c r="CA155">
        <v>480</v>
      </c>
      <c r="CB155" t="s">
        <v>699</v>
      </c>
      <c r="CC155" t="s">
        <v>699</v>
      </c>
      <c r="CD155">
        <v>430</v>
      </c>
      <c r="CE155" t="s">
        <v>700</v>
      </c>
      <c r="CF155">
        <v>15</v>
      </c>
      <c r="CG155" t="s">
        <v>783</v>
      </c>
      <c r="CH155" t="s">
        <v>783</v>
      </c>
      <c r="CI155">
        <v>90</v>
      </c>
      <c r="CJ155">
        <v>1458</v>
      </c>
      <c r="CK155">
        <v>2</v>
      </c>
      <c r="CL155">
        <v>1552</v>
      </c>
      <c r="CM155">
        <v>2</v>
      </c>
      <c r="CN155" t="s">
        <v>702</v>
      </c>
      <c r="CO155" t="s">
        <v>676</v>
      </c>
      <c r="CP155" t="s">
        <v>703</v>
      </c>
      <c r="CQ155" t="s">
        <v>596</v>
      </c>
      <c r="CR155" t="s">
        <v>541</v>
      </c>
      <c r="CS155" t="s">
        <v>542</v>
      </c>
      <c r="CT155">
        <v>380</v>
      </c>
      <c r="CU155">
        <v>5</v>
      </c>
      <c r="CV155">
        <v>1.2</v>
      </c>
      <c r="CW155">
        <v>1475</v>
      </c>
      <c r="CX155">
        <v>794</v>
      </c>
      <c r="CY155" t="s">
        <v>597</v>
      </c>
      <c r="CZ155">
        <v>50</v>
      </c>
      <c r="DA155">
        <v>3</v>
      </c>
      <c r="DB155">
        <v>1.28</v>
      </c>
      <c r="DC155">
        <v>1475</v>
      </c>
      <c r="DD155">
        <v>105</v>
      </c>
      <c r="DE155" t="s">
        <v>622</v>
      </c>
      <c r="DF155">
        <v>570</v>
      </c>
      <c r="DG155">
        <v>3</v>
      </c>
      <c r="DH155">
        <v>0.88</v>
      </c>
      <c r="DI155">
        <v>1467</v>
      </c>
      <c r="DJ155">
        <v>986</v>
      </c>
      <c r="DK155" t="s">
        <v>622</v>
      </c>
      <c r="DL155">
        <v>470</v>
      </c>
      <c r="DM155">
        <v>3</v>
      </c>
      <c r="DN155">
        <v>0.88</v>
      </c>
      <c r="DO155">
        <v>1472</v>
      </c>
      <c r="DP155">
        <v>760</v>
      </c>
      <c r="DW155" t="s">
        <v>544</v>
      </c>
      <c r="DX155">
        <v>7.5</v>
      </c>
      <c r="EA155">
        <v>1544.1</v>
      </c>
      <c r="EB155">
        <v>273</v>
      </c>
      <c r="EC155" t="s">
        <v>545</v>
      </c>
      <c r="ED155">
        <v>35</v>
      </c>
      <c r="EE155">
        <v>3</v>
      </c>
      <c r="EG155">
        <v>1585</v>
      </c>
      <c r="EH155">
        <v>222</v>
      </c>
      <c r="EJ155">
        <v>0</v>
      </c>
      <c r="EK155">
        <v>1</v>
      </c>
      <c r="EN155">
        <v>0</v>
      </c>
      <c r="EP155" t="s">
        <v>546</v>
      </c>
      <c r="EQ155">
        <v>110</v>
      </c>
      <c r="ER155">
        <v>3</v>
      </c>
      <c r="ES155">
        <v>5</v>
      </c>
      <c r="ET155">
        <v>1451</v>
      </c>
      <c r="EU155">
        <v>464</v>
      </c>
      <c r="EV155">
        <v>673</v>
      </c>
      <c r="EW155" t="s">
        <v>547</v>
      </c>
      <c r="EX155">
        <v>45</v>
      </c>
      <c r="EY155">
        <v>2</v>
      </c>
      <c r="EZ155">
        <v>4.2</v>
      </c>
      <c r="FA155">
        <v>1451</v>
      </c>
      <c r="FB155">
        <v>133.7</v>
      </c>
      <c r="FC155">
        <v>194</v>
      </c>
      <c r="FE155">
        <v>0</v>
      </c>
      <c r="FF155">
        <v>2</v>
      </c>
      <c r="FI155">
        <v>0</v>
      </c>
      <c r="FK155" t="s">
        <v>548</v>
      </c>
      <c r="FL155">
        <v>0.4</v>
      </c>
      <c r="FM155">
        <v>40</v>
      </c>
      <c r="FN155">
        <v>360</v>
      </c>
      <c r="FO155">
        <v>85</v>
      </c>
      <c r="FP155">
        <v>140</v>
      </c>
      <c r="GR155" t="s">
        <v>548</v>
      </c>
      <c r="GS155">
        <v>0.4</v>
      </c>
      <c r="GT155">
        <v>30</v>
      </c>
      <c r="GU155">
        <v>380</v>
      </c>
      <c r="GV155">
        <v>30</v>
      </c>
      <c r="GW155">
        <v>260</v>
      </c>
      <c r="HC155">
        <v>0.1</v>
      </c>
      <c r="HD155">
        <v>3</v>
      </c>
      <c r="HE155">
        <v>3</v>
      </c>
      <c r="HF155">
        <v>3</v>
      </c>
      <c r="HG155">
        <v>3</v>
      </c>
      <c r="HH155">
        <v>3</v>
      </c>
      <c r="HI155">
        <v>140</v>
      </c>
      <c r="HJ155">
        <v>3</v>
      </c>
      <c r="HK155">
        <v>30</v>
      </c>
      <c r="HL155">
        <v>2</v>
      </c>
      <c r="HM155">
        <v>0</v>
      </c>
      <c r="HN155">
        <v>2</v>
      </c>
      <c r="HO155">
        <v>95</v>
      </c>
      <c r="HP155">
        <v>3</v>
      </c>
      <c r="HQ155">
        <v>0</v>
      </c>
      <c r="HR155">
        <v>2</v>
      </c>
      <c r="HS155">
        <v>5474</v>
      </c>
      <c r="HT155">
        <v>160</v>
      </c>
      <c r="HU155">
        <v>180</v>
      </c>
      <c r="HW155">
        <v>0</v>
      </c>
      <c r="HX155">
        <v>520</v>
      </c>
      <c r="HY155">
        <v>0.18</v>
      </c>
      <c r="IA155">
        <v>0.15</v>
      </c>
      <c r="IB155">
        <v>0</v>
      </c>
      <c r="IC155">
        <v>180</v>
      </c>
      <c r="ID155">
        <v>110</v>
      </c>
      <c r="IE155">
        <v>225</v>
      </c>
      <c r="IF155">
        <v>0</v>
      </c>
      <c r="IH155" t="s">
        <v>549</v>
      </c>
      <c r="IO155">
        <v>3</v>
      </c>
      <c r="IP155">
        <v>19</v>
      </c>
      <c r="IQ155">
        <v>0</v>
      </c>
      <c r="IR155">
        <v>0</v>
      </c>
      <c r="IV155">
        <v>1458</v>
      </c>
      <c r="IW155">
        <v>416</v>
      </c>
      <c r="JA155">
        <v>1</v>
      </c>
      <c r="JB155">
        <v>0</v>
      </c>
      <c r="JC155">
        <v>2</v>
      </c>
      <c r="JD155">
        <v>1475</v>
      </c>
      <c r="JE155">
        <v>1467</v>
      </c>
      <c r="JF155">
        <v>1472</v>
      </c>
      <c r="JG155">
        <v>1451</v>
      </c>
      <c r="JH155">
        <v>0</v>
      </c>
      <c r="JJ155">
        <v>180</v>
      </c>
      <c r="JK155">
        <v>520</v>
      </c>
      <c r="JN155">
        <v>380</v>
      </c>
      <c r="JO155">
        <v>570</v>
      </c>
      <c r="JP155">
        <v>470</v>
      </c>
      <c r="JQ155">
        <v>0</v>
      </c>
      <c r="JR155">
        <v>418</v>
      </c>
      <c r="JS155">
        <v>140</v>
      </c>
      <c r="JV155">
        <v>8</v>
      </c>
      <c r="JW155" t="s">
        <v>550</v>
      </c>
      <c r="JX155">
        <v>456</v>
      </c>
      <c r="KA155">
        <v>225</v>
      </c>
      <c r="KB155">
        <v>110</v>
      </c>
      <c r="KC155">
        <v>0</v>
      </c>
      <c r="KD155">
        <v>80</v>
      </c>
      <c r="KF155">
        <v>4</v>
      </c>
      <c r="KG155">
        <v>2</v>
      </c>
      <c r="KH155">
        <v>2</v>
      </c>
      <c r="KI155">
        <v>2</v>
      </c>
      <c r="KJ155">
        <v>0</v>
      </c>
      <c r="KK155">
        <v>1.5</v>
      </c>
      <c r="KL155">
        <v>1.5</v>
      </c>
      <c r="KM155">
        <v>0</v>
      </c>
      <c r="KN155">
        <v>0</v>
      </c>
      <c r="KO155">
        <v>0</v>
      </c>
      <c r="KR155">
        <v>20</v>
      </c>
      <c r="KS155">
        <v>30</v>
      </c>
      <c r="KT155">
        <v>0</v>
      </c>
      <c r="LK155">
        <v>480</v>
      </c>
      <c r="PG155">
        <v>1</v>
      </c>
      <c r="PI155" t="s">
        <v>2311</v>
      </c>
      <c r="PJ155" t="s">
        <v>2312</v>
      </c>
      <c r="PK155" t="s">
        <v>2313</v>
      </c>
      <c r="PL155" t="s">
        <v>764</v>
      </c>
      <c r="PP155" t="s">
        <v>1303</v>
      </c>
      <c r="PS155" t="s">
        <v>855</v>
      </c>
      <c r="PX155">
        <v>56</v>
      </c>
      <c r="PY155">
        <v>57</v>
      </c>
      <c r="PZ155" t="s">
        <v>2311</v>
      </c>
      <c r="QA155">
        <v>1</v>
      </c>
      <c r="QB155">
        <v>1451</v>
      </c>
      <c r="QC155">
        <v>69</v>
      </c>
      <c r="QD155">
        <v>69</v>
      </c>
      <c r="QE155" t="s">
        <v>764</v>
      </c>
      <c r="QF155">
        <v>1</v>
      </c>
      <c r="QG155">
        <v>1475</v>
      </c>
      <c r="QH155">
        <v>66</v>
      </c>
      <c r="QI155">
        <v>66</v>
      </c>
      <c r="QJ155" t="s">
        <v>855</v>
      </c>
      <c r="QK155">
        <v>1</v>
      </c>
      <c r="QL155">
        <v>1475</v>
      </c>
      <c r="QM155">
        <v>62</v>
      </c>
      <c r="QN155">
        <v>62</v>
      </c>
      <c r="QO155" t="s">
        <v>2312</v>
      </c>
      <c r="QP155">
        <v>1</v>
      </c>
      <c r="QQ155">
        <v>1467</v>
      </c>
      <c r="QR155">
        <v>62</v>
      </c>
      <c r="QS155">
        <v>62</v>
      </c>
      <c r="QT155" t="s">
        <v>2313</v>
      </c>
      <c r="QU155">
        <v>1</v>
      </c>
      <c r="QV155">
        <v>1472</v>
      </c>
      <c r="QW155">
        <v>82</v>
      </c>
      <c r="QX155">
        <v>89</v>
      </c>
      <c r="QY155" t="s">
        <v>1303</v>
      </c>
      <c r="QZ155">
        <v>1</v>
      </c>
      <c r="RA155">
        <v>66</v>
      </c>
      <c r="RB155">
        <v>66</v>
      </c>
      <c r="RE155">
        <v>0</v>
      </c>
      <c r="RF155">
        <v>1</v>
      </c>
      <c r="RH155">
        <v>1</v>
      </c>
      <c r="RJ155">
        <v>1</v>
      </c>
      <c r="RK155">
        <v>3</v>
      </c>
      <c r="RL155">
        <v>4</v>
      </c>
      <c r="RM155">
        <v>4</v>
      </c>
      <c r="RO155">
        <v>538</v>
      </c>
      <c r="RP155">
        <v>142</v>
      </c>
      <c r="RQ155">
        <v>672</v>
      </c>
      <c r="RR155">
        <v>516</v>
      </c>
      <c r="RT155">
        <v>273</v>
      </c>
      <c r="RU155">
        <v>222</v>
      </c>
      <c r="RV155" t="s">
        <v>1305</v>
      </c>
      <c r="RW155" t="s">
        <v>707</v>
      </c>
      <c r="RX155">
        <v>15</v>
      </c>
      <c r="RY155">
        <v>4</v>
      </c>
      <c r="RZ155" t="s">
        <v>707</v>
      </c>
      <c r="SA155">
        <v>15</v>
      </c>
      <c r="SC155" t="s">
        <v>2312</v>
      </c>
      <c r="SD155">
        <v>1</v>
      </c>
      <c r="SF155" t="s">
        <v>2313</v>
      </c>
      <c r="SG155">
        <v>1</v>
      </c>
      <c r="SH155">
        <v>0.995</v>
      </c>
      <c r="SI155">
        <v>0.995</v>
      </c>
      <c r="SJ155">
        <v>0.995</v>
      </c>
      <c r="SK155">
        <v>15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1</v>
      </c>
      <c r="SZ155">
        <v>1</v>
      </c>
      <c r="TB155">
        <v>0</v>
      </c>
      <c r="TC155">
        <v>0</v>
      </c>
      <c r="TD155">
        <v>7.5</v>
      </c>
      <c r="TE155" t="s">
        <v>553</v>
      </c>
      <c r="TF155" t="s">
        <v>624</v>
      </c>
      <c r="TG155" t="s">
        <v>555</v>
      </c>
      <c r="TI155" t="s">
        <v>546</v>
      </c>
      <c r="TJ155" t="s">
        <v>547</v>
      </c>
      <c r="TL155" t="s">
        <v>2240</v>
      </c>
      <c r="TM155" t="s">
        <v>513</v>
      </c>
      <c r="TN155">
        <v>0</v>
      </c>
      <c r="TO155" t="s">
        <v>557</v>
      </c>
    </row>
    <row r="156" spans="1:535">
      <c r="A156" t="s">
        <v>2314</v>
      </c>
      <c r="B156" t="s">
        <v>711</v>
      </c>
      <c r="C156" t="s">
        <v>509</v>
      </c>
      <c r="D156" t="s">
        <v>2315</v>
      </c>
      <c r="G156" t="s">
        <v>1294</v>
      </c>
      <c r="I156" t="s">
        <v>562</v>
      </c>
      <c r="J156" t="s">
        <v>563</v>
      </c>
      <c r="L156" t="s">
        <v>512</v>
      </c>
      <c r="M156" t="s">
        <v>804</v>
      </c>
      <c r="N156" t="s">
        <v>513</v>
      </c>
      <c r="O156" t="s">
        <v>565</v>
      </c>
      <c r="Q156" t="s">
        <v>2316</v>
      </c>
      <c r="R156" t="s">
        <v>567</v>
      </c>
      <c r="S156" t="s">
        <v>2066</v>
      </c>
      <c r="T156" t="s">
        <v>1043</v>
      </c>
      <c r="U156" t="s">
        <v>570</v>
      </c>
      <c r="V156" t="s">
        <v>571</v>
      </c>
      <c r="W156" t="s">
        <v>2067</v>
      </c>
      <c r="X156" t="s">
        <v>2244</v>
      </c>
      <c r="Y156" t="s">
        <v>574</v>
      </c>
      <c r="Z156" t="s">
        <v>2317</v>
      </c>
      <c r="AA156" t="s">
        <v>2318</v>
      </c>
      <c r="AB156" t="s">
        <v>2319</v>
      </c>
      <c r="AC156">
        <v>2</v>
      </c>
      <c r="AD156">
        <v>57</v>
      </c>
      <c r="AE156">
        <v>238</v>
      </c>
      <c r="AF156">
        <v>1.5</v>
      </c>
      <c r="AH156">
        <v>0</v>
      </c>
      <c r="AI156" t="s">
        <v>1080</v>
      </c>
      <c r="AJ156">
        <v>217.5</v>
      </c>
      <c r="AK156">
        <v>1</v>
      </c>
      <c r="AL156">
        <v>1.5</v>
      </c>
      <c r="AM156" t="s">
        <v>579</v>
      </c>
      <c r="AN156" t="s">
        <v>855</v>
      </c>
      <c r="AO156">
        <v>2</v>
      </c>
      <c r="AP156" t="s">
        <v>581</v>
      </c>
      <c r="AQ156" t="s">
        <v>582</v>
      </c>
      <c r="AR156">
        <v>255</v>
      </c>
      <c r="AS156">
        <v>1.5</v>
      </c>
      <c r="AT156" t="s">
        <v>583</v>
      </c>
      <c r="AU156" t="s">
        <v>2320</v>
      </c>
      <c r="AW156" t="s">
        <v>2320</v>
      </c>
      <c r="AX156">
        <v>1</v>
      </c>
      <c r="AY156">
        <v>322.5</v>
      </c>
      <c r="AZ156">
        <v>1.5</v>
      </c>
      <c r="BA156" t="s">
        <v>579</v>
      </c>
      <c r="BB156" t="s">
        <v>2321</v>
      </c>
      <c r="BD156" t="s">
        <v>2321</v>
      </c>
      <c r="BE156">
        <v>1</v>
      </c>
      <c r="BF156">
        <v>300</v>
      </c>
      <c r="BG156">
        <v>1.5</v>
      </c>
      <c r="BJ156">
        <v>0</v>
      </c>
      <c r="BN156">
        <v>1.5</v>
      </c>
      <c r="BP156" t="s">
        <v>2260</v>
      </c>
      <c r="BQ156" t="s">
        <v>587</v>
      </c>
      <c r="BR156">
        <v>2</v>
      </c>
      <c r="BS156" t="s">
        <v>799</v>
      </c>
      <c r="BT156">
        <v>235</v>
      </c>
      <c r="BU156">
        <v>0.5</v>
      </c>
      <c r="BV156" t="s">
        <v>799</v>
      </c>
      <c r="BW156">
        <v>470</v>
      </c>
      <c r="BX156">
        <v>1</v>
      </c>
      <c r="BY156" t="s">
        <v>589</v>
      </c>
      <c r="BZ156">
        <v>470</v>
      </c>
      <c r="CA156">
        <v>590</v>
      </c>
      <c r="CB156" t="s">
        <v>590</v>
      </c>
      <c r="CC156" t="s">
        <v>590</v>
      </c>
      <c r="CD156">
        <v>484</v>
      </c>
      <c r="CE156" t="s">
        <v>591</v>
      </c>
      <c r="CF156">
        <v>15</v>
      </c>
      <c r="CG156" t="s">
        <v>592</v>
      </c>
      <c r="CH156" t="s">
        <v>592</v>
      </c>
      <c r="CI156">
        <v>60</v>
      </c>
      <c r="CJ156">
        <v>1538</v>
      </c>
      <c r="CK156">
        <v>2</v>
      </c>
      <c r="CL156">
        <v>1632</v>
      </c>
      <c r="CM156">
        <v>2</v>
      </c>
      <c r="CN156" t="s">
        <v>593</v>
      </c>
      <c r="CO156" t="s">
        <v>594</v>
      </c>
      <c r="CP156" t="s">
        <v>595</v>
      </c>
      <c r="CQ156" t="s">
        <v>1849</v>
      </c>
      <c r="CR156" t="s">
        <v>541</v>
      </c>
      <c r="CS156" t="s">
        <v>542</v>
      </c>
      <c r="CT156">
        <v>435</v>
      </c>
      <c r="CU156">
        <v>5</v>
      </c>
      <c r="CV156">
        <v>1.2</v>
      </c>
      <c r="CW156">
        <v>1554</v>
      </c>
      <c r="CX156">
        <v>957</v>
      </c>
      <c r="CY156" t="s">
        <v>597</v>
      </c>
      <c r="CZ156">
        <v>50</v>
      </c>
      <c r="DA156">
        <v>3</v>
      </c>
      <c r="DB156">
        <v>1.28</v>
      </c>
      <c r="DC156">
        <v>1554</v>
      </c>
      <c r="DD156">
        <v>110</v>
      </c>
      <c r="DE156" t="s">
        <v>622</v>
      </c>
      <c r="DF156">
        <v>645</v>
      </c>
      <c r="DG156">
        <v>3</v>
      </c>
      <c r="DH156">
        <v>0.88</v>
      </c>
      <c r="DI156">
        <v>1547</v>
      </c>
      <c r="DJ156">
        <v>1236</v>
      </c>
      <c r="DK156" t="s">
        <v>622</v>
      </c>
      <c r="DL156">
        <v>600</v>
      </c>
      <c r="DM156">
        <v>3</v>
      </c>
      <c r="DN156">
        <v>0.88</v>
      </c>
      <c r="DO156">
        <v>1555</v>
      </c>
      <c r="DP156">
        <v>1001</v>
      </c>
      <c r="DW156" t="s">
        <v>544</v>
      </c>
      <c r="DX156">
        <v>7.5</v>
      </c>
      <c r="EA156">
        <v>1623.8</v>
      </c>
      <c r="EB156">
        <v>382</v>
      </c>
      <c r="EC156" t="s">
        <v>545</v>
      </c>
      <c r="ED156">
        <v>35</v>
      </c>
      <c r="EE156">
        <v>3</v>
      </c>
      <c r="EG156">
        <v>1675</v>
      </c>
      <c r="EH156">
        <v>235</v>
      </c>
      <c r="EJ156">
        <v>0</v>
      </c>
      <c r="EK156">
        <v>1</v>
      </c>
      <c r="EN156">
        <v>0</v>
      </c>
      <c r="EP156" t="s">
        <v>546</v>
      </c>
      <c r="EQ156">
        <v>125</v>
      </c>
      <c r="ER156">
        <v>3</v>
      </c>
      <c r="ES156">
        <v>5.5</v>
      </c>
      <c r="ET156">
        <v>1534</v>
      </c>
      <c r="EU156">
        <v>535.4</v>
      </c>
      <c r="EV156">
        <v>821</v>
      </c>
      <c r="EW156" t="s">
        <v>547</v>
      </c>
      <c r="EX156">
        <v>45</v>
      </c>
      <c r="EY156">
        <v>2</v>
      </c>
      <c r="EZ156">
        <v>4</v>
      </c>
      <c r="FA156">
        <v>1534</v>
      </c>
      <c r="FB156">
        <v>126.1</v>
      </c>
      <c r="FC156">
        <v>193</v>
      </c>
      <c r="FE156">
        <v>0</v>
      </c>
      <c r="FF156">
        <v>2</v>
      </c>
      <c r="FI156">
        <v>0</v>
      </c>
      <c r="FK156" t="s">
        <v>548</v>
      </c>
      <c r="FL156">
        <v>0.4</v>
      </c>
      <c r="FM156">
        <v>70</v>
      </c>
      <c r="FN156">
        <v>400</v>
      </c>
      <c r="FO156">
        <v>85</v>
      </c>
      <c r="FP156">
        <v>150</v>
      </c>
      <c r="FR156" t="s">
        <v>548</v>
      </c>
      <c r="FS156">
        <v>0.4</v>
      </c>
      <c r="FT156">
        <v>30</v>
      </c>
      <c r="FU156">
        <v>570</v>
      </c>
      <c r="GR156" t="s">
        <v>548</v>
      </c>
      <c r="GS156">
        <v>0.4</v>
      </c>
      <c r="GT156">
        <v>30</v>
      </c>
      <c r="GU156">
        <v>430</v>
      </c>
      <c r="GV156">
        <v>30</v>
      </c>
      <c r="GW156">
        <v>280</v>
      </c>
      <c r="HC156">
        <v>0.1</v>
      </c>
      <c r="HD156">
        <v>3</v>
      </c>
      <c r="HE156">
        <v>3</v>
      </c>
      <c r="HF156">
        <v>3</v>
      </c>
      <c r="HG156">
        <v>3</v>
      </c>
      <c r="HH156">
        <v>3</v>
      </c>
      <c r="HI156">
        <v>155</v>
      </c>
      <c r="HJ156">
        <v>3</v>
      </c>
      <c r="HK156">
        <v>30</v>
      </c>
      <c r="HL156">
        <v>2</v>
      </c>
      <c r="HM156">
        <v>0</v>
      </c>
      <c r="HN156">
        <v>2</v>
      </c>
      <c r="HO156">
        <v>110</v>
      </c>
      <c r="HP156">
        <v>3</v>
      </c>
      <c r="HQ156">
        <v>0</v>
      </c>
      <c r="HR156">
        <v>2</v>
      </c>
      <c r="HS156">
        <v>6676</v>
      </c>
      <c r="HT156">
        <v>200</v>
      </c>
      <c r="HU156">
        <v>180</v>
      </c>
      <c r="HW156">
        <v>0</v>
      </c>
      <c r="HX156">
        <v>465</v>
      </c>
      <c r="HY156">
        <v>0.18</v>
      </c>
      <c r="IA156">
        <v>0.15</v>
      </c>
      <c r="IB156">
        <v>0</v>
      </c>
      <c r="IC156">
        <v>180</v>
      </c>
      <c r="ID156">
        <v>110</v>
      </c>
      <c r="IE156">
        <v>225</v>
      </c>
      <c r="IF156">
        <v>0</v>
      </c>
      <c r="IH156" t="s">
        <v>549</v>
      </c>
      <c r="IO156">
        <v>3</v>
      </c>
      <c r="IP156">
        <v>20</v>
      </c>
      <c r="IQ156">
        <v>0</v>
      </c>
      <c r="IR156">
        <v>0</v>
      </c>
      <c r="IV156">
        <v>1538</v>
      </c>
      <c r="IW156">
        <v>470</v>
      </c>
      <c r="JA156">
        <v>1</v>
      </c>
      <c r="JB156">
        <v>0</v>
      </c>
      <c r="JC156">
        <v>2</v>
      </c>
      <c r="JD156">
        <v>1554</v>
      </c>
      <c r="JE156">
        <v>1547</v>
      </c>
      <c r="JF156">
        <v>1555</v>
      </c>
      <c r="JG156">
        <v>1534</v>
      </c>
      <c r="JH156">
        <v>0</v>
      </c>
      <c r="JJ156">
        <v>180</v>
      </c>
      <c r="JK156">
        <v>465</v>
      </c>
      <c r="JN156">
        <v>435</v>
      </c>
      <c r="JO156">
        <v>645</v>
      </c>
      <c r="JP156">
        <v>600</v>
      </c>
      <c r="JQ156">
        <v>0</v>
      </c>
      <c r="JR156">
        <v>476</v>
      </c>
      <c r="JS156">
        <v>155</v>
      </c>
      <c r="JV156">
        <v>8</v>
      </c>
      <c r="JW156" t="s">
        <v>550</v>
      </c>
      <c r="JX156">
        <v>510</v>
      </c>
      <c r="KA156">
        <v>225</v>
      </c>
      <c r="KB156">
        <v>110</v>
      </c>
      <c r="KC156">
        <v>0</v>
      </c>
      <c r="KD156">
        <v>80</v>
      </c>
      <c r="KF156">
        <v>4</v>
      </c>
      <c r="KG156">
        <v>2</v>
      </c>
      <c r="KH156">
        <v>2</v>
      </c>
      <c r="KI156">
        <v>2</v>
      </c>
      <c r="KJ156">
        <v>0</v>
      </c>
      <c r="KK156">
        <v>1.5</v>
      </c>
      <c r="KL156">
        <v>1.5</v>
      </c>
      <c r="KM156">
        <v>0</v>
      </c>
      <c r="KN156">
        <v>0</v>
      </c>
      <c r="KO156">
        <v>0</v>
      </c>
      <c r="KR156">
        <v>30</v>
      </c>
      <c r="KS156">
        <v>60</v>
      </c>
      <c r="KT156">
        <v>0</v>
      </c>
      <c r="LK156">
        <v>480</v>
      </c>
      <c r="PG156">
        <v>1</v>
      </c>
      <c r="PI156" t="s">
        <v>2319</v>
      </c>
      <c r="PJ156" t="s">
        <v>2320</v>
      </c>
      <c r="PK156" t="s">
        <v>2321</v>
      </c>
      <c r="PL156" t="s">
        <v>1080</v>
      </c>
      <c r="PP156" t="s">
        <v>2260</v>
      </c>
      <c r="PS156" t="s">
        <v>855</v>
      </c>
      <c r="PX156">
        <v>56</v>
      </c>
      <c r="PY156">
        <v>57</v>
      </c>
      <c r="PZ156" t="s">
        <v>2319</v>
      </c>
      <c r="QA156">
        <v>2</v>
      </c>
      <c r="QB156">
        <v>1534</v>
      </c>
      <c r="QC156">
        <v>69</v>
      </c>
      <c r="QD156">
        <v>69</v>
      </c>
      <c r="QE156" t="s">
        <v>1080</v>
      </c>
      <c r="QF156">
        <v>1</v>
      </c>
      <c r="QG156">
        <v>1554</v>
      </c>
      <c r="QH156">
        <v>66</v>
      </c>
      <c r="QI156">
        <v>66</v>
      </c>
      <c r="QJ156" t="s">
        <v>855</v>
      </c>
      <c r="QK156">
        <v>1</v>
      </c>
      <c r="QL156">
        <v>1554</v>
      </c>
      <c r="QM156">
        <v>62</v>
      </c>
      <c r="QN156">
        <v>62</v>
      </c>
      <c r="QO156" t="s">
        <v>2320</v>
      </c>
      <c r="QP156">
        <v>1</v>
      </c>
      <c r="QQ156">
        <v>1547</v>
      </c>
      <c r="QR156">
        <v>62</v>
      </c>
      <c r="QS156">
        <v>62</v>
      </c>
      <c r="QT156" t="s">
        <v>2321</v>
      </c>
      <c r="QU156">
        <v>1</v>
      </c>
      <c r="QV156">
        <v>1555</v>
      </c>
      <c r="QW156">
        <v>82</v>
      </c>
      <c r="QX156" t="s">
        <v>587</v>
      </c>
      <c r="QY156" t="s">
        <v>2260</v>
      </c>
      <c r="QZ156">
        <v>3</v>
      </c>
      <c r="RA156">
        <v>66</v>
      </c>
      <c r="RB156">
        <v>66</v>
      </c>
      <c r="RE156">
        <v>0</v>
      </c>
      <c r="RF156">
        <v>1</v>
      </c>
      <c r="RH156">
        <v>1</v>
      </c>
      <c r="RJ156">
        <v>1</v>
      </c>
      <c r="RK156">
        <v>3</v>
      </c>
      <c r="RL156">
        <v>4</v>
      </c>
      <c r="RM156">
        <v>4</v>
      </c>
      <c r="RO156">
        <v>616</v>
      </c>
      <c r="RP156">
        <v>142</v>
      </c>
      <c r="RQ156">
        <v>799</v>
      </c>
      <c r="RR156">
        <v>644</v>
      </c>
      <c r="RT156">
        <v>382</v>
      </c>
      <c r="RU156">
        <v>235</v>
      </c>
      <c r="RV156" t="s">
        <v>801</v>
      </c>
      <c r="RW156" t="s">
        <v>599</v>
      </c>
      <c r="RX156">
        <v>15</v>
      </c>
      <c r="RY156">
        <v>4</v>
      </c>
      <c r="RZ156" t="s">
        <v>599</v>
      </c>
      <c r="SA156">
        <v>15</v>
      </c>
      <c r="SC156" t="s">
        <v>2320</v>
      </c>
      <c r="SD156">
        <v>1</v>
      </c>
      <c r="SF156" t="s">
        <v>2321</v>
      </c>
      <c r="SG156">
        <v>1</v>
      </c>
      <c r="SH156">
        <v>0.995</v>
      </c>
      <c r="SI156">
        <v>0.995</v>
      </c>
      <c r="SJ156">
        <v>0.995</v>
      </c>
      <c r="SK156">
        <v>15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1</v>
      </c>
      <c r="SZ156">
        <v>1</v>
      </c>
      <c r="TB156">
        <v>0</v>
      </c>
      <c r="TC156">
        <v>0</v>
      </c>
      <c r="TD156">
        <v>7.5</v>
      </c>
      <c r="TE156" t="s">
        <v>553</v>
      </c>
      <c r="TF156" t="s">
        <v>681</v>
      </c>
      <c r="TG156" t="s">
        <v>555</v>
      </c>
      <c r="TI156" t="s">
        <v>546</v>
      </c>
      <c r="TJ156" t="s">
        <v>547</v>
      </c>
      <c r="TL156" t="s">
        <v>2240</v>
      </c>
      <c r="TM156" t="s">
        <v>513</v>
      </c>
      <c r="TN156">
        <v>0</v>
      </c>
      <c r="TO156" t="s">
        <v>601</v>
      </c>
    </row>
    <row r="157" spans="1:535">
      <c r="A157" t="s">
        <v>2322</v>
      </c>
      <c r="B157" t="s">
        <v>711</v>
      </c>
      <c r="C157" t="s">
        <v>509</v>
      </c>
      <c r="D157" t="s">
        <v>2323</v>
      </c>
      <c r="G157" t="s">
        <v>1088</v>
      </c>
      <c r="L157" t="s">
        <v>512</v>
      </c>
      <c r="M157" t="s">
        <v>804</v>
      </c>
      <c r="N157" t="s">
        <v>513</v>
      </c>
      <c r="O157" t="s">
        <v>1255</v>
      </c>
      <c r="P157" t="s">
        <v>515</v>
      </c>
      <c r="Q157" t="s">
        <v>2324</v>
      </c>
      <c r="R157" t="s">
        <v>567</v>
      </c>
      <c r="S157" t="s">
        <v>849</v>
      </c>
      <c r="T157" t="s">
        <v>743</v>
      </c>
      <c r="U157" t="s">
        <v>686</v>
      </c>
      <c r="V157" t="s">
        <v>687</v>
      </c>
      <c r="W157" t="s">
        <v>1659</v>
      </c>
      <c r="X157" t="s">
        <v>2232</v>
      </c>
      <c r="Y157" t="s">
        <v>524</v>
      </c>
      <c r="Z157" t="s">
        <v>2325</v>
      </c>
      <c r="AA157" t="s">
        <v>2326</v>
      </c>
      <c r="AB157" t="s">
        <v>2327</v>
      </c>
      <c r="AC157">
        <v>2</v>
      </c>
      <c r="AD157">
        <v>57</v>
      </c>
      <c r="AE157">
        <v>184</v>
      </c>
      <c r="AF157">
        <v>1.5</v>
      </c>
      <c r="AH157">
        <v>0</v>
      </c>
      <c r="AI157" t="s">
        <v>1464</v>
      </c>
      <c r="AJ157">
        <v>165</v>
      </c>
      <c r="AK157">
        <v>1</v>
      </c>
      <c r="AL157">
        <v>1.5</v>
      </c>
      <c r="AM157" t="s">
        <v>579</v>
      </c>
      <c r="AN157" t="s">
        <v>855</v>
      </c>
      <c r="AO157">
        <v>2</v>
      </c>
      <c r="AP157" t="s">
        <v>581</v>
      </c>
      <c r="AQ157" t="s">
        <v>582</v>
      </c>
      <c r="AR157">
        <v>203</v>
      </c>
      <c r="AS157">
        <v>1.5</v>
      </c>
      <c r="AT157" t="s">
        <v>583</v>
      </c>
      <c r="AV157" t="s">
        <v>2328</v>
      </c>
      <c r="AW157" t="s">
        <v>2328</v>
      </c>
      <c r="AX157">
        <v>1</v>
      </c>
      <c r="AY157">
        <v>232.5</v>
      </c>
      <c r="AZ157">
        <v>1.5</v>
      </c>
      <c r="BA157" t="s">
        <v>579</v>
      </c>
      <c r="BG157">
        <v>1.5</v>
      </c>
      <c r="BJ157">
        <v>0</v>
      </c>
      <c r="BN157">
        <v>1.5</v>
      </c>
      <c r="BP157" t="s">
        <v>2329</v>
      </c>
      <c r="BQ157">
        <v>88</v>
      </c>
      <c r="BR157">
        <v>2</v>
      </c>
      <c r="BS157" t="s">
        <v>858</v>
      </c>
      <c r="BT157">
        <v>183</v>
      </c>
      <c r="BU157">
        <v>0.5</v>
      </c>
      <c r="BV157" t="s">
        <v>858</v>
      </c>
      <c r="BW157">
        <v>366</v>
      </c>
      <c r="BX157">
        <v>1</v>
      </c>
      <c r="BY157" t="s">
        <v>698</v>
      </c>
      <c r="BZ157">
        <v>300</v>
      </c>
      <c r="CA157">
        <v>440</v>
      </c>
      <c r="CB157" t="s">
        <v>699</v>
      </c>
      <c r="CC157" t="s">
        <v>699</v>
      </c>
      <c r="CD157">
        <v>388</v>
      </c>
      <c r="CE157" t="s">
        <v>700</v>
      </c>
      <c r="CF157">
        <v>15</v>
      </c>
      <c r="CG157" t="s">
        <v>859</v>
      </c>
      <c r="CH157" t="s">
        <v>859</v>
      </c>
      <c r="CI157">
        <v>70</v>
      </c>
      <c r="CJ157">
        <v>1458</v>
      </c>
      <c r="CK157">
        <v>2</v>
      </c>
      <c r="CL157">
        <v>1552</v>
      </c>
      <c r="CM157">
        <v>2</v>
      </c>
      <c r="CN157" t="s">
        <v>702</v>
      </c>
      <c r="CO157" t="s">
        <v>676</v>
      </c>
      <c r="CP157" t="s">
        <v>703</v>
      </c>
      <c r="CQ157" t="s">
        <v>860</v>
      </c>
      <c r="CR157" t="s">
        <v>650</v>
      </c>
      <c r="CS157" t="s">
        <v>542</v>
      </c>
      <c r="CT157">
        <v>330</v>
      </c>
      <c r="CU157">
        <v>5</v>
      </c>
      <c r="CV157">
        <v>1.2</v>
      </c>
      <c r="CW157">
        <v>1475</v>
      </c>
      <c r="CX157">
        <v>689</v>
      </c>
      <c r="CY157" t="s">
        <v>597</v>
      </c>
      <c r="CZ157">
        <v>50</v>
      </c>
      <c r="DA157">
        <v>3</v>
      </c>
      <c r="DB157">
        <v>1.28</v>
      </c>
      <c r="DC157">
        <v>1475</v>
      </c>
      <c r="DD157">
        <v>105</v>
      </c>
      <c r="DE157" t="s">
        <v>543</v>
      </c>
      <c r="DF157">
        <v>465</v>
      </c>
      <c r="DG157">
        <v>3</v>
      </c>
      <c r="DH157">
        <v>1.18</v>
      </c>
      <c r="DI157">
        <v>1468</v>
      </c>
      <c r="DJ157">
        <v>1124</v>
      </c>
      <c r="DW157" t="s">
        <v>544</v>
      </c>
      <c r="DX157">
        <v>7.5</v>
      </c>
      <c r="EA157">
        <v>1540.9</v>
      </c>
      <c r="EB157">
        <v>290</v>
      </c>
      <c r="EC157" t="s">
        <v>545</v>
      </c>
      <c r="ED157">
        <v>25</v>
      </c>
      <c r="EE157">
        <v>3</v>
      </c>
      <c r="EG157">
        <v>1582</v>
      </c>
      <c r="EH157">
        <v>150</v>
      </c>
      <c r="EJ157">
        <v>0</v>
      </c>
      <c r="EK157">
        <v>1</v>
      </c>
      <c r="EN157">
        <v>0</v>
      </c>
      <c r="EP157" t="s">
        <v>546</v>
      </c>
      <c r="EQ157">
        <v>65</v>
      </c>
      <c r="ER157">
        <v>3</v>
      </c>
      <c r="ES157">
        <v>4.5</v>
      </c>
      <c r="ET157">
        <v>1448</v>
      </c>
      <c r="EU157">
        <v>237</v>
      </c>
      <c r="EV157">
        <v>343</v>
      </c>
      <c r="EW157" t="s">
        <v>547</v>
      </c>
      <c r="EX157">
        <v>45</v>
      </c>
      <c r="EY157">
        <v>2</v>
      </c>
      <c r="EZ157">
        <v>4</v>
      </c>
      <c r="FA157">
        <v>1448</v>
      </c>
      <c r="FB157">
        <v>127.8</v>
      </c>
      <c r="FC157">
        <v>185</v>
      </c>
      <c r="FE157">
        <v>0</v>
      </c>
      <c r="FF157">
        <v>2</v>
      </c>
      <c r="FI157">
        <v>0</v>
      </c>
      <c r="FK157" t="s">
        <v>548</v>
      </c>
      <c r="FL157">
        <v>0.4</v>
      </c>
      <c r="FM157">
        <v>40</v>
      </c>
      <c r="FN157">
        <v>310</v>
      </c>
      <c r="FO157">
        <v>65</v>
      </c>
      <c r="FP157">
        <v>140</v>
      </c>
      <c r="FY157" t="s">
        <v>651</v>
      </c>
      <c r="FZ157">
        <v>1</v>
      </c>
      <c r="GA157">
        <v>20</v>
      </c>
      <c r="GB157">
        <v>176</v>
      </c>
      <c r="GG157" t="s">
        <v>651</v>
      </c>
      <c r="GH157">
        <v>1</v>
      </c>
      <c r="GI157">
        <v>20</v>
      </c>
      <c r="GJ157">
        <v>176</v>
      </c>
      <c r="HC157">
        <v>0.1</v>
      </c>
      <c r="HD157">
        <v>3</v>
      </c>
      <c r="HE157">
        <v>3</v>
      </c>
      <c r="HF157">
        <v>3</v>
      </c>
      <c r="HG157">
        <v>3</v>
      </c>
      <c r="HH157">
        <v>3</v>
      </c>
      <c r="HI157">
        <v>95</v>
      </c>
      <c r="HJ157">
        <v>3</v>
      </c>
      <c r="HK157">
        <v>30</v>
      </c>
      <c r="HL157">
        <v>2</v>
      </c>
      <c r="HM157">
        <v>0</v>
      </c>
      <c r="HN157">
        <v>2</v>
      </c>
      <c r="HO157">
        <v>50</v>
      </c>
      <c r="HP157">
        <v>3</v>
      </c>
      <c r="HQ157">
        <v>0</v>
      </c>
      <c r="HR157">
        <v>2</v>
      </c>
      <c r="HS157">
        <v>3959</v>
      </c>
      <c r="HT157">
        <v>120</v>
      </c>
      <c r="HU157">
        <v>180</v>
      </c>
      <c r="HW157">
        <v>0</v>
      </c>
      <c r="HX157">
        <v>420</v>
      </c>
      <c r="HY157">
        <v>0.18</v>
      </c>
      <c r="IA157">
        <v>0.15</v>
      </c>
      <c r="IB157">
        <v>0</v>
      </c>
      <c r="IC157">
        <v>180</v>
      </c>
      <c r="ID157">
        <v>110</v>
      </c>
      <c r="IE157">
        <v>0</v>
      </c>
      <c r="IF157">
        <v>0</v>
      </c>
      <c r="IH157" t="s">
        <v>549</v>
      </c>
      <c r="IO157">
        <v>1</v>
      </c>
      <c r="IP157">
        <v>19</v>
      </c>
      <c r="IQ157">
        <v>0</v>
      </c>
      <c r="IR157">
        <v>0</v>
      </c>
      <c r="IV157">
        <v>1458</v>
      </c>
      <c r="IW157">
        <v>366</v>
      </c>
      <c r="JA157">
        <v>1</v>
      </c>
      <c r="JB157">
        <v>0</v>
      </c>
      <c r="JC157">
        <v>2</v>
      </c>
      <c r="JD157">
        <v>1475</v>
      </c>
      <c r="JE157">
        <v>1468</v>
      </c>
      <c r="JF157">
        <v>0</v>
      </c>
      <c r="JG157">
        <v>1448</v>
      </c>
      <c r="JH157">
        <v>0</v>
      </c>
      <c r="JJ157">
        <v>180</v>
      </c>
      <c r="JK157">
        <v>420</v>
      </c>
      <c r="JN157">
        <v>330</v>
      </c>
      <c r="JO157">
        <v>465</v>
      </c>
      <c r="JP157">
        <v>0</v>
      </c>
      <c r="JQ157">
        <v>0</v>
      </c>
      <c r="JR157">
        <v>368</v>
      </c>
      <c r="JS157">
        <v>95</v>
      </c>
      <c r="JV157">
        <v>8</v>
      </c>
      <c r="JW157" t="s">
        <v>550</v>
      </c>
      <c r="JX157">
        <v>406</v>
      </c>
      <c r="KA157">
        <v>0</v>
      </c>
      <c r="KB157">
        <v>110</v>
      </c>
      <c r="KC157">
        <v>0</v>
      </c>
      <c r="KD157">
        <v>80</v>
      </c>
      <c r="KF157">
        <v>4</v>
      </c>
      <c r="KG157">
        <v>2</v>
      </c>
      <c r="KH157">
        <v>2</v>
      </c>
      <c r="KI157">
        <v>2</v>
      </c>
      <c r="KJ157">
        <v>0</v>
      </c>
      <c r="KK157">
        <v>1.5</v>
      </c>
      <c r="KL157">
        <v>1.5</v>
      </c>
      <c r="KM157">
        <v>0</v>
      </c>
      <c r="KN157">
        <v>0</v>
      </c>
      <c r="KO157">
        <v>0</v>
      </c>
      <c r="KR157">
        <v>30</v>
      </c>
      <c r="KS157">
        <v>60</v>
      </c>
      <c r="KT157">
        <v>0</v>
      </c>
      <c r="LK157">
        <v>480</v>
      </c>
      <c r="PG157">
        <v>1</v>
      </c>
      <c r="PI157" t="s">
        <v>2327</v>
      </c>
      <c r="PJ157" t="s">
        <v>2328</v>
      </c>
      <c r="PL157" t="s">
        <v>1464</v>
      </c>
      <c r="PP157" t="s">
        <v>2329</v>
      </c>
      <c r="PS157" t="s">
        <v>855</v>
      </c>
      <c r="PX157">
        <v>56</v>
      </c>
      <c r="PY157">
        <v>57</v>
      </c>
      <c r="PZ157" t="s">
        <v>2327</v>
      </c>
      <c r="QA157">
        <v>1</v>
      </c>
      <c r="QB157">
        <v>1448</v>
      </c>
      <c r="QC157">
        <v>69</v>
      </c>
      <c r="QD157">
        <v>69</v>
      </c>
      <c r="QE157" t="s">
        <v>1464</v>
      </c>
      <c r="QF157">
        <v>1</v>
      </c>
      <c r="QG157">
        <v>1475</v>
      </c>
      <c r="QH157">
        <v>66</v>
      </c>
      <c r="QI157">
        <v>66</v>
      </c>
      <c r="QJ157" t="s">
        <v>855</v>
      </c>
      <c r="QK157">
        <v>1</v>
      </c>
      <c r="QL157">
        <v>1475</v>
      </c>
      <c r="QM157">
        <v>63</v>
      </c>
      <c r="QN157">
        <v>63</v>
      </c>
      <c r="QO157" t="s">
        <v>2328</v>
      </c>
      <c r="QP157">
        <v>1</v>
      </c>
      <c r="QQ157">
        <v>1468</v>
      </c>
      <c r="QW157">
        <v>82</v>
      </c>
      <c r="QX157">
        <v>88</v>
      </c>
      <c r="QY157" t="s">
        <v>2329</v>
      </c>
      <c r="QZ157">
        <v>1</v>
      </c>
      <c r="RA157">
        <v>66</v>
      </c>
      <c r="RB157">
        <v>66</v>
      </c>
      <c r="RE157">
        <v>0</v>
      </c>
      <c r="RG157">
        <v>1</v>
      </c>
      <c r="RJ157">
        <v>1</v>
      </c>
      <c r="RK157">
        <v>3</v>
      </c>
      <c r="RL157">
        <v>2</v>
      </c>
      <c r="RO157">
        <v>467</v>
      </c>
      <c r="RP157">
        <v>142</v>
      </c>
      <c r="RQ157">
        <v>766</v>
      </c>
      <c r="RT157">
        <v>290</v>
      </c>
      <c r="RU157">
        <v>150</v>
      </c>
      <c r="RV157" t="s">
        <v>861</v>
      </c>
      <c r="RW157" t="s">
        <v>707</v>
      </c>
      <c r="RX157">
        <v>15</v>
      </c>
      <c r="RY157">
        <v>4</v>
      </c>
      <c r="RZ157" t="s">
        <v>707</v>
      </c>
      <c r="SA157">
        <v>15</v>
      </c>
      <c r="SB157" t="s">
        <v>2330</v>
      </c>
      <c r="SC157" t="s">
        <v>2330</v>
      </c>
      <c r="SD157">
        <v>1</v>
      </c>
      <c r="SH157">
        <v>0.995</v>
      </c>
      <c r="SI157">
        <v>0.995</v>
      </c>
      <c r="SJ157">
        <v>0.995</v>
      </c>
      <c r="SK157">
        <v>15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1</v>
      </c>
      <c r="TB157">
        <v>0</v>
      </c>
      <c r="TC157">
        <v>0</v>
      </c>
      <c r="TD157">
        <v>7.5</v>
      </c>
      <c r="TE157" t="s">
        <v>553</v>
      </c>
      <c r="TF157" t="s">
        <v>655</v>
      </c>
      <c r="TG157" t="s">
        <v>555</v>
      </c>
      <c r="TI157" t="s">
        <v>546</v>
      </c>
      <c r="TJ157" t="s">
        <v>547</v>
      </c>
      <c r="TL157" t="s">
        <v>2240</v>
      </c>
      <c r="TM157" t="s">
        <v>513</v>
      </c>
      <c r="TN157">
        <v>0</v>
      </c>
      <c r="TO157" t="s">
        <v>557</v>
      </c>
    </row>
    <row r="158" spans="1:535">
      <c r="A158" t="s">
        <v>2331</v>
      </c>
      <c r="B158" t="s">
        <v>657</v>
      </c>
      <c r="C158" t="s">
        <v>509</v>
      </c>
      <c r="D158" t="s">
        <v>1229</v>
      </c>
      <c r="G158" t="s">
        <v>627</v>
      </c>
      <c r="H158" t="s">
        <v>604</v>
      </c>
      <c r="I158" t="s">
        <v>628</v>
      </c>
      <c r="J158" t="s">
        <v>606</v>
      </c>
      <c r="L158" t="s">
        <v>512</v>
      </c>
      <c r="M158" t="s">
        <v>559</v>
      </c>
      <c r="N158" t="s">
        <v>513</v>
      </c>
      <c r="O158" t="s">
        <v>565</v>
      </c>
      <c r="Q158" t="s">
        <v>2332</v>
      </c>
      <c r="R158" t="s">
        <v>517</v>
      </c>
      <c r="S158" t="s">
        <v>2333</v>
      </c>
      <c r="T158" t="s">
        <v>2334</v>
      </c>
      <c r="U158" t="s">
        <v>1457</v>
      </c>
      <c r="V158" t="s">
        <v>1458</v>
      </c>
      <c r="W158" t="s">
        <v>2335</v>
      </c>
      <c r="X158" t="s">
        <v>2336</v>
      </c>
      <c r="Y158" t="s">
        <v>524</v>
      </c>
      <c r="Z158" t="s">
        <v>2337</v>
      </c>
      <c r="AA158" t="s">
        <v>2338</v>
      </c>
      <c r="AB158" t="s">
        <v>2339</v>
      </c>
      <c r="AC158">
        <v>2</v>
      </c>
      <c r="AD158">
        <v>57</v>
      </c>
      <c r="AE158">
        <v>187</v>
      </c>
      <c r="AF158">
        <v>1.5</v>
      </c>
      <c r="AH158">
        <v>0</v>
      </c>
      <c r="AI158" t="s">
        <v>1464</v>
      </c>
      <c r="AJ158">
        <v>165</v>
      </c>
      <c r="AK158">
        <v>1</v>
      </c>
      <c r="AL158">
        <v>1.5</v>
      </c>
      <c r="AM158" t="s">
        <v>579</v>
      </c>
      <c r="AN158" t="s">
        <v>693</v>
      </c>
      <c r="AO158">
        <v>2</v>
      </c>
      <c r="AP158" t="s">
        <v>581</v>
      </c>
      <c r="AQ158" t="s">
        <v>582</v>
      </c>
      <c r="AR158">
        <v>205</v>
      </c>
      <c r="AS158">
        <v>1.5</v>
      </c>
      <c r="AT158" t="s">
        <v>583</v>
      </c>
      <c r="AU158" t="s">
        <v>2340</v>
      </c>
      <c r="AW158" t="s">
        <v>2340</v>
      </c>
      <c r="AX158">
        <v>1</v>
      </c>
      <c r="AY158">
        <v>255</v>
      </c>
      <c r="AZ158">
        <v>1.5</v>
      </c>
      <c r="BA158" t="s">
        <v>579</v>
      </c>
      <c r="BG158">
        <v>1.5</v>
      </c>
      <c r="BJ158">
        <v>0</v>
      </c>
      <c r="BN158">
        <v>1.5</v>
      </c>
      <c r="BP158" t="s">
        <v>1897</v>
      </c>
      <c r="BQ158">
        <v>89</v>
      </c>
      <c r="BR158">
        <v>2</v>
      </c>
      <c r="BS158" t="s">
        <v>1898</v>
      </c>
      <c r="BT158">
        <v>184</v>
      </c>
      <c r="BU158">
        <v>0.5</v>
      </c>
      <c r="BV158" t="s">
        <v>1898</v>
      </c>
      <c r="BW158">
        <v>368</v>
      </c>
      <c r="BX158">
        <v>1</v>
      </c>
      <c r="BY158" t="s">
        <v>1468</v>
      </c>
      <c r="BZ158">
        <v>300</v>
      </c>
      <c r="CA158">
        <v>460</v>
      </c>
      <c r="CB158" t="s">
        <v>1469</v>
      </c>
      <c r="CC158" t="s">
        <v>1469</v>
      </c>
      <c r="CD158">
        <v>384</v>
      </c>
      <c r="CE158" t="s">
        <v>1470</v>
      </c>
      <c r="CF158">
        <v>15</v>
      </c>
      <c r="CG158" t="s">
        <v>1899</v>
      </c>
      <c r="CH158" t="s">
        <v>1899</v>
      </c>
      <c r="CI158">
        <v>80</v>
      </c>
      <c r="CJ158">
        <v>1050</v>
      </c>
      <c r="CK158">
        <v>2</v>
      </c>
      <c r="CL158">
        <v>1144</v>
      </c>
      <c r="CM158">
        <v>2</v>
      </c>
      <c r="CN158" t="s">
        <v>1472</v>
      </c>
      <c r="CO158" t="s">
        <v>1473</v>
      </c>
      <c r="CP158" t="s">
        <v>1474</v>
      </c>
      <c r="CQ158" t="s">
        <v>1420</v>
      </c>
      <c r="CR158" t="s">
        <v>541</v>
      </c>
      <c r="CS158" t="s">
        <v>542</v>
      </c>
      <c r="CT158">
        <v>330</v>
      </c>
      <c r="CU158">
        <v>5</v>
      </c>
      <c r="CV158">
        <v>1.2</v>
      </c>
      <c r="CW158">
        <v>1069</v>
      </c>
      <c r="CX158">
        <v>499</v>
      </c>
      <c r="CY158" t="s">
        <v>705</v>
      </c>
      <c r="CZ158">
        <v>50</v>
      </c>
      <c r="DA158">
        <v>3</v>
      </c>
      <c r="DB158">
        <v>1</v>
      </c>
      <c r="DC158">
        <v>1069</v>
      </c>
      <c r="DD158">
        <v>56</v>
      </c>
      <c r="DE158" t="s">
        <v>543</v>
      </c>
      <c r="DF158">
        <v>510</v>
      </c>
      <c r="DG158">
        <v>3</v>
      </c>
      <c r="DH158">
        <v>1.18</v>
      </c>
      <c r="DI158">
        <v>1062</v>
      </c>
      <c r="DJ158">
        <v>902</v>
      </c>
      <c r="DW158" t="s">
        <v>544</v>
      </c>
      <c r="DX158">
        <v>7.5</v>
      </c>
      <c r="EA158">
        <v>1123</v>
      </c>
      <c r="EB158">
        <v>147</v>
      </c>
      <c r="EC158" t="s">
        <v>545</v>
      </c>
      <c r="ED158">
        <v>15</v>
      </c>
      <c r="EE158" t="s">
        <v>1900</v>
      </c>
      <c r="EG158">
        <v>1154</v>
      </c>
      <c r="EH158">
        <v>44</v>
      </c>
      <c r="EJ158">
        <v>0</v>
      </c>
      <c r="EK158">
        <v>1</v>
      </c>
      <c r="EN158">
        <v>0</v>
      </c>
      <c r="EP158" t="s">
        <v>546</v>
      </c>
      <c r="EQ158">
        <v>105</v>
      </c>
      <c r="ER158">
        <v>3</v>
      </c>
      <c r="ES158">
        <v>5</v>
      </c>
      <c r="ET158">
        <v>1045</v>
      </c>
      <c r="EU158">
        <v>404</v>
      </c>
      <c r="EV158">
        <v>422</v>
      </c>
      <c r="EW158" t="s">
        <v>547</v>
      </c>
      <c r="EX158">
        <v>45</v>
      </c>
      <c r="EY158">
        <v>2</v>
      </c>
      <c r="EZ158">
        <v>5</v>
      </c>
      <c r="FA158">
        <v>1045</v>
      </c>
      <c r="FB158">
        <v>174.3</v>
      </c>
      <c r="FC158">
        <v>182</v>
      </c>
      <c r="FE158">
        <v>0</v>
      </c>
      <c r="FF158">
        <v>2</v>
      </c>
      <c r="FI158">
        <v>0</v>
      </c>
      <c r="FK158" t="s">
        <v>548</v>
      </c>
      <c r="FL158">
        <v>0.4</v>
      </c>
      <c r="FM158">
        <v>50</v>
      </c>
      <c r="FN158">
        <v>290</v>
      </c>
      <c r="FO158">
        <v>80</v>
      </c>
      <c r="FP158">
        <v>90</v>
      </c>
      <c r="FR158" t="s">
        <v>548</v>
      </c>
      <c r="FS158">
        <v>0.4</v>
      </c>
      <c r="FT158">
        <v>50</v>
      </c>
      <c r="FU158">
        <v>200</v>
      </c>
      <c r="HC158">
        <v>0.1</v>
      </c>
      <c r="HD158">
        <v>3</v>
      </c>
      <c r="HE158">
        <v>3</v>
      </c>
      <c r="HF158">
        <v>3</v>
      </c>
      <c r="HG158">
        <v>3</v>
      </c>
      <c r="HH158">
        <v>3</v>
      </c>
      <c r="HI158">
        <v>135</v>
      </c>
      <c r="HJ158">
        <v>3</v>
      </c>
      <c r="HK158">
        <v>30</v>
      </c>
      <c r="HL158">
        <v>2</v>
      </c>
      <c r="HM158">
        <v>0</v>
      </c>
      <c r="HN158">
        <v>2</v>
      </c>
      <c r="HO158">
        <v>90</v>
      </c>
      <c r="HP158">
        <v>3</v>
      </c>
      <c r="HQ158">
        <v>0</v>
      </c>
      <c r="HR158">
        <v>2</v>
      </c>
      <c r="HS158">
        <v>3103</v>
      </c>
      <c r="HT158">
        <v>90</v>
      </c>
      <c r="HU158">
        <v>180</v>
      </c>
      <c r="HW158">
        <v>0</v>
      </c>
      <c r="HX158">
        <v>450</v>
      </c>
      <c r="HY158">
        <v>0.18</v>
      </c>
      <c r="IA158">
        <v>0.15</v>
      </c>
      <c r="IB158">
        <v>0</v>
      </c>
      <c r="IC158">
        <v>180</v>
      </c>
      <c r="ID158">
        <v>110</v>
      </c>
      <c r="IE158">
        <v>0</v>
      </c>
      <c r="IF158">
        <v>0</v>
      </c>
      <c r="IH158" t="s">
        <v>549</v>
      </c>
      <c r="IO158">
        <v>1</v>
      </c>
      <c r="IP158">
        <v>14</v>
      </c>
      <c r="IQ158">
        <v>0</v>
      </c>
      <c r="IR158">
        <v>0</v>
      </c>
      <c r="IV158">
        <v>1050</v>
      </c>
      <c r="IW158">
        <v>368</v>
      </c>
      <c r="JA158">
        <v>1</v>
      </c>
      <c r="JB158">
        <v>0</v>
      </c>
      <c r="JC158">
        <v>2</v>
      </c>
      <c r="JD158">
        <v>1069</v>
      </c>
      <c r="JE158">
        <v>1062</v>
      </c>
      <c r="JF158">
        <v>0</v>
      </c>
      <c r="JG158">
        <v>1045</v>
      </c>
      <c r="JH158">
        <v>0</v>
      </c>
      <c r="JJ158">
        <v>180</v>
      </c>
      <c r="JK158">
        <v>450</v>
      </c>
      <c r="JN158">
        <v>330</v>
      </c>
      <c r="JO158">
        <v>510</v>
      </c>
      <c r="JP158">
        <v>0</v>
      </c>
      <c r="JQ158">
        <v>0</v>
      </c>
      <c r="JR158">
        <v>374</v>
      </c>
      <c r="JS158">
        <v>135</v>
      </c>
      <c r="JV158">
        <v>8</v>
      </c>
      <c r="JW158" t="s">
        <v>550</v>
      </c>
      <c r="JX158">
        <v>410</v>
      </c>
      <c r="KA158">
        <v>0</v>
      </c>
      <c r="KB158">
        <v>110</v>
      </c>
      <c r="KC158">
        <v>0</v>
      </c>
      <c r="KD158">
        <v>80</v>
      </c>
      <c r="KF158">
        <v>3</v>
      </c>
      <c r="KG158">
        <v>2</v>
      </c>
      <c r="KH158">
        <v>2</v>
      </c>
      <c r="KI158">
        <v>2</v>
      </c>
      <c r="KJ158">
        <v>0</v>
      </c>
      <c r="KK158">
        <v>1.5</v>
      </c>
      <c r="KL158">
        <v>1.5</v>
      </c>
      <c r="KM158">
        <v>0</v>
      </c>
      <c r="KN158">
        <v>0</v>
      </c>
      <c r="KO158">
        <v>0</v>
      </c>
      <c r="KR158">
        <v>50</v>
      </c>
      <c r="KS158">
        <v>60</v>
      </c>
      <c r="KT158">
        <v>0</v>
      </c>
      <c r="LK158">
        <v>480</v>
      </c>
      <c r="LX158">
        <v>350</v>
      </c>
      <c r="LY158">
        <v>2</v>
      </c>
      <c r="PG158">
        <v>1</v>
      </c>
      <c r="PI158" t="s">
        <v>2339</v>
      </c>
      <c r="PJ158" t="s">
        <v>2340</v>
      </c>
      <c r="PL158" t="s">
        <v>1464</v>
      </c>
      <c r="PP158" t="s">
        <v>1897</v>
      </c>
      <c r="PS158" t="s">
        <v>693</v>
      </c>
      <c r="PX158">
        <v>56</v>
      </c>
      <c r="PY158">
        <v>57</v>
      </c>
      <c r="PZ158" t="s">
        <v>2339</v>
      </c>
      <c r="QA158">
        <v>1</v>
      </c>
      <c r="QB158">
        <v>1045</v>
      </c>
      <c r="QC158">
        <v>69</v>
      </c>
      <c r="QD158">
        <v>69</v>
      </c>
      <c r="QE158" t="s">
        <v>1464</v>
      </c>
      <c r="QF158">
        <v>1</v>
      </c>
      <c r="QG158">
        <v>1069</v>
      </c>
      <c r="QH158">
        <v>66</v>
      </c>
      <c r="QI158">
        <v>66</v>
      </c>
      <c r="QJ158" t="s">
        <v>693</v>
      </c>
      <c r="QK158">
        <v>1</v>
      </c>
      <c r="QL158">
        <v>1069</v>
      </c>
      <c r="QM158">
        <v>62</v>
      </c>
      <c r="QN158">
        <v>62</v>
      </c>
      <c r="QO158" t="s">
        <v>2340</v>
      </c>
      <c r="QP158">
        <v>1</v>
      </c>
      <c r="QQ158">
        <v>1062</v>
      </c>
      <c r="QW158">
        <v>82</v>
      </c>
      <c r="QX158">
        <v>89</v>
      </c>
      <c r="QY158" t="s">
        <v>1897</v>
      </c>
      <c r="QZ158">
        <v>3</v>
      </c>
      <c r="RA158">
        <v>66</v>
      </c>
      <c r="RB158">
        <v>66</v>
      </c>
      <c r="RE158">
        <v>0</v>
      </c>
      <c r="RF158">
        <v>1</v>
      </c>
      <c r="RJ158">
        <v>3</v>
      </c>
      <c r="RK158">
        <v>2</v>
      </c>
      <c r="RL158">
        <v>1</v>
      </c>
      <c r="RO158">
        <v>467</v>
      </c>
      <c r="RP158">
        <v>105</v>
      </c>
      <c r="RQ158">
        <v>849</v>
      </c>
      <c r="RT158">
        <v>147</v>
      </c>
      <c r="RU158">
        <v>44</v>
      </c>
      <c r="RV158" t="s">
        <v>1901</v>
      </c>
      <c r="RW158" t="s">
        <v>1476</v>
      </c>
      <c r="RX158">
        <v>15</v>
      </c>
      <c r="RY158">
        <v>4</v>
      </c>
      <c r="RZ158" t="s">
        <v>1476</v>
      </c>
      <c r="SA158">
        <v>15</v>
      </c>
      <c r="SC158" t="s">
        <v>2340</v>
      </c>
      <c r="SD158">
        <v>1</v>
      </c>
      <c r="SH158">
        <v>0.995</v>
      </c>
      <c r="SI158">
        <v>0.995</v>
      </c>
      <c r="SJ158">
        <v>0.995</v>
      </c>
      <c r="SK158">
        <v>15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1</v>
      </c>
      <c r="TB158">
        <v>0</v>
      </c>
      <c r="TC158">
        <v>0</v>
      </c>
      <c r="TD158">
        <v>7.5</v>
      </c>
      <c r="TE158" t="s">
        <v>553</v>
      </c>
      <c r="TF158" t="s">
        <v>754</v>
      </c>
      <c r="TG158" t="s">
        <v>555</v>
      </c>
      <c r="TI158" t="s">
        <v>546</v>
      </c>
      <c r="TJ158" t="s">
        <v>547</v>
      </c>
      <c r="TL158" t="s">
        <v>2341</v>
      </c>
      <c r="TM158" t="s">
        <v>513</v>
      </c>
      <c r="TN158">
        <v>0</v>
      </c>
      <c r="TO158" t="s">
        <v>557</v>
      </c>
    </row>
    <row r="159" spans="1:535">
      <c r="A159" t="s">
        <v>2342</v>
      </c>
      <c r="B159" t="s">
        <v>729</v>
      </c>
      <c r="C159" t="s">
        <v>509</v>
      </c>
      <c r="D159" t="s">
        <v>2343</v>
      </c>
      <c r="G159" t="s">
        <v>605</v>
      </c>
      <c r="H159" t="s">
        <v>604</v>
      </c>
      <c r="I159" t="s">
        <v>628</v>
      </c>
      <c r="J159" t="s">
        <v>606</v>
      </c>
      <c r="L159" t="s">
        <v>512</v>
      </c>
      <c r="M159" t="s">
        <v>897</v>
      </c>
      <c r="N159" t="s">
        <v>513</v>
      </c>
      <c r="O159" t="s">
        <v>607</v>
      </c>
      <c r="Q159" t="s">
        <v>2344</v>
      </c>
      <c r="R159" t="s">
        <v>517</v>
      </c>
      <c r="S159" t="s">
        <v>1553</v>
      </c>
      <c r="T159" t="s">
        <v>1554</v>
      </c>
      <c r="U159" t="s">
        <v>1482</v>
      </c>
      <c r="V159" t="s">
        <v>1483</v>
      </c>
      <c r="W159" t="s">
        <v>2335</v>
      </c>
      <c r="X159" t="s">
        <v>2336</v>
      </c>
      <c r="Y159" t="s">
        <v>524</v>
      </c>
      <c r="Z159" t="s">
        <v>2345</v>
      </c>
      <c r="AA159" t="s">
        <v>2346</v>
      </c>
      <c r="AB159" t="s">
        <v>2347</v>
      </c>
      <c r="AC159">
        <v>2</v>
      </c>
      <c r="AD159">
        <v>57</v>
      </c>
      <c r="AE159">
        <v>156</v>
      </c>
      <c r="AF159">
        <v>1.5</v>
      </c>
      <c r="AH159">
        <v>0</v>
      </c>
      <c r="AI159" t="s">
        <v>1559</v>
      </c>
      <c r="AJ159">
        <v>167.5</v>
      </c>
      <c r="AK159">
        <v>1</v>
      </c>
      <c r="AL159">
        <v>1.5</v>
      </c>
      <c r="AM159" t="s">
        <v>529</v>
      </c>
      <c r="AO159">
        <v>0</v>
      </c>
      <c r="AR159">
        <v>0</v>
      </c>
      <c r="AS159">
        <v>1.5</v>
      </c>
      <c r="AU159" t="s">
        <v>2348</v>
      </c>
      <c r="AW159" t="s">
        <v>2348</v>
      </c>
      <c r="AX159">
        <v>1</v>
      </c>
      <c r="AY159">
        <v>240</v>
      </c>
      <c r="AZ159">
        <v>1.5</v>
      </c>
      <c r="BA159" t="s">
        <v>529</v>
      </c>
      <c r="BG159">
        <v>1.5</v>
      </c>
      <c r="BJ159">
        <v>0</v>
      </c>
      <c r="BN159">
        <v>1.5</v>
      </c>
      <c r="BP159" t="s">
        <v>2349</v>
      </c>
      <c r="BQ159">
        <v>84</v>
      </c>
      <c r="BR159">
        <v>2</v>
      </c>
      <c r="BS159" t="s">
        <v>1490</v>
      </c>
      <c r="BT159">
        <v>178</v>
      </c>
      <c r="BU159">
        <v>0.5</v>
      </c>
      <c r="BV159" t="s">
        <v>1490</v>
      </c>
      <c r="BW159">
        <v>356</v>
      </c>
      <c r="BX159">
        <v>1</v>
      </c>
      <c r="BY159" t="s">
        <v>1491</v>
      </c>
      <c r="BZ159">
        <v>300</v>
      </c>
      <c r="CA159">
        <v>500</v>
      </c>
      <c r="CB159" t="s">
        <v>1492</v>
      </c>
      <c r="CC159" t="s">
        <v>1492</v>
      </c>
      <c r="CD159">
        <v>380</v>
      </c>
      <c r="CE159" t="s">
        <v>1493</v>
      </c>
      <c r="CF159">
        <v>15</v>
      </c>
      <c r="CG159" t="s">
        <v>1494</v>
      </c>
      <c r="CH159" t="s">
        <v>1494</v>
      </c>
      <c r="CI159">
        <v>100</v>
      </c>
      <c r="CJ159">
        <v>1122</v>
      </c>
      <c r="CK159">
        <v>2</v>
      </c>
      <c r="CL159">
        <v>1222</v>
      </c>
      <c r="CM159">
        <v>2</v>
      </c>
      <c r="CN159" t="s">
        <v>1495</v>
      </c>
      <c r="CO159" t="s">
        <v>1473</v>
      </c>
      <c r="CP159" t="s">
        <v>1474</v>
      </c>
      <c r="CQ159" t="s">
        <v>540</v>
      </c>
      <c r="CR159" t="s">
        <v>541</v>
      </c>
      <c r="CS159" t="s">
        <v>542</v>
      </c>
      <c r="CT159">
        <v>335</v>
      </c>
      <c r="CU159">
        <v>5</v>
      </c>
      <c r="CV159">
        <v>1.2</v>
      </c>
      <c r="CW159">
        <v>1136</v>
      </c>
      <c r="CX159">
        <v>538</v>
      </c>
      <c r="DD159">
        <v>0</v>
      </c>
      <c r="DE159" t="s">
        <v>543</v>
      </c>
      <c r="DF159">
        <v>480</v>
      </c>
      <c r="DG159">
        <v>3</v>
      </c>
      <c r="DH159">
        <v>1.18</v>
      </c>
      <c r="DI159">
        <v>1134</v>
      </c>
      <c r="DJ159">
        <v>837</v>
      </c>
      <c r="DW159" t="s">
        <v>544</v>
      </c>
      <c r="DX159">
        <v>7.5</v>
      </c>
      <c r="EA159">
        <v>1202.7</v>
      </c>
      <c r="EB159">
        <v>157</v>
      </c>
      <c r="EC159" t="s">
        <v>545</v>
      </c>
      <c r="ED159">
        <v>40</v>
      </c>
      <c r="EE159">
        <v>3</v>
      </c>
      <c r="EG159">
        <v>1233</v>
      </c>
      <c r="EH159">
        <v>239</v>
      </c>
      <c r="EJ159">
        <v>0</v>
      </c>
      <c r="EK159">
        <v>1</v>
      </c>
      <c r="EN159">
        <v>0</v>
      </c>
      <c r="EP159" t="s">
        <v>546</v>
      </c>
      <c r="EQ159">
        <v>95</v>
      </c>
      <c r="ER159">
        <v>3</v>
      </c>
      <c r="ES159">
        <v>5.3</v>
      </c>
      <c r="ET159">
        <v>1119</v>
      </c>
      <c r="EU159">
        <v>384.1</v>
      </c>
      <c r="EV159">
        <v>430</v>
      </c>
      <c r="EW159" t="s">
        <v>547</v>
      </c>
      <c r="EX159">
        <v>65</v>
      </c>
      <c r="EY159">
        <v>2</v>
      </c>
      <c r="EZ159">
        <v>3.5</v>
      </c>
      <c r="FA159">
        <v>1119</v>
      </c>
      <c r="FB159">
        <v>151.9</v>
      </c>
      <c r="FC159">
        <v>170</v>
      </c>
      <c r="FE159">
        <v>0</v>
      </c>
      <c r="FF159">
        <v>2</v>
      </c>
      <c r="FI159">
        <v>0</v>
      </c>
      <c r="FK159" t="s">
        <v>548</v>
      </c>
      <c r="FL159">
        <v>0.4</v>
      </c>
      <c r="FM159">
        <v>70</v>
      </c>
      <c r="FN159">
        <v>110</v>
      </c>
      <c r="FR159" t="s">
        <v>548</v>
      </c>
      <c r="FS159">
        <v>0.4</v>
      </c>
      <c r="FT159">
        <v>30</v>
      </c>
      <c r="FU159">
        <v>320</v>
      </c>
      <c r="HC159">
        <v>0.1</v>
      </c>
      <c r="HD159">
        <v>3</v>
      </c>
      <c r="HE159">
        <v>3</v>
      </c>
      <c r="HF159">
        <v>3</v>
      </c>
      <c r="HG159">
        <v>3</v>
      </c>
      <c r="HH159">
        <v>3</v>
      </c>
      <c r="HI159">
        <v>145</v>
      </c>
      <c r="HJ159">
        <v>3</v>
      </c>
      <c r="HK159">
        <v>50</v>
      </c>
      <c r="HL159">
        <v>2</v>
      </c>
      <c r="HM159">
        <v>0</v>
      </c>
      <c r="HN159">
        <v>2</v>
      </c>
      <c r="HO159">
        <v>80</v>
      </c>
      <c r="HP159">
        <v>3</v>
      </c>
      <c r="HQ159">
        <v>0</v>
      </c>
      <c r="HR159">
        <v>2</v>
      </c>
      <c r="HS159">
        <v>3367</v>
      </c>
      <c r="HT159">
        <v>100</v>
      </c>
      <c r="HU159">
        <v>180</v>
      </c>
      <c r="HW159">
        <v>0</v>
      </c>
      <c r="HX159">
        <v>464</v>
      </c>
      <c r="HY159">
        <v>0.18</v>
      </c>
      <c r="IA159">
        <v>0.15</v>
      </c>
      <c r="IB159">
        <v>0</v>
      </c>
      <c r="IC159">
        <v>180</v>
      </c>
      <c r="ID159">
        <v>110</v>
      </c>
      <c r="IE159">
        <v>0</v>
      </c>
      <c r="IF159">
        <v>0</v>
      </c>
      <c r="IH159" t="s">
        <v>549</v>
      </c>
      <c r="IO159">
        <v>1</v>
      </c>
      <c r="IP159">
        <v>15</v>
      </c>
      <c r="IQ159">
        <v>0</v>
      </c>
      <c r="IR159">
        <v>1</v>
      </c>
      <c r="IV159">
        <v>1122</v>
      </c>
      <c r="IW159">
        <v>356</v>
      </c>
      <c r="JA159">
        <v>1</v>
      </c>
      <c r="JB159">
        <v>0</v>
      </c>
      <c r="JC159">
        <v>2</v>
      </c>
      <c r="JD159">
        <v>1136</v>
      </c>
      <c r="JE159">
        <v>1134</v>
      </c>
      <c r="JF159">
        <v>0</v>
      </c>
      <c r="JG159">
        <v>1119</v>
      </c>
      <c r="JH159">
        <v>0</v>
      </c>
      <c r="JJ159">
        <v>180</v>
      </c>
      <c r="JK159">
        <v>464</v>
      </c>
      <c r="JN159">
        <v>335</v>
      </c>
      <c r="JO159">
        <v>480</v>
      </c>
      <c r="JP159">
        <v>0</v>
      </c>
      <c r="JQ159">
        <v>0</v>
      </c>
      <c r="JR159">
        <v>312</v>
      </c>
      <c r="JS159">
        <v>145</v>
      </c>
      <c r="JV159">
        <v>8</v>
      </c>
      <c r="JW159" t="s">
        <v>550</v>
      </c>
      <c r="JX159">
        <v>0</v>
      </c>
      <c r="KA159">
        <v>0</v>
      </c>
      <c r="KB159">
        <v>110</v>
      </c>
      <c r="KC159">
        <v>0</v>
      </c>
      <c r="KD159">
        <v>80</v>
      </c>
      <c r="KF159">
        <v>4</v>
      </c>
      <c r="KG159">
        <v>2</v>
      </c>
      <c r="KH159">
        <v>2</v>
      </c>
      <c r="KI159">
        <v>2</v>
      </c>
      <c r="KJ159">
        <v>0</v>
      </c>
      <c r="KK159">
        <v>1.5</v>
      </c>
      <c r="KL159">
        <v>1.5</v>
      </c>
      <c r="KM159">
        <v>0</v>
      </c>
      <c r="KN159">
        <v>0</v>
      </c>
      <c r="KO159">
        <v>0</v>
      </c>
      <c r="KR159">
        <v>30</v>
      </c>
      <c r="KS159">
        <v>60</v>
      </c>
      <c r="KT159">
        <v>0</v>
      </c>
      <c r="LK159">
        <v>480</v>
      </c>
      <c r="LX159">
        <v>0</v>
      </c>
      <c r="LY159">
        <v>0</v>
      </c>
      <c r="PG159">
        <v>1</v>
      </c>
      <c r="PI159" t="s">
        <v>2347</v>
      </c>
      <c r="PJ159" t="s">
        <v>2348</v>
      </c>
      <c r="PL159" t="s">
        <v>1559</v>
      </c>
      <c r="PP159" t="s">
        <v>2349</v>
      </c>
      <c r="PX159">
        <v>56</v>
      </c>
      <c r="PY159">
        <v>57</v>
      </c>
      <c r="PZ159" t="s">
        <v>2347</v>
      </c>
      <c r="QA159">
        <v>1</v>
      </c>
      <c r="QB159">
        <v>1119</v>
      </c>
      <c r="QC159">
        <v>69</v>
      </c>
      <c r="QD159">
        <v>69</v>
      </c>
      <c r="QE159" t="s">
        <v>1559</v>
      </c>
      <c r="QF159">
        <v>1</v>
      </c>
      <c r="QG159">
        <v>1136</v>
      </c>
      <c r="QH159">
        <v>66</v>
      </c>
      <c r="QI159">
        <v>66</v>
      </c>
      <c r="QL159">
        <v>0</v>
      </c>
      <c r="QM159">
        <v>62</v>
      </c>
      <c r="QN159">
        <v>62</v>
      </c>
      <c r="QO159" t="s">
        <v>2348</v>
      </c>
      <c r="QP159">
        <v>1</v>
      </c>
      <c r="QQ159">
        <v>1134</v>
      </c>
      <c r="QW159">
        <v>82</v>
      </c>
      <c r="QX159">
        <v>84</v>
      </c>
      <c r="QY159" t="s">
        <v>2349</v>
      </c>
      <c r="QZ159">
        <v>3</v>
      </c>
      <c r="RA159">
        <v>66</v>
      </c>
      <c r="RB159">
        <v>66</v>
      </c>
      <c r="RE159">
        <v>0</v>
      </c>
      <c r="RF159">
        <v>1</v>
      </c>
      <c r="RJ159">
        <v>2</v>
      </c>
      <c r="RL159">
        <v>2</v>
      </c>
      <c r="RO159">
        <v>474</v>
      </c>
      <c r="RQ159">
        <v>738</v>
      </c>
      <c r="RT159">
        <v>157</v>
      </c>
      <c r="RU159">
        <v>239</v>
      </c>
      <c r="RV159" t="s">
        <v>1497</v>
      </c>
      <c r="RW159" t="s">
        <v>1498</v>
      </c>
      <c r="RX159">
        <v>15</v>
      </c>
      <c r="RY159">
        <v>4</v>
      </c>
      <c r="RZ159" t="s">
        <v>1498</v>
      </c>
      <c r="SA159">
        <v>15</v>
      </c>
      <c r="SC159" t="s">
        <v>2348</v>
      </c>
      <c r="SD159">
        <v>1</v>
      </c>
      <c r="SH159">
        <v>0.995</v>
      </c>
      <c r="SI159">
        <v>0.995</v>
      </c>
      <c r="SJ159">
        <v>0.995</v>
      </c>
      <c r="SK159">
        <v>15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TB159">
        <v>0</v>
      </c>
      <c r="TC159">
        <v>0</v>
      </c>
      <c r="TD159">
        <v>7.5</v>
      </c>
      <c r="TE159" t="s">
        <v>553</v>
      </c>
      <c r="TF159" t="s">
        <v>754</v>
      </c>
      <c r="TG159" t="s">
        <v>555</v>
      </c>
      <c r="TI159" t="s">
        <v>546</v>
      </c>
      <c r="TJ159" t="s">
        <v>547</v>
      </c>
      <c r="TL159" t="s">
        <v>2341</v>
      </c>
      <c r="TM159" t="s">
        <v>513</v>
      </c>
      <c r="TN159">
        <v>0</v>
      </c>
      <c r="TO159" t="s">
        <v>557</v>
      </c>
    </row>
    <row r="160" spans="1:535">
      <c r="A160" t="s">
        <v>2350</v>
      </c>
      <c r="B160" t="s">
        <v>2351</v>
      </c>
      <c r="C160" t="s">
        <v>509</v>
      </c>
      <c r="D160" t="s">
        <v>2307</v>
      </c>
      <c r="G160" t="s">
        <v>604</v>
      </c>
      <c r="H160" t="s">
        <v>605</v>
      </c>
      <c r="I160" t="s">
        <v>628</v>
      </c>
      <c r="J160" t="s">
        <v>606</v>
      </c>
      <c r="L160" t="s">
        <v>512</v>
      </c>
      <c r="M160" t="s">
        <v>2352</v>
      </c>
      <c r="N160" t="s">
        <v>513</v>
      </c>
      <c r="O160" t="s">
        <v>607</v>
      </c>
      <c r="Q160" t="s">
        <v>2353</v>
      </c>
      <c r="R160" t="s">
        <v>517</v>
      </c>
      <c r="S160" t="s">
        <v>806</v>
      </c>
      <c r="T160" t="s">
        <v>807</v>
      </c>
      <c r="U160" t="s">
        <v>520</v>
      </c>
      <c r="V160" t="s">
        <v>521</v>
      </c>
      <c r="W160" t="s">
        <v>2354</v>
      </c>
      <c r="X160" t="s">
        <v>2336</v>
      </c>
      <c r="Y160" t="s">
        <v>574</v>
      </c>
      <c r="Z160" t="s">
        <v>2355</v>
      </c>
      <c r="AA160" t="s">
        <v>2356</v>
      </c>
      <c r="AB160" t="s">
        <v>2357</v>
      </c>
      <c r="AC160">
        <v>2</v>
      </c>
      <c r="AD160">
        <v>57</v>
      </c>
      <c r="AE160">
        <v>197</v>
      </c>
      <c r="AF160">
        <v>1.5</v>
      </c>
      <c r="AH160">
        <v>0</v>
      </c>
      <c r="AI160" t="s">
        <v>1179</v>
      </c>
      <c r="AJ160">
        <v>207.5</v>
      </c>
      <c r="AK160">
        <v>1</v>
      </c>
      <c r="AL160">
        <v>1.5</v>
      </c>
      <c r="AM160" t="s">
        <v>529</v>
      </c>
      <c r="AO160">
        <v>0</v>
      </c>
      <c r="AR160">
        <v>0</v>
      </c>
      <c r="AS160">
        <v>1.5</v>
      </c>
      <c r="AU160" t="s">
        <v>2358</v>
      </c>
      <c r="AW160" t="s">
        <v>2358</v>
      </c>
      <c r="AX160">
        <v>1</v>
      </c>
      <c r="AY160">
        <v>367.5</v>
      </c>
      <c r="AZ160">
        <v>1.5</v>
      </c>
      <c r="BA160" t="s">
        <v>529</v>
      </c>
      <c r="BG160">
        <v>1.5</v>
      </c>
      <c r="BJ160">
        <v>0</v>
      </c>
      <c r="BN160">
        <v>1.5</v>
      </c>
      <c r="BP160" t="s">
        <v>2359</v>
      </c>
      <c r="BQ160">
        <v>88</v>
      </c>
      <c r="BR160">
        <v>2</v>
      </c>
      <c r="BS160" t="s">
        <v>1919</v>
      </c>
      <c r="BT160">
        <v>219</v>
      </c>
      <c r="BU160">
        <v>0.5</v>
      </c>
      <c r="BV160" t="s">
        <v>1919</v>
      </c>
      <c r="BW160">
        <v>438</v>
      </c>
      <c r="BX160">
        <v>1</v>
      </c>
      <c r="BY160" t="s">
        <v>533</v>
      </c>
      <c r="BZ160">
        <v>470</v>
      </c>
      <c r="CA160">
        <v>570</v>
      </c>
      <c r="CB160" t="s">
        <v>534</v>
      </c>
      <c r="CC160" t="s">
        <v>534</v>
      </c>
      <c r="CD160">
        <v>456</v>
      </c>
      <c r="CE160" t="s">
        <v>535</v>
      </c>
      <c r="CF160">
        <v>15</v>
      </c>
      <c r="CG160" t="s">
        <v>1577</v>
      </c>
      <c r="CH160" t="s">
        <v>1577</v>
      </c>
      <c r="CI160">
        <v>50</v>
      </c>
      <c r="CJ160">
        <v>1200</v>
      </c>
      <c r="CK160">
        <v>2</v>
      </c>
      <c r="CL160">
        <v>1301</v>
      </c>
      <c r="CM160">
        <v>2</v>
      </c>
      <c r="CN160" t="s">
        <v>537</v>
      </c>
      <c r="CO160" t="s">
        <v>538</v>
      </c>
      <c r="CP160" t="s">
        <v>539</v>
      </c>
      <c r="CQ160" t="s">
        <v>1496</v>
      </c>
      <c r="CR160" t="s">
        <v>541</v>
      </c>
      <c r="CS160" t="s">
        <v>542</v>
      </c>
      <c r="CT160">
        <v>415</v>
      </c>
      <c r="CU160">
        <v>5</v>
      </c>
      <c r="CV160">
        <v>1.2</v>
      </c>
      <c r="CW160">
        <v>1213</v>
      </c>
      <c r="CX160">
        <v>712</v>
      </c>
      <c r="DD160">
        <v>0</v>
      </c>
      <c r="DE160" t="s">
        <v>543</v>
      </c>
      <c r="DF160">
        <v>735</v>
      </c>
      <c r="DG160">
        <v>3</v>
      </c>
      <c r="DH160">
        <v>1.18</v>
      </c>
      <c r="DI160">
        <v>1211</v>
      </c>
      <c r="DJ160">
        <v>1330</v>
      </c>
      <c r="DW160" t="s">
        <v>544</v>
      </c>
      <c r="DX160">
        <v>7.5</v>
      </c>
      <c r="EA160">
        <v>1282.5</v>
      </c>
      <c r="EB160">
        <v>227</v>
      </c>
      <c r="EC160" t="s">
        <v>545</v>
      </c>
      <c r="ED160">
        <v>40</v>
      </c>
      <c r="EE160">
        <v>3</v>
      </c>
      <c r="EG160">
        <v>1323</v>
      </c>
      <c r="EH160">
        <v>212</v>
      </c>
      <c r="EJ160">
        <v>0</v>
      </c>
      <c r="EK160">
        <v>1</v>
      </c>
      <c r="EN160">
        <v>0</v>
      </c>
      <c r="EP160" t="s">
        <v>546</v>
      </c>
      <c r="EQ160">
        <v>115</v>
      </c>
      <c r="ER160">
        <v>3</v>
      </c>
      <c r="ES160">
        <v>7</v>
      </c>
      <c r="ET160">
        <v>1207</v>
      </c>
      <c r="EU160">
        <v>559.5</v>
      </c>
      <c r="EV160">
        <v>675</v>
      </c>
      <c r="EW160" t="s">
        <v>547</v>
      </c>
      <c r="EX160">
        <v>70</v>
      </c>
      <c r="EY160">
        <v>2</v>
      </c>
      <c r="EZ160">
        <v>4</v>
      </c>
      <c r="FA160">
        <v>1207</v>
      </c>
      <c r="FB160">
        <v>187.6</v>
      </c>
      <c r="FC160">
        <v>226</v>
      </c>
      <c r="FE160">
        <v>0</v>
      </c>
      <c r="FF160">
        <v>2</v>
      </c>
      <c r="FI160">
        <v>0</v>
      </c>
      <c r="FK160" t="s">
        <v>548</v>
      </c>
      <c r="FL160">
        <v>0.4</v>
      </c>
      <c r="FM160">
        <v>85</v>
      </c>
      <c r="FN160">
        <v>120</v>
      </c>
      <c r="FR160" t="s">
        <v>548</v>
      </c>
      <c r="FS160">
        <v>0.4</v>
      </c>
      <c r="FT160">
        <v>30</v>
      </c>
      <c r="FU160">
        <v>400</v>
      </c>
      <c r="HC160">
        <v>0.1</v>
      </c>
      <c r="HD160">
        <v>3</v>
      </c>
      <c r="HE160">
        <v>3</v>
      </c>
      <c r="HF160">
        <v>3</v>
      </c>
      <c r="HG160">
        <v>3</v>
      </c>
      <c r="HH160">
        <v>3</v>
      </c>
      <c r="HI160">
        <v>170</v>
      </c>
      <c r="HJ160">
        <v>3</v>
      </c>
      <c r="HK160">
        <v>55</v>
      </c>
      <c r="HL160">
        <v>2</v>
      </c>
      <c r="HM160">
        <v>0</v>
      </c>
      <c r="HN160">
        <v>2</v>
      </c>
      <c r="HO160">
        <v>100</v>
      </c>
      <c r="HP160">
        <v>3</v>
      </c>
      <c r="HQ160">
        <v>0</v>
      </c>
      <c r="HR160">
        <v>2</v>
      </c>
      <c r="HS160">
        <v>4722</v>
      </c>
      <c r="HT160">
        <v>140</v>
      </c>
      <c r="HU160">
        <v>180</v>
      </c>
      <c r="HW160">
        <v>20</v>
      </c>
      <c r="HX160">
        <v>516</v>
      </c>
      <c r="HY160">
        <v>0.18</v>
      </c>
      <c r="IA160">
        <v>0.15</v>
      </c>
      <c r="IB160">
        <v>0</v>
      </c>
      <c r="IC160">
        <v>180</v>
      </c>
      <c r="ID160">
        <v>110</v>
      </c>
      <c r="IE160">
        <v>0</v>
      </c>
      <c r="IF160">
        <v>0</v>
      </c>
      <c r="IH160" t="s">
        <v>549</v>
      </c>
      <c r="IO160">
        <v>1</v>
      </c>
      <c r="IP160">
        <v>16</v>
      </c>
      <c r="IQ160">
        <v>0</v>
      </c>
      <c r="IR160">
        <v>1</v>
      </c>
      <c r="IV160">
        <v>1200</v>
      </c>
      <c r="IW160">
        <v>438</v>
      </c>
      <c r="JA160">
        <v>1</v>
      </c>
      <c r="JB160">
        <v>0</v>
      </c>
      <c r="JC160">
        <v>2</v>
      </c>
      <c r="JD160">
        <v>1213</v>
      </c>
      <c r="JE160">
        <v>1211</v>
      </c>
      <c r="JF160">
        <v>0</v>
      </c>
      <c r="JG160">
        <v>1207</v>
      </c>
      <c r="JH160">
        <v>0</v>
      </c>
      <c r="JJ160">
        <v>180</v>
      </c>
      <c r="JK160">
        <v>516</v>
      </c>
      <c r="JN160">
        <v>415</v>
      </c>
      <c r="JO160">
        <v>735</v>
      </c>
      <c r="JP160">
        <v>0</v>
      </c>
      <c r="JQ160">
        <v>0</v>
      </c>
      <c r="JR160">
        <v>394</v>
      </c>
      <c r="JS160">
        <v>170</v>
      </c>
      <c r="JV160">
        <v>8</v>
      </c>
      <c r="JW160" t="s">
        <v>550</v>
      </c>
      <c r="JX160">
        <v>0</v>
      </c>
      <c r="KA160">
        <v>0</v>
      </c>
      <c r="KB160">
        <v>110</v>
      </c>
      <c r="KC160">
        <v>0</v>
      </c>
      <c r="KD160">
        <v>80</v>
      </c>
      <c r="KF160">
        <v>4</v>
      </c>
      <c r="KG160">
        <v>2</v>
      </c>
      <c r="KH160">
        <v>2</v>
      </c>
      <c r="KI160">
        <v>2</v>
      </c>
      <c r="KJ160">
        <v>0</v>
      </c>
      <c r="KK160">
        <v>1.5</v>
      </c>
      <c r="KL160">
        <v>1.5</v>
      </c>
      <c r="KM160">
        <v>0</v>
      </c>
      <c r="KN160">
        <v>0</v>
      </c>
      <c r="KO160">
        <v>0</v>
      </c>
      <c r="KR160">
        <v>30</v>
      </c>
      <c r="KS160">
        <v>60</v>
      </c>
      <c r="KT160">
        <v>0</v>
      </c>
      <c r="LK160">
        <v>480</v>
      </c>
      <c r="LX160">
        <v>380</v>
      </c>
      <c r="PG160">
        <v>1</v>
      </c>
      <c r="PI160" t="s">
        <v>2357</v>
      </c>
      <c r="PJ160" t="s">
        <v>2358</v>
      </c>
      <c r="PL160" t="s">
        <v>1179</v>
      </c>
      <c r="PP160" t="s">
        <v>2359</v>
      </c>
      <c r="PX160">
        <v>56</v>
      </c>
      <c r="PY160">
        <v>57</v>
      </c>
      <c r="PZ160" t="s">
        <v>2357</v>
      </c>
      <c r="QA160">
        <v>1</v>
      </c>
      <c r="QB160">
        <v>1207</v>
      </c>
      <c r="QC160">
        <v>69</v>
      </c>
      <c r="QD160">
        <v>69</v>
      </c>
      <c r="QE160" t="s">
        <v>1179</v>
      </c>
      <c r="QF160">
        <v>1</v>
      </c>
      <c r="QG160">
        <v>1213</v>
      </c>
      <c r="QH160">
        <v>66</v>
      </c>
      <c r="QI160">
        <v>66</v>
      </c>
      <c r="QL160">
        <v>0</v>
      </c>
      <c r="QM160">
        <v>62</v>
      </c>
      <c r="QN160">
        <v>62</v>
      </c>
      <c r="QO160" t="s">
        <v>2358</v>
      </c>
      <c r="QP160">
        <v>1</v>
      </c>
      <c r="QQ160">
        <v>1211</v>
      </c>
      <c r="QW160">
        <v>82</v>
      </c>
      <c r="QX160">
        <v>88</v>
      </c>
      <c r="QY160" t="s">
        <v>2359</v>
      </c>
      <c r="QZ160">
        <v>1</v>
      </c>
      <c r="RA160">
        <v>66</v>
      </c>
      <c r="RB160">
        <v>66</v>
      </c>
      <c r="RE160">
        <v>0</v>
      </c>
      <c r="RF160">
        <v>1</v>
      </c>
      <c r="RJ160">
        <v>1</v>
      </c>
      <c r="RL160">
        <v>2</v>
      </c>
      <c r="RO160">
        <v>587</v>
      </c>
      <c r="RQ160">
        <v>1098</v>
      </c>
      <c r="RT160">
        <v>227</v>
      </c>
      <c r="RU160">
        <v>212</v>
      </c>
      <c r="RV160" t="s">
        <v>1920</v>
      </c>
      <c r="RW160" t="s">
        <v>552</v>
      </c>
      <c r="RX160">
        <v>15</v>
      </c>
      <c r="RY160">
        <v>4</v>
      </c>
      <c r="RZ160" t="s">
        <v>552</v>
      </c>
      <c r="SA160">
        <v>15</v>
      </c>
      <c r="SC160" t="s">
        <v>2358</v>
      </c>
      <c r="SD160">
        <v>1</v>
      </c>
      <c r="SH160">
        <v>0.995</v>
      </c>
      <c r="SI160">
        <v>0.995</v>
      </c>
      <c r="SJ160">
        <v>0.995</v>
      </c>
      <c r="SK160">
        <v>15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TB160">
        <v>0</v>
      </c>
      <c r="TC160">
        <v>0</v>
      </c>
      <c r="TD160">
        <v>7.5</v>
      </c>
      <c r="TE160" t="s">
        <v>553</v>
      </c>
      <c r="TF160" t="s">
        <v>624</v>
      </c>
      <c r="TG160" t="s">
        <v>555</v>
      </c>
      <c r="TI160" t="s">
        <v>546</v>
      </c>
      <c r="TJ160" t="s">
        <v>547</v>
      </c>
      <c r="TL160" t="s">
        <v>2341</v>
      </c>
      <c r="TM160" t="s">
        <v>513</v>
      </c>
      <c r="TN160">
        <v>0</v>
      </c>
      <c r="TO160" t="s">
        <v>557</v>
      </c>
    </row>
    <row r="161" spans="1:535">
      <c r="A161" t="s">
        <v>2360</v>
      </c>
      <c r="B161" t="s">
        <v>727</v>
      </c>
      <c r="C161" t="s">
        <v>509</v>
      </c>
      <c r="D161" t="s">
        <v>2361</v>
      </c>
      <c r="G161" t="s">
        <v>604</v>
      </c>
      <c r="H161" t="s">
        <v>605</v>
      </c>
      <c r="I161" t="s">
        <v>628</v>
      </c>
      <c r="J161" t="s">
        <v>606</v>
      </c>
      <c r="L161" t="s">
        <v>512</v>
      </c>
      <c r="M161" t="s">
        <v>729</v>
      </c>
      <c r="N161" t="s">
        <v>513</v>
      </c>
      <c r="O161" t="s">
        <v>607</v>
      </c>
      <c r="Q161" t="s">
        <v>2362</v>
      </c>
      <c r="R161" t="s">
        <v>517</v>
      </c>
      <c r="S161" t="s">
        <v>879</v>
      </c>
      <c r="T161" t="s">
        <v>880</v>
      </c>
      <c r="U161" t="s">
        <v>633</v>
      </c>
      <c r="V161" t="s">
        <v>634</v>
      </c>
      <c r="W161" t="s">
        <v>2363</v>
      </c>
      <c r="X161" t="s">
        <v>2336</v>
      </c>
      <c r="Y161" t="s">
        <v>524</v>
      </c>
      <c r="Z161" t="s">
        <v>2364</v>
      </c>
      <c r="AA161" t="s">
        <v>2365</v>
      </c>
      <c r="AB161" t="s">
        <v>2366</v>
      </c>
      <c r="AC161">
        <v>2</v>
      </c>
      <c r="AD161">
        <v>57</v>
      </c>
      <c r="AE161">
        <v>199</v>
      </c>
      <c r="AF161">
        <v>1.5</v>
      </c>
      <c r="AH161">
        <v>0</v>
      </c>
      <c r="AI161" t="s">
        <v>1246</v>
      </c>
      <c r="AJ161">
        <v>210</v>
      </c>
      <c r="AK161">
        <v>1</v>
      </c>
      <c r="AL161">
        <v>1.5</v>
      </c>
      <c r="AM161" t="s">
        <v>529</v>
      </c>
      <c r="AO161">
        <v>0</v>
      </c>
      <c r="AR161">
        <v>0</v>
      </c>
      <c r="AS161">
        <v>1.5</v>
      </c>
      <c r="AU161" t="s">
        <v>2367</v>
      </c>
      <c r="AW161" t="s">
        <v>2367</v>
      </c>
      <c r="AX161">
        <v>1</v>
      </c>
      <c r="AY161">
        <v>310</v>
      </c>
      <c r="AZ161">
        <v>1.5</v>
      </c>
      <c r="BA161" t="s">
        <v>529</v>
      </c>
      <c r="BB161" t="s">
        <v>2368</v>
      </c>
      <c r="BD161" t="s">
        <v>2368</v>
      </c>
      <c r="BE161">
        <v>1</v>
      </c>
      <c r="BF161">
        <v>297.5</v>
      </c>
      <c r="BG161">
        <v>1.5</v>
      </c>
      <c r="BJ161">
        <v>0</v>
      </c>
      <c r="BN161">
        <v>1.5</v>
      </c>
      <c r="BP161" t="s">
        <v>1110</v>
      </c>
      <c r="BQ161">
        <v>89</v>
      </c>
      <c r="BR161">
        <v>2</v>
      </c>
      <c r="BS161" t="s">
        <v>1111</v>
      </c>
      <c r="BT161">
        <v>221</v>
      </c>
      <c r="BU161">
        <v>0.5</v>
      </c>
      <c r="BV161" t="s">
        <v>1111</v>
      </c>
      <c r="BW161">
        <v>442</v>
      </c>
      <c r="BX161">
        <v>1</v>
      </c>
      <c r="BY161" t="s">
        <v>643</v>
      </c>
      <c r="BZ161">
        <v>300</v>
      </c>
      <c r="CA161">
        <v>500</v>
      </c>
      <c r="CB161" t="s">
        <v>644</v>
      </c>
      <c r="CC161" t="s">
        <v>644</v>
      </c>
      <c r="CD161">
        <v>462</v>
      </c>
      <c r="CE161" t="s">
        <v>544</v>
      </c>
      <c r="CF161">
        <v>15</v>
      </c>
      <c r="CG161" t="s">
        <v>1183</v>
      </c>
      <c r="CH161" t="s">
        <v>1183</v>
      </c>
      <c r="CI161">
        <v>100</v>
      </c>
      <c r="CJ161">
        <v>1301</v>
      </c>
      <c r="CK161">
        <v>2</v>
      </c>
      <c r="CL161">
        <v>1395</v>
      </c>
      <c r="CM161">
        <v>2</v>
      </c>
      <c r="CN161" t="s">
        <v>646</v>
      </c>
      <c r="CO161" t="s">
        <v>647</v>
      </c>
      <c r="CP161" t="s">
        <v>648</v>
      </c>
      <c r="CQ161" t="s">
        <v>892</v>
      </c>
      <c r="CR161" t="s">
        <v>541</v>
      </c>
      <c r="CS161" t="s">
        <v>542</v>
      </c>
      <c r="CT161">
        <v>420</v>
      </c>
      <c r="CU161">
        <v>5</v>
      </c>
      <c r="CV161">
        <v>1.2</v>
      </c>
      <c r="CW161">
        <v>1314</v>
      </c>
      <c r="CX161">
        <v>782</v>
      </c>
      <c r="DD161">
        <v>0</v>
      </c>
      <c r="DE161" t="s">
        <v>543</v>
      </c>
      <c r="DF161">
        <v>620</v>
      </c>
      <c r="DG161">
        <v>3</v>
      </c>
      <c r="DH161">
        <v>1.18</v>
      </c>
      <c r="DI161">
        <v>1312</v>
      </c>
      <c r="DJ161">
        <v>1246</v>
      </c>
      <c r="DK161" t="s">
        <v>543</v>
      </c>
      <c r="DL161">
        <v>595</v>
      </c>
      <c r="DM161">
        <v>3</v>
      </c>
      <c r="DN161">
        <v>1.18</v>
      </c>
      <c r="DO161">
        <v>1322</v>
      </c>
      <c r="DP161">
        <v>1130</v>
      </c>
      <c r="DW161" t="s">
        <v>544</v>
      </c>
      <c r="DX161">
        <v>7.5</v>
      </c>
      <c r="EA161">
        <v>1383</v>
      </c>
      <c r="EB161">
        <v>327</v>
      </c>
      <c r="EC161" t="s">
        <v>545</v>
      </c>
      <c r="ED161">
        <v>55</v>
      </c>
      <c r="EE161">
        <v>3</v>
      </c>
      <c r="EG161">
        <v>1434</v>
      </c>
      <c r="EH161">
        <v>323</v>
      </c>
      <c r="EJ161">
        <v>0</v>
      </c>
      <c r="EK161">
        <v>1</v>
      </c>
      <c r="EN161">
        <v>0</v>
      </c>
      <c r="EP161" t="s">
        <v>546</v>
      </c>
      <c r="EQ161">
        <v>125</v>
      </c>
      <c r="ER161">
        <v>3</v>
      </c>
      <c r="ES161">
        <v>6.4</v>
      </c>
      <c r="ET161">
        <v>1304</v>
      </c>
      <c r="EU161">
        <v>648.1</v>
      </c>
      <c r="EV161">
        <v>845</v>
      </c>
      <c r="EW161" t="s">
        <v>547</v>
      </c>
      <c r="EX161">
        <v>70</v>
      </c>
      <c r="EY161">
        <v>2</v>
      </c>
      <c r="EZ161">
        <v>5</v>
      </c>
      <c r="FA161">
        <v>1304</v>
      </c>
      <c r="FB161">
        <v>220.2</v>
      </c>
      <c r="FC161">
        <v>287</v>
      </c>
      <c r="FE161">
        <v>0</v>
      </c>
      <c r="FF161">
        <v>2</v>
      </c>
      <c r="FI161">
        <v>0</v>
      </c>
      <c r="FK161" t="s">
        <v>548</v>
      </c>
      <c r="FL161">
        <v>0.4</v>
      </c>
      <c r="FM161">
        <v>95</v>
      </c>
      <c r="FN161">
        <v>120</v>
      </c>
      <c r="FR161" t="s">
        <v>548</v>
      </c>
      <c r="FS161">
        <v>0.4</v>
      </c>
      <c r="FT161">
        <v>30</v>
      </c>
      <c r="FU161">
        <v>550</v>
      </c>
      <c r="GR161" t="s">
        <v>548</v>
      </c>
      <c r="GS161">
        <v>0.4</v>
      </c>
      <c r="GT161">
        <v>55</v>
      </c>
      <c r="GU161">
        <v>250</v>
      </c>
      <c r="HC161">
        <v>0.1</v>
      </c>
      <c r="HD161">
        <v>3</v>
      </c>
      <c r="HE161">
        <v>3</v>
      </c>
      <c r="HF161">
        <v>3</v>
      </c>
      <c r="HG161">
        <v>3</v>
      </c>
      <c r="HH161">
        <v>3</v>
      </c>
      <c r="HI161">
        <v>180</v>
      </c>
      <c r="HJ161">
        <v>3</v>
      </c>
      <c r="HK161">
        <v>55</v>
      </c>
      <c r="HL161">
        <v>2</v>
      </c>
      <c r="HM161">
        <v>0</v>
      </c>
      <c r="HN161">
        <v>2</v>
      </c>
      <c r="HO161">
        <v>110</v>
      </c>
      <c r="HP161">
        <v>3</v>
      </c>
      <c r="HQ161">
        <v>0</v>
      </c>
      <c r="HR161">
        <v>2</v>
      </c>
      <c r="HS161">
        <v>6722</v>
      </c>
      <c r="HT161">
        <v>200</v>
      </c>
      <c r="HU161">
        <v>180</v>
      </c>
      <c r="HW161">
        <v>0</v>
      </c>
      <c r="HX161">
        <v>516</v>
      </c>
      <c r="HY161">
        <v>0.18</v>
      </c>
      <c r="IA161">
        <v>0.15</v>
      </c>
      <c r="IB161">
        <v>0</v>
      </c>
      <c r="IC161">
        <v>180</v>
      </c>
      <c r="ID161">
        <v>110</v>
      </c>
      <c r="IE161">
        <v>225</v>
      </c>
      <c r="IF161">
        <v>0</v>
      </c>
      <c r="IH161" t="s">
        <v>549</v>
      </c>
      <c r="IO161">
        <v>3</v>
      </c>
      <c r="IP161">
        <v>17</v>
      </c>
      <c r="IQ161">
        <v>0</v>
      </c>
      <c r="IR161">
        <v>1</v>
      </c>
      <c r="IV161">
        <v>1301</v>
      </c>
      <c r="IW161">
        <v>442</v>
      </c>
      <c r="JA161">
        <v>1</v>
      </c>
      <c r="JB161">
        <v>0</v>
      </c>
      <c r="JC161">
        <v>2</v>
      </c>
      <c r="JD161">
        <v>1314</v>
      </c>
      <c r="JE161">
        <v>1312</v>
      </c>
      <c r="JF161">
        <v>1322</v>
      </c>
      <c r="JG161">
        <v>1304</v>
      </c>
      <c r="JH161">
        <v>0</v>
      </c>
      <c r="JJ161">
        <v>180</v>
      </c>
      <c r="JK161">
        <v>516</v>
      </c>
      <c r="JN161">
        <v>420</v>
      </c>
      <c r="JO161">
        <v>620</v>
      </c>
      <c r="JP161">
        <v>595</v>
      </c>
      <c r="JQ161">
        <v>0</v>
      </c>
      <c r="JR161">
        <v>398</v>
      </c>
      <c r="JS161">
        <v>180</v>
      </c>
      <c r="JV161">
        <v>8</v>
      </c>
      <c r="JW161" t="s">
        <v>550</v>
      </c>
      <c r="JX161">
        <v>0</v>
      </c>
      <c r="KA161">
        <v>225</v>
      </c>
      <c r="KB161">
        <v>110</v>
      </c>
      <c r="KC161">
        <v>0</v>
      </c>
      <c r="KD161">
        <v>80</v>
      </c>
      <c r="KF161">
        <v>4</v>
      </c>
      <c r="KG161">
        <v>2</v>
      </c>
      <c r="KH161">
        <v>2</v>
      </c>
      <c r="KI161">
        <v>2</v>
      </c>
      <c r="KJ161">
        <v>0</v>
      </c>
      <c r="KK161">
        <v>1.5</v>
      </c>
      <c r="KL161">
        <v>1.5</v>
      </c>
      <c r="KM161">
        <v>0</v>
      </c>
      <c r="KN161">
        <v>0</v>
      </c>
      <c r="KO161">
        <v>0</v>
      </c>
      <c r="KR161">
        <v>30</v>
      </c>
      <c r="KS161">
        <v>60</v>
      </c>
      <c r="KT161">
        <v>0</v>
      </c>
      <c r="LK161">
        <v>480</v>
      </c>
      <c r="PG161">
        <v>1</v>
      </c>
      <c r="PI161" t="s">
        <v>2366</v>
      </c>
      <c r="PJ161" t="s">
        <v>2367</v>
      </c>
      <c r="PK161" t="s">
        <v>2368</v>
      </c>
      <c r="PL161" t="s">
        <v>1246</v>
      </c>
      <c r="PP161" t="s">
        <v>1110</v>
      </c>
      <c r="PX161">
        <v>56</v>
      </c>
      <c r="PY161">
        <v>57</v>
      </c>
      <c r="PZ161" t="s">
        <v>2366</v>
      </c>
      <c r="QA161">
        <v>1</v>
      </c>
      <c r="QB161">
        <v>1304</v>
      </c>
      <c r="QC161">
        <v>69</v>
      </c>
      <c r="QD161">
        <v>69</v>
      </c>
      <c r="QE161" t="s">
        <v>1246</v>
      </c>
      <c r="QF161">
        <v>1</v>
      </c>
      <c r="QG161">
        <v>1314</v>
      </c>
      <c r="QH161">
        <v>66</v>
      </c>
      <c r="QI161">
        <v>66</v>
      </c>
      <c r="QL161">
        <v>0</v>
      </c>
      <c r="QM161">
        <v>62</v>
      </c>
      <c r="QN161">
        <v>62</v>
      </c>
      <c r="QO161" t="s">
        <v>2367</v>
      </c>
      <c r="QP161">
        <v>1</v>
      </c>
      <c r="QQ161">
        <v>1312</v>
      </c>
      <c r="QR161">
        <v>62</v>
      </c>
      <c r="QS161">
        <v>62</v>
      </c>
      <c r="QT161" t="s">
        <v>2368</v>
      </c>
      <c r="QU161">
        <v>1</v>
      </c>
      <c r="QV161">
        <v>1322</v>
      </c>
      <c r="QW161">
        <v>82</v>
      </c>
      <c r="QX161">
        <v>89</v>
      </c>
      <c r="QY161" t="s">
        <v>1110</v>
      </c>
      <c r="QZ161">
        <v>1</v>
      </c>
      <c r="RA161">
        <v>66</v>
      </c>
      <c r="RB161">
        <v>66</v>
      </c>
      <c r="RE161">
        <v>0</v>
      </c>
      <c r="RF161">
        <v>1</v>
      </c>
      <c r="RH161">
        <v>1</v>
      </c>
      <c r="RJ161">
        <v>1</v>
      </c>
      <c r="RL161">
        <v>2</v>
      </c>
      <c r="RM161">
        <v>2</v>
      </c>
      <c r="RO161">
        <v>595</v>
      </c>
      <c r="RQ161">
        <v>950</v>
      </c>
      <c r="RR161">
        <v>855</v>
      </c>
      <c r="RT161">
        <v>327</v>
      </c>
      <c r="RU161">
        <v>323</v>
      </c>
      <c r="RV161" t="s">
        <v>1113</v>
      </c>
      <c r="RW161" t="s">
        <v>653</v>
      </c>
      <c r="RX161">
        <v>15</v>
      </c>
      <c r="RY161">
        <v>4</v>
      </c>
      <c r="RZ161" t="s">
        <v>653</v>
      </c>
      <c r="SA161">
        <v>15</v>
      </c>
      <c r="SC161" t="s">
        <v>2367</v>
      </c>
      <c r="SD161">
        <v>1</v>
      </c>
      <c r="SF161" t="s">
        <v>2368</v>
      </c>
      <c r="SG161">
        <v>1</v>
      </c>
      <c r="SH161">
        <v>0.995</v>
      </c>
      <c r="SI161">
        <v>0.995</v>
      </c>
      <c r="SJ161">
        <v>0.995</v>
      </c>
      <c r="SK161">
        <v>15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Z161">
        <v>1</v>
      </c>
      <c r="TB161">
        <v>0</v>
      </c>
      <c r="TC161">
        <v>0</v>
      </c>
      <c r="TD161">
        <v>7.5</v>
      </c>
      <c r="TE161" t="s">
        <v>553</v>
      </c>
      <c r="TF161" t="s">
        <v>681</v>
      </c>
      <c r="TG161" t="s">
        <v>555</v>
      </c>
      <c r="TI161" t="s">
        <v>546</v>
      </c>
      <c r="TJ161" t="s">
        <v>547</v>
      </c>
      <c r="TL161" t="s">
        <v>2341</v>
      </c>
      <c r="TM161" t="s">
        <v>513</v>
      </c>
      <c r="TN161">
        <v>0</v>
      </c>
      <c r="TO161" t="s">
        <v>557</v>
      </c>
    </row>
    <row r="162" spans="1:535">
      <c r="A162" t="s">
        <v>2369</v>
      </c>
      <c r="B162" t="s">
        <v>629</v>
      </c>
      <c r="C162" t="s">
        <v>509</v>
      </c>
      <c r="D162" t="s">
        <v>2370</v>
      </c>
      <c r="G162" t="s">
        <v>604</v>
      </c>
      <c r="I162" t="s">
        <v>628</v>
      </c>
      <c r="J162" t="s">
        <v>606</v>
      </c>
      <c r="L162" t="s">
        <v>512</v>
      </c>
      <c r="M162" t="s">
        <v>711</v>
      </c>
      <c r="N162" t="s">
        <v>513</v>
      </c>
      <c r="O162" t="s">
        <v>565</v>
      </c>
      <c r="Q162" t="s">
        <v>2371</v>
      </c>
      <c r="R162" t="s">
        <v>517</v>
      </c>
      <c r="S162" t="s">
        <v>660</v>
      </c>
      <c r="T162" t="s">
        <v>661</v>
      </c>
      <c r="U162" t="s">
        <v>662</v>
      </c>
      <c r="V162" t="s">
        <v>663</v>
      </c>
      <c r="W162" t="s">
        <v>2372</v>
      </c>
      <c r="X162" t="s">
        <v>2336</v>
      </c>
      <c r="Y162" t="s">
        <v>524</v>
      </c>
      <c r="Z162" t="s">
        <v>2373</v>
      </c>
      <c r="AA162" t="s">
        <v>2374</v>
      </c>
      <c r="AB162" t="s">
        <v>2375</v>
      </c>
      <c r="AC162">
        <v>2</v>
      </c>
      <c r="AD162">
        <v>57</v>
      </c>
      <c r="AE162">
        <v>186</v>
      </c>
      <c r="AF162">
        <v>1.5</v>
      </c>
      <c r="AH162">
        <v>0</v>
      </c>
      <c r="AI162" t="s">
        <v>1331</v>
      </c>
      <c r="AJ162">
        <v>197.5</v>
      </c>
      <c r="AK162">
        <v>1</v>
      </c>
      <c r="AL162">
        <v>1.5</v>
      </c>
      <c r="AM162" t="s">
        <v>529</v>
      </c>
      <c r="AO162">
        <v>0</v>
      </c>
      <c r="AR162">
        <v>0</v>
      </c>
      <c r="AS162">
        <v>1.5</v>
      </c>
      <c r="AV162" t="s">
        <v>2376</v>
      </c>
      <c r="AW162" t="s">
        <v>2376</v>
      </c>
      <c r="AX162">
        <v>1</v>
      </c>
      <c r="AY162">
        <v>275</v>
      </c>
      <c r="AZ162">
        <v>1.5</v>
      </c>
      <c r="BA162" t="s">
        <v>529</v>
      </c>
      <c r="BG162">
        <v>1.5</v>
      </c>
      <c r="BJ162">
        <v>0</v>
      </c>
      <c r="BN162">
        <v>1.5</v>
      </c>
      <c r="BP162" t="s">
        <v>2377</v>
      </c>
      <c r="BQ162">
        <v>84</v>
      </c>
      <c r="BR162">
        <v>2</v>
      </c>
      <c r="BS162" t="s">
        <v>2149</v>
      </c>
      <c r="BT162">
        <v>208</v>
      </c>
      <c r="BU162">
        <v>0.5</v>
      </c>
      <c r="BV162" t="s">
        <v>2149</v>
      </c>
      <c r="BW162">
        <v>416</v>
      </c>
      <c r="BX162">
        <v>1</v>
      </c>
      <c r="BY162" t="s">
        <v>643</v>
      </c>
      <c r="BZ162">
        <v>290</v>
      </c>
      <c r="CA162">
        <v>490</v>
      </c>
      <c r="CB162" t="s">
        <v>672</v>
      </c>
      <c r="CC162" t="s">
        <v>672</v>
      </c>
      <c r="CD162">
        <v>434</v>
      </c>
      <c r="CE162" t="s">
        <v>673</v>
      </c>
      <c r="CF162">
        <v>15</v>
      </c>
      <c r="CG162" t="s">
        <v>674</v>
      </c>
      <c r="CH162" t="s">
        <v>674</v>
      </c>
      <c r="CI162">
        <v>100</v>
      </c>
      <c r="CJ162">
        <v>1381</v>
      </c>
      <c r="CK162">
        <v>2</v>
      </c>
      <c r="CL162">
        <v>1475</v>
      </c>
      <c r="CM162">
        <v>2</v>
      </c>
      <c r="CN162" t="s">
        <v>675</v>
      </c>
      <c r="CO162" t="s">
        <v>676</v>
      </c>
      <c r="CP162" t="s">
        <v>595</v>
      </c>
      <c r="CQ162" t="s">
        <v>649</v>
      </c>
      <c r="CR162" t="s">
        <v>650</v>
      </c>
      <c r="CS162" t="s">
        <v>542</v>
      </c>
      <c r="CT162">
        <v>395</v>
      </c>
      <c r="CU162">
        <v>5</v>
      </c>
      <c r="CV162">
        <v>1.2</v>
      </c>
      <c r="CW162">
        <v>1393</v>
      </c>
      <c r="CX162">
        <v>779</v>
      </c>
      <c r="DD162">
        <v>0</v>
      </c>
      <c r="DE162" t="s">
        <v>543</v>
      </c>
      <c r="DF162">
        <v>550</v>
      </c>
      <c r="DG162">
        <v>3</v>
      </c>
      <c r="DH162">
        <v>1.18</v>
      </c>
      <c r="DI162">
        <v>1391</v>
      </c>
      <c r="DJ162">
        <v>1280</v>
      </c>
      <c r="DW162" t="s">
        <v>544</v>
      </c>
      <c r="DX162">
        <v>7.5</v>
      </c>
      <c r="EA162">
        <v>1461.1</v>
      </c>
      <c r="EB162">
        <v>258</v>
      </c>
      <c r="EC162" t="s">
        <v>545</v>
      </c>
      <c r="ED162">
        <v>30</v>
      </c>
      <c r="EE162">
        <v>3</v>
      </c>
      <c r="EG162">
        <v>1502</v>
      </c>
      <c r="EH162">
        <v>184</v>
      </c>
      <c r="EJ162">
        <v>0</v>
      </c>
      <c r="EK162">
        <v>1</v>
      </c>
      <c r="EN162">
        <v>0</v>
      </c>
      <c r="EP162" t="s">
        <v>546</v>
      </c>
      <c r="EQ162">
        <v>90</v>
      </c>
      <c r="ER162">
        <v>3</v>
      </c>
      <c r="ES162">
        <v>5.5</v>
      </c>
      <c r="ET162">
        <v>1378</v>
      </c>
      <c r="EU162">
        <v>382.3</v>
      </c>
      <c r="EV162">
        <v>527</v>
      </c>
      <c r="EW162" t="s">
        <v>547</v>
      </c>
      <c r="EX162">
        <v>70</v>
      </c>
      <c r="EY162">
        <v>2</v>
      </c>
      <c r="EZ162">
        <v>4</v>
      </c>
      <c r="FA162">
        <v>1378</v>
      </c>
      <c r="FB162">
        <v>200.4</v>
      </c>
      <c r="FC162">
        <v>276</v>
      </c>
      <c r="FE162">
        <v>0</v>
      </c>
      <c r="FF162">
        <v>2</v>
      </c>
      <c r="FI162">
        <v>0</v>
      </c>
      <c r="FK162" t="s">
        <v>548</v>
      </c>
      <c r="FL162">
        <v>0.4</v>
      </c>
      <c r="FM162">
        <v>90</v>
      </c>
      <c r="FN162">
        <v>140</v>
      </c>
      <c r="FR162" t="s">
        <v>548</v>
      </c>
      <c r="FS162">
        <v>0.4</v>
      </c>
      <c r="FT162">
        <v>30</v>
      </c>
      <c r="FU162">
        <v>380</v>
      </c>
      <c r="FY162" t="s">
        <v>651</v>
      </c>
      <c r="FZ162">
        <v>1.6</v>
      </c>
      <c r="GA162">
        <v>20</v>
      </c>
      <c r="GB162">
        <v>171</v>
      </c>
      <c r="GG162" t="s">
        <v>651</v>
      </c>
      <c r="GH162">
        <v>1.6</v>
      </c>
      <c r="GI162">
        <v>20</v>
      </c>
      <c r="GJ162">
        <v>171</v>
      </c>
      <c r="HC162">
        <v>0.1</v>
      </c>
      <c r="HD162">
        <v>3</v>
      </c>
      <c r="HE162">
        <v>3</v>
      </c>
      <c r="HF162">
        <v>3</v>
      </c>
      <c r="HG162">
        <v>3</v>
      </c>
      <c r="HH162">
        <v>3</v>
      </c>
      <c r="HI162">
        <v>145</v>
      </c>
      <c r="HJ162">
        <v>3</v>
      </c>
      <c r="HK162">
        <v>55</v>
      </c>
      <c r="HL162">
        <v>2</v>
      </c>
      <c r="HM162">
        <v>0</v>
      </c>
      <c r="HN162">
        <v>2</v>
      </c>
      <c r="HO162">
        <v>75</v>
      </c>
      <c r="HP162">
        <v>3</v>
      </c>
      <c r="HQ162">
        <v>0</v>
      </c>
      <c r="HR162">
        <v>2</v>
      </c>
      <c r="HS162">
        <v>4549</v>
      </c>
      <c r="HT162">
        <v>140</v>
      </c>
      <c r="HU162">
        <v>180</v>
      </c>
      <c r="HW162">
        <v>0</v>
      </c>
      <c r="HX162">
        <v>400</v>
      </c>
      <c r="HY162">
        <v>0.18</v>
      </c>
      <c r="IA162">
        <v>0.15</v>
      </c>
      <c r="IB162">
        <v>0</v>
      </c>
      <c r="IC162">
        <v>180</v>
      </c>
      <c r="ID162">
        <v>110</v>
      </c>
      <c r="IE162">
        <v>0</v>
      </c>
      <c r="IF162">
        <v>0</v>
      </c>
      <c r="IH162" t="s">
        <v>549</v>
      </c>
      <c r="IO162">
        <v>1</v>
      </c>
      <c r="IP162">
        <v>18</v>
      </c>
      <c r="IQ162">
        <v>0</v>
      </c>
      <c r="IR162">
        <v>1</v>
      </c>
      <c r="IV162">
        <v>1381</v>
      </c>
      <c r="IW162">
        <v>416</v>
      </c>
      <c r="IY162">
        <v>290</v>
      </c>
      <c r="JA162">
        <v>1</v>
      </c>
      <c r="JB162">
        <v>0</v>
      </c>
      <c r="JC162">
        <v>2</v>
      </c>
      <c r="JD162">
        <v>1393</v>
      </c>
      <c r="JE162">
        <v>1391</v>
      </c>
      <c r="JF162">
        <v>0</v>
      </c>
      <c r="JG162">
        <v>1378</v>
      </c>
      <c r="JH162">
        <v>0</v>
      </c>
      <c r="JJ162">
        <v>180</v>
      </c>
      <c r="JK162">
        <v>400</v>
      </c>
      <c r="JN162">
        <v>395</v>
      </c>
      <c r="JO162">
        <v>550</v>
      </c>
      <c r="JP162">
        <v>0</v>
      </c>
      <c r="JQ162">
        <v>0</v>
      </c>
      <c r="JR162">
        <v>372</v>
      </c>
      <c r="JS162">
        <v>145</v>
      </c>
      <c r="JV162">
        <v>8</v>
      </c>
      <c r="JW162" t="s">
        <v>550</v>
      </c>
      <c r="JX162">
        <v>0</v>
      </c>
      <c r="KA162">
        <v>0</v>
      </c>
      <c r="KB162">
        <v>110</v>
      </c>
      <c r="KC162">
        <v>0</v>
      </c>
      <c r="KD162">
        <v>80</v>
      </c>
      <c r="KF162">
        <v>4</v>
      </c>
      <c r="KG162">
        <v>2</v>
      </c>
      <c r="KH162">
        <v>2</v>
      </c>
      <c r="KI162">
        <v>2</v>
      </c>
      <c r="KJ162">
        <v>0</v>
      </c>
      <c r="KK162">
        <v>1.5</v>
      </c>
      <c r="KL162">
        <v>1.5</v>
      </c>
      <c r="KM162">
        <v>0</v>
      </c>
      <c r="KN162">
        <v>0</v>
      </c>
      <c r="KO162">
        <v>0</v>
      </c>
      <c r="KR162">
        <v>30</v>
      </c>
      <c r="KS162">
        <v>60</v>
      </c>
      <c r="KT162">
        <v>0</v>
      </c>
      <c r="LK162">
        <v>480</v>
      </c>
      <c r="PG162">
        <v>1</v>
      </c>
      <c r="PI162" t="s">
        <v>2375</v>
      </c>
      <c r="PJ162" t="s">
        <v>2376</v>
      </c>
      <c r="PL162" t="s">
        <v>1331</v>
      </c>
      <c r="PP162" t="s">
        <v>2377</v>
      </c>
      <c r="PX162">
        <v>56</v>
      </c>
      <c r="PY162">
        <v>57</v>
      </c>
      <c r="PZ162" t="s">
        <v>2375</v>
      </c>
      <c r="QA162">
        <v>2</v>
      </c>
      <c r="QB162">
        <v>1378</v>
      </c>
      <c r="QC162">
        <v>69</v>
      </c>
      <c r="QD162">
        <v>69</v>
      </c>
      <c r="QE162" t="s">
        <v>1331</v>
      </c>
      <c r="QF162">
        <v>1</v>
      </c>
      <c r="QG162">
        <v>1393</v>
      </c>
      <c r="QH162">
        <v>66</v>
      </c>
      <c r="QI162">
        <v>66</v>
      </c>
      <c r="QL162">
        <v>0</v>
      </c>
      <c r="QM162">
        <v>63</v>
      </c>
      <c r="QN162">
        <v>63</v>
      </c>
      <c r="QO162" t="s">
        <v>2376</v>
      </c>
      <c r="QP162">
        <v>1</v>
      </c>
      <c r="QQ162">
        <v>1391</v>
      </c>
      <c r="QW162">
        <v>82</v>
      </c>
      <c r="QX162">
        <v>84</v>
      </c>
      <c r="QY162" t="s">
        <v>2377</v>
      </c>
      <c r="QZ162">
        <v>1</v>
      </c>
      <c r="RA162">
        <v>66</v>
      </c>
      <c r="RB162">
        <v>66</v>
      </c>
      <c r="RE162">
        <v>0</v>
      </c>
      <c r="RG162">
        <v>1</v>
      </c>
      <c r="RJ162">
        <v>1</v>
      </c>
      <c r="RL162">
        <v>2</v>
      </c>
      <c r="RO162">
        <v>559</v>
      </c>
      <c r="RQ162">
        <v>920</v>
      </c>
      <c r="RT162">
        <v>258</v>
      </c>
      <c r="RU162">
        <v>184</v>
      </c>
      <c r="RV162" t="s">
        <v>2150</v>
      </c>
      <c r="RW162" t="s">
        <v>679</v>
      </c>
      <c r="RX162">
        <v>15</v>
      </c>
      <c r="RY162">
        <v>4</v>
      </c>
      <c r="RZ162" t="s">
        <v>679</v>
      </c>
      <c r="SA162">
        <v>15</v>
      </c>
      <c r="SB162" t="s">
        <v>2378</v>
      </c>
      <c r="SC162" t="s">
        <v>2378</v>
      </c>
      <c r="SD162">
        <v>1</v>
      </c>
      <c r="SH162">
        <v>0.995</v>
      </c>
      <c r="SI162">
        <v>0.995</v>
      </c>
      <c r="SJ162">
        <v>0.995</v>
      </c>
      <c r="SK162">
        <v>15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TB162">
        <v>0</v>
      </c>
      <c r="TC162">
        <v>0</v>
      </c>
      <c r="TD162">
        <v>7.5</v>
      </c>
      <c r="TE162" t="s">
        <v>553</v>
      </c>
      <c r="TF162" t="s">
        <v>624</v>
      </c>
      <c r="TG162" t="s">
        <v>555</v>
      </c>
      <c r="TI162" t="s">
        <v>546</v>
      </c>
      <c r="TJ162" t="s">
        <v>547</v>
      </c>
      <c r="TL162" t="s">
        <v>2341</v>
      </c>
      <c r="TM162" t="s">
        <v>513</v>
      </c>
      <c r="TN162">
        <v>0</v>
      </c>
      <c r="TO162" t="s">
        <v>557</v>
      </c>
    </row>
    <row r="163" spans="1:535">
      <c r="A163" t="s">
        <v>2379</v>
      </c>
      <c r="B163" t="s">
        <v>727</v>
      </c>
      <c r="C163" t="s">
        <v>509</v>
      </c>
      <c r="D163" t="s">
        <v>2380</v>
      </c>
      <c r="G163" t="s">
        <v>604</v>
      </c>
      <c r="H163" t="s">
        <v>605</v>
      </c>
      <c r="I163" t="s">
        <v>628</v>
      </c>
      <c r="J163" t="s">
        <v>606</v>
      </c>
      <c r="L163" t="s">
        <v>512</v>
      </c>
      <c r="M163" t="s">
        <v>729</v>
      </c>
      <c r="N163" t="s">
        <v>513</v>
      </c>
      <c r="O163" t="s">
        <v>607</v>
      </c>
      <c r="Q163" t="s">
        <v>2381</v>
      </c>
      <c r="R163" t="s">
        <v>517</v>
      </c>
      <c r="S163" t="s">
        <v>1609</v>
      </c>
      <c r="T163" t="s">
        <v>1554</v>
      </c>
      <c r="U163" t="s">
        <v>1457</v>
      </c>
      <c r="V163" t="s">
        <v>1458</v>
      </c>
      <c r="W163" t="s">
        <v>2382</v>
      </c>
      <c r="X163" t="s">
        <v>2336</v>
      </c>
      <c r="Y163" t="s">
        <v>524</v>
      </c>
      <c r="Z163" t="s">
        <v>2383</v>
      </c>
      <c r="AA163" t="s">
        <v>2384</v>
      </c>
      <c r="AB163" t="s">
        <v>2385</v>
      </c>
      <c r="AC163">
        <v>2</v>
      </c>
      <c r="AD163">
        <v>57</v>
      </c>
      <c r="AE163">
        <v>159</v>
      </c>
      <c r="AF163">
        <v>1.5</v>
      </c>
      <c r="AH163">
        <v>0</v>
      </c>
      <c r="AI163" t="s">
        <v>2386</v>
      </c>
      <c r="AJ163">
        <v>170</v>
      </c>
      <c r="AK163">
        <v>1</v>
      </c>
      <c r="AL163">
        <v>1.5</v>
      </c>
      <c r="AM163" t="s">
        <v>529</v>
      </c>
      <c r="AO163">
        <v>0</v>
      </c>
      <c r="AR163">
        <v>0</v>
      </c>
      <c r="AS163">
        <v>1.5</v>
      </c>
      <c r="AV163" t="s">
        <v>2387</v>
      </c>
      <c r="AW163" t="s">
        <v>2387</v>
      </c>
      <c r="AX163">
        <v>1</v>
      </c>
      <c r="AY163">
        <v>245</v>
      </c>
      <c r="AZ163">
        <v>1.5</v>
      </c>
      <c r="BA163" t="s">
        <v>529</v>
      </c>
      <c r="BG163">
        <v>1.5</v>
      </c>
      <c r="BJ163">
        <v>0</v>
      </c>
      <c r="BN163">
        <v>1.5</v>
      </c>
      <c r="BP163" t="s">
        <v>2388</v>
      </c>
      <c r="BQ163">
        <v>82</v>
      </c>
      <c r="BR163">
        <v>2</v>
      </c>
      <c r="BS163" t="s">
        <v>1898</v>
      </c>
      <c r="BT163">
        <v>181</v>
      </c>
      <c r="BU163">
        <v>0.5</v>
      </c>
      <c r="BV163" t="s">
        <v>1898</v>
      </c>
      <c r="BW163">
        <v>362</v>
      </c>
      <c r="BX163">
        <v>1</v>
      </c>
      <c r="BY163" t="s">
        <v>1468</v>
      </c>
      <c r="BZ163">
        <v>300</v>
      </c>
      <c r="CA163">
        <v>460</v>
      </c>
      <c r="CB163" t="s">
        <v>1469</v>
      </c>
      <c r="CC163" t="s">
        <v>1469</v>
      </c>
      <c r="CD163">
        <v>385</v>
      </c>
      <c r="CE163" t="s">
        <v>1470</v>
      </c>
      <c r="CF163">
        <v>15</v>
      </c>
      <c r="CG163" t="s">
        <v>1899</v>
      </c>
      <c r="CH163" t="s">
        <v>1899</v>
      </c>
      <c r="CI163">
        <v>80</v>
      </c>
      <c r="CJ163">
        <v>1050</v>
      </c>
      <c r="CK163">
        <v>2</v>
      </c>
      <c r="CL163">
        <v>1144</v>
      </c>
      <c r="CM163">
        <v>2</v>
      </c>
      <c r="CN163" t="s">
        <v>1472</v>
      </c>
      <c r="CO163" t="s">
        <v>1473</v>
      </c>
      <c r="CP163" t="s">
        <v>1474</v>
      </c>
      <c r="CQ163" t="s">
        <v>649</v>
      </c>
      <c r="CR163" t="s">
        <v>650</v>
      </c>
      <c r="CS163" t="s">
        <v>542</v>
      </c>
      <c r="CT163">
        <v>340</v>
      </c>
      <c r="CU163">
        <v>5</v>
      </c>
      <c r="CV163">
        <v>1.2</v>
      </c>
      <c r="CW163">
        <v>1064</v>
      </c>
      <c r="CX163">
        <v>512</v>
      </c>
      <c r="DD163">
        <v>0</v>
      </c>
      <c r="DE163" t="s">
        <v>543</v>
      </c>
      <c r="DF163">
        <v>490</v>
      </c>
      <c r="DG163">
        <v>3</v>
      </c>
      <c r="DH163">
        <v>1.18</v>
      </c>
      <c r="DI163">
        <v>1062</v>
      </c>
      <c r="DJ163">
        <v>868</v>
      </c>
      <c r="DW163" t="s">
        <v>544</v>
      </c>
      <c r="DX163">
        <v>7.5</v>
      </c>
      <c r="EA163">
        <v>1123</v>
      </c>
      <c r="EB163">
        <v>147</v>
      </c>
      <c r="EC163" t="s">
        <v>545</v>
      </c>
      <c r="ED163">
        <v>40</v>
      </c>
      <c r="EE163">
        <v>3</v>
      </c>
      <c r="EG163">
        <v>1154</v>
      </c>
      <c r="EH163">
        <v>223</v>
      </c>
      <c r="EJ163">
        <v>0</v>
      </c>
      <c r="EK163">
        <v>1</v>
      </c>
      <c r="EN163">
        <v>0</v>
      </c>
      <c r="EP163" t="s">
        <v>546</v>
      </c>
      <c r="EQ163">
        <v>78</v>
      </c>
      <c r="ER163">
        <v>3</v>
      </c>
      <c r="ES163">
        <v>4.6</v>
      </c>
      <c r="ET163">
        <v>1043</v>
      </c>
      <c r="EU163">
        <v>273</v>
      </c>
      <c r="EV163">
        <v>285</v>
      </c>
      <c r="EW163" t="s">
        <v>547</v>
      </c>
      <c r="EX163">
        <v>70</v>
      </c>
      <c r="EY163">
        <v>2</v>
      </c>
      <c r="EZ163">
        <v>3.5</v>
      </c>
      <c r="FA163">
        <v>1043</v>
      </c>
      <c r="FB163">
        <v>193</v>
      </c>
      <c r="FC163">
        <v>201</v>
      </c>
      <c r="FE163">
        <v>0</v>
      </c>
      <c r="FF163">
        <v>2</v>
      </c>
      <c r="FI163">
        <v>0</v>
      </c>
      <c r="FK163" t="s">
        <v>548</v>
      </c>
      <c r="FL163">
        <v>0.4</v>
      </c>
      <c r="FM163">
        <v>65</v>
      </c>
      <c r="FN163">
        <v>120</v>
      </c>
      <c r="FR163" t="s">
        <v>548</v>
      </c>
      <c r="FS163">
        <v>0.4</v>
      </c>
      <c r="FT163">
        <v>30</v>
      </c>
      <c r="FU163">
        <v>320</v>
      </c>
      <c r="FV163">
        <v>30</v>
      </c>
      <c r="FW163">
        <v>210</v>
      </c>
      <c r="FY163" t="s">
        <v>651</v>
      </c>
      <c r="FZ163">
        <v>1</v>
      </c>
      <c r="GA163">
        <v>20</v>
      </c>
      <c r="GB163">
        <v>140</v>
      </c>
      <c r="GG163" t="s">
        <v>651</v>
      </c>
      <c r="GH163">
        <v>1</v>
      </c>
      <c r="GI163">
        <v>20</v>
      </c>
      <c r="GJ163">
        <v>140</v>
      </c>
      <c r="HC163">
        <v>0.1</v>
      </c>
      <c r="HD163">
        <v>3</v>
      </c>
      <c r="HE163">
        <v>3</v>
      </c>
      <c r="HF163">
        <v>3</v>
      </c>
      <c r="HG163">
        <v>3</v>
      </c>
      <c r="HH163">
        <v>3</v>
      </c>
      <c r="HI163">
        <v>133</v>
      </c>
      <c r="HJ163">
        <v>3</v>
      </c>
      <c r="HK163">
        <v>55</v>
      </c>
      <c r="HL163">
        <v>2</v>
      </c>
      <c r="HM163">
        <v>0</v>
      </c>
      <c r="HN163">
        <v>2</v>
      </c>
      <c r="HO163">
        <v>63</v>
      </c>
      <c r="HP163">
        <v>3</v>
      </c>
      <c r="HQ163">
        <v>0</v>
      </c>
      <c r="HR163">
        <v>2</v>
      </c>
      <c r="HS163">
        <v>3092</v>
      </c>
      <c r="HT163">
        <v>90</v>
      </c>
      <c r="HU163">
        <v>180</v>
      </c>
      <c r="HW163">
        <v>0</v>
      </c>
      <c r="HX163">
        <v>470</v>
      </c>
      <c r="HY163">
        <v>0.18</v>
      </c>
      <c r="IA163">
        <v>0.15</v>
      </c>
      <c r="IB163">
        <v>0</v>
      </c>
      <c r="IC163">
        <v>180</v>
      </c>
      <c r="ID163">
        <v>110</v>
      </c>
      <c r="IE163">
        <v>0</v>
      </c>
      <c r="IF163">
        <v>0</v>
      </c>
      <c r="IH163" t="s">
        <v>549</v>
      </c>
      <c r="IO163">
        <v>1</v>
      </c>
      <c r="IP163">
        <v>14</v>
      </c>
      <c r="IQ163">
        <v>0</v>
      </c>
      <c r="IR163">
        <v>1</v>
      </c>
      <c r="IV163">
        <v>1050</v>
      </c>
      <c r="IW163">
        <v>362</v>
      </c>
      <c r="JA163">
        <v>1</v>
      </c>
      <c r="JB163">
        <v>0</v>
      </c>
      <c r="JC163">
        <v>2</v>
      </c>
      <c r="JD163">
        <v>1064</v>
      </c>
      <c r="JE163">
        <v>1062</v>
      </c>
      <c r="JF163">
        <v>0</v>
      </c>
      <c r="JG163">
        <v>1043</v>
      </c>
      <c r="JH163">
        <v>0</v>
      </c>
      <c r="JJ163">
        <v>180</v>
      </c>
      <c r="JK163">
        <v>470</v>
      </c>
      <c r="JN163">
        <v>340</v>
      </c>
      <c r="JO163">
        <v>490</v>
      </c>
      <c r="JP163">
        <v>0</v>
      </c>
      <c r="JQ163">
        <v>0</v>
      </c>
      <c r="JR163">
        <v>318</v>
      </c>
      <c r="JS163">
        <v>133</v>
      </c>
      <c r="JV163">
        <v>8</v>
      </c>
      <c r="JW163" t="s">
        <v>550</v>
      </c>
      <c r="JX163">
        <v>0</v>
      </c>
      <c r="KA163">
        <v>0</v>
      </c>
      <c r="KB163">
        <v>110</v>
      </c>
      <c r="KC163">
        <v>0</v>
      </c>
      <c r="KD163">
        <v>80</v>
      </c>
      <c r="KF163">
        <v>4</v>
      </c>
      <c r="KG163">
        <v>3</v>
      </c>
      <c r="KH163">
        <v>2</v>
      </c>
      <c r="KI163">
        <v>2</v>
      </c>
      <c r="KJ163">
        <v>0</v>
      </c>
      <c r="KK163">
        <v>1.5</v>
      </c>
      <c r="KL163">
        <v>1.5</v>
      </c>
      <c r="KM163">
        <v>0</v>
      </c>
      <c r="KN163">
        <v>0</v>
      </c>
      <c r="KO163">
        <v>0</v>
      </c>
      <c r="KR163">
        <v>20</v>
      </c>
      <c r="KS163">
        <v>50</v>
      </c>
      <c r="KT163">
        <v>0</v>
      </c>
      <c r="LK163">
        <v>480</v>
      </c>
      <c r="PG163">
        <v>1</v>
      </c>
      <c r="PI163" t="s">
        <v>2385</v>
      </c>
      <c r="PJ163" t="s">
        <v>2387</v>
      </c>
      <c r="PL163" t="s">
        <v>2386</v>
      </c>
      <c r="PP163" t="s">
        <v>2388</v>
      </c>
      <c r="PX163">
        <v>56</v>
      </c>
      <c r="PY163">
        <v>57</v>
      </c>
      <c r="PZ163" t="s">
        <v>2385</v>
      </c>
      <c r="QA163">
        <v>1</v>
      </c>
      <c r="QB163">
        <v>1043</v>
      </c>
      <c r="QC163">
        <v>69</v>
      </c>
      <c r="QD163">
        <v>69</v>
      </c>
      <c r="QE163" t="s">
        <v>2386</v>
      </c>
      <c r="QF163">
        <v>1</v>
      </c>
      <c r="QG163">
        <v>1064</v>
      </c>
      <c r="QH163">
        <v>66</v>
      </c>
      <c r="QI163">
        <v>66</v>
      </c>
      <c r="QL163">
        <v>0</v>
      </c>
      <c r="QM163">
        <v>63</v>
      </c>
      <c r="QN163">
        <v>63</v>
      </c>
      <c r="QO163" t="s">
        <v>2387</v>
      </c>
      <c r="QP163">
        <v>1</v>
      </c>
      <c r="QQ163">
        <v>1062</v>
      </c>
      <c r="QW163">
        <v>82</v>
      </c>
      <c r="QX163">
        <v>82</v>
      </c>
      <c r="QY163" t="s">
        <v>2388</v>
      </c>
      <c r="QZ163">
        <v>3</v>
      </c>
      <c r="RA163">
        <v>66</v>
      </c>
      <c r="RB163">
        <v>66</v>
      </c>
      <c r="RE163">
        <v>0</v>
      </c>
      <c r="RG163">
        <v>1</v>
      </c>
      <c r="RJ163">
        <v>3</v>
      </c>
      <c r="RL163">
        <v>2</v>
      </c>
      <c r="RO163">
        <v>481</v>
      </c>
      <c r="RQ163">
        <v>817</v>
      </c>
      <c r="RT163">
        <v>147</v>
      </c>
      <c r="RU163">
        <v>223</v>
      </c>
      <c r="RV163" t="s">
        <v>1901</v>
      </c>
      <c r="RW163" t="s">
        <v>1476</v>
      </c>
      <c r="RX163">
        <v>15</v>
      </c>
      <c r="RY163">
        <v>4</v>
      </c>
      <c r="RZ163" t="s">
        <v>1476</v>
      </c>
      <c r="SA163">
        <v>15</v>
      </c>
      <c r="SB163" t="s">
        <v>2389</v>
      </c>
      <c r="SC163" t="s">
        <v>2389</v>
      </c>
      <c r="SD163">
        <v>1</v>
      </c>
      <c r="SH163">
        <v>0.995</v>
      </c>
      <c r="SI163">
        <v>0.995</v>
      </c>
      <c r="SJ163">
        <v>0.995</v>
      </c>
      <c r="SK163">
        <v>15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TB163">
        <v>0</v>
      </c>
      <c r="TC163">
        <v>0</v>
      </c>
      <c r="TD163">
        <v>7.5</v>
      </c>
      <c r="TE163" t="s">
        <v>553</v>
      </c>
      <c r="TF163" t="s">
        <v>754</v>
      </c>
      <c r="TG163" t="s">
        <v>555</v>
      </c>
      <c r="TI163" t="s">
        <v>546</v>
      </c>
      <c r="TJ163" t="s">
        <v>547</v>
      </c>
      <c r="TL163" t="s">
        <v>2341</v>
      </c>
      <c r="TM163" t="s">
        <v>513</v>
      </c>
      <c r="TN163">
        <v>0</v>
      </c>
      <c r="TO163" t="s">
        <v>557</v>
      </c>
    </row>
    <row r="164" spans="1:535">
      <c r="A164" t="s">
        <v>2390</v>
      </c>
      <c r="B164" t="s">
        <v>729</v>
      </c>
      <c r="C164" t="s">
        <v>509</v>
      </c>
      <c r="D164" t="s">
        <v>2307</v>
      </c>
      <c r="G164" t="s">
        <v>604</v>
      </c>
      <c r="H164" t="s">
        <v>605</v>
      </c>
      <c r="I164" t="s">
        <v>628</v>
      </c>
      <c r="J164" t="s">
        <v>606</v>
      </c>
      <c r="L164" t="s">
        <v>512</v>
      </c>
      <c r="M164" t="s">
        <v>897</v>
      </c>
      <c r="N164" t="s">
        <v>513</v>
      </c>
      <c r="O164" t="s">
        <v>607</v>
      </c>
      <c r="Q164" t="s">
        <v>2391</v>
      </c>
      <c r="R164" t="s">
        <v>517</v>
      </c>
      <c r="S164" t="s">
        <v>1617</v>
      </c>
      <c r="T164" t="s">
        <v>1618</v>
      </c>
      <c r="U164" t="s">
        <v>1482</v>
      </c>
      <c r="V164" t="s">
        <v>1483</v>
      </c>
      <c r="W164" t="s">
        <v>2392</v>
      </c>
      <c r="X164" t="s">
        <v>2336</v>
      </c>
      <c r="Y164" t="s">
        <v>524</v>
      </c>
      <c r="Z164" t="s">
        <v>2393</v>
      </c>
      <c r="AA164" t="s">
        <v>2394</v>
      </c>
      <c r="AB164" t="s">
        <v>2395</v>
      </c>
      <c r="AC164">
        <v>2</v>
      </c>
      <c r="AD164">
        <v>57</v>
      </c>
      <c r="AE164">
        <v>173</v>
      </c>
      <c r="AF164">
        <v>1.5</v>
      </c>
      <c r="AH164">
        <v>0</v>
      </c>
      <c r="AI164" t="s">
        <v>719</v>
      </c>
      <c r="AJ164">
        <v>185</v>
      </c>
      <c r="AK164">
        <v>1</v>
      </c>
      <c r="AL164">
        <v>1.5</v>
      </c>
      <c r="AM164" t="s">
        <v>529</v>
      </c>
      <c r="AO164">
        <v>0</v>
      </c>
      <c r="AR164">
        <v>0</v>
      </c>
      <c r="AS164">
        <v>1.5</v>
      </c>
      <c r="AU164" t="s">
        <v>2396</v>
      </c>
      <c r="AW164" t="s">
        <v>2396</v>
      </c>
      <c r="AX164">
        <v>1</v>
      </c>
      <c r="AY164">
        <v>275</v>
      </c>
      <c r="AZ164">
        <v>1.5</v>
      </c>
      <c r="BA164" t="s">
        <v>529</v>
      </c>
      <c r="BG164">
        <v>1.5</v>
      </c>
      <c r="BJ164">
        <v>0</v>
      </c>
      <c r="BN164">
        <v>1.5</v>
      </c>
      <c r="BP164" t="s">
        <v>2397</v>
      </c>
      <c r="BQ164">
        <v>83</v>
      </c>
      <c r="BR164">
        <v>2</v>
      </c>
      <c r="BS164" t="s">
        <v>1490</v>
      </c>
      <c r="BT164">
        <v>195</v>
      </c>
      <c r="BU164">
        <v>0.5</v>
      </c>
      <c r="BV164" t="s">
        <v>1490</v>
      </c>
      <c r="BW164">
        <v>390</v>
      </c>
      <c r="BX164">
        <v>1</v>
      </c>
      <c r="BY164" t="s">
        <v>1491</v>
      </c>
      <c r="BZ164">
        <v>300</v>
      </c>
      <c r="CA164">
        <v>520</v>
      </c>
      <c r="CB164" t="s">
        <v>1492</v>
      </c>
      <c r="CC164" t="s">
        <v>1492</v>
      </c>
      <c r="CD164">
        <v>408</v>
      </c>
      <c r="CE164" t="s">
        <v>1493</v>
      </c>
      <c r="CF164">
        <v>15</v>
      </c>
      <c r="CG164" t="s">
        <v>1624</v>
      </c>
      <c r="CH164" t="s">
        <v>1624</v>
      </c>
      <c r="CI164">
        <v>110</v>
      </c>
      <c r="CJ164">
        <v>1122</v>
      </c>
      <c r="CK164">
        <v>2</v>
      </c>
      <c r="CL164">
        <v>1222</v>
      </c>
      <c r="CM164">
        <v>2</v>
      </c>
      <c r="CN164" t="s">
        <v>1495</v>
      </c>
      <c r="CO164" t="s">
        <v>1473</v>
      </c>
      <c r="CP164" t="s">
        <v>1474</v>
      </c>
      <c r="CQ164" t="s">
        <v>540</v>
      </c>
      <c r="CR164" t="s">
        <v>541</v>
      </c>
      <c r="CS164" t="s">
        <v>542</v>
      </c>
      <c r="CT164">
        <v>370</v>
      </c>
      <c r="CU164">
        <v>5</v>
      </c>
      <c r="CV164">
        <v>1.2</v>
      </c>
      <c r="CW164">
        <v>1136</v>
      </c>
      <c r="CX164">
        <v>595</v>
      </c>
      <c r="DD164">
        <v>0</v>
      </c>
      <c r="DE164" t="s">
        <v>543</v>
      </c>
      <c r="DF164">
        <v>550</v>
      </c>
      <c r="DG164">
        <v>3</v>
      </c>
      <c r="DH164">
        <v>1.18</v>
      </c>
      <c r="DI164">
        <v>1134</v>
      </c>
      <c r="DJ164">
        <v>984</v>
      </c>
      <c r="DW164" t="s">
        <v>544</v>
      </c>
      <c r="DX164">
        <v>7.5</v>
      </c>
      <c r="EA164">
        <v>1202.7</v>
      </c>
      <c r="EB164">
        <v>157</v>
      </c>
      <c r="EC164" t="s">
        <v>545</v>
      </c>
      <c r="ED164">
        <v>50</v>
      </c>
      <c r="EE164">
        <v>3</v>
      </c>
      <c r="EG164">
        <v>1233</v>
      </c>
      <c r="EH164">
        <v>251</v>
      </c>
      <c r="EJ164">
        <v>0</v>
      </c>
      <c r="EK164">
        <v>1</v>
      </c>
      <c r="EN164">
        <v>0</v>
      </c>
      <c r="EP164" t="s">
        <v>546</v>
      </c>
      <c r="EQ164">
        <v>110</v>
      </c>
      <c r="ER164">
        <v>3</v>
      </c>
      <c r="ES164">
        <v>5.3</v>
      </c>
      <c r="ET164">
        <v>1119</v>
      </c>
      <c r="EU164">
        <v>437.3</v>
      </c>
      <c r="EV164">
        <v>489</v>
      </c>
      <c r="EW164" t="s">
        <v>547</v>
      </c>
      <c r="EX164">
        <v>70</v>
      </c>
      <c r="EY164">
        <v>2</v>
      </c>
      <c r="EZ164">
        <v>3.7</v>
      </c>
      <c r="FA164">
        <v>1119</v>
      </c>
      <c r="FB164">
        <v>193.8</v>
      </c>
      <c r="FC164">
        <v>217</v>
      </c>
      <c r="FE164">
        <v>0</v>
      </c>
      <c r="FF164">
        <v>2</v>
      </c>
      <c r="FI164">
        <v>0</v>
      </c>
      <c r="FK164" t="s">
        <v>548</v>
      </c>
      <c r="FL164">
        <v>0.4</v>
      </c>
      <c r="FM164">
        <v>80</v>
      </c>
      <c r="FN164">
        <v>110</v>
      </c>
      <c r="FR164" t="s">
        <v>548</v>
      </c>
      <c r="FS164">
        <v>0.4</v>
      </c>
      <c r="FT164">
        <v>30</v>
      </c>
      <c r="FU164">
        <v>360</v>
      </c>
      <c r="FV164">
        <v>30</v>
      </c>
      <c r="FW164">
        <v>210</v>
      </c>
      <c r="HC164">
        <v>0.1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165</v>
      </c>
      <c r="HJ164">
        <v>3</v>
      </c>
      <c r="HK164">
        <v>55</v>
      </c>
      <c r="HL164">
        <v>2</v>
      </c>
      <c r="HM164">
        <v>0</v>
      </c>
      <c r="HN164">
        <v>2</v>
      </c>
      <c r="HO164">
        <v>95</v>
      </c>
      <c r="HP164">
        <v>3</v>
      </c>
      <c r="HQ164">
        <v>0</v>
      </c>
      <c r="HR164">
        <v>2</v>
      </c>
      <c r="HS164">
        <v>3807</v>
      </c>
      <c r="HT164">
        <v>110</v>
      </c>
      <c r="HU164">
        <v>180</v>
      </c>
      <c r="HW164">
        <v>0</v>
      </c>
      <c r="HX164">
        <v>540</v>
      </c>
      <c r="HY164">
        <v>0.18</v>
      </c>
      <c r="IA164">
        <v>0.15</v>
      </c>
      <c r="IB164">
        <v>0</v>
      </c>
      <c r="IC164">
        <v>180</v>
      </c>
      <c r="ID164">
        <v>105</v>
      </c>
      <c r="IE164">
        <v>0</v>
      </c>
      <c r="IF164">
        <v>0</v>
      </c>
      <c r="IH164" t="s">
        <v>549</v>
      </c>
      <c r="IO164">
        <v>1</v>
      </c>
      <c r="IP164">
        <v>15</v>
      </c>
      <c r="IQ164">
        <v>0</v>
      </c>
      <c r="IR164">
        <v>1</v>
      </c>
      <c r="IV164">
        <v>1122</v>
      </c>
      <c r="IW164">
        <v>390</v>
      </c>
      <c r="JA164">
        <v>1</v>
      </c>
      <c r="JB164">
        <v>0</v>
      </c>
      <c r="JC164">
        <v>2</v>
      </c>
      <c r="JD164">
        <v>1136</v>
      </c>
      <c r="JE164">
        <v>1134</v>
      </c>
      <c r="JF164">
        <v>0</v>
      </c>
      <c r="JG164">
        <v>1119</v>
      </c>
      <c r="JH164">
        <v>0</v>
      </c>
      <c r="JJ164">
        <v>180</v>
      </c>
      <c r="JK164">
        <v>540</v>
      </c>
      <c r="JN164">
        <v>370</v>
      </c>
      <c r="JO164">
        <v>550</v>
      </c>
      <c r="JP164">
        <v>0</v>
      </c>
      <c r="JQ164">
        <v>0</v>
      </c>
      <c r="JR164">
        <v>346</v>
      </c>
      <c r="JS164">
        <v>165</v>
      </c>
      <c r="JV164">
        <v>8</v>
      </c>
      <c r="JW164" t="s">
        <v>550</v>
      </c>
      <c r="JX164">
        <v>0</v>
      </c>
      <c r="KA164">
        <v>0</v>
      </c>
      <c r="KB164">
        <v>105</v>
      </c>
      <c r="KC164">
        <v>0</v>
      </c>
      <c r="KD164">
        <v>80</v>
      </c>
      <c r="KF164">
        <v>2</v>
      </c>
      <c r="KG164">
        <v>2</v>
      </c>
      <c r="KH164">
        <v>2</v>
      </c>
      <c r="KI164">
        <v>2</v>
      </c>
      <c r="KJ164">
        <v>0</v>
      </c>
      <c r="KK164">
        <v>1.5</v>
      </c>
      <c r="KL164">
        <v>1.5</v>
      </c>
      <c r="KM164">
        <v>0</v>
      </c>
      <c r="KN164">
        <v>0</v>
      </c>
      <c r="KO164">
        <v>0</v>
      </c>
      <c r="KR164">
        <v>20</v>
      </c>
      <c r="KS164">
        <v>60</v>
      </c>
      <c r="KT164">
        <v>0</v>
      </c>
      <c r="LK164">
        <v>480</v>
      </c>
      <c r="PG164">
        <v>1</v>
      </c>
      <c r="PI164" t="s">
        <v>2395</v>
      </c>
      <c r="PJ164" t="s">
        <v>2396</v>
      </c>
      <c r="PL164" t="s">
        <v>719</v>
      </c>
      <c r="PP164" t="s">
        <v>2397</v>
      </c>
      <c r="PX164">
        <v>56</v>
      </c>
      <c r="PY164">
        <v>57</v>
      </c>
      <c r="PZ164" t="s">
        <v>2395</v>
      </c>
      <c r="QA164">
        <v>1</v>
      </c>
      <c r="QB164">
        <v>1119</v>
      </c>
      <c r="QC164">
        <v>69</v>
      </c>
      <c r="QD164">
        <v>69</v>
      </c>
      <c r="QE164" t="s">
        <v>719</v>
      </c>
      <c r="QF164">
        <v>1</v>
      </c>
      <c r="QG164">
        <v>1136</v>
      </c>
      <c r="QH164">
        <v>66</v>
      </c>
      <c r="QI164">
        <v>66</v>
      </c>
      <c r="QL164">
        <v>0</v>
      </c>
      <c r="QM164">
        <v>62</v>
      </c>
      <c r="QN164">
        <v>62</v>
      </c>
      <c r="QO164" t="s">
        <v>2396</v>
      </c>
      <c r="QP164">
        <v>1</v>
      </c>
      <c r="QQ164">
        <v>1134</v>
      </c>
      <c r="QW164">
        <v>82</v>
      </c>
      <c r="QX164">
        <v>83</v>
      </c>
      <c r="QY164" t="s">
        <v>2397</v>
      </c>
      <c r="QZ164">
        <v>2</v>
      </c>
      <c r="RA164">
        <v>66</v>
      </c>
      <c r="RB164">
        <v>66</v>
      </c>
      <c r="RE164">
        <v>0</v>
      </c>
      <c r="RF164">
        <v>1</v>
      </c>
      <c r="RJ164">
        <v>2</v>
      </c>
      <c r="RL164">
        <v>2</v>
      </c>
      <c r="RO164">
        <v>524</v>
      </c>
      <c r="RQ164">
        <v>868</v>
      </c>
      <c r="RT164">
        <v>157</v>
      </c>
      <c r="RU164">
        <v>251</v>
      </c>
      <c r="RV164" t="s">
        <v>1497</v>
      </c>
      <c r="RW164" t="s">
        <v>1498</v>
      </c>
      <c r="RX164">
        <v>15</v>
      </c>
      <c r="RY164">
        <v>4</v>
      </c>
      <c r="RZ164" t="s">
        <v>1498</v>
      </c>
      <c r="SA164">
        <v>15</v>
      </c>
      <c r="SC164" t="s">
        <v>2396</v>
      </c>
      <c r="SD164">
        <v>1</v>
      </c>
      <c r="SH164">
        <v>0.995</v>
      </c>
      <c r="SI164">
        <v>0.995</v>
      </c>
      <c r="SJ164">
        <v>0.995</v>
      </c>
      <c r="SK164">
        <v>15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TB164">
        <v>0</v>
      </c>
      <c r="TC164">
        <v>0</v>
      </c>
      <c r="TD164">
        <v>7.5</v>
      </c>
      <c r="TE164" t="s">
        <v>553</v>
      </c>
      <c r="TF164" t="s">
        <v>754</v>
      </c>
      <c r="TG164" t="s">
        <v>555</v>
      </c>
      <c r="TI164" t="s">
        <v>546</v>
      </c>
      <c r="TJ164" t="s">
        <v>547</v>
      </c>
      <c r="TL164" t="s">
        <v>2341</v>
      </c>
      <c r="TM164" t="s">
        <v>513</v>
      </c>
      <c r="TN164">
        <v>0</v>
      </c>
      <c r="TO164" t="s">
        <v>557</v>
      </c>
    </row>
    <row r="165" spans="1:535">
      <c r="A165" t="s">
        <v>2398</v>
      </c>
      <c r="B165" t="s">
        <v>729</v>
      </c>
      <c r="C165" t="s">
        <v>509</v>
      </c>
      <c r="D165" t="s">
        <v>2307</v>
      </c>
      <c r="G165" t="s">
        <v>604</v>
      </c>
      <c r="H165" t="s">
        <v>605</v>
      </c>
      <c r="I165" t="s">
        <v>628</v>
      </c>
      <c r="J165" t="s">
        <v>606</v>
      </c>
      <c r="L165" t="s">
        <v>512</v>
      </c>
      <c r="M165" t="s">
        <v>897</v>
      </c>
      <c r="N165" t="s">
        <v>513</v>
      </c>
      <c r="O165" t="s">
        <v>607</v>
      </c>
      <c r="Q165" t="s">
        <v>2399</v>
      </c>
      <c r="R165" t="s">
        <v>517</v>
      </c>
      <c r="S165" t="s">
        <v>518</v>
      </c>
      <c r="T165" t="s">
        <v>519</v>
      </c>
      <c r="U165" t="s">
        <v>520</v>
      </c>
      <c r="V165" t="s">
        <v>521</v>
      </c>
      <c r="W165" t="s">
        <v>2392</v>
      </c>
      <c r="X165" t="s">
        <v>2336</v>
      </c>
      <c r="Y165" t="s">
        <v>524</v>
      </c>
      <c r="Z165" t="s">
        <v>2400</v>
      </c>
      <c r="AA165" t="s">
        <v>2222</v>
      </c>
      <c r="AB165" t="s">
        <v>2401</v>
      </c>
      <c r="AC165">
        <v>2</v>
      </c>
      <c r="AD165">
        <v>57</v>
      </c>
      <c r="AE165">
        <v>170</v>
      </c>
      <c r="AF165">
        <v>1.5</v>
      </c>
      <c r="AH165">
        <v>0</v>
      </c>
      <c r="AI165" t="s">
        <v>734</v>
      </c>
      <c r="AJ165">
        <v>180</v>
      </c>
      <c r="AK165">
        <v>1</v>
      </c>
      <c r="AL165">
        <v>1.5</v>
      </c>
      <c r="AM165" t="s">
        <v>529</v>
      </c>
      <c r="AO165">
        <v>0</v>
      </c>
      <c r="AR165">
        <v>0</v>
      </c>
      <c r="AS165">
        <v>1.5</v>
      </c>
      <c r="AU165" t="s">
        <v>2402</v>
      </c>
      <c r="AW165" t="s">
        <v>2402</v>
      </c>
      <c r="AX165">
        <v>1</v>
      </c>
      <c r="AY165">
        <v>317.5</v>
      </c>
      <c r="AZ165">
        <v>1.5</v>
      </c>
      <c r="BA165" t="s">
        <v>529</v>
      </c>
      <c r="BG165">
        <v>1.5</v>
      </c>
      <c r="BJ165">
        <v>0</v>
      </c>
      <c r="BN165">
        <v>1.5</v>
      </c>
      <c r="BP165" t="s">
        <v>2403</v>
      </c>
      <c r="BQ165">
        <v>82</v>
      </c>
      <c r="BR165">
        <v>2</v>
      </c>
      <c r="BS165" t="s">
        <v>1919</v>
      </c>
      <c r="BT165">
        <v>192</v>
      </c>
      <c r="BU165">
        <v>0.5</v>
      </c>
      <c r="BV165" t="s">
        <v>1919</v>
      </c>
      <c r="BW165">
        <v>384</v>
      </c>
      <c r="BX165">
        <v>1</v>
      </c>
      <c r="BY165" t="s">
        <v>533</v>
      </c>
      <c r="BZ165">
        <v>300</v>
      </c>
      <c r="CA165">
        <v>480</v>
      </c>
      <c r="CB165" t="s">
        <v>534</v>
      </c>
      <c r="CC165" t="s">
        <v>534</v>
      </c>
      <c r="CD165">
        <v>404</v>
      </c>
      <c r="CE165" t="s">
        <v>1493</v>
      </c>
      <c r="CF165">
        <v>15</v>
      </c>
      <c r="CG165" t="s">
        <v>620</v>
      </c>
      <c r="CH165" t="s">
        <v>620</v>
      </c>
      <c r="CI165">
        <v>90</v>
      </c>
      <c r="CJ165">
        <v>1200</v>
      </c>
      <c r="CK165">
        <v>2</v>
      </c>
      <c r="CL165">
        <v>1301</v>
      </c>
      <c r="CM165">
        <v>2</v>
      </c>
      <c r="CN165" t="s">
        <v>537</v>
      </c>
      <c r="CO165" t="s">
        <v>538</v>
      </c>
      <c r="CP165" t="s">
        <v>539</v>
      </c>
      <c r="CQ165" t="s">
        <v>1496</v>
      </c>
      <c r="CR165" t="s">
        <v>541</v>
      </c>
      <c r="CS165" t="s">
        <v>542</v>
      </c>
      <c r="CT165">
        <v>360</v>
      </c>
      <c r="CU165">
        <v>5</v>
      </c>
      <c r="CV165">
        <v>1.2</v>
      </c>
      <c r="CW165">
        <v>1213</v>
      </c>
      <c r="CX165">
        <v>617</v>
      </c>
      <c r="DD165">
        <v>0</v>
      </c>
      <c r="DE165" t="s">
        <v>543</v>
      </c>
      <c r="DF165">
        <v>635</v>
      </c>
      <c r="DG165">
        <v>3</v>
      </c>
      <c r="DH165">
        <v>1.18</v>
      </c>
      <c r="DI165">
        <v>1211</v>
      </c>
      <c r="DJ165">
        <v>1140</v>
      </c>
      <c r="DW165" t="s">
        <v>544</v>
      </c>
      <c r="DX165">
        <v>7.5</v>
      </c>
      <c r="EA165">
        <v>1282.5</v>
      </c>
      <c r="EB165">
        <v>227</v>
      </c>
      <c r="EC165" t="s">
        <v>545</v>
      </c>
      <c r="ED165">
        <v>30</v>
      </c>
      <c r="EE165">
        <v>3</v>
      </c>
      <c r="EG165">
        <v>1323</v>
      </c>
      <c r="EH165">
        <v>162</v>
      </c>
      <c r="EJ165">
        <v>0</v>
      </c>
      <c r="EK165">
        <v>1</v>
      </c>
      <c r="EN165">
        <v>0</v>
      </c>
      <c r="EP165" t="s">
        <v>546</v>
      </c>
      <c r="EQ165">
        <v>90</v>
      </c>
      <c r="ER165">
        <v>3</v>
      </c>
      <c r="ES165">
        <v>5</v>
      </c>
      <c r="ET165">
        <v>1194</v>
      </c>
      <c r="EU165">
        <v>326.2</v>
      </c>
      <c r="EV165">
        <v>389</v>
      </c>
      <c r="EW165" t="s">
        <v>547</v>
      </c>
      <c r="EX165">
        <v>70</v>
      </c>
      <c r="EY165">
        <v>2</v>
      </c>
      <c r="EZ165">
        <v>3.7</v>
      </c>
      <c r="FA165">
        <v>1194</v>
      </c>
      <c r="FB165">
        <v>188.2</v>
      </c>
      <c r="FC165">
        <v>225</v>
      </c>
      <c r="FE165">
        <v>0</v>
      </c>
      <c r="FF165">
        <v>2</v>
      </c>
      <c r="FI165">
        <v>0</v>
      </c>
      <c r="FK165" t="s">
        <v>548</v>
      </c>
      <c r="FL165">
        <v>0.4</v>
      </c>
      <c r="FM165">
        <v>60</v>
      </c>
      <c r="FN165">
        <v>120</v>
      </c>
      <c r="FR165" t="s">
        <v>548</v>
      </c>
      <c r="FS165">
        <v>0.4</v>
      </c>
      <c r="FT165">
        <v>30</v>
      </c>
      <c r="FU165">
        <v>350</v>
      </c>
      <c r="HC165">
        <v>0.1</v>
      </c>
      <c r="HD165">
        <v>3</v>
      </c>
      <c r="HE165">
        <v>3</v>
      </c>
      <c r="HF165">
        <v>3</v>
      </c>
      <c r="HG165">
        <v>3</v>
      </c>
      <c r="HH165">
        <v>3</v>
      </c>
      <c r="HI165">
        <v>145</v>
      </c>
      <c r="HJ165">
        <v>3</v>
      </c>
      <c r="HK165">
        <v>55</v>
      </c>
      <c r="HL165">
        <v>2</v>
      </c>
      <c r="HM165">
        <v>0</v>
      </c>
      <c r="HN165">
        <v>2</v>
      </c>
      <c r="HO165">
        <v>75</v>
      </c>
      <c r="HP165">
        <v>3</v>
      </c>
      <c r="HQ165">
        <v>0</v>
      </c>
      <c r="HR165">
        <v>2</v>
      </c>
      <c r="HS165">
        <v>3763</v>
      </c>
      <c r="HT165">
        <v>110</v>
      </c>
      <c r="HU165">
        <v>180</v>
      </c>
      <c r="HW165">
        <v>20</v>
      </c>
      <c r="HX165">
        <v>456</v>
      </c>
      <c r="HY165">
        <v>0.18</v>
      </c>
      <c r="IA165">
        <v>0.15</v>
      </c>
      <c r="IB165">
        <v>0</v>
      </c>
      <c r="IC165">
        <v>180</v>
      </c>
      <c r="ID165">
        <v>110</v>
      </c>
      <c r="IE165">
        <v>0</v>
      </c>
      <c r="IF165">
        <v>0</v>
      </c>
      <c r="IH165" t="s">
        <v>549</v>
      </c>
      <c r="IO165">
        <v>1</v>
      </c>
      <c r="IP165">
        <v>16</v>
      </c>
      <c r="IQ165">
        <v>0</v>
      </c>
      <c r="IR165">
        <v>1</v>
      </c>
      <c r="IV165">
        <v>1200</v>
      </c>
      <c r="IW165">
        <v>384</v>
      </c>
      <c r="JA165">
        <v>1</v>
      </c>
      <c r="JB165">
        <v>0</v>
      </c>
      <c r="JC165">
        <v>2</v>
      </c>
      <c r="JD165">
        <v>1213</v>
      </c>
      <c r="JE165">
        <v>1211</v>
      </c>
      <c r="JF165">
        <v>0</v>
      </c>
      <c r="JG165">
        <v>1194</v>
      </c>
      <c r="JH165">
        <v>0</v>
      </c>
      <c r="JJ165">
        <v>180</v>
      </c>
      <c r="JK165">
        <v>456</v>
      </c>
      <c r="JN165">
        <v>360</v>
      </c>
      <c r="JO165">
        <v>635</v>
      </c>
      <c r="JP165">
        <v>0</v>
      </c>
      <c r="JQ165">
        <v>0</v>
      </c>
      <c r="JR165">
        <v>340</v>
      </c>
      <c r="JS165">
        <v>145</v>
      </c>
      <c r="JV165">
        <v>8</v>
      </c>
      <c r="JW165" t="s">
        <v>550</v>
      </c>
      <c r="JX165">
        <v>0</v>
      </c>
      <c r="KA165">
        <v>0</v>
      </c>
      <c r="KB165">
        <v>110</v>
      </c>
      <c r="KC165">
        <v>0</v>
      </c>
      <c r="KD165">
        <v>80</v>
      </c>
      <c r="KF165">
        <v>4</v>
      </c>
      <c r="KG165">
        <v>2</v>
      </c>
      <c r="KH165">
        <v>2</v>
      </c>
      <c r="KI165">
        <v>2</v>
      </c>
      <c r="KJ165">
        <v>0</v>
      </c>
      <c r="KK165">
        <v>1.5</v>
      </c>
      <c r="KL165">
        <v>1.5</v>
      </c>
      <c r="KM165">
        <v>0</v>
      </c>
      <c r="KN165">
        <v>0</v>
      </c>
      <c r="KO165">
        <v>0</v>
      </c>
      <c r="KR165">
        <v>20</v>
      </c>
      <c r="KS165">
        <v>60</v>
      </c>
      <c r="KT165">
        <v>0</v>
      </c>
      <c r="LK165">
        <v>480</v>
      </c>
      <c r="LV165">
        <v>0</v>
      </c>
      <c r="LW165">
        <v>0</v>
      </c>
      <c r="LX165">
        <v>325</v>
      </c>
      <c r="LY165">
        <v>3</v>
      </c>
      <c r="PG165">
        <v>1</v>
      </c>
      <c r="PI165" t="s">
        <v>2401</v>
      </c>
      <c r="PJ165" t="s">
        <v>2402</v>
      </c>
      <c r="PL165" t="s">
        <v>734</v>
      </c>
      <c r="PP165" t="s">
        <v>2403</v>
      </c>
      <c r="PX165">
        <v>56</v>
      </c>
      <c r="PY165">
        <v>57</v>
      </c>
      <c r="PZ165" t="s">
        <v>2401</v>
      </c>
      <c r="QA165">
        <v>1</v>
      </c>
      <c r="QB165">
        <v>1194</v>
      </c>
      <c r="QC165">
        <v>69</v>
      </c>
      <c r="QD165">
        <v>69</v>
      </c>
      <c r="QE165" t="s">
        <v>734</v>
      </c>
      <c r="QF165">
        <v>1</v>
      </c>
      <c r="QG165">
        <v>1213</v>
      </c>
      <c r="QH165">
        <v>66</v>
      </c>
      <c r="QI165">
        <v>66</v>
      </c>
      <c r="QL165">
        <v>0</v>
      </c>
      <c r="QM165">
        <v>62</v>
      </c>
      <c r="QN165">
        <v>62</v>
      </c>
      <c r="QO165" t="s">
        <v>2402</v>
      </c>
      <c r="QP165">
        <v>1</v>
      </c>
      <c r="QQ165">
        <v>1211</v>
      </c>
      <c r="QW165">
        <v>82</v>
      </c>
      <c r="QX165">
        <v>82</v>
      </c>
      <c r="QY165" t="s">
        <v>2403</v>
      </c>
      <c r="QZ165">
        <v>1</v>
      </c>
      <c r="RA165">
        <v>66</v>
      </c>
      <c r="RB165">
        <v>66</v>
      </c>
      <c r="RE165">
        <v>0</v>
      </c>
      <c r="RF165">
        <v>1</v>
      </c>
      <c r="RJ165">
        <v>1</v>
      </c>
      <c r="RL165">
        <v>2</v>
      </c>
      <c r="RO165">
        <v>509</v>
      </c>
      <c r="RQ165">
        <v>941</v>
      </c>
      <c r="RT165">
        <v>227</v>
      </c>
      <c r="RU165">
        <v>162</v>
      </c>
      <c r="RV165" t="s">
        <v>1920</v>
      </c>
      <c r="RW165" t="s">
        <v>552</v>
      </c>
      <c r="RX165">
        <v>15</v>
      </c>
      <c r="RY165">
        <v>4</v>
      </c>
      <c r="RZ165" t="s">
        <v>552</v>
      </c>
      <c r="SA165">
        <v>15</v>
      </c>
      <c r="SC165" t="s">
        <v>2402</v>
      </c>
      <c r="SD165">
        <v>1</v>
      </c>
      <c r="SH165">
        <v>0.995</v>
      </c>
      <c r="SI165">
        <v>0.995</v>
      </c>
      <c r="SJ165">
        <v>0.995</v>
      </c>
      <c r="SK165">
        <v>15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TB165">
        <v>0</v>
      </c>
      <c r="TC165">
        <v>0</v>
      </c>
      <c r="TD165">
        <v>7.5</v>
      </c>
      <c r="TE165" t="s">
        <v>553</v>
      </c>
      <c r="TF165" t="s">
        <v>624</v>
      </c>
      <c r="TG165" t="s">
        <v>555</v>
      </c>
      <c r="TI165" t="s">
        <v>546</v>
      </c>
      <c r="TJ165" t="s">
        <v>547</v>
      </c>
      <c r="TL165" t="s">
        <v>2341</v>
      </c>
      <c r="TM165" t="s">
        <v>513</v>
      </c>
      <c r="TN165">
        <v>0</v>
      </c>
      <c r="TO165" t="s">
        <v>557</v>
      </c>
    </row>
    <row r="166" spans="1:535">
      <c r="A166" t="s">
        <v>2404</v>
      </c>
      <c r="B166" t="s">
        <v>657</v>
      </c>
      <c r="C166" t="s">
        <v>509</v>
      </c>
      <c r="D166" t="s">
        <v>2012</v>
      </c>
      <c r="G166" t="s">
        <v>627</v>
      </c>
      <c r="H166" t="s">
        <v>604</v>
      </c>
      <c r="I166" t="s">
        <v>628</v>
      </c>
      <c r="J166" t="s">
        <v>606</v>
      </c>
      <c r="L166" t="s">
        <v>512</v>
      </c>
      <c r="M166" t="s">
        <v>559</v>
      </c>
      <c r="N166" t="s">
        <v>513</v>
      </c>
      <c r="O166" t="s">
        <v>607</v>
      </c>
      <c r="Q166" t="s">
        <v>2405</v>
      </c>
      <c r="R166" t="s">
        <v>517</v>
      </c>
      <c r="S166" t="s">
        <v>1102</v>
      </c>
      <c r="T166" t="s">
        <v>1103</v>
      </c>
      <c r="U166" t="s">
        <v>633</v>
      </c>
      <c r="V166" t="s">
        <v>634</v>
      </c>
      <c r="W166" t="s">
        <v>2406</v>
      </c>
      <c r="X166" t="s">
        <v>2336</v>
      </c>
      <c r="Y166" t="s">
        <v>574</v>
      </c>
      <c r="Z166" t="s">
        <v>2407</v>
      </c>
      <c r="AA166" t="s">
        <v>2408</v>
      </c>
      <c r="AB166" t="s">
        <v>2409</v>
      </c>
      <c r="AC166">
        <v>2</v>
      </c>
      <c r="AD166">
        <v>57</v>
      </c>
      <c r="AE166">
        <v>231</v>
      </c>
      <c r="AF166">
        <v>1.5</v>
      </c>
      <c r="AH166">
        <v>0</v>
      </c>
      <c r="AI166" t="s">
        <v>1246</v>
      </c>
      <c r="AJ166">
        <v>210</v>
      </c>
      <c r="AK166">
        <v>1</v>
      </c>
      <c r="AL166">
        <v>1.5</v>
      </c>
      <c r="AM166" t="s">
        <v>579</v>
      </c>
      <c r="AN166" t="s">
        <v>693</v>
      </c>
      <c r="AO166">
        <v>2</v>
      </c>
      <c r="AP166" t="s">
        <v>581</v>
      </c>
      <c r="AQ166" t="s">
        <v>582</v>
      </c>
      <c r="AR166">
        <v>250</v>
      </c>
      <c r="AS166">
        <v>1.5</v>
      </c>
      <c r="AT166" t="s">
        <v>583</v>
      </c>
      <c r="AU166" t="s">
        <v>2410</v>
      </c>
      <c r="AW166" t="s">
        <v>2410</v>
      </c>
      <c r="AX166">
        <v>1</v>
      </c>
      <c r="AY166">
        <v>322.5</v>
      </c>
      <c r="AZ166">
        <v>1.5</v>
      </c>
      <c r="BA166" t="s">
        <v>579</v>
      </c>
      <c r="BB166" t="s">
        <v>2411</v>
      </c>
      <c r="BD166" t="s">
        <v>2411</v>
      </c>
      <c r="BE166">
        <v>1</v>
      </c>
      <c r="BF166">
        <v>310</v>
      </c>
      <c r="BG166">
        <v>1.5</v>
      </c>
      <c r="BJ166">
        <v>0</v>
      </c>
      <c r="BN166">
        <v>1.5</v>
      </c>
      <c r="BP166" t="s">
        <v>2412</v>
      </c>
      <c r="BQ166">
        <v>89</v>
      </c>
      <c r="BR166">
        <v>2</v>
      </c>
      <c r="BS166" t="s">
        <v>889</v>
      </c>
      <c r="BT166">
        <v>231</v>
      </c>
      <c r="BU166">
        <v>0.5</v>
      </c>
      <c r="BV166" t="s">
        <v>889</v>
      </c>
      <c r="BW166">
        <v>462</v>
      </c>
      <c r="BX166">
        <v>1</v>
      </c>
      <c r="BY166" t="s">
        <v>643</v>
      </c>
      <c r="BZ166">
        <v>470</v>
      </c>
      <c r="CA166">
        <v>610</v>
      </c>
      <c r="CB166" t="s">
        <v>644</v>
      </c>
      <c r="CC166" t="s">
        <v>644</v>
      </c>
      <c r="CD166">
        <v>486</v>
      </c>
      <c r="CE166" t="s">
        <v>544</v>
      </c>
      <c r="CF166">
        <v>15</v>
      </c>
      <c r="CG166" t="s">
        <v>1024</v>
      </c>
      <c r="CH166" t="s">
        <v>1024</v>
      </c>
      <c r="CI166">
        <v>70</v>
      </c>
      <c r="CJ166">
        <v>1301</v>
      </c>
      <c r="CK166">
        <v>2</v>
      </c>
      <c r="CL166">
        <v>1395</v>
      </c>
      <c r="CM166">
        <v>2</v>
      </c>
      <c r="CN166" t="s">
        <v>646</v>
      </c>
      <c r="CO166" t="s">
        <v>647</v>
      </c>
      <c r="CP166" t="s">
        <v>648</v>
      </c>
      <c r="CQ166" t="s">
        <v>1849</v>
      </c>
      <c r="CR166" t="s">
        <v>541</v>
      </c>
      <c r="CS166" t="s">
        <v>542</v>
      </c>
      <c r="CT166">
        <v>420</v>
      </c>
      <c r="CU166">
        <v>5</v>
      </c>
      <c r="CV166">
        <v>1.2</v>
      </c>
      <c r="CW166">
        <v>1319</v>
      </c>
      <c r="CX166">
        <v>785</v>
      </c>
      <c r="CY166" t="s">
        <v>705</v>
      </c>
      <c r="CZ166">
        <v>50</v>
      </c>
      <c r="DA166">
        <v>3</v>
      </c>
      <c r="DB166">
        <v>1</v>
      </c>
      <c r="DC166">
        <v>1319</v>
      </c>
      <c r="DD166">
        <v>69</v>
      </c>
      <c r="DE166" t="s">
        <v>543</v>
      </c>
      <c r="DF166">
        <v>645</v>
      </c>
      <c r="DG166">
        <v>3</v>
      </c>
      <c r="DH166">
        <v>1.18</v>
      </c>
      <c r="DI166">
        <v>1312</v>
      </c>
      <c r="DJ166">
        <v>1349</v>
      </c>
      <c r="DK166" t="s">
        <v>543</v>
      </c>
      <c r="DL166">
        <v>620</v>
      </c>
      <c r="DM166">
        <v>3</v>
      </c>
      <c r="DN166">
        <v>1.18</v>
      </c>
      <c r="DO166">
        <v>1322</v>
      </c>
      <c r="DP166">
        <v>1170</v>
      </c>
      <c r="DW166" t="s">
        <v>544</v>
      </c>
      <c r="DX166">
        <v>7.5</v>
      </c>
      <c r="EA166">
        <v>1384.6</v>
      </c>
      <c r="EB166">
        <v>327</v>
      </c>
      <c r="EC166" t="s">
        <v>545</v>
      </c>
      <c r="ED166">
        <v>60</v>
      </c>
      <c r="EE166">
        <v>3</v>
      </c>
      <c r="EG166">
        <v>1435</v>
      </c>
      <c r="EH166">
        <v>357</v>
      </c>
      <c r="EJ166">
        <v>0</v>
      </c>
      <c r="EK166">
        <v>1</v>
      </c>
      <c r="EN166">
        <v>0</v>
      </c>
      <c r="EP166" t="s">
        <v>546</v>
      </c>
      <c r="EQ166">
        <v>135</v>
      </c>
      <c r="ER166">
        <v>3</v>
      </c>
      <c r="ES166">
        <v>7.4</v>
      </c>
      <c r="ET166">
        <v>1310</v>
      </c>
      <c r="EU166">
        <v>769.2</v>
      </c>
      <c r="EV166">
        <v>1008</v>
      </c>
      <c r="EW166" t="s">
        <v>547</v>
      </c>
      <c r="EX166">
        <v>45</v>
      </c>
      <c r="EY166">
        <v>2</v>
      </c>
      <c r="EZ166">
        <v>5.5</v>
      </c>
      <c r="FA166">
        <v>1310</v>
      </c>
      <c r="FB166">
        <v>161.5</v>
      </c>
      <c r="FC166">
        <v>212</v>
      </c>
      <c r="FE166">
        <v>0</v>
      </c>
      <c r="FF166">
        <v>2</v>
      </c>
      <c r="FI166">
        <v>0</v>
      </c>
      <c r="FK166" t="s">
        <v>548</v>
      </c>
      <c r="FL166">
        <v>0.4</v>
      </c>
      <c r="FM166">
        <v>50</v>
      </c>
      <c r="FN166">
        <v>380</v>
      </c>
      <c r="FO166">
        <v>95</v>
      </c>
      <c r="FP166">
        <v>130</v>
      </c>
      <c r="FR166" t="s">
        <v>548</v>
      </c>
      <c r="FS166">
        <v>0.4</v>
      </c>
      <c r="FT166">
        <v>30</v>
      </c>
      <c r="FU166">
        <v>570</v>
      </c>
      <c r="GR166" t="s">
        <v>548</v>
      </c>
      <c r="GS166">
        <v>0.4</v>
      </c>
      <c r="GT166">
        <v>50</v>
      </c>
      <c r="GU166">
        <v>260</v>
      </c>
      <c r="HC166">
        <v>0.1</v>
      </c>
      <c r="HD166">
        <v>3</v>
      </c>
      <c r="HE166">
        <v>3</v>
      </c>
      <c r="HF166">
        <v>3</v>
      </c>
      <c r="HG166">
        <v>3</v>
      </c>
      <c r="HH166">
        <v>3</v>
      </c>
      <c r="HI166">
        <v>160</v>
      </c>
      <c r="HJ166">
        <v>3</v>
      </c>
      <c r="HK166">
        <v>25</v>
      </c>
      <c r="HL166">
        <v>2</v>
      </c>
      <c r="HM166">
        <v>0</v>
      </c>
      <c r="HN166">
        <v>2</v>
      </c>
      <c r="HO166">
        <v>115</v>
      </c>
      <c r="HP166">
        <v>3</v>
      </c>
      <c r="HQ166">
        <v>0</v>
      </c>
      <c r="HR166">
        <v>2</v>
      </c>
      <c r="HS166">
        <v>7250</v>
      </c>
      <c r="HT166">
        <v>220</v>
      </c>
      <c r="HU166">
        <v>180</v>
      </c>
      <c r="HW166">
        <v>0</v>
      </c>
      <c r="HX166">
        <v>556</v>
      </c>
      <c r="HY166">
        <v>0.18</v>
      </c>
      <c r="IA166">
        <v>0.15</v>
      </c>
      <c r="IB166">
        <v>0</v>
      </c>
      <c r="IC166">
        <v>180</v>
      </c>
      <c r="ID166">
        <v>110</v>
      </c>
      <c r="IE166">
        <v>225</v>
      </c>
      <c r="IF166">
        <v>0</v>
      </c>
      <c r="IH166" t="s">
        <v>549</v>
      </c>
      <c r="IO166">
        <v>3</v>
      </c>
      <c r="IP166">
        <v>17</v>
      </c>
      <c r="IQ166">
        <v>0</v>
      </c>
      <c r="IR166">
        <v>0</v>
      </c>
      <c r="IV166">
        <v>1301</v>
      </c>
      <c r="IW166">
        <v>462</v>
      </c>
      <c r="JA166">
        <v>1</v>
      </c>
      <c r="JB166">
        <v>0</v>
      </c>
      <c r="JC166">
        <v>2</v>
      </c>
      <c r="JD166">
        <v>1319</v>
      </c>
      <c r="JE166">
        <v>1312</v>
      </c>
      <c r="JF166">
        <v>1322</v>
      </c>
      <c r="JG166">
        <v>1310</v>
      </c>
      <c r="JH166">
        <v>0</v>
      </c>
      <c r="JJ166">
        <v>180</v>
      </c>
      <c r="JK166">
        <v>556</v>
      </c>
      <c r="JN166">
        <v>420</v>
      </c>
      <c r="JO166">
        <v>645</v>
      </c>
      <c r="JP166">
        <v>620</v>
      </c>
      <c r="JQ166">
        <v>0</v>
      </c>
      <c r="JR166">
        <v>462</v>
      </c>
      <c r="JS166">
        <v>160</v>
      </c>
      <c r="JV166">
        <v>8</v>
      </c>
      <c r="JW166" t="s">
        <v>550</v>
      </c>
      <c r="JX166">
        <v>500</v>
      </c>
      <c r="KA166">
        <v>225</v>
      </c>
      <c r="KB166">
        <v>110</v>
      </c>
      <c r="KC166">
        <v>0</v>
      </c>
      <c r="KD166">
        <v>80</v>
      </c>
      <c r="KF166">
        <v>4</v>
      </c>
      <c r="KG166">
        <v>2</v>
      </c>
      <c r="KH166">
        <v>2</v>
      </c>
      <c r="KI166">
        <v>2</v>
      </c>
      <c r="KJ166">
        <v>0</v>
      </c>
      <c r="KK166">
        <v>1.5</v>
      </c>
      <c r="KL166">
        <v>1.5</v>
      </c>
      <c r="KM166">
        <v>0</v>
      </c>
      <c r="KN166">
        <v>0</v>
      </c>
      <c r="KO166">
        <v>0</v>
      </c>
      <c r="KR166">
        <v>20</v>
      </c>
      <c r="KS166">
        <v>60</v>
      </c>
      <c r="KT166">
        <v>0</v>
      </c>
      <c r="LK166">
        <v>480</v>
      </c>
      <c r="PG166">
        <v>1</v>
      </c>
      <c r="PI166" t="s">
        <v>2409</v>
      </c>
      <c r="PJ166" t="s">
        <v>2410</v>
      </c>
      <c r="PK166" t="s">
        <v>2411</v>
      </c>
      <c r="PL166" t="s">
        <v>1246</v>
      </c>
      <c r="PP166" t="s">
        <v>2412</v>
      </c>
      <c r="PS166" t="s">
        <v>693</v>
      </c>
      <c r="PX166">
        <v>56</v>
      </c>
      <c r="PY166">
        <v>57</v>
      </c>
      <c r="PZ166" t="s">
        <v>2409</v>
      </c>
      <c r="QA166">
        <v>3</v>
      </c>
      <c r="QB166">
        <v>1310</v>
      </c>
      <c r="QC166">
        <v>69</v>
      </c>
      <c r="QD166">
        <v>69</v>
      </c>
      <c r="QE166" t="s">
        <v>1246</v>
      </c>
      <c r="QF166">
        <v>1</v>
      </c>
      <c r="QG166">
        <v>1319</v>
      </c>
      <c r="QH166">
        <v>66</v>
      </c>
      <c r="QI166">
        <v>66</v>
      </c>
      <c r="QJ166" t="s">
        <v>693</v>
      </c>
      <c r="QK166">
        <v>1</v>
      </c>
      <c r="QL166">
        <v>1319</v>
      </c>
      <c r="QM166">
        <v>62</v>
      </c>
      <c r="QN166">
        <v>62</v>
      </c>
      <c r="QO166" t="s">
        <v>2410</v>
      </c>
      <c r="QP166">
        <v>1</v>
      </c>
      <c r="QQ166">
        <v>1312</v>
      </c>
      <c r="QR166">
        <v>62</v>
      </c>
      <c r="QS166">
        <v>62</v>
      </c>
      <c r="QT166" t="s">
        <v>2411</v>
      </c>
      <c r="QU166">
        <v>1</v>
      </c>
      <c r="QV166">
        <v>1322</v>
      </c>
      <c r="QW166">
        <v>82</v>
      </c>
      <c r="QX166">
        <v>89</v>
      </c>
      <c r="QY166" t="s">
        <v>2412</v>
      </c>
      <c r="QZ166">
        <v>2</v>
      </c>
      <c r="RA166">
        <v>66</v>
      </c>
      <c r="RB166">
        <v>66</v>
      </c>
      <c r="RE166">
        <v>0</v>
      </c>
      <c r="RF166">
        <v>1</v>
      </c>
      <c r="RH166">
        <v>1</v>
      </c>
      <c r="RJ166">
        <v>2</v>
      </c>
      <c r="RK166">
        <v>2</v>
      </c>
      <c r="RL166">
        <v>2</v>
      </c>
      <c r="RM166">
        <v>2</v>
      </c>
      <c r="RO166">
        <v>595</v>
      </c>
      <c r="RP166">
        <v>105</v>
      </c>
      <c r="RQ166">
        <v>1028</v>
      </c>
      <c r="RR166">
        <v>885</v>
      </c>
      <c r="RT166">
        <v>327</v>
      </c>
      <c r="RU166">
        <v>357</v>
      </c>
      <c r="RV166" t="s">
        <v>893</v>
      </c>
      <c r="RW166" t="s">
        <v>653</v>
      </c>
      <c r="RX166">
        <v>15</v>
      </c>
      <c r="RY166">
        <v>4</v>
      </c>
      <c r="RZ166" t="s">
        <v>653</v>
      </c>
      <c r="SA166">
        <v>15</v>
      </c>
      <c r="SC166" t="s">
        <v>2410</v>
      </c>
      <c r="SD166">
        <v>1</v>
      </c>
      <c r="SF166" t="s">
        <v>2411</v>
      </c>
      <c r="SG166">
        <v>1</v>
      </c>
      <c r="SH166">
        <v>0.995</v>
      </c>
      <c r="SI166">
        <v>0.995</v>
      </c>
      <c r="SJ166">
        <v>0.995</v>
      </c>
      <c r="SK166">
        <v>15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1</v>
      </c>
      <c r="SZ166">
        <v>1</v>
      </c>
      <c r="TB166">
        <v>0</v>
      </c>
      <c r="TC166">
        <v>0</v>
      </c>
      <c r="TD166">
        <v>7.5</v>
      </c>
      <c r="TE166" t="s">
        <v>553</v>
      </c>
      <c r="TF166" t="s">
        <v>681</v>
      </c>
      <c r="TG166" t="s">
        <v>555</v>
      </c>
      <c r="TI166" t="s">
        <v>546</v>
      </c>
      <c r="TJ166" t="s">
        <v>547</v>
      </c>
      <c r="TL166" t="s">
        <v>2341</v>
      </c>
      <c r="TM166" t="s">
        <v>513</v>
      </c>
      <c r="TN166">
        <v>0</v>
      </c>
      <c r="TO166" t="s">
        <v>557</v>
      </c>
    </row>
    <row r="167" spans="1:535">
      <c r="A167" t="s">
        <v>2413</v>
      </c>
      <c r="B167" t="s">
        <v>729</v>
      </c>
      <c r="C167" t="s">
        <v>509</v>
      </c>
      <c r="D167" t="s">
        <v>1877</v>
      </c>
      <c r="G167" t="s">
        <v>604</v>
      </c>
      <c r="H167" t="s">
        <v>605</v>
      </c>
      <c r="I167" t="s">
        <v>628</v>
      </c>
      <c r="J167" t="s">
        <v>606</v>
      </c>
      <c r="L167" t="s">
        <v>512</v>
      </c>
      <c r="M167" t="s">
        <v>897</v>
      </c>
      <c r="N167" t="s">
        <v>513</v>
      </c>
      <c r="O167" t="s">
        <v>607</v>
      </c>
      <c r="Q167" t="s">
        <v>2414</v>
      </c>
      <c r="R167" t="s">
        <v>517</v>
      </c>
      <c r="S167" t="s">
        <v>1455</v>
      </c>
      <c r="T167" t="s">
        <v>1456</v>
      </c>
      <c r="U167" t="s">
        <v>1457</v>
      </c>
      <c r="V167" t="s">
        <v>1458</v>
      </c>
      <c r="W167" t="s">
        <v>2382</v>
      </c>
      <c r="X167" t="s">
        <v>2336</v>
      </c>
      <c r="Y167" t="s">
        <v>524</v>
      </c>
      <c r="Z167" t="s">
        <v>2415</v>
      </c>
      <c r="AA167" t="s">
        <v>2416</v>
      </c>
      <c r="AB167" t="s">
        <v>2417</v>
      </c>
      <c r="AC167">
        <v>2</v>
      </c>
      <c r="AD167">
        <v>57</v>
      </c>
      <c r="AE167">
        <v>153</v>
      </c>
      <c r="AF167">
        <v>1.5</v>
      </c>
      <c r="AH167">
        <v>0</v>
      </c>
      <c r="AI167" t="s">
        <v>1359</v>
      </c>
      <c r="AJ167">
        <v>162.5</v>
      </c>
      <c r="AK167">
        <v>1</v>
      </c>
      <c r="AL167">
        <v>1.5</v>
      </c>
      <c r="AM167" t="s">
        <v>529</v>
      </c>
      <c r="AO167">
        <v>0</v>
      </c>
      <c r="AR167">
        <v>0</v>
      </c>
      <c r="AS167">
        <v>1.5</v>
      </c>
      <c r="AV167" t="s">
        <v>2418</v>
      </c>
      <c r="AW167" t="s">
        <v>2418</v>
      </c>
      <c r="AX167">
        <v>1</v>
      </c>
      <c r="AY167">
        <v>242.5</v>
      </c>
      <c r="AZ167">
        <v>1.5</v>
      </c>
      <c r="BA167" t="s">
        <v>529</v>
      </c>
      <c r="BG167">
        <v>1.5</v>
      </c>
      <c r="BJ167">
        <v>0</v>
      </c>
      <c r="BN167">
        <v>1.5</v>
      </c>
      <c r="BP167" t="s">
        <v>2419</v>
      </c>
      <c r="BQ167">
        <v>88</v>
      </c>
      <c r="BR167">
        <v>2</v>
      </c>
      <c r="BS167" t="s">
        <v>1898</v>
      </c>
      <c r="BT167">
        <v>175</v>
      </c>
      <c r="BU167">
        <v>0.5</v>
      </c>
      <c r="BV167" t="s">
        <v>1898</v>
      </c>
      <c r="BW167">
        <v>350</v>
      </c>
      <c r="BX167">
        <v>1</v>
      </c>
      <c r="BY167" t="s">
        <v>1468</v>
      </c>
      <c r="BZ167">
        <v>300</v>
      </c>
      <c r="CA167">
        <v>460</v>
      </c>
      <c r="CB167" t="s">
        <v>1469</v>
      </c>
      <c r="CC167" t="s">
        <v>1469</v>
      </c>
      <c r="CD167">
        <v>370</v>
      </c>
      <c r="CE167" t="s">
        <v>1470</v>
      </c>
      <c r="CF167">
        <v>15</v>
      </c>
      <c r="CG167" t="s">
        <v>1899</v>
      </c>
      <c r="CH167" t="s">
        <v>1899</v>
      </c>
      <c r="CI167">
        <v>80</v>
      </c>
      <c r="CJ167">
        <v>1050</v>
      </c>
      <c r="CK167">
        <v>2</v>
      </c>
      <c r="CL167">
        <v>1144</v>
      </c>
      <c r="CM167">
        <v>2</v>
      </c>
      <c r="CN167" t="s">
        <v>1472</v>
      </c>
      <c r="CO167" t="s">
        <v>1473</v>
      </c>
      <c r="CP167" t="s">
        <v>1474</v>
      </c>
      <c r="CQ167" t="s">
        <v>649</v>
      </c>
      <c r="CR167" t="s">
        <v>650</v>
      </c>
      <c r="CS167" t="s">
        <v>542</v>
      </c>
      <c r="CT167">
        <v>325</v>
      </c>
      <c r="CU167">
        <v>5</v>
      </c>
      <c r="CV167">
        <v>1.2</v>
      </c>
      <c r="CW167">
        <v>1064</v>
      </c>
      <c r="CX167">
        <v>489</v>
      </c>
      <c r="DD167">
        <v>0</v>
      </c>
      <c r="DE167" t="s">
        <v>543</v>
      </c>
      <c r="DF167">
        <v>485</v>
      </c>
      <c r="DG167">
        <v>3</v>
      </c>
      <c r="DH167">
        <v>1.18</v>
      </c>
      <c r="DI167">
        <v>1062</v>
      </c>
      <c r="DJ167">
        <v>842</v>
      </c>
      <c r="DW167" t="s">
        <v>544</v>
      </c>
      <c r="DX167">
        <v>7.5</v>
      </c>
      <c r="EA167">
        <v>1123</v>
      </c>
      <c r="EB167">
        <v>147</v>
      </c>
      <c r="EC167" t="s">
        <v>545</v>
      </c>
      <c r="ED167">
        <v>45</v>
      </c>
      <c r="EE167">
        <v>3</v>
      </c>
      <c r="EG167">
        <v>1154</v>
      </c>
      <c r="EH167">
        <v>210</v>
      </c>
      <c r="EJ167">
        <v>0</v>
      </c>
      <c r="EK167">
        <v>1</v>
      </c>
      <c r="EN167">
        <v>0</v>
      </c>
      <c r="EP167" t="s">
        <v>546</v>
      </c>
      <c r="EQ167">
        <v>81</v>
      </c>
      <c r="ER167">
        <v>3</v>
      </c>
      <c r="ES167">
        <v>5.5</v>
      </c>
      <c r="ET167">
        <v>1048</v>
      </c>
      <c r="EU167">
        <v>307.7</v>
      </c>
      <c r="EV167">
        <v>322</v>
      </c>
      <c r="EW167" t="s">
        <v>547</v>
      </c>
      <c r="EX167">
        <v>70</v>
      </c>
      <c r="EY167">
        <v>2</v>
      </c>
      <c r="EZ167">
        <v>3.8</v>
      </c>
      <c r="FA167">
        <v>1048</v>
      </c>
      <c r="FB167">
        <v>206.3</v>
      </c>
      <c r="FC167">
        <v>216</v>
      </c>
      <c r="FE167">
        <v>0</v>
      </c>
      <c r="FF167">
        <v>2</v>
      </c>
      <c r="FI167">
        <v>0</v>
      </c>
      <c r="FK167" t="s">
        <v>548</v>
      </c>
      <c r="FL167">
        <v>0.4</v>
      </c>
      <c r="FM167">
        <v>45</v>
      </c>
      <c r="FN167">
        <v>120</v>
      </c>
      <c r="FR167" t="s">
        <v>548</v>
      </c>
      <c r="FS167">
        <v>0.4</v>
      </c>
      <c r="FT167">
        <v>30</v>
      </c>
      <c r="FU167">
        <v>310</v>
      </c>
      <c r="FV167">
        <v>30</v>
      </c>
      <c r="FW167">
        <v>180</v>
      </c>
      <c r="FY167" t="s">
        <v>651</v>
      </c>
      <c r="FZ167">
        <v>1</v>
      </c>
      <c r="GA167">
        <v>20</v>
      </c>
      <c r="GB167">
        <v>126</v>
      </c>
      <c r="GG167" t="s">
        <v>651</v>
      </c>
      <c r="GH167">
        <v>1</v>
      </c>
      <c r="GI167">
        <v>20</v>
      </c>
      <c r="GJ167">
        <v>126</v>
      </c>
      <c r="HC167">
        <v>0.1</v>
      </c>
      <c r="HD167">
        <v>3</v>
      </c>
      <c r="HE167">
        <v>3</v>
      </c>
      <c r="HF167">
        <v>3</v>
      </c>
      <c r="HG167">
        <v>3</v>
      </c>
      <c r="HH167">
        <v>3</v>
      </c>
      <c r="HI167">
        <v>136</v>
      </c>
      <c r="HJ167">
        <v>3</v>
      </c>
      <c r="HK167">
        <v>55</v>
      </c>
      <c r="HL167">
        <v>2</v>
      </c>
      <c r="HM167">
        <v>0</v>
      </c>
      <c r="HN167">
        <v>2</v>
      </c>
      <c r="HO167">
        <v>66</v>
      </c>
      <c r="HP167">
        <v>3</v>
      </c>
      <c r="HQ167">
        <v>0</v>
      </c>
      <c r="HR167">
        <v>2</v>
      </c>
      <c r="HS167">
        <v>3121</v>
      </c>
      <c r="HT167">
        <v>90</v>
      </c>
      <c r="HU167">
        <v>180</v>
      </c>
      <c r="HW167">
        <v>0</v>
      </c>
      <c r="HX167">
        <v>416</v>
      </c>
      <c r="HY167">
        <v>0.18</v>
      </c>
      <c r="IA167">
        <v>0.15</v>
      </c>
      <c r="IB167">
        <v>0</v>
      </c>
      <c r="IC167">
        <v>180</v>
      </c>
      <c r="ID167">
        <v>110</v>
      </c>
      <c r="IE167">
        <v>0</v>
      </c>
      <c r="IF167">
        <v>0</v>
      </c>
      <c r="IH167" t="s">
        <v>549</v>
      </c>
      <c r="IO167">
        <v>1</v>
      </c>
      <c r="IP167">
        <v>14</v>
      </c>
      <c r="IQ167">
        <v>0</v>
      </c>
      <c r="IR167">
        <v>1</v>
      </c>
      <c r="IV167">
        <v>1050</v>
      </c>
      <c r="IW167">
        <v>350</v>
      </c>
      <c r="JA167">
        <v>1</v>
      </c>
      <c r="JB167">
        <v>0</v>
      </c>
      <c r="JC167">
        <v>2</v>
      </c>
      <c r="JD167">
        <v>1064</v>
      </c>
      <c r="JE167">
        <v>1062</v>
      </c>
      <c r="JF167">
        <v>0</v>
      </c>
      <c r="JG167">
        <v>1048</v>
      </c>
      <c r="JH167">
        <v>0</v>
      </c>
      <c r="JJ167">
        <v>180</v>
      </c>
      <c r="JK167">
        <v>416</v>
      </c>
      <c r="JN167">
        <v>325</v>
      </c>
      <c r="JO167">
        <v>485</v>
      </c>
      <c r="JP167">
        <v>0</v>
      </c>
      <c r="JQ167">
        <v>0</v>
      </c>
      <c r="JR167">
        <v>306</v>
      </c>
      <c r="JS167">
        <v>136</v>
      </c>
      <c r="JV167">
        <v>8</v>
      </c>
      <c r="JW167" t="s">
        <v>550</v>
      </c>
      <c r="JX167">
        <v>0</v>
      </c>
      <c r="KA167">
        <v>0</v>
      </c>
      <c r="KB167">
        <v>110</v>
      </c>
      <c r="KC167">
        <v>0</v>
      </c>
      <c r="KD167">
        <v>80</v>
      </c>
      <c r="KF167">
        <v>4</v>
      </c>
      <c r="KG167">
        <v>2</v>
      </c>
      <c r="KH167">
        <v>2</v>
      </c>
      <c r="KI167">
        <v>2</v>
      </c>
      <c r="KJ167">
        <v>0</v>
      </c>
      <c r="KK167">
        <v>1.5</v>
      </c>
      <c r="KL167">
        <v>1.5</v>
      </c>
      <c r="KM167">
        <v>0</v>
      </c>
      <c r="KN167">
        <v>0</v>
      </c>
      <c r="KO167">
        <v>0</v>
      </c>
      <c r="KR167">
        <v>50</v>
      </c>
      <c r="KS167">
        <v>60</v>
      </c>
      <c r="KT167">
        <v>0</v>
      </c>
      <c r="LK167">
        <v>480</v>
      </c>
      <c r="LX167">
        <v>260</v>
      </c>
      <c r="LY167">
        <v>1.5</v>
      </c>
      <c r="PG167">
        <v>1</v>
      </c>
      <c r="PI167" t="s">
        <v>2417</v>
      </c>
      <c r="PJ167" t="s">
        <v>2418</v>
      </c>
      <c r="PL167" t="s">
        <v>1359</v>
      </c>
      <c r="PP167" t="s">
        <v>2419</v>
      </c>
      <c r="PX167">
        <v>56</v>
      </c>
      <c r="PY167">
        <v>57</v>
      </c>
      <c r="PZ167" t="s">
        <v>2417</v>
      </c>
      <c r="QA167">
        <v>1</v>
      </c>
      <c r="QB167">
        <v>1048</v>
      </c>
      <c r="QC167">
        <v>69</v>
      </c>
      <c r="QD167">
        <v>69</v>
      </c>
      <c r="QE167" t="s">
        <v>1359</v>
      </c>
      <c r="QF167">
        <v>1</v>
      </c>
      <c r="QG167">
        <v>1064</v>
      </c>
      <c r="QH167">
        <v>66</v>
      </c>
      <c r="QI167">
        <v>66</v>
      </c>
      <c r="QL167">
        <v>0</v>
      </c>
      <c r="QM167">
        <v>63</v>
      </c>
      <c r="QN167">
        <v>63</v>
      </c>
      <c r="QO167" t="s">
        <v>2418</v>
      </c>
      <c r="QP167">
        <v>1</v>
      </c>
      <c r="QQ167">
        <v>1062</v>
      </c>
      <c r="QW167">
        <v>82</v>
      </c>
      <c r="QX167">
        <v>88</v>
      </c>
      <c r="QY167" t="s">
        <v>2419</v>
      </c>
      <c r="QZ167">
        <v>1</v>
      </c>
      <c r="RA167">
        <v>66</v>
      </c>
      <c r="RB167">
        <v>66</v>
      </c>
      <c r="RE167">
        <v>0</v>
      </c>
      <c r="RG167">
        <v>1</v>
      </c>
      <c r="RJ167">
        <v>3</v>
      </c>
      <c r="RL167">
        <v>2</v>
      </c>
      <c r="RO167">
        <v>460</v>
      </c>
      <c r="RQ167">
        <v>793</v>
      </c>
      <c r="RT167">
        <v>147</v>
      </c>
      <c r="RU167">
        <v>210</v>
      </c>
      <c r="RV167" t="s">
        <v>1901</v>
      </c>
      <c r="RW167" t="s">
        <v>1476</v>
      </c>
      <c r="RX167">
        <v>15</v>
      </c>
      <c r="RY167">
        <v>4</v>
      </c>
      <c r="RZ167" t="s">
        <v>1476</v>
      </c>
      <c r="SA167">
        <v>15</v>
      </c>
      <c r="SB167" t="s">
        <v>2420</v>
      </c>
      <c r="SC167" t="s">
        <v>2420</v>
      </c>
      <c r="SD167">
        <v>1</v>
      </c>
      <c r="SH167">
        <v>0.995</v>
      </c>
      <c r="SI167">
        <v>0.995</v>
      </c>
      <c r="SJ167">
        <v>0.995</v>
      </c>
      <c r="SK167">
        <v>15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TB167">
        <v>0</v>
      </c>
      <c r="TC167">
        <v>0</v>
      </c>
      <c r="TD167">
        <v>7.5</v>
      </c>
      <c r="TE167" t="s">
        <v>553</v>
      </c>
      <c r="TF167" t="s">
        <v>754</v>
      </c>
      <c r="TG167" t="s">
        <v>555</v>
      </c>
      <c r="TI167" t="s">
        <v>546</v>
      </c>
      <c r="TJ167" t="s">
        <v>547</v>
      </c>
      <c r="TL167" t="s">
        <v>2341</v>
      </c>
      <c r="TM167" t="s">
        <v>513</v>
      </c>
      <c r="TN167">
        <v>0</v>
      </c>
      <c r="TO167" t="s">
        <v>557</v>
      </c>
    </row>
    <row r="168" spans="1:535">
      <c r="A168" t="s">
        <v>2421</v>
      </c>
      <c r="B168" t="s">
        <v>1453</v>
      </c>
      <c r="C168" t="s">
        <v>509</v>
      </c>
      <c r="D168" t="s">
        <v>2422</v>
      </c>
      <c r="G168" t="s">
        <v>2423</v>
      </c>
      <c r="H168" t="s">
        <v>896</v>
      </c>
      <c r="I168" t="s">
        <v>628</v>
      </c>
      <c r="J168" t="s">
        <v>606</v>
      </c>
      <c r="L168" t="s">
        <v>512</v>
      </c>
      <c r="M168" t="s">
        <v>727</v>
      </c>
      <c r="N168" t="s">
        <v>513</v>
      </c>
      <c r="O168" t="s">
        <v>607</v>
      </c>
      <c r="Q168" t="s">
        <v>2424</v>
      </c>
      <c r="R168" t="s">
        <v>517</v>
      </c>
      <c r="S168" t="s">
        <v>1480</v>
      </c>
      <c r="T168" t="s">
        <v>1481</v>
      </c>
      <c r="U168" t="s">
        <v>1482</v>
      </c>
      <c r="V168" t="s">
        <v>1483</v>
      </c>
      <c r="W168" t="s">
        <v>2425</v>
      </c>
      <c r="X168" t="s">
        <v>2336</v>
      </c>
      <c r="Y168" t="s">
        <v>524</v>
      </c>
      <c r="Z168" t="s">
        <v>2426</v>
      </c>
      <c r="AA168" t="s">
        <v>2427</v>
      </c>
      <c r="AB168" t="s">
        <v>2428</v>
      </c>
      <c r="AC168">
        <v>2</v>
      </c>
      <c r="AD168">
        <v>57</v>
      </c>
      <c r="AE168">
        <v>163</v>
      </c>
      <c r="AF168">
        <v>1.5</v>
      </c>
      <c r="AH168">
        <v>0</v>
      </c>
      <c r="AI168" t="s">
        <v>748</v>
      </c>
      <c r="AJ168">
        <v>175</v>
      </c>
      <c r="AK168">
        <v>1</v>
      </c>
      <c r="AL168">
        <v>1.5</v>
      </c>
      <c r="AM168" t="s">
        <v>529</v>
      </c>
      <c r="AO168">
        <v>0</v>
      </c>
      <c r="AR168">
        <v>0</v>
      </c>
      <c r="AS168">
        <v>1.5</v>
      </c>
      <c r="AV168" t="s">
        <v>2429</v>
      </c>
      <c r="AW168" t="s">
        <v>2429</v>
      </c>
      <c r="AX168">
        <v>1</v>
      </c>
      <c r="AY168">
        <v>255</v>
      </c>
      <c r="AZ168">
        <v>1.5</v>
      </c>
      <c r="BA168" t="s">
        <v>529</v>
      </c>
      <c r="BG168">
        <v>1.5</v>
      </c>
      <c r="BJ168">
        <v>0</v>
      </c>
      <c r="BN168">
        <v>1.5</v>
      </c>
      <c r="BP168" t="s">
        <v>2430</v>
      </c>
      <c r="BQ168">
        <v>88</v>
      </c>
      <c r="BR168">
        <v>2</v>
      </c>
      <c r="BS168" t="s">
        <v>1490</v>
      </c>
      <c r="BT168">
        <v>185</v>
      </c>
      <c r="BU168">
        <v>0.5</v>
      </c>
      <c r="BV168" t="s">
        <v>1490</v>
      </c>
      <c r="BW168">
        <v>370</v>
      </c>
      <c r="BX168">
        <v>1</v>
      </c>
      <c r="BY168" t="s">
        <v>1491</v>
      </c>
      <c r="BZ168">
        <v>300</v>
      </c>
      <c r="CA168">
        <v>500</v>
      </c>
      <c r="CB168" t="s">
        <v>1492</v>
      </c>
      <c r="CC168" t="s">
        <v>1492</v>
      </c>
      <c r="CD168">
        <v>396</v>
      </c>
      <c r="CE168" t="s">
        <v>1493</v>
      </c>
      <c r="CF168">
        <v>15</v>
      </c>
      <c r="CG168" t="s">
        <v>1494</v>
      </c>
      <c r="CH168" t="s">
        <v>1494</v>
      </c>
      <c r="CI168">
        <v>100</v>
      </c>
      <c r="CJ168">
        <v>1122</v>
      </c>
      <c r="CK168">
        <v>2</v>
      </c>
      <c r="CL168">
        <v>1222</v>
      </c>
      <c r="CM168">
        <v>2</v>
      </c>
      <c r="CN168" t="s">
        <v>1495</v>
      </c>
      <c r="CO168" t="s">
        <v>1473</v>
      </c>
      <c r="CP168" t="s">
        <v>1474</v>
      </c>
      <c r="CQ168" t="s">
        <v>649</v>
      </c>
      <c r="CR168" t="s">
        <v>650</v>
      </c>
      <c r="CS168" t="s">
        <v>542</v>
      </c>
      <c r="CT168">
        <v>350</v>
      </c>
      <c r="CU168">
        <v>5</v>
      </c>
      <c r="CV168">
        <v>1.2</v>
      </c>
      <c r="CW168">
        <v>1136</v>
      </c>
      <c r="CX168">
        <v>562</v>
      </c>
      <c r="DD168">
        <v>0</v>
      </c>
      <c r="DE168" t="s">
        <v>543</v>
      </c>
      <c r="DF168">
        <v>510</v>
      </c>
      <c r="DG168">
        <v>3</v>
      </c>
      <c r="DH168">
        <v>1.18</v>
      </c>
      <c r="DI168">
        <v>1134</v>
      </c>
      <c r="DJ168">
        <v>903</v>
      </c>
      <c r="DW168" t="s">
        <v>544</v>
      </c>
      <c r="DX168">
        <v>7.5</v>
      </c>
      <c r="EA168">
        <v>1202.7</v>
      </c>
      <c r="EB168">
        <v>157</v>
      </c>
      <c r="EC168" t="s">
        <v>545</v>
      </c>
      <c r="ED168">
        <v>40</v>
      </c>
      <c r="EE168">
        <v>3</v>
      </c>
      <c r="EG168">
        <v>1233</v>
      </c>
      <c r="EH168">
        <v>196</v>
      </c>
      <c r="EJ168">
        <v>0</v>
      </c>
      <c r="EK168">
        <v>1</v>
      </c>
      <c r="EN168">
        <v>0</v>
      </c>
      <c r="EP168" t="s">
        <v>546</v>
      </c>
      <c r="EQ168">
        <v>90</v>
      </c>
      <c r="ER168">
        <v>3</v>
      </c>
      <c r="ES168">
        <v>5</v>
      </c>
      <c r="ET168">
        <v>1117</v>
      </c>
      <c r="EU168">
        <v>351.2</v>
      </c>
      <c r="EV168">
        <v>392</v>
      </c>
      <c r="EW168" t="s">
        <v>547</v>
      </c>
      <c r="EX168">
        <v>70</v>
      </c>
      <c r="EY168">
        <v>2</v>
      </c>
      <c r="EZ168">
        <v>4</v>
      </c>
      <c r="FA168">
        <v>1117</v>
      </c>
      <c r="FB168">
        <v>198.9</v>
      </c>
      <c r="FC168">
        <v>222</v>
      </c>
      <c r="FE168">
        <v>0</v>
      </c>
      <c r="FF168">
        <v>2</v>
      </c>
      <c r="FI168">
        <v>0</v>
      </c>
      <c r="FK168" t="s">
        <v>548</v>
      </c>
      <c r="FL168">
        <v>0.4</v>
      </c>
      <c r="FM168">
        <v>70</v>
      </c>
      <c r="FN168">
        <v>110</v>
      </c>
      <c r="FY168" t="s">
        <v>651</v>
      </c>
      <c r="FZ168">
        <v>1</v>
      </c>
      <c r="GA168">
        <v>20</v>
      </c>
      <c r="GB168">
        <v>130</v>
      </c>
      <c r="GG168" t="s">
        <v>651</v>
      </c>
      <c r="GH168">
        <v>1</v>
      </c>
      <c r="GI168">
        <v>20</v>
      </c>
      <c r="GJ168">
        <v>130</v>
      </c>
      <c r="HC168">
        <v>0.1</v>
      </c>
      <c r="HD168">
        <v>3</v>
      </c>
      <c r="HE168">
        <v>3</v>
      </c>
      <c r="HF168">
        <v>3</v>
      </c>
      <c r="HG168">
        <v>3</v>
      </c>
      <c r="HH168">
        <v>3</v>
      </c>
      <c r="HI168">
        <v>145</v>
      </c>
      <c r="HJ168">
        <v>3</v>
      </c>
      <c r="HK168">
        <v>55</v>
      </c>
      <c r="HL168">
        <v>2</v>
      </c>
      <c r="HM168">
        <v>0</v>
      </c>
      <c r="HN168">
        <v>2</v>
      </c>
      <c r="HO168">
        <v>75</v>
      </c>
      <c r="HP168">
        <v>3</v>
      </c>
      <c r="HQ168">
        <v>0</v>
      </c>
      <c r="HR168">
        <v>2</v>
      </c>
      <c r="HS168">
        <v>3399</v>
      </c>
      <c r="HT168">
        <v>100</v>
      </c>
      <c r="HU168">
        <v>180</v>
      </c>
      <c r="HW168">
        <v>0</v>
      </c>
      <c r="HX168">
        <v>436</v>
      </c>
      <c r="HY168">
        <v>0.18</v>
      </c>
      <c r="IA168">
        <v>0.15</v>
      </c>
      <c r="IB168">
        <v>0</v>
      </c>
      <c r="IC168">
        <v>180</v>
      </c>
      <c r="ID168">
        <v>110</v>
      </c>
      <c r="IE168">
        <v>0</v>
      </c>
      <c r="IF168">
        <v>0</v>
      </c>
      <c r="IH168" t="s">
        <v>549</v>
      </c>
      <c r="IO168">
        <v>1</v>
      </c>
      <c r="IP168">
        <v>15</v>
      </c>
      <c r="IQ168">
        <v>0</v>
      </c>
      <c r="IR168">
        <v>1</v>
      </c>
      <c r="IV168">
        <v>1122</v>
      </c>
      <c r="IW168">
        <v>370</v>
      </c>
      <c r="JA168">
        <v>1</v>
      </c>
      <c r="JB168">
        <v>0</v>
      </c>
      <c r="JC168">
        <v>2</v>
      </c>
      <c r="JD168">
        <v>1136</v>
      </c>
      <c r="JE168">
        <v>1134</v>
      </c>
      <c r="JF168">
        <v>0</v>
      </c>
      <c r="JG168">
        <v>1117</v>
      </c>
      <c r="JH168">
        <v>0</v>
      </c>
      <c r="JJ168">
        <v>180</v>
      </c>
      <c r="JK168">
        <v>436</v>
      </c>
      <c r="JN168">
        <v>350</v>
      </c>
      <c r="JO168">
        <v>510</v>
      </c>
      <c r="JP168">
        <v>0</v>
      </c>
      <c r="JQ168">
        <v>0</v>
      </c>
      <c r="JR168">
        <v>326</v>
      </c>
      <c r="JS168">
        <v>145</v>
      </c>
      <c r="JV168">
        <v>8</v>
      </c>
      <c r="JW168" t="s">
        <v>550</v>
      </c>
      <c r="JX168">
        <v>0</v>
      </c>
      <c r="KA168">
        <v>0</v>
      </c>
      <c r="KB168">
        <v>110</v>
      </c>
      <c r="KC168">
        <v>0</v>
      </c>
      <c r="KD168">
        <v>92</v>
      </c>
      <c r="KF168">
        <v>4</v>
      </c>
      <c r="KG168">
        <v>2</v>
      </c>
      <c r="KH168">
        <v>2</v>
      </c>
      <c r="KI168">
        <v>2</v>
      </c>
      <c r="KJ168">
        <v>0</v>
      </c>
      <c r="KK168">
        <v>1.5</v>
      </c>
      <c r="KL168">
        <v>1.5</v>
      </c>
      <c r="KM168">
        <v>0</v>
      </c>
      <c r="KN168">
        <v>0</v>
      </c>
      <c r="KO168">
        <v>0</v>
      </c>
      <c r="KR168">
        <v>50</v>
      </c>
      <c r="KS168">
        <v>60</v>
      </c>
      <c r="KT168">
        <v>0</v>
      </c>
      <c r="LK168">
        <v>480</v>
      </c>
      <c r="PG168">
        <v>1</v>
      </c>
      <c r="PI168" t="s">
        <v>2428</v>
      </c>
      <c r="PJ168" t="s">
        <v>2429</v>
      </c>
      <c r="PL168" t="s">
        <v>748</v>
      </c>
      <c r="PP168" t="s">
        <v>2430</v>
      </c>
      <c r="PX168">
        <v>56</v>
      </c>
      <c r="PY168">
        <v>57</v>
      </c>
      <c r="PZ168" t="s">
        <v>2428</v>
      </c>
      <c r="QA168">
        <v>1</v>
      </c>
      <c r="QB168">
        <v>1117</v>
      </c>
      <c r="QC168">
        <v>69</v>
      </c>
      <c r="QD168">
        <v>69</v>
      </c>
      <c r="QE168" t="s">
        <v>748</v>
      </c>
      <c r="QF168">
        <v>1</v>
      </c>
      <c r="QG168">
        <v>1136</v>
      </c>
      <c r="QH168">
        <v>66</v>
      </c>
      <c r="QI168">
        <v>66</v>
      </c>
      <c r="QL168">
        <v>0</v>
      </c>
      <c r="QM168">
        <v>63</v>
      </c>
      <c r="QN168">
        <v>63</v>
      </c>
      <c r="QO168" t="s">
        <v>2429</v>
      </c>
      <c r="QP168">
        <v>1</v>
      </c>
      <c r="QQ168">
        <v>1134</v>
      </c>
      <c r="QW168">
        <v>82</v>
      </c>
      <c r="QX168">
        <v>88</v>
      </c>
      <c r="QY168" t="s">
        <v>2430</v>
      </c>
      <c r="QZ168">
        <v>1</v>
      </c>
      <c r="RA168">
        <v>66</v>
      </c>
      <c r="RB168">
        <v>66</v>
      </c>
      <c r="RE168">
        <v>0</v>
      </c>
      <c r="RG168">
        <v>1</v>
      </c>
      <c r="RJ168">
        <v>2</v>
      </c>
      <c r="RL168">
        <v>2</v>
      </c>
      <c r="RO168">
        <v>495</v>
      </c>
      <c r="RQ168">
        <v>796</v>
      </c>
      <c r="RT168">
        <v>157</v>
      </c>
      <c r="RU168">
        <v>196</v>
      </c>
      <c r="RV168" t="s">
        <v>1497</v>
      </c>
      <c r="RW168" t="s">
        <v>1498</v>
      </c>
      <c r="RX168">
        <v>15</v>
      </c>
      <c r="RY168">
        <v>4</v>
      </c>
      <c r="RZ168" t="s">
        <v>1498</v>
      </c>
      <c r="SA168">
        <v>15</v>
      </c>
      <c r="SB168" t="s">
        <v>2431</v>
      </c>
      <c r="SC168" t="s">
        <v>2431</v>
      </c>
      <c r="SD168">
        <v>1</v>
      </c>
      <c r="SH168">
        <v>0.995</v>
      </c>
      <c r="SI168">
        <v>0.995</v>
      </c>
      <c r="SJ168">
        <v>0.995</v>
      </c>
      <c r="SK168">
        <v>15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TB168">
        <v>0</v>
      </c>
      <c r="TC168">
        <v>0</v>
      </c>
      <c r="TD168">
        <v>7.5</v>
      </c>
      <c r="TE168" t="s">
        <v>553</v>
      </c>
      <c r="TF168" t="s">
        <v>754</v>
      </c>
      <c r="TG168" t="s">
        <v>555</v>
      </c>
      <c r="TI168" t="s">
        <v>546</v>
      </c>
      <c r="TJ168" t="s">
        <v>547</v>
      </c>
      <c r="TL168" t="s">
        <v>2341</v>
      </c>
      <c r="TM168" t="s">
        <v>513</v>
      </c>
      <c r="TN168">
        <v>0</v>
      </c>
      <c r="TO168" t="s">
        <v>557</v>
      </c>
    </row>
    <row r="169" spans="1:535">
      <c r="A169" t="s">
        <v>2432</v>
      </c>
      <c r="B169" t="s">
        <v>727</v>
      </c>
      <c r="C169" t="s">
        <v>509</v>
      </c>
      <c r="D169" t="s">
        <v>2433</v>
      </c>
      <c r="G169" t="s">
        <v>604</v>
      </c>
      <c r="H169" t="s">
        <v>605</v>
      </c>
      <c r="I169" t="s">
        <v>628</v>
      </c>
      <c r="J169" t="s">
        <v>606</v>
      </c>
      <c r="L169" t="s">
        <v>512</v>
      </c>
      <c r="M169" t="s">
        <v>729</v>
      </c>
      <c r="N169" t="s">
        <v>513</v>
      </c>
      <c r="O169" t="s">
        <v>607</v>
      </c>
      <c r="Q169" t="s">
        <v>2434</v>
      </c>
      <c r="R169" t="s">
        <v>517</v>
      </c>
      <c r="S169" t="s">
        <v>1853</v>
      </c>
      <c r="T169" t="s">
        <v>820</v>
      </c>
      <c r="U169" t="s">
        <v>520</v>
      </c>
      <c r="V169" t="s">
        <v>521</v>
      </c>
      <c r="W169" t="s">
        <v>2435</v>
      </c>
      <c r="X169" t="s">
        <v>2336</v>
      </c>
      <c r="Y169" t="s">
        <v>574</v>
      </c>
      <c r="Z169" t="s">
        <v>2436</v>
      </c>
      <c r="AA169" t="s">
        <v>2437</v>
      </c>
      <c r="AB169" t="s">
        <v>2438</v>
      </c>
      <c r="AC169">
        <v>2</v>
      </c>
      <c r="AD169">
        <v>57</v>
      </c>
      <c r="AE169">
        <v>190</v>
      </c>
      <c r="AF169">
        <v>1.5</v>
      </c>
      <c r="AH169">
        <v>0</v>
      </c>
      <c r="AI169" t="s">
        <v>615</v>
      </c>
      <c r="AJ169">
        <v>200</v>
      </c>
      <c r="AK169">
        <v>1</v>
      </c>
      <c r="AL169">
        <v>1.5</v>
      </c>
      <c r="AM169" t="s">
        <v>529</v>
      </c>
      <c r="AO169">
        <v>0</v>
      </c>
      <c r="AR169">
        <v>0</v>
      </c>
      <c r="AS169">
        <v>1.5</v>
      </c>
      <c r="AU169" t="s">
        <v>2439</v>
      </c>
      <c r="AW169" t="s">
        <v>2439</v>
      </c>
      <c r="AX169">
        <v>1</v>
      </c>
      <c r="AY169">
        <v>360</v>
      </c>
      <c r="AZ169">
        <v>1.5</v>
      </c>
      <c r="BA169" t="s">
        <v>529</v>
      </c>
      <c r="BG169">
        <v>1.5</v>
      </c>
      <c r="BJ169">
        <v>0</v>
      </c>
      <c r="BN169">
        <v>1.5</v>
      </c>
      <c r="BP169" t="s">
        <v>2440</v>
      </c>
      <c r="BQ169">
        <v>88</v>
      </c>
      <c r="BR169">
        <v>2</v>
      </c>
      <c r="BS169" t="s">
        <v>1919</v>
      </c>
      <c r="BT169">
        <v>211</v>
      </c>
      <c r="BU169">
        <v>0.5</v>
      </c>
      <c r="BV169" t="s">
        <v>1919</v>
      </c>
      <c r="BW169">
        <v>422</v>
      </c>
      <c r="BX169">
        <v>1</v>
      </c>
      <c r="BY169" t="s">
        <v>533</v>
      </c>
      <c r="BZ169">
        <v>470</v>
      </c>
      <c r="CA169">
        <v>570</v>
      </c>
      <c r="CB169" t="s">
        <v>534</v>
      </c>
      <c r="CC169" t="s">
        <v>534</v>
      </c>
      <c r="CD169">
        <v>440</v>
      </c>
      <c r="CE169" t="s">
        <v>535</v>
      </c>
      <c r="CF169">
        <v>15</v>
      </c>
      <c r="CG169" t="s">
        <v>1577</v>
      </c>
      <c r="CH169" t="s">
        <v>1577</v>
      </c>
      <c r="CI169">
        <v>50</v>
      </c>
      <c r="CJ169">
        <v>1200</v>
      </c>
      <c r="CK169">
        <v>2</v>
      </c>
      <c r="CL169">
        <v>1301</v>
      </c>
      <c r="CM169">
        <v>2</v>
      </c>
      <c r="CN169" t="s">
        <v>537</v>
      </c>
      <c r="CO169" t="s">
        <v>538</v>
      </c>
      <c r="CP169" t="s">
        <v>539</v>
      </c>
      <c r="CQ169" t="s">
        <v>1496</v>
      </c>
      <c r="CR169" t="s">
        <v>541</v>
      </c>
      <c r="CS169" t="s">
        <v>542</v>
      </c>
      <c r="CT169">
        <v>400</v>
      </c>
      <c r="CU169">
        <v>5</v>
      </c>
      <c r="CV169">
        <v>1.2</v>
      </c>
      <c r="CW169">
        <v>1213</v>
      </c>
      <c r="CX169">
        <v>688</v>
      </c>
      <c r="DD169">
        <v>0</v>
      </c>
      <c r="DE169" t="s">
        <v>543</v>
      </c>
      <c r="DF169">
        <v>720</v>
      </c>
      <c r="DG169">
        <v>3</v>
      </c>
      <c r="DH169">
        <v>1.18</v>
      </c>
      <c r="DI169">
        <v>1211</v>
      </c>
      <c r="DJ169">
        <v>1305</v>
      </c>
      <c r="DW169" t="s">
        <v>544</v>
      </c>
      <c r="DX169">
        <v>7.5</v>
      </c>
      <c r="EA169">
        <v>1282.5</v>
      </c>
      <c r="EB169">
        <v>227</v>
      </c>
      <c r="EC169" t="s">
        <v>545</v>
      </c>
      <c r="ED169">
        <v>50</v>
      </c>
      <c r="EE169">
        <v>3</v>
      </c>
      <c r="EG169">
        <v>1323</v>
      </c>
      <c r="EH169">
        <v>273</v>
      </c>
      <c r="EJ169">
        <v>0</v>
      </c>
      <c r="EK169">
        <v>1</v>
      </c>
      <c r="EN169">
        <v>0</v>
      </c>
      <c r="EP169" t="s">
        <v>546</v>
      </c>
      <c r="EQ169">
        <v>110</v>
      </c>
      <c r="ER169">
        <v>3</v>
      </c>
      <c r="ES169">
        <v>5.2</v>
      </c>
      <c r="ET169">
        <v>1196</v>
      </c>
      <c r="EU169">
        <v>431.5</v>
      </c>
      <c r="EV169">
        <v>516</v>
      </c>
      <c r="EW169" t="s">
        <v>547</v>
      </c>
      <c r="EX169">
        <v>70</v>
      </c>
      <c r="EY169">
        <v>2</v>
      </c>
      <c r="EZ169">
        <v>3.6</v>
      </c>
      <c r="FA169">
        <v>1196</v>
      </c>
      <c r="FB169">
        <v>179.1</v>
      </c>
      <c r="FC169">
        <v>214</v>
      </c>
      <c r="FE169">
        <v>0</v>
      </c>
      <c r="FF169">
        <v>2</v>
      </c>
      <c r="FI169">
        <v>0</v>
      </c>
      <c r="FK169" t="s">
        <v>548</v>
      </c>
      <c r="FL169">
        <v>0.4</v>
      </c>
      <c r="FM169">
        <v>85</v>
      </c>
      <c r="FN169">
        <v>110</v>
      </c>
      <c r="FR169" t="s">
        <v>548</v>
      </c>
      <c r="FS169">
        <v>0.4</v>
      </c>
      <c r="FT169">
        <v>30</v>
      </c>
      <c r="FU169">
        <v>390</v>
      </c>
      <c r="HC169">
        <v>0.1</v>
      </c>
      <c r="HD169">
        <v>3</v>
      </c>
      <c r="HE169">
        <v>3</v>
      </c>
      <c r="HF169">
        <v>3</v>
      </c>
      <c r="HG169">
        <v>3</v>
      </c>
      <c r="HH169">
        <v>3</v>
      </c>
      <c r="HI169">
        <v>165</v>
      </c>
      <c r="HJ169">
        <v>3</v>
      </c>
      <c r="HK169">
        <v>55</v>
      </c>
      <c r="HL169">
        <v>2</v>
      </c>
      <c r="HM169">
        <v>0</v>
      </c>
      <c r="HN169">
        <v>2</v>
      </c>
      <c r="HO169">
        <v>95</v>
      </c>
      <c r="HP169">
        <v>3</v>
      </c>
      <c r="HQ169">
        <v>0</v>
      </c>
      <c r="HR169">
        <v>2</v>
      </c>
      <c r="HS169">
        <v>4453</v>
      </c>
      <c r="HT169">
        <v>130</v>
      </c>
      <c r="HU169">
        <v>180</v>
      </c>
      <c r="HW169">
        <v>20</v>
      </c>
      <c r="HX169">
        <v>496</v>
      </c>
      <c r="HY169">
        <v>0.18</v>
      </c>
      <c r="IA169">
        <v>0.15</v>
      </c>
      <c r="IB169">
        <v>0</v>
      </c>
      <c r="IC169">
        <v>180</v>
      </c>
      <c r="ID169">
        <v>110</v>
      </c>
      <c r="IE169">
        <v>0</v>
      </c>
      <c r="IF169">
        <v>0</v>
      </c>
      <c r="IH169" t="s">
        <v>549</v>
      </c>
      <c r="IO169">
        <v>1</v>
      </c>
      <c r="IP169">
        <v>16</v>
      </c>
      <c r="IQ169">
        <v>0</v>
      </c>
      <c r="IR169">
        <v>1</v>
      </c>
      <c r="IV169">
        <v>1200</v>
      </c>
      <c r="IW169">
        <v>422</v>
      </c>
      <c r="JA169">
        <v>1</v>
      </c>
      <c r="JB169">
        <v>0</v>
      </c>
      <c r="JC169">
        <v>2</v>
      </c>
      <c r="JD169">
        <v>1213</v>
      </c>
      <c r="JE169">
        <v>1211</v>
      </c>
      <c r="JF169">
        <v>0</v>
      </c>
      <c r="JG169">
        <v>1196</v>
      </c>
      <c r="JH169">
        <v>0</v>
      </c>
      <c r="JJ169">
        <v>180</v>
      </c>
      <c r="JK169">
        <v>496</v>
      </c>
      <c r="JN169">
        <v>400</v>
      </c>
      <c r="JO169">
        <v>720</v>
      </c>
      <c r="JP169">
        <v>0</v>
      </c>
      <c r="JQ169">
        <v>0</v>
      </c>
      <c r="JR169">
        <v>380</v>
      </c>
      <c r="JS169">
        <v>165</v>
      </c>
      <c r="JV169">
        <v>8</v>
      </c>
      <c r="JW169" t="s">
        <v>550</v>
      </c>
      <c r="JX169">
        <v>0</v>
      </c>
      <c r="KA169">
        <v>0</v>
      </c>
      <c r="KB169">
        <v>110</v>
      </c>
      <c r="KC169">
        <v>0</v>
      </c>
      <c r="KD169">
        <v>80</v>
      </c>
      <c r="KF169">
        <v>4</v>
      </c>
      <c r="KG169">
        <v>2</v>
      </c>
      <c r="KH169">
        <v>2</v>
      </c>
      <c r="KI169">
        <v>2</v>
      </c>
      <c r="KJ169">
        <v>0</v>
      </c>
      <c r="KK169">
        <v>1.5</v>
      </c>
      <c r="KL169">
        <v>1.5</v>
      </c>
      <c r="KM169">
        <v>0</v>
      </c>
      <c r="KN169">
        <v>0</v>
      </c>
      <c r="KO169">
        <v>0</v>
      </c>
      <c r="KR169">
        <v>30</v>
      </c>
      <c r="KS169">
        <v>60</v>
      </c>
      <c r="KT169">
        <v>0</v>
      </c>
      <c r="LK169">
        <v>480</v>
      </c>
      <c r="PG169">
        <v>1</v>
      </c>
      <c r="PI169" t="s">
        <v>2438</v>
      </c>
      <c r="PJ169" t="s">
        <v>2439</v>
      </c>
      <c r="PL169" t="s">
        <v>615</v>
      </c>
      <c r="PP169" t="s">
        <v>2440</v>
      </c>
      <c r="PX169">
        <v>56</v>
      </c>
      <c r="PY169">
        <v>57</v>
      </c>
      <c r="PZ169" t="s">
        <v>2438</v>
      </c>
      <c r="QA169">
        <v>1</v>
      </c>
      <c r="QB169">
        <v>1196</v>
      </c>
      <c r="QC169">
        <v>69</v>
      </c>
      <c r="QD169">
        <v>69</v>
      </c>
      <c r="QE169" t="s">
        <v>615</v>
      </c>
      <c r="QF169">
        <v>1</v>
      </c>
      <c r="QG169">
        <v>1213</v>
      </c>
      <c r="QH169">
        <v>66</v>
      </c>
      <c r="QI169">
        <v>66</v>
      </c>
      <c r="QL169">
        <v>0</v>
      </c>
      <c r="QM169">
        <v>62</v>
      </c>
      <c r="QN169">
        <v>62</v>
      </c>
      <c r="QO169" t="s">
        <v>2439</v>
      </c>
      <c r="QP169">
        <v>1</v>
      </c>
      <c r="QQ169">
        <v>1211</v>
      </c>
      <c r="QW169">
        <v>82</v>
      </c>
      <c r="QX169">
        <v>88</v>
      </c>
      <c r="QY169" t="s">
        <v>2440</v>
      </c>
      <c r="QZ169">
        <v>1</v>
      </c>
      <c r="RA169">
        <v>66</v>
      </c>
      <c r="RB169">
        <v>66</v>
      </c>
      <c r="RE169">
        <v>0</v>
      </c>
      <c r="RF169">
        <v>1</v>
      </c>
      <c r="RJ169">
        <v>1</v>
      </c>
      <c r="RL169">
        <v>2</v>
      </c>
      <c r="RO169">
        <v>567</v>
      </c>
      <c r="RQ169">
        <v>1078</v>
      </c>
      <c r="RT169">
        <v>227</v>
      </c>
      <c r="RU169">
        <v>273</v>
      </c>
      <c r="RV169" t="s">
        <v>1920</v>
      </c>
      <c r="RW169" t="s">
        <v>552</v>
      </c>
      <c r="RX169">
        <v>15</v>
      </c>
      <c r="RY169">
        <v>4</v>
      </c>
      <c r="RZ169" t="s">
        <v>552</v>
      </c>
      <c r="SA169">
        <v>15</v>
      </c>
      <c r="SC169" t="s">
        <v>2439</v>
      </c>
      <c r="SD169">
        <v>1</v>
      </c>
      <c r="SH169">
        <v>0.995</v>
      </c>
      <c r="SI169">
        <v>0.995</v>
      </c>
      <c r="SJ169">
        <v>0.995</v>
      </c>
      <c r="SK169">
        <v>15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TB169">
        <v>0</v>
      </c>
      <c r="TC169">
        <v>0</v>
      </c>
      <c r="TD169">
        <v>7.5</v>
      </c>
      <c r="TE169" t="s">
        <v>553</v>
      </c>
      <c r="TF169" t="s">
        <v>624</v>
      </c>
      <c r="TG169" t="s">
        <v>555</v>
      </c>
      <c r="TI169" t="s">
        <v>546</v>
      </c>
      <c r="TJ169" t="s">
        <v>547</v>
      </c>
      <c r="TL169" t="s">
        <v>2341</v>
      </c>
      <c r="TM169" t="s">
        <v>513</v>
      </c>
      <c r="TN169">
        <v>0</v>
      </c>
      <c r="TO169" t="s">
        <v>557</v>
      </c>
    </row>
    <row r="170" spans="1:535">
      <c r="A170" t="s">
        <v>2441</v>
      </c>
      <c r="B170" t="s">
        <v>559</v>
      </c>
      <c r="C170" t="s">
        <v>509</v>
      </c>
      <c r="D170" t="s">
        <v>1229</v>
      </c>
      <c r="G170" t="s">
        <v>627</v>
      </c>
      <c r="H170" t="s">
        <v>604</v>
      </c>
      <c r="I170" t="s">
        <v>628</v>
      </c>
      <c r="J170" t="s">
        <v>606</v>
      </c>
      <c r="L170" t="s">
        <v>512</v>
      </c>
      <c r="M170" t="s">
        <v>564</v>
      </c>
      <c r="N170" t="s">
        <v>513</v>
      </c>
      <c r="O170" t="s">
        <v>565</v>
      </c>
      <c r="Q170" t="s">
        <v>2442</v>
      </c>
      <c r="R170" t="s">
        <v>517</v>
      </c>
      <c r="S170" t="s">
        <v>1175</v>
      </c>
      <c r="T170" t="s">
        <v>685</v>
      </c>
      <c r="U170" t="s">
        <v>633</v>
      </c>
      <c r="V170" t="s">
        <v>634</v>
      </c>
      <c r="W170" t="s">
        <v>2443</v>
      </c>
      <c r="X170" t="s">
        <v>2336</v>
      </c>
      <c r="Y170" t="s">
        <v>574</v>
      </c>
      <c r="Z170" t="s">
        <v>2444</v>
      </c>
      <c r="AA170" t="s">
        <v>2445</v>
      </c>
      <c r="AB170" t="s">
        <v>2446</v>
      </c>
      <c r="AC170">
        <v>2</v>
      </c>
      <c r="AD170">
        <v>57</v>
      </c>
      <c r="AE170">
        <v>220</v>
      </c>
      <c r="AF170">
        <v>1.5</v>
      </c>
      <c r="AH170">
        <v>0</v>
      </c>
      <c r="AI170" t="s">
        <v>615</v>
      </c>
      <c r="AJ170">
        <v>200</v>
      </c>
      <c r="AK170">
        <v>1</v>
      </c>
      <c r="AL170">
        <v>1.5</v>
      </c>
      <c r="AM170" t="s">
        <v>579</v>
      </c>
      <c r="AN170" t="s">
        <v>693</v>
      </c>
      <c r="AO170">
        <v>2</v>
      </c>
      <c r="AP170" t="s">
        <v>581</v>
      </c>
      <c r="AQ170" t="s">
        <v>582</v>
      </c>
      <c r="AR170">
        <v>240</v>
      </c>
      <c r="AS170">
        <v>1.5</v>
      </c>
      <c r="AT170" t="s">
        <v>583</v>
      </c>
      <c r="AU170" t="s">
        <v>2447</v>
      </c>
      <c r="AW170" t="s">
        <v>2447</v>
      </c>
      <c r="AX170">
        <v>1</v>
      </c>
      <c r="AY170">
        <v>285</v>
      </c>
      <c r="AZ170">
        <v>1.5</v>
      </c>
      <c r="BA170" t="s">
        <v>579</v>
      </c>
      <c r="BC170" t="s">
        <v>2448</v>
      </c>
      <c r="BD170" t="s">
        <v>2448</v>
      </c>
      <c r="BE170">
        <v>1</v>
      </c>
      <c r="BF170">
        <v>242.5</v>
      </c>
      <c r="BG170">
        <v>1.5</v>
      </c>
      <c r="BJ170">
        <v>0</v>
      </c>
      <c r="BN170">
        <v>1.5</v>
      </c>
      <c r="BP170" t="s">
        <v>2449</v>
      </c>
      <c r="BQ170">
        <v>82</v>
      </c>
      <c r="BR170">
        <v>2</v>
      </c>
      <c r="BS170" t="s">
        <v>2450</v>
      </c>
      <c r="BT170">
        <v>217</v>
      </c>
      <c r="BU170">
        <v>0.5</v>
      </c>
      <c r="BV170" t="s">
        <v>2450</v>
      </c>
      <c r="BW170">
        <v>434</v>
      </c>
      <c r="BX170">
        <v>1</v>
      </c>
      <c r="BY170" t="s">
        <v>643</v>
      </c>
      <c r="BZ170">
        <v>470</v>
      </c>
      <c r="CA170">
        <v>570</v>
      </c>
      <c r="CB170" t="s">
        <v>644</v>
      </c>
      <c r="CC170" t="s">
        <v>644</v>
      </c>
      <c r="CD170">
        <v>450</v>
      </c>
      <c r="CE170" t="s">
        <v>544</v>
      </c>
      <c r="CF170">
        <v>15</v>
      </c>
      <c r="CG170" t="s">
        <v>2451</v>
      </c>
      <c r="CH170" t="s">
        <v>2451</v>
      </c>
      <c r="CI170">
        <v>50</v>
      </c>
      <c r="CJ170">
        <v>1301</v>
      </c>
      <c r="CK170">
        <v>2</v>
      </c>
      <c r="CL170">
        <v>1395</v>
      </c>
      <c r="CM170">
        <v>2</v>
      </c>
      <c r="CN170" t="s">
        <v>646</v>
      </c>
      <c r="CO170" t="s">
        <v>647</v>
      </c>
      <c r="CP170" t="s">
        <v>648</v>
      </c>
      <c r="CQ170" t="s">
        <v>704</v>
      </c>
      <c r="CR170" t="s">
        <v>650</v>
      </c>
      <c r="CS170" t="s">
        <v>542</v>
      </c>
      <c r="CT170">
        <v>400</v>
      </c>
      <c r="CU170">
        <v>5</v>
      </c>
      <c r="CV170">
        <v>1.2</v>
      </c>
      <c r="CW170">
        <v>1319</v>
      </c>
      <c r="CX170">
        <v>748</v>
      </c>
      <c r="CY170" t="s">
        <v>705</v>
      </c>
      <c r="CZ170">
        <v>50</v>
      </c>
      <c r="DA170">
        <v>3</v>
      </c>
      <c r="DB170">
        <v>1</v>
      </c>
      <c r="DC170">
        <v>1319</v>
      </c>
      <c r="DD170">
        <v>69</v>
      </c>
      <c r="DE170" t="s">
        <v>622</v>
      </c>
      <c r="DF170">
        <v>570</v>
      </c>
      <c r="DG170">
        <v>3</v>
      </c>
      <c r="DH170">
        <v>0.88</v>
      </c>
      <c r="DI170">
        <v>1311</v>
      </c>
      <c r="DJ170">
        <v>888</v>
      </c>
      <c r="DK170" t="s">
        <v>622</v>
      </c>
      <c r="DL170">
        <v>485</v>
      </c>
      <c r="DM170">
        <v>3</v>
      </c>
      <c r="DN170">
        <v>0.88</v>
      </c>
      <c r="DO170">
        <v>1316</v>
      </c>
      <c r="DP170">
        <v>842</v>
      </c>
      <c r="DW170" t="s">
        <v>544</v>
      </c>
      <c r="DX170">
        <v>7.5</v>
      </c>
      <c r="EA170">
        <v>1383</v>
      </c>
      <c r="EB170">
        <v>261</v>
      </c>
      <c r="EC170" t="s">
        <v>545</v>
      </c>
      <c r="ED170">
        <v>40</v>
      </c>
      <c r="EE170">
        <v>3</v>
      </c>
      <c r="EG170">
        <v>1424</v>
      </c>
      <c r="EH170">
        <v>275</v>
      </c>
      <c r="EJ170">
        <v>0</v>
      </c>
      <c r="EK170">
        <v>1</v>
      </c>
      <c r="EN170">
        <v>0</v>
      </c>
      <c r="EP170" t="s">
        <v>546</v>
      </c>
      <c r="EQ170">
        <v>100</v>
      </c>
      <c r="ER170">
        <v>3</v>
      </c>
      <c r="ES170">
        <v>4.8</v>
      </c>
      <c r="ET170">
        <v>1294</v>
      </c>
      <c r="EU170">
        <v>379.8</v>
      </c>
      <c r="EV170">
        <v>491</v>
      </c>
      <c r="EW170" t="s">
        <v>547</v>
      </c>
      <c r="EX170">
        <v>45</v>
      </c>
      <c r="EY170">
        <v>2</v>
      </c>
      <c r="EZ170">
        <v>4</v>
      </c>
      <c r="FA170">
        <v>1294</v>
      </c>
      <c r="FB170">
        <v>140.3</v>
      </c>
      <c r="FC170">
        <v>182</v>
      </c>
      <c r="FE170">
        <v>0</v>
      </c>
      <c r="FF170">
        <v>2</v>
      </c>
      <c r="FI170">
        <v>0</v>
      </c>
      <c r="FK170" t="s">
        <v>548</v>
      </c>
      <c r="FL170">
        <v>0.4</v>
      </c>
      <c r="FM170">
        <v>50</v>
      </c>
      <c r="FN170">
        <v>360</v>
      </c>
      <c r="FO170">
        <v>80</v>
      </c>
      <c r="FP170">
        <v>140</v>
      </c>
      <c r="GR170" t="s">
        <v>548</v>
      </c>
      <c r="GS170">
        <v>0.4</v>
      </c>
      <c r="GT170">
        <v>105</v>
      </c>
      <c r="GU170">
        <v>160</v>
      </c>
      <c r="GY170" t="s">
        <v>651</v>
      </c>
      <c r="GZ170">
        <v>1.6</v>
      </c>
      <c r="HA170">
        <v>20</v>
      </c>
      <c r="HB170">
        <v>180</v>
      </c>
      <c r="HC170">
        <v>0.1</v>
      </c>
      <c r="HD170">
        <v>3</v>
      </c>
      <c r="HE170">
        <v>3</v>
      </c>
      <c r="HF170">
        <v>3</v>
      </c>
      <c r="HG170">
        <v>3</v>
      </c>
      <c r="HH170">
        <v>3</v>
      </c>
      <c r="HI170">
        <v>130</v>
      </c>
      <c r="HJ170">
        <v>3</v>
      </c>
      <c r="HK170">
        <v>30</v>
      </c>
      <c r="HL170">
        <v>2</v>
      </c>
      <c r="HM170">
        <v>0</v>
      </c>
      <c r="HN170">
        <v>2</v>
      </c>
      <c r="HO170">
        <v>85</v>
      </c>
      <c r="HP170">
        <v>3</v>
      </c>
      <c r="HQ170">
        <v>0</v>
      </c>
      <c r="HR170">
        <v>2</v>
      </c>
      <c r="HS170">
        <v>5034</v>
      </c>
      <c r="HT170">
        <v>150</v>
      </c>
      <c r="HU170">
        <v>180</v>
      </c>
      <c r="HW170">
        <v>0</v>
      </c>
      <c r="HX170">
        <v>496</v>
      </c>
      <c r="HY170">
        <v>0.18</v>
      </c>
      <c r="IA170">
        <v>0.15</v>
      </c>
      <c r="IB170">
        <v>0</v>
      </c>
      <c r="IC170">
        <v>180</v>
      </c>
      <c r="ID170">
        <v>110</v>
      </c>
      <c r="IE170">
        <v>225</v>
      </c>
      <c r="IF170">
        <v>0</v>
      </c>
      <c r="IH170" t="s">
        <v>549</v>
      </c>
      <c r="IO170">
        <v>3</v>
      </c>
      <c r="IP170">
        <v>17</v>
      </c>
      <c r="IQ170">
        <v>0</v>
      </c>
      <c r="IR170">
        <v>0</v>
      </c>
      <c r="IV170">
        <v>1301</v>
      </c>
      <c r="IW170">
        <v>434</v>
      </c>
      <c r="JA170">
        <v>1</v>
      </c>
      <c r="JB170">
        <v>0</v>
      </c>
      <c r="JC170">
        <v>2</v>
      </c>
      <c r="JD170">
        <v>1319</v>
      </c>
      <c r="JE170">
        <v>1311</v>
      </c>
      <c r="JF170">
        <v>1316</v>
      </c>
      <c r="JG170">
        <v>1294</v>
      </c>
      <c r="JH170">
        <v>0</v>
      </c>
      <c r="JJ170">
        <v>180</v>
      </c>
      <c r="JK170">
        <v>496</v>
      </c>
      <c r="JN170">
        <v>400</v>
      </c>
      <c r="JO170">
        <v>570</v>
      </c>
      <c r="JP170">
        <v>485</v>
      </c>
      <c r="JQ170">
        <v>0</v>
      </c>
      <c r="JR170">
        <v>440</v>
      </c>
      <c r="JS170">
        <v>130</v>
      </c>
      <c r="JV170">
        <v>8</v>
      </c>
      <c r="JW170" t="s">
        <v>550</v>
      </c>
      <c r="JX170">
        <v>480</v>
      </c>
      <c r="KA170">
        <v>225</v>
      </c>
      <c r="KB170">
        <v>110</v>
      </c>
      <c r="KC170">
        <v>0</v>
      </c>
      <c r="KD170">
        <v>80</v>
      </c>
      <c r="KF170">
        <v>4</v>
      </c>
      <c r="KG170">
        <v>2</v>
      </c>
      <c r="KH170">
        <v>2</v>
      </c>
      <c r="KI170">
        <v>2</v>
      </c>
      <c r="KJ170">
        <v>0</v>
      </c>
      <c r="KK170">
        <v>1.5</v>
      </c>
      <c r="KL170">
        <v>1.5</v>
      </c>
      <c r="KM170">
        <v>0</v>
      </c>
      <c r="KN170">
        <v>0</v>
      </c>
      <c r="KO170">
        <v>0</v>
      </c>
      <c r="KR170">
        <v>20</v>
      </c>
      <c r="KS170">
        <v>60</v>
      </c>
      <c r="KT170">
        <v>0</v>
      </c>
      <c r="LK170">
        <v>480</v>
      </c>
      <c r="PG170">
        <v>1</v>
      </c>
      <c r="PI170" t="s">
        <v>2446</v>
      </c>
      <c r="PJ170" t="s">
        <v>2447</v>
      </c>
      <c r="PK170" t="s">
        <v>2448</v>
      </c>
      <c r="PL170" t="s">
        <v>615</v>
      </c>
      <c r="PP170" t="s">
        <v>2449</v>
      </c>
      <c r="PS170" t="s">
        <v>693</v>
      </c>
      <c r="PX170">
        <v>56</v>
      </c>
      <c r="PY170">
        <v>57</v>
      </c>
      <c r="PZ170" t="s">
        <v>2446</v>
      </c>
      <c r="QA170">
        <v>2</v>
      </c>
      <c r="QB170">
        <v>1294</v>
      </c>
      <c r="QC170">
        <v>69</v>
      </c>
      <c r="QD170">
        <v>69</v>
      </c>
      <c r="QE170" t="s">
        <v>615</v>
      </c>
      <c r="QF170">
        <v>1</v>
      </c>
      <c r="QG170">
        <v>1319</v>
      </c>
      <c r="QH170">
        <v>66</v>
      </c>
      <c r="QI170">
        <v>66</v>
      </c>
      <c r="QJ170" t="s">
        <v>693</v>
      </c>
      <c r="QK170">
        <v>1</v>
      </c>
      <c r="QL170">
        <v>1319</v>
      </c>
      <c r="QM170">
        <v>62</v>
      </c>
      <c r="QN170">
        <v>62</v>
      </c>
      <c r="QO170" t="s">
        <v>2447</v>
      </c>
      <c r="QP170">
        <v>1</v>
      </c>
      <c r="QQ170">
        <v>1311</v>
      </c>
      <c r="QR170">
        <v>63</v>
      </c>
      <c r="QS170">
        <v>63</v>
      </c>
      <c r="QT170" t="s">
        <v>2448</v>
      </c>
      <c r="QU170">
        <v>1</v>
      </c>
      <c r="QV170">
        <v>1316</v>
      </c>
      <c r="QW170">
        <v>82</v>
      </c>
      <c r="QX170">
        <v>82</v>
      </c>
      <c r="QY170" t="s">
        <v>2449</v>
      </c>
      <c r="QZ170">
        <v>3</v>
      </c>
      <c r="RA170">
        <v>66</v>
      </c>
      <c r="RB170">
        <v>66</v>
      </c>
      <c r="RE170">
        <v>0</v>
      </c>
      <c r="RF170">
        <v>1</v>
      </c>
      <c r="RI170">
        <v>1</v>
      </c>
      <c r="RJ170">
        <v>1</v>
      </c>
      <c r="RK170">
        <v>2</v>
      </c>
      <c r="RL170">
        <v>3</v>
      </c>
      <c r="RM170">
        <v>3</v>
      </c>
      <c r="RO170">
        <v>567</v>
      </c>
      <c r="RP170">
        <v>105</v>
      </c>
      <c r="RQ170">
        <v>677</v>
      </c>
      <c r="RR170">
        <v>640</v>
      </c>
      <c r="RT170">
        <v>261</v>
      </c>
      <c r="RU170">
        <v>275</v>
      </c>
      <c r="RV170" t="s">
        <v>2452</v>
      </c>
      <c r="RW170" t="s">
        <v>653</v>
      </c>
      <c r="RX170">
        <v>15</v>
      </c>
      <c r="RY170">
        <v>4</v>
      </c>
      <c r="RZ170" t="s">
        <v>653</v>
      </c>
      <c r="SA170">
        <v>15</v>
      </c>
      <c r="SC170" t="s">
        <v>2447</v>
      </c>
      <c r="SD170">
        <v>1</v>
      </c>
      <c r="SE170" t="s">
        <v>2453</v>
      </c>
      <c r="SF170" t="s">
        <v>2453</v>
      </c>
      <c r="SG170">
        <v>1</v>
      </c>
      <c r="SH170">
        <v>0.995</v>
      </c>
      <c r="SI170">
        <v>0.995</v>
      </c>
      <c r="SJ170">
        <v>0.995</v>
      </c>
      <c r="SK170">
        <v>15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1</v>
      </c>
      <c r="SZ170">
        <v>1</v>
      </c>
      <c r="TB170">
        <v>0</v>
      </c>
      <c r="TC170">
        <v>0</v>
      </c>
      <c r="TD170">
        <v>7.5</v>
      </c>
      <c r="TE170" t="s">
        <v>553</v>
      </c>
      <c r="TF170" t="s">
        <v>655</v>
      </c>
      <c r="TG170" t="s">
        <v>555</v>
      </c>
      <c r="TI170" t="s">
        <v>546</v>
      </c>
      <c r="TJ170" t="s">
        <v>547</v>
      </c>
      <c r="TL170" t="s">
        <v>2341</v>
      </c>
      <c r="TM170" t="s">
        <v>513</v>
      </c>
      <c r="TN170">
        <v>0</v>
      </c>
      <c r="TO170" t="s">
        <v>557</v>
      </c>
    </row>
    <row r="171" spans="1:535">
      <c r="A171" t="s">
        <v>2454</v>
      </c>
      <c r="B171" t="s">
        <v>727</v>
      </c>
      <c r="C171" t="s">
        <v>509</v>
      </c>
      <c r="D171" t="s">
        <v>2455</v>
      </c>
      <c r="G171" t="s">
        <v>604</v>
      </c>
      <c r="H171" t="s">
        <v>605</v>
      </c>
      <c r="J171" t="s">
        <v>606</v>
      </c>
      <c r="L171" t="s">
        <v>512</v>
      </c>
      <c r="M171" t="s">
        <v>729</v>
      </c>
      <c r="N171" t="s">
        <v>513</v>
      </c>
      <c r="O171" t="s">
        <v>607</v>
      </c>
      <c r="Q171" t="s">
        <v>2456</v>
      </c>
      <c r="R171" t="s">
        <v>517</v>
      </c>
      <c r="S171" t="s">
        <v>1544</v>
      </c>
      <c r="T171" t="s">
        <v>1481</v>
      </c>
      <c r="U171" t="s">
        <v>1457</v>
      </c>
      <c r="V171" t="s">
        <v>1458</v>
      </c>
      <c r="W171" t="s">
        <v>2457</v>
      </c>
      <c r="X171" t="s">
        <v>2336</v>
      </c>
      <c r="Y171" t="s">
        <v>524</v>
      </c>
      <c r="Z171" t="s">
        <v>2458</v>
      </c>
      <c r="AA171" t="s">
        <v>2459</v>
      </c>
      <c r="AB171" t="s">
        <v>2460</v>
      </c>
      <c r="AC171">
        <v>2</v>
      </c>
      <c r="AD171">
        <v>57</v>
      </c>
      <c r="AE171">
        <v>162</v>
      </c>
      <c r="AF171">
        <v>1.5</v>
      </c>
      <c r="AH171">
        <v>0</v>
      </c>
      <c r="AI171" t="s">
        <v>1021</v>
      </c>
      <c r="AJ171">
        <v>172.5</v>
      </c>
      <c r="AK171">
        <v>1</v>
      </c>
      <c r="AL171">
        <v>1.5</v>
      </c>
      <c r="AM171" t="s">
        <v>529</v>
      </c>
      <c r="AO171">
        <v>0</v>
      </c>
      <c r="AR171">
        <v>0</v>
      </c>
      <c r="AS171">
        <v>1.5</v>
      </c>
      <c r="AV171" t="s">
        <v>2461</v>
      </c>
      <c r="AW171" t="s">
        <v>2461</v>
      </c>
      <c r="AX171">
        <v>1</v>
      </c>
      <c r="AY171">
        <v>257.5</v>
      </c>
      <c r="AZ171">
        <v>1.5</v>
      </c>
      <c r="BA171" t="s">
        <v>529</v>
      </c>
      <c r="BG171">
        <v>1.5</v>
      </c>
      <c r="BJ171">
        <v>0</v>
      </c>
      <c r="BN171">
        <v>1.5</v>
      </c>
      <c r="BP171" t="s">
        <v>2462</v>
      </c>
      <c r="BQ171">
        <v>89</v>
      </c>
      <c r="BR171">
        <v>2</v>
      </c>
      <c r="BS171" t="s">
        <v>1898</v>
      </c>
      <c r="BT171">
        <v>185</v>
      </c>
      <c r="BU171">
        <v>0.5</v>
      </c>
      <c r="BV171" t="s">
        <v>1898</v>
      </c>
      <c r="BW171">
        <v>370</v>
      </c>
      <c r="BX171">
        <v>1</v>
      </c>
      <c r="BY171" t="s">
        <v>1468</v>
      </c>
      <c r="BZ171">
        <v>300</v>
      </c>
      <c r="CA171">
        <v>380</v>
      </c>
      <c r="CB171" t="s">
        <v>1469</v>
      </c>
      <c r="CC171" t="s">
        <v>1492</v>
      </c>
      <c r="CD171">
        <v>396</v>
      </c>
      <c r="CE171" t="s">
        <v>1470</v>
      </c>
      <c r="CF171">
        <v>15</v>
      </c>
      <c r="CG171" t="s">
        <v>1614</v>
      </c>
      <c r="CH171" t="s">
        <v>1614</v>
      </c>
      <c r="CI171">
        <v>40</v>
      </c>
      <c r="CJ171">
        <v>1050</v>
      </c>
      <c r="CK171">
        <v>2</v>
      </c>
      <c r="CL171">
        <v>1144</v>
      </c>
      <c r="CM171">
        <v>2</v>
      </c>
      <c r="CN171" t="s">
        <v>1472</v>
      </c>
      <c r="CO171" t="s">
        <v>1473</v>
      </c>
      <c r="CP171" t="s">
        <v>1474</v>
      </c>
      <c r="CQ171" t="s">
        <v>649</v>
      </c>
      <c r="CR171" t="s">
        <v>650</v>
      </c>
      <c r="CS171" t="s">
        <v>542</v>
      </c>
      <c r="CT171">
        <v>345</v>
      </c>
      <c r="CU171">
        <v>5</v>
      </c>
      <c r="CV171">
        <v>1.2</v>
      </c>
      <c r="CW171">
        <v>1064</v>
      </c>
      <c r="CX171">
        <v>519</v>
      </c>
      <c r="DD171">
        <v>0</v>
      </c>
      <c r="DE171" t="s">
        <v>543</v>
      </c>
      <c r="DF171">
        <v>515</v>
      </c>
      <c r="DG171">
        <v>3</v>
      </c>
      <c r="DH171">
        <v>1.18</v>
      </c>
      <c r="DI171">
        <v>1062</v>
      </c>
      <c r="DJ171">
        <v>913</v>
      </c>
      <c r="DW171" t="s">
        <v>544</v>
      </c>
      <c r="DX171">
        <v>7.5</v>
      </c>
      <c r="EA171">
        <v>1123</v>
      </c>
      <c r="EB171">
        <v>147</v>
      </c>
      <c r="EC171" t="s">
        <v>545</v>
      </c>
      <c r="ED171">
        <v>50</v>
      </c>
      <c r="EE171">
        <v>3</v>
      </c>
      <c r="EG171">
        <v>1154</v>
      </c>
      <c r="EH171">
        <v>237</v>
      </c>
      <c r="EJ171">
        <v>0</v>
      </c>
      <c r="EK171">
        <v>1</v>
      </c>
      <c r="EN171">
        <v>0</v>
      </c>
      <c r="EP171" t="s">
        <v>546</v>
      </c>
      <c r="EQ171">
        <v>91</v>
      </c>
      <c r="ER171">
        <v>3</v>
      </c>
      <c r="ES171">
        <v>5.9</v>
      </c>
      <c r="ET171">
        <v>1051</v>
      </c>
      <c r="EU171">
        <v>405.7</v>
      </c>
      <c r="EV171">
        <v>426</v>
      </c>
      <c r="EW171" t="s">
        <v>547</v>
      </c>
      <c r="EX171">
        <v>69</v>
      </c>
      <c r="EY171">
        <v>2</v>
      </c>
      <c r="EZ171">
        <v>4.2</v>
      </c>
      <c r="FA171">
        <v>1051</v>
      </c>
      <c r="FB171">
        <v>204.5</v>
      </c>
      <c r="FC171">
        <v>215</v>
      </c>
      <c r="FE171">
        <v>0</v>
      </c>
      <c r="FF171">
        <v>2</v>
      </c>
      <c r="FI171">
        <v>0</v>
      </c>
      <c r="FK171" t="s">
        <v>548</v>
      </c>
      <c r="FL171">
        <v>0.4</v>
      </c>
      <c r="FM171">
        <v>75</v>
      </c>
      <c r="FN171">
        <v>80</v>
      </c>
      <c r="FR171" t="s">
        <v>548</v>
      </c>
      <c r="FS171">
        <v>0.4</v>
      </c>
      <c r="FT171">
        <v>30</v>
      </c>
      <c r="FU171">
        <v>330</v>
      </c>
      <c r="FV171">
        <v>30</v>
      </c>
      <c r="FW171">
        <v>200</v>
      </c>
      <c r="FY171" t="s">
        <v>651</v>
      </c>
      <c r="FZ171">
        <v>1</v>
      </c>
      <c r="GA171">
        <v>20</v>
      </c>
      <c r="GB171">
        <v>130</v>
      </c>
      <c r="GG171" t="s">
        <v>651</v>
      </c>
      <c r="GH171">
        <v>1</v>
      </c>
      <c r="GI171">
        <v>20</v>
      </c>
      <c r="GJ171">
        <v>130</v>
      </c>
      <c r="HC171">
        <v>0.1</v>
      </c>
      <c r="HD171">
        <v>3</v>
      </c>
      <c r="HE171">
        <v>3</v>
      </c>
      <c r="HF171">
        <v>3</v>
      </c>
      <c r="HG171">
        <v>3</v>
      </c>
      <c r="HH171">
        <v>3</v>
      </c>
      <c r="HI171">
        <v>145</v>
      </c>
      <c r="HJ171">
        <v>3</v>
      </c>
      <c r="HK171">
        <v>54</v>
      </c>
      <c r="HL171">
        <v>2</v>
      </c>
      <c r="HM171">
        <v>0</v>
      </c>
      <c r="HN171">
        <v>2</v>
      </c>
      <c r="HO171">
        <v>76</v>
      </c>
      <c r="HP171">
        <v>3</v>
      </c>
      <c r="HQ171">
        <v>0</v>
      </c>
      <c r="HR171">
        <v>2</v>
      </c>
      <c r="HS171">
        <v>3482</v>
      </c>
      <c r="HT171">
        <v>100</v>
      </c>
      <c r="HU171">
        <v>180</v>
      </c>
      <c r="HW171">
        <v>0</v>
      </c>
      <c r="HX171">
        <v>456</v>
      </c>
      <c r="HY171">
        <v>0.18</v>
      </c>
      <c r="IA171">
        <v>0.15</v>
      </c>
      <c r="IB171">
        <v>0</v>
      </c>
      <c r="IC171">
        <v>180</v>
      </c>
      <c r="ID171">
        <v>110</v>
      </c>
      <c r="IE171">
        <v>0</v>
      </c>
      <c r="IF171">
        <v>0</v>
      </c>
      <c r="IH171" t="s">
        <v>549</v>
      </c>
      <c r="IO171">
        <v>1</v>
      </c>
      <c r="IP171">
        <v>14</v>
      </c>
      <c r="IQ171">
        <v>0</v>
      </c>
      <c r="IR171">
        <v>1</v>
      </c>
      <c r="IV171">
        <v>1050</v>
      </c>
      <c r="IW171">
        <v>370</v>
      </c>
      <c r="JA171">
        <v>1</v>
      </c>
      <c r="JB171">
        <v>0</v>
      </c>
      <c r="JC171">
        <v>2</v>
      </c>
      <c r="JD171">
        <v>1064</v>
      </c>
      <c r="JE171">
        <v>1062</v>
      </c>
      <c r="JF171">
        <v>0</v>
      </c>
      <c r="JG171">
        <v>1051</v>
      </c>
      <c r="JH171">
        <v>0</v>
      </c>
      <c r="JJ171">
        <v>180</v>
      </c>
      <c r="JK171">
        <v>456</v>
      </c>
      <c r="JN171">
        <v>345</v>
      </c>
      <c r="JO171">
        <v>515</v>
      </c>
      <c r="JP171">
        <v>0</v>
      </c>
      <c r="JQ171">
        <v>0</v>
      </c>
      <c r="JR171">
        <v>324</v>
      </c>
      <c r="JS171">
        <v>145</v>
      </c>
      <c r="JV171">
        <v>8</v>
      </c>
      <c r="JW171" t="s">
        <v>550</v>
      </c>
      <c r="JX171">
        <v>0</v>
      </c>
      <c r="KA171">
        <v>0</v>
      </c>
      <c r="KB171">
        <v>110</v>
      </c>
      <c r="KC171">
        <v>0</v>
      </c>
      <c r="KD171">
        <v>80</v>
      </c>
      <c r="KF171">
        <v>3</v>
      </c>
      <c r="KG171">
        <v>2</v>
      </c>
      <c r="KH171">
        <v>2</v>
      </c>
      <c r="KI171">
        <v>2</v>
      </c>
      <c r="KJ171">
        <v>0</v>
      </c>
      <c r="KK171">
        <v>1.5</v>
      </c>
      <c r="KL171">
        <v>1.5</v>
      </c>
      <c r="KM171">
        <v>0</v>
      </c>
      <c r="KN171">
        <v>0</v>
      </c>
      <c r="KO171">
        <v>0</v>
      </c>
      <c r="KR171">
        <v>50</v>
      </c>
      <c r="KS171">
        <v>60</v>
      </c>
      <c r="KT171">
        <v>0</v>
      </c>
      <c r="LK171">
        <v>480</v>
      </c>
      <c r="PG171">
        <v>1</v>
      </c>
      <c r="PI171" t="s">
        <v>2460</v>
      </c>
      <c r="PJ171" t="s">
        <v>2461</v>
      </c>
      <c r="PL171" t="s">
        <v>1021</v>
      </c>
      <c r="PP171" t="s">
        <v>2462</v>
      </c>
      <c r="PX171">
        <v>56</v>
      </c>
      <c r="PY171">
        <v>57</v>
      </c>
      <c r="PZ171" t="s">
        <v>2460</v>
      </c>
      <c r="QA171">
        <v>1</v>
      </c>
      <c r="QB171">
        <v>1051</v>
      </c>
      <c r="QC171">
        <v>69</v>
      </c>
      <c r="QD171">
        <v>69</v>
      </c>
      <c r="QE171" t="s">
        <v>1021</v>
      </c>
      <c r="QF171">
        <v>1</v>
      </c>
      <c r="QG171">
        <v>1064</v>
      </c>
      <c r="QH171">
        <v>66</v>
      </c>
      <c r="QI171">
        <v>66</v>
      </c>
      <c r="QL171">
        <v>0</v>
      </c>
      <c r="QM171">
        <v>63</v>
      </c>
      <c r="QN171">
        <v>63</v>
      </c>
      <c r="QO171" t="s">
        <v>2461</v>
      </c>
      <c r="QP171">
        <v>1</v>
      </c>
      <c r="QQ171">
        <v>1062</v>
      </c>
      <c r="QW171">
        <v>82</v>
      </c>
      <c r="QX171">
        <v>89</v>
      </c>
      <c r="QY171" t="s">
        <v>2462</v>
      </c>
      <c r="QZ171">
        <v>2</v>
      </c>
      <c r="RA171">
        <v>66</v>
      </c>
      <c r="RB171">
        <v>66</v>
      </c>
      <c r="RE171">
        <v>0</v>
      </c>
      <c r="RG171">
        <v>1</v>
      </c>
      <c r="RJ171">
        <v>3</v>
      </c>
      <c r="RL171">
        <v>2</v>
      </c>
      <c r="RO171">
        <v>488</v>
      </c>
      <c r="RQ171">
        <v>860</v>
      </c>
      <c r="RT171">
        <v>147</v>
      </c>
      <c r="RU171">
        <v>237</v>
      </c>
      <c r="RV171" t="s">
        <v>1901</v>
      </c>
      <c r="RW171" t="s">
        <v>1476</v>
      </c>
      <c r="RX171">
        <v>15</v>
      </c>
      <c r="RY171">
        <v>4</v>
      </c>
      <c r="RZ171" t="s">
        <v>1476</v>
      </c>
      <c r="SA171">
        <v>15</v>
      </c>
      <c r="SB171" t="s">
        <v>2463</v>
      </c>
      <c r="SC171" t="s">
        <v>2463</v>
      </c>
      <c r="SD171">
        <v>1</v>
      </c>
      <c r="SH171">
        <v>0.995</v>
      </c>
      <c r="SI171">
        <v>0.995</v>
      </c>
      <c r="SJ171">
        <v>0.995</v>
      </c>
      <c r="SK171">
        <v>15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TB171">
        <v>0</v>
      </c>
      <c r="TC171">
        <v>0</v>
      </c>
      <c r="TD171">
        <v>7.5</v>
      </c>
      <c r="TE171" t="s">
        <v>553</v>
      </c>
      <c r="TF171" t="s">
        <v>754</v>
      </c>
      <c r="TG171" t="s">
        <v>555</v>
      </c>
      <c r="TI171" t="s">
        <v>546</v>
      </c>
      <c r="TJ171" t="s">
        <v>547</v>
      </c>
      <c r="TL171" t="s">
        <v>2341</v>
      </c>
      <c r="TM171" t="s">
        <v>513</v>
      </c>
      <c r="TN171">
        <v>0</v>
      </c>
      <c r="TO171" t="s">
        <v>557</v>
      </c>
    </row>
    <row r="172" spans="1:535">
      <c r="A172" t="s">
        <v>2464</v>
      </c>
      <c r="B172" t="s">
        <v>1960</v>
      </c>
      <c r="C172" t="s">
        <v>509</v>
      </c>
      <c r="D172" t="s">
        <v>2422</v>
      </c>
      <c r="G172" t="s">
        <v>604</v>
      </c>
      <c r="H172" t="s">
        <v>896</v>
      </c>
      <c r="I172" t="s">
        <v>628</v>
      </c>
      <c r="J172" t="s">
        <v>606</v>
      </c>
      <c r="L172" t="s">
        <v>512</v>
      </c>
      <c r="M172" t="s">
        <v>1453</v>
      </c>
      <c r="N172" t="s">
        <v>513</v>
      </c>
      <c r="O172" t="s">
        <v>607</v>
      </c>
      <c r="Q172" t="s">
        <v>2465</v>
      </c>
      <c r="R172" t="s">
        <v>517</v>
      </c>
      <c r="S172" t="s">
        <v>1766</v>
      </c>
      <c r="T172" t="s">
        <v>1767</v>
      </c>
      <c r="U172" t="s">
        <v>1482</v>
      </c>
      <c r="V172" t="s">
        <v>1483</v>
      </c>
      <c r="W172" t="s">
        <v>2425</v>
      </c>
      <c r="X172" t="s">
        <v>2336</v>
      </c>
      <c r="Y172" t="s">
        <v>524</v>
      </c>
      <c r="Z172" t="s">
        <v>2466</v>
      </c>
      <c r="AA172" t="s">
        <v>2467</v>
      </c>
      <c r="AB172" t="s">
        <v>2468</v>
      </c>
      <c r="AC172">
        <v>2</v>
      </c>
      <c r="AD172">
        <v>57</v>
      </c>
      <c r="AE172">
        <v>167</v>
      </c>
      <c r="AF172">
        <v>1.5</v>
      </c>
      <c r="AH172">
        <v>0</v>
      </c>
      <c r="AI172" t="s">
        <v>1033</v>
      </c>
      <c r="AJ172">
        <v>177.5</v>
      </c>
      <c r="AK172">
        <v>1</v>
      </c>
      <c r="AL172">
        <v>1.5</v>
      </c>
      <c r="AM172" t="s">
        <v>529</v>
      </c>
      <c r="AO172">
        <v>0</v>
      </c>
      <c r="AR172">
        <v>0</v>
      </c>
      <c r="AS172">
        <v>1.5</v>
      </c>
      <c r="AU172" t="s">
        <v>2469</v>
      </c>
      <c r="AW172" t="s">
        <v>2469</v>
      </c>
      <c r="AX172">
        <v>1</v>
      </c>
      <c r="AY172">
        <v>255</v>
      </c>
      <c r="AZ172">
        <v>1.5</v>
      </c>
      <c r="BA172" t="s">
        <v>529</v>
      </c>
      <c r="BG172">
        <v>1.5</v>
      </c>
      <c r="BJ172">
        <v>0</v>
      </c>
      <c r="BN172">
        <v>1.5</v>
      </c>
      <c r="BP172" t="s">
        <v>2470</v>
      </c>
      <c r="BQ172">
        <v>82</v>
      </c>
      <c r="BR172">
        <v>2</v>
      </c>
      <c r="BS172" t="s">
        <v>2471</v>
      </c>
      <c r="BT172">
        <v>189</v>
      </c>
      <c r="BU172">
        <v>0.5</v>
      </c>
      <c r="BV172" t="s">
        <v>2471</v>
      </c>
      <c r="BW172">
        <v>378</v>
      </c>
      <c r="BX172">
        <v>1</v>
      </c>
      <c r="BY172" t="s">
        <v>1491</v>
      </c>
      <c r="BZ172">
        <v>300</v>
      </c>
      <c r="CA172">
        <v>440</v>
      </c>
      <c r="CB172" t="s">
        <v>1492</v>
      </c>
      <c r="CC172" t="s">
        <v>1492</v>
      </c>
      <c r="CD172">
        <v>396</v>
      </c>
      <c r="CE172" t="s">
        <v>1493</v>
      </c>
      <c r="CF172">
        <v>15</v>
      </c>
      <c r="CG172" t="s">
        <v>2472</v>
      </c>
      <c r="CH172" t="s">
        <v>2472</v>
      </c>
      <c r="CI172">
        <v>70</v>
      </c>
      <c r="CJ172">
        <v>1122</v>
      </c>
      <c r="CK172">
        <v>2</v>
      </c>
      <c r="CL172">
        <v>1222</v>
      </c>
      <c r="CM172">
        <v>2</v>
      </c>
      <c r="CN172" t="s">
        <v>1495</v>
      </c>
      <c r="CO172" t="s">
        <v>1473</v>
      </c>
      <c r="CP172" t="s">
        <v>1474</v>
      </c>
      <c r="CQ172" t="s">
        <v>540</v>
      </c>
      <c r="CR172" t="s">
        <v>541</v>
      </c>
      <c r="CS172" t="s">
        <v>542</v>
      </c>
      <c r="CT172">
        <v>355</v>
      </c>
      <c r="CU172">
        <v>5</v>
      </c>
      <c r="CV172">
        <v>1.2</v>
      </c>
      <c r="CW172">
        <v>1136</v>
      </c>
      <c r="CX172">
        <v>571</v>
      </c>
      <c r="DD172">
        <v>0</v>
      </c>
      <c r="DE172" t="s">
        <v>543</v>
      </c>
      <c r="DF172">
        <v>510</v>
      </c>
      <c r="DG172">
        <v>3</v>
      </c>
      <c r="DH172">
        <v>1.18</v>
      </c>
      <c r="DI172">
        <v>1134</v>
      </c>
      <c r="DJ172">
        <v>869</v>
      </c>
      <c r="DW172" t="s">
        <v>544</v>
      </c>
      <c r="DX172">
        <v>7.5</v>
      </c>
      <c r="EA172">
        <v>1202.7</v>
      </c>
      <c r="EB172">
        <v>213</v>
      </c>
      <c r="EC172" t="s">
        <v>545</v>
      </c>
      <c r="ED172">
        <v>35</v>
      </c>
      <c r="EE172">
        <v>3</v>
      </c>
      <c r="EG172">
        <v>1244</v>
      </c>
      <c r="EH172">
        <v>199</v>
      </c>
      <c r="EJ172">
        <v>0</v>
      </c>
      <c r="EK172">
        <v>1</v>
      </c>
      <c r="EN172">
        <v>0</v>
      </c>
      <c r="EP172" t="s">
        <v>546</v>
      </c>
      <c r="EQ172">
        <v>95</v>
      </c>
      <c r="ER172">
        <v>3</v>
      </c>
      <c r="ES172">
        <v>5</v>
      </c>
      <c r="ET172">
        <v>1117</v>
      </c>
      <c r="EU172">
        <v>379.8</v>
      </c>
      <c r="EV172">
        <v>424</v>
      </c>
      <c r="EW172" t="s">
        <v>547</v>
      </c>
      <c r="EX172">
        <v>70</v>
      </c>
      <c r="EY172">
        <v>2</v>
      </c>
      <c r="EZ172">
        <v>4.5</v>
      </c>
      <c r="FA172">
        <v>1117</v>
      </c>
      <c r="FB172">
        <v>205.5</v>
      </c>
      <c r="FC172">
        <v>230</v>
      </c>
      <c r="FE172">
        <v>0</v>
      </c>
      <c r="FF172">
        <v>2</v>
      </c>
      <c r="FI172">
        <v>0</v>
      </c>
      <c r="FK172" t="s">
        <v>548</v>
      </c>
      <c r="FL172">
        <v>0.4</v>
      </c>
      <c r="FM172">
        <v>55</v>
      </c>
      <c r="FN172">
        <v>130</v>
      </c>
      <c r="FR172" t="s">
        <v>548</v>
      </c>
      <c r="FS172">
        <v>0.4</v>
      </c>
      <c r="FT172">
        <v>30</v>
      </c>
      <c r="FU172">
        <v>340</v>
      </c>
      <c r="HC172">
        <v>0.1</v>
      </c>
      <c r="HD172">
        <v>3</v>
      </c>
      <c r="HE172">
        <v>3</v>
      </c>
      <c r="HF172">
        <v>3</v>
      </c>
      <c r="HG172">
        <v>3</v>
      </c>
      <c r="HH172">
        <v>3</v>
      </c>
      <c r="HI172">
        <v>150</v>
      </c>
      <c r="HJ172">
        <v>3</v>
      </c>
      <c r="HK172">
        <v>55</v>
      </c>
      <c r="HL172">
        <v>2</v>
      </c>
      <c r="HM172">
        <v>0</v>
      </c>
      <c r="HN172">
        <v>2</v>
      </c>
      <c r="HO172">
        <v>80</v>
      </c>
      <c r="HP172">
        <v>3</v>
      </c>
      <c r="HQ172">
        <v>0</v>
      </c>
      <c r="HR172">
        <v>2</v>
      </c>
      <c r="HS172">
        <v>3572</v>
      </c>
      <c r="HT172">
        <v>110</v>
      </c>
      <c r="HU172">
        <v>180</v>
      </c>
      <c r="HW172">
        <v>0</v>
      </c>
      <c r="HX172">
        <v>480</v>
      </c>
      <c r="HY172">
        <v>0.18</v>
      </c>
      <c r="IA172">
        <v>0.15</v>
      </c>
      <c r="IB172">
        <v>0</v>
      </c>
      <c r="IC172">
        <v>180</v>
      </c>
      <c r="ID172">
        <v>110</v>
      </c>
      <c r="IE172">
        <v>0</v>
      </c>
      <c r="IF172">
        <v>0</v>
      </c>
      <c r="IH172" t="s">
        <v>549</v>
      </c>
      <c r="IO172">
        <v>1</v>
      </c>
      <c r="IP172">
        <v>15</v>
      </c>
      <c r="IQ172">
        <v>0</v>
      </c>
      <c r="IR172">
        <v>1</v>
      </c>
      <c r="IV172">
        <v>1122</v>
      </c>
      <c r="IW172">
        <v>378</v>
      </c>
      <c r="JA172">
        <v>1</v>
      </c>
      <c r="JB172">
        <v>0</v>
      </c>
      <c r="JC172">
        <v>2</v>
      </c>
      <c r="JD172">
        <v>1136</v>
      </c>
      <c r="JE172">
        <v>1134</v>
      </c>
      <c r="JF172">
        <v>0</v>
      </c>
      <c r="JG172">
        <v>1117</v>
      </c>
      <c r="JH172">
        <v>0</v>
      </c>
      <c r="JJ172">
        <v>180</v>
      </c>
      <c r="JK172">
        <v>480</v>
      </c>
      <c r="JN172">
        <v>355</v>
      </c>
      <c r="JO172">
        <v>510</v>
      </c>
      <c r="JP172">
        <v>0</v>
      </c>
      <c r="JQ172">
        <v>0</v>
      </c>
      <c r="JR172">
        <v>334</v>
      </c>
      <c r="JS172">
        <v>150</v>
      </c>
      <c r="JV172">
        <v>8</v>
      </c>
      <c r="JW172" t="s">
        <v>550</v>
      </c>
      <c r="JX172">
        <v>0</v>
      </c>
      <c r="KA172">
        <v>0</v>
      </c>
      <c r="KB172">
        <v>110</v>
      </c>
      <c r="KC172">
        <v>0</v>
      </c>
      <c r="KD172">
        <v>80</v>
      </c>
      <c r="KF172">
        <v>4</v>
      </c>
      <c r="KG172">
        <v>2</v>
      </c>
      <c r="KH172">
        <v>2</v>
      </c>
      <c r="KI172">
        <v>2</v>
      </c>
      <c r="KJ172">
        <v>0</v>
      </c>
      <c r="KK172">
        <v>1.5</v>
      </c>
      <c r="KL172">
        <v>1.5</v>
      </c>
      <c r="KM172">
        <v>0</v>
      </c>
      <c r="KN172">
        <v>0</v>
      </c>
      <c r="KO172">
        <v>0</v>
      </c>
      <c r="KR172">
        <v>50</v>
      </c>
      <c r="KS172">
        <v>60</v>
      </c>
      <c r="KT172">
        <v>0</v>
      </c>
      <c r="LK172">
        <v>480</v>
      </c>
      <c r="LY172">
        <v>2</v>
      </c>
      <c r="LZ172">
        <v>320</v>
      </c>
      <c r="PG172">
        <v>1</v>
      </c>
      <c r="PI172" t="s">
        <v>2468</v>
      </c>
      <c r="PJ172" t="s">
        <v>2469</v>
      </c>
      <c r="PL172" t="s">
        <v>1033</v>
      </c>
      <c r="PP172" t="s">
        <v>2470</v>
      </c>
      <c r="PX172">
        <v>56</v>
      </c>
      <c r="PY172">
        <v>57</v>
      </c>
      <c r="PZ172" t="s">
        <v>2468</v>
      </c>
      <c r="QA172">
        <v>1</v>
      </c>
      <c r="QB172">
        <v>1117</v>
      </c>
      <c r="QC172">
        <v>69</v>
      </c>
      <c r="QD172">
        <v>69</v>
      </c>
      <c r="QE172" t="s">
        <v>1033</v>
      </c>
      <c r="QF172">
        <v>1</v>
      </c>
      <c r="QG172">
        <v>1136</v>
      </c>
      <c r="QH172">
        <v>66</v>
      </c>
      <c r="QI172">
        <v>66</v>
      </c>
      <c r="QL172">
        <v>0</v>
      </c>
      <c r="QM172">
        <v>62</v>
      </c>
      <c r="QN172">
        <v>62</v>
      </c>
      <c r="QO172" t="s">
        <v>2469</v>
      </c>
      <c r="QP172">
        <v>1</v>
      </c>
      <c r="QQ172">
        <v>1134</v>
      </c>
      <c r="QW172">
        <v>82</v>
      </c>
      <c r="QX172">
        <v>82</v>
      </c>
      <c r="QY172" t="s">
        <v>2470</v>
      </c>
      <c r="QZ172">
        <v>1</v>
      </c>
      <c r="RA172">
        <v>66</v>
      </c>
      <c r="RB172">
        <v>66</v>
      </c>
      <c r="RE172">
        <v>0</v>
      </c>
      <c r="RF172">
        <v>1</v>
      </c>
      <c r="RJ172">
        <v>1</v>
      </c>
      <c r="RL172">
        <v>2</v>
      </c>
      <c r="RO172">
        <v>503</v>
      </c>
      <c r="RQ172">
        <v>766</v>
      </c>
      <c r="RT172">
        <v>213</v>
      </c>
      <c r="RU172">
        <v>199</v>
      </c>
      <c r="RV172" t="s">
        <v>2473</v>
      </c>
      <c r="RW172" t="s">
        <v>1498</v>
      </c>
      <c r="RX172">
        <v>15</v>
      </c>
      <c r="RY172">
        <v>4</v>
      </c>
      <c r="RZ172" t="s">
        <v>1498</v>
      </c>
      <c r="SA172">
        <v>15</v>
      </c>
      <c r="SC172" t="s">
        <v>2469</v>
      </c>
      <c r="SD172">
        <v>1</v>
      </c>
      <c r="SH172">
        <v>0.995</v>
      </c>
      <c r="SI172">
        <v>0.995</v>
      </c>
      <c r="SJ172">
        <v>0.995</v>
      </c>
      <c r="SK172">
        <v>15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TB172">
        <v>0</v>
      </c>
      <c r="TC172">
        <v>0</v>
      </c>
      <c r="TD172">
        <v>7.5</v>
      </c>
      <c r="TE172" t="s">
        <v>553</v>
      </c>
      <c r="TF172" t="s">
        <v>624</v>
      </c>
      <c r="TG172" t="s">
        <v>555</v>
      </c>
      <c r="TI172" t="s">
        <v>546</v>
      </c>
      <c r="TJ172" t="s">
        <v>547</v>
      </c>
      <c r="TL172" t="s">
        <v>2341</v>
      </c>
      <c r="TM172" t="s">
        <v>513</v>
      </c>
      <c r="TN172">
        <v>0</v>
      </c>
      <c r="TO172" t="s">
        <v>557</v>
      </c>
    </row>
    <row r="173" spans="1:535">
      <c r="A173" t="s">
        <v>2474</v>
      </c>
      <c r="B173" t="s">
        <v>727</v>
      </c>
      <c r="C173" t="s">
        <v>509</v>
      </c>
      <c r="D173" t="s">
        <v>2475</v>
      </c>
      <c r="G173" t="s">
        <v>604</v>
      </c>
      <c r="H173" t="s">
        <v>605</v>
      </c>
      <c r="J173" t="s">
        <v>606</v>
      </c>
      <c r="L173" t="s">
        <v>512</v>
      </c>
      <c r="M173" t="s">
        <v>729</v>
      </c>
      <c r="N173" t="s">
        <v>513</v>
      </c>
      <c r="O173" t="s">
        <v>607</v>
      </c>
      <c r="Q173" t="s">
        <v>2476</v>
      </c>
      <c r="R173" t="s">
        <v>517</v>
      </c>
      <c r="S173" t="s">
        <v>1681</v>
      </c>
      <c r="T173" t="s">
        <v>1682</v>
      </c>
      <c r="U173" t="s">
        <v>520</v>
      </c>
      <c r="V173" t="s">
        <v>521</v>
      </c>
      <c r="W173" t="s">
        <v>2477</v>
      </c>
      <c r="X173" t="s">
        <v>2336</v>
      </c>
      <c r="Y173" t="s">
        <v>574</v>
      </c>
      <c r="Z173" t="s">
        <v>2478</v>
      </c>
      <c r="AA173" t="s">
        <v>2479</v>
      </c>
      <c r="AB173" t="s">
        <v>2480</v>
      </c>
      <c r="AC173">
        <v>2</v>
      </c>
      <c r="AD173">
        <v>57</v>
      </c>
      <c r="AE173">
        <v>179</v>
      </c>
      <c r="AF173">
        <v>1.5</v>
      </c>
      <c r="AH173">
        <v>0</v>
      </c>
      <c r="AI173" t="s">
        <v>764</v>
      </c>
      <c r="AJ173">
        <v>190</v>
      </c>
      <c r="AK173">
        <v>1</v>
      </c>
      <c r="AL173">
        <v>1.5</v>
      </c>
      <c r="AM173" t="s">
        <v>529</v>
      </c>
      <c r="AO173">
        <v>0</v>
      </c>
      <c r="AR173">
        <v>0</v>
      </c>
      <c r="AS173">
        <v>1.5</v>
      </c>
      <c r="AU173" t="s">
        <v>2481</v>
      </c>
      <c r="AW173" t="s">
        <v>2481</v>
      </c>
      <c r="AX173">
        <v>1</v>
      </c>
      <c r="AY173">
        <v>342.5</v>
      </c>
      <c r="AZ173">
        <v>1.5</v>
      </c>
      <c r="BA173" t="s">
        <v>529</v>
      </c>
      <c r="BG173">
        <v>1.5</v>
      </c>
      <c r="BJ173">
        <v>0</v>
      </c>
      <c r="BN173">
        <v>1.5</v>
      </c>
      <c r="BP173" t="s">
        <v>2482</v>
      </c>
      <c r="BQ173">
        <v>88</v>
      </c>
      <c r="BR173">
        <v>2</v>
      </c>
      <c r="BS173" t="s">
        <v>2483</v>
      </c>
      <c r="BT173">
        <v>201</v>
      </c>
      <c r="BU173">
        <v>0.5</v>
      </c>
      <c r="BV173" t="s">
        <v>2483</v>
      </c>
      <c r="BW173">
        <v>402</v>
      </c>
      <c r="BX173">
        <v>1</v>
      </c>
      <c r="BY173" t="s">
        <v>533</v>
      </c>
      <c r="BZ173">
        <v>470</v>
      </c>
      <c r="CA173">
        <v>530</v>
      </c>
      <c r="CB173" t="s">
        <v>534</v>
      </c>
      <c r="CC173" t="s">
        <v>534</v>
      </c>
      <c r="CD173">
        <v>418</v>
      </c>
      <c r="CE173" t="s">
        <v>535</v>
      </c>
      <c r="CF173">
        <v>15</v>
      </c>
      <c r="CG173" t="s">
        <v>2484</v>
      </c>
      <c r="CH173" t="s">
        <v>2484</v>
      </c>
      <c r="CI173">
        <v>30</v>
      </c>
      <c r="CJ173">
        <v>1200</v>
      </c>
      <c r="CK173">
        <v>2</v>
      </c>
      <c r="CL173">
        <v>1301</v>
      </c>
      <c r="CM173">
        <v>2</v>
      </c>
      <c r="CN173" t="s">
        <v>537</v>
      </c>
      <c r="CO173" t="s">
        <v>538</v>
      </c>
      <c r="CP173" t="s">
        <v>539</v>
      </c>
      <c r="CQ173" t="s">
        <v>1496</v>
      </c>
      <c r="CR173" t="s">
        <v>541</v>
      </c>
      <c r="CS173" t="s">
        <v>542</v>
      </c>
      <c r="CT173">
        <v>380</v>
      </c>
      <c r="CU173">
        <v>5</v>
      </c>
      <c r="CV173">
        <v>1.2</v>
      </c>
      <c r="CW173">
        <v>1213</v>
      </c>
      <c r="CX173">
        <v>653</v>
      </c>
      <c r="DD173">
        <v>0</v>
      </c>
      <c r="DE173" t="s">
        <v>622</v>
      </c>
      <c r="DF173">
        <v>685</v>
      </c>
      <c r="DG173">
        <v>3</v>
      </c>
      <c r="DH173">
        <v>0.88</v>
      </c>
      <c r="DI173">
        <v>1211</v>
      </c>
      <c r="DJ173">
        <v>977</v>
      </c>
      <c r="DW173" t="s">
        <v>544</v>
      </c>
      <c r="DX173">
        <v>7.5</v>
      </c>
      <c r="EA173">
        <v>1282.5</v>
      </c>
      <c r="EB173">
        <v>167</v>
      </c>
      <c r="EC173" t="s">
        <v>545</v>
      </c>
      <c r="ED173">
        <v>50</v>
      </c>
      <c r="EE173">
        <v>3</v>
      </c>
      <c r="EG173">
        <v>1313</v>
      </c>
      <c r="EH173">
        <v>270</v>
      </c>
      <c r="EJ173">
        <v>0</v>
      </c>
      <c r="EK173">
        <v>1</v>
      </c>
      <c r="EN173">
        <v>0</v>
      </c>
      <c r="EP173" t="s">
        <v>546</v>
      </c>
      <c r="EQ173">
        <v>95</v>
      </c>
      <c r="ER173">
        <v>3</v>
      </c>
      <c r="ES173">
        <v>5</v>
      </c>
      <c r="ET173">
        <v>1194</v>
      </c>
      <c r="EU173">
        <v>375.2</v>
      </c>
      <c r="EV173">
        <v>448</v>
      </c>
      <c r="EW173" t="s">
        <v>547</v>
      </c>
      <c r="EX173">
        <v>70</v>
      </c>
      <c r="EY173">
        <v>2</v>
      </c>
      <c r="EZ173">
        <v>4</v>
      </c>
      <c r="FA173">
        <v>1194</v>
      </c>
      <c r="FB173">
        <v>197.5</v>
      </c>
      <c r="FC173">
        <v>236</v>
      </c>
      <c r="FE173">
        <v>0</v>
      </c>
      <c r="FF173">
        <v>2</v>
      </c>
      <c r="FI173">
        <v>0</v>
      </c>
      <c r="FK173" t="s">
        <v>548</v>
      </c>
      <c r="FL173">
        <v>0.6</v>
      </c>
      <c r="FM173">
        <v>80</v>
      </c>
      <c r="FN173">
        <v>90</v>
      </c>
      <c r="FR173" t="s">
        <v>548</v>
      </c>
      <c r="FS173">
        <v>0.4</v>
      </c>
      <c r="FT173">
        <v>30</v>
      </c>
      <c r="FU173">
        <v>360</v>
      </c>
      <c r="HC173">
        <v>0.1</v>
      </c>
      <c r="HD173">
        <v>3</v>
      </c>
      <c r="HE173">
        <v>3</v>
      </c>
      <c r="HF173">
        <v>3</v>
      </c>
      <c r="HG173">
        <v>3</v>
      </c>
      <c r="HH173">
        <v>3</v>
      </c>
      <c r="HI173">
        <v>150</v>
      </c>
      <c r="HJ173">
        <v>3</v>
      </c>
      <c r="HK173">
        <v>55</v>
      </c>
      <c r="HL173">
        <v>2</v>
      </c>
      <c r="HM173">
        <v>0</v>
      </c>
      <c r="HN173">
        <v>2</v>
      </c>
      <c r="HO173">
        <v>80</v>
      </c>
      <c r="HP173">
        <v>3</v>
      </c>
      <c r="HQ173">
        <v>0</v>
      </c>
      <c r="HR173">
        <v>2</v>
      </c>
      <c r="HS173">
        <v>3872</v>
      </c>
      <c r="HT173">
        <v>120</v>
      </c>
      <c r="HU173">
        <v>180</v>
      </c>
      <c r="HW173">
        <v>20</v>
      </c>
      <c r="HX173">
        <v>480</v>
      </c>
      <c r="HY173">
        <v>0.18</v>
      </c>
      <c r="IA173">
        <v>0.15</v>
      </c>
      <c r="IB173">
        <v>0</v>
      </c>
      <c r="IC173">
        <v>180</v>
      </c>
      <c r="ID173">
        <v>110</v>
      </c>
      <c r="IE173">
        <v>0</v>
      </c>
      <c r="IF173">
        <v>0</v>
      </c>
      <c r="IH173" t="s">
        <v>549</v>
      </c>
      <c r="IO173">
        <v>1</v>
      </c>
      <c r="IP173">
        <v>16</v>
      </c>
      <c r="IQ173">
        <v>0</v>
      </c>
      <c r="IR173">
        <v>1</v>
      </c>
      <c r="IV173">
        <v>1200</v>
      </c>
      <c r="IW173">
        <v>402</v>
      </c>
      <c r="JA173">
        <v>1</v>
      </c>
      <c r="JB173">
        <v>0</v>
      </c>
      <c r="JC173">
        <v>2</v>
      </c>
      <c r="JD173">
        <v>1213</v>
      </c>
      <c r="JE173">
        <v>1211</v>
      </c>
      <c r="JF173">
        <v>0</v>
      </c>
      <c r="JG173">
        <v>1194</v>
      </c>
      <c r="JH173">
        <v>0</v>
      </c>
      <c r="JJ173">
        <v>180</v>
      </c>
      <c r="JK173">
        <v>480</v>
      </c>
      <c r="JN173">
        <v>380</v>
      </c>
      <c r="JO173">
        <v>685</v>
      </c>
      <c r="JP173">
        <v>0</v>
      </c>
      <c r="JQ173">
        <v>0</v>
      </c>
      <c r="JR173">
        <v>358</v>
      </c>
      <c r="JS173">
        <v>150</v>
      </c>
      <c r="JV173">
        <v>8</v>
      </c>
      <c r="JW173" t="s">
        <v>550</v>
      </c>
      <c r="JX173">
        <v>0</v>
      </c>
      <c r="KA173">
        <v>0</v>
      </c>
      <c r="KB173">
        <v>110</v>
      </c>
      <c r="KC173">
        <v>0</v>
      </c>
      <c r="KD173">
        <v>80</v>
      </c>
      <c r="KF173">
        <v>4</v>
      </c>
      <c r="KG173">
        <v>2</v>
      </c>
      <c r="KH173">
        <v>2</v>
      </c>
      <c r="KI173">
        <v>2</v>
      </c>
      <c r="KJ173">
        <v>0</v>
      </c>
      <c r="KK173">
        <v>1.5</v>
      </c>
      <c r="KL173">
        <v>1.5</v>
      </c>
      <c r="KM173">
        <v>0</v>
      </c>
      <c r="KN173">
        <v>0</v>
      </c>
      <c r="KO173">
        <v>0</v>
      </c>
      <c r="KR173">
        <v>25</v>
      </c>
      <c r="KS173">
        <v>45</v>
      </c>
      <c r="KT173">
        <v>0</v>
      </c>
      <c r="LK173">
        <v>480</v>
      </c>
      <c r="PG173">
        <v>1</v>
      </c>
      <c r="PI173" t="s">
        <v>2480</v>
      </c>
      <c r="PJ173" t="s">
        <v>2481</v>
      </c>
      <c r="PL173" t="s">
        <v>764</v>
      </c>
      <c r="PP173" t="s">
        <v>2482</v>
      </c>
      <c r="PX173">
        <v>56</v>
      </c>
      <c r="PY173">
        <v>57</v>
      </c>
      <c r="PZ173" t="s">
        <v>2480</v>
      </c>
      <c r="QA173">
        <v>1</v>
      </c>
      <c r="QB173">
        <v>1194</v>
      </c>
      <c r="QC173">
        <v>69</v>
      </c>
      <c r="QD173">
        <v>69</v>
      </c>
      <c r="QE173" t="s">
        <v>764</v>
      </c>
      <c r="QF173">
        <v>1</v>
      </c>
      <c r="QG173">
        <v>1213</v>
      </c>
      <c r="QH173">
        <v>66</v>
      </c>
      <c r="QI173">
        <v>66</v>
      </c>
      <c r="QL173">
        <v>0</v>
      </c>
      <c r="QM173">
        <v>62</v>
      </c>
      <c r="QN173">
        <v>62</v>
      </c>
      <c r="QO173" t="s">
        <v>2481</v>
      </c>
      <c r="QP173">
        <v>1</v>
      </c>
      <c r="QQ173">
        <v>1211</v>
      </c>
      <c r="QW173">
        <v>82</v>
      </c>
      <c r="QX173">
        <v>88</v>
      </c>
      <c r="QY173" t="s">
        <v>2482</v>
      </c>
      <c r="QZ173">
        <v>1</v>
      </c>
      <c r="RA173">
        <v>66</v>
      </c>
      <c r="RB173">
        <v>66</v>
      </c>
      <c r="RE173">
        <v>0</v>
      </c>
      <c r="RF173">
        <v>1</v>
      </c>
      <c r="RJ173">
        <v>2</v>
      </c>
      <c r="RL173">
        <v>4</v>
      </c>
      <c r="RO173">
        <v>538</v>
      </c>
      <c r="RQ173">
        <v>807</v>
      </c>
      <c r="RT173">
        <v>167</v>
      </c>
      <c r="RU173">
        <v>270</v>
      </c>
      <c r="RV173" t="s">
        <v>2485</v>
      </c>
      <c r="RW173" t="s">
        <v>552</v>
      </c>
      <c r="RX173">
        <v>15</v>
      </c>
      <c r="RY173">
        <v>4</v>
      </c>
      <c r="RZ173" t="s">
        <v>552</v>
      </c>
      <c r="SA173">
        <v>15</v>
      </c>
      <c r="SC173" t="s">
        <v>2481</v>
      </c>
      <c r="SD173">
        <v>1</v>
      </c>
      <c r="SH173">
        <v>0.995</v>
      </c>
      <c r="SI173">
        <v>0.995</v>
      </c>
      <c r="SJ173">
        <v>0.995</v>
      </c>
      <c r="SK173">
        <v>15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TB173">
        <v>1</v>
      </c>
      <c r="TC173">
        <v>0</v>
      </c>
      <c r="TD173">
        <v>7.5</v>
      </c>
      <c r="TE173" t="s">
        <v>553</v>
      </c>
      <c r="TF173" t="s">
        <v>754</v>
      </c>
      <c r="TG173" t="s">
        <v>555</v>
      </c>
      <c r="TI173" t="s">
        <v>546</v>
      </c>
      <c r="TJ173" t="s">
        <v>547</v>
      </c>
      <c r="TL173" t="s">
        <v>2341</v>
      </c>
      <c r="TM173" t="s">
        <v>513</v>
      </c>
      <c r="TN173">
        <v>0</v>
      </c>
      <c r="TO173" t="s">
        <v>557</v>
      </c>
    </row>
    <row r="174" spans="1:535">
      <c r="A174" t="s">
        <v>2486</v>
      </c>
      <c r="B174" t="s">
        <v>897</v>
      </c>
      <c r="C174" t="s">
        <v>509</v>
      </c>
      <c r="D174" t="s">
        <v>2487</v>
      </c>
      <c r="G174" t="s">
        <v>605</v>
      </c>
      <c r="H174" t="s">
        <v>896</v>
      </c>
      <c r="I174" t="s">
        <v>628</v>
      </c>
      <c r="J174" t="s">
        <v>606</v>
      </c>
      <c r="L174" t="s">
        <v>512</v>
      </c>
      <c r="M174" t="s">
        <v>657</v>
      </c>
      <c r="N174" t="s">
        <v>513</v>
      </c>
      <c r="O174" t="s">
        <v>607</v>
      </c>
      <c r="Q174" t="s">
        <v>2488</v>
      </c>
      <c r="R174" t="s">
        <v>517</v>
      </c>
      <c r="S174" t="s">
        <v>976</v>
      </c>
      <c r="T174" t="s">
        <v>954</v>
      </c>
      <c r="U174" t="s">
        <v>633</v>
      </c>
      <c r="V174" t="s">
        <v>634</v>
      </c>
      <c r="W174" t="s">
        <v>2443</v>
      </c>
      <c r="X174" t="s">
        <v>2336</v>
      </c>
      <c r="Y174" t="s">
        <v>574</v>
      </c>
      <c r="Z174" t="s">
        <v>2489</v>
      </c>
      <c r="AA174" t="s">
        <v>2490</v>
      </c>
      <c r="AB174" t="s">
        <v>2491</v>
      </c>
      <c r="AC174">
        <v>2</v>
      </c>
      <c r="AD174">
        <v>57</v>
      </c>
      <c r="AE174">
        <v>216</v>
      </c>
      <c r="AF174">
        <v>1.5</v>
      </c>
      <c r="AH174">
        <v>0</v>
      </c>
      <c r="AI174" t="s">
        <v>1331</v>
      </c>
      <c r="AJ174">
        <v>197.5</v>
      </c>
      <c r="AK174">
        <v>1</v>
      </c>
      <c r="AL174">
        <v>1.5</v>
      </c>
      <c r="AM174" t="s">
        <v>579</v>
      </c>
      <c r="AN174" t="s">
        <v>693</v>
      </c>
      <c r="AO174">
        <v>2</v>
      </c>
      <c r="AP174" t="s">
        <v>581</v>
      </c>
      <c r="AQ174" t="s">
        <v>582</v>
      </c>
      <c r="AR174">
        <v>235</v>
      </c>
      <c r="AS174">
        <v>1.5</v>
      </c>
      <c r="AT174" t="s">
        <v>583</v>
      </c>
      <c r="AU174" t="s">
        <v>2492</v>
      </c>
      <c r="AW174" t="s">
        <v>2492</v>
      </c>
      <c r="AX174">
        <v>1</v>
      </c>
      <c r="AY174">
        <v>297.5</v>
      </c>
      <c r="AZ174">
        <v>1.5</v>
      </c>
      <c r="BA174" t="s">
        <v>579</v>
      </c>
      <c r="BC174" t="s">
        <v>2493</v>
      </c>
      <c r="BD174" t="s">
        <v>2493</v>
      </c>
      <c r="BE174">
        <v>1</v>
      </c>
      <c r="BF174">
        <v>285</v>
      </c>
      <c r="BG174">
        <v>1.5</v>
      </c>
      <c r="BJ174">
        <v>0</v>
      </c>
      <c r="BN174">
        <v>1.5</v>
      </c>
      <c r="BP174" t="s">
        <v>2494</v>
      </c>
      <c r="BQ174">
        <v>89</v>
      </c>
      <c r="BR174">
        <v>2</v>
      </c>
      <c r="BS174" t="s">
        <v>1111</v>
      </c>
      <c r="BT174">
        <v>215</v>
      </c>
      <c r="BU174">
        <v>0.5</v>
      </c>
      <c r="BV174" t="s">
        <v>1111</v>
      </c>
      <c r="BW174">
        <v>430</v>
      </c>
      <c r="BX174">
        <v>1</v>
      </c>
      <c r="BY174" t="s">
        <v>643</v>
      </c>
      <c r="BZ174">
        <v>470</v>
      </c>
      <c r="CA174">
        <v>550</v>
      </c>
      <c r="CB174" t="s">
        <v>644</v>
      </c>
      <c r="CC174" t="s">
        <v>644</v>
      </c>
      <c r="CD174">
        <v>446</v>
      </c>
      <c r="CE174" t="s">
        <v>544</v>
      </c>
      <c r="CF174">
        <v>15</v>
      </c>
      <c r="CG174" t="s">
        <v>2495</v>
      </c>
      <c r="CH174" t="s">
        <v>2495</v>
      </c>
      <c r="CI174">
        <v>40</v>
      </c>
      <c r="CJ174">
        <v>1301</v>
      </c>
      <c r="CK174">
        <v>2</v>
      </c>
      <c r="CL174">
        <v>1395</v>
      </c>
      <c r="CM174">
        <v>2</v>
      </c>
      <c r="CN174" t="s">
        <v>646</v>
      </c>
      <c r="CO174" t="s">
        <v>647</v>
      </c>
      <c r="CP174" t="s">
        <v>648</v>
      </c>
      <c r="CQ174" t="s">
        <v>2496</v>
      </c>
      <c r="CR174" t="s">
        <v>650</v>
      </c>
      <c r="CS174" t="s">
        <v>542</v>
      </c>
      <c r="CT174">
        <v>395</v>
      </c>
      <c r="CU174">
        <v>5</v>
      </c>
      <c r="CV174">
        <v>1.2</v>
      </c>
      <c r="CW174">
        <v>1319</v>
      </c>
      <c r="CX174">
        <v>737</v>
      </c>
      <c r="CY174" t="s">
        <v>705</v>
      </c>
      <c r="CZ174">
        <v>50</v>
      </c>
      <c r="DA174">
        <v>3</v>
      </c>
      <c r="DB174">
        <v>1</v>
      </c>
      <c r="DC174">
        <v>1319</v>
      </c>
      <c r="DD174">
        <v>69</v>
      </c>
      <c r="DE174" t="s">
        <v>622</v>
      </c>
      <c r="DF174">
        <v>595</v>
      </c>
      <c r="DG174">
        <v>3</v>
      </c>
      <c r="DH174">
        <v>0.88</v>
      </c>
      <c r="DI174">
        <v>1311</v>
      </c>
      <c r="DJ174">
        <v>929</v>
      </c>
      <c r="DK174" t="s">
        <v>622</v>
      </c>
      <c r="DL174">
        <v>570</v>
      </c>
      <c r="DM174">
        <v>3</v>
      </c>
      <c r="DN174">
        <v>0.88</v>
      </c>
      <c r="DO174">
        <v>1319</v>
      </c>
      <c r="DP174">
        <v>909</v>
      </c>
      <c r="DW174" t="s">
        <v>544</v>
      </c>
      <c r="DX174">
        <v>7.5</v>
      </c>
      <c r="EA174">
        <v>1383</v>
      </c>
      <c r="EB174">
        <v>327</v>
      </c>
      <c r="EC174" t="s">
        <v>545</v>
      </c>
      <c r="ED174">
        <v>50</v>
      </c>
      <c r="EE174">
        <v>3</v>
      </c>
      <c r="EG174">
        <v>1434</v>
      </c>
      <c r="EH174">
        <v>294</v>
      </c>
      <c r="EJ174">
        <v>0</v>
      </c>
      <c r="EK174">
        <v>1</v>
      </c>
      <c r="EN174">
        <v>0</v>
      </c>
      <c r="EP174" t="s">
        <v>546</v>
      </c>
      <c r="EQ174">
        <v>105</v>
      </c>
      <c r="ER174">
        <v>3</v>
      </c>
      <c r="ES174">
        <v>5.2</v>
      </c>
      <c r="ET174">
        <v>1296</v>
      </c>
      <c r="EU174">
        <v>438.4</v>
      </c>
      <c r="EV174">
        <v>568</v>
      </c>
      <c r="EW174" t="s">
        <v>547</v>
      </c>
      <c r="EX174">
        <v>45</v>
      </c>
      <c r="EY174">
        <v>2</v>
      </c>
      <c r="EZ174">
        <v>3.8</v>
      </c>
      <c r="FA174">
        <v>1296</v>
      </c>
      <c r="FB174">
        <v>133.5</v>
      </c>
      <c r="FC174">
        <v>173</v>
      </c>
      <c r="FE174">
        <v>0</v>
      </c>
      <c r="FF174">
        <v>2</v>
      </c>
      <c r="FI174">
        <v>0</v>
      </c>
      <c r="FK174" t="s">
        <v>548</v>
      </c>
      <c r="FL174">
        <v>0.4</v>
      </c>
      <c r="FM174">
        <v>40</v>
      </c>
      <c r="FN174">
        <v>370</v>
      </c>
      <c r="FO174">
        <v>70</v>
      </c>
      <c r="FP174">
        <v>150</v>
      </c>
      <c r="FR174" t="s">
        <v>548</v>
      </c>
      <c r="FS174">
        <v>0.4</v>
      </c>
      <c r="FT174">
        <v>30</v>
      </c>
      <c r="FU174">
        <v>524</v>
      </c>
      <c r="GR174" t="s">
        <v>548</v>
      </c>
      <c r="GS174">
        <v>0.4</v>
      </c>
      <c r="GT174">
        <v>65</v>
      </c>
      <c r="GU174">
        <v>220</v>
      </c>
      <c r="GY174" t="s">
        <v>651</v>
      </c>
      <c r="GZ174">
        <v>1.6</v>
      </c>
      <c r="HA174">
        <v>20</v>
      </c>
      <c r="HB174">
        <v>166</v>
      </c>
      <c r="HC174">
        <v>0.1</v>
      </c>
      <c r="HD174">
        <v>3</v>
      </c>
      <c r="HE174">
        <v>3</v>
      </c>
      <c r="HF174">
        <v>3</v>
      </c>
      <c r="HG174">
        <v>3</v>
      </c>
      <c r="HH174">
        <v>3</v>
      </c>
      <c r="HI174">
        <v>135</v>
      </c>
      <c r="HJ174">
        <v>3</v>
      </c>
      <c r="HK174">
        <v>30</v>
      </c>
      <c r="HL174">
        <v>2</v>
      </c>
      <c r="HM174">
        <v>0</v>
      </c>
      <c r="HN174">
        <v>2</v>
      </c>
      <c r="HO174">
        <v>90</v>
      </c>
      <c r="HP174">
        <v>3</v>
      </c>
      <c r="HQ174">
        <v>0</v>
      </c>
      <c r="HR174">
        <v>2</v>
      </c>
      <c r="HS174">
        <v>5437</v>
      </c>
      <c r="HT174">
        <v>160</v>
      </c>
      <c r="HU174">
        <v>180</v>
      </c>
      <c r="HW174">
        <v>0</v>
      </c>
      <c r="HX174">
        <v>516</v>
      </c>
      <c r="HY174">
        <v>0.18</v>
      </c>
      <c r="IA174">
        <v>0.15</v>
      </c>
      <c r="IB174">
        <v>0</v>
      </c>
      <c r="IC174">
        <v>180</v>
      </c>
      <c r="ID174">
        <v>110</v>
      </c>
      <c r="IE174">
        <v>225</v>
      </c>
      <c r="IF174">
        <v>0</v>
      </c>
      <c r="IH174" t="s">
        <v>549</v>
      </c>
      <c r="IO174">
        <v>3</v>
      </c>
      <c r="IP174">
        <v>17</v>
      </c>
      <c r="IQ174">
        <v>0</v>
      </c>
      <c r="IR174">
        <v>0</v>
      </c>
      <c r="IV174">
        <v>1301</v>
      </c>
      <c r="IW174">
        <v>430</v>
      </c>
      <c r="JA174">
        <v>1</v>
      </c>
      <c r="JB174">
        <v>0</v>
      </c>
      <c r="JC174">
        <v>2</v>
      </c>
      <c r="JD174">
        <v>1319</v>
      </c>
      <c r="JE174">
        <v>1311</v>
      </c>
      <c r="JF174">
        <v>1319</v>
      </c>
      <c r="JG174">
        <v>1296</v>
      </c>
      <c r="JH174">
        <v>0</v>
      </c>
      <c r="JJ174">
        <v>180</v>
      </c>
      <c r="JK174">
        <v>516</v>
      </c>
      <c r="JN174">
        <v>395</v>
      </c>
      <c r="JO174">
        <v>595</v>
      </c>
      <c r="JP174">
        <v>570</v>
      </c>
      <c r="JQ174">
        <v>0</v>
      </c>
      <c r="JR174">
        <v>432</v>
      </c>
      <c r="JS174">
        <v>135</v>
      </c>
      <c r="JV174">
        <v>8</v>
      </c>
      <c r="JW174" t="s">
        <v>550</v>
      </c>
      <c r="JX174">
        <v>470</v>
      </c>
      <c r="KA174">
        <v>225</v>
      </c>
      <c r="KB174">
        <v>110</v>
      </c>
      <c r="KC174">
        <v>0</v>
      </c>
      <c r="KD174">
        <v>80</v>
      </c>
      <c r="KF174">
        <v>4</v>
      </c>
      <c r="KG174">
        <v>4</v>
      </c>
      <c r="KH174">
        <v>2</v>
      </c>
      <c r="KI174">
        <v>2</v>
      </c>
      <c r="KJ174">
        <v>0</v>
      </c>
      <c r="KK174">
        <v>1.5</v>
      </c>
      <c r="KL174">
        <v>1.5</v>
      </c>
      <c r="KM174">
        <v>0</v>
      </c>
      <c r="KN174">
        <v>0</v>
      </c>
      <c r="KO174">
        <v>0</v>
      </c>
      <c r="KR174">
        <v>50</v>
      </c>
      <c r="KS174">
        <v>60</v>
      </c>
      <c r="KT174">
        <v>0</v>
      </c>
      <c r="LK174">
        <v>480</v>
      </c>
      <c r="PG174">
        <v>1</v>
      </c>
      <c r="PI174" t="s">
        <v>2491</v>
      </c>
      <c r="PJ174" t="s">
        <v>2492</v>
      </c>
      <c r="PK174" t="s">
        <v>2493</v>
      </c>
      <c r="PL174" t="s">
        <v>1331</v>
      </c>
      <c r="PP174" t="s">
        <v>2494</v>
      </c>
      <c r="PS174" t="s">
        <v>693</v>
      </c>
      <c r="PX174">
        <v>56</v>
      </c>
      <c r="PY174">
        <v>57</v>
      </c>
      <c r="PZ174" t="s">
        <v>2491</v>
      </c>
      <c r="QA174">
        <v>1</v>
      </c>
      <c r="QB174">
        <v>1296</v>
      </c>
      <c r="QC174">
        <v>69</v>
      </c>
      <c r="QD174">
        <v>69</v>
      </c>
      <c r="QE174" t="s">
        <v>1331</v>
      </c>
      <c r="QF174">
        <v>1</v>
      </c>
      <c r="QG174">
        <v>1319</v>
      </c>
      <c r="QH174">
        <v>66</v>
      </c>
      <c r="QI174">
        <v>66</v>
      </c>
      <c r="QJ174" t="s">
        <v>693</v>
      </c>
      <c r="QK174">
        <v>1</v>
      </c>
      <c r="QL174">
        <v>1319</v>
      </c>
      <c r="QM174">
        <v>62</v>
      </c>
      <c r="QN174">
        <v>62</v>
      </c>
      <c r="QO174" t="s">
        <v>2492</v>
      </c>
      <c r="QP174">
        <v>1</v>
      </c>
      <c r="QQ174">
        <v>1311</v>
      </c>
      <c r="QR174">
        <v>63</v>
      </c>
      <c r="QS174">
        <v>63</v>
      </c>
      <c r="QT174" t="s">
        <v>2493</v>
      </c>
      <c r="QU174">
        <v>1</v>
      </c>
      <c r="QV174">
        <v>1319</v>
      </c>
      <c r="QW174">
        <v>82</v>
      </c>
      <c r="QX174">
        <v>89</v>
      </c>
      <c r="QY174" t="s">
        <v>2494</v>
      </c>
      <c r="QZ174">
        <v>2</v>
      </c>
      <c r="RA174">
        <v>66</v>
      </c>
      <c r="RB174">
        <v>66</v>
      </c>
      <c r="RE174">
        <v>0</v>
      </c>
      <c r="RF174">
        <v>1</v>
      </c>
      <c r="RI174">
        <v>1</v>
      </c>
      <c r="RJ174">
        <v>1</v>
      </c>
      <c r="RK174">
        <v>2</v>
      </c>
      <c r="RL174">
        <v>3</v>
      </c>
      <c r="RM174">
        <v>3</v>
      </c>
      <c r="RO174">
        <v>559</v>
      </c>
      <c r="RP174">
        <v>105</v>
      </c>
      <c r="RQ174">
        <v>709</v>
      </c>
      <c r="RR174">
        <v>689</v>
      </c>
      <c r="RT174">
        <v>327</v>
      </c>
      <c r="RU174">
        <v>294</v>
      </c>
      <c r="RV174" t="s">
        <v>1113</v>
      </c>
      <c r="RW174" t="s">
        <v>653</v>
      </c>
      <c r="RX174">
        <v>15</v>
      </c>
      <c r="RY174">
        <v>4</v>
      </c>
      <c r="RZ174" t="s">
        <v>653</v>
      </c>
      <c r="SA174">
        <v>15</v>
      </c>
      <c r="SC174" t="s">
        <v>2492</v>
      </c>
      <c r="SD174">
        <v>1</v>
      </c>
      <c r="SE174" t="s">
        <v>2497</v>
      </c>
      <c r="SF174" t="s">
        <v>2497</v>
      </c>
      <c r="SG174">
        <v>1</v>
      </c>
      <c r="SH174">
        <v>0.995</v>
      </c>
      <c r="SI174">
        <v>0.995</v>
      </c>
      <c r="SJ174">
        <v>0.995</v>
      </c>
      <c r="SK174">
        <v>15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1</v>
      </c>
      <c r="SZ174">
        <v>1</v>
      </c>
      <c r="TB174">
        <v>0</v>
      </c>
      <c r="TC174">
        <v>0</v>
      </c>
      <c r="TD174">
        <v>7.5</v>
      </c>
      <c r="TE174" t="s">
        <v>553</v>
      </c>
      <c r="TF174" t="s">
        <v>681</v>
      </c>
      <c r="TG174" t="s">
        <v>555</v>
      </c>
      <c r="TI174" t="s">
        <v>546</v>
      </c>
      <c r="TJ174" t="s">
        <v>547</v>
      </c>
      <c r="TL174" t="s">
        <v>2341</v>
      </c>
      <c r="TM174" t="s">
        <v>513</v>
      </c>
      <c r="TN174">
        <v>0</v>
      </c>
      <c r="TO174" t="s">
        <v>557</v>
      </c>
    </row>
    <row r="175" spans="1:535">
      <c r="A175" t="s">
        <v>2498</v>
      </c>
      <c r="B175" t="s">
        <v>729</v>
      </c>
      <c r="C175" t="s">
        <v>509</v>
      </c>
      <c r="D175" t="s">
        <v>2499</v>
      </c>
      <c r="G175" t="s">
        <v>604</v>
      </c>
      <c r="H175" t="s">
        <v>605</v>
      </c>
      <c r="J175" t="s">
        <v>606</v>
      </c>
      <c r="L175" t="s">
        <v>512</v>
      </c>
      <c r="M175" t="s">
        <v>897</v>
      </c>
      <c r="N175" t="s">
        <v>513</v>
      </c>
      <c r="O175" t="s">
        <v>607</v>
      </c>
      <c r="Q175" t="s">
        <v>2500</v>
      </c>
      <c r="R175" t="s">
        <v>517</v>
      </c>
      <c r="S175" t="s">
        <v>2501</v>
      </c>
      <c r="T175" t="s">
        <v>2502</v>
      </c>
      <c r="U175" t="s">
        <v>1457</v>
      </c>
      <c r="V175" t="s">
        <v>1458</v>
      </c>
      <c r="W175" t="s">
        <v>2425</v>
      </c>
      <c r="X175" t="s">
        <v>2336</v>
      </c>
      <c r="Y175" t="s">
        <v>524</v>
      </c>
      <c r="Z175" t="s">
        <v>2503</v>
      </c>
      <c r="AA175" t="s">
        <v>2504</v>
      </c>
      <c r="AB175" t="s">
        <v>2505</v>
      </c>
      <c r="AC175">
        <v>2</v>
      </c>
      <c r="AD175">
        <v>57</v>
      </c>
      <c r="AE175">
        <v>173</v>
      </c>
      <c r="AF175">
        <v>1.5</v>
      </c>
      <c r="AH175">
        <v>0</v>
      </c>
      <c r="AI175" t="s">
        <v>719</v>
      </c>
      <c r="AJ175">
        <v>185</v>
      </c>
      <c r="AK175">
        <v>1</v>
      </c>
      <c r="AL175">
        <v>1.5</v>
      </c>
      <c r="AM175" t="s">
        <v>529</v>
      </c>
      <c r="AO175">
        <v>0</v>
      </c>
      <c r="AR175">
        <v>0</v>
      </c>
      <c r="AS175">
        <v>1.5</v>
      </c>
      <c r="AU175" t="s">
        <v>2506</v>
      </c>
      <c r="AW175" t="s">
        <v>2506</v>
      </c>
      <c r="AX175">
        <v>1</v>
      </c>
      <c r="AY175">
        <v>270</v>
      </c>
      <c r="AZ175">
        <v>1.5</v>
      </c>
      <c r="BA175" t="s">
        <v>529</v>
      </c>
      <c r="BG175">
        <v>1.5</v>
      </c>
      <c r="BJ175">
        <v>0</v>
      </c>
      <c r="BN175">
        <v>1.5</v>
      </c>
      <c r="BP175" t="s">
        <v>1897</v>
      </c>
      <c r="BQ175">
        <v>89</v>
      </c>
      <c r="BR175">
        <v>2</v>
      </c>
      <c r="BS175" t="s">
        <v>1898</v>
      </c>
      <c r="BT175">
        <v>195</v>
      </c>
      <c r="BU175">
        <v>0.5</v>
      </c>
      <c r="BV175" t="s">
        <v>1898</v>
      </c>
      <c r="BW175">
        <v>390</v>
      </c>
      <c r="BX175">
        <v>1</v>
      </c>
      <c r="BY175" t="s">
        <v>1468</v>
      </c>
      <c r="BZ175">
        <v>300</v>
      </c>
      <c r="CA175">
        <v>400</v>
      </c>
      <c r="CB175" t="s">
        <v>1469</v>
      </c>
      <c r="CC175" t="s">
        <v>1469</v>
      </c>
      <c r="CD175">
        <v>412</v>
      </c>
      <c r="CE175" t="s">
        <v>1470</v>
      </c>
      <c r="CF175">
        <v>15</v>
      </c>
      <c r="CG175" t="s">
        <v>1471</v>
      </c>
      <c r="CH175" t="s">
        <v>1471</v>
      </c>
      <c r="CI175">
        <v>50</v>
      </c>
      <c r="CJ175">
        <v>1050</v>
      </c>
      <c r="CK175">
        <v>2</v>
      </c>
      <c r="CL175">
        <v>1144</v>
      </c>
      <c r="CM175">
        <v>2</v>
      </c>
      <c r="CN175" t="s">
        <v>1472</v>
      </c>
      <c r="CO175" t="s">
        <v>1473</v>
      </c>
      <c r="CP175" t="s">
        <v>1474</v>
      </c>
      <c r="CQ175" t="s">
        <v>540</v>
      </c>
      <c r="CR175" t="s">
        <v>541</v>
      </c>
      <c r="CS175" t="s">
        <v>542</v>
      </c>
      <c r="CT175">
        <v>370</v>
      </c>
      <c r="CU175">
        <v>5</v>
      </c>
      <c r="CV175">
        <v>1.2</v>
      </c>
      <c r="CW175">
        <v>1064</v>
      </c>
      <c r="CX175">
        <v>558</v>
      </c>
      <c r="DD175">
        <v>0</v>
      </c>
      <c r="DE175" t="s">
        <v>543</v>
      </c>
      <c r="DF175">
        <v>540</v>
      </c>
      <c r="DG175">
        <v>3</v>
      </c>
      <c r="DH175">
        <v>1.18</v>
      </c>
      <c r="DI175">
        <v>1062</v>
      </c>
      <c r="DJ175">
        <v>900</v>
      </c>
      <c r="DW175" t="s">
        <v>544</v>
      </c>
      <c r="DX175">
        <v>7.5</v>
      </c>
      <c r="EA175">
        <v>1123</v>
      </c>
      <c r="EB175">
        <v>147</v>
      </c>
      <c r="EC175" t="s">
        <v>545</v>
      </c>
      <c r="ED175">
        <v>15</v>
      </c>
      <c r="EE175" t="s">
        <v>1900</v>
      </c>
      <c r="EG175">
        <v>1154</v>
      </c>
      <c r="EH175">
        <v>44</v>
      </c>
      <c r="EJ175">
        <v>0</v>
      </c>
      <c r="EK175">
        <v>1</v>
      </c>
      <c r="EN175">
        <v>0</v>
      </c>
      <c r="EP175" t="s">
        <v>546</v>
      </c>
      <c r="EQ175">
        <v>115</v>
      </c>
      <c r="ER175">
        <v>3</v>
      </c>
      <c r="ES175">
        <v>6</v>
      </c>
      <c r="ET175">
        <v>1052</v>
      </c>
      <c r="EU175">
        <v>543.4</v>
      </c>
      <c r="EV175">
        <v>572</v>
      </c>
      <c r="EW175" t="s">
        <v>547</v>
      </c>
      <c r="EX175">
        <v>70</v>
      </c>
      <c r="EY175">
        <v>2</v>
      </c>
      <c r="EZ175">
        <v>4.3</v>
      </c>
      <c r="FA175">
        <v>1052</v>
      </c>
      <c r="FB175">
        <v>171.7</v>
      </c>
      <c r="FC175">
        <v>181</v>
      </c>
      <c r="FE175">
        <v>0</v>
      </c>
      <c r="FF175">
        <v>2</v>
      </c>
      <c r="FI175">
        <v>0</v>
      </c>
      <c r="FK175" t="s">
        <v>548</v>
      </c>
      <c r="FL175">
        <v>0.4</v>
      </c>
      <c r="FM175">
        <v>70</v>
      </c>
      <c r="FN175">
        <v>100</v>
      </c>
      <c r="FR175" t="s">
        <v>548</v>
      </c>
      <c r="FS175">
        <v>0.4</v>
      </c>
      <c r="FT175">
        <v>30</v>
      </c>
      <c r="FU175">
        <v>360</v>
      </c>
      <c r="FV175">
        <v>30</v>
      </c>
      <c r="FW175">
        <v>220</v>
      </c>
      <c r="HC175">
        <v>0.1</v>
      </c>
      <c r="HD175">
        <v>3</v>
      </c>
      <c r="HE175">
        <v>3</v>
      </c>
      <c r="HF175">
        <v>3</v>
      </c>
      <c r="HG175">
        <v>3</v>
      </c>
      <c r="HH175">
        <v>3</v>
      </c>
      <c r="HI175">
        <v>170</v>
      </c>
      <c r="HJ175">
        <v>3</v>
      </c>
      <c r="HK175">
        <v>55</v>
      </c>
      <c r="HL175">
        <v>2</v>
      </c>
      <c r="HM175">
        <v>0</v>
      </c>
      <c r="HN175">
        <v>2</v>
      </c>
      <c r="HO175">
        <v>100</v>
      </c>
      <c r="HP175">
        <v>3</v>
      </c>
      <c r="HQ175">
        <v>0</v>
      </c>
      <c r="HR175">
        <v>2</v>
      </c>
      <c r="HS175">
        <v>3346</v>
      </c>
      <c r="HT175">
        <v>100</v>
      </c>
      <c r="HU175">
        <v>180</v>
      </c>
      <c r="HW175">
        <v>0</v>
      </c>
      <c r="HX175">
        <v>420</v>
      </c>
      <c r="HY175">
        <v>0.18</v>
      </c>
      <c r="IA175">
        <v>0.15</v>
      </c>
      <c r="IB175">
        <v>0</v>
      </c>
      <c r="IC175">
        <v>180</v>
      </c>
      <c r="ID175">
        <v>110</v>
      </c>
      <c r="IE175">
        <v>0</v>
      </c>
      <c r="IF175">
        <v>0</v>
      </c>
      <c r="IH175" t="s">
        <v>549</v>
      </c>
      <c r="IO175">
        <v>1</v>
      </c>
      <c r="IP175">
        <v>14</v>
      </c>
      <c r="IQ175">
        <v>0</v>
      </c>
      <c r="IR175">
        <v>1</v>
      </c>
      <c r="IV175">
        <v>1050</v>
      </c>
      <c r="IW175">
        <v>390</v>
      </c>
      <c r="JA175">
        <v>1</v>
      </c>
      <c r="JB175">
        <v>0</v>
      </c>
      <c r="JC175">
        <v>2</v>
      </c>
      <c r="JD175">
        <v>1064</v>
      </c>
      <c r="JE175">
        <v>1062</v>
      </c>
      <c r="JF175">
        <v>0</v>
      </c>
      <c r="JG175">
        <v>1052</v>
      </c>
      <c r="JH175">
        <v>0</v>
      </c>
      <c r="JJ175">
        <v>180</v>
      </c>
      <c r="JK175">
        <v>420</v>
      </c>
      <c r="JN175">
        <v>370</v>
      </c>
      <c r="JO175">
        <v>540</v>
      </c>
      <c r="JP175">
        <v>0</v>
      </c>
      <c r="JQ175">
        <v>0</v>
      </c>
      <c r="JR175">
        <v>346</v>
      </c>
      <c r="JS175">
        <v>170</v>
      </c>
      <c r="JV175">
        <v>8</v>
      </c>
      <c r="JW175" t="s">
        <v>550</v>
      </c>
      <c r="JX175">
        <v>0</v>
      </c>
      <c r="KA175">
        <v>0</v>
      </c>
      <c r="KB175">
        <v>110</v>
      </c>
      <c r="KC175">
        <v>0</v>
      </c>
      <c r="KD175">
        <v>80</v>
      </c>
      <c r="KF175">
        <v>4</v>
      </c>
      <c r="KG175">
        <v>2</v>
      </c>
      <c r="KH175">
        <v>2</v>
      </c>
      <c r="KI175">
        <v>2</v>
      </c>
      <c r="KJ175">
        <v>0</v>
      </c>
      <c r="KK175">
        <v>1.5</v>
      </c>
      <c r="KL175">
        <v>1.5</v>
      </c>
      <c r="KM175">
        <v>0</v>
      </c>
      <c r="KN175">
        <v>0</v>
      </c>
      <c r="KO175">
        <v>0</v>
      </c>
      <c r="KR175">
        <v>50</v>
      </c>
      <c r="KT175">
        <v>0</v>
      </c>
      <c r="LK175">
        <v>480</v>
      </c>
      <c r="PG175">
        <v>1</v>
      </c>
      <c r="PI175" t="s">
        <v>2505</v>
      </c>
      <c r="PJ175" t="s">
        <v>2506</v>
      </c>
      <c r="PL175" t="s">
        <v>719</v>
      </c>
      <c r="PP175" t="s">
        <v>1897</v>
      </c>
      <c r="PX175">
        <v>56</v>
      </c>
      <c r="PY175">
        <v>57</v>
      </c>
      <c r="PZ175" t="s">
        <v>2505</v>
      </c>
      <c r="QA175">
        <v>1</v>
      </c>
      <c r="QB175">
        <v>1052</v>
      </c>
      <c r="QC175">
        <v>69</v>
      </c>
      <c r="QD175">
        <v>69</v>
      </c>
      <c r="QE175" t="s">
        <v>719</v>
      </c>
      <c r="QF175">
        <v>1</v>
      </c>
      <c r="QG175">
        <v>1064</v>
      </c>
      <c r="QH175">
        <v>66</v>
      </c>
      <c r="QI175">
        <v>66</v>
      </c>
      <c r="QL175">
        <v>0</v>
      </c>
      <c r="QM175">
        <v>62</v>
      </c>
      <c r="QN175">
        <v>62</v>
      </c>
      <c r="QO175" t="s">
        <v>2506</v>
      </c>
      <c r="QP175">
        <v>1</v>
      </c>
      <c r="QQ175">
        <v>1062</v>
      </c>
      <c r="QW175">
        <v>82</v>
      </c>
      <c r="QX175">
        <v>89</v>
      </c>
      <c r="QY175" t="s">
        <v>1897</v>
      </c>
      <c r="QZ175">
        <v>3</v>
      </c>
      <c r="RA175">
        <v>66</v>
      </c>
      <c r="RB175">
        <v>66</v>
      </c>
      <c r="RE175">
        <v>0</v>
      </c>
      <c r="RF175">
        <v>1</v>
      </c>
      <c r="RJ175">
        <v>3</v>
      </c>
      <c r="RL175">
        <v>2</v>
      </c>
      <c r="RO175">
        <v>524</v>
      </c>
      <c r="RQ175">
        <v>847</v>
      </c>
      <c r="RT175">
        <v>147</v>
      </c>
      <c r="RU175">
        <v>44</v>
      </c>
      <c r="RV175" t="s">
        <v>1901</v>
      </c>
      <c r="RW175" t="s">
        <v>1476</v>
      </c>
      <c r="RX175">
        <v>15</v>
      </c>
      <c r="RY175">
        <v>4</v>
      </c>
      <c r="RZ175" t="s">
        <v>1476</v>
      </c>
      <c r="SA175">
        <v>15</v>
      </c>
      <c r="SC175" t="s">
        <v>2506</v>
      </c>
      <c r="SD175">
        <v>1</v>
      </c>
      <c r="SH175">
        <v>0.995</v>
      </c>
      <c r="SI175">
        <v>0.995</v>
      </c>
      <c r="SJ175">
        <v>0.995</v>
      </c>
      <c r="SK175">
        <v>15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TB175">
        <v>0</v>
      </c>
      <c r="TC175">
        <v>0</v>
      </c>
      <c r="TD175">
        <v>7.5</v>
      </c>
      <c r="TE175" t="s">
        <v>553</v>
      </c>
      <c r="TF175" t="s">
        <v>754</v>
      </c>
      <c r="TG175" t="s">
        <v>555</v>
      </c>
      <c r="TI175" t="s">
        <v>546</v>
      </c>
      <c r="TJ175" t="s">
        <v>547</v>
      </c>
      <c r="TL175" t="s">
        <v>2341</v>
      </c>
      <c r="TM175" t="s">
        <v>513</v>
      </c>
      <c r="TN175">
        <v>0</v>
      </c>
      <c r="TO175" t="s">
        <v>557</v>
      </c>
    </row>
    <row r="176" spans="1:535">
      <c r="A176" t="s">
        <v>2507</v>
      </c>
      <c r="B176" t="s">
        <v>657</v>
      </c>
      <c r="C176" t="s">
        <v>509</v>
      </c>
      <c r="D176" t="s">
        <v>2508</v>
      </c>
      <c r="G176" t="s">
        <v>604</v>
      </c>
      <c r="H176" t="s">
        <v>605</v>
      </c>
      <c r="I176" t="s">
        <v>628</v>
      </c>
      <c r="J176" t="s">
        <v>606</v>
      </c>
      <c r="L176" t="s">
        <v>512</v>
      </c>
      <c r="M176" t="s">
        <v>559</v>
      </c>
      <c r="N176" t="s">
        <v>513</v>
      </c>
      <c r="O176" t="s">
        <v>607</v>
      </c>
      <c r="Q176" t="s">
        <v>2509</v>
      </c>
      <c r="R176" t="s">
        <v>517</v>
      </c>
      <c r="S176" t="s">
        <v>1718</v>
      </c>
      <c r="T176" t="s">
        <v>610</v>
      </c>
      <c r="U176" t="s">
        <v>1482</v>
      </c>
      <c r="V176" t="s">
        <v>1483</v>
      </c>
      <c r="W176" t="s">
        <v>2510</v>
      </c>
      <c r="X176" t="s">
        <v>2336</v>
      </c>
      <c r="Y176" t="s">
        <v>524</v>
      </c>
      <c r="Z176" t="s">
        <v>2511</v>
      </c>
      <c r="AA176" t="s">
        <v>2512</v>
      </c>
      <c r="AB176" t="s">
        <v>2513</v>
      </c>
      <c r="AC176">
        <v>2</v>
      </c>
      <c r="AD176">
        <v>57</v>
      </c>
      <c r="AE176">
        <v>212</v>
      </c>
      <c r="AF176">
        <v>1.5</v>
      </c>
      <c r="AH176">
        <v>0</v>
      </c>
      <c r="AI176" t="s">
        <v>528</v>
      </c>
      <c r="AJ176">
        <v>187.5</v>
      </c>
      <c r="AK176">
        <v>1</v>
      </c>
      <c r="AL176">
        <v>1.5</v>
      </c>
      <c r="AM176" t="s">
        <v>579</v>
      </c>
      <c r="AN176" t="s">
        <v>693</v>
      </c>
      <c r="AO176">
        <v>2</v>
      </c>
      <c r="AP176" t="s">
        <v>581</v>
      </c>
      <c r="AQ176" t="s">
        <v>582</v>
      </c>
      <c r="AR176">
        <v>227</v>
      </c>
      <c r="AS176">
        <v>1.5</v>
      </c>
      <c r="AT176" t="s">
        <v>583</v>
      </c>
      <c r="AU176" t="s">
        <v>2514</v>
      </c>
      <c r="AW176" t="s">
        <v>2514</v>
      </c>
      <c r="AX176">
        <v>1</v>
      </c>
      <c r="AY176">
        <v>282.5</v>
      </c>
      <c r="AZ176">
        <v>1.5</v>
      </c>
      <c r="BA176" t="s">
        <v>579</v>
      </c>
      <c r="BG176">
        <v>1.5</v>
      </c>
      <c r="BJ176">
        <v>0</v>
      </c>
      <c r="BN176">
        <v>1.5</v>
      </c>
      <c r="BP176" t="s">
        <v>2515</v>
      </c>
      <c r="BQ176">
        <v>89</v>
      </c>
      <c r="BR176">
        <v>2</v>
      </c>
      <c r="BS176" t="s">
        <v>1490</v>
      </c>
      <c r="BT176">
        <v>207</v>
      </c>
      <c r="BU176">
        <v>0.5</v>
      </c>
      <c r="BV176" t="s">
        <v>1490</v>
      </c>
      <c r="BW176">
        <v>414</v>
      </c>
      <c r="BX176">
        <v>1</v>
      </c>
      <c r="BY176" t="s">
        <v>1491</v>
      </c>
      <c r="BZ176">
        <v>300</v>
      </c>
      <c r="CA176">
        <v>520</v>
      </c>
      <c r="CB176" t="s">
        <v>1492</v>
      </c>
      <c r="CC176" t="s">
        <v>1492</v>
      </c>
      <c r="CD176">
        <v>436</v>
      </c>
      <c r="CE176" t="s">
        <v>1493</v>
      </c>
      <c r="CF176">
        <v>15</v>
      </c>
      <c r="CG176" t="s">
        <v>1624</v>
      </c>
      <c r="CH176" t="s">
        <v>1624</v>
      </c>
      <c r="CI176">
        <v>110</v>
      </c>
      <c r="CJ176">
        <v>1122</v>
      </c>
      <c r="CK176">
        <v>2</v>
      </c>
      <c r="CL176">
        <v>1222</v>
      </c>
      <c r="CM176">
        <v>2</v>
      </c>
      <c r="CN176" t="s">
        <v>1495</v>
      </c>
      <c r="CO176" t="s">
        <v>1473</v>
      </c>
      <c r="CP176" t="s">
        <v>1474</v>
      </c>
      <c r="CQ176" t="s">
        <v>1420</v>
      </c>
      <c r="CR176" t="s">
        <v>541</v>
      </c>
      <c r="CS176" t="s">
        <v>542</v>
      </c>
      <c r="CT176">
        <v>375</v>
      </c>
      <c r="CU176">
        <v>5</v>
      </c>
      <c r="CV176">
        <v>1.3</v>
      </c>
      <c r="CW176">
        <v>1141</v>
      </c>
      <c r="CX176">
        <v>657</v>
      </c>
      <c r="CY176" t="s">
        <v>705</v>
      </c>
      <c r="CZ176">
        <v>50</v>
      </c>
      <c r="DA176">
        <v>3</v>
      </c>
      <c r="DB176">
        <v>1</v>
      </c>
      <c r="DC176">
        <v>1141</v>
      </c>
      <c r="DD176">
        <v>60</v>
      </c>
      <c r="DE176" t="s">
        <v>543</v>
      </c>
      <c r="DF176">
        <v>565</v>
      </c>
      <c r="DG176">
        <v>3</v>
      </c>
      <c r="DH176">
        <v>1.18</v>
      </c>
      <c r="DI176">
        <v>1134</v>
      </c>
      <c r="DJ176">
        <v>1123</v>
      </c>
      <c r="DW176" t="s">
        <v>544</v>
      </c>
      <c r="DX176">
        <v>7.5</v>
      </c>
      <c r="EA176">
        <v>1202.7</v>
      </c>
      <c r="EB176">
        <v>157</v>
      </c>
      <c r="EC176" t="s">
        <v>545</v>
      </c>
      <c r="ED176">
        <v>55</v>
      </c>
      <c r="EE176">
        <v>3</v>
      </c>
      <c r="EG176">
        <v>1233</v>
      </c>
      <c r="EH176">
        <v>277</v>
      </c>
      <c r="EJ176">
        <v>0</v>
      </c>
      <c r="EK176">
        <v>1</v>
      </c>
      <c r="EN176">
        <v>0</v>
      </c>
      <c r="EP176" t="s">
        <v>546</v>
      </c>
      <c r="EQ176">
        <v>115</v>
      </c>
      <c r="ER176">
        <v>3</v>
      </c>
      <c r="ES176">
        <v>5</v>
      </c>
      <c r="ET176">
        <v>1117</v>
      </c>
      <c r="EU176">
        <v>447.6</v>
      </c>
      <c r="EV176">
        <v>500</v>
      </c>
      <c r="EW176" t="s">
        <v>547</v>
      </c>
      <c r="EX176">
        <v>45</v>
      </c>
      <c r="EY176">
        <v>2</v>
      </c>
      <c r="EZ176">
        <v>3.9</v>
      </c>
      <c r="FA176">
        <v>1117</v>
      </c>
      <c r="FB176">
        <v>130.1</v>
      </c>
      <c r="FC176">
        <v>145</v>
      </c>
      <c r="FE176">
        <v>0</v>
      </c>
      <c r="FF176">
        <v>2</v>
      </c>
      <c r="FI176">
        <v>0</v>
      </c>
      <c r="FK176" t="s">
        <v>548</v>
      </c>
      <c r="FL176">
        <v>0.4</v>
      </c>
      <c r="FM176">
        <v>55</v>
      </c>
      <c r="FN176">
        <v>330</v>
      </c>
      <c r="FO176">
        <v>70</v>
      </c>
      <c r="FP176">
        <v>130</v>
      </c>
      <c r="FR176" t="s">
        <v>548</v>
      </c>
      <c r="FS176">
        <v>0.4</v>
      </c>
      <c r="FT176">
        <v>130</v>
      </c>
      <c r="FU176">
        <v>100</v>
      </c>
      <c r="HC176">
        <v>0.1</v>
      </c>
      <c r="HD176">
        <v>3</v>
      </c>
      <c r="HE176">
        <v>3</v>
      </c>
      <c r="HF176">
        <v>3</v>
      </c>
      <c r="HG176">
        <v>3</v>
      </c>
      <c r="HH176">
        <v>3</v>
      </c>
      <c r="HI176">
        <v>145</v>
      </c>
      <c r="HJ176">
        <v>3</v>
      </c>
      <c r="HK176">
        <v>30</v>
      </c>
      <c r="HL176">
        <v>2</v>
      </c>
      <c r="HM176">
        <v>0</v>
      </c>
      <c r="HN176">
        <v>2</v>
      </c>
      <c r="HO176">
        <v>100</v>
      </c>
      <c r="HP176">
        <v>3</v>
      </c>
      <c r="HQ176">
        <v>0</v>
      </c>
      <c r="HR176">
        <v>2</v>
      </c>
      <c r="HS176">
        <v>4058</v>
      </c>
      <c r="HT176">
        <v>120</v>
      </c>
      <c r="HU176">
        <v>180</v>
      </c>
      <c r="HW176">
        <v>0</v>
      </c>
      <c r="HX176">
        <v>550</v>
      </c>
      <c r="HY176">
        <v>0.18</v>
      </c>
      <c r="IA176">
        <v>0.15</v>
      </c>
      <c r="IB176">
        <v>0</v>
      </c>
      <c r="IC176">
        <v>180</v>
      </c>
      <c r="ID176">
        <v>110</v>
      </c>
      <c r="IE176">
        <v>0</v>
      </c>
      <c r="IF176">
        <v>0</v>
      </c>
      <c r="IH176" t="s">
        <v>549</v>
      </c>
      <c r="IO176">
        <v>1</v>
      </c>
      <c r="IP176">
        <v>15</v>
      </c>
      <c r="IQ176">
        <v>0</v>
      </c>
      <c r="IR176">
        <v>0</v>
      </c>
      <c r="IV176">
        <v>1122</v>
      </c>
      <c r="IW176">
        <v>414</v>
      </c>
      <c r="JA176">
        <v>1</v>
      </c>
      <c r="JB176">
        <v>0</v>
      </c>
      <c r="JC176">
        <v>2</v>
      </c>
      <c r="JD176">
        <v>1141</v>
      </c>
      <c r="JE176">
        <v>1134</v>
      </c>
      <c r="JF176">
        <v>0</v>
      </c>
      <c r="JG176">
        <v>1117</v>
      </c>
      <c r="JH176">
        <v>0</v>
      </c>
      <c r="JJ176">
        <v>180</v>
      </c>
      <c r="JK176">
        <v>550</v>
      </c>
      <c r="JN176">
        <v>375</v>
      </c>
      <c r="JO176">
        <v>565</v>
      </c>
      <c r="JP176">
        <v>0</v>
      </c>
      <c r="JQ176">
        <v>0</v>
      </c>
      <c r="JR176">
        <v>424</v>
      </c>
      <c r="JS176">
        <v>145</v>
      </c>
      <c r="JV176">
        <v>8</v>
      </c>
      <c r="JW176" t="s">
        <v>550</v>
      </c>
      <c r="JX176">
        <v>454</v>
      </c>
      <c r="KA176">
        <v>0</v>
      </c>
      <c r="KB176">
        <v>110</v>
      </c>
      <c r="KC176">
        <v>0</v>
      </c>
      <c r="KD176">
        <v>80</v>
      </c>
      <c r="KF176">
        <v>3</v>
      </c>
      <c r="KG176">
        <v>2</v>
      </c>
      <c r="KH176">
        <v>2</v>
      </c>
      <c r="KI176">
        <v>2</v>
      </c>
      <c r="KJ176">
        <v>0</v>
      </c>
      <c r="KK176">
        <v>1.5</v>
      </c>
      <c r="KL176">
        <v>1.5</v>
      </c>
      <c r="KM176">
        <v>0</v>
      </c>
      <c r="KN176">
        <v>0</v>
      </c>
      <c r="KO176">
        <v>0</v>
      </c>
      <c r="KR176">
        <v>50</v>
      </c>
      <c r="KS176">
        <v>60</v>
      </c>
      <c r="KT176">
        <v>0</v>
      </c>
      <c r="LK176">
        <v>480</v>
      </c>
      <c r="PG176">
        <v>1</v>
      </c>
      <c r="PI176" t="s">
        <v>2513</v>
      </c>
      <c r="PJ176" t="s">
        <v>2514</v>
      </c>
      <c r="PL176" t="s">
        <v>528</v>
      </c>
      <c r="PP176" t="s">
        <v>2515</v>
      </c>
      <c r="PS176" t="s">
        <v>693</v>
      </c>
      <c r="PX176">
        <v>56</v>
      </c>
      <c r="PY176">
        <v>57</v>
      </c>
      <c r="PZ176" t="s">
        <v>2513</v>
      </c>
      <c r="QA176">
        <v>1</v>
      </c>
      <c r="QB176">
        <v>1117</v>
      </c>
      <c r="QC176">
        <v>69</v>
      </c>
      <c r="QD176">
        <v>69</v>
      </c>
      <c r="QE176" t="s">
        <v>528</v>
      </c>
      <c r="QF176">
        <v>2</v>
      </c>
      <c r="QG176">
        <v>1141</v>
      </c>
      <c r="QH176">
        <v>66</v>
      </c>
      <c r="QI176">
        <v>66</v>
      </c>
      <c r="QJ176" t="s">
        <v>693</v>
      </c>
      <c r="QK176">
        <v>1</v>
      </c>
      <c r="QL176">
        <v>1141</v>
      </c>
      <c r="QM176">
        <v>62</v>
      </c>
      <c r="QN176">
        <v>62</v>
      </c>
      <c r="QO176" t="s">
        <v>2514</v>
      </c>
      <c r="QP176">
        <v>1</v>
      </c>
      <c r="QQ176">
        <v>1134</v>
      </c>
      <c r="QW176">
        <v>82</v>
      </c>
      <c r="QX176">
        <v>89</v>
      </c>
      <c r="QY176" t="s">
        <v>2515</v>
      </c>
      <c r="QZ176">
        <v>1</v>
      </c>
      <c r="RA176">
        <v>66</v>
      </c>
      <c r="RB176">
        <v>66</v>
      </c>
      <c r="RE176">
        <v>0</v>
      </c>
      <c r="RF176">
        <v>1</v>
      </c>
      <c r="RJ176">
        <v>1</v>
      </c>
      <c r="RK176">
        <v>2</v>
      </c>
      <c r="RL176">
        <v>1</v>
      </c>
      <c r="RO176">
        <v>576</v>
      </c>
      <c r="RP176">
        <v>105</v>
      </c>
      <c r="RQ176">
        <v>990</v>
      </c>
      <c r="RT176">
        <v>157</v>
      </c>
      <c r="RU176">
        <v>277</v>
      </c>
      <c r="RV176" t="s">
        <v>1497</v>
      </c>
      <c r="RW176" t="s">
        <v>1498</v>
      </c>
      <c r="RX176">
        <v>15</v>
      </c>
      <c r="RY176">
        <v>4</v>
      </c>
      <c r="RZ176" t="s">
        <v>1498</v>
      </c>
      <c r="SA176">
        <v>15</v>
      </c>
      <c r="SC176" t="s">
        <v>2514</v>
      </c>
      <c r="SD176">
        <v>1</v>
      </c>
      <c r="SH176">
        <v>0.995</v>
      </c>
      <c r="SI176">
        <v>0.995</v>
      </c>
      <c r="SJ176">
        <v>0.995</v>
      </c>
      <c r="SK176">
        <v>15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1</v>
      </c>
      <c r="TB176">
        <v>0</v>
      </c>
      <c r="TC176">
        <v>0</v>
      </c>
      <c r="TD176">
        <v>7.5</v>
      </c>
      <c r="TE176" t="s">
        <v>553</v>
      </c>
      <c r="TF176" t="s">
        <v>754</v>
      </c>
      <c r="TG176" t="s">
        <v>555</v>
      </c>
      <c r="TI176" t="s">
        <v>546</v>
      </c>
      <c r="TJ176" t="s">
        <v>547</v>
      </c>
      <c r="TL176" t="s">
        <v>2341</v>
      </c>
      <c r="TM176" t="s">
        <v>513</v>
      </c>
      <c r="TN176">
        <v>0</v>
      </c>
      <c r="TO176" t="s">
        <v>557</v>
      </c>
    </row>
    <row r="177" spans="1:535">
      <c r="A177" t="s">
        <v>2516</v>
      </c>
      <c r="B177" t="s">
        <v>897</v>
      </c>
      <c r="C177" t="s">
        <v>509</v>
      </c>
      <c r="D177" t="s">
        <v>2099</v>
      </c>
      <c r="G177" t="s">
        <v>604</v>
      </c>
      <c r="H177" t="s">
        <v>605</v>
      </c>
      <c r="I177" t="s">
        <v>628</v>
      </c>
      <c r="J177" t="s">
        <v>606</v>
      </c>
      <c r="L177" t="s">
        <v>512</v>
      </c>
      <c r="M177" t="s">
        <v>657</v>
      </c>
      <c r="N177" t="s">
        <v>513</v>
      </c>
      <c r="O177" t="s">
        <v>607</v>
      </c>
      <c r="Q177" t="s">
        <v>2517</v>
      </c>
      <c r="R177" t="s">
        <v>517</v>
      </c>
      <c r="S177" t="s">
        <v>1811</v>
      </c>
      <c r="T177" t="s">
        <v>1812</v>
      </c>
      <c r="U177" t="s">
        <v>520</v>
      </c>
      <c r="V177" t="s">
        <v>521</v>
      </c>
      <c r="W177" t="s">
        <v>2518</v>
      </c>
      <c r="X177" t="s">
        <v>2336</v>
      </c>
      <c r="Y177" t="s">
        <v>524</v>
      </c>
      <c r="Z177" t="s">
        <v>2519</v>
      </c>
      <c r="AA177" t="s">
        <v>2520</v>
      </c>
      <c r="AB177" t="s">
        <v>2521</v>
      </c>
      <c r="AC177">
        <v>2</v>
      </c>
      <c r="AD177">
        <v>57</v>
      </c>
      <c r="AE177">
        <v>160</v>
      </c>
      <c r="AF177">
        <v>1.5</v>
      </c>
      <c r="AH177">
        <v>0</v>
      </c>
      <c r="AI177" t="s">
        <v>2386</v>
      </c>
      <c r="AJ177">
        <v>170</v>
      </c>
      <c r="AK177">
        <v>1</v>
      </c>
      <c r="AL177">
        <v>1.5</v>
      </c>
      <c r="AM177" t="s">
        <v>529</v>
      </c>
      <c r="AO177">
        <v>0</v>
      </c>
      <c r="AR177">
        <v>0</v>
      </c>
      <c r="AS177">
        <v>1.5</v>
      </c>
      <c r="AV177" t="s">
        <v>2522</v>
      </c>
      <c r="AW177" t="s">
        <v>2522</v>
      </c>
      <c r="AX177">
        <v>1</v>
      </c>
      <c r="AY177">
        <v>245</v>
      </c>
      <c r="AZ177">
        <v>1.5</v>
      </c>
      <c r="BA177" t="s">
        <v>529</v>
      </c>
      <c r="BG177">
        <v>1.5</v>
      </c>
      <c r="BJ177">
        <v>0</v>
      </c>
      <c r="BN177">
        <v>1.5</v>
      </c>
      <c r="BP177" t="s">
        <v>2523</v>
      </c>
      <c r="BQ177">
        <v>82</v>
      </c>
      <c r="BR177">
        <v>2</v>
      </c>
      <c r="BS177" t="s">
        <v>2483</v>
      </c>
      <c r="BT177">
        <v>182</v>
      </c>
      <c r="BU177">
        <v>0.5</v>
      </c>
      <c r="BV177" t="s">
        <v>2483</v>
      </c>
      <c r="BW177">
        <v>364</v>
      </c>
      <c r="BX177">
        <v>1</v>
      </c>
      <c r="BY177" t="s">
        <v>533</v>
      </c>
      <c r="BZ177">
        <v>300</v>
      </c>
      <c r="CA177">
        <v>480</v>
      </c>
      <c r="CB177" t="s">
        <v>534</v>
      </c>
      <c r="CC177" t="s">
        <v>534</v>
      </c>
      <c r="CD177">
        <v>386</v>
      </c>
      <c r="CE177" t="s">
        <v>535</v>
      </c>
      <c r="CF177">
        <v>15</v>
      </c>
      <c r="CG177" t="s">
        <v>620</v>
      </c>
      <c r="CH177" t="s">
        <v>620</v>
      </c>
      <c r="CI177">
        <v>90</v>
      </c>
      <c r="CJ177">
        <v>1200</v>
      </c>
      <c r="CK177">
        <v>2</v>
      </c>
      <c r="CL177">
        <v>1301</v>
      </c>
      <c r="CM177">
        <v>2</v>
      </c>
      <c r="CN177" t="s">
        <v>537</v>
      </c>
      <c r="CO177" t="s">
        <v>538</v>
      </c>
      <c r="CP177" t="s">
        <v>539</v>
      </c>
      <c r="CQ177" t="s">
        <v>649</v>
      </c>
      <c r="CR177" t="s">
        <v>650</v>
      </c>
      <c r="CS177" t="s">
        <v>542</v>
      </c>
      <c r="CT177">
        <v>340</v>
      </c>
      <c r="CU177">
        <v>5</v>
      </c>
      <c r="CV177">
        <v>1.2</v>
      </c>
      <c r="CW177">
        <v>1213</v>
      </c>
      <c r="CX177">
        <v>583</v>
      </c>
      <c r="DD177">
        <v>0</v>
      </c>
      <c r="DE177" t="s">
        <v>948</v>
      </c>
      <c r="DF177">
        <v>490</v>
      </c>
      <c r="DG177">
        <v>3</v>
      </c>
      <c r="DH177">
        <v>1.22</v>
      </c>
      <c r="DI177">
        <v>1211</v>
      </c>
      <c r="DJ177">
        <v>958</v>
      </c>
      <c r="DW177" t="s">
        <v>544</v>
      </c>
      <c r="DX177">
        <v>7.5</v>
      </c>
      <c r="EA177">
        <v>1282.5</v>
      </c>
      <c r="EB177">
        <v>167</v>
      </c>
      <c r="EC177" t="s">
        <v>545</v>
      </c>
      <c r="ED177">
        <v>25</v>
      </c>
      <c r="EE177">
        <v>3</v>
      </c>
      <c r="EG177">
        <v>1313</v>
      </c>
      <c r="EH177">
        <v>143</v>
      </c>
      <c r="EJ177">
        <v>0</v>
      </c>
      <c r="EK177">
        <v>1</v>
      </c>
      <c r="EN177">
        <v>0</v>
      </c>
      <c r="EP177" t="s">
        <v>546</v>
      </c>
      <c r="EQ177">
        <v>75</v>
      </c>
      <c r="ER177">
        <v>3</v>
      </c>
      <c r="ES177">
        <v>5</v>
      </c>
      <c r="ET177">
        <v>1194</v>
      </c>
      <c r="EU177">
        <v>304.6</v>
      </c>
      <c r="EV177">
        <v>364</v>
      </c>
      <c r="EW177" t="s">
        <v>547</v>
      </c>
      <c r="EX177">
        <v>70</v>
      </c>
      <c r="EY177">
        <v>2</v>
      </c>
      <c r="EZ177">
        <v>4.5</v>
      </c>
      <c r="FA177">
        <v>1194</v>
      </c>
      <c r="FB177">
        <v>199.2</v>
      </c>
      <c r="FC177">
        <v>238</v>
      </c>
      <c r="FE177">
        <v>0</v>
      </c>
      <c r="FF177">
        <v>2</v>
      </c>
      <c r="FI177">
        <v>0</v>
      </c>
      <c r="FK177" t="s">
        <v>548</v>
      </c>
      <c r="FL177">
        <v>0.4</v>
      </c>
      <c r="FM177">
        <v>40</v>
      </c>
      <c r="FN177">
        <v>160</v>
      </c>
      <c r="FR177" t="s">
        <v>548</v>
      </c>
      <c r="FS177">
        <v>0.4</v>
      </c>
      <c r="FT177">
        <v>30</v>
      </c>
      <c r="FU177">
        <v>330</v>
      </c>
      <c r="FY177" t="s">
        <v>651</v>
      </c>
      <c r="FZ177">
        <v>1</v>
      </c>
      <c r="GA177">
        <v>20</v>
      </c>
      <c r="GB177">
        <v>150</v>
      </c>
      <c r="GG177" t="s">
        <v>651</v>
      </c>
      <c r="GH177">
        <v>1</v>
      </c>
      <c r="GI177">
        <v>20</v>
      </c>
      <c r="GJ177">
        <v>150</v>
      </c>
      <c r="HC177">
        <v>0.1</v>
      </c>
      <c r="HD177">
        <v>3</v>
      </c>
      <c r="HE177">
        <v>3</v>
      </c>
      <c r="HF177">
        <v>3</v>
      </c>
      <c r="HG177">
        <v>3</v>
      </c>
      <c r="HH177">
        <v>3</v>
      </c>
      <c r="HI177">
        <v>130</v>
      </c>
      <c r="HJ177">
        <v>3</v>
      </c>
      <c r="HK177">
        <v>55</v>
      </c>
      <c r="HL177">
        <v>2</v>
      </c>
      <c r="HM177">
        <v>0</v>
      </c>
      <c r="HN177">
        <v>2</v>
      </c>
      <c r="HO177">
        <v>60</v>
      </c>
      <c r="HP177">
        <v>3</v>
      </c>
      <c r="HQ177">
        <v>0</v>
      </c>
      <c r="HR177">
        <v>2</v>
      </c>
      <c r="HS177">
        <v>3365</v>
      </c>
      <c r="HT177">
        <v>100</v>
      </c>
      <c r="HU177">
        <v>180</v>
      </c>
      <c r="HW177">
        <v>0</v>
      </c>
      <c r="HX177">
        <v>470</v>
      </c>
      <c r="HY177">
        <v>0.18</v>
      </c>
      <c r="IA177">
        <v>0.15</v>
      </c>
      <c r="IB177">
        <v>0</v>
      </c>
      <c r="IC177">
        <v>180</v>
      </c>
      <c r="ID177">
        <v>105</v>
      </c>
      <c r="IE177">
        <v>0</v>
      </c>
      <c r="IF177">
        <v>0</v>
      </c>
      <c r="IH177" t="s">
        <v>549</v>
      </c>
      <c r="IO177">
        <v>1</v>
      </c>
      <c r="IP177">
        <v>16</v>
      </c>
      <c r="IQ177">
        <v>0</v>
      </c>
      <c r="IR177">
        <v>1</v>
      </c>
      <c r="IV177">
        <v>1200</v>
      </c>
      <c r="IW177">
        <v>364</v>
      </c>
      <c r="JA177">
        <v>1</v>
      </c>
      <c r="JB177">
        <v>0</v>
      </c>
      <c r="JC177">
        <v>2</v>
      </c>
      <c r="JD177">
        <v>1213</v>
      </c>
      <c r="JE177">
        <v>1211</v>
      </c>
      <c r="JF177">
        <v>0</v>
      </c>
      <c r="JG177">
        <v>1194</v>
      </c>
      <c r="JH177">
        <v>0</v>
      </c>
      <c r="JJ177">
        <v>180</v>
      </c>
      <c r="JK177">
        <v>470</v>
      </c>
      <c r="JN177">
        <v>340</v>
      </c>
      <c r="JO177">
        <v>490</v>
      </c>
      <c r="JP177">
        <v>0</v>
      </c>
      <c r="JQ177">
        <v>0</v>
      </c>
      <c r="JR177">
        <v>320</v>
      </c>
      <c r="JS177">
        <v>130</v>
      </c>
      <c r="JV177">
        <v>8</v>
      </c>
      <c r="JW177" t="s">
        <v>550</v>
      </c>
      <c r="JX177">
        <v>0</v>
      </c>
      <c r="KA177">
        <v>0</v>
      </c>
      <c r="KB177">
        <v>105</v>
      </c>
      <c r="KC177">
        <v>0</v>
      </c>
      <c r="KD177">
        <v>80</v>
      </c>
      <c r="KF177">
        <v>4</v>
      </c>
      <c r="KG177">
        <v>2</v>
      </c>
      <c r="KH177">
        <v>2</v>
      </c>
      <c r="KI177">
        <v>2</v>
      </c>
      <c r="KJ177">
        <v>0</v>
      </c>
      <c r="KK177">
        <v>1.5</v>
      </c>
      <c r="KL177">
        <v>1.5</v>
      </c>
      <c r="KM177">
        <v>0</v>
      </c>
      <c r="KN177">
        <v>0</v>
      </c>
      <c r="KO177">
        <v>0</v>
      </c>
      <c r="KR177">
        <v>50</v>
      </c>
      <c r="KS177">
        <v>60</v>
      </c>
      <c r="KT177">
        <v>0</v>
      </c>
      <c r="LK177">
        <v>480</v>
      </c>
      <c r="PG177">
        <v>1</v>
      </c>
      <c r="PI177" t="s">
        <v>2521</v>
      </c>
      <c r="PJ177" t="s">
        <v>2522</v>
      </c>
      <c r="PL177" t="s">
        <v>2386</v>
      </c>
      <c r="PP177" t="s">
        <v>2523</v>
      </c>
      <c r="PX177">
        <v>56</v>
      </c>
      <c r="PY177">
        <v>57</v>
      </c>
      <c r="PZ177" t="s">
        <v>2521</v>
      </c>
      <c r="QA177">
        <v>1</v>
      </c>
      <c r="QB177">
        <v>1194</v>
      </c>
      <c r="QC177">
        <v>69</v>
      </c>
      <c r="QD177">
        <v>69</v>
      </c>
      <c r="QE177" t="s">
        <v>2386</v>
      </c>
      <c r="QF177">
        <v>1</v>
      </c>
      <c r="QG177">
        <v>1213</v>
      </c>
      <c r="QH177">
        <v>66</v>
      </c>
      <c r="QI177">
        <v>66</v>
      </c>
      <c r="QL177">
        <v>0</v>
      </c>
      <c r="QM177">
        <v>63</v>
      </c>
      <c r="QN177">
        <v>63</v>
      </c>
      <c r="QO177" t="s">
        <v>2522</v>
      </c>
      <c r="QP177">
        <v>1</v>
      </c>
      <c r="QQ177">
        <v>1211</v>
      </c>
      <c r="QW177">
        <v>82</v>
      </c>
      <c r="QX177">
        <v>82</v>
      </c>
      <c r="QY177" t="s">
        <v>2523</v>
      </c>
      <c r="QZ177">
        <v>3</v>
      </c>
      <c r="RA177">
        <v>66</v>
      </c>
      <c r="RB177">
        <v>66</v>
      </c>
      <c r="RE177">
        <v>0</v>
      </c>
      <c r="RG177">
        <v>1</v>
      </c>
      <c r="RJ177">
        <v>2</v>
      </c>
      <c r="RL177">
        <v>2</v>
      </c>
      <c r="RO177">
        <v>481</v>
      </c>
      <c r="RQ177">
        <v>791</v>
      </c>
      <c r="RT177">
        <v>167</v>
      </c>
      <c r="RU177">
        <v>143</v>
      </c>
      <c r="RV177" t="s">
        <v>2485</v>
      </c>
      <c r="RW177" t="s">
        <v>552</v>
      </c>
      <c r="RX177">
        <v>15</v>
      </c>
      <c r="RY177">
        <v>4</v>
      </c>
      <c r="RZ177" t="s">
        <v>552</v>
      </c>
      <c r="SA177">
        <v>15</v>
      </c>
      <c r="SB177" t="s">
        <v>2524</v>
      </c>
      <c r="SC177" t="s">
        <v>2524</v>
      </c>
      <c r="SD177">
        <v>1</v>
      </c>
      <c r="SH177">
        <v>0.995</v>
      </c>
      <c r="SI177">
        <v>0.995</v>
      </c>
      <c r="SJ177">
        <v>0.995</v>
      </c>
      <c r="SK177">
        <v>15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TB177">
        <v>0</v>
      </c>
      <c r="TC177">
        <v>0</v>
      </c>
      <c r="TD177">
        <v>7.5</v>
      </c>
      <c r="TE177" t="s">
        <v>553</v>
      </c>
      <c r="TF177" t="s">
        <v>754</v>
      </c>
      <c r="TG177" t="s">
        <v>555</v>
      </c>
      <c r="TI177" t="s">
        <v>546</v>
      </c>
      <c r="TJ177" t="s">
        <v>547</v>
      </c>
      <c r="TL177" t="s">
        <v>2341</v>
      </c>
      <c r="TM177" t="s">
        <v>513</v>
      </c>
      <c r="TN177">
        <v>0</v>
      </c>
      <c r="TO177" t="s">
        <v>557</v>
      </c>
    </row>
    <row r="178" spans="1:535">
      <c r="A178" t="s">
        <v>2525</v>
      </c>
      <c r="B178" t="s">
        <v>1960</v>
      </c>
      <c r="C178" t="s">
        <v>509</v>
      </c>
      <c r="D178" t="s">
        <v>2455</v>
      </c>
      <c r="G178" t="s">
        <v>604</v>
      </c>
      <c r="H178" t="s">
        <v>605</v>
      </c>
      <c r="I178" t="s">
        <v>628</v>
      </c>
      <c r="J178" t="s">
        <v>606</v>
      </c>
      <c r="L178" t="s">
        <v>512</v>
      </c>
      <c r="M178" t="s">
        <v>1453</v>
      </c>
      <c r="N178" t="s">
        <v>513</v>
      </c>
      <c r="O178" t="s">
        <v>607</v>
      </c>
      <c r="Q178" t="s">
        <v>2526</v>
      </c>
      <c r="R178" t="s">
        <v>517</v>
      </c>
      <c r="S178" t="s">
        <v>1015</v>
      </c>
      <c r="T178" t="s">
        <v>1016</v>
      </c>
      <c r="U178" t="s">
        <v>633</v>
      </c>
      <c r="V178" t="s">
        <v>634</v>
      </c>
      <c r="W178" t="s">
        <v>2527</v>
      </c>
      <c r="X178" t="s">
        <v>2336</v>
      </c>
      <c r="Y178" t="s">
        <v>524</v>
      </c>
      <c r="Z178" t="s">
        <v>2528</v>
      </c>
      <c r="AA178" t="s">
        <v>2529</v>
      </c>
      <c r="AB178" t="s">
        <v>2530</v>
      </c>
      <c r="AC178">
        <v>2</v>
      </c>
      <c r="AD178">
        <v>57</v>
      </c>
      <c r="AE178">
        <v>187</v>
      </c>
      <c r="AF178">
        <v>1.5</v>
      </c>
      <c r="AH178">
        <v>0</v>
      </c>
      <c r="AI178" t="s">
        <v>1559</v>
      </c>
      <c r="AJ178">
        <v>167.5</v>
      </c>
      <c r="AK178">
        <v>1</v>
      </c>
      <c r="AL178">
        <v>1.5</v>
      </c>
      <c r="AM178" t="s">
        <v>579</v>
      </c>
      <c r="AN178" t="s">
        <v>693</v>
      </c>
      <c r="AO178">
        <v>2</v>
      </c>
      <c r="AP178" t="s">
        <v>581</v>
      </c>
      <c r="AQ178" t="s">
        <v>582</v>
      </c>
      <c r="AR178">
        <v>207</v>
      </c>
      <c r="AS178">
        <v>1.5</v>
      </c>
      <c r="AT178" t="s">
        <v>583</v>
      </c>
      <c r="AV178" t="s">
        <v>2531</v>
      </c>
      <c r="AW178" t="s">
        <v>2531</v>
      </c>
      <c r="AX178">
        <v>1</v>
      </c>
      <c r="AY178">
        <v>242.5</v>
      </c>
      <c r="AZ178">
        <v>1.5</v>
      </c>
      <c r="BA178" t="s">
        <v>579</v>
      </c>
      <c r="BG178">
        <v>1.5</v>
      </c>
      <c r="BJ178">
        <v>0</v>
      </c>
      <c r="BN178">
        <v>1.5</v>
      </c>
      <c r="BP178" t="s">
        <v>2532</v>
      </c>
      <c r="BQ178">
        <v>82</v>
      </c>
      <c r="BR178">
        <v>2</v>
      </c>
      <c r="BS178" t="s">
        <v>1640</v>
      </c>
      <c r="BT178">
        <v>186</v>
      </c>
      <c r="BU178">
        <v>0.5</v>
      </c>
      <c r="BV178" t="s">
        <v>1640</v>
      </c>
      <c r="BW178">
        <v>372</v>
      </c>
      <c r="BX178">
        <v>1</v>
      </c>
      <c r="BY178" t="s">
        <v>643</v>
      </c>
      <c r="BZ178">
        <v>300</v>
      </c>
      <c r="CA178">
        <v>460</v>
      </c>
      <c r="CB178" t="s">
        <v>644</v>
      </c>
      <c r="CC178" t="s">
        <v>644</v>
      </c>
      <c r="CD178">
        <v>382</v>
      </c>
      <c r="CE178" t="s">
        <v>544</v>
      </c>
      <c r="CF178">
        <v>15</v>
      </c>
      <c r="CG178" t="s">
        <v>645</v>
      </c>
      <c r="CH178" t="s">
        <v>645</v>
      </c>
      <c r="CI178">
        <v>80</v>
      </c>
      <c r="CJ178">
        <v>1301</v>
      </c>
      <c r="CK178">
        <v>2</v>
      </c>
      <c r="CL178">
        <v>1395</v>
      </c>
      <c r="CM178">
        <v>2</v>
      </c>
      <c r="CN178" t="s">
        <v>646</v>
      </c>
      <c r="CO178" t="s">
        <v>647</v>
      </c>
      <c r="CP178" t="s">
        <v>648</v>
      </c>
      <c r="CQ178" t="s">
        <v>860</v>
      </c>
      <c r="CR178" t="s">
        <v>650</v>
      </c>
      <c r="CS178" t="s">
        <v>542</v>
      </c>
      <c r="CT178">
        <v>335</v>
      </c>
      <c r="CU178">
        <v>5</v>
      </c>
      <c r="CV178">
        <v>1.2</v>
      </c>
      <c r="CW178">
        <v>1319</v>
      </c>
      <c r="CX178">
        <v>625</v>
      </c>
      <c r="CY178" t="s">
        <v>705</v>
      </c>
      <c r="CZ178">
        <v>50</v>
      </c>
      <c r="DA178">
        <v>3</v>
      </c>
      <c r="DB178">
        <v>1</v>
      </c>
      <c r="DC178">
        <v>1319</v>
      </c>
      <c r="DD178">
        <v>69</v>
      </c>
      <c r="DE178" t="s">
        <v>948</v>
      </c>
      <c r="DF178">
        <v>485</v>
      </c>
      <c r="DG178">
        <v>3</v>
      </c>
      <c r="DH178">
        <v>1.22</v>
      </c>
      <c r="DI178">
        <v>1312</v>
      </c>
      <c r="DJ178">
        <v>1120</v>
      </c>
      <c r="DW178" t="s">
        <v>544</v>
      </c>
      <c r="DX178">
        <v>7.5</v>
      </c>
      <c r="EA178">
        <v>1379.8</v>
      </c>
      <c r="EB178">
        <v>180</v>
      </c>
      <c r="EC178" t="s">
        <v>545</v>
      </c>
      <c r="ED178">
        <v>25</v>
      </c>
      <c r="EE178">
        <v>3</v>
      </c>
      <c r="EG178">
        <v>1411</v>
      </c>
      <c r="EH178">
        <v>154</v>
      </c>
      <c r="EJ178">
        <v>0</v>
      </c>
      <c r="EK178">
        <v>1</v>
      </c>
      <c r="EN178">
        <v>0</v>
      </c>
      <c r="EP178" t="s">
        <v>546</v>
      </c>
      <c r="EQ178">
        <v>70</v>
      </c>
      <c r="ER178">
        <v>3</v>
      </c>
      <c r="ES178">
        <v>5</v>
      </c>
      <c r="ET178">
        <v>1295</v>
      </c>
      <c r="EU178">
        <v>269.9</v>
      </c>
      <c r="EV178">
        <v>350</v>
      </c>
      <c r="EW178" t="s">
        <v>547</v>
      </c>
      <c r="EX178">
        <v>45</v>
      </c>
      <c r="EY178">
        <v>2</v>
      </c>
      <c r="EZ178">
        <v>4</v>
      </c>
      <c r="FA178">
        <v>1295</v>
      </c>
      <c r="FB178">
        <v>140.3</v>
      </c>
      <c r="FC178">
        <v>182</v>
      </c>
      <c r="FE178">
        <v>0</v>
      </c>
      <c r="FF178">
        <v>2</v>
      </c>
      <c r="FI178">
        <v>0</v>
      </c>
      <c r="FK178" t="s">
        <v>548</v>
      </c>
      <c r="FL178">
        <v>0.4</v>
      </c>
      <c r="FM178">
        <v>50</v>
      </c>
      <c r="FN178">
        <v>310</v>
      </c>
      <c r="FO178">
        <v>55</v>
      </c>
      <c r="FP178">
        <v>130</v>
      </c>
      <c r="FR178" t="s">
        <v>548</v>
      </c>
      <c r="FS178">
        <v>0.4</v>
      </c>
      <c r="FT178">
        <v>45</v>
      </c>
      <c r="FU178">
        <v>220</v>
      </c>
      <c r="FY178" t="s">
        <v>651</v>
      </c>
      <c r="FZ178">
        <v>1</v>
      </c>
      <c r="GA178">
        <v>20</v>
      </c>
      <c r="GB178">
        <v>166</v>
      </c>
      <c r="GG178" t="s">
        <v>651</v>
      </c>
      <c r="GH178">
        <v>1</v>
      </c>
      <c r="GI178">
        <v>20</v>
      </c>
      <c r="GJ178">
        <v>166</v>
      </c>
      <c r="HC178">
        <v>0.1</v>
      </c>
      <c r="HD178">
        <v>3</v>
      </c>
      <c r="HE178">
        <v>3</v>
      </c>
      <c r="HF178">
        <v>3</v>
      </c>
      <c r="HG178">
        <v>3</v>
      </c>
      <c r="HH178">
        <v>3</v>
      </c>
      <c r="HI178">
        <v>100</v>
      </c>
      <c r="HJ178">
        <v>3</v>
      </c>
      <c r="HK178">
        <v>30</v>
      </c>
      <c r="HL178">
        <v>2</v>
      </c>
      <c r="HM178">
        <v>0</v>
      </c>
      <c r="HN178">
        <v>2</v>
      </c>
      <c r="HO178">
        <v>55</v>
      </c>
      <c r="HP178">
        <v>3</v>
      </c>
      <c r="HQ178">
        <v>0</v>
      </c>
      <c r="HR178">
        <v>2</v>
      </c>
      <c r="HS178">
        <v>3615</v>
      </c>
      <c r="HT178">
        <v>110</v>
      </c>
      <c r="HU178">
        <v>180</v>
      </c>
      <c r="HW178">
        <v>0</v>
      </c>
      <c r="HX178">
        <v>460</v>
      </c>
      <c r="HY178">
        <v>0.18</v>
      </c>
      <c r="IA178">
        <v>0.15</v>
      </c>
      <c r="IB178">
        <v>0</v>
      </c>
      <c r="IC178">
        <v>180</v>
      </c>
      <c r="ID178">
        <v>105</v>
      </c>
      <c r="IE178">
        <v>0</v>
      </c>
      <c r="IF178">
        <v>0</v>
      </c>
      <c r="IH178" t="s">
        <v>549</v>
      </c>
      <c r="IO178">
        <v>1</v>
      </c>
      <c r="IP178">
        <v>17</v>
      </c>
      <c r="IQ178">
        <v>0</v>
      </c>
      <c r="IR178">
        <v>0</v>
      </c>
      <c r="IV178">
        <v>1301</v>
      </c>
      <c r="IW178">
        <v>372</v>
      </c>
      <c r="JA178">
        <v>1</v>
      </c>
      <c r="JB178">
        <v>0</v>
      </c>
      <c r="JC178">
        <v>2</v>
      </c>
      <c r="JD178">
        <v>1319</v>
      </c>
      <c r="JE178">
        <v>1312</v>
      </c>
      <c r="JF178">
        <v>0</v>
      </c>
      <c r="JG178">
        <v>1295</v>
      </c>
      <c r="JH178">
        <v>0</v>
      </c>
      <c r="JJ178">
        <v>180</v>
      </c>
      <c r="JK178">
        <v>460</v>
      </c>
      <c r="JN178">
        <v>335</v>
      </c>
      <c r="JO178">
        <v>485</v>
      </c>
      <c r="JP178">
        <v>0</v>
      </c>
      <c r="JQ178">
        <v>0</v>
      </c>
      <c r="JR178">
        <v>374</v>
      </c>
      <c r="JS178">
        <v>100</v>
      </c>
      <c r="JV178">
        <v>8</v>
      </c>
      <c r="JW178" t="s">
        <v>550</v>
      </c>
      <c r="JX178">
        <v>414</v>
      </c>
      <c r="KA178">
        <v>0</v>
      </c>
      <c r="KB178">
        <v>105</v>
      </c>
      <c r="KC178">
        <v>0</v>
      </c>
      <c r="KD178">
        <v>80</v>
      </c>
      <c r="KF178">
        <v>4</v>
      </c>
      <c r="KG178">
        <v>2</v>
      </c>
      <c r="KH178">
        <v>2</v>
      </c>
      <c r="KI178">
        <v>2</v>
      </c>
      <c r="KJ178">
        <v>0</v>
      </c>
      <c r="KK178">
        <v>1.5</v>
      </c>
      <c r="KL178">
        <v>1.5</v>
      </c>
      <c r="KM178">
        <v>0</v>
      </c>
      <c r="KN178">
        <v>0</v>
      </c>
      <c r="KO178">
        <v>0</v>
      </c>
      <c r="KR178">
        <v>30</v>
      </c>
      <c r="KS178">
        <v>60</v>
      </c>
      <c r="KT178">
        <v>0</v>
      </c>
      <c r="LK178">
        <v>480</v>
      </c>
      <c r="LX178">
        <v>340</v>
      </c>
      <c r="PG178">
        <v>1</v>
      </c>
      <c r="PI178" t="s">
        <v>2530</v>
      </c>
      <c r="PJ178" t="s">
        <v>2531</v>
      </c>
      <c r="PL178" t="s">
        <v>1559</v>
      </c>
      <c r="PP178" t="s">
        <v>2532</v>
      </c>
      <c r="PS178" t="s">
        <v>693</v>
      </c>
      <c r="PX178">
        <v>56</v>
      </c>
      <c r="PY178">
        <v>57</v>
      </c>
      <c r="PZ178" t="s">
        <v>2530</v>
      </c>
      <c r="QA178">
        <v>2</v>
      </c>
      <c r="QB178">
        <v>1295</v>
      </c>
      <c r="QC178">
        <v>69</v>
      </c>
      <c r="QD178">
        <v>69</v>
      </c>
      <c r="QE178" t="s">
        <v>1559</v>
      </c>
      <c r="QF178">
        <v>1</v>
      </c>
      <c r="QG178">
        <v>1319</v>
      </c>
      <c r="QH178">
        <v>66</v>
      </c>
      <c r="QI178">
        <v>66</v>
      </c>
      <c r="QJ178" t="s">
        <v>693</v>
      </c>
      <c r="QK178">
        <v>1</v>
      </c>
      <c r="QL178">
        <v>1319</v>
      </c>
      <c r="QM178">
        <v>63</v>
      </c>
      <c r="QN178">
        <v>63</v>
      </c>
      <c r="QO178" t="s">
        <v>2531</v>
      </c>
      <c r="QP178">
        <v>1</v>
      </c>
      <c r="QQ178">
        <v>1312</v>
      </c>
      <c r="QW178">
        <v>82</v>
      </c>
      <c r="QX178">
        <v>82</v>
      </c>
      <c r="QY178" t="s">
        <v>2532</v>
      </c>
      <c r="QZ178">
        <v>3</v>
      </c>
      <c r="RA178">
        <v>66</v>
      </c>
      <c r="RB178">
        <v>66</v>
      </c>
      <c r="RE178">
        <v>0</v>
      </c>
      <c r="RG178">
        <v>1</v>
      </c>
      <c r="RJ178">
        <v>2</v>
      </c>
      <c r="RK178">
        <v>2</v>
      </c>
      <c r="RL178">
        <v>2</v>
      </c>
      <c r="RO178">
        <v>474</v>
      </c>
      <c r="RP178">
        <v>105</v>
      </c>
      <c r="RQ178">
        <v>854</v>
      </c>
      <c r="RT178">
        <v>180</v>
      </c>
      <c r="RU178">
        <v>154</v>
      </c>
      <c r="RV178" t="s">
        <v>1641</v>
      </c>
      <c r="RW178" t="s">
        <v>653</v>
      </c>
      <c r="RX178">
        <v>15</v>
      </c>
      <c r="RY178">
        <v>4</v>
      </c>
      <c r="RZ178" t="s">
        <v>653</v>
      </c>
      <c r="SA178">
        <v>15</v>
      </c>
      <c r="SB178" t="s">
        <v>2533</v>
      </c>
      <c r="SC178" t="s">
        <v>2533</v>
      </c>
      <c r="SD178">
        <v>1</v>
      </c>
      <c r="SH178">
        <v>0.995</v>
      </c>
      <c r="SI178">
        <v>0.995</v>
      </c>
      <c r="SJ178">
        <v>0.995</v>
      </c>
      <c r="SK178">
        <v>15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1</v>
      </c>
      <c r="TB178">
        <v>0</v>
      </c>
      <c r="TC178">
        <v>0</v>
      </c>
      <c r="TD178">
        <v>7.5</v>
      </c>
      <c r="TE178" t="s">
        <v>553</v>
      </c>
      <c r="TF178" t="s">
        <v>754</v>
      </c>
      <c r="TG178" t="s">
        <v>555</v>
      </c>
      <c r="TI178" t="s">
        <v>546</v>
      </c>
      <c r="TJ178" t="s">
        <v>547</v>
      </c>
      <c r="TL178" t="s">
        <v>2341</v>
      </c>
      <c r="TM178" t="s">
        <v>513</v>
      </c>
      <c r="TN178">
        <v>0</v>
      </c>
      <c r="TO178" t="s">
        <v>557</v>
      </c>
    </row>
    <row r="179" spans="1:535">
      <c r="A179" t="s">
        <v>2534</v>
      </c>
      <c r="B179" t="s">
        <v>564</v>
      </c>
      <c r="C179" t="s">
        <v>509</v>
      </c>
      <c r="D179" t="s">
        <v>2535</v>
      </c>
      <c r="G179" t="s">
        <v>604</v>
      </c>
      <c r="H179" t="s">
        <v>605</v>
      </c>
      <c r="I179" t="s">
        <v>604</v>
      </c>
      <c r="J179" t="s">
        <v>606</v>
      </c>
      <c r="L179" t="s">
        <v>512</v>
      </c>
      <c r="M179" t="s">
        <v>629</v>
      </c>
      <c r="N179" t="s">
        <v>513</v>
      </c>
      <c r="O179" t="s">
        <v>565</v>
      </c>
      <c r="Q179" t="s">
        <v>2536</v>
      </c>
      <c r="R179" t="s">
        <v>517</v>
      </c>
      <c r="S179" t="s">
        <v>2077</v>
      </c>
      <c r="T179" t="s">
        <v>1812</v>
      </c>
      <c r="U179" t="s">
        <v>1482</v>
      </c>
      <c r="V179" t="s">
        <v>1483</v>
      </c>
      <c r="W179" t="s">
        <v>2537</v>
      </c>
      <c r="X179" t="s">
        <v>2336</v>
      </c>
      <c r="Y179" t="s">
        <v>524</v>
      </c>
      <c r="Z179" t="s">
        <v>2538</v>
      </c>
      <c r="AA179" t="s">
        <v>2539</v>
      </c>
      <c r="AB179" t="s">
        <v>2540</v>
      </c>
      <c r="AC179">
        <v>2</v>
      </c>
      <c r="AD179">
        <v>57</v>
      </c>
      <c r="AE179">
        <v>156</v>
      </c>
      <c r="AF179">
        <v>1.5</v>
      </c>
      <c r="AH179">
        <v>0</v>
      </c>
      <c r="AI179" t="s">
        <v>2386</v>
      </c>
      <c r="AJ179">
        <v>170</v>
      </c>
      <c r="AK179">
        <v>1</v>
      </c>
      <c r="AL179">
        <v>1.5</v>
      </c>
      <c r="AM179" t="s">
        <v>529</v>
      </c>
      <c r="AO179">
        <v>0</v>
      </c>
      <c r="AR179">
        <v>0</v>
      </c>
      <c r="AS179">
        <v>1.5</v>
      </c>
      <c r="AV179" t="s">
        <v>2541</v>
      </c>
      <c r="AW179" t="s">
        <v>2541</v>
      </c>
      <c r="AX179">
        <v>1</v>
      </c>
      <c r="AY179">
        <v>240</v>
      </c>
      <c r="AZ179">
        <v>1.5</v>
      </c>
      <c r="BA179" t="s">
        <v>529</v>
      </c>
      <c r="BG179">
        <v>1.5</v>
      </c>
      <c r="BJ179">
        <v>0</v>
      </c>
      <c r="BN179">
        <v>1.5</v>
      </c>
      <c r="BP179" t="s">
        <v>2542</v>
      </c>
      <c r="BQ179">
        <v>82</v>
      </c>
      <c r="BR179">
        <v>2</v>
      </c>
      <c r="BS179" t="s">
        <v>1562</v>
      </c>
      <c r="BT179">
        <v>180</v>
      </c>
      <c r="BU179">
        <v>0.5</v>
      </c>
      <c r="BV179" t="s">
        <v>1562</v>
      </c>
      <c r="BW179">
        <v>360</v>
      </c>
      <c r="BX179">
        <v>1</v>
      </c>
      <c r="BY179" t="s">
        <v>1491</v>
      </c>
      <c r="BZ179">
        <v>300</v>
      </c>
      <c r="CA179">
        <v>420</v>
      </c>
      <c r="CB179" t="s">
        <v>1492</v>
      </c>
      <c r="CC179" t="s">
        <v>1492</v>
      </c>
      <c r="CD179">
        <v>384</v>
      </c>
      <c r="CE179" t="s">
        <v>1493</v>
      </c>
      <c r="CF179">
        <v>15</v>
      </c>
      <c r="CG179" t="s">
        <v>1563</v>
      </c>
      <c r="CH179" t="s">
        <v>1563</v>
      </c>
      <c r="CI179">
        <v>60</v>
      </c>
      <c r="CJ179">
        <v>1122</v>
      </c>
      <c r="CK179">
        <v>2</v>
      </c>
      <c r="CL179">
        <v>1222</v>
      </c>
      <c r="CM179">
        <v>2</v>
      </c>
      <c r="CN179" t="s">
        <v>1495</v>
      </c>
      <c r="CO179" t="s">
        <v>1473</v>
      </c>
      <c r="CP179" t="s">
        <v>1474</v>
      </c>
      <c r="CQ179" t="s">
        <v>649</v>
      </c>
      <c r="CR179" t="s">
        <v>650</v>
      </c>
      <c r="CS179" t="s">
        <v>542</v>
      </c>
      <c r="CT179">
        <v>340</v>
      </c>
      <c r="CU179">
        <v>5</v>
      </c>
      <c r="CV179">
        <v>1.2</v>
      </c>
      <c r="CW179">
        <v>1136</v>
      </c>
      <c r="CX179">
        <v>546</v>
      </c>
      <c r="DD179">
        <v>0</v>
      </c>
      <c r="DE179" t="s">
        <v>543</v>
      </c>
      <c r="DF179">
        <v>480</v>
      </c>
      <c r="DG179">
        <v>3</v>
      </c>
      <c r="DH179">
        <v>1.18</v>
      </c>
      <c r="DI179">
        <v>1134</v>
      </c>
      <c r="DJ179">
        <v>866</v>
      </c>
      <c r="DW179" t="s">
        <v>544</v>
      </c>
      <c r="DX179">
        <v>7.5</v>
      </c>
      <c r="EA179">
        <v>1204.3</v>
      </c>
      <c r="EB179">
        <v>157</v>
      </c>
      <c r="EC179" t="s">
        <v>545</v>
      </c>
      <c r="ED179">
        <v>25</v>
      </c>
      <c r="EE179">
        <v>3</v>
      </c>
      <c r="EG179">
        <v>1235</v>
      </c>
      <c r="EH179">
        <v>135</v>
      </c>
      <c r="EJ179">
        <v>0</v>
      </c>
      <c r="EK179">
        <v>1</v>
      </c>
      <c r="EN179">
        <v>0</v>
      </c>
      <c r="EP179" t="s">
        <v>546</v>
      </c>
      <c r="EQ179">
        <v>80</v>
      </c>
      <c r="ER179">
        <v>3</v>
      </c>
      <c r="ES179">
        <v>4.5</v>
      </c>
      <c r="ET179">
        <v>1114</v>
      </c>
      <c r="EU179">
        <v>278.3</v>
      </c>
      <c r="EV179">
        <v>310</v>
      </c>
      <c r="EW179" t="s">
        <v>547</v>
      </c>
      <c r="EX179">
        <v>70</v>
      </c>
      <c r="EY179">
        <v>2</v>
      </c>
      <c r="EZ179">
        <v>4</v>
      </c>
      <c r="FA179">
        <v>1114</v>
      </c>
      <c r="FB179">
        <v>197.2</v>
      </c>
      <c r="FC179">
        <v>220</v>
      </c>
      <c r="FE179">
        <v>0</v>
      </c>
      <c r="FF179">
        <v>2</v>
      </c>
      <c r="FI179">
        <v>0</v>
      </c>
      <c r="FK179" t="s">
        <v>548</v>
      </c>
      <c r="FL179">
        <v>0.4</v>
      </c>
      <c r="FM179">
        <v>80</v>
      </c>
      <c r="FN179">
        <v>130</v>
      </c>
      <c r="FY179" t="s">
        <v>651</v>
      </c>
      <c r="FZ179">
        <v>1</v>
      </c>
      <c r="GA179">
        <v>20</v>
      </c>
      <c r="GB179">
        <v>146</v>
      </c>
      <c r="GG179" t="s">
        <v>651</v>
      </c>
      <c r="GH179">
        <v>1</v>
      </c>
      <c r="GI179">
        <v>20</v>
      </c>
      <c r="GJ179">
        <v>146</v>
      </c>
      <c r="HC179">
        <v>0.1</v>
      </c>
      <c r="HD179">
        <v>3</v>
      </c>
      <c r="HE179">
        <v>3</v>
      </c>
      <c r="HF179">
        <v>3</v>
      </c>
      <c r="HG179">
        <v>3</v>
      </c>
      <c r="HH179">
        <v>3</v>
      </c>
      <c r="HI179">
        <v>135</v>
      </c>
      <c r="HJ179">
        <v>3</v>
      </c>
      <c r="HK179">
        <v>55</v>
      </c>
      <c r="HL179">
        <v>2</v>
      </c>
      <c r="HM179">
        <v>0</v>
      </c>
      <c r="HN179">
        <v>2</v>
      </c>
      <c r="HO179">
        <v>65</v>
      </c>
      <c r="HP179">
        <v>3</v>
      </c>
      <c r="HQ179">
        <v>0</v>
      </c>
      <c r="HR179">
        <v>2</v>
      </c>
      <c r="HS179">
        <v>3056</v>
      </c>
      <c r="HT179">
        <v>90</v>
      </c>
      <c r="HU179">
        <v>180</v>
      </c>
      <c r="HW179">
        <v>0</v>
      </c>
      <c r="HX179">
        <v>380</v>
      </c>
      <c r="HY179">
        <v>0.18</v>
      </c>
      <c r="IA179">
        <v>0.15</v>
      </c>
      <c r="IB179">
        <v>0</v>
      </c>
      <c r="IC179">
        <v>180</v>
      </c>
      <c r="ID179">
        <v>110</v>
      </c>
      <c r="IE179">
        <v>0</v>
      </c>
      <c r="IF179">
        <v>0</v>
      </c>
      <c r="IH179" t="s">
        <v>549</v>
      </c>
      <c r="IO179">
        <v>1</v>
      </c>
      <c r="IP179">
        <v>15</v>
      </c>
      <c r="IQ179">
        <v>0</v>
      </c>
      <c r="IR179">
        <v>1</v>
      </c>
      <c r="IV179">
        <v>1122</v>
      </c>
      <c r="IW179">
        <v>360</v>
      </c>
      <c r="JA179">
        <v>1</v>
      </c>
      <c r="JB179">
        <v>0</v>
      </c>
      <c r="JC179">
        <v>2</v>
      </c>
      <c r="JD179">
        <v>1136</v>
      </c>
      <c r="JE179">
        <v>1134</v>
      </c>
      <c r="JF179">
        <v>0</v>
      </c>
      <c r="JG179">
        <v>1114</v>
      </c>
      <c r="JH179">
        <v>0</v>
      </c>
      <c r="JJ179">
        <v>180</v>
      </c>
      <c r="JK179">
        <v>380</v>
      </c>
      <c r="JN179">
        <v>340</v>
      </c>
      <c r="JO179">
        <v>480</v>
      </c>
      <c r="JP179">
        <v>0</v>
      </c>
      <c r="JQ179">
        <v>0</v>
      </c>
      <c r="JR179">
        <v>312</v>
      </c>
      <c r="JS179">
        <v>135</v>
      </c>
      <c r="JV179">
        <v>8</v>
      </c>
      <c r="JW179" t="s">
        <v>550</v>
      </c>
      <c r="JX179">
        <v>0</v>
      </c>
      <c r="KA179">
        <v>0</v>
      </c>
      <c r="KB179">
        <v>110</v>
      </c>
      <c r="KC179">
        <v>0</v>
      </c>
      <c r="KD179">
        <v>80</v>
      </c>
      <c r="KF179">
        <v>4</v>
      </c>
      <c r="KG179">
        <v>2</v>
      </c>
      <c r="KH179">
        <v>2</v>
      </c>
      <c r="KI179">
        <v>2</v>
      </c>
      <c r="KJ179">
        <v>0</v>
      </c>
      <c r="KK179">
        <v>1.5</v>
      </c>
      <c r="KL179">
        <v>1.5</v>
      </c>
      <c r="KM179">
        <v>0</v>
      </c>
      <c r="KN179">
        <v>0</v>
      </c>
      <c r="KO179">
        <v>0</v>
      </c>
      <c r="KR179">
        <v>50</v>
      </c>
      <c r="KS179">
        <v>60</v>
      </c>
      <c r="KT179">
        <v>0</v>
      </c>
      <c r="LK179">
        <v>480</v>
      </c>
      <c r="PG179">
        <v>1</v>
      </c>
      <c r="PI179" t="s">
        <v>2540</v>
      </c>
      <c r="PJ179" t="s">
        <v>2541</v>
      </c>
      <c r="PL179" t="s">
        <v>2386</v>
      </c>
      <c r="PP179" t="s">
        <v>2542</v>
      </c>
      <c r="PX179">
        <v>56</v>
      </c>
      <c r="PY179">
        <v>57</v>
      </c>
      <c r="PZ179" t="s">
        <v>2540</v>
      </c>
      <c r="QA179">
        <v>1</v>
      </c>
      <c r="QB179">
        <v>1114</v>
      </c>
      <c r="QC179">
        <v>69</v>
      </c>
      <c r="QD179">
        <v>69</v>
      </c>
      <c r="QE179" t="s">
        <v>2386</v>
      </c>
      <c r="QF179">
        <v>1</v>
      </c>
      <c r="QG179">
        <v>1136</v>
      </c>
      <c r="QH179">
        <v>66</v>
      </c>
      <c r="QI179">
        <v>66</v>
      </c>
      <c r="QL179">
        <v>0</v>
      </c>
      <c r="QM179">
        <v>63</v>
      </c>
      <c r="QN179">
        <v>63</v>
      </c>
      <c r="QO179" t="s">
        <v>2541</v>
      </c>
      <c r="QP179">
        <v>1</v>
      </c>
      <c r="QQ179">
        <v>1134</v>
      </c>
      <c r="QW179">
        <v>82</v>
      </c>
      <c r="QX179">
        <v>82</v>
      </c>
      <c r="QY179" t="s">
        <v>2542</v>
      </c>
      <c r="QZ179">
        <v>1</v>
      </c>
      <c r="RA179">
        <v>66</v>
      </c>
      <c r="RB179">
        <v>66</v>
      </c>
      <c r="RE179">
        <v>0</v>
      </c>
      <c r="RG179">
        <v>1</v>
      </c>
      <c r="RJ179">
        <v>2</v>
      </c>
      <c r="RL179">
        <v>2</v>
      </c>
      <c r="RO179">
        <v>481</v>
      </c>
      <c r="RQ179">
        <v>764</v>
      </c>
      <c r="RT179">
        <v>157</v>
      </c>
      <c r="RU179">
        <v>135</v>
      </c>
      <c r="RV179" t="s">
        <v>1564</v>
      </c>
      <c r="RW179" t="s">
        <v>1498</v>
      </c>
      <c r="RX179">
        <v>15</v>
      </c>
      <c r="RY179">
        <v>4</v>
      </c>
      <c r="RZ179" t="s">
        <v>1498</v>
      </c>
      <c r="SA179">
        <v>15</v>
      </c>
      <c r="SB179" t="s">
        <v>2543</v>
      </c>
      <c r="SC179" t="s">
        <v>2543</v>
      </c>
      <c r="SD179">
        <v>1</v>
      </c>
      <c r="SH179">
        <v>0.995</v>
      </c>
      <c r="SI179">
        <v>0.995</v>
      </c>
      <c r="SJ179">
        <v>0.995</v>
      </c>
      <c r="SK179">
        <v>15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TB179">
        <v>0</v>
      </c>
      <c r="TC179">
        <v>0</v>
      </c>
      <c r="TD179">
        <v>7.5</v>
      </c>
      <c r="TE179" t="s">
        <v>553</v>
      </c>
      <c r="TF179" t="s">
        <v>754</v>
      </c>
      <c r="TG179" t="s">
        <v>555</v>
      </c>
      <c r="TI179" t="s">
        <v>546</v>
      </c>
      <c r="TJ179" t="s">
        <v>547</v>
      </c>
      <c r="TL179" t="s">
        <v>2341</v>
      </c>
      <c r="TM179" t="s">
        <v>513</v>
      </c>
      <c r="TN179">
        <v>0</v>
      </c>
      <c r="TO179" t="s">
        <v>557</v>
      </c>
    </row>
    <row r="180" spans="1:535">
      <c r="A180" t="s">
        <v>2544</v>
      </c>
      <c r="B180" t="s">
        <v>629</v>
      </c>
      <c r="C180" t="s">
        <v>509</v>
      </c>
      <c r="D180" t="s">
        <v>2433</v>
      </c>
      <c r="G180" t="s">
        <v>604</v>
      </c>
      <c r="H180" t="s">
        <v>605</v>
      </c>
      <c r="I180" t="s">
        <v>628</v>
      </c>
      <c r="J180" t="s">
        <v>606</v>
      </c>
      <c r="L180" t="s">
        <v>512</v>
      </c>
      <c r="M180" t="s">
        <v>711</v>
      </c>
      <c r="N180" t="s">
        <v>513</v>
      </c>
      <c r="O180" t="s">
        <v>565</v>
      </c>
      <c r="Q180" t="s">
        <v>2545</v>
      </c>
      <c r="R180" t="s">
        <v>517</v>
      </c>
      <c r="S180" t="s">
        <v>1728</v>
      </c>
      <c r="T180" t="s">
        <v>759</v>
      </c>
      <c r="U180" t="s">
        <v>520</v>
      </c>
      <c r="V180" t="s">
        <v>521</v>
      </c>
      <c r="W180" t="s">
        <v>2546</v>
      </c>
      <c r="X180" t="s">
        <v>2336</v>
      </c>
      <c r="Y180" t="s">
        <v>524</v>
      </c>
      <c r="Z180" t="s">
        <v>2547</v>
      </c>
      <c r="AA180" t="s">
        <v>2548</v>
      </c>
      <c r="AB180" t="s">
        <v>2549</v>
      </c>
      <c r="AC180">
        <v>2</v>
      </c>
      <c r="AD180">
        <v>57</v>
      </c>
      <c r="AE180">
        <v>177</v>
      </c>
      <c r="AF180">
        <v>1.5</v>
      </c>
      <c r="AH180">
        <v>0</v>
      </c>
      <c r="AI180" t="s">
        <v>944</v>
      </c>
      <c r="AJ180">
        <v>187.5</v>
      </c>
      <c r="AK180">
        <v>1</v>
      </c>
      <c r="AL180">
        <v>1.5</v>
      </c>
      <c r="AM180" t="s">
        <v>529</v>
      </c>
      <c r="AO180">
        <v>0</v>
      </c>
      <c r="AR180">
        <v>0</v>
      </c>
      <c r="AS180">
        <v>1.5</v>
      </c>
      <c r="AV180" t="s">
        <v>2550</v>
      </c>
      <c r="AW180" t="s">
        <v>2550</v>
      </c>
      <c r="AX180">
        <v>1</v>
      </c>
      <c r="AY180">
        <v>260</v>
      </c>
      <c r="AZ180">
        <v>1.5</v>
      </c>
      <c r="BA180" t="s">
        <v>529</v>
      </c>
      <c r="BG180">
        <v>1.5</v>
      </c>
      <c r="BJ180">
        <v>0</v>
      </c>
      <c r="BN180">
        <v>1.5</v>
      </c>
      <c r="BP180" t="s">
        <v>2551</v>
      </c>
      <c r="BQ180">
        <v>84</v>
      </c>
      <c r="BR180">
        <v>2</v>
      </c>
      <c r="BS180" t="s">
        <v>737</v>
      </c>
      <c r="BT180">
        <v>199</v>
      </c>
      <c r="BU180">
        <v>0.5</v>
      </c>
      <c r="BV180" t="s">
        <v>737</v>
      </c>
      <c r="BW180">
        <v>398</v>
      </c>
      <c r="BX180">
        <v>1</v>
      </c>
      <c r="BY180" t="s">
        <v>533</v>
      </c>
      <c r="BZ180">
        <v>300</v>
      </c>
      <c r="CA180">
        <v>460</v>
      </c>
      <c r="CB180" t="s">
        <v>534</v>
      </c>
      <c r="CC180" t="s">
        <v>534</v>
      </c>
      <c r="CD180">
        <v>420</v>
      </c>
      <c r="CE180" t="s">
        <v>535</v>
      </c>
      <c r="CF180">
        <v>15</v>
      </c>
      <c r="CG180" t="s">
        <v>645</v>
      </c>
      <c r="CH180" t="s">
        <v>645</v>
      </c>
      <c r="CI180">
        <v>80</v>
      </c>
      <c r="CJ180">
        <v>1200</v>
      </c>
      <c r="CK180">
        <v>2</v>
      </c>
      <c r="CL180">
        <v>1301</v>
      </c>
      <c r="CM180">
        <v>2</v>
      </c>
      <c r="CN180" t="s">
        <v>537</v>
      </c>
      <c r="CO180" t="s">
        <v>538</v>
      </c>
      <c r="CP180" t="s">
        <v>539</v>
      </c>
      <c r="CQ180" t="s">
        <v>649</v>
      </c>
      <c r="CR180" t="s">
        <v>650</v>
      </c>
      <c r="CS180" t="s">
        <v>542</v>
      </c>
      <c r="CT180">
        <v>375</v>
      </c>
      <c r="CU180">
        <v>5</v>
      </c>
      <c r="CV180">
        <v>1.2</v>
      </c>
      <c r="CW180">
        <v>1213</v>
      </c>
      <c r="CX180">
        <v>644</v>
      </c>
      <c r="DD180">
        <v>0</v>
      </c>
      <c r="DE180" t="s">
        <v>543</v>
      </c>
      <c r="DF180">
        <v>520</v>
      </c>
      <c r="DG180">
        <v>3</v>
      </c>
      <c r="DH180">
        <v>1.18</v>
      </c>
      <c r="DI180">
        <v>1211</v>
      </c>
      <c r="DJ180">
        <v>1039</v>
      </c>
      <c r="DW180" t="s">
        <v>544</v>
      </c>
      <c r="DX180">
        <v>7.5</v>
      </c>
      <c r="EA180">
        <v>1284.1</v>
      </c>
      <c r="EB180">
        <v>228</v>
      </c>
      <c r="EC180" t="s">
        <v>545</v>
      </c>
      <c r="ED180">
        <v>25</v>
      </c>
      <c r="EE180">
        <v>3</v>
      </c>
      <c r="EG180">
        <v>1325</v>
      </c>
      <c r="EH180">
        <v>144</v>
      </c>
      <c r="EJ180">
        <v>0</v>
      </c>
      <c r="EK180">
        <v>1</v>
      </c>
      <c r="EN180">
        <v>0</v>
      </c>
      <c r="EP180" t="s">
        <v>546</v>
      </c>
      <c r="EQ180">
        <v>90</v>
      </c>
      <c r="ER180">
        <v>3</v>
      </c>
      <c r="ES180">
        <v>5.5</v>
      </c>
      <c r="ET180">
        <v>1198</v>
      </c>
      <c r="EU180">
        <v>376.5</v>
      </c>
      <c r="EV180">
        <v>451</v>
      </c>
      <c r="EW180" t="s">
        <v>547</v>
      </c>
      <c r="EX180">
        <v>70</v>
      </c>
      <c r="EY180">
        <v>2</v>
      </c>
      <c r="EZ180">
        <v>4.3</v>
      </c>
      <c r="FA180">
        <v>1198</v>
      </c>
      <c r="FB180">
        <v>208.3</v>
      </c>
      <c r="FC180">
        <v>250</v>
      </c>
      <c r="FE180">
        <v>0</v>
      </c>
      <c r="FF180">
        <v>2</v>
      </c>
      <c r="FI180">
        <v>0</v>
      </c>
      <c r="FK180" t="s">
        <v>548</v>
      </c>
      <c r="FL180">
        <v>0.4</v>
      </c>
      <c r="FM180">
        <v>95</v>
      </c>
      <c r="FN180">
        <v>140</v>
      </c>
      <c r="FR180" t="s">
        <v>548</v>
      </c>
      <c r="FS180">
        <v>0.4</v>
      </c>
      <c r="FT180">
        <v>30</v>
      </c>
      <c r="FU180">
        <v>370</v>
      </c>
      <c r="FY180" t="s">
        <v>651</v>
      </c>
      <c r="FZ180">
        <v>1</v>
      </c>
      <c r="GA180">
        <v>20</v>
      </c>
      <c r="GB180">
        <v>161</v>
      </c>
      <c r="GG180" t="s">
        <v>651</v>
      </c>
      <c r="GH180">
        <v>1</v>
      </c>
      <c r="GI180">
        <v>20</v>
      </c>
      <c r="GJ180">
        <v>161</v>
      </c>
      <c r="HC180">
        <v>0.1</v>
      </c>
      <c r="HD180">
        <v>3</v>
      </c>
      <c r="HE180">
        <v>3</v>
      </c>
      <c r="HF180">
        <v>3</v>
      </c>
      <c r="HG180">
        <v>3</v>
      </c>
      <c r="HH180">
        <v>3</v>
      </c>
      <c r="HI180">
        <v>145</v>
      </c>
      <c r="HJ180">
        <v>3</v>
      </c>
      <c r="HK180">
        <v>55</v>
      </c>
      <c r="HL180">
        <v>2</v>
      </c>
      <c r="HM180">
        <v>0</v>
      </c>
      <c r="HN180">
        <v>2</v>
      </c>
      <c r="HO180">
        <v>75</v>
      </c>
      <c r="HP180">
        <v>3</v>
      </c>
      <c r="HQ180">
        <v>0</v>
      </c>
      <c r="HR180">
        <v>2</v>
      </c>
      <c r="HS180">
        <v>3829</v>
      </c>
      <c r="HT180">
        <v>110</v>
      </c>
      <c r="HU180">
        <v>180</v>
      </c>
      <c r="HW180">
        <v>0</v>
      </c>
      <c r="HX180">
        <v>420</v>
      </c>
      <c r="HY180">
        <v>0.18</v>
      </c>
      <c r="IA180">
        <v>0.15</v>
      </c>
      <c r="IB180">
        <v>0</v>
      </c>
      <c r="IC180">
        <v>180</v>
      </c>
      <c r="ID180">
        <v>110</v>
      </c>
      <c r="IE180">
        <v>0</v>
      </c>
      <c r="IF180">
        <v>0</v>
      </c>
      <c r="IH180" t="s">
        <v>549</v>
      </c>
      <c r="IO180">
        <v>1</v>
      </c>
      <c r="IP180">
        <v>16</v>
      </c>
      <c r="IQ180">
        <v>0</v>
      </c>
      <c r="IR180">
        <v>1</v>
      </c>
      <c r="IV180">
        <v>1200</v>
      </c>
      <c r="IW180">
        <v>398</v>
      </c>
      <c r="JA180">
        <v>1</v>
      </c>
      <c r="JB180">
        <v>0</v>
      </c>
      <c r="JC180">
        <v>2</v>
      </c>
      <c r="JD180">
        <v>1213</v>
      </c>
      <c r="JE180">
        <v>1211</v>
      </c>
      <c r="JF180">
        <v>0</v>
      </c>
      <c r="JG180">
        <v>1198</v>
      </c>
      <c r="JH180">
        <v>0</v>
      </c>
      <c r="JJ180">
        <v>180</v>
      </c>
      <c r="JK180">
        <v>420</v>
      </c>
      <c r="JN180">
        <v>375</v>
      </c>
      <c r="JO180">
        <v>520</v>
      </c>
      <c r="JP180">
        <v>0</v>
      </c>
      <c r="JQ180">
        <v>0</v>
      </c>
      <c r="JR180">
        <v>354</v>
      </c>
      <c r="JS180">
        <v>145</v>
      </c>
      <c r="JV180">
        <v>8</v>
      </c>
      <c r="JW180" t="s">
        <v>550</v>
      </c>
      <c r="JX180">
        <v>0</v>
      </c>
      <c r="KA180">
        <v>0</v>
      </c>
      <c r="KB180">
        <v>110</v>
      </c>
      <c r="KC180">
        <v>0</v>
      </c>
      <c r="KD180">
        <v>80</v>
      </c>
      <c r="KF180">
        <v>4</v>
      </c>
      <c r="KG180">
        <v>2</v>
      </c>
      <c r="KH180">
        <v>2</v>
      </c>
      <c r="KI180">
        <v>2</v>
      </c>
      <c r="KJ180">
        <v>0</v>
      </c>
      <c r="KK180">
        <v>1.5</v>
      </c>
      <c r="KL180">
        <v>1.5</v>
      </c>
      <c r="KM180">
        <v>0</v>
      </c>
      <c r="KN180">
        <v>0</v>
      </c>
      <c r="KO180">
        <v>0</v>
      </c>
      <c r="KR180">
        <v>30</v>
      </c>
      <c r="KS180">
        <v>60</v>
      </c>
      <c r="KT180">
        <v>0</v>
      </c>
      <c r="LK180">
        <v>480</v>
      </c>
      <c r="PG180">
        <v>1</v>
      </c>
      <c r="PI180" t="s">
        <v>2549</v>
      </c>
      <c r="PJ180" t="s">
        <v>2550</v>
      </c>
      <c r="PL180" t="s">
        <v>944</v>
      </c>
      <c r="PP180" t="s">
        <v>2551</v>
      </c>
      <c r="PX180">
        <v>56</v>
      </c>
      <c r="PY180">
        <v>57</v>
      </c>
      <c r="PZ180" t="s">
        <v>2549</v>
      </c>
      <c r="QA180">
        <v>2</v>
      </c>
      <c r="QB180">
        <v>1198</v>
      </c>
      <c r="QC180">
        <v>69</v>
      </c>
      <c r="QD180">
        <v>69</v>
      </c>
      <c r="QE180" t="s">
        <v>944</v>
      </c>
      <c r="QF180">
        <v>1</v>
      </c>
      <c r="QG180">
        <v>1213</v>
      </c>
      <c r="QH180">
        <v>66</v>
      </c>
      <c r="QI180">
        <v>66</v>
      </c>
      <c r="QL180">
        <v>0</v>
      </c>
      <c r="QM180">
        <v>63</v>
      </c>
      <c r="QN180">
        <v>63</v>
      </c>
      <c r="QO180" t="s">
        <v>2550</v>
      </c>
      <c r="QP180">
        <v>1</v>
      </c>
      <c r="QQ180">
        <v>1211</v>
      </c>
      <c r="QW180">
        <v>82</v>
      </c>
      <c r="QX180">
        <v>84</v>
      </c>
      <c r="QY180" t="s">
        <v>2551</v>
      </c>
      <c r="QZ180">
        <v>1</v>
      </c>
      <c r="RA180">
        <v>66</v>
      </c>
      <c r="RB180">
        <v>66</v>
      </c>
      <c r="RE180">
        <v>0</v>
      </c>
      <c r="RG180">
        <v>1</v>
      </c>
      <c r="RJ180">
        <v>1</v>
      </c>
      <c r="RL180">
        <v>2</v>
      </c>
      <c r="RO180">
        <v>531</v>
      </c>
      <c r="RQ180">
        <v>858</v>
      </c>
      <c r="RT180">
        <v>228</v>
      </c>
      <c r="RU180">
        <v>144</v>
      </c>
      <c r="RV180" t="s">
        <v>739</v>
      </c>
      <c r="RW180" t="s">
        <v>552</v>
      </c>
      <c r="RX180">
        <v>15</v>
      </c>
      <c r="RY180">
        <v>4</v>
      </c>
      <c r="RZ180" t="s">
        <v>552</v>
      </c>
      <c r="SA180">
        <v>15</v>
      </c>
      <c r="SB180" t="s">
        <v>2552</v>
      </c>
      <c r="SC180" t="s">
        <v>2552</v>
      </c>
      <c r="SD180">
        <v>1</v>
      </c>
      <c r="SH180">
        <v>0.995</v>
      </c>
      <c r="SI180">
        <v>0.995</v>
      </c>
      <c r="SJ180">
        <v>0.995</v>
      </c>
      <c r="SK180">
        <v>15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TB180">
        <v>0</v>
      </c>
      <c r="TC180">
        <v>0</v>
      </c>
      <c r="TD180">
        <v>7.5</v>
      </c>
      <c r="TE180" t="s">
        <v>553</v>
      </c>
      <c r="TF180" t="s">
        <v>624</v>
      </c>
      <c r="TG180" t="s">
        <v>555</v>
      </c>
      <c r="TI180" t="s">
        <v>546</v>
      </c>
      <c r="TJ180" t="s">
        <v>547</v>
      </c>
      <c r="TL180" t="s">
        <v>2341</v>
      </c>
      <c r="TM180" t="s">
        <v>513</v>
      </c>
      <c r="TN180">
        <v>0</v>
      </c>
      <c r="TO180" t="s">
        <v>557</v>
      </c>
    </row>
    <row r="181" spans="1:535">
      <c r="A181" t="s">
        <v>2553</v>
      </c>
      <c r="B181" t="s">
        <v>897</v>
      </c>
      <c r="C181" t="s">
        <v>509</v>
      </c>
      <c r="D181" t="s">
        <v>2554</v>
      </c>
      <c r="G181" t="s">
        <v>604</v>
      </c>
      <c r="H181" t="s">
        <v>605</v>
      </c>
      <c r="I181" t="s">
        <v>628</v>
      </c>
      <c r="J181" t="s">
        <v>606</v>
      </c>
      <c r="L181" t="s">
        <v>512</v>
      </c>
      <c r="M181" t="s">
        <v>657</v>
      </c>
      <c r="N181" t="s">
        <v>513</v>
      </c>
      <c r="O181" t="s">
        <v>607</v>
      </c>
      <c r="Q181" t="s">
        <v>2555</v>
      </c>
      <c r="R181" t="s">
        <v>517</v>
      </c>
      <c r="S181" t="s">
        <v>1059</v>
      </c>
      <c r="T181" t="s">
        <v>1060</v>
      </c>
      <c r="U181" t="s">
        <v>633</v>
      </c>
      <c r="V181" t="s">
        <v>634</v>
      </c>
      <c r="W181" t="s">
        <v>2556</v>
      </c>
      <c r="X181" t="s">
        <v>2336</v>
      </c>
      <c r="Y181" t="s">
        <v>574</v>
      </c>
      <c r="Z181" t="s">
        <v>2557</v>
      </c>
      <c r="AA181" t="s">
        <v>2558</v>
      </c>
      <c r="AB181" t="s">
        <v>2559</v>
      </c>
      <c r="AC181">
        <v>2</v>
      </c>
      <c r="AD181">
        <v>57</v>
      </c>
      <c r="AE181">
        <v>245</v>
      </c>
      <c r="AF181">
        <v>1.5</v>
      </c>
      <c r="AH181">
        <v>0</v>
      </c>
      <c r="AI181" t="s">
        <v>2560</v>
      </c>
      <c r="AJ181">
        <v>255</v>
      </c>
      <c r="AK181">
        <v>1</v>
      </c>
      <c r="AL181">
        <v>1.5</v>
      </c>
      <c r="AM181" t="s">
        <v>529</v>
      </c>
      <c r="AO181">
        <v>0</v>
      </c>
      <c r="AR181">
        <v>0</v>
      </c>
      <c r="AS181">
        <v>1.5</v>
      </c>
      <c r="AU181" t="s">
        <v>2561</v>
      </c>
      <c r="AW181" t="s">
        <v>2561</v>
      </c>
      <c r="AX181">
        <v>1</v>
      </c>
      <c r="AY181">
        <v>360</v>
      </c>
      <c r="AZ181">
        <v>1.5</v>
      </c>
      <c r="BA181" t="s">
        <v>529</v>
      </c>
      <c r="BB181" t="s">
        <v>2562</v>
      </c>
      <c r="BD181" t="s">
        <v>2562</v>
      </c>
      <c r="BE181">
        <v>1</v>
      </c>
      <c r="BF181">
        <v>290</v>
      </c>
      <c r="BG181">
        <v>1.5</v>
      </c>
      <c r="BJ181">
        <v>0</v>
      </c>
      <c r="BN181">
        <v>1.5</v>
      </c>
      <c r="BP181" t="s">
        <v>2563</v>
      </c>
      <c r="BQ181">
        <v>88</v>
      </c>
      <c r="BR181">
        <v>2</v>
      </c>
      <c r="BS181" t="s">
        <v>1069</v>
      </c>
      <c r="BT181">
        <v>267</v>
      </c>
      <c r="BU181">
        <v>0.5</v>
      </c>
      <c r="BV181" t="s">
        <v>1069</v>
      </c>
      <c r="BW181">
        <v>534</v>
      </c>
      <c r="BX181">
        <v>1</v>
      </c>
      <c r="BY181" t="s">
        <v>643</v>
      </c>
      <c r="BZ181">
        <v>470</v>
      </c>
      <c r="CA181">
        <v>610</v>
      </c>
      <c r="CB181" t="s">
        <v>644</v>
      </c>
      <c r="CC181" t="s">
        <v>1070</v>
      </c>
      <c r="CD181">
        <v>550</v>
      </c>
      <c r="CE181" t="s">
        <v>544</v>
      </c>
      <c r="CF181">
        <v>15</v>
      </c>
      <c r="CG181" t="s">
        <v>1024</v>
      </c>
      <c r="CH181" t="s">
        <v>1024</v>
      </c>
      <c r="CI181">
        <v>70</v>
      </c>
      <c r="CJ181">
        <v>1301</v>
      </c>
      <c r="CK181">
        <v>2</v>
      </c>
      <c r="CL181">
        <v>1395</v>
      </c>
      <c r="CM181">
        <v>2</v>
      </c>
      <c r="CN181" t="s">
        <v>646</v>
      </c>
      <c r="CO181" t="s">
        <v>647</v>
      </c>
      <c r="CP181" t="s">
        <v>648</v>
      </c>
      <c r="CQ181" t="s">
        <v>621</v>
      </c>
      <c r="CR181" t="s">
        <v>541</v>
      </c>
      <c r="CS181" t="s">
        <v>542</v>
      </c>
      <c r="CT181">
        <v>510</v>
      </c>
      <c r="CU181">
        <v>5</v>
      </c>
      <c r="CV181">
        <v>1.2</v>
      </c>
      <c r="CW181">
        <v>1314</v>
      </c>
      <c r="CX181">
        <v>950</v>
      </c>
      <c r="DD181">
        <v>0</v>
      </c>
      <c r="DE181" t="s">
        <v>543</v>
      </c>
      <c r="DF181">
        <v>720</v>
      </c>
      <c r="DG181">
        <v>3</v>
      </c>
      <c r="DH181">
        <v>1.18</v>
      </c>
      <c r="DI181">
        <v>1312</v>
      </c>
      <c r="DJ181">
        <v>1385</v>
      </c>
      <c r="DK181" t="s">
        <v>543</v>
      </c>
      <c r="DL181">
        <v>580</v>
      </c>
      <c r="DM181">
        <v>3</v>
      </c>
      <c r="DN181">
        <v>1.18</v>
      </c>
      <c r="DO181">
        <v>1319</v>
      </c>
      <c r="DP181">
        <v>1072</v>
      </c>
      <c r="DW181" t="s">
        <v>544</v>
      </c>
      <c r="DX181">
        <v>7.5</v>
      </c>
      <c r="EA181">
        <v>1386.2</v>
      </c>
      <c r="EB181">
        <v>327</v>
      </c>
      <c r="EC181" t="s">
        <v>545</v>
      </c>
      <c r="ED181">
        <v>45</v>
      </c>
      <c r="EE181">
        <v>3</v>
      </c>
      <c r="EG181">
        <v>1437</v>
      </c>
      <c r="EH181">
        <v>263</v>
      </c>
      <c r="EJ181">
        <v>0</v>
      </c>
      <c r="EK181">
        <v>1</v>
      </c>
      <c r="EN181">
        <v>0</v>
      </c>
      <c r="EP181" t="s">
        <v>546</v>
      </c>
      <c r="EQ181">
        <v>155</v>
      </c>
      <c r="ER181">
        <v>3</v>
      </c>
      <c r="ES181">
        <v>5.5</v>
      </c>
      <c r="ET181">
        <v>1298</v>
      </c>
      <c r="EU181">
        <v>704.3</v>
      </c>
      <c r="EV181">
        <v>914</v>
      </c>
      <c r="EW181" t="s">
        <v>547</v>
      </c>
      <c r="EX181">
        <v>70</v>
      </c>
      <c r="EY181">
        <v>2</v>
      </c>
      <c r="EZ181">
        <v>4.3</v>
      </c>
      <c r="FA181">
        <v>1298</v>
      </c>
      <c r="FB181">
        <v>208.3</v>
      </c>
      <c r="FC181">
        <v>270</v>
      </c>
      <c r="FE181">
        <v>0</v>
      </c>
      <c r="FF181">
        <v>2</v>
      </c>
      <c r="FI181">
        <v>0</v>
      </c>
      <c r="FK181" t="s">
        <v>548</v>
      </c>
      <c r="FL181">
        <v>0.4</v>
      </c>
      <c r="FM181">
        <v>90</v>
      </c>
      <c r="FN181">
        <v>160</v>
      </c>
      <c r="GR181" t="s">
        <v>548</v>
      </c>
      <c r="GS181">
        <v>0.4</v>
      </c>
      <c r="GT181">
        <v>30</v>
      </c>
      <c r="GU181">
        <v>500</v>
      </c>
      <c r="HC181">
        <v>0.1</v>
      </c>
      <c r="HD181">
        <v>3</v>
      </c>
      <c r="HE181">
        <v>3</v>
      </c>
      <c r="HF181">
        <v>3</v>
      </c>
      <c r="HG181">
        <v>3</v>
      </c>
      <c r="HH181">
        <v>3</v>
      </c>
      <c r="HI181">
        <v>210</v>
      </c>
      <c r="HJ181">
        <v>3</v>
      </c>
      <c r="HK181">
        <v>55</v>
      </c>
      <c r="HL181">
        <v>2</v>
      </c>
      <c r="HM181">
        <v>0</v>
      </c>
      <c r="HN181">
        <v>2</v>
      </c>
      <c r="HO181">
        <v>140</v>
      </c>
      <c r="HP181">
        <v>3</v>
      </c>
      <c r="HQ181">
        <v>0</v>
      </c>
      <c r="HR181">
        <v>2</v>
      </c>
      <c r="HS181">
        <v>6955</v>
      </c>
      <c r="HT181">
        <v>210</v>
      </c>
      <c r="HU181">
        <v>180</v>
      </c>
      <c r="HW181">
        <v>0</v>
      </c>
      <c r="HX181">
        <v>610</v>
      </c>
      <c r="HY181">
        <v>0.18</v>
      </c>
      <c r="IA181">
        <v>0.15</v>
      </c>
      <c r="IB181">
        <v>0</v>
      </c>
      <c r="IC181">
        <v>180</v>
      </c>
      <c r="ID181">
        <v>110</v>
      </c>
      <c r="IE181">
        <v>225</v>
      </c>
      <c r="IF181">
        <v>0</v>
      </c>
      <c r="IH181" t="s">
        <v>549</v>
      </c>
      <c r="IO181">
        <v>3</v>
      </c>
      <c r="IP181">
        <v>17</v>
      </c>
      <c r="IQ181">
        <v>0</v>
      </c>
      <c r="IR181">
        <v>1</v>
      </c>
      <c r="IV181">
        <v>1301</v>
      </c>
      <c r="IW181">
        <v>534</v>
      </c>
      <c r="JA181">
        <v>1</v>
      </c>
      <c r="JB181">
        <v>0</v>
      </c>
      <c r="JC181">
        <v>2</v>
      </c>
      <c r="JD181">
        <v>1314</v>
      </c>
      <c r="JE181">
        <v>1312</v>
      </c>
      <c r="JF181">
        <v>1319</v>
      </c>
      <c r="JG181">
        <v>1298</v>
      </c>
      <c r="JH181">
        <v>0</v>
      </c>
      <c r="JJ181">
        <v>180</v>
      </c>
      <c r="JK181">
        <v>610</v>
      </c>
      <c r="JN181">
        <v>510</v>
      </c>
      <c r="JO181">
        <v>720</v>
      </c>
      <c r="JP181">
        <v>580</v>
      </c>
      <c r="JQ181">
        <v>0</v>
      </c>
      <c r="JR181">
        <v>490</v>
      </c>
      <c r="JS181">
        <v>210</v>
      </c>
      <c r="JV181">
        <v>8</v>
      </c>
      <c r="JW181" t="s">
        <v>550</v>
      </c>
      <c r="JX181">
        <v>0</v>
      </c>
      <c r="KA181">
        <v>225</v>
      </c>
      <c r="KB181">
        <v>110</v>
      </c>
      <c r="KC181">
        <v>0</v>
      </c>
      <c r="KD181">
        <v>80</v>
      </c>
      <c r="KF181">
        <v>4</v>
      </c>
      <c r="KG181">
        <v>2</v>
      </c>
      <c r="KH181">
        <v>2</v>
      </c>
      <c r="KI181">
        <v>2</v>
      </c>
      <c r="KJ181">
        <v>0</v>
      </c>
      <c r="KK181">
        <v>1.5</v>
      </c>
      <c r="KL181">
        <v>1.5</v>
      </c>
      <c r="KM181">
        <v>0</v>
      </c>
      <c r="KN181">
        <v>0</v>
      </c>
      <c r="KO181">
        <v>0</v>
      </c>
      <c r="KR181">
        <v>30</v>
      </c>
      <c r="KS181">
        <v>60</v>
      </c>
      <c r="KT181">
        <v>0</v>
      </c>
      <c r="LK181">
        <v>480</v>
      </c>
      <c r="PG181">
        <v>1</v>
      </c>
      <c r="PI181" t="s">
        <v>2559</v>
      </c>
      <c r="PJ181" t="s">
        <v>2561</v>
      </c>
      <c r="PK181" t="s">
        <v>2562</v>
      </c>
      <c r="PL181" t="s">
        <v>2560</v>
      </c>
      <c r="PP181" t="s">
        <v>2563</v>
      </c>
      <c r="PX181">
        <v>56</v>
      </c>
      <c r="PY181">
        <v>57</v>
      </c>
      <c r="PZ181" t="s">
        <v>2559</v>
      </c>
      <c r="QA181">
        <v>1</v>
      </c>
      <c r="QB181">
        <v>1298</v>
      </c>
      <c r="QC181">
        <v>69</v>
      </c>
      <c r="QD181">
        <v>69</v>
      </c>
      <c r="QE181" t="s">
        <v>2560</v>
      </c>
      <c r="QF181">
        <v>1</v>
      </c>
      <c r="QG181">
        <v>1314</v>
      </c>
      <c r="QH181">
        <v>66</v>
      </c>
      <c r="QI181">
        <v>66</v>
      </c>
      <c r="QL181">
        <v>0</v>
      </c>
      <c r="QM181">
        <v>62</v>
      </c>
      <c r="QN181">
        <v>62</v>
      </c>
      <c r="QO181" t="s">
        <v>2561</v>
      </c>
      <c r="QP181">
        <v>1</v>
      </c>
      <c r="QQ181">
        <v>1312</v>
      </c>
      <c r="QR181">
        <v>62</v>
      </c>
      <c r="QS181">
        <v>62</v>
      </c>
      <c r="QT181" t="s">
        <v>2562</v>
      </c>
      <c r="QU181">
        <v>1</v>
      </c>
      <c r="QV181">
        <v>1319</v>
      </c>
      <c r="QW181">
        <v>82</v>
      </c>
      <c r="QX181">
        <v>88</v>
      </c>
      <c r="QY181" t="s">
        <v>2563</v>
      </c>
      <c r="QZ181">
        <v>1</v>
      </c>
      <c r="RA181">
        <v>66</v>
      </c>
      <c r="RB181">
        <v>66</v>
      </c>
      <c r="RE181">
        <v>0</v>
      </c>
      <c r="RF181">
        <v>1</v>
      </c>
      <c r="RH181">
        <v>1</v>
      </c>
      <c r="RJ181">
        <v>1</v>
      </c>
      <c r="RL181">
        <v>2</v>
      </c>
      <c r="RM181">
        <v>2</v>
      </c>
      <c r="RO181">
        <v>723</v>
      </c>
      <c r="RQ181">
        <v>1056</v>
      </c>
      <c r="RR181">
        <v>813</v>
      </c>
      <c r="RT181">
        <v>327</v>
      </c>
      <c r="RU181">
        <v>263</v>
      </c>
      <c r="RV181" t="s">
        <v>1071</v>
      </c>
      <c r="RW181" t="s">
        <v>653</v>
      </c>
      <c r="RX181">
        <v>15</v>
      </c>
      <c r="RY181">
        <v>4</v>
      </c>
      <c r="RZ181" t="s">
        <v>653</v>
      </c>
      <c r="SA181">
        <v>15</v>
      </c>
      <c r="SC181" t="s">
        <v>2561</v>
      </c>
      <c r="SD181">
        <v>1</v>
      </c>
      <c r="SF181" t="s">
        <v>2562</v>
      </c>
      <c r="SG181">
        <v>1</v>
      </c>
      <c r="SH181">
        <v>0.995</v>
      </c>
      <c r="SI181">
        <v>0.995</v>
      </c>
      <c r="SJ181">
        <v>0.995</v>
      </c>
      <c r="SK181">
        <v>15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Z181">
        <v>1</v>
      </c>
      <c r="TB181">
        <v>0</v>
      </c>
      <c r="TC181">
        <v>0</v>
      </c>
      <c r="TD181">
        <v>7.5</v>
      </c>
      <c r="TE181" t="s">
        <v>553</v>
      </c>
      <c r="TF181" t="s">
        <v>681</v>
      </c>
      <c r="TG181" t="s">
        <v>555</v>
      </c>
      <c r="TI181" t="s">
        <v>546</v>
      </c>
      <c r="TJ181" t="s">
        <v>547</v>
      </c>
      <c r="TL181" t="s">
        <v>2341</v>
      </c>
      <c r="TM181" t="s">
        <v>513</v>
      </c>
      <c r="TN181">
        <v>0</v>
      </c>
      <c r="TO181" t="s">
        <v>557</v>
      </c>
    </row>
    <row r="182" spans="1:535">
      <c r="A182" t="s">
        <v>2564</v>
      </c>
      <c r="B182" t="s">
        <v>564</v>
      </c>
      <c r="C182" t="s">
        <v>509</v>
      </c>
      <c r="D182" t="s">
        <v>2565</v>
      </c>
      <c r="G182" t="s">
        <v>604</v>
      </c>
      <c r="H182" t="s">
        <v>605</v>
      </c>
      <c r="J182" t="s">
        <v>606</v>
      </c>
      <c r="L182" t="s">
        <v>512</v>
      </c>
      <c r="M182" t="s">
        <v>629</v>
      </c>
      <c r="N182" t="s">
        <v>513</v>
      </c>
      <c r="O182" t="s">
        <v>565</v>
      </c>
      <c r="Q182" t="s">
        <v>2566</v>
      </c>
      <c r="R182" t="s">
        <v>517</v>
      </c>
      <c r="S182" t="s">
        <v>1670</v>
      </c>
      <c r="T182" t="s">
        <v>1671</v>
      </c>
      <c r="U182" t="s">
        <v>1482</v>
      </c>
      <c r="V182" t="s">
        <v>1483</v>
      </c>
      <c r="W182" t="s">
        <v>2567</v>
      </c>
      <c r="X182" t="s">
        <v>2336</v>
      </c>
      <c r="Y182" t="s">
        <v>524</v>
      </c>
      <c r="Z182" t="s">
        <v>2568</v>
      </c>
      <c r="AA182" t="s">
        <v>2569</v>
      </c>
      <c r="AB182" t="s">
        <v>2570</v>
      </c>
      <c r="AC182">
        <v>2</v>
      </c>
      <c r="AD182">
        <v>57</v>
      </c>
      <c r="AE182">
        <v>195</v>
      </c>
      <c r="AF182">
        <v>1.5</v>
      </c>
      <c r="AH182">
        <v>0</v>
      </c>
      <c r="AI182" t="s">
        <v>1179</v>
      </c>
      <c r="AJ182">
        <v>207.5</v>
      </c>
      <c r="AK182">
        <v>1</v>
      </c>
      <c r="AL182">
        <v>1.5</v>
      </c>
      <c r="AM182" t="s">
        <v>529</v>
      </c>
      <c r="AO182">
        <v>0</v>
      </c>
      <c r="AR182">
        <v>0</v>
      </c>
      <c r="AS182">
        <v>1.5</v>
      </c>
      <c r="AU182" t="s">
        <v>2571</v>
      </c>
      <c r="AW182" t="s">
        <v>2571</v>
      </c>
      <c r="AX182">
        <v>1</v>
      </c>
      <c r="AY182">
        <v>292.5</v>
      </c>
      <c r="AZ182">
        <v>1.5</v>
      </c>
      <c r="BA182" t="s">
        <v>529</v>
      </c>
      <c r="BB182" t="s">
        <v>2572</v>
      </c>
      <c r="BD182" t="s">
        <v>2572</v>
      </c>
      <c r="BE182">
        <v>1</v>
      </c>
      <c r="BF182">
        <v>240</v>
      </c>
      <c r="BG182">
        <v>1.5</v>
      </c>
      <c r="BJ182">
        <v>0</v>
      </c>
      <c r="BN182">
        <v>1.5</v>
      </c>
      <c r="BP182" t="s">
        <v>2573</v>
      </c>
      <c r="BQ182">
        <v>88</v>
      </c>
      <c r="BR182">
        <v>2</v>
      </c>
      <c r="BS182" t="s">
        <v>2123</v>
      </c>
      <c r="BT182">
        <v>218</v>
      </c>
      <c r="BU182">
        <v>0.5</v>
      </c>
      <c r="BV182" t="s">
        <v>2123</v>
      </c>
      <c r="BW182">
        <v>436</v>
      </c>
      <c r="BX182">
        <v>1</v>
      </c>
      <c r="BY182" t="s">
        <v>1491</v>
      </c>
      <c r="BZ182">
        <v>300</v>
      </c>
      <c r="CA182">
        <v>520</v>
      </c>
      <c r="CB182" t="s">
        <v>1492</v>
      </c>
      <c r="CC182" t="s">
        <v>534</v>
      </c>
      <c r="CD182">
        <v>454</v>
      </c>
      <c r="CE182" t="s">
        <v>535</v>
      </c>
      <c r="CF182">
        <v>15</v>
      </c>
      <c r="CG182" t="s">
        <v>1624</v>
      </c>
      <c r="CH182" t="s">
        <v>1624</v>
      </c>
      <c r="CI182">
        <v>110</v>
      </c>
      <c r="CJ182">
        <v>1122</v>
      </c>
      <c r="CK182">
        <v>2</v>
      </c>
      <c r="CL182">
        <v>1222</v>
      </c>
      <c r="CM182">
        <v>2</v>
      </c>
      <c r="CN182" t="s">
        <v>1495</v>
      </c>
      <c r="CO182" t="s">
        <v>1473</v>
      </c>
      <c r="CP182" t="s">
        <v>1474</v>
      </c>
      <c r="CQ182" t="s">
        <v>621</v>
      </c>
      <c r="CR182" t="s">
        <v>541</v>
      </c>
      <c r="CS182" t="s">
        <v>542</v>
      </c>
      <c r="CT182">
        <v>415</v>
      </c>
      <c r="CU182">
        <v>5</v>
      </c>
      <c r="CV182">
        <v>1.2</v>
      </c>
      <c r="CW182">
        <v>1136</v>
      </c>
      <c r="CX182">
        <v>667</v>
      </c>
      <c r="DD182">
        <v>0</v>
      </c>
      <c r="DE182" t="s">
        <v>622</v>
      </c>
      <c r="DF182">
        <v>585</v>
      </c>
      <c r="DG182">
        <v>3</v>
      </c>
      <c r="DH182">
        <v>0.88</v>
      </c>
      <c r="DI182">
        <v>1133</v>
      </c>
      <c r="DJ182">
        <v>763</v>
      </c>
      <c r="DK182" t="s">
        <v>622</v>
      </c>
      <c r="DL182">
        <v>480</v>
      </c>
      <c r="DM182">
        <v>3</v>
      </c>
      <c r="DN182">
        <v>0.88</v>
      </c>
      <c r="DO182">
        <v>1138</v>
      </c>
      <c r="DP182">
        <v>634</v>
      </c>
      <c r="DW182" t="s">
        <v>544</v>
      </c>
      <c r="DX182">
        <v>7.5</v>
      </c>
      <c r="EA182">
        <v>1205.9</v>
      </c>
      <c r="EB182">
        <v>214</v>
      </c>
      <c r="EC182" t="s">
        <v>545</v>
      </c>
      <c r="ED182">
        <v>35</v>
      </c>
      <c r="EE182">
        <v>3</v>
      </c>
      <c r="EG182">
        <v>1247</v>
      </c>
      <c r="EH182">
        <v>175</v>
      </c>
      <c r="EJ182">
        <v>0</v>
      </c>
      <c r="EK182">
        <v>1</v>
      </c>
      <c r="EN182">
        <v>0</v>
      </c>
      <c r="EP182" t="s">
        <v>546</v>
      </c>
      <c r="EQ182">
        <v>130</v>
      </c>
      <c r="ER182">
        <v>3</v>
      </c>
      <c r="ES182">
        <v>5.3</v>
      </c>
      <c r="ET182">
        <v>1119</v>
      </c>
      <c r="EU182">
        <v>539.8</v>
      </c>
      <c r="EV182">
        <v>604</v>
      </c>
      <c r="EW182" t="s">
        <v>547</v>
      </c>
      <c r="EX182">
        <v>70</v>
      </c>
      <c r="EY182">
        <v>2</v>
      </c>
      <c r="EZ182">
        <v>4.3</v>
      </c>
      <c r="FA182">
        <v>1119</v>
      </c>
      <c r="FB182">
        <v>208.3</v>
      </c>
      <c r="FC182">
        <v>233</v>
      </c>
      <c r="FE182">
        <v>0</v>
      </c>
      <c r="FF182">
        <v>2</v>
      </c>
      <c r="FI182">
        <v>0</v>
      </c>
      <c r="FK182" t="s">
        <v>548</v>
      </c>
      <c r="FL182">
        <v>0.4</v>
      </c>
      <c r="FM182">
        <v>110</v>
      </c>
      <c r="FN182">
        <v>120</v>
      </c>
      <c r="GR182" t="s">
        <v>548</v>
      </c>
      <c r="GS182">
        <v>0.4</v>
      </c>
      <c r="GT182">
        <v>95</v>
      </c>
      <c r="GU182">
        <v>270</v>
      </c>
      <c r="HC182">
        <v>0.1</v>
      </c>
      <c r="HD182">
        <v>3</v>
      </c>
      <c r="HE182">
        <v>3</v>
      </c>
      <c r="HF182">
        <v>3</v>
      </c>
      <c r="HG182">
        <v>3</v>
      </c>
      <c r="HH182">
        <v>3</v>
      </c>
      <c r="HI182">
        <v>185</v>
      </c>
      <c r="HJ182">
        <v>3</v>
      </c>
      <c r="HK182">
        <v>55</v>
      </c>
      <c r="HL182">
        <v>2</v>
      </c>
      <c r="HM182">
        <v>0</v>
      </c>
      <c r="HN182">
        <v>2</v>
      </c>
      <c r="HO182">
        <v>115</v>
      </c>
      <c r="HP182">
        <v>3</v>
      </c>
      <c r="HQ182">
        <v>0</v>
      </c>
      <c r="HR182">
        <v>2</v>
      </c>
      <c r="HS182">
        <v>4516</v>
      </c>
      <c r="HT182">
        <v>140</v>
      </c>
      <c r="HU182">
        <v>180</v>
      </c>
      <c r="HW182">
        <v>0</v>
      </c>
      <c r="HX182">
        <v>455</v>
      </c>
      <c r="HY182">
        <v>0.18</v>
      </c>
      <c r="IA182">
        <v>0.15</v>
      </c>
      <c r="IB182">
        <v>0</v>
      </c>
      <c r="IC182">
        <v>180</v>
      </c>
      <c r="ID182">
        <v>110</v>
      </c>
      <c r="IE182">
        <v>225</v>
      </c>
      <c r="IF182">
        <v>0</v>
      </c>
      <c r="IH182" t="s">
        <v>549</v>
      </c>
      <c r="IO182">
        <v>3</v>
      </c>
      <c r="IP182">
        <v>15</v>
      </c>
      <c r="IQ182">
        <v>0</v>
      </c>
      <c r="IR182">
        <v>1</v>
      </c>
      <c r="IV182">
        <v>1122</v>
      </c>
      <c r="IW182">
        <v>436</v>
      </c>
      <c r="JA182">
        <v>1</v>
      </c>
      <c r="JB182">
        <v>0</v>
      </c>
      <c r="JC182">
        <v>2</v>
      </c>
      <c r="JD182">
        <v>1136</v>
      </c>
      <c r="JE182">
        <v>1133</v>
      </c>
      <c r="JF182">
        <v>1138</v>
      </c>
      <c r="JG182">
        <v>1119</v>
      </c>
      <c r="JH182">
        <v>0</v>
      </c>
      <c r="JJ182">
        <v>180</v>
      </c>
      <c r="JK182">
        <v>455</v>
      </c>
      <c r="JN182">
        <v>415</v>
      </c>
      <c r="JO182">
        <v>585</v>
      </c>
      <c r="JP182">
        <v>480</v>
      </c>
      <c r="JQ182">
        <v>0</v>
      </c>
      <c r="JR182">
        <v>390</v>
      </c>
      <c r="JS182">
        <v>185</v>
      </c>
      <c r="JV182">
        <v>8</v>
      </c>
      <c r="JW182" t="s">
        <v>550</v>
      </c>
      <c r="JX182">
        <v>0</v>
      </c>
      <c r="KA182">
        <v>225</v>
      </c>
      <c r="KB182">
        <v>110</v>
      </c>
      <c r="KC182">
        <v>0</v>
      </c>
      <c r="KD182">
        <v>80</v>
      </c>
      <c r="KF182">
        <v>4</v>
      </c>
      <c r="KG182">
        <v>2</v>
      </c>
      <c r="KH182">
        <v>2</v>
      </c>
      <c r="KI182">
        <v>2</v>
      </c>
      <c r="KJ182">
        <v>0</v>
      </c>
      <c r="KK182">
        <v>1.5</v>
      </c>
      <c r="KL182">
        <v>1.5</v>
      </c>
      <c r="KM182">
        <v>0</v>
      </c>
      <c r="KN182">
        <v>0</v>
      </c>
      <c r="KO182">
        <v>0</v>
      </c>
      <c r="KR182">
        <v>25</v>
      </c>
      <c r="KS182">
        <v>45</v>
      </c>
      <c r="KT182">
        <v>0</v>
      </c>
      <c r="LK182">
        <v>480</v>
      </c>
      <c r="PG182">
        <v>1</v>
      </c>
      <c r="PI182" t="s">
        <v>2570</v>
      </c>
      <c r="PJ182" t="s">
        <v>2571</v>
      </c>
      <c r="PK182" t="s">
        <v>2572</v>
      </c>
      <c r="PL182" t="s">
        <v>1179</v>
      </c>
      <c r="PP182" t="s">
        <v>2573</v>
      </c>
      <c r="PX182">
        <v>56</v>
      </c>
      <c r="PY182">
        <v>57</v>
      </c>
      <c r="PZ182" t="s">
        <v>2570</v>
      </c>
      <c r="QA182">
        <v>1</v>
      </c>
      <c r="QB182">
        <v>1119</v>
      </c>
      <c r="QC182">
        <v>69</v>
      </c>
      <c r="QD182">
        <v>69</v>
      </c>
      <c r="QE182" t="s">
        <v>1179</v>
      </c>
      <c r="QF182">
        <v>1</v>
      </c>
      <c r="QG182">
        <v>1136</v>
      </c>
      <c r="QH182">
        <v>66</v>
      </c>
      <c r="QI182">
        <v>66</v>
      </c>
      <c r="QL182">
        <v>0</v>
      </c>
      <c r="QM182">
        <v>62</v>
      </c>
      <c r="QN182">
        <v>62</v>
      </c>
      <c r="QO182" t="s">
        <v>2571</v>
      </c>
      <c r="QP182">
        <v>1</v>
      </c>
      <c r="QQ182">
        <v>1133</v>
      </c>
      <c r="QR182">
        <v>62</v>
      </c>
      <c r="QS182">
        <v>62</v>
      </c>
      <c r="QT182" t="s">
        <v>2572</v>
      </c>
      <c r="QU182">
        <v>1</v>
      </c>
      <c r="QV182">
        <v>1138</v>
      </c>
      <c r="QW182">
        <v>82</v>
      </c>
      <c r="QX182">
        <v>88</v>
      </c>
      <c r="QY182" t="s">
        <v>2573</v>
      </c>
      <c r="QZ182">
        <v>1</v>
      </c>
      <c r="RA182">
        <v>66</v>
      </c>
      <c r="RB182">
        <v>66</v>
      </c>
      <c r="RE182">
        <v>0</v>
      </c>
      <c r="RF182">
        <v>1</v>
      </c>
      <c r="RH182">
        <v>1</v>
      </c>
      <c r="RJ182">
        <v>1</v>
      </c>
      <c r="RL182">
        <v>4</v>
      </c>
      <c r="RM182">
        <v>4</v>
      </c>
      <c r="RO182">
        <v>587</v>
      </c>
      <c r="RQ182">
        <v>673</v>
      </c>
      <c r="RR182">
        <v>557</v>
      </c>
      <c r="RT182">
        <v>214</v>
      </c>
      <c r="RU182">
        <v>175</v>
      </c>
      <c r="RV182" t="s">
        <v>2124</v>
      </c>
      <c r="RW182" t="s">
        <v>1498</v>
      </c>
      <c r="RX182">
        <v>15</v>
      </c>
      <c r="RY182">
        <v>4</v>
      </c>
      <c r="RZ182" t="s">
        <v>1498</v>
      </c>
      <c r="SA182">
        <v>15</v>
      </c>
      <c r="SC182" t="s">
        <v>2571</v>
      </c>
      <c r="SD182">
        <v>1</v>
      </c>
      <c r="SF182" t="s">
        <v>2572</v>
      </c>
      <c r="SG182">
        <v>1</v>
      </c>
      <c r="SH182">
        <v>0.995</v>
      </c>
      <c r="SI182">
        <v>0.995</v>
      </c>
      <c r="SJ182">
        <v>0.995</v>
      </c>
      <c r="SK182">
        <v>15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Z182">
        <v>1</v>
      </c>
      <c r="TB182">
        <v>1</v>
      </c>
      <c r="TC182">
        <v>0</v>
      </c>
      <c r="TD182">
        <v>7.5</v>
      </c>
      <c r="TE182" t="s">
        <v>553</v>
      </c>
      <c r="TF182" t="s">
        <v>624</v>
      </c>
      <c r="TG182" t="s">
        <v>555</v>
      </c>
      <c r="TI182" t="s">
        <v>546</v>
      </c>
      <c r="TJ182" t="s">
        <v>547</v>
      </c>
      <c r="TL182" t="s">
        <v>2341</v>
      </c>
      <c r="TM182" t="s">
        <v>513</v>
      </c>
      <c r="TN182">
        <v>0</v>
      </c>
      <c r="TO182" t="s">
        <v>557</v>
      </c>
    </row>
    <row r="183" spans="1:535">
      <c r="A183" t="s">
        <v>2574</v>
      </c>
      <c r="B183" t="s">
        <v>559</v>
      </c>
      <c r="C183" t="s">
        <v>509</v>
      </c>
      <c r="D183" t="s">
        <v>2575</v>
      </c>
      <c r="G183" t="s">
        <v>604</v>
      </c>
      <c r="H183" t="s">
        <v>605</v>
      </c>
      <c r="I183" t="s">
        <v>628</v>
      </c>
      <c r="J183" t="s">
        <v>606</v>
      </c>
      <c r="L183" t="s">
        <v>512</v>
      </c>
      <c r="M183" t="s">
        <v>564</v>
      </c>
      <c r="N183" t="s">
        <v>513</v>
      </c>
      <c r="O183" t="s">
        <v>607</v>
      </c>
      <c r="Q183" t="s">
        <v>2576</v>
      </c>
      <c r="R183" t="s">
        <v>517</v>
      </c>
      <c r="S183" t="s">
        <v>1567</v>
      </c>
      <c r="T183" t="s">
        <v>1568</v>
      </c>
      <c r="U183" t="s">
        <v>520</v>
      </c>
      <c r="V183" t="s">
        <v>521</v>
      </c>
      <c r="W183" t="s">
        <v>2577</v>
      </c>
      <c r="X183" t="s">
        <v>2336</v>
      </c>
      <c r="Y183" t="s">
        <v>524</v>
      </c>
      <c r="Z183" t="s">
        <v>2578</v>
      </c>
      <c r="AA183" t="s">
        <v>2579</v>
      </c>
      <c r="AB183" t="s">
        <v>2580</v>
      </c>
      <c r="AC183">
        <v>2</v>
      </c>
      <c r="AD183">
        <v>57</v>
      </c>
      <c r="AE183">
        <v>203</v>
      </c>
      <c r="AF183">
        <v>1.5</v>
      </c>
      <c r="AH183">
        <v>0</v>
      </c>
      <c r="AI183" t="s">
        <v>885</v>
      </c>
      <c r="AJ183">
        <v>215</v>
      </c>
      <c r="AK183">
        <v>1</v>
      </c>
      <c r="AL183">
        <v>1.5</v>
      </c>
      <c r="AM183" t="s">
        <v>529</v>
      </c>
      <c r="AO183">
        <v>0</v>
      </c>
      <c r="AR183">
        <v>0</v>
      </c>
      <c r="AS183">
        <v>1.5</v>
      </c>
      <c r="AU183" t="s">
        <v>2581</v>
      </c>
      <c r="AW183" t="s">
        <v>2581</v>
      </c>
      <c r="AX183">
        <v>1</v>
      </c>
      <c r="AY183">
        <v>312.5</v>
      </c>
      <c r="AZ183">
        <v>1.5</v>
      </c>
      <c r="BA183" t="s">
        <v>529</v>
      </c>
      <c r="BB183" t="s">
        <v>2582</v>
      </c>
      <c r="BD183" t="s">
        <v>2582</v>
      </c>
      <c r="BE183">
        <v>1</v>
      </c>
      <c r="BF183">
        <v>290</v>
      </c>
      <c r="BG183">
        <v>1.5</v>
      </c>
      <c r="BJ183">
        <v>0</v>
      </c>
      <c r="BN183">
        <v>1.5</v>
      </c>
      <c r="BP183" t="s">
        <v>618</v>
      </c>
      <c r="BQ183">
        <v>88</v>
      </c>
      <c r="BR183">
        <v>2</v>
      </c>
      <c r="BS183" t="s">
        <v>619</v>
      </c>
      <c r="BT183">
        <v>225</v>
      </c>
      <c r="BU183">
        <v>0.5</v>
      </c>
      <c r="BV183" t="s">
        <v>619</v>
      </c>
      <c r="BW183">
        <v>450</v>
      </c>
      <c r="BX183">
        <v>1</v>
      </c>
      <c r="BY183" t="s">
        <v>533</v>
      </c>
      <c r="BZ183">
        <v>300</v>
      </c>
      <c r="CA183">
        <v>520</v>
      </c>
      <c r="CB183" t="s">
        <v>534</v>
      </c>
      <c r="CC183" t="s">
        <v>534</v>
      </c>
      <c r="CD183">
        <v>476</v>
      </c>
      <c r="CE183" t="s">
        <v>535</v>
      </c>
      <c r="CF183">
        <v>15</v>
      </c>
      <c r="CG183" t="s">
        <v>536</v>
      </c>
      <c r="CH183" t="s">
        <v>536</v>
      </c>
      <c r="CI183">
        <v>110</v>
      </c>
      <c r="CJ183">
        <v>1200</v>
      </c>
      <c r="CK183">
        <v>2</v>
      </c>
      <c r="CL183">
        <v>1301</v>
      </c>
      <c r="CM183">
        <v>2</v>
      </c>
      <c r="CN183" t="s">
        <v>537</v>
      </c>
      <c r="CO183" t="s">
        <v>538</v>
      </c>
      <c r="CP183" t="s">
        <v>539</v>
      </c>
      <c r="CQ183" t="s">
        <v>892</v>
      </c>
      <c r="CR183" t="s">
        <v>541</v>
      </c>
      <c r="CS183" t="s">
        <v>542</v>
      </c>
      <c r="CT183">
        <v>430</v>
      </c>
      <c r="CU183">
        <v>5</v>
      </c>
      <c r="CV183">
        <v>1.2</v>
      </c>
      <c r="CW183">
        <v>1213</v>
      </c>
      <c r="CX183">
        <v>739</v>
      </c>
      <c r="DD183">
        <v>0</v>
      </c>
      <c r="DE183" t="s">
        <v>622</v>
      </c>
      <c r="DF183">
        <v>625</v>
      </c>
      <c r="DG183">
        <v>3</v>
      </c>
      <c r="DH183">
        <v>0.88</v>
      </c>
      <c r="DI183">
        <v>1210</v>
      </c>
      <c r="DJ183">
        <v>874</v>
      </c>
      <c r="DK183" t="s">
        <v>622</v>
      </c>
      <c r="DL183">
        <v>580</v>
      </c>
      <c r="DM183">
        <v>3</v>
      </c>
      <c r="DN183">
        <v>0.88</v>
      </c>
      <c r="DO183">
        <v>1218</v>
      </c>
      <c r="DP183">
        <v>777</v>
      </c>
      <c r="DW183" t="s">
        <v>544</v>
      </c>
      <c r="DX183">
        <v>7.5</v>
      </c>
      <c r="EA183">
        <v>1285.7</v>
      </c>
      <c r="EB183">
        <v>228</v>
      </c>
      <c r="EC183" t="s">
        <v>545</v>
      </c>
      <c r="ED183">
        <v>40</v>
      </c>
      <c r="EE183">
        <v>3</v>
      </c>
      <c r="EG183">
        <v>1327</v>
      </c>
      <c r="EH183">
        <v>212</v>
      </c>
      <c r="EJ183">
        <v>0</v>
      </c>
      <c r="EK183">
        <v>1</v>
      </c>
      <c r="EN183">
        <v>0</v>
      </c>
      <c r="EP183" t="s">
        <v>546</v>
      </c>
      <c r="EQ183">
        <v>135</v>
      </c>
      <c r="ER183">
        <v>3</v>
      </c>
      <c r="ES183">
        <v>5.7</v>
      </c>
      <c r="ET183">
        <v>1199</v>
      </c>
      <c r="EU183">
        <v>597.5</v>
      </c>
      <c r="EV183">
        <v>716</v>
      </c>
      <c r="EW183" t="s">
        <v>547</v>
      </c>
      <c r="EX183">
        <v>70</v>
      </c>
      <c r="EY183">
        <v>2</v>
      </c>
      <c r="EZ183">
        <v>4.3</v>
      </c>
      <c r="FA183">
        <v>1199</v>
      </c>
      <c r="FB183">
        <v>183.1</v>
      </c>
      <c r="FC183">
        <v>220</v>
      </c>
      <c r="FE183">
        <v>0</v>
      </c>
      <c r="FF183">
        <v>2</v>
      </c>
      <c r="FI183">
        <v>0</v>
      </c>
      <c r="FK183" t="s">
        <v>548</v>
      </c>
      <c r="FL183">
        <v>0.4</v>
      </c>
      <c r="FM183">
        <v>90</v>
      </c>
      <c r="FN183">
        <v>140</v>
      </c>
      <c r="FR183" t="s">
        <v>548</v>
      </c>
      <c r="FS183">
        <v>0.4</v>
      </c>
      <c r="FT183">
        <v>30</v>
      </c>
      <c r="FU183">
        <v>550</v>
      </c>
      <c r="GR183" t="s">
        <v>548</v>
      </c>
      <c r="GS183">
        <v>0.4</v>
      </c>
      <c r="GT183">
        <v>30</v>
      </c>
      <c r="GU183">
        <v>410</v>
      </c>
      <c r="GV183">
        <v>45</v>
      </c>
      <c r="GW183">
        <v>270</v>
      </c>
      <c r="HC183">
        <v>0.1</v>
      </c>
      <c r="HD183">
        <v>3</v>
      </c>
      <c r="HE183">
        <v>3</v>
      </c>
      <c r="HF183">
        <v>3</v>
      </c>
      <c r="HG183">
        <v>3</v>
      </c>
      <c r="HH183">
        <v>3</v>
      </c>
      <c r="HI183">
        <v>190</v>
      </c>
      <c r="HJ183">
        <v>3</v>
      </c>
      <c r="HK183">
        <v>55</v>
      </c>
      <c r="HL183">
        <v>2</v>
      </c>
      <c r="HM183">
        <v>0</v>
      </c>
      <c r="HN183">
        <v>2</v>
      </c>
      <c r="HO183">
        <v>120</v>
      </c>
      <c r="HP183">
        <v>3</v>
      </c>
      <c r="HQ183">
        <v>0</v>
      </c>
      <c r="HR183">
        <v>2</v>
      </c>
      <c r="HS183">
        <v>5142</v>
      </c>
      <c r="HT183">
        <v>150</v>
      </c>
      <c r="HU183">
        <v>180</v>
      </c>
      <c r="HW183">
        <v>0</v>
      </c>
      <c r="HX183">
        <v>520</v>
      </c>
      <c r="HY183">
        <v>0.18</v>
      </c>
      <c r="IA183">
        <v>0.15</v>
      </c>
      <c r="IB183">
        <v>0</v>
      </c>
      <c r="IC183">
        <v>180</v>
      </c>
      <c r="ID183">
        <v>110</v>
      </c>
      <c r="IE183">
        <v>225</v>
      </c>
      <c r="IF183">
        <v>0</v>
      </c>
      <c r="IH183" t="s">
        <v>549</v>
      </c>
      <c r="IO183">
        <v>3</v>
      </c>
      <c r="IP183">
        <v>16</v>
      </c>
      <c r="IQ183">
        <v>0</v>
      </c>
      <c r="IR183">
        <v>1</v>
      </c>
      <c r="IV183">
        <v>1200</v>
      </c>
      <c r="IW183">
        <v>450</v>
      </c>
      <c r="JA183">
        <v>1</v>
      </c>
      <c r="JB183">
        <v>0</v>
      </c>
      <c r="JC183">
        <v>2</v>
      </c>
      <c r="JD183">
        <v>1213</v>
      </c>
      <c r="JE183">
        <v>1210</v>
      </c>
      <c r="JF183">
        <v>1218</v>
      </c>
      <c r="JG183">
        <v>1199</v>
      </c>
      <c r="JH183">
        <v>0</v>
      </c>
      <c r="JJ183">
        <v>180</v>
      </c>
      <c r="JK183">
        <v>520</v>
      </c>
      <c r="JN183">
        <v>430</v>
      </c>
      <c r="JO183">
        <v>625</v>
      </c>
      <c r="JP183">
        <v>580</v>
      </c>
      <c r="JQ183">
        <v>0</v>
      </c>
      <c r="JR183">
        <v>406</v>
      </c>
      <c r="JS183">
        <v>190</v>
      </c>
      <c r="JV183">
        <v>8</v>
      </c>
      <c r="JW183" t="s">
        <v>550</v>
      </c>
      <c r="JX183">
        <v>0</v>
      </c>
      <c r="KA183">
        <v>225</v>
      </c>
      <c r="KB183">
        <v>110</v>
      </c>
      <c r="KC183">
        <v>0</v>
      </c>
      <c r="KD183">
        <v>80</v>
      </c>
      <c r="KF183">
        <v>4</v>
      </c>
      <c r="KG183">
        <v>2</v>
      </c>
      <c r="KH183">
        <v>2</v>
      </c>
      <c r="KI183">
        <v>2</v>
      </c>
      <c r="KJ183">
        <v>0</v>
      </c>
      <c r="KK183">
        <v>1.5</v>
      </c>
      <c r="KL183">
        <v>1.5</v>
      </c>
      <c r="KM183">
        <v>0</v>
      </c>
      <c r="KN183">
        <v>0</v>
      </c>
      <c r="KO183">
        <v>0</v>
      </c>
      <c r="KR183">
        <v>50</v>
      </c>
      <c r="KS183">
        <v>60</v>
      </c>
      <c r="KT183">
        <v>0</v>
      </c>
      <c r="LK183">
        <v>480</v>
      </c>
      <c r="PG183">
        <v>1</v>
      </c>
      <c r="PI183" t="s">
        <v>2580</v>
      </c>
      <c r="PJ183" t="s">
        <v>2581</v>
      </c>
      <c r="PK183" t="s">
        <v>2582</v>
      </c>
      <c r="PL183" t="s">
        <v>885</v>
      </c>
      <c r="PP183" t="s">
        <v>618</v>
      </c>
      <c r="PX183">
        <v>56</v>
      </c>
      <c r="PY183">
        <v>57</v>
      </c>
      <c r="PZ183" t="s">
        <v>2580</v>
      </c>
      <c r="QA183">
        <v>1</v>
      </c>
      <c r="QB183">
        <v>1199</v>
      </c>
      <c r="QC183">
        <v>69</v>
      </c>
      <c r="QD183">
        <v>69</v>
      </c>
      <c r="QE183" t="s">
        <v>885</v>
      </c>
      <c r="QF183">
        <v>1</v>
      </c>
      <c r="QG183">
        <v>1213</v>
      </c>
      <c r="QH183">
        <v>66</v>
      </c>
      <c r="QI183">
        <v>66</v>
      </c>
      <c r="QL183">
        <v>0</v>
      </c>
      <c r="QM183">
        <v>62</v>
      </c>
      <c r="QN183">
        <v>62</v>
      </c>
      <c r="QO183" t="s">
        <v>2581</v>
      </c>
      <c r="QP183">
        <v>1</v>
      </c>
      <c r="QQ183">
        <v>1210</v>
      </c>
      <c r="QR183">
        <v>62</v>
      </c>
      <c r="QS183">
        <v>62</v>
      </c>
      <c r="QT183" t="s">
        <v>2582</v>
      </c>
      <c r="QU183">
        <v>1</v>
      </c>
      <c r="QV183">
        <v>1218</v>
      </c>
      <c r="QW183">
        <v>82</v>
      </c>
      <c r="QX183">
        <v>88</v>
      </c>
      <c r="QY183" t="s">
        <v>618</v>
      </c>
      <c r="QZ183">
        <v>1</v>
      </c>
      <c r="RA183">
        <v>66</v>
      </c>
      <c r="RB183">
        <v>66</v>
      </c>
      <c r="RE183">
        <v>0</v>
      </c>
      <c r="RF183">
        <v>1</v>
      </c>
      <c r="RH183">
        <v>1</v>
      </c>
      <c r="RJ183">
        <v>1</v>
      </c>
      <c r="RL183">
        <v>4</v>
      </c>
      <c r="RM183">
        <v>4</v>
      </c>
      <c r="RO183">
        <v>609</v>
      </c>
      <c r="RQ183">
        <v>722</v>
      </c>
      <c r="RR183">
        <v>638</v>
      </c>
      <c r="RT183">
        <v>228</v>
      </c>
      <c r="RU183">
        <v>212</v>
      </c>
      <c r="RV183" t="s">
        <v>623</v>
      </c>
      <c r="RW183" t="s">
        <v>552</v>
      </c>
      <c r="RX183">
        <v>15</v>
      </c>
      <c r="RY183">
        <v>4</v>
      </c>
      <c r="RZ183" t="s">
        <v>552</v>
      </c>
      <c r="SA183">
        <v>15</v>
      </c>
      <c r="SC183" t="s">
        <v>2581</v>
      </c>
      <c r="SD183">
        <v>1</v>
      </c>
      <c r="SF183" t="s">
        <v>2582</v>
      </c>
      <c r="SG183">
        <v>1</v>
      </c>
      <c r="SH183">
        <v>0.995</v>
      </c>
      <c r="SI183">
        <v>0.995</v>
      </c>
      <c r="SJ183">
        <v>0.995</v>
      </c>
      <c r="SK183">
        <v>15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Z183">
        <v>1</v>
      </c>
      <c r="TB183">
        <v>0</v>
      </c>
      <c r="TC183">
        <v>0</v>
      </c>
      <c r="TD183">
        <v>7.5</v>
      </c>
      <c r="TE183" t="s">
        <v>553</v>
      </c>
      <c r="TF183" t="s">
        <v>624</v>
      </c>
      <c r="TG183" t="s">
        <v>555</v>
      </c>
      <c r="TI183" t="s">
        <v>546</v>
      </c>
      <c r="TJ183" t="s">
        <v>547</v>
      </c>
      <c r="TL183" t="s">
        <v>2341</v>
      </c>
      <c r="TM183" t="s">
        <v>513</v>
      </c>
      <c r="TN183">
        <v>0</v>
      </c>
      <c r="TO183" t="s">
        <v>557</v>
      </c>
    </row>
    <row r="184" spans="1:535">
      <c r="A184" t="s">
        <v>2583</v>
      </c>
      <c r="B184" t="s">
        <v>657</v>
      </c>
      <c r="C184" t="s">
        <v>509</v>
      </c>
      <c r="D184" t="s">
        <v>2584</v>
      </c>
      <c r="G184" t="s">
        <v>1294</v>
      </c>
      <c r="I184" t="s">
        <v>562</v>
      </c>
      <c r="J184" t="s">
        <v>563</v>
      </c>
      <c r="L184" t="s">
        <v>512</v>
      </c>
      <c r="M184" t="s">
        <v>559</v>
      </c>
      <c r="N184" t="s">
        <v>513</v>
      </c>
      <c r="O184" t="s">
        <v>607</v>
      </c>
      <c r="Q184" t="s">
        <v>2585</v>
      </c>
      <c r="R184" t="s">
        <v>517</v>
      </c>
      <c r="S184" t="s">
        <v>631</v>
      </c>
      <c r="T184" t="s">
        <v>632</v>
      </c>
      <c r="U184" t="s">
        <v>633</v>
      </c>
      <c r="V184" t="s">
        <v>634</v>
      </c>
      <c r="W184" t="s">
        <v>2586</v>
      </c>
      <c r="X184" t="s">
        <v>2336</v>
      </c>
      <c r="Y184" t="s">
        <v>524</v>
      </c>
      <c r="Z184" t="s">
        <v>2587</v>
      </c>
      <c r="AA184" t="s">
        <v>2588</v>
      </c>
      <c r="AB184" t="s">
        <v>2589</v>
      </c>
      <c r="AC184">
        <v>2</v>
      </c>
      <c r="AD184">
        <v>57</v>
      </c>
      <c r="AE184">
        <v>167</v>
      </c>
      <c r="AF184">
        <v>1.5</v>
      </c>
      <c r="AH184">
        <v>0</v>
      </c>
      <c r="AI184" t="s">
        <v>1033</v>
      </c>
      <c r="AJ184">
        <v>177.5</v>
      </c>
      <c r="AK184">
        <v>1</v>
      </c>
      <c r="AL184">
        <v>1.5</v>
      </c>
      <c r="AM184" t="s">
        <v>529</v>
      </c>
      <c r="AO184">
        <v>0</v>
      </c>
      <c r="AR184">
        <v>0</v>
      </c>
      <c r="AS184">
        <v>1.5</v>
      </c>
      <c r="AV184" t="s">
        <v>2590</v>
      </c>
      <c r="AW184" t="s">
        <v>2590</v>
      </c>
      <c r="AX184">
        <v>1</v>
      </c>
      <c r="AY184">
        <v>247.5</v>
      </c>
      <c r="AZ184">
        <v>1.5</v>
      </c>
      <c r="BA184" t="s">
        <v>529</v>
      </c>
      <c r="BG184">
        <v>1.5</v>
      </c>
      <c r="BJ184">
        <v>0</v>
      </c>
      <c r="BN184">
        <v>1.5</v>
      </c>
      <c r="BP184" t="s">
        <v>1023</v>
      </c>
      <c r="BQ184">
        <v>84</v>
      </c>
      <c r="BR184">
        <v>2</v>
      </c>
      <c r="BS184" t="s">
        <v>947</v>
      </c>
      <c r="BT184">
        <v>189</v>
      </c>
      <c r="BU184">
        <v>0.5</v>
      </c>
      <c r="BV184" t="s">
        <v>947</v>
      </c>
      <c r="BW184">
        <v>378</v>
      </c>
      <c r="BX184">
        <v>1</v>
      </c>
      <c r="BY184" t="s">
        <v>643</v>
      </c>
      <c r="BZ184">
        <v>300</v>
      </c>
      <c r="CA184">
        <v>440</v>
      </c>
      <c r="CB184" t="s">
        <v>644</v>
      </c>
      <c r="CC184" t="s">
        <v>644</v>
      </c>
      <c r="CD184">
        <v>402</v>
      </c>
      <c r="CE184" t="s">
        <v>544</v>
      </c>
      <c r="CF184">
        <v>15</v>
      </c>
      <c r="CG184" t="s">
        <v>1024</v>
      </c>
      <c r="CH184" t="s">
        <v>1024</v>
      </c>
      <c r="CI184">
        <v>70</v>
      </c>
      <c r="CJ184">
        <v>1301</v>
      </c>
      <c r="CK184">
        <v>2</v>
      </c>
      <c r="CL184">
        <v>1395</v>
      </c>
      <c r="CM184">
        <v>2</v>
      </c>
      <c r="CN184" t="s">
        <v>646</v>
      </c>
      <c r="CO184" t="s">
        <v>647</v>
      </c>
      <c r="CP184" t="s">
        <v>648</v>
      </c>
      <c r="CQ184" t="s">
        <v>649</v>
      </c>
      <c r="CR184" t="s">
        <v>650</v>
      </c>
      <c r="CS184" t="s">
        <v>542</v>
      </c>
      <c r="CT184">
        <v>355</v>
      </c>
      <c r="CU184">
        <v>5</v>
      </c>
      <c r="CV184">
        <v>1.2</v>
      </c>
      <c r="CW184">
        <v>1314</v>
      </c>
      <c r="CX184">
        <v>661</v>
      </c>
      <c r="DD184">
        <v>0</v>
      </c>
      <c r="DE184" t="s">
        <v>543</v>
      </c>
      <c r="DF184">
        <v>495</v>
      </c>
      <c r="DG184">
        <v>3</v>
      </c>
      <c r="DH184">
        <v>1.18</v>
      </c>
      <c r="DI184">
        <v>1312</v>
      </c>
      <c r="DJ184">
        <v>1064</v>
      </c>
      <c r="DW184" t="s">
        <v>544</v>
      </c>
      <c r="DX184">
        <v>7.5</v>
      </c>
      <c r="EA184">
        <v>1381.4</v>
      </c>
      <c r="EB184">
        <v>245</v>
      </c>
      <c r="EC184" t="s">
        <v>545</v>
      </c>
      <c r="ED184">
        <v>25</v>
      </c>
      <c r="EE184">
        <v>3</v>
      </c>
      <c r="EG184">
        <v>1422</v>
      </c>
      <c r="EH184">
        <v>155</v>
      </c>
      <c r="EJ184">
        <v>0</v>
      </c>
      <c r="EK184">
        <v>1</v>
      </c>
      <c r="EN184">
        <v>0</v>
      </c>
      <c r="EP184" t="s">
        <v>546</v>
      </c>
      <c r="EQ184">
        <v>75</v>
      </c>
      <c r="ER184">
        <v>3</v>
      </c>
      <c r="ES184">
        <v>4.8</v>
      </c>
      <c r="ET184">
        <v>1294</v>
      </c>
      <c r="EU184">
        <v>326.8</v>
      </c>
      <c r="EV184">
        <v>423</v>
      </c>
      <c r="EW184" t="s">
        <v>547</v>
      </c>
      <c r="EX184">
        <v>70</v>
      </c>
      <c r="EY184">
        <v>2</v>
      </c>
      <c r="EZ184">
        <v>4</v>
      </c>
      <c r="FA184">
        <v>1294</v>
      </c>
      <c r="FB184">
        <v>212.5</v>
      </c>
      <c r="FC184">
        <v>275</v>
      </c>
      <c r="FE184">
        <v>0</v>
      </c>
      <c r="FF184">
        <v>2</v>
      </c>
      <c r="FI184">
        <v>0</v>
      </c>
      <c r="FK184" t="s">
        <v>548</v>
      </c>
      <c r="FL184">
        <v>0.4</v>
      </c>
      <c r="FM184">
        <v>80</v>
      </c>
      <c r="FN184">
        <v>150</v>
      </c>
      <c r="FR184" t="s">
        <v>548</v>
      </c>
      <c r="FS184">
        <v>0.4</v>
      </c>
      <c r="FT184">
        <v>30</v>
      </c>
      <c r="FU184">
        <v>350</v>
      </c>
      <c r="FY184" t="s">
        <v>651</v>
      </c>
      <c r="FZ184">
        <v>1</v>
      </c>
      <c r="GA184">
        <v>20</v>
      </c>
      <c r="GB184">
        <v>171</v>
      </c>
      <c r="GG184" t="s">
        <v>651</v>
      </c>
      <c r="GH184">
        <v>1</v>
      </c>
      <c r="GI184">
        <v>20</v>
      </c>
      <c r="GJ184">
        <v>171</v>
      </c>
      <c r="HC184">
        <v>0.1</v>
      </c>
      <c r="HD184">
        <v>3</v>
      </c>
      <c r="HE184">
        <v>3</v>
      </c>
      <c r="HF184">
        <v>3</v>
      </c>
      <c r="HG184">
        <v>3</v>
      </c>
      <c r="HH184">
        <v>3</v>
      </c>
      <c r="HI184">
        <v>130</v>
      </c>
      <c r="HJ184">
        <v>3</v>
      </c>
      <c r="HK184">
        <v>55</v>
      </c>
      <c r="HL184">
        <v>2</v>
      </c>
      <c r="HM184">
        <v>0</v>
      </c>
      <c r="HN184">
        <v>2</v>
      </c>
      <c r="HO184">
        <v>60</v>
      </c>
      <c r="HP184">
        <v>3</v>
      </c>
      <c r="HQ184">
        <v>0</v>
      </c>
      <c r="HR184">
        <v>2</v>
      </c>
      <c r="HS184">
        <v>3921</v>
      </c>
      <c r="HT184">
        <v>120</v>
      </c>
      <c r="HU184">
        <v>180</v>
      </c>
      <c r="HW184">
        <v>0</v>
      </c>
      <c r="HX184">
        <v>395</v>
      </c>
      <c r="HY184">
        <v>0.18</v>
      </c>
      <c r="IA184">
        <v>0.15</v>
      </c>
      <c r="IB184">
        <v>0</v>
      </c>
      <c r="IC184">
        <v>180</v>
      </c>
      <c r="ID184">
        <v>110</v>
      </c>
      <c r="IE184">
        <v>0</v>
      </c>
      <c r="IF184">
        <v>0</v>
      </c>
      <c r="IH184" t="s">
        <v>549</v>
      </c>
      <c r="IO184">
        <v>1</v>
      </c>
      <c r="IP184">
        <v>17</v>
      </c>
      <c r="IQ184">
        <v>0</v>
      </c>
      <c r="IR184">
        <v>1</v>
      </c>
      <c r="IV184">
        <v>1301</v>
      </c>
      <c r="IW184">
        <v>378</v>
      </c>
      <c r="JA184">
        <v>1</v>
      </c>
      <c r="JB184">
        <v>0</v>
      </c>
      <c r="JC184">
        <v>2</v>
      </c>
      <c r="JD184">
        <v>1314</v>
      </c>
      <c r="JE184">
        <v>1312</v>
      </c>
      <c r="JF184">
        <v>0</v>
      </c>
      <c r="JG184">
        <v>1294</v>
      </c>
      <c r="JH184">
        <v>0</v>
      </c>
      <c r="JJ184">
        <v>180</v>
      </c>
      <c r="JK184">
        <v>395</v>
      </c>
      <c r="JN184">
        <v>355</v>
      </c>
      <c r="JO184">
        <v>495</v>
      </c>
      <c r="JP184">
        <v>0</v>
      </c>
      <c r="JQ184">
        <v>0</v>
      </c>
      <c r="JR184">
        <v>334</v>
      </c>
      <c r="JS184">
        <v>130</v>
      </c>
      <c r="JV184">
        <v>8</v>
      </c>
      <c r="JW184" t="s">
        <v>550</v>
      </c>
      <c r="JX184">
        <v>0</v>
      </c>
      <c r="KA184">
        <v>0</v>
      </c>
      <c r="KB184">
        <v>110</v>
      </c>
      <c r="KC184">
        <v>0</v>
      </c>
      <c r="KD184">
        <v>80</v>
      </c>
      <c r="KF184">
        <v>4</v>
      </c>
      <c r="KG184">
        <v>2</v>
      </c>
      <c r="KH184">
        <v>2</v>
      </c>
      <c r="KI184">
        <v>2</v>
      </c>
      <c r="KJ184">
        <v>0</v>
      </c>
      <c r="KK184">
        <v>1.5</v>
      </c>
      <c r="KL184">
        <v>1.5</v>
      </c>
      <c r="KM184">
        <v>0</v>
      </c>
      <c r="KN184">
        <v>0</v>
      </c>
      <c r="KO184">
        <v>0</v>
      </c>
      <c r="KR184">
        <v>50</v>
      </c>
      <c r="KS184">
        <v>60</v>
      </c>
      <c r="KT184">
        <v>0</v>
      </c>
      <c r="LK184">
        <v>480</v>
      </c>
      <c r="PG184">
        <v>1</v>
      </c>
      <c r="PI184" t="s">
        <v>2589</v>
      </c>
      <c r="PJ184" t="s">
        <v>2590</v>
      </c>
      <c r="PL184" t="s">
        <v>1033</v>
      </c>
      <c r="PP184" t="s">
        <v>1023</v>
      </c>
      <c r="PX184">
        <v>56</v>
      </c>
      <c r="PY184">
        <v>57</v>
      </c>
      <c r="PZ184" t="s">
        <v>2589</v>
      </c>
      <c r="QA184">
        <v>1</v>
      </c>
      <c r="QB184">
        <v>1294</v>
      </c>
      <c r="QC184">
        <v>69</v>
      </c>
      <c r="QD184">
        <v>69</v>
      </c>
      <c r="QE184" t="s">
        <v>1033</v>
      </c>
      <c r="QF184">
        <v>1</v>
      </c>
      <c r="QG184">
        <v>1314</v>
      </c>
      <c r="QH184">
        <v>66</v>
      </c>
      <c r="QI184">
        <v>66</v>
      </c>
      <c r="QL184">
        <v>0</v>
      </c>
      <c r="QM184">
        <v>63</v>
      </c>
      <c r="QN184">
        <v>63</v>
      </c>
      <c r="QO184" t="s">
        <v>2590</v>
      </c>
      <c r="QP184">
        <v>1</v>
      </c>
      <c r="QQ184">
        <v>1312</v>
      </c>
      <c r="QW184">
        <v>82</v>
      </c>
      <c r="QX184">
        <v>84</v>
      </c>
      <c r="QY184" t="s">
        <v>1023</v>
      </c>
      <c r="QZ184">
        <v>1</v>
      </c>
      <c r="RA184">
        <v>66</v>
      </c>
      <c r="RB184">
        <v>66</v>
      </c>
      <c r="RE184">
        <v>0</v>
      </c>
      <c r="RG184">
        <v>1</v>
      </c>
      <c r="RJ184">
        <v>1</v>
      </c>
      <c r="RL184">
        <v>2</v>
      </c>
      <c r="RO184">
        <v>503</v>
      </c>
      <c r="RQ184">
        <v>811</v>
      </c>
      <c r="RT184">
        <v>245</v>
      </c>
      <c r="RU184">
        <v>155</v>
      </c>
      <c r="RV184" t="s">
        <v>949</v>
      </c>
      <c r="RW184" t="s">
        <v>653</v>
      </c>
      <c r="RX184">
        <v>15</v>
      </c>
      <c r="RY184">
        <v>4</v>
      </c>
      <c r="RZ184" t="s">
        <v>653</v>
      </c>
      <c r="SA184">
        <v>15</v>
      </c>
      <c r="SB184" t="s">
        <v>2591</v>
      </c>
      <c r="SC184" t="s">
        <v>2591</v>
      </c>
      <c r="SD184">
        <v>1</v>
      </c>
      <c r="SH184">
        <v>0.995</v>
      </c>
      <c r="SI184">
        <v>0.995</v>
      </c>
      <c r="SJ184">
        <v>0.995</v>
      </c>
      <c r="SK184">
        <v>15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TB184">
        <v>0</v>
      </c>
      <c r="TC184">
        <v>0</v>
      </c>
      <c r="TD184">
        <v>7.5</v>
      </c>
      <c r="TE184" t="s">
        <v>553</v>
      </c>
      <c r="TF184" t="s">
        <v>624</v>
      </c>
      <c r="TG184" t="s">
        <v>555</v>
      </c>
      <c r="TI184" t="s">
        <v>546</v>
      </c>
      <c r="TJ184" t="s">
        <v>547</v>
      </c>
      <c r="TL184" t="s">
        <v>2341</v>
      </c>
      <c r="TM184" t="s">
        <v>513</v>
      </c>
      <c r="TN184">
        <v>0</v>
      </c>
      <c r="TO184" t="s">
        <v>557</v>
      </c>
    </row>
    <row r="185" spans="1:535">
      <c r="A185" t="s">
        <v>2592</v>
      </c>
      <c r="B185" t="s">
        <v>559</v>
      </c>
      <c r="C185" t="s">
        <v>509</v>
      </c>
      <c r="D185" t="s">
        <v>2584</v>
      </c>
      <c r="G185" t="s">
        <v>1294</v>
      </c>
      <c r="I185" t="s">
        <v>562</v>
      </c>
      <c r="J185" t="s">
        <v>563</v>
      </c>
      <c r="L185" t="s">
        <v>512</v>
      </c>
      <c r="M185" t="s">
        <v>564</v>
      </c>
      <c r="N185" t="s">
        <v>513</v>
      </c>
      <c r="O185" t="s">
        <v>1255</v>
      </c>
      <c r="P185" t="s">
        <v>515</v>
      </c>
      <c r="Q185" t="s">
        <v>2593</v>
      </c>
      <c r="R185" t="s">
        <v>517</v>
      </c>
      <c r="S185" t="s">
        <v>2594</v>
      </c>
      <c r="T185" t="s">
        <v>2595</v>
      </c>
      <c r="U185" t="s">
        <v>520</v>
      </c>
      <c r="V185" t="s">
        <v>521</v>
      </c>
      <c r="W185" t="s">
        <v>1241</v>
      </c>
      <c r="X185" t="s">
        <v>2336</v>
      </c>
      <c r="Y185" t="s">
        <v>574</v>
      </c>
      <c r="Z185" t="s">
        <v>2596</v>
      </c>
      <c r="AA185" t="s">
        <v>2597</v>
      </c>
      <c r="AB185" t="s">
        <v>2598</v>
      </c>
      <c r="AC185">
        <v>2</v>
      </c>
      <c r="AD185">
        <v>57</v>
      </c>
      <c r="AE185">
        <v>252</v>
      </c>
      <c r="AF185">
        <v>1.5</v>
      </c>
      <c r="AH185">
        <v>0</v>
      </c>
      <c r="AI185" t="s">
        <v>2599</v>
      </c>
      <c r="AJ185">
        <v>232.5</v>
      </c>
      <c r="AK185">
        <v>1</v>
      </c>
      <c r="AL185">
        <v>1.5</v>
      </c>
      <c r="AM185" t="s">
        <v>579</v>
      </c>
      <c r="AN185" t="s">
        <v>693</v>
      </c>
      <c r="AO185">
        <v>2</v>
      </c>
      <c r="AP185" t="s">
        <v>581</v>
      </c>
      <c r="AQ185" t="s">
        <v>582</v>
      </c>
      <c r="AR185">
        <v>270</v>
      </c>
      <c r="AS185">
        <v>1.5</v>
      </c>
      <c r="AT185" t="s">
        <v>583</v>
      </c>
      <c r="AU185" t="s">
        <v>2600</v>
      </c>
      <c r="AW185" t="s">
        <v>2600</v>
      </c>
      <c r="AX185">
        <v>1</v>
      </c>
      <c r="AY185">
        <v>335</v>
      </c>
      <c r="AZ185">
        <v>1.5</v>
      </c>
      <c r="BA185" t="s">
        <v>579</v>
      </c>
      <c r="BB185" t="s">
        <v>2601</v>
      </c>
      <c r="BD185" t="s">
        <v>2601</v>
      </c>
      <c r="BE185">
        <v>1</v>
      </c>
      <c r="BF185">
        <v>315</v>
      </c>
      <c r="BG185">
        <v>1.5</v>
      </c>
      <c r="BJ185">
        <v>0</v>
      </c>
      <c r="BN185">
        <v>1.5</v>
      </c>
      <c r="BP185" t="s">
        <v>2602</v>
      </c>
      <c r="BQ185">
        <v>89</v>
      </c>
      <c r="BR185">
        <v>2</v>
      </c>
      <c r="BS185" t="s">
        <v>2603</v>
      </c>
      <c r="BT185">
        <v>249</v>
      </c>
      <c r="BU185">
        <v>0.5</v>
      </c>
      <c r="BV185" t="s">
        <v>2603</v>
      </c>
      <c r="BW185">
        <v>498</v>
      </c>
      <c r="BX185">
        <v>1</v>
      </c>
      <c r="BY185" t="s">
        <v>533</v>
      </c>
      <c r="BZ185">
        <v>470</v>
      </c>
      <c r="CA185">
        <v>570</v>
      </c>
      <c r="CB185" t="s">
        <v>534</v>
      </c>
      <c r="CC185" t="s">
        <v>534</v>
      </c>
      <c r="CD185">
        <v>518</v>
      </c>
      <c r="CE185" t="s">
        <v>535</v>
      </c>
      <c r="CF185">
        <v>15</v>
      </c>
      <c r="CG185" t="s">
        <v>1577</v>
      </c>
      <c r="CH185" t="s">
        <v>1577</v>
      </c>
      <c r="CI185">
        <v>50</v>
      </c>
      <c r="CJ185">
        <v>1200</v>
      </c>
      <c r="CK185">
        <v>2</v>
      </c>
      <c r="CL185">
        <v>1301</v>
      </c>
      <c r="CM185">
        <v>2</v>
      </c>
      <c r="CN185" t="s">
        <v>537</v>
      </c>
      <c r="CO185" t="s">
        <v>538</v>
      </c>
      <c r="CP185" t="s">
        <v>539</v>
      </c>
      <c r="CQ185" t="s">
        <v>1849</v>
      </c>
      <c r="CR185" t="s">
        <v>541</v>
      </c>
      <c r="CS185" t="s">
        <v>542</v>
      </c>
      <c r="CT185">
        <v>465</v>
      </c>
      <c r="CU185">
        <v>5</v>
      </c>
      <c r="CV185">
        <v>1.5</v>
      </c>
      <c r="CW185">
        <v>1219</v>
      </c>
      <c r="CX185">
        <v>1008</v>
      </c>
      <c r="CY185" t="s">
        <v>705</v>
      </c>
      <c r="CZ185">
        <v>50</v>
      </c>
      <c r="DA185">
        <v>3</v>
      </c>
      <c r="DB185">
        <v>1</v>
      </c>
      <c r="DC185">
        <v>1219</v>
      </c>
      <c r="DD185">
        <v>64</v>
      </c>
      <c r="DE185" t="s">
        <v>543</v>
      </c>
      <c r="DF185">
        <v>670</v>
      </c>
      <c r="DG185">
        <v>3</v>
      </c>
      <c r="DH185">
        <v>1.18</v>
      </c>
      <c r="DI185">
        <v>1217</v>
      </c>
      <c r="DJ185">
        <v>1577</v>
      </c>
      <c r="DK185" t="s">
        <v>543</v>
      </c>
      <c r="DL185">
        <v>630</v>
      </c>
      <c r="DM185">
        <v>3</v>
      </c>
      <c r="DN185">
        <v>1.18</v>
      </c>
      <c r="DO185">
        <v>1227</v>
      </c>
      <c r="DP185">
        <v>1113</v>
      </c>
      <c r="DW185" t="s">
        <v>544</v>
      </c>
      <c r="DX185">
        <v>7.5</v>
      </c>
      <c r="EA185">
        <v>1288.9</v>
      </c>
      <c r="EB185">
        <v>228</v>
      </c>
      <c r="EC185" t="s">
        <v>545</v>
      </c>
      <c r="ED185">
        <v>30</v>
      </c>
      <c r="EE185">
        <v>3</v>
      </c>
      <c r="EG185">
        <v>1330</v>
      </c>
      <c r="EH185">
        <v>157</v>
      </c>
      <c r="EJ185">
        <v>0</v>
      </c>
      <c r="EK185">
        <v>1</v>
      </c>
      <c r="EN185">
        <v>0</v>
      </c>
      <c r="EP185" t="s">
        <v>546</v>
      </c>
      <c r="EQ185">
        <v>155</v>
      </c>
      <c r="ER185">
        <v>3</v>
      </c>
      <c r="ES185">
        <v>10.5</v>
      </c>
      <c r="ET185">
        <v>1229</v>
      </c>
      <c r="EU185">
        <v>1099.6</v>
      </c>
      <c r="EV185">
        <v>1351</v>
      </c>
      <c r="EW185" t="s">
        <v>547</v>
      </c>
      <c r="EX185">
        <v>45</v>
      </c>
      <c r="EY185">
        <v>2</v>
      </c>
      <c r="EZ185">
        <v>4</v>
      </c>
      <c r="FA185">
        <v>1229</v>
      </c>
      <c r="FB185">
        <v>132.1</v>
      </c>
      <c r="FC185">
        <v>162</v>
      </c>
      <c r="FE185">
        <v>0</v>
      </c>
      <c r="FF185">
        <v>2</v>
      </c>
      <c r="FI185">
        <v>0</v>
      </c>
      <c r="FK185" t="s">
        <v>548</v>
      </c>
      <c r="FL185">
        <v>1</v>
      </c>
      <c r="FM185">
        <v>40</v>
      </c>
      <c r="FN185">
        <v>440</v>
      </c>
      <c r="FO185">
        <v>125</v>
      </c>
      <c r="FP185">
        <v>140</v>
      </c>
      <c r="FR185" t="s">
        <v>548</v>
      </c>
      <c r="FS185">
        <v>0.4</v>
      </c>
      <c r="FT185">
        <v>30</v>
      </c>
      <c r="FU185">
        <v>590</v>
      </c>
      <c r="GR185" t="s">
        <v>548</v>
      </c>
      <c r="GS185">
        <v>0.4</v>
      </c>
      <c r="GT185">
        <v>60</v>
      </c>
      <c r="GU185">
        <v>320</v>
      </c>
      <c r="HC185">
        <v>0.1</v>
      </c>
      <c r="HD185">
        <v>3</v>
      </c>
      <c r="HE185">
        <v>3</v>
      </c>
      <c r="HF185">
        <v>3</v>
      </c>
      <c r="HG185">
        <v>3</v>
      </c>
      <c r="HH185">
        <v>3</v>
      </c>
      <c r="HI185">
        <v>185</v>
      </c>
      <c r="HJ185">
        <v>3</v>
      </c>
      <c r="HK185">
        <v>30</v>
      </c>
      <c r="HL185">
        <v>2</v>
      </c>
      <c r="HM185">
        <v>0</v>
      </c>
      <c r="HN185">
        <v>2</v>
      </c>
      <c r="HO185">
        <v>140</v>
      </c>
      <c r="HP185">
        <v>3</v>
      </c>
      <c r="HQ185">
        <v>0</v>
      </c>
      <c r="HR185">
        <v>2</v>
      </c>
      <c r="HS185">
        <v>7622</v>
      </c>
      <c r="HT185">
        <v>230</v>
      </c>
      <c r="HU185">
        <v>180</v>
      </c>
      <c r="HW185">
        <v>0</v>
      </c>
      <c r="HX185">
        <v>505</v>
      </c>
      <c r="HY185">
        <v>0.18</v>
      </c>
      <c r="IA185">
        <v>0.15</v>
      </c>
      <c r="IB185">
        <v>0</v>
      </c>
      <c r="IC185">
        <v>180</v>
      </c>
      <c r="ID185">
        <v>110</v>
      </c>
      <c r="IE185">
        <v>225</v>
      </c>
      <c r="IF185">
        <v>0</v>
      </c>
      <c r="IH185" t="s">
        <v>549</v>
      </c>
      <c r="IO185">
        <v>3</v>
      </c>
      <c r="IP185">
        <v>16</v>
      </c>
      <c r="IQ185">
        <v>0</v>
      </c>
      <c r="IR185">
        <v>0</v>
      </c>
      <c r="IV185">
        <v>1200</v>
      </c>
      <c r="IW185">
        <v>498</v>
      </c>
      <c r="JA185">
        <v>1</v>
      </c>
      <c r="JB185">
        <v>0</v>
      </c>
      <c r="JC185">
        <v>2</v>
      </c>
      <c r="JD185">
        <v>1219</v>
      </c>
      <c r="JE185">
        <v>1217</v>
      </c>
      <c r="JF185">
        <v>1227</v>
      </c>
      <c r="JG185">
        <v>1229</v>
      </c>
      <c r="JH185">
        <v>0</v>
      </c>
      <c r="JJ185">
        <v>180</v>
      </c>
      <c r="JK185">
        <v>505</v>
      </c>
      <c r="JN185">
        <v>465</v>
      </c>
      <c r="JO185">
        <v>670</v>
      </c>
      <c r="JP185">
        <v>630</v>
      </c>
      <c r="JQ185">
        <v>0</v>
      </c>
      <c r="JR185">
        <v>504</v>
      </c>
      <c r="JS185">
        <v>185</v>
      </c>
      <c r="JV185">
        <v>8</v>
      </c>
      <c r="JW185" t="s">
        <v>550</v>
      </c>
      <c r="JX185">
        <v>540</v>
      </c>
      <c r="KA185">
        <v>225</v>
      </c>
      <c r="KB185">
        <v>110</v>
      </c>
      <c r="KC185">
        <v>0</v>
      </c>
      <c r="KD185">
        <v>80</v>
      </c>
      <c r="KF185">
        <v>4</v>
      </c>
      <c r="KG185">
        <v>2</v>
      </c>
      <c r="KH185">
        <v>2</v>
      </c>
      <c r="KI185">
        <v>2</v>
      </c>
      <c r="KJ185">
        <v>0</v>
      </c>
      <c r="KK185">
        <v>1.5</v>
      </c>
      <c r="KL185">
        <v>1.5</v>
      </c>
      <c r="KM185">
        <v>0</v>
      </c>
      <c r="KN185">
        <v>0</v>
      </c>
      <c r="KO185">
        <v>0</v>
      </c>
      <c r="KR185">
        <v>50</v>
      </c>
      <c r="KS185">
        <v>60</v>
      </c>
      <c r="KT185">
        <v>0</v>
      </c>
      <c r="LK185">
        <v>480</v>
      </c>
      <c r="PG185">
        <v>1</v>
      </c>
      <c r="PI185" t="s">
        <v>2598</v>
      </c>
      <c r="PJ185" t="s">
        <v>2600</v>
      </c>
      <c r="PK185" t="s">
        <v>2601</v>
      </c>
      <c r="PL185" t="s">
        <v>2599</v>
      </c>
      <c r="PP185" t="s">
        <v>2602</v>
      </c>
      <c r="PS185" t="s">
        <v>693</v>
      </c>
      <c r="PX185">
        <v>56</v>
      </c>
      <c r="PY185">
        <v>57</v>
      </c>
      <c r="PZ185" t="s">
        <v>2598</v>
      </c>
      <c r="QA185">
        <v>1</v>
      </c>
      <c r="QB185">
        <v>1229</v>
      </c>
      <c r="QC185">
        <v>69</v>
      </c>
      <c r="QD185">
        <v>69</v>
      </c>
      <c r="QE185" t="s">
        <v>2599</v>
      </c>
      <c r="QF185">
        <v>1</v>
      </c>
      <c r="QG185">
        <v>1219</v>
      </c>
      <c r="QH185">
        <v>66</v>
      </c>
      <c r="QI185">
        <v>66</v>
      </c>
      <c r="QJ185" t="s">
        <v>693</v>
      </c>
      <c r="QK185">
        <v>1</v>
      </c>
      <c r="QL185">
        <v>1219</v>
      </c>
      <c r="QM185">
        <v>62</v>
      </c>
      <c r="QN185">
        <v>62</v>
      </c>
      <c r="QO185" t="s">
        <v>2600</v>
      </c>
      <c r="QP185">
        <v>1</v>
      </c>
      <c r="QQ185">
        <v>1217</v>
      </c>
      <c r="QR185">
        <v>62</v>
      </c>
      <c r="QS185">
        <v>62</v>
      </c>
      <c r="QT185" t="s">
        <v>2601</v>
      </c>
      <c r="QU185">
        <v>1</v>
      </c>
      <c r="QV185">
        <v>1227</v>
      </c>
      <c r="QW185">
        <v>82</v>
      </c>
      <c r="QX185">
        <v>89</v>
      </c>
      <c r="QY185" t="s">
        <v>2602</v>
      </c>
      <c r="QZ185">
        <v>1</v>
      </c>
      <c r="RA185">
        <v>66</v>
      </c>
      <c r="RB185">
        <v>66</v>
      </c>
      <c r="RE185">
        <v>0</v>
      </c>
      <c r="RF185">
        <v>1</v>
      </c>
      <c r="RH185">
        <v>1</v>
      </c>
      <c r="RJ185">
        <v>1</v>
      </c>
      <c r="RK185">
        <v>2</v>
      </c>
      <c r="RL185">
        <v>2</v>
      </c>
      <c r="RM185">
        <v>2</v>
      </c>
      <c r="RO185">
        <v>827</v>
      </c>
      <c r="RP185">
        <v>105</v>
      </c>
      <c r="RQ185">
        <v>1296</v>
      </c>
      <c r="RR185">
        <v>907</v>
      </c>
      <c r="RT185">
        <v>228</v>
      </c>
      <c r="RU185">
        <v>157</v>
      </c>
      <c r="RV185" t="s">
        <v>2604</v>
      </c>
      <c r="RW185" t="s">
        <v>552</v>
      </c>
      <c r="RX185">
        <v>15</v>
      </c>
      <c r="RY185">
        <v>4</v>
      </c>
      <c r="RZ185" t="s">
        <v>552</v>
      </c>
      <c r="SA185">
        <v>15</v>
      </c>
      <c r="SC185" t="s">
        <v>2600</v>
      </c>
      <c r="SD185">
        <v>1</v>
      </c>
      <c r="SF185" t="s">
        <v>2601</v>
      </c>
      <c r="SG185">
        <v>1</v>
      </c>
      <c r="SH185">
        <v>0.995</v>
      </c>
      <c r="SI185">
        <v>0.995</v>
      </c>
      <c r="SJ185">
        <v>0.995</v>
      </c>
      <c r="SK185">
        <v>15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1</v>
      </c>
      <c r="SZ185">
        <v>1</v>
      </c>
      <c r="TB185">
        <v>0</v>
      </c>
      <c r="TC185">
        <v>0</v>
      </c>
      <c r="TD185">
        <v>7.5</v>
      </c>
      <c r="TE185" t="s">
        <v>553</v>
      </c>
      <c r="TF185" t="s">
        <v>624</v>
      </c>
      <c r="TG185" t="s">
        <v>555</v>
      </c>
      <c r="TI185" t="s">
        <v>546</v>
      </c>
      <c r="TJ185" t="s">
        <v>547</v>
      </c>
      <c r="TL185" t="s">
        <v>2341</v>
      </c>
      <c r="TM185" t="s">
        <v>513</v>
      </c>
      <c r="TN185">
        <v>0</v>
      </c>
      <c r="TO185" t="s">
        <v>557</v>
      </c>
    </row>
    <row r="186" spans="1:535">
      <c r="A186" t="s">
        <v>2605</v>
      </c>
      <c r="B186" t="s">
        <v>564</v>
      </c>
      <c r="C186" t="s">
        <v>509</v>
      </c>
      <c r="D186" t="s">
        <v>2565</v>
      </c>
      <c r="G186" t="s">
        <v>604</v>
      </c>
      <c r="H186" t="s">
        <v>605</v>
      </c>
      <c r="J186" t="s">
        <v>606</v>
      </c>
      <c r="L186" t="s">
        <v>512</v>
      </c>
      <c r="M186" t="s">
        <v>629</v>
      </c>
      <c r="N186" t="s">
        <v>513</v>
      </c>
      <c r="O186" t="s">
        <v>565</v>
      </c>
      <c r="Q186" t="s">
        <v>2606</v>
      </c>
      <c r="R186" t="s">
        <v>517</v>
      </c>
      <c r="S186" t="s">
        <v>939</v>
      </c>
      <c r="T186" t="s">
        <v>759</v>
      </c>
      <c r="U186" t="s">
        <v>633</v>
      </c>
      <c r="V186" t="s">
        <v>634</v>
      </c>
      <c r="W186" t="s">
        <v>2607</v>
      </c>
      <c r="X186" t="s">
        <v>2336</v>
      </c>
      <c r="Y186" t="s">
        <v>524</v>
      </c>
      <c r="Z186" t="s">
        <v>2608</v>
      </c>
      <c r="AA186" t="s">
        <v>2609</v>
      </c>
      <c r="AB186" t="s">
        <v>2610</v>
      </c>
      <c r="AC186">
        <v>2</v>
      </c>
      <c r="AD186">
        <v>57</v>
      </c>
      <c r="AE186">
        <v>175</v>
      </c>
      <c r="AF186">
        <v>1.5</v>
      </c>
      <c r="AH186">
        <v>0</v>
      </c>
      <c r="AI186" t="s">
        <v>944</v>
      </c>
      <c r="AJ186">
        <v>187.5</v>
      </c>
      <c r="AK186">
        <v>1</v>
      </c>
      <c r="AL186">
        <v>1.5</v>
      </c>
      <c r="AM186" t="s">
        <v>529</v>
      </c>
      <c r="AO186">
        <v>0</v>
      </c>
      <c r="AR186">
        <v>0</v>
      </c>
      <c r="AS186">
        <v>1.5</v>
      </c>
      <c r="AV186" t="s">
        <v>2611</v>
      </c>
      <c r="AW186" t="s">
        <v>2611</v>
      </c>
      <c r="AX186">
        <v>1</v>
      </c>
      <c r="AY186">
        <v>260</v>
      </c>
      <c r="AZ186">
        <v>1.5</v>
      </c>
      <c r="BA186" t="s">
        <v>529</v>
      </c>
      <c r="BG186">
        <v>1.5</v>
      </c>
      <c r="BJ186">
        <v>0</v>
      </c>
      <c r="BN186">
        <v>1.5</v>
      </c>
      <c r="BP186" t="s">
        <v>2612</v>
      </c>
      <c r="BQ186">
        <v>82</v>
      </c>
      <c r="BR186">
        <v>2</v>
      </c>
      <c r="BS186" t="s">
        <v>1513</v>
      </c>
      <c r="BT186">
        <v>197</v>
      </c>
      <c r="BU186">
        <v>0.5</v>
      </c>
      <c r="BV186" t="s">
        <v>1513</v>
      </c>
      <c r="BW186">
        <v>394</v>
      </c>
      <c r="BX186">
        <v>1</v>
      </c>
      <c r="BY186" t="s">
        <v>643</v>
      </c>
      <c r="BZ186">
        <v>300</v>
      </c>
      <c r="CA186">
        <v>460</v>
      </c>
      <c r="CB186" t="s">
        <v>644</v>
      </c>
      <c r="CC186" t="s">
        <v>644</v>
      </c>
      <c r="CD186">
        <v>408</v>
      </c>
      <c r="CE186" t="s">
        <v>544</v>
      </c>
      <c r="CF186">
        <v>15</v>
      </c>
      <c r="CG186" t="s">
        <v>645</v>
      </c>
      <c r="CH186" t="s">
        <v>645</v>
      </c>
      <c r="CI186">
        <v>80</v>
      </c>
      <c r="CJ186">
        <v>1301</v>
      </c>
      <c r="CK186">
        <v>2</v>
      </c>
      <c r="CL186">
        <v>1395</v>
      </c>
      <c r="CM186">
        <v>2</v>
      </c>
      <c r="CN186" t="s">
        <v>646</v>
      </c>
      <c r="CO186" t="s">
        <v>647</v>
      </c>
      <c r="CP186" t="s">
        <v>648</v>
      </c>
      <c r="CQ186" t="s">
        <v>649</v>
      </c>
      <c r="CR186" t="s">
        <v>650</v>
      </c>
      <c r="CS186" t="s">
        <v>542</v>
      </c>
      <c r="CT186">
        <v>375</v>
      </c>
      <c r="CU186">
        <v>5</v>
      </c>
      <c r="CV186">
        <v>1.2</v>
      </c>
      <c r="CW186">
        <v>1314</v>
      </c>
      <c r="CX186">
        <v>698</v>
      </c>
      <c r="DD186">
        <v>0</v>
      </c>
      <c r="DE186" t="s">
        <v>543</v>
      </c>
      <c r="DF186">
        <v>520</v>
      </c>
      <c r="DG186">
        <v>3</v>
      </c>
      <c r="DH186">
        <v>1.18</v>
      </c>
      <c r="DI186">
        <v>1312</v>
      </c>
      <c r="DJ186">
        <v>1120</v>
      </c>
      <c r="DW186" t="s">
        <v>544</v>
      </c>
      <c r="DX186">
        <v>7.5</v>
      </c>
      <c r="EA186">
        <v>1379.8</v>
      </c>
      <c r="EB186">
        <v>244</v>
      </c>
      <c r="EC186" t="s">
        <v>545</v>
      </c>
      <c r="ED186">
        <v>25</v>
      </c>
      <c r="EE186">
        <v>3</v>
      </c>
      <c r="EG186">
        <v>1421</v>
      </c>
      <c r="EH186">
        <v>155</v>
      </c>
      <c r="EJ186">
        <v>0</v>
      </c>
      <c r="EK186">
        <v>1</v>
      </c>
      <c r="EN186">
        <v>0</v>
      </c>
      <c r="EP186" t="s">
        <v>546</v>
      </c>
      <c r="EQ186">
        <v>85</v>
      </c>
      <c r="ER186">
        <v>3</v>
      </c>
      <c r="ES186">
        <v>5.5</v>
      </c>
      <c r="ET186">
        <v>1298</v>
      </c>
      <c r="EU186">
        <v>359.9</v>
      </c>
      <c r="EV186">
        <v>467</v>
      </c>
      <c r="EW186" t="s">
        <v>547</v>
      </c>
      <c r="EX186">
        <v>70</v>
      </c>
      <c r="EY186">
        <v>2</v>
      </c>
      <c r="EZ186">
        <v>4.3</v>
      </c>
      <c r="FA186">
        <v>1298</v>
      </c>
      <c r="FB186">
        <v>208.3</v>
      </c>
      <c r="FC186">
        <v>270</v>
      </c>
      <c r="FE186">
        <v>0</v>
      </c>
      <c r="FF186">
        <v>2</v>
      </c>
      <c r="FI186">
        <v>0</v>
      </c>
      <c r="FK186" t="s">
        <v>548</v>
      </c>
      <c r="FL186">
        <v>0.4</v>
      </c>
      <c r="FM186">
        <v>90</v>
      </c>
      <c r="FN186">
        <v>140</v>
      </c>
      <c r="FR186" t="s">
        <v>548</v>
      </c>
      <c r="FS186">
        <v>0.4</v>
      </c>
      <c r="FT186">
        <v>30</v>
      </c>
      <c r="FU186">
        <v>360</v>
      </c>
      <c r="FY186" t="s">
        <v>651</v>
      </c>
      <c r="FZ186">
        <v>1</v>
      </c>
      <c r="GA186">
        <v>20</v>
      </c>
      <c r="GB186">
        <v>161</v>
      </c>
      <c r="GG186" t="s">
        <v>651</v>
      </c>
      <c r="GH186">
        <v>1</v>
      </c>
      <c r="GI186">
        <v>20</v>
      </c>
      <c r="GJ186">
        <v>161</v>
      </c>
      <c r="HC186">
        <v>0.1</v>
      </c>
      <c r="HD186">
        <v>3</v>
      </c>
      <c r="HE186">
        <v>3</v>
      </c>
      <c r="HF186">
        <v>3</v>
      </c>
      <c r="HG186">
        <v>3</v>
      </c>
      <c r="HH186">
        <v>3</v>
      </c>
      <c r="HI186">
        <v>140</v>
      </c>
      <c r="HJ186">
        <v>3</v>
      </c>
      <c r="HK186">
        <v>55</v>
      </c>
      <c r="HL186">
        <v>2</v>
      </c>
      <c r="HM186">
        <v>0</v>
      </c>
      <c r="HN186">
        <v>2</v>
      </c>
      <c r="HO186">
        <v>70</v>
      </c>
      <c r="HP186">
        <v>3</v>
      </c>
      <c r="HQ186">
        <v>0</v>
      </c>
      <c r="HR186">
        <v>2</v>
      </c>
      <c r="HS186">
        <v>4090</v>
      </c>
      <c r="HT186">
        <v>120</v>
      </c>
      <c r="HU186">
        <v>180</v>
      </c>
      <c r="HW186">
        <v>0</v>
      </c>
      <c r="HX186">
        <v>475</v>
      </c>
      <c r="HY186">
        <v>0.18</v>
      </c>
      <c r="IA186">
        <v>0.15</v>
      </c>
      <c r="IB186">
        <v>0</v>
      </c>
      <c r="IC186">
        <v>180</v>
      </c>
      <c r="ID186">
        <v>110</v>
      </c>
      <c r="IE186">
        <v>0</v>
      </c>
      <c r="IF186">
        <v>0</v>
      </c>
      <c r="IH186" t="s">
        <v>549</v>
      </c>
      <c r="IO186">
        <v>1</v>
      </c>
      <c r="IP186">
        <v>17</v>
      </c>
      <c r="IQ186">
        <v>0</v>
      </c>
      <c r="IR186">
        <v>1</v>
      </c>
      <c r="IV186">
        <v>1301</v>
      </c>
      <c r="IW186">
        <v>394</v>
      </c>
      <c r="JA186">
        <v>1</v>
      </c>
      <c r="JB186">
        <v>0</v>
      </c>
      <c r="JC186">
        <v>2</v>
      </c>
      <c r="JD186">
        <v>1314</v>
      </c>
      <c r="JE186">
        <v>1312</v>
      </c>
      <c r="JF186">
        <v>0</v>
      </c>
      <c r="JG186">
        <v>1298</v>
      </c>
      <c r="JH186">
        <v>0</v>
      </c>
      <c r="JJ186">
        <v>180</v>
      </c>
      <c r="JK186">
        <v>475</v>
      </c>
      <c r="JN186">
        <v>375</v>
      </c>
      <c r="JO186">
        <v>520</v>
      </c>
      <c r="JP186">
        <v>0</v>
      </c>
      <c r="JQ186">
        <v>0</v>
      </c>
      <c r="JR186">
        <v>350</v>
      </c>
      <c r="JS186">
        <v>140</v>
      </c>
      <c r="JV186">
        <v>8</v>
      </c>
      <c r="JW186" t="s">
        <v>550</v>
      </c>
      <c r="JX186">
        <v>0</v>
      </c>
      <c r="KA186">
        <v>0</v>
      </c>
      <c r="KB186">
        <v>110</v>
      </c>
      <c r="KC186">
        <v>0</v>
      </c>
      <c r="KD186">
        <v>80</v>
      </c>
      <c r="KF186">
        <v>4</v>
      </c>
      <c r="KG186">
        <v>2</v>
      </c>
      <c r="KH186">
        <v>2</v>
      </c>
      <c r="KI186">
        <v>2</v>
      </c>
      <c r="KJ186">
        <v>0</v>
      </c>
      <c r="KK186">
        <v>1.5</v>
      </c>
      <c r="KL186">
        <v>1.5</v>
      </c>
      <c r="KM186">
        <v>0</v>
      </c>
      <c r="KN186">
        <v>0</v>
      </c>
      <c r="KO186">
        <v>0</v>
      </c>
      <c r="KR186">
        <v>30</v>
      </c>
      <c r="KS186">
        <v>60</v>
      </c>
      <c r="KT186">
        <v>0</v>
      </c>
      <c r="LK186">
        <v>480</v>
      </c>
      <c r="PG186">
        <v>1</v>
      </c>
      <c r="PI186" t="s">
        <v>2610</v>
      </c>
      <c r="PJ186" t="s">
        <v>2611</v>
      </c>
      <c r="PL186" t="s">
        <v>944</v>
      </c>
      <c r="PP186" t="s">
        <v>2612</v>
      </c>
      <c r="PX186">
        <v>56</v>
      </c>
      <c r="PY186">
        <v>57</v>
      </c>
      <c r="PZ186" t="s">
        <v>2610</v>
      </c>
      <c r="QA186">
        <v>1</v>
      </c>
      <c r="QB186">
        <v>1298</v>
      </c>
      <c r="QC186">
        <v>69</v>
      </c>
      <c r="QD186">
        <v>69</v>
      </c>
      <c r="QE186" t="s">
        <v>944</v>
      </c>
      <c r="QF186">
        <v>1</v>
      </c>
      <c r="QG186">
        <v>1314</v>
      </c>
      <c r="QH186">
        <v>66</v>
      </c>
      <c r="QI186">
        <v>66</v>
      </c>
      <c r="QL186">
        <v>0</v>
      </c>
      <c r="QM186">
        <v>63</v>
      </c>
      <c r="QN186">
        <v>63</v>
      </c>
      <c r="QO186" t="s">
        <v>2611</v>
      </c>
      <c r="QP186">
        <v>1</v>
      </c>
      <c r="QQ186">
        <v>1312</v>
      </c>
      <c r="QW186">
        <v>82</v>
      </c>
      <c r="QX186">
        <v>82</v>
      </c>
      <c r="QY186" t="s">
        <v>2612</v>
      </c>
      <c r="QZ186">
        <v>1</v>
      </c>
      <c r="RA186">
        <v>66</v>
      </c>
      <c r="RB186">
        <v>66</v>
      </c>
      <c r="RE186">
        <v>0</v>
      </c>
      <c r="RG186">
        <v>1</v>
      </c>
      <c r="RJ186">
        <v>1</v>
      </c>
      <c r="RL186">
        <v>2</v>
      </c>
      <c r="RO186">
        <v>531</v>
      </c>
      <c r="RQ186">
        <v>854</v>
      </c>
      <c r="RT186">
        <v>244</v>
      </c>
      <c r="RU186">
        <v>155</v>
      </c>
      <c r="RV186" t="s">
        <v>1514</v>
      </c>
      <c r="RW186" t="s">
        <v>653</v>
      </c>
      <c r="RX186">
        <v>15</v>
      </c>
      <c r="RY186">
        <v>4</v>
      </c>
      <c r="RZ186" t="s">
        <v>653</v>
      </c>
      <c r="SA186">
        <v>15</v>
      </c>
      <c r="SB186" t="s">
        <v>2613</v>
      </c>
      <c r="SC186" t="s">
        <v>2613</v>
      </c>
      <c r="SD186">
        <v>1</v>
      </c>
      <c r="SH186">
        <v>0.995</v>
      </c>
      <c r="SI186">
        <v>0.995</v>
      </c>
      <c r="SJ186">
        <v>0.995</v>
      </c>
      <c r="SK186">
        <v>15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TB186">
        <v>0</v>
      </c>
      <c r="TC186">
        <v>0</v>
      </c>
      <c r="TD186">
        <v>7.5</v>
      </c>
      <c r="TE186" t="s">
        <v>553</v>
      </c>
      <c r="TF186" t="s">
        <v>624</v>
      </c>
      <c r="TG186" t="s">
        <v>555</v>
      </c>
      <c r="TI186" t="s">
        <v>546</v>
      </c>
      <c r="TJ186" t="s">
        <v>547</v>
      </c>
      <c r="TL186" t="s">
        <v>2341</v>
      </c>
      <c r="TM186" t="s">
        <v>513</v>
      </c>
      <c r="TN186">
        <v>0</v>
      </c>
      <c r="TO186" t="s">
        <v>557</v>
      </c>
    </row>
    <row r="187" spans="1:535">
      <c r="A187" t="s">
        <v>2614</v>
      </c>
      <c r="B187" t="s">
        <v>559</v>
      </c>
      <c r="C187" t="s">
        <v>509</v>
      </c>
      <c r="D187" t="s">
        <v>1444</v>
      </c>
      <c r="G187" t="s">
        <v>1088</v>
      </c>
      <c r="L187" t="s">
        <v>512</v>
      </c>
      <c r="M187" t="s">
        <v>564</v>
      </c>
      <c r="N187" t="s">
        <v>513</v>
      </c>
      <c r="O187" t="s">
        <v>565</v>
      </c>
      <c r="Q187" t="s">
        <v>2615</v>
      </c>
      <c r="R187" t="s">
        <v>517</v>
      </c>
      <c r="S187" t="s">
        <v>2616</v>
      </c>
      <c r="T187" t="s">
        <v>2617</v>
      </c>
      <c r="U187" t="s">
        <v>520</v>
      </c>
      <c r="V187" t="s">
        <v>521</v>
      </c>
      <c r="W187" t="s">
        <v>1296</v>
      </c>
      <c r="X187" t="s">
        <v>2336</v>
      </c>
      <c r="Y187" t="s">
        <v>574</v>
      </c>
      <c r="Z187" t="s">
        <v>2618</v>
      </c>
      <c r="AA187" t="s">
        <v>2619</v>
      </c>
      <c r="AB187" t="s">
        <v>2620</v>
      </c>
      <c r="AC187">
        <v>2</v>
      </c>
      <c r="AD187">
        <v>57</v>
      </c>
      <c r="AE187">
        <v>266</v>
      </c>
      <c r="AF187">
        <v>1.5</v>
      </c>
      <c r="AH187">
        <v>0</v>
      </c>
      <c r="AI187" t="s">
        <v>1846</v>
      </c>
      <c r="AJ187">
        <v>245</v>
      </c>
      <c r="AK187">
        <v>1</v>
      </c>
      <c r="AL187">
        <v>1.5</v>
      </c>
      <c r="AM187" t="s">
        <v>579</v>
      </c>
      <c r="AN187" t="s">
        <v>855</v>
      </c>
      <c r="AO187">
        <v>2</v>
      </c>
      <c r="AP187" t="s">
        <v>581</v>
      </c>
      <c r="AQ187" t="s">
        <v>582</v>
      </c>
      <c r="AR187">
        <v>283</v>
      </c>
      <c r="AS187">
        <v>1.5</v>
      </c>
      <c r="AT187" t="s">
        <v>583</v>
      </c>
      <c r="AU187" t="s">
        <v>2621</v>
      </c>
      <c r="AW187" t="s">
        <v>2621</v>
      </c>
      <c r="AX187">
        <v>1</v>
      </c>
      <c r="AY187">
        <v>345</v>
      </c>
      <c r="AZ187">
        <v>1.5</v>
      </c>
      <c r="BA187" t="s">
        <v>579</v>
      </c>
      <c r="BB187" t="s">
        <v>2622</v>
      </c>
      <c r="BD187" t="s">
        <v>2622</v>
      </c>
      <c r="BE187">
        <v>1</v>
      </c>
      <c r="BF187">
        <v>287.5</v>
      </c>
      <c r="BG187">
        <v>1.5</v>
      </c>
      <c r="BJ187">
        <v>0</v>
      </c>
      <c r="BN187">
        <v>1.5</v>
      </c>
      <c r="BP187" t="s">
        <v>2602</v>
      </c>
      <c r="BQ187">
        <v>89</v>
      </c>
      <c r="BR187">
        <v>2</v>
      </c>
      <c r="BS187" t="s">
        <v>2603</v>
      </c>
      <c r="BT187">
        <v>263</v>
      </c>
      <c r="BU187">
        <v>0.5</v>
      </c>
      <c r="BV187" t="s">
        <v>2603</v>
      </c>
      <c r="BW187">
        <v>526</v>
      </c>
      <c r="BX187">
        <v>1</v>
      </c>
      <c r="BY187" t="s">
        <v>533</v>
      </c>
      <c r="BZ187">
        <v>470</v>
      </c>
      <c r="CA187">
        <v>590</v>
      </c>
      <c r="CB187" t="s">
        <v>534</v>
      </c>
      <c r="CC187" t="s">
        <v>2623</v>
      </c>
      <c r="CD187">
        <v>548</v>
      </c>
      <c r="CE187" t="s">
        <v>535</v>
      </c>
      <c r="CF187">
        <v>15</v>
      </c>
      <c r="CG187" t="s">
        <v>2624</v>
      </c>
      <c r="CH187" t="s">
        <v>2624</v>
      </c>
      <c r="CI187">
        <v>60</v>
      </c>
      <c r="CJ187">
        <v>1200</v>
      </c>
      <c r="CK187">
        <v>2</v>
      </c>
      <c r="CL187">
        <v>1301</v>
      </c>
      <c r="CM187">
        <v>2</v>
      </c>
      <c r="CN187" t="s">
        <v>537</v>
      </c>
      <c r="CO187" t="s">
        <v>538</v>
      </c>
      <c r="CP187" t="s">
        <v>539</v>
      </c>
      <c r="CQ187" t="s">
        <v>596</v>
      </c>
      <c r="CR187" t="s">
        <v>541</v>
      </c>
      <c r="CS187" t="s">
        <v>542</v>
      </c>
      <c r="CT187">
        <v>490</v>
      </c>
      <c r="CU187">
        <v>5</v>
      </c>
      <c r="CV187">
        <v>1.2</v>
      </c>
      <c r="CW187">
        <v>1218</v>
      </c>
      <c r="CX187">
        <v>847</v>
      </c>
      <c r="CY187" t="s">
        <v>597</v>
      </c>
      <c r="CZ187">
        <v>50</v>
      </c>
      <c r="DA187">
        <v>3</v>
      </c>
      <c r="DB187">
        <v>1.28</v>
      </c>
      <c r="DC187">
        <v>1218</v>
      </c>
      <c r="DD187">
        <v>86</v>
      </c>
      <c r="DE187" t="s">
        <v>543</v>
      </c>
      <c r="DF187">
        <v>690</v>
      </c>
      <c r="DG187">
        <v>3</v>
      </c>
      <c r="DH187">
        <v>1.18</v>
      </c>
      <c r="DI187">
        <v>1211</v>
      </c>
      <c r="DJ187">
        <v>1303</v>
      </c>
      <c r="DK187" t="s">
        <v>543</v>
      </c>
      <c r="DL187">
        <v>575</v>
      </c>
      <c r="DM187">
        <v>3</v>
      </c>
      <c r="DN187">
        <v>1.18</v>
      </c>
      <c r="DO187">
        <v>1219</v>
      </c>
      <c r="DP187">
        <v>1063</v>
      </c>
      <c r="DW187" t="s">
        <v>544</v>
      </c>
      <c r="DX187">
        <v>7.5</v>
      </c>
      <c r="EA187">
        <v>1288.9</v>
      </c>
      <c r="EB187">
        <v>228</v>
      </c>
      <c r="EC187" t="s">
        <v>545</v>
      </c>
      <c r="ED187">
        <v>30</v>
      </c>
      <c r="EE187">
        <v>3</v>
      </c>
      <c r="EG187">
        <v>1330</v>
      </c>
      <c r="EH187">
        <v>157</v>
      </c>
      <c r="EJ187">
        <v>0</v>
      </c>
      <c r="EK187">
        <v>1</v>
      </c>
      <c r="EN187">
        <v>0</v>
      </c>
      <c r="EP187" t="s">
        <v>546</v>
      </c>
      <c r="EQ187">
        <v>155</v>
      </c>
      <c r="ER187">
        <v>3</v>
      </c>
      <c r="ES187">
        <v>5.5</v>
      </c>
      <c r="ET187">
        <v>1198</v>
      </c>
      <c r="EU187">
        <v>689.5</v>
      </c>
      <c r="EV187">
        <v>826</v>
      </c>
      <c r="EW187" t="s">
        <v>547</v>
      </c>
      <c r="EX187">
        <v>45</v>
      </c>
      <c r="EY187">
        <v>2</v>
      </c>
      <c r="EZ187">
        <v>4</v>
      </c>
      <c r="FA187">
        <v>1198</v>
      </c>
      <c r="FB187">
        <v>131.8</v>
      </c>
      <c r="FC187">
        <v>158</v>
      </c>
      <c r="FE187">
        <v>0</v>
      </c>
      <c r="FF187">
        <v>2</v>
      </c>
      <c r="FI187">
        <v>0</v>
      </c>
      <c r="FK187" t="s">
        <v>548</v>
      </c>
      <c r="FL187">
        <v>0.4</v>
      </c>
      <c r="FM187">
        <v>40</v>
      </c>
      <c r="FN187">
        <v>460</v>
      </c>
      <c r="FO187">
        <v>120</v>
      </c>
      <c r="FP187">
        <v>150</v>
      </c>
      <c r="GR187" t="s">
        <v>548</v>
      </c>
      <c r="GS187">
        <v>0.4</v>
      </c>
      <c r="GT187">
        <v>105</v>
      </c>
      <c r="GU187">
        <v>340</v>
      </c>
      <c r="HC187">
        <v>0.1</v>
      </c>
      <c r="HD187">
        <v>3</v>
      </c>
      <c r="HE187">
        <v>3</v>
      </c>
      <c r="HF187">
        <v>3</v>
      </c>
      <c r="HG187">
        <v>3</v>
      </c>
      <c r="HH187">
        <v>3</v>
      </c>
      <c r="HI187">
        <v>185</v>
      </c>
      <c r="HJ187">
        <v>3</v>
      </c>
      <c r="HK187">
        <v>30</v>
      </c>
      <c r="HL187">
        <v>2</v>
      </c>
      <c r="HM187">
        <v>0</v>
      </c>
      <c r="HN187">
        <v>2</v>
      </c>
      <c r="HO187">
        <v>140</v>
      </c>
      <c r="HP187">
        <v>3</v>
      </c>
      <c r="HQ187">
        <v>0</v>
      </c>
      <c r="HR187">
        <v>2</v>
      </c>
      <c r="HS187">
        <v>6123</v>
      </c>
      <c r="HT187">
        <v>180</v>
      </c>
      <c r="HU187">
        <v>180</v>
      </c>
      <c r="HW187">
        <v>0</v>
      </c>
      <c r="HX187">
        <v>525</v>
      </c>
      <c r="HY187">
        <v>0.18</v>
      </c>
      <c r="IA187">
        <v>0.15</v>
      </c>
      <c r="IB187">
        <v>0</v>
      </c>
      <c r="IC187">
        <v>180</v>
      </c>
      <c r="ID187">
        <v>110</v>
      </c>
      <c r="IE187">
        <v>225</v>
      </c>
      <c r="IF187">
        <v>0</v>
      </c>
      <c r="IH187" t="s">
        <v>549</v>
      </c>
      <c r="IO187">
        <v>3</v>
      </c>
      <c r="IP187">
        <v>16</v>
      </c>
      <c r="IQ187">
        <v>0</v>
      </c>
      <c r="IR187">
        <v>0</v>
      </c>
      <c r="IV187">
        <v>1200</v>
      </c>
      <c r="IW187">
        <v>526</v>
      </c>
      <c r="JA187">
        <v>1</v>
      </c>
      <c r="JB187">
        <v>0</v>
      </c>
      <c r="JC187">
        <v>2</v>
      </c>
      <c r="JD187">
        <v>1218</v>
      </c>
      <c r="JE187">
        <v>1211</v>
      </c>
      <c r="JF187">
        <v>1219</v>
      </c>
      <c r="JG187">
        <v>1198</v>
      </c>
      <c r="JH187">
        <v>0</v>
      </c>
      <c r="JJ187">
        <v>180</v>
      </c>
      <c r="JK187">
        <v>525</v>
      </c>
      <c r="JN187">
        <v>490</v>
      </c>
      <c r="JO187">
        <v>690</v>
      </c>
      <c r="JP187">
        <v>575</v>
      </c>
      <c r="JQ187">
        <v>0</v>
      </c>
      <c r="JR187">
        <v>532</v>
      </c>
      <c r="JS187">
        <v>185</v>
      </c>
      <c r="JV187">
        <v>8</v>
      </c>
      <c r="JW187" t="s">
        <v>550</v>
      </c>
      <c r="JX187">
        <v>566</v>
      </c>
      <c r="KA187">
        <v>225</v>
      </c>
      <c r="KB187">
        <v>110</v>
      </c>
      <c r="KC187">
        <v>0</v>
      </c>
      <c r="KD187">
        <v>80</v>
      </c>
      <c r="KF187">
        <v>4</v>
      </c>
      <c r="KG187">
        <v>2</v>
      </c>
      <c r="KH187">
        <v>2</v>
      </c>
      <c r="KI187">
        <v>2</v>
      </c>
      <c r="KJ187">
        <v>0</v>
      </c>
      <c r="KK187">
        <v>1.5</v>
      </c>
      <c r="KL187">
        <v>1.5</v>
      </c>
      <c r="KM187">
        <v>0</v>
      </c>
      <c r="KN187">
        <v>0</v>
      </c>
      <c r="KO187">
        <v>0</v>
      </c>
      <c r="KR187">
        <v>20</v>
      </c>
      <c r="KS187">
        <v>60</v>
      </c>
      <c r="KT187">
        <v>0</v>
      </c>
      <c r="LK187">
        <v>480</v>
      </c>
      <c r="PG187">
        <v>1</v>
      </c>
      <c r="PI187" t="s">
        <v>2620</v>
      </c>
      <c r="PJ187" t="s">
        <v>2621</v>
      </c>
      <c r="PK187" t="s">
        <v>2622</v>
      </c>
      <c r="PL187" t="s">
        <v>1846</v>
      </c>
      <c r="PP187" t="s">
        <v>2602</v>
      </c>
      <c r="PS187" t="s">
        <v>855</v>
      </c>
      <c r="PX187">
        <v>56</v>
      </c>
      <c r="PY187">
        <v>57</v>
      </c>
      <c r="PZ187" t="s">
        <v>2620</v>
      </c>
      <c r="QA187">
        <v>3</v>
      </c>
      <c r="QB187">
        <v>1198</v>
      </c>
      <c r="QC187">
        <v>69</v>
      </c>
      <c r="QD187">
        <v>69</v>
      </c>
      <c r="QE187" t="s">
        <v>1846</v>
      </c>
      <c r="QF187">
        <v>1</v>
      </c>
      <c r="QG187">
        <v>1218</v>
      </c>
      <c r="QH187">
        <v>66</v>
      </c>
      <c r="QI187">
        <v>66</v>
      </c>
      <c r="QJ187" t="s">
        <v>855</v>
      </c>
      <c r="QK187">
        <v>1</v>
      </c>
      <c r="QL187">
        <v>1218</v>
      </c>
      <c r="QM187">
        <v>62</v>
      </c>
      <c r="QN187">
        <v>62</v>
      </c>
      <c r="QO187" t="s">
        <v>2621</v>
      </c>
      <c r="QP187">
        <v>1</v>
      </c>
      <c r="QQ187">
        <v>1211</v>
      </c>
      <c r="QR187">
        <v>62</v>
      </c>
      <c r="QS187">
        <v>62</v>
      </c>
      <c r="QT187" t="s">
        <v>2622</v>
      </c>
      <c r="QU187">
        <v>1</v>
      </c>
      <c r="QV187">
        <v>1219</v>
      </c>
      <c r="QW187">
        <v>82</v>
      </c>
      <c r="QX187">
        <v>89</v>
      </c>
      <c r="QY187" t="s">
        <v>2602</v>
      </c>
      <c r="QZ187">
        <v>1</v>
      </c>
      <c r="RA187">
        <v>66</v>
      </c>
      <c r="RB187">
        <v>66</v>
      </c>
      <c r="RE187">
        <v>0</v>
      </c>
      <c r="RF187">
        <v>1</v>
      </c>
      <c r="RH187">
        <v>1</v>
      </c>
      <c r="RJ187">
        <v>1</v>
      </c>
      <c r="RK187">
        <v>3</v>
      </c>
      <c r="RL187">
        <v>2</v>
      </c>
      <c r="RM187">
        <v>2</v>
      </c>
      <c r="RO187">
        <v>695</v>
      </c>
      <c r="RP187">
        <v>142</v>
      </c>
      <c r="RQ187">
        <v>1076</v>
      </c>
      <c r="RR187">
        <v>872</v>
      </c>
      <c r="RT187">
        <v>228</v>
      </c>
      <c r="RU187">
        <v>157</v>
      </c>
      <c r="RV187" t="s">
        <v>2604</v>
      </c>
      <c r="RW187" t="s">
        <v>552</v>
      </c>
      <c r="RX187">
        <v>15</v>
      </c>
      <c r="RY187">
        <v>4</v>
      </c>
      <c r="RZ187" t="s">
        <v>552</v>
      </c>
      <c r="SA187">
        <v>15</v>
      </c>
      <c r="SC187" t="s">
        <v>2621</v>
      </c>
      <c r="SD187">
        <v>1</v>
      </c>
      <c r="SF187" t="s">
        <v>2622</v>
      </c>
      <c r="SG187">
        <v>1</v>
      </c>
      <c r="SH187">
        <v>0.995</v>
      </c>
      <c r="SI187">
        <v>0.995</v>
      </c>
      <c r="SJ187">
        <v>0.995</v>
      </c>
      <c r="SK187">
        <v>15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1</v>
      </c>
      <c r="SZ187">
        <v>1</v>
      </c>
      <c r="TB187">
        <v>0</v>
      </c>
      <c r="TC187">
        <v>0</v>
      </c>
      <c r="TD187">
        <v>7.5</v>
      </c>
      <c r="TE187" t="s">
        <v>553</v>
      </c>
      <c r="TF187" t="s">
        <v>624</v>
      </c>
      <c r="TG187" t="s">
        <v>555</v>
      </c>
      <c r="TI187" t="s">
        <v>546</v>
      </c>
      <c r="TJ187" t="s">
        <v>547</v>
      </c>
      <c r="TL187" t="s">
        <v>2341</v>
      </c>
      <c r="TM187" t="s">
        <v>513</v>
      </c>
      <c r="TN187">
        <v>0</v>
      </c>
      <c r="TO187" t="s">
        <v>557</v>
      </c>
    </row>
    <row r="188" spans="1:535">
      <c r="A188" t="s">
        <v>2625</v>
      </c>
      <c r="B188" t="s">
        <v>564</v>
      </c>
      <c r="C188" t="s">
        <v>509</v>
      </c>
      <c r="D188" t="s">
        <v>2565</v>
      </c>
      <c r="G188" t="s">
        <v>604</v>
      </c>
      <c r="H188" t="s">
        <v>605</v>
      </c>
      <c r="J188" t="s">
        <v>606</v>
      </c>
      <c r="L188" t="s">
        <v>512</v>
      </c>
      <c r="M188" t="s">
        <v>629</v>
      </c>
      <c r="N188" t="s">
        <v>513</v>
      </c>
      <c r="Q188" t="s">
        <v>2626</v>
      </c>
      <c r="R188" t="s">
        <v>517</v>
      </c>
      <c r="S188" t="s">
        <v>819</v>
      </c>
      <c r="T188" t="s">
        <v>820</v>
      </c>
      <c r="U188" t="s">
        <v>633</v>
      </c>
      <c r="V188" t="s">
        <v>634</v>
      </c>
      <c r="W188" t="s">
        <v>2567</v>
      </c>
      <c r="X188" t="s">
        <v>2336</v>
      </c>
      <c r="Y188" t="s">
        <v>524</v>
      </c>
      <c r="Z188" t="s">
        <v>2627</v>
      </c>
      <c r="AA188" t="s">
        <v>2628</v>
      </c>
      <c r="AB188" t="s">
        <v>1622</v>
      </c>
      <c r="AC188">
        <v>2</v>
      </c>
      <c r="AD188">
        <v>56</v>
      </c>
      <c r="AE188">
        <v>185</v>
      </c>
      <c r="AF188">
        <v>1.5</v>
      </c>
      <c r="AH188">
        <v>0</v>
      </c>
      <c r="AI188" t="s">
        <v>1723</v>
      </c>
      <c r="AJ188">
        <v>195</v>
      </c>
      <c r="AK188">
        <v>1</v>
      </c>
      <c r="AL188">
        <v>1.5</v>
      </c>
      <c r="AM188" t="s">
        <v>529</v>
      </c>
      <c r="AO188">
        <v>0</v>
      </c>
      <c r="AR188">
        <v>0</v>
      </c>
      <c r="AS188">
        <v>1.5</v>
      </c>
      <c r="AU188" t="s">
        <v>2629</v>
      </c>
      <c r="AW188" t="s">
        <v>2629</v>
      </c>
      <c r="AX188">
        <v>1</v>
      </c>
      <c r="AY188">
        <v>277.5</v>
      </c>
      <c r="AZ188">
        <v>1.5</v>
      </c>
      <c r="BA188" t="s">
        <v>529</v>
      </c>
      <c r="BG188">
        <v>1.5</v>
      </c>
      <c r="BJ188">
        <v>0</v>
      </c>
      <c r="BN188">
        <v>1.5</v>
      </c>
      <c r="BP188" t="s">
        <v>1132</v>
      </c>
      <c r="BQ188">
        <v>89</v>
      </c>
      <c r="BR188">
        <v>2</v>
      </c>
      <c r="BS188" t="s">
        <v>947</v>
      </c>
      <c r="BT188">
        <v>207</v>
      </c>
      <c r="BU188">
        <v>0.5</v>
      </c>
      <c r="BV188" t="s">
        <v>947</v>
      </c>
      <c r="BW188">
        <v>414</v>
      </c>
      <c r="BX188">
        <v>1</v>
      </c>
      <c r="BY188" t="s">
        <v>643</v>
      </c>
      <c r="BZ188">
        <v>300</v>
      </c>
      <c r="CA188">
        <v>440</v>
      </c>
      <c r="CB188" t="s">
        <v>644</v>
      </c>
      <c r="CC188" t="s">
        <v>644</v>
      </c>
      <c r="CD188">
        <v>392</v>
      </c>
      <c r="CE188" t="s">
        <v>544</v>
      </c>
      <c r="CF188">
        <v>15</v>
      </c>
      <c r="CG188" t="s">
        <v>1024</v>
      </c>
      <c r="CH188" t="s">
        <v>1024</v>
      </c>
      <c r="CI188">
        <v>70</v>
      </c>
      <c r="CJ188">
        <v>1301</v>
      </c>
      <c r="CK188">
        <v>2</v>
      </c>
      <c r="CL188">
        <v>1395</v>
      </c>
      <c r="CM188">
        <v>2</v>
      </c>
      <c r="CN188" t="s">
        <v>646</v>
      </c>
      <c r="CO188" t="s">
        <v>647</v>
      </c>
      <c r="CP188" t="s">
        <v>648</v>
      </c>
      <c r="CQ188" t="s">
        <v>540</v>
      </c>
      <c r="CR188" t="s">
        <v>541</v>
      </c>
      <c r="CS188" t="s">
        <v>542</v>
      </c>
      <c r="CT188">
        <v>390</v>
      </c>
      <c r="CU188">
        <v>5</v>
      </c>
      <c r="CV188">
        <v>1.2</v>
      </c>
      <c r="CW188">
        <v>1314</v>
      </c>
      <c r="CX188">
        <v>725</v>
      </c>
      <c r="DD188">
        <v>0</v>
      </c>
      <c r="DE188" t="s">
        <v>543</v>
      </c>
      <c r="DF188">
        <v>555</v>
      </c>
      <c r="DG188">
        <v>3</v>
      </c>
      <c r="DH188">
        <v>1.18</v>
      </c>
      <c r="DI188">
        <v>1312</v>
      </c>
      <c r="DJ188">
        <v>1177</v>
      </c>
      <c r="DW188" t="s">
        <v>544</v>
      </c>
      <c r="DX188">
        <v>7.5</v>
      </c>
      <c r="EA188">
        <v>1381.4</v>
      </c>
      <c r="EB188">
        <v>245</v>
      </c>
      <c r="EC188" t="s">
        <v>545</v>
      </c>
      <c r="ED188">
        <v>35</v>
      </c>
      <c r="EE188">
        <v>3</v>
      </c>
      <c r="EG188">
        <v>1422</v>
      </c>
      <c r="EH188">
        <v>199</v>
      </c>
      <c r="EJ188">
        <v>0</v>
      </c>
      <c r="EK188">
        <v>1</v>
      </c>
      <c r="EN188">
        <v>0</v>
      </c>
      <c r="EP188" t="s">
        <v>546</v>
      </c>
      <c r="EQ188">
        <v>105</v>
      </c>
      <c r="ER188">
        <v>3</v>
      </c>
      <c r="ES188">
        <v>4.5</v>
      </c>
      <c r="ET188">
        <v>1292</v>
      </c>
      <c r="EU188">
        <v>387.6</v>
      </c>
      <c r="EV188">
        <v>501</v>
      </c>
      <c r="EW188" t="s">
        <v>547</v>
      </c>
      <c r="EX188">
        <v>70</v>
      </c>
      <c r="EY188">
        <v>2</v>
      </c>
      <c r="EZ188">
        <v>4.3</v>
      </c>
      <c r="FA188">
        <v>1292</v>
      </c>
      <c r="FB188">
        <v>208.3</v>
      </c>
      <c r="FC188">
        <v>269</v>
      </c>
      <c r="FE188">
        <v>0</v>
      </c>
      <c r="FF188">
        <v>2</v>
      </c>
      <c r="FI188">
        <v>0</v>
      </c>
      <c r="FK188" t="s">
        <v>548</v>
      </c>
      <c r="FL188">
        <v>0.4</v>
      </c>
      <c r="FM188">
        <v>105</v>
      </c>
      <c r="FN188">
        <v>140</v>
      </c>
      <c r="FR188" t="s">
        <v>548</v>
      </c>
      <c r="FS188">
        <v>0.4</v>
      </c>
      <c r="FT188">
        <v>30</v>
      </c>
      <c r="FU188">
        <v>390</v>
      </c>
      <c r="FV188">
        <v>30</v>
      </c>
      <c r="FW188">
        <v>250</v>
      </c>
      <c r="HC188">
        <v>0.1</v>
      </c>
      <c r="HD188">
        <v>3</v>
      </c>
      <c r="HE188">
        <v>3</v>
      </c>
      <c r="HF188">
        <v>3</v>
      </c>
      <c r="HG188">
        <v>3</v>
      </c>
      <c r="HH188">
        <v>3</v>
      </c>
      <c r="HI188">
        <v>160</v>
      </c>
      <c r="HJ188">
        <v>3</v>
      </c>
      <c r="HK188">
        <v>55</v>
      </c>
      <c r="HL188">
        <v>2</v>
      </c>
      <c r="HM188">
        <v>0</v>
      </c>
      <c r="HN188">
        <v>2</v>
      </c>
      <c r="HO188">
        <v>90</v>
      </c>
      <c r="HP188">
        <v>3</v>
      </c>
      <c r="HQ188">
        <v>0</v>
      </c>
      <c r="HR188">
        <v>2</v>
      </c>
      <c r="HS188">
        <v>4330</v>
      </c>
      <c r="HT188">
        <v>130</v>
      </c>
      <c r="HU188">
        <v>180</v>
      </c>
      <c r="HW188">
        <v>0</v>
      </c>
      <c r="HX188">
        <v>440</v>
      </c>
      <c r="HY188">
        <v>0.18</v>
      </c>
      <c r="IA188">
        <v>0.15</v>
      </c>
      <c r="IB188">
        <v>0</v>
      </c>
      <c r="IC188">
        <v>180</v>
      </c>
      <c r="ID188">
        <v>110</v>
      </c>
      <c r="IE188">
        <v>0</v>
      </c>
      <c r="IF188">
        <v>0</v>
      </c>
      <c r="IH188" t="s">
        <v>549</v>
      </c>
      <c r="IO188">
        <v>1</v>
      </c>
      <c r="IP188">
        <v>17</v>
      </c>
      <c r="IQ188">
        <v>0</v>
      </c>
      <c r="IR188">
        <v>1</v>
      </c>
      <c r="IV188">
        <v>1301</v>
      </c>
      <c r="IW188">
        <v>414</v>
      </c>
      <c r="JA188">
        <v>1</v>
      </c>
      <c r="JB188">
        <v>0</v>
      </c>
      <c r="JC188">
        <v>2</v>
      </c>
      <c r="JD188">
        <v>1314</v>
      </c>
      <c r="JE188">
        <v>1312</v>
      </c>
      <c r="JF188">
        <v>0</v>
      </c>
      <c r="JG188">
        <v>1292</v>
      </c>
      <c r="JH188">
        <v>0</v>
      </c>
      <c r="JJ188">
        <v>180</v>
      </c>
      <c r="JK188">
        <v>440</v>
      </c>
      <c r="JN188">
        <v>390</v>
      </c>
      <c r="JO188">
        <v>555</v>
      </c>
      <c r="JP188">
        <v>0</v>
      </c>
      <c r="JQ188">
        <v>0</v>
      </c>
      <c r="JR188">
        <v>370</v>
      </c>
      <c r="JS188">
        <v>160</v>
      </c>
      <c r="JV188">
        <v>8</v>
      </c>
      <c r="JW188" t="s">
        <v>550</v>
      </c>
      <c r="JX188">
        <v>0</v>
      </c>
      <c r="KA188">
        <v>0</v>
      </c>
      <c r="KB188">
        <v>110</v>
      </c>
      <c r="KC188">
        <v>0</v>
      </c>
      <c r="KD188">
        <v>80</v>
      </c>
      <c r="KF188">
        <v>4</v>
      </c>
      <c r="KG188">
        <v>2</v>
      </c>
      <c r="KH188">
        <v>2</v>
      </c>
      <c r="KI188">
        <v>2</v>
      </c>
      <c r="KJ188">
        <v>0</v>
      </c>
      <c r="KK188">
        <v>1.5</v>
      </c>
      <c r="KL188">
        <v>1.5</v>
      </c>
      <c r="KM188">
        <v>0</v>
      </c>
      <c r="KN188">
        <v>0</v>
      </c>
      <c r="KO188">
        <v>0</v>
      </c>
      <c r="KR188">
        <v>50</v>
      </c>
      <c r="KS188">
        <v>60</v>
      </c>
      <c r="KT188">
        <v>0</v>
      </c>
      <c r="LK188">
        <v>480</v>
      </c>
      <c r="PG188">
        <v>1</v>
      </c>
      <c r="PI188" t="s">
        <v>1622</v>
      </c>
      <c r="PJ188" t="s">
        <v>2629</v>
      </c>
      <c r="PL188" t="s">
        <v>1723</v>
      </c>
      <c r="PP188" t="s">
        <v>1132</v>
      </c>
      <c r="PX188">
        <v>56</v>
      </c>
      <c r="PY188">
        <v>56</v>
      </c>
      <c r="PZ188" t="s">
        <v>1622</v>
      </c>
      <c r="QA188">
        <v>3</v>
      </c>
      <c r="QB188">
        <v>1292</v>
      </c>
      <c r="QC188">
        <v>69</v>
      </c>
      <c r="QD188">
        <v>69</v>
      </c>
      <c r="QE188" t="s">
        <v>1723</v>
      </c>
      <c r="QF188">
        <v>1</v>
      </c>
      <c r="QG188">
        <v>1314</v>
      </c>
      <c r="QH188">
        <v>66</v>
      </c>
      <c r="QI188">
        <v>66</v>
      </c>
      <c r="QL188">
        <v>0</v>
      </c>
      <c r="QM188">
        <v>62</v>
      </c>
      <c r="QN188">
        <v>62</v>
      </c>
      <c r="QO188" t="s">
        <v>2629</v>
      </c>
      <c r="QP188">
        <v>1</v>
      </c>
      <c r="QQ188">
        <v>1312</v>
      </c>
      <c r="QW188">
        <v>82</v>
      </c>
      <c r="QX188">
        <v>89</v>
      </c>
      <c r="QY188" t="s">
        <v>1132</v>
      </c>
      <c r="QZ188">
        <v>1</v>
      </c>
      <c r="RA188">
        <v>66</v>
      </c>
      <c r="RB188">
        <v>66</v>
      </c>
      <c r="RE188">
        <v>0</v>
      </c>
      <c r="RF188">
        <v>1</v>
      </c>
      <c r="RJ188">
        <v>1</v>
      </c>
      <c r="RL188">
        <v>2</v>
      </c>
      <c r="RO188">
        <v>552</v>
      </c>
      <c r="RQ188">
        <v>897</v>
      </c>
      <c r="RT188">
        <v>245</v>
      </c>
      <c r="RU188">
        <v>199</v>
      </c>
      <c r="RV188" t="s">
        <v>949</v>
      </c>
      <c r="RW188" t="s">
        <v>653</v>
      </c>
      <c r="RX188">
        <v>15</v>
      </c>
      <c r="RY188">
        <v>4</v>
      </c>
      <c r="RZ188" t="s">
        <v>653</v>
      </c>
      <c r="SA188">
        <v>15</v>
      </c>
      <c r="SC188" t="s">
        <v>2629</v>
      </c>
      <c r="SD188">
        <v>1</v>
      </c>
      <c r="SH188">
        <v>0.995</v>
      </c>
      <c r="SI188">
        <v>0.995</v>
      </c>
      <c r="SJ188">
        <v>0.995</v>
      </c>
      <c r="SK188">
        <v>15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TB188">
        <v>0</v>
      </c>
      <c r="TC188">
        <v>0</v>
      </c>
      <c r="TD188">
        <v>7.5</v>
      </c>
      <c r="TE188" t="s">
        <v>553</v>
      </c>
      <c r="TF188" t="s">
        <v>624</v>
      </c>
      <c r="TG188" t="s">
        <v>555</v>
      </c>
      <c r="TI188" t="s">
        <v>546</v>
      </c>
      <c r="TJ188" t="s">
        <v>547</v>
      </c>
      <c r="TL188" t="s">
        <v>2341</v>
      </c>
      <c r="TM188" t="s">
        <v>513</v>
      </c>
      <c r="TN188">
        <v>0</v>
      </c>
      <c r="TO188" t="s">
        <v>557</v>
      </c>
    </row>
    <row r="189" spans="1:535">
      <c r="A189" t="s">
        <v>2630</v>
      </c>
      <c r="B189" t="s">
        <v>629</v>
      </c>
      <c r="C189" t="s">
        <v>509</v>
      </c>
      <c r="D189" t="s">
        <v>2370</v>
      </c>
      <c r="G189" t="s">
        <v>604</v>
      </c>
      <c r="H189" t="s">
        <v>1088</v>
      </c>
      <c r="I189" t="s">
        <v>628</v>
      </c>
      <c r="J189" t="s">
        <v>606</v>
      </c>
      <c r="L189" t="s">
        <v>512</v>
      </c>
      <c r="M189" t="s">
        <v>711</v>
      </c>
      <c r="N189" t="s">
        <v>513</v>
      </c>
      <c r="O189" t="s">
        <v>565</v>
      </c>
      <c r="Q189" t="s">
        <v>2631</v>
      </c>
      <c r="R189" t="s">
        <v>517</v>
      </c>
      <c r="S189" t="s">
        <v>742</v>
      </c>
      <c r="T189" t="s">
        <v>743</v>
      </c>
      <c r="U189" t="s">
        <v>633</v>
      </c>
      <c r="V189" t="s">
        <v>634</v>
      </c>
      <c r="W189" t="s">
        <v>522</v>
      </c>
      <c r="X189" t="s">
        <v>2336</v>
      </c>
      <c r="Y189" t="s">
        <v>524</v>
      </c>
      <c r="Z189" t="s">
        <v>2632</v>
      </c>
      <c r="AA189" t="s">
        <v>2633</v>
      </c>
      <c r="AB189" t="s">
        <v>2634</v>
      </c>
      <c r="AC189">
        <v>2</v>
      </c>
      <c r="AD189">
        <v>57</v>
      </c>
      <c r="AE189">
        <v>160</v>
      </c>
      <c r="AF189">
        <v>1.5</v>
      </c>
      <c r="AH189">
        <v>0</v>
      </c>
      <c r="AI189" t="s">
        <v>1021</v>
      </c>
      <c r="AJ189">
        <v>172.5</v>
      </c>
      <c r="AK189">
        <v>1</v>
      </c>
      <c r="AL189">
        <v>1.5</v>
      </c>
      <c r="AM189" t="s">
        <v>529</v>
      </c>
      <c r="AO189">
        <v>0</v>
      </c>
      <c r="AR189">
        <v>0</v>
      </c>
      <c r="AS189">
        <v>1.5</v>
      </c>
      <c r="AV189" t="s">
        <v>2635</v>
      </c>
      <c r="AW189" t="s">
        <v>2635</v>
      </c>
      <c r="AX189">
        <v>1</v>
      </c>
      <c r="AY189">
        <v>240</v>
      </c>
      <c r="AZ189">
        <v>1.5</v>
      </c>
      <c r="BA189" t="s">
        <v>529</v>
      </c>
      <c r="BG189">
        <v>1.5</v>
      </c>
      <c r="BJ189">
        <v>0</v>
      </c>
      <c r="BN189">
        <v>1.5</v>
      </c>
      <c r="BP189" t="s">
        <v>1023</v>
      </c>
      <c r="BQ189">
        <v>84</v>
      </c>
      <c r="BR189">
        <v>2</v>
      </c>
      <c r="BS189" t="s">
        <v>947</v>
      </c>
      <c r="BT189">
        <v>183</v>
      </c>
      <c r="BU189">
        <v>0.5</v>
      </c>
      <c r="BV189" t="s">
        <v>947</v>
      </c>
      <c r="BW189">
        <v>366</v>
      </c>
      <c r="BX189">
        <v>1</v>
      </c>
      <c r="BY189" t="s">
        <v>643</v>
      </c>
      <c r="BZ189">
        <v>300</v>
      </c>
      <c r="CA189">
        <v>440</v>
      </c>
      <c r="CB189" t="s">
        <v>644</v>
      </c>
      <c r="CC189" t="s">
        <v>644</v>
      </c>
      <c r="CD189">
        <v>396</v>
      </c>
      <c r="CE189" t="s">
        <v>544</v>
      </c>
      <c r="CF189">
        <v>15</v>
      </c>
      <c r="CG189" t="s">
        <v>1024</v>
      </c>
      <c r="CH189" t="s">
        <v>1024</v>
      </c>
      <c r="CI189">
        <v>70</v>
      </c>
      <c r="CJ189">
        <v>1301</v>
      </c>
      <c r="CK189">
        <v>2</v>
      </c>
      <c r="CL189">
        <v>1395</v>
      </c>
      <c r="CM189">
        <v>2</v>
      </c>
      <c r="CN189" t="s">
        <v>646</v>
      </c>
      <c r="CO189" t="s">
        <v>647</v>
      </c>
      <c r="CP189" t="s">
        <v>648</v>
      </c>
      <c r="CQ189" t="s">
        <v>649</v>
      </c>
      <c r="CR189" t="s">
        <v>650</v>
      </c>
      <c r="CS189" t="s">
        <v>542</v>
      </c>
      <c r="CT189">
        <v>345</v>
      </c>
      <c r="CU189">
        <v>5</v>
      </c>
      <c r="CV189">
        <v>1.2</v>
      </c>
      <c r="CW189">
        <v>1314</v>
      </c>
      <c r="CX189">
        <v>641</v>
      </c>
      <c r="DD189">
        <v>0</v>
      </c>
      <c r="DE189" t="s">
        <v>543</v>
      </c>
      <c r="DF189">
        <v>480</v>
      </c>
      <c r="DG189">
        <v>3</v>
      </c>
      <c r="DH189">
        <v>1.18</v>
      </c>
      <c r="DI189">
        <v>1312</v>
      </c>
      <c r="DJ189">
        <v>1043</v>
      </c>
      <c r="DW189" t="s">
        <v>544</v>
      </c>
      <c r="DX189">
        <v>7.5</v>
      </c>
      <c r="EA189">
        <v>1381.4</v>
      </c>
      <c r="EB189">
        <v>245</v>
      </c>
      <c r="EC189" t="s">
        <v>545</v>
      </c>
      <c r="ED189">
        <v>25</v>
      </c>
      <c r="EE189">
        <v>3</v>
      </c>
      <c r="EG189">
        <v>1422</v>
      </c>
      <c r="EH189">
        <v>155</v>
      </c>
      <c r="EJ189">
        <v>0</v>
      </c>
      <c r="EK189">
        <v>1</v>
      </c>
      <c r="EN189">
        <v>0</v>
      </c>
      <c r="EP189" t="s">
        <v>546</v>
      </c>
      <c r="EQ189">
        <v>60</v>
      </c>
      <c r="ER189">
        <v>3</v>
      </c>
      <c r="ES189">
        <v>5.5</v>
      </c>
      <c r="ET189">
        <v>1298</v>
      </c>
      <c r="EU189">
        <v>251.6</v>
      </c>
      <c r="EV189">
        <v>327</v>
      </c>
      <c r="EW189" t="s">
        <v>547</v>
      </c>
      <c r="EX189">
        <v>70</v>
      </c>
      <c r="EY189">
        <v>2</v>
      </c>
      <c r="EZ189">
        <v>3.7</v>
      </c>
      <c r="FA189">
        <v>1298</v>
      </c>
      <c r="FB189">
        <v>195.8</v>
      </c>
      <c r="FC189">
        <v>254</v>
      </c>
      <c r="FE189">
        <v>0</v>
      </c>
      <c r="FF189">
        <v>2</v>
      </c>
      <c r="FI189">
        <v>0</v>
      </c>
      <c r="FK189" t="s">
        <v>548</v>
      </c>
      <c r="FL189">
        <v>0.4</v>
      </c>
      <c r="FM189">
        <v>70</v>
      </c>
      <c r="FN189">
        <v>150</v>
      </c>
      <c r="FR189" t="s">
        <v>548</v>
      </c>
      <c r="FS189">
        <v>0.6</v>
      </c>
      <c r="FT189">
        <v>30</v>
      </c>
      <c r="FU189">
        <v>330</v>
      </c>
      <c r="FY189" t="s">
        <v>651</v>
      </c>
      <c r="FZ189">
        <v>1</v>
      </c>
      <c r="GA189">
        <v>20</v>
      </c>
      <c r="GB189">
        <v>176</v>
      </c>
      <c r="GG189" t="s">
        <v>651</v>
      </c>
      <c r="GH189">
        <v>1</v>
      </c>
      <c r="GI189">
        <v>20</v>
      </c>
      <c r="GJ189">
        <v>176</v>
      </c>
      <c r="HC189">
        <v>0.1</v>
      </c>
      <c r="HD189">
        <v>3</v>
      </c>
      <c r="HE189">
        <v>3</v>
      </c>
      <c r="HF189">
        <v>3</v>
      </c>
      <c r="HG189">
        <v>3</v>
      </c>
      <c r="HH189">
        <v>3</v>
      </c>
      <c r="HI189">
        <v>115</v>
      </c>
      <c r="HJ189">
        <v>3</v>
      </c>
      <c r="HK189">
        <v>55</v>
      </c>
      <c r="HL189">
        <v>2</v>
      </c>
      <c r="HM189">
        <v>0</v>
      </c>
      <c r="HN189">
        <v>2</v>
      </c>
      <c r="HO189">
        <v>45</v>
      </c>
      <c r="HP189">
        <v>3</v>
      </c>
      <c r="HQ189">
        <v>0</v>
      </c>
      <c r="HR189">
        <v>2</v>
      </c>
      <c r="HS189">
        <v>3646</v>
      </c>
      <c r="HT189">
        <v>110</v>
      </c>
      <c r="HU189">
        <v>180</v>
      </c>
      <c r="HW189">
        <v>0</v>
      </c>
      <c r="HX189">
        <v>360</v>
      </c>
      <c r="HY189">
        <v>0.18</v>
      </c>
      <c r="IA189">
        <v>0.15</v>
      </c>
      <c r="IB189">
        <v>0</v>
      </c>
      <c r="IC189">
        <v>180</v>
      </c>
      <c r="ID189">
        <v>110</v>
      </c>
      <c r="IE189">
        <v>0</v>
      </c>
      <c r="IF189">
        <v>0</v>
      </c>
      <c r="IH189" t="s">
        <v>549</v>
      </c>
      <c r="IO189">
        <v>1</v>
      </c>
      <c r="IP189">
        <v>17</v>
      </c>
      <c r="IQ189">
        <v>0</v>
      </c>
      <c r="IR189">
        <v>1</v>
      </c>
      <c r="IV189">
        <v>1301</v>
      </c>
      <c r="IW189">
        <v>366</v>
      </c>
      <c r="JA189">
        <v>1</v>
      </c>
      <c r="JB189">
        <v>0</v>
      </c>
      <c r="JC189">
        <v>2</v>
      </c>
      <c r="JD189">
        <v>1314</v>
      </c>
      <c r="JE189">
        <v>1312</v>
      </c>
      <c r="JF189">
        <v>0</v>
      </c>
      <c r="JG189">
        <v>1298</v>
      </c>
      <c r="JH189">
        <v>0</v>
      </c>
      <c r="JJ189">
        <v>180</v>
      </c>
      <c r="JK189">
        <v>360</v>
      </c>
      <c r="JN189">
        <v>345</v>
      </c>
      <c r="JO189">
        <v>480</v>
      </c>
      <c r="JP189">
        <v>0</v>
      </c>
      <c r="JQ189">
        <v>0</v>
      </c>
      <c r="JR189">
        <v>320</v>
      </c>
      <c r="JS189">
        <v>115</v>
      </c>
      <c r="JV189">
        <v>8</v>
      </c>
      <c r="JW189" t="s">
        <v>550</v>
      </c>
      <c r="JX189">
        <v>0</v>
      </c>
      <c r="KA189">
        <v>0</v>
      </c>
      <c r="KB189">
        <v>110</v>
      </c>
      <c r="KC189">
        <v>0</v>
      </c>
      <c r="KD189">
        <v>80</v>
      </c>
      <c r="KF189">
        <v>4</v>
      </c>
      <c r="KG189">
        <v>2</v>
      </c>
      <c r="KH189">
        <v>2</v>
      </c>
      <c r="KI189">
        <v>2</v>
      </c>
      <c r="KJ189">
        <v>0</v>
      </c>
      <c r="KK189">
        <v>1.5</v>
      </c>
      <c r="KL189">
        <v>1.5</v>
      </c>
      <c r="KM189">
        <v>0</v>
      </c>
      <c r="KN189">
        <v>0</v>
      </c>
      <c r="KO189">
        <v>0</v>
      </c>
      <c r="KR189">
        <v>25</v>
      </c>
      <c r="KS189">
        <v>60</v>
      </c>
      <c r="KT189">
        <v>0</v>
      </c>
      <c r="LK189">
        <v>480</v>
      </c>
      <c r="PG189">
        <v>1</v>
      </c>
      <c r="PI189" t="s">
        <v>2634</v>
      </c>
      <c r="PJ189" t="s">
        <v>2635</v>
      </c>
      <c r="PL189" t="s">
        <v>1021</v>
      </c>
      <c r="PP189" t="s">
        <v>1023</v>
      </c>
      <c r="PX189">
        <v>56</v>
      </c>
      <c r="PY189">
        <v>57</v>
      </c>
      <c r="PZ189" t="s">
        <v>2634</v>
      </c>
      <c r="QA189">
        <v>2</v>
      </c>
      <c r="QB189">
        <v>1298</v>
      </c>
      <c r="QC189">
        <v>69</v>
      </c>
      <c r="QD189">
        <v>69</v>
      </c>
      <c r="QE189" t="s">
        <v>1021</v>
      </c>
      <c r="QF189">
        <v>1</v>
      </c>
      <c r="QG189">
        <v>1314</v>
      </c>
      <c r="QH189">
        <v>66</v>
      </c>
      <c r="QI189">
        <v>66</v>
      </c>
      <c r="QL189">
        <v>0</v>
      </c>
      <c r="QM189">
        <v>63</v>
      </c>
      <c r="QN189">
        <v>63</v>
      </c>
      <c r="QO189" t="s">
        <v>2635</v>
      </c>
      <c r="QP189">
        <v>1</v>
      </c>
      <c r="QQ189">
        <v>1312</v>
      </c>
      <c r="QW189">
        <v>82</v>
      </c>
      <c r="QX189">
        <v>84</v>
      </c>
      <c r="QY189" t="s">
        <v>1023</v>
      </c>
      <c r="QZ189">
        <v>1</v>
      </c>
      <c r="RA189">
        <v>66</v>
      </c>
      <c r="RB189">
        <v>66</v>
      </c>
      <c r="RE189">
        <v>0</v>
      </c>
      <c r="RG189">
        <v>1</v>
      </c>
      <c r="RJ189">
        <v>1</v>
      </c>
      <c r="RL189">
        <v>2</v>
      </c>
      <c r="RO189">
        <v>488</v>
      </c>
      <c r="RQ189">
        <v>795</v>
      </c>
      <c r="RT189">
        <v>245</v>
      </c>
      <c r="RU189">
        <v>155</v>
      </c>
      <c r="RV189" t="s">
        <v>949</v>
      </c>
      <c r="RW189" t="s">
        <v>653</v>
      </c>
      <c r="RX189">
        <v>15</v>
      </c>
      <c r="RY189">
        <v>4</v>
      </c>
      <c r="RZ189" t="s">
        <v>653</v>
      </c>
      <c r="SA189">
        <v>15</v>
      </c>
      <c r="SB189" t="s">
        <v>2636</v>
      </c>
      <c r="SC189" t="s">
        <v>2636</v>
      </c>
      <c r="SD189">
        <v>1</v>
      </c>
      <c r="SH189">
        <v>0.995</v>
      </c>
      <c r="SI189">
        <v>0.995</v>
      </c>
      <c r="SJ189">
        <v>0.995</v>
      </c>
      <c r="SK189">
        <v>15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TB189">
        <v>1</v>
      </c>
      <c r="TC189">
        <v>0</v>
      </c>
      <c r="TD189">
        <v>7.5</v>
      </c>
      <c r="TE189" t="s">
        <v>553</v>
      </c>
      <c r="TF189" t="s">
        <v>624</v>
      </c>
      <c r="TG189" t="s">
        <v>555</v>
      </c>
      <c r="TI189" t="s">
        <v>546</v>
      </c>
      <c r="TJ189" t="s">
        <v>547</v>
      </c>
      <c r="TL189" t="s">
        <v>2341</v>
      </c>
      <c r="TM189" t="s">
        <v>513</v>
      </c>
      <c r="TN189">
        <v>0</v>
      </c>
      <c r="TO189" t="s">
        <v>557</v>
      </c>
    </row>
    <row r="190" spans="1:535">
      <c r="A190" t="s">
        <v>2637</v>
      </c>
      <c r="B190" t="s">
        <v>629</v>
      </c>
      <c r="C190" t="s">
        <v>509</v>
      </c>
      <c r="D190" t="s">
        <v>2638</v>
      </c>
      <c r="G190" t="s">
        <v>604</v>
      </c>
      <c r="H190" t="s">
        <v>605</v>
      </c>
      <c r="I190" t="s">
        <v>628</v>
      </c>
      <c r="J190" t="s">
        <v>606</v>
      </c>
      <c r="L190" t="s">
        <v>512</v>
      </c>
      <c r="M190" t="s">
        <v>711</v>
      </c>
      <c r="N190" t="s">
        <v>513</v>
      </c>
      <c r="O190" t="s">
        <v>565</v>
      </c>
      <c r="Q190" t="s">
        <v>2639</v>
      </c>
      <c r="R190" t="s">
        <v>517</v>
      </c>
      <c r="S190" t="s">
        <v>1126</v>
      </c>
      <c r="T190" t="s">
        <v>1127</v>
      </c>
      <c r="U190" t="s">
        <v>633</v>
      </c>
      <c r="V190" t="s">
        <v>634</v>
      </c>
      <c r="W190" t="s">
        <v>2607</v>
      </c>
      <c r="X190" t="s">
        <v>2336</v>
      </c>
      <c r="Y190" t="s">
        <v>524</v>
      </c>
      <c r="Z190" t="s">
        <v>2640</v>
      </c>
      <c r="AA190" t="s">
        <v>2641</v>
      </c>
      <c r="AB190" t="s">
        <v>2642</v>
      </c>
      <c r="AC190">
        <v>2</v>
      </c>
      <c r="AD190">
        <v>57</v>
      </c>
      <c r="AE190">
        <v>179</v>
      </c>
      <c r="AF190">
        <v>1.5</v>
      </c>
      <c r="AH190">
        <v>0</v>
      </c>
      <c r="AI190" t="s">
        <v>764</v>
      </c>
      <c r="AJ190">
        <v>190</v>
      </c>
      <c r="AK190">
        <v>1</v>
      </c>
      <c r="AL190">
        <v>1.5</v>
      </c>
      <c r="AM190" t="s">
        <v>529</v>
      </c>
      <c r="AO190">
        <v>0</v>
      </c>
      <c r="AR190">
        <v>0</v>
      </c>
      <c r="AS190">
        <v>1.5</v>
      </c>
      <c r="AV190" t="s">
        <v>2643</v>
      </c>
      <c r="AW190" t="s">
        <v>2643</v>
      </c>
      <c r="AX190">
        <v>1</v>
      </c>
      <c r="AY190">
        <v>262.5</v>
      </c>
      <c r="AZ190">
        <v>1.5</v>
      </c>
      <c r="BA190" t="s">
        <v>529</v>
      </c>
      <c r="BG190">
        <v>1.5</v>
      </c>
      <c r="BJ190">
        <v>0</v>
      </c>
      <c r="BN190">
        <v>1.5</v>
      </c>
      <c r="BP190" t="s">
        <v>1023</v>
      </c>
      <c r="BQ190">
        <v>84</v>
      </c>
      <c r="BR190">
        <v>2</v>
      </c>
      <c r="BS190" t="s">
        <v>947</v>
      </c>
      <c r="BT190">
        <v>201</v>
      </c>
      <c r="BU190">
        <v>0.5</v>
      </c>
      <c r="BV190" t="s">
        <v>947</v>
      </c>
      <c r="BW190">
        <v>402</v>
      </c>
      <c r="BX190">
        <v>1</v>
      </c>
      <c r="BY190" t="s">
        <v>643</v>
      </c>
      <c r="BZ190">
        <v>300</v>
      </c>
      <c r="CA190">
        <v>440</v>
      </c>
      <c r="CB190" t="s">
        <v>644</v>
      </c>
      <c r="CC190" t="s">
        <v>644</v>
      </c>
      <c r="CD190">
        <v>392</v>
      </c>
      <c r="CE190" t="s">
        <v>544</v>
      </c>
      <c r="CF190">
        <v>15</v>
      </c>
      <c r="CG190" t="s">
        <v>1024</v>
      </c>
      <c r="CH190" t="s">
        <v>1024</v>
      </c>
      <c r="CI190">
        <v>70</v>
      </c>
      <c r="CJ190">
        <v>1301</v>
      </c>
      <c r="CK190">
        <v>2</v>
      </c>
      <c r="CL190">
        <v>1395</v>
      </c>
      <c r="CM190">
        <v>2</v>
      </c>
      <c r="CN190" t="s">
        <v>646</v>
      </c>
      <c r="CO190" t="s">
        <v>647</v>
      </c>
      <c r="CP190" t="s">
        <v>648</v>
      </c>
      <c r="CQ190" t="s">
        <v>649</v>
      </c>
      <c r="CR190" t="s">
        <v>650</v>
      </c>
      <c r="CS190" t="s">
        <v>542</v>
      </c>
      <c r="CT190">
        <v>380</v>
      </c>
      <c r="CU190">
        <v>5</v>
      </c>
      <c r="CV190">
        <v>1.2</v>
      </c>
      <c r="CW190">
        <v>1314</v>
      </c>
      <c r="CX190">
        <v>707</v>
      </c>
      <c r="DD190">
        <v>0</v>
      </c>
      <c r="DE190" t="s">
        <v>543</v>
      </c>
      <c r="DF190">
        <v>525</v>
      </c>
      <c r="DG190">
        <v>3</v>
      </c>
      <c r="DH190">
        <v>1.18</v>
      </c>
      <c r="DI190">
        <v>1312</v>
      </c>
      <c r="DJ190">
        <v>1157</v>
      </c>
      <c r="DW190" t="s">
        <v>544</v>
      </c>
      <c r="DX190">
        <v>7.5</v>
      </c>
      <c r="EA190">
        <v>1381.4</v>
      </c>
      <c r="EB190">
        <v>245</v>
      </c>
      <c r="EC190" t="s">
        <v>545</v>
      </c>
      <c r="ED190">
        <v>25</v>
      </c>
      <c r="EE190">
        <v>3</v>
      </c>
      <c r="EG190">
        <v>1422</v>
      </c>
      <c r="EH190">
        <v>155</v>
      </c>
      <c r="EJ190">
        <v>0</v>
      </c>
      <c r="EK190">
        <v>1</v>
      </c>
      <c r="EN190">
        <v>0</v>
      </c>
      <c r="EP190" t="s">
        <v>546</v>
      </c>
      <c r="EQ190">
        <v>80</v>
      </c>
      <c r="ER190">
        <v>3</v>
      </c>
      <c r="ES190">
        <v>4.5</v>
      </c>
      <c r="ET190">
        <v>1292</v>
      </c>
      <c r="EU190">
        <v>310</v>
      </c>
      <c r="EV190">
        <v>401</v>
      </c>
      <c r="EW190" t="s">
        <v>547</v>
      </c>
      <c r="EX190">
        <v>70</v>
      </c>
      <c r="EY190">
        <v>2</v>
      </c>
      <c r="EZ190">
        <v>4.3</v>
      </c>
      <c r="FA190">
        <v>1292</v>
      </c>
      <c r="FB190">
        <v>213.4</v>
      </c>
      <c r="FC190">
        <v>276</v>
      </c>
      <c r="FE190">
        <v>0</v>
      </c>
      <c r="FF190">
        <v>2</v>
      </c>
      <c r="FI190">
        <v>0</v>
      </c>
      <c r="FK190" t="s">
        <v>548</v>
      </c>
      <c r="FL190">
        <v>0.4</v>
      </c>
      <c r="FM190">
        <v>85</v>
      </c>
      <c r="FN190">
        <v>150</v>
      </c>
      <c r="FR190" t="s">
        <v>548</v>
      </c>
      <c r="FS190">
        <v>0.4</v>
      </c>
      <c r="FT190">
        <v>30</v>
      </c>
      <c r="FU190">
        <v>370</v>
      </c>
      <c r="FY190" t="s">
        <v>651</v>
      </c>
      <c r="FZ190">
        <v>1.6</v>
      </c>
      <c r="GA190">
        <v>20</v>
      </c>
      <c r="GB190">
        <v>176</v>
      </c>
      <c r="GG190" t="s">
        <v>651</v>
      </c>
      <c r="GH190">
        <v>1.6</v>
      </c>
      <c r="GI190">
        <v>20</v>
      </c>
      <c r="GJ190">
        <v>176</v>
      </c>
      <c r="HC190">
        <v>0.1</v>
      </c>
      <c r="HD190">
        <v>3</v>
      </c>
      <c r="HE190">
        <v>3</v>
      </c>
      <c r="HF190">
        <v>3</v>
      </c>
      <c r="HG190">
        <v>3</v>
      </c>
      <c r="HH190">
        <v>3</v>
      </c>
      <c r="HI190">
        <v>135</v>
      </c>
      <c r="HJ190">
        <v>3</v>
      </c>
      <c r="HK190">
        <v>55</v>
      </c>
      <c r="HL190">
        <v>2</v>
      </c>
      <c r="HM190">
        <v>0</v>
      </c>
      <c r="HN190">
        <v>2</v>
      </c>
      <c r="HO190">
        <v>65</v>
      </c>
      <c r="HP190">
        <v>3</v>
      </c>
      <c r="HQ190">
        <v>0</v>
      </c>
      <c r="HR190">
        <v>2</v>
      </c>
      <c r="HS190">
        <v>4018</v>
      </c>
      <c r="HT190">
        <v>120</v>
      </c>
      <c r="HU190">
        <v>180</v>
      </c>
      <c r="HW190">
        <v>0</v>
      </c>
      <c r="HX190">
        <v>425</v>
      </c>
      <c r="HY190">
        <v>0.18</v>
      </c>
      <c r="IA190">
        <v>0.15</v>
      </c>
      <c r="IB190">
        <v>0</v>
      </c>
      <c r="IC190">
        <v>180</v>
      </c>
      <c r="ID190">
        <v>110</v>
      </c>
      <c r="IE190">
        <v>225</v>
      </c>
      <c r="IF190">
        <v>0</v>
      </c>
      <c r="IH190" t="s">
        <v>549</v>
      </c>
      <c r="IO190">
        <v>1</v>
      </c>
      <c r="IP190">
        <v>17</v>
      </c>
      <c r="IQ190">
        <v>0</v>
      </c>
      <c r="IR190">
        <v>1</v>
      </c>
      <c r="IV190">
        <v>1301</v>
      </c>
      <c r="IW190">
        <v>402</v>
      </c>
      <c r="JA190">
        <v>1</v>
      </c>
      <c r="JB190">
        <v>0</v>
      </c>
      <c r="JC190">
        <v>2</v>
      </c>
      <c r="JD190">
        <v>1314</v>
      </c>
      <c r="JE190">
        <v>1312</v>
      </c>
      <c r="JF190">
        <v>0</v>
      </c>
      <c r="JG190">
        <v>1292</v>
      </c>
      <c r="JH190">
        <v>0</v>
      </c>
      <c r="JJ190">
        <v>180</v>
      </c>
      <c r="JK190">
        <v>425</v>
      </c>
      <c r="JN190">
        <v>380</v>
      </c>
      <c r="JO190">
        <v>525</v>
      </c>
      <c r="JP190">
        <v>0</v>
      </c>
      <c r="JQ190">
        <v>0</v>
      </c>
      <c r="JR190">
        <v>358</v>
      </c>
      <c r="JS190">
        <v>135</v>
      </c>
      <c r="JV190">
        <v>8</v>
      </c>
      <c r="JW190" t="s">
        <v>550</v>
      </c>
      <c r="JX190">
        <v>0</v>
      </c>
      <c r="KA190">
        <v>225</v>
      </c>
      <c r="KB190">
        <v>110</v>
      </c>
      <c r="KC190">
        <v>0</v>
      </c>
      <c r="KD190">
        <v>80</v>
      </c>
      <c r="KF190">
        <v>4</v>
      </c>
      <c r="KG190">
        <v>2</v>
      </c>
      <c r="KH190">
        <v>2</v>
      </c>
      <c r="KI190">
        <v>2</v>
      </c>
      <c r="KJ190">
        <v>0</v>
      </c>
      <c r="KK190">
        <v>1.5</v>
      </c>
      <c r="KL190">
        <v>1.5</v>
      </c>
      <c r="KM190">
        <v>0</v>
      </c>
      <c r="KN190">
        <v>0</v>
      </c>
      <c r="KO190">
        <v>0</v>
      </c>
      <c r="KR190">
        <v>50</v>
      </c>
      <c r="KS190">
        <v>60</v>
      </c>
      <c r="KT190">
        <v>0</v>
      </c>
      <c r="LK190">
        <v>480</v>
      </c>
      <c r="PG190">
        <v>1</v>
      </c>
      <c r="PI190" t="s">
        <v>2642</v>
      </c>
      <c r="PJ190" t="s">
        <v>2643</v>
      </c>
      <c r="PL190" t="s">
        <v>764</v>
      </c>
      <c r="PP190" t="s">
        <v>1023</v>
      </c>
      <c r="PX190">
        <v>56</v>
      </c>
      <c r="PY190">
        <v>57</v>
      </c>
      <c r="PZ190" t="s">
        <v>2642</v>
      </c>
      <c r="QA190">
        <v>3</v>
      </c>
      <c r="QB190">
        <v>1292</v>
      </c>
      <c r="QC190">
        <v>69</v>
      </c>
      <c r="QD190">
        <v>69</v>
      </c>
      <c r="QE190" t="s">
        <v>764</v>
      </c>
      <c r="QF190">
        <v>1</v>
      </c>
      <c r="QG190">
        <v>1314</v>
      </c>
      <c r="QH190">
        <v>66</v>
      </c>
      <c r="QI190">
        <v>66</v>
      </c>
      <c r="QL190">
        <v>0</v>
      </c>
      <c r="QM190">
        <v>63</v>
      </c>
      <c r="QN190">
        <v>63</v>
      </c>
      <c r="QO190" t="s">
        <v>2643</v>
      </c>
      <c r="QP190">
        <v>1</v>
      </c>
      <c r="QQ190">
        <v>1312</v>
      </c>
      <c r="QW190">
        <v>82</v>
      </c>
      <c r="QX190">
        <v>84</v>
      </c>
      <c r="QY190" t="s">
        <v>1023</v>
      </c>
      <c r="QZ190">
        <v>1</v>
      </c>
      <c r="RA190">
        <v>66</v>
      </c>
      <c r="RB190">
        <v>66</v>
      </c>
      <c r="RE190">
        <v>0</v>
      </c>
      <c r="RG190">
        <v>1</v>
      </c>
      <c r="RJ190">
        <v>1</v>
      </c>
      <c r="RL190">
        <v>2</v>
      </c>
      <c r="RO190">
        <v>538</v>
      </c>
      <c r="RQ190">
        <v>882</v>
      </c>
      <c r="RT190">
        <v>245</v>
      </c>
      <c r="RU190">
        <v>155</v>
      </c>
      <c r="RV190" t="s">
        <v>949</v>
      </c>
      <c r="RW190" t="s">
        <v>653</v>
      </c>
      <c r="RX190">
        <v>15</v>
      </c>
      <c r="RY190">
        <v>4</v>
      </c>
      <c r="RZ190" t="s">
        <v>653</v>
      </c>
      <c r="SA190">
        <v>15</v>
      </c>
      <c r="SB190" t="s">
        <v>2644</v>
      </c>
      <c r="SC190" t="s">
        <v>2644</v>
      </c>
      <c r="SD190">
        <v>1</v>
      </c>
      <c r="SH190">
        <v>0.995</v>
      </c>
      <c r="SI190">
        <v>0.995</v>
      </c>
      <c r="SJ190">
        <v>0.995</v>
      </c>
      <c r="SK190">
        <v>15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TB190">
        <v>0</v>
      </c>
      <c r="TC190">
        <v>0</v>
      </c>
      <c r="TD190">
        <v>7.5</v>
      </c>
      <c r="TE190" t="s">
        <v>553</v>
      </c>
      <c r="TF190" t="s">
        <v>624</v>
      </c>
      <c r="TG190" t="s">
        <v>555</v>
      </c>
      <c r="TI190" t="s">
        <v>546</v>
      </c>
      <c r="TJ190" t="s">
        <v>547</v>
      </c>
      <c r="TL190" t="s">
        <v>2341</v>
      </c>
      <c r="TM190" t="s">
        <v>513</v>
      </c>
      <c r="TN190">
        <v>0</v>
      </c>
      <c r="TO190" t="s">
        <v>557</v>
      </c>
    </row>
    <row r="191" spans="1:535">
      <c r="A191" t="s">
        <v>2645</v>
      </c>
      <c r="B191" t="s">
        <v>629</v>
      </c>
      <c r="C191" t="s">
        <v>509</v>
      </c>
      <c r="D191" t="s">
        <v>2638</v>
      </c>
      <c r="G191" t="s">
        <v>604</v>
      </c>
      <c r="H191" t="s">
        <v>605</v>
      </c>
      <c r="I191" t="s">
        <v>628</v>
      </c>
      <c r="J191" t="s">
        <v>606</v>
      </c>
      <c r="L191" t="s">
        <v>512</v>
      </c>
      <c r="M191" t="s">
        <v>711</v>
      </c>
      <c r="N191" t="s">
        <v>513</v>
      </c>
      <c r="O191" t="s">
        <v>565</v>
      </c>
      <c r="Q191" t="s">
        <v>2646</v>
      </c>
      <c r="R191" t="s">
        <v>517</v>
      </c>
      <c r="S191" t="s">
        <v>1152</v>
      </c>
      <c r="T191" t="s">
        <v>661</v>
      </c>
      <c r="U191" t="s">
        <v>633</v>
      </c>
      <c r="V191" t="s">
        <v>634</v>
      </c>
      <c r="W191" t="s">
        <v>2647</v>
      </c>
      <c r="X191" t="s">
        <v>2336</v>
      </c>
      <c r="Y191" t="s">
        <v>524</v>
      </c>
      <c r="Z191" t="s">
        <v>2648</v>
      </c>
      <c r="AA191" t="s">
        <v>2649</v>
      </c>
      <c r="AB191" t="s">
        <v>2650</v>
      </c>
      <c r="AC191">
        <v>2</v>
      </c>
      <c r="AD191">
        <v>57</v>
      </c>
      <c r="AE191">
        <v>186</v>
      </c>
      <c r="AF191">
        <v>1.5</v>
      </c>
      <c r="AH191">
        <v>0</v>
      </c>
      <c r="AI191" t="s">
        <v>1331</v>
      </c>
      <c r="AJ191">
        <v>197.5</v>
      </c>
      <c r="AK191">
        <v>1</v>
      </c>
      <c r="AL191">
        <v>1.5</v>
      </c>
      <c r="AM191" t="s">
        <v>529</v>
      </c>
      <c r="AO191">
        <v>0</v>
      </c>
      <c r="AR191">
        <v>0</v>
      </c>
      <c r="AS191">
        <v>1.5</v>
      </c>
      <c r="AV191" t="s">
        <v>2651</v>
      </c>
      <c r="AW191" t="s">
        <v>2651</v>
      </c>
      <c r="AX191">
        <v>1</v>
      </c>
      <c r="AY191">
        <v>272.5</v>
      </c>
      <c r="AZ191">
        <v>1.5</v>
      </c>
      <c r="BA191" t="s">
        <v>529</v>
      </c>
      <c r="BG191">
        <v>1.5</v>
      </c>
      <c r="BJ191">
        <v>0</v>
      </c>
      <c r="BN191">
        <v>1.5</v>
      </c>
      <c r="BP191" t="s">
        <v>2652</v>
      </c>
      <c r="BQ191">
        <v>84</v>
      </c>
      <c r="BR191">
        <v>2</v>
      </c>
      <c r="BS191" t="s">
        <v>947</v>
      </c>
      <c r="BT191">
        <v>208</v>
      </c>
      <c r="BU191">
        <v>0.5</v>
      </c>
      <c r="BV191" t="s">
        <v>947</v>
      </c>
      <c r="BW191">
        <v>416</v>
      </c>
      <c r="BX191">
        <v>1</v>
      </c>
      <c r="BY191" t="s">
        <v>643</v>
      </c>
      <c r="BZ191">
        <v>300</v>
      </c>
      <c r="CA191">
        <v>500</v>
      </c>
      <c r="CB191" t="s">
        <v>644</v>
      </c>
      <c r="CC191" t="s">
        <v>644</v>
      </c>
      <c r="CD191">
        <v>432</v>
      </c>
      <c r="CE191" t="s">
        <v>544</v>
      </c>
      <c r="CF191">
        <v>15</v>
      </c>
      <c r="CG191" t="s">
        <v>1183</v>
      </c>
      <c r="CH191" t="s">
        <v>1183</v>
      </c>
      <c r="CI191">
        <v>100</v>
      </c>
      <c r="CJ191">
        <v>1301</v>
      </c>
      <c r="CK191">
        <v>2</v>
      </c>
      <c r="CL191">
        <v>1395</v>
      </c>
      <c r="CM191">
        <v>2</v>
      </c>
      <c r="CN191" t="s">
        <v>646</v>
      </c>
      <c r="CO191" t="s">
        <v>647</v>
      </c>
      <c r="CP191" t="s">
        <v>648</v>
      </c>
      <c r="CQ191" t="s">
        <v>649</v>
      </c>
      <c r="CR191" t="s">
        <v>650</v>
      </c>
      <c r="CS191" t="s">
        <v>542</v>
      </c>
      <c r="CT191">
        <v>395</v>
      </c>
      <c r="CU191">
        <v>5</v>
      </c>
      <c r="CV191">
        <v>1.2</v>
      </c>
      <c r="CW191">
        <v>1314</v>
      </c>
      <c r="CX191">
        <v>735</v>
      </c>
      <c r="DD191">
        <v>0</v>
      </c>
      <c r="DE191" t="s">
        <v>543</v>
      </c>
      <c r="DF191">
        <v>545</v>
      </c>
      <c r="DG191">
        <v>3</v>
      </c>
      <c r="DH191">
        <v>1.18</v>
      </c>
      <c r="DI191">
        <v>1312</v>
      </c>
      <c r="DJ191">
        <v>1199</v>
      </c>
      <c r="DW191" t="s">
        <v>544</v>
      </c>
      <c r="DX191">
        <v>7.5</v>
      </c>
      <c r="EA191">
        <v>1381.4</v>
      </c>
      <c r="EB191">
        <v>245</v>
      </c>
      <c r="EC191" t="s">
        <v>545</v>
      </c>
      <c r="ED191">
        <v>30</v>
      </c>
      <c r="EE191">
        <v>3</v>
      </c>
      <c r="EG191">
        <v>1422</v>
      </c>
      <c r="EH191">
        <v>175</v>
      </c>
      <c r="EJ191">
        <v>0</v>
      </c>
      <c r="EK191">
        <v>1</v>
      </c>
      <c r="EN191">
        <v>0</v>
      </c>
      <c r="EP191" t="s">
        <v>546</v>
      </c>
      <c r="EQ191">
        <v>95</v>
      </c>
      <c r="ER191">
        <v>3</v>
      </c>
      <c r="ES191">
        <v>5.5</v>
      </c>
      <c r="ET191">
        <v>1298</v>
      </c>
      <c r="EU191">
        <v>402.2</v>
      </c>
      <c r="EV191">
        <v>522</v>
      </c>
      <c r="EW191" t="s">
        <v>547</v>
      </c>
      <c r="EX191">
        <v>70</v>
      </c>
      <c r="EY191">
        <v>2</v>
      </c>
      <c r="EZ191">
        <v>4.3</v>
      </c>
      <c r="FA191">
        <v>1298</v>
      </c>
      <c r="FB191">
        <v>208.3</v>
      </c>
      <c r="FC191">
        <v>270</v>
      </c>
      <c r="FE191">
        <v>0</v>
      </c>
      <c r="FF191">
        <v>2</v>
      </c>
      <c r="FI191">
        <v>0</v>
      </c>
      <c r="FK191" t="s">
        <v>548</v>
      </c>
      <c r="FL191">
        <v>0.4</v>
      </c>
      <c r="FM191">
        <v>90</v>
      </c>
      <c r="FN191">
        <v>150</v>
      </c>
      <c r="FR191" t="s">
        <v>548</v>
      </c>
      <c r="FS191">
        <v>0.4</v>
      </c>
      <c r="FT191">
        <v>30</v>
      </c>
      <c r="FU191">
        <v>380</v>
      </c>
      <c r="FY191" t="s">
        <v>651</v>
      </c>
      <c r="FZ191">
        <v>1.6</v>
      </c>
      <c r="GA191">
        <v>20</v>
      </c>
      <c r="GB191">
        <v>171</v>
      </c>
      <c r="GG191" t="s">
        <v>651</v>
      </c>
      <c r="GH191">
        <v>1.6</v>
      </c>
      <c r="GI191">
        <v>20</v>
      </c>
      <c r="GJ191">
        <v>171</v>
      </c>
      <c r="HC191">
        <v>0.1</v>
      </c>
      <c r="HD191">
        <v>3</v>
      </c>
      <c r="HE191">
        <v>3</v>
      </c>
      <c r="HF191">
        <v>3</v>
      </c>
      <c r="HG191">
        <v>3</v>
      </c>
      <c r="HH191">
        <v>3</v>
      </c>
      <c r="HI191">
        <v>150</v>
      </c>
      <c r="HJ191">
        <v>3</v>
      </c>
      <c r="HK191">
        <v>55</v>
      </c>
      <c r="HL191">
        <v>2</v>
      </c>
      <c r="HM191">
        <v>0</v>
      </c>
      <c r="HN191">
        <v>2</v>
      </c>
      <c r="HO191">
        <v>80</v>
      </c>
      <c r="HP191">
        <v>3</v>
      </c>
      <c r="HQ191">
        <v>0</v>
      </c>
      <c r="HR191">
        <v>2</v>
      </c>
      <c r="HS191">
        <v>4358</v>
      </c>
      <c r="HT191">
        <v>130</v>
      </c>
      <c r="HU191">
        <v>180</v>
      </c>
      <c r="HW191">
        <v>0</v>
      </c>
      <c r="HX191">
        <v>516</v>
      </c>
      <c r="HY191">
        <v>0.18</v>
      </c>
      <c r="IA191">
        <v>0.15</v>
      </c>
      <c r="IB191">
        <v>0</v>
      </c>
      <c r="IC191">
        <v>180</v>
      </c>
      <c r="ID191">
        <v>110</v>
      </c>
      <c r="IE191">
        <v>0</v>
      </c>
      <c r="IF191">
        <v>0</v>
      </c>
      <c r="IH191" t="s">
        <v>549</v>
      </c>
      <c r="IO191">
        <v>1</v>
      </c>
      <c r="IP191">
        <v>17</v>
      </c>
      <c r="IQ191">
        <v>0</v>
      </c>
      <c r="IR191">
        <v>1</v>
      </c>
      <c r="IV191">
        <v>1301</v>
      </c>
      <c r="IW191">
        <v>416</v>
      </c>
      <c r="JA191">
        <v>1</v>
      </c>
      <c r="JB191">
        <v>0</v>
      </c>
      <c r="JC191">
        <v>2</v>
      </c>
      <c r="JD191">
        <v>1314</v>
      </c>
      <c r="JE191">
        <v>1312</v>
      </c>
      <c r="JF191">
        <v>0</v>
      </c>
      <c r="JG191">
        <v>1298</v>
      </c>
      <c r="JH191">
        <v>0</v>
      </c>
      <c r="JJ191">
        <v>180</v>
      </c>
      <c r="JK191">
        <v>516</v>
      </c>
      <c r="JN191">
        <v>395</v>
      </c>
      <c r="JO191">
        <v>545</v>
      </c>
      <c r="JP191">
        <v>0</v>
      </c>
      <c r="JQ191">
        <v>0</v>
      </c>
      <c r="JR191">
        <v>372</v>
      </c>
      <c r="JS191">
        <v>150</v>
      </c>
      <c r="JV191">
        <v>8</v>
      </c>
      <c r="JW191" t="s">
        <v>550</v>
      </c>
      <c r="JX191">
        <v>0</v>
      </c>
      <c r="KA191">
        <v>0</v>
      </c>
      <c r="KB191">
        <v>110</v>
      </c>
      <c r="KC191">
        <v>0</v>
      </c>
      <c r="KD191">
        <v>80</v>
      </c>
      <c r="KF191">
        <v>4</v>
      </c>
      <c r="KG191">
        <v>4</v>
      </c>
      <c r="KH191">
        <v>2</v>
      </c>
      <c r="KI191">
        <v>2</v>
      </c>
      <c r="KJ191">
        <v>0</v>
      </c>
      <c r="KK191">
        <v>1.5</v>
      </c>
      <c r="KL191">
        <v>1.5</v>
      </c>
      <c r="KM191">
        <v>0</v>
      </c>
      <c r="KN191">
        <v>0</v>
      </c>
      <c r="KO191">
        <v>0</v>
      </c>
      <c r="KR191">
        <v>50</v>
      </c>
      <c r="KS191">
        <v>60</v>
      </c>
      <c r="KT191">
        <v>0</v>
      </c>
      <c r="LK191">
        <v>480</v>
      </c>
      <c r="PG191">
        <v>1</v>
      </c>
      <c r="PI191" t="s">
        <v>2650</v>
      </c>
      <c r="PJ191" t="s">
        <v>2651</v>
      </c>
      <c r="PL191" t="s">
        <v>1331</v>
      </c>
      <c r="PP191" t="s">
        <v>2652</v>
      </c>
      <c r="PX191">
        <v>56</v>
      </c>
      <c r="PY191">
        <v>57</v>
      </c>
      <c r="PZ191" t="s">
        <v>2650</v>
      </c>
      <c r="QA191">
        <v>3</v>
      </c>
      <c r="QB191">
        <v>1298</v>
      </c>
      <c r="QC191">
        <v>69</v>
      </c>
      <c r="QD191">
        <v>69</v>
      </c>
      <c r="QE191" t="s">
        <v>1331</v>
      </c>
      <c r="QF191">
        <v>1</v>
      </c>
      <c r="QG191">
        <v>1314</v>
      </c>
      <c r="QH191">
        <v>66</v>
      </c>
      <c r="QI191">
        <v>66</v>
      </c>
      <c r="QL191">
        <v>0</v>
      </c>
      <c r="QM191">
        <v>63</v>
      </c>
      <c r="QN191">
        <v>63</v>
      </c>
      <c r="QO191" t="s">
        <v>2651</v>
      </c>
      <c r="QP191">
        <v>1</v>
      </c>
      <c r="QQ191">
        <v>1312</v>
      </c>
      <c r="QW191">
        <v>82</v>
      </c>
      <c r="QX191">
        <v>84</v>
      </c>
      <c r="QY191" t="s">
        <v>2652</v>
      </c>
      <c r="QZ191">
        <v>1</v>
      </c>
      <c r="RA191">
        <v>66</v>
      </c>
      <c r="RB191">
        <v>66</v>
      </c>
      <c r="RE191">
        <v>0</v>
      </c>
      <c r="RG191">
        <v>1</v>
      </c>
      <c r="RJ191">
        <v>1</v>
      </c>
      <c r="RL191">
        <v>2</v>
      </c>
      <c r="RO191">
        <v>559</v>
      </c>
      <c r="RQ191">
        <v>914</v>
      </c>
      <c r="RT191">
        <v>245</v>
      </c>
      <c r="RU191">
        <v>175</v>
      </c>
      <c r="RV191" t="s">
        <v>949</v>
      </c>
      <c r="RW191" t="s">
        <v>653</v>
      </c>
      <c r="RX191">
        <v>15</v>
      </c>
      <c r="RY191">
        <v>4</v>
      </c>
      <c r="RZ191" t="s">
        <v>653</v>
      </c>
      <c r="SA191">
        <v>15</v>
      </c>
      <c r="SB191" t="s">
        <v>2653</v>
      </c>
      <c r="SC191" t="s">
        <v>2653</v>
      </c>
      <c r="SD191">
        <v>1</v>
      </c>
      <c r="SH191">
        <v>0.995</v>
      </c>
      <c r="SI191">
        <v>0.995</v>
      </c>
      <c r="SJ191">
        <v>0.995</v>
      </c>
      <c r="SK191">
        <v>15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TB191">
        <v>0</v>
      </c>
      <c r="TC191">
        <v>0</v>
      </c>
      <c r="TD191">
        <v>7.5</v>
      </c>
      <c r="TE191" t="s">
        <v>553</v>
      </c>
      <c r="TF191" t="s">
        <v>624</v>
      </c>
      <c r="TG191" t="s">
        <v>555</v>
      </c>
      <c r="TI191" t="s">
        <v>546</v>
      </c>
      <c r="TJ191" t="s">
        <v>547</v>
      </c>
      <c r="TL191" t="s">
        <v>2341</v>
      </c>
      <c r="TM191" t="s">
        <v>513</v>
      </c>
      <c r="TN191">
        <v>0</v>
      </c>
      <c r="TO191" t="s">
        <v>557</v>
      </c>
    </row>
    <row r="192" spans="1:535">
      <c r="A192" t="s">
        <v>2654</v>
      </c>
      <c r="B192" t="s">
        <v>804</v>
      </c>
      <c r="C192" t="s">
        <v>509</v>
      </c>
      <c r="D192" t="s">
        <v>2307</v>
      </c>
      <c r="G192" t="s">
        <v>1294</v>
      </c>
      <c r="I192" t="s">
        <v>562</v>
      </c>
      <c r="J192" t="s">
        <v>563</v>
      </c>
      <c r="L192" t="s">
        <v>512</v>
      </c>
      <c r="M192" t="s">
        <v>508</v>
      </c>
      <c r="N192" t="s">
        <v>513</v>
      </c>
      <c r="O192" t="s">
        <v>1255</v>
      </c>
      <c r="P192" t="s">
        <v>515</v>
      </c>
      <c r="Q192" t="s">
        <v>2655</v>
      </c>
      <c r="R192" t="s">
        <v>517</v>
      </c>
      <c r="S192" t="s">
        <v>758</v>
      </c>
      <c r="T192" t="s">
        <v>759</v>
      </c>
      <c r="U192" t="s">
        <v>662</v>
      </c>
      <c r="V192" t="s">
        <v>663</v>
      </c>
      <c r="W192" t="s">
        <v>2656</v>
      </c>
      <c r="X192" t="s">
        <v>2657</v>
      </c>
      <c r="Y192" t="s">
        <v>524</v>
      </c>
      <c r="Z192" t="s">
        <v>2658</v>
      </c>
      <c r="AA192" t="s">
        <v>2659</v>
      </c>
      <c r="AB192" t="s">
        <v>2660</v>
      </c>
      <c r="AC192">
        <v>2</v>
      </c>
      <c r="AD192">
        <v>56</v>
      </c>
      <c r="AE192">
        <v>175</v>
      </c>
      <c r="AF192">
        <v>1.5</v>
      </c>
      <c r="AH192">
        <v>0</v>
      </c>
      <c r="AI192" t="s">
        <v>719</v>
      </c>
      <c r="AJ192">
        <v>185</v>
      </c>
      <c r="AK192">
        <v>1</v>
      </c>
      <c r="AL192">
        <v>1.5</v>
      </c>
      <c r="AM192" t="s">
        <v>529</v>
      </c>
      <c r="AO192">
        <v>0</v>
      </c>
      <c r="AR192">
        <v>0</v>
      </c>
      <c r="AS192">
        <v>1.5</v>
      </c>
      <c r="AU192" t="s">
        <v>2661</v>
      </c>
      <c r="AW192" t="s">
        <v>2661</v>
      </c>
      <c r="AX192">
        <v>1</v>
      </c>
      <c r="AY192">
        <v>260</v>
      </c>
      <c r="AZ192">
        <v>1.5</v>
      </c>
      <c r="BA192" t="s">
        <v>529</v>
      </c>
      <c r="BG192">
        <v>1.5</v>
      </c>
      <c r="BJ192">
        <v>0</v>
      </c>
      <c r="BN192">
        <v>1.5</v>
      </c>
      <c r="BP192" t="s">
        <v>2194</v>
      </c>
      <c r="BQ192">
        <v>88</v>
      </c>
      <c r="BR192">
        <v>2</v>
      </c>
      <c r="BS192" t="s">
        <v>2149</v>
      </c>
      <c r="BT192">
        <v>197</v>
      </c>
      <c r="BU192">
        <v>0.5</v>
      </c>
      <c r="BV192" t="s">
        <v>2149</v>
      </c>
      <c r="BW192">
        <v>394</v>
      </c>
      <c r="BX192">
        <v>1</v>
      </c>
      <c r="BY192" t="s">
        <v>643</v>
      </c>
      <c r="BZ192">
        <v>290</v>
      </c>
      <c r="CA192">
        <v>470</v>
      </c>
      <c r="CB192" t="s">
        <v>672</v>
      </c>
      <c r="CC192" t="s">
        <v>672</v>
      </c>
      <c r="CD192">
        <v>362</v>
      </c>
      <c r="CE192" t="s">
        <v>673</v>
      </c>
      <c r="CF192">
        <v>15</v>
      </c>
      <c r="CG192" t="s">
        <v>769</v>
      </c>
      <c r="CH192" t="s">
        <v>769</v>
      </c>
      <c r="CI192">
        <v>90</v>
      </c>
      <c r="CJ192">
        <v>1381</v>
      </c>
      <c r="CK192">
        <v>2</v>
      </c>
      <c r="CL192">
        <v>1475</v>
      </c>
      <c r="CM192">
        <v>2</v>
      </c>
      <c r="CN192" t="s">
        <v>675</v>
      </c>
      <c r="CO192" t="s">
        <v>676</v>
      </c>
      <c r="CP192" t="s">
        <v>595</v>
      </c>
      <c r="CQ192" t="s">
        <v>540</v>
      </c>
      <c r="CR192" t="s">
        <v>541</v>
      </c>
      <c r="CS192" t="s">
        <v>542</v>
      </c>
      <c r="CT192">
        <v>370</v>
      </c>
      <c r="CU192">
        <v>5</v>
      </c>
      <c r="CV192">
        <v>1.2</v>
      </c>
      <c r="CW192">
        <v>1393</v>
      </c>
      <c r="CX192">
        <v>730</v>
      </c>
      <c r="DD192">
        <v>0</v>
      </c>
      <c r="DE192" t="s">
        <v>543</v>
      </c>
      <c r="DF192">
        <v>520</v>
      </c>
      <c r="DG192">
        <v>3</v>
      </c>
      <c r="DH192">
        <v>1.18</v>
      </c>
      <c r="DI192">
        <v>1391</v>
      </c>
      <c r="DJ192">
        <v>1164</v>
      </c>
      <c r="DW192" t="s">
        <v>544</v>
      </c>
      <c r="DX192">
        <v>7.5</v>
      </c>
      <c r="EA192">
        <v>1461.1</v>
      </c>
      <c r="EB192">
        <v>258</v>
      </c>
      <c r="EC192" t="s">
        <v>545</v>
      </c>
      <c r="ED192">
        <v>30</v>
      </c>
      <c r="EE192">
        <v>3</v>
      </c>
      <c r="EG192">
        <v>1502</v>
      </c>
      <c r="EH192">
        <v>177</v>
      </c>
      <c r="EJ192">
        <v>0</v>
      </c>
      <c r="EK192">
        <v>1</v>
      </c>
      <c r="EN192">
        <v>0</v>
      </c>
      <c r="EP192" t="s">
        <v>546</v>
      </c>
      <c r="EQ192">
        <v>100</v>
      </c>
      <c r="ER192">
        <v>3</v>
      </c>
      <c r="ES192">
        <v>5</v>
      </c>
      <c r="ET192">
        <v>1375</v>
      </c>
      <c r="EU192">
        <v>432.3</v>
      </c>
      <c r="EV192">
        <v>594</v>
      </c>
      <c r="EW192" t="s">
        <v>547</v>
      </c>
      <c r="EX192">
        <v>70</v>
      </c>
      <c r="EY192">
        <v>2</v>
      </c>
      <c r="EZ192">
        <v>4.5</v>
      </c>
      <c r="FA192">
        <v>1375</v>
      </c>
      <c r="FB192">
        <v>232.9</v>
      </c>
      <c r="FC192">
        <v>320</v>
      </c>
      <c r="FE192">
        <v>0</v>
      </c>
      <c r="FF192">
        <v>2</v>
      </c>
      <c r="FI192">
        <v>0</v>
      </c>
      <c r="FK192" t="s">
        <v>548</v>
      </c>
      <c r="FL192">
        <v>0.4</v>
      </c>
      <c r="FM192">
        <v>90</v>
      </c>
      <c r="FN192">
        <v>140</v>
      </c>
      <c r="FR192" t="s">
        <v>548</v>
      </c>
      <c r="FS192">
        <v>0.4</v>
      </c>
      <c r="FT192">
        <v>30</v>
      </c>
      <c r="FU192">
        <v>360</v>
      </c>
      <c r="FV192">
        <v>30</v>
      </c>
      <c r="FW192">
        <v>240</v>
      </c>
      <c r="HC192">
        <v>0.1</v>
      </c>
      <c r="HD192">
        <v>3</v>
      </c>
      <c r="HE192">
        <v>3</v>
      </c>
      <c r="HF192">
        <v>3</v>
      </c>
      <c r="HG192">
        <v>3</v>
      </c>
      <c r="HH192">
        <v>3</v>
      </c>
      <c r="HI192">
        <v>155</v>
      </c>
      <c r="HJ192">
        <v>3</v>
      </c>
      <c r="HK192">
        <v>55</v>
      </c>
      <c r="HL192">
        <v>2</v>
      </c>
      <c r="HM192">
        <v>0</v>
      </c>
      <c r="HN192">
        <v>2</v>
      </c>
      <c r="HO192">
        <v>85</v>
      </c>
      <c r="HP192">
        <v>3</v>
      </c>
      <c r="HQ192">
        <v>0</v>
      </c>
      <c r="HR192">
        <v>2</v>
      </c>
      <c r="HS192">
        <v>4592</v>
      </c>
      <c r="HT192">
        <v>140</v>
      </c>
      <c r="HU192">
        <v>180</v>
      </c>
      <c r="HW192">
        <v>0</v>
      </c>
      <c r="HX192">
        <v>410</v>
      </c>
      <c r="HY192">
        <v>0.18</v>
      </c>
      <c r="IA192">
        <v>0.15</v>
      </c>
      <c r="IB192">
        <v>0</v>
      </c>
      <c r="IC192">
        <v>180</v>
      </c>
      <c r="ID192">
        <v>110</v>
      </c>
      <c r="IE192">
        <v>0</v>
      </c>
      <c r="IF192">
        <v>0</v>
      </c>
      <c r="IH192" t="s">
        <v>549</v>
      </c>
      <c r="IO192">
        <v>1</v>
      </c>
      <c r="IP192">
        <v>18</v>
      </c>
      <c r="IQ192">
        <v>0</v>
      </c>
      <c r="IR192">
        <v>1</v>
      </c>
      <c r="IV192">
        <v>1381</v>
      </c>
      <c r="IW192">
        <v>394</v>
      </c>
      <c r="JA192">
        <v>1</v>
      </c>
      <c r="JB192">
        <v>0</v>
      </c>
      <c r="JC192">
        <v>2</v>
      </c>
      <c r="JD192">
        <v>1393</v>
      </c>
      <c r="JE192">
        <v>1391</v>
      </c>
      <c r="JF192">
        <v>0</v>
      </c>
      <c r="JG192">
        <v>1375</v>
      </c>
      <c r="JH192">
        <v>0</v>
      </c>
      <c r="JJ192">
        <v>180</v>
      </c>
      <c r="JK192">
        <v>410</v>
      </c>
      <c r="JN192">
        <v>370</v>
      </c>
      <c r="JO192">
        <v>520</v>
      </c>
      <c r="JP192">
        <v>0</v>
      </c>
      <c r="JQ192">
        <v>0</v>
      </c>
      <c r="JR192">
        <v>350</v>
      </c>
      <c r="JS192">
        <v>155</v>
      </c>
      <c r="JV192">
        <v>8</v>
      </c>
      <c r="JW192" t="s">
        <v>550</v>
      </c>
      <c r="JX192">
        <v>0</v>
      </c>
      <c r="KA192">
        <v>0</v>
      </c>
      <c r="KB192">
        <v>110</v>
      </c>
      <c r="KC192">
        <v>0</v>
      </c>
      <c r="KD192">
        <v>80</v>
      </c>
      <c r="KF192">
        <v>4</v>
      </c>
      <c r="KG192">
        <v>2</v>
      </c>
      <c r="KH192">
        <v>2</v>
      </c>
      <c r="KI192">
        <v>2</v>
      </c>
      <c r="KJ192">
        <v>0</v>
      </c>
      <c r="KK192">
        <v>1.5</v>
      </c>
      <c r="KL192">
        <v>1.5</v>
      </c>
      <c r="KM192">
        <v>0</v>
      </c>
      <c r="KN192">
        <v>0</v>
      </c>
      <c r="KO192">
        <v>0</v>
      </c>
      <c r="KR192">
        <v>50</v>
      </c>
      <c r="KS192">
        <v>60</v>
      </c>
      <c r="KT192">
        <v>0</v>
      </c>
      <c r="LK192">
        <v>480</v>
      </c>
      <c r="PG192">
        <v>1</v>
      </c>
      <c r="PI192" t="s">
        <v>2660</v>
      </c>
      <c r="PJ192" t="s">
        <v>2661</v>
      </c>
      <c r="PL192" t="s">
        <v>719</v>
      </c>
      <c r="PP192" t="s">
        <v>2194</v>
      </c>
      <c r="PX192">
        <v>56</v>
      </c>
      <c r="PY192">
        <v>56</v>
      </c>
      <c r="PZ192" t="s">
        <v>2660</v>
      </c>
      <c r="QA192">
        <v>1</v>
      </c>
      <c r="QB192">
        <v>1375</v>
      </c>
      <c r="QC192">
        <v>69</v>
      </c>
      <c r="QD192">
        <v>69</v>
      </c>
      <c r="QE192" t="s">
        <v>719</v>
      </c>
      <c r="QF192">
        <v>1</v>
      </c>
      <c r="QG192">
        <v>1393</v>
      </c>
      <c r="QH192">
        <v>66</v>
      </c>
      <c r="QI192">
        <v>66</v>
      </c>
      <c r="QL192">
        <v>0</v>
      </c>
      <c r="QM192">
        <v>62</v>
      </c>
      <c r="QN192">
        <v>62</v>
      </c>
      <c r="QO192" t="s">
        <v>2661</v>
      </c>
      <c r="QP192">
        <v>1</v>
      </c>
      <c r="QQ192">
        <v>1391</v>
      </c>
      <c r="QW192">
        <v>82</v>
      </c>
      <c r="QX192">
        <v>88</v>
      </c>
      <c r="QY192" t="s">
        <v>2194</v>
      </c>
      <c r="QZ192">
        <v>1</v>
      </c>
      <c r="RA192">
        <v>66</v>
      </c>
      <c r="RB192">
        <v>66</v>
      </c>
      <c r="RE192">
        <v>0</v>
      </c>
      <c r="RF192">
        <v>1</v>
      </c>
      <c r="RJ192">
        <v>1</v>
      </c>
      <c r="RL192">
        <v>2</v>
      </c>
      <c r="RO192">
        <v>524</v>
      </c>
      <c r="RQ192">
        <v>837</v>
      </c>
      <c r="RT192">
        <v>258</v>
      </c>
      <c r="RU192">
        <v>177</v>
      </c>
      <c r="RV192" t="s">
        <v>2150</v>
      </c>
      <c r="RW192" t="s">
        <v>679</v>
      </c>
      <c r="RX192">
        <v>15</v>
      </c>
      <c r="RY192">
        <v>4</v>
      </c>
      <c r="RZ192" t="s">
        <v>679</v>
      </c>
      <c r="SA192">
        <v>15</v>
      </c>
      <c r="SC192" t="s">
        <v>2661</v>
      </c>
      <c r="SD192">
        <v>1</v>
      </c>
      <c r="SH192">
        <v>0.995</v>
      </c>
      <c r="SI192">
        <v>0.995</v>
      </c>
      <c r="SJ192">
        <v>0.995</v>
      </c>
      <c r="SK192">
        <v>15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TB192">
        <v>0</v>
      </c>
      <c r="TC192">
        <v>0</v>
      </c>
      <c r="TD192">
        <v>7.5</v>
      </c>
      <c r="TE192" t="s">
        <v>553</v>
      </c>
      <c r="TF192" t="s">
        <v>624</v>
      </c>
      <c r="TG192" t="s">
        <v>555</v>
      </c>
      <c r="TI192" t="s">
        <v>546</v>
      </c>
      <c r="TJ192" t="s">
        <v>547</v>
      </c>
      <c r="TL192" t="s">
        <v>2662</v>
      </c>
      <c r="TM192" t="s">
        <v>513</v>
      </c>
      <c r="TN192">
        <v>0</v>
      </c>
      <c r="TO192" t="s">
        <v>557</v>
      </c>
    </row>
    <row r="193" spans="1:535">
      <c r="A193" t="s">
        <v>2663</v>
      </c>
      <c r="B193" t="s">
        <v>804</v>
      </c>
      <c r="C193" t="s">
        <v>509</v>
      </c>
      <c r="D193" t="s">
        <v>1199</v>
      </c>
      <c r="G193" t="s">
        <v>1088</v>
      </c>
      <c r="L193" t="s">
        <v>512</v>
      </c>
      <c r="M193" t="s">
        <v>508</v>
      </c>
      <c r="N193" t="s">
        <v>513</v>
      </c>
      <c r="O193" t="s">
        <v>1942</v>
      </c>
      <c r="P193" t="s">
        <v>515</v>
      </c>
      <c r="Q193" t="s">
        <v>2664</v>
      </c>
      <c r="R193" t="s">
        <v>517</v>
      </c>
      <c r="S193" t="s">
        <v>913</v>
      </c>
      <c r="T193" t="s">
        <v>714</v>
      </c>
      <c r="U193" t="s">
        <v>686</v>
      </c>
      <c r="V193" t="s">
        <v>687</v>
      </c>
      <c r="W193" t="s">
        <v>2372</v>
      </c>
      <c r="X193" t="s">
        <v>2657</v>
      </c>
      <c r="Y193" t="s">
        <v>524</v>
      </c>
      <c r="Z193" t="s">
        <v>2665</v>
      </c>
      <c r="AA193" t="s">
        <v>2666</v>
      </c>
      <c r="AB193" t="s">
        <v>2667</v>
      </c>
      <c r="AC193">
        <v>2</v>
      </c>
      <c r="AD193">
        <v>56</v>
      </c>
      <c r="AE193">
        <v>200</v>
      </c>
      <c r="AF193">
        <v>1.5</v>
      </c>
      <c r="AH193">
        <v>0</v>
      </c>
      <c r="AI193" t="s">
        <v>1287</v>
      </c>
      <c r="AJ193">
        <v>182.5</v>
      </c>
      <c r="AK193">
        <v>1</v>
      </c>
      <c r="AL193">
        <v>1.5</v>
      </c>
      <c r="AM193" t="s">
        <v>579</v>
      </c>
      <c r="AN193" t="s">
        <v>693</v>
      </c>
      <c r="AO193">
        <v>2</v>
      </c>
      <c r="AP193" t="s">
        <v>581</v>
      </c>
      <c r="AQ193" t="s">
        <v>582</v>
      </c>
      <c r="AR193">
        <v>220</v>
      </c>
      <c r="AS193">
        <v>1.5</v>
      </c>
      <c r="AT193" t="s">
        <v>583</v>
      </c>
      <c r="AU193" t="s">
        <v>2668</v>
      </c>
      <c r="AW193" t="s">
        <v>2668</v>
      </c>
      <c r="AX193">
        <v>1</v>
      </c>
      <c r="AY193">
        <v>317.5</v>
      </c>
      <c r="AZ193">
        <v>1.5</v>
      </c>
      <c r="BA193" t="s">
        <v>579</v>
      </c>
      <c r="BG193">
        <v>1.5</v>
      </c>
      <c r="BJ193">
        <v>0</v>
      </c>
      <c r="BN193">
        <v>1.5</v>
      </c>
      <c r="BP193" t="s">
        <v>1341</v>
      </c>
      <c r="BQ193">
        <v>89</v>
      </c>
      <c r="BR193">
        <v>2</v>
      </c>
      <c r="BS193" t="s">
        <v>1342</v>
      </c>
      <c r="BT193">
        <v>200</v>
      </c>
      <c r="BU193">
        <v>0.5</v>
      </c>
      <c r="BV193" t="s">
        <v>1342</v>
      </c>
      <c r="BW193">
        <v>400</v>
      </c>
      <c r="BX193">
        <v>1</v>
      </c>
      <c r="BY193" t="s">
        <v>698</v>
      </c>
      <c r="BZ193">
        <v>300</v>
      </c>
      <c r="CA193">
        <v>460</v>
      </c>
      <c r="CB193" t="s">
        <v>699</v>
      </c>
      <c r="CC193" t="s">
        <v>699</v>
      </c>
      <c r="CD193">
        <v>430</v>
      </c>
      <c r="CE193" t="s">
        <v>700</v>
      </c>
      <c r="CF193">
        <v>15</v>
      </c>
      <c r="CG193" t="s">
        <v>922</v>
      </c>
      <c r="CH193" t="s">
        <v>922</v>
      </c>
      <c r="CI193">
        <v>80</v>
      </c>
      <c r="CJ193">
        <v>1458</v>
      </c>
      <c r="CK193">
        <v>2</v>
      </c>
      <c r="CL193">
        <v>1552</v>
      </c>
      <c r="CM193">
        <v>2</v>
      </c>
      <c r="CN193" t="s">
        <v>702</v>
      </c>
      <c r="CO193" t="s">
        <v>676</v>
      </c>
      <c r="CP193" t="s">
        <v>703</v>
      </c>
      <c r="CQ193" t="s">
        <v>1343</v>
      </c>
      <c r="CR193" t="s">
        <v>541</v>
      </c>
      <c r="CS193" t="s">
        <v>542</v>
      </c>
      <c r="CT193">
        <v>365</v>
      </c>
      <c r="CU193">
        <v>5</v>
      </c>
      <c r="CV193">
        <v>1.2</v>
      </c>
      <c r="CW193">
        <v>1475</v>
      </c>
      <c r="CX193">
        <v>763</v>
      </c>
      <c r="CY193" t="s">
        <v>705</v>
      </c>
      <c r="CZ193">
        <v>50</v>
      </c>
      <c r="DA193">
        <v>3</v>
      </c>
      <c r="DB193">
        <v>1</v>
      </c>
      <c r="DC193">
        <v>1475</v>
      </c>
      <c r="DD193">
        <v>77</v>
      </c>
      <c r="DE193" t="s">
        <v>543</v>
      </c>
      <c r="DF193">
        <v>635</v>
      </c>
      <c r="DG193">
        <v>3</v>
      </c>
      <c r="DH193">
        <v>1.18</v>
      </c>
      <c r="DI193">
        <v>1468</v>
      </c>
      <c r="DJ193">
        <v>1445</v>
      </c>
      <c r="DW193" t="s">
        <v>544</v>
      </c>
      <c r="DX193">
        <v>7.5</v>
      </c>
      <c r="EA193">
        <v>1540.9</v>
      </c>
      <c r="EB193">
        <v>272</v>
      </c>
      <c r="EC193" t="s">
        <v>545</v>
      </c>
      <c r="ED193">
        <v>30</v>
      </c>
      <c r="EE193">
        <v>3</v>
      </c>
      <c r="EG193">
        <v>1582</v>
      </c>
      <c r="EH193">
        <v>187</v>
      </c>
      <c r="EJ193">
        <v>0</v>
      </c>
      <c r="EK193">
        <v>1</v>
      </c>
      <c r="EN193">
        <v>0</v>
      </c>
      <c r="EP193" t="s">
        <v>546</v>
      </c>
      <c r="EQ193">
        <v>85</v>
      </c>
      <c r="ER193">
        <v>3</v>
      </c>
      <c r="ES193">
        <v>5.3</v>
      </c>
      <c r="ET193">
        <v>1453</v>
      </c>
      <c r="EU193">
        <v>375.9</v>
      </c>
      <c r="EV193">
        <v>546</v>
      </c>
      <c r="EW193" t="s">
        <v>547</v>
      </c>
      <c r="EX193">
        <v>45</v>
      </c>
      <c r="EY193">
        <v>2</v>
      </c>
      <c r="EZ193">
        <v>4.5</v>
      </c>
      <c r="FA193">
        <v>1453</v>
      </c>
      <c r="FB193">
        <v>138.3</v>
      </c>
      <c r="FC193">
        <v>201</v>
      </c>
      <c r="FE193">
        <v>0</v>
      </c>
      <c r="FF193">
        <v>2</v>
      </c>
      <c r="FI193">
        <v>0</v>
      </c>
      <c r="FK193" t="s">
        <v>548</v>
      </c>
      <c r="FL193">
        <v>0.4</v>
      </c>
      <c r="FM193">
        <v>60</v>
      </c>
      <c r="FN193">
        <v>330</v>
      </c>
      <c r="FO193">
        <v>50</v>
      </c>
      <c r="FP193">
        <v>160</v>
      </c>
      <c r="FR193" t="s">
        <v>548</v>
      </c>
      <c r="FS193">
        <v>0.4</v>
      </c>
      <c r="FT193">
        <v>30</v>
      </c>
      <c r="FU193">
        <v>360</v>
      </c>
      <c r="HC193">
        <v>0.1</v>
      </c>
      <c r="HD193">
        <v>3</v>
      </c>
      <c r="HE193">
        <v>3</v>
      </c>
      <c r="HF193">
        <v>3</v>
      </c>
      <c r="HG193">
        <v>3</v>
      </c>
      <c r="HH193">
        <v>3</v>
      </c>
      <c r="HI193">
        <v>115</v>
      </c>
      <c r="HJ193">
        <v>3</v>
      </c>
      <c r="HK193">
        <v>30</v>
      </c>
      <c r="HL193">
        <v>2</v>
      </c>
      <c r="HM193">
        <v>0</v>
      </c>
      <c r="HN193">
        <v>2</v>
      </c>
      <c r="HO193">
        <v>70</v>
      </c>
      <c r="HP193">
        <v>3</v>
      </c>
      <c r="HQ193">
        <v>0</v>
      </c>
      <c r="HR193">
        <v>2</v>
      </c>
      <c r="HS193">
        <v>4774</v>
      </c>
      <c r="HT193">
        <v>140</v>
      </c>
      <c r="HU193">
        <v>180</v>
      </c>
      <c r="HW193">
        <v>20</v>
      </c>
      <c r="HX193">
        <v>480</v>
      </c>
      <c r="HY193">
        <v>0.18</v>
      </c>
      <c r="IA193">
        <v>0.15</v>
      </c>
      <c r="IB193">
        <v>0</v>
      </c>
      <c r="IC193">
        <v>180</v>
      </c>
      <c r="ID193">
        <v>110</v>
      </c>
      <c r="IE193">
        <v>0</v>
      </c>
      <c r="IF193">
        <v>0</v>
      </c>
      <c r="IH193" t="s">
        <v>549</v>
      </c>
      <c r="IO193">
        <v>1</v>
      </c>
      <c r="IP193">
        <v>19</v>
      </c>
      <c r="IQ193">
        <v>0</v>
      </c>
      <c r="IR193">
        <v>0</v>
      </c>
      <c r="IV193">
        <v>1458</v>
      </c>
      <c r="IW193">
        <v>400</v>
      </c>
      <c r="JA193">
        <v>1</v>
      </c>
      <c r="JB193">
        <v>0</v>
      </c>
      <c r="JC193">
        <v>2</v>
      </c>
      <c r="JD193">
        <v>1475</v>
      </c>
      <c r="JE193">
        <v>1468</v>
      </c>
      <c r="JF193">
        <v>0</v>
      </c>
      <c r="JG193">
        <v>1453</v>
      </c>
      <c r="JH193">
        <v>0</v>
      </c>
      <c r="JJ193">
        <v>180</v>
      </c>
      <c r="JK193">
        <v>480</v>
      </c>
      <c r="JN193">
        <v>365</v>
      </c>
      <c r="JO193">
        <v>635</v>
      </c>
      <c r="JP193">
        <v>0</v>
      </c>
      <c r="JQ193">
        <v>0</v>
      </c>
      <c r="JR193">
        <v>400</v>
      </c>
      <c r="JS193">
        <v>115</v>
      </c>
      <c r="JV193">
        <v>8</v>
      </c>
      <c r="JW193" t="s">
        <v>550</v>
      </c>
      <c r="JX193">
        <v>440</v>
      </c>
      <c r="KA193">
        <v>0</v>
      </c>
      <c r="KB193">
        <v>110</v>
      </c>
      <c r="KC193">
        <v>0</v>
      </c>
      <c r="KD193">
        <v>80</v>
      </c>
      <c r="KF193">
        <v>4</v>
      </c>
      <c r="KG193">
        <v>4</v>
      </c>
      <c r="KH193">
        <v>2</v>
      </c>
      <c r="KI193">
        <v>2</v>
      </c>
      <c r="KJ193">
        <v>0</v>
      </c>
      <c r="KK193">
        <v>1.5</v>
      </c>
      <c r="KL193">
        <v>1.5</v>
      </c>
      <c r="KM193">
        <v>0</v>
      </c>
      <c r="KN193">
        <v>0</v>
      </c>
      <c r="KO193">
        <v>0</v>
      </c>
      <c r="KR193">
        <v>50</v>
      </c>
      <c r="KS193">
        <v>60</v>
      </c>
      <c r="KT193">
        <v>0</v>
      </c>
      <c r="LK193">
        <v>480</v>
      </c>
      <c r="PG193">
        <v>1</v>
      </c>
      <c r="PI193" t="s">
        <v>2667</v>
      </c>
      <c r="PJ193" t="s">
        <v>2668</v>
      </c>
      <c r="PL193" t="s">
        <v>1287</v>
      </c>
      <c r="PP193" t="s">
        <v>1341</v>
      </c>
      <c r="PS193" t="s">
        <v>693</v>
      </c>
      <c r="PX193">
        <v>56</v>
      </c>
      <c r="PY193">
        <v>56</v>
      </c>
      <c r="PZ193" t="s">
        <v>2667</v>
      </c>
      <c r="QA193">
        <v>1</v>
      </c>
      <c r="QB193">
        <v>1453</v>
      </c>
      <c r="QC193">
        <v>69</v>
      </c>
      <c r="QD193">
        <v>69</v>
      </c>
      <c r="QE193" t="s">
        <v>1287</v>
      </c>
      <c r="QF193">
        <v>1</v>
      </c>
      <c r="QG193">
        <v>1475</v>
      </c>
      <c r="QH193">
        <v>66</v>
      </c>
      <c r="QI193">
        <v>66</v>
      </c>
      <c r="QJ193" t="s">
        <v>693</v>
      </c>
      <c r="QK193">
        <v>1</v>
      </c>
      <c r="QL193">
        <v>1475</v>
      </c>
      <c r="QM193">
        <v>62</v>
      </c>
      <c r="QN193">
        <v>62</v>
      </c>
      <c r="QO193" t="s">
        <v>2668</v>
      </c>
      <c r="QP193">
        <v>1</v>
      </c>
      <c r="QQ193">
        <v>1468</v>
      </c>
      <c r="QW193">
        <v>82</v>
      </c>
      <c r="QX193">
        <v>89</v>
      </c>
      <c r="QY193" t="s">
        <v>1341</v>
      </c>
      <c r="QZ193">
        <v>1</v>
      </c>
      <c r="RA193">
        <v>66</v>
      </c>
      <c r="RB193">
        <v>66</v>
      </c>
      <c r="RE193">
        <v>0</v>
      </c>
      <c r="RF193">
        <v>1</v>
      </c>
      <c r="RJ193">
        <v>1</v>
      </c>
      <c r="RK193">
        <v>2</v>
      </c>
      <c r="RL193">
        <v>2</v>
      </c>
      <c r="RO193">
        <v>517</v>
      </c>
      <c r="RP193">
        <v>105</v>
      </c>
      <c r="RQ193">
        <v>984</v>
      </c>
      <c r="RT193">
        <v>272</v>
      </c>
      <c r="RU193">
        <v>187</v>
      </c>
      <c r="RV193" t="s">
        <v>1344</v>
      </c>
      <c r="RW193" t="s">
        <v>707</v>
      </c>
      <c r="RX193">
        <v>15</v>
      </c>
      <c r="RY193">
        <v>4</v>
      </c>
      <c r="RZ193" t="s">
        <v>707</v>
      </c>
      <c r="SA193">
        <v>15</v>
      </c>
      <c r="SC193" t="s">
        <v>2668</v>
      </c>
      <c r="SD193">
        <v>1</v>
      </c>
      <c r="SH193">
        <v>0.995</v>
      </c>
      <c r="SI193">
        <v>0.995</v>
      </c>
      <c r="SJ193">
        <v>0.995</v>
      </c>
      <c r="SK193">
        <v>15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1</v>
      </c>
      <c r="TB193">
        <v>0</v>
      </c>
      <c r="TC193">
        <v>0</v>
      </c>
      <c r="TD193">
        <v>7.5</v>
      </c>
      <c r="TE193" t="s">
        <v>553</v>
      </c>
      <c r="TF193" t="s">
        <v>624</v>
      </c>
      <c r="TG193" t="s">
        <v>555</v>
      </c>
      <c r="TI193" t="s">
        <v>546</v>
      </c>
      <c r="TJ193" t="s">
        <v>547</v>
      </c>
      <c r="TL193" t="s">
        <v>2662</v>
      </c>
      <c r="TM193" t="s">
        <v>513</v>
      </c>
      <c r="TN193">
        <v>0</v>
      </c>
      <c r="TO193" t="s">
        <v>557</v>
      </c>
    </row>
    <row r="194" spans="1:535">
      <c r="A194" t="s">
        <v>2669</v>
      </c>
      <c r="B194" t="s">
        <v>711</v>
      </c>
      <c r="C194" t="s">
        <v>509</v>
      </c>
      <c r="D194" t="s">
        <v>1335</v>
      </c>
      <c r="G194" t="s">
        <v>1135</v>
      </c>
      <c r="I194" t="s">
        <v>562</v>
      </c>
      <c r="J194" t="s">
        <v>563</v>
      </c>
      <c r="L194" t="s">
        <v>512</v>
      </c>
      <c r="M194" t="s">
        <v>804</v>
      </c>
      <c r="N194" t="s">
        <v>513</v>
      </c>
      <c r="O194" t="s">
        <v>1255</v>
      </c>
      <c r="P194" t="s">
        <v>515</v>
      </c>
      <c r="Q194" t="s">
        <v>2670</v>
      </c>
      <c r="R194" t="s">
        <v>517</v>
      </c>
      <c r="S194" t="s">
        <v>2671</v>
      </c>
      <c r="T194" t="s">
        <v>2672</v>
      </c>
      <c r="U194" t="s">
        <v>662</v>
      </c>
      <c r="V194" t="s">
        <v>663</v>
      </c>
      <c r="W194" t="s">
        <v>2673</v>
      </c>
      <c r="X194" t="s">
        <v>2657</v>
      </c>
      <c r="Y194" t="s">
        <v>524</v>
      </c>
      <c r="Z194" t="s">
        <v>2674</v>
      </c>
      <c r="AA194" t="s">
        <v>2675</v>
      </c>
      <c r="AB194" t="s">
        <v>2676</v>
      </c>
      <c r="AC194">
        <v>2</v>
      </c>
      <c r="AD194">
        <v>56</v>
      </c>
      <c r="AE194">
        <v>150</v>
      </c>
      <c r="AF194">
        <v>1.5</v>
      </c>
      <c r="AH194">
        <v>0</v>
      </c>
      <c r="AI194" t="s">
        <v>1359</v>
      </c>
      <c r="AJ194">
        <v>162.5</v>
      </c>
      <c r="AK194">
        <v>1</v>
      </c>
      <c r="AL194">
        <v>1.5</v>
      </c>
      <c r="AM194" t="s">
        <v>529</v>
      </c>
      <c r="AO194">
        <v>0</v>
      </c>
      <c r="AR194">
        <v>0</v>
      </c>
      <c r="AS194">
        <v>1.5</v>
      </c>
      <c r="AU194" t="s">
        <v>2677</v>
      </c>
      <c r="AW194" t="s">
        <v>2677</v>
      </c>
      <c r="AX194">
        <v>1</v>
      </c>
      <c r="AY194">
        <v>272.5</v>
      </c>
      <c r="AZ194">
        <v>1.5</v>
      </c>
      <c r="BA194" t="s">
        <v>529</v>
      </c>
      <c r="BG194">
        <v>1.5</v>
      </c>
      <c r="BJ194">
        <v>0</v>
      </c>
      <c r="BN194">
        <v>1.5</v>
      </c>
      <c r="BP194" t="s">
        <v>2105</v>
      </c>
      <c r="BQ194">
        <v>89</v>
      </c>
      <c r="BR194">
        <v>2</v>
      </c>
      <c r="BS194" t="s">
        <v>906</v>
      </c>
      <c r="BT194">
        <v>173</v>
      </c>
      <c r="BU194">
        <v>0.5</v>
      </c>
      <c r="BV194" t="s">
        <v>906</v>
      </c>
      <c r="BW194">
        <v>346</v>
      </c>
      <c r="BX194">
        <v>1</v>
      </c>
      <c r="BY194" t="s">
        <v>643</v>
      </c>
      <c r="BZ194">
        <v>290</v>
      </c>
      <c r="CA194">
        <v>410</v>
      </c>
      <c r="CB194" t="s">
        <v>672</v>
      </c>
      <c r="CC194" t="s">
        <v>672</v>
      </c>
      <c r="CD194">
        <v>360</v>
      </c>
      <c r="CE194" t="s">
        <v>673</v>
      </c>
      <c r="CF194">
        <v>15</v>
      </c>
      <c r="CG194" t="s">
        <v>1265</v>
      </c>
      <c r="CH194" t="s">
        <v>1265</v>
      </c>
      <c r="CI194">
        <v>60</v>
      </c>
      <c r="CJ194">
        <v>1381</v>
      </c>
      <c r="CK194">
        <v>2</v>
      </c>
      <c r="CL194">
        <v>1475</v>
      </c>
      <c r="CM194">
        <v>2</v>
      </c>
      <c r="CN194" t="s">
        <v>675</v>
      </c>
      <c r="CO194" t="s">
        <v>676</v>
      </c>
      <c r="CP194" t="s">
        <v>595</v>
      </c>
      <c r="CQ194" t="s">
        <v>1496</v>
      </c>
      <c r="CR194" t="s">
        <v>541</v>
      </c>
      <c r="CS194" t="s">
        <v>542</v>
      </c>
      <c r="CT194">
        <v>325</v>
      </c>
      <c r="CU194">
        <v>5</v>
      </c>
      <c r="CV194">
        <v>1.2</v>
      </c>
      <c r="CW194">
        <v>1393</v>
      </c>
      <c r="CX194">
        <v>641</v>
      </c>
      <c r="DD194">
        <v>0</v>
      </c>
      <c r="DE194" t="s">
        <v>622</v>
      </c>
      <c r="DF194">
        <v>545</v>
      </c>
      <c r="DG194">
        <v>3</v>
      </c>
      <c r="DH194">
        <v>0.88</v>
      </c>
      <c r="DI194">
        <v>1392</v>
      </c>
      <c r="DJ194">
        <v>895</v>
      </c>
      <c r="DW194" t="s">
        <v>544</v>
      </c>
      <c r="DX194">
        <v>7.5</v>
      </c>
      <c r="EA194">
        <v>1459.5</v>
      </c>
      <c r="EB194">
        <v>258</v>
      </c>
      <c r="EC194" t="s">
        <v>545</v>
      </c>
      <c r="ED194">
        <v>30</v>
      </c>
      <c r="EE194">
        <v>3</v>
      </c>
      <c r="EG194">
        <v>1500</v>
      </c>
      <c r="EH194">
        <v>177</v>
      </c>
      <c r="EJ194">
        <v>0</v>
      </c>
      <c r="EK194">
        <v>1</v>
      </c>
      <c r="EN194">
        <v>0</v>
      </c>
      <c r="EP194" t="s">
        <v>546</v>
      </c>
      <c r="EQ194">
        <v>65</v>
      </c>
      <c r="ER194">
        <v>3</v>
      </c>
      <c r="ES194">
        <v>5</v>
      </c>
      <c r="ET194">
        <v>1375</v>
      </c>
      <c r="EU194">
        <v>272.2</v>
      </c>
      <c r="EV194">
        <v>374</v>
      </c>
      <c r="EW194" t="s">
        <v>547</v>
      </c>
      <c r="EX194">
        <v>65</v>
      </c>
      <c r="EY194">
        <v>2</v>
      </c>
      <c r="EZ194">
        <v>4.5</v>
      </c>
      <c r="FA194">
        <v>1375</v>
      </c>
      <c r="FB194">
        <v>197</v>
      </c>
      <c r="FC194">
        <v>271</v>
      </c>
      <c r="FE194">
        <v>0</v>
      </c>
      <c r="FF194">
        <v>2</v>
      </c>
      <c r="FI194">
        <v>0</v>
      </c>
      <c r="FK194" t="s">
        <v>548</v>
      </c>
      <c r="FL194">
        <v>0.6</v>
      </c>
      <c r="FM194">
        <v>60</v>
      </c>
      <c r="FN194">
        <v>140</v>
      </c>
      <c r="FR194" t="s">
        <v>548</v>
      </c>
      <c r="FS194">
        <v>0.4</v>
      </c>
      <c r="FT194">
        <v>30</v>
      </c>
      <c r="FU194">
        <v>310</v>
      </c>
      <c r="HC194">
        <v>0.1</v>
      </c>
      <c r="HD194">
        <v>3</v>
      </c>
      <c r="HE194">
        <v>3</v>
      </c>
      <c r="HF194">
        <v>3</v>
      </c>
      <c r="HG194">
        <v>3</v>
      </c>
      <c r="HH194">
        <v>3</v>
      </c>
      <c r="HI194">
        <v>115</v>
      </c>
      <c r="HJ194">
        <v>3</v>
      </c>
      <c r="HK194">
        <v>50</v>
      </c>
      <c r="HL194">
        <v>2</v>
      </c>
      <c r="HM194">
        <v>0</v>
      </c>
      <c r="HN194">
        <v>2</v>
      </c>
      <c r="HO194">
        <v>50</v>
      </c>
      <c r="HP194">
        <v>3</v>
      </c>
      <c r="HQ194">
        <v>0</v>
      </c>
      <c r="HR194">
        <v>2</v>
      </c>
      <c r="HS194">
        <v>3696</v>
      </c>
      <c r="HT194">
        <v>110</v>
      </c>
      <c r="HU194">
        <v>180</v>
      </c>
      <c r="HW194">
        <v>20</v>
      </c>
      <c r="HX194">
        <v>365</v>
      </c>
      <c r="HY194">
        <v>0.18</v>
      </c>
      <c r="IA194">
        <v>0.15</v>
      </c>
      <c r="IB194">
        <v>0</v>
      </c>
      <c r="IC194">
        <v>180</v>
      </c>
      <c r="ID194">
        <v>110</v>
      </c>
      <c r="IE194">
        <v>0</v>
      </c>
      <c r="IF194">
        <v>0</v>
      </c>
      <c r="IH194" t="s">
        <v>549</v>
      </c>
      <c r="IO194">
        <v>1</v>
      </c>
      <c r="IP194">
        <v>18</v>
      </c>
      <c r="IQ194">
        <v>0</v>
      </c>
      <c r="IR194">
        <v>1</v>
      </c>
      <c r="IV194">
        <v>1381</v>
      </c>
      <c r="IW194">
        <v>346</v>
      </c>
      <c r="JA194">
        <v>1</v>
      </c>
      <c r="JB194">
        <v>0</v>
      </c>
      <c r="JC194">
        <v>2</v>
      </c>
      <c r="JD194">
        <v>1393</v>
      </c>
      <c r="JE194">
        <v>1392</v>
      </c>
      <c r="JF194">
        <v>0</v>
      </c>
      <c r="JG194">
        <v>1375</v>
      </c>
      <c r="JH194">
        <v>0</v>
      </c>
      <c r="JJ194">
        <v>180</v>
      </c>
      <c r="JK194">
        <v>365</v>
      </c>
      <c r="JN194">
        <v>325</v>
      </c>
      <c r="JO194">
        <v>545</v>
      </c>
      <c r="JP194">
        <v>0</v>
      </c>
      <c r="JQ194">
        <v>0</v>
      </c>
      <c r="JR194">
        <v>300</v>
      </c>
      <c r="JS194">
        <v>115</v>
      </c>
      <c r="JV194">
        <v>8</v>
      </c>
      <c r="JW194" t="s">
        <v>550</v>
      </c>
      <c r="JX194">
        <v>0</v>
      </c>
      <c r="KA194">
        <v>0</v>
      </c>
      <c r="KB194">
        <v>110</v>
      </c>
      <c r="KC194">
        <v>0</v>
      </c>
      <c r="KD194">
        <v>80</v>
      </c>
      <c r="KF194">
        <v>4</v>
      </c>
      <c r="KG194">
        <v>4</v>
      </c>
      <c r="KH194">
        <v>2</v>
      </c>
      <c r="KI194">
        <v>2</v>
      </c>
      <c r="KJ194">
        <v>0</v>
      </c>
      <c r="KK194">
        <v>1.5</v>
      </c>
      <c r="KL194">
        <v>1.5</v>
      </c>
      <c r="KM194">
        <v>0</v>
      </c>
      <c r="KN194">
        <v>0</v>
      </c>
      <c r="KO194">
        <v>0</v>
      </c>
      <c r="KR194">
        <v>30</v>
      </c>
      <c r="KS194">
        <v>60</v>
      </c>
      <c r="KT194">
        <v>0</v>
      </c>
      <c r="LK194">
        <v>480</v>
      </c>
      <c r="PG194">
        <v>1</v>
      </c>
      <c r="PI194" t="s">
        <v>2676</v>
      </c>
      <c r="PJ194" t="s">
        <v>2677</v>
      </c>
      <c r="PL194" t="s">
        <v>1359</v>
      </c>
      <c r="PP194" t="s">
        <v>2105</v>
      </c>
      <c r="PX194">
        <v>56</v>
      </c>
      <c r="PY194">
        <v>56</v>
      </c>
      <c r="PZ194" t="s">
        <v>2676</v>
      </c>
      <c r="QA194">
        <v>1</v>
      </c>
      <c r="QB194">
        <v>1375</v>
      </c>
      <c r="QC194">
        <v>69</v>
      </c>
      <c r="QD194">
        <v>69</v>
      </c>
      <c r="QE194" t="s">
        <v>1359</v>
      </c>
      <c r="QF194">
        <v>1</v>
      </c>
      <c r="QG194">
        <v>1393</v>
      </c>
      <c r="QH194">
        <v>66</v>
      </c>
      <c r="QI194">
        <v>66</v>
      </c>
      <c r="QL194">
        <v>0</v>
      </c>
      <c r="QM194">
        <v>62</v>
      </c>
      <c r="QN194">
        <v>62</v>
      </c>
      <c r="QO194" t="s">
        <v>2677</v>
      </c>
      <c r="QP194">
        <v>1</v>
      </c>
      <c r="QQ194">
        <v>1392</v>
      </c>
      <c r="QW194">
        <v>82</v>
      </c>
      <c r="QX194">
        <v>89</v>
      </c>
      <c r="QY194" t="s">
        <v>2105</v>
      </c>
      <c r="QZ194">
        <v>1</v>
      </c>
      <c r="RA194">
        <v>66</v>
      </c>
      <c r="RB194">
        <v>66</v>
      </c>
      <c r="RE194">
        <v>0</v>
      </c>
      <c r="RF194">
        <v>1</v>
      </c>
      <c r="RJ194">
        <v>1</v>
      </c>
      <c r="RL194">
        <v>4</v>
      </c>
      <c r="RO194">
        <v>460</v>
      </c>
      <c r="RQ194">
        <v>643</v>
      </c>
      <c r="RT194">
        <v>258</v>
      </c>
      <c r="RU194">
        <v>177</v>
      </c>
      <c r="RV194" t="s">
        <v>908</v>
      </c>
      <c r="RW194" t="s">
        <v>679</v>
      </c>
      <c r="RX194">
        <v>15</v>
      </c>
      <c r="RY194">
        <v>4</v>
      </c>
      <c r="RZ194" t="s">
        <v>679</v>
      </c>
      <c r="SA194">
        <v>15</v>
      </c>
      <c r="SC194" t="s">
        <v>2677</v>
      </c>
      <c r="SD194">
        <v>1</v>
      </c>
      <c r="SH194">
        <v>0.995</v>
      </c>
      <c r="SI194">
        <v>0.995</v>
      </c>
      <c r="SJ194">
        <v>0.995</v>
      </c>
      <c r="SK194">
        <v>15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TB194">
        <v>0</v>
      </c>
      <c r="TC194">
        <v>0</v>
      </c>
      <c r="TD194">
        <v>7.5</v>
      </c>
      <c r="TE194" t="s">
        <v>553</v>
      </c>
      <c r="TF194" t="s">
        <v>624</v>
      </c>
      <c r="TG194" t="s">
        <v>555</v>
      </c>
      <c r="TI194" t="s">
        <v>546</v>
      </c>
      <c r="TJ194" t="s">
        <v>547</v>
      </c>
      <c r="TL194" t="s">
        <v>2662</v>
      </c>
      <c r="TM194" t="s">
        <v>513</v>
      </c>
      <c r="TN194">
        <v>0</v>
      </c>
      <c r="TO194" t="s">
        <v>557</v>
      </c>
    </row>
    <row r="195" spans="1:535">
      <c r="A195" t="s">
        <v>2678</v>
      </c>
      <c r="B195" t="s">
        <v>804</v>
      </c>
      <c r="C195" t="s">
        <v>509</v>
      </c>
      <c r="D195" t="s">
        <v>1335</v>
      </c>
      <c r="G195" t="s">
        <v>1135</v>
      </c>
      <c r="I195" t="s">
        <v>562</v>
      </c>
      <c r="J195" t="s">
        <v>563</v>
      </c>
      <c r="L195" t="s">
        <v>512</v>
      </c>
      <c r="M195" t="s">
        <v>508</v>
      </c>
      <c r="N195" t="s">
        <v>513</v>
      </c>
      <c r="O195" t="s">
        <v>1255</v>
      </c>
      <c r="P195" t="s">
        <v>515</v>
      </c>
      <c r="Q195" t="s">
        <v>2679</v>
      </c>
      <c r="R195" t="s">
        <v>517</v>
      </c>
      <c r="S195" t="s">
        <v>2680</v>
      </c>
      <c r="T195" t="s">
        <v>2681</v>
      </c>
      <c r="U195" t="s">
        <v>686</v>
      </c>
      <c r="V195" t="s">
        <v>687</v>
      </c>
      <c r="W195" t="s">
        <v>2567</v>
      </c>
      <c r="X195" t="s">
        <v>2657</v>
      </c>
      <c r="Y195" t="s">
        <v>524</v>
      </c>
      <c r="Z195" t="s">
        <v>2682</v>
      </c>
      <c r="AA195" t="s">
        <v>2683</v>
      </c>
      <c r="AB195" t="s">
        <v>2684</v>
      </c>
      <c r="AC195">
        <v>2</v>
      </c>
      <c r="AD195">
        <v>56</v>
      </c>
      <c r="AE195">
        <v>202</v>
      </c>
      <c r="AF195">
        <v>1.5</v>
      </c>
      <c r="AH195">
        <v>0</v>
      </c>
      <c r="AI195" t="s">
        <v>1287</v>
      </c>
      <c r="AJ195">
        <v>182.5</v>
      </c>
      <c r="AK195">
        <v>1</v>
      </c>
      <c r="AL195">
        <v>1.5</v>
      </c>
      <c r="AM195" t="s">
        <v>579</v>
      </c>
      <c r="AN195" t="s">
        <v>693</v>
      </c>
      <c r="AO195">
        <v>2</v>
      </c>
      <c r="AP195" t="s">
        <v>581</v>
      </c>
      <c r="AQ195" t="s">
        <v>582</v>
      </c>
      <c r="AR195">
        <v>220</v>
      </c>
      <c r="AS195">
        <v>1.5</v>
      </c>
      <c r="AT195" t="s">
        <v>583</v>
      </c>
      <c r="AU195" t="s">
        <v>2685</v>
      </c>
      <c r="AW195" t="s">
        <v>2685</v>
      </c>
      <c r="AX195">
        <v>1</v>
      </c>
      <c r="AY195">
        <v>305</v>
      </c>
      <c r="AZ195">
        <v>1.5</v>
      </c>
      <c r="BA195" t="s">
        <v>579</v>
      </c>
      <c r="BG195">
        <v>1.5</v>
      </c>
      <c r="BJ195">
        <v>0</v>
      </c>
      <c r="BN195">
        <v>1.5</v>
      </c>
      <c r="BP195" t="s">
        <v>2686</v>
      </c>
      <c r="BQ195">
        <v>88</v>
      </c>
      <c r="BR195">
        <v>2</v>
      </c>
      <c r="BS195" t="s">
        <v>2687</v>
      </c>
      <c r="BT195">
        <v>201</v>
      </c>
      <c r="BU195">
        <v>0.5</v>
      </c>
      <c r="BV195" t="s">
        <v>2687</v>
      </c>
      <c r="BW195">
        <v>402</v>
      </c>
      <c r="BX195">
        <v>1</v>
      </c>
      <c r="BY195" t="s">
        <v>698</v>
      </c>
      <c r="BZ195">
        <v>300</v>
      </c>
      <c r="CA195">
        <v>460</v>
      </c>
      <c r="CB195" t="s">
        <v>699</v>
      </c>
      <c r="CC195" t="s">
        <v>699</v>
      </c>
      <c r="CD195">
        <v>416</v>
      </c>
      <c r="CE195" t="s">
        <v>700</v>
      </c>
      <c r="CF195">
        <v>15</v>
      </c>
      <c r="CG195" t="s">
        <v>922</v>
      </c>
      <c r="CH195" t="s">
        <v>922</v>
      </c>
      <c r="CI195">
        <v>80</v>
      </c>
      <c r="CJ195">
        <v>1458</v>
      </c>
      <c r="CK195">
        <v>2</v>
      </c>
      <c r="CL195">
        <v>1552</v>
      </c>
      <c r="CM195">
        <v>2</v>
      </c>
      <c r="CN195" t="s">
        <v>702</v>
      </c>
      <c r="CO195" t="s">
        <v>676</v>
      </c>
      <c r="CP195" t="s">
        <v>703</v>
      </c>
      <c r="CQ195" t="s">
        <v>1343</v>
      </c>
      <c r="CR195" t="s">
        <v>541</v>
      </c>
      <c r="CS195" t="s">
        <v>542</v>
      </c>
      <c r="CT195">
        <v>365</v>
      </c>
      <c r="CU195">
        <v>5</v>
      </c>
      <c r="CV195">
        <v>1.2</v>
      </c>
      <c r="CW195">
        <v>1475</v>
      </c>
      <c r="CX195">
        <v>763</v>
      </c>
      <c r="CY195" t="s">
        <v>705</v>
      </c>
      <c r="CZ195">
        <v>50</v>
      </c>
      <c r="DA195">
        <v>3</v>
      </c>
      <c r="DB195">
        <v>1</v>
      </c>
      <c r="DC195">
        <v>1475</v>
      </c>
      <c r="DD195">
        <v>77</v>
      </c>
      <c r="DE195" t="s">
        <v>622</v>
      </c>
      <c r="DF195">
        <v>610</v>
      </c>
      <c r="DG195">
        <v>3</v>
      </c>
      <c r="DH195">
        <v>0.88</v>
      </c>
      <c r="DI195">
        <v>1468</v>
      </c>
      <c r="DJ195">
        <v>1163</v>
      </c>
      <c r="DW195" t="s">
        <v>544</v>
      </c>
      <c r="DX195">
        <v>7.5</v>
      </c>
      <c r="EA195">
        <v>1539.3</v>
      </c>
      <c r="EB195">
        <v>363</v>
      </c>
      <c r="EC195" t="s">
        <v>545</v>
      </c>
      <c r="ED195">
        <v>25</v>
      </c>
      <c r="EE195">
        <v>3</v>
      </c>
      <c r="EG195">
        <v>1590</v>
      </c>
      <c r="EH195">
        <v>151</v>
      </c>
      <c r="EJ195">
        <v>0</v>
      </c>
      <c r="EK195">
        <v>1</v>
      </c>
      <c r="EN195">
        <v>0</v>
      </c>
      <c r="EP195" t="s">
        <v>546</v>
      </c>
      <c r="EQ195">
        <v>80</v>
      </c>
      <c r="ER195">
        <v>3</v>
      </c>
      <c r="ES195">
        <v>5.5</v>
      </c>
      <c r="ET195">
        <v>1454</v>
      </c>
      <c r="EU195">
        <v>346.8</v>
      </c>
      <c r="EV195">
        <v>504</v>
      </c>
      <c r="EW195" t="s">
        <v>547</v>
      </c>
      <c r="EX195">
        <v>40</v>
      </c>
      <c r="EY195">
        <v>2</v>
      </c>
      <c r="EZ195">
        <v>4.5</v>
      </c>
      <c r="FA195">
        <v>1454</v>
      </c>
      <c r="FB195">
        <v>108.8</v>
      </c>
      <c r="FC195">
        <v>158</v>
      </c>
      <c r="FE195">
        <v>0</v>
      </c>
      <c r="FF195">
        <v>2</v>
      </c>
      <c r="FI195">
        <v>0</v>
      </c>
      <c r="FK195" t="s">
        <v>548</v>
      </c>
      <c r="FL195">
        <v>0.6</v>
      </c>
      <c r="FM195">
        <v>75</v>
      </c>
      <c r="FN195">
        <v>330</v>
      </c>
      <c r="FO195">
        <v>50</v>
      </c>
      <c r="FP195">
        <v>190</v>
      </c>
      <c r="FR195" t="s">
        <v>548</v>
      </c>
      <c r="FS195">
        <v>0.4</v>
      </c>
      <c r="FT195">
        <v>30</v>
      </c>
      <c r="FU195">
        <v>370</v>
      </c>
      <c r="HC195">
        <v>0.1</v>
      </c>
      <c r="HD195">
        <v>3</v>
      </c>
      <c r="HE195">
        <v>3</v>
      </c>
      <c r="HF195">
        <v>3</v>
      </c>
      <c r="HG195">
        <v>3</v>
      </c>
      <c r="HH195">
        <v>3</v>
      </c>
      <c r="HI195">
        <v>105</v>
      </c>
      <c r="HJ195">
        <v>3</v>
      </c>
      <c r="HK195">
        <v>25</v>
      </c>
      <c r="HL195">
        <v>2</v>
      </c>
      <c r="HM195">
        <v>0</v>
      </c>
      <c r="HN195">
        <v>2</v>
      </c>
      <c r="HO195">
        <v>65</v>
      </c>
      <c r="HP195">
        <v>3</v>
      </c>
      <c r="HQ195">
        <v>0</v>
      </c>
      <c r="HR195">
        <v>2</v>
      </c>
      <c r="HS195">
        <v>4432</v>
      </c>
      <c r="HT195">
        <v>130</v>
      </c>
      <c r="HU195">
        <v>180</v>
      </c>
      <c r="HW195">
        <v>20</v>
      </c>
      <c r="HX195">
        <v>430</v>
      </c>
      <c r="HY195">
        <v>0.18</v>
      </c>
      <c r="IA195">
        <v>0.15</v>
      </c>
      <c r="IB195">
        <v>0</v>
      </c>
      <c r="IC195">
        <v>180</v>
      </c>
      <c r="ID195">
        <v>110</v>
      </c>
      <c r="IE195">
        <v>0</v>
      </c>
      <c r="IF195">
        <v>0</v>
      </c>
      <c r="IH195" t="s">
        <v>549</v>
      </c>
      <c r="IO195">
        <v>1</v>
      </c>
      <c r="IP195">
        <v>19</v>
      </c>
      <c r="IQ195">
        <v>0</v>
      </c>
      <c r="IR195">
        <v>0</v>
      </c>
      <c r="IV195">
        <v>1458</v>
      </c>
      <c r="IW195">
        <v>402</v>
      </c>
      <c r="JA195">
        <v>1</v>
      </c>
      <c r="JB195">
        <v>0</v>
      </c>
      <c r="JC195">
        <v>2</v>
      </c>
      <c r="JD195">
        <v>1475</v>
      </c>
      <c r="JE195">
        <v>1468</v>
      </c>
      <c r="JF195">
        <v>0</v>
      </c>
      <c r="JG195">
        <v>1454</v>
      </c>
      <c r="JH195">
        <v>0</v>
      </c>
      <c r="JJ195">
        <v>180</v>
      </c>
      <c r="JK195">
        <v>430</v>
      </c>
      <c r="JN195">
        <v>365</v>
      </c>
      <c r="JO195">
        <v>610</v>
      </c>
      <c r="JP195">
        <v>0</v>
      </c>
      <c r="JQ195">
        <v>0</v>
      </c>
      <c r="JR195">
        <v>404</v>
      </c>
      <c r="JS195">
        <v>105</v>
      </c>
      <c r="JV195">
        <v>8</v>
      </c>
      <c r="JW195" t="s">
        <v>550</v>
      </c>
      <c r="JX195">
        <v>440</v>
      </c>
      <c r="KA195">
        <v>0</v>
      </c>
      <c r="KB195">
        <v>110</v>
      </c>
      <c r="KC195">
        <v>0</v>
      </c>
      <c r="KD195">
        <v>80</v>
      </c>
      <c r="KF195">
        <v>4</v>
      </c>
      <c r="KG195">
        <v>4</v>
      </c>
      <c r="KH195">
        <v>2</v>
      </c>
      <c r="KI195">
        <v>2</v>
      </c>
      <c r="KJ195">
        <v>0</v>
      </c>
      <c r="KK195">
        <v>1.5</v>
      </c>
      <c r="KL195">
        <v>1.5</v>
      </c>
      <c r="KM195">
        <v>0</v>
      </c>
      <c r="KN195">
        <v>0</v>
      </c>
      <c r="KO195">
        <v>0</v>
      </c>
      <c r="KR195">
        <v>30</v>
      </c>
      <c r="KS195">
        <v>60</v>
      </c>
      <c r="KT195">
        <v>0</v>
      </c>
      <c r="LK195">
        <v>480</v>
      </c>
      <c r="PG195">
        <v>1</v>
      </c>
      <c r="PI195" t="s">
        <v>2684</v>
      </c>
      <c r="PJ195" t="s">
        <v>2685</v>
      </c>
      <c r="PL195" t="s">
        <v>1287</v>
      </c>
      <c r="PP195" t="s">
        <v>2686</v>
      </c>
      <c r="PS195" t="s">
        <v>693</v>
      </c>
      <c r="PX195">
        <v>56</v>
      </c>
      <c r="PY195">
        <v>56</v>
      </c>
      <c r="PZ195" t="s">
        <v>2684</v>
      </c>
      <c r="QA195">
        <v>1</v>
      </c>
      <c r="QB195">
        <v>1454</v>
      </c>
      <c r="QC195">
        <v>69</v>
      </c>
      <c r="QD195">
        <v>69</v>
      </c>
      <c r="QE195" t="s">
        <v>1287</v>
      </c>
      <c r="QF195">
        <v>1</v>
      </c>
      <c r="QG195">
        <v>1475</v>
      </c>
      <c r="QH195">
        <v>66</v>
      </c>
      <c r="QI195">
        <v>66</v>
      </c>
      <c r="QJ195" t="s">
        <v>693</v>
      </c>
      <c r="QK195">
        <v>1</v>
      </c>
      <c r="QL195">
        <v>1475</v>
      </c>
      <c r="QM195">
        <v>62</v>
      </c>
      <c r="QN195">
        <v>62</v>
      </c>
      <c r="QO195" t="s">
        <v>2685</v>
      </c>
      <c r="QP195">
        <v>1</v>
      </c>
      <c r="QQ195">
        <v>1468</v>
      </c>
      <c r="QW195">
        <v>82</v>
      </c>
      <c r="QX195">
        <v>88</v>
      </c>
      <c r="QY195" t="s">
        <v>2686</v>
      </c>
      <c r="QZ195">
        <v>1</v>
      </c>
      <c r="RA195">
        <v>66</v>
      </c>
      <c r="RB195">
        <v>66</v>
      </c>
      <c r="RE195">
        <v>0</v>
      </c>
      <c r="RF195">
        <v>1</v>
      </c>
      <c r="RJ195">
        <v>1</v>
      </c>
      <c r="RK195">
        <v>2</v>
      </c>
      <c r="RL195">
        <v>4</v>
      </c>
      <c r="RO195">
        <v>517</v>
      </c>
      <c r="RP195">
        <v>105</v>
      </c>
      <c r="RQ195">
        <v>792</v>
      </c>
      <c r="RT195">
        <v>363</v>
      </c>
      <c r="RU195">
        <v>151</v>
      </c>
      <c r="RV195" t="s">
        <v>2688</v>
      </c>
      <c r="RW195" t="s">
        <v>707</v>
      </c>
      <c r="RX195">
        <v>15</v>
      </c>
      <c r="RY195">
        <v>4</v>
      </c>
      <c r="RZ195" t="s">
        <v>707</v>
      </c>
      <c r="SA195">
        <v>15</v>
      </c>
      <c r="SC195" t="s">
        <v>2685</v>
      </c>
      <c r="SD195">
        <v>1</v>
      </c>
      <c r="SH195">
        <v>0.995</v>
      </c>
      <c r="SI195">
        <v>0.995</v>
      </c>
      <c r="SJ195">
        <v>0.995</v>
      </c>
      <c r="SK195">
        <v>15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1</v>
      </c>
      <c r="TB195">
        <v>0</v>
      </c>
      <c r="TC195">
        <v>0</v>
      </c>
      <c r="TD195">
        <v>7.5</v>
      </c>
      <c r="TE195" t="s">
        <v>553</v>
      </c>
      <c r="TF195" t="s">
        <v>681</v>
      </c>
      <c r="TG195" t="s">
        <v>555</v>
      </c>
      <c r="TI195" t="s">
        <v>546</v>
      </c>
      <c r="TJ195" t="s">
        <v>547</v>
      </c>
      <c r="TL195" t="s">
        <v>2662</v>
      </c>
      <c r="TM195" t="s">
        <v>513</v>
      </c>
      <c r="TN195">
        <v>0</v>
      </c>
      <c r="TO195" t="s">
        <v>557</v>
      </c>
    </row>
    <row r="196" spans="1:535">
      <c r="A196" t="s">
        <v>2689</v>
      </c>
      <c r="B196" t="s">
        <v>804</v>
      </c>
      <c r="C196" t="s">
        <v>509</v>
      </c>
      <c r="D196" t="s">
        <v>1239</v>
      </c>
      <c r="G196" t="s">
        <v>1294</v>
      </c>
      <c r="I196" t="s">
        <v>562</v>
      </c>
      <c r="J196" t="s">
        <v>563</v>
      </c>
      <c r="L196" t="s">
        <v>512</v>
      </c>
      <c r="M196" t="s">
        <v>508</v>
      </c>
      <c r="N196" t="s">
        <v>513</v>
      </c>
      <c r="O196" t="s">
        <v>1255</v>
      </c>
      <c r="P196" t="s">
        <v>515</v>
      </c>
      <c r="Q196" t="s">
        <v>2690</v>
      </c>
      <c r="R196" t="s">
        <v>517</v>
      </c>
      <c r="S196" t="s">
        <v>1075</v>
      </c>
      <c r="T196" t="s">
        <v>1076</v>
      </c>
      <c r="U196" t="s">
        <v>662</v>
      </c>
      <c r="V196" t="s">
        <v>663</v>
      </c>
      <c r="W196" t="s">
        <v>2691</v>
      </c>
      <c r="X196" t="s">
        <v>2657</v>
      </c>
      <c r="Y196" t="s">
        <v>574</v>
      </c>
      <c r="Z196" t="s">
        <v>2692</v>
      </c>
      <c r="AA196" t="s">
        <v>2693</v>
      </c>
      <c r="AB196" t="s">
        <v>2694</v>
      </c>
      <c r="AC196">
        <v>2</v>
      </c>
      <c r="AD196">
        <v>56</v>
      </c>
      <c r="AE196">
        <v>203</v>
      </c>
      <c r="AF196">
        <v>1.5</v>
      </c>
      <c r="AH196">
        <v>0</v>
      </c>
      <c r="AI196" t="s">
        <v>885</v>
      </c>
      <c r="AJ196">
        <v>215</v>
      </c>
      <c r="AK196">
        <v>1</v>
      </c>
      <c r="AL196">
        <v>1.5</v>
      </c>
      <c r="AM196" t="s">
        <v>529</v>
      </c>
      <c r="AO196">
        <v>0</v>
      </c>
      <c r="AR196">
        <v>0</v>
      </c>
      <c r="AS196">
        <v>1.5</v>
      </c>
      <c r="AU196" t="s">
        <v>2695</v>
      </c>
      <c r="AW196" t="s">
        <v>2695</v>
      </c>
      <c r="AX196">
        <v>1</v>
      </c>
      <c r="AY196">
        <v>302.5</v>
      </c>
      <c r="AZ196">
        <v>1.5</v>
      </c>
      <c r="BA196" t="s">
        <v>529</v>
      </c>
      <c r="BB196" t="s">
        <v>2696</v>
      </c>
      <c r="BD196" t="s">
        <v>2696</v>
      </c>
      <c r="BE196">
        <v>1</v>
      </c>
      <c r="BF196">
        <v>247.5</v>
      </c>
      <c r="BG196">
        <v>1.5</v>
      </c>
      <c r="BJ196">
        <v>0</v>
      </c>
      <c r="BN196">
        <v>1.5</v>
      </c>
      <c r="BP196" t="s">
        <v>2697</v>
      </c>
      <c r="BQ196">
        <v>88</v>
      </c>
      <c r="BR196">
        <v>2</v>
      </c>
      <c r="BS196" t="s">
        <v>768</v>
      </c>
      <c r="BT196">
        <v>225</v>
      </c>
      <c r="BU196">
        <v>0.5</v>
      </c>
      <c r="BV196" t="s">
        <v>768</v>
      </c>
      <c r="BW196">
        <v>450</v>
      </c>
      <c r="BX196">
        <v>1</v>
      </c>
      <c r="BY196" t="s">
        <v>643</v>
      </c>
      <c r="BZ196">
        <v>470</v>
      </c>
      <c r="CA196">
        <v>530</v>
      </c>
      <c r="CB196" t="s">
        <v>672</v>
      </c>
      <c r="CC196" t="s">
        <v>672</v>
      </c>
      <c r="CD196">
        <v>418</v>
      </c>
      <c r="CE196" t="s">
        <v>673</v>
      </c>
      <c r="CF196">
        <v>15</v>
      </c>
      <c r="CG196" t="s">
        <v>2054</v>
      </c>
      <c r="CH196" t="s">
        <v>2054</v>
      </c>
      <c r="CI196">
        <v>30</v>
      </c>
      <c r="CJ196">
        <v>1381</v>
      </c>
      <c r="CK196">
        <v>2</v>
      </c>
      <c r="CL196">
        <v>1475</v>
      </c>
      <c r="CM196">
        <v>2</v>
      </c>
      <c r="CN196" t="s">
        <v>675</v>
      </c>
      <c r="CO196" t="s">
        <v>676</v>
      </c>
      <c r="CP196" t="s">
        <v>595</v>
      </c>
      <c r="CQ196" t="s">
        <v>621</v>
      </c>
      <c r="CR196" t="s">
        <v>541</v>
      </c>
      <c r="CS196" t="s">
        <v>542</v>
      </c>
      <c r="CT196">
        <v>430</v>
      </c>
      <c r="CU196">
        <v>5</v>
      </c>
      <c r="CV196">
        <v>1.2</v>
      </c>
      <c r="CW196">
        <v>1393</v>
      </c>
      <c r="CX196">
        <v>848</v>
      </c>
      <c r="DD196">
        <v>0</v>
      </c>
      <c r="DE196" t="s">
        <v>622</v>
      </c>
      <c r="DF196">
        <v>605</v>
      </c>
      <c r="DG196">
        <v>3</v>
      </c>
      <c r="DH196">
        <v>0.88</v>
      </c>
      <c r="DI196">
        <v>1390</v>
      </c>
      <c r="DJ196">
        <v>963</v>
      </c>
      <c r="DK196" t="s">
        <v>622</v>
      </c>
      <c r="DL196">
        <v>495</v>
      </c>
      <c r="DM196">
        <v>3</v>
      </c>
      <c r="DN196">
        <v>0.88</v>
      </c>
      <c r="DO196">
        <v>1396</v>
      </c>
      <c r="DP196">
        <v>755</v>
      </c>
      <c r="DW196" t="s">
        <v>544</v>
      </c>
      <c r="DX196">
        <v>7.5</v>
      </c>
      <c r="EA196">
        <v>1464.3</v>
      </c>
      <c r="EB196">
        <v>259</v>
      </c>
      <c r="EC196" t="s">
        <v>545</v>
      </c>
      <c r="ED196">
        <v>35</v>
      </c>
      <c r="EE196">
        <v>3</v>
      </c>
      <c r="EG196">
        <v>1505</v>
      </c>
      <c r="EH196">
        <v>211</v>
      </c>
      <c r="EJ196">
        <v>0</v>
      </c>
      <c r="EK196">
        <v>1</v>
      </c>
      <c r="EN196">
        <v>0</v>
      </c>
      <c r="EP196" t="s">
        <v>546</v>
      </c>
      <c r="EQ196">
        <v>125</v>
      </c>
      <c r="ER196">
        <v>3</v>
      </c>
      <c r="ES196">
        <v>6</v>
      </c>
      <c r="ET196">
        <v>1381</v>
      </c>
      <c r="EU196">
        <v>613.8</v>
      </c>
      <c r="EV196">
        <v>848</v>
      </c>
      <c r="EW196" t="s">
        <v>547</v>
      </c>
      <c r="EX196">
        <v>70</v>
      </c>
      <c r="EY196">
        <v>2</v>
      </c>
      <c r="EZ196">
        <v>4.5</v>
      </c>
      <c r="FA196">
        <v>1381</v>
      </c>
      <c r="FB196">
        <v>216.7</v>
      </c>
      <c r="FC196">
        <v>299</v>
      </c>
      <c r="FE196">
        <v>0</v>
      </c>
      <c r="FF196">
        <v>2</v>
      </c>
      <c r="FI196">
        <v>0</v>
      </c>
      <c r="FK196" t="s">
        <v>548</v>
      </c>
      <c r="FL196">
        <v>0.4</v>
      </c>
      <c r="FM196">
        <v>110</v>
      </c>
      <c r="FN196">
        <v>150</v>
      </c>
      <c r="GR196" t="s">
        <v>548</v>
      </c>
      <c r="GS196">
        <v>0.4</v>
      </c>
      <c r="GT196">
        <v>30</v>
      </c>
      <c r="GU196">
        <v>420</v>
      </c>
      <c r="GV196">
        <v>30</v>
      </c>
      <c r="GW196">
        <v>270</v>
      </c>
      <c r="HC196">
        <v>0.1</v>
      </c>
      <c r="HD196">
        <v>3</v>
      </c>
      <c r="HE196">
        <v>3</v>
      </c>
      <c r="HF196">
        <v>3</v>
      </c>
      <c r="HG196">
        <v>3</v>
      </c>
      <c r="HH196">
        <v>3</v>
      </c>
      <c r="HI196">
        <v>180</v>
      </c>
      <c r="HJ196">
        <v>3</v>
      </c>
      <c r="HK196">
        <v>55</v>
      </c>
      <c r="HL196">
        <v>2</v>
      </c>
      <c r="HM196">
        <v>0</v>
      </c>
      <c r="HN196">
        <v>2</v>
      </c>
      <c r="HO196">
        <v>110</v>
      </c>
      <c r="HP196">
        <v>3</v>
      </c>
      <c r="HQ196">
        <v>0</v>
      </c>
      <c r="HR196">
        <v>2</v>
      </c>
      <c r="HS196">
        <v>5800</v>
      </c>
      <c r="HT196">
        <v>170</v>
      </c>
      <c r="HU196">
        <v>180</v>
      </c>
      <c r="HW196">
        <v>0</v>
      </c>
      <c r="HX196">
        <v>510</v>
      </c>
      <c r="HY196">
        <v>0.18</v>
      </c>
      <c r="IA196">
        <v>0.15</v>
      </c>
      <c r="IB196">
        <v>0</v>
      </c>
      <c r="IC196">
        <v>180</v>
      </c>
      <c r="ID196">
        <v>110</v>
      </c>
      <c r="IE196">
        <v>0</v>
      </c>
      <c r="IF196">
        <v>0</v>
      </c>
      <c r="IH196" t="s">
        <v>549</v>
      </c>
      <c r="IO196">
        <v>3</v>
      </c>
      <c r="IP196">
        <v>18</v>
      </c>
      <c r="IQ196">
        <v>0</v>
      </c>
      <c r="IR196">
        <v>1</v>
      </c>
      <c r="IV196">
        <v>1381</v>
      </c>
      <c r="IW196">
        <v>450</v>
      </c>
      <c r="JA196">
        <v>1</v>
      </c>
      <c r="JB196">
        <v>0</v>
      </c>
      <c r="JC196">
        <v>2</v>
      </c>
      <c r="JD196">
        <v>1393</v>
      </c>
      <c r="JE196">
        <v>1390</v>
      </c>
      <c r="JF196">
        <v>1396</v>
      </c>
      <c r="JG196">
        <v>1381</v>
      </c>
      <c r="JH196">
        <v>0</v>
      </c>
      <c r="JJ196">
        <v>180</v>
      </c>
      <c r="JK196">
        <v>510</v>
      </c>
      <c r="JN196">
        <v>430</v>
      </c>
      <c r="JO196">
        <v>605</v>
      </c>
      <c r="JP196">
        <v>495</v>
      </c>
      <c r="JQ196">
        <v>0</v>
      </c>
      <c r="JR196">
        <v>406</v>
      </c>
      <c r="JS196">
        <v>180</v>
      </c>
      <c r="JV196">
        <v>8</v>
      </c>
      <c r="JW196" t="s">
        <v>550</v>
      </c>
      <c r="JX196">
        <v>0</v>
      </c>
      <c r="KA196">
        <v>0</v>
      </c>
      <c r="KB196">
        <v>110</v>
      </c>
      <c r="KC196">
        <v>0</v>
      </c>
      <c r="KD196">
        <v>80</v>
      </c>
      <c r="KF196">
        <v>4</v>
      </c>
      <c r="KG196">
        <v>2</v>
      </c>
      <c r="KH196">
        <v>2</v>
      </c>
      <c r="KI196">
        <v>2</v>
      </c>
      <c r="KJ196">
        <v>0</v>
      </c>
      <c r="KK196">
        <v>1.5</v>
      </c>
      <c r="KL196">
        <v>1.5</v>
      </c>
      <c r="KM196">
        <v>0</v>
      </c>
      <c r="KN196">
        <v>0</v>
      </c>
      <c r="KO196">
        <v>0</v>
      </c>
      <c r="KR196">
        <v>30</v>
      </c>
      <c r="KS196">
        <v>60</v>
      </c>
      <c r="KT196">
        <v>0</v>
      </c>
      <c r="LK196">
        <v>480</v>
      </c>
      <c r="PG196">
        <v>1</v>
      </c>
      <c r="PI196" t="s">
        <v>2694</v>
      </c>
      <c r="PJ196" t="s">
        <v>2695</v>
      </c>
      <c r="PK196" t="s">
        <v>2696</v>
      </c>
      <c r="PL196" t="s">
        <v>885</v>
      </c>
      <c r="PP196" t="s">
        <v>2697</v>
      </c>
      <c r="PX196">
        <v>56</v>
      </c>
      <c r="PY196">
        <v>56</v>
      </c>
      <c r="PZ196" t="s">
        <v>2694</v>
      </c>
      <c r="QA196">
        <v>1</v>
      </c>
      <c r="QB196">
        <v>1381</v>
      </c>
      <c r="QC196">
        <v>69</v>
      </c>
      <c r="QD196">
        <v>69</v>
      </c>
      <c r="QE196" t="s">
        <v>885</v>
      </c>
      <c r="QF196">
        <v>1</v>
      </c>
      <c r="QG196">
        <v>1393</v>
      </c>
      <c r="QH196">
        <v>66</v>
      </c>
      <c r="QI196">
        <v>66</v>
      </c>
      <c r="QL196">
        <v>0</v>
      </c>
      <c r="QM196">
        <v>62</v>
      </c>
      <c r="QN196">
        <v>62</v>
      </c>
      <c r="QO196" t="s">
        <v>2695</v>
      </c>
      <c r="QP196">
        <v>1</v>
      </c>
      <c r="QQ196">
        <v>1390</v>
      </c>
      <c r="QR196">
        <v>62</v>
      </c>
      <c r="QS196">
        <v>62</v>
      </c>
      <c r="QT196" t="s">
        <v>2696</v>
      </c>
      <c r="QU196">
        <v>1</v>
      </c>
      <c r="QV196">
        <v>1396</v>
      </c>
      <c r="QW196">
        <v>82</v>
      </c>
      <c r="QX196">
        <v>88</v>
      </c>
      <c r="QY196" t="s">
        <v>2697</v>
      </c>
      <c r="QZ196">
        <v>1</v>
      </c>
      <c r="RA196">
        <v>66</v>
      </c>
      <c r="RB196">
        <v>66</v>
      </c>
      <c r="RE196">
        <v>0</v>
      </c>
      <c r="RF196">
        <v>1</v>
      </c>
      <c r="RH196">
        <v>1</v>
      </c>
      <c r="RJ196">
        <v>1</v>
      </c>
      <c r="RL196">
        <v>4</v>
      </c>
      <c r="RM196">
        <v>4</v>
      </c>
      <c r="RO196">
        <v>609</v>
      </c>
      <c r="RQ196">
        <v>693</v>
      </c>
      <c r="RR196">
        <v>541</v>
      </c>
      <c r="RT196">
        <v>259</v>
      </c>
      <c r="RU196">
        <v>211</v>
      </c>
      <c r="RV196" t="s">
        <v>770</v>
      </c>
      <c r="RW196" t="s">
        <v>679</v>
      </c>
      <c r="RX196">
        <v>15</v>
      </c>
      <c r="RY196">
        <v>4</v>
      </c>
      <c r="RZ196" t="s">
        <v>679</v>
      </c>
      <c r="SA196">
        <v>15</v>
      </c>
      <c r="SC196" t="s">
        <v>2695</v>
      </c>
      <c r="SD196">
        <v>1</v>
      </c>
      <c r="SF196" t="s">
        <v>2696</v>
      </c>
      <c r="SG196">
        <v>1</v>
      </c>
      <c r="SH196">
        <v>0.995</v>
      </c>
      <c r="SI196">
        <v>0.995</v>
      </c>
      <c r="SJ196">
        <v>0.995</v>
      </c>
      <c r="SK196">
        <v>15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Z196">
        <v>1</v>
      </c>
      <c r="TB196">
        <v>0</v>
      </c>
      <c r="TC196">
        <v>0</v>
      </c>
      <c r="TD196">
        <v>7.5</v>
      </c>
      <c r="TE196" t="s">
        <v>553</v>
      </c>
      <c r="TF196" t="s">
        <v>624</v>
      </c>
      <c r="TG196" t="s">
        <v>555</v>
      </c>
      <c r="TI196" t="s">
        <v>546</v>
      </c>
      <c r="TJ196" t="s">
        <v>547</v>
      </c>
      <c r="TL196" t="s">
        <v>2662</v>
      </c>
      <c r="TM196" t="s">
        <v>513</v>
      </c>
      <c r="TN196">
        <v>0</v>
      </c>
      <c r="TO196" t="s">
        <v>557</v>
      </c>
    </row>
    <row r="197" spans="1:535">
      <c r="A197" t="s">
        <v>2698</v>
      </c>
      <c r="B197" t="s">
        <v>804</v>
      </c>
      <c r="C197" t="s">
        <v>509</v>
      </c>
      <c r="D197" t="s">
        <v>2699</v>
      </c>
      <c r="G197" t="s">
        <v>1294</v>
      </c>
      <c r="I197" t="s">
        <v>562</v>
      </c>
      <c r="J197" t="s">
        <v>563</v>
      </c>
      <c r="L197" t="s">
        <v>512</v>
      </c>
      <c r="M197" t="s">
        <v>508</v>
      </c>
      <c r="N197" t="s">
        <v>513</v>
      </c>
      <c r="O197" t="s">
        <v>1255</v>
      </c>
      <c r="P197" t="s">
        <v>515</v>
      </c>
      <c r="Q197" t="s">
        <v>2700</v>
      </c>
      <c r="R197" t="s">
        <v>517</v>
      </c>
      <c r="S197" t="s">
        <v>2701</v>
      </c>
      <c r="T197" t="s">
        <v>2702</v>
      </c>
      <c r="U197" t="s">
        <v>662</v>
      </c>
      <c r="V197" t="s">
        <v>663</v>
      </c>
      <c r="W197" t="s">
        <v>1241</v>
      </c>
      <c r="X197" t="s">
        <v>2657</v>
      </c>
      <c r="Y197" t="s">
        <v>574</v>
      </c>
      <c r="Z197" t="s">
        <v>2703</v>
      </c>
      <c r="AA197" t="s">
        <v>2704</v>
      </c>
      <c r="AB197" t="s">
        <v>2705</v>
      </c>
      <c r="AC197">
        <v>2</v>
      </c>
      <c r="AD197">
        <v>56</v>
      </c>
      <c r="AE197">
        <v>214</v>
      </c>
      <c r="AF197">
        <v>1.5</v>
      </c>
      <c r="AH197">
        <v>0</v>
      </c>
      <c r="AI197" t="s">
        <v>1048</v>
      </c>
      <c r="AJ197">
        <v>225</v>
      </c>
      <c r="AK197">
        <v>1</v>
      </c>
      <c r="AL197">
        <v>1.5</v>
      </c>
      <c r="AM197" t="s">
        <v>529</v>
      </c>
      <c r="AO197">
        <v>0</v>
      </c>
      <c r="AR197">
        <v>0</v>
      </c>
      <c r="AS197">
        <v>1.5</v>
      </c>
      <c r="AU197" t="s">
        <v>2706</v>
      </c>
      <c r="AW197" t="s">
        <v>2706</v>
      </c>
      <c r="AX197">
        <v>1</v>
      </c>
      <c r="AY197">
        <v>320</v>
      </c>
      <c r="AZ197">
        <v>1.5</v>
      </c>
      <c r="BA197" t="s">
        <v>529</v>
      </c>
      <c r="BB197" t="s">
        <v>2707</v>
      </c>
      <c r="BD197" t="s">
        <v>2707</v>
      </c>
      <c r="BE197">
        <v>1</v>
      </c>
      <c r="BF197">
        <v>260</v>
      </c>
      <c r="BG197">
        <v>1.5</v>
      </c>
      <c r="BJ197">
        <v>0</v>
      </c>
      <c r="BN197">
        <v>1.5</v>
      </c>
      <c r="BP197" t="s">
        <v>2708</v>
      </c>
      <c r="BQ197">
        <v>88</v>
      </c>
      <c r="BR197">
        <v>2</v>
      </c>
      <c r="BS197" t="s">
        <v>671</v>
      </c>
      <c r="BT197">
        <v>236</v>
      </c>
      <c r="BU197">
        <v>0.5</v>
      </c>
      <c r="BV197" t="s">
        <v>671</v>
      </c>
      <c r="BW197">
        <v>472</v>
      </c>
      <c r="BX197">
        <v>1</v>
      </c>
      <c r="BY197" t="s">
        <v>643</v>
      </c>
      <c r="BZ197">
        <v>470</v>
      </c>
      <c r="CA197">
        <v>550</v>
      </c>
      <c r="CB197" t="s">
        <v>672</v>
      </c>
      <c r="CC197" t="s">
        <v>672</v>
      </c>
      <c r="CD197">
        <v>436</v>
      </c>
      <c r="CE197" t="s">
        <v>673</v>
      </c>
      <c r="CF197">
        <v>15</v>
      </c>
      <c r="CG197" t="s">
        <v>1653</v>
      </c>
      <c r="CH197" t="s">
        <v>1653</v>
      </c>
      <c r="CI197">
        <v>40</v>
      </c>
      <c r="CJ197">
        <v>1381</v>
      </c>
      <c r="CK197">
        <v>2</v>
      </c>
      <c r="CL197">
        <v>1475</v>
      </c>
      <c r="CM197">
        <v>2</v>
      </c>
      <c r="CN197" t="s">
        <v>675</v>
      </c>
      <c r="CO197" t="s">
        <v>676</v>
      </c>
      <c r="CP197" t="s">
        <v>595</v>
      </c>
      <c r="CQ197" t="s">
        <v>621</v>
      </c>
      <c r="CR197" t="s">
        <v>541</v>
      </c>
      <c r="CS197" t="s">
        <v>542</v>
      </c>
      <c r="CT197">
        <v>450</v>
      </c>
      <c r="CU197">
        <v>5</v>
      </c>
      <c r="CV197">
        <v>1.2</v>
      </c>
      <c r="CW197">
        <v>1393</v>
      </c>
      <c r="CX197">
        <v>887</v>
      </c>
      <c r="DD197">
        <v>0</v>
      </c>
      <c r="DE197" t="s">
        <v>622</v>
      </c>
      <c r="DF197">
        <v>640</v>
      </c>
      <c r="DG197">
        <v>3</v>
      </c>
      <c r="DH197">
        <v>0.88</v>
      </c>
      <c r="DI197">
        <v>1390</v>
      </c>
      <c r="DJ197">
        <v>994</v>
      </c>
      <c r="DK197" t="s">
        <v>622</v>
      </c>
      <c r="DL197">
        <v>520</v>
      </c>
      <c r="DM197">
        <v>3</v>
      </c>
      <c r="DN197">
        <v>0.88</v>
      </c>
      <c r="DO197">
        <v>1396</v>
      </c>
      <c r="DP197">
        <v>789</v>
      </c>
      <c r="DW197" t="s">
        <v>544</v>
      </c>
      <c r="DX197">
        <v>7.5</v>
      </c>
      <c r="EA197">
        <v>1464.3</v>
      </c>
      <c r="EB197">
        <v>345</v>
      </c>
      <c r="EC197" t="s">
        <v>545</v>
      </c>
      <c r="ED197">
        <v>40</v>
      </c>
      <c r="EE197">
        <v>3</v>
      </c>
      <c r="EG197">
        <v>1515</v>
      </c>
      <c r="EH197">
        <v>241</v>
      </c>
      <c r="EJ197">
        <v>0</v>
      </c>
      <c r="EK197">
        <v>1</v>
      </c>
      <c r="EN197">
        <v>0</v>
      </c>
      <c r="EP197" t="s">
        <v>546</v>
      </c>
      <c r="EQ197">
        <v>130</v>
      </c>
      <c r="ER197">
        <v>3</v>
      </c>
      <c r="ES197">
        <v>5.5</v>
      </c>
      <c r="ET197">
        <v>1378</v>
      </c>
      <c r="EU197">
        <v>616.3</v>
      </c>
      <c r="EV197">
        <v>849</v>
      </c>
      <c r="EW197" t="s">
        <v>547</v>
      </c>
      <c r="EX197">
        <v>70</v>
      </c>
      <c r="EY197">
        <v>2</v>
      </c>
      <c r="EZ197">
        <v>4.5</v>
      </c>
      <c r="FA197">
        <v>1378</v>
      </c>
      <c r="FB197">
        <v>232.9</v>
      </c>
      <c r="FC197">
        <v>321</v>
      </c>
      <c r="FE197">
        <v>0</v>
      </c>
      <c r="FF197">
        <v>2</v>
      </c>
      <c r="FI197">
        <v>0</v>
      </c>
      <c r="FK197" t="s">
        <v>548</v>
      </c>
      <c r="FL197">
        <v>0.4</v>
      </c>
      <c r="FM197">
        <v>95</v>
      </c>
      <c r="FN197">
        <v>160</v>
      </c>
      <c r="GR197" t="s">
        <v>548</v>
      </c>
      <c r="GS197">
        <v>0.4</v>
      </c>
      <c r="GT197">
        <v>30</v>
      </c>
      <c r="GU197">
        <v>430</v>
      </c>
      <c r="GV197">
        <v>30</v>
      </c>
      <c r="GW197">
        <v>300</v>
      </c>
      <c r="HC197">
        <v>0.1</v>
      </c>
      <c r="HD197">
        <v>3</v>
      </c>
      <c r="HE197">
        <v>3</v>
      </c>
      <c r="HF197">
        <v>3</v>
      </c>
      <c r="HG197">
        <v>3</v>
      </c>
      <c r="HH197">
        <v>3</v>
      </c>
      <c r="HI197">
        <v>185</v>
      </c>
      <c r="HJ197">
        <v>3</v>
      </c>
      <c r="HK197">
        <v>55</v>
      </c>
      <c r="HL197">
        <v>2</v>
      </c>
      <c r="HM197">
        <v>0</v>
      </c>
      <c r="HN197">
        <v>2</v>
      </c>
      <c r="HO197">
        <v>115</v>
      </c>
      <c r="HP197">
        <v>3</v>
      </c>
      <c r="HQ197">
        <v>0</v>
      </c>
      <c r="HR197">
        <v>2</v>
      </c>
      <c r="HS197">
        <v>6182</v>
      </c>
      <c r="HT197">
        <v>190</v>
      </c>
      <c r="HU197">
        <v>180</v>
      </c>
      <c r="HW197">
        <v>0</v>
      </c>
      <c r="HX197">
        <v>530</v>
      </c>
      <c r="HY197">
        <v>0.18</v>
      </c>
      <c r="IA197">
        <v>0.15</v>
      </c>
      <c r="IB197">
        <v>0</v>
      </c>
      <c r="IC197">
        <v>180</v>
      </c>
      <c r="ID197">
        <v>110</v>
      </c>
      <c r="IE197">
        <v>225</v>
      </c>
      <c r="IF197">
        <v>0</v>
      </c>
      <c r="IH197" t="s">
        <v>549</v>
      </c>
      <c r="IO197">
        <v>3</v>
      </c>
      <c r="IP197">
        <v>18</v>
      </c>
      <c r="IQ197">
        <v>0</v>
      </c>
      <c r="IR197">
        <v>1</v>
      </c>
      <c r="IV197">
        <v>1381</v>
      </c>
      <c r="IW197">
        <v>472</v>
      </c>
      <c r="JA197">
        <v>1</v>
      </c>
      <c r="JB197">
        <v>0</v>
      </c>
      <c r="JC197">
        <v>2</v>
      </c>
      <c r="JD197">
        <v>1393</v>
      </c>
      <c r="JE197">
        <v>1390</v>
      </c>
      <c r="JF197">
        <v>1396</v>
      </c>
      <c r="JG197">
        <v>1378</v>
      </c>
      <c r="JH197">
        <v>0</v>
      </c>
      <c r="JJ197">
        <v>180</v>
      </c>
      <c r="JK197">
        <v>530</v>
      </c>
      <c r="JN197">
        <v>450</v>
      </c>
      <c r="JO197">
        <v>640</v>
      </c>
      <c r="JP197">
        <v>520</v>
      </c>
      <c r="JQ197">
        <v>0</v>
      </c>
      <c r="JR197">
        <v>428</v>
      </c>
      <c r="JS197">
        <v>185</v>
      </c>
      <c r="JV197">
        <v>8</v>
      </c>
      <c r="JW197" t="s">
        <v>550</v>
      </c>
      <c r="JX197">
        <v>0</v>
      </c>
      <c r="KA197">
        <v>225</v>
      </c>
      <c r="KB197">
        <v>110</v>
      </c>
      <c r="KC197">
        <v>0</v>
      </c>
      <c r="KD197">
        <v>80</v>
      </c>
      <c r="KF197">
        <v>4</v>
      </c>
      <c r="KG197">
        <v>2</v>
      </c>
      <c r="KH197">
        <v>2</v>
      </c>
      <c r="KI197">
        <v>2</v>
      </c>
      <c r="KJ197">
        <v>0</v>
      </c>
      <c r="KK197">
        <v>1.5</v>
      </c>
      <c r="KL197">
        <v>1.5</v>
      </c>
      <c r="KM197">
        <v>0</v>
      </c>
      <c r="KN197">
        <v>0</v>
      </c>
      <c r="KO197">
        <v>0</v>
      </c>
      <c r="KR197">
        <v>30</v>
      </c>
      <c r="KS197">
        <v>60</v>
      </c>
      <c r="KT197">
        <v>0</v>
      </c>
      <c r="LK197">
        <v>480</v>
      </c>
      <c r="PG197">
        <v>1</v>
      </c>
      <c r="PI197" t="s">
        <v>2705</v>
      </c>
      <c r="PJ197" t="s">
        <v>2706</v>
      </c>
      <c r="PK197" t="s">
        <v>2707</v>
      </c>
      <c r="PL197" t="s">
        <v>1048</v>
      </c>
      <c r="PP197" t="s">
        <v>2708</v>
      </c>
      <c r="PX197">
        <v>56</v>
      </c>
      <c r="PY197">
        <v>56</v>
      </c>
      <c r="PZ197" t="s">
        <v>2705</v>
      </c>
      <c r="QA197">
        <v>1</v>
      </c>
      <c r="QB197">
        <v>1378</v>
      </c>
      <c r="QC197">
        <v>69</v>
      </c>
      <c r="QD197">
        <v>69</v>
      </c>
      <c r="QE197" t="s">
        <v>1048</v>
      </c>
      <c r="QF197">
        <v>1</v>
      </c>
      <c r="QG197">
        <v>1393</v>
      </c>
      <c r="QH197">
        <v>66</v>
      </c>
      <c r="QI197">
        <v>66</v>
      </c>
      <c r="QL197">
        <v>0</v>
      </c>
      <c r="QM197">
        <v>62</v>
      </c>
      <c r="QN197">
        <v>62</v>
      </c>
      <c r="QO197" t="s">
        <v>2706</v>
      </c>
      <c r="QP197">
        <v>1</v>
      </c>
      <c r="QQ197">
        <v>1390</v>
      </c>
      <c r="QR197">
        <v>62</v>
      </c>
      <c r="QS197">
        <v>62</v>
      </c>
      <c r="QT197" t="s">
        <v>2707</v>
      </c>
      <c r="QU197">
        <v>1</v>
      </c>
      <c r="QV197">
        <v>1396</v>
      </c>
      <c r="QW197">
        <v>82</v>
      </c>
      <c r="QX197">
        <v>88</v>
      </c>
      <c r="QY197" t="s">
        <v>2708</v>
      </c>
      <c r="QZ197">
        <v>1</v>
      </c>
      <c r="RA197">
        <v>66</v>
      </c>
      <c r="RB197">
        <v>66</v>
      </c>
      <c r="RE197">
        <v>0</v>
      </c>
      <c r="RF197">
        <v>1</v>
      </c>
      <c r="RH197">
        <v>1</v>
      </c>
      <c r="RJ197">
        <v>1</v>
      </c>
      <c r="RL197">
        <v>4</v>
      </c>
      <c r="RM197">
        <v>4</v>
      </c>
      <c r="RO197">
        <v>637</v>
      </c>
      <c r="RQ197">
        <v>715</v>
      </c>
      <c r="RR197">
        <v>565</v>
      </c>
      <c r="RT197">
        <v>345</v>
      </c>
      <c r="RU197">
        <v>241</v>
      </c>
      <c r="RV197" t="s">
        <v>678</v>
      </c>
      <c r="RW197" t="s">
        <v>679</v>
      </c>
      <c r="RX197">
        <v>15</v>
      </c>
      <c r="RY197">
        <v>4</v>
      </c>
      <c r="RZ197" t="s">
        <v>679</v>
      </c>
      <c r="SA197">
        <v>15</v>
      </c>
      <c r="SC197" t="s">
        <v>2706</v>
      </c>
      <c r="SD197">
        <v>1</v>
      </c>
      <c r="SF197" t="s">
        <v>2707</v>
      </c>
      <c r="SG197">
        <v>1</v>
      </c>
      <c r="SH197">
        <v>0.995</v>
      </c>
      <c r="SI197">
        <v>0.995</v>
      </c>
      <c r="SJ197">
        <v>0.995</v>
      </c>
      <c r="SK197">
        <v>15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Z197">
        <v>1</v>
      </c>
      <c r="TB197">
        <v>0</v>
      </c>
      <c r="TC197">
        <v>0</v>
      </c>
      <c r="TD197">
        <v>7.5</v>
      </c>
      <c r="TE197" t="s">
        <v>553</v>
      </c>
      <c r="TF197" t="s">
        <v>681</v>
      </c>
      <c r="TG197" t="s">
        <v>555</v>
      </c>
      <c r="TI197" t="s">
        <v>546</v>
      </c>
      <c r="TJ197" t="s">
        <v>547</v>
      </c>
      <c r="TL197" t="s">
        <v>2662</v>
      </c>
      <c r="TM197" t="s">
        <v>513</v>
      </c>
      <c r="TN197">
        <v>0</v>
      </c>
      <c r="TO197" t="s">
        <v>557</v>
      </c>
    </row>
    <row r="198" spans="1:535">
      <c r="A198" t="s">
        <v>2709</v>
      </c>
      <c r="B198" t="s">
        <v>804</v>
      </c>
      <c r="C198" t="s">
        <v>509</v>
      </c>
      <c r="D198" t="s">
        <v>1738</v>
      </c>
      <c r="G198" t="s">
        <v>561</v>
      </c>
      <c r="I198" t="s">
        <v>562</v>
      </c>
      <c r="J198" t="s">
        <v>563</v>
      </c>
      <c r="L198" t="s">
        <v>512</v>
      </c>
      <c r="M198" t="s">
        <v>508</v>
      </c>
      <c r="N198" t="s">
        <v>513</v>
      </c>
      <c r="O198" t="s">
        <v>1255</v>
      </c>
      <c r="P198" t="s">
        <v>515</v>
      </c>
      <c r="Q198" t="s">
        <v>2710</v>
      </c>
      <c r="R198" t="s">
        <v>517</v>
      </c>
      <c r="S198" t="s">
        <v>1159</v>
      </c>
      <c r="T198" t="s">
        <v>1160</v>
      </c>
      <c r="U198" t="s">
        <v>662</v>
      </c>
      <c r="V198" t="s">
        <v>663</v>
      </c>
      <c r="W198" t="s">
        <v>1257</v>
      </c>
      <c r="X198" t="s">
        <v>2657</v>
      </c>
      <c r="Y198" t="s">
        <v>574</v>
      </c>
      <c r="Z198" t="s">
        <v>2711</v>
      </c>
      <c r="AA198" t="s">
        <v>2712</v>
      </c>
      <c r="AB198" t="s">
        <v>2713</v>
      </c>
      <c r="AC198">
        <v>2</v>
      </c>
      <c r="AD198">
        <v>56</v>
      </c>
      <c r="AE198">
        <v>280</v>
      </c>
      <c r="AF198">
        <v>1.5</v>
      </c>
      <c r="AH198">
        <v>0</v>
      </c>
      <c r="AI198" t="s">
        <v>1165</v>
      </c>
      <c r="AJ198">
        <v>257.5</v>
      </c>
      <c r="AK198">
        <v>1</v>
      </c>
      <c r="AL198">
        <v>1.5</v>
      </c>
      <c r="AM198" t="s">
        <v>579</v>
      </c>
      <c r="AN198" t="s">
        <v>580</v>
      </c>
      <c r="AO198">
        <v>2</v>
      </c>
      <c r="AP198" t="s">
        <v>581</v>
      </c>
      <c r="AQ198" t="s">
        <v>582</v>
      </c>
      <c r="AR198">
        <v>305</v>
      </c>
      <c r="AS198">
        <v>1.5</v>
      </c>
      <c r="AT198" t="s">
        <v>583</v>
      </c>
      <c r="AU198" t="s">
        <v>2714</v>
      </c>
      <c r="AW198" t="s">
        <v>2714</v>
      </c>
      <c r="AX198">
        <v>1</v>
      </c>
      <c r="AY198">
        <v>370</v>
      </c>
      <c r="AZ198">
        <v>1.5</v>
      </c>
      <c r="BA198" t="s">
        <v>579</v>
      </c>
      <c r="BB198" t="s">
        <v>2715</v>
      </c>
      <c r="BD198" t="s">
        <v>2715</v>
      </c>
      <c r="BE198">
        <v>1</v>
      </c>
      <c r="BF198">
        <v>300</v>
      </c>
      <c r="BG198">
        <v>1.5</v>
      </c>
      <c r="BJ198">
        <v>0</v>
      </c>
      <c r="BN198">
        <v>1.5</v>
      </c>
      <c r="BP198" t="s">
        <v>2716</v>
      </c>
      <c r="BQ198">
        <v>88</v>
      </c>
      <c r="BR198">
        <v>2</v>
      </c>
      <c r="BS198" t="s">
        <v>1264</v>
      </c>
      <c r="BT198">
        <v>277</v>
      </c>
      <c r="BU198">
        <v>0.5</v>
      </c>
      <c r="BV198" t="s">
        <v>1264</v>
      </c>
      <c r="BW198">
        <v>554</v>
      </c>
      <c r="BX198">
        <v>1</v>
      </c>
      <c r="BY198" t="s">
        <v>643</v>
      </c>
      <c r="BZ198">
        <v>470</v>
      </c>
      <c r="CA198">
        <v>610</v>
      </c>
      <c r="CB198" t="s">
        <v>672</v>
      </c>
      <c r="CC198" t="s">
        <v>997</v>
      </c>
      <c r="CD198">
        <v>574</v>
      </c>
      <c r="CE198" t="s">
        <v>673</v>
      </c>
      <c r="CF198">
        <v>15</v>
      </c>
      <c r="CG198" t="s">
        <v>907</v>
      </c>
      <c r="CH198" t="s">
        <v>907</v>
      </c>
      <c r="CI198">
        <v>70</v>
      </c>
      <c r="CJ198">
        <v>1381</v>
      </c>
      <c r="CK198">
        <v>2</v>
      </c>
      <c r="CL198">
        <v>1475</v>
      </c>
      <c r="CM198">
        <v>2</v>
      </c>
      <c r="CN198" t="s">
        <v>675</v>
      </c>
      <c r="CO198" t="s">
        <v>676</v>
      </c>
      <c r="CP198" t="s">
        <v>595</v>
      </c>
      <c r="CQ198" t="s">
        <v>596</v>
      </c>
      <c r="CR198" t="s">
        <v>541</v>
      </c>
      <c r="CS198" t="s">
        <v>542</v>
      </c>
      <c r="CT198">
        <v>515</v>
      </c>
      <c r="CU198">
        <v>5</v>
      </c>
      <c r="CV198">
        <v>1.2</v>
      </c>
      <c r="CW198">
        <v>1398</v>
      </c>
      <c r="CX198">
        <v>1019</v>
      </c>
      <c r="CY198" t="s">
        <v>597</v>
      </c>
      <c r="CZ198">
        <v>60</v>
      </c>
      <c r="DA198">
        <v>3</v>
      </c>
      <c r="DB198">
        <v>1.28</v>
      </c>
      <c r="DC198">
        <v>1398</v>
      </c>
      <c r="DD198">
        <v>119</v>
      </c>
      <c r="DE198" t="s">
        <v>543</v>
      </c>
      <c r="DF198">
        <v>740</v>
      </c>
      <c r="DG198">
        <v>3</v>
      </c>
      <c r="DH198">
        <v>1.18</v>
      </c>
      <c r="DI198">
        <v>1391</v>
      </c>
      <c r="DJ198">
        <v>1615</v>
      </c>
      <c r="DK198" t="s">
        <v>543</v>
      </c>
      <c r="DL198">
        <v>600</v>
      </c>
      <c r="DM198">
        <v>3</v>
      </c>
      <c r="DN198">
        <v>1.18</v>
      </c>
      <c r="DO198">
        <v>1399</v>
      </c>
      <c r="DP198">
        <v>1175</v>
      </c>
      <c r="DW198" t="s">
        <v>544</v>
      </c>
      <c r="DX198">
        <v>9.4</v>
      </c>
      <c r="EA198">
        <v>1465.9</v>
      </c>
      <c r="EB198">
        <v>345</v>
      </c>
      <c r="EC198" t="s">
        <v>545</v>
      </c>
      <c r="ED198">
        <v>45</v>
      </c>
      <c r="EE198">
        <v>3</v>
      </c>
      <c r="EG198">
        <v>1507</v>
      </c>
      <c r="EH198">
        <v>339</v>
      </c>
      <c r="EJ198">
        <v>0</v>
      </c>
      <c r="EK198">
        <v>1</v>
      </c>
      <c r="EN198">
        <v>0</v>
      </c>
      <c r="EP198" t="s">
        <v>546</v>
      </c>
      <c r="EQ198">
        <v>155</v>
      </c>
      <c r="ER198">
        <v>3</v>
      </c>
      <c r="ES198">
        <v>5.5</v>
      </c>
      <c r="ET198">
        <v>1378</v>
      </c>
      <c r="EU198">
        <v>751.6</v>
      </c>
      <c r="EV198">
        <v>1036</v>
      </c>
      <c r="EW198" t="s">
        <v>547</v>
      </c>
      <c r="EX198">
        <v>45</v>
      </c>
      <c r="EY198">
        <v>2</v>
      </c>
      <c r="EZ198">
        <v>4.5</v>
      </c>
      <c r="FA198">
        <v>1378</v>
      </c>
      <c r="FB198">
        <v>143.2</v>
      </c>
      <c r="FC198">
        <v>197</v>
      </c>
      <c r="FE198">
        <v>0</v>
      </c>
      <c r="FF198">
        <v>2</v>
      </c>
      <c r="FI198">
        <v>0</v>
      </c>
      <c r="FK198" t="s">
        <v>548</v>
      </c>
      <c r="FL198">
        <v>0.4</v>
      </c>
      <c r="FM198">
        <v>70</v>
      </c>
      <c r="FN198">
        <v>480</v>
      </c>
      <c r="FO198">
        <v>110</v>
      </c>
      <c r="FP198">
        <v>190</v>
      </c>
      <c r="GR198" t="s">
        <v>548</v>
      </c>
      <c r="GS198">
        <v>0.4</v>
      </c>
      <c r="GT198">
        <v>30</v>
      </c>
      <c r="GU198">
        <v>520</v>
      </c>
      <c r="HC198">
        <v>0.1</v>
      </c>
      <c r="HD198">
        <v>3</v>
      </c>
      <c r="HE198">
        <v>3</v>
      </c>
      <c r="HF198">
        <v>3</v>
      </c>
      <c r="HG198">
        <v>3</v>
      </c>
      <c r="HH198">
        <v>3</v>
      </c>
      <c r="HI198">
        <v>185</v>
      </c>
      <c r="HJ198">
        <v>3</v>
      </c>
      <c r="HK198">
        <v>30</v>
      </c>
      <c r="HL198">
        <v>2</v>
      </c>
      <c r="HM198">
        <v>0</v>
      </c>
      <c r="HN198">
        <v>2</v>
      </c>
      <c r="HO198">
        <v>140</v>
      </c>
      <c r="HP198">
        <v>3</v>
      </c>
      <c r="HQ198">
        <v>0</v>
      </c>
      <c r="HR198">
        <v>2</v>
      </c>
      <c r="HS198">
        <v>7881</v>
      </c>
      <c r="HT198">
        <v>240</v>
      </c>
      <c r="HU198">
        <v>180</v>
      </c>
      <c r="HW198">
        <v>0</v>
      </c>
      <c r="HX198">
        <v>600</v>
      </c>
      <c r="HY198">
        <v>0.18</v>
      </c>
      <c r="IA198">
        <v>0.15</v>
      </c>
      <c r="IB198">
        <v>0</v>
      </c>
      <c r="IC198">
        <v>180</v>
      </c>
      <c r="ID198">
        <v>110</v>
      </c>
      <c r="IE198">
        <v>225</v>
      </c>
      <c r="IF198">
        <v>0</v>
      </c>
      <c r="IH198" t="s">
        <v>549</v>
      </c>
      <c r="IO198">
        <v>3</v>
      </c>
      <c r="IP198">
        <v>18</v>
      </c>
      <c r="IQ198">
        <v>0</v>
      </c>
      <c r="IR198">
        <v>0</v>
      </c>
      <c r="IV198">
        <v>1381</v>
      </c>
      <c r="IW198">
        <v>554</v>
      </c>
      <c r="JA198">
        <v>1</v>
      </c>
      <c r="JB198">
        <v>0</v>
      </c>
      <c r="JC198">
        <v>2</v>
      </c>
      <c r="JD198">
        <v>1398</v>
      </c>
      <c r="JE198">
        <v>1391</v>
      </c>
      <c r="JF198">
        <v>1399</v>
      </c>
      <c r="JG198">
        <v>1378</v>
      </c>
      <c r="JH198">
        <v>0</v>
      </c>
      <c r="JJ198">
        <v>180</v>
      </c>
      <c r="JK198">
        <v>600</v>
      </c>
      <c r="JN198">
        <v>515</v>
      </c>
      <c r="JO198">
        <v>740</v>
      </c>
      <c r="JP198">
        <v>600</v>
      </c>
      <c r="JQ198">
        <v>0</v>
      </c>
      <c r="JR198">
        <v>560</v>
      </c>
      <c r="JS198">
        <v>185</v>
      </c>
      <c r="JV198">
        <v>10</v>
      </c>
      <c r="JW198" t="s">
        <v>550</v>
      </c>
      <c r="JX198">
        <v>610</v>
      </c>
      <c r="KA198">
        <v>225</v>
      </c>
      <c r="KB198">
        <v>110</v>
      </c>
      <c r="KC198">
        <v>0</v>
      </c>
      <c r="KD198">
        <v>80</v>
      </c>
      <c r="KF198">
        <v>4</v>
      </c>
      <c r="KG198">
        <v>2</v>
      </c>
      <c r="KH198">
        <v>2</v>
      </c>
      <c r="KI198">
        <v>2</v>
      </c>
      <c r="KJ198">
        <v>0</v>
      </c>
      <c r="KK198">
        <v>1.5</v>
      </c>
      <c r="KL198">
        <v>1.5</v>
      </c>
      <c r="KM198">
        <v>0</v>
      </c>
      <c r="KN198">
        <v>0</v>
      </c>
      <c r="KO198">
        <v>0</v>
      </c>
      <c r="KR198">
        <v>30</v>
      </c>
      <c r="KS198">
        <v>60</v>
      </c>
      <c r="KT198">
        <v>0</v>
      </c>
      <c r="LK198">
        <v>480</v>
      </c>
      <c r="PG198">
        <v>1</v>
      </c>
      <c r="PI198" t="s">
        <v>2713</v>
      </c>
      <c r="PJ198" t="s">
        <v>2714</v>
      </c>
      <c r="PK198" t="s">
        <v>2715</v>
      </c>
      <c r="PL198" t="s">
        <v>1165</v>
      </c>
      <c r="PP198" t="s">
        <v>2716</v>
      </c>
      <c r="PS198" t="s">
        <v>580</v>
      </c>
      <c r="PX198">
        <v>56</v>
      </c>
      <c r="PY198">
        <v>56</v>
      </c>
      <c r="PZ198" t="s">
        <v>2713</v>
      </c>
      <c r="QA198">
        <v>1</v>
      </c>
      <c r="QB198">
        <v>1378</v>
      </c>
      <c r="QC198">
        <v>69</v>
      </c>
      <c r="QD198">
        <v>69</v>
      </c>
      <c r="QE198" t="s">
        <v>1165</v>
      </c>
      <c r="QF198">
        <v>1</v>
      </c>
      <c r="QG198">
        <v>1398</v>
      </c>
      <c r="QH198">
        <v>66</v>
      </c>
      <c r="QI198">
        <v>66</v>
      </c>
      <c r="QJ198" t="s">
        <v>580</v>
      </c>
      <c r="QK198">
        <v>1</v>
      </c>
      <c r="QL198">
        <v>1398</v>
      </c>
      <c r="QM198">
        <v>62</v>
      </c>
      <c r="QN198">
        <v>62</v>
      </c>
      <c r="QO198" t="s">
        <v>2714</v>
      </c>
      <c r="QP198">
        <v>1</v>
      </c>
      <c r="QQ198">
        <v>1391</v>
      </c>
      <c r="QR198">
        <v>62</v>
      </c>
      <c r="QS198">
        <v>62</v>
      </c>
      <c r="QT198" t="s">
        <v>2715</v>
      </c>
      <c r="QU198">
        <v>1</v>
      </c>
      <c r="QV198">
        <v>1399</v>
      </c>
      <c r="QW198">
        <v>82</v>
      </c>
      <c r="QX198">
        <v>88</v>
      </c>
      <c r="QY198" t="s">
        <v>2716</v>
      </c>
      <c r="QZ198">
        <v>1</v>
      </c>
      <c r="RA198">
        <v>66</v>
      </c>
      <c r="RB198">
        <v>66</v>
      </c>
      <c r="RE198">
        <v>0</v>
      </c>
      <c r="RF198">
        <v>1</v>
      </c>
      <c r="RH198">
        <v>1</v>
      </c>
      <c r="RJ198">
        <v>1</v>
      </c>
      <c r="RK198">
        <v>3</v>
      </c>
      <c r="RL198">
        <v>2</v>
      </c>
      <c r="RM198">
        <v>2</v>
      </c>
      <c r="RO198">
        <v>729</v>
      </c>
      <c r="RP198">
        <v>170</v>
      </c>
      <c r="RQ198">
        <v>1161</v>
      </c>
      <c r="RR198">
        <v>840</v>
      </c>
      <c r="RT198">
        <v>345</v>
      </c>
      <c r="RU198">
        <v>339</v>
      </c>
      <c r="RV198" t="s">
        <v>1266</v>
      </c>
      <c r="RW198" t="s">
        <v>679</v>
      </c>
      <c r="RX198">
        <v>15</v>
      </c>
      <c r="RY198">
        <v>4</v>
      </c>
      <c r="RZ198" t="s">
        <v>679</v>
      </c>
      <c r="SA198">
        <v>15</v>
      </c>
      <c r="SC198" t="s">
        <v>2714</v>
      </c>
      <c r="SD198">
        <v>1</v>
      </c>
      <c r="SF198" t="s">
        <v>2715</v>
      </c>
      <c r="SG198">
        <v>1</v>
      </c>
      <c r="SH198">
        <v>0.995</v>
      </c>
      <c r="SI198">
        <v>0.995</v>
      </c>
      <c r="SJ198">
        <v>0.995</v>
      </c>
      <c r="SK198">
        <v>15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1</v>
      </c>
      <c r="SZ198">
        <v>1</v>
      </c>
      <c r="TB198">
        <v>0</v>
      </c>
      <c r="TC198">
        <v>0</v>
      </c>
      <c r="TD198">
        <v>9.4</v>
      </c>
      <c r="TE198" t="s">
        <v>553</v>
      </c>
      <c r="TF198" t="s">
        <v>600</v>
      </c>
      <c r="TG198" t="s">
        <v>555</v>
      </c>
      <c r="TI198" t="s">
        <v>546</v>
      </c>
      <c r="TJ198" t="s">
        <v>547</v>
      </c>
      <c r="TL198" t="s">
        <v>2662</v>
      </c>
      <c r="TM198" t="s">
        <v>513</v>
      </c>
      <c r="TN198">
        <v>0</v>
      </c>
      <c r="TO198" t="s">
        <v>557</v>
      </c>
    </row>
    <row r="199" spans="1:535">
      <c r="A199" t="s">
        <v>2717</v>
      </c>
      <c r="B199" t="s">
        <v>804</v>
      </c>
      <c r="C199" t="s">
        <v>509</v>
      </c>
      <c r="D199" t="s">
        <v>1346</v>
      </c>
      <c r="G199" t="s">
        <v>511</v>
      </c>
      <c r="I199" t="s">
        <v>562</v>
      </c>
      <c r="L199" t="s">
        <v>512</v>
      </c>
      <c r="M199" t="s">
        <v>508</v>
      </c>
      <c r="N199" t="s">
        <v>513</v>
      </c>
      <c r="O199" t="s">
        <v>1255</v>
      </c>
      <c r="P199" t="s">
        <v>515</v>
      </c>
      <c r="Q199" t="s">
        <v>2718</v>
      </c>
      <c r="R199" t="s">
        <v>517</v>
      </c>
      <c r="S199" t="s">
        <v>987</v>
      </c>
      <c r="T199" t="s">
        <v>988</v>
      </c>
      <c r="U199" t="s">
        <v>662</v>
      </c>
      <c r="V199" t="s">
        <v>663</v>
      </c>
      <c r="W199" t="s">
        <v>2719</v>
      </c>
      <c r="X199" t="s">
        <v>2657</v>
      </c>
      <c r="Y199" t="s">
        <v>574</v>
      </c>
      <c r="Z199" t="s">
        <v>2720</v>
      </c>
      <c r="AA199" t="s">
        <v>2721</v>
      </c>
      <c r="AB199" t="s">
        <v>2722</v>
      </c>
      <c r="AC199">
        <v>2</v>
      </c>
      <c r="AD199">
        <v>56</v>
      </c>
      <c r="AE199">
        <v>234</v>
      </c>
      <c r="AF199">
        <v>1.5</v>
      </c>
      <c r="AH199">
        <v>0</v>
      </c>
      <c r="AI199" t="s">
        <v>1846</v>
      </c>
      <c r="AJ199">
        <v>245</v>
      </c>
      <c r="AK199">
        <v>1</v>
      </c>
      <c r="AL199">
        <v>1.5</v>
      </c>
      <c r="AM199" t="s">
        <v>529</v>
      </c>
      <c r="AO199">
        <v>0</v>
      </c>
      <c r="AR199">
        <v>0</v>
      </c>
      <c r="AS199">
        <v>1.5</v>
      </c>
      <c r="AU199" t="s">
        <v>2723</v>
      </c>
      <c r="AW199" t="s">
        <v>2723</v>
      </c>
      <c r="AX199">
        <v>1</v>
      </c>
      <c r="AY199">
        <v>342.5</v>
      </c>
      <c r="AZ199">
        <v>1.5</v>
      </c>
      <c r="BA199" t="s">
        <v>529</v>
      </c>
      <c r="BB199" t="s">
        <v>2724</v>
      </c>
      <c r="BD199" t="s">
        <v>2724</v>
      </c>
      <c r="BE199">
        <v>1</v>
      </c>
      <c r="BF199">
        <v>282.5</v>
      </c>
      <c r="BG199">
        <v>1.5</v>
      </c>
      <c r="BJ199">
        <v>0</v>
      </c>
      <c r="BN199">
        <v>1.5</v>
      </c>
      <c r="BP199" t="s">
        <v>1263</v>
      </c>
      <c r="BQ199">
        <v>88</v>
      </c>
      <c r="BR199">
        <v>2</v>
      </c>
      <c r="BS199" t="s">
        <v>1264</v>
      </c>
      <c r="BT199">
        <v>257</v>
      </c>
      <c r="BU199">
        <v>0.5</v>
      </c>
      <c r="BV199" t="s">
        <v>1264</v>
      </c>
      <c r="BW199">
        <v>514</v>
      </c>
      <c r="BX199">
        <v>1</v>
      </c>
      <c r="BY199" t="s">
        <v>643</v>
      </c>
      <c r="BZ199">
        <v>470</v>
      </c>
      <c r="CA199">
        <v>570</v>
      </c>
      <c r="CB199" t="s">
        <v>672</v>
      </c>
      <c r="CC199" t="s">
        <v>997</v>
      </c>
      <c r="CD199">
        <v>530</v>
      </c>
      <c r="CE199" t="s">
        <v>673</v>
      </c>
      <c r="CF199">
        <v>15</v>
      </c>
      <c r="CG199" t="s">
        <v>998</v>
      </c>
      <c r="CH199" t="s">
        <v>998</v>
      </c>
      <c r="CI199">
        <v>50</v>
      </c>
      <c r="CJ199">
        <v>1381</v>
      </c>
      <c r="CK199">
        <v>2</v>
      </c>
      <c r="CL199">
        <v>1475</v>
      </c>
      <c r="CM199">
        <v>2</v>
      </c>
      <c r="CN199" t="s">
        <v>675</v>
      </c>
      <c r="CO199" t="s">
        <v>676</v>
      </c>
      <c r="CP199" t="s">
        <v>595</v>
      </c>
      <c r="CQ199" t="s">
        <v>621</v>
      </c>
      <c r="CR199" t="s">
        <v>541</v>
      </c>
      <c r="CS199" t="s">
        <v>542</v>
      </c>
      <c r="CT199">
        <v>490</v>
      </c>
      <c r="CU199">
        <v>5</v>
      </c>
      <c r="CV199">
        <v>1.2</v>
      </c>
      <c r="CW199">
        <v>1393</v>
      </c>
      <c r="CX199">
        <v>968</v>
      </c>
      <c r="DD199">
        <v>0</v>
      </c>
      <c r="DE199" t="s">
        <v>543</v>
      </c>
      <c r="DF199">
        <v>685</v>
      </c>
      <c r="DG199">
        <v>3</v>
      </c>
      <c r="DH199">
        <v>1.18</v>
      </c>
      <c r="DI199">
        <v>1391</v>
      </c>
      <c r="DJ199">
        <v>1427</v>
      </c>
      <c r="DK199" t="s">
        <v>543</v>
      </c>
      <c r="DL199">
        <v>565</v>
      </c>
      <c r="DM199">
        <v>3</v>
      </c>
      <c r="DN199">
        <v>1.18</v>
      </c>
      <c r="DO199">
        <v>1399</v>
      </c>
      <c r="DP199">
        <v>1109</v>
      </c>
      <c r="DW199" t="s">
        <v>544</v>
      </c>
      <c r="DX199">
        <v>9.4</v>
      </c>
      <c r="EA199">
        <v>1465.9</v>
      </c>
      <c r="EB199">
        <v>345</v>
      </c>
      <c r="EC199" t="s">
        <v>545</v>
      </c>
      <c r="ED199">
        <v>40</v>
      </c>
      <c r="EE199">
        <v>3</v>
      </c>
      <c r="EG199">
        <v>1507</v>
      </c>
      <c r="EH199">
        <v>294</v>
      </c>
      <c r="EJ199">
        <v>0</v>
      </c>
      <c r="EK199">
        <v>1</v>
      </c>
      <c r="EN199">
        <v>0</v>
      </c>
      <c r="EP199" t="s">
        <v>546</v>
      </c>
      <c r="EQ199">
        <v>145</v>
      </c>
      <c r="ER199">
        <v>3</v>
      </c>
      <c r="ES199">
        <v>5.5</v>
      </c>
      <c r="ET199">
        <v>1378</v>
      </c>
      <c r="EU199">
        <v>706.3</v>
      </c>
      <c r="EV199">
        <v>973</v>
      </c>
      <c r="EW199" t="s">
        <v>547</v>
      </c>
      <c r="EX199">
        <v>70</v>
      </c>
      <c r="EY199">
        <v>2</v>
      </c>
      <c r="EZ199">
        <v>4.5</v>
      </c>
      <c r="FA199">
        <v>1378</v>
      </c>
      <c r="FB199">
        <v>224.4</v>
      </c>
      <c r="FC199">
        <v>309</v>
      </c>
      <c r="FE199">
        <v>0</v>
      </c>
      <c r="FF199">
        <v>2</v>
      </c>
      <c r="FI199">
        <v>0</v>
      </c>
      <c r="FK199" t="s">
        <v>548</v>
      </c>
      <c r="FL199">
        <v>0.4</v>
      </c>
      <c r="FM199">
        <v>110</v>
      </c>
      <c r="FN199">
        <v>170</v>
      </c>
      <c r="GR199" t="s">
        <v>548</v>
      </c>
      <c r="GS199">
        <v>0.4</v>
      </c>
      <c r="GT199">
        <v>30</v>
      </c>
      <c r="GU199">
        <v>480</v>
      </c>
      <c r="HC199">
        <v>0.1</v>
      </c>
      <c r="HD199">
        <v>3</v>
      </c>
      <c r="HE199">
        <v>3</v>
      </c>
      <c r="HF199">
        <v>3</v>
      </c>
      <c r="HG199">
        <v>3</v>
      </c>
      <c r="HH199">
        <v>3</v>
      </c>
      <c r="HI199">
        <v>200</v>
      </c>
      <c r="HJ199">
        <v>3</v>
      </c>
      <c r="HK199">
        <v>55</v>
      </c>
      <c r="HL199">
        <v>2</v>
      </c>
      <c r="HM199">
        <v>0</v>
      </c>
      <c r="HN199">
        <v>2</v>
      </c>
      <c r="HO199">
        <v>130</v>
      </c>
      <c r="HP199">
        <v>3</v>
      </c>
      <c r="HQ199">
        <v>0</v>
      </c>
      <c r="HR199">
        <v>2</v>
      </c>
      <c r="HS199">
        <v>7346</v>
      </c>
      <c r="HT199">
        <v>220</v>
      </c>
      <c r="HU199">
        <v>180</v>
      </c>
      <c r="HW199">
        <v>0</v>
      </c>
      <c r="HX199">
        <v>560</v>
      </c>
      <c r="HY199">
        <v>0.18</v>
      </c>
      <c r="IA199">
        <v>0.15</v>
      </c>
      <c r="IB199">
        <v>0</v>
      </c>
      <c r="IC199">
        <v>180</v>
      </c>
      <c r="ID199">
        <v>110</v>
      </c>
      <c r="IE199">
        <v>225</v>
      </c>
      <c r="IF199">
        <v>0</v>
      </c>
      <c r="IH199" t="s">
        <v>549</v>
      </c>
      <c r="IO199">
        <v>3</v>
      </c>
      <c r="IP199">
        <v>18</v>
      </c>
      <c r="IQ199">
        <v>0</v>
      </c>
      <c r="IR199">
        <v>1</v>
      </c>
      <c r="IV199">
        <v>1381</v>
      </c>
      <c r="IW199">
        <v>514</v>
      </c>
      <c r="JA199">
        <v>1</v>
      </c>
      <c r="JB199">
        <v>0</v>
      </c>
      <c r="JC199">
        <v>2</v>
      </c>
      <c r="JD199">
        <v>1393</v>
      </c>
      <c r="JE199">
        <v>1391</v>
      </c>
      <c r="JF199">
        <v>1399</v>
      </c>
      <c r="JG199">
        <v>1378</v>
      </c>
      <c r="JH199">
        <v>0</v>
      </c>
      <c r="JJ199">
        <v>180</v>
      </c>
      <c r="JK199">
        <v>560</v>
      </c>
      <c r="JN199">
        <v>490</v>
      </c>
      <c r="JO199">
        <v>685</v>
      </c>
      <c r="JP199">
        <v>565</v>
      </c>
      <c r="JQ199">
        <v>0</v>
      </c>
      <c r="JR199">
        <v>468</v>
      </c>
      <c r="JS199">
        <v>200</v>
      </c>
      <c r="JV199">
        <v>10</v>
      </c>
      <c r="JW199" t="s">
        <v>550</v>
      </c>
      <c r="JX199">
        <v>0</v>
      </c>
      <c r="KA199">
        <v>225</v>
      </c>
      <c r="KB199">
        <v>110</v>
      </c>
      <c r="KC199">
        <v>0</v>
      </c>
      <c r="KD199">
        <v>80</v>
      </c>
      <c r="KF199">
        <v>4</v>
      </c>
      <c r="KG199">
        <v>2</v>
      </c>
      <c r="KH199">
        <v>2</v>
      </c>
      <c r="KI199">
        <v>2</v>
      </c>
      <c r="KJ199">
        <v>0</v>
      </c>
      <c r="KK199">
        <v>1.5</v>
      </c>
      <c r="KL199">
        <v>1.5</v>
      </c>
      <c r="KM199">
        <v>0</v>
      </c>
      <c r="KN199">
        <v>0</v>
      </c>
      <c r="KO199">
        <v>0</v>
      </c>
      <c r="KR199">
        <v>30</v>
      </c>
      <c r="KS199">
        <v>60</v>
      </c>
      <c r="KT199">
        <v>0</v>
      </c>
      <c r="LK199">
        <v>480</v>
      </c>
      <c r="PG199">
        <v>1</v>
      </c>
      <c r="PI199" t="s">
        <v>2722</v>
      </c>
      <c r="PJ199" t="s">
        <v>2723</v>
      </c>
      <c r="PK199" t="s">
        <v>2724</v>
      </c>
      <c r="PL199" t="s">
        <v>1846</v>
      </c>
      <c r="PP199" t="s">
        <v>1263</v>
      </c>
      <c r="PX199">
        <v>56</v>
      </c>
      <c r="PY199">
        <v>56</v>
      </c>
      <c r="PZ199" t="s">
        <v>2722</v>
      </c>
      <c r="QA199">
        <v>1</v>
      </c>
      <c r="QB199">
        <v>1378</v>
      </c>
      <c r="QC199">
        <v>69</v>
      </c>
      <c r="QD199">
        <v>69</v>
      </c>
      <c r="QE199" t="s">
        <v>1846</v>
      </c>
      <c r="QF199">
        <v>1</v>
      </c>
      <c r="QG199">
        <v>1393</v>
      </c>
      <c r="QH199">
        <v>66</v>
      </c>
      <c r="QI199">
        <v>66</v>
      </c>
      <c r="QL199">
        <v>0</v>
      </c>
      <c r="QM199">
        <v>62</v>
      </c>
      <c r="QN199">
        <v>62</v>
      </c>
      <c r="QO199" t="s">
        <v>2723</v>
      </c>
      <c r="QP199">
        <v>1</v>
      </c>
      <c r="QQ199">
        <v>1391</v>
      </c>
      <c r="QR199">
        <v>62</v>
      </c>
      <c r="QS199">
        <v>62</v>
      </c>
      <c r="QT199" t="s">
        <v>2724</v>
      </c>
      <c r="QU199">
        <v>1</v>
      </c>
      <c r="QV199">
        <v>1399</v>
      </c>
      <c r="QW199">
        <v>82</v>
      </c>
      <c r="QX199">
        <v>88</v>
      </c>
      <c r="QY199" t="s">
        <v>1263</v>
      </c>
      <c r="QZ199">
        <v>1</v>
      </c>
      <c r="RA199">
        <v>66</v>
      </c>
      <c r="RB199">
        <v>66</v>
      </c>
      <c r="RE199">
        <v>0</v>
      </c>
      <c r="RF199">
        <v>1</v>
      </c>
      <c r="RH199">
        <v>1</v>
      </c>
      <c r="RJ199">
        <v>1</v>
      </c>
      <c r="RL199">
        <v>2</v>
      </c>
      <c r="RM199">
        <v>2</v>
      </c>
      <c r="RO199">
        <v>695</v>
      </c>
      <c r="RQ199">
        <v>1026</v>
      </c>
      <c r="RR199">
        <v>793</v>
      </c>
      <c r="RT199">
        <v>345</v>
      </c>
      <c r="RU199">
        <v>294</v>
      </c>
      <c r="RV199" t="s">
        <v>1266</v>
      </c>
      <c r="RW199" t="s">
        <v>679</v>
      </c>
      <c r="RX199">
        <v>15</v>
      </c>
      <c r="RY199">
        <v>4</v>
      </c>
      <c r="RZ199" t="s">
        <v>679</v>
      </c>
      <c r="SA199">
        <v>15</v>
      </c>
      <c r="SC199" t="s">
        <v>2723</v>
      </c>
      <c r="SD199">
        <v>1</v>
      </c>
      <c r="SF199" t="s">
        <v>2724</v>
      </c>
      <c r="SG199">
        <v>1</v>
      </c>
      <c r="SH199">
        <v>0.995</v>
      </c>
      <c r="SI199">
        <v>0.995</v>
      </c>
      <c r="SJ199">
        <v>0.995</v>
      </c>
      <c r="SK199">
        <v>15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Z199">
        <v>1</v>
      </c>
      <c r="TB199">
        <v>0</v>
      </c>
      <c r="TC199">
        <v>0</v>
      </c>
      <c r="TD199">
        <v>9.4</v>
      </c>
      <c r="TE199" t="s">
        <v>553</v>
      </c>
      <c r="TF199" t="s">
        <v>600</v>
      </c>
      <c r="TG199" t="s">
        <v>555</v>
      </c>
      <c r="TI199" t="s">
        <v>546</v>
      </c>
      <c r="TJ199" t="s">
        <v>547</v>
      </c>
      <c r="TL199" t="s">
        <v>2662</v>
      </c>
      <c r="TM199" t="s">
        <v>513</v>
      </c>
      <c r="TN199">
        <v>0</v>
      </c>
      <c r="TO199" t="s">
        <v>557</v>
      </c>
    </row>
    <row r="200" spans="1:535">
      <c r="A200" t="s">
        <v>2725</v>
      </c>
      <c r="B200" t="s">
        <v>629</v>
      </c>
      <c r="C200" t="s">
        <v>509</v>
      </c>
      <c r="D200" t="s">
        <v>1013</v>
      </c>
      <c r="G200" t="s">
        <v>1135</v>
      </c>
      <c r="I200" t="s">
        <v>562</v>
      </c>
      <c r="L200" t="s">
        <v>512</v>
      </c>
      <c r="M200" t="s">
        <v>711</v>
      </c>
      <c r="N200" t="s">
        <v>513</v>
      </c>
      <c r="O200" t="s">
        <v>1255</v>
      </c>
      <c r="P200" t="s">
        <v>515</v>
      </c>
      <c r="Q200" t="s">
        <v>2726</v>
      </c>
      <c r="R200" t="s">
        <v>517</v>
      </c>
      <c r="S200" t="s">
        <v>1117</v>
      </c>
      <c r="T200" t="s">
        <v>714</v>
      </c>
      <c r="U200" t="s">
        <v>662</v>
      </c>
      <c r="V200" t="s">
        <v>663</v>
      </c>
      <c r="W200" t="s">
        <v>2567</v>
      </c>
      <c r="X200" t="s">
        <v>2657</v>
      </c>
      <c r="Y200" t="s">
        <v>524</v>
      </c>
      <c r="Z200" t="s">
        <v>2727</v>
      </c>
      <c r="AA200" t="s">
        <v>2728</v>
      </c>
      <c r="AB200" t="s">
        <v>2729</v>
      </c>
      <c r="AC200">
        <v>2</v>
      </c>
      <c r="AD200">
        <v>56</v>
      </c>
      <c r="AE200">
        <v>178</v>
      </c>
      <c r="AF200">
        <v>1.5</v>
      </c>
      <c r="AH200">
        <v>0</v>
      </c>
      <c r="AI200" t="s">
        <v>764</v>
      </c>
      <c r="AJ200">
        <v>190</v>
      </c>
      <c r="AK200">
        <v>1</v>
      </c>
      <c r="AL200">
        <v>1.5</v>
      </c>
      <c r="AM200" t="s">
        <v>529</v>
      </c>
      <c r="AO200">
        <v>0</v>
      </c>
      <c r="AR200">
        <v>0</v>
      </c>
      <c r="AS200">
        <v>1.5</v>
      </c>
      <c r="AU200" t="s">
        <v>2730</v>
      </c>
      <c r="AW200" t="s">
        <v>2730</v>
      </c>
      <c r="AX200">
        <v>1</v>
      </c>
      <c r="AY200">
        <v>317.5</v>
      </c>
      <c r="AZ200">
        <v>1.5</v>
      </c>
      <c r="BA200" t="s">
        <v>529</v>
      </c>
      <c r="BG200">
        <v>1.5</v>
      </c>
      <c r="BJ200">
        <v>0</v>
      </c>
      <c r="BN200">
        <v>1.5</v>
      </c>
      <c r="BP200" t="s">
        <v>2731</v>
      </c>
      <c r="BQ200">
        <v>88</v>
      </c>
      <c r="BR200">
        <v>2</v>
      </c>
      <c r="BS200" t="s">
        <v>2149</v>
      </c>
      <c r="BT200">
        <v>200</v>
      </c>
      <c r="BU200">
        <v>0.5</v>
      </c>
      <c r="BV200" t="s">
        <v>2149</v>
      </c>
      <c r="BW200">
        <v>400</v>
      </c>
      <c r="BX200">
        <v>1</v>
      </c>
      <c r="BY200" t="s">
        <v>643</v>
      </c>
      <c r="BZ200">
        <v>290</v>
      </c>
      <c r="CA200">
        <v>450</v>
      </c>
      <c r="CB200" t="s">
        <v>672</v>
      </c>
      <c r="CC200" t="s">
        <v>672</v>
      </c>
      <c r="CD200">
        <v>414</v>
      </c>
      <c r="CE200" t="s">
        <v>673</v>
      </c>
      <c r="CF200">
        <v>15</v>
      </c>
      <c r="CG200" t="s">
        <v>1146</v>
      </c>
      <c r="CH200" t="s">
        <v>1146</v>
      </c>
      <c r="CI200">
        <v>80</v>
      </c>
      <c r="CJ200">
        <v>1381</v>
      </c>
      <c r="CK200">
        <v>2</v>
      </c>
      <c r="CL200">
        <v>1475</v>
      </c>
      <c r="CM200">
        <v>2</v>
      </c>
      <c r="CN200" t="s">
        <v>675</v>
      </c>
      <c r="CO200" t="s">
        <v>676</v>
      </c>
      <c r="CP200" t="s">
        <v>595</v>
      </c>
      <c r="CQ200" t="s">
        <v>1496</v>
      </c>
      <c r="CR200" t="s">
        <v>541</v>
      </c>
      <c r="CS200" t="s">
        <v>542</v>
      </c>
      <c r="CT200">
        <v>380</v>
      </c>
      <c r="CU200">
        <v>5</v>
      </c>
      <c r="CV200">
        <v>1.2</v>
      </c>
      <c r="CW200">
        <v>1393</v>
      </c>
      <c r="CX200">
        <v>749</v>
      </c>
      <c r="DD200">
        <v>0</v>
      </c>
      <c r="DE200" t="s">
        <v>543</v>
      </c>
      <c r="DF200">
        <v>635</v>
      </c>
      <c r="DG200">
        <v>3</v>
      </c>
      <c r="DH200">
        <v>1.18</v>
      </c>
      <c r="DI200">
        <v>1391</v>
      </c>
      <c r="DJ200">
        <v>1327</v>
      </c>
      <c r="DW200" t="s">
        <v>544</v>
      </c>
      <c r="DX200">
        <v>7.5</v>
      </c>
      <c r="EA200">
        <v>1461.1</v>
      </c>
      <c r="EB200">
        <v>258</v>
      </c>
      <c r="EC200" t="s">
        <v>545</v>
      </c>
      <c r="ED200">
        <v>25</v>
      </c>
      <c r="EE200">
        <v>3</v>
      </c>
      <c r="EG200">
        <v>1502</v>
      </c>
      <c r="EH200">
        <v>143</v>
      </c>
      <c r="EJ200">
        <v>0</v>
      </c>
      <c r="EK200">
        <v>1</v>
      </c>
      <c r="EN200">
        <v>0</v>
      </c>
      <c r="EP200" t="s">
        <v>546</v>
      </c>
      <c r="EQ200">
        <v>85</v>
      </c>
      <c r="ER200">
        <v>3</v>
      </c>
      <c r="ES200">
        <v>5</v>
      </c>
      <c r="ET200">
        <v>1375</v>
      </c>
      <c r="EU200">
        <v>350.3</v>
      </c>
      <c r="EV200">
        <v>482</v>
      </c>
      <c r="EW200" t="s">
        <v>547</v>
      </c>
      <c r="EX200">
        <v>65</v>
      </c>
      <c r="EY200">
        <v>2</v>
      </c>
      <c r="EZ200">
        <v>4</v>
      </c>
      <c r="FA200">
        <v>1375</v>
      </c>
      <c r="FB200">
        <v>189.3</v>
      </c>
      <c r="FC200">
        <v>260</v>
      </c>
      <c r="FE200">
        <v>0</v>
      </c>
      <c r="FF200">
        <v>2</v>
      </c>
      <c r="FI200">
        <v>0</v>
      </c>
      <c r="FK200" t="s">
        <v>548</v>
      </c>
      <c r="FL200">
        <v>0.4</v>
      </c>
      <c r="FM200">
        <v>75</v>
      </c>
      <c r="FN200">
        <v>160</v>
      </c>
      <c r="FR200" t="s">
        <v>548</v>
      </c>
      <c r="FS200">
        <v>0.4</v>
      </c>
      <c r="FT200">
        <v>30</v>
      </c>
      <c r="FU200">
        <v>360</v>
      </c>
      <c r="HC200">
        <v>0.1</v>
      </c>
      <c r="HD200">
        <v>3</v>
      </c>
      <c r="HE200">
        <v>3</v>
      </c>
      <c r="HF200">
        <v>3</v>
      </c>
      <c r="HG200">
        <v>3</v>
      </c>
      <c r="HH200">
        <v>3</v>
      </c>
      <c r="HI200">
        <v>135</v>
      </c>
      <c r="HJ200">
        <v>3</v>
      </c>
      <c r="HK200">
        <v>50</v>
      </c>
      <c r="HL200">
        <v>2</v>
      </c>
      <c r="HM200">
        <v>0</v>
      </c>
      <c r="HN200">
        <v>2</v>
      </c>
      <c r="HO200">
        <v>70</v>
      </c>
      <c r="HP200">
        <v>3</v>
      </c>
      <c r="HQ200">
        <v>0</v>
      </c>
      <c r="HR200">
        <v>2</v>
      </c>
      <c r="HS200">
        <v>4362</v>
      </c>
      <c r="HT200">
        <v>130</v>
      </c>
      <c r="HU200">
        <v>180</v>
      </c>
      <c r="HW200">
        <v>20</v>
      </c>
      <c r="HX200">
        <v>480</v>
      </c>
      <c r="HY200">
        <v>0.18</v>
      </c>
      <c r="IA200">
        <v>0.15</v>
      </c>
      <c r="IB200">
        <v>0</v>
      </c>
      <c r="IC200">
        <v>180</v>
      </c>
      <c r="ID200">
        <v>110</v>
      </c>
      <c r="IE200">
        <v>0</v>
      </c>
      <c r="IF200">
        <v>0</v>
      </c>
      <c r="IH200" t="s">
        <v>549</v>
      </c>
      <c r="IO200">
        <v>1</v>
      </c>
      <c r="IP200">
        <v>18</v>
      </c>
      <c r="IQ200">
        <v>0</v>
      </c>
      <c r="IR200">
        <v>1</v>
      </c>
      <c r="IV200">
        <v>1381</v>
      </c>
      <c r="IW200">
        <v>400</v>
      </c>
      <c r="JA200">
        <v>1</v>
      </c>
      <c r="JB200">
        <v>0</v>
      </c>
      <c r="JC200">
        <v>2</v>
      </c>
      <c r="JD200">
        <v>1393</v>
      </c>
      <c r="JE200">
        <v>1391</v>
      </c>
      <c r="JF200">
        <v>0</v>
      </c>
      <c r="JG200">
        <v>1375</v>
      </c>
      <c r="JH200">
        <v>0</v>
      </c>
      <c r="JJ200">
        <v>180</v>
      </c>
      <c r="JK200">
        <v>480</v>
      </c>
      <c r="JN200">
        <v>380</v>
      </c>
      <c r="JO200">
        <v>635</v>
      </c>
      <c r="JP200">
        <v>0</v>
      </c>
      <c r="JQ200">
        <v>0</v>
      </c>
      <c r="JR200">
        <v>356</v>
      </c>
      <c r="JS200">
        <v>135</v>
      </c>
      <c r="JV200">
        <v>8</v>
      </c>
      <c r="JW200" t="s">
        <v>550</v>
      </c>
      <c r="JX200">
        <v>0</v>
      </c>
      <c r="KA200">
        <v>0</v>
      </c>
      <c r="KB200">
        <v>110</v>
      </c>
      <c r="KC200">
        <v>0</v>
      </c>
      <c r="KD200">
        <v>80</v>
      </c>
      <c r="KF200">
        <v>4</v>
      </c>
      <c r="KG200">
        <v>4</v>
      </c>
      <c r="KH200">
        <v>2</v>
      </c>
      <c r="KI200">
        <v>2</v>
      </c>
      <c r="KJ200">
        <v>0</v>
      </c>
      <c r="KK200">
        <v>1.5</v>
      </c>
      <c r="KL200">
        <v>1.5</v>
      </c>
      <c r="KM200">
        <v>0</v>
      </c>
      <c r="KN200">
        <v>0</v>
      </c>
      <c r="KO200">
        <v>0</v>
      </c>
      <c r="KR200">
        <v>50</v>
      </c>
      <c r="KS200">
        <v>60</v>
      </c>
      <c r="KT200">
        <v>0</v>
      </c>
      <c r="LK200">
        <v>480</v>
      </c>
      <c r="PG200">
        <v>1</v>
      </c>
      <c r="PI200" t="s">
        <v>2729</v>
      </c>
      <c r="PJ200" t="s">
        <v>2730</v>
      </c>
      <c r="PL200" t="s">
        <v>764</v>
      </c>
      <c r="PP200" t="s">
        <v>2731</v>
      </c>
      <c r="PX200">
        <v>56</v>
      </c>
      <c r="PY200">
        <v>56</v>
      </c>
      <c r="PZ200" t="s">
        <v>2729</v>
      </c>
      <c r="QA200">
        <v>1</v>
      </c>
      <c r="QB200">
        <v>1375</v>
      </c>
      <c r="QC200">
        <v>69</v>
      </c>
      <c r="QD200">
        <v>69</v>
      </c>
      <c r="QE200" t="s">
        <v>764</v>
      </c>
      <c r="QF200">
        <v>1</v>
      </c>
      <c r="QG200">
        <v>1393</v>
      </c>
      <c r="QH200">
        <v>66</v>
      </c>
      <c r="QI200">
        <v>66</v>
      </c>
      <c r="QL200">
        <v>0</v>
      </c>
      <c r="QM200">
        <v>62</v>
      </c>
      <c r="QN200">
        <v>62</v>
      </c>
      <c r="QO200" t="s">
        <v>2730</v>
      </c>
      <c r="QP200">
        <v>1</v>
      </c>
      <c r="QQ200">
        <v>1391</v>
      </c>
      <c r="QW200">
        <v>82</v>
      </c>
      <c r="QX200">
        <v>88</v>
      </c>
      <c r="QY200" t="s">
        <v>2731</v>
      </c>
      <c r="QZ200">
        <v>1</v>
      </c>
      <c r="RA200">
        <v>66</v>
      </c>
      <c r="RB200">
        <v>66</v>
      </c>
      <c r="RE200">
        <v>0</v>
      </c>
      <c r="RF200">
        <v>1</v>
      </c>
      <c r="RJ200">
        <v>1</v>
      </c>
      <c r="RL200">
        <v>2</v>
      </c>
      <c r="RO200">
        <v>538</v>
      </c>
      <c r="RQ200">
        <v>954</v>
      </c>
      <c r="RT200">
        <v>258</v>
      </c>
      <c r="RU200">
        <v>143</v>
      </c>
      <c r="RV200" t="s">
        <v>2150</v>
      </c>
      <c r="RW200" t="s">
        <v>679</v>
      </c>
      <c r="RX200">
        <v>15</v>
      </c>
      <c r="RY200">
        <v>4</v>
      </c>
      <c r="RZ200" t="s">
        <v>679</v>
      </c>
      <c r="SA200">
        <v>15</v>
      </c>
      <c r="SC200" t="s">
        <v>2730</v>
      </c>
      <c r="SD200">
        <v>1</v>
      </c>
      <c r="SH200">
        <v>0.995</v>
      </c>
      <c r="SI200">
        <v>0.995</v>
      </c>
      <c r="SJ200">
        <v>0.995</v>
      </c>
      <c r="SK200">
        <v>15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TB200">
        <v>0</v>
      </c>
      <c r="TC200">
        <v>0</v>
      </c>
      <c r="TD200">
        <v>7.5</v>
      </c>
      <c r="TE200" t="s">
        <v>553</v>
      </c>
      <c r="TF200" t="s">
        <v>624</v>
      </c>
      <c r="TG200" t="s">
        <v>555</v>
      </c>
      <c r="TI200" t="s">
        <v>546</v>
      </c>
      <c r="TJ200" t="s">
        <v>547</v>
      </c>
      <c r="TL200" t="s">
        <v>2662</v>
      </c>
      <c r="TM200" t="s">
        <v>513</v>
      </c>
      <c r="TN200">
        <v>0</v>
      </c>
      <c r="TO200" t="s">
        <v>557</v>
      </c>
    </row>
    <row r="201" spans="1:535">
      <c r="A201" t="s">
        <v>2732</v>
      </c>
      <c r="B201" t="s">
        <v>629</v>
      </c>
      <c r="C201" t="s">
        <v>509</v>
      </c>
      <c r="D201" t="s">
        <v>1346</v>
      </c>
      <c r="G201" t="s">
        <v>561</v>
      </c>
      <c r="I201" t="s">
        <v>562</v>
      </c>
      <c r="J201" t="s">
        <v>563</v>
      </c>
      <c r="L201" t="s">
        <v>512</v>
      </c>
      <c r="M201" t="s">
        <v>711</v>
      </c>
      <c r="N201" t="s">
        <v>513</v>
      </c>
      <c r="O201" t="s">
        <v>565</v>
      </c>
      <c r="Q201" t="s">
        <v>2733</v>
      </c>
      <c r="R201" t="s">
        <v>517</v>
      </c>
      <c r="S201" t="s">
        <v>866</v>
      </c>
      <c r="T201" t="s">
        <v>867</v>
      </c>
      <c r="U201" t="s">
        <v>570</v>
      </c>
      <c r="V201" t="s">
        <v>571</v>
      </c>
      <c r="W201" t="s">
        <v>1309</v>
      </c>
      <c r="X201" t="s">
        <v>2657</v>
      </c>
      <c r="Y201" t="s">
        <v>524</v>
      </c>
      <c r="Z201" t="s">
        <v>2734</v>
      </c>
      <c r="AA201" t="s">
        <v>2735</v>
      </c>
      <c r="AB201" t="s">
        <v>2736</v>
      </c>
      <c r="AC201">
        <v>2</v>
      </c>
      <c r="AD201">
        <v>56</v>
      </c>
      <c r="AE201">
        <v>209</v>
      </c>
      <c r="AF201">
        <v>1.5</v>
      </c>
      <c r="AH201">
        <v>0</v>
      </c>
      <c r="AI201" t="s">
        <v>969</v>
      </c>
      <c r="AJ201">
        <v>192.5</v>
      </c>
      <c r="AK201">
        <v>1</v>
      </c>
      <c r="AL201">
        <v>1.5</v>
      </c>
      <c r="AM201" t="s">
        <v>579</v>
      </c>
      <c r="AN201" t="s">
        <v>693</v>
      </c>
      <c r="AO201">
        <v>2</v>
      </c>
      <c r="AP201" t="s">
        <v>581</v>
      </c>
      <c r="AQ201" t="s">
        <v>582</v>
      </c>
      <c r="AR201">
        <v>228</v>
      </c>
      <c r="AS201">
        <v>1.5</v>
      </c>
      <c r="AT201" t="s">
        <v>583</v>
      </c>
      <c r="AU201" t="s">
        <v>2737</v>
      </c>
      <c r="AW201" t="s">
        <v>2737</v>
      </c>
      <c r="AX201">
        <v>1</v>
      </c>
      <c r="AY201">
        <v>270</v>
      </c>
      <c r="AZ201">
        <v>1.5</v>
      </c>
      <c r="BA201" t="s">
        <v>579</v>
      </c>
      <c r="BB201" t="s">
        <v>1314</v>
      </c>
      <c r="BD201" t="s">
        <v>1314</v>
      </c>
      <c r="BE201">
        <v>1</v>
      </c>
      <c r="BF201">
        <v>230</v>
      </c>
      <c r="BG201">
        <v>1.5</v>
      </c>
      <c r="BJ201">
        <v>0</v>
      </c>
      <c r="BN201">
        <v>1.5</v>
      </c>
      <c r="BP201" t="s">
        <v>2738</v>
      </c>
      <c r="BQ201" t="s">
        <v>587</v>
      </c>
      <c r="BR201">
        <v>2</v>
      </c>
      <c r="BS201" t="s">
        <v>799</v>
      </c>
      <c r="BT201">
        <v>209</v>
      </c>
      <c r="BU201">
        <v>0.5</v>
      </c>
      <c r="BV201" t="s">
        <v>799</v>
      </c>
      <c r="BW201">
        <v>418</v>
      </c>
      <c r="BX201">
        <v>1</v>
      </c>
      <c r="BY201" t="s">
        <v>589</v>
      </c>
      <c r="BZ201">
        <v>300</v>
      </c>
      <c r="CA201">
        <v>480</v>
      </c>
      <c r="CB201" t="s">
        <v>590</v>
      </c>
      <c r="CC201" t="s">
        <v>590</v>
      </c>
      <c r="CD201">
        <v>436</v>
      </c>
      <c r="CE201" t="s">
        <v>591</v>
      </c>
      <c r="CF201">
        <v>15</v>
      </c>
      <c r="CG201" t="s">
        <v>724</v>
      </c>
      <c r="CH201" t="s">
        <v>724</v>
      </c>
      <c r="CI201">
        <v>90</v>
      </c>
      <c r="CJ201">
        <v>1538</v>
      </c>
      <c r="CK201">
        <v>2</v>
      </c>
      <c r="CL201">
        <v>1632</v>
      </c>
      <c r="CM201">
        <v>2</v>
      </c>
      <c r="CN201" t="s">
        <v>593</v>
      </c>
      <c r="CO201" t="s">
        <v>594</v>
      </c>
      <c r="CP201" t="s">
        <v>595</v>
      </c>
      <c r="CQ201" t="s">
        <v>596</v>
      </c>
      <c r="CR201" t="s">
        <v>541</v>
      </c>
      <c r="CS201" t="s">
        <v>542</v>
      </c>
      <c r="CT201">
        <v>385</v>
      </c>
      <c r="CU201">
        <v>5</v>
      </c>
      <c r="CV201">
        <v>1.2</v>
      </c>
      <c r="CW201">
        <v>1554</v>
      </c>
      <c r="CX201">
        <v>847</v>
      </c>
      <c r="CY201" t="s">
        <v>705</v>
      </c>
      <c r="CZ201">
        <v>50</v>
      </c>
      <c r="DA201">
        <v>3</v>
      </c>
      <c r="DB201">
        <v>1</v>
      </c>
      <c r="DC201">
        <v>1554</v>
      </c>
      <c r="DD201">
        <v>82</v>
      </c>
      <c r="DE201" t="s">
        <v>622</v>
      </c>
      <c r="DF201">
        <v>540</v>
      </c>
      <c r="DG201">
        <v>3</v>
      </c>
      <c r="DH201">
        <v>0.88</v>
      </c>
      <c r="DI201">
        <v>1547</v>
      </c>
      <c r="DJ201">
        <v>1001</v>
      </c>
      <c r="DK201" t="s">
        <v>622</v>
      </c>
      <c r="DL201">
        <v>460</v>
      </c>
      <c r="DM201">
        <v>3</v>
      </c>
      <c r="DN201">
        <v>0.88</v>
      </c>
      <c r="DO201">
        <v>1552</v>
      </c>
      <c r="DP201">
        <v>785</v>
      </c>
      <c r="DW201" t="s">
        <v>544</v>
      </c>
      <c r="DX201">
        <v>7.5</v>
      </c>
      <c r="EA201">
        <v>1623.8</v>
      </c>
      <c r="EB201">
        <v>382</v>
      </c>
      <c r="EC201" t="s">
        <v>545</v>
      </c>
      <c r="ED201">
        <v>25</v>
      </c>
      <c r="EE201">
        <v>3</v>
      </c>
      <c r="EG201">
        <v>1675</v>
      </c>
      <c r="EH201">
        <v>191</v>
      </c>
      <c r="EJ201">
        <v>0</v>
      </c>
      <c r="EK201">
        <v>1</v>
      </c>
      <c r="EN201">
        <v>0</v>
      </c>
      <c r="EP201" t="s">
        <v>546</v>
      </c>
      <c r="EQ201">
        <v>90</v>
      </c>
      <c r="ER201">
        <v>3</v>
      </c>
      <c r="ES201">
        <v>6</v>
      </c>
      <c r="ET201">
        <v>1537</v>
      </c>
      <c r="EU201">
        <v>428</v>
      </c>
      <c r="EV201">
        <v>658</v>
      </c>
      <c r="EW201" t="s">
        <v>547</v>
      </c>
      <c r="EX201">
        <v>45</v>
      </c>
      <c r="EY201">
        <v>2</v>
      </c>
      <c r="EZ201">
        <v>4.5</v>
      </c>
      <c r="FA201">
        <v>1537</v>
      </c>
      <c r="FB201">
        <v>138.3</v>
      </c>
      <c r="FC201">
        <v>213</v>
      </c>
      <c r="FE201">
        <v>0</v>
      </c>
      <c r="FF201">
        <v>2</v>
      </c>
      <c r="FI201">
        <v>0</v>
      </c>
      <c r="FK201" t="s">
        <v>548</v>
      </c>
      <c r="FL201">
        <v>0.4</v>
      </c>
      <c r="FM201">
        <v>55</v>
      </c>
      <c r="FN201">
        <v>360</v>
      </c>
      <c r="FO201">
        <v>75</v>
      </c>
      <c r="FP201">
        <v>170</v>
      </c>
      <c r="GR201" t="s">
        <v>548</v>
      </c>
      <c r="GS201">
        <v>0.4</v>
      </c>
      <c r="GT201">
        <v>30</v>
      </c>
      <c r="GU201">
        <v>380</v>
      </c>
      <c r="GV201">
        <v>30</v>
      </c>
      <c r="GW201">
        <v>270</v>
      </c>
      <c r="HC201">
        <v>0.1</v>
      </c>
      <c r="HD201">
        <v>3</v>
      </c>
      <c r="HE201">
        <v>3</v>
      </c>
      <c r="HF201">
        <v>3</v>
      </c>
      <c r="HG201">
        <v>3</v>
      </c>
      <c r="HH201">
        <v>3</v>
      </c>
      <c r="HI201">
        <v>120</v>
      </c>
      <c r="HJ201">
        <v>3</v>
      </c>
      <c r="HK201">
        <v>30</v>
      </c>
      <c r="HL201">
        <v>2</v>
      </c>
      <c r="HM201">
        <v>0</v>
      </c>
      <c r="HN201">
        <v>2</v>
      </c>
      <c r="HO201">
        <v>75</v>
      </c>
      <c r="HP201">
        <v>3</v>
      </c>
      <c r="HQ201">
        <v>0</v>
      </c>
      <c r="HR201">
        <v>2</v>
      </c>
      <c r="HS201">
        <v>5685</v>
      </c>
      <c r="HT201">
        <v>170</v>
      </c>
      <c r="HU201">
        <v>180</v>
      </c>
      <c r="HW201">
        <v>0</v>
      </c>
      <c r="HX201">
        <v>420</v>
      </c>
      <c r="HY201">
        <v>0.18</v>
      </c>
      <c r="IA201">
        <v>0.15</v>
      </c>
      <c r="IB201">
        <v>0</v>
      </c>
      <c r="IC201">
        <v>180</v>
      </c>
      <c r="ID201">
        <v>110</v>
      </c>
      <c r="IE201">
        <v>225</v>
      </c>
      <c r="IF201">
        <v>0</v>
      </c>
      <c r="IH201" t="s">
        <v>549</v>
      </c>
      <c r="IO201">
        <v>3</v>
      </c>
      <c r="IP201">
        <v>20</v>
      </c>
      <c r="IQ201">
        <v>0</v>
      </c>
      <c r="IR201">
        <v>0</v>
      </c>
      <c r="IV201">
        <v>1538</v>
      </c>
      <c r="IW201">
        <v>418</v>
      </c>
      <c r="JA201">
        <v>1</v>
      </c>
      <c r="JB201">
        <v>0</v>
      </c>
      <c r="JC201">
        <v>2</v>
      </c>
      <c r="JD201">
        <v>1554</v>
      </c>
      <c r="JE201">
        <v>1547</v>
      </c>
      <c r="JF201">
        <v>1552</v>
      </c>
      <c r="JG201">
        <v>1537</v>
      </c>
      <c r="JH201">
        <v>0</v>
      </c>
      <c r="JJ201">
        <v>180</v>
      </c>
      <c r="JK201">
        <v>420</v>
      </c>
      <c r="JN201">
        <v>385</v>
      </c>
      <c r="JO201">
        <v>540</v>
      </c>
      <c r="JP201">
        <v>460</v>
      </c>
      <c r="JQ201">
        <v>0</v>
      </c>
      <c r="JR201">
        <v>418</v>
      </c>
      <c r="JS201">
        <v>120</v>
      </c>
      <c r="JV201">
        <v>8</v>
      </c>
      <c r="JW201" t="s">
        <v>550</v>
      </c>
      <c r="JX201">
        <v>456</v>
      </c>
      <c r="KA201">
        <v>225</v>
      </c>
      <c r="KB201">
        <v>110</v>
      </c>
      <c r="KC201">
        <v>0</v>
      </c>
      <c r="KD201">
        <v>80</v>
      </c>
      <c r="KF201">
        <v>4</v>
      </c>
      <c r="KG201">
        <v>2</v>
      </c>
      <c r="KH201">
        <v>2</v>
      </c>
      <c r="KI201">
        <v>2</v>
      </c>
      <c r="KJ201">
        <v>0</v>
      </c>
      <c r="KK201">
        <v>1.5</v>
      </c>
      <c r="KL201">
        <v>1.5</v>
      </c>
      <c r="KM201">
        <v>0</v>
      </c>
      <c r="KN201">
        <v>0</v>
      </c>
      <c r="KO201">
        <v>0</v>
      </c>
      <c r="KR201">
        <v>50</v>
      </c>
      <c r="KS201">
        <v>60</v>
      </c>
      <c r="KT201">
        <v>0</v>
      </c>
      <c r="LK201">
        <v>480</v>
      </c>
      <c r="PG201">
        <v>1</v>
      </c>
      <c r="PI201" t="s">
        <v>2736</v>
      </c>
      <c r="PJ201" t="s">
        <v>2737</v>
      </c>
      <c r="PK201" t="s">
        <v>1314</v>
      </c>
      <c r="PL201" t="s">
        <v>969</v>
      </c>
      <c r="PP201" t="s">
        <v>2738</v>
      </c>
      <c r="PS201" t="s">
        <v>693</v>
      </c>
      <c r="PX201">
        <v>56</v>
      </c>
      <c r="PY201">
        <v>56</v>
      </c>
      <c r="PZ201" t="s">
        <v>2736</v>
      </c>
      <c r="QA201">
        <v>2</v>
      </c>
      <c r="QB201">
        <v>1537</v>
      </c>
      <c r="QC201">
        <v>69</v>
      </c>
      <c r="QD201">
        <v>69</v>
      </c>
      <c r="QE201" t="s">
        <v>969</v>
      </c>
      <c r="QF201">
        <v>1</v>
      </c>
      <c r="QG201">
        <v>1554</v>
      </c>
      <c r="QH201">
        <v>66</v>
      </c>
      <c r="QI201">
        <v>66</v>
      </c>
      <c r="QJ201" t="s">
        <v>693</v>
      </c>
      <c r="QK201">
        <v>1</v>
      </c>
      <c r="QL201">
        <v>1554</v>
      </c>
      <c r="QM201">
        <v>62</v>
      </c>
      <c r="QN201">
        <v>62</v>
      </c>
      <c r="QO201" t="s">
        <v>2737</v>
      </c>
      <c r="QP201">
        <v>1</v>
      </c>
      <c r="QQ201">
        <v>1547</v>
      </c>
      <c r="QR201">
        <v>62</v>
      </c>
      <c r="QS201">
        <v>62</v>
      </c>
      <c r="QT201" t="s">
        <v>1314</v>
      </c>
      <c r="QU201">
        <v>1</v>
      </c>
      <c r="QV201">
        <v>1552</v>
      </c>
      <c r="QW201">
        <v>82</v>
      </c>
      <c r="QX201" t="s">
        <v>587</v>
      </c>
      <c r="QY201" t="s">
        <v>2738</v>
      </c>
      <c r="QZ201">
        <v>2</v>
      </c>
      <c r="RA201">
        <v>66</v>
      </c>
      <c r="RB201">
        <v>66</v>
      </c>
      <c r="RE201">
        <v>0</v>
      </c>
      <c r="RF201">
        <v>1</v>
      </c>
      <c r="RH201">
        <v>1</v>
      </c>
      <c r="RJ201">
        <v>1</v>
      </c>
      <c r="RK201">
        <v>2</v>
      </c>
      <c r="RL201">
        <v>4</v>
      </c>
      <c r="RM201">
        <v>4</v>
      </c>
      <c r="RO201">
        <v>545</v>
      </c>
      <c r="RP201">
        <v>105</v>
      </c>
      <c r="RQ201">
        <v>647</v>
      </c>
      <c r="RR201">
        <v>506</v>
      </c>
      <c r="RT201">
        <v>382</v>
      </c>
      <c r="RU201">
        <v>191</v>
      </c>
      <c r="RV201" t="s">
        <v>801</v>
      </c>
      <c r="RW201" t="s">
        <v>599</v>
      </c>
      <c r="RX201">
        <v>15</v>
      </c>
      <c r="RY201">
        <v>4</v>
      </c>
      <c r="RZ201" t="s">
        <v>599</v>
      </c>
      <c r="SA201">
        <v>15</v>
      </c>
      <c r="SC201" t="s">
        <v>2737</v>
      </c>
      <c r="SD201">
        <v>1</v>
      </c>
      <c r="SF201" t="s">
        <v>1314</v>
      </c>
      <c r="SG201">
        <v>1</v>
      </c>
      <c r="SH201">
        <v>0.995</v>
      </c>
      <c r="SI201">
        <v>0.995</v>
      </c>
      <c r="SJ201">
        <v>0.995</v>
      </c>
      <c r="SK201">
        <v>15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1</v>
      </c>
      <c r="SZ201">
        <v>1</v>
      </c>
      <c r="TB201">
        <v>0</v>
      </c>
      <c r="TC201">
        <v>0</v>
      </c>
      <c r="TD201">
        <v>7.5</v>
      </c>
      <c r="TE201" t="s">
        <v>553</v>
      </c>
      <c r="TF201" t="s">
        <v>681</v>
      </c>
      <c r="TG201" t="s">
        <v>555</v>
      </c>
      <c r="TI201" t="s">
        <v>546</v>
      </c>
      <c r="TJ201" t="s">
        <v>547</v>
      </c>
      <c r="TL201" t="s">
        <v>2662</v>
      </c>
      <c r="TM201" t="s">
        <v>513</v>
      </c>
      <c r="TN201">
        <v>0</v>
      </c>
      <c r="TO201" t="s">
        <v>601</v>
      </c>
    </row>
    <row r="202" spans="1:535">
      <c r="A202" t="s">
        <v>2739</v>
      </c>
      <c r="B202" t="s">
        <v>804</v>
      </c>
      <c r="C202" t="s">
        <v>509</v>
      </c>
      <c r="D202" t="s">
        <v>2740</v>
      </c>
      <c r="G202" t="s">
        <v>1088</v>
      </c>
      <c r="L202" t="s">
        <v>512</v>
      </c>
      <c r="M202" t="s">
        <v>508</v>
      </c>
      <c r="N202" t="s">
        <v>513</v>
      </c>
      <c r="O202" t="s">
        <v>514</v>
      </c>
      <c r="P202" t="s">
        <v>515</v>
      </c>
      <c r="Q202" t="s">
        <v>2741</v>
      </c>
      <c r="R202" t="s">
        <v>517</v>
      </c>
      <c r="S202" t="s">
        <v>518</v>
      </c>
      <c r="T202" t="s">
        <v>519</v>
      </c>
      <c r="U202" t="s">
        <v>520</v>
      </c>
      <c r="V202" t="s">
        <v>521</v>
      </c>
      <c r="W202" t="s">
        <v>522</v>
      </c>
      <c r="X202" t="s">
        <v>2742</v>
      </c>
      <c r="Y202" t="s">
        <v>524</v>
      </c>
      <c r="Z202" t="s">
        <v>2743</v>
      </c>
      <c r="AA202" t="s">
        <v>2744</v>
      </c>
      <c r="AB202" t="s">
        <v>2745</v>
      </c>
      <c r="AC202">
        <v>2</v>
      </c>
      <c r="AD202">
        <v>57</v>
      </c>
      <c r="AE202">
        <v>176</v>
      </c>
      <c r="AF202">
        <v>1.5</v>
      </c>
      <c r="AH202">
        <v>0</v>
      </c>
      <c r="AI202" t="s">
        <v>528</v>
      </c>
      <c r="AJ202">
        <v>187.5</v>
      </c>
      <c r="AK202">
        <v>1</v>
      </c>
      <c r="AL202">
        <v>1.5</v>
      </c>
      <c r="AM202" t="s">
        <v>529</v>
      </c>
      <c r="AO202">
        <v>0</v>
      </c>
      <c r="AR202">
        <v>0</v>
      </c>
      <c r="AS202">
        <v>1.5</v>
      </c>
      <c r="AU202" t="s">
        <v>2746</v>
      </c>
      <c r="AW202" t="s">
        <v>2746</v>
      </c>
      <c r="AX202">
        <v>1</v>
      </c>
      <c r="AY202">
        <v>262.5</v>
      </c>
      <c r="AZ202">
        <v>1.5</v>
      </c>
      <c r="BA202" t="s">
        <v>529</v>
      </c>
      <c r="BG202">
        <v>1.5</v>
      </c>
      <c r="BJ202">
        <v>0</v>
      </c>
      <c r="BN202">
        <v>1.5</v>
      </c>
      <c r="BP202" t="s">
        <v>531</v>
      </c>
      <c r="BQ202">
        <v>89</v>
      </c>
      <c r="BR202">
        <v>2</v>
      </c>
      <c r="BS202" t="s">
        <v>532</v>
      </c>
      <c r="BT202">
        <v>198</v>
      </c>
      <c r="BU202">
        <v>0.5</v>
      </c>
      <c r="BV202" t="s">
        <v>532</v>
      </c>
      <c r="BW202">
        <v>396</v>
      </c>
      <c r="BX202">
        <v>1</v>
      </c>
      <c r="BY202" t="s">
        <v>533</v>
      </c>
      <c r="BZ202">
        <v>300</v>
      </c>
      <c r="CA202">
        <v>520</v>
      </c>
      <c r="CB202" t="s">
        <v>534</v>
      </c>
      <c r="CC202" t="s">
        <v>534</v>
      </c>
      <c r="CD202">
        <v>415</v>
      </c>
      <c r="CE202" t="s">
        <v>535</v>
      </c>
      <c r="CF202">
        <v>15</v>
      </c>
      <c r="CG202" t="s">
        <v>536</v>
      </c>
      <c r="CH202" t="s">
        <v>536</v>
      </c>
      <c r="CI202">
        <v>110</v>
      </c>
      <c r="CJ202">
        <v>1200</v>
      </c>
      <c r="CK202">
        <v>2</v>
      </c>
      <c r="CL202">
        <v>1301</v>
      </c>
      <c r="CM202">
        <v>2</v>
      </c>
      <c r="CN202" t="s">
        <v>537</v>
      </c>
      <c r="CO202" t="s">
        <v>538</v>
      </c>
      <c r="CP202" t="s">
        <v>539</v>
      </c>
      <c r="CQ202" t="s">
        <v>540</v>
      </c>
      <c r="CR202" t="s">
        <v>541</v>
      </c>
      <c r="CS202" t="s">
        <v>542</v>
      </c>
      <c r="CT202">
        <v>375</v>
      </c>
      <c r="CU202">
        <v>5</v>
      </c>
      <c r="CV202">
        <v>1.3</v>
      </c>
      <c r="CW202">
        <v>1218</v>
      </c>
      <c r="CX202">
        <v>702</v>
      </c>
      <c r="DD202">
        <v>0</v>
      </c>
      <c r="DE202" t="s">
        <v>543</v>
      </c>
      <c r="DF202">
        <v>525</v>
      </c>
      <c r="DG202">
        <v>3</v>
      </c>
      <c r="DH202">
        <v>1.18</v>
      </c>
      <c r="DI202">
        <v>1212</v>
      </c>
      <c r="DJ202">
        <v>905</v>
      </c>
      <c r="DW202" t="s">
        <v>544</v>
      </c>
      <c r="DX202">
        <v>7.5</v>
      </c>
      <c r="EA202">
        <v>1284.1</v>
      </c>
      <c r="EB202">
        <v>183</v>
      </c>
      <c r="EC202" t="s">
        <v>545</v>
      </c>
      <c r="ED202">
        <v>35</v>
      </c>
      <c r="EE202">
        <v>3</v>
      </c>
      <c r="EG202">
        <v>1315</v>
      </c>
      <c r="EH202">
        <v>183</v>
      </c>
      <c r="EJ202">
        <v>0</v>
      </c>
      <c r="EK202">
        <v>1</v>
      </c>
      <c r="EN202">
        <v>0</v>
      </c>
      <c r="EP202" t="s">
        <v>546</v>
      </c>
      <c r="EQ202">
        <v>95</v>
      </c>
      <c r="ER202">
        <v>3</v>
      </c>
      <c r="ES202">
        <v>4.5</v>
      </c>
      <c r="ET202">
        <v>1191</v>
      </c>
      <c r="EU202">
        <v>338</v>
      </c>
      <c r="EV202">
        <v>403</v>
      </c>
      <c r="EW202" t="s">
        <v>547</v>
      </c>
      <c r="EX202">
        <v>75</v>
      </c>
      <c r="EY202">
        <v>2</v>
      </c>
      <c r="EZ202">
        <v>3.8</v>
      </c>
      <c r="FA202">
        <v>1191</v>
      </c>
      <c r="FB202">
        <v>210.8</v>
      </c>
      <c r="FC202">
        <v>251</v>
      </c>
      <c r="FE202">
        <v>0</v>
      </c>
      <c r="FF202">
        <v>2</v>
      </c>
      <c r="FI202">
        <v>0</v>
      </c>
      <c r="FK202" t="s">
        <v>548</v>
      </c>
      <c r="FL202">
        <v>0.4</v>
      </c>
      <c r="FM202">
        <v>40</v>
      </c>
      <c r="FN202">
        <v>170</v>
      </c>
      <c r="HC202">
        <v>0.1</v>
      </c>
      <c r="HD202">
        <v>3</v>
      </c>
      <c r="HE202">
        <v>3</v>
      </c>
      <c r="HF202">
        <v>3</v>
      </c>
      <c r="HG202">
        <v>3</v>
      </c>
      <c r="HH202">
        <v>3</v>
      </c>
      <c r="HI202">
        <v>155</v>
      </c>
      <c r="HJ202">
        <v>3</v>
      </c>
      <c r="HK202">
        <v>60</v>
      </c>
      <c r="HL202">
        <v>2</v>
      </c>
      <c r="HM202">
        <v>0</v>
      </c>
      <c r="HN202">
        <v>2</v>
      </c>
      <c r="HO202">
        <v>80</v>
      </c>
      <c r="HP202">
        <v>3</v>
      </c>
      <c r="HQ202">
        <v>0</v>
      </c>
      <c r="HR202">
        <v>2</v>
      </c>
      <c r="HS202">
        <v>3647</v>
      </c>
      <c r="HT202">
        <v>110</v>
      </c>
      <c r="HU202">
        <v>180</v>
      </c>
      <c r="HW202">
        <v>0</v>
      </c>
      <c r="HX202">
        <v>460</v>
      </c>
      <c r="HY202">
        <v>0.18</v>
      </c>
      <c r="IA202">
        <v>0.15</v>
      </c>
      <c r="IB202">
        <v>0</v>
      </c>
      <c r="IC202">
        <v>180</v>
      </c>
      <c r="ID202">
        <v>110</v>
      </c>
      <c r="IE202">
        <v>0</v>
      </c>
      <c r="IF202">
        <v>0</v>
      </c>
      <c r="IH202" t="s">
        <v>549</v>
      </c>
      <c r="IO202">
        <v>1</v>
      </c>
      <c r="IP202">
        <v>16</v>
      </c>
      <c r="IQ202">
        <v>1</v>
      </c>
      <c r="IR202">
        <v>1</v>
      </c>
      <c r="IV202">
        <v>1200</v>
      </c>
      <c r="IW202">
        <v>396</v>
      </c>
      <c r="JA202">
        <v>1</v>
      </c>
      <c r="JB202">
        <v>0</v>
      </c>
      <c r="JC202">
        <v>2</v>
      </c>
      <c r="JD202">
        <v>1218</v>
      </c>
      <c r="JE202">
        <v>1212</v>
      </c>
      <c r="JF202">
        <v>0</v>
      </c>
      <c r="JG202">
        <v>1191</v>
      </c>
      <c r="JH202">
        <v>0</v>
      </c>
      <c r="JJ202">
        <v>180</v>
      </c>
      <c r="JK202">
        <v>460</v>
      </c>
      <c r="JN202">
        <v>375</v>
      </c>
      <c r="JO202">
        <v>525</v>
      </c>
      <c r="JP202">
        <v>0</v>
      </c>
      <c r="JQ202">
        <v>0</v>
      </c>
      <c r="JR202">
        <v>352</v>
      </c>
      <c r="JS202">
        <v>155</v>
      </c>
      <c r="JV202">
        <v>8</v>
      </c>
      <c r="JW202" t="s">
        <v>550</v>
      </c>
      <c r="JX202">
        <v>0</v>
      </c>
      <c r="KA202">
        <v>0</v>
      </c>
      <c r="KB202">
        <v>110</v>
      </c>
      <c r="KC202">
        <v>0</v>
      </c>
      <c r="KD202">
        <v>80</v>
      </c>
      <c r="KF202">
        <v>4</v>
      </c>
      <c r="KG202">
        <v>4</v>
      </c>
      <c r="KH202">
        <v>2</v>
      </c>
      <c r="KI202">
        <v>2</v>
      </c>
      <c r="KJ202">
        <v>0</v>
      </c>
      <c r="KK202">
        <v>1.5</v>
      </c>
      <c r="KL202">
        <v>1.5</v>
      </c>
      <c r="KM202">
        <v>0</v>
      </c>
      <c r="KN202">
        <v>0</v>
      </c>
      <c r="KO202">
        <v>0</v>
      </c>
      <c r="KR202">
        <v>30</v>
      </c>
      <c r="KS202">
        <v>60</v>
      </c>
      <c r="KT202">
        <v>0</v>
      </c>
      <c r="LK202">
        <v>480</v>
      </c>
      <c r="PG202">
        <v>1</v>
      </c>
      <c r="PI202" t="s">
        <v>2745</v>
      </c>
      <c r="PJ202" t="s">
        <v>2746</v>
      </c>
      <c r="PL202" t="s">
        <v>528</v>
      </c>
      <c r="PP202" t="s">
        <v>531</v>
      </c>
      <c r="PX202">
        <v>56</v>
      </c>
      <c r="PY202">
        <v>57</v>
      </c>
      <c r="PZ202" t="s">
        <v>2745</v>
      </c>
      <c r="QA202">
        <v>1</v>
      </c>
      <c r="QB202">
        <v>1191</v>
      </c>
      <c r="QC202">
        <v>69</v>
      </c>
      <c r="QD202">
        <v>69</v>
      </c>
      <c r="QE202" t="s">
        <v>528</v>
      </c>
      <c r="QF202">
        <v>2</v>
      </c>
      <c r="QG202">
        <v>1218</v>
      </c>
      <c r="QH202">
        <v>66</v>
      </c>
      <c r="QI202">
        <v>66</v>
      </c>
      <c r="QL202">
        <v>0</v>
      </c>
      <c r="QM202">
        <v>62</v>
      </c>
      <c r="QN202">
        <v>62</v>
      </c>
      <c r="QO202" t="s">
        <v>2746</v>
      </c>
      <c r="QP202">
        <v>1</v>
      </c>
      <c r="QQ202">
        <v>1212</v>
      </c>
      <c r="QW202">
        <v>82</v>
      </c>
      <c r="QX202">
        <v>89</v>
      </c>
      <c r="QY202" t="s">
        <v>531</v>
      </c>
      <c r="QZ202">
        <v>1</v>
      </c>
      <c r="RA202">
        <v>66</v>
      </c>
      <c r="RB202">
        <v>66</v>
      </c>
      <c r="RE202">
        <v>0</v>
      </c>
      <c r="RF202">
        <v>1</v>
      </c>
      <c r="RJ202">
        <v>1</v>
      </c>
      <c r="RL202">
        <v>1</v>
      </c>
      <c r="RO202">
        <v>576</v>
      </c>
      <c r="RQ202">
        <v>747</v>
      </c>
      <c r="RT202">
        <v>183</v>
      </c>
      <c r="RU202">
        <v>183</v>
      </c>
      <c r="RV202" t="s">
        <v>551</v>
      </c>
      <c r="RW202" t="s">
        <v>552</v>
      </c>
      <c r="RX202">
        <v>15</v>
      </c>
      <c r="RY202">
        <v>4</v>
      </c>
      <c r="RZ202" t="s">
        <v>552</v>
      </c>
      <c r="SA202">
        <v>15</v>
      </c>
      <c r="SC202" t="s">
        <v>2746</v>
      </c>
      <c r="SD202">
        <v>1</v>
      </c>
      <c r="SH202">
        <v>0.995</v>
      </c>
      <c r="SI202">
        <v>0.995</v>
      </c>
      <c r="SJ202">
        <v>0.995</v>
      </c>
      <c r="SK202">
        <v>15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TB202">
        <v>0</v>
      </c>
      <c r="TC202">
        <v>0</v>
      </c>
      <c r="TD202">
        <v>7.5</v>
      </c>
      <c r="TE202" t="s">
        <v>553</v>
      </c>
      <c r="TF202" t="s">
        <v>554</v>
      </c>
      <c r="TG202" t="s">
        <v>555</v>
      </c>
      <c r="TI202" t="s">
        <v>546</v>
      </c>
      <c r="TJ202" t="s">
        <v>547</v>
      </c>
      <c r="TL202" t="s">
        <v>2662</v>
      </c>
      <c r="TM202" t="s">
        <v>513</v>
      </c>
      <c r="TN202">
        <v>0</v>
      </c>
      <c r="TO202" t="s">
        <v>557</v>
      </c>
    </row>
    <row r="203" spans="1:535">
      <c r="A203" t="s">
        <v>2747</v>
      </c>
      <c r="B203" t="s">
        <v>804</v>
      </c>
      <c r="C203" t="s">
        <v>509</v>
      </c>
      <c r="D203" t="s">
        <v>2748</v>
      </c>
      <c r="G203" t="s">
        <v>1115</v>
      </c>
      <c r="I203" t="s">
        <v>562</v>
      </c>
      <c r="J203" t="s">
        <v>563</v>
      </c>
      <c r="L203" t="s">
        <v>512</v>
      </c>
      <c r="M203" t="s">
        <v>508</v>
      </c>
      <c r="N203" t="s">
        <v>513</v>
      </c>
      <c r="O203" t="s">
        <v>1255</v>
      </c>
      <c r="P203" t="s">
        <v>515</v>
      </c>
      <c r="Q203" t="s">
        <v>2749</v>
      </c>
      <c r="R203" t="s">
        <v>517</v>
      </c>
      <c r="S203" t="s">
        <v>1201</v>
      </c>
      <c r="T203" t="s">
        <v>807</v>
      </c>
      <c r="U203" t="s">
        <v>633</v>
      </c>
      <c r="V203" t="s">
        <v>634</v>
      </c>
      <c r="W203" t="s">
        <v>1283</v>
      </c>
      <c r="X203" t="s">
        <v>2657</v>
      </c>
      <c r="Y203" t="s">
        <v>524</v>
      </c>
      <c r="Z203" t="s">
        <v>2750</v>
      </c>
      <c r="AA203" t="s">
        <v>2751</v>
      </c>
      <c r="AB203" t="s">
        <v>2752</v>
      </c>
      <c r="AC203">
        <v>2</v>
      </c>
      <c r="AD203">
        <v>56</v>
      </c>
      <c r="AE203">
        <v>192</v>
      </c>
      <c r="AF203">
        <v>1.5</v>
      </c>
      <c r="AH203">
        <v>0</v>
      </c>
      <c r="AI203" t="s">
        <v>812</v>
      </c>
      <c r="AJ203">
        <v>205</v>
      </c>
      <c r="AK203">
        <v>1</v>
      </c>
      <c r="AL203">
        <v>1.5</v>
      </c>
      <c r="AM203" t="s">
        <v>529</v>
      </c>
      <c r="AO203">
        <v>0</v>
      </c>
      <c r="AR203">
        <v>0</v>
      </c>
      <c r="AS203">
        <v>1.5</v>
      </c>
      <c r="AU203" t="s">
        <v>2753</v>
      </c>
      <c r="AW203" t="s">
        <v>2753</v>
      </c>
      <c r="AX203">
        <v>1</v>
      </c>
      <c r="AY203">
        <v>287.5</v>
      </c>
      <c r="AZ203">
        <v>1.5</v>
      </c>
      <c r="BA203" t="s">
        <v>529</v>
      </c>
      <c r="BB203" t="s">
        <v>2754</v>
      </c>
      <c r="BD203" t="s">
        <v>2754</v>
      </c>
      <c r="BE203">
        <v>1</v>
      </c>
      <c r="BF203">
        <v>235</v>
      </c>
      <c r="BG203">
        <v>1.5</v>
      </c>
      <c r="BJ203">
        <v>0</v>
      </c>
      <c r="BN203">
        <v>1.5</v>
      </c>
      <c r="BP203" t="s">
        <v>2755</v>
      </c>
      <c r="BQ203">
        <v>89</v>
      </c>
      <c r="BR203">
        <v>2</v>
      </c>
      <c r="BS203" t="s">
        <v>829</v>
      </c>
      <c r="BT203">
        <v>214</v>
      </c>
      <c r="BU203">
        <v>0.5</v>
      </c>
      <c r="BV203" t="s">
        <v>829</v>
      </c>
      <c r="BW203">
        <v>428</v>
      </c>
      <c r="BX203">
        <v>1</v>
      </c>
      <c r="BY203" t="s">
        <v>643</v>
      </c>
      <c r="BZ203">
        <v>300</v>
      </c>
      <c r="CA203">
        <v>480</v>
      </c>
      <c r="CB203" t="s">
        <v>644</v>
      </c>
      <c r="CC203" t="s">
        <v>644</v>
      </c>
      <c r="CD203">
        <v>444</v>
      </c>
      <c r="CE203" t="s">
        <v>544</v>
      </c>
      <c r="CF203">
        <v>15</v>
      </c>
      <c r="CG203" t="s">
        <v>830</v>
      </c>
      <c r="CH203" t="s">
        <v>830</v>
      </c>
      <c r="CI203">
        <v>90</v>
      </c>
      <c r="CJ203">
        <v>1301</v>
      </c>
      <c r="CK203">
        <v>2</v>
      </c>
      <c r="CL203">
        <v>1395</v>
      </c>
      <c r="CM203">
        <v>2</v>
      </c>
      <c r="CN203" t="s">
        <v>646</v>
      </c>
      <c r="CO203" t="s">
        <v>647</v>
      </c>
      <c r="CP203" t="s">
        <v>648</v>
      </c>
      <c r="CQ203" t="s">
        <v>621</v>
      </c>
      <c r="CR203" t="s">
        <v>541</v>
      </c>
      <c r="CS203" t="s">
        <v>542</v>
      </c>
      <c r="CT203">
        <v>410</v>
      </c>
      <c r="CU203">
        <v>5</v>
      </c>
      <c r="CV203">
        <v>1.2</v>
      </c>
      <c r="CW203">
        <v>1314</v>
      </c>
      <c r="CX203">
        <v>763</v>
      </c>
      <c r="DD203">
        <v>0</v>
      </c>
      <c r="DE203" t="s">
        <v>622</v>
      </c>
      <c r="DF203">
        <v>575</v>
      </c>
      <c r="DG203">
        <v>3</v>
      </c>
      <c r="DH203">
        <v>0.88</v>
      </c>
      <c r="DI203">
        <v>1311</v>
      </c>
      <c r="DJ203">
        <v>848</v>
      </c>
      <c r="DK203" t="s">
        <v>622</v>
      </c>
      <c r="DL203">
        <v>470</v>
      </c>
      <c r="DM203">
        <v>3</v>
      </c>
      <c r="DN203">
        <v>0.88</v>
      </c>
      <c r="DO203">
        <v>1316</v>
      </c>
      <c r="DP203">
        <v>679</v>
      </c>
      <c r="DW203" t="s">
        <v>544</v>
      </c>
      <c r="DX203">
        <v>7.5</v>
      </c>
      <c r="EA203">
        <v>1384.6</v>
      </c>
      <c r="EB203">
        <v>261</v>
      </c>
      <c r="EC203" t="s">
        <v>545</v>
      </c>
      <c r="ED203">
        <v>35</v>
      </c>
      <c r="EE203">
        <v>3</v>
      </c>
      <c r="EG203">
        <v>1425</v>
      </c>
      <c r="EH203">
        <v>200</v>
      </c>
      <c r="EJ203">
        <v>0</v>
      </c>
      <c r="EK203">
        <v>1</v>
      </c>
      <c r="EN203">
        <v>0</v>
      </c>
      <c r="EP203" t="s">
        <v>546</v>
      </c>
      <c r="EQ203">
        <v>120</v>
      </c>
      <c r="ER203">
        <v>3</v>
      </c>
      <c r="ES203">
        <v>6</v>
      </c>
      <c r="ET203">
        <v>1301</v>
      </c>
      <c r="EU203">
        <v>569.7</v>
      </c>
      <c r="EV203">
        <v>741</v>
      </c>
      <c r="EW203" t="s">
        <v>547</v>
      </c>
      <c r="EX203">
        <v>70</v>
      </c>
      <c r="EY203">
        <v>2</v>
      </c>
      <c r="EZ203">
        <v>4.5</v>
      </c>
      <c r="FA203">
        <v>1301</v>
      </c>
      <c r="FB203">
        <v>210.3</v>
      </c>
      <c r="FC203">
        <v>274</v>
      </c>
      <c r="FE203">
        <v>0</v>
      </c>
      <c r="FF203">
        <v>2</v>
      </c>
      <c r="FI203">
        <v>0</v>
      </c>
      <c r="FK203" t="s">
        <v>548</v>
      </c>
      <c r="FL203">
        <v>0.4</v>
      </c>
      <c r="FM203">
        <v>90</v>
      </c>
      <c r="FN203">
        <v>130</v>
      </c>
      <c r="GR203" t="s">
        <v>548</v>
      </c>
      <c r="GS203">
        <v>0.4</v>
      </c>
      <c r="GT203">
        <v>30</v>
      </c>
      <c r="GU203">
        <v>380</v>
      </c>
      <c r="GV203">
        <v>30</v>
      </c>
      <c r="GW203">
        <v>260</v>
      </c>
      <c r="HC203">
        <v>0.1</v>
      </c>
      <c r="HD203">
        <v>3</v>
      </c>
      <c r="HE203">
        <v>3</v>
      </c>
      <c r="HF203">
        <v>3</v>
      </c>
      <c r="HG203">
        <v>3</v>
      </c>
      <c r="HH203">
        <v>3</v>
      </c>
      <c r="HI203">
        <v>175</v>
      </c>
      <c r="HJ203">
        <v>3</v>
      </c>
      <c r="HK203">
        <v>55</v>
      </c>
      <c r="HL203">
        <v>2</v>
      </c>
      <c r="HM203">
        <v>0</v>
      </c>
      <c r="HN203">
        <v>2</v>
      </c>
      <c r="HO203">
        <v>105</v>
      </c>
      <c r="HP203">
        <v>3</v>
      </c>
      <c r="HQ203">
        <v>0</v>
      </c>
      <c r="HR203">
        <v>2</v>
      </c>
      <c r="HS203">
        <v>5242</v>
      </c>
      <c r="HT203">
        <v>160</v>
      </c>
      <c r="HU203">
        <v>180</v>
      </c>
      <c r="HW203">
        <v>0</v>
      </c>
      <c r="HX203">
        <v>460</v>
      </c>
      <c r="HY203">
        <v>0.18</v>
      </c>
      <c r="IA203">
        <v>0.15</v>
      </c>
      <c r="IB203">
        <v>0</v>
      </c>
      <c r="IC203">
        <v>180</v>
      </c>
      <c r="ID203">
        <v>110</v>
      </c>
      <c r="IE203">
        <v>225</v>
      </c>
      <c r="IF203">
        <v>0</v>
      </c>
      <c r="IH203" t="s">
        <v>549</v>
      </c>
      <c r="IO203">
        <v>3</v>
      </c>
      <c r="IP203">
        <v>17</v>
      </c>
      <c r="IQ203">
        <v>0</v>
      </c>
      <c r="IR203">
        <v>1</v>
      </c>
      <c r="IV203">
        <v>1301</v>
      </c>
      <c r="IW203">
        <v>428</v>
      </c>
      <c r="JA203">
        <v>1</v>
      </c>
      <c r="JB203">
        <v>0</v>
      </c>
      <c r="JC203">
        <v>2</v>
      </c>
      <c r="JD203">
        <v>1314</v>
      </c>
      <c r="JE203">
        <v>1311</v>
      </c>
      <c r="JF203">
        <v>1316</v>
      </c>
      <c r="JG203">
        <v>1301</v>
      </c>
      <c r="JH203">
        <v>0</v>
      </c>
      <c r="JJ203">
        <v>180</v>
      </c>
      <c r="JK203">
        <v>460</v>
      </c>
      <c r="JN203">
        <v>410</v>
      </c>
      <c r="JO203">
        <v>575</v>
      </c>
      <c r="JP203">
        <v>470</v>
      </c>
      <c r="JQ203">
        <v>0</v>
      </c>
      <c r="JR203">
        <v>384</v>
      </c>
      <c r="JS203">
        <v>175</v>
      </c>
      <c r="JV203">
        <v>8</v>
      </c>
      <c r="JW203" t="s">
        <v>550</v>
      </c>
      <c r="JX203">
        <v>0</v>
      </c>
      <c r="KA203">
        <v>225</v>
      </c>
      <c r="KB203">
        <v>110</v>
      </c>
      <c r="KC203">
        <v>0</v>
      </c>
      <c r="KD203">
        <v>80</v>
      </c>
      <c r="KF203">
        <v>4</v>
      </c>
      <c r="KG203">
        <v>2</v>
      </c>
      <c r="KH203">
        <v>2</v>
      </c>
      <c r="KI203">
        <v>2</v>
      </c>
      <c r="KJ203">
        <v>0</v>
      </c>
      <c r="KK203">
        <v>1.5</v>
      </c>
      <c r="KL203">
        <v>1.5</v>
      </c>
      <c r="KM203">
        <v>0</v>
      </c>
      <c r="KN203">
        <v>0</v>
      </c>
      <c r="KO203">
        <v>0</v>
      </c>
      <c r="KR203">
        <v>30</v>
      </c>
      <c r="KS203">
        <v>60</v>
      </c>
      <c r="KT203">
        <v>0</v>
      </c>
      <c r="LK203">
        <v>480</v>
      </c>
      <c r="PG203">
        <v>1</v>
      </c>
      <c r="PI203" t="s">
        <v>2752</v>
      </c>
      <c r="PJ203" t="s">
        <v>2753</v>
      </c>
      <c r="PK203" t="s">
        <v>2754</v>
      </c>
      <c r="PL203" t="s">
        <v>812</v>
      </c>
      <c r="PP203" t="s">
        <v>2755</v>
      </c>
      <c r="PX203">
        <v>56</v>
      </c>
      <c r="PY203">
        <v>56</v>
      </c>
      <c r="PZ203" t="s">
        <v>2752</v>
      </c>
      <c r="QA203">
        <v>1</v>
      </c>
      <c r="QB203">
        <v>1301</v>
      </c>
      <c r="QC203">
        <v>69</v>
      </c>
      <c r="QD203">
        <v>69</v>
      </c>
      <c r="QE203" t="s">
        <v>812</v>
      </c>
      <c r="QF203">
        <v>1</v>
      </c>
      <c r="QG203">
        <v>1314</v>
      </c>
      <c r="QH203">
        <v>66</v>
      </c>
      <c r="QI203">
        <v>66</v>
      </c>
      <c r="QL203">
        <v>0</v>
      </c>
      <c r="QM203">
        <v>62</v>
      </c>
      <c r="QN203">
        <v>62</v>
      </c>
      <c r="QO203" t="s">
        <v>2753</v>
      </c>
      <c r="QP203">
        <v>1</v>
      </c>
      <c r="QQ203">
        <v>1311</v>
      </c>
      <c r="QR203">
        <v>62</v>
      </c>
      <c r="QS203">
        <v>62</v>
      </c>
      <c r="QT203" t="s">
        <v>2754</v>
      </c>
      <c r="QU203">
        <v>1</v>
      </c>
      <c r="QV203">
        <v>1316</v>
      </c>
      <c r="QW203">
        <v>82</v>
      </c>
      <c r="QX203">
        <v>89</v>
      </c>
      <c r="QY203" t="s">
        <v>2755</v>
      </c>
      <c r="QZ203">
        <v>1</v>
      </c>
      <c r="RA203">
        <v>66</v>
      </c>
      <c r="RB203">
        <v>66</v>
      </c>
      <c r="RE203">
        <v>0</v>
      </c>
      <c r="RF203">
        <v>1</v>
      </c>
      <c r="RH203">
        <v>1</v>
      </c>
      <c r="RJ203">
        <v>2</v>
      </c>
      <c r="RL203">
        <v>3</v>
      </c>
      <c r="RM203">
        <v>3</v>
      </c>
      <c r="RO203">
        <v>581</v>
      </c>
      <c r="RQ203">
        <v>647</v>
      </c>
      <c r="RR203">
        <v>516</v>
      </c>
      <c r="RT203">
        <v>261</v>
      </c>
      <c r="RU203">
        <v>200</v>
      </c>
      <c r="RV203" t="s">
        <v>831</v>
      </c>
      <c r="RW203" t="s">
        <v>653</v>
      </c>
      <c r="RX203">
        <v>15</v>
      </c>
      <c r="RY203">
        <v>4</v>
      </c>
      <c r="RZ203" t="s">
        <v>653</v>
      </c>
      <c r="SA203">
        <v>15</v>
      </c>
      <c r="SC203" t="s">
        <v>2753</v>
      </c>
      <c r="SD203">
        <v>1</v>
      </c>
      <c r="SF203" t="s">
        <v>2754</v>
      </c>
      <c r="SG203">
        <v>1</v>
      </c>
      <c r="SH203">
        <v>0.995</v>
      </c>
      <c r="SI203">
        <v>0.995</v>
      </c>
      <c r="SJ203">
        <v>0.995</v>
      </c>
      <c r="SK203">
        <v>15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Z203">
        <v>1</v>
      </c>
      <c r="TB203">
        <v>0</v>
      </c>
      <c r="TC203">
        <v>0</v>
      </c>
      <c r="TD203">
        <v>7.5</v>
      </c>
      <c r="TE203" t="s">
        <v>553</v>
      </c>
      <c r="TF203" t="s">
        <v>655</v>
      </c>
      <c r="TG203" t="s">
        <v>555</v>
      </c>
      <c r="TI203" t="s">
        <v>546</v>
      </c>
      <c r="TJ203" t="s">
        <v>547</v>
      </c>
      <c r="TL203" t="s">
        <v>2662</v>
      </c>
      <c r="TM203" t="s">
        <v>513</v>
      </c>
      <c r="TN203">
        <v>0</v>
      </c>
      <c r="TO203" t="s">
        <v>557</v>
      </c>
    </row>
    <row r="204" spans="1:535">
      <c r="A204" t="s">
        <v>2756</v>
      </c>
      <c r="B204" t="s">
        <v>711</v>
      </c>
      <c r="C204" t="s">
        <v>509</v>
      </c>
      <c r="D204" t="s">
        <v>1738</v>
      </c>
      <c r="G204" t="s">
        <v>511</v>
      </c>
      <c r="I204" t="s">
        <v>562</v>
      </c>
      <c r="L204" t="s">
        <v>512</v>
      </c>
      <c r="M204" t="s">
        <v>804</v>
      </c>
      <c r="N204" t="s">
        <v>513</v>
      </c>
      <c r="O204" t="s">
        <v>565</v>
      </c>
      <c r="Q204" t="s">
        <v>2757</v>
      </c>
      <c r="R204" t="s">
        <v>517</v>
      </c>
      <c r="S204" t="s">
        <v>1137</v>
      </c>
      <c r="T204" t="s">
        <v>1138</v>
      </c>
      <c r="U204" t="s">
        <v>662</v>
      </c>
      <c r="V204" t="s">
        <v>663</v>
      </c>
      <c r="W204" t="s">
        <v>2546</v>
      </c>
      <c r="X204" t="s">
        <v>2657</v>
      </c>
      <c r="Y204" t="s">
        <v>524</v>
      </c>
      <c r="Z204" t="s">
        <v>2758</v>
      </c>
      <c r="AA204" t="s">
        <v>2759</v>
      </c>
      <c r="AB204" t="s">
        <v>2760</v>
      </c>
      <c r="AC204">
        <v>2</v>
      </c>
      <c r="AD204">
        <v>56</v>
      </c>
      <c r="AE204">
        <v>169</v>
      </c>
      <c r="AF204">
        <v>1.5</v>
      </c>
      <c r="AH204">
        <v>0</v>
      </c>
      <c r="AI204" t="s">
        <v>734</v>
      </c>
      <c r="AJ204">
        <v>180</v>
      </c>
      <c r="AK204">
        <v>1</v>
      </c>
      <c r="AL204">
        <v>1.5</v>
      </c>
      <c r="AM204" t="s">
        <v>529</v>
      </c>
      <c r="AO204">
        <v>0</v>
      </c>
      <c r="AR204">
        <v>0</v>
      </c>
      <c r="AS204">
        <v>1.5</v>
      </c>
      <c r="AV204" t="s">
        <v>2761</v>
      </c>
      <c r="AW204" t="s">
        <v>2761</v>
      </c>
      <c r="AX204">
        <v>1</v>
      </c>
      <c r="AY204">
        <v>245</v>
      </c>
      <c r="AZ204">
        <v>1.5</v>
      </c>
      <c r="BA204" t="s">
        <v>529</v>
      </c>
      <c r="BG204">
        <v>1.5</v>
      </c>
      <c r="BJ204">
        <v>0</v>
      </c>
      <c r="BN204">
        <v>1.5</v>
      </c>
      <c r="BP204" t="s">
        <v>2762</v>
      </c>
      <c r="BQ204">
        <v>82</v>
      </c>
      <c r="BR204">
        <v>2</v>
      </c>
      <c r="BS204" t="s">
        <v>2149</v>
      </c>
      <c r="BT204">
        <v>191</v>
      </c>
      <c r="BU204">
        <v>0.5</v>
      </c>
      <c r="BV204" t="s">
        <v>2149</v>
      </c>
      <c r="BW204">
        <v>382</v>
      </c>
      <c r="BX204">
        <v>1</v>
      </c>
      <c r="BY204" t="s">
        <v>643</v>
      </c>
      <c r="BZ204">
        <v>290</v>
      </c>
      <c r="CA204">
        <v>490</v>
      </c>
      <c r="CB204" t="s">
        <v>672</v>
      </c>
      <c r="CC204" t="s">
        <v>672</v>
      </c>
      <c r="CD204">
        <v>416</v>
      </c>
      <c r="CE204" t="s">
        <v>673</v>
      </c>
      <c r="CF204">
        <v>15</v>
      </c>
      <c r="CG204" t="s">
        <v>674</v>
      </c>
      <c r="CH204" t="s">
        <v>674</v>
      </c>
      <c r="CI204">
        <v>100</v>
      </c>
      <c r="CJ204">
        <v>1381</v>
      </c>
      <c r="CK204">
        <v>2</v>
      </c>
      <c r="CL204">
        <v>1475</v>
      </c>
      <c r="CM204">
        <v>2</v>
      </c>
      <c r="CN204" t="s">
        <v>675</v>
      </c>
      <c r="CO204" t="s">
        <v>676</v>
      </c>
      <c r="CP204" t="s">
        <v>595</v>
      </c>
      <c r="CQ204" t="s">
        <v>649</v>
      </c>
      <c r="CR204" t="s">
        <v>650</v>
      </c>
      <c r="CS204" t="s">
        <v>542</v>
      </c>
      <c r="CT204">
        <v>360</v>
      </c>
      <c r="CU204">
        <v>5</v>
      </c>
      <c r="CV204">
        <v>1.2</v>
      </c>
      <c r="CW204">
        <v>1393</v>
      </c>
      <c r="CX204">
        <v>709</v>
      </c>
      <c r="DD204">
        <v>0</v>
      </c>
      <c r="DE204" t="s">
        <v>543</v>
      </c>
      <c r="DF204">
        <v>490</v>
      </c>
      <c r="DG204">
        <v>3</v>
      </c>
      <c r="DH204">
        <v>1.18</v>
      </c>
      <c r="DI204">
        <v>1391</v>
      </c>
      <c r="DJ204">
        <v>1136</v>
      </c>
      <c r="DW204" t="s">
        <v>544</v>
      </c>
      <c r="DX204">
        <v>7.5</v>
      </c>
      <c r="EA204">
        <v>1461.1</v>
      </c>
      <c r="EB204">
        <v>258</v>
      </c>
      <c r="EC204" t="s">
        <v>545</v>
      </c>
      <c r="ED204">
        <v>20</v>
      </c>
      <c r="EE204">
        <v>3</v>
      </c>
      <c r="EG204">
        <v>1502</v>
      </c>
      <c r="EH204">
        <v>145</v>
      </c>
      <c r="EJ204">
        <v>0</v>
      </c>
      <c r="EK204">
        <v>1</v>
      </c>
      <c r="EN204">
        <v>0</v>
      </c>
      <c r="EP204" t="s">
        <v>546</v>
      </c>
      <c r="EQ204">
        <v>65</v>
      </c>
      <c r="ER204">
        <v>3</v>
      </c>
      <c r="ES204">
        <v>4.5</v>
      </c>
      <c r="ET204">
        <v>1371</v>
      </c>
      <c r="EU204">
        <v>253.6</v>
      </c>
      <c r="EV204">
        <v>348</v>
      </c>
      <c r="EW204" t="s">
        <v>547</v>
      </c>
      <c r="EX204">
        <v>70</v>
      </c>
      <c r="EY204">
        <v>2</v>
      </c>
      <c r="EZ204">
        <v>4.5</v>
      </c>
      <c r="FA204">
        <v>1371</v>
      </c>
      <c r="FB204">
        <v>207.4</v>
      </c>
      <c r="FC204">
        <v>284</v>
      </c>
      <c r="FE204">
        <v>0</v>
      </c>
      <c r="FF204">
        <v>2</v>
      </c>
      <c r="FI204">
        <v>0</v>
      </c>
      <c r="FK204" t="s">
        <v>548</v>
      </c>
      <c r="FL204">
        <v>0.4</v>
      </c>
      <c r="FM204">
        <v>65</v>
      </c>
      <c r="FN204">
        <v>170</v>
      </c>
      <c r="FR204" t="s">
        <v>548</v>
      </c>
      <c r="FS204">
        <v>0.4</v>
      </c>
      <c r="FT204">
        <v>30</v>
      </c>
      <c r="FU204">
        <v>340</v>
      </c>
      <c r="FY204" t="s">
        <v>651</v>
      </c>
      <c r="FZ204">
        <v>1.6</v>
      </c>
      <c r="GA204">
        <v>20</v>
      </c>
      <c r="GB204">
        <v>191</v>
      </c>
      <c r="GG204" t="s">
        <v>651</v>
      </c>
      <c r="GH204">
        <v>1.6</v>
      </c>
      <c r="GI204">
        <v>20</v>
      </c>
      <c r="GJ204">
        <v>191</v>
      </c>
      <c r="HC204">
        <v>0.1</v>
      </c>
      <c r="HD204">
        <v>3</v>
      </c>
      <c r="HE204">
        <v>3</v>
      </c>
      <c r="HF204">
        <v>3</v>
      </c>
      <c r="HG204">
        <v>3</v>
      </c>
      <c r="HH204">
        <v>3</v>
      </c>
      <c r="HI204">
        <v>120</v>
      </c>
      <c r="HJ204">
        <v>3</v>
      </c>
      <c r="HK204">
        <v>55</v>
      </c>
      <c r="HL204">
        <v>2</v>
      </c>
      <c r="HM204">
        <v>0</v>
      </c>
      <c r="HN204">
        <v>2</v>
      </c>
      <c r="HO204">
        <v>50</v>
      </c>
      <c r="HP204">
        <v>3</v>
      </c>
      <c r="HQ204">
        <v>0</v>
      </c>
      <c r="HR204">
        <v>2</v>
      </c>
      <c r="HS204">
        <v>3915</v>
      </c>
      <c r="HT204">
        <v>120</v>
      </c>
      <c r="HU204">
        <v>180</v>
      </c>
      <c r="HW204">
        <v>0</v>
      </c>
      <c r="HX204">
        <v>440</v>
      </c>
      <c r="HY204">
        <v>0.18</v>
      </c>
      <c r="IA204">
        <v>0.15</v>
      </c>
      <c r="IB204">
        <v>0</v>
      </c>
      <c r="IC204">
        <v>180</v>
      </c>
      <c r="ID204">
        <v>110</v>
      </c>
      <c r="IE204">
        <v>0</v>
      </c>
      <c r="IF204">
        <v>0</v>
      </c>
      <c r="IH204" t="s">
        <v>549</v>
      </c>
      <c r="IO204">
        <v>1</v>
      </c>
      <c r="IP204">
        <v>18</v>
      </c>
      <c r="IQ204">
        <v>0</v>
      </c>
      <c r="IR204">
        <v>1</v>
      </c>
      <c r="IV204">
        <v>1381</v>
      </c>
      <c r="IW204">
        <v>382</v>
      </c>
      <c r="IY204">
        <v>290</v>
      </c>
      <c r="JA204">
        <v>1</v>
      </c>
      <c r="JB204">
        <v>0</v>
      </c>
      <c r="JC204">
        <v>2</v>
      </c>
      <c r="JD204">
        <v>1393</v>
      </c>
      <c r="JE204">
        <v>1391</v>
      </c>
      <c r="JF204">
        <v>0</v>
      </c>
      <c r="JG204">
        <v>1371</v>
      </c>
      <c r="JH204">
        <v>0</v>
      </c>
      <c r="JJ204">
        <v>180</v>
      </c>
      <c r="JK204">
        <v>440</v>
      </c>
      <c r="JN204">
        <v>360</v>
      </c>
      <c r="JO204">
        <v>490</v>
      </c>
      <c r="JP204">
        <v>0</v>
      </c>
      <c r="JQ204">
        <v>0</v>
      </c>
      <c r="JR204">
        <v>338</v>
      </c>
      <c r="JS204">
        <v>120</v>
      </c>
      <c r="JV204">
        <v>8</v>
      </c>
      <c r="JW204" t="s">
        <v>550</v>
      </c>
      <c r="JX204">
        <v>0</v>
      </c>
      <c r="KA204">
        <v>0</v>
      </c>
      <c r="KB204">
        <v>110</v>
      </c>
      <c r="KC204">
        <v>0</v>
      </c>
      <c r="KD204">
        <v>80</v>
      </c>
      <c r="KF204">
        <v>4</v>
      </c>
      <c r="KG204">
        <v>2</v>
      </c>
      <c r="KH204">
        <v>2</v>
      </c>
      <c r="KI204">
        <v>2</v>
      </c>
      <c r="KJ204">
        <v>0</v>
      </c>
      <c r="KK204">
        <v>1.5</v>
      </c>
      <c r="KL204">
        <v>1.5</v>
      </c>
      <c r="KM204">
        <v>0</v>
      </c>
      <c r="KN204">
        <v>0</v>
      </c>
      <c r="KO204">
        <v>0</v>
      </c>
      <c r="KR204">
        <v>50</v>
      </c>
      <c r="KS204">
        <v>60</v>
      </c>
      <c r="KT204">
        <v>0</v>
      </c>
      <c r="LK204">
        <v>480</v>
      </c>
      <c r="PG204">
        <v>1</v>
      </c>
      <c r="PI204" t="s">
        <v>2760</v>
      </c>
      <c r="PJ204" t="s">
        <v>2761</v>
      </c>
      <c r="PL204" t="s">
        <v>734</v>
      </c>
      <c r="PP204" t="s">
        <v>2762</v>
      </c>
      <c r="PX204">
        <v>56</v>
      </c>
      <c r="PY204">
        <v>56</v>
      </c>
      <c r="PZ204" t="s">
        <v>2760</v>
      </c>
      <c r="QA204">
        <v>2</v>
      </c>
      <c r="QB204">
        <v>1371</v>
      </c>
      <c r="QC204">
        <v>69</v>
      </c>
      <c r="QD204">
        <v>69</v>
      </c>
      <c r="QE204" t="s">
        <v>734</v>
      </c>
      <c r="QF204">
        <v>1</v>
      </c>
      <c r="QG204">
        <v>1393</v>
      </c>
      <c r="QH204">
        <v>66</v>
      </c>
      <c r="QI204">
        <v>66</v>
      </c>
      <c r="QL204">
        <v>0</v>
      </c>
      <c r="QM204">
        <v>63</v>
      </c>
      <c r="QN204">
        <v>63</v>
      </c>
      <c r="QO204" t="s">
        <v>2761</v>
      </c>
      <c r="QP204">
        <v>1</v>
      </c>
      <c r="QQ204">
        <v>1391</v>
      </c>
      <c r="QW204">
        <v>82</v>
      </c>
      <c r="QX204">
        <v>82</v>
      </c>
      <c r="QY204" t="s">
        <v>2762</v>
      </c>
      <c r="QZ204">
        <v>1</v>
      </c>
      <c r="RA204">
        <v>66</v>
      </c>
      <c r="RB204">
        <v>66</v>
      </c>
      <c r="RE204">
        <v>0</v>
      </c>
      <c r="RG204">
        <v>1</v>
      </c>
      <c r="RJ204">
        <v>1</v>
      </c>
      <c r="RL204">
        <v>2</v>
      </c>
      <c r="RO204">
        <v>509</v>
      </c>
      <c r="RQ204">
        <v>817</v>
      </c>
      <c r="RT204">
        <v>258</v>
      </c>
      <c r="RU204">
        <v>145</v>
      </c>
      <c r="RV204" t="s">
        <v>2150</v>
      </c>
      <c r="RW204" t="s">
        <v>679</v>
      </c>
      <c r="RX204">
        <v>15</v>
      </c>
      <c r="RY204">
        <v>4</v>
      </c>
      <c r="RZ204" t="s">
        <v>679</v>
      </c>
      <c r="SA204">
        <v>15</v>
      </c>
      <c r="SB204" t="s">
        <v>2763</v>
      </c>
      <c r="SC204" t="s">
        <v>2763</v>
      </c>
      <c r="SD204">
        <v>1</v>
      </c>
      <c r="SH204">
        <v>0.995</v>
      </c>
      <c r="SI204">
        <v>0.995</v>
      </c>
      <c r="SJ204">
        <v>0.995</v>
      </c>
      <c r="SK204">
        <v>15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TB204">
        <v>0</v>
      </c>
      <c r="TC204">
        <v>0</v>
      </c>
      <c r="TD204">
        <v>7.5</v>
      </c>
      <c r="TE204" t="s">
        <v>553</v>
      </c>
      <c r="TF204" t="s">
        <v>624</v>
      </c>
      <c r="TG204" t="s">
        <v>555</v>
      </c>
      <c r="TI204" t="s">
        <v>546</v>
      </c>
      <c r="TJ204" t="s">
        <v>547</v>
      </c>
      <c r="TL204" t="s">
        <v>2662</v>
      </c>
      <c r="TM204" t="s">
        <v>513</v>
      </c>
      <c r="TN204">
        <v>0</v>
      </c>
      <c r="TO204" t="s">
        <v>557</v>
      </c>
    </row>
    <row r="205" spans="1:535">
      <c r="A205" t="s">
        <v>2764</v>
      </c>
      <c r="B205" t="s">
        <v>804</v>
      </c>
      <c r="C205" t="s">
        <v>509</v>
      </c>
      <c r="D205" t="s">
        <v>2765</v>
      </c>
      <c r="G205" t="s">
        <v>1115</v>
      </c>
      <c r="I205" t="s">
        <v>562</v>
      </c>
      <c r="J205" t="s">
        <v>563</v>
      </c>
      <c r="L205" t="s">
        <v>512</v>
      </c>
      <c r="M205" t="s">
        <v>508</v>
      </c>
      <c r="N205" t="s">
        <v>513</v>
      </c>
      <c r="O205" t="s">
        <v>1255</v>
      </c>
      <c r="P205" t="s">
        <v>515</v>
      </c>
      <c r="Q205" t="s">
        <v>2766</v>
      </c>
      <c r="R205" t="s">
        <v>517</v>
      </c>
      <c r="S205" t="s">
        <v>2767</v>
      </c>
      <c r="T205" t="s">
        <v>867</v>
      </c>
      <c r="U205" t="s">
        <v>686</v>
      </c>
      <c r="V205" t="s">
        <v>687</v>
      </c>
      <c r="W205" t="s">
        <v>2577</v>
      </c>
      <c r="X205" t="s">
        <v>2657</v>
      </c>
      <c r="Y205" t="s">
        <v>524</v>
      </c>
      <c r="Z205" t="s">
        <v>2768</v>
      </c>
      <c r="AA205" t="s">
        <v>2769</v>
      </c>
      <c r="AB205" t="s">
        <v>2770</v>
      </c>
      <c r="AC205">
        <v>2</v>
      </c>
      <c r="AD205">
        <v>56</v>
      </c>
      <c r="AE205">
        <v>206</v>
      </c>
      <c r="AF205">
        <v>1.5</v>
      </c>
      <c r="AH205">
        <v>0</v>
      </c>
      <c r="AI205" t="s">
        <v>944</v>
      </c>
      <c r="AJ205">
        <v>187.5</v>
      </c>
      <c r="AK205">
        <v>1</v>
      </c>
      <c r="AL205">
        <v>1.5</v>
      </c>
      <c r="AM205" t="s">
        <v>579</v>
      </c>
      <c r="AN205" t="s">
        <v>693</v>
      </c>
      <c r="AO205">
        <v>2</v>
      </c>
      <c r="AP205" t="s">
        <v>581</v>
      </c>
      <c r="AQ205" t="s">
        <v>582</v>
      </c>
      <c r="AR205">
        <v>223</v>
      </c>
      <c r="AS205">
        <v>1.5</v>
      </c>
      <c r="AT205" t="s">
        <v>583</v>
      </c>
      <c r="AU205" t="s">
        <v>2771</v>
      </c>
      <c r="AW205" t="s">
        <v>2771</v>
      </c>
      <c r="AX205">
        <v>1</v>
      </c>
      <c r="AY205">
        <v>267.5</v>
      </c>
      <c r="AZ205">
        <v>1.5</v>
      </c>
      <c r="BA205" t="s">
        <v>579</v>
      </c>
      <c r="BB205" t="s">
        <v>2772</v>
      </c>
      <c r="BD205" t="s">
        <v>2772</v>
      </c>
      <c r="BE205">
        <v>1</v>
      </c>
      <c r="BF205">
        <v>227.5</v>
      </c>
      <c r="BG205">
        <v>1.5</v>
      </c>
      <c r="BJ205">
        <v>0</v>
      </c>
      <c r="BN205">
        <v>1.5</v>
      </c>
      <c r="BP205" t="s">
        <v>2773</v>
      </c>
      <c r="BQ205">
        <v>89</v>
      </c>
      <c r="BR205">
        <v>2</v>
      </c>
      <c r="BS205" t="s">
        <v>921</v>
      </c>
      <c r="BT205">
        <v>205</v>
      </c>
      <c r="BU205">
        <v>0.5</v>
      </c>
      <c r="BV205" t="s">
        <v>921</v>
      </c>
      <c r="BW205">
        <v>410</v>
      </c>
      <c r="BX205">
        <v>1</v>
      </c>
      <c r="BY205" t="s">
        <v>698</v>
      </c>
      <c r="BZ205">
        <v>300</v>
      </c>
      <c r="CA205">
        <v>480</v>
      </c>
      <c r="CB205" t="s">
        <v>699</v>
      </c>
      <c r="CC205" t="s">
        <v>699</v>
      </c>
      <c r="CD205">
        <v>430</v>
      </c>
      <c r="CE205" t="s">
        <v>700</v>
      </c>
      <c r="CF205">
        <v>15</v>
      </c>
      <c r="CG205" t="s">
        <v>783</v>
      </c>
      <c r="CH205" t="s">
        <v>783</v>
      </c>
      <c r="CI205">
        <v>90</v>
      </c>
      <c r="CJ205">
        <v>1458</v>
      </c>
      <c r="CK205">
        <v>2</v>
      </c>
      <c r="CL205">
        <v>1552</v>
      </c>
      <c r="CM205">
        <v>2</v>
      </c>
      <c r="CN205" t="s">
        <v>702</v>
      </c>
      <c r="CO205" t="s">
        <v>676</v>
      </c>
      <c r="CP205" t="s">
        <v>703</v>
      </c>
      <c r="CQ205" t="s">
        <v>596</v>
      </c>
      <c r="CR205" t="s">
        <v>541</v>
      </c>
      <c r="CS205" t="s">
        <v>542</v>
      </c>
      <c r="CT205">
        <v>375</v>
      </c>
      <c r="CU205">
        <v>5</v>
      </c>
      <c r="CV205">
        <v>1.2</v>
      </c>
      <c r="CW205">
        <v>1475</v>
      </c>
      <c r="CX205">
        <v>783</v>
      </c>
      <c r="CY205" t="s">
        <v>705</v>
      </c>
      <c r="CZ205">
        <v>50</v>
      </c>
      <c r="DA205">
        <v>3</v>
      </c>
      <c r="DB205">
        <v>1</v>
      </c>
      <c r="DC205">
        <v>1475</v>
      </c>
      <c r="DD205">
        <v>77</v>
      </c>
      <c r="DE205" t="s">
        <v>622</v>
      </c>
      <c r="DF205">
        <v>535</v>
      </c>
      <c r="DG205">
        <v>3</v>
      </c>
      <c r="DH205">
        <v>0.88</v>
      </c>
      <c r="DI205">
        <v>1467</v>
      </c>
      <c r="DJ205">
        <v>910</v>
      </c>
      <c r="DK205" t="s">
        <v>622</v>
      </c>
      <c r="DL205">
        <v>455</v>
      </c>
      <c r="DM205">
        <v>3</v>
      </c>
      <c r="DN205">
        <v>0.88</v>
      </c>
      <c r="DO205">
        <v>1472</v>
      </c>
      <c r="DP205">
        <v>777</v>
      </c>
      <c r="DW205" t="s">
        <v>544</v>
      </c>
      <c r="DX205">
        <v>7.5</v>
      </c>
      <c r="EA205">
        <v>1544.1</v>
      </c>
      <c r="EB205">
        <v>291</v>
      </c>
      <c r="EC205" t="s">
        <v>545</v>
      </c>
      <c r="ED205">
        <v>30</v>
      </c>
      <c r="EE205">
        <v>3</v>
      </c>
      <c r="EG205">
        <v>1585</v>
      </c>
      <c r="EH205">
        <v>187</v>
      </c>
      <c r="EJ205">
        <v>0</v>
      </c>
      <c r="EK205">
        <v>1</v>
      </c>
      <c r="EN205">
        <v>0</v>
      </c>
      <c r="EP205" t="s">
        <v>546</v>
      </c>
      <c r="EQ205">
        <v>90</v>
      </c>
      <c r="ER205">
        <v>3</v>
      </c>
      <c r="ES205">
        <v>5.5</v>
      </c>
      <c r="ET205">
        <v>1454</v>
      </c>
      <c r="EU205">
        <v>396.1</v>
      </c>
      <c r="EV205">
        <v>576</v>
      </c>
      <c r="EW205" t="s">
        <v>547</v>
      </c>
      <c r="EX205">
        <v>45</v>
      </c>
      <c r="EY205">
        <v>2</v>
      </c>
      <c r="EZ205">
        <v>4.5</v>
      </c>
      <c r="FA205">
        <v>1454</v>
      </c>
      <c r="FB205">
        <v>137.5</v>
      </c>
      <c r="FC205">
        <v>200</v>
      </c>
      <c r="FE205">
        <v>0</v>
      </c>
      <c r="FF205">
        <v>2</v>
      </c>
      <c r="FI205">
        <v>0</v>
      </c>
      <c r="FK205" t="s">
        <v>548</v>
      </c>
      <c r="FL205">
        <v>0.4</v>
      </c>
      <c r="FM205">
        <v>45</v>
      </c>
      <c r="FN205">
        <v>350</v>
      </c>
      <c r="FO205">
        <v>60</v>
      </c>
      <c r="FP205">
        <v>170</v>
      </c>
      <c r="GR205" t="s">
        <v>548</v>
      </c>
      <c r="GS205">
        <v>0.6</v>
      </c>
      <c r="GT205">
        <v>30</v>
      </c>
      <c r="GU205">
        <v>380</v>
      </c>
      <c r="GV205">
        <v>30</v>
      </c>
      <c r="GW205">
        <v>270</v>
      </c>
      <c r="HC205">
        <v>0.1</v>
      </c>
      <c r="HD205">
        <v>3</v>
      </c>
      <c r="HE205">
        <v>3</v>
      </c>
      <c r="HF205">
        <v>3</v>
      </c>
      <c r="HG205">
        <v>3</v>
      </c>
      <c r="HH205">
        <v>3</v>
      </c>
      <c r="HI205">
        <v>120</v>
      </c>
      <c r="HJ205">
        <v>3</v>
      </c>
      <c r="HK205">
        <v>30</v>
      </c>
      <c r="HL205">
        <v>2</v>
      </c>
      <c r="HM205">
        <v>0</v>
      </c>
      <c r="HN205">
        <v>2</v>
      </c>
      <c r="HO205">
        <v>75</v>
      </c>
      <c r="HP205">
        <v>3</v>
      </c>
      <c r="HQ205">
        <v>0</v>
      </c>
      <c r="HR205">
        <v>2</v>
      </c>
      <c r="HS205">
        <v>5132</v>
      </c>
      <c r="HT205">
        <v>150</v>
      </c>
      <c r="HU205">
        <v>180</v>
      </c>
      <c r="HW205">
        <v>0</v>
      </c>
      <c r="HX205">
        <v>430</v>
      </c>
      <c r="HY205">
        <v>0.18</v>
      </c>
      <c r="IA205">
        <v>0.15</v>
      </c>
      <c r="IB205">
        <v>0</v>
      </c>
      <c r="IC205">
        <v>180</v>
      </c>
      <c r="ID205">
        <v>110</v>
      </c>
      <c r="IE205">
        <v>225</v>
      </c>
      <c r="IF205">
        <v>0</v>
      </c>
      <c r="IH205" t="s">
        <v>549</v>
      </c>
      <c r="IO205">
        <v>3</v>
      </c>
      <c r="IP205">
        <v>19</v>
      </c>
      <c r="IQ205">
        <v>0</v>
      </c>
      <c r="IR205">
        <v>0</v>
      </c>
      <c r="IV205">
        <v>1458</v>
      </c>
      <c r="IW205">
        <v>410</v>
      </c>
      <c r="JA205">
        <v>1</v>
      </c>
      <c r="JB205">
        <v>0</v>
      </c>
      <c r="JC205">
        <v>2</v>
      </c>
      <c r="JD205">
        <v>1475</v>
      </c>
      <c r="JE205">
        <v>1467</v>
      </c>
      <c r="JF205">
        <v>1472</v>
      </c>
      <c r="JG205">
        <v>1454</v>
      </c>
      <c r="JH205">
        <v>0</v>
      </c>
      <c r="JJ205">
        <v>180</v>
      </c>
      <c r="JK205">
        <v>430</v>
      </c>
      <c r="JN205">
        <v>375</v>
      </c>
      <c r="JO205">
        <v>535</v>
      </c>
      <c r="JP205">
        <v>455</v>
      </c>
      <c r="JQ205">
        <v>0</v>
      </c>
      <c r="JR205">
        <v>412</v>
      </c>
      <c r="JS205">
        <v>120</v>
      </c>
      <c r="JV205">
        <v>8</v>
      </c>
      <c r="JW205" t="s">
        <v>550</v>
      </c>
      <c r="JX205">
        <v>446</v>
      </c>
      <c r="KA205">
        <v>225</v>
      </c>
      <c r="KB205">
        <v>110</v>
      </c>
      <c r="KC205">
        <v>0</v>
      </c>
      <c r="KD205">
        <v>80</v>
      </c>
      <c r="KF205">
        <v>4</v>
      </c>
      <c r="KG205">
        <v>2</v>
      </c>
      <c r="KH205">
        <v>2</v>
      </c>
      <c r="KI205">
        <v>2</v>
      </c>
      <c r="KJ205">
        <v>0</v>
      </c>
      <c r="KK205">
        <v>1.5</v>
      </c>
      <c r="KL205">
        <v>1.5</v>
      </c>
      <c r="KM205">
        <v>0</v>
      </c>
      <c r="KN205">
        <v>0</v>
      </c>
      <c r="KO205">
        <v>0</v>
      </c>
      <c r="KR205">
        <v>50</v>
      </c>
      <c r="KS205">
        <v>60</v>
      </c>
      <c r="KT205">
        <v>0</v>
      </c>
      <c r="LK205">
        <v>480</v>
      </c>
      <c r="PG205">
        <v>1</v>
      </c>
      <c r="PI205" t="s">
        <v>2770</v>
      </c>
      <c r="PJ205" t="s">
        <v>2771</v>
      </c>
      <c r="PK205" t="s">
        <v>2772</v>
      </c>
      <c r="PL205" t="s">
        <v>944</v>
      </c>
      <c r="PP205" t="s">
        <v>2773</v>
      </c>
      <c r="PS205" t="s">
        <v>693</v>
      </c>
      <c r="PX205">
        <v>56</v>
      </c>
      <c r="PY205">
        <v>56</v>
      </c>
      <c r="PZ205" t="s">
        <v>2770</v>
      </c>
      <c r="QA205">
        <v>1</v>
      </c>
      <c r="QB205">
        <v>1454</v>
      </c>
      <c r="QC205">
        <v>69</v>
      </c>
      <c r="QD205">
        <v>69</v>
      </c>
      <c r="QE205" t="s">
        <v>944</v>
      </c>
      <c r="QF205">
        <v>1</v>
      </c>
      <c r="QG205">
        <v>1475</v>
      </c>
      <c r="QH205">
        <v>66</v>
      </c>
      <c r="QI205">
        <v>66</v>
      </c>
      <c r="QJ205" t="s">
        <v>693</v>
      </c>
      <c r="QK205">
        <v>1</v>
      </c>
      <c r="QL205">
        <v>1475</v>
      </c>
      <c r="QM205">
        <v>62</v>
      </c>
      <c r="QN205">
        <v>62</v>
      </c>
      <c r="QO205" t="s">
        <v>2771</v>
      </c>
      <c r="QP205">
        <v>1</v>
      </c>
      <c r="QQ205">
        <v>1467</v>
      </c>
      <c r="QR205">
        <v>62</v>
      </c>
      <c r="QS205">
        <v>62</v>
      </c>
      <c r="QT205" t="s">
        <v>2772</v>
      </c>
      <c r="QU205">
        <v>1</v>
      </c>
      <c r="QV205">
        <v>1472</v>
      </c>
      <c r="QW205">
        <v>82</v>
      </c>
      <c r="QX205">
        <v>89</v>
      </c>
      <c r="QY205" t="s">
        <v>2773</v>
      </c>
      <c r="QZ205">
        <v>1</v>
      </c>
      <c r="RA205">
        <v>66</v>
      </c>
      <c r="RB205">
        <v>66</v>
      </c>
      <c r="RE205">
        <v>0</v>
      </c>
      <c r="RF205">
        <v>1</v>
      </c>
      <c r="RH205">
        <v>1</v>
      </c>
      <c r="RJ205">
        <v>2</v>
      </c>
      <c r="RK205">
        <v>2</v>
      </c>
      <c r="RL205">
        <v>3</v>
      </c>
      <c r="RM205">
        <v>3</v>
      </c>
      <c r="RO205">
        <v>531</v>
      </c>
      <c r="RP205">
        <v>105</v>
      </c>
      <c r="RQ205">
        <v>620</v>
      </c>
      <c r="RR205">
        <v>528</v>
      </c>
      <c r="RT205">
        <v>291</v>
      </c>
      <c r="RU205">
        <v>187</v>
      </c>
      <c r="RV205" t="s">
        <v>923</v>
      </c>
      <c r="RW205" t="s">
        <v>707</v>
      </c>
      <c r="RX205">
        <v>15</v>
      </c>
      <c r="RY205">
        <v>4</v>
      </c>
      <c r="RZ205" t="s">
        <v>707</v>
      </c>
      <c r="SA205">
        <v>15</v>
      </c>
      <c r="SC205" t="s">
        <v>2771</v>
      </c>
      <c r="SD205">
        <v>1</v>
      </c>
      <c r="SF205" t="s">
        <v>2772</v>
      </c>
      <c r="SG205">
        <v>1</v>
      </c>
      <c r="SH205">
        <v>0.995</v>
      </c>
      <c r="SI205">
        <v>0.995</v>
      </c>
      <c r="SJ205">
        <v>0.995</v>
      </c>
      <c r="SK205">
        <v>15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1</v>
      </c>
      <c r="SZ205">
        <v>1</v>
      </c>
      <c r="TB205">
        <v>0</v>
      </c>
      <c r="TC205">
        <v>0</v>
      </c>
      <c r="TD205">
        <v>7.5</v>
      </c>
      <c r="TE205" t="s">
        <v>553</v>
      </c>
      <c r="TF205" t="s">
        <v>655</v>
      </c>
      <c r="TG205" t="s">
        <v>555</v>
      </c>
      <c r="TI205" t="s">
        <v>546</v>
      </c>
      <c r="TJ205" t="s">
        <v>547</v>
      </c>
      <c r="TL205" t="s">
        <v>2662</v>
      </c>
      <c r="TM205" t="s">
        <v>513</v>
      </c>
      <c r="TN205">
        <v>0</v>
      </c>
      <c r="TO205" t="s">
        <v>557</v>
      </c>
    </row>
    <row r="206" spans="1:535">
      <c r="A206" t="s">
        <v>2774</v>
      </c>
      <c r="B206" t="s">
        <v>629</v>
      </c>
      <c r="C206" t="s">
        <v>509</v>
      </c>
      <c r="D206" t="s">
        <v>1738</v>
      </c>
      <c r="G206" t="s">
        <v>1088</v>
      </c>
      <c r="L206" t="s">
        <v>512</v>
      </c>
      <c r="M206" t="s">
        <v>711</v>
      </c>
      <c r="N206" t="s">
        <v>513</v>
      </c>
      <c r="O206" t="s">
        <v>565</v>
      </c>
      <c r="Q206" t="s">
        <v>2775</v>
      </c>
      <c r="R206" t="s">
        <v>517</v>
      </c>
      <c r="S206" t="s">
        <v>926</v>
      </c>
      <c r="T206" t="s">
        <v>927</v>
      </c>
      <c r="U206" t="s">
        <v>570</v>
      </c>
      <c r="V206" t="s">
        <v>571</v>
      </c>
      <c r="W206" t="s">
        <v>1241</v>
      </c>
      <c r="X206" t="s">
        <v>2657</v>
      </c>
      <c r="Y206" t="s">
        <v>524</v>
      </c>
      <c r="Z206" t="s">
        <v>2776</v>
      </c>
      <c r="AA206" t="s">
        <v>2777</v>
      </c>
      <c r="AB206" t="s">
        <v>2778</v>
      </c>
      <c r="AC206">
        <v>2</v>
      </c>
      <c r="AD206">
        <v>56</v>
      </c>
      <c r="AE206">
        <v>225</v>
      </c>
      <c r="AF206">
        <v>1.5</v>
      </c>
      <c r="AH206">
        <v>0</v>
      </c>
      <c r="AI206" t="s">
        <v>1179</v>
      </c>
      <c r="AJ206">
        <v>207.5</v>
      </c>
      <c r="AK206">
        <v>1</v>
      </c>
      <c r="AL206">
        <v>1.5</v>
      </c>
      <c r="AM206" t="s">
        <v>579</v>
      </c>
      <c r="AN206" t="s">
        <v>795</v>
      </c>
      <c r="AO206">
        <v>2</v>
      </c>
      <c r="AP206" t="s">
        <v>581</v>
      </c>
      <c r="AQ206" t="s">
        <v>582</v>
      </c>
      <c r="AR206">
        <v>256</v>
      </c>
      <c r="AS206">
        <v>1.5</v>
      </c>
      <c r="AT206" t="s">
        <v>583</v>
      </c>
      <c r="AU206" t="s">
        <v>2779</v>
      </c>
      <c r="AW206" t="s">
        <v>2779</v>
      </c>
      <c r="AX206">
        <v>1</v>
      </c>
      <c r="AY206">
        <v>292.5</v>
      </c>
      <c r="AZ206">
        <v>1.5</v>
      </c>
      <c r="BA206" t="s">
        <v>579</v>
      </c>
      <c r="BB206" t="s">
        <v>2780</v>
      </c>
      <c r="BD206" t="s">
        <v>2780</v>
      </c>
      <c r="BE206">
        <v>1</v>
      </c>
      <c r="BF206">
        <v>245</v>
      </c>
      <c r="BG206">
        <v>1.5</v>
      </c>
      <c r="BJ206">
        <v>0</v>
      </c>
      <c r="BN206">
        <v>1.5</v>
      </c>
      <c r="BP206" t="s">
        <v>2260</v>
      </c>
      <c r="BQ206" t="s">
        <v>587</v>
      </c>
      <c r="BR206">
        <v>2</v>
      </c>
      <c r="BS206" t="s">
        <v>799</v>
      </c>
      <c r="BT206">
        <v>224</v>
      </c>
      <c r="BU206">
        <v>0.5</v>
      </c>
      <c r="BV206" t="s">
        <v>799</v>
      </c>
      <c r="BW206">
        <v>448</v>
      </c>
      <c r="BX206">
        <v>1</v>
      </c>
      <c r="BY206" t="s">
        <v>589</v>
      </c>
      <c r="BZ206">
        <v>300</v>
      </c>
      <c r="CA206">
        <v>500</v>
      </c>
      <c r="CB206" t="s">
        <v>590</v>
      </c>
      <c r="CC206" t="s">
        <v>590</v>
      </c>
      <c r="CD206">
        <v>520</v>
      </c>
      <c r="CE206" t="s">
        <v>591</v>
      </c>
      <c r="CF206">
        <v>15</v>
      </c>
      <c r="CG206" t="s">
        <v>1290</v>
      </c>
      <c r="CH206" t="s">
        <v>1290</v>
      </c>
      <c r="CI206">
        <v>100</v>
      </c>
      <c r="CJ206">
        <v>1538</v>
      </c>
      <c r="CK206">
        <v>2</v>
      </c>
      <c r="CL206">
        <v>1632</v>
      </c>
      <c r="CM206">
        <v>2</v>
      </c>
      <c r="CN206" t="s">
        <v>593</v>
      </c>
      <c r="CO206" t="s">
        <v>594</v>
      </c>
      <c r="CP206" t="s">
        <v>595</v>
      </c>
      <c r="CQ206" t="s">
        <v>596</v>
      </c>
      <c r="CR206" t="s">
        <v>541</v>
      </c>
      <c r="CS206" t="s">
        <v>542</v>
      </c>
      <c r="CT206">
        <v>415</v>
      </c>
      <c r="CU206">
        <v>5</v>
      </c>
      <c r="CV206">
        <v>1.2</v>
      </c>
      <c r="CW206">
        <v>1554</v>
      </c>
      <c r="CX206">
        <v>912</v>
      </c>
      <c r="CY206" t="s">
        <v>705</v>
      </c>
      <c r="CZ206">
        <v>60</v>
      </c>
      <c r="DA206">
        <v>3</v>
      </c>
      <c r="DB206">
        <v>1</v>
      </c>
      <c r="DC206">
        <v>1554</v>
      </c>
      <c r="DD206">
        <v>97</v>
      </c>
      <c r="DE206" t="s">
        <v>622</v>
      </c>
      <c r="DF206">
        <v>585</v>
      </c>
      <c r="DG206">
        <v>3</v>
      </c>
      <c r="DH206">
        <v>0.88</v>
      </c>
      <c r="DI206">
        <v>1547</v>
      </c>
      <c r="DJ206">
        <v>1095</v>
      </c>
      <c r="DK206" t="s">
        <v>622</v>
      </c>
      <c r="DL206">
        <v>490</v>
      </c>
      <c r="DM206">
        <v>3</v>
      </c>
      <c r="DN206">
        <v>0.88</v>
      </c>
      <c r="DO206">
        <v>1552</v>
      </c>
      <c r="DP206">
        <v>832</v>
      </c>
      <c r="DW206" t="s">
        <v>544</v>
      </c>
      <c r="DX206">
        <v>7.5</v>
      </c>
      <c r="EA206">
        <v>1623.8</v>
      </c>
      <c r="EB206">
        <v>382</v>
      </c>
      <c r="EC206" t="s">
        <v>545</v>
      </c>
      <c r="ED206">
        <v>35</v>
      </c>
      <c r="EE206">
        <v>3</v>
      </c>
      <c r="EG206">
        <v>1675</v>
      </c>
      <c r="EH206">
        <v>235</v>
      </c>
      <c r="EJ206">
        <v>0</v>
      </c>
      <c r="EK206">
        <v>1</v>
      </c>
      <c r="EN206">
        <v>0</v>
      </c>
      <c r="EP206" t="s">
        <v>546</v>
      </c>
      <c r="EQ206">
        <v>115</v>
      </c>
      <c r="ER206">
        <v>3</v>
      </c>
      <c r="ES206">
        <v>5</v>
      </c>
      <c r="ET206">
        <v>1531</v>
      </c>
      <c r="EU206">
        <v>508.1</v>
      </c>
      <c r="EV206">
        <v>778</v>
      </c>
      <c r="EW206" t="s">
        <v>547</v>
      </c>
      <c r="EX206">
        <v>45</v>
      </c>
      <c r="EY206">
        <v>2</v>
      </c>
      <c r="EZ206">
        <v>4.5</v>
      </c>
      <c r="FA206">
        <v>1531</v>
      </c>
      <c r="FB206">
        <v>138.3</v>
      </c>
      <c r="FC206">
        <v>212</v>
      </c>
      <c r="FE206">
        <v>0</v>
      </c>
      <c r="FF206">
        <v>2</v>
      </c>
      <c r="FI206">
        <v>0</v>
      </c>
      <c r="FK206" t="s">
        <v>548</v>
      </c>
      <c r="FL206">
        <v>0.4</v>
      </c>
      <c r="FM206">
        <v>70</v>
      </c>
      <c r="FN206">
        <v>380</v>
      </c>
      <c r="FO206">
        <v>80</v>
      </c>
      <c r="FP206">
        <v>170</v>
      </c>
      <c r="GR206" t="s">
        <v>548</v>
      </c>
      <c r="GS206">
        <v>0.4</v>
      </c>
      <c r="GT206">
        <v>30</v>
      </c>
      <c r="GU206">
        <v>410</v>
      </c>
      <c r="GV206">
        <v>30</v>
      </c>
      <c r="GW206">
        <v>290</v>
      </c>
      <c r="HC206">
        <v>0.1</v>
      </c>
      <c r="HD206">
        <v>3</v>
      </c>
      <c r="HE206">
        <v>3</v>
      </c>
      <c r="HF206">
        <v>3</v>
      </c>
      <c r="HG206">
        <v>3</v>
      </c>
      <c r="HH206">
        <v>3</v>
      </c>
      <c r="HI206">
        <v>145</v>
      </c>
      <c r="HJ206">
        <v>3</v>
      </c>
      <c r="HK206">
        <v>30</v>
      </c>
      <c r="HL206">
        <v>2</v>
      </c>
      <c r="HM206">
        <v>0</v>
      </c>
      <c r="HN206">
        <v>2</v>
      </c>
      <c r="HO206">
        <v>100</v>
      </c>
      <c r="HP206">
        <v>3</v>
      </c>
      <c r="HQ206">
        <v>0</v>
      </c>
      <c r="HR206">
        <v>2</v>
      </c>
      <c r="HS206">
        <v>6247</v>
      </c>
      <c r="HT206">
        <v>190</v>
      </c>
      <c r="HU206">
        <v>180</v>
      </c>
      <c r="HW206">
        <v>0</v>
      </c>
      <c r="HX206">
        <v>580</v>
      </c>
      <c r="HY206">
        <v>0.18</v>
      </c>
      <c r="IA206">
        <v>0.15</v>
      </c>
      <c r="IB206">
        <v>0</v>
      </c>
      <c r="IC206">
        <v>180</v>
      </c>
      <c r="ID206">
        <v>110</v>
      </c>
      <c r="IE206">
        <v>225</v>
      </c>
      <c r="IF206">
        <v>0</v>
      </c>
      <c r="IH206" t="s">
        <v>549</v>
      </c>
      <c r="IO206">
        <v>3</v>
      </c>
      <c r="IP206">
        <v>20</v>
      </c>
      <c r="IQ206">
        <v>0</v>
      </c>
      <c r="IR206">
        <v>0</v>
      </c>
      <c r="IV206">
        <v>1538</v>
      </c>
      <c r="IW206">
        <v>448</v>
      </c>
      <c r="JA206">
        <v>1</v>
      </c>
      <c r="JB206">
        <v>0</v>
      </c>
      <c r="JC206">
        <v>2</v>
      </c>
      <c r="JD206">
        <v>1554</v>
      </c>
      <c r="JE206">
        <v>1547</v>
      </c>
      <c r="JF206">
        <v>1552</v>
      </c>
      <c r="JG206">
        <v>1531</v>
      </c>
      <c r="JH206">
        <v>0</v>
      </c>
      <c r="JJ206">
        <v>180</v>
      </c>
      <c r="JK206">
        <v>580</v>
      </c>
      <c r="JN206">
        <v>415</v>
      </c>
      <c r="JO206">
        <v>585</v>
      </c>
      <c r="JP206">
        <v>490</v>
      </c>
      <c r="JQ206">
        <v>0</v>
      </c>
      <c r="JR206">
        <v>450</v>
      </c>
      <c r="JS206">
        <v>145</v>
      </c>
      <c r="JV206">
        <v>8</v>
      </c>
      <c r="JW206" t="s">
        <v>550</v>
      </c>
      <c r="JX206">
        <v>512</v>
      </c>
      <c r="KA206">
        <v>225</v>
      </c>
      <c r="KB206">
        <v>110</v>
      </c>
      <c r="KC206">
        <v>0</v>
      </c>
      <c r="KD206">
        <v>80</v>
      </c>
      <c r="KF206">
        <v>4</v>
      </c>
      <c r="KG206">
        <v>4</v>
      </c>
      <c r="KH206">
        <v>2</v>
      </c>
      <c r="KI206">
        <v>2</v>
      </c>
      <c r="KJ206">
        <v>0</v>
      </c>
      <c r="KK206">
        <v>1.5</v>
      </c>
      <c r="KL206">
        <v>1.5</v>
      </c>
      <c r="KM206">
        <v>0</v>
      </c>
      <c r="KN206">
        <v>0</v>
      </c>
      <c r="KO206">
        <v>0</v>
      </c>
      <c r="KR206">
        <v>30</v>
      </c>
      <c r="KS206">
        <v>60</v>
      </c>
      <c r="KT206">
        <v>0</v>
      </c>
      <c r="LK206">
        <v>480</v>
      </c>
      <c r="PG206">
        <v>1</v>
      </c>
      <c r="PI206" t="s">
        <v>2778</v>
      </c>
      <c r="PJ206" t="s">
        <v>2779</v>
      </c>
      <c r="PK206" t="s">
        <v>2780</v>
      </c>
      <c r="PL206" t="s">
        <v>1179</v>
      </c>
      <c r="PP206" t="s">
        <v>2260</v>
      </c>
      <c r="PS206" t="s">
        <v>795</v>
      </c>
      <c r="PX206">
        <v>56</v>
      </c>
      <c r="PY206">
        <v>56</v>
      </c>
      <c r="PZ206" t="s">
        <v>2778</v>
      </c>
      <c r="QA206">
        <v>2</v>
      </c>
      <c r="QB206">
        <v>1531</v>
      </c>
      <c r="QC206">
        <v>69</v>
      </c>
      <c r="QD206">
        <v>69</v>
      </c>
      <c r="QE206" t="s">
        <v>1179</v>
      </c>
      <c r="QF206">
        <v>1</v>
      </c>
      <c r="QG206">
        <v>1554</v>
      </c>
      <c r="QH206">
        <v>66</v>
      </c>
      <c r="QI206">
        <v>66</v>
      </c>
      <c r="QJ206" t="s">
        <v>795</v>
      </c>
      <c r="QK206">
        <v>1</v>
      </c>
      <c r="QL206">
        <v>1554</v>
      </c>
      <c r="QM206">
        <v>62</v>
      </c>
      <c r="QN206">
        <v>62</v>
      </c>
      <c r="QO206" t="s">
        <v>2779</v>
      </c>
      <c r="QP206">
        <v>1</v>
      </c>
      <c r="QQ206">
        <v>1547</v>
      </c>
      <c r="QR206">
        <v>62</v>
      </c>
      <c r="QS206">
        <v>62</v>
      </c>
      <c r="QT206" t="s">
        <v>2780</v>
      </c>
      <c r="QU206">
        <v>1</v>
      </c>
      <c r="QV206">
        <v>1552</v>
      </c>
      <c r="QW206">
        <v>82</v>
      </c>
      <c r="QX206" t="s">
        <v>587</v>
      </c>
      <c r="QY206" t="s">
        <v>2260</v>
      </c>
      <c r="QZ206">
        <v>3</v>
      </c>
      <c r="RA206">
        <v>66</v>
      </c>
      <c r="RB206">
        <v>66</v>
      </c>
      <c r="RE206">
        <v>0</v>
      </c>
      <c r="RF206">
        <v>1</v>
      </c>
      <c r="RH206">
        <v>1</v>
      </c>
      <c r="RJ206">
        <v>1</v>
      </c>
      <c r="RK206">
        <v>2</v>
      </c>
      <c r="RL206">
        <v>4</v>
      </c>
      <c r="RM206">
        <v>4</v>
      </c>
      <c r="RO206">
        <v>587</v>
      </c>
      <c r="RP206">
        <v>125</v>
      </c>
      <c r="RQ206">
        <v>708</v>
      </c>
      <c r="RR206">
        <v>536</v>
      </c>
      <c r="RT206">
        <v>382</v>
      </c>
      <c r="RU206">
        <v>235</v>
      </c>
      <c r="RV206" t="s">
        <v>801</v>
      </c>
      <c r="RW206" t="s">
        <v>599</v>
      </c>
      <c r="RX206">
        <v>15</v>
      </c>
      <c r="RY206">
        <v>4</v>
      </c>
      <c r="RZ206" t="s">
        <v>599</v>
      </c>
      <c r="SA206">
        <v>15</v>
      </c>
      <c r="SC206" t="s">
        <v>2779</v>
      </c>
      <c r="SD206">
        <v>1</v>
      </c>
      <c r="SF206" t="s">
        <v>2780</v>
      </c>
      <c r="SG206">
        <v>1</v>
      </c>
      <c r="SH206">
        <v>0.995</v>
      </c>
      <c r="SI206">
        <v>0.995</v>
      </c>
      <c r="SJ206">
        <v>0.995</v>
      </c>
      <c r="SK206">
        <v>15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1</v>
      </c>
      <c r="SZ206">
        <v>1</v>
      </c>
      <c r="TB206">
        <v>0</v>
      </c>
      <c r="TC206">
        <v>0</v>
      </c>
      <c r="TD206">
        <v>7.5</v>
      </c>
      <c r="TE206" t="s">
        <v>553</v>
      </c>
      <c r="TF206" t="s">
        <v>681</v>
      </c>
      <c r="TG206" t="s">
        <v>555</v>
      </c>
      <c r="TI206" t="s">
        <v>546</v>
      </c>
      <c r="TJ206" t="s">
        <v>547</v>
      </c>
      <c r="TL206" t="s">
        <v>2662</v>
      </c>
      <c r="TM206" t="s">
        <v>513</v>
      </c>
      <c r="TN206">
        <v>0</v>
      </c>
      <c r="TO206" t="s">
        <v>601</v>
      </c>
    </row>
    <row r="207" spans="1:535">
      <c r="A207" t="s">
        <v>2781</v>
      </c>
      <c r="B207" t="s">
        <v>804</v>
      </c>
      <c r="C207" t="s">
        <v>509</v>
      </c>
      <c r="D207" t="s">
        <v>2782</v>
      </c>
      <c r="G207" t="s">
        <v>561</v>
      </c>
      <c r="I207" t="s">
        <v>562</v>
      </c>
      <c r="J207" t="s">
        <v>563</v>
      </c>
      <c r="L207" t="s">
        <v>512</v>
      </c>
      <c r="M207" t="s">
        <v>508</v>
      </c>
      <c r="N207" t="s">
        <v>513</v>
      </c>
      <c r="O207" t="s">
        <v>1255</v>
      </c>
      <c r="P207" t="s">
        <v>515</v>
      </c>
      <c r="Q207" t="s">
        <v>2783</v>
      </c>
      <c r="R207" t="s">
        <v>517</v>
      </c>
      <c r="S207" t="s">
        <v>1853</v>
      </c>
      <c r="T207" t="s">
        <v>820</v>
      </c>
      <c r="U207" t="s">
        <v>520</v>
      </c>
      <c r="V207" t="s">
        <v>521</v>
      </c>
      <c r="W207" t="s">
        <v>2656</v>
      </c>
      <c r="X207" t="s">
        <v>2657</v>
      </c>
      <c r="Y207" t="s">
        <v>524</v>
      </c>
      <c r="Z207" t="s">
        <v>2784</v>
      </c>
      <c r="AA207" t="s">
        <v>2785</v>
      </c>
      <c r="AB207" t="s">
        <v>2786</v>
      </c>
      <c r="AC207">
        <v>2</v>
      </c>
      <c r="AD207">
        <v>56</v>
      </c>
      <c r="AE207">
        <v>185</v>
      </c>
      <c r="AF207">
        <v>1.5</v>
      </c>
      <c r="AH207">
        <v>0</v>
      </c>
      <c r="AI207" t="s">
        <v>1723</v>
      </c>
      <c r="AJ207">
        <v>195</v>
      </c>
      <c r="AK207">
        <v>1</v>
      </c>
      <c r="AL207">
        <v>1.5</v>
      </c>
      <c r="AM207" t="s">
        <v>529</v>
      </c>
      <c r="AO207">
        <v>0</v>
      </c>
      <c r="AR207">
        <v>0</v>
      </c>
      <c r="AS207">
        <v>1.5</v>
      </c>
      <c r="AU207" t="s">
        <v>2787</v>
      </c>
      <c r="AW207" t="s">
        <v>2787</v>
      </c>
      <c r="AX207">
        <v>1</v>
      </c>
      <c r="AY207">
        <v>282.5</v>
      </c>
      <c r="AZ207">
        <v>1.5</v>
      </c>
      <c r="BA207" t="s">
        <v>529</v>
      </c>
      <c r="BB207" t="s">
        <v>2788</v>
      </c>
      <c r="BD207" t="s">
        <v>2788</v>
      </c>
      <c r="BE207">
        <v>1</v>
      </c>
      <c r="BF207">
        <v>230</v>
      </c>
      <c r="BG207">
        <v>1.5</v>
      </c>
      <c r="BJ207">
        <v>0</v>
      </c>
      <c r="BN207">
        <v>1.5</v>
      </c>
      <c r="BP207" t="s">
        <v>2163</v>
      </c>
      <c r="BQ207">
        <v>89</v>
      </c>
      <c r="BR207">
        <v>2</v>
      </c>
      <c r="BS207" t="s">
        <v>619</v>
      </c>
      <c r="BT207">
        <v>207</v>
      </c>
      <c r="BU207">
        <v>0.5</v>
      </c>
      <c r="BV207" t="s">
        <v>619</v>
      </c>
      <c r="BW207">
        <v>414</v>
      </c>
      <c r="BX207">
        <v>1</v>
      </c>
      <c r="BY207" t="s">
        <v>533</v>
      </c>
      <c r="BZ207">
        <v>300</v>
      </c>
      <c r="CA207">
        <v>480</v>
      </c>
      <c r="CB207" t="s">
        <v>534</v>
      </c>
      <c r="CC207" t="s">
        <v>534</v>
      </c>
      <c r="CD207">
        <v>430</v>
      </c>
      <c r="CE207" t="s">
        <v>535</v>
      </c>
      <c r="CF207">
        <v>15</v>
      </c>
      <c r="CG207" t="s">
        <v>620</v>
      </c>
      <c r="CH207" t="s">
        <v>620</v>
      </c>
      <c r="CI207">
        <v>90</v>
      </c>
      <c r="CJ207">
        <v>1200</v>
      </c>
      <c r="CK207">
        <v>2</v>
      </c>
      <c r="CL207">
        <v>1301</v>
      </c>
      <c r="CM207">
        <v>2</v>
      </c>
      <c r="CN207" t="s">
        <v>537</v>
      </c>
      <c r="CO207" t="s">
        <v>538</v>
      </c>
      <c r="CP207" t="s">
        <v>539</v>
      </c>
      <c r="CQ207" t="s">
        <v>621</v>
      </c>
      <c r="CR207" t="s">
        <v>541</v>
      </c>
      <c r="CS207" t="s">
        <v>542</v>
      </c>
      <c r="CT207">
        <v>390</v>
      </c>
      <c r="CU207">
        <v>5</v>
      </c>
      <c r="CV207">
        <v>1.2</v>
      </c>
      <c r="CW207">
        <v>1213</v>
      </c>
      <c r="CX207">
        <v>670</v>
      </c>
      <c r="DD207">
        <v>0</v>
      </c>
      <c r="DE207" t="s">
        <v>622</v>
      </c>
      <c r="DF207">
        <v>565</v>
      </c>
      <c r="DG207">
        <v>3</v>
      </c>
      <c r="DH207">
        <v>0.88</v>
      </c>
      <c r="DI207">
        <v>1210</v>
      </c>
      <c r="DJ207">
        <v>771</v>
      </c>
      <c r="DK207" t="s">
        <v>622</v>
      </c>
      <c r="DL207">
        <v>460</v>
      </c>
      <c r="DM207">
        <v>3</v>
      </c>
      <c r="DN207">
        <v>0.88</v>
      </c>
      <c r="DO207">
        <v>1216</v>
      </c>
      <c r="DP207">
        <v>615</v>
      </c>
      <c r="DW207" t="s">
        <v>544</v>
      </c>
      <c r="DX207">
        <v>7.5</v>
      </c>
      <c r="EA207">
        <v>1285.7</v>
      </c>
      <c r="EB207">
        <v>228</v>
      </c>
      <c r="EC207" t="s">
        <v>545</v>
      </c>
      <c r="ED207">
        <v>30</v>
      </c>
      <c r="EE207">
        <v>3</v>
      </c>
      <c r="EG207">
        <v>1327</v>
      </c>
      <c r="EH207">
        <v>157</v>
      </c>
      <c r="EJ207">
        <v>0</v>
      </c>
      <c r="EK207">
        <v>1</v>
      </c>
      <c r="EN207">
        <v>0</v>
      </c>
      <c r="EP207" t="s">
        <v>546</v>
      </c>
      <c r="EQ207">
        <v>115</v>
      </c>
      <c r="ER207">
        <v>3</v>
      </c>
      <c r="ES207">
        <v>5.5</v>
      </c>
      <c r="ET207">
        <v>1198</v>
      </c>
      <c r="EU207">
        <v>513</v>
      </c>
      <c r="EV207">
        <v>615</v>
      </c>
      <c r="EW207" t="s">
        <v>547</v>
      </c>
      <c r="EX207">
        <v>70</v>
      </c>
      <c r="EY207">
        <v>2</v>
      </c>
      <c r="EZ207">
        <v>4.5</v>
      </c>
      <c r="FA207">
        <v>1198</v>
      </c>
      <c r="FB207">
        <v>214</v>
      </c>
      <c r="FC207">
        <v>256</v>
      </c>
      <c r="FE207">
        <v>0</v>
      </c>
      <c r="FF207">
        <v>2</v>
      </c>
      <c r="FI207">
        <v>0</v>
      </c>
      <c r="FK207" t="s">
        <v>548</v>
      </c>
      <c r="FL207">
        <v>0.4</v>
      </c>
      <c r="FM207">
        <v>90</v>
      </c>
      <c r="FN207">
        <v>140</v>
      </c>
      <c r="GR207" t="s">
        <v>548</v>
      </c>
      <c r="GS207">
        <v>0.4</v>
      </c>
      <c r="GT207">
        <v>30</v>
      </c>
      <c r="GU207">
        <v>380</v>
      </c>
      <c r="GV207">
        <v>30</v>
      </c>
      <c r="GW207">
        <v>240</v>
      </c>
      <c r="HC207">
        <v>0.1</v>
      </c>
      <c r="HD207">
        <v>3</v>
      </c>
      <c r="HE207">
        <v>3</v>
      </c>
      <c r="HF207">
        <v>3</v>
      </c>
      <c r="HG207">
        <v>3</v>
      </c>
      <c r="HH207">
        <v>3</v>
      </c>
      <c r="HI207">
        <v>170</v>
      </c>
      <c r="HJ207">
        <v>3</v>
      </c>
      <c r="HK207">
        <v>55</v>
      </c>
      <c r="HL207">
        <v>2</v>
      </c>
      <c r="HM207">
        <v>0</v>
      </c>
      <c r="HN207">
        <v>2</v>
      </c>
      <c r="HO207">
        <v>100</v>
      </c>
      <c r="HP207">
        <v>3</v>
      </c>
      <c r="HQ207">
        <v>0</v>
      </c>
      <c r="HR207">
        <v>2</v>
      </c>
      <c r="HS207">
        <v>4568</v>
      </c>
      <c r="HT207">
        <v>140</v>
      </c>
      <c r="HU207">
        <v>180</v>
      </c>
      <c r="HW207">
        <v>0</v>
      </c>
      <c r="HX207">
        <v>480</v>
      </c>
      <c r="HY207">
        <v>0.18</v>
      </c>
      <c r="IA207">
        <v>0.15</v>
      </c>
      <c r="IB207">
        <v>0</v>
      </c>
      <c r="IC207">
        <v>180</v>
      </c>
      <c r="ID207">
        <v>110</v>
      </c>
      <c r="IE207">
        <v>225</v>
      </c>
      <c r="IF207">
        <v>0</v>
      </c>
      <c r="IH207" t="s">
        <v>549</v>
      </c>
      <c r="IO207">
        <v>3</v>
      </c>
      <c r="IP207">
        <v>16</v>
      </c>
      <c r="IQ207">
        <v>0</v>
      </c>
      <c r="IR207">
        <v>1</v>
      </c>
      <c r="IV207">
        <v>1200</v>
      </c>
      <c r="IW207">
        <v>414</v>
      </c>
      <c r="JA207">
        <v>1</v>
      </c>
      <c r="JB207">
        <v>0</v>
      </c>
      <c r="JC207">
        <v>2</v>
      </c>
      <c r="JD207">
        <v>1213</v>
      </c>
      <c r="JE207">
        <v>1210</v>
      </c>
      <c r="JF207">
        <v>1216</v>
      </c>
      <c r="JG207">
        <v>1198</v>
      </c>
      <c r="JH207">
        <v>0</v>
      </c>
      <c r="JJ207">
        <v>180</v>
      </c>
      <c r="JK207">
        <v>480</v>
      </c>
      <c r="JN207">
        <v>390</v>
      </c>
      <c r="JO207">
        <v>565</v>
      </c>
      <c r="JP207">
        <v>460</v>
      </c>
      <c r="JQ207">
        <v>0</v>
      </c>
      <c r="JR207">
        <v>370</v>
      </c>
      <c r="JS207">
        <v>170</v>
      </c>
      <c r="JV207">
        <v>8</v>
      </c>
      <c r="JW207" t="s">
        <v>550</v>
      </c>
      <c r="JX207">
        <v>0</v>
      </c>
      <c r="KA207">
        <v>225</v>
      </c>
      <c r="KB207">
        <v>110</v>
      </c>
      <c r="KC207">
        <v>0</v>
      </c>
      <c r="KD207">
        <v>80</v>
      </c>
      <c r="KF207">
        <v>4</v>
      </c>
      <c r="KG207">
        <v>2</v>
      </c>
      <c r="KH207">
        <v>2</v>
      </c>
      <c r="KI207">
        <v>2</v>
      </c>
      <c r="KJ207">
        <v>0</v>
      </c>
      <c r="KK207">
        <v>1.5</v>
      </c>
      <c r="KL207">
        <v>1.5</v>
      </c>
      <c r="KM207">
        <v>0</v>
      </c>
      <c r="KN207">
        <v>0</v>
      </c>
      <c r="KO207">
        <v>0</v>
      </c>
      <c r="KR207">
        <v>30</v>
      </c>
      <c r="KS207">
        <v>50</v>
      </c>
      <c r="KT207">
        <v>0</v>
      </c>
      <c r="LK207">
        <v>480</v>
      </c>
      <c r="PG207">
        <v>1</v>
      </c>
      <c r="PI207" t="s">
        <v>2786</v>
      </c>
      <c r="PJ207" t="s">
        <v>2787</v>
      </c>
      <c r="PK207" t="s">
        <v>2788</v>
      </c>
      <c r="PL207" t="s">
        <v>1723</v>
      </c>
      <c r="PP207" t="s">
        <v>2163</v>
      </c>
      <c r="PX207">
        <v>56</v>
      </c>
      <c r="PY207">
        <v>56</v>
      </c>
      <c r="PZ207" t="s">
        <v>2786</v>
      </c>
      <c r="QA207">
        <v>1</v>
      </c>
      <c r="QB207">
        <v>1198</v>
      </c>
      <c r="QC207">
        <v>69</v>
      </c>
      <c r="QD207">
        <v>69</v>
      </c>
      <c r="QE207" t="s">
        <v>1723</v>
      </c>
      <c r="QF207">
        <v>1</v>
      </c>
      <c r="QG207">
        <v>1213</v>
      </c>
      <c r="QH207">
        <v>66</v>
      </c>
      <c r="QI207">
        <v>66</v>
      </c>
      <c r="QL207">
        <v>0</v>
      </c>
      <c r="QM207">
        <v>62</v>
      </c>
      <c r="QN207">
        <v>62</v>
      </c>
      <c r="QO207" t="s">
        <v>2787</v>
      </c>
      <c r="QP207">
        <v>1</v>
      </c>
      <c r="QQ207">
        <v>1210</v>
      </c>
      <c r="QR207">
        <v>62</v>
      </c>
      <c r="QS207">
        <v>62</v>
      </c>
      <c r="QT207" t="s">
        <v>2788</v>
      </c>
      <c r="QU207">
        <v>1</v>
      </c>
      <c r="QV207">
        <v>1216</v>
      </c>
      <c r="QW207">
        <v>82</v>
      </c>
      <c r="QX207">
        <v>89</v>
      </c>
      <c r="QY207" t="s">
        <v>2163</v>
      </c>
      <c r="QZ207">
        <v>1</v>
      </c>
      <c r="RA207">
        <v>66</v>
      </c>
      <c r="RB207">
        <v>66</v>
      </c>
      <c r="RE207">
        <v>0</v>
      </c>
      <c r="RF207">
        <v>1</v>
      </c>
      <c r="RH207">
        <v>1</v>
      </c>
      <c r="RJ207">
        <v>1</v>
      </c>
      <c r="RL207">
        <v>4</v>
      </c>
      <c r="RM207">
        <v>4</v>
      </c>
      <c r="RO207">
        <v>552</v>
      </c>
      <c r="RQ207">
        <v>637</v>
      </c>
      <c r="RR207">
        <v>506</v>
      </c>
      <c r="RT207">
        <v>228</v>
      </c>
      <c r="RU207">
        <v>157</v>
      </c>
      <c r="RV207" t="s">
        <v>623</v>
      </c>
      <c r="RW207" t="s">
        <v>552</v>
      </c>
      <c r="RX207">
        <v>15</v>
      </c>
      <c r="RY207">
        <v>4</v>
      </c>
      <c r="RZ207" t="s">
        <v>552</v>
      </c>
      <c r="SA207">
        <v>15</v>
      </c>
      <c r="SC207" t="s">
        <v>2787</v>
      </c>
      <c r="SD207">
        <v>1</v>
      </c>
      <c r="SF207" t="s">
        <v>2788</v>
      </c>
      <c r="SG207">
        <v>1</v>
      </c>
      <c r="SH207">
        <v>0.995</v>
      </c>
      <c r="SI207">
        <v>0.995</v>
      </c>
      <c r="SJ207">
        <v>0.995</v>
      </c>
      <c r="SK207">
        <v>15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Z207">
        <v>1</v>
      </c>
      <c r="TB207">
        <v>0</v>
      </c>
      <c r="TC207">
        <v>0</v>
      </c>
      <c r="TD207">
        <v>7.5</v>
      </c>
      <c r="TE207" t="s">
        <v>553</v>
      </c>
      <c r="TF207" t="s">
        <v>624</v>
      </c>
      <c r="TG207" t="s">
        <v>555</v>
      </c>
      <c r="TI207" t="s">
        <v>546</v>
      </c>
      <c r="TJ207" t="s">
        <v>547</v>
      </c>
      <c r="TL207" t="s">
        <v>2662</v>
      </c>
      <c r="TM207" t="s">
        <v>513</v>
      </c>
      <c r="TN207">
        <v>0</v>
      </c>
      <c r="TO207" t="s">
        <v>557</v>
      </c>
    </row>
    <row r="208" spans="1:535">
      <c r="A208" t="s">
        <v>2789</v>
      </c>
      <c r="B208" t="s">
        <v>629</v>
      </c>
      <c r="C208" t="s">
        <v>509</v>
      </c>
      <c r="D208" t="s">
        <v>2790</v>
      </c>
      <c r="G208" t="s">
        <v>1135</v>
      </c>
      <c r="I208" t="s">
        <v>562</v>
      </c>
      <c r="J208" t="s">
        <v>563</v>
      </c>
      <c r="L208" t="s">
        <v>512</v>
      </c>
      <c r="M208" t="s">
        <v>711</v>
      </c>
      <c r="N208" t="s">
        <v>513</v>
      </c>
      <c r="O208" t="s">
        <v>1255</v>
      </c>
      <c r="P208" t="s">
        <v>515</v>
      </c>
      <c r="Q208" t="s">
        <v>2791</v>
      </c>
      <c r="R208" t="s">
        <v>517</v>
      </c>
      <c r="S208" t="s">
        <v>742</v>
      </c>
      <c r="T208" t="s">
        <v>743</v>
      </c>
      <c r="U208" t="s">
        <v>633</v>
      </c>
      <c r="V208" t="s">
        <v>634</v>
      </c>
      <c r="W208" t="s">
        <v>522</v>
      </c>
      <c r="X208" t="s">
        <v>2657</v>
      </c>
      <c r="Y208" t="s">
        <v>524</v>
      </c>
      <c r="Z208" t="s">
        <v>2792</v>
      </c>
      <c r="AA208" t="s">
        <v>2793</v>
      </c>
      <c r="AB208" t="s">
        <v>2794</v>
      </c>
      <c r="AC208">
        <v>2</v>
      </c>
      <c r="AD208">
        <v>56</v>
      </c>
      <c r="AE208">
        <v>160</v>
      </c>
      <c r="AF208">
        <v>1.5</v>
      </c>
      <c r="AH208">
        <v>0</v>
      </c>
      <c r="AI208" t="s">
        <v>2386</v>
      </c>
      <c r="AJ208">
        <v>170</v>
      </c>
      <c r="AK208">
        <v>1</v>
      </c>
      <c r="AL208">
        <v>1.5</v>
      </c>
      <c r="AM208" t="s">
        <v>529</v>
      </c>
      <c r="AO208">
        <v>0</v>
      </c>
      <c r="AR208">
        <v>0</v>
      </c>
      <c r="AS208">
        <v>1.5</v>
      </c>
      <c r="AV208" t="s">
        <v>2795</v>
      </c>
      <c r="AW208" t="s">
        <v>2795</v>
      </c>
      <c r="AX208">
        <v>1</v>
      </c>
      <c r="AY208">
        <v>237.5</v>
      </c>
      <c r="AZ208">
        <v>1.5</v>
      </c>
      <c r="BA208" t="s">
        <v>529</v>
      </c>
      <c r="BG208">
        <v>1.5</v>
      </c>
      <c r="BJ208">
        <v>0</v>
      </c>
      <c r="BN208">
        <v>1.5</v>
      </c>
      <c r="BP208" t="s">
        <v>2796</v>
      </c>
      <c r="BQ208">
        <v>82</v>
      </c>
      <c r="BR208">
        <v>2</v>
      </c>
      <c r="BS208" t="s">
        <v>947</v>
      </c>
      <c r="BT208">
        <v>182</v>
      </c>
      <c r="BU208">
        <v>0.5</v>
      </c>
      <c r="BV208" t="s">
        <v>947</v>
      </c>
      <c r="BW208">
        <v>364</v>
      </c>
      <c r="BX208">
        <v>1</v>
      </c>
      <c r="BY208" t="s">
        <v>643</v>
      </c>
      <c r="BZ208">
        <v>300</v>
      </c>
      <c r="CA208">
        <v>440</v>
      </c>
      <c r="CB208" t="s">
        <v>644</v>
      </c>
      <c r="CC208" t="s">
        <v>644</v>
      </c>
      <c r="CD208">
        <v>380</v>
      </c>
      <c r="CE208" t="s">
        <v>544</v>
      </c>
      <c r="CF208">
        <v>15</v>
      </c>
      <c r="CG208" t="s">
        <v>1024</v>
      </c>
      <c r="CH208" t="s">
        <v>1024</v>
      </c>
      <c r="CI208">
        <v>70</v>
      </c>
      <c r="CJ208">
        <v>1301</v>
      </c>
      <c r="CK208">
        <v>2</v>
      </c>
      <c r="CL208">
        <v>1395</v>
      </c>
      <c r="CM208">
        <v>2</v>
      </c>
      <c r="CN208" t="s">
        <v>646</v>
      </c>
      <c r="CO208" t="s">
        <v>647</v>
      </c>
      <c r="CP208" t="s">
        <v>648</v>
      </c>
      <c r="CQ208" t="s">
        <v>649</v>
      </c>
      <c r="CR208" t="s">
        <v>650</v>
      </c>
      <c r="CS208" t="s">
        <v>542</v>
      </c>
      <c r="CT208">
        <v>340</v>
      </c>
      <c r="CU208">
        <v>5</v>
      </c>
      <c r="CV208">
        <v>1.2</v>
      </c>
      <c r="CW208">
        <v>1314</v>
      </c>
      <c r="CX208">
        <v>632</v>
      </c>
      <c r="DD208">
        <v>0</v>
      </c>
      <c r="DE208" t="s">
        <v>543</v>
      </c>
      <c r="DF208">
        <v>475</v>
      </c>
      <c r="DG208">
        <v>3</v>
      </c>
      <c r="DH208">
        <v>1.18</v>
      </c>
      <c r="DI208">
        <v>1312</v>
      </c>
      <c r="DJ208">
        <v>1012</v>
      </c>
      <c r="DW208" t="s">
        <v>544</v>
      </c>
      <c r="DX208">
        <v>7.5</v>
      </c>
      <c r="EA208">
        <v>1381.4</v>
      </c>
      <c r="EB208">
        <v>245</v>
      </c>
      <c r="EC208" t="s">
        <v>545</v>
      </c>
      <c r="ED208">
        <v>20</v>
      </c>
      <c r="EE208">
        <v>3</v>
      </c>
      <c r="EG208">
        <v>1422</v>
      </c>
      <c r="EH208">
        <v>138</v>
      </c>
      <c r="EJ208">
        <v>0</v>
      </c>
      <c r="EK208">
        <v>1</v>
      </c>
      <c r="EN208">
        <v>0</v>
      </c>
      <c r="EP208" t="s">
        <v>546</v>
      </c>
      <c r="EQ208">
        <v>65</v>
      </c>
      <c r="ER208">
        <v>3</v>
      </c>
      <c r="ES208">
        <v>4</v>
      </c>
      <c r="ET208">
        <v>1289</v>
      </c>
      <c r="EU208">
        <v>224.3</v>
      </c>
      <c r="EV208">
        <v>289</v>
      </c>
      <c r="EW208" t="s">
        <v>547</v>
      </c>
      <c r="EX208">
        <v>70</v>
      </c>
      <c r="EY208">
        <v>2</v>
      </c>
      <c r="EZ208">
        <v>4.5</v>
      </c>
      <c r="FA208">
        <v>1289</v>
      </c>
      <c r="FB208">
        <v>223</v>
      </c>
      <c r="FC208">
        <v>287</v>
      </c>
      <c r="FE208">
        <v>0</v>
      </c>
      <c r="FF208">
        <v>2</v>
      </c>
      <c r="FI208">
        <v>0</v>
      </c>
      <c r="FK208" t="s">
        <v>548</v>
      </c>
      <c r="FL208">
        <v>0.4</v>
      </c>
      <c r="FM208">
        <v>65</v>
      </c>
      <c r="FN208">
        <v>150</v>
      </c>
      <c r="FR208" t="s">
        <v>548</v>
      </c>
      <c r="FS208">
        <v>0.4</v>
      </c>
      <c r="FT208">
        <v>30</v>
      </c>
      <c r="FU208">
        <v>330</v>
      </c>
      <c r="FY208" t="s">
        <v>651</v>
      </c>
      <c r="FZ208">
        <v>1</v>
      </c>
      <c r="GA208">
        <v>20</v>
      </c>
      <c r="GB208">
        <v>171</v>
      </c>
      <c r="GG208" t="s">
        <v>651</v>
      </c>
      <c r="GH208">
        <v>1</v>
      </c>
      <c r="GI208">
        <v>20</v>
      </c>
      <c r="GJ208">
        <v>171</v>
      </c>
      <c r="HC208">
        <v>0.1</v>
      </c>
      <c r="HD208">
        <v>3</v>
      </c>
      <c r="HE208">
        <v>3</v>
      </c>
      <c r="HF208">
        <v>3</v>
      </c>
      <c r="HG208">
        <v>3</v>
      </c>
      <c r="HH208">
        <v>3</v>
      </c>
      <c r="HI208">
        <v>120</v>
      </c>
      <c r="HJ208">
        <v>3</v>
      </c>
      <c r="HK208">
        <v>55</v>
      </c>
      <c r="HL208">
        <v>2</v>
      </c>
      <c r="HM208">
        <v>0</v>
      </c>
      <c r="HN208">
        <v>2</v>
      </c>
      <c r="HO208">
        <v>50</v>
      </c>
      <c r="HP208">
        <v>3</v>
      </c>
      <c r="HQ208">
        <v>0</v>
      </c>
      <c r="HR208">
        <v>2</v>
      </c>
      <c r="HS208">
        <v>3562</v>
      </c>
      <c r="HT208">
        <v>110</v>
      </c>
      <c r="HU208">
        <v>180</v>
      </c>
      <c r="HW208">
        <v>0</v>
      </c>
      <c r="HX208">
        <v>380</v>
      </c>
      <c r="HY208">
        <v>0.18</v>
      </c>
      <c r="IA208">
        <v>0.15</v>
      </c>
      <c r="IB208">
        <v>0</v>
      </c>
      <c r="IC208">
        <v>180</v>
      </c>
      <c r="ID208">
        <v>110</v>
      </c>
      <c r="IE208">
        <v>0</v>
      </c>
      <c r="IF208">
        <v>0</v>
      </c>
      <c r="IH208" t="s">
        <v>549</v>
      </c>
      <c r="IO208">
        <v>1</v>
      </c>
      <c r="IP208">
        <v>17</v>
      </c>
      <c r="IQ208">
        <v>0</v>
      </c>
      <c r="IR208">
        <v>1</v>
      </c>
      <c r="IV208">
        <v>1301</v>
      </c>
      <c r="IW208">
        <v>364</v>
      </c>
      <c r="JA208">
        <v>1</v>
      </c>
      <c r="JB208">
        <v>0</v>
      </c>
      <c r="JC208">
        <v>2</v>
      </c>
      <c r="JD208">
        <v>1314</v>
      </c>
      <c r="JE208">
        <v>1312</v>
      </c>
      <c r="JF208">
        <v>0</v>
      </c>
      <c r="JG208">
        <v>1289</v>
      </c>
      <c r="JH208">
        <v>0</v>
      </c>
      <c r="JJ208">
        <v>180</v>
      </c>
      <c r="JK208">
        <v>380</v>
      </c>
      <c r="JN208">
        <v>340</v>
      </c>
      <c r="JO208">
        <v>475</v>
      </c>
      <c r="JP208">
        <v>0</v>
      </c>
      <c r="JQ208">
        <v>0</v>
      </c>
      <c r="JR208">
        <v>320</v>
      </c>
      <c r="JS208">
        <v>120</v>
      </c>
      <c r="JV208">
        <v>8</v>
      </c>
      <c r="JW208" t="s">
        <v>550</v>
      </c>
      <c r="JX208">
        <v>0</v>
      </c>
      <c r="KA208">
        <v>0</v>
      </c>
      <c r="KB208">
        <v>110</v>
      </c>
      <c r="KC208">
        <v>0</v>
      </c>
      <c r="KD208">
        <v>80</v>
      </c>
      <c r="KF208">
        <v>4</v>
      </c>
      <c r="KG208">
        <v>4</v>
      </c>
      <c r="KH208">
        <v>2</v>
      </c>
      <c r="KI208">
        <v>2</v>
      </c>
      <c r="KJ208">
        <v>0</v>
      </c>
      <c r="KK208">
        <v>1.5</v>
      </c>
      <c r="KL208">
        <v>1.5</v>
      </c>
      <c r="KM208">
        <v>0</v>
      </c>
      <c r="KN208">
        <v>0</v>
      </c>
      <c r="KO208">
        <v>0</v>
      </c>
      <c r="KR208">
        <v>30</v>
      </c>
      <c r="KS208">
        <v>60</v>
      </c>
      <c r="KT208">
        <v>0</v>
      </c>
      <c r="LK208">
        <v>480</v>
      </c>
      <c r="PG208">
        <v>1</v>
      </c>
      <c r="PI208" t="s">
        <v>2794</v>
      </c>
      <c r="PJ208" t="s">
        <v>2795</v>
      </c>
      <c r="PL208" t="s">
        <v>2386</v>
      </c>
      <c r="PP208" t="s">
        <v>2796</v>
      </c>
      <c r="PX208">
        <v>56</v>
      </c>
      <c r="PY208">
        <v>56</v>
      </c>
      <c r="PZ208" t="s">
        <v>2794</v>
      </c>
      <c r="QA208">
        <v>1</v>
      </c>
      <c r="QB208">
        <v>1289</v>
      </c>
      <c r="QC208">
        <v>69</v>
      </c>
      <c r="QD208">
        <v>69</v>
      </c>
      <c r="QE208" t="s">
        <v>2386</v>
      </c>
      <c r="QF208">
        <v>1</v>
      </c>
      <c r="QG208">
        <v>1314</v>
      </c>
      <c r="QH208">
        <v>66</v>
      </c>
      <c r="QI208">
        <v>66</v>
      </c>
      <c r="QL208">
        <v>0</v>
      </c>
      <c r="QM208">
        <v>63</v>
      </c>
      <c r="QN208">
        <v>63</v>
      </c>
      <c r="QO208" t="s">
        <v>2795</v>
      </c>
      <c r="QP208">
        <v>1</v>
      </c>
      <c r="QQ208">
        <v>1312</v>
      </c>
      <c r="QW208">
        <v>82</v>
      </c>
      <c r="QX208">
        <v>82</v>
      </c>
      <c r="QY208" t="s">
        <v>2796</v>
      </c>
      <c r="QZ208">
        <v>1</v>
      </c>
      <c r="RA208">
        <v>66</v>
      </c>
      <c r="RB208">
        <v>66</v>
      </c>
      <c r="RE208">
        <v>0</v>
      </c>
      <c r="RG208">
        <v>1</v>
      </c>
      <c r="RJ208">
        <v>1</v>
      </c>
      <c r="RL208">
        <v>2</v>
      </c>
      <c r="RO208">
        <v>481</v>
      </c>
      <c r="RQ208">
        <v>771</v>
      </c>
      <c r="RT208">
        <v>245</v>
      </c>
      <c r="RU208">
        <v>138</v>
      </c>
      <c r="RV208" t="s">
        <v>949</v>
      </c>
      <c r="RW208" t="s">
        <v>653</v>
      </c>
      <c r="RX208">
        <v>15</v>
      </c>
      <c r="RY208">
        <v>4</v>
      </c>
      <c r="RZ208" t="s">
        <v>653</v>
      </c>
      <c r="SA208">
        <v>15</v>
      </c>
      <c r="SB208" t="s">
        <v>2797</v>
      </c>
      <c r="SC208" t="s">
        <v>2797</v>
      </c>
      <c r="SD208">
        <v>1</v>
      </c>
      <c r="SH208">
        <v>0.995</v>
      </c>
      <c r="SI208">
        <v>0.995</v>
      </c>
      <c r="SJ208">
        <v>0.995</v>
      </c>
      <c r="SK208">
        <v>15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TB208">
        <v>0</v>
      </c>
      <c r="TC208">
        <v>0</v>
      </c>
      <c r="TD208">
        <v>7.5</v>
      </c>
      <c r="TE208" t="s">
        <v>553</v>
      </c>
      <c r="TF208" t="s">
        <v>624</v>
      </c>
      <c r="TG208" t="s">
        <v>555</v>
      </c>
      <c r="TI208" t="s">
        <v>546</v>
      </c>
      <c r="TJ208" t="s">
        <v>547</v>
      </c>
      <c r="TL208" t="s">
        <v>2662</v>
      </c>
      <c r="TM208" t="s">
        <v>513</v>
      </c>
      <c r="TN208">
        <v>0</v>
      </c>
      <c r="TO208" t="s">
        <v>557</v>
      </c>
    </row>
    <row r="209" spans="1:535">
      <c r="A209" t="s">
        <v>2798</v>
      </c>
      <c r="B209" t="s">
        <v>629</v>
      </c>
      <c r="C209" t="s">
        <v>509</v>
      </c>
      <c r="D209" t="s">
        <v>1738</v>
      </c>
      <c r="G209" t="s">
        <v>511</v>
      </c>
      <c r="I209" t="s">
        <v>562</v>
      </c>
      <c r="L209" t="s">
        <v>512</v>
      </c>
      <c r="M209" t="s">
        <v>711</v>
      </c>
      <c r="N209" t="s">
        <v>513</v>
      </c>
      <c r="O209" t="s">
        <v>565</v>
      </c>
      <c r="Q209" t="s">
        <v>2799</v>
      </c>
      <c r="R209" t="s">
        <v>517</v>
      </c>
      <c r="S209" t="s">
        <v>660</v>
      </c>
      <c r="T209" t="s">
        <v>661</v>
      </c>
      <c r="U209" t="s">
        <v>662</v>
      </c>
      <c r="V209" t="s">
        <v>663</v>
      </c>
      <c r="W209" t="s">
        <v>2372</v>
      </c>
      <c r="X209" t="s">
        <v>2657</v>
      </c>
      <c r="Y209" t="s">
        <v>524</v>
      </c>
      <c r="Z209" t="s">
        <v>2800</v>
      </c>
      <c r="AA209" t="s">
        <v>2801</v>
      </c>
      <c r="AB209" t="s">
        <v>2802</v>
      </c>
      <c r="AC209">
        <v>2</v>
      </c>
      <c r="AD209">
        <v>56</v>
      </c>
      <c r="AE209">
        <v>184</v>
      </c>
      <c r="AF209">
        <v>1.5</v>
      </c>
      <c r="AH209">
        <v>0</v>
      </c>
      <c r="AI209" t="s">
        <v>1723</v>
      </c>
      <c r="AJ209">
        <v>195</v>
      </c>
      <c r="AK209">
        <v>1</v>
      </c>
      <c r="AL209">
        <v>1.5</v>
      </c>
      <c r="AM209" t="s">
        <v>529</v>
      </c>
      <c r="AO209">
        <v>0</v>
      </c>
      <c r="AR209">
        <v>0</v>
      </c>
      <c r="AS209">
        <v>1.5</v>
      </c>
      <c r="AU209" t="s">
        <v>2803</v>
      </c>
      <c r="AW209" t="s">
        <v>2803</v>
      </c>
      <c r="AX209">
        <v>1</v>
      </c>
      <c r="AY209">
        <v>270</v>
      </c>
      <c r="AZ209">
        <v>1.5</v>
      </c>
      <c r="BA209" t="s">
        <v>529</v>
      </c>
      <c r="BG209">
        <v>1.5</v>
      </c>
      <c r="BJ209">
        <v>0</v>
      </c>
      <c r="BN209">
        <v>1.5</v>
      </c>
      <c r="BP209" t="s">
        <v>2731</v>
      </c>
      <c r="BQ209">
        <v>88</v>
      </c>
      <c r="BR209">
        <v>2</v>
      </c>
      <c r="BS209" t="s">
        <v>2149</v>
      </c>
      <c r="BT209">
        <v>206</v>
      </c>
      <c r="BU209">
        <v>0.5</v>
      </c>
      <c r="BV209" t="s">
        <v>2149</v>
      </c>
      <c r="BW209">
        <v>412</v>
      </c>
      <c r="BX209">
        <v>1</v>
      </c>
      <c r="BY209" t="s">
        <v>643</v>
      </c>
      <c r="BZ209">
        <v>290</v>
      </c>
      <c r="CA209">
        <v>470</v>
      </c>
      <c r="CB209" t="s">
        <v>672</v>
      </c>
      <c r="CC209" t="s">
        <v>672</v>
      </c>
      <c r="CD209">
        <v>430</v>
      </c>
      <c r="CE209" t="s">
        <v>673</v>
      </c>
      <c r="CF209">
        <v>15</v>
      </c>
      <c r="CG209" t="s">
        <v>769</v>
      </c>
      <c r="CH209" t="s">
        <v>769</v>
      </c>
      <c r="CI209">
        <v>90</v>
      </c>
      <c r="CJ209">
        <v>1381</v>
      </c>
      <c r="CK209">
        <v>2</v>
      </c>
      <c r="CL209">
        <v>1475</v>
      </c>
      <c r="CM209">
        <v>2</v>
      </c>
      <c r="CN209" t="s">
        <v>675</v>
      </c>
      <c r="CO209" t="s">
        <v>676</v>
      </c>
      <c r="CP209" t="s">
        <v>595</v>
      </c>
      <c r="CQ209" t="s">
        <v>540</v>
      </c>
      <c r="CR209" t="s">
        <v>541</v>
      </c>
      <c r="CS209" t="s">
        <v>542</v>
      </c>
      <c r="CT209">
        <v>390</v>
      </c>
      <c r="CU209">
        <v>5</v>
      </c>
      <c r="CV209">
        <v>1.2</v>
      </c>
      <c r="CW209">
        <v>1393</v>
      </c>
      <c r="CX209">
        <v>769</v>
      </c>
      <c r="DD209">
        <v>0</v>
      </c>
      <c r="DE209" t="s">
        <v>543</v>
      </c>
      <c r="DF209">
        <v>540</v>
      </c>
      <c r="DG209">
        <v>3</v>
      </c>
      <c r="DH209">
        <v>1.18</v>
      </c>
      <c r="DI209">
        <v>1391</v>
      </c>
      <c r="DJ209">
        <v>1160</v>
      </c>
      <c r="DW209" t="s">
        <v>544</v>
      </c>
      <c r="DX209">
        <v>7.5</v>
      </c>
      <c r="EA209">
        <v>1461.1</v>
      </c>
      <c r="EB209">
        <v>258</v>
      </c>
      <c r="EC209" t="s">
        <v>545</v>
      </c>
      <c r="ED209">
        <v>25</v>
      </c>
      <c r="EE209">
        <v>3</v>
      </c>
      <c r="EG209">
        <v>1502</v>
      </c>
      <c r="EH209">
        <v>143</v>
      </c>
      <c r="EJ209">
        <v>0</v>
      </c>
      <c r="EK209">
        <v>1</v>
      </c>
      <c r="EN209">
        <v>0</v>
      </c>
      <c r="EP209" t="s">
        <v>546</v>
      </c>
      <c r="EQ209">
        <v>110</v>
      </c>
      <c r="ER209">
        <v>3</v>
      </c>
      <c r="ES209">
        <v>5.5</v>
      </c>
      <c r="ET209">
        <v>1378</v>
      </c>
      <c r="EU209">
        <v>498.6</v>
      </c>
      <c r="EV209">
        <v>687</v>
      </c>
      <c r="EW209" t="s">
        <v>547</v>
      </c>
      <c r="EX209">
        <v>65</v>
      </c>
      <c r="EY209">
        <v>2</v>
      </c>
      <c r="EZ209">
        <v>4.5</v>
      </c>
      <c r="FA209">
        <v>1378</v>
      </c>
      <c r="FB209">
        <v>191.3</v>
      </c>
      <c r="FC209">
        <v>264</v>
      </c>
      <c r="FE209">
        <v>0</v>
      </c>
      <c r="FF209">
        <v>2</v>
      </c>
      <c r="FI209">
        <v>0</v>
      </c>
      <c r="FK209" t="s">
        <v>548</v>
      </c>
      <c r="FL209">
        <v>0.4</v>
      </c>
      <c r="FM209">
        <v>85</v>
      </c>
      <c r="FN209">
        <v>140</v>
      </c>
      <c r="FR209" t="s">
        <v>548</v>
      </c>
      <c r="FS209">
        <v>0.4</v>
      </c>
      <c r="FT209">
        <v>30</v>
      </c>
      <c r="FU209">
        <v>380</v>
      </c>
      <c r="HC209">
        <v>0.1</v>
      </c>
      <c r="HD209">
        <v>3</v>
      </c>
      <c r="HE209">
        <v>3</v>
      </c>
      <c r="HF209">
        <v>3</v>
      </c>
      <c r="HG209">
        <v>3</v>
      </c>
      <c r="HH209">
        <v>3</v>
      </c>
      <c r="HI209">
        <v>160</v>
      </c>
      <c r="HJ209">
        <v>3</v>
      </c>
      <c r="HK209">
        <v>50</v>
      </c>
      <c r="HL209">
        <v>2</v>
      </c>
      <c r="HM209">
        <v>0</v>
      </c>
      <c r="HN209">
        <v>2</v>
      </c>
      <c r="HO209">
        <v>95</v>
      </c>
      <c r="HP209">
        <v>3</v>
      </c>
      <c r="HQ209">
        <v>0</v>
      </c>
      <c r="HR209">
        <v>2</v>
      </c>
      <c r="HS209">
        <v>4633</v>
      </c>
      <c r="HT209">
        <v>140</v>
      </c>
      <c r="HU209">
        <v>180</v>
      </c>
      <c r="HW209">
        <v>0</v>
      </c>
      <c r="HX209">
        <v>450</v>
      </c>
      <c r="HY209">
        <v>0.18</v>
      </c>
      <c r="IA209">
        <v>0.15</v>
      </c>
      <c r="IB209">
        <v>0</v>
      </c>
      <c r="IC209">
        <v>180</v>
      </c>
      <c r="ID209">
        <v>110</v>
      </c>
      <c r="IE209">
        <v>0</v>
      </c>
      <c r="IF209">
        <v>0</v>
      </c>
      <c r="IH209" t="s">
        <v>549</v>
      </c>
      <c r="IO209">
        <v>1</v>
      </c>
      <c r="IP209">
        <v>18</v>
      </c>
      <c r="IQ209">
        <v>0</v>
      </c>
      <c r="IR209">
        <v>1</v>
      </c>
      <c r="IV209">
        <v>1381</v>
      </c>
      <c r="IW209">
        <v>412</v>
      </c>
      <c r="IY209">
        <v>290</v>
      </c>
      <c r="JA209">
        <v>1</v>
      </c>
      <c r="JB209">
        <v>0</v>
      </c>
      <c r="JC209">
        <v>2</v>
      </c>
      <c r="JD209">
        <v>1393</v>
      </c>
      <c r="JE209">
        <v>1391</v>
      </c>
      <c r="JF209">
        <v>0</v>
      </c>
      <c r="JG209">
        <v>1378</v>
      </c>
      <c r="JH209">
        <v>0</v>
      </c>
      <c r="JJ209">
        <v>180</v>
      </c>
      <c r="JK209">
        <v>450</v>
      </c>
      <c r="JN209">
        <v>390</v>
      </c>
      <c r="JO209">
        <v>540</v>
      </c>
      <c r="JP209">
        <v>0</v>
      </c>
      <c r="JQ209">
        <v>0</v>
      </c>
      <c r="JR209">
        <v>368</v>
      </c>
      <c r="JS209">
        <v>160</v>
      </c>
      <c r="JV209">
        <v>8</v>
      </c>
      <c r="JW209" t="s">
        <v>550</v>
      </c>
      <c r="JX209">
        <v>0</v>
      </c>
      <c r="KA209">
        <v>0</v>
      </c>
      <c r="KB209">
        <v>110</v>
      </c>
      <c r="KC209">
        <v>0</v>
      </c>
      <c r="KD209">
        <v>80</v>
      </c>
      <c r="KF209">
        <v>4</v>
      </c>
      <c r="KG209">
        <v>2</v>
      </c>
      <c r="KH209">
        <v>2</v>
      </c>
      <c r="KI209">
        <v>2</v>
      </c>
      <c r="KJ209">
        <v>0</v>
      </c>
      <c r="KK209">
        <v>1.5</v>
      </c>
      <c r="KL209">
        <v>1.5</v>
      </c>
      <c r="KM209">
        <v>0</v>
      </c>
      <c r="KN209">
        <v>0</v>
      </c>
      <c r="KO209">
        <v>0</v>
      </c>
      <c r="KR209">
        <v>30</v>
      </c>
      <c r="KS209">
        <v>60</v>
      </c>
      <c r="KT209">
        <v>0</v>
      </c>
      <c r="LK209">
        <v>480</v>
      </c>
      <c r="PG209">
        <v>1</v>
      </c>
      <c r="PI209" t="s">
        <v>2802</v>
      </c>
      <c r="PJ209" t="s">
        <v>2803</v>
      </c>
      <c r="PL209" t="s">
        <v>1723</v>
      </c>
      <c r="PP209" t="s">
        <v>2731</v>
      </c>
      <c r="PX209">
        <v>56</v>
      </c>
      <c r="PY209">
        <v>56</v>
      </c>
      <c r="PZ209" t="s">
        <v>2802</v>
      </c>
      <c r="QA209">
        <v>1</v>
      </c>
      <c r="QB209">
        <v>1378</v>
      </c>
      <c r="QC209">
        <v>69</v>
      </c>
      <c r="QD209">
        <v>69</v>
      </c>
      <c r="QE209" t="s">
        <v>1723</v>
      </c>
      <c r="QF209">
        <v>1</v>
      </c>
      <c r="QG209">
        <v>1393</v>
      </c>
      <c r="QH209">
        <v>66</v>
      </c>
      <c r="QI209">
        <v>66</v>
      </c>
      <c r="QL209">
        <v>0</v>
      </c>
      <c r="QM209">
        <v>62</v>
      </c>
      <c r="QN209">
        <v>62</v>
      </c>
      <c r="QO209" t="s">
        <v>2803</v>
      </c>
      <c r="QP209">
        <v>1</v>
      </c>
      <c r="QQ209">
        <v>1391</v>
      </c>
      <c r="QW209">
        <v>82</v>
      </c>
      <c r="QX209">
        <v>88</v>
      </c>
      <c r="QY209" t="s">
        <v>2731</v>
      </c>
      <c r="QZ209">
        <v>1</v>
      </c>
      <c r="RA209">
        <v>66</v>
      </c>
      <c r="RB209">
        <v>66</v>
      </c>
      <c r="RE209">
        <v>0</v>
      </c>
      <c r="RF209">
        <v>1</v>
      </c>
      <c r="RJ209">
        <v>1</v>
      </c>
      <c r="RL209">
        <v>2</v>
      </c>
      <c r="RO209">
        <v>552</v>
      </c>
      <c r="RQ209">
        <v>834</v>
      </c>
      <c r="RT209">
        <v>258</v>
      </c>
      <c r="RU209">
        <v>143</v>
      </c>
      <c r="RV209" t="s">
        <v>2150</v>
      </c>
      <c r="RW209" t="s">
        <v>679</v>
      </c>
      <c r="RX209">
        <v>15</v>
      </c>
      <c r="RY209">
        <v>4</v>
      </c>
      <c r="RZ209" t="s">
        <v>679</v>
      </c>
      <c r="SA209">
        <v>15</v>
      </c>
      <c r="SC209" t="s">
        <v>2803</v>
      </c>
      <c r="SD209">
        <v>1</v>
      </c>
      <c r="SH209">
        <v>0.995</v>
      </c>
      <c r="SI209">
        <v>0.995</v>
      </c>
      <c r="SJ209">
        <v>0.995</v>
      </c>
      <c r="SK209">
        <v>15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TB209">
        <v>0</v>
      </c>
      <c r="TC209">
        <v>0</v>
      </c>
      <c r="TD209">
        <v>7.5</v>
      </c>
      <c r="TE209" t="s">
        <v>553</v>
      </c>
      <c r="TF209" t="s">
        <v>624</v>
      </c>
      <c r="TG209" t="s">
        <v>555</v>
      </c>
      <c r="TI209" t="s">
        <v>546</v>
      </c>
      <c r="TJ209" t="s">
        <v>547</v>
      </c>
      <c r="TL209" t="s">
        <v>2662</v>
      </c>
      <c r="TM209" t="s">
        <v>513</v>
      </c>
      <c r="TN209">
        <v>0</v>
      </c>
      <c r="TO209" t="s">
        <v>557</v>
      </c>
    </row>
    <row r="210" spans="1:535">
      <c r="A210" t="s">
        <v>2804</v>
      </c>
      <c r="B210" t="s">
        <v>711</v>
      </c>
      <c r="C210" t="s">
        <v>509</v>
      </c>
      <c r="D210" t="s">
        <v>2805</v>
      </c>
      <c r="G210" t="s">
        <v>561</v>
      </c>
      <c r="I210" t="s">
        <v>562</v>
      </c>
      <c r="J210" t="s">
        <v>563</v>
      </c>
      <c r="L210" t="s">
        <v>512</v>
      </c>
      <c r="M210" t="s">
        <v>804</v>
      </c>
      <c r="N210" t="s">
        <v>513</v>
      </c>
      <c r="O210" t="s">
        <v>1942</v>
      </c>
      <c r="P210" t="s">
        <v>515</v>
      </c>
      <c r="Q210" t="s">
        <v>2806</v>
      </c>
      <c r="R210" t="s">
        <v>517</v>
      </c>
      <c r="S210" t="s">
        <v>2807</v>
      </c>
      <c r="T210" t="s">
        <v>2808</v>
      </c>
      <c r="U210" t="s">
        <v>686</v>
      </c>
      <c r="V210" t="s">
        <v>687</v>
      </c>
      <c r="W210" t="s">
        <v>2809</v>
      </c>
      <c r="X210" t="s">
        <v>2657</v>
      </c>
      <c r="Y210" t="s">
        <v>574</v>
      </c>
      <c r="Z210" t="s">
        <v>2810</v>
      </c>
      <c r="AA210" t="s">
        <v>2811</v>
      </c>
      <c r="AB210" t="s">
        <v>2812</v>
      </c>
      <c r="AC210">
        <v>2</v>
      </c>
      <c r="AD210">
        <v>56</v>
      </c>
      <c r="AE210">
        <v>232</v>
      </c>
      <c r="AF210">
        <v>1.5</v>
      </c>
      <c r="AH210">
        <v>0</v>
      </c>
      <c r="AI210" t="s">
        <v>1572</v>
      </c>
      <c r="AJ210">
        <v>212.5</v>
      </c>
      <c r="AK210">
        <v>1</v>
      </c>
      <c r="AL210">
        <v>1.5</v>
      </c>
      <c r="AM210" t="s">
        <v>579</v>
      </c>
      <c r="AN210" t="s">
        <v>693</v>
      </c>
      <c r="AO210">
        <v>2</v>
      </c>
      <c r="AP210" t="s">
        <v>581</v>
      </c>
      <c r="AQ210" t="s">
        <v>582</v>
      </c>
      <c r="AR210">
        <v>249</v>
      </c>
      <c r="AS210">
        <v>1.5</v>
      </c>
      <c r="AT210" t="s">
        <v>583</v>
      </c>
      <c r="AU210" t="s">
        <v>2813</v>
      </c>
      <c r="AW210" t="s">
        <v>2813</v>
      </c>
      <c r="AX210">
        <v>1</v>
      </c>
      <c r="AY210">
        <v>302.5</v>
      </c>
      <c r="AZ210">
        <v>1.5</v>
      </c>
      <c r="BA210" t="s">
        <v>579</v>
      </c>
      <c r="BB210" t="s">
        <v>2814</v>
      </c>
      <c r="BD210" t="s">
        <v>2814</v>
      </c>
      <c r="BE210">
        <v>1</v>
      </c>
      <c r="BF210">
        <v>250</v>
      </c>
      <c r="BG210">
        <v>1.5</v>
      </c>
      <c r="BJ210">
        <v>0</v>
      </c>
      <c r="BN210">
        <v>1.5</v>
      </c>
      <c r="BP210" t="s">
        <v>2815</v>
      </c>
      <c r="BQ210">
        <v>89</v>
      </c>
      <c r="BR210">
        <v>2</v>
      </c>
      <c r="BS210" t="s">
        <v>1052</v>
      </c>
      <c r="BT210">
        <v>230</v>
      </c>
      <c r="BU210">
        <v>0.5</v>
      </c>
      <c r="BV210" t="s">
        <v>1052</v>
      </c>
      <c r="BW210">
        <v>460</v>
      </c>
      <c r="BX210">
        <v>1</v>
      </c>
      <c r="BY210" t="s">
        <v>698</v>
      </c>
      <c r="BZ210">
        <v>470</v>
      </c>
      <c r="CA210">
        <v>530</v>
      </c>
      <c r="CB210" t="s">
        <v>699</v>
      </c>
      <c r="CC210" t="s">
        <v>699</v>
      </c>
      <c r="CD210">
        <v>480</v>
      </c>
      <c r="CE210" t="s">
        <v>700</v>
      </c>
      <c r="CF210">
        <v>15</v>
      </c>
      <c r="CG210" t="s">
        <v>1762</v>
      </c>
      <c r="CH210" t="s">
        <v>1762</v>
      </c>
      <c r="CI210">
        <v>30</v>
      </c>
      <c r="CJ210">
        <v>1458</v>
      </c>
      <c r="CK210">
        <v>2</v>
      </c>
      <c r="CL210">
        <v>1552</v>
      </c>
      <c r="CM210">
        <v>2</v>
      </c>
      <c r="CN210" t="s">
        <v>702</v>
      </c>
      <c r="CO210" t="s">
        <v>676</v>
      </c>
      <c r="CP210" t="s">
        <v>703</v>
      </c>
      <c r="CQ210" t="s">
        <v>596</v>
      </c>
      <c r="CR210" t="s">
        <v>541</v>
      </c>
      <c r="CS210" t="s">
        <v>542</v>
      </c>
      <c r="CT210">
        <v>425</v>
      </c>
      <c r="CU210">
        <v>5</v>
      </c>
      <c r="CV210">
        <v>1.2</v>
      </c>
      <c r="CW210">
        <v>1475</v>
      </c>
      <c r="CX210">
        <v>888</v>
      </c>
      <c r="CY210" t="s">
        <v>705</v>
      </c>
      <c r="CZ210">
        <v>50</v>
      </c>
      <c r="DA210">
        <v>3</v>
      </c>
      <c r="DB210">
        <v>1</v>
      </c>
      <c r="DC210">
        <v>1475</v>
      </c>
      <c r="DD210">
        <v>77</v>
      </c>
      <c r="DE210" t="s">
        <v>622</v>
      </c>
      <c r="DF210">
        <v>605</v>
      </c>
      <c r="DG210">
        <v>3</v>
      </c>
      <c r="DH210">
        <v>0.88</v>
      </c>
      <c r="DI210">
        <v>1467</v>
      </c>
      <c r="DJ210">
        <v>1043</v>
      </c>
      <c r="DK210" t="s">
        <v>622</v>
      </c>
      <c r="DL210">
        <v>500</v>
      </c>
      <c r="DM210">
        <v>3</v>
      </c>
      <c r="DN210">
        <v>0.88</v>
      </c>
      <c r="DO210">
        <v>1472</v>
      </c>
      <c r="DP210">
        <v>804</v>
      </c>
      <c r="DW210" t="s">
        <v>544</v>
      </c>
      <c r="DX210">
        <v>7.5</v>
      </c>
      <c r="EA210">
        <v>1544.1</v>
      </c>
      <c r="EB210">
        <v>364</v>
      </c>
      <c r="EC210" t="s">
        <v>545</v>
      </c>
      <c r="ED210">
        <v>30</v>
      </c>
      <c r="EE210">
        <v>3</v>
      </c>
      <c r="EG210">
        <v>1595</v>
      </c>
      <c r="EH210">
        <v>188</v>
      </c>
      <c r="EJ210">
        <v>0</v>
      </c>
      <c r="EK210">
        <v>1</v>
      </c>
      <c r="EN210">
        <v>0</v>
      </c>
      <c r="EP210" t="s">
        <v>546</v>
      </c>
      <c r="EQ210">
        <v>115</v>
      </c>
      <c r="ER210">
        <v>3</v>
      </c>
      <c r="ES210">
        <v>5.5</v>
      </c>
      <c r="ET210">
        <v>1454</v>
      </c>
      <c r="EU210">
        <v>531</v>
      </c>
      <c r="EV210">
        <v>772</v>
      </c>
      <c r="EW210" t="s">
        <v>547</v>
      </c>
      <c r="EX210">
        <v>45</v>
      </c>
      <c r="EY210">
        <v>2</v>
      </c>
      <c r="EZ210">
        <v>4.7</v>
      </c>
      <c r="FA210">
        <v>1454</v>
      </c>
      <c r="FB210">
        <v>141.4</v>
      </c>
      <c r="FC210">
        <v>206</v>
      </c>
      <c r="FE210">
        <v>0</v>
      </c>
      <c r="FF210">
        <v>2</v>
      </c>
      <c r="FI210">
        <v>0</v>
      </c>
      <c r="FK210" t="s">
        <v>548</v>
      </c>
      <c r="FL210">
        <v>0.4</v>
      </c>
      <c r="FM210">
        <v>45</v>
      </c>
      <c r="FN210">
        <v>400</v>
      </c>
      <c r="FO210">
        <v>85</v>
      </c>
      <c r="FP210">
        <v>170</v>
      </c>
      <c r="GR210" t="s">
        <v>548</v>
      </c>
      <c r="GS210">
        <v>0.4</v>
      </c>
      <c r="GT210">
        <v>30</v>
      </c>
      <c r="GU210">
        <v>420</v>
      </c>
      <c r="GV210">
        <v>30</v>
      </c>
      <c r="GW210">
        <v>300</v>
      </c>
      <c r="HC210">
        <v>0.1</v>
      </c>
      <c r="HD210">
        <v>3</v>
      </c>
      <c r="HE210">
        <v>3</v>
      </c>
      <c r="HF210">
        <v>3</v>
      </c>
      <c r="HG210">
        <v>3</v>
      </c>
      <c r="HH210">
        <v>3</v>
      </c>
      <c r="HI210">
        <v>145</v>
      </c>
      <c r="HJ210">
        <v>3</v>
      </c>
      <c r="HK210">
        <v>30</v>
      </c>
      <c r="HL210">
        <v>2</v>
      </c>
      <c r="HM210">
        <v>0</v>
      </c>
      <c r="HN210">
        <v>2</v>
      </c>
      <c r="HO210">
        <v>100</v>
      </c>
      <c r="HP210">
        <v>3</v>
      </c>
      <c r="HQ210">
        <v>0</v>
      </c>
      <c r="HR210">
        <v>2</v>
      </c>
      <c r="HS210">
        <v>5949</v>
      </c>
      <c r="HT210">
        <v>180</v>
      </c>
      <c r="HU210">
        <v>180</v>
      </c>
      <c r="HW210">
        <v>0</v>
      </c>
      <c r="HX210">
        <v>465</v>
      </c>
      <c r="HY210">
        <v>0.18</v>
      </c>
      <c r="IA210">
        <v>0.15</v>
      </c>
      <c r="IB210">
        <v>0</v>
      </c>
      <c r="IC210">
        <v>180</v>
      </c>
      <c r="ID210">
        <v>110</v>
      </c>
      <c r="IE210">
        <v>225</v>
      </c>
      <c r="IF210">
        <v>0</v>
      </c>
      <c r="IH210" t="s">
        <v>549</v>
      </c>
      <c r="IO210">
        <v>3</v>
      </c>
      <c r="IP210">
        <v>19</v>
      </c>
      <c r="IQ210">
        <v>0</v>
      </c>
      <c r="IR210">
        <v>0</v>
      </c>
      <c r="IV210">
        <v>1458</v>
      </c>
      <c r="IW210">
        <v>460</v>
      </c>
      <c r="JA210">
        <v>1</v>
      </c>
      <c r="JB210">
        <v>0</v>
      </c>
      <c r="JC210">
        <v>2</v>
      </c>
      <c r="JD210">
        <v>1475</v>
      </c>
      <c r="JE210">
        <v>1467</v>
      </c>
      <c r="JF210">
        <v>1472</v>
      </c>
      <c r="JG210">
        <v>1454</v>
      </c>
      <c r="JH210">
        <v>0</v>
      </c>
      <c r="JJ210">
        <v>180</v>
      </c>
      <c r="JK210">
        <v>465</v>
      </c>
      <c r="JN210">
        <v>425</v>
      </c>
      <c r="JO210">
        <v>605</v>
      </c>
      <c r="JP210">
        <v>500</v>
      </c>
      <c r="JQ210">
        <v>0</v>
      </c>
      <c r="JR210">
        <v>464</v>
      </c>
      <c r="JS210">
        <v>145</v>
      </c>
      <c r="JV210">
        <v>8</v>
      </c>
      <c r="JW210" t="s">
        <v>550</v>
      </c>
      <c r="JX210">
        <v>498</v>
      </c>
      <c r="KA210">
        <v>225</v>
      </c>
      <c r="KB210">
        <v>110</v>
      </c>
      <c r="KC210">
        <v>0</v>
      </c>
      <c r="KD210">
        <v>80</v>
      </c>
      <c r="KF210">
        <v>4</v>
      </c>
      <c r="KG210">
        <v>2</v>
      </c>
      <c r="KH210">
        <v>2</v>
      </c>
      <c r="KI210">
        <v>2</v>
      </c>
      <c r="KJ210">
        <v>0</v>
      </c>
      <c r="KK210">
        <v>1.5</v>
      </c>
      <c r="KL210">
        <v>1.5</v>
      </c>
      <c r="KM210">
        <v>0</v>
      </c>
      <c r="KN210">
        <v>0</v>
      </c>
      <c r="KO210">
        <v>0</v>
      </c>
      <c r="KR210">
        <v>30</v>
      </c>
      <c r="KS210">
        <v>60</v>
      </c>
      <c r="KT210">
        <v>0</v>
      </c>
      <c r="LK210">
        <v>480</v>
      </c>
      <c r="PG210">
        <v>1</v>
      </c>
      <c r="PI210" t="s">
        <v>2812</v>
      </c>
      <c r="PJ210" t="s">
        <v>2813</v>
      </c>
      <c r="PK210" t="s">
        <v>2814</v>
      </c>
      <c r="PL210" t="s">
        <v>1572</v>
      </c>
      <c r="PP210" t="s">
        <v>2815</v>
      </c>
      <c r="PS210" t="s">
        <v>693</v>
      </c>
      <c r="PX210">
        <v>56</v>
      </c>
      <c r="PY210">
        <v>56</v>
      </c>
      <c r="PZ210" t="s">
        <v>2812</v>
      </c>
      <c r="QA210">
        <v>2</v>
      </c>
      <c r="QB210">
        <v>1454</v>
      </c>
      <c r="QC210">
        <v>69</v>
      </c>
      <c r="QD210">
        <v>69</v>
      </c>
      <c r="QE210" t="s">
        <v>1572</v>
      </c>
      <c r="QF210">
        <v>1</v>
      </c>
      <c r="QG210">
        <v>1475</v>
      </c>
      <c r="QH210">
        <v>66</v>
      </c>
      <c r="QI210">
        <v>66</v>
      </c>
      <c r="QJ210" t="s">
        <v>693</v>
      </c>
      <c r="QK210">
        <v>1</v>
      </c>
      <c r="QL210">
        <v>1475</v>
      </c>
      <c r="QM210">
        <v>62</v>
      </c>
      <c r="QN210">
        <v>62</v>
      </c>
      <c r="QO210" t="s">
        <v>2813</v>
      </c>
      <c r="QP210">
        <v>1</v>
      </c>
      <c r="QQ210">
        <v>1467</v>
      </c>
      <c r="QR210">
        <v>62</v>
      </c>
      <c r="QS210">
        <v>62</v>
      </c>
      <c r="QT210" t="s">
        <v>2814</v>
      </c>
      <c r="QU210">
        <v>1</v>
      </c>
      <c r="QV210">
        <v>1472</v>
      </c>
      <c r="QW210">
        <v>82</v>
      </c>
      <c r="QX210">
        <v>89</v>
      </c>
      <c r="QY210" t="s">
        <v>2815</v>
      </c>
      <c r="QZ210">
        <v>1</v>
      </c>
      <c r="RA210">
        <v>66</v>
      </c>
      <c r="RB210">
        <v>66</v>
      </c>
      <c r="RE210">
        <v>0</v>
      </c>
      <c r="RF210">
        <v>1</v>
      </c>
      <c r="RH210">
        <v>1</v>
      </c>
      <c r="RJ210">
        <v>1</v>
      </c>
      <c r="RK210">
        <v>2</v>
      </c>
      <c r="RL210">
        <v>4</v>
      </c>
      <c r="RM210">
        <v>4</v>
      </c>
      <c r="RO210">
        <v>602</v>
      </c>
      <c r="RP210">
        <v>105</v>
      </c>
      <c r="RQ210">
        <v>711</v>
      </c>
      <c r="RR210">
        <v>546</v>
      </c>
      <c r="RT210">
        <v>364</v>
      </c>
      <c r="RU210">
        <v>188</v>
      </c>
      <c r="RV210" t="s">
        <v>1055</v>
      </c>
      <c r="RW210" t="s">
        <v>707</v>
      </c>
      <c r="RX210">
        <v>15</v>
      </c>
      <c r="RY210">
        <v>4</v>
      </c>
      <c r="RZ210" t="s">
        <v>707</v>
      </c>
      <c r="SA210">
        <v>15</v>
      </c>
      <c r="SC210" t="s">
        <v>2813</v>
      </c>
      <c r="SD210">
        <v>1</v>
      </c>
      <c r="SF210" t="s">
        <v>2814</v>
      </c>
      <c r="SG210">
        <v>1</v>
      </c>
      <c r="SH210">
        <v>0.995</v>
      </c>
      <c r="SI210">
        <v>0.995</v>
      </c>
      <c r="SJ210">
        <v>0.995</v>
      </c>
      <c r="SK210">
        <v>15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1</v>
      </c>
      <c r="SZ210">
        <v>1</v>
      </c>
      <c r="TB210">
        <v>0</v>
      </c>
      <c r="TC210">
        <v>0</v>
      </c>
      <c r="TD210">
        <v>7.5</v>
      </c>
      <c r="TE210" t="s">
        <v>553</v>
      </c>
      <c r="TF210" t="s">
        <v>681</v>
      </c>
      <c r="TG210" t="s">
        <v>555</v>
      </c>
      <c r="TI210" t="s">
        <v>546</v>
      </c>
      <c r="TJ210" t="s">
        <v>547</v>
      </c>
      <c r="TL210" t="s">
        <v>2662</v>
      </c>
      <c r="TM210" t="s">
        <v>513</v>
      </c>
      <c r="TN210">
        <v>0</v>
      </c>
      <c r="TO210" t="s">
        <v>557</v>
      </c>
    </row>
    <row r="211" spans="1:535">
      <c r="A211" t="s">
        <v>2816</v>
      </c>
      <c r="B211" t="s">
        <v>629</v>
      </c>
      <c r="C211" t="s">
        <v>509</v>
      </c>
      <c r="D211" t="s">
        <v>2817</v>
      </c>
      <c r="G211" t="s">
        <v>1294</v>
      </c>
      <c r="I211" t="s">
        <v>562</v>
      </c>
      <c r="J211" t="s">
        <v>563</v>
      </c>
      <c r="L211" t="s">
        <v>512</v>
      </c>
      <c r="M211" t="s">
        <v>711</v>
      </c>
      <c r="N211" t="s">
        <v>513</v>
      </c>
      <c r="O211" t="s">
        <v>565</v>
      </c>
      <c r="Q211" t="s">
        <v>2818</v>
      </c>
      <c r="R211" t="s">
        <v>517</v>
      </c>
      <c r="S211" t="s">
        <v>568</v>
      </c>
      <c r="T211" t="s">
        <v>569</v>
      </c>
      <c r="U211" t="s">
        <v>570</v>
      </c>
      <c r="V211" t="s">
        <v>571</v>
      </c>
      <c r="W211" t="s">
        <v>2556</v>
      </c>
      <c r="X211" t="s">
        <v>2657</v>
      </c>
      <c r="Y211" t="s">
        <v>574</v>
      </c>
      <c r="Z211" t="s">
        <v>2819</v>
      </c>
      <c r="AA211" t="s">
        <v>2820</v>
      </c>
      <c r="AB211" t="s">
        <v>2821</v>
      </c>
      <c r="AC211">
        <v>2</v>
      </c>
      <c r="AD211">
        <v>56</v>
      </c>
      <c r="AE211">
        <v>254</v>
      </c>
      <c r="AF211">
        <v>1.5</v>
      </c>
      <c r="AH211">
        <v>0</v>
      </c>
      <c r="AI211" t="s">
        <v>1274</v>
      </c>
      <c r="AJ211">
        <v>235</v>
      </c>
      <c r="AK211">
        <v>1</v>
      </c>
      <c r="AL211">
        <v>1.5</v>
      </c>
      <c r="AM211" t="s">
        <v>579</v>
      </c>
      <c r="AN211" t="s">
        <v>795</v>
      </c>
      <c r="AO211">
        <v>2</v>
      </c>
      <c r="AP211" t="s">
        <v>581</v>
      </c>
      <c r="AQ211" t="s">
        <v>582</v>
      </c>
      <c r="AR211">
        <v>283</v>
      </c>
      <c r="AS211">
        <v>1.5</v>
      </c>
      <c r="AT211" t="s">
        <v>583</v>
      </c>
      <c r="AU211" t="s">
        <v>2822</v>
      </c>
      <c r="AW211" t="s">
        <v>2822</v>
      </c>
      <c r="AX211">
        <v>1</v>
      </c>
      <c r="AY211">
        <v>327.5</v>
      </c>
      <c r="AZ211">
        <v>1.5</v>
      </c>
      <c r="BA211" t="s">
        <v>579</v>
      </c>
      <c r="BB211" t="s">
        <v>2823</v>
      </c>
      <c r="BD211" t="s">
        <v>2823</v>
      </c>
      <c r="BE211">
        <v>1</v>
      </c>
      <c r="BF211">
        <v>275</v>
      </c>
      <c r="BG211">
        <v>1.5</v>
      </c>
      <c r="BJ211">
        <v>0</v>
      </c>
      <c r="BN211">
        <v>1.5</v>
      </c>
      <c r="BP211" t="s">
        <v>2824</v>
      </c>
      <c r="BQ211" t="s">
        <v>587</v>
      </c>
      <c r="BR211">
        <v>2</v>
      </c>
      <c r="BS211" t="s">
        <v>2825</v>
      </c>
      <c r="BT211">
        <v>253</v>
      </c>
      <c r="BU211">
        <v>0.5</v>
      </c>
      <c r="BV211" t="s">
        <v>2825</v>
      </c>
      <c r="BW211">
        <v>506</v>
      </c>
      <c r="BX211">
        <v>1</v>
      </c>
      <c r="BY211" t="s">
        <v>589</v>
      </c>
      <c r="BZ211">
        <v>470</v>
      </c>
      <c r="CA211">
        <v>570</v>
      </c>
      <c r="CB211" t="s">
        <v>590</v>
      </c>
      <c r="CC211" t="s">
        <v>590</v>
      </c>
      <c r="CD211">
        <v>538</v>
      </c>
      <c r="CE211" t="s">
        <v>591</v>
      </c>
      <c r="CF211">
        <v>15</v>
      </c>
      <c r="CG211" t="s">
        <v>1958</v>
      </c>
      <c r="CH211" t="s">
        <v>1958</v>
      </c>
      <c r="CI211">
        <v>50</v>
      </c>
      <c r="CJ211">
        <v>1538</v>
      </c>
      <c r="CK211">
        <v>2</v>
      </c>
      <c r="CL211">
        <v>1632</v>
      </c>
      <c r="CM211">
        <v>2</v>
      </c>
      <c r="CN211" t="s">
        <v>593</v>
      </c>
      <c r="CO211" t="s">
        <v>594</v>
      </c>
      <c r="CP211" t="s">
        <v>595</v>
      </c>
      <c r="CQ211" t="s">
        <v>596</v>
      </c>
      <c r="CR211" t="s">
        <v>541</v>
      </c>
      <c r="CS211" t="s">
        <v>542</v>
      </c>
      <c r="CT211">
        <v>470</v>
      </c>
      <c r="CU211">
        <v>5</v>
      </c>
      <c r="CV211">
        <v>1.2</v>
      </c>
      <c r="CW211">
        <v>1554</v>
      </c>
      <c r="CX211">
        <v>1035</v>
      </c>
      <c r="CY211" t="s">
        <v>705</v>
      </c>
      <c r="CZ211">
        <v>60</v>
      </c>
      <c r="DA211">
        <v>3</v>
      </c>
      <c r="DB211">
        <v>1</v>
      </c>
      <c r="DC211">
        <v>1554</v>
      </c>
      <c r="DD211">
        <v>97</v>
      </c>
      <c r="DE211" t="s">
        <v>622</v>
      </c>
      <c r="DF211">
        <v>655</v>
      </c>
      <c r="DG211">
        <v>3</v>
      </c>
      <c r="DH211">
        <v>0.88</v>
      </c>
      <c r="DI211">
        <v>1547</v>
      </c>
      <c r="DJ211">
        <v>1196</v>
      </c>
      <c r="DK211" t="s">
        <v>622</v>
      </c>
      <c r="DL211">
        <v>550</v>
      </c>
      <c r="DM211">
        <v>3</v>
      </c>
      <c r="DN211">
        <v>0.88</v>
      </c>
      <c r="DO211">
        <v>1552</v>
      </c>
      <c r="DP211">
        <v>965</v>
      </c>
      <c r="DW211" t="s">
        <v>544</v>
      </c>
      <c r="DX211">
        <v>9.4</v>
      </c>
      <c r="EA211">
        <v>1625.4</v>
      </c>
      <c r="EB211">
        <v>382</v>
      </c>
      <c r="EC211" t="s">
        <v>545</v>
      </c>
      <c r="ED211">
        <v>30</v>
      </c>
      <c r="EE211">
        <v>3</v>
      </c>
      <c r="EG211">
        <v>1666</v>
      </c>
      <c r="EH211">
        <v>232</v>
      </c>
      <c r="EJ211">
        <v>0</v>
      </c>
      <c r="EK211">
        <v>1</v>
      </c>
      <c r="EN211">
        <v>0</v>
      </c>
      <c r="EP211" t="s">
        <v>546</v>
      </c>
      <c r="EQ211">
        <v>125</v>
      </c>
      <c r="ER211">
        <v>3</v>
      </c>
      <c r="ES211">
        <v>5.5</v>
      </c>
      <c r="ET211">
        <v>1534</v>
      </c>
      <c r="EU211">
        <v>598.6</v>
      </c>
      <c r="EV211">
        <v>918</v>
      </c>
      <c r="EW211" t="s">
        <v>547</v>
      </c>
      <c r="EX211">
        <v>45</v>
      </c>
      <c r="EY211">
        <v>2</v>
      </c>
      <c r="EZ211">
        <v>4.5</v>
      </c>
      <c r="FA211">
        <v>1534</v>
      </c>
      <c r="FB211">
        <v>149.4</v>
      </c>
      <c r="FC211">
        <v>229</v>
      </c>
      <c r="FE211">
        <v>0</v>
      </c>
      <c r="FF211">
        <v>2</v>
      </c>
      <c r="FI211">
        <v>0</v>
      </c>
      <c r="FK211" t="s">
        <v>548</v>
      </c>
      <c r="FL211">
        <v>0.4</v>
      </c>
      <c r="FM211">
        <v>50</v>
      </c>
      <c r="FN211">
        <v>450</v>
      </c>
      <c r="FO211">
        <v>95</v>
      </c>
      <c r="FP211">
        <v>200</v>
      </c>
      <c r="GR211" t="s">
        <v>548</v>
      </c>
      <c r="GS211">
        <v>0.6</v>
      </c>
      <c r="GT211">
        <v>30</v>
      </c>
      <c r="GU211">
        <v>470</v>
      </c>
      <c r="GV211">
        <v>30</v>
      </c>
      <c r="GW211">
        <v>340</v>
      </c>
      <c r="HC211">
        <v>0.1</v>
      </c>
      <c r="HD211">
        <v>3</v>
      </c>
      <c r="HE211">
        <v>3</v>
      </c>
      <c r="HF211">
        <v>3</v>
      </c>
      <c r="HG211">
        <v>3</v>
      </c>
      <c r="HH211">
        <v>3</v>
      </c>
      <c r="HI211">
        <v>155</v>
      </c>
      <c r="HJ211">
        <v>3</v>
      </c>
      <c r="HK211">
        <v>30</v>
      </c>
      <c r="HL211">
        <v>2</v>
      </c>
      <c r="HM211">
        <v>0</v>
      </c>
      <c r="HN211">
        <v>2</v>
      </c>
      <c r="HO211">
        <v>110</v>
      </c>
      <c r="HP211">
        <v>3</v>
      </c>
      <c r="HQ211">
        <v>0</v>
      </c>
      <c r="HR211">
        <v>2</v>
      </c>
      <c r="HS211">
        <v>6912</v>
      </c>
      <c r="HT211">
        <v>210</v>
      </c>
      <c r="HU211">
        <v>180</v>
      </c>
      <c r="HW211">
        <v>0</v>
      </c>
      <c r="HX211">
        <v>510</v>
      </c>
      <c r="HY211">
        <v>0.18</v>
      </c>
      <c r="IA211">
        <v>0.15</v>
      </c>
      <c r="IB211">
        <v>0</v>
      </c>
      <c r="IC211">
        <v>180</v>
      </c>
      <c r="ID211">
        <v>110</v>
      </c>
      <c r="IE211">
        <v>225</v>
      </c>
      <c r="IF211">
        <v>0</v>
      </c>
      <c r="IH211" t="s">
        <v>549</v>
      </c>
      <c r="IO211">
        <v>3</v>
      </c>
      <c r="IP211">
        <v>20</v>
      </c>
      <c r="IQ211">
        <v>0</v>
      </c>
      <c r="IR211">
        <v>0</v>
      </c>
      <c r="IV211">
        <v>1538</v>
      </c>
      <c r="IW211">
        <v>506</v>
      </c>
      <c r="JA211">
        <v>1</v>
      </c>
      <c r="JB211">
        <v>0</v>
      </c>
      <c r="JC211">
        <v>2</v>
      </c>
      <c r="JD211">
        <v>1554</v>
      </c>
      <c r="JE211">
        <v>1547</v>
      </c>
      <c r="JF211">
        <v>1552</v>
      </c>
      <c r="JG211">
        <v>1534</v>
      </c>
      <c r="JH211">
        <v>0</v>
      </c>
      <c r="JJ211">
        <v>180</v>
      </c>
      <c r="JK211">
        <v>510</v>
      </c>
      <c r="JN211">
        <v>470</v>
      </c>
      <c r="JO211">
        <v>655</v>
      </c>
      <c r="JP211">
        <v>550</v>
      </c>
      <c r="JQ211">
        <v>0</v>
      </c>
      <c r="JR211">
        <v>508</v>
      </c>
      <c r="JS211">
        <v>155</v>
      </c>
      <c r="JV211">
        <v>10</v>
      </c>
      <c r="JW211" t="s">
        <v>550</v>
      </c>
      <c r="JX211">
        <v>566</v>
      </c>
      <c r="KA211">
        <v>225</v>
      </c>
      <c r="KB211">
        <v>110</v>
      </c>
      <c r="KC211">
        <v>0</v>
      </c>
      <c r="KD211">
        <v>80</v>
      </c>
      <c r="KF211">
        <v>4</v>
      </c>
      <c r="KG211">
        <v>2</v>
      </c>
      <c r="KH211">
        <v>2</v>
      </c>
      <c r="KI211">
        <v>2</v>
      </c>
      <c r="KJ211">
        <v>0</v>
      </c>
      <c r="KK211">
        <v>1.5</v>
      </c>
      <c r="KL211">
        <v>1.5</v>
      </c>
      <c r="KM211">
        <v>0</v>
      </c>
      <c r="KN211">
        <v>0</v>
      </c>
      <c r="KO211">
        <v>0</v>
      </c>
      <c r="KR211">
        <v>30</v>
      </c>
      <c r="KS211">
        <v>60</v>
      </c>
      <c r="KT211">
        <v>0</v>
      </c>
      <c r="LK211">
        <v>480</v>
      </c>
      <c r="PG211">
        <v>1</v>
      </c>
      <c r="PI211" t="s">
        <v>2821</v>
      </c>
      <c r="PJ211" t="s">
        <v>2822</v>
      </c>
      <c r="PK211" t="s">
        <v>2823</v>
      </c>
      <c r="PL211" t="s">
        <v>1274</v>
      </c>
      <c r="PP211" t="s">
        <v>2824</v>
      </c>
      <c r="PS211" t="s">
        <v>795</v>
      </c>
      <c r="PX211">
        <v>56</v>
      </c>
      <c r="PY211">
        <v>56</v>
      </c>
      <c r="PZ211" t="s">
        <v>2821</v>
      </c>
      <c r="QA211">
        <v>1</v>
      </c>
      <c r="QB211">
        <v>1534</v>
      </c>
      <c r="QC211">
        <v>69</v>
      </c>
      <c r="QD211">
        <v>69</v>
      </c>
      <c r="QE211" t="s">
        <v>1274</v>
      </c>
      <c r="QF211">
        <v>1</v>
      </c>
      <c r="QG211">
        <v>1554</v>
      </c>
      <c r="QH211">
        <v>66</v>
      </c>
      <c r="QI211">
        <v>66</v>
      </c>
      <c r="QJ211" t="s">
        <v>795</v>
      </c>
      <c r="QK211">
        <v>1</v>
      </c>
      <c r="QL211">
        <v>1554</v>
      </c>
      <c r="QM211">
        <v>62</v>
      </c>
      <c r="QN211">
        <v>62</v>
      </c>
      <c r="QO211" t="s">
        <v>2822</v>
      </c>
      <c r="QP211">
        <v>1</v>
      </c>
      <c r="QQ211">
        <v>1547</v>
      </c>
      <c r="QR211">
        <v>62</v>
      </c>
      <c r="QS211">
        <v>62</v>
      </c>
      <c r="QT211" t="s">
        <v>2823</v>
      </c>
      <c r="QU211">
        <v>1</v>
      </c>
      <c r="QV211">
        <v>1552</v>
      </c>
      <c r="QW211">
        <v>82</v>
      </c>
      <c r="QX211" t="s">
        <v>587</v>
      </c>
      <c r="QY211" t="s">
        <v>2824</v>
      </c>
      <c r="QZ211">
        <v>1</v>
      </c>
      <c r="RA211">
        <v>66</v>
      </c>
      <c r="RB211">
        <v>66</v>
      </c>
      <c r="RE211">
        <v>0</v>
      </c>
      <c r="RF211">
        <v>1</v>
      </c>
      <c r="RH211">
        <v>1</v>
      </c>
      <c r="RJ211">
        <v>1</v>
      </c>
      <c r="RK211">
        <v>2</v>
      </c>
      <c r="RL211">
        <v>4</v>
      </c>
      <c r="RM211">
        <v>4</v>
      </c>
      <c r="RO211">
        <v>666</v>
      </c>
      <c r="RP211">
        <v>125</v>
      </c>
      <c r="RQ211">
        <v>773</v>
      </c>
      <c r="RR211">
        <v>622</v>
      </c>
      <c r="RT211">
        <v>382</v>
      </c>
      <c r="RU211">
        <v>232</v>
      </c>
      <c r="RV211" t="s">
        <v>2826</v>
      </c>
      <c r="RW211" t="s">
        <v>599</v>
      </c>
      <c r="RX211">
        <v>15</v>
      </c>
      <c r="RY211">
        <v>4</v>
      </c>
      <c r="RZ211" t="s">
        <v>599</v>
      </c>
      <c r="SA211">
        <v>15</v>
      </c>
      <c r="SC211" t="s">
        <v>2822</v>
      </c>
      <c r="SD211">
        <v>1</v>
      </c>
      <c r="SF211" t="s">
        <v>2823</v>
      </c>
      <c r="SG211">
        <v>1</v>
      </c>
      <c r="SH211">
        <v>0.995</v>
      </c>
      <c r="SI211">
        <v>0.995</v>
      </c>
      <c r="SJ211">
        <v>0.995</v>
      </c>
      <c r="SK211">
        <v>15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1</v>
      </c>
      <c r="SZ211">
        <v>1</v>
      </c>
      <c r="TB211">
        <v>0</v>
      </c>
      <c r="TC211">
        <v>0</v>
      </c>
      <c r="TD211">
        <v>9.4</v>
      </c>
      <c r="TE211" t="s">
        <v>553</v>
      </c>
      <c r="TF211" t="s">
        <v>600</v>
      </c>
      <c r="TG211" t="s">
        <v>555</v>
      </c>
      <c r="TI211" t="s">
        <v>546</v>
      </c>
      <c r="TJ211" t="s">
        <v>547</v>
      </c>
      <c r="TL211" t="s">
        <v>2662</v>
      </c>
      <c r="TM211" t="s">
        <v>513</v>
      </c>
      <c r="TN211">
        <v>0</v>
      </c>
      <c r="TO211" t="s">
        <v>601</v>
      </c>
    </row>
    <row r="212" spans="1:535">
      <c r="A212" t="s">
        <v>2827</v>
      </c>
      <c r="B212" t="s">
        <v>804</v>
      </c>
      <c r="C212" t="s">
        <v>509</v>
      </c>
      <c r="D212" t="s">
        <v>2828</v>
      </c>
      <c r="G212" t="s">
        <v>1088</v>
      </c>
      <c r="L212" t="s">
        <v>512</v>
      </c>
      <c r="M212" t="s">
        <v>508</v>
      </c>
      <c r="N212" t="s">
        <v>513</v>
      </c>
      <c r="O212" t="s">
        <v>1255</v>
      </c>
      <c r="P212" t="s">
        <v>515</v>
      </c>
      <c r="Q212" t="s">
        <v>2829</v>
      </c>
      <c r="R212" t="s">
        <v>517</v>
      </c>
      <c r="S212" t="s">
        <v>1152</v>
      </c>
      <c r="T212" t="s">
        <v>661</v>
      </c>
      <c r="U212" t="s">
        <v>633</v>
      </c>
      <c r="V212" t="s">
        <v>634</v>
      </c>
      <c r="W212" t="s">
        <v>2647</v>
      </c>
      <c r="X212" t="s">
        <v>2657</v>
      </c>
      <c r="Y212" t="s">
        <v>524</v>
      </c>
      <c r="Z212" t="s">
        <v>2830</v>
      </c>
      <c r="AA212" t="s">
        <v>2831</v>
      </c>
      <c r="AB212" t="s">
        <v>2832</v>
      </c>
      <c r="AC212">
        <v>2</v>
      </c>
      <c r="AD212">
        <v>56</v>
      </c>
      <c r="AE212">
        <v>185</v>
      </c>
      <c r="AF212">
        <v>1.5</v>
      </c>
      <c r="AH212">
        <v>0</v>
      </c>
      <c r="AI212" t="s">
        <v>1331</v>
      </c>
      <c r="AJ212">
        <v>197.5</v>
      </c>
      <c r="AK212">
        <v>1</v>
      </c>
      <c r="AL212">
        <v>1.5</v>
      </c>
      <c r="AM212" t="s">
        <v>529</v>
      </c>
      <c r="AO212">
        <v>0</v>
      </c>
      <c r="AR212">
        <v>0</v>
      </c>
      <c r="AS212">
        <v>1.5</v>
      </c>
      <c r="AU212" t="s">
        <v>2833</v>
      </c>
      <c r="AW212" t="s">
        <v>2833</v>
      </c>
      <c r="AX212">
        <v>1</v>
      </c>
      <c r="AY212">
        <v>275</v>
      </c>
      <c r="AZ212">
        <v>1.5</v>
      </c>
      <c r="BA212" t="s">
        <v>529</v>
      </c>
      <c r="BG212">
        <v>1.5</v>
      </c>
      <c r="BJ212">
        <v>0</v>
      </c>
      <c r="BN212">
        <v>1.5</v>
      </c>
      <c r="BP212" t="s">
        <v>2834</v>
      </c>
      <c r="BQ212">
        <v>88</v>
      </c>
      <c r="BR212">
        <v>2</v>
      </c>
      <c r="BS212" t="s">
        <v>642</v>
      </c>
      <c r="BT212">
        <v>207</v>
      </c>
      <c r="BU212">
        <v>0.5</v>
      </c>
      <c r="BV212" t="s">
        <v>642</v>
      </c>
      <c r="BW212">
        <v>414</v>
      </c>
      <c r="BX212">
        <v>1</v>
      </c>
      <c r="BY212" t="s">
        <v>643</v>
      </c>
      <c r="BZ212">
        <v>300</v>
      </c>
      <c r="CA212">
        <v>480</v>
      </c>
      <c r="CB212" t="s">
        <v>644</v>
      </c>
      <c r="CC212" t="s">
        <v>644</v>
      </c>
      <c r="CD212">
        <v>432</v>
      </c>
      <c r="CE212" t="s">
        <v>544</v>
      </c>
      <c r="CF212">
        <v>15</v>
      </c>
      <c r="CG212" t="s">
        <v>830</v>
      </c>
      <c r="CH212" t="s">
        <v>830</v>
      </c>
      <c r="CI212">
        <v>90</v>
      </c>
      <c r="CJ212">
        <v>1301</v>
      </c>
      <c r="CK212">
        <v>2</v>
      </c>
      <c r="CL212">
        <v>1395</v>
      </c>
      <c r="CM212">
        <v>2</v>
      </c>
      <c r="CN212" t="s">
        <v>646</v>
      </c>
      <c r="CO212" t="s">
        <v>647</v>
      </c>
      <c r="CP212" t="s">
        <v>648</v>
      </c>
      <c r="CQ212" t="s">
        <v>540</v>
      </c>
      <c r="CR212" t="s">
        <v>541</v>
      </c>
      <c r="CS212" t="s">
        <v>542</v>
      </c>
      <c r="CT212">
        <v>395</v>
      </c>
      <c r="CU212">
        <v>5</v>
      </c>
      <c r="CV212">
        <v>1.2</v>
      </c>
      <c r="CW212">
        <v>1314</v>
      </c>
      <c r="CX212">
        <v>735</v>
      </c>
      <c r="DD212">
        <v>0</v>
      </c>
      <c r="DE212" t="s">
        <v>543</v>
      </c>
      <c r="DF212">
        <v>550</v>
      </c>
      <c r="DG212">
        <v>3</v>
      </c>
      <c r="DH212">
        <v>1.18</v>
      </c>
      <c r="DI212">
        <v>1312</v>
      </c>
      <c r="DJ212">
        <v>1117</v>
      </c>
      <c r="DW212" t="s">
        <v>544</v>
      </c>
      <c r="DX212">
        <v>7.5</v>
      </c>
      <c r="EA212">
        <v>1381.4</v>
      </c>
      <c r="EB212">
        <v>261</v>
      </c>
      <c r="EC212" t="s">
        <v>545</v>
      </c>
      <c r="ED212">
        <v>30</v>
      </c>
      <c r="EE212">
        <v>3</v>
      </c>
      <c r="EG212">
        <v>1422</v>
      </c>
      <c r="EH212">
        <v>168</v>
      </c>
      <c r="EJ212">
        <v>0</v>
      </c>
      <c r="EK212">
        <v>1</v>
      </c>
      <c r="EN212">
        <v>0</v>
      </c>
      <c r="EP212" t="s">
        <v>546</v>
      </c>
      <c r="EQ212">
        <v>110</v>
      </c>
      <c r="ER212">
        <v>3</v>
      </c>
      <c r="ES212">
        <v>5</v>
      </c>
      <c r="ET212">
        <v>1295</v>
      </c>
      <c r="EU212">
        <v>480.7</v>
      </c>
      <c r="EV212">
        <v>623</v>
      </c>
      <c r="EW212" t="s">
        <v>547</v>
      </c>
      <c r="EX212">
        <v>70</v>
      </c>
      <c r="EY212">
        <v>2</v>
      </c>
      <c r="EZ212">
        <v>4.5</v>
      </c>
      <c r="FA212">
        <v>1295</v>
      </c>
      <c r="FB212">
        <v>212.5</v>
      </c>
      <c r="FC212">
        <v>275</v>
      </c>
      <c r="FE212">
        <v>0</v>
      </c>
      <c r="FF212">
        <v>2</v>
      </c>
      <c r="FI212">
        <v>0</v>
      </c>
      <c r="FK212" t="s">
        <v>548</v>
      </c>
      <c r="FL212">
        <v>0.4</v>
      </c>
      <c r="FM212">
        <v>90</v>
      </c>
      <c r="FN212">
        <v>140</v>
      </c>
      <c r="FR212" t="s">
        <v>548</v>
      </c>
      <c r="FS212">
        <v>0.4</v>
      </c>
      <c r="FT212">
        <v>30</v>
      </c>
      <c r="FU212">
        <v>380</v>
      </c>
      <c r="HC212">
        <v>0.1</v>
      </c>
      <c r="HD212">
        <v>3</v>
      </c>
      <c r="HE212">
        <v>3</v>
      </c>
      <c r="HF212">
        <v>3</v>
      </c>
      <c r="HG212">
        <v>3</v>
      </c>
      <c r="HH212">
        <v>3</v>
      </c>
      <c r="HI212">
        <v>165</v>
      </c>
      <c r="HJ212">
        <v>3</v>
      </c>
      <c r="HK212">
        <v>55</v>
      </c>
      <c r="HL212">
        <v>2</v>
      </c>
      <c r="HM212">
        <v>0</v>
      </c>
      <c r="HN212">
        <v>2</v>
      </c>
      <c r="HO212">
        <v>95</v>
      </c>
      <c r="HP212">
        <v>3</v>
      </c>
      <c r="HQ212">
        <v>0</v>
      </c>
      <c r="HR212">
        <v>2</v>
      </c>
      <c r="HS212">
        <v>4506</v>
      </c>
      <c r="HT212">
        <v>140</v>
      </c>
      <c r="HU212">
        <v>180</v>
      </c>
      <c r="HW212">
        <v>0</v>
      </c>
      <c r="HX212">
        <v>460</v>
      </c>
      <c r="HY212">
        <v>0.18</v>
      </c>
      <c r="IA212">
        <v>0.15</v>
      </c>
      <c r="IB212">
        <v>0</v>
      </c>
      <c r="IC212">
        <v>180</v>
      </c>
      <c r="ID212">
        <v>110</v>
      </c>
      <c r="IE212">
        <v>0</v>
      </c>
      <c r="IF212">
        <v>0</v>
      </c>
      <c r="IH212" t="s">
        <v>549</v>
      </c>
      <c r="IO212">
        <v>1</v>
      </c>
      <c r="IP212">
        <v>17</v>
      </c>
      <c r="IQ212">
        <v>0</v>
      </c>
      <c r="IR212">
        <v>1</v>
      </c>
      <c r="IV212">
        <v>1301</v>
      </c>
      <c r="IW212">
        <v>414</v>
      </c>
      <c r="JA212">
        <v>1</v>
      </c>
      <c r="JB212">
        <v>0</v>
      </c>
      <c r="JC212">
        <v>2</v>
      </c>
      <c r="JD212">
        <v>1314</v>
      </c>
      <c r="JE212">
        <v>1312</v>
      </c>
      <c r="JF212">
        <v>0</v>
      </c>
      <c r="JG212">
        <v>1295</v>
      </c>
      <c r="JH212">
        <v>0</v>
      </c>
      <c r="JJ212">
        <v>180</v>
      </c>
      <c r="JK212">
        <v>460</v>
      </c>
      <c r="JN212">
        <v>395</v>
      </c>
      <c r="JO212">
        <v>550</v>
      </c>
      <c r="JP212">
        <v>0</v>
      </c>
      <c r="JQ212">
        <v>0</v>
      </c>
      <c r="JR212">
        <v>370</v>
      </c>
      <c r="JS212">
        <v>165</v>
      </c>
      <c r="JV212">
        <v>8</v>
      </c>
      <c r="JW212" t="s">
        <v>550</v>
      </c>
      <c r="JX212">
        <v>0</v>
      </c>
      <c r="KA212">
        <v>0</v>
      </c>
      <c r="KB212">
        <v>110</v>
      </c>
      <c r="KC212">
        <v>0</v>
      </c>
      <c r="KD212">
        <v>80</v>
      </c>
      <c r="KF212">
        <v>4</v>
      </c>
      <c r="KG212">
        <v>2</v>
      </c>
      <c r="KH212">
        <v>2</v>
      </c>
      <c r="KI212">
        <v>2</v>
      </c>
      <c r="KJ212">
        <v>0</v>
      </c>
      <c r="KK212">
        <v>1.5</v>
      </c>
      <c r="KL212">
        <v>1.5</v>
      </c>
      <c r="KM212">
        <v>0</v>
      </c>
      <c r="KN212">
        <v>0</v>
      </c>
      <c r="KO212">
        <v>0</v>
      </c>
      <c r="KR212">
        <v>50</v>
      </c>
      <c r="KS212">
        <v>60</v>
      </c>
      <c r="KT212">
        <v>0</v>
      </c>
      <c r="LK212">
        <v>480</v>
      </c>
      <c r="PG212">
        <v>1</v>
      </c>
      <c r="PI212" t="s">
        <v>2832</v>
      </c>
      <c r="PJ212" t="s">
        <v>2833</v>
      </c>
      <c r="PL212" t="s">
        <v>1331</v>
      </c>
      <c r="PP212" t="s">
        <v>2834</v>
      </c>
      <c r="PX212">
        <v>56</v>
      </c>
      <c r="PY212">
        <v>56</v>
      </c>
      <c r="PZ212" t="s">
        <v>2832</v>
      </c>
      <c r="QA212">
        <v>1</v>
      </c>
      <c r="QB212">
        <v>1295</v>
      </c>
      <c r="QC212">
        <v>69</v>
      </c>
      <c r="QD212">
        <v>69</v>
      </c>
      <c r="QE212" t="s">
        <v>1331</v>
      </c>
      <c r="QF212">
        <v>1</v>
      </c>
      <c r="QG212">
        <v>1314</v>
      </c>
      <c r="QH212">
        <v>66</v>
      </c>
      <c r="QI212">
        <v>66</v>
      </c>
      <c r="QL212">
        <v>0</v>
      </c>
      <c r="QM212">
        <v>62</v>
      </c>
      <c r="QN212">
        <v>62</v>
      </c>
      <c r="QO212" t="s">
        <v>2833</v>
      </c>
      <c r="QP212">
        <v>1</v>
      </c>
      <c r="QQ212">
        <v>1312</v>
      </c>
      <c r="QW212">
        <v>82</v>
      </c>
      <c r="QX212">
        <v>88</v>
      </c>
      <c r="QY212" t="s">
        <v>2834</v>
      </c>
      <c r="QZ212">
        <v>1</v>
      </c>
      <c r="RA212">
        <v>66</v>
      </c>
      <c r="RB212">
        <v>66</v>
      </c>
      <c r="RE212">
        <v>0</v>
      </c>
      <c r="RF212">
        <v>1</v>
      </c>
      <c r="RJ212">
        <v>1</v>
      </c>
      <c r="RL212">
        <v>1</v>
      </c>
      <c r="RO212">
        <v>559</v>
      </c>
      <c r="RQ212">
        <v>851</v>
      </c>
      <c r="RT212">
        <v>261</v>
      </c>
      <c r="RU212">
        <v>168</v>
      </c>
      <c r="RV212" t="s">
        <v>652</v>
      </c>
      <c r="RW212" t="s">
        <v>653</v>
      </c>
      <c r="RX212">
        <v>15</v>
      </c>
      <c r="RY212">
        <v>4</v>
      </c>
      <c r="RZ212" t="s">
        <v>653</v>
      </c>
      <c r="SA212">
        <v>15</v>
      </c>
      <c r="SC212" t="s">
        <v>2833</v>
      </c>
      <c r="SD212">
        <v>1</v>
      </c>
      <c r="SH212">
        <v>0.995</v>
      </c>
      <c r="SI212">
        <v>0.995</v>
      </c>
      <c r="SJ212">
        <v>0.995</v>
      </c>
      <c r="SK212">
        <v>15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TB212">
        <v>0</v>
      </c>
      <c r="TC212">
        <v>0</v>
      </c>
      <c r="TD212">
        <v>7.5</v>
      </c>
      <c r="TE212" t="s">
        <v>553</v>
      </c>
      <c r="TF212" t="s">
        <v>655</v>
      </c>
      <c r="TG212" t="s">
        <v>555</v>
      </c>
      <c r="TI212" t="s">
        <v>546</v>
      </c>
      <c r="TJ212" t="s">
        <v>547</v>
      </c>
      <c r="TL212" t="s">
        <v>2662</v>
      </c>
      <c r="TM212" t="s">
        <v>513</v>
      </c>
      <c r="TN212">
        <v>0</v>
      </c>
      <c r="TO212" t="s">
        <v>557</v>
      </c>
    </row>
    <row r="213" spans="1:535">
      <c r="A213" t="s">
        <v>2835</v>
      </c>
      <c r="B213" t="s">
        <v>711</v>
      </c>
      <c r="C213" t="s">
        <v>509</v>
      </c>
      <c r="D213" t="s">
        <v>1987</v>
      </c>
      <c r="G213" t="s">
        <v>1088</v>
      </c>
      <c r="L213" t="s">
        <v>512</v>
      </c>
      <c r="M213" t="s">
        <v>804</v>
      </c>
      <c r="N213" t="s">
        <v>513</v>
      </c>
      <c r="O213" t="s">
        <v>565</v>
      </c>
      <c r="Q213" t="s">
        <v>2836</v>
      </c>
      <c r="R213" t="s">
        <v>517</v>
      </c>
      <c r="S213" t="s">
        <v>953</v>
      </c>
      <c r="T213" t="s">
        <v>954</v>
      </c>
      <c r="U213" t="s">
        <v>662</v>
      </c>
      <c r="V213" t="s">
        <v>663</v>
      </c>
      <c r="W213" t="s">
        <v>2577</v>
      </c>
      <c r="X213" t="s">
        <v>2657</v>
      </c>
      <c r="Y213" t="s">
        <v>524</v>
      </c>
      <c r="Z213" t="s">
        <v>2837</v>
      </c>
      <c r="AA213" t="s">
        <v>2838</v>
      </c>
      <c r="AB213" t="s">
        <v>2211</v>
      </c>
      <c r="AC213">
        <v>2</v>
      </c>
      <c r="AD213">
        <v>56</v>
      </c>
      <c r="AE213">
        <v>196</v>
      </c>
      <c r="AF213">
        <v>1.5</v>
      </c>
      <c r="AH213">
        <v>0</v>
      </c>
      <c r="AI213" t="s">
        <v>1179</v>
      </c>
      <c r="AJ213">
        <v>207.5</v>
      </c>
      <c r="AK213">
        <v>1</v>
      </c>
      <c r="AL213">
        <v>1.5</v>
      </c>
      <c r="AM213" t="s">
        <v>529</v>
      </c>
      <c r="AO213">
        <v>0</v>
      </c>
      <c r="AR213">
        <v>0</v>
      </c>
      <c r="AS213">
        <v>1.5</v>
      </c>
      <c r="AU213" t="s">
        <v>2839</v>
      </c>
      <c r="AW213" t="s">
        <v>2839</v>
      </c>
      <c r="AX213">
        <v>1</v>
      </c>
      <c r="AY213">
        <v>287.5</v>
      </c>
      <c r="AZ213">
        <v>1.5</v>
      </c>
      <c r="BA213" t="s">
        <v>529</v>
      </c>
      <c r="BB213" t="s">
        <v>2840</v>
      </c>
      <c r="BD213" t="s">
        <v>2840</v>
      </c>
      <c r="BE213">
        <v>1</v>
      </c>
      <c r="BF213">
        <v>240</v>
      </c>
      <c r="BG213">
        <v>1.5</v>
      </c>
      <c r="BJ213">
        <v>0</v>
      </c>
      <c r="BN213">
        <v>1.5</v>
      </c>
      <c r="BP213" t="s">
        <v>2697</v>
      </c>
      <c r="BQ213">
        <v>89</v>
      </c>
      <c r="BR213">
        <v>2</v>
      </c>
      <c r="BS213" t="s">
        <v>768</v>
      </c>
      <c r="BT213">
        <v>218</v>
      </c>
      <c r="BU213">
        <v>0.5</v>
      </c>
      <c r="BV213" t="s">
        <v>768</v>
      </c>
      <c r="BW213">
        <v>436</v>
      </c>
      <c r="BX213">
        <v>1</v>
      </c>
      <c r="BY213" t="s">
        <v>643</v>
      </c>
      <c r="BZ213">
        <v>290</v>
      </c>
      <c r="CA213">
        <v>490</v>
      </c>
      <c r="CB213" t="s">
        <v>672</v>
      </c>
      <c r="CC213" t="s">
        <v>644</v>
      </c>
      <c r="CD213">
        <v>450</v>
      </c>
      <c r="CE213" t="s">
        <v>673</v>
      </c>
      <c r="CF213">
        <v>15</v>
      </c>
      <c r="CG213" t="s">
        <v>674</v>
      </c>
      <c r="CH213" t="s">
        <v>674</v>
      </c>
      <c r="CI213">
        <v>100</v>
      </c>
      <c r="CJ213">
        <v>1381</v>
      </c>
      <c r="CK213">
        <v>2</v>
      </c>
      <c r="CL213">
        <v>1475</v>
      </c>
      <c r="CM213">
        <v>2</v>
      </c>
      <c r="CN213" t="s">
        <v>675</v>
      </c>
      <c r="CO213" t="s">
        <v>676</v>
      </c>
      <c r="CP213" t="s">
        <v>595</v>
      </c>
      <c r="CQ213" t="s">
        <v>621</v>
      </c>
      <c r="CR213" t="s">
        <v>541</v>
      </c>
      <c r="CS213" t="s">
        <v>542</v>
      </c>
      <c r="CT213">
        <v>415</v>
      </c>
      <c r="CU213">
        <v>5</v>
      </c>
      <c r="CV213">
        <v>1.2</v>
      </c>
      <c r="CW213">
        <v>1393</v>
      </c>
      <c r="CX213">
        <v>818</v>
      </c>
      <c r="DD213">
        <v>0</v>
      </c>
      <c r="DE213" t="s">
        <v>622</v>
      </c>
      <c r="DF213">
        <v>575</v>
      </c>
      <c r="DG213">
        <v>3</v>
      </c>
      <c r="DH213">
        <v>0.88</v>
      </c>
      <c r="DI213">
        <v>1390</v>
      </c>
      <c r="DJ213">
        <v>910</v>
      </c>
      <c r="DK213" t="s">
        <v>622</v>
      </c>
      <c r="DL213">
        <v>480</v>
      </c>
      <c r="DM213">
        <v>3</v>
      </c>
      <c r="DN213">
        <v>0.88</v>
      </c>
      <c r="DO213">
        <v>1396</v>
      </c>
      <c r="DP213">
        <v>734</v>
      </c>
      <c r="DW213" t="s">
        <v>544</v>
      </c>
      <c r="DX213">
        <v>7.5</v>
      </c>
      <c r="EA213">
        <v>1464.3</v>
      </c>
      <c r="EB213">
        <v>259</v>
      </c>
      <c r="EC213" t="s">
        <v>545</v>
      </c>
      <c r="ED213">
        <v>35</v>
      </c>
      <c r="EE213">
        <v>3</v>
      </c>
      <c r="EG213">
        <v>1505</v>
      </c>
      <c r="EH213">
        <v>211</v>
      </c>
      <c r="EJ213">
        <v>0</v>
      </c>
      <c r="EK213">
        <v>1</v>
      </c>
      <c r="EN213">
        <v>0</v>
      </c>
      <c r="EP213" t="s">
        <v>546</v>
      </c>
      <c r="EQ213">
        <v>115</v>
      </c>
      <c r="ER213">
        <v>3</v>
      </c>
      <c r="ES213">
        <v>5.5</v>
      </c>
      <c r="ET213">
        <v>1378</v>
      </c>
      <c r="EU213">
        <v>528.6</v>
      </c>
      <c r="EV213">
        <v>728</v>
      </c>
      <c r="EW213" t="s">
        <v>547</v>
      </c>
      <c r="EX213">
        <v>70</v>
      </c>
      <c r="EY213">
        <v>2</v>
      </c>
      <c r="EZ213">
        <v>4.5</v>
      </c>
      <c r="FA213">
        <v>1378</v>
      </c>
      <c r="FB213">
        <v>219.6</v>
      </c>
      <c r="FC213">
        <v>303</v>
      </c>
      <c r="FE213">
        <v>0</v>
      </c>
      <c r="FF213">
        <v>2</v>
      </c>
      <c r="FI213">
        <v>0</v>
      </c>
      <c r="FK213" t="s">
        <v>548</v>
      </c>
      <c r="FL213">
        <v>0.4</v>
      </c>
      <c r="FM213">
        <v>100</v>
      </c>
      <c r="FN213">
        <v>140</v>
      </c>
      <c r="GR213" t="s">
        <v>548</v>
      </c>
      <c r="GS213">
        <v>0.4</v>
      </c>
      <c r="GT213">
        <v>30</v>
      </c>
      <c r="GU213">
        <v>400</v>
      </c>
      <c r="GV213">
        <v>30</v>
      </c>
      <c r="GW213">
        <v>270</v>
      </c>
      <c r="HC213">
        <v>0.1</v>
      </c>
      <c r="HD213">
        <v>3</v>
      </c>
      <c r="HE213">
        <v>3</v>
      </c>
      <c r="HF213">
        <v>3</v>
      </c>
      <c r="HG213">
        <v>3</v>
      </c>
      <c r="HH213">
        <v>3</v>
      </c>
      <c r="HI213">
        <v>170</v>
      </c>
      <c r="HJ213">
        <v>3</v>
      </c>
      <c r="HK213">
        <v>55</v>
      </c>
      <c r="HL213">
        <v>2</v>
      </c>
      <c r="HM213">
        <v>0</v>
      </c>
      <c r="HN213">
        <v>2</v>
      </c>
      <c r="HO213">
        <v>100</v>
      </c>
      <c r="HP213">
        <v>3</v>
      </c>
      <c r="HQ213">
        <v>0</v>
      </c>
      <c r="HR213">
        <v>2</v>
      </c>
      <c r="HS213">
        <v>5464</v>
      </c>
      <c r="HT213">
        <v>160</v>
      </c>
      <c r="HU213">
        <v>180</v>
      </c>
      <c r="HW213">
        <v>0</v>
      </c>
      <c r="HX213">
        <v>480</v>
      </c>
      <c r="HY213">
        <v>0.18</v>
      </c>
      <c r="IA213">
        <v>0.15</v>
      </c>
      <c r="IB213">
        <v>0</v>
      </c>
      <c r="IC213">
        <v>180</v>
      </c>
      <c r="ID213">
        <v>110</v>
      </c>
      <c r="IE213">
        <v>225</v>
      </c>
      <c r="IF213">
        <v>0</v>
      </c>
      <c r="IH213" t="s">
        <v>549</v>
      </c>
      <c r="IO213">
        <v>3</v>
      </c>
      <c r="IP213">
        <v>18</v>
      </c>
      <c r="IQ213">
        <v>0</v>
      </c>
      <c r="IR213">
        <v>1</v>
      </c>
      <c r="IV213">
        <v>1381</v>
      </c>
      <c r="IW213">
        <v>436</v>
      </c>
      <c r="JA213">
        <v>1</v>
      </c>
      <c r="JB213">
        <v>0</v>
      </c>
      <c r="JC213">
        <v>2</v>
      </c>
      <c r="JD213">
        <v>1393</v>
      </c>
      <c r="JE213">
        <v>1390</v>
      </c>
      <c r="JF213">
        <v>1396</v>
      </c>
      <c r="JG213">
        <v>1378</v>
      </c>
      <c r="JH213">
        <v>0</v>
      </c>
      <c r="JJ213">
        <v>180</v>
      </c>
      <c r="JK213">
        <v>480</v>
      </c>
      <c r="JN213">
        <v>415</v>
      </c>
      <c r="JO213">
        <v>575</v>
      </c>
      <c r="JP213">
        <v>480</v>
      </c>
      <c r="JQ213">
        <v>0</v>
      </c>
      <c r="JR213">
        <v>392</v>
      </c>
      <c r="JS213">
        <v>170</v>
      </c>
      <c r="JV213">
        <v>8</v>
      </c>
      <c r="JW213" t="s">
        <v>550</v>
      </c>
      <c r="JX213">
        <v>0</v>
      </c>
      <c r="KA213">
        <v>225</v>
      </c>
      <c r="KB213">
        <v>110</v>
      </c>
      <c r="KC213">
        <v>0</v>
      </c>
      <c r="KD213">
        <v>80</v>
      </c>
      <c r="KF213">
        <v>4</v>
      </c>
      <c r="KG213">
        <v>4</v>
      </c>
      <c r="KH213">
        <v>2</v>
      </c>
      <c r="KI213">
        <v>2</v>
      </c>
      <c r="KJ213">
        <v>0</v>
      </c>
      <c r="KK213">
        <v>1.5</v>
      </c>
      <c r="KL213">
        <v>1.5</v>
      </c>
      <c r="KM213">
        <v>0</v>
      </c>
      <c r="KN213">
        <v>0</v>
      </c>
      <c r="KO213">
        <v>0</v>
      </c>
      <c r="KR213">
        <v>50</v>
      </c>
      <c r="KS213">
        <v>60</v>
      </c>
      <c r="KT213">
        <v>0</v>
      </c>
      <c r="LK213">
        <v>480</v>
      </c>
      <c r="PG213">
        <v>1</v>
      </c>
      <c r="PI213" t="s">
        <v>2211</v>
      </c>
      <c r="PJ213" t="s">
        <v>2839</v>
      </c>
      <c r="PK213" t="s">
        <v>2840</v>
      </c>
      <c r="PL213" t="s">
        <v>1179</v>
      </c>
      <c r="PP213" t="s">
        <v>2697</v>
      </c>
      <c r="PX213">
        <v>56</v>
      </c>
      <c r="PY213">
        <v>56</v>
      </c>
      <c r="PZ213" t="s">
        <v>2211</v>
      </c>
      <c r="QA213">
        <v>2</v>
      </c>
      <c r="QB213">
        <v>1378</v>
      </c>
      <c r="QC213">
        <v>69</v>
      </c>
      <c r="QD213">
        <v>69</v>
      </c>
      <c r="QE213" t="s">
        <v>1179</v>
      </c>
      <c r="QF213">
        <v>1</v>
      </c>
      <c r="QG213">
        <v>1393</v>
      </c>
      <c r="QH213">
        <v>66</v>
      </c>
      <c r="QI213">
        <v>66</v>
      </c>
      <c r="QL213">
        <v>0</v>
      </c>
      <c r="QM213">
        <v>62</v>
      </c>
      <c r="QN213">
        <v>62</v>
      </c>
      <c r="QO213" t="s">
        <v>2839</v>
      </c>
      <c r="QP213">
        <v>1</v>
      </c>
      <c r="QQ213">
        <v>1390</v>
      </c>
      <c r="QR213">
        <v>62</v>
      </c>
      <c r="QS213">
        <v>62</v>
      </c>
      <c r="QT213" t="s">
        <v>2840</v>
      </c>
      <c r="QU213">
        <v>1</v>
      </c>
      <c r="QV213">
        <v>1396</v>
      </c>
      <c r="QW213">
        <v>82</v>
      </c>
      <c r="QX213">
        <v>89</v>
      </c>
      <c r="QY213" t="s">
        <v>2697</v>
      </c>
      <c r="QZ213">
        <v>1</v>
      </c>
      <c r="RA213">
        <v>66</v>
      </c>
      <c r="RB213">
        <v>66</v>
      </c>
      <c r="RE213">
        <v>0</v>
      </c>
      <c r="RF213">
        <v>1</v>
      </c>
      <c r="RH213">
        <v>1</v>
      </c>
      <c r="RJ213">
        <v>1</v>
      </c>
      <c r="RL213">
        <v>4</v>
      </c>
      <c r="RM213">
        <v>4</v>
      </c>
      <c r="RO213">
        <v>587</v>
      </c>
      <c r="RQ213">
        <v>655</v>
      </c>
      <c r="RR213">
        <v>526</v>
      </c>
      <c r="RT213">
        <v>259</v>
      </c>
      <c r="RU213">
        <v>211</v>
      </c>
      <c r="RV213" t="s">
        <v>770</v>
      </c>
      <c r="RW213" t="s">
        <v>679</v>
      </c>
      <c r="RX213">
        <v>15</v>
      </c>
      <c r="RY213">
        <v>4</v>
      </c>
      <c r="RZ213" t="s">
        <v>679</v>
      </c>
      <c r="SA213">
        <v>15</v>
      </c>
      <c r="SC213" t="s">
        <v>2839</v>
      </c>
      <c r="SD213">
        <v>1</v>
      </c>
      <c r="SF213" t="s">
        <v>2840</v>
      </c>
      <c r="SG213">
        <v>1</v>
      </c>
      <c r="SH213">
        <v>0.995</v>
      </c>
      <c r="SI213">
        <v>0.995</v>
      </c>
      <c r="SJ213">
        <v>0.995</v>
      </c>
      <c r="SK213">
        <v>15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Z213">
        <v>1</v>
      </c>
      <c r="TB213">
        <v>0</v>
      </c>
      <c r="TC213">
        <v>0</v>
      </c>
      <c r="TD213">
        <v>7.5</v>
      </c>
      <c r="TE213" t="s">
        <v>553</v>
      </c>
      <c r="TF213" t="s">
        <v>624</v>
      </c>
      <c r="TG213" t="s">
        <v>555</v>
      </c>
      <c r="TI213" t="s">
        <v>546</v>
      </c>
      <c r="TJ213" t="s">
        <v>547</v>
      </c>
      <c r="TL213" t="s">
        <v>2662</v>
      </c>
      <c r="TM213" t="s">
        <v>513</v>
      </c>
      <c r="TN213">
        <v>0</v>
      </c>
      <c r="TO213" t="s">
        <v>557</v>
      </c>
    </row>
    <row r="214" spans="1:535">
      <c r="A214" t="s">
        <v>2841</v>
      </c>
      <c r="B214" t="s">
        <v>711</v>
      </c>
      <c r="C214" t="s">
        <v>509</v>
      </c>
      <c r="D214" t="s">
        <v>2817</v>
      </c>
      <c r="L214" t="s">
        <v>512</v>
      </c>
      <c r="M214" t="s">
        <v>804</v>
      </c>
      <c r="N214" t="s">
        <v>513</v>
      </c>
      <c r="O214" t="s">
        <v>565</v>
      </c>
      <c r="Q214" t="s">
        <v>2842</v>
      </c>
      <c r="R214" t="s">
        <v>517</v>
      </c>
      <c r="S214" t="s">
        <v>1042</v>
      </c>
      <c r="T214" t="s">
        <v>1043</v>
      </c>
      <c r="U214" t="s">
        <v>686</v>
      </c>
      <c r="V214" t="s">
        <v>687</v>
      </c>
      <c r="W214" t="s">
        <v>1296</v>
      </c>
      <c r="X214" t="s">
        <v>2657</v>
      </c>
      <c r="Y214" t="s">
        <v>524</v>
      </c>
      <c r="Z214" t="s">
        <v>2843</v>
      </c>
      <c r="AA214" t="s">
        <v>2844</v>
      </c>
      <c r="AB214" t="s">
        <v>2845</v>
      </c>
      <c r="AC214">
        <v>2</v>
      </c>
      <c r="AD214">
        <v>56</v>
      </c>
      <c r="AE214">
        <v>231</v>
      </c>
      <c r="AF214">
        <v>1.5</v>
      </c>
      <c r="AH214">
        <v>0</v>
      </c>
      <c r="AI214" t="s">
        <v>1080</v>
      </c>
      <c r="AJ214">
        <v>217.5</v>
      </c>
      <c r="AK214">
        <v>1</v>
      </c>
      <c r="AL214">
        <v>1.5</v>
      </c>
      <c r="AM214" t="s">
        <v>579</v>
      </c>
      <c r="AN214" t="s">
        <v>693</v>
      </c>
      <c r="AO214">
        <v>2</v>
      </c>
      <c r="AP214" t="s">
        <v>581</v>
      </c>
      <c r="AQ214" t="s">
        <v>582</v>
      </c>
      <c r="AR214">
        <v>254</v>
      </c>
      <c r="AS214">
        <v>1.5</v>
      </c>
      <c r="AT214" t="s">
        <v>583</v>
      </c>
      <c r="AU214" t="s">
        <v>2846</v>
      </c>
      <c r="AW214" t="s">
        <v>2846</v>
      </c>
      <c r="AX214">
        <v>1</v>
      </c>
      <c r="AY214">
        <v>305</v>
      </c>
      <c r="AZ214">
        <v>1.5</v>
      </c>
      <c r="BA214" t="s">
        <v>579</v>
      </c>
      <c r="BB214" t="s">
        <v>2847</v>
      </c>
      <c r="BD214" t="s">
        <v>2847</v>
      </c>
      <c r="BE214">
        <v>1</v>
      </c>
      <c r="BF214">
        <v>252.5</v>
      </c>
      <c r="BG214">
        <v>1.5</v>
      </c>
      <c r="BJ214">
        <v>0</v>
      </c>
      <c r="BN214">
        <v>1.5</v>
      </c>
      <c r="BP214" t="s">
        <v>2250</v>
      </c>
      <c r="BQ214">
        <v>89</v>
      </c>
      <c r="BR214">
        <v>2</v>
      </c>
      <c r="BS214" t="s">
        <v>1052</v>
      </c>
      <c r="BT214">
        <v>230</v>
      </c>
      <c r="BU214">
        <v>0.5</v>
      </c>
      <c r="BV214" t="s">
        <v>1052</v>
      </c>
      <c r="BW214">
        <v>460</v>
      </c>
      <c r="BX214">
        <v>1</v>
      </c>
      <c r="BY214" t="s">
        <v>698</v>
      </c>
      <c r="BZ214">
        <v>300</v>
      </c>
      <c r="CA214">
        <v>520</v>
      </c>
      <c r="CB214" t="s">
        <v>699</v>
      </c>
      <c r="CC214" t="s">
        <v>699</v>
      </c>
      <c r="CD214">
        <v>480</v>
      </c>
      <c r="CE214" t="s">
        <v>700</v>
      </c>
      <c r="CF214">
        <v>15</v>
      </c>
      <c r="CG214" t="s">
        <v>701</v>
      </c>
      <c r="CH214" t="s">
        <v>701</v>
      </c>
      <c r="CI214">
        <v>110</v>
      </c>
      <c r="CJ214">
        <v>1458</v>
      </c>
      <c r="CK214">
        <v>2</v>
      </c>
      <c r="CL214">
        <v>1552</v>
      </c>
      <c r="CM214">
        <v>2</v>
      </c>
      <c r="CN214" t="s">
        <v>702</v>
      </c>
      <c r="CO214" t="s">
        <v>676</v>
      </c>
      <c r="CP214" t="s">
        <v>703</v>
      </c>
      <c r="CQ214" t="s">
        <v>596</v>
      </c>
      <c r="CR214" t="s">
        <v>541</v>
      </c>
      <c r="CS214" t="s">
        <v>542</v>
      </c>
      <c r="CT214">
        <v>435</v>
      </c>
      <c r="CU214">
        <v>5</v>
      </c>
      <c r="CV214">
        <v>1.2</v>
      </c>
      <c r="CW214">
        <v>1475</v>
      </c>
      <c r="CX214">
        <v>909</v>
      </c>
      <c r="CY214" t="s">
        <v>705</v>
      </c>
      <c r="CZ214">
        <v>50</v>
      </c>
      <c r="DA214">
        <v>3</v>
      </c>
      <c r="DB214">
        <v>1</v>
      </c>
      <c r="DC214">
        <v>1475</v>
      </c>
      <c r="DD214">
        <v>77</v>
      </c>
      <c r="DE214" t="s">
        <v>622</v>
      </c>
      <c r="DF214">
        <v>610</v>
      </c>
      <c r="DG214">
        <v>3</v>
      </c>
      <c r="DH214">
        <v>0.88</v>
      </c>
      <c r="DI214">
        <v>1467</v>
      </c>
      <c r="DJ214">
        <v>1075</v>
      </c>
      <c r="DK214" t="s">
        <v>622</v>
      </c>
      <c r="DL214">
        <v>505</v>
      </c>
      <c r="DM214">
        <v>3</v>
      </c>
      <c r="DN214">
        <v>0.88</v>
      </c>
      <c r="DO214">
        <v>1472</v>
      </c>
      <c r="DP214">
        <v>810</v>
      </c>
      <c r="DW214" t="s">
        <v>544</v>
      </c>
      <c r="DX214">
        <v>7.5</v>
      </c>
      <c r="EA214">
        <v>1544.1</v>
      </c>
      <c r="EB214">
        <v>364</v>
      </c>
      <c r="EC214" t="s">
        <v>545</v>
      </c>
      <c r="ED214">
        <v>35</v>
      </c>
      <c r="EE214">
        <v>3</v>
      </c>
      <c r="EG214">
        <v>1595</v>
      </c>
      <c r="EH214">
        <v>223</v>
      </c>
      <c r="EJ214">
        <v>0</v>
      </c>
      <c r="EK214">
        <v>1</v>
      </c>
      <c r="EN214">
        <v>0</v>
      </c>
      <c r="EP214" t="s">
        <v>546</v>
      </c>
      <c r="EQ214">
        <v>125</v>
      </c>
      <c r="ER214">
        <v>3</v>
      </c>
      <c r="ES214">
        <v>5.5</v>
      </c>
      <c r="ET214">
        <v>1454</v>
      </c>
      <c r="EU214">
        <v>580.6</v>
      </c>
      <c r="EV214">
        <v>844</v>
      </c>
      <c r="EW214" t="s">
        <v>547</v>
      </c>
      <c r="EX214">
        <v>45</v>
      </c>
      <c r="EY214">
        <v>2</v>
      </c>
      <c r="EZ214">
        <v>4.5</v>
      </c>
      <c r="FA214">
        <v>1454</v>
      </c>
      <c r="FB214">
        <v>136</v>
      </c>
      <c r="FC214">
        <v>198</v>
      </c>
      <c r="FE214">
        <v>0</v>
      </c>
      <c r="FF214">
        <v>2</v>
      </c>
      <c r="FI214">
        <v>0</v>
      </c>
      <c r="FK214" t="s">
        <v>548</v>
      </c>
      <c r="FL214">
        <v>0.4</v>
      </c>
      <c r="FM214">
        <v>65</v>
      </c>
      <c r="FN214">
        <v>400</v>
      </c>
      <c r="FO214">
        <v>85</v>
      </c>
      <c r="FP214">
        <v>160</v>
      </c>
      <c r="GR214" t="s">
        <v>548</v>
      </c>
      <c r="GS214">
        <v>0.4</v>
      </c>
      <c r="GT214">
        <v>30</v>
      </c>
      <c r="GU214">
        <v>430</v>
      </c>
      <c r="GV214">
        <v>30</v>
      </c>
      <c r="GW214">
        <v>300</v>
      </c>
      <c r="HC214">
        <v>0.1</v>
      </c>
      <c r="HD214">
        <v>3</v>
      </c>
      <c r="HE214">
        <v>3</v>
      </c>
      <c r="HF214">
        <v>3</v>
      </c>
      <c r="HG214">
        <v>3</v>
      </c>
      <c r="HH214">
        <v>3</v>
      </c>
      <c r="HI214">
        <v>155</v>
      </c>
      <c r="HJ214">
        <v>3</v>
      </c>
      <c r="HK214">
        <v>30</v>
      </c>
      <c r="HL214">
        <v>2</v>
      </c>
      <c r="HM214">
        <v>0</v>
      </c>
      <c r="HN214">
        <v>2</v>
      </c>
      <c r="HO214">
        <v>110</v>
      </c>
      <c r="HP214">
        <v>3</v>
      </c>
      <c r="HQ214">
        <v>0</v>
      </c>
      <c r="HR214">
        <v>2</v>
      </c>
      <c r="HS214">
        <v>6206</v>
      </c>
      <c r="HT214">
        <v>190</v>
      </c>
      <c r="HU214">
        <v>180</v>
      </c>
      <c r="HW214">
        <v>0</v>
      </c>
      <c r="HX214">
        <v>500</v>
      </c>
      <c r="HY214">
        <v>0.18</v>
      </c>
      <c r="IA214">
        <v>0.15</v>
      </c>
      <c r="IB214">
        <v>0</v>
      </c>
      <c r="IC214">
        <v>180</v>
      </c>
      <c r="ID214">
        <v>110</v>
      </c>
      <c r="IE214">
        <v>225</v>
      </c>
      <c r="IF214">
        <v>0</v>
      </c>
      <c r="IH214" t="s">
        <v>549</v>
      </c>
      <c r="IO214">
        <v>3</v>
      </c>
      <c r="IP214">
        <v>19</v>
      </c>
      <c r="IQ214">
        <v>0</v>
      </c>
      <c r="IR214">
        <v>0</v>
      </c>
      <c r="IV214">
        <v>1458</v>
      </c>
      <c r="IW214">
        <v>460</v>
      </c>
      <c r="JA214">
        <v>1</v>
      </c>
      <c r="JB214">
        <v>0</v>
      </c>
      <c r="JC214">
        <v>2</v>
      </c>
      <c r="JD214">
        <v>1475</v>
      </c>
      <c r="JE214">
        <v>1467</v>
      </c>
      <c r="JF214">
        <v>1472</v>
      </c>
      <c r="JG214">
        <v>1454</v>
      </c>
      <c r="JH214">
        <v>0</v>
      </c>
      <c r="JJ214">
        <v>180</v>
      </c>
      <c r="JK214">
        <v>500</v>
      </c>
      <c r="JN214">
        <v>435</v>
      </c>
      <c r="JO214">
        <v>610</v>
      </c>
      <c r="JP214">
        <v>505</v>
      </c>
      <c r="JQ214">
        <v>0</v>
      </c>
      <c r="JR214">
        <v>462</v>
      </c>
      <c r="JS214">
        <v>155</v>
      </c>
      <c r="JV214">
        <v>8</v>
      </c>
      <c r="JW214" t="s">
        <v>550</v>
      </c>
      <c r="JX214">
        <v>508</v>
      </c>
      <c r="KA214">
        <v>225</v>
      </c>
      <c r="KB214">
        <v>110</v>
      </c>
      <c r="KC214">
        <v>0</v>
      </c>
      <c r="KD214">
        <v>80</v>
      </c>
      <c r="KF214">
        <v>4</v>
      </c>
      <c r="KG214">
        <v>2</v>
      </c>
      <c r="KH214">
        <v>2</v>
      </c>
      <c r="KI214">
        <v>2</v>
      </c>
      <c r="KJ214">
        <v>0</v>
      </c>
      <c r="KK214">
        <v>1.5</v>
      </c>
      <c r="KL214">
        <v>1.5</v>
      </c>
      <c r="KM214">
        <v>0</v>
      </c>
      <c r="KN214">
        <v>0</v>
      </c>
      <c r="KO214">
        <v>0</v>
      </c>
      <c r="KR214">
        <v>50</v>
      </c>
      <c r="KS214">
        <v>60</v>
      </c>
      <c r="KT214">
        <v>0</v>
      </c>
      <c r="LK214">
        <v>480</v>
      </c>
      <c r="PG214">
        <v>1</v>
      </c>
      <c r="PI214" t="s">
        <v>2845</v>
      </c>
      <c r="PJ214" t="s">
        <v>2846</v>
      </c>
      <c r="PK214" t="s">
        <v>2847</v>
      </c>
      <c r="PL214" t="s">
        <v>1080</v>
      </c>
      <c r="PP214" t="s">
        <v>2250</v>
      </c>
      <c r="PS214" t="s">
        <v>693</v>
      </c>
      <c r="PX214">
        <v>56</v>
      </c>
      <c r="PY214">
        <v>56</v>
      </c>
      <c r="PZ214" t="s">
        <v>2845</v>
      </c>
      <c r="QA214">
        <v>1</v>
      </c>
      <c r="QB214">
        <v>1454</v>
      </c>
      <c r="QC214">
        <v>69</v>
      </c>
      <c r="QD214">
        <v>69</v>
      </c>
      <c r="QE214" t="s">
        <v>1080</v>
      </c>
      <c r="QF214">
        <v>1</v>
      </c>
      <c r="QG214">
        <v>1475</v>
      </c>
      <c r="QH214">
        <v>66</v>
      </c>
      <c r="QI214">
        <v>66</v>
      </c>
      <c r="QJ214" t="s">
        <v>693</v>
      </c>
      <c r="QK214">
        <v>1</v>
      </c>
      <c r="QL214">
        <v>1475</v>
      </c>
      <c r="QM214">
        <v>62</v>
      </c>
      <c r="QN214">
        <v>62</v>
      </c>
      <c r="QO214" t="s">
        <v>2846</v>
      </c>
      <c r="QP214">
        <v>1</v>
      </c>
      <c r="QQ214">
        <v>1467</v>
      </c>
      <c r="QR214">
        <v>62</v>
      </c>
      <c r="QS214">
        <v>62</v>
      </c>
      <c r="QT214" t="s">
        <v>2847</v>
      </c>
      <c r="QU214">
        <v>1</v>
      </c>
      <c r="QV214">
        <v>1472</v>
      </c>
      <c r="QW214">
        <v>82</v>
      </c>
      <c r="QX214">
        <v>89</v>
      </c>
      <c r="QY214" t="s">
        <v>2250</v>
      </c>
      <c r="QZ214">
        <v>1</v>
      </c>
      <c r="RA214">
        <v>66</v>
      </c>
      <c r="RB214">
        <v>66</v>
      </c>
      <c r="RE214">
        <v>0</v>
      </c>
      <c r="RF214">
        <v>1</v>
      </c>
      <c r="RH214">
        <v>1</v>
      </c>
      <c r="RJ214">
        <v>1</v>
      </c>
      <c r="RK214">
        <v>2</v>
      </c>
      <c r="RL214">
        <v>4</v>
      </c>
      <c r="RM214">
        <v>4</v>
      </c>
      <c r="RO214">
        <v>616</v>
      </c>
      <c r="RP214">
        <v>105</v>
      </c>
      <c r="RQ214">
        <v>733</v>
      </c>
      <c r="RR214">
        <v>550</v>
      </c>
      <c r="RT214">
        <v>364</v>
      </c>
      <c r="RU214">
        <v>223</v>
      </c>
      <c r="RV214" t="s">
        <v>1055</v>
      </c>
      <c r="RW214" t="s">
        <v>707</v>
      </c>
      <c r="RX214">
        <v>15</v>
      </c>
      <c r="RY214">
        <v>4</v>
      </c>
      <c r="RZ214" t="s">
        <v>707</v>
      </c>
      <c r="SA214">
        <v>15</v>
      </c>
      <c r="SC214" t="s">
        <v>2846</v>
      </c>
      <c r="SD214">
        <v>1</v>
      </c>
      <c r="SF214" t="s">
        <v>2847</v>
      </c>
      <c r="SG214">
        <v>1</v>
      </c>
      <c r="SH214">
        <v>0.995</v>
      </c>
      <c r="SI214">
        <v>0.995</v>
      </c>
      <c r="SJ214">
        <v>0.995</v>
      </c>
      <c r="SK214">
        <v>15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1</v>
      </c>
      <c r="SZ214">
        <v>1</v>
      </c>
      <c r="TB214">
        <v>0</v>
      </c>
      <c r="TC214">
        <v>0</v>
      </c>
      <c r="TD214">
        <v>7.5</v>
      </c>
      <c r="TE214" t="s">
        <v>553</v>
      </c>
      <c r="TF214" t="s">
        <v>681</v>
      </c>
      <c r="TG214" t="s">
        <v>555</v>
      </c>
      <c r="TI214" t="s">
        <v>546</v>
      </c>
      <c r="TJ214" t="s">
        <v>547</v>
      </c>
      <c r="TL214" t="s">
        <v>2662</v>
      </c>
      <c r="TM214" t="s">
        <v>513</v>
      </c>
      <c r="TN214">
        <v>0</v>
      </c>
      <c r="TO214" t="s">
        <v>557</v>
      </c>
    </row>
    <row r="215" spans="1:535">
      <c r="A215" t="s">
        <v>2848</v>
      </c>
      <c r="B215" t="s">
        <v>564</v>
      </c>
      <c r="C215" t="s">
        <v>509</v>
      </c>
      <c r="D215" t="s">
        <v>2849</v>
      </c>
      <c r="G215" t="s">
        <v>561</v>
      </c>
      <c r="I215" t="s">
        <v>562</v>
      </c>
      <c r="J215" t="s">
        <v>563</v>
      </c>
      <c r="L215" t="s">
        <v>512</v>
      </c>
      <c r="M215" t="s">
        <v>629</v>
      </c>
      <c r="N215" t="s">
        <v>513</v>
      </c>
      <c r="O215" t="s">
        <v>565</v>
      </c>
      <c r="Q215" t="s">
        <v>2850</v>
      </c>
      <c r="R215" t="s">
        <v>517</v>
      </c>
      <c r="S215" t="s">
        <v>2851</v>
      </c>
      <c r="T215" t="s">
        <v>2852</v>
      </c>
      <c r="U215" t="s">
        <v>570</v>
      </c>
      <c r="V215" t="s">
        <v>571</v>
      </c>
      <c r="W215" t="s">
        <v>2853</v>
      </c>
      <c r="X215" t="s">
        <v>2657</v>
      </c>
      <c r="Y215" t="s">
        <v>574</v>
      </c>
      <c r="Z215" t="s">
        <v>2854</v>
      </c>
      <c r="AA215" t="s">
        <v>2855</v>
      </c>
      <c r="AB215" t="s">
        <v>2856</v>
      </c>
      <c r="AC215">
        <v>2</v>
      </c>
      <c r="AD215">
        <v>56</v>
      </c>
      <c r="AE215">
        <v>234</v>
      </c>
      <c r="AF215">
        <v>1.5</v>
      </c>
      <c r="AH215">
        <v>1</v>
      </c>
      <c r="AI215" t="s">
        <v>885</v>
      </c>
      <c r="AJ215">
        <v>215</v>
      </c>
      <c r="AK215">
        <v>1</v>
      </c>
      <c r="AL215">
        <v>1.5</v>
      </c>
      <c r="AM215" t="s">
        <v>579</v>
      </c>
      <c r="AN215" t="s">
        <v>795</v>
      </c>
      <c r="AO215">
        <v>2</v>
      </c>
      <c r="AP215" t="s">
        <v>581</v>
      </c>
      <c r="AQ215" t="s">
        <v>582</v>
      </c>
      <c r="AR215">
        <v>264</v>
      </c>
      <c r="AS215">
        <v>1.5</v>
      </c>
      <c r="AT215" t="s">
        <v>583</v>
      </c>
      <c r="AU215" t="s">
        <v>2857</v>
      </c>
      <c r="AW215" t="s">
        <v>2857</v>
      </c>
      <c r="AX215">
        <v>1</v>
      </c>
      <c r="AY215">
        <v>302.5</v>
      </c>
      <c r="AZ215">
        <v>1.5</v>
      </c>
      <c r="BA215" t="s">
        <v>579</v>
      </c>
      <c r="BB215" t="s">
        <v>2858</v>
      </c>
      <c r="BD215" t="s">
        <v>2858</v>
      </c>
      <c r="BE215">
        <v>1</v>
      </c>
      <c r="BF215">
        <v>255</v>
      </c>
      <c r="BG215">
        <v>1.5</v>
      </c>
      <c r="BJ215">
        <v>0</v>
      </c>
      <c r="BN215">
        <v>1.5</v>
      </c>
      <c r="BP215" t="s">
        <v>2113</v>
      </c>
      <c r="BQ215" t="s">
        <v>587</v>
      </c>
      <c r="BR215">
        <v>2</v>
      </c>
      <c r="BS215" t="s">
        <v>1886</v>
      </c>
      <c r="BT215">
        <v>234</v>
      </c>
      <c r="BU215">
        <v>0.5</v>
      </c>
      <c r="BV215" t="s">
        <v>1886</v>
      </c>
      <c r="BW215">
        <v>468</v>
      </c>
      <c r="BX215">
        <v>1</v>
      </c>
      <c r="BY215" t="s">
        <v>589</v>
      </c>
      <c r="BZ215">
        <v>470</v>
      </c>
      <c r="CA215">
        <v>530</v>
      </c>
      <c r="CB215" t="s">
        <v>590</v>
      </c>
      <c r="CC215" t="s">
        <v>590</v>
      </c>
      <c r="CD215">
        <v>488</v>
      </c>
      <c r="CE215" t="s">
        <v>591</v>
      </c>
      <c r="CF215">
        <v>15</v>
      </c>
      <c r="CG215" t="s">
        <v>936</v>
      </c>
      <c r="CH215" t="s">
        <v>936</v>
      </c>
      <c r="CI215">
        <v>30</v>
      </c>
      <c r="CJ215">
        <v>1538</v>
      </c>
      <c r="CK215">
        <v>2</v>
      </c>
      <c r="CL215">
        <v>1632</v>
      </c>
      <c r="CM215">
        <v>2</v>
      </c>
      <c r="CN215" t="s">
        <v>593</v>
      </c>
      <c r="CO215" t="s">
        <v>594</v>
      </c>
      <c r="CP215" t="s">
        <v>595</v>
      </c>
      <c r="CQ215" t="s">
        <v>596</v>
      </c>
      <c r="CR215" t="s">
        <v>541</v>
      </c>
      <c r="CS215" t="s">
        <v>542</v>
      </c>
      <c r="CT215">
        <v>430</v>
      </c>
      <c r="CU215">
        <v>5</v>
      </c>
      <c r="CV215">
        <v>1.2</v>
      </c>
      <c r="CW215">
        <v>1554</v>
      </c>
      <c r="CX215">
        <v>946</v>
      </c>
      <c r="CY215" t="s">
        <v>705</v>
      </c>
      <c r="CZ215">
        <v>60</v>
      </c>
      <c r="DA215">
        <v>3</v>
      </c>
      <c r="DB215">
        <v>1</v>
      </c>
      <c r="DC215">
        <v>1554</v>
      </c>
      <c r="DD215">
        <v>97</v>
      </c>
      <c r="DE215" t="s">
        <v>622</v>
      </c>
      <c r="DF215">
        <v>605</v>
      </c>
      <c r="DG215">
        <v>3</v>
      </c>
      <c r="DH215">
        <v>0.88</v>
      </c>
      <c r="DI215">
        <v>1547</v>
      </c>
      <c r="DJ215">
        <v>1080</v>
      </c>
      <c r="DK215" t="s">
        <v>622</v>
      </c>
      <c r="DL215">
        <v>510</v>
      </c>
      <c r="DM215">
        <v>3</v>
      </c>
      <c r="DN215">
        <v>0.88</v>
      </c>
      <c r="DO215">
        <v>1552</v>
      </c>
      <c r="DP215">
        <v>861</v>
      </c>
      <c r="DW215" t="s">
        <v>544</v>
      </c>
      <c r="DX215">
        <v>9.4</v>
      </c>
      <c r="EA215">
        <v>1623.8</v>
      </c>
      <c r="EB215">
        <v>381</v>
      </c>
      <c r="EC215" t="s">
        <v>545</v>
      </c>
      <c r="ED215">
        <v>30</v>
      </c>
      <c r="EE215">
        <v>3</v>
      </c>
      <c r="EG215">
        <v>1665</v>
      </c>
      <c r="EH215">
        <v>231</v>
      </c>
      <c r="EJ215">
        <v>0</v>
      </c>
      <c r="EK215">
        <v>1</v>
      </c>
      <c r="EN215">
        <v>0</v>
      </c>
      <c r="EP215" t="s">
        <v>546</v>
      </c>
      <c r="EQ215">
        <v>105</v>
      </c>
      <c r="ER215">
        <v>3</v>
      </c>
      <c r="ES215">
        <v>5.5</v>
      </c>
      <c r="ET215">
        <v>1534</v>
      </c>
      <c r="EU215">
        <v>485.3</v>
      </c>
      <c r="EV215">
        <v>744</v>
      </c>
      <c r="EW215" t="s">
        <v>547</v>
      </c>
      <c r="EX215">
        <v>45</v>
      </c>
      <c r="EY215">
        <v>2</v>
      </c>
      <c r="EZ215">
        <v>4.5</v>
      </c>
      <c r="FA215">
        <v>1534</v>
      </c>
      <c r="FB215">
        <v>143.2</v>
      </c>
      <c r="FC215">
        <v>220</v>
      </c>
      <c r="FE215">
        <v>0</v>
      </c>
      <c r="FF215">
        <v>2</v>
      </c>
      <c r="FI215">
        <v>0</v>
      </c>
      <c r="FK215" t="s">
        <v>548</v>
      </c>
      <c r="FL215">
        <v>0.4</v>
      </c>
      <c r="FM215">
        <v>45</v>
      </c>
      <c r="FN215">
        <v>410</v>
      </c>
      <c r="FO215">
        <v>70</v>
      </c>
      <c r="FP215">
        <v>190</v>
      </c>
      <c r="GR215" t="s">
        <v>548</v>
      </c>
      <c r="GS215">
        <v>0.4</v>
      </c>
      <c r="GT215">
        <v>30</v>
      </c>
      <c r="GU215">
        <v>430</v>
      </c>
      <c r="GV215">
        <v>30</v>
      </c>
      <c r="GW215">
        <v>320</v>
      </c>
      <c r="HC215">
        <v>0.1</v>
      </c>
      <c r="HD215">
        <v>3</v>
      </c>
      <c r="HE215">
        <v>3</v>
      </c>
      <c r="HF215">
        <v>3</v>
      </c>
      <c r="HG215">
        <v>3</v>
      </c>
      <c r="HH215">
        <v>3</v>
      </c>
      <c r="HI215">
        <v>135</v>
      </c>
      <c r="HJ215">
        <v>3</v>
      </c>
      <c r="HK215">
        <v>30</v>
      </c>
      <c r="HL215">
        <v>2</v>
      </c>
      <c r="HM215">
        <v>0</v>
      </c>
      <c r="HN215">
        <v>2</v>
      </c>
      <c r="HO215">
        <v>90</v>
      </c>
      <c r="HP215">
        <v>3</v>
      </c>
      <c r="HQ215">
        <v>0</v>
      </c>
      <c r="HR215">
        <v>2</v>
      </c>
      <c r="HS215">
        <v>6233</v>
      </c>
      <c r="HT215">
        <v>190</v>
      </c>
      <c r="HU215">
        <v>180</v>
      </c>
      <c r="HW215">
        <v>0</v>
      </c>
      <c r="HX215">
        <v>475</v>
      </c>
      <c r="HY215">
        <v>0.18</v>
      </c>
      <c r="IA215">
        <v>0.15</v>
      </c>
      <c r="IB215">
        <v>0</v>
      </c>
      <c r="IC215">
        <v>180</v>
      </c>
      <c r="ID215">
        <v>110</v>
      </c>
      <c r="IE215">
        <v>225</v>
      </c>
      <c r="IF215">
        <v>0</v>
      </c>
      <c r="IH215" t="s">
        <v>549</v>
      </c>
      <c r="IO215">
        <v>3</v>
      </c>
      <c r="IP215">
        <v>20</v>
      </c>
      <c r="IQ215">
        <v>0</v>
      </c>
      <c r="IR215">
        <v>0</v>
      </c>
      <c r="IV215">
        <v>1538</v>
      </c>
      <c r="IW215">
        <v>468</v>
      </c>
      <c r="JA215">
        <v>1</v>
      </c>
      <c r="JB215">
        <v>0</v>
      </c>
      <c r="JC215">
        <v>2</v>
      </c>
      <c r="JD215">
        <v>1554</v>
      </c>
      <c r="JE215">
        <v>1547</v>
      </c>
      <c r="JF215">
        <v>1552</v>
      </c>
      <c r="JG215">
        <v>1534</v>
      </c>
      <c r="JH215">
        <v>0</v>
      </c>
      <c r="JJ215">
        <v>180</v>
      </c>
      <c r="JK215">
        <v>475</v>
      </c>
      <c r="JN215">
        <v>430</v>
      </c>
      <c r="JO215">
        <v>605</v>
      </c>
      <c r="JP215">
        <v>510</v>
      </c>
      <c r="JQ215">
        <v>0</v>
      </c>
      <c r="JR215">
        <v>468</v>
      </c>
      <c r="JS215">
        <v>135</v>
      </c>
      <c r="JV215">
        <v>10</v>
      </c>
      <c r="JW215" t="s">
        <v>550</v>
      </c>
      <c r="JX215">
        <v>528</v>
      </c>
      <c r="KA215">
        <v>225</v>
      </c>
      <c r="KB215">
        <v>110</v>
      </c>
      <c r="KC215">
        <v>0</v>
      </c>
      <c r="KD215">
        <v>80</v>
      </c>
      <c r="KF215">
        <v>4</v>
      </c>
      <c r="KG215">
        <v>2</v>
      </c>
      <c r="KH215">
        <v>2</v>
      </c>
      <c r="KI215">
        <v>2</v>
      </c>
      <c r="KJ215">
        <v>0</v>
      </c>
      <c r="KK215">
        <v>1.5</v>
      </c>
      <c r="KL215">
        <v>1.5</v>
      </c>
      <c r="KM215">
        <v>0</v>
      </c>
      <c r="KN215">
        <v>0</v>
      </c>
      <c r="KO215">
        <v>0</v>
      </c>
      <c r="KR215">
        <v>30</v>
      </c>
      <c r="KS215">
        <v>60</v>
      </c>
      <c r="KT215">
        <v>0</v>
      </c>
      <c r="LK215">
        <v>480</v>
      </c>
      <c r="PG215">
        <v>1</v>
      </c>
      <c r="PI215" t="s">
        <v>2856</v>
      </c>
      <c r="PJ215" t="s">
        <v>2857</v>
      </c>
      <c r="PK215" t="s">
        <v>2858</v>
      </c>
      <c r="PL215" t="s">
        <v>885</v>
      </c>
      <c r="PP215" t="s">
        <v>2113</v>
      </c>
      <c r="PS215" t="s">
        <v>795</v>
      </c>
      <c r="PX215">
        <v>56</v>
      </c>
      <c r="PY215">
        <v>56</v>
      </c>
      <c r="PZ215" t="s">
        <v>2856</v>
      </c>
      <c r="QA215">
        <v>1</v>
      </c>
      <c r="QB215">
        <v>1534</v>
      </c>
      <c r="QC215">
        <v>69</v>
      </c>
      <c r="QD215">
        <v>69</v>
      </c>
      <c r="QE215" t="s">
        <v>885</v>
      </c>
      <c r="QF215">
        <v>1</v>
      </c>
      <c r="QG215">
        <v>1554</v>
      </c>
      <c r="QH215">
        <v>66</v>
      </c>
      <c r="QI215">
        <v>66</v>
      </c>
      <c r="QJ215" t="s">
        <v>795</v>
      </c>
      <c r="QK215">
        <v>1</v>
      </c>
      <c r="QL215">
        <v>1554</v>
      </c>
      <c r="QM215">
        <v>62</v>
      </c>
      <c r="QN215">
        <v>62</v>
      </c>
      <c r="QO215" t="s">
        <v>2857</v>
      </c>
      <c r="QP215">
        <v>1</v>
      </c>
      <c r="QQ215">
        <v>1547</v>
      </c>
      <c r="QR215">
        <v>62</v>
      </c>
      <c r="QS215">
        <v>62</v>
      </c>
      <c r="QT215" t="s">
        <v>2858</v>
      </c>
      <c r="QU215">
        <v>1</v>
      </c>
      <c r="QV215">
        <v>1552</v>
      </c>
      <c r="QW215">
        <v>82</v>
      </c>
      <c r="QX215" t="s">
        <v>587</v>
      </c>
      <c r="QY215" t="s">
        <v>2113</v>
      </c>
      <c r="QZ215">
        <v>2</v>
      </c>
      <c r="RA215">
        <v>66</v>
      </c>
      <c r="RB215">
        <v>66</v>
      </c>
      <c r="RE215">
        <v>0</v>
      </c>
      <c r="RF215">
        <v>1</v>
      </c>
      <c r="RH215">
        <v>1</v>
      </c>
      <c r="RJ215">
        <v>1</v>
      </c>
      <c r="RK215">
        <v>2</v>
      </c>
      <c r="RL215">
        <v>4</v>
      </c>
      <c r="RM215">
        <v>4</v>
      </c>
      <c r="RO215">
        <v>609</v>
      </c>
      <c r="RP215">
        <v>125</v>
      </c>
      <c r="RQ215">
        <v>698</v>
      </c>
      <c r="RR215">
        <v>555</v>
      </c>
      <c r="RT215">
        <v>381</v>
      </c>
      <c r="RU215">
        <v>231</v>
      </c>
      <c r="RV215" t="s">
        <v>1887</v>
      </c>
      <c r="RW215" t="s">
        <v>599</v>
      </c>
      <c r="RX215">
        <v>15</v>
      </c>
      <c r="RY215">
        <v>4</v>
      </c>
      <c r="RZ215" t="s">
        <v>599</v>
      </c>
      <c r="SA215">
        <v>15</v>
      </c>
      <c r="SC215" t="s">
        <v>2857</v>
      </c>
      <c r="SD215">
        <v>1</v>
      </c>
      <c r="SF215" t="s">
        <v>2858</v>
      </c>
      <c r="SG215">
        <v>1</v>
      </c>
      <c r="SH215">
        <v>0.995</v>
      </c>
      <c r="SI215">
        <v>0.995</v>
      </c>
      <c r="SJ215">
        <v>0.995</v>
      </c>
      <c r="SK215">
        <v>15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1</v>
      </c>
      <c r="SZ215">
        <v>1</v>
      </c>
      <c r="TB215">
        <v>0</v>
      </c>
      <c r="TC215">
        <v>0</v>
      </c>
      <c r="TD215">
        <v>9.4</v>
      </c>
      <c r="TE215" t="s">
        <v>553</v>
      </c>
      <c r="TF215" t="s">
        <v>600</v>
      </c>
      <c r="TG215" t="s">
        <v>555</v>
      </c>
      <c r="TI215" t="s">
        <v>546</v>
      </c>
      <c r="TJ215" t="s">
        <v>547</v>
      </c>
      <c r="TL215" t="s">
        <v>2662</v>
      </c>
      <c r="TM215" t="s">
        <v>513</v>
      </c>
      <c r="TN215">
        <v>0</v>
      </c>
      <c r="TO215" t="s">
        <v>601</v>
      </c>
    </row>
    <row r="216" spans="1:535">
      <c r="A216" t="s">
        <v>2859</v>
      </c>
      <c r="B216" t="s">
        <v>711</v>
      </c>
      <c r="C216" t="s">
        <v>509</v>
      </c>
      <c r="D216" t="s">
        <v>803</v>
      </c>
      <c r="G216" t="s">
        <v>1294</v>
      </c>
      <c r="I216" t="s">
        <v>562</v>
      </c>
      <c r="J216" t="s">
        <v>563</v>
      </c>
      <c r="L216" t="s">
        <v>512</v>
      </c>
      <c r="M216" t="s">
        <v>804</v>
      </c>
      <c r="N216" t="s">
        <v>513</v>
      </c>
      <c r="O216" t="s">
        <v>565</v>
      </c>
      <c r="Q216" t="s">
        <v>2860</v>
      </c>
      <c r="R216" t="s">
        <v>517</v>
      </c>
      <c r="S216" t="s">
        <v>1126</v>
      </c>
      <c r="T216" t="s">
        <v>1127</v>
      </c>
      <c r="U216" t="s">
        <v>633</v>
      </c>
      <c r="V216" t="s">
        <v>634</v>
      </c>
      <c r="W216" t="s">
        <v>2607</v>
      </c>
      <c r="X216" t="s">
        <v>2657</v>
      </c>
      <c r="Y216" t="s">
        <v>524</v>
      </c>
      <c r="Z216" t="s">
        <v>2861</v>
      </c>
      <c r="AA216" t="s">
        <v>2862</v>
      </c>
      <c r="AB216" t="s">
        <v>2863</v>
      </c>
      <c r="AC216">
        <v>2</v>
      </c>
      <c r="AD216">
        <v>56</v>
      </c>
      <c r="AE216">
        <v>175</v>
      </c>
      <c r="AF216">
        <v>1.5</v>
      </c>
      <c r="AH216">
        <v>0</v>
      </c>
      <c r="AI216" t="s">
        <v>944</v>
      </c>
      <c r="AJ216">
        <v>187.5</v>
      </c>
      <c r="AK216">
        <v>1</v>
      </c>
      <c r="AL216">
        <v>1.5</v>
      </c>
      <c r="AM216" t="s">
        <v>529</v>
      </c>
      <c r="AO216">
        <v>0</v>
      </c>
      <c r="AR216">
        <v>0</v>
      </c>
      <c r="AS216">
        <v>1.5</v>
      </c>
      <c r="AU216" t="s">
        <v>2864</v>
      </c>
      <c r="AW216" t="s">
        <v>2864</v>
      </c>
      <c r="AX216">
        <v>1</v>
      </c>
      <c r="AY216">
        <v>260</v>
      </c>
      <c r="AZ216">
        <v>1.5</v>
      </c>
      <c r="BA216" t="s">
        <v>529</v>
      </c>
      <c r="BG216">
        <v>1.5</v>
      </c>
      <c r="BJ216">
        <v>0</v>
      </c>
      <c r="BN216">
        <v>1.5</v>
      </c>
      <c r="BP216" t="s">
        <v>2140</v>
      </c>
      <c r="BQ216">
        <v>89</v>
      </c>
      <c r="BR216">
        <v>2</v>
      </c>
      <c r="BS216" t="s">
        <v>947</v>
      </c>
      <c r="BT216">
        <v>197</v>
      </c>
      <c r="BU216">
        <v>0.5</v>
      </c>
      <c r="BV216" t="s">
        <v>947</v>
      </c>
      <c r="BW216">
        <v>394</v>
      </c>
      <c r="BX216">
        <v>1</v>
      </c>
      <c r="BY216" t="s">
        <v>643</v>
      </c>
      <c r="BZ216">
        <v>300</v>
      </c>
      <c r="CA216">
        <v>460</v>
      </c>
      <c r="CB216" t="s">
        <v>644</v>
      </c>
      <c r="CC216" t="s">
        <v>644</v>
      </c>
      <c r="CD216">
        <v>360</v>
      </c>
      <c r="CE216" t="s">
        <v>544</v>
      </c>
      <c r="CF216">
        <v>15</v>
      </c>
      <c r="CG216" t="s">
        <v>645</v>
      </c>
      <c r="CH216" t="s">
        <v>645</v>
      </c>
      <c r="CI216">
        <v>80</v>
      </c>
      <c r="CJ216">
        <v>1301</v>
      </c>
      <c r="CK216">
        <v>2</v>
      </c>
      <c r="CL216">
        <v>1395</v>
      </c>
      <c r="CM216">
        <v>2</v>
      </c>
      <c r="CN216" t="s">
        <v>646</v>
      </c>
      <c r="CO216" t="s">
        <v>647</v>
      </c>
      <c r="CP216" t="s">
        <v>648</v>
      </c>
      <c r="CQ216" t="s">
        <v>540</v>
      </c>
      <c r="CR216" t="s">
        <v>541</v>
      </c>
      <c r="CS216" t="s">
        <v>542</v>
      </c>
      <c r="CT216">
        <v>375</v>
      </c>
      <c r="CU216">
        <v>5</v>
      </c>
      <c r="CV216">
        <v>1.2</v>
      </c>
      <c r="CW216">
        <v>1314</v>
      </c>
      <c r="CX216">
        <v>698</v>
      </c>
      <c r="DD216">
        <v>0</v>
      </c>
      <c r="DE216" t="s">
        <v>543</v>
      </c>
      <c r="DF216">
        <v>520</v>
      </c>
      <c r="DG216">
        <v>3</v>
      </c>
      <c r="DH216">
        <v>1.18</v>
      </c>
      <c r="DI216">
        <v>1312</v>
      </c>
      <c r="DJ216">
        <v>1052</v>
      </c>
      <c r="DW216" t="s">
        <v>544</v>
      </c>
      <c r="DX216">
        <v>7.5</v>
      </c>
      <c r="EA216">
        <v>1381.4</v>
      </c>
      <c r="EB216">
        <v>245</v>
      </c>
      <c r="EC216" t="s">
        <v>545</v>
      </c>
      <c r="ED216">
        <v>30</v>
      </c>
      <c r="EE216">
        <v>3</v>
      </c>
      <c r="EG216">
        <v>1422</v>
      </c>
      <c r="EH216">
        <v>168</v>
      </c>
      <c r="EJ216">
        <v>0</v>
      </c>
      <c r="EK216">
        <v>1</v>
      </c>
      <c r="EN216">
        <v>0</v>
      </c>
      <c r="EP216" t="s">
        <v>546</v>
      </c>
      <c r="EQ216">
        <v>90</v>
      </c>
      <c r="ER216">
        <v>3</v>
      </c>
      <c r="ES216">
        <v>5</v>
      </c>
      <c r="ET216">
        <v>1295</v>
      </c>
      <c r="EU216">
        <v>378.8</v>
      </c>
      <c r="EV216">
        <v>491</v>
      </c>
      <c r="EW216" t="s">
        <v>547</v>
      </c>
      <c r="EX216">
        <v>70</v>
      </c>
      <c r="EY216">
        <v>2</v>
      </c>
      <c r="EZ216">
        <v>4.5</v>
      </c>
      <c r="FA216">
        <v>1295</v>
      </c>
      <c r="FB216">
        <v>219.6</v>
      </c>
      <c r="FC216">
        <v>284</v>
      </c>
      <c r="FE216">
        <v>0</v>
      </c>
      <c r="FF216">
        <v>2</v>
      </c>
      <c r="FI216">
        <v>0</v>
      </c>
      <c r="FK216" t="s">
        <v>548</v>
      </c>
      <c r="FL216">
        <v>0.4</v>
      </c>
      <c r="FM216">
        <v>80</v>
      </c>
      <c r="FN216">
        <v>140</v>
      </c>
      <c r="FR216" t="s">
        <v>548</v>
      </c>
      <c r="FS216">
        <v>0.4</v>
      </c>
      <c r="FT216">
        <v>30</v>
      </c>
      <c r="FU216">
        <v>360</v>
      </c>
      <c r="HC216">
        <v>0.1</v>
      </c>
      <c r="HD216">
        <v>3</v>
      </c>
      <c r="HE216">
        <v>3</v>
      </c>
      <c r="HF216">
        <v>3</v>
      </c>
      <c r="HG216">
        <v>3</v>
      </c>
      <c r="HH216">
        <v>3</v>
      </c>
      <c r="HI216">
        <v>145</v>
      </c>
      <c r="HJ216">
        <v>3</v>
      </c>
      <c r="HK216">
        <v>55</v>
      </c>
      <c r="HL216">
        <v>2</v>
      </c>
      <c r="HM216">
        <v>0</v>
      </c>
      <c r="HN216">
        <v>2</v>
      </c>
      <c r="HO216">
        <v>75</v>
      </c>
      <c r="HP216">
        <v>3</v>
      </c>
      <c r="HQ216">
        <v>0</v>
      </c>
      <c r="HR216">
        <v>2</v>
      </c>
      <c r="HS216">
        <v>4126</v>
      </c>
      <c r="HT216">
        <v>120</v>
      </c>
      <c r="HU216">
        <v>180</v>
      </c>
      <c r="HW216">
        <v>0</v>
      </c>
      <c r="HX216">
        <v>460</v>
      </c>
      <c r="HY216">
        <v>0.18</v>
      </c>
      <c r="IA216">
        <v>0.15</v>
      </c>
      <c r="IB216">
        <v>0</v>
      </c>
      <c r="IC216">
        <v>180</v>
      </c>
      <c r="ID216">
        <v>110</v>
      </c>
      <c r="IE216">
        <v>0</v>
      </c>
      <c r="IF216">
        <v>0</v>
      </c>
      <c r="IH216" t="s">
        <v>549</v>
      </c>
      <c r="IO216">
        <v>1</v>
      </c>
      <c r="IP216">
        <v>17</v>
      </c>
      <c r="IQ216">
        <v>0</v>
      </c>
      <c r="IR216">
        <v>1</v>
      </c>
      <c r="IV216">
        <v>1301</v>
      </c>
      <c r="IW216">
        <v>394</v>
      </c>
      <c r="JA216">
        <v>1</v>
      </c>
      <c r="JB216">
        <v>0</v>
      </c>
      <c r="JC216">
        <v>2</v>
      </c>
      <c r="JD216">
        <v>1314</v>
      </c>
      <c r="JE216">
        <v>1312</v>
      </c>
      <c r="JF216">
        <v>0</v>
      </c>
      <c r="JG216">
        <v>1295</v>
      </c>
      <c r="JH216">
        <v>0</v>
      </c>
      <c r="JJ216">
        <v>180</v>
      </c>
      <c r="JK216">
        <v>460</v>
      </c>
      <c r="JN216">
        <v>375</v>
      </c>
      <c r="JO216">
        <v>520</v>
      </c>
      <c r="JP216">
        <v>0</v>
      </c>
      <c r="JQ216">
        <v>0</v>
      </c>
      <c r="JR216">
        <v>350</v>
      </c>
      <c r="JS216">
        <v>145</v>
      </c>
      <c r="JV216">
        <v>8</v>
      </c>
      <c r="JW216" t="s">
        <v>550</v>
      </c>
      <c r="JX216">
        <v>0</v>
      </c>
      <c r="KA216">
        <v>0</v>
      </c>
      <c r="KB216">
        <v>110</v>
      </c>
      <c r="KC216">
        <v>0</v>
      </c>
      <c r="KD216">
        <v>80</v>
      </c>
      <c r="KF216">
        <v>4</v>
      </c>
      <c r="KG216">
        <v>2</v>
      </c>
      <c r="KH216">
        <v>2</v>
      </c>
      <c r="KI216">
        <v>2</v>
      </c>
      <c r="KJ216">
        <v>0</v>
      </c>
      <c r="KK216">
        <v>1.5</v>
      </c>
      <c r="KL216">
        <v>1.5</v>
      </c>
      <c r="KM216">
        <v>0</v>
      </c>
      <c r="KN216">
        <v>0</v>
      </c>
      <c r="KO216">
        <v>0</v>
      </c>
      <c r="KR216">
        <v>50</v>
      </c>
      <c r="KS216">
        <v>60</v>
      </c>
      <c r="KT216">
        <v>0</v>
      </c>
      <c r="LK216">
        <v>480</v>
      </c>
      <c r="PG216">
        <v>1</v>
      </c>
      <c r="PI216" t="s">
        <v>2863</v>
      </c>
      <c r="PJ216" t="s">
        <v>2864</v>
      </c>
      <c r="PL216" t="s">
        <v>944</v>
      </c>
      <c r="PP216" t="s">
        <v>2140</v>
      </c>
      <c r="PX216">
        <v>56</v>
      </c>
      <c r="PY216">
        <v>56</v>
      </c>
      <c r="PZ216" t="s">
        <v>2863</v>
      </c>
      <c r="QA216">
        <v>2</v>
      </c>
      <c r="QB216">
        <v>1295</v>
      </c>
      <c r="QC216">
        <v>69</v>
      </c>
      <c r="QD216">
        <v>69</v>
      </c>
      <c r="QE216" t="s">
        <v>944</v>
      </c>
      <c r="QF216">
        <v>1</v>
      </c>
      <c r="QG216">
        <v>1314</v>
      </c>
      <c r="QH216">
        <v>66</v>
      </c>
      <c r="QI216">
        <v>66</v>
      </c>
      <c r="QL216">
        <v>0</v>
      </c>
      <c r="QM216">
        <v>62</v>
      </c>
      <c r="QN216">
        <v>62</v>
      </c>
      <c r="QO216" t="s">
        <v>2864</v>
      </c>
      <c r="QP216">
        <v>1</v>
      </c>
      <c r="QQ216">
        <v>1312</v>
      </c>
      <c r="QW216">
        <v>82</v>
      </c>
      <c r="QX216">
        <v>89</v>
      </c>
      <c r="QY216" t="s">
        <v>2140</v>
      </c>
      <c r="QZ216">
        <v>1</v>
      </c>
      <c r="RA216">
        <v>66</v>
      </c>
      <c r="RB216">
        <v>66</v>
      </c>
      <c r="RE216">
        <v>0</v>
      </c>
      <c r="RF216">
        <v>1</v>
      </c>
      <c r="RJ216">
        <v>1</v>
      </c>
      <c r="RL216">
        <v>2</v>
      </c>
      <c r="RO216">
        <v>531</v>
      </c>
      <c r="RQ216">
        <v>802</v>
      </c>
      <c r="RT216">
        <v>245</v>
      </c>
      <c r="RU216">
        <v>168</v>
      </c>
      <c r="RV216" t="s">
        <v>949</v>
      </c>
      <c r="RW216" t="s">
        <v>653</v>
      </c>
      <c r="RX216">
        <v>15</v>
      </c>
      <c r="RY216">
        <v>4</v>
      </c>
      <c r="RZ216" t="s">
        <v>653</v>
      </c>
      <c r="SA216">
        <v>15</v>
      </c>
      <c r="SC216" t="s">
        <v>2864</v>
      </c>
      <c r="SD216">
        <v>1</v>
      </c>
      <c r="SH216">
        <v>0.995</v>
      </c>
      <c r="SI216">
        <v>0.995</v>
      </c>
      <c r="SJ216">
        <v>0.995</v>
      </c>
      <c r="SK216">
        <v>15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TB216">
        <v>0</v>
      </c>
      <c r="TC216">
        <v>0</v>
      </c>
      <c r="TD216">
        <v>7.5</v>
      </c>
      <c r="TE216" t="s">
        <v>553</v>
      </c>
      <c r="TF216" t="s">
        <v>624</v>
      </c>
      <c r="TG216" t="s">
        <v>555</v>
      </c>
      <c r="TI216" t="s">
        <v>546</v>
      </c>
      <c r="TJ216" t="s">
        <v>547</v>
      </c>
      <c r="TL216" t="s">
        <v>2662</v>
      </c>
      <c r="TM216" t="s">
        <v>513</v>
      </c>
      <c r="TN216">
        <v>0</v>
      </c>
      <c r="TO216" t="s">
        <v>557</v>
      </c>
    </row>
    <row r="217" spans="1:535">
      <c r="A217" t="s">
        <v>2865</v>
      </c>
      <c r="B217" t="s">
        <v>804</v>
      </c>
      <c r="C217" t="s">
        <v>509</v>
      </c>
      <c r="D217" t="s">
        <v>1932</v>
      </c>
      <c r="G217" t="s">
        <v>1135</v>
      </c>
      <c r="I217" t="s">
        <v>562</v>
      </c>
      <c r="J217" t="s">
        <v>563</v>
      </c>
      <c r="L217" t="s">
        <v>512</v>
      </c>
      <c r="M217" t="s">
        <v>508</v>
      </c>
      <c r="N217" t="s">
        <v>513</v>
      </c>
      <c r="O217" t="s">
        <v>1255</v>
      </c>
      <c r="P217" t="s">
        <v>515</v>
      </c>
      <c r="Q217" t="s">
        <v>2866</v>
      </c>
      <c r="R217" t="s">
        <v>517</v>
      </c>
      <c r="S217" t="s">
        <v>1187</v>
      </c>
      <c r="T217" t="s">
        <v>1103</v>
      </c>
      <c r="U217" t="s">
        <v>662</v>
      </c>
      <c r="V217" t="s">
        <v>663</v>
      </c>
      <c r="W217" t="s">
        <v>2809</v>
      </c>
      <c r="X217" t="s">
        <v>2657</v>
      </c>
      <c r="Y217" t="s">
        <v>574</v>
      </c>
      <c r="Z217" t="s">
        <v>2867</v>
      </c>
      <c r="AA217" t="s">
        <v>2868</v>
      </c>
      <c r="AB217" t="s">
        <v>2869</v>
      </c>
      <c r="AC217">
        <v>2</v>
      </c>
      <c r="AD217">
        <v>56</v>
      </c>
      <c r="AE217">
        <v>213</v>
      </c>
      <c r="AF217">
        <v>1.5</v>
      </c>
      <c r="AH217">
        <v>0</v>
      </c>
      <c r="AI217" t="s">
        <v>1048</v>
      </c>
      <c r="AJ217">
        <v>225</v>
      </c>
      <c r="AK217">
        <v>1</v>
      </c>
      <c r="AL217">
        <v>1.5</v>
      </c>
      <c r="AM217" t="s">
        <v>529</v>
      </c>
      <c r="AO217">
        <v>0</v>
      </c>
      <c r="AR217">
        <v>0</v>
      </c>
      <c r="AS217">
        <v>1.5</v>
      </c>
      <c r="AU217" t="s">
        <v>2870</v>
      </c>
      <c r="AW217" t="s">
        <v>2870</v>
      </c>
      <c r="AX217">
        <v>1</v>
      </c>
      <c r="AY217">
        <v>315</v>
      </c>
      <c r="AZ217">
        <v>1.5</v>
      </c>
      <c r="BA217" t="s">
        <v>529</v>
      </c>
      <c r="BB217" t="s">
        <v>2871</v>
      </c>
      <c r="BD217" t="s">
        <v>2871</v>
      </c>
      <c r="BE217">
        <v>1</v>
      </c>
      <c r="BF217">
        <v>257.5</v>
      </c>
      <c r="BG217">
        <v>1.5</v>
      </c>
      <c r="BJ217">
        <v>0</v>
      </c>
      <c r="BN217">
        <v>1.5</v>
      </c>
      <c r="BP217" t="s">
        <v>2708</v>
      </c>
      <c r="BQ217">
        <v>88</v>
      </c>
      <c r="BR217">
        <v>2</v>
      </c>
      <c r="BS217" t="s">
        <v>671</v>
      </c>
      <c r="BT217">
        <v>235</v>
      </c>
      <c r="BU217">
        <v>0.5</v>
      </c>
      <c r="BV217" t="s">
        <v>671</v>
      </c>
      <c r="BW217">
        <v>470</v>
      </c>
      <c r="BX217">
        <v>1</v>
      </c>
      <c r="BY217" t="s">
        <v>643</v>
      </c>
      <c r="BZ217">
        <v>470</v>
      </c>
      <c r="CA217">
        <v>610</v>
      </c>
      <c r="CB217" t="s">
        <v>672</v>
      </c>
      <c r="CC217" t="s">
        <v>672</v>
      </c>
      <c r="CD217">
        <v>506</v>
      </c>
      <c r="CE217" t="s">
        <v>544</v>
      </c>
      <c r="CF217">
        <v>15</v>
      </c>
      <c r="CG217" t="s">
        <v>907</v>
      </c>
      <c r="CH217" t="s">
        <v>907</v>
      </c>
      <c r="CI217">
        <v>70</v>
      </c>
      <c r="CJ217">
        <v>1381</v>
      </c>
      <c r="CK217">
        <v>2</v>
      </c>
      <c r="CL217">
        <v>1475</v>
      </c>
      <c r="CM217">
        <v>2</v>
      </c>
      <c r="CN217" t="s">
        <v>675</v>
      </c>
      <c r="CO217" t="s">
        <v>676</v>
      </c>
      <c r="CP217" t="s">
        <v>595</v>
      </c>
      <c r="CQ217" t="s">
        <v>621</v>
      </c>
      <c r="CR217" t="s">
        <v>541</v>
      </c>
      <c r="CS217" t="s">
        <v>542</v>
      </c>
      <c r="CT217">
        <v>450</v>
      </c>
      <c r="CU217">
        <v>5</v>
      </c>
      <c r="CV217">
        <v>1.2</v>
      </c>
      <c r="CW217">
        <v>1393</v>
      </c>
      <c r="CX217">
        <v>887</v>
      </c>
      <c r="DD217">
        <v>0</v>
      </c>
      <c r="DE217" t="s">
        <v>622</v>
      </c>
      <c r="DF217">
        <v>630</v>
      </c>
      <c r="DG217">
        <v>3</v>
      </c>
      <c r="DH217">
        <v>0.88</v>
      </c>
      <c r="DI217">
        <v>1390</v>
      </c>
      <c r="DJ217">
        <v>992</v>
      </c>
      <c r="DK217" t="s">
        <v>622</v>
      </c>
      <c r="DL217">
        <v>515</v>
      </c>
      <c r="DM217">
        <v>3</v>
      </c>
      <c r="DN217">
        <v>0.88</v>
      </c>
      <c r="DO217">
        <v>1396</v>
      </c>
      <c r="DP217">
        <v>782</v>
      </c>
      <c r="DW217" t="s">
        <v>544</v>
      </c>
      <c r="DX217">
        <v>7.5</v>
      </c>
      <c r="EA217">
        <v>1464.3</v>
      </c>
      <c r="EB217">
        <v>345</v>
      </c>
      <c r="EC217" t="s">
        <v>545</v>
      </c>
      <c r="ED217">
        <v>40</v>
      </c>
      <c r="EE217">
        <v>3</v>
      </c>
      <c r="EG217">
        <v>1515</v>
      </c>
      <c r="EH217">
        <v>241</v>
      </c>
      <c r="EJ217">
        <v>0</v>
      </c>
      <c r="EK217">
        <v>1</v>
      </c>
      <c r="EN217">
        <v>0</v>
      </c>
      <c r="EP217" t="s">
        <v>546</v>
      </c>
      <c r="EQ217">
        <v>135</v>
      </c>
      <c r="ER217">
        <v>3</v>
      </c>
      <c r="ES217">
        <v>5.5</v>
      </c>
      <c r="ET217">
        <v>1378</v>
      </c>
      <c r="EU217">
        <v>642.3</v>
      </c>
      <c r="EV217">
        <v>885</v>
      </c>
      <c r="EW217" t="s">
        <v>547</v>
      </c>
      <c r="EX217">
        <v>70</v>
      </c>
      <c r="EY217">
        <v>2</v>
      </c>
      <c r="EZ217">
        <v>4.5</v>
      </c>
      <c r="FA217">
        <v>1378</v>
      </c>
      <c r="FB217">
        <v>207.4</v>
      </c>
      <c r="FC217">
        <v>286</v>
      </c>
      <c r="FE217">
        <v>0</v>
      </c>
      <c r="FF217">
        <v>2</v>
      </c>
      <c r="FI217">
        <v>0</v>
      </c>
      <c r="FK217" t="s">
        <v>548</v>
      </c>
      <c r="FL217">
        <v>0.4</v>
      </c>
      <c r="FM217">
        <v>105</v>
      </c>
      <c r="FN217">
        <v>140</v>
      </c>
      <c r="GR217" t="s">
        <v>548</v>
      </c>
      <c r="GS217">
        <v>0.4</v>
      </c>
      <c r="GT217">
        <v>30</v>
      </c>
      <c r="GU217">
        <v>440</v>
      </c>
      <c r="GV217">
        <v>30</v>
      </c>
      <c r="GW217">
        <v>300</v>
      </c>
      <c r="HC217">
        <v>0.1</v>
      </c>
      <c r="HD217">
        <v>3</v>
      </c>
      <c r="HE217">
        <v>3</v>
      </c>
      <c r="HF217">
        <v>3</v>
      </c>
      <c r="HG217">
        <v>3</v>
      </c>
      <c r="HH217">
        <v>3</v>
      </c>
      <c r="HI217">
        <v>190</v>
      </c>
      <c r="HJ217">
        <v>3</v>
      </c>
      <c r="HK217">
        <v>55</v>
      </c>
      <c r="HL217">
        <v>2</v>
      </c>
      <c r="HM217">
        <v>0</v>
      </c>
      <c r="HN217">
        <v>2</v>
      </c>
      <c r="HO217">
        <v>120</v>
      </c>
      <c r="HP217">
        <v>3</v>
      </c>
      <c r="HQ217">
        <v>0</v>
      </c>
      <c r="HR217">
        <v>2</v>
      </c>
      <c r="HS217">
        <v>6175</v>
      </c>
      <c r="HT217">
        <v>190</v>
      </c>
      <c r="HU217">
        <v>180</v>
      </c>
      <c r="HW217">
        <v>0</v>
      </c>
      <c r="HX217">
        <v>530</v>
      </c>
      <c r="HY217">
        <v>0.18</v>
      </c>
      <c r="IA217">
        <v>0.15</v>
      </c>
      <c r="IB217">
        <v>0</v>
      </c>
      <c r="IC217">
        <v>180</v>
      </c>
      <c r="ID217">
        <v>110</v>
      </c>
      <c r="IE217">
        <v>225</v>
      </c>
      <c r="IF217">
        <v>0</v>
      </c>
      <c r="IH217" t="s">
        <v>549</v>
      </c>
      <c r="IO217">
        <v>3</v>
      </c>
      <c r="IP217">
        <v>18</v>
      </c>
      <c r="IQ217">
        <v>0</v>
      </c>
      <c r="IR217">
        <v>1</v>
      </c>
      <c r="IV217">
        <v>1381</v>
      </c>
      <c r="IW217">
        <v>470</v>
      </c>
      <c r="JA217">
        <v>1</v>
      </c>
      <c r="JB217">
        <v>0</v>
      </c>
      <c r="JC217">
        <v>2</v>
      </c>
      <c r="JD217">
        <v>1393</v>
      </c>
      <c r="JE217">
        <v>1390</v>
      </c>
      <c r="JF217">
        <v>1396</v>
      </c>
      <c r="JG217">
        <v>1378</v>
      </c>
      <c r="JH217">
        <v>0</v>
      </c>
      <c r="JJ217">
        <v>180</v>
      </c>
      <c r="JK217">
        <v>530</v>
      </c>
      <c r="JN217">
        <v>450</v>
      </c>
      <c r="JO217">
        <v>630</v>
      </c>
      <c r="JP217">
        <v>515</v>
      </c>
      <c r="JQ217">
        <v>0</v>
      </c>
      <c r="JR217">
        <v>426</v>
      </c>
      <c r="JS217">
        <v>190</v>
      </c>
      <c r="JV217">
        <v>8</v>
      </c>
      <c r="JW217" t="s">
        <v>550</v>
      </c>
      <c r="JX217">
        <v>0</v>
      </c>
      <c r="KA217">
        <v>225</v>
      </c>
      <c r="KB217">
        <v>110</v>
      </c>
      <c r="KC217">
        <v>0</v>
      </c>
      <c r="KD217">
        <v>80</v>
      </c>
      <c r="KF217">
        <v>4</v>
      </c>
      <c r="KG217">
        <v>2</v>
      </c>
      <c r="KH217">
        <v>2</v>
      </c>
      <c r="KI217">
        <v>2</v>
      </c>
      <c r="KJ217">
        <v>0</v>
      </c>
      <c r="KK217">
        <v>1.5</v>
      </c>
      <c r="KL217">
        <v>1.5</v>
      </c>
      <c r="KM217">
        <v>0</v>
      </c>
      <c r="KN217">
        <v>0</v>
      </c>
      <c r="KO217">
        <v>0</v>
      </c>
      <c r="KR217">
        <v>30</v>
      </c>
      <c r="KS217">
        <v>60</v>
      </c>
      <c r="KT217">
        <v>0</v>
      </c>
      <c r="LK217">
        <v>480</v>
      </c>
      <c r="PG217">
        <v>1</v>
      </c>
      <c r="PI217" t="s">
        <v>2869</v>
      </c>
      <c r="PJ217" t="s">
        <v>2870</v>
      </c>
      <c r="PK217" t="s">
        <v>2871</v>
      </c>
      <c r="PL217" t="s">
        <v>1048</v>
      </c>
      <c r="PP217" t="s">
        <v>2708</v>
      </c>
      <c r="PX217">
        <v>56</v>
      </c>
      <c r="PY217">
        <v>56</v>
      </c>
      <c r="PZ217" t="s">
        <v>2869</v>
      </c>
      <c r="QA217">
        <v>1</v>
      </c>
      <c r="QB217">
        <v>1378</v>
      </c>
      <c r="QC217">
        <v>69</v>
      </c>
      <c r="QD217">
        <v>69</v>
      </c>
      <c r="QE217" t="s">
        <v>1048</v>
      </c>
      <c r="QF217">
        <v>1</v>
      </c>
      <c r="QG217">
        <v>1393</v>
      </c>
      <c r="QH217">
        <v>66</v>
      </c>
      <c r="QI217">
        <v>66</v>
      </c>
      <c r="QL217">
        <v>0</v>
      </c>
      <c r="QM217">
        <v>62</v>
      </c>
      <c r="QN217">
        <v>62</v>
      </c>
      <c r="QO217" t="s">
        <v>2870</v>
      </c>
      <c r="QP217">
        <v>1</v>
      </c>
      <c r="QQ217">
        <v>1390</v>
      </c>
      <c r="QR217">
        <v>62</v>
      </c>
      <c r="QS217">
        <v>62</v>
      </c>
      <c r="QT217" t="s">
        <v>2871</v>
      </c>
      <c r="QU217">
        <v>1</v>
      </c>
      <c r="QV217">
        <v>1396</v>
      </c>
      <c r="QW217">
        <v>82</v>
      </c>
      <c r="QX217">
        <v>88</v>
      </c>
      <c r="QY217" t="s">
        <v>2708</v>
      </c>
      <c r="QZ217">
        <v>1</v>
      </c>
      <c r="RA217">
        <v>66</v>
      </c>
      <c r="RB217">
        <v>66</v>
      </c>
      <c r="RE217">
        <v>0</v>
      </c>
      <c r="RF217">
        <v>1</v>
      </c>
      <c r="RH217">
        <v>1</v>
      </c>
      <c r="RJ217">
        <v>1</v>
      </c>
      <c r="RL217">
        <v>3</v>
      </c>
      <c r="RM217">
        <v>3</v>
      </c>
      <c r="RO217">
        <v>637</v>
      </c>
      <c r="RQ217">
        <v>714</v>
      </c>
      <c r="RR217">
        <v>560</v>
      </c>
      <c r="RT217">
        <v>345</v>
      </c>
      <c r="RU217">
        <v>241</v>
      </c>
      <c r="RV217" t="s">
        <v>678</v>
      </c>
      <c r="RW217" t="s">
        <v>679</v>
      </c>
      <c r="RX217">
        <v>15</v>
      </c>
      <c r="RY217">
        <v>4</v>
      </c>
      <c r="RZ217" t="s">
        <v>679</v>
      </c>
      <c r="SA217">
        <v>15</v>
      </c>
      <c r="SC217" t="s">
        <v>2870</v>
      </c>
      <c r="SD217">
        <v>1</v>
      </c>
      <c r="SF217" t="s">
        <v>2871</v>
      </c>
      <c r="SG217">
        <v>1</v>
      </c>
      <c r="SH217">
        <v>0.995</v>
      </c>
      <c r="SI217">
        <v>0.995</v>
      </c>
      <c r="SJ217">
        <v>0.995</v>
      </c>
      <c r="SK217">
        <v>15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Z217">
        <v>1</v>
      </c>
      <c r="TB217">
        <v>0</v>
      </c>
      <c r="TC217">
        <v>0</v>
      </c>
      <c r="TD217">
        <v>7.5</v>
      </c>
      <c r="TE217" t="s">
        <v>553</v>
      </c>
      <c r="TF217" t="s">
        <v>681</v>
      </c>
      <c r="TG217" t="s">
        <v>555</v>
      </c>
      <c r="TI217" t="s">
        <v>546</v>
      </c>
      <c r="TJ217" t="s">
        <v>547</v>
      </c>
      <c r="TL217" t="s">
        <v>2662</v>
      </c>
      <c r="TM217" t="s">
        <v>513</v>
      </c>
      <c r="TN217">
        <v>0</v>
      </c>
      <c r="TO217" t="s">
        <v>557</v>
      </c>
    </row>
    <row r="218" spans="1:535">
      <c r="A218" t="s">
        <v>2872</v>
      </c>
      <c r="B218" t="s">
        <v>711</v>
      </c>
      <c r="C218" t="s">
        <v>509</v>
      </c>
      <c r="D218" t="s">
        <v>2873</v>
      </c>
      <c r="G218" t="s">
        <v>1294</v>
      </c>
      <c r="I218" t="s">
        <v>562</v>
      </c>
      <c r="J218" t="s">
        <v>563</v>
      </c>
      <c r="L218" t="s">
        <v>512</v>
      </c>
      <c r="M218" t="s">
        <v>804</v>
      </c>
      <c r="N218" t="s">
        <v>513</v>
      </c>
      <c r="O218" t="s">
        <v>1255</v>
      </c>
      <c r="P218" t="s">
        <v>515</v>
      </c>
      <c r="Q218" t="s">
        <v>2874</v>
      </c>
      <c r="R218" t="s">
        <v>517</v>
      </c>
      <c r="S218" t="s">
        <v>2875</v>
      </c>
      <c r="T218" t="s">
        <v>2876</v>
      </c>
      <c r="U218" t="s">
        <v>686</v>
      </c>
      <c r="V218" t="s">
        <v>687</v>
      </c>
      <c r="W218" t="s">
        <v>1309</v>
      </c>
      <c r="X218" t="s">
        <v>2657</v>
      </c>
      <c r="Y218" t="s">
        <v>524</v>
      </c>
      <c r="Z218" t="s">
        <v>2877</v>
      </c>
      <c r="AA218" t="s">
        <v>2878</v>
      </c>
      <c r="AB218" t="s">
        <v>2879</v>
      </c>
      <c r="AC218">
        <v>2</v>
      </c>
      <c r="AD218">
        <v>56</v>
      </c>
      <c r="AE218">
        <v>214</v>
      </c>
      <c r="AF218">
        <v>1.5</v>
      </c>
      <c r="AH218">
        <v>0</v>
      </c>
      <c r="AI218" t="s">
        <v>1723</v>
      </c>
      <c r="AJ218">
        <v>195</v>
      </c>
      <c r="AK218">
        <v>1</v>
      </c>
      <c r="AL218">
        <v>1.5</v>
      </c>
      <c r="AM218" t="s">
        <v>579</v>
      </c>
      <c r="AN218" t="s">
        <v>693</v>
      </c>
      <c r="AO218">
        <v>2</v>
      </c>
      <c r="AP218" t="s">
        <v>581</v>
      </c>
      <c r="AQ218" t="s">
        <v>582</v>
      </c>
      <c r="AR218">
        <v>233</v>
      </c>
      <c r="AS218">
        <v>1.5</v>
      </c>
      <c r="AT218" t="s">
        <v>583</v>
      </c>
      <c r="AU218" t="s">
        <v>2880</v>
      </c>
      <c r="AW218" t="s">
        <v>2880</v>
      </c>
      <c r="AX218">
        <v>1</v>
      </c>
      <c r="AY218">
        <v>335</v>
      </c>
      <c r="AZ218">
        <v>1.5</v>
      </c>
      <c r="BA218" t="s">
        <v>579</v>
      </c>
      <c r="BG218">
        <v>1.5</v>
      </c>
      <c r="BJ218">
        <v>0</v>
      </c>
      <c r="BN218">
        <v>1.5</v>
      </c>
      <c r="BP218" t="s">
        <v>1664</v>
      </c>
      <c r="BQ218">
        <v>88</v>
      </c>
      <c r="BR218">
        <v>2</v>
      </c>
      <c r="BS218" t="s">
        <v>1665</v>
      </c>
      <c r="BT218">
        <v>213</v>
      </c>
      <c r="BU218">
        <v>0.5</v>
      </c>
      <c r="BV218" t="s">
        <v>1665</v>
      </c>
      <c r="BW218">
        <v>426</v>
      </c>
      <c r="BX218">
        <v>1</v>
      </c>
      <c r="BY218" t="s">
        <v>698</v>
      </c>
      <c r="BZ218">
        <v>300</v>
      </c>
      <c r="CA218">
        <v>500</v>
      </c>
      <c r="CB218" t="s">
        <v>699</v>
      </c>
      <c r="CC218" t="s">
        <v>699</v>
      </c>
      <c r="CD218">
        <v>442</v>
      </c>
      <c r="CE218" t="s">
        <v>700</v>
      </c>
      <c r="CF218">
        <v>15</v>
      </c>
      <c r="CG218" t="s">
        <v>1322</v>
      </c>
      <c r="CH218" t="s">
        <v>1322</v>
      </c>
      <c r="CI218">
        <v>100</v>
      </c>
      <c r="CJ218">
        <v>1458</v>
      </c>
      <c r="CK218">
        <v>2</v>
      </c>
      <c r="CL218">
        <v>1552</v>
      </c>
      <c r="CM218">
        <v>2</v>
      </c>
      <c r="CN218" t="s">
        <v>702</v>
      </c>
      <c r="CO218" t="s">
        <v>676</v>
      </c>
      <c r="CP218" t="s">
        <v>703</v>
      </c>
      <c r="CQ218" t="s">
        <v>1343</v>
      </c>
      <c r="CR218" t="s">
        <v>541</v>
      </c>
      <c r="CS218" t="s">
        <v>542</v>
      </c>
      <c r="CT218">
        <v>390</v>
      </c>
      <c r="CU218">
        <v>5</v>
      </c>
      <c r="CV218">
        <v>1.2</v>
      </c>
      <c r="CW218">
        <v>1475</v>
      </c>
      <c r="CX218">
        <v>814</v>
      </c>
      <c r="CY218" t="s">
        <v>705</v>
      </c>
      <c r="CZ218">
        <v>50</v>
      </c>
      <c r="DA218">
        <v>3</v>
      </c>
      <c r="DB218">
        <v>1</v>
      </c>
      <c r="DC218">
        <v>1475</v>
      </c>
      <c r="DD218">
        <v>77</v>
      </c>
      <c r="DE218" t="s">
        <v>543</v>
      </c>
      <c r="DF218">
        <v>670</v>
      </c>
      <c r="DG218">
        <v>3</v>
      </c>
      <c r="DH218">
        <v>1.18</v>
      </c>
      <c r="DI218">
        <v>1468</v>
      </c>
      <c r="DJ218">
        <v>1533</v>
      </c>
      <c r="DW218" t="s">
        <v>544</v>
      </c>
      <c r="DX218">
        <v>7.5</v>
      </c>
      <c r="EA218">
        <v>1540.9</v>
      </c>
      <c r="EB218">
        <v>363</v>
      </c>
      <c r="EC218" t="s">
        <v>545</v>
      </c>
      <c r="ED218">
        <v>30</v>
      </c>
      <c r="EE218">
        <v>3</v>
      </c>
      <c r="EG218">
        <v>1592</v>
      </c>
      <c r="EH218">
        <v>186</v>
      </c>
      <c r="EJ218">
        <v>0</v>
      </c>
      <c r="EK218">
        <v>1</v>
      </c>
      <c r="EN218">
        <v>0</v>
      </c>
      <c r="EP218" t="s">
        <v>546</v>
      </c>
      <c r="EQ218">
        <v>85</v>
      </c>
      <c r="ER218">
        <v>3</v>
      </c>
      <c r="ES218">
        <v>5</v>
      </c>
      <c r="ET218">
        <v>1451</v>
      </c>
      <c r="EU218">
        <v>347.7</v>
      </c>
      <c r="EV218">
        <v>505</v>
      </c>
      <c r="EW218" t="s">
        <v>547</v>
      </c>
      <c r="EX218">
        <v>45</v>
      </c>
      <c r="EY218">
        <v>2</v>
      </c>
      <c r="EZ218">
        <v>4.5</v>
      </c>
      <c r="FA218">
        <v>1451</v>
      </c>
      <c r="FB218">
        <v>148.4</v>
      </c>
      <c r="FC218">
        <v>215</v>
      </c>
      <c r="FE218">
        <v>0</v>
      </c>
      <c r="FF218">
        <v>2</v>
      </c>
      <c r="FI218">
        <v>0</v>
      </c>
      <c r="FK218" t="s">
        <v>548</v>
      </c>
      <c r="FL218">
        <v>0.4</v>
      </c>
      <c r="FM218">
        <v>65</v>
      </c>
      <c r="FN218">
        <v>350</v>
      </c>
      <c r="FO218">
        <v>60</v>
      </c>
      <c r="FP218">
        <v>180</v>
      </c>
      <c r="FR218" t="s">
        <v>548</v>
      </c>
      <c r="FS218">
        <v>0.4</v>
      </c>
      <c r="FT218">
        <v>30</v>
      </c>
      <c r="FU218">
        <v>390</v>
      </c>
      <c r="HC218">
        <v>0.1</v>
      </c>
      <c r="HD218">
        <v>3</v>
      </c>
      <c r="HE218">
        <v>3</v>
      </c>
      <c r="HF218">
        <v>3</v>
      </c>
      <c r="HG218">
        <v>3</v>
      </c>
      <c r="HH218">
        <v>3</v>
      </c>
      <c r="HI218">
        <v>115</v>
      </c>
      <c r="HJ218">
        <v>3</v>
      </c>
      <c r="HK218">
        <v>30</v>
      </c>
      <c r="HL218">
        <v>2</v>
      </c>
      <c r="HM218">
        <v>0</v>
      </c>
      <c r="HN218">
        <v>2</v>
      </c>
      <c r="HO218">
        <v>70</v>
      </c>
      <c r="HP218">
        <v>3</v>
      </c>
      <c r="HQ218">
        <v>0</v>
      </c>
      <c r="HR218">
        <v>2</v>
      </c>
      <c r="HS218">
        <v>5039</v>
      </c>
      <c r="HT218">
        <v>150</v>
      </c>
      <c r="HU218">
        <v>180</v>
      </c>
      <c r="HW218">
        <v>20</v>
      </c>
      <c r="HX218">
        <v>430</v>
      </c>
      <c r="HY218">
        <v>0.18</v>
      </c>
      <c r="IA218">
        <v>0.15</v>
      </c>
      <c r="IB218">
        <v>0</v>
      </c>
      <c r="IC218">
        <v>180</v>
      </c>
      <c r="ID218">
        <v>110</v>
      </c>
      <c r="IE218">
        <v>0</v>
      </c>
      <c r="IF218">
        <v>0</v>
      </c>
      <c r="IH218" t="s">
        <v>549</v>
      </c>
      <c r="IO218">
        <v>1</v>
      </c>
      <c r="IP218">
        <v>19</v>
      </c>
      <c r="IQ218">
        <v>0</v>
      </c>
      <c r="IR218">
        <v>0</v>
      </c>
      <c r="IV218">
        <v>1458</v>
      </c>
      <c r="IW218">
        <v>426</v>
      </c>
      <c r="JA218">
        <v>1</v>
      </c>
      <c r="JB218">
        <v>0</v>
      </c>
      <c r="JC218">
        <v>2</v>
      </c>
      <c r="JD218">
        <v>1475</v>
      </c>
      <c r="JE218">
        <v>1468</v>
      </c>
      <c r="JF218">
        <v>0</v>
      </c>
      <c r="JG218">
        <v>1451</v>
      </c>
      <c r="JH218">
        <v>0</v>
      </c>
      <c r="JJ218">
        <v>180</v>
      </c>
      <c r="JK218">
        <v>430</v>
      </c>
      <c r="JN218">
        <v>390</v>
      </c>
      <c r="JO218">
        <v>670</v>
      </c>
      <c r="JP218">
        <v>0</v>
      </c>
      <c r="JQ218">
        <v>0</v>
      </c>
      <c r="JR218">
        <v>428</v>
      </c>
      <c r="JS218">
        <v>115</v>
      </c>
      <c r="JV218">
        <v>8</v>
      </c>
      <c r="JW218" t="s">
        <v>550</v>
      </c>
      <c r="JX218">
        <v>466</v>
      </c>
      <c r="KA218">
        <v>0</v>
      </c>
      <c r="KB218">
        <v>110</v>
      </c>
      <c r="KC218">
        <v>0</v>
      </c>
      <c r="KD218">
        <v>80</v>
      </c>
      <c r="KF218">
        <v>4</v>
      </c>
      <c r="KG218">
        <v>4</v>
      </c>
      <c r="KH218">
        <v>2</v>
      </c>
      <c r="KI218">
        <v>2</v>
      </c>
      <c r="KJ218">
        <v>0</v>
      </c>
      <c r="KK218">
        <v>1.5</v>
      </c>
      <c r="KL218">
        <v>1.5</v>
      </c>
      <c r="KM218">
        <v>0</v>
      </c>
      <c r="KN218">
        <v>0</v>
      </c>
      <c r="KO218">
        <v>0</v>
      </c>
      <c r="KR218">
        <v>30</v>
      </c>
      <c r="KS218">
        <v>60</v>
      </c>
      <c r="KT218">
        <v>0</v>
      </c>
      <c r="LK218">
        <v>480</v>
      </c>
      <c r="PG218">
        <v>1</v>
      </c>
      <c r="PI218" t="s">
        <v>2879</v>
      </c>
      <c r="PJ218" t="s">
        <v>2880</v>
      </c>
      <c r="PL218" t="s">
        <v>1723</v>
      </c>
      <c r="PP218" t="s">
        <v>1664</v>
      </c>
      <c r="PS218" t="s">
        <v>693</v>
      </c>
      <c r="PX218">
        <v>56</v>
      </c>
      <c r="PY218">
        <v>56</v>
      </c>
      <c r="PZ218" t="s">
        <v>2879</v>
      </c>
      <c r="QA218">
        <v>1</v>
      </c>
      <c r="QB218">
        <v>1451</v>
      </c>
      <c r="QC218">
        <v>69</v>
      </c>
      <c r="QD218">
        <v>69</v>
      </c>
      <c r="QE218" t="s">
        <v>1723</v>
      </c>
      <c r="QF218">
        <v>1</v>
      </c>
      <c r="QG218">
        <v>1475</v>
      </c>
      <c r="QH218">
        <v>66</v>
      </c>
      <c r="QI218">
        <v>66</v>
      </c>
      <c r="QJ218" t="s">
        <v>693</v>
      </c>
      <c r="QK218">
        <v>1</v>
      </c>
      <c r="QL218">
        <v>1475</v>
      </c>
      <c r="QM218">
        <v>62</v>
      </c>
      <c r="QN218">
        <v>62</v>
      </c>
      <c r="QO218" t="s">
        <v>2880</v>
      </c>
      <c r="QP218">
        <v>1</v>
      </c>
      <c r="QQ218">
        <v>1468</v>
      </c>
      <c r="QW218">
        <v>82</v>
      </c>
      <c r="QX218">
        <v>88</v>
      </c>
      <c r="QY218" t="s">
        <v>1664</v>
      </c>
      <c r="QZ218">
        <v>1</v>
      </c>
      <c r="RA218">
        <v>66</v>
      </c>
      <c r="RB218">
        <v>66</v>
      </c>
      <c r="RE218">
        <v>0</v>
      </c>
      <c r="RF218">
        <v>1</v>
      </c>
      <c r="RJ218">
        <v>1</v>
      </c>
      <c r="RK218">
        <v>2</v>
      </c>
      <c r="RL218">
        <v>2</v>
      </c>
      <c r="RO218">
        <v>552</v>
      </c>
      <c r="RP218">
        <v>105</v>
      </c>
      <c r="RQ218">
        <v>1044</v>
      </c>
      <c r="RT218">
        <v>363</v>
      </c>
      <c r="RU218">
        <v>186</v>
      </c>
      <c r="RV218" t="s">
        <v>1666</v>
      </c>
      <c r="RW218" t="s">
        <v>707</v>
      </c>
      <c r="RX218">
        <v>15</v>
      </c>
      <c r="RY218">
        <v>4</v>
      </c>
      <c r="RZ218" t="s">
        <v>707</v>
      </c>
      <c r="SA218">
        <v>15</v>
      </c>
      <c r="SC218" t="s">
        <v>2880</v>
      </c>
      <c r="SD218">
        <v>1</v>
      </c>
      <c r="SH218">
        <v>0.995</v>
      </c>
      <c r="SI218">
        <v>0.995</v>
      </c>
      <c r="SJ218">
        <v>0.995</v>
      </c>
      <c r="SK218">
        <v>15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1</v>
      </c>
      <c r="TB218">
        <v>0</v>
      </c>
      <c r="TC218">
        <v>0</v>
      </c>
      <c r="TD218">
        <v>7.5</v>
      </c>
      <c r="TE218" t="s">
        <v>553</v>
      </c>
      <c r="TF218" t="s">
        <v>681</v>
      </c>
      <c r="TG218" t="s">
        <v>555</v>
      </c>
      <c r="TI218" t="s">
        <v>546</v>
      </c>
      <c r="TJ218" t="s">
        <v>547</v>
      </c>
      <c r="TL218" t="s">
        <v>2662</v>
      </c>
      <c r="TM218" t="s">
        <v>513</v>
      </c>
      <c r="TN218">
        <v>0</v>
      </c>
      <c r="TO218" t="s">
        <v>557</v>
      </c>
    </row>
    <row r="219" spans="1:535">
      <c r="A219" t="s">
        <v>2881</v>
      </c>
      <c r="B219" t="s">
        <v>804</v>
      </c>
      <c r="C219" t="s">
        <v>509</v>
      </c>
      <c r="D219" t="s">
        <v>951</v>
      </c>
      <c r="G219" t="s">
        <v>1135</v>
      </c>
      <c r="I219" t="s">
        <v>562</v>
      </c>
      <c r="J219" t="s">
        <v>563</v>
      </c>
      <c r="L219" t="s">
        <v>512</v>
      </c>
      <c r="M219" t="s">
        <v>508</v>
      </c>
      <c r="N219" t="s">
        <v>513</v>
      </c>
      <c r="O219" t="s">
        <v>1255</v>
      </c>
      <c r="P219" t="s">
        <v>515</v>
      </c>
      <c r="Q219" t="s">
        <v>2882</v>
      </c>
      <c r="R219" t="s">
        <v>517</v>
      </c>
      <c r="S219" t="s">
        <v>2231</v>
      </c>
      <c r="T219" t="s">
        <v>1138</v>
      </c>
      <c r="U219" t="s">
        <v>570</v>
      </c>
      <c r="V219" t="s">
        <v>571</v>
      </c>
      <c r="W219" t="s">
        <v>2656</v>
      </c>
      <c r="X219" t="s">
        <v>2657</v>
      </c>
      <c r="Y219" t="s">
        <v>524</v>
      </c>
      <c r="Z219" t="s">
        <v>2883</v>
      </c>
      <c r="AA219" t="s">
        <v>2884</v>
      </c>
      <c r="AB219" t="s">
        <v>2885</v>
      </c>
      <c r="AC219">
        <v>2</v>
      </c>
      <c r="AD219">
        <v>56</v>
      </c>
      <c r="AE219">
        <v>190</v>
      </c>
      <c r="AF219">
        <v>1.5</v>
      </c>
      <c r="AH219">
        <v>0</v>
      </c>
      <c r="AI219" t="s">
        <v>1021</v>
      </c>
      <c r="AJ219">
        <v>172.5</v>
      </c>
      <c r="AK219">
        <v>1</v>
      </c>
      <c r="AL219">
        <v>1.5</v>
      </c>
      <c r="AM219" t="s">
        <v>579</v>
      </c>
      <c r="AN219" t="s">
        <v>693</v>
      </c>
      <c r="AO219">
        <v>2</v>
      </c>
      <c r="AP219" t="s">
        <v>581</v>
      </c>
      <c r="AQ219" t="s">
        <v>582</v>
      </c>
      <c r="AR219">
        <v>211</v>
      </c>
      <c r="AS219">
        <v>1.5</v>
      </c>
      <c r="AT219" t="s">
        <v>583</v>
      </c>
      <c r="AU219" t="s">
        <v>2886</v>
      </c>
      <c r="AW219" t="s">
        <v>2886</v>
      </c>
      <c r="AX219">
        <v>1</v>
      </c>
      <c r="AY219">
        <v>240</v>
      </c>
      <c r="AZ219">
        <v>1.5</v>
      </c>
      <c r="BA219" t="s">
        <v>579</v>
      </c>
      <c r="BC219" t="s">
        <v>2887</v>
      </c>
      <c r="BD219" t="s">
        <v>2887</v>
      </c>
      <c r="BE219">
        <v>1</v>
      </c>
      <c r="BF219">
        <v>212.5</v>
      </c>
      <c r="BG219">
        <v>1.5</v>
      </c>
      <c r="BJ219">
        <v>0</v>
      </c>
      <c r="BN219">
        <v>1.5</v>
      </c>
      <c r="BP219" t="s">
        <v>2888</v>
      </c>
      <c r="BQ219" t="s">
        <v>587</v>
      </c>
      <c r="BR219">
        <v>2</v>
      </c>
      <c r="BS219" t="s">
        <v>1250</v>
      </c>
      <c r="BT219">
        <v>190</v>
      </c>
      <c r="BU219">
        <v>0.5</v>
      </c>
      <c r="BV219" t="s">
        <v>1250</v>
      </c>
      <c r="BW219">
        <v>380</v>
      </c>
      <c r="BX219">
        <v>1</v>
      </c>
      <c r="BY219" t="s">
        <v>589</v>
      </c>
      <c r="BZ219">
        <v>300</v>
      </c>
      <c r="CA219">
        <v>440</v>
      </c>
      <c r="CB219" t="s">
        <v>590</v>
      </c>
      <c r="CC219" t="s">
        <v>590</v>
      </c>
      <c r="CD219">
        <v>390</v>
      </c>
      <c r="CE219" t="s">
        <v>591</v>
      </c>
      <c r="CF219">
        <v>15</v>
      </c>
      <c r="CG219" t="s">
        <v>2020</v>
      </c>
      <c r="CH219" t="s">
        <v>2020</v>
      </c>
      <c r="CI219">
        <v>70</v>
      </c>
      <c r="CJ219">
        <v>1538</v>
      </c>
      <c r="CK219">
        <v>2</v>
      </c>
      <c r="CL219">
        <v>1632</v>
      </c>
      <c r="CM219">
        <v>2</v>
      </c>
      <c r="CN219" t="s">
        <v>593</v>
      </c>
      <c r="CO219" t="s">
        <v>594</v>
      </c>
      <c r="CP219" t="s">
        <v>595</v>
      </c>
      <c r="CQ219" t="s">
        <v>704</v>
      </c>
      <c r="CR219" t="s">
        <v>650</v>
      </c>
      <c r="CS219" t="s">
        <v>542</v>
      </c>
      <c r="CT219">
        <v>345</v>
      </c>
      <c r="CU219">
        <v>5</v>
      </c>
      <c r="CV219">
        <v>1.2</v>
      </c>
      <c r="CW219">
        <v>1554</v>
      </c>
      <c r="CX219">
        <v>758</v>
      </c>
      <c r="CY219" t="s">
        <v>705</v>
      </c>
      <c r="CZ219">
        <v>50</v>
      </c>
      <c r="DA219">
        <v>3</v>
      </c>
      <c r="DB219">
        <v>1</v>
      </c>
      <c r="DC219">
        <v>1554</v>
      </c>
      <c r="DD219">
        <v>82</v>
      </c>
      <c r="DE219" t="s">
        <v>622</v>
      </c>
      <c r="DF219">
        <v>480</v>
      </c>
      <c r="DG219">
        <v>3</v>
      </c>
      <c r="DH219">
        <v>0.88</v>
      </c>
      <c r="DI219">
        <v>1547</v>
      </c>
      <c r="DJ219">
        <v>868</v>
      </c>
      <c r="DK219" t="s">
        <v>622</v>
      </c>
      <c r="DL219">
        <v>425</v>
      </c>
      <c r="DM219">
        <v>3</v>
      </c>
      <c r="DN219">
        <v>0.88</v>
      </c>
      <c r="DO219">
        <v>1552</v>
      </c>
      <c r="DP219">
        <v>798</v>
      </c>
      <c r="DW219" t="s">
        <v>544</v>
      </c>
      <c r="DX219">
        <v>7.5</v>
      </c>
      <c r="EA219">
        <v>1623.8</v>
      </c>
      <c r="EB219">
        <v>287</v>
      </c>
      <c r="EC219" t="s">
        <v>545</v>
      </c>
      <c r="ED219">
        <v>20</v>
      </c>
      <c r="EE219" t="s">
        <v>1900</v>
      </c>
      <c r="EG219">
        <v>1665</v>
      </c>
      <c r="EH219">
        <v>123</v>
      </c>
      <c r="EJ219">
        <v>0</v>
      </c>
      <c r="EK219">
        <v>1</v>
      </c>
      <c r="EN219">
        <v>0</v>
      </c>
      <c r="EP219" t="s">
        <v>546</v>
      </c>
      <c r="EQ219">
        <v>65</v>
      </c>
      <c r="ER219">
        <v>3</v>
      </c>
      <c r="ES219">
        <v>4.5</v>
      </c>
      <c r="ET219">
        <v>1528</v>
      </c>
      <c r="EU219">
        <v>261.3</v>
      </c>
      <c r="EV219">
        <v>399</v>
      </c>
      <c r="EW219" t="s">
        <v>547</v>
      </c>
      <c r="EX219">
        <v>45</v>
      </c>
      <c r="EY219">
        <v>2</v>
      </c>
      <c r="EZ219">
        <v>4.5</v>
      </c>
      <c r="FA219">
        <v>1528</v>
      </c>
      <c r="FB219">
        <v>140.3</v>
      </c>
      <c r="FC219">
        <v>214</v>
      </c>
      <c r="FE219">
        <v>0</v>
      </c>
      <c r="FF219">
        <v>2</v>
      </c>
      <c r="FI219">
        <v>0</v>
      </c>
      <c r="FK219" t="s">
        <v>548</v>
      </c>
      <c r="FL219">
        <v>0.4</v>
      </c>
      <c r="FM219">
        <v>45</v>
      </c>
      <c r="FN219">
        <v>320</v>
      </c>
      <c r="FO219">
        <v>55</v>
      </c>
      <c r="FP219">
        <v>170</v>
      </c>
      <c r="GR219" t="s">
        <v>548</v>
      </c>
      <c r="GS219">
        <v>0.4</v>
      </c>
      <c r="GT219">
        <v>30</v>
      </c>
      <c r="GU219">
        <v>340</v>
      </c>
      <c r="GY219" t="s">
        <v>651</v>
      </c>
      <c r="GZ219">
        <v>1.6</v>
      </c>
      <c r="HA219">
        <v>20</v>
      </c>
      <c r="HB219">
        <v>191</v>
      </c>
      <c r="HC219">
        <v>0.1</v>
      </c>
      <c r="HD219">
        <v>3</v>
      </c>
      <c r="HE219">
        <v>3</v>
      </c>
      <c r="HF219">
        <v>3</v>
      </c>
      <c r="HG219">
        <v>3</v>
      </c>
      <c r="HH219">
        <v>3</v>
      </c>
      <c r="HI219">
        <v>95</v>
      </c>
      <c r="HJ219">
        <v>3</v>
      </c>
      <c r="HK219">
        <v>30</v>
      </c>
      <c r="HL219">
        <v>2</v>
      </c>
      <c r="HM219">
        <v>0</v>
      </c>
      <c r="HN219">
        <v>2</v>
      </c>
      <c r="HO219">
        <v>50</v>
      </c>
      <c r="HP219">
        <v>3</v>
      </c>
      <c r="HQ219">
        <v>0</v>
      </c>
      <c r="HR219">
        <v>2</v>
      </c>
      <c r="HS219">
        <v>4634</v>
      </c>
      <c r="HT219">
        <v>140</v>
      </c>
      <c r="HU219">
        <v>180</v>
      </c>
      <c r="HW219">
        <v>0</v>
      </c>
      <c r="HX219">
        <v>385</v>
      </c>
      <c r="HY219">
        <v>0.18</v>
      </c>
      <c r="IA219">
        <v>0.15</v>
      </c>
      <c r="IB219">
        <v>0</v>
      </c>
      <c r="IC219">
        <v>180</v>
      </c>
      <c r="ID219">
        <v>110</v>
      </c>
      <c r="IE219">
        <v>225</v>
      </c>
      <c r="IF219">
        <v>0</v>
      </c>
      <c r="IH219" t="s">
        <v>549</v>
      </c>
      <c r="IO219">
        <v>3</v>
      </c>
      <c r="IP219">
        <v>20</v>
      </c>
      <c r="IQ219">
        <v>0</v>
      </c>
      <c r="IR219">
        <v>0</v>
      </c>
      <c r="IV219">
        <v>1538</v>
      </c>
      <c r="IW219">
        <v>380</v>
      </c>
      <c r="JA219">
        <v>1</v>
      </c>
      <c r="JB219">
        <v>0</v>
      </c>
      <c r="JC219">
        <v>2</v>
      </c>
      <c r="JD219">
        <v>1554</v>
      </c>
      <c r="JE219">
        <v>1547</v>
      </c>
      <c r="JF219">
        <v>1552</v>
      </c>
      <c r="JG219">
        <v>1528</v>
      </c>
      <c r="JH219">
        <v>0</v>
      </c>
      <c r="JJ219">
        <v>180</v>
      </c>
      <c r="JK219">
        <v>385</v>
      </c>
      <c r="JN219">
        <v>345</v>
      </c>
      <c r="JO219">
        <v>480</v>
      </c>
      <c r="JP219">
        <v>425</v>
      </c>
      <c r="JQ219">
        <v>0</v>
      </c>
      <c r="JR219">
        <v>380</v>
      </c>
      <c r="JS219">
        <v>95</v>
      </c>
      <c r="JV219">
        <v>8</v>
      </c>
      <c r="JW219" t="s">
        <v>550</v>
      </c>
      <c r="JX219">
        <v>422</v>
      </c>
      <c r="KA219">
        <v>225</v>
      </c>
      <c r="KB219">
        <v>110</v>
      </c>
      <c r="KC219">
        <v>0</v>
      </c>
      <c r="KD219">
        <v>80</v>
      </c>
      <c r="KF219">
        <v>4</v>
      </c>
      <c r="KG219">
        <v>2</v>
      </c>
      <c r="KH219">
        <v>2</v>
      </c>
      <c r="KI219">
        <v>2</v>
      </c>
      <c r="KJ219">
        <v>0</v>
      </c>
      <c r="KK219">
        <v>1.5</v>
      </c>
      <c r="KL219">
        <v>1.5</v>
      </c>
      <c r="KM219">
        <v>0</v>
      </c>
      <c r="KN219">
        <v>0</v>
      </c>
      <c r="KO219">
        <v>0</v>
      </c>
      <c r="KR219">
        <v>30</v>
      </c>
      <c r="KS219">
        <v>60</v>
      </c>
      <c r="KT219">
        <v>0</v>
      </c>
      <c r="LK219">
        <v>480</v>
      </c>
      <c r="PG219">
        <v>1</v>
      </c>
      <c r="PI219" t="s">
        <v>2885</v>
      </c>
      <c r="PJ219" t="s">
        <v>2886</v>
      </c>
      <c r="PK219" t="s">
        <v>2887</v>
      </c>
      <c r="PL219" t="s">
        <v>1021</v>
      </c>
      <c r="PP219" t="s">
        <v>2888</v>
      </c>
      <c r="PS219" t="s">
        <v>693</v>
      </c>
      <c r="PX219">
        <v>56</v>
      </c>
      <c r="PY219">
        <v>56</v>
      </c>
      <c r="PZ219" t="s">
        <v>2885</v>
      </c>
      <c r="QA219">
        <v>1</v>
      </c>
      <c r="QB219">
        <v>1528</v>
      </c>
      <c r="QC219">
        <v>69</v>
      </c>
      <c r="QD219">
        <v>69</v>
      </c>
      <c r="QE219" t="s">
        <v>1021</v>
      </c>
      <c r="QF219">
        <v>1</v>
      </c>
      <c r="QG219">
        <v>1554</v>
      </c>
      <c r="QH219">
        <v>66</v>
      </c>
      <c r="QI219">
        <v>66</v>
      </c>
      <c r="QJ219" t="s">
        <v>693</v>
      </c>
      <c r="QK219">
        <v>1</v>
      </c>
      <c r="QL219">
        <v>1554</v>
      </c>
      <c r="QM219">
        <v>62</v>
      </c>
      <c r="QN219">
        <v>62</v>
      </c>
      <c r="QO219" t="s">
        <v>2886</v>
      </c>
      <c r="QP219">
        <v>1</v>
      </c>
      <c r="QQ219">
        <v>1547</v>
      </c>
      <c r="QR219">
        <v>63</v>
      </c>
      <c r="QS219">
        <v>63</v>
      </c>
      <c r="QT219" t="s">
        <v>2887</v>
      </c>
      <c r="QU219">
        <v>1</v>
      </c>
      <c r="QV219">
        <v>1552</v>
      </c>
      <c r="QW219">
        <v>82</v>
      </c>
      <c r="QX219" t="s">
        <v>587</v>
      </c>
      <c r="QY219" t="s">
        <v>2888</v>
      </c>
      <c r="QZ219">
        <v>1</v>
      </c>
      <c r="RA219">
        <v>66</v>
      </c>
      <c r="RB219">
        <v>66</v>
      </c>
      <c r="RE219">
        <v>0</v>
      </c>
      <c r="RF219">
        <v>1</v>
      </c>
      <c r="RI219">
        <v>1</v>
      </c>
      <c r="RJ219">
        <v>1</v>
      </c>
      <c r="RK219">
        <v>2</v>
      </c>
      <c r="RL219">
        <v>4</v>
      </c>
      <c r="RM219">
        <v>4</v>
      </c>
      <c r="RO219">
        <v>488</v>
      </c>
      <c r="RP219">
        <v>105</v>
      </c>
      <c r="RQ219">
        <v>561</v>
      </c>
      <c r="RR219">
        <v>514</v>
      </c>
      <c r="RT219">
        <v>287</v>
      </c>
      <c r="RU219">
        <v>123</v>
      </c>
      <c r="RV219" t="s">
        <v>1251</v>
      </c>
      <c r="RW219" t="s">
        <v>599</v>
      </c>
      <c r="RX219">
        <v>15</v>
      </c>
      <c r="RY219">
        <v>4</v>
      </c>
      <c r="RZ219" t="s">
        <v>599</v>
      </c>
      <c r="SA219">
        <v>15</v>
      </c>
      <c r="SC219" t="s">
        <v>2886</v>
      </c>
      <c r="SD219">
        <v>1</v>
      </c>
      <c r="SE219" t="s">
        <v>2889</v>
      </c>
      <c r="SF219" t="s">
        <v>2889</v>
      </c>
      <c r="SG219">
        <v>1</v>
      </c>
      <c r="SH219">
        <v>0.995</v>
      </c>
      <c r="SI219">
        <v>0.995</v>
      </c>
      <c r="SJ219">
        <v>0.995</v>
      </c>
      <c r="SK219">
        <v>15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1</v>
      </c>
      <c r="SZ219">
        <v>1</v>
      </c>
      <c r="TB219">
        <v>0</v>
      </c>
      <c r="TC219">
        <v>0</v>
      </c>
      <c r="TD219">
        <v>7.5</v>
      </c>
      <c r="TE219" t="s">
        <v>553</v>
      </c>
      <c r="TF219" t="s">
        <v>624</v>
      </c>
      <c r="TG219" t="s">
        <v>555</v>
      </c>
      <c r="TI219" t="s">
        <v>546</v>
      </c>
      <c r="TJ219" t="s">
        <v>547</v>
      </c>
      <c r="TL219" t="s">
        <v>2662</v>
      </c>
      <c r="TM219" t="s">
        <v>513</v>
      </c>
      <c r="TN219">
        <v>0</v>
      </c>
      <c r="TO219" t="s">
        <v>601</v>
      </c>
    </row>
    <row r="220" spans="1:535">
      <c r="A220" t="s">
        <v>2890</v>
      </c>
      <c r="B220" t="s">
        <v>804</v>
      </c>
      <c r="C220" t="s">
        <v>509</v>
      </c>
      <c r="D220" t="s">
        <v>2699</v>
      </c>
      <c r="L220" t="s">
        <v>512</v>
      </c>
      <c r="M220" t="s">
        <v>508</v>
      </c>
      <c r="N220" t="s">
        <v>513</v>
      </c>
      <c r="O220" t="s">
        <v>1255</v>
      </c>
      <c r="P220" t="s">
        <v>515</v>
      </c>
      <c r="Q220" t="s">
        <v>2891</v>
      </c>
      <c r="R220" t="s">
        <v>517</v>
      </c>
      <c r="S220" t="s">
        <v>1059</v>
      </c>
      <c r="T220" t="s">
        <v>1060</v>
      </c>
      <c r="U220" t="s">
        <v>633</v>
      </c>
      <c r="V220" t="s">
        <v>634</v>
      </c>
      <c r="W220" t="s">
        <v>2556</v>
      </c>
      <c r="X220" t="s">
        <v>2657</v>
      </c>
      <c r="Y220" t="s">
        <v>574</v>
      </c>
      <c r="Z220" t="s">
        <v>2892</v>
      </c>
      <c r="AA220" t="s">
        <v>2893</v>
      </c>
      <c r="AB220" t="s">
        <v>2894</v>
      </c>
      <c r="AC220">
        <v>2</v>
      </c>
      <c r="AD220">
        <v>56</v>
      </c>
      <c r="AE220">
        <v>268</v>
      </c>
      <c r="AF220">
        <v>1.5</v>
      </c>
      <c r="AH220">
        <v>0</v>
      </c>
      <c r="AI220" t="s">
        <v>1993</v>
      </c>
      <c r="AJ220">
        <v>247.5</v>
      </c>
      <c r="AK220">
        <v>1</v>
      </c>
      <c r="AL220">
        <v>1.5</v>
      </c>
      <c r="AM220" t="s">
        <v>579</v>
      </c>
      <c r="AN220" t="s">
        <v>795</v>
      </c>
      <c r="AO220">
        <v>2</v>
      </c>
      <c r="AP220" t="s">
        <v>581</v>
      </c>
      <c r="AQ220" t="s">
        <v>582</v>
      </c>
      <c r="AR220">
        <v>296</v>
      </c>
      <c r="AS220">
        <v>1.5</v>
      </c>
      <c r="AT220" t="s">
        <v>583</v>
      </c>
      <c r="AU220" t="s">
        <v>2895</v>
      </c>
      <c r="AW220" t="s">
        <v>2895</v>
      </c>
      <c r="AX220">
        <v>1</v>
      </c>
      <c r="AY220">
        <v>357.5</v>
      </c>
      <c r="AZ220">
        <v>1.5</v>
      </c>
      <c r="BA220" t="s">
        <v>579</v>
      </c>
      <c r="BB220" t="s">
        <v>2896</v>
      </c>
      <c r="BD220" t="s">
        <v>2896</v>
      </c>
      <c r="BE220">
        <v>1</v>
      </c>
      <c r="BF220">
        <v>287.5</v>
      </c>
      <c r="BG220">
        <v>1.5</v>
      </c>
      <c r="BJ220">
        <v>0</v>
      </c>
      <c r="BN220">
        <v>1.5</v>
      </c>
      <c r="BP220" t="s">
        <v>2897</v>
      </c>
      <c r="BQ220">
        <v>88</v>
      </c>
      <c r="BR220">
        <v>2</v>
      </c>
      <c r="BS220" t="s">
        <v>2898</v>
      </c>
      <c r="BT220">
        <v>267</v>
      </c>
      <c r="BU220">
        <v>0.5</v>
      </c>
      <c r="BV220" t="s">
        <v>2898</v>
      </c>
      <c r="BW220">
        <v>534</v>
      </c>
      <c r="BX220">
        <v>1</v>
      </c>
      <c r="BY220" t="s">
        <v>643</v>
      </c>
      <c r="BZ220">
        <v>470</v>
      </c>
      <c r="CA220">
        <v>610</v>
      </c>
      <c r="CB220" t="s">
        <v>644</v>
      </c>
      <c r="CC220" t="s">
        <v>1070</v>
      </c>
      <c r="CD220">
        <v>580</v>
      </c>
      <c r="CE220" t="s">
        <v>544</v>
      </c>
      <c r="CF220">
        <v>15</v>
      </c>
      <c r="CG220" t="s">
        <v>1024</v>
      </c>
      <c r="CH220" t="s">
        <v>1024</v>
      </c>
      <c r="CI220">
        <v>70</v>
      </c>
      <c r="CJ220">
        <v>1301</v>
      </c>
      <c r="CK220">
        <v>2</v>
      </c>
      <c r="CL220">
        <v>1395</v>
      </c>
      <c r="CM220">
        <v>2</v>
      </c>
      <c r="CN220" t="s">
        <v>646</v>
      </c>
      <c r="CO220" t="s">
        <v>647</v>
      </c>
      <c r="CP220" t="s">
        <v>648</v>
      </c>
      <c r="CQ220" t="s">
        <v>596</v>
      </c>
      <c r="CR220" t="s">
        <v>541</v>
      </c>
      <c r="CS220" t="s">
        <v>542</v>
      </c>
      <c r="CT220">
        <v>495</v>
      </c>
      <c r="CU220">
        <v>5</v>
      </c>
      <c r="CV220">
        <v>1.2</v>
      </c>
      <c r="CW220">
        <v>1319</v>
      </c>
      <c r="CX220">
        <v>925</v>
      </c>
      <c r="CY220" t="s">
        <v>705</v>
      </c>
      <c r="CZ220">
        <v>60</v>
      </c>
      <c r="DA220">
        <v>3</v>
      </c>
      <c r="DB220">
        <v>1</v>
      </c>
      <c r="DC220">
        <v>1319</v>
      </c>
      <c r="DD220">
        <v>82</v>
      </c>
      <c r="DE220" t="s">
        <v>543</v>
      </c>
      <c r="DF220">
        <v>715</v>
      </c>
      <c r="DG220">
        <v>3</v>
      </c>
      <c r="DH220">
        <v>1.18</v>
      </c>
      <c r="DI220">
        <v>1312</v>
      </c>
      <c r="DJ220">
        <v>1468</v>
      </c>
      <c r="DK220" t="s">
        <v>543</v>
      </c>
      <c r="DL220">
        <v>575</v>
      </c>
      <c r="DM220">
        <v>3</v>
      </c>
      <c r="DN220">
        <v>1.18</v>
      </c>
      <c r="DO220">
        <v>1319</v>
      </c>
      <c r="DP220">
        <v>1063</v>
      </c>
      <c r="DW220" t="s">
        <v>544</v>
      </c>
      <c r="DX220">
        <v>9.4</v>
      </c>
      <c r="EA220">
        <v>1386.2</v>
      </c>
      <c r="EB220">
        <v>326</v>
      </c>
      <c r="EC220" t="s">
        <v>545</v>
      </c>
      <c r="ED220">
        <v>45</v>
      </c>
      <c r="EE220">
        <v>3</v>
      </c>
      <c r="EG220">
        <v>1427</v>
      </c>
      <c r="EH220">
        <v>321</v>
      </c>
      <c r="EJ220">
        <v>0</v>
      </c>
      <c r="EK220">
        <v>1</v>
      </c>
      <c r="EN220">
        <v>0</v>
      </c>
      <c r="EP220" t="s">
        <v>546</v>
      </c>
      <c r="EQ220">
        <v>155</v>
      </c>
      <c r="ER220">
        <v>3</v>
      </c>
      <c r="ES220">
        <v>5.5</v>
      </c>
      <c r="ET220">
        <v>1298</v>
      </c>
      <c r="EU220">
        <v>791.7</v>
      </c>
      <c r="EV220">
        <v>1028</v>
      </c>
      <c r="EW220" t="s">
        <v>547</v>
      </c>
      <c r="EX220">
        <v>45</v>
      </c>
      <c r="EY220">
        <v>2</v>
      </c>
      <c r="EZ220">
        <v>4.7</v>
      </c>
      <c r="FA220">
        <v>1298</v>
      </c>
      <c r="FB220">
        <v>141.4</v>
      </c>
      <c r="FC220">
        <v>184</v>
      </c>
      <c r="FE220">
        <v>0</v>
      </c>
      <c r="FF220">
        <v>2</v>
      </c>
      <c r="FI220">
        <v>0</v>
      </c>
      <c r="FK220" t="s">
        <v>548</v>
      </c>
      <c r="FL220">
        <v>0.4</v>
      </c>
      <c r="FM220">
        <v>80</v>
      </c>
      <c r="FN220">
        <v>460</v>
      </c>
      <c r="FO220">
        <v>90</v>
      </c>
      <c r="FP220">
        <v>170</v>
      </c>
      <c r="GR220" t="s">
        <v>548</v>
      </c>
      <c r="GS220">
        <v>0.4</v>
      </c>
      <c r="GT220">
        <v>30</v>
      </c>
      <c r="GU220">
        <v>490</v>
      </c>
      <c r="HC220">
        <v>0.1</v>
      </c>
      <c r="HD220">
        <v>3</v>
      </c>
      <c r="HE220">
        <v>3</v>
      </c>
      <c r="HF220">
        <v>3</v>
      </c>
      <c r="HG220">
        <v>3</v>
      </c>
      <c r="HH220">
        <v>3</v>
      </c>
      <c r="HI220">
        <v>185</v>
      </c>
      <c r="HJ220">
        <v>3</v>
      </c>
      <c r="HK220">
        <v>30</v>
      </c>
      <c r="HL220">
        <v>2</v>
      </c>
      <c r="HM220">
        <v>0</v>
      </c>
      <c r="HN220">
        <v>2</v>
      </c>
      <c r="HO220">
        <v>140</v>
      </c>
      <c r="HP220">
        <v>3</v>
      </c>
      <c r="HQ220">
        <v>0</v>
      </c>
      <c r="HR220">
        <v>2</v>
      </c>
      <c r="HS220">
        <v>7338</v>
      </c>
      <c r="HT220">
        <v>220</v>
      </c>
      <c r="HU220">
        <v>180</v>
      </c>
      <c r="HW220">
        <v>0</v>
      </c>
      <c r="HX220">
        <v>540</v>
      </c>
      <c r="HY220">
        <v>0.18</v>
      </c>
      <c r="IA220">
        <v>0.15</v>
      </c>
      <c r="IB220">
        <v>0</v>
      </c>
      <c r="IC220">
        <v>180</v>
      </c>
      <c r="ID220">
        <v>110</v>
      </c>
      <c r="IE220">
        <v>225</v>
      </c>
      <c r="IF220">
        <v>0</v>
      </c>
      <c r="IH220" t="s">
        <v>549</v>
      </c>
      <c r="IO220">
        <v>3</v>
      </c>
      <c r="IP220">
        <v>17</v>
      </c>
      <c r="IQ220">
        <v>0</v>
      </c>
      <c r="IR220">
        <v>0</v>
      </c>
      <c r="IV220">
        <v>1301</v>
      </c>
      <c r="IW220">
        <v>534</v>
      </c>
      <c r="JA220">
        <v>1</v>
      </c>
      <c r="JB220">
        <v>0</v>
      </c>
      <c r="JC220">
        <v>2</v>
      </c>
      <c r="JD220">
        <v>1319</v>
      </c>
      <c r="JE220">
        <v>1312</v>
      </c>
      <c r="JF220">
        <v>1319</v>
      </c>
      <c r="JG220">
        <v>1298</v>
      </c>
      <c r="JH220">
        <v>0</v>
      </c>
      <c r="JJ220">
        <v>180</v>
      </c>
      <c r="JK220">
        <v>540</v>
      </c>
      <c r="JN220">
        <v>495</v>
      </c>
      <c r="JO220">
        <v>715</v>
      </c>
      <c r="JP220">
        <v>575</v>
      </c>
      <c r="JQ220">
        <v>0</v>
      </c>
      <c r="JR220">
        <v>536</v>
      </c>
      <c r="JS220">
        <v>185</v>
      </c>
      <c r="JV220">
        <v>10</v>
      </c>
      <c r="JW220" t="s">
        <v>550</v>
      </c>
      <c r="JX220">
        <v>592</v>
      </c>
      <c r="KA220">
        <v>225</v>
      </c>
      <c r="KB220">
        <v>110</v>
      </c>
      <c r="KC220">
        <v>0</v>
      </c>
      <c r="KD220">
        <v>80</v>
      </c>
      <c r="KF220">
        <v>4</v>
      </c>
      <c r="KG220">
        <v>2</v>
      </c>
      <c r="KH220">
        <v>2</v>
      </c>
      <c r="KI220">
        <v>2</v>
      </c>
      <c r="KJ220">
        <v>0</v>
      </c>
      <c r="KK220">
        <v>1.5</v>
      </c>
      <c r="KL220">
        <v>1.5</v>
      </c>
      <c r="KM220">
        <v>0</v>
      </c>
      <c r="KN220">
        <v>0</v>
      </c>
      <c r="KO220">
        <v>0</v>
      </c>
      <c r="KR220">
        <v>30</v>
      </c>
      <c r="KS220">
        <v>60</v>
      </c>
      <c r="KT220">
        <v>0</v>
      </c>
      <c r="LK220">
        <v>480</v>
      </c>
      <c r="PG220">
        <v>1</v>
      </c>
      <c r="PI220" t="s">
        <v>2894</v>
      </c>
      <c r="PJ220" t="s">
        <v>2895</v>
      </c>
      <c r="PK220" t="s">
        <v>2896</v>
      </c>
      <c r="PL220" t="s">
        <v>1993</v>
      </c>
      <c r="PP220" t="s">
        <v>2897</v>
      </c>
      <c r="PS220" t="s">
        <v>795</v>
      </c>
      <c r="PX220">
        <v>56</v>
      </c>
      <c r="PY220">
        <v>56</v>
      </c>
      <c r="PZ220" t="s">
        <v>2894</v>
      </c>
      <c r="QA220">
        <v>1</v>
      </c>
      <c r="QB220">
        <v>1298</v>
      </c>
      <c r="QC220">
        <v>69</v>
      </c>
      <c r="QD220">
        <v>69</v>
      </c>
      <c r="QE220" t="s">
        <v>1993</v>
      </c>
      <c r="QF220">
        <v>1</v>
      </c>
      <c r="QG220">
        <v>1319</v>
      </c>
      <c r="QH220">
        <v>66</v>
      </c>
      <c r="QI220">
        <v>66</v>
      </c>
      <c r="QJ220" t="s">
        <v>795</v>
      </c>
      <c r="QK220">
        <v>1</v>
      </c>
      <c r="QL220">
        <v>1319</v>
      </c>
      <c r="QM220">
        <v>62</v>
      </c>
      <c r="QN220">
        <v>62</v>
      </c>
      <c r="QO220" t="s">
        <v>2895</v>
      </c>
      <c r="QP220">
        <v>1</v>
      </c>
      <c r="QQ220">
        <v>1312</v>
      </c>
      <c r="QR220">
        <v>62</v>
      </c>
      <c r="QS220">
        <v>62</v>
      </c>
      <c r="QT220" t="s">
        <v>2896</v>
      </c>
      <c r="QU220">
        <v>1</v>
      </c>
      <c r="QV220">
        <v>1319</v>
      </c>
      <c r="QW220">
        <v>82</v>
      </c>
      <c r="QX220">
        <v>88</v>
      </c>
      <c r="QY220" t="s">
        <v>2897</v>
      </c>
      <c r="QZ220">
        <v>1</v>
      </c>
      <c r="RA220">
        <v>66</v>
      </c>
      <c r="RB220">
        <v>66</v>
      </c>
      <c r="RE220">
        <v>0</v>
      </c>
      <c r="RF220">
        <v>1</v>
      </c>
      <c r="RH220">
        <v>1</v>
      </c>
      <c r="RJ220">
        <v>1</v>
      </c>
      <c r="RK220">
        <v>2</v>
      </c>
      <c r="RL220">
        <v>2</v>
      </c>
      <c r="RM220">
        <v>2</v>
      </c>
      <c r="RO220">
        <v>701</v>
      </c>
      <c r="RP220">
        <v>125</v>
      </c>
      <c r="RQ220">
        <v>1119</v>
      </c>
      <c r="RR220">
        <v>806</v>
      </c>
      <c r="RT220">
        <v>326</v>
      </c>
      <c r="RU220">
        <v>321</v>
      </c>
      <c r="RV220" t="s">
        <v>2899</v>
      </c>
      <c r="RW220" t="s">
        <v>653</v>
      </c>
      <c r="RX220">
        <v>15</v>
      </c>
      <c r="RY220">
        <v>4</v>
      </c>
      <c r="RZ220" t="s">
        <v>653</v>
      </c>
      <c r="SA220">
        <v>15</v>
      </c>
      <c r="SC220" t="s">
        <v>2895</v>
      </c>
      <c r="SD220">
        <v>1</v>
      </c>
      <c r="SF220" t="s">
        <v>2896</v>
      </c>
      <c r="SG220">
        <v>1</v>
      </c>
      <c r="SH220">
        <v>0.995</v>
      </c>
      <c r="SI220">
        <v>0.995</v>
      </c>
      <c r="SJ220">
        <v>0.995</v>
      </c>
      <c r="SK220">
        <v>15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1</v>
      </c>
      <c r="SZ220">
        <v>1</v>
      </c>
      <c r="TB220">
        <v>0</v>
      </c>
      <c r="TC220">
        <v>0</v>
      </c>
      <c r="TD220">
        <v>9.4</v>
      </c>
      <c r="TE220" t="s">
        <v>553</v>
      </c>
      <c r="TF220" t="s">
        <v>600</v>
      </c>
      <c r="TG220" t="s">
        <v>555</v>
      </c>
      <c r="TI220" t="s">
        <v>546</v>
      </c>
      <c r="TJ220" t="s">
        <v>547</v>
      </c>
      <c r="TL220" t="s">
        <v>2662</v>
      </c>
      <c r="TM220" t="s">
        <v>513</v>
      </c>
      <c r="TN220">
        <v>0</v>
      </c>
      <c r="TO220" t="s">
        <v>557</v>
      </c>
    </row>
    <row r="221" spans="1:535">
      <c r="A221" t="s">
        <v>2900</v>
      </c>
      <c r="B221" t="s">
        <v>629</v>
      </c>
      <c r="C221" t="s">
        <v>509</v>
      </c>
      <c r="D221" t="s">
        <v>1738</v>
      </c>
      <c r="G221" t="s">
        <v>511</v>
      </c>
      <c r="I221" t="s">
        <v>562</v>
      </c>
      <c r="L221" t="s">
        <v>512</v>
      </c>
      <c r="M221" t="s">
        <v>711</v>
      </c>
      <c r="N221" t="s">
        <v>513</v>
      </c>
      <c r="O221" t="s">
        <v>565</v>
      </c>
      <c r="Q221" t="s">
        <v>2901</v>
      </c>
      <c r="R221" t="s">
        <v>517</v>
      </c>
      <c r="S221" t="s">
        <v>899</v>
      </c>
      <c r="T221" t="s">
        <v>743</v>
      </c>
      <c r="U221" t="s">
        <v>662</v>
      </c>
      <c r="V221" t="s">
        <v>663</v>
      </c>
      <c r="W221" t="s">
        <v>2586</v>
      </c>
      <c r="X221" t="s">
        <v>2657</v>
      </c>
      <c r="Y221" t="s">
        <v>524</v>
      </c>
      <c r="Z221" t="s">
        <v>2902</v>
      </c>
      <c r="AA221" t="s">
        <v>2903</v>
      </c>
      <c r="AB221" t="s">
        <v>2904</v>
      </c>
      <c r="AC221">
        <v>2</v>
      </c>
      <c r="AD221">
        <v>56</v>
      </c>
      <c r="AE221">
        <v>161</v>
      </c>
      <c r="AF221">
        <v>1.5</v>
      </c>
      <c r="AH221">
        <v>0</v>
      </c>
      <c r="AI221" t="s">
        <v>1021</v>
      </c>
      <c r="AJ221">
        <v>172.5</v>
      </c>
      <c r="AK221">
        <v>1</v>
      </c>
      <c r="AL221">
        <v>1.5</v>
      </c>
      <c r="AM221" t="s">
        <v>529</v>
      </c>
      <c r="AO221">
        <v>0</v>
      </c>
      <c r="AR221">
        <v>0</v>
      </c>
      <c r="AS221">
        <v>1.5</v>
      </c>
      <c r="AV221" t="s">
        <v>2905</v>
      </c>
      <c r="AW221" t="s">
        <v>2905</v>
      </c>
      <c r="AX221">
        <v>1</v>
      </c>
      <c r="AY221">
        <v>235</v>
      </c>
      <c r="AZ221">
        <v>1.5</v>
      </c>
      <c r="BA221" t="s">
        <v>529</v>
      </c>
      <c r="BG221">
        <v>1.5</v>
      </c>
      <c r="BJ221">
        <v>0</v>
      </c>
      <c r="BN221">
        <v>1.5</v>
      </c>
      <c r="BP221" t="s">
        <v>2906</v>
      </c>
      <c r="BQ221">
        <v>82</v>
      </c>
      <c r="BR221">
        <v>2</v>
      </c>
      <c r="BS221" t="s">
        <v>2149</v>
      </c>
      <c r="BT221">
        <v>183</v>
      </c>
      <c r="BU221">
        <v>0.5</v>
      </c>
      <c r="BV221" t="s">
        <v>2149</v>
      </c>
      <c r="BW221">
        <v>366</v>
      </c>
      <c r="BX221">
        <v>1</v>
      </c>
      <c r="BY221" t="s">
        <v>643</v>
      </c>
      <c r="BZ221">
        <v>290</v>
      </c>
      <c r="CA221">
        <v>430</v>
      </c>
      <c r="CB221" t="s">
        <v>672</v>
      </c>
      <c r="CC221" t="s">
        <v>672</v>
      </c>
      <c r="CD221">
        <v>392</v>
      </c>
      <c r="CE221" t="s">
        <v>673</v>
      </c>
      <c r="CF221">
        <v>15</v>
      </c>
      <c r="CG221" t="s">
        <v>907</v>
      </c>
      <c r="CH221" t="s">
        <v>907</v>
      </c>
      <c r="CI221">
        <v>70</v>
      </c>
      <c r="CJ221">
        <v>1381</v>
      </c>
      <c r="CK221">
        <v>2</v>
      </c>
      <c r="CL221">
        <v>1475</v>
      </c>
      <c r="CM221">
        <v>2</v>
      </c>
      <c r="CN221" t="s">
        <v>675</v>
      </c>
      <c r="CO221" t="s">
        <v>676</v>
      </c>
      <c r="CP221" t="s">
        <v>595</v>
      </c>
      <c r="CQ221" t="s">
        <v>649</v>
      </c>
      <c r="CR221" t="s">
        <v>650</v>
      </c>
      <c r="CS221" t="s">
        <v>542</v>
      </c>
      <c r="CT221">
        <v>345</v>
      </c>
      <c r="CU221">
        <v>5</v>
      </c>
      <c r="CV221">
        <v>1.2</v>
      </c>
      <c r="CW221">
        <v>1393</v>
      </c>
      <c r="CX221">
        <v>680</v>
      </c>
      <c r="DD221">
        <v>0</v>
      </c>
      <c r="DE221" t="s">
        <v>543</v>
      </c>
      <c r="DF221">
        <v>470</v>
      </c>
      <c r="DG221">
        <v>3</v>
      </c>
      <c r="DH221">
        <v>1.18</v>
      </c>
      <c r="DI221">
        <v>1391</v>
      </c>
      <c r="DJ221">
        <v>1063</v>
      </c>
      <c r="DW221" t="s">
        <v>544</v>
      </c>
      <c r="DX221">
        <v>7.5</v>
      </c>
      <c r="EA221">
        <v>1461.1</v>
      </c>
      <c r="EB221">
        <v>258</v>
      </c>
      <c r="EC221" t="s">
        <v>545</v>
      </c>
      <c r="ED221">
        <v>25</v>
      </c>
      <c r="EE221">
        <v>3</v>
      </c>
      <c r="EG221">
        <v>1502</v>
      </c>
      <c r="EH221">
        <v>164</v>
      </c>
      <c r="EJ221">
        <v>0</v>
      </c>
      <c r="EK221">
        <v>1</v>
      </c>
      <c r="EN221">
        <v>0</v>
      </c>
      <c r="EP221" t="s">
        <v>546</v>
      </c>
      <c r="EQ221">
        <v>65</v>
      </c>
      <c r="ER221">
        <v>3</v>
      </c>
      <c r="ES221">
        <v>5</v>
      </c>
      <c r="ET221">
        <v>1375</v>
      </c>
      <c r="EU221">
        <v>268.6</v>
      </c>
      <c r="EV221">
        <v>369</v>
      </c>
      <c r="EW221" t="s">
        <v>547</v>
      </c>
      <c r="EX221">
        <v>70</v>
      </c>
      <c r="EY221">
        <v>2</v>
      </c>
      <c r="EZ221">
        <v>4.5</v>
      </c>
      <c r="FA221">
        <v>1375</v>
      </c>
      <c r="FB221">
        <v>207.4</v>
      </c>
      <c r="FC221">
        <v>285</v>
      </c>
      <c r="FE221">
        <v>0</v>
      </c>
      <c r="FF221">
        <v>2</v>
      </c>
      <c r="FI221">
        <v>0</v>
      </c>
      <c r="FK221" t="s">
        <v>548</v>
      </c>
      <c r="FL221">
        <v>0.4</v>
      </c>
      <c r="FM221">
        <v>65</v>
      </c>
      <c r="FN221">
        <v>150</v>
      </c>
      <c r="FR221" t="s">
        <v>548</v>
      </c>
      <c r="FS221">
        <v>0.4</v>
      </c>
      <c r="FT221">
        <v>30</v>
      </c>
      <c r="FU221">
        <v>330</v>
      </c>
      <c r="FY221" t="s">
        <v>651</v>
      </c>
      <c r="FZ221">
        <v>1</v>
      </c>
      <c r="GA221">
        <v>20</v>
      </c>
      <c r="GB221">
        <v>171</v>
      </c>
      <c r="GG221" t="s">
        <v>651</v>
      </c>
      <c r="GH221">
        <v>1</v>
      </c>
      <c r="GI221">
        <v>20</v>
      </c>
      <c r="GJ221">
        <v>171</v>
      </c>
      <c r="HC221">
        <v>0.1</v>
      </c>
      <c r="HD221">
        <v>3</v>
      </c>
      <c r="HE221">
        <v>3</v>
      </c>
      <c r="HF221">
        <v>3</v>
      </c>
      <c r="HG221">
        <v>3</v>
      </c>
      <c r="HH221">
        <v>3</v>
      </c>
      <c r="HI221">
        <v>120</v>
      </c>
      <c r="HJ221">
        <v>3</v>
      </c>
      <c r="HK221">
        <v>55</v>
      </c>
      <c r="HL221">
        <v>2</v>
      </c>
      <c r="HM221">
        <v>0</v>
      </c>
      <c r="HN221">
        <v>2</v>
      </c>
      <c r="HO221">
        <v>50</v>
      </c>
      <c r="HP221">
        <v>3</v>
      </c>
      <c r="HQ221">
        <v>0</v>
      </c>
      <c r="HR221">
        <v>2</v>
      </c>
      <c r="HS221">
        <v>3895</v>
      </c>
      <c r="HT221">
        <v>120</v>
      </c>
      <c r="HU221">
        <v>180</v>
      </c>
      <c r="HW221">
        <v>0</v>
      </c>
      <c r="HX221">
        <v>420</v>
      </c>
      <c r="HY221">
        <v>0.18</v>
      </c>
      <c r="IA221">
        <v>0.15</v>
      </c>
      <c r="IB221">
        <v>0</v>
      </c>
      <c r="IC221">
        <v>180</v>
      </c>
      <c r="ID221">
        <v>110</v>
      </c>
      <c r="IE221">
        <v>0</v>
      </c>
      <c r="IF221">
        <v>0</v>
      </c>
      <c r="IH221" t="s">
        <v>549</v>
      </c>
      <c r="IO221">
        <v>1</v>
      </c>
      <c r="IP221">
        <v>18</v>
      </c>
      <c r="IQ221">
        <v>0</v>
      </c>
      <c r="IR221">
        <v>1</v>
      </c>
      <c r="IV221">
        <v>1381</v>
      </c>
      <c r="IW221">
        <v>366</v>
      </c>
      <c r="JA221">
        <v>1</v>
      </c>
      <c r="JB221">
        <v>0</v>
      </c>
      <c r="JC221">
        <v>2</v>
      </c>
      <c r="JD221">
        <v>1393</v>
      </c>
      <c r="JE221">
        <v>1391</v>
      </c>
      <c r="JF221">
        <v>0</v>
      </c>
      <c r="JG221">
        <v>1375</v>
      </c>
      <c r="JH221">
        <v>0</v>
      </c>
      <c r="JJ221">
        <v>180</v>
      </c>
      <c r="JK221">
        <v>420</v>
      </c>
      <c r="JN221">
        <v>345</v>
      </c>
      <c r="JO221">
        <v>470</v>
      </c>
      <c r="JP221">
        <v>0</v>
      </c>
      <c r="JQ221">
        <v>0</v>
      </c>
      <c r="JR221">
        <v>322</v>
      </c>
      <c r="JS221">
        <v>120</v>
      </c>
      <c r="JV221">
        <v>8</v>
      </c>
      <c r="JW221" t="s">
        <v>550</v>
      </c>
      <c r="JX221">
        <v>0</v>
      </c>
      <c r="KA221">
        <v>0</v>
      </c>
      <c r="KB221">
        <v>110</v>
      </c>
      <c r="KC221">
        <v>0</v>
      </c>
      <c r="KD221">
        <v>80</v>
      </c>
      <c r="KF221">
        <v>4</v>
      </c>
      <c r="KG221">
        <v>4</v>
      </c>
      <c r="KH221">
        <v>2</v>
      </c>
      <c r="KI221">
        <v>2</v>
      </c>
      <c r="KJ221">
        <v>0</v>
      </c>
      <c r="KK221">
        <v>1.5</v>
      </c>
      <c r="KL221">
        <v>1.5</v>
      </c>
      <c r="KM221">
        <v>0</v>
      </c>
      <c r="KN221">
        <v>0</v>
      </c>
      <c r="KO221">
        <v>0</v>
      </c>
      <c r="KR221">
        <v>30</v>
      </c>
      <c r="KS221">
        <v>60</v>
      </c>
      <c r="KT221">
        <v>0</v>
      </c>
      <c r="LK221">
        <v>480</v>
      </c>
      <c r="PG221">
        <v>1</v>
      </c>
      <c r="PI221" t="s">
        <v>2904</v>
      </c>
      <c r="PJ221" t="s">
        <v>2905</v>
      </c>
      <c r="PL221" t="s">
        <v>1021</v>
      </c>
      <c r="PP221" t="s">
        <v>2906</v>
      </c>
      <c r="PX221">
        <v>56</v>
      </c>
      <c r="PY221">
        <v>56</v>
      </c>
      <c r="PZ221" t="s">
        <v>2904</v>
      </c>
      <c r="QA221">
        <v>2</v>
      </c>
      <c r="QB221">
        <v>1375</v>
      </c>
      <c r="QC221">
        <v>69</v>
      </c>
      <c r="QD221">
        <v>69</v>
      </c>
      <c r="QE221" t="s">
        <v>1021</v>
      </c>
      <c r="QF221">
        <v>1</v>
      </c>
      <c r="QG221">
        <v>1393</v>
      </c>
      <c r="QH221">
        <v>66</v>
      </c>
      <c r="QI221">
        <v>66</v>
      </c>
      <c r="QL221">
        <v>0</v>
      </c>
      <c r="QM221">
        <v>63</v>
      </c>
      <c r="QN221">
        <v>63</v>
      </c>
      <c r="QO221" t="s">
        <v>2905</v>
      </c>
      <c r="QP221">
        <v>1</v>
      </c>
      <c r="QQ221">
        <v>1391</v>
      </c>
      <c r="QW221">
        <v>82</v>
      </c>
      <c r="QX221">
        <v>82</v>
      </c>
      <c r="QY221" t="s">
        <v>2906</v>
      </c>
      <c r="QZ221">
        <v>1</v>
      </c>
      <c r="RA221">
        <v>66</v>
      </c>
      <c r="RB221">
        <v>66</v>
      </c>
      <c r="RE221">
        <v>0</v>
      </c>
      <c r="RG221">
        <v>1</v>
      </c>
      <c r="RJ221">
        <v>1</v>
      </c>
      <c r="RL221">
        <v>2</v>
      </c>
      <c r="RO221">
        <v>488</v>
      </c>
      <c r="RQ221">
        <v>764</v>
      </c>
      <c r="RT221">
        <v>258</v>
      </c>
      <c r="RU221">
        <v>164</v>
      </c>
      <c r="RV221" t="s">
        <v>2150</v>
      </c>
      <c r="RW221" t="s">
        <v>679</v>
      </c>
      <c r="RX221">
        <v>15</v>
      </c>
      <c r="RY221">
        <v>4</v>
      </c>
      <c r="RZ221" t="s">
        <v>679</v>
      </c>
      <c r="SA221">
        <v>15</v>
      </c>
      <c r="SB221" t="s">
        <v>2907</v>
      </c>
      <c r="SC221" t="s">
        <v>2907</v>
      </c>
      <c r="SD221">
        <v>1</v>
      </c>
      <c r="SH221">
        <v>0.995</v>
      </c>
      <c r="SI221">
        <v>0.995</v>
      </c>
      <c r="SJ221">
        <v>0.995</v>
      </c>
      <c r="SK221">
        <v>15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TB221">
        <v>0</v>
      </c>
      <c r="TC221">
        <v>0</v>
      </c>
      <c r="TD221">
        <v>7.5</v>
      </c>
      <c r="TE221" t="s">
        <v>553</v>
      </c>
      <c r="TF221" t="s">
        <v>624</v>
      </c>
      <c r="TG221" t="s">
        <v>555</v>
      </c>
      <c r="TI221" t="s">
        <v>546</v>
      </c>
      <c r="TJ221" t="s">
        <v>547</v>
      </c>
      <c r="TL221" t="s">
        <v>2662</v>
      </c>
      <c r="TM221" t="s">
        <v>513</v>
      </c>
      <c r="TN221">
        <v>0</v>
      </c>
      <c r="TO221" t="s">
        <v>557</v>
      </c>
    </row>
    <row r="222" spans="1:535">
      <c r="A222" t="s">
        <v>2908</v>
      </c>
      <c r="B222" t="s">
        <v>629</v>
      </c>
      <c r="C222" t="s">
        <v>509</v>
      </c>
      <c r="D222" t="s">
        <v>1738</v>
      </c>
      <c r="G222" t="s">
        <v>511</v>
      </c>
      <c r="I222" t="s">
        <v>562</v>
      </c>
      <c r="L222" t="s">
        <v>512</v>
      </c>
      <c r="M222" t="s">
        <v>711</v>
      </c>
      <c r="N222" t="s">
        <v>513</v>
      </c>
      <c r="O222" t="s">
        <v>565</v>
      </c>
      <c r="Q222" t="s">
        <v>2909</v>
      </c>
      <c r="R222" t="s">
        <v>517</v>
      </c>
      <c r="S222" t="s">
        <v>964</v>
      </c>
      <c r="T222" t="s">
        <v>965</v>
      </c>
      <c r="U222" t="s">
        <v>686</v>
      </c>
      <c r="V222" t="s">
        <v>687</v>
      </c>
      <c r="W222" t="s">
        <v>1283</v>
      </c>
      <c r="X222" t="s">
        <v>2657</v>
      </c>
      <c r="Y222" t="s">
        <v>524</v>
      </c>
      <c r="Z222" t="s">
        <v>2910</v>
      </c>
      <c r="AA222" t="s">
        <v>2911</v>
      </c>
      <c r="AB222" t="s">
        <v>2912</v>
      </c>
      <c r="AC222">
        <v>2</v>
      </c>
      <c r="AD222">
        <v>56</v>
      </c>
      <c r="AE222">
        <v>205</v>
      </c>
      <c r="AF222">
        <v>1.5</v>
      </c>
      <c r="AH222">
        <v>0</v>
      </c>
      <c r="AI222" t="s">
        <v>944</v>
      </c>
      <c r="AJ222">
        <v>187.5</v>
      </c>
      <c r="AK222">
        <v>1</v>
      </c>
      <c r="AL222">
        <v>1.5</v>
      </c>
      <c r="AM222" t="s">
        <v>579</v>
      </c>
      <c r="AN222" t="s">
        <v>693</v>
      </c>
      <c r="AO222">
        <v>2</v>
      </c>
      <c r="AP222" t="s">
        <v>581</v>
      </c>
      <c r="AQ222" t="s">
        <v>582</v>
      </c>
      <c r="AR222">
        <v>225</v>
      </c>
      <c r="AS222">
        <v>1.5</v>
      </c>
      <c r="AT222" t="s">
        <v>583</v>
      </c>
      <c r="AU222" t="s">
        <v>2913</v>
      </c>
      <c r="AW222" t="s">
        <v>2913</v>
      </c>
      <c r="AX222">
        <v>1</v>
      </c>
      <c r="AY222">
        <v>265</v>
      </c>
      <c r="AZ222">
        <v>1.5</v>
      </c>
      <c r="BA222" t="s">
        <v>579</v>
      </c>
      <c r="BB222" t="s">
        <v>1412</v>
      </c>
      <c r="BD222" t="s">
        <v>1412</v>
      </c>
      <c r="BE222">
        <v>1</v>
      </c>
      <c r="BF222">
        <v>227.5</v>
      </c>
      <c r="BG222">
        <v>1.5</v>
      </c>
      <c r="BJ222">
        <v>0</v>
      </c>
      <c r="BN222">
        <v>1.5</v>
      </c>
      <c r="BP222" t="s">
        <v>2914</v>
      </c>
      <c r="BQ222">
        <v>88</v>
      </c>
      <c r="BR222">
        <v>2</v>
      </c>
      <c r="BS222" t="s">
        <v>1304</v>
      </c>
      <c r="BT222">
        <v>204</v>
      </c>
      <c r="BU222">
        <v>0.5</v>
      </c>
      <c r="BV222" t="s">
        <v>1304</v>
      </c>
      <c r="BW222">
        <v>408</v>
      </c>
      <c r="BX222">
        <v>1</v>
      </c>
      <c r="BY222" t="s">
        <v>698</v>
      </c>
      <c r="BZ222">
        <v>300</v>
      </c>
      <c r="CA222">
        <v>520</v>
      </c>
      <c r="CB222" t="s">
        <v>699</v>
      </c>
      <c r="CC222" t="s">
        <v>699</v>
      </c>
      <c r="CD222">
        <v>420</v>
      </c>
      <c r="CE222" t="s">
        <v>700</v>
      </c>
      <c r="CF222">
        <v>15</v>
      </c>
      <c r="CG222" t="s">
        <v>701</v>
      </c>
      <c r="CH222" t="s">
        <v>701</v>
      </c>
      <c r="CI222">
        <v>110</v>
      </c>
      <c r="CJ222">
        <v>1458</v>
      </c>
      <c r="CK222">
        <v>2</v>
      </c>
      <c r="CL222">
        <v>1552</v>
      </c>
      <c r="CM222">
        <v>2</v>
      </c>
      <c r="CN222" t="s">
        <v>702</v>
      </c>
      <c r="CO222" t="s">
        <v>676</v>
      </c>
      <c r="CP222" t="s">
        <v>703</v>
      </c>
      <c r="CQ222" t="s">
        <v>596</v>
      </c>
      <c r="CR222" t="s">
        <v>541</v>
      </c>
      <c r="CS222" t="s">
        <v>542</v>
      </c>
      <c r="CT222">
        <v>375</v>
      </c>
      <c r="CU222">
        <v>5</v>
      </c>
      <c r="CV222">
        <v>1.2</v>
      </c>
      <c r="CW222">
        <v>1475</v>
      </c>
      <c r="CX222">
        <v>783</v>
      </c>
      <c r="CY222" t="s">
        <v>705</v>
      </c>
      <c r="CZ222">
        <v>50</v>
      </c>
      <c r="DA222">
        <v>3</v>
      </c>
      <c r="DB222">
        <v>1</v>
      </c>
      <c r="DC222">
        <v>1475</v>
      </c>
      <c r="DD222">
        <v>77</v>
      </c>
      <c r="DE222" t="s">
        <v>622</v>
      </c>
      <c r="DF222">
        <v>530</v>
      </c>
      <c r="DG222">
        <v>3</v>
      </c>
      <c r="DH222">
        <v>0.88</v>
      </c>
      <c r="DI222">
        <v>1467</v>
      </c>
      <c r="DJ222">
        <v>940</v>
      </c>
      <c r="DK222" t="s">
        <v>622</v>
      </c>
      <c r="DL222">
        <v>455</v>
      </c>
      <c r="DM222">
        <v>3</v>
      </c>
      <c r="DN222">
        <v>0.88</v>
      </c>
      <c r="DO222">
        <v>1472</v>
      </c>
      <c r="DP222">
        <v>737</v>
      </c>
      <c r="DW222" t="s">
        <v>544</v>
      </c>
      <c r="DX222">
        <v>7.5</v>
      </c>
      <c r="EA222">
        <v>1544.1</v>
      </c>
      <c r="EB222">
        <v>273</v>
      </c>
      <c r="EC222" t="s">
        <v>545</v>
      </c>
      <c r="ED222">
        <v>25</v>
      </c>
      <c r="EE222">
        <v>3</v>
      </c>
      <c r="EG222">
        <v>1585</v>
      </c>
      <c r="EH222">
        <v>151</v>
      </c>
      <c r="EJ222">
        <v>0</v>
      </c>
      <c r="EK222">
        <v>1</v>
      </c>
      <c r="EN222">
        <v>0</v>
      </c>
      <c r="EP222" t="s">
        <v>546</v>
      </c>
      <c r="EQ222">
        <v>100</v>
      </c>
      <c r="ER222">
        <v>3</v>
      </c>
      <c r="ES222">
        <v>5</v>
      </c>
      <c r="ET222">
        <v>1451</v>
      </c>
      <c r="EU222">
        <v>405</v>
      </c>
      <c r="EV222">
        <v>588</v>
      </c>
      <c r="EW222" t="s">
        <v>547</v>
      </c>
      <c r="EX222">
        <v>45</v>
      </c>
      <c r="EY222">
        <v>2</v>
      </c>
      <c r="EZ222">
        <v>4.5</v>
      </c>
      <c r="FA222">
        <v>1451</v>
      </c>
      <c r="FB222">
        <v>144.2</v>
      </c>
      <c r="FC222">
        <v>209</v>
      </c>
      <c r="FE222">
        <v>0</v>
      </c>
      <c r="FF222">
        <v>2</v>
      </c>
      <c r="FI222">
        <v>0</v>
      </c>
      <c r="FK222" t="s">
        <v>548</v>
      </c>
      <c r="FL222">
        <v>0.4</v>
      </c>
      <c r="FM222">
        <v>70</v>
      </c>
      <c r="FN222">
        <v>340</v>
      </c>
      <c r="FO222">
        <v>65</v>
      </c>
      <c r="FP222">
        <v>150</v>
      </c>
      <c r="GR222" t="s">
        <v>548</v>
      </c>
      <c r="GS222">
        <v>0.4</v>
      </c>
      <c r="GT222">
        <v>30</v>
      </c>
      <c r="GU222">
        <v>370</v>
      </c>
      <c r="GV222">
        <v>30</v>
      </c>
      <c r="GW222">
        <v>260</v>
      </c>
      <c r="HC222">
        <v>0.1</v>
      </c>
      <c r="HD222">
        <v>3</v>
      </c>
      <c r="HE222">
        <v>3</v>
      </c>
      <c r="HF222">
        <v>3</v>
      </c>
      <c r="HG222">
        <v>3</v>
      </c>
      <c r="HH222">
        <v>3</v>
      </c>
      <c r="HI222">
        <v>130</v>
      </c>
      <c r="HJ222">
        <v>3</v>
      </c>
      <c r="HK222">
        <v>30</v>
      </c>
      <c r="HL222">
        <v>2</v>
      </c>
      <c r="HM222">
        <v>0</v>
      </c>
      <c r="HN222">
        <v>2</v>
      </c>
      <c r="HO222">
        <v>85</v>
      </c>
      <c r="HP222">
        <v>3</v>
      </c>
      <c r="HQ222">
        <v>0</v>
      </c>
      <c r="HR222">
        <v>2</v>
      </c>
      <c r="HS222">
        <v>5056</v>
      </c>
      <c r="HT222">
        <v>150</v>
      </c>
      <c r="HU222">
        <v>180</v>
      </c>
      <c r="HW222">
        <v>0</v>
      </c>
      <c r="HX222">
        <v>430</v>
      </c>
      <c r="HY222">
        <v>0.18</v>
      </c>
      <c r="IA222">
        <v>0.15</v>
      </c>
      <c r="IB222">
        <v>0</v>
      </c>
      <c r="IC222">
        <v>180</v>
      </c>
      <c r="ID222">
        <v>110</v>
      </c>
      <c r="IE222">
        <v>225</v>
      </c>
      <c r="IF222">
        <v>0</v>
      </c>
      <c r="IH222" t="s">
        <v>549</v>
      </c>
      <c r="IO222">
        <v>3</v>
      </c>
      <c r="IP222">
        <v>19</v>
      </c>
      <c r="IQ222">
        <v>0</v>
      </c>
      <c r="IR222">
        <v>0</v>
      </c>
      <c r="IV222">
        <v>1458</v>
      </c>
      <c r="IW222">
        <v>408</v>
      </c>
      <c r="JA222">
        <v>1</v>
      </c>
      <c r="JB222">
        <v>0</v>
      </c>
      <c r="JC222">
        <v>2</v>
      </c>
      <c r="JD222">
        <v>1475</v>
      </c>
      <c r="JE222">
        <v>1467</v>
      </c>
      <c r="JF222">
        <v>1472</v>
      </c>
      <c r="JG222">
        <v>1451</v>
      </c>
      <c r="JH222">
        <v>0</v>
      </c>
      <c r="JJ222">
        <v>180</v>
      </c>
      <c r="JK222">
        <v>430</v>
      </c>
      <c r="JN222">
        <v>375</v>
      </c>
      <c r="JO222">
        <v>530</v>
      </c>
      <c r="JP222">
        <v>455</v>
      </c>
      <c r="JQ222">
        <v>0</v>
      </c>
      <c r="JR222">
        <v>410</v>
      </c>
      <c r="JS222">
        <v>130</v>
      </c>
      <c r="JV222">
        <v>8</v>
      </c>
      <c r="JW222" t="s">
        <v>550</v>
      </c>
      <c r="JX222">
        <v>450</v>
      </c>
      <c r="KA222">
        <v>225</v>
      </c>
      <c r="KB222">
        <v>110</v>
      </c>
      <c r="KC222">
        <v>0</v>
      </c>
      <c r="KD222">
        <v>80</v>
      </c>
      <c r="KF222">
        <v>4</v>
      </c>
      <c r="KG222">
        <v>2</v>
      </c>
      <c r="KH222">
        <v>2</v>
      </c>
      <c r="KI222">
        <v>2</v>
      </c>
      <c r="KJ222">
        <v>0</v>
      </c>
      <c r="KK222">
        <v>1.5</v>
      </c>
      <c r="KL222">
        <v>1.5</v>
      </c>
      <c r="KM222">
        <v>0</v>
      </c>
      <c r="KN222">
        <v>0</v>
      </c>
      <c r="KO222">
        <v>0</v>
      </c>
      <c r="KR222">
        <v>50</v>
      </c>
      <c r="KS222">
        <v>60</v>
      </c>
      <c r="KT222">
        <v>0</v>
      </c>
      <c r="LK222">
        <v>480</v>
      </c>
      <c r="PG222">
        <v>1</v>
      </c>
      <c r="PI222" t="s">
        <v>2912</v>
      </c>
      <c r="PJ222" t="s">
        <v>2913</v>
      </c>
      <c r="PK222" t="s">
        <v>1412</v>
      </c>
      <c r="PL222" t="s">
        <v>944</v>
      </c>
      <c r="PP222" t="s">
        <v>2914</v>
      </c>
      <c r="PS222" t="s">
        <v>693</v>
      </c>
      <c r="PX222">
        <v>56</v>
      </c>
      <c r="PY222">
        <v>56</v>
      </c>
      <c r="PZ222" t="s">
        <v>2912</v>
      </c>
      <c r="QA222">
        <v>2</v>
      </c>
      <c r="QB222">
        <v>1451</v>
      </c>
      <c r="QC222">
        <v>69</v>
      </c>
      <c r="QD222">
        <v>69</v>
      </c>
      <c r="QE222" t="s">
        <v>944</v>
      </c>
      <c r="QF222">
        <v>1</v>
      </c>
      <c r="QG222">
        <v>1475</v>
      </c>
      <c r="QH222">
        <v>66</v>
      </c>
      <c r="QI222">
        <v>66</v>
      </c>
      <c r="QJ222" t="s">
        <v>693</v>
      </c>
      <c r="QK222">
        <v>1</v>
      </c>
      <c r="QL222">
        <v>1475</v>
      </c>
      <c r="QM222">
        <v>62</v>
      </c>
      <c r="QN222">
        <v>62</v>
      </c>
      <c r="QO222" t="s">
        <v>2913</v>
      </c>
      <c r="QP222">
        <v>1</v>
      </c>
      <c r="QQ222">
        <v>1467</v>
      </c>
      <c r="QR222">
        <v>62</v>
      </c>
      <c r="QS222">
        <v>62</v>
      </c>
      <c r="QT222" t="s">
        <v>1412</v>
      </c>
      <c r="QU222">
        <v>1</v>
      </c>
      <c r="QV222">
        <v>1472</v>
      </c>
      <c r="QW222">
        <v>82</v>
      </c>
      <c r="QX222">
        <v>88</v>
      </c>
      <c r="QY222" t="s">
        <v>2914</v>
      </c>
      <c r="QZ222">
        <v>1</v>
      </c>
      <c r="RA222">
        <v>66</v>
      </c>
      <c r="RB222">
        <v>66</v>
      </c>
      <c r="RE222">
        <v>0</v>
      </c>
      <c r="RF222">
        <v>1</v>
      </c>
      <c r="RH222">
        <v>1</v>
      </c>
      <c r="RJ222">
        <v>1</v>
      </c>
      <c r="RK222">
        <v>2</v>
      </c>
      <c r="RL222">
        <v>4</v>
      </c>
      <c r="RM222">
        <v>4</v>
      </c>
      <c r="RO222">
        <v>531</v>
      </c>
      <c r="RP222">
        <v>105</v>
      </c>
      <c r="RQ222">
        <v>641</v>
      </c>
      <c r="RR222">
        <v>501</v>
      </c>
      <c r="RT222">
        <v>273</v>
      </c>
      <c r="RU222">
        <v>151</v>
      </c>
      <c r="RV222" t="s">
        <v>1305</v>
      </c>
      <c r="RW222" t="s">
        <v>707</v>
      </c>
      <c r="RX222">
        <v>15</v>
      </c>
      <c r="RY222">
        <v>4</v>
      </c>
      <c r="RZ222" t="s">
        <v>707</v>
      </c>
      <c r="SA222">
        <v>15</v>
      </c>
      <c r="SC222" t="s">
        <v>2913</v>
      </c>
      <c r="SD222">
        <v>1</v>
      </c>
      <c r="SF222" t="s">
        <v>1412</v>
      </c>
      <c r="SG222">
        <v>1</v>
      </c>
      <c r="SH222">
        <v>0.995</v>
      </c>
      <c r="SI222">
        <v>0.995</v>
      </c>
      <c r="SJ222">
        <v>0.995</v>
      </c>
      <c r="SK222">
        <v>15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1</v>
      </c>
      <c r="SZ222">
        <v>1</v>
      </c>
      <c r="TB222">
        <v>0</v>
      </c>
      <c r="TC222">
        <v>0</v>
      </c>
      <c r="TD222">
        <v>7.5</v>
      </c>
      <c r="TE222" t="s">
        <v>553</v>
      </c>
      <c r="TF222" t="s">
        <v>624</v>
      </c>
      <c r="TG222" t="s">
        <v>555</v>
      </c>
      <c r="TI222" t="s">
        <v>546</v>
      </c>
      <c r="TJ222" t="s">
        <v>547</v>
      </c>
      <c r="TL222" t="s">
        <v>2662</v>
      </c>
      <c r="TM222" t="s">
        <v>513</v>
      </c>
      <c r="TN222">
        <v>0</v>
      </c>
      <c r="TO222" t="s">
        <v>557</v>
      </c>
    </row>
    <row r="223" spans="1:535">
      <c r="A223" t="s">
        <v>2915</v>
      </c>
      <c r="B223" t="s">
        <v>804</v>
      </c>
      <c r="C223" t="s">
        <v>509</v>
      </c>
      <c r="D223" t="s">
        <v>2916</v>
      </c>
      <c r="G223" t="s">
        <v>511</v>
      </c>
      <c r="I223" t="s">
        <v>562</v>
      </c>
      <c r="L223" t="s">
        <v>512</v>
      </c>
      <c r="M223" t="s">
        <v>508</v>
      </c>
      <c r="N223" t="s">
        <v>513</v>
      </c>
      <c r="O223" t="s">
        <v>1942</v>
      </c>
      <c r="P223" t="s">
        <v>515</v>
      </c>
      <c r="Q223" t="s">
        <v>2917</v>
      </c>
      <c r="R223" t="s">
        <v>517</v>
      </c>
      <c r="S223" t="s">
        <v>2918</v>
      </c>
      <c r="T223" t="s">
        <v>2808</v>
      </c>
      <c r="U223" t="s">
        <v>570</v>
      </c>
      <c r="V223" t="s">
        <v>571</v>
      </c>
      <c r="W223" t="s">
        <v>1296</v>
      </c>
      <c r="X223" t="s">
        <v>2657</v>
      </c>
      <c r="Y223" t="s">
        <v>574</v>
      </c>
      <c r="Z223" t="s">
        <v>2919</v>
      </c>
      <c r="AA223" t="s">
        <v>2920</v>
      </c>
      <c r="AB223" t="s">
        <v>2921</v>
      </c>
      <c r="AC223">
        <v>2</v>
      </c>
      <c r="AD223">
        <v>56</v>
      </c>
      <c r="AE223">
        <v>233</v>
      </c>
      <c r="AF223">
        <v>1.5</v>
      </c>
      <c r="AH223">
        <v>0</v>
      </c>
      <c r="AI223" t="s">
        <v>885</v>
      </c>
      <c r="AJ223">
        <v>215</v>
      </c>
      <c r="AK223">
        <v>1</v>
      </c>
      <c r="AL223">
        <v>1.5</v>
      </c>
      <c r="AM223" t="s">
        <v>579</v>
      </c>
      <c r="AN223" t="s">
        <v>693</v>
      </c>
      <c r="AO223">
        <v>2</v>
      </c>
      <c r="AP223" t="s">
        <v>581</v>
      </c>
      <c r="AQ223" t="s">
        <v>582</v>
      </c>
      <c r="AR223">
        <v>253</v>
      </c>
      <c r="AS223">
        <v>1.5</v>
      </c>
      <c r="AT223" t="s">
        <v>583</v>
      </c>
      <c r="AU223" t="s">
        <v>2922</v>
      </c>
      <c r="AW223" t="s">
        <v>2922</v>
      </c>
      <c r="AX223">
        <v>1</v>
      </c>
      <c r="AY223">
        <v>305</v>
      </c>
      <c r="AZ223">
        <v>1.5</v>
      </c>
      <c r="BA223" t="s">
        <v>579</v>
      </c>
      <c r="BB223" t="s">
        <v>2923</v>
      </c>
      <c r="BD223" t="s">
        <v>2923</v>
      </c>
      <c r="BE223">
        <v>1</v>
      </c>
      <c r="BF223">
        <v>255</v>
      </c>
      <c r="BG223">
        <v>1.5</v>
      </c>
      <c r="BJ223">
        <v>0</v>
      </c>
      <c r="BN223">
        <v>1.5</v>
      </c>
      <c r="BP223" t="s">
        <v>1374</v>
      </c>
      <c r="BQ223" t="s">
        <v>587</v>
      </c>
      <c r="BR223">
        <v>2</v>
      </c>
      <c r="BS223" t="s">
        <v>799</v>
      </c>
      <c r="BT223">
        <v>232</v>
      </c>
      <c r="BU223">
        <v>0.5</v>
      </c>
      <c r="BV223" t="s">
        <v>799</v>
      </c>
      <c r="BW223">
        <v>464</v>
      </c>
      <c r="BX223">
        <v>1</v>
      </c>
      <c r="BY223" t="s">
        <v>589</v>
      </c>
      <c r="BZ223">
        <v>470</v>
      </c>
      <c r="CA223">
        <v>530</v>
      </c>
      <c r="CB223" t="s">
        <v>590</v>
      </c>
      <c r="CC223" t="s">
        <v>590</v>
      </c>
      <c r="CD223">
        <v>480</v>
      </c>
      <c r="CE223" t="s">
        <v>591</v>
      </c>
      <c r="CF223">
        <v>15</v>
      </c>
      <c r="CG223" t="s">
        <v>936</v>
      </c>
      <c r="CH223" t="s">
        <v>936</v>
      </c>
      <c r="CI223">
        <v>30</v>
      </c>
      <c r="CJ223">
        <v>1538</v>
      </c>
      <c r="CK223">
        <v>2</v>
      </c>
      <c r="CL223">
        <v>1632</v>
      </c>
      <c r="CM223">
        <v>2</v>
      </c>
      <c r="CN223" t="s">
        <v>593</v>
      </c>
      <c r="CO223" t="s">
        <v>594</v>
      </c>
      <c r="CP223" t="s">
        <v>595</v>
      </c>
      <c r="CQ223" t="s">
        <v>596</v>
      </c>
      <c r="CR223" t="s">
        <v>541</v>
      </c>
      <c r="CS223" t="s">
        <v>542</v>
      </c>
      <c r="CT223">
        <v>430</v>
      </c>
      <c r="CU223">
        <v>5</v>
      </c>
      <c r="CV223">
        <v>1.2</v>
      </c>
      <c r="CW223">
        <v>1554</v>
      </c>
      <c r="CX223">
        <v>946</v>
      </c>
      <c r="CY223" t="s">
        <v>705</v>
      </c>
      <c r="CZ223">
        <v>50</v>
      </c>
      <c r="DA223">
        <v>3</v>
      </c>
      <c r="DB223">
        <v>1</v>
      </c>
      <c r="DC223">
        <v>1554</v>
      </c>
      <c r="DD223">
        <v>82</v>
      </c>
      <c r="DE223" t="s">
        <v>622</v>
      </c>
      <c r="DF223">
        <v>610</v>
      </c>
      <c r="DG223">
        <v>3</v>
      </c>
      <c r="DH223">
        <v>0.88</v>
      </c>
      <c r="DI223">
        <v>1547</v>
      </c>
      <c r="DJ223">
        <v>1114</v>
      </c>
      <c r="DK223" t="s">
        <v>622</v>
      </c>
      <c r="DL223">
        <v>510</v>
      </c>
      <c r="DM223">
        <v>3</v>
      </c>
      <c r="DN223">
        <v>0.88</v>
      </c>
      <c r="DO223">
        <v>1552</v>
      </c>
      <c r="DP223">
        <v>861</v>
      </c>
      <c r="DW223" t="s">
        <v>544</v>
      </c>
      <c r="DX223">
        <v>7.5</v>
      </c>
      <c r="EA223">
        <v>1623.8</v>
      </c>
      <c r="EB223">
        <v>382</v>
      </c>
      <c r="EC223" t="s">
        <v>545</v>
      </c>
      <c r="ED223">
        <v>30</v>
      </c>
      <c r="EE223">
        <v>3</v>
      </c>
      <c r="EG223">
        <v>1675</v>
      </c>
      <c r="EH223">
        <v>198</v>
      </c>
      <c r="EJ223">
        <v>0</v>
      </c>
      <c r="EK223">
        <v>1</v>
      </c>
      <c r="EN223">
        <v>0</v>
      </c>
      <c r="EP223" t="s">
        <v>546</v>
      </c>
      <c r="EQ223">
        <v>115</v>
      </c>
      <c r="ER223">
        <v>3</v>
      </c>
      <c r="ES223">
        <v>5.5</v>
      </c>
      <c r="ET223">
        <v>1534</v>
      </c>
      <c r="EU223">
        <v>538.9</v>
      </c>
      <c r="EV223">
        <v>827</v>
      </c>
      <c r="EW223" t="s">
        <v>547</v>
      </c>
      <c r="EX223">
        <v>45</v>
      </c>
      <c r="EY223">
        <v>2</v>
      </c>
      <c r="EZ223">
        <v>4.7</v>
      </c>
      <c r="FA223">
        <v>1534</v>
      </c>
      <c r="FB223">
        <v>141.4</v>
      </c>
      <c r="FC223">
        <v>217</v>
      </c>
      <c r="FE223">
        <v>0</v>
      </c>
      <c r="FF223">
        <v>2</v>
      </c>
      <c r="FI223">
        <v>0</v>
      </c>
      <c r="FK223" t="s">
        <v>548</v>
      </c>
      <c r="FL223">
        <v>0.4</v>
      </c>
      <c r="FM223">
        <v>50</v>
      </c>
      <c r="FN223">
        <v>400</v>
      </c>
      <c r="FO223">
        <v>85</v>
      </c>
      <c r="FP223">
        <v>170</v>
      </c>
      <c r="GR223" t="s">
        <v>548</v>
      </c>
      <c r="GS223">
        <v>0.4</v>
      </c>
      <c r="GT223">
        <v>30</v>
      </c>
      <c r="GU223">
        <v>430</v>
      </c>
      <c r="GV223">
        <v>30</v>
      </c>
      <c r="GW223">
        <v>300</v>
      </c>
      <c r="HC223">
        <v>0.1</v>
      </c>
      <c r="HD223">
        <v>3</v>
      </c>
      <c r="HE223">
        <v>3</v>
      </c>
      <c r="HF223">
        <v>3</v>
      </c>
      <c r="HG223">
        <v>3</v>
      </c>
      <c r="HH223">
        <v>3</v>
      </c>
      <c r="HI223">
        <v>145</v>
      </c>
      <c r="HJ223">
        <v>3</v>
      </c>
      <c r="HK223">
        <v>30</v>
      </c>
      <c r="HL223">
        <v>2</v>
      </c>
      <c r="HM223">
        <v>0</v>
      </c>
      <c r="HN223">
        <v>2</v>
      </c>
      <c r="HO223">
        <v>100</v>
      </c>
      <c r="HP223">
        <v>3</v>
      </c>
      <c r="HQ223">
        <v>0</v>
      </c>
      <c r="HR223">
        <v>2</v>
      </c>
      <c r="HS223">
        <v>6333</v>
      </c>
      <c r="HT223">
        <v>190</v>
      </c>
      <c r="HU223">
        <v>180</v>
      </c>
      <c r="HW223">
        <v>0</v>
      </c>
      <c r="HX223">
        <v>510</v>
      </c>
      <c r="HY223">
        <v>0.18</v>
      </c>
      <c r="IA223">
        <v>0.15</v>
      </c>
      <c r="IB223">
        <v>0</v>
      </c>
      <c r="IC223">
        <v>180</v>
      </c>
      <c r="ID223">
        <v>110</v>
      </c>
      <c r="IE223">
        <v>225</v>
      </c>
      <c r="IF223">
        <v>0</v>
      </c>
      <c r="IH223" t="s">
        <v>549</v>
      </c>
      <c r="IO223">
        <v>3</v>
      </c>
      <c r="IP223">
        <v>20</v>
      </c>
      <c r="IQ223">
        <v>0</v>
      </c>
      <c r="IR223">
        <v>0</v>
      </c>
      <c r="IV223">
        <v>1538</v>
      </c>
      <c r="IW223">
        <v>464</v>
      </c>
      <c r="JA223">
        <v>1</v>
      </c>
      <c r="JB223">
        <v>0</v>
      </c>
      <c r="JC223">
        <v>2</v>
      </c>
      <c r="JD223">
        <v>1554</v>
      </c>
      <c r="JE223">
        <v>1547</v>
      </c>
      <c r="JF223">
        <v>1552</v>
      </c>
      <c r="JG223">
        <v>1534</v>
      </c>
      <c r="JH223">
        <v>0</v>
      </c>
      <c r="JJ223">
        <v>180</v>
      </c>
      <c r="JK223">
        <v>510</v>
      </c>
      <c r="JN223">
        <v>430</v>
      </c>
      <c r="JO223">
        <v>610</v>
      </c>
      <c r="JP223">
        <v>510</v>
      </c>
      <c r="JQ223">
        <v>0</v>
      </c>
      <c r="JR223">
        <v>466</v>
      </c>
      <c r="JS223">
        <v>145</v>
      </c>
      <c r="JV223">
        <v>8</v>
      </c>
      <c r="JW223" t="s">
        <v>550</v>
      </c>
      <c r="JX223">
        <v>506</v>
      </c>
      <c r="KA223">
        <v>225</v>
      </c>
      <c r="KB223">
        <v>110</v>
      </c>
      <c r="KC223">
        <v>0</v>
      </c>
      <c r="KD223">
        <v>80</v>
      </c>
      <c r="KF223">
        <v>4</v>
      </c>
      <c r="KG223">
        <v>4</v>
      </c>
      <c r="KH223">
        <v>2</v>
      </c>
      <c r="KI223">
        <v>2</v>
      </c>
      <c r="KJ223">
        <v>0</v>
      </c>
      <c r="KK223">
        <v>1.5</v>
      </c>
      <c r="KL223">
        <v>1.5</v>
      </c>
      <c r="KM223">
        <v>0</v>
      </c>
      <c r="KN223">
        <v>0</v>
      </c>
      <c r="KO223">
        <v>0</v>
      </c>
      <c r="KR223">
        <v>30</v>
      </c>
      <c r="KS223">
        <v>60</v>
      </c>
      <c r="KT223">
        <v>0</v>
      </c>
      <c r="LK223">
        <v>480</v>
      </c>
      <c r="PG223">
        <v>1</v>
      </c>
      <c r="PI223" t="s">
        <v>2921</v>
      </c>
      <c r="PJ223" t="s">
        <v>2922</v>
      </c>
      <c r="PK223" t="s">
        <v>2923</v>
      </c>
      <c r="PL223" t="s">
        <v>885</v>
      </c>
      <c r="PP223" t="s">
        <v>1374</v>
      </c>
      <c r="PS223" t="s">
        <v>693</v>
      </c>
      <c r="PX223">
        <v>56</v>
      </c>
      <c r="PY223">
        <v>56</v>
      </c>
      <c r="PZ223" t="s">
        <v>2921</v>
      </c>
      <c r="QA223">
        <v>1</v>
      </c>
      <c r="QB223">
        <v>1534</v>
      </c>
      <c r="QC223">
        <v>69</v>
      </c>
      <c r="QD223">
        <v>69</v>
      </c>
      <c r="QE223" t="s">
        <v>885</v>
      </c>
      <c r="QF223">
        <v>1</v>
      </c>
      <c r="QG223">
        <v>1554</v>
      </c>
      <c r="QH223">
        <v>66</v>
      </c>
      <c r="QI223">
        <v>66</v>
      </c>
      <c r="QJ223" t="s">
        <v>693</v>
      </c>
      <c r="QK223">
        <v>1</v>
      </c>
      <c r="QL223">
        <v>1554</v>
      </c>
      <c r="QM223">
        <v>62</v>
      </c>
      <c r="QN223">
        <v>62</v>
      </c>
      <c r="QO223" t="s">
        <v>2922</v>
      </c>
      <c r="QP223">
        <v>1</v>
      </c>
      <c r="QQ223">
        <v>1547</v>
      </c>
      <c r="QR223">
        <v>62</v>
      </c>
      <c r="QS223">
        <v>62</v>
      </c>
      <c r="QT223" t="s">
        <v>2923</v>
      </c>
      <c r="QU223">
        <v>1</v>
      </c>
      <c r="QV223">
        <v>1552</v>
      </c>
      <c r="QW223">
        <v>82</v>
      </c>
      <c r="QX223" t="s">
        <v>587</v>
      </c>
      <c r="QY223" t="s">
        <v>1374</v>
      </c>
      <c r="QZ223">
        <v>3</v>
      </c>
      <c r="RA223">
        <v>66</v>
      </c>
      <c r="RB223">
        <v>66</v>
      </c>
      <c r="RE223">
        <v>0</v>
      </c>
      <c r="RF223">
        <v>1</v>
      </c>
      <c r="RH223">
        <v>1</v>
      </c>
      <c r="RJ223">
        <v>1</v>
      </c>
      <c r="RK223">
        <v>2</v>
      </c>
      <c r="RL223">
        <v>4</v>
      </c>
      <c r="RM223">
        <v>4</v>
      </c>
      <c r="RO223">
        <v>609</v>
      </c>
      <c r="RP223">
        <v>105</v>
      </c>
      <c r="RQ223">
        <v>720</v>
      </c>
      <c r="RR223">
        <v>555</v>
      </c>
      <c r="RT223">
        <v>382</v>
      </c>
      <c r="RU223">
        <v>198</v>
      </c>
      <c r="RV223" t="s">
        <v>801</v>
      </c>
      <c r="RW223" t="s">
        <v>599</v>
      </c>
      <c r="RX223">
        <v>15</v>
      </c>
      <c r="RY223">
        <v>4</v>
      </c>
      <c r="RZ223" t="s">
        <v>599</v>
      </c>
      <c r="SA223">
        <v>15</v>
      </c>
      <c r="SC223" t="s">
        <v>2922</v>
      </c>
      <c r="SD223">
        <v>1</v>
      </c>
      <c r="SF223" t="s">
        <v>2923</v>
      </c>
      <c r="SG223">
        <v>1</v>
      </c>
      <c r="SH223">
        <v>0.995</v>
      </c>
      <c r="SI223">
        <v>0.995</v>
      </c>
      <c r="SJ223">
        <v>0.995</v>
      </c>
      <c r="SK223">
        <v>15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1</v>
      </c>
      <c r="SZ223">
        <v>1</v>
      </c>
      <c r="TB223">
        <v>0</v>
      </c>
      <c r="TC223">
        <v>0</v>
      </c>
      <c r="TD223">
        <v>7.5</v>
      </c>
      <c r="TE223" t="s">
        <v>553</v>
      </c>
      <c r="TF223" t="s">
        <v>681</v>
      </c>
      <c r="TG223" t="s">
        <v>555</v>
      </c>
      <c r="TI223" t="s">
        <v>546</v>
      </c>
      <c r="TJ223" t="s">
        <v>547</v>
      </c>
      <c r="TL223" t="s">
        <v>2662</v>
      </c>
      <c r="TM223" t="s">
        <v>513</v>
      </c>
      <c r="TN223">
        <v>0</v>
      </c>
      <c r="TO223" t="s">
        <v>601</v>
      </c>
    </row>
    <row r="224" spans="1:535">
      <c r="A224" t="s">
        <v>2924</v>
      </c>
      <c r="B224" t="s">
        <v>804</v>
      </c>
      <c r="C224" t="s">
        <v>509</v>
      </c>
      <c r="D224" t="s">
        <v>2765</v>
      </c>
      <c r="G224" t="s">
        <v>1135</v>
      </c>
      <c r="I224" t="s">
        <v>562</v>
      </c>
      <c r="J224" t="s">
        <v>563</v>
      </c>
      <c r="L224" t="s">
        <v>512</v>
      </c>
      <c r="M224" t="s">
        <v>508</v>
      </c>
      <c r="N224" t="s">
        <v>513</v>
      </c>
      <c r="O224" t="s">
        <v>1255</v>
      </c>
      <c r="P224" t="s">
        <v>515</v>
      </c>
      <c r="Q224" t="s">
        <v>2925</v>
      </c>
      <c r="R224" t="s">
        <v>517</v>
      </c>
      <c r="S224" t="s">
        <v>1644</v>
      </c>
      <c r="T224" t="s">
        <v>1043</v>
      </c>
      <c r="U224" t="s">
        <v>662</v>
      </c>
      <c r="V224" t="s">
        <v>663</v>
      </c>
      <c r="W224" t="s">
        <v>1241</v>
      </c>
      <c r="X224" t="s">
        <v>2657</v>
      </c>
      <c r="Y224" t="s">
        <v>574</v>
      </c>
      <c r="Z224" t="s">
        <v>2926</v>
      </c>
      <c r="AA224" t="s">
        <v>2927</v>
      </c>
      <c r="AB224" t="s">
        <v>2928</v>
      </c>
      <c r="AC224">
        <v>2</v>
      </c>
      <c r="AD224">
        <v>56</v>
      </c>
      <c r="AE224">
        <v>215</v>
      </c>
      <c r="AF224">
        <v>1.5</v>
      </c>
      <c r="AH224">
        <v>0</v>
      </c>
      <c r="AI224" t="s">
        <v>1648</v>
      </c>
      <c r="AJ224">
        <v>227.5</v>
      </c>
      <c r="AK224">
        <v>1</v>
      </c>
      <c r="AL224">
        <v>1.5</v>
      </c>
      <c r="AM224" t="s">
        <v>529</v>
      </c>
      <c r="AO224">
        <v>0</v>
      </c>
      <c r="AR224">
        <v>0</v>
      </c>
      <c r="AS224">
        <v>1.5</v>
      </c>
      <c r="AU224" t="s">
        <v>2929</v>
      </c>
      <c r="AW224" t="s">
        <v>2929</v>
      </c>
      <c r="AX224">
        <v>1</v>
      </c>
      <c r="AY224">
        <v>310</v>
      </c>
      <c r="AZ224">
        <v>1.5</v>
      </c>
      <c r="BA224" t="s">
        <v>529</v>
      </c>
      <c r="BB224" t="s">
        <v>2930</v>
      </c>
      <c r="BD224" t="s">
        <v>2930</v>
      </c>
      <c r="BE224">
        <v>1</v>
      </c>
      <c r="BF224">
        <v>257.5</v>
      </c>
      <c r="BG224">
        <v>1.5</v>
      </c>
      <c r="BJ224">
        <v>0</v>
      </c>
      <c r="BN224">
        <v>1.5</v>
      </c>
      <c r="BP224" t="s">
        <v>1596</v>
      </c>
      <c r="BQ224">
        <v>88</v>
      </c>
      <c r="BR224">
        <v>2</v>
      </c>
      <c r="BS224" t="s">
        <v>671</v>
      </c>
      <c r="BT224">
        <v>237</v>
      </c>
      <c r="BU224">
        <v>0.5</v>
      </c>
      <c r="BV224" t="s">
        <v>671</v>
      </c>
      <c r="BW224">
        <v>474</v>
      </c>
      <c r="BX224">
        <v>1</v>
      </c>
      <c r="BY224" t="s">
        <v>643</v>
      </c>
      <c r="BZ224">
        <v>470</v>
      </c>
      <c r="CA224">
        <v>530</v>
      </c>
      <c r="CB224" t="s">
        <v>672</v>
      </c>
      <c r="CC224" t="s">
        <v>672</v>
      </c>
      <c r="CD224">
        <v>492</v>
      </c>
      <c r="CE224" t="s">
        <v>673</v>
      </c>
      <c r="CF224">
        <v>15</v>
      </c>
      <c r="CG224" t="s">
        <v>2054</v>
      </c>
      <c r="CH224" t="s">
        <v>2054</v>
      </c>
      <c r="CI224">
        <v>30</v>
      </c>
      <c r="CJ224">
        <v>1381</v>
      </c>
      <c r="CK224">
        <v>2</v>
      </c>
      <c r="CL224">
        <v>1475</v>
      </c>
      <c r="CM224">
        <v>2</v>
      </c>
      <c r="CN224" t="s">
        <v>675</v>
      </c>
      <c r="CO224" t="s">
        <v>676</v>
      </c>
      <c r="CP224" t="s">
        <v>595</v>
      </c>
      <c r="CQ224" t="s">
        <v>621</v>
      </c>
      <c r="CR224" t="s">
        <v>541</v>
      </c>
      <c r="CS224" t="s">
        <v>542</v>
      </c>
      <c r="CT224">
        <v>455</v>
      </c>
      <c r="CU224">
        <v>5</v>
      </c>
      <c r="CV224">
        <v>1.2</v>
      </c>
      <c r="CW224">
        <v>1393</v>
      </c>
      <c r="CX224">
        <v>898</v>
      </c>
      <c r="DD224">
        <v>0</v>
      </c>
      <c r="DE224" t="s">
        <v>622</v>
      </c>
      <c r="DF224">
        <v>620</v>
      </c>
      <c r="DG224">
        <v>3</v>
      </c>
      <c r="DH224">
        <v>0.88</v>
      </c>
      <c r="DI224">
        <v>1390</v>
      </c>
      <c r="DJ224">
        <v>972</v>
      </c>
      <c r="DK224" t="s">
        <v>622</v>
      </c>
      <c r="DL224">
        <v>515</v>
      </c>
      <c r="DM224">
        <v>3</v>
      </c>
      <c r="DN224">
        <v>0.88</v>
      </c>
      <c r="DO224">
        <v>1396</v>
      </c>
      <c r="DP224">
        <v>782</v>
      </c>
      <c r="DW224" t="s">
        <v>544</v>
      </c>
      <c r="DX224">
        <v>7.5</v>
      </c>
      <c r="EA224">
        <v>1464.3</v>
      </c>
      <c r="EB224">
        <v>345</v>
      </c>
      <c r="EC224" t="s">
        <v>545</v>
      </c>
      <c r="ED224">
        <v>30</v>
      </c>
      <c r="EE224">
        <v>3</v>
      </c>
      <c r="EG224">
        <v>1515</v>
      </c>
      <c r="EH224">
        <v>177</v>
      </c>
      <c r="EJ224">
        <v>0</v>
      </c>
      <c r="EK224">
        <v>1</v>
      </c>
      <c r="EN224">
        <v>0</v>
      </c>
      <c r="EP224" t="s">
        <v>546</v>
      </c>
      <c r="EQ224">
        <v>130</v>
      </c>
      <c r="ER224">
        <v>3</v>
      </c>
      <c r="ES224">
        <v>6</v>
      </c>
      <c r="ET224">
        <v>1381</v>
      </c>
      <c r="EU224">
        <v>644.3</v>
      </c>
      <c r="EV224">
        <v>890</v>
      </c>
      <c r="EW224" t="s">
        <v>547</v>
      </c>
      <c r="EX224">
        <v>70</v>
      </c>
      <c r="EY224">
        <v>2</v>
      </c>
      <c r="EZ224">
        <v>4.5</v>
      </c>
      <c r="FA224">
        <v>1381</v>
      </c>
      <c r="FB224">
        <v>207.4</v>
      </c>
      <c r="FC224">
        <v>286</v>
      </c>
      <c r="FE224">
        <v>0</v>
      </c>
      <c r="FF224">
        <v>2</v>
      </c>
      <c r="FI224">
        <v>0</v>
      </c>
      <c r="FK224" t="s">
        <v>548</v>
      </c>
      <c r="FL224">
        <v>0.4</v>
      </c>
      <c r="FM224">
        <v>100</v>
      </c>
      <c r="FN224">
        <v>160</v>
      </c>
      <c r="GR224" t="s">
        <v>548</v>
      </c>
      <c r="GS224">
        <v>0.4</v>
      </c>
      <c r="GT224">
        <v>30</v>
      </c>
      <c r="GU224">
        <v>440</v>
      </c>
      <c r="GV224">
        <v>30</v>
      </c>
      <c r="GW224">
        <v>310</v>
      </c>
      <c r="HC224">
        <v>0.1</v>
      </c>
      <c r="HD224">
        <v>3</v>
      </c>
      <c r="HE224">
        <v>3</v>
      </c>
      <c r="HF224">
        <v>3</v>
      </c>
      <c r="HG224">
        <v>3</v>
      </c>
      <c r="HH224">
        <v>3</v>
      </c>
      <c r="HI224">
        <v>185</v>
      </c>
      <c r="HJ224">
        <v>3</v>
      </c>
      <c r="HK224">
        <v>55</v>
      </c>
      <c r="HL224">
        <v>2</v>
      </c>
      <c r="HM224">
        <v>0</v>
      </c>
      <c r="HN224">
        <v>2</v>
      </c>
      <c r="HO224">
        <v>115</v>
      </c>
      <c r="HP224">
        <v>3</v>
      </c>
      <c r="HQ224">
        <v>0</v>
      </c>
      <c r="HR224">
        <v>2</v>
      </c>
      <c r="HS224">
        <v>6048</v>
      </c>
      <c r="HT224">
        <v>180</v>
      </c>
      <c r="HU224">
        <v>180</v>
      </c>
      <c r="HW224">
        <v>0</v>
      </c>
      <c r="HX224">
        <v>495</v>
      </c>
      <c r="HY224">
        <v>0.18</v>
      </c>
      <c r="IA224">
        <v>0.15</v>
      </c>
      <c r="IB224">
        <v>0</v>
      </c>
      <c r="IC224">
        <v>180</v>
      </c>
      <c r="ID224">
        <v>110</v>
      </c>
      <c r="IE224">
        <v>225</v>
      </c>
      <c r="IF224">
        <v>0</v>
      </c>
      <c r="IH224" t="s">
        <v>549</v>
      </c>
      <c r="IO224">
        <v>3</v>
      </c>
      <c r="IP224">
        <v>18</v>
      </c>
      <c r="IQ224">
        <v>0</v>
      </c>
      <c r="IR224">
        <v>1</v>
      </c>
      <c r="IV224">
        <v>1381</v>
      </c>
      <c r="IW224">
        <v>474</v>
      </c>
      <c r="JA224">
        <v>1</v>
      </c>
      <c r="JB224">
        <v>0</v>
      </c>
      <c r="JC224">
        <v>2</v>
      </c>
      <c r="JD224">
        <v>1393</v>
      </c>
      <c r="JE224">
        <v>1390</v>
      </c>
      <c r="JF224">
        <v>1396</v>
      </c>
      <c r="JG224">
        <v>1381</v>
      </c>
      <c r="JH224">
        <v>0</v>
      </c>
      <c r="JJ224">
        <v>180</v>
      </c>
      <c r="JK224">
        <v>495</v>
      </c>
      <c r="JN224">
        <v>455</v>
      </c>
      <c r="JO224">
        <v>620</v>
      </c>
      <c r="JP224">
        <v>515</v>
      </c>
      <c r="JQ224">
        <v>0</v>
      </c>
      <c r="JR224">
        <v>430</v>
      </c>
      <c r="JS224">
        <v>185</v>
      </c>
      <c r="JV224">
        <v>8</v>
      </c>
      <c r="JW224" t="s">
        <v>550</v>
      </c>
      <c r="JX224">
        <v>0</v>
      </c>
      <c r="KA224">
        <v>225</v>
      </c>
      <c r="KB224">
        <v>110</v>
      </c>
      <c r="KC224">
        <v>0</v>
      </c>
      <c r="KD224">
        <v>80</v>
      </c>
      <c r="KF224">
        <v>4</v>
      </c>
      <c r="KG224">
        <v>2</v>
      </c>
      <c r="KH224">
        <v>2</v>
      </c>
      <c r="KI224">
        <v>2</v>
      </c>
      <c r="KJ224">
        <v>0</v>
      </c>
      <c r="KK224">
        <v>1.5</v>
      </c>
      <c r="KL224">
        <v>1.5</v>
      </c>
      <c r="KM224">
        <v>0</v>
      </c>
      <c r="KN224">
        <v>0</v>
      </c>
      <c r="KO224">
        <v>0</v>
      </c>
      <c r="KR224">
        <v>30</v>
      </c>
      <c r="KS224">
        <v>60</v>
      </c>
      <c r="KT224">
        <v>0</v>
      </c>
      <c r="LK224">
        <v>480</v>
      </c>
      <c r="PG224">
        <v>1</v>
      </c>
      <c r="PI224" t="s">
        <v>2928</v>
      </c>
      <c r="PJ224" t="s">
        <v>2929</v>
      </c>
      <c r="PK224" t="s">
        <v>2930</v>
      </c>
      <c r="PL224" t="s">
        <v>1648</v>
      </c>
      <c r="PP224" t="s">
        <v>1596</v>
      </c>
      <c r="PX224">
        <v>56</v>
      </c>
      <c r="PY224">
        <v>56</v>
      </c>
      <c r="PZ224" t="s">
        <v>2928</v>
      </c>
      <c r="QA224">
        <v>1</v>
      </c>
      <c r="QB224">
        <v>1381</v>
      </c>
      <c r="QC224">
        <v>69</v>
      </c>
      <c r="QD224">
        <v>69</v>
      </c>
      <c r="QE224" t="s">
        <v>1648</v>
      </c>
      <c r="QF224">
        <v>1</v>
      </c>
      <c r="QG224">
        <v>1393</v>
      </c>
      <c r="QH224">
        <v>66</v>
      </c>
      <c r="QI224">
        <v>66</v>
      </c>
      <c r="QL224">
        <v>0</v>
      </c>
      <c r="QM224">
        <v>62</v>
      </c>
      <c r="QN224">
        <v>62</v>
      </c>
      <c r="QO224" t="s">
        <v>2929</v>
      </c>
      <c r="QP224">
        <v>1</v>
      </c>
      <c r="QQ224">
        <v>1390</v>
      </c>
      <c r="QR224">
        <v>62</v>
      </c>
      <c r="QS224">
        <v>62</v>
      </c>
      <c r="QT224" t="s">
        <v>2930</v>
      </c>
      <c r="QU224">
        <v>1</v>
      </c>
      <c r="QV224">
        <v>1396</v>
      </c>
      <c r="QW224">
        <v>82</v>
      </c>
      <c r="QX224">
        <v>88</v>
      </c>
      <c r="QY224" t="s">
        <v>1596</v>
      </c>
      <c r="QZ224">
        <v>1</v>
      </c>
      <c r="RA224">
        <v>66</v>
      </c>
      <c r="RB224">
        <v>66</v>
      </c>
      <c r="RE224">
        <v>0</v>
      </c>
      <c r="RF224">
        <v>1</v>
      </c>
      <c r="RH224">
        <v>1</v>
      </c>
      <c r="RJ224">
        <v>1</v>
      </c>
      <c r="RL224">
        <v>3</v>
      </c>
      <c r="RM224">
        <v>3</v>
      </c>
      <c r="RO224">
        <v>645</v>
      </c>
      <c r="RQ224">
        <v>699</v>
      </c>
      <c r="RR224">
        <v>560</v>
      </c>
      <c r="RT224">
        <v>345</v>
      </c>
      <c r="RU224">
        <v>177</v>
      </c>
      <c r="RV224" t="s">
        <v>678</v>
      </c>
      <c r="RW224" t="s">
        <v>679</v>
      </c>
      <c r="RX224">
        <v>15</v>
      </c>
      <c r="RY224">
        <v>4</v>
      </c>
      <c r="RZ224" t="s">
        <v>679</v>
      </c>
      <c r="SA224">
        <v>15</v>
      </c>
      <c r="SC224" t="s">
        <v>2929</v>
      </c>
      <c r="SD224">
        <v>1</v>
      </c>
      <c r="SF224" t="s">
        <v>2930</v>
      </c>
      <c r="SG224">
        <v>1</v>
      </c>
      <c r="SH224">
        <v>0.995</v>
      </c>
      <c r="SI224">
        <v>0.995</v>
      </c>
      <c r="SJ224">
        <v>0.995</v>
      </c>
      <c r="SK224">
        <v>15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Z224">
        <v>1</v>
      </c>
      <c r="TB224">
        <v>0</v>
      </c>
      <c r="TC224">
        <v>0</v>
      </c>
      <c r="TD224">
        <v>7.5</v>
      </c>
      <c r="TE224" t="s">
        <v>553</v>
      </c>
      <c r="TF224" t="s">
        <v>681</v>
      </c>
      <c r="TG224" t="s">
        <v>555</v>
      </c>
      <c r="TI224" t="s">
        <v>546</v>
      </c>
      <c r="TJ224" t="s">
        <v>547</v>
      </c>
      <c r="TL224" t="s">
        <v>2662</v>
      </c>
      <c r="TM224" t="s">
        <v>513</v>
      </c>
      <c r="TN224">
        <v>0</v>
      </c>
      <c r="TO224" t="s">
        <v>557</v>
      </c>
    </row>
    <row r="225" spans="1:535">
      <c r="A225" t="s">
        <v>2931</v>
      </c>
      <c r="B225" t="s">
        <v>804</v>
      </c>
      <c r="C225" t="s">
        <v>509</v>
      </c>
      <c r="D225" t="s">
        <v>2932</v>
      </c>
      <c r="G225" t="s">
        <v>561</v>
      </c>
      <c r="I225" t="s">
        <v>562</v>
      </c>
      <c r="J225" t="s">
        <v>563</v>
      </c>
      <c r="L225" t="s">
        <v>512</v>
      </c>
      <c r="M225" t="s">
        <v>508</v>
      </c>
      <c r="N225" t="s">
        <v>513</v>
      </c>
      <c r="O225" t="s">
        <v>1255</v>
      </c>
      <c r="P225" t="s">
        <v>515</v>
      </c>
      <c r="Q225" t="s">
        <v>2933</v>
      </c>
      <c r="R225" t="s">
        <v>517</v>
      </c>
      <c r="S225" t="s">
        <v>2934</v>
      </c>
      <c r="T225" t="s">
        <v>1327</v>
      </c>
      <c r="U225" t="s">
        <v>686</v>
      </c>
      <c r="V225" t="s">
        <v>687</v>
      </c>
      <c r="W225" t="s">
        <v>1309</v>
      </c>
      <c r="X225" t="s">
        <v>2657</v>
      </c>
      <c r="Y225" t="s">
        <v>524</v>
      </c>
      <c r="Z225" t="s">
        <v>2935</v>
      </c>
      <c r="AA225" t="s">
        <v>2936</v>
      </c>
      <c r="AB225" t="s">
        <v>2937</v>
      </c>
      <c r="AC225">
        <v>2</v>
      </c>
      <c r="AD225">
        <v>56</v>
      </c>
      <c r="AE225">
        <v>217</v>
      </c>
      <c r="AF225">
        <v>1.5</v>
      </c>
      <c r="AH225">
        <v>0</v>
      </c>
      <c r="AI225" t="s">
        <v>615</v>
      </c>
      <c r="AJ225">
        <v>200</v>
      </c>
      <c r="AK225">
        <v>1</v>
      </c>
      <c r="AL225">
        <v>1.5</v>
      </c>
      <c r="AM225" t="s">
        <v>579</v>
      </c>
      <c r="AN225" t="s">
        <v>693</v>
      </c>
      <c r="AO225">
        <v>2</v>
      </c>
      <c r="AP225" t="s">
        <v>581</v>
      </c>
      <c r="AQ225" t="s">
        <v>582</v>
      </c>
      <c r="AR225">
        <v>237</v>
      </c>
      <c r="AS225">
        <v>1.5</v>
      </c>
      <c r="AT225" t="s">
        <v>583</v>
      </c>
      <c r="AU225" t="s">
        <v>2938</v>
      </c>
      <c r="AW225" t="s">
        <v>2938</v>
      </c>
      <c r="AX225">
        <v>1</v>
      </c>
      <c r="AY225">
        <v>282.5</v>
      </c>
      <c r="AZ225">
        <v>1.5</v>
      </c>
      <c r="BA225" t="s">
        <v>579</v>
      </c>
      <c r="BB225" t="s">
        <v>2939</v>
      </c>
      <c r="BD225" t="s">
        <v>2939</v>
      </c>
      <c r="BE225">
        <v>1</v>
      </c>
      <c r="BF225">
        <v>240</v>
      </c>
      <c r="BG225">
        <v>1.5</v>
      </c>
      <c r="BJ225">
        <v>0</v>
      </c>
      <c r="BN225">
        <v>1.5</v>
      </c>
      <c r="BP225" t="s">
        <v>2940</v>
      </c>
      <c r="BQ225">
        <v>89</v>
      </c>
      <c r="BR225">
        <v>2</v>
      </c>
      <c r="BS225" t="s">
        <v>1304</v>
      </c>
      <c r="BT225">
        <v>217</v>
      </c>
      <c r="BU225">
        <v>0.5</v>
      </c>
      <c r="BV225" t="s">
        <v>1304</v>
      </c>
      <c r="BW225">
        <v>434</v>
      </c>
      <c r="BX225">
        <v>1</v>
      </c>
      <c r="BY225" t="s">
        <v>698</v>
      </c>
      <c r="BZ225">
        <v>300</v>
      </c>
      <c r="CA225">
        <v>500</v>
      </c>
      <c r="CB225" t="s">
        <v>699</v>
      </c>
      <c r="CC225" t="s">
        <v>699</v>
      </c>
      <c r="CD225">
        <v>454</v>
      </c>
      <c r="CE225" t="s">
        <v>700</v>
      </c>
      <c r="CF225">
        <v>15</v>
      </c>
      <c r="CG225" t="s">
        <v>1322</v>
      </c>
      <c r="CH225" t="s">
        <v>1322</v>
      </c>
      <c r="CI225">
        <v>100</v>
      </c>
      <c r="CJ225">
        <v>1458</v>
      </c>
      <c r="CK225">
        <v>2</v>
      </c>
      <c r="CL225">
        <v>1552</v>
      </c>
      <c r="CM225">
        <v>2</v>
      </c>
      <c r="CN225" t="s">
        <v>702</v>
      </c>
      <c r="CO225" t="s">
        <v>676</v>
      </c>
      <c r="CP225" t="s">
        <v>703</v>
      </c>
      <c r="CQ225" t="s">
        <v>596</v>
      </c>
      <c r="CR225" t="s">
        <v>541</v>
      </c>
      <c r="CS225" t="s">
        <v>542</v>
      </c>
      <c r="CT225">
        <v>400</v>
      </c>
      <c r="CU225">
        <v>5</v>
      </c>
      <c r="CV225">
        <v>1.2</v>
      </c>
      <c r="CW225">
        <v>1475</v>
      </c>
      <c r="CX225">
        <v>836</v>
      </c>
      <c r="CY225" t="s">
        <v>705</v>
      </c>
      <c r="CZ225">
        <v>50</v>
      </c>
      <c r="DA225">
        <v>3</v>
      </c>
      <c r="DB225">
        <v>1</v>
      </c>
      <c r="DC225">
        <v>1475</v>
      </c>
      <c r="DD225">
        <v>77</v>
      </c>
      <c r="DE225" t="s">
        <v>622</v>
      </c>
      <c r="DF225">
        <v>565</v>
      </c>
      <c r="DG225">
        <v>3</v>
      </c>
      <c r="DH225">
        <v>0.88</v>
      </c>
      <c r="DI225">
        <v>1467</v>
      </c>
      <c r="DJ225">
        <v>978</v>
      </c>
      <c r="DK225" t="s">
        <v>622</v>
      </c>
      <c r="DL225">
        <v>480</v>
      </c>
      <c r="DM225">
        <v>3</v>
      </c>
      <c r="DN225">
        <v>0.88</v>
      </c>
      <c r="DO225">
        <v>1472</v>
      </c>
      <c r="DP225">
        <v>736</v>
      </c>
      <c r="DW225" t="s">
        <v>544</v>
      </c>
      <c r="DX225">
        <v>7.5</v>
      </c>
      <c r="EA225">
        <v>1544.1</v>
      </c>
      <c r="EB225">
        <v>273</v>
      </c>
      <c r="EC225" t="s">
        <v>545</v>
      </c>
      <c r="ED225">
        <v>30</v>
      </c>
      <c r="EE225">
        <v>3</v>
      </c>
      <c r="EG225">
        <v>1585</v>
      </c>
      <c r="EH225">
        <v>187</v>
      </c>
      <c r="EJ225">
        <v>0</v>
      </c>
      <c r="EK225">
        <v>1</v>
      </c>
      <c r="EN225">
        <v>0</v>
      </c>
      <c r="EP225" t="s">
        <v>546</v>
      </c>
      <c r="EQ225">
        <v>105</v>
      </c>
      <c r="ER225">
        <v>3</v>
      </c>
      <c r="ES225">
        <v>5.5</v>
      </c>
      <c r="ET225">
        <v>1454</v>
      </c>
      <c r="EU225">
        <v>478.4</v>
      </c>
      <c r="EV225">
        <v>696</v>
      </c>
      <c r="EW225" t="s">
        <v>547</v>
      </c>
      <c r="EX225">
        <v>45</v>
      </c>
      <c r="EY225">
        <v>2</v>
      </c>
      <c r="EZ225">
        <v>4.5</v>
      </c>
      <c r="FA225">
        <v>1454</v>
      </c>
      <c r="FB225">
        <v>138.3</v>
      </c>
      <c r="FC225">
        <v>201</v>
      </c>
      <c r="FE225">
        <v>0</v>
      </c>
      <c r="FF225">
        <v>2</v>
      </c>
      <c r="FI225">
        <v>0</v>
      </c>
      <c r="FK225" t="s">
        <v>548</v>
      </c>
      <c r="FL225">
        <v>0.4</v>
      </c>
      <c r="FM225">
        <v>45</v>
      </c>
      <c r="FN225">
        <v>370</v>
      </c>
      <c r="FO225">
        <v>80</v>
      </c>
      <c r="FP225">
        <v>160</v>
      </c>
      <c r="GR225" t="s">
        <v>548</v>
      </c>
      <c r="GS225">
        <v>0.4</v>
      </c>
      <c r="GT225">
        <v>30</v>
      </c>
      <c r="GU225">
        <v>280</v>
      </c>
      <c r="HC225">
        <v>0.1</v>
      </c>
      <c r="HD225">
        <v>3</v>
      </c>
      <c r="HE225">
        <v>3</v>
      </c>
      <c r="HF225">
        <v>3</v>
      </c>
      <c r="HG225">
        <v>3</v>
      </c>
      <c r="HH225">
        <v>3</v>
      </c>
      <c r="HI225">
        <v>135</v>
      </c>
      <c r="HJ225">
        <v>3</v>
      </c>
      <c r="HK225">
        <v>30</v>
      </c>
      <c r="HL225">
        <v>2</v>
      </c>
      <c r="HM225">
        <v>0</v>
      </c>
      <c r="HN225">
        <v>2</v>
      </c>
      <c r="HO225">
        <v>90</v>
      </c>
      <c r="HP225">
        <v>3</v>
      </c>
      <c r="HQ225">
        <v>0</v>
      </c>
      <c r="HR225">
        <v>2</v>
      </c>
      <c r="HS225">
        <v>5418</v>
      </c>
      <c r="HT225">
        <v>160</v>
      </c>
      <c r="HU225">
        <v>180</v>
      </c>
      <c r="HW225">
        <v>0</v>
      </c>
      <c r="HX225">
        <v>440</v>
      </c>
      <c r="HY225">
        <v>0.18</v>
      </c>
      <c r="IA225">
        <v>0.15</v>
      </c>
      <c r="IB225">
        <v>0</v>
      </c>
      <c r="IC225">
        <v>180</v>
      </c>
      <c r="ID225">
        <v>110</v>
      </c>
      <c r="IE225">
        <v>225</v>
      </c>
      <c r="IF225">
        <v>0</v>
      </c>
      <c r="IH225" t="s">
        <v>549</v>
      </c>
      <c r="IO225">
        <v>3</v>
      </c>
      <c r="IP225">
        <v>19</v>
      </c>
      <c r="IQ225">
        <v>0</v>
      </c>
      <c r="IR225">
        <v>0</v>
      </c>
      <c r="IV225">
        <v>1458</v>
      </c>
      <c r="IW225">
        <v>434</v>
      </c>
      <c r="JA225">
        <v>1</v>
      </c>
      <c r="JB225">
        <v>0</v>
      </c>
      <c r="JC225">
        <v>2</v>
      </c>
      <c r="JD225">
        <v>1475</v>
      </c>
      <c r="JE225">
        <v>1467</v>
      </c>
      <c r="JF225">
        <v>1472</v>
      </c>
      <c r="JG225">
        <v>1454</v>
      </c>
      <c r="JH225">
        <v>0</v>
      </c>
      <c r="JJ225">
        <v>180</v>
      </c>
      <c r="JK225">
        <v>440</v>
      </c>
      <c r="JN225">
        <v>400</v>
      </c>
      <c r="JO225">
        <v>565</v>
      </c>
      <c r="JP225">
        <v>480</v>
      </c>
      <c r="JQ225">
        <v>0</v>
      </c>
      <c r="JR225">
        <v>434</v>
      </c>
      <c r="JS225">
        <v>135</v>
      </c>
      <c r="JV225">
        <v>8</v>
      </c>
      <c r="JW225" t="s">
        <v>550</v>
      </c>
      <c r="JX225">
        <v>474</v>
      </c>
      <c r="KA225">
        <v>225</v>
      </c>
      <c r="KB225">
        <v>110</v>
      </c>
      <c r="KC225">
        <v>0</v>
      </c>
      <c r="KD225">
        <v>80</v>
      </c>
      <c r="KF225">
        <v>4</v>
      </c>
      <c r="KG225">
        <v>2</v>
      </c>
      <c r="KH225">
        <v>2</v>
      </c>
      <c r="KI225">
        <v>2</v>
      </c>
      <c r="KJ225">
        <v>0</v>
      </c>
      <c r="KK225">
        <v>1.5</v>
      </c>
      <c r="KL225">
        <v>1.5</v>
      </c>
      <c r="KM225">
        <v>0</v>
      </c>
      <c r="KN225">
        <v>0</v>
      </c>
      <c r="KO225">
        <v>0</v>
      </c>
      <c r="KR225">
        <v>30</v>
      </c>
      <c r="KS225">
        <v>60</v>
      </c>
      <c r="KT225">
        <v>0</v>
      </c>
      <c r="LK225">
        <v>480</v>
      </c>
      <c r="PG225">
        <v>1</v>
      </c>
      <c r="PI225" t="s">
        <v>2937</v>
      </c>
      <c r="PJ225" t="s">
        <v>2938</v>
      </c>
      <c r="PK225" t="s">
        <v>2939</v>
      </c>
      <c r="PL225" t="s">
        <v>615</v>
      </c>
      <c r="PP225" t="s">
        <v>2940</v>
      </c>
      <c r="PS225" t="s">
        <v>693</v>
      </c>
      <c r="PX225">
        <v>56</v>
      </c>
      <c r="PY225">
        <v>56</v>
      </c>
      <c r="PZ225" t="s">
        <v>2937</v>
      </c>
      <c r="QA225">
        <v>2</v>
      </c>
      <c r="QB225">
        <v>1454</v>
      </c>
      <c r="QC225">
        <v>69</v>
      </c>
      <c r="QD225">
        <v>69</v>
      </c>
      <c r="QE225" t="s">
        <v>615</v>
      </c>
      <c r="QF225">
        <v>1</v>
      </c>
      <c r="QG225">
        <v>1475</v>
      </c>
      <c r="QH225">
        <v>66</v>
      </c>
      <c r="QI225">
        <v>66</v>
      </c>
      <c r="QJ225" t="s">
        <v>693</v>
      </c>
      <c r="QK225">
        <v>1</v>
      </c>
      <c r="QL225">
        <v>1475</v>
      </c>
      <c r="QM225">
        <v>62</v>
      </c>
      <c r="QN225">
        <v>62</v>
      </c>
      <c r="QO225" t="s">
        <v>2938</v>
      </c>
      <c r="QP225">
        <v>1</v>
      </c>
      <c r="QQ225">
        <v>1467</v>
      </c>
      <c r="QR225">
        <v>62</v>
      </c>
      <c r="QS225">
        <v>62</v>
      </c>
      <c r="QT225" t="s">
        <v>2939</v>
      </c>
      <c r="QU225">
        <v>1</v>
      </c>
      <c r="QV225">
        <v>1472</v>
      </c>
      <c r="QW225">
        <v>82</v>
      </c>
      <c r="QX225">
        <v>89</v>
      </c>
      <c r="QY225" t="s">
        <v>2940</v>
      </c>
      <c r="QZ225">
        <v>1</v>
      </c>
      <c r="RA225">
        <v>66</v>
      </c>
      <c r="RB225">
        <v>66</v>
      </c>
      <c r="RE225">
        <v>0</v>
      </c>
      <c r="RF225">
        <v>1</v>
      </c>
      <c r="RH225">
        <v>1</v>
      </c>
      <c r="RJ225">
        <v>1</v>
      </c>
      <c r="RK225">
        <v>2</v>
      </c>
      <c r="RL225">
        <v>4</v>
      </c>
      <c r="RM225">
        <v>4</v>
      </c>
      <c r="RO225">
        <v>567</v>
      </c>
      <c r="RP225">
        <v>105</v>
      </c>
      <c r="RQ225">
        <v>667</v>
      </c>
      <c r="RR225">
        <v>500</v>
      </c>
      <c r="RT225">
        <v>273</v>
      </c>
      <c r="RU225">
        <v>187</v>
      </c>
      <c r="RV225" t="s">
        <v>1305</v>
      </c>
      <c r="RW225" t="s">
        <v>707</v>
      </c>
      <c r="RX225">
        <v>15</v>
      </c>
      <c r="RY225">
        <v>4</v>
      </c>
      <c r="RZ225" t="s">
        <v>707</v>
      </c>
      <c r="SA225">
        <v>15</v>
      </c>
      <c r="SC225" t="s">
        <v>2938</v>
      </c>
      <c r="SD225">
        <v>1</v>
      </c>
      <c r="SF225" t="s">
        <v>2939</v>
      </c>
      <c r="SG225">
        <v>1</v>
      </c>
      <c r="SH225">
        <v>0.995</v>
      </c>
      <c r="SI225">
        <v>0.995</v>
      </c>
      <c r="SJ225">
        <v>0.995</v>
      </c>
      <c r="SK225">
        <v>15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1</v>
      </c>
      <c r="SZ225">
        <v>1</v>
      </c>
      <c r="TB225">
        <v>0</v>
      </c>
      <c r="TC225">
        <v>0</v>
      </c>
      <c r="TD225">
        <v>7.5</v>
      </c>
      <c r="TE225" t="s">
        <v>553</v>
      </c>
      <c r="TF225" t="s">
        <v>624</v>
      </c>
      <c r="TG225" t="s">
        <v>555</v>
      </c>
      <c r="TI225" t="s">
        <v>546</v>
      </c>
      <c r="TJ225" t="s">
        <v>547</v>
      </c>
      <c r="TL225" t="s">
        <v>2662</v>
      </c>
      <c r="TM225" t="s">
        <v>513</v>
      </c>
      <c r="TN225">
        <v>0</v>
      </c>
      <c r="TO225" t="s">
        <v>557</v>
      </c>
    </row>
    <row r="226" spans="1:535">
      <c r="A226" t="s">
        <v>2941</v>
      </c>
      <c r="B226" t="s">
        <v>804</v>
      </c>
      <c r="C226" t="s">
        <v>509</v>
      </c>
      <c r="D226" t="s">
        <v>1239</v>
      </c>
      <c r="G226" t="s">
        <v>1135</v>
      </c>
      <c r="I226" t="s">
        <v>562</v>
      </c>
      <c r="J226" t="s">
        <v>563</v>
      </c>
      <c r="L226" t="s">
        <v>512</v>
      </c>
      <c r="M226" t="s">
        <v>508</v>
      </c>
      <c r="N226" t="s">
        <v>513</v>
      </c>
      <c r="O226" t="s">
        <v>1255</v>
      </c>
      <c r="P226" t="s">
        <v>515</v>
      </c>
      <c r="Q226" t="s">
        <v>2942</v>
      </c>
      <c r="R226" t="s">
        <v>517</v>
      </c>
      <c r="S226" t="s">
        <v>2943</v>
      </c>
      <c r="T226" t="s">
        <v>2944</v>
      </c>
      <c r="U226" t="s">
        <v>570</v>
      </c>
      <c r="V226" t="s">
        <v>571</v>
      </c>
      <c r="W226" t="s">
        <v>1270</v>
      </c>
      <c r="X226" t="s">
        <v>2657</v>
      </c>
      <c r="Y226" t="s">
        <v>574</v>
      </c>
      <c r="Z226" t="s">
        <v>2945</v>
      </c>
      <c r="AA226" t="s">
        <v>2946</v>
      </c>
      <c r="AB226" t="s">
        <v>2947</v>
      </c>
      <c r="AC226">
        <v>2</v>
      </c>
      <c r="AD226">
        <v>56</v>
      </c>
      <c r="AE226">
        <v>245</v>
      </c>
      <c r="AF226">
        <v>1.5</v>
      </c>
      <c r="AH226">
        <v>0</v>
      </c>
      <c r="AI226" t="s">
        <v>1048</v>
      </c>
      <c r="AJ226">
        <v>225</v>
      </c>
      <c r="AK226">
        <v>1</v>
      </c>
      <c r="AL226">
        <v>1.5</v>
      </c>
      <c r="AM226" t="s">
        <v>579</v>
      </c>
      <c r="AN226" t="s">
        <v>795</v>
      </c>
      <c r="AO226">
        <v>2</v>
      </c>
      <c r="AP226" t="s">
        <v>581</v>
      </c>
      <c r="AQ226" t="s">
        <v>582</v>
      </c>
      <c r="AR226">
        <v>273</v>
      </c>
      <c r="AS226">
        <v>1.5</v>
      </c>
      <c r="AT226" t="s">
        <v>583</v>
      </c>
      <c r="AU226" t="s">
        <v>2948</v>
      </c>
      <c r="AW226" t="s">
        <v>2948</v>
      </c>
      <c r="AX226">
        <v>1</v>
      </c>
      <c r="AY226">
        <v>317.5</v>
      </c>
      <c r="AZ226">
        <v>1.5</v>
      </c>
      <c r="BA226" t="s">
        <v>579</v>
      </c>
      <c r="BB226" t="s">
        <v>2949</v>
      </c>
      <c r="BD226" t="s">
        <v>2949</v>
      </c>
      <c r="BE226">
        <v>1</v>
      </c>
      <c r="BF226">
        <v>265</v>
      </c>
      <c r="BG226">
        <v>1.5</v>
      </c>
      <c r="BJ226">
        <v>0</v>
      </c>
      <c r="BN226">
        <v>1.5</v>
      </c>
      <c r="BP226" t="s">
        <v>1885</v>
      </c>
      <c r="BQ226" t="s">
        <v>587</v>
      </c>
      <c r="BR226">
        <v>2</v>
      </c>
      <c r="BS226" t="s">
        <v>1886</v>
      </c>
      <c r="BT226">
        <v>244</v>
      </c>
      <c r="BU226">
        <v>0.5</v>
      </c>
      <c r="BV226" t="s">
        <v>1886</v>
      </c>
      <c r="BW226">
        <v>488</v>
      </c>
      <c r="BX226">
        <v>1</v>
      </c>
      <c r="BY226" t="s">
        <v>589</v>
      </c>
      <c r="BZ226">
        <v>470</v>
      </c>
      <c r="CA226">
        <v>550</v>
      </c>
      <c r="CB226" t="s">
        <v>590</v>
      </c>
      <c r="CC226" t="s">
        <v>590</v>
      </c>
      <c r="CD226">
        <v>498</v>
      </c>
      <c r="CE226" t="s">
        <v>591</v>
      </c>
      <c r="CF226">
        <v>15</v>
      </c>
      <c r="CG226" t="s">
        <v>2950</v>
      </c>
      <c r="CH226" t="s">
        <v>2950</v>
      </c>
      <c r="CI226">
        <v>40</v>
      </c>
      <c r="CJ226">
        <v>1538</v>
      </c>
      <c r="CK226">
        <v>2</v>
      </c>
      <c r="CL226">
        <v>1632</v>
      </c>
      <c r="CM226">
        <v>2</v>
      </c>
      <c r="CN226" t="s">
        <v>593</v>
      </c>
      <c r="CO226" t="s">
        <v>594</v>
      </c>
      <c r="CP226" t="s">
        <v>595</v>
      </c>
      <c r="CQ226" t="s">
        <v>596</v>
      </c>
      <c r="CR226" t="s">
        <v>541</v>
      </c>
      <c r="CS226" t="s">
        <v>542</v>
      </c>
      <c r="CT226">
        <v>450</v>
      </c>
      <c r="CU226">
        <v>5</v>
      </c>
      <c r="CV226">
        <v>1.2</v>
      </c>
      <c r="CW226">
        <v>1554</v>
      </c>
      <c r="CX226">
        <v>990</v>
      </c>
      <c r="CY226" t="s">
        <v>705</v>
      </c>
      <c r="CZ226">
        <v>60</v>
      </c>
      <c r="DA226">
        <v>3</v>
      </c>
      <c r="DB226">
        <v>1</v>
      </c>
      <c r="DC226">
        <v>1554</v>
      </c>
      <c r="DD226">
        <v>97</v>
      </c>
      <c r="DE226" t="s">
        <v>622</v>
      </c>
      <c r="DF226">
        <v>635</v>
      </c>
      <c r="DG226">
        <v>3</v>
      </c>
      <c r="DH226">
        <v>0.88</v>
      </c>
      <c r="DI226">
        <v>1547</v>
      </c>
      <c r="DJ226">
        <v>1187</v>
      </c>
      <c r="DK226" t="s">
        <v>622</v>
      </c>
      <c r="DL226">
        <v>530</v>
      </c>
      <c r="DM226">
        <v>3</v>
      </c>
      <c r="DN226">
        <v>0.88</v>
      </c>
      <c r="DO226">
        <v>1552</v>
      </c>
      <c r="DP226">
        <v>892</v>
      </c>
      <c r="DW226" t="s">
        <v>544</v>
      </c>
      <c r="DX226">
        <v>9.4</v>
      </c>
      <c r="EA226">
        <v>1623.8</v>
      </c>
      <c r="EB226">
        <v>381</v>
      </c>
      <c r="EC226" t="s">
        <v>545</v>
      </c>
      <c r="ED226">
        <v>35</v>
      </c>
      <c r="EE226">
        <v>3</v>
      </c>
      <c r="EG226">
        <v>1665</v>
      </c>
      <c r="EH226">
        <v>298</v>
      </c>
      <c r="EJ226">
        <v>0</v>
      </c>
      <c r="EK226">
        <v>1</v>
      </c>
      <c r="EN226">
        <v>0</v>
      </c>
      <c r="EP226" t="s">
        <v>546</v>
      </c>
      <c r="EQ226">
        <v>125</v>
      </c>
      <c r="ER226">
        <v>3</v>
      </c>
      <c r="ES226">
        <v>5.5</v>
      </c>
      <c r="ET226">
        <v>1534</v>
      </c>
      <c r="EU226">
        <v>598.6</v>
      </c>
      <c r="EV226">
        <v>918</v>
      </c>
      <c r="EW226" t="s">
        <v>547</v>
      </c>
      <c r="EX226">
        <v>45</v>
      </c>
      <c r="EY226">
        <v>2</v>
      </c>
      <c r="EZ226">
        <v>4.5</v>
      </c>
      <c r="FA226">
        <v>1534</v>
      </c>
      <c r="FB226">
        <v>149.4</v>
      </c>
      <c r="FC226">
        <v>229</v>
      </c>
      <c r="FE226">
        <v>0</v>
      </c>
      <c r="FF226">
        <v>2</v>
      </c>
      <c r="FI226">
        <v>0</v>
      </c>
      <c r="FK226" t="s">
        <v>548</v>
      </c>
      <c r="FL226">
        <v>0.4</v>
      </c>
      <c r="FM226">
        <v>70</v>
      </c>
      <c r="FN226">
        <v>420</v>
      </c>
      <c r="FO226">
        <v>90</v>
      </c>
      <c r="FP226">
        <v>180</v>
      </c>
      <c r="GR226" t="s">
        <v>548</v>
      </c>
      <c r="GS226">
        <v>0.4</v>
      </c>
      <c r="GT226">
        <v>30</v>
      </c>
      <c r="GU226">
        <v>450</v>
      </c>
      <c r="GV226">
        <v>30</v>
      </c>
      <c r="GW226">
        <v>320</v>
      </c>
      <c r="HC226">
        <v>0.1</v>
      </c>
      <c r="HD226">
        <v>3</v>
      </c>
      <c r="HE226">
        <v>3</v>
      </c>
      <c r="HF226">
        <v>3</v>
      </c>
      <c r="HG226">
        <v>3</v>
      </c>
      <c r="HH226">
        <v>3</v>
      </c>
      <c r="HI226">
        <v>155</v>
      </c>
      <c r="HJ226">
        <v>3</v>
      </c>
      <c r="HK226">
        <v>30</v>
      </c>
      <c r="HL226">
        <v>2</v>
      </c>
      <c r="HM226">
        <v>0</v>
      </c>
      <c r="HN226">
        <v>2</v>
      </c>
      <c r="HO226">
        <v>110</v>
      </c>
      <c r="HP226">
        <v>3</v>
      </c>
      <c r="HQ226">
        <v>0</v>
      </c>
      <c r="HR226">
        <v>2</v>
      </c>
      <c r="HS226">
        <v>6915</v>
      </c>
      <c r="HT226">
        <v>210</v>
      </c>
      <c r="HU226">
        <v>180</v>
      </c>
      <c r="HW226">
        <v>0</v>
      </c>
      <c r="HX226">
        <v>490</v>
      </c>
      <c r="HY226">
        <v>0.18</v>
      </c>
      <c r="IA226">
        <v>0.15</v>
      </c>
      <c r="IB226">
        <v>0</v>
      </c>
      <c r="IC226">
        <v>180</v>
      </c>
      <c r="ID226">
        <v>110</v>
      </c>
      <c r="IE226">
        <v>225</v>
      </c>
      <c r="IF226">
        <v>0</v>
      </c>
      <c r="IH226" t="s">
        <v>549</v>
      </c>
      <c r="IO226">
        <v>3</v>
      </c>
      <c r="IP226">
        <v>20</v>
      </c>
      <c r="IQ226">
        <v>0</v>
      </c>
      <c r="IR226">
        <v>0</v>
      </c>
      <c r="IV226">
        <v>1538</v>
      </c>
      <c r="IW226">
        <v>488</v>
      </c>
      <c r="JA226">
        <v>1</v>
      </c>
      <c r="JB226">
        <v>0</v>
      </c>
      <c r="JC226">
        <v>2</v>
      </c>
      <c r="JD226">
        <v>1554</v>
      </c>
      <c r="JE226">
        <v>1547</v>
      </c>
      <c r="JF226">
        <v>1552</v>
      </c>
      <c r="JG226">
        <v>1534</v>
      </c>
      <c r="JH226">
        <v>0</v>
      </c>
      <c r="JJ226">
        <v>180</v>
      </c>
      <c r="JK226">
        <v>490</v>
      </c>
      <c r="JN226">
        <v>450</v>
      </c>
      <c r="JO226">
        <v>635</v>
      </c>
      <c r="JP226">
        <v>530</v>
      </c>
      <c r="JQ226">
        <v>0</v>
      </c>
      <c r="JR226">
        <v>490</v>
      </c>
      <c r="JS226">
        <v>155</v>
      </c>
      <c r="JV226">
        <v>10</v>
      </c>
      <c r="JW226" t="s">
        <v>550</v>
      </c>
      <c r="JX226">
        <v>546</v>
      </c>
      <c r="KA226">
        <v>225</v>
      </c>
      <c r="KB226">
        <v>110</v>
      </c>
      <c r="KC226">
        <v>0</v>
      </c>
      <c r="KD226">
        <v>80</v>
      </c>
      <c r="KF226">
        <v>4</v>
      </c>
      <c r="KG226">
        <v>4</v>
      </c>
      <c r="KH226">
        <v>2</v>
      </c>
      <c r="KI226">
        <v>2</v>
      </c>
      <c r="KJ226">
        <v>0</v>
      </c>
      <c r="KK226">
        <v>1.5</v>
      </c>
      <c r="KL226">
        <v>1.5</v>
      </c>
      <c r="KM226">
        <v>0</v>
      </c>
      <c r="KN226">
        <v>0</v>
      </c>
      <c r="KO226">
        <v>0</v>
      </c>
      <c r="KR226">
        <v>30</v>
      </c>
      <c r="KS226">
        <v>60</v>
      </c>
      <c r="KT226">
        <v>0</v>
      </c>
      <c r="LK226">
        <v>480</v>
      </c>
      <c r="PG226">
        <v>1</v>
      </c>
      <c r="PI226" t="s">
        <v>2947</v>
      </c>
      <c r="PJ226" t="s">
        <v>2948</v>
      </c>
      <c r="PK226" t="s">
        <v>2949</v>
      </c>
      <c r="PL226" t="s">
        <v>1048</v>
      </c>
      <c r="PP226" t="s">
        <v>1885</v>
      </c>
      <c r="PS226" t="s">
        <v>795</v>
      </c>
      <c r="PX226">
        <v>56</v>
      </c>
      <c r="PY226">
        <v>56</v>
      </c>
      <c r="PZ226" t="s">
        <v>2947</v>
      </c>
      <c r="QA226">
        <v>1</v>
      </c>
      <c r="QB226">
        <v>1534</v>
      </c>
      <c r="QC226">
        <v>69</v>
      </c>
      <c r="QD226">
        <v>69</v>
      </c>
      <c r="QE226" t="s">
        <v>1048</v>
      </c>
      <c r="QF226">
        <v>1</v>
      </c>
      <c r="QG226">
        <v>1554</v>
      </c>
      <c r="QH226">
        <v>66</v>
      </c>
      <c r="QI226">
        <v>66</v>
      </c>
      <c r="QJ226" t="s">
        <v>795</v>
      </c>
      <c r="QK226">
        <v>1</v>
      </c>
      <c r="QL226">
        <v>1554</v>
      </c>
      <c r="QM226">
        <v>62</v>
      </c>
      <c r="QN226">
        <v>62</v>
      </c>
      <c r="QO226" t="s">
        <v>2948</v>
      </c>
      <c r="QP226">
        <v>1</v>
      </c>
      <c r="QQ226">
        <v>1547</v>
      </c>
      <c r="QR226">
        <v>62</v>
      </c>
      <c r="QS226">
        <v>62</v>
      </c>
      <c r="QT226" t="s">
        <v>2949</v>
      </c>
      <c r="QU226">
        <v>1</v>
      </c>
      <c r="QV226">
        <v>1552</v>
      </c>
      <c r="QW226">
        <v>82</v>
      </c>
      <c r="QX226" t="s">
        <v>587</v>
      </c>
      <c r="QY226" t="s">
        <v>1885</v>
      </c>
      <c r="QZ226">
        <v>3</v>
      </c>
      <c r="RA226">
        <v>66</v>
      </c>
      <c r="RB226">
        <v>66</v>
      </c>
      <c r="RE226">
        <v>0</v>
      </c>
      <c r="RF226">
        <v>1</v>
      </c>
      <c r="RH226">
        <v>1</v>
      </c>
      <c r="RJ226">
        <v>1</v>
      </c>
      <c r="RK226">
        <v>2</v>
      </c>
      <c r="RL226">
        <v>4</v>
      </c>
      <c r="RM226">
        <v>4</v>
      </c>
      <c r="RO226">
        <v>637</v>
      </c>
      <c r="RP226">
        <v>125</v>
      </c>
      <c r="RQ226">
        <v>767</v>
      </c>
      <c r="RR226">
        <v>575</v>
      </c>
      <c r="RT226">
        <v>381</v>
      </c>
      <c r="RU226">
        <v>298</v>
      </c>
      <c r="RV226" t="s">
        <v>1887</v>
      </c>
      <c r="RW226" t="s">
        <v>599</v>
      </c>
      <c r="RX226">
        <v>15</v>
      </c>
      <c r="RY226">
        <v>4</v>
      </c>
      <c r="RZ226" t="s">
        <v>599</v>
      </c>
      <c r="SA226">
        <v>15</v>
      </c>
      <c r="SC226" t="s">
        <v>2948</v>
      </c>
      <c r="SD226">
        <v>1</v>
      </c>
      <c r="SF226" t="s">
        <v>2949</v>
      </c>
      <c r="SG226">
        <v>1</v>
      </c>
      <c r="SH226">
        <v>0.995</v>
      </c>
      <c r="SI226">
        <v>0.995</v>
      </c>
      <c r="SJ226">
        <v>0.995</v>
      </c>
      <c r="SK226">
        <v>15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1</v>
      </c>
      <c r="SZ226">
        <v>1</v>
      </c>
      <c r="TB226">
        <v>0</v>
      </c>
      <c r="TC226">
        <v>0</v>
      </c>
      <c r="TD226">
        <v>9.4</v>
      </c>
      <c r="TE226" t="s">
        <v>553</v>
      </c>
      <c r="TF226" t="s">
        <v>600</v>
      </c>
      <c r="TG226" t="s">
        <v>555</v>
      </c>
      <c r="TI226" t="s">
        <v>546</v>
      </c>
      <c r="TJ226" t="s">
        <v>547</v>
      </c>
      <c r="TL226" t="s">
        <v>2662</v>
      </c>
      <c r="TM226" t="s">
        <v>513</v>
      </c>
      <c r="TN226">
        <v>0</v>
      </c>
      <c r="TO226" t="s">
        <v>601</v>
      </c>
    </row>
    <row r="227" spans="1:535">
      <c r="A227" t="s">
        <v>2951</v>
      </c>
      <c r="B227" t="s">
        <v>564</v>
      </c>
      <c r="C227" t="s">
        <v>509</v>
      </c>
      <c r="D227" t="s">
        <v>1199</v>
      </c>
      <c r="G227" t="s">
        <v>1294</v>
      </c>
      <c r="I227" t="s">
        <v>562</v>
      </c>
      <c r="J227" t="s">
        <v>563</v>
      </c>
      <c r="L227" t="s">
        <v>512</v>
      </c>
      <c r="M227" t="s">
        <v>629</v>
      </c>
      <c r="N227" t="s">
        <v>513</v>
      </c>
      <c r="O227" t="s">
        <v>565</v>
      </c>
      <c r="Q227" t="s">
        <v>2952</v>
      </c>
      <c r="R227" t="s">
        <v>517</v>
      </c>
      <c r="S227" t="s">
        <v>1231</v>
      </c>
      <c r="T227" t="s">
        <v>1127</v>
      </c>
      <c r="U227" t="s">
        <v>662</v>
      </c>
      <c r="V227" t="s">
        <v>663</v>
      </c>
      <c r="W227" t="s">
        <v>2656</v>
      </c>
      <c r="X227" t="s">
        <v>2657</v>
      </c>
      <c r="Y227" t="s">
        <v>524</v>
      </c>
      <c r="Z227" t="s">
        <v>2953</v>
      </c>
      <c r="AA227" t="s">
        <v>2954</v>
      </c>
      <c r="AB227" t="s">
        <v>2955</v>
      </c>
      <c r="AC227">
        <v>2</v>
      </c>
      <c r="AD227">
        <v>56</v>
      </c>
      <c r="AE227">
        <v>175</v>
      </c>
      <c r="AF227">
        <v>1.5</v>
      </c>
      <c r="AH227">
        <v>0</v>
      </c>
      <c r="AI227" t="s">
        <v>719</v>
      </c>
      <c r="AJ227">
        <v>185</v>
      </c>
      <c r="AK227">
        <v>1</v>
      </c>
      <c r="AL227">
        <v>1.5</v>
      </c>
      <c r="AM227" t="s">
        <v>529</v>
      </c>
      <c r="AO227">
        <v>0</v>
      </c>
      <c r="AR227">
        <v>0</v>
      </c>
      <c r="AS227">
        <v>1.5</v>
      </c>
      <c r="AU227" t="s">
        <v>2956</v>
      </c>
      <c r="AW227" t="s">
        <v>2956</v>
      </c>
      <c r="AX227">
        <v>1</v>
      </c>
      <c r="AY227">
        <v>257.5</v>
      </c>
      <c r="AZ227">
        <v>1.5</v>
      </c>
      <c r="BA227" t="s">
        <v>529</v>
      </c>
      <c r="BG227">
        <v>1.5</v>
      </c>
      <c r="BJ227">
        <v>0</v>
      </c>
      <c r="BN227">
        <v>1.5</v>
      </c>
      <c r="BP227" t="s">
        <v>2731</v>
      </c>
      <c r="BQ227">
        <v>88</v>
      </c>
      <c r="BR227">
        <v>2</v>
      </c>
      <c r="BS227" t="s">
        <v>2149</v>
      </c>
      <c r="BT227">
        <v>197</v>
      </c>
      <c r="BU227">
        <v>0.5</v>
      </c>
      <c r="BV227" t="s">
        <v>2149</v>
      </c>
      <c r="BW227">
        <v>394</v>
      </c>
      <c r="BX227">
        <v>1</v>
      </c>
      <c r="BY227" t="s">
        <v>643</v>
      </c>
      <c r="BZ227">
        <v>290</v>
      </c>
      <c r="CA227">
        <v>510</v>
      </c>
      <c r="CB227" t="s">
        <v>672</v>
      </c>
      <c r="CC227" t="s">
        <v>672</v>
      </c>
      <c r="CD227">
        <v>475</v>
      </c>
      <c r="CE227" t="s">
        <v>673</v>
      </c>
      <c r="CF227">
        <v>15</v>
      </c>
      <c r="CG227" t="s">
        <v>1196</v>
      </c>
      <c r="CH227" t="s">
        <v>1196</v>
      </c>
      <c r="CI227">
        <v>110</v>
      </c>
      <c r="CJ227">
        <v>1381</v>
      </c>
      <c r="CK227">
        <v>2</v>
      </c>
      <c r="CL227">
        <v>1475</v>
      </c>
      <c r="CM227">
        <v>2</v>
      </c>
      <c r="CN227" t="s">
        <v>675</v>
      </c>
      <c r="CO227" t="s">
        <v>676</v>
      </c>
      <c r="CP227" t="s">
        <v>595</v>
      </c>
      <c r="CQ227" t="s">
        <v>540</v>
      </c>
      <c r="CR227" t="s">
        <v>541</v>
      </c>
      <c r="CS227" t="s">
        <v>542</v>
      </c>
      <c r="CT227">
        <v>370</v>
      </c>
      <c r="CU227">
        <v>5</v>
      </c>
      <c r="CV227">
        <v>1.2</v>
      </c>
      <c r="CW227">
        <v>1393</v>
      </c>
      <c r="CX227">
        <v>730</v>
      </c>
      <c r="DD227">
        <v>0</v>
      </c>
      <c r="DE227" t="s">
        <v>543</v>
      </c>
      <c r="DF227">
        <v>515</v>
      </c>
      <c r="DG227">
        <v>3</v>
      </c>
      <c r="DH227">
        <v>1.18</v>
      </c>
      <c r="DI227">
        <v>1391</v>
      </c>
      <c r="DJ227">
        <v>1106</v>
      </c>
      <c r="DW227" t="s">
        <v>544</v>
      </c>
      <c r="DX227">
        <v>7.5</v>
      </c>
      <c r="EA227">
        <v>1461.1</v>
      </c>
      <c r="EB227">
        <v>258</v>
      </c>
      <c r="EC227" t="s">
        <v>545</v>
      </c>
      <c r="ED227">
        <v>25</v>
      </c>
      <c r="EE227">
        <v>3</v>
      </c>
      <c r="EG227">
        <v>1502</v>
      </c>
      <c r="EH227">
        <v>143</v>
      </c>
      <c r="EJ227">
        <v>0</v>
      </c>
      <c r="EK227">
        <v>1</v>
      </c>
      <c r="EN227">
        <v>0</v>
      </c>
      <c r="EP227" t="s">
        <v>546</v>
      </c>
      <c r="EQ227">
        <v>90</v>
      </c>
      <c r="ER227">
        <v>3</v>
      </c>
      <c r="ES227">
        <v>5.5</v>
      </c>
      <c r="ET227">
        <v>1378</v>
      </c>
      <c r="EU227">
        <v>396.8</v>
      </c>
      <c r="EV227">
        <v>547</v>
      </c>
      <c r="EW227" t="s">
        <v>547</v>
      </c>
      <c r="EX227">
        <v>70</v>
      </c>
      <c r="EY227">
        <v>2</v>
      </c>
      <c r="EZ227">
        <v>4.5</v>
      </c>
      <c r="FA227">
        <v>1378</v>
      </c>
      <c r="FB227">
        <v>218</v>
      </c>
      <c r="FC227">
        <v>300</v>
      </c>
      <c r="FE227">
        <v>0</v>
      </c>
      <c r="FF227">
        <v>2</v>
      </c>
      <c r="FI227">
        <v>0</v>
      </c>
      <c r="FK227" t="s">
        <v>548</v>
      </c>
      <c r="FL227">
        <v>0.4</v>
      </c>
      <c r="FM227">
        <v>80</v>
      </c>
      <c r="FN227">
        <v>140</v>
      </c>
      <c r="FR227" t="s">
        <v>548</v>
      </c>
      <c r="FS227">
        <v>0.4</v>
      </c>
      <c r="FT227">
        <v>30</v>
      </c>
      <c r="FU227">
        <v>360</v>
      </c>
      <c r="HC227">
        <v>0.1</v>
      </c>
      <c r="HD227">
        <v>3</v>
      </c>
      <c r="HE227">
        <v>3</v>
      </c>
      <c r="HF227">
        <v>3</v>
      </c>
      <c r="HG227">
        <v>3</v>
      </c>
      <c r="HH227">
        <v>3</v>
      </c>
      <c r="HI227">
        <v>145</v>
      </c>
      <c r="HJ227">
        <v>3</v>
      </c>
      <c r="HK227">
        <v>55</v>
      </c>
      <c r="HL227">
        <v>2</v>
      </c>
      <c r="HM227">
        <v>0</v>
      </c>
      <c r="HN227">
        <v>2</v>
      </c>
      <c r="HO227">
        <v>75</v>
      </c>
      <c r="HP227">
        <v>3</v>
      </c>
      <c r="HQ227">
        <v>0</v>
      </c>
      <c r="HR227">
        <v>2</v>
      </c>
      <c r="HS227">
        <v>4332</v>
      </c>
      <c r="HT227">
        <v>130</v>
      </c>
      <c r="HU227">
        <v>180</v>
      </c>
      <c r="HW227">
        <v>0</v>
      </c>
      <c r="HX227">
        <v>445</v>
      </c>
      <c r="HY227">
        <v>0.18</v>
      </c>
      <c r="IA227">
        <v>0.15</v>
      </c>
      <c r="IB227">
        <v>0</v>
      </c>
      <c r="IC227">
        <v>180</v>
      </c>
      <c r="ID227">
        <v>110</v>
      </c>
      <c r="IE227">
        <v>0</v>
      </c>
      <c r="IF227">
        <v>0</v>
      </c>
      <c r="IH227" t="s">
        <v>549</v>
      </c>
      <c r="IO227">
        <v>1</v>
      </c>
      <c r="IP227">
        <v>18</v>
      </c>
      <c r="IQ227">
        <v>0</v>
      </c>
      <c r="IR227">
        <v>1</v>
      </c>
      <c r="IV227">
        <v>1381</v>
      </c>
      <c r="IW227">
        <v>394</v>
      </c>
      <c r="JA227">
        <v>1</v>
      </c>
      <c r="JB227">
        <v>0</v>
      </c>
      <c r="JC227">
        <v>2</v>
      </c>
      <c r="JD227">
        <v>1393</v>
      </c>
      <c r="JE227">
        <v>1391</v>
      </c>
      <c r="JF227">
        <v>0</v>
      </c>
      <c r="JG227">
        <v>1378</v>
      </c>
      <c r="JH227">
        <v>0</v>
      </c>
      <c r="JJ227">
        <v>180</v>
      </c>
      <c r="JK227">
        <v>445</v>
      </c>
      <c r="JN227">
        <v>370</v>
      </c>
      <c r="JO227">
        <v>515</v>
      </c>
      <c r="JP227">
        <v>0</v>
      </c>
      <c r="JQ227">
        <v>0</v>
      </c>
      <c r="JR227">
        <v>350</v>
      </c>
      <c r="JS227">
        <v>145</v>
      </c>
      <c r="JV227">
        <v>8</v>
      </c>
      <c r="JW227" t="s">
        <v>550</v>
      </c>
      <c r="JX227">
        <v>0</v>
      </c>
      <c r="KA227">
        <v>0</v>
      </c>
      <c r="KB227">
        <v>110</v>
      </c>
      <c r="KC227">
        <v>0</v>
      </c>
      <c r="KD227">
        <v>80</v>
      </c>
      <c r="KF227">
        <v>4</v>
      </c>
      <c r="KG227">
        <v>2</v>
      </c>
      <c r="KH227">
        <v>2</v>
      </c>
      <c r="KI227">
        <v>2</v>
      </c>
      <c r="KJ227">
        <v>0</v>
      </c>
      <c r="KK227">
        <v>1.5</v>
      </c>
      <c r="KL227">
        <v>1.5</v>
      </c>
      <c r="KM227">
        <v>0</v>
      </c>
      <c r="KN227">
        <v>0</v>
      </c>
      <c r="KO227">
        <v>0</v>
      </c>
      <c r="KR227">
        <v>50</v>
      </c>
      <c r="KS227">
        <v>60</v>
      </c>
      <c r="KT227">
        <v>0</v>
      </c>
      <c r="LK227">
        <v>480</v>
      </c>
      <c r="PG227">
        <v>1</v>
      </c>
      <c r="PI227" t="s">
        <v>2955</v>
      </c>
      <c r="PJ227" t="s">
        <v>2956</v>
      </c>
      <c r="PL227" t="s">
        <v>719</v>
      </c>
      <c r="PP227" t="s">
        <v>2731</v>
      </c>
      <c r="PX227">
        <v>56</v>
      </c>
      <c r="PY227">
        <v>56</v>
      </c>
      <c r="PZ227" t="s">
        <v>2955</v>
      </c>
      <c r="QA227">
        <v>1</v>
      </c>
      <c r="QB227">
        <v>1378</v>
      </c>
      <c r="QC227">
        <v>69</v>
      </c>
      <c r="QD227">
        <v>69</v>
      </c>
      <c r="QE227" t="s">
        <v>719</v>
      </c>
      <c r="QF227">
        <v>1</v>
      </c>
      <c r="QG227">
        <v>1393</v>
      </c>
      <c r="QH227">
        <v>66</v>
      </c>
      <c r="QI227">
        <v>66</v>
      </c>
      <c r="QL227">
        <v>0</v>
      </c>
      <c r="QM227">
        <v>62</v>
      </c>
      <c r="QN227">
        <v>62</v>
      </c>
      <c r="QO227" t="s">
        <v>2956</v>
      </c>
      <c r="QP227">
        <v>1</v>
      </c>
      <c r="QQ227">
        <v>1391</v>
      </c>
      <c r="QW227">
        <v>82</v>
      </c>
      <c r="QX227">
        <v>88</v>
      </c>
      <c r="QY227" t="s">
        <v>2731</v>
      </c>
      <c r="QZ227">
        <v>1</v>
      </c>
      <c r="RA227">
        <v>66</v>
      </c>
      <c r="RB227">
        <v>66</v>
      </c>
      <c r="RE227">
        <v>0</v>
      </c>
      <c r="RF227">
        <v>1</v>
      </c>
      <c r="RJ227">
        <v>1</v>
      </c>
      <c r="RL227">
        <v>2</v>
      </c>
      <c r="RO227">
        <v>524</v>
      </c>
      <c r="RQ227">
        <v>795</v>
      </c>
      <c r="RT227">
        <v>258</v>
      </c>
      <c r="RU227">
        <v>143</v>
      </c>
      <c r="RV227" t="s">
        <v>2150</v>
      </c>
      <c r="RW227" t="s">
        <v>679</v>
      </c>
      <c r="RX227">
        <v>15</v>
      </c>
      <c r="RY227">
        <v>4</v>
      </c>
      <c r="RZ227" t="s">
        <v>679</v>
      </c>
      <c r="SA227">
        <v>15</v>
      </c>
      <c r="SC227" t="s">
        <v>2956</v>
      </c>
      <c r="SD227">
        <v>1</v>
      </c>
      <c r="SH227">
        <v>0.995</v>
      </c>
      <c r="SI227">
        <v>0.995</v>
      </c>
      <c r="SJ227">
        <v>0.995</v>
      </c>
      <c r="SK227">
        <v>15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TB227">
        <v>0</v>
      </c>
      <c r="TC227">
        <v>0</v>
      </c>
      <c r="TD227">
        <v>7.5</v>
      </c>
      <c r="TE227" t="s">
        <v>553</v>
      </c>
      <c r="TF227" t="s">
        <v>624</v>
      </c>
      <c r="TG227" t="s">
        <v>555</v>
      </c>
      <c r="TI227" t="s">
        <v>546</v>
      </c>
      <c r="TJ227" t="s">
        <v>547</v>
      </c>
      <c r="TL227" t="s">
        <v>2662</v>
      </c>
      <c r="TM227" t="s">
        <v>513</v>
      </c>
      <c r="TN227">
        <v>0</v>
      </c>
      <c r="TO227" t="s">
        <v>557</v>
      </c>
    </row>
    <row r="228" spans="1:535">
      <c r="A228" t="s">
        <v>2957</v>
      </c>
      <c r="B228" t="s">
        <v>804</v>
      </c>
      <c r="C228" t="s">
        <v>509</v>
      </c>
      <c r="D228" t="s">
        <v>2958</v>
      </c>
      <c r="G228" t="s">
        <v>1088</v>
      </c>
      <c r="L228" t="s">
        <v>512</v>
      </c>
      <c r="M228" t="s">
        <v>508</v>
      </c>
      <c r="N228" t="s">
        <v>513</v>
      </c>
      <c r="O228" t="s">
        <v>1255</v>
      </c>
      <c r="P228" t="s">
        <v>515</v>
      </c>
      <c r="Q228" t="s">
        <v>2959</v>
      </c>
      <c r="R228" t="s">
        <v>517</v>
      </c>
      <c r="S228" t="s">
        <v>849</v>
      </c>
      <c r="T228" t="s">
        <v>743</v>
      </c>
      <c r="U228" t="s">
        <v>686</v>
      </c>
      <c r="V228" t="s">
        <v>687</v>
      </c>
      <c r="W228" t="s">
        <v>1354</v>
      </c>
      <c r="X228" t="s">
        <v>2657</v>
      </c>
      <c r="Y228" t="s">
        <v>524</v>
      </c>
      <c r="Z228" t="s">
        <v>2960</v>
      </c>
      <c r="AA228" t="s">
        <v>2961</v>
      </c>
      <c r="AB228" t="s">
        <v>2327</v>
      </c>
      <c r="AC228">
        <v>2</v>
      </c>
      <c r="AD228">
        <v>57</v>
      </c>
      <c r="AE228">
        <v>183</v>
      </c>
      <c r="AF228">
        <v>1.5</v>
      </c>
      <c r="AH228">
        <v>0</v>
      </c>
      <c r="AI228" t="s">
        <v>1464</v>
      </c>
      <c r="AJ228">
        <v>165</v>
      </c>
      <c r="AK228">
        <v>1</v>
      </c>
      <c r="AL228">
        <v>1.5</v>
      </c>
      <c r="AM228" t="s">
        <v>579</v>
      </c>
      <c r="AN228" t="s">
        <v>693</v>
      </c>
      <c r="AO228">
        <v>2</v>
      </c>
      <c r="AP228" t="s">
        <v>581</v>
      </c>
      <c r="AQ228" t="s">
        <v>582</v>
      </c>
      <c r="AR228">
        <v>203</v>
      </c>
      <c r="AS228">
        <v>1.5</v>
      </c>
      <c r="AT228" t="s">
        <v>583</v>
      </c>
      <c r="AV228" t="s">
        <v>2962</v>
      </c>
      <c r="AW228" t="s">
        <v>2962</v>
      </c>
      <c r="AX228">
        <v>1</v>
      </c>
      <c r="AY228">
        <v>237.5</v>
      </c>
      <c r="AZ228">
        <v>1.5</v>
      </c>
      <c r="BA228" t="s">
        <v>579</v>
      </c>
      <c r="BG228">
        <v>1.5</v>
      </c>
      <c r="BJ228">
        <v>0</v>
      </c>
      <c r="BN228">
        <v>1.5</v>
      </c>
      <c r="BP228" t="s">
        <v>1419</v>
      </c>
      <c r="BQ228">
        <v>88</v>
      </c>
      <c r="BR228">
        <v>2</v>
      </c>
      <c r="BS228" t="s">
        <v>1342</v>
      </c>
      <c r="BT228">
        <v>182</v>
      </c>
      <c r="BU228">
        <v>0.5</v>
      </c>
      <c r="BV228" t="s">
        <v>1342</v>
      </c>
      <c r="BW228">
        <v>364</v>
      </c>
      <c r="BX228">
        <v>1</v>
      </c>
      <c r="BY228" t="s">
        <v>698</v>
      </c>
      <c r="BZ228">
        <v>300</v>
      </c>
      <c r="CA228">
        <v>400</v>
      </c>
      <c r="CB228" t="s">
        <v>699</v>
      </c>
      <c r="CC228" t="s">
        <v>699</v>
      </c>
      <c r="CD228">
        <v>440</v>
      </c>
      <c r="CE228" t="s">
        <v>700</v>
      </c>
      <c r="CF228">
        <v>15</v>
      </c>
      <c r="CG228" t="s">
        <v>1099</v>
      </c>
      <c r="CH228" t="s">
        <v>1099</v>
      </c>
      <c r="CI228">
        <v>50</v>
      </c>
      <c r="CJ228">
        <v>1458</v>
      </c>
      <c r="CK228">
        <v>2</v>
      </c>
      <c r="CL228">
        <v>1552</v>
      </c>
      <c r="CM228">
        <v>2</v>
      </c>
      <c r="CN228" t="s">
        <v>702</v>
      </c>
      <c r="CO228" t="s">
        <v>676</v>
      </c>
      <c r="CP228" t="s">
        <v>703</v>
      </c>
      <c r="CQ228" t="s">
        <v>860</v>
      </c>
      <c r="CR228" t="s">
        <v>650</v>
      </c>
      <c r="CS228" t="s">
        <v>542</v>
      </c>
      <c r="CT228">
        <v>330</v>
      </c>
      <c r="CU228">
        <v>5</v>
      </c>
      <c r="CV228">
        <v>1.2</v>
      </c>
      <c r="CW228">
        <v>1475</v>
      </c>
      <c r="CX228">
        <v>689</v>
      </c>
      <c r="CY228" t="s">
        <v>705</v>
      </c>
      <c r="CZ228">
        <v>50</v>
      </c>
      <c r="DA228">
        <v>3</v>
      </c>
      <c r="DB228">
        <v>1</v>
      </c>
      <c r="DC228">
        <v>1475</v>
      </c>
      <c r="DD228">
        <v>77</v>
      </c>
      <c r="DE228" t="s">
        <v>543</v>
      </c>
      <c r="DF228">
        <v>475</v>
      </c>
      <c r="DG228">
        <v>3</v>
      </c>
      <c r="DH228">
        <v>1.18</v>
      </c>
      <c r="DI228">
        <v>1468</v>
      </c>
      <c r="DJ228">
        <v>1138</v>
      </c>
      <c r="DW228" t="s">
        <v>544</v>
      </c>
      <c r="DX228">
        <v>7.5</v>
      </c>
      <c r="EA228">
        <v>1540.9</v>
      </c>
      <c r="EB228">
        <v>272</v>
      </c>
      <c r="EC228" t="s">
        <v>545</v>
      </c>
      <c r="ED228">
        <v>25</v>
      </c>
      <c r="EE228">
        <v>3</v>
      </c>
      <c r="EG228">
        <v>1582</v>
      </c>
      <c r="EH228">
        <v>150</v>
      </c>
      <c r="EJ228">
        <v>0</v>
      </c>
      <c r="EK228">
        <v>1</v>
      </c>
      <c r="EN228">
        <v>0</v>
      </c>
      <c r="EP228" t="s">
        <v>546</v>
      </c>
      <c r="EQ228">
        <v>65</v>
      </c>
      <c r="ER228">
        <v>3</v>
      </c>
      <c r="ES228">
        <v>4.5</v>
      </c>
      <c r="ET228">
        <v>1448</v>
      </c>
      <c r="EU228">
        <v>237</v>
      </c>
      <c r="EV228">
        <v>343</v>
      </c>
      <c r="EW228" t="s">
        <v>547</v>
      </c>
      <c r="EX228">
        <v>45</v>
      </c>
      <c r="EY228">
        <v>2</v>
      </c>
      <c r="EZ228">
        <v>4</v>
      </c>
      <c r="FA228">
        <v>1448</v>
      </c>
      <c r="FB228">
        <v>127.8</v>
      </c>
      <c r="FC228">
        <v>185</v>
      </c>
      <c r="FE228">
        <v>0</v>
      </c>
      <c r="FF228">
        <v>2</v>
      </c>
      <c r="FI228">
        <v>0</v>
      </c>
      <c r="FK228" t="s">
        <v>548</v>
      </c>
      <c r="FL228">
        <v>0.4</v>
      </c>
      <c r="FM228">
        <v>40</v>
      </c>
      <c r="FN228">
        <v>310</v>
      </c>
      <c r="FO228">
        <v>60</v>
      </c>
      <c r="FP228">
        <v>150</v>
      </c>
      <c r="FY228" t="s">
        <v>651</v>
      </c>
      <c r="FZ228">
        <v>1</v>
      </c>
      <c r="GA228">
        <v>20</v>
      </c>
      <c r="GB228">
        <v>171</v>
      </c>
      <c r="GG228" t="s">
        <v>651</v>
      </c>
      <c r="GH228">
        <v>1</v>
      </c>
      <c r="GI228">
        <v>20</v>
      </c>
      <c r="GJ228">
        <v>171</v>
      </c>
      <c r="HC228">
        <v>0.1</v>
      </c>
      <c r="HD228">
        <v>3</v>
      </c>
      <c r="HE228">
        <v>3</v>
      </c>
      <c r="HF228">
        <v>3</v>
      </c>
      <c r="HG228">
        <v>3</v>
      </c>
      <c r="HH228">
        <v>3</v>
      </c>
      <c r="HI228">
        <v>95</v>
      </c>
      <c r="HJ228">
        <v>3</v>
      </c>
      <c r="HK228">
        <v>30</v>
      </c>
      <c r="HL228">
        <v>2</v>
      </c>
      <c r="HM228">
        <v>0</v>
      </c>
      <c r="HN228">
        <v>2</v>
      </c>
      <c r="HO228">
        <v>50</v>
      </c>
      <c r="HP228">
        <v>3</v>
      </c>
      <c r="HQ228">
        <v>0</v>
      </c>
      <c r="HR228">
        <v>2</v>
      </c>
      <c r="HS228">
        <v>3881</v>
      </c>
      <c r="HT228">
        <v>120</v>
      </c>
      <c r="HU228">
        <v>180</v>
      </c>
      <c r="HW228">
        <v>0</v>
      </c>
      <c r="HX228">
        <v>420</v>
      </c>
      <c r="HY228">
        <v>0.18</v>
      </c>
      <c r="IA228">
        <v>0.15</v>
      </c>
      <c r="IB228">
        <v>0</v>
      </c>
      <c r="IC228">
        <v>180</v>
      </c>
      <c r="ID228">
        <v>110</v>
      </c>
      <c r="IE228">
        <v>0</v>
      </c>
      <c r="IF228">
        <v>0</v>
      </c>
      <c r="IH228" t="s">
        <v>549</v>
      </c>
      <c r="IO228">
        <v>1</v>
      </c>
      <c r="IP228">
        <v>19</v>
      </c>
      <c r="IQ228">
        <v>0</v>
      </c>
      <c r="IR228">
        <v>0</v>
      </c>
      <c r="IV228">
        <v>1458</v>
      </c>
      <c r="IW228">
        <v>364</v>
      </c>
      <c r="JA228">
        <v>1</v>
      </c>
      <c r="JB228">
        <v>0</v>
      </c>
      <c r="JC228">
        <v>2</v>
      </c>
      <c r="JD228">
        <v>1475</v>
      </c>
      <c r="JE228">
        <v>1468</v>
      </c>
      <c r="JF228">
        <v>0</v>
      </c>
      <c r="JG228">
        <v>1448</v>
      </c>
      <c r="JH228">
        <v>0</v>
      </c>
      <c r="JJ228">
        <v>180</v>
      </c>
      <c r="JK228">
        <v>420</v>
      </c>
      <c r="JN228">
        <v>330</v>
      </c>
      <c r="JO228">
        <v>475</v>
      </c>
      <c r="JP228">
        <v>0</v>
      </c>
      <c r="JQ228">
        <v>0</v>
      </c>
      <c r="JR228">
        <v>366</v>
      </c>
      <c r="JS228">
        <v>95</v>
      </c>
      <c r="JV228">
        <v>8</v>
      </c>
      <c r="JW228" t="s">
        <v>550</v>
      </c>
      <c r="JX228">
        <v>406</v>
      </c>
      <c r="KA228">
        <v>0</v>
      </c>
      <c r="KB228">
        <v>110</v>
      </c>
      <c r="KC228">
        <v>0</v>
      </c>
      <c r="KD228">
        <v>80</v>
      </c>
      <c r="KF228">
        <v>4</v>
      </c>
      <c r="KG228">
        <v>4</v>
      </c>
      <c r="KH228">
        <v>2</v>
      </c>
      <c r="KI228">
        <v>2</v>
      </c>
      <c r="KJ228">
        <v>0</v>
      </c>
      <c r="KK228">
        <v>1.5</v>
      </c>
      <c r="KL228">
        <v>1.5</v>
      </c>
      <c r="KM228">
        <v>0</v>
      </c>
      <c r="KN228">
        <v>0</v>
      </c>
      <c r="KO228">
        <v>0</v>
      </c>
      <c r="KR228">
        <v>30</v>
      </c>
      <c r="KS228">
        <v>60</v>
      </c>
      <c r="KT228">
        <v>0</v>
      </c>
      <c r="LK228">
        <v>480</v>
      </c>
      <c r="PG228">
        <v>1</v>
      </c>
      <c r="PI228" t="s">
        <v>2327</v>
      </c>
      <c r="PJ228" t="s">
        <v>2962</v>
      </c>
      <c r="PL228" t="s">
        <v>1464</v>
      </c>
      <c r="PP228" t="s">
        <v>1419</v>
      </c>
      <c r="PS228" t="s">
        <v>693</v>
      </c>
      <c r="PX228">
        <v>56</v>
      </c>
      <c r="PY228">
        <v>57</v>
      </c>
      <c r="PZ228" t="s">
        <v>2327</v>
      </c>
      <c r="QA228">
        <v>1</v>
      </c>
      <c r="QB228">
        <v>1448</v>
      </c>
      <c r="QC228">
        <v>69</v>
      </c>
      <c r="QD228">
        <v>69</v>
      </c>
      <c r="QE228" t="s">
        <v>1464</v>
      </c>
      <c r="QF228">
        <v>1</v>
      </c>
      <c r="QG228">
        <v>1475</v>
      </c>
      <c r="QH228">
        <v>66</v>
      </c>
      <c r="QI228">
        <v>66</v>
      </c>
      <c r="QJ228" t="s">
        <v>693</v>
      </c>
      <c r="QK228">
        <v>1</v>
      </c>
      <c r="QL228">
        <v>1475</v>
      </c>
      <c r="QM228">
        <v>63</v>
      </c>
      <c r="QN228">
        <v>63</v>
      </c>
      <c r="QO228" t="s">
        <v>2962</v>
      </c>
      <c r="QP228">
        <v>1</v>
      </c>
      <c r="QQ228">
        <v>1468</v>
      </c>
      <c r="QW228">
        <v>82</v>
      </c>
      <c r="QX228">
        <v>88</v>
      </c>
      <c r="QY228" t="s">
        <v>1419</v>
      </c>
      <c r="QZ228">
        <v>1</v>
      </c>
      <c r="RA228">
        <v>66</v>
      </c>
      <c r="RB228">
        <v>66</v>
      </c>
      <c r="RE228">
        <v>0</v>
      </c>
      <c r="RG228">
        <v>1</v>
      </c>
      <c r="RJ228">
        <v>1</v>
      </c>
      <c r="RK228">
        <v>2</v>
      </c>
      <c r="RL228">
        <v>2</v>
      </c>
      <c r="RO228">
        <v>467</v>
      </c>
      <c r="RP228">
        <v>105</v>
      </c>
      <c r="RQ228">
        <v>775</v>
      </c>
      <c r="RT228">
        <v>272</v>
      </c>
      <c r="RU228">
        <v>150</v>
      </c>
      <c r="RV228" t="s">
        <v>1344</v>
      </c>
      <c r="RW228" t="s">
        <v>707</v>
      </c>
      <c r="RX228">
        <v>15</v>
      </c>
      <c r="RY228">
        <v>4</v>
      </c>
      <c r="RZ228" t="s">
        <v>707</v>
      </c>
      <c r="SA228">
        <v>15</v>
      </c>
      <c r="SB228" t="s">
        <v>2963</v>
      </c>
      <c r="SC228" t="s">
        <v>2963</v>
      </c>
      <c r="SD228">
        <v>1</v>
      </c>
      <c r="SH228">
        <v>0.995</v>
      </c>
      <c r="SI228">
        <v>0.995</v>
      </c>
      <c r="SJ228">
        <v>0.995</v>
      </c>
      <c r="SK228">
        <v>15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1</v>
      </c>
      <c r="TB228">
        <v>0</v>
      </c>
      <c r="TC228">
        <v>0</v>
      </c>
      <c r="TD228">
        <v>7.5</v>
      </c>
      <c r="TE228" t="s">
        <v>553</v>
      </c>
      <c r="TF228" t="s">
        <v>624</v>
      </c>
      <c r="TG228" t="s">
        <v>555</v>
      </c>
      <c r="TI228" t="s">
        <v>546</v>
      </c>
      <c r="TJ228" t="s">
        <v>547</v>
      </c>
      <c r="TL228" t="s">
        <v>2662</v>
      </c>
      <c r="TM228" t="s">
        <v>513</v>
      </c>
      <c r="TN228">
        <v>0</v>
      </c>
      <c r="TO228" t="s">
        <v>557</v>
      </c>
    </row>
    <row r="229" spans="1:535">
      <c r="A229" t="s">
        <v>2964</v>
      </c>
      <c r="B229" t="s">
        <v>804</v>
      </c>
      <c r="C229" t="s">
        <v>509</v>
      </c>
      <c r="D229" t="s">
        <v>1013</v>
      </c>
      <c r="G229" t="s">
        <v>1135</v>
      </c>
      <c r="I229" t="s">
        <v>562</v>
      </c>
      <c r="J229" t="s">
        <v>563</v>
      </c>
      <c r="L229" t="s">
        <v>512</v>
      </c>
      <c r="M229" t="s">
        <v>508</v>
      </c>
      <c r="N229" t="s">
        <v>513</v>
      </c>
      <c r="O229" t="s">
        <v>1255</v>
      </c>
      <c r="P229" t="s">
        <v>515</v>
      </c>
      <c r="Q229" t="s">
        <v>2965</v>
      </c>
      <c r="R229" t="s">
        <v>517</v>
      </c>
      <c r="S229" t="s">
        <v>1326</v>
      </c>
      <c r="T229" t="s">
        <v>1327</v>
      </c>
      <c r="U229" t="s">
        <v>570</v>
      </c>
      <c r="V229" t="s">
        <v>571</v>
      </c>
      <c r="W229" t="s">
        <v>1309</v>
      </c>
      <c r="X229" t="s">
        <v>2657</v>
      </c>
      <c r="Y229" t="s">
        <v>524</v>
      </c>
      <c r="Z229" t="s">
        <v>2966</v>
      </c>
      <c r="AA229" t="s">
        <v>2967</v>
      </c>
      <c r="AB229" t="s">
        <v>2968</v>
      </c>
      <c r="AC229">
        <v>2</v>
      </c>
      <c r="AD229">
        <v>56</v>
      </c>
      <c r="AE229">
        <v>221</v>
      </c>
      <c r="AF229">
        <v>1.5</v>
      </c>
      <c r="AH229">
        <v>0</v>
      </c>
      <c r="AI229" t="s">
        <v>692</v>
      </c>
      <c r="AJ229">
        <v>202.5</v>
      </c>
      <c r="AK229">
        <v>1</v>
      </c>
      <c r="AL229">
        <v>1.5</v>
      </c>
      <c r="AM229" t="s">
        <v>579</v>
      </c>
      <c r="AN229" t="s">
        <v>693</v>
      </c>
      <c r="AO229">
        <v>2</v>
      </c>
      <c r="AP229" t="s">
        <v>581</v>
      </c>
      <c r="AQ229" t="s">
        <v>582</v>
      </c>
      <c r="AR229">
        <v>240</v>
      </c>
      <c r="AS229">
        <v>1.5</v>
      </c>
      <c r="AT229" t="s">
        <v>583</v>
      </c>
      <c r="AU229" t="s">
        <v>2969</v>
      </c>
      <c r="AW229" t="s">
        <v>2969</v>
      </c>
      <c r="AX229">
        <v>1</v>
      </c>
      <c r="AY229">
        <v>290</v>
      </c>
      <c r="AZ229">
        <v>1.5</v>
      </c>
      <c r="BA229" t="s">
        <v>579</v>
      </c>
      <c r="BB229" t="s">
        <v>2970</v>
      </c>
      <c r="BD229" t="s">
        <v>2970</v>
      </c>
      <c r="BE229">
        <v>1</v>
      </c>
      <c r="BF229">
        <v>242.5</v>
      </c>
      <c r="BG229">
        <v>1.5</v>
      </c>
      <c r="BJ229">
        <v>0</v>
      </c>
      <c r="BN229">
        <v>1.5</v>
      </c>
      <c r="BP229" t="s">
        <v>1374</v>
      </c>
      <c r="BQ229" t="s">
        <v>587</v>
      </c>
      <c r="BR229">
        <v>2</v>
      </c>
      <c r="BS229" t="s">
        <v>799</v>
      </c>
      <c r="BT229">
        <v>220</v>
      </c>
      <c r="BU229">
        <v>0.5</v>
      </c>
      <c r="BV229" t="s">
        <v>799</v>
      </c>
      <c r="BW229">
        <v>440</v>
      </c>
      <c r="BX229">
        <v>1</v>
      </c>
      <c r="BY229" t="s">
        <v>589</v>
      </c>
      <c r="BZ229">
        <v>300</v>
      </c>
      <c r="CA229">
        <v>500</v>
      </c>
      <c r="CB229" t="s">
        <v>590</v>
      </c>
      <c r="CC229" t="s">
        <v>590</v>
      </c>
      <c r="CD229">
        <v>460</v>
      </c>
      <c r="CE229" t="s">
        <v>591</v>
      </c>
      <c r="CF229">
        <v>15</v>
      </c>
      <c r="CG229" t="s">
        <v>1290</v>
      </c>
      <c r="CH229" t="s">
        <v>1290</v>
      </c>
      <c r="CI229">
        <v>100</v>
      </c>
      <c r="CJ229">
        <v>1538</v>
      </c>
      <c r="CK229">
        <v>2</v>
      </c>
      <c r="CL229">
        <v>1632</v>
      </c>
      <c r="CM229">
        <v>2</v>
      </c>
      <c r="CN229" t="s">
        <v>593</v>
      </c>
      <c r="CO229" t="s">
        <v>594</v>
      </c>
      <c r="CP229" t="s">
        <v>595</v>
      </c>
      <c r="CQ229" t="s">
        <v>596</v>
      </c>
      <c r="CR229" t="s">
        <v>541</v>
      </c>
      <c r="CS229" t="s">
        <v>542</v>
      </c>
      <c r="CT229">
        <v>405</v>
      </c>
      <c r="CU229">
        <v>5</v>
      </c>
      <c r="CV229">
        <v>1.2</v>
      </c>
      <c r="CW229">
        <v>1554</v>
      </c>
      <c r="CX229">
        <v>890</v>
      </c>
      <c r="CY229" t="s">
        <v>705</v>
      </c>
      <c r="CZ229">
        <v>50</v>
      </c>
      <c r="DA229">
        <v>3</v>
      </c>
      <c r="DB229">
        <v>1</v>
      </c>
      <c r="DC229">
        <v>1554</v>
      </c>
      <c r="DD229">
        <v>82</v>
      </c>
      <c r="DE229" t="s">
        <v>622</v>
      </c>
      <c r="DF229">
        <v>580</v>
      </c>
      <c r="DG229">
        <v>3</v>
      </c>
      <c r="DH229">
        <v>0.88</v>
      </c>
      <c r="DI229">
        <v>1547</v>
      </c>
      <c r="DJ229">
        <v>1074</v>
      </c>
      <c r="DK229" t="s">
        <v>622</v>
      </c>
      <c r="DL229">
        <v>485</v>
      </c>
      <c r="DM229">
        <v>3</v>
      </c>
      <c r="DN229">
        <v>0.88</v>
      </c>
      <c r="DO229">
        <v>1552</v>
      </c>
      <c r="DP229">
        <v>784</v>
      </c>
      <c r="DW229" t="s">
        <v>544</v>
      </c>
      <c r="DX229">
        <v>7.5</v>
      </c>
      <c r="EA229">
        <v>1623.8</v>
      </c>
      <c r="EB229">
        <v>382</v>
      </c>
      <c r="EC229" t="s">
        <v>545</v>
      </c>
      <c r="ED229">
        <v>30</v>
      </c>
      <c r="EE229">
        <v>3</v>
      </c>
      <c r="EG229">
        <v>1675</v>
      </c>
      <c r="EH229">
        <v>198</v>
      </c>
      <c r="EJ229">
        <v>0</v>
      </c>
      <c r="EK229">
        <v>1</v>
      </c>
      <c r="EN229">
        <v>0</v>
      </c>
      <c r="EP229" t="s">
        <v>546</v>
      </c>
      <c r="EQ229">
        <v>110</v>
      </c>
      <c r="ER229">
        <v>3</v>
      </c>
      <c r="ES229">
        <v>5.5</v>
      </c>
      <c r="ET229">
        <v>1534</v>
      </c>
      <c r="EU229">
        <v>504.4</v>
      </c>
      <c r="EV229">
        <v>774</v>
      </c>
      <c r="EW229" t="s">
        <v>547</v>
      </c>
      <c r="EX229">
        <v>45</v>
      </c>
      <c r="EY229">
        <v>2</v>
      </c>
      <c r="EZ229">
        <v>4.5</v>
      </c>
      <c r="FA229">
        <v>1534</v>
      </c>
      <c r="FB229">
        <v>138.3</v>
      </c>
      <c r="FC229">
        <v>212</v>
      </c>
      <c r="FE229">
        <v>0</v>
      </c>
      <c r="FF229">
        <v>2</v>
      </c>
      <c r="FI229">
        <v>0</v>
      </c>
      <c r="FK229" t="s">
        <v>548</v>
      </c>
      <c r="FL229">
        <v>0.4</v>
      </c>
      <c r="FM229">
        <v>60</v>
      </c>
      <c r="FN229">
        <v>370</v>
      </c>
      <c r="FO229">
        <v>80</v>
      </c>
      <c r="FP229">
        <v>160</v>
      </c>
      <c r="GR229" t="s">
        <v>548</v>
      </c>
      <c r="GS229">
        <v>0.4</v>
      </c>
      <c r="GT229">
        <v>30</v>
      </c>
      <c r="GU229">
        <v>280</v>
      </c>
      <c r="HC229">
        <v>0.1</v>
      </c>
      <c r="HD229">
        <v>3</v>
      </c>
      <c r="HE229">
        <v>3</v>
      </c>
      <c r="HF229">
        <v>3</v>
      </c>
      <c r="HG229">
        <v>3</v>
      </c>
      <c r="HH229">
        <v>3</v>
      </c>
      <c r="HI229">
        <v>140</v>
      </c>
      <c r="HJ229">
        <v>3</v>
      </c>
      <c r="HK229">
        <v>30</v>
      </c>
      <c r="HL229">
        <v>2</v>
      </c>
      <c r="HM229">
        <v>0</v>
      </c>
      <c r="HN229">
        <v>2</v>
      </c>
      <c r="HO229">
        <v>95</v>
      </c>
      <c r="HP229">
        <v>3</v>
      </c>
      <c r="HQ229">
        <v>0</v>
      </c>
      <c r="HR229">
        <v>2</v>
      </c>
      <c r="HS229">
        <v>6044</v>
      </c>
      <c r="HT229">
        <v>180</v>
      </c>
      <c r="HU229">
        <v>180</v>
      </c>
      <c r="HW229">
        <v>0</v>
      </c>
      <c r="HX229">
        <v>445</v>
      </c>
      <c r="HY229">
        <v>0.18</v>
      </c>
      <c r="IA229">
        <v>0.15</v>
      </c>
      <c r="IB229">
        <v>0</v>
      </c>
      <c r="IC229">
        <v>180</v>
      </c>
      <c r="ID229">
        <v>110</v>
      </c>
      <c r="IE229">
        <v>225</v>
      </c>
      <c r="IF229">
        <v>0</v>
      </c>
      <c r="IH229" t="s">
        <v>549</v>
      </c>
      <c r="IO229">
        <v>3</v>
      </c>
      <c r="IP229">
        <v>20</v>
      </c>
      <c r="IQ229">
        <v>0</v>
      </c>
      <c r="IR229">
        <v>0</v>
      </c>
      <c r="IV229">
        <v>1538</v>
      </c>
      <c r="IW229">
        <v>440</v>
      </c>
      <c r="JA229">
        <v>1</v>
      </c>
      <c r="JB229">
        <v>0</v>
      </c>
      <c r="JC229">
        <v>2</v>
      </c>
      <c r="JD229">
        <v>1554</v>
      </c>
      <c r="JE229">
        <v>1547</v>
      </c>
      <c r="JF229">
        <v>1552</v>
      </c>
      <c r="JG229">
        <v>1534</v>
      </c>
      <c r="JH229">
        <v>0</v>
      </c>
      <c r="JJ229">
        <v>180</v>
      </c>
      <c r="JK229">
        <v>445</v>
      </c>
      <c r="JN229">
        <v>405</v>
      </c>
      <c r="JO229">
        <v>580</v>
      </c>
      <c r="JP229">
        <v>485</v>
      </c>
      <c r="JQ229">
        <v>0</v>
      </c>
      <c r="JR229">
        <v>442</v>
      </c>
      <c r="JS229">
        <v>140</v>
      </c>
      <c r="JV229">
        <v>8</v>
      </c>
      <c r="JW229" t="s">
        <v>550</v>
      </c>
      <c r="JX229">
        <v>480</v>
      </c>
      <c r="KA229">
        <v>225</v>
      </c>
      <c r="KB229">
        <v>110</v>
      </c>
      <c r="KC229">
        <v>0</v>
      </c>
      <c r="KD229">
        <v>80</v>
      </c>
      <c r="KF229">
        <v>4</v>
      </c>
      <c r="KG229">
        <v>4</v>
      </c>
      <c r="KH229">
        <v>2</v>
      </c>
      <c r="KI229">
        <v>2</v>
      </c>
      <c r="KJ229">
        <v>0</v>
      </c>
      <c r="KK229">
        <v>1.5</v>
      </c>
      <c r="KL229">
        <v>1.5</v>
      </c>
      <c r="KM229">
        <v>0</v>
      </c>
      <c r="KN229">
        <v>0</v>
      </c>
      <c r="KO229">
        <v>0</v>
      </c>
      <c r="KR229">
        <v>30</v>
      </c>
      <c r="KS229">
        <v>60</v>
      </c>
      <c r="KT229">
        <v>0</v>
      </c>
      <c r="LK229">
        <v>480</v>
      </c>
      <c r="PG229">
        <v>1</v>
      </c>
      <c r="PI229" t="s">
        <v>2968</v>
      </c>
      <c r="PJ229" t="s">
        <v>2969</v>
      </c>
      <c r="PK229" t="s">
        <v>2970</v>
      </c>
      <c r="PL229" t="s">
        <v>692</v>
      </c>
      <c r="PP229" t="s">
        <v>1374</v>
      </c>
      <c r="PS229" t="s">
        <v>693</v>
      </c>
      <c r="PX229">
        <v>56</v>
      </c>
      <c r="PY229">
        <v>56</v>
      </c>
      <c r="PZ229" t="s">
        <v>2968</v>
      </c>
      <c r="QA229">
        <v>1</v>
      </c>
      <c r="QB229">
        <v>1534</v>
      </c>
      <c r="QC229">
        <v>69</v>
      </c>
      <c r="QD229">
        <v>69</v>
      </c>
      <c r="QE229" t="s">
        <v>692</v>
      </c>
      <c r="QF229">
        <v>1</v>
      </c>
      <c r="QG229">
        <v>1554</v>
      </c>
      <c r="QH229">
        <v>66</v>
      </c>
      <c r="QI229">
        <v>66</v>
      </c>
      <c r="QJ229" t="s">
        <v>693</v>
      </c>
      <c r="QK229">
        <v>1</v>
      </c>
      <c r="QL229">
        <v>1554</v>
      </c>
      <c r="QM229">
        <v>62</v>
      </c>
      <c r="QN229">
        <v>62</v>
      </c>
      <c r="QO229" t="s">
        <v>2969</v>
      </c>
      <c r="QP229">
        <v>1</v>
      </c>
      <c r="QQ229">
        <v>1547</v>
      </c>
      <c r="QR229">
        <v>62</v>
      </c>
      <c r="QS229">
        <v>62</v>
      </c>
      <c r="QT229" t="s">
        <v>2970</v>
      </c>
      <c r="QU229">
        <v>1</v>
      </c>
      <c r="QV229">
        <v>1552</v>
      </c>
      <c r="QW229">
        <v>82</v>
      </c>
      <c r="QX229" t="s">
        <v>587</v>
      </c>
      <c r="QY229" t="s">
        <v>1374</v>
      </c>
      <c r="QZ229">
        <v>3</v>
      </c>
      <c r="RA229">
        <v>66</v>
      </c>
      <c r="RB229">
        <v>66</v>
      </c>
      <c r="RE229">
        <v>0</v>
      </c>
      <c r="RF229">
        <v>1</v>
      </c>
      <c r="RH229">
        <v>1</v>
      </c>
      <c r="RJ229">
        <v>1</v>
      </c>
      <c r="RK229">
        <v>2</v>
      </c>
      <c r="RL229">
        <v>4</v>
      </c>
      <c r="RM229">
        <v>4</v>
      </c>
      <c r="RO229">
        <v>573</v>
      </c>
      <c r="RP229">
        <v>105</v>
      </c>
      <c r="RQ229">
        <v>694</v>
      </c>
      <c r="RR229">
        <v>505</v>
      </c>
      <c r="RT229">
        <v>382</v>
      </c>
      <c r="RU229">
        <v>198</v>
      </c>
      <c r="RV229" t="s">
        <v>801</v>
      </c>
      <c r="RW229" t="s">
        <v>599</v>
      </c>
      <c r="RX229">
        <v>15</v>
      </c>
      <c r="RY229">
        <v>4</v>
      </c>
      <c r="RZ229" t="s">
        <v>599</v>
      </c>
      <c r="SA229">
        <v>15</v>
      </c>
      <c r="SC229" t="s">
        <v>2969</v>
      </c>
      <c r="SD229">
        <v>1</v>
      </c>
      <c r="SF229" t="s">
        <v>2970</v>
      </c>
      <c r="SG229">
        <v>1</v>
      </c>
      <c r="SH229">
        <v>0.995</v>
      </c>
      <c r="SI229">
        <v>0.995</v>
      </c>
      <c r="SJ229">
        <v>0.995</v>
      </c>
      <c r="SK229">
        <v>15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1</v>
      </c>
      <c r="SZ229">
        <v>1</v>
      </c>
      <c r="TB229">
        <v>0</v>
      </c>
      <c r="TC229">
        <v>0</v>
      </c>
      <c r="TD229">
        <v>7.5</v>
      </c>
      <c r="TE229" t="s">
        <v>553</v>
      </c>
      <c r="TF229" t="s">
        <v>681</v>
      </c>
      <c r="TG229" t="s">
        <v>555</v>
      </c>
      <c r="TI229" t="s">
        <v>546</v>
      </c>
      <c r="TJ229" t="s">
        <v>547</v>
      </c>
      <c r="TL229" t="s">
        <v>2662</v>
      </c>
      <c r="TM229" t="s">
        <v>513</v>
      </c>
      <c r="TN229">
        <v>0</v>
      </c>
      <c r="TO229" t="s">
        <v>601</v>
      </c>
    </row>
    <row r="230" spans="1:535">
      <c r="A230" t="s">
        <v>2971</v>
      </c>
      <c r="B230" t="s">
        <v>804</v>
      </c>
      <c r="C230" t="s">
        <v>509</v>
      </c>
      <c r="D230" t="s">
        <v>2323</v>
      </c>
      <c r="G230" t="s">
        <v>1294</v>
      </c>
      <c r="I230" t="s">
        <v>562</v>
      </c>
      <c r="J230" t="s">
        <v>563</v>
      </c>
      <c r="L230" t="s">
        <v>512</v>
      </c>
      <c r="M230" t="s">
        <v>508</v>
      </c>
      <c r="N230" t="s">
        <v>513</v>
      </c>
      <c r="O230" t="s">
        <v>1255</v>
      </c>
      <c r="P230" t="s">
        <v>515</v>
      </c>
      <c r="Q230" t="s">
        <v>2972</v>
      </c>
      <c r="R230" t="s">
        <v>517</v>
      </c>
      <c r="S230" t="s">
        <v>1211</v>
      </c>
      <c r="T230" t="s">
        <v>965</v>
      </c>
      <c r="U230" t="s">
        <v>662</v>
      </c>
      <c r="V230" t="s">
        <v>663</v>
      </c>
      <c r="W230" t="s">
        <v>2647</v>
      </c>
      <c r="X230" t="s">
        <v>2657</v>
      </c>
      <c r="Y230" t="s">
        <v>524</v>
      </c>
      <c r="Z230" t="s">
        <v>2973</v>
      </c>
      <c r="AA230" t="s">
        <v>2974</v>
      </c>
      <c r="AB230" t="s">
        <v>2660</v>
      </c>
      <c r="AC230">
        <v>2</v>
      </c>
      <c r="AD230">
        <v>56</v>
      </c>
      <c r="AE230">
        <v>186</v>
      </c>
      <c r="AF230">
        <v>1.5</v>
      </c>
      <c r="AH230">
        <v>0</v>
      </c>
      <c r="AI230" t="s">
        <v>1331</v>
      </c>
      <c r="AJ230">
        <v>197.5</v>
      </c>
      <c r="AK230">
        <v>1</v>
      </c>
      <c r="AL230">
        <v>1.5</v>
      </c>
      <c r="AM230" t="s">
        <v>529</v>
      </c>
      <c r="AO230">
        <v>0</v>
      </c>
      <c r="AR230">
        <v>0</v>
      </c>
      <c r="AS230">
        <v>1.5</v>
      </c>
      <c r="AU230" t="s">
        <v>2975</v>
      </c>
      <c r="AW230" t="s">
        <v>2975</v>
      </c>
      <c r="AX230">
        <v>1</v>
      </c>
      <c r="AY230">
        <v>272.5</v>
      </c>
      <c r="AZ230">
        <v>1.5</v>
      </c>
      <c r="BA230" t="s">
        <v>529</v>
      </c>
      <c r="BB230" t="s">
        <v>2976</v>
      </c>
      <c r="BD230" t="s">
        <v>2976</v>
      </c>
      <c r="BE230">
        <v>1</v>
      </c>
      <c r="BF230">
        <v>227.5</v>
      </c>
      <c r="BG230">
        <v>1.5</v>
      </c>
      <c r="BJ230">
        <v>0</v>
      </c>
      <c r="BN230">
        <v>1.5</v>
      </c>
      <c r="BP230" t="s">
        <v>2977</v>
      </c>
      <c r="BQ230">
        <v>88</v>
      </c>
      <c r="BR230">
        <v>2</v>
      </c>
      <c r="BS230" t="s">
        <v>844</v>
      </c>
      <c r="BT230">
        <v>208</v>
      </c>
      <c r="BU230">
        <v>0.5</v>
      </c>
      <c r="BV230" t="s">
        <v>844</v>
      </c>
      <c r="BW230">
        <v>416</v>
      </c>
      <c r="BX230">
        <v>1</v>
      </c>
      <c r="BY230" t="s">
        <v>643</v>
      </c>
      <c r="BZ230">
        <v>290</v>
      </c>
      <c r="CA230">
        <v>450</v>
      </c>
      <c r="CB230" t="s">
        <v>672</v>
      </c>
      <c r="CC230" t="s">
        <v>672</v>
      </c>
      <c r="CD230">
        <v>384</v>
      </c>
      <c r="CE230" t="s">
        <v>673</v>
      </c>
      <c r="CF230">
        <v>15</v>
      </c>
      <c r="CG230" t="s">
        <v>1146</v>
      </c>
      <c r="CH230" t="s">
        <v>1146</v>
      </c>
      <c r="CI230">
        <v>80</v>
      </c>
      <c r="CJ230">
        <v>1381</v>
      </c>
      <c r="CK230">
        <v>2</v>
      </c>
      <c r="CL230">
        <v>1475</v>
      </c>
      <c r="CM230">
        <v>2</v>
      </c>
      <c r="CN230" t="s">
        <v>675</v>
      </c>
      <c r="CO230" t="s">
        <v>676</v>
      </c>
      <c r="CP230" t="s">
        <v>595</v>
      </c>
      <c r="CQ230" t="s">
        <v>621</v>
      </c>
      <c r="CR230" t="s">
        <v>541</v>
      </c>
      <c r="CS230" t="s">
        <v>542</v>
      </c>
      <c r="CT230">
        <v>395</v>
      </c>
      <c r="CU230">
        <v>5</v>
      </c>
      <c r="CV230">
        <v>1.2</v>
      </c>
      <c r="CW230">
        <v>1393</v>
      </c>
      <c r="CX230">
        <v>779</v>
      </c>
      <c r="DD230">
        <v>0</v>
      </c>
      <c r="DE230" t="s">
        <v>622</v>
      </c>
      <c r="DF230">
        <v>545</v>
      </c>
      <c r="DG230">
        <v>3</v>
      </c>
      <c r="DH230">
        <v>0.88</v>
      </c>
      <c r="DI230">
        <v>1390</v>
      </c>
      <c r="DJ230">
        <v>851</v>
      </c>
      <c r="DK230" t="s">
        <v>622</v>
      </c>
      <c r="DL230">
        <v>455</v>
      </c>
      <c r="DM230">
        <v>3</v>
      </c>
      <c r="DN230">
        <v>0.88</v>
      </c>
      <c r="DO230">
        <v>1396</v>
      </c>
      <c r="DP230">
        <v>699</v>
      </c>
      <c r="DW230" t="s">
        <v>544</v>
      </c>
      <c r="DX230">
        <v>7.5</v>
      </c>
      <c r="EA230">
        <v>1464.3</v>
      </c>
      <c r="EB230">
        <v>276</v>
      </c>
      <c r="EC230" t="s">
        <v>545</v>
      </c>
      <c r="ED230">
        <v>30</v>
      </c>
      <c r="EE230">
        <v>3</v>
      </c>
      <c r="EG230">
        <v>1505</v>
      </c>
      <c r="EH230">
        <v>178</v>
      </c>
      <c r="EJ230">
        <v>0</v>
      </c>
      <c r="EK230">
        <v>1</v>
      </c>
      <c r="EN230">
        <v>0</v>
      </c>
      <c r="EP230" t="s">
        <v>546</v>
      </c>
      <c r="EQ230">
        <v>100</v>
      </c>
      <c r="ER230">
        <v>3</v>
      </c>
      <c r="ES230">
        <v>5</v>
      </c>
      <c r="ET230">
        <v>1375</v>
      </c>
      <c r="EU230">
        <v>432.3</v>
      </c>
      <c r="EV230">
        <v>594</v>
      </c>
      <c r="EW230" t="s">
        <v>547</v>
      </c>
      <c r="EX230">
        <v>70</v>
      </c>
      <c r="EY230">
        <v>2</v>
      </c>
      <c r="EZ230">
        <v>4.5</v>
      </c>
      <c r="FA230">
        <v>1375</v>
      </c>
      <c r="FB230">
        <v>232.9</v>
      </c>
      <c r="FC230">
        <v>320</v>
      </c>
      <c r="FE230">
        <v>0</v>
      </c>
      <c r="FF230">
        <v>2</v>
      </c>
      <c r="FI230">
        <v>0</v>
      </c>
      <c r="FK230" t="s">
        <v>548</v>
      </c>
      <c r="FL230">
        <v>0.4</v>
      </c>
      <c r="FM230">
        <v>85</v>
      </c>
      <c r="FN230">
        <v>150</v>
      </c>
      <c r="GR230" t="s">
        <v>548</v>
      </c>
      <c r="GS230">
        <v>0.4</v>
      </c>
      <c r="GT230">
        <v>30</v>
      </c>
      <c r="GU230">
        <v>380</v>
      </c>
      <c r="GV230">
        <v>30</v>
      </c>
      <c r="GW230">
        <v>270</v>
      </c>
      <c r="HC230">
        <v>0.1</v>
      </c>
      <c r="HD230">
        <v>3</v>
      </c>
      <c r="HE230">
        <v>3</v>
      </c>
      <c r="HF230">
        <v>3</v>
      </c>
      <c r="HG230">
        <v>3</v>
      </c>
      <c r="HH230">
        <v>3</v>
      </c>
      <c r="HI230">
        <v>155</v>
      </c>
      <c r="HJ230">
        <v>3</v>
      </c>
      <c r="HK230">
        <v>55</v>
      </c>
      <c r="HL230">
        <v>2</v>
      </c>
      <c r="HM230">
        <v>0</v>
      </c>
      <c r="HN230">
        <v>2</v>
      </c>
      <c r="HO230">
        <v>85</v>
      </c>
      <c r="HP230">
        <v>3</v>
      </c>
      <c r="HQ230">
        <v>0</v>
      </c>
      <c r="HR230">
        <v>2</v>
      </c>
      <c r="HS230">
        <v>5065</v>
      </c>
      <c r="HT230">
        <v>150</v>
      </c>
      <c r="HU230">
        <v>180</v>
      </c>
      <c r="HW230">
        <v>0</v>
      </c>
      <c r="HX230">
        <v>435</v>
      </c>
      <c r="HY230">
        <v>0.18</v>
      </c>
      <c r="IA230">
        <v>0.15</v>
      </c>
      <c r="IB230">
        <v>0</v>
      </c>
      <c r="IC230">
        <v>180</v>
      </c>
      <c r="ID230">
        <v>110</v>
      </c>
      <c r="IE230">
        <v>225</v>
      </c>
      <c r="IF230">
        <v>0</v>
      </c>
      <c r="IH230" t="s">
        <v>549</v>
      </c>
      <c r="IO230">
        <v>3</v>
      </c>
      <c r="IP230">
        <v>18</v>
      </c>
      <c r="IQ230">
        <v>0</v>
      </c>
      <c r="IR230">
        <v>1</v>
      </c>
      <c r="IV230">
        <v>1381</v>
      </c>
      <c r="IW230">
        <v>416</v>
      </c>
      <c r="JA230">
        <v>1</v>
      </c>
      <c r="JB230">
        <v>0</v>
      </c>
      <c r="JC230">
        <v>2</v>
      </c>
      <c r="JD230">
        <v>1393</v>
      </c>
      <c r="JE230">
        <v>1390</v>
      </c>
      <c r="JF230">
        <v>1396</v>
      </c>
      <c r="JG230">
        <v>1375</v>
      </c>
      <c r="JH230">
        <v>0</v>
      </c>
      <c r="JJ230">
        <v>180</v>
      </c>
      <c r="JK230">
        <v>435</v>
      </c>
      <c r="JN230">
        <v>395</v>
      </c>
      <c r="JO230">
        <v>545</v>
      </c>
      <c r="JP230">
        <v>455</v>
      </c>
      <c r="JQ230">
        <v>0</v>
      </c>
      <c r="JR230">
        <v>372</v>
      </c>
      <c r="JS230">
        <v>155</v>
      </c>
      <c r="JV230">
        <v>8</v>
      </c>
      <c r="JW230" t="s">
        <v>550</v>
      </c>
      <c r="JX230">
        <v>0</v>
      </c>
      <c r="KA230">
        <v>225</v>
      </c>
      <c r="KB230">
        <v>110</v>
      </c>
      <c r="KC230">
        <v>0</v>
      </c>
      <c r="KD230">
        <v>80</v>
      </c>
      <c r="KF230">
        <v>4</v>
      </c>
      <c r="KG230">
        <v>2</v>
      </c>
      <c r="KH230">
        <v>2</v>
      </c>
      <c r="KI230">
        <v>2</v>
      </c>
      <c r="KJ230">
        <v>0</v>
      </c>
      <c r="KK230">
        <v>1.5</v>
      </c>
      <c r="KL230">
        <v>1.5</v>
      </c>
      <c r="KM230">
        <v>0</v>
      </c>
      <c r="KN230">
        <v>0</v>
      </c>
      <c r="KO230">
        <v>0</v>
      </c>
      <c r="KR230">
        <v>30</v>
      </c>
      <c r="KS230">
        <v>60</v>
      </c>
      <c r="KT230">
        <v>0</v>
      </c>
      <c r="LK230">
        <v>480</v>
      </c>
      <c r="PG230">
        <v>1</v>
      </c>
      <c r="PI230" t="s">
        <v>2660</v>
      </c>
      <c r="PJ230" t="s">
        <v>2975</v>
      </c>
      <c r="PK230" t="s">
        <v>2976</v>
      </c>
      <c r="PL230" t="s">
        <v>1331</v>
      </c>
      <c r="PP230" t="s">
        <v>2977</v>
      </c>
      <c r="PX230">
        <v>56</v>
      </c>
      <c r="PY230">
        <v>56</v>
      </c>
      <c r="PZ230" t="s">
        <v>2660</v>
      </c>
      <c r="QA230">
        <v>1</v>
      </c>
      <c r="QB230">
        <v>1375</v>
      </c>
      <c r="QC230">
        <v>69</v>
      </c>
      <c r="QD230">
        <v>69</v>
      </c>
      <c r="QE230" t="s">
        <v>1331</v>
      </c>
      <c r="QF230">
        <v>1</v>
      </c>
      <c r="QG230">
        <v>1393</v>
      </c>
      <c r="QH230">
        <v>66</v>
      </c>
      <c r="QI230">
        <v>66</v>
      </c>
      <c r="QL230">
        <v>0</v>
      </c>
      <c r="QM230">
        <v>62</v>
      </c>
      <c r="QN230">
        <v>62</v>
      </c>
      <c r="QO230" t="s">
        <v>2975</v>
      </c>
      <c r="QP230">
        <v>1</v>
      </c>
      <c r="QQ230">
        <v>1390</v>
      </c>
      <c r="QR230">
        <v>62</v>
      </c>
      <c r="QS230">
        <v>62</v>
      </c>
      <c r="QT230" t="s">
        <v>2976</v>
      </c>
      <c r="QU230">
        <v>1</v>
      </c>
      <c r="QV230">
        <v>1396</v>
      </c>
      <c r="QW230">
        <v>82</v>
      </c>
      <c r="QX230">
        <v>88</v>
      </c>
      <c r="QY230" t="s">
        <v>2977</v>
      </c>
      <c r="QZ230">
        <v>1</v>
      </c>
      <c r="RA230">
        <v>66</v>
      </c>
      <c r="RB230">
        <v>66</v>
      </c>
      <c r="RE230">
        <v>0</v>
      </c>
      <c r="RF230">
        <v>1</v>
      </c>
      <c r="RH230">
        <v>1</v>
      </c>
      <c r="RJ230">
        <v>1</v>
      </c>
      <c r="RL230">
        <v>4</v>
      </c>
      <c r="RM230">
        <v>4</v>
      </c>
      <c r="RO230">
        <v>559</v>
      </c>
      <c r="RQ230">
        <v>612</v>
      </c>
      <c r="RR230">
        <v>501</v>
      </c>
      <c r="RT230">
        <v>276</v>
      </c>
      <c r="RU230">
        <v>178</v>
      </c>
      <c r="RV230" t="s">
        <v>845</v>
      </c>
      <c r="RW230" t="s">
        <v>679</v>
      </c>
      <c r="RX230">
        <v>15</v>
      </c>
      <c r="RY230">
        <v>4</v>
      </c>
      <c r="RZ230" t="s">
        <v>679</v>
      </c>
      <c r="SA230">
        <v>15</v>
      </c>
      <c r="SC230" t="s">
        <v>2975</v>
      </c>
      <c r="SD230">
        <v>1</v>
      </c>
      <c r="SF230" t="s">
        <v>2976</v>
      </c>
      <c r="SG230">
        <v>1</v>
      </c>
      <c r="SH230">
        <v>0.995</v>
      </c>
      <c r="SI230">
        <v>0.995</v>
      </c>
      <c r="SJ230">
        <v>0.995</v>
      </c>
      <c r="SK230">
        <v>15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Z230">
        <v>1</v>
      </c>
      <c r="TB230">
        <v>0</v>
      </c>
      <c r="TC230">
        <v>0</v>
      </c>
      <c r="TD230">
        <v>7.5</v>
      </c>
      <c r="TE230" t="s">
        <v>553</v>
      </c>
      <c r="TF230" t="s">
        <v>655</v>
      </c>
      <c r="TG230" t="s">
        <v>555</v>
      </c>
      <c r="TI230" t="s">
        <v>546</v>
      </c>
      <c r="TJ230" t="s">
        <v>547</v>
      </c>
      <c r="TL230" t="s">
        <v>2662</v>
      </c>
      <c r="TM230" t="s">
        <v>513</v>
      </c>
      <c r="TN230">
        <v>0</v>
      </c>
      <c r="TO230" t="s">
        <v>557</v>
      </c>
    </row>
    <row r="231" spans="1:535">
      <c r="A231" t="s">
        <v>2978</v>
      </c>
      <c r="B231" t="s">
        <v>711</v>
      </c>
      <c r="C231" t="s">
        <v>509</v>
      </c>
      <c r="D231" t="s">
        <v>1150</v>
      </c>
      <c r="G231" t="s">
        <v>1294</v>
      </c>
      <c r="I231" t="s">
        <v>562</v>
      </c>
      <c r="J231" t="s">
        <v>563</v>
      </c>
      <c r="L231" t="s">
        <v>512</v>
      </c>
      <c r="M231" t="s">
        <v>804</v>
      </c>
      <c r="N231" t="s">
        <v>513</v>
      </c>
      <c r="O231" t="s">
        <v>1255</v>
      </c>
      <c r="P231" t="s">
        <v>515</v>
      </c>
      <c r="Q231" t="s">
        <v>2979</v>
      </c>
      <c r="R231" t="s">
        <v>517</v>
      </c>
      <c r="S231" t="s">
        <v>2980</v>
      </c>
      <c r="T231" t="s">
        <v>1138</v>
      </c>
      <c r="U231" t="s">
        <v>686</v>
      </c>
      <c r="V231" t="s">
        <v>687</v>
      </c>
      <c r="W231" t="s">
        <v>2607</v>
      </c>
      <c r="X231" t="s">
        <v>2657</v>
      </c>
      <c r="Y231" t="s">
        <v>524</v>
      </c>
      <c r="Z231" t="s">
        <v>2981</v>
      </c>
      <c r="AA231" t="s">
        <v>2982</v>
      </c>
      <c r="AB231" t="s">
        <v>2983</v>
      </c>
      <c r="AC231">
        <v>2</v>
      </c>
      <c r="AD231">
        <v>56</v>
      </c>
      <c r="AE231">
        <v>189</v>
      </c>
      <c r="AF231">
        <v>1.5</v>
      </c>
      <c r="AH231">
        <v>0</v>
      </c>
      <c r="AI231" t="s">
        <v>1021</v>
      </c>
      <c r="AJ231">
        <v>172.5</v>
      </c>
      <c r="AK231">
        <v>1</v>
      </c>
      <c r="AL231">
        <v>1.5</v>
      </c>
      <c r="AM231" t="s">
        <v>579</v>
      </c>
      <c r="AN231" t="s">
        <v>693</v>
      </c>
      <c r="AO231">
        <v>2</v>
      </c>
      <c r="AP231" t="s">
        <v>581</v>
      </c>
      <c r="AQ231" t="s">
        <v>582</v>
      </c>
      <c r="AR231">
        <v>211</v>
      </c>
      <c r="AS231">
        <v>1.5</v>
      </c>
      <c r="AT231" t="s">
        <v>583</v>
      </c>
      <c r="AV231" t="s">
        <v>2984</v>
      </c>
      <c r="AW231" t="s">
        <v>2984</v>
      </c>
      <c r="AX231">
        <v>1</v>
      </c>
      <c r="AY231">
        <v>240</v>
      </c>
      <c r="AZ231">
        <v>1.5</v>
      </c>
      <c r="BA231" t="s">
        <v>579</v>
      </c>
      <c r="BG231">
        <v>1.5</v>
      </c>
      <c r="BJ231">
        <v>0</v>
      </c>
      <c r="BN231">
        <v>1.5</v>
      </c>
      <c r="BP231" t="s">
        <v>1419</v>
      </c>
      <c r="BQ231">
        <v>88</v>
      </c>
      <c r="BR231">
        <v>2</v>
      </c>
      <c r="BS231" t="s">
        <v>1342</v>
      </c>
      <c r="BT231">
        <v>188</v>
      </c>
      <c r="BU231">
        <v>0.5</v>
      </c>
      <c r="BV231" t="s">
        <v>1342</v>
      </c>
      <c r="BW231">
        <v>376</v>
      </c>
      <c r="BX231">
        <v>1</v>
      </c>
      <c r="BY231" t="s">
        <v>698</v>
      </c>
      <c r="BZ231">
        <v>300</v>
      </c>
      <c r="CA231">
        <v>460</v>
      </c>
      <c r="CB231" t="s">
        <v>699</v>
      </c>
      <c r="CC231" t="s">
        <v>699</v>
      </c>
      <c r="CD231">
        <v>392</v>
      </c>
      <c r="CE231" t="s">
        <v>700</v>
      </c>
      <c r="CF231">
        <v>15</v>
      </c>
      <c r="CG231" t="s">
        <v>922</v>
      </c>
      <c r="CH231" t="s">
        <v>922</v>
      </c>
      <c r="CI231">
        <v>80</v>
      </c>
      <c r="CJ231">
        <v>1458</v>
      </c>
      <c r="CK231">
        <v>2</v>
      </c>
      <c r="CL231">
        <v>1552</v>
      </c>
      <c r="CM231">
        <v>2</v>
      </c>
      <c r="CN231" t="s">
        <v>702</v>
      </c>
      <c r="CO231" t="s">
        <v>676</v>
      </c>
      <c r="CP231" t="s">
        <v>703</v>
      </c>
      <c r="CQ231" t="s">
        <v>860</v>
      </c>
      <c r="CR231" t="s">
        <v>650</v>
      </c>
      <c r="CS231" t="s">
        <v>542</v>
      </c>
      <c r="CT231">
        <v>345</v>
      </c>
      <c r="CU231">
        <v>5</v>
      </c>
      <c r="CV231">
        <v>1.2</v>
      </c>
      <c r="CW231">
        <v>1475</v>
      </c>
      <c r="CX231">
        <v>720</v>
      </c>
      <c r="CY231" t="s">
        <v>705</v>
      </c>
      <c r="CZ231">
        <v>50</v>
      </c>
      <c r="DA231">
        <v>3</v>
      </c>
      <c r="DB231">
        <v>1</v>
      </c>
      <c r="DC231">
        <v>1475</v>
      </c>
      <c r="DD231">
        <v>77</v>
      </c>
      <c r="DE231" t="s">
        <v>543</v>
      </c>
      <c r="DF231">
        <v>480</v>
      </c>
      <c r="DG231">
        <v>3</v>
      </c>
      <c r="DH231">
        <v>1.18</v>
      </c>
      <c r="DI231">
        <v>1468</v>
      </c>
      <c r="DJ231">
        <v>1236</v>
      </c>
      <c r="DW231" t="s">
        <v>544</v>
      </c>
      <c r="DX231">
        <v>7.5</v>
      </c>
      <c r="EA231">
        <v>1540.9</v>
      </c>
      <c r="EB231">
        <v>272</v>
      </c>
      <c r="EC231" t="s">
        <v>545</v>
      </c>
      <c r="ED231">
        <v>25</v>
      </c>
      <c r="EE231">
        <v>3</v>
      </c>
      <c r="EG231">
        <v>1582</v>
      </c>
      <c r="EH231">
        <v>150</v>
      </c>
      <c r="EJ231">
        <v>0</v>
      </c>
      <c r="EK231">
        <v>1</v>
      </c>
      <c r="EN231">
        <v>0</v>
      </c>
      <c r="EP231" t="s">
        <v>546</v>
      </c>
      <c r="EQ231">
        <v>70</v>
      </c>
      <c r="ER231">
        <v>3</v>
      </c>
      <c r="ES231">
        <v>4.3</v>
      </c>
      <c r="ET231">
        <v>1447</v>
      </c>
      <c r="EU231">
        <v>257.4</v>
      </c>
      <c r="EV231">
        <v>372</v>
      </c>
      <c r="EW231" t="s">
        <v>547</v>
      </c>
      <c r="EX231">
        <v>45</v>
      </c>
      <c r="EY231">
        <v>2</v>
      </c>
      <c r="EZ231">
        <v>4.3</v>
      </c>
      <c r="FA231">
        <v>1447</v>
      </c>
      <c r="FB231">
        <v>140.3</v>
      </c>
      <c r="FC231">
        <v>203</v>
      </c>
      <c r="FE231">
        <v>0</v>
      </c>
      <c r="FF231">
        <v>2</v>
      </c>
      <c r="FI231">
        <v>0</v>
      </c>
      <c r="FK231" t="s">
        <v>548</v>
      </c>
      <c r="FL231">
        <v>0.4</v>
      </c>
      <c r="FM231">
        <v>60</v>
      </c>
      <c r="FN231">
        <v>310</v>
      </c>
      <c r="FO231">
        <v>50</v>
      </c>
      <c r="FP231">
        <v>160</v>
      </c>
      <c r="FR231" t="s">
        <v>548</v>
      </c>
      <c r="FS231">
        <v>0.4</v>
      </c>
      <c r="FT231">
        <v>30</v>
      </c>
      <c r="FU231">
        <v>340</v>
      </c>
      <c r="FY231" t="s">
        <v>651</v>
      </c>
      <c r="FZ231">
        <v>1.6</v>
      </c>
      <c r="GA231">
        <v>20</v>
      </c>
      <c r="GB231">
        <v>186</v>
      </c>
      <c r="GG231" t="s">
        <v>651</v>
      </c>
      <c r="GH231">
        <v>1.6</v>
      </c>
      <c r="GI231">
        <v>20</v>
      </c>
      <c r="GJ231">
        <v>186</v>
      </c>
      <c r="HC231">
        <v>0.1</v>
      </c>
      <c r="HD231">
        <v>3</v>
      </c>
      <c r="HE231">
        <v>3</v>
      </c>
      <c r="HF231">
        <v>3</v>
      </c>
      <c r="HG231">
        <v>3</v>
      </c>
      <c r="HH231">
        <v>3</v>
      </c>
      <c r="HI231">
        <v>100</v>
      </c>
      <c r="HJ231">
        <v>3</v>
      </c>
      <c r="HK231">
        <v>30</v>
      </c>
      <c r="HL231">
        <v>2</v>
      </c>
      <c r="HM231">
        <v>0</v>
      </c>
      <c r="HN231">
        <v>2</v>
      </c>
      <c r="HO231">
        <v>55</v>
      </c>
      <c r="HP231">
        <v>3</v>
      </c>
      <c r="HQ231">
        <v>0</v>
      </c>
      <c r="HR231">
        <v>2</v>
      </c>
      <c r="HS231">
        <v>4104</v>
      </c>
      <c r="HT231">
        <v>120</v>
      </c>
      <c r="HU231">
        <v>180</v>
      </c>
      <c r="HW231">
        <v>0</v>
      </c>
      <c r="HX231">
        <v>385</v>
      </c>
      <c r="HY231">
        <v>0.18</v>
      </c>
      <c r="IA231">
        <v>0.15</v>
      </c>
      <c r="IB231">
        <v>0</v>
      </c>
      <c r="IC231">
        <v>180</v>
      </c>
      <c r="ID231">
        <v>110</v>
      </c>
      <c r="IE231">
        <v>0</v>
      </c>
      <c r="IF231">
        <v>0</v>
      </c>
      <c r="IH231" t="s">
        <v>549</v>
      </c>
      <c r="IO231">
        <v>1</v>
      </c>
      <c r="IP231">
        <v>19</v>
      </c>
      <c r="IQ231">
        <v>0</v>
      </c>
      <c r="IR231">
        <v>0</v>
      </c>
      <c r="IV231">
        <v>1458</v>
      </c>
      <c r="IW231">
        <v>376</v>
      </c>
      <c r="IY231">
        <v>290</v>
      </c>
      <c r="JA231">
        <v>1</v>
      </c>
      <c r="JB231">
        <v>0</v>
      </c>
      <c r="JC231">
        <v>2</v>
      </c>
      <c r="JD231">
        <v>1475</v>
      </c>
      <c r="JE231">
        <v>1468</v>
      </c>
      <c r="JF231">
        <v>0</v>
      </c>
      <c r="JG231">
        <v>1447</v>
      </c>
      <c r="JH231">
        <v>0</v>
      </c>
      <c r="JJ231">
        <v>180</v>
      </c>
      <c r="JK231">
        <v>385</v>
      </c>
      <c r="JN231">
        <v>345</v>
      </c>
      <c r="JO231">
        <v>480</v>
      </c>
      <c r="JP231">
        <v>0</v>
      </c>
      <c r="JQ231">
        <v>0</v>
      </c>
      <c r="JR231">
        <v>378</v>
      </c>
      <c r="JS231">
        <v>100</v>
      </c>
      <c r="JV231">
        <v>8</v>
      </c>
      <c r="JW231" t="s">
        <v>550</v>
      </c>
      <c r="JX231">
        <v>422</v>
      </c>
      <c r="KA231">
        <v>0</v>
      </c>
      <c r="KB231">
        <v>110</v>
      </c>
      <c r="KC231">
        <v>0</v>
      </c>
      <c r="KD231">
        <v>80</v>
      </c>
      <c r="KF231">
        <v>4</v>
      </c>
      <c r="KG231">
        <v>2</v>
      </c>
      <c r="KH231">
        <v>2</v>
      </c>
      <c r="KI231">
        <v>2</v>
      </c>
      <c r="KJ231">
        <v>0</v>
      </c>
      <c r="KK231">
        <v>1.5</v>
      </c>
      <c r="KL231">
        <v>1.5</v>
      </c>
      <c r="KM231">
        <v>0</v>
      </c>
      <c r="KN231">
        <v>0</v>
      </c>
      <c r="KO231">
        <v>0</v>
      </c>
      <c r="KR231">
        <v>50</v>
      </c>
      <c r="KS231">
        <v>60</v>
      </c>
      <c r="KT231">
        <v>0</v>
      </c>
      <c r="LK231">
        <v>480</v>
      </c>
      <c r="PG231">
        <v>1</v>
      </c>
      <c r="PI231" t="s">
        <v>2983</v>
      </c>
      <c r="PJ231" t="s">
        <v>2984</v>
      </c>
      <c r="PL231" t="s">
        <v>1021</v>
      </c>
      <c r="PP231" t="s">
        <v>1419</v>
      </c>
      <c r="PS231" t="s">
        <v>693</v>
      </c>
      <c r="PX231">
        <v>56</v>
      </c>
      <c r="PY231">
        <v>56</v>
      </c>
      <c r="PZ231" t="s">
        <v>2983</v>
      </c>
      <c r="QA231">
        <v>1</v>
      </c>
      <c r="QB231">
        <v>1447</v>
      </c>
      <c r="QC231">
        <v>69</v>
      </c>
      <c r="QD231">
        <v>69</v>
      </c>
      <c r="QE231" t="s">
        <v>1021</v>
      </c>
      <c r="QF231">
        <v>1</v>
      </c>
      <c r="QG231">
        <v>1475</v>
      </c>
      <c r="QH231">
        <v>66</v>
      </c>
      <c r="QI231">
        <v>66</v>
      </c>
      <c r="QJ231" t="s">
        <v>693</v>
      </c>
      <c r="QK231">
        <v>1</v>
      </c>
      <c r="QL231">
        <v>1475</v>
      </c>
      <c r="QM231">
        <v>63</v>
      </c>
      <c r="QN231">
        <v>63</v>
      </c>
      <c r="QO231" t="s">
        <v>2984</v>
      </c>
      <c r="QP231">
        <v>1</v>
      </c>
      <c r="QQ231">
        <v>1468</v>
      </c>
      <c r="QW231">
        <v>82</v>
      </c>
      <c r="QX231">
        <v>88</v>
      </c>
      <c r="QY231" t="s">
        <v>1419</v>
      </c>
      <c r="QZ231">
        <v>1</v>
      </c>
      <c r="RA231">
        <v>66</v>
      </c>
      <c r="RB231">
        <v>66</v>
      </c>
      <c r="RE231">
        <v>0</v>
      </c>
      <c r="RG231">
        <v>1</v>
      </c>
      <c r="RJ231">
        <v>1</v>
      </c>
      <c r="RK231">
        <v>2</v>
      </c>
      <c r="RL231">
        <v>2</v>
      </c>
      <c r="RO231">
        <v>488</v>
      </c>
      <c r="RP231">
        <v>105</v>
      </c>
      <c r="RQ231">
        <v>842</v>
      </c>
      <c r="RT231">
        <v>272</v>
      </c>
      <c r="RU231">
        <v>150</v>
      </c>
      <c r="RV231" t="s">
        <v>1344</v>
      </c>
      <c r="RW231" t="s">
        <v>707</v>
      </c>
      <c r="RX231">
        <v>15</v>
      </c>
      <c r="RY231">
        <v>4</v>
      </c>
      <c r="RZ231" t="s">
        <v>707</v>
      </c>
      <c r="SA231">
        <v>15</v>
      </c>
      <c r="SB231" t="s">
        <v>2985</v>
      </c>
      <c r="SC231" t="s">
        <v>2985</v>
      </c>
      <c r="SD231">
        <v>1</v>
      </c>
      <c r="SH231">
        <v>0.995</v>
      </c>
      <c r="SI231">
        <v>0.995</v>
      </c>
      <c r="SJ231">
        <v>0.995</v>
      </c>
      <c r="SK231">
        <v>15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1</v>
      </c>
      <c r="TB231">
        <v>0</v>
      </c>
      <c r="TC231">
        <v>0</v>
      </c>
      <c r="TD231">
        <v>7.5</v>
      </c>
      <c r="TE231" t="s">
        <v>553</v>
      </c>
      <c r="TF231" t="s">
        <v>624</v>
      </c>
      <c r="TG231" t="s">
        <v>555</v>
      </c>
      <c r="TI231" t="s">
        <v>546</v>
      </c>
      <c r="TJ231" t="s">
        <v>547</v>
      </c>
      <c r="TL231" t="s">
        <v>2662</v>
      </c>
      <c r="TM231" t="s">
        <v>513</v>
      </c>
      <c r="TN231">
        <v>0</v>
      </c>
      <c r="TO231" t="s">
        <v>557</v>
      </c>
    </row>
    <row r="232" spans="1:535">
      <c r="A232" t="s">
        <v>2986</v>
      </c>
      <c r="B232" t="s">
        <v>804</v>
      </c>
      <c r="C232" t="s">
        <v>509</v>
      </c>
      <c r="D232" t="s">
        <v>2782</v>
      </c>
      <c r="G232" t="s">
        <v>1294</v>
      </c>
      <c r="I232" t="s">
        <v>562</v>
      </c>
      <c r="J232" t="s">
        <v>563</v>
      </c>
      <c r="L232" t="s">
        <v>512</v>
      </c>
      <c r="M232" t="s">
        <v>508</v>
      </c>
      <c r="N232" t="s">
        <v>513</v>
      </c>
      <c r="O232" t="s">
        <v>1255</v>
      </c>
      <c r="P232" t="s">
        <v>515</v>
      </c>
      <c r="Q232" t="s">
        <v>2987</v>
      </c>
      <c r="R232" t="s">
        <v>517</v>
      </c>
      <c r="S232" t="s">
        <v>2066</v>
      </c>
      <c r="T232" t="s">
        <v>1043</v>
      </c>
      <c r="U232" t="s">
        <v>570</v>
      </c>
      <c r="V232" t="s">
        <v>571</v>
      </c>
      <c r="W232" t="s">
        <v>2809</v>
      </c>
      <c r="X232" t="s">
        <v>2657</v>
      </c>
      <c r="Y232" t="s">
        <v>574</v>
      </c>
      <c r="Z232" t="s">
        <v>2988</v>
      </c>
      <c r="AA232" t="s">
        <v>2989</v>
      </c>
      <c r="AB232" t="s">
        <v>2990</v>
      </c>
      <c r="AC232">
        <v>2</v>
      </c>
      <c r="AD232">
        <v>56</v>
      </c>
      <c r="AE232">
        <v>242</v>
      </c>
      <c r="AF232">
        <v>1.5</v>
      </c>
      <c r="AH232">
        <v>0</v>
      </c>
      <c r="AI232" t="s">
        <v>2071</v>
      </c>
      <c r="AJ232">
        <v>220</v>
      </c>
      <c r="AK232">
        <v>1</v>
      </c>
      <c r="AL232">
        <v>1.5</v>
      </c>
      <c r="AM232" t="s">
        <v>579</v>
      </c>
      <c r="AN232" t="s">
        <v>693</v>
      </c>
      <c r="AO232">
        <v>2</v>
      </c>
      <c r="AP232" t="s">
        <v>581</v>
      </c>
      <c r="AQ232" t="s">
        <v>582</v>
      </c>
      <c r="AR232">
        <v>258</v>
      </c>
      <c r="AS232">
        <v>1.5</v>
      </c>
      <c r="AT232" t="s">
        <v>583</v>
      </c>
      <c r="AU232" t="s">
        <v>2991</v>
      </c>
      <c r="AW232" t="s">
        <v>2991</v>
      </c>
      <c r="AX232">
        <v>1</v>
      </c>
      <c r="AY232">
        <v>315</v>
      </c>
      <c r="AZ232">
        <v>1.5</v>
      </c>
      <c r="BA232" t="s">
        <v>579</v>
      </c>
      <c r="BB232" t="s">
        <v>2992</v>
      </c>
      <c r="BD232" t="s">
        <v>2992</v>
      </c>
      <c r="BE232">
        <v>1</v>
      </c>
      <c r="BF232">
        <v>262.5</v>
      </c>
      <c r="BG232">
        <v>1.5</v>
      </c>
      <c r="BJ232">
        <v>0</v>
      </c>
      <c r="BN232">
        <v>1.5</v>
      </c>
      <c r="BP232" t="s">
        <v>2260</v>
      </c>
      <c r="BQ232" t="s">
        <v>587</v>
      </c>
      <c r="BR232">
        <v>2</v>
      </c>
      <c r="BS232" t="s">
        <v>799</v>
      </c>
      <c r="BT232">
        <v>239</v>
      </c>
      <c r="BU232">
        <v>0.5</v>
      </c>
      <c r="BV232" t="s">
        <v>799</v>
      </c>
      <c r="BW232">
        <v>478</v>
      </c>
      <c r="BX232">
        <v>1</v>
      </c>
      <c r="BY232" t="s">
        <v>589</v>
      </c>
      <c r="BZ232">
        <v>470</v>
      </c>
      <c r="CA232">
        <v>550</v>
      </c>
      <c r="CB232" t="s">
        <v>590</v>
      </c>
      <c r="CC232" t="s">
        <v>590</v>
      </c>
      <c r="CD232">
        <v>498</v>
      </c>
      <c r="CE232" t="s">
        <v>591</v>
      </c>
      <c r="CF232">
        <v>15</v>
      </c>
      <c r="CG232" t="s">
        <v>2950</v>
      </c>
      <c r="CH232" t="s">
        <v>2950</v>
      </c>
      <c r="CI232">
        <v>40</v>
      </c>
      <c r="CJ232">
        <v>1538</v>
      </c>
      <c r="CK232">
        <v>2</v>
      </c>
      <c r="CL232">
        <v>1632</v>
      </c>
      <c r="CM232">
        <v>2</v>
      </c>
      <c r="CN232" t="s">
        <v>593</v>
      </c>
      <c r="CO232" t="s">
        <v>594</v>
      </c>
      <c r="CP232" t="s">
        <v>595</v>
      </c>
      <c r="CQ232" t="s">
        <v>596</v>
      </c>
      <c r="CR232" t="s">
        <v>541</v>
      </c>
      <c r="CS232" t="s">
        <v>542</v>
      </c>
      <c r="CT232">
        <v>440</v>
      </c>
      <c r="CU232">
        <v>5</v>
      </c>
      <c r="CV232">
        <v>1.2</v>
      </c>
      <c r="CW232">
        <v>1554</v>
      </c>
      <c r="CX232">
        <v>968</v>
      </c>
      <c r="CY232" t="s">
        <v>705</v>
      </c>
      <c r="CZ232">
        <v>50</v>
      </c>
      <c r="DA232">
        <v>3</v>
      </c>
      <c r="DB232">
        <v>1</v>
      </c>
      <c r="DC232">
        <v>1554</v>
      </c>
      <c r="DD232">
        <v>82</v>
      </c>
      <c r="DE232" t="s">
        <v>622</v>
      </c>
      <c r="DF232">
        <v>630</v>
      </c>
      <c r="DG232">
        <v>3</v>
      </c>
      <c r="DH232">
        <v>0.88</v>
      </c>
      <c r="DI232">
        <v>1547</v>
      </c>
      <c r="DJ232">
        <v>1145</v>
      </c>
      <c r="DK232" t="s">
        <v>622</v>
      </c>
      <c r="DL232">
        <v>525</v>
      </c>
      <c r="DM232">
        <v>3</v>
      </c>
      <c r="DN232">
        <v>0.88</v>
      </c>
      <c r="DO232">
        <v>1552</v>
      </c>
      <c r="DP232">
        <v>885</v>
      </c>
      <c r="DW232" t="s">
        <v>544</v>
      </c>
      <c r="DX232">
        <v>7.5</v>
      </c>
      <c r="EA232">
        <v>1623.8</v>
      </c>
      <c r="EB232">
        <v>382</v>
      </c>
      <c r="EC232" t="s">
        <v>545</v>
      </c>
      <c r="ED232">
        <v>35</v>
      </c>
      <c r="EE232">
        <v>3</v>
      </c>
      <c r="EG232">
        <v>1675</v>
      </c>
      <c r="EH232">
        <v>235</v>
      </c>
      <c r="EJ232">
        <v>0</v>
      </c>
      <c r="EK232">
        <v>1</v>
      </c>
      <c r="EN232">
        <v>0</v>
      </c>
      <c r="EP232" t="s">
        <v>546</v>
      </c>
      <c r="EQ232">
        <v>130</v>
      </c>
      <c r="ER232">
        <v>3</v>
      </c>
      <c r="ES232">
        <v>5.5</v>
      </c>
      <c r="ET232">
        <v>1534</v>
      </c>
      <c r="EU232">
        <v>626.6</v>
      </c>
      <c r="EV232">
        <v>961</v>
      </c>
      <c r="EW232" t="s">
        <v>547</v>
      </c>
      <c r="EX232">
        <v>45</v>
      </c>
      <c r="EY232">
        <v>2</v>
      </c>
      <c r="EZ232">
        <v>4.5</v>
      </c>
      <c r="FA232">
        <v>1534</v>
      </c>
      <c r="FB232">
        <v>149.4</v>
      </c>
      <c r="FC232">
        <v>229</v>
      </c>
      <c r="FE232">
        <v>0</v>
      </c>
      <c r="FF232">
        <v>2</v>
      </c>
      <c r="FI232">
        <v>0</v>
      </c>
      <c r="FK232" t="s">
        <v>548</v>
      </c>
      <c r="FL232">
        <v>0.4</v>
      </c>
      <c r="FM232">
        <v>65</v>
      </c>
      <c r="FN232">
        <v>410</v>
      </c>
      <c r="FO232">
        <v>70</v>
      </c>
      <c r="FP232">
        <v>160</v>
      </c>
      <c r="GR232" t="s">
        <v>548</v>
      </c>
      <c r="GS232">
        <v>0.4</v>
      </c>
      <c r="GT232">
        <v>30</v>
      </c>
      <c r="GU232">
        <v>440</v>
      </c>
      <c r="GV232">
        <v>30</v>
      </c>
      <c r="GW232">
        <v>300</v>
      </c>
      <c r="HC232">
        <v>0.1</v>
      </c>
      <c r="HD232">
        <v>3</v>
      </c>
      <c r="HE232">
        <v>3</v>
      </c>
      <c r="HF232">
        <v>3</v>
      </c>
      <c r="HG232">
        <v>3</v>
      </c>
      <c r="HH232">
        <v>3</v>
      </c>
      <c r="HI232">
        <v>160</v>
      </c>
      <c r="HJ232">
        <v>3</v>
      </c>
      <c r="HK232">
        <v>30</v>
      </c>
      <c r="HL232">
        <v>2</v>
      </c>
      <c r="HM232">
        <v>0</v>
      </c>
      <c r="HN232">
        <v>2</v>
      </c>
      <c r="HO232">
        <v>115</v>
      </c>
      <c r="HP232">
        <v>3</v>
      </c>
      <c r="HQ232">
        <v>0</v>
      </c>
      <c r="HR232">
        <v>2</v>
      </c>
      <c r="HS232">
        <v>6776</v>
      </c>
      <c r="HT232">
        <v>200</v>
      </c>
      <c r="HU232">
        <v>180</v>
      </c>
      <c r="HW232">
        <v>0</v>
      </c>
      <c r="HX232">
        <v>480</v>
      </c>
      <c r="HY232">
        <v>0.18</v>
      </c>
      <c r="IA232">
        <v>0.15</v>
      </c>
      <c r="IB232">
        <v>0</v>
      </c>
      <c r="IC232">
        <v>180</v>
      </c>
      <c r="ID232">
        <v>110</v>
      </c>
      <c r="IE232">
        <v>225</v>
      </c>
      <c r="IF232">
        <v>0</v>
      </c>
      <c r="IH232" t="s">
        <v>549</v>
      </c>
      <c r="IO232">
        <v>3</v>
      </c>
      <c r="IP232">
        <v>20</v>
      </c>
      <c r="IQ232">
        <v>0</v>
      </c>
      <c r="IR232">
        <v>0</v>
      </c>
      <c r="IV232">
        <v>1538</v>
      </c>
      <c r="IW232">
        <v>478</v>
      </c>
      <c r="JA232">
        <v>1</v>
      </c>
      <c r="JB232">
        <v>0</v>
      </c>
      <c r="JC232">
        <v>2</v>
      </c>
      <c r="JD232">
        <v>1554</v>
      </c>
      <c r="JE232">
        <v>1547</v>
      </c>
      <c r="JF232">
        <v>1552</v>
      </c>
      <c r="JG232">
        <v>1534</v>
      </c>
      <c r="JH232">
        <v>0</v>
      </c>
      <c r="JJ232">
        <v>180</v>
      </c>
      <c r="JK232">
        <v>480</v>
      </c>
      <c r="JN232">
        <v>440</v>
      </c>
      <c r="JO232">
        <v>630</v>
      </c>
      <c r="JP232">
        <v>525</v>
      </c>
      <c r="JQ232">
        <v>0</v>
      </c>
      <c r="JR232">
        <v>484</v>
      </c>
      <c r="JS232">
        <v>160</v>
      </c>
      <c r="JV232">
        <v>8</v>
      </c>
      <c r="JW232" t="s">
        <v>550</v>
      </c>
      <c r="JX232">
        <v>516</v>
      </c>
      <c r="KA232">
        <v>225</v>
      </c>
      <c r="KB232">
        <v>110</v>
      </c>
      <c r="KC232">
        <v>0</v>
      </c>
      <c r="KD232">
        <v>80</v>
      </c>
      <c r="KF232">
        <v>4</v>
      </c>
      <c r="KG232">
        <v>2</v>
      </c>
      <c r="KH232">
        <v>2</v>
      </c>
      <c r="KI232">
        <v>2</v>
      </c>
      <c r="KJ232">
        <v>0</v>
      </c>
      <c r="KK232">
        <v>1.5</v>
      </c>
      <c r="KL232">
        <v>1.5</v>
      </c>
      <c r="KM232">
        <v>0</v>
      </c>
      <c r="KN232">
        <v>0</v>
      </c>
      <c r="KO232">
        <v>0</v>
      </c>
      <c r="KR232">
        <v>30</v>
      </c>
      <c r="KS232">
        <v>60</v>
      </c>
      <c r="KT232">
        <v>0</v>
      </c>
      <c r="LK232">
        <v>480</v>
      </c>
      <c r="PG232">
        <v>1</v>
      </c>
      <c r="PI232" t="s">
        <v>2990</v>
      </c>
      <c r="PJ232" t="s">
        <v>2991</v>
      </c>
      <c r="PK232" t="s">
        <v>2992</v>
      </c>
      <c r="PL232" t="s">
        <v>2071</v>
      </c>
      <c r="PP232" t="s">
        <v>2260</v>
      </c>
      <c r="PS232" t="s">
        <v>693</v>
      </c>
      <c r="PX232">
        <v>56</v>
      </c>
      <c r="PY232">
        <v>56</v>
      </c>
      <c r="PZ232" t="s">
        <v>2990</v>
      </c>
      <c r="QA232">
        <v>1</v>
      </c>
      <c r="QB232">
        <v>1534</v>
      </c>
      <c r="QC232">
        <v>69</v>
      </c>
      <c r="QD232">
        <v>69</v>
      </c>
      <c r="QE232" t="s">
        <v>2071</v>
      </c>
      <c r="QF232">
        <v>1</v>
      </c>
      <c r="QG232">
        <v>1554</v>
      </c>
      <c r="QH232">
        <v>66</v>
      </c>
      <c r="QI232">
        <v>66</v>
      </c>
      <c r="QJ232" t="s">
        <v>693</v>
      </c>
      <c r="QK232">
        <v>1</v>
      </c>
      <c r="QL232">
        <v>1554</v>
      </c>
      <c r="QM232">
        <v>62</v>
      </c>
      <c r="QN232">
        <v>62</v>
      </c>
      <c r="QO232" t="s">
        <v>2991</v>
      </c>
      <c r="QP232">
        <v>1</v>
      </c>
      <c r="QQ232">
        <v>1547</v>
      </c>
      <c r="QR232">
        <v>62</v>
      </c>
      <c r="QS232">
        <v>62</v>
      </c>
      <c r="QT232" t="s">
        <v>2992</v>
      </c>
      <c r="QU232">
        <v>1</v>
      </c>
      <c r="QV232">
        <v>1552</v>
      </c>
      <c r="QW232">
        <v>82</v>
      </c>
      <c r="QX232" t="s">
        <v>587</v>
      </c>
      <c r="QY232" t="s">
        <v>2260</v>
      </c>
      <c r="QZ232">
        <v>3</v>
      </c>
      <c r="RA232">
        <v>66</v>
      </c>
      <c r="RB232">
        <v>66</v>
      </c>
      <c r="RE232">
        <v>0</v>
      </c>
      <c r="RF232">
        <v>1</v>
      </c>
      <c r="RH232">
        <v>1</v>
      </c>
      <c r="RJ232">
        <v>1</v>
      </c>
      <c r="RK232">
        <v>2</v>
      </c>
      <c r="RL232">
        <v>4</v>
      </c>
      <c r="RM232">
        <v>4</v>
      </c>
      <c r="RO232">
        <v>623</v>
      </c>
      <c r="RP232">
        <v>105</v>
      </c>
      <c r="RQ232">
        <v>740</v>
      </c>
      <c r="RR232">
        <v>570</v>
      </c>
      <c r="RT232">
        <v>382</v>
      </c>
      <c r="RU232">
        <v>235</v>
      </c>
      <c r="RV232" t="s">
        <v>801</v>
      </c>
      <c r="RW232" t="s">
        <v>599</v>
      </c>
      <c r="RX232">
        <v>15</v>
      </c>
      <c r="RY232">
        <v>4</v>
      </c>
      <c r="RZ232" t="s">
        <v>599</v>
      </c>
      <c r="SA232">
        <v>15</v>
      </c>
      <c r="SC232" t="s">
        <v>2991</v>
      </c>
      <c r="SD232">
        <v>1</v>
      </c>
      <c r="SF232" t="s">
        <v>2992</v>
      </c>
      <c r="SG232">
        <v>1</v>
      </c>
      <c r="SH232">
        <v>0.995</v>
      </c>
      <c r="SI232">
        <v>0.995</v>
      </c>
      <c r="SJ232">
        <v>0.995</v>
      </c>
      <c r="SK232">
        <v>15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1</v>
      </c>
      <c r="SZ232">
        <v>1</v>
      </c>
      <c r="TB232">
        <v>0</v>
      </c>
      <c r="TC232">
        <v>0</v>
      </c>
      <c r="TD232">
        <v>7.5</v>
      </c>
      <c r="TE232" t="s">
        <v>553</v>
      </c>
      <c r="TF232" t="s">
        <v>681</v>
      </c>
      <c r="TG232" t="s">
        <v>555</v>
      </c>
      <c r="TI232" t="s">
        <v>546</v>
      </c>
      <c r="TJ232" t="s">
        <v>547</v>
      </c>
      <c r="TL232" t="s">
        <v>2662</v>
      </c>
      <c r="TM232" t="s">
        <v>513</v>
      </c>
      <c r="TN232">
        <v>0</v>
      </c>
      <c r="TO232" t="s">
        <v>601</v>
      </c>
    </row>
    <row r="233" spans="1:535">
      <c r="A233" t="s">
        <v>2993</v>
      </c>
      <c r="B233" t="s">
        <v>711</v>
      </c>
      <c r="C233" t="s">
        <v>509</v>
      </c>
      <c r="D233" t="s">
        <v>2994</v>
      </c>
      <c r="G233" t="s">
        <v>1135</v>
      </c>
      <c r="I233" t="s">
        <v>562</v>
      </c>
      <c r="J233" t="s">
        <v>563</v>
      </c>
      <c r="L233" t="s">
        <v>512</v>
      </c>
      <c r="M233" t="s">
        <v>804</v>
      </c>
      <c r="N233" t="s">
        <v>513</v>
      </c>
      <c r="O233" t="s">
        <v>565</v>
      </c>
      <c r="Q233" t="s">
        <v>2995</v>
      </c>
      <c r="R233" t="s">
        <v>517</v>
      </c>
      <c r="S233" t="s">
        <v>1028</v>
      </c>
      <c r="T233" t="s">
        <v>1029</v>
      </c>
      <c r="U233" t="s">
        <v>662</v>
      </c>
      <c r="V233" t="s">
        <v>663</v>
      </c>
      <c r="W233" t="s">
        <v>2607</v>
      </c>
      <c r="X233" t="s">
        <v>2657</v>
      </c>
      <c r="Y233" t="s">
        <v>524</v>
      </c>
      <c r="Z233" t="s">
        <v>2996</v>
      </c>
      <c r="AA233" t="s">
        <v>2997</v>
      </c>
      <c r="AB233" t="s">
        <v>2998</v>
      </c>
      <c r="AC233">
        <v>2</v>
      </c>
      <c r="AD233">
        <v>57</v>
      </c>
      <c r="AE233">
        <v>167</v>
      </c>
      <c r="AF233">
        <v>1.5</v>
      </c>
      <c r="AH233">
        <v>0</v>
      </c>
      <c r="AI233" t="s">
        <v>734</v>
      </c>
      <c r="AJ233">
        <v>180</v>
      </c>
      <c r="AK233">
        <v>1</v>
      </c>
      <c r="AL233">
        <v>1.5</v>
      </c>
      <c r="AM233" t="s">
        <v>529</v>
      </c>
      <c r="AO233">
        <v>0</v>
      </c>
      <c r="AR233">
        <v>0</v>
      </c>
      <c r="AS233">
        <v>1.5</v>
      </c>
      <c r="AV233" t="s">
        <v>2999</v>
      </c>
      <c r="AW233" t="s">
        <v>2999</v>
      </c>
      <c r="AX233">
        <v>1</v>
      </c>
      <c r="AY233">
        <v>245</v>
      </c>
      <c r="AZ233">
        <v>1.5</v>
      </c>
      <c r="BA233" t="s">
        <v>529</v>
      </c>
      <c r="BG233">
        <v>1.5</v>
      </c>
      <c r="BJ233">
        <v>0</v>
      </c>
      <c r="BN233">
        <v>1.5</v>
      </c>
      <c r="BP233" t="s">
        <v>2906</v>
      </c>
      <c r="BQ233">
        <v>82</v>
      </c>
      <c r="BR233">
        <v>2</v>
      </c>
      <c r="BS233" t="s">
        <v>2149</v>
      </c>
      <c r="BT233">
        <v>190</v>
      </c>
      <c r="BU233">
        <v>0.5</v>
      </c>
      <c r="BV233" t="s">
        <v>2149</v>
      </c>
      <c r="BW233">
        <v>380</v>
      </c>
      <c r="BX233">
        <v>1</v>
      </c>
      <c r="BY233" t="s">
        <v>643</v>
      </c>
      <c r="BZ233">
        <v>290</v>
      </c>
      <c r="CA233">
        <v>450</v>
      </c>
      <c r="CB233" t="s">
        <v>672</v>
      </c>
      <c r="CC233" t="s">
        <v>672</v>
      </c>
      <c r="CD233">
        <v>396</v>
      </c>
      <c r="CE233" t="s">
        <v>673</v>
      </c>
      <c r="CF233">
        <v>15</v>
      </c>
      <c r="CG233" t="s">
        <v>1146</v>
      </c>
      <c r="CH233" t="s">
        <v>1146</v>
      </c>
      <c r="CI233">
        <v>80</v>
      </c>
      <c r="CJ233">
        <v>1381</v>
      </c>
      <c r="CK233">
        <v>2</v>
      </c>
      <c r="CL233">
        <v>1475</v>
      </c>
      <c r="CM233">
        <v>2</v>
      </c>
      <c r="CN233" t="s">
        <v>675</v>
      </c>
      <c r="CO233" t="s">
        <v>676</v>
      </c>
      <c r="CP233" t="s">
        <v>595</v>
      </c>
      <c r="CQ233" t="s">
        <v>649</v>
      </c>
      <c r="CR233" t="s">
        <v>650</v>
      </c>
      <c r="CS233" t="s">
        <v>542</v>
      </c>
      <c r="CT233">
        <v>360</v>
      </c>
      <c r="CU233">
        <v>5</v>
      </c>
      <c r="CV233">
        <v>1.2</v>
      </c>
      <c r="CW233">
        <v>1393</v>
      </c>
      <c r="CX233">
        <v>709</v>
      </c>
      <c r="DD233">
        <v>0</v>
      </c>
      <c r="DE233" t="s">
        <v>543</v>
      </c>
      <c r="DF233">
        <v>490</v>
      </c>
      <c r="DG233">
        <v>3</v>
      </c>
      <c r="DH233">
        <v>1.18</v>
      </c>
      <c r="DI233">
        <v>1391</v>
      </c>
      <c r="DJ233">
        <v>1142</v>
      </c>
      <c r="DW233" t="s">
        <v>544</v>
      </c>
      <c r="DX233">
        <v>7.5</v>
      </c>
      <c r="EA233">
        <v>1461.1</v>
      </c>
      <c r="EB233">
        <v>258</v>
      </c>
      <c r="EC233" t="s">
        <v>545</v>
      </c>
      <c r="ED233">
        <v>25</v>
      </c>
      <c r="EE233">
        <v>3</v>
      </c>
      <c r="EG233">
        <v>1502</v>
      </c>
      <c r="EH233">
        <v>164</v>
      </c>
      <c r="EJ233">
        <v>0</v>
      </c>
      <c r="EK233">
        <v>1</v>
      </c>
      <c r="EN233">
        <v>0</v>
      </c>
      <c r="EP233" t="s">
        <v>546</v>
      </c>
      <c r="EQ233">
        <v>70</v>
      </c>
      <c r="ER233">
        <v>3</v>
      </c>
      <c r="ES233">
        <v>4.5</v>
      </c>
      <c r="ET233">
        <v>1371</v>
      </c>
      <c r="EU233">
        <v>291.1</v>
      </c>
      <c r="EV233">
        <v>399</v>
      </c>
      <c r="EW233" t="s">
        <v>547</v>
      </c>
      <c r="EX233">
        <v>70</v>
      </c>
      <c r="EY233">
        <v>2</v>
      </c>
      <c r="EZ233">
        <v>4.3</v>
      </c>
      <c r="FA233">
        <v>1371</v>
      </c>
      <c r="FB233">
        <v>204</v>
      </c>
      <c r="FC233">
        <v>280</v>
      </c>
      <c r="FE233">
        <v>0</v>
      </c>
      <c r="FF233">
        <v>2</v>
      </c>
      <c r="FI233">
        <v>0</v>
      </c>
      <c r="FK233" t="s">
        <v>548</v>
      </c>
      <c r="FL233">
        <v>0.4</v>
      </c>
      <c r="FM233">
        <v>70</v>
      </c>
      <c r="FN233">
        <v>160</v>
      </c>
      <c r="FR233" t="s">
        <v>548</v>
      </c>
      <c r="FS233">
        <v>0.4</v>
      </c>
      <c r="FT233">
        <v>30</v>
      </c>
      <c r="FU233">
        <v>340</v>
      </c>
      <c r="FY233" t="s">
        <v>651</v>
      </c>
      <c r="FZ233">
        <v>1.6</v>
      </c>
      <c r="GA233">
        <v>20</v>
      </c>
      <c r="GB233">
        <v>181</v>
      </c>
      <c r="GG233" t="s">
        <v>651</v>
      </c>
      <c r="GH233">
        <v>1.6</v>
      </c>
      <c r="GI233">
        <v>20</v>
      </c>
      <c r="GJ233">
        <v>181</v>
      </c>
      <c r="HC233">
        <v>0.1</v>
      </c>
      <c r="HD233">
        <v>3</v>
      </c>
      <c r="HE233">
        <v>3</v>
      </c>
      <c r="HF233">
        <v>3</v>
      </c>
      <c r="HG233">
        <v>3</v>
      </c>
      <c r="HH233">
        <v>3</v>
      </c>
      <c r="HI233">
        <v>125</v>
      </c>
      <c r="HJ233">
        <v>3</v>
      </c>
      <c r="HK233">
        <v>55</v>
      </c>
      <c r="HL233">
        <v>2</v>
      </c>
      <c r="HM233">
        <v>0</v>
      </c>
      <c r="HN233">
        <v>2</v>
      </c>
      <c r="HO233">
        <v>55</v>
      </c>
      <c r="HP233">
        <v>3</v>
      </c>
      <c r="HQ233">
        <v>0</v>
      </c>
      <c r="HR233">
        <v>2</v>
      </c>
      <c r="HS233">
        <v>4053</v>
      </c>
      <c r="HT233">
        <v>120</v>
      </c>
      <c r="HU233">
        <v>180</v>
      </c>
      <c r="HW233">
        <v>0</v>
      </c>
      <c r="HX233">
        <v>440</v>
      </c>
      <c r="HY233">
        <v>0.18</v>
      </c>
      <c r="IA233">
        <v>0.15</v>
      </c>
      <c r="IB233">
        <v>0</v>
      </c>
      <c r="IC233">
        <v>180</v>
      </c>
      <c r="ID233">
        <v>110</v>
      </c>
      <c r="IE233">
        <v>0</v>
      </c>
      <c r="IF233">
        <v>0</v>
      </c>
      <c r="IH233" t="s">
        <v>549</v>
      </c>
      <c r="IO233">
        <v>1</v>
      </c>
      <c r="IP233">
        <v>18</v>
      </c>
      <c r="IQ233">
        <v>0</v>
      </c>
      <c r="IR233">
        <v>1</v>
      </c>
      <c r="IV233">
        <v>1381</v>
      </c>
      <c r="IW233">
        <v>380</v>
      </c>
      <c r="IY233">
        <v>290</v>
      </c>
      <c r="JA233">
        <v>1</v>
      </c>
      <c r="JB233">
        <v>0</v>
      </c>
      <c r="JC233">
        <v>2</v>
      </c>
      <c r="JD233">
        <v>1393</v>
      </c>
      <c r="JE233">
        <v>1391</v>
      </c>
      <c r="JF233">
        <v>0</v>
      </c>
      <c r="JG233">
        <v>1371</v>
      </c>
      <c r="JH233">
        <v>0</v>
      </c>
      <c r="JJ233">
        <v>180</v>
      </c>
      <c r="JK233">
        <v>440</v>
      </c>
      <c r="JN233">
        <v>360</v>
      </c>
      <c r="JO233">
        <v>490</v>
      </c>
      <c r="JP233">
        <v>0</v>
      </c>
      <c r="JQ233">
        <v>0</v>
      </c>
      <c r="JR233">
        <v>334</v>
      </c>
      <c r="JS233">
        <v>125</v>
      </c>
      <c r="JV233">
        <v>8</v>
      </c>
      <c r="JW233" t="s">
        <v>550</v>
      </c>
      <c r="JX233">
        <v>0</v>
      </c>
      <c r="KA233">
        <v>0</v>
      </c>
      <c r="KB233">
        <v>110</v>
      </c>
      <c r="KC233">
        <v>0</v>
      </c>
      <c r="KD233">
        <v>80</v>
      </c>
      <c r="KF233">
        <v>4</v>
      </c>
      <c r="KG233">
        <v>2</v>
      </c>
      <c r="KH233">
        <v>2</v>
      </c>
      <c r="KI233">
        <v>2</v>
      </c>
      <c r="KJ233">
        <v>0</v>
      </c>
      <c r="KK233">
        <v>1.5</v>
      </c>
      <c r="KL233">
        <v>1.5</v>
      </c>
      <c r="KM233">
        <v>0</v>
      </c>
      <c r="KN233">
        <v>0</v>
      </c>
      <c r="KO233">
        <v>0</v>
      </c>
      <c r="KR233">
        <v>50</v>
      </c>
      <c r="KS233">
        <v>60</v>
      </c>
      <c r="KT233">
        <v>0</v>
      </c>
      <c r="LK233">
        <v>480</v>
      </c>
      <c r="PG233">
        <v>1</v>
      </c>
      <c r="PI233" t="s">
        <v>2998</v>
      </c>
      <c r="PJ233" t="s">
        <v>2999</v>
      </c>
      <c r="PL233" t="s">
        <v>734</v>
      </c>
      <c r="PP233" t="s">
        <v>2906</v>
      </c>
      <c r="PX233">
        <v>56</v>
      </c>
      <c r="PY233">
        <v>57</v>
      </c>
      <c r="PZ233" t="s">
        <v>2998</v>
      </c>
      <c r="QA233">
        <v>3</v>
      </c>
      <c r="QB233">
        <v>1371</v>
      </c>
      <c r="QC233">
        <v>69</v>
      </c>
      <c r="QD233">
        <v>69</v>
      </c>
      <c r="QE233" t="s">
        <v>734</v>
      </c>
      <c r="QF233">
        <v>1</v>
      </c>
      <c r="QG233">
        <v>1393</v>
      </c>
      <c r="QH233">
        <v>66</v>
      </c>
      <c r="QI233">
        <v>66</v>
      </c>
      <c r="QL233">
        <v>0</v>
      </c>
      <c r="QM233">
        <v>63</v>
      </c>
      <c r="QN233">
        <v>63</v>
      </c>
      <c r="QO233" t="s">
        <v>2999</v>
      </c>
      <c r="QP233">
        <v>1</v>
      </c>
      <c r="QQ233">
        <v>1391</v>
      </c>
      <c r="QW233">
        <v>82</v>
      </c>
      <c r="QX233">
        <v>82</v>
      </c>
      <c r="QY233" t="s">
        <v>2906</v>
      </c>
      <c r="QZ233">
        <v>1</v>
      </c>
      <c r="RA233">
        <v>66</v>
      </c>
      <c r="RB233">
        <v>66</v>
      </c>
      <c r="RE233">
        <v>0</v>
      </c>
      <c r="RG233">
        <v>1</v>
      </c>
      <c r="RJ233">
        <v>1</v>
      </c>
      <c r="RL233">
        <v>2</v>
      </c>
      <c r="RO233">
        <v>509</v>
      </c>
      <c r="RQ233">
        <v>821</v>
      </c>
      <c r="RT233">
        <v>258</v>
      </c>
      <c r="RU233">
        <v>164</v>
      </c>
      <c r="RV233" t="s">
        <v>2150</v>
      </c>
      <c r="RW233" t="s">
        <v>679</v>
      </c>
      <c r="RX233">
        <v>15</v>
      </c>
      <c r="RY233">
        <v>4</v>
      </c>
      <c r="RZ233" t="s">
        <v>679</v>
      </c>
      <c r="SA233">
        <v>15</v>
      </c>
      <c r="SB233" t="s">
        <v>3000</v>
      </c>
      <c r="SC233" t="s">
        <v>3000</v>
      </c>
      <c r="SD233">
        <v>1</v>
      </c>
      <c r="SH233">
        <v>0.995</v>
      </c>
      <c r="SI233">
        <v>0.995</v>
      </c>
      <c r="SJ233">
        <v>0.995</v>
      </c>
      <c r="SK233">
        <v>15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TB233">
        <v>0</v>
      </c>
      <c r="TC233">
        <v>0</v>
      </c>
      <c r="TD233">
        <v>7.5</v>
      </c>
      <c r="TE233" t="s">
        <v>553</v>
      </c>
      <c r="TF233" t="s">
        <v>624</v>
      </c>
      <c r="TG233" t="s">
        <v>555</v>
      </c>
      <c r="TI233" t="s">
        <v>546</v>
      </c>
      <c r="TJ233" t="s">
        <v>547</v>
      </c>
      <c r="TL233" t="s">
        <v>2662</v>
      </c>
      <c r="TM233" t="s">
        <v>513</v>
      </c>
      <c r="TN233">
        <v>0</v>
      </c>
      <c r="TO233" t="s">
        <v>557</v>
      </c>
    </row>
    <row r="234" spans="1:535">
      <c r="A234" t="s">
        <v>3001</v>
      </c>
      <c r="B234" t="s">
        <v>804</v>
      </c>
      <c r="C234" t="s">
        <v>509</v>
      </c>
      <c r="D234" t="s">
        <v>1057</v>
      </c>
      <c r="G234" t="s">
        <v>511</v>
      </c>
      <c r="I234" t="s">
        <v>562</v>
      </c>
      <c r="L234" t="s">
        <v>512</v>
      </c>
      <c r="M234" t="s">
        <v>508</v>
      </c>
      <c r="N234" t="s">
        <v>513</v>
      </c>
      <c r="O234" t="s">
        <v>1255</v>
      </c>
      <c r="P234" t="s">
        <v>515</v>
      </c>
      <c r="Q234" t="s">
        <v>3002</v>
      </c>
      <c r="R234" t="s">
        <v>517</v>
      </c>
      <c r="S234" t="s">
        <v>1002</v>
      </c>
      <c r="T234" t="s">
        <v>1003</v>
      </c>
      <c r="U234" t="s">
        <v>686</v>
      </c>
      <c r="V234" t="s">
        <v>687</v>
      </c>
      <c r="W234" t="s">
        <v>2691</v>
      </c>
      <c r="X234" t="s">
        <v>2657</v>
      </c>
      <c r="Y234" t="s">
        <v>524</v>
      </c>
      <c r="Z234" t="s">
        <v>3003</v>
      </c>
      <c r="AA234" t="s">
        <v>3004</v>
      </c>
      <c r="AB234" t="s">
        <v>3005</v>
      </c>
      <c r="AC234">
        <v>2</v>
      </c>
      <c r="AD234">
        <v>56</v>
      </c>
      <c r="AE234">
        <v>230</v>
      </c>
      <c r="AF234">
        <v>1.5</v>
      </c>
      <c r="AH234">
        <v>0</v>
      </c>
      <c r="AI234" t="s">
        <v>1246</v>
      </c>
      <c r="AJ234">
        <v>210</v>
      </c>
      <c r="AK234">
        <v>1</v>
      </c>
      <c r="AL234">
        <v>1.5</v>
      </c>
      <c r="AM234" t="s">
        <v>579</v>
      </c>
      <c r="AN234" t="s">
        <v>693</v>
      </c>
      <c r="AO234">
        <v>2</v>
      </c>
      <c r="AP234" t="s">
        <v>581</v>
      </c>
      <c r="AQ234" t="s">
        <v>582</v>
      </c>
      <c r="AR234">
        <v>248</v>
      </c>
      <c r="AS234">
        <v>1.5</v>
      </c>
      <c r="AT234" t="s">
        <v>583</v>
      </c>
      <c r="AU234" t="s">
        <v>3006</v>
      </c>
      <c r="AW234" t="s">
        <v>3006</v>
      </c>
      <c r="AX234">
        <v>1</v>
      </c>
      <c r="AY234">
        <v>302.5</v>
      </c>
      <c r="AZ234">
        <v>1.5</v>
      </c>
      <c r="BA234" t="s">
        <v>579</v>
      </c>
      <c r="BB234" t="s">
        <v>3007</v>
      </c>
      <c r="BD234" t="s">
        <v>3007</v>
      </c>
      <c r="BE234">
        <v>1</v>
      </c>
      <c r="BF234">
        <v>252.5</v>
      </c>
      <c r="BG234">
        <v>1.5</v>
      </c>
      <c r="BJ234">
        <v>0</v>
      </c>
      <c r="BN234">
        <v>1.5</v>
      </c>
      <c r="BP234" t="s">
        <v>2815</v>
      </c>
      <c r="BQ234">
        <v>89</v>
      </c>
      <c r="BR234">
        <v>2</v>
      </c>
      <c r="BS234" t="s">
        <v>1052</v>
      </c>
      <c r="BT234">
        <v>229</v>
      </c>
      <c r="BU234">
        <v>0.5</v>
      </c>
      <c r="BV234" t="s">
        <v>1052</v>
      </c>
      <c r="BW234">
        <v>458</v>
      </c>
      <c r="BX234">
        <v>1</v>
      </c>
      <c r="BY234" t="s">
        <v>698</v>
      </c>
      <c r="BZ234">
        <v>300</v>
      </c>
      <c r="CA234">
        <v>520</v>
      </c>
      <c r="CB234" t="s">
        <v>699</v>
      </c>
      <c r="CC234" t="s">
        <v>699</v>
      </c>
      <c r="CD234">
        <v>470</v>
      </c>
      <c r="CE234" t="s">
        <v>700</v>
      </c>
      <c r="CF234">
        <v>15</v>
      </c>
      <c r="CG234" t="s">
        <v>701</v>
      </c>
      <c r="CH234" t="s">
        <v>701</v>
      </c>
      <c r="CI234">
        <v>110</v>
      </c>
      <c r="CJ234">
        <v>1458</v>
      </c>
      <c r="CK234">
        <v>2</v>
      </c>
      <c r="CL234">
        <v>1552</v>
      </c>
      <c r="CM234">
        <v>2</v>
      </c>
      <c r="CN234" t="s">
        <v>702</v>
      </c>
      <c r="CO234" t="s">
        <v>676</v>
      </c>
      <c r="CP234" t="s">
        <v>703</v>
      </c>
      <c r="CQ234" t="s">
        <v>596</v>
      </c>
      <c r="CR234" t="s">
        <v>541</v>
      </c>
      <c r="CS234" t="s">
        <v>542</v>
      </c>
      <c r="CT234">
        <v>420</v>
      </c>
      <c r="CU234">
        <v>5</v>
      </c>
      <c r="CV234">
        <v>1.2</v>
      </c>
      <c r="CW234">
        <v>1475</v>
      </c>
      <c r="CX234">
        <v>878</v>
      </c>
      <c r="CY234" t="s">
        <v>705</v>
      </c>
      <c r="CZ234">
        <v>50</v>
      </c>
      <c r="DA234">
        <v>3</v>
      </c>
      <c r="DB234">
        <v>1</v>
      </c>
      <c r="DC234">
        <v>1475</v>
      </c>
      <c r="DD234">
        <v>77</v>
      </c>
      <c r="DE234" t="s">
        <v>622</v>
      </c>
      <c r="DF234">
        <v>605</v>
      </c>
      <c r="DG234">
        <v>3</v>
      </c>
      <c r="DH234">
        <v>0.88</v>
      </c>
      <c r="DI234">
        <v>1467</v>
      </c>
      <c r="DJ234">
        <v>1081</v>
      </c>
      <c r="DK234" t="s">
        <v>622</v>
      </c>
      <c r="DL234">
        <v>505</v>
      </c>
      <c r="DM234">
        <v>3</v>
      </c>
      <c r="DN234">
        <v>0.88</v>
      </c>
      <c r="DO234">
        <v>1472</v>
      </c>
      <c r="DP234">
        <v>810</v>
      </c>
      <c r="DW234" t="s">
        <v>544</v>
      </c>
      <c r="DX234">
        <v>7.5</v>
      </c>
      <c r="EA234">
        <v>1544.1</v>
      </c>
      <c r="EB234">
        <v>364</v>
      </c>
      <c r="EC234" t="s">
        <v>545</v>
      </c>
      <c r="ED234">
        <v>30</v>
      </c>
      <c r="EE234">
        <v>3</v>
      </c>
      <c r="EG234">
        <v>1595</v>
      </c>
      <c r="EH234">
        <v>188</v>
      </c>
      <c r="EJ234">
        <v>0</v>
      </c>
      <c r="EK234">
        <v>1</v>
      </c>
      <c r="EN234">
        <v>0</v>
      </c>
      <c r="EP234" t="s">
        <v>546</v>
      </c>
      <c r="EQ234">
        <v>120</v>
      </c>
      <c r="ER234">
        <v>3</v>
      </c>
      <c r="ES234">
        <v>5.5</v>
      </c>
      <c r="ET234">
        <v>1454</v>
      </c>
      <c r="EU234">
        <v>557.7</v>
      </c>
      <c r="EV234">
        <v>811</v>
      </c>
      <c r="EW234" t="s">
        <v>547</v>
      </c>
      <c r="EX234">
        <v>45</v>
      </c>
      <c r="EY234">
        <v>2</v>
      </c>
      <c r="EZ234">
        <v>4.7</v>
      </c>
      <c r="FA234">
        <v>1454</v>
      </c>
      <c r="FB234">
        <v>141.4</v>
      </c>
      <c r="FC234">
        <v>206</v>
      </c>
      <c r="FE234">
        <v>0</v>
      </c>
      <c r="FF234">
        <v>2</v>
      </c>
      <c r="FI234">
        <v>0</v>
      </c>
      <c r="FK234" t="s">
        <v>548</v>
      </c>
      <c r="FL234">
        <v>0.4</v>
      </c>
      <c r="FM234">
        <v>70</v>
      </c>
      <c r="FN234">
        <v>390</v>
      </c>
      <c r="FO234">
        <v>90</v>
      </c>
      <c r="FP234">
        <v>160</v>
      </c>
      <c r="GR234" t="s">
        <v>548</v>
      </c>
      <c r="GS234">
        <v>0.4</v>
      </c>
      <c r="GT234">
        <v>30</v>
      </c>
      <c r="GU234">
        <v>420</v>
      </c>
      <c r="GV234">
        <v>30</v>
      </c>
      <c r="GW234">
        <v>290</v>
      </c>
      <c r="HC234">
        <v>0.1</v>
      </c>
      <c r="HD234">
        <v>3</v>
      </c>
      <c r="HE234">
        <v>3</v>
      </c>
      <c r="HF234">
        <v>3</v>
      </c>
      <c r="HG234">
        <v>3</v>
      </c>
      <c r="HH234">
        <v>3</v>
      </c>
      <c r="HI234">
        <v>150</v>
      </c>
      <c r="HJ234">
        <v>3</v>
      </c>
      <c r="HK234">
        <v>30</v>
      </c>
      <c r="HL234">
        <v>2</v>
      </c>
      <c r="HM234">
        <v>0</v>
      </c>
      <c r="HN234">
        <v>2</v>
      </c>
      <c r="HO234">
        <v>105</v>
      </c>
      <c r="HP234">
        <v>3</v>
      </c>
      <c r="HQ234">
        <v>0</v>
      </c>
      <c r="HR234">
        <v>2</v>
      </c>
      <c r="HS234">
        <v>6061</v>
      </c>
      <c r="HT234">
        <v>180</v>
      </c>
      <c r="HU234">
        <v>180</v>
      </c>
      <c r="HW234">
        <v>0</v>
      </c>
      <c r="HX234">
        <v>500</v>
      </c>
      <c r="HY234">
        <v>0.18</v>
      </c>
      <c r="IA234">
        <v>0.15</v>
      </c>
      <c r="IB234">
        <v>0</v>
      </c>
      <c r="IC234">
        <v>180</v>
      </c>
      <c r="ID234">
        <v>110</v>
      </c>
      <c r="IE234">
        <v>225</v>
      </c>
      <c r="IF234">
        <v>0</v>
      </c>
      <c r="IH234" t="s">
        <v>549</v>
      </c>
      <c r="IO234">
        <v>3</v>
      </c>
      <c r="IP234">
        <v>19</v>
      </c>
      <c r="IQ234">
        <v>0</v>
      </c>
      <c r="IR234">
        <v>0</v>
      </c>
      <c r="IV234">
        <v>1458</v>
      </c>
      <c r="IW234">
        <v>458</v>
      </c>
      <c r="JA234">
        <v>1</v>
      </c>
      <c r="JB234">
        <v>0</v>
      </c>
      <c r="JC234">
        <v>2</v>
      </c>
      <c r="JD234">
        <v>1475</v>
      </c>
      <c r="JE234">
        <v>1467</v>
      </c>
      <c r="JF234">
        <v>1472</v>
      </c>
      <c r="JG234">
        <v>1454</v>
      </c>
      <c r="JH234">
        <v>0</v>
      </c>
      <c r="JJ234">
        <v>180</v>
      </c>
      <c r="JK234">
        <v>500</v>
      </c>
      <c r="JN234">
        <v>420</v>
      </c>
      <c r="JO234">
        <v>605</v>
      </c>
      <c r="JP234">
        <v>505</v>
      </c>
      <c r="JQ234">
        <v>0</v>
      </c>
      <c r="JR234">
        <v>460</v>
      </c>
      <c r="JS234">
        <v>150</v>
      </c>
      <c r="JV234">
        <v>8</v>
      </c>
      <c r="JW234" t="s">
        <v>550</v>
      </c>
      <c r="JX234">
        <v>496</v>
      </c>
      <c r="KA234">
        <v>225</v>
      </c>
      <c r="KB234">
        <v>110</v>
      </c>
      <c r="KC234">
        <v>0</v>
      </c>
      <c r="KD234">
        <v>80</v>
      </c>
      <c r="KF234">
        <v>4</v>
      </c>
      <c r="KG234">
        <v>4</v>
      </c>
      <c r="KH234">
        <v>2</v>
      </c>
      <c r="KI234">
        <v>2</v>
      </c>
      <c r="KJ234">
        <v>0</v>
      </c>
      <c r="KK234">
        <v>1.5</v>
      </c>
      <c r="KL234">
        <v>1.5</v>
      </c>
      <c r="KM234">
        <v>0</v>
      </c>
      <c r="KN234">
        <v>0</v>
      </c>
      <c r="KO234">
        <v>0</v>
      </c>
      <c r="KR234">
        <v>30</v>
      </c>
      <c r="KS234">
        <v>60</v>
      </c>
      <c r="KT234">
        <v>0</v>
      </c>
      <c r="LK234">
        <v>480</v>
      </c>
      <c r="PG234">
        <v>1</v>
      </c>
      <c r="PI234" t="s">
        <v>3005</v>
      </c>
      <c r="PJ234" t="s">
        <v>3006</v>
      </c>
      <c r="PK234" t="s">
        <v>3007</v>
      </c>
      <c r="PL234" t="s">
        <v>1246</v>
      </c>
      <c r="PP234" t="s">
        <v>2815</v>
      </c>
      <c r="PS234" t="s">
        <v>693</v>
      </c>
      <c r="PX234">
        <v>56</v>
      </c>
      <c r="PY234">
        <v>56</v>
      </c>
      <c r="PZ234" t="s">
        <v>3005</v>
      </c>
      <c r="QA234">
        <v>1</v>
      </c>
      <c r="QB234">
        <v>1454</v>
      </c>
      <c r="QC234">
        <v>69</v>
      </c>
      <c r="QD234">
        <v>69</v>
      </c>
      <c r="QE234" t="s">
        <v>1246</v>
      </c>
      <c r="QF234">
        <v>1</v>
      </c>
      <c r="QG234">
        <v>1475</v>
      </c>
      <c r="QH234">
        <v>66</v>
      </c>
      <c r="QI234">
        <v>66</v>
      </c>
      <c r="QJ234" t="s">
        <v>693</v>
      </c>
      <c r="QK234">
        <v>1</v>
      </c>
      <c r="QL234">
        <v>1475</v>
      </c>
      <c r="QM234">
        <v>62</v>
      </c>
      <c r="QN234">
        <v>62</v>
      </c>
      <c r="QO234" t="s">
        <v>3006</v>
      </c>
      <c r="QP234">
        <v>1</v>
      </c>
      <c r="QQ234">
        <v>1467</v>
      </c>
      <c r="QR234">
        <v>62</v>
      </c>
      <c r="QS234">
        <v>62</v>
      </c>
      <c r="QT234" t="s">
        <v>3007</v>
      </c>
      <c r="QU234">
        <v>1</v>
      </c>
      <c r="QV234">
        <v>1472</v>
      </c>
      <c r="QW234">
        <v>82</v>
      </c>
      <c r="QX234">
        <v>89</v>
      </c>
      <c r="QY234" t="s">
        <v>2815</v>
      </c>
      <c r="QZ234">
        <v>1</v>
      </c>
      <c r="RA234">
        <v>66</v>
      </c>
      <c r="RB234">
        <v>66</v>
      </c>
      <c r="RE234">
        <v>0</v>
      </c>
      <c r="RF234">
        <v>1</v>
      </c>
      <c r="RH234">
        <v>1</v>
      </c>
      <c r="RJ234">
        <v>1</v>
      </c>
      <c r="RK234">
        <v>2</v>
      </c>
      <c r="RL234">
        <v>4</v>
      </c>
      <c r="RM234">
        <v>4</v>
      </c>
      <c r="RO234">
        <v>595</v>
      </c>
      <c r="RP234">
        <v>105</v>
      </c>
      <c r="RQ234">
        <v>737</v>
      </c>
      <c r="RR234">
        <v>550</v>
      </c>
      <c r="RT234">
        <v>364</v>
      </c>
      <c r="RU234">
        <v>188</v>
      </c>
      <c r="RV234" t="s">
        <v>1055</v>
      </c>
      <c r="RW234" t="s">
        <v>707</v>
      </c>
      <c r="RX234">
        <v>15</v>
      </c>
      <c r="RY234">
        <v>4</v>
      </c>
      <c r="RZ234" t="s">
        <v>707</v>
      </c>
      <c r="SA234">
        <v>15</v>
      </c>
      <c r="SC234" t="s">
        <v>3006</v>
      </c>
      <c r="SD234">
        <v>1</v>
      </c>
      <c r="SF234" t="s">
        <v>3007</v>
      </c>
      <c r="SG234">
        <v>1</v>
      </c>
      <c r="SH234">
        <v>0.995</v>
      </c>
      <c r="SI234">
        <v>0.995</v>
      </c>
      <c r="SJ234">
        <v>0.995</v>
      </c>
      <c r="SK234">
        <v>15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1</v>
      </c>
      <c r="SZ234">
        <v>1</v>
      </c>
      <c r="TB234">
        <v>0</v>
      </c>
      <c r="TC234">
        <v>0</v>
      </c>
      <c r="TD234">
        <v>7.5</v>
      </c>
      <c r="TE234" t="s">
        <v>553</v>
      </c>
      <c r="TF234" t="s">
        <v>681</v>
      </c>
      <c r="TG234" t="s">
        <v>555</v>
      </c>
      <c r="TI234" t="s">
        <v>546</v>
      </c>
      <c r="TJ234" t="s">
        <v>547</v>
      </c>
      <c r="TL234" t="s">
        <v>2662</v>
      </c>
      <c r="TM234" t="s">
        <v>513</v>
      </c>
      <c r="TN234">
        <v>0</v>
      </c>
      <c r="TO234" t="s">
        <v>557</v>
      </c>
    </row>
    <row r="235" spans="1:535">
      <c r="A235" t="s">
        <v>3008</v>
      </c>
      <c r="B235" t="s">
        <v>804</v>
      </c>
      <c r="C235" t="s">
        <v>509</v>
      </c>
      <c r="D235" t="s">
        <v>2782</v>
      </c>
      <c r="G235" t="s">
        <v>561</v>
      </c>
      <c r="I235" t="s">
        <v>562</v>
      </c>
      <c r="J235" t="s">
        <v>563</v>
      </c>
      <c r="L235" t="s">
        <v>512</v>
      </c>
      <c r="M235" t="s">
        <v>508</v>
      </c>
      <c r="N235" t="s">
        <v>513</v>
      </c>
      <c r="O235" t="s">
        <v>1255</v>
      </c>
      <c r="P235" t="s">
        <v>515</v>
      </c>
      <c r="Q235" t="s">
        <v>3009</v>
      </c>
      <c r="R235" t="s">
        <v>517</v>
      </c>
      <c r="S235" t="s">
        <v>3010</v>
      </c>
      <c r="T235" t="s">
        <v>3011</v>
      </c>
      <c r="U235" t="s">
        <v>570</v>
      </c>
      <c r="V235" t="s">
        <v>571</v>
      </c>
      <c r="W235" t="s">
        <v>3012</v>
      </c>
      <c r="X235" t="s">
        <v>2657</v>
      </c>
      <c r="Y235" t="s">
        <v>574</v>
      </c>
      <c r="Z235" t="s">
        <v>3013</v>
      </c>
      <c r="AA235" t="s">
        <v>3014</v>
      </c>
      <c r="AB235" t="s">
        <v>3015</v>
      </c>
      <c r="AC235">
        <v>2</v>
      </c>
      <c r="AD235">
        <v>56</v>
      </c>
      <c r="AE235">
        <v>257</v>
      </c>
      <c r="AF235">
        <v>1.5</v>
      </c>
      <c r="AH235">
        <v>0</v>
      </c>
      <c r="AI235" t="s">
        <v>993</v>
      </c>
      <c r="AJ235">
        <v>237.5</v>
      </c>
      <c r="AK235">
        <v>1</v>
      </c>
      <c r="AL235">
        <v>1.5</v>
      </c>
      <c r="AM235" t="s">
        <v>579</v>
      </c>
      <c r="AN235" t="s">
        <v>795</v>
      </c>
      <c r="AO235">
        <v>2</v>
      </c>
      <c r="AP235" t="s">
        <v>581</v>
      </c>
      <c r="AQ235" t="s">
        <v>582</v>
      </c>
      <c r="AR235">
        <v>286</v>
      </c>
      <c r="AS235">
        <v>1.5</v>
      </c>
      <c r="AT235" t="s">
        <v>583</v>
      </c>
      <c r="AU235" t="s">
        <v>3016</v>
      </c>
      <c r="AW235" t="s">
        <v>3016</v>
      </c>
      <c r="AX235">
        <v>1</v>
      </c>
      <c r="AY235">
        <v>337.5</v>
      </c>
      <c r="AZ235">
        <v>1.5</v>
      </c>
      <c r="BA235" t="s">
        <v>579</v>
      </c>
      <c r="BB235" t="s">
        <v>3017</v>
      </c>
      <c r="BD235" t="s">
        <v>3017</v>
      </c>
      <c r="BE235">
        <v>1</v>
      </c>
      <c r="BF235">
        <v>275</v>
      </c>
      <c r="BG235">
        <v>1.5</v>
      </c>
      <c r="BJ235">
        <v>0</v>
      </c>
      <c r="BN235">
        <v>1.5</v>
      </c>
      <c r="BP235" t="s">
        <v>1885</v>
      </c>
      <c r="BQ235" t="s">
        <v>587</v>
      </c>
      <c r="BR235">
        <v>2</v>
      </c>
      <c r="BS235" t="s">
        <v>1886</v>
      </c>
      <c r="BT235">
        <v>256</v>
      </c>
      <c r="BU235">
        <v>0.5</v>
      </c>
      <c r="BV235" t="s">
        <v>1886</v>
      </c>
      <c r="BW235">
        <v>512</v>
      </c>
      <c r="BX235">
        <v>1</v>
      </c>
      <c r="BY235" t="s">
        <v>589</v>
      </c>
      <c r="BZ235">
        <v>470</v>
      </c>
      <c r="CA235">
        <v>590</v>
      </c>
      <c r="CB235" t="s">
        <v>590</v>
      </c>
      <c r="CC235" t="s">
        <v>590</v>
      </c>
      <c r="CD235">
        <v>532</v>
      </c>
      <c r="CE235" t="s">
        <v>591</v>
      </c>
      <c r="CF235">
        <v>15</v>
      </c>
      <c r="CG235" t="s">
        <v>592</v>
      </c>
      <c r="CH235" t="s">
        <v>592</v>
      </c>
      <c r="CI235">
        <v>60</v>
      </c>
      <c r="CJ235">
        <v>1538</v>
      </c>
      <c r="CK235">
        <v>2</v>
      </c>
      <c r="CL235">
        <v>1632</v>
      </c>
      <c r="CM235">
        <v>2</v>
      </c>
      <c r="CN235" t="s">
        <v>593</v>
      </c>
      <c r="CO235" t="s">
        <v>594</v>
      </c>
      <c r="CP235" t="s">
        <v>595</v>
      </c>
      <c r="CQ235" t="s">
        <v>596</v>
      </c>
      <c r="CR235" t="s">
        <v>541</v>
      </c>
      <c r="CS235" t="s">
        <v>542</v>
      </c>
      <c r="CT235">
        <v>475</v>
      </c>
      <c r="CU235">
        <v>5</v>
      </c>
      <c r="CV235">
        <v>1.2</v>
      </c>
      <c r="CW235">
        <v>1554</v>
      </c>
      <c r="CX235">
        <v>1046</v>
      </c>
      <c r="CY235" t="s">
        <v>705</v>
      </c>
      <c r="CZ235">
        <v>60</v>
      </c>
      <c r="DA235">
        <v>3</v>
      </c>
      <c r="DB235">
        <v>1</v>
      </c>
      <c r="DC235">
        <v>1554</v>
      </c>
      <c r="DD235">
        <v>97</v>
      </c>
      <c r="DE235" t="s">
        <v>622</v>
      </c>
      <c r="DF235">
        <v>675</v>
      </c>
      <c r="DG235">
        <v>3</v>
      </c>
      <c r="DH235">
        <v>0.88</v>
      </c>
      <c r="DI235">
        <v>1547</v>
      </c>
      <c r="DJ235">
        <v>1219</v>
      </c>
      <c r="DK235" t="s">
        <v>622</v>
      </c>
      <c r="DL235">
        <v>550</v>
      </c>
      <c r="DM235">
        <v>3</v>
      </c>
      <c r="DN235">
        <v>0.88</v>
      </c>
      <c r="DO235">
        <v>1552</v>
      </c>
      <c r="DP235">
        <v>923</v>
      </c>
      <c r="DW235" t="s">
        <v>544</v>
      </c>
      <c r="DX235">
        <v>9.4</v>
      </c>
      <c r="EA235">
        <v>1623.8</v>
      </c>
      <c r="EB235">
        <v>381</v>
      </c>
      <c r="EC235" t="s">
        <v>545</v>
      </c>
      <c r="ED235">
        <v>35</v>
      </c>
      <c r="EE235">
        <v>3</v>
      </c>
      <c r="EG235">
        <v>1665</v>
      </c>
      <c r="EH235">
        <v>298</v>
      </c>
      <c r="EJ235">
        <v>0</v>
      </c>
      <c r="EK235">
        <v>1</v>
      </c>
      <c r="EN235">
        <v>0</v>
      </c>
      <c r="EP235" t="s">
        <v>546</v>
      </c>
      <c r="EQ235">
        <v>140</v>
      </c>
      <c r="ER235">
        <v>3</v>
      </c>
      <c r="ES235">
        <v>5.5</v>
      </c>
      <c r="ET235">
        <v>1534</v>
      </c>
      <c r="EU235">
        <v>677.4</v>
      </c>
      <c r="EV235">
        <v>1039</v>
      </c>
      <c r="EW235" t="s">
        <v>547</v>
      </c>
      <c r="EX235">
        <v>40</v>
      </c>
      <c r="EY235">
        <v>2</v>
      </c>
      <c r="EZ235">
        <v>3.9</v>
      </c>
      <c r="FA235">
        <v>1534</v>
      </c>
      <c r="FB235">
        <v>113.9</v>
      </c>
      <c r="FC235">
        <v>175</v>
      </c>
      <c r="FE235">
        <v>0</v>
      </c>
      <c r="FF235">
        <v>2</v>
      </c>
      <c r="FI235">
        <v>0</v>
      </c>
      <c r="FK235" t="s">
        <v>548</v>
      </c>
      <c r="FL235">
        <v>0.4</v>
      </c>
      <c r="FM235">
        <v>70</v>
      </c>
      <c r="FN235">
        <v>440</v>
      </c>
      <c r="FO235">
        <v>70</v>
      </c>
      <c r="FP235">
        <v>180</v>
      </c>
      <c r="GR235" t="s">
        <v>548</v>
      </c>
      <c r="GS235">
        <v>0.4</v>
      </c>
      <c r="GT235">
        <v>30</v>
      </c>
      <c r="GU235">
        <v>470</v>
      </c>
      <c r="GV235">
        <v>30</v>
      </c>
      <c r="GW235">
        <v>320</v>
      </c>
      <c r="HC235">
        <v>0.1</v>
      </c>
      <c r="HD235">
        <v>3</v>
      </c>
      <c r="HE235">
        <v>3</v>
      </c>
      <c r="HF235">
        <v>3</v>
      </c>
      <c r="HG235">
        <v>3</v>
      </c>
      <c r="HH235">
        <v>3</v>
      </c>
      <c r="HI235">
        <v>165</v>
      </c>
      <c r="HJ235">
        <v>3</v>
      </c>
      <c r="HK235">
        <v>25</v>
      </c>
      <c r="HL235">
        <v>2</v>
      </c>
      <c r="HM235">
        <v>0</v>
      </c>
      <c r="HN235">
        <v>2</v>
      </c>
      <c r="HO235">
        <v>125</v>
      </c>
      <c r="HP235">
        <v>3</v>
      </c>
      <c r="HQ235">
        <v>0</v>
      </c>
      <c r="HR235">
        <v>2</v>
      </c>
      <c r="HS235">
        <v>7168</v>
      </c>
      <c r="HT235">
        <v>220</v>
      </c>
      <c r="HU235">
        <v>180</v>
      </c>
      <c r="HW235">
        <v>0</v>
      </c>
      <c r="HX235">
        <v>520</v>
      </c>
      <c r="HY235">
        <v>0.18</v>
      </c>
      <c r="IA235">
        <v>0.15</v>
      </c>
      <c r="IB235">
        <v>0</v>
      </c>
      <c r="IC235">
        <v>180</v>
      </c>
      <c r="ID235">
        <v>110</v>
      </c>
      <c r="IE235">
        <v>225</v>
      </c>
      <c r="IF235">
        <v>0</v>
      </c>
      <c r="IH235" t="s">
        <v>549</v>
      </c>
      <c r="IO235">
        <v>3</v>
      </c>
      <c r="IP235">
        <v>20</v>
      </c>
      <c r="IQ235">
        <v>0</v>
      </c>
      <c r="IR235">
        <v>0</v>
      </c>
      <c r="IV235">
        <v>1538</v>
      </c>
      <c r="IW235">
        <v>512</v>
      </c>
      <c r="JA235">
        <v>1</v>
      </c>
      <c r="JB235">
        <v>0</v>
      </c>
      <c r="JC235">
        <v>2</v>
      </c>
      <c r="JD235">
        <v>1554</v>
      </c>
      <c r="JE235">
        <v>1547</v>
      </c>
      <c r="JF235">
        <v>1552</v>
      </c>
      <c r="JG235">
        <v>1534</v>
      </c>
      <c r="JH235">
        <v>0</v>
      </c>
      <c r="JJ235">
        <v>180</v>
      </c>
      <c r="JK235">
        <v>520</v>
      </c>
      <c r="JN235">
        <v>475</v>
      </c>
      <c r="JO235">
        <v>675</v>
      </c>
      <c r="JP235">
        <v>550</v>
      </c>
      <c r="JQ235">
        <v>0</v>
      </c>
      <c r="JR235">
        <v>514</v>
      </c>
      <c r="JS235">
        <v>165</v>
      </c>
      <c r="JV235">
        <v>10</v>
      </c>
      <c r="JW235" t="s">
        <v>550</v>
      </c>
      <c r="JX235">
        <v>572</v>
      </c>
      <c r="KA235">
        <v>225</v>
      </c>
      <c r="KB235">
        <v>110</v>
      </c>
      <c r="KC235">
        <v>0</v>
      </c>
      <c r="KD235">
        <v>80</v>
      </c>
      <c r="KF235">
        <v>4</v>
      </c>
      <c r="KG235">
        <v>2</v>
      </c>
      <c r="KH235">
        <v>2</v>
      </c>
      <c r="KI235">
        <v>2</v>
      </c>
      <c r="KJ235">
        <v>0</v>
      </c>
      <c r="KK235">
        <v>1.5</v>
      </c>
      <c r="KL235">
        <v>1.5</v>
      </c>
      <c r="KM235">
        <v>0</v>
      </c>
      <c r="KN235">
        <v>0</v>
      </c>
      <c r="KO235">
        <v>0</v>
      </c>
      <c r="KR235">
        <v>50</v>
      </c>
      <c r="KS235">
        <v>60</v>
      </c>
      <c r="KT235">
        <v>0</v>
      </c>
      <c r="LK235">
        <v>480</v>
      </c>
      <c r="PG235">
        <v>1</v>
      </c>
      <c r="PI235" t="s">
        <v>3015</v>
      </c>
      <c r="PJ235" t="s">
        <v>3016</v>
      </c>
      <c r="PK235" t="s">
        <v>3017</v>
      </c>
      <c r="PL235" t="s">
        <v>993</v>
      </c>
      <c r="PP235" t="s">
        <v>1885</v>
      </c>
      <c r="PS235" t="s">
        <v>795</v>
      </c>
      <c r="PX235">
        <v>56</v>
      </c>
      <c r="PY235">
        <v>56</v>
      </c>
      <c r="PZ235" t="s">
        <v>3015</v>
      </c>
      <c r="QA235">
        <v>1</v>
      </c>
      <c r="QB235">
        <v>1534</v>
      </c>
      <c r="QC235">
        <v>69</v>
      </c>
      <c r="QD235">
        <v>69</v>
      </c>
      <c r="QE235" t="s">
        <v>993</v>
      </c>
      <c r="QF235">
        <v>1</v>
      </c>
      <c r="QG235">
        <v>1554</v>
      </c>
      <c r="QH235">
        <v>66</v>
      </c>
      <c r="QI235">
        <v>66</v>
      </c>
      <c r="QJ235" t="s">
        <v>795</v>
      </c>
      <c r="QK235">
        <v>1</v>
      </c>
      <c r="QL235">
        <v>1554</v>
      </c>
      <c r="QM235">
        <v>62</v>
      </c>
      <c r="QN235">
        <v>62</v>
      </c>
      <c r="QO235" t="s">
        <v>3016</v>
      </c>
      <c r="QP235">
        <v>1</v>
      </c>
      <c r="QQ235">
        <v>1547</v>
      </c>
      <c r="QR235">
        <v>62</v>
      </c>
      <c r="QS235">
        <v>62</v>
      </c>
      <c r="QT235" t="s">
        <v>3017</v>
      </c>
      <c r="QU235">
        <v>1</v>
      </c>
      <c r="QV235">
        <v>1552</v>
      </c>
      <c r="QW235">
        <v>82</v>
      </c>
      <c r="QX235" t="s">
        <v>587</v>
      </c>
      <c r="QY235" t="s">
        <v>1885</v>
      </c>
      <c r="QZ235">
        <v>3</v>
      </c>
      <c r="RA235">
        <v>66</v>
      </c>
      <c r="RB235">
        <v>66</v>
      </c>
      <c r="RE235">
        <v>0</v>
      </c>
      <c r="RF235">
        <v>1</v>
      </c>
      <c r="RH235">
        <v>1</v>
      </c>
      <c r="RJ235">
        <v>1</v>
      </c>
      <c r="RK235">
        <v>2</v>
      </c>
      <c r="RL235">
        <v>4</v>
      </c>
      <c r="RM235">
        <v>4</v>
      </c>
      <c r="RO235">
        <v>673</v>
      </c>
      <c r="RP235">
        <v>125</v>
      </c>
      <c r="RQ235">
        <v>788</v>
      </c>
      <c r="RR235">
        <v>595</v>
      </c>
      <c r="RT235">
        <v>381</v>
      </c>
      <c r="RU235">
        <v>298</v>
      </c>
      <c r="RV235" t="s">
        <v>1887</v>
      </c>
      <c r="RW235" t="s">
        <v>599</v>
      </c>
      <c r="RX235">
        <v>15</v>
      </c>
      <c r="RY235">
        <v>4</v>
      </c>
      <c r="RZ235" t="s">
        <v>599</v>
      </c>
      <c r="SA235">
        <v>15</v>
      </c>
      <c r="SC235" t="s">
        <v>3016</v>
      </c>
      <c r="SD235">
        <v>1</v>
      </c>
      <c r="SF235" t="s">
        <v>3017</v>
      </c>
      <c r="SG235">
        <v>1</v>
      </c>
      <c r="SH235">
        <v>0.995</v>
      </c>
      <c r="SI235">
        <v>0.995</v>
      </c>
      <c r="SJ235">
        <v>0.995</v>
      </c>
      <c r="SK235">
        <v>15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1</v>
      </c>
      <c r="SZ235">
        <v>1</v>
      </c>
      <c r="TB235">
        <v>0</v>
      </c>
      <c r="TC235">
        <v>0</v>
      </c>
      <c r="TD235">
        <v>9.4</v>
      </c>
      <c r="TE235" t="s">
        <v>553</v>
      </c>
      <c r="TF235" t="s">
        <v>600</v>
      </c>
      <c r="TG235" t="s">
        <v>555</v>
      </c>
      <c r="TI235" t="s">
        <v>546</v>
      </c>
      <c r="TJ235" t="s">
        <v>547</v>
      </c>
      <c r="TL235" t="s">
        <v>2662</v>
      </c>
      <c r="TM235" t="s">
        <v>513</v>
      </c>
      <c r="TN235">
        <v>0</v>
      </c>
      <c r="TO235" t="s">
        <v>601</v>
      </c>
    </row>
    <row r="236" spans="1:535">
      <c r="A236" t="s">
        <v>3018</v>
      </c>
      <c r="B236" t="s">
        <v>804</v>
      </c>
      <c r="C236" t="s">
        <v>509</v>
      </c>
      <c r="D236" t="s">
        <v>2307</v>
      </c>
      <c r="G236" t="s">
        <v>1115</v>
      </c>
      <c r="I236" t="s">
        <v>562</v>
      </c>
      <c r="J236" t="s">
        <v>563</v>
      </c>
      <c r="L236" t="s">
        <v>512</v>
      </c>
      <c r="M236" t="s">
        <v>508</v>
      </c>
      <c r="N236" t="s">
        <v>513</v>
      </c>
      <c r="O236" t="s">
        <v>1255</v>
      </c>
      <c r="P236" t="s">
        <v>515</v>
      </c>
      <c r="Q236" t="s">
        <v>3019</v>
      </c>
      <c r="R236" t="s">
        <v>517</v>
      </c>
      <c r="S236" t="s">
        <v>3020</v>
      </c>
      <c r="T236" t="s">
        <v>1327</v>
      </c>
      <c r="U236" t="s">
        <v>662</v>
      </c>
      <c r="V236" t="s">
        <v>663</v>
      </c>
      <c r="W236" t="s">
        <v>2577</v>
      </c>
      <c r="X236" t="s">
        <v>2657</v>
      </c>
      <c r="Y236" t="s">
        <v>524</v>
      </c>
      <c r="Z236" t="s">
        <v>3021</v>
      </c>
      <c r="AA236" t="s">
        <v>3022</v>
      </c>
      <c r="AB236" t="s">
        <v>3023</v>
      </c>
      <c r="AC236">
        <v>2</v>
      </c>
      <c r="AD236">
        <v>56</v>
      </c>
      <c r="AE236">
        <v>198</v>
      </c>
      <c r="AF236">
        <v>1.5</v>
      </c>
      <c r="AH236">
        <v>0</v>
      </c>
      <c r="AI236" t="s">
        <v>1246</v>
      </c>
      <c r="AJ236">
        <v>210</v>
      </c>
      <c r="AK236">
        <v>1</v>
      </c>
      <c r="AL236">
        <v>1.5</v>
      </c>
      <c r="AM236" t="s">
        <v>529</v>
      </c>
      <c r="AO236">
        <v>0</v>
      </c>
      <c r="AR236">
        <v>0</v>
      </c>
      <c r="AS236">
        <v>1.5</v>
      </c>
      <c r="AU236" t="s">
        <v>3024</v>
      </c>
      <c r="AW236" t="s">
        <v>3024</v>
      </c>
      <c r="AX236">
        <v>1</v>
      </c>
      <c r="AY236">
        <v>292.5</v>
      </c>
      <c r="AZ236">
        <v>1.5</v>
      </c>
      <c r="BA236" t="s">
        <v>529</v>
      </c>
      <c r="BB236" t="s">
        <v>3025</v>
      </c>
      <c r="BD236" t="s">
        <v>3025</v>
      </c>
      <c r="BE236">
        <v>1</v>
      </c>
      <c r="BF236">
        <v>242.5</v>
      </c>
      <c r="BG236">
        <v>1.5</v>
      </c>
      <c r="BJ236">
        <v>0</v>
      </c>
      <c r="BN236">
        <v>1.5</v>
      </c>
      <c r="BP236" t="s">
        <v>2194</v>
      </c>
      <c r="BQ236">
        <v>88</v>
      </c>
      <c r="BR236">
        <v>2</v>
      </c>
      <c r="BS236" t="s">
        <v>2149</v>
      </c>
      <c r="BT236">
        <v>220</v>
      </c>
      <c r="BU236">
        <v>0.5</v>
      </c>
      <c r="BV236" t="s">
        <v>2149</v>
      </c>
      <c r="BW236">
        <v>440</v>
      </c>
      <c r="BX236">
        <v>1</v>
      </c>
      <c r="BY236" t="s">
        <v>643</v>
      </c>
      <c r="BZ236">
        <v>290</v>
      </c>
      <c r="CA236">
        <v>510</v>
      </c>
      <c r="CB236" t="s">
        <v>672</v>
      </c>
      <c r="CC236" t="s">
        <v>672</v>
      </c>
      <c r="CD236">
        <v>450</v>
      </c>
      <c r="CE236" t="s">
        <v>673</v>
      </c>
      <c r="CF236">
        <v>15</v>
      </c>
      <c r="CG236" t="s">
        <v>1196</v>
      </c>
      <c r="CH236" t="s">
        <v>1196</v>
      </c>
      <c r="CI236">
        <v>110</v>
      </c>
      <c r="CJ236">
        <v>1381</v>
      </c>
      <c r="CK236">
        <v>2</v>
      </c>
      <c r="CL236">
        <v>1475</v>
      </c>
      <c r="CM236">
        <v>2</v>
      </c>
      <c r="CN236" t="s">
        <v>675</v>
      </c>
      <c r="CO236" t="s">
        <v>676</v>
      </c>
      <c r="CP236" t="s">
        <v>595</v>
      </c>
      <c r="CQ236" t="s">
        <v>621</v>
      </c>
      <c r="CR236" t="s">
        <v>541</v>
      </c>
      <c r="CS236" t="s">
        <v>542</v>
      </c>
      <c r="CT236">
        <v>420</v>
      </c>
      <c r="CU236">
        <v>5</v>
      </c>
      <c r="CV236">
        <v>1.2</v>
      </c>
      <c r="CW236">
        <v>1393</v>
      </c>
      <c r="CX236">
        <v>829</v>
      </c>
      <c r="DD236">
        <v>0</v>
      </c>
      <c r="DE236" t="s">
        <v>622</v>
      </c>
      <c r="DF236">
        <v>585</v>
      </c>
      <c r="DG236">
        <v>3</v>
      </c>
      <c r="DH236">
        <v>0.88</v>
      </c>
      <c r="DI236">
        <v>1390</v>
      </c>
      <c r="DJ236">
        <v>917</v>
      </c>
      <c r="DK236" t="s">
        <v>622</v>
      </c>
      <c r="DL236">
        <v>485</v>
      </c>
      <c r="DM236">
        <v>3</v>
      </c>
      <c r="DN236">
        <v>0.88</v>
      </c>
      <c r="DO236">
        <v>1396</v>
      </c>
      <c r="DP236">
        <v>741</v>
      </c>
      <c r="DW236" t="s">
        <v>544</v>
      </c>
      <c r="DX236">
        <v>7.5</v>
      </c>
      <c r="EA236">
        <v>1461.1</v>
      </c>
      <c r="EB236">
        <v>258</v>
      </c>
      <c r="EC236" t="s">
        <v>545</v>
      </c>
      <c r="ED236">
        <v>30</v>
      </c>
      <c r="EE236">
        <v>3</v>
      </c>
      <c r="EG236">
        <v>1502</v>
      </c>
      <c r="EH236">
        <v>177</v>
      </c>
      <c r="EJ236">
        <v>0</v>
      </c>
      <c r="EK236">
        <v>1</v>
      </c>
      <c r="EN236">
        <v>0</v>
      </c>
      <c r="EP236" t="s">
        <v>546</v>
      </c>
      <c r="EQ236">
        <v>110</v>
      </c>
      <c r="ER236">
        <v>3</v>
      </c>
      <c r="ES236">
        <v>5.5</v>
      </c>
      <c r="ET236">
        <v>1378</v>
      </c>
      <c r="EU236">
        <v>506.7</v>
      </c>
      <c r="EV236">
        <v>698</v>
      </c>
      <c r="EW236" t="s">
        <v>547</v>
      </c>
      <c r="EX236">
        <v>70</v>
      </c>
      <c r="EY236">
        <v>2</v>
      </c>
      <c r="EZ236">
        <v>4.5</v>
      </c>
      <c r="FA236">
        <v>1378</v>
      </c>
      <c r="FB236">
        <v>214</v>
      </c>
      <c r="FC236">
        <v>295</v>
      </c>
      <c r="FE236">
        <v>0</v>
      </c>
      <c r="FF236">
        <v>2</v>
      </c>
      <c r="FI236">
        <v>0</v>
      </c>
      <c r="FK236" t="s">
        <v>548</v>
      </c>
      <c r="FL236">
        <v>0.4</v>
      </c>
      <c r="FM236">
        <v>95</v>
      </c>
      <c r="FN236">
        <v>160</v>
      </c>
      <c r="GR236" t="s">
        <v>548</v>
      </c>
      <c r="GS236">
        <v>0.4</v>
      </c>
      <c r="GT236">
        <v>30</v>
      </c>
      <c r="GU236">
        <v>400</v>
      </c>
      <c r="GV236">
        <v>30</v>
      </c>
      <c r="GW236">
        <v>280</v>
      </c>
      <c r="HC236">
        <v>0.1</v>
      </c>
      <c r="HD236">
        <v>3</v>
      </c>
      <c r="HE236">
        <v>3</v>
      </c>
      <c r="HF236">
        <v>3</v>
      </c>
      <c r="HG236">
        <v>3</v>
      </c>
      <c r="HH236">
        <v>3</v>
      </c>
      <c r="HI236">
        <v>165</v>
      </c>
      <c r="HJ236">
        <v>3</v>
      </c>
      <c r="HK236">
        <v>55</v>
      </c>
      <c r="HL236">
        <v>2</v>
      </c>
      <c r="HM236">
        <v>0</v>
      </c>
      <c r="HN236">
        <v>2</v>
      </c>
      <c r="HO236">
        <v>95</v>
      </c>
      <c r="HP236">
        <v>3</v>
      </c>
      <c r="HQ236">
        <v>0</v>
      </c>
      <c r="HR236">
        <v>2</v>
      </c>
      <c r="HS236">
        <v>5343</v>
      </c>
      <c r="HT236">
        <v>160</v>
      </c>
      <c r="HU236">
        <v>180</v>
      </c>
      <c r="HW236">
        <v>0</v>
      </c>
      <c r="HX236">
        <v>460</v>
      </c>
      <c r="HY236">
        <v>0.18</v>
      </c>
      <c r="IA236">
        <v>0.15</v>
      </c>
      <c r="IB236">
        <v>0</v>
      </c>
      <c r="IC236">
        <v>180</v>
      </c>
      <c r="ID236">
        <v>110</v>
      </c>
      <c r="IE236">
        <v>225</v>
      </c>
      <c r="IF236">
        <v>0</v>
      </c>
      <c r="IH236" t="s">
        <v>549</v>
      </c>
      <c r="IO236">
        <v>3</v>
      </c>
      <c r="IP236">
        <v>18</v>
      </c>
      <c r="IQ236">
        <v>0</v>
      </c>
      <c r="IR236">
        <v>1</v>
      </c>
      <c r="IV236">
        <v>1381</v>
      </c>
      <c r="IW236">
        <v>440</v>
      </c>
      <c r="JA236">
        <v>1</v>
      </c>
      <c r="JB236">
        <v>0</v>
      </c>
      <c r="JC236">
        <v>2</v>
      </c>
      <c r="JD236">
        <v>1393</v>
      </c>
      <c r="JE236">
        <v>1390</v>
      </c>
      <c r="JF236">
        <v>1396</v>
      </c>
      <c r="JG236">
        <v>1378</v>
      </c>
      <c r="JH236">
        <v>0</v>
      </c>
      <c r="JJ236">
        <v>180</v>
      </c>
      <c r="JK236">
        <v>460</v>
      </c>
      <c r="JN236">
        <v>420</v>
      </c>
      <c r="JO236">
        <v>585</v>
      </c>
      <c r="JP236">
        <v>485</v>
      </c>
      <c r="JQ236">
        <v>0</v>
      </c>
      <c r="JR236">
        <v>396</v>
      </c>
      <c r="JS236">
        <v>165</v>
      </c>
      <c r="JV236">
        <v>8</v>
      </c>
      <c r="JW236" t="s">
        <v>550</v>
      </c>
      <c r="JX236">
        <v>0</v>
      </c>
      <c r="KA236">
        <v>225</v>
      </c>
      <c r="KB236">
        <v>110</v>
      </c>
      <c r="KC236">
        <v>0</v>
      </c>
      <c r="KD236">
        <v>80</v>
      </c>
      <c r="KF236">
        <v>4</v>
      </c>
      <c r="KG236">
        <v>2</v>
      </c>
      <c r="KH236">
        <v>2</v>
      </c>
      <c r="KI236">
        <v>2</v>
      </c>
      <c r="KJ236">
        <v>0</v>
      </c>
      <c r="KK236">
        <v>1.5</v>
      </c>
      <c r="KL236">
        <v>1.5</v>
      </c>
      <c r="KM236">
        <v>0</v>
      </c>
      <c r="KN236">
        <v>0</v>
      </c>
      <c r="KO236">
        <v>0</v>
      </c>
      <c r="KR236">
        <v>30</v>
      </c>
      <c r="KS236">
        <v>60</v>
      </c>
      <c r="KT236">
        <v>0</v>
      </c>
      <c r="LK236">
        <v>480</v>
      </c>
      <c r="PG236">
        <v>1</v>
      </c>
      <c r="PI236" t="s">
        <v>3023</v>
      </c>
      <c r="PJ236" t="s">
        <v>3024</v>
      </c>
      <c r="PK236" t="s">
        <v>3025</v>
      </c>
      <c r="PL236" t="s">
        <v>1246</v>
      </c>
      <c r="PP236" t="s">
        <v>2194</v>
      </c>
      <c r="PX236">
        <v>56</v>
      </c>
      <c r="PY236">
        <v>56</v>
      </c>
      <c r="PZ236" t="s">
        <v>3023</v>
      </c>
      <c r="QA236">
        <v>1</v>
      </c>
      <c r="QB236">
        <v>1378</v>
      </c>
      <c r="QC236">
        <v>69</v>
      </c>
      <c r="QD236">
        <v>69</v>
      </c>
      <c r="QE236" t="s">
        <v>1246</v>
      </c>
      <c r="QF236">
        <v>1</v>
      </c>
      <c r="QG236">
        <v>1393</v>
      </c>
      <c r="QH236">
        <v>66</v>
      </c>
      <c r="QI236">
        <v>66</v>
      </c>
      <c r="QL236">
        <v>0</v>
      </c>
      <c r="QM236">
        <v>62</v>
      </c>
      <c r="QN236">
        <v>62</v>
      </c>
      <c r="QO236" t="s">
        <v>3024</v>
      </c>
      <c r="QP236">
        <v>1</v>
      </c>
      <c r="QQ236">
        <v>1390</v>
      </c>
      <c r="QR236">
        <v>62</v>
      </c>
      <c r="QS236">
        <v>62</v>
      </c>
      <c r="QT236" t="s">
        <v>3025</v>
      </c>
      <c r="QU236">
        <v>1</v>
      </c>
      <c r="QV236">
        <v>1396</v>
      </c>
      <c r="QW236">
        <v>82</v>
      </c>
      <c r="QX236">
        <v>88</v>
      </c>
      <c r="QY236" t="s">
        <v>2194</v>
      </c>
      <c r="QZ236">
        <v>1</v>
      </c>
      <c r="RA236">
        <v>66</v>
      </c>
      <c r="RB236">
        <v>66</v>
      </c>
      <c r="RE236">
        <v>0</v>
      </c>
      <c r="RF236">
        <v>1</v>
      </c>
      <c r="RH236">
        <v>1</v>
      </c>
      <c r="RJ236">
        <v>1</v>
      </c>
      <c r="RL236">
        <v>4</v>
      </c>
      <c r="RM236">
        <v>4</v>
      </c>
      <c r="RO236">
        <v>595</v>
      </c>
      <c r="RQ236">
        <v>660</v>
      </c>
      <c r="RR236">
        <v>531</v>
      </c>
      <c r="RT236">
        <v>258</v>
      </c>
      <c r="RU236">
        <v>177</v>
      </c>
      <c r="RV236" t="s">
        <v>2150</v>
      </c>
      <c r="RW236" t="s">
        <v>679</v>
      </c>
      <c r="RX236">
        <v>15</v>
      </c>
      <c r="RY236">
        <v>4</v>
      </c>
      <c r="RZ236" t="s">
        <v>679</v>
      </c>
      <c r="SA236">
        <v>15</v>
      </c>
      <c r="SC236" t="s">
        <v>3024</v>
      </c>
      <c r="SD236">
        <v>1</v>
      </c>
      <c r="SF236" t="s">
        <v>3025</v>
      </c>
      <c r="SG236">
        <v>1</v>
      </c>
      <c r="SH236">
        <v>0.995</v>
      </c>
      <c r="SI236">
        <v>0.995</v>
      </c>
      <c r="SJ236">
        <v>0.995</v>
      </c>
      <c r="SK236">
        <v>15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Z236">
        <v>1</v>
      </c>
      <c r="TB236">
        <v>0</v>
      </c>
      <c r="TC236">
        <v>0</v>
      </c>
      <c r="TD236">
        <v>7.5</v>
      </c>
      <c r="TE236" t="s">
        <v>553</v>
      </c>
      <c r="TF236" t="s">
        <v>624</v>
      </c>
      <c r="TG236" t="s">
        <v>555</v>
      </c>
      <c r="TI236" t="s">
        <v>546</v>
      </c>
      <c r="TJ236" t="s">
        <v>547</v>
      </c>
      <c r="TL236" t="s">
        <v>2662</v>
      </c>
      <c r="TM236" t="s">
        <v>513</v>
      </c>
      <c r="TN236">
        <v>0</v>
      </c>
      <c r="TO236" t="s">
        <v>557</v>
      </c>
    </row>
    <row r="237" spans="1:535">
      <c r="A237" t="s">
        <v>3026</v>
      </c>
      <c r="B237" t="s">
        <v>804</v>
      </c>
      <c r="C237" t="s">
        <v>509</v>
      </c>
      <c r="D237" t="s">
        <v>1268</v>
      </c>
      <c r="G237" t="s">
        <v>1135</v>
      </c>
      <c r="I237" t="s">
        <v>562</v>
      </c>
      <c r="J237" t="s">
        <v>563</v>
      </c>
      <c r="L237" t="s">
        <v>512</v>
      </c>
      <c r="M237" t="s">
        <v>508</v>
      </c>
      <c r="N237" t="s">
        <v>513</v>
      </c>
      <c r="O237" t="s">
        <v>1255</v>
      </c>
      <c r="P237" t="s">
        <v>515</v>
      </c>
      <c r="Q237" t="s">
        <v>3027</v>
      </c>
      <c r="R237" t="s">
        <v>517</v>
      </c>
      <c r="S237" t="s">
        <v>1090</v>
      </c>
      <c r="T237" t="s">
        <v>1091</v>
      </c>
      <c r="U237" t="s">
        <v>686</v>
      </c>
      <c r="V237" t="s">
        <v>687</v>
      </c>
      <c r="W237" t="s">
        <v>1270</v>
      </c>
      <c r="X237" t="s">
        <v>2657</v>
      </c>
      <c r="Y237" t="s">
        <v>574</v>
      </c>
      <c r="Z237" t="s">
        <v>3028</v>
      </c>
      <c r="AA237" t="s">
        <v>3029</v>
      </c>
      <c r="AB237" t="s">
        <v>3030</v>
      </c>
      <c r="AC237">
        <v>2</v>
      </c>
      <c r="AD237">
        <v>56</v>
      </c>
      <c r="AE237">
        <v>248</v>
      </c>
      <c r="AF237">
        <v>1.5</v>
      </c>
      <c r="AH237">
        <v>0</v>
      </c>
      <c r="AI237" t="s">
        <v>1648</v>
      </c>
      <c r="AJ237">
        <v>227.5</v>
      </c>
      <c r="AK237">
        <v>1</v>
      </c>
      <c r="AL237">
        <v>1.5</v>
      </c>
      <c r="AM237" t="s">
        <v>579</v>
      </c>
      <c r="AN237" t="s">
        <v>795</v>
      </c>
      <c r="AO237">
        <v>2</v>
      </c>
      <c r="AP237" t="s">
        <v>581</v>
      </c>
      <c r="AQ237" t="s">
        <v>582</v>
      </c>
      <c r="AR237">
        <v>275</v>
      </c>
      <c r="AS237">
        <v>1.5</v>
      </c>
      <c r="AT237" t="s">
        <v>583</v>
      </c>
      <c r="AU237" t="s">
        <v>3031</v>
      </c>
      <c r="AW237" t="s">
        <v>3031</v>
      </c>
      <c r="AX237">
        <v>1</v>
      </c>
      <c r="AY237">
        <v>325</v>
      </c>
      <c r="AZ237">
        <v>1.5</v>
      </c>
      <c r="BA237" t="s">
        <v>579</v>
      </c>
      <c r="BB237" t="s">
        <v>3032</v>
      </c>
      <c r="BD237" t="s">
        <v>3032</v>
      </c>
      <c r="BE237">
        <v>1</v>
      </c>
      <c r="BF237">
        <v>270</v>
      </c>
      <c r="BG237">
        <v>1.5</v>
      </c>
      <c r="BJ237">
        <v>0</v>
      </c>
      <c r="BN237">
        <v>1.5</v>
      </c>
      <c r="BP237" t="s">
        <v>3033</v>
      </c>
      <c r="BQ237">
        <v>89</v>
      </c>
      <c r="BR237">
        <v>2</v>
      </c>
      <c r="BS237" t="s">
        <v>3034</v>
      </c>
      <c r="BT237">
        <v>247</v>
      </c>
      <c r="BU237">
        <v>0.5</v>
      </c>
      <c r="BV237" t="s">
        <v>3034</v>
      </c>
      <c r="BW237">
        <v>494</v>
      </c>
      <c r="BX237">
        <v>1</v>
      </c>
      <c r="BY237" t="s">
        <v>698</v>
      </c>
      <c r="BZ237">
        <v>470</v>
      </c>
      <c r="CA237">
        <v>550</v>
      </c>
      <c r="CB237" t="s">
        <v>699</v>
      </c>
      <c r="CC237" t="s">
        <v>699</v>
      </c>
      <c r="CD237">
        <v>510</v>
      </c>
      <c r="CE237" t="s">
        <v>700</v>
      </c>
      <c r="CF237">
        <v>15</v>
      </c>
      <c r="CG237" t="s">
        <v>1949</v>
      </c>
      <c r="CH237" t="s">
        <v>1949</v>
      </c>
      <c r="CI237">
        <v>40</v>
      </c>
      <c r="CJ237">
        <v>1458</v>
      </c>
      <c r="CK237">
        <v>2</v>
      </c>
      <c r="CL237">
        <v>1552</v>
      </c>
      <c r="CM237">
        <v>2</v>
      </c>
      <c r="CN237" t="s">
        <v>702</v>
      </c>
      <c r="CO237" t="s">
        <v>676</v>
      </c>
      <c r="CP237" t="s">
        <v>703</v>
      </c>
      <c r="CQ237" t="s">
        <v>596</v>
      </c>
      <c r="CR237" t="s">
        <v>541</v>
      </c>
      <c r="CS237" t="s">
        <v>542</v>
      </c>
      <c r="CT237">
        <v>455</v>
      </c>
      <c r="CU237">
        <v>5</v>
      </c>
      <c r="CV237">
        <v>1.2</v>
      </c>
      <c r="CW237">
        <v>1475</v>
      </c>
      <c r="CX237">
        <v>951</v>
      </c>
      <c r="CY237" t="s">
        <v>705</v>
      </c>
      <c r="CZ237">
        <v>60</v>
      </c>
      <c r="DA237">
        <v>3</v>
      </c>
      <c r="DB237">
        <v>1</v>
      </c>
      <c r="DC237">
        <v>1475</v>
      </c>
      <c r="DD237">
        <v>92</v>
      </c>
      <c r="DE237" t="s">
        <v>622</v>
      </c>
      <c r="DF237">
        <v>650</v>
      </c>
      <c r="DG237">
        <v>3</v>
      </c>
      <c r="DH237">
        <v>0.88</v>
      </c>
      <c r="DI237">
        <v>1467</v>
      </c>
      <c r="DJ237">
        <v>1160</v>
      </c>
      <c r="DK237" t="s">
        <v>622</v>
      </c>
      <c r="DL237">
        <v>540</v>
      </c>
      <c r="DM237">
        <v>3</v>
      </c>
      <c r="DN237">
        <v>0.88</v>
      </c>
      <c r="DO237">
        <v>1472</v>
      </c>
      <c r="DP237">
        <v>861</v>
      </c>
      <c r="DW237" t="s">
        <v>544</v>
      </c>
      <c r="DX237">
        <v>9.4</v>
      </c>
      <c r="EA237">
        <v>1544.1</v>
      </c>
      <c r="EB237">
        <v>363</v>
      </c>
      <c r="EC237" t="s">
        <v>545</v>
      </c>
      <c r="ED237">
        <v>40</v>
      </c>
      <c r="EE237">
        <v>3</v>
      </c>
      <c r="EG237">
        <v>1585</v>
      </c>
      <c r="EH237">
        <v>309</v>
      </c>
      <c r="EJ237">
        <v>0</v>
      </c>
      <c r="EK237">
        <v>1</v>
      </c>
      <c r="EN237">
        <v>0</v>
      </c>
      <c r="EP237" t="s">
        <v>546</v>
      </c>
      <c r="EQ237">
        <v>135</v>
      </c>
      <c r="ER237">
        <v>3</v>
      </c>
      <c r="ES237">
        <v>6</v>
      </c>
      <c r="ET237">
        <v>1457</v>
      </c>
      <c r="EU237">
        <v>696.8</v>
      </c>
      <c r="EV237">
        <v>1015</v>
      </c>
      <c r="EW237" t="s">
        <v>547</v>
      </c>
      <c r="EX237">
        <v>40</v>
      </c>
      <c r="EY237">
        <v>2</v>
      </c>
      <c r="EZ237">
        <v>4</v>
      </c>
      <c r="FA237">
        <v>1457</v>
      </c>
      <c r="FB237">
        <v>117.9</v>
      </c>
      <c r="FC237">
        <v>172</v>
      </c>
      <c r="FE237">
        <v>0</v>
      </c>
      <c r="FF237">
        <v>2</v>
      </c>
      <c r="FI237">
        <v>0</v>
      </c>
      <c r="FK237" t="s">
        <v>548</v>
      </c>
      <c r="FL237">
        <v>0.4</v>
      </c>
      <c r="FM237">
        <v>70</v>
      </c>
      <c r="FN237">
        <v>430</v>
      </c>
      <c r="FO237">
        <v>100</v>
      </c>
      <c r="FP237">
        <v>170</v>
      </c>
      <c r="GR237" t="s">
        <v>548</v>
      </c>
      <c r="GS237">
        <v>0.4</v>
      </c>
      <c r="GT237">
        <v>30</v>
      </c>
      <c r="GU237">
        <v>460</v>
      </c>
      <c r="GV237">
        <v>30</v>
      </c>
      <c r="GW237">
        <v>320</v>
      </c>
      <c r="HC237">
        <v>0.1</v>
      </c>
      <c r="HD237">
        <v>3</v>
      </c>
      <c r="HE237">
        <v>3</v>
      </c>
      <c r="HF237">
        <v>3</v>
      </c>
      <c r="HG237">
        <v>3</v>
      </c>
      <c r="HH237">
        <v>3</v>
      </c>
      <c r="HI237">
        <v>160</v>
      </c>
      <c r="HJ237">
        <v>3</v>
      </c>
      <c r="HK237">
        <v>25</v>
      </c>
      <c r="HL237">
        <v>2</v>
      </c>
      <c r="HM237">
        <v>0</v>
      </c>
      <c r="HN237">
        <v>2</v>
      </c>
      <c r="HO237">
        <v>120</v>
      </c>
      <c r="HP237">
        <v>3</v>
      </c>
      <c r="HQ237">
        <v>0</v>
      </c>
      <c r="HR237">
        <v>2</v>
      </c>
      <c r="HS237">
        <v>6874</v>
      </c>
      <c r="HT237">
        <v>210</v>
      </c>
      <c r="HU237">
        <v>180</v>
      </c>
      <c r="HW237">
        <v>0</v>
      </c>
      <c r="HX237">
        <v>500</v>
      </c>
      <c r="HY237">
        <v>0.18</v>
      </c>
      <c r="IA237">
        <v>0.15</v>
      </c>
      <c r="IB237">
        <v>0</v>
      </c>
      <c r="IC237">
        <v>180</v>
      </c>
      <c r="ID237">
        <v>110</v>
      </c>
      <c r="IE237">
        <v>225</v>
      </c>
      <c r="IF237">
        <v>0</v>
      </c>
      <c r="IH237" t="s">
        <v>549</v>
      </c>
      <c r="IO237">
        <v>3</v>
      </c>
      <c r="IP237">
        <v>19</v>
      </c>
      <c r="IQ237">
        <v>0</v>
      </c>
      <c r="IR237">
        <v>0</v>
      </c>
      <c r="IV237">
        <v>1458</v>
      </c>
      <c r="IW237">
        <v>494</v>
      </c>
      <c r="JA237">
        <v>1</v>
      </c>
      <c r="JB237">
        <v>0</v>
      </c>
      <c r="JC237">
        <v>2</v>
      </c>
      <c r="JD237">
        <v>1475</v>
      </c>
      <c r="JE237">
        <v>1467</v>
      </c>
      <c r="JF237">
        <v>1472</v>
      </c>
      <c r="JG237">
        <v>1457</v>
      </c>
      <c r="JH237">
        <v>0</v>
      </c>
      <c r="JJ237">
        <v>180</v>
      </c>
      <c r="JK237">
        <v>500</v>
      </c>
      <c r="JN237">
        <v>455</v>
      </c>
      <c r="JO237">
        <v>650</v>
      </c>
      <c r="JP237">
        <v>540</v>
      </c>
      <c r="JQ237">
        <v>0</v>
      </c>
      <c r="JR237">
        <v>496</v>
      </c>
      <c r="JS237">
        <v>160</v>
      </c>
      <c r="JV237">
        <v>10</v>
      </c>
      <c r="JW237" t="s">
        <v>550</v>
      </c>
      <c r="JX237">
        <v>550</v>
      </c>
      <c r="KA237">
        <v>225</v>
      </c>
      <c r="KB237">
        <v>110</v>
      </c>
      <c r="KC237">
        <v>0</v>
      </c>
      <c r="KD237">
        <v>80</v>
      </c>
      <c r="KF237">
        <v>4</v>
      </c>
      <c r="KG237">
        <v>4</v>
      </c>
      <c r="KH237">
        <v>2</v>
      </c>
      <c r="KI237">
        <v>2</v>
      </c>
      <c r="KJ237">
        <v>0</v>
      </c>
      <c r="KK237">
        <v>1.5</v>
      </c>
      <c r="KL237">
        <v>1.5</v>
      </c>
      <c r="KM237">
        <v>0</v>
      </c>
      <c r="KN237">
        <v>0</v>
      </c>
      <c r="KO237">
        <v>0</v>
      </c>
      <c r="KR237">
        <v>30</v>
      </c>
      <c r="KS237">
        <v>60</v>
      </c>
      <c r="KT237">
        <v>0</v>
      </c>
      <c r="LK237">
        <v>480</v>
      </c>
      <c r="PG237">
        <v>1</v>
      </c>
      <c r="PI237" t="s">
        <v>3030</v>
      </c>
      <c r="PJ237" t="s">
        <v>3031</v>
      </c>
      <c r="PK237" t="s">
        <v>3032</v>
      </c>
      <c r="PL237" t="s">
        <v>1648</v>
      </c>
      <c r="PP237" t="s">
        <v>3033</v>
      </c>
      <c r="PS237" t="s">
        <v>795</v>
      </c>
      <c r="PX237">
        <v>56</v>
      </c>
      <c r="PY237">
        <v>56</v>
      </c>
      <c r="PZ237" t="s">
        <v>3030</v>
      </c>
      <c r="QA237">
        <v>1</v>
      </c>
      <c r="QB237">
        <v>1457</v>
      </c>
      <c r="QC237">
        <v>69</v>
      </c>
      <c r="QD237">
        <v>69</v>
      </c>
      <c r="QE237" t="s">
        <v>1648</v>
      </c>
      <c r="QF237">
        <v>1</v>
      </c>
      <c r="QG237">
        <v>1475</v>
      </c>
      <c r="QH237">
        <v>66</v>
      </c>
      <c r="QI237">
        <v>66</v>
      </c>
      <c r="QJ237" t="s">
        <v>795</v>
      </c>
      <c r="QK237">
        <v>1</v>
      </c>
      <c r="QL237">
        <v>1475</v>
      </c>
      <c r="QM237">
        <v>62</v>
      </c>
      <c r="QN237">
        <v>62</v>
      </c>
      <c r="QO237" t="s">
        <v>3031</v>
      </c>
      <c r="QP237">
        <v>1</v>
      </c>
      <c r="QQ237">
        <v>1467</v>
      </c>
      <c r="QR237">
        <v>62</v>
      </c>
      <c r="QS237">
        <v>62</v>
      </c>
      <c r="QT237" t="s">
        <v>3032</v>
      </c>
      <c r="QU237">
        <v>1</v>
      </c>
      <c r="QV237">
        <v>1472</v>
      </c>
      <c r="QW237">
        <v>82</v>
      </c>
      <c r="QX237">
        <v>89</v>
      </c>
      <c r="QY237" t="s">
        <v>3033</v>
      </c>
      <c r="QZ237">
        <v>1</v>
      </c>
      <c r="RA237">
        <v>66</v>
      </c>
      <c r="RB237">
        <v>66</v>
      </c>
      <c r="RE237">
        <v>0</v>
      </c>
      <c r="RF237">
        <v>1</v>
      </c>
      <c r="RH237">
        <v>1</v>
      </c>
      <c r="RJ237">
        <v>1</v>
      </c>
      <c r="RK237">
        <v>2</v>
      </c>
      <c r="RL237">
        <v>4</v>
      </c>
      <c r="RM237">
        <v>4</v>
      </c>
      <c r="RO237">
        <v>645</v>
      </c>
      <c r="RP237">
        <v>125</v>
      </c>
      <c r="RQ237">
        <v>791</v>
      </c>
      <c r="RR237">
        <v>585</v>
      </c>
      <c r="RT237">
        <v>363</v>
      </c>
      <c r="RU237">
        <v>309</v>
      </c>
      <c r="RV237" t="s">
        <v>3035</v>
      </c>
      <c r="RW237" t="s">
        <v>707</v>
      </c>
      <c r="RX237">
        <v>15</v>
      </c>
      <c r="RY237">
        <v>4</v>
      </c>
      <c r="RZ237" t="s">
        <v>707</v>
      </c>
      <c r="SA237">
        <v>15</v>
      </c>
      <c r="SC237" t="s">
        <v>3031</v>
      </c>
      <c r="SD237">
        <v>1</v>
      </c>
      <c r="SF237" t="s">
        <v>3032</v>
      </c>
      <c r="SG237">
        <v>1</v>
      </c>
      <c r="SH237">
        <v>0.995</v>
      </c>
      <c r="SI237">
        <v>0.995</v>
      </c>
      <c r="SJ237">
        <v>0.995</v>
      </c>
      <c r="SK237">
        <v>15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1</v>
      </c>
      <c r="SZ237">
        <v>1</v>
      </c>
      <c r="TB237">
        <v>0</v>
      </c>
      <c r="TC237">
        <v>0</v>
      </c>
      <c r="TD237">
        <v>9.4</v>
      </c>
      <c r="TE237" t="s">
        <v>553</v>
      </c>
      <c r="TF237" t="s">
        <v>600</v>
      </c>
      <c r="TG237" t="s">
        <v>555</v>
      </c>
      <c r="TI237" t="s">
        <v>546</v>
      </c>
      <c r="TJ237" t="s">
        <v>547</v>
      </c>
      <c r="TL237" t="s">
        <v>2662</v>
      </c>
      <c r="TM237" t="s">
        <v>513</v>
      </c>
      <c r="TN237">
        <v>0</v>
      </c>
      <c r="TO237" t="s">
        <v>557</v>
      </c>
    </row>
    <row r="238" spans="1:535">
      <c r="A238" t="s">
        <v>3036</v>
      </c>
      <c r="B238" t="s">
        <v>804</v>
      </c>
      <c r="C238" t="s">
        <v>509</v>
      </c>
      <c r="D238" t="s">
        <v>3037</v>
      </c>
      <c r="G238" t="s">
        <v>511</v>
      </c>
      <c r="I238" t="s">
        <v>562</v>
      </c>
      <c r="L238" t="s">
        <v>512</v>
      </c>
      <c r="M238" t="s">
        <v>508</v>
      </c>
      <c r="N238" t="s">
        <v>513</v>
      </c>
      <c r="O238" t="s">
        <v>514</v>
      </c>
      <c r="P238" t="s">
        <v>515</v>
      </c>
      <c r="Q238" t="s">
        <v>3038</v>
      </c>
      <c r="R238" t="s">
        <v>567</v>
      </c>
      <c r="S238" t="s">
        <v>518</v>
      </c>
      <c r="T238" t="s">
        <v>519</v>
      </c>
      <c r="U238" t="s">
        <v>520</v>
      </c>
      <c r="V238" t="s">
        <v>521</v>
      </c>
      <c r="W238" t="s">
        <v>1619</v>
      </c>
      <c r="X238" t="s">
        <v>3039</v>
      </c>
      <c r="Y238" t="s">
        <v>524</v>
      </c>
      <c r="Z238" t="s">
        <v>3040</v>
      </c>
      <c r="AA238" t="s">
        <v>3040</v>
      </c>
      <c r="AB238" t="s">
        <v>3041</v>
      </c>
      <c r="AC238">
        <v>2</v>
      </c>
      <c r="AD238">
        <v>57</v>
      </c>
      <c r="AE238">
        <v>179</v>
      </c>
      <c r="AF238">
        <v>1.5</v>
      </c>
      <c r="AH238">
        <v>0</v>
      </c>
      <c r="AI238" t="s">
        <v>778</v>
      </c>
      <c r="AJ238">
        <v>190</v>
      </c>
      <c r="AK238">
        <v>1</v>
      </c>
      <c r="AL238">
        <v>1.5</v>
      </c>
      <c r="AM238" t="s">
        <v>529</v>
      </c>
      <c r="AO238">
        <v>0</v>
      </c>
      <c r="AR238">
        <v>0</v>
      </c>
      <c r="AS238">
        <v>1.5</v>
      </c>
      <c r="AU238" t="s">
        <v>3042</v>
      </c>
      <c r="AW238" t="s">
        <v>3042</v>
      </c>
      <c r="AX238">
        <v>1</v>
      </c>
      <c r="AY238">
        <v>255</v>
      </c>
      <c r="AZ238">
        <v>1.5</v>
      </c>
      <c r="BA238" t="s">
        <v>529</v>
      </c>
      <c r="BG238">
        <v>1.5</v>
      </c>
      <c r="BJ238">
        <v>0</v>
      </c>
      <c r="BN238">
        <v>1.5</v>
      </c>
      <c r="BP238" t="s">
        <v>3043</v>
      </c>
      <c r="BQ238">
        <v>89</v>
      </c>
      <c r="BR238">
        <v>2</v>
      </c>
      <c r="BS238" t="s">
        <v>532</v>
      </c>
      <c r="BT238">
        <v>202</v>
      </c>
      <c r="BU238">
        <v>0.5</v>
      </c>
      <c r="BV238" t="s">
        <v>532</v>
      </c>
      <c r="BW238">
        <v>404</v>
      </c>
      <c r="BX238">
        <v>1</v>
      </c>
      <c r="BY238" t="s">
        <v>533</v>
      </c>
      <c r="BZ238">
        <v>300</v>
      </c>
      <c r="CA238">
        <v>460</v>
      </c>
      <c r="CB238" t="s">
        <v>534</v>
      </c>
      <c r="CC238" t="s">
        <v>534</v>
      </c>
      <c r="CD238">
        <v>420</v>
      </c>
      <c r="CE238" t="s">
        <v>535</v>
      </c>
      <c r="CF238">
        <v>15</v>
      </c>
      <c r="CG238" t="s">
        <v>738</v>
      </c>
      <c r="CH238" t="s">
        <v>738</v>
      </c>
      <c r="CI238">
        <v>80</v>
      </c>
      <c r="CJ238">
        <v>1200</v>
      </c>
      <c r="CK238">
        <v>2</v>
      </c>
      <c r="CL238">
        <v>1301</v>
      </c>
      <c r="CM238">
        <v>2</v>
      </c>
      <c r="CN238" t="s">
        <v>537</v>
      </c>
      <c r="CO238" t="s">
        <v>538</v>
      </c>
      <c r="CP238" t="s">
        <v>539</v>
      </c>
      <c r="CQ238" t="s">
        <v>540</v>
      </c>
      <c r="CR238" t="s">
        <v>541</v>
      </c>
      <c r="CS238" t="s">
        <v>542</v>
      </c>
      <c r="CT238">
        <v>380</v>
      </c>
      <c r="CU238">
        <v>5</v>
      </c>
      <c r="CV238">
        <v>1.3</v>
      </c>
      <c r="CW238">
        <v>1218</v>
      </c>
      <c r="CX238">
        <v>710</v>
      </c>
      <c r="DD238">
        <v>0</v>
      </c>
      <c r="DE238" t="s">
        <v>543</v>
      </c>
      <c r="DF238">
        <v>510</v>
      </c>
      <c r="DG238">
        <v>3</v>
      </c>
      <c r="DH238">
        <v>1.18</v>
      </c>
      <c r="DI238">
        <v>1210</v>
      </c>
      <c r="DJ238">
        <v>906</v>
      </c>
      <c r="DW238" t="s">
        <v>544</v>
      </c>
      <c r="DX238">
        <v>7.5</v>
      </c>
      <c r="EA238">
        <v>1284.1</v>
      </c>
      <c r="EB238">
        <v>183</v>
      </c>
      <c r="EC238" t="s">
        <v>545</v>
      </c>
      <c r="ED238">
        <v>15</v>
      </c>
      <c r="EE238" t="s">
        <v>1900</v>
      </c>
      <c r="EG238">
        <v>1315</v>
      </c>
      <c r="EH238">
        <v>50</v>
      </c>
      <c r="EJ238">
        <v>0</v>
      </c>
      <c r="EK238">
        <v>1</v>
      </c>
      <c r="EN238">
        <v>0</v>
      </c>
      <c r="EP238" t="s">
        <v>546</v>
      </c>
      <c r="EQ238">
        <v>100</v>
      </c>
      <c r="ER238">
        <v>3</v>
      </c>
      <c r="ES238">
        <v>5</v>
      </c>
      <c r="ET238">
        <v>1194</v>
      </c>
      <c r="EU238">
        <v>397.6</v>
      </c>
      <c r="EV238">
        <v>475</v>
      </c>
      <c r="EW238" t="s">
        <v>547</v>
      </c>
      <c r="EX238">
        <v>70</v>
      </c>
      <c r="EY238">
        <v>2</v>
      </c>
      <c r="EZ238">
        <v>4.6</v>
      </c>
      <c r="FA238">
        <v>1194</v>
      </c>
      <c r="FB238">
        <v>180.1</v>
      </c>
      <c r="FC238">
        <v>215</v>
      </c>
      <c r="FE238">
        <v>0</v>
      </c>
      <c r="FF238">
        <v>2</v>
      </c>
      <c r="FI238">
        <v>0</v>
      </c>
      <c r="FK238" t="s">
        <v>548</v>
      </c>
      <c r="FL238">
        <v>0.4</v>
      </c>
      <c r="FM238">
        <v>40</v>
      </c>
      <c r="FN238">
        <v>180</v>
      </c>
      <c r="FR238" t="s">
        <v>548</v>
      </c>
      <c r="FS238">
        <v>0.4</v>
      </c>
      <c r="FT238">
        <v>25</v>
      </c>
      <c r="FU238">
        <v>372</v>
      </c>
      <c r="HC238">
        <v>0.1</v>
      </c>
      <c r="HD238">
        <v>3</v>
      </c>
      <c r="HE238">
        <v>3</v>
      </c>
      <c r="HF238">
        <v>3</v>
      </c>
      <c r="HG238">
        <v>3</v>
      </c>
      <c r="HH238">
        <v>3</v>
      </c>
      <c r="HI238">
        <v>155</v>
      </c>
      <c r="HJ238">
        <v>3</v>
      </c>
      <c r="HK238">
        <v>55</v>
      </c>
      <c r="HL238">
        <v>2</v>
      </c>
      <c r="HM238">
        <v>0</v>
      </c>
      <c r="HN238">
        <v>2</v>
      </c>
      <c r="HO238">
        <v>85</v>
      </c>
      <c r="HP238">
        <v>3</v>
      </c>
      <c r="HQ238">
        <v>0</v>
      </c>
      <c r="HR238">
        <v>2</v>
      </c>
      <c r="HS238">
        <v>3462</v>
      </c>
      <c r="HT238">
        <v>100</v>
      </c>
      <c r="HU238">
        <v>170</v>
      </c>
      <c r="HW238">
        <v>0</v>
      </c>
      <c r="HX238">
        <v>460</v>
      </c>
      <c r="HY238">
        <v>0.18</v>
      </c>
      <c r="IA238">
        <v>0.15</v>
      </c>
      <c r="IB238">
        <v>0</v>
      </c>
      <c r="IC238">
        <v>180</v>
      </c>
      <c r="ID238">
        <v>110</v>
      </c>
      <c r="IE238">
        <v>0</v>
      </c>
      <c r="IF238">
        <v>0</v>
      </c>
      <c r="IH238" t="s">
        <v>549</v>
      </c>
      <c r="IO238">
        <v>1</v>
      </c>
      <c r="IP238">
        <v>16</v>
      </c>
      <c r="IQ238">
        <v>1</v>
      </c>
      <c r="IR238">
        <v>1</v>
      </c>
      <c r="IV238">
        <v>1200</v>
      </c>
      <c r="IW238">
        <v>404</v>
      </c>
      <c r="JA238">
        <v>1</v>
      </c>
      <c r="JB238">
        <v>0</v>
      </c>
      <c r="JC238">
        <v>2</v>
      </c>
      <c r="JD238">
        <v>1218</v>
      </c>
      <c r="JE238">
        <v>1210</v>
      </c>
      <c r="JF238">
        <v>0</v>
      </c>
      <c r="JG238">
        <v>1194</v>
      </c>
      <c r="JH238">
        <v>0</v>
      </c>
      <c r="JJ238">
        <v>170</v>
      </c>
      <c r="JK238">
        <v>460</v>
      </c>
      <c r="JN238">
        <v>380</v>
      </c>
      <c r="JO238">
        <v>510</v>
      </c>
      <c r="JP238">
        <v>0</v>
      </c>
      <c r="JQ238">
        <v>0</v>
      </c>
      <c r="JR238">
        <v>358</v>
      </c>
      <c r="JS238">
        <v>155</v>
      </c>
      <c r="JV238">
        <v>8</v>
      </c>
      <c r="JW238" t="s">
        <v>550</v>
      </c>
      <c r="JX238">
        <v>0</v>
      </c>
      <c r="KA238">
        <v>0</v>
      </c>
      <c r="KB238">
        <v>110</v>
      </c>
      <c r="KC238">
        <v>0</v>
      </c>
      <c r="KD238">
        <v>80</v>
      </c>
      <c r="KF238">
        <v>4</v>
      </c>
      <c r="KG238">
        <v>4</v>
      </c>
      <c r="KH238">
        <v>2</v>
      </c>
      <c r="KI238">
        <v>2</v>
      </c>
      <c r="KJ238">
        <v>0</v>
      </c>
      <c r="KK238">
        <v>1.5</v>
      </c>
      <c r="KL238">
        <v>1.5</v>
      </c>
      <c r="KM238">
        <v>0</v>
      </c>
      <c r="KN238">
        <v>0</v>
      </c>
      <c r="KO238">
        <v>0</v>
      </c>
      <c r="KR238">
        <v>30</v>
      </c>
      <c r="KS238">
        <v>60</v>
      </c>
      <c r="KT238">
        <v>0</v>
      </c>
      <c r="LK238">
        <v>480</v>
      </c>
      <c r="PG238">
        <v>1</v>
      </c>
      <c r="PI238" t="s">
        <v>3041</v>
      </c>
      <c r="PJ238" t="s">
        <v>3042</v>
      </c>
      <c r="PL238" t="s">
        <v>778</v>
      </c>
      <c r="PP238" t="s">
        <v>3043</v>
      </c>
      <c r="PX238">
        <v>56</v>
      </c>
      <c r="PY238">
        <v>57</v>
      </c>
      <c r="PZ238" t="s">
        <v>3041</v>
      </c>
      <c r="QA238">
        <v>1</v>
      </c>
      <c r="QB238">
        <v>1194</v>
      </c>
      <c r="QC238">
        <v>69</v>
      </c>
      <c r="QD238">
        <v>69</v>
      </c>
      <c r="QE238" t="s">
        <v>778</v>
      </c>
      <c r="QF238">
        <v>1</v>
      </c>
      <c r="QG238">
        <v>1218</v>
      </c>
      <c r="QH238">
        <v>66</v>
      </c>
      <c r="QI238">
        <v>66</v>
      </c>
      <c r="QL238">
        <v>0</v>
      </c>
      <c r="QM238">
        <v>62</v>
      </c>
      <c r="QN238">
        <v>62</v>
      </c>
      <c r="QO238" t="s">
        <v>3042</v>
      </c>
      <c r="QP238">
        <v>1</v>
      </c>
      <c r="QQ238">
        <v>1210</v>
      </c>
      <c r="QW238">
        <v>82</v>
      </c>
      <c r="QX238">
        <v>89</v>
      </c>
      <c r="QY238" t="s">
        <v>3043</v>
      </c>
      <c r="QZ238">
        <v>1</v>
      </c>
      <c r="RA238">
        <v>66</v>
      </c>
      <c r="RB238">
        <v>66</v>
      </c>
      <c r="RE238">
        <v>0</v>
      </c>
      <c r="RF238">
        <v>1</v>
      </c>
      <c r="RJ238">
        <v>1</v>
      </c>
      <c r="RL238">
        <v>1</v>
      </c>
      <c r="RO238">
        <v>583</v>
      </c>
      <c r="RQ238">
        <v>749</v>
      </c>
      <c r="RT238">
        <v>183</v>
      </c>
      <c r="RU238">
        <v>50</v>
      </c>
      <c r="RV238" t="s">
        <v>551</v>
      </c>
      <c r="RW238" t="s">
        <v>552</v>
      </c>
      <c r="RX238">
        <v>15</v>
      </c>
      <c r="RY238">
        <v>4</v>
      </c>
      <c r="RZ238" t="s">
        <v>552</v>
      </c>
      <c r="SA238">
        <v>15</v>
      </c>
      <c r="SC238" t="s">
        <v>3042</v>
      </c>
      <c r="SD238">
        <v>1</v>
      </c>
      <c r="SH238">
        <v>0.995</v>
      </c>
      <c r="SI238">
        <v>0.995</v>
      </c>
      <c r="SJ238">
        <v>0.995</v>
      </c>
      <c r="SK238">
        <v>15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TB238">
        <v>0</v>
      </c>
      <c r="TC238">
        <v>0</v>
      </c>
      <c r="TD238">
        <v>7.5</v>
      </c>
      <c r="TE238" t="s">
        <v>553</v>
      </c>
      <c r="TF238" t="s">
        <v>554</v>
      </c>
      <c r="TG238" t="s">
        <v>555</v>
      </c>
      <c r="TI238" t="s">
        <v>546</v>
      </c>
      <c r="TJ238" t="s">
        <v>547</v>
      </c>
      <c r="TL238" t="s">
        <v>3044</v>
      </c>
      <c r="TM238" t="s">
        <v>513</v>
      </c>
      <c r="TN238">
        <v>0</v>
      </c>
      <c r="TO238" t="s">
        <v>557</v>
      </c>
    </row>
    <row r="239" spans="1:535">
      <c r="A239" t="s">
        <v>3045</v>
      </c>
      <c r="B239" t="s">
        <v>657</v>
      </c>
      <c r="C239" t="s">
        <v>509</v>
      </c>
      <c r="D239" t="s">
        <v>3046</v>
      </c>
      <c r="G239" t="s">
        <v>604</v>
      </c>
      <c r="H239" t="s">
        <v>605</v>
      </c>
      <c r="I239" t="s">
        <v>628</v>
      </c>
      <c r="J239" t="s">
        <v>606</v>
      </c>
      <c r="L239" t="s">
        <v>512</v>
      </c>
      <c r="M239" t="s">
        <v>559</v>
      </c>
      <c r="N239" t="s">
        <v>513</v>
      </c>
      <c r="O239" t="s">
        <v>607</v>
      </c>
      <c r="Q239" t="s">
        <v>3047</v>
      </c>
      <c r="R239" t="s">
        <v>517</v>
      </c>
      <c r="S239" t="s">
        <v>1117</v>
      </c>
      <c r="T239" t="s">
        <v>714</v>
      </c>
      <c r="U239" t="s">
        <v>662</v>
      </c>
      <c r="V239" t="s">
        <v>663</v>
      </c>
      <c r="W239" t="s">
        <v>2567</v>
      </c>
      <c r="X239" t="s">
        <v>3048</v>
      </c>
      <c r="Y239" t="s">
        <v>524</v>
      </c>
      <c r="Z239" t="s">
        <v>3049</v>
      </c>
      <c r="AA239" t="s">
        <v>3050</v>
      </c>
      <c r="AB239" t="s">
        <v>3051</v>
      </c>
      <c r="AC239">
        <v>2</v>
      </c>
      <c r="AD239">
        <v>57</v>
      </c>
      <c r="AE239">
        <v>174</v>
      </c>
      <c r="AF239">
        <v>1.5</v>
      </c>
      <c r="AH239">
        <v>0</v>
      </c>
      <c r="AI239" t="s">
        <v>719</v>
      </c>
      <c r="AJ239">
        <v>185</v>
      </c>
      <c r="AK239">
        <v>1</v>
      </c>
      <c r="AL239">
        <v>1.5</v>
      </c>
      <c r="AM239" t="s">
        <v>529</v>
      </c>
      <c r="AO239">
        <v>0</v>
      </c>
      <c r="AR239">
        <v>0</v>
      </c>
      <c r="AS239">
        <v>1.5</v>
      </c>
      <c r="AV239" t="s">
        <v>3052</v>
      </c>
      <c r="AW239" t="s">
        <v>3052</v>
      </c>
      <c r="AX239">
        <v>1</v>
      </c>
      <c r="AY239">
        <v>257.5</v>
      </c>
      <c r="AZ239">
        <v>1.5</v>
      </c>
      <c r="BA239" t="s">
        <v>529</v>
      </c>
      <c r="BG239">
        <v>1.5</v>
      </c>
      <c r="BJ239">
        <v>0</v>
      </c>
      <c r="BN239">
        <v>1.5</v>
      </c>
      <c r="BP239" t="s">
        <v>2906</v>
      </c>
      <c r="BQ239">
        <v>82</v>
      </c>
      <c r="BR239">
        <v>2</v>
      </c>
      <c r="BS239" t="s">
        <v>2149</v>
      </c>
      <c r="BT239">
        <v>196</v>
      </c>
      <c r="BU239">
        <v>0.5</v>
      </c>
      <c r="BV239" t="s">
        <v>2149</v>
      </c>
      <c r="BW239">
        <v>392</v>
      </c>
      <c r="BX239">
        <v>1</v>
      </c>
      <c r="BY239" t="s">
        <v>643</v>
      </c>
      <c r="BZ239">
        <v>290</v>
      </c>
      <c r="CA239">
        <v>470</v>
      </c>
      <c r="CB239" t="s">
        <v>672</v>
      </c>
      <c r="CC239" t="s">
        <v>672</v>
      </c>
      <c r="CD239">
        <v>418</v>
      </c>
      <c r="CE239" t="s">
        <v>673</v>
      </c>
      <c r="CF239">
        <v>15</v>
      </c>
      <c r="CG239" t="s">
        <v>769</v>
      </c>
      <c r="CH239" t="s">
        <v>769</v>
      </c>
      <c r="CI239">
        <v>90</v>
      </c>
      <c r="CJ239">
        <v>1381</v>
      </c>
      <c r="CK239">
        <v>2</v>
      </c>
      <c r="CL239">
        <v>1475</v>
      </c>
      <c r="CM239">
        <v>2</v>
      </c>
      <c r="CN239" t="s">
        <v>675</v>
      </c>
      <c r="CO239" t="s">
        <v>676</v>
      </c>
      <c r="CP239" t="s">
        <v>595</v>
      </c>
      <c r="CQ239" t="s">
        <v>649</v>
      </c>
      <c r="CR239" t="s">
        <v>650</v>
      </c>
      <c r="CS239" t="s">
        <v>542</v>
      </c>
      <c r="CT239">
        <v>370</v>
      </c>
      <c r="CU239">
        <v>5</v>
      </c>
      <c r="CV239">
        <v>1.2</v>
      </c>
      <c r="CW239">
        <v>1393</v>
      </c>
      <c r="CX239">
        <v>730</v>
      </c>
      <c r="DD239">
        <v>0</v>
      </c>
      <c r="DE239" t="s">
        <v>948</v>
      </c>
      <c r="DF239">
        <v>515</v>
      </c>
      <c r="DG239">
        <v>3</v>
      </c>
      <c r="DH239">
        <v>1.22</v>
      </c>
      <c r="DI239">
        <v>1391</v>
      </c>
      <c r="DJ239">
        <v>1308</v>
      </c>
      <c r="DW239" t="s">
        <v>544</v>
      </c>
      <c r="DX239">
        <v>7.5</v>
      </c>
      <c r="EA239">
        <v>1461.1</v>
      </c>
      <c r="EB239">
        <v>258</v>
      </c>
      <c r="EC239" t="s">
        <v>545</v>
      </c>
      <c r="ED239">
        <v>25</v>
      </c>
      <c r="EE239">
        <v>3</v>
      </c>
      <c r="EG239">
        <v>1502</v>
      </c>
      <c r="EH239">
        <v>164</v>
      </c>
      <c r="EJ239">
        <v>0</v>
      </c>
      <c r="EK239">
        <v>1</v>
      </c>
      <c r="EN239">
        <v>0</v>
      </c>
      <c r="EP239" t="s">
        <v>546</v>
      </c>
      <c r="EQ239">
        <v>70</v>
      </c>
      <c r="ER239">
        <v>3</v>
      </c>
      <c r="ES239">
        <v>5</v>
      </c>
      <c r="ET239">
        <v>1375</v>
      </c>
      <c r="EU239">
        <v>290.8</v>
      </c>
      <c r="EV239">
        <v>400</v>
      </c>
      <c r="EW239" t="s">
        <v>547</v>
      </c>
      <c r="EX239">
        <v>70</v>
      </c>
      <c r="EY239">
        <v>2</v>
      </c>
      <c r="EZ239">
        <v>4.5</v>
      </c>
      <c r="FA239">
        <v>1375</v>
      </c>
      <c r="FB239">
        <v>219.6</v>
      </c>
      <c r="FC239">
        <v>302</v>
      </c>
      <c r="FE239">
        <v>0</v>
      </c>
      <c r="FF239">
        <v>2</v>
      </c>
      <c r="FI239">
        <v>0</v>
      </c>
      <c r="FK239" t="s">
        <v>548</v>
      </c>
      <c r="FL239">
        <v>0.4</v>
      </c>
      <c r="FM239">
        <v>85</v>
      </c>
      <c r="FN239">
        <v>150</v>
      </c>
      <c r="FR239" t="s">
        <v>548</v>
      </c>
      <c r="FS239">
        <v>0.4</v>
      </c>
      <c r="FT239">
        <v>85</v>
      </c>
      <c r="FU239">
        <v>250</v>
      </c>
      <c r="FY239" t="s">
        <v>651</v>
      </c>
      <c r="FZ239">
        <v>1.6</v>
      </c>
      <c r="GA239">
        <v>20</v>
      </c>
      <c r="GB239">
        <v>191</v>
      </c>
      <c r="GG239" t="s">
        <v>651</v>
      </c>
      <c r="GH239">
        <v>1.6</v>
      </c>
      <c r="GI239">
        <v>20</v>
      </c>
      <c r="GJ239">
        <v>191</v>
      </c>
      <c r="HC239">
        <v>0.1</v>
      </c>
      <c r="HD239">
        <v>3</v>
      </c>
      <c r="HE239">
        <v>3</v>
      </c>
      <c r="HF239">
        <v>3</v>
      </c>
      <c r="HG239">
        <v>3</v>
      </c>
      <c r="HH239">
        <v>3</v>
      </c>
      <c r="HI239">
        <v>125</v>
      </c>
      <c r="HJ239">
        <v>3</v>
      </c>
      <c r="HK239">
        <v>55</v>
      </c>
      <c r="HL239">
        <v>2</v>
      </c>
      <c r="HM239">
        <v>0</v>
      </c>
      <c r="HN239">
        <v>2</v>
      </c>
      <c r="HO239">
        <v>55</v>
      </c>
      <c r="HP239">
        <v>3</v>
      </c>
      <c r="HQ239">
        <v>0</v>
      </c>
      <c r="HR239">
        <v>2</v>
      </c>
      <c r="HS239">
        <v>4286</v>
      </c>
      <c r="HT239">
        <v>130</v>
      </c>
      <c r="HU239">
        <v>180</v>
      </c>
      <c r="HW239">
        <v>0</v>
      </c>
      <c r="HX239">
        <v>440</v>
      </c>
      <c r="HY239">
        <v>0.18</v>
      </c>
      <c r="IA239">
        <v>0.15</v>
      </c>
      <c r="IB239">
        <v>0</v>
      </c>
      <c r="IC239">
        <v>180</v>
      </c>
      <c r="ID239">
        <v>110</v>
      </c>
      <c r="IE239">
        <v>0</v>
      </c>
      <c r="IF239">
        <v>0</v>
      </c>
      <c r="IH239" t="s">
        <v>549</v>
      </c>
      <c r="IO239">
        <v>1</v>
      </c>
      <c r="IP239">
        <v>18</v>
      </c>
      <c r="IQ239">
        <v>0</v>
      </c>
      <c r="IR239">
        <v>1</v>
      </c>
      <c r="IV239">
        <v>1381</v>
      </c>
      <c r="IW239">
        <v>392</v>
      </c>
      <c r="IY239">
        <v>290</v>
      </c>
      <c r="JA239">
        <v>1</v>
      </c>
      <c r="JB239">
        <v>0</v>
      </c>
      <c r="JC239">
        <v>2</v>
      </c>
      <c r="JD239">
        <v>1393</v>
      </c>
      <c r="JE239">
        <v>1391</v>
      </c>
      <c r="JF239">
        <v>0</v>
      </c>
      <c r="JG239">
        <v>1375</v>
      </c>
      <c r="JH239">
        <v>0</v>
      </c>
      <c r="JJ239">
        <v>180</v>
      </c>
      <c r="JK239">
        <v>440</v>
      </c>
      <c r="JN239">
        <v>370</v>
      </c>
      <c r="JO239">
        <v>515</v>
      </c>
      <c r="JP239">
        <v>0</v>
      </c>
      <c r="JQ239">
        <v>0</v>
      </c>
      <c r="JR239">
        <v>348</v>
      </c>
      <c r="JS239">
        <v>125</v>
      </c>
      <c r="JV239">
        <v>8</v>
      </c>
      <c r="JW239" t="s">
        <v>550</v>
      </c>
      <c r="JX239">
        <v>0</v>
      </c>
      <c r="KA239">
        <v>0</v>
      </c>
      <c r="KB239">
        <v>110</v>
      </c>
      <c r="KC239">
        <v>0</v>
      </c>
      <c r="KD239">
        <v>80</v>
      </c>
      <c r="KF239">
        <v>4</v>
      </c>
      <c r="KG239">
        <v>2</v>
      </c>
      <c r="KH239">
        <v>2</v>
      </c>
      <c r="KI239">
        <v>2</v>
      </c>
      <c r="KJ239">
        <v>0</v>
      </c>
      <c r="KK239">
        <v>1.5</v>
      </c>
      <c r="KL239">
        <v>1.5</v>
      </c>
      <c r="KM239">
        <v>0</v>
      </c>
      <c r="KN239">
        <v>0</v>
      </c>
      <c r="KO239">
        <v>0</v>
      </c>
      <c r="KR239">
        <v>50</v>
      </c>
      <c r="KS239">
        <v>60</v>
      </c>
      <c r="KT239">
        <v>0</v>
      </c>
      <c r="LK239">
        <v>480</v>
      </c>
      <c r="PG239">
        <v>1</v>
      </c>
      <c r="PI239" t="s">
        <v>3051</v>
      </c>
      <c r="PJ239" t="s">
        <v>3052</v>
      </c>
      <c r="PL239" t="s">
        <v>719</v>
      </c>
      <c r="PP239" t="s">
        <v>2906</v>
      </c>
      <c r="PX239">
        <v>56</v>
      </c>
      <c r="PY239">
        <v>57</v>
      </c>
      <c r="PZ239" t="s">
        <v>3051</v>
      </c>
      <c r="QA239">
        <v>2</v>
      </c>
      <c r="QB239">
        <v>1375</v>
      </c>
      <c r="QC239">
        <v>69</v>
      </c>
      <c r="QD239">
        <v>69</v>
      </c>
      <c r="QE239" t="s">
        <v>719</v>
      </c>
      <c r="QF239">
        <v>1</v>
      </c>
      <c r="QG239">
        <v>1393</v>
      </c>
      <c r="QH239">
        <v>66</v>
      </c>
      <c r="QI239">
        <v>66</v>
      </c>
      <c r="QL239">
        <v>0</v>
      </c>
      <c r="QM239">
        <v>63</v>
      </c>
      <c r="QN239">
        <v>63</v>
      </c>
      <c r="QO239" t="s">
        <v>3052</v>
      </c>
      <c r="QP239">
        <v>1</v>
      </c>
      <c r="QQ239">
        <v>1391</v>
      </c>
      <c r="QW239">
        <v>82</v>
      </c>
      <c r="QX239">
        <v>82</v>
      </c>
      <c r="QY239" t="s">
        <v>2906</v>
      </c>
      <c r="QZ239">
        <v>1</v>
      </c>
      <c r="RA239">
        <v>66</v>
      </c>
      <c r="RB239">
        <v>66</v>
      </c>
      <c r="RE239">
        <v>0</v>
      </c>
      <c r="RG239">
        <v>1</v>
      </c>
      <c r="RJ239">
        <v>1</v>
      </c>
      <c r="RL239">
        <v>2</v>
      </c>
      <c r="RO239">
        <v>524</v>
      </c>
      <c r="RQ239">
        <v>940</v>
      </c>
      <c r="RT239">
        <v>258</v>
      </c>
      <c r="RU239">
        <v>164</v>
      </c>
      <c r="RV239" t="s">
        <v>2150</v>
      </c>
      <c r="RW239" t="s">
        <v>679</v>
      </c>
      <c r="RX239">
        <v>15</v>
      </c>
      <c r="RY239">
        <v>4</v>
      </c>
      <c r="RZ239" t="s">
        <v>679</v>
      </c>
      <c r="SA239">
        <v>15</v>
      </c>
      <c r="SB239" t="s">
        <v>3053</v>
      </c>
      <c r="SC239" t="s">
        <v>3053</v>
      </c>
      <c r="SD239">
        <v>1</v>
      </c>
      <c r="SH239">
        <v>0.995</v>
      </c>
      <c r="SI239">
        <v>0.995</v>
      </c>
      <c r="SJ239">
        <v>0.995</v>
      </c>
      <c r="SK239">
        <v>15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TB239">
        <v>0</v>
      </c>
      <c r="TC239">
        <v>0</v>
      </c>
      <c r="TD239">
        <v>7.5</v>
      </c>
      <c r="TE239" t="s">
        <v>553</v>
      </c>
      <c r="TF239" t="s">
        <v>624</v>
      </c>
      <c r="TG239" t="s">
        <v>555</v>
      </c>
      <c r="TI239" t="s">
        <v>546</v>
      </c>
      <c r="TJ239" t="s">
        <v>547</v>
      </c>
      <c r="TL239" t="s">
        <v>3054</v>
      </c>
      <c r="TM239" t="s">
        <v>513</v>
      </c>
      <c r="TN239">
        <v>0</v>
      </c>
      <c r="TO239" t="s">
        <v>557</v>
      </c>
    </row>
    <row r="240" spans="1:535">
      <c r="A240" t="s">
        <v>3055</v>
      </c>
      <c r="B240" t="s">
        <v>629</v>
      </c>
      <c r="C240" t="s">
        <v>509</v>
      </c>
      <c r="D240" t="s">
        <v>3056</v>
      </c>
      <c r="G240" t="s">
        <v>511</v>
      </c>
      <c r="I240" t="s">
        <v>562</v>
      </c>
      <c r="J240" t="s">
        <v>563</v>
      </c>
      <c r="L240" t="s">
        <v>512</v>
      </c>
      <c r="M240" t="s">
        <v>711</v>
      </c>
      <c r="N240" t="s">
        <v>513</v>
      </c>
      <c r="O240" t="s">
        <v>565</v>
      </c>
      <c r="Q240" t="s">
        <v>3057</v>
      </c>
      <c r="R240" t="s">
        <v>517</v>
      </c>
      <c r="S240" t="s">
        <v>1644</v>
      </c>
      <c r="T240" t="s">
        <v>1043</v>
      </c>
      <c r="U240" t="s">
        <v>662</v>
      </c>
      <c r="V240" t="s">
        <v>663</v>
      </c>
      <c r="W240" t="s">
        <v>1241</v>
      </c>
      <c r="X240" t="s">
        <v>3058</v>
      </c>
      <c r="Y240" t="s">
        <v>574</v>
      </c>
      <c r="Z240" t="s">
        <v>3059</v>
      </c>
      <c r="AA240" t="s">
        <v>3060</v>
      </c>
      <c r="AB240" t="s">
        <v>3061</v>
      </c>
      <c r="AC240">
        <v>2</v>
      </c>
      <c r="AD240">
        <v>56</v>
      </c>
      <c r="AE240">
        <v>215</v>
      </c>
      <c r="AF240">
        <v>1.5</v>
      </c>
      <c r="AH240">
        <v>0</v>
      </c>
      <c r="AI240" t="s">
        <v>3062</v>
      </c>
      <c r="AJ240">
        <v>227.5</v>
      </c>
      <c r="AK240">
        <v>1</v>
      </c>
      <c r="AL240">
        <v>1.5</v>
      </c>
      <c r="AM240" t="s">
        <v>529</v>
      </c>
      <c r="AO240">
        <v>0</v>
      </c>
      <c r="AR240">
        <v>0</v>
      </c>
      <c r="AS240">
        <v>1.5</v>
      </c>
      <c r="AU240" t="s">
        <v>3063</v>
      </c>
      <c r="AW240" t="s">
        <v>3063</v>
      </c>
      <c r="AX240">
        <v>1</v>
      </c>
      <c r="AY240">
        <v>320</v>
      </c>
      <c r="AZ240">
        <v>1.5</v>
      </c>
      <c r="BA240" t="s">
        <v>529</v>
      </c>
      <c r="BC240" t="s">
        <v>3064</v>
      </c>
      <c r="BD240" t="s">
        <v>3064</v>
      </c>
      <c r="BE240">
        <v>1</v>
      </c>
      <c r="BF240">
        <v>265</v>
      </c>
      <c r="BG240">
        <v>1.5</v>
      </c>
      <c r="BJ240">
        <v>0</v>
      </c>
      <c r="BN240">
        <v>1.5</v>
      </c>
      <c r="BP240" t="s">
        <v>3065</v>
      </c>
      <c r="BQ240">
        <v>82</v>
      </c>
      <c r="BR240">
        <v>2</v>
      </c>
      <c r="BS240" t="s">
        <v>3066</v>
      </c>
      <c r="BT240">
        <v>238</v>
      </c>
      <c r="BU240">
        <v>0.5</v>
      </c>
      <c r="BV240" t="s">
        <v>3066</v>
      </c>
      <c r="BW240">
        <v>476</v>
      </c>
      <c r="BX240">
        <v>1</v>
      </c>
      <c r="BY240" t="s">
        <v>643</v>
      </c>
      <c r="BZ240">
        <v>470</v>
      </c>
      <c r="CA240">
        <v>590</v>
      </c>
      <c r="CB240" t="s">
        <v>672</v>
      </c>
      <c r="CC240" t="s">
        <v>672</v>
      </c>
      <c r="CD240">
        <v>494</v>
      </c>
      <c r="CE240" t="s">
        <v>673</v>
      </c>
      <c r="CF240">
        <v>15</v>
      </c>
      <c r="CG240" t="s">
        <v>1265</v>
      </c>
      <c r="CH240" t="s">
        <v>1265</v>
      </c>
      <c r="CI240">
        <v>60</v>
      </c>
      <c r="CJ240">
        <v>1381</v>
      </c>
      <c r="CK240">
        <v>2</v>
      </c>
      <c r="CL240">
        <v>1475</v>
      </c>
      <c r="CM240">
        <v>2</v>
      </c>
      <c r="CN240" t="s">
        <v>675</v>
      </c>
      <c r="CO240" t="s">
        <v>676</v>
      </c>
      <c r="CP240" t="s">
        <v>595</v>
      </c>
      <c r="CQ240" t="s">
        <v>677</v>
      </c>
      <c r="CR240" t="s">
        <v>650</v>
      </c>
      <c r="CS240" t="s">
        <v>542</v>
      </c>
      <c r="CT240">
        <v>455</v>
      </c>
      <c r="CU240">
        <v>5</v>
      </c>
      <c r="CV240">
        <v>1.3</v>
      </c>
      <c r="CW240">
        <v>1399</v>
      </c>
      <c r="CX240">
        <v>978</v>
      </c>
      <c r="DD240">
        <v>0</v>
      </c>
      <c r="DE240" t="s">
        <v>543</v>
      </c>
      <c r="DF240">
        <v>640</v>
      </c>
      <c r="DG240">
        <v>3</v>
      </c>
      <c r="DH240">
        <v>1.18</v>
      </c>
      <c r="DI240">
        <v>1392</v>
      </c>
      <c r="DJ240">
        <v>1349</v>
      </c>
      <c r="DK240" t="s">
        <v>543</v>
      </c>
      <c r="DL240">
        <v>530</v>
      </c>
      <c r="DM240">
        <v>3</v>
      </c>
      <c r="DN240">
        <v>1.18</v>
      </c>
      <c r="DO240">
        <v>1399</v>
      </c>
      <c r="DP240">
        <v>1175</v>
      </c>
      <c r="DW240" t="s">
        <v>544</v>
      </c>
      <c r="DX240">
        <v>7.5</v>
      </c>
      <c r="EA240">
        <v>1465.9</v>
      </c>
      <c r="EB240">
        <v>276</v>
      </c>
      <c r="EC240" t="s">
        <v>545</v>
      </c>
      <c r="ED240">
        <v>30</v>
      </c>
      <c r="EE240">
        <v>3</v>
      </c>
      <c r="EG240">
        <v>1507</v>
      </c>
      <c r="EH240">
        <v>184</v>
      </c>
      <c r="EJ240">
        <v>0</v>
      </c>
      <c r="EK240">
        <v>1</v>
      </c>
      <c r="EN240">
        <v>0</v>
      </c>
      <c r="EP240" t="s">
        <v>546</v>
      </c>
      <c r="EQ240">
        <v>115</v>
      </c>
      <c r="ER240">
        <v>3</v>
      </c>
      <c r="ES240">
        <v>5.5</v>
      </c>
      <c r="ET240">
        <v>1378</v>
      </c>
      <c r="EU240">
        <v>506.1</v>
      </c>
      <c r="EV240">
        <v>697</v>
      </c>
      <c r="EW240" t="s">
        <v>547</v>
      </c>
      <c r="EX240">
        <v>70</v>
      </c>
      <c r="EY240">
        <v>2</v>
      </c>
      <c r="EZ240">
        <v>4.3</v>
      </c>
      <c r="FA240">
        <v>1378</v>
      </c>
      <c r="FB240">
        <v>208.3</v>
      </c>
      <c r="FC240">
        <v>287</v>
      </c>
      <c r="FE240">
        <v>0</v>
      </c>
      <c r="FF240">
        <v>2</v>
      </c>
      <c r="FI240">
        <v>0</v>
      </c>
      <c r="FK240" t="s">
        <v>548</v>
      </c>
      <c r="FL240">
        <v>0.4</v>
      </c>
      <c r="FM240">
        <v>115</v>
      </c>
      <c r="FN240">
        <v>170</v>
      </c>
      <c r="GR240" t="s">
        <v>548</v>
      </c>
      <c r="GS240">
        <v>0.4</v>
      </c>
      <c r="GT240">
        <v>30</v>
      </c>
      <c r="GU240">
        <v>440</v>
      </c>
      <c r="GV240">
        <v>30</v>
      </c>
      <c r="GW240">
        <v>300</v>
      </c>
      <c r="GY240" t="s">
        <v>651</v>
      </c>
      <c r="GZ240">
        <v>1.6</v>
      </c>
      <c r="HA240">
        <v>20</v>
      </c>
      <c r="HB240">
        <v>191</v>
      </c>
      <c r="HC240">
        <v>0.1</v>
      </c>
      <c r="HD240">
        <v>3</v>
      </c>
      <c r="HE240">
        <v>3</v>
      </c>
      <c r="HF240">
        <v>3</v>
      </c>
      <c r="HG240">
        <v>3</v>
      </c>
      <c r="HH240">
        <v>3</v>
      </c>
      <c r="HI240">
        <v>170</v>
      </c>
      <c r="HJ240">
        <v>3</v>
      </c>
      <c r="HK240">
        <v>55</v>
      </c>
      <c r="HL240">
        <v>2</v>
      </c>
      <c r="HM240">
        <v>0</v>
      </c>
      <c r="HN240">
        <v>2</v>
      </c>
      <c r="HO240">
        <v>100</v>
      </c>
      <c r="HP240">
        <v>3</v>
      </c>
      <c r="HQ240">
        <v>0</v>
      </c>
      <c r="HR240">
        <v>2</v>
      </c>
      <c r="HS240">
        <v>6390</v>
      </c>
      <c r="HT240">
        <v>190</v>
      </c>
      <c r="HU240">
        <v>180</v>
      </c>
      <c r="HW240">
        <v>0</v>
      </c>
      <c r="HX240">
        <v>500</v>
      </c>
      <c r="HY240">
        <v>0.18</v>
      </c>
      <c r="IA240">
        <v>0.15</v>
      </c>
      <c r="IB240">
        <v>0</v>
      </c>
      <c r="IC240">
        <v>180</v>
      </c>
      <c r="ID240">
        <v>110</v>
      </c>
      <c r="IE240">
        <v>225</v>
      </c>
      <c r="IF240">
        <v>0</v>
      </c>
      <c r="IH240" t="s">
        <v>549</v>
      </c>
      <c r="IO240">
        <v>3</v>
      </c>
      <c r="IP240">
        <v>18</v>
      </c>
      <c r="IQ240">
        <v>1</v>
      </c>
      <c r="IR240">
        <v>1</v>
      </c>
      <c r="IV240">
        <v>1381</v>
      </c>
      <c r="IW240">
        <v>476</v>
      </c>
      <c r="JA240">
        <v>1</v>
      </c>
      <c r="JB240">
        <v>0</v>
      </c>
      <c r="JC240">
        <v>2</v>
      </c>
      <c r="JD240">
        <v>1399</v>
      </c>
      <c r="JE240">
        <v>1392</v>
      </c>
      <c r="JF240">
        <v>1399</v>
      </c>
      <c r="JG240">
        <v>1378</v>
      </c>
      <c r="JH240">
        <v>0</v>
      </c>
      <c r="JJ240">
        <v>180</v>
      </c>
      <c r="JK240">
        <v>500</v>
      </c>
      <c r="JN240">
        <v>455</v>
      </c>
      <c r="JO240">
        <v>640</v>
      </c>
      <c r="JP240">
        <v>530</v>
      </c>
      <c r="JQ240">
        <v>0</v>
      </c>
      <c r="JR240">
        <v>430</v>
      </c>
      <c r="JS240">
        <v>170</v>
      </c>
      <c r="JV240">
        <v>8</v>
      </c>
      <c r="JW240" t="s">
        <v>550</v>
      </c>
      <c r="JX240">
        <v>0</v>
      </c>
      <c r="KA240">
        <v>225</v>
      </c>
      <c r="KB240">
        <v>110</v>
      </c>
      <c r="KC240">
        <v>0</v>
      </c>
      <c r="KD240">
        <v>80</v>
      </c>
      <c r="KF240">
        <v>4</v>
      </c>
      <c r="KG240">
        <v>2</v>
      </c>
      <c r="KH240">
        <v>2</v>
      </c>
      <c r="KI240">
        <v>2</v>
      </c>
      <c r="KJ240">
        <v>0</v>
      </c>
      <c r="KK240">
        <v>1.5</v>
      </c>
      <c r="KL240">
        <v>1.5</v>
      </c>
      <c r="KM240">
        <v>0</v>
      </c>
      <c r="KN240">
        <v>0</v>
      </c>
      <c r="KO240">
        <v>0</v>
      </c>
      <c r="KR240">
        <v>30</v>
      </c>
      <c r="KS240">
        <v>60</v>
      </c>
      <c r="KT240">
        <v>0</v>
      </c>
      <c r="LK240">
        <v>480</v>
      </c>
      <c r="PG240">
        <v>1</v>
      </c>
      <c r="PI240" t="s">
        <v>3061</v>
      </c>
      <c r="PJ240" t="s">
        <v>3063</v>
      </c>
      <c r="PK240" t="s">
        <v>3064</v>
      </c>
      <c r="PL240" t="s">
        <v>3062</v>
      </c>
      <c r="PP240" t="s">
        <v>3065</v>
      </c>
      <c r="PX240">
        <v>56</v>
      </c>
      <c r="PY240">
        <v>56</v>
      </c>
      <c r="PZ240" t="s">
        <v>3061</v>
      </c>
      <c r="QA240">
        <v>2</v>
      </c>
      <c r="QB240">
        <v>1378</v>
      </c>
      <c r="QC240">
        <v>69</v>
      </c>
      <c r="QD240">
        <v>69</v>
      </c>
      <c r="QE240" t="s">
        <v>3062</v>
      </c>
      <c r="QF240">
        <v>1</v>
      </c>
      <c r="QG240">
        <v>1399</v>
      </c>
      <c r="QH240">
        <v>66</v>
      </c>
      <c r="QI240">
        <v>66</v>
      </c>
      <c r="QL240">
        <v>0</v>
      </c>
      <c r="QM240">
        <v>62</v>
      </c>
      <c r="QN240">
        <v>62</v>
      </c>
      <c r="QO240" t="s">
        <v>3063</v>
      </c>
      <c r="QP240">
        <v>1</v>
      </c>
      <c r="QQ240">
        <v>1392</v>
      </c>
      <c r="QR240">
        <v>63</v>
      </c>
      <c r="QS240">
        <v>63</v>
      </c>
      <c r="QT240" t="s">
        <v>3064</v>
      </c>
      <c r="QU240">
        <v>1</v>
      </c>
      <c r="QV240">
        <v>1399</v>
      </c>
      <c r="QW240">
        <v>82</v>
      </c>
      <c r="QX240">
        <v>82</v>
      </c>
      <c r="QY240" t="s">
        <v>3065</v>
      </c>
      <c r="QZ240">
        <v>1</v>
      </c>
      <c r="RA240">
        <v>66</v>
      </c>
      <c r="RB240">
        <v>66</v>
      </c>
      <c r="RE240">
        <v>0</v>
      </c>
      <c r="RF240">
        <v>1</v>
      </c>
      <c r="RI240">
        <v>1</v>
      </c>
      <c r="RJ240">
        <v>1</v>
      </c>
      <c r="RL240">
        <v>1</v>
      </c>
      <c r="RM240">
        <v>1</v>
      </c>
      <c r="RO240">
        <v>699</v>
      </c>
      <c r="RQ240">
        <v>969</v>
      </c>
      <c r="RR240">
        <v>840</v>
      </c>
      <c r="RT240">
        <v>276</v>
      </c>
      <c r="RU240">
        <v>184</v>
      </c>
      <c r="RV240" t="s">
        <v>3067</v>
      </c>
      <c r="RW240" t="s">
        <v>679</v>
      </c>
      <c r="RX240">
        <v>15</v>
      </c>
      <c r="RY240">
        <v>4</v>
      </c>
      <c r="RZ240" t="s">
        <v>679</v>
      </c>
      <c r="SA240">
        <v>15</v>
      </c>
      <c r="SC240" t="s">
        <v>3063</v>
      </c>
      <c r="SD240">
        <v>1</v>
      </c>
      <c r="SE240" t="s">
        <v>3068</v>
      </c>
      <c r="SF240" t="s">
        <v>3068</v>
      </c>
      <c r="SG240">
        <v>1</v>
      </c>
      <c r="SH240">
        <v>0.995</v>
      </c>
      <c r="SI240">
        <v>0.995</v>
      </c>
      <c r="SJ240">
        <v>0.995</v>
      </c>
      <c r="SK240">
        <v>15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Z240">
        <v>1</v>
      </c>
      <c r="TB240">
        <v>0</v>
      </c>
      <c r="TC240">
        <v>0</v>
      </c>
      <c r="TD240">
        <v>7.5</v>
      </c>
      <c r="TE240" t="s">
        <v>553</v>
      </c>
      <c r="TF240" t="s">
        <v>655</v>
      </c>
      <c r="TG240" t="s">
        <v>555</v>
      </c>
      <c r="TI240" t="s">
        <v>546</v>
      </c>
      <c r="TJ240" t="s">
        <v>547</v>
      </c>
      <c r="TL240" t="s">
        <v>3054</v>
      </c>
      <c r="TM240" t="s">
        <v>513</v>
      </c>
      <c r="TN240">
        <v>0</v>
      </c>
      <c r="TO240" t="s">
        <v>557</v>
      </c>
    </row>
    <row r="241" spans="1:535">
      <c r="A241" t="s">
        <v>3069</v>
      </c>
      <c r="B241" t="s">
        <v>629</v>
      </c>
      <c r="C241" t="s">
        <v>509</v>
      </c>
      <c r="D241" t="s">
        <v>3070</v>
      </c>
      <c r="G241" t="s">
        <v>561</v>
      </c>
      <c r="I241" t="s">
        <v>562</v>
      </c>
      <c r="J241" t="s">
        <v>563</v>
      </c>
      <c r="L241" t="s">
        <v>512</v>
      </c>
      <c r="M241" t="s">
        <v>711</v>
      </c>
      <c r="N241" t="s">
        <v>513</v>
      </c>
      <c r="O241" t="s">
        <v>565</v>
      </c>
      <c r="Q241" t="s">
        <v>3071</v>
      </c>
      <c r="R241" t="s">
        <v>517</v>
      </c>
      <c r="S241" t="s">
        <v>1075</v>
      </c>
      <c r="T241" t="s">
        <v>1076</v>
      </c>
      <c r="U241" t="s">
        <v>662</v>
      </c>
      <c r="V241" t="s">
        <v>663</v>
      </c>
      <c r="W241" t="s">
        <v>2691</v>
      </c>
      <c r="X241" t="s">
        <v>3058</v>
      </c>
      <c r="Y241" t="s">
        <v>524</v>
      </c>
      <c r="Z241" t="s">
        <v>3072</v>
      </c>
      <c r="AA241" t="s">
        <v>3073</v>
      </c>
      <c r="AB241" t="s">
        <v>1693</v>
      </c>
      <c r="AC241">
        <v>2</v>
      </c>
      <c r="AD241">
        <v>57</v>
      </c>
      <c r="AE241">
        <v>207</v>
      </c>
      <c r="AF241">
        <v>1.5</v>
      </c>
      <c r="AH241">
        <v>0</v>
      </c>
      <c r="AI241" t="s">
        <v>3074</v>
      </c>
      <c r="AJ241">
        <v>220</v>
      </c>
      <c r="AK241">
        <v>1</v>
      </c>
      <c r="AL241">
        <v>1.5</v>
      </c>
      <c r="AM241" t="s">
        <v>529</v>
      </c>
      <c r="AO241">
        <v>0</v>
      </c>
      <c r="AR241">
        <v>0</v>
      </c>
      <c r="AS241">
        <v>1.5</v>
      </c>
      <c r="AU241" t="s">
        <v>3075</v>
      </c>
      <c r="AW241" t="s">
        <v>3075</v>
      </c>
      <c r="AX241">
        <v>1</v>
      </c>
      <c r="AY241">
        <v>390</v>
      </c>
      <c r="AZ241">
        <v>1.5</v>
      </c>
      <c r="BA241" t="s">
        <v>529</v>
      </c>
      <c r="BG241">
        <v>1.5</v>
      </c>
      <c r="BJ241">
        <v>0</v>
      </c>
      <c r="BN241">
        <v>1.5</v>
      </c>
      <c r="BP241" t="s">
        <v>1751</v>
      </c>
      <c r="BQ241">
        <v>88</v>
      </c>
      <c r="BR241">
        <v>2</v>
      </c>
      <c r="BS241" t="s">
        <v>1145</v>
      </c>
      <c r="BT241">
        <v>230</v>
      </c>
      <c r="BU241">
        <v>0.5</v>
      </c>
      <c r="BV241" t="s">
        <v>1145</v>
      </c>
      <c r="BW241">
        <v>460</v>
      </c>
      <c r="BX241">
        <v>1</v>
      </c>
      <c r="BY241" t="s">
        <v>643</v>
      </c>
      <c r="BZ241">
        <v>290</v>
      </c>
      <c r="CA241">
        <v>510</v>
      </c>
      <c r="CB241" t="s">
        <v>672</v>
      </c>
      <c r="CC241" t="s">
        <v>672</v>
      </c>
      <c r="CD241">
        <v>480</v>
      </c>
      <c r="CE241" t="s">
        <v>673</v>
      </c>
      <c r="CF241">
        <v>15</v>
      </c>
      <c r="CG241" t="s">
        <v>1196</v>
      </c>
      <c r="CH241" t="s">
        <v>1196</v>
      </c>
      <c r="CI241">
        <v>110</v>
      </c>
      <c r="CJ241">
        <v>1381</v>
      </c>
      <c r="CK241">
        <v>2</v>
      </c>
      <c r="CL241">
        <v>1475</v>
      </c>
      <c r="CM241">
        <v>2</v>
      </c>
      <c r="CN241" t="s">
        <v>675</v>
      </c>
      <c r="CO241" t="s">
        <v>676</v>
      </c>
      <c r="CP241" t="s">
        <v>595</v>
      </c>
      <c r="CQ241" t="s">
        <v>1496</v>
      </c>
      <c r="CR241" t="s">
        <v>541</v>
      </c>
      <c r="CS241" t="s">
        <v>542</v>
      </c>
      <c r="CT241">
        <v>440</v>
      </c>
      <c r="CU241">
        <v>5</v>
      </c>
      <c r="CV241">
        <v>1.3</v>
      </c>
      <c r="CW241">
        <v>1399</v>
      </c>
      <c r="CX241">
        <v>947</v>
      </c>
      <c r="DD241">
        <v>0</v>
      </c>
      <c r="DE241" t="s">
        <v>543</v>
      </c>
      <c r="DF241">
        <v>780</v>
      </c>
      <c r="DG241">
        <v>3</v>
      </c>
      <c r="DH241">
        <v>1.18</v>
      </c>
      <c r="DI241">
        <v>1392</v>
      </c>
      <c r="DJ241">
        <v>1650</v>
      </c>
      <c r="DW241" t="s">
        <v>544</v>
      </c>
      <c r="DX241">
        <v>7.5</v>
      </c>
      <c r="EA241">
        <v>1461.1</v>
      </c>
      <c r="EB241">
        <v>275</v>
      </c>
      <c r="EC241" t="s">
        <v>545</v>
      </c>
      <c r="ED241">
        <v>35</v>
      </c>
      <c r="EE241">
        <v>3</v>
      </c>
      <c r="EG241">
        <v>1502</v>
      </c>
      <c r="EH241">
        <v>209</v>
      </c>
      <c r="EJ241">
        <v>0</v>
      </c>
      <c r="EK241">
        <v>1</v>
      </c>
      <c r="EN241">
        <v>0</v>
      </c>
      <c r="EP241" t="s">
        <v>546</v>
      </c>
      <c r="EQ241">
        <v>125</v>
      </c>
      <c r="ER241">
        <v>3</v>
      </c>
      <c r="ES241">
        <v>5</v>
      </c>
      <c r="ET241">
        <v>1375</v>
      </c>
      <c r="EU241">
        <v>500.9</v>
      </c>
      <c r="EV241">
        <v>689</v>
      </c>
      <c r="EW241" t="s">
        <v>547</v>
      </c>
      <c r="EX241">
        <v>70</v>
      </c>
      <c r="EY241">
        <v>2</v>
      </c>
      <c r="EZ241">
        <v>4.3</v>
      </c>
      <c r="FA241">
        <v>1375</v>
      </c>
      <c r="FB241">
        <v>218.5</v>
      </c>
      <c r="FC241">
        <v>300</v>
      </c>
      <c r="FE241">
        <v>0</v>
      </c>
      <c r="FF241">
        <v>2</v>
      </c>
      <c r="FI241">
        <v>0</v>
      </c>
      <c r="FK241" t="s">
        <v>548</v>
      </c>
      <c r="FL241">
        <v>0.4</v>
      </c>
      <c r="FM241">
        <v>115</v>
      </c>
      <c r="FN241">
        <v>140</v>
      </c>
      <c r="FR241" t="s">
        <v>548</v>
      </c>
      <c r="FS241">
        <v>0.4</v>
      </c>
      <c r="FT241">
        <v>30</v>
      </c>
      <c r="FU241">
        <v>430</v>
      </c>
      <c r="HC241">
        <v>0.1</v>
      </c>
      <c r="HD241">
        <v>3</v>
      </c>
      <c r="HE241">
        <v>3</v>
      </c>
      <c r="HF241">
        <v>3</v>
      </c>
      <c r="HG241">
        <v>3</v>
      </c>
      <c r="HH241">
        <v>3</v>
      </c>
      <c r="HI241">
        <v>180</v>
      </c>
      <c r="HJ241">
        <v>3</v>
      </c>
      <c r="HK241">
        <v>55</v>
      </c>
      <c r="HL241">
        <v>2</v>
      </c>
      <c r="HM241">
        <v>0</v>
      </c>
      <c r="HN241">
        <v>2</v>
      </c>
      <c r="HO241">
        <v>110</v>
      </c>
      <c r="HP241">
        <v>3</v>
      </c>
      <c r="HQ241">
        <v>0</v>
      </c>
      <c r="HR241">
        <v>2</v>
      </c>
      <c r="HS241">
        <v>5543</v>
      </c>
      <c r="HT241">
        <v>170</v>
      </c>
      <c r="HU241">
        <v>180</v>
      </c>
      <c r="HW241">
        <v>20</v>
      </c>
      <c r="HX241">
        <v>500</v>
      </c>
      <c r="HY241">
        <v>0.18</v>
      </c>
      <c r="IA241">
        <v>0.15</v>
      </c>
      <c r="IB241">
        <v>0</v>
      </c>
      <c r="IC241">
        <v>180</v>
      </c>
      <c r="ID241">
        <v>110</v>
      </c>
      <c r="IE241">
        <v>0</v>
      </c>
      <c r="IF241">
        <v>0</v>
      </c>
      <c r="IH241" t="s">
        <v>549</v>
      </c>
      <c r="IO241">
        <v>1</v>
      </c>
      <c r="IP241">
        <v>18</v>
      </c>
      <c r="IQ241">
        <v>1</v>
      </c>
      <c r="IR241">
        <v>1</v>
      </c>
      <c r="IV241">
        <v>1381</v>
      </c>
      <c r="IW241">
        <v>460</v>
      </c>
      <c r="JA241">
        <v>1</v>
      </c>
      <c r="JB241">
        <v>0</v>
      </c>
      <c r="JC241">
        <v>2</v>
      </c>
      <c r="JD241">
        <v>1399</v>
      </c>
      <c r="JE241">
        <v>1392</v>
      </c>
      <c r="JF241">
        <v>0</v>
      </c>
      <c r="JG241">
        <v>1375</v>
      </c>
      <c r="JH241">
        <v>0</v>
      </c>
      <c r="JJ241">
        <v>180</v>
      </c>
      <c r="JK241">
        <v>500</v>
      </c>
      <c r="JN241">
        <v>440</v>
      </c>
      <c r="JO241">
        <v>780</v>
      </c>
      <c r="JP241">
        <v>0</v>
      </c>
      <c r="JQ241">
        <v>0</v>
      </c>
      <c r="JR241">
        <v>414</v>
      </c>
      <c r="JS241">
        <v>180</v>
      </c>
      <c r="JV241">
        <v>8</v>
      </c>
      <c r="JW241" t="s">
        <v>550</v>
      </c>
      <c r="JX241">
        <v>0</v>
      </c>
      <c r="KA241">
        <v>0</v>
      </c>
      <c r="KB241">
        <v>110</v>
      </c>
      <c r="KC241">
        <v>0</v>
      </c>
      <c r="KD241">
        <v>80</v>
      </c>
      <c r="KF241">
        <v>4</v>
      </c>
      <c r="KG241">
        <v>2</v>
      </c>
      <c r="KH241">
        <v>2</v>
      </c>
      <c r="KI241">
        <v>2</v>
      </c>
      <c r="KJ241">
        <v>0</v>
      </c>
      <c r="KK241">
        <v>1.5</v>
      </c>
      <c r="KL241">
        <v>1.5</v>
      </c>
      <c r="KM241">
        <v>0</v>
      </c>
      <c r="KN241">
        <v>0</v>
      </c>
      <c r="KO241">
        <v>0</v>
      </c>
      <c r="KR241">
        <v>30</v>
      </c>
      <c r="KS241">
        <v>60</v>
      </c>
      <c r="KT241">
        <v>0</v>
      </c>
      <c r="LK241">
        <v>480</v>
      </c>
      <c r="PG241">
        <v>1</v>
      </c>
      <c r="PI241" t="s">
        <v>1693</v>
      </c>
      <c r="PJ241" t="s">
        <v>3075</v>
      </c>
      <c r="PL241" t="s">
        <v>3074</v>
      </c>
      <c r="PP241" t="s">
        <v>1751</v>
      </c>
      <c r="PX241">
        <v>56</v>
      </c>
      <c r="PY241">
        <v>57</v>
      </c>
      <c r="PZ241" t="s">
        <v>1693</v>
      </c>
      <c r="QA241">
        <v>2</v>
      </c>
      <c r="QB241">
        <v>1375</v>
      </c>
      <c r="QC241">
        <v>69</v>
      </c>
      <c r="QD241">
        <v>69</v>
      </c>
      <c r="QE241" t="s">
        <v>3074</v>
      </c>
      <c r="QF241">
        <v>1</v>
      </c>
      <c r="QG241">
        <v>1399</v>
      </c>
      <c r="QH241">
        <v>66</v>
      </c>
      <c r="QI241">
        <v>66</v>
      </c>
      <c r="QL241">
        <v>0</v>
      </c>
      <c r="QM241">
        <v>62</v>
      </c>
      <c r="QN241">
        <v>62</v>
      </c>
      <c r="QO241" t="s">
        <v>3075</v>
      </c>
      <c r="QP241">
        <v>1</v>
      </c>
      <c r="QQ241">
        <v>1392</v>
      </c>
      <c r="QW241">
        <v>82</v>
      </c>
      <c r="QX241">
        <v>88</v>
      </c>
      <c r="QY241" t="s">
        <v>1751</v>
      </c>
      <c r="QZ241">
        <v>1</v>
      </c>
      <c r="RA241">
        <v>66</v>
      </c>
      <c r="RB241">
        <v>66</v>
      </c>
      <c r="RE241">
        <v>0</v>
      </c>
      <c r="RF241">
        <v>1</v>
      </c>
      <c r="RJ241">
        <v>1</v>
      </c>
      <c r="RL241">
        <v>1</v>
      </c>
      <c r="RO241">
        <v>677</v>
      </c>
      <c r="RQ241">
        <v>1185</v>
      </c>
      <c r="RT241">
        <v>275</v>
      </c>
      <c r="RU241">
        <v>209</v>
      </c>
      <c r="RV241" t="s">
        <v>1147</v>
      </c>
      <c r="RW241" t="s">
        <v>679</v>
      </c>
      <c r="RX241">
        <v>15</v>
      </c>
      <c r="RY241">
        <v>4</v>
      </c>
      <c r="RZ241" t="s">
        <v>679</v>
      </c>
      <c r="SA241">
        <v>15</v>
      </c>
      <c r="SC241" t="s">
        <v>3075</v>
      </c>
      <c r="SD241">
        <v>1</v>
      </c>
      <c r="SH241">
        <v>0.995</v>
      </c>
      <c r="SI241">
        <v>0.995</v>
      </c>
      <c r="SJ241">
        <v>0.995</v>
      </c>
      <c r="SK241">
        <v>15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TB241">
        <v>0</v>
      </c>
      <c r="TC241">
        <v>0</v>
      </c>
      <c r="TD241">
        <v>7.5</v>
      </c>
      <c r="TE241" t="s">
        <v>553</v>
      </c>
      <c r="TF241" t="s">
        <v>655</v>
      </c>
      <c r="TG241" t="s">
        <v>555</v>
      </c>
      <c r="TI241" t="s">
        <v>546</v>
      </c>
      <c r="TJ241" t="s">
        <v>547</v>
      </c>
      <c r="TL241" t="s">
        <v>3054</v>
      </c>
      <c r="TM241" t="s">
        <v>513</v>
      </c>
      <c r="TN241">
        <v>0</v>
      </c>
      <c r="TO241" t="s">
        <v>557</v>
      </c>
    </row>
    <row r="242" spans="1:535">
      <c r="A242" t="s">
        <v>3076</v>
      </c>
      <c r="B242" t="s">
        <v>559</v>
      </c>
      <c r="C242" t="s">
        <v>509</v>
      </c>
      <c r="D242" t="s">
        <v>2828</v>
      </c>
      <c r="G242" t="s">
        <v>604</v>
      </c>
      <c r="H242" t="s">
        <v>605</v>
      </c>
      <c r="I242" t="s">
        <v>628</v>
      </c>
      <c r="J242" t="s">
        <v>606</v>
      </c>
      <c r="L242" t="s">
        <v>512</v>
      </c>
      <c r="M242" t="s">
        <v>564</v>
      </c>
      <c r="N242" t="s">
        <v>513</v>
      </c>
      <c r="O242" t="s">
        <v>565</v>
      </c>
      <c r="Q242" t="s">
        <v>3077</v>
      </c>
      <c r="R242" t="s">
        <v>517</v>
      </c>
      <c r="S242" t="s">
        <v>3020</v>
      </c>
      <c r="T242" t="s">
        <v>1327</v>
      </c>
      <c r="U242" t="s">
        <v>662</v>
      </c>
      <c r="V242" t="s">
        <v>663</v>
      </c>
      <c r="W242" t="s">
        <v>2577</v>
      </c>
      <c r="X242" t="s">
        <v>3048</v>
      </c>
      <c r="Y242" t="s">
        <v>524</v>
      </c>
      <c r="Z242" t="s">
        <v>3078</v>
      </c>
      <c r="AA242" t="s">
        <v>3079</v>
      </c>
      <c r="AB242" t="s">
        <v>3080</v>
      </c>
      <c r="AC242">
        <v>2</v>
      </c>
      <c r="AD242">
        <v>57</v>
      </c>
      <c r="AE242">
        <v>194</v>
      </c>
      <c r="AF242">
        <v>1.5</v>
      </c>
      <c r="AH242">
        <v>0</v>
      </c>
      <c r="AI242" t="s">
        <v>812</v>
      </c>
      <c r="AJ242">
        <v>205</v>
      </c>
      <c r="AK242">
        <v>1</v>
      </c>
      <c r="AL242">
        <v>1.5</v>
      </c>
      <c r="AM242" t="s">
        <v>529</v>
      </c>
      <c r="AO242">
        <v>0</v>
      </c>
      <c r="AR242">
        <v>0</v>
      </c>
      <c r="AS242">
        <v>1.5</v>
      </c>
      <c r="AU242" t="s">
        <v>3081</v>
      </c>
      <c r="AW242" t="s">
        <v>3081</v>
      </c>
      <c r="AX242">
        <v>1</v>
      </c>
      <c r="AY242">
        <v>292.5</v>
      </c>
      <c r="AZ242">
        <v>1.5</v>
      </c>
      <c r="BA242" t="s">
        <v>529</v>
      </c>
      <c r="BC242" t="s">
        <v>3082</v>
      </c>
      <c r="BD242" t="s">
        <v>3082</v>
      </c>
      <c r="BE242">
        <v>1</v>
      </c>
      <c r="BF242">
        <v>270</v>
      </c>
      <c r="BG242">
        <v>1.5</v>
      </c>
      <c r="BJ242">
        <v>0</v>
      </c>
      <c r="BN242">
        <v>1.5</v>
      </c>
      <c r="BP242" t="s">
        <v>3083</v>
      </c>
      <c r="BQ242">
        <v>82</v>
      </c>
      <c r="BR242">
        <v>2</v>
      </c>
      <c r="BS242" t="s">
        <v>1652</v>
      </c>
      <c r="BT242">
        <v>216</v>
      </c>
      <c r="BU242">
        <v>0.5</v>
      </c>
      <c r="BV242" t="s">
        <v>1652</v>
      </c>
      <c r="BW242">
        <v>432</v>
      </c>
      <c r="BX242">
        <v>1</v>
      </c>
      <c r="BY242" t="s">
        <v>643</v>
      </c>
      <c r="BZ242">
        <v>290</v>
      </c>
      <c r="CA242">
        <v>490</v>
      </c>
      <c r="CB242" t="s">
        <v>672</v>
      </c>
      <c r="CC242" t="s">
        <v>672</v>
      </c>
      <c r="CD242">
        <v>448</v>
      </c>
      <c r="CE242" t="s">
        <v>673</v>
      </c>
      <c r="CF242">
        <v>15</v>
      </c>
      <c r="CG242" t="s">
        <v>674</v>
      </c>
      <c r="CH242" t="s">
        <v>674</v>
      </c>
      <c r="CI242">
        <v>100</v>
      </c>
      <c r="CJ242">
        <v>1381</v>
      </c>
      <c r="CK242">
        <v>2</v>
      </c>
      <c r="CL242">
        <v>1475</v>
      </c>
      <c r="CM242">
        <v>2</v>
      </c>
      <c r="CN242" t="s">
        <v>675</v>
      </c>
      <c r="CO242" t="s">
        <v>676</v>
      </c>
      <c r="CP242" t="s">
        <v>595</v>
      </c>
      <c r="CQ242" t="s">
        <v>3084</v>
      </c>
      <c r="CR242" t="s">
        <v>650</v>
      </c>
      <c r="CS242" t="s">
        <v>542</v>
      </c>
      <c r="CT242">
        <v>410</v>
      </c>
      <c r="CU242">
        <v>5</v>
      </c>
      <c r="CV242">
        <v>1.2</v>
      </c>
      <c r="CW242">
        <v>1393</v>
      </c>
      <c r="CX242">
        <v>809</v>
      </c>
      <c r="DD242">
        <v>0</v>
      </c>
      <c r="DE242" t="s">
        <v>543</v>
      </c>
      <c r="DF242">
        <v>585</v>
      </c>
      <c r="DG242">
        <v>3</v>
      </c>
      <c r="DH242">
        <v>1.18</v>
      </c>
      <c r="DI242">
        <v>1391</v>
      </c>
      <c r="DJ242">
        <v>1256</v>
      </c>
      <c r="DK242" t="s">
        <v>543</v>
      </c>
      <c r="DL242">
        <v>540</v>
      </c>
      <c r="DM242">
        <v>3</v>
      </c>
      <c r="DN242">
        <v>1.18</v>
      </c>
      <c r="DO242">
        <v>1401</v>
      </c>
      <c r="DP242">
        <v>1252</v>
      </c>
      <c r="DW242" t="s">
        <v>544</v>
      </c>
      <c r="DX242">
        <v>7.5</v>
      </c>
      <c r="EA242">
        <v>1465.9</v>
      </c>
      <c r="EB242">
        <v>259</v>
      </c>
      <c r="EC242" t="s">
        <v>545</v>
      </c>
      <c r="ED242">
        <v>25</v>
      </c>
      <c r="EE242">
        <v>3</v>
      </c>
      <c r="EG242">
        <v>1507</v>
      </c>
      <c r="EH242">
        <v>164</v>
      </c>
      <c r="EJ242">
        <v>0</v>
      </c>
      <c r="EK242">
        <v>1</v>
      </c>
      <c r="EN242">
        <v>0</v>
      </c>
      <c r="EP242" t="s">
        <v>546</v>
      </c>
      <c r="EQ242">
        <v>90</v>
      </c>
      <c r="ER242">
        <v>3</v>
      </c>
      <c r="ES242">
        <v>5.5</v>
      </c>
      <c r="ET242">
        <v>1378</v>
      </c>
      <c r="EU242">
        <v>404.2</v>
      </c>
      <c r="EV242">
        <v>557</v>
      </c>
      <c r="EW242" t="s">
        <v>547</v>
      </c>
      <c r="EX242">
        <v>70</v>
      </c>
      <c r="EY242">
        <v>2</v>
      </c>
      <c r="EZ242">
        <v>4.3</v>
      </c>
      <c r="FA242">
        <v>1378</v>
      </c>
      <c r="FB242">
        <v>208.3</v>
      </c>
      <c r="FC242">
        <v>287</v>
      </c>
      <c r="FE242">
        <v>0</v>
      </c>
      <c r="FF242">
        <v>2</v>
      </c>
      <c r="FI242">
        <v>0</v>
      </c>
      <c r="FK242" t="s">
        <v>548</v>
      </c>
      <c r="FL242">
        <v>0.4</v>
      </c>
      <c r="FM242">
        <v>95</v>
      </c>
      <c r="FN242">
        <v>160</v>
      </c>
      <c r="FR242" t="s">
        <v>548</v>
      </c>
      <c r="FS242">
        <v>0.4</v>
      </c>
      <c r="FT242">
        <v>30</v>
      </c>
      <c r="FU242">
        <v>510</v>
      </c>
      <c r="GR242" t="s">
        <v>548</v>
      </c>
      <c r="GS242">
        <v>0.4</v>
      </c>
      <c r="GT242">
        <v>105</v>
      </c>
      <c r="GU242">
        <v>180</v>
      </c>
      <c r="GY242" t="s">
        <v>651</v>
      </c>
      <c r="GZ242">
        <v>1.6</v>
      </c>
      <c r="HA242">
        <v>20</v>
      </c>
      <c r="HB242">
        <v>201</v>
      </c>
      <c r="HC242">
        <v>0.1</v>
      </c>
      <c r="HD242">
        <v>3</v>
      </c>
      <c r="HE242">
        <v>3</v>
      </c>
      <c r="HF242">
        <v>3</v>
      </c>
      <c r="HG242">
        <v>3</v>
      </c>
      <c r="HH242">
        <v>3</v>
      </c>
      <c r="HI242">
        <v>145</v>
      </c>
      <c r="HJ242">
        <v>3</v>
      </c>
      <c r="HK242">
        <v>55</v>
      </c>
      <c r="HL242">
        <v>2</v>
      </c>
      <c r="HM242">
        <v>0</v>
      </c>
      <c r="HN242">
        <v>2</v>
      </c>
      <c r="HO242">
        <v>75</v>
      </c>
      <c r="HP242">
        <v>3</v>
      </c>
      <c r="HQ242">
        <v>0</v>
      </c>
      <c r="HR242">
        <v>2</v>
      </c>
      <c r="HS242">
        <v>5851</v>
      </c>
      <c r="HT242">
        <v>180</v>
      </c>
      <c r="HU242">
        <v>180</v>
      </c>
      <c r="HW242">
        <v>0</v>
      </c>
      <c r="HX242">
        <v>485</v>
      </c>
      <c r="HY242">
        <v>0.18</v>
      </c>
      <c r="IA242">
        <v>0.15</v>
      </c>
      <c r="IB242">
        <v>0</v>
      </c>
      <c r="IC242">
        <v>180</v>
      </c>
      <c r="ID242">
        <v>110</v>
      </c>
      <c r="IE242">
        <v>225</v>
      </c>
      <c r="IF242">
        <v>0</v>
      </c>
      <c r="IH242" t="s">
        <v>549</v>
      </c>
      <c r="IO242">
        <v>3</v>
      </c>
      <c r="IP242">
        <v>18</v>
      </c>
      <c r="IQ242">
        <v>0</v>
      </c>
      <c r="IR242">
        <v>1</v>
      </c>
      <c r="IV242">
        <v>1381</v>
      </c>
      <c r="IW242">
        <v>432</v>
      </c>
      <c r="IY242">
        <v>290</v>
      </c>
      <c r="JA242">
        <v>1</v>
      </c>
      <c r="JB242">
        <v>0</v>
      </c>
      <c r="JC242">
        <v>2</v>
      </c>
      <c r="JD242">
        <v>1393</v>
      </c>
      <c r="JE242">
        <v>1391</v>
      </c>
      <c r="JF242">
        <v>1401</v>
      </c>
      <c r="JG242">
        <v>1378</v>
      </c>
      <c r="JH242">
        <v>0</v>
      </c>
      <c r="JJ242">
        <v>180</v>
      </c>
      <c r="JK242">
        <v>485</v>
      </c>
      <c r="JN242">
        <v>410</v>
      </c>
      <c r="JO242">
        <v>585</v>
      </c>
      <c r="JP242">
        <v>540</v>
      </c>
      <c r="JQ242">
        <v>0</v>
      </c>
      <c r="JR242">
        <v>388</v>
      </c>
      <c r="JS242">
        <v>145</v>
      </c>
      <c r="JV242">
        <v>8</v>
      </c>
      <c r="JW242" t="s">
        <v>550</v>
      </c>
      <c r="JX242">
        <v>0</v>
      </c>
      <c r="KA242">
        <v>225</v>
      </c>
      <c r="KB242">
        <v>110</v>
      </c>
      <c r="KC242">
        <v>0</v>
      </c>
      <c r="KD242">
        <v>80</v>
      </c>
      <c r="KF242">
        <v>4</v>
      </c>
      <c r="KG242">
        <v>2</v>
      </c>
      <c r="KH242">
        <v>2</v>
      </c>
      <c r="KI242">
        <v>2</v>
      </c>
      <c r="KJ242">
        <v>0</v>
      </c>
      <c r="KK242">
        <v>1.5</v>
      </c>
      <c r="KL242">
        <v>1.5</v>
      </c>
      <c r="KM242">
        <v>0</v>
      </c>
      <c r="KN242">
        <v>0</v>
      </c>
      <c r="KO242">
        <v>0</v>
      </c>
      <c r="KR242">
        <v>50</v>
      </c>
      <c r="KS242">
        <v>60</v>
      </c>
      <c r="KT242">
        <v>0</v>
      </c>
      <c r="LK242">
        <v>480</v>
      </c>
      <c r="PG242">
        <v>1</v>
      </c>
      <c r="PI242" t="s">
        <v>3080</v>
      </c>
      <c r="PJ242" t="s">
        <v>3081</v>
      </c>
      <c r="PK242" t="s">
        <v>3082</v>
      </c>
      <c r="PL242" t="s">
        <v>812</v>
      </c>
      <c r="PP242" t="s">
        <v>3083</v>
      </c>
      <c r="PX242">
        <v>56</v>
      </c>
      <c r="PY242">
        <v>57</v>
      </c>
      <c r="PZ242" t="s">
        <v>3080</v>
      </c>
      <c r="QA242">
        <v>2</v>
      </c>
      <c r="QB242">
        <v>1378</v>
      </c>
      <c r="QC242">
        <v>69</v>
      </c>
      <c r="QD242">
        <v>69</v>
      </c>
      <c r="QE242" t="s">
        <v>812</v>
      </c>
      <c r="QF242">
        <v>1</v>
      </c>
      <c r="QG242">
        <v>1393</v>
      </c>
      <c r="QH242">
        <v>66</v>
      </c>
      <c r="QI242">
        <v>66</v>
      </c>
      <c r="QL242">
        <v>0</v>
      </c>
      <c r="QM242">
        <v>62</v>
      </c>
      <c r="QN242">
        <v>62</v>
      </c>
      <c r="QO242" t="s">
        <v>3081</v>
      </c>
      <c r="QP242">
        <v>1</v>
      </c>
      <c r="QQ242">
        <v>1391</v>
      </c>
      <c r="QR242">
        <v>63</v>
      </c>
      <c r="QS242">
        <v>63</v>
      </c>
      <c r="QT242" t="s">
        <v>3082</v>
      </c>
      <c r="QU242">
        <v>1</v>
      </c>
      <c r="QV242">
        <v>1401</v>
      </c>
      <c r="QW242">
        <v>82</v>
      </c>
      <c r="QX242">
        <v>82</v>
      </c>
      <c r="QY242" t="s">
        <v>3083</v>
      </c>
      <c r="QZ242">
        <v>1</v>
      </c>
      <c r="RA242">
        <v>66</v>
      </c>
      <c r="RB242">
        <v>66</v>
      </c>
      <c r="RE242">
        <v>0</v>
      </c>
      <c r="RF242">
        <v>1</v>
      </c>
      <c r="RI242">
        <v>1</v>
      </c>
      <c r="RJ242">
        <v>1</v>
      </c>
      <c r="RL242">
        <v>1</v>
      </c>
      <c r="RM242">
        <v>1</v>
      </c>
      <c r="RO242">
        <v>581</v>
      </c>
      <c r="RQ242">
        <v>903</v>
      </c>
      <c r="RR242">
        <v>894</v>
      </c>
      <c r="RT242">
        <v>259</v>
      </c>
      <c r="RU242">
        <v>164</v>
      </c>
      <c r="RV242" t="s">
        <v>1654</v>
      </c>
      <c r="RW242" t="s">
        <v>679</v>
      </c>
      <c r="RX242">
        <v>15</v>
      </c>
      <c r="RY242">
        <v>4</v>
      </c>
      <c r="RZ242" t="s">
        <v>679</v>
      </c>
      <c r="SA242">
        <v>15</v>
      </c>
      <c r="SC242" t="s">
        <v>3081</v>
      </c>
      <c r="SD242">
        <v>1</v>
      </c>
      <c r="SE242" t="s">
        <v>3085</v>
      </c>
      <c r="SF242" t="s">
        <v>3085</v>
      </c>
      <c r="SG242">
        <v>1</v>
      </c>
      <c r="SH242">
        <v>0.995</v>
      </c>
      <c r="SI242">
        <v>0.995</v>
      </c>
      <c r="SJ242">
        <v>0.995</v>
      </c>
      <c r="SK242">
        <v>15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Z242">
        <v>1</v>
      </c>
      <c r="TB242">
        <v>0</v>
      </c>
      <c r="TC242">
        <v>0</v>
      </c>
      <c r="TD242">
        <v>7.5</v>
      </c>
      <c r="TE242" t="s">
        <v>553</v>
      </c>
      <c r="TF242" t="s">
        <v>624</v>
      </c>
      <c r="TG242" t="s">
        <v>555</v>
      </c>
      <c r="TI242" t="s">
        <v>546</v>
      </c>
      <c r="TJ242" t="s">
        <v>547</v>
      </c>
      <c r="TL242" t="s">
        <v>3054</v>
      </c>
      <c r="TM242" t="s">
        <v>513</v>
      </c>
      <c r="TN242">
        <v>0</v>
      </c>
      <c r="TO242" t="s">
        <v>557</v>
      </c>
    </row>
    <row r="243" spans="1:535">
      <c r="A243" t="s">
        <v>3086</v>
      </c>
      <c r="B243" t="s">
        <v>729</v>
      </c>
      <c r="C243" t="s">
        <v>509</v>
      </c>
      <c r="D243" t="s">
        <v>3087</v>
      </c>
      <c r="G243" t="s">
        <v>605</v>
      </c>
      <c r="H243" t="s">
        <v>896</v>
      </c>
      <c r="I243" t="s">
        <v>628</v>
      </c>
      <c r="J243" t="s">
        <v>606</v>
      </c>
      <c r="L243" t="s">
        <v>512</v>
      </c>
      <c r="M243" t="s">
        <v>897</v>
      </c>
      <c r="N243" t="s">
        <v>513</v>
      </c>
      <c r="O243" t="s">
        <v>607</v>
      </c>
      <c r="Q243" t="s">
        <v>3088</v>
      </c>
      <c r="R243" t="s">
        <v>517</v>
      </c>
      <c r="S243" t="s">
        <v>2918</v>
      </c>
      <c r="T243" t="s">
        <v>2808</v>
      </c>
      <c r="U243" t="s">
        <v>570</v>
      </c>
      <c r="V243" t="s">
        <v>571</v>
      </c>
      <c r="W243" t="s">
        <v>1296</v>
      </c>
      <c r="X243" t="s">
        <v>3058</v>
      </c>
      <c r="Y243" t="s">
        <v>574</v>
      </c>
      <c r="Z243" t="s">
        <v>3089</v>
      </c>
      <c r="AA243" t="s">
        <v>3090</v>
      </c>
      <c r="AB243" t="s">
        <v>3091</v>
      </c>
      <c r="AC243">
        <v>2</v>
      </c>
      <c r="AD243">
        <v>57</v>
      </c>
      <c r="AE243">
        <v>233</v>
      </c>
      <c r="AF243">
        <v>1.5</v>
      </c>
      <c r="AH243">
        <v>0</v>
      </c>
      <c r="AI243" t="s">
        <v>885</v>
      </c>
      <c r="AJ243">
        <v>215</v>
      </c>
      <c r="AK243">
        <v>1</v>
      </c>
      <c r="AL243">
        <v>1.5</v>
      </c>
      <c r="AM243" t="s">
        <v>579</v>
      </c>
      <c r="AN243" t="s">
        <v>693</v>
      </c>
      <c r="AO243">
        <v>2</v>
      </c>
      <c r="AP243" t="s">
        <v>581</v>
      </c>
      <c r="AQ243" t="s">
        <v>582</v>
      </c>
      <c r="AR243">
        <v>255</v>
      </c>
      <c r="AS243">
        <v>1.5</v>
      </c>
      <c r="AT243" t="s">
        <v>583</v>
      </c>
      <c r="AU243" t="s">
        <v>3092</v>
      </c>
      <c r="AW243" t="s">
        <v>3092</v>
      </c>
      <c r="AX243">
        <v>1</v>
      </c>
      <c r="AY243">
        <v>307.5</v>
      </c>
      <c r="AZ243">
        <v>1.5</v>
      </c>
      <c r="BA243" t="s">
        <v>579</v>
      </c>
      <c r="BC243" t="s">
        <v>3093</v>
      </c>
      <c r="BD243" t="s">
        <v>3093</v>
      </c>
      <c r="BE243">
        <v>1</v>
      </c>
      <c r="BF243">
        <v>255</v>
      </c>
      <c r="BG243">
        <v>1.5</v>
      </c>
      <c r="BJ243">
        <v>0</v>
      </c>
      <c r="BN243">
        <v>1.5</v>
      </c>
      <c r="BP243" t="s">
        <v>874</v>
      </c>
      <c r="BQ243" t="s">
        <v>587</v>
      </c>
      <c r="BR243">
        <v>2</v>
      </c>
      <c r="BS243" t="s">
        <v>875</v>
      </c>
      <c r="BT243">
        <v>233</v>
      </c>
      <c r="BU243">
        <v>0.5</v>
      </c>
      <c r="BV243" t="s">
        <v>875</v>
      </c>
      <c r="BW243">
        <v>466</v>
      </c>
      <c r="BX243">
        <v>1</v>
      </c>
      <c r="BY243" t="s">
        <v>589</v>
      </c>
      <c r="BZ243">
        <v>470</v>
      </c>
      <c r="CA243">
        <v>530</v>
      </c>
      <c r="CB243" t="s">
        <v>590</v>
      </c>
      <c r="CC243" t="s">
        <v>590</v>
      </c>
      <c r="CD243">
        <v>482</v>
      </c>
      <c r="CE243" t="s">
        <v>591</v>
      </c>
      <c r="CF243">
        <v>15</v>
      </c>
      <c r="CG243" t="s">
        <v>936</v>
      </c>
      <c r="CH243" t="s">
        <v>936</v>
      </c>
      <c r="CI243">
        <v>30</v>
      </c>
      <c r="CJ243">
        <v>1538</v>
      </c>
      <c r="CK243">
        <v>2</v>
      </c>
      <c r="CL243">
        <v>1632</v>
      </c>
      <c r="CM243">
        <v>2</v>
      </c>
      <c r="CN243" t="s">
        <v>593</v>
      </c>
      <c r="CO243" t="s">
        <v>594</v>
      </c>
      <c r="CP243" t="s">
        <v>595</v>
      </c>
      <c r="CQ243" t="s">
        <v>704</v>
      </c>
      <c r="CR243" t="s">
        <v>650</v>
      </c>
      <c r="CS243" t="s">
        <v>542</v>
      </c>
      <c r="CT243">
        <v>430</v>
      </c>
      <c r="CU243">
        <v>5</v>
      </c>
      <c r="CV243">
        <v>1.2</v>
      </c>
      <c r="CW243">
        <v>1554</v>
      </c>
      <c r="CX243">
        <v>946</v>
      </c>
      <c r="CY243" t="s">
        <v>705</v>
      </c>
      <c r="CZ243">
        <v>50</v>
      </c>
      <c r="DA243">
        <v>3</v>
      </c>
      <c r="DB243">
        <v>1</v>
      </c>
      <c r="DC243">
        <v>1554</v>
      </c>
      <c r="DD243">
        <v>82</v>
      </c>
      <c r="DE243" t="s">
        <v>622</v>
      </c>
      <c r="DF243">
        <v>615</v>
      </c>
      <c r="DG243">
        <v>3</v>
      </c>
      <c r="DH243">
        <v>0.88</v>
      </c>
      <c r="DI243">
        <v>1547</v>
      </c>
      <c r="DJ243">
        <v>1170</v>
      </c>
      <c r="DK243" t="s">
        <v>622</v>
      </c>
      <c r="DL243">
        <v>510</v>
      </c>
      <c r="DM243">
        <v>3</v>
      </c>
      <c r="DN243">
        <v>0.88</v>
      </c>
      <c r="DO243">
        <v>1552</v>
      </c>
      <c r="DP243">
        <v>1003</v>
      </c>
      <c r="DW243" t="s">
        <v>544</v>
      </c>
      <c r="DX243">
        <v>7.5</v>
      </c>
      <c r="EA243">
        <v>1625.4</v>
      </c>
      <c r="EB243">
        <v>383</v>
      </c>
      <c r="EC243" t="s">
        <v>545</v>
      </c>
      <c r="ED243">
        <v>35</v>
      </c>
      <c r="EE243">
        <v>3</v>
      </c>
      <c r="EG243">
        <v>1676</v>
      </c>
      <c r="EH243">
        <v>235</v>
      </c>
      <c r="EJ243">
        <v>0</v>
      </c>
      <c r="EK243">
        <v>1</v>
      </c>
      <c r="EN243">
        <v>0</v>
      </c>
      <c r="EP243" t="s">
        <v>546</v>
      </c>
      <c r="EQ243">
        <v>100</v>
      </c>
      <c r="ER243">
        <v>3</v>
      </c>
      <c r="ES243">
        <v>6.5</v>
      </c>
      <c r="ET243">
        <v>1540</v>
      </c>
      <c r="EU243">
        <v>567.1</v>
      </c>
      <c r="EV243">
        <v>873</v>
      </c>
      <c r="EW243" t="s">
        <v>547</v>
      </c>
      <c r="EX243">
        <v>45</v>
      </c>
      <c r="EY243">
        <v>2</v>
      </c>
      <c r="EZ243">
        <v>5.7</v>
      </c>
      <c r="FA243">
        <v>1540</v>
      </c>
      <c r="FB243">
        <v>187.6</v>
      </c>
      <c r="FC243">
        <v>289</v>
      </c>
      <c r="FE243">
        <v>0</v>
      </c>
      <c r="FF243">
        <v>2</v>
      </c>
      <c r="FI243">
        <v>0</v>
      </c>
      <c r="FK243" t="s">
        <v>548</v>
      </c>
      <c r="FL243">
        <v>0.4</v>
      </c>
      <c r="FM243">
        <v>75</v>
      </c>
      <c r="FN243">
        <v>410</v>
      </c>
      <c r="FO243">
        <v>95</v>
      </c>
      <c r="FP243">
        <v>150</v>
      </c>
      <c r="GR243" t="s">
        <v>548</v>
      </c>
      <c r="GS243">
        <v>0.4</v>
      </c>
      <c r="GT243">
        <v>30</v>
      </c>
      <c r="GU243">
        <v>430</v>
      </c>
      <c r="GV243">
        <v>55</v>
      </c>
      <c r="GW243">
        <v>260</v>
      </c>
      <c r="GY243" t="s">
        <v>651</v>
      </c>
      <c r="GZ243">
        <v>1.6</v>
      </c>
      <c r="HA243">
        <v>20</v>
      </c>
      <c r="HB243">
        <v>208</v>
      </c>
      <c r="HC243">
        <v>0.1</v>
      </c>
      <c r="HD243">
        <v>3</v>
      </c>
      <c r="HE243">
        <v>3</v>
      </c>
      <c r="HF243">
        <v>3</v>
      </c>
      <c r="HG243">
        <v>3</v>
      </c>
      <c r="HH243">
        <v>3</v>
      </c>
      <c r="HI243">
        <v>130</v>
      </c>
      <c r="HJ243">
        <v>3</v>
      </c>
      <c r="HK243">
        <v>30</v>
      </c>
      <c r="HL243">
        <v>2</v>
      </c>
      <c r="HM243">
        <v>0</v>
      </c>
      <c r="HN243">
        <v>2</v>
      </c>
      <c r="HO243">
        <v>85</v>
      </c>
      <c r="HP243">
        <v>3</v>
      </c>
      <c r="HQ243">
        <v>0</v>
      </c>
      <c r="HR243">
        <v>2</v>
      </c>
      <c r="HS243">
        <v>6843</v>
      </c>
      <c r="HT243">
        <v>210</v>
      </c>
      <c r="HU243">
        <v>180</v>
      </c>
      <c r="HW243">
        <v>0</v>
      </c>
      <c r="HX243">
        <v>514</v>
      </c>
      <c r="HY243">
        <v>0.18</v>
      </c>
      <c r="IA243">
        <v>0.15</v>
      </c>
      <c r="IB243">
        <v>0</v>
      </c>
      <c r="IC243">
        <v>180</v>
      </c>
      <c r="ID243">
        <v>110</v>
      </c>
      <c r="IE243">
        <v>225</v>
      </c>
      <c r="IF243">
        <v>0</v>
      </c>
      <c r="IH243" t="s">
        <v>549</v>
      </c>
      <c r="IO243">
        <v>3</v>
      </c>
      <c r="IP243">
        <v>20</v>
      </c>
      <c r="IQ243">
        <v>0</v>
      </c>
      <c r="IR243">
        <v>0</v>
      </c>
      <c r="IV243">
        <v>1538</v>
      </c>
      <c r="IW243">
        <v>466</v>
      </c>
      <c r="JA243">
        <v>1</v>
      </c>
      <c r="JB243">
        <v>0</v>
      </c>
      <c r="JC243">
        <v>2</v>
      </c>
      <c r="JD243">
        <v>1554</v>
      </c>
      <c r="JE243">
        <v>1547</v>
      </c>
      <c r="JF243">
        <v>1552</v>
      </c>
      <c r="JG243">
        <v>1540</v>
      </c>
      <c r="JH243">
        <v>0</v>
      </c>
      <c r="JJ243">
        <v>180</v>
      </c>
      <c r="JK243">
        <v>514</v>
      </c>
      <c r="JN243">
        <v>430</v>
      </c>
      <c r="JO243">
        <v>615</v>
      </c>
      <c r="JP243">
        <v>510</v>
      </c>
      <c r="JQ243">
        <v>0</v>
      </c>
      <c r="JR243">
        <v>466</v>
      </c>
      <c r="JS243">
        <v>130</v>
      </c>
      <c r="JV243">
        <v>8</v>
      </c>
      <c r="JW243" t="s">
        <v>550</v>
      </c>
      <c r="JX243">
        <v>510</v>
      </c>
      <c r="KA243">
        <v>225</v>
      </c>
      <c r="KB243">
        <v>110</v>
      </c>
      <c r="KC243">
        <v>0</v>
      </c>
      <c r="KD243">
        <v>80</v>
      </c>
      <c r="KF243">
        <v>4</v>
      </c>
      <c r="KG243">
        <v>2</v>
      </c>
      <c r="KH243">
        <v>2</v>
      </c>
      <c r="KI243">
        <v>2</v>
      </c>
      <c r="KJ243">
        <v>0</v>
      </c>
      <c r="KK243">
        <v>1.5</v>
      </c>
      <c r="KL243">
        <v>1.5</v>
      </c>
      <c r="KM243">
        <v>0</v>
      </c>
      <c r="KN243">
        <v>0</v>
      </c>
      <c r="KO243">
        <v>0</v>
      </c>
      <c r="KR243">
        <v>30</v>
      </c>
      <c r="KS243">
        <v>60</v>
      </c>
      <c r="KT243">
        <v>0</v>
      </c>
      <c r="LK243">
        <v>480</v>
      </c>
      <c r="PG243">
        <v>1</v>
      </c>
      <c r="PI243" t="s">
        <v>3091</v>
      </c>
      <c r="PJ243" t="s">
        <v>3092</v>
      </c>
      <c r="PK243" t="s">
        <v>3093</v>
      </c>
      <c r="PL243" t="s">
        <v>885</v>
      </c>
      <c r="PP243" t="s">
        <v>874</v>
      </c>
      <c r="PS243" t="s">
        <v>693</v>
      </c>
      <c r="PX243">
        <v>56</v>
      </c>
      <c r="PY243">
        <v>57</v>
      </c>
      <c r="PZ243" t="s">
        <v>3091</v>
      </c>
      <c r="QA243">
        <v>2</v>
      </c>
      <c r="QB243">
        <v>1540</v>
      </c>
      <c r="QC243">
        <v>69</v>
      </c>
      <c r="QD243">
        <v>69</v>
      </c>
      <c r="QE243" t="s">
        <v>885</v>
      </c>
      <c r="QF243">
        <v>1</v>
      </c>
      <c r="QG243">
        <v>1554</v>
      </c>
      <c r="QH243">
        <v>66</v>
      </c>
      <c r="QI243">
        <v>66</v>
      </c>
      <c r="QJ243" t="s">
        <v>693</v>
      </c>
      <c r="QK243">
        <v>1</v>
      </c>
      <c r="QL243">
        <v>1554</v>
      </c>
      <c r="QM243">
        <v>62</v>
      </c>
      <c r="QN243">
        <v>62</v>
      </c>
      <c r="QO243" t="s">
        <v>3092</v>
      </c>
      <c r="QP243">
        <v>1</v>
      </c>
      <c r="QQ243">
        <v>1547</v>
      </c>
      <c r="QR243">
        <v>63</v>
      </c>
      <c r="QS243">
        <v>63</v>
      </c>
      <c r="QT243" t="s">
        <v>3093</v>
      </c>
      <c r="QU243">
        <v>1</v>
      </c>
      <c r="QV243">
        <v>1552</v>
      </c>
      <c r="QW243">
        <v>82</v>
      </c>
      <c r="QX243" t="s">
        <v>587</v>
      </c>
      <c r="QY243" t="s">
        <v>874</v>
      </c>
      <c r="QZ243">
        <v>3</v>
      </c>
      <c r="RA243">
        <v>66</v>
      </c>
      <c r="RB243">
        <v>66</v>
      </c>
      <c r="RE243">
        <v>0</v>
      </c>
      <c r="RF243">
        <v>1</v>
      </c>
      <c r="RI243">
        <v>1</v>
      </c>
      <c r="RJ243">
        <v>1</v>
      </c>
      <c r="RK243">
        <v>2</v>
      </c>
      <c r="RL243">
        <v>4</v>
      </c>
      <c r="RM243">
        <v>4</v>
      </c>
      <c r="RO243">
        <v>609</v>
      </c>
      <c r="RP243">
        <v>105</v>
      </c>
      <c r="RQ243">
        <v>756</v>
      </c>
      <c r="RR243">
        <v>646</v>
      </c>
      <c r="RT243">
        <v>383</v>
      </c>
      <c r="RU243">
        <v>235</v>
      </c>
      <c r="RV243" t="s">
        <v>876</v>
      </c>
      <c r="RW243" t="s">
        <v>599</v>
      </c>
      <c r="RX243">
        <v>15</v>
      </c>
      <c r="RY243">
        <v>4</v>
      </c>
      <c r="RZ243" t="s">
        <v>599</v>
      </c>
      <c r="SA243">
        <v>15</v>
      </c>
      <c r="SC243" t="s">
        <v>3092</v>
      </c>
      <c r="SD243">
        <v>1</v>
      </c>
      <c r="SE243" t="s">
        <v>3094</v>
      </c>
      <c r="SF243" t="s">
        <v>3094</v>
      </c>
      <c r="SG243">
        <v>1</v>
      </c>
      <c r="SH243">
        <v>0.995</v>
      </c>
      <c r="SI243">
        <v>0.995</v>
      </c>
      <c r="SJ243">
        <v>0.995</v>
      </c>
      <c r="SK243">
        <v>15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1</v>
      </c>
      <c r="SZ243">
        <v>1</v>
      </c>
      <c r="TB243">
        <v>0</v>
      </c>
      <c r="TC243">
        <v>0</v>
      </c>
      <c r="TD243">
        <v>7.5</v>
      </c>
      <c r="TE243" t="s">
        <v>553</v>
      </c>
      <c r="TF243" t="s">
        <v>681</v>
      </c>
      <c r="TG243" t="s">
        <v>555</v>
      </c>
      <c r="TI243" t="s">
        <v>546</v>
      </c>
      <c r="TJ243" t="s">
        <v>547</v>
      </c>
      <c r="TL243" t="s">
        <v>3054</v>
      </c>
      <c r="TM243" t="s">
        <v>513</v>
      </c>
      <c r="TN243">
        <v>0</v>
      </c>
      <c r="TO243" t="s">
        <v>601</v>
      </c>
    </row>
    <row r="244" spans="1:535">
      <c r="A244" t="s">
        <v>3095</v>
      </c>
      <c r="B244" t="s">
        <v>657</v>
      </c>
      <c r="C244" t="s">
        <v>509</v>
      </c>
      <c r="D244" t="s">
        <v>3096</v>
      </c>
      <c r="G244" t="s">
        <v>604</v>
      </c>
      <c r="H244" t="s">
        <v>605</v>
      </c>
      <c r="I244" t="s">
        <v>628</v>
      </c>
      <c r="J244" t="s">
        <v>606</v>
      </c>
      <c r="L244" t="s">
        <v>512</v>
      </c>
      <c r="M244" t="s">
        <v>559</v>
      </c>
      <c r="N244" t="s">
        <v>513</v>
      </c>
      <c r="O244" t="s">
        <v>607</v>
      </c>
      <c r="Q244" t="s">
        <v>3097</v>
      </c>
      <c r="R244" t="s">
        <v>517</v>
      </c>
      <c r="S244" t="s">
        <v>1455</v>
      </c>
      <c r="T244" t="s">
        <v>1456</v>
      </c>
      <c r="U244" t="s">
        <v>1457</v>
      </c>
      <c r="V244" t="s">
        <v>1458</v>
      </c>
      <c r="W244" t="s">
        <v>3098</v>
      </c>
      <c r="X244" t="s">
        <v>3048</v>
      </c>
      <c r="Y244" t="s">
        <v>524</v>
      </c>
      <c r="Z244" t="s">
        <v>3099</v>
      </c>
      <c r="AA244" t="s">
        <v>3100</v>
      </c>
      <c r="AB244" t="s">
        <v>3101</v>
      </c>
      <c r="AC244">
        <v>2</v>
      </c>
      <c r="AD244">
        <v>57</v>
      </c>
      <c r="AE244">
        <v>153</v>
      </c>
      <c r="AF244">
        <v>1.5</v>
      </c>
      <c r="AH244">
        <v>0</v>
      </c>
      <c r="AI244" t="s">
        <v>1464</v>
      </c>
      <c r="AJ244">
        <v>165</v>
      </c>
      <c r="AK244">
        <v>1</v>
      </c>
      <c r="AL244">
        <v>1.5</v>
      </c>
      <c r="AM244" t="s">
        <v>529</v>
      </c>
      <c r="AO244">
        <v>0</v>
      </c>
      <c r="AR244">
        <v>0</v>
      </c>
      <c r="AS244">
        <v>1.5</v>
      </c>
      <c r="AU244" t="s">
        <v>3102</v>
      </c>
      <c r="AW244" t="s">
        <v>3102</v>
      </c>
      <c r="AX244">
        <v>1</v>
      </c>
      <c r="AY244">
        <v>242.5</v>
      </c>
      <c r="AZ244">
        <v>1.5</v>
      </c>
      <c r="BA244" t="s">
        <v>529</v>
      </c>
      <c r="BG244">
        <v>1.5</v>
      </c>
      <c r="BJ244">
        <v>0</v>
      </c>
      <c r="BN244">
        <v>1.5</v>
      </c>
      <c r="BP244" t="s">
        <v>3103</v>
      </c>
      <c r="BQ244">
        <v>89</v>
      </c>
      <c r="BR244">
        <v>2</v>
      </c>
      <c r="BS244" t="s">
        <v>1898</v>
      </c>
      <c r="BT244">
        <v>176</v>
      </c>
      <c r="BU244">
        <v>0.5</v>
      </c>
      <c r="BV244" t="s">
        <v>1898</v>
      </c>
      <c r="BW244">
        <v>352</v>
      </c>
      <c r="BX244">
        <v>1</v>
      </c>
      <c r="BY244" t="s">
        <v>1468</v>
      </c>
      <c r="BZ244">
        <v>300</v>
      </c>
      <c r="CA244">
        <v>460</v>
      </c>
      <c r="CB244" t="s">
        <v>1469</v>
      </c>
      <c r="CC244" t="s">
        <v>644</v>
      </c>
      <c r="CD244">
        <v>386</v>
      </c>
      <c r="CE244" t="s">
        <v>1470</v>
      </c>
      <c r="CF244">
        <v>15</v>
      </c>
      <c r="CG244" t="s">
        <v>1899</v>
      </c>
      <c r="CH244" t="s">
        <v>1899</v>
      </c>
      <c r="CI244">
        <v>80</v>
      </c>
      <c r="CJ244">
        <v>1050</v>
      </c>
      <c r="CK244">
        <v>2</v>
      </c>
      <c r="CL244">
        <v>1144</v>
      </c>
      <c r="CM244">
        <v>2</v>
      </c>
      <c r="CN244" t="s">
        <v>1472</v>
      </c>
      <c r="CO244" t="s">
        <v>1473</v>
      </c>
      <c r="CP244" t="s">
        <v>1474</v>
      </c>
      <c r="CQ244" t="s">
        <v>540</v>
      </c>
      <c r="CR244" t="s">
        <v>541</v>
      </c>
      <c r="CS244" t="s">
        <v>542</v>
      </c>
      <c r="CT244">
        <v>330</v>
      </c>
      <c r="CU244">
        <v>5</v>
      </c>
      <c r="CV244">
        <v>1.2</v>
      </c>
      <c r="CW244">
        <v>1064</v>
      </c>
      <c r="CX244">
        <v>497</v>
      </c>
      <c r="DD244">
        <v>0</v>
      </c>
      <c r="DE244" t="s">
        <v>543</v>
      </c>
      <c r="DF244">
        <v>485</v>
      </c>
      <c r="DG244">
        <v>3</v>
      </c>
      <c r="DH244">
        <v>1.18</v>
      </c>
      <c r="DI244">
        <v>1062</v>
      </c>
      <c r="DJ244">
        <v>820</v>
      </c>
      <c r="DW244" t="s">
        <v>544</v>
      </c>
      <c r="DX244">
        <v>7.5</v>
      </c>
      <c r="EA244">
        <v>1123</v>
      </c>
      <c r="EB244">
        <v>147</v>
      </c>
      <c r="EC244" t="s">
        <v>545</v>
      </c>
      <c r="ED244">
        <v>25</v>
      </c>
      <c r="EE244">
        <v>3</v>
      </c>
      <c r="EG244">
        <v>1154</v>
      </c>
      <c r="EH244">
        <v>110</v>
      </c>
      <c r="EJ244">
        <v>0</v>
      </c>
      <c r="EK244">
        <v>1</v>
      </c>
      <c r="EN244">
        <v>0</v>
      </c>
      <c r="EP244" t="s">
        <v>546</v>
      </c>
      <c r="EQ244">
        <v>100</v>
      </c>
      <c r="ER244">
        <v>3</v>
      </c>
      <c r="ES244">
        <v>5</v>
      </c>
      <c r="ET244">
        <v>1045</v>
      </c>
      <c r="EU244">
        <v>372.1</v>
      </c>
      <c r="EV244">
        <v>389</v>
      </c>
      <c r="EW244" t="s">
        <v>547</v>
      </c>
      <c r="EX244">
        <v>70</v>
      </c>
      <c r="EY244">
        <v>2</v>
      </c>
      <c r="EZ244">
        <v>4</v>
      </c>
      <c r="FA244">
        <v>1045</v>
      </c>
      <c r="FB244">
        <v>199.8</v>
      </c>
      <c r="FC244">
        <v>209</v>
      </c>
      <c r="FE244">
        <v>0</v>
      </c>
      <c r="FF244">
        <v>2</v>
      </c>
      <c r="FI244">
        <v>0</v>
      </c>
      <c r="FK244" t="s">
        <v>548</v>
      </c>
      <c r="FL244">
        <v>0.4</v>
      </c>
      <c r="FM244">
        <v>80</v>
      </c>
      <c r="FN244">
        <v>90</v>
      </c>
      <c r="FR244" t="s">
        <v>548</v>
      </c>
      <c r="FS244">
        <v>0.4</v>
      </c>
      <c r="FT244">
        <v>30</v>
      </c>
      <c r="FU244">
        <v>320</v>
      </c>
      <c r="FV244">
        <v>20</v>
      </c>
      <c r="FW244">
        <v>210</v>
      </c>
      <c r="HC244">
        <v>0.1</v>
      </c>
      <c r="HD244">
        <v>3</v>
      </c>
      <c r="HE244">
        <v>3</v>
      </c>
      <c r="HF244">
        <v>3</v>
      </c>
      <c r="HG244">
        <v>3</v>
      </c>
      <c r="HH244">
        <v>3</v>
      </c>
      <c r="HI244">
        <v>155</v>
      </c>
      <c r="HJ244">
        <v>3</v>
      </c>
      <c r="HK244">
        <v>55</v>
      </c>
      <c r="HL244">
        <v>2</v>
      </c>
      <c r="HM244">
        <v>0</v>
      </c>
      <c r="HN244">
        <v>2</v>
      </c>
      <c r="HO244">
        <v>85</v>
      </c>
      <c r="HP244">
        <v>3</v>
      </c>
      <c r="HQ244">
        <v>0</v>
      </c>
      <c r="HR244">
        <v>2</v>
      </c>
      <c r="HS244">
        <v>3027</v>
      </c>
      <c r="HT244">
        <v>90</v>
      </c>
      <c r="HU244">
        <v>180</v>
      </c>
      <c r="HW244">
        <v>0</v>
      </c>
      <c r="HX244">
        <v>366</v>
      </c>
      <c r="HY244">
        <v>0.18</v>
      </c>
      <c r="IA244">
        <v>0.15</v>
      </c>
      <c r="IB244">
        <v>0</v>
      </c>
      <c r="IC244">
        <v>180</v>
      </c>
      <c r="ID244">
        <v>110</v>
      </c>
      <c r="IE244">
        <v>225</v>
      </c>
      <c r="IF244">
        <v>0</v>
      </c>
      <c r="IH244" t="s">
        <v>549</v>
      </c>
      <c r="IO244">
        <v>1</v>
      </c>
      <c r="IP244">
        <v>14</v>
      </c>
      <c r="IQ244">
        <v>0</v>
      </c>
      <c r="IR244">
        <v>1</v>
      </c>
      <c r="IV244">
        <v>1050</v>
      </c>
      <c r="IW244">
        <v>352</v>
      </c>
      <c r="JA244">
        <v>1</v>
      </c>
      <c r="JB244">
        <v>0</v>
      </c>
      <c r="JC244">
        <v>2</v>
      </c>
      <c r="JD244">
        <v>1064</v>
      </c>
      <c r="JE244">
        <v>1062</v>
      </c>
      <c r="JF244">
        <v>0</v>
      </c>
      <c r="JG244">
        <v>1045</v>
      </c>
      <c r="JH244">
        <v>0</v>
      </c>
      <c r="JJ244">
        <v>180</v>
      </c>
      <c r="JK244">
        <v>366</v>
      </c>
      <c r="JN244">
        <v>330</v>
      </c>
      <c r="JO244">
        <v>485</v>
      </c>
      <c r="JP244">
        <v>0</v>
      </c>
      <c r="JQ244">
        <v>0</v>
      </c>
      <c r="JR244">
        <v>306</v>
      </c>
      <c r="JS244">
        <v>155</v>
      </c>
      <c r="JV244">
        <v>8</v>
      </c>
      <c r="JW244" t="s">
        <v>550</v>
      </c>
      <c r="JX244">
        <v>0</v>
      </c>
      <c r="KA244">
        <v>225</v>
      </c>
      <c r="KB244">
        <v>110</v>
      </c>
      <c r="KC244">
        <v>0</v>
      </c>
      <c r="KD244">
        <v>80</v>
      </c>
      <c r="KF244">
        <v>4</v>
      </c>
      <c r="KG244">
        <v>2</v>
      </c>
      <c r="KH244">
        <v>2</v>
      </c>
      <c r="KI244">
        <v>2</v>
      </c>
      <c r="KJ244">
        <v>0</v>
      </c>
      <c r="KK244">
        <v>1.5</v>
      </c>
      <c r="KL244">
        <v>1.5</v>
      </c>
      <c r="KM244">
        <v>0</v>
      </c>
      <c r="KN244">
        <v>0</v>
      </c>
      <c r="KO244">
        <v>0</v>
      </c>
      <c r="KR244">
        <v>30</v>
      </c>
      <c r="KS244">
        <v>60</v>
      </c>
      <c r="KT244">
        <v>0</v>
      </c>
      <c r="LK244">
        <v>480</v>
      </c>
      <c r="PG244">
        <v>1</v>
      </c>
      <c r="PI244" t="s">
        <v>3101</v>
      </c>
      <c r="PJ244" t="s">
        <v>3102</v>
      </c>
      <c r="PL244" t="s">
        <v>1464</v>
      </c>
      <c r="PP244" t="s">
        <v>3103</v>
      </c>
      <c r="PX244">
        <v>56</v>
      </c>
      <c r="PY244">
        <v>57</v>
      </c>
      <c r="PZ244" t="s">
        <v>3101</v>
      </c>
      <c r="QA244">
        <v>2</v>
      </c>
      <c r="QB244">
        <v>1045</v>
      </c>
      <c r="QC244">
        <v>69</v>
      </c>
      <c r="QD244">
        <v>69</v>
      </c>
      <c r="QE244" t="s">
        <v>1464</v>
      </c>
      <c r="QF244">
        <v>1</v>
      </c>
      <c r="QG244">
        <v>1064</v>
      </c>
      <c r="QH244">
        <v>66</v>
      </c>
      <c r="QI244">
        <v>66</v>
      </c>
      <c r="QL244">
        <v>0</v>
      </c>
      <c r="QM244">
        <v>62</v>
      </c>
      <c r="QN244">
        <v>62</v>
      </c>
      <c r="QO244" t="s">
        <v>3102</v>
      </c>
      <c r="QP244">
        <v>1</v>
      </c>
      <c r="QQ244">
        <v>1062</v>
      </c>
      <c r="QW244">
        <v>82</v>
      </c>
      <c r="QX244">
        <v>89</v>
      </c>
      <c r="QY244" t="s">
        <v>3103</v>
      </c>
      <c r="QZ244">
        <v>2</v>
      </c>
      <c r="RA244">
        <v>66</v>
      </c>
      <c r="RB244">
        <v>66</v>
      </c>
      <c r="RE244">
        <v>0</v>
      </c>
      <c r="RF244">
        <v>1</v>
      </c>
      <c r="RJ244">
        <v>3</v>
      </c>
      <c r="RL244">
        <v>2</v>
      </c>
      <c r="RO244">
        <v>467</v>
      </c>
      <c r="RQ244">
        <v>772</v>
      </c>
      <c r="RT244">
        <v>147</v>
      </c>
      <c r="RU244">
        <v>110</v>
      </c>
      <c r="RV244" t="s">
        <v>1901</v>
      </c>
      <c r="RW244" t="s">
        <v>1476</v>
      </c>
      <c r="RX244">
        <v>15</v>
      </c>
      <c r="RY244">
        <v>4</v>
      </c>
      <c r="RZ244" t="s">
        <v>1476</v>
      </c>
      <c r="SA244">
        <v>15</v>
      </c>
      <c r="SC244" t="s">
        <v>3102</v>
      </c>
      <c r="SD244">
        <v>1</v>
      </c>
      <c r="SH244">
        <v>0.995</v>
      </c>
      <c r="SI244">
        <v>0.995</v>
      </c>
      <c r="SJ244">
        <v>0.995</v>
      </c>
      <c r="SK244">
        <v>15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TB244">
        <v>0</v>
      </c>
      <c r="TC244">
        <v>0</v>
      </c>
      <c r="TD244">
        <v>7.5</v>
      </c>
      <c r="TE244" t="s">
        <v>553</v>
      </c>
      <c r="TF244" t="s">
        <v>754</v>
      </c>
      <c r="TG244" t="s">
        <v>555</v>
      </c>
      <c r="TI244" t="s">
        <v>546</v>
      </c>
      <c r="TJ244" t="s">
        <v>547</v>
      </c>
      <c r="TL244" t="s">
        <v>3054</v>
      </c>
      <c r="TM244" t="s">
        <v>513</v>
      </c>
      <c r="TN244">
        <v>0</v>
      </c>
      <c r="TO244" t="s">
        <v>557</v>
      </c>
    </row>
    <row r="245" spans="1:535">
      <c r="A245" t="s">
        <v>3104</v>
      </c>
      <c r="B245" t="s">
        <v>727</v>
      </c>
      <c r="C245" t="s">
        <v>509</v>
      </c>
      <c r="D245" t="s">
        <v>2575</v>
      </c>
      <c r="G245" t="s">
        <v>605</v>
      </c>
      <c r="H245" t="s">
        <v>896</v>
      </c>
      <c r="I245" t="s">
        <v>628</v>
      </c>
      <c r="J245" t="s">
        <v>606</v>
      </c>
      <c r="L245" t="s">
        <v>512</v>
      </c>
      <c r="M245" t="s">
        <v>729</v>
      </c>
      <c r="N245" t="s">
        <v>513</v>
      </c>
      <c r="O245" t="s">
        <v>607</v>
      </c>
      <c r="Q245" t="s">
        <v>3105</v>
      </c>
      <c r="R245" t="s">
        <v>517</v>
      </c>
      <c r="S245" t="s">
        <v>1480</v>
      </c>
      <c r="T245" t="s">
        <v>1481</v>
      </c>
      <c r="U245" t="s">
        <v>1482</v>
      </c>
      <c r="V245" t="s">
        <v>1483</v>
      </c>
      <c r="W245" t="s">
        <v>2425</v>
      </c>
      <c r="X245" t="s">
        <v>3048</v>
      </c>
      <c r="Y245" t="s">
        <v>524</v>
      </c>
      <c r="Z245" t="s">
        <v>3106</v>
      </c>
      <c r="AA245" t="s">
        <v>3107</v>
      </c>
      <c r="AB245" t="s">
        <v>3108</v>
      </c>
      <c r="AC245">
        <v>2</v>
      </c>
      <c r="AD245">
        <v>57</v>
      </c>
      <c r="AE245">
        <v>164</v>
      </c>
      <c r="AF245">
        <v>1.5</v>
      </c>
      <c r="AH245">
        <v>0</v>
      </c>
      <c r="AI245" t="s">
        <v>748</v>
      </c>
      <c r="AJ245">
        <v>175</v>
      </c>
      <c r="AK245">
        <v>1</v>
      </c>
      <c r="AL245">
        <v>1.5</v>
      </c>
      <c r="AM245" t="s">
        <v>529</v>
      </c>
      <c r="AO245">
        <v>0</v>
      </c>
      <c r="AR245">
        <v>0</v>
      </c>
      <c r="AS245">
        <v>1.5</v>
      </c>
      <c r="AU245" t="s">
        <v>3109</v>
      </c>
      <c r="AW245" t="s">
        <v>3109</v>
      </c>
      <c r="AX245">
        <v>1</v>
      </c>
      <c r="AY245">
        <v>260</v>
      </c>
      <c r="AZ245">
        <v>1.5</v>
      </c>
      <c r="BA245" t="s">
        <v>529</v>
      </c>
      <c r="BG245">
        <v>1.5</v>
      </c>
      <c r="BJ245">
        <v>0</v>
      </c>
      <c r="BN245">
        <v>1.5</v>
      </c>
      <c r="BP245" t="s">
        <v>3110</v>
      </c>
      <c r="BQ245">
        <v>89</v>
      </c>
      <c r="BR245">
        <v>2</v>
      </c>
      <c r="BS245" t="s">
        <v>1562</v>
      </c>
      <c r="BT245">
        <v>186</v>
      </c>
      <c r="BU245">
        <v>0.5</v>
      </c>
      <c r="BV245" t="s">
        <v>1562</v>
      </c>
      <c r="BW245">
        <v>372</v>
      </c>
      <c r="BX245">
        <v>1</v>
      </c>
      <c r="BY245" t="s">
        <v>1491</v>
      </c>
      <c r="BZ245">
        <v>300</v>
      </c>
      <c r="CA245">
        <v>500</v>
      </c>
      <c r="CB245" t="s">
        <v>1492</v>
      </c>
      <c r="CC245" t="s">
        <v>1492</v>
      </c>
      <c r="CD245">
        <v>394</v>
      </c>
      <c r="CE245" t="s">
        <v>1493</v>
      </c>
      <c r="CF245">
        <v>15</v>
      </c>
      <c r="CG245" t="s">
        <v>1494</v>
      </c>
      <c r="CH245" t="s">
        <v>1494</v>
      </c>
      <c r="CI245">
        <v>100</v>
      </c>
      <c r="CJ245">
        <v>1122</v>
      </c>
      <c r="CK245">
        <v>2</v>
      </c>
      <c r="CL245">
        <v>1222</v>
      </c>
      <c r="CM245">
        <v>2</v>
      </c>
      <c r="CN245" t="s">
        <v>1495</v>
      </c>
      <c r="CO245" t="s">
        <v>1473</v>
      </c>
      <c r="CP245" t="s">
        <v>1474</v>
      </c>
      <c r="CQ245" t="s">
        <v>540</v>
      </c>
      <c r="CR245" t="s">
        <v>541</v>
      </c>
      <c r="CS245" t="s">
        <v>542</v>
      </c>
      <c r="CT245">
        <v>350</v>
      </c>
      <c r="CU245">
        <v>5</v>
      </c>
      <c r="CV245">
        <v>1.2</v>
      </c>
      <c r="CW245">
        <v>1136</v>
      </c>
      <c r="CX245">
        <v>562</v>
      </c>
      <c r="DD245">
        <v>0</v>
      </c>
      <c r="DE245" t="s">
        <v>543</v>
      </c>
      <c r="DF245">
        <v>520</v>
      </c>
      <c r="DG245">
        <v>3</v>
      </c>
      <c r="DH245">
        <v>1.18</v>
      </c>
      <c r="DI245">
        <v>1134</v>
      </c>
      <c r="DJ245">
        <v>954</v>
      </c>
      <c r="DW245" t="s">
        <v>544</v>
      </c>
      <c r="DX245">
        <v>7.5</v>
      </c>
      <c r="EA245">
        <v>1204.3</v>
      </c>
      <c r="EB245">
        <v>157</v>
      </c>
      <c r="EC245" t="s">
        <v>545</v>
      </c>
      <c r="ED245">
        <v>25</v>
      </c>
      <c r="EE245">
        <v>3</v>
      </c>
      <c r="EG245">
        <v>1235</v>
      </c>
      <c r="EH245">
        <v>117</v>
      </c>
      <c r="EJ245">
        <v>0</v>
      </c>
      <c r="EK245">
        <v>1</v>
      </c>
      <c r="EN245">
        <v>0</v>
      </c>
      <c r="EP245" t="s">
        <v>546</v>
      </c>
      <c r="EQ245">
        <v>100</v>
      </c>
      <c r="ER245">
        <v>3</v>
      </c>
      <c r="ES245">
        <v>5.5</v>
      </c>
      <c r="ET245">
        <v>1120</v>
      </c>
      <c r="EU245">
        <v>427.4</v>
      </c>
      <c r="EV245">
        <v>479</v>
      </c>
      <c r="EW245" t="s">
        <v>547</v>
      </c>
      <c r="EX245">
        <v>70</v>
      </c>
      <c r="EY245">
        <v>2</v>
      </c>
      <c r="EZ245">
        <v>4</v>
      </c>
      <c r="FA245">
        <v>1120</v>
      </c>
      <c r="FB245">
        <v>194.1</v>
      </c>
      <c r="FC245">
        <v>217</v>
      </c>
      <c r="FE245">
        <v>0</v>
      </c>
      <c r="FF245">
        <v>2</v>
      </c>
      <c r="FI245">
        <v>0</v>
      </c>
      <c r="FK245" t="s">
        <v>548</v>
      </c>
      <c r="FL245">
        <v>0.4</v>
      </c>
      <c r="FM245">
        <v>95</v>
      </c>
      <c r="FN245">
        <v>110</v>
      </c>
      <c r="FR245" t="s">
        <v>548</v>
      </c>
      <c r="FS245">
        <v>0.4</v>
      </c>
      <c r="FT245">
        <v>30</v>
      </c>
      <c r="FU245">
        <v>340</v>
      </c>
      <c r="FV245">
        <v>30</v>
      </c>
      <c r="FW245">
        <v>200</v>
      </c>
      <c r="HC245">
        <v>0.1</v>
      </c>
      <c r="HD245">
        <v>3</v>
      </c>
      <c r="HE245">
        <v>3</v>
      </c>
      <c r="HF245">
        <v>3</v>
      </c>
      <c r="HG245">
        <v>3</v>
      </c>
      <c r="HH245">
        <v>3</v>
      </c>
      <c r="HI245">
        <v>155</v>
      </c>
      <c r="HJ245">
        <v>3</v>
      </c>
      <c r="HK245">
        <v>55</v>
      </c>
      <c r="HL245">
        <v>2</v>
      </c>
      <c r="HM245">
        <v>0</v>
      </c>
      <c r="HN245">
        <v>2</v>
      </c>
      <c r="HO245">
        <v>85</v>
      </c>
      <c r="HP245">
        <v>3</v>
      </c>
      <c r="HQ245">
        <v>0</v>
      </c>
      <c r="HR245">
        <v>2</v>
      </c>
      <c r="HS245">
        <v>3456</v>
      </c>
      <c r="HT245">
        <v>100</v>
      </c>
      <c r="HU245">
        <v>180</v>
      </c>
      <c r="HW245">
        <v>0</v>
      </c>
      <c r="HX245">
        <v>434</v>
      </c>
      <c r="HY245">
        <v>0.18</v>
      </c>
      <c r="IA245">
        <v>0.15</v>
      </c>
      <c r="IB245">
        <v>0</v>
      </c>
      <c r="IC245">
        <v>180</v>
      </c>
      <c r="ID245">
        <v>110</v>
      </c>
      <c r="IE245">
        <v>0</v>
      </c>
      <c r="IF245">
        <v>0</v>
      </c>
      <c r="IH245" t="s">
        <v>549</v>
      </c>
      <c r="IO245">
        <v>1</v>
      </c>
      <c r="IP245">
        <v>15</v>
      </c>
      <c r="IQ245">
        <v>0</v>
      </c>
      <c r="IR245">
        <v>1</v>
      </c>
      <c r="IV245">
        <v>1122</v>
      </c>
      <c r="IW245">
        <v>372</v>
      </c>
      <c r="JA245">
        <v>1</v>
      </c>
      <c r="JB245">
        <v>0</v>
      </c>
      <c r="JC245">
        <v>2</v>
      </c>
      <c r="JD245">
        <v>1136</v>
      </c>
      <c r="JE245">
        <v>1134</v>
      </c>
      <c r="JF245">
        <v>0</v>
      </c>
      <c r="JG245">
        <v>1120</v>
      </c>
      <c r="JH245">
        <v>0</v>
      </c>
      <c r="JJ245">
        <v>180</v>
      </c>
      <c r="JK245">
        <v>434</v>
      </c>
      <c r="JN245">
        <v>350</v>
      </c>
      <c r="JO245">
        <v>520</v>
      </c>
      <c r="JP245">
        <v>0</v>
      </c>
      <c r="JQ245">
        <v>0</v>
      </c>
      <c r="JR245">
        <v>328</v>
      </c>
      <c r="JS245">
        <v>155</v>
      </c>
      <c r="JV245">
        <v>8</v>
      </c>
      <c r="JW245" t="s">
        <v>550</v>
      </c>
      <c r="JX245">
        <v>0</v>
      </c>
      <c r="KA245">
        <v>0</v>
      </c>
      <c r="KB245">
        <v>110</v>
      </c>
      <c r="KC245">
        <v>0</v>
      </c>
      <c r="KD245">
        <v>80</v>
      </c>
      <c r="KF245">
        <v>4</v>
      </c>
      <c r="KG245">
        <v>4</v>
      </c>
      <c r="KH245">
        <v>2</v>
      </c>
      <c r="KI245">
        <v>2</v>
      </c>
      <c r="KJ245">
        <v>0</v>
      </c>
      <c r="KK245">
        <v>1.5</v>
      </c>
      <c r="KL245">
        <v>1.5</v>
      </c>
      <c r="KM245">
        <v>0</v>
      </c>
      <c r="KN245">
        <v>0</v>
      </c>
      <c r="KO245">
        <v>0</v>
      </c>
      <c r="KR245">
        <v>30</v>
      </c>
      <c r="KS245">
        <v>60</v>
      </c>
      <c r="KT245">
        <v>0</v>
      </c>
      <c r="LK245">
        <v>480</v>
      </c>
      <c r="PG245">
        <v>1</v>
      </c>
      <c r="PI245" t="s">
        <v>3108</v>
      </c>
      <c r="PJ245" t="s">
        <v>3109</v>
      </c>
      <c r="PL245" t="s">
        <v>748</v>
      </c>
      <c r="PP245" t="s">
        <v>3110</v>
      </c>
      <c r="PX245">
        <v>56</v>
      </c>
      <c r="PY245">
        <v>57</v>
      </c>
      <c r="PZ245" t="s">
        <v>3108</v>
      </c>
      <c r="QA245">
        <v>1</v>
      </c>
      <c r="QB245">
        <v>1120</v>
      </c>
      <c r="QC245">
        <v>69</v>
      </c>
      <c r="QD245">
        <v>69</v>
      </c>
      <c r="QE245" t="s">
        <v>748</v>
      </c>
      <c r="QF245">
        <v>1</v>
      </c>
      <c r="QG245">
        <v>1136</v>
      </c>
      <c r="QH245">
        <v>66</v>
      </c>
      <c r="QI245">
        <v>66</v>
      </c>
      <c r="QL245">
        <v>0</v>
      </c>
      <c r="QM245">
        <v>62</v>
      </c>
      <c r="QN245">
        <v>62</v>
      </c>
      <c r="QO245" t="s">
        <v>3109</v>
      </c>
      <c r="QP245">
        <v>1</v>
      </c>
      <c r="QQ245">
        <v>1134</v>
      </c>
      <c r="QW245">
        <v>82</v>
      </c>
      <c r="QX245">
        <v>89</v>
      </c>
      <c r="QY245" t="s">
        <v>3110</v>
      </c>
      <c r="QZ245">
        <v>2</v>
      </c>
      <c r="RA245">
        <v>66</v>
      </c>
      <c r="RB245">
        <v>66</v>
      </c>
      <c r="RE245">
        <v>0</v>
      </c>
      <c r="RF245">
        <v>1</v>
      </c>
      <c r="RJ245">
        <v>2</v>
      </c>
      <c r="RL245">
        <v>2</v>
      </c>
      <c r="RO245">
        <v>495</v>
      </c>
      <c r="RQ245">
        <v>841</v>
      </c>
      <c r="RT245">
        <v>157</v>
      </c>
      <c r="RU245">
        <v>117</v>
      </c>
      <c r="RV245" t="s">
        <v>1564</v>
      </c>
      <c r="RW245" t="s">
        <v>1498</v>
      </c>
      <c r="RX245">
        <v>15</v>
      </c>
      <c r="RY245">
        <v>4</v>
      </c>
      <c r="RZ245" t="s">
        <v>1498</v>
      </c>
      <c r="SA245">
        <v>15</v>
      </c>
      <c r="SC245" t="s">
        <v>3109</v>
      </c>
      <c r="SD245">
        <v>1</v>
      </c>
      <c r="SH245">
        <v>0.995</v>
      </c>
      <c r="SI245">
        <v>0.995</v>
      </c>
      <c r="SJ245">
        <v>0.995</v>
      </c>
      <c r="SK245">
        <v>15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TB245">
        <v>0</v>
      </c>
      <c r="TC245">
        <v>0</v>
      </c>
      <c r="TD245">
        <v>7.5</v>
      </c>
      <c r="TE245" t="s">
        <v>553</v>
      </c>
      <c r="TF245" t="s">
        <v>754</v>
      </c>
      <c r="TG245" t="s">
        <v>555</v>
      </c>
      <c r="TI245" t="s">
        <v>546</v>
      </c>
      <c r="TJ245" t="s">
        <v>547</v>
      </c>
      <c r="TL245" t="s">
        <v>3054</v>
      </c>
      <c r="TM245" t="s">
        <v>513</v>
      </c>
      <c r="TN245">
        <v>0</v>
      </c>
      <c r="TO245" t="s">
        <v>557</v>
      </c>
    </row>
    <row r="246" spans="1:535">
      <c r="A246" t="s">
        <v>3111</v>
      </c>
      <c r="B246" t="s">
        <v>657</v>
      </c>
      <c r="C246" t="s">
        <v>509</v>
      </c>
      <c r="D246" t="s">
        <v>2323</v>
      </c>
      <c r="G246" t="s">
        <v>604</v>
      </c>
      <c r="H246" t="s">
        <v>605</v>
      </c>
      <c r="I246" t="s">
        <v>628</v>
      </c>
      <c r="J246" t="s">
        <v>606</v>
      </c>
      <c r="L246" t="s">
        <v>512</v>
      </c>
      <c r="M246" t="s">
        <v>559</v>
      </c>
      <c r="N246" t="s">
        <v>513</v>
      </c>
      <c r="O246" t="s">
        <v>607</v>
      </c>
      <c r="Q246" t="s">
        <v>3112</v>
      </c>
      <c r="R246" t="s">
        <v>517</v>
      </c>
      <c r="S246" t="s">
        <v>518</v>
      </c>
      <c r="T246" t="s">
        <v>519</v>
      </c>
      <c r="U246" t="s">
        <v>520</v>
      </c>
      <c r="V246" t="s">
        <v>521</v>
      </c>
      <c r="W246" t="s">
        <v>522</v>
      </c>
      <c r="X246" t="s">
        <v>3048</v>
      </c>
      <c r="Y246" t="s">
        <v>524</v>
      </c>
      <c r="Z246" t="s">
        <v>3113</v>
      </c>
      <c r="AA246" t="s">
        <v>3114</v>
      </c>
      <c r="AB246" t="s">
        <v>3115</v>
      </c>
      <c r="AC246">
        <v>2</v>
      </c>
      <c r="AD246">
        <v>57</v>
      </c>
      <c r="AE246">
        <v>167</v>
      </c>
      <c r="AF246">
        <v>1.5</v>
      </c>
      <c r="AH246">
        <v>0</v>
      </c>
      <c r="AI246" t="s">
        <v>734</v>
      </c>
      <c r="AJ246">
        <v>180</v>
      </c>
      <c r="AK246">
        <v>1</v>
      </c>
      <c r="AL246">
        <v>1.5</v>
      </c>
      <c r="AM246" t="s">
        <v>529</v>
      </c>
      <c r="AO246">
        <v>0</v>
      </c>
      <c r="AR246">
        <v>0</v>
      </c>
      <c r="AS246">
        <v>1.5</v>
      </c>
      <c r="AV246" t="s">
        <v>3116</v>
      </c>
      <c r="AW246" t="s">
        <v>3116</v>
      </c>
      <c r="AX246">
        <v>1</v>
      </c>
      <c r="AY246">
        <v>255</v>
      </c>
      <c r="AZ246">
        <v>1.5</v>
      </c>
      <c r="BA246" t="s">
        <v>529</v>
      </c>
      <c r="BG246">
        <v>1.5</v>
      </c>
      <c r="BJ246">
        <v>0</v>
      </c>
      <c r="BN246">
        <v>1.5</v>
      </c>
      <c r="BP246" t="s">
        <v>3117</v>
      </c>
      <c r="BQ246">
        <v>89</v>
      </c>
      <c r="BR246">
        <v>2</v>
      </c>
      <c r="BS246" t="s">
        <v>3118</v>
      </c>
      <c r="BT246">
        <v>190</v>
      </c>
      <c r="BU246">
        <v>0.5</v>
      </c>
      <c r="BV246" t="s">
        <v>3118</v>
      </c>
      <c r="BW246">
        <v>380</v>
      </c>
      <c r="BX246">
        <v>1</v>
      </c>
      <c r="BY246" t="s">
        <v>533</v>
      </c>
      <c r="BZ246">
        <v>300</v>
      </c>
      <c r="CA246">
        <v>480</v>
      </c>
      <c r="CB246" t="s">
        <v>534</v>
      </c>
      <c r="CC246" t="s">
        <v>534</v>
      </c>
      <c r="CD246">
        <v>392</v>
      </c>
      <c r="CE246" t="s">
        <v>535</v>
      </c>
      <c r="CF246">
        <v>15</v>
      </c>
      <c r="CG246" t="s">
        <v>620</v>
      </c>
      <c r="CH246" t="s">
        <v>620</v>
      </c>
      <c r="CI246">
        <v>90</v>
      </c>
      <c r="CJ246">
        <v>1200</v>
      </c>
      <c r="CK246">
        <v>2</v>
      </c>
      <c r="CL246">
        <v>1301</v>
      </c>
      <c r="CM246">
        <v>2</v>
      </c>
      <c r="CN246" t="s">
        <v>537</v>
      </c>
      <c r="CO246" t="s">
        <v>538</v>
      </c>
      <c r="CP246" t="s">
        <v>539</v>
      </c>
      <c r="CQ246" t="s">
        <v>649</v>
      </c>
      <c r="CR246" t="s">
        <v>650</v>
      </c>
      <c r="CS246" t="s">
        <v>542</v>
      </c>
      <c r="CT246">
        <v>360</v>
      </c>
      <c r="CU246">
        <v>5</v>
      </c>
      <c r="CV246">
        <v>1.2</v>
      </c>
      <c r="CW246">
        <v>1213</v>
      </c>
      <c r="CX246">
        <v>617</v>
      </c>
      <c r="DD246">
        <v>0</v>
      </c>
      <c r="DE246" t="s">
        <v>543</v>
      </c>
      <c r="DF246">
        <v>510</v>
      </c>
      <c r="DG246">
        <v>3</v>
      </c>
      <c r="DH246">
        <v>1.18</v>
      </c>
      <c r="DI246">
        <v>1211</v>
      </c>
      <c r="DJ246">
        <v>1102</v>
      </c>
      <c r="DW246" t="s">
        <v>544</v>
      </c>
      <c r="DX246">
        <v>7.5</v>
      </c>
      <c r="EA246">
        <v>1284.1</v>
      </c>
      <c r="EB246">
        <v>168</v>
      </c>
      <c r="EC246" t="s">
        <v>545</v>
      </c>
      <c r="ED246">
        <v>25</v>
      </c>
      <c r="EE246">
        <v>3</v>
      </c>
      <c r="EG246">
        <v>1315</v>
      </c>
      <c r="EH246">
        <v>125</v>
      </c>
      <c r="EJ246">
        <v>0</v>
      </c>
      <c r="EK246">
        <v>1</v>
      </c>
      <c r="EN246">
        <v>0</v>
      </c>
      <c r="EP246" t="s">
        <v>546</v>
      </c>
      <c r="EQ246">
        <v>85</v>
      </c>
      <c r="ER246">
        <v>3</v>
      </c>
      <c r="ES246">
        <v>5</v>
      </c>
      <c r="ET246">
        <v>1194</v>
      </c>
      <c r="EU246">
        <v>330.1</v>
      </c>
      <c r="EV246">
        <v>394</v>
      </c>
      <c r="EW246" t="s">
        <v>547</v>
      </c>
      <c r="EX246">
        <v>70</v>
      </c>
      <c r="EY246">
        <v>2</v>
      </c>
      <c r="EZ246">
        <v>4</v>
      </c>
      <c r="FA246">
        <v>1194</v>
      </c>
      <c r="FB246">
        <v>205.7</v>
      </c>
      <c r="FC246">
        <v>246</v>
      </c>
      <c r="FE246">
        <v>0</v>
      </c>
      <c r="FF246">
        <v>2</v>
      </c>
      <c r="FI246">
        <v>0</v>
      </c>
      <c r="FK246" t="s">
        <v>548</v>
      </c>
      <c r="FL246">
        <v>0.4</v>
      </c>
      <c r="FM246">
        <v>90</v>
      </c>
      <c r="FN246">
        <v>120</v>
      </c>
      <c r="FR246" t="s">
        <v>548</v>
      </c>
      <c r="FS246">
        <v>0.4</v>
      </c>
      <c r="FT246">
        <v>80</v>
      </c>
      <c r="FU246">
        <v>240</v>
      </c>
      <c r="FY246" t="s">
        <v>651</v>
      </c>
      <c r="FZ246">
        <v>1.6</v>
      </c>
      <c r="GA246">
        <v>20</v>
      </c>
      <c r="GB246">
        <v>156</v>
      </c>
      <c r="GG246" t="s">
        <v>651</v>
      </c>
      <c r="GH246">
        <v>1.6</v>
      </c>
      <c r="GI246">
        <v>20</v>
      </c>
      <c r="GJ246">
        <v>156</v>
      </c>
      <c r="HC246">
        <v>0.1</v>
      </c>
      <c r="HD246">
        <v>3</v>
      </c>
      <c r="HE246">
        <v>3</v>
      </c>
      <c r="HF246">
        <v>3</v>
      </c>
      <c r="HG246">
        <v>3</v>
      </c>
      <c r="HH246">
        <v>3</v>
      </c>
      <c r="HI246">
        <v>140</v>
      </c>
      <c r="HJ246">
        <v>3</v>
      </c>
      <c r="HK246">
        <v>55</v>
      </c>
      <c r="HL246">
        <v>2</v>
      </c>
      <c r="HM246">
        <v>0</v>
      </c>
      <c r="HN246">
        <v>2</v>
      </c>
      <c r="HO246">
        <v>70</v>
      </c>
      <c r="HP246">
        <v>3</v>
      </c>
      <c r="HQ246">
        <v>0</v>
      </c>
      <c r="HR246">
        <v>2</v>
      </c>
      <c r="HS246">
        <v>3585</v>
      </c>
      <c r="HT246">
        <v>110</v>
      </c>
      <c r="HU246">
        <v>180</v>
      </c>
      <c r="HW246">
        <v>0</v>
      </c>
      <c r="HX246">
        <v>500</v>
      </c>
      <c r="HY246">
        <v>0.18</v>
      </c>
      <c r="IA246">
        <v>0.15</v>
      </c>
      <c r="IB246">
        <v>0</v>
      </c>
      <c r="IC246">
        <v>180</v>
      </c>
      <c r="ID246">
        <v>110</v>
      </c>
      <c r="IE246">
        <v>0</v>
      </c>
      <c r="IF246">
        <v>0</v>
      </c>
      <c r="IH246" t="s">
        <v>549</v>
      </c>
      <c r="IO246">
        <v>1</v>
      </c>
      <c r="IP246">
        <v>16</v>
      </c>
      <c r="IQ246">
        <v>0</v>
      </c>
      <c r="IR246">
        <v>1</v>
      </c>
      <c r="IV246">
        <v>1200</v>
      </c>
      <c r="IW246">
        <v>380</v>
      </c>
      <c r="JA246">
        <v>1</v>
      </c>
      <c r="JB246">
        <v>0</v>
      </c>
      <c r="JC246">
        <v>2</v>
      </c>
      <c r="JD246">
        <v>1213</v>
      </c>
      <c r="JE246">
        <v>1211</v>
      </c>
      <c r="JF246">
        <v>0</v>
      </c>
      <c r="JG246">
        <v>1194</v>
      </c>
      <c r="JH246">
        <v>0</v>
      </c>
      <c r="JJ246">
        <v>180</v>
      </c>
      <c r="JK246">
        <v>500</v>
      </c>
      <c r="JN246">
        <v>360</v>
      </c>
      <c r="JO246">
        <v>510</v>
      </c>
      <c r="JP246">
        <v>0</v>
      </c>
      <c r="JQ246">
        <v>0</v>
      </c>
      <c r="JR246">
        <v>334</v>
      </c>
      <c r="JS246">
        <v>140</v>
      </c>
      <c r="JV246">
        <v>8</v>
      </c>
      <c r="JW246" t="s">
        <v>550</v>
      </c>
      <c r="JX246">
        <v>0</v>
      </c>
      <c r="KA246">
        <v>0</v>
      </c>
      <c r="KB246">
        <v>110</v>
      </c>
      <c r="KC246">
        <v>0</v>
      </c>
      <c r="KD246">
        <v>80</v>
      </c>
      <c r="KF246">
        <v>4</v>
      </c>
      <c r="KG246">
        <v>4</v>
      </c>
      <c r="KH246">
        <v>2</v>
      </c>
      <c r="KI246">
        <v>2</v>
      </c>
      <c r="KJ246">
        <v>0</v>
      </c>
      <c r="KK246">
        <v>1.5</v>
      </c>
      <c r="KL246">
        <v>1.5</v>
      </c>
      <c r="KM246">
        <v>0</v>
      </c>
      <c r="KN246">
        <v>0</v>
      </c>
      <c r="KO246">
        <v>0</v>
      </c>
      <c r="KR246">
        <v>30</v>
      </c>
      <c r="KS246">
        <v>60</v>
      </c>
      <c r="KT246">
        <v>0</v>
      </c>
      <c r="LK246">
        <v>480</v>
      </c>
      <c r="LX246">
        <v>500</v>
      </c>
      <c r="LY246">
        <v>0.5</v>
      </c>
      <c r="PG246">
        <v>1</v>
      </c>
      <c r="PI246" t="s">
        <v>3115</v>
      </c>
      <c r="PJ246" t="s">
        <v>3116</v>
      </c>
      <c r="PL246" t="s">
        <v>734</v>
      </c>
      <c r="PP246" t="s">
        <v>3117</v>
      </c>
      <c r="PX246">
        <v>56</v>
      </c>
      <c r="PY246">
        <v>57</v>
      </c>
      <c r="PZ246" t="s">
        <v>3115</v>
      </c>
      <c r="QA246">
        <v>2</v>
      </c>
      <c r="QB246">
        <v>1194</v>
      </c>
      <c r="QC246">
        <v>69</v>
      </c>
      <c r="QD246">
        <v>69</v>
      </c>
      <c r="QE246" t="s">
        <v>734</v>
      </c>
      <c r="QF246">
        <v>1</v>
      </c>
      <c r="QG246">
        <v>1213</v>
      </c>
      <c r="QH246">
        <v>66</v>
      </c>
      <c r="QI246">
        <v>66</v>
      </c>
      <c r="QL246">
        <v>0</v>
      </c>
      <c r="QM246">
        <v>63</v>
      </c>
      <c r="QN246">
        <v>63</v>
      </c>
      <c r="QO246" t="s">
        <v>3116</v>
      </c>
      <c r="QP246">
        <v>1</v>
      </c>
      <c r="QQ246">
        <v>1211</v>
      </c>
      <c r="QW246">
        <v>82</v>
      </c>
      <c r="QX246">
        <v>89</v>
      </c>
      <c r="QY246" t="s">
        <v>3117</v>
      </c>
      <c r="QZ246">
        <v>2</v>
      </c>
      <c r="RA246">
        <v>66</v>
      </c>
      <c r="RB246">
        <v>66</v>
      </c>
      <c r="RE246">
        <v>0</v>
      </c>
      <c r="RG246">
        <v>1</v>
      </c>
      <c r="RJ246">
        <v>2</v>
      </c>
      <c r="RL246">
        <v>2</v>
      </c>
      <c r="RO246">
        <v>509</v>
      </c>
      <c r="RQ246">
        <v>910</v>
      </c>
      <c r="RT246">
        <v>168</v>
      </c>
      <c r="RU246">
        <v>125</v>
      </c>
      <c r="RV246" t="s">
        <v>3119</v>
      </c>
      <c r="RW246" t="s">
        <v>552</v>
      </c>
      <c r="RX246">
        <v>15</v>
      </c>
      <c r="RY246">
        <v>4</v>
      </c>
      <c r="RZ246" t="s">
        <v>552</v>
      </c>
      <c r="SA246">
        <v>15</v>
      </c>
      <c r="SB246" t="s">
        <v>3120</v>
      </c>
      <c r="SC246" t="s">
        <v>3120</v>
      </c>
      <c r="SD246">
        <v>1</v>
      </c>
      <c r="SH246">
        <v>0.995</v>
      </c>
      <c r="SI246">
        <v>0.995</v>
      </c>
      <c r="SJ246">
        <v>0.995</v>
      </c>
      <c r="SK246">
        <v>15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TB246">
        <v>0</v>
      </c>
      <c r="TC246">
        <v>0</v>
      </c>
      <c r="TD246">
        <v>7.5</v>
      </c>
      <c r="TE246" t="s">
        <v>553</v>
      </c>
      <c r="TF246" t="s">
        <v>754</v>
      </c>
      <c r="TG246" t="s">
        <v>555</v>
      </c>
      <c r="TI246" t="s">
        <v>546</v>
      </c>
      <c r="TJ246" t="s">
        <v>547</v>
      </c>
      <c r="TL246" t="s">
        <v>3054</v>
      </c>
      <c r="TM246" t="s">
        <v>513</v>
      </c>
      <c r="TN246">
        <v>0</v>
      </c>
      <c r="TO246" t="s">
        <v>557</v>
      </c>
    </row>
    <row r="247" spans="1:535">
      <c r="A247" t="s">
        <v>3121</v>
      </c>
      <c r="B247" t="s">
        <v>559</v>
      </c>
      <c r="C247" t="s">
        <v>509</v>
      </c>
      <c r="D247" t="s">
        <v>2099</v>
      </c>
      <c r="G247" t="s">
        <v>604</v>
      </c>
      <c r="H247" t="s">
        <v>605</v>
      </c>
      <c r="I247" t="s">
        <v>628</v>
      </c>
      <c r="J247" t="s">
        <v>606</v>
      </c>
      <c r="L247" t="s">
        <v>512</v>
      </c>
      <c r="M247" t="s">
        <v>564</v>
      </c>
      <c r="N247" t="s">
        <v>513</v>
      </c>
      <c r="O247" t="s">
        <v>607</v>
      </c>
      <c r="Q247" t="s">
        <v>3122</v>
      </c>
      <c r="R247" t="s">
        <v>517</v>
      </c>
      <c r="S247" t="s">
        <v>879</v>
      </c>
      <c r="T247" t="s">
        <v>880</v>
      </c>
      <c r="U247" t="s">
        <v>633</v>
      </c>
      <c r="V247" t="s">
        <v>634</v>
      </c>
      <c r="W247" t="s">
        <v>3123</v>
      </c>
      <c r="X247" t="s">
        <v>3058</v>
      </c>
      <c r="Y247" t="s">
        <v>574</v>
      </c>
      <c r="Z247" t="s">
        <v>3124</v>
      </c>
      <c r="AA247" t="s">
        <v>3125</v>
      </c>
      <c r="AB247" t="s">
        <v>3126</v>
      </c>
      <c r="AC247">
        <v>2</v>
      </c>
      <c r="AD247">
        <v>57</v>
      </c>
      <c r="AE247">
        <v>203</v>
      </c>
      <c r="AF247">
        <v>1.5</v>
      </c>
      <c r="AH247">
        <v>0</v>
      </c>
      <c r="AI247" t="s">
        <v>885</v>
      </c>
      <c r="AJ247">
        <v>215</v>
      </c>
      <c r="AK247">
        <v>1</v>
      </c>
      <c r="AL247">
        <v>1.5</v>
      </c>
      <c r="AM247" t="s">
        <v>529</v>
      </c>
      <c r="AO247">
        <v>0</v>
      </c>
      <c r="AR247">
        <v>0</v>
      </c>
      <c r="AS247">
        <v>1.5</v>
      </c>
      <c r="AU247" t="s">
        <v>3127</v>
      </c>
      <c r="AW247" t="s">
        <v>3127</v>
      </c>
      <c r="AX247">
        <v>1</v>
      </c>
      <c r="AY247">
        <v>390</v>
      </c>
      <c r="AZ247">
        <v>1.5</v>
      </c>
      <c r="BA247" t="s">
        <v>529</v>
      </c>
      <c r="BG247">
        <v>1.5</v>
      </c>
      <c r="BJ247">
        <v>0</v>
      </c>
      <c r="BN247">
        <v>1.5</v>
      </c>
      <c r="BP247" t="s">
        <v>1744</v>
      </c>
      <c r="BQ247">
        <v>88</v>
      </c>
      <c r="BR247">
        <v>2</v>
      </c>
      <c r="BS247" t="s">
        <v>1513</v>
      </c>
      <c r="BT247">
        <v>226</v>
      </c>
      <c r="BU247">
        <v>0.5</v>
      </c>
      <c r="BV247" t="s">
        <v>1513</v>
      </c>
      <c r="BW247">
        <v>452</v>
      </c>
      <c r="BX247">
        <v>1</v>
      </c>
      <c r="BY247" t="s">
        <v>643</v>
      </c>
      <c r="BZ247">
        <v>470</v>
      </c>
      <c r="CA247">
        <v>590</v>
      </c>
      <c r="CB247" t="s">
        <v>644</v>
      </c>
      <c r="CC247" t="s">
        <v>644</v>
      </c>
      <c r="CD247">
        <v>465</v>
      </c>
      <c r="CE247" t="s">
        <v>544</v>
      </c>
      <c r="CF247">
        <v>15</v>
      </c>
      <c r="CG247" t="s">
        <v>891</v>
      </c>
      <c r="CH247" t="s">
        <v>891</v>
      </c>
      <c r="CI247">
        <v>60</v>
      </c>
      <c r="CJ247">
        <v>1301</v>
      </c>
      <c r="CK247">
        <v>2</v>
      </c>
      <c r="CL247">
        <v>1395</v>
      </c>
      <c r="CM247">
        <v>2</v>
      </c>
      <c r="CN247" t="s">
        <v>646</v>
      </c>
      <c r="CO247" t="s">
        <v>647</v>
      </c>
      <c r="CP247" t="s">
        <v>648</v>
      </c>
      <c r="CQ247" t="s">
        <v>1496</v>
      </c>
      <c r="CR247" t="s">
        <v>541</v>
      </c>
      <c r="CS247" t="s">
        <v>542</v>
      </c>
      <c r="CT247">
        <v>430</v>
      </c>
      <c r="CU247">
        <v>5</v>
      </c>
      <c r="CV247">
        <v>1.2</v>
      </c>
      <c r="CW247">
        <v>1314</v>
      </c>
      <c r="CX247">
        <v>800</v>
      </c>
      <c r="DD247">
        <v>0</v>
      </c>
      <c r="DE247" t="s">
        <v>543</v>
      </c>
      <c r="DF247">
        <v>780</v>
      </c>
      <c r="DG247">
        <v>3</v>
      </c>
      <c r="DH247">
        <v>1.18</v>
      </c>
      <c r="DI247">
        <v>1312</v>
      </c>
      <c r="DJ247">
        <v>1538</v>
      </c>
      <c r="DW247" t="s">
        <v>544</v>
      </c>
      <c r="DX247">
        <v>7.5</v>
      </c>
      <c r="EA247">
        <v>1379.8</v>
      </c>
      <c r="EB247">
        <v>244</v>
      </c>
      <c r="EC247" t="s">
        <v>545</v>
      </c>
      <c r="ED247">
        <v>30</v>
      </c>
      <c r="EE247">
        <v>3</v>
      </c>
      <c r="EG247">
        <v>1421</v>
      </c>
      <c r="EH247">
        <v>168</v>
      </c>
      <c r="EJ247">
        <v>0</v>
      </c>
      <c r="EK247">
        <v>1</v>
      </c>
      <c r="EN247">
        <v>0</v>
      </c>
      <c r="EP247" t="s">
        <v>546</v>
      </c>
      <c r="EQ247">
        <v>125</v>
      </c>
      <c r="ER247">
        <v>3</v>
      </c>
      <c r="ES247">
        <v>6</v>
      </c>
      <c r="ET247">
        <v>1301</v>
      </c>
      <c r="EU247">
        <v>555.4</v>
      </c>
      <c r="EV247">
        <v>723</v>
      </c>
      <c r="EW247" t="s">
        <v>547</v>
      </c>
      <c r="EX247">
        <v>70</v>
      </c>
      <c r="EY247">
        <v>2</v>
      </c>
      <c r="EZ247">
        <v>4.3</v>
      </c>
      <c r="FA247">
        <v>1301</v>
      </c>
      <c r="FB247">
        <v>212.5</v>
      </c>
      <c r="FC247">
        <v>276</v>
      </c>
      <c r="FE247">
        <v>0</v>
      </c>
      <c r="FF247">
        <v>2</v>
      </c>
      <c r="FI247">
        <v>0</v>
      </c>
      <c r="FK247" t="s">
        <v>548</v>
      </c>
      <c r="FL247">
        <v>0.4</v>
      </c>
      <c r="FM247">
        <v>130</v>
      </c>
      <c r="FN247">
        <v>100</v>
      </c>
      <c r="HC247">
        <v>0.1</v>
      </c>
      <c r="HD247">
        <v>3</v>
      </c>
      <c r="HE247">
        <v>3</v>
      </c>
      <c r="HF247">
        <v>3</v>
      </c>
      <c r="HG247">
        <v>3</v>
      </c>
      <c r="HH247">
        <v>3</v>
      </c>
      <c r="HI247">
        <v>180</v>
      </c>
      <c r="HJ247">
        <v>3</v>
      </c>
      <c r="HK247">
        <v>55</v>
      </c>
      <c r="HL247">
        <v>2</v>
      </c>
      <c r="HM247">
        <v>0</v>
      </c>
      <c r="HN247">
        <v>2</v>
      </c>
      <c r="HO247">
        <v>110</v>
      </c>
      <c r="HP247">
        <v>3</v>
      </c>
      <c r="HQ247">
        <v>0</v>
      </c>
      <c r="HR247">
        <v>2</v>
      </c>
      <c r="HS247">
        <v>5160</v>
      </c>
      <c r="HT247">
        <v>150</v>
      </c>
      <c r="HU247">
        <v>180</v>
      </c>
      <c r="HW247">
        <v>20</v>
      </c>
      <c r="HX247">
        <v>516</v>
      </c>
      <c r="HY247">
        <v>0.18</v>
      </c>
      <c r="IA247">
        <v>0.15</v>
      </c>
      <c r="IB247">
        <v>0</v>
      </c>
      <c r="IC247">
        <v>180</v>
      </c>
      <c r="ID247">
        <v>285</v>
      </c>
      <c r="IE247">
        <v>225</v>
      </c>
      <c r="IF247">
        <v>0</v>
      </c>
      <c r="IH247" t="s">
        <v>549</v>
      </c>
      <c r="IO247">
        <v>1</v>
      </c>
      <c r="IP247">
        <v>17</v>
      </c>
      <c r="IQ247">
        <v>0</v>
      </c>
      <c r="IR247">
        <v>1</v>
      </c>
      <c r="IV247">
        <v>1301</v>
      </c>
      <c r="IW247">
        <v>452</v>
      </c>
      <c r="JA247">
        <v>1</v>
      </c>
      <c r="JB247">
        <v>0</v>
      </c>
      <c r="JC247">
        <v>2</v>
      </c>
      <c r="JD247">
        <v>1314</v>
      </c>
      <c r="JE247">
        <v>1312</v>
      </c>
      <c r="JF247">
        <v>0</v>
      </c>
      <c r="JG247">
        <v>1301</v>
      </c>
      <c r="JH247">
        <v>0</v>
      </c>
      <c r="JJ247">
        <v>180</v>
      </c>
      <c r="JK247">
        <v>516</v>
      </c>
      <c r="JN247">
        <v>430</v>
      </c>
      <c r="JO247">
        <v>780</v>
      </c>
      <c r="JP247">
        <v>0</v>
      </c>
      <c r="JQ247">
        <v>0</v>
      </c>
      <c r="JR247">
        <v>406</v>
      </c>
      <c r="JS247">
        <v>180</v>
      </c>
      <c r="JV247">
        <v>8</v>
      </c>
      <c r="JW247" t="s">
        <v>550</v>
      </c>
      <c r="JX247">
        <v>0</v>
      </c>
      <c r="KA247">
        <v>225</v>
      </c>
      <c r="KB247">
        <v>285</v>
      </c>
      <c r="KC247">
        <v>0</v>
      </c>
      <c r="KD247">
        <v>80</v>
      </c>
      <c r="KF247">
        <v>4</v>
      </c>
      <c r="KG247">
        <v>4</v>
      </c>
      <c r="KH247">
        <v>2</v>
      </c>
      <c r="KI247">
        <v>2</v>
      </c>
      <c r="KJ247">
        <v>0</v>
      </c>
      <c r="KK247">
        <v>1.5</v>
      </c>
      <c r="KL247">
        <v>1.5</v>
      </c>
      <c r="KM247">
        <v>0</v>
      </c>
      <c r="KN247">
        <v>0</v>
      </c>
      <c r="KO247">
        <v>0</v>
      </c>
      <c r="KR247">
        <v>25</v>
      </c>
      <c r="KS247">
        <v>60</v>
      </c>
      <c r="KT247">
        <v>0</v>
      </c>
      <c r="LK247">
        <v>480</v>
      </c>
      <c r="PG247">
        <v>1</v>
      </c>
      <c r="PI247" t="s">
        <v>3126</v>
      </c>
      <c r="PJ247" t="s">
        <v>3127</v>
      </c>
      <c r="PL247" t="s">
        <v>885</v>
      </c>
      <c r="PP247" t="s">
        <v>1744</v>
      </c>
      <c r="PX247">
        <v>56</v>
      </c>
      <c r="PY247">
        <v>57</v>
      </c>
      <c r="PZ247" t="s">
        <v>3126</v>
      </c>
      <c r="QA247">
        <v>2</v>
      </c>
      <c r="QB247">
        <v>1301</v>
      </c>
      <c r="QC247">
        <v>69</v>
      </c>
      <c r="QD247">
        <v>69</v>
      </c>
      <c r="QE247" t="s">
        <v>885</v>
      </c>
      <c r="QF247">
        <v>1</v>
      </c>
      <c r="QG247">
        <v>1314</v>
      </c>
      <c r="QH247">
        <v>66</v>
      </c>
      <c r="QI247">
        <v>66</v>
      </c>
      <c r="QL247">
        <v>0</v>
      </c>
      <c r="QM247">
        <v>62</v>
      </c>
      <c r="QN247">
        <v>62</v>
      </c>
      <c r="QO247" t="s">
        <v>3127</v>
      </c>
      <c r="QP247">
        <v>1</v>
      </c>
      <c r="QQ247">
        <v>1312</v>
      </c>
      <c r="QW247">
        <v>82</v>
      </c>
      <c r="QX247">
        <v>88</v>
      </c>
      <c r="QY247" t="s">
        <v>1744</v>
      </c>
      <c r="QZ247">
        <v>1</v>
      </c>
      <c r="RA247">
        <v>66</v>
      </c>
      <c r="RB247">
        <v>66</v>
      </c>
      <c r="RE247">
        <v>0</v>
      </c>
      <c r="RF247">
        <v>1</v>
      </c>
      <c r="RJ247">
        <v>1</v>
      </c>
      <c r="RL247">
        <v>2</v>
      </c>
      <c r="RO247">
        <v>609</v>
      </c>
      <c r="RQ247">
        <v>1172</v>
      </c>
      <c r="RT247">
        <v>244</v>
      </c>
      <c r="RU247">
        <v>168</v>
      </c>
      <c r="RV247" t="s">
        <v>1514</v>
      </c>
      <c r="RW247" t="s">
        <v>653</v>
      </c>
      <c r="RX247">
        <v>15</v>
      </c>
      <c r="RY247">
        <v>4</v>
      </c>
      <c r="RZ247" t="s">
        <v>653</v>
      </c>
      <c r="SA247">
        <v>15</v>
      </c>
      <c r="SC247" t="s">
        <v>3127</v>
      </c>
      <c r="SD247">
        <v>1</v>
      </c>
      <c r="SH247">
        <v>0.995</v>
      </c>
      <c r="SI247">
        <v>0.995</v>
      </c>
      <c r="SJ247">
        <v>0.995</v>
      </c>
      <c r="SK247">
        <v>15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TB247">
        <v>1</v>
      </c>
      <c r="TC247">
        <v>0</v>
      </c>
      <c r="TD247">
        <v>7.5</v>
      </c>
      <c r="TE247" t="s">
        <v>553</v>
      </c>
      <c r="TF247" t="s">
        <v>624</v>
      </c>
      <c r="TG247" t="s">
        <v>555</v>
      </c>
      <c r="TI247" t="s">
        <v>546</v>
      </c>
      <c r="TJ247" t="s">
        <v>547</v>
      </c>
      <c r="TL247" t="s">
        <v>3054</v>
      </c>
      <c r="TM247" t="s">
        <v>513</v>
      </c>
      <c r="TN247">
        <v>0</v>
      </c>
      <c r="TO247" t="s">
        <v>557</v>
      </c>
    </row>
    <row r="248" spans="1:535">
      <c r="A248" t="s">
        <v>3128</v>
      </c>
      <c r="B248" t="s">
        <v>629</v>
      </c>
      <c r="C248" t="s">
        <v>509</v>
      </c>
      <c r="D248" t="s">
        <v>3129</v>
      </c>
      <c r="G248" t="s">
        <v>604</v>
      </c>
      <c r="I248" t="s">
        <v>628</v>
      </c>
      <c r="J248" t="s">
        <v>606</v>
      </c>
      <c r="L248" t="s">
        <v>512</v>
      </c>
      <c r="M248" t="s">
        <v>711</v>
      </c>
      <c r="N248" t="s">
        <v>513</v>
      </c>
      <c r="O248" t="s">
        <v>607</v>
      </c>
      <c r="Q248" t="s">
        <v>3130</v>
      </c>
      <c r="R248" t="s">
        <v>517</v>
      </c>
      <c r="S248" t="s">
        <v>1159</v>
      </c>
      <c r="T248" t="s">
        <v>1160</v>
      </c>
      <c r="U248" t="s">
        <v>662</v>
      </c>
      <c r="V248" t="s">
        <v>663</v>
      </c>
      <c r="W248" t="s">
        <v>1257</v>
      </c>
      <c r="X248" t="s">
        <v>3058</v>
      </c>
      <c r="Y248" t="s">
        <v>574</v>
      </c>
      <c r="Z248" t="s">
        <v>3131</v>
      </c>
      <c r="AA248" t="s">
        <v>3132</v>
      </c>
      <c r="AB248" t="s">
        <v>3133</v>
      </c>
      <c r="AC248">
        <v>2</v>
      </c>
      <c r="AD248">
        <v>57</v>
      </c>
      <c r="AE248">
        <v>279</v>
      </c>
      <c r="AF248">
        <v>1.5</v>
      </c>
      <c r="AH248">
        <v>0</v>
      </c>
      <c r="AI248" t="s">
        <v>3134</v>
      </c>
      <c r="AJ248">
        <v>252.5</v>
      </c>
      <c r="AK248">
        <v>1</v>
      </c>
      <c r="AL248">
        <v>1.5</v>
      </c>
      <c r="AM248" t="s">
        <v>579</v>
      </c>
      <c r="AN248" t="s">
        <v>580</v>
      </c>
      <c r="AO248">
        <v>2</v>
      </c>
      <c r="AP248" t="s">
        <v>581</v>
      </c>
      <c r="AQ248" t="s">
        <v>582</v>
      </c>
      <c r="AR248">
        <v>298</v>
      </c>
      <c r="AS248">
        <v>1.5</v>
      </c>
      <c r="AT248" t="s">
        <v>583</v>
      </c>
      <c r="AU248" t="s">
        <v>3135</v>
      </c>
      <c r="AW248" t="s">
        <v>3135</v>
      </c>
      <c r="AX248">
        <v>1</v>
      </c>
      <c r="AY248">
        <v>380</v>
      </c>
      <c r="AZ248">
        <v>1.5</v>
      </c>
      <c r="BA248" t="s">
        <v>579</v>
      </c>
      <c r="BB248" t="s">
        <v>3136</v>
      </c>
      <c r="BD248" t="s">
        <v>3136</v>
      </c>
      <c r="BE248">
        <v>1</v>
      </c>
      <c r="BF248">
        <v>362.5</v>
      </c>
      <c r="BG248">
        <v>1.5</v>
      </c>
      <c r="BJ248">
        <v>0</v>
      </c>
      <c r="BN248">
        <v>1.5</v>
      </c>
      <c r="BP248" t="s">
        <v>3137</v>
      </c>
      <c r="BQ248">
        <v>89</v>
      </c>
      <c r="BR248">
        <v>2</v>
      </c>
      <c r="BS248" t="s">
        <v>1264</v>
      </c>
      <c r="BT248">
        <v>276</v>
      </c>
      <c r="BU248">
        <v>0.5</v>
      </c>
      <c r="BV248" t="s">
        <v>1264</v>
      </c>
      <c r="BW248">
        <v>552</v>
      </c>
      <c r="BX248">
        <v>1</v>
      </c>
      <c r="BY248" t="s">
        <v>643</v>
      </c>
      <c r="BZ248">
        <v>470</v>
      </c>
      <c r="CA248">
        <v>610</v>
      </c>
      <c r="CB248" t="s">
        <v>672</v>
      </c>
      <c r="CC248" t="s">
        <v>997</v>
      </c>
      <c r="CD248">
        <v>574</v>
      </c>
      <c r="CE248" t="s">
        <v>673</v>
      </c>
      <c r="CF248">
        <v>15</v>
      </c>
      <c r="CG248" t="s">
        <v>907</v>
      </c>
      <c r="CH248" t="s">
        <v>907</v>
      </c>
      <c r="CI248">
        <v>70</v>
      </c>
      <c r="CJ248">
        <v>1381</v>
      </c>
      <c r="CK248">
        <v>2</v>
      </c>
      <c r="CL248">
        <v>1475</v>
      </c>
      <c r="CM248">
        <v>2</v>
      </c>
      <c r="CN248" t="s">
        <v>675</v>
      </c>
      <c r="CO248" t="s">
        <v>676</v>
      </c>
      <c r="CP248" t="s">
        <v>595</v>
      </c>
      <c r="CQ248" t="s">
        <v>1849</v>
      </c>
      <c r="CR248" t="s">
        <v>541</v>
      </c>
      <c r="CS248" t="s">
        <v>542</v>
      </c>
      <c r="CT248">
        <v>505</v>
      </c>
      <c r="CU248">
        <v>5</v>
      </c>
      <c r="CV248">
        <v>1.3</v>
      </c>
      <c r="CW248">
        <v>1399</v>
      </c>
      <c r="CX248">
        <v>1087</v>
      </c>
      <c r="CY248" t="s">
        <v>597</v>
      </c>
      <c r="CZ248">
        <v>60</v>
      </c>
      <c r="DA248">
        <v>3</v>
      </c>
      <c r="DB248">
        <v>1.28</v>
      </c>
      <c r="DC248">
        <v>1399</v>
      </c>
      <c r="DD248">
        <v>119</v>
      </c>
      <c r="DE248" t="s">
        <v>543</v>
      </c>
      <c r="DF248">
        <v>760</v>
      </c>
      <c r="DG248">
        <v>3</v>
      </c>
      <c r="DH248">
        <v>1.18</v>
      </c>
      <c r="DI248">
        <v>1392</v>
      </c>
      <c r="DJ248">
        <v>1679</v>
      </c>
      <c r="DK248" t="s">
        <v>543</v>
      </c>
      <c r="DL248">
        <v>725</v>
      </c>
      <c r="DM248">
        <v>3</v>
      </c>
      <c r="DN248">
        <v>1.18</v>
      </c>
      <c r="DO248">
        <v>1402</v>
      </c>
      <c r="DP248">
        <v>1490</v>
      </c>
      <c r="DW248" t="s">
        <v>544</v>
      </c>
      <c r="DX248">
        <v>9.4</v>
      </c>
      <c r="EA248">
        <v>1465.9</v>
      </c>
      <c r="EB248">
        <v>345</v>
      </c>
      <c r="EC248" t="s">
        <v>545</v>
      </c>
      <c r="ED248">
        <v>30</v>
      </c>
      <c r="EE248">
        <v>3</v>
      </c>
      <c r="EG248">
        <v>1507</v>
      </c>
      <c r="EH248">
        <v>208</v>
      </c>
      <c r="EJ248">
        <v>0</v>
      </c>
      <c r="EK248">
        <v>1</v>
      </c>
      <c r="EN248">
        <v>0</v>
      </c>
      <c r="EP248" t="s">
        <v>546</v>
      </c>
      <c r="EQ248">
        <v>160</v>
      </c>
      <c r="ER248">
        <v>3</v>
      </c>
      <c r="ES248">
        <v>7.5</v>
      </c>
      <c r="ET248">
        <v>1390</v>
      </c>
      <c r="EU248">
        <v>921.4</v>
      </c>
      <c r="EV248">
        <v>1281</v>
      </c>
      <c r="EW248" t="s">
        <v>547</v>
      </c>
      <c r="EX248">
        <v>45</v>
      </c>
      <c r="EY248">
        <v>2</v>
      </c>
      <c r="EZ248">
        <v>5</v>
      </c>
      <c r="FA248">
        <v>1390</v>
      </c>
      <c r="FB248">
        <v>165.8</v>
      </c>
      <c r="FC248">
        <v>230</v>
      </c>
      <c r="FE248">
        <v>0</v>
      </c>
      <c r="FF248">
        <v>2</v>
      </c>
      <c r="FI248">
        <v>0</v>
      </c>
      <c r="FK248" t="s">
        <v>548</v>
      </c>
      <c r="FL248">
        <v>0.4</v>
      </c>
      <c r="FM248">
        <v>60</v>
      </c>
      <c r="FN248">
        <v>450</v>
      </c>
      <c r="FO248">
        <v>110</v>
      </c>
      <c r="FP248">
        <v>170</v>
      </c>
      <c r="FR248" t="s">
        <v>548</v>
      </c>
      <c r="FS248">
        <v>0.4</v>
      </c>
      <c r="FT248">
        <v>30</v>
      </c>
      <c r="FU248">
        <v>680</v>
      </c>
      <c r="GR248" t="s">
        <v>548</v>
      </c>
      <c r="GS248">
        <v>0.4</v>
      </c>
      <c r="GT248">
        <v>90</v>
      </c>
      <c r="GU248">
        <v>320</v>
      </c>
      <c r="HC248">
        <v>0.1</v>
      </c>
      <c r="HD248">
        <v>3</v>
      </c>
      <c r="HE248">
        <v>3</v>
      </c>
      <c r="HF248">
        <v>3</v>
      </c>
      <c r="HG248">
        <v>3</v>
      </c>
      <c r="HH248">
        <v>3</v>
      </c>
      <c r="HI248">
        <v>190</v>
      </c>
      <c r="HJ248">
        <v>3</v>
      </c>
      <c r="HK248">
        <v>30</v>
      </c>
      <c r="HL248">
        <v>2</v>
      </c>
      <c r="HM248">
        <v>0</v>
      </c>
      <c r="HN248">
        <v>2</v>
      </c>
      <c r="HO248">
        <v>145</v>
      </c>
      <c r="HP248">
        <v>3</v>
      </c>
      <c r="HQ248">
        <v>0</v>
      </c>
      <c r="HR248">
        <v>2</v>
      </c>
      <c r="HS248">
        <v>8622</v>
      </c>
      <c r="HT248">
        <v>260</v>
      </c>
      <c r="HU248">
        <v>180</v>
      </c>
      <c r="HW248">
        <v>0</v>
      </c>
      <c r="HX248">
        <v>600</v>
      </c>
      <c r="HY248">
        <v>0.18</v>
      </c>
      <c r="IA248">
        <v>0.15</v>
      </c>
      <c r="IB248">
        <v>0</v>
      </c>
      <c r="IC248">
        <v>180</v>
      </c>
      <c r="ID248">
        <v>110</v>
      </c>
      <c r="IE248">
        <v>225</v>
      </c>
      <c r="IF248">
        <v>0</v>
      </c>
      <c r="IH248" t="s">
        <v>549</v>
      </c>
      <c r="IO248">
        <v>3</v>
      </c>
      <c r="IP248">
        <v>18</v>
      </c>
      <c r="IQ248">
        <v>1</v>
      </c>
      <c r="IR248">
        <v>0</v>
      </c>
      <c r="IV248">
        <v>1381</v>
      </c>
      <c r="IW248">
        <v>552</v>
      </c>
      <c r="JA248">
        <v>1</v>
      </c>
      <c r="JB248">
        <v>0</v>
      </c>
      <c r="JC248">
        <v>2</v>
      </c>
      <c r="JD248">
        <v>1399</v>
      </c>
      <c r="JE248">
        <v>1392</v>
      </c>
      <c r="JF248">
        <v>1402</v>
      </c>
      <c r="JG248">
        <v>1390</v>
      </c>
      <c r="JH248">
        <v>0</v>
      </c>
      <c r="JJ248">
        <v>180</v>
      </c>
      <c r="JK248">
        <v>600</v>
      </c>
      <c r="JN248">
        <v>505</v>
      </c>
      <c r="JO248">
        <v>760</v>
      </c>
      <c r="JP248">
        <v>725</v>
      </c>
      <c r="JQ248">
        <v>0</v>
      </c>
      <c r="JR248">
        <v>558</v>
      </c>
      <c r="JS248">
        <v>190</v>
      </c>
      <c r="JV248">
        <v>10</v>
      </c>
      <c r="JW248" t="s">
        <v>550</v>
      </c>
      <c r="JX248">
        <v>596</v>
      </c>
      <c r="KA248">
        <v>225</v>
      </c>
      <c r="KB248">
        <v>110</v>
      </c>
      <c r="KC248">
        <v>0</v>
      </c>
      <c r="KD248">
        <v>80</v>
      </c>
      <c r="KF248">
        <v>4</v>
      </c>
      <c r="KG248">
        <v>2</v>
      </c>
      <c r="KH248">
        <v>2</v>
      </c>
      <c r="KI248">
        <v>2</v>
      </c>
      <c r="KJ248">
        <v>0</v>
      </c>
      <c r="KK248">
        <v>1.5</v>
      </c>
      <c r="KL248">
        <v>1.5</v>
      </c>
      <c r="KM248">
        <v>0</v>
      </c>
      <c r="KN248">
        <v>0</v>
      </c>
      <c r="KO248">
        <v>0</v>
      </c>
      <c r="KR248">
        <v>30</v>
      </c>
      <c r="KS248">
        <v>60</v>
      </c>
      <c r="KT248">
        <v>0</v>
      </c>
      <c r="LK248">
        <v>480</v>
      </c>
      <c r="PG248">
        <v>1</v>
      </c>
      <c r="PI248" t="s">
        <v>3133</v>
      </c>
      <c r="PJ248" t="s">
        <v>3135</v>
      </c>
      <c r="PK248" t="s">
        <v>3136</v>
      </c>
      <c r="PL248" t="s">
        <v>3134</v>
      </c>
      <c r="PP248" t="s">
        <v>3137</v>
      </c>
      <c r="PS248" t="s">
        <v>580</v>
      </c>
      <c r="PX248">
        <v>56</v>
      </c>
      <c r="PY248">
        <v>57</v>
      </c>
      <c r="PZ248" t="s">
        <v>3133</v>
      </c>
      <c r="QA248">
        <v>1</v>
      </c>
      <c r="QB248">
        <v>1390</v>
      </c>
      <c r="QC248">
        <v>69</v>
      </c>
      <c r="QD248">
        <v>69</v>
      </c>
      <c r="QE248" t="s">
        <v>3134</v>
      </c>
      <c r="QF248">
        <v>2</v>
      </c>
      <c r="QG248">
        <v>1399</v>
      </c>
      <c r="QH248">
        <v>66</v>
      </c>
      <c r="QI248">
        <v>66</v>
      </c>
      <c r="QJ248" t="s">
        <v>580</v>
      </c>
      <c r="QK248">
        <v>1</v>
      </c>
      <c r="QL248">
        <v>1399</v>
      </c>
      <c r="QM248">
        <v>62</v>
      </c>
      <c r="QN248">
        <v>62</v>
      </c>
      <c r="QO248" t="s">
        <v>3135</v>
      </c>
      <c r="QP248">
        <v>1</v>
      </c>
      <c r="QQ248">
        <v>1392</v>
      </c>
      <c r="QR248">
        <v>62</v>
      </c>
      <c r="QS248">
        <v>62</v>
      </c>
      <c r="QT248" t="s">
        <v>3136</v>
      </c>
      <c r="QU248">
        <v>1</v>
      </c>
      <c r="QV248">
        <v>1402</v>
      </c>
      <c r="QW248">
        <v>82</v>
      </c>
      <c r="QX248">
        <v>89</v>
      </c>
      <c r="QY248" t="s">
        <v>3137</v>
      </c>
      <c r="QZ248">
        <v>1</v>
      </c>
      <c r="RA248">
        <v>66</v>
      </c>
      <c r="RB248">
        <v>66</v>
      </c>
      <c r="RE248">
        <v>0</v>
      </c>
      <c r="RF248">
        <v>1</v>
      </c>
      <c r="RH248">
        <v>1</v>
      </c>
      <c r="RJ248">
        <v>1</v>
      </c>
      <c r="RK248">
        <v>2</v>
      </c>
      <c r="RL248">
        <v>1</v>
      </c>
      <c r="RM248">
        <v>1</v>
      </c>
      <c r="RO248">
        <v>777</v>
      </c>
      <c r="RP248">
        <v>170</v>
      </c>
      <c r="RQ248">
        <v>1206</v>
      </c>
      <c r="RR248">
        <v>1063</v>
      </c>
      <c r="RT248">
        <v>345</v>
      </c>
      <c r="RU248">
        <v>208</v>
      </c>
      <c r="RV248" t="s">
        <v>1266</v>
      </c>
      <c r="RW248" t="s">
        <v>679</v>
      </c>
      <c r="RX248">
        <v>15</v>
      </c>
      <c r="RY248">
        <v>4</v>
      </c>
      <c r="RZ248" t="s">
        <v>679</v>
      </c>
      <c r="SA248">
        <v>15</v>
      </c>
      <c r="SC248" t="s">
        <v>3135</v>
      </c>
      <c r="SD248">
        <v>1</v>
      </c>
      <c r="SF248" t="s">
        <v>3136</v>
      </c>
      <c r="SG248">
        <v>1</v>
      </c>
      <c r="SH248">
        <v>0.995</v>
      </c>
      <c r="SI248">
        <v>0.995</v>
      </c>
      <c r="SJ248">
        <v>0.995</v>
      </c>
      <c r="SK248">
        <v>15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1</v>
      </c>
      <c r="SZ248">
        <v>1</v>
      </c>
      <c r="TB248">
        <v>0</v>
      </c>
      <c r="TC248">
        <v>0</v>
      </c>
      <c r="TD248">
        <v>9.4</v>
      </c>
      <c r="TE248" t="s">
        <v>553</v>
      </c>
      <c r="TF248" t="s">
        <v>600</v>
      </c>
      <c r="TG248" t="s">
        <v>555</v>
      </c>
      <c r="TI248" t="s">
        <v>546</v>
      </c>
      <c r="TJ248" t="s">
        <v>547</v>
      </c>
      <c r="TL248" t="s">
        <v>3054</v>
      </c>
      <c r="TM248" t="s">
        <v>513</v>
      </c>
      <c r="TN248">
        <v>0</v>
      </c>
      <c r="TO248" t="s">
        <v>557</v>
      </c>
    </row>
    <row r="249" spans="1:535">
      <c r="A249" t="s">
        <v>3138</v>
      </c>
      <c r="B249" t="s">
        <v>729</v>
      </c>
      <c r="C249" t="s">
        <v>509</v>
      </c>
      <c r="D249" t="s">
        <v>2554</v>
      </c>
      <c r="G249" t="s">
        <v>604</v>
      </c>
      <c r="H249" t="s">
        <v>605</v>
      </c>
      <c r="I249" t="s">
        <v>628</v>
      </c>
      <c r="J249" t="s">
        <v>606</v>
      </c>
      <c r="L249" t="s">
        <v>512</v>
      </c>
      <c r="M249" t="s">
        <v>897</v>
      </c>
      <c r="N249" t="s">
        <v>513</v>
      </c>
      <c r="O249" t="s">
        <v>607</v>
      </c>
      <c r="Q249" t="s">
        <v>3139</v>
      </c>
      <c r="R249" t="s">
        <v>517</v>
      </c>
      <c r="S249" t="s">
        <v>684</v>
      </c>
      <c r="T249" t="s">
        <v>685</v>
      </c>
      <c r="U249" t="s">
        <v>686</v>
      </c>
      <c r="V249" t="s">
        <v>687</v>
      </c>
      <c r="W249" t="s">
        <v>3140</v>
      </c>
      <c r="X249" t="s">
        <v>3058</v>
      </c>
      <c r="Y249" t="s">
        <v>524</v>
      </c>
      <c r="Z249" t="s">
        <v>3141</v>
      </c>
      <c r="AA249" t="s">
        <v>3142</v>
      </c>
      <c r="AB249" t="s">
        <v>3143</v>
      </c>
      <c r="AC249">
        <v>2</v>
      </c>
      <c r="AD249">
        <v>57</v>
      </c>
      <c r="AE249">
        <v>218</v>
      </c>
      <c r="AF249">
        <v>1.5</v>
      </c>
      <c r="AH249">
        <v>0</v>
      </c>
      <c r="AI249" t="s">
        <v>615</v>
      </c>
      <c r="AJ249">
        <v>200</v>
      </c>
      <c r="AK249">
        <v>1</v>
      </c>
      <c r="AL249">
        <v>1.5</v>
      </c>
      <c r="AM249" t="s">
        <v>579</v>
      </c>
      <c r="AN249" t="s">
        <v>693</v>
      </c>
      <c r="AO249">
        <v>2</v>
      </c>
      <c r="AP249" t="s">
        <v>581</v>
      </c>
      <c r="AQ249" t="s">
        <v>582</v>
      </c>
      <c r="AR249">
        <v>237</v>
      </c>
      <c r="AS249">
        <v>1.5</v>
      </c>
      <c r="AT249" t="s">
        <v>583</v>
      </c>
      <c r="AU249" t="s">
        <v>3144</v>
      </c>
      <c r="AW249" t="s">
        <v>3144</v>
      </c>
      <c r="AX249">
        <v>1</v>
      </c>
      <c r="AY249">
        <v>367.5</v>
      </c>
      <c r="AZ249">
        <v>1.5</v>
      </c>
      <c r="BA249" t="s">
        <v>579</v>
      </c>
      <c r="BG249">
        <v>1.5</v>
      </c>
      <c r="BJ249">
        <v>0</v>
      </c>
      <c r="BN249">
        <v>1.5</v>
      </c>
      <c r="BP249" t="s">
        <v>1361</v>
      </c>
      <c r="BQ249">
        <v>89</v>
      </c>
      <c r="BR249">
        <v>2</v>
      </c>
      <c r="BS249" t="s">
        <v>1362</v>
      </c>
      <c r="BT249">
        <v>217</v>
      </c>
      <c r="BU249">
        <v>0.5</v>
      </c>
      <c r="BV249" t="s">
        <v>1362</v>
      </c>
      <c r="BW249">
        <v>434</v>
      </c>
      <c r="BX249">
        <v>1</v>
      </c>
      <c r="BY249" t="s">
        <v>698</v>
      </c>
      <c r="BZ249">
        <v>300</v>
      </c>
      <c r="CA249">
        <v>480</v>
      </c>
      <c r="CB249" t="s">
        <v>699</v>
      </c>
      <c r="CC249" t="s">
        <v>699</v>
      </c>
      <c r="CD249">
        <v>446</v>
      </c>
      <c r="CE249" t="s">
        <v>700</v>
      </c>
      <c r="CF249">
        <v>15</v>
      </c>
      <c r="CG249" t="s">
        <v>783</v>
      </c>
      <c r="CH249" t="s">
        <v>783</v>
      </c>
      <c r="CI249">
        <v>90</v>
      </c>
      <c r="CJ249">
        <v>1458</v>
      </c>
      <c r="CK249">
        <v>2</v>
      </c>
      <c r="CL249">
        <v>1552</v>
      </c>
      <c r="CM249">
        <v>2</v>
      </c>
      <c r="CN249" t="s">
        <v>702</v>
      </c>
      <c r="CO249" t="s">
        <v>676</v>
      </c>
      <c r="CP249" t="s">
        <v>703</v>
      </c>
      <c r="CQ249" t="s">
        <v>1343</v>
      </c>
      <c r="CR249" t="s">
        <v>541</v>
      </c>
      <c r="CS249" t="s">
        <v>542</v>
      </c>
      <c r="CT249">
        <v>400</v>
      </c>
      <c r="CU249">
        <v>5</v>
      </c>
      <c r="CV249">
        <v>1.2</v>
      </c>
      <c r="CW249">
        <v>1475</v>
      </c>
      <c r="CX249">
        <v>836</v>
      </c>
      <c r="CY249" t="s">
        <v>705</v>
      </c>
      <c r="CZ249">
        <v>50</v>
      </c>
      <c r="DA249">
        <v>3</v>
      </c>
      <c r="DB249">
        <v>1</v>
      </c>
      <c r="DC249">
        <v>1475</v>
      </c>
      <c r="DD249">
        <v>77</v>
      </c>
      <c r="DE249" t="s">
        <v>543</v>
      </c>
      <c r="DF249">
        <v>735</v>
      </c>
      <c r="DG249">
        <v>3</v>
      </c>
      <c r="DH249">
        <v>1.18</v>
      </c>
      <c r="DI249">
        <v>1468</v>
      </c>
      <c r="DJ249">
        <v>1650</v>
      </c>
      <c r="DW249" t="s">
        <v>544</v>
      </c>
      <c r="DX249">
        <v>7.5</v>
      </c>
      <c r="EA249">
        <v>1539.3</v>
      </c>
      <c r="EB249">
        <v>272</v>
      </c>
      <c r="EC249" t="s">
        <v>545</v>
      </c>
      <c r="ED249">
        <v>30</v>
      </c>
      <c r="EE249">
        <v>3</v>
      </c>
      <c r="EG249">
        <v>1580</v>
      </c>
      <c r="EH249">
        <v>186</v>
      </c>
      <c r="EJ249">
        <v>0</v>
      </c>
      <c r="EK249">
        <v>1</v>
      </c>
      <c r="EN249">
        <v>0</v>
      </c>
      <c r="EP249" t="s">
        <v>546</v>
      </c>
      <c r="EQ249">
        <v>105</v>
      </c>
      <c r="ER249">
        <v>3</v>
      </c>
      <c r="ES249">
        <v>5.5</v>
      </c>
      <c r="ET249">
        <v>1454</v>
      </c>
      <c r="EU249">
        <v>457.5</v>
      </c>
      <c r="EV249">
        <v>665</v>
      </c>
      <c r="EW249" t="s">
        <v>547</v>
      </c>
      <c r="EX249">
        <v>45</v>
      </c>
      <c r="EY249">
        <v>2</v>
      </c>
      <c r="EZ249">
        <v>4</v>
      </c>
      <c r="FA249">
        <v>1454</v>
      </c>
      <c r="FB249">
        <v>141.1</v>
      </c>
      <c r="FC249">
        <v>205</v>
      </c>
      <c r="FE249">
        <v>0</v>
      </c>
      <c r="FF249">
        <v>2</v>
      </c>
      <c r="FI249">
        <v>0</v>
      </c>
      <c r="FK249" t="s">
        <v>548</v>
      </c>
      <c r="FL249">
        <v>0.4</v>
      </c>
      <c r="FM249">
        <v>50</v>
      </c>
      <c r="FN249">
        <v>370</v>
      </c>
      <c r="FO249">
        <v>65</v>
      </c>
      <c r="FP249">
        <v>120</v>
      </c>
      <c r="FR249" t="s">
        <v>548</v>
      </c>
      <c r="FS249">
        <v>0.4</v>
      </c>
      <c r="FT249">
        <v>30</v>
      </c>
      <c r="FU249">
        <v>400</v>
      </c>
      <c r="HC249">
        <v>0.1</v>
      </c>
      <c r="HD249">
        <v>3</v>
      </c>
      <c r="HE249">
        <v>3</v>
      </c>
      <c r="HF249">
        <v>3</v>
      </c>
      <c r="HG249">
        <v>3</v>
      </c>
      <c r="HH249">
        <v>3</v>
      </c>
      <c r="HI249">
        <v>135</v>
      </c>
      <c r="HJ249">
        <v>3</v>
      </c>
      <c r="HK249">
        <v>30</v>
      </c>
      <c r="HL249">
        <v>2</v>
      </c>
      <c r="HM249">
        <v>0</v>
      </c>
      <c r="HN249">
        <v>2</v>
      </c>
      <c r="HO249">
        <v>90</v>
      </c>
      <c r="HP249">
        <v>3</v>
      </c>
      <c r="HQ249">
        <v>0</v>
      </c>
      <c r="HR249">
        <v>2</v>
      </c>
      <c r="HS249">
        <v>5296</v>
      </c>
      <c r="HT249">
        <v>160</v>
      </c>
      <c r="HU249">
        <v>180</v>
      </c>
      <c r="HW249">
        <v>20</v>
      </c>
      <c r="HX249">
        <v>520</v>
      </c>
      <c r="HY249">
        <v>0.18</v>
      </c>
      <c r="IA249">
        <v>0.15</v>
      </c>
      <c r="IB249">
        <v>0</v>
      </c>
      <c r="IC249">
        <v>180</v>
      </c>
      <c r="ID249">
        <v>110</v>
      </c>
      <c r="IE249">
        <v>0</v>
      </c>
      <c r="IF249">
        <v>0</v>
      </c>
      <c r="IH249" t="s">
        <v>549</v>
      </c>
      <c r="IO249">
        <v>1</v>
      </c>
      <c r="IP249">
        <v>19</v>
      </c>
      <c r="IQ249">
        <v>0</v>
      </c>
      <c r="IR249">
        <v>0</v>
      </c>
      <c r="IV249">
        <v>1458</v>
      </c>
      <c r="IW249">
        <v>434</v>
      </c>
      <c r="JA249">
        <v>1</v>
      </c>
      <c r="JB249">
        <v>0</v>
      </c>
      <c r="JC249">
        <v>2</v>
      </c>
      <c r="JD249">
        <v>1475</v>
      </c>
      <c r="JE249">
        <v>1468</v>
      </c>
      <c r="JF249">
        <v>0</v>
      </c>
      <c r="JG249">
        <v>1454</v>
      </c>
      <c r="JH249">
        <v>0</v>
      </c>
      <c r="JJ249">
        <v>180</v>
      </c>
      <c r="JK249">
        <v>520</v>
      </c>
      <c r="JN249">
        <v>400</v>
      </c>
      <c r="JO249">
        <v>735</v>
      </c>
      <c r="JP249">
        <v>0</v>
      </c>
      <c r="JQ249">
        <v>0</v>
      </c>
      <c r="JR249">
        <v>436</v>
      </c>
      <c r="JS249">
        <v>135</v>
      </c>
      <c r="JV249">
        <v>8</v>
      </c>
      <c r="JW249" t="s">
        <v>550</v>
      </c>
      <c r="JX249">
        <v>474</v>
      </c>
      <c r="KA249">
        <v>0</v>
      </c>
      <c r="KB249">
        <v>110</v>
      </c>
      <c r="KC249">
        <v>0</v>
      </c>
      <c r="KD249">
        <v>80</v>
      </c>
      <c r="KF249">
        <v>4</v>
      </c>
      <c r="KG249">
        <v>2</v>
      </c>
      <c r="KH249">
        <v>2</v>
      </c>
      <c r="KI249">
        <v>2</v>
      </c>
      <c r="KJ249">
        <v>0</v>
      </c>
      <c r="KK249">
        <v>1.5</v>
      </c>
      <c r="KL249">
        <v>1.5</v>
      </c>
      <c r="KM249">
        <v>0</v>
      </c>
      <c r="KN249">
        <v>0</v>
      </c>
      <c r="KO249">
        <v>0</v>
      </c>
      <c r="KR249">
        <v>50</v>
      </c>
      <c r="KS249">
        <v>60</v>
      </c>
      <c r="KT249">
        <v>0</v>
      </c>
      <c r="LK249">
        <v>480</v>
      </c>
      <c r="PG249">
        <v>1</v>
      </c>
      <c r="PI249" t="s">
        <v>3143</v>
      </c>
      <c r="PJ249" t="s">
        <v>3144</v>
      </c>
      <c r="PL249" t="s">
        <v>615</v>
      </c>
      <c r="PP249" t="s">
        <v>1361</v>
      </c>
      <c r="PS249" t="s">
        <v>693</v>
      </c>
      <c r="PX249">
        <v>56</v>
      </c>
      <c r="PY249">
        <v>57</v>
      </c>
      <c r="PZ249" t="s">
        <v>3143</v>
      </c>
      <c r="QA249">
        <v>1</v>
      </c>
      <c r="QB249">
        <v>1454</v>
      </c>
      <c r="QC249">
        <v>69</v>
      </c>
      <c r="QD249">
        <v>69</v>
      </c>
      <c r="QE249" t="s">
        <v>615</v>
      </c>
      <c r="QF249">
        <v>1</v>
      </c>
      <c r="QG249">
        <v>1475</v>
      </c>
      <c r="QH249">
        <v>66</v>
      </c>
      <c r="QI249">
        <v>66</v>
      </c>
      <c r="QJ249" t="s">
        <v>693</v>
      </c>
      <c r="QK249">
        <v>1</v>
      </c>
      <c r="QL249">
        <v>1475</v>
      </c>
      <c r="QM249">
        <v>62</v>
      </c>
      <c r="QN249">
        <v>62</v>
      </c>
      <c r="QO249" t="s">
        <v>3144</v>
      </c>
      <c r="QP249">
        <v>1</v>
      </c>
      <c r="QQ249">
        <v>1468</v>
      </c>
      <c r="QW249">
        <v>82</v>
      </c>
      <c r="QX249">
        <v>89</v>
      </c>
      <c r="QY249" t="s">
        <v>1361</v>
      </c>
      <c r="QZ249">
        <v>1</v>
      </c>
      <c r="RA249">
        <v>66</v>
      </c>
      <c r="RB249">
        <v>66</v>
      </c>
      <c r="RE249">
        <v>0</v>
      </c>
      <c r="RF249">
        <v>1</v>
      </c>
      <c r="RJ249">
        <v>1</v>
      </c>
      <c r="RK249">
        <v>2</v>
      </c>
      <c r="RL249">
        <v>2</v>
      </c>
      <c r="RO249">
        <v>567</v>
      </c>
      <c r="RP249">
        <v>105</v>
      </c>
      <c r="RQ249">
        <v>1124</v>
      </c>
      <c r="RT249">
        <v>272</v>
      </c>
      <c r="RU249">
        <v>186</v>
      </c>
      <c r="RV249" t="s">
        <v>1363</v>
      </c>
      <c r="RW249" t="s">
        <v>707</v>
      </c>
      <c r="RX249">
        <v>15</v>
      </c>
      <c r="RY249">
        <v>4</v>
      </c>
      <c r="RZ249" t="s">
        <v>707</v>
      </c>
      <c r="SA249">
        <v>15</v>
      </c>
      <c r="SC249" t="s">
        <v>3144</v>
      </c>
      <c r="SD249">
        <v>1</v>
      </c>
      <c r="SH249">
        <v>0.995</v>
      </c>
      <c r="SI249">
        <v>0.995</v>
      </c>
      <c r="SJ249">
        <v>0.995</v>
      </c>
      <c r="SK249">
        <v>15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1</v>
      </c>
      <c r="TB249">
        <v>0</v>
      </c>
      <c r="TC249">
        <v>0</v>
      </c>
      <c r="TD249">
        <v>7.5</v>
      </c>
      <c r="TE249" t="s">
        <v>553</v>
      </c>
      <c r="TF249" t="s">
        <v>624</v>
      </c>
      <c r="TG249" t="s">
        <v>555</v>
      </c>
      <c r="TI249" t="s">
        <v>546</v>
      </c>
      <c r="TJ249" t="s">
        <v>547</v>
      </c>
      <c r="TL249" t="s">
        <v>3054</v>
      </c>
      <c r="TM249" t="s">
        <v>513</v>
      </c>
      <c r="TN249">
        <v>0</v>
      </c>
      <c r="TO249" t="s">
        <v>557</v>
      </c>
    </row>
    <row r="250" spans="1:535">
      <c r="A250" t="s">
        <v>3145</v>
      </c>
      <c r="B250" t="s">
        <v>629</v>
      </c>
      <c r="C250" t="s">
        <v>509</v>
      </c>
      <c r="D250" t="s">
        <v>3146</v>
      </c>
      <c r="G250" t="s">
        <v>1088</v>
      </c>
      <c r="I250" t="s">
        <v>562</v>
      </c>
      <c r="J250" t="s">
        <v>563</v>
      </c>
      <c r="L250" t="s">
        <v>512</v>
      </c>
      <c r="M250" t="s">
        <v>711</v>
      </c>
      <c r="N250" t="s">
        <v>513</v>
      </c>
      <c r="O250" t="s">
        <v>607</v>
      </c>
      <c r="Q250" t="s">
        <v>3147</v>
      </c>
      <c r="R250" t="s">
        <v>517</v>
      </c>
      <c r="S250" t="s">
        <v>3010</v>
      </c>
      <c r="T250" t="s">
        <v>3011</v>
      </c>
      <c r="U250" t="s">
        <v>570</v>
      </c>
      <c r="V250" t="s">
        <v>571</v>
      </c>
      <c r="W250" t="s">
        <v>3012</v>
      </c>
      <c r="X250" t="s">
        <v>3058</v>
      </c>
      <c r="Y250" t="s">
        <v>574</v>
      </c>
      <c r="Z250" t="s">
        <v>3148</v>
      </c>
      <c r="AA250" t="s">
        <v>3149</v>
      </c>
      <c r="AB250" t="s">
        <v>3150</v>
      </c>
      <c r="AC250">
        <v>2</v>
      </c>
      <c r="AD250">
        <v>57</v>
      </c>
      <c r="AE250">
        <v>255</v>
      </c>
      <c r="AF250">
        <v>1.5</v>
      </c>
      <c r="AH250">
        <v>0</v>
      </c>
      <c r="AI250" t="s">
        <v>3151</v>
      </c>
      <c r="AJ250">
        <v>235</v>
      </c>
      <c r="AK250">
        <v>1</v>
      </c>
      <c r="AL250">
        <v>1.5</v>
      </c>
      <c r="AM250" t="s">
        <v>579</v>
      </c>
      <c r="AN250" t="s">
        <v>855</v>
      </c>
      <c r="AO250">
        <v>2</v>
      </c>
      <c r="AP250" t="s">
        <v>581</v>
      </c>
      <c r="AQ250" t="s">
        <v>582</v>
      </c>
      <c r="AR250">
        <v>273</v>
      </c>
      <c r="AS250">
        <v>1.5</v>
      </c>
      <c r="AT250" t="s">
        <v>583</v>
      </c>
      <c r="AU250" t="s">
        <v>3152</v>
      </c>
      <c r="AW250" t="s">
        <v>3152</v>
      </c>
      <c r="AX250">
        <v>1</v>
      </c>
      <c r="AY250">
        <v>337.5</v>
      </c>
      <c r="AZ250">
        <v>1.5</v>
      </c>
      <c r="BA250" t="s">
        <v>579</v>
      </c>
      <c r="BC250" t="s">
        <v>3153</v>
      </c>
      <c r="BD250" t="s">
        <v>3153</v>
      </c>
      <c r="BE250">
        <v>1</v>
      </c>
      <c r="BF250">
        <v>277.5</v>
      </c>
      <c r="BG250">
        <v>1.5</v>
      </c>
      <c r="BJ250">
        <v>0</v>
      </c>
      <c r="BN250">
        <v>1.5</v>
      </c>
      <c r="BP250" t="s">
        <v>3154</v>
      </c>
      <c r="BQ250" t="s">
        <v>587</v>
      </c>
      <c r="BR250">
        <v>2</v>
      </c>
      <c r="BS250" t="s">
        <v>875</v>
      </c>
      <c r="BT250">
        <v>254</v>
      </c>
      <c r="BU250">
        <v>0.5</v>
      </c>
      <c r="BV250" t="s">
        <v>875</v>
      </c>
      <c r="BW250">
        <v>508</v>
      </c>
      <c r="BX250">
        <v>1</v>
      </c>
      <c r="BY250" t="s">
        <v>589</v>
      </c>
      <c r="BZ250">
        <v>470</v>
      </c>
      <c r="CA250">
        <v>570</v>
      </c>
      <c r="CB250" t="s">
        <v>590</v>
      </c>
      <c r="CC250" t="s">
        <v>590</v>
      </c>
      <c r="CD250">
        <v>520</v>
      </c>
      <c r="CE250" t="s">
        <v>591</v>
      </c>
      <c r="CF250">
        <v>15</v>
      </c>
      <c r="CG250" t="s">
        <v>1958</v>
      </c>
      <c r="CH250" t="s">
        <v>1958</v>
      </c>
      <c r="CI250">
        <v>50</v>
      </c>
      <c r="CJ250">
        <v>1538</v>
      </c>
      <c r="CK250">
        <v>2</v>
      </c>
      <c r="CL250">
        <v>1632</v>
      </c>
      <c r="CM250">
        <v>2</v>
      </c>
      <c r="CN250" t="s">
        <v>593</v>
      </c>
      <c r="CO250" t="s">
        <v>594</v>
      </c>
      <c r="CP250" t="s">
        <v>595</v>
      </c>
      <c r="CQ250" t="s">
        <v>704</v>
      </c>
      <c r="CR250" t="s">
        <v>650</v>
      </c>
      <c r="CS250" t="s">
        <v>542</v>
      </c>
      <c r="CT250">
        <v>470</v>
      </c>
      <c r="CU250">
        <v>5</v>
      </c>
      <c r="CV250">
        <v>1.3</v>
      </c>
      <c r="CW250">
        <v>1555</v>
      </c>
      <c r="CX250">
        <v>1124</v>
      </c>
      <c r="CY250" t="s">
        <v>597</v>
      </c>
      <c r="CZ250">
        <v>50</v>
      </c>
      <c r="DA250">
        <v>3</v>
      </c>
      <c r="DB250">
        <v>1.28</v>
      </c>
      <c r="DC250">
        <v>1555</v>
      </c>
      <c r="DD250">
        <v>110</v>
      </c>
      <c r="DE250" t="s">
        <v>543</v>
      </c>
      <c r="DF250">
        <v>675</v>
      </c>
      <c r="DG250">
        <v>3</v>
      </c>
      <c r="DH250">
        <v>1.18</v>
      </c>
      <c r="DI250">
        <v>1548</v>
      </c>
      <c r="DJ250">
        <v>1615</v>
      </c>
      <c r="DK250" t="s">
        <v>543</v>
      </c>
      <c r="DL250">
        <v>555</v>
      </c>
      <c r="DM250">
        <v>3</v>
      </c>
      <c r="DN250">
        <v>1.18</v>
      </c>
      <c r="DO250">
        <v>1555</v>
      </c>
      <c r="DP250">
        <v>1435</v>
      </c>
      <c r="DW250" t="s">
        <v>544</v>
      </c>
      <c r="DX250">
        <v>7.5</v>
      </c>
      <c r="EA250">
        <v>1625.4</v>
      </c>
      <c r="EB250">
        <v>383</v>
      </c>
      <c r="EC250" t="s">
        <v>545</v>
      </c>
      <c r="ED250">
        <v>50</v>
      </c>
      <c r="EE250">
        <v>3</v>
      </c>
      <c r="EG250">
        <v>1676</v>
      </c>
      <c r="EH250">
        <v>344</v>
      </c>
      <c r="EJ250">
        <v>0</v>
      </c>
      <c r="EK250">
        <v>1</v>
      </c>
      <c r="EN250">
        <v>0</v>
      </c>
      <c r="EP250" t="s">
        <v>546</v>
      </c>
      <c r="EQ250">
        <v>120</v>
      </c>
      <c r="ER250">
        <v>3</v>
      </c>
      <c r="ES250">
        <v>6</v>
      </c>
      <c r="ET250">
        <v>1537</v>
      </c>
      <c r="EU250">
        <v>549.7</v>
      </c>
      <c r="EV250">
        <v>845</v>
      </c>
      <c r="EW250" t="s">
        <v>547</v>
      </c>
      <c r="EX250">
        <v>45</v>
      </c>
      <c r="EY250">
        <v>2</v>
      </c>
      <c r="EZ250">
        <v>4.3</v>
      </c>
      <c r="FA250">
        <v>1537</v>
      </c>
      <c r="FB250">
        <v>140.3</v>
      </c>
      <c r="FC250">
        <v>216</v>
      </c>
      <c r="FE250">
        <v>0</v>
      </c>
      <c r="FF250">
        <v>2</v>
      </c>
      <c r="FI250">
        <v>0</v>
      </c>
      <c r="FK250" t="s">
        <v>548</v>
      </c>
      <c r="FL250">
        <v>0.4</v>
      </c>
      <c r="FM250">
        <v>55</v>
      </c>
      <c r="FN250">
        <v>420</v>
      </c>
      <c r="FO250">
        <v>90</v>
      </c>
      <c r="FP250">
        <v>166</v>
      </c>
      <c r="GR250" t="s">
        <v>548</v>
      </c>
      <c r="GS250">
        <v>0.4</v>
      </c>
      <c r="GT250">
        <v>115</v>
      </c>
      <c r="GU250">
        <v>186</v>
      </c>
      <c r="GY250" t="s">
        <v>651</v>
      </c>
      <c r="GZ250">
        <v>1.6</v>
      </c>
      <c r="HA250">
        <v>20</v>
      </c>
      <c r="HB250">
        <v>206</v>
      </c>
      <c r="HC250">
        <v>0.1</v>
      </c>
      <c r="HD250">
        <v>3</v>
      </c>
      <c r="HE250">
        <v>3</v>
      </c>
      <c r="HF250">
        <v>3</v>
      </c>
      <c r="HG250">
        <v>3</v>
      </c>
      <c r="HH250">
        <v>3</v>
      </c>
      <c r="HI250">
        <v>150</v>
      </c>
      <c r="HJ250">
        <v>3</v>
      </c>
      <c r="HK250">
        <v>30</v>
      </c>
      <c r="HL250">
        <v>2</v>
      </c>
      <c r="HM250">
        <v>0</v>
      </c>
      <c r="HN250">
        <v>2</v>
      </c>
      <c r="HO250">
        <v>105</v>
      </c>
      <c r="HP250">
        <v>3</v>
      </c>
      <c r="HQ250">
        <v>0</v>
      </c>
      <c r="HR250">
        <v>2</v>
      </c>
      <c r="HS250">
        <v>7970</v>
      </c>
      <c r="HT250">
        <v>240</v>
      </c>
      <c r="HU250">
        <v>180</v>
      </c>
      <c r="HW250">
        <v>0</v>
      </c>
      <c r="HX250">
        <v>570</v>
      </c>
      <c r="HY250">
        <v>0.18</v>
      </c>
      <c r="IA250">
        <v>0.15</v>
      </c>
      <c r="IB250">
        <v>0</v>
      </c>
      <c r="IC250">
        <v>180</v>
      </c>
      <c r="ID250">
        <v>110</v>
      </c>
      <c r="IE250">
        <v>225</v>
      </c>
      <c r="IF250">
        <v>0</v>
      </c>
      <c r="IH250" t="s">
        <v>549</v>
      </c>
      <c r="IO250">
        <v>3</v>
      </c>
      <c r="IP250">
        <v>20</v>
      </c>
      <c r="IQ250">
        <v>1</v>
      </c>
      <c r="IR250">
        <v>0</v>
      </c>
      <c r="IV250">
        <v>1538</v>
      </c>
      <c r="IW250">
        <v>508</v>
      </c>
      <c r="JA250">
        <v>1</v>
      </c>
      <c r="JB250">
        <v>0</v>
      </c>
      <c r="JC250">
        <v>2</v>
      </c>
      <c r="JD250">
        <v>1555</v>
      </c>
      <c r="JE250">
        <v>1548</v>
      </c>
      <c r="JF250">
        <v>1555</v>
      </c>
      <c r="JG250">
        <v>1537</v>
      </c>
      <c r="JH250">
        <v>0</v>
      </c>
      <c r="JJ250">
        <v>180</v>
      </c>
      <c r="JK250">
        <v>570</v>
      </c>
      <c r="JN250">
        <v>470</v>
      </c>
      <c r="JO250">
        <v>675</v>
      </c>
      <c r="JP250">
        <v>555</v>
      </c>
      <c r="JQ250">
        <v>0</v>
      </c>
      <c r="JR250">
        <v>510</v>
      </c>
      <c r="JS250">
        <v>150</v>
      </c>
      <c r="JV250">
        <v>8</v>
      </c>
      <c r="JW250" t="s">
        <v>550</v>
      </c>
      <c r="JX250">
        <v>546</v>
      </c>
      <c r="KA250">
        <v>225</v>
      </c>
      <c r="KB250">
        <v>110</v>
      </c>
      <c r="KC250">
        <v>0</v>
      </c>
      <c r="KD250">
        <v>80</v>
      </c>
      <c r="KF250">
        <v>4</v>
      </c>
      <c r="KG250">
        <v>2</v>
      </c>
      <c r="KH250">
        <v>2</v>
      </c>
      <c r="KI250">
        <v>2</v>
      </c>
      <c r="KJ250">
        <v>0</v>
      </c>
      <c r="KK250">
        <v>1.5</v>
      </c>
      <c r="KL250">
        <v>1.5</v>
      </c>
      <c r="KM250">
        <v>0</v>
      </c>
      <c r="KN250">
        <v>0</v>
      </c>
      <c r="KO250">
        <v>0</v>
      </c>
      <c r="KR250">
        <v>50</v>
      </c>
      <c r="KS250">
        <v>60</v>
      </c>
      <c r="KT250">
        <v>0</v>
      </c>
      <c r="LK250">
        <v>480</v>
      </c>
      <c r="PG250">
        <v>1</v>
      </c>
      <c r="PI250" t="s">
        <v>3150</v>
      </c>
      <c r="PJ250" t="s">
        <v>3152</v>
      </c>
      <c r="PK250" t="s">
        <v>3153</v>
      </c>
      <c r="PL250" t="s">
        <v>3151</v>
      </c>
      <c r="PP250" t="s">
        <v>3154</v>
      </c>
      <c r="PS250" t="s">
        <v>855</v>
      </c>
      <c r="PX250">
        <v>56</v>
      </c>
      <c r="PY250">
        <v>57</v>
      </c>
      <c r="PZ250" t="s">
        <v>3150</v>
      </c>
      <c r="QA250">
        <v>1</v>
      </c>
      <c r="QB250">
        <v>1537</v>
      </c>
      <c r="QC250">
        <v>69</v>
      </c>
      <c r="QD250">
        <v>69</v>
      </c>
      <c r="QE250" t="s">
        <v>3151</v>
      </c>
      <c r="QF250">
        <v>2</v>
      </c>
      <c r="QG250">
        <v>1555</v>
      </c>
      <c r="QH250">
        <v>66</v>
      </c>
      <c r="QI250">
        <v>66</v>
      </c>
      <c r="QJ250" t="s">
        <v>855</v>
      </c>
      <c r="QK250">
        <v>1</v>
      </c>
      <c r="QL250">
        <v>1555</v>
      </c>
      <c r="QM250">
        <v>62</v>
      </c>
      <c r="QN250">
        <v>62</v>
      </c>
      <c r="QO250" t="s">
        <v>3152</v>
      </c>
      <c r="QP250">
        <v>1</v>
      </c>
      <c r="QQ250">
        <v>1548</v>
      </c>
      <c r="QR250">
        <v>63</v>
      </c>
      <c r="QS250">
        <v>63</v>
      </c>
      <c r="QT250" t="s">
        <v>3153</v>
      </c>
      <c r="QU250">
        <v>1</v>
      </c>
      <c r="QV250">
        <v>1555</v>
      </c>
      <c r="QW250">
        <v>82</v>
      </c>
      <c r="QX250" t="s">
        <v>587</v>
      </c>
      <c r="QY250" t="s">
        <v>3154</v>
      </c>
      <c r="QZ250">
        <v>1</v>
      </c>
      <c r="RA250">
        <v>66</v>
      </c>
      <c r="RB250">
        <v>66</v>
      </c>
      <c r="RE250">
        <v>0</v>
      </c>
      <c r="RF250">
        <v>1</v>
      </c>
      <c r="RI250">
        <v>1</v>
      </c>
      <c r="RJ250">
        <v>1</v>
      </c>
      <c r="RK250">
        <v>2</v>
      </c>
      <c r="RL250">
        <v>1</v>
      </c>
      <c r="RM250">
        <v>1</v>
      </c>
      <c r="RO250">
        <v>723</v>
      </c>
      <c r="RP250">
        <v>142</v>
      </c>
      <c r="RQ250">
        <v>1043</v>
      </c>
      <c r="RR250">
        <v>923</v>
      </c>
      <c r="RT250">
        <v>383</v>
      </c>
      <c r="RU250">
        <v>344</v>
      </c>
      <c r="RV250" t="s">
        <v>876</v>
      </c>
      <c r="RW250" t="s">
        <v>599</v>
      </c>
      <c r="RX250">
        <v>15</v>
      </c>
      <c r="RY250">
        <v>4</v>
      </c>
      <c r="RZ250" t="s">
        <v>599</v>
      </c>
      <c r="SA250">
        <v>15</v>
      </c>
      <c r="SC250" t="s">
        <v>3152</v>
      </c>
      <c r="SD250">
        <v>1</v>
      </c>
      <c r="SE250" t="s">
        <v>3155</v>
      </c>
      <c r="SF250" t="s">
        <v>3155</v>
      </c>
      <c r="SG250">
        <v>1</v>
      </c>
      <c r="SH250">
        <v>0.995</v>
      </c>
      <c r="SI250">
        <v>0.995</v>
      </c>
      <c r="SJ250">
        <v>0.995</v>
      </c>
      <c r="SK250">
        <v>15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1</v>
      </c>
      <c r="SZ250">
        <v>1</v>
      </c>
      <c r="TB250">
        <v>0</v>
      </c>
      <c r="TC250">
        <v>0</v>
      </c>
      <c r="TD250">
        <v>7.5</v>
      </c>
      <c r="TE250" t="s">
        <v>553</v>
      </c>
      <c r="TF250" t="s">
        <v>681</v>
      </c>
      <c r="TG250" t="s">
        <v>555</v>
      </c>
      <c r="TI250" t="s">
        <v>546</v>
      </c>
      <c r="TJ250" t="s">
        <v>547</v>
      </c>
      <c r="TL250" t="s">
        <v>3054</v>
      </c>
      <c r="TM250" t="s">
        <v>513</v>
      </c>
      <c r="TN250">
        <v>0</v>
      </c>
      <c r="TO250" t="s">
        <v>601</v>
      </c>
    </row>
    <row r="251" spans="1:535">
      <c r="A251" t="s">
        <v>3156</v>
      </c>
      <c r="B251" t="s">
        <v>559</v>
      </c>
      <c r="C251" t="s">
        <v>509</v>
      </c>
      <c r="D251" t="s">
        <v>3157</v>
      </c>
      <c r="G251" t="s">
        <v>604</v>
      </c>
      <c r="H251" t="s">
        <v>605</v>
      </c>
      <c r="I251" t="s">
        <v>628</v>
      </c>
      <c r="J251" t="s">
        <v>606</v>
      </c>
      <c r="L251" t="s">
        <v>512</v>
      </c>
      <c r="M251" t="s">
        <v>564</v>
      </c>
      <c r="N251" t="s">
        <v>513</v>
      </c>
      <c r="O251" t="s">
        <v>607</v>
      </c>
      <c r="Q251" t="s">
        <v>3158</v>
      </c>
      <c r="R251" t="s">
        <v>517</v>
      </c>
      <c r="S251" t="s">
        <v>1544</v>
      </c>
      <c r="T251" t="s">
        <v>1481</v>
      </c>
      <c r="U251" t="s">
        <v>1457</v>
      </c>
      <c r="V251" t="s">
        <v>1458</v>
      </c>
      <c r="W251" t="s">
        <v>2457</v>
      </c>
      <c r="X251" t="s">
        <v>3048</v>
      </c>
      <c r="Y251" t="s">
        <v>524</v>
      </c>
      <c r="Z251" t="s">
        <v>3159</v>
      </c>
      <c r="AA251" t="s">
        <v>3160</v>
      </c>
      <c r="AB251" t="s">
        <v>3161</v>
      </c>
      <c r="AC251">
        <v>2</v>
      </c>
      <c r="AD251">
        <v>57</v>
      </c>
      <c r="AE251">
        <v>163</v>
      </c>
      <c r="AF251">
        <v>1.5</v>
      </c>
      <c r="AH251">
        <v>0</v>
      </c>
      <c r="AI251" t="s">
        <v>748</v>
      </c>
      <c r="AJ251">
        <v>175</v>
      </c>
      <c r="AK251">
        <v>1</v>
      </c>
      <c r="AL251">
        <v>1.5</v>
      </c>
      <c r="AM251" t="s">
        <v>529</v>
      </c>
      <c r="AO251">
        <v>0</v>
      </c>
      <c r="AR251">
        <v>0</v>
      </c>
      <c r="AS251">
        <v>1.5</v>
      </c>
      <c r="AU251" t="s">
        <v>3162</v>
      </c>
      <c r="AW251" t="s">
        <v>3162</v>
      </c>
      <c r="AX251">
        <v>1</v>
      </c>
      <c r="AY251">
        <v>262.5</v>
      </c>
      <c r="AZ251">
        <v>1.5</v>
      </c>
      <c r="BA251" t="s">
        <v>529</v>
      </c>
      <c r="BG251">
        <v>1.5</v>
      </c>
      <c r="BJ251">
        <v>0</v>
      </c>
      <c r="BN251">
        <v>1.5</v>
      </c>
      <c r="BP251" t="s">
        <v>3103</v>
      </c>
      <c r="BQ251">
        <v>89</v>
      </c>
      <c r="BR251">
        <v>2</v>
      </c>
      <c r="BS251" t="s">
        <v>1898</v>
      </c>
      <c r="BT251">
        <v>186</v>
      </c>
      <c r="BU251">
        <v>0.5</v>
      </c>
      <c r="BV251" t="s">
        <v>1898</v>
      </c>
      <c r="BW251">
        <v>372</v>
      </c>
      <c r="BX251">
        <v>1</v>
      </c>
      <c r="BY251" t="s">
        <v>1468</v>
      </c>
      <c r="BZ251">
        <v>300</v>
      </c>
      <c r="CA251">
        <v>460</v>
      </c>
      <c r="CB251" t="s">
        <v>1469</v>
      </c>
      <c r="CC251" t="s">
        <v>1469</v>
      </c>
      <c r="CD251">
        <v>392</v>
      </c>
      <c r="CE251" t="s">
        <v>1470</v>
      </c>
      <c r="CF251">
        <v>15</v>
      </c>
      <c r="CG251" t="s">
        <v>1899</v>
      </c>
      <c r="CH251" t="s">
        <v>1899</v>
      </c>
      <c r="CI251">
        <v>80</v>
      </c>
      <c r="CJ251">
        <v>1050</v>
      </c>
      <c r="CK251">
        <v>2</v>
      </c>
      <c r="CL251">
        <v>1144</v>
      </c>
      <c r="CM251">
        <v>2</v>
      </c>
      <c r="CN251" t="s">
        <v>1472</v>
      </c>
      <c r="CO251" t="s">
        <v>1473</v>
      </c>
      <c r="CP251" t="s">
        <v>1474</v>
      </c>
      <c r="CQ251" t="s">
        <v>540</v>
      </c>
      <c r="CR251" t="s">
        <v>541</v>
      </c>
      <c r="CS251" t="s">
        <v>542</v>
      </c>
      <c r="CT251">
        <v>350</v>
      </c>
      <c r="CU251">
        <v>5</v>
      </c>
      <c r="CV251">
        <v>1.2</v>
      </c>
      <c r="CW251">
        <v>1064</v>
      </c>
      <c r="CX251">
        <v>527</v>
      </c>
      <c r="DD251">
        <v>0</v>
      </c>
      <c r="DE251" t="s">
        <v>543</v>
      </c>
      <c r="DF251">
        <v>525</v>
      </c>
      <c r="DG251">
        <v>3</v>
      </c>
      <c r="DH251">
        <v>1.18</v>
      </c>
      <c r="DI251">
        <v>1062</v>
      </c>
      <c r="DJ251">
        <v>872</v>
      </c>
      <c r="DW251" t="s">
        <v>544</v>
      </c>
      <c r="DX251">
        <v>7.5</v>
      </c>
      <c r="EA251">
        <v>1123</v>
      </c>
      <c r="EB251">
        <v>147</v>
      </c>
      <c r="EC251" t="s">
        <v>545</v>
      </c>
      <c r="ED251">
        <v>25</v>
      </c>
      <c r="EE251">
        <v>3</v>
      </c>
      <c r="EG251">
        <v>1154</v>
      </c>
      <c r="EH251">
        <v>110</v>
      </c>
      <c r="EJ251">
        <v>0</v>
      </c>
      <c r="EK251">
        <v>1</v>
      </c>
      <c r="EN251">
        <v>0</v>
      </c>
      <c r="EP251" t="s">
        <v>546</v>
      </c>
      <c r="EQ251">
        <v>105</v>
      </c>
      <c r="ER251">
        <v>3</v>
      </c>
      <c r="ES251">
        <v>5.5</v>
      </c>
      <c r="ET251">
        <v>1048</v>
      </c>
      <c r="EU251">
        <v>442</v>
      </c>
      <c r="EV251">
        <v>463</v>
      </c>
      <c r="EW251" t="s">
        <v>547</v>
      </c>
      <c r="EX251">
        <v>70</v>
      </c>
      <c r="EY251">
        <v>2</v>
      </c>
      <c r="EZ251">
        <v>4</v>
      </c>
      <c r="FA251">
        <v>1048</v>
      </c>
      <c r="FB251">
        <v>207.2</v>
      </c>
      <c r="FC251">
        <v>217</v>
      </c>
      <c r="FE251">
        <v>0</v>
      </c>
      <c r="FF251">
        <v>2</v>
      </c>
      <c r="FI251">
        <v>0</v>
      </c>
      <c r="FK251" t="s">
        <v>548</v>
      </c>
      <c r="FL251">
        <v>0.4</v>
      </c>
      <c r="FM251">
        <v>95</v>
      </c>
      <c r="FN251">
        <v>100</v>
      </c>
      <c r="FR251" t="s">
        <v>548</v>
      </c>
      <c r="FS251">
        <v>0.4</v>
      </c>
      <c r="FT251">
        <v>30</v>
      </c>
      <c r="FU251">
        <v>200</v>
      </c>
      <c r="HC251">
        <v>0.1</v>
      </c>
      <c r="HD251">
        <v>3</v>
      </c>
      <c r="HE251">
        <v>3</v>
      </c>
      <c r="HF251">
        <v>3</v>
      </c>
      <c r="HG251">
        <v>3</v>
      </c>
      <c r="HH251">
        <v>3</v>
      </c>
      <c r="HI251">
        <v>160</v>
      </c>
      <c r="HJ251">
        <v>3</v>
      </c>
      <c r="HK251">
        <v>55</v>
      </c>
      <c r="HL251">
        <v>2</v>
      </c>
      <c r="HM251">
        <v>0</v>
      </c>
      <c r="HN251">
        <v>2</v>
      </c>
      <c r="HO251">
        <v>90</v>
      </c>
      <c r="HP251">
        <v>3</v>
      </c>
      <c r="HQ251">
        <v>0</v>
      </c>
      <c r="HR251">
        <v>2</v>
      </c>
      <c r="HS251">
        <v>3273</v>
      </c>
      <c r="HT251">
        <v>100</v>
      </c>
      <c r="HU251">
        <v>180</v>
      </c>
      <c r="HW251">
        <v>0</v>
      </c>
      <c r="HX251">
        <v>440</v>
      </c>
      <c r="HY251">
        <v>0.18</v>
      </c>
      <c r="IA251">
        <v>0.15</v>
      </c>
      <c r="IB251">
        <v>0</v>
      </c>
      <c r="IC251">
        <v>180</v>
      </c>
      <c r="ID251">
        <v>110</v>
      </c>
      <c r="IE251">
        <v>0</v>
      </c>
      <c r="IF251">
        <v>0</v>
      </c>
      <c r="IH251" t="s">
        <v>549</v>
      </c>
      <c r="IO251">
        <v>1</v>
      </c>
      <c r="IP251">
        <v>14</v>
      </c>
      <c r="IQ251">
        <v>0</v>
      </c>
      <c r="IR251">
        <v>1</v>
      </c>
      <c r="IV251">
        <v>1050</v>
      </c>
      <c r="IW251">
        <v>372</v>
      </c>
      <c r="JA251">
        <v>1</v>
      </c>
      <c r="JB251">
        <v>0</v>
      </c>
      <c r="JC251">
        <v>2</v>
      </c>
      <c r="JD251">
        <v>1064</v>
      </c>
      <c r="JE251">
        <v>1062</v>
      </c>
      <c r="JF251">
        <v>0</v>
      </c>
      <c r="JG251">
        <v>1048</v>
      </c>
      <c r="JH251">
        <v>0</v>
      </c>
      <c r="JJ251">
        <v>180</v>
      </c>
      <c r="JK251">
        <v>440</v>
      </c>
      <c r="JN251">
        <v>350</v>
      </c>
      <c r="JO251">
        <v>525</v>
      </c>
      <c r="JP251">
        <v>0</v>
      </c>
      <c r="JQ251">
        <v>0</v>
      </c>
      <c r="JR251">
        <v>326</v>
      </c>
      <c r="JS251">
        <v>160</v>
      </c>
      <c r="JV251">
        <v>8</v>
      </c>
      <c r="JW251" t="s">
        <v>550</v>
      </c>
      <c r="JX251">
        <v>0</v>
      </c>
      <c r="KA251">
        <v>0</v>
      </c>
      <c r="KB251">
        <v>110</v>
      </c>
      <c r="KC251">
        <v>0</v>
      </c>
      <c r="KD251">
        <v>80</v>
      </c>
      <c r="KF251">
        <v>4</v>
      </c>
      <c r="KG251">
        <v>2</v>
      </c>
      <c r="KH251">
        <v>2</v>
      </c>
      <c r="KI251">
        <v>2</v>
      </c>
      <c r="KJ251">
        <v>0</v>
      </c>
      <c r="KK251">
        <v>1.5</v>
      </c>
      <c r="KL251">
        <v>1.5</v>
      </c>
      <c r="KM251">
        <v>0</v>
      </c>
      <c r="KN251">
        <v>0</v>
      </c>
      <c r="KO251">
        <v>0</v>
      </c>
      <c r="KR251">
        <v>50</v>
      </c>
      <c r="KS251">
        <v>60</v>
      </c>
      <c r="KT251">
        <v>0</v>
      </c>
      <c r="LK251">
        <v>480</v>
      </c>
      <c r="PG251">
        <v>1</v>
      </c>
      <c r="PI251" t="s">
        <v>3161</v>
      </c>
      <c r="PJ251" t="s">
        <v>3162</v>
      </c>
      <c r="PL251" t="s">
        <v>748</v>
      </c>
      <c r="PP251" t="s">
        <v>3103</v>
      </c>
      <c r="PX251">
        <v>56</v>
      </c>
      <c r="PY251">
        <v>57</v>
      </c>
      <c r="PZ251" t="s">
        <v>3161</v>
      </c>
      <c r="QA251">
        <v>2</v>
      </c>
      <c r="QB251">
        <v>1048</v>
      </c>
      <c r="QC251">
        <v>69</v>
      </c>
      <c r="QD251">
        <v>69</v>
      </c>
      <c r="QE251" t="s">
        <v>748</v>
      </c>
      <c r="QF251">
        <v>1</v>
      </c>
      <c r="QG251">
        <v>1064</v>
      </c>
      <c r="QH251">
        <v>66</v>
      </c>
      <c r="QI251">
        <v>66</v>
      </c>
      <c r="QL251">
        <v>0</v>
      </c>
      <c r="QM251">
        <v>62</v>
      </c>
      <c r="QN251">
        <v>62</v>
      </c>
      <c r="QO251" t="s">
        <v>3162</v>
      </c>
      <c r="QP251">
        <v>1</v>
      </c>
      <c r="QQ251">
        <v>1062</v>
      </c>
      <c r="QW251">
        <v>82</v>
      </c>
      <c r="QX251">
        <v>89</v>
      </c>
      <c r="QY251" t="s">
        <v>3103</v>
      </c>
      <c r="QZ251">
        <v>2</v>
      </c>
      <c r="RA251">
        <v>66</v>
      </c>
      <c r="RB251">
        <v>66</v>
      </c>
      <c r="RE251">
        <v>0</v>
      </c>
      <c r="RF251">
        <v>1</v>
      </c>
      <c r="RJ251">
        <v>3</v>
      </c>
      <c r="RL251">
        <v>1</v>
      </c>
      <c r="RO251">
        <v>495</v>
      </c>
      <c r="RQ251">
        <v>821</v>
      </c>
      <c r="RT251">
        <v>147</v>
      </c>
      <c r="RU251">
        <v>110</v>
      </c>
      <c r="RV251" t="s">
        <v>1901</v>
      </c>
      <c r="RW251" t="s">
        <v>1476</v>
      </c>
      <c r="RX251">
        <v>15</v>
      </c>
      <c r="RY251">
        <v>4</v>
      </c>
      <c r="RZ251" t="s">
        <v>1476</v>
      </c>
      <c r="SA251">
        <v>15</v>
      </c>
      <c r="SC251" t="s">
        <v>3162</v>
      </c>
      <c r="SD251">
        <v>1</v>
      </c>
      <c r="SH251">
        <v>0.995</v>
      </c>
      <c r="SI251">
        <v>0.995</v>
      </c>
      <c r="SJ251">
        <v>0.995</v>
      </c>
      <c r="SK251">
        <v>15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TB251">
        <v>0</v>
      </c>
      <c r="TC251">
        <v>0</v>
      </c>
      <c r="TD251">
        <v>7.5</v>
      </c>
      <c r="TE251" t="s">
        <v>553</v>
      </c>
      <c r="TF251" t="s">
        <v>754</v>
      </c>
      <c r="TG251" t="s">
        <v>555</v>
      </c>
      <c r="TI251" t="s">
        <v>546</v>
      </c>
      <c r="TJ251" t="s">
        <v>547</v>
      </c>
      <c r="TL251" t="s">
        <v>3054</v>
      </c>
      <c r="TM251" t="s">
        <v>513</v>
      </c>
      <c r="TN251">
        <v>0</v>
      </c>
      <c r="TO251" t="s">
        <v>557</v>
      </c>
    </row>
    <row r="252" spans="1:535">
      <c r="A252" t="s">
        <v>3163</v>
      </c>
      <c r="B252" t="s">
        <v>657</v>
      </c>
      <c r="C252" t="s">
        <v>509</v>
      </c>
      <c r="D252" t="s">
        <v>2370</v>
      </c>
      <c r="G252" t="s">
        <v>627</v>
      </c>
      <c r="H252" t="s">
        <v>604</v>
      </c>
      <c r="I252" t="s">
        <v>628</v>
      </c>
      <c r="J252" t="s">
        <v>606</v>
      </c>
      <c r="L252" t="s">
        <v>512</v>
      </c>
      <c r="M252" t="s">
        <v>559</v>
      </c>
      <c r="N252" t="s">
        <v>513</v>
      </c>
      <c r="O252" t="s">
        <v>607</v>
      </c>
      <c r="Q252" t="s">
        <v>3164</v>
      </c>
      <c r="R252" t="s">
        <v>517</v>
      </c>
      <c r="S252" t="s">
        <v>1617</v>
      </c>
      <c r="T252" t="s">
        <v>1618</v>
      </c>
      <c r="U252" t="s">
        <v>1482</v>
      </c>
      <c r="V252" t="s">
        <v>1483</v>
      </c>
      <c r="W252" t="s">
        <v>2392</v>
      </c>
      <c r="X252" t="s">
        <v>3048</v>
      </c>
      <c r="Y252" t="s">
        <v>524</v>
      </c>
      <c r="Z252" t="s">
        <v>3165</v>
      </c>
      <c r="AA252" t="s">
        <v>3166</v>
      </c>
      <c r="AB252" t="s">
        <v>3167</v>
      </c>
      <c r="AC252">
        <v>2</v>
      </c>
      <c r="AD252">
        <v>57</v>
      </c>
      <c r="AE252">
        <v>173</v>
      </c>
      <c r="AF252">
        <v>1.5</v>
      </c>
      <c r="AH252">
        <v>0</v>
      </c>
      <c r="AI252" t="s">
        <v>719</v>
      </c>
      <c r="AJ252">
        <v>185</v>
      </c>
      <c r="AK252">
        <v>1</v>
      </c>
      <c r="AL252">
        <v>1.5</v>
      </c>
      <c r="AM252" t="s">
        <v>529</v>
      </c>
      <c r="AO252">
        <v>0</v>
      </c>
      <c r="AR252">
        <v>0</v>
      </c>
      <c r="AS252">
        <v>1.5</v>
      </c>
      <c r="AU252" t="s">
        <v>3168</v>
      </c>
      <c r="AW252" t="s">
        <v>3168</v>
      </c>
      <c r="AX252">
        <v>1</v>
      </c>
      <c r="AY252">
        <v>275</v>
      </c>
      <c r="AZ252">
        <v>1.5</v>
      </c>
      <c r="BA252" t="s">
        <v>529</v>
      </c>
      <c r="BG252">
        <v>1.5</v>
      </c>
      <c r="BJ252">
        <v>0</v>
      </c>
      <c r="BN252">
        <v>1.5</v>
      </c>
      <c r="BP252" t="s">
        <v>1772</v>
      </c>
      <c r="BQ252">
        <v>89</v>
      </c>
      <c r="BR252">
        <v>2</v>
      </c>
      <c r="BS252" t="s">
        <v>1562</v>
      </c>
      <c r="BT252">
        <v>197</v>
      </c>
      <c r="BU252">
        <v>0.5</v>
      </c>
      <c r="BV252" t="s">
        <v>1562</v>
      </c>
      <c r="BW252">
        <v>394</v>
      </c>
      <c r="BX252">
        <v>1</v>
      </c>
      <c r="BY252" t="s">
        <v>1491</v>
      </c>
      <c r="BZ252">
        <v>300</v>
      </c>
      <c r="CA252">
        <v>420</v>
      </c>
      <c r="CB252" t="s">
        <v>1492</v>
      </c>
      <c r="CC252" t="s">
        <v>1492</v>
      </c>
      <c r="CD252">
        <v>352</v>
      </c>
      <c r="CE252" t="s">
        <v>1493</v>
      </c>
      <c r="CF252">
        <v>15</v>
      </c>
      <c r="CG252" t="s">
        <v>1563</v>
      </c>
      <c r="CH252" t="s">
        <v>1563</v>
      </c>
      <c r="CI252">
        <v>60</v>
      </c>
      <c r="CJ252">
        <v>1122</v>
      </c>
      <c r="CK252">
        <v>2</v>
      </c>
      <c r="CL252">
        <v>1222</v>
      </c>
      <c r="CM252">
        <v>2</v>
      </c>
      <c r="CN252" t="s">
        <v>1495</v>
      </c>
      <c r="CO252" t="s">
        <v>1473</v>
      </c>
      <c r="CP252" t="s">
        <v>1474</v>
      </c>
      <c r="CQ252" t="s">
        <v>540</v>
      </c>
      <c r="CR252" t="s">
        <v>541</v>
      </c>
      <c r="CS252" t="s">
        <v>542</v>
      </c>
      <c r="CT252">
        <v>370</v>
      </c>
      <c r="CU252">
        <v>5</v>
      </c>
      <c r="CV252">
        <v>1.2</v>
      </c>
      <c r="CW252">
        <v>1136</v>
      </c>
      <c r="CX252">
        <v>595</v>
      </c>
      <c r="DD252">
        <v>0</v>
      </c>
      <c r="DE252" t="s">
        <v>543</v>
      </c>
      <c r="DF252">
        <v>550</v>
      </c>
      <c r="DG252">
        <v>3</v>
      </c>
      <c r="DH252">
        <v>1.18</v>
      </c>
      <c r="DI252">
        <v>1134</v>
      </c>
      <c r="DJ252">
        <v>995</v>
      </c>
      <c r="DW252" t="s">
        <v>544</v>
      </c>
      <c r="DX252">
        <v>7.5</v>
      </c>
      <c r="EA252">
        <v>1204.3</v>
      </c>
      <c r="EB252">
        <v>157</v>
      </c>
      <c r="EC252" t="s">
        <v>545</v>
      </c>
      <c r="ED252">
        <v>30</v>
      </c>
      <c r="EE252">
        <v>3</v>
      </c>
      <c r="EG252">
        <v>1235</v>
      </c>
      <c r="EH252">
        <v>144</v>
      </c>
      <c r="EJ252">
        <v>0</v>
      </c>
      <c r="EK252">
        <v>1</v>
      </c>
      <c r="EN252">
        <v>0</v>
      </c>
      <c r="EP252" t="s">
        <v>546</v>
      </c>
      <c r="EQ252">
        <v>110</v>
      </c>
      <c r="ER252">
        <v>3</v>
      </c>
      <c r="ES252">
        <v>4.5</v>
      </c>
      <c r="ET252">
        <v>1114</v>
      </c>
      <c r="EU252">
        <v>393.8</v>
      </c>
      <c r="EV252">
        <v>439</v>
      </c>
      <c r="EW252" t="s">
        <v>547</v>
      </c>
      <c r="EX252">
        <v>70</v>
      </c>
      <c r="EY252">
        <v>2</v>
      </c>
      <c r="EZ252">
        <v>3.5</v>
      </c>
      <c r="FA252">
        <v>1114</v>
      </c>
      <c r="FB252">
        <v>196.1</v>
      </c>
      <c r="FC252">
        <v>218</v>
      </c>
      <c r="FE252">
        <v>0</v>
      </c>
      <c r="FF252">
        <v>2</v>
      </c>
      <c r="FI252">
        <v>0</v>
      </c>
      <c r="FK252" t="s">
        <v>548</v>
      </c>
      <c r="FL252">
        <v>0.4</v>
      </c>
      <c r="FM252">
        <v>90</v>
      </c>
      <c r="FN252">
        <v>120</v>
      </c>
      <c r="FR252" t="s">
        <v>548</v>
      </c>
      <c r="FS252">
        <v>0.4</v>
      </c>
      <c r="FT252">
        <v>30</v>
      </c>
      <c r="FU252">
        <v>356</v>
      </c>
      <c r="FV252">
        <v>30</v>
      </c>
      <c r="FW252">
        <v>220</v>
      </c>
      <c r="HC252">
        <v>0.1</v>
      </c>
      <c r="HD252">
        <v>3</v>
      </c>
      <c r="HE252">
        <v>3</v>
      </c>
      <c r="HF252">
        <v>3</v>
      </c>
      <c r="HG252">
        <v>3</v>
      </c>
      <c r="HH252">
        <v>3</v>
      </c>
      <c r="HI252">
        <v>165</v>
      </c>
      <c r="HJ252">
        <v>3</v>
      </c>
      <c r="HK252">
        <v>55</v>
      </c>
      <c r="HL252">
        <v>2</v>
      </c>
      <c r="HM252">
        <v>0</v>
      </c>
      <c r="HN252">
        <v>2</v>
      </c>
      <c r="HO252">
        <v>95</v>
      </c>
      <c r="HP252">
        <v>3</v>
      </c>
      <c r="HQ252">
        <v>0</v>
      </c>
      <c r="HR252">
        <v>2</v>
      </c>
      <c r="HS252">
        <v>3506</v>
      </c>
      <c r="HT252">
        <v>110</v>
      </c>
      <c r="HU252">
        <v>180</v>
      </c>
      <c r="HW252">
        <v>0</v>
      </c>
      <c r="HX252">
        <v>400</v>
      </c>
      <c r="HY252">
        <v>0.18</v>
      </c>
      <c r="IA252">
        <v>0.15</v>
      </c>
      <c r="IB252">
        <v>0</v>
      </c>
      <c r="IC252">
        <v>180</v>
      </c>
      <c r="ID252">
        <v>110</v>
      </c>
      <c r="IE252">
        <v>0</v>
      </c>
      <c r="IF252">
        <v>0</v>
      </c>
      <c r="IH252" t="s">
        <v>549</v>
      </c>
      <c r="IO252">
        <v>1</v>
      </c>
      <c r="IP252">
        <v>15</v>
      </c>
      <c r="IQ252">
        <v>0</v>
      </c>
      <c r="IR252">
        <v>1</v>
      </c>
      <c r="IV252">
        <v>1122</v>
      </c>
      <c r="IW252">
        <v>394</v>
      </c>
      <c r="JA252">
        <v>1</v>
      </c>
      <c r="JB252">
        <v>0</v>
      </c>
      <c r="JC252">
        <v>2</v>
      </c>
      <c r="JD252">
        <v>1136</v>
      </c>
      <c r="JE252">
        <v>1134</v>
      </c>
      <c r="JF252">
        <v>0</v>
      </c>
      <c r="JG252">
        <v>1114</v>
      </c>
      <c r="JH252">
        <v>0</v>
      </c>
      <c r="JJ252">
        <v>180</v>
      </c>
      <c r="JK252">
        <v>400</v>
      </c>
      <c r="JN252">
        <v>370</v>
      </c>
      <c r="JO252">
        <v>550</v>
      </c>
      <c r="JP252">
        <v>0</v>
      </c>
      <c r="JQ252">
        <v>0</v>
      </c>
      <c r="JR252">
        <v>346</v>
      </c>
      <c r="JS252">
        <v>165</v>
      </c>
      <c r="JV252">
        <v>8</v>
      </c>
      <c r="JW252" t="s">
        <v>550</v>
      </c>
      <c r="JX252">
        <v>0</v>
      </c>
      <c r="KA252">
        <v>0</v>
      </c>
      <c r="KB252">
        <v>110</v>
      </c>
      <c r="KC252">
        <v>0</v>
      </c>
      <c r="KD252">
        <v>80</v>
      </c>
      <c r="KF252">
        <v>4</v>
      </c>
      <c r="KG252">
        <v>4</v>
      </c>
      <c r="KH252">
        <v>2</v>
      </c>
      <c r="KI252">
        <v>2</v>
      </c>
      <c r="KJ252">
        <v>0</v>
      </c>
      <c r="KK252">
        <v>1.5</v>
      </c>
      <c r="KL252">
        <v>1.5</v>
      </c>
      <c r="KM252">
        <v>0</v>
      </c>
      <c r="KN252">
        <v>0</v>
      </c>
      <c r="KO252">
        <v>0</v>
      </c>
      <c r="KR252">
        <v>30</v>
      </c>
      <c r="KS252">
        <v>60</v>
      </c>
      <c r="KT252">
        <v>0</v>
      </c>
      <c r="LK252">
        <v>480</v>
      </c>
      <c r="LX252">
        <v>520</v>
      </c>
      <c r="LY252">
        <v>2</v>
      </c>
      <c r="PG252">
        <v>1</v>
      </c>
      <c r="PI252" t="s">
        <v>3167</v>
      </c>
      <c r="PJ252" t="s">
        <v>3168</v>
      </c>
      <c r="PL252" t="s">
        <v>719</v>
      </c>
      <c r="PP252" t="s">
        <v>1772</v>
      </c>
      <c r="PX252">
        <v>56</v>
      </c>
      <c r="PY252">
        <v>57</v>
      </c>
      <c r="PZ252" t="s">
        <v>3167</v>
      </c>
      <c r="QA252">
        <v>1</v>
      </c>
      <c r="QB252">
        <v>1114</v>
      </c>
      <c r="QC252">
        <v>69</v>
      </c>
      <c r="QD252">
        <v>69</v>
      </c>
      <c r="QE252" t="s">
        <v>719</v>
      </c>
      <c r="QF252">
        <v>1</v>
      </c>
      <c r="QG252">
        <v>1136</v>
      </c>
      <c r="QH252">
        <v>66</v>
      </c>
      <c r="QI252">
        <v>66</v>
      </c>
      <c r="QL252">
        <v>0</v>
      </c>
      <c r="QM252">
        <v>62</v>
      </c>
      <c r="QN252">
        <v>62</v>
      </c>
      <c r="QO252" t="s">
        <v>3168</v>
      </c>
      <c r="QP252">
        <v>1</v>
      </c>
      <c r="QQ252">
        <v>1134</v>
      </c>
      <c r="QW252">
        <v>82</v>
      </c>
      <c r="QX252">
        <v>89</v>
      </c>
      <c r="QY252" t="s">
        <v>1772</v>
      </c>
      <c r="QZ252">
        <v>2</v>
      </c>
      <c r="RA252">
        <v>66</v>
      </c>
      <c r="RB252">
        <v>66</v>
      </c>
      <c r="RE252">
        <v>0</v>
      </c>
      <c r="RF252">
        <v>1</v>
      </c>
      <c r="RJ252">
        <v>2</v>
      </c>
      <c r="RL252">
        <v>2</v>
      </c>
      <c r="RO252">
        <v>524</v>
      </c>
      <c r="RQ252">
        <v>877</v>
      </c>
      <c r="RT252">
        <v>157</v>
      </c>
      <c r="RU252">
        <v>144</v>
      </c>
      <c r="RV252" t="s">
        <v>1564</v>
      </c>
      <c r="RW252" t="s">
        <v>1498</v>
      </c>
      <c r="RX252">
        <v>15</v>
      </c>
      <c r="RY252">
        <v>4</v>
      </c>
      <c r="RZ252" t="s">
        <v>1498</v>
      </c>
      <c r="SA252">
        <v>15</v>
      </c>
      <c r="SC252" t="s">
        <v>3168</v>
      </c>
      <c r="SD252">
        <v>1</v>
      </c>
      <c r="SH252">
        <v>0.995</v>
      </c>
      <c r="SI252">
        <v>0.995</v>
      </c>
      <c r="SJ252">
        <v>0.995</v>
      </c>
      <c r="SK252">
        <v>15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TB252">
        <v>0</v>
      </c>
      <c r="TC252">
        <v>0</v>
      </c>
      <c r="TD252">
        <v>7.5</v>
      </c>
      <c r="TE252" t="s">
        <v>553</v>
      </c>
      <c r="TF252" t="s">
        <v>754</v>
      </c>
      <c r="TG252" t="s">
        <v>555</v>
      </c>
      <c r="TI252" t="s">
        <v>546</v>
      </c>
      <c r="TJ252" t="s">
        <v>547</v>
      </c>
      <c r="TL252" t="s">
        <v>3054</v>
      </c>
      <c r="TM252" t="s">
        <v>513</v>
      </c>
      <c r="TN252">
        <v>0</v>
      </c>
      <c r="TO252" t="s">
        <v>557</v>
      </c>
    </row>
    <row r="253" spans="1:535">
      <c r="A253" t="s">
        <v>3169</v>
      </c>
      <c r="B253" t="s">
        <v>727</v>
      </c>
      <c r="C253" t="s">
        <v>509</v>
      </c>
      <c r="D253" t="s">
        <v>2828</v>
      </c>
      <c r="G253" t="s">
        <v>604</v>
      </c>
      <c r="H253" t="s">
        <v>605</v>
      </c>
      <c r="I253" t="s">
        <v>628</v>
      </c>
      <c r="J253" t="s">
        <v>606</v>
      </c>
      <c r="L253" t="s">
        <v>512</v>
      </c>
      <c r="M253" t="s">
        <v>729</v>
      </c>
      <c r="N253" t="s">
        <v>513</v>
      </c>
      <c r="O253" t="s">
        <v>607</v>
      </c>
      <c r="Q253" t="s">
        <v>3170</v>
      </c>
      <c r="R253" t="s">
        <v>517</v>
      </c>
      <c r="S253" t="s">
        <v>806</v>
      </c>
      <c r="T253" t="s">
        <v>807</v>
      </c>
      <c r="U253" t="s">
        <v>520</v>
      </c>
      <c r="V253" t="s">
        <v>521</v>
      </c>
      <c r="W253" t="s">
        <v>2354</v>
      </c>
      <c r="X253" t="s">
        <v>3058</v>
      </c>
      <c r="Y253" t="s">
        <v>524</v>
      </c>
      <c r="Z253" t="s">
        <v>3171</v>
      </c>
      <c r="AA253" t="s">
        <v>3172</v>
      </c>
      <c r="AB253" t="s">
        <v>3173</v>
      </c>
      <c r="AC253">
        <v>2</v>
      </c>
      <c r="AD253">
        <v>57</v>
      </c>
      <c r="AE253">
        <v>197</v>
      </c>
      <c r="AF253">
        <v>1.5</v>
      </c>
      <c r="AH253">
        <v>0</v>
      </c>
      <c r="AI253" t="s">
        <v>1179</v>
      </c>
      <c r="AJ253">
        <v>207.5</v>
      </c>
      <c r="AK253">
        <v>1</v>
      </c>
      <c r="AL253">
        <v>1.5</v>
      </c>
      <c r="AM253" t="s">
        <v>529</v>
      </c>
      <c r="AO253">
        <v>0</v>
      </c>
      <c r="AR253">
        <v>0</v>
      </c>
      <c r="AS253">
        <v>1.5</v>
      </c>
      <c r="AU253" t="s">
        <v>3174</v>
      </c>
      <c r="AW253" t="s">
        <v>3174</v>
      </c>
      <c r="AX253">
        <v>1</v>
      </c>
      <c r="AY253">
        <v>302.5</v>
      </c>
      <c r="AZ253">
        <v>1.5</v>
      </c>
      <c r="BA253" t="s">
        <v>529</v>
      </c>
      <c r="BG253">
        <v>1.5</v>
      </c>
      <c r="BJ253">
        <v>0</v>
      </c>
      <c r="BN253">
        <v>1.5</v>
      </c>
      <c r="BP253" t="s">
        <v>1505</v>
      </c>
      <c r="BQ253">
        <v>88</v>
      </c>
      <c r="BR253">
        <v>2</v>
      </c>
      <c r="BS253" t="s">
        <v>737</v>
      </c>
      <c r="BT253">
        <v>221</v>
      </c>
      <c r="BU253">
        <v>0.5</v>
      </c>
      <c r="BV253" t="s">
        <v>737</v>
      </c>
      <c r="BW253">
        <v>442</v>
      </c>
      <c r="BX253">
        <v>1</v>
      </c>
      <c r="BY253" t="s">
        <v>533</v>
      </c>
      <c r="BZ253">
        <v>300</v>
      </c>
      <c r="CA253">
        <v>500</v>
      </c>
      <c r="CB253" t="s">
        <v>534</v>
      </c>
      <c r="CC253" t="s">
        <v>534</v>
      </c>
      <c r="CD253">
        <v>450</v>
      </c>
      <c r="CE253" t="s">
        <v>535</v>
      </c>
      <c r="CF253">
        <v>15</v>
      </c>
      <c r="CG253" t="s">
        <v>1840</v>
      </c>
      <c r="CH253" t="s">
        <v>1840</v>
      </c>
      <c r="CI253">
        <v>100</v>
      </c>
      <c r="CJ253">
        <v>1200</v>
      </c>
      <c r="CK253">
        <v>2</v>
      </c>
      <c r="CL253">
        <v>1301</v>
      </c>
      <c r="CM253">
        <v>2</v>
      </c>
      <c r="CN253" t="s">
        <v>537</v>
      </c>
      <c r="CO253" t="s">
        <v>538</v>
      </c>
      <c r="CP253" t="s">
        <v>539</v>
      </c>
      <c r="CQ253" t="s">
        <v>540</v>
      </c>
      <c r="CR253" t="s">
        <v>541</v>
      </c>
      <c r="CS253" t="s">
        <v>542</v>
      </c>
      <c r="CT253">
        <v>415</v>
      </c>
      <c r="CU253">
        <v>5</v>
      </c>
      <c r="CV253">
        <v>1.2</v>
      </c>
      <c r="CW253">
        <v>1213</v>
      </c>
      <c r="CX253">
        <v>712</v>
      </c>
      <c r="DD253">
        <v>0</v>
      </c>
      <c r="DE253" t="s">
        <v>948</v>
      </c>
      <c r="DF253">
        <v>605</v>
      </c>
      <c r="DG253">
        <v>3</v>
      </c>
      <c r="DH253">
        <v>1.22</v>
      </c>
      <c r="DI253">
        <v>1211</v>
      </c>
      <c r="DJ253">
        <v>1217</v>
      </c>
      <c r="DW253" t="s">
        <v>544</v>
      </c>
      <c r="DX253">
        <v>7.5</v>
      </c>
      <c r="EA253">
        <v>1284.1</v>
      </c>
      <c r="EB253">
        <v>228</v>
      </c>
      <c r="EC253" t="s">
        <v>545</v>
      </c>
      <c r="ED253">
        <v>30</v>
      </c>
      <c r="EE253">
        <v>3</v>
      </c>
      <c r="EG253">
        <v>1325</v>
      </c>
      <c r="EH253">
        <v>156</v>
      </c>
      <c r="EJ253">
        <v>0</v>
      </c>
      <c r="EK253">
        <v>1</v>
      </c>
      <c r="EN253">
        <v>0</v>
      </c>
      <c r="EP253" t="s">
        <v>546</v>
      </c>
      <c r="EQ253">
        <v>130</v>
      </c>
      <c r="ER253">
        <v>3</v>
      </c>
      <c r="ES253">
        <v>5.5</v>
      </c>
      <c r="ET253">
        <v>1198</v>
      </c>
      <c r="EU253">
        <v>552.6</v>
      </c>
      <c r="EV253">
        <v>662</v>
      </c>
      <c r="EW253" t="s">
        <v>547</v>
      </c>
      <c r="EX253">
        <v>70</v>
      </c>
      <c r="EY253">
        <v>2</v>
      </c>
      <c r="EZ253">
        <v>4</v>
      </c>
      <c r="FA253">
        <v>1198</v>
      </c>
      <c r="FB253">
        <v>209.1</v>
      </c>
      <c r="FC253">
        <v>251</v>
      </c>
      <c r="FE253">
        <v>0</v>
      </c>
      <c r="FF253">
        <v>2</v>
      </c>
      <c r="FI253">
        <v>0</v>
      </c>
      <c r="FK253" t="s">
        <v>548</v>
      </c>
      <c r="FL253">
        <v>0.4</v>
      </c>
      <c r="FM253">
        <v>120</v>
      </c>
      <c r="FN253">
        <v>120</v>
      </c>
      <c r="FO253">
        <v>0</v>
      </c>
      <c r="FP253">
        <v>0</v>
      </c>
      <c r="FR253" t="s">
        <v>548</v>
      </c>
      <c r="FS253">
        <v>0.4</v>
      </c>
      <c r="FT253">
        <v>30</v>
      </c>
      <c r="FU253">
        <v>400</v>
      </c>
      <c r="FV253">
        <v>30</v>
      </c>
      <c r="FW253">
        <v>250</v>
      </c>
      <c r="HC253">
        <v>0.1</v>
      </c>
      <c r="HD253">
        <v>3</v>
      </c>
      <c r="HE253">
        <v>3</v>
      </c>
      <c r="HF253">
        <v>3</v>
      </c>
      <c r="HG253">
        <v>3</v>
      </c>
      <c r="HH253">
        <v>3</v>
      </c>
      <c r="HI253">
        <v>185</v>
      </c>
      <c r="HJ253">
        <v>3</v>
      </c>
      <c r="HK253">
        <v>55</v>
      </c>
      <c r="HL253">
        <v>2</v>
      </c>
      <c r="HM253">
        <v>0</v>
      </c>
      <c r="HN253">
        <v>2</v>
      </c>
      <c r="HO253">
        <v>115</v>
      </c>
      <c r="HP253">
        <v>3</v>
      </c>
      <c r="HQ253">
        <v>0</v>
      </c>
      <c r="HR253">
        <v>2</v>
      </c>
      <c r="HS253">
        <v>4523</v>
      </c>
      <c r="HT253">
        <v>140</v>
      </c>
      <c r="HU253">
        <v>180</v>
      </c>
      <c r="HW253">
        <v>0</v>
      </c>
      <c r="HX253">
        <v>460</v>
      </c>
      <c r="HY253">
        <v>0.18</v>
      </c>
      <c r="IA253">
        <v>0.15</v>
      </c>
      <c r="IB253">
        <v>0</v>
      </c>
      <c r="IC253">
        <v>180</v>
      </c>
      <c r="ID253">
        <v>110</v>
      </c>
      <c r="IE253">
        <v>0</v>
      </c>
      <c r="IF253">
        <v>0</v>
      </c>
      <c r="IH253" t="s">
        <v>549</v>
      </c>
      <c r="IO253">
        <v>1</v>
      </c>
      <c r="IP253">
        <v>16</v>
      </c>
      <c r="IQ253">
        <v>0</v>
      </c>
      <c r="IR253">
        <v>1</v>
      </c>
      <c r="IV253">
        <v>1200</v>
      </c>
      <c r="IW253">
        <v>442</v>
      </c>
      <c r="JA253">
        <v>1</v>
      </c>
      <c r="JB253">
        <v>0</v>
      </c>
      <c r="JC253">
        <v>2</v>
      </c>
      <c r="JD253">
        <v>1213</v>
      </c>
      <c r="JE253">
        <v>1211</v>
      </c>
      <c r="JF253">
        <v>0</v>
      </c>
      <c r="JG253">
        <v>1198</v>
      </c>
      <c r="JH253">
        <v>0</v>
      </c>
      <c r="JJ253">
        <v>180</v>
      </c>
      <c r="JK253">
        <v>460</v>
      </c>
      <c r="JN253">
        <v>415</v>
      </c>
      <c r="JO253">
        <v>605</v>
      </c>
      <c r="JP253">
        <v>0</v>
      </c>
      <c r="JQ253">
        <v>0</v>
      </c>
      <c r="JR253">
        <v>394</v>
      </c>
      <c r="JS253">
        <v>185</v>
      </c>
      <c r="JV253">
        <v>8</v>
      </c>
      <c r="JW253" t="s">
        <v>550</v>
      </c>
      <c r="JX253">
        <v>0</v>
      </c>
      <c r="KA253">
        <v>0</v>
      </c>
      <c r="KB253">
        <v>110</v>
      </c>
      <c r="KC253">
        <v>0</v>
      </c>
      <c r="KD253">
        <v>80</v>
      </c>
      <c r="KF253">
        <v>4</v>
      </c>
      <c r="KG253">
        <v>4</v>
      </c>
      <c r="KH253">
        <v>2</v>
      </c>
      <c r="KI253">
        <v>2</v>
      </c>
      <c r="KJ253">
        <v>0</v>
      </c>
      <c r="KK253">
        <v>1.5</v>
      </c>
      <c r="KL253">
        <v>1.5</v>
      </c>
      <c r="KM253">
        <v>0</v>
      </c>
      <c r="KN253">
        <v>0</v>
      </c>
      <c r="KO253">
        <v>0</v>
      </c>
      <c r="KR253">
        <v>50</v>
      </c>
      <c r="KS253">
        <v>60</v>
      </c>
      <c r="KT253">
        <v>0</v>
      </c>
      <c r="LK253">
        <v>480</v>
      </c>
      <c r="PG253">
        <v>1</v>
      </c>
      <c r="PI253" t="s">
        <v>3173</v>
      </c>
      <c r="PJ253" t="s">
        <v>3174</v>
      </c>
      <c r="PL253" t="s">
        <v>1179</v>
      </c>
      <c r="PP253" t="s">
        <v>1505</v>
      </c>
      <c r="PX253">
        <v>56</v>
      </c>
      <c r="PY253">
        <v>57</v>
      </c>
      <c r="PZ253" t="s">
        <v>3173</v>
      </c>
      <c r="QA253">
        <v>3</v>
      </c>
      <c r="QB253">
        <v>1198</v>
      </c>
      <c r="QC253">
        <v>69</v>
      </c>
      <c r="QD253">
        <v>69</v>
      </c>
      <c r="QE253" t="s">
        <v>1179</v>
      </c>
      <c r="QF253">
        <v>1</v>
      </c>
      <c r="QG253">
        <v>1213</v>
      </c>
      <c r="QH253">
        <v>66</v>
      </c>
      <c r="QI253">
        <v>66</v>
      </c>
      <c r="QL253">
        <v>0</v>
      </c>
      <c r="QM253">
        <v>62</v>
      </c>
      <c r="QN253">
        <v>62</v>
      </c>
      <c r="QO253" t="s">
        <v>3174</v>
      </c>
      <c r="QP253">
        <v>1</v>
      </c>
      <c r="QQ253">
        <v>1211</v>
      </c>
      <c r="QW253">
        <v>82</v>
      </c>
      <c r="QX253">
        <v>88</v>
      </c>
      <c r="QY253" t="s">
        <v>1505</v>
      </c>
      <c r="QZ253">
        <v>1</v>
      </c>
      <c r="RA253">
        <v>66</v>
      </c>
      <c r="RB253">
        <v>66</v>
      </c>
      <c r="RE253">
        <v>0</v>
      </c>
      <c r="RF253">
        <v>1</v>
      </c>
      <c r="RJ253">
        <v>1</v>
      </c>
      <c r="RL253">
        <v>1</v>
      </c>
      <c r="RO253">
        <v>587</v>
      </c>
      <c r="RQ253">
        <v>1005</v>
      </c>
      <c r="RT253">
        <v>228</v>
      </c>
      <c r="RU253">
        <v>156</v>
      </c>
      <c r="RV253" t="s">
        <v>739</v>
      </c>
      <c r="RW253" t="s">
        <v>552</v>
      </c>
      <c r="RX253">
        <v>15</v>
      </c>
      <c r="RY253">
        <v>4</v>
      </c>
      <c r="RZ253" t="s">
        <v>552</v>
      </c>
      <c r="SA253">
        <v>15</v>
      </c>
      <c r="SC253" t="s">
        <v>3174</v>
      </c>
      <c r="SD253">
        <v>1</v>
      </c>
      <c r="SH253">
        <v>0.995</v>
      </c>
      <c r="SI253">
        <v>0.995</v>
      </c>
      <c r="SJ253">
        <v>0.995</v>
      </c>
      <c r="SK253">
        <v>15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TB253">
        <v>0</v>
      </c>
      <c r="TC253">
        <v>0</v>
      </c>
      <c r="TD253">
        <v>7.5</v>
      </c>
      <c r="TE253" t="s">
        <v>553</v>
      </c>
      <c r="TF253" t="s">
        <v>624</v>
      </c>
      <c r="TG253" t="s">
        <v>555</v>
      </c>
      <c r="TI253" t="s">
        <v>546</v>
      </c>
      <c r="TJ253" t="s">
        <v>547</v>
      </c>
      <c r="TL253" t="s">
        <v>3054</v>
      </c>
      <c r="TM253" t="s">
        <v>513</v>
      </c>
      <c r="TN253">
        <v>0</v>
      </c>
      <c r="TO253" t="s">
        <v>557</v>
      </c>
    </row>
    <row r="254" spans="1:535">
      <c r="A254" t="s">
        <v>3175</v>
      </c>
      <c r="B254" t="s">
        <v>564</v>
      </c>
      <c r="C254" t="s">
        <v>509</v>
      </c>
      <c r="D254" t="s">
        <v>3176</v>
      </c>
      <c r="G254" t="s">
        <v>604</v>
      </c>
      <c r="I254" t="s">
        <v>628</v>
      </c>
      <c r="J254" t="s">
        <v>606</v>
      </c>
      <c r="L254" t="s">
        <v>512</v>
      </c>
      <c r="M254" t="s">
        <v>629</v>
      </c>
      <c r="N254" t="s">
        <v>513</v>
      </c>
      <c r="O254" t="s">
        <v>565</v>
      </c>
      <c r="Q254" t="s">
        <v>3177</v>
      </c>
      <c r="R254" t="s">
        <v>517</v>
      </c>
      <c r="S254" t="s">
        <v>1201</v>
      </c>
      <c r="T254" t="s">
        <v>807</v>
      </c>
      <c r="U254" t="s">
        <v>633</v>
      </c>
      <c r="V254" t="s">
        <v>634</v>
      </c>
      <c r="W254" t="s">
        <v>1283</v>
      </c>
      <c r="X254" t="s">
        <v>3058</v>
      </c>
      <c r="Y254" t="s">
        <v>524</v>
      </c>
      <c r="Z254" t="s">
        <v>3178</v>
      </c>
      <c r="AA254" t="s">
        <v>3179</v>
      </c>
      <c r="AB254" t="s">
        <v>3180</v>
      </c>
      <c r="AC254">
        <v>2</v>
      </c>
      <c r="AD254">
        <v>57</v>
      </c>
      <c r="AE254">
        <v>198</v>
      </c>
      <c r="AF254">
        <v>1.5</v>
      </c>
      <c r="AH254">
        <v>0</v>
      </c>
      <c r="AI254" t="s">
        <v>1603</v>
      </c>
      <c r="AJ254">
        <v>210</v>
      </c>
      <c r="AK254">
        <v>1</v>
      </c>
      <c r="AL254">
        <v>1.5</v>
      </c>
      <c r="AM254" t="s">
        <v>529</v>
      </c>
      <c r="AO254">
        <v>0</v>
      </c>
      <c r="AR254">
        <v>0</v>
      </c>
      <c r="AS254">
        <v>1.5</v>
      </c>
      <c r="AU254" t="s">
        <v>3181</v>
      </c>
      <c r="AW254" t="s">
        <v>3181</v>
      </c>
      <c r="AX254">
        <v>1</v>
      </c>
      <c r="AY254">
        <v>302.5</v>
      </c>
      <c r="AZ254">
        <v>1.5</v>
      </c>
      <c r="BA254" t="s">
        <v>529</v>
      </c>
      <c r="BG254">
        <v>1.5</v>
      </c>
      <c r="BJ254">
        <v>0</v>
      </c>
      <c r="BN254">
        <v>1.5</v>
      </c>
      <c r="BP254" t="s">
        <v>3182</v>
      </c>
      <c r="BQ254">
        <v>89</v>
      </c>
      <c r="BR254">
        <v>2</v>
      </c>
      <c r="BS254" t="s">
        <v>1929</v>
      </c>
      <c r="BT254">
        <v>221</v>
      </c>
      <c r="BU254">
        <v>0.5</v>
      </c>
      <c r="BV254" t="s">
        <v>1929</v>
      </c>
      <c r="BW254">
        <v>442</v>
      </c>
      <c r="BX254">
        <v>1</v>
      </c>
      <c r="BY254" t="s">
        <v>643</v>
      </c>
      <c r="BZ254">
        <v>300</v>
      </c>
      <c r="CA254">
        <v>520</v>
      </c>
      <c r="CB254" t="s">
        <v>644</v>
      </c>
      <c r="CC254" t="s">
        <v>644</v>
      </c>
      <c r="CD254">
        <v>474</v>
      </c>
      <c r="CE254" t="s">
        <v>544</v>
      </c>
      <c r="CF254">
        <v>15</v>
      </c>
      <c r="CG254" t="s">
        <v>1112</v>
      </c>
      <c r="CH254" t="s">
        <v>1112</v>
      </c>
      <c r="CI254">
        <v>110</v>
      </c>
      <c r="CJ254">
        <v>1301</v>
      </c>
      <c r="CK254">
        <v>2</v>
      </c>
      <c r="CL254">
        <v>1395</v>
      </c>
      <c r="CM254">
        <v>2</v>
      </c>
      <c r="CN254" t="s">
        <v>646</v>
      </c>
      <c r="CO254" t="s">
        <v>647</v>
      </c>
      <c r="CP254" t="s">
        <v>648</v>
      </c>
      <c r="CQ254" t="s">
        <v>540</v>
      </c>
      <c r="CR254" t="s">
        <v>541</v>
      </c>
      <c r="CS254" t="s">
        <v>542</v>
      </c>
      <c r="CT254">
        <v>420</v>
      </c>
      <c r="CU254">
        <v>5</v>
      </c>
      <c r="CV254">
        <v>1.3</v>
      </c>
      <c r="CW254">
        <v>1319</v>
      </c>
      <c r="CX254">
        <v>852</v>
      </c>
      <c r="DD254">
        <v>0</v>
      </c>
      <c r="DE254" t="s">
        <v>948</v>
      </c>
      <c r="DF254">
        <v>605</v>
      </c>
      <c r="DG254">
        <v>3</v>
      </c>
      <c r="DH254">
        <v>1.22</v>
      </c>
      <c r="DI254">
        <v>1312</v>
      </c>
      <c r="DJ254">
        <v>1330</v>
      </c>
      <c r="DW254" t="s">
        <v>544</v>
      </c>
      <c r="DX254">
        <v>7.5</v>
      </c>
      <c r="EA254">
        <v>1379.8</v>
      </c>
      <c r="EB254">
        <v>260</v>
      </c>
      <c r="EC254" t="s">
        <v>545</v>
      </c>
      <c r="ED254">
        <v>30</v>
      </c>
      <c r="EE254">
        <v>3</v>
      </c>
      <c r="EG254">
        <v>1421</v>
      </c>
      <c r="EH254">
        <v>166</v>
      </c>
      <c r="EJ254">
        <v>0</v>
      </c>
      <c r="EK254">
        <v>1</v>
      </c>
      <c r="EN254">
        <v>0</v>
      </c>
      <c r="EP254" t="s">
        <v>546</v>
      </c>
      <c r="EQ254">
        <v>130</v>
      </c>
      <c r="ER254">
        <v>3</v>
      </c>
      <c r="ES254">
        <v>5.5</v>
      </c>
      <c r="ET254">
        <v>1298</v>
      </c>
      <c r="EU254">
        <v>552.3</v>
      </c>
      <c r="EV254">
        <v>717</v>
      </c>
      <c r="EW254" t="s">
        <v>547</v>
      </c>
      <c r="EX254">
        <v>70</v>
      </c>
      <c r="EY254">
        <v>2</v>
      </c>
      <c r="EZ254">
        <v>4</v>
      </c>
      <c r="FA254">
        <v>1298</v>
      </c>
      <c r="FB254">
        <v>201.5</v>
      </c>
      <c r="FC254">
        <v>262</v>
      </c>
      <c r="FE254">
        <v>0</v>
      </c>
      <c r="FF254">
        <v>2</v>
      </c>
      <c r="FI254">
        <v>0</v>
      </c>
      <c r="FK254" t="s">
        <v>548</v>
      </c>
      <c r="FL254">
        <v>0.4</v>
      </c>
      <c r="FM254">
        <v>130</v>
      </c>
      <c r="FN254">
        <v>120</v>
      </c>
      <c r="FO254">
        <v>0</v>
      </c>
      <c r="FP254">
        <v>0</v>
      </c>
      <c r="FR254" t="s">
        <v>548</v>
      </c>
      <c r="FS254">
        <v>0.4</v>
      </c>
      <c r="FT254">
        <v>30</v>
      </c>
      <c r="FU254">
        <v>420</v>
      </c>
      <c r="FV254">
        <v>30</v>
      </c>
      <c r="FW254">
        <v>260</v>
      </c>
      <c r="HC254">
        <v>0.1</v>
      </c>
      <c r="HD254">
        <v>3</v>
      </c>
      <c r="HE254">
        <v>3</v>
      </c>
      <c r="HF254">
        <v>3</v>
      </c>
      <c r="HG254">
        <v>3</v>
      </c>
      <c r="HH254">
        <v>3</v>
      </c>
      <c r="HI254">
        <v>185</v>
      </c>
      <c r="HJ254">
        <v>3</v>
      </c>
      <c r="HK254">
        <v>55</v>
      </c>
      <c r="HL254">
        <v>2</v>
      </c>
      <c r="HM254">
        <v>0</v>
      </c>
      <c r="HN254">
        <v>2</v>
      </c>
      <c r="HO254">
        <v>115</v>
      </c>
      <c r="HP254">
        <v>3</v>
      </c>
      <c r="HQ254">
        <v>0</v>
      </c>
      <c r="HR254">
        <v>2</v>
      </c>
      <c r="HS254">
        <v>4992</v>
      </c>
      <c r="HT254">
        <v>150</v>
      </c>
      <c r="HU254">
        <v>180</v>
      </c>
      <c r="HW254">
        <v>0</v>
      </c>
      <c r="HX254">
        <v>500</v>
      </c>
      <c r="HY254">
        <v>0.18</v>
      </c>
      <c r="IA254">
        <v>0.15</v>
      </c>
      <c r="IB254">
        <v>0</v>
      </c>
      <c r="IC254">
        <v>180</v>
      </c>
      <c r="ID254">
        <v>110</v>
      </c>
      <c r="IE254">
        <v>0</v>
      </c>
      <c r="IF254">
        <v>0</v>
      </c>
      <c r="IH254" t="s">
        <v>549</v>
      </c>
      <c r="IO254">
        <v>1</v>
      </c>
      <c r="IP254">
        <v>17</v>
      </c>
      <c r="IQ254">
        <v>1</v>
      </c>
      <c r="IR254">
        <v>1</v>
      </c>
      <c r="IV254">
        <v>1301</v>
      </c>
      <c r="IW254">
        <v>442</v>
      </c>
      <c r="JA254">
        <v>1</v>
      </c>
      <c r="JB254">
        <v>0</v>
      </c>
      <c r="JC254">
        <v>2</v>
      </c>
      <c r="JD254">
        <v>1319</v>
      </c>
      <c r="JE254">
        <v>1312</v>
      </c>
      <c r="JF254">
        <v>0</v>
      </c>
      <c r="JG254">
        <v>1298</v>
      </c>
      <c r="JH254">
        <v>0</v>
      </c>
      <c r="JJ254">
        <v>180</v>
      </c>
      <c r="JK254">
        <v>500</v>
      </c>
      <c r="JN254">
        <v>420</v>
      </c>
      <c r="JO254">
        <v>605</v>
      </c>
      <c r="JP254">
        <v>0</v>
      </c>
      <c r="JQ254">
        <v>0</v>
      </c>
      <c r="JR254">
        <v>396</v>
      </c>
      <c r="JS254">
        <v>185</v>
      </c>
      <c r="JV254">
        <v>8</v>
      </c>
      <c r="JW254" t="s">
        <v>550</v>
      </c>
      <c r="JX254">
        <v>0</v>
      </c>
      <c r="KA254">
        <v>0</v>
      </c>
      <c r="KB254">
        <v>110</v>
      </c>
      <c r="KC254">
        <v>0</v>
      </c>
      <c r="KD254">
        <v>80</v>
      </c>
      <c r="KF254">
        <v>4</v>
      </c>
      <c r="KG254">
        <v>4</v>
      </c>
      <c r="KH254">
        <v>2</v>
      </c>
      <c r="KI254">
        <v>2</v>
      </c>
      <c r="KJ254">
        <v>0</v>
      </c>
      <c r="KK254">
        <v>1.5</v>
      </c>
      <c r="KL254">
        <v>1.5</v>
      </c>
      <c r="KM254">
        <v>0</v>
      </c>
      <c r="KN254">
        <v>0</v>
      </c>
      <c r="KO254">
        <v>0</v>
      </c>
      <c r="KR254">
        <v>25</v>
      </c>
      <c r="KS254">
        <v>60</v>
      </c>
      <c r="KT254">
        <v>0</v>
      </c>
      <c r="LK254">
        <v>480</v>
      </c>
      <c r="PG254">
        <v>1</v>
      </c>
      <c r="PI254" t="s">
        <v>3180</v>
      </c>
      <c r="PJ254" t="s">
        <v>3181</v>
      </c>
      <c r="PL254" t="s">
        <v>1603</v>
      </c>
      <c r="PP254" t="s">
        <v>3182</v>
      </c>
      <c r="PX254">
        <v>56</v>
      </c>
      <c r="PY254">
        <v>57</v>
      </c>
      <c r="PZ254" t="s">
        <v>3180</v>
      </c>
      <c r="QA254">
        <v>2</v>
      </c>
      <c r="QB254">
        <v>1298</v>
      </c>
      <c r="QC254">
        <v>69</v>
      </c>
      <c r="QD254">
        <v>69</v>
      </c>
      <c r="QE254" t="s">
        <v>1603</v>
      </c>
      <c r="QF254">
        <v>2</v>
      </c>
      <c r="QG254">
        <v>1319</v>
      </c>
      <c r="QH254">
        <v>66</v>
      </c>
      <c r="QI254">
        <v>66</v>
      </c>
      <c r="QL254">
        <v>0</v>
      </c>
      <c r="QM254">
        <v>62</v>
      </c>
      <c r="QN254">
        <v>62</v>
      </c>
      <c r="QO254" t="s">
        <v>3181</v>
      </c>
      <c r="QP254">
        <v>1</v>
      </c>
      <c r="QQ254">
        <v>1312</v>
      </c>
      <c r="QW254">
        <v>82</v>
      </c>
      <c r="QX254">
        <v>89</v>
      </c>
      <c r="QY254" t="s">
        <v>3182</v>
      </c>
      <c r="QZ254">
        <v>2</v>
      </c>
      <c r="RA254">
        <v>66</v>
      </c>
      <c r="RB254">
        <v>66</v>
      </c>
      <c r="RE254">
        <v>0</v>
      </c>
      <c r="RF254">
        <v>1</v>
      </c>
      <c r="RJ254">
        <v>1</v>
      </c>
      <c r="RL254">
        <v>1</v>
      </c>
      <c r="RO254">
        <v>646</v>
      </c>
      <c r="RQ254">
        <v>1014</v>
      </c>
      <c r="RT254">
        <v>260</v>
      </c>
      <c r="RU254">
        <v>166</v>
      </c>
      <c r="RV254" t="s">
        <v>1930</v>
      </c>
      <c r="RW254" t="s">
        <v>653</v>
      </c>
      <c r="RX254">
        <v>15</v>
      </c>
      <c r="RY254">
        <v>4</v>
      </c>
      <c r="RZ254" t="s">
        <v>653</v>
      </c>
      <c r="SA254">
        <v>15</v>
      </c>
      <c r="SC254" t="s">
        <v>3181</v>
      </c>
      <c r="SD254">
        <v>1</v>
      </c>
      <c r="SH254">
        <v>0.995</v>
      </c>
      <c r="SI254">
        <v>0.995</v>
      </c>
      <c r="SJ254">
        <v>0.995</v>
      </c>
      <c r="SK254">
        <v>15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TB254">
        <v>1</v>
      </c>
      <c r="TC254">
        <v>0</v>
      </c>
      <c r="TD254">
        <v>7.5</v>
      </c>
      <c r="TE254" t="s">
        <v>553</v>
      </c>
      <c r="TF254" t="s">
        <v>655</v>
      </c>
      <c r="TG254" t="s">
        <v>555</v>
      </c>
      <c r="TI254" t="s">
        <v>546</v>
      </c>
      <c r="TJ254" t="s">
        <v>547</v>
      </c>
      <c r="TL254" t="s">
        <v>3054</v>
      </c>
      <c r="TM254" t="s">
        <v>513</v>
      </c>
      <c r="TN254">
        <v>0</v>
      </c>
      <c r="TO254" t="s">
        <v>557</v>
      </c>
    </row>
    <row r="255" spans="1:535">
      <c r="A255" t="s">
        <v>3183</v>
      </c>
      <c r="B255" t="s">
        <v>559</v>
      </c>
      <c r="C255" t="s">
        <v>509</v>
      </c>
      <c r="D255" t="s">
        <v>3129</v>
      </c>
      <c r="G255" t="s">
        <v>604</v>
      </c>
      <c r="I255" t="s">
        <v>628</v>
      </c>
      <c r="J255" t="s">
        <v>606</v>
      </c>
      <c r="L255" t="s">
        <v>512</v>
      </c>
      <c r="M255" t="s">
        <v>564</v>
      </c>
      <c r="N255" t="s">
        <v>513</v>
      </c>
      <c r="O255" t="s">
        <v>607</v>
      </c>
      <c r="Q255" t="s">
        <v>3184</v>
      </c>
      <c r="R255" t="s">
        <v>517</v>
      </c>
      <c r="S255" t="s">
        <v>835</v>
      </c>
      <c r="T255" t="s">
        <v>685</v>
      </c>
      <c r="U255" t="s">
        <v>662</v>
      </c>
      <c r="V255" t="s">
        <v>663</v>
      </c>
      <c r="W255" t="s">
        <v>2577</v>
      </c>
      <c r="X255" t="s">
        <v>3058</v>
      </c>
      <c r="Y255" t="s">
        <v>574</v>
      </c>
      <c r="Z255" t="s">
        <v>3185</v>
      </c>
      <c r="AA255" t="s">
        <v>3186</v>
      </c>
      <c r="AB255" t="s">
        <v>3187</v>
      </c>
      <c r="AC255">
        <v>2</v>
      </c>
      <c r="AD255">
        <v>57</v>
      </c>
      <c r="AE255">
        <v>190</v>
      </c>
      <c r="AF255">
        <v>1.5</v>
      </c>
      <c r="AH255">
        <v>0</v>
      </c>
      <c r="AI255" t="s">
        <v>794</v>
      </c>
      <c r="AJ255">
        <v>200</v>
      </c>
      <c r="AK255">
        <v>1</v>
      </c>
      <c r="AL255">
        <v>1.5</v>
      </c>
      <c r="AM255" t="s">
        <v>529</v>
      </c>
      <c r="AO255">
        <v>0</v>
      </c>
      <c r="AR255">
        <v>0</v>
      </c>
      <c r="AS255">
        <v>1.5</v>
      </c>
      <c r="AU255" t="s">
        <v>3188</v>
      </c>
      <c r="AW255" t="s">
        <v>3188</v>
      </c>
      <c r="AX255">
        <v>1</v>
      </c>
      <c r="AY255">
        <v>360</v>
      </c>
      <c r="AZ255">
        <v>1.5</v>
      </c>
      <c r="BA255" t="s">
        <v>529</v>
      </c>
      <c r="BG255">
        <v>1.5</v>
      </c>
      <c r="BJ255">
        <v>0</v>
      </c>
      <c r="BN255">
        <v>1.5</v>
      </c>
      <c r="BP255" t="s">
        <v>3189</v>
      </c>
      <c r="BQ255">
        <v>89</v>
      </c>
      <c r="BR255">
        <v>2</v>
      </c>
      <c r="BS255" t="s">
        <v>3190</v>
      </c>
      <c r="BT255">
        <v>213</v>
      </c>
      <c r="BU255">
        <v>0.5</v>
      </c>
      <c r="BV255" t="s">
        <v>3190</v>
      </c>
      <c r="BW255">
        <v>426</v>
      </c>
      <c r="BX255">
        <v>1</v>
      </c>
      <c r="BY255" t="s">
        <v>643</v>
      </c>
      <c r="BZ255">
        <v>470</v>
      </c>
      <c r="CA255">
        <v>530</v>
      </c>
      <c r="CB255" t="s">
        <v>672</v>
      </c>
      <c r="CC255" t="s">
        <v>672</v>
      </c>
      <c r="CD255">
        <v>446</v>
      </c>
      <c r="CE255" t="s">
        <v>673</v>
      </c>
      <c r="CF255">
        <v>15</v>
      </c>
      <c r="CG255" t="s">
        <v>2054</v>
      </c>
      <c r="CH255" t="s">
        <v>2054</v>
      </c>
      <c r="CI255">
        <v>30</v>
      </c>
      <c r="CJ255">
        <v>1381</v>
      </c>
      <c r="CK255">
        <v>2</v>
      </c>
      <c r="CL255">
        <v>1475</v>
      </c>
      <c r="CM255">
        <v>2</v>
      </c>
      <c r="CN255" t="s">
        <v>675</v>
      </c>
      <c r="CO255" t="s">
        <v>676</v>
      </c>
      <c r="CP255" t="s">
        <v>595</v>
      </c>
      <c r="CQ255" t="s">
        <v>1496</v>
      </c>
      <c r="CR255" t="s">
        <v>541</v>
      </c>
      <c r="CS255" t="s">
        <v>542</v>
      </c>
      <c r="CT255">
        <v>400</v>
      </c>
      <c r="CU255">
        <v>5</v>
      </c>
      <c r="CV255">
        <v>1.3</v>
      </c>
      <c r="CW255">
        <v>1399</v>
      </c>
      <c r="CX255">
        <v>860</v>
      </c>
      <c r="DD255">
        <v>0</v>
      </c>
      <c r="DE255" t="s">
        <v>543</v>
      </c>
      <c r="DF255">
        <v>720</v>
      </c>
      <c r="DG255">
        <v>3</v>
      </c>
      <c r="DH255">
        <v>1.18</v>
      </c>
      <c r="DI255">
        <v>1392</v>
      </c>
      <c r="DJ255">
        <v>1488</v>
      </c>
      <c r="DW255" t="s">
        <v>544</v>
      </c>
      <c r="DX255">
        <v>7.5</v>
      </c>
      <c r="EA255">
        <v>1459.5</v>
      </c>
      <c r="EB255">
        <v>275</v>
      </c>
      <c r="EC255" t="s">
        <v>545</v>
      </c>
      <c r="ED255">
        <v>30</v>
      </c>
      <c r="EE255">
        <v>3</v>
      </c>
      <c r="EG255">
        <v>1500</v>
      </c>
      <c r="EH255">
        <v>176</v>
      </c>
      <c r="EJ255">
        <v>0</v>
      </c>
      <c r="EK255">
        <v>1</v>
      </c>
      <c r="EN255">
        <v>0</v>
      </c>
      <c r="EP255" t="s">
        <v>546</v>
      </c>
      <c r="EQ255">
        <v>105</v>
      </c>
      <c r="ER255">
        <v>3</v>
      </c>
      <c r="ES255">
        <v>6.5</v>
      </c>
      <c r="ET255">
        <v>1384</v>
      </c>
      <c r="EU255">
        <v>488.1</v>
      </c>
      <c r="EV255">
        <v>676</v>
      </c>
      <c r="EW255" t="s">
        <v>547</v>
      </c>
      <c r="EX255">
        <v>70</v>
      </c>
      <c r="EY255">
        <v>2</v>
      </c>
      <c r="EZ255">
        <v>4</v>
      </c>
      <c r="FA255">
        <v>1384</v>
      </c>
      <c r="FB255">
        <v>208.3</v>
      </c>
      <c r="FC255">
        <v>288</v>
      </c>
      <c r="FE255">
        <v>0</v>
      </c>
      <c r="FF255">
        <v>2</v>
      </c>
      <c r="FI255">
        <v>0</v>
      </c>
      <c r="FK255" t="s">
        <v>548</v>
      </c>
      <c r="FL255">
        <v>0.4</v>
      </c>
      <c r="FM255">
        <v>105</v>
      </c>
      <c r="FN255">
        <v>120</v>
      </c>
      <c r="HC255">
        <v>0.1</v>
      </c>
      <c r="HD255">
        <v>3</v>
      </c>
      <c r="HE255">
        <v>3</v>
      </c>
      <c r="HF255">
        <v>3</v>
      </c>
      <c r="HG255">
        <v>3</v>
      </c>
      <c r="HH255">
        <v>3</v>
      </c>
      <c r="HI255">
        <v>160</v>
      </c>
      <c r="HJ255">
        <v>3</v>
      </c>
      <c r="HK255">
        <v>55</v>
      </c>
      <c r="HL255">
        <v>2</v>
      </c>
      <c r="HM255">
        <v>0</v>
      </c>
      <c r="HN255">
        <v>2</v>
      </c>
      <c r="HO255">
        <v>90</v>
      </c>
      <c r="HP255">
        <v>3</v>
      </c>
      <c r="HQ255">
        <v>0</v>
      </c>
      <c r="HR255">
        <v>2</v>
      </c>
      <c r="HS255">
        <v>5178</v>
      </c>
      <c r="HT255">
        <v>160</v>
      </c>
      <c r="HU255">
        <v>180</v>
      </c>
      <c r="HW255">
        <v>20</v>
      </c>
      <c r="HX255">
        <v>520</v>
      </c>
      <c r="HY255">
        <v>0.18</v>
      </c>
      <c r="IA255">
        <v>0.15</v>
      </c>
      <c r="IB255">
        <v>0</v>
      </c>
      <c r="IC255">
        <v>180</v>
      </c>
      <c r="ID255">
        <v>110</v>
      </c>
      <c r="IE255">
        <v>0</v>
      </c>
      <c r="IF255">
        <v>0</v>
      </c>
      <c r="IH255" t="s">
        <v>549</v>
      </c>
      <c r="IO255">
        <v>1</v>
      </c>
      <c r="IP255">
        <v>18</v>
      </c>
      <c r="IQ255">
        <v>1</v>
      </c>
      <c r="IR255">
        <v>1</v>
      </c>
      <c r="IV255">
        <v>1381</v>
      </c>
      <c r="IW255">
        <v>426</v>
      </c>
      <c r="JA255">
        <v>1</v>
      </c>
      <c r="JB255">
        <v>0</v>
      </c>
      <c r="JC255">
        <v>2</v>
      </c>
      <c r="JD255">
        <v>1399</v>
      </c>
      <c r="JE255">
        <v>1392</v>
      </c>
      <c r="JF255">
        <v>0</v>
      </c>
      <c r="JG255">
        <v>1384</v>
      </c>
      <c r="JH255">
        <v>0</v>
      </c>
      <c r="JJ255">
        <v>180</v>
      </c>
      <c r="JK255">
        <v>520</v>
      </c>
      <c r="JN255">
        <v>400</v>
      </c>
      <c r="JO255">
        <v>720</v>
      </c>
      <c r="JP255">
        <v>0</v>
      </c>
      <c r="JQ255">
        <v>0</v>
      </c>
      <c r="JR255">
        <v>380</v>
      </c>
      <c r="JS255">
        <v>160</v>
      </c>
      <c r="JV255">
        <v>8</v>
      </c>
      <c r="JW255" t="s">
        <v>550</v>
      </c>
      <c r="JX255">
        <v>0</v>
      </c>
      <c r="KA255">
        <v>0</v>
      </c>
      <c r="KB255">
        <v>110</v>
      </c>
      <c r="KC255">
        <v>0</v>
      </c>
      <c r="KD255">
        <v>80</v>
      </c>
      <c r="KF255">
        <v>4</v>
      </c>
      <c r="KG255">
        <v>2</v>
      </c>
      <c r="KH255">
        <v>2</v>
      </c>
      <c r="KI255">
        <v>2</v>
      </c>
      <c r="KJ255">
        <v>0</v>
      </c>
      <c r="KK255">
        <v>1.5</v>
      </c>
      <c r="KL255">
        <v>1.5</v>
      </c>
      <c r="KM255">
        <v>0</v>
      </c>
      <c r="KN255">
        <v>0</v>
      </c>
      <c r="KO255">
        <v>0</v>
      </c>
      <c r="KR255">
        <v>30</v>
      </c>
      <c r="KS255">
        <v>60</v>
      </c>
      <c r="KT255">
        <v>0</v>
      </c>
      <c r="LK255">
        <v>480</v>
      </c>
      <c r="PG255">
        <v>1</v>
      </c>
      <c r="PI255" t="s">
        <v>3187</v>
      </c>
      <c r="PJ255" t="s">
        <v>3188</v>
      </c>
      <c r="PL255" t="s">
        <v>794</v>
      </c>
      <c r="PP255" t="s">
        <v>3189</v>
      </c>
      <c r="PX255">
        <v>56</v>
      </c>
      <c r="PY255">
        <v>57</v>
      </c>
      <c r="PZ255" t="s">
        <v>3187</v>
      </c>
      <c r="QA255">
        <v>1</v>
      </c>
      <c r="QB255">
        <v>1384</v>
      </c>
      <c r="QC255">
        <v>69</v>
      </c>
      <c r="QD255">
        <v>69</v>
      </c>
      <c r="QE255" t="s">
        <v>794</v>
      </c>
      <c r="QF255">
        <v>2</v>
      </c>
      <c r="QG255">
        <v>1399</v>
      </c>
      <c r="QH255">
        <v>66</v>
      </c>
      <c r="QI255">
        <v>66</v>
      </c>
      <c r="QL255">
        <v>0</v>
      </c>
      <c r="QM255">
        <v>62</v>
      </c>
      <c r="QN255">
        <v>62</v>
      </c>
      <c r="QO255" t="s">
        <v>3188</v>
      </c>
      <c r="QP255">
        <v>1</v>
      </c>
      <c r="QQ255">
        <v>1392</v>
      </c>
      <c r="QW255">
        <v>82</v>
      </c>
      <c r="QX255">
        <v>89</v>
      </c>
      <c r="QY255" t="s">
        <v>3189</v>
      </c>
      <c r="QZ255">
        <v>2</v>
      </c>
      <c r="RA255">
        <v>66</v>
      </c>
      <c r="RB255">
        <v>66</v>
      </c>
      <c r="RE255">
        <v>0</v>
      </c>
      <c r="RF255">
        <v>1</v>
      </c>
      <c r="RJ255">
        <v>1</v>
      </c>
      <c r="RL255">
        <v>1</v>
      </c>
      <c r="RO255">
        <v>615</v>
      </c>
      <c r="RQ255">
        <v>1069</v>
      </c>
      <c r="RT255">
        <v>275</v>
      </c>
      <c r="RU255">
        <v>176</v>
      </c>
      <c r="RV255" t="s">
        <v>3191</v>
      </c>
      <c r="RW255" t="s">
        <v>679</v>
      </c>
      <c r="RX255">
        <v>15</v>
      </c>
      <c r="RY255">
        <v>4</v>
      </c>
      <c r="RZ255" t="s">
        <v>679</v>
      </c>
      <c r="SA255">
        <v>15</v>
      </c>
      <c r="SC255" t="s">
        <v>3188</v>
      </c>
      <c r="SD255">
        <v>1</v>
      </c>
      <c r="SH255">
        <v>0.995</v>
      </c>
      <c r="SI255">
        <v>0.995</v>
      </c>
      <c r="SJ255">
        <v>0.995</v>
      </c>
      <c r="SK255">
        <v>15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TB255">
        <v>0</v>
      </c>
      <c r="TC255">
        <v>0</v>
      </c>
      <c r="TD255">
        <v>7.5</v>
      </c>
      <c r="TE255" t="s">
        <v>553</v>
      </c>
      <c r="TF255" t="s">
        <v>655</v>
      </c>
      <c r="TG255" t="s">
        <v>555</v>
      </c>
      <c r="TI255" t="s">
        <v>546</v>
      </c>
      <c r="TJ255" t="s">
        <v>547</v>
      </c>
      <c r="TL255" t="s">
        <v>3054</v>
      </c>
      <c r="TM255" t="s">
        <v>513</v>
      </c>
      <c r="TN255">
        <v>0</v>
      </c>
      <c r="TO255" t="s">
        <v>557</v>
      </c>
    </row>
    <row r="256" spans="1:535">
      <c r="A256" t="s">
        <v>3192</v>
      </c>
      <c r="B256" t="s">
        <v>897</v>
      </c>
      <c r="C256" t="s">
        <v>509</v>
      </c>
      <c r="D256" t="s">
        <v>2370</v>
      </c>
      <c r="G256" t="s">
        <v>604</v>
      </c>
      <c r="I256" t="s">
        <v>628</v>
      </c>
      <c r="J256" t="s">
        <v>606</v>
      </c>
      <c r="L256" t="s">
        <v>512</v>
      </c>
      <c r="M256" t="s">
        <v>657</v>
      </c>
      <c r="N256" t="s">
        <v>513</v>
      </c>
      <c r="O256" t="s">
        <v>607</v>
      </c>
      <c r="Q256" t="s">
        <v>3193</v>
      </c>
      <c r="R256" t="s">
        <v>517</v>
      </c>
      <c r="S256" t="s">
        <v>774</v>
      </c>
      <c r="T256" t="s">
        <v>661</v>
      </c>
      <c r="U256" t="s">
        <v>686</v>
      </c>
      <c r="V256" t="s">
        <v>687</v>
      </c>
      <c r="W256" t="s">
        <v>2443</v>
      </c>
      <c r="X256" t="s">
        <v>3048</v>
      </c>
      <c r="Y256" t="s">
        <v>574</v>
      </c>
      <c r="Z256" t="s">
        <v>3194</v>
      </c>
      <c r="AA256" t="s">
        <v>3195</v>
      </c>
      <c r="AB256" t="s">
        <v>3196</v>
      </c>
      <c r="AC256">
        <v>2</v>
      </c>
      <c r="AD256">
        <v>57</v>
      </c>
      <c r="AE256">
        <v>210</v>
      </c>
      <c r="AF256">
        <v>1.5</v>
      </c>
      <c r="AH256">
        <v>0</v>
      </c>
      <c r="AI256" t="s">
        <v>764</v>
      </c>
      <c r="AJ256">
        <v>190</v>
      </c>
      <c r="AK256">
        <v>1</v>
      </c>
      <c r="AL256">
        <v>1.5</v>
      </c>
      <c r="AM256" t="s">
        <v>579</v>
      </c>
      <c r="AN256" t="s">
        <v>693</v>
      </c>
      <c r="AO256">
        <v>2</v>
      </c>
      <c r="AP256" t="s">
        <v>581</v>
      </c>
      <c r="AQ256" t="s">
        <v>582</v>
      </c>
      <c r="AR256">
        <v>230</v>
      </c>
      <c r="AS256">
        <v>1.5</v>
      </c>
      <c r="AT256" t="s">
        <v>583</v>
      </c>
      <c r="AV256" t="s">
        <v>3197</v>
      </c>
      <c r="AW256" t="s">
        <v>3197</v>
      </c>
      <c r="AX256">
        <v>1</v>
      </c>
      <c r="AY256">
        <v>280</v>
      </c>
      <c r="AZ256">
        <v>1.5</v>
      </c>
      <c r="BA256" t="s">
        <v>579</v>
      </c>
      <c r="BG256">
        <v>1.5</v>
      </c>
      <c r="BJ256">
        <v>0</v>
      </c>
      <c r="BN256">
        <v>1.5</v>
      </c>
      <c r="BP256" t="s">
        <v>3198</v>
      </c>
      <c r="BQ256">
        <v>89</v>
      </c>
      <c r="BR256">
        <v>2</v>
      </c>
      <c r="BS256" t="s">
        <v>1362</v>
      </c>
      <c r="BT256">
        <v>207</v>
      </c>
      <c r="BU256">
        <v>0.5</v>
      </c>
      <c r="BV256" t="s">
        <v>1362</v>
      </c>
      <c r="BW256">
        <v>414</v>
      </c>
      <c r="BX256">
        <v>1</v>
      </c>
      <c r="BY256" t="s">
        <v>698</v>
      </c>
      <c r="BZ256">
        <v>470</v>
      </c>
      <c r="CA256">
        <v>530</v>
      </c>
      <c r="CB256" t="s">
        <v>699</v>
      </c>
      <c r="CC256" t="s">
        <v>699</v>
      </c>
      <c r="CD256">
        <v>430</v>
      </c>
      <c r="CE256" t="s">
        <v>700</v>
      </c>
      <c r="CF256">
        <v>15</v>
      </c>
      <c r="CG256" t="s">
        <v>1762</v>
      </c>
      <c r="CH256" t="s">
        <v>1762</v>
      </c>
      <c r="CI256">
        <v>30</v>
      </c>
      <c r="CJ256">
        <v>1458</v>
      </c>
      <c r="CK256">
        <v>2</v>
      </c>
      <c r="CL256">
        <v>1552</v>
      </c>
      <c r="CM256">
        <v>2</v>
      </c>
      <c r="CN256" t="s">
        <v>702</v>
      </c>
      <c r="CO256" t="s">
        <v>676</v>
      </c>
      <c r="CP256" t="s">
        <v>703</v>
      </c>
      <c r="CQ256" t="s">
        <v>860</v>
      </c>
      <c r="CR256" t="s">
        <v>650</v>
      </c>
      <c r="CS256" t="s">
        <v>542</v>
      </c>
      <c r="CT256">
        <v>380</v>
      </c>
      <c r="CU256">
        <v>5</v>
      </c>
      <c r="CV256">
        <v>1.2</v>
      </c>
      <c r="CW256">
        <v>1475</v>
      </c>
      <c r="CX256">
        <v>794</v>
      </c>
      <c r="CY256" t="s">
        <v>705</v>
      </c>
      <c r="CZ256">
        <v>50</v>
      </c>
      <c r="DA256">
        <v>3</v>
      </c>
      <c r="DB256">
        <v>1</v>
      </c>
      <c r="DC256">
        <v>1475</v>
      </c>
      <c r="DD256">
        <v>77</v>
      </c>
      <c r="DE256" t="s">
        <v>543</v>
      </c>
      <c r="DF256">
        <v>560</v>
      </c>
      <c r="DG256">
        <v>3</v>
      </c>
      <c r="DH256">
        <v>1.18</v>
      </c>
      <c r="DI256">
        <v>1468</v>
      </c>
      <c r="DJ256">
        <v>1358</v>
      </c>
      <c r="DW256" t="s">
        <v>544</v>
      </c>
      <c r="DX256">
        <v>7.5</v>
      </c>
      <c r="EA256">
        <v>1539.3</v>
      </c>
      <c r="EB256">
        <v>272</v>
      </c>
      <c r="EC256" t="s">
        <v>545</v>
      </c>
      <c r="ED256">
        <v>25</v>
      </c>
      <c r="EE256">
        <v>3</v>
      </c>
      <c r="EG256">
        <v>1580</v>
      </c>
      <c r="EH256">
        <v>150</v>
      </c>
      <c r="EJ256">
        <v>0</v>
      </c>
      <c r="EK256">
        <v>1</v>
      </c>
      <c r="EN256">
        <v>0</v>
      </c>
      <c r="EP256" t="s">
        <v>546</v>
      </c>
      <c r="EQ256">
        <v>97</v>
      </c>
      <c r="ER256">
        <v>3</v>
      </c>
      <c r="ES256">
        <v>6</v>
      </c>
      <c r="ET256">
        <v>1457</v>
      </c>
      <c r="EU256">
        <v>454.7</v>
      </c>
      <c r="EV256">
        <v>662</v>
      </c>
      <c r="EW256" t="s">
        <v>547</v>
      </c>
      <c r="EX256">
        <v>43</v>
      </c>
      <c r="EY256">
        <v>2</v>
      </c>
      <c r="EZ256">
        <v>4.7</v>
      </c>
      <c r="FA256">
        <v>1457</v>
      </c>
      <c r="FB256">
        <v>152</v>
      </c>
      <c r="FC256">
        <v>221</v>
      </c>
      <c r="FE256">
        <v>0</v>
      </c>
      <c r="FF256">
        <v>2</v>
      </c>
      <c r="FI256">
        <v>0</v>
      </c>
      <c r="FK256" t="s">
        <v>548</v>
      </c>
      <c r="FL256">
        <v>0.4</v>
      </c>
      <c r="FM256">
        <v>30</v>
      </c>
      <c r="FN256">
        <v>380</v>
      </c>
      <c r="FO256">
        <v>80</v>
      </c>
      <c r="FP256">
        <v>140</v>
      </c>
      <c r="FR256" t="s">
        <v>548</v>
      </c>
      <c r="FS256">
        <v>0.4</v>
      </c>
      <c r="FT256">
        <v>30</v>
      </c>
      <c r="FU256">
        <v>260</v>
      </c>
      <c r="FY256" t="s">
        <v>651</v>
      </c>
      <c r="FZ256">
        <v>1</v>
      </c>
      <c r="GA256">
        <v>20</v>
      </c>
      <c r="GB256">
        <v>166</v>
      </c>
      <c r="GG256" t="s">
        <v>651</v>
      </c>
      <c r="GH256">
        <v>1</v>
      </c>
      <c r="GI256">
        <v>20</v>
      </c>
      <c r="GJ256">
        <v>166</v>
      </c>
      <c r="HC256">
        <v>0.1</v>
      </c>
      <c r="HD256">
        <v>3</v>
      </c>
      <c r="HE256">
        <v>3</v>
      </c>
      <c r="HF256">
        <v>3</v>
      </c>
      <c r="HG256">
        <v>3</v>
      </c>
      <c r="HH256">
        <v>3</v>
      </c>
      <c r="HI256">
        <v>125</v>
      </c>
      <c r="HJ256">
        <v>3</v>
      </c>
      <c r="HK256">
        <v>28</v>
      </c>
      <c r="HL256">
        <v>2</v>
      </c>
      <c r="HM256">
        <v>0</v>
      </c>
      <c r="HN256">
        <v>2</v>
      </c>
      <c r="HO256">
        <v>82</v>
      </c>
      <c r="HP256">
        <v>3</v>
      </c>
      <c r="HQ256">
        <v>0</v>
      </c>
      <c r="HR256">
        <v>2</v>
      </c>
      <c r="HS256">
        <v>4916</v>
      </c>
      <c r="HT256">
        <v>150</v>
      </c>
      <c r="HU256">
        <v>180</v>
      </c>
      <c r="HW256">
        <v>0</v>
      </c>
      <c r="HX256">
        <v>470</v>
      </c>
      <c r="HY256">
        <v>0.18</v>
      </c>
      <c r="IA256">
        <v>0.15</v>
      </c>
      <c r="IB256">
        <v>0</v>
      </c>
      <c r="IC256">
        <v>180</v>
      </c>
      <c r="ID256">
        <v>110</v>
      </c>
      <c r="IE256">
        <v>0</v>
      </c>
      <c r="IF256">
        <v>0</v>
      </c>
      <c r="IH256" t="s">
        <v>549</v>
      </c>
      <c r="IO256">
        <v>1</v>
      </c>
      <c r="IP256">
        <v>19</v>
      </c>
      <c r="IQ256">
        <v>0</v>
      </c>
      <c r="IR256">
        <v>0</v>
      </c>
      <c r="IV256">
        <v>1458</v>
      </c>
      <c r="IW256">
        <v>414</v>
      </c>
      <c r="JA256">
        <v>1</v>
      </c>
      <c r="JB256">
        <v>0</v>
      </c>
      <c r="JC256">
        <v>2</v>
      </c>
      <c r="JD256">
        <v>1475</v>
      </c>
      <c r="JE256">
        <v>1468</v>
      </c>
      <c r="JF256">
        <v>0</v>
      </c>
      <c r="JG256">
        <v>1457</v>
      </c>
      <c r="JH256">
        <v>0</v>
      </c>
      <c r="JJ256">
        <v>180</v>
      </c>
      <c r="JK256">
        <v>470</v>
      </c>
      <c r="JN256">
        <v>380</v>
      </c>
      <c r="JO256">
        <v>560</v>
      </c>
      <c r="JP256">
        <v>0</v>
      </c>
      <c r="JQ256">
        <v>0</v>
      </c>
      <c r="JR256">
        <v>420</v>
      </c>
      <c r="JS256">
        <v>125</v>
      </c>
      <c r="JV256">
        <v>8</v>
      </c>
      <c r="JW256" t="s">
        <v>550</v>
      </c>
      <c r="JX256">
        <v>460</v>
      </c>
      <c r="KA256">
        <v>0</v>
      </c>
      <c r="KB256">
        <v>110</v>
      </c>
      <c r="KC256">
        <v>0</v>
      </c>
      <c r="KD256">
        <v>80</v>
      </c>
      <c r="KF256">
        <v>4</v>
      </c>
      <c r="KG256">
        <v>4</v>
      </c>
      <c r="KH256">
        <v>2</v>
      </c>
      <c r="KI256">
        <v>2</v>
      </c>
      <c r="KJ256">
        <v>0</v>
      </c>
      <c r="KK256">
        <v>1.5</v>
      </c>
      <c r="KL256">
        <v>1.5</v>
      </c>
      <c r="KM256">
        <v>0</v>
      </c>
      <c r="KN256">
        <v>0</v>
      </c>
      <c r="KO256">
        <v>0</v>
      </c>
      <c r="KR256">
        <v>30</v>
      </c>
      <c r="KS256">
        <v>60</v>
      </c>
      <c r="KT256">
        <v>0</v>
      </c>
      <c r="LK256">
        <v>480</v>
      </c>
      <c r="PG256">
        <v>1</v>
      </c>
      <c r="PI256" t="s">
        <v>3196</v>
      </c>
      <c r="PJ256" t="s">
        <v>3197</v>
      </c>
      <c r="PL256" t="s">
        <v>764</v>
      </c>
      <c r="PP256" t="s">
        <v>3198</v>
      </c>
      <c r="PS256" t="s">
        <v>693</v>
      </c>
      <c r="PX256">
        <v>56</v>
      </c>
      <c r="PY256">
        <v>57</v>
      </c>
      <c r="PZ256" t="s">
        <v>3196</v>
      </c>
      <c r="QA256">
        <v>2</v>
      </c>
      <c r="QB256">
        <v>1457</v>
      </c>
      <c r="QC256">
        <v>69</v>
      </c>
      <c r="QD256">
        <v>69</v>
      </c>
      <c r="QE256" t="s">
        <v>764</v>
      </c>
      <c r="QF256">
        <v>1</v>
      </c>
      <c r="QG256">
        <v>1475</v>
      </c>
      <c r="QH256">
        <v>66</v>
      </c>
      <c r="QI256">
        <v>66</v>
      </c>
      <c r="QJ256" t="s">
        <v>693</v>
      </c>
      <c r="QK256">
        <v>1</v>
      </c>
      <c r="QL256">
        <v>1475</v>
      </c>
      <c r="QM256">
        <v>63</v>
      </c>
      <c r="QN256">
        <v>63</v>
      </c>
      <c r="QO256" t="s">
        <v>3197</v>
      </c>
      <c r="QP256">
        <v>1</v>
      </c>
      <c r="QQ256">
        <v>1468</v>
      </c>
      <c r="QW256">
        <v>82</v>
      </c>
      <c r="QX256">
        <v>89</v>
      </c>
      <c r="QY256" t="s">
        <v>3198</v>
      </c>
      <c r="QZ256">
        <v>1</v>
      </c>
      <c r="RA256">
        <v>66</v>
      </c>
      <c r="RB256">
        <v>66</v>
      </c>
      <c r="RE256">
        <v>0</v>
      </c>
      <c r="RG256">
        <v>1</v>
      </c>
      <c r="RJ256">
        <v>1</v>
      </c>
      <c r="RK256">
        <v>2</v>
      </c>
      <c r="RL256">
        <v>2</v>
      </c>
      <c r="RO256">
        <v>538</v>
      </c>
      <c r="RP256">
        <v>105</v>
      </c>
      <c r="RQ256">
        <v>925</v>
      </c>
      <c r="RT256">
        <v>272</v>
      </c>
      <c r="RU256">
        <v>150</v>
      </c>
      <c r="RV256" t="s">
        <v>1363</v>
      </c>
      <c r="RW256" t="s">
        <v>707</v>
      </c>
      <c r="RX256">
        <v>15</v>
      </c>
      <c r="RY256">
        <v>4</v>
      </c>
      <c r="RZ256" t="s">
        <v>707</v>
      </c>
      <c r="SA256">
        <v>15</v>
      </c>
      <c r="SB256" t="s">
        <v>3199</v>
      </c>
      <c r="SC256" t="s">
        <v>3199</v>
      </c>
      <c r="SD256">
        <v>1</v>
      </c>
      <c r="SH256">
        <v>0.995</v>
      </c>
      <c r="SI256">
        <v>0.995</v>
      </c>
      <c r="SJ256">
        <v>0.995</v>
      </c>
      <c r="SK256">
        <v>15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1</v>
      </c>
      <c r="TB256">
        <v>0</v>
      </c>
      <c r="TC256">
        <v>0</v>
      </c>
      <c r="TD256">
        <v>7.5</v>
      </c>
      <c r="TE256" t="s">
        <v>553</v>
      </c>
      <c r="TF256" t="s">
        <v>624</v>
      </c>
      <c r="TG256" t="s">
        <v>555</v>
      </c>
      <c r="TI256" t="s">
        <v>546</v>
      </c>
      <c r="TJ256" t="s">
        <v>547</v>
      </c>
      <c r="TL256" t="s">
        <v>3054</v>
      </c>
      <c r="TM256" t="s">
        <v>513</v>
      </c>
      <c r="TN256">
        <v>0</v>
      </c>
      <c r="TO256" t="s">
        <v>557</v>
      </c>
    </row>
    <row r="257" spans="1:535">
      <c r="A257" t="s">
        <v>3200</v>
      </c>
      <c r="B257" t="s">
        <v>897</v>
      </c>
      <c r="C257" t="s">
        <v>509</v>
      </c>
      <c r="D257" t="s">
        <v>3201</v>
      </c>
      <c r="G257" t="s">
        <v>604</v>
      </c>
      <c r="H257" t="s">
        <v>605</v>
      </c>
      <c r="I257" t="s">
        <v>628</v>
      </c>
      <c r="J257" t="s">
        <v>606</v>
      </c>
      <c r="L257" t="s">
        <v>512</v>
      </c>
      <c r="M257" t="s">
        <v>657</v>
      </c>
      <c r="N257" t="s">
        <v>513</v>
      </c>
      <c r="O257" t="s">
        <v>607</v>
      </c>
      <c r="Q257" t="s">
        <v>3202</v>
      </c>
      <c r="R257" t="s">
        <v>517</v>
      </c>
      <c r="S257" t="s">
        <v>713</v>
      </c>
      <c r="T257" t="s">
        <v>714</v>
      </c>
      <c r="U257" t="s">
        <v>570</v>
      </c>
      <c r="V257" t="s">
        <v>571</v>
      </c>
      <c r="W257" t="s">
        <v>1367</v>
      </c>
      <c r="X257" t="s">
        <v>3058</v>
      </c>
      <c r="Y257" t="s">
        <v>524</v>
      </c>
      <c r="Z257" t="s">
        <v>3203</v>
      </c>
      <c r="AA257" t="s">
        <v>3204</v>
      </c>
      <c r="AB257" t="s">
        <v>3205</v>
      </c>
      <c r="AC257">
        <v>2</v>
      </c>
      <c r="AD257">
        <v>57</v>
      </c>
      <c r="AE257">
        <v>199</v>
      </c>
      <c r="AF257">
        <v>1.5</v>
      </c>
      <c r="AH257">
        <v>0</v>
      </c>
      <c r="AI257" t="s">
        <v>734</v>
      </c>
      <c r="AJ257">
        <v>180</v>
      </c>
      <c r="AK257">
        <v>1</v>
      </c>
      <c r="AL257">
        <v>1.5</v>
      </c>
      <c r="AM257" t="s">
        <v>579</v>
      </c>
      <c r="AN257" t="s">
        <v>693</v>
      </c>
      <c r="AO257">
        <v>2</v>
      </c>
      <c r="AP257" t="s">
        <v>581</v>
      </c>
      <c r="AQ257" t="s">
        <v>582</v>
      </c>
      <c r="AR257">
        <v>218</v>
      </c>
      <c r="AS257">
        <v>1.5</v>
      </c>
      <c r="AT257" t="s">
        <v>583</v>
      </c>
      <c r="AV257" t="s">
        <v>3206</v>
      </c>
      <c r="AW257" t="s">
        <v>3206</v>
      </c>
      <c r="AX257">
        <v>1</v>
      </c>
      <c r="AY257">
        <v>260</v>
      </c>
      <c r="AZ257">
        <v>1.5</v>
      </c>
      <c r="BA257" t="s">
        <v>579</v>
      </c>
      <c r="BG257">
        <v>1.5</v>
      </c>
      <c r="BJ257">
        <v>0</v>
      </c>
      <c r="BN257">
        <v>1.5</v>
      </c>
      <c r="BP257" t="s">
        <v>3207</v>
      </c>
      <c r="BQ257" t="s">
        <v>587</v>
      </c>
      <c r="BR257">
        <v>2</v>
      </c>
      <c r="BS257" t="s">
        <v>3208</v>
      </c>
      <c r="BT257">
        <v>198</v>
      </c>
      <c r="BU257">
        <v>0.5</v>
      </c>
      <c r="BV257" t="s">
        <v>3208</v>
      </c>
      <c r="BW257">
        <v>396</v>
      </c>
      <c r="BX257">
        <v>1</v>
      </c>
      <c r="BY257" t="s">
        <v>589</v>
      </c>
      <c r="BZ257">
        <v>300</v>
      </c>
      <c r="CA257">
        <v>460</v>
      </c>
      <c r="CB257" t="s">
        <v>590</v>
      </c>
      <c r="CC257" t="s">
        <v>590</v>
      </c>
      <c r="CD257">
        <v>420</v>
      </c>
      <c r="CE257" t="s">
        <v>591</v>
      </c>
      <c r="CF257">
        <v>15</v>
      </c>
      <c r="CG257" t="s">
        <v>1375</v>
      </c>
      <c r="CH257" t="s">
        <v>1375</v>
      </c>
      <c r="CI257">
        <v>80</v>
      </c>
      <c r="CJ257">
        <v>1538</v>
      </c>
      <c r="CK257">
        <v>2</v>
      </c>
      <c r="CL257">
        <v>1632</v>
      </c>
      <c r="CM257">
        <v>2</v>
      </c>
      <c r="CN257" t="s">
        <v>593</v>
      </c>
      <c r="CO257" t="s">
        <v>594</v>
      </c>
      <c r="CP257" t="s">
        <v>595</v>
      </c>
      <c r="CQ257" t="s">
        <v>860</v>
      </c>
      <c r="CR257" t="s">
        <v>650</v>
      </c>
      <c r="CS257" t="s">
        <v>542</v>
      </c>
      <c r="CT257">
        <v>360</v>
      </c>
      <c r="CU257">
        <v>5</v>
      </c>
      <c r="CV257">
        <v>1.2</v>
      </c>
      <c r="CW257">
        <v>1554</v>
      </c>
      <c r="CX257">
        <v>791</v>
      </c>
      <c r="CY257" t="s">
        <v>705</v>
      </c>
      <c r="CZ257">
        <v>50</v>
      </c>
      <c r="DA257">
        <v>3</v>
      </c>
      <c r="DB257">
        <v>1</v>
      </c>
      <c r="DC257">
        <v>1554</v>
      </c>
      <c r="DD257">
        <v>82</v>
      </c>
      <c r="DE257" t="s">
        <v>948</v>
      </c>
      <c r="DF257">
        <v>520</v>
      </c>
      <c r="DG257">
        <v>3</v>
      </c>
      <c r="DH257">
        <v>1.22</v>
      </c>
      <c r="DI257">
        <v>1548</v>
      </c>
      <c r="DJ257">
        <v>1404</v>
      </c>
      <c r="DW257" t="s">
        <v>544</v>
      </c>
      <c r="DX257">
        <v>7.5</v>
      </c>
      <c r="EA257">
        <v>1620.6</v>
      </c>
      <c r="EB257">
        <v>286</v>
      </c>
      <c r="EC257" t="s">
        <v>545</v>
      </c>
      <c r="ED257">
        <v>30</v>
      </c>
      <c r="EE257">
        <v>3</v>
      </c>
      <c r="EG257">
        <v>1661</v>
      </c>
      <c r="EH257">
        <v>196</v>
      </c>
      <c r="EJ257">
        <v>0</v>
      </c>
      <c r="EK257">
        <v>1</v>
      </c>
      <c r="EN257">
        <v>0</v>
      </c>
      <c r="EP257" t="s">
        <v>546</v>
      </c>
      <c r="EQ257">
        <v>70</v>
      </c>
      <c r="ER257">
        <v>3</v>
      </c>
      <c r="ES257">
        <v>4</v>
      </c>
      <c r="ET257">
        <v>1525</v>
      </c>
      <c r="EU257">
        <v>249.1</v>
      </c>
      <c r="EV257">
        <v>380</v>
      </c>
      <c r="EW257" t="s">
        <v>547</v>
      </c>
      <c r="EX257">
        <v>45</v>
      </c>
      <c r="EY257">
        <v>2</v>
      </c>
      <c r="EZ257">
        <v>4.3</v>
      </c>
      <c r="FA257">
        <v>1525</v>
      </c>
      <c r="FB257">
        <v>140.3</v>
      </c>
      <c r="FC257">
        <v>214</v>
      </c>
      <c r="FE257">
        <v>0</v>
      </c>
      <c r="FF257">
        <v>2</v>
      </c>
      <c r="FI257">
        <v>0</v>
      </c>
      <c r="FK257" t="s">
        <v>548</v>
      </c>
      <c r="FL257">
        <v>0.4</v>
      </c>
      <c r="FM257">
        <v>45</v>
      </c>
      <c r="FN257">
        <v>330</v>
      </c>
      <c r="FO257">
        <v>50</v>
      </c>
      <c r="FP257">
        <v>150</v>
      </c>
      <c r="FR257" t="s">
        <v>548</v>
      </c>
      <c r="FS257">
        <v>0.4</v>
      </c>
      <c r="FT257">
        <v>30</v>
      </c>
      <c r="FU257">
        <v>250</v>
      </c>
      <c r="FY257" t="s">
        <v>651</v>
      </c>
      <c r="FZ257">
        <v>1.6</v>
      </c>
      <c r="GA257">
        <v>20</v>
      </c>
      <c r="GB257">
        <v>191</v>
      </c>
      <c r="GG257" t="s">
        <v>651</v>
      </c>
      <c r="GH257">
        <v>1.6</v>
      </c>
      <c r="GI257">
        <v>20</v>
      </c>
      <c r="GJ257">
        <v>191</v>
      </c>
      <c r="HC257">
        <v>0.1</v>
      </c>
      <c r="HD257">
        <v>3</v>
      </c>
      <c r="HE257">
        <v>3</v>
      </c>
      <c r="HF257">
        <v>3</v>
      </c>
      <c r="HG257">
        <v>3</v>
      </c>
      <c r="HH257">
        <v>3</v>
      </c>
      <c r="HI257">
        <v>100</v>
      </c>
      <c r="HJ257">
        <v>3</v>
      </c>
      <c r="HK257">
        <v>30</v>
      </c>
      <c r="HL257">
        <v>2</v>
      </c>
      <c r="HM257">
        <v>0</v>
      </c>
      <c r="HN257">
        <v>2</v>
      </c>
      <c r="HO257">
        <v>55</v>
      </c>
      <c r="HP257">
        <v>3</v>
      </c>
      <c r="HQ257">
        <v>0</v>
      </c>
      <c r="HR257">
        <v>2</v>
      </c>
      <c r="HS257">
        <v>4511</v>
      </c>
      <c r="HT257">
        <v>140</v>
      </c>
      <c r="HU257">
        <v>180</v>
      </c>
      <c r="HW257">
        <v>0</v>
      </c>
      <c r="HX257">
        <v>390</v>
      </c>
      <c r="HY257">
        <v>0.18</v>
      </c>
      <c r="IA257">
        <v>0.15</v>
      </c>
      <c r="IB257">
        <v>0</v>
      </c>
      <c r="IC257">
        <v>180</v>
      </c>
      <c r="ID257">
        <v>110</v>
      </c>
      <c r="IE257">
        <v>0</v>
      </c>
      <c r="IF257">
        <v>0</v>
      </c>
      <c r="IH257" t="s">
        <v>549</v>
      </c>
      <c r="IO257">
        <v>1</v>
      </c>
      <c r="IP257">
        <v>20</v>
      </c>
      <c r="IQ257">
        <v>0</v>
      </c>
      <c r="IR257">
        <v>0</v>
      </c>
      <c r="IV257">
        <v>1538</v>
      </c>
      <c r="IW257">
        <v>396</v>
      </c>
      <c r="JA257">
        <v>1</v>
      </c>
      <c r="JB257">
        <v>0</v>
      </c>
      <c r="JC257">
        <v>2</v>
      </c>
      <c r="JD257">
        <v>1554</v>
      </c>
      <c r="JE257">
        <v>1548</v>
      </c>
      <c r="JF257">
        <v>0</v>
      </c>
      <c r="JG257">
        <v>1525</v>
      </c>
      <c r="JH257">
        <v>0</v>
      </c>
      <c r="JJ257">
        <v>180</v>
      </c>
      <c r="JK257">
        <v>390</v>
      </c>
      <c r="JN257">
        <v>360</v>
      </c>
      <c r="JO257">
        <v>520</v>
      </c>
      <c r="JP257">
        <v>0</v>
      </c>
      <c r="JQ257">
        <v>0</v>
      </c>
      <c r="JR257">
        <v>398</v>
      </c>
      <c r="JS257">
        <v>100</v>
      </c>
      <c r="JV257">
        <v>8</v>
      </c>
      <c r="JW257" t="s">
        <v>550</v>
      </c>
      <c r="JX257">
        <v>436</v>
      </c>
      <c r="KA257">
        <v>0</v>
      </c>
      <c r="KB257">
        <v>110</v>
      </c>
      <c r="KC257">
        <v>0</v>
      </c>
      <c r="KD257">
        <v>80</v>
      </c>
      <c r="KF257">
        <v>4</v>
      </c>
      <c r="KG257">
        <v>2</v>
      </c>
      <c r="KH257">
        <v>2</v>
      </c>
      <c r="KI257">
        <v>2</v>
      </c>
      <c r="KJ257">
        <v>0</v>
      </c>
      <c r="KK257">
        <v>1.5</v>
      </c>
      <c r="KL257">
        <v>1.5</v>
      </c>
      <c r="KM257">
        <v>0</v>
      </c>
      <c r="KN257">
        <v>0</v>
      </c>
      <c r="KO257">
        <v>0</v>
      </c>
      <c r="KR257">
        <v>50</v>
      </c>
      <c r="KS257">
        <v>60</v>
      </c>
      <c r="KT257">
        <v>0</v>
      </c>
      <c r="LK257">
        <v>480</v>
      </c>
      <c r="PG257">
        <v>1</v>
      </c>
      <c r="PI257" t="s">
        <v>3205</v>
      </c>
      <c r="PJ257" t="s">
        <v>3206</v>
      </c>
      <c r="PL257" t="s">
        <v>734</v>
      </c>
      <c r="PP257" t="s">
        <v>3207</v>
      </c>
      <c r="PS257" t="s">
        <v>693</v>
      </c>
      <c r="PX257">
        <v>56</v>
      </c>
      <c r="PY257">
        <v>57</v>
      </c>
      <c r="PZ257" t="s">
        <v>3205</v>
      </c>
      <c r="QA257">
        <v>3</v>
      </c>
      <c r="QB257">
        <v>1525</v>
      </c>
      <c r="QC257">
        <v>69</v>
      </c>
      <c r="QD257">
        <v>69</v>
      </c>
      <c r="QE257" t="s">
        <v>734</v>
      </c>
      <c r="QF257">
        <v>1</v>
      </c>
      <c r="QG257">
        <v>1554</v>
      </c>
      <c r="QH257">
        <v>66</v>
      </c>
      <c r="QI257">
        <v>66</v>
      </c>
      <c r="QJ257" t="s">
        <v>693</v>
      </c>
      <c r="QK257">
        <v>1</v>
      </c>
      <c r="QL257">
        <v>1554</v>
      </c>
      <c r="QM257">
        <v>63</v>
      </c>
      <c r="QN257">
        <v>63</v>
      </c>
      <c r="QO257" t="s">
        <v>3206</v>
      </c>
      <c r="QP257">
        <v>1</v>
      </c>
      <c r="QQ257">
        <v>1548</v>
      </c>
      <c r="QW257">
        <v>82</v>
      </c>
      <c r="QX257" t="s">
        <v>587</v>
      </c>
      <c r="QY257" t="s">
        <v>3207</v>
      </c>
      <c r="QZ257">
        <v>1</v>
      </c>
      <c r="RA257">
        <v>66</v>
      </c>
      <c r="RB257">
        <v>66</v>
      </c>
      <c r="RE257">
        <v>0</v>
      </c>
      <c r="RG257">
        <v>1</v>
      </c>
      <c r="RJ257">
        <v>1</v>
      </c>
      <c r="RK257">
        <v>2</v>
      </c>
      <c r="RL257">
        <v>2</v>
      </c>
      <c r="RO257">
        <v>509</v>
      </c>
      <c r="RP257">
        <v>105</v>
      </c>
      <c r="RQ257">
        <v>907</v>
      </c>
      <c r="RT257">
        <v>286</v>
      </c>
      <c r="RU257">
        <v>196</v>
      </c>
      <c r="RV257" t="s">
        <v>3209</v>
      </c>
      <c r="RW257" t="s">
        <v>599</v>
      </c>
      <c r="RX257">
        <v>15</v>
      </c>
      <c r="RY257">
        <v>4</v>
      </c>
      <c r="RZ257" t="s">
        <v>599</v>
      </c>
      <c r="SA257">
        <v>15</v>
      </c>
      <c r="SB257" t="s">
        <v>3210</v>
      </c>
      <c r="SC257" t="s">
        <v>3210</v>
      </c>
      <c r="SD257">
        <v>1</v>
      </c>
      <c r="SH257">
        <v>0.995</v>
      </c>
      <c r="SI257">
        <v>0.995</v>
      </c>
      <c r="SJ257">
        <v>0.995</v>
      </c>
      <c r="SK257">
        <v>15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1</v>
      </c>
      <c r="TB257">
        <v>0</v>
      </c>
      <c r="TC257">
        <v>0</v>
      </c>
      <c r="TD257">
        <v>7.5</v>
      </c>
      <c r="TE257" t="s">
        <v>553</v>
      </c>
      <c r="TF257" t="s">
        <v>624</v>
      </c>
      <c r="TG257" t="s">
        <v>555</v>
      </c>
      <c r="TI257" t="s">
        <v>546</v>
      </c>
      <c r="TJ257" t="s">
        <v>547</v>
      </c>
      <c r="TL257" t="s">
        <v>3054</v>
      </c>
      <c r="TM257" t="s">
        <v>513</v>
      </c>
      <c r="TN257">
        <v>0</v>
      </c>
      <c r="TO257" t="s">
        <v>601</v>
      </c>
    </row>
    <row r="258" spans="1:535">
      <c r="A258" t="s">
        <v>3211</v>
      </c>
      <c r="B258" t="s">
        <v>729</v>
      </c>
      <c r="C258" t="s">
        <v>509</v>
      </c>
      <c r="D258" t="s">
        <v>3157</v>
      </c>
      <c r="G258" t="s">
        <v>604</v>
      </c>
      <c r="H258" t="s">
        <v>605</v>
      </c>
      <c r="I258" t="s">
        <v>628</v>
      </c>
      <c r="J258" t="s">
        <v>606</v>
      </c>
      <c r="L258" t="s">
        <v>512</v>
      </c>
      <c r="M258" t="s">
        <v>897</v>
      </c>
      <c r="N258" t="s">
        <v>513</v>
      </c>
      <c r="O258" t="s">
        <v>607</v>
      </c>
      <c r="Q258" t="s">
        <v>3212</v>
      </c>
      <c r="R258" t="s">
        <v>517</v>
      </c>
      <c r="S258" t="s">
        <v>1609</v>
      </c>
      <c r="T258" t="s">
        <v>1554</v>
      </c>
      <c r="U258" t="s">
        <v>1457</v>
      </c>
      <c r="V258" t="s">
        <v>1458</v>
      </c>
      <c r="W258" t="s">
        <v>2382</v>
      </c>
      <c r="X258" t="s">
        <v>3048</v>
      </c>
      <c r="Y258" t="s">
        <v>524</v>
      </c>
      <c r="Z258" t="s">
        <v>3213</v>
      </c>
      <c r="AA258" t="s">
        <v>3214</v>
      </c>
      <c r="AB258" t="s">
        <v>1612</v>
      </c>
      <c r="AC258">
        <v>2</v>
      </c>
      <c r="AD258">
        <v>57</v>
      </c>
      <c r="AE258">
        <v>158</v>
      </c>
      <c r="AF258">
        <v>1.5</v>
      </c>
      <c r="AH258">
        <v>0</v>
      </c>
      <c r="AI258" t="s">
        <v>1559</v>
      </c>
      <c r="AJ258">
        <v>167.5</v>
      </c>
      <c r="AK258">
        <v>1</v>
      </c>
      <c r="AL258">
        <v>1.5</v>
      </c>
      <c r="AM258" t="s">
        <v>529</v>
      </c>
      <c r="AO258">
        <v>0</v>
      </c>
      <c r="AR258">
        <v>0</v>
      </c>
      <c r="AS258">
        <v>1.5</v>
      </c>
      <c r="AU258" t="s">
        <v>3215</v>
      </c>
      <c r="AW258" t="s">
        <v>3215</v>
      </c>
      <c r="AX258">
        <v>1</v>
      </c>
      <c r="AY258">
        <v>242.5</v>
      </c>
      <c r="AZ258">
        <v>1.5</v>
      </c>
      <c r="BA258" t="s">
        <v>529</v>
      </c>
      <c r="BG258">
        <v>1.5</v>
      </c>
      <c r="BJ258">
        <v>0</v>
      </c>
      <c r="BN258">
        <v>1.5</v>
      </c>
      <c r="BP258" t="s">
        <v>3216</v>
      </c>
      <c r="BQ258">
        <v>89</v>
      </c>
      <c r="BR258">
        <v>2</v>
      </c>
      <c r="BS258" t="s">
        <v>1898</v>
      </c>
      <c r="BT258">
        <v>180</v>
      </c>
      <c r="BU258">
        <v>0.5</v>
      </c>
      <c r="BV258" t="s">
        <v>1898</v>
      </c>
      <c r="BW258">
        <v>360</v>
      </c>
      <c r="BX258">
        <v>1</v>
      </c>
      <c r="BY258" t="s">
        <v>1468</v>
      </c>
      <c r="BZ258">
        <v>300</v>
      </c>
      <c r="CA258">
        <v>440</v>
      </c>
      <c r="CB258" t="s">
        <v>1469</v>
      </c>
      <c r="CC258" t="s">
        <v>1469</v>
      </c>
      <c r="CD258">
        <v>374</v>
      </c>
      <c r="CE258" t="s">
        <v>1470</v>
      </c>
      <c r="CF258">
        <v>15</v>
      </c>
      <c r="CG258" t="s">
        <v>1550</v>
      </c>
      <c r="CH258" t="s">
        <v>1550</v>
      </c>
      <c r="CI258">
        <v>70</v>
      </c>
      <c r="CJ258">
        <v>1050</v>
      </c>
      <c r="CK258">
        <v>2</v>
      </c>
      <c r="CL258">
        <v>1144</v>
      </c>
      <c r="CM258">
        <v>2</v>
      </c>
      <c r="CN258" t="s">
        <v>1472</v>
      </c>
      <c r="CO258" t="s">
        <v>1473</v>
      </c>
      <c r="CP258" t="s">
        <v>1474</v>
      </c>
      <c r="CQ258" t="s">
        <v>540</v>
      </c>
      <c r="CR258" t="s">
        <v>541</v>
      </c>
      <c r="CS258" t="s">
        <v>542</v>
      </c>
      <c r="CT258">
        <v>335</v>
      </c>
      <c r="CU258">
        <v>5</v>
      </c>
      <c r="CV258">
        <v>1.2</v>
      </c>
      <c r="CW258">
        <v>1064</v>
      </c>
      <c r="CX258">
        <v>504</v>
      </c>
      <c r="DD258">
        <v>0</v>
      </c>
      <c r="DE258" t="s">
        <v>543</v>
      </c>
      <c r="DF258">
        <v>485</v>
      </c>
      <c r="DG258">
        <v>3</v>
      </c>
      <c r="DH258">
        <v>1.18</v>
      </c>
      <c r="DI258">
        <v>1062</v>
      </c>
      <c r="DJ258">
        <v>828</v>
      </c>
      <c r="DW258" t="s">
        <v>544</v>
      </c>
      <c r="DX258">
        <v>7.5</v>
      </c>
      <c r="EA258">
        <v>1123</v>
      </c>
      <c r="EB258">
        <v>147</v>
      </c>
      <c r="EC258" t="s">
        <v>545</v>
      </c>
      <c r="ED258">
        <v>30</v>
      </c>
      <c r="EE258">
        <v>3</v>
      </c>
      <c r="EG258">
        <v>1154</v>
      </c>
      <c r="EH258">
        <v>135</v>
      </c>
      <c r="EJ258">
        <v>0</v>
      </c>
      <c r="EK258">
        <v>1</v>
      </c>
      <c r="EN258">
        <v>0</v>
      </c>
      <c r="EP258" t="s">
        <v>546</v>
      </c>
      <c r="EQ258">
        <v>95</v>
      </c>
      <c r="ER258">
        <v>3</v>
      </c>
      <c r="ES258">
        <v>5</v>
      </c>
      <c r="ET258">
        <v>1045</v>
      </c>
      <c r="EU258">
        <v>375.7</v>
      </c>
      <c r="EV258">
        <v>393</v>
      </c>
      <c r="EW258" t="s">
        <v>547</v>
      </c>
      <c r="EX258">
        <v>70</v>
      </c>
      <c r="EY258">
        <v>2</v>
      </c>
      <c r="EZ258">
        <v>4.3</v>
      </c>
      <c r="FA258">
        <v>1045</v>
      </c>
      <c r="FB258">
        <v>208.3</v>
      </c>
      <c r="FC258">
        <v>218</v>
      </c>
      <c r="FE258">
        <v>0</v>
      </c>
      <c r="FF258">
        <v>2</v>
      </c>
      <c r="FI258">
        <v>0</v>
      </c>
      <c r="FK258" t="s">
        <v>548</v>
      </c>
      <c r="FL258">
        <v>0.4</v>
      </c>
      <c r="FM258">
        <v>80</v>
      </c>
      <c r="FN258">
        <v>120</v>
      </c>
      <c r="FR258" t="s">
        <v>548</v>
      </c>
      <c r="FS258">
        <v>0.4</v>
      </c>
      <c r="FT258">
        <v>30</v>
      </c>
      <c r="FU258">
        <v>320</v>
      </c>
      <c r="FV258">
        <v>30</v>
      </c>
      <c r="FW258">
        <v>210</v>
      </c>
      <c r="HC258">
        <v>0.1</v>
      </c>
      <c r="HD258">
        <v>3</v>
      </c>
      <c r="HE258">
        <v>3</v>
      </c>
      <c r="HF258">
        <v>3</v>
      </c>
      <c r="HG258">
        <v>3</v>
      </c>
      <c r="HH258">
        <v>3</v>
      </c>
      <c r="HI258">
        <v>150</v>
      </c>
      <c r="HJ258">
        <v>3</v>
      </c>
      <c r="HK258">
        <v>55</v>
      </c>
      <c r="HL258">
        <v>2</v>
      </c>
      <c r="HM258">
        <v>0</v>
      </c>
      <c r="HN258">
        <v>2</v>
      </c>
      <c r="HO258">
        <v>80</v>
      </c>
      <c r="HP258">
        <v>3</v>
      </c>
      <c r="HQ258">
        <v>0</v>
      </c>
      <c r="HR258">
        <v>2</v>
      </c>
      <c r="HS258">
        <v>3118</v>
      </c>
      <c r="HT258">
        <v>90</v>
      </c>
      <c r="HU258">
        <v>180</v>
      </c>
      <c r="HW258">
        <v>0</v>
      </c>
      <c r="HX258">
        <v>365</v>
      </c>
      <c r="HY258">
        <v>0.18</v>
      </c>
      <c r="IA258">
        <v>0.15</v>
      </c>
      <c r="IB258">
        <v>0</v>
      </c>
      <c r="IC258">
        <v>180</v>
      </c>
      <c r="ID258">
        <v>110</v>
      </c>
      <c r="IE258">
        <v>0</v>
      </c>
      <c r="IF258">
        <v>0</v>
      </c>
      <c r="IH258" t="s">
        <v>549</v>
      </c>
      <c r="IO258">
        <v>1</v>
      </c>
      <c r="IP258">
        <v>14</v>
      </c>
      <c r="IQ258">
        <v>0</v>
      </c>
      <c r="IR258">
        <v>1</v>
      </c>
      <c r="IV258">
        <v>1050</v>
      </c>
      <c r="IW258">
        <v>360</v>
      </c>
      <c r="JA258">
        <v>1</v>
      </c>
      <c r="JB258">
        <v>0</v>
      </c>
      <c r="JC258">
        <v>2</v>
      </c>
      <c r="JD258">
        <v>1064</v>
      </c>
      <c r="JE258">
        <v>1062</v>
      </c>
      <c r="JF258">
        <v>0</v>
      </c>
      <c r="JG258">
        <v>1045</v>
      </c>
      <c r="JH258">
        <v>0</v>
      </c>
      <c r="JJ258">
        <v>180</v>
      </c>
      <c r="JK258">
        <v>365</v>
      </c>
      <c r="JN258">
        <v>335</v>
      </c>
      <c r="JO258">
        <v>485</v>
      </c>
      <c r="JP258">
        <v>0</v>
      </c>
      <c r="JQ258">
        <v>0</v>
      </c>
      <c r="JR258">
        <v>316</v>
      </c>
      <c r="JS258">
        <v>150</v>
      </c>
      <c r="JV258">
        <v>8</v>
      </c>
      <c r="JW258" t="s">
        <v>550</v>
      </c>
      <c r="JX258">
        <v>0</v>
      </c>
      <c r="KA258">
        <v>0</v>
      </c>
      <c r="KB258">
        <v>110</v>
      </c>
      <c r="KC258">
        <v>0</v>
      </c>
      <c r="KD258">
        <v>80</v>
      </c>
      <c r="KF258">
        <v>4</v>
      </c>
      <c r="KG258">
        <v>2</v>
      </c>
      <c r="KH258">
        <v>2</v>
      </c>
      <c r="KI258">
        <v>2</v>
      </c>
      <c r="KJ258">
        <v>0</v>
      </c>
      <c r="KK258">
        <v>1.5</v>
      </c>
      <c r="KL258">
        <v>1.5</v>
      </c>
      <c r="KM258">
        <v>0</v>
      </c>
      <c r="KN258">
        <v>0</v>
      </c>
      <c r="KO258">
        <v>0</v>
      </c>
      <c r="KR258">
        <v>50</v>
      </c>
      <c r="KT258">
        <v>0</v>
      </c>
      <c r="LK258">
        <v>480</v>
      </c>
      <c r="PG258">
        <v>1</v>
      </c>
      <c r="PI258" t="s">
        <v>1612</v>
      </c>
      <c r="PJ258" t="s">
        <v>3215</v>
      </c>
      <c r="PL258" t="s">
        <v>1559</v>
      </c>
      <c r="PP258" t="s">
        <v>3216</v>
      </c>
      <c r="PX258">
        <v>56</v>
      </c>
      <c r="PY258">
        <v>57</v>
      </c>
      <c r="PZ258" t="s">
        <v>1612</v>
      </c>
      <c r="QA258">
        <v>2</v>
      </c>
      <c r="QB258">
        <v>1045</v>
      </c>
      <c r="QC258">
        <v>69</v>
      </c>
      <c r="QD258">
        <v>69</v>
      </c>
      <c r="QE258" t="s">
        <v>1559</v>
      </c>
      <c r="QF258">
        <v>1</v>
      </c>
      <c r="QG258">
        <v>1064</v>
      </c>
      <c r="QH258">
        <v>66</v>
      </c>
      <c r="QI258">
        <v>66</v>
      </c>
      <c r="QL258">
        <v>0</v>
      </c>
      <c r="QM258">
        <v>62</v>
      </c>
      <c r="QN258">
        <v>62</v>
      </c>
      <c r="QO258" t="s">
        <v>3215</v>
      </c>
      <c r="QP258">
        <v>1</v>
      </c>
      <c r="QQ258">
        <v>1062</v>
      </c>
      <c r="QW258">
        <v>82</v>
      </c>
      <c r="QX258">
        <v>89</v>
      </c>
      <c r="QY258" t="s">
        <v>3216</v>
      </c>
      <c r="QZ258">
        <v>2</v>
      </c>
      <c r="RA258">
        <v>66</v>
      </c>
      <c r="RB258">
        <v>66</v>
      </c>
      <c r="RE258">
        <v>0</v>
      </c>
      <c r="RF258">
        <v>1</v>
      </c>
      <c r="RJ258">
        <v>3</v>
      </c>
      <c r="RL258">
        <v>1</v>
      </c>
      <c r="RO258">
        <v>474</v>
      </c>
      <c r="RQ258">
        <v>780</v>
      </c>
      <c r="RT258">
        <v>147</v>
      </c>
      <c r="RU258">
        <v>135</v>
      </c>
      <c r="RV258" t="s">
        <v>1901</v>
      </c>
      <c r="RW258" t="s">
        <v>1476</v>
      </c>
      <c r="RX258">
        <v>15</v>
      </c>
      <c r="RY258">
        <v>4</v>
      </c>
      <c r="RZ258" t="s">
        <v>1476</v>
      </c>
      <c r="SA258">
        <v>15</v>
      </c>
      <c r="SC258" t="s">
        <v>3215</v>
      </c>
      <c r="SD258">
        <v>1</v>
      </c>
      <c r="SH258">
        <v>0.995</v>
      </c>
      <c r="SI258">
        <v>0.995</v>
      </c>
      <c r="SJ258">
        <v>0.995</v>
      </c>
      <c r="SK258">
        <v>15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TB258">
        <v>0</v>
      </c>
      <c r="TC258">
        <v>0</v>
      </c>
      <c r="TD258">
        <v>7.5</v>
      </c>
      <c r="TE258" t="s">
        <v>553</v>
      </c>
      <c r="TF258" t="s">
        <v>754</v>
      </c>
      <c r="TG258" t="s">
        <v>555</v>
      </c>
      <c r="TI258" t="s">
        <v>546</v>
      </c>
      <c r="TJ258" t="s">
        <v>547</v>
      </c>
      <c r="TL258" t="s">
        <v>3054</v>
      </c>
      <c r="TM258" t="s">
        <v>513</v>
      </c>
      <c r="TN258">
        <v>0</v>
      </c>
      <c r="TO258" t="s">
        <v>557</v>
      </c>
    </row>
    <row r="259" spans="1:535">
      <c r="A259" t="s">
        <v>3217</v>
      </c>
      <c r="B259" t="s">
        <v>657</v>
      </c>
      <c r="C259" t="s">
        <v>509</v>
      </c>
      <c r="D259" t="s">
        <v>2508</v>
      </c>
      <c r="G259" t="s">
        <v>627</v>
      </c>
      <c r="H259" t="s">
        <v>604</v>
      </c>
      <c r="I259" t="s">
        <v>628</v>
      </c>
      <c r="J259" t="s">
        <v>606</v>
      </c>
      <c r="L259" t="s">
        <v>512</v>
      </c>
      <c r="M259" t="s">
        <v>559</v>
      </c>
      <c r="N259" t="s">
        <v>513</v>
      </c>
      <c r="O259" t="s">
        <v>565</v>
      </c>
      <c r="Q259" t="s">
        <v>3218</v>
      </c>
      <c r="R259" t="s">
        <v>517</v>
      </c>
      <c r="S259" t="s">
        <v>1670</v>
      </c>
      <c r="T259" t="s">
        <v>1671</v>
      </c>
      <c r="U259" t="s">
        <v>1482</v>
      </c>
      <c r="V259" t="s">
        <v>1483</v>
      </c>
      <c r="W259" t="s">
        <v>3219</v>
      </c>
      <c r="X259" t="s">
        <v>3058</v>
      </c>
      <c r="Y259" t="s">
        <v>524</v>
      </c>
      <c r="Z259" t="s">
        <v>3220</v>
      </c>
      <c r="AA259" t="s">
        <v>3221</v>
      </c>
      <c r="AB259" t="s">
        <v>3222</v>
      </c>
      <c r="AC259">
        <v>2</v>
      </c>
      <c r="AD259">
        <v>57</v>
      </c>
      <c r="AE259">
        <v>199</v>
      </c>
      <c r="AF259">
        <v>1.5</v>
      </c>
      <c r="AH259">
        <v>0</v>
      </c>
      <c r="AI259" t="s">
        <v>1603</v>
      </c>
      <c r="AJ259">
        <v>210</v>
      </c>
      <c r="AK259">
        <v>1</v>
      </c>
      <c r="AL259">
        <v>1.5</v>
      </c>
      <c r="AM259" t="s">
        <v>529</v>
      </c>
      <c r="AO259">
        <v>0</v>
      </c>
      <c r="AR259">
        <v>0</v>
      </c>
      <c r="AS259">
        <v>1.5</v>
      </c>
      <c r="AU259" t="s">
        <v>3223</v>
      </c>
      <c r="AW259" t="s">
        <v>3223</v>
      </c>
      <c r="AX259">
        <v>1</v>
      </c>
      <c r="AY259">
        <v>295</v>
      </c>
      <c r="AZ259">
        <v>1.5</v>
      </c>
      <c r="BA259" t="s">
        <v>529</v>
      </c>
      <c r="BB259" t="s">
        <v>3224</v>
      </c>
      <c r="BD259" t="s">
        <v>3224</v>
      </c>
      <c r="BE259">
        <v>1</v>
      </c>
      <c r="BF259">
        <v>242.5</v>
      </c>
      <c r="BG259">
        <v>1.5</v>
      </c>
      <c r="BJ259">
        <v>0</v>
      </c>
      <c r="BN259">
        <v>1.5</v>
      </c>
      <c r="BP259" t="s">
        <v>3225</v>
      </c>
      <c r="BQ259">
        <v>88</v>
      </c>
      <c r="BR259">
        <v>2</v>
      </c>
      <c r="BS259" t="s">
        <v>3226</v>
      </c>
      <c r="BT259">
        <v>221</v>
      </c>
      <c r="BU259">
        <v>0.5</v>
      </c>
      <c r="BV259" t="s">
        <v>3226</v>
      </c>
      <c r="BW259">
        <v>442</v>
      </c>
      <c r="BX259">
        <v>1</v>
      </c>
      <c r="BY259" t="s">
        <v>1491</v>
      </c>
      <c r="BZ259">
        <v>300</v>
      </c>
      <c r="CA259">
        <v>520</v>
      </c>
      <c r="CB259" t="s">
        <v>1492</v>
      </c>
      <c r="CC259" t="s">
        <v>1492</v>
      </c>
      <c r="CD259">
        <v>450</v>
      </c>
      <c r="CE259" t="s">
        <v>1493</v>
      </c>
      <c r="CF259">
        <v>15</v>
      </c>
      <c r="CG259" t="s">
        <v>1624</v>
      </c>
      <c r="CH259" t="s">
        <v>1624</v>
      </c>
      <c r="CI259">
        <v>110</v>
      </c>
      <c r="CJ259">
        <v>1122</v>
      </c>
      <c r="CK259">
        <v>2</v>
      </c>
      <c r="CL259">
        <v>1222</v>
      </c>
      <c r="CM259">
        <v>2</v>
      </c>
      <c r="CN259" t="s">
        <v>1495</v>
      </c>
      <c r="CO259" t="s">
        <v>1473</v>
      </c>
      <c r="CP259" t="s">
        <v>1474</v>
      </c>
      <c r="CQ259" t="s">
        <v>621</v>
      </c>
      <c r="CR259" t="s">
        <v>541</v>
      </c>
      <c r="CS259" t="s">
        <v>542</v>
      </c>
      <c r="CT259">
        <v>420</v>
      </c>
      <c r="CU259">
        <v>5</v>
      </c>
      <c r="CV259">
        <v>1.3</v>
      </c>
      <c r="CW259">
        <v>1136</v>
      </c>
      <c r="CX259">
        <v>734</v>
      </c>
      <c r="DD259">
        <v>0</v>
      </c>
      <c r="DE259" t="s">
        <v>622</v>
      </c>
      <c r="DF259">
        <v>590</v>
      </c>
      <c r="DG259">
        <v>3</v>
      </c>
      <c r="DH259">
        <v>0.88</v>
      </c>
      <c r="DI259">
        <v>1133</v>
      </c>
      <c r="DJ259">
        <v>768</v>
      </c>
      <c r="DK259" t="s">
        <v>622</v>
      </c>
      <c r="DL259">
        <v>485</v>
      </c>
      <c r="DM259">
        <v>3</v>
      </c>
      <c r="DN259">
        <v>0.88</v>
      </c>
      <c r="DO259">
        <v>1139</v>
      </c>
      <c r="DP259">
        <v>636</v>
      </c>
      <c r="DW259" t="s">
        <v>544</v>
      </c>
      <c r="DX259">
        <v>7.5</v>
      </c>
      <c r="EA259">
        <v>1205.9</v>
      </c>
      <c r="EB259">
        <v>228</v>
      </c>
      <c r="EC259" t="s">
        <v>545</v>
      </c>
      <c r="ED259">
        <v>30</v>
      </c>
      <c r="EE259">
        <v>3</v>
      </c>
      <c r="EG259">
        <v>1247</v>
      </c>
      <c r="EH259">
        <v>146</v>
      </c>
      <c r="EJ259">
        <v>0</v>
      </c>
      <c r="EK259">
        <v>1</v>
      </c>
      <c r="EN259">
        <v>0</v>
      </c>
      <c r="EP259" t="s">
        <v>546</v>
      </c>
      <c r="EQ259">
        <v>130</v>
      </c>
      <c r="ER259">
        <v>3</v>
      </c>
      <c r="ES259">
        <v>5.7</v>
      </c>
      <c r="ET259">
        <v>1121</v>
      </c>
      <c r="EU259">
        <v>560.6</v>
      </c>
      <c r="EV259">
        <v>628</v>
      </c>
      <c r="EW259" t="s">
        <v>547</v>
      </c>
      <c r="EX259">
        <v>70</v>
      </c>
      <c r="EY259">
        <v>2</v>
      </c>
      <c r="EZ259">
        <v>4.3</v>
      </c>
      <c r="FA259">
        <v>1121</v>
      </c>
      <c r="FB259">
        <v>208.3</v>
      </c>
      <c r="FC259">
        <v>234</v>
      </c>
      <c r="FE259">
        <v>0</v>
      </c>
      <c r="FF259">
        <v>2</v>
      </c>
      <c r="FI259">
        <v>0</v>
      </c>
      <c r="FK259" t="s">
        <v>548</v>
      </c>
      <c r="FL259">
        <v>0.4</v>
      </c>
      <c r="FM259">
        <v>110</v>
      </c>
      <c r="FN259">
        <v>120</v>
      </c>
      <c r="GR259" t="s">
        <v>548</v>
      </c>
      <c r="GS259">
        <v>0.4</v>
      </c>
      <c r="GT259">
        <v>90</v>
      </c>
      <c r="GU259">
        <v>280</v>
      </c>
      <c r="HC259">
        <v>0.1</v>
      </c>
      <c r="HD259">
        <v>3</v>
      </c>
      <c r="HE259">
        <v>3</v>
      </c>
      <c r="HF259">
        <v>3</v>
      </c>
      <c r="HG259">
        <v>3</v>
      </c>
      <c r="HH259">
        <v>3</v>
      </c>
      <c r="HI259">
        <v>185</v>
      </c>
      <c r="HJ259">
        <v>3</v>
      </c>
      <c r="HK259">
        <v>55</v>
      </c>
      <c r="HL259">
        <v>2</v>
      </c>
      <c r="HM259">
        <v>0</v>
      </c>
      <c r="HN259">
        <v>2</v>
      </c>
      <c r="HO259">
        <v>115</v>
      </c>
      <c r="HP259">
        <v>3</v>
      </c>
      <c r="HQ259">
        <v>0</v>
      </c>
      <c r="HR259">
        <v>2</v>
      </c>
      <c r="HS259">
        <v>4610</v>
      </c>
      <c r="HT259">
        <v>140</v>
      </c>
      <c r="HU259">
        <v>180</v>
      </c>
      <c r="HW259">
        <v>0</v>
      </c>
      <c r="HX259">
        <v>500</v>
      </c>
      <c r="HY259">
        <v>0.18</v>
      </c>
      <c r="IA259">
        <v>0.15</v>
      </c>
      <c r="IB259">
        <v>0</v>
      </c>
      <c r="IC259">
        <v>180</v>
      </c>
      <c r="ID259">
        <v>110</v>
      </c>
      <c r="IE259">
        <v>225</v>
      </c>
      <c r="IF259">
        <v>0</v>
      </c>
      <c r="IH259" t="s">
        <v>549</v>
      </c>
      <c r="IO259">
        <v>3</v>
      </c>
      <c r="IP259">
        <v>15</v>
      </c>
      <c r="IQ259">
        <v>0</v>
      </c>
      <c r="IR259">
        <v>1</v>
      </c>
      <c r="IV259">
        <v>1122</v>
      </c>
      <c r="IW259">
        <v>442</v>
      </c>
      <c r="JA259">
        <v>1</v>
      </c>
      <c r="JB259">
        <v>0</v>
      </c>
      <c r="JC259">
        <v>2</v>
      </c>
      <c r="JD259">
        <v>1136</v>
      </c>
      <c r="JE259">
        <v>1133</v>
      </c>
      <c r="JF259">
        <v>1139</v>
      </c>
      <c r="JG259">
        <v>1121</v>
      </c>
      <c r="JH259">
        <v>0</v>
      </c>
      <c r="JJ259">
        <v>180</v>
      </c>
      <c r="JK259">
        <v>500</v>
      </c>
      <c r="JN259">
        <v>420</v>
      </c>
      <c r="JO259">
        <v>590</v>
      </c>
      <c r="JP259">
        <v>485</v>
      </c>
      <c r="JQ259">
        <v>0</v>
      </c>
      <c r="JR259">
        <v>398</v>
      </c>
      <c r="JS259">
        <v>185</v>
      </c>
      <c r="JV259">
        <v>8</v>
      </c>
      <c r="JW259" t="s">
        <v>550</v>
      </c>
      <c r="JX259">
        <v>0</v>
      </c>
      <c r="KA259">
        <v>225</v>
      </c>
      <c r="KB259">
        <v>110</v>
      </c>
      <c r="KC259">
        <v>0</v>
      </c>
      <c r="KD259">
        <v>80</v>
      </c>
      <c r="KF259">
        <v>4</v>
      </c>
      <c r="KG259">
        <v>4</v>
      </c>
      <c r="KH259">
        <v>2</v>
      </c>
      <c r="KI259">
        <v>2</v>
      </c>
      <c r="KJ259">
        <v>0</v>
      </c>
      <c r="KK259">
        <v>1.5</v>
      </c>
      <c r="KL259">
        <v>1.5</v>
      </c>
      <c r="KM259">
        <v>0</v>
      </c>
      <c r="KN259">
        <v>0</v>
      </c>
      <c r="KO259">
        <v>0</v>
      </c>
      <c r="KR259">
        <v>30</v>
      </c>
      <c r="KS259">
        <v>60</v>
      </c>
      <c r="KT259">
        <v>0</v>
      </c>
      <c r="LK259">
        <v>480</v>
      </c>
      <c r="PG259">
        <v>1</v>
      </c>
      <c r="PI259" t="s">
        <v>3222</v>
      </c>
      <c r="PJ259" t="s">
        <v>3223</v>
      </c>
      <c r="PK259" t="s">
        <v>3224</v>
      </c>
      <c r="PL259" t="s">
        <v>1603</v>
      </c>
      <c r="PP259" t="s">
        <v>3225</v>
      </c>
      <c r="PX259">
        <v>56</v>
      </c>
      <c r="PY259">
        <v>57</v>
      </c>
      <c r="PZ259" t="s">
        <v>3222</v>
      </c>
      <c r="QA259">
        <v>3</v>
      </c>
      <c r="QB259">
        <v>1121</v>
      </c>
      <c r="QC259">
        <v>69</v>
      </c>
      <c r="QD259">
        <v>69</v>
      </c>
      <c r="QE259" t="s">
        <v>1603</v>
      </c>
      <c r="QF259">
        <v>2</v>
      </c>
      <c r="QG259">
        <v>1136</v>
      </c>
      <c r="QH259">
        <v>66</v>
      </c>
      <c r="QI259">
        <v>66</v>
      </c>
      <c r="QL259">
        <v>0</v>
      </c>
      <c r="QM259">
        <v>62</v>
      </c>
      <c r="QN259">
        <v>62</v>
      </c>
      <c r="QO259" t="s">
        <v>3223</v>
      </c>
      <c r="QP259">
        <v>1</v>
      </c>
      <c r="QQ259">
        <v>1133</v>
      </c>
      <c r="QR259">
        <v>62</v>
      </c>
      <c r="QS259">
        <v>62</v>
      </c>
      <c r="QT259" t="s">
        <v>3224</v>
      </c>
      <c r="QU259">
        <v>1</v>
      </c>
      <c r="QV259">
        <v>1139</v>
      </c>
      <c r="QW259">
        <v>82</v>
      </c>
      <c r="QX259">
        <v>88</v>
      </c>
      <c r="QY259" t="s">
        <v>3225</v>
      </c>
      <c r="QZ259">
        <v>2</v>
      </c>
      <c r="RA259">
        <v>66</v>
      </c>
      <c r="RB259">
        <v>66</v>
      </c>
      <c r="RE259">
        <v>0</v>
      </c>
      <c r="RF259">
        <v>1</v>
      </c>
      <c r="RH259">
        <v>1</v>
      </c>
      <c r="RJ259">
        <v>2</v>
      </c>
      <c r="RL259">
        <v>3</v>
      </c>
      <c r="RM259">
        <v>3</v>
      </c>
      <c r="RO259">
        <v>646</v>
      </c>
      <c r="RQ259">
        <v>678</v>
      </c>
      <c r="RR259">
        <v>558</v>
      </c>
      <c r="RT259">
        <v>228</v>
      </c>
      <c r="RU259">
        <v>146</v>
      </c>
      <c r="RV259" t="s">
        <v>3227</v>
      </c>
      <c r="RW259" t="s">
        <v>1498</v>
      </c>
      <c r="RX259">
        <v>15</v>
      </c>
      <c r="RY259">
        <v>4</v>
      </c>
      <c r="RZ259" t="s">
        <v>1498</v>
      </c>
      <c r="SA259">
        <v>15</v>
      </c>
      <c r="SC259" t="s">
        <v>3223</v>
      </c>
      <c r="SD259">
        <v>1</v>
      </c>
      <c r="SF259" t="s">
        <v>3224</v>
      </c>
      <c r="SG259">
        <v>1</v>
      </c>
      <c r="SH259">
        <v>0.995</v>
      </c>
      <c r="SI259">
        <v>0.995</v>
      </c>
      <c r="SJ259">
        <v>0.995</v>
      </c>
      <c r="SK259">
        <v>15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Z259">
        <v>1</v>
      </c>
      <c r="TB259">
        <v>0</v>
      </c>
      <c r="TC259">
        <v>0</v>
      </c>
      <c r="TD259">
        <v>7.5</v>
      </c>
      <c r="TE259" t="s">
        <v>553</v>
      </c>
      <c r="TF259" t="s">
        <v>655</v>
      </c>
      <c r="TG259" t="s">
        <v>555</v>
      </c>
      <c r="TI259" t="s">
        <v>546</v>
      </c>
      <c r="TJ259" t="s">
        <v>547</v>
      </c>
      <c r="TL259" t="s">
        <v>3054</v>
      </c>
      <c r="TM259" t="s">
        <v>513</v>
      </c>
      <c r="TN259">
        <v>0</v>
      </c>
      <c r="TO259" t="s">
        <v>557</v>
      </c>
    </row>
    <row r="260" spans="1:535">
      <c r="A260" t="s">
        <v>3228</v>
      </c>
      <c r="B260" t="s">
        <v>657</v>
      </c>
      <c r="C260" t="s">
        <v>509</v>
      </c>
      <c r="D260" t="s">
        <v>3046</v>
      </c>
      <c r="G260" t="s">
        <v>604</v>
      </c>
      <c r="H260" t="s">
        <v>605</v>
      </c>
      <c r="I260" t="s">
        <v>628</v>
      </c>
      <c r="J260" t="s">
        <v>606</v>
      </c>
      <c r="L260" t="s">
        <v>512</v>
      </c>
      <c r="M260" t="s">
        <v>559</v>
      </c>
      <c r="N260" t="s">
        <v>513</v>
      </c>
      <c r="O260" t="s">
        <v>607</v>
      </c>
      <c r="Q260" t="s">
        <v>3229</v>
      </c>
      <c r="R260" t="s">
        <v>517</v>
      </c>
      <c r="S260" t="s">
        <v>1681</v>
      </c>
      <c r="T260" t="s">
        <v>1682</v>
      </c>
      <c r="U260" t="s">
        <v>520</v>
      </c>
      <c r="V260" t="s">
        <v>521</v>
      </c>
      <c r="W260" t="s">
        <v>2477</v>
      </c>
      <c r="X260" t="s">
        <v>3048</v>
      </c>
      <c r="Y260" t="s">
        <v>524</v>
      </c>
      <c r="Z260" t="s">
        <v>3230</v>
      </c>
      <c r="AA260" t="s">
        <v>3231</v>
      </c>
      <c r="AB260" t="s">
        <v>3232</v>
      </c>
      <c r="AC260">
        <v>2</v>
      </c>
      <c r="AD260">
        <v>57</v>
      </c>
      <c r="AE260">
        <v>179</v>
      </c>
      <c r="AF260">
        <v>1.5</v>
      </c>
      <c r="AH260">
        <v>0</v>
      </c>
      <c r="AI260" t="s">
        <v>764</v>
      </c>
      <c r="AJ260">
        <v>190</v>
      </c>
      <c r="AK260">
        <v>1</v>
      </c>
      <c r="AL260">
        <v>1.5</v>
      </c>
      <c r="AM260" t="s">
        <v>529</v>
      </c>
      <c r="AO260">
        <v>0</v>
      </c>
      <c r="AR260">
        <v>0</v>
      </c>
      <c r="AS260">
        <v>1.5</v>
      </c>
      <c r="AU260" t="s">
        <v>3233</v>
      </c>
      <c r="AW260" t="s">
        <v>3233</v>
      </c>
      <c r="AX260">
        <v>1</v>
      </c>
      <c r="AY260">
        <v>267.5</v>
      </c>
      <c r="AZ260">
        <v>1.5</v>
      </c>
      <c r="BA260" t="s">
        <v>529</v>
      </c>
      <c r="BG260">
        <v>1.5</v>
      </c>
      <c r="BJ260">
        <v>0</v>
      </c>
      <c r="BN260">
        <v>1.5</v>
      </c>
      <c r="BP260" t="s">
        <v>3234</v>
      </c>
      <c r="BQ260">
        <v>88</v>
      </c>
      <c r="BR260">
        <v>2</v>
      </c>
      <c r="BS260" t="s">
        <v>737</v>
      </c>
      <c r="BT260">
        <v>201</v>
      </c>
      <c r="BU260">
        <v>0.5</v>
      </c>
      <c r="BV260" t="s">
        <v>737</v>
      </c>
      <c r="BW260">
        <v>402</v>
      </c>
      <c r="BX260">
        <v>1</v>
      </c>
      <c r="BY260" t="s">
        <v>533</v>
      </c>
      <c r="BZ260">
        <v>300</v>
      </c>
      <c r="CA260">
        <v>520</v>
      </c>
      <c r="CB260" t="s">
        <v>534</v>
      </c>
      <c r="CC260" t="s">
        <v>534</v>
      </c>
      <c r="CD260">
        <v>434</v>
      </c>
      <c r="CE260" t="s">
        <v>535</v>
      </c>
      <c r="CF260">
        <v>15</v>
      </c>
      <c r="CG260" t="s">
        <v>536</v>
      </c>
      <c r="CH260" t="s">
        <v>536</v>
      </c>
      <c r="CI260">
        <v>110</v>
      </c>
      <c r="CJ260">
        <v>1200</v>
      </c>
      <c r="CK260">
        <v>2</v>
      </c>
      <c r="CL260">
        <v>1301</v>
      </c>
      <c r="CM260">
        <v>2</v>
      </c>
      <c r="CN260" t="s">
        <v>537</v>
      </c>
      <c r="CO260" t="s">
        <v>538</v>
      </c>
      <c r="CP260" t="s">
        <v>539</v>
      </c>
      <c r="CQ260" t="s">
        <v>540</v>
      </c>
      <c r="CR260" t="s">
        <v>541</v>
      </c>
      <c r="CS260" t="s">
        <v>542</v>
      </c>
      <c r="CT260">
        <v>380</v>
      </c>
      <c r="CU260">
        <v>5</v>
      </c>
      <c r="CV260">
        <v>1.2</v>
      </c>
      <c r="CW260">
        <v>1213</v>
      </c>
      <c r="CX260">
        <v>653</v>
      </c>
      <c r="DD260">
        <v>0</v>
      </c>
      <c r="DE260" t="s">
        <v>543</v>
      </c>
      <c r="DF260">
        <v>535</v>
      </c>
      <c r="DG260">
        <v>3</v>
      </c>
      <c r="DH260">
        <v>1.18</v>
      </c>
      <c r="DI260">
        <v>1211</v>
      </c>
      <c r="DJ260">
        <v>1049</v>
      </c>
      <c r="DW260" t="s">
        <v>544</v>
      </c>
      <c r="DX260">
        <v>7.5</v>
      </c>
      <c r="EA260">
        <v>1284.1</v>
      </c>
      <c r="EB260">
        <v>228</v>
      </c>
      <c r="EC260" t="s">
        <v>545</v>
      </c>
      <c r="ED260">
        <v>25</v>
      </c>
      <c r="EE260">
        <v>3</v>
      </c>
      <c r="EG260">
        <v>1325</v>
      </c>
      <c r="EH260">
        <v>126</v>
      </c>
      <c r="EJ260">
        <v>0</v>
      </c>
      <c r="EK260">
        <v>1</v>
      </c>
      <c r="EN260">
        <v>0</v>
      </c>
      <c r="EP260" t="s">
        <v>546</v>
      </c>
      <c r="EQ260">
        <v>100</v>
      </c>
      <c r="ER260">
        <v>3</v>
      </c>
      <c r="ES260">
        <v>5.5</v>
      </c>
      <c r="ET260">
        <v>1198</v>
      </c>
      <c r="EU260">
        <v>411.6</v>
      </c>
      <c r="EV260">
        <v>493</v>
      </c>
      <c r="EW260" t="s">
        <v>547</v>
      </c>
      <c r="EX260">
        <v>70</v>
      </c>
      <c r="EY260">
        <v>2</v>
      </c>
      <c r="EZ260">
        <v>4.5</v>
      </c>
      <c r="FA260">
        <v>1198</v>
      </c>
      <c r="FB260">
        <v>219.9</v>
      </c>
      <c r="FC260">
        <v>263</v>
      </c>
      <c r="FE260">
        <v>0</v>
      </c>
      <c r="FF260">
        <v>2</v>
      </c>
      <c r="FI260">
        <v>0</v>
      </c>
      <c r="FK260" t="s">
        <v>548</v>
      </c>
      <c r="FL260">
        <v>0.4</v>
      </c>
      <c r="FM260">
        <v>100</v>
      </c>
      <c r="FN260">
        <v>110</v>
      </c>
      <c r="FR260" t="s">
        <v>548</v>
      </c>
      <c r="FS260">
        <v>0.4</v>
      </c>
      <c r="FT260">
        <v>30</v>
      </c>
      <c r="FU260">
        <v>370</v>
      </c>
      <c r="FV260">
        <v>30</v>
      </c>
      <c r="FW260">
        <v>260</v>
      </c>
      <c r="HC260">
        <v>0.1</v>
      </c>
      <c r="HD260">
        <v>3</v>
      </c>
      <c r="HE260">
        <v>3</v>
      </c>
      <c r="HF260">
        <v>3</v>
      </c>
      <c r="HG260">
        <v>3</v>
      </c>
      <c r="HH260">
        <v>3</v>
      </c>
      <c r="HI260">
        <v>155</v>
      </c>
      <c r="HJ260">
        <v>3</v>
      </c>
      <c r="HK260">
        <v>55</v>
      </c>
      <c r="HL260">
        <v>2</v>
      </c>
      <c r="HM260">
        <v>0</v>
      </c>
      <c r="HN260">
        <v>2</v>
      </c>
      <c r="HO260">
        <v>85</v>
      </c>
      <c r="HP260">
        <v>3</v>
      </c>
      <c r="HQ260">
        <v>0</v>
      </c>
      <c r="HR260">
        <v>2</v>
      </c>
      <c r="HS260">
        <v>3922</v>
      </c>
      <c r="HT260">
        <v>120</v>
      </c>
      <c r="HU260">
        <v>180</v>
      </c>
      <c r="HW260">
        <v>0</v>
      </c>
      <c r="HX260">
        <v>432</v>
      </c>
      <c r="HY260">
        <v>0.18</v>
      </c>
      <c r="IA260">
        <v>0.15</v>
      </c>
      <c r="IB260">
        <v>0</v>
      </c>
      <c r="IC260">
        <v>180</v>
      </c>
      <c r="ID260">
        <v>110</v>
      </c>
      <c r="IE260">
        <v>0</v>
      </c>
      <c r="IF260">
        <v>0</v>
      </c>
      <c r="IH260" t="s">
        <v>549</v>
      </c>
      <c r="IO260">
        <v>1</v>
      </c>
      <c r="IP260">
        <v>16</v>
      </c>
      <c r="IQ260">
        <v>0</v>
      </c>
      <c r="IR260">
        <v>1</v>
      </c>
      <c r="IV260">
        <v>1200</v>
      </c>
      <c r="IW260">
        <v>402</v>
      </c>
      <c r="JA260">
        <v>1</v>
      </c>
      <c r="JB260">
        <v>0</v>
      </c>
      <c r="JC260">
        <v>2</v>
      </c>
      <c r="JD260">
        <v>1213</v>
      </c>
      <c r="JE260">
        <v>1211</v>
      </c>
      <c r="JF260">
        <v>0</v>
      </c>
      <c r="JG260">
        <v>1198</v>
      </c>
      <c r="JH260">
        <v>0</v>
      </c>
      <c r="JJ260">
        <v>180</v>
      </c>
      <c r="JK260">
        <v>432</v>
      </c>
      <c r="JN260">
        <v>380</v>
      </c>
      <c r="JO260">
        <v>535</v>
      </c>
      <c r="JP260">
        <v>0</v>
      </c>
      <c r="JQ260">
        <v>0</v>
      </c>
      <c r="JR260">
        <v>358</v>
      </c>
      <c r="JS260">
        <v>155</v>
      </c>
      <c r="JV260">
        <v>8</v>
      </c>
      <c r="JW260" t="s">
        <v>550</v>
      </c>
      <c r="JX260">
        <v>0</v>
      </c>
      <c r="KA260">
        <v>0</v>
      </c>
      <c r="KB260">
        <v>110</v>
      </c>
      <c r="KC260">
        <v>0</v>
      </c>
      <c r="KD260">
        <v>80</v>
      </c>
      <c r="KF260">
        <v>4</v>
      </c>
      <c r="KG260">
        <v>4</v>
      </c>
      <c r="KH260">
        <v>2</v>
      </c>
      <c r="KI260">
        <v>2</v>
      </c>
      <c r="KJ260">
        <v>0</v>
      </c>
      <c r="KK260">
        <v>1.5</v>
      </c>
      <c r="KL260">
        <v>1.5</v>
      </c>
      <c r="KM260">
        <v>0</v>
      </c>
      <c r="KN260">
        <v>0</v>
      </c>
      <c r="KO260">
        <v>0</v>
      </c>
      <c r="KR260">
        <v>30</v>
      </c>
      <c r="KS260">
        <v>60</v>
      </c>
      <c r="KT260">
        <v>0</v>
      </c>
      <c r="LK260">
        <v>480</v>
      </c>
      <c r="PG260">
        <v>1</v>
      </c>
      <c r="PI260" t="s">
        <v>3232</v>
      </c>
      <c r="PJ260" t="s">
        <v>3233</v>
      </c>
      <c r="PL260" t="s">
        <v>764</v>
      </c>
      <c r="PP260" t="s">
        <v>3234</v>
      </c>
      <c r="PX260">
        <v>56</v>
      </c>
      <c r="PY260">
        <v>57</v>
      </c>
      <c r="PZ260" t="s">
        <v>3232</v>
      </c>
      <c r="QA260">
        <v>2</v>
      </c>
      <c r="QB260">
        <v>1198</v>
      </c>
      <c r="QC260">
        <v>69</v>
      </c>
      <c r="QD260">
        <v>69</v>
      </c>
      <c r="QE260" t="s">
        <v>764</v>
      </c>
      <c r="QF260">
        <v>1</v>
      </c>
      <c r="QG260">
        <v>1213</v>
      </c>
      <c r="QH260">
        <v>66</v>
      </c>
      <c r="QI260">
        <v>66</v>
      </c>
      <c r="QL260">
        <v>0</v>
      </c>
      <c r="QM260">
        <v>62</v>
      </c>
      <c r="QN260">
        <v>62</v>
      </c>
      <c r="QO260" t="s">
        <v>3233</v>
      </c>
      <c r="QP260">
        <v>1</v>
      </c>
      <c r="QQ260">
        <v>1211</v>
      </c>
      <c r="QW260">
        <v>82</v>
      </c>
      <c r="QX260">
        <v>88</v>
      </c>
      <c r="QY260" t="s">
        <v>3234</v>
      </c>
      <c r="QZ260">
        <v>1</v>
      </c>
      <c r="RA260">
        <v>66</v>
      </c>
      <c r="RB260">
        <v>66</v>
      </c>
      <c r="RE260">
        <v>0</v>
      </c>
      <c r="RF260">
        <v>1</v>
      </c>
      <c r="RJ260">
        <v>1</v>
      </c>
      <c r="RL260">
        <v>2</v>
      </c>
      <c r="RO260">
        <v>538</v>
      </c>
      <c r="RQ260">
        <v>866</v>
      </c>
      <c r="RT260">
        <v>228</v>
      </c>
      <c r="RU260">
        <v>126</v>
      </c>
      <c r="RV260" t="s">
        <v>739</v>
      </c>
      <c r="RW260" t="s">
        <v>552</v>
      </c>
      <c r="RX260">
        <v>15</v>
      </c>
      <c r="RY260">
        <v>4</v>
      </c>
      <c r="RZ260" t="s">
        <v>552</v>
      </c>
      <c r="SA260">
        <v>15</v>
      </c>
      <c r="SC260" t="s">
        <v>3233</v>
      </c>
      <c r="SD260">
        <v>1</v>
      </c>
      <c r="SH260">
        <v>0.995</v>
      </c>
      <c r="SI260">
        <v>0.995</v>
      </c>
      <c r="SJ260">
        <v>0.995</v>
      </c>
      <c r="SK260">
        <v>15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TB260">
        <v>0</v>
      </c>
      <c r="TC260">
        <v>0</v>
      </c>
      <c r="TD260">
        <v>7.5</v>
      </c>
      <c r="TE260" t="s">
        <v>553</v>
      </c>
      <c r="TF260" t="s">
        <v>624</v>
      </c>
      <c r="TG260" t="s">
        <v>555</v>
      </c>
      <c r="TI260" t="s">
        <v>546</v>
      </c>
      <c r="TJ260" t="s">
        <v>547</v>
      </c>
      <c r="TL260" t="s">
        <v>3054</v>
      </c>
      <c r="TM260" t="s">
        <v>513</v>
      </c>
      <c r="TN260">
        <v>0</v>
      </c>
      <c r="TO260" t="s">
        <v>557</v>
      </c>
    </row>
    <row r="261" spans="1:535">
      <c r="A261" t="s">
        <v>3235</v>
      </c>
      <c r="B261" t="s">
        <v>559</v>
      </c>
      <c r="C261" t="s">
        <v>509</v>
      </c>
      <c r="D261" t="s">
        <v>3236</v>
      </c>
      <c r="G261" t="s">
        <v>627</v>
      </c>
      <c r="H261" t="s">
        <v>604</v>
      </c>
      <c r="I261" t="s">
        <v>628</v>
      </c>
      <c r="J261" t="s">
        <v>606</v>
      </c>
      <c r="L261" t="s">
        <v>512</v>
      </c>
      <c r="M261" t="s">
        <v>564</v>
      </c>
      <c r="N261" t="s">
        <v>513</v>
      </c>
      <c r="O261" t="s">
        <v>607</v>
      </c>
      <c r="Q261" t="s">
        <v>3237</v>
      </c>
      <c r="R261" t="s">
        <v>517</v>
      </c>
      <c r="S261" t="s">
        <v>1126</v>
      </c>
      <c r="T261" t="s">
        <v>1127</v>
      </c>
      <c r="U261" t="s">
        <v>633</v>
      </c>
      <c r="V261" t="s">
        <v>634</v>
      </c>
      <c r="W261" t="s">
        <v>2510</v>
      </c>
      <c r="X261" t="s">
        <v>3048</v>
      </c>
      <c r="Y261" t="s">
        <v>524</v>
      </c>
      <c r="Z261" t="s">
        <v>3238</v>
      </c>
      <c r="AA261" t="s">
        <v>3239</v>
      </c>
      <c r="AB261" t="s">
        <v>3240</v>
      </c>
      <c r="AC261">
        <v>2</v>
      </c>
      <c r="AD261">
        <v>57</v>
      </c>
      <c r="AE261">
        <v>171</v>
      </c>
      <c r="AF261">
        <v>1.5</v>
      </c>
      <c r="AH261">
        <v>0</v>
      </c>
      <c r="AI261" t="s">
        <v>719</v>
      </c>
      <c r="AJ261">
        <v>185</v>
      </c>
      <c r="AK261">
        <v>1</v>
      </c>
      <c r="AL261">
        <v>1.5</v>
      </c>
      <c r="AM261" t="s">
        <v>529</v>
      </c>
      <c r="AO261">
        <v>0</v>
      </c>
      <c r="AR261">
        <v>0</v>
      </c>
      <c r="AS261">
        <v>1.5</v>
      </c>
      <c r="AV261" t="s">
        <v>3241</v>
      </c>
      <c r="AW261" t="s">
        <v>3241</v>
      </c>
      <c r="AX261">
        <v>1</v>
      </c>
      <c r="AY261">
        <v>257.5</v>
      </c>
      <c r="AZ261">
        <v>1.5</v>
      </c>
      <c r="BA261" t="s">
        <v>529</v>
      </c>
      <c r="BG261">
        <v>1.5</v>
      </c>
      <c r="BJ261">
        <v>0</v>
      </c>
      <c r="BN261">
        <v>1.5</v>
      </c>
      <c r="BP261" t="s">
        <v>3242</v>
      </c>
      <c r="BQ261">
        <v>89</v>
      </c>
      <c r="BR261">
        <v>2</v>
      </c>
      <c r="BS261" t="s">
        <v>1929</v>
      </c>
      <c r="BT261">
        <v>196</v>
      </c>
      <c r="BU261">
        <v>0.5</v>
      </c>
      <c r="BV261" t="s">
        <v>1929</v>
      </c>
      <c r="BW261">
        <v>392</v>
      </c>
      <c r="BX261">
        <v>1</v>
      </c>
      <c r="BY261" t="s">
        <v>643</v>
      </c>
      <c r="BZ261">
        <v>300</v>
      </c>
      <c r="CA261">
        <v>440</v>
      </c>
      <c r="CB261" t="s">
        <v>644</v>
      </c>
      <c r="CC261" t="s">
        <v>644</v>
      </c>
      <c r="CD261">
        <v>410</v>
      </c>
      <c r="CE261" t="s">
        <v>544</v>
      </c>
      <c r="CF261">
        <v>15</v>
      </c>
      <c r="CG261" t="s">
        <v>1024</v>
      </c>
      <c r="CH261" t="s">
        <v>1024</v>
      </c>
      <c r="CI261">
        <v>70</v>
      </c>
      <c r="CJ261">
        <v>1301</v>
      </c>
      <c r="CK261">
        <v>2</v>
      </c>
      <c r="CL261">
        <v>1395</v>
      </c>
      <c r="CM261">
        <v>2</v>
      </c>
      <c r="CN261" t="s">
        <v>646</v>
      </c>
      <c r="CO261" t="s">
        <v>647</v>
      </c>
      <c r="CP261" t="s">
        <v>648</v>
      </c>
      <c r="CQ261" t="s">
        <v>649</v>
      </c>
      <c r="CR261" t="s">
        <v>650</v>
      </c>
      <c r="CS261" t="s">
        <v>542</v>
      </c>
      <c r="CT261">
        <v>370</v>
      </c>
      <c r="CU261">
        <v>5</v>
      </c>
      <c r="CV261">
        <v>1.2</v>
      </c>
      <c r="CW261">
        <v>1314</v>
      </c>
      <c r="CX261">
        <v>689</v>
      </c>
      <c r="DD261">
        <v>0</v>
      </c>
      <c r="DE261" t="s">
        <v>948</v>
      </c>
      <c r="DF261">
        <v>515</v>
      </c>
      <c r="DG261">
        <v>3</v>
      </c>
      <c r="DH261">
        <v>1.22</v>
      </c>
      <c r="DI261">
        <v>1312</v>
      </c>
      <c r="DJ261">
        <v>1233</v>
      </c>
      <c r="DW261" t="s">
        <v>544</v>
      </c>
      <c r="DX261">
        <v>7.5</v>
      </c>
      <c r="EA261">
        <v>1379.8</v>
      </c>
      <c r="EB261">
        <v>260</v>
      </c>
      <c r="EC261" t="s">
        <v>545</v>
      </c>
      <c r="ED261">
        <v>25</v>
      </c>
      <c r="EE261">
        <v>3</v>
      </c>
      <c r="EG261">
        <v>1421</v>
      </c>
      <c r="EH261">
        <v>135</v>
      </c>
      <c r="EJ261">
        <v>0</v>
      </c>
      <c r="EK261">
        <v>1</v>
      </c>
      <c r="EN261">
        <v>0</v>
      </c>
      <c r="EP261" t="s">
        <v>546</v>
      </c>
      <c r="EQ261">
        <v>80</v>
      </c>
      <c r="ER261">
        <v>3</v>
      </c>
      <c r="ES261">
        <v>6</v>
      </c>
      <c r="ET261">
        <v>1301</v>
      </c>
      <c r="EU261">
        <v>388.2</v>
      </c>
      <c r="EV261">
        <v>505</v>
      </c>
      <c r="EW261" t="s">
        <v>547</v>
      </c>
      <c r="EX261">
        <v>70</v>
      </c>
      <c r="EY261">
        <v>2</v>
      </c>
      <c r="EZ261">
        <v>5</v>
      </c>
      <c r="FA261">
        <v>1301</v>
      </c>
      <c r="FB261">
        <v>224.2</v>
      </c>
      <c r="FC261">
        <v>292</v>
      </c>
      <c r="FE261">
        <v>0</v>
      </c>
      <c r="FF261">
        <v>2</v>
      </c>
      <c r="FI261">
        <v>0</v>
      </c>
      <c r="FK261" t="s">
        <v>548</v>
      </c>
      <c r="FL261">
        <v>0.4</v>
      </c>
      <c r="FM261">
        <v>85</v>
      </c>
      <c r="FN261">
        <v>146</v>
      </c>
      <c r="FR261" t="s">
        <v>548</v>
      </c>
      <c r="FS261">
        <v>0.4</v>
      </c>
      <c r="FT261">
        <v>30</v>
      </c>
      <c r="FU261">
        <v>360</v>
      </c>
      <c r="FV261">
        <v>85</v>
      </c>
      <c r="FW261">
        <v>130</v>
      </c>
      <c r="FY261" t="s">
        <v>651</v>
      </c>
      <c r="FZ261">
        <v>1</v>
      </c>
      <c r="GA261">
        <v>20</v>
      </c>
      <c r="GB261">
        <v>176</v>
      </c>
      <c r="GG261" t="s">
        <v>651</v>
      </c>
      <c r="GH261">
        <v>1</v>
      </c>
      <c r="GI261">
        <v>20</v>
      </c>
      <c r="GJ261">
        <v>176</v>
      </c>
      <c r="HC261">
        <v>0.1</v>
      </c>
      <c r="HD261">
        <v>3</v>
      </c>
      <c r="HE261">
        <v>3</v>
      </c>
      <c r="HF261">
        <v>3</v>
      </c>
      <c r="HG261">
        <v>3</v>
      </c>
      <c r="HH261">
        <v>3</v>
      </c>
      <c r="HI261">
        <v>135</v>
      </c>
      <c r="HJ261">
        <v>3</v>
      </c>
      <c r="HK261">
        <v>55</v>
      </c>
      <c r="HL261">
        <v>2</v>
      </c>
      <c r="HM261">
        <v>0</v>
      </c>
      <c r="HN261">
        <v>2</v>
      </c>
      <c r="HO261">
        <v>65</v>
      </c>
      <c r="HP261">
        <v>3</v>
      </c>
      <c r="HQ261">
        <v>0</v>
      </c>
      <c r="HR261">
        <v>2</v>
      </c>
      <c r="HS261">
        <v>4306</v>
      </c>
      <c r="HT261">
        <v>130</v>
      </c>
      <c r="HU261">
        <v>180</v>
      </c>
      <c r="HW261">
        <v>0</v>
      </c>
      <c r="HX261">
        <v>460</v>
      </c>
      <c r="HY261">
        <v>0.18</v>
      </c>
      <c r="IA261">
        <v>0.15</v>
      </c>
      <c r="IB261">
        <v>0</v>
      </c>
      <c r="IC261">
        <v>180</v>
      </c>
      <c r="ID261">
        <v>110</v>
      </c>
      <c r="IE261">
        <v>225</v>
      </c>
      <c r="IF261">
        <v>0</v>
      </c>
      <c r="IH261" t="s">
        <v>549</v>
      </c>
      <c r="IO261">
        <v>1</v>
      </c>
      <c r="IP261">
        <v>17</v>
      </c>
      <c r="IQ261">
        <v>0</v>
      </c>
      <c r="IR261">
        <v>1</v>
      </c>
      <c r="IV261">
        <v>1301</v>
      </c>
      <c r="IW261">
        <v>392</v>
      </c>
      <c r="JA261">
        <v>1</v>
      </c>
      <c r="JB261">
        <v>0</v>
      </c>
      <c r="JC261">
        <v>2</v>
      </c>
      <c r="JD261">
        <v>1314</v>
      </c>
      <c r="JE261">
        <v>1312</v>
      </c>
      <c r="JF261">
        <v>0</v>
      </c>
      <c r="JG261">
        <v>1301</v>
      </c>
      <c r="JH261">
        <v>0</v>
      </c>
      <c r="JJ261">
        <v>180</v>
      </c>
      <c r="JK261">
        <v>460</v>
      </c>
      <c r="JN261">
        <v>370</v>
      </c>
      <c r="JO261">
        <v>515</v>
      </c>
      <c r="JP261">
        <v>0</v>
      </c>
      <c r="JQ261">
        <v>0</v>
      </c>
      <c r="JR261">
        <v>342</v>
      </c>
      <c r="JS261">
        <v>135</v>
      </c>
      <c r="JV261">
        <v>8</v>
      </c>
      <c r="JW261" t="s">
        <v>550</v>
      </c>
      <c r="JX261">
        <v>0</v>
      </c>
      <c r="KA261">
        <v>225</v>
      </c>
      <c r="KB261">
        <v>110</v>
      </c>
      <c r="KC261">
        <v>0</v>
      </c>
      <c r="KD261">
        <v>80</v>
      </c>
      <c r="KF261">
        <v>4</v>
      </c>
      <c r="KG261">
        <v>2</v>
      </c>
      <c r="KH261">
        <v>2</v>
      </c>
      <c r="KI261">
        <v>2</v>
      </c>
      <c r="KJ261">
        <v>0</v>
      </c>
      <c r="KK261">
        <v>1.5</v>
      </c>
      <c r="KL261">
        <v>1.5</v>
      </c>
      <c r="KM261">
        <v>0</v>
      </c>
      <c r="KN261">
        <v>0</v>
      </c>
      <c r="KO261">
        <v>0</v>
      </c>
      <c r="KR261">
        <v>50</v>
      </c>
      <c r="KS261">
        <v>60</v>
      </c>
      <c r="KT261">
        <v>0</v>
      </c>
      <c r="LK261">
        <v>480</v>
      </c>
      <c r="PG261">
        <v>1</v>
      </c>
      <c r="PI261" t="s">
        <v>3240</v>
      </c>
      <c r="PJ261" t="s">
        <v>3241</v>
      </c>
      <c r="PL261" t="s">
        <v>719</v>
      </c>
      <c r="PP261" t="s">
        <v>3242</v>
      </c>
      <c r="PX261">
        <v>56</v>
      </c>
      <c r="PY261">
        <v>57</v>
      </c>
      <c r="PZ261" t="s">
        <v>3240</v>
      </c>
      <c r="QA261">
        <v>2</v>
      </c>
      <c r="QB261">
        <v>1301</v>
      </c>
      <c r="QC261">
        <v>69</v>
      </c>
      <c r="QD261">
        <v>69</v>
      </c>
      <c r="QE261" t="s">
        <v>719</v>
      </c>
      <c r="QF261">
        <v>1</v>
      </c>
      <c r="QG261">
        <v>1314</v>
      </c>
      <c r="QH261">
        <v>66</v>
      </c>
      <c r="QI261">
        <v>66</v>
      </c>
      <c r="QL261">
        <v>0</v>
      </c>
      <c r="QM261">
        <v>63</v>
      </c>
      <c r="QN261">
        <v>63</v>
      </c>
      <c r="QO261" t="s">
        <v>3241</v>
      </c>
      <c r="QP261">
        <v>1</v>
      </c>
      <c r="QQ261">
        <v>1312</v>
      </c>
      <c r="QW261">
        <v>82</v>
      </c>
      <c r="QX261">
        <v>89</v>
      </c>
      <c r="QY261" t="s">
        <v>3242</v>
      </c>
      <c r="QZ261">
        <v>2</v>
      </c>
      <c r="RA261">
        <v>66</v>
      </c>
      <c r="RB261">
        <v>66</v>
      </c>
      <c r="RE261">
        <v>0</v>
      </c>
      <c r="RG261">
        <v>1</v>
      </c>
      <c r="RJ261">
        <v>1</v>
      </c>
      <c r="RL261">
        <v>1</v>
      </c>
      <c r="RO261">
        <v>524</v>
      </c>
      <c r="RQ261">
        <v>940</v>
      </c>
      <c r="RT261">
        <v>260</v>
      </c>
      <c r="RU261">
        <v>135</v>
      </c>
      <c r="RV261" t="s">
        <v>1930</v>
      </c>
      <c r="RW261" t="s">
        <v>653</v>
      </c>
      <c r="RX261">
        <v>15</v>
      </c>
      <c r="RY261">
        <v>4</v>
      </c>
      <c r="RZ261" t="s">
        <v>653</v>
      </c>
      <c r="SA261">
        <v>15</v>
      </c>
      <c r="SB261" t="s">
        <v>3243</v>
      </c>
      <c r="SC261" t="s">
        <v>3243</v>
      </c>
      <c r="SD261">
        <v>1</v>
      </c>
      <c r="SH261">
        <v>0.995</v>
      </c>
      <c r="SI261">
        <v>0.995</v>
      </c>
      <c r="SJ261">
        <v>0.995</v>
      </c>
      <c r="SK261">
        <v>15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TB261">
        <v>0</v>
      </c>
      <c r="TC261">
        <v>0</v>
      </c>
      <c r="TD261">
        <v>7.5</v>
      </c>
      <c r="TE261" t="s">
        <v>553</v>
      </c>
      <c r="TF261" t="s">
        <v>655</v>
      </c>
      <c r="TG261" t="s">
        <v>555</v>
      </c>
      <c r="TI261" t="s">
        <v>546</v>
      </c>
      <c r="TJ261" t="s">
        <v>547</v>
      </c>
      <c r="TL261" t="s">
        <v>3054</v>
      </c>
      <c r="TM261" t="s">
        <v>513</v>
      </c>
      <c r="TN261">
        <v>0</v>
      </c>
      <c r="TO261" t="s">
        <v>557</v>
      </c>
    </row>
    <row r="262" spans="1:535">
      <c r="A262" t="s">
        <v>3244</v>
      </c>
      <c r="B262" t="s">
        <v>559</v>
      </c>
      <c r="C262" t="s">
        <v>509</v>
      </c>
      <c r="D262" t="s">
        <v>2508</v>
      </c>
      <c r="G262" t="s">
        <v>604</v>
      </c>
      <c r="H262" t="s">
        <v>605</v>
      </c>
      <c r="I262" t="s">
        <v>628</v>
      </c>
      <c r="J262" t="s">
        <v>606</v>
      </c>
      <c r="L262" t="s">
        <v>512</v>
      </c>
      <c r="M262" t="s">
        <v>564</v>
      </c>
      <c r="N262" t="s">
        <v>513</v>
      </c>
      <c r="O262" t="s">
        <v>607</v>
      </c>
      <c r="Q262" t="s">
        <v>3245</v>
      </c>
      <c r="R262" t="s">
        <v>517</v>
      </c>
      <c r="S262" t="s">
        <v>1028</v>
      </c>
      <c r="T262" t="s">
        <v>1029</v>
      </c>
      <c r="U262" t="s">
        <v>662</v>
      </c>
      <c r="V262" t="s">
        <v>663</v>
      </c>
      <c r="W262" t="s">
        <v>2607</v>
      </c>
      <c r="X262" t="s">
        <v>3048</v>
      </c>
      <c r="Y262" t="s">
        <v>524</v>
      </c>
      <c r="Z262" t="s">
        <v>3246</v>
      </c>
      <c r="AA262" t="s">
        <v>3247</v>
      </c>
      <c r="AB262" t="s">
        <v>2998</v>
      </c>
      <c r="AC262">
        <v>2</v>
      </c>
      <c r="AD262">
        <v>57</v>
      </c>
      <c r="AE262">
        <v>164</v>
      </c>
      <c r="AF262">
        <v>1.5</v>
      </c>
      <c r="AH262">
        <v>0</v>
      </c>
      <c r="AI262" t="s">
        <v>2224</v>
      </c>
      <c r="AJ262">
        <v>175</v>
      </c>
      <c r="AK262">
        <v>1</v>
      </c>
      <c r="AL262">
        <v>1.5</v>
      </c>
      <c r="AM262" t="s">
        <v>529</v>
      </c>
      <c r="AO262">
        <v>0</v>
      </c>
      <c r="AR262">
        <v>0</v>
      </c>
      <c r="AS262">
        <v>1.5</v>
      </c>
      <c r="AV262" t="s">
        <v>3248</v>
      </c>
      <c r="AW262" t="s">
        <v>3248</v>
      </c>
      <c r="AX262">
        <v>1</v>
      </c>
      <c r="AY262">
        <v>247.5</v>
      </c>
      <c r="AZ262">
        <v>1.5</v>
      </c>
      <c r="BA262" t="s">
        <v>529</v>
      </c>
      <c r="BG262">
        <v>1.5</v>
      </c>
      <c r="BJ262">
        <v>0</v>
      </c>
      <c r="BN262">
        <v>1.5</v>
      </c>
      <c r="BP262" t="s">
        <v>3249</v>
      </c>
      <c r="BQ262">
        <v>89</v>
      </c>
      <c r="BR262">
        <v>2</v>
      </c>
      <c r="BS262" t="s">
        <v>3190</v>
      </c>
      <c r="BT262">
        <v>187</v>
      </c>
      <c r="BU262">
        <v>0.5</v>
      </c>
      <c r="BV262" t="s">
        <v>3190</v>
      </c>
      <c r="BW262">
        <v>374</v>
      </c>
      <c r="BX262">
        <v>1</v>
      </c>
      <c r="BY262" t="s">
        <v>643</v>
      </c>
      <c r="BZ262">
        <v>290</v>
      </c>
      <c r="CA262">
        <v>450</v>
      </c>
      <c r="CB262" t="s">
        <v>672</v>
      </c>
      <c r="CC262" t="s">
        <v>672</v>
      </c>
      <c r="CD262">
        <v>410</v>
      </c>
      <c r="CE262" t="s">
        <v>673</v>
      </c>
      <c r="CF262">
        <v>15</v>
      </c>
      <c r="CG262" t="s">
        <v>1146</v>
      </c>
      <c r="CH262" t="s">
        <v>1146</v>
      </c>
      <c r="CI262">
        <v>80</v>
      </c>
      <c r="CJ262">
        <v>1381</v>
      </c>
      <c r="CK262">
        <v>2</v>
      </c>
      <c r="CL262">
        <v>1475</v>
      </c>
      <c r="CM262">
        <v>2</v>
      </c>
      <c r="CN262" t="s">
        <v>675</v>
      </c>
      <c r="CO262" t="s">
        <v>676</v>
      </c>
      <c r="CP262" t="s">
        <v>595</v>
      </c>
      <c r="CQ262" t="s">
        <v>649</v>
      </c>
      <c r="CR262" t="s">
        <v>650</v>
      </c>
      <c r="CS262" t="s">
        <v>542</v>
      </c>
      <c r="CT262">
        <v>350</v>
      </c>
      <c r="CU262">
        <v>5</v>
      </c>
      <c r="CV262">
        <v>1.3</v>
      </c>
      <c r="CW262">
        <v>1394</v>
      </c>
      <c r="CX262">
        <v>749</v>
      </c>
      <c r="DD262">
        <v>0</v>
      </c>
      <c r="DE262" t="s">
        <v>948</v>
      </c>
      <c r="DF262">
        <v>495</v>
      </c>
      <c r="DG262">
        <v>3</v>
      </c>
      <c r="DH262">
        <v>1.22</v>
      </c>
      <c r="DI262">
        <v>1392</v>
      </c>
      <c r="DJ262">
        <v>1257</v>
      </c>
      <c r="DW262" t="s">
        <v>544</v>
      </c>
      <c r="DX262">
        <v>7.5</v>
      </c>
      <c r="EA262">
        <v>1459.5</v>
      </c>
      <c r="EB262">
        <v>275</v>
      </c>
      <c r="EC262" t="s">
        <v>545</v>
      </c>
      <c r="ED262">
        <v>25</v>
      </c>
      <c r="EE262">
        <v>3</v>
      </c>
      <c r="EG262">
        <v>1500</v>
      </c>
      <c r="EH262">
        <v>143</v>
      </c>
      <c r="EJ262">
        <v>0</v>
      </c>
      <c r="EK262">
        <v>1</v>
      </c>
      <c r="EN262">
        <v>0</v>
      </c>
      <c r="EP262" t="s">
        <v>546</v>
      </c>
      <c r="EQ262">
        <v>70</v>
      </c>
      <c r="ER262">
        <v>3</v>
      </c>
      <c r="ES262">
        <v>4.5</v>
      </c>
      <c r="ET262">
        <v>1371</v>
      </c>
      <c r="EU262">
        <v>291.1</v>
      </c>
      <c r="EV262">
        <v>399</v>
      </c>
      <c r="EW262" t="s">
        <v>547</v>
      </c>
      <c r="EX262">
        <v>70</v>
      </c>
      <c r="EY262">
        <v>2</v>
      </c>
      <c r="EZ262">
        <v>4.3</v>
      </c>
      <c r="FA262">
        <v>1371</v>
      </c>
      <c r="FB262">
        <v>204</v>
      </c>
      <c r="FC262">
        <v>280</v>
      </c>
      <c r="FE262">
        <v>0</v>
      </c>
      <c r="FF262">
        <v>2</v>
      </c>
      <c r="FI262">
        <v>0</v>
      </c>
      <c r="FK262" t="s">
        <v>548</v>
      </c>
      <c r="FL262">
        <v>0.4</v>
      </c>
      <c r="FM262">
        <v>90</v>
      </c>
      <c r="FN262">
        <v>120</v>
      </c>
      <c r="FR262" t="s">
        <v>548</v>
      </c>
      <c r="FS262">
        <v>0.4</v>
      </c>
      <c r="FT262">
        <v>30</v>
      </c>
      <c r="FU262">
        <v>340</v>
      </c>
      <c r="FV262">
        <v>70</v>
      </c>
      <c r="FW262">
        <v>150</v>
      </c>
      <c r="FY262" t="s">
        <v>651</v>
      </c>
      <c r="FZ262">
        <v>1</v>
      </c>
      <c r="GA262">
        <v>20</v>
      </c>
      <c r="GB262">
        <v>176</v>
      </c>
      <c r="GG262" t="s">
        <v>651</v>
      </c>
      <c r="GH262">
        <v>1</v>
      </c>
      <c r="GI262">
        <v>20</v>
      </c>
      <c r="GJ262">
        <v>176</v>
      </c>
      <c r="HC262">
        <v>0.1</v>
      </c>
      <c r="HD262">
        <v>3</v>
      </c>
      <c r="HE262">
        <v>3</v>
      </c>
      <c r="HF262">
        <v>3</v>
      </c>
      <c r="HG262">
        <v>3</v>
      </c>
      <c r="HH262">
        <v>3</v>
      </c>
      <c r="HI262">
        <v>125</v>
      </c>
      <c r="HJ262">
        <v>3</v>
      </c>
      <c r="HK262">
        <v>55</v>
      </c>
      <c r="HL262">
        <v>2</v>
      </c>
      <c r="HM262">
        <v>0</v>
      </c>
      <c r="HN262">
        <v>2</v>
      </c>
      <c r="HO262">
        <v>55</v>
      </c>
      <c r="HP262">
        <v>3</v>
      </c>
      <c r="HQ262">
        <v>0</v>
      </c>
      <c r="HR262">
        <v>2</v>
      </c>
      <c r="HS262">
        <v>4200</v>
      </c>
      <c r="HT262">
        <v>130</v>
      </c>
      <c r="HU262">
        <v>180</v>
      </c>
      <c r="HW262">
        <v>0</v>
      </c>
      <c r="HX262">
        <v>440</v>
      </c>
      <c r="HY262">
        <v>0.18</v>
      </c>
      <c r="IA262">
        <v>0.15</v>
      </c>
      <c r="IB262">
        <v>0</v>
      </c>
      <c r="IC262">
        <v>180</v>
      </c>
      <c r="ID262">
        <v>110</v>
      </c>
      <c r="IE262">
        <v>0</v>
      </c>
      <c r="IF262">
        <v>0</v>
      </c>
      <c r="IH262" t="s">
        <v>549</v>
      </c>
      <c r="IO262">
        <v>1</v>
      </c>
      <c r="IP262">
        <v>18</v>
      </c>
      <c r="IQ262">
        <v>0</v>
      </c>
      <c r="IR262">
        <v>1</v>
      </c>
      <c r="IV262">
        <v>1381</v>
      </c>
      <c r="IW262">
        <v>374</v>
      </c>
      <c r="IY262">
        <v>290</v>
      </c>
      <c r="JA262">
        <v>1</v>
      </c>
      <c r="JB262">
        <v>0</v>
      </c>
      <c r="JC262">
        <v>2</v>
      </c>
      <c r="JD262">
        <v>1394</v>
      </c>
      <c r="JE262">
        <v>1392</v>
      </c>
      <c r="JF262">
        <v>0</v>
      </c>
      <c r="JG262">
        <v>1371</v>
      </c>
      <c r="JH262">
        <v>0</v>
      </c>
      <c r="JJ262">
        <v>180</v>
      </c>
      <c r="JK262">
        <v>440</v>
      </c>
      <c r="JN262">
        <v>350</v>
      </c>
      <c r="JO262">
        <v>495</v>
      </c>
      <c r="JP262">
        <v>0</v>
      </c>
      <c r="JQ262">
        <v>0</v>
      </c>
      <c r="JR262">
        <v>328</v>
      </c>
      <c r="JS262">
        <v>125</v>
      </c>
      <c r="JV262">
        <v>8</v>
      </c>
      <c r="JW262" t="s">
        <v>550</v>
      </c>
      <c r="JX262">
        <v>0</v>
      </c>
      <c r="KA262">
        <v>0</v>
      </c>
      <c r="KB262">
        <v>110</v>
      </c>
      <c r="KC262">
        <v>0</v>
      </c>
      <c r="KD262">
        <v>80</v>
      </c>
      <c r="KF262">
        <v>4</v>
      </c>
      <c r="KG262">
        <v>2</v>
      </c>
      <c r="KH262">
        <v>2</v>
      </c>
      <c r="KI262">
        <v>2</v>
      </c>
      <c r="KJ262">
        <v>0</v>
      </c>
      <c r="KK262">
        <v>1.5</v>
      </c>
      <c r="KL262">
        <v>1.5</v>
      </c>
      <c r="KM262">
        <v>0</v>
      </c>
      <c r="KN262">
        <v>0</v>
      </c>
      <c r="KO262">
        <v>0</v>
      </c>
      <c r="KR262">
        <v>50</v>
      </c>
      <c r="KS262">
        <v>60</v>
      </c>
      <c r="KT262">
        <v>0</v>
      </c>
      <c r="LK262">
        <v>480</v>
      </c>
      <c r="PG262">
        <v>1</v>
      </c>
      <c r="PI262" t="s">
        <v>2998</v>
      </c>
      <c r="PJ262" t="s">
        <v>3248</v>
      </c>
      <c r="PL262" t="s">
        <v>2224</v>
      </c>
      <c r="PP262" t="s">
        <v>3249</v>
      </c>
      <c r="PX262">
        <v>56</v>
      </c>
      <c r="PY262">
        <v>57</v>
      </c>
      <c r="PZ262" t="s">
        <v>2998</v>
      </c>
      <c r="QA262">
        <v>3</v>
      </c>
      <c r="QB262">
        <v>1371</v>
      </c>
      <c r="QC262">
        <v>69</v>
      </c>
      <c r="QD262">
        <v>69</v>
      </c>
      <c r="QE262" t="s">
        <v>2224</v>
      </c>
      <c r="QF262">
        <v>2</v>
      </c>
      <c r="QG262">
        <v>1394</v>
      </c>
      <c r="QH262">
        <v>66</v>
      </c>
      <c r="QI262">
        <v>66</v>
      </c>
      <c r="QL262">
        <v>0</v>
      </c>
      <c r="QM262">
        <v>63</v>
      </c>
      <c r="QN262">
        <v>63</v>
      </c>
      <c r="QO262" t="s">
        <v>3248</v>
      </c>
      <c r="QP262">
        <v>1</v>
      </c>
      <c r="QQ262">
        <v>1392</v>
      </c>
      <c r="QW262">
        <v>82</v>
      </c>
      <c r="QX262">
        <v>89</v>
      </c>
      <c r="QY262" t="s">
        <v>3249</v>
      </c>
      <c r="QZ262">
        <v>2</v>
      </c>
      <c r="RA262">
        <v>66</v>
      </c>
      <c r="RB262">
        <v>66</v>
      </c>
      <c r="RE262">
        <v>0</v>
      </c>
      <c r="RG262">
        <v>1</v>
      </c>
      <c r="RJ262">
        <v>1</v>
      </c>
      <c r="RL262">
        <v>1</v>
      </c>
      <c r="RO262">
        <v>537</v>
      </c>
      <c r="RQ262">
        <v>903</v>
      </c>
      <c r="RT262">
        <v>275</v>
      </c>
      <c r="RU262">
        <v>143</v>
      </c>
      <c r="RV262" t="s">
        <v>3191</v>
      </c>
      <c r="RW262" t="s">
        <v>679</v>
      </c>
      <c r="RX262">
        <v>15</v>
      </c>
      <c r="RY262">
        <v>4</v>
      </c>
      <c r="RZ262" t="s">
        <v>679</v>
      </c>
      <c r="SA262">
        <v>15</v>
      </c>
      <c r="SB262" t="s">
        <v>3250</v>
      </c>
      <c r="SC262" t="s">
        <v>3250</v>
      </c>
      <c r="SD262">
        <v>1</v>
      </c>
      <c r="SH262">
        <v>0.995</v>
      </c>
      <c r="SI262">
        <v>0.995</v>
      </c>
      <c r="SJ262">
        <v>0.995</v>
      </c>
      <c r="SK262">
        <v>15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TB262">
        <v>0</v>
      </c>
      <c r="TC262">
        <v>0</v>
      </c>
      <c r="TD262">
        <v>7.5</v>
      </c>
      <c r="TE262" t="s">
        <v>553</v>
      </c>
      <c r="TF262" t="s">
        <v>655</v>
      </c>
      <c r="TG262" t="s">
        <v>555</v>
      </c>
      <c r="TI262" t="s">
        <v>546</v>
      </c>
      <c r="TJ262" t="s">
        <v>547</v>
      </c>
      <c r="TL262" t="s">
        <v>3054</v>
      </c>
      <c r="TM262" t="s">
        <v>513</v>
      </c>
      <c r="TN262">
        <v>0</v>
      </c>
      <c r="TO262" t="s">
        <v>557</v>
      </c>
    </row>
    <row r="263" spans="1:535">
      <c r="A263" t="s">
        <v>3251</v>
      </c>
      <c r="B263" t="s">
        <v>657</v>
      </c>
      <c r="C263" t="s">
        <v>509</v>
      </c>
      <c r="D263" t="s">
        <v>2475</v>
      </c>
      <c r="G263" t="s">
        <v>604</v>
      </c>
      <c r="H263" t="s">
        <v>605</v>
      </c>
      <c r="J263" t="s">
        <v>606</v>
      </c>
      <c r="L263" t="s">
        <v>512</v>
      </c>
      <c r="M263" t="s">
        <v>559</v>
      </c>
      <c r="N263" t="s">
        <v>513</v>
      </c>
      <c r="O263" t="s">
        <v>607</v>
      </c>
      <c r="Q263" t="s">
        <v>3252</v>
      </c>
      <c r="R263" t="s">
        <v>517</v>
      </c>
      <c r="S263" t="s">
        <v>849</v>
      </c>
      <c r="T263" t="s">
        <v>743</v>
      </c>
      <c r="U263" t="s">
        <v>686</v>
      </c>
      <c r="V263" t="s">
        <v>687</v>
      </c>
      <c r="W263" t="s">
        <v>1354</v>
      </c>
      <c r="X263" t="s">
        <v>3048</v>
      </c>
      <c r="Y263" t="s">
        <v>524</v>
      </c>
      <c r="Z263" t="s">
        <v>3253</v>
      </c>
      <c r="AA263" t="s">
        <v>3254</v>
      </c>
      <c r="AB263" t="s">
        <v>3255</v>
      </c>
      <c r="AC263">
        <v>2</v>
      </c>
      <c r="AD263">
        <v>57</v>
      </c>
      <c r="AE263">
        <v>181</v>
      </c>
      <c r="AF263">
        <v>1.5</v>
      </c>
      <c r="AH263">
        <v>0</v>
      </c>
      <c r="AI263" t="s">
        <v>1464</v>
      </c>
      <c r="AJ263">
        <v>165</v>
      </c>
      <c r="AK263">
        <v>1</v>
      </c>
      <c r="AL263">
        <v>1.5</v>
      </c>
      <c r="AM263" t="s">
        <v>579</v>
      </c>
      <c r="AN263" t="s">
        <v>693</v>
      </c>
      <c r="AO263">
        <v>2</v>
      </c>
      <c r="AP263" t="s">
        <v>581</v>
      </c>
      <c r="AQ263" t="s">
        <v>582</v>
      </c>
      <c r="AR263">
        <v>203</v>
      </c>
      <c r="AS263">
        <v>1.5</v>
      </c>
      <c r="AT263" t="s">
        <v>583</v>
      </c>
      <c r="AV263" t="s">
        <v>3256</v>
      </c>
      <c r="AW263" t="s">
        <v>3256</v>
      </c>
      <c r="AX263">
        <v>1</v>
      </c>
      <c r="AY263">
        <v>232.5</v>
      </c>
      <c r="AZ263">
        <v>1.5</v>
      </c>
      <c r="BA263" t="s">
        <v>579</v>
      </c>
      <c r="BG263">
        <v>1.5</v>
      </c>
      <c r="BJ263">
        <v>0</v>
      </c>
      <c r="BN263">
        <v>1.5</v>
      </c>
      <c r="BP263" t="s">
        <v>1341</v>
      </c>
      <c r="BQ263">
        <v>89</v>
      </c>
      <c r="BR263">
        <v>2</v>
      </c>
      <c r="BS263" t="s">
        <v>1342</v>
      </c>
      <c r="BT263">
        <v>180</v>
      </c>
      <c r="BU263">
        <v>0.5</v>
      </c>
      <c r="BV263" t="s">
        <v>1342</v>
      </c>
      <c r="BW263">
        <v>360</v>
      </c>
      <c r="BX263">
        <v>1</v>
      </c>
      <c r="BY263" t="s">
        <v>698</v>
      </c>
      <c r="BZ263">
        <v>300</v>
      </c>
      <c r="CA263">
        <v>440</v>
      </c>
      <c r="CB263" t="s">
        <v>699</v>
      </c>
      <c r="CC263" t="s">
        <v>699</v>
      </c>
      <c r="CD263">
        <v>390</v>
      </c>
      <c r="CE263" t="s">
        <v>700</v>
      </c>
      <c r="CF263">
        <v>15</v>
      </c>
      <c r="CG263" t="s">
        <v>859</v>
      </c>
      <c r="CH263" t="s">
        <v>859</v>
      </c>
      <c r="CI263">
        <v>70</v>
      </c>
      <c r="CJ263">
        <v>1458</v>
      </c>
      <c r="CK263">
        <v>2</v>
      </c>
      <c r="CL263">
        <v>1552</v>
      </c>
      <c r="CM263">
        <v>2</v>
      </c>
      <c r="CN263" t="s">
        <v>702</v>
      </c>
      <c r="CO263" t="s">
        <v>676</v>
      </c>
      <c r="CP263" t="s">
        <v>703</v>
      </c>
      <c r="CQ263" t="s">
        <v>860</v>
      </c>
      <c r="CR263" t="s">
        <v>650</v>
      </c>
      <c r="CS263" t="s">
        <v>542</v>
      </c>
      <c r="CT263">
        <v>330</v>
      </c>
      <c r="CU263">
        <v>5</v>
      </c>
      <c r="CV263">
        <v>1.2</v>
      </c>
      <c r="CW263">
        <v>1475</v>
      </c>
      <c r="CX263">
        <v>689</v>
      </c>
      <c r="CY263" t="s">
        <v>705</v>
      </c>
      <c r="CZ263">
        <v>50</v>
      </c>
      <c r="DA263">
        <v>3</v>
      </c>
      <c r="DB263">
        <v>1</v>
      </c>
      <c r="DC263">
        <v>1475</v>
      </c>
      <c r="DD263">
        <v>77</v>
      </c>
      <c r="DE263" t="s">
        <v>948</v>
      </c>
      <c r="DF263">
        <v>465</v>
      </c>
      <c r="DG263">
        <v>3</v>
      </c>
      <c r="DH263">
        <v>1.22</v>
      </c>
      <c r="DI263">
        <v>1468</v>
      </c>
      <c r="DJ263">
        <v>1199</v>
      </c>
      <c r="DW263" t="s">
        <v>544</v>
      </c>
      <c r="DX263">
        <v>7.5</v>
      </c>
      <c r="EA263">
        <v>1540.9</v>
      </c>
      <c r="EB263">
        <v>272</v>
      </c>
      <c r="EC263" t="s">
        <v>545</v>
      </c>
      <c r="ED263">
        <v>30</v>
      </c>
      <c r="EE263">
        <v>3</v>
      </c>
      <c r="EG263">
        <v>1582</v>
      </c>
      <c r="EH263">
        <v>187</v>
      </c>
      <c r="EJ263">
        <v>0</v>
      </c>
      <c r="EK263">
        <v>1</v>
      </c>
      <c r="EN263">
        <v>0</v>
      </c>
      <c r="EP263" t="s">
        <v>546</v>
      </c>
      <c r="EQ263">
        <v>65</v>
      </c>
      <c r="ER263">
        <v>3</v>
      </c>
      <c r="ES263">
        <v>4</v>
      </c>
      <c r="ET263">
        <v>1445</v>
      </c>
      <c r="EU263">
        <v>222.5</v>
      </c>
      <c r="EV263">
        <v>322</v>
      </c>
      <c r="EW263" t="s">
        <v>547</v>
      </c>
      <c r="EX263">
        <v>45</v>
      </c>
      <c r="EY263">
        <v>2</v>
      </c>
      <c r="EZ263">
        <v>4.3</v>
      </c>
      <c r="FA263">
        <v>1445</v>
      </c>
      <c r="FB263">
        <v>140.3</v>
      </c>
      <c r="FC263">
        <v>203</v>
      </c>
      <c r="FE263">
        <v>0</v>
      </c>
      <c r="FF263">
        <v>2</v>
      </c>
      <c r="FI263">
        <v>0</v>
      </c>
      <c r="FK263" t="s">
        <v>548</v>
      </c>
      <c r="FL263">
        <v>0.4</v>
      </c>
      <c r="FM263">
        <v>50</v>
      </c>
      <c r="FN263">
        <v>290</v>
      </c>
      <c r="FO263">
        <v>55</v>
      </c>
      <c r="FP263">
        <v>130</v>
      </c>
      <c r="FR263" t="s">
        <v>548</v>
      </c>
      <c r="FS263">
        <v>0.4</v>
      </c>
      <c r="FT263">
        <v>35</v>
      </c>
      <c r="FU263">
        <v>220</v>
      </c>
      <c r="FY263" t="s">
        <v>651</v>
      </c>
      <c r="FZ263">
        <v>1</v>
      </c>
      <c r="GA263">
        <v>20</v>
      </c>
      <c r="GB263">
        <v>170</v>
      </c>
      <c r="GG263" t="s">
        <v>651</v>
      </c>
      <c r="GH263">
        <v>1</v>
      </c>
      <c r="GI263">
        <v>20</v>
      </c>
      <c r="GJ263">
        <v>170</v>
      </c>
      <c r="HC263">
        <v>0.1</v>
      </c>
      <c r="HD263">
        <v>3</v>
      </c>
      <c r="HE263">
        <v>3</v>
      </c>
      <c r="HF263">
        <v>3</v>
      </c>
      <c r="HG263">
        <v>3</v>
      </c>
      <c r="HH263">
        <v>3</v>
      </c>
      <c r="HI263">
        <v>95</v>
      </c>
      <c r="HJ263">
        <v>3</v>
      </c>
      <c r="HK263">
        <v>30</v>
      </c>
      <c r="HL263">
        <v>2</v>
      </c>
      <c r="HM263">
        <v>0</v>
      </c>
      <c r="HN263">
        <v>2</v>
      </c>
      <c r="HO263">
        <v>50</v>
      </c>
      <c r="HP263">
        <v>3</v>
      </c>
      <c r="HQ263">
        <v>0</v>
      </c>
      <c r="HR263">
        <v>2</v>
      </c>
      <c r="HS263">
        <v>4010</v>
      </c>
      <c r="HT263">
        <v>120</v>
      </c>
      <c r="HU263">
        <v>180</v>
      </c>
      <c r="HW263">
        <v>0</v>
      </c>
      <c r="HX263">
        <v>445</v>
      </c>
      <c r="HY263">
        <v>0.18</v>
      </c>
      <c r="IA263">
        <v>0.15</v>
      </c>
      <c r="IB263">
        <v>0</v>
      </c>
      <c r="IC263">
        <v>180</v>
      </c>
      <c r="ID263">
        <v>110</v>
      </c>
      <c r="IE263">
        <v>0</v>
      </c>
      <c r="IF263">
        <v>0</v>
      </c>
      <c r="IH263" t="s">
        <v>549</v>
      </c>
      <c r="IO263">
        <v>1</v>
      </c>
      <c r="IP263">
        <v>19</v>
      </c>
      <c r="IQ263">
        <v>0</v>
      </c>
      <c r="IR263">
        <v>0</v>
      </c>
      <c r="IV263">
        <v>1458</v>
      </c>
      <c r="IW263">
        <v>360</v>
      </c>
      <c r="JA263">
        <v>1</v>
      </c>
      <c r="JB263">
        <v>0</v>
      </c>
      <c r="JC263">
        <v>2</v>
      </c>
      <c r="JD263">
        <v>1475</v>
      </c>
      <c r="JE263">
        <v>1468</v>
      </c>
      <c r="JF263">
        <v>0</v>
      </c>
      <c r="JG263">
        <v>1445</v>
      </c>
      <c r="JH263">
        <v>0</v>
      </c>
      <c r="JJ263">
        <v>180</v>
      </c>
      <c r="JK263">
        <v>445</v>
      </c>
      <c r="JN263">
        <v>330</v>
      </c>
      <c r="JO263">
        <v>465</v>
      </c>
      <c r="JP263">
        <v>0</v>
      </c>
      <c r="JQ263">
        <v>0</v>
      </c>
      <c r="JR263">
        <v>362</v>
      </c>
      <c r="JS263">
        <v>95</v>
      </c>
      <c r="JV263">
        <v>8</v>
      </c>
      <c r="JW263" t="s">
        <v>550</v>
      </c>
      <c r="JX263">
        <v>406</v>
      </c>
      <c r="KA263">
        <v>0</v>
      </c>
      <c r="KB263">
        <v>110</v>
      </c>
      <c r="KC263">
        <v>0</v>
      </c>
      <c r="KD263">
        <v>80</v>
      </c>
      <c r="KF263">
        <v>4</v>
      </c>
      <c r="KG263">
        <v>4</v>
      </c>
      <c r="KH263">
        <v>2</v>
      </c>
      <c r="KI263">
        <v>2</v>
      </c>
      <c r="KJ263">
        <v>0</v>
      </c>
      <c r="KK263">
        <v>1.5</v>
      </c>
      <c r="KL263">
        <v>1.5</v>
      </c>
      <c r="KM263">
        <v>0</v>
      </c>
      <c r="KN263">
        <v>0</v>
      </c>
      <c r="KO263">
        <v>0</v>
      </c>
      <c r="KR263">
        <v>30</v>
      </c>
      <c r="KS263">
        <v>60</v>
      </c>
      <c r="KT263">
        <v>0</v>
      </c>
      <c r="LK263">
        <v>480</v>
      </c>
      <c r="PG263">
        <v>1</v>
      </c>
      <c r="PI263" t="s">
        <v>3255</v>
      </c>
      <c r="PJ263" t="s">
        <v>3256</v>
      </c>
      <c r="PL263" t="s">
        <v>1464</v>
      </c>
      <c r="PP263" t="s">
        <v>1341</v>
      </c>
      <c r="PS263" t="s">
        <v>693</v>
      </c>
      <c r="PX263">
        <v>56</v>
      </c>
      <c r="PY263">
        <v>57</v>
      </c>
      <c r="PZ263" t="s">
        <v>3255</v>
      </c>
      <c r="QA263">
        <v>2</v>
      </c>
      <c r="QB263">
        <v>1445</v>
      </c>
      <c r="QC263">
        <v>69</v>
      </c>
      <c r="QD263">
        <v>69</v>
      </c>
      <c r="QE263" t="s">
        <v>1464</v>
      </c>
      <c r="QF263">
        <v>1</v>
      </c>
      <c r="QG263">
        <v>1475</v>
      </c>
      <c r="QH263">
        <v>66</v>
      </c>
      <c r="QI263">
        <v>66</v>
      </c>
      <c r="QJ263" t="s">
        <v>693</v>
      </c>
      <c r="QK263">
        <v>1</v>
      </c>
      <c r="QL263">
        <v>1475</v>
      </c>
      <c r="QM263">
        <v>63</v>
      </c>
      <c r="QN263">
        <v>63</v>
      </c>
      <c r="QO263" t="s">
        <v>3256</v>
      </c>
      <c r="QP263">
        <v>1</v>
      </c>
      <c r="QQ263">
        <v>1468</v>
      </c>
      <c r="QW263">
        <v>82</v>
      </c>
      <c r="QX263">
        <v>89</v>
      </c>
      <c r="QY263" t="s">
        <v>1341</v>
      </c>
      <c r="QZ263">
        <v>1</v>
      </c>
      <c r="RA263">
        <v>66</v>
      </c>
      <c r="RB263">
        <v>66</v>
      </c>
      <c r="RE263">
        <v>0</v>
      </c>
      <c r="RG263">
        <v>1</v>
      </c>
      <c r="RJ263">
        <v>1</v>
      </c>
      <c r="RK263">
        <v>2</v>
      </c>
      <c r="RL263">
        <v>2</v>
      </c>
      <c r="RO263">
        <v>467</v>
      </c>
      <c r="RP263">
        <v>105</v>
      </c>
      <c r="RQ263">
        <v>817</v>
      </c>
      <c r="RT263">
        <v>272</v>
      </c>
      <c r="RU263">
        <v>187</v>
      </c>
      <c r="RV263" t="s">
        <v>1344</v>
      </c>
      <c r="RW263" t="s">
        <v>707</v>
      </c>
      <c r="RX263">
        <v>15</v>
      </c>
      <c r="RY263">
        <v>4</v>
      </c>
      <c r="RZ263" t="s">
        <v>707</v>
      </c>
      <c r="SA263">
        <v>15</v>
      </c>
      <c r="SB263" t="s">
        <v>3257</v>
      </c>
      <c r="SC263" t="s">
        <v>3257</v>
      </c>
      <c r="SD263">
        <v>1</v>
      </c>
      <c r="SH263">
        <v>0.995</v>
      </c>
      <c r="SI263">
        <v>0.995</v>
      </c>
      <c r="SJ263">
        <v>0.995</v>
      </c>
      <c r="SK263">
        <v>15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1</v>
      </c>
      <c r="TB263">
        <v>0</v>
      </c>
      <c r="TC263">
        <v>0</v>
      </c>
      <c r="TD263">
        <v>7.5</v>
      </c>
      <c r="TE263" t="s">
        <v>553</v>
      </c>
      <c r="TF263" t="s">
        <v>624</v>
      </c>
      <c r="TG263" t="s">
        <v>555</v>
      </c>
      <c r="TI263" t="s">
        <v>546</v>
      </c>
      <c r="TJ263" t="s">
        <v>547</v>
      </c>
      <c r="TL263" t="s">
        <v>3054</v>
      </c>
      <c r="TM263" t="s">
        <v>513</v>
      </c>
      <c r="TN263">
        <v>0</v>
      </c>
      <c r="TO263" t="s">
        <v>557</v>
      </c>
    </row>
    <row r="264" spans="1:535">
      <c r="A264" t="s">
        <v>3258</v>
      </c>
      <c r="B264" t="s">
        <v>559</v>
      </c>
      <c r="C264" t="s">
        <v>509</v>
      </c>
      <c r="D264" t="s">
        <v>3259</v>
      </c>
      <c r="G264" t="s">
        <v>604</v>
      </c>
      <c r="I264" t="s">
        <v>628</v>
      </c>
      <c r="J264" t="s">
        <v>606</v>
      </c>
      <c r="L264" t="s">
        <v>512</v>
      </c>
      <c r="M264" t="s">
        <v>564</v>
      </c>
      <c r="N264" t="s">
        <v>513</v>
      </c>
      <c r="O264" t="s">
        <v>607</v>
      </c>
      <c r="Q264" t="s">
        <v>3260</v>
      </c>
      <c r="R264" t="s">
        <v>517</v>
      </c>
      <c r="S264" t="s">
        <v>1326</v>
      </c>
      <c r="T264" t="s">
        <v>1327</v>
      </c>
      <c r="U264" t="s">
        <v>570</v>
      </c>
      <c r="V264" t="s">
        <v>571</v>
      </c>
      <c r="W264" t="s">
        <v>1309</v>
      </c>
      <c r="X264" t="s">
        <v>3058</v>
      </c>
      <c r="Y264" t="s">
        <v>524</v>
      </c>
      <c r="Z264" t="s">
        <v>3261</v>
      </c>
      <c r="AA264" t="s">
        <v>3262</v>
      </c>
      <c r="AB264" t="s">
        <v>3263</v>
      </c>
      <c r="AC264">
        <v>2</v>
      </c>
      <c r="AD264">
        <v>57</v>
      </c>
      <c r="AE264">
        <v>219</v>
      </c>
      <c r="AF264">
        <v>1.5</v>
      </c>
      <c r="AH264">
        <v>0</v>
      </c>
      <c r="AI264" t="s">
        <v>615</v>
      </c>
      <c r="AJ264">
        <v>200</v>
      </c>
      <c r="AK264">
        <v>1</v>
      </c>
      <c r="AL264">
        <v>1.5</v>
      </c>
      <c r="AM264" t="s">
        <v>579</v>
      </c>
      <c r="AN264" t="s">
        <v>693</v>
      </c>
      <c r="AO264">
        <v>2</v>
      </c>
      <c r="AP264" t="s">
        <v>581</v>
      </c>
      <c r="AQ264" t="s">
        <v>582</v>
      </c>
      <c r="AR264">
        <v>238</v>
      </c>
      <c r="AS264">
        <v>1.5</v>
      </c>
      <c r="AT264" t="s">
        <v>583</v>
      </c>
      <c r="AU264" t="s">
        <v>3264</v>
      </c>
      <c r="AW264" t="s">
        <v>3264</v>
      </c>
      <c r="AX264">
        <v>1</v>
      </c>
      <c r="AY264">
        <v>280</v>
      </c>
      <c r="AZ264">
        <v>1.5</v>
      </c>
      <c r="BA264" t="s">
        <v>579</v>
      </c>
      <c r="BB264" t="s">
        <v>3265</v>
      </c>
      <c r="BD264" t="s">
        <v>3265</v>
      </c>
      <c r="BE264">
        <v>1</v>
      </c>
      <c r="BF264">
        <v>245</v>
      </c>
      <c r="BG264">
        <v>1.5</v>
      </c>
      <c r="BJ264">
        <v>0</v>
      </c>
      <c r="BN264">
        <v>1.5</v>
      </c>
      <c r="BP264" t="s">
        <v>1374</v>
      </c>
      <c r="BQ264" t="s">
        <v>587</v>
      </c>
      <c r="BR264">
        <v>2</v>
      </c>
      <c r="BS264" t="s">
        <v>799</v>
      </c>
      <c r="BT264">
        <v>218</v>
      </c>
      <c r="BU264">
        <v>0.5</v>
      </c>
      <c r="BV264" t="s">
        <v>799</v>
      </c>
      <c r="BW264">
        <v>436</v>
      </c>
      <c r="BX264">
        <v>1</v>
      </c>
      <c r="BY264" t="s">
        <v>589</v>
      </c>
      <c r="BZ264">
        <v>300</v>
      </c>
      <c r="CA264">
        <v>500</v>
      </c>
      <c r="CB264" t="s">
        <v>590</v>
      </c>
      <c r="CC264" t="s">
        <v>590</v>
      </c>
      <c r="CD264">
        <v>455</v>
      </c>
      <c r="CE264" t="s">
        <v>591</v>
      </c>
      <c r="CF264">
        <v>15</v>
      </c>
      <c r="CG264" t="s">
        <v>1290</v>
      </c>
      <c r="CH264" t="s">
        <v>1290</v>
      </c>
      <c r="CI264">
        <v>100</v>
      </c>
      <c r="CJ264">
        <v>1538</v>
      </c>
      <c r="CK264">
        <v>2</v>
      </c>
      <c r="CL264">
        <v>1632</v>
      </c>
      <c r="CM264">
        <v>2</v>
      </c>
      <c r="CN264" t="s">
        <v>593</v>
      </c>
      <c r="CO264" t="s">
        <v>594</v>
      </c>
      <c r="CP264" t="s">
        <v>595</v>
      </c>
      <c r="CQ264" t="s">
        <v>596</v>
      </c>
      <c r="CR264" t="s">
        <v>541</v>
      </c>
      <c r="CS264" t="s">
        <v>542</v>
      </c>
      <c r="CT264">
        <v>400</v>
      </c>
      <c r="CU264">
        <v>5</v>
      </c>
      <c r="CV264">
        <v>1.2</v>
      </c>
      <c r="CW264">
        <v>1554</v>
      </c>
      <c r="CX264">
        <v>881</v>
      </c>
      <c r="CY264" t="s">
        <v>705</v>
      </c>
      <c r="CZ264">
        <v>50</v>
      </c>
      <c r="DA264">
        <v>3</v>
      </c>
      <c r="DB264">
        <v>1</v>
      </c>
      <c r="DC264">
        <v>1554</v>
      </c>
      <c r="DD264">
        <v>82</v>
      </c>
      <c r="DE264" t="s">
        <v>622</v>
      </c>
      <c r="DF264">
        <v>560</v>
      </c>
      <c r="DG264">
        <v>3</v>
      </c>
      <c r="DH264">
        <v>0.88</v>
      </c>
      <c r="DI264">
        <v>1547</v>
      </c>
      <c r="DJ264">
        <v>1018</v>
      </c>
      <c r="DK264" t="s">
        <v>622</v>
      </c>
      <c r="DL264">
        <v>490</v>
      </c>
      <c r="DM264">
        <v>3</v>
      </c>
      <c r="DN264">
        <v>0.88</v>
      </c>
      <c r="DO264">
        <v>1552</v>
      </c>
      <c r="DP264">
        <v>832</v>
      </c>
      <c r="DW264" t="s">
        <v>544</v>
      </c>
      <c r="DX264">
        <v>7.5</v>
      </c>
      <c r="EA264">
        <v>1623.8</v>
      </c>
      <c r="EB264">
        <v>382</v>
      </c>
      <c r="EC264" t="s">
        <v>545</v>
      </c>
      <c r="ED264">
        <v>30</v>
      </c>
      <c r="EE264">
        <v>3</v>
      </c>
      <c r="EG264">
        <v>1675</v>
      </c>
      <c r="EH264">
        <v>198</v>
      </c>
      <c r="EJ264">
        <v>0</v>
      </c>
      <c r="EK264">
        <v>1</v>
      </c>
      <c r="EN264">
        <v>0</v>
      </c>
      <c r="EP264" t="s">
        <v>546</v>
      </c>
      <c r="EQ264">
        <v>105</v>
      </c>
      <c r="ER264">
        <v>3</v>
      </c>
      <c r="ES264">
        <v>5.5</v>
      </c>
      <c r="ET264">
        <v>1534</v>
      </c>
      <c r="EU264">
        <v>453.2</v>
      </c>
      <c r="EV264">
        <v>695</v>
      </c>
      <c r="EW264" t="s">
        <v>547</v>
      </c>
      <c r="EX264">
        <v>45</v>
      </c>
      <c r="EY264">
        <v>2</v>
      </c>
      <c r="EZ264">
        <v>4.3</v>
      </c>
      <c r="FA264">
        <v>1534</v>
      </c>
      <c r="FB264">
        <v>140.3</v>
      </c>
      <c r="FC264">
        <v>215</v>
      </c>
      <c r="FE264">
        <v>0</v>
      </c>
      <c r="FF264">
        <v>2</v>
      </c>
      <c r="FI264">
        <v>0</v>
      </c>
      <c r="FK264" t="s">
        <v>548</v>
      </c>
      <c r="FL264">
        <v>0.4</v>
      </c>
      <c r="FM264">
        <v>45</v>
      </c>
      <c r="FN264">
        <v>370</v>
      </c>
      <c r="FO264">
        <v>75</v>
      </c>
      <c r="FP264">
        <v>170</v>
      </c>
      <c r="GR264" t="s">
        <v>548</v>
      </c>
      <c r="GS264">
        <v>0.4</v>
      </c>
      <c r="GT264">
        <v>30</v>
      </c>
      <c r="GU264">
        <v>400</v>
      </c>
      <c r="GV264">
        <v>30</v>
      </c>
      <c r="GW264">
        <v>290</v>
      </c>
      <c r="HC264">
        <v>0.1</v>
      </c>
      <c r="HD264">
        <v>3</v>
      </c>
      <c r="HE264">
        <v>3</v>
      </c>
      <c r="HF264">
        <v>3</v>
      </c>
      <c r="HG264">
        <v>3</v>
      </c>
      <c r="HH264">
        <v>3</v>
      </c>
      <c r="HI264">
        <v>135</v>
      </c>
      <c r="HJ264">
        <v>3</v>
      </c>
      <c r="HK264">
        <v>30</v>
      </c>
      <c r="HL264">
        <v>2</v>
      </c>
      <c r="HM264">
        <v>0</v>
      </c>
      <c r="HN264">
        <v>2</v>
      </c>
      <c r="HO264">
        <v>90</v>
      </c>
      <c r="HP264">
        <v>3</v>
      </c>
      <c r="HQ264">
        <v>0</v>
      </c>
      <c r="HR264">
        <v>2</v>
      </c>
      <c r="HS264">
        <v>5875</v>
      </c>
      <c r="HT264">
        <v>180</v>
      </c>
      <c r="HU264">
        <v>180</v>
      </c>
      <c r="HW264">
        <v>0</v>
      </c>
      <c r="HX264">
        <v>440</v>
      </c>
      <c r="HY264">
        <v>0.18</v>
      </c>
      <c r="IA264">
        <v>0.15</v>
      </c>
      <c r="IB264">
        <v>0</v>
      </c>
      <c r="IC264">
        <v>180</v>
      </c>
      <c r="ID264">
        <v>110</v>
      </c>
      <c r="IE264">
        <v>225</v>
      </c>
      <c r="IF264">
        <v>0</v>
      </c>
      <c r="IH264" t="s">
        <v>549</v>
      </c>
      <c r="IO264">
        <v>3</v>
      </c>
      <c r="IP264">
        <v>20</v>
      </c>
      <c r="IQ264">
        <v>0</v>
      </c>
      <c r="IR264">
        <v>0</v>
      </c>
      <c r="IV264">
        <v>1538</v>
      </c>
      <c r="IW264">
        <v>436</v>
      </c>
      <c r="JA264">
        <v>1</v>
      </c>
      <c r="JB264">
        <v>0</v>
      </c>
      <c r="JC264">
        <v>2</v>
      </c>
      <c r="JD264">
        <v>1554</v>
      </c>
      <c r="JE264">
        <v>1547</v>
      </c>
      <c r="JF264">
        <v>1552</v>
      </c>
      <c r="JG264">
        <v>1534</v>
      </c>
      <c r="JH264">
        <v>0</v>
      </c>
      <c r="JJ264">
        <v>180</v>
      </c>
      <c r="JK264">
        <v>440</v>
      </c>
      <c r="JN264">
        <v>400</v>
      </c>
      <c r="JO264">
        <v>560</v>
      </c>
      <c r="JP264">
        <v>490</v>
      </c>
      <c r="JQ264">
        <v>0</v>
      </c>
      <c r="JR264">
        <v>438</v>
      </c>
      <c r="JS264">
        <v>135</v>
      </c>
      <c r="JV264">
        <v>8</v>
      </c>
      <c r="JW264" t="s">
        <v>550</v>
      </c>
      <c r="JX264">
        <v>476</v>
      </c>
      <c r="KA264">
        <v>225</v>
      </c>
      <c r="KB264">
        <v>110</v>
      </c>
      <c r="KC264">
        <v>0</v>
      </c>
      <c r="KD264">
        <v>80</v>
      </c>
      <c r="KF264">
        <v>4</v>
      </c>
      <c r="KG264">
        <v>4</v>
      </c>
      <c r="KH264">
        <v>2</v>
      </c>
      <c r="KI264">
        <v>2</v>
      </c>
      <c r="KJ264">
        <v>0</v>
      </c>
      <c r="KK264">
        <v>1.5</v>
      </c>
      <c r="KL264">
        <v>1.5</v>
      </c>
      <c r="KM264">
        <v>0</v>
      </c>
      <c r="KN264">
        <v>0</v>
      </c>
      <c r="KO264">
        <v>0</v>
      </c>
      <c r="KR264">
        <v>30</v>
      </c>
      <c r="KS264">
        <v>60</v>
      </c>
      <c r="KT264">
        <v>0</v>
      </c>
      <c r="LK264">
        <v>480</v>
      </c>
      <c r="PG264">
        <v>1</v>
      </c>
      <c r="PI264" t="s">
        <v>3263</v>
      </c>
      <c r="PJ264" t="s">
        <v>3264</v>
      </c>
      <c r="PK264" t="s">
        <v>3265</v>
      </c>
      <c r="PL264" t="s">
        <v>615</v>
      </c>
      <c r="PP264" t="s">
        <v>1374</v>
      </c>
      <c r="PS264" t="s">
        <v>693</v>
      </c>
      <c r="PX264">
        <v>56</v>
      </c>
      <c r="PY264">
        <v>57</v>
      </c>
      <c r="PZ264" t="s">
        <v>3263</v>
      </c>
      <c r="QA264">
        <v>1</v>
      </c>
      <c r="QB264">
        <v>1534</v>
      </c>
      <c r="QC264">
        <v>69</v>
      </c>
      <c r="QD264">
        <v>69</v>
      </c>
      <c r="QE264" t="s">
        <v>615</v>
      </c>
      <c r="QF264">
        <v>1</v>
      </c>
      <c r="QG264">
        <v>1554</v>
      </c>
      <c r="QH264">
        <v>66</v>
      </c>
      <c r="QI264">
        <v>66</v>
      </c>
      <c r="QJ264" t="s">
        <v>693</v>
      </c>
      <c r="QK264">
        <v>1</v>
      </c>
      <c r="QL264">
        <v>1554</v>
      </c>
      <c r="QM264">
        <v>62</v>
      </c>
      <c r="QN264">
        <v>62</v>
      </c>
      <c r="QO264" t="s">
        <v>3264</v>
      </c>
      <c r="QP264">
        <v>1</v>
      </c>
      <c r="QQ264">
        <v>1547</v>
      </c>
      <c r="QR264">
        <v>62</v>
      </c>
      <c r="QS264">
        <v>62</v>
      </c>
      <c r="QT264" t="s">
        <v>3265</v>
      </c>
      <c r="QU264">
        <v>1</v>
      </c>
      <c r="QV264">
        <v>1552</v>
      </c>
      <c r="QW264">
        <v>82</v>
      </c>
      <c r="QX264" t="s">
        <v>587</v>
      </c>
      <c r="QY264" t="s">
        <v>1374</v>
      </c>
      <c r="QZ264">
        <v>3</v>
      </c>
      <c r="RA264">
        <v>66</v>
      </c>
      <c r="RB264">
        <v>66</v>
      </c>
      <c r="RE264">
        <v>0</v>
      </c>
      <c r="RF264">
        <v>1</v>
      </c>
      <c r="RH264">
        <v>1</v>
      </c>
      <c r="RJ264">
        <v>1</v>
      </c>
      <c r="RK264">
        <v>2</v>
      </c>
      <c r="RL264">
        <v>4</v>
      </c>
      <c r="RM264">
        <v>4</v>
      </c>
      <c r="RO264">
        <v>567</v>
      </c>
      <c r="RP264">
        <v>105</v>
      </c>
      <c r="RQ264">
        <v>658</v>
      </c>
      <c r="RR264">
        <v>536</v>
      </c>
      <c r="RT264">
        <v>382</v>
      </c>
      <c r="RU264">
        <v>198</v>
      </c>
      <c r="RV264" t="s">
        <v>801</v>
      </c>
      <c r="RW264" t="s">
        <v>599</v>
      </c>
      <c r="RX264">
        <v>15</v>
      </c>
      <c r="RY264">
        <v>4</v>
      </c>
      <c r="RZ264" t="s">
        <v>599</v>
      </c>
      <c r="SA264">
        <v>15</v>
      </c>
      <c r="SC264" t="s">
        <v>3264</v>
      </c>
      <c r="SD264">
        <v>1</v>
      </c>
      <c r="SF264" t="s">
        <v>3265</v>
      </c>
      <c r="SG264">
        <v>1</v>
      </c>
      <c r="SH264">
        <v>0.995</v>
      </c>
      <c r="SI264">
        <v>0.995</v>
      </c>
      <c r="SJ264">
        <v>0.995</v>
      </c>
      <c r="SK264">
        <v>15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1</v>
      </c>
      <c r="SZ264">
        <v>1</v>
      </c>
      <c r="TB264">
        <v>0</v>
      </c>
      <c r="TC264">
        <v>0</v>
      </c>
      <c r="TD264">
        <v>7.5</v>
      </c>
      <c r="TE264" t="s">
        <v>553</v>
      </c>
      <c r="TF264" t="s">
        <v>681</v>
      </c>
      <c r="TG264" t="s">
        <v>555</v>
      </c>
      <c r="TI264" t="s">
        <v>546</v>
      </c>
      <c r="TJ264" t="s">
        <v>547</v>
      </c>
      <c r="TL264" t="s">
        <v>3054</v>
      </c>
      <c r="TM264" t="s">
        <v>513</v>
      </c>
      <c r="TN264">
        <v>0</v>
      </c>
      <c r="TO264" t="s">
        <v>601</v>
      </c>
    </row>
    <row r="265" spans="1:535">
      <c r="A265" t="s">
        <v>3266</v>
      </c>
      <c r="B265" t="s">
        <v>657</v>
      </c>
      <c r="C265" t="s">
        <v>509</v>
      </c>
      <c r="D265" t="s">
        <v>2508</v>
      </c>
      <c r="G265" t="s">
        <v>604</v>
      </c>
      <c r="I265" t="s">
        <v>628</v>
      </c>
      <c r="J265" t="s">
        <v>606</v>
      </c>
      <c r="L265" t="s">
        <v>512</v>
      </c>
      <c r="M265" t="s">
        <v>559</v>
      </c>
      <c r="N265" t="s">
        <v>513</v>
      </c>
      <c r="O265" t="s">
        <v>607</v>
      </c>
      <c r="Q265" t="s">
        <v>3267</v>
      </c>
      <c r="R265" t="s">
        <v>517</v>
      </c>
      <c r="S265" t="s">
        <v>1718</v>
      </c>
      <c r="T265" t="s">
        <v>610</v>
      </c>
      <c r="U265" t="s">
        <v>1482</v>
      </c>
      <c r="V265" t="s">
        <v>1483</v>
      </c>
      <c r="W265" t="s">
        <v>2510</v>
      </c>
      <c r="X265" t="s">
        <v>3048</v>
      </c>
      <c r="Y265" t="s">
        <v>524</v>
      </c>
      <c r="Z265" t="s">
        <v>3268</v>
      </c>
      <c r="AA265" t="s">
        <v>3269</v>
      </c>
      <c r="AB265" t="s">
        <v>3270</v>
      </c>
      <c r="AC265">
        <v>2</v>
      </c>
      <c r="AD265">
        <v>57</v>
      </c>
      <c r="AE265">
        <v>186</v>
      </c>
      <c r="AF265">
        <v>1.5</v>
      </c>
      <c r="AH265">
        <v>0</v>
      </c>
      <c r="AI265" t="s">
        <v>825</v>
      </c>
      <c r="AJ265">
        <v>197.5</v>
      </c>
      <c r="AK265">
        <v>1</v>
      </c>
      <c r="AL265">
        <v>1.5</v>
      </c>
      <c r="AM265" t="s">
        <v>529</v>
      </c>
      <c r="AO265">
        <v>0</v>
      </c>
      <c r="AR265">
        <v>0</v>
      </c>
      <c r="AS265">
        <v>1.5</v>
      </c>
      <c r="AU265" t="s">
        <v>3271</v>
      </c>
      <c r="AW265" t="s">
        <v>3271</v>
      </c>
      <c r="AX265">
        <v>1</v>
      </c>
      <c r="AY265">
        <v>360</v>
      </c>
      <c r="AZ265">
        <v>1.5</v>
      </c>
      <c r="BA265" t="s">
        <v>529</v>
      </c>
      <c r="BG265">
        <v>1.5</v>
      </c>
      <c r="BJ265">
        <v>0</v>
      </c>
      <c r="BN265">
        <v>1.5</v>
      </c>
      <c r="BP265" t="s">
        <v>1976</v>
      </c>
      <c r="BQ265">
        <v>88</v>
      </c>
      <c r="BR265">
        <v>2</v>
      </c>
      <c r="BS265" t="s">
        <v>1490</v>
      </c>
      <c r="BT265">
        <v>210</v>
      </c>
      <c r="BU265">
        <v>0.5</v>
      </c>
      <c r="BV265" t="s">
        <v>1490</v>
      </c>
      <c r="BW265">
        <v>420</v>
      </c>
      <c r="BX265">
        <v>1</v>
      </c>
      <c r="BY265" t="s">
        <v>1491</v>
      </c>
      <c r="BZ265">
        <v>300</v>
      </c>
      <c r="CA265">
        <v>520</v>
      </c>
      <c r="CB265" t="s">
        <v>1492</v>
      </c>
      <c r="CC265" t="s">
        <v>1492</v>
      </c>
      <c r="CD265">
        <v>430</v>
      </c>
      <c r="CE265" t="s">
        <v>1493</v>
      </c>
      <c r="CF265">
        <v>15</v>
      </c>
      <c r="CG265" t="s">
        <v>1624</v>
      </c>
      <c r="CH265" t="s">
        <v>1624</v>
      </c>
      <c r="CI265">
        <v>110</v>
      </c>
      <c r="CJ265">
        <v>1122</v>
      </c>
      <c r="CK265">
        <v>2</v>
      </c>
      <c r="CL265">
        <v>1222</v>
      </c>
      <c r="CM265">
        <v>2</v>
      </c>
      <c r="CN265" t="s">
        <v>1495</v>
      </c>
      <c r="CO265" t="s">
        <v>1473</v>
      </c>
      <c r="CP265" t="s">
        <v>1474</v>
      </c>
      <c r="CQ265" t="s">
        <v>1496</v>
      </c>
      <c r="CR265" t="s">
        <v>541</v>
      </c>
      <c r="CS265" t="s">
        <v>542</v>
      </c>
      <c r="CT265">
        <v>395</v>
      </c>
      <c r="CU265">
        <v>5</v>
      </c>
      <c r="CV265">
        <v>1.3</v>
      </c>
      <c r="CW265">
        <v>1136</v>
      </c>
      <c r="CX265">
        <v>690</v>
      </c>
      <c r="DD265">
        <v>0</v>
      </c>
      <c r="DE265" t="s">
        <v>622</v>
      </c>
      <c r="DF265">
        <v>720</v>
      </c>
      <c r="DG265">
        <v>3</v>
      </c>
      <c r="DH265">
        <v>0.88</v>
      </c>
      <c r="DI265">
        <v>1134</v>
      </c>
      <c r="DJ265">
        <v>963</v>
      </c>
      <c r="DW265" t="s">
        <v>544</v>
      </c>
      <c r="DX265">
        <v>7.5</v>
      </c>
      <c r="EA265">
        <v>1202.7</v>
      </c>
      <c r="EB265">
        <v>157</v>
      </c>
      <c r="EC265" t="s">
        <v>545</v>
      </c>
      <c r="ED265">
        <v>30</v>
      </c>
      <c r="EE265">
        <v>3</v>
      </c>
      <c r="EG265">
        <v>1233</v>
      </c>
      <c r="EH265">
        <v>144</v>
      </c>
      <c r="EJ265">
        <v>0</v>
      </c>
      <c r="EK265">
        <v>1</v>
      </c>
      <c r="EN265">
        <v>0</v>
      </c>
      <c r="EP265" t="s">
        <v>546</v>
      </c>
      <c r="EQ265">
        <v>110</v>
      </c>
      <c r="ER265">
        <v>3</v>
      </c>
      <c r="ES265">
        <v>5</v>
      </c>
      <c r="ET265">
        <v>1117</v>
      </c>
      <c r="EU265">
        <v>423.4</v>
      </c>
      <c r="EV265">
        <v>473</v>
      </c>
      <c r="EW265" t="s">
        <v>547</v>
      </c>
      <c r="EX265">
        <v>70</v>
      </c>
      <c r="EY265">
        <v>2</v>
      </c>
      <c r="EZ265">
        <v>4.3</v>
      </c>
      <c r="FA265">
        <v>1117</v>
      </c>
      <c r="FB265">
        <v>210.8</v>
      </c>
      <c r="FC265">
        <v>235</v>
      </c>
      <c r="FE265">
        <v>0</v>
      </c>
      <c r="FF265">
        <v>2</v>
      </c>
      <c r="FI265">
        <v>0</v>
      </c>
      <c r="FK265" t="s">
        <v>548</v>
      </c>
      <c r="FL265">
        <v>0.6</v>
      </c>
      <c r="FM265">
        <v>85</v>
      </c>
      <c r="FN265">
        <v>100</v>
      </c>
      <c r="FR265" t="s">
        <v>548</v>
      </c>
      <c r="FS265">
        <v>0.4</v>
      </c>
      <c r="FT265">
        <v>30</v>
      </c>
      <c r="FU265">
        <v>380</v>
      </c>
      <c r="HC265">
        <v>0.1</v>
      </c>
      <c r="HD265">
        <v>3</v>
      </c>
      <c r="HE265">
        <v>3</v>
      </c>
      <c r="HF265">
        <v>3</v>
      </c>
      <c r="HG265">
        <v>3</v>
      </c>
      <c r="HH265">
        <v>3</v>
      </c>
      <c r="HI265">
        <v>165</v>
      </c>
      <c r="HJ265">
        <v>3</v>
      </c>
      <c r="HK265">
        <v>55</v>
      </c>
      <c r="HL265">
        <v>2</v>
      </c>
      <c r="HM265">
        <v>0</v>
      </c>
      <c r="HN265">
        <v>2</v>
      </c>
      <c r="HO265">
        <v>95</v>
      </c>
      <c r="HP265">
        <v>3</v>
      </c>
      <c r="HQ265">
        <v>0</v>
      </c>
      <c r="HR265">
        <v>2</v>
      </c>
      <c r="HS265">
        <v>3671</v>
      </c>
      <c r="HT265">
        <v>110</v>
      </c>
      <c r="HU265">
        <v>180</v>
      </c>
      <c r="HW265">
        <v>20</v>
      </c>
      <c r="HX265">
        <v>480</v>
      </c>
      <c r="HY265">
        <v>0.18</v>
      </c>
      <c r="IA265">
        <v>0.15</v>
      </c>
      <c r="IB265">
        <v>0</v>
      </c>
      <c r="IC265">
        <v>180</v>
      </c>
      <c r="ID265">
        <v>110</v>
      </c>
      <c r="IE265">
        <v>0</v>
      </c>
      <c r="IF265">
        <v>0</v>
      </c>
      <c r="IH265" t="s">
        <v>549</v>
      </c>
      <c r="IO265">
        <v>1</v>
      </c>
      <c r="IP265">
        <v>15</v>
      </c>
      <c r="IQ265">
        <v>0</v>
      </c>
      <c r="IR265">
        <v>1</v>
      </c>
      <c r="IV265">
        <v>1122</v>
      </c>
      <c r="IW265">
        <v>420</v>
      </c>
      <c r="JA265">
        <v>1</v>
      </c>
      <c r="JB265">
        <v>0</v>
      </c>
      <c r="JC265">
        <v>2</v>
      </c>
      <c r="JD265">
        <v>1136</v>
      </c>
      <c r="JE265">
        <v>1134</v>
      </c>
      <c r="JF265">
        <v>0</v>
      </c>
      <c r="JG265">
        <v>1117</v>
      </c>
      <c r="JH265">
        <v>0</v>
      </c>
      <c r="JJ265">
        <v>180</v>
      </c>
      <c r="JK265">
        <v>480</v>
      </c>
      <c r="JN265">
        <v>395</v>
      </c>
      <c r="JO265">
        <v>720</v>
      </c>
      <c r="JP265">
        <v>0</v>
      </c>
      <c r="JQ265">
        <v>0</v>
      </c>
      <c r="JR265">
        <v>372</v>
      </c>
      <c r="JS265">
        <v>165</v>
      </c>
      <c r="JV265">
        <v>8</v>
      </c>
      <c r="JW265" t="s">
        <v>550</v>
      </c>
      <c r="JX265">
        <v>0</v>
      </c>
      <c r="KA265">
        <v>0</v>
      </c>
      <c r="KB265">
        <v>110</v>
      </c>
      <c r="KC265">
        <v>0</v>
      </c>
      <c r="KD265">
        <v>80</v>
      </c>
      <c r="KF265">
        <v>4</v>
      </c>
      <c r="KG265">
        <v>4</v>
      </c>
      <c r="KH265">
        <v>2</v>
      </c>
      <c r="KI265">
        <v>2</v>
      </c>
      <c r="KJ265">
        <v>0</v>
      </c>
      <c r="KK265">
        <v>1.5</v>
      </c>
      <c r="KL265">
        <v>1.5</v>
      </c>
      <c r="KM265">
        <v>0</v>
      </c>
      <c r="KN265">
        <v>0</v>
      </c>
      <c r="KO265">
        <v>0</v>
      </c>
      <c r="KR265">
        <v>50</v>
      </c>
      <c r="KS265">
        <v>60</v>
      </c>
      <c r="KT265">
        <v>0</v>
      </c>
      <c r="LK265">
        <v>480</v>
      </c>
      <c r="PG265">
        <v>1</v>
      </c>
      <c r="PI265" t="s">
        <v>3270</v>
      </c>
      <c r="PJ265" t="s">
        <v>3271</v>
      </c>
      <c r="PL265" t="s">
        <v>825</v>
      </c>
      <c r="PP265" t="s">
        <v>1976</v>
      </c>
      <c r="PX265">
        <v>56</v>
      </c>
      <c r="PY265">
        <v>57</v>
      </c>
      <c r="PZ265" t="s">
        <v>3270</v>
      </c>
      <c r="QA265">
        <v>1</v>
      </c>
      <c r="QB265">
        <v>1117</v>
      </c>
      <c r="QC265">
        <v>69</v>
      </c>
      <c r="QD265">
        <v>69</v>
      </c>
      <c r="QE265" t="s">
        <v>825</v>
      </c>
      <c r="QF265">
        <v>2</v>
      </c>
      <c r="QG265">
        <v>1136</v>
      </c>
      <c r="QH265">
        <v>66</v>
      </c>
      <c r="QI265">
        <v>66</v>
      </c>
      <c r="QL265">
        <v>0</v>
      </c>
      <c r="QM265">
        <v>62</v>
      </c>
      <c r="QN265">
        <v>62</v>
      </c>
      <c r="QO265" t="s">
        <v>3271</v>
      </c>
      <c r="QP265">
        <v>1</v>
      </c>
      <c r="QQ265">
        <v>1134</v>
      </c>
      <c r="QW265">
        <v>82</v>
      </c>
      <c r="QX265">
        <v>88</v>
      </c>
      <c r="QY265" t="s">
        <v>1976</v>
      </c>
      <c r="QZ265">
        <v>1</v>
      </c>
      <c r="RA265">
        <v>66</v>
      </c>
      <c r="RB265">
        <v>66</v>
      </c>
      <c r="RE265">
        <v>0</v>
      </c>
      <c r="RF265">
        <v>1</v>
      </c>
      <c r="RJ265">
        <v>1</v>
      </c>
      <c r="RL265">
        <v>3</v>
      </c>
      <c r="RO265">
        <v>607</v>
      </c>
      <c r="RQ265">
        <v>849</v>
      </c>
      <c r="RT265">
        <v>157</v>
      </c>
      <c r="RU265">
        <v>144</v>
      </c>
      <c r="RV265" t="s">
        <v>1497</v>
      </c>
      <c r="RW265" t="s">
        <v>1498</v>
      </c>
      <c r="RX265">
        <v>15</v>
      </c>
      <c r="RY265">
        <v>4</v>
      </c>
      <c r="RZ265" t="s">
        <v>1498</v>
      </c>
      <c r="SA265">
        <v>15</v>
      </c>
      <c r="SC265" t="s">
        <v>3271</v>
      </c>
      <c r="SD265">
        <v>1</v>
      </c>
      <c r="SH265">
        <v>0.995</v>
      </c>
      <c r="SI265">
        <v>0.995</v>
      </c>
      <c r="SJ265">
        <v>0.995</v>
      </c>
      <c r="SK265">
        <v>15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TB265">
        <v>0</v>
      </c>
      <c r="TC265">
        <v>0</v>
      </c>
      <c r="TD265">
        <v>7.5</v>
      </c>
      <c r="TE265" t="s">
        <v>553</v>
      </c>
      <c r="TF265" t="s">
        <v>754</v>
      </c>
      <c r="TG265" t="s">
        <v>555</v>
      </c>
      <c r="TI265" t="s">
        <v>546</v>
      </c>
      <c r="TJ265" t="s">
        <v>547</v>
      </c>
      <c r="TL265" t="s">
        <v>3054</v>
      </c>
      <c r="TM265" t="s">
        <v>513</v>
      </c>
      <c r="TN265">
        <v>0</v>
      </c>
      <c r="TO265" t="s">
        <v>557</v>
      </c>
    </row>
    <row r="266" spans="1:535">
      <c r="A266" t="s">
        <v>3272</v>
      </c>
      <c r="B266" t="s">
        <v>559</v>
      </c>
      <c r="C266" t="s">
        <v>509</v>
      </c>
      <c r="D266" t="s">
        <v>2508</v>
      </c>
      <c r="G266" t="s">
        <v>604</v>
      </c>
      <c r="I266" t="s">
        <v>628</v>
      </c>
      <c r="J266" t="s">
        <v>606</v>
      </c>
      <c r="L266" t="s">
        <v>512</v>
      </c>
      <c r="M266" t="s">
        <v>564</v>
      </c>
      <c r="N266" t="s">
        <v>513</v>
      </c>
      <c r="O266" t="s">
        <v>607</v>
      </c>
      <c r="Q266" t="s">
        <v>3273</v>
      </c>
      <c r="R266" t="s">
        <v>517</v>
      </c>
      <c r="S266" t="s">
        <v>1811</v>
      </c>
      <c r="T266" t="s">
        <v>1812</v>
      </c>
      <c r="U266" t="s">
        <v>520</v>
      </c>
      <c r="V266" t="s">
        <v>521</v>
      </c>
      <c r="W266" t="s">
        <v>3274</v>
      </c>
      <c r="X266" t="s">
        <v>3048</v>
      </c>
      <c r="Y266" t="s">
        <v>524</v>
      </c>
      <c r="Z266" t="s">
        <v>3275</v>
      </c>
      <c r="AA266" t="s">
        <v>3276</v>
      </c>
      <c r="AB266" t="s">
        <v>3277</v>
      </c>
      <c r="AC266">
        <v>2</v>
      </c>
      <c r="AD266">
        <v>57</v>
      </c>
      <c r="AE266">
        <v>160</v>
      </c>
      <c r="AF266">
        <v>1.5</v>
      </c>
      <c r="AH266">
        <v>0</v>
      </c>
      <c r="AI266" t="s">
        <v>3278</v>
      </c>
      <c r="AJ266">
        <v>172.5</v>
      </c>
      <c r="AK266">
        <v>1</v>
      </c>
      <c r="AL266">
        <v>1.5</v>
      </c>
      <c r="AM266" t="s">
        <v>529</v>
      </c>
      <c r="AO266">
        <v>0</v>
      </c>
      <c r="AR266">
        <v>0</v>
      </c>
      <c r="AS266">
        <v>1.5</v>
      </c>
      <c r="AV266" t="s">
        <v>3279</v>
      </c>
      <c r="AW266" t="s">
        <v>3279</v>
      </c>
      <c r="AX266">
        <v>1</v>
      </c>
      <c r="AY266">
        <v>242.5</v>
      </c>
      <c r="AZ266">
        <v>1.5</v>
      </c>
      <c r="BA266" t="s">
        <v>529</v>
      </c>
      <c r="BG266">
        <v>1.5</v>
      </c>
      <c r="BJ266">
        <v>0</v>
      </c>
      <c r="BN266">
        <v>1.5</v>
      </c>
      <c r="BP266" t="s">
        <v>3280</v>
      </c>
      <c r="BQ266">
        <v>89</v>
      </c>
      <c r="BR266">
        <v>2</v>
      </c>
      <c r="BS266" t="s">
        <v>3118</v>
      </c>
      <c r="BT266">
        <v>182</v>
      </c>
      <c r="BU266">
        <v>0.5</v>
      </c>
      <c r="BV266" t="s">
        <v>3118</v>
      </c>
      <c r="BW266">
        <v>364</v>
      </c>
      <c r="BX266">
        <v>1</v>
      </c>
      <c r="BY266" t="s">
        <v>533</v>
      </c>
      <c r="BZ266">
        <v>300</v>
      </c>
      <c r="CA266">
        <v>460</v>
      </c>
      <c r="CB266" t="s">
        <v>534</v>
      </c>
      <c r="CC266" t="s">
        <v>534</v>
      </c>
      <c r="CD266">
        <v>384</v>
      </c>
      <c r="CE266" t="s">
        <v>535</v>
      </c>
      <c r="CF266">
        <v>15</v>
      </c>
      <c r="CG266" t="s">
        <v>738</v>
      </c>
      <c r="CH266" t="s">
        <v>738</v>
      </c>
      <c r="CI266">
        <v>80</v>
      </c>
      <c r="CJ266">
        <v>1200</v>
      </c>
      <c r="CK266">
        <v>2</v>
      </c>
      <c r="CL266">
        <v>1301</v>
      </c>
      <c r="CM266">
        <v>2</v>
      </c>
      <c r="CN266" t="s">
        <v>537</v>
      </c>
      <c r="CO266" t="s">
        <v>538</v>
      </c>
      <c r="CP266" t="s">
        <v>539</v>
      </c>
      <c r="CQ266" t="s">
        <v>649</v>
      </c>
      <c r="CR266" t="s">
        <v>650</v>
      </c>
      <c r="CS266" t="s">
        <v>542</v>
      </c>
      <c r="CT266">
        <v>345</v>
      </c>
      <c r="CU266">
        <v>5</v>
      </c>
      <c r="CV266">
        <v>1.3</v>
      </c>
      <c r="CW266">
        <v>1213</v>
      </c>
      <c r="CX266">
        <v>643</v>
      </c>
      <c r="DD266">
        <v>0</v>
      </c>
      <c r="DE266" t="s">
        <v>948</v>
      </c>
      <c r="DF266">
        <v>485</v>
      </c>
      <c r="DG266">
        <v>3</v>
      </c>
      <c r="DH266">
        <v>1.22</v>
      </c>
      <c r="DI266">
        <v>1212</v>
      </c>
      <c r="DJ266">
        <v>1046</v>
      </c>
      <c r="DW266" t="s">
        <v>544</v>
      </c>
      <c r="DX266">
        <v>7.5</v>
      </c>
      <c r="EA266">
        <v>1284.1</v>
      </c>
      <c r="EB266">
        <v>167</v>
      </c>
      <c r="EC266" t="s">
        <v>545</v>
      </c>
      <c r="ED266">
        <v>30</v>
      </c>
      <c r="EE266">
        <v>3</v>
      </c>
      <c r="EG266">
        <v>1315</v>
      </c>
      <c r="EH266">
        <v>154</v>
      </c>
      <c r="EJ266">
        <v>0</v>
      </c>
      <c r="EK266">
        <v>1</v>
      </c>
      <c r="EN266">
        <v>0</v>
      </c>
      <c r="EP266" t="s">
        <v>546</v>
      </c>
      <c r="EQ266">
        <v>75</v>
      </c>
      <c r="ER266">
        <v>3</v>
      </c>
      <c r="ES266">
        <v>5</v>
      </c>
      <c r="ET266">
        <v>1194</v>
      </c>
      <c r="EU266">
        <v>290.3</v>
      </c>
      <c r="EV266">
        <v>347</v>
      </c>
      <c r="EW266" t="s">
        <v>547</v>
      </c>
      <c r="EX266">
        <v>70</v>
      </c>
      <c r="EY266">
        <v>2</v>
      </c>
      <c r="EZ266">
        <v>4.3</v>
      </c>
      <c r="FA266">
        <v>1194</v>
      </c>
      <c r="FB266">
        <v>212.5</v>
      </c>
      <c r="FC266">
        <v>254</v>
      </c>
      <c r="FE266">
        <v>0</v>
      </c>
      <c r="FF266">
        <v>2</v>
      </c>
      <c r="FI266">
        <v>0</v>
      </c>
      <c r="FK266" t="s">
        <v>548</v>
      </c>
      <c r="FL266">
        <v>0.4</v>
      </c>
      <c r="FM266">
        <v>90</v>
      </c>
      <c r="FN266">
        <v>110</v>
      </c>
      <c r="FR266" t="s">
        <v>548</v>
      </c>
      <c r="FS266">
        <v>0.4</v>
      </c>
      <c r="FT266">
        <v>70</v>
      </c>
      <c r="FU266">
        <v>130</v>
      </c>
      <c r="FY266" t="s">
        <v>651</v>
      </c>
      <c r="FZ266">
        <v>1</v>
      </c>
      <c r="GA266">
        <v>20</v>
      </c>
      <c r="GB266">
        <v>144</v>
      </c>
      <c r="GG266" t="s">
        <v>651</v>
      </c>
      <c r="GH266">
        <v>1</v>
      </c>
      <c r="GI266">
        <v>20</v>
      </c>
      <c r="GJ266">
        <v>144</v>
      </c>
      <c r="HC266">
        <v>0.1</v>
      </c>
      <c r="HD266">
        <v>3</v>
      </c>
      <c r="HE266">
        <v>3</v>
      </c>
      <c r="HF266">
        <v>3</v>
      </c>
      <c r="HG266">
        <v>3</v>
      </c>
      <c r="HH266">
        <v>3</v>
      </c>
      <c r="HI266">
        <v>130</v>
      </c>
      <c r="HJ266">
        <v>3</v>
      </c>
      <c r="HK266">
        <v>55</v>
      </c>
      <c r="HL266">
        <v>2</v>
      </c>
      <c r="HM266">
        <v>0</v>
      </c>
      <c r="HN266">
        <v>2</v>
      </c>
      <c r="HO266">
        <v>60</v>
      </c>
      <c r="HP266">
        <v>3</v>
      </c>
      <c r="HQ266">
        <v>0</v>
      </c>
      <c r="HR266">
        <v>2</v>
      </c>
      <c r="HS266">
        <v>3533</v>
      </c>
      <c r="HT266">
        <v>110</v>
      </c>
      <c r="HU266">
        <v>180</v>
      </c>
      <c r="HW266">
        <v>0</v>
      </c>
      <c r="HX266">
        <v>440</v>
      </c>
      <c r="HY266">
        <v>0.18</v>
      </c>
      <c r="IA266">
        <v>0.15</v>
      </c>
      <c r="IB266">
        <v>0</v>
      </c>
      <c r="IC266">
        <v>180</v>
      </c>
      <c r="ID266">
        <v>110</v>
      </c>
      <c r="IE266">
        <v>0</v>
      </c>
      <c r="IF266">
        <v>0</v>
      </c>
      <c r="IH266" t="s">
        <v>549</v>
      </c>
      <c r="IO266">
        <v>1</v>
      </c>
      <c r="IP266">
        <v>16</v>
      </c>
      <c r="IQ266">
        <v>0</v>
      </c>
      <c r="IR266">
        <v>1</v>
      </c>
      <c r="IV266">
        <v>1200</v>
      </c>
      <c r="IW266">
        <v>364</v>
      </c>
      <c r="JA266">
        <v>1</v>
      </c>
      <c r="JB266">
        <v>0</v>
      </c>
      <c r="JC266">
        <v>2</v>
      </c>
      <c r="JD266">
        <v>1213</v>
      </c>
      <c r="JE266">
        <v>1212</v>
      </c>
      <c r="JF266">
        <v>0</v>
      </c>
      <c r="JG266">
        <v>1194</v>
      </c>
      <c r="JH266">
        <v>0</v>
      </c>
      <c r="JJ266">
        <v>180</v>
      </c>
      <c r="JK266">
        <v>440</v>
      </c>
      <c r="JN266">
        <v>345</v>
      </c>
      <c r="JO266">
        <v>485</v>
      </c>
      <c r="JP266">
        <v>0</v>
      </c>
      <c r="JQ266">
        <v>0</v>
      </c>
      <c r="JR266">
        <v>320</v>
      </c>
      <c r="JS266">
        <v>130</v>
      </c>
      <c r="JV266">
        <v>8</v>
      </c>
      <c r="JW266" t="s">
        <v>550</v>
      </c>
      <c r="JX266">
        <v>0</v>
      </c>
      <c r="KA266">
        <v>0</v>
      </c>
      <c r="KB266">
        <v>110</v>
      </c>
      <c r="KC266">
        <v>0</v>
      </c>
      <c r="KD266">
        <v>80</v>
      </c>
      <c r="KF266">
        <v>4</v>
      </c>
      <c r="KG266">
        <v>2</v>
      </c>
      <c r="KH266">
        <v>2</v>
      </c>
      <c r="KI266">
        <v>2</v>
      </c>
      <c r="KJ266">
        <v>0</v>
      </c>
      <c r="KK266">
        <v>1.5</v>
      </c>
      <c r="KL266">
        <v>1.5</v>
      </c>
      <c r="KM266">
        <v>0</v>
      </c>
      <c r="KN266">
        <v>0</v>
      </c>
      <c r="KO266">
        <v>0</v>
      </c>
      <c r="KR266">
        <v>30</v>
      </c>
      <c r="KS266">
        <v>60</v>
      </c>
      <c r="KT266">
        <v>0</v>
      </c>
      <c r="LK266">
        <v>480</v>
      </c>
      <c r="LX266">
        <v>0</v>
      </c>
      <c r="LY266">
        <v>0</v>
      </c>
      <c r="LZ266">
        <v>0</v>
      </c>
      <c r="PG266">
        <v>1</v>
      </c>
      <c r="PI266" t="s">
        <v>3277</v>
      </c>
      <c r="PJ266" t="s">
        <v>3279</v>
      </c>
      <c r="PL266" t="s">
        <v>3278</v>
      </c>
      <c r="PP266" t="s">
        <v>3280</v>
      </c>
      <c r="PX266">
        <v>56</v>
      </c>
      <c r="PY266">
        <v>57</v>
      </c>
      <c r="PZ266" t="s">
        <v>3277</v>
      </c>
      <c r="QA266">
        <v>2</v>
      </c>
      <c r="QB266">
        <v>1194</v>
      </c>
      <c r="QC266">
        <v>69</v>
      </c>
      <c r="QD266">
        <v>69</v>
      </c>
      <c r="QE266" t="s">
        <v>3278</v>
      </c>
      <c r="QF266">
        <v>2</v>
      </c>
      <c r="QG266">
        <v>1213</v>
      </c>
      <c r="QH266">
        <v>66</v>
      </c>
      <c r="QI266">
        <v>66</v>
      </c>
      <c r="QL266">
        <v>0</v>
      </c>
      <c r="QM266">
        <v>63</v>
      </c>
      <c r="QN266">
        <v>63</v>
      </c>
      <c r="QO266" t="s">
        <v>3279</v>
      </c>
      <c r="QP266">
        <v>1</v>
      </c>
      <c r="QQ266">
        <v>1212</v>
      </c>
      <c r="QW266">
        <v>82</v>
      </c>
      <c r="QX266">
        <v>89</v>
      </c>
      <c r="QY266" t="s">
        <v>3280</v>
      </c>
      <c r="QZ266">
        <v>2</v>
      </c>
      <c r="RA266">
        <v>66</v>
      </c>
      <c r="RB266">
        <v>66</v>
      </c>
      <c r="RE266">
        <v>0</v>
      </c>
      <c r="RG266">
        <v>1</v>
      </c>
      <c r="RJ266">
        <v>1</v>
      </c>
      <c r="RL266">
        <v>1</v>
      </c>
      <c r="RO266">
        <v>530</v>
      </c>
      <c r="RQ266">
        <v>863</v>
      </c>
      <c r="RT266">
        <v>167</v>
      </c>
      <c r="RU266">
        <v>154</v>
      </c>
      <c r="RV266" t="s">
        <v>3119</v>
      </c>
      <c r="RW266" t="s">
        <v>552</v>
      </c>
      <c r="RX266">
        <v>15</v>
      </c>
      <c r="RY266">
        <v>4</v>
      </c>
      <c r="RZ266" t="s">
        <v>552</v>
      </c>
      <c r="SA266">
        <v>15</v>
      </c>
      <c r="SB266" t="s">
        <v>3281</v>
      </c>
      <c r="SC266" t="s">
        <v>3281</v>
      </c>
      <c r="SD266">
        <v>1</v>
      </c>
      <c r="SH266">
        <v>0.995</v>
      </c>
      <c r="SI266">
        <v>0.995</v>
      </c>
      <c r="SJ266">
        <v>0.995</v>
      </c>
      <c r="SK266">
        <v>15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TB266">
        <v>0</v>
      </c>
      <c r="TC266">
        <v>0</v>
      </c>
      <c r="TD266">
        <v>7.5</v>
      </c>
      <c r="TE266" t="s">
        <v>553</v>
      </c>
      <c r="TF266" t="s">
        <v>754</v>
      </c>
      <c r="TG266" t="s">
        <v>555</v>
      </c>
      <c r="TI266" t="s">
        <v>546</v>
      </c>
      <c r="TJ266" t="s">
        <v>547</v>
      </c>
      <c r="TL266" t="s">
        <v>3054</v>
      </c>
      <c r="TM266" t="s">
        <v>513</v>
      </c>
      <c r="TN266">
        <v>0</v>
      </c>
      <c r="TO266" t="s">
        <v>557</v>
      </c>
    </row>
    <row r="267" spans="1:535">
      <c r="A267" t="s">
        <v>3282</v>
      </c>
      <c r="B267" t="s">
        <v>629</v>
      </c>
      <c r="C267" t="s">
        <v>509</v>
      </c>
      <c r="D267" t="s">
        <v>3283</v>
      </c>
      <c r="G267" t="s">
        <v>604</v>
      </c>
      <c r="I267" t="s">
        <v>628</v>
      </c>
      <c r="J267" t="s">
        <v>606</v>
      </c>
      <c r="L267" t="s">
        <v>512</v>
      </c>
      <c r="M267" t="s">
        <v>711</v>
      </c>
      <c r="N267" t="s">
        <v>513</v>
      </c>
      <c r="O267" t="s">
        <v>607</v>
      </c>
      <c r="Q267" t="s">
        <v>3284</v>
      </c>
      <c r="R267" t="s">
        <v>517</v>
      </c>
      <c r="S267" t="s">
        <v>1152</v>
      </c>
      <c r="T267" t="s">
        <v>661</v>
      </c>
      <c r="U267" t="s">
        <v>633</v>
      </c>
      <c r="V267" t="s">
        <v>634</v>
      </c>
      <c r="W267" t="s">
        <v>2647</v>
      </c>
      <c r="X267" t="s">
        <v>3048</v>
      </c>
      <c r="Y267" t="s">
        <v>574</v>
      </c>
      <c r="Z267" t="s">
        <v>3285</v>
      </c>
      <c r="AA267" t="s">
        <v>3286</v>
      </c>
      <c r="AB267" t="s">
        <v>3287</v>
      </c>
      <c r="AC267">
        <v>2</v>
      </c>
      <c r="AD267">
        <v>57</v>
      </c>
      <c r="AE267">
        <v>185</v>
      </c>
      <c r="AF267">
        <v>1.5</v>
      </c>
      <c r="AH267">
        <v>0</v>
      </c>
      <c r="AI267" t="s">
        <v>825</v>
      </c>
      <c r="AJ267">
        <v>197.5</v>
      </c>
      <c r="AK267">
        <v>1</v>
      </c>
      <c r="AL267">
        <v>1.5</v>
      </c>
      <c r="AM267" t="s">
        <v>529</v>
      </c>
      <c r="AO267">
        <v>0</v>
      </c>
      <c r="AR267">
        <v>0</v>
      </c>
      <c r="AS267">
        <v>1.5</v>
      </c>
      <c r="AV267" t="s">
        <v>3288</v>
      </c>
      <c r="AW267" t="s">
        <v>3288</v>
      </c>
      <c r="AX267">
        <v>1</v>
      </c>
      <c r="AY267">
        <v>287.5</v>
      </c>
      <c r="AZ267">
        <v>1.5</v>
      </c>
      <c r="BA267" t="s">
        <v>529</v>
      </c>
      <c r="BG267">
        <v>1.5</v>
      </c>
      <c r="BJ267">
        <v>0</v>
      </c>
      <c r="BN267">
        <v>1.5</v>
      </c>
      <c r="BP267" t="s">
        <v>3182</v>
      </c>
      <c r="BQ267">
        <v>89</v>
      </c>
      <c r="BR267">
        <v>2</v>
      </c>
      <c r="BS267" t="s">
        <v>1929</v>
      </c>
      <c r="BT267">
        <v>208</v>
      </c>
      <c r="BU267">
        <v>0.5</v>
      </c>
      <c r="BV267" t="s">
        <v>1929</v>
      </c>
      <c r="BW267">
        <v>416</v>
      </c>
      <c r="BX267">
        <v>1</v>
      </c>
      <c r="BY267" t="s">
        <v>643</v>
      </c>
      <c r="BZ267">
        <v>470</v>
      </c>
      <c r="CA267">
        <v>530</v>
      </c>
      <c r="CB267" t="s">
        <v>644</v>
      </c>
      <c r="CC267" t="s">
        <v>644</v>
      </c>
      <c r="CD267">
        <v>428</v>
      </c>
      <c r="CE267" t="s">
        <v>544</v>
      </c>
      <c r="CF267">
        <v>15</v>
      </c>
      <c r="CG267" t="s">
        <v>2187</v>
      </c>
      <c r="CH267" t="s">
        <v>2187</v>
      </c>
      <c r="CI267">
        <v>30</v>
      </c>
      <c r="CJ267">
        <v>1301</v>
      </c>
      <c r="CK267">
        <v>2</v>
      </c>
      <c r="CL267">
        <v>1395</v>
      </c>
      <c r="CM267">
        <v>2</v>
      </c>
      <c r="CN267" t="s">
        <v>646</v>
      </c>
      <c r="CO267" t="s">
        <v>647</v>
      </c>
      <c r="CP267" t="s">
        <v>648</v>
      </c>
      <c r="CQ267" t="s">
        <v>649</v>
      </c>
      <c r="CR267" t="s">
        <v>650</v>
      </c>
      <c r="CS267" t="s">
        <v>542</v>
      </c>
      <c r="CT267">
        <v>395</v>
      </c>
      <c r="CU267">
        <v>5</v>
      </c>
      <c r="CV267">
        <v>1.3</v>
      </c>
      <c r="CW267">
        <v>1319</v>
      </c>
      <c r="CX267">
        <v>801</v>
      </c>
      <c r="DD267">
        <v>0</v>
      </c>
      <c r="DE267" t="s">
        <v>543</v>
      </c>
      <c r="DF267">
        <v>575</v>
      </c>
      <c r="DG267">
        <v>3</v>
      </c>
      <c r="DH267">
        <v>1.18</v>
      </c>
      <c r="DI267">
        <v>1312</v>
      </c>
      <c r="DJ267">
        <v>1361</v>
      </c>
      <c r="DW267" t="s">
        <v>544</v>
      </c>
      <c r="DX267">
        <v>7.5</v>
      </c>
      <c r="EA267">
        <v>1379.8</v>
      </c>
      <c r="EB267">
        <v>260</v>
      </c>
      <c r="EC267" t="s">
        <v>545</v>
      </c>
      <c r="ED267">
        <v>30</v>
      </c>
      <c r="EE267">
        <v>3</v>
      </c>
      <c r="EG267">
        <v>1421</v>
      </c>
      <c r="EH267">
        <v>166</v>
      </c>
      <c r="EJ267">
        <v>0</v>
      </c>
      <c r="EK267">
        <v>1</v>
      </c>
      <c r="EN267">
        <v>0</v>
      </c>
      <c r="EP267" t="s">
        <v>546</v>
      </c>
      <c r="EQ267">
        <v>95</v>
      </c>
      <c r="ER267">
        <v>3</v>
      </c>
      <c r="ES267">
        <v>5.5</v>
      </c>
      <c r="ET267">
        <v>1298</v>
      </c>
      <c r="EU267">
        <v>431</v>
      </c>
      <c r="EV267">
        <v>559</v>
      </c>
      <c r="EW267" t="s">
        <v>547</v>
      </c>
      <c r="EX267">
        <v>70</v>
      </c>
      <c r="EY267">
        <v>2</v>
      </c>
      <c r="EZ267">
        <v>4.5</v>
      </c>
      <c r="FA267">
        <v>1298</v>
      </c>
      <c r="FB267">
        <v>221.3</v>
      </c>
      <c r="FC267">
        <v>287</v>
      </c>
      <c r="FE267">
        <v>0</v>
      </c>
      <c r="FF267">
        <v>2</v>
      </c>
      <c r="FI267">
        <v>0</v>
      </c>
      <c r="FK267" t="s">
        <v>548</v>
      </c>
      <c r="FL267">
        <v>0.4</v>
      </c>
      <c r="FM267">
        <v>110</v>
      </c>
      <c r="FN267">
        <v>120</v>
      </c>
      <c r="FR267" t="s">
        <v>548</v>
      </c>
      <c r="FS267">
        <v>0.4</v>
      </c>
      <c r="FT267">
        <v>30</v>
      </c>
      <c r="FU267">
        <v>380</v>
      </c>
      <c r="FV267">
        <v>75</v>
      </c>
      <c r="FW267">
        <v>140</v>
      </c>
      <c r="FY267" t="s">
        <v>651</v>
      </c>
      <c r="FZ267">
        <v>1.6</v>
      </c>
      <c r="GA267">
        <v>20</v>
      </c>
      <c r="GB267">
        <v>160</v>
      </c>
      <c r="GG267" t="s">
        <v>651</v>
      </c>
      <c r="GH267">
        <v>1.6</v>
      </c>
      <c r="GI267">
        <v>20</v>
      </c>
      <c r="GJ267">
        <v>160</v>
      </c>
      <c r="HC267">
        <v>0.1</v>
      </c>
      <c r="HD267">
        <v>3</v>
      </c>
      <c r="HE267">
        <v>3</v>
      </c>
      <c r="HF267">
        <v>3</v>
      </c>
      <c r="HG267">
        <v>3</v>
      </c>
      <c r="HH267">
        <v>3</v>
      </c>
      <c r="HI267">
        <v>150</v>
      </c>
      <c r="HJ267">
        <v>3</v>
      </c>
      <c r="HK267">
        <v>55</v>
      </c>
      <c r="HL267">
        <v>2</v>
      </c>
      <c r="HM267">
        <v>0</v>
      </c>
      <c r="HN267">
        <v>2</v>
      </c>
      <c r="HO267">
        <v>80</v>
      </c>
      <c r="HP267">
        <v>3</v>
      </c>
      <c r="HQ267">
        <v>0</v>
      </c>
      <c r="HR267">
        <v>2</v>
      </c>
      <c r="HS267">
        <v>4706</v>
      </c>
      <c r="HT267">
        <v>140</v>
      </c>
      <c r="HU267">
        <v>180</v>
      </c>
      <c r="HW267">
        <v>0</v>
      </c>
      <c r="HX267">
        <v>494</v>
      </c>
      <c r="HY267">
        <v>0.18</v>
      </c>
      <c r="IA267">
        <v>0.15</v>
      </c>
      <c r="IB267">
        <v>0</v>
      </c>
      <c r="IC267">
        <v>180</v>
      </c>
      <c r="ID267">
        <v>110</v>
      </c>
      <c r="IE267">
        <v>0</v>
      </c>
      <c r="IF267">
        <v>0</v>
      </c>
      <c r="IH267" t="s">
        <v>549</v>
      </c>
      <c r="IO267">
        <v>1</v>
      </c>
      <c r="IP267">
        <v>17</v>
      </c>
      <c r="IQ267">
        <v>1</v>
      </c>
      <c r="IR267">
        <v>1</v>
      </c>
      <c r="IV267">
        <v>1301</v>
      </c>
      <c r="IW267">
        <v>416</v>
      </c>
      <c r="JA267">
        <v>1</v>
      </c>
      <c r="JB267">
        <v>0</v>
      </c>
      <c r="JC267">
        <v>2</v>
      </c>
      <c r="JD267">
        <v>1319</v>
      </c>
      <c r="JE267">
        <v>1312</v>
      </c>
      <c r="JF267">
        <v>0</v>
      </c>
      <c r="JG267">
        <v>1298</v>
      </c>
      <c r="JH267">
        <v>0</v>
      </c>
      <c r="JJ267">
        <v>180</v>
      </c>
      <c r="JK267">
        <v>494</v>
      </c>
      <c r="JN267">
        <v>395</v>
      </c>
      <c r="JO267">
        <v>575</v>
      </c>
      <c r="JP267">
        <v>0</v>
      </c>
      <c r="JQ267">
        <v>0</v>
      </c>
      <c r="JR267">
        <v>370</v>
      </c>
      <c r="JS267">
        <v>150</v>
      </c>
      <c r="JV267">
        <v>8</v>
      </c>
      <c r="JW267" t="s">
        <v>550</v>
      </c>
      <c r="JX267">
        <v>0</v>
      </c>
      <c r="KA267">
        <v>0</v>
      </c>
      <c r="KB267">
        <v>110</v>
      </c>
      <c r="KC267">
        <v>0</v>
      </c>
      <c r="KD267">
        <v>80</v>
      </c>
      <c r="KF267">
        <v>4</v>
      </c>
      <c r="KG267">
        <v>4</v>
      </c>
      <c r="KH267">
        <v>2</v>
      </c>
      <c r="KI267">
        <v>2</v>
      </c>
      <c r="KJ267">
        <v>0</v>
      </c>
      <c r="KK267">
        <v>1.5</v>
      </c>
      <c r="KL267">
        <v>1.5</v>
      </c>
      <c r="KM267">
        <v>0</v>
      </c>
      <c r="KN267">
        <v>0</v>
      </c>
      <c r="KO267">
        <v>0</v>
      </c>
      <c r="KR267">
        <v>50</v>
      </c>
      <c r="KS267">
        <v>60</v>
      </c>
      <c r="KT267">
        <v>0</v>
      </c>
      <c r="LK267">
        <v>480</v>
      </c>
      <c r="PG267">
        <v>1</v>
      </c>
      <c r="PI267" t="s">
        <v>3287</v>
      </c>
      <c r="PJ267" t="s">
        <v>3288</v>
      </c>
      <c r="PL267" t="s">
        <v>825</v>
      </c>
      <c r="PP267" t="s">
        <v>3182</v>
      </c>
      <c r="PX267">
        <v>56</v>
      </c>
      <c r="PY267">
        <v>57</v>
      </c>
      <c r="PZ267" t="s">
        <v>3287</v>
      </c>
      <c r="QA267">
        <v>2</v>
      </c>
      <c r="QB267">
        <v>1298</v>
      </c>
      <c r="QC267">
        <v>69</v>
      </c>
      <c r="QD267">
        <v>69</v>
      </c>
      <c r="QE267" t="s">
        <v>825</v>
      </c>
      <c r="QF267">
        <v>2</v>
      </c>
      <c r="QG267">
        <v>1319</v>
      </c>
      <c r="QH267">
        <v>66</v>
      </c>
      <c r="QI267">
        <v>66</v>
      </c>
      <c r="QL267">
        <v>0</v>
      </c>
      <c r="QM267">
        <v>63</v>
      </c>
      <c r="QN267">
        <v>63</v>
      </c>
      <c r="QO267" t="s">
        <v>3288</v>
      </c>
      <c r="QP267">
        <v>1</v>
      </c>
      <c r="QQ267">
        <v>1312</v>
      </c>
      <c r="QW267">
        <v>82</v>
      </c>
      <c r="QX267">
        <v>89</v>
      </c>
      <c r="QY267" t="s">
        <v>3182</v>
      </c>
      <c r="QZ267">
        <v>2</v>
      </c>
      <c r="RA267">
        <v>66</v>
      </c>
      <c r="RB267">
        <v>66</v>
      </c>
      <c r="RE267">
        <v>0</v>
      </c>
      <c r="RG267">
        <v>1</v>
      </c>
      <c r="RJ267">
        <v>1</v>
      </c>
      <c r="RL267">
        <v>1</v>
      </c>
      <c r="RO267">
        <v>607</v>
      </c>
      <c r="RQ267">
        <v>1037</v>
      </c>
      <c r="RT267">
        <v>260</v>
      </c>
      <c r="RU267">
        <v>166</v>
      </c>
      <c r="RV267" t="s">
        <v>1930</v>
      </c>
      <c r="RW267" t="s">
        <v>653</v>
      </c>
      <c r="RX267">
        <v>15</v>
      </c>
      <c r="RY267">
        <v>4</v>
      </c>
      <c r="RZ267" t="s">
        <v>653</v>
      </c>
      <c r="SA267">
        <v>15</v>
      </c>
      <c r="SB267" t="s">
        <v>3289</v>
      </c>
      <c r="SC267" t="s">
        <v>3289</v>
      </c>
      <c r="SD267">
        <v>1</v>
      </c>
      <c r="SH267">
        <v>0.995</v>
      </c>
      <c r="SI267">
        <v>0.995</v>
      </c>
      <c r="SJ267">
        <v>0.995</v>
      </c>
      <c r="SK267">
        <v>15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TB267">
        <v>0</v>
      </c>
      <c r="TC267">
        <v>0</v>
      </c>
      <c r="TD267">
        <v>7.5</v>
      </c>
      <c r="TE267" t="s">
        <v>553</v>
      </c>
      <c r="TF267" t="s">
        <v>655</v>
      </c>
      <c r="TG267" t="s">
        <v>555</v>
      </c>
      <c r="TI267" t="s">
        <v>546</v>
      </c>
      <c r="TJ267" t="s">
        <v>547</v>
      </c>
      <c r="TL267" t="s">
        <v>3054</v>
      </c>
      <c r="TM267" t="s">
        <v>513</v>
      </c>
      <c r="TN267">
        <v>0</v>
      </c>
      <c r="TO267" t="s">
        <v>557</v>
      </c>
    </row>
    <row r="268" spans="1:535">
      <c r="A268" t="s">
        <v>3290</v>
      </c>
      <c r="B268" t="s">
        <v>897</v>
      </c>
      <c r="C268" t="s">
        <v>509</v>
      </c>
      <c r="D268" t="s">
        <v>2554</v>
      </c>
      <c r="G268" t="s">
        <v>604</v>
      </c>
      <c r="H268" t="s">
        <v>605</v>
      </c>
      <c r="I268" t="s">
        <v>628</v>
      </c>
      <c r="J268" t="s">
        <v>606</v>
      </c>
      <c r="L268" t="s">
        <v>512</v>
      </c>
      <c r="M268" t="s">
        <v>657</v>
      </c>
      <c r="N268" t="s">
        <v>513</v>
      </c>
      <c r="O268" t="s">
        <v>607</v>
      </c>
      <c r="Q268" t="s">
        <v>3291</v>
      </c>
      <c r="R268" t="s">
        <v>517</v>
      </c>
      <c r="S268" t="s">
        <v>953</v>
      </c>
      <c r="T268" t="s">
        <v>954</v>
      </c>
      <c r="U268" t="s">
        <v>662</v>
      </c>
      <c r="V268" t="s">
        <v>663</v>
      </c>
      <c r="W268" t="s">
        <v>2577</v>
      </c>
      <c r="X268" t="s">
        <v>3058</v>
      </c>
      <c r="Y268" t="s">
        <v>524</v>
      </c>
      <c r="Z268" t="s">
        <v>3292</v>
      </c>
      <c r="AA268" t="s">
        <v>3293</v>
      </c>
      <c r="AB268" t="s">
        <v>3294</v>
      </c>
      <c r="AC268">
        <v>2</v>
      </c>
      <c r="AD268">
        <v>57</v>
      </c>
      <c r="AE268">
        <v>197</v>
      </c>
      <c r="AF268">
        <v>1.5</v>
      </c>
      <c r="AH268">
        <v>0</v>
      </c>
      <c r="AI268" t="s">
        <v>1179</v>
      </c>
      <c r="AJ268">
        <v>207.5</v>
      </c>
      <c r="AK268">
        <v>1</v>
      </c>
      <c r="AL268">
        <v>1.5</v>
      </c>
      <c r="AM268" t="s">
        <v>529</v>
      </c>
      <c r="AO268">
        <v>0</v>
      </c>
      <c r="AR268">
        <v>0</v>
      </c>
      <c r="AS268">
        <v>1.5</v>
      </c>
      <c r="AU268" t="s">
        <v>3295</v>
      </c>
      <c r="AW268" t="s">
        <v>3295</v>
      </c>
      <c r="AX268">
        <v>1</v>
      </c>
      <c r="AY268">
        <v>370</v>
      </c>
      <c r="AZ268">
        <v>1.5</v>
      </c>
      <c r="BA268" t="s">
        <v>529</v>
      </c>
      <c r="BG268">
        <v>1.5</v>
      </c>
      <c r="BJ268">
        <v>0</v>
      </c>
      <c r="BN268">
        <v>1.5</v>
      </c>
      <c r="BP268" t="s">
        <v>2105</v>
      </c>
      <c r="BQ268">
        <v>88</v>
      </c>
      <c r="BR268">
        <v>2</v>
      </c>
      <c r="BS268" t="s">
        <v>906</v>
      </c>
      <c r="BT268">
        <v>220</v>
      </c>
      <c r="BU268">
        <v>0.5</v>
      </c>
      <c r="BV268" t="s">
        <v>906</v>
      </c>
      <c r="BW268">
        <v>440</v>
      </c>
      <c r="BX268">
        <v>1</v>
      </c>
      <c r="BY268" t="s">
        <v>643</v>
      </c>
      <c r="BZ268">
        <v>290</v>
      </c>
      <c r="CA268">
        <v>490</v>
      </c>
      <c r="CB268" t="s">
        <v>672</v>
      </c>
      <c r="CC268" t="s">
        <v>644</v>
      </c>
      <c r="CD268">
        <v>454</v>
      </c>
      <c r="CE268" t="s">
        <v>673</v>
      </c>
      <c r="CF268">
        <v>15</v>
      </c>
      <c r="CG268" t="s">
        <v>674</v>
      </c>
      <c r="CH268" t="s">
        <v>674</v>
      </c>
      <c r="CI268">
        <v>100</v>
      </c>
      <c r="CJ268">
        <v>1381</v>
      </c>
      <c r="CK268">
        <v>2</v>
      </c>
      <c r="CL268">
        <v>1475</v>
      </c>
      <c r="CM268">
        <v>2</v>
      </c>
      <c r="CN268" t="s">
        <v>675</v>
      </c>
      <c r="CO268" t="s">
        <v>676</v>
      </c>
      <c r="CP268" t="s">
        <v>595</v>
      </c>
      <c r="CQ268" t="s">
        <v>1496</v>
      </c>
      <c r="CR268" t="s">
        <v>541</v>
      </c>
      <c r="CS268" t="s">
        <v>542</v>
      </c>
      <c r="CT268">
        <v>415</v>
      </c>
      <c r="CU268">
        <v>5</v>
      </c>
      <c r="CV268">
        <v>1.2</v>
      </c>
      <c r="CW268">
        <v>1393</v>
      </c>
      <c r="CX268">
        <v>818</v>
      </c>
      <c r="DD268">
        <v>0</v>
      </c>
      <c r="DE268" t="s">
        <v>543</v>
      </c>
      <c r="DF268">
        <v>740</v>
      </c>
      <c r="DG268">
        <v>3</v>
      </c>
      <c r="DH268">
        <v>1.18</v>
      </c>
      <c r="DI268">
        <v>1391</v>
      </c>
      <c r="DJ268">
        <v>1530</v>
      </c>
      <c r="DW268" t="s">
        <v>544</v>
      </c>
      <c r="DX268">
        <v>7.5</v>
      </c>
      <c r="EA268">
        <v>1459.5</v>
      </c>
      <c r="EB268">
        <v>258</v>
      </c>
      <c r="EC268" t="s">
        <v>545</v>
      </c>
      <c r="ED268">
        <v>30</v>
      </c>
      <c r="EE268">
        <v>3</v>
      </c>
      <c r="EG268">
        <v>1500</v>
      </c>
      <c r="EH268">
        <v>177</v>
      </c>
      <c r="EJ268">
        <v>0</v>
      </c>
      <c r="EK268">
        <v>1</v>
      </c>
      <c r="EN268">
        <v>0</v>
      </c>
      <c r="EP268" t="s">
        <v>546</v>
      </c>
      <c r="EQ268">
        <v>110</v>
      </c>
      <c r="ER268">
        <v>3</v>
      </c>
      <c r="ES268">
        <v>6</v>
      </c>
      <c r="ET268">
        <v>1381</v>
      </c>
      <c r="EU268">
        <v>490.1</v>
      </c>
      <c r="EV268">
        <v>677</v>
      </c>
      <c r="EW268" t="s">
        <v>547</v>
      </c>
      <c r="EX268">
        <v>70</v>
      </c>
      <c r="EY268">
        <v>2</v>
      </c>
      <c r="EZ268">
        <v>4</v>
      </c>
      <c r="FA268">
        <v>1381</v>
      </c>
      <c r="FB268">
        <v>217.6</v>
      </c>
      <c r="FC268">
        <v>301</v>
      </c>
      <c r="FE268">
        <v>0</v>
      </c>
      <c r="FF268">
        <v>2</v>
      </c>
      <c r="FI268">
        <v>0</v>
      </c>
      <c r="FK268" t="s">
        <v>548</v>
      </c>
      <c r="FL268">
        <v>0.4</v>
      </c>
      <c r="FM268">
        <v>110</v>
      </c>
      <c r="FN268">
        <v>130</v>
      </c>
      <c r="HC268">
        <v>0.1</v>
      </c>
      <c r="HD268">
        <v>3</v>
      </c>
      <c r="HE268">
        <v>3</v>
      </c>
      <c r="HF268">
        <v>3</v>
      </c>
      <c r="HG268">
        <v>3</v>
      </c>
      <c r="HH268">
        <v>3</v>
      </c>
      <c r="HI268">
        <v>165</v>
      </c>
      <c r="HJ268">
        <v>3</v>
      </c>
      <c r="HK268">
        <v>55</v>
      </c>
      <c r="HL268">
        <v>2</v>
      </c>
      <c r="HM268">
        <v>0</v>
      </c>
      <c r="HN268">
        <v>2</v>
      </c>
      <c r="HO268">
        <v>95</v>
      </c>
      <c r="HP268">
        <v>3</v>
      </c>
      <c r="HQ268">
        <v>0</v>
      </c>
      <c r="HR268">
        <v>2</v>
      </c>
      <c r="HS268">
        <v>5174</v>
      </c>
      <c r="HT268">
        <v>160</v>
      </c>
      <c r="HU268">
        <v>180</v>
      </c>
      <c r="HW268">
        <v>20</v>
      </c>
      <c r="HX268">
        <v>550</v>
      </c>
      <c r="HY268">
        <v>0.18</v>
      </c>
      <c r="IA268">
        <v>0.15</v>
      </c>
      <c r="IB268">
        <v>0</v>
      </c>
      <c r="IC268">
        <v>180</v>
      </c>
      <c r="ID268">
        <v>110</v>
      </c>
      <c r="IE268">
        <v>0</v>
      </c>
      <c r="IF268">
        <v>0</v>
      </c>
      <c r="IH268" t="s">
        <v>549</v>
      </c>
      <c r="IO268">
        <v>1</v>
      </c>
      <c r="IP268">
        <v>18</v>
      </c>
      <c r="IQ268">
        <v>0</v>
      </c>
      <c r="IR268">
        <v>1</v>
      </c>
      <c r="IV268">
        <v>1381</v>
      </c>
      <c r="IW268">
        <v>440</v>
      </c>
      <c r="JA268">
        <v>1</v>
      </c>
      <c r="JB268">
        <v>0</v>
      </c>
      <c r="JC268">
        <v>2</v>
      </c>
      <c r="JD268">
        <v>1393</v>
      </c>
      <c r="JE268">
        <v>1391</v>
      </c>
      <c r="JF268">
        <v>0</v>
      </c>
      <c r="JG268">
        <v>1381</v>
      </c>
      <c r="JH268">
        <v>0</v>
      </c>
      <c r="JJ268">
        <v>180</v>
      </c>
      <c r="JK268">
        <v>550</v>
      </c>
      <c r="JN268">
        <v>415</v>
      </c>
      <c r="JO268">
        <v>740</v>
      </c>
      <c r="JP268">
        <v>0</v>
      </c>
      <c r="JQ268">
        <v>0</v>
      </c>
      <c r="JR268">
        <v>394</v>
      </c>
      <c r="JS268">
        <v>165</v>
      </c>
      <c r="JV268">
        <v>8</v>
      </c>
      <c r="JW268" t="s">
        <v>550</v>
      </c>
      <c r="JX268">
        <v>0</v>
      </c>
      <c r="KA268">
        <v>0</v>
      </c>
      <c r="KB268">
        <v>110</v>
      </c>
      <c r="KC268">
        <v>0</v>
      </c>
      <c r="KD268">
        <v>80</v>
      </c>
      <c r="KF268">
        <v>4</v>
      </c>
      <c r="KG268">
        <v>4</v>
      </c>
      <c r="KH268">
        <v>2</v>
      </c>
      <c r="KI268">
        <v>2</v>
      </c>
      <c r="KJ268">
        <v>0</v>
      </c>
      <c r="KK268">
        <v>1.5</v>
      </c>
      <c r="KL268">
        <v>1.5</v>
      </c>
      <c r="KM268">
        <v>0</v>
      </c>
      <c r="KN268">
        <v>0</v>
      </c>
      <c r="KO268">
        <v>0</v>
      </c>
      <c r="KR268">
        <v>50</v>
      </c>
      <c r="KS268">
        <v>60</v>
      </c>
      <c r="KT268">
        <v>0</v>
      </c>
      <c r="LK268">
        <v>480</v>
      </c>
      <c r="PG268">
        <v>1</v>
      </c>
      <c r="PI268" t="s">
        <v>3294</v>
      </c>
      <c r="PJ268" t="s">
        <v>3295</v>
      </c>
      <c r="PL268" t="s">
        <v>1179</v>
      </c>
      <c r="PP268" t="s">
        <v>2105</v>
      </c>
      <c r="PX268">
        <v>56</v>
      </c>
      <c r="PY268">
        <v>57</v>
      </c>
      <c r="PZ268" t="s">
        <v>3294</v>
      </c>
      <c r="QA268">
        <v>1</v>
      </c>
      <c r="QB268">
        <v>1381</v>
      </c>
      <c r="QC268">
        <v>69</v>
      </c>
      <c r="QD268">
        <v>69</v>
      </c>
      <c r="QE268" t="s">
        <v>1179</v>
      </c>
      <c r="QF268">
        <v>1</v>
      </c>
      <c r="QG268">
        <v>1393</v>
      </c>
      <c r="QH268">
        <v>66</v>
      </c>
      <c r="QI268">
        <v>66</v>
      </c>
      <c r="QL268">
        <v>0</v>
      </c>
      <c r="QM268">
        <v>62</v>
      </c>
      <c r="QN268">
        <v>62</v>
      </c>
      <c r="QO268" t="s">
        <v>3295</v>
      </c>
      <c r="QP268">
        <v>1</v>
      </c>
      <c r="QQ268">
        <v>1391</v>
      </c>
      <c r="QW268">
        <v>82</v>
      </c>
      <c r="QX268">
        <v>88</v>
      </c>
      <c r="QY268" t="s">
        <v>2105</v>
      </c>
      <c r="QZ268">
        <v>1</v>
      </c>
      <c r="RA268">
        <v>66</v>
      </c>
      <c r="RB268">
        <v>66</v>
      </c>
      <c r="RE268">
        <v>0</v>
      </c>
      <c r="RF268">
        <v>1</v>
      </c>
      <c r="RJ268">
        <v>1</v>
      </c>
      <c r="RL268">
        <v>2</v>
      </c>
      <c r="RO268">
        <v>587</v>
      </c>
      <c r="RQ268">
        <v>1100</v>
      </c>
      <c r="RT268">
        <v>258</v>
      </c>
      <c r="RU268">
        <v>177</v>
      </c>
      <c r="RV268" t="s">
        <v>908</v>
      </c>
      <c r="RW268" t="s">
        <v>679</v>
      </c>
      <c r="RX268">
        <v>15</v>
      </c>
      <c r="RY268">
        <v>4</v>
      </c>
      <c r="RZ268" t="s">
        <v>679</v>
      </c>
      <c r="SA268">
        <v>15</v>
      </c>
      <c r="SC268" t="s">
        <v>3295</v>
      </c>
      <c r="SD268">
        <v>1</v>
      </c>
      <c r="SH268">
        <v>0.995</v>
      </c>
      <c r="SI268">
        <v>0.995</v>
      </c>
      <c r="SJ268">
        <v>0.995</v>
      </c>
      <c r="SK268">
        <v>15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TB268">
        <v>0</v>
      </c>
      <c r="TC268">
        <v>0</v>
      </c>
      <c r="TD268">
        <v>7.5</v>
      </c>
      <c r="TE268" t="s">
        <v>553</v>
      </c>
      <c r="TF268" t="s">
        <v>624</v>
      </c>
      <c r="TG268" t="s">
        <v>555</v>
      </c>
      <c r="TI268" t="s">
        <v>546</v>
      </c>
      <c r="TJ268" t="s">
        <v>547</v>
      </c>
      <c r="TL268" t="s">
        <v>3054</v>
      </c>
      <c r="TM268" t="s">
        <v>513</v>
      </c>
      <c r="TN268">
        <v>0</v>
      </c>
      <c r="TO268" t="s">
        <v>557</v>
      </c>
    </row>
    <row r="269" spans="1:535">
      <c r="A269" t="s">
        <v>3296</v>
      </c>
      <c r="B269" t="s">
        <v>729</v>
      </c>
      <c r="C269" t="s">
        <v>509</v>
      </c>
      <c r="D269" t="s">
        <v>2370</v>
      </c>
      <c r="G269" t="s">
        <v>604</v>
      </c>
      <c r="I269" t="s">
        <v>628</v>
      </c>
      <c r="J269" t="s">
        <v>606</v>
      </c>
      <c r="L269" t="s">
        <v>512</v>
      </c>
      <c r="M269" t="s">
        <v>897</v>
      </c>
      <c r="N269" t="s">
        <v>513</v>
      </c>
      <c r="O269" t="s">
        <v>607</v>
      </c>
      <c r="Q269" t="s">
        <v>3297</v>
      </c>
      <c r="R269" t="s">
        <v>517</v>
      </c>
      <c r="S269" t="s">
        <v>964</v>
      </c>
      <c r="T269" t="s">
        <v>965</v>
      </c>
      <c r="U269" t="s">
        <v>686</v>
      </c>
      <c r="V269" t="s">
        <v>687</v>
      </c>
      <c r="W269" t="s">
        <v>1283</v>
      </c>
      <c r="X269" t="s">
        <v>3058</v>
      </c>
      <c r="Y269" t="s">
        <v>524</v>
      </c>
      <c r="Z269" t="s">
        <v>3298</v>
      </c>
      <c r="AA269" t="s">
        <v>3299</v>
      </c>
      <c r="AB269" t="s">
        <v>3300</v>
      </c>
      <c r="AC269">
        <v>2</v>
      </c>
      <c r="AD269">
        <v>57</v>
      </c>
      <c r="AE269">
        <v>211</v>
      </c>
      <c r="AF269">
        <v>1.5</v>
      </c>
      <c r="AH269">
        <v>0</v>
      </c>
      <c r="AI269" t="s">
        <v>969</v>
      </c>
      <c r="AJ269">
        <v>192.5</v>
      </c>
      <c r="AK269">
        <v>1</v>
      </c>
      <c r="AL269">
        <v>1.5</v>
      </c>
      <c r="AM269" t="s">
        <v>579</v>
      </c>
      <c r="AN269" t="s">
        <v>693</v>
      </c>
      <c r="AO269">
        <v>2</v>
      </c>
      <c r="AP269" t="s">
        <v>581</v>
      </c>
      <c r="AQ269" t="s">
        <v>582</v>
      </c>
      <c r="AR269">
        <v>228</v>
      </c>
      <c r="AS269">
        <v>1.5</v>
      </c>
      <c r="AT269" t="s">
        <v>583</v>
      </c>
      <c r="AV269" t="s">
        <v>3301</v>
      </c>
      <c r="AW269" t="s">
        <v>3301</v>
      </c>
      <c r="AX269">
        <v>1</v>
      </c>
      <c r="AY269">
        <v>277.5</v>
      </c>
      <c r="AZ269">
        <v>1.5</v>
      </c>
      <c r="BA269" t="s">
        <v>579</v>
      </c>
      <c r="BG269">
        <v>1.5</v>
      </c>
      <c r="BJ269">
        <v>0</v>
      </c>
      <c r="BN269">
        <v>1.5</v>
      </c>
      <c r="BP269" t="s">
        <v>1341</v>
      </c>
      <c r="BQ269">
        <v>89</v>
      </c>
      <c r="BR269">
        <v>2</v>
      </c>
      <c r="BS269" t="s">
        <v>1342</v>
      </c>
      <c r="BT269">
        <v>209</v>
      </c>
      <c r="BU269">
        <v>0.5</v>
      </c>
      <c r="BV269" t="s">
        <v>1342</v>
      </c>
      <c r="BW269">
        <v>418</v>
      </c>
      <c r="BX269">
        <v>1</v>
      </c>
      <c r="BY269" t="s">
        <v>698</v>
      </c>
      <c r="BZ269">
        <v>300</v>
      </c>
      <c r="CA269">
        <v>500</v>
      </c>
      <c r="CB269" t="s">
        <v>699</v>
      </c>
      <c r="CC269" t="s">
        <v>699</v>
      </c>
      <c r="CD269">
        <v>442</v>
      </c>
      <c r="CE269" t="s">
        <v>700</v>
      </c>
      <c r="CF269">
        <v>15</v>
      </c>
      <c r="CG269" t="s">
        <v>1322</v>
      </c>
      <c r="CH269" t="s">
        <v>1322</v>
      </c>
      <c r="CI269">
        <v>100</v>
      </c>
      <c r="CJ269">
        <v>1458</v>
      </c>
      <c r="CK269">
        <v>2</v>
      </c>
      <c r="CL269">
        <v>1552</v>
      </c>
      <c r="CM269">
        <v>2</v>
      </c>
      <c r="CN269" t="s">
        <v>702</v>
      </c>
      <c r="CO269" t="s">
        <v>676</v>
      </c>
      <c r="CP269" t="s">
        <v>703</v>
      </c>
      <c r="CQ269" t="s">
        <v>860</v>
      </c>
      <c r="CR269" t="s">
        <v>650</v>
      </c>
      <c r="CS269" t="s">
        <v>542</v>
      </c>
      <c r="CT269">
        <v>385</v>
      </c>
      <c r="CU269">
        <v>5</v>
      </c>
      <c r="CV269">
        <v>1.2</v>
      </c>
      <c r="CW269">
        <v>1475</v>
      </c>
      <c r="CX269">
        <v>804</v>
      </c>
      <c r="CY269" t="s">
        <v>705</v>
      </c>
      <c r="CZ269">
        <v>50</v>
      </c>
      <c r="DA269">
        <v>3</v>
      </c>
      <c r="DB269">
        <v>1</v>
      </c>
      <c r="DC269">
        <v>1475</v>
      </c>
      <c r="DD269">
        <v>77</v>
      </c>
      <c r="DE269" t="s">
        <v>948</v>
      </c>
      <c r="DF269">
        <v>555</v>
      </c>
      <c r="DG269">
        <v>3</v>
      </c>
      <c r="DH269">
        <v>1.22</v>
      </c>
      <c r="DI269">
        <v>1468</v>
      </c>
      <c r="DJ269">
        <v>1468</v>
      </c>
      <c r="DW269" t="s">
        <v>544</v>
      </c>
      <c r="DX269">
        <v>7.5</v>
      </c>
      <c r="EA269">
        <v>1540.9</v>
      </c>
      <c r="EB269">
        <v>272</v>
      </c>
      <c r="EC269" t="s">
        <v>545</v>
      </c>
      <c r="ED269">
        <v>30</v>
      </c>
      <c r="EE269">
        <v>3</v>
      </c>
      <c r="EG269">
        <v>1582</v>
      </c>
      <c r="EH269">
        <v>187</v>
      </c>
      <c r="EJ269">
        <v>0</v>
      </c>
      <c r="EK269">
        <v>1</v>
      </c>
      <c r="EN269">
        <v>0</v>
      </c>
      <c r="EP269" t="s">
        <v>546</v>
      </c>
      <c r="EQ269">
        <v>80</v>
      </c>
      <c r="ER269">
        <v>3</v>
      </c>
      <c r="ES269">
        <v>6</v>
      </c>
      <c r="ET269">
        <v>1457</v>
      </c>
      <c r="EU269">
        <v>376.4</v>
      </c>
      <c r="EV269">
        <v>548</v>
      </c>
      <c r="EW269" t="s">
        <v>547</v>
      </c>
      <c r="EX269">
        <v>45</v>
      </c>
      <c r="EY269">
        <v>2</v>
      </c>
      <c r="EZ269">
        <v>4.3</v>
      </c>
      <c r="FA269">
        <v>1457</v>
      </c>
      <c r="FB269">
        <v>140.3</v>
      </c>
      <c r="FC269">
        <v>204</v>
      </c>
      <c r="FE269">
        <v>0</v>
      </c>
      <c r="FF269">
        <v>2</v>
      </c>
      <c r="FI269">
        <v>0</v>
      </c>
      <c r="FK269" t="s">
        <v>548</v>
      </c>
      <c r="FL269">
        <v>0.4</v>
      </c>
      <c r="FM269">
        <v>50</v>
      </c>
      <c r="FN269">
        <v>350</v>
      </c>
      <c r="FO269">
        <v>75</v>
      </c>
      <c r="FP269">
        <v>160</v>
      </c>
      <c r="FR269" t="s">
        <v>548</v>
      </c>
      <c r="FS269">
        <v>0.4</v>
      </c>
      <c r="FT269">
        <v>50</v>
      </c>
      <c r="FU269">
        <v>280</v>
      </c>
      <c r="FY269" t="s">
        <v>651</v>
      </c>
      <c r="FZ269">
        <v>1.6</v>
      </c>
      <c r="GA269">
        <v>20</v>
      </c>
      <c r="GB269">
        <v>186</v>
      </c>
      <c r="GG269" t="s">
        <v>651</v>
      </c>
      <c r="GH269">
        <v>1.6</v>
      </c>
      <c r="GI269">
        <v>20</v>
      </c>
      <c r="GJ269">
        <v>186</v>
      </c>
      <c r="HC269">
        <v>0.1</v>
      </c>
      <c r="HD269">
        <v>3</v>
      </c>
      <c r="HE269">
        <v>3</v>
      </c>
      <c r="HF269">
        <v>3</v>
      </c>
      <c r="HG269">
        <v>3</v>
      </c>
      <c r="HH269">
        <v>3</v>
      </c>
      <c r="HI269">
        <v>110</v>
      </c>
      <c r="HJ269">
        <v>3</v>
      </c>
      <c r="HK269">
        <v>30</v>
      </c>
      <c r="HL269">
        <v>2</v>
      </c>
      <c r="HM269">
        <v>0</v>
      </c>
      <c r="HN269">
        <v>2</v>
      </c>
      <c r="HO269">
        <v>65</v>
      </c>
      <c r="HP269">
        <v>3</v>
      </c>
      <c r="HQ269">
        <v>0</v>
      </c>
      <c r="HR269">
        <v>2</v>
      </c>
      <c r="HS269">
        <v>4848</v>
      </c>
      <c r="HT269">
        <v>150</v>
      </c>
      <c r="HU269">
        <v>180</v>
      </c>
      <c r="HW269">
        <v>0</v>
      </c>
      <c r="HX269">
        <v>430</v>
      </c>
      <c r="HY269">
        <v>0.18</v>
      </c>
      <c r="IA269">
        <v>0.15</v>
      </c>
      <c r="IB269">
        <v>0</v>
      </c>
      <c r="IC269">
        <v>180</v>
      </c>
      <c r="ID269">
        <v>110</v>
      </c>
      <c r="IE269">
        <v>0</v>
      </c>
      <c r="IF269">
        <v>0</v>
      </c>
      <c r="IH269" t="s">
        <v>549</v>
      </c>
      <c r="IO269">
        <v>1</v>
      </c>
      <c r="IP269">
        <v>19</v>
      </c>
      <c r="IQ269">
        <v>0</v>
      </c>
      <c r="IR269">
        <v>0</v>
      </c>
      <c r="IV269">
        <v>1458</v>
      </c>
      <c r="IW269">
        <v>418</v>
      </c>
      <c r="JA269">
        <v>1</v>
      </c>
      <c r="JB269">
        <v>0</v>
      </c>
      <c r="JC269">
        <v>2</v>
      </c>
      <c r="JD269">
        <v>1475</v>
      </c>
      <c r="JE269">
        <v>1468</v>
      </c>
      <c r="JF269">
        <v>0</v>
      </c>
      <c r="JG269">
        <v>1457</v>
      </c>
      <c r="JH269">
        <v>0</v>
      </c>
      <c r="JJ269">
        <v>180</v>
      </c>
      <c r="JK269">
        <v>430</v>
      </c>
      <c r="JN269">
        <v>385</v>
      </c>
      <c r="JO269">
        <v>555</v>
      </c>
      <c r="JP269">
        <v>0</v>
      </c>
      <c r="JQ269">
        <v>0</v>
      </c>
      <c r="JR269">
        <v>422</v>
      </c>
      <c r="JS269">
        <v>110</v>
      </c>
      <c r="JV269">
        <v>8</v>
      </c>
      <c r="JW269" t="s">
        <v>550</v>
      </c>
      <c r="JX269">
        <v>456</v>
      </c>
      <c r="KA269">
        <v>0</v>
      </c>
      <c r="KB269">
        <v>110</v>
      </c>
      <c r="KC269">
        <v>0</v>
      </c>
      <c r="KD269">
        <v>80</v>
      </c>
      <c r="KF269">
        <v>4</v>
      </c>
      <c r="KG269">
        <v>2</v>
      </c>
      <c r="KH269">
        <v>2</v>
      </c>
      <c r="KI269">
        <v>2</v>
      </c>
      <c r="KJ269">
        <v>0</v>
      </c>
      <c r="KK269">
        <v>1.5</v>
      </c>
      <c r="KL269">
        <v>1.5</v>
      </c>
      <c r="KM269">
        <v>0</v>
      </c>
      <c r="KN269">
        <v>0</v>
      </c>
      <c r="KO269">
        <v>0</v>
      </c>
      <c r="KR269">
        <v>50</v>
      </c>
      <c r="KS269">
        <v>60</v>
      </c>
      <c r="KT269">
        <v>0</v>
      </c>
      <c r="LK269">
        <v>480</v>
      </c>
      <c r="PG269">
        <v>1</v>
      </c>
      <c r="PI269" t="s">
        <v>3300</v>
      </c>
      <c r="PJ269" t="s">
        <v>3301</v>
      </c>
      <c r="PL269" t="s">
        <v>969</v>
      </c>
      <c r="PP269" t="s">
        <v>1341</v>
      </c>
      <c r="PS269" t="s">
        <v>693</v>
      </c>
      <c r="PX269">
        <v>56</v>
      </c>
      <c r="PY269">
        <v>57</v>
      </c>
      <c r="PZ269" t="s">
        <v>3300</v>
      </c>
      <c r="QA269">
        <v>3</v>
      </c>
      <c r="QB269">
        <v>1457</v>
      </c>
      <c r="QC269">
        <v>69</v>
      </c>
      <c r="QD269">
        <v>69</v>
      </c>
      <c r="QE269" t="s">
        <v>969</v>
      </c>
      <c r="QF269">
        <v>1</v>
      </c>
      <c r="QG269">
        <v>1475</v>
      </c>
      <c r="QH269">
        <v>66</v>
      </c>
      <c r="QI269">
        <v>66</v>
      </c>
      <c r="QJ269" t="s">
        <v>693</v>
      </c>
      <c r="QK269">
        <v>1</v>
      </c>
      <c r="QL269">
        <v>1475</v>
      </c>
      <c r="QM269">
        <v>63</v>
      </c>
      <c r="QN269">
        <v>63</v>
      </c>
      <c r="QO269" t="s">
        <v>3301</v>
      </c>
      <c r="QP269">
        <v>1</v>
      </c>
      <c r="QQ269">
        <v>1468</v>
      </c>
      <c r="QW269">
        <v>82</v>
      </c>
      <c r="QX269">
        <v>89</v>
      </c>
      <c r="QY269" t="s">
        <v>1341</v>
      </c>
      <c r="QZ269">
        <v>1</v>
      </c>
      <c r="RA269">
        <v>66</v>
      </c>
      <c r="RB269">
        <v>66</v>
      </c>
      <c r="RE269">
        <v>0</v>
      </c>
      <c r="RG269">
        <v>1</v>
      </c>
      <c r="RJ269">
        <v>1</v>
      </c>
      <c r="RK269">
        <v>2</v>
      </c>
      <c r="RL269">
        <v>2</v>
      </c>
      <c r="RO269">
        <v>545</v>
      </c>
      <c r="RP269">
        <v>105</v>
      </c>
      <c r="RQ269">
        <v>1000</v>
      </c>
      <c r="RT269">
        <v>272</v>
      </c>
      <c r="RU269">
        <v>187</v>
      </c>
      <c r="RV269" t="s">
        <v>1344</v>
      </c>
      <c r="RW269" t="s">
        <v>707</v>
      </c>
      <c r="RX269">
        <v>15</v>
      </c>
      <c r="RY269">
        <v>4</v>
      </c>
      <c r="RZ269" t="s">
        <v>707</v>
      </c>
      <c r="SA269">
        <v>15</v>
      </c>
      <c r="SB269" t="s">
        <v>3302</v>
      </c>
      <c r="SC269" t="s">
        <v>3302</v>
      </c>
      <c r="SD269">
        <v>1</v>
      </c>
      <c r="SH269">
        <v>0.995</v>
      </c>
      <c r="SI269">
        <v>0.995</v>
      </c>
      <c r="SJ269">
        <v>0.995</v>
      </c>
      <c r="SK269">
        <v>15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1</v>
      </c>
      <c r="TB269">
        <v>0</v>
      </c>
      <c r="TC269">
        <v>0</v>
      </c>
      <c r="TD269">
        <v>7.5</v>
      </c>
      <c r="TE269" t="s">
        <v>553</v>
      </c>
      <c r="TF269" t="s">
        <v>624</v>
      </c>
      <c r="TG269" t="s">
        <v>555</v>
      </c>
      <c r="TI269" t="s">
        <v>546</v>
      </c>
      <c r="TJ269" t="s">
        <v>547</v>
      </c>
      <c r="TL269" t="s">
        <v>3054</v>
      </c>
      <c r="TM269" t="s">
        <v>513</v>
      </c>
      <c r="TN269">
        <v>0</v>
      </c>
      <c r="TO269" t="s">
        <v>557</v>
      </c>
    </row>
    <row r="270" spans="1:535">
      <c r="A270" t="s">
        <v>3303</v>
      </c>
      <c r="B270" t="s">
        <v>564</v>
      </c>
      <c r="C270" t="s">
        <v>509</v>
      </c>
      <c r="D270" t="s">
        <v>2012</v>
      </c>
      <c r="G270" t="s">
        <v>627</v>
      </c>
      <c r="H270" t="s">
        <v>604</v>
      </c>
      <c r="I270" t="s">
        <v>628</v>
      </c>
      <c r="J270" t="s">
        <v>606</v>
      </c>
      <c r="L270" t="s">
        <v>512</v>
      </c>
      <c r="M270" t="s">
        <v>629</v>
      </c>
      <c r="N270" t="s">
        <v>513</v>
      </c>
      <c r="O270" t="s">
        <v>565</v>
      </c>
      <c r="Q270" t="s">
        <v>3304</v>
      </c>
      <c r="R270" t="s">
        <v>517</v>
      </c>
      <c r="S270" t="s">
        <v>3305</v>
      </c>
      <c r="T270" t="s">
        <v>1091</v>
      </c>
      <c r="U270" t="s">
        <v>570</v>
      </c>
      <c r="V270" t="s">
        <v>571</v>
      </c>
      <c r="W270" t="s">
        <v>1270</v>
      </c>
      <c r="X270" t="s">
        <v>3058</v>
      </c>
      <c r="Y270" t="s">
        <v>574</v>
      </c>
      <c r="Z270" t="s">
        <v>3306</v>
      </c>
      <c r="AA270" t="s">
        <v>3307</v>
      </c>
      <c r="AB270" t="s">
        <v>3308</v>
      </c>
      <c r="AC270">
        <v>2</v>
      </c>
      <c r="AD270">
        <v>57</v>
      </c>
      <c r="AE270">
        <v>243</v>
      </c>
      <c r="AF270">
        <v>1.5</v>
      </c>
      <c r="AH270">
        <v>0</v>
      </c>
      <c r="AI270" t="s">
        <v>1300</v>
      </c>
      <c r="AJ270">
        <v>222.5</v>
      </c>
      <c r="AK270">
        <v>1</v>
      </c>
      <c r="AL270">
        <v>1.5</v>
      </c>
      <c r="AM270" t="s">
        <v>579</v>
      </c>
      <c r="AN270" t="s">
        <v>693</v>
      </c>
      <c r="AO270">
        <v>2</v>
      </c>
      <c r="AP270" t="s">
        <v>581</v>
      </c>
      <c r="AQ270" t="s">
        <v>582</v>
      </c>
      <c r="AR270">
        <v>261</v>
      </c>
      <c r="AS270">
        <v>1.5</v>
      </c>
      <c r="AT270" t="s">
        <v>583</v>
      </c>
      <c r="AU270" t="s">
        <v>3309</v>
      </c>
      <c r="AW270" t="s">
        <v>3309</v>
      </c>
      <c r="AX270">
        <v>1</v>
      </c>
      <c r="AY270">
        <v>327.5</v>
      </c>
      <c r="AZ270">
        <v>1.5</v>
      </c>
      <c r="BA270" t="s">
        <v>579</v>
      </c>
      <c r="BC270" t="s">
        <v>3310</v>
      </c>
      <c r="BD270" t="s">
        <v>3310</v>
      </c>
      <c r="BE270">
        <v>1</v>
      </c>
      <c r="BF270">
        <v>267.5</v>
      </c>
      <c r="BG270">
        <v>1.5</v>
      </c>
      <c r="BJ270">
        <v>0</v>
      </c>
      <c r="BN270">
        <v>1.5</v>
      </c>
      <c r="BP270" t="s">
        <v>798</v>
      </c>
      <c r="BQ270" t="s">
        <v>587</v>
      </c>
      <c r="BR270">
        <v>2</v>
      </c>
      <c r="BS270" t="s">
        <v>799</v>
      </c>
      <c r="BT270">
        <v>241</v>
      </c>
      <c r="BU270">
        <v>0.5</v>
      </c>
      <c r="BV270" t="s">
        <v>799</v>
      </c>
      <c r="BW270">
        <v>482</v>
      </c>
      <c r="BX270">
        <v>1</v>
      </c>
      <c r="BY270" t="s">
        <v>589</v>
      </c>
      <c r="BZ270">
        <v>470</v>
      </c>
      <c r="CA270">
        <v>550</v>
      </c>
      <c r="CB270" t="s">
        <v>590</v>
      </c>
      <c r="CC270" t="s">
        <v>590</v>
      </c>
      <c r="CD270">
        <v>500</v>
      </c>
      <c r="CE270" t="s">
        <v>591</v>
      </c>
      <c r="CF270">
        <v>15</v>
      </c>
      <c r="CG270" t="s">
        <v>2950</v>
      </c>
      <c r="CH270" t="s">
        <v>2950</v>
      </c>
      <c r="CI270">
        <v>40</v>
      </c>
      <c r="CJ270">
        <v>1538</v>
      </c>
      <c r="CK270">
        <v>2</v>
      </c>
      <c r="CL270">
        <v>1632</v>
      </c>
      <c r="CM270">
        <v>2</v>
      </c>
      <c r="CN270" t="s">
        <v>593</v>
      </c>
      <c r="CO270" t="s">
        <v>594</v>
      </c>
      <c r="CP270" t="s">
        <v>595</v>
      </c>
      <c r="CQ270" t="s">
        <v>704</v>
      </c>
      <c r="CR270" t="s">
        <v>650</v>
      </c>
      <c r="CS270" t="s">
        <v>542</v>
      </c>
      <c r="CT270">
        <v>445</v>
      </c>
      <c r="CU270">
        <v>5</v>
      </c>
      <c r="CV270">
        <v>1.2</v>
      </c>
      <c r="CW270">
        <v>1554</v>
      </c>
      <c r="CX270">
        <v>981</v>
      </c>
      <c r="CY270" t="s">
        <v>705</v>
      </c>
      <c r="CZ270">
        <v>50</v>
      </c>
      <c r="DA270">
        <v>3</v>
      </c>
      <c r="DB270">
        <v>1</v>
      </c>
      <c r="DC270">
        <v>1554</v>
      </c>
      <c r="DD270">
        <v>82</v>
      </c>
      <c r="DE270" t="s">
        <v>622</v>
      </c>
      <c r="DF270">
        <v>655</v>
      </c>
      <c r="DG270">
        <v>3</v>
      </c>
      <c r="DH270">
        <v>0.88</v>
      </c>
      <c r="DI270">
        <v>1547</v>
      </c>
      <c r="DJ270">
        <v>1202</v>
      </c>
      <c r="DK270" t="s">
        <v>622</v>
      </c>
      <c r="DL270">
        <v>535</v>
      </c>
      <c r="DM270">
        <v>3</v>
      </c>
      <c r="DN270">
        <v>0.88</v>
      </c>
      <c r="DO270">
        <v>1552</v>
      </c>
      <c r="DP270">
        <v>1021</v>
      </c>
      <c r="DW270" t="s">
        <v>544</v>
      </c>
      <c r="DX270">
        <v>7.5</v>
      </c>
      <c r="EA270">
        <v>1623.8</v>
      </c>
      <c r="EB270">
        <v>382</v>
      </c>
      <c r="EC270" t="s">
        <v>545</v>
      </c>
      <c r="ED270">
        <v>40</v>
      </c>
      <c r="EE270">
        <v>3</v>
      </c>
      <c r="EG270">
        <v>1675</v>
      </c>
      <c r="EH270">
        <v>268</v>
      </c>
      <c r="EJ270">
        <v>0</v>
      </c>
      <c r="EK270">
        <v>1</v>
      </c>
      <c r="EN270">
        <v>0</v>
      </c>
      <c r="EP270" t="s">
        <v>546</v>
      </c>
      <c r="EQ270">
        <v>115</v>
      </c>
      <c r="ER270">
        <v>3</v>
      </c>
      <c r="ES270">
        <v>6</v>
      </c>
      <c r="ET270">
        <v>1537</v>
      </c>
      <c r="EU270">
        <v>524.5</v>
      </c>
      <c r="EV270">
        <v>806</v>
      </c>
      <c r="EW270" t="s">
        <v>547</v>
      </c>
      <c r="EX270">
        <v>45</v>
      </c>
      <c r="EY270">
        <v>2</v>
      </c>
      <c r="EZ270">
        <v>4.3</v>
      </c>
      <c r="FA270">
        <v>1537</v>
      </c>
      <c r="FB270">
        <v>140.3</v>
      </c>
      <c r="FC270">
        <v>216</v>
      </c>
      <c r="FE270">
        <v>0</v>
      </c>
      <c r="FF270">
        <v>2</v>
      </c>
      <c r="FI270">
        <v>0</v>
      </c>
      <c r="FK270" t="s">
        <v>548</v>
      </c>
      <c r="FL270">
        <v>0.4</v>
      </c>
      <c r="FM270">
        <v>40</v>
      </c>
      <c r="FN270">
        <v>420</v>
      </c>
      <c r="FO270">
        <v>110</v>
      </c>
      <c r="FP270">
        <v>140</v>
      </c>
      <c r="GR270" t="s">
        <v>548</v>
      </c>
      <c r="GS270">
        <v>0.4</v>
      </c>
      <c r="GT270">
        <v>30</v>
      </c>
      <c r="GU270">
        <v>450</v>
      </c>
      <c r="GV270">
        <v>40</v>
      </c>
      <c r="GW270">
        <v>300</v>
      </c>
      <c r="GY270" t="s">
        <v>651</v>
      </c>
      <c r="GZ270">
        <v>1.6</v>
      </c>
      <c r="HA270">
        <v>20</v>
      </c>
      <c r="HB270">
        <v>201</v>
      </c>
      <c r="HC270">
        <v>0.1</v>
      </c>
      <c r="HD270">
        <v>3</v>
      </c>
      <c r="HE270">
        <v>3</v>
      </c>
      <c r="HF270">
        <v>3</v>
      </c>
      <c r="HG270">
        <v>3</v>
      </c>
      <c r="HH270">
        <v>3</v>
      </c>
      <c r="HI270">
        <v>145</v>
      </c>
      <c r="HJ270">
        <v>3</v>
      </c>
      <c r="HK270">
        <v>30</v>
      </c>
      <c r="HL270">
        <v>2</v>
      </c>
      <c r="HM270">
        <v>0</v>
      </c>
      <c r="HN270">
        <v>2</v>
      </c>
      <c r="HO270">
        <v>100</v>
      </c>
      <c r="HP270">
        <v>3</v>
      </c>
      <c r="HQ270">
        <v>0</v>
      </c>
      <c r="HR270">
        <v>2</v>
      </c>
      <c r="HS270">
        <v>6712</v>
      </c>
      <c r="HT270">
        <v>200</v>
      </c>
      <c r="HU270">
        <v>180</v>
      </c>
      <c r="HW270">
        <v>0</v>
      </c>
      <c r="HX270">
        <v>570</v>
      </c>
      <c r="HY270">
        <v>0.18</v>
      </c>
      <c r="IA270">
        <v>0.15</v>
      </c>
      <c r="IB270">
        <v>0</v>
      </c>
      <c r="IC270">
        <v>180</v>
      </c>
      <c r="ID270">
        <v>110</v>
      </c>
      <c r="IE270">
        <v>225</v>
      </c>
      <c r="IF270">
        <v>0</v>
      </c>
      <c r="IH270" t="s">
        <v>549</v>
      </c>
      <c r="IO270">
        <v>3</v>
      </c>
      <c r="IP270">
        <v>20</v>
      </c>
      <c r="IQ270">
        <v>0</v>
      </c>
      <c r="IR270">
        <v>0</v>
      </c>
      <c r="IV270">
        <v>1538</v>
      </c>
      <c r="IW270">
        <v>482</v>
      </c>
      <c r="JA270">
        <v>1</v>
      </c>
      <c r="JB270">
        <v>0</v>
      </c>
      <c r="JC270">
        <v>2</v>
      </c>
      <c r="JD270">
        <v>1554</v>
      </c>
      <c r="JE270">
        <v>1547</v>
      </c>
      <c r="JF270">
        <v>1552</v>
      </c>
      <c r="JG270">
        <v>1537</v>
      </c>
      <c r="JH270">
        <v>0</v>
      </c>
      <c r="JJ270">
        <v>180</v>
      </c>
      <c r="JK270">
        <v>570</v>
      </c>
      <c r="JN270">
        <v>445</v>
      </c>
      <c r="JO270">
        <v>655</v>
      </c>
      <c r="JP270">
        <v>535</v>
      </c>
      <c r="JQ270">
        <v>0</v>
      </c>
      <c r="JR270">
        <v>486</v>
      </c>
      <c r="JS270">
        <v>145</v>
      </c>
      <c r="JV270">
        <v>8</v>
      </c>
      <c r="JW270" t="s">
        <v>550</v>
      </c>
      <c r="JX270">
        <v>522</v>
      </c>
      <c r="KA270">
        <v>225</v>
      </c>
      <c r="KB270">
        <v>110</v>
      </c>
      <c r="KC270">
        <v>0</v>
      </c>
      <c r="KD270">
        <v>80</v>
      </c>
      <c r="KF270">
        <v>4</v>
      </c>
      <c r="KG270">
        <v>2</v>
      </c>
      <c r="KH270">
        <v>2</v>
      </c>
      <c r="KI270">
        <v>2</v>
      </c>
      <c r="KJ270">
        <v>0</v>
      </c>
      <c r="KK270">
        <v>1.5</v>
      </c>
      <c r="KL270">
        <v>1.5</v>
      </c>
      <c r="KM270">
        <v>0</v>
      </c>
      <c r="KN270">
        <v>0</v>
      </c>
      <c r="KO270">
        <v>0</v>
      </c>
      <c r="KR270">
        <v>50</v>
      </c>
      <c r="KS270">
        <v>60</v>
      </c>
      <c r="KT270">
        <v>0</v>
      </c>
      <c r="LK270">
        <v>480</v>
      </c>
      <c r="PG270">
        <v>1</v>
      </c>
      <c r="PI270" t="s">
        <v>3308</v>
      </c>
      <c r="PJ270" t="s">
        <v>3309</v>
      </c>
      <c r="PK270" t="s">
        <v>3310</v>
      </c>
      <c r="PL270" t="s">
        <v>1300</v>
      </c>
      <c r="PP270" t="s">
        <v>798</v>
      </c>
      <c r="PS270" t="s">
        <v>693</v>
      </c>
      <c r="PX270">
        <v>56</v>
      </c>
      <c r="PY270">
        <v>57</v>
      </c>
      <c r="PZ270" t="s">
        <v>3308</v>
      </c>
      <c r="QA270">
        <v>3</v>
      </c>
      <c r="QB270">
        <v>1537</v>
      </c>
      <c r="QC270">
        <v>69</v>
      </c>
      <c r="QD270">
        <v>69</v>
      </c>
      <c r="QE270" t="s">
        <v>1300</v>
      </c>
      <c r="QF270">
        <v>1</v>
      </c>
      <c r="QG270">
        <v>1554</v>
      </c>
      <c r="QH270">
        <v>66</v>
      </c>
      <c r="QI270">
        <v>66</v>
      </c>
      <c r="QJ270" t="s">
        <v>693</v>
      </c>
      <c r="QK270">
        <v>1</v>
      </c>
      <c r="QL270">
        <v>1554</v>
      </c>
      <c r="QM270">
        <v>62</v>
      </c>
      <c r="QN270">
        <v>62</v>
      </c>
      <c r="QO270" t="s">
        <v>3309</v>
      </c>
      <c r="QP270">
        <v>1</v>
      </c>
      <c r="QQ270">
        <v>1547</v>
      </c>
      <c r="QR270">
        <v>63</v>
      </c>
      <c r="QS270">
        <v>63</v>
      </c>
      <c r="QT270" t="s">
        <v>3310</v>
      </c>
      <c r="QU270">
        <v>1</v>
      </c>
      <c r="QV270">
        <v>1552</v>
      </c>
      <c r="QW270">
        <v>82</v>
      </c>
      <c r="QX270" t="s">
        <v>587</v>
      </c>
      <c r="QY270" t="s">
        <v>798</v>
      </c>
      <c r="QZ270">
        <v>3</v>
      </c>
      <c r="RA270">
        <v>66</v>
      </c>
      <c r="RB270">
        <v>66</v>
      </c>
      <c r="RE270">
        <v>0</v>
      </c>
      <c r="RF270">
        <v>1</v>
      </c>
      <c r="RI270">
        <v>1</v>
      </c>
      <c r="RJ270">
        <v>1</v>
      </c>
      <c r="RK270">
        <v>2</v>
      </c>
      <c r="RL270">
        <v>4</v>
      </c>
      <c r="RM270">
        <v>4</v>
      </c>
      <c r="RO270">
        <v>631</v>
      </c>
      <c r="RP270">
        <v>105</v>
      </c>
      <c r="RQ270">
        <v>777</v>
      </c>
      <c r="RR270">
        <v>658</v>
      </c>
      <c r="RT270">
        <v>382</v>
      </c>
      <c r="RU270">
        <v>268</v>
      </c>
      <c r="RV270" t="s">
        <v>801</v>
      </c>
      <c r="RW270" t="s">
        <v>599</v>
      </c>
      <c r="RX270">
        <v>15</v>
      </c>
      <c r="RY270">
        <v>4</v>
      </c>
      <c r="RZ270" t="s">
        <v>599</v>
      </c>
      <c r="SA270">
        <v>15</v>
      </c>
      <c r="SC270" t="s">
        <v>3309</v>
      </c>
      <c r="SD270">
        <v>1</v>
      </c>
      <c r="SE270" t="s">
        <v>3311</v>
      </c>
      <c r="SF270" t="s">
        <v>3311</v>
      </c>
      <c r="SG270">
        <v>1</v>
      </c>
      <c r="SH270">
        <v>0.995</v>
      </c>
      <c r="SI270">
        <v>0.995</v>
      </c>
      <c r="SJ270">
        <v>0.995</v>
      </c>
      <c r="SK270">
        <v>15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1</v>
      </c>
      <c r="SZ270">
        <v>1</v>
      </c>
      <c r="TB270">
        <v>0</v>
      </c>
      <c r="TC270">
        <v>0</v>
      </c>
      <c r="TD270">
        <v>7.5</v>
      </c>
      <c r="TE270" t="s">
        <v>553</v>
      </c>
      <c r="TF270" t="s">
        <v>681</v>
      </c>
      <c r="TG270" t="s">
        <v>555</v>
      </c>
      <c r="TI270" t="s">
        <v>546</v>
      </c>
      <c r="TJ270" t="s">
        <v>547</v>
      </c>
      <c r="TL270" t="s">
        <v>3054</v>
      </c>
      <c r="TM270" t="s">
        <v>513</v>
      </c>
      <c r="TN270">
        <v>0</v>
      </c>
      <c r="TO270" t="s">
        <v>601</v>
      </c>
    </row>
    <row r="271" spans="1:535">
      <c r="A271" t="s">
        <v>3312</v>
      </c>
      <c r="B271" t="s">
        <v>564</v>
      </c>
      <c r="C271" t="s">
        <v>509</v>
      </c>
      <c r="D271" t="s">
        <v>2508</v>
      </c>
      <c r="G271" t="s">
        <v>604</v>
      </c>
      <c r="I271" t="s">
        <v>628</v>
      </c>
      <c r="J271" t="s">
        <v>606</v>
      </c>
      <c r="L271" t="s">
        <v>512</v>
      </c>
      <c r="M271" t="s">
        <v>629</v>
      </c>
      <c r="N271" t="s">
        <v>513</v>
      </c>
      <c r="O271" t="s">
        <v>607</v>
      </c>
      <c r="Q271" t="s">
        <v>3313</v>
      </c>
      <c r="R271" t="s">
        <v>517</v>
      </c>
      <c r="S271" t="s">
        <v>1553</v>
      </c>
      <c r="T271" t="s">
        <v>1554</v>
      </c>
      <c r="U271" t="s">
        <v>1482</v>
      </c>
      <c r="V271" t="s">
        <v>1483</v>
      </c>
      <c r="W271" t="s">
        <v>3314</v>
      </c>
      <c r="X271" t="s">
        <v>3048</v>
      </c>
      <c r="Y271" t="s">
        <v>524</v>
      </c>
      <c r="Z271" t="s">
        <v>3315</v>
      </c>
      <c r="AA271" t="s">
        <v>3316</v>
      </c>
      <c r="AB271" t="s">
        <v>3317</v>
      </c>
      <c r="AC271">
        <v>2</v>
      </c>
      <c r="AD271">
        <v>57</v>
      </c>
      <c r="AE271">
        <v>157</v>
      </c>
      <c r="AF271">
        <v>1.5</v>
      </c>
      <c r="AH271">
        <v>0</v>
      </c>
      <c r="AI271" t="s">
        <v>854</v>
      </c>
      <c r="AJ271">
        <v>167.5</v>
      </c>
      <c r="AK271">
        <v>1</v>
      </c>
      <c r="AL271">
        <v>1.5</v>
      </c>
      <c r="AM271" t="s">
        <v>529</v>
      </c>
      <c r="AO271">
        <v>0</v>
      </c>
      <c r="AR271">
        <v>0</v>
      </c>
      <c r="AS271">
        <v>1.5</v>
      </c>
      <c r="AU271" t="s">
        <v>3318</v>
      </c>
      <c r="AW271" t="s">
        <v>3318</v>
      </c>
      <c r="AX271">
        <v>1</v>
      </c>
      <c r="AY271">
        <v>245</v>
      </c>
      <c r="AZ271">
        <v>1.5</v>
      </c>
      <c r="BA271" t="s">
        <v>529</v>
      </c>
      <c r="BG271">
        <v>1.5</v>
      </c>
      <c r="BJ271">
        <v>0</v>
      </c>
      <c r="BN271">
        <v>1.5</v>
      </c>
      <c r="BP271" t="s">
        <v>3319</v>
      </c>
      <c r="BQ271">
        <v>89</v>
      </c>
      <c r="BR271">
        <v>2</v>
      </c>
      <c r="BS271" t="s">
        <v>3320</v>
      </c>
      <c r="BT271">
        <v>180</v>
      </c>
      <c r="BU271">
        <v>0.5</v>
      </c>
      <c r="BV271" t="s">
        <v>3320</v>
      </c>
      <c r="BW271">
        <v>360</v>
      </c>
      <c r="BX271">
        <v>1</v>
      </c>
      <c r="BY271" t="s">
        <v>1491</v>
      </c>
      <c r="BZ271">
        <v>300</v>
      </c>
      <c r="CA271">
        <v>420</v>
      </c>
      <c r="CB271" t="s">
        <v>1492</v>
      </c>
      <c r="CC271" t="s">
        <v>1492</v>
      </c>
      <c r="CD271">
        <v>380</v>
      </c>
      <c r="CE271" t="s">
        <v>1493</v>
      </c>
      <c r="CF271">
        <v>15</v>
      </c>
      <c r="CG271" t="s">
        <v>1563</v>
      </c>
      <c r="CH271" t="s">
        <v>1563</v>
      </c>
      <c r="CI271">
        <v>60</v>
      </c>
      <c r="CJ271">
        <v>1122</v>
      </c>
      <c r="CK271">
        <v>2</v>
      </c>
      <c r="CL271">
        <v>1222</v>
      </c>
      <c r="CM271">
        <v>2</v>
      </c>
      <c r="CN271" t="s">
        <v>1495</v>
      </c>
      <c r="CO271" t="s">
        <v>1473</v>
      </c>
      <c r="CP271" t="s">
        <v>1474</v>
      </c>
      <c r="CQ271" t="s">
        <v>540</v>
      </c>
      <c r="CR271" t="s">
        <v>541</v>
      </c>
      <c r="CS271" t="s">
        <v>542</v>
      </c>
      <c r="CT271">
        <v>335</v>
      </c>
      <c r="CU271">
        <v>5</v>
      </c>
      <c r="CV271">
        <v>1.3</v>
      </c>
      <c r="CW271">
        <v>1136</v>
      </c>
      <c r="CX271">
        <v>585</v>
      </c>
      <c r="DD271">
        <v>0</v>
      </c>
      <c r="DE271" t="s">
        <v>543</v>
      </c>
      <c r="DF271">
        <v>490</v>
      </c>
      <c r="DG271">
        <v>3</v>
      </c>
      <c r="DH271">
        <v>1.18</v>
      </c>
      <c r="DI271">
        <v>1134</v>
      </c>
      <c r="DJ271">
        <v>898</v>
      </c>
      <c r="DW271" t="s">
        <v>544</v>
      </c>
      <c r="DX271">
        <v>7.5</v>
      </c>
      <c r="EA271">
        <v>1204.3</v>
      </c>
      <c r="EB271">
        <v>171</v>
      </c>
      <c r="EC271" t="s">
        <v>545</v>
      </c>
      <c r="ED271">
        <v>30</v>
      </c>
      <c r="EE271">
        <v>3</v>
      </c>
      <c r="EG271">
        <v>1235</v>
      </c>
      <c r="EH271">
        <v>144</v>
      </c>
      <c r="EJ271">
        <v>0</v>
      </c>
      <c r="EK271">
        <v>1</v>
      </c>
      <c r="EN271">
        <v>0</v>
      </c>
      <c r="EP271" t="s">
        <v>546</v>
      </c>
      <c r="EQ271">
        <v>95</v>
      </c>
      <c r="ER271">
        <v>3</v>
      </c>
      <c r="ES271">
        <v>5</v>
      </c>
      <c r="ET271">
        <v>1117</v>
      </c>
      <c r="EU271">
        <v>376.2</v>
      </c>
      <c r="EV271">
        <v>420</v>
      </c>
      <c r="EW271" t="s">
        <v>547</v>
      </c>
      <c r="EX271">
        <v>70</v>
      </c>
      <c r="EY271">
        <v>2</v>
      </c>
      <c r="EZ271">
        <v>4.3</v>
      </c>
      <c r="FA271">
        <v>1117</v>
      </c>
      <c r="FB271">
        <v>208.3</v>
      </c>
      <c r="FC271">
        <v>233</v>
      </c>
      <c r="FE271">
        <v>0</v>
      </c>
      <c r="FF271">
        <v>2</v>
      </c>
      <c r="FI271">
        <v>0</v>
      </c>
      <c r="FK271" t="s">
        <v>548</v>
      </c>
      <c r="FL271">
        <v>0.4</v>
      </c>
      <c r="FM271">
        <v>85</v>
      </c>
      <c r="FN271">
        <v>110</v>
      </c>
      <c r="FR271" t="s">
        <v>548</v>
      </c>
      <c r="FS271">
        <v>0.4</v>
      </c>
      <c r="FT271">
        <v>30</v>
      </c>
      <c r="FU271">
        <v>330</v>
      </c>
      <c r="FV271">
        <v>30</v>
      </c>
      <c r="FW271">
        <v>210</v>
      </c>
      <c r="HC271">
        <v>0.1</v>
      </c>
      <c r="HD271">
        <v>3</v>
      </c>
      <c r="HE271">
        <v>3</v>
      </c>
      <c r="HF271">
        <v>3</v>
      </c>
      <c r="HG271">
        <v>3</v>
      </c>
      <c r="HH271">
        <v>3</v>
      </c>
      <c r="HI271">
        <v>150</v>
      </c>
      <c r="HJ271">
        <v>3</v>
      </c>
      <c r="HK271">
        <v>55</v>
      </c>
      <c r="HL271">
        <v>2</v>
      </c>
      <c r="HM271">
        <v>0</v>
      </c>
      <c r="HN271">
        <v>2</v>
      </c>
      <c r="HO271">
        <v>80</v>
      </c>
      <c r="HP271">
        <v>3</v>
      </c>
      <c r="HQ271">
        <v>0</v>
      </c>
      <c r="HR271">
        <v>2</v>
      </c>
      <c r="HS271">
        <v>3419</v>
      </c>
      <c r="HT271">
        <v>100</v>
      </c>
      <c r="HU271">
        <v>180</v>
      </c>
      <c r="HW271">
        <v>0</v>
      </c>
      <c r="HX271">
        <v>440</v>
      </c>
      <c r="HY271">
        <v>0.18</v>
      </c>
      <c r="IA271">
        <v>0.15</v>
      </c>
      <c r="IB271">
        <v>0</v>
      </c>
      <c r="IC271">
        <v>180</v>
      </c>
      <c r="ID271">
        <v>110</v>
      </c>
      <c r="IE271">
        <v>0</v>
      </c>
      <c r="IF271">
        <v>0</v>
      </c>
      <c r="IH271" t="s">
        <v>549</v>
      </c>
      <c r="IO271">
        <v>1</v>
      </c>
      <c r="IP271">
        <v>15</v>
      </c>
      <c r="IQ271">
        <v>0</v>
      </c>
      <c r="IR271">
        <v>1</v>
      </c>
      <c r="IV271">
        <v>1122</v>
      </c>
      <c r="IW271">
        <v>360</v>
      </c>
      <c r="JA271">
        <v>1</v>
      </c>
      <c r="JB271">
        <v>0</v>
      </c>
      <c r="JC271">
        <v>2</v>
      </c>
      <c r="JD271">
        <v>1136</v>
      </c>
      <c r="JE271">
        <v>1134</v>
      </c>
      <c r="JF271">
        <v>0</v>
      </c>
      <c r="JG271">
        <v>1117</v>
      </c>
      <c r="JH271">
        <v>0</v>
      </c>
      <c r="JJ271">
        <v>180</v>
      </c>
      <c r="JK271">
        <v>440</v>
      </c>
      <c r="JN271">
        <v>335</v>
      </c>
      <c r="JO271">
        <v>490</v>
      </c>
      <c r="JP271">
        <v>0</v>
      </c>
      <c r="JQ271">
        <v>0</v>
      </c>
      <c r="JR271">
        <v>314</v>
      </c>
      <c r="JS271">
        <v>150</v>
      </c>
      <c r="JV271">
        <v>8</v>
      </c>
      <c r="JW271" t="s">
        <v>550</v>
      </c>
      <c r="JX271">
        <v>0</v>
      </c>
      <c r="KA271">
        <v>0</v>
      </c>
      <c r="KB271">
        <v>110</v>
      </c>
      <c r="KC271">
        <v>0</v>
      </c>
      <c r="KD271">
        <v>80</v>
      </c>
      <c r="KF271">
        <v>4</v>
      </c>
      <c r="KG271">
        <v>4</v>
      </c>
      <c r="KH271">
        <v>2</v>
      </c>
      <c r="KI271">
        <v>2</v>
      </c>
      <c r="KJ271">
        <v>0</v>
      </c>
      <c r="KK271">
        <v>1.5</v>
      </c>
      <c r="KL271">
        <v>1.5</v>
      </c>
      <c r="KM271">
        <v>0</v>
      </c>
      <c r="KN271">
        <v>0</v>
      </c>
      <c r="KO271">
        <v>0</v>
      </c>
      <c r="KR271">
        <v>30</v>
      </c>
      <c r="KS271">
        <v>60</v>
      </c>
      <c r="KT271">
        <v>0</v>
      </c>
      <c r="LK271">
        <v>480</v>
      </c>
      <c r="PG271">
        <v>1</v>
      </c>
      <c r="PI271" t="s">
        <v>3317</v>
      </c>
      <c r="PJ271" t="s">
        <v>3318</v>
      </c>
      <c r="PL271" t="s">
        <v>854</v>
      </c>
      <c r="PP271" t="s">
        <v>3319</v>
      </c>
      <c r="PX271">
        <v>56</v>
      </c>
      <c r="PY271">
        <v>57</v>
      </c>
      <c r="PZ271" t="s">
        <v>3317</v>
      </c>
      <c r="QA271">
        <v>2</v>
      </c>
      <c r="QB271">
        <v>1117</v>
      </c>
      <c r="QC271">
        <v>69</v>
      </c>
      <c r="QD271">
        <v>69</v>
      </c>
      <c r="QE271" t="s">
        <v>854</v>
      </c>
      <c r="QF271">
        <v>2</v>
      </c>
      <c r="QG271">
        <v>1136</v>
      </c>
      <c r="QH271">
        <v>66</v>
      </c>
      <c r="QI271">
        <v>66</v>
      </c>
      <c r="QL271">
        <v>0</v>
      </c>
      <c r="QM271">
        <v>62</v>
      </c>
      <c r="QN271">
        <v>62</v>
      </c>
      <c r="QO271" t="s">
        <v>3318</v>
      </c>
      <c r="QP271">
        <v>1</v>
      </c>
      <c r="QQ271">
        <v>1134</v>
      </c>
      <c r="QW271">
        <v>82</v>
      </c>
      <c r="QX271">
        <v>89</v>
      </c>
      <c r="QY271" t="s">
        <v>3319</v>
      </c>
      <c r="QZ271">
        <v>2</v>
      </c>
      <c r="RA271">
        <v>66</v>
      </c>
      <c r="RB271">
        <v>66</v>
      </c>
      <c r="RE271">
        <v>0</v>
      </c>
      <c r="RF271">
        <v>1</v>
      </c>
      <c r="RJ271">
        <v>1</v>
      </c>
      <c r="RL271">
        <v>1</v>
      </c>
      <c r="RO271">
        <v>515</v>
      </c>
      <c r="RQ271">
        <v>792</v>
      </c>
      <c r="RT271">
        <v>171</v>
      </c>
      <c r="RU271">
        <v>144</v>
      </c>
      <c r="RV271" t="s">
        <v>3321</v>
      </c>
      <c r="RW271" t="s">
        <v>1498</v>
      </c>
      <c r="RX271">
        <v>15</v>
      </c>
      <c r="RY271">
        <v>4</v>
      </c>
      <c r="RZ271" t="s">
        <v>1498</v>
      </c>
      <c r="SA271">
        <v>15</v>
      </c>
      <c r="SC271" t="s">
        <v>3318</v>
      </c>
      <c r="SD271">
        <v>1</v>
      </c>
      <c r="SH271">
        <v>0.995</v>
      </c>
      <c r="SI271">
        <v>0.995</v>
      </c>
      <c r="SJ271">
        <v>0.995</v>
      </c>
      <c r="SK271">
        <v>15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TB271">
        <v>0</v>
      </c>
      <c r="TC271">
        <v>0</v>
      </c>
      <c r="TD271">
        <v>7.5</v>
      </c>
      <c r="TE271" t="s">
        <v>553</v>
      </c>
      <c r="TF271" t="s">
        <v>554</v>
      </c>
      <c r="TG271" t="s">
        <v>555</v>
      </c>
      <c r="TI271" t="s">
        <v>546</v>
      </c>
      <c r="TJ271" t="s">
        <v>547</v>
      </c>
      <c r="TL271" t="s">
        <v>3054</v>
      </c>
      <c r="TM271" t="s">
        <v>513</v>
      </c>
      <c r="TN271">
        <v>0</v>
      </c>
      <c r="TO271" t="s">
        <v>557</v>
      </c>
    </row>
    <row r="272" spans="1:535">
      <c r="A272" t="s">
        <v>3322</v>
      </c>
      <c r="B272" t="s">
        <v>897</v>
      </c>
      <c r="C272" t="s">
        <v>509</v>
      </c>
      <c r="D272" t="s">
        <v>2565</v>
      </c>
      <c r="G272" t="s">
        <v>604</v>
      </c>
      <c r="H272" t="s">
        <v>605</v>
      </c>
      <c r="J272" t="s">
        <v>606</v>
      </c>
      <c r="L272" t="s">
        <v>512</v>
      </c>
      <c r="M272" t="s">
        <v>657</v>
      </c>
      <c r="N272" t="s">
        <v>513</v>
      </c>
      <c r="O272" t="s">
        <v>607</v>
      </c>
      <c r="Q272" t="s">
        <v>3323</v>
      </c>
      <c r="R272" t="s">
        <v>517</v>
      </c>
      <c r="S272" t="s">
        <v>1853</v>
      </c>
      <c r="T272" t="s">
        <v>820</v>
      </c>
      <c r="U272" t="s">
        <v>520</v>
      </c>
      <c r="V272" t="s">
        <v>521</v>
      </c>
      <c r="W272" t="s">
        <v>2435</v>
      </c>
      <c r="X272" t="s">
        <v>3048</v>
      </c>
      <c r="Y272" t="s">
        <v>574</v>
      </c>
      <c r="Z272" t="s">
        <v>3324</v>
      </c>
      <c r="AA272" t="s">
        <v>3325</v>
      </c>
      <c r="AB272" t="s">
        <v>3326</v>
      </c>
      <c r="AC272">
        <v>2</v>
      </c>
      <c r="AD272">
        <v>57</v>
      </c>
      <c r="AE272">
        <v>190</v>
      </c>
      <c r="AF272">
        <v>1.5</v>
      </c>
      <c r="AH272">
        <v>0</v>
      </c>
      <c r="AI272" t="s">
        <v>615</v>
      </c>
      <c r="AJ272">
        <v>200</v>
      </c>
      <c r="AK272">
        <v>1</v>
      </c>
      <c r="AL272">
        <v>1.5</v>
      </c>
      <c r="AM272" t="s">
        <v>529</v>
      </c>
      <c r="AO272">
        <v>0</v>
      </c>
      <c r="AR272">
        <v>0</v>
      </c>
      <c r="AS272">
        <v>1.5</v>
      </c>
      <c r="AU272" t="s">
        <v>3327</v>
      </c>
      <c r="AW272" t="s">
        <v>3327</v>
      </c>
      <c r="AX272">
        <v>1</v>
      </c>
      <c r="AY272">
        <v>280</v>
      </c>
      <c r="AZ272">
        <v>1.5</v>
      </c>
      <c r="BA272" t="s">
        <v>529</v>
      </c>
      <c r="BG272">
        <v>1.5</v>
      </c>
      <c r="BJ272">
        <v>0</v>
      </c>
      <c r="BN272">
        <v>1.5</v>
      </c>
      <c r="BP272" t="s">
        <v>3328</v>
      </c>
      <c r="BQ272">
        <v>88</v>
      </c>
      <c r="BR272">
        <v>2</v>
      </c>
      <c r="BS272" t="s">
        <v>1919</v>
      </c>
      <c r="BT272">
        <v>214</v>
      </c>
      <c r="BU272">
        <v>0.5</v>
      </c>
      <c r="BV272" t="s">
        <v>1919</v>
      </c>
      <c r="BW272">
        <v>428</v>
      </c>
      <c r="BX272">
        <v>1</v>
      </c>
      <c r="BY272" t="s">
        <v>533</v>
      </c>
      <c r="BZ272">
        <v>470</v>
      </c>
      <c r="CA272">
        <v>610</v>
      </c>
      <c r="CB272" t="s">
        <v>534</v>
      </c>
      <c r="CC272" t="s">
        <v>534</v>
      </c>
      <c r="CD272">
        <v>440</v>
      </c>
      <c r="CE272" t="s">
        <v>535</v>
      </c>
      <c r="CF272">
        <v>15</v>
      </c>
      <c r="CG272" t="s">
        <v>1819</v>
      </c>
      <c r="CH272" t="s">
        <v>1819</v>
      </c>
      <c r="CI272">
        <v>70</v>
      </c>
      <c r="CJ272">
        <v>1200</v>
      </c>
      <c r="CK272">
        <v>2</v>
      </c>
      <c r="CL272">
        <v>1301</v>
      </c>
      <c r="CM272">
        <v>2</v>
      </c>
      <c r="CN272" t="s">
        <v>537</v>
      </c>
      <c r="CO272" t="s">
        <v>538</v>
      </c>
      <c r="CP272" t="s">
        <v>539</v>
      </c>
      <c r="CQ272" t="s">
        <v>540</v>
      </c>
      <c r="CR272" t="s">
        <v>541</v>
      </c>
      <c r="CS272" t="s">
        <v>542</v>
      </c>
      <c r="CT272">
        <v>400</v>
      </c>
      <c r="CU272">
        <v>5</v>
      </c>
      <c r="CV272">
        <v>1.2</v>
      </c>
      <c r="CW272">
        <v>1213</v>
      </c>
      <c r="CX272">
        <v>688</v>
      </c>
      <c r="DD272">
        <v>0</v>
      </c>
      <c r="DE272" t="s">
        <v>543</v>
      </c>
      <c r="DF272">
        <v>560</v>
      </c>
      <c r="DG272">
        <v>3</v>
      </c>
      <c r="DH272">
        <v>1.18</v>
      </c>
      <c r="DI272">
        <v>1211</v>
      </c>
      <c r="DJ272">
        <v>1063</v>
      </c>
      <c r="DW272" t="s">
        <v>544</v>
      </c>
      <c r="DX272">
        <v>7.5</v>
      </c>
      <c r="EA272">
        <v>1282.5</v>
      </c>
      <c r="EB272">
        <v>227</v>
      </c>
      <c r="EC272" t="s">
        <v>545</v>
      </c>
      <c r="ED272">
        <v>25</v>
      </c>
      <c r="EE272">
        <v>3</v>
      </c>
      <c r="EG272">
        <v>1323</v>
      </c>
      <c r="EH272">
        <v>126</v>
      </c>
      <c r="EJ272">
        <v>0</v>
      </c>
      <c r="EK272">
        <v>1</v>
      </c>
      <c r="EN272">
        <v>0</v>
      </c>
      <c r="EP272" t="s">
        <v>546</v>
      </c>
      <c r="EQ272">
        <v>115</v>
      </c>
      <c r="ER272">
        <v>3</v>
      </c>
      <c r="ES272">
        <v>5</v>
      </c>
      <c r="ET272">
        <v>1194</v>
      </c>
      <c r="EU272">
        <v>452.7</v>
      </c>
      <c r="EV272">
        <v>541</v>
      </c>
      <c r="EW272" t="s">
        <v>547</v>
      </c>
      <c r="EX272">
        <v>70</v>
      </c>
      <c r="EY272">
        <v>2</v>
      </c>
      <c r="EZ272">
        <v>4</v>
      </c>
      <c r="FA272">
        <v>1194</v>
      </c>
      <c r="FB272">
        <v>210</v>
      </c>
      <c r="FC272">
        <v>251</v>
      </c>
      <c r="FE272">
        <v>0</v>
      </c>
      <c r="FF272">
        <v>2</v>
      </c>
      <c r="FI272">
        <v>0</v>
      </c>
      <c r="FK272" t="s">
        <v>548</v>
      </c>
      <c r="FL272">
        <v>0.4</v>
      </c>
      <c r="FM272">
        <v>105</v>
      </c>
      <c r="FN272">
        <v>140</v>
      </c>
      <c r="FR272" t="s">
        <v>548</v>
      </c>
      <c r="FS272">
        <v>0.4</v>
      </c>
      <c r="FT272">
        <v>30</v>
      </c>
      <c r="FU272">
        <v>276</v>
      </c>
      <c r="HC272">
        <v>0.1</v>
      </c>
      <c r="HD272">
        <v>3</v>
      </c>
      <c r="HE272">
        <v>3</v>
      </c>
      <c r="HF272">
        <v>3</v>
      </c>
      <c r="HG272">
        <v>3</v>
      </c>
      <c r="HH272">
        <v>3</v>
      </c>
      <c r="HI272">
        <v>170</v>
      </c>
      <c r="HJ272">
        <v>3</v>
      </c>
      <c r="HK272">
        <v>55</v>
      </c>
      <c r="HL272">
        <v>2</v>
      </c>
      <c r="HM272">
        <v>0</v>
      </c>
      <c r="HN272">
        <v>2</v>
      </c>
      <c r="HO272">
        <v>100</v>
      </c>
      <c r="HP272">
        <v>3</v>
      </c>
      <c r="HQ272">
        <v>0</v>
      </c>
      <c r="HR272">
        <v>2</v>
      </c>
      <c r="HS272">
        <v>4041</v>
      </c>
      <c r="HT272">
        <v>120</v>
      </c>
      <c r="HU272">
        <v>180</v>
      </c>
      <c r="HW272">
        <v>0</v>
      </c>
      <c r="HX272">
        <v>480</v>
      </c>
      <c r="HY272">
        <v>0.18</v>
      </c>
      <c r="IA272">
        <v>0.15</v>
      </c>
      <c r="IB272">
        <v>0</v>
      </c>
      <c r="IC272">
        <v>180</v>
      </c>
      <c r="ID272">
        <v>110</v>
      </c>
      <c r="IE272">
        <v>0</v>
      </c>
      <c r="IF272">
        <v>0</v>
      </c>
      <c r="IH272" t="s">
        <v>549</v>
      </c>
      <c r="IO272">
        <v>1</v>
      </c>
      <c r="IP272">
        <v>16</v>
      </c>
      <c r="IQ272">
        <v>0</v>
      </c>
      <c r="IR272">
        <v>1</v>
      </c>
      <c r="IV272">
        <v>1200</v>
      </c>
      <c r="IW272">
        <v>428</v>
      </c>
      <c r="JA272">
        <v>1</v>
      </c>
      <c r="JB272">
        <v>0</v>
      </c>
      <c r="JC272">
        <v>2</v>
      </c>
      <c r="JD272">
        <v>1213</v>
      </c>
      <c r="JE272">
        <v>1211</v>
      </c>
      <c r="JF272">
        <v>0</v>
      </c>
      <c r="JG272">
        <v>1194</v>
      </c>
      <c r="JH272">
        <v>0</v>
      </c>
      <c r="JJ272">
        <v>180</v>
      </c>
      <c r="JK272">
        <v>480</v>
      </c>
      <c r="JN272">
        <v>400</v>
      </c>
      <c r="JO272">
        <v>560</v>
      </c>
      <c r="JP272">
        <v>0</v>
      </c>
      <c r="JQ272">
        <v>0</v>
      </c>
      <c r="JR272">
        <v>380</v>
      </c>
      <c r="JS272">
        <v>170</v>
      </c>
      <c r="JV272">
        <v>8</v>
      </c>
      <c r="JW272" t="s">
        <v>550</v>
      </c>
      <c r="JX272">
        <v>0</v>
      </c>
      <c r="KA272">
        <v>0</v>
      </c>
      <c r="KB272">
        <v>110</v>
      </c>
      <c r="KC272">
        <v>0</v>
      </c>
      <c r="KD272">
        <v>80</v>
      </c>
      <c r="KF272">
        <v>4</v>
      </c>
      <c r="KG272">
        <v>2</v>
      </c>
      <c r="KH272">
        <v>2</v>
      </c>
      <c r="KI272">
        <v>2</v>
      </c>
      <c r="KJ272">
        <v>0</v>
      </c>
      <c r="KK272">
        <v>1.5</v>
      </c>
      <c r="KL272">
        <v>1.5</v>
      </c>
      <c r="KM272">
        <v>0</v>
      </c>
      <c r="KN272">
        <v>0</v>
      </c>
      <c r="KO272">
        <v>0</v>
      </c>
      <c r="KR272">
        <v>30</v>
      </c>
      <c r="KS272">
        <v>50</v>
      </c>
      <c r="KT272">
        <v>0</v>
      </c>
      <c r="LK272">
        <v>480</v>
      </c>
      <c r="PG272">
        <v>1</v>
      </c>
      <c r="PI272" t="s">
        <v>3326</v>
      </c>
      <c r="PJ272" t="s">
        <v>3327</v>
      </c>
      <c r="PL272" t="s">
        <v>615</v>
      </c>
      <c r="PP272" t="s">
        <v>3328</v>
      </c>
      <c r="PX272">
        <v>56</v>
      </c>
      <c r="PY272">
        <v>57</v>
      </c>
      <c r="PZ272" t="s">
        <v>3326</v>
      </c>
      <c r="QA272">
        <v>2</v>
      </c>
      <c r="QB272">
        <v>1194</v>
      </c>
      <c r="QC272">
        <v>69</v>
      </c>
      <c r="QD272">
        <v>69</v>
      </c>
      <c r="QE272" t="s">
        <v>615</v>
      </c>
      <c r="QF272">
        <v>1</v>
      </c>
      <c r="QG272">
        <v>1213</v>
      </c>
      <c r="QH272">
        <v>66</v>
      </c>
      <c r="QI272">
        <v>66</v>
      </c>
      <c r="QL272">
        <v>0</v>
      </c>
      <c r="QM272">
        <v>62</v>
      </c>
      <c r="QN272">
        <v>62</v>
      </c>
      <c r="QO272" t="s">
        <v>3327</v>
      </c>
      <c r="QP272">
        <v>1</v>
      </c>
      <c r="QQ272">
        <v>1211</v>
      </c>
      <c r="QW272">
        <v>82</v>
      </c>
      <c r="QX272">
        <v>88</v>
      </c>
      <c r="QY272" t="s">
        <v>3328</v>
      </c>
      <c r="QZ272">
        <v>1</v>
      </c>
      <c r="RA272">
        <v>66</v>
      </c>
      <c r="RB272">
        <v>66</v>
      </c>
      <c r="RE272">
        <v>0</v>
      </c>
      <c r="RF272">
        <v>1</v>
      </c>
      <c r="RJ272">
        <v>1</v>
      </c>
      <c r="RL272">
        <v>2</v>
      </c>
      <c r="RO272">
        <v>567</v>
      </c>
      <c r="RQ272">
        <v>878</v>
      </c>
      <c r="RT272">
        <v>227</v>
      </c>
      <c r="RU272">
        <v>126</v>
      </c>
      <c r="RV272" t="s">
        <v>1920</v>
      </c>
      <c r="RW272" t="s">
        <v>552</v>
      </c>
      <c r="RX272">
        <v>15</v>
      </c>
      <c r="RY272">
        <v>4</v>
      </c>
      <c r="RZ272" t="s">
        <v>552</v>
      </c>
      <c r="SA272">
        <v>15</v>
      </c>
      <c r="SC272" t="s">
        <v>3327</v>
      </c>
      <c r="SD272">
        <v>1</v>
      </c>
      <c r="SH272">
        <v>0.995</v>
      </c>
      <c r="SI272">
        <v>0.995</v>
      </c>
      <c r="SJ272">
        <v>0.995</v>
      </c>
      <c r="SK272">
        <v>15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TB272">
        <v>0</v>
      </c>
      <c r="TC272">
        <v>0</v>
      </c>
      <c r="TD272">
        <v>7.5</v>
      </c>
      <c r="TE272" t="s">
        <v>553</v>
      </c>
      <c r="TF272" t="s">
        <v>624</v>
      </c>
      <c r="TG272" t="s">
        <v>555</v>
      </c>
      <c r="TI272" t="s">
        <v>546</v>
      </c>
      <c r="TJ272" t="s">
        <v>547</v>
      </c>
      <c r="TL272" t="s">
        <v>3054</v>
      </c>
      <c r="TM272" t="s">
        <v>513</v>
      </c>
      <c r="TN272">
        <v>0</v>
      </c>
      <c r="TO272" t="s">
        <v>557</v>
      </c>
    </row>
    <row r="273" spans="1:535">
      <c r="A273" t="s">
        <v>3329</v>
      </c>
      <c r="B273" t="s">
        <v>657</v>
      </c>
      <c r="C273" t="s">
        <v>509</v>
      </c>
      <c r="D273" t="s">
        <v>2455</v>
      </c>
      <c r="G273" t="s">
        <v>604</v>
      </c>
      <c r="H273" t="s">
        <v>605</v>
      </c>
      <c r="J273" t="s">
        <v>606</v>
      </c>
      <c r="L273" t="s">
        <v>512</v>
      </c>
      <c r="M273" t="s">
        <v>559</v>
      </c>
      <c r="N273" t="s">
        <v>513</v>
      </c>
      <c r="O273" t="s">
        <v>607</v>
      </c>
      <c r="Q273" t="s">
        <v>3330</v>
      </c>
      <c r="R273" t="s">
        <v>517</v>
      </c>
      <c r="S273" t="s">
        <v>939</v>
      </c>
      <c r="T273" t="s">
        <v>759</v>
      </c>
      <c r="U273" t="s">
        <v>633</v>
      </c>
      <c r="V273" t="s">
        <v>634</v>
      </c>
      <c r="W273" t="s">
        <v>2607</v>
      </c>
      <c r="X273" t="s">
        <v>3048</v>
      </c>
      <c r="Y273" t="s">
        <v>524</v>
      </c>
      <c r="Z273" t="s">
        <v>3331</v>
      </c>
      <c r="AA273" t="s">
        <v>3332</v>
      </c>
      <c r="AB273" t="s">
        <v>3333</v>
      </c>
      <c r="AC273">
        <v>2</v>
      </c>
      <c r="AD273">
        <v>57</v>
      </c>
      <c r="AE273">
        <v>173</v>
      </c>
      <c r="AF273">
        <v>1.5</v>
      </c>
      <c r="AH273">
        <v>0</v>
      </c>
      <c r="AI273" t="s">
        <v>719</v>
      </c>
      <c r="AJ273">
        <v>185</v>
      </c>
      <c r="AK273">
        <v>1</v>
      </c>
      <c r="AL273">
        <v>1.5</v>
      </c>
      <c r="AM273" t="s">
        <v>529</v>
      </c>
      <c r="AO273">
        <v>0</v>
      </c>
      <c r="AR273">
        <v>0</v>
      </c>
      <c r="AS273">
        <v>1.5</v>
      </c>
      <c r="AV273" t="s">
        <v>3334</v>
      </c>
      <c r="AW273" t="s">
        <v>3334</v>
      </c>
      <c r="AX273">
        <v>1</v>
      </c>
      <c r="AY273">
        <v>265</v>
      </c>
      <c r="AZ273">
        <v>1.5</v>
      </c>
      <c r="BA273" t="s">
        <v>529</v>
      </c>
      <c r="BG273">
        <v>1.5</v>
      </c>
      <c r="BJ273">
        <v>0</v>
      </c>
      <c r="BN273">
        <v>1.5</v>
      </c>
      <c r="BP273" t="s">
        <v>3335</v>
      </c>
      <c r="BQ273">
        <v>89</v>
      </c>
      <c r="BR273">
        <v>2</v>
      </c>
      <c r="BS273" t="s">
        <v>1640</v>
      </c>
      <c r="BT273">
        <v>196</v>
      </c>
      <c r="BU273">
        <v>0.5</v>
      </c>
      <c r="BV273" t="s">
        <v>1640</v>
      </c>
      <c r="BW273">
        <v>392</v>
      </c>
      <c r="BX273">
        <v>1</v>
      </c>
      <c r="BY273" t="s">
        <v>643</v>
      </c>
      <c r="BZ273">
        <v>300</v>
      </c>
      <c r="CA273">
        <v>520</v>
      </c>
      <c r="CB273" t="s">
        <v>644</v>
      </c>
      <c r="CC273" t="s">
        <v>644</v>
      </c>
      <c r="CD273">
        <v>416</v>
      </c>
      <c r="CE273" t="s">
        <v>544</v>
      </c>
      <c r="CF273">
        <v>15</v>
      </c>
      <c r="CG273" t="s">
        <v>1112</v>
      </c>
      <c r="CH273" t="s">
        <v>1112</v>
      </c>
      <c r="CI273">
        <v>110</v>
      </c>
      <c r="CJ273">
        <v>1301</v>
      </c>
      <c r="CK273">
        <v>2</v>
      </c>
      <c r="CL273">
        <v>1395</v>
      </c>
      <c r="CM273">
        <v>2</v>
      </c>
      <c r="CN273" t="s">
        <v>646</v>
      </c>
      <c r="CO273" t="s">
        <v>647</v>
      </c>
      <c r="CP273" t="s">
        <v>648</v>
      </c>
      <c r="CQ273" t="s">
        <v>649</v>
      </c>
      <c r="CR273" t="s">
        <v>650</v>
      </c>
      <c r="CS273" t="s">
        <v>542</v>
      </c>
      <c r="CT273">
        <v>370</v>
      </c>
      <c r="CU273">
        <v>5</v>
      </c>
      <c r="CV273">
        <v>1.2</v>
      </c>
      <c r="CW273">
        <v>1314</v>
      </c>
      <c r="CX273">
        <v>689</v>
      </c>
      <c r="DD273">
        <v>0</v>
      </c>
      <c r="DE273" t="s">
        <v>948</v>
      </c>
      <c r="DF273">
        <v>530</v>
      </c>
      <c r="DG273">
        <v>3</v>
      </c>
      <c r="DH273">
        <v>1.22</v>
      </c>
      <c r="DI273">
        <v>1312</v>
      </c>
      <c r="DJ273">
        <v>1208</v>
      </c>
      <c r="DW273" t="s">
        <v>544</v>
      </c>
      <c r="DX273">
        <v>7.5</v>
      </c>
      <c r="EA273">
        <v>1379.8</v>
      </c>
      <c r="EB273">
        <v>180</v>
      </c>
      <c r="EC273" t="s">
        <v>545</v>
      </c>
      <c r="ED273">
        <v>25</v>
      </c>
      <c r="EE273">
        <v>3</v>
      </c>
      <c r="EG273">
        <v>1411</v>
      </c>
      <c r="EH273">
        <v>134</v>
      </c>
      <c r="EJ273">
        <v>0</v>
      </c>
      <c r="EK273">
        <v>1</v>
      </c>
      <c r="EN273">
        <v>0</v>
      </c>
      <c r="EP273" t="s">
        <v>546</v>
      </c>
      <c r="EQ273">
        <v>90</v>
      </c>
      <c r="ER273">
        <v>3</v>
      </c>
      <c r="ES273">
        <v>6</v>
      </c>
      <c r="ET273">
        <v>1301</v>
      </c>
      <c r="EU273">
        <v>420</v>
      </c>
      <c r="EV273">
        <v>546</v>
      </c>
      <c r="EW273" t="s">
        <v>547</v>
      </c>
      <c r="EX273">
        <v>70</v>
      </c>
      <c r="EY273">
        <v>2</v>
      </c>
      <c r="EZ273">
        <v>4.3</v>
      </c>
      <c r="FA273">
        <v>1301</v>
      </c>
      <c r="FB273">
        <v>209.1</v>
      </c>
      <c r="FC273">
        <v>272</v>
      </c>
      <c r="FE273">
        <v>0</v>
      </c>
      <c r="FF273">
        <v>2</v>
      </c>
      <c r="FI273">
        <v>0</v>
      </c>
      <c r="FK273" t="s">
        <v>548</v>
      </c>
      <c r="FL273">
        <v>0.4</v>
      </c>
      <c r="FM273">
        <v>75</v>
      </c>
      <c r="FN273">
        <v>140</v>
      </c>
      <c r="FR273" t="s">
        <v>548</v>
      </c>
      <c r="FS273">
        <v>0.4</v>
      </c>
      <c r="FT273">
        <v>30</v>
      </c>
      <c r="FU273">
        <v>360</v>
      </c>
      <c r="FV273">
        <v>50</v>
      </c>
      <c r="FW273">
        <v>220</v>
      </c>
      <c r="FY273" t="s">
        <v>651</v>
      </c>
      <c r="FZ273">
        <v>1</v>
      </c>
      <c r="GA273">
        <v>20</v>
      </c>
      <c r="GB273">
        <v>166</v>
      </c>
      <c r="GG273" t="s">
        <v>651</v>
      </c>
      <c r="GH273">
        <v>1</v>
      </c>
      <c r="GI273">
        <v>20</v>
      </c>
      <c r="GJ273">
        <v>166</v>
      </c>
      <c r="HC273">
        <v>0.1</v>
      </c>
      <c r="HD273">
        <v>3</v>
      </c>
      <c r="HE273">
        <v>3</v>
      </c>
      <c r="HF273">
        <v>3</v>
      </c>
      <c r="HG273">
        <v>3</v>
      </c>
      <c r="HH273">
        <v>3</v>
      </c>
      <c r="HI273">
        <v>145</v>
      </c>
      <c r="HJ273">
        <v>3</v>
      </c>
      <c r="HK273">
        <v>55</v>
      </c>
      <c r="HL273">
        <v>2</v>
      </c>
      <c r="HM273">
        <v>0</v>
      </c>
      <c r="HN273">
        <v>2</v>
      </c>
      <c r="HO273">
        <v>75</v>
      </c>
      <c r="HP273">
        <v>3</v>
      </c>
      <c r="HQ273">
        <v>0</v>
      </c>
      <c r="HR273">
        <v>2</v>
      </c>
      <c r="HS273">
        <v>4161</v>
      </c>
      <c r="HT273">
        <v>120</v>
      </c>
      <c r="HU273">
        <v>180</v>
      </c>
      <c r="HW273">
        <v>0</v>
      </c>
      <c r="HX273">
        <v>480</v>
      </c>
      <c r="HY273">
        <v>0.18</v>
      </c>
      <c r="IA273">
        <v>0.15</v>
      </c>
      <c r="IB273">
        <v>0</v>
      </c>
      <c r="IC273">
        <v>180</v>
      </c>
      <c r="ID273">
        <v>110</v>
      </c>
      <c r="IE273">
        <v>225</v>
      </c>
      <c r="IF273">
        <v>0</v>
      </c>
      <c r="IH273" t="s">
        <v>549</v>
      </c>
      <c r="IO273">
        <v>1</v>
      </c>
      <c r="IP273">
        <v>17</v>
      </c>
      <c r="IQ273">
        <v>0</v>
      </c>
      <c r="IR273">
        <v>1</v>
      </c>
      <c r="IV273">
        <v>1301</v>
      </c>
      <c r="IW273">
        <v>392</v>
      </c>
      <c r="JA273">
        <v>1</v>
      </c>
      <c r="JB273">
        <v>0</v>
      </c>
      <c r="JC273">
        <v>2</v>
      </c>
      <c r="JD273">
        <v>1314</v>
      </c>
      <c r="JE273">
        <v>1312</v>
      </c>
      <c r="JF273">
        <v>0</v>
      </c>
      <c r="JG273">
        <v>1301</v>
      </c>
      <c r="JH273">
        <v>0</v>
      </c>
      <c r="JJ273">
        <v>180</v>
      </c>
      <c r="JK273">
        <v>480</v>
      </c>
      <c r="JN273">
        <v>370</v>
      </c>
      <c r="JO273">
        <v>530</v>
      </c>
      <c r="JP273">
        <v>0</v>
      </c>
      <c r="JQ273">
        <v>0</v>
      </c>
      <c r="JR273">
        <v>346</v>
      </c>
      <c r="JS273">
        <v>145</v>
      </c>
      <c r="JV273">
        <v>8</v>
      </c>
      <c r="JW273" t="s">
        <v>550</v>
      </c>
      <c r="JX273">
        <v>0</v>
      </c>
      <c r="KA273">
        <v>225</v>
      </c>
      <c r="KB273">
        <v>110</v>
      </c>
      <c r="KC273">
        <v>0</v>
      </c>
      <c r="KD273">
        <v>80</v>
      </c>
      <c r="KF273">
        <v>4</v>
      </c>
      <c r="KG273">
        <v>2</v>
      </c>
      <c r="KH273">
        <v>2</v>
      </c>
      <c r="KI273">
        <v>2</v>
      </c>
      <c r="KJ273">
        <v>0</v>
      </c>
      <c r="KK273">
        <v>1.5</v>
      </c>
      <c r="KL273">
        <v>1.5</v>
      </c>
      <c r="KM273">
        <v>0</v>
      </c>
      <c r="KN273">
        <v>0</v>
      </c>
      <c r="KO273">
        <v>0</v>
      </c>
      <c r="KR273">
        <v>50</v>
      </c>
      <c r="KS273">
        <v>60</v>
      </c>
      <c r="KT273">
        <v>0</v>
      </c>
      <c r="LK273">
        <v>480</v>
      </c>
      <c r="PG273">
        <v>1</v>
      </c>
      <c r="PI273" t="s">
        <v>3333</v>
      </c>
      <c r="PJ273" t="s">
        <v>3334</v>
      </c>
      <c r="PL273" t="s">
        <v>719</v>
      </c>
      <c r="PP273" t="s">
        <v>3335</v>
      </c>
      <c r="PX273">
        <v>56</v>
      </c>
      <c r="PY273">
        <v>57</v>
      </c>
      <c r="PZ273" t="s">
        <v>3333</v>
      </c>
      <c r="QA273">
        <v>1</v>
      </c>
      <c r="QB273">
        <v>1301</v>
      </c>
      <c r="QC273">
        <v>69</v>
      </c>
      <c r="QD273">
        <v>69</v>
      </c>
      <c r="QE273" t="s">
        <v>719</v>
      </c>
      <c r="QF273">
        <v>1</v>
      </c>
      <c r="QG273">
        <v>1314</v>
      </c>
      <c r="QH273">
        <v>66</v>
      </c>
      <c r="QI273">
        <v>66</v>
      </c>
      <c r="QL273">
        <v>0</v>
      </c>
      <c r="QM273">
        <v>63</v>
      </c>
      <c r="QN273">
        <v>63</v>
      </c>
      <c r="QO273" t="s">
        <v>3334</v>
      </c>
      <c r="QP273">
        <v>1</v>
      </c>
      <c r="QQ273">
        <v>1312</v>
      </c>
      <c r="QW273">
        <v>82</v>
      </c>
      <c r="QX273">
        <v>89</v>
      </c>
      <c r="QY273" t="s">
        <v>3335</v>
      </c>
      <c r="QZ273">
        <v>2</v>
      </c>
      <c r="RA273">
        <v>66</v>
      </c>
      <c r="RB273">
        <v>66</v>
      </c>
      <c r="RE273">
        <v>0</v>
      </c>
      <c r="RG273">
        <v>1</v>
      </c>
      <c r="RJ273">
        <v>2</v>
      </c>
      <c r="RL273">
        <v>2</v>
      </c>
      <c r="RO273">
        <v>524</v>
      </c>
      <c r="RQ273">
        <v>921</v>
      </c>
      <c r="RT273">
        <v>180</v>
      </c>
      <c r="RU273">
        <v>134</v>
      </c>
      <c r="RV273" t="s">
        <v>1641</v>
      </c>
      <c r="RW273" t="s">
        <v>653</v>
      </c>
      <c r="RX273">
        <v>15</v>
      </c>
      <c r="RY273">
        <v>4</v>
      </c>
      <c r="RZ273" t="s">
        <v>653</v>
      </c>
      <c r="SA273">
        <v>15</v>
      </c>
      <c r="SB273" t="s">
        <v>3336</v>
      </c>
      <c r="SC273" t="s">
        <v>3336</v>
      </c>
      <c r="SD273">
        <v>1</v>
      </c>
      <c r="SH273">
        <v>0.995</v>
      </c>
      <c r="SI273">
        <v>0.995</v>
      </c>
      <c r="SJ273">
        <v>0.995</v>
      </c>
      <c r="SK273">
        <v>15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TB273">
        <v>0</v>
      </c>
      <c r="TC273">
        <v>0</v>
      </c>
      <c r="TD273">
        <v>7.5</v>
      </c>
      <c r="TE273" t="s">
        <v>553</v>
      </c>
      <c r="TF273" t="s">
        <v>754</v>
      </c>
      <c r="TG273" t="s">
        <v>555</v>
      </c>
      <c r="TI273" t="s">
        <v>546</v>
      </c>
      <c r="TJ273" t="s">
        <v>547</v>
      </c>
      <c r="TL273" t="s">
        <v>3054</v>
      </c>
      <c r="TM273" t="s">
        <v>513</v>
      </c>
      <c r="TN273">
        <v>0</v>
      </c>
      <c r="TO273" t="s">
        <v>557</v>
      </c>
    </row>
    <row r="274" spans="1:535">
      <c r="A274" t="s">
        <v>3337</v>
      </c>
      <c r="B274" t="s">
        <v>657</v>
      </c>
      <c r="C274" t="s">
        <v>509</v>
      </c>
      <c r="D274" t="s">
        <v>1150</v>
      </c>
      <c r="G274" t="s">
        <v>604</v>
      </c>
      <c r="H274" t="s">
        <v>605</v>
      </c>
      <c r="I274" t="s">
        <v>628</v>
      </c>
      <c r="J274" t="s">
        <v>606</v>
      </c>
      <c r="L274" t="s">
        <v>512</v>
      </c>
      <c r="M274" t="s">
        <v>559</v>
      </c>
      <c r="N274" t="s">
        <v>513</v>
      </c>
      <c r="O274" t="s">
        <v>607</v>
      </c>
      <c r="Q274" t="s">
        <v>3338</v>
      </c>
      <c r="R274" t="s">
        <v>517</v>
      </c>
      <c r="S274" t="s">
        <v>987</v>
      </c>
      <c r="T274" t="s">
        <v>988</v>
      </c>
      <c r="U274" t="s">
        <v>662</v>
      </c>
      <c r="V274" t="s">
        <v>663</v>
      </c>
      <c r="W274" t="s">
        <v>2719</v>
      </c>
      <c r="X274" t="s">
        <v>3058</v>
      </c>
      <c r="Y274" t="s">
        <v>574</v>
      </c>
      <c r="Z274" t="s">
        <v>3339</v>
      </c>
      <c r="AA274" t="s">
        <v>3340</v>
      </c>
      <c r="AB274" t="s">
        <v>3341</v>
      </c>
      <c r="AC274">
        <v>2</v>
      </c>
      <c r="AD274">
        <v>57</v>
      </c>
      <c r="AE274">
        <v>233</v>
      </c>
      <c r="AF274">
        <v>1.5</v>
      </c>
      <c r="AH274">
        <v>0</v>
      </c>
      <c r="AI274" t="s">
        <v>3342</v>
      </c>
      <c r="AJ274">
        <v>242.5</v>
      </c>
      <c r="AK274">
        <v>1</v>
      </c>
      <c r="AL274">
        <v>1.5</v>
      </c>
      <c r="AM274" t="s">
        <v>529</v>
      </c>
      <c r="AO274">
        <v>0</v>
      </c>
      <c r="AR274">
        <v>0</v>
      </c>
      <c r="AS274">
        <v>1.5</v>
      </c>
      <c r="AU274" t="s">
        <v>3343</v>
      </c>
      <c r="AW274" t="s">
        <v>3343</v>
      </c>
      <c r="AX274">
        <v>1</v>
      </c>
      <c r="AY274">
        <v>352.5</v>
      </c>
      <c r="AZ274">
        <v>1.5</v>
      </c>
      <c r="BA274" t="s">
        <v>529</v>
      </c>
      <c r="BB274" t="s">
        <v>3344</v>
      </c>
      <c r="BD274" t="s">
        <v>3344</v>
      </c>
      <c r="BE274">
        <v>1</v>
      </c>
      <c r="BF274">
        <v>335</v>
      </c>
      <c r="BG274">
        <v>1.5</v>
      </c>
      <c r="BJ274">
        <v>0</v>
      </c>
      <c r="BN274">
        <v>1.5</v>
      </c>
      <c r="BP274" t="s">
        <v>3137</v>
      </c>
      <c r="BQ274">
        <v>88</v>
      </c>
      <c r="BR274">
        <v>2</v>
      </c>
      <c r="BS274" t="s">
        <v>1264</v>
      </c>
      <c r="BT274">
        <v>255</v>
      </c>
      <c r="BU274">
        <v>0.5</v>
      </c>
      <c r="BV274" t="s">
        <v>1264</v>
      </c>
      <c r="BW274">
        <v>510</v>
      </c>
      <c r="BX274">
        <v>1</v>
      </c>
      <c r="BY274" t="s">
        <v>643</v>
      </c>
      <c r="BZ274">
        <v>470</v>
      </c>
      <c r="CA274">
        <v>610</v>
      </c>
      <c r="CB274" t="s">
        <v>672</v>
      </c>
      <c r="CC274" t="s">
        <v>997</v>
      </c>
      <c r="CD274">
        <v>538</v>
      </c>
      <c r="CE274" t="s">
        <v>673</v>
      </c>
      <c r="CF274">
        <v>15</v>
      </c>
      <c r="CG274" t="s">
        <v>907</v>
      </c>
      <c r="CH274" t="s">
        <v>907</v>
      </c>
      <c r="CI274">
        <v>70</v>
      </c>
      <c r="CJ274">
        <v>1381</v>
      </c>
      <c r="CK274">
        <v>2</v>
      </c>
      <c r="CL274">
        <v>1475</v>
      </c>
      <c r="CM274">
        <v>2</v>
      </c>
      <c r="CN274" t="s">
        <v>675</v>
      </c>
      <c r="CO274" t="s">
        <v>676</v>
      </c>
      <c r="CP274" t="s">
        <v>595</v>
      </c>
      <c r="CQ274" t="s">
        <v>892</v>
      </c>
      <c r="CR274" t="s">
        <v>541</v>
      </c>
      <c r="CS274" t="s">
        <v>542</v>
      </c>
      <c r="CT274">
        <v>485</v>
      </c>
      <c r="CU274">
        <v>5</v>
      </c>
      <c r="CV274">
        <v>1.2</v>
      </c>
      <c r="CW274">
        <v>1393</v>
      </c>
      <c r="CX274">
        <v>957</v>
      </c>
      <c r="DD274">
        <v>0</v>
      </c>
      <c r="DE274" t="s">
        <v>543</v>
      </c>
      <c r="DF274">
        <v>705</v>
      </c>
      <c r="DG274">
        <v>3</v>
      </c>
      <c r="DH274">
        <v>1.18</v>
      </c>
      <c r="DI274">
        <v>1391</v>
      </c>
      <c r="DJ274">
        <v>1490</v>
      </c>
      <c r="DK274" t="s">
        <v>543</v>
      </c>
      <c r="DL274">
        <v>670</v>
      </c>
      <c r="DM274">
        <v>3</v>
      </c>
      <c r="DN274">
        <v>1.18</v>
      </c>
      <c r="DO274">
        <v>1401</v>
      </c>
      <c r="DP274">
        <v>1390</v>
      </c>
      <c r="DW274" t="s">
        <v>544</v>
      </c>
      <c r="DX274">
        <v>9.4</v>
      </c>
      <c r="EA274">
        <v>1465.9</v>
      </c>
      <c r="EB274">
        <v>345</v>
      </c>
      <c r="EC274" t="s">
        <v>545</v>
      </c>
      <c r="ED274">
        <v>30</v>
      </c>
      <c r="EE274">
        <v>3</v>
      </c>
      <c r="EG274">
        <v>1507</v>
      </c>
      <c r="EH274">
        <v>208</v>
      </c>
      <c r="EJ274">
        <v>0</v>
      </c>
      <c r="EK274">
        <v>1</v>
      </c>
      <c r="EN274">
        <v>0</v>
      </c>
      <c r="EP274" t="s">
        <v>546</v>
      </c>
      <c r="EQ274">
        <v>145</v>
      </c>
      <c r="ER274">
        <v>3</v>
      </c>
      <c r="ES274">
        <v>6.5</v>
      </c>
      <c r="ET274">
        <v>1384</v>
      </c>
      <c r="EU274">
        <v>720</v>
      </c>
      <c r="EV274">
        <v>996</v>
      </c>
      <c r="EW274" t="s">
        <v>547</v>
      </c>
      <c r="EX274">
        <v>70</v>
      </c>
      <c r="EY274">
        <v>2</v>
      </c>
      <c r="EZ274">
        <v>4</v>
      </c>
      <c r="FA274">
        <v>1384</v>
      </c>
      <c r="FB274">
        <v>200.4</v>
      </c>
      <c r="FC274">
        <v>277</v>
      </c>
      <c r="FE274">
        <v>0</v>
      </c>
      <c r="FF274">
        <v>2</v>
      </c>
      <c r="FI274">
        <v>0</v>
      </c>
      <c r="FK274" t="s">
        <v>548</v>
      </c>
      <c r="FL274">
        <v>0.4</v>
      </c>
      <c r="FM274">
        <v>100</v>
      </c>
      <c r="FN274">
        <v>160</v>
      </c>
      <c r="FR274" t="s">
        <v>548</v>
      </c>
      <c r="FS274">
        <v>0.4</v>
      </c>
      <c r="FT274">
        <v>30</v>
      </c>
      <c r="FU274">
        <v>630</v>
      </c>
      <c r="GR274" t="s">
        <v>548</v>
      </c>
      <c r="GS274">
        <v>0.4</v>
      </c>
      <c r="GT274">
        <v>30</v>
      </c>
      <c r="GU274">
        <v>480</v>
      </c>
      <c r="GV274">
        <v>65</v>
      </c>
      <c r="GW274">
        <v>310</v>
      </c>
      <c r="HC274">
        <v>0.1</v>
      </c>
      <c r="HD274">
        <v>3</v>
      </c>
      <c r="HE274">
        <v>3</v>
      </c>
      <c r="HF274">
        <v>3</v>
      </c>
      <c r="HG274">
        <v>3</v>
      </c>
      <c r="HH274">
        <v>3</v>
      </c>
      <c r="HI274">
        <v>200</v>
      </c>
      <c r="HJ274">
        <v>3</v>
      </c>
      <c r="HK274">
        <v>55</v>
      </c>
      <c r="HL274">
        <v>2</v>
      </c>
      <c r="HM274">
        <v>0</v>
      </c>
      <c r="HN274">
        <v>2</v>
      </c>
      <c r="HO274">
        <v>130</v>
      </c>
      <c r="HP274">
        <v>3</v>
      </c>
      <c r="HQ274">
        <v>0</v>
      </c>
      <c r="HR274">
        <v>2</v>
      </c>
      <c r="HS274">
        <v>7489</v>
      </c>
      <c r="HT274">
        <v>220</v>
      </c>
      <c r="HU274">
        <v>180</v>
      </c>
      <c r="HW274">
        <v>0</v>
      </c>
      <c r="HX274">
        <v>590</v>
      </c>
      <c r="HY274">
        <v>0.18</v>
      </c>
      <c r="IA274">
        <v>0.15</v>
      </c>
      <c r="IB274">
        <v>0</v>
      </c>
      <c r="IC274">
        <v>180</v>
      </c>
      <c r="ID274">
        <v>110</v>
      </c>
      <c r="IE274">
        <v>225</v>
      </c>
      <c r="IF274">
        <v>0</v>
      </c>
      <c r="IH274" t="s">
        <v>549</v>
      </c>
      <c r="IO274">
        <v>3</v>
      </c>
      <c r="IP274">
        <v>18</v>
      </c>
      <c r="IQ274">
        <v>0</v>
      </c>
      <c r="IR274">
        <v>1</v>
      </c>
      <c r="IV274">
        <v>1381</v>
      </c>
      <c r="IW274">
        <v>510</v>
      </c>
      <c r="JA274">
        <v>1</v>
      </c>
      <c r="JB274">
        <v>0</v>
      </c>
      <c r="JC274">
        <v>2</v>
      </c>
      <c r="JD274">
        <v>1393</v>
      </c>
      <c r="JE274">
        <v>1391</v>
      </c>
      <c r="JF274">
        <v>1401</v>
      </c>
      <c r="JG274">
        <v>1384</v>
      </c>
      <c r="JH274">
        <v>0</v>
      </c>
      <c r="JJ274">
        <v>180</v>
      </c>
      <c r="JK274">
        <v>590</v>
      </c>
      <c r="JN274">
        <v>485</v>
      </c>
      <c r="JO274">
        <v>705</v>
      </c>
      <c r="JP274">
        <v>670</v>
      </c>
      <c r="JQ274">
        <v>0</v>
      </c>
      <c r="JR274">
        <v>466</v>
      </c>
      <c r="JS274">
        <v>200</v>
      </c>
      <c r="JV274">
        <v>10</v>
      </c>
      <c r="JW274" t="s">
        <v>550</v>
      </c>
      <c r="JX274">
        <v>0</v>
      </c>
      <c r="KA274">
        <v>225</v>
      </c>
      <c r="KB274">
        <v>110</v>
      </c>
      <c r="KC274">
        <v>0</v>
      </c>
      <c r="KD274">
        <v>80</v>
      </c>
      <c r="KF274">
        <v>4</v>
      </c>
      <c r="KG274">
        <v>2</v>
      </c>
      <c r="KH274">
        <v>2</v>
      </c>
      <c r="KI274">
        <v>2</v>
      </c>
      <c r="KJ274">
        <v>0</v>
      </c>
      <c r="KK274">
        <v>1.5</v>
      </c>
      <c r="KL274">
        <v>1.5</v>
      </c>
      <c r="KM274">
        <v>0</v>
      </c>
      <c r="KN274">
        <v>0</v>
      </c>
      <c r="KO274">
        <v>0</v>
      </c>
      <c r="KR274">
        <v>30</v>
      </c>
      <c r="KS274">
        <v>60</v>
      </c>
      <c r="KT274">
        <v>0</v>
      </c>
      <c r="LK274">
        <v>480</v>
      </c>
      <c r="PG274">
        <v>1</v>
      </c>
      <c r="PI274" t="s">
        <v>3341</v>
      </c>
      <c r="PJ274" t="s">
        <v>3343</v>
      </c>
      <c r="PK274" t="s">
        <v>3344</v>
      </c>
      <c r="PL274" t="s">
        <v>3342</v>
      </c>
      <c r="PP274" t="s">
        <v>3137</v>
      </c>
      <c r="PX274">
        <v>56</v>
      </c>
      <c r="PY274">
        <v>57</v>
      </c>
      <c r="PZ274" t="s">
        <v>3341</v>
      </c>
      <c r="QA274">
        <v>1</v>
      </c>
      <c r="QB274">
        <v>1384</v>
      </c>
      <c r="QC274">
        <v>69</v>
      </c>
      <c r="QD274">
        <v>69</v>
      </c>
      <c r="QE274" t="s">
        <v>3342</v>
      </c>
      <c r="QF274">
        <v>1</v>
      </c>
      <c r="QG274">
        <v>1393</v>
      </c>
      <c r="QH274">
        <v>66</v>
      </c>
      <c r="QI274">
        <v>66</v>
      </c>
      <c r="QL274">
        <v>0</v>
      </c>
      <c r="QM274">
        <v>62</v>
      </c>
      <c r="QN274">
        <v>62</v>
      </c>
      <c r="QO274" t="s">
        <v>3343</v>
      </c>
      <c r="QP274">
        <v>1</v>
      </c>
      <c r="QQ274">
        <v>1391</v>
      </c>
      <c r="QR274">
        <v>62</v>
      </c>
      <c r="QS274">
        <v>62</v>
      </c>
      <c r="QT274" t="s">
        <v>3344</v>
      </c>
      <c r="QU274">
        <v>1</v>
      </c>
      <c r="QV274">
        <v>1401</v>
      </c>
      <c r="QW274">
        <v>82</v>
      </c>
      <c r="QX274">
        <v>88</v>
      </c>
      <c r="QY274" t="s">
        <v>3137</v>
      </c>
      <c r="QZ274">
        <v>1</v>
      </c>
      <c r="RA274">
        <v>66</v>
      </c>
      <c r="RB274">
        <v>66</v>
      </c>
      <c r="RE274">
        <v>0</v>
      </c>
      <c r="RF274">
        <v>1</v>
      </c>
      <c r="RH274">
        <v>1</v>
      </c>
      <c r="RJ274">
        <v>1</v>
      </c>
      <c r="RL274">
        <v>2</v>
      </c>
      <c r="RM274">
        <v>2</v>
      </c>
      <c r="RO274">
        <v>687</v>
      </c>
      <c r="RQ274">
        <v>1071</v>
      </c>
      <c r="RR274">
        <v>992</v>
      </c>
      <c r="RT274">
        <v>345</v>
      </c>
      <c r="RU274">
        <v>208</v>
      </c>
      <c r="RV274" t="s">
        <v>1266</v>
      </c>
      <c r="RW274" t="s">
        <v>679</v>
      </c>
      <c r="RX274">
        <v>15</v>
      </c>
      <c r="RY274">
        <v>4</v>
      </c>
      <c r="RZ274" t="s">
        <v>679</v>
      </c>
      <c r="SA274">
        <v>15</v>
      </c>
      <c r="SC274" t="s">
        <v>3343</v>
      </c>
      <c r="SD274">
        <v>1</v>
      </c>
      <c r="SF274" t="s">
        <v>3344</v>
      </c>
      <c r="SG274">
        <v>1</v>
      </c>
      <c r="SH274">
        <v>0.995</v>
      </c>
      <c r="SI274">
        <v>0.995</v>
      </c>
      <c r="SJ274">
        <v>0.995</v>
      </c>
      <c r="SK274">
        <v>15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Z274">
        <v>1</v>
      </c>
      <c r="TB274">
        <v>0</v>
      </c>
      <c r="TC274">
        <v>0</v>
      </c>
      <c r="TD274">
        <v>9.4</v>
      </c>
      <c r="TE274" t="s">
        <v>553</v>
      </c>
      <c r="TF274" t="s">
        <v>600</v>
      </c>
      <c r="TG274" t="s">
        <v>555</v>
      </c>
      <c r="TI274" t="s">
        <v>546</v>
      </c>
      <c r="TJ274" t="s">
        <v>547</v>
      </c>
      <c r="TL274" t="s">
        <v>3054</v>
      </c>
      <c r="TM274" t="s">
        <v>513</v>
      </c>
      <c r="TN274">
        <v>0</v>
      </c>
      <c r="TO274" t="s">
        <v>557</v>
      </c>
    </row>
    <row r="275" spans="1:535">
      <c r="A275" t="s">
        <v>3345</v>
      </c>
      <c r="B275" t="s">
        <v>559</v>
      </c>
      <c r="C275" t="s">
        <v>509</v>
      </c>
      <c r="D275" t="s">
        <v>2056</v>
      </c>
      <c r="G275" t="s">
        <v>604</v>
      </c>
      <c r="H275" t="s">
        <v>605</v>
      </c>
      <c r="I275" t="s">
        <v>628</v>
      </c>
      <c r="J275" t="s">
        <v>606</v>
      </c>
      <c r="L275" t="s">
        <v>512</v>
      </c>
      <c r="M275" t="s">
        <v>564</v>
      </c>
      <c r="N275" t="s">
        <v>513</v>
      </c>
      <c r="O275" t="s">
        <v>607</v>
      </c>
      <c r="Q275" t="s">
        <v>3346</v>
      </c>
      <c r="R275" t="s">
        <v>517</v>
      </c>
      <c r="S275" t="s">
        <v>1002</v>
      </c>
      <c r="T275" t="s">
        <v>1003</v>
      </c>
      <c r="U275" t="s">
        <v>686</v>
      </c>
      <c r="V275" t="s">
        <v>687</v>
      </c>
      <c r="W275" t="s">
        <v>2691</v>
      </c>
      <c r="X275" t="s">
        <v>3058</v>
      </c>
      <c r="Y275" t="s">
        <v>574</v>
      </c>
      <c r="Z275" t="s">
        <v>3347</v>
      </c>
      <c r="AA275" t="s">
        <v>3348</v>
      </c>
      <c r="AB275" t="s">
        <v>3349</v>
      </c>
      <c r="AC275">
        <v>2</v>
      </c>
      <c r="AD275">
        <v>57</v>
      </c>
      <c r="AE275">
        <v>232</v>
      </c>
      <c r="AF275">
        <v>1.5</v>
      </c>
      <c r="AH275">
        <v>0</v>
      </c>
      <c r="AI275" t="s">
        <v>1572</v>
      </c>
      <c r="AJ275">
        <v>212.5</v>
      </c>
      <c r="AK275">
        <v>1</v>
      </c>
      <c r="AL275">
        <v>1.5</v>
      </c>
      <c r="AM275" t="s">
        <v>579</v>
      </c>
      <c r="AN275" t="s">
        <v>693</v>
      </c>
      <c r="AO275">
        <v>2</v>
      </c>
      <c r="AP275" t="s">
        <v>581</v>
      </c>
      <c r="AQ275" t="s">
        <v>582</v>
      </c>
      <c r="AR275">
        <v>250</v>
      </c>
      <c r="AS275">
        <v>1.5</v>
      </c>
      <c r="AT275" t="s">
        <v>583</v>
      </c>
      <c r="AU275" t="s">
        <v>3350</v>
      </c>
      <c r="AW275" t="s">
        <v>3350</v>
      </c>
      <c r="AX275">
        <v>1</v>
      </c>
      <c r="AY275">
        <v>382.5</v>
      </c>
      <c r="AZ275">
        <v>1.5</v>
      </c>
      <c r="BA275" t="s">
        <v>579</v>
      </c>
      <c r="BG275">
        <v>1.5</v>
      </c>
      <c r="BJ275">
        <v>0</v>
      </c>
      <c r="BN275">
        <v>1.5</v>
      </c>
      <c r="BP275" t="s">
        <v>3351</v>
      </c>
      <c r="BQ275">
        <v>89</v>
      </c>
      <c r="BR275">
        <v>2</v>
      </c>
      <c r="BS275" t="s">
        <v>1362</v>
      </c>
      <c r="BT275">
        <v>231</v>
      </c>
      <c r="BU275">
        <v>0.5</v>
      </c>
      <c r="BV275" t="s">
        <v>1362</v>
      </c>
      <c r="BW275">
        <v>462</v>
      </c>
      <c r="BX275">
        <v>1</v>
      </c>
      <c r="BY275" t="s">
        <v>698</v>
      </c>
      <c r="BZ275">
        <v>470</v>
      </c>
      <c r="CA275">
        <v>550</v>
      </c>
      <c r="CB275" t="s">
        <v>699</v>
      </c>
      <c r="CC275" t="s">
        <v>699</v>
      </c>
      <c r="CD275">
        <v>480</v>
      </c>
      <c r="CE275" t="s">
        <v>700</v>
      </c>
      <c r="CF275">
        <v>15</v>
      </c>
      <c r="CG275" t="s">
        <v>1949</v>
      </c>
      <c r="CH275" t="s">
        <v>1949</v>
      </c>
      <c r="CI275">
        <v>40</v>
      </c>
      <c r="CJ275">
        <v>1458</v>
      </c>
      <c r="CK275">
        <v>2</v>
      </c>
      <c r="CL275">
        <v>1552</v>
      </c>
      <c r="CM275">
        <v>2</v>
      </c>
      <c r="CN275" t="s">
        <v>702</v>
      </c>
      <c r="CO275" t="s">
        <v>676</v>
      </c>
      <c r="CP275" t="s">
        <v>703</v>
      </c>
      <c r="CQ275" t="s">
        <v>1343</v>
      </c>
      <c r="CR275" t="s">
        <v>541</v>
      </c>
      <c r="CS275" t="s">
        <v>542</v>
      </c>
      <c r="CT275">
        <v>425</v>
      </c>
      <c r="CU275">
        <v>5</v>
      </c>
      <c r="CV275">
        <v>1.2</v>
      </c>
      <c r="CW275">
        <v>1475</v>
      </c>
      <c r="CX275">
        <v>888</v>
      </c>
      <c r="CY275" t="s">
        <v>705</v>
      </c>
      <c r="CZ275">
        <v>50</v>
      </c>
      <c r="DA275">
        <v>3</v>
      </c>
      <c r="DB275">
        <v>1</v>
      </c>
      <c r="DC275">
        <v>1475</v>
      </c>
      <c r="DD275">
        <v>77</v>
      </c>
      <c r="DE275" t="s">
        <v>622</v>
      </c>
      <c r="DF275">
        <v>765</v>
      </c>
      <c r="DG275">
        <v>3</v>
      </c>
      <c r="DH275">
        <v>0.88</v>
      </c>
      <c r="DI275">
        <v>1468</v>
      </c>
      <c r="DJ275">
        <v>1368</v>
      </c>
      <c r="DW275" t="s">
        <v>544</v>
      </c>
      <c r="DX275">
        <v>7.5</v>
      </c>
      <c r="EA275">
        <v>1539.3</v>
      </c>
      <c r="EB275">
        <v>272</v>
      </c>
      <c r="EC275" t="s">
        <v>545</v>
      </c>
      <c r="ED275">
        <v>35</v>
      </c>
      <c r="EE275">
        <v>3</v>
      </c>
      <c r="EG275">
        <v>1580</v>
      </c>
      <c r="EH275">
        <v>221</v>
      </c>
      <c r="EJ275">
        <v>0</v>
      </c>
      <c r="EK275">
        <v>1</v>
      </c>
      <c r="EN275">
        <v>0</v>
      </c>
      <c r="EP275" t="s">
        <v>546</v>
      </c>
      <c r="EQ275">
        <v>115</v>
      </c>
      <c r="ER275">
        <v>3</v>
      </c>
      <c r="ES275">
        <v>5.5</v>
      </c>
      <c r="ET275">
        <v>1454</v>
      </c>
      <c r="EU275">
        <v>497.3</v>
      </c>
      <c r="EV275">
        <v>723</v>
      </c>
      <c r="EW275" t="s">
        <v>547</v>
      </c>
      <c r="EX275">
        <v>45</v>
      </c>
      <c r="EY275">
        <v>2</v>
      </c>
      <c r="EZ275">
        <v>4.3</v>
      </c>
      <c r="FA275">
        <v>1454</v>
      </c>
      <c r="FB275">
        <v>149.7</v>
      </c>
      <c r="FC275">
        <v>218</v>
      </c>
      <c r="FE275">
        <v>0</v>
      </c>
      <c r="FF275">
        <v>2</v>
      </c>
      <c r="FI275">
        <v>0</v>
      </c>
      <c r="FK275" t="s">
        <v>548</v>
      </c>
      <c r="FL275">
        <v>0.6</v>
      </c>
      <c r="FM275">
        <v>45</v>
      </c>
      <c r="FN275">
        <v>400</v>
      </c>
      <c r="FO275">
        <v>90</v>
      </c>
      <c r="FP275">
        <v>140</v>
      </c>
      <c r="HC275">
        <v>0.1</v>
      </c>
      <c r="HD275">
        <v>3</v>
      </c>
      <c r="HE275">
        <v>3</v>
      </c>
      <c r="HF275">
        <v>3</v>
      </c>
      <c r="HG275">
        <v>3</v>
      </c>
      <c r="HH275">
        <v>3</v>
      </c>
      <c r="HI275">
        <v>145</v>
      </c>
      <c r="HJ275">
        <v>3</v>
      </c>
      <c r="HK275">
        <v>30</v>
      </c>
      <c r="HL275">
        <v>2</v>
      </c>
      <c r="HM275">
        <v>0</v>
      </c>
      <c r="HN275">
        <v>2</v>
      </c>
      <c r="HO275">
        <v>100</v>
      </c>
      <c r="HP275">
        <v>3</v>
      </c>
      <c r="HQ275">
        <v>0</v>
      </c>
      <c r="HR275">
        <v>2</v>
      </c>
      <c r="HS275">
        <v>5278</v>
      </c>
      <c r="HT275">
        <v>160</v>
      </c>
      <c r="HU275">
        <v>180</v>
      </c>
      <c r="HW275">
        <v>20</v>
      </c>
      <c r="HX275">
        <v>580</v>
      </c>
      <c r="HY275">
        <v>0.18</v>
      </c>
      <c r="IA275">
        <v>0.15</v>
      </c>
      <c r="IB275">
        <v>0</v>
      </c>
      <c r="IC275">
        <v>180</v>
      </c>
      <c r="ID275">
        <v>110</v>
      </c>
      <c r="IE275">
        <v>0</v>
      </c>
      <c r="IF275">
        <v>0</v>
      </c>
      <c r="IH275" t="s">
        <v>549</v>
      </c>
      <c r="IO275">
        <v>1</v>
      </c>
      <c r="IP275">
        <v>19</v>
      </c>
      <c r="IQ275">
        <v>0</v>
      </c>
      <c r="IR275">
        <v>0</v>
      </c>
      <c r="IV275">
        <v>1458</v>
      </c>
      <c r="IW275">
        <v>462</v>
      </c>
      <c r="JA275">
        <v>1</v>
      </c>
      <c r="JB275">
        <v>0</v>
      </c>
      <c r="JC275">
        <v>2</v>
      </c>
      <c r="JD275">
        <v>1475</v>
      </c>
      <c r="JE275">
        <v>1468</v>
      </c>
      <c r="JF275">
        <v>0</v>
      </c>
      <c r="JG275">
        <v>1454</v>
      </c>
      <c r="JH275">
        <v>0</v>
      </c>
      <c r="JJ275">
        <v>180</v>
      </c>
      <c r="JK275">
        <v>580</v>
      </c>
      <c r="JN275">
        <v>425</v>
      </c>
      <c r="JO275">
        <v>765</v>
      </c>
      <c r="JP275">
        <v>0</v>
      </c>
      <c r="JQ275">
        <v>0</v>
      </c>
      <c r="JR275">
        <v>464</v>
      </c>
      <c r="JS275">
        <v>145</v>
      </c>
      <c r="JV275">
        <v>8</v>
      </c>
      <c r="JW275" t="s">
        <v>550</v>
      </c>
      <c r="JX275">
        <v>500</v>
      </c>
      <c r="KA275">
        <v>0</v>
      </c>
      <c r="KB275">
        <v>110</v>
      </c>
      <c r="KC275">
        <v>0</v>
      </c>
      <c r="KD275">
        <v>80</v>
      </c>
      <c r="KF275">
        <v>4</v>
      </c>
      <c r="KG275">
        <v>4</v>
      </c>
      <c r="KH275">
        <v>2</v>
      </c>
      <c r="KI275">
        <v>2</v>
      </c>
      <c r="KJ275">
        <v>0</v>
      </c>
      <c r="KK275">
        <v>1.5</v>
      </c>
      <c r="KL275">
        <v>1.5</v>
      </c>
      <c r="KM275">
        <v>0</v>
      </c>
      <c r="KN275">
        <v>0</v>
      </c>
      <c r="KO275">
        <v>0</v>
      </c>
      <c r="KR275">
        <v>30</v>
      </c>
      <c r="KS275">
        <v>60</v>
      </c>
      <c r="KT275">
        <v>0</v>
      </c>
      <c r="LK275">
        <v>480</v>
      </c>
      <c r="PG275">
        <v>1</v>
      </c>
      <c r="PI275" t="s">
        <v>3349</v>
      </c>
      <c r="PJ275" t="s">
        <v>3350</v>
      </c>
      <c r="PL275" t="s">
        <v>1572</v>
      </c>
      <c r="PP275" t="s">
        <v>3351</v>
      </c>
      <c r="PS275" t="s">
        <v>693</v>
      </c>
      <c r="PX275">
        <v>56</v>
      </c>
      <c r="PY275">
        <v>57</v>
      </c>
      <c r="PZ275" t="s">
        <v>3349</v>
      </c>
      <c r="QA275">
        <v>1</v>
      </c>
      <c r="QB275">
        <v>1454</v>
      </c>
      <c r="QC275">
        <v>69</v>
      </c>
      <c r="QD275">
        <v>69</v>
      </c>
      <c r="QE275" t="s">
        <v>1572</v>
      </c>
      <c r="QF275">
        <v>1</v>
      </c>
      <c r="QG275">
        <v>1475</v>
      </c>
      <c r="QH275">
        <v>66</v>
      </c>
      <c r="QI275">
        <v>66</v>
      </c>
      <c r="QJ275" t="s">
        <v>693</v>
      </c>
      <c r="QK275">
        <v>1</v>
      </c>
      <c r="QL275">
        <v>1475</v>
      </c>
      <c r="QM275">
        <v>62</v>
      </c>
      <c r="QN275">
        <v>62</v>
      </c>
      <c r="QO275" t="s">
        <v>3350</v>
      </c>
      <c r="QP275">
        <v>1</v>
      </c>
      <c r="QQ275">
        <v>1468</v>
      </c>
      <c r="QW275">
        <v>82</v>
      </c>
      <c r="QX275">
        <v>89</v>
      </c>
      <c r="QY275" t="s">
        <v>3351</v>
      </c>
      <c r="QZ275">
        <v>1</v>
      </c>
      <c r="RA275">
        <v>66</v>
      </c>
      <c r="RB275">
        <v>66</v>
      </c>
      <c r="RE275">
        <v>0</v>
      </c>
      <c r="RF275">
        <v>1</v>
      </c>
      <c r="RJ275">
        <v>1</v>
      </c>
      <c r="RK275">
        <v>2</v>
      </c>
      <c r="RL275">
        <v>4</v>
      </c>
      <c r="RO275">
        <v>602</v>
      </c>
      <c r="RP275">
        <v>105</v>
      </c>
      <c r="RQ275">
        <v>932</v>
      </c>
      <c r="RT275">
        <v>272</v>
      </c>
      <c r="RU275">
        <v>221</v>
      </c>
      <c r="RV275" t="s">
        <v>1363</v>
      </c>
      <c r="RW275" t="s">
        <v>707</v>
      </c>
      <c r="RX275">
        <v>15</v>
      </c>
      <c r="RY275">
        <v>4</v>
      </c>
      <c r="RZ275" t="s">
        <v>707</v>
      </c>
      <c r="SA275">
        <v>15</v>
      </c>
      <c r="SC275" t="s">
        <v>3350</v>
      </c>
      <c r="SD275">
        <v>1</v>
      </c>
      <c r="SH275">
        <v>0.995</v>
      </c>
      <c r="SI275">
        <v>0.995</v>
      </c>
      <c r="SJ275">
        <v>0.995</v>
      </c>
      <c r="SK275">
        <v>15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1</v>
      </c>
      <c r="TB275">
        <v>0</v>
      </c>
      <c r="TC275">
        <v>0</v>
      </c>
      <c r="TD275">
        <v>7.5</v>
      </c>
      <c r="TE275" t="s">
        <v>553</v>
      </c>
      <c r="TF275" t="s">
        <v>624</v>
      </c>
      <c r="TG275" t="s">
        <v>555</v>
      </c>
      <c r="TI275" t="s">
        <v>546</v>
      </c>
      <c r="TJ275" t="s">
        <v>547</v>
      </c>
      <c r="TL275" t="s">
        <v>3054</v>
      </c>
      <c r="TM275" t="s">
        <v>513</v>
      </c>
      <c r="TN275">
        <v>0</v>
      </c>
      <c r="TO275" t="s">
        <v>557</v>
      </c>
    </row>
    <row r="276" spans="1:535">
      <c r="A276" t="s">
        <v>3352</v>
      </c>
      <c r="B276" t="s">
        <v>564</v>
      </c>
      <c r="C276" t="s">
        <v>509</v>
      </c>
      <c r="D276" t="s">
        <v>3353</v>
      </c>
      <c r="G276" t="s">
        <v>604</v>
      </c>
      <c r="H276" t="s">
        <v>605</v>
      </c>
      <c r="I276" t="s">
        <v>628</v>
      </c>
      <c r="J276" t="s">
        <v>606</v>
      </c>
      <c r="L276" t="s">
        <v>512</v>
      </c>
      <c r="M276" t="s">
        <v>629</v>
      </c>
      <c r="N276" t="s">
        <v>513</v>
      </c>
      <c r="O276" t="s">
        <v>565</v>
      </c>
      <c r="Q276" t="s">
        <v>3354</v>
      </c>
      <c r="R276" t="s">
        <v>517</v>
      </c>
      <c r="S276" t="s">
        <v>1795</v>
      </c>
      <c r="T276" t="s">
        <v>1796</v>
      </c>
      <c r="U276" t="s">
        <v>1482</v>
      </c>
      <c r="V276" t="s">
        <v>1483</v>
      </c>
      <c r="W276" t="s">
        <v>3098</v>
      </c>
      <c r="X276" t="s">
        <v>3048</v>
      </c>
      <c r="Y276" t="s">
        <v>524</v>
      </c>
      <c r="Z276" t="s">
        <v>3355</v>
      </c>
      <c r="AA276" t="s">
        <v>3356</v>
      </c>
      <c r="AB276" t="s">
        <v>3357</v>
      </c>
      <c r="AC276">
        <v>2</v>
      </c>
      <c r="AD276">
        <v>57</v>
      </c>
      <c r="AE276">
        <v>146</v>
      </c>
      <c r="AF276">
        <v>1.5</v>
      </c>
      <c r="AH276">
        <v>0</v>
      </c>
      <c r="AI276" t="s">
        <v>3358</v>
      </c>
      <c r="AJ276">
        <v>157.5</v>
      </c>
      <c r="AK276">
        <v>1</v>
      </c>
      <c r="AL276">
        <v>1.5</v>
      </c>
      <c r="AM276" t="s">
        <v>529</v>
      </c>
      <c r="AO276">
        <v>0</v>
      </c>
      <c r="AR276">
        <v>0</v>
      </c>
      <c r="AS276">
        <v>1.5</v>
      </c>
      <c r="AV276" t="s">
        <v>3359</v>
      </c>
      <c r="AW276" t="s">
        <v>3359</v>
      </c>
      <c r="AX276">
        <v>1</v>
      </c>
      <c r="AY276">
        <v>225</v>
      </c>
      <c r="AZ276">
        <v>1.5</v>
      </c>
      <c r="BA276" t="s">
        <v>529</v>
      </c>
      <c r="BG276">
        <v>1.5</v>
      </c>
      <c r="BJ276">
        <v>0</v>
      </c>
      <c r="BN276">
        <v>1.5</v>
      </c>
      <c r="BP276" t="s">
        <v>3360</v>
      </c>
      <c r="BQ276">
        <v>84</v>
      </c>
      <c r="BR276">
        <v>2</v>
      </c>
      <c r="BS276" t="s">
        <v>1562</v>
      </c>
      <c r="BT276">
        <v>168</v>
      </c>
      <c r="BU276">
        <v>0.5</v>
      </c>
      <c r="BV276" t="s">
        <v>1562</v>
      </c>
      <c r="BW276">
        <v>336</v>
      </c>
      <c r="BX276">
        <v>1</v>
      </c>
      <c r="BY276" t="s">
        <v>1491</v>
      </c>
      <c r="BZ276">
        <v>300</v>
      </c>
      <c r="CA276">
        <v>400</v>
      </c>
      <c r="CB276" t="s">
        <v>1492</v>
      </c>
      <c r="CC276" t="s">
        <v>1492</v>
      </c>
      <c r="CD276">
        <v>360</v>
      </c>
      <c r="CE276" t="s">
        <v>1493</v>
      </c>
      <c r="CF276">
        <v>15</v>
      </c>
      <c r="CG276" t="s">
        <v>1805</v>
      </c>
      <c r="CH276" t="s">
        <v>1805</v>
      </c>
      <c r="CI276">
        <v>50</v>
      </c>
      <c r="CJ276">
        <v>1122</v>
      </c>
      <c r="CK276">
        <v>2</v>
      </c>
      <c r="CL276">
        <v>1222</v>
      </c>
      <c r="CM276">
        <v>2</v>
      </c>
      <c r="CN276" t="s">
        <v>1495</v>
      </c>
      <c r="CO276" t="s">
        <v>1473</v>
      </c>
      <c r="CP276" t="s">
        <v>1474</v>
      </c>
      <c r="CQ276" t="s">
        <v>649</v>
      </c>
      <c r="CR276" t="s">
        <v>650</v>
      </c>
      <c r="CS276" t="s">
        <v>542</v>
      </c>
      <c r="CT276">
        <v>315</v>
      </c>
      <c r="CU276">
        <v>5</v>
      </c>
      <c r="CV276">
        <v>1.2</v>
      </c>
      <c r="CW276">
        <v>1136</v>
      </c>
      <c r="CX276">
        <v>507</v>
      </c>
      <c r="DD276">
        <v>0</v>
      </c>
      <c r="DE276" t="s">
        <v>543</v>
      </c>
      <c r="DF276">
        <v>450</v>
      </c>
      <c r="DG276">
        <v>3</v>
      </c>
      <c r="DH276">
        <v>1.18</v>
      </c>
      <c r="DI276">
        <v>1134</v>
      </c>
      <c r="DJ276">
        <v>851</v>
      </c>
      <c r="DW276" t="s">
        <v>544</v>
      </c>
      <c r="DX276">
        <v>7.5</v>
      </c>
      <c r="EA276">
        <v>1204.3</v>
      </c>
      <c r="EB276">
        <v>157</v>
      </c>
      <c r="EC276" t="s">
        <v>545</v>
      </c>
      <c r="ED276">
        <v>30</v>
      </c>
      <c r="EE276">
        <v>3</v>
      </c>
      <c r="EG276">
        <v>1235</v>
      </c>
      <c r="EH276">
        <v>152</v>
      </c>
      <c r="EJ276">
        <v>0</v>
      </c>
      <c r="EK276">
        <v>1</v>
      </c>
      <c r="EN276">
        <v>0</v>
      </c>
      <c r="EP276" t="s">
        <v>546</v>
      </c>
      <c r="EQ276">
        <v>70</v>
      </c>
      <c r="ER276">
        <v>3</v>
      </c>
      <c r="ES276">
        <v>5.5</v>
      </c>
      <c r="ET276">
        <v>1120</v>
      </c>
      <c r="EU276">
        <v>282.4</v>
      </c>
      <c r="EV276">
        <v>316</v>
      </c>
      <c r="EW276" t="s">
        <v>547</v>
      </c>
      <c r="EX276">
        <v>70</v>
      </c>
      <c r="EY276">
        <v>2</v>
      </c>
      <c r="EZ276">
        <v>4.3</v>
      </c>
      <c r="FA276">
        <v>1120</v>
      </c>
      <c r="FB276">
        <v>208.3</v>
      </c>
      <c r="FC276">
        <v>233</v>
      </c>
      <c r="FE276">
        <v>0</v>
      </c>
      <c r="FF276">
        <v>2</v>
      </c>
      <c r="FI276">
        <v>0</v>
      </c>
      <c r="FK276" t="s">
        <v>548</v>
      </c>
      <c r="FL276">
        <v>0.4</v>
      </c>
      <c r="FM276">
        <v>80</v>
      </c>
      <c r="FN276">
        <v>100</v>
      </c>
      <c r="FR276" t="s">
        <v>548</v>
      </c>
      <c r="FS276">
        <v>0.4</v>
      </c>
      <c r="FT276">
        <v>30</v>
      </c>
      <c r="FU276">
        <v>300</v>
      </c>
      <c r="FY276" t="s">
        <v>651</v>
      </c>
      <c r="FZ276">
        <v>1</v>
      </c>
      <c r="GA276">
        <v>20</v>
      </c>
      <c r="GB276">
        <v>141</v>
      </c>
      <c r="GG276" t="s">
        <v>651</v>
      </c>
      <c r="GH276">
        <v>1</v>
      </c>
      <c r="GI276">
        <v>20</v>
      </c>
      <c r="GJ276">
        <v>141</v>
      </c>
      <c r="HC276">
        <v>0.1</v>
      </c>
      <c r="HD276">
        <v>3</v>
      </c>
      <c r="HE276">
        <v>3</v>
      </c>
      <c r="HF276">
        <v>3</v>
      </c>
      <c r="HG276">
        <v>3</v>
      </c>
      <c r="HH276">
        <v>3</v>
      </c>
      <c r="HI276">
        <v>125</v>
      </c>
      <c r="HJ276">
        <v>3</v>
      </c>
      <c r="HK276">
        <v>55</v>
      </c>
      <c r="HL276">
        <v>2</v>
      </c>
      <c r="HM276">
        <v>0</v>
      </c>
      <c r="HN276">
        <v>2</v>
      </c>
      <c r="HO276">
        <v>55</v>
      </c>
      <c r="HP276">
        <v>3</v>
      </c>
      <c r="HQ276">
        <v>0</v>
      </c>
      <c r="HR276">
        <v>2</v>
      </c>
      <c r="HS276">
        <v>3074</v>
      </c>
      <c r="HT276">
        <v>90</v>
      </c>
      <c r="HU276">
        <v>180</v>
      </c>
      <c r="HW276">
        <v>0</v>
      </c>
      <c r="HX276">
        <v>440</v>
      </c>
      <c r="HY276">
        <v>0.18</v>
      </c>
      <c r="IA276">
        <v>0.15</v>
      </c>
      <c r="IB276">
        <v>0</v>
      </c>
      <c r="IC276">
        <v>180</v>
      </c>
      <c r="ID276">
        <v>110</v>
      </c>
      <c r="IE276">
        <v>0</v>
      </c>
      <c r="IF276">
        <v>0</v>
      </c>
      <c r="IH276" t="s">
        <v>549</v>
      </c>
      <c r="IO276">
        <v>1</v>
      </c>
      <c r="IP276">
        <v>15</v>
      </c>
      <c r="IQ276">
        <v>0</v>
      </c>
      <c r="IR276">
        <v>1</v>
      </c>
      <c r="IV276">
        <v>1122</v>
      </c>
      <c r="IW276">
        <v>336</v>
      </c>
      <c r="JA276">
        <v>1</v>
      </c>
      <c r="JB276">
        <v>0</v>
      </c>
      <c r="JC276">
        <v>2</v>
      </c>
      <c r="JD276">
        <v>1136</v>
      </c>
      <c r="JE276">
        <v>1134</v>
      </c>
      <c r="JF276">
        <v>0</v>
      </c>
      <c r="JG276">
        <v>1120</v>
      </c>
      <c r="JH276">
        <v>0</v>
      </c>
      <c r="JJ276">
        <v>180</v>
      </c>
      <c r="JK276">
        <v>440</v>
      </c>
      <c r="JN276">
        <v>315</v>
      </c>
      <c r="JO276">
        <v>450</v>
      </c>
      <c r="JP276">
        <v>0</v>
      </c>
      <c r="JQ276">
        <v>0</v>
      </c>
      <c r="JR276">
        <v>292</v>
      </c>
      <c r="JS276">
        <v>125</v>
      </c>
      <c r="JV276">
        <v>8</v>
      </c>
      <c r="JW276" t="s">
        <v>550</v>
      </c>
      <c r="JX276">
        <v>0</v>
      </c>
      <c r="KA276">
        <v>0</v>
      </c>
      <c r="KB276">
        <v>110</v>
      </c>
      <c r="KC276">
        <v>0</v>
      </c>
      <c r="KD276">
        <v>80</v>
      </c>
      <c r="KF276">
        <v>4</v>
      </c>
      <c r="KG276">
        <v>4</v>
      </c>
      <c r="KH276">
        <v>2</v>
      </c>
      <c r="KI276">
        <v>2</v>
      </c>
      <c r="KJ276">
        <v>0</v>
      </c>
      <c r="KK276">
        <v>1.5</v>
      </c>
      <c r="KL276">
        <v>1.5</v>
      </c>
      <c r="KM276">
        <v>0</v>
      </c>
      <c r="KN276">
        <v>0</v>
      </c>
      <c r="KO276">
        <v>0</v>
      </c>
      <c r="KR276">
        <v>30</v>
      </c>
      <c r="KS276">
        <v>60</v>
      </c>
      <c r="KT276">
        <v>0</v>
      </c>
      <c r="LK276">
        <v>480</v>
      </c>
      <c r="PG276">
        <v>1</v>
      </c>
      <c r="PI276" t="s">
        <v>3357</v>
      </c>
      <c r="PJ276" t="s">
        <v>3359</v>
      </c>
      <c r="PL276" t="s">
        <v>3358</v>
      </c>
      <c r="PP276" t="s">
        <v>3360</v>
      </c>
      <c r="PX276">
        <v>56</v>
      </c>
      <c r="PY276">
        <v>57</v>
      </c>
      <c r="PZ276" t="s">
        <v>3357</v>
      </c>
      <c r="QA276">
        <v>2</v>
      </c>
      <c r="QB276">
        <v>1120</v>
      </c>
      <c r="QC276">
        <v>69</v>
      </c>
      <c r="QD276">
        <v>69</v>
      </c>
      <c r="QE276" t="s">
        <v>3358</v>
      </c>
      <c r="QF276">
        <v>1</v>
      </c>
      <c r="QG276">
        <v>1136</v>
      </c>
      <c r="QH276">
        <v>66</v>
      </c>
      <c r="QI276">
        <v>66</v>
      </c>
      <c r="QL276">
        <v>0</v>
      </c>
      <c r="QM276">
        <v>63</v>
      </c>
      <c r="QN276">
        <v>63</v>
      </c>
      <c r="QO276" t="s">
        <v>3359</v>
      </c>
      <c r="QP276">
        <v>1</v>
      </c>
      <c r="QQ276">
        <v>1134</v>
      </c>
      <c r="QW276">
        <v>82</v>
      </c>
      <c r="QX276">
        <v>84</v>
      </c>
      <c r="QY276" t="s">
        <v>3360</v>
      </c>
      <c r="QZ276">
        <v>1</v>
      </c>
      <c r="RA276">
        <v>66</v>
      </c>
      <c r="RB276">
        <v>66</v>
      </c>
      <c r="RE276">
        <v>0</v>
      </c>
      <c r="RG276">
        <v>1</v>
      </c>
      <c r="RJ276">
        <v>2</v>
      </c>
      <c r="RL276">
        <v>1</v>
      </c>
      <c r="RO276">
        <v>446</v>
      </c>
      <c r="RQ276">
        <v>750</v>
      </c>
      <c r="RT276">
        <v>157</v>
      </c>
      <c r="RU276">
        <v>152</v>
      </c>
      <c r="RV276" t="s">
        <v>1564</v>
      </c>
      <c r="RW276" t="s">
        <v>1498</v>
      </c>
      <c r="RX276">
        <v>15</v>
      </c>
      <c r="RY276">
        <v>4</v>
      </c>
      <c r="RZ276" t="s">
        <v>1498</v>
      </c>
      <c r="SA276">
        <v>15</v>
      </c>
      <c r="SB276" t="s">
        <v>3361</v>
      </c>
      <c r="SC276" t="s">
        <v>3361</v>
      </c>
      <c r="SD276">
        <v>1</v>
      </c>
      <c r="SH276">
        <v>0.995</v>
      </c>
      <c r="SI276">
        <v>0.995</v>
      </c>
      <c r="SJ276">
        <v>0.995</v>
      </c>
      <c r="SK276">
        <v>15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TB276">
        <v>0</v>
      </c>
      <c r="TC276">
        <v>0</v>
      </c>
      <c r="TD276">
        <v>7.5</v>
      </c>
      <c r="TE276" t="s">
        <v>553</v>
      </c>
      <c r="TF276" t="s">
        <v>754</v>
      </c>
      <c r="TG276" t="s">
        <v>555</v>
      </c>
      <c r="TI276" t="s">
        <v>546</v>
      </c>
      <c r="TJ276" t="s">
        <v>547</v>
      </c>
      <c r="TL276" t="s">
        <v>3054</v>
      </c>
      <c r="TM276" t="s">
        <v>513</v>
      </c>
      <c r="TN276">
        <v>0</v>
      </c>
      <c r="TO276" t="s">
        <v>557</v>
      </c>
    </row>
    <row r="277" spans="1:535">
      <c r="A277" t="s">
        <v>3362</v>
      </c>
      <c r="B277" t="s">
        <v>559</v>
      </c>
      <c r="C277" t="s">
        <v>509</v>
      </c>
      <c r="D277" t="s">
        <v>2380</v>
      </c>
      <c r="G277" t="s">
        <v>604</v>
      </c>
      <c r="H277" t="s">
        <v>605</v>
      </c>
      <c r="I277" t="s">
        <v>628</v>
      </c>
      <c r="J277" t="s">
        <v>606</v>
      </c>
      <c r="L277" t="s">
        <v>512</v>
      </c>
      <c r="M277" t="s">
        <v>564</v>
      </c>
      <c r="N277" t="s">
        <v>513</v>
      </c>
      <c r="O277" t="s">
        <v>607</v>
      </c>
      <c r="Q277" t="s">
        <v>3363</v>
      </c>
      <c r="R277" t="s">
        <v>517</v>
      </c>
      <c r="S277" t="s">
        <v>609</v>
      </c>
      <c r="T277" t="s">
        <v>610</v>
      </c>
      <c r="U277" t="s">
        <v>520</v>
      </c>
      <c r="V277" t="s">
        <v>521</v>
      </c>
      <c r="W277" t="s">
        <v>2656</v>
      </c>
      <c r="X277" t="s">
        <v>3058</v>
      </c>
      <c r="Y277" t="s">
        <v>574</v>
      </c>
      <c r="Z277" t="s">
        <v>3364</v>
      </c>
      <c r="AA277" t="s">
        <v>3365</v>
      </c>
      <c r="AB277" t="s">
        <v>3366</v>
      </c>
      <c r="AC277">
        <v>2</v>
      </c>
      <c r="AD277">
        <v>57</v>
      </c>
      <c r="AE277">
        <v>186</v>
      </c>
      <c r="AF277">
        <v>1.5</v>
      </c>
      <c r="AH277">
        <v>0</v>
      </c>
      <c r="AI277" t="s">
        <v>1331</v>
      </c>
      <c r="AJ277">
        <v>197.5</v>
      </c>
      <c r="AK277">
        <v>1</v>
      </c>
      <c r="AL277">
        <v>1.5</v>
      </c>
      <c r="AM277" t="s">
        <v>529</v>
      </c>
      <c r="AO277">
        <v>0</v>
      </c>
      <c r="AR277">
        <v>0</v>
      </c>
      <c r="AS277">
        <v>1.5</v>
      </c>
      <c r="AU277" t="s">
        <v>3367</v>
      </c>
      <c r="AW277" t="s">
        <v>3367</v>
      </c>
      <c r="AX277">
        <v>1</v>
      </c>
      <c r="AY277">
        <v>285</v>
      </c>
      <c r="AZ277">
        <v>1.5</v>
      </c>
      <c r="BA277" t="s">
        <v>529</v>
      </c>
      <c r="BG277">
        <v>1.5</v>
      </c>
      <c r="BJ277">
        <v>0</v>
      </c>
      <c r="BN277">
        <v>1.5</v>
      </c>
      <c r="BP277" t="s">
        <v>3368</v>
      </c>
      <c r="BQ277">
        <v>82</v>
      </c>
      <c r="BR277">
        <v>2</v>
      </c>
      <c r="BS277" t="s">
        <v>1919</v>
      </c>
      <c r="BT277">
        <v>208</v>
      </c>
      <c r="BU277">
        <v>0.5</v>
      </c>
      <c r="BV277" t="s">
        <v>1919</v>
      </c>
      <c r="BW277">
        <v>416</v>
      </c>
      <c r="BX277">
        <v>1</v>
      </c>
      <c r="BY277" t="s">
        <v>533</v>
      </c>
      <c r="BZ277">
        <v>470</v>
      </c>
      <c r="CA277">
        <v>590</v>
      </c>
      <c r="CB277" t="s">
        <v>534</v>
      </c>
      <c r="CC277" t="s">
        <v>534</v>
      </c>
      <c r="CD277">
        <v>430</v>
      </c>
      <c r="CE277" t="s">
        <v>535</v>
      </c>
      <c r="CF277">
        <v>15</v>
      </c>
      <c r="CG277" t="s">
        <v>2624</v>
      </c>
      <c r="CH277" t="s">
        <v>2624</v>
      </c>
      <c r="CI277">
        <v>60</v>
      </c>
      <c r="CJ277">
        <v>1200</v>
      </c>
      <c r="CK277">
        <v>2</v>
      </c>
      <c r="CL277">
        <v>1301</v>
      </c>
      <c r="CM277">
        <v>2</v>
      </c>
      <c r="CN277" t="s">
        <v>537</v>
      </c>
      <c r="CO277" t="s">
        <v>538</v>
      </c>
      <c r="CP277" t="s">
        <v>539</v>
      </c>
      <c r="CQ277" t="s">
        <v>540</v>
      </c>
      <c r="CR277" t="s">
        <v>541</v>
      </c>
      <c r="CS277" t="s">
        <v>542</v>
      </c>
      <c r="CT277">
        <v>395</v>
      </c>
      <c r="CU277">
        <v>5</v>
      </c>
      <c r="CV277">
        <v>1.2</v>
      </c>
      <c r="CW277">
        <v>1213</v>
      </c>
      <c r="CX277">
        <v>678</v>
      </c>
      <c r="DD277">
        <v>0</v>
      </c>
      <c r="DE277" t="s">
        <v>543</v>
      </c>
      <c r="DF277">
        <v>570</v>
      </c>
      <c r="DG277">
        <v>3</v>
      </c>
      <c r="DH277">
        <v>1.18</v>
      </c>
      <c r="DI277">
        <v>1211</v>
      </c>
      <c r="DJ277">
        <v>1084</v>
      </c>
      <c r="DW277" t="s">
        <v>544</v>
      </c>
      <c r="DX277">
        <v>7.5</v>
      </c>
      <c r="EA277">
        <v>1282.5</v>
      </c>
      <c r="EB277">
        <v>227</v>
      </c>
      <c r="EC277" t="s">
        <v>545</v>
      </c>
      <c r="ED277">
        <v>40</v>
      </c>
      <c r="EE277">
        <v>3</v>
      </c>
      <c r="EG277">
        <v>1323</v>
      </c>
      <c r="EH277">
        <v>256</v>
      </c>
      <c r="EJ277">
        <v>0</v>
      </c>
      <c r="EK277">
        <v>1</v>
      </c>
      <c r="EN277">
        <v>0</v>
      </c>
      <c r="EP277" t="s">
        <v>546</v>
      </c>
      <c r="EQ277">
        <v>120</v>
      </c>
      <c r="ER277">
        <v>3</v>
      </c>
      <c r="ES277">
        <v>5.5</v>
      </c>
      <c r="ET277">
        <v>1198</v>
      </c>
      <c r="EU277">
        <v>519.2</v>
      </c>
      <c r="EV277">
        <v>622</v>
      </c>
      <c r="EW277" t="s">
        <v>547</v>
      </c>
      <c r="EX277">
        <v>70</v>
      </c>
      <c r="EY277">
        <v>2</v>
      </c>
      <c r="EZ277">
        <v>4.3</v>
      </c>
      <c r="FA277">
        <v>1198</v>
      </c>
      <c r="FB277">
        <v>208.3</v>
      </c>
      <c r="FC277">
        <v>250</v>
      </c>
      <c r="FE277">
        <v>0</v>
      </c>
      <c r="FF277">
        <v>2</v>
      </c>
      <c r="FI277">
        <v>0</v>
      </c>
      <c r="FK277" t="s">
        <v>548</v>
      </c>
      <c r="FL277">
        <v>0.4</v>
      </c>
      <c r="FM277">
        <v>80</v>
      </c>
      <c r="FN277">
        <v>120</v>
      </c>
      <c r="FR277" t="s">
        <v>548</v>
      </c>
      <c r="FS277">
        <v>0.4</v>
      </c>
      <c r="FT277">
        <v>30</v>
      </c>
      <c r="FU277">
        <v>380</v>
      </c>
      <c r="FV277">
        <v>30</v>
      </c>
      <c r="FW277">
        <v>240</v>
      </c>
      <c r="HC277">
        <v>0.1</v>
      </c>
      <c r="HD277">
        <v>3</v>
      </c>
      <c r="HE277">
        <v>3</v>
      </c>
      <c r="HF277">
        <v>3</v>
      </c>
      <c r="HG277">
        <v>3</v>
      </c>
      <c r="HH277">
        <v>3</v>
      </c>
      <c r="HI277">
        <v>175</v>
      </c>
      <c r="HJ277">
        <v>3</v>
      </c>
      <c r="HK277">
        <v>55</v>
      </c>
      <c r="HL277">
        <v>2</v>
      </c>
      <c r="HM277">
        <v>0</v>
      </c>
      <c r="HN277">
        <v>2</v>
      </c>
      <c r="HO277">
        <v>105</v>
      </c>
      <c r="HP277">
        <v>3</v>
      </c>
      <c r="HQ277">
        <v>0</v>
      </c>
      <c r="HR277">
        <v>2</v>
      </c>
      <c r="HS277">
        <v>4472</v>
      </c>
      <c r="HT277">
        <v>130</v>
      </c>
      <c r="HU277">
        <v>180</v>
      </c>
      <c r="HW277">
        <v>0</v>
      </c>
      <c r="HX277">
        <v>520</v>
      </c>
      <c r="HY277">
        <v>0.18</v>
      </c>
      <c r="IA277">
        <v>0.15</v>
      </c>
      <c r="IB277">
        <v>0</v>
      </c>
      <c r="IC277">
        <v>180</v>
      </c>
      <c r="ID277">
        <v>110</v>
      </c>
      <c r="IE277">
        <v>0</v>
      </c>
      <c r="IF277">
        <v>0</v>
      </c>
      <c r="IH277" t="s">
        <v>549</v>
      </c>
      <c r="IO277">
        <v>1</v>
      </c>
      <c r="IP277">
        <v>16</v>
      </c>
      <c r="IQ277">
        <v>0</v>
      </c>
      <c r="IR277">
        <v>1</v>
      </c>
      <c r="IV277">
        <v>1200</v>
      </c>
      <c r="IW277">
        <v>416</v>
      </c>
      <c r="JA277">
        <v>1</v>
      </c>
      <c r="JB277">
        <v>0</v>
      </c>
      <c r="JC277">
        <v>2</v>
      </c>
      <c r="JD277">
        <v>1213</v>
      </c>
      <c r="JE277">
        <v>1211</v>
      </c>
      <c r="JF277">
        <v>0</v>
      </c>
      <c r="JG277">
        <v>1198</v>
      </c>
      <c r="JH277">
        <v>0</v>
      </c>
      <c r="JJ277">
        <v>180</v>
      </c>
      <c r="JK277">
        <v>520</v>
      </c>
      <c r="JN277">
        <v>395</v>
      </c>
      <c r="JO277">
        <v>570</v>
      </c>
      <c r="JP277">
        <v>0</v>
      </c>
      <c r="JQ277">
        <v>0</v>
      </c>
      <c r="JR277">
        <v>372</v>
      </c>
      <c r="JS277">
        <v>175</v>
      </c>
      <c r="JV277">
        <v>8</v>
      </c>
      <c r="JW277" t="s">
        <v>550</v>
      </c>
      <c r="JX277">
        <v>0</v>
      </c>
      <c r="KA277">
        <v>0</v>
      </c>
      <c r="KB277">
        <v>110</v>
      </c>
      <c r="KC277">
        <v>0</v>
      </c>
      <c r="KD277">
        <v>80</v>
      </c>
      <c r="KF277">
        <v>4</v>
      </c>
      <c r="KG277">
        <v>2</v>
      </c>
      <c r="KH277">
        <v>2</v>
      </c>
      <c r="KI277">
        <v>2</v>
      </c>
      <c r="KJ277">
        <v>0</v>
      </c>
      <c r="KK277">
        <v>1.5</v>
      </c>
      <c r="KL277">
        <v>1.5</v>
      </c>
      <c r="KM277">
        <v>0</v>
      </c>
      <c r="KN277">
        <v>0</v>
      </c>
      <c r="KO277">
        <v>0</v>
      </c>
      <c r="KR277">
        <v>30</v>
      </c>
      <c r="KS277">
        <v>60</v>
      </c>
      <c r="KT277">
        <v>0</v>
      </c>
      <c r="LK277">
        <v>480</v>
      </c>
      <c r="LX277">
        <v>410</v>
      </c>
      <c r="PG277">
        <v>1</v>
      </c>
      <c r="PI277" t="s">
        <v>3366</v>
      </c>
      <c r="PJ277" t="s">
        <v>3367</v>
      </c>
      <c r="PL277" t="s">
        <v>1331</v>
      </c>
      <c r="PP277" t="s">
        <v>3368</v>
      </c>
      <c r="PX277">
        <v>56</v>
      </c>
      <c r="PY277">
        <v>57</v>
      </c>
      <c r="PZ277" t="s">
        <v>3366</v>
      </c>
      <c r="QA277">
        <v>1</v>
      </c>
      <c r="QB277">
        <v>1198</v>
      </c>
      <c r="QC277">
        <v>69</v>
      </c>
      <c r="QD277">
        <v>69</v>
      </c>
      <c r="QE277" t="s">
        <v>1331</v>
      </c>
      <c r="QF277">
        <v>1</v>
      </c>
      <c r="QG277">
        <v>1213</v>
      </c>
      <c r="QH277">
        <v>66</v>
      </c>
      <c r="QI277">
        <v>66</v>
      </c>
      <c r="QL277">
        <v>0</v>
      </c>
      <c r="QM277">
        <v>62</v>
      </c>
      <c r="QN277">
        <v>62</v>
      </c>
      <c r="QO277" t="s">
        <v>3367</v>
      </c>
      <c r="QP277">
        <v>1</v>
      </c>
      <c r="QQ277">
        <v>1211</v>
      </c>
      <c r="QW277">
        <v>82</v>
      </c>
      <c r="QX277">
        <v>82</v>
      </c>
      <c r="QY277" t="s">
        <v>3368</v>
      </c>
      <c r="QZ277">
        <v>1</v>
      </c>
      <c r="RA277">
        <v>66</v>
      </c>
      <c r="RB277">
        <v>66</v>
      </c>
      <c r="RE277">
        <v>0</v>
      </c>
      <c r="RF277">
        <v>1</v>
      </c>
      <c r="RJ277">
        <v>1</v>
      </c>
      <c r="RL277">
        <v>2</v>
      </c>
      <c r="RO277">
        <v>559</v>
      </c>
      <c r="RQ277">
        <v>895</v>
      </c>
      <c r="RT277">
        <v>227</v>
      </c>
      <c r="RU277">
        <v>256</v>
      </c>
      <c r="RV277" t="s">
        <v>1920</v>
      </c>
      <c r="RW277" t="s">
        <v>552</v>
      </c>
      <c r="RX277">
        <v>15</v>
      </c>
      <c r="RY277">
        <v>4</v>
      </c>
      <c r="RZ277" t="s">
        <v>552</v>
      </c>
      <c r="SA277">
        <v>15</v>
      </c>
      <c r="SC277" t="s">
        <v>3367</v>
      </c>
      <c r="SD277">
        <v>1</v>
      </c>
      <c r="SH277">
        <v>0.995</v>
      </c>
      <c r="SI277">
        <v>0.995</v>
      </c>
      <c r="SJ277">
        <v>0.995</v>
      </c>
      <c r="SK277">
        <v>15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TB277">
        <v>0</v>
      </c>
      <c r="TC277">
        <v>0</v>
      </c>
      <c r="TD277">
        <v>7.5</v>
      </c>
      <c r="TE277" t="s">
        <v>553</v>
      </c>
      <c r="TF277" t="s">
        <v>624</v>
      </c>
      <c r="TG277" t="s">
        <v>555</v>
      </c>
      <c r="TI277" t="s">
        <v>546</v>
      </c>
      <c r="TJ277" t="s">
        <v>547</v>
      </c>
      <c r="TL277" t="s">
        <v>3054</v>
      </c>
      <c r="TM277" t="s">
        <v>513</v>
      </c>
      <c r="TN277">
        <v>0</v>
      </c>
      <c r="TO277" t="s">
        <v>557</v>
      </c>
    </row>
    <row r="278" spans="1:535">
      <c r="A278" t="s">
        <v>3369</v>
      </c>
      <c r="B278" t="s">
        <v>657</v>
      </c>
      <c r="C278" t="s">
        <v>509</v>
      </c>
      <c r="D278" t="s">
        <v>2455</v>
      </c>
      <c r="G278" t="s">
        <v>604</v>
      </c>
      <c r="H278" t="s">
        <v>605</v>
      </c>
      <c r="J278" t="s">
        <v>606</v>
      </c>
      <c r="L278" t="s">
        <v>512</v>
      </c>
      <c r="M278" t="s">
        <v>559</v>
      </c>
      <c r="N278" t="s">
        <v>513</v>
      </c>
      <c r="O278" t="s">
        <v>607</v>
      </c>
      <c r="Q278" t="s">
        <v>3370</v>
      </c>
      <c r="R278" t="s">
        <v>517</v>
      </c>
      <c r="S278" t="s">
        <v>631</v>
      </c>
      <c r="T278" t="s">
        <v>632</v>
      </c>
      <c r="U278" t="s">
        <v>633</v>
      </c>
      <c r="V278" t="s">
        <v>634</v>
      </c>
      <c r="W278" t="s">
        <v>2392</v>
      </c>
      <c r="X278" t="s">
        <v>3048</v>
      </c>
      <c r="Y278" t="s">
        <v>524</v>
      </c>
      <c r="Z278" t="s">
        <v>3371</v>
      </c>
      <c r="AA278" t="s">
        <v>3372</v>
      </c>
      <c r="AB278" t="s">
        <v>3373</v>
      </c>
      <c r="AC278">
        <v>2</v>
      </c>
      <c r="AD278">
        <v>57</v>
      </c>
      <c r="AE278">
        <v>164</v>
      </c>
      <c r="AF278">
        <v>1.5</v>
      </c>
      <c r="AH278">
        <v>0</v>
      </c>
      <c r="AI278" t="s">
        <v>1033</v>
      </c>
      <c r="AJ278">
        <v>177.5</v>
      </c>
      <c r="AK278">
        <v>1</v>
      </c>
      <c r="AL278">
        <v>1.5</v>
      </c>
      <c r="AM278" t="s">
        <v>529</v>
      </c>
      <c r="AO278">
        <v>0</v>
      </c>
      <c r="AR278">
        <v>0</v>
      </c>
      <c r="AS278">
        <v>1.5</v>
      </c>
      <c r="AV278" t="s">
        <v>3374</v>
      </c>
      <c r="AW278" t="s">
        <v>3374</v>
      </c>
      <c r="AX278">
        <v>1</v>
      </c>
      <c r="AY278">
        <v>247.5</v>
      </c>
      <c r="AZ278">
        <v>1.5</v>
      </c>
      <c r="BA278" t="s">
        <v>529</v>
      </c>
      <c r="BG278">
        <v>1.5</v>
      </c>
      <c r="BJ278">
        <v>0</v>
      </c>
      <c r="BN278">
        <v>1.5</v>
      </c>
      <c r="BP278" t="s">
        <v>3375</v>
      </c>
      <c r="BQ278">
        <v>89</v>
      </c>
      <c r="BR278">
        <v>2</v>
      </c>
      <c r="BS278" t="s">
        <v>1640</v>
      </c>
      <c r="BT278">
        <v>188</v>
      </c>
      <c r="BU278">
        <v>0.5</v>
      </c>
      <c r="BV278" t="s">
        <v>1640</v>
      </c>
      <c r="BW278">
        <v>376</v>
      </c>
      <c r="BX278">
        <v>1</v>
      </c>
      <c r="BY278" t="s">
        <v>643</v>
      </c>
      <c r="BZ278">
        <v>300</v>
      </c>
      <c r="CA278">
        <v>440</v>
      </c>
      <c r="CB278" t="s">
        <v>644</v>
      </c>
      <c r="CC278" t="s">
        <v>644</v>
      </c>
      <c r="CD278">
        <v>390</v>
      </c>
      <c r="CE278" t="s">
        <v>544</v>
      </c>
      <c r="CF278">
        <v>15</v>
      </c>
      <c r="CG278" t="s">
        <v>1024</v>
      </c>
      <c r="CH278" t="s">
        <v>1024</v>
      </c>
      <c r="CI278">
        <v>70</v>
      </c>
      <c r="CJ278">
        <v>1301</v>
      </c>
      <c r="CK278">
        <v>2</v>
      </c>
      <c r="CL278">
        <v>1395</v>
      </c>
      <c r="CM278">
        <v>2</v>
      </c>
      <c r="CN278" t="s">
        <v>646</v>
      </c>
      <c r="CO278" t="s">
        <v>647</v>
      </c>
      <c r="CP278" t="s">
        <v>648</v>
      </c>
      <c r="CQ278" t="s">
        <v>649</v>
      </c>
      <c r="CR278" t="s">
        <v>650</v>
      </c>
      <c r="CS278" t="s">
        <v>542</v>
      </c>
      <c r="CT278">
        <v>355</v>
      </c>
      <c r="CU278">
        <v>5</v>
      </c>
      <c r="CV278">
        <v>1.2</v>
      </c>
      <c r="CW278">
        <v>1314</v>
      </c>
      <c r="CX278">
        <v>661</v>
      </c>
      <c r="DD278">
        <v>0</v>
      </c>
      <c r="DE278" t="s">
        <v>948</v>
      </c>
      <c r="DF278">
        <v>495</v>
      </c>
      <c r="DG278">
        <v>3</v>
      </c>
      <c r="DH278">
        <v>1.22</v>
      </c>
      <c r="DI278">
        <v>1312</v>
      </c>
      <c r="DJ278">
        <v>1145</v>
      </c>
      <c r="DW278" t="s">
        <v>544</v>
      </c>
      <c r="DX278">
        <v>7.5</v>
      </c>
      <c r="EA278">
        <v>1379.8</v>
      </c>
      <c r="EB278">
        <v>180</v>
      </c>
      <c r="EC278" t="s">
        <v>545</v>
      </c>
      <c r="ED278">
        <v>30</v>
      </c>
      <c r="EE278">
        <v>3</v>
      </c>
      <c r="EG278">
        <v>1411</v>
      </c>
      <c r="EH278">
        <v>165</v>
      </c>
      <c r="EJ278">
        <v>0</v>
      </c>
      <c r="EK278">
        <v>1</v>
      </c>
      <c r="EN278">
        <v>0</v>
      </c>
      <c r="EP278" t="s">
        <v>546</v>
      </c>
      <c r="EQ278">
        <v>80</v>
      </c>
      <c r="ER278">
        <v>3</v>
      </c>
      <c r="ES278">
        <v>6.5</v>
      </c>
      <c r="ET278">
        <v>1304</v>
      </c>
      <c r="EU278">
        <v>347.7</v>
      </c>
      <c r="EV278">
        <v>453</v>
      </c>
      <c r="EW278" t="s">
        <v>547</v>
      </c>
      <c r="EX278">
        <v>70</v>
      </c>
      <c r="EY278">
        <v>2</v>
      </c>
      <c r="EZ278">
        <v>5</v>
      </c>
      <c r="FA278">
        <v>1304</v>
      </c>
      <c r="FB278">
        <v>227.3</v>
      </c>
      <c r="FC278">
        <v>296</v>
      </c>
      <c r="FE278">
        <v>0</v>
      </c>
      <c r="FF278">
        <v>2</v>
      </c>
      <c r="FI278">
        <v>0</v>
      </c>
      <c r="FK278" t="s">
        <v>548</v>
      </c>
      <c r="FL278">
        <v>0.4</v>
      </c>
      <c r="FM278">
        <v>85</v>
      </c>
      <c r="FN278">
        <v>130</v>
      </c>
      <c r="FR278" t="s">
        <v>548</v>
      </c>
      <c r="FS278">
        <v>0.4</v>
      </c>
      <c r="FT278">
        <v>30</v>
      </c>
      <c r="FU278">
        <v>340</v>
      </c>
      <c r="FV278">
        <v>40</v>
      </c>
      <c r="FW278">
        <v>220</v>
      </c>
      <c r="FY278" t="s">
        <v>651</v>
      </c>
      <c r="FZ278">
        <v>1</v>
      </c>
      <c r="GA278">
        <v>20</v>
      </c>
      <c r="GB278">
        <v>171</v>
      </c>
      <c r="GG278" t="s">
        <v>651</v>
      </c>
      <c r="GH278">
        <v>1</v>
      </c>
      <c r="GI278">
        <v>20</v>
      </c>
      <c r="GJ278">
        <v>171</v>
      </c>
      <c r="HC278">
        <v>0.1</v>
      </c>
      <c r="HD278">
        <v>3</v>
      </c>
      <c r="HE278">
        <v>3</v>
      </c>
      <c r="HF278">
        <v>3</v>
      </c>
      <c r="HG278">
        <v>3</v>
      </c>
      <c r="HH278">
        <v>3</v>
      </c>
      <c r="HI278">
        <v>135</v>
      </c>
      <c r="HJ278">
        <v>3</v>
      </c>
      <c r="HK278">
        <v>55</v>
      </c>
      <c r="HL278">
        <v>2</v>
      </c>
      <c r="HM278">
        <v>0</v>
      </c>
      <c r="HN278">
        <v>2</v>
      </c>
      <c r="HO278">
        <v>65</v>
      </c>
      <c r="HP278">
        <v>3</v>
      </c>
      <c r="HQ278">
        <v>0</v>
      </c>
      <c r="HR278">
        <v>2</v>
      </c>
      <c r="HS278">
        <v>3994</v>
      </c>
      <c r="HT278">
        <v>120</v>
      </c>
      <c r="HU278">
        <v>180</v>
      </c>
      <c r="HW278">
        <v>0</v>
      </c>
      <c r="HX278">
        <v>445</v>
      </c>
      <c r="HY278">
        <v>0.18</v>
      </c>
      <c r="IA278">
        <v>0.15</v>
      </c>
      <c r="IB278">
        <v>0</v>
      </c>
      <c r="IC278">
        <v>180</v>
      </c>
      <c r="ID278">
        <v>110</v>
      </c>
      <c r="IE278">
        <v>0</v>
      </c>
      <c r="IF278">
        <v>0</v>
      </c>
      <c r="IH278" t="s">
        <v>549</v>
      </c>
      <c r="IO278">
        <v>1</v>
      </c>
      <c r="IP278">
        <v>17</v>
      </c>
      <c r="IQ278">
        <v>0</v>
      </c>
      <c r="IR278">
        <v>1</v>
      </c>
      <c r="IV278">
        <v>1301</v>
      </c>
      <c r="IW278">
        <v>376</v>
      </c>
      <c r="JA278">
        <v>1</v>
      </c>
      <c r="JB278">
        <v>0</v>
      </c>
      <c r="JC278">
        <v>2</v>
      </c>
      <c r="JD278">
        <v>1314</v>
      </c>
      <c r="JE278">
        <v>1312</v>
      </c>
      <c r="JF278">
        <v>0</v>
      </c>
      <c r="JG278">
        <v>1304</v>
      </c>
      <c r="JH278">
        <v>0</v>
      </c>
      <c r="JJ278">
        <v>180</v>
      </c>
      <c r="JK278">
        <v>445</v>
      </c>
      <c r="JN278">
        <v>355</v>
      </c>
      <c r="JO278">
        <v>495</v>
      </c>
      <c r="JP278">
        <v>0</v>
      </c>
      <c r="JQ278">
        <v>0</v>
      </c>
      <c r="JR278">
        <v>328</v>
      </c>
      <c r="JS278">
        <v>135</v>
      </c>
      <c r="JV278">
        <v>8</v>
      </c>
      <c r="JW278" t="s">
        <v>550</v>
      </c>
      <c r="JX278">
        <v>0</v>
      </c>
      <c r="KA278">
        <v>0</v>
      </c>
      <c r="KB278">
        <v>110</v>
      </c>
      <c r="KC278">
        <v>0</v>
      </c>
      <c r="KD278">
        <v>80</v>
      </c>
      <c r="KF278">
        <v>4</v>
      </c>
      <c r="KG278">
        <v>2</v>
      </c>
      <c r="KH278">
        <v>2</v>
      </c>
      <c r="KI278">
        <v>2</v>
      </c>
      <c r="KJ278">
        <v>0</v>
      </c>
      <c r="KK278">
        <v>1.5</v>
      </c>
      <c r="KL278">
        <v>1.5</v>
      </c>
      <c r="KM278">
        <v>0</v>
      </c>
      <c r="KN278">
        <v>0</v>
      </c>
      <c r="KO278">
        <v>0</v>
      </c>
      <c r="KR278">
        <v>50</v>
      </c>
      <c r="KS278">
        <v>60</v>
      </c>
      <c r="KT278">
        <v>0</v>
      </c>
      <c r="LK278">
        <v>480</v>
      </c>
      <c r="PG278">
        <v>1</v>
      </c>
      <c r="PI278" t="s">
        <v>3373</v>
      </c>
      <c r="PJ278" t="s">
        <v>3374</v>
      </c>
      <c r="PL278" t="s">
        <v>1033</v>
      </c>
      <c r="PP278" t="s">
        <v>3375</v>
      </c>
      <c r="PX278">
        <v>56</v>
      </c>
      <c r="PY278">
        <v>57</v>
      </c>
      <c r="PZ278" t="s">
        <v>3373</v>
      </c>
      <c r="QA278">
        <v>4</v>
      </c>
      <c r="QB278">
        <v>1304</v>
      </c>
      <c r="QC278">
        <v>69</v>
      </c>
      <c r="QD278">
        <v>69</v>
      </c>
      <c r="QE278" t="s">
        <v>1033</v>
      </c>
      <c r="QF278">
        <v>1</v>
      </c>
      <c r="QG278">
        <v>1314</v>
      </c>
      <c r="QH278">
        <v>66</v>
      </c>
      <c r="QI278">
        <v>66</v>
      </c>
      <c r="QL278">
        <v>0</v>
      </c>
      <c r="QM278">
        <v>63</v>
      </c>
      <c r="QN278">
        <v>63</v>
      </c>
      <c r="QO278" t="s">
        <v>3374</v>
      </c>
      <c r="QP278">
        <v>1</v>
      </c>
      <c r="QQ278">
        <v>1312</v>
      </c>
      <c r="QW278">
        <v>82</v>
      </c>
      <c r="QX278">
        <v>89</v>
      </c>
      <c r="QY278" t="s">
        <v>3375</v>
      </c>
      <c r="QZ278">
        <v>2</v>
      </c>
      <c r="RA278">
        <v>66</v>
      </c>
      <c r="RB278">
        <v>66</v>
      </c>
      <c r="RE278">
        <v>0</v>
      </c>
      <c r="RG278">
        <v>1</v>
      </c>
      <c r="RJ278">
        <v>2</v>
      </c>
      <c r="RL278">
        <v>2</v>
      </c>
      <c r="RO278">
        <v>503</v>
      </c>
      <c r="RQ278">
        <v>873</v>
      </c>
      <c r="RT278">
        <v>180</v>
      </c>
      <c r="RU278">
        <v>165</v>
      </c>
      <c r="RV278" t="s">
        <v>1641</v>
      </c>
      <c r="RW278" t="s">
        <v>653</v>
      </c>
      <c r="RX278">
        <v>15</v>
      </c>
      <c r="RY278">
        <v>4</v>
      </c>
      <c r="RZ278" t="s">
        <v>653</v>
      </c>
      <c r="SA278">
        <v>15</v>
      </c>
      <c r="SB278" t="s">
        <v>3376</v>
      </c>
      <c r="SC278" t="s">
        <v>3376</v>
      </c>
      <c r="SD278">
        <v>1</v>
      </c>
      <c r="SH278">
        <v>0.995</v>
      </c>
      <c r="SI278">
        <v>0.995</v>
      </c>
      <c r="SJ278">
        <v>0.995</v>
      </c>
      <c r="SK278">
        <v>15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TB278">
        <v>0</v>
      </c>
      <c r="TC278">
        <v>0</v>
      </c>
      <c r="TD278">
        <v>7.5</v>
      </c>
      <c r="TE278" t="s">
        <v>553</v>
      </c>
      <c r="TF278" t="s">
        <v>754</v>
      </c>
      <c r="TG278" t="s">
        <v>555</v>
      </c>
      <c r="TI278" t="s">
        <v>546</v>
      </c>
      <c r="TJ278" t="s">
        <v>547</v>
      </c>
      <c r="TL278" t="s">
        <v>3054</v>
      </c>
      <c r="TM278" t="s">
        <v>513</v>
      </c>
      <c r="TN278">
        <v>0</v>
      </c>
      <c r="TO278" t="s">
        <v>557</v>
      </c>
    </row>
    <row r="279" spans="1:535">
      <c r="A279" t="s">
        <v>3377</v>
      </c>
      <c r="B279" t="s">
        <v>564</v>
      </c>
      <c r="C279" t="s">
        <v>509</v>
      </c>
      <c r="D279" t="s">
        <v>3378</v>
      </c>
      <c r="I279" t="s">
        <v>628</v>
      </c>
      <c r="J279" t="s">
        <v>606</v>
      </c>
      <c r="L279" t="s">
        <v>512</v>
      </c>
      <c r="M279" t="s">
        <v>629</v>
      </c>
      <c r="N279" t="s">
        <v>513</v>
      </c>
      <c r="O279" t="s">
        <v>607</v>
      </c>
      <c r="Q279" t="s">
        <v>3379</v>
      </c>
      <c r="R279" t="s">
        <v>517</v>
      </c>
      <c r="S279" t="s">
        <v>1187</v>
      </c>
      <c r="T279" t="s">
        <v>1103</v>
      </c>
      <c r="U279" t="s">
        <v>662</v>
      </c>
      <c r="V279" t="s">
        <v>663</v>
      </c>
      <c r="W279" t="s">
        <v>2809</v>
      </c>
      <c r="X279" t="s">
        <v>3048</v>
      </c>
      <c r="Y279" t="s">
        <v>524</v>
      </c>
      <c r="Z279" t="s">
        <v>3380</v>
      </c>
      <c r="AA279" t="s">
        <v>3381</v>
      </c>
      <c r="AB279" t="s">
        <v>3382</v>
      </c>
      <c r="AC279">
        <v>2</v>
      </c>
      <c r="AD279">
        <v>57</v>
      </c>
      <c r="AE279">
        <v>213</v>
      </c>
      <c r="AF279">
        <v>1.5</v>
      </c>
      <c r="AH279">
        <v>0</v>
      </c>
      <c r="AI279" t="s">
        <v>3383</v>
      </c>
      <c r="AJ279">
        <v>225</v>
      </c>
      <c r="AK279">
        <v>1</v>
      </c>
      <c r="AL279">
        <v>1.5</v>
      </c>
      <c r="AM279" t="s">
        <v>529</v>
      </c>
      <c r="AO279">
        <v>0</v>
      </c>
      <c r="AR279">
        <v>0</v>
      </c>
      <c r="AS279">
        <v>1.5</v>
      </c>
      <c r="AU279" t="s">
        <v>3384</v>
      </c>
      <c r="AW279" t="s">
        <v>3384</v>
      </c>
      <c r="AX279">
        <v>1</v>
      </c>
      <c r="AY279">
        <v>405</v>
      </c>
      <c r="AZ279">
        <v>1.5</v>
      </c>
      <c r="BA279" t="s">
        <v>529</v>
      </c>
      <c r="BG279">
        <v>1.5</v>
      </c>
      <c r="BJ279">
        <v>0</v>
      </c>
      <c r="BN279">
        <v>1.5</v>
      </c>
      <c r="BP279" t="s">
        <v>3385</v>
      </c>
      <c r="BQ279">
        <v>89</v>
      </c>
      <c r="BR279">
        <v>2</v>
      </c>
      <c r="BS279" t="s">
        <v>3386</v>
      </c>
      <c r="BT279">
        <v>236</v>
      </c>
      <c r="BU279">
        <v>0.5</v>
      </c>
      <c r="BV279" t="s">
        <v>3386</v>
      </c>
      <c r="BW279">
        <v>472</v>
      </c>
      <c r="BX279">
        <v>1</v>
      </c>
      <c r="BY279" t="s">
        <v>643</v>
      </c>
      <c r="BZ279">
        <v>290</v>
      </c>
      <c r="CA279">
        <v>510</v>
      </c>
      <c r="CB279" t="s">
        <v>672</v>
      </c>
      <c r="CC279" t="s">
        <v>672</v>
      </c>
      <c r="CD279">
        <v>500</v>
      </c>
      <c r="CE279" t="s">
        <v>673</v>
      </c>
      <c r="CF279">
        <v>15</v>
      </c>
      <c r="CG279" t="s">
        <v>1196</v>
      </c>
      <c r="CH279" t="s">
        <v>1196</v>
      </c>
      <c r="CI279">
        <v>110</v>
      </c>
      <c r="CJ279">
        <v>1381</v>
      </c>
      <c r="CK279">
        <v>2</v>
      </c>
      <c r="CL279">
        <v>1475</v>
      </c>
      <c r="CM279">
        <v>2</v>
      </c>
      <c r="CN279" t="s">
        <v>675</v>
      </c>
      <c r="CO279" t="s">
        <v>676</v>
      </c>
      <c r="CP279" t="s">
        <v>595</v>
      </c>
      <c r="CQ279" t="s">
        <v>1496</v>
      </c>
      <c r="CR279" t="s">
        <v>541</v>
      </c>
      <c r="CS279" t="s">
        <v>542</v>
      </c>
      <c r="CT279">
        <v>450</v>
      </c>
      <c r="CU279">
        <v>5</v>
      </c>
      <c r="CV279">
        <v>1.3</v>
      </c>
      <c r="CW279">
        <v>1399</v>
      </c>
      <c r="CX279">
        <v>968</v>
      </c>
      <c r="DD279">
        <v>0</v>
      </c>
      <c r="DE279" t="s">
        <v>543</v>
      </c>
      <c r="DF279">
        <v>810</v>
      </c>
      <c r="DG279">
        <v>3</v>
      </c>
      <c r="DH279">
        <v>1.18</v>
      </c>
      <c r="DI279">
        <v>1392</v>
      </c>
      <c r="DJ279">
        <v>1700</v>
      </c>
      <c r="DW279" t="s">
        <v>544</v>
      </c>
      <c r="DX279">
        <v>9.4</v>
      </c>
      <c r="EA279">
        <v>1459.5</v>
      </c>
      <c r="EB279">
        <v>343</v>
      </c>
      <c r="EC279" t="s">
        <v>545</v>
      </c>
      <c r="ED279">
        <v>30</v>
      </c>
      <c r="EE279">
        <v>3</v>
      </c>
      <c r="EG279">
        <v>1500</v>
      </c>
      <c r="EH279">
        <v>207</v>
      </c>
      <c r="EJ279">
        <v>0</v>
      </c>
      <c r="EK279">
        <v>1</v>
      </c>
      <c r="EN279">
        <v>0</v>
      </c>
      <c r="EP279" t="s">
        <v>546</v>
      </c>
      <c r="EQ279">
        <v>130</v>
      </c>
      <c r="ER279">
        <v>3</v>
      </c>
      <c r="ES279">
        <v>6</v>
      </c>
      <c r="ET279">
        <v>1381</v>
      </c>
      <c r="EU279">
        <v>610.4</v>
      </c>
      <c r="EV279">
        <v>843</v>
      </c>
      <c r="EW279" t="s">
        <v>547</v>
      </c>
      <c r="EX279">
        <v>70</v>
      </c>
      <c r="EY279">
        <v>2</v>
      </c>
      <c r="EZ279">
        <v>4.5</v>
      </c>
      <c r="FA279">
        <v>1381</v>
      </c>
      <c r="FB279">
        <v>229.9</v>
      </c>
      <c r="FC279">
        <v>317</v>
      </c>
      <c r="FE279">
        <v>0</v>
      </c>
      <c r="FF279">
        <v>2</v>
      </c>
      <c r="FI279">
        <v>0</v>
      </c>
      <c r="FK279" t="s">
        <v>548</v>
      </c>
      <c r="FL279">
        <v>0.4</v>
      </c>
      <c r="FM279">
        <v>110</v>
      </c>
      <c r="FN279">
        <v>120</v>
      </c>
      <c r="FR279" t="s">
        <v>548</v>
      </c>
      <c r="FS279">
        <v>0.4</v>
      </c>
      <c r="FT279">
        <v>30</v>
      </c>
      <c r="FU279">
        <v>430</v>
      </c>
      <c r="HC279">
        <v>0.1</v>
      </c>
      <c r="HD279">
        <v>3</v>
      </c>
      <c r="HE279">
        <v>3</v>
      </c>
      <c r="HF279">
        <v>3</v>
      </c>
      <c r="HG279">
        <v>3</v>
      </c>
      <c r="HH279">
        <v>3</v>
      </c>
      <c r="HI279">
        <v>185</v>
      </c>
      <c r="HJ279">
        <v>3</v>
      </c>
      <c r="HK279">
        <v>55</v>
      </c>
      <c r="HL279">
        <v>2</v>
      </c>
      <c r="HM279">
        <v>0</v>
      </c>
      <c r="HN279">
        <v>2</v>
      </c>
      <c r="HO279">
        <v>115</v>
      </c>
      <c r="HP279">
        <v>3</v>
      </c>
      <c r="HQ279">
        <v>0</v>
      </c>
      <c r="HR279">
        <v>2</v>
      </c>
      <c r="HS279">
        <v>6088</v>
      </c>
      <c r="HT279">
        <v>180</v>
      </c>
      <c r="HU279">
        <v>180</v>
      </c>
      <c r="HW279">
        <v>20</v>
      </c>
      <c r="HX279">
        <v>476</v>
      </c>
      <c r="HY279">
        <v>0.18</v>
      </c>
      <c r="IA279">
        <v>0.15</v>
      </c>
      <c r="IB279">
        <v>0</v>
      </c>
      <c r="IC279">
        <v>180</v>
      </c>
      <c r="ID279">
        <v>110</v>
      </c>
      <c r="IE279">
        <v>0</v>
      </c>
      <c r="IF279">
        <v>0</v>
      </c>
      <c r="IH279" t="s">
        <v>549</v>
      </c>
      <c r="IO279">
        <v>1</v>
      </c>
      <c r="IP279">
        <v>18</v>
      </c>
      <c r="IQ279">
        <v>1</v>
      </c>
      <c r="IR279">
        <v>1</v>
      </c>
      <c r="IV279">
        <v>1381</v>
      </c>
      <c r="IW279">
        <v>472</v>
      </c>
      <c r="JA279">
        <v>1</v>
      </c>
      <c r="JB279">
        <v>0</v>
      </c>
      <c r="JC279">
        <v>2</v>
      </c>
      <c r="JD279">
        <v>1399</v>
      </c>
      <c r="JE279">
        <v>1392</v>
      </c>
      <c r="JF279">
        <v>0</v>
      </c>
      <c r="JG279">
        <v>1381</v>
      </c>
      <c r="JH279">
        <v>0</v>
      </c>
      <c r="JJ279">
        <v>180</v>
      </c>
      <c r="JK279">
        <v>476</v>
      </c>
      <c r="JN279">
        <v>450</v>
      </c>
      <c r="JO279">
        <v>810</v>
      </c>
      <c r="JP279">
        <v>0</v>
      </c>
      <c r="JQ279">
        <v>0</v>
      </c>
      <c r="JR279">
        <v>426</v>
      </c>
      <c r="JS279">
        <v>185</v>
      </c>
      <c r="JV279">
        <v>10</v>
      </c>
      <c r="JW279" t="s">
        <v>550</v>
      </c>
      <c r="JX279">
        <v>0</v>
      </c>
      <c r="KA279">
        <v>0</v>
      </c>
      <c r="KB279">
        <v>110</v>
      </c>
      <c r="KC279">
        <v>0</v>
      </c>
      <c r="KD279">
        <v>80</v>
      </c>
      <c r="KF279">
        <v>4</v>
      </c>
      <c r="KG279">
        <v>2</v>
      </c>
      <c r="KH279">
        <v>2</v>
      </c>
      <c r="KI279">
        <v>2</v>
      </c>
      <c r="KJ279">
        <v>0</v>
      </c>
      <c r="KK279">
        <v>1.5</v>
      </c>
      <c r="KL279">
        <v>1.5</v>
      </c>
      <c r="KM279">
        <v>0</v>
      </c>
      <c r="KN279">
        <v>0</v>
      </c>
      <c r="KO279">
        <v>0</v>
      </c>
      <c r="KR279">
        <v>50</v>
      </c>
      <c r="KS279">
        <v>60</v>
      </c>
      <c r="KT279">
        <v>0</v>
      </c>
      <c r="LK279">
        <v>480</v>
      </c>
      <c r="PG279">
        <v>1</v>
      </c>
      <c r="PI279" t="s">
        <v>3382</v>
      </c>
      <c r="PJ279" t="s">
        <v>3384</v>
      </c>
      <c r="PL279" t="s">
        <v>3383</v>
      </c>
      <c r="PP279" t="s">
        <v>3385</v>
      </c>
      <c r="PX279">
        <v>56</v>
      </c>
      <c r="PY279">
        <v>57</v>
      </c>
      <c r="PZ279" t="s">
        <v>3382</v>
      </c>
      <c r="QA279">
        <v>1</v>
      </c>
      <c r="QB279">
        <v>1381</v>
      </c>
      <c r="QC279">
        <v>69</v>
      </c>
      <c r="QD279">
        <v>69</v>
      </c>
      <c r="QE279" t="s">
        <v>3383</v>
      </c>
      <c r="QF279">
        <v>2</v>
      </c>
      <c r="QG279">
        <v>1399</v>
      </c>
      <c r="QH279">
        <v>66</v>
      </c>
      <c r="QI279">
        <v>66</v>
      </c>
      <c r="QL279">
        <v>0</v>
      </c>
      <c r="QM279">
        <v>62</v>
      </c>
      <c r="QN279">
        <v>62</v>
      </c>
      <c r="QO279" t="s">
        <v>3384</v>
      </c>
      <c r="QP279">
        <v>1</v>
      </c>
      <c r="QQ279">
        <v>1392</v>
      </c>
      <c r="QW279">
        <v>82</v>
      </c>
      <c r="QX279">
        <v>89</v>
      </c>
      <c r="QY279" t="s">
        <v>3385</v>
      </c>
      <c r="QZ279">
        <v>1</v>
      </c>
      <c r="RA279">
        <v>66</v>
      </c>
      <c r="RB279">
        <v>66</v>
      </c>
      <c r="RE279">
        <v>0</v>
      </c>
      <c r="RF279">
        <v>1</v>
      </c>
      <c r="RJ279">
        <v>1</v>
      </c>
      <c r="RL279">
        <v>1</v>
      </c>
      <c r="RO279">
        <v>692</v>
      </c>
      <c r="RQ279">
        <v>1221</v>
      </c>
      <c r="RT279">
        <v>343</v>
      </c>
      <c r="RU279">
        <v>207</v>
      </c>
      <c r="RV279" t="s">
        <v>3387</v>
      </c>
      <c r="RW279" t="s">
        <v>679</v>
      </c>
      <c r="RX279">
        <v>15</v>
      </c>
      <c r="RY279">
        <v>4</v>
      </c>
      <c r="RZ279" t="s">
        <v>679</v>
      </c>
      <c r="SA279">
        <v>15</v>
      </c>
      <c r="SC279" t="s">
        <v>3384</v>
      </c>
      <c r="SD279">
        <v>1</v>
      </c>
      <c r="SH279">
        <v>0.995</v>
      </c>
      <c r="SI279">
        <v>0.995</v>
      </c>
      <c r="SJ279">
        <v>0.995</v>
      </c>
      <c r="SK279">
        <v>15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TB279">
        <v>0</v>
      </c>
      <c r="TC279">
        <v>0</v>
      </c>
      <c r="TD279">
        <v>9.4</v>
      </c>
      <c r="TE279" t="s">
        <v>553</v>
      </c>
      <c r="TF279" t="s">
        <v>600</v>
      </c>
      <c r="TG279" t="s">
        <v>555</v>
      </c>
      <c r="TI279" t="s">
        <v>546</v>
      </c>
      <c r="TJ279" t="s">
        <v>547</v>
      </c>
      <c r="TL279" t="s">
        <v>3054</v>
      </c>
      <c r="TM279" t="s">
        <v>513</v>
      </c>
      <c r="TN279">
        <v>0</v>
      </c>
      <c r="TO279" t="s">
        <v>557</v>
      </c>
    </row>
    <row r="280" spans="1:535">
      <c r="A280" t="s">
        <v>3388</v>
      </c>
      <c r="B280" t="s">
        <v>559</v>
      </c>
      <c r="C280" t="s">
        <v>509</v>
      </c>
      <c r="D280" t="s">
        <v>2508</v>
      </c>
      <c r="G280" t="s">
        <v>627</v>
      </c>
      <c r="H280" t="s">
        <v>604</v>
      </c>
      <c r="I280" t="s">
        <v>628</v>
      </c>
      <c r="J280" t="s">
        <v>606</v>
      </c>
      <c r="L280" t="s">
        <v>512</v>
      </c>
      <c r="M280" t="s">
        <v>564</v>
      </c>
      <c r="N280" t="s">
        <v>513</v>
      </c>
      <c r="O280" t="s">
        <v>607</v>
      </c>
      <c r="Q280" t="s">
        <v>3389</v>
      </c>
      <c r="R280" t="s">
        <v>517</v>
      </c>
      <c r="S280" t="s">
        <v>1728</v>
      </c>
      <c r="T280" t="s">
        <v>759</v>
      </c>
      <c r="U280" t="s">
        <v>520</v>
      </c>
      <c r="V280" t="s">
        <v>521</v>
      </c>
      <c r="W280" t="s">
        <v>3390</v>
      </c>
      <c r="X280" t="s">
        <v>3048</v>
      </c>
      <c r="Y280" t="s">
        <v>524</v>
      </c>
      <c r="Z280" t="s">
        <v>3391</v>
      </c>
      <c r="AA280" t="s">
        <v>3392</v>
      </c>
      <c r="AB280" t="s">
        <v>3393</v>
      </c>
      <c r="AC280">
        <v>2</v>
      </c>
      <c r="AD280">
        <v>57</v>
      </c>
      <c r="AE280">
        <v>179</v>
      </c>
      <c r="AF280">
        <v>1.5</v>
      </c>
      <c r="AH280">
        <v>0</v>
      </c>
      <c r="AI280" t="s">
        <v>778</v>
      </c>
      <c r="AJ280">
        <v>190</v>
      </c>
      <c r="AK280">
        <v>1</v>
      </c>
      <c r="AL280">
        <v>1.5</v>
      </c>
      <c r="AM280" t="s">
        <v>529</v>
      </c>
      <c r="AO280">
        <v>0</v>
      </c>
      <c r="AR280">
        <v>0</v>
      </c>
      <c r="AS280">
        <v>1.5</v>
      </c>
      <c r="AV280" t="s">
        <v>3394</v>
      </c>
      <c r="AW280" t="s">
        <v>3394</v>
      </c>
      <c r="AX280">
        <v>1</v>
      </c>
      <c r="AY280">
        <v>267.5</v>
      </c>
      <c r="AZ280">
        <v>1.5</v>
      </c>
      <c r="BA280" t="s">
        <v>529</v>
      </c>
      <c r="BG280">
        <v>1.5</v>
      </c>
      <c r="BJ280">
        <v>0</v>
      </c>
      <c r="BN280">
        <v>1.5</v>
      </c>
      <c r="BP280" t="s">
        <v>3395</v>
      </c>
      <c r="BQ280">
        <v>89</v>
      </c>
      <c r="BR280">
        <v>2</v>
      </c>
      <c r="BS280" t="s">
        <v>2227</v>
      </c>
      <c r="BT280">
        <v>199</v>
      </c>
      <c r="BU280">
        <v>0.5</v>
      </c>
      <c r="BV280" t="s">
        <v>2227</v>
      </c>
      <c r="BW280">
        <v>398</v>
      </c>
      <c r="BX280">
        <v>1</v>
      </c>
      <c r="BY280" t="s">
        <v>533</v>
      </c>
      <c r="BZ280">
        <v>300</v>
      </c>
      <c r="CA280">
        <v>520</v>
      </c>
      <c r="CB280" t="s">
        <v>534</v>
      </c>
      <c r="CC280" t="s">
        <v>534</v>
      </c>
      <c r="CD280">
        <v>400</v>
      </c>
      <c r="CE280" t="s">
        <v>535</v>
      </c>
      <c r="CF280">
        <v>15</v>
      </c>
      <c r="CG280" t="s">
        <v>536</v>
      </c>
      <c r="CH280" t="s">
        <v>536</v>
      </c>
      <c r="CI280">
        <v>110</v>
      </c>
      <c r="CJ280">
        <v>1200</v>
      </c>
      <c r="CK280">
        <v>2</v>
      </c>
      <c r="CL280">
        <v>1301</v>
      </c>
      <c r="CM280">
        <v>2</v>
      </c>
      <c r="CN280" t="s">
        <v>537</v>
      </c>
      <c r="CO280" t="s">
        <v>538</v>
      </c>
      <c r="CP280" t="s">
        <v>539</v>
      </c>
      <c r="CQ280" t="s">
        <v>649</v>
      </c>
      <c r="CR280" t="s">
        <v>650</v>
      </c>
      <c r="CS280" t="s">
        <v>542</v>
      </c>
      <c r="CT280">
        <v>380</v>
      </c>
      <c r="CU280">
        <v>5</v>
      </c>
      <c r="CV280">
        <v>1.3</v>
      </c>
      <c r="CW280">
        <v>1213</v>
      </c>
      <c r="CX280">
        <v>707</v>
      </c>
      <c r="DD280">
        <v>0</v>
      </c>
      <c r="DE280" t="s">
        <v>948</v>
      </c>
      <c r="DF280">
        <v>535</v>
      </c>
      <c r="DG280">
        <v>3</v>
      </c>
      <c r="DH280">
        <v>1.22</v>
      </c>
      <c r="DI280">
        <v>1212</v>
      </c>
      <c r="DJ280">
        <v>1147</v>
      </c>
      <c r="DW280" t="s">
        <v>544</v>
      </c>
      <c r="DX280">
        <v>7.5</v>
      </c>
      <c r="EA280">
        <v>1282.5</v>
      </c>
      <c r="EB280">
        <v>242</v>
      </c>
      <c r="EC280" t="s">
        <v>545</v>
      </c>
      <c r="ED280">
        <v>25</v>
      </c>
      <c r="EE280">
        <v>3</v>
      </c>
      <c r="EG280">
        <v>1323</v>
      </c>
      <c r="EH280">
        <v>126</v>
      </c>
      <c r="EJ280">
        <v>0</v>
      </c>
      <c r="EK280">
        <v>1</v>
      </c>
      <c r="EN280">
        <v>0</v>
      </c>
      <c r="EP280" t="s">
        <v>546</v>
      </c>
      <c r="EQ280">
        <v>90</v>
      </c>
      <c r="ER280">
        <v>3</v>
      </c>
      <c r="ES280">
        <v>5.5</v>
      </c>
      <c r="ET280">
        <v>1198</v>
      </c>
      <c r="EU280">
        <v>408.3</v>
      </c>
      <c r="EV280">
        <v>489</v>
      </c>
      <c r="EW280" t="s">
        <v>547</v>
      </c>
      <c r="EX280">
        <v>70</v>
      </c>
      <c r="EY280">
        <v>2</v>
      </c>
      <c r="EZ280">
        <v>4.3</v>
      </c>
      <c r="FA280">
        <v>1198</v>
      </c>
      <c r="FB280">
        <v>204.3</v>
      </c>
      <c r="FC280">
        <v>245</v>
      </c>
      <c r="FE280">
        <v>0</v>
      </c>
      <c r="FF280">
        <v>2</v>
      </c>
      <c r="FI280">
        <v>0</v>
      </c>
      <c r="FK280" t="s">
        <v>548</v>
      </c>
      <c r="FL280">
        <v>0.4</v>
      </c>
      <c r="FM280">
        <v>90</v>
      </c>
      <c r="FN280">
        <v>110</v>
      </c>
      <c r="FR280" t="s">
        <v>548</v>
      </c>
      <c r="FS280">
        <v>0.4</v>
      </c>
      <c r="FT280">
        <v>85</v>
      </c>
      <c r="FU280">
        <v>140</v>
      </c>
      <c r="FY280" t="s">
        <v>651</v>
      </c>
      <c r="FZ280">
        <v>1</v>
      </c>
      <c r="GA280">
        <v>20</v>
      </c>
      <c r="GB280">
        <v>166</v>
      </c>
      <c r="GG280" t="s">
        <v>651</v>
      </c>
      <c r="GH280">
        <v>1</v>
      </c>
      <c r="GI280">
        <v>20</v>
      </c>
      <c r="GJ280">
        <v>166</v>
      </c>
      <c r="HC280">
        <v>0.1</v>
      </c>
      <c r="HD280">
        <v>3</v>
      </c>
      <c r="HE280">
        <v>3</v>
      </c>
      <c r="HF280">
        <v>3</v>
      </c>
      <c r="HG280">
        <v>3</v>
      </c>
      <c r="HH280">
        <v>3</v>
      </c>
      <c r="HI280">
        <v>145</v>
      </c>
      <c r="HJ280">
        <v>3</v>
      </c>
      <c r="HK280">
        <v>55</v>
      </c>
      <c r="HL280">
        <v>2</v>
      </c>
      <c r="HM280">
        <v>0</v>
      </c>
      <c r="HN280">
        <v>2</v>
      </c>
      <c r="HO280">
        <v>75</v>
      </c>
      <c r="HP280">
        <v>3</v>
      </c>
      <c r="HQ280">
        <v>0</v>
      </c>
      <c r="HR280">
        <v>2</v>
      </c>
      <c r="HS280">
        <v>4058</v>
      </c>
      <c r="HT280">
        <v>120</v>
      </c>
      <c r="HU280">
        <v>180</v>
      </c>
      <c r="HW280">
        <v>0</v>
      </c>
      <c r="HX280">
        <v>460</v>
      </c>
      <c r="HY280">
        <v>0.18</v>
      </c>
      <c r="IA280">
        <v>0.15</v>
      </c>
      <c r="IB280">
        <v>0</v>
      </c>
      <c r="IC280">
        <v>180</v>
      </c>
      <c r="ID280">
        <v>110</v>
      </c>
      <c r="IE280">
        <v>0</v>
      </c>
      <c r="IF280">
        <v>0</v>
      </c>
      <c r="IH280" t="s">
        <v>549</v>
      </c>
      <c r="IO280">
        <v>1</v>
      </c>
      <c r="IP280">
        <v>16</v>
      </c>
      <c r="IQ280">
        <v>0</v>
      </c>
      <c r="IR280">
        <v>1</v>
      </c>
      <c r="IV280">
        <v>1200</v>
      </c>
      <c r="IW280">
        <v>398</v>
      </c>
      <c r="JA280">
        <v>1</v>
      </c>
      <c r="JB280">
        <v>0</v>
      </c>
      <c r="JC280">
        <v>2</v>
      </c>
      <c r="JD280">
        <v>1213</v>
      </c>
      <c r="JE280">
        <v>1212</v>
      </c>
      <c r="JF280">
        <v>0</v>
      </c>
      <c r="JG280">
        <v>1198</v>
      </c>
      <c r="JH280">
        <v>0</v>
      </c>
      <c r="JJ280">
        <v>180</v>
      </c>
      <c r="JK280">
        <v>460</v>
      </c>
      <c r="JN280">
        <v>380</v>
      </c>
      <c r="JO280">
        <v>535</v>
      </c>
      <c r="JP280">
        <v>0</v>
      </c>
      <c r="JQ280">
        <v>0</v>
      </c>
      <c r="JR280">
        <v>358</v>
      </c>
      <c r="JS280">
        <v>145</v>
      </c>
      <c r="JV280">
        <v>8</v>
      </c>
      <c r="JW280" t="s">
        <v>550</v>
      </c>
      <c r="JX280">
        <v>0</v>
      </c>
      <c r="KA280">
        <v>0</v>
      </c>
      <c r="KB280">
        <v>110</v>
      </c>
      <c r="KC280">
        <v>0</v>
      </c>
      <c r="KD280">
        <v>80</v>
      </c>
      <c r="KF280">
        <v>4</v>
      </c>
      <c r="KG280">
        <v>4</v>
      </c>
      <c r="KH280">
        <v>2</v>
      </c>
      <c r="KI280">
        <v>2</v>
      </c>
      <c r="KJ280">
        <v>0</v>
      </c>
      <c r="KK280">
        <v>1.5</v>
      </c>
      <c r="KL280">
        <v>1.5</v>
      </c>
      <c r="KM280">
        <v>0</v>
      </c>
      <c r="KN280">
        <v>0</v>
      </c>
      <c r="KO280">
        <v>0</v>
      </c>
      <c r="KR280">
        <v>50</v>
      </c>
      <c r="KS280">
        <v>60</v>
      </c>
      <c r="KT280">
        <v>0</v>
      </c>
      <c r="LK280">
        <v>480</v>
      </c>
      <c r="PG280">
        <v>1</v>
      </c>
      <c r="PI280" t="s">
        <v>3393</v>
      </c>
      <c r="PJ280" t="s">
        <v>3394</v>
      </c>
      <c r="PL280" t="s">
        <v>778</v>
      </c>
      <c r="PP280" t="s">
        <v>3395</v>
      </c>
      <c r="PX280">
        <v>56</v>
      </c>
      <c r="PY280">
        <v>57</v>
      </c>
      <c r="PZ280" t="s">
        <v>3393</v>
      </c>
      <c r="QA280">
        <v>1</v>
      </c>
      <c r="QB280">
        <v>1198</v>
      </c>
      <c r="QC280">
        <v>69</v>
      </c>
      <c r="QD280">
        <v>69</v>
      </c>
      <c r="QE280" t="s">
        <v>778</v>
      </c>
      <c r="QF280">
        <v>2</v>
      </c>
      <c r="QG280">
        <v>1213</v>
      </c>
      <c r="QH280">
        <v>66</v>
      </c>
      <c r="QI280">
        <v>66</v>
      </c>
      <c r="QL280">
        <v>0</v>
      </c>
      <c r="QM280">
        <v>63</v>
      </c>
      <c r="QN280">
        <v>63</v>
      </c>
      <c r="QO280" t="s">
        <v>3394</v>
      </c>
      <c r="QP280">
        <v>1</v>
      </c>
      <c r="QQ280">
        <v>1212</v>
      </c>
      <c r="QW280">
        <v>82</v>
      </c>
      <c r="QX280">
        <v>89</v>
      </c>
      <c r="QY280" t="s">
        <v>3395</v>
      </c>
      <c r="QZ280">
        <v>2</v>
      </c>
      <c r="RA280">
        <v>66</v>
      </c>
      <c r="RB280">
        <v>66</v>
      </c>
      <c r="RE280">
        <v>0</v>
      </c>
      <c r="RG280">
        <v>1</v>
      </c>
      <c r="RJ280">
        <v>1</v>
      </c>
      <c r="RL280">
        <v>1</v>
      </c>
      <c r="RO280">
        <v>583</v>
      </c>
      <c r="RQ280">
        <v>946</v>
      </c>
      <c r="RT280">
        <v>242</v>
      </c>
      <c r="RU280">
        <v>126</v>
      </c>
      <c r="RV280" t="s">
        <v>2228</v>
      </c>
      <c r="RW280" t="s">
        <v>552</v>
      </c>
      <c r="RX280">
        <v>15</v>
      </c>
      <c r="RY280">
        <v>4</v>
      </c>
      <c r="RZ280" t="s">
        <v>552</v>
      </c>
      <c r="SA280">
        <v>15</v>
      </c>
      <c r="SB280" t="s">
        <v>3396</v>
      </c>
      <c r="SC280" t="s">
        <v>3396</v>
      </c>
      <c r="SD280">
        <v>1</v>
      </c>
      <c r="SH280">
        <v>0.995</v>
      </c>
      <c r="SI280">
        <v>0.995</v>
      </c>
      <c r="SJ280">
        <v>0.995</v>
      </c>
      <c r="SK280">
        <v>15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TB280">
        <v>0</v>
      </c>
      <c r="TC280">
        <v>0</v>
      </c>
      <c r="TD280">
        <v>7.5</v>
      </c>
      <c r="TE280" t="s">
        <v>553</v>
      </c>
      <c r="TF280" t="s">
        <v>655</v>
      </c>
      <c r="TG280" t="s">
        <v>555</v>
      </c>
      <c r="TI280" t="s">
        <v>546</v>
      </c>
      <c r="TJ280" t="s">
        <v>547</v>
      </c>
      <c r="TL280" t="s">
        <v>3054</v>
      </c>
      <c r="TM280" t="s">
        <v>513</v>
      </c>
      <c r="TN280">
        <v>0</v>
      </c>
      <c r="TO280" t="s">
        <v>557</v>
      </c>
    </row>
    <row r="281" spans="1:535">
      <c r="A281" t="s">
        <v>3397</v>
      </c>
      <c r="B281" t="s">
        <v>564</v>
      </c>
      <c r="C281" t="s">
        <v>509</v>
      </c>
      <c r="D281" t="s">
        <v>2508</v>
      </c>
      <c r="G281" t="s">
        <v>627</v>
      </c>
      <c r="H281" t="s">
        <v>604</v>
      </c>
      <c r="I281" t="s">
        <v>628</v>
      </c>
      <c r="J281" t="s">
        <v>606</v>
      </c>
      <c r="L281" t="s">
        <v>512</v>
      </c>
      <c r="M281" t="s">
        <v>629</v>
      </c>
      <c r="N281" t="s">
        <v>513</v>
      </c>
      <c r="O281" t="s">
        <v>607</v>
      </c>
      <c r="Q281" t="s">
        <v>3398</v>
      </c>
      <c r="R281" t="s">
        <v>517</v>
      </c>
      <c r="S281" t="s">
        <v>742</v>
      </c>
      <c r="T281" t="s">
        <v>743</v>
      </c>
      <c r="U281" t="s">
        <v>633</v>
      </c>
      <c r="V281" t="s">
        <v>634</v>
      </c>
      <c r="W281" t="s">
        <v>2392</v>
      </c>
      <c r="X281" t="s">
        <v>3048</v>
      </c>
      <c r="Y281" t="s">
        <v>524</v>
      </c>
      <c r="Z281" t="s">
        <v>3399</v>
      </c>
      <c r="AA281" t="s">
        <v>3400</v>
      </c>
      <c r="AB281" t="s">
        <v>3401</v>
      </c>
      <c r="AC281">
        <v>2</v>
      </c>
      <c r="AD281">
        <v>57</v>
      </c>
      <c r="AE281">
        <v>156</v>
      </c>
      <c r="AF281">
        <v>1.5</v>
      </c>
      <c r="AH281">
        <v>0</v>
      </c>
      <c r="AI281" t="s">
        <v>3402</v>
      </c>
      <c r="AJ281">
        <v>170</v>
      </c>
      <c r="AK281">
        <v>1</v>
      </c>
      <c r="AL281">
        <v>1.5</v>
      </c>
      <c r="AM281" t="s">
        <v>529</v>
      </c>
      <c r="AO281">
        <v>0</v>
      </c>
      <c r="AR281">
        <v>0</v>
      </c>
      <c r="AS281">
        <v>1.5</v>
      </c>
      <c r="AV281" t="s">
        <v>3403</v>
      </c>
      <c r="AW281" t="s">
        <v>3403</v>
      </c>
      <c r="AX281">
        <v>1</v>
      </c>
      <c r="AY281">
        <v>242.5</v>
      </c>
      <c r="AZ281">
        <v>1.5</v>
      </c>
      <c r="BA281" t="s">
        <v>529</v>
      </c>
      <c r="BG281">
        <v>1.5</v>
      </c>
      <c r="BJ281">
        <v>0</v>
      </c>
      <c r="BN281">
        <v>1.5</v>
      </c>
      <c r="BP281" t="s">
        <v>3182</v>
      </c>
      <c r="BQ281">
        <v>89</v>
      </c>
      <c r="BR281">
        <v>2</v>
      </c>
      <c r="BS281" t="s">
        <v>1929</v>
      </c>
      <c r="BT281">
        <v>180</v>
      </c>
      <c r="BU281">
        <v>0.5</v>
      </c>
      <c r="BV281" t="s">
        <v>1929</v>
      </c>
      <c r="BW281">
        <v>360</v>
      </c>
      <c r="BX281">
        <v>1</v>
      </c>
      <c r="BY281" t="s">
        <v>643</v>
      </c>
      <c r="BZ281">
        <v>300</v>
      </c>
      <c r="CA281">
        <v>440</v>
      </c>
      <c r="CB281" t="s">
        <v>644</v>
      </c>
      <c r="CC281" t="s">
        <v>644</v>
      </c>
      <c r="CD281">
        <v>396</v>
      </c>
      <c r="CE281" t="s">
        <v>544</v>
      </c>
      <c r="CF281">
        <v>15</v>
      </c>
      <c r="CG281" t="s">
        <v>1024</v>
      </c>
      <c r="CH281" t="s">
        <v>1024</v>
      </c>
      <c r="CI281">
        <v>70</v>
      </c>
      <c r="CJ281">
        <v>1301</v>
      </c>
      <c r="CK281">
        <v>2</v>
      </c>
      <c r="CL281">
        <v>1395</v>
      </c>
      <c r="CM281">
        <v>2</v>
      </c>
      <c r="CN281" t="s">
        <v>646</v>
      </c>
      <c r="CO281" t="s">
        <v>647</v>
      </c>
      <c r="CP281" t="s">
        <v>648</v>
      </c>
      <c r="CQ281" t="s">
        <v>649</v>
      </c>
      <c r="CR281" t="s">
        <v>650</v>
      </c>
      <c r="CS281" t="s">
        <v>542</v>
      </c>
      <c r="CT281">
        <v>340</v>
      </c>
      <c r="CU281">
        <v>5</v>
      </c>
      <c r="CV281">
        <v>1.3</v>
      </c>
      <c r="CW281">
        <v>1314</v>
      </c>
      <c r="CX281">
        <v>686</v>
      </c>
      <c r="DD281">
        <v>0</v>
      </c>
      <c r="DE281" t="s">
        <v>948</v>
      </c>
      <c r="DF281">
        <v>485</v>
      </c>
      <c r="DG281">
        <v>3</v>
      </c>
      <c r="DH281">
        <v>1.22</v>
      </c>
      <c r="DI281">
        <v>1312</v>
      </c>
      <c r="DJ281">
        <v>1086</v>
      </c>
      <c r="DW281" t="s">
        <v>544</v>
      </c>
      <c r="DX281">
        <v>7.5</v>
      </c>
      <c r="EA281">
        <v>1379.8</v>
      </c>
      <c r="EB281">
        <v>260</v>
      </c>
      <c r="EC281" t="s">
        <v>545</v>
      </c>
      <c r="ED281">
        <v>30</v>
      </c>
      <c r="EE281">
        <v>3</v>
      </c>
      <c r="EG281">
        <v>1421</v>
      </c>
      <c r="EH281">
        <v>166</v>
      </c>
      <c r="EJ281">
        <v>0</v>
      </c>
      <c r="EK281">
        <v>1</v>
      </c>
      <c r="EN281">
        <v>0</v>
      </c>
      <c r="EP281" t="s">
        <v>546</v>
      </c>
      <c r="EQ281">
        <v>65</v>
      </c>
      <c r="ER281">
        <v>3</v>
      </c>
      <c r="ES281">
        <v>5.5</v>
      </c>
      <c r="ET281">
        <v>1298</v>
      </c>
      <c r="EU281">
        <v>270.2</v>
      </c>
      <c r="EV281">
        <v>351</v>
      </c>
      <c r="EW281" t="s">
        <v>547</v>
      </c>
      <c r="EX281">
        <v>70</v>
      </c>
      <c r="EY281">
        <v>2</v>
      </c>
      <c r="EZ281">
        <v>3.7</v>
      </c>
      <c r="FA281">
        <v>1298</v>
      </c>
      <c r="FB281">
        <v>195.8</v>
      </c>
      <c r="FC281">
        <v>254</v>
      </c>
      <c r="FE281">
        <v>0</v>
      </c>
      <c r="FF281">
        <v>2</v>
      </c>
      <c r="FI281">
        <v>0</v>
      </c>
      <c r="FK281" t="s">
        <v>548</v>
      </c>
      <c r="FL281">
        <v>0.4</v>
      </c>
      <c r="FM281">
        <v>70</v>
      </c>
      <c r="FN281">
        <v>140</v>
      </c>
      <c r="FR281" t="s">
        <v>548</v>
      </c>
      <c r="FS281">
        <v>0.4</v>
      </c>
      <c r="FT281">
        <v>50</v>
      </c>
      <c r="FU281">
        <v>160</v>
      </c>
      <c r="FY281" t="s">
        <v>651</v>
      </c>
      <c r="FZ281">
        <v>1</v>
      </c>
      <c r="GA281">
        <v>20</v>
      </c>
      <c r="GB281">
        <v>176</v>
      </c>
      <c r="GG281" t="s">
        <v>651</v>
      </c>
      <c r="GH281">
        <v>1</v>
      </c>
      <c r="GI281">
        <v>20</v>
      </c>
      <c r="GJ281">
        <v>176</v>
      </c>
      <c r="HC281">
        <v>0.1</v>
      </c>
      <c r="HD281">
        <v>3</v>
      </c>
      <c r="HE281">
        <v>3</v>
      </c>
      <c r="HF281">
        <v>3</v>
      </c>
      <c r="HG281">
        <v>3</v>
      </c>
      <c r="HH281">
        <v>3</v>
      </c>
      <c r="HI281">
        <v>120</v>
      </c>
      <c r="HJ281">
        <v>3</v>
      </c>
      <c r="HK281">
        <v>55</v>
      </c>
      <c r="HL281">
        <v>2</v>
      </c>
      <c r="HM281">
        <v>0</v>
      </c>
      <c r="HN281">
        <v>2</v>
      </c>
      <c r="HO281">
        <v>50</v>
      </c>
      <c r="HP281">
        <v>3</v>
      </c>
      <c r="HQ281">
        <v>0</v>
      </c>
      <c r="HR281">
        <v>2</v>
      </c>
      <c r="HS281">
        <v>3834</v>
      </c>
      <c r="HT281">
        <v>120</v>
      </c>
      <c r="HU281">
        <v>180</v>
      </c>
      <c r="HW281">
        <v>0</v>
      </c>
      <c r="HX281">
        <v>360</v>
      </c>
      <c r="HY281">
        <v>0.18</v>
      </c>
      <c r="IA281">
        <v>0.15</v>
      </c>
      <c r="IB281">
        <v>0</v>
      </c>
      <c r="IC281">
        <v>180</v>
      </c>
      <c r="ID281">
        <v>110</v>
      </c>
      <c r="IE281">
        <v>0</v>
      </c>
      <c r="IF281">
        <v>0</v>
      </c>
      <c r="IH281" t="s">
        <v>549</v>
      </c>
      <c r="IO281">
        <v>1</v>
      </c>
      <c r="IP281">
        <v>17</v>
      </c>
      <c r="IQ281">
        <v>0</v>
      </c>
      <c r="IR281">
        <v>1</v>
      </c>
      <c r="IV281">
        <v>1301</v>
      </c>
      <c r="IW281">
        <v>360</v>
      </c>
      <c r="JA281">
        <v>1</v>
      </c>
      <c r="JB281">
        <v>0</v>
      </c>
      <c r="JC281">
        <v>2</v>
      </c>
      <c r="JD281">
        <v>1314</v>
      </c>
      <c r="JE281">
        <v>1312</v>
      </c>
      <c r="JF281">
        <v>0</v>
      </c>
      <c r="JG281">
        <v>1298</v>
      </c>
      <c r="JH281">
        <v>0</v>
      </c>
      <c r="JJ281">
        <v>180</v>
      </c>
      <c r="JK281">
        <v>360</v>
      </c>
      <c r="JN281">
        <v>340</v>
      </c>
      <c r="JO281">
        <v>485</v>
      </c>
      <c r="JP281">
        <v>0</v>
      </c>
      <c r="JQ281">
        <v>0</v>
      </c>
      <c r="JR281">
        <v>312</v>
      </c>
      <c r="JS281">
        <v>120</v>
      </c>
      <c r="JV281">
        <v>8</v>
      </c>
      <c r="JW281" t="s">
        <v>550</v>
      </c>
      <c r="JX281">
        <v>0</v>
      </c>
      <c r="KA281">
        <v>0</v>
      </c>
      <c r="KB281">
        <v>110</v>
      </c>
      <c r="KC281">
        <v>0</v>
      </c>
      <c r="KD281">
        <v>80</v>
      </c>
      <c r="KF281">
        <v>4</v>
      </c>
      <c r="KG281">
        <v>2</v>
      </c>
      <c r="KH281">
        <v>2</v>
      </c>
      <c r="KI281">
        <v>2</v>
      </c>
      <c r="KJ281">
        <v>0</v>
      </c>
      <c r="KK281">
        <v>1.5</v>
      </c>
      <c r="KL281">
        <v>1.5</v>
      </c>
      <c r="KM281">
        <v>0</v>
      </c>
      <c r="KN281">
        <v>0</v>
      </c>
      <c r="KO281">
        <v>0</v>
      </c>
      <c r="KR281">
        <v>25</v>
      </c>
      <c r="KS281">
        <v>60</v>
      </c>
      <c r="KT281">
        <v>0</v>
      </c>
      <c r="LK281">
        <v>480</v>
      </c>
      <c r="PG281">
        <v>1</v>
      </c>
      <c r="PI281" t="s">
        <v>3401</v>
      </c>
      <c r="PJ281" t="s">
        <v>3403</v>
      </c>
      <c r="PL281" t="s">
        <v>3402</v>
      </c>
      <c r="PP281" t="s">
        <v>3182</v>
      </c>
      <c r="PX281">
        <v>56</v>
      </c>
      <c r="PY281">
        <v>57</v>
      </c>
      <c r="PZ281" t="s">
        <v>3401</v>
      </c>
      <c r="QA281">
        <v>2</v>
      </c>
      <c r="QB281">
        <v>1298</v>
      </c>
      <c r="QC281">
        <v>69</v>
      </c>
      <c r="QD281">
        <v>69</v>
      </c>
      <c r="QE281" t="s">
        <v>3402</v>
      </c>
      <c r="QF281">
        <v>2</v>
      </c>
      <c r="QG281">
        <v>1314</v>
      </c>
      <c r="QH281">
        <v>66</v>
      </c>
      <c r="QI281">
        <v>66</v>
      </c>
      <c r="QL281">
        <v>0</v>
      </c>
      <c r="QM281">
        <v>63</v>
      </c>
      <c r="QN281">
        <v>63</v>
      </c>
      <c r="QO281" t="s">
        <v>3403</v>
      </c>
      <c r="QP281">
        <v>1</v>
      </c>
      <c r="QQ281">
        <v>1312</v>
      </c>
      <c r="QW281">
        <v>82</v>
      </c>
      <c r="QX281">
        <v>89</v>
      </c>
      <c r="QY281" t="s">
        <v>3182</v>
      </c>
      <c r="QZ281">
        <v>2</v>
      </c>
      <c r="RA281">
        <v>66</v>
      </c>
      <c r="RB281">
        <v>66</v>
      </c>
      <c r="RE281">
        <v>0</v>
      </c>
      <c r="RG281">
        <v>1</v>
      </c>
      <c r="RJ281">
        <v>1</v>
      </c>
      <c r="RL281">
        <v>1</v>
      </c>
      <c r="RO281">
        <v>522</v>
      </c>
      <c r="RQ281">
        <v>828</v>
      </c>
      <c r="RT281">
        <v>260</v>
      </c>
      <c r="RU281">
        <v>166</v>
      </c>
      <c r="RV281" t="s">
        <v>1930</v>
      </c>
      <c r="RW281" t="s">
        <v>653</v>
      </c>
      <c r="RX281">
        <v>15</v>
      </c>
      <c r="RY281">
        <v>4</v>
      </c>
      <c r="RZ281" t="s">
        <v>653</v>
      </c>
      <c r="SA281">
        <v>15</v>
      </c>
      <c r="SB281" t="s">
        <v>3404</v>
      </c>
      <c r="SC281" t="s">
        <v>3404</v>
      </c>
      <c r="SD281">
        <v>1</v>
      </c>
      <c r="SH281">
        <v>0.995</v>
      </c>
      <c r="SI281">
        <v>0.995</v>
      </c>
      <c r="SJ281">
        <v>0.995</v>
      </c>
      <c r="SK281">
        <v>15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TB281">
        <v>1</v>
      </c>
      <c r="TC281">
        <v>0</v>
      </c>
      <c r="TD281">
        <v>7.5</v>
      </c>
      <c r="TE281" t="s">
        <v>553</v>
      </c>
      <c r="TF281" t="s">
        <v>655</v>
      </c>
      <c r="TG281" t="s">
        <v>555</v>
      </c>
      <c r="TI281" t="s">
        <v>546</v>
      </c>
      <c r="TJ281" t="s">
        <v>547</v>
      </c>
      <c r="TL281" t="s">
        <v>3054</v>
      </c>
      <c r="TM281" t="s">
        <v>513</v>
      </c>
      <c r="TN281">
        <v>0</v>
      </c>
      <c r="TO281" t="s">
        <v>557</v>
      </c>
    </row>
    <row r="282" spans="1:535">
      <c r="A282" t="s">
        <v>3405</v>
      </c>
      <c r="B282" t="s">
        <v>559</v>
      </c>
      <c r="C282" t="s">
        <v>509</v>
      </c>
      <c r="D282" t="s">
        <v>3046</v>
      </c>
      <c r="G282" t="s">
        <v>604</v>
      </c>
      <c r="H282" t="s">
        <v>605</v>
      </c>
      <c r="I282" t="s">
        <v>628</v>
      </c>
      <c r="J282" t="s">
        <v>606</v>
      </c>
      <c r="L282" t="s">
        <v>512</v>
      </c>
      <c r="M282" t="s">
        <v>564</v>
      </c>
      <c r="N282" t="s">
        <v>513</v>
      </c>
      <c r="O282" t="s">
        <v>607</v>
      </c>
      <c r="Q282" t="s">
        <v>3406</v>
      </c>
      <c r="R282" t="s">
        <v>517</v>
      </c>
      <c r="S282" t="s">
        <v>758</v>
      </c>
      <c r="T282" t="s">
        <v>759</v>
      </c>
      <c r="U282" t="s">
        <v>662</v>
      </c>
      <c r="V282" t="s">
        <v>663</v>
      </c>
      <c r="W282" t="s">
        <v>2656</v>
      </c>
      <c r="X282" t="s">
        <v>3058</v>
      </c>
      <c r="Y282" t="s">
        <v>524</v>
      </c>
      <c r="Z282" t="s">
        <v>3407</v>
      </c>
      <c r="AA282" t="s">
        <v>3408</v>
      </c>
      <c r="AB282" t="s">
        <v>3409</v>
      </c>
      <c r="AC282">
        <v>2</v>
      </c>
      <c r="AD282">
        <v>57</v>
      </c>
      <c r="AE282">
        <v>177</v>
      </c>
      <c r="AF282">
        <v>1.5</v>
      </c>
      <c r="AH282">
        <v>0</v>
      </c>
      <c r="AI282" t="s">
        <v>764</v>
      </c>
      <c r="AJ282">
        <v>190</v>
      </c>
      <c r="AK282">
        <v>1</v>
      </c>
      <c r="AL282">
        <v>1.5</v>
      </c>
      <c r="AM282" t="s">
        <v>529</v>
      </c>
      <c r="AO282">
        <v>0</v>
      </c>
      <c r="AR282">
        <v>0</v>
      </c>
      <c r="AS282">
        <v>1.5</v>
      </c>
      <c r="AV282" t="s">
        <v>3410</v>
      </c>
      <c r="AW282" t="s">
        <v>3410</v>
      </c>
      <c r="AX282">
        <v>1</v>
      </c>
      <c r="AY282">
        <v>265</v>
      </c>
      <c r="AZ282">
        <v>1.5</v>
      </c>
      <c r="BA282" t="s">
        <v>529</v>
      </c>
      <c r="BG282">
        <v>1.5</v>
      </c>
      <c r="BJ282">
        <v>0</v>
      </c>
      <c r="BN282">
        <v>1.5</v>
      </c>
      <c r="BP282" t="s">
        <v>2194</v>
      </c>
      <c r="BQ282">
        <v>88</v>
      </c>
      <c r="BR282">
        <v>2</v>
      </c>
      <c r="BS282" t="s">
        <v>2149</v>
      </c>
      <c r="BT282">
        <v>200</v>
      </c>
      <c r="BU282">
        <v>0.5</v>
      </c>
      <c r="BV282" t="s">
        <v>2149</v>
      </c>
      <c r="BW282">
        <v>400</v>
      </c>
      <c r="BX282">
        <v>1</v>
      </c>
      <c r="BY282" t="s">
        <v>643</v>
      </c>
      <c r="BZ282">
        <v>290</v>
      </c>
      <c r="CA282">
        <v>490</v>
      </c>
      <c r="CB282" t="s">
        <v>672</v>
      </c>
      <c r="CC282" t="s">
        <v>672</v>
      </c>
      <c r="CD282">
        <v>418</v>
      </c>
      <c r="CE282" t="s">
        <v>673</v>
      </c>
      <c r="CF282">
        <v>15</v>
      </c>
      <c r="CG282" t="s">
        <v>674</v>
      </c>
      <c r="CH282" t="s">
        <v>674</v>
      </c>
      <c r="CI282">
        <v>100</v>
      </c>
      <c r="CJ282">
        <v>1381</v>
      </c>
      <c r="CK282">
        <v>2</v>
      </c>
      <c r="CL282">
        <v>1475</v>
      </c>
      <c r="CM282">
        <v>2</v>
      </c>
      <c r="CN282" t="s">
        <v>675</v>
      </c>
      <c r="CO282" t="s">
        <v>676</v>
      </c>
      <c r="CP282" t="s">
        <v>595</v>
      </c>
      <c r="CQ282" t="s">
        <v>649</v>
      </c>
      <c r="CR282" t="s">
        <v>650</v>
      </c>
      <c r="CS282" t="s">
        <v>542</v>
      </c>
      <c r="CT282">
        <v>380</v>
      </c>
      <c r="CU282">
        <v>5</v>
      </c>
      <c r="CV282">
        <v>1.2</v>
      </c>
      <c r="CW282">
        <v>1393</v>
      </c>
      <c r="CX282">
        <v>749</v>
      </c>
      <c r="DD282">
        <v>0</v>
      </c>
      <c r="DE282" t="s">
        <v>948</v>
      </c>
      <c r="DF282">
        <v>530</v>
      </c>
      <c r="DG282">
        <v>3</v>
      </c>
      <c r="DH282">
        <v>1.22</v>
      </c>
      <c r="DI282">
        <v>1391</v>
      </c>
      <c r="DJ282">
        <v>1337</v>
      </c>
      <c r="DW282" t="s">
        <v>544</v>
      </c>
      <c r="DX282">
        <v>7.5</v>
      </c>
      <c r="EA282">
        <v>1461.1</v>
      </c>
      <c r="EB282">
        <v>258</v>
      </c>
      <c r="EC282" t="s">
        <v>545</v>
      </c>
      <c r="ED282">
        <v>30</v>
      </c>
      <c r="EE282">
        <v>3</v>
      </c>
      <c r="EG282">
        <v>1502</v>
      </c>
      <c r="EH282">
        <v>177</v>
      </c>
      <c r="EJ282">
        <v>0</v>
      </c>
      <c r="EK282">
        <v>1</v>
      </c>
      <c r="EN282">
        <v>0</v>
      </c>
      <c r="EP282" t="s">
        <v>546</v>
      </c>
      <c r="EQ282">
        <v>90</v>
      </c>
      <c r="ER282">
        <v>3</v>
      </c>
      <c r="ES282">
        <v>5.5</v>
      </c>
      <c r="ET282">
        <v>1378</v>
      </c>
      <c r="EU282">
        <v>375.7</v>
      </c>
      <c r="EV282">
        <v>518</v>
      </c>
      <c r="EW282" t="s">
        <v>547</v>
      </c>
      <c r="EX282">
        <v>70</v>
      </c>
      <c r="EY282">
        <v>2</v>
      </c>
      <c r="EZ282">
        <v>4.3</v>
      </c>
      <c r="FA282">
        <v>1378</v>
      </c>
      <c r="FB282">
        <v>208.3</v>
      </c>
      <c r="FC282">
        <v>287</v>
      </c>
      <c r="FE282">
        <v>0</v>
      </c>
      <c r="FF282">
        <v>2</v>
      </c>
      <c r="FI282">
        <v>0</v>
      </c>
      <c r="FK282" t="s">
        <v>548</v>
      </c>
      <c r="FL282">
        <v>0.4</v>
      </c>
      <c r="FM282">
        <v>100</v>
      </c>
      <c r="FN282">
        <v>120</v>
      </c>
      <c r="FR282" t="s">
        <v>548</v>
      </c>
      <c r="FS282">
        <v>0.4</v>
      </c>
      <c r="FT282">
        <v>30</v>
      </c>
      <c r="FU282">
        <v>370</v>
      </c>
      <c r="FV282">
        <v>40</v>
      </c>
      <c r="FW282">
        <v>220</v>
      </c>
      <c r="FY282" t="s">
        <v>651</v>
      </c>
      <c r="FZ282">
        <v>1.6</v>
      </c>
      <c r="GA282">
        <v>20</v>
      </c>
      <c r="GB282">
        <v>161</v>
      </c>
      <c r="GG282" t="s">
        <v>651</v>
      </c>
      <c r="GH282">
        <v>1.6</v>
      </c>
      <c r="GI282">
        <v>20</v>
      </c>
      <c r="GJ282">
        <v>161</v>
      </c>
      <c r="HC282">
        <v>0.1</v>
      </c>
      <c r="HD282">
        <v>3</v>
      </c>
      <c r="HE282">
        <v>3</v>
      </c>
      <c r="HF282">
        <v>3</v>
      </c>
      <c r="HG282">
        <v>3</v>
      </c>
      <c r="HH282">
        <v>3</v>
      </c>
      <c r="HI282">
        <v>145</v>
      </c>
      <c r="HJ282">
        <v>3</v>
      </c>
      <c r="HK282">
        <v>55</v>
      </c>
      <c r="HL282">
        <v>2</v>
      </c>
      <c r="HM282">
        <v>0</v>
      </c>
      <c r="HN282">
        <v>2</v>
      </c>
      <c r="HO282">
        <v>75</v>
      </c>
      <c r="HP282">
        <v>3</v>
      </c>
      <c r="HQ282">
        <v>0</v>
      </c>
      <c r="HR282">
        <v>2</v>
      </c>
      <c r="HS282">
        <v>4566</v>
      </c>
      <c r="HT282">
        <v>140</v>
      </c>
      <c r="HU282">
        <v>180</v>
      </c>
      <c r="HW282">
        <v>0</v>
      </c>
      <c r="HX282">
        <v>480</v>
      </c>
      <c r="HY282">
        <v>0.18</v>
      </c>
      <c r="IA282">
        <v>0.15</v>
      </c>
      <c r="IB282">
        <v>0</v>
      </c>
      <c r="IC282">
        <v>180</v>
      </c>
      <c r="ID282">
        <v>110</v>
      </c>
      <c r="IE282">
        <v>0</v>
      </c>
      <c r="IF282">
        <v>0</v>
      </c>
      <c r="IH282" t="s">
        <v>549</v>
      </c>
      <c r="IO282">
        <v>1</v>
      </c>
      <c r="IP282">
        <v>18</v>
      </c>
      <c r="IQ282">
        <v>0</v>
      </c>
      <c r="IR282">
        <v>1</v>
      </c>
      <c r="IV282">
        <v>1381</v>
      </c>
      <c r="IW282">
        <v>400</v>
      </c>
      <c r="JA282">
        <v>1</v>
      </c>
      <c r="JB282">
        <v>0</v>
      </c>
      <c r="JC282">
        <v>2</v>
      </c>
      <c r="JD282">
        <v>1393</v>
      </c>
      <c r="JE282">
        <v>1391</v>
      </c>
      <c r="JF282">
        <v>0</v>
      </c>
      <c r="JG282">
        <v>1378</v>
      </c>
      <c r="JH282">
        <v>0</v>
      </c>
      <c r="JJ282">
        <v>180</v>
      </c>
      <c r="JK282">
        <v>480</v>
      </c>
      <c r="JN282">
        <v>380</v>
      </c>
      <c r="JO282">
        <v>530</v>
      </c>
      <c r="JP282">
        <v>0</v>
      </c>
      <c r="JQ282">
        <v>0</v>
      </c>
      <c r="JR282">
        <v>354</v>
      </c>
      <c r="JS282">
        <v>145</v>
      </c>
      <c r="JV282">
        <v>8</v>
      </c>
      <c r="JW282" t="s">
        <v>550</v>
      </c>
      <c r="JX282">
        <v>0</v>
      </c>
      <c r="KA282">
        <v>0</v>
      </c>
      <c r="KB282">
        <v>110</v>
      </c>
      <c r="KC282">
        <v>0</v>
      </c>
      <c r="KD282">
        <v>80</v>
      </c>
      <c r="KF282">
        <v>4</v>
      </c>
      <c r="KG282">
        <v>2</v>
      </c>
      <c r="KH282">
        <v>2</v>
      </c>
      <c r="KI282">
        <v>2</v>
      </c>
      <c r="KJ282">
        <v>0</v>
      </c>
      <c r="KK282">
        <v>1.5</v>
      </c>
      <c r="KL282">
        <v>1.5</v>
      </c>
      <c r="KM282">
        <v>0</v>
      </c>
      <c r="KN282">
        <v>0</v>
      </c>
      <c r="KO282">
        <v>0</v>
      </c>
      <c r="KR282">
        <v>50</v>
      </c>
      <c r="KS282">
        <v>60</v>
      </c>
      <c r="KT282">
        <v>0</v>
      </c>
      <c r="LK282">
        <v>480</v>
      </c>
      <c r="PG282">
        <v>1</v>
      </c>
      <c r="PI282" t="s">
        <v>3409</v>
      </c>
      <c r="PJ282" t="s">
        <v>3410</v>
      </c>
      <c r="PL282" t="s">
        <v>764</v>
      </c>
      <c r="PP282" t="s">
        <v>2194</v>
      </c>
      <c r="PX282">
        <v>56</v>
      </c>
      <c r="PY282">
        <v>57</v>
      </c>
      <c r="PZ282" t="s">
        <v>3409</v>
      </c>
      <c r="QA282">
        <v>3</v>
      </c>
      <c r="QB282">
        <v>1378</v>
      </c>
      <c r="QC282">
        <v>69</v>
      </c>
      <c r="QD282">
        <v>69</v>
      </c>
      <c r="QE282" t="s">
        <v>764</v>
      </c>
      <c r="QF282">
        <v>1</v>
      </c>
      <c r="QG282">
        <v>1393</v>
      </c>
      <c r="QH282">
        <v>66</v>
      </c>
      <c r="QI282">
        <v>66</v>
      </c>
      <c r="QL282">
        <v>0</v>
      </c>
      <c r="QM282">
        <v>63</v>
      </c>
      <c r="QN282">
        <v>63</v>
      </c>
      <c r="QO282" t="s">
        <v>3410</v>
      </c>
      <c r="QP282">
        <v>1</v>
      </c>
      <c r="QQ282">
        <v>1391</v>
      </c>
      <c r="QW282">
        <v>82</v>
      </c>
      <c r="QX282">
        <v>88</v>
      </c>
      <c r="QY282" t="s">
        <v>2194</v>
      </c>
      <c r="QZ282">
        <v>1</v>
      </c>
      <c r="RA282">
        <v>66</v>
      </c>
      <c r="RB282">
        <v>66</v>
      </c>
      <c r="RE282">
        <v>0</v>
      </c>
      <c r="RG282">
        <v>1</v>
      </c>
      <c r="RJ282">
        <v>1</v>
      </c>
      <c r="RL282">
        <v>2</v>
      </c>
      <c r="RO282">
        <v>538</v>
      </c>
      <c r="RQ282">
        <v>961</v>
      </c>
      <c r="RT282">
        <v>258</v>
      </c>
      <c r="RU282">
        <v>177</v>
      </c>
      <c r="RV282" t="s">
        <v>2150</v>
      </c>
      <c r="RW282" t="s">
        <v>679</v>
      </c>
      <c r="RX282">
        <v>15</v>
      </c>
      <c r="RY282">
        <v>4</v>
      </c>
      <c r="RZ282" t="s">
        <v>679</v>
      </c>
      <c r="SA282">
        <v>15</v>
      </c>
      <c r="SB282" t="s">
        <v>3411</v>
      </c>
      <c r="SC282" t="s">
        <v>3411</v>
      </c>
      <c r="SD282">
        <v>1</v>
      </c>
      <c r="SH282">
        <v>0.995</v>
      </c>
      <c r="SI282">
        <v>0.995</v>
      </c>
      <c r="SJ282">
        <v>0.995</v>
      </c>
      <c r="SK282">
        <v>15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TB282">
        <v>0</v>
      </c>
      <c r="TC282">
        <v>0</v>
      </c>
      <c r="TD282">
        <v>7.5</v>
      </c>
      <c r="TE282" t="s">
        <v>553</v>
      </c>
      <c r="TF282" t="s">
        <v>624</v>
      </c>
      <c r="TG282" t="s">
        <v>555</v>
      </c>
      <c r="TI282" t="s">
        <v>546</v>
      </c>
      <c r="TJ282" t="s">
        <v>547</v>
      </c>
      <c r="TL282" t="s">
        <v>3054</v>
      </c>
      <c r="TM282" t="s">
        <v>513</v>
      </c>
      <c r="TN282">
        <v>0</v>
      </c>
      <c r="TO282" t="s">
        <v>557</v>
      </c>
    </row>
    <row r="283" spans="1:535">
      <c r="A283" t="s">
        <v>3412</v>
      </c>
      <c r="B283" t="s">
        <v>657</v>
      </c>
      <c r="C283" t="s">
        <v>509</v>
      </c>
      <c r="D283" t="s">
        <v>951</v>
      </c>
      <c r="G283" t="s">
        <v>1294</v>
      </c>
      <c r="I283" t="s">
        <v>562</v>
      </c>
      <c r="J283" t="s">
        <v>563</v>
      </c>
      <c r="L283" t="s">
        <v>512</v>
      </c>
      <c r="M283" t="s">
        <v>559</v>
      </c>
      <c r="N283" t="s">
        <v>513</v>
      </c>
      <c r="O283" t="s">
        <v>514</v>
      </c>
      <c r="P283" t="s">
        <v>515</v>
      </c>
      <c r="Q283" t="s">
        <v>3413</v>
      </c>
      <c r="R283" t="s">
        <v>517</v>
      </c>
      <c r="S283" t="s">
        <v>1567</v>
      </c>
      <c r="T283" t="s">
        <v>1568</v>
      </c>
      <c r="U283" t="s">
        <v>520</v>
      </c>
      <c r="V283" t="s">
        <v>521</v>
      </c>
      <c r="W283" t="s">
        <v>2577</v>
      </c>
      <c r="X283" t="s">
        <v>3058</v>
      </c>
      <c r="Y283" t="s">
        <v>524</v>
      </c>
      <c r="Z283" t="s">
        <v>3414</v>
      </c>
      <c r="AA283" t="s">
        <v>3415</v>
      </c>
      <c r="AB283" t="s">
        <v>3416</v>
      </c>
      <c r="AC283">
        <v>2</v>
      </c>
      <c r="AD283">
        <v>57</v>
      </c>
      <c r="AE283">
        <v>201</v>
      </c>
      <c r="AF283">
        <v>1.5</v>
      </c>
      <c r="AH283">
        <v>0</v>
      </c>
      <c r="AI283" t="s">
        <v>3417</v>
      </c>
      <c r="AJ283">
        <v>212.5</v>
      </c>
      <c r="AK283">
        <v>1</v>
      </c>
      <c r="AL283">
        <v>1.5</v>
      </c>
      <c r="AM283" t="s">
        <v>529</v>
      </c>
      <c r="AO283">
        <v>0</v>
      </c>
      <c r="AR283">
        <v>0</v>
      </c>
      <c r="AS283">
        <v>1.5</v>
      </c>
      <c r="AU283" t="s">
        <v>3418</v>
      </c>
      <c r="AW283" t="s">
        <v>3418</v>
      </c>
      <c r="AX283">
        <v>1</v>
      </c>
      <c r="AY283">
        <v>300</v>
      </c>
      <c r="AZ283">
        <v>1.5</v>
      </c>
      <c r="BA283" t="s">
        <v>529</v>
      </c>
      <c r="BB283" t="s">
        <v>3419</v>
      </c>
      <c r="BD283" t="s">
        <v>3419</v>
      </c>
      <c r="BE283">
        <v>1</v>
      </c>
      <c r="BF283">
        <v>247.5</v>
      </c>
      <c r="BG283">
        <v>1.5</v>
      </c>
      <c r="BJ283">
        <v>0</v>
      </c>
      <c r="BN283">
        <v>1.5</v>
      </c>
      <c r="BP283" t="s">
        <v>2163</v>
      </c>
      <c r="BQ283">
        <v>89</v>
      </c>
      <c r="BR283">
        <v>2</v>
      </c>
      <c r="BS283" t="s">
        <v>619</v>
      </c>
      <c r="BT283">
        <v>223</v>
      </c>
      <c r="BU283">
        <v>0.5</v>
      </c>
      <c r="BV283" t="s">
        <v>619</v>
      </c>
      <c r="BW283">
        <v>446</v>
      </c>
      <c r="BX283">
        <v>1</v>
      </c>
      <c r="BY283" t="s">
        <v>533</v>
      </c>
      <c r="BZ283">
        <v>300</v>
      </c>
      <c r="CA283">
        <v>500</v>
      </c>
      <c r="CB283" t="s">
        <v>534</v>
      </c>
      <c r="CC283" t="s">
        <v>534</v>
      </c>
      <c r="CD283">
        <v>468</v>
      </c>
      <c r="CE283" t="s">
        <v>535</v>
      </c>
      <c r="CF283">
        <v>15</v>
      </c>
      <c r="CG283" t="s">
        <v>1840</v>
      </c>
      <c r="CH283" t="s">
        <v>1840</v>
      </c>
      <c r="CI283">
        <v>100</v>
      </c>
      <c r="CJ283">
        <v>1200</v>
      </c>
      <c r="CK283">
        <v>2</v>
      </c>
      <c r="CL283">
        <v>1301</v>
      </c>
      <c r="CM283">
        <v>2</v>
      </c>
      <c r="CN283" t="s">
        <v>537</v>
      </c>
      <c r="CO283" t="s">
        <v>538</v>
      </c>
      <c r="CP283" t="s">
        <v>539</v>
      </c>
      <c r="CQ283" t="s">
        <v>621</v>
      </c>
      <c r="CR283" t="s">
        <v>541</v>
      </c>
      <c r="CS283" t="s">
        <v>542</v>
      </c>
      <c r="CT283">
        <v>425</v>
      </c>
      <c r="CU283">
        <v>5</v>
      </c>
      <c r="CV283">
        <v>1.5</v>
      </c>
      <c r="CW283">
        <v>1214</v>
      </c>
      <c r="CX283">
        <v>918</v>
      </c>
      <c r="DD283">
        <v>0</v>
      </c>
      <c r="DE283" t="s">
        <v>622</v>
      </c>
      <c r="DF283">
        <v>600</v>
      </c>
      <c r="DG283">
        <v>3</v>
      </c>
      <c r="DH283">
        <v>0.88</v>
      </c>
      <c r="DI283">
        <v>1216</v>
      </c>
      <c r="DJ283">
        <v>1025</v>
      </c>
      <c r="DK283" t="s">
        <v>622</v>
      </c>
      <c r="DL283">
        <v>495</v>
      </c>
      <c r="DM283">
        <v>3</v>
      </c>
      <c r="DN283">
        <v>0.88</v>
      </c>
      <c r="DO283">
        <v>1221</v>
      </c>
      <c r="DP283">
        <v>703</v>
      </c>
      <c r="DW283" t="s">
        <v>544</v>
      </c>
      <c r="DX283">
        <v>7.5</v>
      </c>
      <c r="EA283">
        <v>1285.7</v>
      </c>
      <c r="EB283">
        <v>228</v>
      </c>
      <c r="EC283" t="s">
        <v>545</v>
      </c>
      <c r="ED283">
        <v>30</v>
      </c>
      <c r="EE283">
        <v>3</v>
      </c>
      <c r="EG283">
        <v>1327</v>
      </c>
      <c r="EH283">
        <v>157</v>
      </c>
      <c r="EJ283">
        <v>0</v>
      </c>
      <c r="EK283">
        <v>1</v>
      </c>
      <c r="EN283">
        <v>0</v>
      </c>
      <c r="EP283" t="s">
        <v>546</v>
      </c>
      <c r="EQ283">
        <v>135</v>
      </c>
      <c r="ER283">
        <v>3</v>
      </c>
      <c r="ES283">
        <v>10.5</v>
      </c>
      <c r="ET283">
        <v>1229</v>
      </c>
      <c r="EU283">
        <v>922</v>
      </c>
      <c r="EV283">
        <v>1133</v>
      </c>
      <c r="EW283" t="s">
        <v>547</v>
      </c>
      <c r="EX283">
        <v>70</v>
      </c>
      <c r="EY283">
        <v>2</v>
      </c>
      <c r="EZ283">
        <v>4.3</v>
      </c>
      <c r="FA283">
        <v>1229</v>
      </c>
      <c r="FB283">
        <v>208.3</v>
      </c>
      <c r="FC283">
        <v>256</v>
      </c>
      <c r="FE283">
        <v>0</v>
      </c>
      <c r="FF283">
        <v>2</v>
      </c>
      <c r="FI283">
        <v>0</v>
      </c>
      <c r="FK283" t="s">
        <v>548</v>
      </c>
      <c r="FL283">
        <v>1</v>
      </c>
      <c r="FM283">
        <v>115</v>
      </c>
      <c r="FN283">
        <v>130</v>
      </c>
      <c r="GR283" t="s">
        <v>548</v>
      </c>
      <c r="GS283">
        <v>0.4</v>
      </c>
      <c r="GT283">
        <v>100</v>
      </c>
      <c r="GU283">
        <v>270</v>
      </c>
      <c r="HC283">
        <v>0.1</v>
      </c>
      <c r="HD283">
        <v>3</v>
      </c>
      <c r="HE283">
        <v>3</v>
      </c>
      <c r="HF283">
        <v>3</v>
      </c>
      <c r="HG283">
        <v>3</v>
      </c>
      <c r="HH283">
        <v>3</v>
      </c>
      <c r="HI283">
        <v>190</v>
      </c>
      <c r="HJ283">
        <v>3</v>
      </c>
      <c r="HK283">
        <v>55</v>
      </c>
      <c r="HL283">
        <v>2</v>
      </c>
      <c r="HM283">
        <v>0</v>
      </c>
      <c r="HN283">
        <v>2</v>
      </c>
      <c r="HO283">
        <v>120</v>
      </c>
      <c r="HP283">
        <v>3</v>
      </c>
      <c r="HQ283">
        <v>0</v>
      </c>
      <c r="HR283">
        <v>2</v>
      </c>
      <c r="HS283">
        <v>6194</v>
      </c>
      <c r="HT283">
        <v>190</v>
      </c>
      <c r="HU283">
        <v>180</v>
      </c>
      <c r="HW283">
        <v>0</v>
      </c>
      <c r="HX283">
        <v>465</v>
      </c>
      <c r="HY283">
        <v>0.18</v>
      </c>
      <c r="IA283">
        <v>0.15</v>
      </c>
      <c r="IB283">
        <v>0</v>
      </c>
      <c r="IC283">
        <v>180</v>
      </c>
      <c r="ID283">
        <v>110</v>
      </c>
      <c r="IE283">
        <v>225</v>
      </c>
      <c r="IF283">
        <v>0</v>
      </c>
      <c r="IH283" t="s">
        <v>549</v>
      </c>
      <c r="IO283">
        <v>3</v>
      </c>
      <c r="IP283">
        <v>16</v>
      </c>
      <c r="IQ283">
        <v>0</v>
      </c>
      <c r="IR283">
        <v>1</v>
      </c>
      <c r="IV283">
        <v>1200</v>
      </c>
      <c r="IW283">
        <v>446</v>
      </c>
      <c r="JA283">
        <v>1</v>
      </c>
      <c r="JB283">
        <v>0</v>
      </c>
      <c r="JC283">
        <v>2</v>
      </c>
      <c r="JD283">
        <v>1214</v>
      </c>
      <c r="JE283">
        <v>1216</v>
      </c>
      <c r="JF283">
        <v>1221</v>
      </c>
      <c r="JG283">
        <v>1229</v>
      </c>
      <c r="JH283">
        <v>0</v>
      </c>
      <c r="JJ283">
        <v>180</v>
      </c>
      <c r="JK283">
        <v>465</v>
      </c>
      <c r="JN283">
        <v>425</v>
      </c>
      <c r="JO283">
        <v>600</v>
      </c>
      <c r="JP283">
        <v>495</v>
      </c>
      <c r="JQ283">
        <v>0</v>
      </c>
      <c r="JR283">
        <v>402</v>
      </c>
      <c r="JS283">
        <v>190</v>
      </c>
      <c r="JV283">
        <v>8</v>
      </c>
      <c r="JW283" t="s">
        <v>550</v>
      </c>
      <c r="JX283">
        <v>0</v>
      </c>
      <c r="KA283">
        <v>225</v>
      </c>
      <c r="KB283">
        <v>110</v>
      </c>
      <c r="KC283">
        <v>0</v>
      </c>
      <c r="KD283">
        <v>80</v>
      </c>
      <c r="KF283">
        <v>4</v>
      </c>
      <c r="KG283">
        <v>4</v>
      </c>
      <c r="KH283">
        <v>2</v>
      </c>
      <c r="KI283">
        <v>2</v>
      </c>
      <c r="KJ283">
        <v>0</v>
      </c>
      <c r="KK283">
        <v>1.5</v>
      </c>
      <c r="KL283">
        <v>1.5</v>
      </c>
      <c r="KM283">
        <v>0</v>
      </c>
      <c r="KN283">
        <v>0</v>
      </c>
      <c r="KO283">
        <v>0</v>
      </c>
      <c r="KR283">
        <v>50</v>
      </c>
      <c r="KS283">
        <v>60</v>
      </c>
      <c r="KT283">
        <v>0</v>
      </c>
      <c r="LK283">
        <v>480</v>
      </c>
      <c r="PG283">
        <v>1</v>
      </c>
      <c r="PI283" t="s">
        <v>3416</v>
      </c>
      <c r="PJ283" t="s">
        <v>3418</v>
      </c>
      <c r="PK283" t="s">
        <v>3419</v>
      </c>
      <c r="PL283" t="s">
        <v>3417</v>
      </c>
      <c r="PP283" t="s">
        <v>2163</v>
      </c>
      <c r="PX283">
        <v>56</v>
      </c>
      <c r="PY283">
        <v>57</v>
      </c>
      <c r="PZ283" t="s">
        <v>3416</v>
      </c>
      <c r="QA283">
        <v>1</v>
      </c>
      <c r="QB283">
        <v>1229</v>
      </c>
      <c r="QC283">
        <v>69</v>
      </c>
      <c r="QD283">
        <v>69</v>
      </c>
      <c r="QE283" t="s">
        <v>3417</v>
      </c>
      <c r="QF283">
        <v>1</v>
      </c>
      <c r="QG283">
        <v>1214</v>
      </c>
      <c r="QH283">
        <v>66</v>
      </c>
      <c r="QI283">
        <v>66</v>
      </c>
      <c r="QL283">
        <v>0</v>
      </c>
      <c r="QM283">
        <v>62</v>
      </c>
      <c r="QN283">
        <v>62</v>
      </c>
      <c r="QO283" t="s">
        <v>3418</v>
      </c>
      <c r="QP283">
        <v>1</v>
      </c>
      <c r="QQ283">
        <v>1216</v>
      </c>
      <c r="QR283">
        <v>62</v>
      </c>
      <c r="QS283">
        <v>62</v>
      </c>
      <c r="QT283" t="s">
        <v>3419</v>
      </c>
      <c r="QU283">
        <v>1</v>
      </c>
      <c r="QV283">
        <v>1221</v>
      </c>
      <c r="QW283">
        <v>82</v>
      </c>
      <c r="QX283">
        <v>89</v>
      </c>
      <c r="QY283" t="s">
        <v>2163</v>
      </c>
      <c r="QZ283">
        <v>1</v>
      </c>
      <c r="RA283">
        <v>66</v>
      </c>
      <c r="RB283">
        <v>66</v>
      </c>
      <c r="RE283">
        <v>0</v>
      </c>
      <c r="RF283">
        <v>1</v>
      </c>
      <c r="RH283">
        <v>1</v>
      </c>
      <c r="RJ283">
        <v>1</v>
      </c>
      <c r="RL283">
        <v>4</v>
      </c>
      <c r="RM283">
        <v>4</v>
      </c>
      <c r="RO283">
        <v>756</v>
      </c>
      <c r="RQ283">
        <v>843</v>
      </c>
      <c r="RR283">
        <v>576</v>
      </c>
      <c r="RT283">
        <v>228</v>
      </c>
      <c r="RU283">
        <v>157</v>
      </c>
      <c r="RV283" t="s">
        <v>623</v>
      </c>
      <c r="RW283" t="s">
        <v>552</v>
      </c>
      <c r="RX283">
        <v>15</v>
      </c>
      <c r="RY283">
        <v>4</v>
      </c>
      <c r="RZ283" t="s">
        <v>552</v>
      </c>
      <c r="SA283">
        <v>15</v>
      </c>
      <c r="SC283" t="s">
        <v>3418</v>
      </c>
      <c r="SD283">
        <v>1</v>
      </c>
      <c r="SF283" t="s">
        <v>3419</v>
      </c>
      <c r="SG283">
        <v>1</v>
      </c>
      <c r="SH283">
        <v>0.995</v>
      </c>
      <c r="SI283">
        <v>0.995</v>
      </c>
      <c r="SJ283">
        <v>0.995</v>
      </c>
      <c r="SK283">
        <v>15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Z283">
        <v>1</v>
      </c>
      <c r="TB283">
        <v>0</v>
      </c>
      <c r="TC283">
        <v>0</v>
      </c>
      <c r="TD283">
        <v>7.5</v>
      </c>
      <c r="TE283" t="s">
        <v>553</v>
      </c>
      <c r="TF283" t="s">
        <v>624</v>
      </c>
      <c r="TG283" t="s">
        <v>555</v>
      </c>
      <c r="TI283" t="s">
        <v>546</v>
      </c>
      <c r="TJ283" t="s">
        <v>547</v>
      </c>
      <c r="TL283" t="s">
        <v>3054</v>
      </c>
      <c r="TM283" t="s">
        <v>513</v>
      </c>
      <c r="TN283">
        <v>0</v>
      </c>
      <c r="TO283" t="s">
        <v>557</v>
      </c>
    </row>
    <row r="284" spans="1:535">
      <c r="A284" t="s">
        <v>3420</v>
      </c>
      <c r="B284" t="s">
        <v>564</v>
      </c>
      <c r="C284" t="s">
        <v>509</v>
      </c>
      <c r="D284" t="s">
        <v>2370</v>
      </c>
      <c r="G284" t="s">
        <v>627</v>
      </c>
      <c r="H284" t="s">
        <v>604</v>
      </c>
      <c r="I284" t="s">
        <v>628</v>
      </c>
      <c r="J284" t="s">
        <v>606</v>
      </c>
      <c r="L284" t="s">
        <v>512</v>
      </c>
      <c r="M284" t="s">
        <v>629</v>
      </c>
      <c r="N284" t="s">
        <v>513</v>
      </c>
      <c r="O284" t="s">
        <v>607</v>
      </c>
      <c r="Q284" t="s">
        <v>3421</v>
      </c>
      <c r="R284" t="s">
        <v>517</v>
      </c>
      <c r="S284" t="s">
        <v>819</v>
      </c>
      <c r="T284" t="s">
        <v>820</v>
      </c>
      <c r="U284" t="s">
        <v>633</v>
      </c>
      <c r="V284" t="s">
        <v>634</v>
      </c>
      <c r="W284" t="s">
        <v>2567</v>
      </c>
      <c r="X284" t="s">
        <v>3058</v>
      </c>
      <c r="Y284" t="s">
        <v>574</v>
      </c>
      <c r="Z284" t="s">
        <v>3422</v>
      </c>
      <c r="AA284" t="s">
        <v>3423</v>
      </c>
      <c r="AB284" t="s">
        <v>3424</v>
      </c>
      <c r="AC284">
        <v>2</v>
      </c>
      <c r="AD284">
        <v>57</v>
      </c>
      <c r="AE284">
        <v>185</v>
      </c>
      <c r="AF284">
        <v>1.5</v>
      </c>
      <c r="AH284">
        <v>0</v>
      </c>
      <c r="AI284" t="s">
        <v>1331</v>
      </c>
      <c r="AJ284">
        <v>197.5</v>
      </c>
      <c r="AK284">
        <v>1</v>
      </c>
      <c r="AL284">
        <v>1.5</v>
      </c>
      <c r="AM284" t="s">
        <v>529</v>
      </c>
      <c r="AO284">
        <v>0</v>
      </c>
      <c r="AR284">
        <v>0</v>
      </c>
      <c r="AS284">
        <v>1.5</v>
      </c>
      <c r="AU284" t="s">
        <v>3425</v>
      </c>
      <c r="AW284" t="s">
        <v>3425</v>
      </c>
      <c r="AX284">
        <v>1</v>
      </c>
      <c r="AY284">
        <v>280</v>
      </c>
      <c r="AZ284">
        <v>1.5</v>
      </c>
      <c r="BA284" t="s">
        <v>529</v>
      </c>
      <c r="BG284">
        <v>1.5</v>
      </c>
      <c r="BJ284">
        <v>0</v>
      </c>
      <c r="BN284">
        <v>1.5</v>
      </c>
      <c r="BP284" t="s">
        <v>1744</v>
      </c>
      <c r="BQ284">
        <v>88</v>
      </c>
      <c r="BR284">
        <v>2</v>
      </c>
      <c r="BS284" t="s">
        <v>1513</v>
      </c>
      <c r="BT284">
        <v>210</v>
      </c>
      <c r="BU284">
        <v>0.5</v>
      </c>
      <c r="BV284" t="s">
        <v>1513</v>
      </c>
      <c r="BW284">
        <v>420</v>
      </c>
      <c r="BX284">
        <v>1</v>
      </c>
      <c r="BY284" t="s">
        <v>643</v>
      </c>
      <c r="BZ284">
        <v>470</v>
      </c>
      <c r="CA284">
        <v>570</v>
      </c>
      <c r="CB284" t="s">
        <v>644</v>
      </c>
      <c r="CC284" t="s">
        <v>644</v>
      </c>
      <c r="CD284">
        <v>454</v>
      </c>
      <c r="CE284" t="s">
        <v>544</v>
      </c>
      <c r="CF284">
        <v>15</v>
      </c>
      <c r="CG284" t="s">
        <v>2451</v>
      </c>
      <c r="CH284" t="s">
        <v>2451</v>
      </c>
      <c r="CI284">
        <v>50</v>
      </c>
      <c r="CJ284">
        <v>1301</v>
      </c>
      <c r="CK284">
        <v>2</v>
      </c>
      <c r="CL284">
        <v>1395</v>
      </c>
      <c r="CM284">
        <v>2</v>
      </c>
      <c r="CN284" t="s">
        <v>646</v>
      </c>
      <c r="CO284" t="s">
        <v>647</v>
      </c>
      <c r="CP284" t="s">
        <v>648</v>
      </c>
      <c r="CQ284" t="s">
        <v>540</v>
      </c>
      <c r="CR284" t="s">
        <v>541</v>
      </c>
      <c r="CS284" t="s">
        <v>542</v>
      </c>
      <c r="CT284">
        <v>395</v>
      </c>
      <c r="CU284">
        <v>5</v>
      </c>
      <c r="CV284">
        <v>1.2</v>
      </c>
      <c r="CW284">
        <v>1314</v>
      </c>
      <c r="CX284">
        <v>735</v>
      </c>
      <c r="DD284">
        <v>0</v>
      </c>
      <c r="DE284" t="s">
        <v>543</v>
      </c>
      <c r="DF284">
        <v>560</v>
      </c>
      <c r="DG284">
        <v>3</v>
      </c>
      <c r="DH284">
        <v>1.18</v>
      </c>
      <c r="DI284">
        <v>1312</v>
      </c>
      <c r="DJ284">
        <v>1193</v>
      </c>
      <c r="DW284" t="s">
        <v>544</v>
      </c>
      <c r="DX284">
        <v>7.5</v>
      </c>
      <c r="EA284">
        <v>1379.8</v>
      </c>
      <c r="EB284">
        <v>244</v>
      </c>
      <c r="EC284" t="s">
        <v>545</v>
      </c>
      <c r="ED284">
        <v>30</v>
      </c>
      <c r="EE284">
        <v>3</v>
      </c>
      <c r="EG284">
        <v>1421</v>
      </c>
      <c r="EH284">
        <v>168</v>
      </c>
      <c r="EJ284">
        <v>0</v>
      </c>
      <c r="EK284">
        <v>1</v>
      </c>
      <c r="EN284">
        <v>0</v>
      </c>
      <c r="EP284" t="s">
        <v>546</v>
      </c>
      <c r="EQ284">
        <v>120</v>
      </c>
      <c r="ER284">
        <v>3</v>
      </c>
      <c r="ES284">
        <v>5.5</v>
      </c>
      <c r="ET284">
        <v>1298</v>
      </c>
      <c r="EU284">
        <v>489.9</v>
      </c>
      <c r="EV284">
        <v>636</v>
      </c>
      <c r="EW284" t="s">
        <v>547</v>
      </c>
      <c r="EX284">
        <v>70</v>
      </c>
      <c r="EY284">
        <v>2</v>
      </c>
      <c r="EZ284">
        <v>4.5</v>
      </c>
      <c r="FA284">
        <v>1298</v>
      </c>
      <c r="FB284">
        <v>211.7</v>
      </c>
      <c r="FC284">
        <v>275</v>
      </c>
      <c r="FE284">
        <v>0</v>
      </c>
      <c r="FF284">
        <v>2</v>
      </c>
      <c r="FI284">
        <v>0</v>
      </c>
      <c r="FK284" t="s">
        <v>548</v>
      </c>
      <c r="FL284">
        <v>0.4</v>
      </c>
      <c r="FM284">
        <v>110</v>
      </c>
      <c r="FN284">
        <v>120</v>
      </c>
      <c r="FR284" t="s">
        <v>548</v>
      </c>
      <c r="FS284">
        <v>0.4</v>
      </c>
      <c r="FT284">
        <v>30</v>
      </c>
      <c r="FU284">
        <v>380</v>
      </c>
      <c r="FV284">
        <v>30</v>
      </c>
      <c r="FW284">
        <v>260</v>
      </c>
      <c r="HC284">
        <v>0.1</v>
      </c>
      <c r="HD284">
        <v>3</v>
      </c>
      <c r="HE284">
        <v>3</v>
      </c>
      <c r="HF284">
        <v>3</v>
      </c>
      <c r="HG284">
        <v>3</v>
      </c>
      <c r="HH284">
        <v>3</v>
      </c>
      <c r="HI284">
        <v>175</v>
      </c>
      <c r="HJ284">
        <v>3</v>
      </c>
      <c r="HK284">
        <v>55</v>
      </c>
      <c r="HL284">
        <v>2</v>
      </c>
      <c r="HM284">
        <v>0</v>
      </c>
      <c r="HN284">
        <v>2</v>
      </c>
      <c r="HO284">
        <v>105</v>
      </c>
      <c r="HP284">
        <v>3</v>
      </c>
      <c r="HQ284">
        <v>0</v>
      </c>
      <c r="HR284">
        <v>2</v>
      </c>
      <c r="HS284">
        <v>4574</v>
      </c>
      <c r="HT284">
        <v>140</v>
      </c>
      <c r="HU284">
        <v>180</v>
      </c>
      <c r="HW284">
        <v>0</v>
      </c>
      <c r="HX284">
        <v>540</v>
      </c>
      <c r="HY284">
        <v>0.18</v>
      </c>
      <c r="IA284">
        <v>0.15</v>
      </c>
      <c r="IB284">
        <v>0</v>
      </c>
      <c r="IC284">
        <v>180</v>
      </c>
      <c r="ID284">
        <v>110</v>
      </c>
      <c r="IE284">
        <v>0</v>
      </c>
      <c r="IF284">
        <v>0</v>
      </c>
      <c r="IH284" t="s">
        <v>549</v>
      </c>
      <c r="IO284">
        <v>1</v>
      </c>
      <c r="IP284">
        <v>17</v>
      </c>
      <c r="IQ284">
        <v>0</v>
      </c>
      <c r="IR284">
        <v>1</v>
      </c>
      <c r="IV284">
        <v>1301</v>
      </c>
      <c r="IW284">
        <v>420</v>
      </c>
      <c r="JA284">
        <v>1</v>
      </c>
      <c r="JB284">
        <v>0</v>
      </c>
      <c r="JC284">
        <v>2</v>
      </c>
      <c r="JD284">
        <v>1314</v>
      </c>
      <c r="JE284">
        <v>1312</v>
      </c>
      <c r="JF284">
        <v>0</v>
      </c>
      <c r="JG284">
        <v>1298</v>
      </c>
      <c r="JH284">
        <v>0</v>
      </c>
      <c r="JJ284">
        <v>180</v>
      </c>
      <c r="JK284">
        <v>540</v>
      </c>
      <c r="JN284">
        <v>395</v>
      </c>
      <c r="JO284">
        <v>560</v>
      </c>
      <c r="JP284">
        <v>0</v>
      </c>
      <c r="JQ284">
        <v>0</v>
      </c>
      <c r="JR284">
        <v>370</v>
      </c>
      <c r="JS284">
        <v>175</v>
      </c>
      <c r="JV284">
        <v>8</v>
      </c>
      <c r="JW284" t="s">
        <v>550</v>
      </c>
      <c r="JX284">
        <v>0</v>
      </c>
      <c r="KA284">
        <v>0</v>
      </c>
      <c r="KB284">
        <v>110</v>
      </c>
      <c r="KC284">
        <v>0</v>
      </c>
      <c r="KD284">
        <v>80</v>
      </c>
      <c r="KF284">
        <v>4</v>
      </c>
      <c r="KG284">
        <v>2</v>
      </c>
      <c r="KH284">
        <v>2</v>
      </c>
      <c r="KI284">
        <v>2</v>
      </c>
      <c r="KJ284">
        <v>0</v>
      </c>
      <c r="KK284">
        <v>1.5</v>
      </c>
      <c r="KL284">
        <v>1.5</v>
      </c>
      <c r="KM284">
        <v>0</v>
      </c>
      <c r="KN284">
        <v>0</v>
      </c>
      <c r="KO284">
        <v>0</v>
      </c>
      <c r="KR284">
        <v>50</v>
      </c>
      <c r="KS284">
        <v>60</v>
      </c>
      <c r="KT284">
        <v>0</v>
      </c>
      <c r="LK284">
        <v>480</v>
      </c>
      <c r="PG284">
        <v>1</v>
      </c>
      <c r="PI284" t="s">
        <v>3424</v>
      </c>
      <c r="PJ284" t="s">
        <v>3425</v>
      </c>
      <c r="PL284" t="s">
        <v>1331</v>
      </c>
      <c r="PP284" t="s">
        <v>1744</v>
      </c>
      <c r="PX284">
        <v>56</v>
      </c>
      <c r="PY284">
        <v>57</v>
      </c>
      <c r="PZ284" t="s">
        <v>3424</v>
      </c>
      <c r="QA284">
        <v>3</v>
      </c>
      <c r="QB284">
        <v>1298</v>
      </c>
      <c r="QC284">
        <v>69</v>
      </c>
      <c r="QD284">
        <v>69</v>
      </c>
      <c r="QE284" t="s">
        <v>1331</v>
      </c>
      <c r="QF284">
        <v>1</v>
      </c>
      <c r="QG284">
        <v>1314</v>
      </c>
      <c r="QH284">
        <v>66</v>
      </c>
      <c r="QI284">
        <v>66</v>
      </c>
      <c r="QL284">
        <v>0</v>
      </c>
      <c r="QM284">
        <v>62</v>
      </c>
      <c r="QN284">
        <v>62</v>
      </c>
      <c r="QO284" t="s">
        <v>3425</v>
      </c>
      <c r="QP284">
        <v>1</v>
      </c>
      <c r="QQ284">
        <v>1312</v>
      </c>
      <c r="QW284">
        <v>82</v>
      </c>
      <c r="QX284">
        <v>88</v>
      </c>
      <c r="QY284" t="s">
        <v>1744</v>
      </c>
      <c r="QZ284">
        <v>1</v>
      </c>
      <c r="RA284">
        <v>66</v>
      </c>
      <c r="RB284">
        <v>66</v>
      </c>
      <c r="RE284">
        <v>0</v>
      </c>
      <c r="RF284">
        <v>1</v>
      </c>
      <c r="RJ284">
        <v>1</v>
      </c>
      <c r="RL284">
        <v>2</v>
      </c>
      <c r="RO284">
        <v>559</v>
      </c>
      <c r="RQ284">
        <v>909</v>
      </c>
      <c r="RT284">
        <v>244</v>
      </c>
      <c r="RU284">
        <v>168</v>
      </c>
      <c r="RV284" t="s">
        <v>1514</v>
      </c>
      <c r="RW284" t="s">
        <v>653</v>
      </c>
      <c r="RX284">
        <v>15</v>
      </c>
      <c r="RY284">
        <v>4</v>
      </c>
      <c r="RZ284" t="s">
        <v>653</v>
      </c>
      <c r="SA284">
        <v>15</v>
      </c>
      <c r="SC284" t="s">
        <v>3425</v>
      </c>
      <c r="SD284">
        <v>1</v>
      </c>
      <c r="SH284">
        <v>0.995</v>
      </c>
      <c r="SI284">
        <v>0.995</v>
      </c>
      <c r="SJ284">
        <v>0.995</v>
      </c>
      <c r="SK284">
        <v>15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TB284">
        <v>0</v>
      </c>
      <c r="TC284">
        <v>0</v>
      </c>
      <c r="TD284">
        <v>7.5</v>
      </c>
      <c r="TE284" t="s">
        <v>553</v>
      </c>
      <c r="TF284" t="s">
        <v>624</v>
      </c>
      <c r="TG284" t="s">
        <v>555</v>
      </c>
      <c r="TI284" t="s">
        <v>546</v>
      </c>
      <c r="TJ284" t="s">
        <v>547</v>
      </c>
      <c r="TL284" t="s">
        <v>3054</v>
      </c>
      <c r="TM284" t="s">
        <v>513</v>
      </c>
      <c r="TN284">
        <v>0</v>
      </c>
      <c r="TO284" t="s">
        <v>557</v>
      </c>
    </row>
    <row r="285" spans="1:535">
      <c r="A285" t="s">
        <v>3426</v>
      </c>
      <c r="B285" t="s">
        <v>727</v>
      </c>
      <c r="C285" t="s">
        <v>509</v>
      </c>
      <c r="D285" t="s">
        <v>3427</v>
      </c>
      <c r="G285" t="s">
        <v>605</v>
      </c>
      <c r="H285" t="s">
        <v>604</v>
      </c>
      <c r="I285" t="s">
        <v>628</v>
      </c>
      <c r="J285" t="s">
        <v>606</v>
      </c>
      <c r="L285" t="s">
        <v>512</v>
      </c>
      <c r="M285" t="s">
        <v>729</v>
      </c>
      <c r="N285" t="s">
        <v>513</v>
      </c>
      <c r="O285" t="s">
        <v>607</v>
      </c>
      <c r="Q285" t="s">
        <v>3428</v>
      </c>
      <c r="R285" t="s">
        <v>517</v>
      </c>
      <c r="S285" t="s">
        <v>899</v>
      </c>
      <c r="T285" t="s">
        <v>743</v>
      </c>
      <c r="U285" t="s">
        <v>662</v>
      </c>
      <c r="V285" t="s">
        <v>663</v>
      </c>
      <c r="W285" t="s">
        <v>2586</v>
      </c>
      <c r="X285" t="s">
        <v>3048</v>
      </c>
      <c r="Y285" t="s">
        <v>524</v>
      </c>
      <c r="Z285" t="s">
        <v>3429</v>
      </c>
      <c r="AA285" t="s">
        <v>3430</v>
      </c>
      <c r="AB285" t="s">
        <v>3431</v>
      </c>
      <c r="AC285">
        <v>2</v>
      </c>
      <c r="AD285">
        <v>57</v>
      </c>
      <c r="AE285">
        <v>157</v>
      </c>
      <c r="AF285">
        <v>1.5</v>
      </c>
      <c r="AH285">
        <v>0</v>
      </c>
      <c r="AI285" t="s">
        <v>1559</v>
      </c>
      <c r="AJ285">
        <v>167.5</v>
      </c>
      <c r="AK285">
        <v>1</v>
      </c>
      <c r="AL285">
        <v>1.5</v>
      </c>
      <c r="AM285" t="s">
        <v>529</v>
      </c>
      <c r="AO285">
        <v>0</v>
      </c>
      <c r="AR285">
        <v>0</v>
      </c>
      <c r="AS285">
        <v>1.5</v>
      </c>
      <c r="AV285" t="s">
        <v>3432</v>
      </c>
      <c r="AW285" t="s">
        <v>3432</v>
      </c>
      <c r="AX285">
        <v>1</v>
      </c>
      <c r="AY285">
        <v>232.5</v>
      </c>
      <c r="AZ285">
        <v>1.5</v>
      </c>
      <c r="BA285" t="s">
        <v>529</v>
      </c>
      <c r="BG285">
        <v>1.5</v>
      </c>
      <c r="BJ285">
        <v>0</v>
      </c>
      <c r="BN285">
        <v>1.5</v>
      </c>
      <c r="BP285" t="s">
        <v>1144</v>
      </c>
      <c r="BQ285">
        <v>82</v>
      </c>
      <c r="BR285">
        <v>2</v>
      </c>
      <c r="BS285" t="s">
        <v>1145</v>
      </c>
      <c r="BT285">
        <v>180</v>
      </c>
      <c r="BU285">
        <v>0.5</v>
      </c>
      <c r="BV285" t="s">
        <v>1145</v>
      </c>
      <c r="BW285">
        <v>360</v>
      </c>
      <c r="BX285">
        <v>1</v>
      </c>
      <c r="BY285" t="s">
        <v>643</v>
      </c>
      <c r="BZ285">
        <v>290</v>
      </c>
      <c r="CA285">
        <v>430</v>
      </c>
      <c r="CB285" t="s">
        <v>672</v>
      </c>
      <c r="CC285" t="s">
        <v>672</v>
      </c>
      <c r="CD285">
        <v>396</v>
      </c>
      <c r="CE285" t="s">
        <v>673</v>
      </c>
      <c r="CF285">
        <v>15</v>
      </c>
      <c r="CG285" t="s">
        <v>907</v>
      </c>
      <c r="CH285" t="s">
        <v>907</v>
      </c>
      <c r="CI285">
        <v>70</v>
      </c>
      <c r="CJ285">
        <v>1381</v>
      </c>
      <c r="CK285">
        <v>2</v>
      </c>
      <c r="CL285">
        <v>1475</v>
      </c>
      <c r="CM285">
        <v>2</v>
      </c>
      <c r="CN285" t="s">
        <v>675</v>
      </c>
      <c r="CO285" t="s">
        <v>676</v>
      </c>
      <c r="CP285" t="s">
        <v>595</v>
      </c>
      <c r="CQ285" t="s">
        <v>649</v>
      </c>
      <c r="CR285" t="s">
        <v>650</v>
      </c>
      <c r="CS285" t="s">
        <v>542</v>
      </c>
      <c r="CT285">
        <v>335</v>
      </c>
      <c r="CU285">
        <v>5</v>
      </c>
      <c r="CV285">
        <v>1.2</v>
      </c>
      <c r="CW285">
        <v>1393</v>
      </c>
      <c r="CX285">
        <v>660</v>
      </c>
      <c r="DD285">
        <v>0</v>
      </c>
      <c r="DE285" t="s">
        <v>948</v>
      </c>
      <c r="DF285">
        <v>465</v>
      </c>
      <c r="DG285">
        <v>3</v>
      </c>
      <c r="DH285">
        <v>1.22</v>
      </c>
      <c r="DI285">
        <v>1391</v>
      </c>
      <c r="DJ285">
        <v>1210</v>
      </c>
      <c r="DW285" t="s">
        <v>544</v>
      </c>
      <c r="DX285">
        <v>7.5</v>
      </c>
      <c r="EA285">
        <v>1461.1</v>
      </c>
      <c r="EB285">
        <v>275</v>
      </c>
      <c r="EC285" t="s">
        <v>545</v>
      </c>
      <c r="ED285">
        <v>25</v>
      </c>
      <c r="EE285">
        <v>3</v>
      </c>
      <c r="EG285">
        <v>1502</v>
      </c>
      <c r="EH285">
        <v>164</v>
      </c>
      <c r="EJ285">
        <v>0</v>
      </c>
      <c r="EK285">
        <v>1</v>
      </c>
      <c r="EN285">
        <v>0</v>
      </c>
      <c r="EP285" t="s">
        <v>546</v>
      </c>
      <c r="EQ285">
        <v>60</v>
      </c>
      <c r="ER285">
        <v>3</v>
      </c>
      <c r="ES285">
        <v>4</v>
      </c>
      <c r="ET285">
        <v>1368</v>
      </c>
      <c r="EU285">
        <v>203.8</v>
      </c>
      <c r="EV285">
        <v>279</v>
      </c>
      <c r="EW285" t="s">
        <v>547</v>
      </c>
      <c r="EX285">
        <v>70</v>
      </c>
      <c r="EY285">
        <v>2</v>
      </c>
      <c r="EZ285">
        <v>3.7</v>
      </c>
      <c r="FA285">
        <v>1368</v>
      </c>
      <c r="FB285">
        <v>195.3</v>
      </c>
      <c r="FC285">
        <v>267</v>
      </c>
      <c r="FE285">
        <v>0</v>
      </c>
      <c r="FF285">
        <v>2</v>
      </c>
      <c r="FI285">
        <v>0</v>
      </c>
      <c r="FK285" t="s">
        <v>548</v>
      </c>
      <c r="FL285">
        <v>0.4</v>
      </c>
      <c r="FM285">
        <v>80</v>
      </c>
      <c r="FN285">
        <v>130</v>
      </c>
      <c r="FR285" t="s">
        <v>548</v>
      </c>
      <c r="FS285">
        <v>0.4</v>
      </c>
      <c r="FT285">
        <v>120</v>
      </c>
      <c r="FU285">
        <v>150</v>
      </c>
      <c r="FY285" t="s">
        <v>651</v>
      </c>
      <c r="FZ285">
        <v>1</v>
      </c>
      <c r="GA285">
        <v>20</v>
      </c>
      <c r="GB285">
        <v>171</v>
      </c>
      <c r="GG285" t="s">
        <v>651</v>
      </c>
      <c r="GH285">
        <v>1</v>
      </c>
      <c r="GI285">
        <v>20</v>
      </c>
      <c r="GJ285">
        <v>171</v>
      </c>
      <c r="HC285">
        <v>0.1</v>
      </c>
      <c r="HD285">
        <v>3</v>
      </c>
      <c r="HE285">
        <v>3</v>
      </c>
      <c r="HF285">
        <v>3</v>
      </c>
      <c r="HG285">
        <v>3</v>
      </c>
      <c r="HH285">
        <v>3</v>
      </c>
      <c r="HI285">
        <v>115</v>
      </c>
      <c r="HJ285">
        <v>3</v>
      </c>
      <c r="HK285">
        <v>55</v>
      </c>
      <c r="HL285">
        <v>2</v>
      </c>
      <c r="HM285">
        <v>0</v>
      </c>
      <c r="HN285">
        <v>2</v>
      </c>
      <c r="HO285">
        <v>45</v>
      </c>
      <c r="HP285">
        <v>3</v>
      </c>
      <c r="HQ285">
        <v>0</v>
      </c>
      <c r="HR285">
        <v>2</v>
      </c>
      <c r="HS285">
        <v>3840</v>
      </c>
      <c r="HT285">
        <v>120</v>
      </c>
      <c r="HU285">
        <v>180</v>
      </c>
      <c r="HW285">
        <v>0</v>
      </c>
      <c r="HX285">
        <v>385</v>
      </c>
      <c r="HY285">
        <v>0.18</v>
      </c>
      <c r="IA285">
        <v>0.15</v>
      </c>
      <c r="IB285">
        <v>0</v>
      </c>
      <c r="IC285">
        <v>180</v>
      </c>
      <c r="ID285">
        <v>110</v>
      </c>
      <c r="IE285">
        <v>0</v>
      </c>
      <c r="IF285">
        <v>0</v>
      </c>
      <c r="IH285" t="s">
        <v>549</v>
      </c>
      <c r="IO285">
        <v>1</v>
      </c>
      <c r="IP285">
        <v>18</v>
      </c>
      <c r="IQ285">
        <v>0</v>
      </c>
      <c r="IR285">
        <v>1</v>
      </c>
      <c r="IV285">
        <v>1381</v>
      </c>
      <c r="IW285">
        <v>360</v>
      </c>
      <c r="JA285">
        <v>1</v>
      </c>
      <c r="JB285">
        <v>0</v>
      </c>
      <c r="JC285">
        <v>2</v>
      </c>
      <c r="JD285">
        <v>1393</v>
      </c>
      <c r="JE285">
        <v>1391</v>
      </c>
      <c r="JF285">
        <v>0</v>
      </c>
      <c r="JG285">
        <v>1368</v>
      </c>
      <c r="JH285">
        <v>0</v>
      </c>
      <c r="JJ285">
        <v>180</v>
      </c>
      <c r="JK285">
        <v>385</v>
      </c>
      <c r="JN285">
        <v>335</v>
      </c>
      <c r="JO285">
        <v>465</v>
      </c>
      <c r="JP285">
        <v>0</v>
      </c>
      <c r="JQ285">
        <v>0</v>
      </c>
      <c r="JR285">
        <v>314</v>
      </c>
      <c r="JS285">
        <v>115</v>
      </c>
      <c r="JV285">
        <v>8</v>
      </c>
      <c r="JW285" t="s">
        <v>550</v>
      </c>
      <c r="JX285">
        <v>0</v>
      </c>
      <c r="KA285">
        <v>0</v>
      </c>
      <c r="KB285">
        <v>110</v>
      </c>
      <c r="KC285">
        <v>0</v>
      </c>
      <c r="KD285">
        <v>80</v>
      </c>
      <c r="KF285">
        <v>4</v>
      </c>
      <c r="KG285">
        <v>4</v>
      </c>
      <c r="KH285">
        <v>2</v>
      </c>
      <c r="KI285">
        <v>2</v>
      </c>
      <c r="KJ285">
        <v>0</v>
      </c>
      <c r="KK285">
        <v>1.5</v>
      </c>
      <c r="KL285">
        <v>1.5</v>
      </c>
      <c r="KM285">
        <v>0</v>
      </c>
      <c r="KN285">
        <v>0</v>
      </c>
      <c r="KO285">
        <v>0</v>
      </c>
      <c r="KR285">
        <v>30</v>
      </c>
      <c r="KS285">
        <v>60</v>
      </c>
      <c r="KT285">
        <v>0</v>
      </c>
      <c r="LK285">
        <v>480</v>
      </c>
      <c r="PG285">
        <v>1</v>
      </c>
      <c r="PI285" t="s">
        <v>3431</v>
      </c>
      <c r="PJ285" t="s">
        <v>3432</v>
      </c>
      <c r="PL285" t="s">
        <v>1559</v>
      </c>
      <c r="PP285" t="s">
        <v>1144</v>
      </c>
      <c r="PX285">
        <v>56</v>
      </c>
      <c r="PY285">
        <v>57</v>
      </c>
      <c r="PZ285" t="s">
        <v>3431</v>
      </c>
      <c r="QA285">
        <v>2</v>
      </c>
      <c r="QB285">
        <v>1368</v>
      </c>
      <c r="QC285">
        <v>69</v>
      </c>
      <c r="QD285">
        <v>69</v>
      </c>
      <c r="QE285" t="s">
        <v>1559</v>
      </c>
      <c r="QF285">
        <v>1</v>
      </c>
      <c r="QG285">
        <v>1393</v>
      </c>
      <c r="QH285">
        <v>66</v>
      </c>
      <c r="QI285">
        <v>66</v>
      </c>
      <c r="QL285">
        <v>0</v>
      </c>
      <c r="QM285">
        <v>63</v>
      </c>
      <c r="QN285">
        <v>63</v>
      </c>
      <c r="QO285" t="s">
        <v>3432</v>
      </c>
      <c r="QP285">
        <v>1</v>
      </c>
      <c r="QQ285">
        <v>1391</v>
      </c>
      <c r="QW285">
        <v>82</v>
      </c>
      <c r="QX285">
        <v>82</v>
      </c>
      <c r="QY285" t="s">
        <v>1144</v>
      </c>
      <c r="QZ285">
        <v>2</v>
      </c>
      <c r="RA285">
        <v>66</v>
      </c>
      <c r="RB285">
        <v>66</v>
      </c>
      <c r="RE285">
        <v>0</v>
      </c>
      <c r="RG285">
        <v>1</v>
      </c>
      <c r="RJ285">
        <v>1</v>
      </c>
      <c r="RL285">
        <v>1</v>
      </c>
      <c r="RO285">
        <v>474</v>
      </c>
      <c r="RQ285">
        <v>870</v>
      </c>
      <c r="RT285">
        <v>275</v>
      </c>
      <c r="RU285">
        <v>164</v>
      </c>
      <c r="RV285" t="s">
        <v>1147</v>
      </c>
      <c r="RW285" t="s">
        <v>679</v>
      </c>
      <c r="RX285">
        <v>15</v>
      </c>
      <c r="RY285">
        <v>4</v>
      </c>
      <c r="RZ285" t="s">
        <v>679</v>
      </c>
      <c r="SA285">
        <v>15</v>
      </c>
      <c r="SB285" t="s">
        <v>3433</v>
      </c>
      <c r="SC285" t="s">
        <v>3433</v>
      </c>
      <c r="SD285">
        <v>1</v>
      </c>
      <c r="SH285">
        <v>0.995</v>
      </c>
      <c r="SI285">
        <v>0.995</v>
      </c>
      <c r="SJ285">
        <v>0.995</v>
      </c>
      <c r="SK285">
        <v>15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TB285">
        <v>0</v>
      </c>
      <c r="TC285">
        <v>0</v>
      </c>
      <c r="TD285">
        <v>7.5</v>
      </c>
      <c r="TE285" t="s">
        <v>553</v>
      </c>
      <c r="TF285" t="s">
        <v>655</v>
      </c>
      <c r="TG285" t="s">
        <v>555</v>
      </c>
      <c r="TI285" t="s">
        <v>546</v>
      </c>
      <c r="TJ285" t="s">
        <v>547</v>
      </c>
      <c r="TL285" t="s">
        <v>3054</v>
      </c>
      <c r="TM285" t="s">
        <v>513</v>
      </c>
      <c r="TN285">
        <v>0</v>
      </c>
      <c r="TO285" t="s">
        <v>557</v>
      </c>
    </row>
    <row r="286" spans="1:535">
      <c r="A286" t="s">
        <v>3434</v>
      </c>
      <c r="B286" t="s">
        <v>564</v>
      </c>
      <c r="C286" t="s">
        <v>509</v>
      </c>
      <c r="D286" t="s">
        <v>3353</v>
      </c>
      <c r="G286" t="s">
        <v>605</v>
      </c>
      <c r="H286" t="s">
        <v>604</v>
      </c>
      <c r="I286" t="s">
        <v>628</v>
      </c>
      <c r="J286" t="s">
        <v>606</v>
      </c>
      <c r="L286" t="s">
        <v>512</v>
      </c>
      <c r="M286" t="s">
        <v>629</v>
      </c>
      <c r="N286" t="s">
        <v>513</v>
      </c>
      <c r="O286" t="s">
        <v>607</v>
      </c>
      <c r="Q286" t="s">
        <v>3435</v>
      </c>
      <c r="R286" t="s">
        <v>517</v>
      </c>
      <c r="S286" t="s">
        <v>3436</v>
      </c>
      <c r="T286" t="s">
        <v>3437</v>
      </c>
      <c r="U286" t="s">
        <v>520</v>
      </c>
      <c r="V286" t="s">
        <v>521</v>
      </c>
      <c r="W286" t="s">
        <v>2406</v>
      </c>
      <c r="X286" t="s">
        <v>3058</v>
      </c>
      <c r="Y286" t="s">
        <v>574</v>
      </c>
      <c r="Z286" t="s">
        <v>3438</v>
      </c>
      <c r="AA286" t="s">
        <v>3439</v>
      </c>
      <c r="AB286" t="s">
        <v>3440</v>
      </c>
      <c r="AC286">
        <v>2</v>
      </c>
      <c r="AD286">
        <v>57</v>
      </c>
      <c r="AE286">
        <v>244</v>
      </c>
      <c r="AF286">
        <v>1.5</v>
      </c>
      <c r="AH286">
        <v>0</v>
      </c>
      <c r="AI286" t="s">
        <v>1048</v>
      </c>
      <c r="AJ286">
        <v>225</v>
      </c>
      <c r="AK286">
        <v>1</v>
      </c>
      <c r="AL286">
        <v>1.5</v>
      </c>
      <c r="AM286" t="s">
        <v>579</v>
      </c>
      <c r="AN286" t="s">
        <v>693</v>
      </c>
      <c r="AO286">
        <v>2</v>
      </c>
      <c r="AP286" t="s">
        <v>581</v>
      </c>
      <c r="AQ286" t="s">
        <v>582</v>
      </c>
      <c r="AR286">
        <v>263</v>
      </c>
      <c r="AS286">
        <v>1.5</v>
      </c>
      <c r="AT286" t="s">
        <v>583</v>
      </c>
      <c r="AU286" t="s">
        <v>3441</v>
      </c>
      <c r="AW286" t="s">
        <v>3441</v>
      </c>
      <c r="AX286">
        <v>1</v>
      </c>
      <c r="AY286">
        <v>337.5</v>
      </c>
      <c r="AZ286">
        <v>1.5</v>
      </c>
      <c r="BA286" t="s">
        <v>579</v>
      </c>
      <c r="BB286" t="s">
        <v>3442</v>
      </c>
      <c r="BD286" t="s">
        <v>3442</v>
      </c>
      <c r="BE286">
        <v>1</v>
      </c>
      <c r="BF286">
        <v>315</v>
      </c>
      <c r="BG286">
        <v>1.5</v>
      </c>
      <c r="BJ286">
        <v>0</v>
      </c>
      <c r="BN286">
        <v>1.5</v>
      </c>
      <c r="BP286" t="s">
        <v>3443</v>
      </c>
      <c r="BQ286">
        <v>88</v>
      </c>
      <c r="BR286">
        <v>2</v>
      </c>
      <c r="BS286" t="s">
        <v>2603</v>
      </c>
      <c r="BT286">
        <v>243</v>
      </c>
      <c r="BU286">
        <v>0.5</v>
      </c>
      <c r="BV286" t="s">
        <v>2603</v>
      </c>
      <c r="BW286">
        <v>486</v>
      </c>
      <c r="BX286">
        <v>1</v>
      </c>
      <c r="BY286" t="s">
        <v>533</v>
      </c>
      <c r="BZ286">
        <v>470</v>
      </c>
      <c r="CA286">
        <v>550</v>
      </c>
      <c r="CB286" t="s">
        <v>534</v>
      </c>
      <c r="CC286" t="s">
        <v>534</v>
      </c>
      <c r="CD286">
        <v>505</v>
      </c>
      <c r="CE286" t="s">
        <v>535</v>
      </c>
      <c r="CF286">
        <v>15</v>
      </c>
      <c r="CG286" t="s">
        <v>816</v>
      </c>
      <c r="CH286" t="s">
        <v>816</v>
      </c>
      <c r="CI286">
        <v>40</v>
      </c>
      <c r="CJ286">
        <v>1200</v>
      </c>
      <c r="CK286">
        <v>2</v>
      </c>
      <c r="CL286">
        <v>1301</v>
      </c>
      <c r="CM286">
        <v>2</v>
      </c>
      <c r="CN286" t="s">
        <v>537</v>
      </c>
      <c r="CO286" t="s">
        <v>538</v>
      </c>
      <c r="CP286" t="s">
        <v>539</v>
      </c>
      <c r="CQ286" t="s">
        <v>1849</v>
      </c>
      <c r="CR286" t="s">
        <v>541</v>
      </c>
      <c r="CS286" t="s">
        <v>542</v>
      </c>
      <c r="CT286">
        <v>450</v>
      </c>
      <c r="CU286">
        <v>5</v>
      </c>
      <c r="CV286">
        <v>1.2</v>
      </c>
      <c r="CW286">
        <v>1218</v>
      </c>
      <c r="CX286">
        <v>776</v>
      </c>
      <c r="CY286" t="s">
        <v>705</v>
      </c>
      <c r="CZ286">
        <v>50</v>
      </c>
      <c r="DA286">
        <v>3</v>
      </c>
      <c r="DB286">
        <v>1</v>
      </c>
      <c r="DC286">
        <v>1218</v>
      </c>
      <c r="DD286">
        <v>64</v>
      </c>
      <c r="DE286" t="s">
        <v>543</v>
      </c>
      <c r="DF286">
        <v>675</v>
      </c>
      <c r="DG286">
        <v>3</v>
      </c>
      <c r="DH286">
        <v>1.18</v>
      </c>
      <c r="DI286">
        <v>1211</v>
      </c>
      <c r="DJ286">
        <v>1295</v>
      </c>
      <c r="DK286" t="s">
        <v>543</v>
      </c>
      <c r="DL286">
        <v>630</v>
      </c>
      <c r="DM286">
        <v>3</v>
      </c>
      <c r="DN286">
        <v>1.18</v>
      </c>
      <c r="DO286">
        <v>1221</v>
      </c>
      <c r="DP286">
        <v>1172</v>
      </c>
      <c r="DW286" t="s">
        <v>544</v>
      </c>
      <c r="DX286">
        <v>7.5</v>
      </c>
      <c r="EA286">
        <v>1288.9</v>
      </c>
      <c r="EB286">
        <v>228</v>
      </c>
      <c r="EC286" t="s">
        <v>545</v>
      </c>
      <c r="ED286">
        <v>45</v>
      </c>
      <c r="EE286">
        <v>3</v>
      </c>
      <c r="EG286">
        <v>1330</v>
      </c>
      <c r="EH286">
        <v>243</v>
      </c>
      <c r="EJ286">
        <v>0</v>
      </c>
      <c r="EK286">
        <v>1</v>
      </c>
      <c r="EN286">
        <v>0</v>
      </c>
      <c r="EP286" t="s">
        <v>546</v>
      </c>
      <c r="EQ286">
        <v>150</v>
      </c>
      <c r="ER286">
        <v>3</v>
      </c>
      <c r="ES286">
        <v>6.5</v>
      </c>
      <c r="ET286">
        <v>1204</v>
      </c>
      <c r="EU286">
        <v>735.7</v>
      </c>
      <c r="EV286">
        <v>886</v>
      </c>
      <c r="EW286" t="s">
        <v>547</v>
      </c>
      <c r="EX286">
        <v>45</v>
      </c>
      <c r="EY286">
        <v>2</v>
      </c>
      <c r="EZ286">
        <v>4.3</v>
      </c>
      <c r="FA286">
        <v>1204</v>
      </c>
      <c r="FB286">
        <v>140.3</v>
      </c>
      <c r="FC286">
        <v>169</v>
      </c>
      <c r="FE286">
        <v>0</v>
      </c>
      <c r="FF286">
        <v>2</v>
      </c>
      <c r="FI286">
        <v>0</v>
      </c>
      <c r="FK286" t="s">
        <v>548</v>
      </c>
      <c r="FL286">
        <v>0.4</v>
      </c>
      <c r="FM286">
        <v>40</v>
      </c>
      <c r="FN286">
        <v>430</v>
      </c>
      <c r="FO286">
        <v>105</v>
      </c>
      <c r="FP286">
        <v>120</v>
      </c>
      <c r="FR286" t="s">
        <v>548</v>
      </c>
      <c r="FS286">
        <v>0.4</v>
      </c>
      <c r="FT286">
        <v>30</v>
      </c>
      <c r="FU286">
        <v>600</v>
      </c>
      <c r="GR286" t="s">
        <v>548</v>
      </c>
      <c r="GS286">
        <v>0.4</v>
      </c>
      <c r="GT286">
        <v>120</v>
      </c>
      <c r="GU286">
        <v>280</v>
      </c>
      <c r="HC286">
        <v>0.1</v>
      </c>
      <c r="HD286">
        <v>3</v>
      </c>
      <c r="HE286">
        <v>3</v>
      </c>
      <c r="HF286">
        <v>3</v>
      </c>
      <c r="HG286">
        <v>3</v>
      </c>
      <c r="HH286">
        <v>3</v>
      </c>
      <c r="HI286">
        <v>180</v>
      </c>
      <c r="HJ286">
        <v>3</v>
      </c>
      <c r="HK286">
        <v>30</v>
      </c>
      <c r="HL286">
        <v>2</v>
      </c>
      <c r="HM286">
        <v>0</v>
      </c>
      <c r="HN286">
        <v>2</v>
      </c>
      <c r="HO286">
        <v>135</v>
      </c>
      <c r="HP286">
        <v>3</v>
      </c>
      <c r="HQ286">
        <v>0</v>
      </c>
      <c r="HR286">
        <v>2</v>
      </c>
      <c r="HS286">
        <v>6423</v>
      </c>
      <c r="HT286">
        <v>190</v>
      </c>
      <c r="HU286">
        <v>180</v>
      </c>
      <c r="HW286">
        <v>0</v>
      </c>
      <c r="HX286">
        <v>516</v>
      </c>
      <c r="HY286">
        <v>0.18</v>
      </c>
      <c r="IA286">
        <v>0.15</v>
      </c>
      <c r="IB286">
        <v>0</v>
      </c>
      <c r="IC286">
        <v>180</v>
      </c>
      <c r="ID286">
        <v>110</v>
      </c>
      <c r="IE286">
        <v>225</v>
      </c>
      <c r="IF286">
        <v>0</v>
      </c>
      <c r="IH286" t="s">
        <v>549</v>
      </c>
      <c r="IO286">
        <v>3</v>
      </c>
      <c r="IP286">
        <v>16</v>
      </c>
      <c r="IQ286">
        <v>0</v>
      </c>
      <c r="IR286">
        <v>0</v>
      </c>
      <c r="IV286">
        <v>1200</v>
      </c>
      <c r="IW286">
        <v>486</v>
      </c>
      <c r="JA286">
        <v>1</v>
      </c>
      <c r="JB286">
        <v>0</v>
      </c>
      <c r="JC286">
        <v>2</v>
      </c>
      <c r="JD286">
        <v>1218</v>
      </c>
      <c r="JE286">
        <v>1211</v>
      </c>
      <c r="JF286">
        <v>1221</v>
      </c>
      <c r="JG286">
        <v>1204</v>
      </c>
      <c r="JH286">
        <v>0</v>
      </c>
      <c r="JJ286">
        <v>180</v>
      </c>
      <c r="JK286">
        <v>516</v>
      </c>
      <c r="JN286">
        <v>450</v>
      </c>
      <c r="JO286">
        <v>675</v>
      </c>
      <c r="JP286">
        <v>630</v>
      </c>
      <c r="JQ286">
        <v>0</v>
      </c>
      <c r="JR286">
        <v>488</v>
      </c>
      <c r="JS286">
        <v>180</v>
      </c>
      <c r="JV286">
        <v>8</v>
      </c>
      <c r="JW286" t="s">
        <v>550</v>
      </c>
      <c r="JX286">
        <v>526</v>
      </c>
      <c r="KA286">
        <v>225</v>
      </c>
      <c r="KB286">
        <v>110</v>
      </c>
      <c r="KC286">
        <v>0</v>
      </c>
      <c r="KD286">
        <v>80</v>
      </c>
      <c r="KF286">
        <v>4</v>
      </c>
      <c r="KG286">
        <v>4</v>
      </c>
      <c r="KH286">
        <v>2</v>
      </c>
      <c r="KI286">
        <v>2</v>
      </c>
      <c r="KJ286">
        <v>0</v>
      </c>
      <c r="KK286">
        <v>1.5</v>
      </c>
      <c r="KL286">
        <v>1.5</v>
      </c>
      <c r="KM286">
        <v>0</v>
      </c>
      <c r="KN286">
        <v>0</v>
      </c>
      <c r="KO286">
        <v>0</v>
      </c>
      <c r="KR286">
        <v>50</v>
      </c>
      <c r="KS286">
        <v>60</v>
      </c>
      <c r="KT286">
        <v>0</v>
      </c>
      <c r="LK286">
        <v>480</v>
      </c>
      <c r="PG286">
        <v>1</v>
      </c>
      <c r="PI286" t="s">
        <v>3440</v>
      </c>
      <c r="PJ286" t="s">
        <v>3441</v>
      </c>
      <c r="PK286" t="s">
        <v>3442</v>
      </c>
      <c r="PL286" t="s">
        <v>1048</v>
      </c>
      <c r="PP286" t="s">
        <v>3443</v>
      </c>
      <c r="PS286" t="s">
        <v>693</v>
      </c>
      <c r="PX286">
        <v>56</v>
      </c>
      <c r="PY286">
        <v>57</v>
      </c>
      <c r="PZ286" t="s">
        <v>3440</v>
      </c>
      <c r="QA286">
        <v>3</v>
      </c>
      <c r="QB286">
        <v>1204</v>
      </c>
      <c r="QC286">
        <v>69</v>
      </c>
      <c r="QD286">
        <v>69</v>
      </c>
      <c r="QE286" t="s">
        <v>1048</v>
      </c>
      <c r="QF286">
        <v>1</v>
      </c>
      <c r="QG286">
        <v>1218</v>
      </c>
      <c r="QH286">
        <v>66</v>
      </c>
      <c r="QI286">
        <v>66</v>
      </c>
      <c r="QJ286" t="s">
        <v>693</v>
      </c>
      <c r="QK286">
        <v>1</v>
      </c>
      <c r="QL286">
        <v>1218</v>
      </c>
      <c r="QM286">
        <v>62</v>
      </c>
      <c r="QN286">
        <v>62</v>
      </c>
      <c r="QO286" t="s">
        <v>3441</v>
      </c>
      <c r="QP286">
        <v>1</v>
      </c>
      <c r="QQ286">
        <v>1211</v>
      </c>
      <c r="QR286">
        <v>62</v>
      </c>
      <c r="QS286">
        <v>62</v>
      </c>
      <c r="QT286" t="s">
        <v>3442</v>
      </c>
      <c r="QU286">
        <v>1</v>
      </c>
      <c r="QV286">
        <v>1221</v>
      </c>
      <c r="QW286">
        <v>82</v>
      </c>
      <c r="QX286">
        <v>88</v>
      </c>
      <c r="QY286" t="s">
        <v>3443</v>
      </c>
      <c r="QZ286">
        <v>1</v>
      </c>
      <c r="RA286">
        <v>66</v>
      </c>
      <c r="RB286">
        <v>66</v>
      </c>
      <c r="RE286">
        <v>0</v>
      </c>
      <c r="RF286">
        <v>1</v>
      </c>
      <c r="RH286">
        <v>1</v>
      </c>
      <c r="RJ286">
        <v>1</v>
      </c>
      <c r="RK286">
        <v>2</v>
      </c>
      <c r="RL286">
        <v>1</v>
      </c>
      <c r="RM286">
        <v>1</v>
      </c>
      <c r="RO286">
        <v>637</v>
      </c>
      <c r="RP286">
        <v>105</v>
      </c>
      <c r="RQ286">
        <v>1069</v>
      </c>
      <c r="RR286">
        <v>960</v>
      </c>
      <c r="RT286">
        <v>228</v>
      </c>
      <c r="RU286">
        <v>243</v>
      </c>
      <c r="RV286" t="s">
        <v>2604</v>
      </c>
      <c r="RW286" t="s">
        <v>552</v>
      </c>
      <c r="RX286">
        <v>15</v>
      </c>
      <c r="RY286">
        <v>4</v>
      </c>
      <c r="RZ286" t="s">
        <v>552</v>
      </c>
      <c r="SA286">
        <v>15</v>
      </c>
      <c r="SC286" t="s">
        <v>3441</v>
      </c>
      <c r="SD286">
        <v>1</v>
      </c>
      <c r="SF286" t="s">
        <v>3442</v>
      </c>
      <c r="SG286">
        <v>1</v>
      </c>
      <c r="SH286">
        <v>0.995</v>
      </c>
      <c r="SI286">
        <v>0.995</v>
      </c>
      <c r="SJ286">
        <v>0.995</v>
      </c>
      <c r="SK286">
        <v>15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1</v>
      </c>
      <c r="SZ286">
        <v>1</v>
      </c>
      <c r="TB286">
        <v>0</v>
      </c>
      <c r="TC286">
        <v>0</v>
      </c>
      <c r="TD286">
        <v>7.5</v>
      </c>
      <c r="TE286" t="s">
        <v>553</v>
      </c>
      <c r="TF286" t="s">
        <v>624</v>
      </c>
      <c r="TG286" t="s">
        <v>555</v>
      </c>
      <c r="TI286" t="s">
        <v>546</v>
      </c>
      <c r="TJ286" t="s">
        <v>547</v>
      </c>
      <c r="TL286" t="s">
        <v>3054</v>
      </c>
      <c r="TM286" t="s">
        <v>513</v>
      </c>
      <c r="TN286">
        <v>0</v>
      </c>
      <c r="TO286" t="s">
        <v>557</v>
      </c>
    </row>
    <row r="287" spans="1:535">
      <c r="A287" t="s">
        <v>3444</v>
      </c>
      <c r="B287" t="s">
        <v>564</v>
      </c>
      <c r="C287" t="s">
        <v>509</v>
      </c>
      <c r="D287" t="s">
        <v>3445</v>
      </c>
      <c r="G287" t="s">
        <v>2423</v>
      </c>
      <c r="H287" t="s">
        <v>605</v>
      </c>
      <c r="I287" t="s">
        <v>628</v>
      </c>
      <c r="J287" t="s">
        <v>606</v>
      </c>
      <c r="L287" t="s">
        <v>512</v>
      </c>
      <c r="M287" t="s">
        <v>629</v>
      </c>
      <c r="N287" t="s">
        <v>513</v>
      </c>
      <c r="O287" t="s">
        <v>565</v>
      </c>
      <c r="Q287" t="s">
        <v>3446</v>
      </c>
      <c r="R287" t="s">
        <v>517</v>
      </c>
      <c r="S287" t="s">
        <v>1015</v>
      </c>
      <c r="T287" t="s">
        <v>1016</v>
      </c>
      <c r="U287" t="s">
        <v>633</v>
      </c>
      <c r="V287" t="s">
        <v>634</v>
      </c>
      <c r="W287" t="s">
        <v>2527</v>
      </c>
      <c r="X287" t="s">
        <v>3048</v>
      </c>
      <c r="Y287" t="s">
        <v>524</v>
      </c>
      <c r="Z287" t="s">
        <v>3447</v>
      </c>
      <c r="AA287" t="s">
        <v>3448</v>
      </c>
      <c r="AB287" t="s">
        <v>3449</v>
      </c>
      <c r="AC287">
        <v>2</v>
      </c>
      <c r="AD287">
        <v>57</v>
      </c>
      <c r="AE287">
        <v>157</v>
      </c>
      <c r="AF287">
        <v>1.5</v>
      </c>
      <c r="AH287">
        <v>0</v>
      </c>
      <c r="AI287" t="s">
        <v>1559</v>
      </c>
      <c r="AJ287">
        <v>167.5</v>
      </c>
      <c r="AK287">
        <v>1</v>
      </c>
      <c r="AL287">
        <v>1.5</v>
      </c>
      <c r="AM287" t="s">
        <v>529</v>
      </c>
      <c r="AO287">
        <v>0</v>
      </c>
      <c r="AR287">
        <v>0</v>
      </c>
      <c r="AS287">
        <v>1.5</v>
      </c>
      <c r="AV287" t="s">
        <v>3450</v>
      </c>
      <c r="AW287" t="s">
        <v>3450</v>
      </c>
      <c r="AX287">
        <v>1</v>
      </c>
      <c r="AY287">
        <v>240</v>
      </c>
      <c r="AZ287">
        <v>1.5</v>
      </c>
      <c r="BA287" t="s">
        <v>529</v>
      </c>
      <c r="BG287">
        <v>1.5</v>
      </c>
      <c r="BJ287">
        <v>0</v>
      </c>
      <c r="BN287">
        <v>1.5</v>
      </c>
      <c r="BP287" t="s">
        <v>3451</v>
      </c>
      <c r="BQ287">
        <v>82</v>
      </c>
      <c r="BR287">
        <v>2</v>
      </c>
      <c r="BS287" t="s">
        <v>642</v>
      </c>
      <c r="BT287">
        <v>180</v>
      </c>
      <c r="BU287">
        <v>0.5</v>
      </c>
      <c r="BV287" t="s">
        <v>642</v>
      </c>
      <c r="BW287">
        <v>360</v>
      </c>
      <c r="BX287">
        <v>1</v>
      </c>
      <c r="BY287" t="s">
        <v>643</v>
      </c>
      <c r="BZ287">
        <v>300</v>
      </c>
      <c r="CA287">
        <v>440</v>
      </c>
      <c r="CB287" t="s">
        <v>644</v>
      </c>
      <c r="CC287" t="s">
        <v>644</v>
      </c>
      <c r="CD287">
        <v>376</v>
      </c>
      <c r="CE287" t="s">
        <v>544</v>
      </c>
      <c r="CF287">
        <v>15</v>
      </c>
      <c r="CG287" t="s">
        <v>1024</v>
      </c>
      <c r="CH287" t="s">
        <v>1024</v>
      </c>
      <c r="CI287">
        <v>70</v>
      </c>
      <c r="CJ287">
        <v>1301</v>
      </c>
      <c r="CK287">
        <v>2</v>
      </c>
      <c r="CL287">
        <v>1395</v>
      </c>
      <c r="CM287">
        <v>2</v>
      </c>
      <c r="CN287" t="s">
        <v>646</v>
      </c>
      <c r="CO287" t="s">
        <v>647</v>
      </c>
      <c r="CP287" t="s">
        <v>648</v>
      </c>
      <c r="CQ287" t="s">
        <v>649</v>
      </c>
      <c r="CR287" t="s">
        <v>650</v>
      </c>
      <c r="CS287" t="s">
        <v>542</v>
      </c>
      <c r="CT287">
        <v>335</v>
      </c>
      <c r="CU287">
        <v>5</v>
      </c>
      <c r="CV287">
        <v>1.2</v>
      </c>
      <c r="CW287">
        <v>1314</v>
      </c>
      <c r="CX287">
        <v>623</v>
      </c>
      <c r="DD287">
        <v>0</v>
      </c>
      <c r="DE287" t="s">
        <v>948</v>
      </c>
      <c r="DF287">
        <v>480</v>
      </c>
      <c r="DG287">
        <v>3</v>
      </c>
      <c r="DH287">
        <v>1.22</v>
      </c>
      <c r="DI287">
        <v>1312</v>
      </c>
      <c r="DJ287">
        <v>1054</v>
      </c>
      <c r="DW287" t="s">
        <v>544</v>
      </c>
      <c r="DX287">
        <v>7.5</v>
      </c>
      <c r="EA287">
        <v>1381.4</v>
      </c>
      <c r="EB287">
        <v>261</v>
      </c>
      <c r="EC287" t="s">
        <v>545</v>
      </c>
      <c r="ED287">
        <v>20</v>
      </c>
      <c r="EE287">
        <v>3</v>
      </c>
      <c r="EG287">
        <v>1422</v>
      </c>
      <c r="EH287">
        <v>138</v>
      </c>
      <c r="EJ287">
        <v>0</v>
      </c>
      <c r="EK287">
        <v>1</v>
      </c>
      <c r="EN287">
        <v>0</v>
      </c>
      <c r="EP287" t="s">
        <v>546</v>
      </c>
      <c r="EQ287">
        <v>75</v>
      </c>
      <c r="ER287">
        <v>3</v>
      </c>
      <c r="ES287">
        <v>4.5</v>
      </c>
      <c r="ET287">
        <v>1292</v>
      </c>
      <c r="EU287">
        <v>281.1</v>
      </c>
      <c r="EV287">
        <v>363</v>
      </c>
      <c r="EW287" t="s">
        <v>547</v>
      </c>
      <c r="EX287">
        <v>65</v>
      </c>
      <c r="EY287">
        <v>2</v>
      </c>
      <c r="EZ287">
        <v>3.8</v>
      </c>
      <c r="FA287">
        <v>1292</v>
      </c>
      <c r="FB287">
        <v>167.8</v>
      </c>
      <c r="FC287">
        <v>217</v>
      </c>
      <c r="FE287">
        <v>0</v>
      </c>
      <c r="FF287">
        <v>2</v>
      </c>
      <c r="FI287">
        <v>0</v>
      </c>
      <c r="FK287" t="s">
        <v>548</v>
      </c>
      <c r="FL287">
        <v>0.4</v>
      </c>
      <c r="FM287">
        <v>70</v>
      </c>
      <c r="FN287">
        <v>140</v>
      </c>
      <c r="FR287" t="s">
        <v>548</v>
      </c>
      <c r="FS287">
        <v>0.4</v>
      </c>
      <c r="FT287">
        <v>30</v>
      </c>
      <c r="FU287">
        <v>320</v>
      </c>
      <c r="FY287" t="s">
        <v>651</v>
      </c>
      <c r="FZ287">
        <v>1</v>
      </c>
      <c r="GA287">
        <v>20</v>
      </c>
      <c r="GB287">
        <v>161</v>
      </c>
      <c r="GG287" t="s">
        <v>651</v>
      </c>
      <c r="GH287">
        <v>1</v>
      </c>
      <c r="GI287">
        <v>20</v>
      </c>
      <c r="GJ287">
        <v>161</v>
      </c>
      <c r="HC287">
        <v>0.1</v>
      </c>
      <c r="HD287">
        <v>3</v>
      </c>
      <c r="HE287">
        <v>3</v>
      </c>
      <c r="HF287">
        <v>3</v>
      </c>
      <c r="HG287">
        <v>3</v>
      </c>
      <c r="HH287">
        <v>3</v>
      </c>
      <c r="HI287">
        <v>125</v>
      </c>
      <c r="HJ287">
        <v>3</v>
      </c>
      <c r="HK287">
        <v>50</v>
      </c>
      <c r="HL287">
        <v>2</v>
      </c>
      <c r="HM287">
        <v>0</v>
      </c>
      <c r="HN287">
        <v>2</v>
      </c>
      <c r="HO287">
        <v>60</v>
      </c>
      <c r="HP287">
        <v>3</v>
      </c>
      <c r="HQ287">
        <v>0</v>
      </c>
      <c r="HR287">
        <v>2</v>
      </c>
      <c r="HS287">
        <v>3635</v>
      </c>
      <c r="HT287">
        <v>110</v>
      </c>
      <c r="HU287">
        <v>180</v>
      </c>
      <c r="HW287">
        <v>0</v>
      </c>
      <c r="HX287">
        <v>420</v>
      </c>
      <c r="HY287">
        <v>0.18</v>
      </c>
      <c r="IA287">
        <v>0.15</v>
      </c>
      <c r="IB287">
        <v>0</v>
      </c>
      <c r="IC287">
        <v>180</v>
      </c>
      <c r="ID287">
        <v>110</v>
      </c>
      <c r="IE287">
        <v>0</v>
      </c>
      <c r="IF287">
        <v>0</v>
      </c>
      <c r="IH287" t="s">
        <v>549</v>
      </c>
      <c r="IO287">
        <v>1</v>
      </c>
      <c r="IP287">
        <v>17</v>
      </c>
      <c r="IQ287">
        <v>0</v>
      </c>
      <c r="IR287">
        <v>1</v>
      </c>
      <c r="IV287">
        <v>1301</v>
      </c>
      <c r="IW287">
        <v>360</v>
      </c>
      <c r="JA287">
        <v>1</v>
      </c>
      <c r="JB287">
        <v>0</v>
      </c>
      <c r="JC287">
        <v>2</v>
      </c>
      <c r="JD287">
        <v>1314</v>
      </c>
      <c r="JE287">
        <v>1312</v>
      </c>
      <c r="JF287">
        <v>0</v>
      </c>
      <c r="JG287">
        <v>1292</v>
      </c>
      <c r="JH287">
        <v>0</v>
      </c>
      <c r="JJ287">
        <v>180</v>
      </c>
      <c r="JK287">
        <v>420</v>
      </c>
      <c r="JN287">
        <v>335</v>
      </c>
      <c r="JO287">
        <v>480</v>
      </c>
      <c r="JP287">
        <v>0</v>
      </c>
      <c r="JQ287">
        <v>0</v>
      </c>
      <c r="JR287">
        <v>314</v>
      </c>
      <c r="JS287">
        <v>125</v>
      </c>
      <c r="JV287">
        <v>8</v>
      </c>
      <c r="JW287" t="s">
        <v>550</v>
      </c>
      <c r="JX287">
        <v>0</v>
      </c>
      <c r="KA287">
        <v>0</v>
      </c>
      <c r="KB287">
        <v>110</v>
      </c>
      <c r="KC287">
        <v>0</v>
      </c>
      <c r="KD287">
        <v>80</v>
      </c>
      <c r="KF287">
        <v>4</v>
      </c>
      <c r="KG287">
        <v>2</v>
      </c>
      <c r="KH287">
        <v>2</v>
      </c>
      <c r="KI287">
        <v>2</v>
      </c>
      <c r="KJ287">
        <v>0</v>
      </c>
      <c r="KK287">
        <v>1.5</v>
      </c>
      <c r="KL287">
        <v>1.5</v>
      </c>
      <c r="KM287">
        <v>0</v>
      </c>
      <c r="KN287">
        <v>0</v>
      </c>
      <c r="KO287">
        <v>0</v>
      </c>
      <c r="KR287">
        <v>50</v>
      </c>
      <c r="KS287">
        <v>60</v>
      </c>
      <c r="KT287">
        <v>0</v>
      </c>
      <c r="LK287">
        <v>480</v>
      </c>
      <c r="LX287">
        <v>340</v>
      </c>
      <c r="PG287">
        <v>1</v>
      </c>
      <c r="PI287" t="s">
        <v>3449</v>
      </c>
      <c r="PJ287" t="s">
        <v>3450</v>
      </c>
      <c r="PL287" t="s">
        <v>1559</v>
      </c>
      <c r="PP287" t="s">
        <v>3451</v>
      </c>
      <c r="PX287">
        <v>56</v>
      </c>
      <c r="PY287">
        <v>57</v>
      </c>
      <c r="PZ287" t="s">
        <v>3449</v>
      </c>
      <c r="QA287">
        <v>1</v>
      </c>
      <c r="QB287">
        <v>1292</v>
      </c>
      <c r="QC287">
        <v>69</v>
      </c>
      <c r="QD287">
        <v>69</v>
      </c>
      <c r="QE287" t="s">
        <v>1559</v>
      </c>
      <c r="QF287">
        <v>1</v>
      </c>
      <c r="QG287">
        <v>1314</v>
      </c>
      <c r="QH287">
        <v>66</v>
      </c>
      <c r="QI287">
        <v>66</v>
      </c>
      <c r="QL287">
        <v>0</v>
      </c>
      <c r="QM287">
        <v>63</v>
      </c>
      <c r="QN287">
        <v>63</v>
      </c>
      <c r="QO287" t="s">
        <v>3450</v>
      </c>
      <c r="QP287">
        <v>1</v>
      </c>
      <c r="QQ287">
        <v>1312</v>
      </c>
      <c r="QW287">
        <v>82</v>
      </c>
      <c r="QX287">
        <v>82</v>
      </c>
      <c r="QY287" t="s">
        <v>3451</v>
      </c>
      <c r="QZ287">
        <v>2</v>
      </c>
      <c r="RA287">
        <v>66</v>
      </c>
      <c r="RB287">
        <v>66</v>
      </c>
      <c r="RE287">
        <v>0</v>
      </c>
      <c r="RG287">
        <v>1</v>
      </c>
      <c r="RJ287">
        <v>1</v>
      </c>
      <c r="RL287">
        <v>1</v>
      </c>
      <c r="RO287">
        <v>474</v>
      </c>
      <c r="RQ287">
        <v>803</v>
      </c>
      <c r="RT287">
        <v>261</v>
      </c>
      <c r="RU287">
        <v>138</v>
      </c>
      <c r="RV287" t="s">
        <v>652</v>
      </c>
      <c r="RW287" t="s">
        <v>653</v>
      </c>
      <c r="RX287">
        <v>15</v>
      </c>
      <c r="RY287">
        <v>4</v>
      </c>
      <c r="RZ287" t="s">
        <v>653</v>
      </c>
      <c r="SA287">
        <v>15</v>
      </c>
      <c r="SB287" t="s">
        <v>3452</v>
      </c>
      <c r="SC287" t="s">
        <v>3452</v>
      </c>
      <c r="SD287">
        <v>1</v>
      </c>
      <c r="SH287">
        <v>0.995</v>
      </c>
      <c r="SI287">
        <v>0.995</v>
      </c>
      <c r="SJ287">
        <v>0.995</v>
      </c>
      <c r="SK287">
        <v>15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TB287">
        <v>0</v>
      </c>
      <c r="TC287">
        <v>0</v>
      </c>
      <c r="TD287">
        <v>7.5</v>
      </c>
      <c r="TE287" t="s">
        <v>553</v>
      </c>
      <c r="TF287" t="s">
        <v>655</v>
      </c>
      <c r="TG287" t="s">
        <v>555</v>
      </c>
      <c r="TI287" t="s">
        <v>546</v>
      </c>
      <c r="TJ287" t="s">
        <v>547</v>
      </c>
      <c r="TL287" t="s">
        <v>3054</v>
      </c>
      <c r="TM287" t="s">
        <v>513</v>
      </c>
      <c r="TN287">
        <v>0</v>
      </c>
      <c r="TO287" t="s">
        <v>557</v>
      </c>
    </row>
    <row r="288" spans="1:535">
      <c r="A288" t="s">
        <v>3453</v>
      </c>
      <c r="B288" t="s">
        <v>729</v>
      </c>
      <c r="C288" t="s">
        <v>509</v>
      </c>
      <c r="D288" t="s">
        <v>1150</v>
      </c>
      <c r="G288" t="s">
        <v>604</v>
      </c>
      <c r="H288" t="s">
        <v>605</v>
      </c>
      <c r="I288" t="s">
        <v>628</v>
      </c>
      <c r="J288" t="s">
        <v>606</v>
      </c>
      <c r="L288" t="s">
        <v>512</v>
      </c>
      <c r="M288" t="s">
        <v>897</v>
      </c>
      <c r="N288" t="s">
        <v>513</v>
      </c>
      <c r="O288" t="s">
        <v>607</v>
      </c>
      <c r="Q288" t="s">
        <v>3454</v>
      </c>
      <c r="R288" t="s">
        <v>517</v>
      </c>
      <c r="S288" t="s">
        <v>1231</v>
      </c>
      <c r="T288" t="s">
        <v>1127</v>
      </c>
      <c r="U288" t="s">
        <v>662</v>
      </c>
      <c r="V288" t="s">
        <v>663</v>
      </c>
      <c r="W288" t="s">
        <v>2656</v>
      </c>
      <c r="X288" t="s">
        <v>3058</v>
      </c>
      <c r="Y288" t="s">
        <v>524</v>
      </c>
      <c r="Z288" t="s">
        <v>3455</v>
      </c>
      <c r="AA288" t="s">
        <v>3456</v>
      </c>
      <c r="AB288" t="s">
        <v>3457</v>
      </c>
      <c r="AC288">
        <v>2</v>
      </c>
      <c r="AD288">
        <v>57</v>
      </c>
      <c r="AE288">
        <v>175</v>
      </c>
      <c r="AF288">
        <v>1.5</v>
      </c>
      <c r="AH288">
        <v>0</v>
      </c>
      <c r="AI288" t="s">
        <v>944</v>
      </c>
      <c r="AJ288">
        <v>187.5</v>
      </c>
      <c r="AK288">
        <v>1</v>
      </c>
      <c r="AL288">
        <v>1.5</v>
      </c>
      <c r="AM288" t="s">
        <v>529</v>
      </c>
      <c r="AO288">
        <v>0</v>
      </c>
      <c r="AR288">
        <v>0</v>
      </c>
      <c r="AS288">
        <v>1.5</v>
      </c>
      <c r="AV288" t="s">
        <v>3458</v>
      </c>
      <c r="AW288" t="s">
        <v>3458</v>
      </c>
      <c r="AX288">
        <v>1</v>
      </c>
      <c r="AY288">
        <v>262.5</v>
      </c>
      <c r="AZ288">
        <v>1.5</v>
      </c>
      <c r="BA288" t="s">
        <v>529</v>
      </c>
      <c r="BG288">
        <v>1.5</v>
      </c>
      <c r="BJ288">
        <v>0</v>
      </c>
      <c r="BN288">
        <v>1.5</v>
      </c>
      <c r="BP288" t="s">
        <v>2906</v>
      </c>
      <c r="BQ288">
        <v>82</v>
      </c>
      <c r="BR288">
        <v>2</v>
      </c>
      <c r="BS288" t="s">
        <v>2149</v>
      </c>
      <c r="BT288">
        <v>198</v>
      </c>
      <c r="BU288">
        <v>0.5</v>
      </c>
      <c r="BV288" t="s">
        <v>2149</v>
      </c>
      <c r="BW288">
        <v>396</v>
      </c>
      <c r="BX288">
        <v>1</v>
      </c>
      <c r="BY288" t="s">
        <v>643</v>
      </c>
      <c r="BZ288">
        <v>290</v>
      </c>
      <c r="CA288">
        <v>470</v>
      </c>
      <c r="CB288" t="s">
        <v>672</v>
      </c>
      <c r="CC288" t="s">
        <v>672</v>
      </c>
      <c r="CD288">
        <v>420</v>
      </c>
      <c r="CE288" t="s">
        <v>673</v>
      </c>
      <c r="CF288">
        <v>15</v>
      </c>
      <c r="CG288" t="s">
        <v>769</v>
      </c>
      <c r="CH288" t="s">
        <v>769</v>
      </c>
      <c r="CI288">
        <v>90</v>
      </c>
      <c r="CJ288">
        <v>1381</v>
      </c>
      <c r="CK288">
        <v>2</v>
      </c>
      <c r="CL288">
        <v>1475</v>
      </c>
      <c r="CM288">
        <v>2</v>
      </c>
      <c r="CN288" t="s">
        <v>675</v>
      </c>
      <c r="CO288" t="s">
        <v>676</v>
      </c>
      <c r="CP288" t="s">
        <v>595</v>
      </c>
      <c r="CQ288" t="s">
        <v>649</v>
      </c>
      <c r="CR288" t="s">
        <v>650</v>
      </c>
      <c r="CS288" t="s">
        <v>542</v>
      </c>
      <c r="CT288">
        <v>375</v>
      </c>
      <c r="CU288">
        <v>5</v>
      </c>
      <c r="CV288">
        <v>1.2</v>
      </c>
      <c r="CW288">
        <v>1393</v>
      </c>
      <c r="CX288">
        <v>740</v>
      </c>
      <c r="DD288">
        <v>0</v>
      </c>
      <c r="DE288" t="s">
        <v>948</v>
      </c>
      <c r="DF288">
        <v>525</v>
      </c>
      <c r="DG288">
        <v>3</v>
      </c>
      <c r="DH288">
        <v>1.22</v>
      </c>
      <c r="DI288">
        <v>1391</v>
      </c>
      <c r="DJ288">
        <v>1302</v>
      </c>
      <c r="DW288" t="s">
        <v>544</v>
      </c>
      <c r="DX288">
        <v>7.5</v>
      </c>
      <c r="EA288">
        <v>1461.1</v>
      </c>
      <c r="EB288">
        <v>258</v>
      </c>
      <c r="EC288" t="s">
        <v>545</v>
      </c>
      <c r="ED288">
        <v>25</v>
      </c>
      <c r="EE288">
        <v>3</v>
      </c>
      <c r="EG288">
        <v>1502</v>
      </c>
      <c r="EH288">
        <v>164</v>
      </c>
      <c r="EJ288">
        <v>0</v>
      </c>
      <c r="EK288">
        <v>1</v>
      </c>
      <c r="EN288">
        <v>0</v>
      </c>
      <c r="EP288" t="s">
        <v>546</v>
      </c>
      <c r="EQ288">
        <v>80</v>
      </c>
      <c r="ER288">
        <v>3</v>
      </c>
      <c r="ES288">
        <v>5.5</v>
      </c>
      <c r="ET288">
        <v>1378</v>
      </c>
      <c r="EU288">
        <v>368.6</v>
      </c>
      <c r="EV288">
        <v>508</v>
      </c>
      <c r="EW288" t="s">
        <v>547</v>
      </c>
      <c r="EX288">
        <v>70</v>
      </c>
      <c r="EY288">
        <v>2</v>
      </c>
      <c r="EZ288">
        <v>4.5</v>
      </c>
      <c r="FA288">
        <v>1378</v>
      </c>
      <c r="FB288">
        <v>219.6</v>
      </c>
      <c r="FC288">
        <v>303</v>
      </c>
      <c r="FE288">
        <v>0</v>
      </c>
      <c r="FF288">
        <v>2</v>
      </c>
      <c r="FI288">
        <v>0</v>
      </c>
      <c r="FK288" t="s">
        <v>548</v>
      </c>
      <c r="FL288">
        <v>0.4</v>
      </c>
      <c r="FM288">
        <v>90</v>
      </c>
      <c r="FN288">
        <v>140</v>
      </c>
      <c r="FR288" t="s">
        <v>548</v>
      </c>
      <c r="FS288">
        <v>0.4</v>
      </c>
      <c r="FT288">
        <v>30</v>
      </c>
      <c r="FU288">
        <v>360</v>
      </c>
      <c r="FV288">
        <v>30</v>
      </c>
      <c r="FW288">
        <v>240</v>
      </c>
      <c r="FY288" t="s">
        <v>651</v>
      </c>
      <c r="FZ288">
        <v>1.6</v>
      </c>
      <c r="GA288">
        <v>20</v>
      </c>
      <c r="GB288">
        <v>181</v>
      </c>
      <c r="GG288" t="s">
        <v>651</v>
      </c>
      <c r="GH288">
        <v>1.6</v>
      </c>
      <c r="GI288">
        <v>20</v>
      </c>
      <c r="GJ288">
        <v>181</v>
      </c>
      <c r="HC288">
        <v>0.1</v>
      </c>
      <c r="HD288">
        <v>3</v>
      </c>
      <c r="HE288">
        <v>3</v>
      </c>
      <c r="HF288">
        <v>3</v>
      </c>
      <c r="HG288">
        <v>3</v>
      </c>
      <c r="HH288">
        <v>3</v>
      </c>
      <c r="HI288">
        <v>135</v>
      </c>
      <c r="HJ288">
        <v>3</v>
      </c>
      <c r="HK288">
        <v>55</v>
      </c>
      <c r="HL288">
        <v>2</v>
      </c>
      <c r="HM288">
        <v>0</v>
      </c>
      <c r="HN288">
        <v>2</v>
      </c>
      <c r="HO288">
        <v>65</v>
      </c>
      <c r="HP288">
        <v>3</v>
      </c>
      <c r="HQ288">
        <v>0</v>
      </c>
      <c r="HR288">
        <v>2</v>
      </c>
      <c r="HS288">
        <v>4508</v>
      </c>
      <c r="HT288">
        <v>140</v>
      </c>
      <c r="HU288">
        <v>180</v>
      </c>
      <c r="HW288">
        <v>0</v>
      </c>
      <c r="HX288">
        <v>460</v>
      </c>
      <c r="HY288">
        <v>0.18</v>
      </c>
      <c r="IA288">
        <v>0.15</v>
      </c>
      <c r="IB288">
        <v>0</v>
      </c>
      <c r="IC288">
        <v>180</v>
      </c>
      <c r="ID288">
        <v>110</v>
      </c>
      <c r="IE288">
        <v>0</v>
      </c>
      <c r="IF288">
        <v>0</v>
      </c>
      <c r="IH288" t="s">
        <v>549</v>
      </c>
      <c r="IO288">
        <v>1</v>
      </c>
      <c r="IP288">
        <v>18</v>
      </c>
      <c r="IQ288">
        <v>0</v>
      </c>
      <c r="IR288">
        <v>1</v>
      </c>
      <c r="IV288">
        <v>1381</v>
      </c>
      <c r="IW288">
        <v>396</v>
      </c>
      <c r="JA288">
        <v>1</v>
      </c>
      <c r="JB288">
        <v>0</v>
      </c>
      <c r="JC288">
        <v>2</v>
      </c>
      <c r="JD288">
        <v>1393</v>
      </c>
      <c r="JE288">
        <v>1391</v>
      </c>
      <c r="JF288">
        <v>0</v>
      </c>
      <c r="JG288">
        <v>1378</v>
      </c>
      <c r="JH288">
        <v>0</v>
      </c>
      <c r="JJ288">
        <v>180</v>
      </c>
      <c r="JK288">
        <v>460</v>
      </c>
      <c r="JN288">
        <v>375</v>
      </c>
      <c r="JO288">
        <v>525</v>
      </c>
      <c r="JP288">
        <v>0</v>
      </c>
      <c r="JQ288">
        <v>0</v>
      </c>
      <c r="JR288">
        <v>350</v>
      </c>
      <c r="JS288">
        <v>135</v>
      </c>
      <c r="JV288">
        <v>8</v>
      </c>
      <c r="JW288" t="s">
        <v>550</v>
      </c>
      <c r="JX288">
        <v>0</v>
      </c>
      <c r="KA288">
        <v>0</v>
      </c>
      <c r="KB288">
        <v>110</v>
      </c>
      <c r="KC288">
        <v>0</v>
      </c>
      <c r="KD288">
        <v>80</v>
      </c>
      <c r="KF288">
        <v>4</v>
      </c>
      <c r="KG288">
        <v>2</v>
      </c>
      <c r="KH288">
        <v>2</v>
      </c>
      <c r="KI288">
        <v>2</v>
      </c>
      <c r="KJ288">
        <v>0</v>
      </c>
      <c r="KK288">
        <v>1.5</v>
      </c>
      <c r="KL288">
        <v>1.5</v>
      </c>
      <c r="KM288">
        <v>0</v>
      </c>
      <c r="KN288">
        <v>0</v>
      </c>
      <c r="KO288">
        <v>0</v>
      </c>
      <c r="KR288">
        <v>50</v>
      </c>
      <c r="KS288">
        <v>60</v>
      </c>
      <c r="KT288">
        <v>0</v>
      </c>
      <c r="LK288">
        <v>480</v>
      </c>
      <c r="PG288">
        <v>1</v>
      </c>
      <c r="PI288" t="s">
        <v>3457</v>
      </c>
      <c r="PJ288" t="s">
        <v>3458</v>
      </c>
      <c r="PL288" t="s">
        <v>944</v>
      </c>
      <c r="PP288" t="s">
        <v>2906</v>
      </c>
      <c r="PX288">
        <v>56</v>
      </c>
      <c r="PY288">
        <v>57</v>
      </c>
      <c r="PZ288" t="s">
        <v>3457</v>
      </c>
      <c r="QA288">
        <v>1</v>
      </c>
      <c r="QB288">
        <v>1378</v>
      </c>
      <c r="QC288">
        <v>69</v>
      </c>
      <c r="QD288">
        <v>69</v>
      </c>
      <c r="QE288" t="s">
        <v>944</v>
      </c>
      <c r="QF288">
        <v>1</v>
      </c>
      <c r="QG288">
        <v>1393</v>
      </c>
      <c r="QH288">
        <v>66</v>
      </c>
      <c r="QI288">
        <v>66</v>
      </c>
      <c r="QL288">
        <v>0</v>
      </c>
      <c r="QM288">
        <v>63</v>
      </c>
      <c r="QN288">
        <v>63</v>
      </c>
      <c r="QO288" t="s">
        <v>3458</v>
      </c>
      <c r="QP288">
        <v>1</v>
      </c>
      <c r="QQ288">
        <v>1391</v>
      </c>
      <c r="QW288">
        <v>82</v>
      </c>
      <c r="QX288">
        <v>82</v>
      </c>
      <c r="QY288" t="s">
        <v>2906</v>
      </c>
      <c r="QZ288">
        <v>1</v>
      </c>
      <c r="RA288">
        <v>66</v>
      </c>
      <c r="RB288">
        <v>66</v>
      </c>
      <c r="RE288">
        <v>0</v>
      </c>
      <c r="RG288">
        <v>1</v>
      </c>
      <c r="RJ288">
        <v>1</v>
      </c>
      <c r="RL288">
        <v>2</v>
      </c>
      <c r="RO288">
        <v>531</v>
      </c>
      <c r="RQ288">
        <v>936</v>
      </c>
      <c r="RT288">
        <v>258</v>
      </c>
      <c r="RU288">
        <v>164</v>
      </c>
      <c r="RV288" t="s">
        <v>2150</v>
      </c>
      <c r="RW288" t="s">
        <v>679</v>
      </c>
      <c r="RX288">
        <v>15</v>
      </c>
      <c r="RY288">
        <v>4</v>
      </c>
      <c r="RZ288" t="s">
        <v>679</v>
      </c>
      <c r="SA288">
        <v>15</v>
      </c>
      <c r="SB288" t="s">
        <v>3459</v>
      </c>
      <c r="SC288" t="s">
        <v>3459</v>
      </c>
      <c r="SD288">
        <v>1</v>
      </c>
      <c r="SH288">
        <v>0.995</v>
      </c>
      <c r="SI288">
        <v>0.995</v>
      </c>
      <c r="SJ288">
        <v>0.995</v>
      </c>
      <c r="SK288">
        <v>15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TB288">
        <v>0</v>
      </c>
      <c r="TC288">
        <v>0</v>
      </c>
      <c r="TD288">
        <v>7.5</v>
      </c>
      <c r="TE288" t="s">
        <v>553</v>
      </c>
      <c r="TF288" t="s">
        <v>624</v>
      </c>
      <c r="TG288" t="s">
        <v>555</v>
      </c>
      <c r="TI288" t="s">
        <v>546</v>
      </c>
      <c r="TJ288" t="s">
        <v>547</v>
      </c>
      <c r="TL288" t="s">
        <v>3054</v>
      </c>
      <c r="TM288" t="s">
        <v>513</v>
      </c>
      <c r="TN288">
        <v>0</v>
      </c>
      <c r="TO288" t="s">
        <v>557</v>
      </c>
    </row>
    <row r="289" spans="1:535">
      <c r="A289" t="s">
        <v>3460</v>
      </c>
      <c r="B289" t="s">
        <v>564</v>
      </c>
      <c r="C289" t="s">
        <v>509</v>
      </c>
      <c r="D289" t="s">
        <v>3353</v>
      </c>
      <c r="G289" t="s">
        <v>604</v>
      </c>
      <c r="H289" t="s">
        <v>605</v>
      </c>
      <c r="I289" t="s">
        <v>628</v>
      </c>
      <c r="J289" t="s">
        <v>606</v>
      </c>
      <c r="L289" t="s">
        <v>512</v>
      </c>
      <c r="M289" t="s">
        <v>629</v>
      </c>
      <c r="N289" t="s">
        <v>513</v>
      </c>
      <c r="O289" t="s">
        <v>565</v>
      </c>
      <c r="Q289" t="s">
        <v>3461</v>
      </c>
      <c r="R289" t="s">
        <v>517</v>
      </c>
      <c r="S289" t="s">
        <v>1102</v>
      </c>
      <c r="T289" t="s">
        <v>1103</v>
      </c>
      <c r="U289" t="s">
        <v>633</v>
      </c>
      <c r="V289" t="s">
        <v>634</v>
      </c>
      <c r="W289" t="s">
        <v>2406</v>
      </c>
      <c r="X289" t="s">
        <v>3462</v>
      </c>
      <c r="Y289" t="s">
        <v>574</v>
      </c>
      <c r="Z289" t="s">
        <v>3463</v>
      </c>
      <c r="AA289" t="s">
        <v>3464</v>
      </c>
      <c r="AB289" t="s">
        <v>3465</v>
      </c>
      <c r="AC289">
        <v>2</v>
      </c>
      <c r="AD289">
        <v>57</v>
      </c>
      <c r="AE289">
        <v>215</v>
      </c>
      <c r="AF289">
        <v>1.5</v>
      </c>
      <c r="AH289">
        <v>0</v>
      </c>
      <c r="AI289" t="s">
        <v>1048</v>
      </c>
      <c r="AJ289">
        <v>225</v>
      </c>
      <c r="AK289">
        <v>1</v>
      </c>
      <c r="AL289">
        <v>1.5</v>
      </c>
      <c r="AM289" t="s">
        <v>529</v>
      </c>
      <c r="AO289">
        <v>0</v>
      </c>
      <c r="AR289">
        <v>0</v>
      </c>
      <c r="AS289">
        <v>1.5</v>
      </c>
      <c r="AU289" t="s">
        <v>1192</v>
      </c>
      <c r="AW289" t="s">
        <v>1192</v>
      </c>
      <c r="AX289">
        <v>1</v>
      </c>
      <c r="AY289">
        <v>322.5</v>
      </c>
      <c r="AZ289">
        <v>1.5</v>
      </c>
      <c r="BA289" t="s">
        <v>529</v>
      </c>
      <c r="BB289" t="s">
        <v>3466</v>
      </c>
      <c r="BD289" t="s">
        <v>3466</v>
      </c>
      <c r="BE289">
        <v>1</v>
      </c>
      <c r="BF289">
        <v>262.5</v>
      </c>
      <c r="BG289">
        <v>1.5</v>
      </c>
      <c r="BJ289">
        <v>0</v>
      </c>
      <c r="BN289">
        <v>1.5</v>
      </c>
      <c r="BP289" t="s">
        <v>1696</v>
      </c>
      <c r="BQ289">
        <v>88</v>
      </c>
      <c r="BR289">
        <v>2</v>
      </c>
      <c r="BS289" t="s">
        <v>1697</v>
      </c>
      <c r="BT289">
        <v>237</v>
      </c>
      <c r="BU289">
        <v>0.5</v>
      </c>
      <c r="BV289" t="s">
        <v>1697</v>
      </c>
      <c r="BW289">
        <v>474</v>
      </c>
      <c r="BX289">
        <v>1</v>
      </c>
      <c r="BY289" t="s">
        <v>643</v>
      </c>
      <c r="BZ289">
        <v>470</v>
      </c>
      <c r="CA289">
        <v>550</v>
      </c>
      <c r="CB289" t="s">
        <v>644</v>
      </c>
      <c r="CC289" t="s">
        <v>644</v>
      </c>
      <c r="CD289">
        <v>500</v>
      </c>
      <c r="CE289" t="s">
        <v>544</v>
      </c>
      <c r="CF289">
        <v>15</v>
      </c>
      <c r="CG289" t="s">
        <v>2495</v>
      </c>
      <c r="CH289" t="s">
        <v>2495</v>
      </c>
      <c r="CI289">
        <v>40</v>
      </c>
      <c r="CJ289">
        <v>1301</v>
      </c>
      <c r="CK289">
        <v>2</v>
      </c>
      <c r="CL289">
        <v>1395</v>
      </c>
      <c r="CM289">
        <v>2</v>
      </c>
      <c r="CN289" t="s">
        <v>646</v>
      </c>
      <c r="CO289" t="s">
        <v>647</v>
      </c>
      <c r="CP289" t="s">
        <v>648</v>
      </c>
      <c r="CQ289" t="s">
        <v>621</v>
      </c>
      <c r="CR289" t="s">
        <v>541</v>
      </c>
      <c r="CS289" t="s">
        <v>542</v>
      </c>
      <c r="CT289">
        <v>450</v>
      </c>
      <c r="CU289">
        <v>5</v>
      </c>
      <c r="CV289">
        <v>1.2</v>
      </c>
      <c r="CW289">
        <v>1314</v>
      </c>
      <c r="CX289">
        <v>837</v>
      </c>
      <c r="DD289">
        <v>0</v>
      </c>
      <c r="DE289" t="s">
        <v>543</v>
      </c>
      <c r="DF289">
        <v>645</v>
      </c>
      <c r="DG289">
        <v>3</v>
      </c>
      <c r="DH289">
        <v>1.18</v>
      </c>
      <c r="DI289">
        <v>1312</v>
      </c>
      <c r="DJ289">
        <v>1298</v>
      </c>
      <c r="DK289" t="s">
        <v>543</v>
      </c>
      <c r="DL289">
        <v>525</v>
      </c>
      <c r="DM289">
        <v>3</v>
      </c>
      <c r="DN289">
        <v>1.18</v>
      </c>
      <c r="DO289">
        <v>1319</v>
      </c>
      <c r="DP289">
        <v>1066</v>
      </c>
      <c r="DW289" t="s">
        <v>544</v>
      </c>
      <c r="DX289">
        <v>7.5</v>
      </c>
      <c r="EA289">
        <v>1386.2</v>
      </c>
      <c r="EB289">
        <v>245</v>
      </c>
      <c r="EC289" t="s">
        <v>545</v>
      </c>
      <c r="ED289">
        <v>40</v>
      </c>
      <c r="EE289">
        <v>3</v>
      </c>
      <c r="EG289">
        <v>1427</v>
      </c>
      <c r="EH289">
        <v>228</v>
      </c>
      <c r="EJ289">
        <v>0</v>
      </c>
      <c r="EK289">
        <v>1</v>
      </c>
      <c r="EN289">
        <v>0</v>
      </c>
      <c r="EP289" t="s">
        <v>546</v>
      </c>
      <c r="EQ289">
        <v>135</v>
      </c>
      <c r="ER289">
        <v>3</v>
      </c>
      <c r="ES289">
        <v>5.5</v>
      </c>
      <c r="ET289">
        <v>1298</v>
      </c>
      <c r="EU289">
        <v>586.9</v>
      </c>
      <c r="EV289">
        <v>762</v>
      </c>
      <c r="EW289" t="s">
        <v>547</v>
      </c>
      <c r="EX289">
        <v>70</v>
      </c>
      <c r="EY289">
        <v>2</v>
      </c>
      <c r="EZ289">
        <v>4.3</v>
      </c>
      <c r="FA289">
        <v>1298</v>
      </c>
      <c r="FB289">
        <v>208.3</v>
      </c>
      <c r="FC289">
        <v>270</v>
      </c>
      <c r="FE289">
        <v>0</v>
      </c>
      <c r="FF289">
        <v>2</v>
      </c>
      <c r="FI289">
        <v>0</v>
      </c>
      <c r="FK289" t="s">
        <v>548</v>
      </c>
      <c r="FL289">
        <v>0.4</v>
      </c>
      <c r="FM289">
        <v>130</v>
      </c>
      <c r="FN289">
        <v>130</v>
      </c>
      <c r="GR289" t="s">
        <v>548</v>
      </c>
      <c r="GS289">
        <v>0.4</v>
      </c>
      <c r="GT289">
        <v>110</v>
      </c>
      <c r="GU289">
        <v>280</v>
      </c>
      <c r="HC289">
        <v>0.1</v>
      </c>
      <c r="HD289">
        <v>3</v>
      </c>
      <c r="HE289">
        <v>3</v>
      </c>
      <c r="HF289">
        <v>3</v>
      </c>
      <c r="HG289">
        <v>3</v>
      </c>
      <c r="HH289">
        <v>3</v>
      </c>
      <c r="HI289">
        <v>190</v>
      </c>
      <c r="HJ289">
        <v>3</v>
      </c>
      <c r="HK289">
        <v>55</v>
      </c>
      <c r="HL289">
        <v>2</v>
      </c>
      <c r="HM289">
        <v>0</v>
      </c>
      <c r="HN289">
        <v>2</v>
      </c>
      <c r="HO289">
        <v>120</v>
      </c>
      <c r="HP289">
        <v>3</v>
      </c>
      <c r="HQ289">
        <v>0</v>
      </c>
      <c r="HR289">
        <v>2</v>
      </c>
      <c r="HS289">
        <v>6211</v>
      </c>
      <c r="HT289">
        <v>190</v>
      </c>
      <c r="HU289">
        <v>180</v>
      </c>
      <c r="HW289">
        <v>0</v>
      </c>
      <c r="HX289">
        <v>640</v>
      </c>
      <c r="HY289">
        <v>0.18</v>
      </c>
      <c r="IA289">
        <v>0.15</v>
      </c>
      <c r="IB289">
        <v>0</v>
      </c>
      <c r="IC289">
        <v>180</v>
      </c>
      <c r="ID289">
        <v>110</v>
      </c>
      <c r="IE289">
        <v>225</v>
      </c>
      <c r="IF289">
        <v>0</v>
      </c>
      <c r="IH289" t="s">
        <v>549</v>
      </c>
      <c r="IO289">
        <v>3</v>
      </c>
      <c r="IP289">
        <v>17</v>
      </c>
      <c r="IQ289">
        <v>0</v>
      </c>
      <c r="IR289">
        <v>1</v>
      </c>
      <c r="IV289">
        <v>1301</v>
      </c>
      <c r="IW289">
        <v>474</v>
      </c>
      <c r="JA289">
        <v>1</v>
      </c>
      <c r="JB289">
        <v>0</v>
      </c>
      <c r="JC289">
        <v>2</v>
      </c>
      <c r="JD289">
        <v>1314</v>
      </c>
      <c r="JE289">
        <v>1312</v>
      </c>
      <c r="JF289">
        <v>1319</v>
      </c>
      <c r="JG289">
        <v>1298</v>
      </c>
      <c r="JH289">
        <v>0</v>
      </c>
      <c r="JJ289">
        <v>180</v>
      </c>
      <c r="JK289">
        <v>640</v>
      </c>
      <c r="JN289">
        <v>450</v>
      </c>
      <c r="JO289">
        <v>645</v>
      </c>
      <c r="JP289">
        <v>525</v>
      </c>
      <c r="JQ289">
        <v>0</v>
      </c>
      <c r="JR289">
        <v>430</v>
      </c>
      <c r="JS289">
        <v>190</v>
      </c>
      <c r="JV289">
        <v>8</v>
      </c>
      <c r="JW289" t="s">
        <v>550</v>
      </c>
      <c r="JX289">
        <v>0</v>
      </c>
      <c r="KA289">
        <v>225</v>
      </c>
      <c r="KB289">
        <v>110</v>
      </c>
      <c r="KC289">
        <v>0</v>
      </c>
      <c r="KD289">
        <v>80</v>
      </c>
      <c r="KF289">
        <v>4</v>
      </c>
      <c r="KG289">
        <v>2</v>
      </c>
      <c r="KH289">
        <v>2</v>
      </c>
      <c r="KI289">
        <v>2</v>
      </c>
      <c r="KJ289">
        <v>0</v>
      </c>
      <c r="KK289">
        <v>1.5</v>
      </c>
      <c r="KL289">
        <v>1.5</v>
      </c>
      <c r="KM289">
        <v>0</v>
      </c>
      <c r="KN289">
        <v>0</v>
      </c>
      <c r="KO289">
        <v>0</v>
      </c>
      <c r="KR289">
        <v>30</v>
      </c>
      <c r="KS289">
        <v>60</v>
      </c>
      <c r="KT289">
        <v>0</v>
      </c>
      <c r="LK289">
        <v>480</v>
      </c>
      <c r="PG289">
        <v>1</v>
      </c>
      <c r="PI289" t="s">
        <v>3465</v>
      </c>
      <c r="PJ289" t="s">
        <v>1192</v>
      </c>
      <c r="PK289" t="s">
        <v>3466</v>
      </c>
      <c r="PL289" t="s">
        <v>1048</v>
      </c>
      <c r="PP289" t="s">
        <v>1696</v>
      </c>
      <c r="PX289">
        <v>56</v>
      </c>
      <c r="PY289">
        <v>57</v>
      </c>
      <c r="PZ289" t="s">
        <v>3465</v>
      </c>
      <c r="QA289">
        <v>3</v>
      </c>
      <c r="QB289">
        <v>1298</v>
      </c>
      <c r="QC289">
        <v>69</v>
      </c>
      <c r="QD289">
        <v>69</v>
      </c>
      <c r="QE289" t="s">
        <v>1048</v>
      </c>
      <c r="QF289">
        <v>1</v>
      </c>
      <c r="QG289">
        <v>1314</v>
      </c>
      <c r="QH289">
        <v>66</v>
      </c>
      <c r="QI289">
        <v>66</v>
      </c>
      <c r="QL289">
        <v>0</v>
      </c>
      <c r="QM289">
        <v>62</v>
      </c>
      <c r="QN289">
        <v>62</v>
      </c>
      <c r="QO289" t="s">
        <v>1192</v>
      </c>
      <c r="QP289">
        <v>1</v>
      </c>
      <c r="QQ289">
        <v>1312</v>
      </c>
      <c r="QR289">
        <v>62</v>
      </c>
      <c r="QS289">
        <v>62</v>
      </c>
      <c r="QT289" t="s">
        <v>3466</v>
      </c>
      <c r="QU289">
        <v>1</v>
      </c>
      <c r="QV289">
        <v>1319</v>
      </c>
      <c r="QW289">
        <v>82</v>
      </c>
      <c r="QX289">
        <v>88</v>
      </c>
      <c r="QY289" t="s">
        <v>1696</v>
      </c>
      <c r="QZ289">
        <v>1</v>
      </c>
      <c r="RA289">
        <v>66</v>
      </c>
      <c r="RB289">
        <v>66</v>
      </c>
      <c r="RE289">
        <v>0</v>
      </c>
      <c r="RF289">
        <v>1</v>
      </c>
      <c r="RH289">
        <v>1</v>
      </c>
      <c r="RJ289">
        <v>1</v>
      </c>
      <c r="RL289">
        <v>1</v>
      </c>
      <c r="RM289">
        <v>1</v>
      </c>
      <c r="RO289">
        <v>637</v>
      </c>
      <c r="RQ289">
        <v>989</v>
      </c>
      <c r="RR289">
        <v>808</v>
      </c>
      <c r="RT289">
        <v>245</v>
      </c>
      <c r="RU289">
        <v>228</v>
      </c>
      <c r="RV289" t="s">
        <v>1698</v>
      </c>
      <c r="RW289" t="s">
        <v>653</v>
      </c>
      <c r="RX289">
        <v>15</v>
      </c>
      <c r="RY289">
        <v>4</v>
      </c>
      <c r="RZ289" t="s">
        <v>653</v>
      </c>
      <c r="SA289">
        <v>15</v>
      </c>
      <c r="SC289" t="s">
        <v>1192</v>
      </c>
      <c r="SD289">
        <v>1</v>
      </c>
      <c r="SF289" t="s">
        <v>3466</v>
      </c>
      <c r="SG289">
        <v>1</v>
      </c>
      <c r="SH289">
        <v>0.995</v>
      </c>
      <c r="SI289">
        <v>0.995</v>
      </c>
      <c r="SJ289">
        <v>0.995</v>
      </c>
      <c r="SK289">
        <v>15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Z289">
        <v>1</v>
      </c>
      <c r="TB289">
        <v>0</v>
      </c>
      <c r="TC289">
        <v>0</v>
      </c>
      <c r="TD289">
        <v>7.5</v>
      </c>
      <c r="TE289" t="s">
        <v>553</v>
      </c>
      <c r="TF289" t="s">
        <v>624</v>
      </c>
      <c r="TG289" t="s">
        <v>555</v>
      </c>
      <c r="TI289" t="s">
        <v>546</v>
      </c>
      <c r="TJ289" t="s">
        <v>547</v>
      </c>
      <c r="TL289" t="s">
        <v>3054</v>
      </c>
      <c r="TM289" t="s">
        <v>513</v>
      </c>
      <c r="TN289">
        <v>0</v>
      </c>
      <c r="TO289" t="s">
        <v>557</v>
      </c>
    </row>
    <row r="290" spans="1:535">
      <c r="A290" t="s">
        <v>3467</v>
      </c>
      <c r="B290" t="s">
        <v>559</v>
      </c>
      <c r="C290" t="s">
        <v>509</v>
      </c>
      <c r="D290" t="s">
        <v>2828</v>
      </c>
      <c r="G290" t="s">
        <v>604</v>
      </c>
      <c r="H290" t="s">
        <v>605</v>
      </c>
      <c r="I290" t="s">
        <v>628</v>
      </c>
      <c r="J290" t="s">
        <v>606</v>
      </c>
      <c r="L290" t="s">
        <v>512</v>
      </c>
      <c r="M290" t="s">
        <v>564</v>
      </c>
      <c r="N290" t="s">
        <v>513</v>
      </c>
      <c r="O290" t="s">
        <v>565</v>
      </c>
      <c r="Q290" t="s">
        <v>3468</v>
      </c>
      <c r="R290" t="s">
        <v>517</v>
      </c>
      <c r="S290" t="s">
        <v>660</v>
      </c>
      <c r="T290" t="s">
        <v>661</v>
      </c>
      <c r="U290" t="s">
        <v>662</v>
      </c>
      <c r="V290" t="s">
        <v>663</v>
      </c>
      <c r="W290" t="s">
        <v>2372</v>
      </c>
      <c r="X290" t="s">
        <v>3058</v>
      </c>
      <c r="Y290" t="s">
        <v>524</v>
      </c>
      <c r="Z290" t="s">
        <v>3469</v>
      </c>
      <c r="AA290" t="s">
        <v>3470</v>
      </c>
      <c r="AB290" t="s">
        <v>3471</v>
      </c>
      <c r="AC290">
        <v>2</v>
      </c>
      <c r="AD290">
        <v>57</v>
      </c>
      <c r="AE290">
        <v>184</v>
      </c>
      <c r="AF290">
        <v>1.5</v>
      </c>
      <c r="AH290">
        <v>0</v>
      </c>
      <c r="AI290" t="s">
        <v>1723</v>
      </c>
      <c r="AJ290">
        <v>195</v>
      </c>
      <c r="AK290">
        <v>1</v>
      </c>
      <c r="AL290">
        <v>1.5</v>
      </c>
      <c r="AM290" t="s">
        <v>529</v>
      </c>
      <c r="AO290">
        <v>0</v>
      </c>
      <c r="AR290">
        <v>0</v>
      </c>
      <c r="AS290">
        <v>1.5</v>
      </c>
      <c r="AV290" t="s">
        <v>3472</v>
      </c>
      <c r="AW290" t="s">
        <v>3472</v>
      </c>
      <c r="AX290">
        <v>1</v>
      </c>
      <c r="AY290">
        <v>275</v>
      </c>
      <c r="AZ290">
        <v>1.5</v>
      </c>
      <c r="BA290" t="s">
        <v>529</v>
      </c>
      <c r="BG290">
        <v>1.5</v>
      </c>
      <c r="BJ290">
        <v>0</v>
      </c>
      <c r="BN290">
        <v>1.5</v>
      </c>
      <c r="BP290" t="s">
        <v>2377</v>
      </c>
      <c r="BQ290">
        <v>84</v>
      </c>
      <c r="BR290">
        <v>2</v>
      </c>
      <c r="BS290" t="s">
        <v>2149</v>
      </c>
      <c r="BT290">
        <v>206</v>
      </c>
      <c r="BU290">
        <v>0.5</v>
      </c>
      <c r="BV290" t="s">
        <v>2149</v>
      </c>
      <c r="BW290">
        <v>412</v>
      </c>
      <c r="BX290">
        <v>1</v>
      </c>
      <c r="BY290" t="s">
        <v>643</v>
      </c>
      <c r="BZ290">
        <v>290</v>
      </c>
      <c r="CA290">
        <v>510</v>
      </c>
      <c r="CB290" t="s">
        <v>672</v>
      </c>
      <c r="CC290" t="s">
        <v>644</v>
      </c>
      <c r="CD290">
        <v>434</v>
      </c>
      <c r="CE290" t="s">
        <v>673</v>
      </c>
      <c r="CF290">
        <v>15</v>
      </c>
      <c r="CG290" t="s">
        <v>1196</v>
      </c>
      <c r="CH290" t="s">
        <v>1196</v>
      </c>
      <c r="CI290">
        <v>110</v>
      </c>
      <c r="CJ290">
        <v>1381</v>
      </c>
      <c r="CK290">
        <v>2</v>
      </c>
      <c r="CL290">
        <v>1475</v>
      </c>
      <c r="CM290">
        <v>2</v>
      </c>
      <c r="CN290" t="s">
        <v>675</v>
      </c>
      <c r="CO290" t="s">
        <v>676</v>
      </c>
      <c r="CP290" t="s">
        <v>595</v>
      </c>
      <c r="CQ290" t="s">
        <v>649</v>
      </c>
      <c r="CR290" t="s">
        <v>650</v>
      </c>
      <c r="CS290" t="s">
        <v>542</v>
      </c>
      <c r="CT290">
        <v>390</v>
      </c>
      <c r="CU290">
        <v>5</v>
      </c>
      <c r="CV290">
        <v>1.2</v>
      </c>
      <c r="CW290">
        <v>1393</v>
      </c>
      <c r="CX290">
        <v>769</v>
      </c>
      <c r="DD290">
        <v>0</v>
      </c>
      <c r="DE290" t="s">
        <v>543</v>
      </c>
      <c r="DF290">
        <v>550</v>
      </c>
      <c r="DG290">
        <v>3</v>
      </c>
      <c r="DH290">
        <v>1.18</v>
      </c>
      <c r="DI290">
        <v>1391</v>
      </c>
      <c r="DJ290">
        <v>1303</v>
      </c>
      <c r="DW290" t="s">
        <v>544</v>
      </c>
      <c r="DX290">
        <v>7.5</v>
      </c>
      <c r="EA290">
        <v>1461.1</v>
      </c>
      <c r="EB290">
        <v>258</v>
      </c>
      <c r="EC290" t="s">
        <v>545</v>
      </c>
      <c r="ED290">
        <v>30</v>
      </c>
      <c r="EE290">
        <v>3</v>
      </c>
      <c r="EG290">
        <v>1502</v>
      </c>
      <c r="EH290">
        <v>184</v>
      </c>
      <c r="EJ290">
        <v>0</v>
      </c>
      <c r="EK290">
        <v>1</v>
      </c>
      <c r="EN290">
        <v>0</v>
      </c>
      <c r="EP290" t="s">
        <v>546</v>
      </c>
      <c r="EQ290">
        <v>95</v>
      </c>
      <c r="ER290">
        <v>3</v>
      </c>
      <c r="ES290">
        <v>5.5</v>
      </c>
      <c r="ET290">
        <v>1378</v>
      </c>
      <c r="EU290">
        <v>401.1</v>
      </c>
      <c r="EV290">
        <v>553</v>
      </c>
      <c r="EW290" t="s">
        <v>547</v>
      </c>
      <c r="EX290">
        <v>70</v>
      </c>
      <c r="EY290">
        <v>2</v>
      </c>
      <c r="EZ290">
        <v>4.3</v>
      </c>
      <c r="FA290">
        <v>1378</v>
      </c>
      <c r="FB290">
        <v>219.9</v>
      </c>
      <c r="FC290">
        <v>303</v>
      </c>
      <c r="FE290">
        <v>0</v>
      </c>
      <c r="FF290">
        <v>2</v>
      </c>
      <c r="FI290">
        <v>0</v>
      </c>
      <c r="FK290" t="s">
        <v>548</v>
      </c>
      <c r="FL290">
        <v>0.4</v>
      </c>
      <c r="FM290">
        <v>80</v>
      </c>
      <c r="FN290">
        <v>150</v>
      </c>
      <c r="FR290" t="s">
        <v>548</v>
      </c>
      <c r="FS290">
        <v>0.4</v>
      </c>
      <c r="FT290">
        <v>30</v>
      </c>
      <c r="FU290">
        <v>380</v>
      </c>
      <c r="FV290">
        <v>30</v>
      </c>
      <c r="FW290">
        <v>260</v>
      </c>
      <c r="FY290" t="s">
        <v>651</v>
      </c>
      <c r="FZ290">
        <v>1.6</v>
      </c>
      <c r="GA290">
        <v>20</v>
      </c>
      <c r="GB290">
        <v>166</v>
      </c>
      <c r="GG290" t="s">
        <v>651</v>
      </c>
      <c r="GH290">
        <v>1.6</v>
      </c>
      <c r="GI290">
        <v>20</v>
      </c>
      <c r="GJ290">
        <v>166</v>
      </c>
      <c r="HC290">
        <v>0.1</v>
      </c>
      <c r="HD290">
        <v>3</v>
      </c>
      <c r="HE290">
        <v>3</v>
      </c>
      <c r="HF290">
        <v>3</v>
      </c>
      <c r="HG290">
        <v>3</v>
      </c>
      <c r="HH290">
        <v>3</v>
      </c>
      <c r="HI290">
        <v>150</v>
      </c>
      <c r="HJ290">
        <v>3</v>
      </c>
      <c r="HK290">
        <v>55</v>
      </c>
      <c r="HL290">
        <v>2</v>
      </c>
      <c r="HM290">
        <v>0</v>
      </c>
      <c r="HN290">
        <v>2</v>
      </c>
      <c r="HO290">
        <v>80</v>
      </c>
      <c r="HP290">
        <v>3</v>
      </c>
      <c r="HQ290">
        <v>0</v>
      </c>
      <c r="HR290">
        <v>2</v>
      </c>
      <c r="HS290">
        <v>4668</v>
      </c>
      <c r="HT290">
        <v>140</v>
      </c>
      <c r="HU290">
        <v>180</v>
      </c>
      <c r="HW290">
        <v>0</v>
      </c>
      <c r="HX290">
        <v>500</v>
      </c>
      <c r="HY290">
        <v>0.18</v>
      </c>
      <c r="IA290">
        <v>0.15</v>
      </c>
      <c r="IB290">
        <v>0</v>
      </c>
      <c r="IC290">
        <v>180</v>
      </c>
      <c r="ID290">
        <v>110</v>
      </c>
      <c r="IE290">
        <v>0</v>
      </c>
      <c r="IF290">
        <v>0</v>
      </c>
      <c r="IH290" t="s">
        <v>549</v>
      </c>
      <c r="IO290">
        <v>1</v>
      </c>
      <c r="IP290">
        <v>18</v>
      </c>
      <c r="IQ290">
        <v>0</v>
      </c>
      <c r="IR290">
        <v>1</v>
      </c>
      <c r="IV290">
        <v>1381</v>
      </c>
      <c r="IW290">
        <v>412</v>
      </c>
      <c r="JA290">
        <v>1</v>
      </c>
      <c r="JB290">
        <v>0</v>
      </c>
      <c r="JC290">
        <v>2</v>
      </c>
      <c r="JD290">
        <v>1393</v>
      </c>
      <c r="JE290">
        <v>1391</v>
      </c>
      <c r="JF290">
        <v>0</v>
      </c>
      <c r="JG290">
        <v>1378</v>
      </c>
      <c r="JH290">
        <v>0</v>
      </c>
      <c r="JJ290">
        <v>180</v>
      </c>
      <c r="JK290">
        <v>500</v>
      </c>
      <c r="JN290">
        <v>390</v>
      </c>
      <c r="JO290">
        <v>550</v>
      </c>
      <c r="JP290">
        <v>0</v>
      </c>
      <c r="JQ290">
        <v>0</v>
      </c>
      <c r="JR290">
        <v>368</v>
      </c>
      <c r="JS290">
        <v>150</v>
      </c>
      <c r="JV290">
        <v>8</v>
      </c>
      <c r="JW290" t="s">
        <v>550</v>
      </c>
      <c r="JX290">
        <v>0</v>
      </c>
      <c r="KA290">
        <v>0</v>
      </c>
      <c r="KB290">
        <v>110</v>
      </c>
      <c r="KC290">
        <v>0</v>
      </c>
      <c r="KD290">
        <v>80</v>
      </c>
      <c r="KF290">
        <v>4</v>
      </c>
      <c r="KG290">
        <v>4</v>
      </c>
      <c r="KH290">
        <v>2</v>
      </c>
      <c r="KI290">
        <v>2</v>
      </c>
      <c r="KJ290">
        <v>0</v>
      </c>
      <c r="KK290">
        <v>1.5</v>
      </c>
      <c r="KL290">
        <v>1.5</v>
      </c>
      <c r="KM290">
        <v>0</v>
      </c>
      <c r="KN290">
        <v>0</v>
      </c>
      <c r="KO290">
        <v>0</v>
      </c>
      <c r="KR290">
        <v>50</v>
      </c>
      <c r="KS290">
        <v>60</v>
      </c>
      <c r="KT290">
        <v>0</v>
      </c>
      <c r="LK290">
        <v>480</v>
      </c>
      <c r="PG290">
        <v>1</v>
      </c>
      <c r="PI290" t="s">
        <v>3471</v>
      </c>
      <c r="PJ290" t="s">
        <v>3472</v>
      </c>
      <c r="PL290" t="s">
        <v>1723</v>
      </c>
      <c r="PP290" t="s">
        <v>2377</v>
      </c>
      <c r="PX290">
        <v>56</v>
      </c>
      <c r="PY290">
        <v>57</v>
      </c>
      <c r="PZ290" t="s">
        <v>3471</v>
      </c>
      <c r="QA290">
        <v>4</v>
      </c>
      <c r="QB290">
        <v>1378</v>
      </c>
      <c r="QC290">
        <v>69</v>
      </c>
      <c r="QD290">
        <v>69</v>
      </c>
      <c r="QE290" t="s">
        <v>1723</v>
      </c>
      <c r="QF290">
        <v>1</v>
      </c>
      <c r="QG290">
        <v>1393</v>
      </c>
      <c r="QH290">
        <v>66</v>
      </c>
      <c r="QI290">
        <v>66</v>
      </c>
      <c r="QL290">
        <v>0</v>
      </c>
      <c r="QM290">
        <v>63</v>
      </c>
      <c r="QN290">
        <v>63</v>
      </c>
      <c r="QO290" t="s">
        <v>3472</v>
      </c>
      <c r="QP290">
        <v>1</v>
      </c>
      <c r="QQ290">
        <v>1391</v>
      </c>
      <c r="QW290">
        <v>82</v>
      </c>
      <c r="QX290">
        <v>84</v>
      </c>
      <c r="QY290" t="s">
        <v>2377</v>
      </c>
      <c r="QZ290">
        <v>1</v>
      </c>
      <c r="RA290">
        <v>66</v>
      </c>
      <c r="RB290">
        <v>66</v>
      </c>
      <c r="RE290">
        <v>0</v>
      </c>
      <c r="RG290">
        <v>1</v>
      </c>
      <c r="RJ290">
        <v>1</v>
      </c>
      <c r="RL290">
        <v>1</v>
      </c>
      <c r="RO290">
        <v>552</v>
      </c>
      <c r="RQ290">
        <v>937</v>
      </c>
      <c r="RT290">
        <v>258</v>
      </c>
      <c r="RU290">
        <v>184</v>
      </c>
      <c r="RV290" t="s">
        <v>2150</v>
      </c>
      <c r="RW290" t="s">
        <v>679</v>
      </c>
      <c r="RX290">
        <v>15</v>
      </c>
      <c r="RY290">
        <v>4</v>
      </c>
      <c r="RZ290" t="s">
        <v>679</v>
      </c>
      <c r="SA290">
        <v>15</v>
      </c>
      <c r="SB290" t="s">
        <v>3473</v>
      </c>
      <c r="SC290" t="s">
        <v>3473</v>
      </c>
      <c r="SD290">
        <v>1</v>
      </c>
      <c r="SH290">
        <v>0.995</v>
      </c>
      <c r="SI290">
        <v>0.995</v>
      </c>
      <c r="SJ290">
        <v>0.995</v>
      </c>
      <c r="SK290">
        <v>15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TB290">
        <v>0</v>
      </c>
      <c r="TC290">
        <v>0</v>
      </c>
      <c r="TD290">
        <v>7.5</v>
      </c>
      <c r="TE290" t="s">
        <v>553</v>
      </c>
      <c r="TF290" t="s">
        <v>624</v>
      </c>
      <c r="TG290" t="s">
        <v>555</v>
      </c>
      <c r="TI290" t="s">
        <v>546</v>
      </c>
      <c r="TJ290" t="s">
        <v>547</v>
      </c>
      <c r="TL290" t="s">
        <v>3054</v>
      </c>
      <c r="TM290" t="s">
        <v>513</v>
      </c>
      <c r="TN290">
        <v>0</v>
      </c>
      <c r="TO290" t="s">
        <v>557</v>
      </c>
    </row>
    <row r="291" spans="1:535">
      <c r="A291" t="s">
        <v>3474</v>
      </c>
      <c r="B291" t="s">
        <v>508</v>
      </c>
      <c r="C291" t="s">
        <v>509</v>
      </c>
      <c r="D291" t="s">
        <v>3475</v>
      </c>
      <c r="G291" t="s">
        <v>1088</v>
      </c>
      <c r="I291" t="s">
        <v>562</v>
      </c>
      <c r="L291" t="s">
        <v>512</v>
      </c>
      <c r="N291" t="s">
        <v>513</v>
      </c>
      <c r="O291" t="s">
        <v>1255</v>
      </c>
      <c r="P291" t="s">
        <v>515</v>
      </c>
      <c r="Q291" t="s">
        <v>3476</v>
      </c>
      <c r="R291" t="s">
        <v>567</v>
      </c>
      <c r="S291" t="s">
        <v>518</v>
      </c>
      <c r="T291" t="s">
        <v>519</v>
      </c>
      <c r="U291" t="s">
        <v>520</v>
      </c>
      <c r="V291" t="s">
        <v>521</v>
      </c>
      <c r="W291" t="s">
        <v>1980</v>
      </c>
      <c r="X291" t="s">
        <v>3477</v>
      </c>
      <c r="Y291" t="s">
        <v>524</v>
      </c>
      <c r="Z291" t="s">
        <v>3478</v>
      </c>
      <c r="AA291" t="s">
        <v>3479</v>
      </c>
      <c r="AB291" t="s">
        <v>3480</v>
      </c>
      <c r="AC291">
        <v>2</v>
      </c>
      <c r="AD291">
        <v>57</v>
      </c>
      <c r="AE291">
        <v>191</v>
      </c>
      <c r="AF291">
        <v>1.5</v>
      </c>
      <c r="AH291">
        <v>0</v>
      </c>
      <c r="AI291" t="s">
        <v>2224</v>
      </c>
      <c r="AJ291">
        <v>175</v>
      </c>
      <c r="AK291">
        <v>1</v>
      </c>
      <c r="AL291">
        <v>1.5</v>
      </c>
      <c r="AM291" t="s">
        <v>579</v>
      </c>
      <c r="AN291" t="s">
        <v>855</v>
      </c>
      <c r="AO291">
        <v>2</v>
      </c>
      <c r="AP291" t="s">
        <v>581</v>
      </c>
      <c r="AQ291" t="s">
        <v>582</v>
      </c>
      <c r="AR291">
        <v>212</v>
      </c>
      <c r="AS291">
        <v>1.5</v>
      </c>
      <c r="AT291" t="s">
        <v>583</v>
      </c>
      <c r="AU291" t="s">
        <v>3481</v>
      </c>
      <c r="AW291" t="s">
        <v>3481</v>
      </c>
      <c r="AX291">
        <v>1</v>
      </c>
      <c r="AY291">
        <v>322.5</v>
      </c>
      <c r="AZ291">
        <v>1.5</v>
      </c>
      <c r="BA291" t="s">
        <v>579</v>
      </c>
      <c r="BG291">
        <v>1.5</v>
      </c>
      <c r="BJ291">
        <v>0</v>
      </c>
      <c r="BN291">
        <v>1.5</v>
      </c>
      <c r="BP291" t="s">
        <v>3482</v>
      </c>
      <c r="BQ291">
        <v>82</v>
      </c>
      <c r="BR291">
        <v>2</v>
      </c>
      <c r="BS291" t="s">
        <v>2227</v>
      </c>
      <c r="BT291">
        <v>191</v>
      </c>
      <c r="BU291">
        <v>0.5</v>
      </c>
      <c r="BV291" t="s">
        <v>2227</v>
      </c>
      <c r="BW291">
        <v>382</v>
      </c>
      <c r="BX291">
        <v>1</v>
      </c>
      <c r="BY291" t="s">
        <v>533</v>
      </c>
      <c r="BZ291">
        <v>300</v>
      </c>
      <c r="CA291">
        <v>400</v>
      </c>
      <c r="CB291" t="s">
        <v>534</v>
      </c>
      <c r="CC291" t="s">
        <v>534</v>
      </c>
      <c r="CD291">
        <v>416</v>
      </c>
      <c r="CE291" t="s">
        <v>535</v>
      </c>
      <c r="CF291">
        <v>15</v>
      </c>
      <c r="CG291" t="s">
        <v>1577</v>
      </c>
      <c r="CH291" t="s">
        <v>1577</v>
      </c>
      <c r="CI291">
        <v>50</v>
      </c>
      <c r="CJ291">
        <v>1200</v>
      </c>
      <c r="CK291">
        <v>2</v>
      </c>
      <c r="CL291">
        <v>1301</v>
      </c>
      <c r="CM291">
        <v>2</v>
      </c>
      <c r="CN291" t="s">
        <v>537</v>
      </c>
      <c r="CO291" t="s">
        <v>538</v>
      </c>
      <c r="CP291" t="s">
        <v>539</v>
      </c>
      <c r="CQ291" t="s">
        <v>1343</v>
      </c>
      <c r="CR291" t="s">
        <v>541</v>
      </c>
      <c r="CS291" t="s">
        <v>542</v>
      </c>
      <c r="CT291">
        <v>350</v>
      </c>
      <c r="CU291">
        <v>5</v>
      </c>
      <c r="CV291">
        <v>1.3</v>
      </c>
      <c r="CW291">
        <v>1218</v>
      </c>
      <c r="CX291">
        <v>654</v>
      </c>
      <c r="CY291" t="s">
        <v>597</v>
      </c>
      <c r="CZ291">
        <v>50</v>
      </c>
      <c r="DA291">
        <v>3</v>
      </c>
      <c r="DB291">
        <v>1.28</v>
      </c>
      <c r="DC291">
        <v>1218</v>
      </c>
      <c r="DD291">
        <v>86</v>
      </c>
      <c r="DE291" t="s">
        <v>543</v>
      </c>
      <c r="DF291">
        <v>645</v>
      </c>
      <c r="DG291">
        <v>3</v>
      </c>
      <c r="DH291">
        <v>1.18</v>
      </c>
      <c r="DI291">
        <v>1210</v>
      </c>
      <c r="DJ291">
        <v>1186</v>
      </c>
      <c r="DW291" t="s">
        <v>544</v>
      </c>
      <c r="DX291">
        <v>7.5</v>
      </c>
      <c r="EA291">
        <v>1282.5</v>
      </c>
      <c r="EB291">
        <v>242</v>
      </c>
      <c r="EC291" t="s">
        <v>545</v>
      </c>
      <c r="ED291">
        <v>25</v>
      </c>
      <c r="EE291">
        <v>3</v>
      </c>
      <c r="EG291">
        <v>1323</v>
      </c>
      <c r="EH291">
        <v>143</v>
      </c>
      <c r="EJ291">
        <v>0</v>
      </c>
      <c r="EK291">
        <v>1</v>
      </c>
      <c r="EN291">
        <v>0</v>
      </c>
      <c r="EP291" t="s">
        <v>546</v>
      </c>
      <c r="EQ291">
        <v>95</v>
      </c>
      <c r="ER291">
        <v>3</v>
      </c>
      <c r="ES291">
        <v>5.7</v>
      </c>
      <c r="ET291">
        <v>1199</v>
      </c>
      <c r="EU291">
        <v>427.2</v>
      </c>
      <c r="EV291">
        <v>512</v>
      </c>
      <c r="EW291" t="s">
        <v>547</v>
      </c>
      <c r="EX291">
        <v>45</v>
      </c>
      <c r="EY291">
        <v>2</v>
      </c>
      <c r="EZ291">
        <v>4</v>
      </c>
      <c r="FA291">
        <v>1199</v>
      </c>
      <c r="FB291">
        <v>106.3</v>
      </c>
      <c r="FC291">
        <v>127</v>
      </c>
      <c r="FE291">
        <v>0</v>
      </c>
      <c r="FF291">
        <v>2</v>
      </c>
      <c r="FI291">
        <v>0</v>
      </c>
      <c r="FK291" t="s">
        <v>548</v>
      </c>
      <c r="FL291">
        <v>0.4</v>
      </c>
      <c r="FM291">
        <v>30</v>
      </c>
      <c r="FN291">
        <v>340</v>
      </c>
      <c r="FO291">
        <v>90</v>
      </c>
      <c r="FP291">
        <v>100</v>
      </c>
      <c r="HC291">
        <v>0.1</v>
      </c>
      <c r="HD291">
        <v>3</v>
      </c>
      <c r="HE291">
        <v>3</v>
      </c>
      <c r="HF291">
        <v>3</v>
      </c>
      <c r="HG291">
        <v>3</v>
      </c>
      <c r="HH291">
        <v>3</v>
      </c>
      <c r="HI291">
        <v>125</v>
      </c>
      <c r="HJ291">
        <v>3</v>
      </c>
      <c r="HK291">
        <v>30</v>
      </c>
      <c r="HL291">
        <v>2</v>
      </c>
      <c r="HM291">
        <v>0</v>
      </c>
      <c r="HN291">
        <v>2</v>
      </c>
      <c r="HO291">
        <v>80</v>
      </c>
      <c r="HP291">
        <v>3</v>
      </c>
      <c r="HQ291">
        <v>0</v>
      </c>
      <c r="HR291">
        <v>2</v>
      </c>
      <c r="HS291">
        <v>4060</v>
      </c>
      <c r="HT291">
        <v>120</v>
      </c>
      <c r="HU291">
        <v>170</v>
      </c>
      <c r="HW291">
        <v>20</v>
      </c>
      <c r="HX291">
        <v>456</v>
      </c>
      <c r="HY291">
        <v>0.18</v>
      </c>
      <c r="IA291">
        <v>0.15</v>
      </c>
      <c r="IB291">
        <v>0</v>
      </c>
      <c r="IC291">
        <v>180</v>
      </c>
      <c r="ID291">
        <v>110</v>
      </c>
      <c r="IE291">
        <v>0</v>
      </c>
      <c r="IF291">
        <v>0</v>
      </c>
      <c r="IH291" t="s">
        <v>549</v>
      </c>
      <c r="IO291">
        <v>1</v>
      </c>
      <c r="IP291">
        <v>16</v>
      </c>
      <c r="IQ291">
        <v>1</v>
      </c>
      <c r="IR291">
        <v>0</v>
      </c>
      <c r="IV291">
        <v>1200</v>
      </c>
      <c r="IW291">
        <v>382</v>
      </c>
      <c r="JA291">
        <v>1</v>
      </c>
      <c r="JB291">
        <v>0</v>
      </c>
      <c r="JC291">
        <v>2</v>
      </c>
      <c r="JD291">
        <v>1218</v>
      </c>
      <c r="JE291">
        <v>1210</v>
      </c>
      <c r="JF291">
        <v>0</v>
      </c>
      <c r="JG291">
        <v>1199</v>
      </c>
      <c r="JH291">
        <v>0</v>
      </c>
      <c r="JJ291">
        <v>170</v>
      </c>
      <c r="JK291">
        <v>456</v>
      </c>
      <c r="JN291">
        <v>350</v>
      </c>
      <c r="JO291">
        <v>645</v>
      </c>
      <c r="JP291">
        <v>0</v>
      </c>
      <c r="JQ291">
        <v>0</v>
      </c>
      <c r="JR291">
        <v>382</v>
      </c>
      <c r="JS291">
        <v>125</v>
      </c>
      <c r="JV291">
        <v>8</v>
      </c>
      <c r="JW291" t="s">
        <v>550</v>
      </c>
      <c r="JX291">
        <v>424</v>
      </c>
      <c r="KA291">
        <v>0</v>
      </c>
      <c r="KB291">
        <v>110</v>
      </c>
      <c r="KC291">
        <v>0</v>
      </c>
      <c r="KD291">
        <v>80</v>
      </c>
      <c r="KF291">
        <v>4</v>
      </c>
      <c r="KG291">
        <v>4</v>
      </c>
      <c r="KH291">
        <v>2</v>
      </c>
      <c r="KI291">
        <v>2</v>
      </c>
      <c r="KJ291">
        <v>0</v>
      </c>
      <c r="KK291">
        <v>1.5</v>
      </c>
      <c r="KL291">
        <v>1.5</v>
      </c>
      <c r="KM291">
        <v>0</v>
      </c>
      <c r="KN291">
        <v>0</v>
      </c>
      <c r="KO291">
        <v>0</v>
      </c>
      <c r="KR291">
        <v>30</v>
      </c>
      <c r="KS291">
        <v>60</v>
      </c>
      <c r="KT291">
        <v>0</v>
      </c>
      <c r="LK291">
        <v>480</v>
      </c>
      <c r="PG291">
        <v>1</v>
      </c>
      <c r="PI291" t="s">
        <v>3480</v>
      </c>
      <c r="PJ291" t="s">
        <v>3481</v>
      </c>
      <c r="PL291" t="s">
        <v>2224</v>
      </c>
      <c r="PP291" t="s">
        <v>3482</v>
      </c>
      <c r="PS291" t="s">
        <v>855</v>
      </c>
      <c r="PX291">
        <v>56</v>
      </c>
      <c r="PY291">
        <v>57</v>
      </c>
      <c r="PZ291" t="s">
        <v>3480</v>
      </c>
      <c r="QA291">
        <v>1</v>
      </c>
      <c r="QB291">
        <v>1199</v>
      </c>
      <c r="QC291">
        <v>69</v>
      </c>
      <c r="QD291">
        <v>69</v>
      </c>
      <c r="QE291" t="s">
        <v>2224</v>
      </c>
      <c r="QF291">
        <v>1</v>
      </c>
      <c r="QG291">
        <v>1218</v>
      </c>
      <c r="QH291">
        <v>66</v>
      </c>
      <c r="QI291">
        <v>66</v>
      </c>
      <c r="QJ291" t="s">
        <v>855</v>
      </c>
      <c r="QK291">
        <v>1</v>
      </c>
      <c r="QL291">
        <v>1218</v>
      </c>
      <c r="QM291">
        <v>62</v>
      </c>
      <c r="QN291">
        <v>62</v>
      </c>
      <c r="QO291" t="s">
        <v>3481</v>
      </c>
      <c r="QP291">
        <v>1</v>
      </c>
      <c r="QQ291">
        <v>1210</v>
      </c>
      <c r="QW291">
        <v>82</v>
      </c>
      <c r="QX291">
        <v>82</v>
      </c>
      <c r="QY291" t="s">
        <v>3482</v>
      </c>
      <c r="QZ291">
        <v>1</v>
      </c>
      <c r="RA291">
        <v>66</v>
      </c>
      <c r="RB291">
        <v>66</v>
      </c>
      <c r="RE291">
        <v>0</v>
      </c>
      <c r="RF291">
        <v>1</v>
      </c>
      <c r="RJ291">
        <v>1</v>
      </c>
      <c r="RK291">
        <v>1</v>
      </c>
      <c r="RL291">
        <v>1</v>
      </c>
      <c r="RO291">
        <v>537</v>
      </c>
      <c r="RP291">
        <v>142</v>
      </c>
      <c r="RQ291">
        <v>980</v>
      </c>
      <c r="RT291">
        <v>242</v>
      </c>
      <c r="RU291">
        <v>143</v>
      </c>
      <c r="RV291" t="s">
        <v>2228</v>
      </c>
      <c r="RW291" t="s">
        <v>552</v>
      </c>
      <c r="RX291">
        <v>15</v>
      </c>
      <c r="RY291">
        <v>4</v>
      </c>
      <c r="RZ291" t="s">
        <v>552</v>
      </c>
      <c r="SA291">
        <v>15</v>
      </c>
      <c r="SC291" t="s">
        <v>3481</v>
      </c>
      <c r="SD291">
        <v>1</v>
      </c>
      <c r="SH291">
        <v>0.995</v>
      </c>
      <c r="SI291">
        <v>0.995</v>
      </c>
      <c r="SJ291">
        <v>0.995</v>
      </c>
      <c r="SK291">
        <v>15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1</v>
      </c>
      <c r="TB291">
        <v>0</v>
      </c>
      <c r="TC291">
        <v>0</v>
      </c>
      <c r="TD291">
        <v>7.5</v>
      </c>
      <c r="TE291" t="s">
        <v>553</v>
      </c>
      <c r="TF291" t="s">
        <v>655</v>
      </c>
      <c r="TG291" t="s">
        <v>555</v>
      </c>
      <c r="TI291" t="s">
        <v>546</v>
      </c>
      <c r="TJ291" t="s">
        <v>547</v>
      </c>
      <c r="TL291" t="s">
        <v>3483</v>
      </c>
      <c r="TM291" t="s">
        <v>513</v>
      </c>
      <c r="TN291">
        <v>0</v>
      </c>
      <c r="TO291" t="s">
        <v>557</v>
      </c>
    </row>
    <row r="292" spans="1:535">
      <c r="A292" t="s">
        <v>3484</v>
      </c>
      <c r="B292" t="s">
        <v>508</v>
      </c>
      <c r="C292" t="s">
        <v>509</v>
      </c>
      <c r="D292" t="s">
        <v>2206</v>
      </c>
      <c r="G292" t="s">
        <v>1115</v>
      </c>
      <c r="I292" t="s">
        <v>562</v>
      </c>
      <c r="J292" t="s">
        <v>563</v>
      </c>
      <c r="L292" t="s">
        <v>512</v>
      </c>
      <c r="N292" t="s">
        <v>513</v>
      </c>
      <c r="O292" t="s">
        <v>1255</v>
      </c>
      <c r="P292" t="s">
        <v>515</v>
      </c>
      <c r="Q292" t="s">
        <v>3485</v>
      </c>
      <c r="R292" t="s">
        <v>567</v>
      </c>
      <c r="S292" t="s">
        <v>899</v>
      </c>
      <c r="T292" t="s">
        <v>743</v>
      </c>
      <c r="U292" t="s">
        <v>662</v>
      </c>
      <c r="V292" t="s">
        <v>663</v>
      </c>
      <c r="W292" t="s">
        <v>900</v>
      </c>
      <c r="X292" t="s">
        <v>573</v>
      </c>
      <c r="Y292" t="s">
        <v>524</v>
      </c>
      <c r="Z292" t="s">
        <v>3486</v>
      </c>
      <c r="AA292" t="s">
        <v>3487</v>
      </c>
      <c r="AB292" t="s">
        <v>3488</v>
      </c>
      <c r="AC292">
        <v>2</v>
      </c>
      <c r="AD292">
        <v>56</v>
      </c>
      <c r="AE292">
        <v>164</v>
      </c>
      <c r="AF292">
        <v>1.5</v>
      </c>
      <c r="AH292">
        <v>0</v>
      </c>
      <c r="AI292" t="s">
        <v>748</v>
      </c>
      <c r="AJ292">
        <v>175</v>
      </c>
      <c r="AK292">
        <v>1</v>
      </c>
      <c r="AL292">
        <v>1.5</v>
      </c>
      <c r="AM292" t="s">
        <v>529</v>
      </c>
      <c r="AO292">
        <v>0</v>
      </c>
      <c r="AR292">
        <v>0</v>
      </c>
      <c r="AS292">
        <v>1.5</v>
      </c>
      <c r="AV292" t="s">
        <v>3489</v>
      </c>
      <c r="AW292" t="s">
        <v>3489</v>
      </c>
      <c r="AX292">
        <v>1</v>
      </c>
      <c r="AY292">
        <v>242.5</v>
      </c>
      <c r="AZ292">
        <v>1.5</v>
      </c>
      <c r="BA292" t="s">
        <v>529</v>
      </c>
      <c r="BG292">
        <v>1.5</v>
      </c>
      <c r="BJ292">
        <v>0</v>
      </c>
      <c r="BN292">
        <v>1.5</v>
      </c>
      <c r="BP292" t="s">
        <v>905</v>
      </c>
      <c r="BQ292">
        <v>84</v>
      </c>
      <c r="BR292">
        <v>2</v>
      </c>
      <c r="BS292" t="s">
        <v>906</v>
      </c>
      <c r="BT292">
        <v>186</v>
      </c>
      <c r="BU292">
        <v>0.5</v>
      </c>
      <c r="BV292" t="s">
        <v>906</v>
      </c>
      <c r="BW292">
        <v>372</v>
      </c>
      <c r="BX292">
        <v>1</v>
      </c>
      <c r="BY292" t="s">
        <v>643</v>
      </c>
      <c r="BZ292">
        <v>290</v>
      </c>
      <c r="CA292">
        <v>430</v>
      </c>
      <c r="CB292" t="s">
        <v>672</v>
      </c>
      <c r="CC292" t="s">
        <v>672</v>
      </c>
      <c r="CD292">
        <v>392</v>
      </c>
      <c r="CE292" t="s">
        <v>673</v>
      </c>
      <c r="CF292">
        <v>15</v>
      </c>
      <c r="CG292" t="s">
        <v>907</v>
      </c>
      <c r="CH292" t="s">
        <v>907</v>
      </c>
      <c r="CI292">
        <v>70</v>
      </c>
      <c r="CJ292">
        <v>1381</v>
      </c>
      <c r="CK292">
        <v>2</v>
      </c>
      <c r="CL292">
        <v>1475</v>
      </c>
      <c r="CM292">
        <v>2</v>
      </c>
      <c r="CN292" t="s">
        <v>675</v>
      </c>
      <c r="CO292" t="s">
        <v>676</v>
      </c>
      <c r="CP292" t="s">
        <v>595</v>
      </c>
      <c r="CQ292" t="s">
        <v>649</v>
      </c>
      <c r="CR292" t="s">
        <v>650</v>
      </c>
      <c r="CS292" t="s">
        <v>542</v>
      </c>
      <c r="CT292">
        <v>350</v>
      </c>
      <c r="CU292">
        <v>5</v>
      </c>
      <c r="CV292">
        <v>1.2</v>
      </c>
      <c r="CW292">
        <v>1393</v>
      </c>
      <c r="CX292">
        <v>690</v>
      </c>
      <c r="DD292">
        <v>0</v>
      </c>
      <c r="DE292" t="s">
        <v>543</v>
      </c>
      <c r="DF292">
        <v>485</v>
      </c>
      <c r="DG292">
        <v>3</v>
      </c>
      <c r="DH292">
        <v>1.18</v>
      </c>
      <c r="DI292">
        <v>1391</v>
      </c>
      <c r="DJ292">
        <v>1139</v>
      </c>
      <c r="DW292" t="s">
        <v>544</v>
      </c>
      <c r="DX292">
        <v>7.5</v>
      </c>
      <c r="EA292">
        <v>1459.5</v>
      </c>
      <c r="EB292">
        <v>258</v>
      </c>
      <c r="EC292" t="s">
        <v>545</v>
      </c>
      <c r="ED292">
        <v>25</v>
      </c>
      <c r="EE292">
        <v>3</v>
      </c>
      <c r="EG292">
        <v>1500</v>
      </c>
      <c r="EH292">
        <v>163</v>
      </c>
      <c r="EJ292">
        <v>0</v>
      </c>
      <c r="EK292">
        <v>1</v>
      </c>
      <c r="EN292">
        <v>0</v>
      </c>
      <c r="EP292" t="s">
        <v>546</v>
      </c>
      <c r="EQ292">
        <v>60</v>
      </c>
      <c r="ER292">
        <v>3</v>
      </c>
      <c r="ES292">
        <v>4</v>
      </c>
      <c r="ET292">
        <v>1368</v>
      </c>
      <c r="EU292">
        <v>191.2</v>
      </c>
      <c r="EV292">
        <v>262</v>
      </c>
      <c r="EW292" t="s">
        <v>547</v>
      </c>
      <c r="EX292">
        <v>70</v>
      </c>
      <c r="EY292">
        <v>2</v>
      </c>
      <c r="EZ292">
        <v>4</v>
      </c>
      <c r="FA292">
        <v>1368</v>
      </c>
      <c r="FB292">
        <v>196.4</v>
      </c>
      <c r="FC292">
        <v>269</v>
      </c>
      <c r="FE292">
        <v>0</v>
      </c>
      <c r="FF292">
        <v>2</v>
      </c>
      <c r="FI292">
        <v>0</v>
      </c>
      <c r="FK292" t="s">
        <v>548</v>
      </c>
      <c r="FL292">
        <v>0.4</v>
      </c>
      <c r="FM292">
        <v>70</v>
      </c>
      <c r="FN292">
        <v>140</v>
      </c>
      <c r="FR292" t="s">
        <v>548</v>
      </c>
      <c r="FS292">
        <v>0.4</v>
      </c>
      <c r="FT292">
        <v>30</v>
      </c>
      <c r="FU292">
        <v>340</v>
      </c>
      <c r="FV292">
        <v>35</v>
      </c>
      <c r="FW292">
        <v>230</v>
      </c>
      <c r="FY292" t="s">
        <v>651</v>
      </c>
      <c r="FZ292">
        <v>1</v>
      </c>
      <c r="GA292">
        <v>20</v>
      </c>
      <c r="GB292">
        <v>176</v>
      </c>
      <c r="GG292" t="s">
        <v>651</v>
      </c>
      <c r="GH292">
        <v>1</v>
      </c>
      <c r="GI292">
        <v>20</v>
      </c>
      <c r="GJ292">
        <v>176</v>
      </c>
      <c r="HC292">
        <v>0.1</v>
      </c>
      <c r="HD292">
        <v>3</v>
      </c>
      <c r="HE292">
        <v>3</v>
      </c>
      <c r="HF292">
        <v>3</v>
      </c>
      <c r="HG292">
        <v>3</v>
      </c>
      <c r="HH292">
        <v>3</v>
      </c>
      <c r="HI292">
        <v>115</v>
      </c>
      <c r="HJ292">
        <v>3</v>
      </c>
      <c r="HK292">
        <v>55</v>
      </c>
      <c r="HL292">
        <v>2</v>
      </c>
      <c r="HM292">
        <v>0</v>
      </c>
      <c r="HN292">
        <v>2</v>
      </c>
      <c r="HO292">
        <v>45</v>
      </c>
      <c r="HP292">
        <v>3</v>
      </c>
      <c r="HQ292">
        <v>0</v>
      </c>
      <c r="HR292">
        <v>2</v>
      </c>
      <c r="HS292">
        <v>3733</v>
      </c>
      <c r="HT292">
        <v>110</v>
      </c>
      <c r="HU292">
        <v>180</v>
      </c>
      <c r="HW292">
        <v>0</v>
      </c>
      <c r="HX292">
        <v>400</v>
      </c>
      <c r="HY292">
        <v>0.18</v>
      </c>
      <c r="IA292">
        <v>0.15</v>
      </c>
      <c r="IB292">
        <v>0</v>
      </c>
      <c r="IC292">
        <v>180</v>
      </c>
      <c r="ID292">
        <v>110</v>
      </c>
      <c r="IE292">
        <v>0</v>
      </c>
      <c r="IF292">
        <v>0</v>
      </c>
      <c r="IH292" t="s">
        <v>549</v>
      </c>
      <c r="IO292">
        <v>1</v>
      </c>
      <c r="IP292">
        <v>18</v>
      </c>
      <c r="IQ292">
        <v>0</v>
      </c>
      <c r="IR292">
        <v>1</v>
      </c>
      <c r="IV292">
        <v>1381</v>
      </c>
      <c r="IW292">
        <v>372</v>
      </c>
      <c r="IY292">
        <v>290</v>
      </c>
      <c r="JA292">
        <v>1</v>
      </c>
      <c r="JB292">
        <v>0</v>
      </c>
      <c r="JC292">
        <v>2</v>
      </c>
      <c r="JD292">
        <v>1393</v>
      </c>
      <c r="JE292">
        <v>1391</v>
      </c>
      <c r="JF292">
        <v>0</v>
      </c>
      <c r="JG292">
        <v>1368</v>
      </c>
      <c r="JH292">
        <v>0</v>
      </c>
      <c r="JJ292">
        <v>180</v>
      </c>
      <c r="JK292">
        <v>400</v>
      </c>
      <c r="JN292">
        <v>350</v>
      </c>
      <c r="JO292">
        <v>485</v>
      </c>
      <c r="JP292">
        <v>0</v>
      </c>
      <c r="JQ292">
        <v>0</v>
      </c>
      <c r="JR292">
        <v>328</v>
      </c>
      <c r="JS292">
        <v>115</v>
      </c>
      <c r="JV292">
        <v>8</v>
      </c>
      <c r="JW292" t="s">
        <v>550</v>
      </c>
      <c r="JX292">
        <v>0</v>
      </c>
      <c r="KA292">
        <v>0</v>
      </c>
      <c r="KB292">
        <v>110</v>
      </c>
      <c r="KC292">
        <v>0</v>
      </c>
      <c r="KD292">
        <v>80</v>
      </c>
      <c r="KF292">
        <v>4</v>
      </c>
      <c r="KG292">
        <v>2.5</v>
      </c>
      <c r="KH292">
        <v>2</v>
      </c>
      <c r="KI292">
        <v>2</v>
      </c>
      <c r="KJ292">
        <v>0</v>
      </c>
      <c r="KK292">
        <v>1.5</v>
      </c>
      <c r="KL292">
        <v>1.5</v>
      </c>
      <c r="KM292">
        <v>0</v>
      </c>
      <c r="KN292">
        <v>0</v>
      </c>
      <c r="KO292">
        <v>0</v>
      </c>
      <c r="KR292">
        <v>50</v>
      </c>
      <c r="KS292">
        <v>60</v>
      </c>
      <c r="KT292">
        <v>0</v>
      </c>
      <c r="LK292">
        <v>480</v>
      </c>
      <c r="PG292">
        <v>1</v>
      </c>
      <c r="PI292" t="s">
        <v>3488</v>
      </c>
      <c r="PJ292" t="s">
        <v>3489</v>
      </c>
      <c r="PL292" t="s">
        <v>748</v>
      </c>
      <c r="PP292" t="s">
        <v>905</v>
      </c>
      <c r="PX292">
        <v>56</v>
      </c>
      <c r="PY292">
        <v>56</v>
      </c>
      <c r="PZ292" t="s">
        <v>3488</v>
      </c>
      <c r="QA292">
        <v>1</v>
      </c>
      <c r="QB292">
        <v>1368</v>
      </c>
      <c r="QC292">
        <v>69</v>
      </c>
      <c r="QD292">
        <v>69</v>
      </c>
      <c r="QE292" t="s">
        <v>748</v>
      </c>
      <c r="QF292">
        <v>1</v>
      </c>
      <c r="QG292">
        <v>1393</v>
      </c>
      <c r="QH292">
        <v>66</v>
      </c>
      <c r="QI292">
        <v>66</v>
      </c>
      <c r="QL292">
        <v>0</v>
      </c>
      <c r="QM292">
        <v>63</v>
      </c>
      <c r="QN292">
        <v>63</v>
      </c>
      <c r="QO292" t="s">
        <v>3489</v>
      </c>
      <c r="QP292">
        <v>1</v>
      </c>
      <c r="QQ292">
        <v>1391</v>
      </c>
      <c r="QW292">
        <v>82</v>
      </c>
      <c r="QX292">
        <v>84</v>
      </c>
      <c r="QY292" t="s">
        <v>905</v>
      </c>
      <c r="QZ292">
        <v>1</v>
      </c>
      <c r="RA292">
        <v>66</v>
      </c>
      <c r="RB292">
        <v>66</v>
      </c>
      <c r="RE292">
        <v>0</v>
      </c>
      <c r="RG292">
        <v>1</v>
      </c>
      <c r="RJ292">
        <v>1</v>
      </c>
      <c r="RL292">
        <v>2</v>
      </c>
      <c r="RO292">
        <v>495</v>
      </c>
      <c r="RQ292">
        <v>819</v>
      </c>
      <c r="RT292">
        <v>258</v>
      </c>
      <c r="RU292">
        <v>163</v>
      </c>
      <c r="RV292" t="s">
        <v>908</v>
      </c>
      <c r="RW292" t="s">
        <v>679</v>
      </c>
      <c r="RX292">
        <v>15</v>
      </c>
      <c r="RY292">
        <v>4</v>
      </c>
      <c r="RZ292" t="s">
        <v>679</v>
      </c>
      <c r="SA292">
        <v>15</v>
      </c>
      <c r="SB292" t="s">
        <v>3490</v>
      </c>
      <c r="SC292" t="s">
        <v>3490</v>
      </c>
      <c r="SD292">
        <v>1</v>
      </c>
      <c r="SH292">
        <v>0.995</v>
      </c>
      <c r="SI292">
        <v>0.995</v>
      </c>
      <c r="SJ292">
        <v>0.995</v>
      </c>
      <c r="SK292">
        <v>15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TB292">
        <v>0</v>
      </c>
      <c r="TC292">
        <v>0</v>
      </c>
      <c r="TD292">
        <v>7.5</v>
      </c>
      <c r="TE292" t="s">
        <v>553</v>
      </c>
      <c r="TF292" t="s">
        <v>624</v>
      </c>
      <c r="TG292" t="s">
        <v>555</v>
      </c>
      <c r="TI292" t="s">
        <v>546</v>
      </c>
      <c r="TJ292" t="s">
        <v>547</v>
      </c>
      <c r="TL292" t="s">
        <v>3491</v>
      </c>
      <c r="TM292" t="s">
        <v>513</v>
      </c>
      <c r="TN292">
        <v>0</v>
      </c>
      <c r="TO292" t="s">
        <v>557</v>
      </c>
    </row>
    <row r="293" spans="1:535">
      <c r="A293" t="s">
        <v>3492</v>
      </c>
      <c r="B293" t="s">
        <v>804</v>
      </c>
      <c r="C293" t="s">
        <v>509</v>
      </c>
      <c r="D293" t="s">
        <v>2748</v>
      </c>
      <c r="G293" t="s">
        <v>1135</v>
      </c>
      <c r="I293" t="s">
        <v>562</v>
      </c>
      <c r="J293" t="s">
        <v>563</v>
      </c>
      <c r="L293" t="s">
        <v>512</v>
      </c>
      <c r="M293" t="s">
        <v>508</v>
      </c>
      <c r="N293" t="s">
        <v>513</v>
      </c>
      <c r="O293" t="s">
        <v>1255</v>
      </c>
      <c r="P293" t="s">
        <v>515</v>
      </c>
      <c r="Q293" t="s">
        <v>3493</v>
      </c>
      <c r="R293" t="s">
        <v>567</v>
      </c>
      <c r="S293" t="s">
        <v>1480</v>
      </c>
      <c r="T293" t="s">
        <v>1481</v>
      </c>
      <c r="U293" t="s">
        <v>1482</v>
      </c>
      <c r="V293" t="s">
        <v>1483</v>
      </c>
      <c r="W293" t="s">
        <v>1484</v>
      </c>
      <c r="X293" t="s">
        <v>1460</v>
      </c>
      <c r="Y293" t="s">
        <v>524</v>
      </c>
      <c r="Z293" t="s">
        <v>1485</v>
      </c>
      <c r="AA293" t="s">
        <v>3494</v>
      </c>
      <c r="AB293" t="s">
        <v>3495</v>
      </c>
      <c r="AC293">
        <v>2</v>
      </c>
      <c r="AD293">
        <v>56</v>
      </c>
      <c r="AE293">
        <v>166</v>
      </c>
      <c r="AF293">
        <v>1.5</v>
      </c>
      <c r="AH293">
        <v>0</v>
      </c>
      <c r="AI293" t="s">
        <v>1033</v>
      </c>
      <c r="AJ293">
        <v>177.5</v>
      </c>
      <c r="AK293">
        <v>1</v>
      </c>
      <c r="AL293">
        <v>1.5</v>
      </c>
      <c r="AM293" t="s">
        <v>529</v>
      </c>
      <c r="AO293">
        <v>0</v>
      </c>
      <c r="AR293">
        <v>0</v>
      </c>
      <c r="AS293">
        <v>1.5</v>
      </c>
      <c r="AU293" t="s">
        <v>3496</v>
      </c>
      <c r="AW293" t="s">
        <v>3496</v>
      </c>
      <c r="AX293">
        <v>1</v>
      </c>
      <c r="AY293">
        <v>327.5</v>
      </c>
      <c r="AZ293">
        <v>1.5</v>
      </c>
      <c r="BA293" t="s">
        <v>529</v>
      </c>
      <c r="BG293">
        <v>1.5</v>
      </c>
      <c r="BJ293">
        <v>0</v>
      </c>
      <c r="BN293">
        <v>1.5</v>
      </c>
      <c r="BP293" t="s">
        <v>1489</v>
      </c>
      <c r="BQ293">
        <v>88</v>
      </c>
      <c r="BR293">
        <v>2</v>
      </c>
      <c r="BS293" t="s">
        <v>1490</v>
      </c>
      <c r="BT293">
        <v>189</v>
      </c>
      <c r="BU293">
        <v>0.5</v>
      </c>
      <c r="BV293" t="s">
        <v>1490</v>
      </c>
      <c r="BW293">
        <v>378</v>
      </c>
      <c r="BX293">
        <v>1</v>
      </c>
      <c r="BY293" t="s">
        <v>1491</v>
      </c>
      <c r="BZ293">
        <v>300</v>
      </c>
      <c r="CA293">
        <v>500</v>
      </c>
      <c r="CB293" t="s">
        <v>1492</v>
      </c>
      <c r="CC293" t="s">
        <v>1492</v>
      </c>
      <c r="CD293">
        <v>388</v>
      </c>
      <c r="CE293" t="s">
        <v>1493</v>
      </c>
      <c r="CF293">
        <v>15</v>
      </c>
      <c r="CG293" t="s">
        <v>1494</v>
      </c>
      <c r="CH293" t="s">
        <v>1494</v>
      </c>
      <c r="CI293">
        <v>100</v>
      </c>
      <c r="CJ293">
        <v>1122</v>
      </c>
      <c r="CK293">
        <v>2</v>
      </c>
      <c r="CL293">
        <v>1222</v>
      </c>
      <c r="CM293">
        <v>2</v>
      </c>
      <c r="CN293" t="s">
        <v>1495</v>
      </c>
      <c r="CO293" t="s">
        <v>1473</v>
      </c>
      <c r="CP293" t="s">
        <v>1474</v>
      </c>
      <c r="CQ293" t="s">
        <v>1496</v>
      </c>
      <c r="CR293" t="s">
        <v>541</v>
      </c>
      <c r="CS293" t="s">
        <v>542</v>
      </c>
      <c r="CT293">
        <v>355</v>
      </c>
      <c r="CU293">
        <v>5</v>
      </c>
      <c r="CV293">
        <v>1.2</v>
      </c>
      <c r="CW293">
        <v>1136</v>
      </c>
      <c r="CX293">
        <v>571</v>
      </c>
      <c r="DD293">
        <v>0</v>
      </c>
      <c r="DE293" t="s">
        <v>622</v>
      </c>
      <c r="DF293">
        <v>655</v>
      </c>
      <c r="DG293">
        <v>3</v>
      </c>
      <c r="DH293">
        <v>0.88</v>
      </c>
      <c r="DI293">
        <v>1134</v>
      </c>
      <c r="DJ293">
        <v>866</v>
      </c>
      <c r="DW293" t="s">
        <v>544</v>
      </c>
      <c r="DX293">
        <v>7.5</v>
      </c>
      <c r="EA293">
        <v>1202.7</v>
      </c>
      <c r="EB293">
        <v>157</v>
      </c>
      <c r="EC293" t="s">
        <v>545</v>
      </c>
      <c r="ED293">
        <v>35</v>
      </c>
      <c r="EE293">
        <v>3</v>
      </c>
      <c r="EG293">
        <v>1233</v>
      </c>
      <c r="EH293">
        <v>171</v>
      </c>
      <c r="EJ293">
        <v>0</v>
      </c>
      <c r="EK293">
        <v>1</v>
      </c>
      <c r="EN293">
        <v>0</v>
      </c>
      <c r="EP293" t="s">
        <v>546</v>
      </c>
      <c r="EQ293">
        <v>100</v>
      </c>
      <c r="ER293">
        <v>3</v>
      </c>
      <c r="ES293">
        <v>4.8</v>
      </c>
      <c r="ET293">
        <v>1116</v>
      </c>
      <c r="EU293">
        <v>380.1</v>
      </c>
      <c r="EV293">
        <v>424</v>
      </c>
      <c r="EW293" t="s">
        <v>547</v>
      </c>
      <c r="EX293">
        <v>70</v>
      </c>
      <c r="EY293">
        <v>2</v>
      </c>
      <c r="EZ293">
        <v>4.3</v>
      </c>
      <c r="FA293">
        <v>1116</v>
      </c>
      <c r="FB293">
        <v>203.5</v>
      </c>
      <c r="FC293">
        <v>227</v>
      </c>
      <c r="FE293">
        <v>0</v>
      </c>
      <c r="FF293">
        <v>2</v>
      </c>
      <c r="FI293">
        <v>0</v>
      </c>
      <c r="FK293" t="s">
        <v>548</v>
      </c>
      <c r="FL293">
        <v>0.6</v>
      </c>
      <c r="FM293">
        <v>90</v>
      </c>
      <c r="FN293">
        <v>90</v>
      </c>
      <c r="HC293">
        <v>0.1</v>
      </c>
      <c r="HD293">
        <v>3</v>
      </c>
      <c r="HE293">
        <v>3</v>
      </c>
      <c r="HF293">
        <v>3</v>
      </c>
      <c r="HG293">
        <v>3</v>
      </c>
      <c r="HH293">
        <v>3</v>
      </c>
      <c r="HI293">
        <v>155</v>
      </c>
      <c r="HJ293">
        <v>3</v>
      </c>
      <c r="HK293">
        <v>55</v>
      </c>
      <c r="HL293">
        <v>2</v>
      </c>
      <c r="HM293">
        <v>0</v>
      </c>
      <c r="HN293">
        <v>2</v>
      </c>
      <c r="HO293">
        <v>85</v>
      </c>
      <c r="HP293">
        <v>3</v>
      </c>
      <c r="HQ293">
        <v>0</v>
      </c>
      <c r="HR293">
        <v>2</v>
      </c>
      <c r="HS293">
        <v>3395</v>
      </c>
      <c r="HT293">
        <v>100</v>
      </c>
      <c r="HU293">
        <v>180</v>
      </c>
      <c r="HW293">
        <v>20</v>
      </c>
      <c r="HX293">
        <v>395</v>
      </c>
      <c r="HY293">
        <v>0.18</v>
      </c>
      <c r="IA293">
        <v>0.15</v>
      </c>
      <c r="IB293">
        <v>0</v>
      </c>
      <c r="IC293">
        <v>180</v>
      </c>
      <c r="ID293">
        <v>110</v>
      </c>
      <c r="IE293">
        <v>0</v>
      </c>
      <c r="IF293">
        <v>0</v>
      </c>
      <c r="IH293" t="s">
        <v>549</v>
      </c>
      <c r="IO293">
        <v>1</v>
      </c>
      <c r="IP293">
        <v>15</v>
      </c>
      <c r="IQ293">
        <v>0</v>
      </c>
      <c r="IR293">
        <v>1</v>
      </c>
      <c r="IV293">
        <v>1122</v>
      </c>
      <c r="IW293">
        <v>378</v>
      </c>
      <c r="JA293">
        <v>1</v>
      </c>
      <c r="JB293">
        <v>0</v>
      </c>
      <c r="JC293">
        <v>2</v>
      </c>
      <c r="JD293">
        <v>1136</v>
      </c>
      <c r="JE293">
        <v>1134</v>
      </c>
      <c r="JF293">
        <v>0</v>
      </c>
      <c r="JG293">
        <v>1116</v>
      </c>
      <c r="JH293">
        <v>0</v>
      </c>
      <c r="JJ293">
        <v>180</v>
      </c>
      <c r="JK293">
        <v>395</v>
      </c>
      <c r="JN293">
        <v>355</v>
      </c>
      <c r="JO293">
        <v>655</v>
      </c>
      <c r="JP293">
        <v>0</v>
      </c>
      <c r="JQ293">
        <v>0</v>
      </c>
      <c r="JR293">
        <v>332</v>
      </c>
      <c r="JS293">
        <v>155</v>
      </c>
      <c r="JV293">
        <v>8</v>
      </c>
      <c r="JW293" t="s">
        <v>550</v>
      </c>
      <c r="JX293">
        <v>0</v>
      </c>
      <c r="KA293">
        <v>0</v>
      </c>
      <c r="KB293">
        <v>110</v>
      </c>
      <c r="KC293">
        <v>0</v>
      </c>
      <c r="KD293">
        <v>380</v>
      </c>
      <c r="KF293">
        <v>4</v>
      </c>
      <c r="KG293">
        <v>2</v>
      </c>
      <c r="KH293">
        <v>2</v>
      </c>
      <c r="KI293">
        <v>2</v>
      </c>
      <c r="KJ293">
        <v>0</v>
      </c>
      <c r="KK293">
        <v>1.5</v>
      </c>
      <c r="KL293">
        <v>1.5</v>
      </c>
      <c r="KO293">
        <v>0</v>
      </c>
      <c r="KR293">
        <v>30</v>
      </c>
      <c r="KS293">
        <v>60</v>
      </c>
      <c r="LK293">
        <v>388</v>
      </c>
      <c r="PG293">
        <v>1</v>
      </c>
      <c r="PI293" t="s">
        <v>3495</v>
      </c>
      <c r="PJ293" t="s">
        <v>3496</v>
      </c>
      <c r="PL293" t="s">
        <v>1033</v>
      </c>
      <c r="PP293" t="s">
        <v>1489</v>
      </c>
      <c r="PX293">
        <v>56</v>
      </c>
      <c r="PY293">
        <v>56</v>
      </c>
      <c r="PZ293" t="s">
        <v>3495</v>
      </c>
      <c r="QA293">
        <v>1</v>
      </c>
      <c r="QB293">
        <v>1116</v>
      </c>
      <c r="QC293">
        <v>69</v>
      </c>
      <c r="QD293">
        <v>69</v>
      </c>
      <c r="QE293" t="s">
        <v>1033</v>
      </c>
      <c r="QF293">
        <v>1</v>
      </c>
      <c r="QG293">
        <v>1136</v>
      </c>
      <c r="QH293">
        <v>66</v>
      </c>
      <c r="QI293">
        <v>66</v>
      </c>
      <c r="QL293">
        <v>0</v>
      </c>
      <c r="QM293">
        <v>62</v>
      </c>
      <c r="QN293">
        <v>62</v>
      </c>
      <c r="QO293" t="s">
        <v>3496</v>
      </c>
      <c r="QP293">
        <v>1</v>
      </c>
      <c r="QQ293">
        <v>1134</v>
      </c>
      <c r="QW293">
        <v>82</v>
      </c>
      <c r="QX293">
        <v>88</v>
      </c>
      <c r="QY293" t="s">
        <v>1489</v>
      </c>
      <c r="QZ293">
        <v>1</v>
      </c>
      <c r="RA293">
        <v>66</v>
      </c>
      <c r="RB293">
        <v>66</v>
      </c>
      <c r="RE293">
        <v>0</v>
      </c>
      <c r="RF293">
        <v>1</v>
      </c>
      <c r="RJ293">
        <v>2</v>
      </c>
      <c r="RL293">
        <v>3</v>
      </c>
      <c r="RO293">
        <v>503</v>
      </c>
      <c r="RQ293">
        <v>764</v>
      </c>
      <c r="RT293">
        <v>157</v>
      </c>
      <c r="RU293">
        <v>171</v>
      </c>
      <c r="RV293" t="s">
        <v>1497</v>
      </c>
      <c r="RW293" t="s">
        <v>1498</v>
      </c>
      <c r="RX293">
        <v>15</v>
      </c>
      <c r="RY293">
        <v>4</v>
      </c>
      <c r="RZ293" t="s">
        <v>1498</v>
      </c>
      <c r="SA293">
        <v>15</v>
      </c>
      <c r="SC293" t="s">
        <v>3496</v>
      </c>
      <c r="SD293">
        <v>1</v>
      </c>
      <c r="SH293">
        <v>0.995</v>
      </c>
      <c r="SI293">
        <v>0.995</v>
      </c>
      <c r="SJ293">
        <v>0.995</v>
      </c>
      <c r="SK293">
        <v>15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TB293">
        <v>0</v>
      </c>
      <c r="TC293">
        <v>0</v>
      </c>
      <c r="TD293">
        <v>7.5</v>
      </c>
      <c r="TE293" t="s">
        <v>553</v>
      </c>
      <c r="TF293" t="s">
        <v>754</v>
      </c>
      <c r="TG293" t="s">
        <v>555</v>
      </c>
      <c r="TI293" t="s">
        <v>546</v>
      </c>
      <c r="TJ293" t="s">
        <v>547</v>
      </c>
      <c r="TL293" t="s">
        <v>3491</v>
      </c>
      <c r="TM293" t="s">
        <v>513</v>
      </c>
      <c r="TN293">
        <v>0</v>
      </c>
      <c r="TO293" t="s">
        <v>557</v>
      </c>
    </row>
    <row r="294" spans="1:535">
      <c r="A294" t="s">
        <v>3497</v>
      </c>
      <c r="B294" t="s">
        <v>629</v>
      </c>
      <c r="C294" t="s">
        <v>509</v>
      </c>
      <c r="D294" t="s">
        <v>3498</v>
      </c>
      <c r="G294" t="s">
        <v>3499</v>
      </c>
      <c r="L294" t="s">
        <v>512</v>
      </c>
      <c r="M294" t="s">
        <v>711</v>
      </c>
      <c r="N294" t="s">
        <v>513</v>
      </c>
      <c r="O294" t="s">
        <v>1255</v>
      </c>
      <c r="P294" t="s">
        <v>515</v>
      </c>
      <c r="Q294" t="s">
        <v>3500</v>
      </c>
      <c r="R294" t="s">
        <v>567</v>
      </c>
      <c r="S294" t="s">
        <v>742</v>
      </c>
      <c r="T294" t="s">
        <v>743</v>
      </c>
      <c r="U294" t="s">
        <v>633</v>
      </c>
      <c r="V294" t="s">
        <v>634</v>
      </c>
      <c r="W294" t="s">
        <v>744</v>
      </c>
      <c r="X294" t="s">
        <v>1460</v>
      </c>
      <c r="Y294" t="s">
        <v>524</v>
      </c>
      <c r="Z294" t="s">
        <v>1740</v>
      </c>
      <c r="AA294" t="s">
        <v>3501</v>
      </c>
      <c r="AB294" t="s">
        <v>3502</v>
      </c>
      <c r="AC294">
        <v>2</v>
      </c>
      <c r="AD294">
        <v>56</v>
      </c>
      <c r="AE294">
        <v>189</v>
      </c>
      <c r="AF294">
        <v>1.5</v>
      </c>
      <c r="AH294">
        <v>0</v>
      </c>
      <c r="AI294" t="s">
        <v>1464</v>
      </c>
      <c r="AJ294">
        <v>165</v>
      </c>
      <c r="AK294">
        <v>1</v>
      </c>
      <c r="AL294">
        <v>1.5</v>
      </c>
      <c r="AM294" t="s">
        <v>579</v>
      </c>
      <c r="AN294" t="s">
        <v>693</v>
      </c>
      <c r="AO294">
        <v>2</v>
      </c>
      <c r="AP294" t="s">
        <v>581</v>
      </c>
      <c r="AQ294" t="s">
        <v>582</v>
      </c>
      <c r="AR294">
        <v>200</v>
      </c>
      <c r="AS294">
        <v>1.5</v>
      </c>
      <c r="AT294" t="s">
        <v>583</v>
      </c>
      <c r="AU294" t="s">
        <v>3503</v>
      </c>
      <c r="AW294" t="s">
        <v>3503</v>
      </c>
      <c r="AX294">
        <v>1</v>
      </c>
      <c r="AY294">
        <v>302.5</v>
      </c>
      <c r="AZ294">
        <v>1.5</v>
      </c>
      <c r="BA294" t="s">
        <v>579</v>
      </c>
      <c r="BG294">
        <v>1.5</v>
      </c>
      <c r="BJ294">
        <v>0</v>
      </c>
      <c r="BN294">
        <v>1.5</v>
      </c>
      <c r="BP294" t="s">
        <v>3504</v>
      </c>
      <c r="BQ294">
        <v>88</v>
      </c>
      <c r="BR294">
        <v>2</v>
      </c>
      <c r="BS294" t="s">
        <v>3505</v>
      </c>
      <c r="BT294">
        <v>186</v>
      </c>
      <c r="BU294">
        <v>0.5</v>
      </c>
      <c r="BV294" t="s">
        <v>3505</v>
      </c>
      <c r="BW294">
        <v>372</v>
      </c>
      <c r="BX294">
        <v>1</v>
      </c>
      <c r="BY294" t="s">
        <v>643</v>
      </c>
      <c r="BZ294">
        <v>300</v>
      </c>
      <c r="CA294">
        <v>420</v>
      </c>
      <c r="CB294" t="s">
        <v>644</v>
      </c>
      <c r="CC294" t="s">
        <v>644</v>
      </c>
      <c r="CD294">
        <v>386</v>
      </c>
      <c r="CE294" t="s">
        <v>544</v>
      </c>
      <c r="CF294">
        <v>15</v>
      </c>
      <c r="CG294" t="s">
        <v>891</v>
      </c>
      <c r="CH294" t="s">
        <v>891</v>
      </c>
      <c r="CI294">
        <v>60</v>
      </c>
      <c r="CJ294">
        <v>1301</v>
      </c>
      <c r="CK294">
        <v>2</v>
      </c>
      <c r="CL294">
        <v>1395</v>
      </c>
      <c r="CM294">
        <v>2</v>
      </c>
      <c r="CN294" t="s">
        <v>646</v>
      </c>
      <c r="CO294" t="s">
        <v>647</v>
      </c>
      <c r="CP294" t="s">
        <v>648</v>
      </c>
      <c r="CQ294" t="s">
        <v>1343</v>
      </c>
      <c r="CR294" t="s">
        <v>541</v>
      </c>
      <c r="CS294" t="s">
        <v>542</v>
      </c>
      <c r="CT294">
        <v>330</v>
      </c>
      <c r="CU294">
        <v>5</v>
      </c>
      <c r="CV294">
        <v>1.2</v>
      </c>
      <c r="CW294">
        <v>1319</v>
      </c>
      <c r="CX294">
        <v>616</v>
      </c>
      <c r="CY294" t="s">
        <v>705</v>
      </c>
      <c r="CZ294">
        <v>50</v>
      </c>
      <c r="DA294">
        <v>3</v>
      </c>
      <c r="DB294">
        <v>1</v>
      </c>
      <c r="DC294">
        <v>1319</v>
      </c>
      <c r="DD294">
        <v>69</v>
      </c>
      <c r="DE294" t="s">
        <v>622</v>
      </c>
      <c r="DF294">
        <v>605</v>
      </c>
      <c r="DG294">
        <v>3</v>
      </c>
      <c r="DH294">
        <v>0.88</v>
      </c>
      <c r="DI294">
        <v>1312</v>
      </c>
      <c r="DJ294">
        <v>1015</v>
      </c>
      <c r="DW294" t="s">
        <v>544</v>
      </c>
      <c r="DX294">
        <v>7.5</v>
      </c>
      <c r="EA294">
        <v>1378.2</v>
      </c>
      <c r="EB294">
        <v>326</v>
      </c>
      <c r="EC294" t="s">
        <v>545</v>
      </c>
      <c r="ED294">
        <v>40</v>
      </c>
      <c r="EE294">
        <v>3</v>
      </c>
      <c r="EG294">
        <v>1429</v>
      </c>
      <c r="EH294">
        <v>229</v>
      </c>
      <c r="EJ294">
        <v>0</v>
      </c>
      <c r="EK294">
        <v>1</v>
      </c>
      <c r="EN294">
        <v>0</v>
      </c>
      <c r="EP294" t="s">
        <v>546</v>
      </c>
      <c r="EQ294">
        <v>75</v>
      </c>
      <c r="ER294">
        <v>3</v>
      </c>
      <c r="ES294">
        <v>4</v>
      </c>
      <c r="ET294">
        <v>1289</v>
      </c>
      <c r="EU294">
        <v>251.8</v>
      </c>
      <c r="EV294">
        <v>325</v>
      </c>
      <c r="EW294" t="s">
        <v>547</v>
      </c>
      <c r="EX294">
        <v>45</v>
      </c>
      <c r="EY294">
        <v>2</v>
      </c>
      <c r="EZ294">
        <v>4.2</v>
      </c>
      <c r="FA294">
        <v>1289</v>
      </c>
      <c r="FB294">
        <v>134.9</v>
      </c>
      <c r="FC294">
        <v>174</v>
      </c>
      <c r="FE294">
        <v>0</v>
      </c>
      <c r="FF294">
        <v>2</v>
      </c>
      <c r="FI294">
        <v>0</v>
      </c>
      <c r="FK294" t="s">
        <v>548</v>
      </c>
      <c r="FL294">
        <v>0.6</v>
      </c>
      <c r="FM294">
        <v>60</v>
      </c>
      <c r="FN294">
        <v>290</v>
      </c>
      <c r="FO294">
        <v>55</v>
      </c>
      <c r="FP294">
        <v>130</v>
      </c>
      <c r="FR294" t="s">
        <v>548</v>
      </c>
      <c r="FS294">
        <v>0.4</v>
      </c>
      <c r="FT294">
        <v>30</v>
      </c>
      <c r="FU294">
        <v>330</v>
      </c>
      <c r="HC294">
        <v>0.1</v>
      </c>
      <c r="HD294">
        <v>3</v>
      </c>
      <c r="HE294">
        <v>3</v>
      </c>
      <c r="HF294">
        <v>3</v>
      </c>
      <c r="HG294">
        <v>3</v>
      </c>
      <c r="HH294">
        <v>3</v>
      </c>
      <c r="HI294">
        <v>105</v>
      </c>
      <c r="HJ294">
        <v>3</v>
      </c>
      <c r="HK294">
        <v>30</v>
      </c>
      <c r="HL294">
        <v>2</v>
      </c>
      <c r="HM294">
        <v>0</v>
      </c>
      <c r="HN294">
        <v>2</v>
      </c>
      <c r="HO294">
        <v>60</v>
      </c>
      <c r="HP294">
        <v>3</v>
      </c>
      <c r="HQ294">
        <v>0</v>
      </c>
      <c r="HR294">
        <v>2</v>
      </c>
      <c r="HS294">
        <v>3877</v>
      </c>
      <c r="HT294">
        <v>120</v>
      </c>
      <c r="HU294">
        <v>180</v>
      </c>
      <c r="HW294">
        <v>20</v>
      </c>
      <c r="HX294">
        <v>386</v>
      </c>
      <c r="HY294">
        <v>0.18</v>
      </c>
      <c r="IA294">
        <v>0.15</v>
      </c>
      <c r="IB294">
        <v>0</v>
      </c>
      <c r="IC294">
        <v>180</v>
      </c>
      <c r="ID294">
        <v>110</v>
      </c>
      <c r="IE294">
        <v>0</v>
      </c>
      <c r="IF294">
        <v>0</v>
      </c>
      <c r="IH294" t="s">
        <v>549</v>
      </c>
      <c r="IO294">
        <v>1</v>
      </c>
      <c r="IP294">
        <v>17</v>
      </c>
      <c r="IQ294">
        <v>0</v>
      </c>
      <c r="IR294">
        <v>0</v>
      </c>
      <c r="IV294">
        <v>1301</v>
      </c>
      <c r="IW294">
        <v>372</v>
      </c>
      <c r="JA294">
        <v>1</v>
      </c>
      <c r="JB294">
        <v>0</v>
      </c>
      <c r="JC294">
        <v>2</v>
      </c>
      <c r="JD294">
        <v>1319</v>
      </c>
      <c r="JE294">
        <v>1312</v>
      </c>
      <c r="JF294">
        <v>0</v>
      </c>
      <c r="JG294">
        <v>1289</v>
      </c>
      <c r="JH294">
        <v>0</v>
      </c>
      <c r="JJ294">
        <v>180</v>
      </c>
      <c r="JK294">
        <v>386</v>
      </c>
      <c r="JN294">
        <v>330</v>
      </c>
      <c r="JO294">
        <v>605</v>
      </c>
      <c r="JP294">
        <v>0</v>
      </c>
      <c r="JQ294">
        <v>0</v>
      </c>
      <c r="JR294">
        <v>378</v>
      </c>
      <c r="JS294">
        <v>105</v>
      </c>
      <c r="JV294">
        <v>8</v>
      </c>
      <c r="JW294" t="s">
        <v>550</v>
      </c>
      <c r="JX294">
        <v>400</v>
      </c>
      <c r="KA294">
        <v>0</v>
      </c>
      <c r="KB294">
        <v>110</v>
      </c>
      <c r="KC294">
        <v>0</v>
      </c>
      <c r="KD294">
        <v>80</v>
      </c>
      <c r="KF294">
        <v>4</v>
      </c>
      <c r="KG294">
        <v>4</v>
      </c>
      <c r="KH294">
        <v>2</v>
      </c>
      <c r="KI294">
        <v>2</v>
      </c>
      <c r="KJ294">
        <v>0</v>
      </c>
      <c r="KK294">
        <v>1.5</v>
      </c>
      <c r="KL294">
        <v>1.5</v>
      </c>
      <c r="KM294">
        <v>0</v>
      </c>
      <c r="KN294">
        <v>0</v>
      </c>
      <c r="KO294">
        <v>0</v>
      </c>
      <c r="KR294">
        <v>30</v>
      </c>
      <c r="KS294">
        <v>60</v>
      </c>
      <c r="KT294">
        <v>0</v>
      </c>
      <c r="LK294">
        <v>480</v>
      </c>
      <c r="PG294">
        <v>1</v>
      </c>
      <c r="PI294" t="s">
        <v>3502</v>
      </c>
      <c r="PJ294" t="s">
        <v>3503</v>
      </c>
      <c r="PL294" t="s">
        <v>1464</v>
      </c>
      <c r="PP294" t="s">
        <v>3504</v>
      </c>
      <c r="PS294" t="s">
        <v>693</v>
      </c>
      <c r="PX294">
        <v>56</v>
      </c>
      <c r="PY294">
        <v>56</v>
      </c>
      <c r="PZ294" t="s">
        <v>3502</v>
      </c>
      <c r="QA294">
        <v>1</v>
      </c>
      <c r="QB294">
        <v>1289</v>
      </c>
      <c r="QC294">
        <v>69</v>
      </c>
      <c r="QD294">
        <v>69</v>
      </c>
      <c r="QE294" t="s">
        <v>1464</v>
      </c>
      <c r="QF294">
        <v>1</v>
      </c>
      <c r="QG294">
        <v>1319</v>
      </c>
      <c r="QH294">
        <v>66</v>
      </c>
      <c r="QI294">
        <v>66</v>
      </c>
      <c r="QJ294" t="s">
        <v>693</v>
      </c>
      <c r="QK294">
        <v>1</v>
      </c>
      <c r="QL294">
        <v>1319</v>
      </c>
      <c r="QM294">
        <v>62</v>
      </c>
      <c r="QN294">
        <v>62</v>
      </c>
      <c r="QO294" t="s">
        <v>3503</v>
      </c>
      <c r="QP294">
        <v>1</v>
      </c>
      <c r="QQ294">
        <v>1312</v>
      </c>
      <c r="QW294">
        <v>82</v>
      </c>
      <c r="QX294">
        <v>88</v>
      </c>
      <c r="QY294" t="s">
        <v>3504</v>
      </c>
      <c r="QZ294">
        <v>1</v>
      </c>
      <c r="RA294">
        <v>66</v>
      </c>
      <c r="RB294">
        <v>66</v>
      </c>
      <c r="RE294">
        <v>0</v>
      </c>
      <c r="RF294">
        <v>1</v>
      </c>
      <c r="RJ294">
        <v>1</v>
      </c>
      <c r="RK294">
        <v>2</v>
      </c>
      <c r="RL294">
        <v>4</v>
      </c>
      <c r="RO294">
        <v>467</v>
      </c>
      <c r="RP294">
        <v>105</v>
      </c>
      <c r="RQ294">
        <v>774</v>
      </c>
      <c r="RT294">
        <v>326</v>
      </c>
      <c r="RU294">
        <v>229</v>
      </c>
      <c r="RV294" t="s">
        <v>3506</v>
      </c>
      <c r="RW294" t="s">
        <v>653</v>
      </c>
      <c r="RX294">
        <v>15</v>
      </c>
      <c r="RY294">
        <v>4</v>
      </c>
      <c r="RZ294" t="s">
        <v>653</v>
      </c>
      <c r="SA294">
        <v>15</v>
      </c>
      <c r="SC294" t="s">
        <v>3503</v>
      </c>
      <c r="SD294">
        <v>1</v>
      </c>
      <c r="SH294">
        <v>0.995</v>
      </c>
      <c r="SI294">
        <v>0.995</v>
      </c>
      <c r="SJ294">
        <v>0.995</v>
      </c>
      <c r="SK294">
        <v>15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1</v>
      </c>
      <c r="TB294">
        <v>0</v>
      </c>
      <c r="TC294">
        <v>0</v>
      </c>
      <c r="TD294">
        <v>7.5</v>
      </c>
      <c r="TE294" t="s">
        <v>553</v>
      </c>
      <c r="TF294" t="s">
        <v>681</v>
      </c>
      <c r="TG294" t="s">
        <v>555</v>
      </c>
      <c r="TI294" t="s">
        <v>546</v>
      </c>
      <c r="TJ294" t="s">
        <v>547</v>
      </c>
      <c r="TL294" t="s">
        <v>3491</v>
      </c>
      <c r="TM294" t="s">
        <v>513</v>
      </c>
      <c r="TN294">
        <v>0</v>
      </c>
      <c r="TO294" t="s">
        <v>557</v>
      </c>
    </row>
    <row r="295" spans="1:535">
      <c r="A295" t="s">
        <v>3507</v>
      </c>
      <c r="B295" t="s">
        <v>804</v>
      </c>
      <c r="C295" t="s">
        <v>509</v>
      </c>
      <c r="D295" t="s">
        <v>2099</v>
      </c>
      <c r="G295" t="s">
        <v>561</v>
      </c>
      <c r="I295" t="s">
        <v>562</v>
      </c>
      <c r="J295" t="s">
        <v>563</v>
      </c>
      <c r="L295" t="s">
        <v>512</v>
      </c>
      <c r="M295" t="s">
        <v>508</v>
      </c>
      <c r="N295" t="s">
        <v>513</v>
      </c>
      <c r="O295" t="s">
        <v>1255</v>
      </c>
      <c r="P295" t="s">
        <v>515</v>
      </c>
      <c r="Q295" t="s">
        <v>3508</v>
      </c>
      <c r="R295" t="s">
        <v>567</v>
      </c>
      <c r="S295" t="s">
        <v>631</v>
      </c>
      <c r="T295" t="s">
        <v>632</v>
      </c>
      <c r="U295" t="s">
        <v>633</v>
      </c>
      <c r="V295" t="s">
        <v>634</v>
      </c>
      <c r="W295" t="s">
        <v>744</v>
      </c>
      <c r="X295" t="s">
        <v>1460</v>
      </c>
      <c r="Y295" t="s">
        <v>524</v>
      </c>
      <c r="Z295" t="s">
        <v>3509</v>
      </c>
      <c r="AA295" t="s">
        <v>3510</v>
      </c>
      <c r="AB295" t="s">
        <v>1742</v>
      </c>
      <c r="AC295">
        <v>2</v>
      </c>
      <c r="AD295">
        <v>56</v>
      </c>
      <c r="AE295">
        <v>173</v>
      </c>
      <c r="AF295">
        <v>1.5</v>
      </c>
      <c r="AH295">
        <v>0</v>
      </c>
      <c r="AI295" t="s">
        <v>719</v>
      </c>
      <c r="AJ295">
        <v>185</v>
      </c>
      <c r="AK295">
        <v>1</v>
      </c>
      <c r="AL295">
        <v>1.5</v>
      </c>
      <c r="AM295" t="s">
        <v>529</v>
      </c>
      <c r="AO295">
        <v>0</v>
      </c>
      <c r="AR295">
        <v>0</v>
      </c>
      <c r="AS295">
        <v>1.5</v>
      </c>
      <c r="AV295" t="s">
        <v>3511</v>
      </c>
      <c r="AW295" t="s">
        <v>3511</v>
      </c>
      <c r="AX295">
        <v>1</v>
      </c>
      <c r="AY295">
        <v>252.5</v>
      </c>
      <c r="AZ295">
        <v>1.5</v>
      </c>
      <c r="BA295" t="s">
        <v>529</v>
      </c>
      <c r="BG295">
        <v>1.5</v>
      </c>
      <c r="BJ295">
        <v>0</v>
      </c>
      <c r="BN295">
        <v>1.5</v>
      </c>
      <c r="BP295" t="s">
        <v>2532</v>
      </c>
      <c r="BQ295">
        <v>82</v>
      </c>
      <c r="BR295">
        <v>2</v>
      </c>
      <c r="BS295" t="s">
        <v>1640</v>
      </c>
      <c r="BT295">
        <v>195</v>
      </c>
      <c r="BU295">
        <v>0.5</v>
      </c>
      <c r="BV295" t="s">
        <v>1640</v>
      </c>
      <c r="BW295">
        <v>390</v>
      </c>
      <c r="BX295">
        <v>1</v>
      </c>
      <c r="BY295" t="s">
        <v>643</v>
      </c>
      <c r="BZ295">
        <v>300</v>
      </c>
      <c r="CA295">
        <v>460</v>
      </c>
      <c r="CB295" t="s">
        <v>644</v>
      </c>
      <c r="CC295" t="s">
        <v>644</v>
      </c>
      <c r="CD295">
        <v>406</v>
      </c>
      <c r="CE295" t="s">
        <v>544</v>
      </c>
      <c r="CF295">
        <v>15</v>
      </c>
      <c r="CG295" t="s">
        <v>645</v>
      </c>
      <c r="CH295" t="s">
        <v>645</v>
      </c>
      <c r="CI295">
        <v>80</v>
      </c>
      <c r="CJ295">
        <v>1301</v>
      </c>
      <c r="CK295">
        <v>2</v>
      </c>
      <c r="CL295">
        <v>1395</v>
      </c>
      <c r="CM295">
        <v>2</v>
      </c>
      <c r="CN295" t="s">
        <v>646</v>
      </c>
      <c r="CO295" t="s">
        <v>647</v>
      </c>
      <c r="CP295" t="s">
        <v>648</v>
      </c>
      <c r="CQ295" t="s">
        <v>649</v>
      </c>
      <c r="CR295" t="s">
        <v>650</v>
      </c>
      <c r="CS295" t="s">
        <v>542</v>
      </c>
      <c r="CT295">
        <v>370</v>
      </c>
      <c r="CU295">
        <v>5</v>
      </c>
      <c r="CV295">
        <v>1.2</v>
      </c>
      <c r="CW295">
        <v>1314</v>
      </c>
      <c r="CX295">
        <v>689</v>
      </c>
      <c r="DD295">
        <v>0</v>
      </c>
      <c r="DE295" t="s">
        <v>543</v>
      </c>
      <c r="DF295">
        <v>505</v>
      </c>
      <c r="DG295">
        <v>3</v>
      </c>
      <c r="DH295">
        <v>1.18</v>
      </c>
      <c r="DI295">
        <v>1312</v>
      </c>
      <c r="DJ295">
        <v>1122</v>
      </c>
      <c r="DW295" t="s">
        <v>544</v>
      </c>
      <c r="DX295">
        <v>7.5</v>
      </c>
      <c r="EA295">
        <v>1379.8</v>
      </c>
      <c r="EB295">
        <v>180</v>
      </c>
      <c r="EC295" t="s">
        <v>545</v>
      </c>
      <c r="ED295">
        <v>25</v>
      </c>
      <c r="EE295">
        <v>3</v>
      </c>
      <c r="EG295">
        <v>1411</v>
      </c>
      <c r="EH295">
        <v>154</v>
      </c>
      <c r="EJ295">
        <v>0</v>
      </c>
      <c r="EK295">
        <v>1</v>
      </c>
      <c r="EN295">
        <v>0</v>
      </c>
      <c r="EP295" t="s">
        <v>546</v>
      </c>
      <c r="EQ295">
        <v>75</v>
      </c>
      <c r="ER295">
        <v>3</v>
      </c>
      <c r="ES295">
        <v>4</v>
      </c>
      <c r="ET295">
        <v>1289</v>
      </c>
      <c r="EU295">
        <v>251.8</v>
      </c>
      <c r="EV295">
        <v>325</v>
      </c>
      <c r="EW295" t="s">
        <v>547</v>
      </c>
      <c r="EX295">
        <v>70</v>
      </c>
      <c r="EY295">
        <v>2</v>
      </c>
      <c r="EZ295">
        <v>3.7</v>
      </c>
      <c r="FA295">
        <v>1289</v>
      </c>
      <c r="FB295">
        <v>200.1</v>
      </c>
      <c r="FC295">
        <v>258</v>
      </c>
      <c r="FE295">
        <v>0</v>
      </c>
      <c r="FF295">
        <v>2</v>
      </c>
      <c r="FI295">
        <v>0</v>
      </c>
      <c r="FK295" t="s">
        <v>548</v>
      </c>
      <c r="FL295">
        <v>0.4</v>
      </c>
      <c r="FM295">
        <v>85</v>
      </c>
      <c r="FN295">
        <v>150</v>
      </c>
      <c r="FR295" t="s">
        <v>548</v>
      </c>
      <c r="FS295">
        <v>0.4</v>
      </c>
      <c r="FT295">
        <v>30</v>
      </c>
      <c r="FU295">
        <v>350</v>
      </c>
      <c r="FY295" t="s">
        <v>651</v>
      </c>
      <c r="FZ295">
        <v>1.6</v>
      </c>
      <c r="GA295">
        <v>20</v>
      </c>
      <c r="GB295">
        <v>166</v>
      </c>
      <c r="GG295" t="s">
        <v>651</v>
      </c>
      <c r="GH295">
        <v>1.6</v>
      </c>
      <c r="GI295">
        <v>20</v>
      </c>
      <c r="GJ295">
        <v>166</v>
      </c>
      <c r="HC295">
        <v>0.1</v>
      </c>
      <c r="HD295">
        <v>3</v>
      </c>
      <c r="HE295">
        <v>3</v>
      </c>
      <c r="HF295">
        <v>3</v>
      </c>
      <c r="HG295">
        <v>3</v>
      </c>
      <c r="HH295">
        <v>3</v>
      </c>
      <c r="HI295">
        <v>130</v>
      </c>
      <c r="HJ295">
        <v>3</v>
      </c>
      <c r="HK295">
        <v>55</v>
      </c>
      <c r="HL295">
        <v>2</v>
      </c>
      <c r="HM295">
        <v>0</v>
      </c>
      <c r="HN295">
        <v>2</v>
      </c>
      <c r="HO295">
        <v>60</v>
      </c>
      <c r="HP295">
        <v>3</v>
      </c>
      <c r="HQ295">
        <v>0</v>
      </c>
      <c r="HR295">
        <v>2</v>
      </c>
      <c r="HS295">
        <v>3645</v>
      </c>
      <c r="HT295">
        <v>110</v>
      </c>
      <c r="HU295">
        <v>180</v>
      </c>
      <c r="HW295">
        <v>0</v>
      </c>
      <c r="HX295">
        <v>446</v>
      </c>
      <c r="HY295">
        <v>0.18</v>
      </c>
      <c r="IA295">
        <v>0.15</v>
      </c>
      <c r="IB295">
        <v>0</v>
      </c>
      <c r="IC295">
        <v>180</v>
      </c>
      <c r="ID295">
        <v>110</v>
      </c>
      <c r="IE295">
        <v>0</v>
      </c>
      <c r="IF295">
        <v>0</v>
      </c>
      <c r="IH295" t="s">
        <v>549</v>
      </c>
      <c r="IO295">
        <v>1</v>
      </c>
      <c r="IP295">
        <v>17</v>
      </c>
      <c r="IQ295">
        <v>0</v>
      </c>
      <c r="IR295">
        <v>1</v>
      </c>
      <c r="IV295">
        <v>1301</v>
      </c>
      <c r="IW295">
        <v>390</v>
      </c>
      <c r="JA295">
        <v>1</v>
      </c>
      <c r="JB295">
        <v>0</v>
      </c>
      <c r="JC295">
        <v>2</v>
      </c>
      <c r="JD295">
        <v>1314</v>
      </c>
      <c r="JE295">
        <v>1312</v>
      </c>
      <c r="JF295">
        <v>0</v>
      </c>
      <c r="JG295">
        <v>1289</v>
      </c>
      <c r="JH295">
        <v>0</v>
      </c>
      <c r="JJ295">
        <v>180</v>
      </c>
      <c r="JK295">
        <v>446</v>
      </c>
      <c r="JN295">
        <v>370</v>
      </c>
      <c r="JO295">
        <v>505</v>
      </c>
      <c r="JP295">
        <v>0</v>
      </c>
      <c r="JQ295">
        <v>0</v>
      </c>
      <c r="JR295">
        <v>346</v>
      </c>
      <c r="JS295">
        <v>130</v>
      </c>
      <c r="JV295">
        <v>8</v>
      </c>
      <c r="JW295" t="s">
        <v>550</v>
      </c>
      <c r="JX295">
        <v>0</v>
      </c>
      <c r="KA295">
        <v>0</v>
      </c>
      <c r="KB295">
        <v>110</v>
      </c>
      <c r="KC295">
        <v>0</v>
      </c>
      <c r="KD295">
        <v>80</v>
      </c>
      <c r="KF295">
        <v>4</v>
      </c>
      <c r="KG295">
        <v>2.5</v>
      </c>
      <c r="KH295">
        <v>2</v>
      </c>
      <c r="KI295">
        <v>2</v>
      </c>
      <c r="KJ295">
        <v>0</v>
      </c>
      <c r="KK295">
        <v>1.5</v>
      </c>
      <c r="KL295">
        <v>1.5</v>
      </c>
      <c r="KM295">
        <v>0</v>
      </c>
      <c r="KN295">
        <v>0</v>
      </c>
      <c r="KO295">
        <v>0</v>
      </c>
      <c r="KR295">
        <v>30</v>
      </c>
      <c r="KS295">
        <v>60</v>
      </c>
      <c r="KT295">
        <v>0</v>
      </c>
      <c r="LK295">
        <v>480</v>
      </c>
      <c r="PG295">
        <v>1</v>
      </c>
      <c r="PI295" t="s">
        <v>1742</v>
      </c>
      <c r="PJ295" t="s">
        <v>3511</v>
      </c>
      <c r="PL295" t="s">
        <v>719</v>
      </c>
      <c r="PP295" t="s">
        <v>2532</v>
      </c>
      <c r="PX295">
        <v>56</v>
      </c>
      <c r="PY295">
        <v>56</v>
      </c>
      <c r="PZ295" t="s">
        <v>1742</v>
      </c>
      <c r="QA295">
        <v>1</v>
      </c>
      <c r="QB295">
        <v>1289</v>
      </c>
      <c r="QC295">
        <v>69</v>
      </c>
      <c r="QD295">
        <v>69</v>
      </c>
      <c r="QE295" t="s">
        <v>719</v>
      </c>
      <c r="QF295">
        <v>1</v>
      </c>
      <c r="QG295">
        <v>1314</v>
      </c>
      <c r="QH295">
        <v>66</v>
      </c>
      <c r="QI295">
        <v>66</v>
      </c>
      <c r="QL295">
        <v>0</v>
      </c>
      <c r="QM295">
        <v>63</v>
      </c>
      <c r="QN295">
        <v>63</v>
      </c>
      <c r="QO295" t="s">
        <v>3511</v>
      </c>
      <c r="QP295">
        <v>1</v>
      </c>
      <c r="QQ295">
        <v>1312</v>
      </c>
      <c r="QW295">
        <v>82</v>
      </c>
      <c r="QX295">
        <v>82</v>
      </c>
      <c r="QY295" t="s">
        <v>2532</v>
      </c>
      <c r="QZ295">
        <v>3</v>
      </c>
      <c r="RA295">
        <v>66</v>
      </c>
      <c r="RB295">
        <v>66</v>
      </c>
      <c r="RE295">
        <v>0</v>
      </c>
      <c r="RG295">
        <v>1</v>
      </c>
      <c r="RJ295">
        <v>2</v>
      </c>
      <c r="RL295">
        <v>2</v>
      </c>
      <c r="RO295">
        <v>524</v>
      </c>
      <c r="RQ295">
        <v>855</v>
      </c>
      <c r="RT295">
        <v>180</v>
      </c>
      <c r="RU295">
        <v>154</v>
      </c>
      <c r="RV295" t="s">
        <v>1641</v>
      </c>
      <c r="RW295" t="s">
        <v>653</v>
      </c>
      <c r="RX295">
        <v>15</v>
      </c>
      <c r="RY295">
        <v>4</v>
      </c>
      <c r="RZ295" t="s">
        <v>653</v>
      </c>
      <c r="SA295">
        <v>15</v>
      </c>
      <c r="SB295" t="s">
        <v>3512</v>
      </c>
      <c r="SC295" t="s">
        <v>3512</v>
      </c>
      <c r="SD295">
        <v>1</v>
      </c>
      <c r="SH295">
        <v>0.995</v>
      </c>
      <c r="SI295">
        <v>0.995</v>
      </c>
      <c r="SJ295">
        <v>0.995</v>
      </c>
      <c r="SK295">
        <v>15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TB295">
        <v>0</v>
      </c>
      <c r="TC295">
        <v>0</v>
      </c>
      <c r="TD295">
        <v>7.5</v>
      </c>
      <c r="TE295" t="s">
        <v>553</v>
      </c>
      <c r="TF295" t="s">
        <v>754</v>
      </c>
      <c r="TG295" t="s">
        <v>555</v>
      </c>
      <c r="TI295" t="s">
        <v>546</v>
      </c>
      <c r="TJ295" t="s">
        <v>547</v>
      </c>
      <c r="TL295" t="s">
        <v>3491</v>
      </c>
      <c r="TM295" t="s">
        <v>513</v>
      </c>
      <c r="TN295">
        <v>0</v>
      </c>
      <c r="TO295" t="s">
        <v>557</v>
      </c>
    </row>
    <row r="296" spans="1:535">
      <c r="A296" t="s">
        <v>3513</v>
      </c>
      <c r="B296" t="s">
        <v>804</v>
      </c>
      <c r="C296" t="s">
        <v>509</v>
      </c>
      <c r="D296" t="s">
        <v>2252</v>
      </c>
      <c r="G296" t="s">
        <v>561</v>
      </c>
      <c r="I296" t="s">
        <v>562</v>
      </c>
      <c r="J296" t="s">
        <v>563</v>
      </c>
      <c r="L296" t="s">
        <v>512</v>
      </c>
      <c r="M296" t="s">
        <v>508</v>
      </c>
      <c r="N296" t="s">
        <v>513</v>
      </c>
      <c r="O296" t="s">
        <v>1255</v>
      </c>
      <c r="P296" t="s">
        <v>515</v>
      </c>
      <c r="Q296" t="s">
        <v>3514</v>
      </c>
      <c r="R296" t="s">
        <v>567</v>
      </c>
      <c r="S296" t="s">
        <v>1617</v>
      </c>
      <c r="T296" t="s">
        <v>1618</v>
      </c>
      <c r="U296" t="s">
        <v>1482</v>
      </c>
      <c r="V296" t="s">
        <v>1483</v>
      </c>
      <c r="W296" t="s">
        <v>1905</v>
      </c>
      <c r="X296" t="s">
        <v>1880</v>
      </c>
      <c r="Y296" t="s">
        <v>524</v>
      </c>
      <c r="Z296" t="s">
        <v>1906</v>
      </c>
      <c r="AA296" t="s">
        <v>3515</v>
      </c>
      <c r="AB296" t="s">
        <v>1908</v>
      </c>
      <c r="AC296">
        <v>2</v>
      </c>
      <c r="AD296">
        <v>57</v>
      </c>
      <c r="AE296">
        <v>173</v>
      </c>
      <c r="AF296">
        <v>1.5</v>
      </c>
      <c r="AH296">
        <v>0</v>
      </c>
      <c r="AI296" t="s">
        <v>719</v>
      </c>
      <c r="AJ296">
        <v>185</v>
      </c>
      <c r="AK296">
        <v>1</v>
      </c>
      <c r="AL296">
        <v>1.5</v>
      </c>
      <c r="AM296" t="s">
        <v>529</v>
      </c>
      <c r="AO296">
        <v>0</v>
      </c>
      <c r="AR296">
        <v>0</v>
      </c>
      <c r="AS296">
        <v>1.5</v>
      </c>
      <c r="AU296" t="s">
        <v>1909</v>
      </c>
      <c r="AW296" t="s">
        <v>1909</v>
      </c>
      <c r="AX296">
        <v>1</v>
      </c>
      <c r="AY296">
        <v>340</v>
      </c>
      <c r="AZ296">
        <v>1.5</v>
      </c>
      <c r="BA296" t="s">
        <v>529</v>
      </c>
      <c r="BG296">
        <v>1.5</v>
      </c>
      <c r="BJ296">
        <v>0</v>
      </c>
      <c r="BN296">
        <v>1.5</v>
      </c>
      <c r="BP296" t="s">
        <v>1910</v>
      </c>
      <c r="BQ296">
        <v>84</v>
      </c>
      <c r="BR296">
        <v>2</v>
      </c>
      <c r="BS296" t="s">
        <v>1490</v>
      </c>
      <c r="BT296">
        <v>195</v>
      </c>
      <c r="BU296">
        <v>0.5</v>
      </c>
      <c r="BV296" t="s">
        <v>1490</v>
      </c>
      <c r="BW296">
        <v>390</v>
      </c>
      <c r="BX296">
        <v>1</v>
      </c>
      <c r="BY296" t="s">
        <v>1491</v>
      </c>
      <c r="BZ296">
        <v>300</v>
      </c>
      <c r="CA296">
        <v>500</v>
      </c>
      <c r="CB296" t="s">
        <v>1492</v>
      </c>
      <c r="CC296" t="s">
        <v>1492</v>
      </c>
      <c r="CD296">
        <v>404</v>
      </c>
      <c r="CE296" t="s">
        <v>1493</v>
      </c>
      <c r="CF296">
        <v>15</v>
      </c>
      <c r="CG296" t="s">
        <v>1494</v>
      </c>
      <c r="CH296" t="s">
        <v>1494</v>
      </c>
      <c r="CI296">
        <v>100</v>
      </c>
      <c r="CJ296">
        <v>1122</v>
      </c>
      <c r="CK296">
        <v>2</v>
      </c>
      <c r="CL296">
        <v>1222</v>
      </c>
      <c r="CM296">
        <v>2</v>
      </c>
      <c r="CN296" t="s">
        <v>1495</v>
      </c>
      <c r="CO296" t="s">
        <v>1473</v>
      </c>
      <c r="CP296" t="s">
        <v>1474</v>
      </c>
      <c r="CQ296" t="s">
        <v>1496</v>
      </c>
      <c r="CR296" t="s">
        <v>541</v>
      </c>
      <c r="CS296" t="s">
        <v>542</v>
      </c>
      <c r="CT296">
        <v>370</v>
      </c>
      <c r="CU296">
        <v>5</v>
      </c>
      <c r="CV296">
        <v>1.2</v>
      </c>
      <c r="CW296">
        <v>1136</v>
      </c>
      <c r="CX296">
        <v>595</v>
      </c>
      <c r="DD296">
        <v>0</v>
      </c>
      <c r="DE296" t="s">
        <v>622</v>
      </c>
      <c r="DF296">
        <v>680</v>
      </c>
      <c r="DG296">
        <v>3</v>
      </c>
      <c r="DH296">
        <v>0.88</v>
      </c>
      <c r="DI296">
        <v>1134</v>
      </c>
      <c r="DJ296">
        <v>924</v>
      </c>
      <c r="DW296" t="s">
        <v>544</v>
      </c>
      <c r="DX296">
        <v>7.5</v>
      </c>
      <c r="EA296">
        <v>1202.7</v>
      </c>
      <c r="EB296">
        <v>157</v>
      </c>
      <c r="EC296" t="s">
        <v>545</v>
      </c>
      <c r="ED296">
        <v>30</v>
      </c>
      <c r="EE296">
        <v>3</v>
      </c>
      <c r="EG296">
        <v>1233</v>
      </c>
      <c r="EH296">
        <v>151</v>
      </c>
      <c r="EJ296">
        <v>0</v>
      </c>
      <c r="EK296">
        <v>1</v>
      </c>
      <c r="EN296">
        <v>0</v>
      </c>
      <c r="EP296" t="s">
        <v>546</v>
      </c>
      <c r="EQ296">
        <v>105</v>
      </c>
      <c r="ER296">
        <v>3</v>
      </c>
      <c r="ES296">
        <v>3.9</v>
      </c>
      <c r="ET296">
        <v>1110</v>
      </c>
      <c r="EU296">
        <v>328.8</v>
      </c>
      <c r="EV296">
        <v>365</v>
      </c>
      <c r="EW296" t="s">
        <v>547</v>
      </c>
      <c r="EX296">
        <v>70</v>
      </c>
      <c r="EY296">
        <v>2</v>
      </c>
      <c r="EZ296">
        <v>3.2</v>
      </c>
      <c r="FA296">
        <v>1110</v>
      </c>
      <c r="FB296">
        <v>198.9</v>
      </c>
      <c r="FC296">
        <v>221</v>
      </c>
      <c r="FE296">
        <v>0</v>
      </c>
      <c r="FF296">
        <v>2</v>
      </c>
      <c r="FI296">
        <v>0</v>
      </c>
      <c r="FK296" t="s">
        <v>548</v>
      </c>
      <c r="FL296">
        <v>0.6</v>
      </c>
      <c r="FM296">
        <v>80</v>
      </c>
      <c r="FN296">
        <v>90</v>
      </c>
      <c r="FR296" t="s">
        <v>548</v>
      </c>
      <c r="FS296">
        <v>0.6</v>
      </c>
      <c r="FT296">
        <v>30</v>
      </c>
      <c r="FU296">
        <v>350</v>
      </c>
      <c r="HC296">
        <v>0.1</v>
      </c>
      <c r="HD296">
        <v>3</v>
      </c>
      <c r="HE296">
        <v>3</v>
      </c>
      <c r="HF296">
        <v>3</v>
      </c>
      <c r="HG296">
        <v>3</v>
      </c>
      <c r="HH296">
        <v>3</v>
      </c>
      <c r="HI296">
        <v>160</v>
      </c>
      <c r="HJ296">
        <v>3</v>
      </c>
      <c r="HK296">
        <v>55</v>
      </c>
      <c r="HL296">
        <v>2</v>
      </c>
      <c r="HM296">
        <v>0</v>
      </c>
      <c r="HN296">
        <v>2</v>
      </c>
      <c r="HO296">
        <v>90</v>
      </c>
      <c r="HP296">
        <v>3</v>
      </c>
      <c r="HQ296">
        <v>0</v>
      </c>
      <c r="HR296">
        <v>2</v>
      </c>
      <c r="HS296">
        <v>3307</v>
      </c>
      <c r="HT296">
        <v>100</v>
      </c>
      <c r="HU296">
        <v>180</v>
      </c>
      <c r="HW296">
        <v>20</v>
      </c>
      <c r="HX296">
        <v>490</v>
      </c>
      <c r="HY296">
        <v>0.18</v>
      </c>
      <c r="IA296">
        <v>0.15</v>
      </c>
      <c r="IB296">
        <v>0</v>
      </c>
      <c r="IC296">
        <v>180</v>
      </c>
      <c r="ID296">
        <v>110</v>
      </c>
      <c r="IE296">
        <v>0</v>
      </c>
      <c r="IF296">
        <v>0</v>
      </c>
      <c r="IH296" t="s">
        <v>549</v>
      </c>
      <c r="IO296">
        <v>1</v>
      </c>
      <c r="IP296">
        <v>15</v>
      </c>
      <c r="IQ296">
        <v>0</v>
      </c>
      <c r="IR296">
        <v>1</v>
      </c>
      <c r="IV296">
        <v>1122</v>
      </c>
      <c r="IW296">
        <v>390</v>
      </c>
      <c r="JA296">
        <v>1</v>
      </c>
      <c r="JB296">
        <v>0</v>
      </c>
      <c r="JC296">
        <v>2</v>
      </c>
      <c r="JD296">
        <v>1136</v>
      </c>
      <c r="JE296">
        <v>1134</v>
      </c>
      <c r="JF296">
        <v>0</v>
      </c>
      <c r="JG296">
        <v>1110</v>
      </c>
      <c r="JH296">
        <v>0</v>
      </c>
      <c r="JJ296">
        <v>180</v>
      </c>
      <c r="JK296">
        <v>490</v>
      </c>
      <c r="JN296">
        <v>370</v>
      </c>
      <c r="JO296">
        <v>680</v>
      </c>
      <c r="JP296">
        <v>0</v>
      </c>
      <c r="JQ296">
        <v>0</v>
      </c>
      <c r="JR296">
        <v>346</v>
      </c>
      <c r="JS296">
        <v>160</v>
      </c>
      <c r="JV296">
        <v>8</v>
      </c>
      <c r="JW296" t="s">
        <v>550</v>
      </c>
      <c r="JX296">
        <v>0</v>
      </c>
      <c r="KA296">
        <v>0</v>
      </c>
      <c r="KB296">
        <v>110</v>
      </c>
      <c r="KC296">
        <v>0</v>
      </c>
      <c r="KD296">
        <v>80</v>
      </c>
      <c r="KF296">
        <v>4</v>
      </c>
      <c r="KG296">
        <v>4</v>
      </c>
      <c r="KH296">
        <v>2</v>
      </c>
      <c r="KI296">
        <v>2</v>
      </c>
      <c r="KJ296">
        <v>0</v>
      </c>
      <c r="KK296">
        <v>1.5</v>
      </c>
      <c r="KL296">
        <v>1.5</v>
      </c>
      <c r="KM296">
        <v>0</v>
      </c>
      <c r="KN296">
        <v>0</v>
      </c>
      <c r="KO296">
        <v>0</v>
      </c>
      <c r="KR296">
        <v>50</v>
      </c>
      <c r="KS296">
        <v>60</v>
      </c>
      <c r="KT296">
        <v>0</v>
      </c>
      <c r="LK296">
        <v>480</v>
      </c>
      <c r="PG296">
        <v>1</v>
      </c>
      <c r="PI296" t="s">
        <v>1908</v>
      </c>
      <c r="PJ296" t="s">
        <v>1909</v>
      </c>
      <c r="PL296" t="s">
        <v>719</v>
      </c>
      <c r="PP296" t="s">
        <v>1910</v>
      </c>
      <c r="PX296">
        <v>56</v>
      </c>
      <c r="PY296">
        <v>57</v>
      </c>
      <c r="PZ296" t="s">
        <v>1908</v>
      </c>
      <c r="QA296">
        <v>1</v>
      </c>
      <c r="QB296">
        <v>1110</v>
      </c>
      <c r="QC296">
        <v>69</v>
      </c>
      <c r="QD296">
        <v>69</v>
      </c>
      <c r="QE296" t="s">
        <v>719</v>
      </c>
      <c r="QF296">
        <v>1</v>
      </c>
      <c r="QG296">
        <v>1136</v>
      </c>
      <c r="QH296">
        <v>66</v>
      </c>
      <c r="QI296">
        <v>66</v>
      </c>
      <c r="QL296">
        <v>0</v>
      </c>
      <c r="QM296">
        <v>62</v>
      </c>
      <c r="QN296">
        <v>62</v>
      </c>
      <c r="QO296" t="s">
        <v>1909</v>
      </c>
      <c r="QP296">
        <v>1</v>
      </c>
      <c r="QQ296">
        <v>1134</v>
      </c>
      <c r="QW296">
        <v>82</v>
      </c>
      <c r="QX296">
        <v>84</v>
      </c>
      <c r="QY296" t="s">
        <v>1910</v>
      </c>
      <c r="QZ296">
        <v>3</v>
      </c>
      <c r="RA296">
        <v>66</v>
      </c>
      <c r="RB296">
        <v>66</v>
      </c>
      <c r="RE296">
        <v>0</v>
      </c>
      <c r="RF296">
        <v>1</v>
      </c>
      <c r="RJ296">
        <v>2</v>
      </c>
      <c r="RL296">
        <v>4</v>
      </c>
      <c r="RO296">
        <v>524</v>
      </c>
      <c r="RQ296">
        <v>815</v>
      </c>
      <c r="RT296">
        <v>157</v>
      </c>
      <c r="RU296">
        <v>151</v>
      </c>
      <c r="RV296" t="s">
        <v>1497</v>
      </c>
      <c r="RW296" t="s">
        <v>1498</v>
      </c>
      <c r="RX296">
        <v>15</v>
      </c>
      <c r="RY296">
        <v>4</v>
      </c>
      <c r="RZ296" t="s">
        <v>1498</v>
      </c>
      <c r="SA296">
        <v>15</v>
      </c>
      <c r="SC296" t="s">
        <v>1909</v>
      </c>
      <c r="SD296">
        <v>1</v>
      </c>
      <c r="SH296">
        <v>0.995</v>
      </c>
      <c r="SI296">
        <v>0.995</v>
      </c>
      <c r="SJ296">
        <v>0.995</v>
      </c>
      <c r="SK296">
        <v>15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TB296">
        <v>0</v>
      </c>
      <c r="TC296">
        <v>0</v>
      </c>
      <c r="TD296">
        <v>7.5</v>
      </c>
      <c r="TE296" t="s">
        <v>553</v>
      </c>
      <c r="TF296" t="s">
        <v>754</v>
      </c>
      <c r="TG296" t="s">
        <v>555</v>
      </c>
      <c r="TI296" t="s">
        <v>546</v>
      </c>
      <c r="TJ296" t="s">
        <v>547</v>
      </c>
      <c r="TL296" t="s">
        <v>3491</v>
      </c>
      <c r="TM296" t="s">
        <v>513</v>
      </c>
      <c r="TN296">
        <v>0</v>
      </c>
      <c r="TO296" t="s">
        <v>557</v>
      </c>
    </row>
    <row r="297" spans="1:535">
      <c r="A297" t="s">
        <v>3516</v>
      </c>
      <c r="B297" t="s">
        <v>804</v>
      </c>
      <c r="C297" t="s">
        <v>509</v>
      </c>
      <c r="D297" t="s">
        <v>1738</v>
      </c>
      <c r="G297" t="s">
        <v>1088</v>
      </c>
      <c r="L297" t="s">
        <v>512</v>
      </c>
      <c r="M297" t="s">
        <v>508</v>
      </c>
      <c r="N297" t="s">
        <v>513</v>
      </c>
      <c r="O297" t="s">
        <v>1255</v>
      </c>
      <c r="P297" t="s">
        <v>515</v>
      </c>
      <c r="Q297" t="s">
        <v>3517</v>
      </c>
      <c r="R297" t="s">
        <v>567</v>
      </c>
      <c r="S297" t="s">
        <v>806</v>
      </c>
      <c r="T297" t="s">
        <v>807</v>
      </c>
      <c r="U297" t="s">
        <v>520</v>
      </c>
      <c r="V297" t="s">
        <v>521</v>
      </c>
      <c r="W297" t="s">
        <v>2033</v>
      </c>
      <c r="X297" t="s">
        <v>1880</v>
      </c>
      <c r="Y297" t="s">
        <v>524</v>
      </c>
      <c r="Z297" t="s">
        <v>2034</v>
      </c>
      <c r="AA297" t="s">
        <v>3518</v>
      </c>
      <c r="AB297" t="s">
        <v>2036</v>
      </c>
      <c r="AC297">
        <v>2</v>
      </c>
      <c r="AD297">
        <v>57</v>
      </c>
      <c r="AE297">
        <v>193</v>
      </c>
      <c r="AF297">
        <v>1.5</v>
      </c>
      <c r="AH297">
        <v>0</v>
      </c>
      <c r="AI297" t="s">
        <v>812</v>
      </c>
      <c r="AJ297">
        <v>205</v>
      </c>
      <c r="AK297">
        <v>1</v>
      </c>
      <c r="AL297">
        <v>1.5</v>
      </c>
      <c r="AM297" t="s">
        <v>529</v>
      </c>
      <c r="AO297">
        <v>0</v>
      </c>
      <c r="AR297">
        <v>0</v>
      </c>
      <c r="AS297">
        <v>1.5</v>
      </c>
      <c r="AU297" t="s">
        <v>2037</v>
      </c>
      <c r="AW297" t="s">
        <v>2037</v>
      </c>
      <c r="AX297">
        <v>1</v>
      </c>
      <c r="AY297">
        <v>370</v>
      </c>
      <c r="AZ297">
        <v>1.5</v>
      </c>
      <c r="BA297" t="s">
        <v>529</v>
      </c>
      <c r="BG297">
        <v>1.5</v>
      </c>
      <c r="BJ297">
        <v>0</v>
      </c>
      <c r="BN297">
        <v>1.5</v>
      </c>
      <c r="BP297" t="s">
        <v>2038</v>
      </c>
      <c r="BQ297">
        <v>82</v>
      </c>
      <c r="BR297">
        <v>2</v>
      </c>
      <c r="BS297" t="s">
        <v>1919</v>
      </c>
      <c r="BT297">
        <v>215</v>
      </c>
      <c r="BU297">
        <v>0.5</v>
      </c>
      <c r="BV297" t="s">
        <v>1919</v>
      </c>
      <c r="BW297">
        <v>430</v>
      </c>
      <c r="BX297">
        <v>1</v>
      </c>
      <c r="BY297" t="s">
        <v>533</v>
      </c>
      <c r="BZ297">
        <v>300</v>
      </c>
      <c r="CA297">
        <v>520</v>
      </c>
      <c r="CB297" t="s">
        <v>534</v>
      </c>
      <c r="CC297" t="s">
        <v>534</v>
      </c>
      <c r="CD297">
        <v>446</v>
      </c>
      <c r="CE297" t="s">
        <v>535</v>
      </c>
      <c r="CF297">
        <v>15</v>
      </c>
      <c r="CG297" t="s">
        <v>536</v>
      </c>
      <c r="CH297" t="s">
        <v>536</v>
      </c>
      <c r="CI297">
        <v>110</v>
      </c>
      <c r="CJ297">
        <v>1200</v>
      </c>
      <c r="CK297">
        <v>2</v>
      </c>
      <c r="CL297">
        <v>1301</v>
      </c>
      <c r="CM297">
        <v>2</v>
      </c>
      <c r="CN297" t="s">
        <v>537</v>
      </c>
      <c r="CO297" t="s">
        <v>538</v>
      </c>
      <c r="CP297" t="s">
        <v>539</v>
      </c>
      <c r="CQ297" t="s">
        <v>1496</v>
      </c>
      <c r="CR297" t="s">
        <v>541</v>
      </c>
      <c r="CS297" t="s">
        <v>542</v>
      </c>
      <c r="CT297">
        <v>410</v>
      </c>
      <c r="CU297">
        <v>5</v>
      </c>
      <c r="CV297">
        <v>1.2</v>
      </c>
      <c r="CW297">
        <v>1213</v>
      </c>
      <c r="CX297">
        <v>705</v>
      </c>
      <c r="DD297">
        <v>0</v>
      </c>
      <c r="DE297" t="s">
        <v>543</v>
      </c>
      <c r="DF297">
        <v>740</v>
      </c>
      <c r="DG297">
        <v>3</v>
      </c>
      <c r="DH297">
        <v>1.18</v>
      </c>
      <c r="DI297">
        <v>1211</v>
      </c>
      <c r="DJ297">
        <v>1312</v>
      </c>
      <c r="DW297" t="s">
        <v>544</v>
      </c>
      <c r="DX297">
        <v>7.5</v>
      </c>
      <c r="EA297">
        <v>1282.5</v>
      </c>
      <c r="EB297">
        <v>227</v>
      </c>
      <c r="EC297" t="s">
        <v>545</v>
      </c>
      <c r="ED297">
        <v>35</v>
      </c>
      <c r="EE297">
        <v>3</v>
      </c>
      <c r="EG297">
        <v>1323</v>
      </c>
      <c r="EH297">
        <v>212</v>
      </c>
      <c r="EJ297">
        <v>0</v>
      </c>
      <c r="EK297">
        <v>1</v>
      </c>
      <c r="EN297">
        <v>0</v>
      </c>
      <c r="EP297" t="s">
        <v>546</v>
      </c>
      <c r="EQ297">
        <v>120</v>
      </c>
      <c r="ER297">
        <v>3</v>
      </c>
      <c r="ES297">
        <v>4.8</v>
      </c>
      <c r="ET297">
        <v>1193</v>
      </c>
      <c r="EU297">
        <v>455.7</v>
      </c>
      <c r="EV297">
        <v>544</v>
      </c>
      <c r="EW297" t="s">
        <v>547</v>
      </c>
      <c r="EX297">
        <v>70</v>
      </c>
      <c r="EY297">
        <v>2</v>
      </c>
      <c r="EZ297">
        <v>4</v>
      </c>
      <c r="FA297">
        <v>1193</v>
      </c>
      <c r="FB297">
        <v>219.1</v>
      </c>
      <c r="FC297">
        <v>261</v>
      </c>
      <c r="FE297">
        <v>0</v>
      </c>
      <c r="FF297">
        <v>2</v>
      </c>
      <c r="FI297">
        <v>0</v>
      </c>
      <c r="FK297" t="s">
        <v>548</v>
      </c>
      <c r="FL297">
        <v>0.4</v>
      </c>
      <c r="FM297">
        <v>60</v>
      </c>
      <c r="FN297">
        <v>140</v>
      </c>
      <c r="FR297" t="s">
        <v>548</v>
      </c>
      <c r="FS297">
        <v>0.4</v>
      </c>
      <c r="FT297">
        <v>30</v>
      </c>
      <c r="FU297">
        <v>390</v>
      </c>
      <c r="HC297">
        <v>0.1</v>
      </c>
      <c r="HD297">
        <v>3</v>
      </c>
      <c r="HE297">
        <v>3</v>
      </c>
      <c r="HF297">
        <v>3</v>
      </c>
      <c r="HG297">
        <v>3</v>
      </c>
      <c r="HH297">
        <v>3</v>
      </c>
      <c r="HI297">
        <v>175</v>
      </c>
      <c r="HJ297">
        <v>3</v>
      </c>
      <c r="HK297">
        <v>55</v>
      </c>
      <c r="HL297">
        <v>2</v>
      </c>
      <c r="HM297">
        <v>0</v>
      </c>
      <c r="HN297">
        <v>2</v>
      </c>
      <c r="HO297">
        <v>105</v>
      </c>
      <c r="HP297">
        <v>3</v>
      </c>
      <c r="HQ297">
        <v>0</v>
      </c>
      <c r="HR297">
        <v>2</v>
      </c>
      <c r="HS297">
        <v>4505</v>
      </c>
      <c r="HT297">
        <v>140</v>
      </c>
      <c r="HU297">
        <v>180</v>
      </c>
      <c r="HW297">
        <v>20</v>
      </c>
      <c r="HX297">
        <v>516</v>
      </c>
      <c r="HY297">
        <v>0.18</v>
      </c>
      <c r="IA297">
        <v>0.15</v>
      </c>
      <c r="IB297">
        <v>0</v>
      </c>
      <c r="IC297">
        <v>180</v>
      </c>
      <c r="ID297">
        <v>110</v>
      </c>
      <c r="IE297">
        <v>0</v>
      </c>
      <c r="IF297">
        <v>0</v>
      </c>
      <c r="IH297" t="s">
        <v>549</v>
      </c>
      <c r="IO297">
        <v>1</v>
      </c>
      <c r="IP297">
        <v>16</v>
      </c>
      <c r="IQ297">
        <v>0</v>
      </c>
      <c r="IR297">
        <v>1</v>
      </c>
      <c r="IV297">
        <v>1200</v>
      </c>
      <c r="IW297">
        <v>430</v>
      </c>
      <c r="JA297">
        <v>1</v>
      </c>
      <c r="JB297">
        <v>0</v>
      </c>
      <c r="JC297">
        <v>2</v>
      </c>
      <c r="JD297">
        <v>1213</v>
      </c>
      <c r="JE297">
        <v>1211</v>
      </c>
      <c r="JF297">
        <v>0</v>
      </c>
      <c r="JG297">
        <v>1193</v>
      </c>
      <c r="JH297">
        <v>0</v>
      </c>
      <c r="JJ297">
        <v>180</v>
      </c>
      <c r="JK297">
        <v>516</v>
      </c>
      <c r="JN297">
        <v>410</v>
      </c>
      <c r="JO297">
        <v>740</v>
      </c>
      <c r="JP297">
        <v>0</v>
      </c>
      <c r="JQ297">
        <v>0</v>
      </c>
      <c r="JR297">
        <v>386</v>
      </c>
      <c r="JS297">
        <v>175</v>
      </c>
      <c r="JV297">
        <v>8</v>
      </c>
      <c r="JW297" t="s">
        <v>550</v>
      </c>
      <c r="JX297">
        <v>0</v>
      </c>
      <c r="KA297">
        <v>0</v>
      </c>
      <c r="KB297">
        <v>110</v>
      </c>
      <c r="KC297">
        <v>0</v>
      </c>
      <c r="KD297">
        <v>80</v>
      </c>
      <c r="KF297">
        <v>4</v>
      </c>
      <c r="KG297">
        <v>2</v>
      </c>
      <c r="KH297">
        <v>2</v>
      </c>
      <c r="KI297">
        <v>2</v>
      </c>
      <c r="KJ297">
        <v>0</v>
      </c>
      <c r="KK297">
        <v>1.5</v>
      </c>
      <c r="KL297">
        <v>1.5</v>
      </c>
      <c r="KM297">
        <v>0</v>
      </c>
      <c r="KN297">
        <v>0</v>
      </c>
      <c r="KO297">
        <v>0</v>
      </c>
      <c r="KR297">
        <v>50</v>
      </c>
      <c r="KS297">
        <v>60</v>
      </c>
      <c r="KT297">
        <v>0</v>
      </c>
      <c r="LK297">
        <v>480</v>
      </c>
      <c r="PG297">
        <v>1</v>
      </c>
      <c r="PI297" t="s">
        <v>2036</v>
      </c>
      <c r="PJ297" t="s">
        <v>2037</v>
      </c>
      <c r="PL297" t="s">
        <v>812</v>
      </c>
      <c r="PP297" t="s">
        <v>2038</v>
      </c>
      <c r="PX297">
        <v>56</v>
      </c>
      <c r="PY297">
        <v>57</v>
      </c>
      <c r="PZ297" t="s">
        <v>2036</v>
      </c>
      <c r="QA297">
        <v>1</v>
      </c>
      <c r="QB297">
        <v>1193</v>
      </c>
      <c r="QC297">
        <v>69</v>
      </c>
      <c r="QD297">
        <v>69</v>
      </c>
      <c r="QE297" t="s">
        <v>812</v>
      </c>
      <c r="QF297">
        <v>1</v>
      </c>
      <c r="QG297">
        <v>1213</v>
      </c>
      <c r="QH297">
        <v>66</v>
      </c>
      <c r="QI297">
        <v>66</v>
      </c>
      <c r="QL297">
        <v>0</v>
      </c>
      <c r="QM297">
        <v>62</v>
      </c>
      <c r="QN297">
        <v>62</v>
      </c>
      <c r="QO297" t="s">
        <v>2037</v>
      </c>
      <c r="QP297">
        <v>1</v>
      </c>
      <c r="QQ297">
        <v>1211</v>
      </c>
      <c r="QW297">
        <v>82</v>
      </c>
      <c r="QX297">
        <v>82</v>
      </c>
      <c r="QY297" t="s">
        <v>2038</v>
      </c>
      <c r="QZ297">
        <v>1</v>
      </c>
      <c r="RA297">
        <v>66</v>
      </c>
      <c r="RB297">
        <v>66</v>
      </c>
      <c r="RE297">
        <v>0</v>
      </c>
      <c r="RF297">
        <v>1</v>
      </c>
      <c r="RJ297">
        <v>1</v>
      </c>
      <c r="RL297">
        <v>2</v>
      </c>
      <c r="RO297">
        <v>581</v>
      </c>
      <c r="RQ297">
        <v>1083</v>
      </c>
      <c r="RT297">
        <v>227</v>
      </c>
      <c r="RU297">
        <v>212</v>
      </c>
      <c r="RV297" t="s">
        <v>1920</v>
      </c>
      <c r="RW297" t="s">
        <v>552</v>
      </c>
      <c r="RX297">
        <v>15</v>
      </c>
      <c r="RY297">
        <v>4</v>
      </c>
      <c r="RZ297" t="s">
        <v>552</v>
      </c>
      <c r="SA297">
        <v>15</v>
      </c>
      <c r="SC297" t="s">
        <v>2037</v>
      </c>
      <c r="SD297">
        <v>1</v>
      </c>
      <c r="SH297">
        <v>0.995</v>
      </c>
      <c r="SI297">
        <v>0.995</v>
      </c>
      <c r="SJ297">
        <v>0.995</v>
      </c>
      <c r="SK297">
        <v>15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TB297">
        <v>0</v>
      </c>
      <c r="TC297">
        <v>0</v>
      </c>
      <c r="TD297">
        <v>7.5</v>
      </c>
      <c r="TE297" t="s">
        <v>553</v>
      </c>
      <c r="TF297" t="s">
        <v>624</v>
      </c>
      <c r="TG297" t="s">
        <v>555</v>
      </c>
      <c r="TI297" t="s">
        <v>546</v>
      </c>
      <c r="TJ297" t="s">
        <v>547</v>
      </c>
      <c r="TL297" t="s">
        <v>3491</v>
      </c>
      <c r="TM297" t="s">
        <v>513</v>
      </c>
      <c r="TN297">
        <v>0</v>
      </c>
      <c r="TO297" t="s">
        <v>557</v>
      </c>
    </row>
    <row r="298" spans="1:535">
      <c r="A298" t="s">
        <v>3519</v>
      </c>
      <c r="B298" t="s">
        <v>508</v>
      </c>
      <c r="C298" t="s">
        <v>509</v>
      </c>
      <c r="D298" t="s">
        <v>3520</v>
      </c>
      <c r="G298" t="s">
        <v>1088</v>
      </c>
      <c r="L298" t="s">
        <v>512</v>
      </c>
      <c r="N298" t="s">
        <v>513</v>
      </c>
      <c r="O298" t="s">
        <v>1255</v>
      </c>
      <c r="P298" t="s">
        <v>515</v>
      </c>
      <c r="Q298" t="s">
        <v>3521</v>
      </c>
      <c r="R298" t="s">
        <v>567</v>
      </c>
      <c r="S298" t="s">
        <v>1480</v>
      </c>
      <c r="T298" t="s">
        <v>1481</v>
      </c>
      <c r="U298" t="s">
        <v>1482</v>
      </c>
      <c r="V298" t="s">
        <v>1483</v>
      </c>
      <c r="W298" t="s">
        <v>1971</v>
      </c>
      <c r="X298" t="s">
        <v>1880</v>
      </c>
      <c r="Y298" t="s">
        <v>524</v>
      </c>
      <c r="Z298" t="s">
        <v>3522</v>
      </c>
      <c r="AA298" t="s">
        <v>3523</v>
      </c>
      <c r="AB298" t="s">
        <v>3524</v>
      </c>
      <c r="AC298">
        <v>2</v>
      </c>
      <c r="AD298">
        <v>57</v>
      </c>
      <c r="AE298">
        <v>188</v>
      </c>
      <c r="AF298">
        <v>1.5</v>
      </c>
      <c r="AH298">
        <v>0</v>
      </c>
      <c r="AI298" t="s">
        <v>854</v>
      </c>
      <c r="AJ298">
        <v>167.5</v>
      </c>
      <c r="AK298">
        <v>1</v>
      </c>
      <c r="AL298">
        <v>1.5</v>
      </c>
      <c r="AM298" t="s">
        <v>579</v>
      </c>
      <c r="AN298" t="s">
        <v>693</v>
      </c>
      <c r="AO298">
        <v>2</v>
      </c>
      <c r="AP298" t="s">
        <v>581</v>
      </c>
      <c r="AQ298" t="s">
        <v>582</v>
      </c>
      <c r="AR298">
        <v>205</v>
      </c>
      <c r="AS298">
        <v>1.5</v>
      </c>
      <c r="AT298" t="s">
        <v>583</v>
      </c>
      <c r="AU298" t="s">
        <v>3525</v>
      </c>
      <c r="AW298" t="s">
        <v>3525</v>
      </c>
      <c r="AX298">
        <v>1</v>
      </c>
      <c r="AY298">
        <v>322.5</v>
      </c>
      <c r="AZ298">
        <v>1.5</v>
      </c>
      <c r="BA298" t="s">
        <v>579</v>
      </c>
      <c r="BG298">
        <v>1.5</v>
      </c>
      <c r="BJ298">
        <v>0</v>
      </c>
      <c r="BN298">
        <v>1.5</v>
      </c>
      <c r="BP298" t="s">
        <v>1976</v>
      </c>
      <c r="BQ298">
        <v>88</v>
      </c>
      <c r="BR298">
        <v>2</v>
      </c>
      <c r="BS298" t="s">
        <v>1490</v>
      </c>
      <c r="BT298">
        <v>187</v>
      </c>
      <c r="BU298">
        <v>0.5</v>
      </c>
      <c r="BV298" t="s">
        <v>1490</v>
      </c>
      <c r="BW298">
        <v>374</v>
      </c>
      <c r="BX298">
        <v>1</v>
      </c>
      <c r="BY298" t="s">
        <v>1491</v>
      </c>
      <c r="BZ298">
        <v>300</v>
      </c>
      <c r="CA298">
        <v>460</v>
      </c>
      <c r="CB298" t="s">
        <v>1492</v>
      </c>
      <c r="CC298" t="s">
        <v>1492</v>
      </c>
      <c r="CD298">
        <v>392</v>
      </c>
      <c r="CE298" t="s">
        <v>1493</v>
      </c>
      <c r="CF298">
        <v>15</v>
      </c>
      <c r="CG298" t="s">
        <v>1773</v>
      </c>
      <c r="CH298" t="s">
        <v>1773</v>
      </c>
      <c r="CI298">
        <v>80</v>
      </c>
      <c r="CJ298">
        <v>1122</v>
      </c>
      <c r="CK298">
        <v>2</v>
      </c>
      <c r="CL298">
        <v>1222</v>
      </c>
      <c r="CM298">
        <v>2</v>
      </c>
      <c r="CN298" t="s">
        <v>1495</v>
      </c>
      <c r="CO298" t="s">
        <v>1473</v>
      </c>
      <c r="CP298" t="s">
        <v>1474</v>
      </c>
      <c r="CQ298" t="s">
        <v>1343</v>
      </c>
      <c r="CR298" t="s">
        <v>541</v>
      </c>
      <c r="CS298" t="s">
        <v>542</v>
      </c>
      <c r="CT298">
        <v>335</v>
      </c>
      <c r="CU298">
        <v>5</v>
      </c>
      <c r="CV298">
        <v>1.3</v>
      </c>
      <c r="CW298">
        <v>1141</v>
      </c>
      <c r="CX298">
        <v>588</v>
      </c>
      <c r="CY298" t="s">
        <v>705</v>
      </c>
      <c r="CZ298">
        <v>50</v>
      </c>
      <c r="DA298">
        <v>3</v>
      </c>
      <c r="DB298">
        <v>1</v>
      </c>
      <c r="DC298">
        <v>1141</v>
      </c>
      <c r="DD298">
        <v>60</v>
      </c>
      <c r="DE298" t="s">
        <v>622</v>
      </c>
      <c r="DF298">
        <v>645</v>
      </c>
      <c r="DG298">
        <v>3</v>
      </c>
      <c r="DH298">
        <v>0.88</v>
      </c>
      <c r="DI298">
        <v>1134</v>
      </c>
      <c r="DJ298">
        <v>930</v>
      </c>
      <c r="DW298" t="s">
        <v>544</v>
      </c>
      <c r="DX298">
        <v>7.5</v>
      </c>
      <c r="EA298">
        <v>1202.7</v>
      </c>
      <c r="EB298">
        <v>157</v>
      </c>
      <c r="EC298" t="s">
        <v>545</v>
      </c>
      <c r="ED298">
        <v>30</v>
      </c>
      <c r="EE298">
        <v>3</v>
      </c>
      <c r="EG298">
        <v>1233</v>
      </c>
      <c r="EH298">
        <v>144</v>
      </c>
      <c r="EJ298">
        <v>0</v>
      </c>
      <c r="EK298">
        <v>1</v>
      </c>
      <c r="EN298">
        <v>0</v>
      </c>
      <c r="EP298" t="s">
        <v>546</v>
      </c>
      <c r="EQ298">
        <v>100</v>
      </c>
      <c r="ER298">
        <v>3</v>
      </c>
      <c r="ES298">
        <v>5</v>
      </c>
      <c r="ET298">
        <v>1117</v>
      </c>
      <c r="EU298">
        <v>369.1</v>
      </c>
      <c r="EV298">
        <v>412</v>
      </c>
      <c r="EW298" t="s">
        <v>547</v>
      </c>
      <c r="EX298">
        <v>45</v>
      </c>
      <c r="EY298">
        <v>2</v>
      </c>
      <c r="EZ298">
        <v>4</v>
      </c>
      <c r="FA298">
        <v>1117</v>
      </c>
      <c r="FB298">
        <v>116.2</v>
      </c>
      <c r="FC298">
        <v>130</v>
      </c>
      <c r="FE298">
        <v>0</v>
      </c>
      <c r="FF298">
        <v>2</v>
      </c>
      <c r="FI298">
        <v>0</v>
      </c>
      <c r="FK298" t="s">
        <v>548</v>
      </c>
      <c r="FL298">
        <v>0.6</v>
      </c>
      <c r="FM298">
        <v>40</v>
      </c>
      <c r="FN298">
        <v>300</v>
      </c>
      <c r="FO298">
        <v>80</v>
      </c>
      <c r="FP298">
        <v>80</v>
      </c>
      <c r="FR298" t="s">
        <v>548</v>
      </c>
      <c r="FS298">
        <v>0.4</v>
      </c>
      <c r="FT298">
        <v>30</v>
      </c>
      <c r="FU298">
        <v>330</v>
      </c>
      <c r="HC298">
        <v>0.1</v>
      </c>
      <c r="HD298">
        <v>3</v>
      </c>
      <c r="HE298">
        <v>3</v>
      </c>
      <c r="HF298">
        <v>3</v>
      </c>
      <c r="HG298">
        <v>3</v>
      </c>
      <c r="HH298">
        <v>3</v>
      </c>
      <c r="HI298">
        <v>130</v>
      </c>
      <c r="HJ298">
        <v>3</v>
      </c>
      <c r="HK298">
        <v>30</v>
      </c>
      <c r="HL298">
        <v>2</v>
      </c>
      <c r="HM298">
        <v>0</v>
      </c>
      <c r="HN298">
        <v>2</v>
      </c>
      <c r="HO298">
        <v>85</v>
      </c>
      <c r="HP298">
        <v>3</v>
      </c>
      <c r="HQ298">
        <v>0</v>
      </c>
      <c r="HR298">
        <v>2</v>
      </c>
      <c r="HS298">
        <v>3324</v>
      </c>
      <c r="HT298">
        <v>100</v>
      </c>
      <c r="HU298">
        <v>180</v>
      </c>
      <c r="HW298">
        <v>20</v>
      </c>
      <c r="HX298">
        <v>436</v>
      </c>
      <c r="HY298">
        <v>0.18</v>
      </c>
      <c r="IA298">
        <v>0.15</v>
      </c>
      <c r="IB298">
        <v>0</v>
      </c>
      <c r="IC298">
        <v>180</v>
      </c>
      <c r="ID298">
        <v>110</v>
      </c>
      <c r="IE298">
        <v>0</v>
      </c>
      <c r="IF298">
        <v>0</v>
      </c>
      <c r="IH298" t="s">
        <v>549</v>
      </c>
      <c r="IO298">
        <v>1</v>
      </c>
      <c r="IP298">
        <v>15</v>
      </c>
      <c r="IQ298">
        <v>1</v>
      </c>
      <c r="IR298">
        <v>0</v>
      </c>
      <c r="IV298">
        <v>1122</v>
      </c>
      <c r="IW298">
        <v>374</v>
      </c>
      <c r="JA298">
        <v>1</v>
      </c>
      <c r="JB298">
        <v>0</v>
      </c>
      <c r="JC298">
        <v>2</v>
      </c>
      <c r="JD298">
        <v>1141</v>
      </c>
      <c r="JE298">
        <v>1134</v>
      </c>
      <c r="JF298">
        <v>0</v>
      </c>
      <c r="JG298">
        <v>1117</v>
      </c>
      <c r="JH298">
        <v>0</v>
      </c>
      <c r="JJ298">
        <v>180</v>
      </c>
      <c r="JK298">
        <v>436</v>
      </c>
      <c r="JN298">
        <v>335</v>
      </c>
      <c r="JO298">
        <v>645</v>
      </c>
      <c r="JP298">
        <v>0</v>
      </c>
      <c r="JQ298">
        <v>0</v>
      </c>
      <c r="JR298">
        <v>376</v>
      </c>
      <c r="JS298">
        <v>130</v>
      </c>
      <c r="JV298">
        <v>8</v>
      </c>
      <c r="JW298" t="s">
        <v>550</v>
      </c>
      <c r="JX298">
        <v>410</v>
      </c>
      <c r="KA298">
        <v>0</v>
      </c>
      <c r="KB298">
        <v>110</v>
      </c>
      <c r="KC298">
        <v>0</v>
      </c>
      <c r="KD298">
        <v>80</v>
      </c>
      <c r="KF298">
        <v>4</v>
      </c>
      <c r="KG298">
        <v>4</v>
      </c>
      <c r="KH298">
        <v>2</v>
      </c>
      <c r="KI298">
        <v>2</v>
      </c>
      <c r="KJ298">
        <v>0</v>
      </c>
      <c r="KK298">
        <v>1.5</v>
      </c>
      <c r="KL298">
        <v>1.5</v>
      </c>
      <c r="KM298">
        <v>0</v>
      </c>
      <c r="KN298">
        <v>0</v>
      </c>
      <c r="KO298">
        <v>0</v>
      </c>
      <c r="KR298">
        <v>25</v>
      </c>
      <c r="KS298">
        <v>60</v>
      </c>
      <c r="KT298">
        <v>0</v>
      </c>
      <c r="LK298">
        <v>480</v>
      </c>
      <c r="LX298">
        <v>360</v>
      </c>
      <c r="LY298">
        <v>2.5</v>
      </c>
      <c r="PG298">
        <v>1</v>
      </c>
      <c r="PI298" t="s">
        <v>3524</v>
      </c>
      <c r="PJ298" t="s">
        <v>3525</v>
      </c>
      <c r="PL298" t="s">
        <v>854</v>
      </c>
      <c r="PP298" t="s">
        <v>1976</v>
      </c>
      <c r="PS298" t="s">
        <v>693</v>
      </c>
      <c r="PX298">
        <v>56</v>
      </c>
      <c r="PY298">
        <v>57</v>
      </c>
      <c r="PZ298" t="s">
        <v>3524</v>
      </c>
      <c r="QA298">
        <v>1</v>
      </c>
      <c r="QB298">
        <v>1117</v>
      </c>
      <c r="QC298">
        <v>69</v>
      </c>
      <c r="QD298">
        <v>69</v>
      </c>
      <c r="QE298" t="s">
        <v>854</v>
      </c>
      <c r="QF298">
        <v>2</v>
      </c>
      <c r="QG298">
        <v>1141</v>
      </c>
      <c r="QH298">
        <v>66</v>
      </c>
      <c r="QI298">
        <v>66</v>
      </c>
      <c r="QJ298" t="s">
        <v>693</v>
      </c>
      <c r="QK298">
        <v>1</v>
      </c>
      <c r="QL298">
        <v>1141</v>
      </c>
      <c r="QM298">
        <v>62</v>
      </c>
      <c r="QN298">
        <v>62</v>
      </c>
      <c r="QO298" t="s">
        <v>3525</v>
      </c>
      <c r="QP298">
        <v>1</v>
      </c>
      <c r="QQ298">
        <v>1134</v>
      </c>
      <c r="QW298">
        <v>82</v>
      </c>
      <c r="QX298">
        <v>88</v>
      </c>
      <c r="QY298" t="s">
        <v>1976</v>
      </c>
      <c r="QZ298">
        <v>1</v>
      </c>
      <c r="RA298">
        <v>66</v>
      </c>
      <c r="RB298">
        <v>66</v>
      </c>
      <c r="RE298">
        <v>0</v>
      </c>
      <c r="RF298">
        <v>1</v>
      </c>
      <c r="RJ298">
        <v>1</v>
      </c>
      <c r="RK298">
        <v>2</v>
      </c>
      <c r="RL298">
        <v>3</v>
      </c>
      <c r="RO298">
        <v>515</v>
      </c>
      <c r="RP298">
        <v>105</v>
      </c>
      <c r="RQ298">
        <v>820</v>
      </c>
      <c r="RT298">
        <v>157</v>
      </c>
      <c r="RU298">
        <v>144</v>
      </c>
      <c r="RV298" t="s">
        <v>1497</v>
      </c>
      <c r="RW298" t="s">
        <v>1498</v>
      </c>
      <c r="RX298">
        <v>15</v>
      </c>
      <c r="RY298">
        <v>4</v>
      </c>
      <c r="RZ298" t="s">
        <v>1498</v>
      </c>
      <c r="SA298">
        <v>15</v>
      </c>
      <c r="SC298" t="s">
        <v>3525</v>
      </c>
      <c r="SD298">
        <v>1</v>
      </c>
      <c r="SH298">
        <v>0.995</v>
      </c>
      <c r="SI298">
        <v>0.995</v>
      </c>
      <c r="SJ298">
        <v>0.995</v>
      </c>
      <c r="SK298">
        <v>15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1</v>
      </c>
      <c r="TB298">
        <v>1</v>
      </c>
      <c r="TC298">
        <v>0</v>
      </c>
      <c r="TD298">
        <v>7.5</v>
      </c>
      <c r="TE298" t="s">
        <v>553</v>
      </c>
      <c r="TF298" t="s">
        <v>754</v>
      </c>
      <c r="TG298" t="s">
        <v>555</v>
      </c>
      <c r="TI298" t="s">
        <v>546</v>
      </c>
      <c r="TJ298" t="s">
        <v>547</v>
      </c>
      <c r="TL298" t="s">
        <v>3491</v>
      </c>
      <c r="TM298" t="s">
        <v>513</v>
      </c>
      <c r="TN298">
        <v>0</v>
      </c>
      <c r="TO298" t="s">
        <v>557</v>
      </c>
    </row>
    <row r="299" spans="1:535">
      <c r="A299" t="s">
        <v>3526</v>
      </c>
      <c r="B299" t="s">
        <v>508</v>
      </c>
      <c r="C299" t="s">
        <v>509</v>
      </c>
      <c r="D299" t="s">
        <v>2994</v>
      </c>
      <c r="L299" t="s">
        <v>512</v>
      </c>
      <c r="N299" t="s">
        <v>513</v>
      </c>
      <c r="O299" t="s">
        <v>1255</v>
      </c>
      <c r="P299" t="s">
        <v>515</v>
      </c>
      <c r="Q299" t="s">
        <v>3527</v>
      </c>
      <c r="R299" t="s">
        <v>567</v>
      </c>
      <c r="S299" t="s">
        <v>518</v>
      </c>
      <c r="T299" t="s">
        <v>519</v>
      </c>
      <c r="U299" t="s">
        <v>520</v>
      </c>
      <c r="V299" t="s">
        <v>521</v>
      </c>
      <c r="W299" t="s">
        <v>1980</v>
      </c>
      <c r="X299" t="s">
        <v>3528</v>
      </c>
      <c r="Y299" t="s">
        <v>524</v>
      </c>
      <c r="Z299" t="s">
        <v>1981</v>
      </c>
      <c r="AA299" t="s">
        <v>3529</v>
      </c>
      <c r="AB299" t="s">
        <v>3530</v>
      </c>
      <c r="AC299">
        <v>2</v>
      </c>
      <c r="AD299">
        <v>57</v>
      </c>
      <c r="AE299">
        <v>171</v>
      </c>
      <c r="AF299">
        <v>1.5</v>
      </c>
      <c r="AH299">
        <v>0</v>
      </c>
      <c r="AI299" t="s">
        <v>1287</v>
      </c>
      <c r="AJ299">
        <v>182.5</v>
      </c>
      <c r="AK299">
        <v>1</v>
      </c>
      <c r="AL299">
        <v>1.5</v>
      </c>
      <c r="AM299" t="s">
        <v>529</v>
      </c>
      <c r="AO299">
        <v>0</v>
      </c>
      <c r="AR299">
        <v>0</v>
      </c>
      <c r="AS299">
        <v>1.5</v>
      </c>
      <c r="AU299" t="s">
        <v>3531</v>
      </c>
      <c r="AW299" t="s">
        <v>3531</v>
      </c>
      <c r="AX299">
        <v>1</v>
      </c>
      <c r="AY299">
        <v>325</v>
      </c>
      <c r="AZ299">
        <v>1.5</v>
      </c>
      <c r="BA299" t="s">
        <v>529</v>
      </c>
      <c r="BG299">
        <v>1.5</v>
      </c>
      <c r="BJ299">
        <v>0</v>
      </c>
      <c r="BN299">
        <v>1.5</v>
      </c>
      <c r="BP299" t="s">
        <v>1985</v>
      </c>
      <c r="BQ299">
        <v>88</v>
      </c>
      <c r="BR299">
        <v>2</v>
      </c>
      <c r="BS299" t="s">
        <v>1919</v>
      </c>
      <c r="BT299">
        <v>193</v>
      </c>
      <c r="BU299">
        <v>0.5</v>
      </c>
      <c r="BV299" t="s">
        <v>1919</v>
      </c>
      <c r="BW299">
        <v>386</v>
      </c>
      <c r="BX299">
        <v>1</v>
      </c>
      <c r="BY299" t="s">
        <v>533</v>
      </c>
      <c r="BZ299">
        <v>300</v>
      </c>
      <c r="CA299">
        <v>500</v>
      </c>
      <c r="CB299" t="s">
        <v>534</v>
      </c>
      <c r="CC299" t="s">
        <v>534</v>
      </c>
      <c r="CD299">
        <v>395</v>
      </c>
      <c r="CE299" t="s">
        <v>535</v>
      </c>
      <c r="CF299">
        <v>15</v>
      </c>
      <c r="CG299" t="s">
        <v>1840</v>
      </c>
      <c r="CH299" t="s">
        <v>1840</v>
      </c>
      <c r="CI299">
        <v>100</v>
      </c>
      <c r="CJ299">
        <v>1200</v>
      </c>
      <c r="CK299">
        <v>2</v>
      </c>
      <c r="CL299">
        <v>1301</v>
      </c>
      <c r="CM299">
        <v>2</v>
      </c>
      <c r="CN299" t="s">
        <v>537</v>
      </c>
      <c r="CO299" t="s">
        <v>538</v>
      </c>
      <c r="CP299" t="s">
        <v>539</v>
      </c>
      <c r="CQ299" t="s">
        <v>1496</v>
      </c>
      <c r="CR299" t="s">
        <v>541</v>
      </c>
      <c r="CS299" t="s">
        <v>542</v>
      </c>
      <c r="CT299">
        <v>365</v>
      </c>
      <c r="CU299">
        <v>5</v>
      </c>
      <c r="CV299">
        <v>1.2</v>
      </c>
      <c r="CW299">
        <v>1213</v>
      </c>
      <c r="CX299">
        <v>627</v>
      </c>
      <c r="DD299">
        <v>0</v>
      </c>
      <c r="DE299" t="s">
        <v>543</v>
      </c>
      <c r="DF299">
        <v>650</v>
      </c>
      <c r="DG299">
        <v>3</v>
      </c>
      <c r="DH299">
        <v>1.18</v>
      </c>
      <c r="DI299">
        <v>1211</v>
      </c>
      <c r="DJ299">
        <v>1173</v>
      </c>
      <c r="DW299" t="s">
        <v>544</v>
      </c>
      <c r="DX299">
        <v>7.5</v>
      </c>
      <c r="EA299">
        <v>1282.5</v>
      </c>
      <c r="EB299">
        <v>227</v>
      </c>
      <c r="EC299" t="s">
        <v>545</v>
      </c>
      <c r="ED299">
        <v>30</v>
      </c>
      <c r="EE299">
        <v>3</v>
      </c>
      <c r="EG299">
        <v>1323</v>
      </c>
      <c r="EH299">
        <v>156</v>
      </c>
      <c r="EJ299">
        <v>0</v>
      </c>
      <c r="EK299">
        <v>1</v>
      </c>
      <c r="EN299">
        <v>0</v>
      </c>
      <c r="EP299" t="s">
        <v>546</v>
      </c>
      <c r="EQ299">
        <v>90</v>
      </c>
      <c r="ER299">
        <v>3</v>
      </c>
      <c r="ES299">
        <v>5</v>
      </c>
      <c r="ET299">
        <v>1194</v>
      </c>
      <c r="EU299">
        <v>339.5</v>
      </c>
      <c r="EV299">
        <v>405</v>
      </c>
      <c r="EW299" t="s">
        <v>547</v>
      </c>
      <c r="EX299">
        <v>70</v>
      </c>
      <c r="EY299">
        <v>2</v>
      </c>
      <c r="EZ299">
        <v>4</v>
      </c>
      <c r="FA299">
        <v>1194</v>
      </c>
      <c r="FB299">
        <v>212.8</v>
      </c>
      <c r="FC299">
        <v>254</v>
      </c>
      <c r="FE299">
        <v>0</v>
      </c>
      <c r="FF299">
        <v>2</v>
      </c>
      <c r="FI299">
        <v>0</v>
      </c>
      <c r="FK299" t="s">
        <v>548</v>
      </c>
      <c r="FL299">
        <v>0.4</v>
      </c>
      <c r="FM299">
        <v>70</v>
      </c>
      <c r="FN299">
        <v>100</v>
      </c>
      <c r="FR299" t="s">
        <v>548</v>
      </c>
      <c r="FS299">
        <v>0.4</v>
      </c>
      <c r="FT299">
        <v>30</v>
      </c>
      <c r="FU299">
        <v>350</v>
      </c>
      <c r="HC299">
        <v>0.1</v>
      </c>
      <c r="HD299">
        <v>3</v>
      </c>
      <c r="HE299">
        <v>3</v>
      </c>
      <c r="HF299">
        <v>3</v>
      </c>
      <c r="HG299">
        <v>3</v>
      </c>
      <c r="HH299">
        <v>3</v>
      </c>
      <c r="HI299">
        <v>145</v>
      </c>
      <c r="HJ299">
        <v>3</v>
      </c>
      <c r="HK299">
        <v>55</v>
      </c>
      <c r="HL299">
        <v>2</v>
      </c>
      <c r="HM299">
        <v>0</v>
      </c>
      <c r="HN299">
        <v>2</v>
      </c>
      <c r="HO299">
        <v>75</v>
      </c>
      <c r="HP299">
        <v>3</v>
      </c>
      <c r="HQ299">
        <v>0</v>
      </c>
      <c r="HR299">
        <v>2</v>
      </c>
      <c r="HS299">
        <v>3884</v>
      </c>
      <c r="HT299">
        <v>120</v>
      </c>
      <c r="HU299">
        <v>180</v>
      </c>
      <c r="HW299">
        <v>20</v>
      </c>
      <c r="HX299">
        <v>456</v>
      </c>
      <c r="HY299">
        <v>0.18</v>
      </c>
      <c r="IA299">
        <v>0.15</v>
      </c>
      <c r="IB299">
        <v>0</v>
      </c>
      <c r="IC299">
        <v>180</v>
      </c>
      <c r="ID299">
        <v>110</v>
      </c>
      <c r="IE299">
        <v>0</v>
      </c>
      <c r="IF299">
        <v>0</v>
      </c>
      <c r="IH299" t="s">
        <v>549</v>
      </c>
      <c r="IO299">
        <v>1</v>
      </c>
      <c r="IP299">
        <v>16</v>
      </c>
      <c r="IQ299">
        <v>0</v>
      </c>
      <c r="IR299">
        <v>1</v>
      </c>
      <c r="IV299">
        <v>1200</v>
      </c>
      <c r="IW299">
        <v>386</v>
      </c>
      <c r="JA299">
        <v>1</v>
      </c>
      <c r="JB299">
        <v>0</v>
      </c>
      <c r="JC299">
        <v>2</v>
      </c>
      <c r="JD299">
        <v>1213</v>
      </c>
      <c r="JE299">
        <v>1211</v>
      </c>
      <c r="JF299">
        <v>0</v>
      </c>
      <c r="JG299">
        <v>1194</v>
      </c>
      <c r="JH299">
        <v>0</v>
      </c>
      <c r="JJ299">
        <v>180</v>
      </c>
      <c r="JK299">
        <v>456</v>
      </c>
      <c r="JN299">
        <v>365</v>
      </c>
      <c r="JO299">
        <v>650</v>
      </c>
      <c r="JP299">
        <v>0</v>
      </c>
      <c r="JQ299">
        <v>0</v>
      </c>
      <c r="JR299">
        <v>342</v>
      </c>
      <c r="JS299">
        <v>145</v>
      </c>
      <c r="JV299">
        <v>8</v>
      </c>
      <c r="JW299" t="s">
        <v>550</v>
      </c>
      <c r="JX299">
        <v>0</v>
      </c>
      <c r="KA299">
        <v>0</v>
      </c>
      <c r="KB299">
        <v>110</v>
      </c>
      <c r="KC299">
        <v>0</v>
      </c>
      <c r="KD299">
        <v>80</v>
      </c>
      <c r="KF299">
        <v>3</v>
      </c>
      <c r="KG299">
        <v>2</v>
      </c>
      <c r="KH299">
        <v>2</v>
      </c>
      <c r="KI299">
        <v>2</v>
      </c>
      <c r="KJ299">
        <v>0</v>
      </c>
      <c r="KK299">
        <v>1.5</v>
      </c>
      <c r="KL299">
        <v>1.5</v>
      </c>
      <c r="KM299">
        <v>0</v>
      </c>
      <c r="KN299">
        <v>0</v>
      </c>
      <c r="KO299">
        <v>0</v>
      </c>
      <c r="KR299">
        <v>30</v>
      </c>
      <c r="KS299">
        <v>60</v>
      </c>
      <c r="KT299">
        <v>0</v>
      </c>
      <c r="LK299">
        <v>480</v>
      </c>
      <c r="LX299">
        <v>319</v>
      </c>
      <c r="LY299">
        <v>2</v>
      </c>
      <c r="LZ299">
        <v>220</v>
      </c>
      <c r="PG299">
        <v>1</v>
      </c>
      <c r="PI299" t="s">
        <v>3530</v>
      </c>
      <c r="PJ299" t="s">
        <v>3531</v>
      </c>
      <c r="PL299" t="s">
        <v>1287</v>
      </c>
      <c r="PP299" t="s">
        <v>1985</v>
      </c>
      <c r="PX299">
        <v>56</v>
      </c>
      <c r="PY299">
        <v>57</v>
      </c>
      <c r="PZ299" t="s">
        <v>3530</v>
      </c>
      <c r="QA299">
        <v>1</v>
      </c>
      <c r="QB299">
        <v>1194</v>
      </c>
      <c r="QC299">
        <v>69</v>
      </c>
      <c r="QD299">
        <v>69</v>
      </c>
      <c r="QE299" t="s">
        <v>1287</v>
      </c>
      <c r="QF299">
        <v>1</v>
      </c>
      <c r="QG299">
        <v>1213</v>
      </c>
      <c r="QH299">
        <v>66</v>
      </c>
      <c r="QI299">
        <v>66</v>
      </c>
      <c r="QL299">
        <v>0</v>
      </c>
      <c r="QM299">
        <v>62</v>
      </c>
      <c r="QN299">
        <v>62</v>
      </c>
      <c r="QO299" t="s">
        <v>3531</v>
      </c>
      <c r="QP299">
        <v>1</v>
      </c>
      <c r="QQ299">
        <v>1211</v>
      </c>
      <c r="QW299">
        <v>82</v>
      </c>
      <c r="QX299">
        <v>88</v>
      </c>
      <c r="QY299" t="s">
        <v>1985</v>
      </c>
      <c r="QZ299">
        <v>1</v>
      </c>
      <c r="RA299">
        <v>66</v>
      </c>
      <c r="RB299">
        <v>66</v>
      </c>
      <c r="RE299">
        <v>0</v>
      </c>
      <c r="RF299">
        <v>1</v>
      </c>
      <c r="RJ299">
        <v>1</v>
      </c>
      <c r="RL299">
        <v>2</v>
      </c>
      <c r="RO299">
        <v>517</v>
      </c>
      <c r="RQ299">
        <v>969</v>
      </c>
      <c r="RT299">
        <v>227</v>
      </c>
      <c r="RU299">
        <v>156</v>
      </c>
      <c r="RV299" t="s">
        <v>1920</v>
      </c>
      <c r="RW299" t="s">
        <v>552</v>
      </c>
      <c r="RX299">
        <v>15</v>
      </c>
      <c r="RY299">
        <v>4</v>
      </c>
      <c r="RZ299" t="s">
        <v>552</v>
      </c>
      <c r="SA299">
        <v>15</v>
      </c>
      <c r="SC299" t="s">
        <v>3531</v>
      </c>
      <c r="SD299">
        <v>1</v>
      </c>
      <c r="SH299">
        <v>0.995</v>
      </c>
      <c r="SI299">
        <v>0.995</v>
      </c>
      <c r="SJ299">
        <v>0.995</v>
      </c>
      <c r="SK299">
        <v>15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TB299">
        <v>0</v>
      </c>
      <c r="TC299">
        <v>0</v>
      </c>
      <c r="TD299">
        <v>7.5</v>
      </c>
      <c r="TE299" t="s">
        <v>553</v>
      </c>
      <c r="TF299" t="s">
        <v>624</v>
      </c>
      <c r="TG299" t="s">
        <v>555</v>
      </c>
      <c r="TI299" t="s">
        <v>546</v>
      </c>
      <c r="TJ299" t="s">
        <v>547</v>
      </c>
      <c r="TL299" t="s">
        <v>3491</v>
      </c>
      <c r="TM299" t="s">
        <v>513</v>
      </c>
      <c r="TN299">
        <v>0</v>
      </c>
      <c r="TO299" t="s">
        <v>557</v>
      </c>
    </row>
    <row r="300" spans="1:535">
      <c r="A300" t="s">
        <v>3532</v>
      </c>
      <c r="B300" t="s">
        <v>508</v>
      </c>
      <c r="C300" t="s">
        <v>509</v>
      </c>
      <c r="D300" t="s">
        <v>1346</v>
      </c>
      <c r="G300" t="s">
        <v>1294</v>
      </c>
      <c r="I300" t="s">
        <v>562</v>
      </c>
      <c r="J300" t="s">
        <v>563</v>
      </c>
      <c r="L300" t="s">
        <v>512</v>
      </c>
      <c r="N300" t="s">
        <v>513</v>
      </c>
      <c r="O300" t="s">
        <v>1255</v>
      </c>
      <c r="P300" t="s">
        <v>515</v>
      </c>
      <c r="Q300" t="s">
        <v>3533</v>
      </c>
      <c r="R300" t="s">
        <v>567</v>
      </c>
      <c r="S300" t="s">
        <v>2077</v>
      </c>
      <c r="T300" t="s">
        <v>1812</v>
      </c>
      <c r="U300" t="s">
        <v>1482</v>
      </c>
      <c r="V300" t="s">
        <v>1483</v>
      </c>
      <c r="W300" t="s">
        <v>2078</v>
      </c>
      <c r="X300" t="s">
        <v>3528</v>
      </c>
      <c r="Y300" t="s">
        <v>524</v>
      </c>
      <c r="Z300" t="s">
        <v>2079</v>
      </c>
      <c r="AA300" t="s">
        <v>3534</v>
      </c>
      <c r="AB300" t="s">
        <v>3535</v>
      </c>
      <c r="AC300">
        <v>2</v>
      </c>
      <c r="AD300">
        <v>57</v>
      </c>
      <c r="AE300">
        <v>158</v>
      </c>
      <c r="AF300">
        <v>1.5</v>
      </c>
      <c r="AH300">
        <v>0</v>
      </c>
      <c r="AI300" t="s">
        <v>2386</v>
      </c>
      <c r="AJ300">
        <v>170</v>
      </c>
      <c r="AK300">
        <v>1</v>
      </c>
      <c r="AL300">
        <v>1.5</v>
      </c>
      <c r="AM300" t="s">
        <v>529</v>
      </c>
      <c r="AO300">
        <v>0</v>
      </c>
      <c r="AR300">
        <v>0</v>
      </c>
      <c r="AS300">
        <v>1.5</v>
      </c>
      <c r="AU300" t="s">
        <v>3536</v>
      </c>
      <c r="AW300" t="s">
        <v>3536</v>
      </c>
      <c r="AX300">
        <v>1</v>
      </c>
      <c r="AY300">
        <v>302.5</v>
      </c>
      <c r="AZ300">
        <v>1.5</v>
      </c>
      <c r="BA300" t="s">
        <v>529</v>
      </c>
      <c r="BG300">
        <v>1.5</v>
      </c>
      <c r="BJ300">
        <v>0</v>
      </c>
      <c r="BN300">
        <v>1.5</v>
      </c>
      <c r="BP300" t="s">
        <v>3537</v>
      </c>
      <c r="BQ300">
        <v>88</v>
      </c>
      <c r="BR300">
        <v>2</v>
      </c>
      <c r="BS300" t="s">
        <v>1490</v>
      </c>
      <c r="BT300">
        <v>180</v>
      </c>
      <c r="BU300">
        <v>0.5</v>
      </c>
      <c r="BV300" t="s">
        <v>1490</v>
      </c>
      <c r="BW300">
        <v>360</v>
      </c>
      <c r="BX300">
        <v>1</v>
      </c>
      <c r="BY300" t="s">
        <v>1491</v>
      </c>
      <c r="BZ300">
        <v>300</v>
      </c>
      <c r="CA300">
        <v>420</v>
      </c>
      <c r="CB300" t="s">
        <v>1492</v>
      </c>
      <c r="CC300" t="s">
        <v>1492</v>
      </c>
      <c r="CD300">
        <v>372</v>
      </c>
      <c r="CE300" t="s">
        <v>1493</v>
      </c>
      <c r="CF300">
        <v>15</v>
      </c>
      <c r="CG300" t="s">
        <v>1563</v>
      </c>
      <c r="CH300" t="s">
        <v>1563</v>
      </c>
      <c r="CI300">
        <v>60</v>
      </c>
      <c r="CJ300">
        <v>1122</v>
      </c>
      <c r="CK300">
        <v>2</v>
      </c>
      <c r="CL300">
        <v>1222</v>
      </c>
      <c r="CM300">
        <v>2</v>
      </c>
      <c r="CN300" t="s">
        <v>1495</v>
      </c>
      <c r="CO300" t="s">
        <v>1473</v>
      </c>
      <c r="CP300" t="s">
        <v>1474</v>
      </c>
      <c r="CQ300" t="s">
        <v>1496</v>
      </c>
      <c r="CR300" t="s">
        <v>541</v>
      </c>
      <c r="CS300" t="s">
        <v>542</v>
      </c>
      <c r="CT300">
        <v>340</v>
      </c>
      <c r="CU300">
        <v>5</v>
      </c>
      <c r="CV300">
        <v>1.2</v>
      </c>
      <c r="CW300">
        <v>1136</v>
      </c>
      <c r="CX300">
        <v>546</v>
      </c>
      <c r="DD300">
        <v>0</v>
      </c>
      <c r="DE300" t="s">
        <v>622</v>
      </c>
      <c r="DF300">
        <v>605</v>
      </c>
      <c r="DG300">
        <v>3</v>
      </c>
      <c r="DH300">
        <v>0.88</v>
      </c>
      <c r="DI300">
        <v>1134</v>
      </c>
      <c r="DJ300">
        <v>788</v>
      </c>
      <c r="DW300" t="s">
        <v>544</v>
      </c>
      <c r="DX300">
        <v>7.5</v>
      </c>
      <c r="EA300">
        <v>1202.7</v>
      </c>
      <c r="EB300">
        <v>157</v>
      </c>
      <c r="EC300" t="s">
        <v>545</v>
      </c>
      <c r="ED300">
        <v>25</v>
      </c>
      <c r="EE300">
        <v>3</v>
      </c>
      <c r="EG300">
        <v>1233</v>
      </c>
      <c r="EH300">
        <v>117</v>
      </c>
      <c r="EJ300">
        <v>0</v>
      </c>
      <c r="EK300">
        <v>1</v>
      </c>
      <c r="EN300">
        <v>0</v>
      </c>
      <c r="EP300" t="s">
        <v>546</v>
      </c>
      <c r="EQ300">
        <v>80</v>
      </c>
      <c r="ER300">
        <v>3</v>
      </c>
      <c r="ES300">
        <v>4.7</v>
      </c>
      <c r="ET300">
        <v>1115</v>
      </c>
      <c r="EU300">
        <v>275.5</v>
      </c>
      <c r="EV300">
        <v>307</v>
      </c>
      <c r="EW300" t="s">
        <v>547</v>
      </c>
      <c r="EX300">
        <v>70</v>
      </c>
      <c r="EY300">
        <v>2</v>
      </c>
      <c r="EZ300">
        <v>4.5</v>
      </c>
      <c r="FA300">
        <v>1115</v>
      </c>
      <c r="FB300">
        <v>220.8</v>
      </c>
      <c r="FC300">
        <v>246</v>
      </c>
      <c r="FE300">
        <v>0</v>
      </c>
      <c r="FF300">
        <v>2</v>
      </c>
      <c r="FI300">
        <v>0</v>
      </c>
      <c r="FK300" t="s">
        <v>548</v>
      </c>
      <c r="FL300">
        <v>0.6</v>
      </c>
      <c r="FM300">
        <v>55</v>
      </c>
      <c r="FN300">
        <v>110</v>
      </c>
      <c r="FR300" t="s">
        <v>548</v>
      </c>
      <c r="FS300">
        <v>0.4</v>
      </c>
      <c r="FT300">
        <v>30</v>
      </c>
      <c r="FU300">
        <v>320</v>
      </c>
      <c r="HC300">
        <v>0.1</v>
      </c>
      <c r="HD300">
        <v>3</v>
      </c>
      <c r="HE300">
        <v>3</v>
      </c>
      <c r="HF300">
        <v>3</v>
      </c>
      <c r="HG300">
        <v>3</v>
      </c>
      <c r="HH300">
        <v>3</v>
      </c>
      <c r="HI300">
        <v>135</v>
      </c>
      <c r="HJ300">
        <v>3</v>
      </c>
      <c r="HK300">
        <v>55</v>
      </c>
      <c r="HL300">
        <v>2</v>
      </c>
      <c r="HM300">
        <v>0</v>
      </c>
      <c r="HN300">
        <v>2</v>
      </c>
      <c r="HO300">
        <v>65</v>
      </c>
      <c r="HP300">
        <v>3</v>
      </c>
      <c r="HQ300">
        <v>0</v>
      </c>
      <c r="HR300">
        <v>2</v>
      </c>
      <c r="HS300">
        <v>2988</v>
      </c>
      <c r="HT300">
        <v>90</v>
      </c>
      <c r="HU300">
        <v>180</v>
      </c>
      <c r="HW300">
        <v>20</v>
      </c>
      <c r="HX300">
        <v>450</v>
      </c>
      <c r="HY300">
        <v>0.18</v>
      </c>
      <c r="IA300">
        <v>0.15</v>
      </c>
      <c r="IB300">
        <v>0</v>
      </c>
      <c r="IC300">
        <v>180</v>
      </c>
      <c r="ID300">
        <v>110</v>
      </c>
      <c r="IE300">
        <v>0</v>
      </c>
      <c r="IF300">
        <v>0</v>
      </c>
      <c r="IH300" t="s">
        <v>549</v>
      </c>
      <c r="IO300">
        <v>1</v>
      </c>
      <c r="IP300">
        <v>15</v>
      </c>
      <c r="IQ300">
        <v>0</v>
      </c>
      <c r="IR300">
        <v>1</v>
      </c>
      <c r="IV300">
        <v>1122</v>
      </c>
      <c r="IW300">
        <v>360</v>
      </c>
      <c r="JA300">
        <v>1</v>
      </c>
      <c r="JB300">
        <v>0</v>
      </c>
      <c r="JC300">
        <v>2</v>
      </c>
      <c r="JD300">
        <v>1136</v>
      </c>
      <c r="JE300">
        <v>1134</v>
      </c>
      <c r="JF300">
        <v>0</v>
      </c>
      <c r="JG300">
        <v>1115</v>
      </c>
      <c r="JH300">
        <v>0</v>
      </c>
      <c r="JJ300">
        <v>180</v>
      </c>
      <c r="JK300">
        <v>450</v>
      </c>
      <c r="JN300">
        <v>340</v>
      </c>
      <c r="JO300">
        <v>605</v>
      </c>
      <c r="JP300">
        <v>0</v>
      </c>
      <c r="JQ300">
        <v>0</v>
      </c>
      <c r="JR300">
        <v>316</v>
      </c>
      <c r="JS300">
        <v>135</v>
      </c>
      <c r="JV300">
        <v>8</v>
      </c>
      <c r="JW300" t="s">
        <v>550</v>
      </c>
      <c r="JX300">
        <v>0</v>
      </c>
      <c r="KA300">
        <v>0</v>
      </c>
      <c r="KB300">
        <v>110</v>
      </c>
      <c r="KC300">
        <v>0</v>
      </c>
      <c r="KD300">
        <v>80</v>
      </c>
      <c r="KF300">
        <v>4</v>
      </c>
      <c r="KG300">
        <v>4</v>
      </c>
      <c r="KH300">
        <v>2</v>
      </c>
      <c r="KI300">
        <v>2</v>
      </c>
      <c r="KJ300">
        <v>0</v>
      </c>
      <c r="KK300">
        <v>1.5</v>
      </c>
      <c r="KL300">
        <v>1.5</v>
      </c>
      <c r="KM300">
        <v>0</v>
      </c>
      <c r="KN300">
        <v>0</v>
      </c>
      <c r="KO300">
        <v>0</v>
      </c>
      <c r="KR300">
        <v>30</v>
      </c>
      <c r="KS300">
        <v>60</v>
      </c>
      <c r="KT300">
        <v>0</v>
      </c>
      <c r="LK300">
        <v>480</v>
      </c>
      <c r="LX300">
        <v>380</v>
      </c>
      <c r="LY300">
        <v>2</v>
      </c>
      <c r="PG300">
        <v>1</v>
      </c>
      <c r="PI300" t="s">
        <v>3535</v>
      </c>
      <c r="PJ300" t="s">
        <v>3536</v>
      </c>
      <c r="PL300" t="s">
        <v>2386</v>
      </c>
      <c r="PP300" t="s">
        <v>3537</v>
      </c>
      <c r="PX300">
        <v>56</v>
      </c>
      <c r="PY300">
        <v>57</v>
      </c>
      <c r="PZ300" t="s">
        <v>3535</v>
      </c>
      <c r="QA300">
        <v>1</v>
      </c>
      <c r="QB300">
        <v>1115</v>
      </c>
      <c r="QC300">
        <v>69</v>
      </c>
      <c r="QD300">
        <v>69</v>
      </c>
      <c r="QE300" t="s">
        <v>2386</v>
      </c>
      <c r="QF300">
        <v>1</v>
      </c>
      <c r="QG300">
        <v>1136</v>
      </c>
      <c r="QH300">
        <v>66</v>
      </c>
      <c r="QI300">
        <v>66</v>
      </c>
      <c r="QL300">
        <v>0</v>
      </c>
      <c r="QM300">
        <v>62</v>
      </c>
      <c r="QN300">
        <v>62</v>
      </c>
      <c r="QO300" t="s">
        <v>3536</v>
      </c>
      <c r="QP300">
        <v>1</v>
      </c>
      <c r="QQ300">
        <v>1134</v>
      </c>
      <c r="QW300">
        <v>82</v>
      </c>
      <c r="QX300">
        <v>88</v>
      </c>
      <c r="QY300" t="s">
        <v>3537</v>
      </c>
      <c r="QZ300">
        <v>1</v>
      </c>
      <c r="RA300">
        <v>66</v>
      </c>
      <c r="RB300">
        <v>66</v>
      </c>
      <c r="RE300">
        <v>0</v>
      </c>
      <c r="RF300">
        <v>1</v>
      </c>
      <c r="RJ300">
        <v>2</v>
      </c>
      <c r="RL300">
        <v>4</v>
      </c>
      <c r="RO300">
        <v>481</v>
      </c>
      <c r="RQ300">
        <v>695</v>
      </c>
      <c r="RT300">
        <v>157</v>
      </c>
      <c r="RU300">
        <v>117</v>
      </c>
      <c r="RV300" t="s">
        <v>1497</v>
      </c>
      <c r="RW300" t="s">
        <v>1498</v>
      </c>
      <c r="RX300">
        <v>15</v>
      </c>
      <c r="RY300">
        <v>4</v>
      </c>
      <c r="RZ300" t="s">
        <v>1498</v>
      </c>
      <c r="SA300">
        <v>15</v>
      </c>
      <c r="SC300" t="s">
        <v>3536</v>
      </c>
      <c r="SD300">
        <v>1</v>
      </c>
      <c r="SH300">
        <v>0.995</v>
      </c>
      <c r="SI300">
        <v>0.995</v>
      </c>
      <c r="SJ300">
        <v>0.995</v>
      </c>
      <c r="SK300">
        <v>15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TB300">
        <v>0</v>
      </c>
      <c r="TC300">
        <v>0</v>
      </c>
      <c r="TD300">
        <v>7.5</v>
      </c>
      <c r="TE300" t="s">
        <v>553</v>
      </c>
      <c r="TF300" t="s">
        <v>754</v>
      </c>
      <c r="TG300" t="s">
        <v>555</v>
      </c>
      <c r="TI300" t="s">
        <v>546</v>
      </c>
      <c r="TJ300" t="s">
        <v>547</v>
      </c>
      <c r="TL300" t="s">
        <v>3491</v>
      </c>
      <c r="TM300" t="s">
        <v>513</v>
      </c>
      <c r="TN300">
        <v>0</v>
      </c>
      <c r="TO300" t="s">
        <v>557</v>
      </c>
    </row>
    <row r="301" spans="1:535">
      <c r="A301" t="s">
        <v>3538</v>
      </c>
      <c r="B301" t="s">
        <v>804</v>
      </c>
      <c r="C301" t="s">
        <v>509</v>
      </c>
      <c r="D301" t="s">
        <v>3539</v>
      </c>
      <c r="G301" t="s">
        <v>1115</v>
      </c>
      <c r="I301" t="s">
        <v>562</v>
      </c>
      <c r="J301" t="s">
        <v>563</v>
      </c>
      <c r="L301" t="s">
        <v>512</v>
      </c>
      <c r="M301" t="s">
        <v>508</v>
      </c>
      <c r="N301" t="s">
        <v>513</v>
      </c>
      <c r="O301" t="s">
        <v>1255</v>
      </c>
      <c r="P301" t="s">
        <v>515</v>
      </c>
      <c r="Q301" t="s">
        <v>3540</v>
      </c>
      <c r="R301" t="s">
        <v>517</v>
      </c>
      <c r="S301" t="s">
        <v>1480</v>
      </c>
      <c r="T301" t="s">
        <v>1481</v>
      </c>
      <c r="U301" t="s">
        <v>1482</v>
      </c>
      <c r="V301" t="s">
        <v>1483</v>
      </c>
      <c r="W301" t="s">
        <v>2425</v>
      </c>
      <c r="X301" t="s">
        <v>2336</v>
      </c>
      <c r="Y301" t="s">
        <v>524</v>
      </c>
      <c r="Z301" t="s">
        <v>2426</v>
      </c>
      <c r="AA301" t="s">
        <v>3541</v>
      </c>
      <c r="AB301" t="s">
        <v>3542</v>
      </c>
      <c r="AC301">
        <v>2</v>
      </c>
      <c r="AD301">
        <v>57</v>
      </c>
      <c r="AE301">
        <v>192</v>
      </c>
      <c r="AF301">
        <v>1.5</v>
      </c>
      <c r="AH301">
        <v>0</v>
      </c>
      <c r="AI301" t="s">
        <v>854</v>
      </c>
      <c r="AJ301">
        <v>167.5</v>
      </c>
      <c r="AK301">
        <v>1</v>
      </c>
      <c r="AL301">
        <v>1.5</v>
      </c>
      <c r="AM301" t="s">
        <v>579</v>
      </c>
      <c r="AN301" t="s">
        <v>693</v>
      </c>
      <c r="AO301">
        <v>2</v>
      </c>
      <c r="AP301" t="s">
        <v>581</v>
      </c>
      <c r="AQ301" t="s">
        <v>582</v>
      </c>
      <c r="AR301">
        <v>206</v>
      </c>
      <c r="AS301">
        <v>1.5</v>
      </c>
      <c r="AT301" t="s">
        <v>583</v>
      </c>
      <c r="AV301" t="s">
        <v>3543</v>
      </c>
      <c r="AW301" t="s">
        <v>3543</v>
      </c>
      <c r="AX301">
        <v>1</v>
      </c>
      <c r="AY301">
        <v>255</v>
      </c>
      <c r="AZ301">
        <v>1.5</v>
      </c>
      <c r="BA301" t="s">
        <v>579</v>
      </c>
      <c r="BG301">
        <v>1.5</v>
      </c>
      <c r="BJ301">
        <v>0</v>
      </c>
      <c r="BN301">
        <v>1.5</v>
      </c>
      <c r="BP301" t="s">
        <v>2430</v>
      </c>
      <c r="BQ301">
        <v>88</v>
      </c>
      <c r="BR301">
        <v>2</v>
      </c>
      <c r="BS301" t="s">
        <v>1490</v>
      </c>
      <c r="BT301">
        <v>185</v>
      </c>
      <c r="BU301">
        <v>0.5</v>
      </c>
      <c r="BV301" t="s">
        <v>1490</v>
      </c>
      <c r="BW301">
        <v>370</v>
      </c>
      <c r="BX301">
        <v>1</v>
      </c>
      <c r="BY301" t="s">
        <v>1491</v>
      </c>
      <c r="BZ301">
        <v>300</v>
      </c>
      <c r="CA301">
        <v>500</v>
      </c>
      <c r="CB301" t="s">
        <v>1492</v>
      </c>
      <c r="CC301" t="s">
        <v>1492</v>
      </c>
      <c r="CD301">
        <v>396</v>
      </c>
      <c r="CE301" t="s">
        <v>1493</v>
      </c>
      <c r="CF301">
        <v>15</v>
      </c>
      <c r="CG301" t="s">
        <v>1494</v>
      </c>
      <c r="CH301" t="s">
        <v>1494</v>
      </c>
      <c r="CI301">
        <v>100</v>
      </c>
      <c r="CJ301">
        <v>1122</v>
      </c>
      <c r="CK301">
        <v>2</v>
      </c>
      <c r="CL301">
        <v>1222</v>
      </c>
      <c r="CM301">
        <v>2</v>
      </c>
      <c r="CN301" t="s">
        <v>1495</v>
      </c>
      <c r="CO301" t="s">
        <v>1473</v>
      </c>
      <c r="CP301" t="s">
        <v>1474</v>
      </c>
      <c r="CQ301" t="s">
        <v>860</v>
      </c>
      <c r="CR301" t="s">
        <v>650</v>
      </c>
      <c r="CS301" t="s">
        <v>542</v>
      </c>
      <c r="CT301">
        <v>335</v>
      </c>
      <c r="CU301">
        <v>5</v>
      </c>
      <c r="CV301">
        <v>1.3</v>
      </c>
      <c r="CW301">
        <v>1141</v>
      </c>
      <c r="CX301">
        <v>588</v>
      </c>
      <c r="CY301" t="s">
        <v>705</v>
      </c>
      <c r="CZ301">
        <v>50</v>
      </c>
      <c r="DA301">
        <v>3</v>
      </c>
      <c r="DB301">
        <v>1</v>
      </c>
      <c r="DC301">
        <v>1141</v>
      </c>
      <c r="DD301">
        <v>60</v>
      </c>
      <c r="DE301" t="s">
        <v>543</v>
      </c>
      <c r="DF301">
        <v>510</v>
      </c>
      <c r="DG301">
        <v>3</v>
      </c>
      <c r="DH301">
        <v>1.18</v>
      </c>
      <c r="DI301">
        <v>1134</v>
      </c>
      <c r="DJ301">
        <v>932</v>
      </c>
      <c r="DW301" t="s">
        <v>544</v>
      </c>
      <c r="DX301">
        <v>7.5</v>
      </c>
      <c r="EA301">
        <v>1202.7</v>
      </c>
      <c r="EB301">
        <v>157</v>
      </c>
      <c r="EC301" t="s">
        <v>545</v>
      </c>
      <c r="ED301">
        <v>40</v>
      </c>
      <c r="EE301">
        <v>3</v>
      </c>
      <c r="EG301">
        <v>1233</v>
      </c>
      <c r="EH301">
        <v>196</v>
      </c>
      <c r="EJ301">
        <v>0</v>
      </c>
      <c r="EK301">
        <v>1</v>
      </c>
      <c r="EN301">
        <v>0</v>
      </c>
      <c r="EP301" t="s">
        <v>546</v>
      </c>
      <c r="EQ301">
        <v>90</v>
      </c>
      <c r="ER301">
        <v>3</v>
      </c>
      <c r="ES301">
        <v>5</v>
      </c>
      <c r="ET301">
        <v>1117</v>
      </c>
      <c r="EU301">
        <v>345.1</v>
      </c>
      <c r="EV301">
        <v>385</v>
      </c>
      <c r="EW301" t="s">
        <v>547</v>
      </c>
      <c r="EX301">
        <v>45</v>
      </c>
      <c r="EY301">
        <v>2</v>
      </c>
      <c r="EZ301">
        <v>4</v>
      </c>
      <c r="FA301">
        <v>1117</v>
      </c>
      <c r="FB301">
        <v>123.3</v>
      </c>
      <c r="FC301">
        <v>138</v>
      </c>
      <c r="FE301">
        <v>0</v>
      </c>
      <c r="FF301">
        <v>2</v>
      </c>
      <c r="FI301">
        <v>0</v>
      </c>
      <c r="FK301" t="s">
        <v>548</v>
      </c>
      <c r="FL301">
        <v>0.4</v>
      </c>
      <c r="FM301">
        <v>40</v>
      </c>
      <c r="FN301">
        <v>310</v>
      </c>
      <c r="FO301">
        <v>60</v>
      </c>
      <c r="FP301">
        <v>110</v>
      </c>
      <c r="FY301" t="s">
        <v>651</v>
      </c>
      <c r="FZ301">
        <v>1</v>
      </c>
      <c r="GA301">
        <v>20</v>
      </c>
      <c r="GB301">
        <v>130</v>
      </c>
      <c r="GG301" t="s">
        <v>651</v>
      </c>
      <c r="GH301">
        <v>1</v>
      </c>
      <c r="GI301">
        <v>20</v>
      </c>
      <c r="GJ301">
        <v>130</v>
      </c>
      <c r="HC301">
        <v>0.1</v>
      </c>
      <c r="HD301">
        <v>3</v>
      </c>
      <c r="HE301">
        <v>3</v>
      </c>
      <c r="HF301">
        <v>3</v>
      </c>
      <c r="HG301">
        <v>3</v>
      </c>
      <c r="HH301">
        <v>3</v>
      </c>
      <c r="HI301">
        <v>120</v>
      </c>
      <c r="HJ301">
        <v>3</v>
      </c>
      <c r="HK301">
        <v>30</v>
      </c>
      <c r="HL301">
        <v>2</v>
      </c>
      <c r="HM301">
        <v>0</v>
      </c>
      <c r="HN301">
        <v>2</v>
      </c>
      <c r="HO301">
        <v>75</v>
      </c>
      <c r="HP301">
        <v>3</v>
      </c>
      <c r="HQ301">
        <v>0</v>
      </c>
      <c r="HR301">
        <v>2</v>
      </c>
      <c r="HS301">
        <v>3392</v>
      </c>
      <c r="HT301">
        <v>100</v>
      </c>
      <c r="HU301">
        <v>180</v>
      </c>
      <c r="HW301">
        <v>0</v>
      </c>
      <c r="HX301">
        <v>436</v>
      </c>
      <c r="HY301">
        <v>0.18</v>
      </c>
      <c r="IA301">
        <v>0.15</v>
      </c>
      <c r="IB301">
        <v>0</v>
      </c>
      <c r="IC301">
        <v>180</v>
      </c>
      <c r="ID301">
        <v>110</v>
      </c>
      <c r="IE301">
        <v>0</v>
      </c>
      <c r="IF301">
        <v>0</v>
      </c>
      <c r="IH301" t="s">
        <v>549</v>
      </c>
      <c r="IO301">
        <v>1</v>
      </c>
      <c r="IP301">
        <v>15</v>
      </c>
      <c r="IQ301">
        <v>0</v>
      </c>
      <c r="IR301">
        <v>0</v>
      </c>
      <c r="IV301">
        <v>1122</v>
      </c>
      <c r="IW301">
        <v>370</v>
      </c>
      <c r="JA301">
        <v>1</v>
      </c>
      <c r="JB301">
        <v>0</v>
      </c>
      <c r="JC301">
        <v>2</v>
      </c>
      <c r="JD301">
        <v>1141</v>
      </c>
      <c r="JE301">
        <v>1134</v>
      </c>
      <c r="JF301">
        <v>0</v>
      </c>
      <c r="JG301">
        <v>1117</v>
      </c>
      <c r="JH301">
        <v>0</v>
      </c>
      <c r="JJ301">
        <v>180</v>
      </c>
      <c r="JK301">
        <v>436</v>
      </c>
      <c r="JN301">
        <v>335</v>
      </c>
      <c r="JO301">
        <v>510</v>
      </c>
      <c r="JP301">
        <v>0</v>
      </c>
      <c r="JQ301">
        <v>0</v>
      </c>
      <c r="JR301">
        <v>384</v>
      </c>
      <c r="JS301">
        <v>120</v>
      </c>
      <c r="JV301">
        <v>8</v>
      </c>
      <c r="JW301" t="s">
        <v>550</v>
      </c>
      <c r="JX301">
        <v>412</v>
      </c>
      <c r="KA301">
        <v>0</v>
      </c>
      <c r="KB301">
        <v>110</v>
      </c>
      <c r="KC301">
        <v>0</v>
      </c>
      <c r="KD301">
        <v>92</v>
      </c>
      <c r="KF301">
        <v>4</v>
      </c>
      <c r="KG301">
        <v>2</v>
      </c>
      <c r="KH301">
        <v>2</v>
      </c>
      <c r="KI301">
        <v>2</v>
      </c>
      <c r="KJ301">
        <v>0</v>
      </c>
      <c r="KK301">
        <v>1.5</v>
      </c>
      <c r="KL301">
        <v>1.5</v>
      </c>
      <c r="KM301">
        <v>0</v>
      </c>
      <c r="KN301">
        <v>0</v>
      </c>
      <c r="KO301">
        <v>0</v>
      </c>
      <c r="KR301">
        <v>50</v>
      </c>
      <c r="KS301">
        <v>60</v>
      </c>
      <c r="KT301">
        <v>0</v>
      </c>
      <c r="LK301">
        <v>480</v>
      </c>
      <c r="PG301">
        <v>1</v>
      </c>
      <c r="PI301" t="s">
        <v>3542</v>
      </c>
      <c r="PJ301" t="s">
        <v>3543</v>
      </c>
      <c r="PL301" t="s">
        <v>854</v>
      </c>
      <c r="PP301" t="s">
        <v>2430</v>
      </c>
      <c r="PS301" t="s">
        <v>693</v>
      </c>
      <c r="PX301">
        <v>56</v>
      </c>
      <c r="PY301">
        <v>57</v>
      </c>
      <c r="PZ301" t="s">
        <v>3542</v>
      </c>
      <c r="QA301">
        <v>1</v>
      </c>
      <c r="QB301">
        <v>1117</v>
      </c>
      <c r="QC301">
        <v>69</v>
      </c>
      <c r="QD301">
        <v>69</v>
      </c>
      <c r="QE301" t="s">
        <v>854</v>
      </c>
      <c r="QF301">
        <v>2</v>
      </c>
      <c r="QG301">
        <v>1141</v>
      </c>
      <c r="QH301">
        <v>66</v>
      </c>
      <c r="QI301">
        <v>66</v>
      </c>
      <c r="QJ301" t="s">
        <v>693</v>
      </c>
      <c r="QK301">
        <v>1</v>
      </c>
      <c r="QL301">
        <v>1141</v>
      </c>
      <c r="QM301">
        <v>63</v>
      </c>
      <c r="QN301">
        <v>63</v>
      </c>
      <c r="QO301" t="s">
        <v>3543</v>
      </c>
      <c r="QP301">
        <v>1</v>
      </c>
      <c r="QQ301">
        <v>1134</v>
      </c>
      <c r="QW301">
        <v>82</v>
      </c>
      <c r="QX301">
        <v>88</v>
      </c>
      <c r="QY301" t="s">
        <v>2430</v>
      </c>
      <c r="QZ301">
        <v>1</v>
      </c>
      <c r="RA301">
        <v>66</v>
      </c>
      <c r="RB301">
        <v>66</v>
      </c>
      <c r="RE301">
        <v>0</v>
      </c>
      <c r="RG301">
        <v>1</v>
      </c>
      <c r="RJ301">
        <v>1</v>
      </c>
      <c r="RK301">
        <v>2</v>
      </c>
      <c r="RL301">
        <v>1</v>
      </c>
      <c r="RO301">
        <v>515</v>
      </c>
      <c r="RP301">
        <v>105</v>
      </c>
      <c r="RQ301">
        <v>822</v>
      </c>
      <c r="RT301">
        <v>157</v>
      </c>
      <c r="RU301">
        <v>196</v>
      </c>
      <c r="RV301" t="s">
        <v>1497</v>
      </c>
      <c r="RW301" t="s">
        <v>1498</v>
      </c>
      <c r="RX301">
        <v>15</v>
      </c>
      <c r="RY301">
        <v>4</v>
      </c>
      <c r="RZ301" t="s">
        <v>1498</v>
      </c>
      <c r="SA301">
        <v>15</v>
      </c>
      <c r="SB301" t="s">
        <v>3544</v>
      </c>
      <c r="SC301" t="s">
        <v>3544</v>
      </c>
      <c r="SD301">
        <v>1</v>
      </c>
      <c r="SH301">
        <v>0.995</v>
      </c>
      <c r="SI301">
        <v>0.995</v>
      </c>
      <c r="SJ301">
        <v>0.995</v>
      </c>
      <c r="SK301">
        <v>15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1</v>
      </c>
      <c r="TB301">
        <v>0</v>
      </c>
      <c r="TC301">
        <v>0</v>
      </c>
      <c r="TD301">
        <v>7.5</v>
      </c>
      <c r="TE301" t="s">
        <v>553</v>
      </c>
      <c r="TF301" t="s">
        <v>754</v>
      </c>
      <c r="TG301" t="s">
        <v>555</v>
      </c>
      <c r="TI301" t="s">
        <v>546</v>
      </c>
      <c r="TJ301" t="s">
        <v>547</v>
      </c>
      <c r="TL301" t="s">
        <v>3491</v>
      </c>
      <c r="TM301" t="s">
        <v>513</v>
      </c>
      <c r="TN301">
        <v>0</v>
      </c>
      <c r="TO301" t="s">
        <v>557</v>
      </c>
    </row>
    <row r="302" spans="1:535">
      <c r="A302" t="s">
        <v>3545</v>
      </c>
      <c r="B302" t="s">
        <v>508</v>
      </c>
      <c r="C302" t="s">
        <v>509</v>
      </c>
      <c r="D302" t="s">
        <v>3546</v>
      </c>
      <c r="G302" t="s">
        <v>1135</v>
      </c>
      <c r="I302" t="s">
        <v>562</v>
      </c>
      <c r="J302" t="s">
        <v>563</v>
      </c>
      <c r="L302" t="s">
        <v>512</v>
      </c>
      <c r="N302" t="s">
        <v>513</v>
      </c>
      <c r="O302" t="s">
        <v>1255</v>
      </c>
      <c r="P302" t="s">
        <v>515</v>
      </c>
      <c r="Q302" t="s">
        <v>3547</v>
      </c>
      <c r="R302" t="s">
        <v>517</v>
      </c>
      <c r="S302" t="s">
        <v>518</v>
      </c>
      <c r="T302" t="s">
        <v>519</v>
      </c>
      <c r="U302" t="s">
        <v>520</v>
      </c>
      <c r="V302" t="s">
        <v>521</v>
      </c>
      <c r="W302" t="s">
        <v>2392</v>
      </c>
      <c r="X302" t="s">
        <v>2336</v>
      </c>
      <c r="Y302" t="s">
        <v>524</v>
      </c>
      <c r="Z302" t="s">
        <v>3548</v>
      </c>
      <c r="AA302" t="s">
        <v>3549</v>
      </c>
      <c r="AB302" t="s">
        <v>3550</v>
      </c>
      <c r="AC302">
        <v>2</v>
      </c>
      <c r="AD302">
        <v>57</v>
      </c>
      <c r="AE302">
        <v>195</v>
      </c>
      <c r="AF302">
        <v>1.5</v>
      </c>
      <c r="AH302">
        <v>0</v>
      </c>
      <c r="AI302" t="s">
        <v>2224</v>
      </c>
      <c r="AJ302">
        <v>175</v>
      </c>
      <c r="AK302">
        <v>1</v>
      </c>
      <c r="AL302">
        <v>1.5</v>
      </c>
      <c r="AM302" t="s">
        <v>579</v>
      </c>
      <c r="AN302" t="s">
        <v>693</v>
      </c>
      <c r="AO302">
        <v>2</v>
      </c>
      <c r="AP302" t="s">
        <v>581</v>
      </c>
      <c r="AQ302" t="s">
        <v>582</v>
      </c>
      <c r="AR302">
        <v>212</v>
      </c>
      <c r="AS302">
        <v>1.5</v>
      </c>
      <c r="AT302" t="s">
        <v>583</v>
      </c>
      <c r="AU302" t="s">
        <v>3551</v>
      </c>
      <c r="AW302" t="s">
        <v>3551</v>
      </c>
      <c r="AX302">
        <v>1</v>
      </c>
      <c r="AY302">
        <v>317.5</v>
      </c>
      <c r="AZ302">
        <v>1.5</v>
      </c>
      <c r="BA302" t="s">
        <v>579</v>
      </c>
      <c r="BG302">
        <v>1.5</v>
      </c>
      <c r="BJ302">
        <v>0</v>
      </c>
      <c r="BN302">
        <v>1.5</v>
      </c>
      <c r="BP302" t="s">
        <v>3552</v>
      </c>
      <c r="BQ302">
        <v>82</v>
      </c>
      <c r="BR302">
        <v>2</v>
      </c>
      <c r="BS302" t="s">
        <v>2227</v>
      </c>
      <c r="BT302">
        <v>192</v>
      </c>
      <c r="BU302">
        <v>0.5</v>
      </c>
      <c r="BV302" t="s">
        <v>2227</v>
      </c>
      <c r="BW302">
        <v>384</v>
      </c>
      <c r="BX302">
        <v>1</v>
      </c>
      <c r="BY302" t="s">
        <v>533</v>
      </c>
      <c r="BZ302">
        <v>300</v>
      </c>
      <c r="CA302">
        <v>480</v>
      </c>
      <c r="CB302" t="s">
        <v>534</v>
      </c>
      <c r="CC302" t="s">
        <v>534</v>
      </c>
      <c r="CD302">
        <v>404</v>
      </c>
      <c r="CE302" t="s">
        <v>1493</v>
      </c>
      <c r="CF302">
        <v>15</v>
      </c>
      <c r="CG302" t="s">
        <v>620</v>
      </c>
      <c r="CH302" t="s">
        <v>620</v>
      </c>
      <c r="CI302">
        <v>90</v>
      </c>
      <c r="CJ302">
        <v>1200</v>
      </c>
      <c r="CK302">
        <v>2</v>
      </c>
      <c r="CL302">
        <v>1301</v>
      </c>
      <c r="CM302">
        <v>2</v>
      </c>
      <c r="CN302" t="s">
        <v>537</v>
      </c>
      <c r="CO302" t="s">
        <v>538</v>
      </c>
      <c r="CP302" t="s">
        <v>539</v>
      </c>
      <c r="CQ302" t="s">
        <v>1343</v>
      </c>
      <c r="CR302" t="s">
        <v>541</v>
      </c>
      <c r="CS302" t="s">
        <v>542</v>
      </c>
      <c r="CT302">
        <v>350</v>
      </c>
      <c r="CU302">
        <v>5</v>
      </c>
      <c r="CV302">
        <v>1.3</v>
      </c>
      <c r="CW302">
        <v>1218</v>
      </c>
      <c r="CX302">
        <v>654</v>
      </c>
      <c r="CY302" t="s">
        <v>705</v>
      </c>
      <c r="CZ302">
        <v>50</v>
      </c>
      <c r="DA302">
        <v>3</v>
      </c>
      <c r="DB302">
        <v>1</v>
      </c>
      <c r="DC302">
        <v>1218</v>
      </c>
      <c r="DD302">
        <v>64</v>
      </c>
      <c r="DE302" t="s">
        <v>543</v>
      </c>
      <c r="DF302">
        <v>635</v>
      </c>
      <c r="DG302">
        <v>3</v>
      </c>
      <c r="DH302">
        <v>1.18</v>
      </c>
      <c r="DI302">
        <v>1212</v>
      </c>
      <c r="DJ302">
        <v>1150</v>
      </c>
      <c r="DW302" t="s">
        <v>544</v>
      </c>
      <c r="DX302">
        <v>7.5</v>
      </c>
      <c r="EA302">
        <v>1282.5</v>
      </c>
      <c r="EB302">
        <v>242</v>
      </c>
      <c r="EC302" t="s">
        <v>545</v>
      </c>
      <c r="ED302">
        <v>30</v>
      </c>
      <c r="EE302">
        <v>3</v>
      </c>
      <c r="EG302">
        <v>1323</v>
      </c>
      <c r="EH302">
        <v>162</v>
      </c>
      <c r="EJ302">
        <v>0</v>
      </c>
      <c r="EK302">
        <v>1</v>
      </c>
      <c r="EN302">
        <v>0</v>
      </c>
      <c r="EP302" t="s">
        <v>546</v>
      </c>
      <c r="EQ302">
        <v>90</v>
      </c>
      <c r="ER302">
        <v>3</v>
      </c>
      <c r="ES302">
        <v>5</v>
      </c>
      <c r="ET302">
        <v>1194</v>
      </c>
      <c r="EU302">
        <v>326.2</v>
      </c>
      <c r="EV302">
        <v>389</v>
      </c>
      <c r="EW302" t="s">
        <v>547</v>
      </c>
      <c r="EX302">
        <v>45</v>
      </c>
      <c r="EY302">
        <v>2</v>
      </c>
      <c r="EZ302">
        <v>3.7</v>
      </c>
      <c r="FA302">
        <v>1194</v>
      </c>
      <c r="FB302">
        <v>126.7</v>
      </c>
      <c r="FC302">
        <v>151</v>
      </c>
      <c r="FE302">
        <v>0</v>
      </c>
      <c r="FF302">
        <v>2</v>
      </c>
      <c r="FI302">
        <v>0</v>
      </c>
      <c r="FK302" t="s">
        <v>548</v>
      </c>
      <c r="FL302">
        <v>0.4</v>
      </c>
      <c r="FM302">
        <v>40</v>
      </c>
      <c r="FN302">
        <v>330</v>
      </c>
      <c r="FO302">
        <v>60</v>
      </c>
      <c r="FP302">
        <v>120</v>
      </c>
      <c r="HC302">
        <v>0.1</v>
      </c>
      <c r="HD302">
        <v>3</v>
      </c>
      <c r="HE302">
        <v>3</v>
      </c>
      <c r="HF302">
        <v>3</v>
      </c>
      <c r="HG302">
        <v>3</v>
      </c>
      <c r="HH302">
        <v>3</v>
      </c>
      <c r="HI302">
        <v>120</v>
      </c>
      <c r="HJ302">
        <v>3</v>
      </c>
      <c r="HK302">
        <v>30</v>
      </c>
      <c r="HL302">
        <v>2</v>
      </c>
      <c r="HM302">
        <v>0</v>
      </c>
      <c r="HN302">
        <v>2</v>
      </c>
      <c r="HO302">
        <v>75</v>
      </c>
      <c r="HP302">
        <v>3</v>
      </c>
      <c r="HQ302">
        <v>0</v>
      </c>
      <c r="HR302">
        <v>2</v>
      </c>
      <c r="HS302">
        <v>3820</v>
      </c>
      <c r="HT302">
        <v>110</v>
      </c>
      <c r="HU302">
        <v>180</v>
      </c>
      <c r="HW302">
        <v>20</v>
      </c>
      <c r="HX302">
        <v>456</v>
      </c>
      <c r="HY302">
        <v>0.18</v>
      </c>
      <c r="IA302">
        <v>0.15</v>
      </c>
      <c r="IB302">
        <v>0</v>
      </c>
      <c r="IC302">
        <v>180</v>
      </c>
      <c r="ID302">
        <v>110</v>
      </c>
      <c r="IE302">
        <v>0</v>
      </c>
      <c r="IF302">
        <v>0</v>
      </c>
      <c r="IH302" t="s">
        <v>549</v>
      </c>
      <c r="IO302">
        <v>1</v>
      </c>
      <c r="IP302">
        <v>16</v>
      </c>
      <c r="IQ302">
        <v>0</v>
      </c>
      <c r="IR302">
        <v>0</v>
      </c>
      <c r="IV302">
        <v>1200</v>
      </c>
      <c r="IW302">
        <v>384</v>
      </c>
      <c r="JA302">
        <v>1</v>
      </c>
      <c r="JB302">
        <v>0</v>
      </c>
      <c r="JC302">
        <v>2</v>
      </c>
      <c r="JD302">
        <v>1218</v>
      </c>
      <c r="JE302">
        <v>1212</v>
      </c>
      <c r="JF302">
        <v>0</v>
      </c>
      <c r="JG302">
        <v>1194</v>
      </c>
      <c r="JH302">
        <v>0</v>
      </c>
      <c r="JJ302">
        <v>180</v>
      </c>
      <c r="JK302">
        <v>456</v>
      </c>
      <c r="JN302">
        <v>350</v>
      </c>
      <c r="JO302">
        <v>635</v>
      </c>
      <c r="JP302">
        <v>0</v>
      </c>
      <c r="JQ302">
        <v>0</v>
      </c>
      <c r="JR302">
        <v>390</v>
      </c>
      <c r="JS302">
        <v>120</v>
      </c>
      <c r="JV302">
        <v>8</v>
      </c>
      <c r="JW302" t="s">
        <v>550</v>
      </c>
      <c r="JX302">
        <v>424</v>
      </c>
      <c r="KA302">
        <v>0</v>
      </c>
      <c r="KB302">
        <v>110</v>
      </c>
      <c r="KC302">
        <v>0</v>
      </c>
      <c r="KD302">
        <v>80</v>
      </c>
      <c r="KF302">
        <v>4</v>
      </c>
      <c r="KG302">
        <v>2</v>
      </c>
      <c r="KH302">
        <v>2</v>
      </c>
      <c r="KI302">
        <v>2</v>
      </c>
      <c r="KJ302">
        <v>0</v>
      </c>
      <c r="KK302">
        <v>1.5</v>
      </c>
      <c r="KL302">
        <v>1.5</v>
      </c>
      <c r="KM302">
        <v>0</v>
      </c>
      <c r="KN302">
        <v>0</v>
      </c>
      <c r="KO302">
        <v>0</v>
      </c>
      <c r="KR302">
        <v>20</v>
      </c>
      <c r="KS302">
        <v>60</v>
      </c>
      <c r="KT302">
        <v>0</v>
      </c>
      <c r="LK302">
        <v>480</v>
      </c>
      <c r="LV302">
        <v>0</v>
      </c>
      <c r="LW302">
        <v>0</v>
      </c>
      <c r="LX302">
        <v>325</v>
      </c>
      <c r="LY302">
        <v>3</v>
      </c>
      <c r="PG302">
        <v>1</v>
      </c>
      <c r="PI302" t="s">
        <v>3550</v>
      </c>
      <c r="PJ302" t="s">
        <v>3551</v>
      </c>
      <c r="PL302" t="s">
        <v>2224</v>
      </c>
      <c r="PP302" t="s">
        <v>3552</v>
      </c>
      <c r="PS302" t="s">
        <v>693</v>
      </c>
      <c r="PX302">
        <v>56</v>
      </c>
      <c r="PY302">
        <v>57</v>
      </c>
      <c r="PZ302" t="s">
        <v>3550</v>
      </c>
      <c r="QA302">
        <v>1</v>
      </c>
      <c r="QB302">
        <v>1194</v>
      </c>
      <c r="QC302">
        <v>69</v>
      </c>
      <c r="QD302">
        <v>69</v>
      </c>
      <c r="QE302" t="s">
        <v>2224</v>
      </c>
      <c r="QF302">
        <v>2</v>
      </c>
      <c r="QG302">
        <v>1218</v>
      </c>
      <c r="QH302">
        <v>66</v>
      </c>
      <c r="QI302">
        <v>66</v>
      </c>
      <c r="QJ302" t="s">
        <v>693</v>
      </c>
      <c r="QK302">
        <v>1</v>
      </c>
      <c r="QL302">
        <v>1218</v>
      </c>
      <c r="QM302">
        <v>62</v>
      </c>
      <c r="QN302">
        <v>62</v>
      </c>
      <c r="QO302" t="s">
        <v>3551</v>
      </c>
      <c r="QP302">
        <v>1</v>
      </c>
      <c r="QQ302">
        <v>1212</v>
      </c>
      <c r="QW302">
        <v>82</v>
      </c>
      <c r="QX302">
        <v>82</v>
      </c>
      <c r="QY302" t="s">
        <v>3552</v>
      </c>
      <c r="QZ302">
        <v>1</v>
      </c>
      <c r="RA302">
        <v>66</v>
      </c>
      <c r="RB302">
        <v>66</v>
      </c>
      <c r="RE302">
        <v>0</v>
      </c>
      <c r="RF302">
        <v>1</v>
      </c>
      <c r="RJ302">
        <v>1</v>
      </c>
      <c r="RK302">
        <v>2</v>
      </c>
      <c r="RL302">
        <v>1</v>
      </c>
      <c r="RO302">
        <v>537</v>
      </c>
      <c r="RP302">
        <v>105</v>
      </c>
      <c r="RQ302">
        <v>949</v>
      </c>
      <c r="RT302">
        <v>242</v>
      </c>
      <c r="RU302">
        <v>162</v>
      </c>
      <c r="RV302" t="s">
        <v>2228</v>
      </c>
      <c r="RW302" t="s">
        <v>552</v>
      </c>
      <c r="RX302">
        <v>15</v>
      </c>
      <c r="RY302">
        <v>4</v>
      </c>
      <c r="RZ302" t="s">
        <v>552</v>
      </c>
      <c r="SA302">
        <v>15</v>
      </c>
      <c r="SC302" t="s">
        <v>3551</v>
      </c>
      <c r="SD302">
        <v>1</v>
      </c>
      <c r="SH302">
        <v>0.995</v>
      </c>
      <c r="SI302">
        <v>0.995</v>
      </c>
      <c r="SJ302">
        <v>0.995</v>
      </c>
      <c r="SK302">
        <v>15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1</v>
      </c>
      <c r="TB302">
        <v>0</v>
      </c>
      <c r="TC302">
        <v>0</v>
      </c>
      <c r="TD302">
        <v>7.5</v>
      </c>
      <c r="TE302" t="s">
        <v>553</v>
      </c>
      <c r="TF302" t="s">
        <v>655</v>
      </c>
      <c r="TG302" t="s">
        <v>555</v>
      </c>
      <c r="TI302" t="s">
        <v>546</v>
      </c>
      <c r="TJ302" t="s">
        <v>547</v>
      </c>
      <c r="TL302" t="s">
        <v>3491</v>
      </c>
      <c r="TM302" t="s">
        <v>513</v>
      </c>
      <c r="TN302">
        <v>0</v>
      </c>
      <c r="TO302" t="s">
        <v>557</v>
      </c>
    </row>
    <row r="303" spans="1:535">
      <c r="A303" t="s">
        <v>3553</v>
      </c>
      <c r="B303" t="s">
        <v>804</v>
      </c>
      <c r="C303" t="s">
        <v>509</v>
      </c>
      <c r="D303" t="s">
        <v>2748</v>
      </c>
      <c r="G303" t="s">
        <v>511</v>
      </c>
      <c r="I303" t="s">
        <v>562</v>
      </c>
      <c r="L303" t="s">
        <v>512</v>
      </c>
      <c r="M303" t="s">
        <v>508</v>
      </c>
      <c r="N303" t="s">
        <v>513</v>
      </c>
      <c r="O303" t="s">
        <v>1255</v>
      </c>
      <c r="P303" t="s">
        <v>515</v>
      </c>
      <c r="Q303" t="s">
        <v>3554</v>
      </c>
      <c r="R303" t="s">
        <v>517</v>
      </c>
      <c r="S303" t="s">
        <v>806</v>
      </c>
      <c r="T303" t="s">
        <v>807</v>
      </c>
      <c r="U303" t="s">
        <v>520</v>
      </c>
      <c r="V303" t="s">
        <v>521</v>
      </c>
      <c r="W303" t="s">
        <v>2354</v>
      </c>
      <c r="X303" t="s">
        <v>2336</v>
      </c>
      <c r="Y303" t="s">
        <v>574</v>
      </c>
      <c r="Z303" t="s">
        <v>2355</v>
      </c>
      <c r="AA303" t="s">
        <v>3555</v>
      </c>
      <c r="AB303" t="s">
        <v>3556</v>
      </c>
      <c r="AC303">
        <v>2</v>
      </c>
      <c r="AD303">
        <v>57</v>
      </c>
      <c r="AE303">
        <v>223</v>
      </c>
      <c r="AF303">
        <v>1.5</v>
      </c>
      <c r="AH303">
        <v>0</v>
      </c>
      <c r="AI303" t="s">
        <v>615</v>
      </c>
      <c r="AJ303">
        <v>200</v>
      </c>
      <c r="AK303">
        <v>1</v>
      </c>
      <c r="AL303">
        <v>1.5</v>
      </c>
      <c r="AM303" t="s">
        <v>579</v>
      </c>
      <c r="AN303" t="s">
        <v>693</v>
      </c>
      <c r="AO303">
        <v>2</v>
      </c>
      <c r="AP303" t="s">
        <v>581</v>
      </c>
      <c r="AQ303" t="s">
        <v>582</v>
      </c>
      <c r="AR303">
        <v>238</v>
      </c>
      <c r="AS303">
        <v>1.5</v>
      </c>
      <c r="AT303" t="s">
        <v>583</v>
      </c>
      <c r="AU303" t="s">
        <v>3557</v>
      </c>
      <c r="AW303" t="s">
        <v>3557</v>
      </c>
      <c r="AX303">
        <v>1</v>
      </c>
      <c r="AY303">
        <v>370</v>
      </c>
      <c r="AZ303">
        <v>1.5</v>
      </c>
      <c r="BA303" t="s">
        <v>579</v>
      </c>
      <c r="BG303">
        <v>1.5</v>
      </c>
      <c r="BJ303">
        <v>0</v>
      </c>
      <c r="BN303">
        <v>1.5</v>
      </c>
      <c r="BP303" t="s">
        <v>1985</v>
      </c>
      <c r="BQ303">
        <v>88</v>
      </c>
      <c r="BR303">
        <v>2</v>
      </c>
      <c r="BS303" t="s">
        <v>1919</v>
      </c>
      <c r="BT303">
        <v>220</v>
      </c>
      <c r="BU303">
        <v>0.5</v>
      </c>
      <c r="BV303" t="s">
        <v>1919</v>
      </c>
      <c r="BW303">
        <v>440</v>
      </c>
      <c r="BX303">
        <v>1</v>
      </c>
      <c r="BY303" t="s">
        <v>533</v>
      </c>
      <c r="BZ303">
        <v>470</v>
      </c>
      <c r="CA303">
        <v>570</v>
      </c>
      <c r="CB303" t="s">
        <v>534</v>
      </c>
      <c r="CC303" t="s">
        <v>534</v>
      </c>
      <c r="CD303">
        <v>456</v>
      </c>
      <c r="CE303" t="s">
        <v>535</v>
      </c>
      <c r="CF303">
        <v>15</v>
      </c>
      <c r="CG303" t="s">
        <v>1577</v>
      </c>
      <c r="CH303" t="s">
        <v>1577</v>
      </c>
      <c r="CI303">
        <v>50</v>
      </c>
      <c r="CJ303">
        <v>1200</v>
      </c>
      <c r="CK303">
        <v>2</v>
      </c>
      <c r="CL303">
        <v>1301</v>
      </c>
      <c r="CM303">
        <v>2</v>
      </c>
      <c r="CN303" t="s">
        <v>537</v>
      </c>
      <c r="CO303" t="s">
        <v>538</v>
      </c>
      <c r="CP303" t="s">
        <v>539</v>
      </c>
      <c r="CQ303" t="s">
        <v>1343</v>
      </c>
      <c r="CR303" t="s">
        <v>541</v>
      </c>
      <c r="CS303" t="s">
        <v>542</v>
      </c>
      <c r="CT303">
        <v>400</v>
      </c>
      <c r="CU303">
        <v>5</v>
      </c>
      <c r="CV303">
        <v>1.2</v>
      </c>
      <c r="CW303">
        <v>1218</v>
      </c>
      <c r="CX303">
        <v>691</v>
      </c>
      <c r="CY303" t="s">
        <v>705</v>
      </c>
      <c r="CZ303">
        <v>50</v>
      </c>
      <c r="DA303">
        <v>3</v>
      </c>
      <c r="DB303">
        <v>1</v>
      </c>
      <c r="DC303">
        <v>1218</v>
      </c>
      <c r="DD303">
        <v>64</v>
      </c>
      <c r="DE303" t="s">
        <v>543</v>
      </c>
      <c r="DF303">
        <v>740</v>
      </c>
      <c r="DG303">
        <v>3</v>
      </c>
      <c r="DH303">
        <v>1.18</v>
      </c>
      <c r="DI303">
        <v>1211</v>
      </c>
      <c r="DJ303">
        <v>1343</v>
      </c>
      <c r="DW303" t="s">
        <v>544</v>
      </c>
      <c r="DX303">
        <v>7.5</v>
      </c>
      <c r="EA303">
        <v>1282.5</v>
      </c>
      <c r="EB303">
        <v>227</v>
      </c>
      <c r="EC303" t="s">
        <v>545</v>
      </c>
      <c r="ED303">
        <v>30</v>
      </c>
      <c r="EE303">
        <v>3</v>
      </c>
      <c r="EG303">
        <v>1323</v>
      </c>
      <c r="EH303">
        <v>156</v>
      </c>
      <c r="EJ303">
        <v>0</v>
      </c>
      <c r="EK303">
        <v>1</v>
      </c>
      <c r="EN303">
        <v>0</v>
      </c>
      <c r="EP303" t="s">
        <v>546</v>
      </c>
      <c r="EQ303">
        <v>120</v>
      </c>
      <c r="ER303">
        <v>3</v>
      </c>
      <c r="ES303">
        <v>5</v>
      </c>
      <c r="ET303">
        <v>1194</v>
      </c>
      <c r="EU303">
        <v>465.9</v>
      </c>
      <c r="EV303">
        <v>556</v>
      </c>
      <c r="EW303" t="s">
        <v>547</v>
      </c>
      <c r="EX303">
        <v>45</v>
      </c>
      <c r="EY303">
        <v>2</v>
      </c>
      <c r="EZ303">
        <v>4</v>
      </c>
      <c r="FA303">
        <v>1194</v>
      </c>
      <c r="FB303">
        <v>123.5</v>
      </c>
      <c r="FC303">
        <v>147</v>
      </c>
      <c r="FE303">
        <v>0</v>
      </c>
      <c r="FF303">
        <v>2</v>
      </c>
      <c r="FI303">
        <v>0</v>
      </c>
      <c r="FK303" t="s">
        <v>548</v>
      </c>
      <c r="FL303">
        <v>0.4</v>
      </c>
      <c r="FM303">
        <v>40</v>
      </c>
      <c r="FN303">
        <v>380</v>
      </c>
      <c r="FO303">
        <v>80</v>
      </c>
      <c r="FP303">
        <v>130</v>
      </c>
      <c r="HC303">
        <v>0.1</v>
      </c>
      <c r="HD303">
        <v>3</v>
      </c>
      <c r="HE303">
        <v>3</v>
      </c>
      <c r="HF303">
        <v>3</v>
      </c>
      <c r="HG303">
        <v>3</v>
      </c>
      <c r="HH303">
        <v>3</v>
      </c>
      <c r="HI303">
        <v>150</v>
      </c>
      <c r="HJ303">
        <v>3</v>
      </c>
      <c r="HK303">
        <v>30</v>
      </c>
      <c r="HL303">
        <v>2</v>
      </c>
      <c r="HM303">
        <v>0</v>
      </c>
      <c r="HN303">
        <v>2</v>
      </c>
      <c r="HO303">
        <v>105</v>
      </c>
      <c r="HP303">
        <v>3</v>
      </c>
      <c r="HQ303">
        <v>0</v>
      </c>
      <c r="HR303">
        <v>2</v>
      </c>
      <c r="HS303">
        <v>4334</v>
      </c>
      <c r="HT303">
        <v>130</v>
      </c>
      <c r="HU303">
        <v>180</v>
      </c>
      <c r="HW303">
        <v>20</v>
      </c>
      <c r="HX303">
        <v>516</v>
      </c>
      <c r="HY303">
        <v>0.18</v>
      </c>
      <c r="IA303">
        <v>0.15</v>
      </c>
      <c r="IB303">
        <v>0</v>
      </c>
      <c r="IC303">
        <v>180</v>
      </c>
      <c r="ID303">
        <v>110</v>
      </c>
      <c r="IE303">
        <v>0</v>
      </c>
      <c r="IF303">
        <v>0</v>
      </c>
      <c r="IH303" t="s">
        <v>549</v>
      </c>
      <c r="IO303">
        <v>1</v>
      </c>
      <c r="IP303">
        <v>16</v>
      </c>
      <c r="IQ303">
        <v>0</v>
      </c>
      <c r="IR303">
        <v>0</v>
      </c>
      <c r="IV303">
        <v>1200</v>
      </c>
      <c r="IW303">
        <v>440</v>
      </c>
      <c r="JA303">
        <v>1</v>
      </c>
      <c r="JB303">
        <v>0</v>
      </c>
      <c r="JC303">
        <v>2</v>
      </c>
      <c r="JD303">
        <v>1218</v>
      </c>
      <c r="JE303">
        <v>1211</v>
      </c>
      <c r="JF303">
        <v>0</v>
      </c>
      <c r="JG303">
        <v>1194</v>
      </c>
      <c r="JH303">
        <v>0</v>
      </c>
      <c r="JJ303">
        <v>180</v>
      </c>
      <c r="JK303">
        <v>516</v>
      </c>
      <c r="JN303">
        <v>400</v>
      </c>
      <c r="JO303">
        <v>740</v>
      </c>
      <c r="JP303">
        <v>0</v>
      </c>
      <c r="JQ303">
        <v>0</v>
      </c>
      <c r="JR303">
        <v>446</v>
      </c>
      <c r="JS303">
        <v>150</v>
      </c>
      <c r="JV303">
        <v>8</v>
      </c>
      <c r="JW303" t="s">
        <v>550</v>
      </c>
      <c r="JX303">
        <v>476</v>
      </c>
      <c r="KA303">
        <v>0</v>
      </c>
      <c r="KB303">
        <v>110</v>
      </c>
      <c r="KC303">
        <v>0</v>
      </c>
      <c r="KD303">
        <v>80</v>
      </c>
      <c r="KF303">
        <v>4</v>
      </c>
      <c r="KG303">
        <v>2</v>
      </c>
      <c r="KH303">
        <v>2</v>
      </c>
      <c r="KI303">
        <v>2</v>
      </c>
      <c r="KJ303">
        <v>0</v>
      </c>
      <c r="KK303">
        <v>1.5</v>
      </c>
      <c r="KL303">
        <v>1.5</v>
      </c>
      <c r="KM303">
        <v>0</v>
      </c>
      <c r="KN303">
        <v>0</v>
      </c>
      <c r="KO303">
        <v>0</v>
      </c>
      <c r="KR303">
        <v>30</v>
      </c>
      <c r="KS303">
        <v>60</v>
      </c>
      <c r="KT303">
        <v>0</v>
      </c>
      <c r="LK303">
        <v>480</v>
      </c>
      <c r="LX303">
        <v>380</v>
      </c>
      <c r="PG303">
        <v>1</v>
      </c>
      <c r="PI303" t="s">
        <v>3556</v>
      </c>
      <c r="PJ303" t="s">
        <v>3557</v>
      </c>
      <c r="PL303" t="s">
        <v>615</v>
      </c>
      <c r="PP303" t="s">
        <v>1985</v>
      </c>
      <c r="PS303" t="s">
        <v>693</v>
      </c>
      <c r="PX303">
        <v>56</v>
      </c>
      <c r="PY303">
        <v>57</v>
      </c>
      <c r="PZ303" t="s">
        <v>3556</v>
      </c>
      <c r="QA303">
        <v>1</v>
      </c>
      <c r="QB303">
        <v>1194</v>
      </c>
      <c r="QC303">
        <v>69</v>
      </c>
      <c r="QD303">
        <v>69</v>
      </c>
      <c r="QE303" t="s">
        <v>615</v>
      </c>
      <c r="QF303">
        <v>1</v>
      </c>
      <c r="QG303">
        <v>1218</v>
      </c>
      <c r="QH303">
        <v>66</v>
      </c>
      <c r="QI303">
        <v>66</v>
      </c>
      <c r="QJ303" t="s">
        <v>693</v>
      </c>
      <c r="QK303">
        <v>1</v>
      </c>
      <c r="QL303">
        <v>1218</v>
      </c>
      <c r="QM303">
        <v>62</v>
      </c>
      <c r="QN303">
        <v>62</v>
      </c>
      <c r="QO303" t="s">
        <v>3557</v>
      </c>
      <c r="QP303">
        <v>1</v>
      </c>
      <c r="QQ303">
        <v>1211</v>
      </c>
      <c r="QW303">
        <v>82</v>
      </c>
      <c r="QX303">
        <v>88</v>
      </c>
      <c r="QY303" t="s">
        <v>1985</v>
      </c>
      <c r="QZ303">
        <v>1</v>
      </c>
      <c r="RA303">
        <v>66</v>
      </c>
      <c r="RB303">
        <v>66</v>
      </c>
      <c r="RE303">
        <v>0</v>
      </c>
      <c r="RF303">
        <v>1</v>
      </c>
      <c r="RJ303">
        <v>1</v>
      </c>
      <c r="RK303">
        <v>2</v>
      </c>
      <c r="RL303">
        <v>1</v>
      </c>
      <c r="RO303">
        <v>567</v>
      </c>
      <c r="RP303">
        <v>105</v>
      </c>
      <c r="RQ303">
        <v>1109</v>
      </c>
      <c r="RT303">
        <v>227</v>
      </c>
      <c r="RU303">
        <v>156</v>
      </c>
      <c r="RV303" t="s">
        <v>1920</v>
      </c>
      <c r="RW303" t="s">
        <v>552</v>
      </c>
      <c r="RX303">
        <v>15</v>
      </c>
      <c r="RY303">
        <v>4</v>
      </c>
      <c r="RZ303" t="s">
        <v>552</v>
      </c>
      <c r="SA303">
        <v>15</v>
      </c>
      <c r="SC303" t="s">
        <v>3557</v>
      </c>
      <c r="SD303">
        <v>1</v>
      </c>
      <c r="SH303">
        <v>0.995</v>
      </c>
      <c r="SI303">
        <v>0.995</v>
      </c>
      <c r="SJ303">
        <v>0.995</v>
      </c>
      <c r="SK303">
        <v>15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1</v>
      </c>
      <c r="TB303">
        <v>0</v>
      </c>
      <c r="TC303">
        <v>0</v>
      </c>
      <c r="TD303">
        <v>7.5</v>
      </c>
      <c r="TE303" t="s">
        <v>553</v>
      </c>
      <c r="TF303" t="s">
        <v>624</v>
      </c>
      <c r="TG303" t="s">
        <v>555</v>
      </c>
      <c r="TI303" t="s">
        <v>546</v>
      </c>
      <c r="TJ303" t="s">
        <v>547</v>
      </c>
      <c r="TL303" t="s">
        <v>3491</v>
      </c>
      <c r="TM303" t="s">
        <v>513</v>
      </c>
      <c r="TN303">
        <v>0</v>
      </c>
      <c r="TO303" t="s">
        <v>557</v>
      </c>
    </row>
    <row r="304" spans="1:535">
      <c r="A304" t="s">
        <v>3558</v>
      </c>
      <c r="B304" t="s">
        <v>508</v>
      </c>
      <c r="C304" t="s">
        <v>509</v>
      </c>
      <c r="D304" t="s">
        <v>3559</v>
      </c>
      <c r="G304" t="s">
        <v>561</v>
      </c>
      <c r="I304" t="s">
        <v>562</v>
      </c>
      <c r="J304" t="s">
        <v>563</v>
      </c>
      <c r="L304" t="s">
        <v>512</v>
      </c>
      <c r="N304" t="s">
        <v>513</v>
      </c>
      <c r="O304" t="s">
        <v>1255</v>
      </c>
      <c r="P304" t="s">
        <v>515</v>
      </c>
      <c r="Q304" t="s">
        <v>3560</v>
      </c>
      <c r="R304" t="s">
        <v>517</v>
      </c>
      <c r="S304" t="s">
        <v>1681</v>
      </c>
      <c r="T304" t="s">
        <v>1682</v>
      </c>
      <c r="U304" t="s">
        <v>520</v>
      </c>
      <c r="V304" t="s">
        <v>521</v>
      </c>
      <c r="W304" t="s">
        <v>2477</v>
      </c>
      <c r="X304" t="s">
        <v>2336</v>
      </c>
      <c r="Y304" t="s">
        <v>574</v>
      </c>
      <c r="Z304" t="s">
        <v>3561</v>
      </c>
      <c r="AA304" t="s">
        <v>3562</v>
      </c>
      <c r="AB304" t="s">
        <v>3563</v>
      </c>
      <c r="AC304">
        <v>2</v>
      </c>
      <c r="AD304">
        <v>57</v>
      </c>
      <c r="AE304">
        <v>205</v>
      </c>
      <c r="AF304">
        <v>1.5</v>
      </c>
      <c r="AH304">
        <v>0</v>
      </c>
      <c r="AI304" t="s">
        <v>3564</v>
      </c>
      <c r="AJ304">
        <v>182.5</v>
      </c>
      <c r="AK304">
        <v>1</v>
      </c>
      <c r="AL304">
        <v>1.5</v>
      </c>
      <c r="AM304" t="s">
        <v>579</v>
      </c>
      <c r="AN304" t="s">
        <v>693</v>
      </c>
      <c r="AO304">
        <v>2</v>
      </c>
      <c r="AP304" t="s">
        <v>581</v>
      </c>
      <c r="AQ304" t="s">
        <v>582</v>
      </c>
      <c r="AR304">
        <v>222</v>
      </c>
      <c r="AS304">
        <v>1.5</v>
      </c>
      <c r="AT304" t="s">
        <v>583</v>
      </c>
      <c r="AU304" t="s">
        <v>3565</v>
      </c>
      <c r="AW304" t="s">
        <v>3565</v>
      </c>
      <c r="AX304">
        <v>1</v>
      </c>
      <c r="AY304">
        <v>342.5</v>
      </c>
      <c r="AZ304">
        <v>1.5</v>
      </c>
      <c r="BA304" t="s">
        <v>579</v>
      </c>
      <c r="BG304">
        <v>1.5</v>
      </c>
      <c r="BJ304">
        <v>0</v>
      </c>
      <c r="BN304">
        <v>1.5</v>
      </c>
      <c r="BP304" t="s">
        <v>2482</v>
      </c>
      <c r="BQ304">
        <v>88</v>
      </c>
      <c r="BR304">
        <v>2</v>
      </c>
      <c r="BS304" t="s">
        <v>2483</v>
      </c>
      <c r="BT304">
        <v>201</v>
      </c>
      <c r="BU304">
        <v>0.5</v>
      </c>
      <c r="BV304" t="s">
        <v>2483</v>
      </c>
      <c r="BW304">
        <v>402</v>
      </c>
      <c r="BX304">
        <v>1</v>
      </c>
      <c r="BY304" t="s">
        <v>533</v>
      </c>
      <c r="BZ304">
        <v>470</v>
      </c>
      <c r="CA304">
        <v>530</v>
      </c>
      <c r="CB304" t="s">
        <v>534</v>
      </c>
      <c r="CC304" t="s">
        <v>534</v>
      </c>
      <c r="CD304">
        <v>418</v>
      </c>
      <c r="CE304" t="s">
        <v>535</v>
      </c>
      <c r="CF304">
        <v>15</v>
      </c>
      <c r="CG304" t="s">
        <v>2484</v>
      </c>
      <c r="CH304" t="s">
        <v>2484</v>
      </c>
      <c r="CI304">
        <v>30</v>
      </c>
      <c r="CJ304">
        <v>1200</v>
      </c>
      <c r="CK304">
        <v>2</v>
      </c>
      <c r="CL304">
        <v>1301</v>
      </c>
      <c r="CM304">
        <v>2</v>
      </c>
      <c r="CN304" t="s">
        <v>537</v>
      </c>
      <c r="CO304" t="s">
        <v>538</v>
      </c>
      <c r="CP304" t="s">
        <v>539</v>
      </c>
      <c r="CQ304" t="s">
        <v>1343</v>
      </c>
      <c r="CR304" t="s">
        <v>541</v>
      </c>
      <c r="CS304" t="s">
        <v>542</v>
      </c>
      <c r="CT304">
        <v>365</v>
      </c>
      <c r="CU304">
        <v>5</v>
      </c>
      <c r="CV304">
        <v>1.3</v>
      </c>
      <c r="CW304">
        <v>1218</v>
      </c>
      <c r="CX304">
        <v>683</v>
      </c>
      <c r="CY304" t="s">
        <v>705</v>
      </c>
      <c r="CZ304">
        <v>50</v>
      </c>
      <c r="DA304">
        <v>3</v>
      </c>
      <c r="DB304">
        <v>1</v>
      </c>
      <c r="DC304">
        <v>1218</v>
      </c>
      <c r="DD304">
        <v>64</v>
      </c>
      <c r="DE304" t="s">
        <v>622</v>
      </c>
      <c r="DF304">
        <v>685</v>
      </c>
      <c r="DG304">
        <v>3</v>
      </c>
      <c r="DH304">
        <v>0.88</v>
      </c>
      <c r="DI304">
        <v>1212</v>
      </c>
      <c r="DJ304">
        <v>1002</v>
      </c>
      <c r="DW304" t="s">
        <v>544</v>
      </c>
      <c r="DX304">
        <v>7.5</v>
      </c>
      <c r="EA304">
        <v>1282.5</v>
      </c>
      <c r="EB304">
        <v>167</v>
      </c>
      <c r="EC304" t="s">
        <v>545</v>
      </c>
      <c r="ED304">
        <v>50</v>
      </c>
      <c r="EE304">
        <v>3</v>
      </c>
      <c r="EG304">
        <v>1313</v>
      </c>
      <c r="EH304">
        <v>270</v>
      </c>
      <c r="EJ304">
        <v>0</v>
      </c>
      <c r="EK304">
        <v>1</v>
      </c>
      <c r="EN304">
        <v>0</v>
      </c>
      <c r="EP304" t="s">
        <v>546</v>
      </c>
      <c r="EQ304">
        <v>95</v>
      </c>
      <c r="ER304">
        <v>3</v>
      </c>
      <c r="ES304">
        <v>5</v>
      </c>
      <c r="ET304">
        <v>1194</v>
      </c>
      <c r="EU304">
        <v>375.2</v>
      </c>
      <c r="EV304">
        <v>448</v>
      </c>
      <c r="EW304" t="s">
        <v>547</v>
      </c>
      <c r="EX304">
        <v>45</v>
      </c>
      <c r="EY304">
        <v>2</v>
      </c>
      <c r="EZ304">
        <v>4</v>
      </c>
      <c r="FA304">
        <v>1194</v>
      </c>
      <c r="FB304">
        <v>140.3</v>
      </c>
      <c r="FC304">
        <v>168</v>
      </c>
      <c r="FE304">
        <v>0</v>
      </c>
      <c r="FF304">
        <v>2</v>
      </c>
      <c r="FI304">
        <v>0</v>
      </c>
      <c r="FK304" t="s">
        <v>548</v>
      </c>
      <c r="FL304">
        <v>0.6</v>
      </c>
      <c r="FM304">
        <v>40</v>
      </c>
      <c r="FN304">
        <v>340</v>
      </c>
      <c r="FO304">
        <v>75</v>
      </c>
      <c r="FP304">
        <v>100</v>
      </c>
      <c r="HC304">
        <v>0.1</v>
      </c>
      <c r="HD304">
        <v>3</v>
      </c>
      <c r="HE304">
        <v>3</v>
      </c>
      <c r="HF304">
        <v>3</v>
      </c>
      <c r="HG304">
        <v>3</v>
      </c>
      <c r="HH304">
        <v>3</v>
      </c>
      <c r="HI304">
        <v>125</v>
      </c>
      <c r="HJ304">
        <v>3</v>
      </c>
      <c r="HK304">
        <v>30</v>
      </c>
      <c r="HL304">
        <v>2</v>
      </c>
      <c r="HM304">
        <v>0</v>
      </c>
      <c r="HN304">
        <v>2</v>
      </c>
      <c r="HO304">
        <v>80</v>
      </c>
      <c r="HP304">
        <v>3</v>
      </c>
      <c r="HQ304">
        <v>0</v>
      </c>
      <c r="HR304">
        <v>2</v>
      </c>
      <c r="HS304">
        <v>3919</v>
      </c>
      <c r="HT304">
        <v>120</v>
      </c>
      <c r="HU304">
        <v>180</v>
      </c>
      <c r="HW304">
        <v>20</v>
      </c>
      <c r="HX304">
        <v>480</v>
      </c>
      <c r="HY304">
        <v>0.18</v>
      </c>
      <c r="IA304">
        <v>0.15</v>
      </c>
      <c r="IB304">
        <v>0</v>
      </c>
      <c r="IC304">
        <v>180</v>
      </c>
      <c r="ID304">
        <v>110</v>
      </c>
      <c r="IE304">
        <v>0</v>
      </c>
      <c r="IF304">
        <v>0</v>
      </c>
      <c r="IH304" t="s">
        <v>549</v>
      </c>
      <c r="IO304">
        <v>1</v>
      </c>
      <c r="IP304">
        <v>16</v>
      </c>
      <c r="IQ304">
        <v>0</v>
      </c>
      <c r="IR304">
        <v>0</v>
      </c>
      <c r="IV304">
        <v>1200</v>
      </c>
      <c r="IW304">
        <v>402</v>
      </c>
      <c r="JA304">
        <v>1</v>
      </c>
      <c r="JB304">
        <v>0</v>
      </c>
      <c r="JC304">
        <v>2</v>
      </c>
      <c r="JD304">
        <v>1218</v>
      </c>
      <c r="JE304">
        <v>1212</v>
      </c>
      <c r="JF304">
        <v>0</v>
      </c>
      <c r="JG304">
        <v>1194</v>
      </c>
      <c r="JH304">
        <v>0</v>
      </c>
      <c r="JJ304">
        <v>180</v>
      </c>
      <c r="JK304">
        <v>480</v>
      </c>
      <c r="JN304">
        <v>365</v>
      </c>
      <c r="JO304">
        <v>685</v>
      </c>
      <c r="JP304">
        <v>0</v>
      </c>
      <c r="JQ304">
        <v>0</v>
      </c>
      <c r="JR304">
        <v>410</v>
      </c>
      <c r="JS304">
        <v>125</v>
      </c>
      <c r="JV304">
        <v>8</v>
      </c>
      <c r="JW304" t="s">
        <v>550</v>
      </c>
      <c r="JX304">
        <v>444</v>
      </c>
      <c r="KA304">
        <v>0</v>
      </c>
      <c r="KB304">
        <v>110</v>
      </c>
      <c r="KC304">
        <v>0</v>
      </c>
      <c r="KD304">
        <v>80</v>
      </c>
      <c r="KF304">
        <v>4</v>
      </c>
      <c r="KG304">
        <v>2</v>
      </c>
      <c r="KH304">
        <v>2</v>
      </c>
      <c r="KI304">
        <v>2</v>
      </c>
      <c r="KJ304">
        <v>0</v>
      </c>
      <c r="KK304">
        <v>1.5</v>
      </c>
      <c r="KL304">
        <v>1.5</v>
      </c>
      <c r="KM304">
        <v>0</v>
      </c>
      <c r="KN304">
        <v>0</v>
      </c>
      <c r="KO304">
        <v>0</v>
      </c>
      <c r="KR304">
        <v>25</v>
      </c>
      <c r="KS304">
        <v>45</v>
      </c>
      <c r="KT304">
        <v>0</v>
      </c>
      <c r="LK304">
        <v>480</v>
      </c>
      <c r="PG304">
        <v>1</v>
      </c>
      <c r="PI304" t="s">
        <v>3563</v>
      </c>
      <c r="PJ304" t="s">
        <v>3565</v>
      </c>
      <c r="PL304" t="s">
        <v>3564</v>
      </c>
      <c r="PP304" t="s">
        <v>2482</v>
      </c>
      <c r="PS304" t="s">
        <v>693</v>
      </c>
      <c r="PX304">
        <v>56</v>
      </c>
      <c r="PY304">
        <v>57</v>
      </c>
      <c r="PZ304" t="s">
        <v>3563</v>
      </c>
      <c r="QA304">
        <v>1</v>
      </c>
      <c r="QB304">
        <v>1194</v>
      </c>
      <c r="QC304">
        <v>69</v>
      </c>
      <c r="QD304">
        <v>69</v>
      </c>
      <c r="QE304" t="s">
        <v>3564</v>
      </c>
      <c r="QF304">
        <v>2</v>
      </c>
      <c r="QG304">
        <v>1218</v>
      </c>
      <c r="QH304">
        <v>66</v>
      </c>
      <c r="QI304">
        <v>66</v>
      </c>
      <c r="QJ304" t="s">
        <v>693</v>
      </c>
      <c r="QK304">
        <v>1</v>
      </c>
      <c r="QL304">
        <v>1218</v>
      </c>
      <c r="QM304">
        <v>62</v>
      </c>
      <c r="QN304">
        <v>62</v>
      </c>
      <c r="QO304" t="s">
        <v>3565</v>
      </c>
      <c r="QP304">
        <v>1</v>
      </c>
      <c r="QQ304">
        <v>1212</v>
      </c>
      <c r="QW304">
        <v>82</v>
      </c>
      <c r="QX304">
        <v>88</v>
      </c>
      <c r="QY304" t="s">
        <v>2482</v>
      </c>
      <c r="QZ304">
        <v>1</v>
      </c>
      <c r="RA304">
        <v>66</v>
      </c>
      <c r="RB304">
        <v>66</v>
      </c>
      <c r="RE304">
        <v>0</v>
      </c>
      <c r="RF304">
        <v>1</v>
      </c>
      <c r="RJ304">
        <v>1</v>
      </c>
      <c r="RK304">
        <v>2</v>
      </c>
      <c r="RL304">
        <v>3</v>
      </c>
      <c r="RO304">
        <v>561</v>
      </c>
      <c r="RP304">
        <v>105</v>
      </c>
      <c r="RQ304">
        <v>827</v>
      </c>
      <c r="RT304">
        <v>167</v>
      </c>
      <c r="RU304">
        <v>270</v>
      </c>
      <c r="RV304" t="s">
        <v>2485</v>
      </c>
      <c r="RW304" t="s">
        <v>552</v>
      </c>
      <c r="RX304">
        <v>15</v>
      </c>
      <c r="RY304">
        <v>4</v>
      </c>
      <c r="RZ304" t="s">
        <v>552</v>
      </c>
      <c r="SA304">
        <v>15</v>
      </c>
      <c r="SC304" t="s">
        <v>3565</v>
      </c>
      <c r="SD304">
        <v>1</v>
      </c>
      <c r="SH304">
        <v>0.995</v>
      </c>
      <c r="SI304">
        <v>0.995</v>
      </c>
      <c r="SJ304">
        <v>0.995</v>
      </c>
      <c r="SK304">
        <v>15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1</v>
      </c>
      <c r="TB304">
        <v>1</v>
      </c>
      <c r="TC304">
        <v>0</v>
      </c>
      <c r="TD304">
        <v>7.5</v>
      </c>
      <c r="TE304" t="s">
        <v>553</v>
      </c>
      <c r="TF304" t="s">
        <v>754</v>
      </c>
      <c r="TG304" t="s">
        <v>555</v>
      </c>
      <c r="TI304" t="s">
        <v>546</v>
      </c>
      <c r="TJ304" t="s">
        <v>547</v>
      </c>
      <c r="TL304" t="s">
        <v>3491</v>
      </c>
      <c r="TM304" t="s">
        <v>513</v>
      </c>
      <c r="TN304">
        <v>0</v>
      </c>
      <c r="TO304" t="s">
        <v>557</v>
      </c>
    </row>
    <row r="305" spans="1:535">
      <c r="A305" t="s">
        <v>3566</v>
      </c>
      <c r="B305" t="s">
        <v>508</v>
      </c>
      <c r="C305" t="s">
        <v>509</v>
      </c>
      <c r="D305" t="s">
        <v>3567</v>
      </c>
      <c r="G305" t="s">
        <v>561</v>
      </c>
      <c r="I305" t="s">
        <v>562</v>
      </c>
      <c r="J305" t="s">
        <v>563</v>
      </c>
      <c r="L305" t="s">
        <v>512</v>
      </c>
      <c r="N305" t="s">
        <v>513</v>
      </c>
      <c r="O305" t="s">
        <v>1255</v>
      </c>
      <c r="P305" t="s">
        <v>515</v>
      </c>
      <c r="Q305" t="s">
        <v>3568</v>
      </c>
      <c r="R305" t="s">
        <v>567</v>
      </c>
      <c r="S305" t="s">
        <v>742</v>
      </c>
      <c r="T305" t="s">
        <v>743</v>
      </c>
      <c r="U305" t="s">
        <v>633</v>
      </c>
      <c r="V305" t="s">
        <v>634</v>
      </c>
      <c r="W305" t="s">
        <v>744</v>
      </c>
      <c r="X305" t="s">
        <v>573</v>
      </c>
      <c r="Y305" t="s">
        <v>524</v>
      </c>
      <c r="Z305" t="s">
        <v>745</v>
      </c>
      <c r="AA305" t="s">
        <v>3569</v>
      </c>
      <c r="AB305" t="s">
        <v>3570</v>
      </c>
      <c r="AC305">
        <v>2</v>
      </c>
      <c r="AD305">
        <v>56</v>
      </c>
      <c r="AE305">
        <v>163</v>
      </c>
      <c r="AF305">
        <v>1.5</v>
      </c>
      <c r="AH305">
        <v>0</v>
      </c>
      <c r="AI305" t="s">
        <v>748</v>
      </c>
      <c r="AJ305">
        <v>175</v>
      </c>
      <c r="AK305">
        <v>1</v>
      </c>
      <c r="AL305">
        <v>1.5</v>
      </c>
      <c r="AM305" t="s">
        <v>529</v>
      </c>
      <c r="AO305">
        <v>0</v>
      </c>
      <c r="AR305">
        <v>0</v>
      </c>
      <c r="AS305">
        <v>1.5</v>
      </c>
      <c r="AV305" t="s">
        <v>3571</v>
      </c>
      <c r="AW305" t="s">
        <v>3571</v>
      </c>
      <c r="AX305">
        <v>1</v>
      </c>
      <c r="AY305">
        <v>245</v>
      </c>
      <c r="AZ305">
        <v>1.5</v>
      </c>
      <c r="BA305" t="s">
        <v>529</v>
      </c>
      <c r="BG305">
        <v>1.5</v>
      </c>
      <c r="BJ305">
        <v>0</v>
      </c>
      <c r="BN305">
        <v>1.5</v>
      </c>
      <c r="BP305" t="s">
        <v>750</v>
      </c>
      <c r="BQ305">
        <v>82</v>
      </c>
      <c r="BR305">
        <v>2</v>
      </c>
      <c r="BS305" t="s">
        <v>751</v>
      </c>
      <c r="BT305">
        <v>186</v>
      </c>
      <c r="BU305">
        <v>0.5</v>
      </c>
      <c r="BV305" t="s">
        <v>751</v>
      </c>
      <c r="BW305">
        <v>372</v>
      </c>
      <c r="BX305">
        <v>1</v>
      </c>
      <c r="BY305" t="s">
        <v>643</v>
      </c>
      <c r="BZ305">
        <v>300</v>
      </c>
      <c r="CA305">
        <v>460</v>
      </c>
      <c r="CB305" t="s">
        <v>644</v>
      </c>
      <c r="CC305" t="s">
        <v>644</v>
      </c>
      <c r="CD305">
        <v>396</v>
      </c>
      <c r="CE305" t="s">
        <v>544</v>
      </c>
      <c r="CF305">
        <v>15</v>
      </c>
      <c r="CG305" t="s">
        <v>645</v>
      </c>
      <c r="CH305" t="s">
        <v>645</v>
      </c>
      <c r="CI305">
        <v>80</v>
      </c>
      <c r="CJ305">
        <v>1301</v>
      </c>
      <c r="CK305">
        <v>2</v>
      </c>
      <c r="CL305">
        <v>1395</v>
      </c>
      <c r="CM305">
        <v>2</v>
      </c>
      <c r="CN305" t="s">
        <v>646</v>
      </c>
      <c r="CO305" t="s">
        <v>647</v>
      </c>
      <c r="CP305" t="s">
        <v>648</v>
      </c>
      <c r="CQ305" t="s">
        <v>649</v>
      </c>
      <c r="CR305" t="s">
        <v>650</v>
      </c>
      <c r="CS305" t="s">
        <v>542</v>
      </c>
      <c r="CT305">
        <v>350</v>
      </c>
      <c r="CU305">
        <v>5</v>
      </c>
      <c r="CV305">
        <v>1.2</v>
      </c>
      <c r="CW305">
        <v>1314</v>
      </c>
      <c r="CX305">
        <v>650</v>
      </c>
      <c r="DD305">
        <v>0</v>
      </c>
      <c r="DE305" t="s">
        <v>543</v>
      </c>
      <c r="DF305">
        <v>490</v>
      </c>
      <c r="DG305">
        <v>3</v>
      </c>
      <c r="DH305">
        <v>1.18</v>
      </c>
      <c r="DI305">
        <v>1312</v>
      </c>
      <c r="DJ305">
        <v>1124</v>
      </c>
      <c r="DW305" t="s">
        <v>544</v>
      </c>
      <c r="DX305">
        <v>7.5</v>
      </c>
      <c r="EA305">
        <v>1381.4</v>
      </c>
      <c r="EB305">
        <v>180</v>
      </c>
      <c r="EC305" t="s">
        <v>545</v>
      </c>
      <c r="ED305">
        <v>20</v>
      </c>
      <c r="EE305">
        <v>3</v>
      </c>
      <c r="EG305">
        <v>1412</v>
      </c>
      <c r="EH305">
        <v>137</v>
      </c>
      <c r="EJ305">
        <v>0</v>
      </c>
      <c r="EK305">
        <v>1</v>
      </c>
      <c r="EN305">
        <v>0</v>
      </c>
      <c r="EP305" t="s">
        <v>546</v>
      </c>
      <c r="EQ305">
        <v>70</v>
      </c>
      <c r="ER305">
        <v>3</v>
      </c>
      <c r="ES305">
        <v>4.3</v>
      </c>
      <c r="ET305">
        <v>1291</v>
      </c>
      <c r="EU305">
        <v>241.2</v>
      </c>
      <c r="EV305">
        <v>311</v>
      </c>
      <c r="EW305" t="s">
        <v>547</v>
      </c>
      <c r="EX305">
        <v>70</v>
      </c>
      <c r="EY305">
        <v>2</v>
      </c>
      <c r="EZ305">
        <v>4.3</v>
      </c>
      <c r="FA305">
        <v>1291</v>
      </c>
      <c r="FB305">
        <v>199.1</v>
      </c>
      <c r="FC305">
        <v>257</v>
      </c>
      <c r="FE305">
        <v>0</v>
      </c>
      <c r="FF305">
        <v>2</v>
      </c>
      <c r="FI305">
        <v>0</v>
      </c>
      <c r="FK305" t="s">
        <v>548</v>
      </c>
      <c r="FL305">
        <v>0.4</v>
      </c>
      <c r="FM305">
        <v>75</v>
      </c>
      <c r="FN305">
        <v>150</v>
      </c>
      <c r="FR305" t="s">
        <v>548</v>
      </c>
      <c r="FS305">
        <v>0.4</v>
      </c>
      <c r="FT305">
        <v>30</v>
      </c>
      <c r="FU305">
        <v>340</v>
      </c>
      <c r="FV305">
        <v>65</v>
      </c>
      <c r="FW305">
        <v>160</v>
      </c>
      <c r="FY305" t="s">
        <v>651</v>
      </c>
      <c r="FZ305">
        <v>1</v>
      </c>
      <c r="GA305">
        <v>20</v>
      </c>
      <c r="GB305">
        <v>176</v>
      </c>
      <c r="GG305" t="s">
        <v>651</v>
      </c>
      <c r="GH305">
        <v>1</v>
      </c>
      <c r="GI305">
        <v>20</v>
      </c>
      <c r="GJ305">
        <v>176</v>
      </c>
      <c r="HC305">
        <v>0.1</v>
      </c>
      <c r="HD305">
        <v>3</v>
      </c>
      <c r="HE305">
        <v>3</v>
      </c>
      <c r="HF305">
        <v>3</v>
      </c>
      <c r="HG305">
        <v>3</v>
      </c>
      <c r="HH305">
        <v>3</v>
      </c>
      <c r="HI305">
        <v>125</v>
      </c>
      <c r="HJ305">
        <v>3</v>
      </c>
      <c r="HK305">
        <v>55</v>
      </c>
      <c r="HL305">
        <v>2</v>
      </c>
      <c r="HM305">
        <v>0</v>
      </c>
      <c r="HN305">
        <v>2</v>
      </c>
      <c r="HO305">
        <v>55</v>
      </c>
      <c r="HP305">
        <v>3</v>
      </c>
      <c r="HQ305">
        <v>0</v>
      </c>
      <c r="HR305">
        <v>2</v>
      </c>
      <c r="HS305">
        <v>3544</v>
      </c>
      <c r="HT305">
        <v>110</v>
      </c>
      <c r="HU305">
        <v>180</v>
      </c>
      <c r="HW305">
        <v>0</v>
      </c>
      <c r="HX305">
        <v>390</v>
      </c>
      <c r="HY305">
        <v>0.18</v>
      </c>
      <c r="IA305">
        <v>0.15</v>
      </c>
      <c r="IB305">
        <v>0</v>
      </c>
      <c r="IC305">
        <v>180</v>
      </c>
      <c r="ID305">
        <v>110</v>
      </c>
      <c r="IE305">
        <v>0</v>
      </c>
      <c r="IF305">
        <v>0</v>
      </c>
      <c r="IH305" t="s">
        <v>549</v>
      </c>
      <c r="IO305">
        <v>1</v>
      </c>
      <c r="IP305">
        <v>17</v>
      </c>
      <c r="IQ305">
        <v>0</v>
      </c>
      <c r="IR305">
        <v>1</v>
      </c>
      <c r="IV305">
        <v>1301</v>
      </c>
      <c r="IW305">
        <v>372</v>
      </c>
      <c r="JA305">
        <v>1</v>
      </c>
      <c r="JB305">
        <v>0</v>
      </c>
      <c r="JC305">
        <v>2</v>
      </c>
      <c r="JD305">
        <v>1314</v>
      </c>
      <c r="JE305">
        <v>1312</v>
      </c>
      <c r="JF305">
        <v>0</v>
      </c>
      <c r="JG305">
        <v>1291</v>
      </c>
      <c r="JH305">
        <v>0</v>
      </c>
      <c r="JJ305">
        <v>180</v>
      </c>
      <c r="JK305">
        <v>390</v>
      </c>
      <c r="JN305">
        <v>350</v>
      </c>
      <c r="JO305">
        <v>490</v>
      </c>
      <c r="JP305">
        <v>0</v>
      </c>
      <c r="JQ305">
        <v>0</v>
      </c>
      <c r="JR305">
        <v>326</v>
      </c>
      <c r="JS305">
        <v>125</v>
      </c>
      <c r="JV305">
        <v>8</v>
      </c>
      <c r="JW305" t="s">
        <v>550</v>
      </c>
      <c r="JX305">
        <v>0</v>
      </c>
      <c r="KA305">
        <v>0</v>
      </c>
      <c r="KB305">
        <v>110</v>
      </c>
      <c r="KC305">
        <v>0</v>
      </c>
      <c r="KD305">
        <v>80</v>
      </c>
      <c r="KF305">
        <v>4</v>
      </c>
      <c r="KG305">
        <v>2</v>
      </c>
      <c r="KH305">
        <v>2</v>
      </c>
      <c r="KI305">
        <v>2</v>
      </c>
      <c r="KJ305">
        <v>0</v>
      </c>
      <c r="KK305">
        <v>1.5</v>
      </c>
      <c r="KL305">
        <v>1.5</v>
      </c>
      <c r="KM305">
        <v>0</v>
      </c>
      <c r="KN305">
        <v>0</v>
      </c>
      <c r="KO305">
        <v>0</v>
      </c>
      <c r="KR305">
        <v>25</v>
      </c>
      <c r="KS305">
        <v>60</v>
      </c>
      <c r="KT305">
        <v>0</v>
      </c>
      <c r="LK305">
        <v>480</v>
      </c>
      <c r="PG305">
        <v>1</v>
      </c>
      <c r="PI305" t="s">
        <v>3570</v>
      </c>
      <c r="PJ305" t="s">
        <v>3571</v>
      </c>
      <c r="PL305" t="s">
        <v>748</v>
      </c>
      <c r="PP305" t="s">
        <v>750</v>
      </c>
      <c r="PX305">
        <v>56</v>
      </c>
      <c r="PY305">
        <v>56</v>
      </c>
      <c r="PZ305" t="s">
        <v>3570</v>
      </c>
      <c r="QA305">
        <v>1</v>
      </c>
      <c r="QB305">
        <v>1291</v>
      </c>
      <c r="QC305">
        <v>69</v>
      </c>
      <c r="QD305">
        <v>69</v>
      </c>
      <c r="QE305" t="s">
        <v>748</v>
      </c>
      <c r="QF305">
        <v>1</v>
      </c>
      <c r="QG305">
        <v>1314</v>
      </c>
      <c r="QH305">
        <v>66</v>
      </c>
      <c r="QI305">
        <v>66</v>
      </c>
      <c r="QL305">
        <v>0</v>
      </c>
      <c r="QM305">
        <v>63</v>
      </c>
      <c r="QN305">
        <v>63</v>
      </c>
      <c r="QO305" t="s">
        <v>3571</v>
      </c>
      <c r="QP305">
        <v>1</v>
      </c>
      <c r="QQ305">
        <v>1312</v>
      </c>
      <c r="QW305">
        <v>82</v>
      </c>
      <c r="QX305">
        <v>82</v>
      </c>
      <c r="QY305" t="s">
        <v>750</v>
      </c>
      <c r="QZ305">
        <v>1</v>
      </c>
      <c r="RA305">
        <v>66</v>
      </c>
      <c r="RB305">
        <v>66</v>
      </c>
      <c r="RE305">
        <v>0</v>
      </c>
      <c r="RG305">
        <v>1</v>
      </c>
      <c r="RJ305">
        <v>2</v>
      </c>
      <c r="RL305">
        <v>2</v>
      </c>
      <c r="RO305">
        <v>495</v>
      </c>
      <c r="RQ305">
        <v>857</v>
      </c>
      <c r="RT305">
        <v>180</v>
      </c>
      <c r="RU305">
        <v>137</v>
      </c>
      <c r="RV305" t="s">
        <v>752</v>
      </c>
      <c r="RW305" t="s">
        <v>653</v>
      </c>
      <c r="RX305">
        <v>15</v>
      </c>
      <c r="RY305">
        <v>4</v>
      </c>
      <c r="RZ305" t="s">
        <v>653</v>
      </c>
      <c r="SA305">
        <v>15</v>
      </c>
      <c r="SB305" t="s">
        <v>3572</v>
      </c>
      <c r="SC305" t="s">
        <v>3572</v>
      </c>
      <c r="SD305">
        <v>1</v>
      </c>
      <c r="SH305">
        <v>0.995</v>
      </c>
      <c r="SI305">
        <v>0.995</v>
      </c>
      <c r="SJ305">
        <v>0.995</v>
      </c>
      <c r="SK305">
        <v>15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TB305">
        <v>1</v>
      </c>
      <c r="TC305">
        <v>0</v>
      </c>
      <c r="TD305">
        <v>7.5</v>
      </c>
      <c r="TE305" t="s">
        <v>553</v>
      </c>
      <c r="TF305" t="s">
        <v>754</v>
      </c>
      <c r="TG305" t="s">
        <v>555</v>
      </c>
      <c r="TI305" t="s">
        <v>546</v>
      </c>
      <c r="TJ305" t="s">
        <v>547</v>
      </c>
      <c r="TL305" t="s">
        <v>3491</v>
      </c>
      <c r="TM305" t="s">
        <v>513</v>
      </c>
      <c r="TN305">
        <v>0</v>
      </c>
      <c r="TO305" t="s">
        <v>557</v>
      </c>
    </row>
    <row r="306" spans="1:535">
      <c r="A306" t="s">
        <v>3573</v>
      </c>
      <c r="B306" t="s">
        <v>508</v>
      </c>
      <c r="C306" t="s">
        <v>509</v>
      </c>
      <c r="D306" t="s">
        <v>3567</v>
      </c>
      <c r="G306" t="s">
        <v>561</v>
      </c>
      <c r="I306" t="s">
        <v>562</v>
      </c>
      <c r="J306" t="s">
        <v>563</v>
      </c>
      <c r="L306" t="s">
        <v>512</v>
      </c>
      <c r="N306" t="s">
        <v>513</v>
      </c>
      <c r="O306" t="s">
        <v>1255</v>
      </c>
      <c r="P306" t="s">
        <v>515</v>
      </c>
      <c r="Q306" t="s">
        <v>3574</v>
      </c>
      <c r="R306" t="s">
        <v>567</v>
      </c>
      <c r="S306" t="s">
        <v>1015</v>
      </c>
      <c r="T306" t="s">
        <v>1016</v>
      </c>
      <c r="U306" t="s">
        <v>633</v>
      </c>
      <c r="V306" t="s">
        <v>634</v>
      </c>
      <c r="W306" t="s">
        <v>1017</v>
      </c>
      <c r="X306" t="s">
        <v>573</v>
      </c>
      <c r="Y306" t="s">
        <v>524</v>
      </c>
      <c r="Z306" t="s">
        <v>1018</v>
      </c>
      <c r="AA306" t="s">
        <v>3575</v>
      </c>
      <c r="AB306" t="s">
        <v>3576</v>
      </c>
      <c r="AC306">
        <v>2</v>
      </c>
      <c r="AD306">
        <v>56</v>
      </c>
      <c r="AE306">
        <v>162</v>
      </c>
      <c r="AF306">
        <v>1.5</v>
      </c>
      <c r="AH306">
        <v>0</v>
      </c>
      <c r="AI306" t="s">
        <v>1021</v>
      </c>
      <c r="AJ306">
        <v>172.5</v>
      </c>
      <c r="AK306">
        <v>1</v>
      </c>
      <c r="AL306">
        <v>1.5</v>
      </c>
      <c r="AM306" t="s">
        <v>529</v>
      </c>
      <c r="AO306">
        <v>0</v>
      </c>
      <c r="AR306">
        <v>0</v>
      </c>
      <c r="AS306">
        <v>1.5</v>
      </c>
      <c r="AV306" t="s">
        <v>1022</v>
      </c>
      <c r="AW306" t="s">
        <v>1022</v>
      </c>
      <c r="AX306">
        <v>1</v>
      </c>
      <c r="AY306">
        <v>240</v>
      </c>
      <c r="AZ306">
        <v>1.5</v>
      </c>
      <c r="BA306" t="s">
        <v>529</v>
      </c>
      <c r="BG306">
        <v>1.5</v>
      </c>
      <c r="BJ306">
        <v>0</v>
      </c>
      <c r="BN306">
        <v>1.5</v>
      </c>
      <c r="BP306" t="s">
        <v>3577</v>
      </c>
      <c r="BQ306">
        <v>82</v>
      </c>
      <c r="BR306">
        <v>2</v>
      </c>
      <c r="BS306" t="s">
        <v>751</v>
      </c>
      <c r="BT306">
        <v>185</v>
      </c>
      <c r="BU306">
        <v>0.5</v>
      </c>
      <c r="BV306" t="s">
        <v>751</v>
      </c>
      <c r="BW306">
        <v>370</v>
      </c>
      <c r="BX306">
        <v>1</v>
      </c>
      <c r="BY306" t="s">
        <v>643</v>
      </c>
      <c r="BZ306">
        <v>300</v>
      </c>
      <c r="CA306">
        <v>440</v>
      </c>
      <c r="CB306" t="s">
        <v>644</v>
      </c>
      <c r="CC306" t="s">
        <v>644</v>
      </c>
      <c r="CD306">
        <v>384</v>
      </c>
      <c r="CE306" t="s">
        <v>544</v>
      </c>
      <c r="CF306">
        <v>15</v>
      </c>
      <c r="CG306" t="s">
        <v>1024</v>
      </c>
      <c r="CH306" t="s">
        <v>1024</v>
      </c>
      <c r="CI306">
        <v>70</v>
      </c>
      <c r="CJ306">
        <v>1301</v>
      </c>
      <c r="CK306">
        <v>2</v>
      </c>
      <c r="CL306">
        <v>1395</v>
      </c>
      <c r="CM306">
        <v>2</v>
      </c>
      <c r="CN306" t="s">
        <v>646</v>
      </c>
      <c r="CO306" t="s">
        <v>647</v>
      </c>
      <c r="CP306" t="s">
        <v>648</v>
      </c>
      <c r="CQ306" t="s">
        <v>649</v>
      </c>
      <c r="CR306" t="s">
        <v>650</v>
      </c>
      <c r="CS306" t="s">
        <v>542</v>
      </c>
      <c r="CT306">
        <v>345</v>
      </c>
      <c r="CU306">
        <v>5</v>
      </c>
      <c r="CV306">
        <v>1.2</v>
      </c>
      <c r="CW306">
        <v>1314</v>
      </c>
      <c r="CX306">
        <v>641</v>
      </c>
      <c r="DD306">
        <v>0</v>
      </c>
      <c r="DE306" t="s">
        <v>543</v>
      </c>
      <c r="DF306">
        <v>480</v>
      </c>
      <c r="DG306">
        <v>3</v>
      </c>
      <c r="DH306">
        <v>1.18</v>
      </c>
      <c r="DI306">
        <v>1312</v>
      </c>
      <c r="DJ306">
        <v>1186</v>
      </c>
      <c r="DW306" t="s">
        <v>544</v>
      </c>
      <c r="DX306">
        <v>7.5</v>
      </c>
      <c r="EA306">
        <v>1381.4</v>
      </c>
      <c r="EB306">
        <v>180</v>
      </c>
      <c r="EC306" t="s">
        <v>545</v>
      </c>
      <c r="ED306">
        <v>25</v>
      </c>
      <c r="EE306">
        <v>3</v>
      </c>
      <c r="EG306">
        <v>1412</v>
      </c>
      <c r="EH306">
        <v>154</v>
      </c>
      <c r="EJ306">
        <v>0</v>
      </c>
      <c r="EK306">
        <v>1</v>
      </c>
      <c r="EN306">
        <v>0</v>
      </c>
      <c r="EP306" t="s">
        <v>546</v>
      </c>
      <c r="EQ306">
        <v>70</v>
      </c>
      <c r="ER306">
        <v>3</v>
      </c>
      <c r="ES306">
        <v>4.5</v>
      </c>
      <c r="ET306">
        <v>1292</v>
      </c>
      <c r="EU306">
        <v>273.3</v>
      </c>
      <c r="EV306">
        <v>353</v>
      </c>
      <c r="EW306" t="s">
        <v>547</v>
      </c>
      <c r="EX306">
        <v>70</v>
      </c>
      <c r="EY306">
        <v>2</v>
      </c>
      <c r="EZ306">
        <v>4.5</v>
      </c>
      <c r="FA306">
        <v>1292</v>
      </c>
      <c r="FB306">
        <v>214.2</v>
      </c>
      <c r="FC306">
        <v>277</v>
      </c>
      <c r="FE306">
        <v>0</v>
      </c>
      <c r="FF306">
        <v>2</v>
      </c>
      <c r="FI306">
        <v>0</v>
      </c>
      <c r="FK306" t="s">
        <v>548</v>
      </c>
      <c r="FL306">
        <v>0.4</v>
      </c>
      <c r="FM306">
        <v>90</v>
      </c>
      <c r="FN306">
        <v>120</v>
      </c>
      <c r="FR306" t="s">
        <v>548</v>
      </c>
      <c r="FS306">
        <v>0.6</v>
      </c>
      <c r="FT306">
        <v>30</v>
      </c>
      <c r="FU306">
        <v>330</v>
      </c>
      <c r="FV306">
        <v>70</v>
      </c>
      <c r="FW306">
        <v>140</v>
      </c>
      <c r="FY306" t="s">
        <v>651</v>
      </c>
      <c r="FZ306">
        <v>1</v>
      </c>
      <c r="GA306">
        <v>20</v>
      </c>
      <c r="GB306">
        <v>161</v>
      </c>
      <c r="GG306" t="s">
        <v>651</v>
      </c>
      <c r="GH306">
        <v>1</v>
      </c>
      <c r="GI306">
        <v>20</v>
      </c>
      <c r="GJ306">
        <v>161</v>
      </c>
      <c r="HC306">
        <v>0.1</v>
      </c>
      <c r="HD306">
        <v>3</v>
      </c>
      <c r="HE306">
        <v>3</v>
      </c>
      <c r="HF306">
        <v>3</v>
      </c>
      <c r="HG306">
        <v>3</v>
      </c>
      <c r="HH306">
        <v>3</v>
      </c>
      <c r="HI306">
        <v>125</v>
      </c>
      <c r="HJ306">
        <v>3</v>
      </c>
      <c r="HK306">
        <v>55</v>
      </c>
      <c r="HL306">
        <v>2</v>
      </c>
      <c r="HM306">
        <v>0</v>
      </c>
      <c r="HN306">
        <v>2</v>
      </c>
      <c r="HO306">
        <v>55</v>
      </c>
      <c r="HP306">
        <v>3</v>
      </c>
      <c r="HQ306">
        <v>0</v>
      </c>
      <c r="HR306">
        <v>2</v>
      </c>
      <c r="HS306">
        <v>3755</v>
      </c>
      <c r="HT306">
        <v>110</v>
      </c>
      <c r="HU306">
        <v>180</v>
      </c>
      <c r="HW306">
        <v>0</v>
      </c>
      <c r="HX306">
        <v>410</v>
      </c>
      <c r="HY306">
        <v>0.18</v>
      </c>
      <c r="IA306">
        <v>0.15</v>
      </c>
      <c r="IB306">
        <v>0</v>
      </c>
      <c r="IC306">
        <v>180</v>
      </c>
      <c r="ID306">
        <v>110</v>
      </c>
      <c r="IE306">
        <v>0</v>
      </c>
      <c r="IF306">
        <v>0</v>
      </c>
      <c r="IH306" t="s">
        <v>549</v>
      </c>
      <c r="IO306">
        <v>1</v>
      </c>
      <c r="IP306">
        <v>17</v>
      </c>
      <c r="IQ306">
        <v>0</v>
      </c>
      <c r="IR306">
        <v>1</v>
      </c>
      <c r="IV306">
        <v>1301</v>
      </c>
      <c r="IW306">
        <v>370</v>
      </c>
      <c r="JA306">
        <v>1</v>
      </c>
      <c r="JB306">
        <v>0</v>
      </c>
      <c r="JC306">
        <v>2</v>
      </c>
      <c r="JD306">
        <v>1314</v>
      </c>
      <c r="JE306">
        <v>1312</v>
      </c>
      <c r="JF306">
        <v>0</v>
      </c>
      <c r="JG306">
        <v>1292</v>
      </c>
      <c r="JH306">
        <v>0</v>
      </c>
      <c r="JJ306">
        <v>180</v>
      </c>
      <c r="JK306">
        <v>410</v>
      </c>
      <c r="JN306">
        <v>345</v>
      </c>
      <c r="JO306">
        <v>480</v>
      </c>
      <c r="JP306">
        <v>0</v>
      </c>
      <c r="JQ306">
        <v>0</v>
      </c>
      <c r="JR306">
        <v>324</v>
      </c>
      <c r="JS306">
        <v>125</v>
      </c>
      <c r="JV306">
        <v>8</v>
      </c>
      <c r="JW306" t="s">
        <v>550</v>
      </c>
      <c r="JX306">
        <v>0</v>
      </c>
      <c r="KA306">
        <v>0</v>
      </c>
      <c r="KB306">
        <v>110</v>
      </c>
      <c r="KC306">
        <v>0</v>
      </c>
      <c r="KD306">
        <v>80</v>
      </c>
      <c r="KF306">
        <v>4</v>
      </c>
      <c r="KG306">
        <v>2</v>
      </c>
      <c r="KH306">
        <v>2</v>
      </c>
      <c r="KI306">
        <v>2</v>
      </c>
      <c r="KJ306">
        <v>0</v>
      </c>
      <c r="KK306">
        <v>1.5</v>
      </c>
      <c r="KL306">
        <v>1.5</v>
      </c>
      <c r="KM306">
        <v>0</v>
      </c>
      <c r="KN306">
        <v>0</v>
      </c>
      <c r="KO306">
        <v>0</v>
      </c>
      <c r="KR306">
        <v>50</v>
      </c>
      <c r="KS306">
        <v>60</v>
      </c>
      <c r="KT306">
        <v>0</v>
      </c>
      <c r="LK306">
        <v>480</v>
      </c>
      <c r="PG306">
        <v>1</v>
      </c>
      <c r="PI306" t="s">
        <v>3576</v>
      </c>
      <c r="PJ306" t="s">
        <v>1022</v>
      </c>
      <c r="PL306" t="s">
        <v>1021</v>
      </c>
      <c r="PP306" t="s">
        <v>3577</v>
      </c>
      <c r="PX306">
        <v>56</v>
      </c>
      <c r="PY306">
        <v>56</v>
      </c>
      <c r="PZ306" t="s">
        <v>3576</v>
      </c>
      <c r="QA306">
        <v>1</v>
      </c>
      <c r="QB306">
        <v>1292</v>
      </c>
      <c r="QC306">
        <v>69</v>
      </c>
      <c r="QD306">
        <v>69</v>
      </c>
      <c r="QE306" t="s">
        <v>1021</v>
      </c>
      <c r="QF306">
        <v>1</v>
      </c>
      <c r="QG306">
        <v>1314</v>
      </c>
      <c r="QH306">
        <v>66</v>
      </c>
      <c r="QI306">
        <v>66</v>
      </c>
      <c r="QL306">
        <v>0</v>
      </c>
      <c r="QM306">
        <v>63</v>
      </c>
      <c r="QN306">
        <v>63</v>
      </c>
      <c r="QO306" t="s">
        <v>1022</v>
      </c>
      <c r="QP306">
        <v>1</v>
      </c>
      <c r="QQ306">
        <v>1312</v>
      </c>
      <c r="QW306">
        <v>82</v>
      </c>
      <c r="QX306">
        <v>82</v>
      </c>
      <c r="QY306" t="s">
        <v>3577</v>
      </c>
      <c r="QZ306">
        <v>1</v>
      </c>
      <c r="RA306">
        <v>66</v>
      </c>
      <c r="RB306">
        <v>66</v>
      </c>
      <c r="RE306">
        <v>0</v>
      </c>
      <c r="RG306">
        <v>1</v>
      </c>
      <c r="RJ306">
        <v>2</v>
      </c>
      <c r="RL306">
        <v>2</v>
      </c>
      <c r="RO306">
        <v>488</v>
      </c>
      <c r="RQ306">
        <v>904</v>
      </c>
      <c r="RT306">
        <v>180</v>
      </c>
      <c r="RU306">
        <v>154</v>
      </c>
      <c r="RV306" t="s">
        <v>752</v>
      </c>
      <c r="RW306" t="s">
        <v>653</v>
      </c>
      <c r="RX306">
        <v>15</v>
      </c>
      <c r="RY306">
        <v>4</v>
      </c>
      <c r="RZ306" t="s">
        <v>653</v>
      </c>
      <c r="SA306">
        <v>15</v>
      </c>
      <c r="SB306" t="s">
        <v>1025</v>
      </c>
      <c r="SC306" t="s">
        <v>1025</v>
      </c>
      <c r="SD306">
        <v>1</v>
      </c>
      <c r="SH306">
        <v>0.995</v>
      </c>
      <c r="SI306">
        <v>0.995</v>
      </c>
      <c r="SJ306">
        <v>0.995</v>
      </c>
      <c r="SK306">
        <v>15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TB306">
        <v>0</v>
      </c>
      <c r="TC306">
        <v>0</v>
      </c>
      <c r="TD306">
        <v>7.5</v>
      </c>
      <c r="TE306" t="s">
        <v>553</v>
      </c>
      <c r="TF306" t="s">
        <v>754</v>
      </c>
      <c r="TG306" t="s">
        <v>555</v>
      </c>
      <c r="TI306" t="s">
        <v>546</v>
      </c>
      <c r="TJ306" t="s">
        <v>547</v>
      </c>
      <c r="TL306" t="s">
        <v>3491</v>
      </c>
      <c r="TM306" t="s">
        <v>513</v>
      </c>
      <c r="TN306">
        <v>0</v>
      </c>
      <c r="TO306" t="s">
        <v>557</v>
      </c>
    </row>
    <row r="307" spans="1:535">
      <c r="A307" t="s">
        <v>3578</v>
      </c>
      <c r="B307" t="s">
        <v>508</v>
      </c>
      <c r="C307" t="s">
        <v>509</v>
      </c>
      <c r="D307" t="s">
        <v>3579</v>
      </c>
      <c r="G307" t="s">
        <v>3580</v>
      </c>
      <c r="I307" t="s">
        <v>562</v>
      </c>
      <c r="L307" t="s">
        <v>512</v>
      </c>
      <c r="N307" t="s">
        <v>513</v>
      </c>
      <c r="O307" t="s">
        <v>1255</v>
      </c>
      <c r="P307" t="s">
        <v>515</v>
      </c>
      <c r="Q307" t="s">
        <v>3581</v>
      </c>
      <c r="R307" t="s">
        <v>517</v>
      </c>
      <c r="S307" t="s">
        <v>518</v>
      </c>
      <c r="T307" t="s">
        <v>519</v>
      </c>
      <c r="U307" t="s">
        <v>520</v>
      </c>
      <c r="V307" t="s">
        <v>521</v>
      </c>
      <c r="W307" t="s">
        <v>3098</v>
      </c>
      <c r="X307" t="s">
        <v>3582</v>
      </c>
      <c r="Y307" t="s">
        <v>524</v>
      </c>
      <c r="AA307" t="s">
        <v>3583</v>
      </c>
      <c r="AB307" t="s">
        <v>3584</v>
      </c>
      <c r="AC307">
        <v>2</v>
      </c>
      <c r="AD307">
        <v>57</v>
      </c>
      <c r="AE307">
        <v>153</v>
      </c>
      <c r="AF307">
        <v>1.5</v>
      </c>
      <c r="AH307">
        <v>0</v>
      </c>
      <c r="AI307" t="s">
        <v>3585</v>
      </c>
      <c r="AJ307">
        <v>165</v>
      </c>
      <c r="AK307">
        <v>1</v>
      </c>
      <c r="AL307">
        <v>1.5</v>
      </c>
      <c r="AM307" t="s">
        <v>529</v>
      </c>
      <c r="AO307">
        <v>0</v>
      </c>
      <c r="AR307">
        <v>0</v>
      </c>
      <c r="AS307">
        <v>1.5</v>
      </c>
      <c r="AU307" t="s">
        <v>3102</v>
      </c>
      <c r="AW307" t="s">
        <v>3102</v>
      </c>
      <c r="AX307">
        <v>1</v>
      </c>
      <c r="AY307">
        <v>242.5</v>
      </c>
      <c r="AZ307">
        <v>1.5</v>
      </c>
      <c r="BA307" t="s">
        <v>529</v>
      </c>
      <c r="BG307">
        <v>1.5</v>
      </c>
      <c r="BJ307">
        <v>0</v>
      </c>
      <c r="BN307">
        <v>1.5</v>
      </c>
      <c r="BP307" t="s">
        <v>3103</v>
      </c>
      <c r="BQ307">
        <v>89</v>
      </c>
      <c r="BR307">
        <v>2</v>
      </c>
      <c r="BS307" t="s">
        <v>1898</v>
      </c>
      <c r="BT307">
        <v>176</v>
      </c>
      <c r="BU307">
        <v>0.5</v>
      </c>
      <c r="BV307" t="s">
        <v>1898</v>
      </c>
      <c r="BW307">
        <v>352</v>
      </c>
      <c r="BX307">
        <v>1</v>
      </c>
      <c r="BY307" t="s">
        <v>533</v>
      </c>
      <c r="BZ307">
        <v>300</v>
      </c>
      <c r="CA307">
        <v>420</v>
      </c>
      <c r="CB307" t="s">
        <v>534</v>
      </c>
      <c r="CC307" t="s">
        <v>644</v>
      </c>
      <c r="CD307">
        <v>366</v>
      </c>
      <c r="CE307" t="s">
        <v>1470</v>
      </c>
      <c r="CF307">
        <v>15</v>
      </c>
      <c r="CG307" t="s">
        <v>3586</v>
      </c>
      <c r="CH307" t="s">
        <v>3586</v>
      </c>
      <c r="CI307">
        <v>60</v>
      </c>
      <c r="CJ307">
        <v>1200</v>
      </c>
      <c r="CK307">
        <v>2</v>
      </c>
      <c r="CL307">
        <v>1301</v>
      </c>
      <c r="CM307">
        <v>2</v>
      </c>
      <c r="CN307" t="s">
        <v>537</v>
      </c>
      <c r="CO307" t="s">
        <v>538</v>
      </c>
      <c r="CP307" t="s">
        <v>539</v>
      </c>
      <c r="CQ307" t="s">
        <v>540</v>
      </c>
      <c r="CR307" t="s">
        <v>541</v>
      </c>
      <c r="CS307" t="s">
        <v>542</v>
      </c>
      <c r="CT307">
        <v>330</v>
      </c>
      <c r="CU307">
        <v>5</v>
      </c>
      <c r="CV307">
        <v>1.3</v>
      </c>
      <c r="CW307">
        <v>1218</v>
      </c>
      <c r="CX307">
        <v>618</v>
      </c>
      <c r="DD307">
        <v>0</v>
      </c>
      <c r="DE307" t="s">
        <v>543</v>
      </c>
      <c r="DF307">
        <v>485</v>
      </c>
      <c r="DG307">
        <v>3</v>
      </c>
      <c r="DH307">
        <v>1.18</v>
      </c>
      <c r="DI307">
        <v>1210</v>
      </c>
      <c r="DJ307">
        <v>944</v>
      </c>
      <c r="DW307" t="s">
        <v>544</v>
      </c>
      <c r="DX307">
        <v>7.5</v>
      </c>
      <c r="EA307">
        <v>1123</v>
      </c>
      <c r="EB307">
        <v>146</v>
      </c>
      <c r="EC307" t="s">
        <v>545</v>
      </c>
      <c r="ED307">
        <v>25</v>
      </c>
      <c r="EE307">
        <v>3</v>
      </c>
      <c r="EG307">
        <v>1154</v>
      </c>
      <c r="EH307">
        <v>110</v>
      </c>
      <c r="EJ307">
        <v>0</v>
      </c>
      <c r="EK307">
        <v>1</v>
      </c>
      <c r="EN307">
        <v>0</v>
      </c>
      <c r="EP307" t="s">
        <v>546</v>
      </c>
      <c r="EQ307">
        <v>100</v>
      </c>
      <c r="ER307">
        <v>3</v>
      </c>
      <c r="ES307">
        <v>5</v>
      </c>
      <c r="ET307">
        <v>1194</v>
      </c>
      <c r="EU307">
        <v>383.6</v>
      </c>
      <c r="EV307">
        <v>458</v>
      </c>
      <c r="EW307" t="s">
        <v>547</v>
      </c>
      <c r="EX307">
        <v>70</v>
      </c>
      <c r="EY307">
        <v>2</v>
      </c>
      <c r="EZ307">
        <v>4</v>
      </c>
      <c r="FA307">
        <v>1194</v>
      </c>
      <c r="FB307">
        <v>199.8</v>
      </c>
      <c r="FC307">
        <v>239</v>
      </c>
      <c r="FE307">
        <v>0</v>
      </c>
      <c r="FF307">
        <v>2</v>
      </c>
      <c r="FI307">
        <v>0</v>
      </c>
      <c r="FK307" t="s">
        <v>548</v>
      </c>
      <c r="FL307">
        <v>0.4</v>
      </c>
      <c r="FM307">
        <v>80</v>
      </c>
      <c r="FN307">
        <v>90</v>
      </c>
      <c r="FR307" t="s">
        <v>548</v>
      </c>
      <c r="FS307">
        <v>0.4</v>
      </c>
      <c r="FT307">
        <v>30</v>
      </c>
      <c r="FU307">
        <v>320</v>
      </c>
      <c r="FV307">
        <v>30</v>
      </c>
      <c r="FW307">
        <v>210</v>
      </c>
      <c r="HC307">
        <v>0.1</v>
      </c>
      <c r="HD307">
        <v>3</v>
      </c>
      <c r="HE307">
        <v>3</v>
      </c>
      <c r="HF307">
        <v>3</v>
      </c>
      <c r="HG307">
        <v>3</v>
      </c>
      <c r="HH307">
        <v>3</v>
      </c>
      <c r="HI307">
        <v>155</v>
      </c>
      <c r="HJ307">
        <v>3</v>
      </c>
      <c r="HK307">
        <v>55</v>
      </c>
      <c r="HL307">
        <v>2</v>
      </c>
      <c r="HM307">
        <v>0</v>
      </c>
      <c r="HN307">
        <v>2</v>
      </c>
      <c r="HO307">
        <v>85</v>
      </c>
      <c r="HP307">
        <v>3</v>
      </c>
      <c r="HQ307">
        <v>0</v>
      </c>
      <c r="HR307">
        <v>2</v>
      </c>
      <c r="HS307">
        <v>3468</v>
      </c>
      <c r="HT307">
        <v>100</v>
      </c>
      <c r="HU307">
        <v>170</v>
      </c>
      <c r="HW307">
        <v>0</v>
      </c>
      <c r="HX307">
        <v>366</v>
      </c>
      <c r="HY307">
        <v>0.18</v>
      </c>
      <c r="IA307">
        <v>0.15</v>
      </c>
      <c r="IB307">
        <v>0</v>
      </c>
      <c r="IC307">
        <v>180</v>
      </c>
      <c r="ID307">
        <v>110</v>
      </c>
      <c r="IE307">
        <v>225</v>
      </c>
      <c r="IF307">
        <v>0</v>
      </c>
      <c r="IH307" t="s">
        <v>549</v>
      </c>
      <c r="IO307">
        <v>1</v>
      </c>
      <c r="IP307">
        <v>16</v>
      </c>
      <c r="IQ307">
        <v>1</v>
      </c>
      <c r="IR307">
        <v>1</v>
      </c>
      <c r="IS307">
        <v>0</v>
      </c>
      <c r="IT307">
        <v>0</v>
      </c>
      <c r="IU307">
        <v>0</v>
      </c>
      <c r="IV307">
        <v>1200</v>
      </c>
      <c r="IW307">
        <v>352</v>
      </c>
      <c r="IX307">
        <v>0</v>
      </c>
      <c r="IY307">
        <v>0</v>
      </c>
      <c r="IZ307">
        <v>0</v>
      </c>
      <c r="JA307">
        <v>1</v>
      </c>
      <c r="JB307">
        <v>0</v>
      </c>
      <c r="JC307">
        <v>2</v>
      </c>
      <c r="JD307">
        <v>1218</v>
      </c>
      <c r="JE307">
        <v>1210</v>
      </c>
      <c r="JF307">
        <v>0</v>
      </c>
      <c r="JG307">
        <v>1194</v>
      </c>
      <c r="JH307">
        <v>0</v>
      </c>
      <c r="JI307">
        <v>0</v>
      </c>
      <c r="JJ307">
        <v>170</v>
      </c>
      <c r="JK307">
        <v>366</v>
      </c>
      <c r="JL307">
        <v>0</v>
      </c>
      <c r="JM307">
        <v>0</v>
      </c>
      <c r="JN307">
        <v>330</v>
      </c>
      <c r="JO307">
        <v>485</v>
      </c>
      <c r="JP307">
        <v>0</v>
      </c>
      <c r="JQ307">
        <v>0</v>
      </c>
      <c r="JR307">
        <v>306</v>
      </c>
      <c r="JS307">
        <v>155</v>
      </c>
      <c r="JT307">
        <v>0</v>
      </c>
      <c r="JU307">
        <v>0</v>
      </c>
      <c r="JV307">
        <v>8</v>
      </c>
      <c r="JW307">
        <v>0</v>
      </c>
      <c r="JX307">
        <v>0</v>
      </c>
      <c r="JY307">
        <v>0</v>
      </c>
      <c r="JZ307">
        <v>0</v>
      </c>
      <c r="KA307">
        <v>225</v>
      </c>
      <c r="KB307">
        <v>110</v>
      </c>
      <c r="KC307">
        <v>0</v>
      </c>
      <c r="KD307">
        <v>80</v>
      </c>
      <c r="KE307">
        <v>0</v>
      </c>
      <c r="KF307">
        <v>4</v>
      </c>
      <c r="KG307">
        <v>2</v>
      </c>
      <c r="KH307">
        <v>2</v>
      </c>
      <c r="KI307">
        <v>2</v>
      </c>
      <c r="KJ307">
        <v>0</v>
      </c>
      <c r="KK307">
        <v>1.5</v>
      </c>
      <c r="KL307">
        <v>1.5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30</v>
      </c>
      <c r="KS307">
        <v>60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480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1</v>
      </c>
      <c r="PI307" t="s">
        <v>3584</v>
      </c>
      <c r="PJ307" t="s">
        <v>3102</v>
      </c>
      <c r="PL307" t="s">
        <v>1464</v>
      </c>
      <c r="PP307" t="s">
        <v>3103</v>
      </c>
      <c r="PX307">
        <v>56</v>
      </c>
      <c r="PY307">
        <v>57</v>
      </c>
      <c r="PZ307" t="s">
        <v>3584</v>
      </c>
      <c r="QA307">
        <v>1</v>
      </c>
      <c r="QB307">
        <v>1194</v>
      </c>
      <c r="QC307">
        <v>69</v>
      </c>
      <c r="QD307">
        <v>69</v>
      </c>
      <c r="QE307" t="s">
        <v>3585</v>
      </c>
      <c r="QF307">
        <v>1</v>
      </c>
      <c r="QG307">
        <v>1218</v>
      </c>
      <c r="QH307">
        <v>66</v>
      </c>
      <c r="QI307">
        <v>66</v>
      </c>
      <c r="QL307">
        <v>0</v>
      </c>
      <c r="QM307">
        <v>62</v>
      </c>
      <c r="QN307">
        <v>62</v>
      </c>
      <c r="QO307" t="s">
        <v>3102</v>
      </c>
      <c r="QP307">
        <v>1</v>
      </c>
      <c r="QQ307">
        <v>1210</v>
      </c>
      <c r="QW307">
        <v>82</v>
      </c>
      <c r="QX307">
        <v>89</v>
      </c>
      <c r="QY307" t="s">
        <v>3103</v>
      </c>
      <c r="QZ307">
        <v>1</v>
      </c>
      <c r="RA307">
        <v>66</v>
      </c>
      <c r="RB307">
        <v>66</v>
      </c>
      <c r="RE307">
        <v>0</v>
      </c>
      <c r="RF307">
        <v>1</v>
      </c>
      <c r="RJ307">
        <v>1</v>
      </c>
      <c r="RL307">
        <v>1</v>
      </c>
      <c r="RO307">
        <v>507</v>
      </c>
      <c r="RQ307">
        <v>780</v>
      </c>
      <c r="RT307">
        <v>146</v>
      </c>
      <c r="RU307">
        <v>110</v>
      </c>
      <c r="RV307" t="s">
        <v>1901</v>
      </c>
      <c r="RW307" t="s">
        <v>552</v>
      </c>
      <c r="RX307">
        <v>15</v>
      </c>
      <c r="RY307">
        <v>4</v>
      </c>
      <c r="RZ307" t="s">
        <v>552</v>
      </c>
      <c r="SA307">
        <v>15</v>
      </c>
      <c r="SC307" t="s">
        <v>3102</v>
      </c>
      <c r="SD307">
        <v>1</v>
      </c>
      <c r="SH307">
        <v>0.995</v>
      </c>
      <c r="SI307">
        <v>0.995</v>
      </c>
      <c r="SJ307">
        <v>0.995</v>
      </c>
      <c r="SK307">
        <v>15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TB307">
        <v>0</v>
      </c>
      <c r="TC307">
        <v>0</v>
      </c>
      <c r="TD307">
        <v>7.5</v>
      </c>
      <c r="TE307" t="s">
        <v>553</v>
      </c>
      <c r="TF307" t="s">
        <v>754</v>
      </c>
      <c r="TG307" t="s">
        <v>555</v>
      </c>
      <c r="TI307" t="s">
        <v>546</v>
      </c>
      <c r="TJ307" t="s">
        <v>547</v>
      </c>
      <c r="TL307" t="s">
        <v>3491</v>
      </c>
      <c r="TM307" t="s">
        <v>513</v>
      </c>
      <c r="TN307">
        <v>0</v>
      </c>
      <c r="TO307" t="s">
        <v>557</v>
      </c>
    </row>
    <row r="308" spans="1:535">
      <c r="A308" t="s">
        <v>3587</v>
      </c>
      <c r="B308" t="s">
        <v>508</v>
      </c>
      <c r="C308" t="s">
        <v>509</v>
      </c>
      <c r="D308" t="s">
        <v>3579</v>
      </c>
      <c r="G308" t="s">
        <v>3580</v>
      </c>
      <c r="I308" t="s">
        <v>562</v>
      </c>
      <c r="L308" t="s">
        <v>512</v>
      </c>
      <c r="N308" t="s">
        <v>513</v>
      </c>
      <c r="O308" t="s">
        <v>1255</v>
      </c>
      <c r="P308" t="s">
        <v>515</v>
      </c>
      <c r="Q308" t="s">
        <v>3588</v>
      </c>
      <c r="R308" t="s">
        <v>517</v>
      </c>
      <c r="S308" t="s">
        <v>518</v>
      </c>
      <c r="T308" t="s">
        <v>519</v>
      </c>
      <c r="U308" t="s">
        <v>520</v>
      </c>
      <c r="V308" t="s">
        <v>521</v>
      </c>
      <c r="W308" t="s">
        <v>3098</v>
      </c>
      <c r="X308" t="s">
        <v>3582</v>
      </c>
      <c r="Y308" t="s">
        <v>524</v>
      </c>
      <c r="AA308" t="s">
        <v>3589</v>
      </c>
      <c r="AB308" t="s">
        <v>3584</v>
      </c>
      <c r="AC308">
        <v>2</v>
      </c>
      <c r="AD308">
        <v>57</v>
      </c>
      <c r="AE308">
        <v>153</v>
      </c>
      <c r="AF308">
        <v>1.5</v>
      </c>
      <c r="AH308">
        <v>0</v>
      </c>
      <c r="AI308" t="s">
        <v>3585</v>
      </c>
      <c r="AJ308">
        <v>165</v>
      </c>
      <c r="AK308">
        <v>1</v>
      </c>
      <c r="AL308">
        <v>1.5</v>
      </c>
      <c r="AM308" t="s">
        <v>529</v>
      </c>
      <c r="AO308">
        <v>0</v>
      </c>
      <c r="AR308">
        <v>0</v>
      </c>
      <c r="AS308">
        <v>1.5</v>
      </c>
      <c r="AU308" t="s">
        <v>3102</v>
      </c>
      <c r="AW308" t="s">
        <v>3102</v>
      </c>
      <c r="AX308">
        <v>1</v>
      </c>
      <c r="AY308">
        <v>242.5</v>
      </c>
      <c r="AZ308">
        <v>1.5</v>
      </c>
      <c r="BA308" t="s">
        <v>529</v>
      </c>
      <c r="BG308">
        <v>1.5</v>
      </c>
      <c r="BJ308">
        <v>0</v>
      </c>
      <c r="BN308">
        <v>1.5</v>
      </c>
      <c r="BP308" t="s">
        <v>3103</v>
      </c>
      <c r="BQ308">
        <v>89</v>
      </c>
      <c r="BR308">
        <v>2</v>
      </c>
      <c r="BS308" t="s">
        <v>1898</v>
      </c>
      <c r="BT308">
        <v>176</v>
      </c>
      <c r="BU308">
        <v>0.5</v>
      </c>
      <c r="BV308" t="s">
        <v>1898</v>
      </c>
      <c r="BW308">
        <v>352</v>
      </c>
      <c r="BX308">
        <v>1</v>
      </c>
      <c r="BY308" t="s">
        <v>533</v>
      </c>
      <c r="BZ308">
        <v>300</v>
      </c>
      <c r="CA308">
        <v>420</v>
      </c>
      <c r="CB308" t="s">
        <v>534</v>
      </c>
      <c r="CC308" t="s">
        <v>644</v>
      </c>
      <c r="CD308">
        <v>366</v>
      </c>
      <c r="CE308" t="s">
        <v>1470</v>
      </c>
      <c r="CF308">
        <v>15</v>
      </c>
      <c r="CG308" t="s">
        <v>3586</v>
      </c>
      <c r="CH308" t="s">
        <v>3586</v>
      </c>
      <c r="CI308">
        <v>60</v>
      </c>
      <c r="CJ308">
        <v>1200</v>
      </c>
      <c r="CK308">
        <v>2</v>
      </c>
      <c r="CL308">
        <v>1301</v>
      </c>
      <c r="CM308">
        <v>2</v>
      </c>
      <c r="CN308" t="s">
        <v>537</v>
      </c>
      <c r="CO308" t="s">
        <v>538</v>
      </c>
      <c r="CP308" t="s">
        <v>539</v>
      </c>
      <c r="CQ308" t="s">
        <v>540</v>
      </c>
      <c r="CR308" t="s">
        <v>541</v>
      </c>
      <c r="CS308" t="s">
        <v>542</v>
      </c>
      <c r="CT308">
        <v>330</v>
      </c>
      <c r="CU308">
        <v>5</v>
      </c>
      <c r="CV308">
        <v>1.3</v>
      </c>
      <c r="CW308">
        <v>1218</v>
      </c>
      <c r="CX308">
        <v>618</v>
      </c>
      <c r="DD308">
        <v>0</v>
      </c>
      <c r="DE308" t="s">
        <v>543</v>
      </c>
      <c r="DF308">
        <v>485</v>
      </c>
      <c r="DG308">
        <v>3</v>
      </c>
      <c r="DH308">
        <v>1.18</v>
      </c>
      <c r="DI308">
        <v>1210</v>
      </c>
      <c r="DJ308">
        <v>944</v>
      </c>
      <c r="DW308" t="s">
        <v>544</v>
      </c>
      <c r="DX308">
        <v>7.5</v>
      </c>
      <c r="EA308">
        <v>1123</v>
      </c>
      <c r="EB308">
        <v>146</v>
      </c>
      <c r="EC308" t="s">
        <v>545</v>
      </c>
      <c r="ED308">
        <v>25</v>
      </c>
      <c r="EE308">
        <v>3</v>
      </c>
      <c r="EG308">
        <v>1154</v>
      </c>
      <c r="EH308">
        <v>110</v>
      </c>
      <c r="EJ308">
        <v>0</v>
      </c>
      <c r="EK308">
        <v>1</v>
      </c>
      <c r="EN308">
        <v>0</v>
      </c>
      <c r="EP308" t="s">
        <v>546</v>
      </c>
      <c r="EQ308">
        <v>100</v>
      </c>
      <c r="ER308">
        <v>3</v>
      </c>
      <c r="ES308">
        <v>5</v>
      </c>
      <c r="ET308">
        <v>1194</v>
      </c>
      <c r="EU308">
        <v>383.6</v>
      </c>
      <c r="EV308">
        <v>458</v>
      </c>
      <c r="EW308" t="s">
        <v>547</v>
      </c>
      <c r="EX308">
        <v>70</v>
      </c>
      <c r="EY308">
        <v>2</v>
      </c>
      <c r="EZ308">
        <v>4</v>
      </c>
      <c r="FA308">
        <v>1194</v>
      </c>
      <c r="FB308">
        <v>199.8</v>
      </c>
      <c r="FC308">
        <v>239</v>
      </c>
      <c r="FE308">
        <v>0</v>
      </c>
      <c r="FF308">
        <v>2</v>
      </c>
      <c r="FI308">
        <v>0</v>
      </c>
      <c r="FK308" t="s">
        <v>548</v>
      </c>
      <c r="FL308">
        <v>0.4</v>
      </c>
      <c r="FM308">
        <v>80</v>
      </c>
      <c r="FN308">
        <v>90</v>
      </c>
      <c r="FR308" t="s">
        <v>548</v>
      </c>
      <c r="FS308">
        <v>0.4</v>
      </c>
      <c r="FT308">
        <v>30</v>
      </c>
      <c r="FU308">
        <v>320</v>
      </c>
      <c r="FV308">
        <v>30</v>
      </c>
      <c r="FW308">
        <v>210</v>
      </c>
      <c r="HC308">
        <v>0.1</v>
      </c>
      <c r="HD308">
        <v>3</v>
      </c>
      <c r="HE308">
        <v>3</v>
      </c>
      <c r="HF308">
        <v>3</v>
      </c>
      <c r="HG308">
        <v>3</v>
      </c>
      <c r="HH308">
        <v>3</v>
      </c>
      <c r="HI308">
        <v>155</v>
      </c>
      <c r="HJ308">
        <v>3</v>
      </c>
      <c r="HK308">
        <v>55</v>
      </c>
      <c r="HL308">
        <v>2</v>
      </c>
      <c r="HM308">
        <v>0</v>
      </c>
      <c r="HN308">
        <v>2</v>
      </c>
      <c r="HO308">
        <v>85</v>
      </c>
      <c r="HP308">
        <v>3</v>
      </c>
      <c r="HQ308">
        <v>0</v>
      </c>
      <c r="HR308">
        <v>2</v>
      </c>
      <c r="HS308">
        <v>3468</v>
      </c>
      <c r="HT308">
        <v>100</v>
      </c>
      <c r="HU308">
        <v>170</v>
      </c>
      <c r="HW308">
        <v>0</v>
      </c>
      <c r="HX308">
        <v>366</v>
      </c>
      <c r="HY308">
        <v>0.18</v>
      </c>
      <c r="IA308">
        <v>0.15</v>
      </c>
      <c r="IB308">
        <v>0</v>
      </c>
      <c r="IC308">
        <v>180</v>
      </c>
      <c r="ID308">
        <v>110</v>
      </c>
      <c r="IE308">
        <v>225</v>
      </c>
      <c r="IF308">
        <v>0</v>
      </c>
      <c r="IH308" t="s">
        <v>549</v>
      </c>
      <c r="IO308">
        <v>1</v>
      </c>
      <c r="IP308">
        <v>16</v>
      </c>
      <c r="IQ308">
        <v>1</v>
      </c>
      <c r="IR308">
        <v>1</v>
      </c>
      <c r="IV308">
        <v>1200</v>
      </c>
      <c r="IW308">
        <v>352</v>
      </c>
      <c r="JA308">
        <v>1</v>
      </c>
      <c r="JB308">
        <v>0</v>
      </c>
      <c r="JC308">
        <v>2</v>
      </c>
      <c r="JD308">
        <v>1218</v>
      </c>
      <c r="JE308">
        <v>1210</v>
      </c>
      <c r="JF308">
        <v>0</v>
      </c>
      <c r="JG308">
        <v>1194</v>
      </c>
      <c r="JH308">
        <v>0</v>
      </c>
      <c r="JJ308">
        <v>170</v>
      </c>
      <c r="JK308">
        <v>366</v>
      </c>
      <c r="JN308">
        <v>330</v>
      </c>
      <c r="JO308">
        <v>485</v>
      </c>
      <c r="JP308">
        <v>0</v>
      </c>
      <c r="JQ308">
        <v>0</v>
      </c>
      <c r="JR308">
        <v>306</v>
      </c>
      <c r="JS308">
        <v>155</v>
      </c>
      <c r="JV308">
        <v>8</v>
      </c>
      <c r="JW308" t="s">
        <v>550</v>
      </c>
      <c r="JX308">
        <v>0</v>
      </c>
      <c r="KA308">
        <v>225</v>
      </c>
      <c r="KB308">
        <v>110</v>
      </c>
      <c r="KC308">
        <v>0</v>
      </c>
      <c r="KD308">
        <v>80</v>
      </c>
      <c r="KF308">
        <v>4</v>
      </c>
      <c r="KG308">
        <v>2</v>
      </c>
      <c r="KH308">
        <v>2</v>
      </c>
      <c r="KI308">
        <v>2</v>
      </c>
      <c r="KJ308">
        <v>0</v>
      </c>
      <c r="KK308">
        <v>1.5</v>
      </c>
      <c r="KL308">
        <v>1.5</v>
      </c>
      <c r="KM308">
        <v>0</v>
      </c>
      <c r="KN308">
        <v>0</v>
      </c>
      <c r="KO308">
        <v>0</v>
      </c>
      <c r="KR308">
        <v>30</v>
      </c>
      <c r="KS308">
        <v>60</v>
      </c>
      <c r="KT308">
        <v>0</v>
      </c>
      <c r="LK308">
        <v>480</v>
      </c>
      <c r="PG308">
        <v>1</v>
      </c>
      <c r="PI308" t="s">
        <v>3584</v>
      </c>
      <c r="PJ308" t="s">
        <v>3102</v>
      </c>
      <c r="PL308" t="s">
        <v>3585</v>
      </c>
      <c r="PP308" t="s">
        <v>3103</v>
      </c>
      <c r="PX308">
        <v>56</v>
      </c>
      <c r="PY308">
        <v>57</v>
      </c>
      <c r="PZ308" t="s">
        <v>3584</v>
      </c>
      <c r="QA308">
        <v>1</v>
      </c>
      <c r="QB308">
        <v>1194</v>
      </c>
      <c r="QC308">
        <v>69</v>
      </c>
      <c r="QD308">
        <v>69</v>
      </c>
      <c r="QE308" t="s">
        <v>3585</v>
      </c>
      <c r="QF308">
        <v>1</v>
      </c>
      <c r="QG308">
        <v>1218</v>
      </c>
      <c r="QH308">
        <v>66</v>
      </c>
      <c r="QI308">
        <v>66</v>
      </c>
      <c r="QL308">
        <v>0</v>
      </c>
      <c r="QM308">
        <v>62</v>
      </c>
      <c r="QN308">
        <v>62</v>
      </c>
      <c r="QO308" t="s">
        <v>3102</v>
      </c>
      <c r="QP308">
        <v>1</v>
      </c>
      <c r="QQ308">
        <v>1210</v>
      </c>
      <c r="QW308">
        <v>82</v>
      </c>
      <c r="QX308">
        <v>89</v>
      </c>
      <c r="QY308" t="s">
        <v>3103</v>
      </c>
      <c r="QZ308">
        <v>1</v>
      </c>
      <c r="RA308">
        <v>66</v>
      </c>
      <c r="RB308">
        <v>66</v>
      </c>
      <c r="RE308">
        <v>0</v>
      </c>
      <c r="RF308">
        <v>1</v>
      </c>
      <c r="RJ308">
        <v>1</v>
      </c>
      <c r="RL308">
        <v>1</v>
      </c>
      <c r="RO308">
        <v>507</v>
      </c>
      <c r="RQ308">
        <v>780</v>
      </c>
      <c r="RT308">
        <v>146</v>
      </c>
      <c r="RU308">
        <v>110</v>
      </c>
      <c r="RV308" t="s">
        <v>1901</v>
      </c>
      <c r="RW308" t="s">
        <v>552</v>
      </c>
      <c r="RX308">
        <v>15</v>
      </c>
      <c r="RY308">
        <v>4</v>
      </c>
      <c r="RZ308" t="s">
        <v>552</v>
      </c>
      <c r="SA308">
        <v>15</v>
      </c>
      <c r="SC308" t="s">
        <v>3102</v>
      </c>
      <c r="SD308">
        <v>1</v>
      </c>
      <c r="SH308">
        <v>0.995</v>
      </c>
      <c r="SI308">
        <v>0.995</v>
      </c>
      <c r="SJ308">
        <v>0.995</v>
      </c>
      <c r="SK308">
        <v>15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TB308">
        <v>0</v>
      </c>
      <c r="TC308">
        <v>0</v>
      </c>
      <c r="TD308">
        <v>7.5</v>
      </c>
      <c r="TE308" t="s">
        <v>553</v>
      </c>
      <c r="TF308" t="s">
        <v>754</v>
      </c>
      <c r="TG308" t="s">
        <v>555</v>
      </c>
      <c r="TI308" t="s">
        <v>546</v>
      </c>
      <c r="TJ308" t="s">
        <v>547</v>
      </c>
      <c r="TL308" t="s">
        <v>3491</v>
      </c>
      <c r="TM308" t="s">
        <v>513</v>
      </c>
      <c r="TN308">
        <v>0</v>
      </c>
      <c r="TO308" t="s">
        <v>557</v>
      </c>
    </row>
    <row r="309" spans="1:535">
      <c r="A309" t="s">
        <v>3590</v>
      </c>
      <c r="B309" t="s">
        <v>508</v>
      </c>
      <c r="C309" t="s">
        <v>509</v>
      </c>
      <c r="D309" t="s">
        <v>3579</v>
      </c>
      <c r="G309" t="s">
        <v>3580</v>
      </c>
      <c r="I309" t="s">
        <v>562</v>
      </c>
      <c r="L309" t="s">
        <v>512</v>
      </c>
      <c r="N309" t="s">
        <v>513</v>
      </c>
      <c r="O309" t="s">
        <v>1255</v>
      </c>
      <c r="P309" t="s">
        <v>515</v>
      </c>
      <c r="Q309" t="s">
        <v>3591</v>
      </c>
      <c r="R309" t="s">
        <v>517</v>
      </c>
      <c r="S309" t="s">
        <v>518</v>
      </c>
      <c r="T309" t="s">
        <v>519</v>
      </c>
      <c r="U309" t="s">
        <v>520</v>
      </c>
      <c r="V309" t="s">
        <v>521</v>
      </c>
      <c r="W309" t="s">
        <v>3098</v>
      </c>
      <c r="X309" t="s">
        <v>3582</v>
      </c>
      <c r="Y309" t="s">
        <v>524</v>
      </c>
      <c r="AA309" t="s">
        <v>3592</v>
      </c>
      <c r="AB309" t="s">
        <v>3584</v>
      </c>
      <c r="AC309">
        <v>2</v>
      </c>
      <c r="AD309">
        <v>57</v>
      </c>
      <c r="AE309">
        <v>153</v>
      </c>
      <c r="AF309">
        <v>1.5</v>
      </c>
      <c r="AH309">
        <v>0</v>
      </c>
      <c r="AI309" t="s">
        <v>3585</v>
      </c>
      <c r="AJ309">
        <v>165</v>
      </c>
      <c r="AK309">
        <v>1</v>
      </c>
      <c r="AL309">
        <v>1.5</v>
      </c>
      <c r="AM309" t="s">
        <v>529</v>
      </c>
      <c r="AO309">
        <v>0</v>
      </c>
      <c r="AR309">
        <v>0</v>
      </c>
      <c r="AS309">
        <v>1.5</v>
      </c>
      <c r="AU309" t="s">
        <v>3102</v>
      </c>
      <c r="AW309" t="s">
        <v>3102</v>
      </c>
      <c r="AX309">
        <v>1</v>
      </c>
      <c r="AY309">
        <v>242.5</v>
      </c>
      <c r="AZ309">
        <v>1.5</v>
      </c>
      <c r="BA309" t="s">
        <v>529</v>
      </c>
      <c r="BG309">
        <v>1.5</v>
      </c>
      <c r="BJ309">
        <v>0</v>
      </c>
      <c r="BN309">
        <v>1.5</v>
      </c>
      <c r="BP309" t="s">
        <v>3103</v>
      </c>
      <c r="BQ309">
        <v>89</v>
      </c>
      <c r="BR309">
        <v>2</v>
      </c>
      <c r="BS309" t="s">
        <v>1898</v>
      </c>
      <c r="BT309">
        <v>176</v>
      </c>
      <c r="BU309">
        <v>0.5</v>
      </c>
      <c r="BV309" t="s">
        <v>1898</v>
      </c>
      <c r="BW309">
        <v>352</v>
      </c>
      <c r="BX309">
        <v>1</v>
      </c>
      <c r="BY309" t="s">
        <v>533</v>
      </c>
      <c r="BZ309">
        <v>300</v>
      </c>
      <c r="CA309">
        <v>420</v>
      </c>
      <c r="CB309" t="s">
        <v>534</v>
      </c>
      <c r="CC309" t="s">
        <v>644</v>
      </c>
      <c r="CD309">
        <v>366</v>
      </c>
      <c r="CE309" t="s">
        <v>1470</v>
      </c>
      <c r="CF309">
        <v>15</v>
      </c>
      <c r="CG309" t="s">
        <v>3586</v>
      </c>
      <c r="CH309" t="s">
        <v>3586</v>
      </c>
      <c r="CI309">
        <v>60</v>
      </c>
      <c r="CJ309">
        <v>1200</v>
      </c>
      <c r="CK309">
        <v>2</v>
      </c>
      <c r="CL309">
        <v>1301</v>
      </c>
      <c r="CM309">
        <v>2</v>
      </c>
      <c r="CN309" t="s">
        <v>537</v>
      </c>
      <c r="CO309" t="s">
        <v>538</v>
      </c>
      <c r="CP309" t="s">
        <v>539</v>
      </c>
      <c r="CQ309" t="s">
        <v>540</v>
      </c>
      <c r="CR309" t="s">
        <v>541</v>
      </c>
      <c r="CS309" t="s">
        <v>542</v>
      </c>
      <c r="CT309">
        <v>330</v>
      </c>
      <c r="CU309">
        <v>5</v>
      </c>
      <c r="CV309">
        <v>1.3</v>
      </c>
      <c r="CW309">
        <v>1218</v>
      </c>
      <c r="CX309">
        <v>618</v>
      </c>
      <c r="DD309">
        <v>0</v>
      </c>
      <c r="DE309" t="s">
        <v>543</v>
      </c>
      <c r="DF309">
        <v>485</v>
      </c>
      <c r="DG309">
        <v>3</v>
      </c>
      <c r="DH309">
        <v>1.18</v>
      </c>
      <c r="DI309">
        <v>1210</v>
      </c>
      <c r="DJ309">
        <v>944</v>
      </c>
      <c r="DW309" t="s">
        <v>544</v>
      </c>
      <c r="DX309">
        <v>7.5</v>
      </c>
      <c r="EA309">
        <v>1123</v>
      </c>
      <c r="EB309">
        <v>146</v>
      </c>
      <c r="EC309" t="s">
        <v>545</v>
      </c>
      <c r="ED309">
        <v>25</v>
      </c>
      <c r="EE309">
        <v>3</v>
      </c>
      <c r="EG309">
        <v>1154</v>
      </c>
      <c r="EH309">
        <v>110</v>
      </c>
      <c r="EJ309">
        <v>0</v>
      </c>
      <c r="EK309">
        <v>1</v>
      </c>
      <c r="EN309">
        <v>0</v>
      </c>
      <c r="EP309" t="s">
        <v>546</v>
      </c>
      <c r="EQ309">
        <v>100</v>
      </c>
      <c r="ER309">
        <v>3</v>
      </c>
      <c r="ES309">
        <v>5</v>
      </c>
      <c r="ET309">
        <v>1194</v>
      </c>
      <c r="EU309">
        <v>383.6</v>
      </c>
      <c r="EV309">
        <v>458</v>
      </c>
      <c r="EW309" t="s">
        <v>547</v>
      </c>
      <c r="EX309">
        <v>70</v>
      </c>
      <c r="EY309">
        <v>2</v>
      </c>
      <c r="EZ309">
        <v>4</v>
      </c>
      <c r="FA309">
        <v>1194</v>
      </c>
      <c r="FB309">
        <v>199.8</v>
      </c>
      <c r="FC309">
        <v>239</v>
      </c>
      <c r="FE309">
        <v>0</v>
      </c>
      <c r="FF309">
        <v>2</v>
      </c>
      <c r="FI309">
        <v>0</v>
      </c>
      <c r="FK309" t="s">
        <v>548</v>
      </c>
      <c r="FL309">
        <v>0.4</v>
      </c>
      <c r="FM309">
        <v>80</v>
      </c>
      <c r="FN309">
        <v>90</v>
      </c>
      <c r="FR309" t="s">
        <v>548</v>
      </c>
      <c r="FS309">
        <v>0.4</v>
      </c>
      <c r="FT309">
        <v>30</v>
      </c>
      <c r="FU309">
        <v>320</v>
      </c>
      <c r="FV309">
        <v>30</v>
      </c>
      <c r="FW309">
        <v>210</v>
      </c>
      <c r="HC309">
        <v>0.1</v>
      </c>
      <c r="HD309">
        <v>3</v>
      </c>
      <c r="HE309">
        <v>3</v>
      </c>
      <c r="HF309">
        <v>3</v>
      </c>
      <c r="HG309">
        <v>3</v>
      </c>
      <c r="HH309">
        <v>3</v>
      </c>
      <c r="HI309">
        <v>155</v>
      </c>
      <c r="HJ309">
        <v>3</v>
      </c>
      <c r="HK309">
        <v>55</v>
      </c>
      <c r="HL309">
        <v>2</v>
      </c>
      <c r="HM309">
        <v>0</v>
      </c>
      <c r="HN309">
        <v>2</v>
      </c>
      <c r="HO309">
        <v>85</v>
      </c>
      <c r="HP309">
        <v>3</v>
      </c>
      <c r="HQ309">
        <v>0</v>
      </c>
      <c r="HR309">
        <v>2</v>
      </c>
      <c r="HS309">
        <v>3468</v>
      </c>
      <c r="HT309">
        <v>100</v>
      </c>
      <c r="HU309">
        <v>170</v>
      </c>
      <c r="HW309">
        <v>0</v>
      </c>
      <c r="HX309">
        <v>366</v>
      </c>
      <c r="HY309">
        <v>0.18</v>
      </c>
      <c r="IA309">
        <v>0.15</v>
      </c>
      <c r="IB309">
        <v>0</v>
      </c>
      <c r="IC309">
        <v>180</v>
      </c>
      <c r="ID309">
        <v>110</v>
      </c>
      <c r="IE309">
        <v>225</v>
      </c>
      <c r="IF309">
        <v>0</v>
      </c>
      <c r="IH309" t="s">
        <v>549</v>
      </c>
      <c r="IO309">
        <v>1</v>
      </c>
      <c r="IP309">
        <v>16</v>
      </c>
      <c r="IQ309">
        <v>1</v>
      </c>
      <c r="IR309">
        <v>1</v>
      </c>
      <c r="IV309">
        <v>1200</v>
      </c>
      <c r="IW309">
        <v>352</v>
      </c>
      <c r="JA309">
        <v>1</v>
      </c>
      <c r="JB309">
        <v>0</v>
      </c>
      <c r="JC309">
        <v>2</v>
      </c>
      <c r="JD309">
        <v>1218</v>
      </c>
      <c r="JE309">
        <v>1210</v>
      </c>
      <c r="JF309">
        <v>0</v>
      </c>
      <c r="JG309">
        <v>1194</v>
      </c>
      <c r="JH309">
        <v>0</v>
      </c>
      <c r="JJ309">
        <v>170</v>
      </c>
      <c r="JK309">
        <v>366</v>
      </c>
      <c r="JN309">
        <v>330</v>
      </c>
      <c r="JO309">
        <v>485</v>
      </c>
      <c r="JP309">
        <v>0</v>
      </c>
      <c r="JQ309">
        <v>0</v>
      </c>
      <c r="JR309">
        <v>306</v>
      </c>
      <c r="JS309">
        <v>155</v>
      </c>
      <c r="JV309">
        <v>8</v>
      </c>
      <c r="JW309" t="s">
        <v>550</v>
      </c>
      <c r="JX309">
        <v>0</v>
      </c>
      <c r="KA309">
        <v>225</v>
      </c>
      <c r="KB309">
        <v>110</v>
      </c>
      <c r="KC309">
        <v>0</v>
      </c>
      <c r="KD309">
        <v>80</v>
      </c>
      <c r="KF309">
        <v>4</v>
      </c>
      <c r="KG309">
        <v>2</v>
      </c>
      <c r="KH309">
        <v>2</v>
      </c>
      <c r="KI309">
        <v>2</v>
      </c>
      <c r="KJ309">
        <v>0</v>
      </c>
      <c r="KK309">
        <v>1.5</v>
      </c>
      <c r="KL309">
        <v>1.5</v>
      </c>
      <c r="KM309">
        <v>0</v>
      </c>
      <c r="KN309">
        <v>0</v>
      </c>
      <c r="KO309">
        <v>0</v>
      </c>
      <c r="KR309">
        <v>30</v>
      </c>
      <c r="KS309">
        <v>60</v>
      </c>
      <c r="KT309">
        <v>0</v>
      </c>
      <c r="LK309">
        <v>480</v>
      </c>
      <c r="PG309">
        <v>1</v>
      </c>
      <c r="PI309" t="s">
        <v>3584</v>
      </c>
      <c r="PJ309" t="s">
        <v>3102</v>
      </c>
      <c r="PL309" t="s">
        <v>3585</v>
      </c>
      <c r="PP309" t="s">
        <v>3103</v>
      </c>
      <c r="PX309">
        <v>56</v>
      </c>
      <c r="PY309">
        <v>57</v>
      </c>
      <c r="PZ309" t="s">
        <v>3584</v>
      </c>
      <c r="QA309">
        <v>1</v>
      </c>
      <c r="QB309">
        <v>1194</v>
      </c>
      <c r="QC309">
        <v>69</v>
      </c>
      <c r="QD309">
        <v>69</v>
      </c>
      <c r="QE309" t="s">
        <v>3585</v>
      </c>
      <c r="QF309">
        <v>1</v>
      </c>
      <c r="QG309">
        <v>1218</v>
      </c>
      <c r="QH309">
        <v>66</v>
      </c>
      <c r="QI309">
        <v>66</v>
      </c>
      <c r="QL309">
        <v>0</v>
      </c>
      <c r="QM309">
        <v>62</v>
      </c>
      <c r="QN309">
        <v>62</v>
      </c>
      <c r="QO309" t="s">
        <v>3102</v>
      </c>
      <c r="QP309">
        <v>1</v>
      </c>
      <c r="QQ309">
        <v>1210</v>
      </c>
      <c r="QW309">
        <v>82</v>
      </c>
      <c r="QX309">
        <v>89</v>
      </c>
      <c r="QY309" t="s">
        <v>3103</v>
      </c>
      <c r="QZ309">
        <v>1</v>
      </c>
      <c r="RA309">
        <v>66</v>
      </c>
      <c r="RB309">
        <v>66</v>
      </c>
      <c r="RE309">
        <v>0</v>
      </c>
      <c r="RF309">
        <v>1</v>
      </c>
      <c r="RJ309">
        <v>1</v>
      </c>
      <c r="RL309">
        <v>1</v>
      </c>
      <c r="RO309">
        <v>507</v>
      </c>
      <c r="RQ309">
        <v>780</v>
      </c>
      <c r="RT309">
        <v>146</v>
      </c>
      <c r="RU309">
        <v>110</v>
      </c>
      <c r="RV309" t="s">
        <v>1901</v>
      </c>
      <c r="RW309" t="s">
        <v>552</v>
      </c>
      <c r="RX309">
        <v>15</v>
      </c>
      <c r="RY309">
        <v>4</v>
      </c>
      <c r="RZ309" t="s">
        <v>552</v>
      </c>
      <c r="SA309">
        <v>15</v>
      </c>
      <c r="SC309" t="s">
        <v>3102</v>
      </c>
      <c r="SD309">
        <v>1</v>
      </c>
      <c r="SH309">
        <v>0.995</v>
      </c>
      <c r="SI309">
        <v>0.995</v>
      </c>
      <c r="SJ309">
        <v>0.995</v>
      </c>
      <c r="SK309">
        <v>15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TB309">
        <v>0</v>
      </c>
      <c r="TC309">
        <v>0</v>
      </c>
      <c r="TD309">
        <v>7.5</v>
      </c>
      <c r="TE309" t="s">
        <v>553</v>
      </c>
      <c r="TF309" t="s">
        <v>754</v>
      </c>
      <c r="TG309" t="s">
        <v>555</v>
      </c>
      <c r="TI309" t="s">
        <v>546</v>
      </c>
      <c r="TJ309" t="s">
        <v>547</v>
      </c>
      <c r="TL309" t="s">
        <v>3491</v>
      </c>
      <c r="TM309" t="s">
        <v>513</v>
      </c>
      <c r="TN309">
        <v>0</v>
      </c>
      <c r="TO309" t="s">
        <v>557</v>
      </c>
    </row>
    <row r="310" spans="1:535">
      <c r="A310" t="s">
        <v>3593</v>
      </c>
      <c r="B310" t="s">
        <v>508</v>
      </c>
      <c r="C310" t="s">
        <v>509</v>
      </c>
      <c r="D310" t="s">
        <v>3579</v>
      </c>
      <c r="G310" t="s">
        <v>3580</v>
      </c>
      <c r="I310" t="s">
        <v>562</v>
      </c>
      <c r="L310" t="s">
        <v>512</v>
      </c>
      <c r="N310" t="s">
        <v>513</v>
      </c>
      <c r="O310" t="s">
        <v>1255</v>
      </c>
      <c r="P310" t="s">
        <v>515</v>
      </c>
      <c r="Q310" t="s">
        <v>3594</v>
      </c>
      <c r="R310" t="s">
        <v>517</v>
      </c>
      <c r="S310" t="s">
        <v>518</v>
      </c>
      <c r="T310" t="s">
        <v>519</v>
      </c>
      <c r="U310" t="s">
        <v>520</v>
      </c>
      <c r="V310" t="s">
        <v>521</v>
      </c>
      <c r="W310" t="s">
        <v>3098</v>
      </c>
      <c r="X310" t="s">
        <v>3582</v>
      </c>
      <c r="Y310" t="s">
        <v>524</v>
      </c>
      <c r="AA310" t="s">
        <v>3595</v>
      </c>
      <c r="AB310" t="s">
        <v>3584</v>
      </c>
      <c r="AC310">
        <v>2</v>
      </c>
      <c r="AD310">
        <v>57</v>
      </c>
      <c r="AE310">
        <v>153</v>
      </c>
      <c r="AF310">
        <v>1.5</v>
      </c>
      <c r="AH310">
        <v>0</v>
      </c>
      <c r="AI310" t="s">
        <v>3585</v>
      </c>
      <c r="AJ310">
        <v>165</v>
      </c>
      <c r="AK310">
        <v>1</v>
      </c>
      <c r="AL310">
        <v>1.5</v>
      </c>
      <c r="AM310" t="s">
        <v>529</v>
      </c>
      <c r="AO310">
        <v>0</v>
      </c>
      <c r="AR310">
        <v>0</v>
      </c>
      <c r="AS310">
        <v>1.5</v>
      </c>
      <c r="AU310" t="s">
        <v>3102</v>
      </c>
      <c r="AW310" t="s">
        <v>3102</v>
      </c>
      <c r="AX310">
        <v>1</v>
      </c>
      <c r="AY310">
        <v>242.5</v>
      </c>
      <c r="AZ310">
        <v>1.5</v>
      </c>
      <c r="BA310" t="s">
        <v>529</v>
      </c>
      <c r="BG310">
        <v>1.5</v>
      </c>
      <c r="BJ310">
        <v>0</v>
      </c>
      <c r="BN310">
        <v>1.5</v>
      </c>
      <c r="BP310" t="s">
        <v>3103</v>
      </c>
      <c r="BQ310">
        <v>89</v>
      </c>
      <c r="BR310">
        <v>2</v>
      </c>
      <c r="BS310" t="s">
        <v>1898</v>
      </c>
      <c r="BT310">
        <v>176</v>
      </c>
      <c r="BU310">
        <v>0.5</v>
      </c>
      <c r="BV310" t="s">
        <v>1898</v>
      </c>
      <c r="BW310">
        <v>352</v>
      </c>
      <c r="BX310">
        <v>1</v>
      </c>
      <c r="BY310" t="s">
        <v>533</v>
      </c>
      <c r="BZ310">
        <v>300</v>
      </c>
      <c r="CA310">
        <v>420</v>
      </c>
      <c r="CB310" t="s">
        <v>534</v>
      </c>
      <c r="CC310" t="s">
        <v>644</v>
      </c>
      <c r="CD310">
        <v>366</v>
      </c>
      <c r="CE310" t="s">
        <v>1470</v>
      </c>
      <c r="CF310">
        <v>15</v>
      </c>
      <c r="CG310" t="s">
        <v>3586</v>
      </c>
      <c r="CH310" t="s">
        <v>3586</v>
      </c>
      <c r="CI310">
        <v>60</v>
      </c>
      <c r="CJ310">
        <v>1200</v>
      </c>
      <c r="CK310">
        <v>2</v>
      </c>
      <c r="CL310">
        <v>1301</v>
      </c>
      <c r="CM310">
        <v>2</v>
      </c>
      <c r="CN310" t="s">
        <v>537</v>
      </c>
      <c r="CO310" t="s">
        <v>538</v>
      </c>
      <c r="CP310" t="s">
        <v>539</v>
      </c>
      <c r="CQ310" t="s">
        <v>540</v>
      </c>
      <c r="CR310" t="s">
        <v>541</v>
      </c>
      <c r="CS310" t="s">
        <v>542</v>
      </c>
      <c r="CT310">
        <v>330</v>
      </c>
      <c r="CU310">
        <v>5</v>
      </c>
      <c r="CV310">
        <v>1.3</v>
      </c>
      <c r="CW310">
        <v>1218</v>
      </c>
      <c r="CX310">
        <v>618</v>
      </c>
      <c r="DD310">
        <v>0</v>
      </c>
      <c r="DE310" t="s">
        <v>543</v>
      </c>
      <c r="DF310">
        <v>485</v>
      </c>
      <c r="DG310">
        <v>3</v>
      </c>
      <c r="DH310">
        <v>1.18</v>
      </c>
      <c r="DI310">
        <v>1210</v>
      </c>
      <c r="DJ310">
        <v>944</v>
      </c>
      <c r="DW310" t="s">
        <v>544</v>
      </c>
      <c r="DX310">
        <v>7.5</v>
      </c>
      <c r="EA310">
        <v>1123</v>
      </c>
      <c r="EB310">
        <v>146</v>
      </c>
      <c r="EC310" t="s">
        <v>545</v>
      </c>
      <c r="ED310">
        <v>25</v>
      </c>
      <c r="EE310">
        <v>3</v>
      </c>
      <c r="EG310">
        <v>1154</v>
      </c>
      <c r="EH310">
        <v>110</v>
      </c>
      <c r="EJ310">
        <v>0</v>
      </c>
      <c r="EK310">
        <v>1</v>
      </c>
      <c r="EN310">
        <v>0</v>
      </c>
      <c r="EP310" t="s">
        <v>546</v>
      </c>
      <c r="EQ310">
        <v>100</v>
      </c>
      <c r="ER310">
        <v>3</v>
      </c>
      <c r="ES310">
        <v>5</v>
      </c>
      <c r="ET310">
        <v>1194</v>
      </c>
      <c r="EU310">
        <v>383.6</v>
      </c>
      <c r="EV310">
        <v>458</v>
      </c>
      <c r="EW310" t="s">
        <v>547</v>
      </c>
      <c r="EX310">
        <v>70</v>
      </c>
      <c r="EY310">
        <v>2</v>
      </c>
      <c r="EZ310">
        <v>4</v>
      </c>
      <c r="FA310">
        <v>1194</v>
      </c>
      <c r="FB310">
        <v>199.8</v>
      </c>
      <c r="FC310">
        <v>239</v>
      </c>
      <c r="FE310">
        <v>0</v>
      </c>
      <c r="FF310">
        <v>2</v>
      </c>
      <c r="FI310">
        <v>0</v>
      </c>
      <c r="FK310" t="s">
        <v>548</v>
      </c>
      <c r="FL310">
        <v>0.4</v>
      </c>
      <c r="FM310">
        <v>80</v>
      </c>
      <c r="FN310">
        <v>90</v>
      </c>
      <c r="FR310" t="s">
        <v>548</v>
      </c>
      <c r="FS310">
        <v>0.4</v>
      </c>
      <c r="FT310">
        <v>30</v>
      </c>
      <c r="FU310">
        <v>320</v>
      </c>
      <c r="FV310">
        <v>30</v>
      </c>
      <c r="FW310">
        <v>210</v>
      </c>
      <c r="HC310">
        <v>0.1</v>
      </c>
      <c r="HD310">
        <v>3</v>
      </c>
      <c r="HE310">
        <v>3</v>
      </c>
      <c r="HF310">
        <v>3</v>
      </c>
      <c r="HG310">
        <v>3</v>
      </c>
      <c r="HH310">
        <v>3</v>
      </c>
      <c r="HI310">
        <v>155</v>
      </c>
      <c r="HJ310">
        <v>3</v>
      </c>
      <c r="HK310">
        <v>55</v>
      </c>
      <c r="HL310">
        <v>2</v>
      </c>
      <c r="HM310">
        <v>0</v>
      </c>
      <c r="HN310">
        <v>2</v>
      </c>
      <c r="HO310">
        <v>85</v>
      </c>
      <c r="HP310">
        <v>3</v>
      </c>
      <c r="HQ310">
        <v>0</v>
      </c>
      <c r="HR310">
        <v>2</v>
      </c>
      <c r="HS310">
        <v>3468</v>
      </c>
      <c r="HT310">
        <v>100</v>
      </c>
      <c r="HU310">
        <v>170</v>
      </c>
      <c r="HW310">
        <v>0</v>
      </c>
      <c r="HX310">
        <v>366</v>
      </c>
      <c r="HY310">
        <v>0.18</v>
      </c>
      <c r="IA310">
        <v>0.15</v>
      </c>
      <c r="IB310">
        <v>0</v>
      </c>
      <c r="IC310">
        <v>180</v>
      </c>
      <c r="ID310">
        <v>110</v>
      </c>
      <c r="IE310">
        <v>225</v>
      </c>
      <c r="IF310">
        <v>0</v>
      </c>
      <c r="IH310" t="s">
        <v>549</v>
      </c>
      <c r="IO310">
        <v>1</v>
      </c>
      <c r="IP310">
        <v>16</v>
      </c>
      <c r="IQ310">
        <v>1</v>
      </c>
      <c r="IR310">
        <v>1</v>
      </c>
      <c r="IV310">
        <v>1200</v>
      </c>
      <c r="IW310">
        <v>352</v>
      </c>
      <c r="JA310">
        <v>1</v>
      </c>
      <c r="JB310">
        <v>0</v>
      </c>
      <c r="JC310">
        <v>2</v>
      </c>
      <c r="JD310">
        <v>1218</v>
      </c>
      <c r="JE310">
        <v>1210</v>
      </c>
      <c r="JF310">
        <v>0</v>
      </c>
      <c r="JG310">
        <v>1194</v>
      </c>
      <c r="JH310">
        <v>0</v>
      </c>
      <c r="JJ310">
        <v>170</v>
      </c>
      <c r="JK310">
        <v>366</v>
      </c>
      <c r="JN310">
        <v>330</v>
      </c>
      <c r="JO310">
        <v>485</v>
      </c>
      <c r="JP310">
        <v>0</v>
      </c>
      <c r="JQ310">
        <v>0</v>
      </c>
      <c r="JR310">
        <v>306</v>
      </c>
      <c r="JS310">
        <v>155</v>
      </c>
      <c r="JV310">
        <v>8</v>
      </c>
      <c r="JW310" t="s">
        <v>550</v>
      </c>
      <c r="JX310">
        <v>0</v>
      </c>
      <c r="KA310">
        <v>225</v>
      </c>
      <c r="KB310">
        <v>110</v>
      </c>
      <c r="KC310">
        <v>0</v>
      </c>
      <c r="KD310">
        <v>80</v>
      </c>
      <c r="KF310">
        <v>4</v>
      </c>
      <c r="KG310">
        <v>2</v>
      </c>
      <c r="KH310">
        <v>2</v>
      </c>
      <c r="KI310">
        <v>2</v>
      </c>
      <c r="KJ310">
        <v>0</v>
      </c>
      <c r="KK310">
        <v>1.5</v>
      </c>
      <c r="KL310">
        <v>1.5</v>
      </c>
      <c r="KM310">
        <v>0</v>
      </c>
      <c r="KN310">
        <v>0</v>
      </c>
      <c r="KO310">
        <v>0</v>
      </c>
      <c r="KR310">
        <v>30</v>
      </c>
      <c r="KS310">
        <v>60</v>
      </c>
      <c r="KT310">
        <v>0</v>
      </c>
      <c r="LK310">
        <v>480</v>
      </c>
      <c r="PG310">
        <v>1</v>
      </c>
      <c r="PI310" t="s">
        <v>3584</v>
      </c>
      <c r="PJ310" t="s">
        <v>3102</v>
      </c>
      <c r="PL310" t="s">
        <v>3585</v>
      </c>
      <c r="PP310" t="s">
        <v>3103</v>
      </c>
      <c r="PX310">
        <v>56</v>
      </c>
      <c r="PY310">
        <v>57</v>
      </c>
      <c r="PZ310" t="s">
        <v>3584</v>
      </c>
      <c r="QA310">
        <v>1</v>
      </c>
      <c r="QB310">
        <v>1194</v>
      </c>
      <c r="QC310">
        <v>69</v>
      </c>
      <c r="QD310">
        <v>69</v>
      </c>
      <c r="QE310" t="s">
        <v>3585</v>
      </c>
      <c r="QF310">
        <v>1</v>
      </c>
      <c r="QG310">
        <v>1218</v>
      </c>
      <c r="QH310">
        <v>66</v>
      </c>
      <c r="QI310">
        <v>66</v>
      </c>
      <c r="QL310">
        <v>0</v>
      </c>
      <c r="QM310">
        <v>62</v>
      </c>
      <c r="QN310">
        <v>62</v>
      </c>
      <c r="QO310" t="s">
        <v>3102</v>
      </c>
      <c r="QP310">
        <v>1</v>
      </c>
      <c r="QQ310">
        <v>1210</v>
      </c>
      <c r="QW310">
        <v>82</v>
      </c>
      <c r="QX310">
        <v>89</v>
      </c>
      <c r="QY310" t="s">
        <v>3103</v>
      </c>
      <c r="QZ310">
        <v>1</v>
      </c>
      <c r="RA310">
        <v>66</v>
      </c>
      <c r="RB310">
        <v>66</v>
      </c>
      <c r="RE310">
        <v>0</v>
      </c>
      <c r="RF310">
        <v>1</v>
      </c>
      <c r="RJ310">
        <v>1</v>
      </c>
      <c r="RL310">
        <v>1</v>
      </c>
      <c r="RO310">
        <v>507</v>
      </c>
      <c r="RQ310">
        <v>780</v>
      </c>
      <c r="RT310">
        <v>146</v>
      </c>
      <c r="RU310">
        <v>110</v>
      </c>
      <c r="RV310" t="s">
        <v>1901</v>
      </c>
      <c r="RW310" t="s">
        <v>552</v>
      </c>
      <c r="RX310">
        <v>15</v>
      </c>
      <c r="RY310">
        <v>4</v>
      </c>
      <c r="RZ310" t="s">
        <v>552</v>
      </c>
      <c r="SA310">
        <v>15</v>
      </c>
      <c r="SC310" t="s">
        <v>3102</v>
      </c>
      <c r="SD310">
        <v>1</v>
      </c>
      <c r="SH310">
        <v>0.995</v>
      </c>
      <c r="SI310">
        <v>0.995</v>
      </c>
      <c r="SJ310">
        <v>0.995</v>
      </c>
      <c r="SK310">
        <v>15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TB310">
        <v>0</v>
      </c>
      <c r="TC310">
        <v>0</v>
      </c>
      <c r="TD310">
        <v>7.5</v>
      </c>
      <c r="TE310" t="s">
        <v>553</v>
      </c>
      <c r="TF310" t="s">
        <v>754</v>
      </c>
      <c r="TG310" t="s">
        <v>555</v>
      </c>
      <c r="TI310" t="s">
        <v>546</v>
      </c>
      <c r="TJ310" t="s">
        <v>547</v>
      </c>
      <c r="TL310" t="s">
        <v>3491</v>
      </c>
      <c r="TM310" t="s">
        <v>513</v>
      </c>
      <c r="TN310">
        <v>0</v>
      </c>
      <c r="TO310" t="s">
        <v>557</v>
      </c>
    </row>
    <row r="311" spans="1:535">
      <c r="A311" t="s">
        <v>3596</v>
      </c>
      <c r="B311" t="s">
        <v>508</v>
      </c>
      <c r="C311" t="s">
        <v>509</v>
      </c>
      <c r="D311" t="s">
        <v>3579</v>
      </c>
      <c r="G311" t="s">
        <v>3580</v>
      </c>
      <c r="I311" t="s">
        <v>562</v>
      </c>
      <c r="L311" t="s">
        <v>512</v>
      </c>
      <c r="N311" t="s">
        <v>513</v>
      </c>
      <c r="O311" t="s">
        <v>1255</v>
      </c>
      <c r="P311" t="s">
        <v>515</v>
      </c>
      <c r="Q311" t="s">
        <v>3597</v>
      </c>
      <c r="R311" t="s">
        <v>517</v>
      </c>
      <c r="S311" t="s">
        <v>518</v>
      </c>
      <c r="T311" t="s">
        <v>519</v>
      </c>
      <c r="U311" t="s">
        <v>520</v>
      </c>
      <c r="V311" t="s">
        <v>521</v>
      </c>
      <c r="W311" t="s">
        <v>3098</v>
      </c>
      <c r="X311" t="s">
        <v>3582</v>
      </c>
      <c r="Y311" t="s">
        <v>524</v>
      </c>
      <c r="AA311" t="s">
        <v>3598</v>
      </c>
      <c r="AB311" t="s">
        <v>3584</v>
      </c>
      <c r="AC311">
        <v>2</v>
      </c>
      <c r="AD311">
        <v>57</v>
      </c>
      <c r="AE311">
        <v>153</v>
      </c>
      <c r="AF311">
        <v>1.5</v>
      </c>
      <c r="AH311">
        <v>0</v>
      </c>
      <c r="AI311" t="s">
        <v>3585</v>
      </c>
      <c r="AJ311">
        <v>165</v>
      </c>
      <c r="AK311">
        <v>1</v>
      </c>
      <c r="AL311">
        <v>1.5</v>
      </c>
      <c r="AM311" t="s">
        <v>529</v>
      </c>
      <c r="AO311">
        <v>0</v>
      </c>
      <c r="AR311">
        <v>0</v>
      </c>
      <c r="AS311">
        <v>1.5</v>
      </c>
      <c r="AU311" t="s">
        <v>3102</v>
      </c>
      <c r="AW311" t="s">
        <v>3102</v>
      </c>
      <c r="AX311">
        <v>1</v>
      </c>
      <c r="AY311">
        <v>242.5</v>
      </c>
      <c r="AZ311">
        <v>1.5</v>
      </c>
      <c r="BA311" t="s">
        <v>529</v>
      </c>
      <c r="BG311">
        <v>1.5</v>
      </c>
      <c r="BJ311">
        <v>0</v>
      </c>
      <c r="BN311">
        <v>1.5</v>
      </c>
      <c r="BP311" t="s">
        <v>3103</v>
      </c>
      <c r="BQ311">
        <v>89</v>
      </c>
      <c r="BR311">
        <v>2</v>
      </c>
      <c r="BS311" t="s">
        <v>1898</v>
      </c>
      <c r="BT311">
        <v>176</v>
      </c>
      <c r="BU311">
        <v>0.5</v>
      </c>
      <c r="BV311" t="s">
        <v>1898</v>
      </c>
      <c r="BW311">
        <v>352</v>
      </c>
      <c r="BX311">
        <v>1</v>
      </c>
      <c r="BY311" t="s">
        <v>533</v>
      </c>
      <c r="BZ311">
        <v>300</v>
      </c>
      <c r="CA311">
        <v>420</v>
      </c>
      <c r="CB311" t="s">
        <v>534</v>
      </c>
      <c r="CC311" t="s">
        <v>644</v>
      </c>
      <c r="CD311">
        <v>366</v>
      </c>
      <c r="CE311" t="s">
        <v>1470</v>
      </c>
      <c r="CF311">
        <v>15</v>
      </c>
      <c r="CG311" t="s">
        <v>3586</v>
      </c>
      <c r="CH311" t="s">
        <v>3586</v>
      </c>
      <c r="CI311">
        <v>60</v>
      </c>
      <c r="CJ311">
        <v>1200</v>
      </c>
      <c r="CK311">
        <v>2</v>
      </c>
      <c r="CL311">
        <v>1301</v>
      </c>
      <c r="CM311">
        <v>2</v>
      </c>
      <c r="CN311" t="s">
        <v>537</v>
      </c>
      <c r="CO311" t="s">
        <v>538</v>
      </c>
      <c r="CP311" t="s">
        <v>539</v>
      </c>
      <c r="CQ311" t="s">
        <v>540</v>
      </c>
      <c r="CR311" t="s">
        <v>541</v>
      </c>
      <c r="CS311" t="s">
        <v>542</v>
      </c>
      <c r="CT311">
        <v>330</v>
      </c>
      <c r="CU311">
        <v>5</v>
      </c>
      <c r="CV311">
        <v>1.3</v>
      </c>
      <c r="CW311">
        <v>1218</v>
      </c>
      <c r="CX311">
        <v>618</v>
      </c>
      <c r="DD311">
        <v>0</v>
      </c>
      <c r="DE311" t="s">
        <v>543</v>
      </c>
      <c r="DF311">
        <v>485</v>
      </c>
      <c r="DG311">
        <v>3</v>
      </c>
      <c r="DH311">
        <v>1.18</v>
      </c>
      <c r="DI311">
        <v>1210</v>
      </c>
      <c r="DJ311">
        <v>944</v>
      </c>
      <c r="DW311" t="s">
        <v>544</v>
      </c>
      <c r="DX311">
        <v>7.5</v>
      </c>
      <c r="EA311">
        <v>1123</v>
      </c>
      <c r="EB311">
        <v>146</v>
      </c>
      <c r="EC311" t="s">
        <v>545</v>
      </c>
      <c r="ED311">
        <v>25</v>
      </c>
      <c r="EE311">
        <v>3</v>
      </c>
      <c r="EG311">
        <v>1154</v>
      </c>
      <c r="EH311">
        <v>110</v>
      </c>
      <c r="EJ311">
        <v>0</v>
      </c>
      <c r="EK311">
        <v>1</v>
      </c>
      <c r="EN311">
        <v>0</v>
      </c>
      <c r="EP311" t="s">
        <v>546</v>
      </c>
      <c r="EQ311">
        <v>100</v>
      </c>
      <c r="ER311">
        <v>3</v>
      </c>
      <c r="ES311">
        <v>5</v>
      </c>
      <c r="ET311">
        <v>1194</v>
      </c>
      <c r="EU311">
        <v>383.6</v>
      </c>
      <c r="EV311">
        <v>458</v>
      </c>
      <c r="EW311" t="s">
        <v>547</v>
      </c>
      <c r="EX311">
        <v>70</v>
      </c>
      <c r="EY311">
        <v>2</v>
      </c>
      <c r="EZ311">
        <v>4</v>
      </c>
      <c r="FA311">
        <v>1194</v>
      </c>
      <c r="FB311">
        <v>199.8</v>
      </c>
      <c r="FC311">
        <v>239</v>
      </c>
      <c r="FE311">
        <v>0</v>
      </c>
      <c r="FF311">
        <v>2</v>
      </c>
      <c r="FI311">
        <v>0</v>
      </c>
      <c r="FK311" t="s">
        <v>548</v>
      </c>
      <c r="FL311">
        <v>0.4</v>
      </c>
      <c r="FM311">
        <v>80</v>
      </c>
      <c r="FN311">
        <v>90</v>
      </c>
      <c r="FR311" t="s">
        <v>548</v>
      </c>
      <c r="FS311">
        <v>0.4</v>
      </c>
      <c r="FT311">
        <v>30</v>
      </c>
      <c r="FU311">
        <v>320</v>
      </c>
      <c r="FV311">
        <v>30</v>
      </c>
      <c r="FW311">
        <v>210</v>
      </c>
      <c r="HC311">
        <v>0.1</v>
      </c>
      <c r="HD311">
        <v>3</v>
      </c>
      <c r="HE311">
        <v>3</v>
      </c>
      <c r="HF311">
        <v>3</v>
      </c>
      <c r="HG311">
        <v>3</v>
      </c>
      <c r="HH311">
        <v>3</v>
      </c>
      <c r="HI311">
        <v>155</v>
      </c>
      <c r="HJ311">
        <v>3</v>
      </c>
      <c r="HK311">
        <v>55</v>
      </c>
      <c r="HL311">
        <v>2</v>
      </c>
      <c r="HM311">
        <v>0</v>
      </c>
      <c r="HN311">
        <v>2</v>
      </c>
      <c r="HO311">
        <v>85</v>
      </c>
      <c r="HP311">
        <v>3</v>
      </c>
      <c r="HQ311">
        <v>0</v>
      </c>
      <c r="HR311">
        <v>2</v>
      </c>
      <c r="HS311">
        <v>3468</v>
      </c>
      <c r="HT311">
        <v>100</v>
      </c>
      <c r="HU311">
        <v>170</v>
      </c>
      <c r="HW311">
        <v>0</v>
      </c>
      <c r="HX311">
        <v>366</v>
      </c>
      <c r="HY311">
        <v>0.18</v>
      </c>
      <c r="IA311">
        <v>0.15</v>
      </c>
      <c r="IB311">
        <v>0</v>
      </c>
      <c r="IC311">
        <v>180</v>
      </c>
      <c r="ID311">
        <v>110</v>
      </c>
      <c r="IE311">
        <v>225</v>
      </c>
      <c r="IF311">
        <v>0</v>
      </c>
      <c r="IH311" t="s">
        <v>549</v>
      </c>
      <c r="IO311">
        <v>1</v>
      </c>
      <c r="IP311">
        <v>16</v>
      </c>
      <c r="IQ311">
        <v>1</v>
      </c>
      <c r="IR311">
        <v>1</v>
      </c>
      <c r="IV311">
        <v>1200</v>
      </c>
      <c r="IW311">
        <v>352</v>
      </c>
      <c r="JA311">
        <v>1</v>
      </c>
      <c r="JB311">
        <v>0</v>
      </c>
      <c r="JC311">
        <v>2</v>
      </c>
      <c r="JD311">
        <v>1218</v>
      </c>
      <c r="JE311">
        <v>1210</v>
      </c>
      <c r="JF311">
        <v>0</v>
      </c>
      <c r="JG311">
        <v>1194</v>
      </c>
      <c r="JH311">
        <v>0</v>
      </c>
      <c r="JJ311">
        <v>170</v>
      </c>
      <c r="JK311">
        <v>366</v>
      </c>
      <c r="JN311">
        <v>330</v>
      </c>
      <c r="JO311">
        <v>485</v>
      </c>
      <c r="JP311">
        <v>0</v>
      </c>
      <c r="JQ311">
        <v>0</v>
      </c>
      <c r="JR311">
        <v>306</v>
      </c>
      <c r="JS311">
        <v>155</v>
      </c>
      <c r="JV311">
        <v>8</v>
      </c>
      <c r="JW311" t="s">
        <v>550</v>
      </c>
      <c r="JX311">
        <v>0</v>
      </c>
      <c r="KA311">
        <v>225</v>
      </c>
      <c r="KB311">
        <v>110</v>
      </c>
      <c r="KC311">
        <v>0</v>
      </c>
      <c r="KD311">
        <v>80</v>
      </c>
      <c r="KF311">
        <v>4</v>
      </c>
      <c r="KG311">
        <v>2</v>
      </c>
      <c r="KH311">
        <v>2</v>
      </c>
      <c r="KI311">
        <v>2</v>
      </c>
      <c r="KJ311">
        <v>0</v>
      </c>
      <c r="KK311">
        <v>1.5</v>
      </c>
      <c r="KL311">
        <v>1.5</v>
      </c>
      <c r="KM311">
        <v>0</v>
      </c>
      <c r="KN311">
        <v>0</v>
      </c>
      <c r="KO311">
        <v>0</v>
      </c>
      <c r="KR311">
        <v>30</v>
      </c>
      <c r="KS311">
        <v>60</v>
      </c>
      <c r="KT311">
        <v>0</v>
      </c>
      <c r="LK311">
        <v>480</v>
      </c>
      <c r="PG311">
        <v>1</v>
      </c>
      <c r="PI311" t="s">
        <v>3584</v>
      </c>
      <c r="PJ311" t="s">
        <v>3102</v>
      </c>
      <c r="PL311" t="s">
        <v>3585</v>
      </c>
      <c r="PP311" t="s">
        <v>3103</v>
      </c>
      <c r="PX311">
        <v>56</v>
      </c>
      <c r="PY311">
        <v>57</v>
      </c>
      <c r="PZ311" t="s">
        <v>3584</v>
      </c>
      <c r="QA311">
        <v>1</v>
      </c>
      <c r="QB311">
        <v>1194</v>
      </c>
      <c r="QC311">
        <v>69</v>
      </c>
      <c r="QD311">
        <v>69</v>
      </c>
      <c r="QE311" t="s">
        <v>3585</v>
      </c>
      <c r="QF311">
        <v>1</v>
      </c>
      <c r="QG311">
        <v>1218</v>
      </c>
      <c r="QH311">
        <v>66</v>
      </c>
      <c r="QI311">
        <v>66</v>
      </c>
      <c r="QL311">
        <v>0</v>
      </c>
      <c r="QM311">
        <v>62</v>
      </c>
      <c r="QN311">
        <v>62</v>
      </c>
      <c r="QO311" t="s">
        <v>3102</v>
      </c>
      <c r="QP311">
        <v>1</v>
      </c>
      <c r="QQ311">
        <v>1210</v>
      </c>
      <c r="QW311">
        <v>82</v>
      </c>
      <c r="QX311">
        <v>89</v>
      </c>
      <c r="QY311" t="s">
        <v>3103</v>
      </c>
      <c r="QZ311">
        <v>1</v>
      </c>
      <c r="RA311">
        <v>66</v>
      </c>
      <c r="RB311">
        <v>66</v>
      </c>
      <c r="RE311">
        <v>0</v>
      </c>
      <c r="RF311">
        <v>1</v>
      </c>
      <c r="RJ311">
        <v>1</v>
      </c>
      <c r="RL311">
        <v>1</v>
      </c>
      <c r="RO311">
        <v>507</v>
      </c>
      <c r="RQ311">
        <v>780</v>
      </c>
      <c r="RT311">
        <v>146</v>
      </c>
      <c r="RU311">
        <v>110</v>
      </c>
      <c r="RV311" t="s">
        <v>1901</v>
      </c>
      <c r="RW311" t="s">
        <v>552</v>
      </c>
      <c r="RX311">
        <v>15</v>
      </c>
      <c r="RY311">
        <v>4</v>
      </c>
      <c r="RZ311" t="s">
        <v>552</v>
      </c>
      <c r="SA311">
        <v>15</v>
      </c>
      <c r="SC311" t="s">
        <v>3102</v>
      </c>
      <c r="SD311">
        <v>1</v>
      </c>
      <c r="SH311">
        <v>0.995</v>
      </c>
      <c r="SI311">
        <v>0.995</v>
      </c>
      <c r="SJ311">
        <v>0.995</v>
      </c>
      <c r="SK311">
        <v>15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TB311">
        <v>0</v>
      </c>
      <c r="TC311">
        <v>0</v>
      </c>
      <c r="TD311">
        <v>7.5</v>
      </c>
      <c r="TE311" t="s">
        <v>553</v>
      </c>
      <c r="TF311" t="s">
        <v>754</v>
      </c>
      <c r="TG311" t="s">
        <v>555</v>
      </c>
      <c r="TI311" t="s">
        <v>546</v>
      </c>
      <c r="TJ311" t="s">
        <v>547</v>
      </c>
      <c r="TL311" t="s">
        <v>3491</v>
      </c>
      <c r="TM311" t="s">
        <v>513</v>
      </c>
      <c r="TN311">
        <v>0</v>
      </c>
      <c r="TO311" t="s">
        <v>557</v>
      </c>
    </row>
    <row r="312" spans="1:535">
      <c r="A312" t="s">
        <v>3599</v>
      </c>
      <c r="B312" t="s">
        <v>508</v>
      </c>
      <c r="C312" t="s">
        <v>509</v>
      </c>
      <c r="D312" t="s">
        <v>3579</v>
      </c>
      <c r="G312" t="s">
        <v>3580</v>
      </c>
      <c r="I312" t="s">
        <v>562</v>
      </c>
      <c r="L312" t="s">
        <v>512</v>
      </c>
      <c r="N312" t="s">
        <v>513</v>
      </c>
      <c r="O312" t="s">
        <v>1255</v>
      </c>
      <c r="P312" t="s">
        <v>515</v>
      </c>
      <c r="Q312" t="s">
        <v>3600</v>
      </c>
      <c r="R312" t="s">
        <v>517</v>
      </c>
      <c r="S312" t="s">
        <v>518</v>
      </c>
      <c r="T312" t="s">
        <v>519</v>
      </c>
      <c r="U312" t="s">
        <v>520</v>
      </c>
      <c r="V312" t="s">
        <v>521</v>
      </c>
      <c r="W312" t="s">
        <v>3098</v>
      </c>
      <c r="X312" t="s">
        <v>3582</v>
      </c>
      <c r="Y312" t="s">
        <v>524</v>
      </c>
      <c r="AA312" t="s">
        <v>3601</v>
      </c>
      <c r="AB312" t="s">
        <v>3584</v>
      </c>
      <c r="AC312">
        <v>2</v>
      </c>
      <c r="AD312">
        <v>57</v>
      </c>
      <c r="AE312">
        <v>153</v>
      </c>
      <c r="AF312">
        <v>1.5</v>
      </c>
      <c r="AH312">
        <v>0</v>
      </c>
      <c r="AI312" t="s">
        <v>3585</v>
      </c>
      <c r="AJ312">
        <v>165</v>
      </c>
      <c r="AK312">
        <v>1</v>
      </c>
      <c r="AL312">
        <v>1.5</v>
      </c>
      <c r="AM312" t="s">
        <v>529</v>
      </c>
      <c r="AO312">
        <v>0</v>
      </c>
      <c r="AR312">
        <v>0</v>
      </c>
      <c r="AS312">
        <v>1.5</v>
      </c>
      <c r="AU312" t="s">
        <v>3102</v>
      </c>
      <c r="AW312" t="s">
        <v>3102</v>
      </c>
      <c r="AX312">
        <v>1</v>
      </c>
      <c r="AY312">
        <v>242.5</v>
      </c>
      <c r="AZ312">
        <v>1.5</v>
      </c>
      <c r="BA312" t="s">
        <v>529</v>
      </c>
      <c r="BG312">
        <v>1.5</v>
      </c>
      <c r="BJ312">
        <v>0</v>
      </c>
      <c r="BN312">
        <v>1.5</v>
      </c>
      <c r="BP312" t="s">
        <v>3103</v>
      </c>
      <c r="BQ312">
        <v>89</v>
      </c>
      <c r="BR312">
        <v>2</v>
      </c>
      <c r="BS312" t="s">
        <v>1898</v>
      </c>
      <c r="BT312">
        <v>176</v>
      </c>
      <c r="BU312">
        <v>0.5</v>
      </c>
      <c r="BV312" t="s">
        <v>1898</v>
      </c>
      <c r="BW312">
        <v>352</v>
      </c>
      <c r="BX312">
        <v>1</v>
      </c>
      <c r="BY312" t="s">
        <v>533</v>
      </c>
      <c r="BZ312">
        <v>300</v>
      </c>
      <c r="CA312">
        <v>420</v>
      </c>
      <c r="CB312" t="s">
        <v>534</v>
      </c>
      <c r="CC312" t="s">
        <v>644</v>
      </c>
      <c r="CD312">
        <v>366</v>
      </c>
      <c r="CE312" t="s">
        <v>1470</v>
      </c>
      <c r="CF312">
        <v>15</v>
      </c>
      <c r="CG312" t="s">
        <v>3586</v>
      </c>
      <c r="CH312" t="s">
        <v>3586</v>
      </c>
      <c r="CI312">
        <v>60</v>
      </c>
      <c r="CJ312">
        <v>1200</v>
      </c>
      <c r="CK312">
        <v>2</v>
      </c>
      <c r="CL312">
        <v>1301</v>
      </c>
      <c r="CM312">
        <v>2</v>
      </c>
      <c r="CN312" t="s">
        <v>537</v>
      </c>
      <c r="CO312" t="s">
        <v>538</v>
      </c>
      <c r="CP312" t="s">
        <v>539</v>
      </c>
      <c r="CQ312" t="s">
        <v>540</v>
      </c>
      <c r="CR312" t="s">
        <v>541</v>
      </c>
      <c r="CS312" t="s">
        <v>542</v>
      </c>
      <c r="CT312">
        <v>330</v>
      </c>
      <c r="CU312">
        <v>5</v>
      </c>
      <c r="CV312">
        <v>1.3</v>
      </c>
      <c r="CW312">
        <v>1218</v>
      </c>
      <c r="CX312">
        <v>618</v>
      </c>
      <c r="DD312">
        <v>0</v>
      </c>
      <c r="DE312" t="s">
        <v>543</v>
      </c>
      <c r="DF312">
        <v>485</v>
      </c>
      <c r="DG312">
        <v>3</v>
      </c>
      <c r="DH312">
        <v>1.18</v>
      </c>
      <c r="DI312">
        <v>1210</v>
      </c>
      <c r="DJ312">
        <v>944</v>
      </c>
      <c r="DW312" t="s">
        <v>544</v>
      </c>
      <c r="DX312">
        <v>7.5</v>
      </c>
      <c r="EA312">
        <v>1123</v>
      </c>
      <c r="EB312">
        <v>146</v>
      </c>
      <c r="EC312" t="s">
        <v>545</v>
      </c>
      <c r="ED312">
        <v>25</v>
      </c>
      <c r="EE312">
        <v>3</v>
      </c>
      <c r="EG312">
        <v>1154</v>
      </c>
      <c r="EH312">
        <v>110</v>
      </c>
      <c r="EJ312">
        <v>0</v>
      </c>
      <c r="EK312">
        <v>1</v>
      </c>
      <c r="EN312">
        <v>0</v>
      </c>
      <c r="EP312" t="s">
        <v>546</v>
      </c>
      <c r="EQ312">
        <v>100</v>
      </c>
      <c r="ER312">
        <v>3</v>
      </c>
      <c r="ES312">
        <v>5</v>
      </c>
      <c r="ET312">
        <v>1194</v>
      </c>
      <c r="EU312">
        <v>383.6</v>
      </c>
      <c r="EV312">
        <v>458</v>
      </c>
      <c r="EW312" t="s">
        <v>547</v>
      </c>
      <c r="EX312">
        <v>70</v>
      </c>
      <c r="EY312">
        <v>2</v>
      </c>
      <c r="EZ312">
        <v>4</v>
      </c>
      <c r="FA312">
        <v>1194</v>
      </c>
      <c r="FB312">
        <v>199.8</v>
      </c>
      <c r="FC312">
        <v>239</v>
      </c>
      <c r="FE312">
        <v>0</v>
      </c>
      <c r="FF312">
        <v>2</v>
      </c>
      <c r="FI312">
        <v>0</v>
      </c>
      <c r="FK312" t="s">
        <v>548</v>
      </c>
      <c r="FL312">
        <v>0.4</v>
      </c>
      <c r="FM312">
        <v>80</v>
      </c>
      <c r="FN312">
        <v>90</v>
      </c>
      <c r="FR312" t="s">
        <v>548</v>
      </c>
      <c r="FS312">
        <v>0.4</v>
      </c>
      <c r="FT312">
        <v>30</v>
      </c>
      <c r="FU312">
        <v>320</v>
      </c>
      <c r="FV312">
        <v>30</v>
      </c>
      <c r="FW312">
        <v>210</v>
      </c>
      <c r="HC312">
        <v>0.1</v>
      </c>
      <c r="HD312">
        <v>3</v>
      </c>
      <c r="HE312">
        <v>3</v>
      </c>
      <c r="HF312">
        <v>3</v>
      </c>
      <c r="HG312">
        <v>3</v>
      </c>
      <c r="HH312">
        <v>3</v>
      </c>
      <c r="HI312">
        <v>155</v>
      </c>
      <c r="HJ312">
        <v>3</v>
      </c>
      <c r="HK312">
        <v>55</v>
      </c>
      <c r="HL312">
        <v>2</v>
      </c>
      <c r="HM312">
        <v>0</v>
      </c>
      <c r="HN312">
        <v>2</v>
      </c>
      <c r="HO312">
        <v>85</v>
      </c>
      <c r="HP312">
        <v>3</v>
      </c>
      <c r="HQ312">
        <v>0</v>
      </c>
      <c r="HR312">
        <v>2</v>
      </c>
      <c r="HS312">
        <v>3468</v>
      </c>
      <c r="HT312">
        <v>100</v>
      </c>
      <c r="HU312">
        <v>170</v>
      </c>
      <c r="HW312">
        <v>0</v>
      </c>
      <c r="HX312">
        <v>366</v>
      </c>
      <c r="HY312">
        <v>0.18</v>
      </c>
      <c r="IA312">
        <v>0.15</v>
      </c>
      <c r="IB312">
        <v>0</v>
      </c>
      <c r="IC312">
        <v>180</v>
      </c>
      <c r="ID312">
        <v>110</v>
      </c>
      <c r="IE312">
        <v>225</v>
      </c>
      <c r="IF312">
        <v>0</v>
      </c>
      <c r="IH312" t="s">
        <v>549</v>
      </c>
      <c r="IO312">
        <v>1</v>
      </c>
      <c r="IP312">
        <v>16</v>
      </c>
      <c r="IQ312">
        <v>1</v>
      </c>
      <c r="IR312">
        <v>1</v>
      </c>
      <c r="IV312">
        <v>1200</v>
      </c>
      <c r="IW312">
        <v>352</v>
      </c>
      <c r="JA312">
        <v>1</v>
      </c>
      <c r="JB312">
        <v>0</v>
      </c>
      <c r="JC312">
        <v>2</v>
      </c>
      <c r="JD312">
        <v>1218</v>
      </c>
      <c r="JE312">
        <v>1210</v>
      </c>
      <c r="JF312">
        <v>0</v>
      </c>
      <c r="JG312">
        <v>1194</v>
      </c>
      <c r="JH312">
        <v>0</v>
      </c>
      <c r="JJ312">
        <v>170</v>
      </c>
      <c r="JK312">
        <v>366</v>
      </c>
      <c r="JN312">
        <v>330</v>
      </c>
      <c r="JO312">
        <v>485</v>
      </c>
      <c r="JP312">
        <v>0</v>
      </c>
      <c r="JQ312">
        <v>0</v>
      </c>
      <c r="JR312">
        <v>306</v>
      </c>
      <c r="JS312">
        <v>155</v>
      </c>
      <c r="JV312">
        <v>8</v>
      </c>
      <c r="JW312" t="s">
        <v>550</v>
      </c>
      <c r="JX312">
        <v>0</v>
      </c>
      <c r="KA312">
        <v>225</v>
      </c>
      <c r="KB312">
        <v>110</v>
      </c>
      <c r="KC312">
        <v>0</v>
      </c>
      <c r="KD312">
        <v>80</v>
      </c>
      <c r="KF312">
        <v>4</v>
      </c>
      <c r="KG312">
        <v>2</v>
      </c>
      <c r="KH312">
        <v>2</v>
      </c>
      <c r="KI312">
        <v>2</v>
      </c>
      <c r="KJ312">
        <v>0</v>
      </c>
      <c r="KK312">
        <v>1.5</v>
      </c>
      <c r="KL312">
        <v>1.5</v>
      </c>
      <c r="KM312">
        <v>0</v>
      </c>
      <c r="KN312">
        <v>0</v>
      </c>
      <c r="KO312">
        <v>0</v>
      </c>
      <c r="KR312">
        <v>30</v>
      </c>
      <c r="KS312">
        <v>60</v>
      </c>
      <c r="KT312">
        <v>0</v>
      </c>
      <c r="LK312">
        <v>480</v>
      </c>
      <c r="PG312">
        <v>1</v>
      </c>
      <c r="PI312" t="s">
        <v>3584</v>
      </c>
      <c r="PJ312" t="s">
        <v>3102</v>
      </c>
      <c r="PL312" t="s">
        <v>3585</v>
      </c>
      <c r="PP312" t="s">
        <v>3103</v>
      </c>
      <c r="PX312">
        <v>56</v>
      </c>
      <c r="PY312">
        <v>57</v>
      </c>
      <c r="PZ312" t="s">
        <v>3584</v>
      </c>
      <c r="QA312">
        <v>1</v>
      </c>
      <c r="QB312">
        <v>1194</v>
      </c>
      <c r="QC312">
        <v>69</v>
      </c>
      <c r="QD312">
        <v>69</v>
      </c>
      <c r="QE312" t="s">
        <v>3585</v>
      </c>
      <c r="QF312">
        <v>1</v>
      </c>
      <c r="QG312">
        <v>1218</v>
      </c>
      <c r="QH312">
        <v>66</v>
      </c>
      <c r="QI312">
        <v>66</v>
      </c>
      <c r="QL312">
        <v>0</v>
      </c>
      <c r="QM312">
        <v>62</v>
      </c>
      <c r="QN312">
        <v>62</v>
      </c>
      <c r="QO312" t="s">
        <v>3102</v>
      </c>
      <c r="QP312">
        <v>1</v>
      </c>
      <c r="QQ312">
        <v>1210</v>
      </c>
      <c r="QW312">
        <v>82</v>
      </c>
      <c r="QX312">
        <v>89</v>
      </c>
      <c r="QY312" t="s">
        <v>3103</v>
      </c>
      <c r="QZ312">
        <v>1</v>
      </c>
      <c r="RA312">
        <v>66</v>
      </c>
      <c r="RB312">
        <v>66</v>
      </c>
      <c r="RE312">
        <v>0</v>
      </c>
      <c r="RF312">
        <v>1</v>
      </c>
      <c r="RJ312">
        <v>1</v>
      </c>
      <c r="RL312">
        <v>1</v>
      </c>
      <c r="RO312">
        <v>507</v>
      </c>
      <c r="RQ312">
        <v>780</v>
      </c>
      <c r="RT312">
        <v>146</v>
      </c>
      <c r="RU312">
        <v>110</v>
      </c>
      <c r="RV312" t="s">
        <v>1901</v>
      </c>
      <c r="RW312" t="s">
        <v>552</v>
      </c>
      <c r="RX312">
        <v>15</v>
      </c>
      <c r="RY312">
        <v>4</v>
      </c>
      <c r="RZ312" t="s">
        <v>552</v>
      </c>
      <c r="SA312">
        <v>15</v>
      </c>
      <c r="SC312" t="s">
        <v>3102</v>
      </c>
      <c r="SD312">
        <v>1</v>
      </c>
      <c r="SH312">
        <v>0.995</v>
      </c>
      <c r="SI312">
        <v>0.995</v>
      </c>
      <c r="SJ312">
        <v>0.995</v>
      </c>
      <c r="SK312">
        <v>15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TB312">
        <v>0</v>
      </c>
      <c r="TC312">
        <v>0</v>
      </c>
      <c r="TD312">
        <v>7.5</v>
      </c>
      <c r="TE312" t="s">
        <v>553</v>
      </c>
      <c r="TF312" t="s">
        <v>754</v>
      </c>
      <c r="TG312" t="s">
        <v>555</v>
      </c>
      <c r="TI312" t="s">
        <v>546</v>
      </c>
      <c r="TJ312" t="s">
        <v>547</v>
      </c>
      <c r="TL312" t="s">
        <v>3491</v>
      </c>
      <c r="TM312" t="s">
        <v>513</v>
      </c>
      <c r="TN312">
        <v>0</v>
      </c>
      <c r="TO312" t="s">
        <v>557</v>
      </c>
    </row>
    <row r="313" spans="1:535">
      <c r="A313" t="s">
        <v>3602</v>
      </c>
      <c r="B313" t="s">
        <v>508</v>
      </c>
      <c r="C313" t="s">
        <v>509</v>
      </c>
      <c r="D313" t="s">
        <v>3579</v>
      </c>
      <c r="G313" t="s">
        <v>3580</v>
      </c>
      <c r="I313" t="s">
        <v>562</v>
      </c>
      <c r="L313" t="s">
        <v>512</v>
      </c>
      <c r="N313" t="s">
        <v>513</v>
      </c>
      <c r="O313" t="s">
        <v>1255</v>
      </c>
      <c r="P313" t="s">
        <v>515</v>
      </c>
      <c r="Q313" t="s">
        <v>3600</v>
      </c>
      <c r="R313" t="s">
        <v>517</v>
      </c>
      <c r="S313" t="s">
        <v>518</v>
      </c>
      <c r="T313" t="s">
        <v>519</v>
      </c>
      <c r="U313" t="s">
        <v>520</v>
      </c>
      <c r="V313" t="s">
        <v>521</v>
      </c>
      <c r="W313" t="s">
        <v>3098</v>
      </c>
      <c r="X313" t="s">
        <v>3582</v>
      </c>
      <c r="Y313" t="s">
        <v>524</v>
      </c>
      <c r="AA313" t="s">
        <v>3601</v>
      </c>
      <c r="AB313" t="s">
        <v>3584</v>
      </c>
      <c r="AC313">
        <v>2</v>
      </c>
      <c r="AD313">
        <v>57</v>
      </c>
      <c r="AE313">
        <v>153</v>
      </c>
      <c r="AF313">
        <v>1.5</v>
      </c>
      <c r="AH313">
        <v>0</v>
      </c>
      <c r="AI313" t="s">
        <v>3585</v>
      </c>
      <c r="AJ313">
        <v>165</v>
      </c>
      <c r="AK313">
        <v>1</v>
      </c>
      <c r="AL313">
        <v>1.5</v>
      </c>
      <c r="AM313" t="s">
        <v>529</v>
      </c>
      <c r="AO313">
        <v>0</v>
      </c>
      <c r="AR313">
        <v>0</v>
      </c>
      <c r="AS313">
        <v>1.5</v>
      </c>
      <c r="AU313" t="s">
        <v>3102</v>
      </c>
      <c r="AW313" t="s">
        <v>3102</v>
      </c>
      <c r="AX313">
        <v>1</v>
      </c>
      <c r="AY313">
        <v>242.5</v>
      </c>
      <c r="AZ313">
        <v>1.5</v>
      </c>
      <c r="BA313" t="s">
        <v>529</v>
      </c>
      <c r="BG313">
        <v>1.5</v>
      </c>
      <c r="BJ313">
        <v>0</v>
      </c>
      <c r="BN313">
        <v>1.5</v>
      </c>
      <c r="BP313" t="s">
        <v>3103</v>
      </c>
      <c r="BQ313">
        <v>89</v>
      </c>
      <c r="BR313">
        <v>2</v>
      </c>
      <c r="BS313" t="s">
        <v>1898</v>
      </c>
      <c r="BT313">
        <v>176</v>
      </c>
      <c r="BU313">
        <v>0.5</v>
      </c>
      <c r="BV313" t="s">
        <v>1898</v>
      </c>
      <c r="BW313">
        <v>352</v>
      </c>
      <c r="BX313">
        <v>1</v>
      </c>
      <c r="BY313" t="s">
        <v>533</v>
      </c>
      <c r="BZ313">
        <v>300</v>
      </c>
      <c r="CA313">
        <v>420</v>
      </c>
      <c r="CB313" t="s">
        <v>534</v>
      </c>
      <c r="CC313" t="s">
        <v>644</v>
      </c>
      <c r="CD313">
        <v>366</v>
      </c>
      <c r="CE313" t="s">
        <v>1470</v>
      </c>
      <c r="CF313">
        <v>15</v>
      </c>
      <c r="CG313" t="s">
        <v>3586</v>
      </c>
      <c r="CH313" t="s">
        <v>3586</v>
      </c>
      <c r="CI313">
        <v>60</v>
      </c>
      <c r="CJ313">
        <v>1200</v>
      </c>
      <c r="CK313">
        <v>2</v>
      </c>
      <c r="CL313">
        <v>1301</v>
      </c>
      <c r="CM313">
        <v>2</v>
      </c>
      <c r="CN313" t="s">
        <v>537</v>
      </c>
      <c r="CO313" t="s">
        <v>538</v>
      </c>
      <c r="CP313" t="s">
        <v>539</v>
      </c>
      <c r="CQ313" t="s">
        <v>540</v>
      </c>
      <c r="CR313" t="s">
        <v>541</v>
      </c>
      <c r="CS313" t="s">
        <v>542</v>
      </c>
      <c r="CT313">
        <v>330</v>
      </c>
      <c r="CU313">
        <v>5</v>
      </c>
      <c r="CV313">
        <v>1.3</v>
      </c>
      <c r="CW313">
        <v>1218</v>
      </c>
      <c r="CX313">
        <v>618</v>
      </c>
      <c r="DD313">
        <v>0</v>
      </c>
      <c r="DE313" t="s">
        <v>543</v>
      </c>
      <c r="DF313">
        <v>485</v>
      </c>
      <c r="DG313">
        <v>3</v>
      </c>
      <c r="DH313">
        <v>1.18</v>
      </c>
      <c r="DI313">
        <v>1210</v>
      </c>
      <c r="DJ313">
        <v>944</v>
      </c>
      <c r="DW313" t="s">
        <v>544</v>
      </c>
      <c r="DX313">
        <v>7.5</v>
      </c>
      <c r="EA313">
        <v>1123</v>
      </c>
      <c r="EB313">
        <v>146</v>
      </c>
      <c r="EC313" t="s">
        <v>545</v>
      </c>
      <c r="ED313">
        <v>25</v>
      </c>
      <c r="EE313">
        <v>3</v>
      </c>
      <c r="EG313">
        <v>1154</v>
      </c>
      <c r="EH313">
        <v>110</v>
      </c>
      <c r="EJ313">
        <v>0</v>
      </c>
      <c r="EK313">
        <v>1</v>
      </c>
      <c r="EN313">
        <v>0</v>
      </c>
      <c r="EP313" t="s">
        <v>546</v>
      </c>
      <c r="EQ313">
        <v>100</v>
      </c>
      <c r="ER313">
        <v>3</v>
      </c>
      <c r="ES313">
        <v>5</v>
      </c>
      <c r="ET313">
        <v>1194</v>
      </c>
      <c r="EU313">
        <v>383.6</v>
      </c>
      <c r="EV313">
        <v>458</v>
      </c>
      <c r="EW313" t="s">
        <v>547</v>
      </c>
      <c r="EX313">
        <v>70</v>
      </c>
      <c r="EY313">
        <v>2</v>
      </c>
      <c r="EZ313">
        <v>4</v>
      </c>
      <c r="FA313">
        <v>1194</v>
      </c>
      <c r="FB313">
        <v>199.8</v>
      </c>
      <c r="FC313">
        <v>239</v>
      </c>
      <c r="FE313">
        <v>0</v>
      </c>
      <c r="FF313">
        <v>2</v>
      </c>
      <c r="FI313">
        <v>0</v>
      </c>
      <c r="FK313" t="s">
        <v>548</v>
      </c>
      <c r="FL313">
        <v>0.4</v>
      </c>
      <c r="FM313">
        <v>80</v>
      </c>
      <c r="FN313">
        <v>90</v>
      </c>
      <c r="FR313" t="s">
        <v>548</v>
      </c>
      <c r="FS313">
        <v>0.4</v>
      </c>
      <c r="FT313">
        <v>30</v>
      </c>
      <c r="FU313">
        <v>320</v>
      </c>
      <c r="FV313">
        <v>30</v>
      </c>
      <c r="FW313">
        <v>210</v>
      </c>
      <c r="HC313">
        <v>0.1</v>
      </c>
      <c r="HD313">
        <v>3</v>
      </c>
      <c r="HE313">
        <v>3</v>
      </c>
      <c r="HF313">
        <v>3</v>
      </c>
      <c r="HG313">
        <v>3</v>
      </c>
      <c r="HH313">
        <v>3</v>
      </c>
      <c r="HI313">
        <v>155</v>
      </c>
      <c r="HJ313">
        <v>3</v>
      </c>
      <c r="HK313">
        <v>55</v>
      </c>
      <c r="HL313">
        <v>2</v>
      </c>
      <c r="HM313">
        <v>0</v>
      </c>
      <c r="HN313">
        <v>2</v>
      </c>
      <c r="HO313">
        <v>85</v>
      </c>
      <c r="HP313">
        <v>3</v>
      </c>
      <c r="HQ313">
        <v>0</v>
      </c>
      <c r="HR313">
        <v>2</v>
      </c>
      <c r="HS313">
        <v>3468</v>
      </c>
      <c r="HT313">
        <v>100</v>
      </c>
      <c r="HU313">
        <v>170</v>
      </c>
      <c r="HW313">
        <v>0</v>
      </c>
      <c r="HX313">
        <v>366</v>
      </c>
      <c r="HY313">
        <v>0.18</v>
      </c>
      <c r="IA313">
        <v>0.15</v>
      </c>
      <c r="IB313">
        <v>0</v>
      </c>
      <c r="IC313">
        <v>180</v>
      </c>
      <c r="ID313">
        <v>110</v>
      </c>
      <c r="IE313">
        <v>225</v>
      </c>
      <c r="IF313">
        <v>0</v>
      </c>
      <c r="IH313" t="s">
        <v>549</v>
      </c>
      <c r="IO313">
        <v>1</v>
      </c>
      <c r="IP313">
        <v>16</v>
      </c>
      <c r="IQ313">
        <v>1</v>
      </c>
      <c r="IR313">
        <v>1</v>
      </c>
      <c r="IV313">
        <v>1200</v>
      </c>
      <c r="IW313">
        <v>352</v>
      </c>
      <c r="JA313">
        <v>1</v>
      </c>
      <c r="JB313">
        <v>0</v>
      </c>
      <c r="JC313">
        <v>2</v>
      </c>
      <c r="JD313">
        <v>1218</v>
      </c>
      <c r="JE313">
        <v>1210</v>
      </c>
      <c r="JF313">
        <v>0</v>
      </c>
      <c r="JG313">
        <v>1194</v>
      </c>
      <c r="JH313">
        <v>0</v>
      </c>
      <c r="JJ313">
        <v>170</v>
      </c>
      <c r="JK313">
        <v>366</v>
      </c>
      <c r="JN313">
        <v>330</v>
      </c>
      <c r="JO313">
        <v>485</v>
      </c>
      <c r="JP313">
        <v>0</v>
      </c>
      <c r="JQ313">
        <v>0</v>
      </c>
      <c r="JR313">
        <v>306</v>
      </c>
      <c r="JS313">
        <v>155</v>
      </c>
      <c r="JV313">
        <v>8</v>
      </c>
      <c r="JW313" t="s">
        <v>550</v>
      </c>
      <c r="JX313">
        <v>0</v>
      </c>
      <c r="KA313">
        <v>225</v>
      </c>
      <c r="KB313">
        <v>110</v>
      </c>
      <c r="KC313">
        <v>0</v>
      </c>
      <c r="KD313">
        <v>80</v>
      </c>
      <c r="KF313">
        <v>4</v>
      </c>
      <c r="KG313">
        <v>2</v>
      </c>
      <c r="KH313">
        <v>2</v>
      </c>
      <c r="KI313">
        <v>2</v>
      </c>
      <c r="KJ313">
        <v>0</v>
      </c>
      <c r="KK313">
        <v>1.5</v>
      </c>
      <c r="KL313">
        <v>1.5</v>
      </c>
      <c r="KM313">
        <v>0</v>
      </c>
      <c r="KN313">
        <v>0</v>
      </c>
      <c r="KO313">
        <v>0</v>
      </c>
      <c r="KR313">
        <v>30</v>
      </c>
      <c r="KS313">
        <v>60</v>
      </c>
      <c r="KT313">
        <v>0</v>
      </c>
      <c r="LK313">
        <v>480</v>
      </c>
      <c r="PG313">
        <v>1</v>
      </c>
      <c r="PI313" t="s">
        <v>3584</v>
      </c>
      <c r="PJ313" t="s">
        <v>3102</v>
      </c>
      <c r="PL313" t="s">
        <v>3585</v>
      </c>
      <c r="PP313" t="s">
        <v>3103</v>
      </c>
      <c r="PX313">
        <v>56</v>
      </c>
      <c r="PY313">
        <v>57</v>
      </c>
      <c r="PZ313" t="s">
        <v>3584</v>
      </c>
      <c r="QA313">
        <v>1</v>
      </c>
      <c r="QB313">
        <v>1194</v>
      </c>
      <c r="QC313">
        <v>69</v>
      </c>
      <c r="QD313">
        <v>69</v>
      </c>
      <c r="QE313" t="s">
        <v>3585</v>
      </c>
      <c r="QF313">
        <v>1</v>
      </c>
      <c r="QG313">
        <v>1218</v>
      </c>
      <c r="QH313">
        <v>66</v>
      </c>
      <c r="QI313">
        <v>66</v>
      </c>
      <c r="QL313">
        <v>0</v>
      </c>
      <c r="QM313">
        <v>62</v>
      </c>
      <c r="QN313">
        <v>62</v>
      </c>
      <c r="QO313" t="s">
        <v>3102</v>
      </c>
      <c r="QP313">
        <v>1</v>
      </c>
      <c r="QQ313">
        <v>1210</v>
      </c>
      <c r="QW313">
        <v>82</v>
      </c>
      <c r="QX313">
        <v>89</v>
      </c>
      <c r="QY313" t="s">
        <v>3103</v>
      </c>
      <c r="QZ313">
        <v>1</v>
      </c>
      <c r="RA313">
        <v>66</v>
      </c>
      <c r="RB313">
        <v>66</v>
      </c>
      <c r="RE313">
        <v>0</v>
      </c>
      <c r="RF313">
        <v>1</v>
      </c>
      <c r="RJ313">
        <v>1</v>
      </c>
      <c r="RL313">
        <v>1</v>
      </c>
      <c r="RO313">
        <v>507</v>
      </c>
      <c r="RQ313">
        <v>780</v>
      </c>
      <c r="RT313">
        <v>146</v>
      </c>
      <c r="RU313">
        <v>110</v>
      </c>
      <c r="RV313" t="s">
        <v>1901</v>
      </c>
      <c r="RW313" t="s">
        <v>552</v>
      </c>
      <c r="RX313">
        <v>15</v>
      </c>
      <c r="RY313">
        <v>4</v>
      </c>
      <c r="RZ313" t="s">
        <v>552</v>
      </c>
      <c r="SA313">
        <v>15</v>
      </c>
      <c r="SC313" t="s">
        <v>3102</v>
      </c>
      <c r="SD313">
        <v>1</v>
      </c>
      <c r="SH313">
        <v>0.995</v>
      </c>
      <c r="SI313">
        <v>0.995</v>
      </c>
      <c r="SJ313">
        <v>0.995</v>
      </c>
      <c r="SK313">
        <v>15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TB313">
        <v>0</v>
      </c>
      <c r="TC313">
        <v>0</v>
      </c>
      <c r="TD313">
        <v>7.5</v>
      </c>
      <c r="TE313" t="s">
        <v>553</v>
      </c>
      <c r="TF313" t="s">
        <v>754</v>
      </c>
      <c r="TG313" t="s">
        <v>555</v>
      </c>
      <c r="TI313" t="s">
        <v>546</v>
      </c>
      <c r="TJ313" t="s">
        <v>547</v>
      </c>
      <c r="TL313" t="s">
        <v>3491</v>
      </c>
      <c r="TM313" t="s">
        <v>513</v>
      </c>
      <c r="TN313">
        <v>0</v>
      </c>
      <c r="TO313" t="s">
        <v>557</v>
      </c>
    </row>
    <row r="314" spans="1:535">
      <c r="A314" t="s">
        <v>3603</v>
      </c>
      <c r="B314" t="s">
        <v>508</v>
      </c>
      <c r="C314" t="s">
        <v>509</v>
      </c>
      <c r="D314" t="s">
        <v>3579</v>
      </c>
      <c r="G314" t="s">
        <v>3580</v>
      </c>
      <c r="I314" t="s">
        <v>562</v>
      </c>
      <c r="L314" t="s">
        <v>512</v>
      </c>
      <c r="N314" t="s">
        <v>513</v>
      </c>
      <c r="O314" t="s">
        <v>1255</v>
      </c>
      <c r="P314" t="s">
        <v>515</v>
      </c>
      <c r="Q314" t="s">
        <v>3604</v>
      </c>
      <c r="R314" t="s">
        <v>517</v>
      </c>
      <c r="S314" t="s">
        <v>518</v>
      </c>
      <c r="T314" t="s">
        <v>519</v>
      </c>
      <c r="U314" t="s">
        <v>520</v>
      </c>
      <c r="V314" t="s">
        <v>521</v>
      </c>
      <c r="W314" t="s">
        <v>3098</v>
      </c>
      <c r="X314" t="s">
        <v>3582</v>
      </c>
      <c r="Y314" t="s">
        <v>524</v>
      </c>
      <c r="AA314" t="s">
        <v>3605</v>
      </c>
      <c r="AB314" t="s">
        <v>3584</v>
      </c>
      <c r="AC314">
        <v>2</v>
      </c>
      <c r="AD314">
        <v>57</v>
      </c>
      <c r="AE314">
        <v>153</v>
      </c>
      <c r="AF314">
        <v>1.5</v>
      </c>
      <c r="AH314">
        <v>0</v>
      </c>
      <c r="AI314" t="s">
        <v>3585</v>
      </c>
      <c r="AJ314">
        <v>165</v>
      </c>
      <c r="AK314">
        <v>1</v>
      </c>
      <c r="AL314">
        <v>1.5</v>
      </c>
      <c r="AM314" t="s">
        <v>529</v>
      </c>
      <c r="AO314">
        <v>0</v>
      </c>
      <c r="AR314">
        <v>0</v>
      </c>
      <c r="AS314">
        <v>1.5</v>
      </c>
      <c r="AU314" t="s">
        <v>3102</v>
      </c>
      <c r="AW314" t="s">
        <v>3102</v>
      </c>
      <c r="AX314">
        <v>1</v>
      </c>
      <c r="AY314">
        <v>242.5</v>
      </c>
      <c r="AZ314">
        <v>1.5</v>
      </c>
      <c r="BA314" t="s">
        <v>529</v>
      </c>
      <c r="BG314">
        <v>1.5</v>
      </c>
      <c r="BJ314">
        <v>0</v>
      </c>
      <c r="BN314">
        <v>1.5</v>
      </c>
      <c r="BP314" t="s">
        <v>3103</v>
      </c>
      <c r="BQ314">
        <v>89</v>
      </c>
      <c r="BR314">
        <v>2</v>
      </c>
      <c r="BS314" t="s">
        <v>1898</v>
      </c>
      <c r="BT314">
        <v>176</v>
      </c>
      <c r="BU314">
        <v>0.5</v>
      </c>
      <c r="BV314" t="s">
        <v>1898</v>
      </c>
      <c r="BW314">
        <v>352</v>
      </c>
      <c r="BX314">
        <v>1</v>
      </c>
      <c r="BY314" t="s">
        <v>533</v>
      </c>
      <c r="BZ314">
        <v>300</v>
      </c>
      <c r="CA314">
        <v>420</v>
      </c>
      <c r="CB314" t="s">
        <v>534</v>
      </c>
      <c r="CC314" t="s">
        <v>644</v>
      </c>
      <c r="CD314">
        <v>366</v>
      </c>
      <c r="CE314" t="s">
        <v>1470</v>
      </c>
      <c r="CF314">
        <v>15</v>
      </c>
      <c r="CG314" t="s">
        <v>3586</v>
      </c>
      <c r="CH314" t="s">
        <v>3586</v>
      </c>
      <c r="CI314">
        <v>60</v>
      </c>
      <c r="CJ314">
        <v>1200</v>
      </c>
      <c r="CK314">
        <v>2</v>
      </c>
      <c r="CL314">
        <v>1301</v>
      </c>
      <c r="CM314">
        <v>2</v>
      </c>
      <c r="CN314" t="s">
        <v>537</v>
      </c>
      <c r="CO314" t="s">
        <v>538</v>
      </c>
      <c r="CP314" t="s">
        <v>539</v>
      </c>
      <c r="CQ314" t="s">
        <v>540</v>
      </c>
      <c r="CR314" t="s">
        <v>541</v>
      </c>
      <c r="CS314" t="s">
        <v>542</v>
      </c>
      <c r="CT314">
        <v>330</v>
      </c>
      <c r="CU314">
        <v>5</v>
      </c>
      <c r="CV314">
        <v>1.3</v>
      </c>
      <c r="CW314">
        <v>1218</v>
      </c>
      <c r="CX314">
        <v>618</v>
      </c>
      <c r="DD314">
        <v>0</v>
      </c>
      <c r="DE314" t="s">
        <v>543</v>
      </c>
      <c r="DF314">
        <v>485</v>
      </c>
      <c r="DG314">
        <v>3</v>
      </c>
      <c r="DH314">
        <v>1.18</v>
      </c>
      <c r="DI314">
        <v>1210</v>
      </c>
      <c r="DJ314">
        <v>944</v>
      </c>
      <c r="DW314" t="s">
        <v>544</v>
      </c>
      <c r="DX314">
        <v>7.5</v>
      </c>
      <c r="EA314">
        <v>1123</v>
      </c>
      <c r="EB314">
        <v>146</v>
      </c>
      <c r="EC314" t="s">
        <v>545</v>
      </c>
      <c r="ED314">
        <v>25</v>
      </c>
      <c r="EE314">
        <v>3</v>
      </c>
      <c r="EG314">
        <v>1154</v>
      </c>
      <c r="EH314">
        <v>110</v>
      </c>
      <c r="EJ314">
        <v>0</v>
      </c>
      <c r="EK314">
        <v>1</v>
      </c>
      <c r="EN314">
        <v>0</v>
      </c>
      <c r="EP314" t="s">
        <v>546</v>
      </c>
      <c r="EQ314">
        <v>100</v>
      </c>
      <c r="ER314">
        <v>3</v>
      </c>
      <c r="ES314">
        <v>5</v>
      </c>
      <c r="ET314">
        <v>1194</v>
      </c>
      <c r="EU314">
        <v>383.6</v>
      </c>
      <c r="EV314">
        <v>458</v>
      </c>
      <c r="EW314" t="s">
        <v>547</v>
      </c>
      <c r="EX314">
        <v>70</v>
      </c>
      <c r="EY314">
        <v>2</v>
      </c>
      <c r="EZ314">
        <v>4</v>
      </c>
      <c r="FA314">
        <v>1194</v>
      </c>
      <c r="FB314">
        <v>199.8</v>
      </c>
      <c r="FC314">
        <v>239</v>
      </c>
      <c r="FE314">
        <v>0</v>
      </c>
      <c r="FF314">
        <v>2</v>
      </c>
      <c r="FI314">
        <v>0</v>
      </c>
      <c r="FK314" t="s">
        <v>548</v>
      </c>
      <c r="FL314">
        <v>0.4</v>
      </c>
      <c r="FM314">
        <v>80</v>
      </c>
      <c r="FN314">
        <v>90</v>
      </c>
      <c r="FR314" t="s">
        <v>548</v>
      </c>
      <c r="FS314">
        <v>0.4</v>
      </c>
      <c r="FT314">
        <v>30</v>
      </c>
      <c r="FU314">
        <v>320</v>
      </c>
      <c r="FV314">
        <v>30</v>
      </c>
      <c r="FW314">
        <v>210</v>
      </c>
      <c r="HC314">
        <v>0.1</v>
      </c>
      <c r="HD314">
        <v>3</v>
      </c>
      <c r="HE314">
        <v>3</v>
      </c>
      <c r="HF314">
        <v>3</v>
      </c>
      <c r="HG314">
        <v>3</v>
      </c>
      <c r="HH314">
        <v>3</v>
      </c>
      <c r="HI314">
        <v>155</v>
      </c>
      <c r="HJ314">
        <v>3</v>
      </c>
      <c r="HK314">
        <v>55</v>
      </c>
      <c r="HL314">
        <v>2</v>
      </c>
      <c r="HM314">
        <v>0</v>
      </c>
      <c r="HN314">
        <v>2</v>
      </c>
      <c r="HO314">
        <v>85</v>
      </c>
      <c r="HP314">
        <v>3</v>
      </c>
      <c r="HQ314">
        <v>0</v>
      </c>
      <c r="HR314">
        <v>2</v>
      </c>
      <c r="HS314">
        <v>3468</v>
      </c>
      <c r="HT314">
        <v>100</v>
      </c>
      <c r="HU314">
        <v>170</v>
      </c>
      <c r="HW314">
        <v>0</v>
      </c>
      <c r="HX314">
        <v>366</v>
      </c>
      <c r="HY314">
        <v>0.18</v>
      </c>
      <c r="IA314">
        <v>0.15</v>
      </c>
      <c r="IB314">
        <v>0</v>
      </c>
      <c r="IC314">
        <v>180</v>
      </c>
      <c r="ID314">
        <v>110</v>
      </c>
      <c r="IE314">
        <v>225</v>
      </c>
      <c r="IF314">
        <v>0</v>
      </c>
      <c r="IH314" t="s">
        <v>549</v>
      </c>
      <c r="IO314">
        <v>1</v>
      </c>
      <c r="IP314">
        <v>16</v>
      </c>
      <c r="IQ314">
        <v>1</v>
      </c>
      <c r="IR314">
        <v>1</v>
      </c>
      <c r="IV314">
        <v>1200</v>
      </c>
      <c r="IW314">
        <v>352</v>
      </c>
      <c r="JA314">
        <v>1</v>
      </c>
      <c r="JB314">
        <v>0</v>
      </c>
      <c r="JC314">
        <v>2</v>
      </c>
      <c r="JD314">
        <v>1218</v>
      </c>
      <c r="JE314">
        <v>1210</v>
      </c>
      <c r="JF314">
        <v>0</v>
      </c>
      <c r="JG314">
        <v>1194</v>
      </c>
      <c r="JH314">
        <v>0</v>
      </c>
      <c r="JJ314">
        <v>170</v>
      </c>
      <c r="JK314">
        <v>366</v>
      </c>
      <c r="JN314">
        <v>330</v>
      </c>
      <c r="JO314">
        <v>485</v>
      </c>
      <c r="JP314">
        <v>0</v>
      </c>
      <c r="JQ314">
        <v>0</v>
      </c>
      <c r="JR314">
        <v>306</v>
      </c>
      <c r="JS314">
        <v>155</v>
      </c>
      <c r="JV314">
        <v>8</v>
      </c>
      <c r="JW314" t="s">
        <v>550</v>
      </c>
      <c r="JX314">
        <v>0</v>
      </c>
      <c r="KA314">
        <v>225</v>
      </c>
      <c r="KB314">
        <v>110</v>
      </c>
      <c r="KC314">
        <v>0</v>
      </c>
      <c r="KD314">
        <v>80</v>
      </c>
      <c r="KF314">
        <v>4</v>
      </c>
      <c r="KG314">
        <v>2</v>
      </c>
      <c r="KH314">
        <v>2</v>
      </c>
      <c r="KI314">
        <v>2</v>
      </c>
      <c r="KJ314">
        <v>0</v>
      </c>
      <c r="KK314">
        <v>1.5</v>
      </c>
      <c r="KL314">
        <v>1.5</v>
      </c>
      <c r="KM314">
        <v>0</v>
      </c>
      <c r="KN314">
        <v>0</v>
      </c>
      <c r="KO314">
        <v>0</v>
      </c>
      <c r="KR314">
        <v>30</v>
      </c>
      <c r="KS314">
        <v>60</v>
      </c>
      <c r="KT314">
        <v>0</v>
      </c>
      <c r="LK314">
        <v>480</v>
      </c>
      <c r="PG314">
        <v>1</v>
      </c>
      <c r="PI314" t="s">
        <v>3584</v>
      </c>
      <c r="PJ314" t="s">
        <v>3102</v>
      </c>
      <c r="PL314" t="s">
        <v>3585</v>
      </c>
      <c r="PP314" t="s">
        <v>3103</v>
      </c>
      <c r="PX314">
        <v>56</v>
      </c>
      <c r="PY314">
        <v>57</v>
      </c>
      <c r="PZ314" t="s">
        <v>3584</v>
      </c>
      <c r="QA314">
        <v>1</v>
      </c>
      <c r="QB314">
        <v>1194</v>
      </c>
      <c r="QC314">
        <v>69</v>
      </c>
      <c r="QD314">
        <v>69</v>
      </c>
      <c r="QE314" t="s">
        <v>3585</v>
      </c>
      <c r="QF314">
        <v>1</v>
      </c>
      <c r="QG314">
        <v>1218</v>
      </c>
      <c r="QH314">
        <v>66</v>
      </c>
      <c r="QI314">
        <v>66</v>
      </c>
      <c r="QL314">
        <v>0</v>
      </c>
      <c r="QM314">
        <v>62</v>
      </c>
      <c r="QN314">
        <v>62</v>
      </c>
      <c r="QO314" t="s">
        <v>3102</v>
      </c>
      <c r="QP314">
        <v>1</v>
      </c>
      <c r="QQ314">
        <v>1210</v>
      </c>
      <c r="QW314">
        <v>82</v>
      </c>
      <c r="QX314">
        <v>89</v>
      </c>
      <c r="QY314" t="s">
        <v>3103</v>
      </c>
      <c r="QZ314">
        <v>1</v>
      </c>
      <c r="RA314">
        <v>66</v>
      </c>
      <c r="RB314">
        <v>66</v>
      </c>
      <c r="RE314">
        <v>0</v>
      </c>
      <c r="RF314">
        <v>1</v>
      </c>
      <c r="RJ314">
        <v>1</v>
      </c>
      <c r="RL314">
        <v>1</v>
      </c>
      <c r="RO314">
        <v>507</v>
      </c>
      <c r="RQ314">
        <v>780</v>
      </c>
      <c r="RT314">
        <v>146</v>
      </c>
      <c r="RU314">
        <v>110</v>
      </c>
      <c r="RV314" t="s">
        <v>1901</v>
      </c>
      <c r="RW314" t="s">
        <v>552</v>
      </c>
      <c r="RX314">
        <v>15</v>
      </c>
      <c r="RY314">
        <v>4</v>
      </c>
      <c r="RZ314" t="s">
        <v>552</v>
      </c>
      <c r="SA314">
        <v>15</v>
      </c>
      <c r="SC314" t="s">
        <v>3102</v>
      </c>
      <c r="SD314">
        <v>1</v>
      </c>
      <c r="SH314">
        <v>0.995</v>
      </c>
      <c r="SI314">
        <v>0.995</v>
      </c>
      <c r="SJ314">
        <v>0.995</v>
      </c>
      <c r="SK314">
        <v>15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TB314">
        <v>0</v>
      </c>
      <c r="TC314">
        <v>0</v>
      </c>
      <c r="TD314">
        <v>7.5</v>
      </c>
      <c r="TE314" t="s">
        <v>553</v>
      </c>
      <c r="TF314" t="s">
        <v>754</v>
      </c>
      <c r="TG314" t="s">
        <v>555</v>
      </c>
      <c r="TI314" t="s">
        <v>546</v>
      </c>
      <c r="TJ314" t="s">
        <v>547</v>
      </c>
      <c r="TL314" t="s">
        <v>3491</v>
      </c>
      <c r="TM314" t="s">
        <v>513</v>
      </c>
      <c r="TN314">
        <v>0</v>
      </c>
      <c r="TO314" t="s">
        <v>557</v>
      </c>
    </row>
    <row r="315" spans="1:535">
      <c r="A315" t="s">
        <v>3600</v>
      </c>
      <c r="B315" t="s">
        <v>508</v>
      </c>
      <c r="C315" t="s">
        <v>509</v>
      </c>
      <c r="D315" t="s">
        <v>3579</v>
      </c>
      <c r="G315" t="s">
        <v>3580</v>
      </c>
      <c r="I315" t="s">
        <v>562</v>
      </c>
      <c r="L315" t="s">
        <v>512</v>
      </c>
      <c r="N315" t="s">
        <v>513</v>
      </c>
      <c r="O315" t="s">
        <v>1255</v>
      </c>
      <c r="P315" t="s">
        <v>515</v>
      </c>
      <c r="Q315" t="s">
        <v>3606</v>
      </c>
      <c r="R315" t="s">
        <v>517</v>
      </c>
      <c r="S315" t="s">
        <v>518</v>
      </c>
      <c r="T315" t="s">
        <v>519</v>
      </c>
      <c r="U315" t="s">
        <v>520</v>
      </c>
      <c r="V315" t="s">
        <v>521</v>
      </c>
      <c r="W315" t="s">
        <v>3098</v>
      </c>
      <c r="X315" t="s">
        <v>3582</v>
      </c>
      <c r="Y315" t="s">
        <v>524</v>
      </c>
      <c r="AA315" t="s">
        <v>3607</v>
      </c>
      <c r="AB315" t="s">
        <v>3584</v>
      </c>
      <c r="AC315">
        <v>2</v>
      </c>
      <c r="AD315">
        <v>57</v>
      </c>
      <c r="AE315">
        <v>153</v>
      </c>
      <c r="AF315">
        <v>1.5</v>
      </c>
      <c r="AH315">
        <v>0</v>
      </c>
      <c r="AI315" t="s">
        <v>3585</v>
      </c>
      <c r="AJ315">
        <v>165</v>
      </c>
      <c r="AK315">
        <v>1</v>
      </c>
      <c r="AL315">
        <v>1.5</v>
      </c>
      <c r="AM315" t="s">
        <v>529</v>
      </c>
      <c r="AO315">
        <v>0</v>
      </c>
      <c r="AR315">
        <v>0</v>
      </c>
      <c r="AS315">
        <v>1.5</v>
      </c>
      <c r="AU315" t="s">
        <v>3102</v>
      </c>
      <c r="AW315" t="s">
        <v>3102</v>
      </c>
      <c r="AX315">
        <v>1</v>
      </c>
      <c r="AY315">
        <v>242.5</v>
      </c>
      <c r="AZ315">
        <v>1.5</v>
      </c>
      <c r="BA315" t="s">
        <v>529</v>
      </c>
      <c r="BG315">
        <v>1.5</v>
      </c>
      <c r="BJ315">
        <v>0</v>
      </c>
      <c r="BN315">
        <v>1.5</v>
      </c>
      <c r="BP315" t="s">
        <v>3103</v>
      </c>
      <c r="BQ315">
        <v>89</v>
      </c>
      <c r="BR315">
        <v>2</v>
      </c>
      <c r="BS315" t="s">
        <v>1898</v>
      </c>
      <c r="BT315">
        <v>176</v>
      </c>
      <c r="BU315">
        <v>0.5</v>
      </c>
      <c r="BV315" t="s">
        <v>1898</v>
      </c>
      <c r="BW315">
        <v>352</v>
      </c>
      <c r="BX315">
        <v>1</v>
      </c>
      <c r="BY315" t="s">
        <v>533</v>
      </c>
      <c r="BZ315">
        <v>300</v>
      </c>
      <c r="CA315">
        <v>420</v>
      </c>
      <c r="CB315" t="s">
        <v>534</v>
      </c>
      <c r="CC315" t="s">
        <v>644</v>
      </c>
      <c r="CD315">
        <v>366</v>
      </c>
      <c r="CE315" t="s">
        <v>1470</v>
      </c>
      <c r="CF315">
        <v>15</v>
      </c>
      <c r="CG315" t="s">
        <v>3586</v>
      </c>
      <c r="CH315" t="s">
        <v>3586</v>
      </c>
      <c r="CI315">
        <v>60</v>
      </c>
      <c r="CJ315">
        <v>1200</v>
      </c>
      <c r="CK315">
        <v>2</v>
      </c>
      <c r="CL315">
        <v>1301</v>
      </c>
      <c r="CM315">
        <v>2</v>
      </c>
      <c r="CN315" t="s">
        <v>537</v>
      </c>
      <c r="CO315" t="s">
        <v>538</v>
      </c>
      <c r="CP315" t="s">
        <v>539</v>
      </c>
      <c r="CQ315" t="s">
        <v>540</v>
      </c>
      <c r="CR315" t="s">
        <v>541</v>
      </c>
      <c r="CS315" t="s">
        <v>542</v>
      </c>
      <c r="CT315">
        <v>330</v>
      </c>
      <c r="CU315">
        <v>5</v>
      </c>
      <c r="CV315">
        <v>1.3</v>
      </c>
      <c r="CW315">
        <v>1218</v>
      </c>
      <c r="CX315">
        <v>618</v>
      </c>
      <c r="DD315">
        <v>0</v>
      </c>
      <c r="DE315" t="s">
        <v>543</v>
      </c>
      <c r="DF315">
        <v>485</v>
      </c>
      <c r="DG315">
        <v>3</v>
      </c>
      <c r="DH315">
        <v>1.18</v>
      </c>
      <c r="DI315">
        <v>1210</v>
      </c>
      <c r="DJ315">
        <v>944</v>
      </c>
      <c r="DW315" t="s">
        <v>544</v>
      </c>
      <c r="DX315">
        <v>7.5</v>
      </c>
      <c r="EA315">
        <v>1123</v>
      </c>
      <c r="EB315">
        <v>146</v>
      </c>
      <c r="EC315" t="s">
        <v>545</v>
      </c>
      <c r="ED315">
        <v>25</v>
      </c>
      <c r="EE315">
        <v>3</v>
      </c>
      <c r="EG315">
        <v>1154</v>
      </c>
      <c r="EH315">
        <v>110</v>
      </c>
      <c r="EJ315">
        <v>0</v>
      </c>
      <c r="EK315">
        <v>1</v>
      </c>
      <c r="EN315">
        <v>0</v>
      </c>
      <c r="EP315" t="s">
        <v>546</v>
      </c>
      <c r="EQ315">
        <v>100</v>
      </c>
      <c r="ER315">
        <v>3</v>
      </c>
      <c r="ES315">
        <v>5</v>
      </c>
      <c r="ET315">
        <v>1194</v>
      </c>
      <c r="EU315">
        <v>383.6</v>
      </c>
      <c r="EV315">
        <v>458</v>
      </c>
      <c r="EW315" t="s">
        <v>547</v>
      </c>
      <c r="EX315">
        <v>70</v>
      </c>
      <c r="EY315">
        <v>2</v>
      </c>
      <c r="EZ315">
        <v>4</v>
      </c>
      <c r="FA315">
        <v>1194</v>
      </c>
      <c r="FB315">
        <v>199.8</v>
      </c>
      <c r="FC315">
        <v>239</v>
      </c>
      <c r="FE315">
        <v>0</v>
      </c>
      <c r="FF315">
        <v>2</v>
      </c>
      <c r="FI315">
        <v>0</v>
      </c>
      <c r="FK315" t="s">
        <v>548</v>
      </c>
      <c r="FL315">
        <v>0.4</v>
      </c>
      <c r="FM315">
        <v>80</v>
      </c>
      <c r="FN315">
        <v>90</v>
      </c>
      <c r="FR315" t="s">
        <v>548</v>
      </c>
      <c r="FS315">
        <v>0.4</v>
      </c>
      <c r="FT315">
        <v>30</v>
      </c>
      <c r="FU315">
        <v>320</v>
      </c>
      <c r="FV315">
        <v>30</v>
      </c>
      <c r="FW315">
        <v>210</v>
      </c>
      <c r="HC315">
        <v>0.1</v>
      </c>
      <c r="HD315">
        <v>3</v>
      </c>
      <c r="HE315">
        <v>3</v>
      </c>
      <c r="HF315">
        <v>3</v>
      </c>
      <c r="HG315">
        <v>3</v>
      </c>
      <c r="HH315">
        <v>3</v>
      </c>
      <c r="HI315">
        <v>155</v>
      </c>
      <c r="HJ315">
        <v>3</v>
      </c>
      <c r="HK315">
        <v>55</v>
      </c>
      <c r="HL315">
        <v>2</v>
      </c>
      <c r="HM315">
        <v>0</v>
      </c>
      <c r="HN315">
        <v>2</v>
      </c>
      <c r="HO315">
        <v>85</v>
      </c>
      <c r="HP315">
        <v>3</v>
      </c>
      <c r="HQ315">
        <v>0</v>
      </c>
      <c r="HR315">
        <v>2</v>
      </c>
      <c r="HS315">
        <v>3468</v>
      </c>
      <c r="HT315">
        <v>100</v>
      </c>
      <c r="HU315">
        <v>170</v>
      </c>
      <c r="HW315">
        <v>0</v>
      </c>
      <c r="HX315">
        <v>366</v>
      </c>
      <c r="HY315">
        <v>0.18</v>
      </c>
      <c r="IA315">
        <v>0.15</v>
      </c>
      <c r="IB315">
        <v>0</v>
      </c>
      <c r="IC315">
        <v>180</v>
      </c>
      <c r="ID315">
        <v>110</v>
      </c>
      <c r="IE315">
        <v>225</v>
      </c>
      <c r="IF315">
        <v>0</v>
      </c>
      <c r="IH315" t="s">
        <v>549</v>
      </c>
      <c r="IO315">
        <v>1</v>
      </c>
      <c r="IP315">
        <v>16</v>
      </c>
      <c r="IQ315">
        <v>1</v>
      </c>
      <c r="IR315">
        <v>1</v>
      </c>
      <c r="IV315">
        <v>1200</v>
      </c>
      <c r="IW315">
        <v>352</v>
      </c>
      <c r="JA315">
        <v>1</v>
      </c>
      <c r="JB315">
        <v>0</v>
      </c>
      <c r="JC315">
        <v>2</v>
      </c>
      <c r="JD315">
        <v>1218</v>
      </c>
      <c r="JE315">
        <v>1210</v>
      </c>
      <c r="JF315">
        <v>0</v>
      </c>
      <c r="JG315">
        <v>1194</v>
      </c>
      <c r="JH315">
        <v>0</v>
      </c>
      <c r="JJ315">
        <v>170</v>
      </c>
      <c r="JK315">
        <v>366</v>
      </c>
      <c r="JN315">
        <v>330</v>
      </c>
      <c r="JO315">
        <v>485</v>
      </c>
      <c r="JP315">
        <v>0</v>
      </c>
      <c r="JQ315">
        <v>0</v>
      </c>
      <c r="JR315">
        <v>306</v>
      </c>
      <c r="JS315">
        <v>155</v>
      </c>
      <c r="JV315">
        <v>8</v>
      </c>
      <c r="JW315" t="s">
        <v>550</v>
      </c>
      <c r="JX315">
        <v>0</v>
      </c>
      <c r="KA315">
        <v>225</v>
      </c>
      <c r="KB315">
        <v>110</v>
      </c>
      <c r="KC315">
        <v>0</v>
      </c>
      <c r="KD315">
        <v>80</v>
      </c>
      <c r="KF315">
        <v>4</v>
      </c>
      <c r="KG315">
        <v>2</v>
      </c>
      <c r="KH315">
        <v>2</v>
      </c>
      <c r="KI315">
        <v>2</v>
      </c>
      <c r="KJ315">
        <v>0</v>
      </c>
      <c r="KK315">
        <v>1.5</v>
      </c>
      <c r="KL315">
        <v>1.5</v>
      </c>
      <c r="KM315">
        <v>0</v>
      </c>
      <c r="KN315">
        <v>0</v>
      </c>
      <c r="KO315">
        <v>0</v>
      </c>
      <c r="KR315">
        <v>30</v>
      </c>
      <c r="KS315">
        <v>60</v>
      </c>
      <c r="KT315">
        <v>0</v>
      </c>
      <c r="LK315">
        <v>480</v>
      </c>
      <c r="PG315">
        <v>1</v>
      </c>
      <c r="PI315" t="s">
        <v>3584</v>
      </c>
      <c r="PJ315" t="s">
        <v>3102</v>
      </c>
      <c r="PL315" t="s">
        <v>3585</v>
      </c>
      <c r="PP315" t="s">
        <v>3103</v>
      </c>
      <c r="PX315">
        <v>56</v>
      </c>
      <c r="PY315">
        <v>57</v>
      </c>
      <c r="PZ315" t="s">
        <v>3584</v>
      </c>
      <c r="QA315">
        <v>1</v>
      </c>
      <c r="QB315">
        <v>1194</v>
      </c>
      <c r="QC315">
        <v>69</v>
      </c>
      <c r="QD315">
        <v>69</v>
      </c>
      <c r="QE315" t="s">
        <v>3585</v>
      </c>
      <c r="QF315">
        <v>1</v>
      </c>
      <c r="QG315">
        <v>1218</v>
      </c>
      <c r="QH315">
        <v>66</v>
      </c>
      <c r="QI315">
        <v>66</v>
      </c>
      <c r="QL315">
        <v>0</v>
      </c>
      <c r="QM315">
        <v>62</v>
      </c>
      <c r="QN315">
        <v>62</v>
      </c>
      <c r="QO315" t="s">
        <v>3102</v>
      </c>
      <c r="QP315">
        <v>1</v>
      </c>
      <c r="QQ315">
        <v>1210</v>
      </c>
      <c r="QW315">
        <v>82</v>
      </c>
      <c r="QX315">
        <v>89</v>
      </c>
      <c r="QY315" t="s">
        <v>3103</v>
      </c>
      <c r="QZ315">
        <v>1</v>
      </c>
      <c r="RA315">
        <v>66</v>
      </c>
      <c r="RB315">
        <v>66</v>
      </c>
      <c r="RE315">
        <v>0</v>
      </c>
      <c r="RF315">
        <v>1</v>
      </c>
      <c r="RJ315">
        <v>1</v>
      </c>
      <c r="RL315">
        <v>1</v>
      </c>
      <c r="RO315">
        <v>507</v>
      </c>
      <c r="RQ315">
        <v>780</v>
      </c>
      <c r="RT315">
        <v>146</v>
      </c>
      <c r="RU315">
        <v>110</v>
      </c>
      <c r="RV315" t="s">
        <v>1901</v>
      </c>
      <c r="RW315" t="s">
        <v>552</v>
      </c>
      <c r="RX315">
        <v>15</v>
      </c>
      <c r="RY315">
        <v>4</v>
      </c>
      <c r="RZ315" t="s">
        <v>552</v>
      </c>
      <c r="SA315">
        <v>15</v>
      </c>
      <c r="SC315" t="s">
        <v>3102</v>
      </c>
      <c r="SD315">
        <v>1</v>
      </c>
      <c r="SH315">
        <v>0.995</v>
      </c>
      <c r="SI315">
        <v>0.995</v>
      </c>
      <c r="SJ315">
        <v>0.995</v>
      </c>
      <c r="SK315">
        <v>15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TB315">
        <v>0</v>
      </c>
      <c r="TC315">
        <v>0</v>
      </c>
      <c r="TD315">
        <v>7.5</v>
      </c>
      <c r="TE315" t="s">
        <v>553</v>
      </c>
      <c r="TF315" t="s">
        <v>754</v>
      </c>
      <c r="TG315" t="s">
        <v>555</v>
      </c>
      <c r="TI315" t="s">
        <v>546</v>
      </c>
      <c r="TJ315" t="s">
        <v>547</v>
      </c>
      <c r="TL315" t="s">
        <v>3491</v>
      </c>
      <c r="TM315" t="s">
        <v>513</v>
      </c>
      <c r="TN315">
        <v>0</v>
      </c>
      <c r="TO315" t="s">
        <v>557</v>
      </c>
    </row>
    <row r="316" spans="1:535">
      <c r="A316" t="s">
        <v>3608</v>
      </c>
      <c r="B316" t="s">
        <v>711</v>
      </c>
      <c r="C316" t="s">
        <v>509</v>
      </c>
      <c r="D316" t="s">
        <v>1239</v>
      </c>
      <c r="G316" t="s">
        <v>511</v>
      </c>
      <c r="I316" t="s">
        <v>562</v>
      </c>
      <c r="L316" t="s">
        <v>512</v>
      </c>
      <c r="M316" t="s">
        <v>804</v>
      </c>
      <c r="N316" t="s">
        <v>513</v>
      </c>
      <c r="O316" t="s">
        <v>1255</v>
      </c>
      <c r="P316" t="s">
        <v>515</v>
      </c>
      <c r="Q316" t="s">
        <v>3609</v>
      </c>
      <c r="R316" t="s">
        <v>567</v>
      </c>
      <c r="S316" t="s">
        <v>518</v>
      </c>
      <c r="T316" t="s">
        <v>519</v>
      </c>
      <c r="U316" t="s">
        <v>520</v>
      </c>
      <c r="V316" t="s">
        <v>521</v>
      </c>
      <c r="W316" t="s">
        <v>744</v>
      </c>
      <c r="X316" t="s">
        <v>3610</v>
      </c>
      <c r="Y316" t="s">
        <v>524</v>
      </c>
      <c r="Z316" t="s">
        <v>3611</v>
      </c>
      <c r="AA316" t="s">
        <v>3612</v>
      </c>
      <c r="AB316" t="s">
        <v>3613</v>
      </c>
      <c r="AC316">
        <v>2</v>
      </c>
      <c r="AD316">
        <v>56</v>
      </c>
      <c r="AE316">
        <v>174</v>
      </c>
      <c r="AF316">
        <v>1.5</v>
      </c>
      <c r="AH316">
        <v>0</v>
      </c>
      <c r="AI316" t="s">
        <v>719</v>
      </c>
      <c r="AJ316">
        <v>185</v>
      </c>
      <c r="AK316">
        <v>1</v>
      </c>
      <c r="AL316">
        <v>1.5</v>
      </c>
      <c r="AM316" t="s">
        <v>529</v>
      </c>
      <c r="AO316">
        <v>0</v>
      </c>
      <c r="AR316">
        <v>0</v>
      </c>
      <c r="AS316">
        <v>1.5</v>
      </c>
      <c r="AU316" t="s">
        <v>3614</v>
      </c>
      <c r="AW316" t="s">
        <v>3614</v>
      </c>
      <c r="AX316">
        <v>1</v>
      </c>
      <c r="AY316">
        <v>325</v>
      </c>
      <c r="AZ316">
        <v>1.5</v>
      </c>
      <c r="BA316" t="s">
        <v>529</v>
      </c>
      <c r="BG316">
        <v>1.5</v>
      </c>
      <c r="BJ316">
        <v>0</v>
      </c>
      <c r="BN316">
        <v>1.5</v>
      </c>
      <c r="BP316" t="s">
        <v>3615</v>
      </c>
      <c r="BQ316">
        <v>88</v>
      </c>
      <c r="BR316">
        <v>2</v>
      </c>
      <c r="BS316" t="s">
        <v>3118</v>
      </c>
      <c r="BT316">
        <v>196</v>
      </c>
      <c r="BU316">
        <v>0.5</v>
      </c>
      <c r="BV316" t="s">
        <v>3118</v>
      </c>
      <c r="BW316">
        <v>392</v>
      </c>
      <c r="BX316">
        <v>1</v>
      </c>
      <c r="BY316" t="s">
        <v>533</v>
      </c>
      <c r="BZ316">
        <v>300</v>
      </c>
      <c r="CA316">
        <v>520</v>
      </c>
      <c r="CB316" t="s">
        <v>534</v>
      </c>
      <c r="CC316" t="s">
        <v>534</v>
      </c>
      <c r="CD316">
        <v>404</v>
      </c>
      <c r="CE316" t="s">
        <v>535</v>
      </c>
      <c r="CF316">
        <v>15</v>
      </c>
      <c r="CG316" t="s">
        <v>536</v>
      </c>
      <c r="CH316" t="s">
        <v>536</v>
      </c>
      <c r="CI316">
        <v>110</v>
      </c>
      <c r="CJ316">
        <v>1200</v>
      </c>
      <c r="CK316">
        <v>2</v>
      </c>
      <c r="CL316">
        <v>1301</v>
      </c>
      <c r="CM316">
        <v>2</v>
      </c>
      <c r="CN316" t="s">
        <v>537</v>
      </c>
      <c r="CO316" t="s">
        <v>538</v>
      </c>
      <c r="CP316" t="s">
        <v>539</v>
      </c>
      <c r="CQ316" t="s">
        <v>1496</v>
      </c>
      <c r="CR316" t="s">
        <v>541</v>
      </c>
      <c r="CS316" t="s">
        <v>542</v>
      </c>
      <c r="CT316">
        <v>370</v>
      </c>
      <c r="CU316">
        <v>5</v>
      </c>
      <c r="CV316">
        <v>1.2</v>
      </c>
      <c r="CW316">
        <v>1213</v>
      </c>
      <c r="CX316">
        <v>636</v>
      </c>
      <c r="DD316">
        <v>0</v>
      </c>
      <c r="DE316" t="s">
        <v>543</v>
      </c>
      <c r="DF316">
        <v>650</v>
      </c>
      <c r="DG316">
        <v>3</v>
      </c>
      <c r="DH316">
        <v>1.18</v>
      </c>
      <c r="DI316">
        <v>1211</v>
      </c>
      <c r="DJ316">
        <v>1190</v>
      </c>
      <c r="DW316" t="s">
        <v>544</v>
      </c>
      <c r="DX316">
        <v>7.5</v>
      </c>
      <c r="EA316">
        <v>1284.1</v>
      </c>
      <c r="EB316">
        <v>168</v>
      </c>
      <c r="EC316" t="s">
        <v>545</v>
      </c>
      <c r="ED316">
        <v>35</v>
      </c>
      <c r="EE316">
        <v>3</v>
      </c>
      <c r="EG316">
        <v>1315</v>
      </c>
      <c r="EH316">
        <v>184</v>
      </c>
      <c r="EJ316">
        <v>0</v>
      </c>
      <c r="EK316">
        <v>1</v>
      </c>
      <c r="EN316">
        <v>0</v>
      </c>
      <c r="EP316" t="s">
        <v>546</v>
      </c>
      <c r="EQ316">
        <v>90</v>
      </c>
      <c r="ER316">
        <v>3</v>
      </c>
      <c r="ES316">
        <v>5</v>
      </c>
      <c r="ET316">
        <v>1194</v>
      </c>
      <c r="EU316">
        <v>321.9</v>
      </c>
      <c r="EV316">
        <v>384</v>
      </c>
      <c r="EW316" t="s">
        <v>547</v>
      </c>
      <c r="EX316">
        <v>70</v>
      </c>
      <c r="EY316">
        <v>2</v>
      </c>
      <c r="EZ316">
        <v>3.5</v>
      </c>
      <c r="FA316">
        <v>1194</v>
      </c>
      <c r="FB316">
        <v>192.7</v>
      </c>
      <c r="FC316">
        <v>230</v>
      </c>
      <c r="FE316">
        <v>0</v>
      </c>
      <c r="FF316">
        <v>2</v>
      </c>
      <c r="FI316">
        <v>0</v>
      </c>
      <c r="FK316" t="s">
        <v>548</v>
      </c>
      <c r="FL316">
        <v>0.4</v>
      </c>
      <c r="FM316">
        <v>85</v>
      </c>
      <c r="FN316">
        <v>110</v>
      </c>
      <c r="FR316" t="s">
        <v>548</v>
      </c>
      <c r="FS316">
        <v>0.4</v>
      </c>
      <c r="FT316">
        <v>30</v>
      </c>
      <c r="FU316">
        <v>350</v>
      </c>
      <c r="HC316">
        <v>0.1</v>
      </c>
      <c r="HD316">
        <v>3</v>
      </c>
      <c r="HE316">
        <v>3</v>
      </c>
      <c r="HF316">
        <v>3</v>
      </c>
      <c r="HG316">
        <v>3</v>
      </c>
      <c r="HH316">
        <v>3</v>
      </c>
      <c r="HI316">
        <v>145</v>
      </c>
      <c r="HJ316">
        <v>3</v>
      </c>
      <c r="HK316">
        <v>55</v>
      </c>
      <c r="HL316">
        <v>2</v>
      </c>
      <c r="HM316">
        <v>0</v>
      </c>
      <c r="HN316">
        <v>2</v>
      </c>
      <c r="HO316">
        <v>75</v>
      </c>
      <c r="HP316">
        <v>3</v>
      </c>
      <c r="HQ316">
        <v>0</v>
      </c>
      <c r="HR316">
        <v>2</v>
      </c>
      <c r="HS316">
        <v>3758</v>
      </c>
      <c r="HT316">
        <v>110</v>
      </c>
      <c r="HU316">
        <v>180</v>
      </c>
      <c r="HW316">
        <v>20</v>
      </c>
      <c r="HX316">
        <v>405</v>
      </c>
      <c r="HY316">
        <v>0.18</v>
      </c>
      <c r="IA316">
        <v>0.15</v>
      </c>
      <c r="IB316">
        <v>0</v>
      </c>
      <c r="IC316">
        <v>180</v>
      </c>
      <c r="ID316">
        <v>110</v>
      </c>
      <c r="IE316">
        <v>0</v>
      </c>
      <c r="IF316">
        <v>0</v>
      </c>
      <c r="IH316" t="s">
        <v>549</v>
      </c>
      <c r="IO316">
        <v>1</v>
      </c>
      <c r="IP316">
        <v>16</v>
      </c>
      <c r="IQ316">
        <v>0</v>
      </c>
      <c r="IR316">
        <v>1</v>
      </c>
      <c r="IS316">
        <v>0</v>
      </c>
      <c r="IT316">
        <v>0</v>
      </c>
      <c r="IU316">
        <v>0</v>
      </c>
      <c r="IV316">
        <v>1200</v>
      </c>
      <c r="IW316">
        <v>392</v>
      </c>
      <c r="IX316">
        <v>0</v>
      </c>
      <c r="IY316">
        <v>0</v>
      </c>
      <c r="IZ316">
        <v>0</v>
      </c>
      <c r="JA316">
        <v>1</v>
      </c>
      <c r="JB316">
        <v>0</v>
      </c>
      <c r="JC316">
        <v>2</v>
      </c>
      <c r="JD316">
        <v>1213</v>
      </c>
      <c r="JE316">
        <v>1211</v>
      </c>
      <c r="JF316">
        <v>0</v>
      </c>
      <c r="JG316">
        <v>1194</v>
      </c>
      <c r="JH316">
        <v>0</v>
      </c>
      <c r="JI316">
        <v>0</v>
      </c>
      <c r="JJ316">
        <v>180</v>
      </c>
      <c r="JK316">
        <v>405</v>
      </c>
      <c r="JL316">
        <v>0</v>
      </c>
      <c r="JM316">
        <v>0</v>
      </c>
      <c r="JN316">
        <v>370</v>
      </c>
      <c r="JO316">
        <v>650</v>
      </c>
      <c r="JP316">
        <v>0</v>
      </c>
      <c r="JQ316">
        <v>0</v>
      </c>
      <c r="JR316">
        <v>348</v>
      </c>
      <c r="JS316">
        <v>145</v>
      </c>
      <c r="JT316">
        <v>0</v>
      </c>
      <c r="JU316">
        <v>0</v>
      </c>
      <c r="JV316">
        <v>8</v>
      </c>
      <c r="JW316" t="s">
        <v>550</v>
      </c>
      <c r="JX316">
        <v>0</v>
      </c>
      <c r="JY316">
        <v>0</v>
      </c>
      <c r="JZ316">
        <v>0</v>
      </c>
      <c r="KA316">
        <v>0</v>
      </c>
      <c r="KB316">
        <v>110</v>
      </c>
      <c r="KC316">
        <v>0</v>
      </c>
      <c r="KD316">
        <v>80</v>
      </c>
      <c r="KE316">
        <v>0</v>
      </c>
      <c r="KF316">
        <v>4</v>
      </c>
      <c r="KG316">
        <v>2</v>
      </c>
      <c r="KH316">
        <v>2</v>
      </c>
      <c r="KI316">
        <v>2</v>
      </c>
      <c r="KJ316">
        <v>0</v>
      </c>
      <c r="KK316">
        <v>1.5</v>
      </c>
      <c r="KL316">
        <v>1.5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30</v>
      </c>
      <c r="KS316">
        <v>60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480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1</v>
      </c>
      <c r="PI316" t="s">
        <v>3613</v>
      </c>
      <c r="PJ316" t="s">
        <v>3614</v>
      </c>
      <c r="PL316" t="s">
        <v>719</v>
      </c>
      <c r="PP316" t="s">
        <v>3615</v>
      </c>
      <c r="PX316">
        <v>56</v>
      </c>
      <c r="PY316">
        <v>56</v>
      </c>
      <c r="PZ316" t="s">
        <v>3613</v>
      </c>
      <c r="QA316">
        <v>1</v>
      </c>
      <c r="QB316">
        <v>1194</v>
      </c>
      <c r="QC316">
        <v>69</v>
      </c>
      <c r="QD316">
        <v>69</v>
      </c>
      <c r="QE316" t="s">
        <v>719</v>
      </c>
      <c r="QF316">
        <v>1</v>
      </c>
      <c r="QG316">
        <v>1213</v>
      </c>
      <c r="QH316">
        <v>66</v>
      </c>
      <c r="QI316">
        <v>66</v>
      </c>
      <c r="QL316">
        <v>0</v>
      </c>
      <c r="QM316">
        <v>62</v>
      </c>
      <c r="QN316">
        <v>62</v>
      </c>
      <c r="QO316" t="s">
        <v>3614</v>
      </c>
      <c r="QP316">
        <v>1</v>
      </c>
      <c r="QQ316">
        <v>1211</v>
      </c>
      <c r="QW316">
        <v>82</v>
      </c>
      <c r="QX316">
        <v>88</v>
      </c>
      <c r="QY316" t="s">
        <v>3615</v>
      </c>
      <c r="QZ316">
        <v>1</v>
      </c>
      <c r="RA316">
        <v>66</v>
      </c>
      <c r="RB316">
        <v>66</v>
      </c>
      <c r="RE316">
        <v>0</v>
      </c>
      <c r="RF316">
        <v>1</v>
      </c>
      <c r="RJ316">
        <v>2</v>
      </c>
      <c r="RL316">
        <v>2</v>
      </c>
      <c r="RO316">
        <v>524</v>
      </c>
      <c r="RQ316">
        <v>983</v>
      </c>
      <c r="RT316">
        <v>168</v>
      </c>
      <c r="RU316">
        <v>184</v>
      </c>
      <c r="RV316" t="s">
        <v>3119</v>
      </c>
      <c r="RW316" t="s">
        <v>552</v>
      </c>
      <c r="RX316">
        <v>15</v>
      </c>
      <c r="RY316">
        <v>4</v>
      </c>
      <c r="RZ316" t="s">
        <v>552</v>
      </c>
      <c r="SA316">
        <v>15</v>
      </c>
      <c r="SC316" t="s">
        <v>3614</v>
      </c>
      <c r="SD316">
        <v>1</v>
      </c>
      <c r="SH316">
        <v>0.995</v>
      </c>
      <c r="SI316">
        <v>0.995</v>
      </c>
      <c r="SJ316">
        <v>0.995</v>
      </c>
      <c r="SK316">
        <v>15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TB316">
        <v>0</v>
      </c>
      <c r="TC316">
        <v>0</v>
      </c>
      <c r="TD316">
        <v>7.5</v>
      </c>
      <c r="TE316" t="s">
        <v>553</v>
      </c>
      <c r="TF316" t="s">
        <v>754</v>
      </c>
      <c r="TG316" t="s">
        <v>555</v>
      </c>
      <c r="TI316" t="s">
        <v>546</v>
      </c>
      <c r="TJ316" t="s">
        <v>547</v>
      </c>
      <c r="TL316" t="s">
        <v>3491</v>
      </c>
      <c r="TM316" t="s">
        <v>513</v>
      </c>
      <c r="TN316">
        <v>0</v>
      </c>
      <c r="TO316" t="s">
        <v>557</v>
      </c>
    </row>
    <row r="317" spans="1:535">
      <c r="A317" t="s">
        <v>3616</v>
      </c>
      <c r="B317" t="s">
        <v>508</v>
      </c>
      <c r="C317" t="s">
        <v>509</v>
      </c>
      <c r="D317" t="s">
        <v>1598</v>
      </c>
      <c r="G317" t="s">
        <v>604</v>
      </c>
      <c r="H317" t="s">
        <v>605</v>
      </c>
      <c r="I317" t="s">
        <v>628</v>
      </c>
      <c r="J317" t="s">
        <v>606</v>
      </c>
      <c r="L317" t="s">
        <v>512</v>
      </c>
      <c r="N317" t="s">
        <v>513</v>
      </c>
      <c r="O317" t="s">
        <v>607</v>
      </c>
      <c r="Q317" t="s">
        <v>3578</v>
      </c>
      <c r="R317" t="s">
        <v>567</v>
      </c>
      <c r="S317" t="s">
        <v>518</v>
      </c>
      <c r="T317" t="s">
        <v>519</v>
      </c>
      <c r="U317" t="s">
        <v>520</v>
      </c>
      <c r="V317" t="s">
        <v>521</v>
      </c>
      <c r="W317" t="s">
        <v>1980</v>
      </c>
      <c r="X317" t="s">
        <v>1880</v>
      </c>
      <c r="Y317" t="s">
        <v>524</v>
      </c>
      <c r="Z317" t="s">
        <v>3617</v>
      </c>
      <c r="AA317" t="s">
        <v>3617</v>
      </c>
      <c r="AB317" t="s">
        <v>3618</v>
      </c>
      <c r="AC317">
        <v>2</v>
      </c>
      <c r="AD317">
        <v>57</v>
      </c>
      <c r="AE317">
        <v>191</v>
      </c>
      <c r="AF317">
        <v>1.5</v>
      </c>
      <c r="AH317">
        <v>0</v>
      </c>
      <c r="AI317" t="s">
        <v>2224</v>
      </c>
      <c r="AJ317">
        <v>175</v>
      </c>
      <c r="AK317">
        <v>1</v>
      </c>
      <c r="AL317">
        <v>1.5</v>
      </c>
      <c r="AM317" t="s">
        <v>579</v>
      </c>
      <c r="AN317" t="s">
        <v>693</v>
      </c>
      <c r="AO317">
        <v>2</v>
      </c>
      <c r="AP317" t="s">
        <v>581</v>
      </c>
      <c r="AQ317" t="s">
        <v>582</v>
      </c>
      <c r="AR317">
        <v>212</v>
      </c>
      <c r="AS317">
        <v>1.5</v>
      </c>
      <c r="AT317" t="s">
        <v>583</v>
      </c>
      <c r="AU317" t="s">
        <v>3619</v>
      </c>
      <c r="AW317" t="s">
        <v>3619</v>
      </c>
      <c r="AX317">
        <v>1</v>
      </c>
      <c r="AY317">
        <v>322.5</v>
      </c>
      <c r="AZ317">
        <v>1.5</v>
      </c>
      <c r="BA317" t="s">
        <v>579</v>
      </c>
      <c r="BG317">
        <v>1.5</v>
      </c>
      <c r="BJ317">
        <v>0</v>
      </c>
      <c r="BN317">
        <v>1.5</v>
      </c>
      <c r="BP317" t="s">
        <v>3620</v>
      </c>
      <c r="BQ317">
        <v>88</v>
      </c>
      <c r="BR317">
        <v>2</v>
      </c>
      <c r="BS317" t="s">
        <v>2227</v>
      </c>
      <c r="BT317">
        <v>191</v>
      </c>
      <c r="BU317">
        <v>0.5</v>
      </c>
      <c r="BV317" t="s">
        <v>2227</v>
      </c>
      <c r="BW317">
        <v>382</v>
      </c>
      <c r="BX317">
        <v>1</v>
      </c>
      <c r="BY317" t="s">
        <v>533</v>
      </c>
      <c r="BZ317">
        <v>300</v>
      </c>
      <c r="CA317">
        <v>500</v>
      </c>
      <c r="CB317" t="s">
        <v>534</v>
      </c>
      <c r="CC317" t="s">
        <v>534</v>
      </c>
      <c r="CD317">
        <v>395</v>
      </c>
      <c r="CE317" t="s">
        <v>535</v>
      </c>
      <c r="CF317">
        <v>15</v>
      </c>
      <c r="CG317" t="s">
        <v>1840</v>
      </c>
      <c r="CH317" t="s">
        <v>1840</v>
      </c>
      <c r="CI317">
        <v>100</v>
      </c>
      <c r="CJ317">
        <v>1200</v>
      </c>
      <c r="CK317">
        <v>2</v>
      </c>
      <c r="CL317">
        <v>1301</v>
      </c>
      <c r="CM317">
        <v>2</v>
      </c>
      <c r="CN317" t="s">
        <v>537</v>
      </c>
      <c r="CO317" t="s">
        <v>538</v>
      </c>
      <c r="CP317" t="s">
        <v>539</v>
      </c>
      <c r="CQ317" t="s">
        <v>1343</v>
      </c>
      <c r="CR317" t="s">
        <v>541</v>
      </c>
      <c r="CS317" t="s">
        <v>542</v>
      </c>
      <c r="CT317">
        <v>350</v>
      </c>
      <c r="CU317">
        <v>5</v>
      </c>
      <c r="CV317">
        <v>1.3</v>
      </c>
      <c r="CW317">
        <v>1218</v>
      </c>
      <c r="CX317">
        <v>654</v>
      </c>
      <c r="CY317" t="s">
        <v>705</v>
      </c>
      <c r="CZ317">
        <v>50</v>
      </c>
      <c r="DA317">
        <v>3</v>
      </c>
      <c r="DB317">
        <v>1</v>
      </c>
      <c r="DC317">
        <v>1218</v>
      </c>
      <c r="DD317">
        <v>64</v>
      </c>
      <c r="DE317" t="s">
        <v>543</v>
      </c>
      <c r="DF317">
        <v>645</v>
      </c>
      <c r="DG317">
        <v>3</v>
      </c>
      <c r="DH317">
        <v>1.18</v>
      </c>
      <c r="DI317">
        <v>1212</v>
      </c>
      <c r="DJ317">
        <v>1219</v>
      </c>
      <c r="DW317" t="s">
        <v>544</v>
      </c>
      <c r="DX317">
        <v>7.5</v>
      </c>
      <c r="EA317">
        <v>1282.5</v>
      </c>
      <c r="EB317">
        <v>242</v>
      </c>
      <c r="EC317" t="s">
        <v>545</v>
      </c>
      <c r="ED317">
        <v>30</v>
      </c>
      <c r="EE317">
        <v>3</v>
      </c>
      <c r="EG317">
        <v>1323</v>
      </c>
      <c r="EH317">
        <v>155</v>
      </c>
      <c r="EJ317">
        <v>0</v>
      </c>
      <c r="EK317">
        <v>1</v>
      </c>
      <c r="EN317">
        <v>0</v>
      </c>
      <c r="EP317" t="s">
        <v>546</v>
      </c>
      <c r="EQ317">
        <v>95</v>
      </c>
      <c r="ER317">
        <v>3</v>
      </c>
      <c r="ES317">
        <v>5.7</v>
      </c>
      <c r="ET317">
        <v>1199</v>
      </c>
      <c r="EU317">
        <v>403.7</v>
      </c>
      <c r="EV317">
        <v>484</v>
      </c>
      <c r="EW317" t="s">
        <v>547</v>
      </c>
      <c r="EX317">
        <v>45</v>
      </c>
      <c r="EY317">
        <v>2</v>
      </c>
      <c r="EZ317">
        <v>4</v>
      </c>
      <c r="FA317">
        <v>1199</v>
      </c>
      <c r="FB317">
        <v>135.2</v>
      </c>
      <c r="FC317">
        <v>162</v>
      </c>
      <c r="FE317">
        <v>0</v>
      </c>
      <c r="FF317">
        <v>2</v>
      </c>
      <c r="FI317">
        <v>0</v>
      </c>
      <c r="FK317" t="s">
        <v>548</v>
      </c>
      <c r="FL317">
        <v>0.4</v>
      </c>
      <c r="FM317">
        <v>50</v>
      </c>
      <c r="FN317">
        <v>300</v>
      </c>
      <c r="FO317">
        <v>70</v>
      </c>
      <c r="FP317">
        <v>100</v>
      </c>
      <c r="FR317" t="s">
        <v>548</v>
      </c>
      <c r="FS317">
        <v>0.4</v>
      </c>
      <c r="FT317">
        <v>30</v>
      </c>
      <c r="FU317">
        <v>350</v>
      </c>
      <c r="HC317">
        <v>0.1</v>
      </c>
      <c r="HD317">
        <v>3</v>
      </c>
      <c r="HE317">
        <v>3</v>
      </c>
      <c r="HF317">
        <v>3</v>
      </c>
      <c r="HG317">
        <v>3</v>
      </c>
      <c r="HH317">
        <v>3</v>
      </c>
      <c r="HI317">
        <v>125</v>
      </c>
      <c r="HJ317">
        <v>3</v>
      </c>
      <c r="HK317">
        <v>30</v>
      </c>
      <c r="HL317">
        <v>2</v>
      </c>
      <c r="HM317">
        <v>0</v>
      </c>
      <c r="HN317">
        <v>2</v>
      </c>
      <c r="HO317">
        <v>80</v>
      </c>
      <c r="HP317">
        <v>3</v>
      </c>
      <c r="HQ317">
        <v>0</v>
      </c>
      <c r="HR317">
        <v>2</v>
      </c>
      <c r="HS317">
        <v>4087</v>
      </c>
      <c r="HT317">
        <v>120</v>
      </c>
      <c r="HU317">
        <v>180</v>
      </c>
      <c r="HW317">
        <v>20</v>
      </c>
      <c r="HX317">
        <v>456</v>
      </c>
      <c r="HY317">
        <v>0.18</v>
      </c>
      <c r="IA317">
        <v>0.15</v>
      </c>
      <c r="IB317">
        <v>0</v>
      </c>
      <c r="IC317">
        <v>180</v>
      </c>
      <c r="ID317">
        <v>110</v>
      </c>
      <c r="IE317">
        <v>0</v>
      </c>
      <c r="IF317">
        <v>0</v>
      </c>
      <c r="IH317" t="s">
        <v>549</v>
      </c>
      <c r="IO317">
        <v>1</v>
      </c>
      <c r="IP317">
        <v>16</v>
      </c>
      <c r="IQ317">
        <v>0</v>
      </c>
      <c r="IR317">
        <v>0</v>
      </c>
      <c r="IV317">
        <v>1200</v>
      </c>
      <c r="IW317">
        <v>382</v>
      </c>
      <c r="JA317">
        <v>1</v>
      </c>
      <c r="JB317">
        <v>0</v>
      </c>
      <c r="JC317">
        <v>2</v>
      </c>
      <c r="JD317">
        <v>1218</v>
      </c>
      <c r="JE317">
        <v>1212</v>
      </c>
      <c r="JF317">
        <v>0</v>
      </c>
      <c r="JG317">
        <v>1199</v>
      </c>
      <c r="JH317">
        <v>0</v>
      </c>
      <c r="JJ317">
        <v>180</v>
      </c>
      <c r="JK317">
        <v>456</v>
      </c>
      <c r="JN317">
        <v>350</v>
      </c>
      <c r="JO317">
        <v>645</v>
      </c>
      <c r="JP317">
        <v>0</v>
      </c>
      <c r="JQ317">
        <v>0</v>
      </c>
      <c r="JR317">
        <v>382</v>
      </c>
      <c r="JS317">
        <v>125</v>
      </c>
      <c r="JV317">
        <v>8</v>
      </c>
      <c r="JW317" t="s">
        <v>550</v>
      </c>
      <c r="JX317">
        <v>424</v>
      </c>
      <c r="KA317">
        <v>0</v>
      </c>
      <c r="KB317">
        <v>110</v>
      </c>
      <c r="KC317">
        <v>0</v>
      </c>
      <c r="KD317">
        <v>80</v>
      </c>
      <c r="KF317">
        <v>3</v>
      </c>
      <c r="KG317">
        <v>2</v>
      </c>
      <c r="KH317">
        <v>2</v>
      </c>
      <c r="KI317">
        <v>2</v>
      </c>
      <c r="KJ317">
        <v>0</v>
      </c>
      <c r="KK317">
        <v>1.5</v>
      </c>
      <c r="KL317">
        <v>1.5</v>
      </c>
      <c r="KM317">
        <v>0</v>
      </c>
      <c r="KN317">
        <v>0</v>
      </c>
      <c r="KO317">
        <v>0</v>
      </c>
      <c r="KR317">
        <v>30</v>
      </c>
      <c r="KS317">
        <v>60</v>
      </c>
      <c r="KT317">
        <v>0</v>
      </c>
      <c r="LK317">
        <v>480</v>
      </c>
      <c r="PG317">
        <v>1</v>
      </c>
      <c r="PI317" t="s">
        <v>3618</v>
      </c>
      <c r="PJ317" t="s">
        <v>3619</v>
      </c>
      <c r="PL317" t="s">
        <v>2224</v>
      </c>
      <c r="PP317" t="s">
        <v>3620</v>
      </c>
      <c r="PS317" t="s">
        <v>693</v>
      </c>
      <c r="PX317">
        <v>56</v>
      </c>
      <c r="PY317">
        <v>57</v>
      </c>
      <c r="PZ317" t="s">
        <v>3618</v>
      </c>
      <c r="QA317">
        <v>1</v>
      </c>
      <c r="QB317">
        <v>1199</v>
      </c>
      <c r="QC317">
        <v>69</v>
      </c>
      <c r="QD317">
        <v>69</v>
      </c>
      <c r="QE317" t="s">
        <v>2224</v>
      </c>
      <c r="QF317">
        <v>2</v>
      </c>
      <c r="QG317">
        <v>1218</v>
      </c>
      <c r="QH317">
        <v>66</v>
      </c>
      <c r="QI317">
        <v>66</v>
      </c>
      <c r="QJ317" t="s">
        <v>693</v>
      </c>
      <c r="QK317">
        <v>1</v>
      </c>
      <c r="QL317">
        <v>1218</v>
      </c>
      <c r="QM317">
        <v>62</v>
      </c>
      <c r="QN317">
        <v>62</v>
      </c>
      <c r="QO317" t="s">
        <v>3619</v>
      </c>
      <c r="QP317">
        <v>1</v>
      </c>
      <c r="QQ317">
        <v>1212</v>
      </c>
      <c r="QW317">
        <v>82</v>
      </c>
      <c r="QX317">
        <v>88</v>
      </c>
      <c r="QY317" t="s">
        <v>3620</v>
      </c>
      <c r="QZ317">
        <v>2</v>
      </c>
      <c r="RA317">
        <v>66</v>
      </c>
      <c r="RB317">
        <v>66</v>
      </c>
      <c r="RE317">
        <v>0</v>
      </c>
      <c r="RF317">
        <v>1</v>
      </c>
      <c r="RJ317">
        <v>1</v>
      </c>
      <c r="RK317">
        <v>2</v>
      </c>
      <c r="RL317">
        <v>1</v>
      </c>
      <c r="RO317">
        <v>537</v>
      </c>
      <c r="RP317">
        <v>105</v>
      </c>
      <c r="RQ317">
        <v>1006</v>
      </c>
      <c r="RT317">
        <v>242</v>
      </c>
      <c r="RU317">
        <v>155</v>
      </c>
      <c r="RV317" t="s">
        <v>2228</v>
      </c>
      <c r="RW317" t="s">
        <v>552</v>
      </c>
      <c r="RX317">
        <v>15</v>
      </c>
      <c r="RY317">
        <v>4</v>
      </c>
      <c r="RZ317" t="s">
        <v>552</v>
      </c>
      <c r="SA317">
        <v>15</v>
      </c>
      <c r="SC317" t="s">
        <v>3619</v>
      </c>
      <c r="SD317">
        <v>1</v>
      </c>
      <c r="SH317">
        <v>0.995</v>
      </c>
      <c r="SI317">
        <v>0.995</v>
      </c>
      <c r="SJ317">
        <v>0.995</v>
      </c>
      <c r="SK317">
        <v>15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1</v>
      </c>
      <c r="TB317">
        <v>0</v>
      </c>
      <c r="TC317">
        <v>0</v>
      </c>
      <c r="TD317">
        <v>7.5</v>
      </c>
      <c r="TE317" t="s">
        <v>553</v>
      </c>
      <c r="TF317" t="s">
        <v>655</v>
      </c>
      <c r="TG317" t="s">
        <v>555</v>
      </c>
      <c r="TI317" t="s">
        <v>546</v>
      </c>
      <c r="TJ317" t="s">
        <v>547</v>
      </c>
      <c r="TL317" t="s">
        <v>3491</v>
      </c>
      <c r="TM317" t="s">
        <v>513</v>
      </c>
      <c r="TN317">
        <v>0</v>
      </c>
      <c r="TO317" t="s">
        <v>557</v>
      </c>
    </row>
  </sheetData>
  <autoFilter ref="A1:TO317"/>
  <conditionalFormatting sqref="A2:TO31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8BBD0"/>
  </sheetPr>
  <dimension ref="A1:QT317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62" width="15.7109375" customWidth="1"/>
  </cols>
  <sheetData>
    <row r="1" spans="1:462" ht="95" customHeight="1">
      <c r="A1" s="5" t="s">
        <v>8</v>
      </c>
      <c r="B1" s="5" t="s">
        <v>9</v>
      </c>
      <c r="C1" s="5" t="s">
        <v>10</v>
      </c>
      <c r="D1" s="5" t="s">
        <v>11</v>
      </c>
      <c r="E1" s="5" t="s">
        <v>3621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3622</v>
      </c>
      <c r="L1" s="5" t="s">
        <v>20</v>
      </c>
      <c r="M1" s="5" t="s">
        <v>19</v>
      </c>
      <c r="N1" s="5" t="s">
        <v>3623</v>
      </c>
      <c r="O1" s="5" t="s">
        <v>3624</v>
      </c>
      <c r="P1" s="5" t="s">
        <v>25</v>
      </c>
      <c r="Q1" s="5" t="s">
        <v>26</v>
      </c>
      <c r="R1" s="5" t="s">
        <v>27</v>
      </c>
      <c r="S1" s="5" t="s">
        <v>3625</v>
      </c>
      <c r="T1" s="5" t="s">
        <v>3626</v>
      </c>
      <c r="U1" s="5" t="s">
        <v>29</v>
      </c>
      <c r="V1" s="5" t="s">
        <v>30</v>
      </c>
      <c r="W1" s="5" t="s">
        <v>31</v>
      </c>
      <c r="X1" s="5" t="s">
        <v>33</v>
      </c>
      <c r="Y1" s="5" t="s">
        <v>34</v>
      </c>
      <c r="Z1" s="5" t="s">
        <v>3627</v>
      </c>
      <c r="AA1" s="5" t="s">
        <v>3628</v>
      </c>
      <c r="AB1" s="5" t="s">
        <v>35</v>
      </c>
      <c r="AC1" s="5" t="s">
        <v>38</v>
      </c>
      <c r="AD1" s="5" t="s">
        <v>3629</v>
      </c>
      <c r="AE1" s="5" t="s">
        <v>3630</v>
      </c>
      <c r="AF1" s="5" t="s">
        <v>3631</v>
      </c>
      <c r="AG1" s="5" t="s">
        <v>35</v>
      </c>
      <c r="AH1" s="5" t="s">
        <v>36</v>
      </c>
      <c r="AI1" s="5" t="s">
        <v>42</v>
      </c>
      <c r="AJ1" s="5" t="s">
        <v>40</v>
      </c>
      <c r="AK1" s="5" t="s">
        <v>35</v>
      </c>
      <c r="AL1" s="5" t="s">
        <v>36</v>
      </c>
      <c r="AM1" s="5" t="s">
        <v>42</v>
      </c>
      <c r="AN1" s="5" t="s">
        <v>40</v>
      </c>
      <c r="AO1" s="5" t="s">
        <v>35</v>
      </c>
      <c r="AP1" s="5" t="s">
        <v>36</v>
      </c>
      <c r="AQ1" s="5" t="s">
        <v>40</v>
      </c>
      <c r="AR1" s="5" t="s">
        <v>35</v>
      </c>
      <c r="AS1" s="5" t="s">
        <v>36</v>
      </c>
      <c r="AT1" s="5" t="s">
        <v>3632</v>
      </c>
      <c r="AU1" s="5" t="s">
        <v>40</v>
      </c>
      <c r="AV1" s="5" t="s">
        <v>69</v>
      </c>
      <c r="AW1" s="5" t="s">
        <v>3633</v>
      </c>
      <c r="AX1" s="5" t="s">
        <v>3634</v>
      </c>
      <c r="AY1" s="5" t="s">
        <v>3635</v>
      </c>
      <c r="AZ1" s="5" t="s">
        <v>3636</v>
      </c>
      <c r="BA1" s="5" t="s">
        <v>3637</v>
      </c>
      <c r="BB1" s="5" t="s">
        <v>3638</v>
      </c>
      <c r="BC1" s="5" t="s">
        <v>3639</v>
      </c>
      <c r="BD1" s="5" t="s">
        <v>3640</v>
      </c>
      <c r="BE1" s="5" t="s">
        <v>3641</v>
      </c>
      <c r="BF1" s="5" t="s">
        <v>3642</v>
      </c>
      <c r="BG1" s="5" t="s">
        <v>3643</v>
      </c>
      <c r="BH1" s="5" t="s">
        <v>3644</v>
      </c>
      <c r="BI1" s="5" t="s">
        <v>3645</v>
      </c>
      <c r="BJ1" s="5" t="s">
        <v>3646</v>
      </c>
      <c r="BK1" s="5" t="s">
        <v>3647</v>
      </c>
      <c r="BL1" s="5" t="s">
        <v>3648</v>
      </c>
      <c r="BM1" s="5" t="s">
        <v>3649</v>
      </c>
      <c r="BN1" s="5" t="s">
        <v>3650</v>
      </c>
      <c r="BO1" s="5" t="s">
        <v>3651</v>
      </c>
      <c r="BP1" s="5" t="s">
        <v>3652</v>
      </c>
      <c r="BQ1" s="5" t="s">
        <v>3653</v>
      </c>
      <c r="BR1" s="5" t="s">
        <v>3654</v>
      </c>
      <c r="BS1" s="5" t="s">
        <v>3655</v>
      </c>
      <c r="BT1" s="5" t="s">
        <v>3656</v>
      </c>
      <c r="BU1" s="5" t="s">
        <v>3657</v>
      </c>
      <c r="BV1" s="5" t="s">
        <v>3658</v>
      </c>
      <c r="BW1" s="5" t="s">
        <v>3659</v>
      </c>
      <c r="BX1" s="5" t="s">
        <v>3660</v>
      </c>
      <c r="BY1" s="5" t="s">
        <v>3661</v>
      </c>
      <c r="BZ1" s="5" t="s">
        <v>3662</v>
      </c>
      <c r="CA1" s="5" t="s">
        <v>3663</v>
      </c>
      <c r="CB1" s="5" t="s">
        <v>3664</v>
      </c>
      <c r="CC1" s="5" t="s">
        <v>3665</v>
      </c>
      <c r="CD1" s="5" t="s">
        <v>3666</v>
      </c>
      <c r="CE1" s="5" t="s">
        <v>3667</v>
      </c>
      <c r="CF1" s="5" t="s">
        <v>3668</v>
      </c>
      <c r="CG1" s="5" t="s">
        <v>3669</v>
      </c>
      <c r="CH1" s="5" t="s">
        <v>3670</v>
      </c>
      <c r="CI1" s="5" t="s">
        <v>3671</v>
      </c>
      <c r="CJ1" s="5" t="s">
        <v>3672</v>
      </c>
      <c r="CK1" s="5" t="s">
        <v>3673</v>
      </c>
      <c r="CL1" s="5" t="s">
        <v>3674</v>
      </c>
      <c r="CM1" s="5" t="s">
        <v>3675</v>
      </c>
      <c r="CN1" s="5" t="s">
        <v>3676</v>
      </c>
      <c r="CO1" s="5" t="s">
        <v>3677</v>
      </c>
      <c r="CP1" s="5" t="s">
        <v>3678</v>
      </c>
      <c r="CQ1" s="5" t="s">
        <v>3679</v>
      </c>
      <c r="CR1" s="5" t="s">
        <v>3680</v>
      </c>
      <c r="CS1" s="5" t="s">
        <v>3681</v>
      </c>
      <c r="CT1" s="5" t="s">
        <v>3682</v>
      </c>
      <c r="CU1" s="5" t="s">
        <v>3683</v>
      </c>
      <c r="CV1" s="5" t="s">
        <v>3684</v>
      </c>
      <c r="CW1" s="5" t="s">
        <v>3685</v>
      </c>
      <c r="CX1" s="5" t="s">
        <v>3686</v>
      </c>
      <c r="CY1" s="5" t="s">
        <v>3687</v>
      </c>
      <c r="CZ1" s="5" t="s">
        <v>3688</v>
      </c>
      <c r="DA1" s="5" t="s">
        <v>3689</v>
      </c>
      <c r="DB1" s="5" t="s">
        <v>3690</v>
      </c>
      <c r="DC1" s="5" t="s">
        <v>3691</v>
      </c>
      <c r="DD1" s="5" t="s">
        <v>3692</v>
      </c>
      <c r="DE1" s="5" t="s">
        <v>3693</v>
      </c>
      <c r="DF1" s="5" t="s">
        <v>3694</v>
      </c>
      <c r="DG1" s="5" t="s">
        <v>3695</v>
      </c>
      <c r="DH1" s="5" t="s">
        <v>3696</v>
      </c>
      <c r="DI1" s="5" t="s">
        <v>3697</v>
      </c>
      <c r="DJ1" s="5" t="s">
        <v>3698</v>
      </c>
      <c r="DK1" s="5" t="s">
        <v>3699</v>
      </c>
      <c r="DL1" s="5" t="s">
        <v>3700</v>
      </c>
      <c r="DM1" s="5" t="s">
        <v>3701</v>
      </c>
      <c r="DN1" s="5" t="s">
        <v>3702</v>
      </c>
      <c r="DO1" s="5" t="s">
        <v>3703</v>
      </c>
      <c r="DP1" s="5" t="s">
        <v>3704</v>
      </c>
      <c r="DQ1" s="5" t="s">
        <v>3705</v>
      </c>
      <c r="DR1" s="5" t="s">
        <v>3706</v>
      </c>
      <c r="DS1" s="5" t="s">
        <v>3707</v>
      </c>
      <c r="DT1" s="5" t="s">
        <v>3708</v>
      </c>
      <c r="DU1" s="5" t="s">
        <v>3709</v>
      </c>
      <c r="DV1" s="5" t="s">
        <v>3710</v>
      </c>
      <c r="DW1" s="5" t="s">
        <v>3711</v>
      </c>
      <c r="DX1" s="5" t="s">
        <v>3712</v>
      </c>
      <c r="DY1" s="5" t="s">
        <v>3713</v>
      </c>
      <c r="DZ1" s="5" t="s">
        <v>3714</v>
      </c>
      <c r="EA1" s="5" t="s">
        <v>3715</v>
      </c>
      <c r="EB1" s="5" t="s">
        <v>3716</v>
      </c>
      <c r="EC1" s="5" t="s">
        <v>3717</v>
      </c>
      <c r="ED1" s="5" t="s">
        <v>3718</v>
      </c>
      <c r="EE1" s="5" t="s">
        <v>3719</v>
      </c>
      <c r="EF1" s="5" t="s">
        <v>3720</v>
      </c>
      <c r="EG1" s="5" t="s">
        <v>3721</v>
      </c>
      <c r="EH1" s="5" t="s">
        <v>3722</v>
      </c>
      <c r="EI1" s="5" t="s">
        <v>3723</v>
      </c>
      <c r="EJ1" s="5" t="s">
        <v>3724</v>
      </c>
      <c r="EK1" s="5" t="s">
        <v>3725</v>
      </c>
      <c r="EL1" s="5" t="s">
        <v>3726</v>
      </c>
      <c r="EM1" s="5" t="s">
        <v>3727</v>
      </c>
      <c r="EN1" s="5" t="s">
        <v>3728</v>
      </c>
      <c r="EO1" s="5" t="s">
        <v>3729</v>
      </c>
      <c r="EP1" s="5" t="s">
        <v>3730</v>
      </c>
      <c r="EQ1" s="5" t="s">
        <v>3731</v>
      </c>
      <c r="ER1" s="5" t="s">
        <v>3732</v>
      </c>
      <c r="ES1" s="5" t="s">
        <v>3733</v>
      </c>
      <c r="ET1" s="5" t="s">
        <v>3734</v>
      </c>
      <c r="EU1" s="5" t="s">
        <v>3735</v>
      </c>
      <c r="EV1" s="5" t="s">
        <v>3736</v>
      </c>
      <c r="EW1" s="5" t="s">
        <v>3737</v>
      </c>
      <c r="EX1" s="5" t="s">
        <v>3738</v>
      </c>
      <c r="EY1" s="5" t="s">
        <v>3739</v>
      </c>
      <c r="EZ1" s="5" t="s">
        <v>3740</v>
      </c>
      <c r="FA1" s="5" t="s">
        <v>3741</v>
      </c>
      <c r="FB1" s="5" t="s">
        <v>3742</v>
      </c>
      <c r="FC1" s="5" t="s">
        <v>3743</v>
      </c>
      <c r="FD1" s="5" t="s">
        <v>3744</v>
      </c>
      <c r="FE1" s="5" t="s">
        <v>3745</v>
      </c>
      <c r="FF1" s="5" t="s">
        <v>3746</v>
      </c>
      <c r="FG1" s="5" t="s">
        <v>3747</v>
      </c>
      <c r="FH1" s="5" t="s">
        <v>3748</v>
      </c>
      <c r="FI1" s="5" t="s">
        <v>3749</v>
      </c>
      <c r="FJ1" s="5" t="s">
        <v>3750</v>
      </c>
      <c r="FK1" s="5" t="s">
        <v>3751</v>
      </c>
      <c r="FL1" s="5" t="s">
        <v>3752</v>
      </c>
      <c r="FM1" s="5" t="s">
        <v>3753</v>
      </c>
      <c r="FN1" s="5" t="s">
        <v>3754</v>
      </c>
      <c r="FO1" s="5" t="s">
        <v>3755</v>
      </c>
      <c r="FP1" s="5" t="s">
        <v>3756</v>
      </c>
      <c r="FQ1" s="5" t="s">
        <v>3757</v>
      </c>
      <c r="FR1" s="5" t="s">
        <v>3758</v>
      </c>
      <c r="FS1" s="5" t="s">
        <v>3759</v>
      </c>
      <c r="FT1" s="5" t="s">
        <v>3760</v>
      </c>
      <c r="FU1" s="5" t="s">
        <v>3761</v>
      </c>
      <c r="FV1" s="5" t="s">
        <v>3762</v>
      </c>
      <c r="FW1" s="5" t="s">
        <v>3763</v>
      </c>
      <c r="FX1" s="5" t="s">
        <v>3764</v>
      </c>
      <c r="FY1" s="5" t="s">
        <v>3765</v>
      </c>
      <c r="FZ1" s="5" t="s">
        <v>3766</v>
      </c>
      <c r="GA1" s="5" t="s">
        <v>3767</v>
      </c>
      <c r="GB1" s="5" t="s">
        <v>3768</v>
      </c>
      <c r="GC1" s="5" t="s">
        <v>3769</v>
      </c>
      <c r="GD1" s="5" t="s">
        <v>3770</v>
      </c>
      <c r="GE1" s="5" t="s">
        <v>3771</v>
      </c>
      <c r="GF1" s="5" t="s">
        <v>3772</v>
      </c>
      <c r="GG1" s="5" t="s">
        <v>3773</v>
      </c>
      <c r="GH1" s="5" t="s">
        <v>3774</v>
      </c>
      <c r="GI1" s="5" t="s">
        <v>3775</v>
      </c>
      <c r="GJ1" s="5" t="s">
        <v>3776</v>
      </c>
      <c r="GK1" s="5" t="s">
        <v>3777</v>
      </c>
      <c r="GL1" s="5" t="s">
        <v>3778</v>
      </c>
      <c r="GM1" s="5" t="s">
        <v>3779</v>
      </c>
      <c r="GN1" s="5" t="s">
        <v>3780</v>
      </c>
      <c r="GO1" s="5" t="s">
        <v>3781</v>
      </c>
      <c r="GP1" s="5" t="s">
        <v>3782</v>
      </c>
      <c r="GQ1" s="5" t="s">
        <v>3783</v>
      </c>
      <c r="GR1" s="5" t="s">
        <v>3784</v>
      </c>
      <c r="GS1" s="5" t="s">
        <v>3785</v>
      </c>
      <c r="GT1" s="5" t="s">
        <v>3786</v>
      </c>
      <c r="GU1" s="5" t="s">
        <v>3787</v>
      </c>
      <c r="GV1" s="5" t="s">
        <v>3788</v>
      </c>
      <c r="GW1" s="5" t="s">
        <v>3789</v>
      </c>
      <c r="GX1" s="5" t="s">
        <v>3790</v>
      </c>
      <c r="GY1" s="5" t="s">
        <v>3791</v>
      </c>
      <c r="GZ1" s="5" t="s">
        <v>3792</v>
      </c>
      <c r="HA1" s="5" t="s">
        <v>3793</v>
      </c>
      <c r="HB1" s="5" t="s">
        <v>3794</v>
      </c>
      <c r="HC1" s="5" t="s">
        <v>3795</v>
      </c>
      <c r="HD1" s="5" t="s">
        <v>3796</v>
      </c>
      <c r="HE1" s="5" t="s">
        <v>3797</v>
      </c>
      <c r="HF1" s="5" t="s">
        <v>215</v>
      </c>
      <c r="HG1" s="5" t="s">
        <v>216</v>
      </c>
      <c r="HH1" s="5" t="s">
        <v>217</v>
      </c>
      <c r="HI1" s="5" t="s">
        <v>218</v>
      </c>
      <c r="HJ1" s="5" t="s">
        <v>219</v>
      </c>
      <c r="HK1" s="5" t="s">
        <v>220</v>
      </c>
      <c r="HL1" s="5" t="s">
        <v>3798</v>
      </c>
      <c r="HM1" s="5" t="s">
        <v>224</v>
      </c>
      <c r="HN1" s="5" t="s">
        <v>3799</v>
      </c>
      <c r="HO1" s="5" t="s">
        <v>3800</v>
      </c>
      <c r="HP1" s="5" t="s">
        <v>3801</v>
      </c>
      <c r="HQ1" s="5" t="s">
        <v>3802</v>
      </c>
      <c r="HR1" s="5" t="s">
        <v>3803</v>
      </c>
      <c r="HS1" s="5" t="s">
        <v>3804</v>
      </c>
      <c r="HT1" s="5" t="s">
        <v>3805</v>
      </c>
      <c r="HU1" s="5" t="s">
        <v>3806</v>
      </c>
      <c r="HV1" s="5" t="s">
        <v>3807</v>
      </c>
      <c r="HW1" s="5" t="s">
        <v>3808</v>
      </c>
      <c r="HX1" s="5" t="s">
        <v>3809</v>
      </c>
      <c r="HY1" s="5" t="s">
        <v>3810</v>
      </c>
      <c r="HZ1" s="5" t="s">
        <v>3811</v>
      </c>
      <c r="IA1" s="5" t="s">
        <v>3812</v>
      </c>
      <c r="IB1" s="5" t="s">
        <v>3813</v>
      </c>
      <c r="IC1" s="5" t="s">
        <v>3814</v>
      </c>
      <c r="ID1" s="5" t="s">
        <v>3815</v>
      </c>
      <c r="IE1" s="5" t="s">
        <v>3816</v>
      </c>
      <c r="IF1" s="5" t="s">
        <v>3817</v>
      </c>
      <c r="IG1" s="5" t="s">
        <v>3818</v>
      </c>
      <c r="IH1" s="5" t="s">
        <v>3819</v>
      </c>
      <c r="II1" s="5" t="s">
        <v>3820</v>
      </c>
      <c r="IJ1" s="5" t="s">
        <v>3821</v>
      </c>
      <c r="IK1" s="5" t="s">
        <v>3822</v>
      </c>
      <c r="IL1" s="5" t="s">
        <v>3823</v>
      </c>
      <c r="IM1" s="5" t="s">
        <v>3824</v>
      </c>
      <c r="IN1" s="5" t="s">
        <v>3825</v>
      </c>
      <c r="IO1" s="5" t="s">
        <v>3826</v>
      </c>
      <c r="IP1" s="5" t="s">
        <v>3827</v>
      </c>
      <c r="IQ1" s="5" t="s">
        <v>3828</v>
      </c>
      <c r="IR1" s="5" t="s">
        <v>3829</v>
      </c>
      <c r="IS1" s="5" t="s">
        <v>3830</v>
      </c>
      <c r="IT1" s="5" t="s">
        <v>3831</v>
      </c>
      <c r="IU1" s="5" t="s">
        <v>3832</v>
      </c>
      <c r="IV1" s="5" t="s">
        <v>3833</v>
      </c>
      <c r="IW1" s="5" t="s">
        <v>3834</v>
      </c>
      <c r="IX1" s="5" t="s">
        <v>3835</v>
      </c>
      <c r="IY1" s="5" t="s">
        <v>3836</v>
      </c>
      <c r="IZ1" s="5" t="s">
        <v>3837</v>
      </c>
      <c r="JA1" s="5" t="s">
        <v>3838</v>
      </c>
      <c r="JB1" s="5" t="s">
        <v>3839</v>
      </c>
      <c r="JC1" s="5" t="s">
        <v>3840</v>
      </c>
      <c r="JD1" s="5" t="s">
        <v>3841</v>
      </c>
      <c r="JE1" s="5" t="s">
        <v>3842</v>
      </c>
      <c r="JF1" s="5" t="s">
        <v>3843</v>
      </c>
      <c r="JG1" s="5" t="s">
        <v>3844</v>
      </c>
      <c r="JH1" s="5" t="s">
        <v>3845</v>
      </c>
      <c r="JI1" s="5" t="s">
        <v>3846</v>
      </c>
      <c r="JJ1" s="5" t="s">
        <v>3847</v>
      </c>
      <c r="JK1" s="5" t="s">
        <v>3848</v>
      </c>
      <c r="JL1" s="5" t="s">
        <v>3849</v>
      </c>
      <c r="JM1" s="5" t="s">
        <v>3850</v>
      </c>
      <c r="JN1" s="5" t="s">
        <v>3851</v>
      </c>
      <c r="JO1" s="5" t="s">
        <v>3852</v>
      </c>
      <c r="JP1" s="5" t="s">
        <v>3853</v>
      </c>
      <c r="JQ1" s="5" t="s">
        <v>3854</v>
      </c>
      <c r="JR1" s="5" t="s">
        <v>3855</v>
      </c>
      <c r="JS1" s="5" t="s">
        <v>3856</v>
      </c>
      <c r="JT1" s="5" t="s">
        <v>3857</v>
      </c>
      <c r="JU1" s="5" t="s">
        <v>3858</v>
      </c>
      <c r="JV1" s="5" t="s">
        <v>3859</v>
      </c>
      <c r="JW1" s="5" t="s">
        <v>3860</v>
      </c>
      <c r="JX1" s="5" t="s">
        <v>3861</v>
      </c>
      <c r="JY1" s="5" t="s">
        <v>3862</v>
      </c>
      <c r="JZ1" s="5" t="s">
        <v>3863</v>
      </c>
      <c r="KA1" s="5" t="s">
        <v>3864</v>
      </c>
      <c r="KB1" s="5" t="s">
        <v>3865</v>
      </c>
      <c r="KC1" s="5" t="s">
        <v>3866</v>
      </c>
      <c r="KD1" s="5" t="s">
        <v>3867</v>
      </c>
      <c r="KE1" s="5" t="s">
        <v>3868</v>
      </c>
      <c r="KF1" s="5" t="s">
        <v>3869</v>
      </c>
      <c r="KG1" s="5" t="s">
        <v>3870</v>
      </c>
      <c r="KH1" s="5" t="s">
        <v>3871</v>
      </c>
      <c r="KI1" s="5" t="s">
        <v>3872</v>
      </c>
      <c r="KJ1" s="5" t="s">
        <v>3873</v>
      </c>
      <c r="KK1" s="5" t="s">
        <v>3874</v>
      </c>
      <c r="KL1" s="5" t="s">
        <v>3875</v>
      </c>
      <c r="KM1" s="5" t="s">
        <v>3876</v>
      </c>
      <c r="KN1" s="5" t="s">
        <v>3877</v>
      </c>
      <c r="KO1" s="5" t="s">
        <v>3878</v>
      </c>
      <c r="KP1" s="5" t="s">
        <v>3879</v>
      </c>
      <c r="KQ1" s="5" t="s">
        <v>3880</v>
      </c>
      <c r="KR1" s="5" t="s">
        <v>3881</v>
      </c>
      <c r="KS1" s="5" t="s">
        <v>3882</v>
      </c>
      <c r="KT1" s="5" t="s">
        <v>3883</v>
      </c>
      <c r="KU1" s="5" t="s">
        <v>3884</v>
      </c>
      <c r="KV1" s="5" t="s">
        <v>3885</v>
      </c>
      <c r="KW1" s="5" t="s">
        <v>3886</v>
      </c>
      <c r="KX1" s="5" t="s">
        <v>3887</v>
      </c>
      <c r="KY1" s="5" t="s">
        <v>3888</v>
      </c>
      <c r="KZ1" s="5" t="s">
        <v>3889</v>
      </c>
      <c r="LA1" s="5" t="s">
        <v>3890</v>
      </c>
      <c r="LB1" s="5" t="s">
        <v>3891</v>
      </c>
      <c r="LC1" s="5" t="s">
        <v>3892</v>
      </c>
      <c r="LD1" s="5" t="s">
        <v>3893</v>
      </c>
      <c r="LE1" s="5" t="s">
        <v>3894</v>
      </c>
      <c r="LF1" s="5" t="s">
        <v>3895</v>
      </c>
      <c r="LG1" s="5" t="s">
        <v>3896</v>
      </c>
      <c r="LH1" s="5" t="s">
        <v>3897</v>
      </c>
      <c r="LI1" s="5" t="s">
        <v>3898</v>
      </c>
      <c r="LJ1" s="5" t="s">
        <v>3899</v>
      </c>
      <c r="LK1" s="5" t="s">
        <v>3900</v>
      </c>
      <c r="LL1" s="5" t="s">
        <v>3901</v>
      </c>
      <c r="LM1" s="5" t="s">
        <v>3902</v>
      </c>
      <c r="LN1" s="5" t="s">
        <v>3903</v>
      </c>
      <c r="LO1" s="5" t="s">
        <v>3904</v>
      </c>
      <c r="LP1" s="5" t="s">
        <v>3905</v>
      </c>
      <c r="LQ1" s="5" t="s">
        <v>3906</v>
      </c>
      <c r="LR1" s="5" t="s">
        <v>3907</v>
      </c>
      <c r="LS1" s="5" t="s">
        <v>3908</v>
      </c>
      <c r="LT1" s="5" t="s">
        <v>3909</v>
      </c>
      <c r="LU1" s="5" t="s">
        <v>3910</v>
      </c>
      <c r="LV1" s="5" t="s">
        <v>3911</v>
      </c>
      <c r="LW1" s="5" t="s">
        <v>3912</v>
      </c>
      <c r="LX1" s="5" t="s">
        <v>3913</v>
      </c>
      <c r="LY1" s="5" t="s">
        <v>3914</v>
      </c>
      <c r="LZ1" s="5" t="s">
        <v>3915</v>
      </c>
      <c r="MA1" s="5" t="s">
        <v>3916</v>
      </c>
      <c r="MB1" s="5" t="s">
        <v>3917</v>
      </c>
      <c r="MC1" s="5" t="s">
        <v>3918</v>
      </c>
      <c r="MD1" s="5" t="s">
        <v>3919</v>
      </c>
      <c r="ME1" s="5" t="s">
        <v>3920</v>
      </c>
      <c r="MF1" s="5" t="s">
        <v>3921</v>
      </c>
      <c r="MG1" s="5" t="s">
        <v>3922</v>
      </c>
      <c r="MH1" s="5" t="s">
        <v>3923</v>
      </c>
      <c r="MI1" s="5" t="s">
        <v>3924</v>
      </c>
      <c r="MJ1" s="5" t="s">
        <v>3925</v>
      </c>
      <c r="MK1" s="5" t="s">
        <v>3926</v>
      </c>
      <c r="ML1" s="5" t="s">
        <v>3927</v>
      </c>
      <c r="MM1" s="5" t="s">
        <v>3928</v>
      </c>
      <c r="MN1" s="5" t="s">
        <v>3929</v>
      </c>
      <c r="MO1" s="5" t="s">
        <v>3930</v>
      </c>
      <c r="MP1" s="5" t="s">
        <v>3931</v>
      </c>
      <c r="MQ1" s="5" t="s">
        <v>3932</v>
      </c>
      <c r="MR1" s="5" t="s">
        <v>3933</v>
      </c>
      <c r="MS1" s="5" t="s">
        <v>3934</v>
      </c>
      <c r="MT1" s="5" t="s">
        <v>3935</v>
      </c>
      <c r="MU1" s="5" t="s">
        <v>3936</v>
      </c>
      <c r="MV1" s="5" t="s">
        <v>3937</v>
      </c>
      <c r="MW1" s="5" t="s">
        <v>3938</v>
      </c>
      <c r="MX1" s="5" t="s">
        <v>3939</v>
      </c>
      <c r="MY1" s="5" t="s">
        <v>3940</v>
      </c>
      <c r="MZ1" s="5" t="s">
        <v>3941</v>
      </c>
      <c r="NA1" s="5" t="s">
        <v>3942</v>
      </c>
      <c r="NB1" s="5" t="s">
        <v>3943</v>
      </c>
      <c r="NC1" s="5" t="s">
        <v>3944</v>
      </c>
      <c r="ND1" s="5" t="s">
        <v>3945</v>
      </c>
      <c r="NE1" s="5" t="s">
        <v>3946</v>
      </c>
      <c r="NF1" s="5" t="s">
        <v>3947</v>
      </c>
      <c r="NG1" s="5" t="s">
        <v>3948</v>
      </c>
      <c r="NH1" s="5" t="s">
        <v>3949</v>
      </c>
      <c r="NI1" s="5" t="s">
        <v>3950</v>
      </c>
      <c r="NJ1" s="5" t="s">
        <v>3951</v>
      </c>
      <c r="NK1" s="5" t="s">
        <v>3952</v>
      </c>
      <c r="NL1" s="5" t="s">
        <v>3953</v>
      </c>
      <c r="NM1" s="5" t="s">
        <v>3954</v>
      </c>
      <c r="NN1" s="5" t="s">
        <v>3955</v>
      </c>
      <c r="NO1" s="5" t="s">
        <v>3956</v>
      </c>
      <c r="NP1" s="5" t="s">
        <v>3957</v>
      </c>
      <c r="NQ1" s="5" t="s">
        <v>3958</v>
      </c>
      <c r="NR1" s="5" t="s">
        <v>3959</v>
      </c>
      <c r="NS1" s="5" t="s">
        <v>3960</v>
      </c>
      <c r="NT1" s="5" t="s">
        <v>3961</v>
      </c>
      <c r="NU1" s="5" t="s">
        <v>3962</v>
      </c>
      <c r="NV1" s="5" t="s">
        <v>3963</v>
      </c>
      <c r="NW1" s="5" t="s">
        <v>3964</v>
      </c>
      <c r="NX1" s="5" t="s">
        <v>3965</v>
      </c>
      <c r="NY1" s="5" t="s">
        <v>3966</v>
      </c>
      <c r="NZ1" s="5" t="s">
        <v>3967</v>
      </c>
      <c r="OA1" s="5" t="s">
        <v>3968</v>
      </c>
      <c r="OB1" s="5" t="s">
        <v>3969</v>
      </c>
      <c r="OC1" s="5" t="s">
        <v>3970</v>
      </c>
      <c r="OD1" s="5" t="s">
        <v>3971</v>
      </c>
      <c r="OE1" s="5" t="s">
        <v>3972</v>
      </c>
      <c r="OF1" s="5" t="s">
        <v>3973</v>
      </c>
      <c r="OG1" s="5" t="s">
        <v>3974</v>
      </c>
      <c r="OH1" s="5" t="s">
        <v>3975</v>
      </c>
      <c r="OI1" s="5" t="s">
        <v>3976</v>
      </c>
      <c r="OJ1" s="5" t="s">
        <v>3977</v>
      </c>
      <c r="OK1" s="5" t="s">
        <v>3978</v>
      </c>
      <c r="OL1" s="5" t="s">
        <v>3979</v>
      </c>
      <c r="OM1" s="5" t="s">
        <v>3980</v>
      </c>
      <c r="ON1" s="5" t="s">
        <v>3981</v>
      </c>
      <c r="OO1" s="5" t="s">
        <v>3982</v>
      </c>
      <c r="OP1" s="5" t="s">
        <v>3983</v>
      </c>
      <c r="OQ1" s="5" t="s">
        <v>3984</v>
      </c>
      <c r="OR1" s="5" t="s">
        <v>3985</v>
      </c>
      <c r="OS1" s="5" t="s">
        <v>3986</v>
      </c>
      <c r="OT1" s="5" t="s">
        <v>3987</v>
      </c>
      <c r="OU1" s="5" t="s">
        <v>3988</v>
      </c>
      <c r="OV1" s="5" t="s">
        <v>3989</v>
      </c>
      <c r="OW1" s="5" t="s">
        <v>3990</v>
      </c>
      <c r="OX1" s="5" t="s">
        <v>3991</v>
      </c>
      <c r="OY1" s="5" t="s">
        <v>3992</v>
      </c>
      <c r="OZ1" s="5" t="s">
        <v>3993</v>
      </c>
      <c r="PA1" s="5" t="s">
        <v>3994</v>
      </c>
      <c r="PB1" s="5" t="s">
        <v>3995</v>
      </c>
      <c r="PC1" s="5" t="s">
        <v>3996</v>
      </c>
      <c r="PD1" s="5" t="s">
        <v>3997</v>
      </c>
      <c r="PE1" s="5" t="s">
        <v>3998</v>
      </c>
      <c r="PF1" s="5" t="s">
        <v>3999</v>
      </c>
      <c r="PG1" s="5" t="s">
        <v>4000</v>
      </c>
      <c r="PH1" s="5" t="s">
        <v>4001</v>
      </c>
      <c r="PI1" s="5" t="s">
        <v>4002</v>
      </c>
      <c r="PJ1" s="5" t="s">
        <v>4003</v>
      </c>
      <c r="PK1" s="5" t="s">
        <v>4004</v>
      </c>
      <c r="PL1" s="5" t="s">
        <v>4005</v>
      </c>
      <c r="PM1" s="5" t="s">
        <v>4006</v>
      </c>
      <c r="PN1" s="5" t="s">
        <v>4007</v>
      </c>
      <c r="PO1" s="5" t="s">
        <v>4008</v>
      </c>
      <c r="PP1" s="5" t="s">
        <v>4009</v>
      </c>
      <c r="PQ1" s="5" t="s">
        <v>4010</v>
      </c>
      <c r="PR1" s="5" t="s">
        <v>4011</v>
      </c>
      <c r="PS1" s="5" t="s">
        <v>4012</v>
      </c>
      <c r="PT1" s="5" t="s">
        <v>4013</v>
      </c>
      <c r="PU1" s="5" t="s">
        <v>4014</v>
      </c>
      <c r="PV1" s="5" t="s">
        <v>4015</v>
      </c>
      <c r="PW1" s="5" t="s">
        <v>4016</v>
      </c>
      <c r="PX1" s="5" t="s">
        <v>477</v>
      </c>
      <c r="PY1" s="5" t="s">
        <v>4017</v>
      </c>
      <c r="PZ1" s="5" t="s">
        <v>4018</v>
      </c>
      <c r="QA1" s="5" t="s">
        <v>4019</v>
      </c>
      <c r="QB1" s="5" t="s">
        <v>4020</v>
      </c>
      <c r="QC1" s="5" t="s">
        <v>4021</v>
      </c>
      <c r="QD1" s="5" t="s">
        <v>4022</v>
      </c>
      <c r="QE1" s="5" t="s">
        <v>4023</v>
      </c>
      <c r="QF1" s="5" t="s">
        <v>4024</v>
      </c>
      <c r="QG1" s="5" t="s">
        <v>4025</v>
      </c>
      <c r="QH1" s="5" t="s">
        <v>4026</v>
      </c>
      <c r="QI1" s="5" t="s">
        <v>4027</v>
      </c>
      <c r="QJ1" s="5" t="s">
        <v>4028</v>
      </c>
      <c r="QK1" s="5" t="s">
        <v>4029</v>
      </c>
      <c r="QL1" s="5" t="s">
        <v>4030</v>
      </c>
      <c r="QM1" s="5" t="s">
        <v>4031</v>
      </c>
      <c r="QN1" s="5" t="s">
        <v>4032</v>
      </c>
      <c r="QO1" s="5" t="s">
        <v>503</v>
      </c>
      <c r="QP1" s="5" t="s">
        <v>504</v>
      </c>
      <c r="QQ1" s="5" t="s">
        <v>505</v>
      </c>
      <c r="QR1" s="5" t="s">
        <v>4033</v>
      </c>
      <c r="QS1" s="5" t="s">
        <v>4034</v>
      </c>
      <c r="QT1" s="5" t="s">
        <v>4035</v>
      </c>
    </row>
    <row r="2" spans="1:462">
      <c r="A2" t="s">
        <v>516</v>
      </c>
      <c r="B2" t="s">
        <v>508</v>
      </c>
      <c r="C2" t="s">
        <v>509</v>
      </c>
      <c r="D2" t="s">
        <v>510</v>
      </c>
      <c r="E2" t="s">
        <v>4036</v>
      </c>
      <c r="H2" t="s">
        <v>511</v>
      </c>
      <c r="M2" t="s">
        <v>512</v>
      </c>
      <c r="N2" t="s">
        <v>515</v>
      </c>
      <c r="O2" t="s">
        <v>513</v>
      </c>
      <c r="P2" t="s">
        <v>517</v>
      </c>
      <c r="Q2" t="s">
        <v>518</v>
      </c>
      <c r="R2" t="s">
        <v>519</v>
      </c>
      <c r="S2" t="s">
        <v>4037</v>
      </c>
      <c r="T2" t="s">
        <v>520</v>
      </c>
      <c r="U2" t="s">
        <v>521</v>
      </c>
      <c r="V2" t="s">
        <v>522</v>
      </c>
      <c r="W2" t="s">
        <v>523</v>
      </c>
      <c r="X2" t="s">
        <v>525</v>
      </c>
      <c r="Y2" t="s">
        <v>526</v>
      </c>
      <c r="Z2" t="s">
        <v>541</v>
      </c>
      <c r="AA2" t="s">
        <v>4038</v>
      </c>
      <c r="AB2" t="s">
        <v>4039</v>
      </c>
      <c r="AC2">
        <v>9</v>
      </c>
      <c r="AD2" t="s">
        <v>507</v>
      </c>
      <c r="AE2">
        <v>1</v>
      </c>
      <c r="AF2">
        <v>3712</v>
      </c>
      <c r="AG2" t="s">
        <v>4040</v>
      </c>
      <c r="AH2">
        <v>1</v>
      </c>
      <c r="AI2" t="s">
        <v>4041</v>
      </c>
      <c r="AK2" t="s">
        <v>4042</v>
      </c>
      <c r="AL2">
        <v>1</v>
      </c>
      <c r="AM2" t="s">
        <v>582</v>
      </c>
      <c r="AO2" t="s">
        <v>4043</v>
      </c>
      <c r="AP2">
        <v>1</v>
      </c>
      <c r="AR2" t="s">
        <v>4044</v>
      </c>
      <c r="AS2">
        <v>1</v>
      </c>
      <c r="AT2">
        <v>51</v>
      </c>
      <c r="AV2" t="s">
        <v>4045</v>
      </c>
      <c r="AW2">
        <v>6.4</v>
      </c>
      <c r="AX2">
        <v>-6</v>
      </c>
      <c r="AY2">
        <v>93.5</v>
      </c>
      <c r="AZ2">
        <v>84.5</v>
      </c>
      <c r="BH2">
        <v>93.5</v>
      </c>
      <c r="BI2">
        <v>9</v>
      </c>
      <c r="BJ2">
        <v>84.5</v>
      </c>
      <c r="BK2">
        <v>3.5</v>
      </c>
      <c r="BL2">
        <v>187</v>
      </c>
      <c r="BM2">
        <v>-6</v>
      </c>
      <c r="BN2">
        <v>0</v>
      </c>
      <c r="BP2">
        <v>0</v>
      </c>
      <c r="BR2">
        <v>180</v>
      </c>
      <c r="BS2">
        <v>170</v>
      </c>
      <c r="BT2">
        <v>1840</v>
      </c>
      <c r="BU2" t="s">
        <v>4046</v>
      </c>
      <c r="BV2" t="s">
        <v>4047</v>
      </c>
      <c r="BW2" t="s">
        <v>4048</v>
      </c>
      <c r="BX2" t="s">
        <v>4049</v>
      </c>
      <c r="BY2" t="s">
        <v>4050</v>
      </c>
      <c r="BZ2" t="s">
        <v>4050</v>
      </c>
      <c r="CA2" t="s">
        <v>4051</v>
      </c>
      <c r="CB2" t="s">
        <v>4052</v>
      </c>
      <c r="CC2" t="s">
        <v>4053</v>
      </c>
      <c r="CD2" t="s">
        <v>4054</v>
      </c>
      <c r="CE2" t="s">
        <v>4055</v>
      </c>
      <c r="CF2" t="s">
        <v>4055</v>
      </c>
      <c r="CG2" t="s">
        <v>4056</v>
      </c>
      <c r="CH2" t="s">
        <v>4057</v>
      </c>
      <c r="CI2" t="s">
        <v>4058</v>
      </c>
      <c r="CJ2" t="s">
        <v>4059</v>
      </c>
      <c r="CK2" t="s">
        <v>4060</v>
      </c>
      <c r="CL2" t="s">
        <v>4061</v>
      </c>
      <c r="CM2" t="s">
        <v>4055</v>
      </c>
      <c r="CN2" t="s">
        <v>4062</v>
      </c>
      <c r="CO2" t="s">
        <v>4063</v>
      </c>
      <c r="CP2" t="s">
        <v>4055</v>
      </c>
      <c r="CQ2" t="s">
        <v>4055</v>
      </c>
      <c r="CR2">
        <v>5</v>
      </c>
      <c r="CS2" t="s">
        <v>4055</v>
      </c>
      <c r="CT2" t="s">
        <v>4055</v>
      </c>
      <c r="CU2" t="s">
        <v>4055</v>
      </c>
      <c r="CV2">
        <v>113</v>
      </c>
      <c r="CW2">
        <v>3</v>
      </c>
      <c r="CX2">
        <v>75</v>
      </c>
      <c r="CY2">
        <v>5</v>
      </c>
      <c r="CZ2">
        <v>142</v>
      </c>
      <c r="DA2">
        <v>5</v>
      </c>
      <c r="DB2">
        <v>9040</v>
      </c>
      <c r="DC2">
        <v>270</v>
      </c>
      <c r="DD2">
        <v>322</v>
      </c>
      <c r="DE2">
        <v>1960</v>
      </c>
      <c r="DF2">
        <v>1960</v>
      </c>
      <c r="DG2">
        <v>1971</v>
      </c>
      <c r="DH2" t="s">
        <v>4055</v>
      </c>
      <c r="DI2" t="s">
        <v>4055</v>
      </c>
      <c r="DJ2" t="s">
        <v>4064</v>
      </c>
      <c r="DK2">
        <v>180</v>
      </c>
      <c r="DL2" t="s">
        <v>4065</v>
      </c>
      <c r="DM2">
        <v>63</v>
      </c>
      <c r="DN2">
        <v>1.2</v>
      </c>
      <c r="DO2">
        <v>1</v>
      </c>
      <c r="DP2">
        <v>1844</v>
      </c>
      <c r="DQ2">
        <v>762</v>
      </c>
      <c r="DR2" t="s">
        <v>4064</v>
      </c>
      <c r="DS2">
        <v>170</v>
      </c>
      <c r="DT2" t="s">
        <v>4065</v>
      </c>
      <c r="DU2">
        <v>63</v>
      </c>
      <c r="DV2">
        <v>1.2</v>
      </c>
      <c r="DW2">
        <v>1</v>
      </c>
      <c r="DX2">
        <v>1856</v>
      </c>
      <c r="DY2">
        <v>724</v>
      </c>
      <c r="DZ2" t="s">
        <v>4066</v>
      </c>
      <c r="EA2">
        <v>20</v>
      </c>
      <c r="EB2" t="s">
        <v>4065</v>
      </c>
      <c r="EC2">
        <v>0.8</v>
      </c>
      <c r="ED2">
        <v>1844</v>
      </c>
      <c r="EE2">
        <v>65</v>
      </c>
      <c r="EG2">
        <v>0</v>
      </c>
      <c r="EH2" t="s">
        <v>4065</v>
      </c>
      <c r="EI2">
        <v>0</v>
      </c>
      <c r="EL2" t="s">
        <v>1528</v>
      </c>
      <c r="EM2">
        <v>12</v>
      </c>
      <c r="EN2">
        <v>0.5</v>
      </c>
      <c r="EO2">
        <v>0.96</v>
      </c>
      <c r="EP2">
        <v>1855.08</v>
      </c>
      <c r="EQ2">
        <v>28840.7</v>
      </c>
      <c r="ER2">
        <v>2617.19</v>
      </c>
      <c r="ES2">
        <v>0</v>
      </c>
      <c r="ET2">
        <v>0</v>
      </c>
      <c r="EU2">
        <v>1</v>
      </c>
      <c r="EV2">
        <v>31458</v>
      </c>
      <c r="EW2">
        <v>378</v>
      </c>
      <c r="EX2" t="s">
        <v>4067</v>
      </c>
      <c r="EY2">
        <v>194</v>
      </c>
      <c r="EZ2" t="s">
        <v>4055</v>
      </c>
      <c r="FA2">
        <v>5.9</v>
      </c>
      <c r="FB2">
        <v>1</v>
      </c>
      <c r="FC2">
        <v>1</v>
      </c>
      <c r="FD2">
        <v>1885</v>
      </c>
      <c r="FE2">
        <v>2607</v>
      </c>
      <c r="FF2" t="s">
        <v>4068</v>
      </c>
      <c r="FG2">
        <v>194</v>
      </c>
      <c r="FH2" t="s">
        <v>4055</v>
      </c>
      <c r="FI2">
        <v>1.5</v>
      </c>
      <c r="FJ2">
        <v>1885</v>
      </c>
      <c r="FK2">
        <v>590</v>
      </c>
      <c r="FL2" t="s">
        <v>4069</v>
      </c>
      <c r="FM2" t="s">
        <v>4055</v>
      </c>
      <c r="FN2" t="s">
        <v>4055</v>
      </c>
      <c r="FO2" t="s">
        <v>4055</v>
      </c>
      <c r="FP2">
        <v>1885</v>
      </c>
      <c r="FQ2">
        <v>183</v>
      </c>
      <c r="FR2" t="s">
        <v>4055</v>
      </c>
      <c r="FT2" t="s">
        <v>4055</v>
      </c>
      <c r="FV2">
        <v>1885</v>
      </c>
      <c r="FW2">
        <v>0</v>
      </c>
      <c r="FX2" t="s">
        <v>4070</v>
      </c>
      <c r="FY2">
        <v>5</v>
      </c>
      <c r="FZ2" t="s">
        <v>4055</v>
      </c>
      <c r="GA2" t="s">
        <v>4055</v>
      </c>
      <c r="GB2">
        <v>1885</v>
      </c>
      <c r="GC2">
        <v>16</v>
      </c>
      <c r="GD2">
        <v>3396</v>
      </c>
      <c r="GE2" t="s">
        <v>4044</v>
      </c>
      <c r="GF2" t="s">
        <v>4055</v>
      </c>
      <c r="GG2" t="s">
        <v>4055</v>
      </c>
      <c r="GH2" t="s">
        <v>4055</v>
      </c>
      <c r="GI2" t="s">
        <v>4071</v>
      </c>
      <c r="GJ2" t="s">
        <v>4055</v>
      </c>
      <c r="GK2" t="s">
        <v>4055</v>
      </c>
      <c r="GL2" t="s">
        <v>4055</v>
      </c>
      <c r="GM2" t="s">
        <v>4055</v>
      </c>
      <c r="GQ2">
        <v>0</v>
      </c>
      <c r="GV2">
        <v>7.4</v>
      </c>
      <c r="GW2">
        <v>10</v>
      </c>
      <c r="GX2">
        <v>0.5</v>
      </c>
      <c r="GY2">
        <v>162</v>
      </c>
      <c r="GZ2">
        <v>3</v>
      </c>
      <c r="HA2">
        <v>214</v>
      </c>
      <c r="HB2">
        <v>3</v>
      </c>
      <c r="HC2">
        <v>1885</v>
      </c>
      <c r="HD2">
        <v>4</v>
      </c>
      <c r="HE2" t="s">
        <v>4071</v>
      </c>
      <c r="HG2" t="s">
        <v>549</v>
      </c>
      <c r="HL2">
        <v>4</v>
      </c>
      <c r="HM2">
        <v>16</v>
      </c>
      <c r="HN2">
        <v>6</v>
      </c>
      <c r="HO2">
        <v>1</v>
      </c>
      <c r="HP2">
        <v>0</v>
      </c>
      <c r="HQ2">
        <v>0</v>
      </c>
      <c r="HR2">
        <v>3</v>
      </c>
      <c r="HS2">
        <v>1840</v>
      </c>
      <c r="HT2">
        <v>5</v>
      </c>
      <c r="HU2">
        <v>1</v>
      </c>
      <c r="HV2">
        <v>5</v>
      </c>
      <c r="HW2">
        <v>0</v>
      </c>
      <c r="HX2">
        <v>1</v>
      </c>
      <c r="HY2">
        <v>0</v>
      </c>
      <c r="HZ2">
        <v>63</v>
      </c>
      <c r="IA2">
        <v>1844</v>
      </c>
      <c r="IB2">
        <v>1856</v>
      </c>
      <c r="ID2">
        <v>1885</v>
      </c>
      <c r="IE2">
        <v>1885</v>
      </c>
      <c r="IF2">
        <v>180</v>
      </c>
      <c r="IG2">
        <v>170</v>
      </c>
      <c r="IH2">
        <v>214</v>
      </c>
      <c r="II2">
        <v>1</v>
      </c>
      <c r="IJ2">
        <v>5</v>
      </c>
      <c r="IK2">
        <v>0</v>
      </c>
      <c r="IL2">
        <v>0</v>
      </c>
      <c r="IM2">
        <v>0</v>
      </c>
      <c r="IN2">
        <v>270</v>
      </c>
      <c r="IO2">
        <v>0</v>
      </c>
      <c r="IP2">
        <v>180</v>
      </c>
      <c r="IQ2">
        <v>0</v>
      </c>
      <c r="IR2">
        <v>325</v>
      </c>
      <c r="IS2">
        <v>0</v>
      </c>
      <c r="IT2">
        <v>90</v>
      </c>
      <c r="IU2">
        <v>0</v>
      </c>
      <c r="IV2">
        <v>6.4</v>
      </c>
      <c r="IW2">
        <v>-6</v>
      </c>
      <c r="IX2">
        <v>93.5</v>
      </c>
      <c r="IY2">
        <v>84.5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364</v>
      </c>
      <c r="JJ2">
        <v>324</v>
      </c>
      <c r="JK2">
        <v>250</v>
      </c>
      <c r="JL2">
        <v>320</v>
      </c>
      <c r="JM2">
        <v>250</v>
      </c>
      <c r="JN2">
        <v>185</v>
      </c>
      <c r="JO2">
        <v>224</v>
      </c>
      <c r="JP2">
        <v>200</v>
      </c>
      <c r="JQ2">
        <v>250</v>
      </c>
      <c r="JR2">
        <v>358</v>
      </c>
      <c r="JS2">
        <v>275</v>
      </c>
      <c r="JT2">
        <v>0</v>
      </c>
      <c r="JU2">
        <v>0</v>
      </c>
      <c r="JV2">
        <v>305</v>
      </c>
      <c r="JW2">
        <v>307</v>
      </c>
      <c r="JX2">
        <v>352</v>
      </c>
      <c r="JY2">
        <v>0</v>
      </c>
      <c r="JZ2">
        <v>3</v>
      </c>
      <c r="KA2">
        <v>0.2</v>
      </c>
      <c r="KB2">
        <v>0.4</v>
      </c>
      <c r="KC2">
        <v>0.42</v>
      </c>
      <c r="KD2">
        <v>0.28</v>
      </c>
      <c r="KE2">
        <v>0.5</v>
      </c>
      <c r="KF2">
        <v>0.2</v>
      </c>
      <c r="KG2">
        <v>0.1</v>
      </c>
      <c r="KH2">
        <v>3.5</v>
      </c>
      <c r="KI2">
        <v>1</v>
      </c>
      <c r="KJ2">
        <v>4.5</v>
      </c>
      <c r="KK2">
        <v>0</v>
      </c>
      <c r="KL2">
        <v>4.5</v>
      </c>
      <c r="KM2">
        <v>1</v>
      </c>
      <c r="KN2">
        <v>1.3</v>
      </c>
      <c r="KO2">
        <v>0</v>
      </c>
      <c r="KP2">
        <v>0</v>
      </c>
      <c r="KQ2">
        <v>1.2</v>
      </c>
      <c r="KR2">
        <v>1.5</v>
      </c>
      <c r="KS2">
        <v>0</v>
      </c>
      <c r="KT2">
        <v>2.1</v>
      </c>
      <c r="KU2">
        <v>0</v>
      </c>
      <c r="KV2">
        <v>0</v>
      </c>
      <c r="KW2">
        <v>1.2</v>
      </c>
      <c r="KX2">
        <v>2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3</v>
      </c>
      <c r="LI2">
        <v>0</v>
      </c>
      <c r="LJ2">
        <v>0</v>
      </c>
      <c r="LK2">
        <v>7</v>
      </c>
      <c r="LL2">
        <v>9</v>
      </c>
      <c r="LM2">
        <v>9</v>
      </c>
      <c r="LN2">
        <v>1</v>
      </c>
      <c r="LO2">
        <v>0.5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1.4</v>
      </c>
      <c r="LX2">
        <v>1.4</v>
      </c>
      <c r="LY2">
        <v>2.1</v>
      </c>
      <c r="LZ2">
        <v>2.1</v>
      </c>
      <c r="MA2">
        <v>0</v>
      </c>
      <c r="MB2">
        <v>0</v>
      </c>
      <c r="MC2">
        <v>0</v>
      </c>
      <c r="MD2">
        <v>4.5</v>
      </c>
      <c r="ME2">
        <v>6</v>
      </c>
      <c r="MF2">
        <v>6</v>
      </c>
      <c r="MN2">
        <v>175</v>
      </c>
      <c r="MO2">
        <v>224</v>
      </c>
      <c r="NU2">
        <v>0.15</v>
      </c>
      <c r="NV2">
        <v>0.2</v>
      </c>
      <c r="NW2">
        <v>0.2</v>
      </c>
      <c r="NX2">
        <v>0.2</v>
      </c>
      <c r="NY2">
        <v>0.2</v>
      </c>
      <c r="NZ2">
        <v>0.2</v>
      </c>
      <c r="OE2" t="s">
        <v>4044</v>
      </c>
      <c r="OF2" t="s">
        <v>4040</v>
      </c>
      <c r="OG2" t="s">
        <v>4042</v>
      </c>
      <c r="OH2" t="s">
        <v>4043</v>
      </c>
      <c r="OI2" t="s">
        <v>4044</v>
      </c>
      <c r="OJ2" t="s">
        <v>4039</v>
      </c>
      <c r="OK2">
        <v>61</v>
      </c>
      <c r="OL2">
        <v>61</v>
      </c>
      <c r="OM2" t="s">
        <v>4040</v>
      </c>
      <c r="ON2">
        <v>1</v>
      </c>
      <c r="OO2">
        <v>1844</v>
      </c>
      <c r="OP2">
        <v>61</v>
      </c>
      <c r="OQ2">
        <v>61</v>
      </c>
      <c r="OR2" t="s">
        <v>4042</v>
      </c>
      <c r="OS2">
        <v>1</v>
      </c>
      <c r="OT2">
        <v>1856</v>
      </c>
      <c r="OU2">
        <v>65</v>
      </c>
      <c r="OV2">
        <v>65</v>
      </c>
      <c r="OW2" t="s">
        <v>4043</v>
      </c>
      <c r="OX2">
        <v>1</v>
      </c>
      <c r="OY2">
        <v>31458</v>
      </c>
      <c r="OZ2">
        <v>51</v>
      </c>
      <c r="PA2">
        <v>51</v>
      </c>
      <c r="PB2" t="s">
        <v>4044</v>
      </c>
      <c r="PC2">
        <v>1</v>
      </c>
      <c r="PD2">
        <v>1885</v>
      </c>
      <c r="PF2">
        <v>413</v>
      </c>
      <c r="PG2">
        <v>35</v>
      </c>
      <c r="PH2">
        <v>390</v>
      </c>
      <c r="PI2">
        <v>0</v>
      </c>
      <c r="PJ2">
        <v>97.3</v>
      </c>
      <c r="PK2">
        <v>1759</v>
      </c>
      <c r="PL2">
        <v>1382.8</v>
      </c>
      <c r="PM2">
        <v>313.1</v>
      </c>
      <c r="PO2">
        <v>8.6</v>
      </c>
      <c r="PP2">
        <v>12</v>
      </c>
      <c r="PQ2">
        <v>2</v>
      </c>
      <c r="PR2">
        <v>1</v>
      </c>
      <c r="PS2">
        <v>7</v>
      </c>
      <c r="PT2">
        <v>214</v>
      </c>
      <c r="PU2">
        <v>10</v>
      </c>
      <c r="PV2" t="s">
        <v>4072</v>
      </c>
      <c r="PW2" t="s">
        <v>4072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-1</v>
      </c>
      <c r="QF2">
        <v>1</v>
      </c>
      <c r="QG2">
        <v>0</v>
      </c>
      <c r="QH2">
        <v>5</v>
      </c>
      <c r="QI2">
        <v>5</v>
      </c>
      <c r="QJ2">
        <v>5</v>
      </c>
      <c r="QK2">
        <v>177</v>
      </c>
      <c r="QL2">
        <v>398</v>
      </c>
      <c r="QM2">
        <v>7.5</v>
      </c>
      <c r="QN2">
        <v>1284.1</v>
      </c>
      <c r="QO2" t="s">
        <v>556</v>
      </c>
      <c r="QP2" t="s">
        <v>513</v>
      </c>
      <c r="QQ2">
        <v>0</v>
      </c>
      <c r="QR2" t="s">
        <v>540</v>
      </c>
    </row>
    <row r="3" spans="1:462">
      <c r="A3" t="s">
        <v>566</v>
      </c>
      <c r="B3" t="s">
        <v>559</v>
      </c>
      <c r="C3" t="s">
        <v>509</v>
      </c>
      <c r="D3" t="s">
        <v>560</v>
      </c>
      <c r="E3" t="s">
        <v>4036</v>
      </c>
      <c r="H3" t="s">
        <v>561</v>
      </c>
      <c r="J3" t="s">
        <v>562</v>
      </c>
      <c r="K3" t="s">
        <v>563</v>
      </c>
      <c r="L3" t="s">
        <v>564</v>
      </c>
      <c r="M3" t="s">
        <v>512</v>
      </c>
      <c r="O3" t="s">
        <v>513</v>
      </c>
      <c r="P3" t="s">
        <v>567</v>
      </c>
      <c r="Q3" t="s">
        <v>568</v>
      </c>
      <c r="R3" t="s">
        <v>569</v>
      </c>
      <c r="S3" t="s">
        <v>4073</v>
      </c>
      <c r="T3" t="s">
        <v>570</v>
      </c>
      <c r="U3" t="s">
        <v>571</v>
      </c>
      <c r="V3" t="s">
        <v>572</v>
      </c>
      <c r="W3" t="s">
        <v>573</v>
      </c>
      <c r="X3" t="s">
        <v>575</v>
      </c>
      <c r="Y3" t="s">
        <v>576</v>
      </c>
      <c r="Z3" t="s">
        <v>541</v>
      </c>
      <c r="AA3" t="s">
        <v>4038</v>
      </c>
      <c r="AB3" t="s">
        <v>4074</v>
      </c>
      <c r="AC3">
        <v>9</v>
      </c>
      <c r="AD3" t="s">
        <v>558</v>
      </c>
      <c r="AE3">
        <v>6</v>
      </c>
      <c r="AF3">
        <v>8274</v>
      </c>
      <c r="AG3" t="s">
        <v>4075</v>
      </c>
      <c r="AH3">
        <v>1</v>
      </c>
      <c r="AI3" t="s">
        <v>4041</v>
      </c>
      <c r="AK3" t="s">
        <v>4076</v>
      </c>
      <c r="AL3">
        <v>1</v>
      </c>
      <c r="AM3" t="s">
        <v>582</v>
      </c>
      <c r="AO3" t="s">
        <v>4043</v>
      </c>
      <c r="AP3">
        <v>1</v>
      </c>
      <c r="AR3" t="s">
        <v>4077</v>
      </c>
      <c r="AS3">
        <v>1</v>
      </c>
      <c r="AT3">
        <v>52</v>
      </c>
      <c r="AV3" t="s">
        <v>4078</v>
      </c>
      <c r="AW3">
        <v>6.4</v>
      </c>
      <c r="AX3">
        <v>-6</v>
      </c>
      <c r="AY3">
        <v>128.5</v>
      </c>
      <c r="AZ3">
        <v>93</v>
      </c>
      <c r="BH3">
        <v>128.5</v>
      </c>
      <c r="BI3">
        <v>35.5</v>
      </c>
      <c r="BJ3">
        <v>93</v>
      </c>
      <c r="BK3">
        <v>3.5</v>
      </c>
      <c r="BL3">
        <v>257</v>
      </c>
      <c r="BM3">
        <v>-6</v>
      </c>
      <c r="BN3">
        <v>0</v>
      </c>
      <c r="BP3">
        <v>0</v>
      </c>
      <c r="BR3">
        <v>250</v>
      </c>
      <c r="BS3">
        <v>240</v>
      </c>
      <c r="BT3">
        <v>2325</v>
      </c>
      <c r="BU3" t="s">
        <v>4079</v>
      </c>
      <c r="BV3" t="s">
        <v>4080</v>
      </c>
      <c r="BW3" t="s">
        <v>4081</v>
      </c>
      <c r="BX3" t="s">
        <v>4082</v>
      </c>
      <c r="BY3" t="s">
        <v>4083</v>
      </c>
      <c r="BZ3" t="s">
        <v>4083</v>
      </c>
      <c r="CA3" t="s">
        <v>4084</v>
      </c>
      <c r="CB3" t="s">
        <v>4085</v>
      </c>
      <c r="CC3" t="s">
        <v>4053</v>
      </c>
      <c r="CD3" t="s">
        <v>4055</v>
      </c>
      <c r="CE3" t="s">
        <v>4055</v>
      </c>
      <c r="CF3" t="s">
        <v>4055</v>
      </c>
      <c r="CG3" t="s">
        <v>4056</v>
      </c>
      <c r="CI3" t="s">
        <v>4086</v>
      </c>
      <c r="CJ3" t="s">
        <v>4059</v>
      </c>
      <c r="CK3" t="s">
        <v>4060</v>
      </c>
      <c r="CL3" t="s">
        <v>4061</v>
      </c>
      <c r="CM3" t="s">
        <v>4055</v>
      </c>
      <c r="CN3" t="s">
        <v>4062</v>
      </c>
      <c r="CO3" t="s">
        <v>4063</v>
      </c>
      <c r="CP3" t="s">
        <v>4055</v>
      </c>
      <c r="CQ3" t="s">
        <v>4055</v>
      </c>
      <c r="CR3">
        <v>5</v>
      </c>
      <c r="CS3" t="s">
        <v>4055</v>
      </c>
      <c r="CT3" t="s">
        <v>4055</v>
      </c>
      <c r="CU3" t="s">
        <v>4055</v>
      </c>
      <c r="CV3">
        <v>158</v>
      </c>
      <c r="CW3">
        <v>3</v>
      </c>
      <c r="CX3">
        <v>114</v>
      </c>
      <c r="CY3">
        <v>5</v>
      </c>
      <c r="CZ3">
        <v>185</v>
      </c>
      <c r="DA3">
        <v>5</v>
      </c>
      <c r="DB3">
        <v>17710</v>
      </c>
      <c r="DC3">
        <v>530</v>
      </c>
      <c r="DD3">
        <v>418</v>
      </c>
      <c r="DE3">
        <v>2452</v>
      </c>
      <c r="DF3">
        <v>2452</v>
      </c>
      <c r="DG3">
        <v>2462</v>
      </c>
      <c r="DH3">
        <v>2</v>
      </c>
      <c r="DI3" t="s">
        <v>4055</v>
      </c>
      <c r="DJ3" t="s">
        <v>4087</v>
      </c>
      <c r="DK3">
        <v>250</v>
      </c>
      <c r="DL3" t="s">
        <v>4065</v>
      </c>
      <c r="DM3">
        <v>65</v>
      </c>
      <c r="DN3">
        <v>1.36</v>
      </c>
      <c r="DO3">
        <v>1</v>
      </c>
      <c r="DP3">
        <v>2329</v>
      </c>
      <c r="DQ3">
        <v>1467</v>
      </c>
      <c r="DR3" t="s">
        <v>4087</v>
      </c>
      <c r="DS3">
        <v>240</v>
      </c>
      <c r="DT3" t="s">
        <v>4065</v>
      </c>
      <c r="DU3">
        <v>65</v>
      </c>
      <c r="DV3">
        <v>1.36</v>
      </c>
      <c r="DW3">
        <v>1</v>
      </c>
      <c r="DX3">
        <v>2343</v>
      </c>
      <c r="DY3">
        <v>1415</v>
      </c>
      <c r="DZ3" t="s">
        <v>4066</v>
      </c>
      <c r="EA3">
        <v>20</v>
      </c>
      <c r="EB3" t="s">
        <v>4065</v>
      </c>
      <c r="EC3">
        <v>0.8</v>
      </c>
      <c r="ED3">
        <v>2329</v>
      </c>
      <c r="EE3">
        <v>82</v>
      </c>
      <c r="EG3">
        <v>0</v>
      </c>
      <c r="EH3" t="s">
        <v>4065</v>
      </c>
      <c r="EI3">
        <v>0</v>
      </c>
      <c r="EL3" t="s">
        <v>1528</v>
      </c>
      <c r="EM3">
        <v>12</v>
      </c>
      <c r="EN3">
        <v>0.5</v>
      </c>
      <c r="EO3">
        <v>0.96</v>
      </c>
      <c r="EP3">
        <v>2342.1</v>
      </c>
      <c r="EQ3">
        <v>49220.7</v>
      </c>
      <c r="ER3">
        <v>13024.79</v>
      </c>
      <c r="ES3">
        <v>0</v>
      </c>
      <c r="ET3">
        <v>0</v>
      </c>
      <c r="EU3">
        <v>1</v>
      </c>
      <c r="EV3">
        <v>62246</v>
      </c>
      <c r="EW3">
        <v>747</v>
      </c>
      <c r="EX3" t="s">
        <v>4088</v>
      </c>
      <c r="EY3">
        <v>284</v>
      </c>
      <c r="EZ3" t="s">
        <v>4055</v>
      </c>
      <c r="FA3">
        <v>7.7</v>
      </c>
      <c r="FB3">
        <v>1</v>
      </c>
      <c r="FC3">
        <v>1</v>
      </c>
      <c r="FD3">
        <v>2379</v>
      </c>
      <c r="FE3">
        <v>4144</v>
      </c>
      <c r="FF3" t="s">
        <v>4089</v>
      </c>
      <c r="FG3">
        <v>284</v>
      </c>
      <c r="FH3" t="s">
        <v>4055</v>
      </c>
      <c r="FI3">
        <v>1.6</v>
      </c>
      <c r="FJ3">
        <v>2379</v>
      </c>
      <c r="FK3">
        <v>1092</v>
      </c>
      <c r="FL3" t="s">
        <v>4069</v>
      </c>
      <c r="FM3" t="s">
        <v>4055</v>
      </c>
      <c r="FN3" t="s">
        <v>4055</v>
      </c>
      <c r="FO3" t="s">
        <v>4055</v>
      </c>
      <c r="FP3">
        <v>2379</v>
      </c>
      <c r="FQ3">
        <v>157</v>
      </c>
      <c r="FR3" t="s">
        <v>4090</v>
      </c>
      <c r="FS3">
        <v>288</v>
      </c>
      <c r="FT3" t="s">
        <v>4055</v>
      </c>
      <c r="FU3">
        <v>0.4</v>
      </c>
      <c r="FV3">
        <v>2379</v>
      </c>
      <c r="FW3">
        <v>305</v>
      </c>
      <c r="FX3" t="s">
        <v>4070</v>
      </c>
      <c r="FY3">
        <v>5</v>
      </c>
      <c r="FZ3" t="s">
        <v>4055</v>
      </c>
      <c r="GA3" t="s">
        <v>4055</v>
      </c>
      <c r="GB3">
        <v>2379</v>
      </c>
      <c r="GC3">
        <v>24</v>
      </c>
      <c r="GD3">
        <v>5722</v>
      </c>
      <c r="GE3" t="s">
        <v>4077</v>
      </c>
      <c r="GF3" t="s">
        <v>4055</v>
      </c>
      <c r="GG3" t="s">
        <v>4055</v>
      </c>
      <c r="GH3" t="s">
        <v>4055</v>
      </c>
      <c r="GI3" t="s">
        <v>4071</v>
      </c>
      <c r="GJ3" t="s">
        <v>4055</v>
      </c>
      <c r="GK3" t="s">
        <v>4055</v>
      </c>
      <c r="GL3" t="s">
        <v>4055</v>
      </c>
      <c r="GM3" t="s">
        <v>4055</v>
      </c>
      <c r="GQ3">
        <v>0</v>
      </c>
      <c r="GV3">
        <v>9.699999999999999</v>
      </c>
      <c r="GW3">
        <v>7.6</v>
      </c>
      <c r="GX3">
        <v>0.5</v>
      </c>
      <c r="GY3">
        <v>246</v>
      </c>
      <c r="GZ3">
        <v>3</v>
      </c>
      <c r="HA3">
        <v>304</v>
      </c>
      <c r="HB3">
        <v>3</v>
      </c>
      <c r="HC3">
        <v>2379</v>
      </c>
      <c r="HD3">
        <v>4</v>
      </c>
      <c r="HE3" t="s">
        <v>4071</v>
      </c>
      <c r="HG3" t="s">
        <v>549</v>
      </c>
      <c r="HL3">
        <v>4</v>
      </c>
      <c r="HM3">
        <v>20</v>
      </c>
      <c r="HN3">
        <v>6</v>
      </c>
      <c r="HO3">
        <v>1</v>
      </c>
      <c r="HP3">
        <v>0</v>
      </c>
      <c r="HQ3">
        <v>0</v>
      </c>
      <c r="HR3">
        <v>1</v>
      </c>
      <c r="HS3">
        <v>2325</v>
      </c>
      <c r="HT3">
        <v>5</v>
      </c>
      <c r="HU3">
        <v>1</v>
      </c>
      <c r="HV3">
        <v>3</v>
      </c>
      <c r="HW3">
        <v>0</v>
      </c>
      <c r="HX3">
        <v>1</v>
      </c>
      <c r="HY3">
        <v>0</v>
      </c>
      <c r="HZ3">
        <v>65</v>
      </c>
      <c r="IA3">
        <v>2329</v>
      </c>
      <c r="IB3">
        <v>2343</v>
      </c>
      <c r="ID3">
        <v>2379</v>
      </c>
      <c r="IE3">
        <v>2379</v>
      </c>
      <c r="IF3">
        <v>250</v>
      </c>
      <c r="IG3">
        <v>240</v>
      </c>
      <c r="IH3">
        <v>304</v>
      </c>
      <c r="II3">
        <v>1</v>
      </c>
      <c r="IJ3">
        <v>5</v>
      </c>
      <c r="IK3">
        <v>0</v>
      </c>
      <c r="IL3">
        <v>0</v>
      </c>
      <c r="IM3">
        <v>0</v>
      </c>
      <c r="IN3">
        <v>270</v>
      </c>
      <c r="IO3">
        <v>0</v>
      </c>
      <c r="IP3">
        <v>180</v>
      </c>
      <c r="IQ3">
        <v>0</v>
      </c>
      <c r="IR3">
        <v>330</v>
      </c>
      <c r="IS3">
        <v>0</v>
      </c>
      <c r="IT3">
        <v>90</v>
      </c>
      <c r="IU3">
        <v>0</v>
      </c>
      <c r="IV3">
        <v>6.4</v>
      </c>
      <c r="IW3">
        <v>-6</v>
      </c>
      <c r="IX3">
        <v>128.5</v>
      </c>
      <c r="IY3">
        <v>93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494</v>
      </c>
      <c r="JJ3">
        <v>452</v>
      </c>
      <c r="JK3">
        <v>326</v>
      </c>
      <c r="JL3">
        <v>450</v>
      </c>
      <c r="JM3">
        <v>385</v>
      </c>
      <c r="JN3">
        <v>260</v>
      </c>
      <c r="JO3">
        <v>308</v>
      </c>
      <c r="JP3">
        <v>205</v>
      </c>
      <c r="JQ3">
        <v>235</v>
      </c>
      <c r="JR3">
        <v>324</v>
      </c>
      <c r="JS3">
        <v>224</v>
      </c>
      <c r="JT3">
        <v>0</v>
      </c>
      <c r="JU3">
        <v>0</v>
      </c>
      <c r="JV3">
        <v>320</v>
      </c>
      <c r="JW3">
        <v>310</v>
      </c>
      <c r="JX3">
        <v>310</v>
      </c>
      <c r="JY3">
        <v>275</v>
      </c>
      <c r="JZ3">
        <v>0.5</v>
      </c>
      <c r="KA3">
        <v>0.2</v>
      </c>
      <c r="KB3">
        <v>0.4</v>
      </c>
      <c r="KC3">
        <v>0.42</v>
      </c>
      <c r="KD3">
        <v>0.3</v>
      </c>
      <c r="KE3">
        <v>0.5</v>
      </c>
      <c r="KF3">
        <v>0.18</v>
      </c>
      <c r="KG3">
        <v>0.13</v>
      </c>
      <c r="KH3">
        <v>3.5</v>
      </c>
      <c r="KI3">
        <v>1</v>
      </c>
      <c r="KJ3">
        <v>4.5</v>
      </c>
      <c r="KK3">
        <v>0</v>
      </c>
      <c r="KL3">
        <v>4.5</v>
      </c>
      <c r="KM3">
        <v>0.5</v>
      </c>
      <c r="KN3">
        <v>2.5</v>
      </c>
      <c r="KO3">
        <v>1</v>
      </c>
      <c r="KP3">
        <v>0</v>
      </c>
      <c r="KQ3">
        <v>0.4</v>
      </c>
      <c r="KR3">
        <v>0.5</v>
      </c>
      <c r="KS3">
        <v>0</v>
      </c>
      <c r="KT3">
        <v>3.8</v>
      </c>
      <c r="KU3">
        <v>0</v>
      </c>
      <c r="KV3">
        <v>0</v>
      </c>
      <c r="KW3">
        <v>1.6</v>
      </c>
      <c r="KX3">
        <v>2</v>
      </c>
      <c r="KY3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3</v>
      </c>
      <c r="LI3">
        <v>0.5</v>
      </c>
      <c r="LJ3">
        <v>0</v>
      </c>
      <c r="LK3">
        <v>11</v>
      </c>
      <c r="LL3">
        <v>9</v>
      </c>
      <c r="LM3">
        <v>13</v>
      </c>
      <c r="LN3">
        <v>3</v>
      </c>
      <c r="LO3">
        <v>3</v>
      </c>
      <c r="LP3">
        <v>0</v>
      </c>
      <c r="LQ3">
        <v>0</v>
      </c>
      <c r="LR3">
        <v>0</v>
      </c>
      <c r="LS3">
        <v>1</v>
      </c>
      <c r="LT3">
        <v>0</v>
      </c>
      <c r="LU3">
        <v>0</v>
      </c>
      <c r="LV3">
        <v>0</v>
      </c>
      <c r="LW3">
        <v>1.8</v>
      </c>
      <c r="LX3">
        <v>1.8</v>
      </c>
      <c r="LY3">
        <v>2.1</v>
      </c>
      <c r="LZ3">
        <v>2.1</v>
      </c>
      <c r="MA3">
        <v>0</v>
      </c>
      <c r="MB3">
        <v>5</v>
      </c>
      <c r="MC3">
        <v>0</v>
      </c>
      <c r="MD3">
        <v>4.5</v>
      </c>
      <c r="ME3">
        <v>6</v>
      </c>
      <c r="MF3">
        <v>6</v>
      </c>
      <c r="MG3">
        <v>0</v>
      </c>
      <c r="MH3">
        <v>0</v>
      </c>
      <c r="MI3">
        <v>0</v>
      </c>
      <c r="MJ3">
        <v>0</v>
      </c>
      <c r="MK3">
        <v>0</v>
      </c>
      <c r="MM3">
        <v>484</v>
      </c>
      <c r="MN3">
        <v>245</v>
      </c>
      <c r="MO3">
        <v>314</v>
      </c>
      <c r="NU3">
        <v>0.15</v>
      </c>
      <c r="NV3">
        <v>0.2</v>
      </c>
      <c r="NW3">
        <v>0.2</v>
      </c>
      <c r="NX3">
        <v>0.2</v>
      </c>
      <c r="NY3">
        <v>0.2</v>
      </c>
      <c r="NZ3">
        <v>0.2</v>
      </c>
      <c r="OE3" t="s">
        <v>4077</v>
      </c>
      <c r="OF3" t="s">
        <v>4075</v>
      </c>
      <c r="OG3" t="s">
        <v>4076</v>
      </c>
      <c r="OH3" t="s">
        <v>4043</v>
      </c>
      <c r="OI3" t="s">
        <v>4077</v>
      </c>
      <c r="OJ3" t="s">
        <v>4074</v>
      </c>
      <c r="OK3">
        <v>61</v>
      </c>
      <c r="OL3">
        <v>61</v>
      </c>
      <c r="OM3" t="s">
        <v>4075</v>
      </c>
      <c r="ON3">
        <v>1</v>
      </c>
      <c r="OO3">
        <v>2329</v>
      </c>
      <c r="OP3">
        <v>61</v>
      </c>
      <c r="OQ3">
        <v>61</v>
      </c>
      <c r="OR3" t="s">
        <v>4076</v>
      </c>
      <c r="OS3">
        <v>1</v>
      </c>
      <c r="OT3">
        <v>2343</v>
      </c>
      <c r="OU3">
        <v>65</v>
      </c>
      <c r="OV3">
        <v>65</v>
      </c>
      <c r="OW3" t="s">
        <v>4043</v>
      </c>
      <c r="OX3">
        <v>1</v>
      </c>
      <c r="OY3">
        <v>62246</v>
      </c>
      <c r="OZ3">
        <v>51</v>
      </c>
      <c r="PA3">
        <v>52</v>
      </c>
      <c r="PB3" t="s">
        <v>4077</v>
      </c>
      <c r="PC3">
        <v>1</v>
      </c>
      <c r="PD3">
        <v>2379</v>
      </c>
      <c r="PF3">
        <v>630</v>
      </c>
      <c r="PG3">
        <v>35</v>
      </c>
      <c r="PH3">
        <v>604</v>
      </c>
      <c r="PI3">
        <v>0</v>
      </c>
      <c r="PJ3">
        <v>65.90000000000001</v>
      </c>
      <c r="PK3">
        <v>2434</v>
      </c>
      <c r="PL3">
        <v>1741.7</v>
      </c>
      <c r="PM3">
        <v>459.2</v>
      </c>
      <c r="PN3">
        <v>128.2</v>
      </c>
      <c r="PO3">
        <v>10.1</v>
      </c>
      <c r="PP3">
        <v>12</v>
      </c>
      <c r="PQ3">
        <v>4</v>
      </c>
      <c r="PR3">
        <v>6</v>
      </c>
      <c r="PS3">
        <v>0</v>
      </c>
      <c r="PT3">
        <v>304</v>
      </c>
      <c r="PU3">
        <v>10</v>
      </c>
      <c r="PV3" t="s">
        <v>4072</v>
      </c>
      <c r="PW3" t="s">
        <v>4072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-1</v>
      </c>
      <c r="QF3">
        <v>1</v>
      </c>
      <c r="QG3">
        <v>0</v>
      </c>
      <c r="QH3">
        <v>5</v>
      </c>
      <c r="QI3">
        <v>5</v>
      </c>
      <c r="QJ3">
        <v>5</v>
      </c>
      <c r="QK3">
        <v>261</v>
      </c>
      <c r="QL3">
        <v>522</v>
      </c>
      <c r="QM3">
        <v>9.4</v>
      </c>
      <c r="QN3">
        <v>1627</v>
      </c>
      <c r="QO3" t="s">
        <v>556</v>
      </c>
      <c r="QP3" t="s">
        <v>513</v>
      </c>
      <c r="QQ3">
        <v>0</v>
      </c>
      <c r="QR3" t="s">
        <v>596</v>
      </c>
      <c r="QS3">
        <v>30</v>
      </c>
      <c r="QT3">
        <v>40</v>
      </c>
    </row>
    <row r="4" spans="1:462">
      <c r="A4" t="s">
        <v>608</v>
      </c>
      <c r="B4" t="s">
        <v>559</v>
      </c>
      <c r="C4" t="s">
        <v>509</v>
      </c>
      <c r="D4" t="s">
        <v>603</v>
      </c>
      <c r="E4" t="s">
        <v>4036</v>
      </c>
      <c r="H4" t="s">
        <v>604</v>
      </c>
      <c r="I4" t="s">
        <v>605</v>
      </c>
      <c r="K4" t="s">
        <v>606</v>
      </c>
      <c r="L4" t="s">
        <v>564</v>
      </c>
      <c r="M4" t="s">
        <v>512</v>
      </c>
      <c r="O4" t="s">
        <v>513</v>
      </c>
      <c r="P4" t="s">
        <v>567</v>
      </c>
      <c r="Q4" t="s">
        <v>609</v>
      </c>
      <c r="R4" t="s">
        <v>610</v>
      </c>
      <c r="S4" t="s">
        <v>4091</v>
      </c>
      <c r="T4" t="s">
        <v>520</v>
      </c>
      <c r="U4" t="s">
        <v>521</v>
      </c>
      <c r="V4" t="s">
        <v>611</v>
      </c>
      <c r="W4" t="s">
        <v>573</v>
      </c>
      <c r="X4" t="s">
        <v>612</v>
      </c>
      <c r="Y4" t="s">
        <v>613</v>
      </c>
      <c r="Z4" t="s">
        <v>541</v>
      </c>
      <c r="AA4" t="s">
        <v>4038</v>
      </c>
      <c r="AB4" t="s">
        <v>4092</v>
      </c>
      <c r="AC4">
        <v>9</v>
      </c>
      <c r="AD4" t="s">
        <v>602</v>
      </c>
      <c r="AE4">
        <v>6</v>
      </c>
      <c r="AF4">
        <v>4912</v>
      </c>
      <c r="AG4" t="s">
        <v>4093</v>
      </c>
      <c r="AH4">
        <v>1</v>
      </c>
      <c r="AI4" t="s">
        <v>4041</v>
      </c>
      <c r="AK4" t="s">
        <v>4094</v>
      </c>
      <c r="AL4">
        <v>1</v>
      </c>
      <c r="AM4" t="s">
        <v>582</v>
      </c>
      <c r="AO4" t="s">
        <v>4043</v>
      </c>
      <c r="AP4">
        <v>1</v>
      </c>
      <c r="AR4" t="s">
        <v>4095</v>
      </c>
      <c r="AS4">
        <v>1</v>
      </c>
      <c r="AT4">
        <v>52</v>
      </c>
      <c r="AV4" t="s">
        <v>4078</v>
      </c>
      <c r="AW4">
        <v>6.4</v>
      </c>
      <c r="AX4">
        <v>-6</v>
      </c>
      <c r="AY4">
        <v>87.5</v>
      </c>
      <c r="AZ4">
        <v>65</v>
      </c>
      <c r="BH4">
        <v>87.5</v>
      </c>
      <c r="BI4">
        <v>22.5</v>
      </c>
      <c r="BJ4">
        <v>65</v>
      </c>
      <c r="BK4">
        <v>2.5</v>
      </c>
      <c r="BL4">
        <v>175</v>
      </c>
      <c r="BM4">
        <v>-6</v>
      </c>
      <c r="BN4">
        <v>0</v>
      </c>
      <c r="BP4">
        <v>0</v>
      </c>
      <c r="BR4">
        <v>170</v>
      </c>
      <c r="BS4">
        <v>160</v>
      </c>
      <c r="BT4">
        <v>1970</v>
      </c>
      <c r="BU4" t="s">
        <v>4047</v>
      </c>
      <c r="BV4" t="s">
        <v>4096</v>
      </c>
      <c r="BW4" t="s">
        <v>4049</v>
      </c>
      <c r="BX4" t="s">
        <v>4097</v>
      </c>
      <c r="BY4" t="s">
        <v>4050</v>
      </c>
      <c r="BZ4" t="s">
        <v>4098</v>
      </c>
      <c r="CA4" t="s">
        <v>4051</v>
      </c>
      <c r="CB4" t="s">
        <v>4052</v>
      </c>
      <c r="CC4" t="s">
        <v>4053</v>
      </c>
      <c r="CD4" t="s">
        <v>4054</v>
      </c>
      <c r="CE4" t="s">
        <v>4055</v>
      </c>
      <c r="CF4" t="s">
        <v>4055</v>
      </c>
      <c r="CG4" t="s">
        <v>4056</v>
      </c>
      <c r="CH4" t="s">
        <v>4099</v>
      </c>
      <c r="CI4" t="s">
        <v>4058</v>
      </c>
      <c r="CJ4" t="s">
        <v>4059</v>
      </c>
      <c r="CK4" t="s">
        <v>4060</v>
      </c>
      <c r="CL4" t="s">
        <v>4061</v>
      </c>
      <c r="CM4" t="s">
        <v>4062</v>
      </c>
      <c r="CN4" t="s">
        <v>4055</v>
      </c>
      <c r="CO4" t="s">
        <v>4063</v>
      </c>
      <c r="CP4" t="s">
        <v>4055</v>
      </c>
      <c r="CQ4" t="s">
        <v>4055</v>
      </c>
      <c r="CR4">
        <v>5</v>
      </c>
      <c r="CS4" t="s">
        <v>4055</v>
      </c>
      <c r="CT4" t="s">
        <v>4055</v>
      </c>
      <c r="CU4" t="s">
        <v>4055</v>
      </c>
      <c r="CV4">
        <v>111</v>
      </c>
      <c r="CW4">
        <v>3</v>
      </c>
      <c r="CX4">
        <v>72</v>
      </c>
      <c r="CY4">
        <v>5</v>
      </c>
      <c r="CZ4">
        <v>137</v>
      </c>
      <c r="DA4">
        <v>5</v>
      </c>
      <c r="DB4">
        <v>9690</v>
      </c>
      <c r="DC4">
        <v>290</v>
      </c>
      <c r="DD4">
        <v>320</v>
      </c>
      <c r="DE4">
        <v>2075</v>
      </c>
      <c r="DF4">
        <v>2075</v>
      </c>
      <c r="DG4">
        <v>2085</v>
      </c>
      <c r="DH4" t="s">
        <v>4055</v>
      </c>
      <c r="DI4" t="s">
        <v>4055</v>
      </c>
      <c r="DJ4" t="s">
        <v>4100</v>
      </c>
      <c r="DK4">
        <v>170</v>
      </c>
      <c r="DL4" t="s">
        <v>4101</v>
      </c>
      <c r="DM4">
        <v>65</v>
      </c>
      <c r="DN4">
        <v>0.84</v>
      </c>
      <c r="DO4">
        <v>1</v>
      </c>
      <c r="DP4">
        <v>1973</v>
      </c>
      <c r="DQ4">
        <v>614</v>
      </c>
      <c r="DR4" t="s">
        <v>4100</v>
      </c>
      <c r="DS4">
        <v>160</v>
      </c>
      <c r="DT4" t="s">
        <v>4101</v>
      </c>
      <c r="DU4">
        <v>65</v>
      </c>
      <c r="DV4">
        <v>0.84</v>
      </c>
      <c r="DW4">
        <v>1</v>
      </c>
      <c r="DX4">
        <v>1980</v>
      </c>
      <c r="DY4">
        <v>578</v>
      </c>
      <c r="DZ4" t="s">
        <v>4066</v>
      </c>
      <c r="EA4">
        <v>33</v>
      </c>
      <c r="EB4" t="s">
        <v>4065</v>
      </c>
      <c r="EC4">
        <v>0.4</v>
      </c>
      <c r="ED4">
        <v>1973</v>
      </c>
      <c r="EE4">
        <v>57</v>
      </c>
      <c r="EF4" t="s">
        <v>4066</v>
      </c>
      <c r="EG4">
        <v>33</v>
      </c>
      <c r="EH4" t="s">
        <v>4065</v>
      </c>
      <c r="EI4">
        <v>0.4</v>
      </c>
      <c r="EJ4">
        <v>1980</v>
      </c>
      <c r="EK4">
        <v>57</v>
      </c>
      <c r="EL4" t="s">
        <v>1528</v>
      </c>
      <c r="EM4">
        <v>12</v>
      </c>
      <c r="EN4">
        <v>0.5</v>
      </c>
      <c r="EO4">
        <v>0.96</v>
      </c>
      <c r="EP4">
        <v>1980.56</v>
      </c>
      <c r="EQ4">
        <v>28934.74</v>
      </c>
      <c r="ER4">
        <v>6984.11</v>
      </c>
      <c r="ES4">
        <v>0</v>
      </c>
      <c r="ET4">
        <v>0</v>
      </c>
      <c r="EU4">
        <v>1</v>
      </c>
      <c r="EV4">
        <v>35919</v>
      </c>
      <c r="EW4">
        <v>432</v>
      </c>
      <c r="EX4" t="s">
        <v>4088</v>
      </c>
      <c r="EY4">
        <v>192</v>
      </c>
      <c r="EZ4" t="s">
        <v>4055</v>
      </c>
      <c r="FA4">
        <v>6.1</v>
      </c>
      <c r="FB4">
        <v>1</v>
      </c>
      <c r="FC4">
        <v>1</v>
      </c>
      <c r="FD4">
        <v>2013</v>
      </c>
      <c r="FE4">
        <v>2032</v>
      </c>
      <c r="FF4" t="s">
        <v>4089</v>
      </c>
      <c r="FG4">
        <v>192</v>
      </c>
      <c r="FH4" t="s">
        <v>4055</v>
      </c>
      <c r="FI4">
        <v>1.8</v>
      </c>
      <c r="FJ4">
        <v>2013</v>
      </c>
      <c r="FK4">
        <v>689</v>
      </c>
      <c r="FL4" t="s">
        <v>4069</v>
      </c>
      <c r="FM4" t="s">
        <v>4055</v>
      </c>
      <c r="FN4" t="s">
        <v>4055</v>
      </c>
      <c r="FO4" t="s">
        <v>4055</v>
      </c>
      <c r="FP4">
        <v>2013</v>
      </c>
      <c r="FQ4">
        <v>118</v>
      </c>
      <c r="FR4" t="s">
        <v>4090</v>
      </c>
      <c r="FS4">
        <v>196</v>
      </c>
      <c r="FT4" t="s">
        <v>4055</v>
      </c>
      <c r="FU4">
        <v>0.4</v>
      </c>
      <c r="FV4">
        <v>2013</v>
      </c>
      <c r="FW4">
        <v>175</v>
      </c>
      <c r="FX4" t="s">
        <v>4070</v>
      </c>
      <c r="FY4">
        <v>5</v>
      </c>
      <c r="FZ4" t="s">
        <v>4055</v>
      </c>
      <c r="GA4" t="s">
        <v>4055</v>
      </c>
      <c r="GB4">
        <v>2013</v>
      </c>
      <c r="GC4">
        <v>17</v>
      </c>
      <c r="GD4">
        <v>3031</v>
      </c>
      <c r="GE4" t="s">
        <v>4095</v>
      </c>
      <c r="GF4" t="s">
        <v>4055</v>
      </c>
      <c r="GG4" t="s">
        <v>4055</v>
      </c>
      <c r="GH4" t="s">
        <v>4055</v>
      </c>
      <c r="GI4" t="s">
        <v>4071</v>
      </c>
      <c r="GJ4" t="s">
        <v>4055</v>
      </c>
      <c r="GK4" t="s">
        <v>4055</v>
      </c>
      <c r="GL4" t="s">
        <v>4055</v>
      </c>
      <c r="GM4" t="s">
        <v>4055</v>
      </c>
      <c r="GQ4">
        <v>0</v>
      </c>
      <c r="GV4">
        <v>8.300000000000001</v>
      </c>
      <c r="GW4">
        <v>7.8</v>
      </c>
      <c r="GX4">
        <v>0.5</v>
      </c>
      <c r="GY4">
        <v>160</v>
      </c>
      <c r="GZ4">
        <v>3</v>
      </c>
      <c r="HA4">
        <v>212</v>
      </c>
      <c r="HB4">
        <v>3</v>
      </c>
      <c r="HC4">
        <v>2013</v>
      </c>
      <c r="HD4">
        <v>4</v>
      </c>
      <c r="HE4" t="s">
        <v>4071</v>
      </c>
      <c r="HG4" t="s">
        <v>549</v>
      </c>
      <c r="HL4">
        <v>4</v>
      </c>
      <c r="HM4">
        <v>16</v>
      </c>
      <c r="HN4">
        <v>6</v>
      </c>
      <c r="HO4">
        <v>1</v>
      </c>
      <c r="HP4">
        <v>0</v>
      </c>
      <c r="HQ4">
        <v>0</v>
      </c>
      <c r="HR4">
        <v>3</v>
      </c>
      <c r="HS4">
        <v>1970</v>
      </c>
      <c r="HT4">
        <v>5</v>
      </c>
      <c r="HU4">
        <v>1</v>
      </c>
      <c r="HV4">
        <v>3</v>
      </c>
      <c r="HW4">
        <v>0</v>
      </c>
      <c r="HX4">
        <v>1</v>
      </c>
      <c r="HY4">
        <v>0</v>
      </c>
      <c r="HZ4">
        <v>65</v>
      </c>
      <c r="IA4">
        <v>1973</v>
      </c>
      <c r="IB4">
        <v>1980</v>
      </c>
      <c r="ID4">
        <v>2013</v>
      </c>
      <c r="IE4">
        <v>2013</v>
      </c>
      <c r="IF4">
        <v>170</v>
      </c>
      <c r="IG4">
        <v>160</v>
      </c>
      <c r="IH4">
        <v>212</v>
      </c>
      <c r="II4">
        <v>1</v>
      </c>
      <c r="IJ4">
        <v>5</v>
      </c>
      <c r="IK4">
        <v>0</v>
      </c>
      <c r="IL4">
        <v>0</v>
      </c>
      <c r="IM4">
        <v>0</v>
      </c>
      <c r="IN4">
        <v>270</v>
      </c>
      <c r="IO4">
        <v>0</v>
      </c>
      <c r="IP4">
        <v>180</v>
      </c>
      <c r="IQ4">
        <v>0</v>
      </c>
      <c r="IR4">
        <v>325</v>
      </c>
      <c r="IS4">
        <v>0</v>
      </c>
      <c r="IT4">
        <v>90</v>
      </c>
      <c r="IU4">
        <v>0</v>
      </c>
      <c r="IV4">
        <v>6.4</v>
      </c>
      <c r="IW4">
        <v>-6</v>
      </c>
      <c r="IX4">
        <v>87.5</v>
      </c>
      <c r="IY4">
        <v>65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386</v>
      </c>
      <c r="JJ4">
        <v>356</v>
      </c>
      <c r="JK4">
        <v>250</v>
      </c>
      <c r="JL4">
        <v>356</v>
      </c>
      <c r="JM4">
        <v>270</v>
      </c>
      <c r="JN4">
        <v>170</v>
      </c>
      <c r="JO4">
        <v>222</v>
      </c>
      <c r="JP4">
        <v>190</v>
      </c>
      <c r="JQ4">
        <v>235</v>
      </c>
      <c r="JR4">
        <v>336</v>
      </c>
      <c r="JS4">
        <v>255</v>
      </c>
      <c r="JT4">
        <v>0</v>
      </c>
      <c r="JU4">
        <v>0</v>
      </c>
      <c r="JV4">
        <v>305</v>
      </c>
      <c r="JW4">
        <v>307</v>
      </c>
      <c r="JX4">
        <v>0</v>
      </c>
      <c r="JY4">
        <v>0</v>
      </c>
      <c r="JZ4">
        <v>0</v>
      </c>
      <c r="KA4">
        <v>0.2</v>
      </c>
      <c r="KB4">
        <v>0.4</v>
      </c>
      <c r="KC4">
        <v>0.42</v>
      </c>
      <c r="KD4">
        <v>0.28</v>
      </c>
      <c r="KE4">
        <v>0.5</v>
      </c>
      <c r="KF4">
        <v>0.21</v>
      </c>
      <c r="KG4">
        <v>0.1</v>
      </c>
      <c r="KH4">
        <v>6</v>
      </c>
      <c r="KI4">
        <v>1</v>
      </c>
      <c r="KJ4">
        <v>4.5</v>
      </c>
      <c r="KK4">
        <v>0</v>
      </c>
      <c r="KL4">
        <v>4.5</v>
      </c>
      <c r="KM4">
        <v>1</v>
      </c>
      <c r="KN4">
        <v>1.2</v>
      </c>
      <c r="KO4">
        <v>0</v>
      </c>
      <c r="KP4">
        <v>0</v>
      </c>
      <c r="KQ4">
        <v>1</v>
      </c>
      <c r="KR4">
        <v>1.5</v>
      </c>
      <c r="KS4">
        <v>0</v>
      </c>
      <c r="KT4">
        <v>2.2</v>
      </c>
      <c r="KU4">
        <v>0</v>
      </c>
      <c r="KV4">
        <v>0</v>
      </c>
      <c r="KW4">
        <v>1.2</v>
      </c>
      <c r="KX4">
        <v>2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3</v>
      </c>
      <c r="LI4">
        <v>0</v>
      </c>
      <c r="LJ4">
        <v>0</v>
      </c>
      <c r="LK4">
        <v>3</v>
      </c>
      <c r="LL4">
        <v>4</v>
      </c>
      <c r="LM4">
        <v>5</v>
      </c>
      <c r="LN4">
        <v>1</v>
      </c>
      <c r="LO4">
        <v>0.5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1.4</v>
      </c>
      <c r="LX4">
        <v>1.4</v>
      </c>
      <c r="LY4">
        <v>2.1</v>
      </c>
      <c r="LZ4">
        <v>2.1</v>
      </c>
      <c r="MA4">
        <v>0</v>
      </c>
      <c r="MB4">
        <v>0</v>
      </c>
      <c r="MC4">
        <v>0</v>
      </c>
      <c r="MD4">
        <v>4.5</v>
      </c>
      <c r="ME4">
        <v>6</v>
      </c>
      <c r="MF4">
        <v>6</v>
      </c>
      <c r="MI4">
        <v>0</v>
      </c>
      <c r="MJ4">
        <v>0</v>
      </c>
      <c r="ML4">
        <v>0</v>
      </c>
      <c r="MM4">
        <v>420</v>
      </c>
      <c r="MN4">
        <v>180</v>
      </c>
      <c r="MO4">
        <v>230</v>
      </c>
      <c r="NU4">
        <v>0.15</v>
      </c>
      <c r="NV4">
        <v>0.2</v>
      </c>
      <c r="NW4">
        <v>0.2</v>
      </c>
      <c r="NX4">
        <v>0.2</v>
      </c>
      <c r="NY4">
        <v>0.2</v>
      </c>
      <c r="NZ4">
        <v>0.2</v>
      </c>
      <c r="OE4" t="s">
        <v>4095</v>
      </c>
      <c r="OF4" t="s">
        <v>4093</v>
      </c>
      <c r="OG4" t="s">
        <v>4094</v>
      </c>
      <c r="OH4" t="s">
        <v>4043</v>
      </c>
      <c r="OI4" t="s">
        <v>4095</v>
      </c>
      <c r="OJ4" t="s">
        <v>4092</v>
      </c>
      <c r="OK4">
        <v>61</v>
      </c>
      <c r="OL4">
        <v>61</v>
      </c>
      <c r="OM4" t="s">
        <v>4093</v>
      </c>
      <c r="ON4">
        <v>3</v>
      </c>
      <c r="OO4">
        <v>1973</v>
      </c>
      <c r="OP4">
        <v>61</v>
      </c>
      <c r="OQ4">
        <v>61</v>
      </c>
      <c r="OR4" t="s">
        <v>4094</v>
      </c>
      <c r="OS4">
        <v>3</v>
      </c>
      <c r="OT4">
        <v>1980</v>
      </c>
      <c r="OU4">
        <v>65</v>
      </c>
      <c r="OV4">
        <v>65</v>
      </c>
      <c r="OW4" t="s">
        <v>4043</v>
      </c>
      <c r="OX4">
        <v>2</v>
      </c>
      <c r="OY4">
        <v>35919</v>
      </c>
      <c r="OZ4">
        <v>51</v>
      </c>
      <c r="PA4">
        <v>52</v>
      </c>
      <c r="PB4" t="s">
        <v>4095</v>
      </c>
      <c r="PC4">
        <v>2</v>
      </c>
      <c r="PD4">
        <v>2013</v>
      </c>
      <c r="PF4">
        <v>311</v>
      </c>
      <c r="PG4">
        <v>29</v>
      </c>
      <c r="PH4">
        <v>292</v>
      </c>
      <c r="PI4">
        <v>29</v>
      </c>
      <c r="PJ4">
        <v>58.4</v>
      </c>
      <c r="PK4">
        <v>1540</v>
      </c>
      <c r="PL4">
        <v>1009.6</v>
      </c>
      <c r="PM4">
        <v>342.4</v>
      </c>
      <c r="PN4">
        <v>87.09999999999999</v>
      </c>
      <c r="PO4">
        <v>8.300000000000001</v>
      </c>
      <c r="PP4">
        <v>12</v>
      </c>
      <c r="PQ4">
        <v>3</v>
      </c>
      <c r="PR4">
        <v>3</v>
      </c>
      <c r="PS4">
        <v>8</v>
      </c>
      <c r="PT4">
        <v>212</v>
      </c>
      <c r="PU4">
        <v>10</v>
      </c>
      <c r="PV4" t="s">
        <v>4072</v>
      </c>
      <c r="PW4" t="s">
        <v>4072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-1</v>
      </c>
      <c r="QF4">
        <v>1</v>
      </c>
      <c r="QG4">
        <v>0</v>
      </c>
      <c r="QH4">
        <v>5</v>
      </c>
      <c r="QI4">
        <v>5</v>
      </c>
      <c r="QJ4">
        <v>5</v>
      </c>
      <c r="QK4">
        <v>188</v>
      </c>
      <c r="QL4">
        <v>420</v>
      </c>
      <c r="QM4">
        <v>7.5</v>
      </c>
      <c r="QN4">
        <v>1285.7</v>
      </c>
      <c r="QO4" t="s">
        <v>556</v>
      </c>
      <c r="QP4" t="s">
        <v>513</v>
      </c>
      <c r="QQ4">
        <v>0</v>
      </c>
      <c r="QR4" t="s">
        <v>621</v>
      </c>
      <c r="QS4">
        <v>30</v>
      </c>
      <c r="QT4">
        <v>40</v>
      </c>
    </row>
    <row r="5" spans="1:462">
      <c r="A5" t="s">
        <v>630</v>
      </c>
      <c r="B5" t="s">
        <v>564</v>
      </c>
      <c r="C5" t="s">
        <v>509</v>
      </c>
      <c r="D5" t="s">
        <v>4102</v>
      </c>
      <c r="E5" t="s">
        <v>4036</v>
      </c>
      <c r="H5" t="s">
        <v>604</v>
      </c>
      <c r="J5" t="s">
        <v>628</v>
      </c>
      <c r="K5" t="s">
        <v>606</v>
      </c>
      <c r="L5" t="s">
        <v>629</v>
      </c>
      <c r="M5" t="s">
        <v>512</v>
      </c>
      <c r="O5" t="s">
        <v>513</v>
      </c>
      <c r="P5" t="s">
        <v>567</v>
      </c>
      <c r="Q5" t="s">
        <v>631</v>
      </c>
      <c r="R5" t="s">
        <v>632</v>
      </c>
      <c r="S5" t="s">
        <v>4073</v>
      </c>
      <c r="T5" t="s">
        <v>633</v>
      </c>
      <c r="U5" t="s">
        <v>634</v>
      </c>
      <c r="V5" t="s">
        <v>635</v>
      </c>
      <c r="W5" t="s">
        <v>573</v>
      </c>
      <c r="X5" t="s">
        <v>636</v>
      </c>
      <c r="Y5" t="s">
        <v>637</v>
      </c>
      <c r="Z5" t="s">
        <v>650</v>
      </c>
      <c r="AA5" t="s">
        <v>4038</v>
      </c>
      <c r="AB5" t="s">
        <v>4103</v>
      </c>
      <c r="AC5">
        <v>9</v>
      </c>
      <c r="AD5" t="s">
        <v>625</v>
      </c>
      <c r="AE5">
        <v>5</v>
      </c>
      <c r="AF5">
        <v>4230</v>
      </c>
      <c r="AG5" t="s">
        <v>4104</v>
      </c>
      <c r="AH5">
        <v>1</v>
      </c>
      <c r="AI5" t="s">
        <v>4041</v>
      </c>
      <c r="AK5" t="s">
        <v>4105</v>
      </c>
      <c r="AL5">
        <v>1</v>
      </c>
      <c r="AM5" t="s">
        <v>582</v>
      </c>
      <c r="AO5" t="s">
        <v>4043</v>
      </c>
      <c r="AP5">
        <v>1</v>
      </c>
      <c r="AR5" t="s">
        <v>4106</v>
      </c>
      <c r="AS5">
        <v>1</v>
      </c>
      <c r="AT5">
        <v>52</v>
      </c>
      <c r="AV5" t="s">
        <v>4078</v>
      </c>
      <c r="AW5">
        <v>6.4</v>
      </c>
      <c r="AX5">
        <v>-6</v>
      </c>
      <c r="AY5">
        <v>100.5</v>
      </c>
      <c r="AZ5">
        <v>70.5</v>
      </c>
      <c r="BH5">
        <v>100.5</v>
      </c>
      <c r="BI5">
        <v>30</v>
      </c>
      <c r="BJ5">
        <v>70.5</v>
      </c>
      <c r="BK5">
        <v>3</v>
      </c>
      <c r="BL5">
        <v>201</v>
      </c>
      <c r="BM5">
        <v>-6</v>
      </c>
      <c r="BN5">
        <v>0</v>
      </c>
      <c r="BP5">
        <v>0</v>
      </c>
      <c r="BR5">
        <v>195</v>
      </c>
      <c r="BS5">
        <v>185</v>
      </c>
      <c r="BT5">
        <v>1890</v>
      </c>
      <c r="BU5" t="s">
        <v>4047</v>
      </c>
      <c r="BV5" t="s">
        <v>4047</v>
      </c>
      <c r="BW5" t="s">
        <v>4049</v>
      </c>
      <c r="BX5" t="s">
        <v>4049</v>
      </c>
      <c r="BY5" t="s">
        <v>4107</v>
      </c>
      <c r="BZ5" t="s">
        <v>4107</v>
      </c>
      <c r="CA5" t="s">
        <v>4108</v>
      </c>
      <c r="CB5" t="s">
        <v>4109</v>
      </c>
      <c r="CC5" t="s">
        <v>4053</v>
      </c>
      <c r="CD5" t="s">
        <v>4110</v>
      </c>
      <c r="CE5" t="s">
        <v>4055</v>
      </c>
      <c r="CF5" t="s">
        <v>4055</v>
      </c>
      <c r="CG5" t="s">
        <v>4056</v>
      </c>
      <c r="CH5" t="s">
        <v>4057</v>
      </c>
      <c r="CI5" t="s">
        <v>4058</v>
      </c>
      <c r="CJ5" t="s">
        <v>4059</v>
      </c>
      <c r="CK5" t="s">
        <v>4060</v>
      </c>
      <c r="CL5" t="s">
        <v>4061</v>
      </c>
      <c r="CM5" t="s">
        <v>4062</v>
      </c>
      <c r="CN5" t="s">
        <v>4055</v>
      </c>
      <c r="CO5" t="s">
        <v>4063</v>
      </c>
      <c r="CP5" t="s">
        <v>4055</v>
      </c>
      <c r="CQ5" t="s">
        <v>4055</v>
      </c>
      <c r="CR5">
        <v>5</v>
      </c>
      <c r="CS5" t="s">
        <v>4055</v>
      </c>
      <c r="CT5" t="s">
        <v>4055</v>
      </c>
      <c r="CU5" t="s">
        <v>4055</v>
      </c>
      <c r="CV5">
        <v>124</v>
      </c>
      <c r="CW5">
        <v>3</v>
      </c>
      <c r="CX5">
        <v>106</v>
      </c>
      <c r="CY5">
        <v>5</v>
      </c>
      <c r="CZ5">
        <v>134</v>
      </c>
      <c r="DA5">
        <v>5</v>
      </c>
      <c r="DB5">
        <v>9550</v>
      </c>
      <c r="DC5">
        <v>290</v>
      </c>
      <c r="DD5">
        <v>322</v>
      </c>
      <c r="DE5">
        <v>1994</v>
      </c>
      <c r="DF5">
        <v>1994</v>
      </c>
      <c r="DG5">
        <v>2003</v>
      </c>
      <c r="DH5" t="s">
        <v>4055</v>
      </c>
      <c r="DI5" t="s">
        <v>4055</v>
      </c>
      <c r="DJ5" t="s">
        <v>4100</v>
      </c>
      <c r="DK5">
        <v>195</v>
      </c>
      <c r="DL5" t="s">
        <v>4101</v>
      </c>
      <c r="DM5">
        <v>65</v>
      </c>
      <c r="DN5">
        <v>0.84</v>
      </c>
      <c r="DO5">
        <v>1</v>
      </c>
      <c r="DP5">
        <v>1893</v>
      </c>
      <c r="DQ5">
        <v>674</v>
      </c>
      <c r="DR5" t="s">
        <v>4100</v>
      </c>
      <c r="DS5">
        <v>185</v>
      </c>
      <c r="DT5" t="s">
        <v>4101</v>
      </c>
      <c r="DU5">
        <v>65</v>
      </c>
      <c r="DV5">
        <v>0.84</v>
      </c>
      <c r="DW5">
        <v>1</v>
      </c>
      <c r="DX5">
        <v>1900</v>
      </c>
      <c r="DY5">
        <v>642</v>
      </c>
      <c r="DZ5" t="s">
        <v>4066</v>
      </c>
      <c r="EA5">
        <v>33</v>
      </c>
      <c r="EB5" t="s">
        <v>4065</v>
      </c>
      <c r="EC5">
        <v>0.4</v>
      </c>
      <c r="ED5">
        <v>1893</v>
      </c>
      <c r="EE5">
        <v>55</v>
      </c>
      <c r="EF5" t="s">
        <v>4066</v>
      </c>
      <c r="EG5">
        <v>33</v>
      </c>
      <c r="EH5" t="s">
        <v>4065</v>
      </c>
      <c r="EI5">
        <v>0.4</v>
      </c>
      <c r="EJ5">
        <v>1900</v>
      </c>
      <c r="EK5">
        <v>55</v>
      </c>
      <c r="EL5" t="s">
        <v>1528</v>
      </c>
      <c r="EM5">
        <v>12</v>
      </c>
      <c r="EN5">
        <v>0.5</v>
      </c>
      <c r="EO5">
        <v>0.96</v>
      </c>
      <c r="EP5">
        <v>1900.56</v>
      </c>
      <c r="EQ5">
        <v>31626.51</v>
      </c>
      <c r="ER5">
        <v>8937.15</v>
      </c>
      <c r="ES5">
        <v>0</v>
      </c>
      <c r="ET5">
        <v>0</v>
      </c>
      <c r="EU5">
        <v>1</v>
      </c>
      <c r="EV5">
        <v>40564</v>
      </c>
      <c r="EW5">
        <v>487</v>
      </c>
      <c r="EX5" t="s">
        <v>4088</v>
      </c>
      <c r="EY5">
        <v>214</v>
      </c>
      <c r="EZ5" t="s">
        <v>4055</v>
      </c>
      <c r="FA5">
        <v>6.4</v>
      </c>
      <c r="FB5">
        <v>1</v>
      </c>
      <c r="FC5">
        <v>1</v>
      </c>
      <c r="FD5">
        <v>1934</v>
      </c>
      <c r="FE5">
        <v>2299</v>
      </c>
      <c r="FF5" t="s">
        <v>4089</v>
      </c>
      <c r="FG5">
        <v>214</v>
      </c>
      <c r="FH5" t="s">
        <v>4055</v>
      </c>
      <c r="FI5">
        <v>1.8</v>
      </c>
      <c r="FJ5">
        <v>1934</v>
      </c>
      <c r="FK5">
        <v>753</v>
      </c>
      <c r="FL5" t="s">
        <v>4069</v>
      </c>
      <c r="FM5" t="s">
        <v>4055</v>
      </c>
      <c r="FN5" t="s">
        <v>4055</v>
      </c>
      <c r="FO5" t="s">
        <v>4055</v>
      </c>
      <c r="FP5">
        <v>1934</v>
      </c>
      <c r="FQ5">
        <v>146</v>
      </c>
      <c r="FR5" t="s">
        <v>4090</v>
      </c>
      <c r="FS5">
        <v>218</v>
      </c>
      <c r="FT5" t="s">
        <v>4055</v>
      </c>
      <c r="FU5">
        <v>0.4</v>
      </c>
      <c r="FV5">
        <v>1934</v>
      </c>
      <c r="FW5">
        <v>188</v>
      </c>
      <c r="FX5" t="s">
        <v>4070</v>
      </c>
      <c r="FY5">
        <v>5</v>
      </c>
      <c r="FZ5" t="s">
        <v>4055</v>
      </c>
      <c r="GA5" t="s">
        <v>4055</v>
      </c>
      <c r="GB5">
        <v>1934</v>
      </c>
      <c r="GC5">
        <v>17</v>
      </c>
      <c r="GD5">
        <v>3403</v>
      </c>
      <c r="GE5" t="s">
        <v>4106</v>
      </c>
      <c r="GF5" t="s">
        <v>4055</v>
      </c>
      <c r="GG5" t="s">
        <v>4055</v>
      </c>
      <c r="GH5" t="s">
        <v>4055</v>
      </c>
      <c r="GI5" t="s">
        <v>4071</v>
      </c>
      <c r="GJ5" t="s">
        <v>4055</v>
      </c>
      <c r="GK5" t="s">
        <v>4055</v>
      </c>
      <c r="GL5" t="s">
        <v>4055</v>
      </c>
      <c r="GM5" t="s">
        <v>4055</v>
      </c>
      <c r="GQ5">
        <v>0</v>
      </c>
      <c r="GV5">
        <v>8.6</v>
      </c>
      <c r="GW5">
        <v>7.9</v>
      </c>
      <c r="GX5">
        <v>0.5</v>
      </c>
      <c r="GY5">
        <v>186</v>
      </c>
      <c r="GZ5">
        <v>3</v>
      </c>
      <c r="HA5">
        <v>234</v>
      </c>
      <c r="HB5">
        <v>3</v>
      </c>
      <c r="HC5">
        <v>1934</v>
      </c>
      <c r="HD5">
        <v>4</v>
      </c>
      <c r="HE5" t="s">
        <v>4071</v>
      </c>
      <c r="HG5" t="s">
        <v>549</v>
      </c>
      <c r="HL5">
        <v>4</v>
      </c>
      <c r="HM5">
        <v>17</v>
      </c>
      <c r="HN5">
        <v>1</v>
      </c>
      <c r="HO5">
        <v>1</v>
      </c>
      <c r="HP5">
        <v>0</v>
      </c>
      <c r="HQ5">
        <v>0</v>
      </c>
      <c r="HR5">
        <v>1</v>
      </c>
      <c r="HS5">
        <v>1890</v>
      </c>
      <c r="HT5">
        <v>5</v>
      </c>
      <c r="HU5">
        <v>1</v>
      </c>
      <c r="HV5">
        <v>3</v>
      </c>
      <c r="HW5">
        <v>0</v>
      </c>
      <c r="HX5">
        <v>1</v>
      </c>
      <c r="HY5">
        <v>0</v>
      </c>
      <c r="HZ5">
        <v>65</v>
      </c>
      <c r="IA5">
        <v>1893</v>
      </c>
      <c r="IB5">
        <v>1900</v>
      </c>
      <c r="ID5">
        <v>1934</v>
      </c>
      <c r="IE5">
        <v>1934</v>
      </c>
      <c r="IF5">
        <v>195</v>
      </c>
      <c r="IG5">
        <v>185</v>
      </c>
      <c r="IH5">
        <v>234</v>
      </c>
      <c r="II5">
        <v>1</v>
      </c>
      <c r="IJ5">
        <v>5</v>
      </c>
      <c r="IK5">
        <v>0</v>
      </c>
      <c r="IL5">
        <v>0</v>
      </c>
      <c r="IM5">
        <v>0</v>
      </c>
      <c r="IN5">
        <v>270</v>
      </c>
      <c r="IO5">
        <v>0</v>
      </c>
      <c r="IP5">
        <v>180</v>
      </c>
      <c r="IQ5">
        <v>0</v>
      </c>
      <c r="IR5">
        <v>330</v>
      </c>
      <c r="IS5">
        <v>0</v>
      </c>
      <c r="IT5">
        <v>90</v>
      </c>
      <c r="IU5">
        <v>0</v>
      </c>
      <c r="IV5">
        <v>6.4</v>
      </c>
      <c r="IW5">
        <v>-6</v>
      </c>
      <c r="IX5">
        <v>100.5</v>
      </c>
      <c r="IY5">
        <v>70.5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356</v>
      </c>
      <c r="JJ5">
        <v>326</v>
      </c>
      <c r="JK5">
        <v>245</v>
      </c>
      <c r="JL5">
        <v>324</v>
      </c>
      <c r="JM5">
        <v>245</v>
      </c>
      <c r="JN5">
        <v>195</v>
      </c>
      <c r="JO5">
        <v>240</v>
      </c>
      <c r="JP5">
        <v>235</v>
      </c>
      <c r="JQ5">
        <v>270</v>
      </c>
      <c r="JR5">
        <v>334</v>
      </c>
      <c r="JS5">
        <v>258</v>
      </c>
      <c r="JT5">
        <v>0</v>
      </c>
      <c r="JU5">
        <v>0</v>
      </c>
      <c r="JV5">
        <v>334</v>
      </c>
      <c r="JW5">
        <v>337</v>
      </c>
      <c r="JX5">
        <v>328</v>
      </c>
      <c r="JY5">
        <v>305</v>
      </c>
      <c r="JZ5">
        <v>2.5</v>
      </c>
      <c r="KA5">
        <v>0.2</v>
      </c>
      <c r="KB5">
        <v>0.4</v>
      </c>
      <c r="KC5">
        <v>0.42</v>
      </c>
      <c r="KD5">
        <v>0.28</v>
      </c>
      <c r="KE5">
        <v>0.5</v>
      </c>
      <c r="KF5">
        <v>0.18</v>
      </c>
      <c r="KG5">
        <v>0.1</v>
      </c>
      <c r="KH5">
        <v>3.5</v>
      </c>
      <c r="KI5">
        <v>1</v>
      </c>
      <c r="KJ5">
        <v>4.5</v>
      </c>
      <c r="KK5">
        <v>0.5</v>
      </c>
      <c r="KL5">
        <v>4.5</v>
      </c>
      <c r="KM5">
        <v>0.5</v>
      </c>
      <c r="KN5">
        <v>1.6</v>
      </c>
      <c r="KO5">
        <v>0</v>
      </c>
      <c r="KP5">
        <v>0</v>
      </c>
      <c r="KQ5">
        <v>0.8</v>
      </c>
      <c r="KR5">
        <v>1.5</v>
      </c>
      <c r="KS5">
        <v>0.2</v>
      </c>
      <c r="KT5">
        <v>2.5</v>
      </c>
      <c r="KU5">
        <v>0</v>
      </c>
      <c r="KV5">
        <v>0</v>
      </c>
      <c r="KW5">
        <v>1</v>
      </c>
      <c r="KX5">
        <v>2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3</v>
      </c>
      <c r="LI5">
        <v>1</v>
      </c>
      <c r="LJ5">
        <v>0</v>
      </c>
      <c r="LK5">
        <v>4.5</v>
      </c>
      <c r="LL5">
        <v>6</v>
      </c>
      <c r="LM5">
        <v>7</v>
      </c>
      <c r="LN5">
        <v>0.4</v>
      </c>
      <c r="LO5">
        <v>3.5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1.7</v>
      </c>
      <c r="LX5">
        <v>1.7</v>
      </c>
      <c r="LY5">
        <v>2</v>
      </c>
      <c r="LZ5">
        <v>2</v>
      </c>
      <c r="MA5">
        <v>0</v>
      </c>
      <c r="MB5">
        <v>3</v>
      </c>
      <c r="MC5">
        <v>0</v>
      </c>
      <c r="MD5">
        <v>4.5</v>
      </c>
      <c r="ME5">
        <v>6</v>
      </c>
      <c r="MF5">
        <v>6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390</v>
      </c>
      <c r="MN5">
        <v>190</v>
      </c>
      <c r="MO5">
        <v>244</v>
      </c>
      <c r="NU5">
        <v>0.15</v>
      </c>
      <c r="NV5">
        <v>0.2</v>
      </c>
      <c r="NW5">
        <v>0.2</v>
      </c>
      <c r="NX5">
        <v>0.2</v>
      </c>
      <c r="NY5">
        <v>0.2</v>
      </c>
      <c r="NZ5">
        <v>0.2</v>
      </c>
      <c r="OE5" t="s">
        <v>4106</v>
      </c>
      <c r="OF5" t="s">
        <v>4104</v>
      </c>
      <c r="OG5" t="s">
        <v>4105</v>
      </c>
      <c r="OH5" t="s">
        <v>4043</v>
      </c>
      <c r="OI5" t="s">
        <v>4106</v>
      </c>
      <c r="OJ5" t="s">
        <v>4103</v>
      </c>
      <c r="OK5">
        <v>61</v>
      </c>
      <c r="OL5">
        <v>61</v>
      </c>
      <c r="OM5" t="s">
        <v>4104</v>
      </c>
      <c r="ON5">
        <v>2</v>
      </c>
      <c r="OO5">
        <v>1893</v>
      </c>
      <c r="OP5">
        <v>61</v>
      </c>
      <c r="OQ5">
        <v>61</v>
      </c>
      <c r="OR5" t="s">
        <v>4105</v>
      </c>
      <c r="OS5">
        <v>2</v>
      </c>
      <c r="OT5">
        <v>1900</v>
      </c>
      <c r="OU5">
        <v>65</v>
      </c>
      <c r="OV5">
        <v>65</v>
      </c>
      <c r="OW5" t="s">
        <v>4043</v>
      </c>
      <c r="OX5">
        <v>1</v>
      </c>
      <c r="OY5">
        <v>40564</v>
      </c>
      <c r="OZ5">
        <v>51</v>
      </c>
      <c r="PA5">
        <v>52</v>
      </c>
      <c r="PB5" t="s">
        <v>4106</v>
      </c>
      <c r="PC5">
        <v>2</v>
      </c>
      <c r="PD5">
        <v>1934</v>
      </c>
      <c r="PF5">
        <v>356</v>
      </c>
      <c r="PG5">
        <v>29</v>
      </c>
      <c r="PH5">
        <v>338</v>
      </c>
      <c r="PI5">
        <v>29</v>
      </c>
      <c r="PJ5">
        <v>75.3</v>
      </c>
      <c r="PK5">
        <v>1778</v>
      </c>
      <c r="PL5">
        <v>1188.8</v>
      </c>
      <c r="PM5">
        <v>389.4</v>
      </c>
      <c r="PN5">
        <v>97</v>
      </c>
      <c r="PO5">
        <v>9</v>
      </c>
      <c r="PP5">
        <v>12</v>
      </c>
      <c r="PQ5">
        <v>1</v>
      </c>
      <c r="PR5">
        <v>1</v>
      </c>
      <c r="PS5">
        <v>7</v>
      </c>
      <c r="PT5">
        <v>234</v>
      </c>
      <c r="PU5">
        <v>10</v>
      </c>
      <c r="PV5" t="s">
        <v>4072</v>
      </c>
      <c r="PW5" t="s">
        <v>4072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-1</v>
      </c>
      <c r="QF5">
        <v>1</v>
      </c>
      <c r="QG5">
        <v>0</v>
      </c>
      <c r="QH5">
        <v>5</v>
      </c>
      <c r="QI5">
        <v>5</v>
      </c>
      <c r="QJ5">
        <v>5</v>
      </c>
      <c r="QK5">
        <v>173</v>
      </c>
      <c r="QL5">
        <v>390</v>
      </c>
      <c r="QM5">
        <v>7.5</v>
      </c>
      <c r="QN5">
        <v>1381.4</v>
      </c>
      <c r="QO5" t="s">
        <v>556</v>
      </c>
      <c r="QP5" t="s">
        <v>513</v>
      </c>
      <c r="QQ5">
        <v>0</v>
      </c>
      <c r="QR5" t="s">
        <v>649</v>
      </c>
      <c r="QS5">
        <v>30</v>
      </c>
      <c r="QT5">
        <v>40</v>
      </c>
    </row>
    <row r="6" spans="1:462">
      <c r="A6" t="s">
        <v>659</v>
      </c>
      <c r="B6" t="s">
        <v>657</v>
      </c>
      <c r="C6" t="s">
        <v>509</v>
      </c>
      <c r="D6" t="s">
        <v>1013</v>
      </c>
      <c r="E6" t="s">
        <v>4036</v>
      </c>
      <c r="H6" t="s">
        <v>604</v>
      </c>
      <c r="I6" t="s">
        <v>605</v>
      </c>
      <c r="J6" t="s">
        <v>628</v>
      </c>
      <c r="K6" t="s">
        <v>606</v>
      </c>
      <c r="L6" t="s">
        <v>559</v>
      </c>
      <c r="M6" t="s">
        <v>512</v>
      </c>
      <c r="O6" t="s">
        <v>513</v>
      </c>
      <c r="P6" t="s">
        <v>567</v>
      </c>
      <c r="Q6" t="s">
        <v>660</v>
      </c>
      <c r="R6" t="s">
        <v>661</v>
      </c>
      <c r="S6" t="s">
        <v>4037</v>
      </c>
      <c r="T6" t="s">
        <v>662</v>
      </c>
      <c r="U6" t="s">
        <v>663</v>
      </c>
      <c r="V6" t="s">
        <v>664</v>
      </c>
      <c r="W6" t="s">
        <v>573</v>
      </c>
      <c r="X6" t="s">
        <v>665</v>
      </c>
      <c r="Y6" t="s">
        <v>666</v>
      </c>
      <c r="Z6" t="s">
        <v>650</v>
      </c>
      <c r="AA6" t="s">
        <v>4038</v>
      </c>
      <c r="AB6" t="s">
        <v>4111</v>
      </c>
      <c r="AC6">
        <v>9</v>
      </c>
      <c r="AD6" t="s">
        <v>656</v>
      </c>
      <c r="AE6">
        <v>7</v>
      </c>
      <c r="AF6">
        <v>5530</v>
      </c>
      <c r="AG6" t="s">
        <v>4112</v>
      </c>
      <c r="AH6">
        <v>1</v>
      </c>
      <c r="AI6" t="s">
        <v>4041</v>
      </c>
      <c r="AK6" t="s">
        <v>4113</v>
      </c>
      <c r="AL6">
        <v>1</v>
      </c>
      <c r="AM6" t="s">
        <v>582</v>
      </c>
      <c r="AO6" t="s">
        <v>4043</v>
      </c>
      <c r="AP6">
        <v>1</v>
      </c>
      <c r="AR6" t="s">
        <v>4114</v>
      </c>
      <c r="AS6">
        <v>1</v>
      </c>
      <c r="AT6">
        <v>52</v>
      </c>
      <c r="AV6" t="s">
        <v>4078</v>
      </c>
      <c r="AW6">
        <v>6.4</v>
      </c>
      <c r="AX6">
        <v>-6</v>
      </c>
      <c r="AY6">
        <v>103</v>
      </c>
      <c r="AZ6">
        <v>73</v>
      </c>
      <c r="BH6">
        <v>103</v>
      </c>
      <c r="BI6">
        <v>30</v>
      </c>
      <c r="BJ6">
        <v>73</v>
      </c>
      <c r="BK6">
        <v>3</v>
      </c>
      <c r="BL6">
        <v>206</v>
      </c>
      <c r="BM6">
        <v>-6</v>
      </c>
      <c r="BN6">
        <v>0</v>
      </c>
      <c r="BO6">
        <v>0</v>
      </c>
      <c r="BP6">
        <v>0</v>
      </c>
      <c r="BR6">
        <v>200</v>
      </c>
      <c r="BS6">
        <v>190</v>
      </c>
      <c r="BT6">
        <v>2055</v>
      </c>
      <c r="BU6" t="s">
        <v>4115</v>
      </c>
      <c r="BV6" t="s">
        <v>4096</v>
      </c>
      <c r="BW6" t="s">
        <v>4097</v>
      </c>
      <c r="BX6" t="s">
        <v>4097</v>
      </c>
      <c r="BY6" t="s">
        <v>4116</v>
      </c>
      <c r="BZ6" t="s">
        <v>4117</v>
      </c>
      <c r="CA6" t="s">
        <v>4118</v>
      </c>
      <c r="CB6" t="s">
        <v>4119</v>
      </c>
      <c r="CC6" t="s">
        <v>4120</v>
      </c>
      <c r="CD6" t="s">
        <v>4121</v>
      </c>
      <c r="CE6" t="s">
        <v>4055</v>
      </c>
      <c r="CF6" t="s">
        <v>4055</v>
      </c>
      <c r="CG6" t="s">
        <v>4056</v>
      </c>
      <c r="CI6" t="s">
        <v>4058</v>
      </c>
      <c r="CJ6" t="s">
        <v>4059</v>
      </c>
      <c r="CK6" t="s">
        <v>4060</v>
      </c>
      <c r="CL6" t="s">
        <v>4061</v>
      </c>
      <c r="CM6" t="s">
        <v>4062</v>
      </c>
      <c r="CN6" t="s">
        <v>4055</v>
      </c>
      <c r="CO6" t="s">
        <v>4063</v>
      </c>
      <c r="CP6" t="s">
        <v>4055</v>
      </c>
      <c r="CQ6" t="s">
        <v>4055</v>
      </c>
      <c r="CR6">
        <v>5</v>
      </c>
      <c r="CS6" t="s">
        <v>4055</v>
      </c>
      <c r="CT6" t="s">
        <v>4055</v>
      </c>
      <c r="CU6" t="s">
        <v>4055</v>
      </c>
      <c r="CV6">
        <v>125</v>
      </c>
      <c r="CW6">
        <v>3</v>
      </c>
      <c r="CX6">
        <v>109</v>
      </c>
      <c r="CY6">
        <v>5</v>
      </c>
      <c r="CZ6">
        <v>148</v>
      </c>
      <c r="DA6">
        <v>5</v>
      </c>
      <c r="DB6">
        <v>11680</v>
      </c>
      <c r="DC6">
        <v>350</v>
      </c>
      <c r="DD6">
        <v>325</v>
      </c>
      <c r="DE6">
        <v>2174</v>
      </c>
      <c r="DF6">
        <v>2174</v>
      </c>
      <c r="DG6">
        <v>2184</v>
      </c>
      <c r="DH6" t="s">
        <v>4055</v>
      </c>
      <c r="DI6" t="s">
        <v>4055</v>
      </c>
      <c r="DJ6" t="s">
        <v>4100</v>
      </c>
      <c r="DK6">
        <v>200</v>
      </c>
      <c r="DL6" t="s">
        <v>4101</v>
      </c>
      <c r="DM6">
        <v>67</v>
      </c>
      <c r="DN6">
        <v>0.84</v>
      </c>
      <c r="DO6">
        <v>1</v>
      </c>
      <c r="DP6">
        <v>2058</v>
      </c>
      <c r="DQ6">
        <v>753</v>
      </c>
      <c r="DR6" t="s">
        <v>4100</v>
      </c>
      <c r="DS6">
        <v>190</v>
      </c>
      <c r="DT6" t="s">
        <v>4101</v>
      </c>
      <c r="DU6">
        <v>67</v>
      </c>
      <c r="DV6">
        <v>0.84</v>
      </c>
      <c r="DW6">
        <v>1</v>
      </c>
      <c r="DX6">
        <v>2065</v>
      </c>
      <c r="DY6">
        <v>717</v>
      </c>
      <c r="DZ6" t="s">
        <v>4066</v>
      </c>
      <c r="EA6">
        <v>33</v>
      </c>
      <c r="EB6" t="s">
        <v>4065</v>
      </c>
      <c r="EC6">
        <v>0.4</v>
      </c>
      <c r="ED6">
        <v>2058</v>
      </c>
      <c r="EE6">
        <v>60</v>
      </c>
      <c r="EF6" t="s">
        <v>4066</v>
      </c>
      <c r="EG6">
        <v>33</v>
      </c>
      <c r="EH6" t="s">
        <v>4065</v>
      </c>
      <c r="EI6">
        <v>0.4</v>
      </c>
      <c r="EJ6">
        <v>2065</v>
      </c>
      <c r="EK6">
        <v>60</v>
      </c>
      <c r="EL6" t="s">
        <v>1528</v>
      </c>
      <c r="EM6">
        <v>12</v>
      </c>
      <c r="EN6">
        <v>0.5</v>
      </c>
      <c r="EO6">
        <v>0.96</v>
      </c>
      <c r="EP6">
        <v>2065.56</v>
      </c>
      <c r="EQ6">
        <v>35179.07</v>
      </c>
      <c r="ER6">
        <v>9710.59</v>
      </c>
      <c r="ES6">
        <v>0</v>
      </c>
      <c r="ET6">
        <v>0</v>
      </c>
      <c r="EU6">
        <v>1</v>
      </c>
      <c r="EV6">
        <v>44890</v>
      </c>
      <c r="EW6">
        <v>539</v>
      </c>
      <c r="EX6" t="s">
        <v>4088</v>
      </c>
      <c r="EY6">
        <v>220</v>
      </c>
      <c r="EZ6" t="s">
        <v>4055</v>
      </c>
      <c r="FA6">
        <v>7.6</v>
      </c>
      <c r="FB6">
        <v>1</v>
      </c>
      <c r="FC6">
        <v>1</v>
      </c>
      <c r="FD6">
        <v>2103</v>
      </c>
      <c r="FE6">
        <v>2838</v>
      </c>
      <c r="FF6" t="s">
        <v>4089</v>
      </c>
      <c r="FG6">
        <v>220</v>
      </c>
      <c r="FH6" t="s">
        <v>4055</v>
      </c>
      <c r="FI6">
        <v>1.8</v>
      </c>
      <c r="FJ6">
        <v>2103</v>
      </c>
      <c r="FK6">
        <v>835</v>
      </c>
      <c r="FL6" t="s">
        <v>4069</v>
      </c>
      <c r="FM6" t="s">
        <v>4055</v>
      </c>
      <c r="FN6" t="s">
        <v>4055</v>
      </c>
      <c r="FO6" t="s">
        <v>4055</v>
      </c>
      <c r="FP6">
        <v>2103</v>
      </c>
      <c r="FQ6">
        <v>113</v>
      </c>
      <c r="FR6" t="s">
        <v>4090</v>
      </c>
      <c r="FS6">
        <v>224</v>
      </c>
      <c r="FT6" t="s">
        <v>4055</v>
      </c>
      <c r="FU6">
        <v>0.4</v>
      </c>
      <c r="FV6">
        <v>2103</v>
      </c>
      <c r="FW6">
        <v>209</v>
      </c>
      <c r="FX6" t="s">
        <v>4070</v>
      </c>
      <c r="FY6">
        <v>5</v>
      </c>
      <c r="FZ6" t="s">
        <v>4055</v>
      </c>
      <c r="GA6" t="s">
        <v>4055</v>
      </c>
      <c r="GB6">
        <v>2103</v>
      </c>
      <c r="GC6">
        <v>21</v>
      </c>
      <c r="GD6">
        <v>4016</v>
      </c>
      <c r="GE6" t="s">
        <v>4114</v>
      </c>
      <c r="GF6" t="s">
        <v>4055</v>
      </c>
      <c r="GG6" t="s">
        <v>4055</v>
      </c>
      <c r="GH6" t="s">
        <v>4055</v>
      </c>
      <c r="GI6" t="s">
        <v>4071</v>
      </c>
      <c r="GJ6" t="s">
        <v>4055</v>
      </c>
      <c r="GK6" t="s">
        <v>4055</v>
      </c>
      <c r="GL6" t="s">
        <v>4055</v>
      </c>
      <c r="GM6" t="s">
        <v>4055</v>
      </c>
      <c r="GQ6">
        <v>0</v>
      </c>
      <c r="GV6">
        <v>9.800000000000001</v>
      </c>
      <c r="GW6">
        <v>8.1</v>
      </c>
      <c r="GX6">
        <v>0.5</v>
      </c>
      <c r="GY6">
        <v>184</v>
      </c>
      <c r="GZ6">
        <v>3</v>
      </c>
      <c r="HA6">
        <v>240</v>
      </c>
      <c r="HB6">
        <v>3</v>
      </c>
      <c r="HC6">
        <v>2103</v>
      </c>
      <c r="HD6">
        <v>4</v>
      </c>
      <c r="HE6" t="s">
        <v>4071</v>
      </c>
      <c r="HG6" t="s">
        <v>549</v>
      </c>
      <c r="HL6">
        <v>4</v>
      </c>
      <c r="HM6">
        <v>18</v>
      </c>
      <c r="HN6">
        <v>1</v>
      </c>
      <c r="HO6">
        <v>1</v>
      </c>
      <c r="HP6">
        <v>0</v>
      </c>
      <c r="HQ6">
        <v>0</v>
      </c>
      <c r="HR6">
        <v>3</v>
      </c>
      <c r="HS6">
        <v>2055</v>
      </c>
      <c r="HT6">
        <v>5</v>
      </c>
      <c r="HU6">
        <v>1</v>
      </c>
      <c r="HV6">
        <v>3</v>
      </c>
      <c r="HW6">
        <v>0</v>
      </c>
      <c r="HX6">
        <v>1</v>
      </c>
      <c r="HY6">
        <v>0</v>
      </c>
      <c r="HZ6">
        <v>67</v>
      </c>
      <c r="IA6">
        <v>2058</v>
      </c>
      <c r="IB6">
        <v>2065</v>
      </c>
      <c r="ID6">
        <v>2103</v>
      </c>
      <c r="IE6">
        <v>2103</v>
      </c>
      <c r="IF6">
        <v>200</v>
      </c>
      <c r="IG6">
        <v>190</v>
      </c>
      <c r="IH6">
        <v>240</v>
      </c>
      <c r="II6">
        <v>1</v>
      </c>
      <c r="IJ6">
        <v>0.8</v>
      </c>
      <c r="IK6">
        <v>0</v>
      </c>
      <c r="IL6">
        <v>0</v>
      </c>
      <c r="IM6">
        <v>0</v>
      </c>
      <c r="IN6">
        <v>270</v>
      </c>
      <c r="IO6">
        <v>0</v>
      </c>
      <c r="IP6">
        <v>180</v>
      </c>
      <c r="IQ6">
        <v>0</v>
      </c>
      <c r="IR6">
        <v>330</v>
      </c>
      <c r="IS6">
        <v>0</v>
      </c>
      <c r="IT6">
        <v>90</v>
      </c>
      <c r="IU6">
        <v>0</v>
      </c>
      <c r="IV6">
        <v>6.4</v>
      </c>
      <c r="IW6">
        <v>-6</v>
      </c>
      <c r="IX6">
        <v>103</v>
      </c>
      <c r="IY6">
        <v>73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388</v>
      </c>
      <c r="JJ6">
        <v>362</v>
      </c>
      <c r="JK6">
        <v>250</v>
      </c>
      <c r="JL6">
        <v>362</v>
      </c>
      <c r="JM6">
        <v>250</v>
      </c>
      <c r="JN6">
        <v>205</v>
      </c>
      <c r="JO6">
        <v>248</v>
      </c>
      <c r="JP6">
        <v>200</v>
      </c>
      <c r="JQ6">
        <v>240</v>
      </c>
      <c r="JR6">
        <v>328</v>
      </c>
      <c r="JS6">
        <v>252</v>
      </c>
      <c r="JT6">
        <v>0</v>
      </c>
      <c r="JU6">
        <v>0</v>
      </c>
      <c r="JV6">
        <v>325</v>
      </c>
      <c r="JW6">
        <v>337</v>
      </c>
      <c r="JX6">
        <v>325</v>
      </c>
      <c r="JY6">
        <v>315</v>
      </c>
      <c r="JZ6">
        <v>1</v>
      </c>
      <c r="KA6">
        <v>0.2</v>
      </c>
      <c r="KB6">
        <v>0.4</v>
      </c>
      <c r="KC6">
        <v>0.42</v>
      </c>
      <c r="KD6">
        <v>0.28</v>
      </c>
      <c r="KE6">
        <v>0.5</v>
      </c>
      <c r="KF6">
        <v>0.23</v>
      </c>
      <c r="KG6">
        <v>0.11</v>
      </c>
      <c r="KH6">
        <v>3.5</v>
      </c>
      <c r="KI6">
        <v>1</v>
      </c>
      <c r="KJ6">
        <v>5</v>
      </c>
      <c r="KK6">
        <v>0</v>
      </c>
      <c r="KL6">
        <v>5</v>
      </c>
      <c r="KM6">
        <v>1.5</v>
      </c>
      <c r="KN6">
        <v>1.8</v>
      </c>
      <c r="KO6">
        <v>0</v>
      </c>
      <c r="KP6">
        <v>0</v>
      </c>
      <c r="KQ6">
        <v>0.8</v>
      </c>
      <c r="KR6">
        <v>0.8</v>
      </c>
      <c r="KS6">
        <v>0</v>
      </c>
      <c r="KT6">
        <v>2.1</v>
      </c>
      <c r="KU6">
        <v>0</v>
      </c>
      <c r="KV6">
        <v>0</v>
      </c>
      <c r="KW6">
        <v>0.2</v>
      </c>
      <c r="KX6">
        <v>2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3</v>
      </c>
      <c r="LI6">
        <v>1</v>
      </c>
      <c r="LJ6">
        <v>0</v>
      </c>
      <c r="LK6">
        <v>7</v>
      </c>
      <c r="LL6">
        <v>9</v>
      </c>
      <c r="LM6">
        <v>11</v>
      </c>
      <c r="LN6">
        <v>0.1</v>
      </c>
      <c r="LO6">
        <v>3</v>
      </c>
      <c r="LP6">
        <v>0</v>
      </c>
      <c r="LQ6">
        <v>0</v>
      </c>
      <c r="LR6">
        <v>0</v>
      </c>
      <c r="LS6">
        <v>1</v>
      </c>
      <c r="LT6">
        <v>0</v>
      </c>
      <c r="LU6">
        <v>0</v>
      </c>
      <c r="LV6">
        <v>0</v>
      </c>
      <c r="LW6">
        <v>2.3</v>
      </c>
      <c r="LX6">
        <v>2.3</v>
      </c>
      <c r="LY6">
        <v>2.1</v>
      </c>
      <c r="LZ6">
        <v>2.1</v>
      </c>
      <c r="MA6">
        <v>0</v>
      </c>
      <c r="MB6">
        <v>4</v>
      </c>
      <c r="MC6">
        <v>1</v>
      </c>
      <c r="MD6">
        <v>4.5</v>
      </c>
      <c r="ME6">
        <v>6</v>
      </c>
      <c r="MF6">
        <v>6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420</v>
      </c>
      <c r="MN6">
        <v>195</v>
      </c>
      <c r="MO6">
        <v>244</v>
      </c>
      <c r="NU6">
        <v>0.15</v>
      </c>
      <c r="NV6">
        <v>0.2</v>
      </c>
      <c r="NW6">
        <v>0.2</v>
      </c>
      <c r="NX6">
        <v>20</v>
      </c>
      <c r="NY6">
        <v>20</v>
      </c>
      <c r="NZ6">
        <v>20</v>
      </c>
      <c r="OE6" t="s">
        <v>4114</v>
      </c>
      <c r="OF6" t="s">
        <v>4112</v>
      </c>
      <c r="OG6" t="s">
        <v>4113</v>
      </c>
      <c r="OH6" t="s">
        <v>4043</v>
      </c>
      <c r="OI6" t="s">
        <v>4114</v>
      </c>
      <c r="OJ6" t="s">
        <v>4111</v>
      </c>
      <c r="OK6">
        <v>61</v>
      </c>
      <c r="OL6">
        <v>61</v>
      </c>
      <c r="OM6" t="s">
        <v>4112</v>
      </c>
      <c r="ON6">
        <v>2</v>
      </c>
      <c r="OO6">
        <v>2058</v>
      </c>
      <c r="OP6">
        <v>61</v>
      </c>
      <c r="OQ6">
        <v>61</v>
      </c>
      <c r="OR6" t="s">
        <v>4113</v>
      </c>
      <c r="OS6">
        <v>2</v>
      </c>
      <c r="OT6">
        <v>2065</v>
      </c>
      <c r="OU6">
        <v>65</v>
      </c>
      <c r="OV6">
        <v>65</v>
      </c>
      <c r="OW6" t="s">
        <v>4043</v>
      </c>
      <c r="OX6">
        <v>2</v>
      </c>
      <c r="OY6">
        <v>44890</v>
      </c>
      <c r="OZ6">
        <v>51</v>
      </c>
      <c r="PA6">
        <v>52</v>
      </c>
      <c r="PB6" t="s">
        <v>4114</v>
      </c>
      <c r="PC6">
        <v>3</v>
      </c>
      <c r="PD6">
        <v>2103</v>
      </c>
      <c r="PF6">
        <v>366</v>
      </c>
      <c r="PG6">
        <v>29</v>
      </c>
      <c r="PH6">
        <v>347</v>
      </c>
      <c r="PI6">
        <v>29</v>
      </c>
      <c r="PJ6">
        <v>53.8</v>
      </c>
      <c r="PK6">
        <v>1935</v>
      </c>
      <c r="PL6">
        <v>1349.3</v>
      </c>
      <c r="PM6">
        <v>397.2</v>
      </c>
      <c r="PN6">
        <v>99.59999999999999</v>
      </c>
      <c r="PO6">
        <v>10.1</v>
      </c>
      <c r="PP6">
        <v>12</v>
      </c>
      <c r="PQ6">
        <v>3</v>
      </c>
      <c r="PR6">
        <v>3</v>
      </c>
      <c r="PS6">
        <v>0</v>
      </c>
      <c r="PT6">
        <v>240</v>
      </c>
      <c r="PU6">
        <v>10</v>
      </c>
      <c r="PV6" t="s">
        <v>4072</v>
      </c>
      <c r="PW6" t="s">
        <v>4072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-1</v>
      </c>
      <c r="QF6">
        <v>1</v>
      </c>
      <c r="QG6">
        <v>0</v>
      </c>
      <c r="QH6">
        <v>5</v>
      </c>
      <c r="QI6">
        <v>5</v>
      </c>
      <c r="QJ6">
        <v>5</v>
      </c>
      <c r="QK6">
        <v>189</v>
      </c>
      <c r="QL6">
        <v>422</v>
      </c>
      <c r="QM6">
        <v>7.5</v>
      </c>
      <c r="QN6">
        <v>1464.3</v>
      </c>
      <c r="QO6" t="s">
        <v>556</v>
      </c>
      <c r="QP6" t="s">
        <v>513</v>
      </c>
      <c r="QQ6">
        <v>0</v>
      </c>
      <c r="QR6" t="s">
        <v>677</v>
      </c>
      <c r="QS6">
        <v>30</v>
      </c>
      <c r="QT6">
        <v>40</v>
      </c>
    </row>
    <row r="7" spans="1:462">
      <c r="A7" t="s">
        <v>683</v>
      </c>
      <c r="B7" t="s">
        <v>559</v>
      </c>
      <c r="C7" t="s">
        <v>509</v>
      </c>
      <c r="D7" t="s">
        <v>1013</v>
      </c>
      <c r="E7" t="s">
        <v>4036</v>
      </c>
      <c r="H7" t="s">
        <v>604</v>
      </c>
      <c r="I7" t="s">
        <v>605</v>
      </c>
      <c r="J7" t="s">
        <v>628</v>
      </c>
      <c r="K7" t="s">
        <v>606</v>
      </c>
      <c r="L7" t="s">
        <v>564</v>
      </c>
      <c r="M7" t="s">
        <v>512</v>
      </c>
      <c r="O7" t="s">
        <v>513</v>
      </c>
      <c r="P7" t="s">
        <v>567</v>
      </c>
      <c r="Q7" t="s">
        <v>684</v>
      </c>
      <c r="R7" t="s">
        <v>685</v>
      </c>
      <c r="S7" t="s">
        <v>4037</v>
      </c>
      <c r="T7" t="s">
        <v>686</v>
      </c>
      <c r="U7" t="s">
        <v>687</v>
      </c>
      <c r="V7" t="s">
        <v>688</v>
      </c>
      <c r="W7" t="s">
        <v>573</v>
      </c>
      <c r="X7" t="s">
        <v>689</v>
      </c>
      <c r="Y7" t="s">
        <v>690</v>
      </c>
      <c r="Z7" t="s">
        <v>650</v>
      </c>
      <c r="AA7" t="s">
        <v>4038</v>
      </c>
      <c r="AB7" t="s">
        <v>4122</v>
      </c>
      <c r="AC7">
        <v>9</v>
      </c>
      <c r="AD7" t="s">
        <v>682</v>
      </c>
      <c r="AE7">
        <v>6</v>
      </c>
      <c r="AF7">
        <v>6005</v>
      </c>
      <c r="AG7" t="s">
        <v>4123</v>
      </c>
      <c r="AH7">
        <v>1</v>
      </c>
      <c r="AI7" t="s">
        <v>4041</v>
      </c>
      <c r="AK7" t="s">
        <v>4124</v>
      </c>
      <c r="AL7">
        <v>1</v>
      </c>
      <c r="AM7" t="s">
        <v>582</v>
      </c>
      <c r="AO7" t="s">
        <v>4043</v>
      </c>
      <c r="AP7">
        <v>2</v>
      </c>
      <c r="AR7" t="s">
        <v>4125</v>
      </c>
      <c r="AS7">
        <v>1</v>
      </c>
      <c r="AT7">
        <v>52</v>
      </c>
      <c r="AV7" t="s">
        <v>4126</v>
      </c>
      <c r="AW7">
        <v>6.4</v>
      </c>
      <c r="AX7">
        <v>-6</v>
      </c>
      <c r="AY7">
        <v>106</v>
      </c>
      <c r="AZ7">
        <v>82</v>
      </c>
      <c r="BB7">
        <v>102.5</v>
      </c>
      <c r="BH7">
        <v>106</v>
      </c>
      <c r="BI7">
        <v>24</v>
      </c>
      <c r="BJ7">
        <v>82</v>
      </c>
      <c r="BK7">
        <v>3.5</v>
      </c>
      <c r="BL7">
        <v>212</v>
      </c>
      <c r="BM7">
        <v>-6</v>
      </c>
      <c r="BN7">
        <v>102.5</v>
      </c>
      <c r="BO7">
        <v>0</v>
      </c>
      <c r="BP7">
        <v>205</v>
      </c>
      <c r="BR7">
        <v>205</v>
      </c>
      <c r="BS7">
        <v>195</v>
      </c>
      <c r="BT7">
        <v>2185</v>
      </c>
      <c r="BU7" t="s">
        <v>4127</v>
      </c>
      <c r="BV7" t="s">
        <v>4127</v>
      </c>
      <c r="BW7" t="s">
        <v>4128</v>
      </c>
      <c r="BX7" t="s">
        <v>4128</v>
      </c>
      <c r="BY7" t="s">
        <v>4129</v>
      </c>
      <c r="BZ7" t="s">
        <v>4129</v>
      </c>
      <c r="CA7" t="s">
        <v>4130</v>
      </c>
      <c r="CB7" t="s">
        <v>4131</v>
      </c>
      <c r="CC7" t="s">
        <v>4053</v>
      </c>
      <c r="CD7" t="s">
        <v>4055</v>
      </c>
      <c r="CE7" t="s">
        <v>4055</v>
      </c>
      <c r="CF7" t="s">
        <v>4055</v>
      </c>
      <c r="CG7" t="s">
        <v>4056</v>
      </c>
      <c r="CI7" t="s">
        <v>4086</v>
      </c>
      <c r="CJ7" t="s">
        <v>4059</v>
      </c>
      <c r="CK7" t="s">
        <v>4060</v>
      </c>
      <c r="CL7" t="s">
        <v>4061</v>
      </c>
      <c r="CM7" t="s">
        <v>4062</v>
      </c>
      <c r="CN7" t="s">
        <v>4055</v>
      </c>
      <c r="CO7" t="s">
        <v>4063</v>
      </c>
      <c r="CP7" t="s">
        <v>4055</v>
      </c>
      <c r="CQ7" t="s">
        <v>4055</v>
      </c>
      <c r="CR7">
        <v>5</v>
      </c>
      <c r="CS7" t="s">
        <v>4055</v>
      </c>
      <c r="CT7" t="s">
        <v>4055</v>
      </c>
      <c r="CU7" t="s">
        <v>4055</v>
      </c>
      <c r="CV7">
        <v>132</v>
      </c>
      <c r="CW7">
        <v>3</v>
      </c>
      <c r="CX7">
        <v>120</v>
      </c>
      <c r="CY7">
        <v>5</v>
      </c>
      <c r="CZ7">
        <v>152</v>
      </c>
      <c r="DA7">
        <v>5</v>
      </c>
      <c r="DB7">
        <v>13360</v>
      </c>
      <c r="DC7">
        <v>400</v>
      </c>
      <c r="DD7">
        <v>346</v>
      </c>
      <c r="DE7">
        <v>2293</v>
      </c>
      <c r="DF7">
        <v>2293</v>
      </c>
      <c r="DG7">
        <v>2304</v>
      </c>
      <c r="DH7">
        <v>1</v>
      </c>
      <c r="DI7" t="s">
        <v>4055</v>
      </c>
      <c r="DJ7" t="s">
        <v>4132</v>
      </c>
      <c r="DK7">
        <v>205</v>
      </c>
      <c r="DL7" t="s">
        <v>4065</v>
      </c>
      <c r="DM7">
        <v>67</v>
      </c>
      <c r="DN7">
        <v>1.1</v>
      </c>
      <c r="DO7">
        <v>1</v>
      </c>
      <c r="DP7">
        <v>2188</v>
      </c>
      <c r="DQ7">
        <v>969</v>
      </c>
      <c r="DR7" t="s">
        <v>4132</v>
      </c>
      <c r="DS7">
        <v>195</v>
      </c>
      <c r="DT7" t="s">
        <v>4065</v>
      </c>
      <c r="DU7">
        <v>67</v>
      </c>
      <c r="DV7">
        <v>1.1</v>
      </c>
      <c r="DW7">
        <v>1</v>
      </c>
      <c r="DX7">
        <v>2200</v>
      </c>
      <c r="DY7">
        <v>928</v>
      </c>
      <c r="DZ7" t="s">
        <v>4066</v>
      </c>
      <c r="EA7">
        <v>20</v>
      </c>
      <c r="EB7" t="s">
        <v>4065</v>
      </c>
      <c r="EC7">
        <v>0.8</v>
      </c>
      <c r="ED7">
        <v>2188</v>
      </c>
      <c r="EE7">
        <v>77</v>
      </c>
      <c r="EG7">
        <v>0</v>
      </c>
      <c r="EH7" t="s">
        <v>4065</v>
      </c>
      <c r="EI7">
        <v>0</v>
      </c>
      <c r="EL7" t="s">
        <v>1528</v>
      </c>
      <c r="EM7">
        <v>12</v>
      </c>
      <c r="EN7">
        <v>0.5</v>
      </c>
      <c r="EO7">
        <v>0.96</v>
      </c>
      <c r="EP7">
        <v>2198.83</v>
      </c>
      <c r="EQ7">
        <v>38479.53</v>
      </c>
      <c r="ER7">
        <v>8268.23</v>
      </c>
      <c r="ES7">
        <v>35408.84</v>
      </c>
      <c r="ET7">
        <v>0</v>
      </c>
      <c r="EU7">
        <v>1</v>
      </c>
      <c r="EV7">
        <v>82157</v>
      </c>
      <c r="EW7">
        <v>986</v>
      </c>
      <c r="EX7" t="s">
        <v>4088</v>
      </c>
      <c r="EY7">
        <v>232</v>
      </c>
      <c r="EZ7" t="s">
        <v>4055</v>
      </c>
      <c r="FA7">
        <v>5.8</v>
      </c>
      <c r="FB7">
        <v>1</v>
      </c>
      <c r="FC7">
        <v>1</v>
      </c>
      <c r="FD7">
        <v>2230</v>
      </c>
      <c r="FE7">
        <v>3031</v>
      </c>
      <c r="FF7" t="s">
        <v>4089</v>
      </c>
      <c r="FG7">
        <v>232</v>
      </c>
      <c r="FH7" t="s">
        <v>4055</v>
      </c>
      <c r="FI7">
        <v>1.8</v>
      </c>
      <c r="FJ7">
        <v>2230</v>
      </c>
      <c r="FK7">
        <v>947</v>
      </c>
      <c r="FL7" t="s">
        <v>4069</v>
      </c>
      <c r="FM7" t="s">
        <v>4055</v>
      </c>
      <c r="FN7" t="s">
        <v>4055</v>
      </c>
      <c r="FO7" t="s">
        <v>4055</v>
      </c>
      <c r="FP7">
        <v>2230</v>
      </c>
      <c r="FQ7">
        <v>155</v>
      </c>
      <c r="FR7" t="s">
        <v>4090</v>
      </c>
      <c r="FS7">
        <v>236</v>
      </c>
      <c r="FT7" t="s">
        <v>4055</v>
      </c>
      <c r="FU7">
        <v>0.4</v>
      </c>
      <c r="FV7">
        <v>2230</v>
      </c>
      <c r="FW7">
        <v>234</v>
      </c>
      <c r="FX7" t="s">
        <v>4070</v>
      </c>
      <c r="FY7">
        <v>5</v>
      </c>
      <c r="FZ7" t="s">
        <v>4055</v>
      </c>
      <c r="GA7" t="s">
        <v>4055</v>
      </c>
      <c r="GB7">
        <v>2230</v>
      </c>
      <c r="GC7">
        <v>21</v>
      </c>
      <c r="GD7">
        <v>4388</v>
      </c>
      <c r="GE7" t="s">
        <v>4125</v>
      </c>
      <c r="GF7" t="s">
        <v>4055</v>
      </c>
      <c r="GG7" t="s">
        <v>4055</v>
      </c>
      <c r="GH7" t="s">
        <v>4055</v>
      </c>
      <c r="GI7" t="s">
        <v>4071</v>
      </c>
      <c r="GJ7" t="s">
        <v>4055</v>
      </c>
      <c r="GK7" t="s">
        <v>4055</v>
      </c>
      <c r="GL7" t="s">
        <v>4055</v>
      </c>
      <c r="GM7" t="s">
        <v>4055</v>
      </c>
      <c r="GQ7">
        <v>0</v>
      </c>
      <c r="GV7">
        <v>8</v>
      </c>
      <c r="GW7">
        <v>7.8</v>
      </c>
      <c r="GX7">
        <v>0.5</v>
      </c>
      <c r="GY7">
        <v>200</v>
      </c>
      <c r="GZ7">
        <v>3</v>
      </c>
      <c r="HA7">
        <v>252</v>
      </c>
      <c r="HB7">
        <v>3</v>
      </c>
      <c r="HC7">
        <v>2230</v>
      </c>
      <c r="HD7">
        <v>4</v>
      </c>
      <c r="HE7" t="s">
        <v>4071</v>
      </c>
      <c r="HG7" t="s">
        <v>549</v>
      </c>
      <c r="HL7">
        <v>6</v>
      </c>
      <c r="HM7">
        <v>19</v>
      </c>
      <c r="HN7">
        <v>1</v>
      </c>
      <c r="HO7">
        <v>1</v>
      </c>
      <c r="HP7">
        <v>0</v>
      </c>
      <c r="HQ7">
        <v>0</v>
      </c>
      <c r="HR7">
        <v>2</v>
      </c>
      <c r="HS7">
        <v>2185</v>
      </c>
      <c r="HT7">
        <v>5</v>
      </c>
      <c r="HU7">
        <v>1</v>
      </c>
      <c r="HV7">
        <v>3</v>
      </c>
      <c r="HW7">
        <v>0</v>
      </c>
      <c r="HX7">
        <v>1</v>
      </c>
      <c r="HY7">
        <v>0</v>
      </c>
      <c r="HZ7">
        <v>67</v>
      </c>
      <c r="IA7">
        <v>2188</v>
      </c>
      <c r="IB7">
        <v>2200</v>
      </c>
      <c r="ID7">
        <v>2230</v>
      </c>
      <c r="IE7">
        <v>2230</v>
      </c>
      <c r="IF7">
        <v>205</v>
      </c>
      <c r="IG7">
        <v>195</v>
      </c>
      <c r="IH7">
        <v>252</v>
      </c>
      <c r="II7">
        <v>1</v>
      </c>
      <c r="IJ7">
        <v>10</v>
      </c>
      <c r="IK7">
        <v>0</v>
      </c>
      <c r="IL7">
        <v>0</v>
      </c>
      <c r="IM7">
        <v>0</v>
      </c>
      <c r="IN7">
        <v>270</v>
      </c>
      <c r="IO7">
        <v>0</v>
      </c>
      <c r="IP7">
        <v>180</v>
      </c>
      <c r="IQ7">
        <v>0</v>
      </c>
      <c r="IR7">
        <v>330</v>
      </c>
      <c r="IS7">
        <v>0</v>
      </c>
      <c r="IT7">
        <v>90</v>
      </c>
      <c r="IU7">
        <v>0</v>
      </c>
      <c r="IV7">
        <v>6.4</v>
      </c>
      <c r="IW7">
        <v>-6</v>
      </c>
      <c r="IX7">
        <v>106</v>
      </c>
      <c r="IY7">
        <v>82</v>
      </c>
      <c r="IZ7">
        <v>0</v>
      </c>
      <c r="JA7">
        <v>102.5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410</v>
      </c>
      <c r="JJ7">
        <v>380</v>
      </c>
      <c r="JK7">
        <v>276</v>
      </c>
      <c r="JL7">
        <v>378</v>
      </c>
      <c r="JM7">
        <v>270</v>
      </c>
      <c r="JN7">
        <v>205</v>
      </c>
      <c r="JO7">
        <v>262</v>
      </c>
      <c r="JP7">
        <v>195</v>
      </c>
      <c r="JQ7">
        <v>220</v>
      </c>
      <c r="JR7">
        <v>310</v>
      </c>
      <c r="JS7">
        <v>245</v>
      </c>
      <c r="JT7">
        <v>0</v>
      </c>
      <c r="JU7">
        <v>0</v>
      </c>
      <c r="JV7">
        <v>300</v>
      </c>
      <c r="JW7">
        <v>290</v>
      </c>
      <c r="JX7">
        <v>290</v>
      </c>
      <c r="JY7">
        <v>260</v>
      </c>
      <c r="JZ7">
        <v>0.5</v>
      </c>
      <c r="KA7">
        <v>0.2</v>
      </c>
      <c r="KB7">
        <v>0.4</v>
      </c>
      <c r="KC7">
        <v>0.42</v>
      </c>
      <c r="KD7">
        <v>0.3</v>
      </c>
      <c r="KE7">
        <v>0.5</v>
      </c>
      <c r="KF7">
        <v>0.18</v>
      </c>
      <c r="KG7">
        <v>0.11</v>
      </c>
      <c r="KH7">
        <v>3.5</v>
      </c>
      <c r="KI7">
        <v>1</v>
      </c>
      <c r="KJ7">
        <v>4.5</v>
      </c>
      <c r="KK7">
        <v>0</v>
      </c>
      <c r="KL7">
        <v>4.5</v>
      </c>
      <c r="KM7">
        <v>0</v>
      </c>
      <c r="KN7">
        <v>1.6</v>
      </c>
      <c r="KO7">
        <v>0</v>
      </c>
      <c r="KP7">
        <v>0</v>
      </c>
      <c r="KQ7">
        <v>0.5</v>
      </c>
      <c r="KR7">
        <v>0.5</v>
      </c>
      <c r="KS7">
        <v>0</v>
      </c>
      <c r="KT7">
        <v>2.3</v>
      </c>
      <c r="KU7">
        <v>0</v>
      </c>
      <c r="KV7">
        <v>0</v>
      </c>
      <c r="KW7">
        <v>0.7</v>
      </c>
      <c r="KX7">
        <v>1.5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3</v>
      </c>
      <c r="LI7">
        <v>2.5</v>
      </c>
      <c r="LJ7">
        <v>0</v>
      </c>
      <c r="LK7">
        <v>9</v>
      </c>
      <c r="LL7">
        <v>5</v>
      </c>
      <c r="LM7">
        <v>8</v>
      </c>
      <c r="LN7">
        <v>0.5</v>
      </c>
      <c r="LO7">
        <v>3</v>
      </c>
      <c r="LP7">
        <v>0</v>
      </c>
      <c r="LQ7">
        <v>0</v>
      </c>
      <c r="LR7">
        <v>0</v>
      </c>
      <c r="LS7">
        <v>1</v>
      </c>
      <c r="LT7">
        <v>0</v>
      </c>
      <c r="LU7">
        <v>0</v>
      </c>
      <c r="LV7">
        <v>0</v>
      </c>
      <c r="LW7">
        <v>1.9</v>
      </c>
      <c r="LX7">
        <v>1.9</v>
      </c>
      <c r="LY7">
        <v>2.5</v>
      </c>
      <c r="LZ7">
        <v>2.5</v>
      </c>
      <c r="MA7">
        <v>0</v>
      </c>
      <c r="MB7">
        <v>4</v>
      </c>
      <c r="MC7">
        <v>0</v>
      </c>
      <c r="MD7">
        <v>4.5</v>
      </c>
      <c r="ME7">
        <v>6</v>
      </c>
      <c r="MF7">
        <v>6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420</v>
      </c>
      <c r="MN7">
        <v>200</v>
      </c>
      <c r="MO7">
        <v>262</v>
      </c>
      <c r="NU7">
        <v>0.15</v>
      </c>
      <c r="NV7">
        <v>0.2</v>
      </c>
      <c r="NW7">
        <v>0.2</v>
      </c>
      <c r="NX7">
        <v>0.2</v>
      </c>
      <c r="NY7">
        <v>0.2</v>
      </c>
      <c r="NZ7">
        <v>0.2</v>
      </c>
      <c r="OE7" t="s">
        <v>4125</v>
      </c>
      <c r="OF7" t="s">
        <v>4123</v>
      </c>
      <c r="OG7" t="s">
        <v>4124</v>
      </c>
      <c r="OH7" t="s">
        <v>4043</v>
      </c>
      <c r="OI7" t="s">
        <v>4125</v>
      </c>
      <c r="OJ7" t="s">
        <v>4122</v>
      </c>
      <c r="OK7">
        <v>61</v>
      </c>
      <c r="OL7">
        <v>61</v>
      </c>
      <c r="OM7" t="s">
        <v>4123</v>
      </c>
      <c r="ON7">
        <v>1</v>
      </c>
      <c r="OO7">
        <v>2188</v>
      </c>
      <c r="OP7">
        <v>61</v>
      </c>
      <c r="OQ7">
        <v>61</v>
      </c>
      <c r="OR7" t="s">
        <v>4124</v>
      </c>
      <c r="OS7">
        <v>1</v>
      </c>
      <c r="OT7">
        <v>2200</v>
      </c>
      <c r="OU7">
        <v>65</v>
      </c>
      <c r="OV7">
        <v>65</v>
      </c>
      <c r="OW7" t="s">
        <v>4043</v>
      </c>
      <c r="OX7">
        <v>2</v>
      </c>
      <c r="OY7">
        <v>82157</v>
      </c>
      <c r="OZ7">
        <v>51</v>
      </c>
      <c r="PA7">
        <v>52</v>
      </c>
      <c r="PB7" t="s">
        <v>4125</v>
      </c>
      <c r="PC7">
        <v>2</v>
      </c>
      <c r="PD7">
        <v>2230</v>
      </c>
      <c r="PF7">
        <v>443</v>
      </c>
      <c r="PG7">
        <v>35</v>
      </c>
      <c r="PH7">
        <v>422</v>
      </c>
      <c r="PI7">
        <v>0</v>
      </c>
      <c r="PJ7">
        <v>69.7</v>
      </c>
      <c r="PK7">
        <v>1996</v>
      </c>
      <c r="PL7">
        <v>1359.4</v>
      </c>
      <c r="PM7">
        <v>424.6</v>
      </c>
      <c r="PN7">
        <v>105</v>
      </c>
      <c r="PO7">
        <v>9.300000000000001</v>
      </c>
      <c r="PP7">
        <v>12</v>
      </c>
      <c r="PQ7">
        <v>5</v>
      </c>
      <c r="PR7">
        <v>5</v>
      </c>
      <c r="PS7">
        <v>0</v>
      </c>
      <c r="PT7">
        <v>252</v>
      </c>
      <c r="PU7">
        <v>10</v>
      </c>
      <c r="PV7" t="s">
        <v>4072</v>
      </c>
      <c r="PW7" t="s">
        <v>4072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-1</v>
      </c>
      <c r="QF7">
        <v>1</v>
      </c>
      <c r="QG7">
        <v>0</v>
      </c>
      <c r="QH7">
        <v>5</v>
      </c>
      <c r="QI7">
        <v>5</v>
      </c>
      <c r="QJ7">
        <v>5</v>
      </c>
      <c r="QK7">
        <v>218</v>
      </c>
      <c r="QL7">
        <v>440</v>
      </c>
      <c r="QM7">
        <v>7.5</v>
      </c>
      <c r="QN7">
        <v>1545.7</v>
      </c>
      <c r="QO7" t="s">
        <v>556</v>
      </c>
      <c r="QP7" t="s">
        <v>513</v>
      </c>
      <c r="QQ7">
        <v>0</v>
      </c>
      <c r="QR7" t="s">
        <v>704</v>
      </c>
      <c r="QS7">
        <v>40</v>
      </c>
      <c r="QT7">
        <v>50</v>
      </c>
    </row>
    <row r="8" spans="1:462">
      <c r="A8" t="s">
        <v>712</v>
      </c>
      <c r="B8" t="s">
        <v>629</v>
      </c>
      <c r="C8" t="s">
        <v>509</v>
      </c>
      <c r="D8" t="s">
        <v>4133</v>
      </c>
      <c r="E8" t="s">
        <v>4036</v>
      </c>
      <c r="H8" t="s">
        <v>604</v>
      </c>
      <c r="I8" t="s">
        <v>605</v>
      </c>
      <c r="J8" t="s">
        <v>628</v>
      </c>
      <c r="K8" t="s">
        <v>606</v>
      </c>
      <c r="L8" t="s">
        <v>711</v>
      </c>
      <c r="M8" t="s">
        <v>512</v>
      </c>
      <c r="O8" t="s">
        <v>513</v>
      </c>
      <c r="P8" t="s">
        <v>567</v>
      </c>
      <c r="Q8" t="s">
        <v>713</v>
      </c>
      <c r="R8" t="s">
        <v>714</v>
      </c>
      <c r="S8" t="s">
        <v>4134</v>
      </c>
      <c r="T8" t="s">
        <v>570</v>
      </c>
      <c r="U8" t="s">
        <v>571</v>
      </c>
      <c r="V8" t="s">
        <v>715</v>
      </c>
      <c r="W8" t="s">
        <v>573</v>
      </c>
      <c r="X8" t="s">
        <v>716</v>
      </c>
      <c r="Y8" t="s">
        <v>717</v>
      </c>
      <c r="Z8" t="s">
        <v>541</v>
      </c>
      <c r="AA8" t="s">
        <v>4038</v>
      </c>
      <c r="AB8" t="s">
        <v>4135</v>
      </c>
      <c r="AC8">
        <v>9</v>
      </c>
      <c r="AD8" t="s">
        <v>709</v>
      </c>
      <c r="AE8">
        <v>4</v>
      </c>
      <c r="AF8">
        <v>5444</v>
      </c>
      <c r="AG8" t="s">
        <v>4136</v>
      </c>
      <c r="AH8">
        <v>1</v>
      </c>
      <c r="AI8" t="s">
        <v>4041</v>
      </c>
      <c r="AK8" t="s">
        <v>4137</v>
      </c>
      <c r="AL8">
        <v>1</v>
      </c>
      <c r="AM8" t="s">
        <v>582</v>
      </c>
      <c r="AO8" t="s">
        <v>4043</v>
      </c>
      <c r="AP8">
        <v>1</v>
      </c>
      <c r="AR8" t="s">
        <v>4138</v>
      </c>
      <c r="AS8">
        <v>1</v>
      </c>
      <c r="AT8">
        <v>52</v>
      </c>
      <c r="AV8" t="s">
        <v>4078</v>
      </c>
      <c r="AW8">
        <v>6.4</v>
      </c>
      <c r="AX8">
        <v>-6</v>
      </c>
      <c r="AY8">
        <v>110</v>
      </c>
      <c r="AZ8">
        <v>75</v>
      </c>
      <c r="BH8">
        <v>110</v>
      </c>
      <c r="BI8">
        <v>35</v>
      </c>
      <c r="BJ8">
        <v>75</v>
      </c>
      <c r="BK8">
        <v>2.5</v>
      </c>
      <c r="BL8">
        <v>220</v>
      </c>
      <c r="BM8">
        <v>-6</v>
      </c>
      <c r="BN8">
        <v>0</v>
      </c>
      <c r="BP8">
        <v>0</v>
      </c>
      <c r="BR8">
        <v>215</v>
      </c>
      <c r="BS8">
        <v>205</v>
      </c>
      <c r="BT8">
        <v>2130</v>
      </c>
      <c r="BU8" t="s">
        <v>4127</v>
      </c>
      <c r="BV8" t="s">
        <v>4127</v>
      </c>
      <c r="BW8" t="s">
        <v>4128</v>
      </c>
      <c r="BX8" t="s">
        <v>4128</v>
      </c>
      <c r="BY8" t="s">
        <v>4139</v>
      </c>
      <c r="BZ8" t="s">
        <v>4139</v>
      </c>
      <c r="CA8" t="s">
        <v>4084</v>
      </c>
      <c r="CB8" t="s">
        <v>4085</v>
      </c>
      <c r="CC8" t="s">
        <v>4053</v>
      </c>
      <c r="CD8" t="s">
        <v>4055</v>
      </c>
      <c r="CE8" t="s">
        <v>4055</v>
      </c>
      <c r="CF8" t="s">
        <v>4055</v>
      </c>
      <c r="CG8" t="s">
        <v>4056</v>
      </c>
      <c r="CI8" t="s">
        <v>4086</v>
      </c>
      <c r="CJ8" t="s">
        <v>4059</v>
      </c>
      <c r="CK8" t="s">
        <v>4060</v>
      </c>
      <c r="CL8" t="s">
        <v>4061</v>
      </c>
      <c r="CM8" t="s">
        <v>4055</v>
      </c>
      <c r="CN8" t="s">
        <v>4062</v>
      </c>
      <c r="CO8" t="s">
        <v>4063</v>
      </c>
      <c r="CP8" t="s">
        <v>4055</v>
      </c>
      <c r="CQ8" t="s">
        <v>4055</v>
      </c>
      <c r="CR8">
        <v>5</v>
      </c>
      <c r="CS8" t="s">
        <v>4055</v>
      </c>
      <c r="CT8" t="s">
        <v>4055</v>
      </c>
      <c r="CU8" t="s">
        <v>4055</v>
      </c>
      <c r="CV8">
        <v>130</v>
      </c>
      <c r="CW8">
        <v>3</v>
      </c>
      <c r="CX8">
        <v>96</v>
      </c>
      <c r="CY8">
        <v>5</v>
      </c>
      <c r="CZ8">
        <v>148</v>
      </c>
      <c r="DA8">
        <v>5</v>
      </c>
      <c r="DB8">
        <v>12230</v>
      </c>
      <c r="DC8">
        <v>370</v>
      </c>
      <c r="DD8">
        <v>338</v>
      </c>
      <c r="DE8">
        <v>2247</v>
      </c>
      <c r="DF8">
        <v>2242</v>
      </c>
      <c r="DG8">
        <v>2257</v>
      </c>
      <c r="DH8">
        <v>0</v>
      </c>
      <c r="DI8" t="s">
        <v>4055</v>
      </c>
      <c r="DJ8" t="s">
        <v>4064</v>
      </c>
      <c r="DK8">
        <v>215</v>
      </c>
      <c r="DL8" t="s">
        <v>4065</v>
      </c>
      <c r="DM8">
        <v>65</v>
      </c>
      <c r="DN8">
        <v>1.2</v>
      </c>
      <c r="DO8">
        <v>1</v>
      </c>
      <c r="DP8">
        <v>2134</v>
      </c>
      <c r="DQ8">
        <v>1054</v>
      </c>
      <c r="DR8" t="s">
        <v>4064</v>
      </c>
      <c r="DS8">
        <v>205</v>
      </c>
      <c r="DT8" t="s">
        <v>4065</v>
      </c>
      <c r="DU8">
        <v>65</v>
      </c>
      <c r="DV8">
        <v>1.2</v>
      </c>
      <c r="DW8">
        <v>1</v>
      </c>
      <c r="DX8">
        <v>2146</v>
      </c>
      <c r="DY8">
        <v>1011</v>
      </c>
      <c r="DZ8" t="s">
        <v>4066</v>
      </c>
      <c r="EA8">
        <v>20</v>
      </c>
      <c r="EB8" t="s">
        <v>4065</v>
      </c>
      <c r="EC8">
        <v>0.8</v>
      </c>
      <c r="ED8">
        <v>2134</v>
      </c>
      <c r="EE8">
        <v>75</v>
      </c>
      <c r="EG8">
        <v>0</v>
      </c>
      <c r="EH8" t="s">
        <v>4065</v>
      </c>
      <c r="EI8">
        <v>0</v>
      </c>
      <c r="EL8" t="s">
        <v>1528</v>
      </c>
      <c r="EM8">
        <v>12</v>
      </c>
      <c r="EN8">
        <v>0.5</v>
      </c>
      <c r="EO8">
        <v>0.96</v>
      </c>
      <c r="EP8">
        <v>2145.08</v>
      </c>
      <c r="EQ8">
        <v>38879.58</v>
      </c>
      <c r="ER8">
        <v>11763.89</v>
      </c>
      <c r="ES8">
        <v>0</v>
      </c>
      <c r="ET8">
        <v>0</v>
      </c>
      <c r="EU8">
        <v>1</v>
      </c>
      <c r="EV8">
        <v>50644</v>
      </c>
      <c r="EW8">
        <v>608</v>
      </c>
      <c r="EX8" t="s">
        <v>4088</v>
      </c>
      <c r="EY8">
        <v>228</v>
      </c>
      <c r="EZ8" t="s">
        <v>4055</v>
      </c>
      <c r="FA8">
        <v>6.3</v>
      </c>
      <c r="FB8">
        <v>1</v>
      </c>
      <c r="FC8">
        <v>1</v>
      </c>
      <c r="FD8">
        <v>2178</v>
      </c>
      <c r="FE8">
        <v>2752</v>
      </c>
      <c r="FF8" t="s">
        <v>4089</v>
      </c>
      <c r="FG8">
        <v>228</v>
      </c>
      <c r="FH8" t="s">
        <v>4055</v>
      </c>
      <c r="FI8">
        <v>1.8</v>
      </c>
      <c r="FJ8">
        <v>2178</v>
      </c>
      <c r="FK8">
        <v>920</v>
      </c>
      <c r="FL8" t="s">
        <v>4069</v>
      </c>
      <c r="FM8" t="s">
        <v>4055</v>
      </c>
      <c r="FN8" t="s">
        <v>4055</v>
      </c>
      <c r="FO8" t="s">
        <v>4055</v>
      </c>
      <c r="FP8">
        <v>2178</v>
      </c>
      <c r="FQ8">
        <v>113</v>
      </c>
      <c r="FR8" t="s">
        <v>4090</v>
      </c>
      <c r="FS8">
        <v>232</v>
      </c>
      <c r="FT8" t="s">
        <v>4055</v>
      </c>
      <c r="FU8">
        <v>0.4</v>
      </c>
      <c r="FV8">
        <v>2178</v>
      </c>
      <c r="FW8">
        <v>225</v>
      </c>
      <c r="FX8" t="s">
        <v>4070</v>
      </c>
      <c r="FY8">
        <v>5</v>
      </c>
      <c r="FZ8" t="s">
        <v>4055</v>
      </c>
      <c r="GA8" t="s">
        <v>4055</v>
      </c>
      <c r="GB8">
        <v>2178</v>
      </c>
      <c r="GC8">
        <v>19</v>
      </c>
      <c r="GD8">
        <v>4029</v>
      </c>
      <c r="GE8" t="s">
        <v>4138</v>
      </c>
      <c r="GF8" t="s">
        <v>4055</v>
      </c>
      <c r="GG8" t="s">
        <v>4055</v>
      </c>
      <c r="GH8" t="s">
        <v>4055</v>
      </c>
      <c r="GI8" t="s">
        <v>4071</v>
      </c>
      <c r="GJ8" t="s">
        <v>4055</v>
      </c>
      <c r="GK8" t="s">
        <v>4055</v>
      </c>
      <c r="GL8" t="s">
        <v>4055</v>
      </c>
      <c r="GM8" t="s">
        <v>4055</v>
      </c>
      <c r="GQ8">
        <v>0</v>
      </c>
      <c r="GV8">
        <v>8.5</v>
      </c>
      <c r="GW8">
        <v>7.5</v>
      </c>
      <c r="GX8">
        <v>0.5</v>
      </c>
      <c r="GY8">
        <v>206</v>
      </c>
      <c r="GZ8">
        <v>3</v>
      </c>
      <c r="HA8">
        <v>248</v>
      </c>
      <c r="HB8">
        <v>3</v>
      </c>
      <c r="HC8">
        <v>2178</v>
      </c>
      <c r="HD8">
        <v>4</v>
      </c>
      <c r="HE8" t="s">
        <v>4071</v>
      </c>
      <c r="HG8" t="s">
        <v>549</v>
      </c>
      <c r="HL8">
        <v>4</v>
      </c>
      <c r="HM8">
        <v>20</v>
      </c>
      <c r="HN8">
        <v>6</v>
      </c>
      <c r="HO8">
        <v>1</v>
      </c>
      <c r="HP8">
        <v>0</v>
      </c>
      <c r="HQ8">
        <v>0</v>
      </c>
      <c r="HR8">
        <v>1</v>
      </c>
      <c r="HS8">
        <v>2130</v>
      </c>
      <c r="HT8">
        <v>5</v>
      </c>
      <c r="HU8">
        <v>1</v>
      </c>
      <c r="HV8">
        <v>3</v>
      </c>
      <c r="HW8">
        <v>0</v>
      </c>
      <c r="HX8">
        <v>1</v>
      </c>
      <c r="HY8">
        <v>0</v>
      </c>
      <c r="HZ8">
        <v>65</v>
      </c>
      <c r="IA8">
        <v>2134</v>
      </c>
      <c r="IB8">
        <v>2146</v>
      </c>
      <c r="ID8">
        <v>2178</v>
      </c>
      <c r="IE8">
        <v>2178</v>
      </c>
      <c r="IF8">
        <v>215</v>
      </c>
      <c r="IG8">
        <v>205</v>
      </c>
      <c r="IH8">
        <v>248</v>
      </c>
      <c r="II8">
        <v>1</v>
      </c>
      <c r="IJ8">
        <v>5</v>
      </c>
      <c r="IK8">
        <v>0</v>
      </c>
      <c r="IL8">
        <v>0</v>
      </c>
      <c r="IM8">
        <v>0</v>
      </c>
      <c r="IN8">
        <v>270</v>
      </c>
      <c r="IO8">
        <v>0</v>
      </c>
      <c r="IP8">
        <v>180</v>
      </c>
      <c r="IQ8">
        <v>0</v>
      </c>
      <c r="IR8">
        <v>330</v>
      </c>
      <c r="IS8">
        <v>0</v>
      </c>
      <c r="IT8">
        <v>90</v>
      </c>
      <c r="IU8">
        <v>0</v>
      </c>
      <c r="IV8">
        <v>6.4</v>
      </c>
      <c r="IW8">
        <v>-6</v>
      </c>
      <c r="IX8">
        <v>110</v>
      </c>
      <c r="IY8">
        <v>75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376</v>
      </c>
      <c r="JJ8">
        <v>346</v>
      </c>
      <c r="JK8">
        <v>260</v>
      </c>
      <c r="JL8">
        <v>346</v>
      </c>
      <c r="JM8">
        <v>270</v>
      </c>
      <c r="JN8">
        <v>220</v>
      </c>
      <c r="JO8">
        <v>258</v>
      </c>
      <c r="JP8">
        <v>190</v>
      </c>
      <c r="JQ8">
        <v>235</v>
      </c>
      <c r="JR8">
        <v>280</v>
      </c>
      <c r="JS8">
        <v>240</v>
      </c>
      <c r="JT8">
        <v>0</v>
      </c>
      <c r="JU8">
        <v>0</v>
      </c>
      <c r="JV8">
        <v>275</v>
      </c>
      <c r="JW8">
        <v>270</v>
      </c>
      <c r="JX8">
        <v>270</v>
      </c>
      <c r="JY8">
        <v>255</v>
      </c>
      <c r="JZ8">
        <v>0.5</v>
      </c>
      <c r="KA8">
        <v>0.2</v>
      </c>
      <c r="KB8">
        <v>0.4</v>
      </c>
      <c r="KC8">
        <v>0.42</v>
      </c>
      <c r="KD8">
        <v>0.3</v>
      </c>
      <c r="KE8">
        <v>0.5</v>
      </c>
      <c r="KF8">
        <v>0.2</v>
      </c>
      <c r="KG8">
        <v>0.11</v>
      </c>
      <c r="KH8">
        <v>3.5</v>
      </c>
      <c r="KI8">
        <v>1</v>
      </c>
      <c r="KJ8">
        <v>4.5</v>
      </c>
      <c r="KK8">
        <v>0</v>
      </c>
      <c r="KL8">
        <v>4.5</v>
      </c>
      <c r="KM8">
        <v>0.5</v>
      </c>
      <c r="KN8">
        <v>1.4</v>
      </c>
      <c r="KO8">
        <v>1</v>
      </c>
      <c r="KP8">
        <v>0</v>
      </c>
      <c r="KQ8">
        <v>1</v>
      </c>
      <c r="KR8">
        <v>0.8</v>
      </c>
      <c r="KS8">
        <v>0</v>
      </c>
      <c r="KT8">
        <v>2.4</v>
      </c>
      <c r="KU8">
        <v>0</v>
      </c>
      <c r="KV8">
        <v>0</v>
      </c>
      <c r="KW8">
        <v>1.2</v>
      </c>
      <c r="KX8">
        <v>2</v>
      </c>
      <c r="KY8">
        <v>1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3</v>
      </c>
      <c r="LI8">
        <v>0.5</v>
      </c>
      <c r="LJ8">
        <v>0</v>
      </c>
      <c r="LK8">
        <v>8</v>
      </c>
      <c r="LL8">
        <v>7.5</v>
      </c>
      <c r="LM8">
        <v>9</v>
      </c>
      <c r="LN8">
        <v>0.1</v>
      </c>
      <c r="LO8">
        <v>1</v>
      </c>
      <c r="LP8">
        <v>0</v>
      </c>
      <c r="LQ8">
        <v>0</v>
      </c>
      <c r="LR8">
        <v>0</v>
      </c>
      <c r="LS8">
        <v>1</v>
      </c>
      <c r="LT8">
        <v>0</v>
      </c>
      <c r="LU8">
        <v>0</v>
      </c>
      <c r="LV8">
        <v>0</v>
      </c>
      <c r="LW8">
        <v>1.8</v>
      </c>
      <c r="LX8">
        <v>1.8</v>
      </c>
      <c r="LY8">
        <v>2.1</v>
      </c>
      <c r="LZ8">
        <v>2.1</v>
      </c>
      <c r="MA8">
        <v>0</v>
      </c>
      <c r="MB8">
        <v>4</v>
      </c>
      <c r="MC8">
        <v>0</v>
      </c>
      <c r="MD8">
        <v>4.5</v>
      </c>
      <c r="ME8">
        <v>6</v>
      </c>
      <c r="MF8">
        <v>6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390</v>
      </c>
      <c r="MN8">
        <v>210</v>
      </c>
      <c r="MO8">
        <v>258</v>
      </c>
      <c r="NU8">
        <v>0.15</v>
      </c>
      <c r="NV8">
        <v>0.2</v>
      </c>
      <c r="NW8">
        <v>0.2</v>
      </c>
      <c r="NX8">
        <v>0.2</v>
      </c>
      <c r="NY8">
        <v>0.2</v>
      </c>
      <c r="NZ8">
        <v>0.2</v>
      </c>
      <c r="OE8" t="s">
        <v>4138</v>
      </c>
      <c r="OF8" t="s">
        <v>4136</v>
      </c>
      <c r="OG8" t="s">
        <v>4137</v>
      </c>
      <c r="OH8" t="s">
        <v>4043</v>
      </c>
      <c r="OI8" t="s">
        <v>4138</v>
      </c>
      <c r="OJ8" t="s">
        <v>4135</v>
      </c>
      <c r="OK8">
        <v>61</v>
      </c>
      <c r="OL8">
        <v>61</v>
      </c>
      <c r="OM8" t="s">
        <v>4136</v>
      </c>
      <c r="ON8">
        <v>1</v>
      </c>
      <c r="OO8">
        <v>2134</v>
      </c>
      <c r="OP8">
        <v>61</v>
      </c>
      <c r="OQ8">
        <v>61</v>
      </c>
      <c r="OR8" t="s">
        <v>4137</v>
      </c>
      <c r="OS8">
        <v>1</v>
      </c>
      <c r="OT8">
        <v>2146</v>
      </c>
      <c r="OU8">
        <v>65</v>
      </c>
      <c r="OV8">
        <v>65</v>
      </c>
      <c r="OW8" t="s">
        <v>4043</v>
      </c>
      <c r="OX8">
        <v>1</v>
      </c>
      <c r="OY8">
        <v>50644</v>
      </c>
      <c r="OZ8">
        <v>51</v>
      </c>
      <c r="PA8">
        <v>52</v>
      </c>
      <c r="PB8" t="s">
        <v>4138</v>
      </c>
      <c r="PC8">
        <v>3</v>
      </c>
      <c r="PD8">
        <v>2178</v>
      </c>
      <c r="PF8">
        <v>494</v>
      </c>
      <c r="PG8">
        <v>35</v>
      </c>
      <c r="PH8">
        <v>471</v>
      </c>
      <c r="PI8">
        <v>0</v>
      </c>
      <c r="PJ8">
        <v>52.1</v>
      </c>
      <c r="PK8">
        <v>1878</v>
      </c>
      <c r="PL8">
        <v>1263.5</v>
      </c>
      <c r="PM8">
        <v>422.6</v>
      </c>
      <c r="PN8">
        <v>103.2</v>
      </c>
      <c r="PO8">
        <v>8.9</v>
      </c>
      <c r="PP8">
        <v>12</v>
      </c>
      <c r="PQ8">
        <v>5</v>
      </c>
      <c r="PR8">
        <v>5</v>
      </c>
      <c r="PS8">
        <v>0</v>
      </c>
      <c r="PT8">
        <v>248</v>
      </c>
      <c r="PU8">
        <v>10</v>
      </c>
      <c r="PV8" t="s">
        <v>4072</v>
      </c>
      <c r="PW8" t="s">
        <v>4072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-1</v>
      </c>
      <c r="QF8">
        <v>1</v>
      </c>
      <c r="QG8">
        <v>0</v>
      </c>
      <c r="QH8">
        <v>5</v>
      </c>
      <c r="QI8">
        <v>5</v>
      </c>
      <c r="QJ8">
        <v>5</v>
      </c>
      <c r="QK8">
        <v>202</v>
      </c>
      <c r="QL8">
        <v>406</v>
      </c>
      <c r="QM8">
        <v>7.5</v>
      </c>
      <c r="QN8">
        <v>1623.8</v>
      </c>
      <c r="QO8" t="s">
        <v>556</v>
      </c>
      <c r="QP8" t="s">
        <v>513</v>
      </c>
      <c r="QQ8">
        <v>0</v>
      </c>
      <c r="QR8" t="s">
        <v>596</v>
      </c>
      <c r="QS8">
        <v>40</v>
      </c>
      <c r="QT8">
        <v>50</v>
      </c>
    </row>
    <row r="9" spans="1:462">
      <c r="A9" t="s">
        <v>730</v>
      </c>
      <c r="B9" t="s">
        <v>727</v>
      </c>
      <c r="C9" t="s">
        <v>509</v>
      </c>
      <c r="D9" t="s">
        <v>728</v>
      </c>
      <c r="E9" t="s">
        <v>4036</v>
      </c>
      <c r="H9" t="s">
        <v>604</v>
      </c>
      <c r="I9" t="s">
        <v>605</v>
      </c>
      <c r="J9" t="s">
        <v>628</v>
      </c>
      <c r="K9" t="s">
        <v>606</v>
      </c>
      <c r="L9" t="s">
        <v>729</v>
      </c>
      <c r="M9" t="s">
        <v>512</v>
      </c>
      <c r="O9" t="s">
        <v>513</v>
      </c>
      <c r="P9" t="s">
        <v>567</v>
      </c>
      <c r="Q9" t="s">
        <v>518</v>
      </c>
      <c r="R9" t="s">
        <v>519</v>
      </c>
      <c r="S9" t="s">
        <v>4037</v>
      </c>
      <c r="T9" t="s">
        <v>520</v>
      </c>
      <c r="U9" t="s">
        <v>521</v>
      </c>
      <c r="V9" t="s">
        <v>635</v>
      </c>
      <c r="W9" t="s">
        <v>573</v>
      </c>
      <c r="X9" t="s">
        <v>731</v>
      </c>
      <c r="Y9" t="s">
        <v>732</v>
      </c>
      <c r="Z9" t="s">
        <v>541</v>
      </c>
      <c r="AA9" t="s">
        <v>4038</v>
      </c>
      <c r="AB9" t="s">
        <v>4140</v>
      </c>
      <c r="AC9">
        <v>9</v>
      </c>
      <c r="AD9" t="s">
        <v>726</v>
      </c>
      <c r="AE9">
        <v>10</v>
      </c>
      <c r="AF9">
        <v>3944</v>
      </c>
      <c r="AG9" t="s">
        <v>4141</v>
      </c>
      <c r="AH9">
        <v>1</v>
      </c>
      <c r="AI9" t="s">
        <v>4041</v>
      </c>
      <c r="AK9" t="s">
        <v>4142</v>
      </c>
      <c r="AL9">
        <v>1</v>
      </c>
      <c r="AM9" t="s">
        <v>582</v>
      </c>
      <c r="AO9" t="s">
        <v>4043</v>
      </c>
      <c r="AP9">
        <v>1</v>
      </c>
      <c r="AR9" t="s">
        <v>4143</v>
      </c>
      <c r="AS9">
        <v>1</v>
      </c>
      <c r="AT9">
        <v>51</v>
      </c>
      <c r="AV9" t="s">
        <v>4078</v>
      </c>
      <c r="AW9">
        <v>6</v>
      </c>
      <c r="AX9">
        <v>-6</v>
      </c>
      <c r="AY9">
        <v>93.5</v>
      </c>
      <c r="AZ9">
        <v>70</v>
      </c>
      <c r="BH9">
        <v>93.5</v>
      </c>
      <c r="BI9">
        <v>23.5</v>
      </c>
      <c r="BJ9">
        <v>70</v>
      </c>
      <c r="BK9">
        <v>3.5</v>
      </c>
      <c r="BL9">
        <v>187</v>
      </c>
      <c r="BM9">
        <v>-6</v>
      </c>
      <c r="BN9">
        <v>0</v>
      </c>
      <c r="BO9">
        <v>0</v>
      </c>
      <c r="BP9">
        <v>0</v>
      </c>
      <c r="BR9">
        <v>180</v>
      </c>
      <c r="BS9">
        <v>170</v>
      </c>
      <c r="BT9">
        <v>1845</v>
      </c>
      <c r="BU9" t="s">
        <v>4047</v>
      </c>
      <c r="BV9" t="s">
        <v>4047</v>
      </c>
      <c r="BW9" t="s">
        <v>4049</v>
      </c>
      <c r="BX9" t="s">
        <v>4049</v>
      </c>
      <c r="BY9" t="s">
        <v>4144</v>
      </c>
      <c r="BZ9" t="s">
        <v>4144</v>
      </c>
      <c r="CA9" t="s">
        <v>4051</v>
      </c>
      <c r="CB9" t="s">
        <v>4052</v>
      </c>
      <c r="CC9" t="s">
        <v>4053</v>
      </c>
      <c r="CD9" t="s">
        <v>4054</v>
      </c>
      <c r="CE9" t="s">
        <v>4055</v>
      </c>
      <c r="CF9" t="s">
        <v>4055</v>
      </c>
      <c r="CG9" t="s">
        <v>4056</v>
      </c>
      <c r="CH9" t="s">
        <v>4145</v>
      </c>
      <c r="CI9" t="s">
        <v>4058</v>
      </c>
      <c r="CJ9" t="s">
        <v>4059</v>
      </c>
      <c r="CK9" t="s">
        <v>4060</v>
      </c>
      <c r="CL9" t="s">
        <v>4061</v>
      </c>
      <c r="CM9" t="s">
        <v>4055</v>
      </c>
      <c r="CN9" t="s">
        <v>4062</v>
      </c>
      <c r="CO9" t="s">
        <v>4063</v>
      </c>
      <c r="CP9" t="s">
        <v>4055</v>
      </c>
      <c r="CQ9" t="s">
        <v>4055</v>
      </c>
      <c r="CR9">
        <v>5</v>
      </c>
      <c r="CS9" t="s">
        <v>4055</v>
      </c>
      <c r="CT9" t="s">
        <v>4055</v>
      </c>
      <c r="CU9" t="s">
        <v>4055</v>
      </c>
      <c r="CV9">
        <v>114</v>
      </c>
      <c r="CW9">
        <v>3</v>
      </c>
      <c r="CX9">
        <v>75</v>
      </c>
      <c r="CY9">
        <v>5</v>
      </c>
      <c r="CZ9">
        <v>133</v>
      </c>
      <c r="DA9">
        <v>5</v>
      </c>
      <c r="DB9">
        <v>9010</v>
      </c>
      <c r="DC9">
        <v>270</v>
      </c>
      <c r="DD9">
        <v>304</v>
      </c>
      <c r="DE9">
        <v>1951</v>
      </c>
      <c r="DF9">
        <v>1951</v>
      </c>
      <c r="DG9">
        <v>1960</v>
      </c>
      <c r="DH9" t="s">
        <v>4055</v>
      </c>
      <c r="DI9" t="s">
        <v>4055</v>
      </c>
      <c r="DJ9" t="s">
        <v>4100</v>
      </c>
      <c r="DK9">
        <v>180</v>
      </c>
      <c r="DL9" t="s">
        <v>4101</v>
      </c>
      <c r="DM9">
        <v>65</v>
      </c>
      <c r="DN9">
        <v>0.84</v>
      </c>
      <c r="DO9">
        <v>1</v>
      </c>
      <c r="DP9">
        <v>1848</v>
      </c>
      <c r="DQ9">
        <v>608</v>
      </c>
      <c r="DR9" t="s">
        <v>4100</v>
      </c>
      <c r="DS9">
        <v>170</v>
      </c>
      <c r="DT9" t="s">
        <v>4101</v>
      </c>
      <c r="DU9">
        <v>65</v>
      </c>
      <c r="DV9">
        <v>0.84</v>
      </c>
      <c r="DW9">
        <v>1</v>
      </c>
      <c r="DX9">
        <v>1855</v>
      </c>
      <c r="DY9">
        <v>577</v>
      </c>
      <c r="DZ9" t="s">
        <v>4066</v>
      </c>
      <c r="EA9">
        <v>33</v>
      </c>
      <c r="EB9" t="s">
        <v>4065</v>
      </c>
      <c r="EC9">
        <v>0.4</v>
      </c>
      <c r="ED9">
        <v>1848</v>
      </c>
      <c r="EE9">
        <v>54</v>
      </c>
      <c r="EF9" t="s">
        <v>4066</v>
      </c>
      <c r="EG9">
        <v>33</v>
      </c>
      <c r="EH9" t="s">
        <v>4065</v>
      </c>
      <c r="EI9">
        <v>0.4</v>
      </c>
      <c r="EJ9">
        <v>1855</v>
      </c>
      <c r="EK9">
        <v>54</v>
      </c>
      <c r="EL9" t="s">
        <v>1528</v>
      </c>
      <c r="EM9">
        <v>12</v>
      </c>
      <c r="EN9">
        <v>0.5</v>
      </c>
      <c r="EO9">
        <v>0.96</v>
      </c>
      <c r="EP9">
        <v>1855.56</v>
      </c>
      <c r="EQ9">
        <v>30771.37</v>
      </c>
      <c r="ER9">
        <v>7291.23</v>
      </c>
      <c r="ES9">
        <v>0</v>
      </c>
      <c r="ET9">
        <v>0</v>
      </c>
      <c r="EU9">
        <v>1</v>
      </c>
      <c r="EV9">
        <v>38063</v>
      </c>
      <c r="EW9">
        <v>457</v>
      </c>
      <c r="EX9" t="s">
        <v>4088</v>
      </c>
      <c r="EY9">
        <v>204</v>
      </c>
      <c r="EZ9" t="s">
        <v>4055</v>
      </c>
      <c r="FA9">
        <v>7.5</v>
      </c>
      <c r="FB9">
        <v>1</v>
      </c>
      <c r="FC9">
        <v>1</v>
      </c>
      <c r="FD9">
        <v>1892</v>
      </c>
      <c r="FE9">
        <v>2395</v>
      </c>
      <c r="FF9" t="s">
        <v>4089</v>
      </c>
      <c r="FG9">
        <v>204</v>
      </c>
      <c r="FH9" t="s">
        <v>4055</v>
      </c>
      <c r="FI9">
        <v>1.6</v>
      </c>
      <c r="FJ9">
        <v>1892</v>
      </c>
      <c r="FK9">
        <v>612</v>
      </c>
      <c r="FL9" t="s">
        <v>4069</v>
      </c>
      <c r="FM9" t="s">
        <v>4055</v>
      </c>
      <c r="FN9" t="s">
        <v>4055</v>
      </c>
      <c r="FO9" t="s">
        <v>4055</v>
      </c>
      <c r="FP9">
        <v>1892</v>
      </c>
      <c r="FQ9">
        <v>110</v>
      </c>
      <c r="FR9" t="s">
        <v>4090</v>
      </c>
      <c r="FS9">
        <v>208</v>
      </c>
      <c r="FT9" t="s">
        <v>4055</v>
      </c>
      <c r="FU9">
        <v>0.4</v>
      </c>
      <c r="FV9">
        <v>1892</v>
      </c>
      <c r="FW9">
        <v>175</v>
      </c>
      <c r="FX9" t="s">
        <v>4070</v>
      </c>
      <c r="FY9">
        <v>5</v>
      </c>
      <c r="FZ9" t="s">
        <v>4055</v>
      </c>
      <c r="GA9" t="s">
        <v>4055</v>
      </c>
      <c r="GB9">
        <v>1892</v>
      </c>
      <c r="GC9">
        <v>18</v>
      </c>
      <c r="GD9">
        <v>3310</v>
      </c>
      <c r="GE9" t="s">
        <v>4143</v>
      </c>
      <c r="GF9" t="s">
        <v>4055</v>
      </c>
      <c r="GG9" t="s">
        <v>4055</v>
      </c>
      <c r="GH9" t="s">
        <v>4055</v>
      </c>
      <c r="GI9" t="s">
        <v>4071</v>
      </c>
      <c r="GJ9" t="s">
        <v>4055</v>
      </c>
      <c r="GK9" t="s">
        <v>4055</v>
      </c>
      <c r="GL9" t="s">
        <v>4055</v>
      </c>
      <c r="GM9" t="s">
        <v>4055</v>
      </c>
      <c r="GQ9">
        <v>0</v>
      </c>
      <c r="GV9">
        <v>9.5</v>
      </c>
      <c r="GW9">
        <v>7.8</v>
      </c>
      <c r="GX9">
        <v>0.5</v>
      </c>
      <c r="GY9">
        <v>170</v>
      </c>
      <c r="GZ9">
        <v>3</v>
      </c>
      <c r="HA9">
        <v>224</v>
      </c>
      <c r="HB9">
        <v>3</v>
      </c>
      <c r="HC9">
        <v>1892</v>
      </c>
      <c r="HD9">
        <v>4</v>
      </c>
      <c r="HE9" t="s">
        <v>4071</v>
      </c>
      <c r="HG9" t="s">
        <v>549</v>
      </c>
      <c r="HL9">
        <v>4</v>
      </c>
      <c r="HM9">
        <v>16</v>
      </c>
      <c r="HN9">
        <v>6</v>
      </c>
      <c r="HO9">
        <v>1</v>
      </c>
      <c r="HP9">
        <v>0</v>
      </c>
      <c r="HQ9">
        <v>0</v>
      </c>
      <c r="HR9">
        <v>2</v>
      </c>
      <c r="HS9">
        <v>1845</v>
      </c>
      <c r="HT9">
        <v>5</v>
      </c>
      <c r="HU9">
        <v>1</v>
      </c>
      <c r="HV9">
        <v>3</v>
      </c>
      <c r="HW9">
        <v>0</v>
      </c>
      <c r="HX9">
        <v>1</v>
      </c>
      <c r="HY9">
        <v>0</v>
      </c>
      <c r="HZ9">
        <v>65</v>
      </c>
      <c r="IA9">
        <v>1848</v>
      </c>
      <c r="IB9">
        <v>1855</v>
      </c>
      <c r="ID9">
        <v>1892</v>
      </c>
      <c r="IE9">
        <v>1892</v>
      </c>
      <c r="IF9">
        <v>180</v>
      </c>
      <c r="IG9">
        <v>170</v>
      </c>
      <c r="IH9">
        <v>224</v>
      </c>
      <c r="II9">
        <v>1</v>
      </c>
      <c r="IJ9">
        <v>5</v>
      </c>
      <c r="IK9">
        <v>0</v>
      </c>
      <c r="IL9">
        <v>0</v>
      </c>
      <c r="IM9">
        <v>0</v>
      </c>
      <c r="IN9">
        <v>270</v>
      </c>
      <c r="IO9">
        <v>0</v>
      </c>
      <c r="IP9">
        <v>180</v>
      </c>
      <c r="IQ9">
        <v>0</v>
      </c>
      <c r="IR9">
        <v>325</v>
      </c>
      <c r="IS9">
        <v>0</v>
      </c>
      <c r="IT9">
        <v>90</v>
      </c>
      <c r="IU9">
        <v>0</v>
      </c>
      <c r="IV9">
        <v>6.4</v>
      </c>
      <c r="IW9">
        <v>-6</v>
      </c>
      <c r="IX9">
        <v>93.5</v>
      </c>
      <c r="IY9">
        <v>70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350</v>
      </c>
      <c r="JJ9">
        <v>310</v>
      </c>
      <c r="JK9">
        <v>240</v>
      </c>
      <c r="JL9">
        <v>308</v>
      </c>
      <c r="JM9">
        <v>270</v>
      </c>
      <c r="JN9">
        <v>195</v>
      </c>
      <c r="JO9">
        <v>235</v>
      </c>
      <c r="JP9">
        <v>210</v>
      </c>
      <c r="JQ9">
        <v>270</v>
      </c>
      <c r="JR9">
        <v>341</v>
      </c>
      <c r="JS9">
        <v>265</v>
      </c>
      <c r="JT9">
        <v>0</v>
      </c>
      <c r="JU9">
        <v>0</v>
      </c>
      <c r="JV9">
        <v>305</v>
      </c>
      <c r="JW9">
        <v>307</v>
      </c>
      <c r="JX9">
        <v>340</v>
      </c>
      <c r="JY9">
        <v>290</v>
      </c>
      <c r="JZ9">
        <v>1</v>
      </c>
      <c r="KA9">
        <v>0.35</v>
      </c>
      <c r="KB9">
        <v>0.4</v>
      </c>
      <c r="KC9">
        <v>0.42</v>
      </c>
      <c r="KD9">
        <v>0.28</v>
      </c>
      <c r="KE9">
        <v>0.5</v>
      </c>
      <c r="KF9">
        <v>0.22</v>
      </c>
      <c r="KG9">
        <v>0.11</v>
      </c>
      <c r="KH9">
        <v>11</v>
      </c>
      <c r="KI9">
        <v>1.5</v>
      </c>
      <c r="KJ9">
        <v>6</v>
      </c>
      <c r="KK9">
        <v>2</v>
      </c>
      <c r="KL9">
        <v>7</v>
      </c>
      <c r="KM9">
        <v>3</v>
      </c>
      <c r="KN9">
        <v>1.4</v>
      </c>
      <c r="KO9">
        <v>0</v>
      </c>
      <c r="KP9">
        <v>0</v>
      </c>
      <c r="KQ9">
        <v>0.8</v>
      </c>
      <c r="KR9">
        <v>0.3</v>
      </c>
      <c r="KS9">
        <v>0</v>
      </c>
      <c r="KT9">
        <v>2.3</v>
      </c>
      <c r="KU9">
        <v>0</v>
      </c>
      <c r="KV9">
        <v>0</v>
      </c>
      <c r="KW9">
        <v>1.4</v>
      </c>
      <c r="KX9">
        <v>1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3</v>
      </c>
      <c r="LI9">
        <v>1</v>
      </c>
      <c r="LJ9">
        <v>0</v>
      </c>
      <c r="LK9">
        <v>7</v>
      </c>
      <c r="LL9">
        <v>2</v>
      </c>
      <c r="LM9">
        <v>10</v>
      </c>
      <c r="LN9">
        <v>0.5</v>
      </c>
      <c r="LO9">
        <v>3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1.4</v>
      </c>
      <c r="LX9">
        <v>1.4</v>
      </c>
      <c r="LY9">
        <v>2.1</v>
      </c>
      <c r="LZ9">
        <v>2.1</v>
      </c>
      <c r="MA9">
        <v>0</v>
      </c>
      <c r="MB9">
        <v>5</v>
      </c>
      <c r="MC9">
        <v>0</v>
      </c>
      <c r="MD9">
        <v>4.5</v>
      </c>
      <c r="ME9">
        <v>10</v>
      </c>
      <c r="MF9">
        <v>6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358</v>
      </c>
      <c r="MN9">
        <v>195</v>
      </c>
      <c r="MO9">
        <v>235</v>
      </c>
      <c r="NU9">
        <v>0.3</v>
      </c>
      <c r="NV9">
        <v>0.2</v>
      </c>
      <c r="NW9">
        <v>0.2</v>
      </c>
      <c r="NX9">
        <v>2</v>
      </c>
      <c r="NY9">
        <v>2</v>
      </c>
      <c r="NZ9">
        <v>2</v>
      </c>
      <c r="OE9" t="s">
        <v>4143</v>
      </c>
      <c r="OF9" t="s">
        <v>4141</v>
      </c>
      <c r="OG9" t="s">
        <v>4142</v>
      </c>
      <c r="OH9" t="s">
        <v>4043</v>
      </c>
      <c r="OI9" t="s">
        <v>4143</v>
      </c>
      <c r="OJ9" t="s">
        <v>4140</v>
      </c>
      <c r="OK9">
        <v>61</v>
      </c>
      <c r="OL9">
        <v>61</v>
      </c>
      <c r="OM9" t="s">
        <v>4141</v>
      </c>
      <c r="ON9">
        <v>2</v>
      </c>
      <c r="OO9">
        <v>1848</v>
      </c>
      <c r="OP9">
        <v>61</v>
      </c>
      <c r="OQ9">
        <v>61</v>
      </c>
      <c r="OR9" t="s">
        <v>4142</v>
      </c>
      <c r="OS9">
        <v>2</v>
      </c>
      <c r="OT9">
        <v>1855</v>
      </c>
      <c r="OU9">
        <v>65</v>
      </c>
      <c r="OV9">
        <v>65</v>
      </c>
      <c r="OW9" t="s">
        <v>4043</v>
      </c>
      <c r="OX9">
        <v>2</v>
      </c>
      <c r="OY9">
        <v>38063</v>
      </c>
      <c r="OZ9">
        <v>51</v>
      </c>
      <c r="PA9">
        <v>51</v>
      </c>
      <c r="PB9" t="s">
        <v>4143</v>
      </c>
      <c r="PC9">
        <v>1</v>
      </c>
      <c r="PD9">
        <v>1892</v>
      </c>
      <c r="PF9">
        <v>329</v>
      </c>
      <c r="PG9">
        <v>29</v>
      </c>
      <c r="PH9">
        <v>311</v>
      </c>
      <c r="PI9">
        <v>29</v>
      </c>
      <c r="PJ9">
        <v>58.4</v>
      </c>
      <c r="PK9">
        <v>1772</v>
      </c>
      <c r="PL9">
        <v>1265.7</v>
      </c>
      <c r="PM9">
        <v>323.5</v>
      </c>
      <c r="PN9">
        <v>92.5</v>
      </c>
      <c r="PO9">
        <v>9.699999999999999</v>
      </c>
      <c r="PP9">
        <v>12</v>
      </c>
      <c r="PQ9">
        <v>2</v>
      </c>
      <c r="PR9">
        <v>1</v>
      </c>
      <c r="PS9">
        <v>6</v>
      </c>
      <c r="PT9">
        <v>224</v>
      </c>
      <c r="PU9">
        <v>10</v>
      </c>
      <c r="PV9" t="s">
        <v>4072</v>
      </c>
      <c r="PW9" t="s">
        <v>4072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-1</v>
      </c>
      <c r="QF9">
        <v>1</v>
      </c>
      <c r="QG9">
        <v>0</v>
      </c>
      <c r="QH9">
        <v>5</v>
      </c>
      <c r="QI9">
        <v>5</v>
      </c>
      <c r="QJ9">
        <v>5</v>
      </c>
      <c r="QK9">
        <v>170</v>
      </c>
      <c r="QL9">
        <v>384</v>
      </c>
      <c r="QM9">
        <v>7.5</v>
      </c>
      <c r="QN9">
        <v>1284.1</v>
      </c>
      <c r="QO9" t="s">
        <v>556</v>
      </c>
      <c r="QP9" t="s">
        <v>513</v>
      </c>
      <c r="QQ9">
        <v>0</v>
      </c>
      <c r="QR9" t="s">
        <v>540</v>
      </c>
      <c r="QS9">
        <v>30</v>
      </c>
      <c r="QT9">
        <v>40</v>
      </c>
    </row>
    <row r="10" spans="1:462">
      <c r="A10" t="s">
        <v>741</v>
      </c>
      <c r="B10" t="s">
        <v>657</v>
      </c>
      <c r="C10" t="s">
        <v>509</v>
      </c>
      <c r="D10" t="s">
        <v>728</v>
      </c>
      <c r="E10" t="s">
        <v>4036</v>
      </c>
      <c r="H10" t="s">
        <v>604</v>
      </c>
      <c r="I10" t="s">
        <v>605</v>
      </c>
      <c r="J10" t="s">
        <v>628</v>
      </c>
      <c r="K10" t="s">
        <v>606</v>
      </c>
      <c r="L10" t="s">
        <v>559</v>
      </c>
      <c r="M10" t="s">
        <v>512</v>
      </c>
      <c r="O10" t="s">
        <v>513</v>
      </c>
      <c r="P10" t="s">
        <v>567</v>
      </c>
      <c r="Q10" t="s">
        <v>742</v>
      </c>
      <c r="R10" t="s">
        <v>743</v>
      </c>
      <c r="S10" t="s">
        <v>4134</v>
      </c>
      <c r="T10" t="s">
        <v>633</v>
      </c>
      <c r="U10" t="s">
        <v>634</v>
      </c>
      <c r="V10" t="s">
        <v>744</v>
      </c>
      <c r="W10" t="s">
        <v>573</v>
      </c>
      <c r="X10" t="s">
        <v>745</v>
      </c>
      <c r="Y10" t="s">
        <v>746</v>
      </c>
      <c r="Z10" t="s">
        <v>650</v>
      </c>
      <c r="AA10" t="s">
        <v>4038</v>
      </c>
      <c r="AB10" t="s">
        <v>4146</v>
      </c>
      <c r="AC10">
        <v>10</v>
      </c>
      <c r="AD10" t="s">
        <v>740</v>
      </c>
      <c r="AE10">
        <v>7</v>
      </c>
      <c r="AF10">
        <v>3526</v>
      </c>
      <c r="AG10" t="s">
        <v>4147</v>
      </c>
      <c r="AH10">
        <v>1</v>
      </c>
      <c r="AI10" t="s">
        <v>4041</v>
      </c>
      <c r="AK10" t="s">
        <v>4148</v>
      </c>
      <c r="AL10">
        <v>1</v>
      </c>
      <c r="AM10" t="s">
        <v>582</v>
      </c>
      <c r="AO10" t="s">
        <v>4043</v>
      </c>
      <c r="AP10">
        <v>1</v>
      </c>
      <c r="AR10" t="s">
        <v>4149</v>
      </c>
      <c r="AS10">
        <v>1</v>
      </c>
      <c r="AT10">
        <v>51</v>
      </c>
      <c r="AV10" t="s">
        <v>4078</v>
      </c>
      <c r="AW10">
        <v>6.4</v>
      </c>
      <c r="AX10">
        <v>-6</v>
      </c>
      <c r="AY10">
        <v>103</v>
      </c>
      <c r="AZ10">
        <v>64</v>
      </c>
      <c r="BH10">
        <v>103</v>
      </c>
      <c r="BI10">
        <v>39</v>
      </c>
      <c r="BJ10">
        <v>64</v>
      </c>
      <c r="BK10">
        <v>3</v>
      </c>
      <c r="BL10">
        <v>206</v>
      </c>
      <c r="BM10">
        <v>-6</v>
      </c>
      <c r="BN10">
        <v>0</v>
      </c>
      <c r="BO10">
        <v>0</v>
      </c>
      <c r="BP10">
        <v>0</v>
      </c>
      <c r="BR10">
        <v>200</v>
      </c>
      <c r="BS10">
        <v>190</v>
      </c>
      <c r="BT10">
        <v>1855</v>
      </c>
      <c r="BU10" t="s">
        <v>4046</v>
      </c>
      <c r="BV10" t="s">
        <v>4047</v>
      </c>
      <c r="BW10" t="s">
        <v>4048</v>
      </c>
      <c r="BX10" t="s">
        <v>4049</v>
      </c>
      <c r="BY10" t="s">
        <v>4150</v>
      </c>
      <c r="BZ10" t="s">
        <v>4150</v>
      </c>
      <c r="CA10" t="s">
        <v>4108</v>
      </c>
      <c r="CB10" t="s">
        <v>4109</v>
      </c>
      <c r="CC10" t="s">
        <v>4053</v>
      </c>
      <c r="CD10" t="s">
        <v>4110</v>
      </c>
      <c r="CE10" t="s">
        <v>4055</v>
      </c>
      <c r="CF10" t="s">
        <v>4055</v>
      </c>
      <c r="CG10" t="s">
        <v>4056</v>
      </c>
      <c r="CH10" t="s">
        <v>4057</v>
      </c>
      <c r="CI10" t="s">
        <v>4058</v>
      </c>
      <c r="CJ10" t="s">
        <v>4059</v>
      </c>
      <c r="CK10" t="s">
        <v>4060</v>
      </c>
      <c r="CL10" t="s">
        <v>4061</v>
      </c>
      <c r="CM10" t="s">
        <v>4062</v>
      </c>
      <c r="CN10" t="s">
        <v>4055</v>
      </c>
      <c r="CO10" t="s">
        <v>4063</v>
      </c>
      <c r="CP10" t="s">
        <v>4055</v>
      </c>
      <c r="CQ10" t="s">
        <v>4055</v>
      </c>
      <c r="CR10">
        <v>5</v>
      </c>
      <c r="CS10" t="s">
        <v>4055</v>
      </c>
      <c r="CT10" t="s">
        <v>4055</v>
      </c>
      <c r="CU10" t="s">
        <v>4055</v>
      </c>
      <c r="CV10">
        <v>124</v>
      </c>
      <c r="CW10">
        <v>3</v>
      </c>
      <c r="CX10">
        <v>107</v>
      </c>
      <c r="CY10">
        <v>5</v>
      </c>
      <c r="CZ10">
        <v>136</v>
      </c>
      <c r="DA10">
        <v>5</v>
      </c>
      <c r="DB10">
        <v>8580</v>
      </c>
      <c r="DC10">
        <v>250</v>
      </c>
      <c r="DD10">
        <v>306</v>
      </c>
      <c r="DE10">
        <v>1941</v>
      </c>
      <c r="DF10">
        <v>1955</v>
      </c>
      <c r="DG10">
        <v>1964</v>
      </c>
      <c r="DH10" t="s">
        <v>4055</v>
      </c>
      <c r="DI10" t="s">
        <v>4055</v>
      </c>
      <c r="DJ10" t="s">
        <v>4100</v>
      </c>
      <c r="DK10">
        <v>200</v>
      </c>
      <c r="DL10" t="s">
        <v>4101</v>
      </c>
      <c r="DM10">
        <v>65</v>
      </c>
      <c r="DN10">
        <v>0.84</v>
      </c>
      <c r="DO10">
        <v>1</v>
      </c>
      <c r="DP10">
        <v>1858</v>
      </c>
      <c r="DQ10">
        <v>680</v>
      </c>
      <c r="DR10" t="s">
        <v>4100</v>
      </c>
      <c r="DS10">
        <v>190</v>
      </c>
      <c r="DT10" t="s">
        <v>4101</v>
      </c>
      <c r="DU10">
        <v>65</v>
      </c>
      <c r="DV10">
        <v>0.84</v>
      </c>
      <c r="DW10">
        <v>1</v>
      </c>
      <c r="DX10">
        <v>1865</v>
      </c>
      <c r="DY10">
        <v>647</v>
      </c>
      <c r="DZ10" t="s">
        <v>4066</v>
      </c>
      <c r="EA10">
        <v>33</v>
      </c>
      <c r="EB10" t="s">
        <v>4065</v>
      </c>
      <c r="EC10">
        <v>0.4</v>
      </c>
      <c r="ED10">
        <v>1858</v>
      </c>
      <c r="EE10">
        <v>54</v>
      </c>
      <c r="EF10" t="s">
        <v>4066</v>
      </c>
      <c r="EG10">
        <v>33</v>
      </c>
      <c r="EH10" t="s">
        <v>4065</v>
      </c>
      <c r="EI10">
        <v>0.4</v>
      </c>
      <c r="EJ10">
        <v>1865</v>
      </c>
      <c r="EK10">
        <v>54</v>
      </c>
      <c r="EL10" t="s">
        <v>1528</v>
      </c>
      <c r="EM10">
        <v>12</v>
      </c>
      <c r="EN10">
        <v>0.5</v>
      </c>
      <c r="EO10">
        <v>0.96</v>
      </c>
      <c r="EP10">
        <v>1865.56</v>
      </c>
      <c r="EQ10">
        <v>31772.82</v>
      </c>
      <c r="ER10">
        <v>11405.01</v>
      </c>
      <c r="ES10">
        <v>0</v>
      </c>
      <c r="ET10">
        <v>0</v>
      </c>
      <c r="EU10">
        <v>1</v>
      </c>
      <c r="EV10">
        <v>43178</v>
      </c>
      <c r="EW10">
        <v>519</v>
      </c>
      <c r="EX10" t="s">
        <v>4088</v>
      </c>
      <c r="EY10">
        <v>214</v>
      </c>
      <c r="EZ10" t="s">
        <v>4055</v>
      </c>
      <c r="FA10">
        <v>5.5</v>
      </c>
      <c r="FB10">
        <v>1</v>
      </c>
      <c r="FC10">
        <v>1</v>
      </c>
      <c r="FD10">
        <v>1896</v>
      </c>
      <c r="FE10">
        <v>2070</v>
      </c>
      <c r="FF10" t="s">
        <v>4089</v>
      </c>
      <c r="FG10">
        <v>214</v>
      </c>
      <c r="FH10" t="s">
        <v>4055</v>
      </c>
      <c r="FI10">
        <v>1.6</v>
      </c>
      <c r="FJ10">
        <v>1896</v>
      </c>
      <c r="FK10">
        <v>666</v>
      </c>
      <c r="FL10" t="s">
        <v>4069</v>
      </c>
      <c r="FM10" t="s">
        <v>4055</v>
      </c>
      <c r="FN10" t="s">
        <v>4055</v>
      </c>
      <c r="FO10" t="s">
        <v>4055</v>
      </c>
      <c r="FP10">
        <v>1896</v>
      </c>
      <c r="FQ10">
        <v>163</v>
      </c>
      <c r="FR10" t="s">
        <v>4090</v>
      </c>
      <c r="FS10">
        <v>218</v>
      </c>
      <c r="FT10" t="s">
        <v>4055</v>
      </c>
      <c r="FU10">
        <v>0.4</v>
      </c>
      <c r="FV10">
        <v>1896</v>
      </c>
      <c r="FW10">
        <v>184</v>
      </c>
      <c r="FX10" t="s">
        <v>4070</v>
      </c>
      <c r="FY10">
        <v>5</v>
      </c>
      <c r="FZ10" t="s">
        <v>4055</v>
      </c>
      <c r="GA10" t="s">
        <v>4055</v>
      </c>
      <c r="GB10">
        <v>1896</v>
      </c>
      <c r="GC10">
        <v>15</v>
      </c>
      <c r="GD10">
        <v>3098</v>
      </c>
      <c r="GE10" t="s">
        <v>4149</v>
      </c>
      <c r="GF10" t="s">
        <v>4055</v>
      </c>
      <c r="GG10" t="s">
        <v>4055</v>
      </c>
      <c r="GH10" t="s">
        <v>4055</v>
      </c>
      <c r="GI10" t="s">
        <v>4071</v>
      </c>
      <c r="GJ10" t="s">
        <v>4055</v>
      </c>
      <c r="GK10" t="s">
        <v>4055</v>
      </c>
      <c r="GL10" t="s">
        <v>4055</v>
      </c>
      <c r="GM10" t="s">
        <v>4055</v>
      </c>
      <c r="GQ10">
        <v>0</v>
      </c>
      <c r="GV10">
        <v>7.5</v>
      </c>
      <c r="GW10">
        <v>7</v>
      </c>
      <c r="GX10">
        <v>0.5</v>
      </c>
      <c r="GY10">
        <v>190</v>
      </c>
      <c r="GZ10">
        <v>3</v>
      </c>
      <c r="HA10">
        <v>238</v>
      </c>
      <c r="HB10">
        <v>3</v>
      </c>
      <c r="HC10">
        <v>1896</v>
      </c>
      <c r="HD10">
        <v>4</v>
      </c>
      <c r="HE10" t="s">
        <v>4071</v>
      </c>
      <c r="HG10" t="s">
        <v>549</v>
      </c>
      <c r="HL10">
        <v>4</v>
      </c>
      <c r="HM10">
        <v>17</v>
      </c>
      <c r="HN10">
        <v>1</v>
      </c>
      <c r="HO10">
        <v>1</v>
      </c>
      <c r="HP10">
        <v>0</v>
      </c>
      <c r="HQ10">
        <v>0</v>
      </c>
      <c r="HR10">
        <v>2</v>
      </c>
      <c r="HS10">
        <v>1855</v>
      </c>
      <c r="HT10">
        <v>5</v>
      </c>
      <c r="HU10">
        <v>1</v>
      </c>
      <c r="HV10">
        <v>3</v>
      </c>
      <c r="HW10">
        <v>0</v>
      </c>
      <c r="HX10">
        <v>1</v>
      </c>
      <c r="HY10">
        <v>0</v>
      </c>
      <c r="HZ10">
        <v>65</v>
      </c>
      <c r="IA10">
        <v>1858</v>
      </c>
      <c r="IB10">
        <v>1865</v>
      </c>
      <c r="ID10">
        <v>1896</v>
      </c>
      <c r="IE10">
        <v>1896</v>
      </c>
      <c r="IF10">
        <v>200</v>
      </c>
      <c r="IG10">
        <v>190</v>
      </c>
      <c r="IH10">
        <v>238</v>
      </c>
      <c r="II10">
        <v>1</v>
      </c>
      <c r="IJ10">
        <v>5</v>
      </c>
      <c r="IK10">
        <v>0</v>
      </c>
      <c r="IL10">
        <v>0</v>
      </c>
      <c r="IM10">
        <v>0</v>
      </c>
      <c r="IN10">
        <v>270</v>
      </c>
      <c r="IO10">
        <v>0</v>
      </c>
      <c r="IP10">
        <v>120</v>
      </c>
      <c r="IQ10">
        <v>0</v>
      </c>
      <c r="IR10">
        <v>330</v>
      </c>
      <c r="IS10">
        <v>0</v>
      </c>
      <c r="IT10">
        <v>90</v>
      </c>
      <c r="IU10">
        <v>0</v>
      </c>
      <c r="IV10">
        <v>6.4</v>
      </c>
      <c r="IW10">
        <v>-6</v>
      </c>
      <c r="IX10">
        <v>103</v>
      </c>
      <c r="IY10">
        <v>64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340</v>
      </c>
      <c r="JJ10">
        <v>312</v>
      </c>
      <c r="JK10">
        <v>235</v>
      </c>
      <c r="JL10">
        <v>312</v>
      </c>
      <c r="JM10">
        <v>250</v>
      </c>
      <c r="JN10">
        <v>210</v>
      </c>
      <c r="JO10">
        <v>244</v>
      </c>
      <c r="JP10">
        <v>210</v>
      </c>
      <c r="JQ10">
        <v>260</v>
      </c>
      <c r="JR10">
        <v>325</v>
      </c>
      <c r="JS10">
        <v>285</v>
      </c>
      <c r="JT10">
        <v>0</v>
      </c>
      <c r="JU10">
        <v>0</v>
      </c>
      <c r="JV10">
        <v>306</v>
      </c>
      <c r="JW10">
        <v>310</v>
      </c>
      <c r="JX10">
        <v>310</v>
      </c>
      <c r="JY10">
        <v>293</v>
      </c>
      <c r="JZ10">
        <v>0.5</v>
      </c>
      <c r="KA10">
        <v>0.2</v>
      </c>
      <c r="KB10">
        <v>0.4</v>
      </c>
      <c r="KC10">
        <v>0.5</v>
      </c>
      <c r="KD10">
        <v>0.28</v>
      </c>
      <c r="KE10">
        <v>0.7</v>
      </c>
      <c r="KF10">
        <v>0.2</v>
      </c>
      <c r="KG10">
        <v>0.1</v>
      </c>
      <c r="KH10">
        <v>3.5</v>
      </c>
      <c r="KI10">
        <v>0.5</v>
      </c>
      <c r="KJ10">
        <v>6.5</v>
      </c>
      <c r="KK10">
        <v>1</v>
      </c>
      <c r="KL10">
        <v>6.5</v>
      </c>
      <c r="KM10">
        <v>3</v>
      </c>
      <c r="KN10">
        <v>1.6</v>
      </c>
      <c r="KO10">
        <v>0</v>
      </c>
      <c r="KP10">
        <v>0</v>
      </c>
      <c r="KQ10">
        <v>1</v>
      </c>
      <c r="KR10">
        <v>1.2</v>
      </c>
      <c r="KS10">
        <v>0</v>
      </c>
      <c r="KT10">
        <v>3</v>
      </c>
      <c r="KU10">
        <v>0</v>
      </c>
      <c r="KV10">
        <v>0</v>
      </c>
      <c r="KW10">
        <v>1</v>
      </c>
      <c r="KX10">
        <v>2</v>
      </c>
      <c r="KY10">
        <v>1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2.5</v>
      </c>
      <c r="LJ10">
        <v>0</v>
      </c>
      <c r="LK10">
        <v>4</v>
      </c>
      <c r="LL10">
        <v>5</v>
      </c>
      <c r="LM10">
        <v>6</v>
      </c>
      <c r="LN10">
        <v>0.3</v>
      </c>
      <c r="LO10">
        <v>0.5</v>
      </c>
      <c r="LP10">
        <v>0</v>
      </c>
      <c r="LQ10">
        <v>0</v>
      </c>
      <c r="LR10">
        <v>0</v>
      </c>
      <c r="LS10">
        <v>1</v>
      </c>
      <c r="LT10">
        <v>0</v>
      </c>
      <c r="LU10">
        <v>0</v>
      </c>
      <c r="LV10">
        <v>0</v>
      </c>
      <c r="LW10">
        <v>1.4</v>
      </c>
      <c r="LX10">
        <v>1.4</v>
      </c>
      <c r="LY10">
        <v>1.7</v>
      </c>
      <c r="LZ10">
        <v>1.7</v>
      </c>
      <c r="MA10">
        <v>0</v>
      </c>
      <c r="MB10">
        <v>4.5</v>
      </c>
      <c r="MC10">
        <v>0</v>
      </c>
      <c r="MD10">
        <v>4.5</v>
      </c>
      <c r="ME10">
        <v>6</v>
      </c>
      <c r="MF10">
        <v>6</v>
      </c>
      <c r="MG10">
        <v>20</v>
      </c>
      <c r="MH10">
        <v>20</v>
      </c>
      <c r="MI10">
        <v>0</v>
      </c>
      <c r="MJ10">
        <v>0</v>
      </c>
      <c r="MK10">
        <v>0</v>
      </c>
      <c r="ML10">
        <v>0</v>
      </c>
      <c r="MM10">
        <v>358</v>
      </c>
      <c r="MN10">
        <v>185</v>
      </c>
      <c r="MO10">
        <v>248</v>
      </c>
      <c r="NU10">
        <v>0.15</v>
      </c>
      <c r="NV10">
        <v>0.25</v>
      </c>
      <c r="NW10">
        <v>0.3</v>
      </c>
      <c r="NX10">
        <v>0.2</v>
      </c>
      <c r="NY10">
        <v>0.2</v>
      </c>
      <c r="NZ10">
        <v>0.2</v>
      </c>
      <c r="OE10" t="s">
        <v>4149</v>
      </c>
      <c r="OF10" t="s">
        <v>4147</v>
      </c>
      <c r="OG10" t="s">
        <v>4148</v>
      </c>
      <c r="OH10" t="s">
        <v>4043</v>
      </c>
      <c r="OI10" t="s">
        <v>4149</v>
      </c>
      <c r="OJ10" t="s">
        <v>4146</v>
      </c>
      <c r="OK10">
        <v>61</v>
      </c>
      <c r="OL10">
        <v>61</v>
      </c>
      <c r="OM10" t="s">
        <v>4147</v>
      </c>
      <c r="ON10">
        <v>2</v>
      </c>
      <c r="OO10">
        <v>1858</v>
      </c>
      <c r="OP10">
        <v>61</v>
      </c>
      <c r="OQ10">
        <v>61</v>
      </c>
      <c r="OR10" t="s">
        <v>4148</v>
      </c>
      <c r="OS10">
        <v>2</v>
      </c>
      <c r="OT10">
        <v>1865</v>
      </c>
      <c r="OU10">
        <v>65</v>
      </c>
      <c r="OV10">
        <v>65</v>
      </c>
      <c r="OW10" t="s">
        <v>4043</v>
      </c>
      <c r="OX10">
        <v>2</v>
      </c>
      <c r="OY10">
        <v>43178</v>
      </c>
      <c r="OZ10">
        <v>51</v>
      </c>
      <c r="PA10">
        <v>51</v>
      </c>
      <c r="PB10" t="s">
        <v>4149</v>
      </c>
      <c r="PC10">
        <v>1</v>
      </c>
      <c r="PD10">
        <v>1896</v>
      </c>
      <c r="PF10">
        <v>366</v>
      </c>
      <c r="PG10">
        <v>29</v>
      </c>
      <c r="PH10">
        <v>347</v>
      </c>
      <c r="PI10">
        <v>29</v>
      </c>
      <c r="PJ10">
        <v>85.90000000000001</v>
      </c>
      <c r="PK10">
        <v>1649</v>
      </c>
      <c r="PL10">
        <v>1091.6</v>
      </c>
      <c r="PM10">
        <v>351.3</v>
      </c>
      <c r="PN10">
        <v>97</v>
      </c>
      <c r="PO10">
        <v>7.7</v>
      </c>
      <c r="PP10">
        <v>12</v>
      </c>
      <c r="PQ10">
        <v>2</v>
      </c>
      <c r="PR10">
        <v>1</v>
      </c>
      <c r="PS10">
        <v>7</v>
      </c>
      <c r="PT10">
        <v>238</v>
      </c>
      <c r="PU10">
        <v>12</v>
      </c>
      <c r="PV10" t="s">
        <v>4072</v>
      </c>
      <c r="PW10" t="s">
        <v>4072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-1</v>
      </c>
      <c r="QF10">
        <v>1</v>
      </c>
      <c r="QG10">
        <v>0</v>
      </c>
      <c r="QH10">
        <v>5</v>
      </c>
      <c r="QI10">
        <v>5</v>
      </c>
      <c r="QJ10">
        <v>5</v>
      </c>
      <c r="QK10">
        <v>164</v>
      </c>
      <c r="QL10">
        <v>372</v>
      </c>
      <c r="QM10">
        <v>7.5</v>
      </c>
      <c r="QN10">
        <v>1381.4</v>
      </c>
      <c r="QO10" t="s">
        <v>556</v>
      </c>
      <c r="QP10" t="s">
        <v>513</v>
      </c>
      <c r="QQ10">
        <v>0</v>
      </c>
      <c r="QR10" t="s">
        <v>649</v>
      </c>
      <c r="QS10">
        <v>30</v>
      </c>
      <c r="QT10">
        <v>40</v>
      </c>
    </row>
    <row r="11" spans="1:462">
      <c r="A11" t="s">
        <v>757</v>
      </c>
      <c r="B11" t="s">
        <v>629</v>
      </c>
      <c r="C11" t="s">
        <v>509</v>
      </c>
      <c r="D11" t="s">
        <v>728</v>
      </c>
      <c r="E11" t="s">
        <v>4036</v>
      </c>
      <c r="H11" t="s">
        <v>604</v>
      </c>
      <c r="I11" t="s">
        <v>605</v>
      </c>
      <c r="J11" t="s">
        <v>628</v>
      </c>
      <c r="K11" t="s">
        <v>606</v>
      </c>
      <c r="L11" t="s">
        <v>711</v>
      </c>
      <c r="M11" t="s">
        <v>512</v>
      </c>
      <c r="O11" t="s">
        <v>513</v>
      </c>
      <c r="P11" t="s">
        <v>567</v>
      </c>
      <c r="Q11" t="s">
        <v>758</v>
      </c>
      <c r="R11" t="s">
        <v>759</v>
      </c>
      <c r="S11" t="s">
        <v>4037</v>
      </c>
      <c r="T11" t="s">
        <v>662</v>
      </c>
      <c r="U11" t="s">
        <v>663</v>
      </c>
      <c r="V11" t="s">
        <v>760</v>
      </c>
      <c r="W11" t="s">
        <v>573</v>
      </c>
      <c r="X11" t="s">
        <v>761</v>
      </c>
      <c r="Y11" t="s">
        <v>762</v>
      </c>
      <c r="Z11" t="s">
        <v>541</v>
      </c>
      <c r="AA11" t="s">
        <v>4038</v>
      </c>
      <c r="AB11" t="s">
        <v>4151</v>
      </c>
      <c r="AC11">
        <v>9</v>
      </c>
      <c r="AD11" t="s">
        <v>755</v>
      </c>
      <c r="AE11">
        <v>4</v>
      </c>
      <c r="AF11">
        <v>5151</v>
      </c>
      <c r="AG11" t="s">
        <v>4152</v>
      </c>
      <c r="AH11">
        <v>1</v>
      </c>
      <c r="AI11" t="s">
        <v>4041</v>
      </c>
      <c r="AK11" t="s">
        <v>4153</v>
      </c>
      <c r="AL11">
        <v>1</v>
      </c>
      <c r="AM11" t="s">
        <v>582</v>
      </c>
      <c r="AO11" t="s">
        <v>4043</v>
      </c>
      <c r="AP11">
        <v>1</v>
      </c>
      <c r="AR11" t="s">
        <v>4154</v>
      </c>
      <c r="AS11">
        <v>1</v>
      </c>
      <c r="AT11">
        <v>52</v>
      </c>
      <c r="AV11" t="s">
        <v>4078</v>
      </c>
      <c r="AW11">
        <v>6.4</v>
      </c>
      <c r="AX11">
        <v>-6</v>
      </c>
      <c r="AY11">
        <v>98.5</v>
      </c>
      <c r="AZ11">
        <v>75</v>
      </c>
      <c r="BH11">
        <v>98.5</v>
      </c>
      <c r="BI11">
        <v>23.5</v>
      </c>
      <c r="BJ11">
        <v>75</v>
      </c>
      <c r="BK11">
        <v>3.5</v>
      </c>
      <c r="BL11">
        <v>197</v>
      </c>
      <c r="BM11">
        <v>-6</v>
      </c>
      <c r="BN11">
        <v>0</v>
      </c>
      <c r="BO11">
        <v>0</v>
      </c>
      <c r="BP11">
        <v>0</v>
      </c>
      <c r="BR11">
        <v>190</v>
      </c>
      <c r="BS11">
        <v>180</v>
      </c>
      <c r="BT11">
        <v>2030</v>
      </c>
      <c r="BU11" t="s">
        <v>4096</v>
      </c>
      <c r="BV11" t="s">
        <v>4096</v>
      </c>
      <c r="BW11" t="s">
        <v>4097</v>
      </c>
      <c r="BX11" t="s">
        <v>4097</v>
      </c>
      <c r="BY11" t="s">
        <v>4116</v>
      </c>
      <c r="BZ11" t="s">
        <v>4116</v>
      </c>
      <c r="CA11" t="s">
        <v>4118</v>
      </c>
      <c r="CB11" t="s">
        <v>4119</v>
      </c>
      <c r="CC11" t="s">
        <v>4053</v>
      </c>
      <c r="CD11" t="s">
        <v>4121</v>
      </c>
      <c r="CE11" t="s">
        <v>4055</v>
      </c>
      <c r="CF11" t="s">
        <v>4055</v>
      </c>
      <c r="CG11" t="s">
        <v>4056</v>
      </c>
      <c r="CI11" t="s">
        <v>4058</v>
      </c>
      <c r="CJ11" t="s">
        <v>4059</v>
      </c>
      <c r="CK11" t="s">
        <v>4060</v>
      </c>
      <c r="CL11" t="s">
        <v>4061</v>
      </c>
      <c r="CM11" t="s">
        <v>4055</v>
      </c>
      <c r="CN11" t="s">
        <v>4062</v>
      </c>
      <c r="CO11" t="s">
        <v>4063</v>
      </c>
      <c r="CP11" t="s">
        <v>4055</v>
      </c>
      <c r="CQ11" t="s">
        <v>4055</v>
      </c>
      <c r="CR11">
        <v>5</v>
      </c>
      <c r="CS11" t="s">
        <v>4055</v>
      </c>
      <c r="CT11" t="s">
        <v>4055</v>
      </c>
      <c r="CU11" t="s">
        <v>4055</v>
      </c>
      <c r="CV11">
        <v>120</v>
      </c>
      <c r="CW11">
        <v>3</v>
      </c>
      <c r="CX11">
        <v>85</v>
      </c>
      <c r="CY11">
        <v>5</v>
      </c>
      <c r="CZ11">
        <v>136</v>
      </c>
      <c r="DA11">
        <v>5</v>
      </c>
      <c r="DB11">
        <v>10850</v>
      </c>
      <c r="DC11">
        <v>320</v>
      </c>
      <c r="DD11">
        <v>313</v>
      </c>
      <c r="DE11">
        <v>2141</v>
      </c>
      <c r="DF11">
        <v>2141</v>
      </c>
      <c r="DG11">
        <v>2151</v>
      </c>
      <c r="DH11" t="s">
        <v>4055</v>
      </c>
      <c r="DI11" t="s">
        <v>4055</v>
      </c>
      <c r="DJ11" t="s">
        <v>4132</v>
      </c>
      <c r="DK11">
        <v>190</v>
      </c>
      <c r="DL11" t="s">
        <v>4065</v>
      </c>
      <c r="DM11">
        <v>65</v>
      </c>
      <c r="DN11">
        <v>1.1</v>
      </c>
      <c r="DO11">
        <v>1</v>
      </c>
      <c r="DP11">
        <v>2033</v>
      </c>
      <c r="DQ11">
        <v>836</v>
      </c>
      <c r="DR11" t="s">
        <v>4132</v>
      </c>
      <c r="DS11">
        <v>180</v>
      </c>
      <c r="DT11" t="s">
        <v>4065</v>
      </c>
      <c r="DU11">
        <v>65</v>
      </c>
      <c r="DV11">
        <v>1.1</v>
      </c>
      <c r="DW11">
        <v>1</v>
      </c>
      <c r="DX11">
        <v>2045</v>
      </c>
      <c r="DY11">
        <v>796</v>
      </c>
      <c r="DZ11" t="s">
        <v>4066</v>
      </c>
      <c r="EA11">
        <v>20</v>
      </c>
      <c r="EB11" t="s">
        <v>4065</v>
      </c>
      <c r="EC11">
        <v>0.8</v>
      </c>
      <c r="ED11">
        <v>2033</v>
      </c>
      <c r="EE11">
        <v>71</v>
      </c>
      <c r="EG11">
        <v>0</v>
      </c>
      <c r="EH11" t="s">
        <v>4065</v>
      </c>
      <c r="EI11">
        <v>0</v>
      </c>
      <c r="EL11" t="s">
        <v>1528</v>
      </c>
      <c r="EM11">
        <v>12</v>
      </c>
      <c r="EN11">
        <v>0.5</v>
      </c>
      <c r="EO11">
        <v>0.96</v>
      </c>
      <c r="EP11">
        <v>2043.83</v>
      </c>
      <c r="EQ11">
        <v>33371.91</v>
      </c>
      <c r="ER11">
        <v>7526.84</v>
      </c>
      <c r="ES11">
        <v>0</v>
      </c>
      <c r="ET11">
        <v>0</v>
      </c>
      <c r="EU11">
        <v>1</v>
      </c>
      <c r="EV11">
        <v>40899</v>
      </c>
      <c r="EW11">
        <v>491</v>
      </c>
      <c r="EX11" t="s">
        <v>4088</v>
      </c>
      <c r="EY11">
        <v>210</v>
      </c>
      <c r="EZ11" t="s">
        <v>4055</v>
      </c>
      <c r="FA11">
        <v>6.7</v>
      </c>
      <c r="FB11">
        <v>1</v>
      </c>
      <c r="FC11">
        <v>1</v>
      </c>
      <c r="FD11">
        <v>2078</v>
      </c>
      <c r="FE11">
        <v>2388</v>
      </c>
      <c r="FF11" t="s">
        <v>4089</v>
      </c>
      <c r="FG11">
        <v>210</v>
      </c>
      <c r="FH11" t="s">
        <v>4055</v>
      </c>
      <c r="FI11">
        <v>1.8</v>
      </c>
      <c r="FJ11">
        <v>2078</v>
      </c>
      <c r="FK11">
        <v>801</v>
      </c>
      <c r="FL11" t="s">
        <v>4069</v>
      </c>
      <c r="FM11" t="s">
        <v>4055</v>
      </c>
      <c r="FN11" t="s">
        <v>4055</v>
      </c>
      <c r="FO11" t="s">
        <v>4055</v>
      </c>
      <c r="FP11">
        <v>2078</v>
      </c>
      <c r="FQ11">
        <v>99</v>
      </c>
      <c r="FR11" t="s">
        <v>4090</v>
      </c>
      <c r="FS11">
        <v>214</v>
      </c>
      <c r="FT11" t="s">
        <v>4055</v>
      </c>
      <c r="FU11">
        <v>0.4</v>
      </c>
      <c r="FV11">
        <v>2078</v>
      </c>
      <c r="FW11">
        <v>198</v>
      </c>
      <c r="FX11" t="s">
        <v>4070</v>
      </c>
      <c r="FY11">
        <v>5</v>
      </c>
      <c r="FZ11" t="s">
        <v>4055</v>
      </c>
      <c r="GA11" t="s">
        <v>4055</v>
      </c>
      <c r="GB11">
        <v>2078</v>
      </c>
      <c r="GC11">
        <v>19</v>
      </c>
      <c r="GD11">
        <v>3505</v>
      </c>
      <c r="GE11" t="s">
        <v>4154</v>
      </c>
      <c r="GF11" t="s">
        <v>4055</v>
      </c>
      <c r="GG11" t="s">
        <v>4055</v>
      </c>
      <c r="GH11" t="s">
        <v>4055</v>
      </c>
      <c r="GI11" t="s">
        <v>4071</v>
      </c>
      <c r="GJ11" t="s">
        <v>4055</v>
      </c>
      <c r="GK11" t="s">
        <v>4055</v>
      </c>
      <c r="GL11" t="s">
        <v>4055</v>
      </c>
      <c r="GM11" t="s">
        <v>4055</v>
      </c>
      <c r="GQ11">
        <v>0</v>
      </c>
      <c r="GV11">
        <v>8.9</v>
      </c>
      <c r="GW11">
        <v>7.4</v>
      </c>
      <c r="GX11">
        <v>0.5</v>
      </c>
      <c r="GY11">
        <v>180</v>
      </c>
      <c r="GZ11">
        <v>3</v>
      </c>
      <c r="HA11">
        <v>230</v>
      </c>
      <c r="HB11">
        <v>3</v>
      </c>
      <c r="HC11">
        <v>2078</v>
      </c>
      <c r="HD11">
        <v>4</v>
      </c>
      <c r="HE11" t="s">
        <v>4071</v>
      </c>
      <c r="HG11" t="s">
        <v>549</v>
      </c>
      <c r="HL11">
        <v>4</v>
      </c>
      <c r="HM11">
        <v>18</v>
      </c>
      <c r="HN11">
        <v>6</v>
      </c>
      <c r="HO11">
        <v>1</v>
      </c>
      <c r="HP11">
        <v>0</v>
      </c>
      <c r="HQ11">
        <v>0</v>
      </c>
      <c r="HR11">
        <v>3</v>
      </c>
      <c r="HS11">
        <v>2030</v>
      </c>
      <c r="HT11">
        <v>5</v>
      </c>
      <c r="HU11">
        <v>1</v>
      </c>
      <c r="HV11">
        <v>3</v>
      </c>
      <c r="HW11">
        <v>0</v>
      </c>
      <c r="HX11">
        <v>1</v>
      </c>
      <c r="HY11">
        <v>0</v>
      </c>
      <c r="HZ11">
        <v>65</v>
      </c>
      <c r="IA11">
        <v>2033</v>
      </c>
      <c r="IB11">
        <v>2045</v>
      </c>
      <c r="ID11">
        <v>2078</v>
      </c>
      <c r="IE11">
        <v>2078</v>
      </c>
      <c r="IF11">
        <v>190</v>
      </c>
      <c r="IG11">
        <v>180</v>
      </c>
      <c r="IH11">
        <v>230</v>
      </c>
      <c r="II11">
        <v>1</v>
      </c>
      <c r="IJ11">
        <v>5</v>
      </c>
      <c r="IK11">
        <v>0</v>
      </c>
      <c r="IL11">
        <v>0</v>
      </c>
      <c r="IM11">
        <v>0</v>
      </c>
      <c r="IN11">
        <v>270</v>
      </c>
      <c r="IO11">
        <v>0</v>
      </c>
      <c r="IP11">
        <v>180</v>
      </c>
      <c r="IQ11">
        <v>0</v>
      </c>
      <c r="IR11">
        <v>330</v>
      </c>
      <c r="IS11">
        <v>0</v>
      </c>
      <c r="IT11">
        <v>90</v>
      </c>
      <c r="IU11">
        <v>0</v>
      </c>
      <c r="IV11">
        <v>6.4</v>
      </c>
      <c r="IW11">
        <v>-6</v>
      </c>
      <c r="IX11">
        <v>98.5</v>
      </c>
      <c r="IY11">
        <v>75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368</v>
      </c>
      <c r="JJ11">
        <v>338</v>
      </c>
      <c r="JK11">
        <v>245</v>
      </c>
      <c r="JL11">
        <v>336</v>
      </c>
      <c r="JM11">
        <v>260</v>
      </c>
      <c r="JN11">
        <v>190</v>
      </c>
      <c r="JO11">
        <v>240</v>
      </c>
      <c r="JP11">
        <v>200</v>
      </c>
      <c r="JQ11">
        <v>250</v>
      </c>
      <c r="JR11">
        <v>315</v>
      </c>
      <c r="JS11">
        <v>230</v>
      </c>
      <c r="JT11">
        <v>0</v>
      </c>
      <c r="JU11">
        <v>0</v>
      </c>
      <c r="JV11">
        <v>315</v>
      </c>
      <c r="JW11">
        <v>315</v>
      </c>
      <c r="JX11">
        <v>310</v>
      </c>
      <c r="JY11">
        <v>305</v>
      </c>
      <c r="JZ11">
        <v>1</v>
      </c>
      <c r="KA11">
        <v>0.25</v>
      </c>
      <c r="KB11">
        <v>0.4</v>
      </c>
      <c r="KC11">
        <v>0.42</v>
      </c>
      <c r="KD11">
        <v>0.28</v>
      </c>
      <c r="KE11">
        <v>0.5</v>
      </c>
      <c r="KF11">
        <v>0.18</v>
      </c>
      <c r="KG11">
        <v>0.1</v>
      </c>
      <c r="KH11">
        <v>3.5</v>
      </c>
      <c r="KI11">
        <v>1</v>
      </c>
      <c r="KJ11">
        <v>4.5</v>
      </c>
      <c r="KK11">
        <v>0.5</v>
      </c>
      <c r="KL11">
        <v>4.5</v>
      </c>
      <c r="KM11">
        <v>0.5</v>
      </c>
      <c r="KN11">
        <v>1.5</v>
      </c>
      <c r="KO11">
        <v>0</v>
      </c>
      <c r="KP11">
        <v>0</v>
      </c>
      <c r="KQ11">
        <v>1</v>
      </c>
      <c r="KR11">
        <v>0.8</v>
      </c>
      <c r="KS11">
        <v>0</v>
      </c>
      <c r="KT11">
        <v>3</v>
      </c>
      <c r="KU11">
        <v>0</v>
      </c>
      <c r="KV11">
        <v>0</v>
      </c>
      <c r="KW11">
        <v>0.8</v>
      </c>
      <c r="KX11">
        <v>2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2</v>
      </c>
      <c r="LI11">
        <v>1</v>
      </c>
      <c r="LJ11">
        <v>0</v>
      </c>
      <c r="LK11">
        <v>7</v>
      </c>
      <c r="LL11">
        <v>7</v>
      </c>
      <c r="LM11">
        <v>5</v>
      </c>
      <c r="LN11">
        <v>0.5</v>
      </c>
      <c r="LO11">
        <v>0.3</v>
      </c>
      <c r="LP11">
        <v>0</v>
      </c>
      <c r="LQ11">
        <v>0</v>
      </c>
      <c r="LR11">
        <v>0</v>
      </c>
      <c r="LS11">
        <v>1</v>
      </c>
      <c r="LT11">
        <v>0</v>
      </c>
      <c r="LU11">
        <v>0</v>
      </c>
      <c r="LV11">
        <v>0</v>
      </c>
      <c r="LW11">
        <v>1.7</v>
      </c>
      <c r="LX11">
        <v>1.7</v>
      </c>
      <c r="LY11">
        <v>2.1</v>
      </c>
      <c r="LZ11">
        <v>2.1</v>
      </c>
      <c r="MA11">
        <v>0</v>
      </c>
      <c r="MB11">
        <v>8</v>
      </c>
      <c r="MC11">
        <v>0</v>
      </c>
      <c r="MD11">
        <v>4.5</v>
      </c>
      <c r="ME11">
        <v>6</v>
      </c>
      <c r="MF11">
        <v>6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390</v>
      </c>
      <c r="MN11">
        <v>190</v>
      </c>
      <c r="MO11">
        <v>240</v>
      </c>
      <c r="NU11">
        <v>0.15</v>
      </c>
      <c r="NV11">
        <v>0.2</v>
      </c>
      <c r="NW11">
        <v>0.2</v>
      </c>
      <c r="NX11">
        <v>0.2</v>
      </c>
      <c r="NY11">
        <v>0.2</v>
      </c>
      <c r="NZ11">
        <v>0.2</v>
      </c>
      <c r="OE11" t="s">
        <v>4154</v>
      </c>
      <c r="OF11" t="s">
        <v>4152</v>
      </c>
      <c r="OG11" t="s">
        <v>4153</v>
      </c>
      <c r="OH11" t="s">
        <v>4043</v>
      </c>
      <c r="OI11" t="s">
        <v>4154</v>
      </c>
      <c r="OJ11" t="s">
        <v>4151</v>
      </c>
      <c r="OK11">
        <v>61</v>
      </c>
      <c r="OL11">
        <v>61</v>
      </c>
      <c r="OM11" t="s">
        <v>4152</v>
      </c>
      <c r="ON11">
        <v>1</v>
      </c>
      <c r="OO11">
        <v>2033</v>
      </c>
      <c r="OP11">
        <v>61</v>
      </c>
      <c r="OQ11">
        <v>61</v>
      </c>
      <c r="OR11" t="s">
        <v>4153</v>
      </c>
      <c r="OS11">
        <v>1</v>
      </c>
      <c r="OT11">
        <v>2045</v>
      </c>
      <c r="OU11">
        <v>65</v>
      </c>
      <c r="OV11">
        <v>65</v>
      </c>
      <c r="OW11" t="s">
        <v>4043</v>
      </c>
      <c r="OX11">
        <v>2</v>
      </c>
      <c r="OY11">
        <v>40899</v>
      </c>
      <c r="OZ11">
        <v>51</v>
      </c>
      <c r="PA11">
        <v>52</v>
      </c>
      <c r="PB11" t="s">
        <v>4154</v>
      </c>
      <c r="PC11">
        <v>2</v>
      </c>
      <c r="PD11">
        <v>2078</v>
      </c>
      <c r="PF11">
        <v>411</v>
      </c>
      <c r="PG11">
        <v>35</v>
      </c>
      <c r="PH11">
        <v>389</v>
      </c>
      <c r="PI11">
        <v>0</v>
      </c>
      <c r="PJ11">
        <v>47.8</v>
      </c>
      <c r="PK11">
        <v>1692</v>
      </c>
      <c r="PL11">
        <v>1149.3</v>
      </c>
      <c r="PM11">
        <v>385.5</v>
      </c>
      <c r="PN11">
        <v>95.2</v>
      </c>
      <c r="PO11">
        <v>9</v>
      </c>
      <c r="PP11">
        <v>12</v>
      </c>
      <c r="PQ11">
        <v>3</v>
      </c>
      <c r="PR11">
        <v>3</v>
      </c>
      <c r="PS11">
        <v>0</v>
      </c>
      <c r="PT11">
        <v>230</v>
      </c>
      <c r="PU11">
        <v>10</v>
      </c>
      <c r="PV11" t="s">
        <v>4072</v>
      </c>
      <c r="PW11" t="s">
        <v>4072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-1</v>
      </c>
      <c r="QF11">
        <v>1</v>
      </c>
      <c r="QG11">
        <v>0</v>
      </c>
      <c r="QH11">
        <v>5</v>
      </c>
      <c r="QI11">
        <v>5</v>
      </c>
      <c r="QJ11">
        <v>5</v>
      </c>
      <c r="QK11">
        <v>179</v>
      </c>
      <c r="QL11">
        <v>402</v>
      </c>
      <c r="QM11">
        <v>7.5</v>
      </c>
      <c r="QN11">
        <v>1464.3</v>
      </c>
      <c r="QO11" t="s">
        <v>556</v>
      </c>
      <c r="QP11" t="s">
        <v>513</v>
      </c>
      <c r="QQ11">
        <v>0</v>
      </c>
      <c r="QR11" t="s">
        <v>621</v>
      </c>
      <c r="QS11">
        <v>30</v>
      </c>
      <c r="QT11">
        <v>40</v>
      </c>
    </row>
    <row r="12" spans="1:462">
      <c r="A12" t="s">
        <v>773</v>
      </c>
      <c r="B12" t="s">
        <v>564</v>
      </c>
      <c r="C12" t="s">
        <v>509</v>
      </c>
      <c r="D12" t="s">
        <v>4155</v>
      </c>
      <c r="E12" t="s">
        <v>4036</v>
      </c>
      <c r="H12" t="s">
        <v>627</v>
      </c>
      <c r="I12" t="s">
        <v>604</v>
      </c>
      <c r="J12" t="s">
        <v>628</v>
      </c>
      <c r="K12" t="s">
        <v>606</v>
      </c>
      <c r="L12" t="s">
        <v>629</v>
      </c>
      <c r="M12" t="s">
        <v>512</v>
      </c>
      <c r="O12" t="s">
        <v>513</v>
      </c>
      <c r="P12" t="s">
        <v>567</v>
      </c>
      <c r="Q12" t="s">
        <v>774</v>
      </c>
      <c r="R12" t="s">
        <v>661</v>
      </c>
      <c r="S12" t="s">
        <v>4037</v>
      </c>
      <c r="T12" t="s">
        <v>686</v>
      </c>
      <c r="U12" t="s">
        <v>687</v>
      </c>
      <c r="V12" t="s">
        <v>715</v>
      </c>
      <c r="W12" t="s">
        <v>573</v>
      </c>
      <c r="X12" t="s">
        <v>775</v>
      </c>
      <c r="Y12" t="s">
        <v>776</v>
      </c>
      <c r="Z12" t="s">
        <v>650</v>
      </c>
      <c r="AA12" t="s">
        <v>4038</v>
      </c>
      <c r="AB12" t="s">
        <v>4156</v>
      </c>
      <c r="AC12">
        <v>9</v>
      </c>
      <c r="AD12" t="s">
        <v>771</v>
      </c>
      <c r="AE12">
        <v>5</v>
      </c>
      <c r="AF12">
        <v>5722</v>
      </c>
      <c r="AG12" t="s">
        <v>4157</v>
      </c>
      <c r="AH12">
        <v>1</v>
      </c>
      <c r="AI12" t="s">
        <v>4041</v>
      </c>
      <c r="AK12" t="s">
        <v>4158</v>
      </c>
      <c r="AL12">
        <v>1</v>
      </c>
      <c r="AM12" t="s">
        <v>582</v>
      </c>
      <c r="AO12" t="s">
        <v>4043</v>
      </c>
      <c r="AP12">
        <v>1</v>
      </c>
      <c r="AR12" t="s">
        <v>4159</v>
      </c>
      <c r="AS12">
        <v>1</v>
      </c>
      <c r="AT12">
        <v>52</v>
      </c>
      <c r="AV12" t="s">
        <v>4078</v>
      </c>
      <c r="AW12">
        <v>6.4</v>
      </c>
      <c r="AX12">
        <v>-6</v>
      </c>
      <c r="AY12">
        <v>106</v>
      </c>
      <c r="AZ12">
        <v>72</v>
      </c>
      <c r="BH12">
        <v>106</v>
      </c>
      <c r="BI12">
        <v>34</v>
      </c>
      <c r="BJ12">
        <v>72</v>
      </c>
      <c r="BK12">
        <v>3.5</v>
      </c>
      <c r="BL12">
        <v>212</v>
      </c>
      <c r="BM12">
        <v>-6</v>
      </c>
      <c r="BN12">
        <v>0</v>
      </c>
      <c r="BP12">
        <v>0</v>
      </c>
      <c r="BR12">
        <v>205</v>
      </c>
      <c r="BS12">
        <v>195</v>
      </c>
      <c r="BT12">
        <v>2145</v>
      </c>
      <c r="BU12" t="s">
        <v>4127</v>
      </c>
      <c r="BV12" t="s">
        <v>4127</v>
      </c>
      <c r="BW12" t="s">
        <v>4128</v>
      </c>
      <c r="BX12" t="s">
        <v>4128</v>
      </c>
      <c r="BY12" t="s">
        <v>4160</v>
      </c>
      <c r="BZ12" t="s">
        <v>4160</v>
      </c>
      <c r="CA12" t="s">
        <v>4130</v>
      </c>
      <c r="CB12" t="s">
        <v>4131</v>
      </c>
      <c r="CC12" t="s">
        <v>4053</v>
      </c>
      <c r="CD12" t="s">
        <v>4055</v>
      </c>
      <c r="CE12" t="s">
        <v>4055</v>
      </c>
      <c r="CF12" t="s">
        <v>4055</v>
      </c>
      <c r="CG12" t="s">
        <v>4056</v>
      </c>
      <c r="CI12" t="s">
        <v>4086</v>
      </c>
      <c r="CJ12" t="s">
        <v>4059</v>
      </c>
      <c r="CK12" t="s">
        <v>4060</v>
      </c>
      <c r="CL12" t="s">
        <v>4061</v>
      </c>
      <c r="CM12" t="s">
        <v>4062</v>
      </c>
      <c r="CN12" t="s">
        <v>4055</v>
      </c>
      <c r="CO12" t="s">
        <v>4063</v>
      </c>
      <c r="CP12" t="s">
        <v>4055</v>
      </c>
      <c r="CQ12" t="s">
        <v>4055</v>
      </c>
      <c r="CR12">
        <v>5</v>
      </c>
      <c r="CS12" t="s">
        <v>4055</v>
      </c>
      <c r="CT12" t="s">
        <v>4055</v>
      </c>
      <c r="CU12" t="s">
        <v>4055</v>
      </c>
      <c r="CV12">
        <v>133</v>
      </c>
      <c r="CW12">
        <v>3</v>
      </c>
      <c r="CX12">
        <v>115</v>
      </c>
      <c r="CY12">
        <v>5</v>
      </c>
      <c r="CZ12">
        <v>143</v>
      </c>
      <c r="DA12">
        <v>5</v>
      </c>
      <c r="DB12">
        <v>12320</v>
      </c>
      <c r="DC12">
        <v>190</v>
      </c>
      <c r="DD12">
        <v>322</v>
      </c>
      <c r="DE12">
        <v>2245</v>
      </c>
      <c r="DF12">
        <v>2245</v>
      </c>
      <c r="DG12">
        <v>2266</v>
      </c>
      <c r="DH12">
        <v>3</v>
      </c>
      <c r="DI12" t="s">
        <v>4055</v>
      </c>
      <c r="DJ12" t="s">
        <v>4100</v>
      </c>
      <c r="DK12">
        <v>205</v>
      </c>
      <c r="DL12" t="s">
        <v>4101</v>
      </c>
      <c r="DM12">
        <v>67</v>
      </c>
      <c r="DN12">
        <v>0.84</v>
      </c>
      <c r="DO12">
        <v>1</v>
      </c>
      <c r="DP12">
        <v>2148</v>
      </c>
      <c r="DQ12">
        <v>806</v>
      </c>
      <c r="DR12" t="s">
        <v>4100</v>
      </c>
      <c r="DS12">
        <v>195</v>
      </c>
      <c r="DT12" t="s">
        <v>4101</v>
      </c>
      <c r="DU12">
        <v>67</v>
      </c>
      <c r="DV12">
        <v>0.84</v>
      </c>
      <c r="DW12">
        <v>1</v>
      </c>
      <c r="DX12">
        <v>2155</v>
      </c>
      <c r="DY12">
        <v>767</v>
      </c>
      <c r="DZ12" t="s">
        <v>4066</v>
      </c>
      <c r="EA12">
        <v>33</v>
      </c>
      <c r="EB12" t="s">
        <v>4065</v>
      </c>
      <c r="EC12">
        <v>0.4</v>
      </c>
      <c r="ED12">
        <v>2148</v>
      </c>
      <c r="EE12">
        <v>62</v>
      </c>
      <c r="EF12" t="s">
        <v>4066</v>
      </c>
      <c r="EG12">
        <v>33</v>
      </c>
      <c r="EH12" t="s">
        <v>4065</v>
      </c>
      <c r="EI12">
        <v>0.4</v>
      </c>
      <c r="EJ12">
        <v>2155</v>
      </c>
      <c r="EK12">
        <v>62</v>
      </c>
      <c r="EL12" t="s">
        <v>1528</v>
      </c>
      <c r="EM12">
        <v>12</v>
      </c>
      <c r="EN12">
        <v>0.5</v>
      </c>
      <c r="EO12">
        <v>0.96</v>
      </c>
      <c r="EP12">
        <v>2155.56</v>
      </c>
      <c r="EQ12">
        <v>37722.3</v>
      </c>
      <c r="ER12">
        <v>11483.46</v>
      </c>
      <c r="ES12">
        <v>0</v>
      </c>
      <c r="ET12">
        <v>0</v>
      </c>
      <c r="EU12">
        <v>1</v>
      </c>
      <c r="EV12">
        <v>49206</v>
      </c>
      <c r="EW12">
        <v>591</v>
      </c>
      <c r="EX12" t="s">
        <v>4088</v>
      </c>
      <c r="EY12">
        <v>232</v>
      </c>
      <c r="EZ12" t="s">
        <v>4055</v>
      </c>
      <c r="FA12">
        <v>5.8</v>
      </c>
      <c r="FB12">
        <v>1</v>
      </c>
      <c r="FC12">
        <v>1</v>
      </c>
      <c r="FD12">
        <v>2187</v>
      </c>
      <c r="FE12">
        <v>2973</v>
      </c>
      <c r="FF12" t="s">
        <v>4089</v>
      </c>
      <c r="FG12">
        <v>232</v>
      </c>
      <c r="FH12" t="s">
        <v>4055</v>
      </c>
      <c r="FI12">
        <v>1.8</v>
      </c>
      <c r="FJ12">
        <v>2187</v>
      </c>
      <c r="FK12">
        <v>929</v>
      </c>
      <c r="FL12" t="s">
        <v>4069</v>
      </c>
      <c r="FM12" t="s">
        <v>4055</v>
      </c>
      <c r="FN12" t="s">
        <v>4055</v>
      </c>
      <c r="FO12" t="s">
        <v>4055</v>
      </c>
      <c r="FP12">
        <v>2187</v>
      </c>
      <c r="FQ12">
        <v>152</v>
      </c>
      <c r="FR12" t="s">
        <v>4090</v>
      </c>
      <c r="FS12">
        <v>236</v>
      </c>
      <c r="FT12" t="s">
        <v>4055</v>
      </c>
      <c r="FU12">
        <v>0.4</v>
      </c>
      <c r="FV12">
        <v>2187</v>
      </c>
      <c r="FW12">
        <v>230</v>
      </c>
      <c r="FX12" t="s">
        <v>4070</v>
      </c>
      <c r="FY12">
        <v>5</v>
      </c>
      <c r="FZ12" t="s">
        <v>4055</v>
      </c>
      <c r="GA12" t="s">
        <v>4055</v>
      </c>
      <c r="GB12">
        <v>2187</v>
      </c>
      <c r="GC12">
        <v>20</v>
      </c>
      <c r="GD12">
        <v>4304</v>
      </c>
      <c r="GE12" t="s">
        <v>4159</v>
      </c>
      <c r="GF12" t="s">
        <v>4055</v>
      </c>
      <c r="GG12" t="s">
        <v>4055</v>
      </c>
      <c r="GH12" t="s">
        <v>4055</v>
      </c>
      <c r="GI12" t="s">
        <v>4071</v>
      </c>
      <c r="GJ12" t="s">
        <v>4055</v>
      </c>
      <c r="GK12" t="s">
        <v>4055</v>
      </c>
      <c r="GL12" t="s">
        <v>4055</v>
      </c>
      <c r="GM12" t="s">
        <v>4055</v>
      </c>
      <c r="GQ12">
        <v>0</v>
      </c>
      <c r="GV12">
        <v>8</v>
      </c>
      <c r="GW12">
        <v>7.8</v>
      </c>
      <c r="GX12">
        <v>0.5</v>
      </c>
      <c r="GY12">
        <v>200</v>
      </c>
      <c r="GZ12">
        <v>3</v>
      </c>
      <c r="HA12">
        <v>252</v>
      </c>
      <c r="HB12">
        <v>3</v>
      </c>
      <c r="HC12">
        <v>2187</v>
      </c>
      <c r="HD12">
        <v>4</v>
      </c>
      <c r="HE12" t="s">
        <v>4071</v>
      </c>
      <c r="HG12" t="s">
        <v>549</v>
      </c>
      <c r="HL12">
        <v>4</v>
      </c>
      <c r="HM12">
        <v>19</v>
      </c>
      <c r="HN12">
        <v>1</v>
      </c>
      <c r="HO12">
        <v>1</v>
      </c>
      <c r="HP12">
        <v>0</v>
      </c>
      <c r="HQ12">
        <v>0</v>
      </c>
      <c r="HR12">
        <v>2</v>
      </c>
      <c r="HS12">
        <v>2145</v>
      </c>
      <c r="HT12">
        <v>5</v>
      </c>
      <c r="HU12">
        <v>1</v>
      </c>
      <c r="HV12">
        <v>3</v>
      </c>
      <c r="HW12">
        <v>0</v>
      </c>
      <c r="HX12">
        <v>1</v>
      </c>
      <c r="HY12">
        <v>0</v>
      </c>
      <c r="HZ12">
        <v>67</v>
      </c>
      <c r="IA12">
        <v>2148</v>
      </c>
      <c r="IB12">
        <v>2155</v>
      </c>
      <c r="ID12">
        <v>2187</v>
      </c>
      <c r="IE12">
        <v>2187</v>
      </c>
      <c r="IF12">
        <v>205</v>
      </c>
      <c r="IG12">
        <v>195</v>
      </c>
      <c r="IH12">
        <v>252</v>
      </c>
      <c r="II12">
        <v>1</v>
      </c>
      <c r="IJ12">
        <v>10</v>
      </c>
      <c r="IK12">
        <v>0</v>
      </c>
      <c r="IL12">
        <v>0</v>
      </c>
      <c r="IM12">
        <v>0</v>
      </c>
      <c r="IN12">
        <v>270</v>
      </c>
      <c r="IO12">
        <v>0</v>
      </c>
      <c r="IP12">
        <v>180</v>
      </c>
      <c r="IQ12">
        <v>0</v>
      </c>
      <c r="IR12">
        <v>330</v>
      </c>
      <c r="IS12">
        <v>0</v>
      </c>
      <c r="IT12">
        <v>90</v>
      </c>
      <c r="IU12">
        <v>0</v>
      </c>
      <c r="IV12">
        <v>6.4</v>
      </c>
      <c r="IW12">
        <v>-6</v>
      </c>
      <c r="IX12">
        <v>106</v>
      </c>
      <c r="IY12">
        <v>72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386</v>
      </c>
      <c r="JJ12">
        <v>356</v>
      </c>
      <c r="JK12">
        <v>253</v>
      </c>
      <c r="JL12">
        <v>352</v>
      </c>
      <c r="JM12">
        <v>285</v>
      </c>
      <c r="JN12">
        <v>205</v>
      </c>
      <c r="JO12">
        <v>262</v>
      </c>
      <c r="JP12">
        <v>190</v>
      </c>
      <c r="JQ12">
        <v>250</v>
      </c>
      <c r="JR12">
        <v>310</v>
      </c>
      <c r="JS12">
        <v>245</v>
      </c>
      <c r="JT12">
        <v>0</v>
      </c>
      <c r="JU12">
        <v>0</v>
      </c>
      <c r="JV12">
        <v>300</v>
      </c>
      <c r="JW12">
        <v>290</v>
      </c>
      <c r="JX12">
        <v>290</v>
      </c>
      <c r="JY12">
        <v>260</v>
      </c>
      <c r="JZ12">
        <v>0.5</v>
      </c>
      <c r="KA12">
        <v>0.2</v>
      </c>
      <c r="KB12">
        <v>0.4</v>
      </c>
      <c r="KC12">
        <v>0.42</v>
      </c>
      <c r="KD12">
        <v>0.3</v>
      </c>
      <c r="KE12">
        <v>0.5</v>
      </c>
      <c r="KF12">
        <v>0.17</v>
      </c>
      <c r="KG12">
        <v>0.1</v>
      </c>
      <c r="KH12">
        <v>3.5</v>
      </c>
      <c r="KI12">
        <v>1</v>
      </c>
      <c r="KJ12">
        <v>4.5</v>
      </c>
      <c r="KK12">
        <v>0</v>
      </c>
      <c r="KL12">
        <v>4.5</v>
      </c>
      <c r="KM12">
        <v>0</v>
      </c>
      <c r="KN12">
        <v>1.8</v>
      </c>
      <c r="KO12">
        <v>0</v>
      </c>
      <c r="KP12">
        <v>0</v>
      </c>
      <c r="KQ12">
        <v>0.7</v>
      </c>
      <c r="KR12">
        <v>0.9</v>
      </c>
      <c r="KS12">
        <v>0</v>
      </c>
      <c r="KT12">
        <v>2.3</v>
      </c>
      <c r="KU12">
        <v>0</v>
      </c>
      <c r="KV12">
        <v>0</v>
      </c>
      <c r="KW12">
        <v>0.7</v>
      </c>
      <c r="KX12">
        <v>1.5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3</v>
      </c>
      <c r="LI12">
        <v>2.5</v>
      </c>
      <c r="LJ12">
        <v>0</v>
      </c>
      <c r="LK12">
        <v>7</v>
      </c>
      <c r="LL12">
        <v>7</v>
      </c>
      <c r="LM12">
        <v>8</v>
      </c>
      <c r="LN12">
        <v>0.5</v>
      </c>
      <c r="LO12">
        <v>1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2.1</v>
      </c>
      <c r="LX12">
        <v>2.1</v>
      </c>
      <c r="LY12">
        <v>2.8</v>
      </c>
      <c r="LZ12">
        <v>2.8</v>
      </c>
      <c r="MA12">
        <v>0</v>
      </c>
      <c r="MB12">
        <v>6</v>
      </c>
      <c r="MC12">
        <v>0</v>
      </c>
      <c r="MD12">
        <v>4.5</v>
      </c>
      <c r="ME12">
        <v>6</v>
      </c>
      <c r="MF12">
        <v>6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390</v>
      </c>
      <c r="MN12">
        <v>200</v>
      </c>
      <c r="MO12">
        <v>262</v>
      </c>
      <c r="NU12">
        <v>0.15</v>
      </c>
      <c r="NV12">
        <v>0.2</v>
      </c>
      <c r="NW12">
        <v>0.2</v>
      </c>
      <c r="NX12">
        <v>0.2</v>
      </c>
      <c r="NY12">
        <v>0.2</v>
      </c>
      <c r="NZ12">
        <v>0.2</v>
      </c>
      <c r="OE12" t="s">
        <v>4159</v>
      </c>
      <c r="OF12" t="s">
        <v>4157</v>
      </c>
      <c r="OG12" t="s">
        <v>4158</v>
      </c>
      <c r="OH12" t="s">
        <v>4043</v>
      </c>
      <c r="OI12" t="s">
        <v>4159</v>
      </c>
      <c r="OJ12" t="s">
        <v>4156</v>
      </c>
      <c r="OK12">
        <v>61</v>
      </c>
      <c r="OL12">
        <v>61</v>
      </c>
      <c r="OM12" t="s">
        <v>4157</v>
      </c>
      <c r="ON12">
        <v>2</v>
      </c>
      <c r="OO12">
        <v>2148</v>
      </c>
      <c r="OP12">
        <v>61</v>
      </c>
      <c r="OQ12">
        <v>61</v>
      </c>
      <c r="OR12" t="s">
        <v>4158</v>
      </c>
      <c r="OS12">
        <v>2</v>
      </c>
      <c r="OT12">
        <v>2155</v>
      </c>
      <c r="OU12">
        <v>65</v>
      </c>
      <c r="OV12">
        <v>65</v>
      </c>
      <c r="OW12" t="s">
        <v>4043</v>
      </c>
      <c r="OX12">
        <v>1</v>
      </c>
      <c r="OY12">
        <v>49206</v>
      </c>
      <c r="OZ12">
        <v>51</v>
      </c>
      <c r="PA12">
        <v>52</v>
      </c>
      <c r="PB12" t="s">
        <v>4159</v>
      </c>
      <c r="PC12">
        <v>3</v>
      </c>
      <c r="PD12">
        <v>2187</v>
      </c>
      <c r="PF12">
        <v>375</v>
      </c>
      <c r="PG12">
        <v>29</v>
      </c>
      <c r="PH12">
        <v>356</v>
      </c>
      <c r="PI12">
        <v>29</v>
      </c>
      <c r="PJ12">
        <v>69.7</v>
      </c>
      <c r="PK12">
        <v>1985</v>
      </c>
      <c r="PL12">
        <v>1359.4</v>
      </c>
      <c r="PM12">
        <v>424.6</v>
      </c>
      <c r="PN12">
        <v>105</v>
      </c>
      <c r="PO12">
        <v>9.300000000000001</v>
      </c>
      <c r="PP12">
        <v>12</v>
      </c>
      <c r="PQ12">
        <v>5</v>
      </c>
      <c r="PR12">
        <v>5</v>
      </c>
      <c r="PS12">
        <v>0</v>
      </c>
      <c r="PT12">
        <v>252</v>
      </c>
      <c r="PU12">
        <v>10</v>
      </c>
      <c r="PV12" t="s">
        <v>4072</v>
      </c>
      <c r="PW12" t="s">
        <v>4072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-1</v>
      </c>
      <c r="QF12">
        <v>1</v>
      </c>
      <c r="QG12">
        <v>0</v>
      </c>
      <c r="QH12">
        <v>5</v>
      </c>
      <c r="QI12">
        <v>5</v>
      </c>
      <c r="QJ12">
        <v>5</v>
      </c>
      <c r="QK12">
        <v>210</v>
      </c>
      <c r="QL12">
        <v>416</v>
      </c>
      <c r="QM12">
        <v>7.5</v>
      </c>
      <c r="QN12">
        <v>1545.7</v>
      </c>
      <c r="QO12" t="s">
        <v>556</v>
      </c>
      <c r="QP12" t="s">
        <v>513</v>
      </c>
      <c r="QQ12">
        <v>0</v>
      </c>
      <c r="QR12" t="s">
        <v>704</v>
      </c>
      <c r="QS12">
        <v>40</v>
      </c>
      <c r="QT12">
        <v>50</v>
      </c>
    </row>
    <row r="13" spans="1:462">
      <c r="A13" t="s">
        <v>788</v>
      </c>
      <c r="B13" t="s">
        <v>564</v>
      </c>
      <c r="C13" t="s">
        <v>509</v>
      </c>
      <c r="D13" t="s">
        <v>4161</v>
      </c>
      <c r="E13" t="s">
        <v>4036</v>
      </c>
      <c r="H13" t="s">
        <v>604</v>
      </c>
      <c r="I13" t="s">
        <v>605</v>
      </c>
      <c r="J13" t="s">
        <v>628</v>
      </c>
      <c r="K13" t="s">
        <v>606</v>
      </c>
      <c r="L13" t="s">
        <v>629</v>
      </c>
      <c r="M13" t="s">
        <v>512</v>
      </c>
      <c r="O13" t="s">
        <v>513</v>
      </c>
      <c r="P13" t="s">
        <v>567</v>
      </c>
      <c r="Q13" t="s">
        <v>789</v>
      </c>
      <c r="R13" t="s">
        <v>685</v>
      </c>
      <c r="S13" t="s">
        <v>4037</v>
      </c>
      <c r="T13" t="s">
        <v>570</v>
      </c>
      <c r="U13" t="s">
        <v>571</v>
      </c>
      <c r="V13" t="s">
        <v>790</v>
      </c>
      <c r="W13" t="s">
        <v>573</v>
      </c>
      <c r="X13" t="s">
        <v>791</v>
      </c>
      <c r="Y13" t="s">
        <v>792</v>
      </c>
      <c r="Z13" t="s">
        <v>541</v>
      </c>
      <c r="AA13" t="s">
        <v>4038</v>
      </c>
      <c r="AB13" t="s">
        <v>4162</v>
      </c>
      <c r="AC13">
        <v>9</v>
      </c>
      <c r="AD13" t="s">
        <v>786</v>
      </c>
      <c r="AE13">
        <v>5</v>
      </c>
      <c r="AF13">
        <v>6328</v>
      </c>
      <c r="AG13" t="s">
        <v>4136</v>
      </c>
      <c r="AH13">
        <v>1</v>
      </c>
      <c r="AI13" t="s">
        <v>4041</v>
      </c>
      <c r="AK13" t="s">
        <v>4137</v>
      </c>
      <c r="AL13">
        <v>1</v>
      </c>
      <c r="AM13" t="s">
        <v>582</v>
      </c>
      <c r="AO13" t="s">
        <v>4043</v>
      </c>
      <c r="AP13">
        <v>1</v>
      </c>
      <c r="AR13" t="s">
        <v>4163</v>
      </c>
      <c r="AS13">
        <v>1</v>
      </c>
      <c r="AT13">
        <v>52</v>
      </c>
      <c r="AV13" t="s">
        <v>4078</v>
      </c>
      <c r="AW13">
        <v>6.4</v>
      </c>
      <c r="AX13">
        <v>-6</v>
      </c>
      <c r="AY13">
        <v>111</v>
      </c>
      <c r="AZ13">
        <v>81</v>
      </c>
      <c r="BH13">
        <v>111</v>
      </c>
      <c r="BI13">
        <v>30</v>
      </c>
      <c r="BJ13">
        <v>81</v>
      </c>
      <c r="BK13">
        <v>3.5</v>
      </c>
      <c r="BL13">
        <v>222</v>
      </c>
      <c r="BM13">
        <v>-6</v>
      </c>
      <c r="BN13">
        <v>0</v>
      </c>
      <c r="BP13">
        <v>0</v>
      </c>
      <c r="BR13">
        <v>215</v>
      </c>
      <c r="BS13">
        <v>205</v>
      </c>
      <c r="BT13">
        <v>2250</v>
      </c>
      <c r="BU13" t="s">
        <v>4079</v>
      </c>
      <c r="BV13" t="s">
        <v>4079</v>
      </c>
      <c r="BW13" t="s">
        <v>4081</v>
      </c>
      <c r="BX13" t="s">
        <v>4081</v>
      </c>
      <c r="BY13" t="s">
        <v>4139</v>
      </c>
      <c r="BZ13" t="s">
        <v>4164</v>
      </c>
      <c r="CA13" t="s">
        <v>4084</v>
      </c>
      <c r="CB13" t="s">
        <v>4085</v>
      </c>
      <c r="CC13" t="s">
        <v>4053</v>
      </c>
      <c r="CD13" t="s">
        <v>4055</v>
      </c>
      <c r="CE13" t="s">
        <v>4055</v>
      </c>
      <c r="CF13" t="s">
        <v>4055</v>
      </c>
      <c r="CG13" t="s">
        <v>4056</v>
      </c>
      <c r="CI13" t="s">
        <v>4086</v>
      </c>
      <c r="CJ13" t="s">
        <v>4059</v>
      </c>
      <c r="CK13" t="s">
        <v>4060</v>
      </c>
      <c r="CL13" t="s">
        <v>4061</v>
      </c>
      <c r="CM13" t="s">
        <v>4055</v>
      </c>
      <c r="CN13" t="s">
        <v>4062</v>
      </c>
      <c r="CO13" t="s">
        <v>4063</v>
      </c>
      <c r="CP13" t="s">
        <v>4055</v>
      </c>
      <c r="CQ13" t="s">
        <v>4055</v>
      </c>
      <c r="CR13">
        <v>5</v>
      </c>
      <c r="CS13" t="s">
        <v>4055</v>
      </c>
      <c r="CT13" t="s">
        <v>4055</v>
      </c>
      <c r="CU13" t="s">
        <v>4055</v>
      </c>
      <c r="CV13">
        <v>133</v>
      </c>
      <c r="CW13">
        <v>3</v>
      </c>
      <c r="CX13">
        <v>91</v>
      </c>
      <c r="CY13">
        <v>5</v>
      </c>
      <c r="CZ13">
        <v>153</v>
      </c>
      <c r="DA13">
        <v>5</v>
      </c>
      <c r="DB13">
        <v>13740</v>
      </c>
      <c r="DC13">
        <v>410</v>
      </c>
      <c r="DD13">
        <v>335</v>
      </c>
      <c r="DE13">
        <v>2373</v>
      </c>
      <c r="DF13">
        <v>2373</v>
      </c>
      <c r="DG13">
        <v>2383</v>
      </c>
      <c r="DH13">
        <v>2</v>
      </c>
      <c r="DI13" t="s">
        <v>4055</v>
      </c>
      <c r="DJ13" t="s">
        <v>4064</v>
      </c>
      <c r="DK13">
        <v>215</v>
      </c>
      <c r="DL13" t="s">
        <v>4065</v>
      </c>
      <c r="DM13">
        <v>65</v>
      </c>
      <c r="DN13">
        <v>1.2</v>
      </c>
      <c r="DO13">
        <v>1</v>
      </c>
      <c r="DP13">
        <v>2254</v>
      </c>
      <c r="DQ13">
        <v>1113</v>
      </c>
      <c r="DR13" t="s">
        <v>4064</v>
      </c>
      <c r="DS13">
        <v>205</v>
      </c>
      <c r="DT13" t="s">
        <v>4065</v>
      </c>
      <c r="DU13">
        <v>65</v>
      </c>
      <c r="DV13">
        <v>1.2</v>
      </c>
      <c r="DW13">
        <v>1</v>
      </c>
      <c r="DX13">
        <v>2266</v>
      </c>
      <c r="DY13">
        <v>1067</v>
      </c>
      <c r="DZ13" t="s">
        <v>4066</v>
      </c>
      <c r="EA13">
        <v>20</v>
      </c>
      <c r="EB13" t="s">
        <v>4065</v>
      </c>
      <c r="EC13">
        <v>0.8</v>
      </c>
      <c r="ED13">
        <v>2254</v>
      </c>
      <c r="EE13">
        <v>79</v>
      </c>
      <c r="EG13">
        <v>0</v>
      </c>
      <c r="EH13" t="s">
        <v>4065</v>
      </c>
      <c r="EI13">
        <v>0</v>
      </c>
      <c r="EL13" t="s">
        <v>1528</v>
      </c>
      <c r="EM13">
        <v>12</v>
      </c>
      <c r="EN13">
        <v>0.5</v>
      </c>
      <c r="EO13">
        <v>0.96</v>
      </c>
      <c r="EP13">
        <v>2265.08</v>
      </c>
      <c r="EQ13">
        <v>41408.49</v>
      </c>
      <c r="ER13">
        <v>10645.84</v>
      </c>
      <c r="ES13">
        <v>0</v>
      </c>
      <c r="ET13">
        <v>0</v>
      </c>
      <c r="EU13">
        <v>1</v>
      </c>
      <c r="EV13">
        <v>52055</v>
      </c>
      <c r="EW13">
        <v>625</v>
      </c>
      <c r="EX13" t="s">
        <v>4088</v>
      </c>
      <c r="EY13">
        <v>232</v>
      </c>
      <c r="EZ13" t="s">
        <v>4055</v>
      </c>
      <c r="FA13">
        <v>5.8</v>
      </c>
      <c r="FB13">
        <v>1</v>
      </c>
      <c r="FC13">
        <v>1</v>
      </c>
      <c r="FD13">
        <v>2297</v>
      </c>
      <c r="FE13">
        <v>3123</v>
      </c>
      <c r="FF13" t="s">
        <v>4089</v>
      </c>
      <c r="FG13">
        <v>232</v>
      </c>
      <c r="FH13" t="s">
        <v>4055</v>
      </c>
      <c r="FI13">
        <v>1.8</v>
      </c>
      <c r="FJ13">
        <v>2297</v>
      </c>
      <c r="FK13">
        <v>975</v>
      </c>
      <c r="FL13" t="s">
        <v>4069</v>
      </c>
      <c r="FM13" t="s">
        <v>4055</v>
      </c>
      <c r="FN13" t="s">
        <v>4055</v>
      </c>
      <c r="FO13" t="s">
        <v>4055</v>
      </c>
      <c r="FP13">
        <v>2297</v>
      </c>
      <c r="FQ13">
        <v>160</v>
      </c>
      <c r="FR13" t="s">
        <v>4090</v>
      </c>
      <c r="FS13">
        <v>236</v>
      </c>
      <c r="FT13" t="s">
        <v>4055</v>
      </c>
      <c r="FU13">
        <v>0.4</v>
      </c>
      <c r="FV13">
        <v>2297</v>
      </c>
      <c r="FW13">
        <v>241</v>
      </c>
      <c r="FX13" t="s">
        <v>4070</v>
      </c>
      <c r="FY13">
        <v>5</v>
      </c>
      <c r="FZ13" t="s">
        <v>4055</v>
      </c>
      <c r="GA13" t="s">
        <v>4055</v>
      </c>
      <c r="GB13">
        <v>2297</v>
      </c>
      <c r="GC13">
        <v>21</v>
      </c>
      <c r="GD13">
        <v>4520</v>
      </c>
      <c r="GE13" t="s">
        <v>4163</v>
      </c>
      <c r="GF13" t="s">
        <v>4055</v>
      </c>
      <c r="GG13" t="s">
        <v>4055</v>
      </c>
      <c r="GH13" t="s">
        <v>4055</v>
      </c>
      <c r="GI13" t="s">
        <v>4071</v>
      </c>
      <c r="GJ13" t="s">
        <v>4055</v>
      </c>
      <c r="GK13" t="s">
        <v>4055</v>
      </c>
      <c r="GL13" t="s">
        <v>4055</v>
      </c>
      <c r="GM13" t="s">
        <v>4055</v>
      </c>
      <c r="GQ13">
        <v>0</v>
      </c>
      <c r="GV13">
        <v>8</v>
      </c>
      <c r="GW13">
        <v>7.8</v>
      </c>
      <c r="GX13">
        <v>0.5</v>
      </c>
      <c r="GY13">
        <v>200</v>
      </c>
      <c r="GZ13">
        <v>3</v>
      </c>
      <c r="HA13">
        <v>252</v>
      </c>
      <c r="HB13">
        <v>3</v>
      </c>
      <c r="HC13">
        <v>2297</v>
      </c>
      <c r="HD13">
        <v>4</v>
      </c>
      <c r="HE13" t="s">
        <v>4071</v>
      </c>
      <c r="HG13" t="s">
        <v>549</v>
      </c>
      <c r="HL13">
        <v>4</v>
      </c>
      <c r="HM13">
        <v>20</v>
      </c>
      <c r="HN13">
        <v>6</v>
      </c>
      <c r="HO13">
        <v>1</v>
      </c>
      <c r="HP13">
        <v>0</v>
      </c>
      <c r="HQ13">
        <v>0</v>
      </c>
      <c r="HR13">
        <v>2</v>
      </c>
      <c r="HS13">
        <v>2250</v>
      </c>
      <c r="HT13">
        <v>5</v>
      </c>
      <c r="HU13">
        <v>1</v>
      </c>
      <c r="HV13">
        <v>3</v>
      </c>
      <c r="HW13">
        <v>0</v>
      </c>
      <c r="HX13">
        <v>1</v>
      </c>
      <c r="HY13">
        <v>0</v>
      </c>
      <c r="HZ13">
        <v>65</v>
      </c>
      <c r="IA13">
        <v>2254</v>
      </c>
      <c r="IB13">
        <v>2266</v>
      </c>
      <c r="ID13">
        <v>2297</v>
      </c>
      <c r="IE13">
        <v>2297</v>
      </c>
      <c r="IF13">
        <v>215</v>
      </c>
      <c r="IG13">
        <v>205</v>
      </c>
      <c r="IH13">
        <v>252</v>
      </c>
      <c r="II13">
        <v>1</v>
      </c>
      <c r="IJ13">
        <v>10</v>
      </c>
      <c r="IK13">
        <v>0</v>
      </c>
      <c r="IL13">
        <v>0</v>
      </c>
      <c r="IM13">
        <v>0</v>
      </c>
      <c r="IN13">
        <v>270</v>
      </c>
      <c r="IO13">
        <v>0</v>
      </c>
      <c r="IP13">
        <v>180</v>
      </c>
      <c r="IQ13">
        <v>0</v>
      </c>
      <c r="IR13">
        <v>330</v>
      </c>
      <c r="IS13">
        <v>0</v>
      </c>
      <c r="IT13">
        <v>90</v>
      </c>
      <c r="IU13">
        <v>0</v>
      </c>
      <c r="IV13">
        <v>6.4</v>
      </c>
      <c r="IW13">
        <v>-6</v>
      </c>
      <c r="IX13">
        <v>111</v>
      </c>
      <c r="IY13">
        <v>81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404</v>
      </c>
      <c r="JJ13">
        <v>374</v>
      </c>
      <c r="JK13">
        <v>268</v>
      </c>
      <c r="JL13">
        <v>370</v>
      </c>
      <c r="JM13">
        <v>278</v>
      </c>
      <c r="JN13">
        <v>215</v>
      </c>
      <c r="JO13">
        <v>262</v>
      </c>
      <c r="JP13">
        <v>190</v>
      </c>
      <c r="JQ13">
        <v>220</v>
      </c>
      <c r="JR13">
        <v>305</v>
      </c>
      <c r="JS13">
        <v>240</v>
      </c>
      <c r="JT13">
        <v>0</v>
      </c>
      <c r="JU13">
        <v>0</v>
      </c>
      <c r="JV13">
        <v>300</v>
      </c>
      <c r="JW13">
        <v>300</v>
      </c>
      <c r="JX13">
        <v>290</v>
      </c>
      <c r="JY13">
        <v>0</v>
      </c>
      <c r="JZ13">
        <v>1</v>
      </c>
      <c r="KA13">
        <v>0.2</v>
      </c>
      <c r="KB13">
        <v>0.4</v>
      </c>
      <c r="KC13">
        <v>0.42</v>
      </c>
      <c r="KD13">
        <v>0.3</v>
      </c>
      <c r="KE13">
        <v>0.5</v>
      </c>
      <c r="KF13">
        <v>0.2</v>
      </c>
      <c r="KG13">
        <v>0.11</v>
      </c>
      <c r="KH13">
        <v>3.5</v>
      </c>
      <c r="KI13">
        <v>1</v>
      </c>
      <c r="KJ13">
        <v>4.5</v>
      </c>
      <c r="KK13">
        <v>0</v>
      </c>
      <c r="KL13">
        <v>4.5</v>
      </c>
      <c r="KM13">
        <v>0</v>
      </c>
      <c r="KN13">
        <v>2.4</v>
      </c>
      <c r="KO13">
        <v>0</v>
      </c>
      <c r="KP13">
        <v>0</v>
      </c>
      <c r="KQ13">
        <v>0.7</v>
      </c>
      <c r="KR13">
        <v>0.9</v>
      </c>
      <c r="KS13">
        <v>0</v>
      </c>
      <c r="KT13">
        <v>2.8</v>
      </c>
      <c r="KU13">
        <v>0</v>
      </c>
      <c r="KV13">
        <v>0</v>
      </c>
      <c r="KW13">
        <v>0.7</v>
      </c>
      <c r="KX13">
        <v>1.5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3</v>
      </c>
      <c r="LI13">
        <v>2.5</v>
      </c>
      <c r="LJ13">
        <v>0</v>
      </c>
      <c r="LK13">
        <v>9</v>
      </c>
      <c r="LL13">
        <v>5</v>
      </c>
      <c r="LM13">
        <v>8</v>
      </c>
      <c r="LN13">
        <v>0.5</v>
      </c>
      <c r="LO13">
        <v>3</v>
      </c>
      <c r="LP13">
        <v>0</v>
      </c>
      <c r="LQ13">
        <v>0</v>
      </c>
      <c r="LR13">
        <v>0</v>
      </c>
      <c r="LS13">
        <v>1</v>
      </c>
      <c r="LT13">
        <v>0</v>
      </c>
      <c r="LU13">
        <v>0</v>
      </c>
      <c r="LV13">
        <v>0</v>
      </c>
      <c r="LW13">
        <v>2.1</v>
      </c>
      <c r="LX13">
        <v>2.1</v>
      </c>
      <c r="LY13">
        <v>2.8</v>
      </c>
      <c r="LZ13">
        <v>2.8</v>
      </c>
      <c r="MA13">
        <v>0</v>
      </c>
      <c r="MB13">
        <v>4</v>
      </c>
      <c r="MC13">
        <v>0</v>
      </c>
      <c r="MD13">
        <v>4.5</v>
      </c>
      <c r="ME13">
        <v>6</v>
      </c>
      <c r="MF13">
        <v>6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390</v>
      </c>
      <c r="MN13">
        <v>210</v>
      </c>
      <c r="MO13">
        <v>262</v>
      </c>
      <c r="NU13">
        <v>0.15</v>
      </c>
      <c r="NV13">
        <v>0.2</v>
      </c>
      <c r="NW13">
        <v>0.2</v>
      </c>
      <c r="NX13">
        <v>0.2</v>
      </c>
      <c r="NY13">
        <v>0.2</v>
      </c>
      <c r="NZ13">
        <v>0.2</v>
      </c>
      <c r="OE13" t="s">
        <v>4163</v>
      </c>
      <c r="OF13" t="s">
        <v>4136</v>
      </c>
      <c r="OG13" t="s">
        <v>4137</v>
      </c>
      <c r="OH13" t="s">
        <v>4043</v>
      </c>
      <c r="OI13" t="s">
        <v>4163</v>
      </c>
      <c r="OJ13" t="s">
        <v>4162</v>
      </c>
      <c r="OK13">
        <v>61</v>
      </c>
      <c r="OL13">
        <v>61</v>
      </c>
      <c r="OM13" t="s">
        <v>4136</v>
      </c>
      <c r="ON13">
        <v>1</v>
      </c>
      <c r="OO13">
        <v>2254</v>
      </c>
      <c r="OP13">
        <v>61</v>
      </c>
      <c r="OQ13">
        <v>61</v>
      </c>
      <c r="OR13" t="s">
        <v>4137</v>
      </c>
      <c r="OS13">
        <v>1</v>
      </c>
      <c r="OT13">
        <v>2266</v>
      </c>
      <c r="OU13">
        <v>65</v>
      </c>
      <c r="OV13">
        <v>65</v>
      </c>
      <c r="OW13" t="s">
        <v>4043</v>
      </c>
      <c r="OX13">
        <v>1</v>
      </c>
      <c r="OY13">
        <v>52055</v>
      </c>
      <c r="OZ13">
        <v>51</v>
      </c>
      <c r="PA13">
        <v>52</v>
      </c>
      <c r="PB13" t="s">
        <v>4163</v>
      </c>
      <c r="PC13">
        <v>1</v>
      </c>
      <c r="PD13">
        <v>2297</v>
      </c>
      <c r="PF13">
        <v>494</v>
      </c>
      <c r="PG13">
        <v>35</v>
      </c>
      <c r="PH13">
        <v>471</v>
      </c>
      <c r="PI13">
        <v>0</v>
      </c>
      <c r="PJ13">
        <v>69.7</v>
      </c>
      <c r="PK13">
        <v>1996</v>
      </c>
      <c r="PL13">
        <v>1359.4</v>
      </c>
      <c r="PM13">
        <v>424.6</v>
      </c>
      <c r="PN13">
        <v>105</v>
      </c>
      <c r="PO13">
        <v>9.300000000000001</v>
      </c>
      <c r="PP13">
        <v>12</v>
      </c>
      <c r="PQ13">
        <v>4</v>
      </c>
      <c r="PR13">
        <v>4</v>
      </c>
      <c r="PS13">
        <v>0</v>
      </c>
      <c r="PT13">
        <v>252</v>
      </c>
      <c r="PU13">
        <v>10</v>
      </c>
      <c r="PV13" t="s">
        <v>4072</v>
      </c>
      <c r="PW13" t="s">
        <v>4072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-1</v>
      </c>
      <c r="QF13">
        <v>1</v>
      </c>
      <c r="QG13">
        <v>0</v>
      </c>
      <c r="QH13">
        <v>5</v>
      </c>
      <c r="QI13">
        <v>5</v>
      </c>
      <c r="QJ13">
        <v>5</v>
      </c>
      <c r="QK13">
        <v>217</v>
      </c>
      <c r="QL13">
        <v>434</v>
      </c>
      <c r="QM13">
        <v>7.5</v>
      </c>
      <c r="QN13">
        <v>1623.8</v>
      </c>
      <c r="QO13" t="s">
        <v>556</v>
      </c>
      <c r="QP13" t="s">
        <v>513</v>
      </c>
      <c r="QQ13">
        <v>0</v>
      </c>
      <c r="QR13" t="s">
        <v>596</v>
      </c>
      <c r="QS13">
        <v>40</v>
      </c>
      <c r="QT13">
        <v>50</v>
      </c>
    </row>
    <row r="14" spans="1:462">
      <c r="A14" t="s">
        <v>805</v>
      </c>
      <c r="B14" t="s">
        <v>711</v>
      </c>
      <c r="C14" t="s">
        <v>509</v>
      </c>
      <c r="D14" t="s">
        <v>803</v>
      </c>
      <c r="E14" t="s">
        <v>4036</v>
      </c>
      <c r="H14" t="s">
        <v>604</v>
      </c>
      <c r="I14" t="s">
        <v>605</v>
      </c>
      <c r="J14" t="s">
        <v>628</v>
      </c>
      <c r="K14" t="s">
        <v>606</v>
      </c>
      <c r="L14" t="s">
        <v>804</v>
      </c>
      <c r="M14" t="s">
        <v>512</v>
      </c>
      <c r="O14" t="s">
        <v>513</v>
      </c>
      <c r="P14" t="s">
        <v>567</v>
      </c>
      <c r="Q14" t="s">
        <v>806</v>
      </c>
      <c r="R14" t="s">
        <v>807</v>
      </c>
      <c r="S14" t="s">
        <v>4091</v>
      </c>
      <c r="T14" t="s">
        <v>520</v>
      </c>
      <c r="U14" t="s">
        <v>521</v>
      </c>
      <c r="V14" t="s">
        <v>808</v>
      </c>
      <c r="W14" t="s">
        <v>573</v>
      </c>
      <c r="X14" t="s">
        <v>809</v>
      </c>
      <c r="Y14" t="s">
        <v>810</v>
      </c>
      <c r="Z14" t="s">
        <v>541</v>
      </c>
      <c r="AA14" t="s">
        <v>4038</v>
      </c>
      <c r="AB14" t="s">
        <v>4165</v>
      </c>
      <c r="AC14">
        <v>9</v>
      </c>
      <c r="AD14" t="s">
        <v>802</v>
      </c>
      <c r="AE14">
        <v>3</v>
      </c>
      <c r="AF14">
        <v>5075</v>
      </c>
      <c r="AG14" t="s">
        <v>4166</v>
      </c>
      <c r="AH14">
        <v>1</v>
      </c>
      <c r="AI14" t="s">
        <v>4041</v>
      </c>
      <c r="AK14" t="s">
        <v>4167</v>
      </c>
      <c r="AL14">
        <v>1</v>
      </c>
      <c r="AM14" t="s">
        <v>582</v>
      </c>
      <c r="AO14" t="s">
        <v>4043</v>
      </c>
      <c r="AP14">
        <v>1</v>
      </c>
      <c r="AR14" t="s">
        <v>4168</v>
      </c>
      <c r="AS14">
        <v>1</v>
      </c>
      <c r="AT14">
        <v>52</v>
      </c>
      <c r="AV14" t="s">
        <v>4078</v>
      </c>
      <c r="AW14">
        <v>6.4</v>
      </c>
      <c r="AX14">
        <v>-6</v>
      </c>
      <c r="AY14">
        <v>93.5</v>
      </c>
      <c r="AZ14">
        <v>63</v>
      </c>
      <c r="BH14">
        <v>93.5</v>
      </c>
      <c r="BI14">
        <v>30.5</v>
      </c>
      <c r="BJ14">
        <v>63</v>
      </c>
      <c r="BK14">
        <v>3.5</v>
      </c>
      <c r="BL14">
        <v>187</v>
      </c>
      <c r="BM14">
        <v>-6</v>
      </c>
      <c r="BN14">
        <v>0</v>
      </c>
      <c r="BO14">
        <v>0</v>
      </c>
      <c r="BP14">
        <v>0</v>
      </c>
      <c r="BR14">
        <v>180</v>
      </c>
      <c r="BS14">
        <v>170</v>
      </c>
      <c r="BT14">
        <v>2005</v>
      </c>
      <c r="BU14" t="s">
        <v>4047</v>
      </c>
      <c r="BV14" t="s">
        <v>4096</v>
      </c>
      <c r="BW14" t="s">
        <v>4049</v>
      </c>
      <c r="BX14" t="s">
        <v>4097</v>
      </c>
      <c r="BY14" t="s">
        <v>4098</v>
      </c>
      <c r="BZ14" t="s">
        <v>4050</v>
      </c>
      <c r="CA14" t="s">
        <v>4051</v>
      </c>
      <c r="CB14" t="s">
        <v>4052</v>
      </c>
      <c r="CC14" t="s">
        <v>4053</v>
      </c>
      <c r="CD14" t="s">
        <v>4054</v>
      </c>
      <c r="CE14" t="s">
        <v>4055</v>
      </c>
      <c r="CF14" t="s">
        <v>4055</v>
      </c>
      <c r="CG14" t="s">
        <v>4056</v>
      </c>
      <c r="CH14" t="s">
        <v>4099</v>
      </c>
      <c r="CI14" t="s">
        <v>4058</v>
      </c>
      <c r="CJ14" t="s">
        <v>4059</v>
      </c>
      <c r="CK14" t="s">
        <v>4060</v>
      </c>
      <c r="CL14" t="s">
        <v>4061</v>
      </c>
      <c r="CM14" t="s">
        <v>4062</v>
      </c>
      <c r="CN14" t="s">
        <v>4055</v>
      </c>
      <c r="CO14" t="s">
        <v>4063</v>
      </c>
      <c r="CP14" t="s">
        <v>4055</v>
      </c>
      <c r="CQ14" t="s">
        <v>4055</v>
      </c>
      <c r="CR14">
        <v>5</v>
      </c>
      <c r="CS14" t="s">
        <v>4055</v>
      </c>
      <c r="CT14" t="s">
        <v>4055</v>
      </c>
      <c r="CU14" t="s">
        <v>4055</v>
      </c>
      <c r="CV14">
        <v>117</v>
      </c>
      <c r="CW14">
        <v>3</v>
      </c>
      <c r="CX14">
        <v>75</v>
      </c>
      <c r="CY14">
        <v>5</v>
      </c>
      <c r="CZ14">
        <v>143</v>
      </c>
      <c r="DA14">
        <v>5</v>
      </c>
      <c r="DB14">
        <v>10680</v>
      </c>
      <c r="DC14">
        <v>320</v>
      </c>
      <c r="DD14">
        <v>317</v>
      </c>
      <c r="DE14">
        <v>2118</v>
      </c>
      <c r="DF14">
        <v>2118</v>
      </c>
      <c r="DG14">
        <v>2128</v>
      </c>
      <c r="DH14" t="s">
        <v>4055</v>
      </c>
      <c r="DI14" t="s">
        <v>4055</v>
      </c>
      <c r="DJ14" t="s">
        <v>4132</v>
      </c>
      <c r="DK14">
        <v>180</v>
      </c>
      <c r="DL14" t="s">
        <v>4065</v>
      </c>
      <c r="DM14">
        <v>65</v>
      </c>
      <c r="DN14">
        <v>1.1</v>
      </c>
      <c r="DO14">
        <v>1</v>
      </c>
      <c r="DP14">
        <v>2008</v>
      </c>
      <c r="DQ14">
        <v>781</v>
      </c>
      <c r="DR14" t="s">
        <v>4132</v>
      </c>
      <c r="DS14">
        <v>170</v>
      </c>
      <c r="DT14" t="s">
        <v>4065</v>
      </c>
      <c r="DU14">
        <v>65</v>
      </c>
      <c r="DV14">
        <v>1.1</v>
      </c>
      <c r="DW14">
        <v>1</v>
      </c>
      <c r="DX14">
        <v>2020</v>
      </c>
      <c r="DY14">
        <v>743</v>
      </c>
      <c r="DZ14" t="s">
        <v>4066</v>
      </c>
      <c r="EA14">
        <v>20</v>
      </c>
      <c r="EB14" t="s">
        <v>4065</v>
      </c>
      <c r="EC14">
        <v>0.8</v>
      </c>
      <c r="ED14">
        <v>2008</v>
      </c>
      <c r="EE14">
        <v>70</v>
      </c>
      <c r="EG14">
        <v>0</v>
      </c>
      <c r="EH14" t="s">
        <v>4065</v>
      </c>
      <c r="EI14">
        <v>0</v>
      </c>
      <c r="EL14" t="s">
        <v>1528</v>
      </c>
      <c r="EM14">
        <v>12</v>
      </c>
      <c r="EN14">
        <v>0.5</v>
      </c>
      <c r="EO14">
        <v>0.96</v>
      </c>
      <c r="EP14">
        <v>2018.83</v>
      </c>
      <c r="EQ14">
        <v>31386.5</v>
      </c>
      <c r="ER14">
        <v>9649.73</v>
      </c>
      <c r="ES14">
        <v>0</v>
      </c>
      <c r="ET14">
        <v>0</v>
      </c>
      <c r="EU14">
        <v>1</v>
      </c>
      <c r="EV14">
        <v>41037</v>
      </c>
      <c r="EW14">
        <v>493</v>
      </c>
      <c r="EX14" t="s">
        <v>4088</v>
      </c>
      <c r="EY14">
        <v>202</v>
      </c>
      <c r="EZ14" t="s">
        <v>4055</v>
      </c>
      <c r="FA14">
        <v>7.4</v>
      </c>
      <c r="FB14">
        <v>1</v>
      </c>
      <c r="FC14">
        <v>1</v>
      </c>
      <c r="FD14">
        <v>2056</v>
      </c>
      <c r="FE14">
        <v>2466</v>
      </c>
      <c r="FF14" t="s">
        <v>4089</v>
      </c>
      <c r="FG14">
        <v>202</v>
      </c>
      <c r="FH14" t="s">
        <v>4055</v>
      </c>
      <c r="FI14">
        <v>1.8</v>
      </c>
      <c r="FJ14">
        <v>2056</v>
      </c>
      <c r="FK14">
        <v>752</v>
      </c>
      <c r="FL14" t="s">
        <v>4069</v>
      </c>
      <c r="FM14" t="s">
        <v>4055</v>
      </c>
      <c r="FN14" t="s">
        <v>4055</v>
      </c>
      <c r="FO14" t="s">
        <v>4055</v>
      </c>
      <c r="FP14">
        <v>2056</v>
      </c>
      <c r="FQ14">
        <v>90</v>
      </c>
      <c r="FR14" t="s">
        <v>4090</v>
      </c>
      <c r="FS14">
        <v>206</v>
      </c>
      <c r="FT14" t="s">
        <v>4055</v>
      </c>
      <c r="FU14">
        <v>0.4</v>
      </c>
      <c r="FV14">
        <v>2056</v>
      </c>
      <c r="FW14">
        <v>188</v>
      </c>
      <c r="FX14" t="s">
        <v>4070</v>
      </c>
      <c r="FY14">
        <v>5</v>
      </c>
      <c r="FZ14" t="s">
        <v>4055</v>
      </c>
      <c r="GA14" t="s">
        <v>4055</v>
      </c>
      <c r="GB14">
        <v>2056</v>
      </c>
      <c r="GC14">
        <v>20</v>
      </c>
      <c r="GD14">
        <v>3516</v>
      </c>
      <c r="GE14" t="s">
        <v>4168</v>
      </c>
      <c r="GF14" t="s">
        <v>4055</v>
      </c>
      <c r="GG14" t="s">
        <v>4055</v>
      </c>
      <c r="GH14" t="s">
        <v>4055</v>
      </c>
      <c r="GI14" t="s">
        <v>4071</v>
      </c>
      <c r="GJ14" t="s">
        <v>4055</v>
      </c>
      <c r="GK14" t="s">
        <v>4055</v>
      </c>
      <c r="GL14" t="s">
        <v>4055</v>
      </c>
      <c r="GM14" t="s">
        <v>4055</v>
      </c>
      <c r="GQ14">
        <v>0</v>
      </c>
      <c r="GV14">
        <v>9.6</v>
      </c>
      <c r="GW14">
        <v>7.6</v>
      </c>
      <c r="GX14">
        <v>0.5</v>
      </c>
      <c r="GY14">
        <v>170</v>
      </c>
      <c r="GZ14">
        <v>3</v>
      </c>
      <c r="HA14">
        <v>220</v>
      </c>
      <c r="HB14">
        <v>3</v>
      </c>
      <c r="HC14">
        <v>2056</v>
      </c>
      <c r="HD14">
        <v>4</v>
      </c>
      <c r="HE14" t="s">
        <v>4071</v>
      </c>
      <c r="HG14" t="s">
        <v>549</v>
      </c>
      <c r="HL14">
        <v>4</v>
      </c>
      <c r="HM14">
        <v>16</v>
      </c>
      <c r="HN14">
        <v>6</v>
      </c>
      <c r="HO14">
        <v>1</v>
      </c>
      <c r="HP14">
        <v>0</v>
      </c>
      <c r="HQ14">
        <v>0</v>
      </c>
      <c r="HR14">
        <v>3</v>
      </c>
      <c r="HS14">
        <v>2005</v>
      </c>
      <c r="HT14">
        <v>5</v>
      </c>
      <c r="HU14">
        <v>1</v>
      </c>
      <c r="HV14">
        <v>3</v>
      </c>
      <c r="HW14">
        <v>0</v>
      </c>
      <c r="HX14">
        <v>1</v>
      </c>
      <c r="HY14">
        <v>0</v>
      </c>
      <c r="HZ14">
        <v>65</v>
      </c>
      <c r="IA14">
        <v>2008</v>
      </c>
      <c r="IB14">
        <v>2020</v>
      </c>
      <c r="ID14">
        <v>2056</v>
      </c>
      <c r="IE14">
        <v>2056</v>
      </c>
      <c r="IF14">
        <v>180</v>
      </c>
      <c r="IG14">
        <v>170</v>
      </c>
      <c r="IH14">
        <v>220</v>
      </c>
      <c r="II14">
        <v>1</v>
      </c>
      <c r="IJ14">
        <v>5</v>
      </c>
      <c r="IK14">
        <v>0</v>
      </c>
      <c r="IL14">
        <v>0</v>
      </c>
      <c r="IM14">
        <v>0</v>
      </c>
      <c r="IN14">
        <v>270</v>
      </c>
      <c r="IO14">
        <v>0</v>
      </c>
      <c r="IP14">
        <v>180</v>
      </c>
      <c r="IQ14">
        <v>0</v>
      </c>
      <c r="IR14">
        <v>325</v>
      </c>
      <c r="IS14">
        <v>0</v>
      </c>
      <c r="IT14">
        <v>90</v>
      </c>
      <c r="IU14">
        <v>0</v>
      </c>
      <c r="IV14">
        <v>6.4</v>
      </c>
      <c r="IW14">
        <v>-6</v>
      </c>
      <c r="IX14">
        <v>93.5</v>
      </c>
      <c r="IY14">
        <v>63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400</v>
      </c>
      <c r="JJ14">
        <v>370</v>
      </c>
      <c r="JK14">
        <v>275</v>
      </c>
      <c r="JL14">
        <v>366</v>
      </c>
      <c r="JM14">
        <v>270</v>
      </c>
      <c r="JN14">
        <v>188</v>
      </c>
      <c r="JO14">
        <v>230</v>
      </c>
      <c r="JP14">
        <v>198</v>
      </c>
      <c r="JQ14">
        <v>248</v>
      </c>
      <c r="JR14">
        <v>350</v>
      </c>
      <c r="JS14">
        <v>246</v>
      </c>
      <c r="JT14">
        <v>0</v>
      </c>
      <c r="JU14">
        <v>0</v>
      </c>
      <c r="JV14">
        <v>305</v>
      </c>
      <c r="JW14">
        <v>307</v>
      </c>
      <c r="JX14">
        <v>0</v>
      </c>
      <c r="JY14">
        <v>0</v>
      </c>
      <c r="JZ14">
        <v>0</v>
      </c>
      <c r="KA14">
        <v>0.2</v>
      </c>
      <c r="KB14">
        <v>0.4</v>
      </c>
      <c r="KC14">
        <v>0.42</v>
      </c>
      <c r="KD14">
        <v>0.28</v>
      </c>
      <c r="KE14">
        <v>0.5</v>
      </c>
      <c r="KF14">
        <v>0.18</v>
      </c>
      <c r="KG14">
        <v>0.1</v>
      </c>
      <c r="KH14">
        <v>6</v>
      </c>
      <c r="KI14">
        <v>1</v>
      </c>
      <c r="KJ14">
        <v>4.5</v>
      </c>
      <c r="KK14">
        <v>0</v>
      </c>
      <c r="KL14">
        <v>4.5</v>
      </c>
      <c r="KM14">
        <v>1</v>
      </c>
      <c r="KN14">
        <v>1.3</v>
      </c>
      <c r="KO14">
        <v>0</v>
      </c>
      <c r="KP14">
        <v>0</v>
      </c>
      <c r="KQ14">
        <v>0.8</v>
      </c>
      <c r="KR14">
        <v>0.8</v>
      </c>
      <c r="KS14">
        <v>0</v>
      </c>
      <c r="KT14">
        <v>2.1</v>
      </c>
      <c r="KU14">
        <v>0</v>
      </c>
      <c r="KV14">
        <v>0</v>
      </c>
      <c r="KW14">
        <v>1.2</v>
      </c>
      <c r="KX14">
        <v>2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3</v>
      </c>
      <c r="LI14">
        <v>0</v>
      </c>
      <c r="LJ14">
        <v>0</v>
      </c>
      <c r="LK14">
        <v>3</v>
      </c>
      <c r="LL14">
        <v>4</v>
      </c>
      <c r="LM14">
        <v>4</v>
      </c>
      <c r="LN14">
        <v>1</v>
      </c>
      <c r="LO14">
        <v>0.5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1.4</v>
      </c>
      <c r="LX14">
        <v>1.4</v>
      </c>
      <c r="LY14">
        <v>2.1</v>
      </c>
      <c r="LZ14">
        <v>2.1</v>
      </c>
      <c r="MA14">
        <v>0</v>
      </c>
      <c r="MB14">
        <v>0</v>
      </c>
      <c r="MC14">
        <v>0</v>
      </c>
      <c r="MD14">
        <v>4.5</v>
      </c>
      <c r="ME14">
        <v>6</v>
      </c>
      <c r="MF14">
        <v>6</v>
      </c>
      <c r="MI14">
        <v>0</v>
      </c>
      <c r="MJ14">
        <v>0</v>
      </c>
      <c r="ML14">
        <v>0</v>
      </c>
      <c r="MM14">
        <v>420</v>
      </c>
      <c r="MN14">
        <v>175</v>
      </c>
      <c r="MO14">
        <v>230</v>
      </c>
      <c r="NU14">
        <v>0.15</v>
      </c>
      <c r="NV14">
        <v>0.2</v>
      </c>
      <c r="NW14">
        <v>0.2</v>
      </c>
      <c r="NX14">
        <v>0.2</v>
      </c>
      <c r="NY14">
        <v>0.2</v>
      </c>
      <c r="NZ14">
        <v>0.2</v>
      </c>
      <c r="OE14" t="s">
        <v>4168</v>
      </c>
      <c r="OF14" t="s">
        <v>4166</v>
      </c>
      <c r="OG14" t="s">
        <v>4167</v>
      </c>
      <c r="OH14" t="s">
        <v>4043</v>
      </c>
      <c r="OI14" t="s">
        <v>4168</v>
      </c>
      <c r="OJ14" t="s">
        <v>4165</v>
      </c>
      <c r="OK14">
        <v>61</v>
      </c>
      <c r="OL14">
        <v>61</v>
      </c>
      <c r="OM14" t="s">
        <v>4166</v>
      </c>
      <c r="ON14">
        <v>1</v>
      </c>
      <c r="OO14">
        <v>2008</v>
      </c>
      <c r="OP14">
        <v>61</v>
      </c>
      <c r="OQ14">
        <v>61</v>
      </c>
      <c r="OR14" t="s">
        <v>4167</v>
      </c>
      <c r="OS14">
        <v>1</v>
      </c>
      <c r="OT14">
        <v>2020</v>
      </c>
      <c r="OU14">
        <v>65</v>
      </c>
      <c r="OV14">
        <v>65</v>
      </c>
      <c r="OW14" t="s">
        <v>4043</v>
      </c>
      <c r="OX14">
        <v>2</v>
      </c>
      <c r="OY14">
        <v>41037</v>
      </c>
      <c r="OZ14">
        <v>51</v>
      </c>
      <c r="PA14">
        <v>52</v>
      </c>
      <c r="PB14" t="s">
        <v>4168</v>
      </c>
      <c r="PC14">
        <v>5</v>
      </c>
      <c r="PD14">
        <v>2056</v>
      </c>
      <c r="PF14">
        <v>389</v>
      </c>
      <c r="PG14">
        <v>35</v>
      </c>
      <c r="PH14">
        <v>368</v>
      </c>
      <c r="PI14">
        <v>0</v>
      </c>
      <c r="PJ14">
        <v>43.6</v>
      </c>
      <c r="PK14">
        <v>1726</v>
      </c>
      <c r="PL14">
        <v>1199.6</v>
      </c>
      <c r="PM14">
        <v>365.9</v>
      </c>
      <c r="PN14">
        <v>91.59999999999999</v>
      </c>
      <c r="PO14">
        <v>9.800000000000001</v>
      </c>
      <c r="PP14">
        <v>12</v>
      </c>
      <c r="PQ14">
        <v>3</v>
      </c>
      <c r="PR14">
        <v>3</v>
      </c>
      <c r="PS14">
        <v>8</v>
      </c>
      <c r="PT14">
        <v>220</v>
      </c>
      <c r="PU14">
        <v>9</v>
      </c>
      <c r="PV14" t="s">
        <v>4072</v>
      </c>
      <c r="PW14" t="s">
        <v>4072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-1</v>
      </c>
      <c r="QF14">
        <v>1</v>
      </c>
      <c r="QG14">
        <v>0</v>
      </c>
      <c r="QH14">
        <v>5</v>
      </c>
      <c r="QI14">
        <v>5</v>
      </c>
      <c r="QJ14">
        <v>5</v>
      </c>
      <c r="QK14">
        <v>195</v>
      </c>
      <c r="QL14">
        <v>434</v>
      </c>
      <c r="QM14">
        <v>7.5</v>
      </c>
      <c r="QN14">
        <v>1285.7</v>
      </c>
      <c r="QO14" t="s">
        <v>556</v>
      </c>
      <c r="QP14" t="s">
        <v>513</v>
      </c>
      <c r="QQ14">
        <v>0</v>
      </c>
      <c r="QR14" t="s">
        <v>621</v>
      </c>
      <c r="QS14">
        <v>30</v>
      </c>
      <c r="QT14">
        <v>40</v>
      </c>
    </row>
    <row r="15" spans="1:462">
      <c r="A15" t="s">
        <v>818</v>
      </c>
      <c r="B15" t="s">
        <v>564</v>
      </c>
      <c r="C15" t="s">
        <v>509</v>
      </c>
      <c r="D15" t="s">
        <v>4169</v>
      </c>
      <c r="E15" t="s">
        <v>4036</v>
      </c>
      <c r="H15" t="s">
        <v>604</v>
      </c>
      <c r="J15" t="s">
        <v>628</v>
      </c>
      <c r="K15" t="s">
        <v>606</v>
      </c>
      <c r="L15" t="s">
        <v>629</v>
      </c>
      <c r="M15" t="s">
        <v>512</v>
      </c>
      <c r="O15" t="s">
        <v>513</v>
      </c>
      <c r="P15" t="s">
        <v>567</v>
      </c>
      <c r="Q15" t="s">
        <v>819</v>
      </c>
      <c r="R15" t="s">
        <v>820</v>
      </c>
      <c r="S15" t="s">
        <v>4170</v>
      </c>
      <c r="T15" t="s">
        <v>633</v>
      </c>
      <c r="U15" t="s">
        <v>634</v>
      </c>
      <c r="V15" t="s">
        <v>821</v>
      </c>
      <c r="W15" t="s">
        <v>573</v>
      </c>
      <c r="X15" t="s">
        <v>822</v>
      </c>
      <c r="Y15" t="s">
        <v>823</v>
      </c>
      <c r="Z15" t="s">
        <v>541</v>
      </c>
      <c r="AA15" t="s">
        <v>4038</v>
      </c>
      <c r="AB15" t="s">
        <v>4171</v>
      </c>
      <c r="AC15">
        <v>9</v>
      </c>
      <c r="AD15" t="s">
        <v>817</v>
      </c>
      <c r="AE15">
        <v>5</v>
      </c>
      <c r="AF15">
        <v>5167</v>
      </c>
      <c r="AG15" t="s">
        <v>4141</v>
      </c>
      <c r="AH15">
        <v>1</v>
      </c>
      <c r="AI15" t="s">
        <v>4041</v>
      </c>
      <c r="AK15" t="s">
        <v>4142</v>
      </c>
      <c r="AL15">
        <v>1</v>
      </c>
      <c r="AM15" t="s">
        <v>582</v>
      </c>
      <c r="AO15" t="s">
        <v>4043</v>
      </c>
      <c r="AP15">
        <v>1</v>
      </c>
      <c r="AR15" t="s">
        <v>4172</v>
      </c>
      <c r="AS15">
        <v>1</v>
      </c>
      <c r="AT15">
        <v>52</v>
      </c>
      <c r="AV15" t="s">
        <v>4078</v>
      </c>
      <c r="AW15">
        <v>6.4</v>
      </c>
      <c r="AX15">
        <v>-6</v>
      </c>
      <c r="AY15">
        <v>93.5</v>
      </c>
      <c r="AZ15">
        <v>70</v>
      </c>
      <c r="BH15">
        <v>93.5</v>
      </c>
      <c r="BI15">
        <v>23.5</v>
      </c>
      <c r="BJ15">
        <v>70</v>
      </c>
      <c r="BK15">
        <v>3.5</v>
      </c>
      <c r="BL15">
        <v>187</v>
      </c>
      <c r="BM15">
        <v>-6</v>
      </c>
      <c r="BN15">
        <v>0</v>
      </c>
      <c r="BP15">
        <v>0</v>
      </c>
      <c r="BR15">
        <v>180</v>
      </c>
      <c r="BS15">
        <v>170</v>
      </c>
      <c r="BT15">
        <v>2020</v>
      </c>
      <c r="BU15" t="s">
        <v>4096</v>
      </c>
      <c r="BV15" t="s">
        <v>4096</v>
      </c>
      <c r="BW15" t="s">
        <v>4097</v>
      </c>
      <c r="BX15" t="s">
        <v>4097</v>
      </c>
      <c r="BY15" t="s">
        <v>4107</v>
      </c>
      <c r="BZ15" t="s">
        <v>4173</v>
      </c>
      <c r="CA15" t="s">
        <v>4108</v>
      </c>
      <c r="CB15" t="s">
        <v>4109</v>
      </c>
      <c r="CC15" t="s">
        <v>4053</v>
      </c>
      <c r="CD15" t="s">
        <v>4110</v>
      </c>
      <c r="CE15" t="s">
        <v>4055</v>
      </c>
      <c r="CF15" t="s">
        <v>4055</v>
      </c>
      <c r="CG15" t="s">
        <v>4056</v>
      </c>
      <c r="CI15" t="s">
        <v>4058</v>
      </c>
      <c r="CJ15" t="s">
        <v>4059</v>
      </c>
      <c r="CK15" t="s">
        <v>4060</v>
      </c>
      <c r="CL15" t="s">
        <v>4061</v>
      </c>
      <c r="CM15" t="s">
        <v>4062</v>
      </c>
      <c r="CN15" t="s">
        <v>4055</v>
      </c>
      <c r="CO15" t="s">
        <v>4063</v>
      </c>
      <c r="CP15" t="s">
        <v>4055</v>
      </c>
      <c r="CQ15" t="s">
        <v>4055</v>
      </c>
      <c r="CR15">
        <v>5</v>
      </c>
      <c r="CS15" t="s">
        <v>4055</v>
      </c>
      <c r="CT15" t="s">
        <v>4055</v>
      </c>
      <c r="CU15" t="s">
        <v>4055</v>
      </c>
      <c r="CV15">
        <v>114</v>
      </c>
      <c r="CW15">
        <v>3</v>
      </c>
      <c r="CX15">
        <v>80</v>
      </c>
      <c r="CY15">
        <v>5</v>
      </c>
      <c r="CZ15">
        <v>140</v>
      </c>
      <c r="DA15">
        <v>5</v>
      </c>
      <c r="DB15">
        <v>10560</v>
      </c>
      <c r="DC15">
        <v>340</v>
      </c>
      <c r="DD15">
        <v>324</v>
      </c>
      <c r="DE15">
        <v>2130</v>
      </c>
      <c r="DF15">
        <v>2130</v>
      </c>
      <c r="DG15">
        <v>2140</v>
      </c>
      <c r="DH15" t="s">
        <v>4055</v>
      </c>
      <c r="DI15" t="s">
        <v>4055</v>
      </c>
      <c r="DJ15" t="s">
        <v>4100</v>
      </c>
      <c r="DK15">
        <v>180</v>
      </c>
      <c r="DL15" t="s">
        <v>4101</v>
      </c>
      <c r="DM15">
        <v>65</v>
      </c>
      <c r="DN15">
        <v>0.84</v>
      </c>
      <c r="DO15">
        <v>1</v>
      </c>
      <c r="DP15">
        <v>2023</v>
      </c>
      <c r="DQ15">
        <v>666</v>
      </c>
      <c r="DR15" t="s">
        <v>4100</v>
      </c>
      <c r="DS15">
        <v>170</v>
      </c>
      <c r="DT15" t="s">
        <v>4101</v>
      </c>
      <c r="DU15">
        <v>65</v>
      </c>
      <c r="DV15">
        <v>0.84</v>
      </c>
      <c r="DW15">
        <v>1</v>
      </c>
      <c r="DX15">
        <v>2030</v>
      </c>
      <c r="DY15">
        <v>631</v>
      </c>
      <c r="DZ15" t="s">
        <v>4066</v>
      </c>
      <c r="EA15">
        <v>33</v>
      </c>
      <c r="EB15" t="s">
        <v>4065</v>
      </c>
      <c r="EC15">
        <v>0.4</v>
      </c>
      <c r="ED15">
        <v>2023</v>
      </c>
      <c r="EE15">
        <v>59</v>
      </c>
      <c r="EF15" t="s">
        <v>4066</v>
      </c>
      <c r="EG15">
        <v>33</v>
      </c>
      <c r="EH15" t="s">
        <v>4065</v>
      </c>
      <c r="EI15">
        <v>0.4</v>
      </c>
      <c r="EJ15">
        <v>2030</v>
      </c>
      <c r="EK15">
        <v>59</v>
      </c>
      <c r="EL15" t="s">
        <v>1528</v>
      </c>
      <c r="EM15">
        <v>12</v>
      </c>
      <c r="EN15">
        <v>0.5</v>
      </c>
      <c r="EO15">
        <v>0.96</v>
      </c>
      <c r="EP15">
        <v>2030.56</v>
      </c>
      <c r="EQ15">
        <v>31568.86</v>
      </c>
      <c r="ER15">
        <v>7478.11</v>
      </c>
      <c r="ES15">
        <v>0</v>
      </c>
      <c r="ET15">
        <v>0</v>
      </c>
      <c r="EU15">
        <v>1</v>
      </c>
      <c r="EV15">
        <v>39047</v>
      </c>
      <c r="EW15">
        <v>469</v>
      </c>
      <c r="EX15" t="s">
        <v>4088</v>
      </c>
      <c r="EY15">
        <v>196</v>
      </c>
      <c r="EZ15" t="s">
        <v>4055</v>
      </c>
      <c r="FA15">
        <v>7.3</v>
      </c>
      <c r="FB15">
        <v>1</v>
      </c>
      <c r="FC15">
        <v>1</v>
      </c>
      <c r="FD15">
        <v>2067</v>
      </c>
      <c r="FE15">
        <v>2449</v>
      </c>
      <c r="FF15" t="s">
        <v>4089</v>
      </c>
      <c r="FG15">
        <v>196</v>
      </c>
      <c r="FH15" t="s">
        <v>4055</v>
      </c>
      <c r="FI15">
        <v>1.8</v>
      </c>
      <c r="FJ15">
        <v>2067</v>
      </c>
      <c r="FK15">
        <v>736</v>
      </c>
      <c r="FL15" t="s">
        <v>4069</v>
      </c>
      <c r="FM15" t="s">
        <v>4055</v>
      </c>
      <c r="FN15" t="s">
        <v>4055</v>
      </c>
      <c r="FO15" t="s">
        <v>4055</v>
      </c>
      <c r="FP15">
        <v>2067</v>
      </c>
      <c r="FQ15">
        <v>111</v>
      </c>
      <c r="FR15" t="s">
        <v>4090</v>
      </c>
      <c r="FS15">
        <v>200</v>
      </c>
      <c r="FT15" t="s">
        <v>4055</v>
      </c>
      <c r="FU15">
        <v>0.4</v>
      </c>
      <c r="FV15">
        <v>2067</v>
      </c>
      <c r="FW15">
        <v>184</v>
      </c>
      <c r="FX15" t="s">
        <v>4070</v>
      </c>
      <c r="FY15">
        <v>5</v>
      </c>
      <c r="FZ15" t="s">
        <v>4055</v>
      </c>
      <c r="GA15" t="s">
        <v>4055</v>
      </c>
      <c r="GB15">
        <v>2067</v>
      </c>
      <c r="GC15">
        <v>20</v>
      </c>
      <c r="GD15">
        <v>3500</v>
      </c>
      <c r="GE15" t="s">
        <v>4172</v>
      </c>
      <c r="GF15" t="s">
        <v>4055</v>
      </c>
      <c r="GG15" t="s">
        <v>4055</v>
      </c>
      <c r="GH15" t="s">
        <v>4055</v>
      </c>
      <c r="GI15" t="s">
        <v>4071</v>
      </c>
      <c r="GJ15" t="s">
        <v>4055</v>
      </c>
      <c r="GK15" t="s">
        <v>4055</v>
      </c>
      <c r="GL15" t="s">
        <v>4055</v>
      </c>
      <c r="GM15" t="s">
        <v>4055</v>
      </c>
      <c r="GQ15">
        <v>0</v>
      </c>
      <c r="GV15">
        <v>9.5</v>
      </c>
      <c r="GW15">
        <v>7.8</v>
      </c>
      <c r="GX15">
        <v>0.5</v>
      </c>
      <c r="GY15">
        <v>170</v>
      </c>
      <c r="GZ15">
        <v>3</v>
      </c>
      <c r="HA15">
        <v>216</v>
      </c>
      <c r="HB15">
        <v>3</v>
      </c>
      <c r="HC15">
        <v>2067</v>
      </c>
      <c r="HD15">
        <v>4</v>
      </c>
      <c r="HE15" t="s">
        <v>4071</v>
      </c>
      <c r="HG15" t="s">
        <v>549</v>
      </c>
      <c r="HL15">
        <v>4</v>
      </c>
      <c r="HM15">
        <v>17</v>
      </c>
      <c r="HN15">
        <v>6</v>
      </c>
      <c r="HO15">
        <v>1</v>
      </c>
      <c r="HP15">
        <v>0</v>
      </c>
      <c r="HQ15">
        <v>0</v>
      </c>
      <c r="HR15">
        <v>3</v>
      </c>
      <c r="HS15">
        <v>2020</v>
      </c>
      <c r="HT15">
        <v>5</v>
      </c>
      <c r="HU15">
        <v>1</v>
      </c>
      <c r="HV15">
        <v>3</v>
      </c>
      <c r="HW15">
        <v>0</v>
      </c>
      <c r="HX15">
        <v>1</v>
      </c>
      <c r="HY15">
        <v>0</v>
      </c>
      <c r="HZ15">
        <v>65</v>
      </c>
      <c r="IA15">
        <v>2023</v>
      </c>
      <c r="IB15">
        <v>2030</v>
      </c>
      <c r="ID15">
        <v>2067</v>
      </c>
      <c r="IE15">
        <v>2067</v>
      </c>
      <c r="IF15">
        <v>180</v>
      </c>
      <c r="IG15">
        <v>170</v>
      </c>
      <c r="IH15">
        <v>216</v>
      </c>
      <c r="II15">
        <v>1</v>
      </c>
      <c r="IJ15">
        <v>5</v>
      </c>
      <c r="IK15">
        <v>0</v>
      </c>
      <c r="IL15">
        <v>0</v>
      </c>
      <c r="IM15">
        <v>0</v>
      </c>
      <c r="IN15">
        <v>270</v>
      </c>
      <c r="IO15">
        <v>0</v>
      </c>
      <c r="IP15">
        <v>180</v>
      </c>
      <c r="IQ15">
        <v>0</v>
      </c>
      <c r="IR15">
        <v>330</v>
      </c>
      <c r="IS15">
        <v>0</v>
      </c>
      <c r="IT15">
        <v>90</v>
      </c>
      <c r="IU15">
        <v>0</v>
      </c>
      <c r="IV15">
        <v>6.4</v>
      </c>
      <c r="IW15">
        <v>-6</v>
      </c>
      <c r="IX15">
        <v>93.5</v>
      </c>
      <c r="IY15">
        <v>70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382</v>
      </c>
      <c r="JJ15">
        <v>352</v>
      </c>
      <c r="JK15">
        <v>262</v>
      </c>
      <c r="JL15">
        <v>350</v>
      </c>
      <c r="JM15">
        <v>270</v>
      </c>
      <c r="JN15">
        <v>180</v>
      </c>
      <c r="JO15">
        <v>226</v>
      </c>
      <c r="JP15">
        <v>195</v>
      </c>
      <c r="JQ15">
        <v>240</v>
      </c>
      <c r="JR15">
        <v>336</v>
      </c>
      <c r="JS15">
        <v>240</v>
      </c>
      <c r="JT15">
        <v>0</v>
      </c>
      <c r="JU15">
        <v>0</v>
      </c>
      <c r="JV15">
        <v>335</v>
      </c>
      <c r="JW15">
        <v>337</v>
      </c>
      <c r="JX15">
        <v>320</v>
      </c>
      <c r="JY15">
        <v>300</v>
      </c>
      <c r="JZ15">
        <v>1</v>
      </c>
      <c r="KA15">
        <v>0.2</v>
      </c>
      <c r="KB15">
        <v>0.4</v>
      </c>
      <c r="KC15">
        <v>0.42</v>
      </c>
      <c r="KD15">
        <v>0.28</v>
      </c>
      <c r="KE15">
        <v>0.5</v>
      </c>
      <c r="KF15">
        <v>0.19</v>
      </c>
      <c r="KG15">
        <v>0.11</v>
      </c>
      <c r="KH15">
        <v>3.5</v>
      </c>
      <c r="KI15">
        <v>1</v>
      </c>
      <c r="KJ15">
        <v>4.5</v>
      </c>
      <c r="KK15">
        <v>0</v>
      </c>
      <c r="KL15">
        <v>4.5</v>
      </c>
      <c r="KM15">
        <v>0</v>
      </c>
      <c r="KN15">
        <v>1.3</v>
      </c>
      <c r="KO15">
        <v>0</v>
      </c>
      <c r="KP15">
        <v>0</v>
      </c>
      <c r="KQ15">
        <v>0.8</v>
      </c>
      <c r="KR15">
        <v>1</v>
      </c>
      <c r="KS15">
        <v>0</v>
      </c>
      <c r="KT15">
        <v>1.8</v>
      </c>
      <c r="KU15">
        <v>0</v>
      </c>
      <c r="KV15">
        <v>0</v>
      </c>
      <c r="KW15">
        <v>0.8</v>
      </c>
      <c r="KX15">
        <v>0.8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3</v>
      </c>
      <c r="LI15">
        <v>3</v>
      </c>
      <c r="LJ15">
        <v>0</v>
      </c>
      <c r="LK15">
        <v>4.5</v>
      </c>
      <c r="LL15">
        <v>6</v>
      </c>
      <c r="LM15">
        <v>7.5</v>
      </c>
      <c r="LN15">
        <v>0.1</v>
      </c>
      <c r="LO15">
        <v>0.1</v>
      </c>
      <c r="LP15">
        <v>0</v>
      </c>
      <c r="LQ15">
        <v>0</v>
      </c>
      <c r="LR15">
        <v>0</v>
      </c>
      <c r="LS15">
        <v>1</v>
      </c>
      <c r="LT15">
        <v>0</v>
      </c>
      <c r="LU15">
        <v>0</v>
      </c>
      <c r="LV15">
        <v>0</v>
      </c>
      <c r="LW15">
        <v>2.1</v>
      </c>
      <c r="LX15">
        <v>2.1</v>
      </c>
      <c r="LY15">
        <v>2.1</v>
      </c>
      <c r="LZ15">
        <v>2.1</v>
      </c>
      <c r="MA15">
        <v>0</v>
      </c>
      <c r="MB15">
        <v>3</v>
      </c>
      <c r="MC15">
        <v>1</v>
      </c>
      <c r="MD15">
        <v>4.5</v>
      </c>
      <c r="ME15">
        <v>6</v>
      </c>
      <c r="MF15">
        <v>6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420</v>
      </c>
      <c r="MN15">
        <v>175</v>
      </c>
      <c r="MO15">
        <v>226</v>
      </c>
      <c r="NU15">
        <v>0.15</v>
      </c>
      <c r="NV15">
        <v>0.2</v>
      </c>
      <c r="NW15">
        <v>0.2</v>
      </c>
      <c r="NX15">
        <v>2</v>
      </c>
      <c r="NY15">
        <v>2</v>
      </c>
      <c r="NZ15">
        <v>2</v>
      </c>
      <c r="OE15" t="s">
        <v>4172</v>
      </c>
      <c r="OF15" t="s">
        <v>4141</v>
      </c>
      <c r="OG15" t="s">
        <v>4142</v>
      </c>
      <c r="OH15" t="s">
        <v>4043</v>
      </c>
      <c r="OI15" t="s">
        <v>4172</v>
      </c>
      <c r="OJ15" t="s">
        <v>4171</v>
      </c>
      <c r="OK15">
        <v>61</v>
      </c>
      <c r="OL15">
        <v>61</v>
      </c>
      <c r="OM15" t="s">
        <v>4141</v>
      </c>
      <c r="ON15">
        <v>2</v>
      </c>
      <c r="OO15">
        <v>2023</v>
      </c>
      <c r="OP15">
        <v>61</v>
      </c>
      <c r="OQ15">
        <v>61</v>
      </c>
      <c r="OR15" t="s">
        <v>4142</v>
      </c>
      <c r="OS15">
        <v>2</v>
      </c>
      <c r="OT15">
        <v>2030</v>
      </c>
      <c r="OU15">
        <v>65</v>
      </c>
      <c r="OV15">
        <v>65</v>
      </c>
      <c r="OW15" t="s">
        <v>4043</v>
      </c>
      <c r="OX15">
        <v>1</v>
      </c>
      <c r="OY15">
        <v>39047</v>
      </c>
      <c r="OZ15">
        <v>51</v>
      </c>
      <c r="PA15">
        <v>52</v>
      </c>
      <c r="PB15" t="s">
        <v>4172</v>
      </c>
      <c r="PC15">
        <v>3</v>
      </c>
      <c r="PD15">
        <v>2067</v>
      </c>
      <c r="PF15">
        <v>329</v>
      </c>
      <c r="PG15">
        <v>29</v>
      </c>
      <c r="PH15">
        <v>311</v>
      </c>
      <c r="PI15">
        <v>29</v>
      </c>
      <c r="PJ15">
        <v>53.5</v>
      </c>
      <c r="PK15">
        <v>1686</v>
      </c>
      <c r="PL15">
        <v>1184.8</v>
      </c>
      <c r="PM15">
        <v>356.1</v>
      </c>
      <c r="PN15">
        <v>88.90000000000001</v>
      </c>
      <c r="PO15">
        <v>9.6</v>
      </c>
      <c r="PP15">
        <v>12</v>
      </c>
      <c r="PQ15">
        <v>3</v>
      </c>
      <c r="PR15">
        <v>3</v>
      </c>
      <c r="PS15">
        <v>0</v>
      </c>
      <c r="PT15">
        <v>216</v>
      </c>
      <c r="PU15">
        <v>10</v>
      </c>
      <c r="PV15" t="s">
        <v>4072</v>
      </c>
      <c r="PW15" t="s">
        <v>4072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-1</v>
      </c>
      <c r="QF15">
        <v>1</v>
      </c>
      <c r="QG15">
        <v>0</v>
      </c>
      <c r="QH15">
        <v>5</v>
      </c>
      <c r="QI15">
        <v>5</v>
      </c>
      <c r="QJ15">
        <v>5</v>
      </c>
      <c r="QK15">
        <v>185</v>
      </c>
      <c r="QL15">
        <v>416</v>
      </c>
      <c r="QM15">
        <v>7.5</v>
      </c>
      <c r="QN15">
        <v>1384.6</v>
      </c>
      <c r="QO15" t="s">
        <v>556</v>
      </c>
      <c r="QP15" t="s">
        <v>513</v>
      </c>
      <c r="QQ15">
        <v>0</v>
      </c>
      <c r="QR15" t="s">
        <v>621</v>
      </c>
      <c r="QS15">
        <v>30</v>
      </c>
      <c r="QT15">
        <v>40</v>
      </c>
    </row>
    <row r="16" spans="1:462">
      <c r="A16" t="s">
        <v>834</v>
      </c>
      <c r="B16" t="s">
        <v>629</v>
      </c>
      <c r="C16" t="s">
        <v>509</v>
      </c>
      <c r="D16" t="s">
        <v>833</v>
      </c>
      <c r="E16" t="s">
        <v>4036</v>
      </c>
      <c r="H16" t="s">
        <v>604</v>
      </c>
      <c r="I16" t="s">
        <v>605</v>
      </c>
      <c r="J16" t="s">
        <v>628</v>
      </c>
      <c r="K16" t="s">
        <v>606</v>
      </c>
      <c r="L16" t="s">
        <v>711</v>
      </c>
      <c r="M16" t="s">
        <v>512</v>
      </c>
      <c r="O16" t="s">
        <v>513</v>
      </c>
      <c r="P16" t="s">
        <v>567</v>
      </c>
      <c r="Q16" t="s">
        <v>835</v>
      </c>
      <c r="R16" t="s">
        <v>685</v>
      </c>
      <c r="S16" t="s">
        <v>4037</v>
      </c>
      <c r="T16" t="s">
        <v>662</v>
      </c>
      <c r="U16" t="s">
        <v>663</v>
      </c>
      <c r="V16" t="s">
        <v>836</v>
      </c>
      <c r="W16" t="s">
        <v>573</v>
      </c>
      <c r="X16" t="s">
        <v>837</v>
      </c>
      <c r="Y16" t="s">
        <v>838</v>
      </c>
      <c r="Z16" t="s">
        <v>650</v>
      </c>
      <c r="AA16" t="s">
        <v>4038</v>
      </c>
      <c r="AB16" t="s">
        <v>4174</v>
      </c>
      <c r="AC16">
        <v>9</v>
      </c>
      <c r="AD16" t="s">
        <v>832</v>
      </c>
      <c r="AE16">
        <v>4</v>
      </c>
      <c r="AF16">
        <v>5639</v>
      </c>
      <c r="AG16" t="s">
        <v>4175</v>
      </c>
      <c r="AH16">
        <v>1</v>
      </c>
      <c r="AI16" t="s">
        <v>4041</v>
      </c>
      <c r="AK16" t="s">
        <v>4176</v>
      </c>
      <c r="AL16">
        <v>1</v>
      </c>
      <c r="AM16" t="s">
        <v>582</v>
      </c>
      <c r="AO16" t="s">
        <v>4043</v>
      </c>
      <c r="AP16">
        <v>1</v>
      </c>
      <c r="AR16" t="s">
        <v>4177</v>
      </c>
      <c r="AS16">
        <v>1</v>
      </c>
      <c r="AT16">
        <v>52</v>
      </c>
      <c r="AV16" t="s">
        <v>4078</v>
      </c>
      <c r="AW16">
        <v>6.4</v>
      </c>
      <c r="AX16">
        <v>-6</v>
      </c>
      <c r="AY16">
        <v>106</v>
      </c>
      <c r="AZ16">
        <v>72</v>
      </c>
      <c r="BB16" t="s">
        <v>4055</v>
      </c>
      <c r="BC16" t="s">
        <v>4055</v>
      </c>
      <c r="BH16">
        <v>106</v>
      </c>
      <c r="BI16">
        <v>34</v>
      </c>
      <c r="BJ16">
        <v>72</v>
      </c>
      <c r="BK16">
        <v>3.5</v>
      </c>
      <c r="BL16">
        <v>212</v>
      </c>
      <c r="BM16">
        <v>-6</v>
      </c>
      <c r="BN16">
        <v>0</v>
      </c>
      <c r="BP16">
        <v>0</v>
      </c>
      <c r="BR16">
        <v>205</v>
      </c>
      <c r="BS16">
        <v>195</v>
      </c>
      <c r="BT16">
        <v>2095</v>
      </c>
      <c r="BU16" t="s">
        <v>4127</v>
      </c>
      <c r="BV16" t="s">
        <v>4127</v>
      </c>
      <c r="BW16" t="s">
        <v>4128</v>
      </c>
      <c r="BX16" t="s">
        <v>4128</v>
      </c>
      <c r="BY16" t="s">
        <v>4117</v>
      </c>
      <c r="BZ16" t="s">
        <v>4117</v>
      </c>
      <c r="CA16" t="s">
        <v>4118</v>
      </c>
      <c r="CB16" t="s">
        <v>4119</v>
      </c>
      <c r="CC16" t="s">
        <v>4053</v>
      </c>
      <c r="CD16" t="s">
        <v>4121</v>
      </c>
      <c r="CE16" t="s">
        <v>4055</v>
      </c>
      <c r="CF16" t="s">
        <v>4055</v>
      </c>
      <c r="CG16" t="s">
        <v>4056</v>
      </c>
      <c r="CI16" t="s">
        <v>4058</v>
      </c>
      <c r="CJ16" t="s">
        <v>4059</v>
      </c>
      <c r="CK16" t="s">
        <v>4060</v>
      </c>
      <c r="CL16" t="s">
        <v>4061</v>
      </c>
      <c r="CM16" t="s">
        <v>4062</v>
      </c>
      <c r="CN16" t="s">
        <v>4055</v>
      </c>
      <c r="CO16" t="s">
        <v>4063</v>
      </c>
      <c r="CP16" t="s">
        <v>4055</v>
      </c>
      <c r="CQ16" t="s">
        <v>4055</v>
      </c>
      <c r="CR16">
        <v>5</v>
      </c>
      <c r="CS16" t="s">
        <v>4055</v>
      </c>
      <c r="CT16" t="s">
        <v>4055</v>
      </c>
      <c r="CU16" t="s">
        <v>4055</v>
      </c>
      <c r="CV16">
        <v>133</v>
      </c>
      <c r="CW16">
        <v>3</v>
      </c>
      <c r="CX16">
        <v>115</v>
      </c>
      <c r="CY16">
        <v>5</v>
      </c>
      <c r="CZ16">
        <v>150</v>
      </c>
      <c r="DA16">
        <v>5</v>
      </c>
      <c r="DB16">
        <v>12380</v>
      </c>
      <c r="DC16">
        <v>280</v>
      </c>
      <c r="DD16">
        <v>343</v>
      </c>
      <c r="DE16">
        <v>2206</v>
      </c>
      <c r="DF16">
        <v>2206</v>
      </c>
      <c r="DG16">
        <v>2216</v>
      </c>
      <c r="DH16" t="s">
        <v>4055</v>
      </c>
      <c r="DI16" t="s">
        <v>4055</v>
      </c>
      <c r="DJ16" t="s">
        <v>4064</v>
      </c>
      <c r="DK16">
        <v>205</v>
      </c>
      <c r="DL16" t="s">
        <v>4065</v>
      </c>
      <c r="DM16">
        <v>65</v>
      </c>
      <c r="DN16">
        <v>1.2</v>
      </c>
      <c r="DO16">
        <v>1</v>
      </c>
      <c r="DP16">
        <v>2099</v>
      </c>
      <c r="DQ16">
        <v>989</v>
      </c>
      <c r="DR16" t="s">
        <v>4064</v>
      </c>
      <c r="DS16">
        <v>195</v>
      </c>
      <c r="DT16" t="s">
        <v>4065</v>
      </c>
      <c r="DU16">
        <v>65</v>
      </c>
      <c r="DV16">
        <v>1.2</v>
      </c>
      <c r="DW16">
        <v>1</v>
      </c>
      <c r="DX16">
        <v>2111</v>
      </c>
      <c r="DY16">
        <v>946</v>
      </c>
      <c r="DZ16" t="s">
        <v>4066</v>
      </c>
      <c r="EA16">
        <v>20</v>
      </c>
      <c r="EB16" t="s">
        <v>4065</v>
      </c>
      <c r="EC16">
        <v>0.8</v>
      </c>
      <c r="ED16">
        <v>2099</v>
      </c>
      <c r="EE16">
        <v>73</v>
      </c>
      <c r="EG16">
        <v>0</v>
      </c>
      <c r="EH16" t="s">
        <v>4065</v>
      </c>
      <c r="EI16">
        <v>0</v>
      </c>
      <c r="EL16" t="s">
        <v>1528</v>
      </c>
      <c r="EM16">
        <v>12</v>
      </c>
      <c r="EN16">
        <v>0.5</v>
      </c>
      <c r="EO16">
        <v>0.96</v>
      </c>
      <c r="EP16">
        <v>2110.08</v>
      </c>
      <c r="EQ16">
        <v>36926.4</v>
      </c>
      <c r="ER16">
        <v>11241.84</v>
      </c>
      <c r="ES16">
        <v>0</v>
      </c>
      <c r="ET16">
        <v>0</v>
      </c>
      <c r="EU16">
        <v>1</v>
      </c>
      <c r="EV16">
        <v>48169</v>
      </c>
      <c r="EW16">
        <v>579</v>
      </c>
      <c r="EX16" t="s">
        <v>4088</v>
      </c>
      <c r="EY16">
        <v>228</v>
      </c>
      <c r="EZ16" t="s">
        <v>4055</v>
      </c>
      <c r="FA16">
        <v>5.8</v>
      </c>
      <c r="FB16">
        <v>1</v>
      </c>
      <c r="FC16">
        <v>1</v>
      </c>
      <c r="FD16">
        <v>2142</v>
      </c>
      <c r="FE16">
        <v>2828</v>
      </c>
      <c r="FF16" t="s">
        <v>4089</v>
      </c>
      <c r="FG16">
        <v>228</v>
      </c>
      <c r="FH16" t="s">
        <v>4055</v>
      </c>
      <c r="FI16">
        <v>1.8</v>
      </c>
      <c r="FJ16">
        <v>2142</v>
      </c>
      <c r="FK16">
        <v>901</v>
      </c>
      <c r="FL16" t="s">
        <v>4069</v>
      </c>
      <c r="FM16" t="s">
        <v>4055</v>
      </c>
      <c r="FN16" t="s">
        <v>4055</v>
      </c>
      <c r="FO16" t="s">
        <v>4055</v>
      </c>
      <c r="FP16">
        <v>2142</v>
      </c>
      <c r="FQ16">
        <v>181</v>
      </c>
      <c r="FR16" t="s">
        <v>4090</v>
      </c>
      <c r="FS16">
        <v>232</v>
      </c>
      <c r="FT16" t="s">
        <v>4055</v>
      </c>
      <c r="FU16">
        <v>0.4</v>
      </c>
      <c r="FV16">
        <v>2142</v>
      </c>
      <c r="FW16">
        <v>221</v>
      </c>
      <c r="FX16" t="s">
        <v>4070</v>
      </c>
      <c r="FY16">
        <v>5</v>
      </c>
      <c r="FZ16" t="s">
        <v>4055</v>
      </c>
      <c r="GA16" t="s">
        <v>4055</v>
      </c>
      <c r="GB16">
        <v>2142</v>
      </c>
      <c r="GC16">
        <v>20</v>
      </c>
      <c r="GD16">
        <v>4151</v>
      </c>
      <c r="GE16" t="s">
        <v>4177</v>
      </c>
      <c r="GF16" t="s">
        <v>4055</v>
      </c>
      <c r="GG16" t="s">
        <v>4055</v>
      </c>
      <c r="GH16" t="s">
        <v>4055</v>
      </c>
      <c r="GI16" t="s">
        <v>4071</v>
      </c>
      <c r="GJ16" t="s">
        <v>4055</v>
      </c>
      <c r="GK16" t="s">
        <v>4055</v>
      </c>
      <c r="GL16" t="s">
        <v>4055</v>
      </c>
      <c r="GM16" t="s">
        <v>4055</v>
      </c>
      <c r="GQ16">
        <v>0</v>
      </c>
      <c r="GV16">
        <v>8</v>
      </c>
      <c r="GW16">
        <v>8</v>
      </c>
      <c r="GX16">
        <v>0.5</v>
      </c>
      <c r="GY16">
        <v>200</v>
      </c>
      <c r="GZ16">
        <v>3</v>
      </c>
      <c r="HA16">
        <v>250</v>
      </c>
      <c r="HB16">
        <v>3</v>
      </c>
      <c r="HC16">
        <v>2142</v>
      </c>
      <c r="HD16">
        <v>4</v>
      </c>
      <c r="HE16" t="s">
        <v>4071</v>
      </c>
      <c r="HG16" t="s">
        <v>549</v>
      </c>
      <c r="HL16">
        <v>4</v>
      </c>
      <c r="HM16">
        <v>18</v>
      </c>
      <c r="HN16">
        <v>1</v>
      </c>
      <c r="HO16">
        <v>1</v>
      </c>
      <c r="HP16">
        <v>0</v>
      </c>
      <c r="HQ16">
        <v>0</v>
      </c>
      <c r="HR16">
        <v>3</v>
      </c>
      <c r="HS16">
        <v>2095</v>
      </c>
      <c r="HT16">
        <v>5</v>
      </c>
      <c r="HU16">
        <v>1</v>
      </c>
      <c r="HV16">
        <v>3</v>
      </c>
      <c r="HW16">
        <v>0</v>
      </c>
      <c r="HX16">
        <v>1</v>
      </c>
      <c r="HY16">
        <v>0</v>
      </c>
      <c r="HZ16">
        <v>65</v>
      </c>
      <c r="IA16">
        <v>2099</v>
      </c>
      <c r="IB16">
        <v>2111</v>
      </c>
      <c r="ID16">
        <v>2142</v>
      </c>
      <c r="IE16">
        <v>2142</v>
      </c>
      <c r="IF16">
        <v>205</v>
      </c>
      <c r="IG16">
        <v>195</v>
      </c>
      <c r="IH16">
        <v>250</v>
      </c>
      <c r="II16">
        <v>1</v>
      </c>
      <c r="IJ16">
        <v>5</v>
      </c>
      <c r="IK16">
        <v>0</v>
      </c>
      <c r="IL16">
        <v>0</v>
      </c>
      <c r="IM16">
        <v>0</v>
      </c>
      <c r="IN16">
        <v>270</v>
      </c>
      <c r="IO16">
        <v>0</v>
      </c>
      <c r="IP16">
        <v>180</v>
      </c>
      <c r="IQ16">
        <v>0</v>
      </c>
      <c r="IR16">
        <v>330</v>
      </c>
      <c r="IS16">
        <v>0</v>
      </c>
      <c r="IT16">
        <v>90</v>
      </c>
      <c r="IU16">
        <v>0</v>
      </c>
      <c r="IV16">
        <v>6.4</v>
      </c>
      <c r="IW16">
        <v>-6</v>
      </c>
      <c r="IX16">
        <v>106</v>
      </c>
      <c r="IY16">
        <v>72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402</v>
      </c>
      <c r="JJ16">
        <v>372</v>
      </c>
      <c r="JK16">
        <v>260</v>
      </c>
      <c r="JL16">
        <v>370</v>
      </c>
      <c r="JM16">
        <v>260</v>
      </c>
      <c r="JN16">
        <v>205</v>
      </c>
      <c r="JO16">
        <v>260</v>
      </c>
      <c r="JP16">
        <v>195</v>
      </c>
      <c r="JQ16">
        <v>240</v>
      </c>
      <c r="JR16">
        <v>315</v>
      </c>
      <c r="JS16">
        <v>235</v>
      </c>
      <c r="JT16">
        <v>0</v>
      </c>
      <c r="JU16">
        <v>0</v>
      </c>
      <c r="JV16">
        <v>310</v>
      </c>
      <c r="JW16">
        <v>315</v>
      </c>
      <c r="JX16">
        <v>310</v>
      </c>
      <c r="JY16">
        <v>305</v>
      </c>
      <c r="JZ16">
        <v>1</v>
      </c>
      <c r="KA16">
        <v>0.25</v>
      </c>
      <c r="KB16">
        <v>0.4</v>
      </c>
      <c r="KC16">
        <v>0.42</v>
      </c>
      <c r="KD16">
        <v>0.28</v>
      </c>
      <c r="KE16">
        <v>0.5</v>
      </c>
      <c r="KF16">
        <v>0.18</v>
      </c>
      <c r="KG16">
        <v>0.1</v>
      </c>
      <c r="KH16">
        <v>3.5</v>
      </c>
      <c r="KI16">
        <v>1</v>
      </c>
      <c r="KJ16">
        <v>4.5</v>
      </c>
      <c r="KK16">
        <v>0.5</v>
      </c>
      <c r="KL16">
        <v>4.5</v>
      </c>
      <c r="KM16">
        <v>0.5</v>
      </c>
      <c r="KN16">
        <v>1.4</v>
      </c>
      <c r="KO16">
        <v>0</v>
      </c>
      <c r="KP16">
        <v>0</v>
      </c>
      <c r="KQ16">
        <v>1</v>
      </c>
      <c r="KR16">
        <v>0.8</v>
      </c>
      <c r="KS16">
        <v>0</v>
      </c>
      <c r="KT16">
        <v>3</v>
      </c>
      <c r="KU16">
        <v>0</v>
      </c>
      <c r="KV16">
        <v>0</v>
      </c>
      <c r="KW16">
        <v>0.8</v>
      </c>
      <c r="KX16">
        <v>2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2</v>
      </c>
      <c r="LI16">
        <v>1</v>
      </c>
      <c r="LJ16">
        <v>0</v>
      </c>
      <c r="LK16">
        <v>5</v>
      </c>
      <c r="LL16">
        <v>7.5</v>
      </c>
      <c r="LM16">
        <v>9</v>
      </c>
      <c r="LN16">
        <v>0.5</v>
      </c>
      <c r="LO16">
        <v>1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1.7</v>
      </c>
      <c r="LX16">
        <v>1.7</v>
      </c>
      <c r="LY16">
        <v>2.1</v>
      </c>
      <c r="LZ16">
        <v>2.1</v>
      </c>
      <c r="MA16">
        <v>0</v>
      </c>
      <c r="MB16">
        <v>6</v>
      </c>
      <c r="MC16">
        <v>0</v>
      </c>
      <c r="MD16">
        <v>4.5</v>
      </c>
      <c r="ME16">
        <v>6</v>
      </c>
      <c r="MF16">
        <v>6</v>
      </c>
      <c r="MG16">
        <v>0</v>
      </c>
      <c r="MH16">
        <v>0</v>
      </c>
      <c r="MI16">
        <v>0</v>
      </c>
      <c r="MJ16">
        <v>0</v>
      </c>
      <c r="MK16">
        <v>0</v>
      </c>
      <c r="MM16">
        <v>420</v>
      </c>
      <c r="MN16">
        <v>200</v>
      </c>
      <c r="MO16">
        <v>260</v>
      </c>
      <c r="NU16">
        <v>0.15</v>
      </c>
      <c r="NV16">
        <v>0.2</v>
      </c>
      <c r="NW16">
        <v>0.2</v>
      </c>
      <c r="NX16">
        <v>0.2</v>
      </c>
      <c r="NY16">
        <v>0.2</v>
      </c>
      <c r="NZ16">
        <v>0.2</v>
      </c>
      <c r="OE16" t="s">
        <v>4177</v>
      </c>
      <c r="OF16" t="s">
        <v>4175</v>
      </c>
      <c r="OG16" t="s">
        <v>4176</v>
      </c>
      <c r="OH16" t="s">
        <v>4043</v>
      </c>
      <c r="OI16" t="s">
        <v>4177</v>
      </c>
      <c r="OJ16" t="s">
        <v>4174</v>
      </c>
      <c r="OK16">
        <v>61</v>
      </c>
      <c r="OL16">
        <v>61</v>
      </c>
      <c r="OM16" t="s">
        <v>4175</v>
      </c>
      <c r="ON16">
        <v>1</v>
      </c>
      <c r="OO16">
        <v>2099</v>
      </c>
      <c r="OP16">
        <v>61</v>
      </c>
      <c r="OQ16">
        <v>61</v>
      </c>
      <c r="OR16" t="s">
        <v>4176</v>
      </c>
      <c r="OS16">
        <v>1</v>
      </c>
      <c r="OT16">
        <v>2111</v>
      </c>
      <c r="OU16">
        <v>65</v>
      </c>
      <c r="OV16">
        <v>65</v>
      </c>
      <c r="OW16" t="s">
        <v>4043</v>
      </c>
      <c r="OX16">
        <v>1</v>
      </c>
      <c r="OY16">
        <v>48169</v>
      </c>
      <c r="OZ16">
        <v>51</v>
      </c>
      <c r="PA16">
        <v>52</v>
      </c>
      <c r="PB16" t="s">
        <v>4177</v>
      </c>
      <c r="PC16">
        <v>3</v>
      </c>
      <c r="PD16">
        <v>2142</v>
      </c>
      <c r="PF16">
        <v>471</v>
      </c>
      <c r="PG16">
        <v>35</v>
      </c>
      <c r="PH16">
        <v>448</v>
      </c>
      <c r="PI16">
        <v>0</v>
      </c>
      <c r="PJ16">
        <v>84.40000000000001</v>
      </c>
      <c r="PK16">
        <v>1936</v>
      </c>
      <c r="PL16">
        <v>1320.2</v>
      </c>
      <c r="PM16">
        <v>420.7</v>
      </c>
      <c r="PN16">
        <v>103.2</v>
      </c>
      <c r="PO16">
        <v>9.300000000000001</v>
      </c>
      <c r="PP16">
        <v>12</v>
      </c>
      <c r="PQ16">
        <v>5</v>
      </c>
      <c r="PR16">
        <v>5</v>
      </c>
      <c r="PS16">
        <v>0</v>
      </c>
      <c r="PT16">
        <v>250</v>
      </c>
      <c r="PU16">
        <v>11</v>
      </c>
      <c r="PV16" t="s">
        <v>4072</v>
      </c>
      <c r="PW16" t="s">
        <v>4072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-1</v>
      </c>
      <c r="QF16">
        <v>1</v>
      </c>
      <c r="QG16">
        <v>0</v>
      </c>
      <c r="QH16">
        <v>5</v>
      </c>
      <c r="QI16">
        <v>5</v>
      </c>
      <c r="QJ16">
        <v>5</v>
      </c>
      <c r="QK16">
        <v>196</v>
      </c>
      <c r="QL16">
        <v>436</v>
      </c>
      <c r="QM16">
        <v>7.5</v>
      </c>
      <c r="QN16">
        <v>1464.3</v>
      </c>
      <c r="QO16" t="s">
        <v>556</v>
      </c>
      <c r="QP16" t="s">
        <v>513</v>
      </c>
      <c r="QQ16">
        <v>0</v>
      </c>
      <c r="QR16" t="s">
        <v>677</v>
      </c>
      <c r="QS16">
        <v>30</v>
      </c>
      <c r="QT16">
        <v>40</v>
      </c>
    </row>
    <row r="17" spans="1:462">
      <c r="A17" t="s">
        <v>848</v>
      </c>
      <c r="B17" t="s">
        <v>559</v>
      </c>
      <c r="C17" t="s">
        <v>509</v>
      </c>
      <c r="D17" t="s">
        <v>4178</v>
      </c>
      <c r="E17" t="s">
        <v>4036</v>
      </c>
      <c r="H17" t="s">
        <v>604</v>
      </c>
      <c r="J17" t="s">
        <v>628</v>
      </c>
      <c r="K17" t="s">
        <v>606</v>
      </c>
      <c r="L17" t="s">
        <v>564</v>
      </c>
      <c r="M17" t="s">
        <v>512</v>
      </c>
      <c r="O17" t="s">
        <v>513</v>
      </c>
      <c r="P17" t="s">
        <v>567</v>
      </c>
      <c r="Q17" t="s">
        <v>849</v>
      </c>
      <c r="R17" t="s">
        <v>743</v>
      </c>
      <c r="S17" t="s">
        <v>4134</v>
      </c>
      <c r="T17" t="s">
        <v>686</v>
      </c>
      <c r="U17" t="s">
        <v>687</v>
      </c>
      <c r="V17" t="s">
        <v>850</v>
      </c>
      <c r="W17" t="s">
        <v>573</v>
      </c>
      <c r="X17" t="s">
        <v>851</v>
      </c>
      <c r="Y17" t="s">
        <v>852</v>
      </c>
      <c r="Z17" t="s">
        <v>650</v>
      </c>
      <c r="AA17" t="s">
        <v>4038</v>
      </c>
      <c r="AB17" t="s">
        <v>4179</v>
      </c>
      <c r="AC17">
        <v>9</v>
      </c>
      <c r="AD17" t="s">
        <v>847</v>
      </c>
      <c r="AE17">
        <v>6</v>
      </c>
      <c r="AF17">
        <v>4433</v>
      </c>
      <c r="AG17" t="s">
        <v>4147</v>
      </c>
      <c r="AH17">
        <v>1</v>
      </c>
      <c r="AI17" t="s">
        <v>4041</v>
      </c>
      <c r="AK17" t="s">
        <v>4148</v>
      </c>
      <c r="AL17">
        <v>1</v>
      </c>
      <c r="AM17" t="s">
        <v>582</v>
      </c>
      <c r="AO17" t="s">
        <v>4043</v>
      </c>
      <c r="AP17">
        <v>1</v>
      </c>
      <c r="AR17" t="s">
        <v>4180</v>
      </c>
      <c r="AS17">
        <v>1</v>
      </c>
      <c r="AT17">
        <v>51</v>
      </c>
      <c r="AV17" t="s">
        <v>4078</v>
      </c>
      <c r="AW17">
        <v>6.4</v>
      </c>
      <c r="AX17">
        <v>-6</v>
      </c>
      <c r="AY17">
        <v>102.5</v>
      </c>
      <c r="AZ17">
        <v>73</v>
      </c>
      <c r="BH17">
        <v>102.5</v>
      </c>
      <c r="BI17">
        <v>29.5</v>
      </c>
      <c r="BJ17">
        <v>73</v>
      </c>
      <c r="BK17">
        <v>2.5</v>
      </c>
      <c r="BL17">
        <v>205</v>
      </c>
      <c r="BM17">
        <v>-6</v>
      </c>
      <c r="BN17">
        <v>0</v>
      </c>
      <c r="BP17">
        <v>0</v>
      </c>
      <c r="BR17">
        <v>200</v>
      </c>
      <c r="BS17">
        <v>190</v>
      </c>
      <c r="BT17">
        <v>2005</v>
      </c>
      <c r="BU17" t="s">
        <v>4096</v>
      </c>
      <c r="BV17" t="s">
        <v>4096</v>
      </c>
      <c r="BW17" t="s">
        <v>4097</v>
      </c>
      <c r="BX17" t="s">
        <v>4097</v>
      </c>
      <c r="BY17" t="s">
        <v>4181</v>
      </c>
      <c r="BZ17" t="s">
        <v>4181</v>
      </c>
      <c r="CA17" t="s">
        <v>4130</v>
      </c>
      <c r="CB17" t="s">
        <v>4131</v>
      </c>
      <c r="CC17" t="s">
        <v>4053</v>
      </c>
      <c r="CD17" t="s">
        <v>4055</v>
      </c>
      <c r="CE17" t="s">
        <v>4055</v>
      </c>
      <c r="CF17" t="s">
        <v>4055</v>
      </c>
      <c r="CG17" t="s">
        <v>4056</v>
      </c>
      <c r="CH17" t="s">
        <v>4099</v>
      </c>
      <c r="CI17" t="s">
        <v>4086</v>
      </c>
      <c r="CJ17" t="s">
        <v>4059</v>
      </c>
      <c r="CK17" t="s">
        <v>4060</v>
      </c>
      <c r="CL17" t="s">
        <v>4061</v>
      </c>
      <c r="CM17" t="s">
        <v>4062</v>
      </c>
      <c r="CN17" t="s">
        <v>4055</v>
      </c>
      <c r="CO17" t="s">
        <v>4063</v>
      </c>
      <c r="CP17" t="s">
        <v>4055</v>
      </c>
      <c r="CQ17" t="s">
        <v>4055</v>
      </c>
      <c r="CR17">
        <v>5</v>
      </c>
      <c r="CS17" t="s">
        <v>4055</v>
      </c>
      <c r="CT17" t="s">
        <v>4055</v>
      </c>
      <c r="CU17" t="s">
        <v>4055</v>
      </c>
      <c r="CV17">
        <v>128</v>
      </c>
      <c r="CW17">
        <v>3</v>
      </c>
      <c r="CX17">
        <v>110</v>
      </c>
      <c r="CY17">
        <v>5</v>
      </c>
      <c r="CZ17">
        <v>132</v>
      </c>
      <c r="DA17">
        <v>5</v>
      </c>
      <c r="DB17">
        <v>10150</v>
      </c>
      <c r="DC17">
        <v>300</v>
      </c>
      <c r="DD17">
        <v>309</v>
      </c>
      <c r="DE17">
        <v>2114</v>
      </c>
      <c r="DF17">
        <v>2114</v>
      </c>
      <c r="DG17">
        <v>2124</v>
      </c>
      <c r="DH17">
        <v>1</v>
      </c>
      <c r="DI17" t="s">
        <v>4055</v>
      </c>
      <c r="DJ17" t="s">
        <v>4100</v>
      </c>
      <c r="DK17">
        <v>200</v>
      </c>
      <c r="DL17" t="s">
        <v>4101</v>
      </c>
      <c r="DM17">
        <v>65</v>
      </c>
      <c r="DN17">
        <v>0.84</v>
      </c>
      <c r="DO17">
        <v>1</v>
      </c>
      <c r="DP17">
        <v>2008</v>
      </c>
      <c r="DQ17">
        <v>735</v>
      </c>
      <c r="DR17" t="s">
        <v>4100</v>
      </c>
      <c r="DS17">
        <v>190</v>
      </c>
      <c r="DT17" t="s">
        <v>4101</v>
      </c>
      <c r="DU17">
        <v>65</v>
      </c>
      <c r="DV17">
        <v>0.84</v>
      </c>
      <c r="DW17">
        <v>1</v>
      </c>
      <c r="DX17">
        <v>2015</v>
      </c>
      <c r="DY17">
        <v>699</v>
      </c>
      <c r="DZ17" t="s">
        <v>4066</v>
      </c>
      <c r="EA17">
        <v>33</v>
      </c>
      <c r="EB17" t="s">
        <v>4065</v>
      </c>
      <c r="EC17">
        <v>0.4</v>
      </c>
      <c r="ED17">
        <v>2008</v>
      </c>
      <c r="EE17">
        <v>58</v>
      </c>
      <c r="EF17" t="s">
        <v>4066</v>
      </c>
      <c r="EG17">
        <v>33</v>
      </c>
      <c r="EH17" t="s">
        <v>4065</v>
      </c>
      <c r="EI17">
        <v>0.4</v>
      </c>
      <c r="EJ17">
        <v>2015</v>
      </c>
      <c r="EK17">
        <v>58</v>
      </c>
      <c r="EL17" t="s">
        <v>1528</v>
      </c>
      <c r="EM17">
        <v>12</v>
      </c>
      <c r="EN17">
        <v>0.5</v>
      </c>
      <c r="EO17">
        <v>0.96</v>
      </c>
      <c r="EP17">
        <v>2015.56</v>
      </c>
      <c r="EQ17">
        <v>34170.04</v>
      </c>
      <c r="ER17">
        <v>9318.27</v>
      </c>
      <c r="ES17">
        <v>0</v>
      </c>
      <c r="ET17">
        <v>0</v>
      </c>
      <c r="EU17">
        <v>1</v>
      </c>
      <c r="EV17">
        <v>43489</v>
      </c>
      <c r="EW17">
        <v>522</v>
      </c>
      <c r="EX17" t="s">
        <v>4088</v>
      </c>
      <c r="EY17">
        <v>222</v>
      </c>
      <c r="EZ17" t="s">
        <v>4055</v>
      </c>
      <c r="FA17">
        <v>6.8</v>
      </c>
      <c r="FB17">
        <v>1</v>
      </c>
      <c r="FC17">
        <v>1</v>
      </c>
      <c r="FD17">
        <v>2050</v>
      </c>
      <c r="FE17">
        <v>2478</v>
      </c>
      <c r="FF17" t="s">
        <v>4089</v>
      </c>
      <c r="FG17">
        <v>222</v>
      </c>
      <c r="FH17" t="s">
        <v>4055</v>
      </c>
      <c r="FI17">
        <v>1.8</v>
      </c>
      <c r="FJ17">
        <v>2050</v>
      </c>
      <c r="FK17">
        <v>822</v>
      </c>
      <c r="FL17" t="s">
        <v>4069</v>
      </c>
      <c r="FM17" t="s">
        <v>4055</v>
      </c>
      <c r="FN17" t="s">
        <v>4055</v>
      </c>
      <c r="FO17" t="s">
        <v>4055</v>
      </c>
      <c r="FP17">
        <v>2050</v>
      </c>
      <c r="FQ17">
        <v>119</v>
      </c>
      <c r="FR17" t="s">
        <v>4090</v>
      </c>
      <c r="FS17">
        <v>226</v>
      </c>
      <c r="FT17" t="s">
        <v>4055</v>
      </c>
      <c r="FU17">
        <v>0.4</v>
      </c>
      <c r="FV17">
        <v>2050</v>
      </c>
      <c r="FW17">
        <v>206</v>
      </c>
      <c r="FX17" t="s">
        <v>4070</v>
      </c>
      <c r="FY17">
        <v>5</v>
      </c>
      <c r="FZ17" t="s">
        <v>4055</v>
      </c>
      <c r="GA17" t="s">
        <v>4055</v>
      </c>
      <c r="GB17">
        <v>2050</v>
      </c>
      <c r="GC17">
        <v>19</v>
      </c>
      <c r="GD17">
        <v>3644</v>
      </c>
      <c r="GE17" t="s">
        <v>4180</v>
      </c>
      <c r="GF17" t="s">
        <v>4055</v>
      </c>
      <c r="GG17" t="s">
        <v>4055</v>
      </c>
      <c r="GH17" t="s">
        <v>4055</v>
      </c>
      <c r="GI17" t="s">
        <v>4071</v>
      </c>
      <c r="GJ17" t="s">
        <v>4055</v>
      </c>
      <c r="GK17" t="s">
        <v>4055</v>
      </c>
      <c r="GL17" t="s">
        <v>4055</v>
      </c>
      <c r="GM17" t="s">
        <v>4055</v>
      </c>
      <c r="GQ17">
        <v>0</v>
      </c>
      <c r="GV17">
        <v>9</v>
      </c>
      <c r="GW17">
        <v>7.5</v>
      </c>
      <c r="GX17">
        <v>0.5</v>
      </c>
      <c r="GY17">
        <v>190</v>
      </c>
      <c r="GZ17">
        <v>3</v>
      </c>
      <c r="HA17">
        <v>240</v>
      </c>
      <c r="HB17">
        <v>3</v>
      </c>
      <c r="HC17">
        <v>2050</v>
      </c>
      <c r="HD17">
        <v>4</v>
      </c>
      <c r="HE17" t="s">
        <v>4071</v>
      </c>
      <c r="HG17" t="s">
        <v>549</v>
      </c>
      <c r="HL17">
        <v>4</v>
      </c>
      <c r="HM17">
        <v>19</v>
      </c>
      <c r="HN17">
        <v>1</v>
      </c>
      <c r="HO17">
        <v>1</v>
      </c>
      <c r="HP17">
        <v>0</v>
      </c>
      <c r="HQ17">
        <v>0</v>
      </c>
      <c r="HR17">
        <v>3</v>
      </c>
      <c r="HS17">
        <v>2005</v>
      </c>
      <c r="HT17">
        <v>5</v>
      </c>
      <c r="HU17">
        <v>1</v>
      </c>
      <c r="HV17">
        <v>3</v>
      </c>
      <c r="HW17">
        <v>0</v>
      </c>
      <c r="HX17">
        <v>1</v>
      </c>
      <c r="HY17">
        <v>0</v>
      </c>
      <c r="HZ17">
        <v>65</v>
      </c>
      <c r="IA17">
        <v>2008</v>
      </c>
      <c r="IB17">
        <v>2015</v>
      </c>
      <c r="ID17">
        <v>2050</v>
      </c>
      <c r="IE17">
        <v>2050</v>
      </c>
      <c r="IF17">
        <v>200</v>
      </c>
      <c r="IG17">
        <v>190</v>
      </c>
      <c r="IH17">
        <v>240</v>
      </c>
      <c r="II17">
        <v>1</v>
      </c>
      <c r="IJ17">
        <v>10</v>
      </c>
      <c r="IK17">
        <v>0</v>
      </c>
      <c r="IL17">
        <v>0</v>
      </c>
      <c r="IM17">
        <v>0</v>
      </c>
      <c r="IN17">
        <v>270</v>
      </c>
      <c r="IO17">
        <v>0</v>
      </c>
      <c r="IP17">
        <v>180</v>
      </c>
      <c r="IQ17">
        <v>0</v>
      </c>
      <c r="IR17">
        <v>330</v>
      </c>
      <c r="IS17">
        <v>0</v>
      </c>
      <c r="IT17">
        <v>90</v>
      </c>
      <c r="IU17">
        <v>0</v>
      </c>
      <c r="IV17">
        <v>6.4</v>
      </c>
      <c r="IW17">
        <v>-6</v>
      </c>
      <c r="IX17">
        <v>102.5</v>
      </c>
      <c r="IY17">
        <v>73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340</v>
      </c>
      <c r="JJ17">
        <v>320</v>
      </c>
      <c r="JK17">
        <v>251</v>
      </c>
      <c r="JL17">
        <v>320</v>
      </c>
      <c r="JM17">
        <v>240</v>
      </c>
      <c r="JN17">
        <v>200</v>
      </c>
      <c r="JO17">
        <v>244</v>
      </c>
      <c r="JP17">
        <v>214</v>
      </c>
      <c r="JQ17">
        <v>250</v>
      </c>
      <c r="JR17">
        <v>310</v>
      </c>
      <c r="JS17">
        <v>260</v>
      </c>
      <c r="JT17">
        <v>0</v>
      </c>
      <c r="JU17">
        <v>0</v>
      </c>
      <c r="JV17">
        <v>300</v>
      </c>
      <c r="JW17">
        <v>290</v>
      </c>
      <c r="JX17">
        <v>290</v>
      </c>
      <c r="JY17">
        <v>280</v>
      </c>
      <c r="JZ17">
        <v>0.5</v>
      </c>
      <c r="KA17">
        <v>0.2</v>
      </c>
      <c r="KB17">
        <v>0.4</v>
      </c>
      <c r="KC17">
        <v>0.42</v>
      </c>
      <c r="KD17">
        <v>0.3</v>
      </c>
      <c r="KE17">
        <v>0.5</v>
      </c>
      <c r="KF17">
        <v>0.21</v>
      </c>
      <c r="KG17">
        <v>0.1</v>
      </c>
      <c r="KH17">
        <v>3.5</v>
      </c>
      <c r="KI17">
        <v>1</v>
      </c>
      <c r="KJ17">
        <v>4.5</v>
      </c>
      <c r="KK17">
        <v>0</v>
      </c>
      <c r="KL17">
        <v>4.5</v>
      </c>
      <c r="KM17">
        <v>0</v>
      </c>
      <c r="KN17">
        <v>2.1</v>
      </c>
      <c r="KO17">
        <v>0</v>
      </c>
      <c r="KP17">
        <v>0</v>
      </c>
      <c r="KQ17">
        <v>0.7</v>
      </c>
      <c r="KR17">
        <v>0.9</v>
      </c>
      <c r="KS17">
        <v>0</v>
      </c>
      <c r="KT17">
        <v>2.5</v>
      </c>
      <c r="KU17">
        <v>0</v>
      </c>
      <c r="KV17">
        <v>0</v>
      </c>
      <c r="KW17">
        <v>0.7</v>
      </c>
      <c r="KX17">
        <v>1.5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3</v>
      </c>
      <c r="LI17">
        <v>2.5</v>
      </c>
      <c r="LJ17">
        <v>0</v>
      </c>
      <c r="LK17">
        <v>9</v>
      </c>
      <c r="LL17">
        <v>5</v>
      </c>
      <c r="LM17">
        <v>8</v>
      </c>
      <c r="LN17">
        <v>0.5</v>
      </c>
      <c r="LO17">
        <v>3</v>
      </c>
      <c r="LP17">
        <v>0</v>
      </c>
      <c r="LQ17">
        <v>0</v>
      </c>
      <c r="LR17">
        <v>0</v>
      </c>
      <c r="LS17">
        <v>1</v>
      </c>
      <c r="LT17">
        <v>0</v>
      </c>
      <c r="LU17">
        <v>0</v>
      </c>
      <c r="LV17">
        <v>0</v>
      </c>
      <c r="LW17">
        <v>2.1</v>
      </c>
      <c r="LX17">
        <v>2.1</v>
      </c>
      <c r="LY17">
        <v>2.8</v>
      </c>
      <c r="LZ17">
        <v>2.8</v>
      </c>
      <c r="MA17">
        <v>0</v>
      </c>
      <c r="MB17">
        <v>4</v>
      </c>
      <c r="MC17">
        <v>0</v>
      </c>
      <c r="MD17">
        <v>4.5</v>
      </c>
      <c r="ME17">
        <v>6</v>
      </c>
      <c r="MF17">
        <v>6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390</v>
      </c>
      <c r="MN17">
        <v>195</v>
      </c>
      <c r="MO17">
        <v>244</v>
      </c>
      <c r="NU17">
        <v>0.15</v>
      </c>
      <c r="NV17">
        <v>0.2</v>
      </c>
      <c r="NW17">
        <v>0.2</v>
      </c>
      <c r="NX17">
        <v>0.2</v>
      </c>
      <c r="NY17">
        <v>0.2</v>
      </c>
      <c r="NZ17">
        <v>0.2</v>
      </c>
      <c r="OE17" t="s">
        <v>4180</v>
      </c>
      <c r="OF17" t="s">
        <v>4147</v>
      </c>
      <c r="OG17" t="s">
        <v>4148</v>
      </c>
      <c r="OH17" t="s">
        <v>4043</v>
      </c>
      <c r="OI17" t="s">
        <v>4180</v>
      </c>
      <c r="OJ17" t="s">
        <v>4179</v>
      </c>
      <c r="OK17">
        <v>61</v>
      </c>
      <c r="OL17">
        <v>61</v>
      </c>
      <c r="OM17" t="s">
        <v>4147</v>
      </c>
      <c r="ON17">
        <v>2</v>
      </c>
      <c r="OO17">
        <v>2008</v>
      </c>
      <c r="OP17">
        <v>61</v>
      </c>
      <c r="OQ17">
        <v>61</v>
      </c>
      <c r="OR17" t="s">
        <v>4148</v>
      </c>
      <c r="OS17">
        <v>2</v>
      </c>
      <c r="OT17">
        <v>2015</v>
      </c>
      <c r="OU17">
        <v>65</v>
      </c>
      <c r="OV17">
        <v>65</v>
      </c>
      <c r="OW17" t="s">
        <v>4043</v>
      </c>
      <c r="OX17">
        <v>1</v>
      </c>
      <c r="OY17">
        <v>43489</v>
      </c>
      <c r="OZ17">
        <v>51</v>
      </c>
      <c r="PA17">
        <v>51</v>
      </c>
      <c r="PB17" t="s">
        <v>4180</v>
      </c>
      <c r="PC17">
        <v>1</v>
      </c>
      <c r="PD17">
        <v>2050</v>
      </c>
      <c r="PF17">
        <v>366</v>
      </c>
      <c r="PG17">
        <v>29</v>
      </c>
      <c r="PH17">
        <v>347</v>
      </c>
      <c r="PI17">
        <v>29</v>
      </c>
      <c r="PJ17">
        <v>58</v>
      </c>
      <c r="PK17">
        <v>1765</v>
      </c>
      <c r="PL17">
        <v>1209</v>
      </c>
      <c r="PM17">
        <v>401.1</v>
      </c>
      <c r="PN17">
        <v>100.5</v>
      </c>
      <c r="PO17">
        <v>9.300000000000001</v>
      </c>
      <c r="PP17">
        <v>12</v>
      </c>
      <c r="PQ17">
        <v>3</v>
      </c>
      <c r="PR17">
        <v>3</v>
      </c>
      <c r="PS17">
        <v>8</v>
      </c>
      <c r="PT17">
        <v>240</v>
      </c>
      <c r="PU17">
        <v>9</v>
      </c>
      <c r="PV17" t="s">
        <v>4072</v>
      </c>
      <c r="PW17" t="s">
        <v>4072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-1</v>
      </c>
      <c r="QF17">
        <v>1</v>
      </c>
      <c r="QG17">
        <v>0</v>
      </c>
      <c r="QH17">
        <v>5</v>
      </c>
      <c r="QI17">
        <v>5</v>
      </c>
      <c r="QJ17">
        <v>5</v>
      </c>
      <c r="QK17">
        <v>185</v>
      </c>
      <c r="QL17">
        <v>370</v>
      </c>
      <c r="QM17">
        <v>7.5</v>
      </c>
      <c r="QN17">
        <v>1540.9</v>
      </c>
      <c r="QO17" t="s">
        <v>556</v>
      </c>
      <c r="QP17" t="s">
        <v>513</v>
      </c>
      <c r="QQ17">
        <v>0</v>
      </c>
      <c r="QR17" t="s">
        <v>860</v>
      </c>
      <c r="QS17">
        <v>40</v>
      </c>
      <c r="QT17">
        <v>50</v>
      </c>
    </row>
    <row r="18" spans="1:462">
      <c r="A18" t="s">
        <v>865</v>
      </c>
      <c r="B18" t="s">
        <v>657</v>
      </c>
      <c r="C18" t="s">
        <v>509</v>
      </c>
      <c r="D18" t="s">
        <v>4182</v>
      </c>
      <c r="E18" t="s">
        <v>4036</v>
      </c>
      <c r="H18" t="s">
        <v>604</v>
      </c>
      <c r="I18" t="s">
        <v>605</v>
      </c>
      <c r="J18" t="s">
        <v>628</v>
      </c>
      <c r="K18" t="s">
        <v>606</v>
      </c>
      <c r="L18" t="s">
        <v>559</v>
      </c>
      <c r="M18" t="s">
        <v>512</v>
      </c>
      <c r="O18" t="s">
        <v>513</v>
      </c>
      <c r="P18" t="s">
        <v>567</v>
      </c>
      <c r="Q18" t="s">
        <v>866</v>
      </c>
      <c r="R18" t="s">
        <v>867</v>
      </c>
      <c r="S18" t="s">
        <v>4134</v>
      </c>
      <c r="T18" t="s">
        <v>570</v>
      </c>
      <c r="U18" t="s">
        <v>571</v>
      </c>
      <c r="V18" t="s">
        <v>688</v>
      </c>
      <c r="W18" t="s">
        <v>573</v>
      </c>
      <c r="X18" t="s">
        <v>868</v>
      </c>
      <c r="Y18" t="s">
        <v>869</v>
      </c>
      <c r="Z18" t="s">
        <v>541</v>
      </c>
      <c r="AA18" t="s">
        <v>4038</v>
      </c>
      <c r="AB18" t="s">
        <v>4183</v>
      </c>
      <c r="AC18">
        <v>9</v>
      </c>
      <c r="AD18" t="s">
        <v>863</v>
      </c>
      <c r="AE18">
        <v>7</v>
      </c>
      <c r="AF18">
        <v>5821</v>
      </c>
      <c r="AG18" t="s">
        <v>4184</v>
      </c>
      <c r="AH18">
        <v>1</v>
      </c>
      <c r="AI18" t="s">
        <v>4041</v>
      </c>
      <c r="AK18" t="s">
        <v>4185</v>
      </c>
      <c r="AL18">
        <v>1</v>
      </c>
      <c r="AM18" t="s">
        <v>582</v>
      </c>
      <c r="AO18" t="s">
        <v>4043</v>
      </c>
      <c r="AP18">
        <v>1</v>
      </c>
      <c r="AR18" t="s">
        <v>4186</v>
      </c>
      <c r="AS18">
        <v>1</v>
      </c>
      <c r="AT18">
        <v>52</v>
      </c>
      <c r="AV18" t="s">
        <v>4078</v>
      </c>
      <c r="AW18">
        <v>6.4</v>
      </c>
      <c r="AX18">
        <v>-6</v>
      </c>
      <c r="AY18">
        <v>112.5</v>
      </c>
      <c r="AZ18">
        <v>82</v>
      </c>
      <c r="BH18">
        <v>112.5</v>
      </c>
      <c r="BI18">
        <v>30.5</v>
      </c>
      <c r="BJ18">
        <v>82</v>
      </c>
      <c r="BK18">
        <v>2.5</v>
      </c>
      <c r="BL18">
        <v>225</v>
      </c>
      <c r="BM18">
        <v>-6</v>
      </c>
      <c r="BN18">
        <v>0</v>
      </c>
      <c r="BP18">
        <v>0</v>
      </c>
      <c r="BR18">
        <v>220</v>
      </c>
      <c r="BS18">
        <v>210</v>
      </c>
      <c r="BT18">
        <v>2160</v>
      </c>
      <c r="BU18" t="s">
        <v>4127</v>
      </c>
      <c r="BV18" t="s">
        <v>4127</v>
      </c>
      <c r="BW18" t="s">
        <v>4128</v>
      </c>
      <c r="BX18" t="s">
        <v>4128</v>
      </c>
      <c r="BY18" t="s">
        <v>4139</v>
      </c>
      <c r="BZ18" t="s">
        <v>4139</v>
      </c>
      <c r="CA18" t="s">
        <v>4084</v>
      </c>
      <c r="CB18" t="s">
        <v>4085</v>
      </c>
      <c r="CC18" t="s">
        <v>4053</v>
      </c>
      <c r="CD18" t="s">
        <v>4055</v>
      </c>
      <c r="CE18" t="s">
        <v>4055</v>
      </c>
      <c r="CF18" t="s">
        <v>4055</v>
      </c>
      <c r="CG18" t="s">
        <v>4056</v>
      </c>
      <c r="CI18" t="s">
        <v>4086</v>
      </c>
      <c r="CJ18" t="s">
        <v>4059</v>
      </c>
      <c r="CK18" t="s">
        <v>4060</v>
      </c>
      <c r="CL18" t="s">
        <v>4061</v>
      </c>
      <c r="CM18" t="s">
        <v>4055</v>
      </c>
      <c r="CN18" t="s">
        <v>4062</v>
      </c>
      <c r="CO18" t="s">
        <v>4063</v>
      </c>
      <c r="CP18" t="s">
        <v>4055</v>
      </c>
      <c r="CQ18" t="s">
        <v>4055</v>
      </c>
      <c r="CR18">
        <v>5</v>
      </c>
      <c r="CS18" t="s">
        <v>4055</v>
      </c>
      <c r="CT18" t="s">
        <v>4055</v>
      </c>
      <c r="CU18" t="s">
        <v>4055</v>
      </c>
      <c r="CV18">
        <v>134</v>
      </c>
      <c r="CW18">
        <v>3</v>
      </c>
      <c r="CX18">
        <v>98</v>
      </c>
      <c r="CY18">
        <v>5</v>
      </c>
      <c r="CZ18">
        <v>145</v>
      </c>
      <c r="DA18">
        <v>5</v>
      </c>
      <c r="DB18">
        <v>12930</v>
      </c>
      <c r="DC18">
        <v>380</v>
      </c>
      <c r="DD18">
        <v>344</v>
      </c>
      <c r="DE18">
        <v>2279</v>
      </c>
      <c r="DF18">
        <v>2279</v>
      </c>
      <c r="DG18">
        <v>2289</v>
      </c>
      <c r="DH18">
        <v>2</v>
      </c>
      <c r="DI18" t="s">
        <v>4055</v>
      </c>
      <c r="DJ18" t="s">
        <v>4064</v>
      </c>
      <c r="DK18">
        <v>220</v>
      </c>
      <c r="DL18" t="s">
        <v>4065</v>
      </c>
      <c r="DM18">
        <v>65</v>
      </c>
      <c r="DN18">
        <v>1.2</v>
      </c>
      <c r="DO18">
        <v>1</v>
      </c>
      <c r="DP18">
        <v>2164</v>
      </c>
      <c r="DQ18">
        <v>1093</v>
      </c>
      <c r="DR18" t="s">
        <v>4064</v>
      </c>
      <c r="DS18">
        <v>210</v>
      </c>
      <c r="DT18" t="s">
        <v>4065</v>
      </c>
      <c r="DU18">
        <v>65</v>
      </c>
      <c r="DV18">
        <v>1.2</v>
      </c>
      <c r="DW18">
        <v>1</v>
      </c>
      <c r="DX18">
        <v>2176</v>
      </c>
      <c r="DY18">
        <v>1049</v>
      </c>
      <c r="DZ18" t="s">
        <v>4066</v>
      </c>
      <c r="EA18">
        <v>20</v>
      </c>
      <c r="EB18" t="s">
        <v>4065</v>
      </c>
      <c r="EC18">
        <v>0.8</v>
      </c>
      <c r="ED18">
        <v>2164</v>
      </c>
      <c r="EE18">
        <v>76</v>
      </c>
      <c r="EG18">
        <v>0</v>
      </c>
      <c r="EH18" t="s">
        <v>4065</v>
      </c>
      <c r="EI18">
        <v>0</v>
      </c>
      <c r="EL18" t="s">
        <v>1528</v>
      </c>
      <c r="EM18">
        <v>12</v>
      </c>
      <c r="EN18">
        <v>0.5</v>
      </c>
      <c r="EO18">
        <v>0.96</v>
      </c>
      <c r="EP18">
        <v>2175.08</v>
      </c>
      <c r="EQ18">
        <v>40272.97</v>
      </c>
      <c r="ER18">
        <v>10394.36</v>
      </c>
      <c r="ES18">
        <v>0</v>
      </c>
      <c r="ET18">
        <v>0</v>
      </c>
      <c r="EU18">
        <v>1</v>
      </c>
      <c r="EV18">
        <v>50668</v>
      </c>
      <c r="EW18">
        <v>609</v>
      </c>
      <c r="EX18" t="s">
        <v>4088</v>
      </c>
      <c r="EY18">
        <v>238</v>
      </c>
      <c r="EZ18" t="s">
        <v>4055</v>
      </c>
      <c r="FA18">
        <v>6.9</v>
      </c>
      <c r="FB18">
        <v>1</v>
      </c>
      <c r="FC18">
        <v>1</v>
      </c>
      <c r="FD18">
        <v>2210</v>
      </c>
      <c r="FE18">
        <v>3046</v>
      </c>
      <c r="FF18" t="s">
        <v>4089</v>
      </c>
      <c r="FG18">
        <v>238</v>
      </c>
      <c r="FH18" t="s">
        <v>4055</v>
      </c>
      <c r="FI18">
        <v>1.6</v>
      </c>
      <c r="FJ18">
        <v>2210</v>
      </c>
      <c r="FK18">
        <v>857</v>
      </c>
      <c r="FL18" t="s">
        <v>4069</v>
      </c>
      <c r="FM18" t="s">
        <v>4055</v>
      </c>
      <c r="FN18" t="s">
        <v>4055</v>
      </c>
      <c r="FO18" t="s">
        <v>4055</v>
      </c>
      <c r="FP18">
        <v>2210</v>
      </c>
      <c r="FQ18">
        <v>112</v>
      </c>
      <c r="FR18" t="s">
        <v>4090</v>
      </c>
      <c r="FS18">
        <v>242</v>
      </c>
      <c r="FT18" t="s">
        <v>4055</v>
      </c>
      <c r="FU18">
        <v>0.4</v>
      </c>
      <c r="FV18">
        <v>2210</v>
      </c>
      <c r="FW18">
        <v>238</v>
      </c>
      <c r="FX18" t="s">
        <v>4070</v>
      </c>
      <c r="FY18">
        <v>5</v>
      </c>
      <c r="FZ18" t="s">
        <v>4055</v>
      </c>
      <c r="GA18" t="s">
        <v>4055</v>
      </c>
      <c r="GB18">
        <v>2210</v>
      </c>
      <c r="GC18">
        <v>21</v>
      </c>
      <c r="GD18">
        <v>4274</v>
      </c>
      <c r="GE18" t="s">
        <v>4186</v>
      </c>
      <c r="GF18" t="s">
        <v>4055</v>
      </c>
      <c r="GG18" t="s">
        <v>4055</v>
      </c>
      <c r="GH18" t="s">
        <v>4055</v>
      </c>
      <c r="GI18" t="s">
        <v>4071</v>
      </c>
      <c r="GJ18" t="s">
        <v>4055</v>
      </c>
      <c r="GK18" t="s">
        <v>4055</v>
      </c>
      <c r="GL18" t="s">
        <v>4055</v>
      </c>
      <c r="GM18" t="s">
        <v>4055</v>
      </c>
      <c r="GQ18">
        <v>0</v>
      </c>
      <c r="GV18">
        <v>8.9</v>
      </c>
      <c r="GW18">
        <v>7.3</v>
      </c>
      <c r="GX18">
        <v>0.5</v>
      </c>
      <c r="GY18">
        <v>210</v>
      </c>
      <c r="GZ18">
        <v>3</v>
      </c>
      <c r="HA18">
        <v>258</v>
      </c>
      <c r="HB18">
        <v>3</v>
      </c>
      <c r="HC18">
        <v>2210</v>
      </c>
      <c r="HD18">
        <v>4</v>
      </c>
      <c r="HE18" t="s">
        <v>4071</v>
      </c>
      <c r="HG18" t="s">
        <v>549</v>
      </c>
      <c r="HL18">
        <v>4</v>
      </c>
      <c r="HM18">
        <v>20</v>
      </c>
      <c r="HN18">
        <v>6</v>
      </c>
      <c r="HO18">
        <v>1</v>
      </c>
      <c r="HP18">
        <v>0</v>
      </c>
      <c r="HQ18">
        <v>0</v>
      </c>
      <c r="HR18">
        <v>1</v>
      </c>
      <c r="HS18">
        <v>2160</v>
      </c>
      <c r="HT18">
        <v>5</v>
      </c>
      <c r="HU18">
        <v>1</v>
      </c>
      <c r="HV18">
        <v>3</v>
      </c>
      <c r="HW18">
        <v>0</v>
      </c>
      <c r="HX18">
        <v>1</v>
      </c>
      <c r="HY18">
        <v>0</v>
      </c>
      <c r="HZ18">
        <v>65</v>
      </c>
      <c r="IA18">
        <v>2164</v>
      </c>
      <c r="IB18">
        <v>2176</v>
      </c>
      <c r="ID18">
        <v>2210</v>
      </c>
      <c r="IE18">
        <v>2210</v>
      </c>
      <c r="IF18">
        <v>220</v>
      </c>
      <c r="IG18">
        <v>210</v>
      </c>
      <c r="IH18">
        <v>258</v>
      </c>
      <c r="II18">
        <v>1</v>
      </c>
      <c r="IJ18">
        <v>5</v>
      </c>
      <c r="IK18">
        <v>0</v>
      </c>
      <c r="IL18">
        <v>0</v>
      </c>
      <c r="IM18">
        <v>0</v>
      </c>
      <c r="IN18">
        <v>270</v>
      </c>
      <c r="IO18">
        <v>0</v>
      </c>
      <c r="IP18">
        <v>180</v>
      </c>
      <c r="IQ18">
        <v>0</v>
      </c>
      <c r="IR18">
        <v>330</v>
      </c>
      <c r="IS18">
        <v>0</v>
      </c>
      <c r="IT18">
        <v>90</v>
      </c>
      <c r="IU18">
        <v>0</v>
      </c>
      <c r="IV18">
        <v>6.4</v>
      </c>
      <c r="IW18">
        <v>-6</v>
      </c>
      <c r="IX18">
        <v>112.5</v>
      </c>
      <c r="IY18">
        <v>82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388</v>
      </c>
      <c r="JJ18">
        <v>358</v>
      </c>
      <c r="JK18">
        <v>245</v>
      </c>
      <c r="JL18">
        <v>354</v>
      </c>
      <c r="JM18">
        <v>285</v>
      </c>
      <c r="JN18">
        <v>230</v>
      </c>
      <c r="JO18">
        <v>268</v>
      </c>
      <c r="JP18">
        <v>195</v>
      </c>
      <c r="JQ18">
        <v>235</v>
      </c>
      <c r="JR18">
        <v>270</v>
      </c>
      <c r="JS18">
        <v>235</v>
      </c>
      <c r="JT18">
        <v>0</v>
      </c>
      <c r="JU18">
        <v>0</v>
      </c>
      <c r="JV18">
        <v>270</v>
      </c>
      <c r="JW18">
        <v>260</v>
      </c>
      <c r="JX18">
        <v>250</v>
      </c>
      <c r="JY18">
        <v>245</v>
      </c>
      <c r="JZ18">
        <v>0.5</v>
      </c>
      <c r="KA18">
        <v>0.2</v>
      </c>
      <c r="KB18">
        <v>0.4</v>
      </c>
      <c r="KC18">
        <v>0.42</v>
      </c>
      <c r="KD18">
        <v>0.3</v>
      </c>
      <c r="KE18">
        <v>0.5</v>
      </c>
      <c r="KF18">
        <v>0.2</v>
      </c>
      <c r="KG18">
        <v>0.1</v>
      </c>
      <c r="KH18">
        <v>3.5</v>
      </c>
      <c r="KI18">
        <v>1</v>
      </c>
      <c r="KJ18">
        <v>4.5</v>
      </c>
      <c r="KK18">
        <v>0</v>
      </c>
      <c r="KL18">
        <v>4.5</v>
      </c>
      <c r="KM18">
        <v>0.5</v>
      </c>
      <c r="KN18">
        <v>1.8</v>
      </c>
      <c r="KO18">
        <v>1</v>
      </c>
      <c r="KP18">
        <v>0</v>
      </c>
      <c r="KQ18">
        <v>0.5</v>
      </c>
      <c r="KR18">
        <v>0.5</v>
      </c>
      <c r="KS18">
        <v>0</v>
      </c>
      <c r="KT18">
        <v>3.2</v>
      </c>
      <c r="KU18">
        <v>0</v>
      </c>
      <c r="KV18">
        <v>0</v>
      </c>
      <c r="KW18">
        <v>1.2</v>
      </c>
      <c r="KX18">
        <v>1</v>
      </c>
      <c r="KY18">
        <v>1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3</v>
      </c>
      <c r="LI18">
        <v>0.5</v>
      </c>
      <c r="LJ18">
        <v>0</v>
      </c>
      <c r="LK18">
        <v>3</v>
      </c>
      <c r="LL18">
        <v>5</v>
      </c>
      <c r="LM18">
        <v>12</v>
      </c>
      <c r="LN18">
        <v>0.1</v>
      </c>
      <c r="LO18">
        <v>0.1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1.8</v>
      </c>
      <c r="LX18">
        <v>1.8</v>
      </c>
      <c r="LY18">
        <v>2.1</v>
      </c>
      <c r="LZ18">
        <v>2.1</v>
      </c>
      <c r="MA18">
        <v>0</v>
      </c>
      <c r="MB18">
        <v>6</v>
      </c>
      <c r="MC18">
        <v>0</v>
      </c>
      <c r="MD18">
        <v>4.5</v>
      </c>
      <c r="ME18">
        <v>6</v>
      </c>
      <c r="MF18">
        <v>6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390</v>
      </c>
      <c r="MN18">
        <v>215</v>
      </c>
      <c r="MO18">
        <v>268</v>
      </c>
      <c r="NU18">
        <v>0.15</v>
      </c>
      <c r="NV18">
        <v>0.2</v>
      </c>
      <c r="NW18">
        <v>0.2</v>
      </c>
      <c r="NX18">
        <v>0.2</v>
      </c>
      <c r="NY18">
        <v>0.2</v>
      </c>
      <c r="NZ18">
        <v>0.2</v>
      </c>
      <c r="OE18" t="s">
        <v>4186</v>
      </c>
      <c r="OF18" t="s">
        <v>4184</v>
      </c>
      <c r="OG18" t="s">
        <v>4185</v>
      </c>
      <c r="OH18" t="s">
        <v>4043</v>
      </c>
      <c r="OI18" t="s">
        <v>4186</v>
      </c>
      <c r="OJ18" t="s">
        <v>4183</v>
      </c>
      <c r="OK18">
        <v>61</v>
      </c>
      <c r="OL18">
        <v>61</v>
      </c>
      <c r="OM18" t="s">
        <v>4184</v>
      </c>
      <c r="ON18">
        <v>1</v>
      </c>
      <c r="OO18">
        <v>2164</v>
      </c>
      <c r="OP18">
        <v>61</v>
      </c>
      <c r="OQ18">
        <v>61</v>
      </c>
      <c r="OR18" t="s">
        <v>4185</v>
      </c>
      <c r="OS18">
        <v>1</v>
      </c>
      <c r="OT18">
        <v>2176</v>
      </c>
      <c r="OU18">
        <v>65</v>
      </c>
      <c r="OV18">
        <v>65</v>
      </c>
      <c r="OW18" t="s">
        <v>4043</v>
      </c>
      <c r="OX18">
        <v>1</v>
      </c>
      <c r="OY18">
        <v>50668</v>
      </c>
      <c r="OZ18">
        <v>51</v>
      </c>
      <c r="PA18">
        <v>52</v>
      </c>
      <c r="PB18" t="s">
        <v>4186</v>
      </c>
      <c r="PC18">
        <v>1</v>
      </c>
      <c r="PD18">
        <v>2210</v>
      </c>
      <c r="PF18">
        <v>505</v>
      </c>
      <c r="PG18">
        <v>35</v>
      </c>
      <c r="PH18">
        <v>482</v>
      </c>
      <c r="PI18">
        <v>0</v>
      </c>
      <c r="PJ18">
        <v>50.6</v>
      </c>
      <c r="PL18">
        <v>1378.4</v>
      </c>
      <c r="PM18">
        <v>387.8</v>
      </c>
      <c r="PN18">
        <v>107.7</v>
      </c>
      <c r="PO18">
        <v>9.300000000000001</v>
      </c>
      <c r="PP18">
        <v>12</v>
      </c>
      <c r="PQ18">
        <v>5</v>
      </c>
      <c r="PR18">
        <v>5</v>
      </c>
      <c r="PS18">
        <v>0</v>
      </c>
      <c r="PT18">
        <v>258</v>
      </c>
      <c r="PU18">
        <v>10</v>
      </c>
      <c r="PV18" t="s">
        <v>4072</v>
      </c>
      <c r="PW18" t="s">
        <v>4072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-1</v>
      </c>
      <c r="QF18">
        <v>1</v>
      </c>
      <c r="QG18">
        <v>0</v>
      </c>
      <c r="QH18">
        <v>5</v>
      </c>
      <c r="QI18">
        <v>5</v>
      </c>
      <c r="QJ18">
        <v>5</v>
      </c>
      <c r="QK18">
        <v>207</v>
      </c>
      <c r="QL18">
        <v>418</v>
      </c>
      <c r="QM18">
        <v>7.5</v>
      </c>
      <c r="QN18">
        <v>1625.4</v>
      </c>
      <c r="QO18" t="s">
        <v>556</v>
      </c>
      <c r="QP18" t="s">
        <v>513</v>
      </c>
      <c r="QQ18">
        <v>0</v>
      </c>
      <c r="QR18" t="s">
        <v>596</v>
      </c>
      <c r="QS18">
        <v>40</v>
      </c>
      <c r="QT18">
        <v>50</v>
      </c>
    </row>
    <row r="19" spans="1:462">
      <c r="A19" t="s">
        <v>878</v>
      </c>
      <c r="B19" t="s">
        <v>564</v>
      </c>
      <c r="C19" t="s">
        <v>509</v>
      </c>
      <c r="D19" t="s">
        <v>1013</v>
      </c>
      <c r="E19" t="s">
        <v>4036</v>
      </c>
      <c r="H19" t="s">
        <v>604</v>
      </c>
      <c r="I19" t="s">
        <v>605</v>
      </c>
      <c r="J19" t="s">
        <v>628</v>
      </c>
      <c r="K19" t="s">
        <v>606</v>
      </c>
      <c r="L19" t="s">
        <v>629</v>
      </c>
      <c r="M19" t="s">
        <v>512</v>
      </c>
      <c r="O19" t="s">
        <v>513</v>
      </c>
      <c r="P19" t="s">
        <v>567</v>
      </c>
      <c r="Q19" t="s">
        <v>879</v>
      </c>
      <c r="R19" t="s">
        <v>880</v>
      </c>
      <c r="S19" t="s">
        <v>4091</v>
      </c>
      <c r="T19" t="s">
        <v>633</v>
      </c>
      <c r="U19" t="s">
        <v>634</v>
      </c>
      <c r="V19" t="s">
        <v>881</v>
      </c>
      <c r="W19" t="s">
        <v>573</v>
      </c>
      <c r="X19" t="s">
        <v>882</v>
      </c>
      <c r="Y19" t="s">
        <v>883</v>
      </c>
      <c r="Z19" t="s">
        <v>541</v>
      </c>
      <c r="AA19" t="s">
        <v>4038</v>
      </c>
      <c r="AB19" t="s">
        <v>4187</v>
      </c>
      <c r="AC19">
        <v>9</v>
      </c>
      <c r="AD19" t="s">
        <v>877</v>
      </c>
      <c r="AE19">
        <v>5</v>
      </c>
      <c r="AF19">
        <v>5953</v>
      </c>
      <c r="AG19" t="s">
        <v>4152</v>
      </c>
      <c r="AH19">
        <v>1</v>
      </c>
      <c r="AI19" t="s">
        <v>4041</v>
      </c>
      <c r="AK19" t="s">
        <v>4153</v>
      </c>
      <c r="AL19">
        <v>1</v>
      </c>
      <c r="AM19" t="s">
        <v>582</v>
      </c>
      <c r="AO19" t="s">
        <v>4043</v>
      </c>
      <c r="AP19">
        <v>1</v>
      </c>
      <c r="AR19" t="s">
        <v>4188</v>
      </c>
      <c r="AS19">
        <v>1</v>
      </c>
      <c r="AT19">
        <v>52</v>
      </c>
      <c r="AV19" t="s">
        <v>4078</v>
      </c>
      <c r="AW19">
        <v>6.4</v>
      </c>
      <c r="AX19">
        <v>-6</v>
      </c>
      <c r="AY19">
        <v>98</v>
      </c>
      <c r="AZ19">
        <v>68</v>
      </c>
      <c r="BH19">
        <v>98</v>
      </c>
      <c r="BI19">
        <v>30</v>
      </c>
      <c r="BJ19">
        <v>68</v>
      </c>
      <c r="BK19">
        <v>3</v>
      </c>
      <c r="BL19">
        <v>196</v>
      </c>
      <c r="BM19">
        <v>-6</v>
      </c>
      <c r="BN19">
        <v>0</v>
      </c>
      <c r="BO19">
        <v>0</v>
      </c>
      <c r="BP19">
        <v>0</v>
      </c>
      <c r="BR19">
        <v>190</v>
      </c>
      <c r="BS19">
        <v>180</v>
      </c>
      <c r="BT19">
        <v>2130</v>
      </c>
      <c r="BU19" t="s">
        <v>4096</v>
      </c>
      <c r="BV19" t="s">
        <v>4127</v>
      </c>
      <c r="BW19" t="s">
        <v>4097</v>
      </c>
      <c r="BX19" t="s">
        <v>4128</v>
      </c>
      <c r="BY19" t="s">
        <v>4173</v>
      </c>
      <c r="BZ19" t="s">
        <v>4173</v>
      </c>
      <c r="CA19" t="s">
        <v>4108</v>
      </c>
      <c r="CB19" t="s">
        <v>4109</v>
      </c>
      <c r="CC19" t="s">
        <v>4053</v>
      </c>
      <c r="CD19" t="s">
        <v>4110</v>
      </c>
      <c r="CE19" t="s">
        <v>4055</v>
      </c>
      <c r="CF19" t="s">
        <v>4055</v>
      </c>
      <c r="CG19" t="s">
        <v>4056</v>
      </c>
      <c r="CI19" t="s">
        <v>4058</v>
      </c>
      <c r="CJ19" t="s">
        <v>4059</v>
      </c>
      <c r="CK19" t="s">
        <v>4060</v>
      </c>
      <c r="CL19" t="s">
        <v>4061</v>
      </c>
      <c r="CM19" t="s">
        <v>4062</v>
      </c>
      <c r="CN19" t="s">
        <v>4055</v>
      </c>
      <c r="CO19" t="s">
        <v>4063</v>
      </c>
      <c r="CP19" t="s">
        <v>4055</v>
      </c>
      <c r="CQ19" t="s">
        <v>4055</v>
      </c>
      <c r="CR19">
        <v>5</v>
      </c>
      <c r="CS19" t="s">
        <v>4055</v>
      </c>
      <c r="CT19" t="s">
        <v>4055</v>
      </c>
      <c r="CU19" t="s">
        <v>4055</v>
      </c>
      <c r="CV19">
        <v>122</v>
      </c>
      <c r="CW19">
        <v>3</v>
      </c>
      <c r="CX19">
        <v>83</v>
      </c>
      <c r="CY19">
        <v>5</v>
      </c>
      <c r="CZ19">
        <v>148</v>
      </c>
      <c r="DA19">
        <v>5</v>
      </c>
      <c r="DB19">
        <v>12240</v>
      </c>
      <c r="DC19">
        <v>360</v>
      </c>
      <c r="DD19">
        <v>335</v>
      </c>
      <c r="DE19">
        <v>2237</v>
      </c>
      <c r="DF19">
        <v>2237</v>
      </c>
      <c r="DG19">
        <v>2247</v>
      </c>
      <c r="DH19" t="s">
        <v>4055</v>
      </c>
      <c r="DI19" t="s">
        <v>4055</v>
      </c>
      <c r="DJ19" t="s">
        <v>4132</v>
      </c>
      <c r="DK19">
        <v>190</v>
      </c>
      <c r="DL19" t="s">
        <v>4065</v>
      </c>
      <c r="DM19">
        <v>65</v>
      </c>
      <c r="DN19">
        <v>1.1</v>
      </c>
      <c r="DO19">
        <v>1</v>
      </c>
      <c r="DP19">
        <v>2133</v>
      </c>
      <c r="DQ19">
        <v>877</v>
      </c>
      <c r="DR19" t="s">
        <v>4132</v>
      </c>
      <c r="DS19">
        <v>180</v>
      </c>
      <c r="DT19" t="s">
        <v>4065</v>
      </c>
      <c r="DU19">
        <v>65</v>
      </c>
      <c r="DV19">
        <v>1.1</v>
      </c>
      <c r="DW19">
        <v>1</v>
      </c>
      <c r="DX19">
        <v>2145</v>
      </c>
      <c r="DY19">
        <v>834</v>
      </c>
      <c r="DZ19" t="s">
        <v>4066</v>
      </c>
      <c r="EA19">
        <v>20</v>
      </c>
      <c r="EB19" t="s">
        <v>4065</v>
      </c>
      <c r="EC19">
        <v>0.8</v>
      </c>
      <c r="ED19">
        <v>2133</v>
      </c>
      <c r="EE19">
        <v>75</v>
      </c>
      <c r="EG19">
        <v>0</v>
      </c>
      <c r="EH19" t="s">
        <v>4065</v>
      </c>
      <c r="EI19">
        <v>0</v>
      </c>
      <c r="EL19" t="s">
        <v>1528</v>
      </c>
      <c r="EM19">
        <v>12</v>
      </c>
      <c r="EN19">
        <v>0.5</v>
      </c>
      <c r="EO19">
        <v>0.96</v>
      </c>
      <c r="EP19">
        <v>2143.83</v>
      </c>
      <c r="EQ19">
        <v>34837.24</v>
      </c>
      <c r="ER19">
        <v>10077.48</v>
      </c>
      <c r="ES19">
        <v>0</v>
      </c>
      <c r="ET19">
        <v>0</v>
      </c>
      <c r="EU19">
        <v>1</v>
      </c>
      <c r="EV19">
        <v>44915</v>
      </c>
      <c r="EW19">
        <v>539</v>
      </c>
      <c r="EX19" t="s">
        <v>4088</v>
      </c>
      <c r="EY19">
        <v>216</v>
      </c>
      <c r="EZ19" t="s">
        <v>4055</v>
      </c>
      <c r="FA19">
        <v>7.5</v>
      </c>
      <c r="FB19">
        <v>1</v>
      </c>
      <c r="FC19">
        <v>1</v>
      </c>
      <c r="FD19">
        <v>2181</v>
      </c>
      <c r="FE19">
        <v>2815</v>
      </c>
      <c r="FF19" t="s">
        <v>4089</v>
      </c>
      <c r="FG19">
        <v>216</v>
      </c>
      <c r="FH19" t="s">
        <v>4055</v>
      </c>
      <c r="FI19">
        <v>1.8</v>
      </c>
      <c r="FJ19">
        <v>2181</v>
      </c>
      <c r="FK19">
        <v>841</v>
      </c>
      <c r="FL19" t="s">
        <v>4069</v>
      </c>
      <c r="FM19" t="s">
        <v>4055</v>
      </c>
      <c r="FN19" t="s">
        <v>4055</v>
      </c>
      <c r="FO19" t="s">
        <v>4055</v>
      </c>
      <c r="FP19">
        <v>2181</v>
      </c>
      <c r="FQ19">
        <v>70</v>
      </c>
      <c r="FR19" t="s">
        <v>4090</v>
      </c>
      <c r="FS19">
        <v>220</v>
      </c>
      <c r="FT19" t="s">
        <v>4055</v>
      </c>
      <c r="FU19">
        <v>0.4</v>
      </c>
      <c r="FV19">
        <v>2181</v>
      </c>
      <c r="FW19">
        <v>213</v>
      </c>
      <c r="FX19" t="s">
        <v>4070</v>
      </c>
      <c r="FY19">
        <v>5</v>
      </c>
      <c r="FZ19" t="s">
        <v>4055</v>
      </c>
      <c r="GA19" t="s">
        <v>4055</v>
      </c>
      <c r="GB19">
        <v>2181</v>
      </c>
      <c r="GC19">
        <v>22</v>
      </c>
      <c r="GD19">
        <v>3961</v>
      </c>
      <c r="GE19" t="s">
        <v>4188</v>
      </c>
      <c r="GF19" t="s">
        <v>4055</v>
      </c>
      <c r="GG19" t="s">
        <v>4055</v>
      </c>
      <c r="GH19" t="s">
        <v>4055</v>
      </c>
      <c r="GI19" t="s">
        <v>4071</v>
      </c>
      <c r="GJ19" t="s">
        <v>4055</v>
      </c>
      <c r="GK19" t="s">
        <v>4055</v>
      </c>
      <c r="GL19" t="s">
        <v>4055</v>
      </c>
      <c r="GM19" t="s">
        <v>4055</v>
      </c>
      <c r="GQ19">
        <v>0</v>
      </c>
      <c r="GV19">
        <v>9.699999999999999</v>
      </c>
      <c r="GW19">
        <v>7.6</v>
      </c>
      <c r="GX19">
        <v>0.5</v>
      </c>
      <c r="GY19">
        <v>180</v>
      </c>
      <c r="GZ19">
        <v>3</v>
      </c>
      <c r="HA19">
        <v>230</v>
      </c>
      <c r="HB19">
        <v>3</v>
      </c>
      <c r="HC19">
        <v>2181</v>
      </c>
      <c r="HD19">
        <v>4</v>
      </c>
      <c r="HE19" t="s">
        <v>4071</v>
      </c>
      <c r="HG19" t="s">
        <v>549</v>
      </c>
      <c r="HL19">
        <v>4</v>
      </c>
      <c r="HM19">
        <v>17</v>
      </c>
      <c r="HN19">
        <v>6</v>
      </c>
      <c r="HO19">
        <v>1</v>
      </c>
      <c r="HP19">
        <v>0</v>
      </c>
      <c r="HQ19">
        <v>0</v>
      </c>
      <c r="HR19">
        <v>1</v>
      </c>
      <c r="HS19">
        <v>2130</v>
      </c>
      <c r="HT19">
        <v>5</v>
      </c>
      <c r="HU19">
        <v>1</v>
      </c>
      <c r="HV19">
        <v>3</v>
      </c>
      <c r="HW19">
        <v>0</v>
      </c>
      <c r="HX19">
        <v>1</v>
      </c>
      <c r="HY19">
        <v>0</v>
      </c>
      <c r="HZ19">
        <v>65</v>
      </c>
      <c r="IA19">
        <v>2133</v>
      </c>
      <c r="IB19">
        <v>2145</v>
      </c>
      <c r="ID19">
        <v>2181</v>
      </c>
      <c r="IE19">
        <v>2181</v>
      </c>
      <c r="IF19">
        <v>190</v>
      </c>
      <c r="IG19">
        <v>180</v>
      </c>
      <c r="IH19">
        <v>230</v>
      </c>
      <c r="II19">
        <v>1</v>
      </c>
      <c r="IJ19">
        <v>5</v>
      </c>
      <c r="IK19">
        <v>0</v>
      </c>
      <c r="IL19">
        <v>0</v>
      </c>
      <c r="IM19">
        <v>0</v>
      </c>
      <c r="IN19">
        <v>270</v>
      </c>
      <c r="IO19">
        <v>0</v>
      </c>
      <c r="IP19">
        <v>180</v>
      </c>
      <c r="IQ19">
        <v>0</v>
      </c>
      <c r="IR19">
        <v>330</v>
      </c>
      <c r="IS19">
        <v>0</v>
      </c>
      <c r="IT19">
        <v>90</v>
      </c>
      <c r="IU19">
        <v>0</v>
      </c>
      <c r="IV19">
        <v>6.4</v>
      </c>
      <c r="IW19">
        <v>-6</v>
      </c>
      <c r="IX19">
        <v>98</v>
      </c>
      <c r="IY19">
        <v>68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420</v>
      </c>
      <c r="JJ19">
        <v>390</v>
      </c>
      <c r="JK19">
        <v>290</v>
      </c>
      <c r="JL19">
        <v>386</v>
      </c>
      <c r="JM19">
        <v>300</v>
      </c>
      <c r="JN19">
        <v>190</v>
      </c>
      <c r="JO19">
        <v>248</v>
      </c>
      <c r="JP19">
        <v>180</v>
      </c>
      <c r="JQ19">
        <v>240</v>
      </c>
      <c r="JR19">
        <v>353</v>
      </c>
      <c r="JS19">
        <v>240</v>
      </c>
      <c r="JT19">
        <v>0</v>
      </c>
      <c r="JU19">
        <v>0</v>
      </c>
      <c r="JV19">
        <v>335</v>
      </c>
      <c r="JW19">
        <v>337</v>
      </c>
      <c r="JX19">
        <v>345</v>
      </c>
      <c r="JY19">
        <v>330</v>
      </c>
      <c r="JZ19">
        <v>1</v>
      </c>
      <c r="KA19">
        <v>0.2</v>
      </c>
      <c r="KB19">
        <v>0.4</v>
      </c>
      <c r="KC19">
        <v>0.42</v>
      </c>
      <c r="KD19">
        <v>0.28</v>
      </c>
      <c r="KE19">
        <v>0.5</v>
      </c>
      <c r="KF19">
        <v>0.18</v>
      </c>
      <c r="KG19">
        <v>0.1</v>
      </c>
      <c r="KH19">
        <v>3.5</v>
      </c>
      <c r="KI19">
        <v>1</v>
      </c>
      <c r="KJ19">
        <v>4.5</v>
      </c>
      <c r="KK19">
        <v>0</v>
      </c>
      <c r="KL19">
        <v>4.5</v>
      </c>
      <c r="KM19">
        <v>0</v>
      </c>
      <c r="KN19">
        <v>1.5</v>
      </c>
      <c r="KO19">
        <v>0</v>
      </c>
      <c r="KP19">
        <v>0</v>
      </c>
      <c r="KQ19">
        <v>0.8</v>
      </c>
      <c r="KR19">
        <v>0.8</v>
      </c>
      <c r="KS19">
        <v>0.2</v>
      </c>
      <c r="KT19">
        <v>2.6</v>
      </c>
      <c r="KU19">
        <v>0</v>
      </c>
      <c r="KV19">
        <v>0</v>
      </c>
      <c r="KW19">
        <v>1.5</v>
      </c>
      <c r="KX19">
        <v>2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3</v>
      </c>
      <c r="LI19">
        <v>1</v>
      </c>
      <c r="LJ19">
        <v>0</v>
      </c>
      <c r="LK19">
        <v>7</v>
      </c>
      <c r="LL19">
        <v>5</v>
      </c>
      <c r="LM19">
        <v>9</v>
      </c>
      <c r="LN19">
        <v>0.1</v>
      </c>
      <c r="LO19">
        <v>3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2</v>
      </c>
      <c r="LX19">
        <v>2</v>
      </c>
      <c r="LY19">
        <v>2</v>
      </c>
      <c r="LZ19">
        <v>2</v>
      </c>
      <c r="MA19">
        <v>0</v>
      </c>
      <c r="MB19">
        <v>5</v>
      </c>
      <c r="MC19">
        <v>0</v>
      </c>
      <c r="MD19">
        <v>4.5</v>
      </c>
      <c r="ME19">
        <v>6</v>
      </c>
      <c r="MF19">
        <v>6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420</v>
      </c>
      <c r="MN19">
        <v>185</v>
      </c>
      <c r="MO19">
        <v>240</v>
      </c>
      <c r="NU19">
        <v>0.15</v>
      </c>
      <c r="NV19">
        <v>0.2</v>
      </c>
      <c r="NW19">
        <v>0.2</v>
      </c>
      <c r="NX19">
        <v>0.2</v>
      </c>
      <c r="NY19">
        <v>0.2</v>
      </c>
      <c r="NZ19">
        <v>0.2</v>
      </c>
      <c r="OE19" t="s">
        <v>4188</v>
      </c>
      <c r="OF19" t="s">
        <v>4152</v>
      </c>
      <c r="OG19" t="s">
        <v>4153</v>
      </c>
      <c r="OH19" t="s">
        <v>4043</v>
      </c>
      <c r="OI19" t="s">
        <v>4188</v>
      </c>
      <c r="OJ19" t="s">
        <v>4187</v>
      </c>
      <c r="OK19">
        <v>61</v>
      </c>
      <c r="OL19">
        <v>61</v>
      </c>
      <c r="OM19" t="s">
        <v>4152</v>
      </c>
      <c r="ON19">
        <v>1</v>
      </c>
      <c r="OO19">
        <v>2133</v>
      </c>
      <c r="OP19">
        <v>61</v>
      </c>
      <c r="OQ19">
        <v>61</v>
      </c>
      <c r="OR19" t="s">
        <v>4153</v>
      </c>
      <c r="OS19">
        <v>1</v>
      </c>
      <c r="OT19">
        <v>2145</v>
      </c>
      <c r="OU19">
        <v>65</v>
      </c>
      <c r="OV19">
        <v>65</v>
      </c>
      <c r="OW19" t="s">
        <v>4043</v>
      </c>
      <c r="OX19">
        <v>2</v>
      </c>
      <c r="OY19">
        <v>44915</v>
      </c>
      <c r="OZ19">
        <v>51</v>
      </c>
      <c r="PA19">
        <v>52</v>
      </c>
      <c r="PB19" t="s">
        <v>4188</v>
      </c>
      <c r="PC19">
        <v>5</v>
      </c>
      <c r="PD19">
        <v>2181</v>
      </c>
      <c r="PF19">
        <v>411</v>
      </c>
      <c r="PG19">
        <v>35</v>
      </c>
      <c r="PH19">
        <v>389</v>
      </c>
      <c r="PI19">
        <v>0</v>
      </c>
      <c r="PJ19">
        <v>32</v>
      </c>
      <c r="PK19">
        <v>1827</v>
      </c>
      <c r="PL19">
        <v>1290.9</v>
      </c>
      <c r="PM19">
        <v>385.5</v>
      </c>
      <c r="PN19">
        <v>97.8</v>
      </c>
      <c r="PO19">
        <v>9.9</v>
      </c>
      <c r="PP19">
        <v>12</v>
      </c>
      <c r="PQ19">
        <v>5</v>
      </c>
      <c r="PR19">
        <v>5</v>
      </c>
      <c r="PS19">
        <v>0</v>
      </c>
      <c r="PT19">
        <v>230</v>
      </c>
      <c r="PU19">
        <v>7</v>
      </c>
      <c r="PV19" t="s">
        <v>4072</v>
      </c>
      <c r="PW19" t="s">
        <v>4072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-1</v>
      </c>
      <c r="QF19">
        <v>1</v>
      </c>
      <c r="QG19">
        <v>0</v>
      </c>
      <c r="QH19">
        <v>5</v>
      </c>
      <c r="QI19">
        <v>5</v>
      </c>
      <c r="QJ19">
        <v>5</v>
      </c>
      <c r="QK19">
        <v>205</v>
      </c>
      <c r="QL19">
        <v>454</v>
      </c>
      <c r="QM19">
        <v>7.5</v>
      </c>
      <c r="QN19">
        <v>1384.6</v>
      </c>
      <c r="QO19" t="s">
        <v>556</v>
      </c>
      <c r="QP19" t="s">
        <v>513</v>
      </c>
      <c r="QQ19">
        <v>0</v>
      </c>
      <c r="QR19" t="s">
        <v>892</v>
      </c>
      <c r="QS19">
        <v>30</v>
      </c>
      <c r="QT19">
        <v>40</v>
      </c>
    </row>
    <row r="20" spans="1:462">
      <c r="A20" t="s">
        <v>898</v>
      </c>
      <c r="B20" t="s">
        <v>729</v>
      </c>
      <c r="C20" t="s">
        <v>509</v>
      </c>
      <c r="D20" t="s">
        <v>4189</v>
      </c>
      <c r="E20" t="s">
        <v>4036</v>
      </c>
      <c r="H20" t="s">
        <v>605</v>
      </c>
      <c r="I20" t="s">
        <v>896</v>
      </c>
      <c r="J20" t="s">
        <v>628</v>
      </c>
      <c r="K20" t="s">
        <v>606</v>
      </c>
      <c r="L20" t="s">
        <v>897</v>
      </c>
      <c r="M20" t="s">
        <v>512</v>
      </c>
      <c r="O20" t="s">
        <v>513</v>
      </c>
      <c r="P20" t="s">
        <v>567</v>
      </c>
      <c r="Q20" t="s">
        <v>899</v>
      </c>
      <c r="R20" t="s">
        <v>743</v>
      </c>
      <c r="S20" t="s">
        <v>4134</v>
      </c>
      <c r="T20" t="s">
        <v>662</v>
      </c>
      <c r="U20" t="s">
        <v>663</v>
      </c>
      <c r="V20" t="s">
        <v>900</v>
      </c>
      <c r="W20" t="s">
        <v>573</v>
      </c>
      <c r="X20" t="s">
        <v>901</v>
      </c>
      <c r="Y20" t="s">
        <v>902</v>
      </c>
      <c r="Z20" t="s">
        <v>650</v>
      </c>
      <c r="AA20" t="s">
        <v>4038</v>
      </c>
      <c r="AB20" t="s">
        <v>4190</v>
      </c>
      <c r="AC20">
        <v>9</v>
      </c>
      <c r="AD20" t="s">
        <v>894</v>
      </c>
      <c r="AE20">
        <v>9</v>
      </c>
      <c r="AF20">
        <v>3947</v>
      </c>
      <c r="AG20" t="s">
        <v>4147</v>
      </c>
      <c r="AH20">
        <v>1</v>
      </c>
      <c r="AI20" t="s">
        <v>4041</v>
      </c>
      <c r="AK20" t="s">
        <v>4148</v>
      </c>
      <c r="AL20">
        <v>1</v>
      </c>
      <c r="AM20" t="s">
        <v>582</v>
      </c>
      <c r="AO20" t="s">
        <v>4043</v>
      </c>
      <c r="AP20">
        <v>1</v>
      </c>
      <c r="AR20" t="s">
        <v>4191</v>
      </c>
      <c r="AS20">
        <v>1</v>
      </c>
      <c r="AT20">
        <v>52</v>
      </c>
      <c r="AV20" t="s">
        <v>4078</v>
      </c>
      <c r="AW20">
        <v>6.4</v>
      </c>
      <c r="AX20">
        <v>-6</v>
      </c>
      <c r="AY20">
        <v>102.5</v>
      </c>
      <c r="AZ20">
        <v>70</v>
      </c>
      <c r="BH20">
        <v>102.5</v>
      </c>
      <c r="BI20">
        <v>32.5</v>
      </c>
      <c r="BJ20">
        <v>70</v>
      </c>
      <c r="BK20">
        <v>2.5</v>
      </c>
      <c r="BL20">
        <v>205</v>
      </c>
      <c r="BM20">
        <v>-6</v>
      </c>
      <c r="BN20">
        <v>0</v>
      </c>
      <c r="BP20">
        <v>0</v>
      </c>
      <c r="BR20">
        <v>200</v>
      </c>
      <c r="BS20">
        <v>190</v>
      </c>
      <c r="BT20">
        <v>1930</v>
      </c>
      <c r="BU20" t="s">
        <v>4047</v>
      </c>
      <c r="BV20" t="s">
        <v>4047</v>
      </c>
      <c r="BW20" t="s">
        <v>4049</v>
      </c>
      <c r="BX20" t="s">
        <v>4049</v>
      </c>
      <c r="BY20" t="s">
        <v>4192</v>
      </c>
      <c r="BZ20" t="s">
        <v>4192</v>
      </c>
      <c r="CA20" t="s">
        <v>4118</v>
      </c>
      <c r="CB20" t="s">
        <v>4119</v>
      </c>
      <c r="CC20" t="s">
        <v>4053</v>
      </c>
      <c r="CD20" t="s">
        <v>4121</v>
      </c>
      <c r="CE20" t="s">
        <v>4055</v>
      </c>
      <c r="CF20" t="s">
        <v>4055</v>
      </c>
      <c r="CG20" t="s">
        <v>4056</v>
      </c>
      <c r="CH20" t="s">
        <v>4057</v>
      </c>
      <c r="CI20" t="s">
        <v>4058</v>
      </c>
      <c r="CJ20" t="s">
        <v>4059</v>
      </c>
      <c r="CK20" t="s">
        <v>4060</v>
      </c>
      <c r="CL20" t="s">
        <v>4061</v>
      </c>
      <c r="CM20" t="s">
        <v>4062</v>
      </c>
      <c r="CN20" t="s">
        <v>4055</v>
      </c>
      <c r="CO20" t="s">
        <v>4063</v>
      </c>
      <c r="CP20" t="s">
        <v>4055</v>
      </c>
      <c r="CQ20" t="s">
        <v>4055</v>
      </c>
      <c r="CR20">
        <v>5</v>
      </c>
      <c r="CS20" t="s">
        <v>4055</v>
      </c>
      <c r="CT20" t="s">
        <v>4055</v>
      </c>
      <c r="CU20" t="s">
        <v>4055</v>
      </c>
      <c r="CV20">
        <v>124</v>
      </c>
      <c r="CW20">
        <v>3</v>
      </c>
      <c r="CX20">
        <v>110</v>
      </c>
      <c r="CY20">
        <v>5</v>
      </c>
      <c r="CZ20">
        <v>133</v>
      </c>
      <c r="DA20">
        <v>5</v>
      </c>
      <c r="DB20">
        <v>9510</v>
      </c>
      <c r="DC20">
        <v>280</v>
      </c>
      <c r="DD20">
        <v>285</v>
      </c>
      <c r="DE20">
        <v>2034</v>
      </c>
      <c r="DF20">
        <v>2034</v>
      </c>
      <c r="DG20">
        <v>2044</v>
      </c>
      <c r="DH20" t="s">
        <v>4055</v>
      </c>
      <c r="DI20" t="s">
        <v>4055</v>
      </c>
      <c r="DJ20" t="s">
        <v>4100</v>
      </c>
      <c r="DK20">
        <v>200</v>
      </c>
      <c r="DL20" t="s">
        <v>4101</v>
      </c>
      <c r="DM20">
        <v>65</v>
      </c>
      <c r="DN20">
        <v>0.84</v>
      </c>
      <c r="DO20">
        <v>1</v>
      </c>
      <c r="DP20">
        <v>1933</v>
      </c>
      <c r="DQ20">
        <v>707</v>
      </c>
      <c r="DR20" t="s">
        <v>4100</v>
      </c>
      <c r="DS20">
        <v>190</v>
      </c>
      <c r="DT20" t="s">
        <v>4101</v>
      </c>
      <c r="DU20">
        <v>65</v>
      </c>
      <c r="DV20">
        <v>0.84</v>
      </c>
      <c r="DW20">
        <v>1</v>
      </c>
      <c r="DX20">
        <v>1940</v>
      </c>
      <c r="DY20">
        <v>673</v>
      </c>
      <c r="DZ20" t="s">
        <v>4066</v>
      </c>
      <c r="EA20">
        <v>33</v>
      </c>
      <c r="EB20" t="s">
        <v>4065</v>
      </c>
      <c r="EC20">
        <v>0.4</v>
      </c>
      <c r="ED20">
        <v>1933</v>
      </c>
      <c r="EE20">
        <v>56</v>
      </c>
      <c r="EF20" t="s">
        <v>4066</v>
      </c>
      <c r="EG20">
        <v>33</v>
      </c>
      <c r="EH20" t="s">
        <v>4065</v>
      </c>
      <c r="EI20">
        <v>0.4</v>
      </c>
      <c r="EJ20">
        <v>1940</v>
      </c>
      <c r="EK20">
        <v>56</v>
      </c>
      <c r="EL20" t="s">
        <v>1528</v>
      </c>
      <c r="EM20">
        <v>12</v>
      </c>
      <c r="EN20">
        <v>0.5</v>
      </c>
      <c r="EO20">
        <v>0.96</v>
      </c>
      <c r="EP20">
        <v>1940.56</v>
      </c>
      <c r="EQ20">
        <v>32898.56</v>
      </c>
      <c r="ER20">
        <v>9885.040000000001</v>
      </c>
      <c r="ES20">
        <v>0</v>
      </c>
      <c r="ET20">
        <v>0</v>
      </c>
      <c r="EU20">
        <v>1</v>
      </c>
      <c r="EV20">
        <v>42784</v>
      </c>
      <c r="EW20">
        <v>514</v>
      </c>
      <c r="EX20" t="s">
        <v>4088</v>
      </c>
      <c r="EY20">
        <v>222</v>
      </c>
      <c r="EZ20" t="s">
        <v>4055</v>
      </c>
      <c r="FA20">
        <v>6.3</v>
      </c>
      <c r="FB20">
        <v>1</v>
      </c>
      <c r="FC20">
        <v>1</v>
      </c>
      <c r="FD20">
        <v>1974</v>
      </c>
      <c r="FE20">
        <v>2434</v>
      </c>
      <c r="FF20" t="s">
        <v>4089</v>
      </c>
      <c r="FG20">
        <v>222</v>
      </c>
      <c r="FH20" t="s">
        <v>4055</v>
      </c>
      <c r="FI20">
        <v>1.8</v>
      </c>
      <c r="FJ20">
        <v>1974</v>
      </c>
      <c r="FK20">
        <v>792</v>
      </c>
      <c r="FL20" t="s">
        <v>4069</v>
      </c>
      <c r="FM20" t="s">
        <v>4055</v>
      </c>
      <c r="FN20" t="s">
        <v>4055</v>
      </c>
      <c r="FO20" t="s">
        <v>4055</v>
      </c>
      <c r="FP20">
        <v>1974</v>
      </c>
      <c r="FQ20">
        <v>114</v>
      </c>
      <c r="FR20" t="s">
        <v>4090</v>
      </c>
      <c r="FS20">
        <v>226</v>
      </c>
      <c r="FT20" t="s">
        <v>4055</v>
      </c>
      <c r="FU20">
        <v>0.4</v>
      </c>
      <c r="FV20">
        <v>1974</v>
      </c>
      <c r="FW20">
        <v>198</v>
      </c>
      <c r="FX20" t="s">
        <v>4070</v>
      </c>
      <c r="FY20">
        <v>5</v>
      </c>
      <c r="FZ20" t="s">
        <v>4055</v>
      </c>
      <c r="GA20" t="s">
        <v>4055</v>
      </c>
      <c r="GB20">
        <v>1974</v>
      </c>
      <c r="GC20">
        <v>17</v>
      </c>
      <c r="GD20">
        <v>3555</v>
      </c>
      <c r="GE20" t="s">
        <v>4191</v>
      </c>
      <c r="GF20" t="s">
        <v>4055</v>
      </c>
      <c r="GG20" t="s">
        <v>4055</v>
      </c>
      <c r="GH20" t="s">
        <v>4055</v>
      </c>
      <c r="GI20" t="s">
        <v>4071</v>
      </c>
      <c r="GJ20" t="s">
        <v>4055</v>
      </c>
      <c r="GK20" t="s">
        <v>4055</v>
      </c>
      <c r="GL20" t="s">
        <v>4055</v>
      </c>
      <c r="GM20" t="s">
        <v>4055</v>
      </c>
      <c r="GQ20">
        <v>0</v>
      </c>
      <c r="GV20">
        <v>8.5</v>
      </c>
      <c r="GW20">
        <v>7.5</v>
      </c>
      <c r="GX20">
        <v>0.5</v>
      </c>
      <c r="GY20">
        <v>190</v>
      </c>
      <c r="GZ20">
        <v>3</v>
      </c>
      <c r="HA20">
        <v>240</v>
      </c>
      <c r="HB20">
        <v>3</v>
      </c>
      <c r="HC20">
        <v>1974</v>
      </c>
      <c r="HD20">
        <v>4</v>
      </c>
      <c r="HE20" t="s">
        <v>4071</v>
      </c>
      <c r="HG20" t="s">
        <v>549</v>
      </c>
      <c r="HL20">
        <v>4</v>
      </c>
      <c r="HM20">
        <v>18</v>
      </c>
      <c r="HN20">
        <v>1</v>
      </c>
      <c r="HO20">
        <v>1</v>
      </c>
      <c r="HP20">
        <v>0</v>
      </c>
      <c r="HQ20">
        <v>0</v>
      </c>
      <c r="HR20">
        <v>3</v>
      </c>
      <c r="HS20">
        <v>1930</v>
      </c>
      <c r="HT20">
        <v>5</v>
      </c>
      <c r="HU20">
        <v>1</v>
      </c>
      <c r="HV20">
        <v>3</v>
      </c>
      <c r="HW20">
        <v>0</v>
      </c>
      <c r="HX20">
        <v>1</v>
      </c>
      <c r="HY20">
        <v>0</v>
      </c>
      <c r="HZ20">
        <v>65</v>
      </c>
      <c r="IA20">
        <v>1933</v>
      </c>
      <c r="IB20">
        <v>1940</v>
      </c>
      <c r="ID20">
        <v>1974</v>
      </c>
      <c r="IE20">
        <v>1974</v>
      </c>
      <c r="IF20">
        <v>200</v>
      </c>
      <c r="IG20">
        <v>190</v>
      </c>
      <c r="IH20">
        <v>240</v>
      </c>
      <c r="II20">
        <v>1</v>
      </c>
      <c r="IJ20">
        <v>10</v>
      </c>
      <c r="IK20">
        <v>0</v>
      </c>
      <c r="IL20">
        <v>0</v>
      </c>
      <c r="IM20">
        <v>0</v>
      </c>
      <c r="IN20">
        <v>270</v>
      </c>
      <c r="IO20">
        <v>0</v>
      </c>
      <c r="IP20">
        <v>180</v>
      </c>
      <c r="IQ20">
        <v>0</v>
      </c>
      <c r="IR20">
        <v>330</v>
      </c>
      <c r="IS20">
        <v>0</v>
      </c>
      <c r="IT20">
        <v>90</v>
      </c>
      <c r="IU20">
        <v>0</v>
      </c>
      <c r="IV20">
        <v>6.4</v>
      </c>
      <c r="IW20">
        <v>-6</v>
      </c>
      <c r="IX20">
        <v>102.5</v>
      </c>
      <c r="IY20">
        <v>70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338</v>
      </c>
      <c r="JJ20">
        <v>310</v>
      </c>
      <c r="JK20">
        <v>230</v>
      </c>
      <c r="JL20">
        <v>310</v>
      </c>
      <c r="JM20">
        <v>230</v>
      </c>
      <c r="JN20">
        <v>210</v>
      </c>
      <c r="JO20">
        <v>250</v>
      </c>
      <c r="JP20">
        <v>215</v>
      </c>
      <c r="JQ20">
        <v>255</v>
      </c>
      <c r="JR20">
        <v>320</v>
      </c>
      <c r="JS20">
        <v>286</v>
      </c>
      <c r="JT20">
        <v>0</v>
      </c>
      <c r="JU20">
        <v>0</v>
      </c>
      <c r="JV20">
        <v>320</v>
      </c>
      <c r="JW20">
        <v>320</v>
      </c>
      <c r="JX20">
        <v>315</v>
      </c>
      <c r="JY20">
        <v>300</v>
      </c>
      <c r="JZ20">
        <v>1</v>
      </c>
      <c r="KA20">
        <v>0.2</v>
      </c>
      <c r="KB20">
        <v>0.42</v>
      </c>
      <c r="KC20">
        <v>0.44</v>
      </c>
      <c r="KD20">
        <v>0.28</v>
      </c>
      <c r="KE20">
        <v>0.5</v>
      </c>
      <c r="KF20">
        <v>0.23</v>
      </c>
      <c r="KG20">
        <v>0.1</v>
      </c>
      <c r="KH20">
        <v>3.5</v>
      </c>
      <c r="KI20">
        <v>1</v>
      </c>
      <c r="KJ20">
        <v>5</v>
      </c>
      <c r="KK20">
        <v>0</v>
      </c>
      <c r="KL20">
        <v>5</v>
      </c>
      <c r="KM20">
        <v>1.5</v>
      </c>
      <c r="KN20">
        <v>1.5</v>
      </c>
      <c r="KO20">
        <v>0</v>
      </c>
      <c r="KP20">
        <v>0</v>
      </c>
      <c r="KQ20">
        <v>1</v>
      </c>
      <c r="KR20">
        <v>0.7</v>
      </c>
      <c r="KS20">
        <v>0</v>
      </c>
      <c r="KT20">
        <v>2.3</v>
      </c>
      <c r="KU20">
        <v>0</v>
      </c>
      <c r="KV20">
        <v>0</v>
      </c>
      <c r="KW20">
        <v>1.2</v>
      </c>
      <c r="KX20">
        <v>2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3</v>
      </c>
      <c r="LI20">
        <v>1</v>
      </c>
      <c r="LJ20">
        <v>0</v>
      </c>
      <c r="LK20">
        <v>6</v>
      </c>
      <c r="LL20">
        <v>7.5</v>
      </c>
      <c r="LM20">
        <v>8</v>
      </c>
      <c r="LN20">
        <v>0.5</v>
      </c>
      <c r="LO20">
        <v>3</v>
      </c>
      <c r="LP20">
        <v>0</v>
      </c>
      <c r="LQ20">
        <v>0</v>
      </c>
      <c r="LR20">
        <v>0</v>
      </c>
      <c r="LS20">
        <v>1</v>
      </c>
      <c r="LT20">
        <v>0</v>
      </c>
      <c r="LU20">
        <v>0</v>
      </c>
      <c r="LV20">
        <v>0</v>
      </c>
      <c r="LW20">
        <v>1.8</v>
      </c>
      <c r="LX20">
        <v>1.8</v>
      </c>
      <c r="LY20">
        <v>2.1</v>
      </c>
      <c r="LZ20">
        <v>2.1</v>
      </c>
      <c r="MA20">
        <v>0</v>
      </c>
      <c r="MB20">
        <v>15</v>
      </c>
      <c r="MC20">
        <v>1</v>
      </c>
      <c r="MD20">
        <v>4.5</v>
      </c>
      <c r="ME20">
        <v>6</v>
      </c>
      <c r="MF20">
        <v>6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358</v>
      </c>
      <c r="MN20">
        <v>195</v>
      </c>
      <c r="MO20">
        <v>250</v>
      </c>
      <c r="NU20">
        <v>0.15</v>
      </c>
      <c r="NV20">
        <v>0.2</v>
      </c>
      <c r="NW20">
        <v>0.2</v>
      </c>
      <c r="NX20">
        <v>20</v>
      </c>
      <c r="NY20">
        <v>20</v>
      </c>
      <c r="NZ20">
        <v>20</v>
      </c>
      <c r="OE20" t="s">
        <v>4191</v>
      </c>
      <c r="OF20" t="s">
        <v>4147</v>
      </c>
      <c r="OG20" t="s">
        <v>4148</v>
      </c>
      <c r="OH20" t="s">
        <v>4043</v>
      </c>
      <c r="OI20" t="s">
        <v>4191</v>
      </c>
      <c r="OJ20" t="s">
        <v>4190</v>
      </c>
      <c r="OK20">
        <v>61</v>
      </c>
      <c r="OL20">
        <v>61</v>
      </c>
      <c r="OM20" t="s">
        <v>4147</v>
      </c>
      <c r="ON20">
        <v>2</v>
      </c>
      <c r="OO20">
        <v>1933</v>
      </c>
      <c r="OP20">
        <v>61</v>
      </c>
      <c r="OQ20">
        <v>61</v>
      </c>
      <c r="OR20" t="s">
        <v>4148</v>
      </c>
      <c r="OS20">
        <v>2</v>
      </c>
      <c r="OT20">
        <v>1940</v>
      </c>
      <c r="OU20">
        <v>65</v>
      </c>
      <c r="OV20">
        <v>65</v>
      </c>
      <c r="OW20" t="s">
        <v>4043</v>
      </c>
      <c r="OX20">
        <v>1</v>
      </c>
      <c r="OY20">
        <v>42784</v>
      </c>
      <c r="OZ20">
        <v>51</v>
      </c>
      <c r="PA20">
        <v>52</v>
      </c>
      <c r="PB20" t="s">
        <v>4191</v>
      </c>
      <c r="PC20">
        <v>1</v>
      </c>
      <c r="PD20">
        <v>1974</v>
      </c>
      <c r="PF20">
        <v>366</v>
      </c>
      <c r="PG20">
        <v>29</v>
      </c>
      <c r="PH20">
        <v>347</v>
      </c>
      <c r="PI20">
        <v>29</v>
      </c>
      <c r="PJ20">
        <v>58</v>
      </c>
      <c r="PK20">
        <v>1838</v>
      </c>
      <c r="PL20">
        <v>1232.8</v>
      </c>
      <c r="PM20">
        <v>401.1</v>
      </c>
      <c r="PN20">
        <v>100.5</v>
      </c>
      <c r="PO20">
        <v>8.800000000000001</v>
      </c>
      <c r="PP20">
        <v>12</v>
      </c>
      <c r="PQ20">
        <v>1</v>
      </c>
      <c r="PR20">
        <v>1</v>
      </c>
      <c r="PS20">
        <v>7</v>
      </c>
      <c r="PT20">
        <v>240</v>
      </c>
      <c r="PU20">
        <v>9</v>
      </c>
      <c r="PV20" t="s">
        <v>4072</v>
      </c>
      <c r="PW20" t="s">
        <v>4072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-1</v>
      </c>
      <c r="QF20">
        <v>1</v>
      </c>
      <c r="QG20">
        <v>0</v>
      </c>
      <c r="QH20">
        <v>5</v>
      </c>
      <c r="QI20">
        <v>5</v>
      </c>
      <c r="QJ20">
        <v>5</v>
      </c>
      <c r="QK20">
        <v>163</v>
      </c>
      <c r="QL20">
        <v>372</v>
      </c>
      <c r="QM20">
        <v>7.5</v>
      </c>
      <c r="QN20">
        <v>1459.5</v>
      </c>
      <c r="QO20" t="s">
        <v>556</v>
      </c>
      <c r="QP20" t="s">
        <v>513</v>
      </c>
      <c r="QQ20">
        <v>0</v>
      </c>
      <c r="QR20" t="s">
        <v>649</v>
      </c>
      <c r="QS20">
        <v>30</v>
      </c>
      <c r="QT20">
        <v>40</v>
      </c>
    </row>
    <row r="21" spans="1:462">
      <c r="A21" t="s">
        <v>912</v>
      </c>
      <c r="B21" t="s">
        <v>559</v>
      </c>
      <c r="C21" t="s">
        <v>509</v>
      </c>
      <c r="D21" t="s">
        <v>911</v>
      </c>
      <c r="E21" t="s">
        <v>4036</v>
      </c>
      <c r="H21" t="s">
        <v>627</v>
      </c>
      <c r="I21" t="s">
        <v>604</v>
      </c>
      <c r="J21" t="s">
        <v>628</v>
      </c>
      <c r="K21" t="s">
        <v>606</v>
      </c>
      <c r="L21" t="s">
        <v>564</v>
      </c>
      <c r="M21" t="s">
        <v>512</v>
      </c>
      <c r="O21" t="s">
        <v>513</v>
      </c>
      <c r="P21" t="s">
        <v>567</v>
      </c>
      <c r="Q21" t="s">
        <v>913</v>
      </c>
      <c r="R21" t="s">
        <v>714</v>
      </c>
      <c r="S21" t="s">
        <v>4134</v>
      </c>
      <c r="T21" t="s">
        <v>686</v>
      </c>
      <c r="U21" t="s">
        <v>687</v>
      </c>
      <c r="V21" t="s">
        <v>914</v>
      </c>
      <c r="W21" t="s">
        <v>573</v>
      </c>
      <c r="X21" t="s">
        <v>915</v>
      </c>
      <c r="Y21" t="s">
        <v>916</v>
      </c>
      <c r="Z21" t="s">
        <v>541</v>
      </c>
      <c r="AA21" t="s">
        <v>582</v>
      </c>
      <c r="AB21" t="s">
        <v>4193</v>
      </c>
      <c r="AC21">
        <v>9</v>
      </c>
      <c r="AD21" t="s">
        <v>910</v>
      </c>
      <c r="AE21">
        <v>6</v>
      </c>
      <c r="AF21">
        <v>5375</v>
      </c>
      <c r="AG21" t="s">
        <v>4136</v>
      </c>
      <c r="AH21">
        <v>1</v>
      </c>
      <c r="AI21" t="s">
        <v>4041</v>
      </c>
      <c r="AK21" t="s">
        <v>4137</v>
      </c>
      <c r="AL21">
        <v>1</v>
      </c>
      <c r="AM21" t="s">
        <v>582</v>
      </c>
      <c r="AO21" t="s">
        <v>4043</v>
      </c>
      <c r="AP21">
        <v>1</v>
      </c>
      <c r="AR21" t="s">
        <v>4194</v>
      </c>
      <c r="AS21">
        <v>1</v>
      </c>
      <c r="AT21">
        <v>52</v>
      </c>
      <c r="AV21" t="s">
        <v>4078</v>
      </c>
      <c r="AW21">
        <v>6.4</v>
      </c>
      <c r="AX21">
        <v>-6</v>
      </c>
      <c r="AY21">
        <v>110</v>
      </c>
      <c r="AZ21">
        <v>80</v>
      </c>
      <c r="BA21">
        <v>0</v>
      </c>
      <c r="BB21">
        <v>0</v>
      </c>
      <c r="BC21">
        <v>0</v>
      </c>
      <c r="BH21">
        <v>110</v>
      </c>
      <c r="BI21">
        <v>30</v>
      </c>
      <c r="BJ21">
        <v>80</v>
      </c>
      <c r="BK21">
        <v>2.5</v>
      </c>
      <c r="BL21">
        <v>220</v>
      </c>
      <c r="BM21">
        <v>-6</v>
      </c>
      <c r="BN21">
        <v>0</v>
      </c>
      <c r="BP21">
        <v>0</v>
      </c>
      <c r="BR21">
        <v>215</v>
      </c>
      <c r="BS21">
        <v>205</v>
      </c>
      <c r="BT21">
        <v>2055</v>
      </c>
      <c r="BU21" t="s">
        <v>4096</v>
      </c>
      <c r="BV21" t="s">
        <v>4096</v>
      </c>
      <c r="BW21" t="s">
        <v>4097</v>
      </c>
      <c r="BX21" t="s">
        <v>4097</v>
      </c>
      <c r="BY21" t="s">
        <v>4160</v>
      </c>
      <c r="BZ21" t="s">
        <v>4160</v>
      </c>
      <c r="CA21" t="s">
        <v>4130</v>
      </c>
      <c r="CB21" t="s">
        <v>4131</v>
      </c>
      <c r="CC21" t="s">
        <v>4053</v>
      </c>
      <c r="CD21" t="s">
        <v>4055</v>
      </c>
      <c r="CE21" t="s">
        <v>4055</v>
      </c>
      <c r="CF21" t="s">
        <v>4055</v>
      </c>
      <c r="CG21" t="s">
        <v>4056</v>
      </c>
      <c r="CI21" t="s">
        <v>4086</v>
      </c>
      <c r="CJ21" t="s">
        <v>4059</v>
      </c>
      <c r="CK21" t="s">
        <v>4060</v>
      </c>
      <c r="CL21" t="s">
        <v>4061</v>
      </c>
      <c r="CM21" t="s">
        <v>4055</v>
      </c>
      <c r="CN21" t="s">
        <v>4062</v>
      </c>
      <c r="CO21" t="s">
        <v>4063</v>
      </c>
      <c r="CP21" t="s">
        <v>4055</v>
      </c>
      <c r="CQ21" t="s">
        <v>4055</v>
      </c>
      <c r="CR21">
        <v>5</v>
      </c>
      <c r="CS21" t="s">
        <v>4055</v>
      </c>
      <c r="CT21" t="s">
        <v>4055</v>
      </c>
      <c r="CU21" t="s">
        <v>4055</v>
      </c>
      <c r="CV21">
        <v>135</v>
      </c>
      <c r="CW21">
        <v>3</v>
      </c>
      <c r="CX21">
        <v>92</v>
      </c>
      <c r="CY21">
        <v>5</v>
      </c>
      <c r="CZ21">
        <v>144</v>
      </c>
      <c r="DA21">
        <v>5</v>
      </c>
      <c r="DB21">
        <v>11950</v>
      </c>
      <c r="DC21">
        <v>360</v>
      </c>
      <c r="DD21">
        <v>340</v>
      </c>
      <c r="DE21">
        <v>2167</v>
      </c>
      <c r="DF21">
        <v>2167</v>
      </c>
      <c r="DG21">
        <v>2177</v>
      </c>
      <c r="DH21">
        <v>1</v>
      </c>
      <c r="DI21" t="s">
        <v>4055</v>
      </c>
      <c r="DJ21" t="s">
        <v>4064</v>
      </c>
      <c r="DK21">
        <v>215</v>
      </c>
      <c r="DL21" t="s">
        <v>4065</v>
      </c>
      <c r="DM21">
        <v>65</v>
      </c>
      <c r="DN21">
        <v>1.2</v>
      </c>
      <c r="DO21">
        <v>1</v>
      </c>
      <c r="DP21">
        <v>2059</v>
      </c>
      <c r="DQ21">
        <v>1017</v>
      </c>
      <c r="DR21" t="s">
        <v>4064</v>
      </c>
      <c r="DS21">
        <v>205</v>
      </c>
      <c r="DT21" t="s">
        <v>4065</v>
      </c>
      <c r="DU21">
        <v>65</v>
      </c>
      <c r="DV21">
        <v>1.2</v>
      </c>
      <c r="DW21">
        <v>1</v>
      </c>
      <c r="DX21">
        <v>2071</v>
      </c>
      <c r="DY21">
        <v>975</v>
      </c>
      <c r="DZ21" t="s">
        <v>4066</v>
      </c>
      <c r="EA21">
        <v>20</v>
      </c>
      <c r="EB21" t="s">
        <v>4065</v>
      </c>
      <c r="EC21">
        <v>0.8</v>
      </c>
      <c r="ED21">
        <v>2059</v>
      </c>
      <c r="EE21">
        <v>72</v>
      </c>
      <c r="EG21">
        <v>0</v>
      </c>
      <c r="EH21" t="s">
        <v>4065</v>
      </c>
      <c r="EI21">
        <v>0</v>
      </c>
      <c r="EL21" t="s">
        <v>1528</v>
      </c>
      <c r="EM21">
        <v>12</v>
      </c>
      <c r="EN21">
        <v>0.5</v>
      </c>
      <c r="EO21">
        <v>0.96</v>
      </c>
      <c r="EP21">
        <v>2070.08</v>
      </c>
      <c r="EQ21">
        <v>37520.2</v>
      </c>
      <c r="ER21">
        <v>9731.77</v>
      </c>
      <c r="ES21">
        <v>0</v>
      </c>
      <c r="ET21">
        <v>0</v>
      </c>
      <c r="EU21">
        <v>1</v>
      </c>
      <c r="EV21">
        <v>47252</v>
      </c>
      <c r="EW21">
        <v>568</v>
      </c>
      <c r="EX21" t="s">
        <v>4088</v>
      </c>
      <c r="EY21">
        <v>234</v>
      </c>
      <c r="EZ21" t="s">
        <v>4055</v>
      </c>
      <c r="FA21">
        <v>6.5</v>
      </c>
      <c r="FB21">
        <v>1</v>
      </c>
      <c r="FC21">
        <v>1</v>
      </c>
      <c r="FD21">
        <v>2104</v>
      </c>
      <c r="FE21">
        <v>2674</v>
      </c>
      <c r="FF21" t="s">
        <v>4089</v>
      </c>
      <c r="FG21">
        <v>234</v>
      </c>
      <c r="FH21" t="s">
        <v>4055</v>
      </c>
      <c r="FI21">
        <v>1.8</v>
      </c>
      <c r="FJ21">
        <v>2104</v>
      </c>
      <c r="FK21">
        <v>902</v>
      </c>
      <c r="FL21" t="s">
        <v>4069</v>
      </c>
      <c r="FM21" t="s">
        <v>4055</v>
      </c>
      <c r="FN21" t="s">
        <v>4055</v>
      </c>
      <c r="FO21" t="s">
        <v>4055</v>
      </c>
      <c r="FP21">
        <v>2104</v>
      </c>
      <c r="FQ21">
        <v>120</v>
      </c>
      <c r="FR21" t="s">
        <v>4090</v>
      </c>
      <c r="FS21">
        <v>238</v>
      </c>
      <c r="FT21" t="s">
        <v>4055</v>
      </c>
      <c r="FU21">
        <v>0.4</v>
      </c>
      <c r="FV21">
        <v>2104</v>
      </c>
      <c r="FW21">
        <v>223</v>
      </c>
      <c r="FX21" t="s">
        <v>4070</v>
      </c>
      <c r="FY21">
        <v>5</v>
      </c>
      <c r="FZ21" t="s">
        <v>4055</v>
      </c>
      <c r="GA21" t="s">
        <v>4055</v>
      </c>
      <c r="GB21">
        <v>2104</v>
      </c>
      <c r="GC21">
        <v>19</v>
      </c>
      <c r="GD21">
        <v>3938</v>
      </c>
      <c r="GE21" t="s">
        <v>4194</v>
      </c>
      <c r="GF21" t="s">
        <v>4055</v>
      </c>
      <c r="GG21" t="s">
        <v>4055</v>
      </c>
      <c r="GH21" t="s">
        <v>4055</v>
      </c>
      <c r="GI21" t="s">
        <v>4071</v>
      </c>
      <c r="GJ21" t="s">
        <v>4055</v>
      </c>
      <c r="GK21" t="s">
        <v>4055</v>
      </c>
      <c r="GL21" t="s">
        <v>4055</v>
      </c>
      <c r="GM21" t="s">
        <v>4055</v>
      </c>
      <c r="GQ21">
        <v>0</v>
      </c>
      <c r="GV21">
        <v>8.699999999999999</v>
      </c>
      <c r="GW21">
        <v>7.1</v>
      </c>
      <c r="GX21">
        <v>0.5</v>
      </c>
      <c r="GY21">
        <v>206</v>
      </c>
      <c r="GZ21">
        <v>3</v>
      </c>
      <c r="HA21">
        <v>254</v>
      </c>
      <c r="HB21">
        <v>3</v>
      </c>
      <c r="HC21">
        <v>2104</v>
      </c>
      <c r="HD21">
        <v>4</v>
      </c>
      <c r="HE21" t="s">
        <v>4071</v>
      </c>
      <c r="HG21" t="s">
        <v>549</v>
      </c>
      <c r="HL21">
        <v>4</v>
      </c>
      <c r="HM21">
        <v>19</v>
      </c>
      <c r="HN21">
        <v>6</v>
      </c>
      <c r="HO21">
        <v>1</v>
      </c>
      <c r="HP21">
        <v>0</v>
      </c>
      <c r="HQ21">
        <v>0</v>
      </c>
      <c r="HR21">
        <v>3</v>
      </c>
      <c r="HS21">
        <v>2055</v>
      </c>
      <c r="HT21">
        <v>5</v>
      </c>
      <c r="HU21">
        <v>1</v>
      </c>
      <c r="HV21">
        <v>3</v>
      </c>
      <c r="HW21">
        <v>0</v>
      </c>
      <c r="HX21">
        <v>1</v>
      </c>
      <c r="HY21">
        <v>0</v>
      </c>
      <c r="HZ21">
        <v>65</v>
      </c>
      <c r="IA21">
        <v>2059</v>
      </c>
      <c r="IB21">
        <v>2071</v>
      </c>
      <c r="ID21">
        <v>2104</v>
      </c>
      <c r="IE21">
        <v>2104</v>
      </c>
      <c r="IF21">
        <v>215</v>
      </c>
      <c r="IG21">
        <v>205</v>
      </c>
      <c r="IH21">
        <v>254</v>
      </c>
      <c r="II21">
        <v>1</v>
      </c>
      <c r="IJ21">
        <v>5</v>
      </c>
      <c r="IK21">
        <v>0</v>
      </c>
      <c r="IL21">
        <v>0</v>
      </c>
      <c r="IM21">
        <v>0</v>
      </c>
      <c r="IN21">
        <v>270</v>
      </c>
      <c r="IO21">
        <v>0</v>
      </c>
      <c r="IP21">
        <v>180</v>
      </c>
      <c r="IQ21">
        <v>0</v>
      </c>
      <c r="IR21">
        <v>330</v>
      </c>
      <c r="IS21">
        <v>0</v>
      </c>
      <c r="IT21">
        <v>90</v>
      </c>
      <c r="IU21">
        <v>0</v>
      </c>
      <c r="IV21">
        <v>6.4</v>
      </c>
      <c r="IW21">
        <v>-6</v>
      </c>
      <c r="IX21">
        <v>110</v>
      </c>
      <c r="IY21">
        <v>80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372</v>
      </c>
      <c r="JJ21">
        <v>342</v>
      </c>
      <c r="JK21">
        <v>258</v>
      </c>
      <c r="JL21">
        <v>338</v>
      </c>
      <c r="JM21">
        <v>295</v>
      </c>
      <c r="JN21">
        <v>210</v>
      </c>
      <c r="JO21">
        <v>264</v>
      </c>
      <c r="JP21">
        <v>210</v>
      </c>
      <c r="JQ21">
        <v>248</v>
      </c>
      <c r="JR21">
        <v>306</v>
      </c>
      <c r="JS21">
        <v>290</v>
      </c>
      <c r="JT21">
        <v>0</v>
      </c>
      <c r="JU21">
        <v>0</v>
      </c>
      <c r="JV21">
        <v>300</v>
      </c>
      <c r="JW21">
        <v>260</v>
      </c>
      <c r="JX21">
        <v>300</v>
      </c>
      <c r="JY21">
        <v>295</v>
      </c>
      <c r="JZ21">
        <v>0.5</v>
      </c>
      <c r="KA21">
        <v>0.21</v>
      </c>
      <c r="KB21">
        <v>0.4</v>
      </c>
      <c r="KC21">
        <v>0.42</v>
      </c>
      <c r="KD21">
        <v>0.28</v>
      </c>
      <c r="KE21">
        <v>0.5</v>
      </c>
      <c r="KF21">
        <v>0.2</v>
      </c>
      <c r="KG21">
        <v>0.1</v>
      </c>
      <c r="KH21">
        <v>3.5</v>
      </c>
      <c r="KI21">
        <v>1</v>
      </c>
      <c r="KJ21">
        <v>4.5</v>
      </c>
      <c r="KK21">
        <v>0</v>
      </c>
      <c r="KL21">
        <v>4.5</v>
      </c>
      <c r="KM21">
        <v>0.5</v>
      </c>
      <c r="KN21">
        <v>2.2</v>
      </c>
      <c r="KO21">
        <v>0</v>
      </c>
      <c r="KP21">
        <v>0</v>
      </c>
      <c r="KQ21">
        <v>0.8</v>
      </c>
      <c r="KR21">
        <v>1</v>
      </c>
      <c r="KS21">
        <v>0.2</v>
      </c>
      <c r="KT21">
        <v>2.5</v>
      </c>
      <c r="KU21">
        <v>0</v>
      </c>
      <c r="KV21">
        <v>0</v>
      </c>
      <c r="KW21">
        <v>1</v>
      </c>
      <c r="KX21">
        <v>2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3</v>
      </c>
      <c r="LI21">
        <v>0.5</v>
      </c>
      <c r="LJ21">
        <v>0</v>
      </c>
      <c r="LK21">
        <v>4.5</v>
      </c>
      <c r="LL21">
        <v>4.5</v>
      </c>
      <c r="LM21">
        <v>7</v>
      </c>
      <c r="LN21">
        <v>0.4</v>
      </c>
      <c r="LO21">
        <v>3.5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1.8</v>
      </c>
      <c r="LX21">
        <v>1.8</v>
      </c>
      <c r="LY21">
        <v>2</v>
      </c>
      <c r="LZ21">
        <v>2</v>
      </c>
      <c r="MA21">
        <v>0</v>
      </c>
      <c r="MB21">
        <v>2.5</v>
      </c>
      <c r="MC21">
        <v>0</v>
      </c>
      <c r="MD21">
        <v>4.5</v>
      </c>
      <c r="ME21">
        <v>6</v>
      </c>
      <c r="MF21">
        <v>6</v>
      </c>
      <c r="MI21">
        <v>0</v>
      </c>
      <c r="MJ21">
        <v>0</v>
      </c>
      <c r="ML21">
        <v>0</v>
      </c>
      <c r="MM21">
        <v>390</v>
      </c>
      <c r="MN21">
        <v>210</v>
      </c>
      <c r="MO21">
        <v>264</v>
      </c>
      <c r="NU21">
        <v>0.15</v>
      </c>
      <c r="NV21">
        <v>0.2</v>
      </c>
      <c r="NW21">
        <v>0.2</v>
      </c>
      <c r="NX21">
        <v>0.2</v>
      </c>
      <c r="NY21">
        <v>0.2</v>
      </c>
      <c r="NZ21">
        <v>0.2</v>
      </c>
      <c r="OE21" t="s">
        <v>4194</v>
      </c>
      <c r="OF21" t="s">
        <v>4136</v>
      </c>
      <c r="OG21" t="s">
        <v>4137</v>
      </c>
      <c r="OH21" t="s">
        <v>4043</v>
      </c>
      <c r="OI21" t="s">
        <v>4194</v>
      </c>
      <c r="OJ21" t="s">
        <v>4193</v>
      </c>
      <c r="OK21">
        <v>61</v>
      </c>
      <c r="OL21">
        <v>61</v>
      </c>
      <c r="OM21" t="s">
        <v>4136</v>
      </c>
      <c r="ON21">
        <v>1</v>
      </c>
      <c r="OO21">
        <v>2059</v>
      </c>
      <c r="OP21">
        <v>61</v>
      </c>
      <c r="OQ21">
        <v>61</v>
      </c>
      <c r="OR21" t="s">
        <v>4137</v>
      </c>
      <c r="OS21">
        <v>1</v>
      </c>
      <c r="OT21">
        <v>2071</v>
      </c>
      <c r="OU21">
        <v>65</v>
      </c>
      <c r="OV21">
        <v>65</v>
      </c>
      <c r="OW21" t="s">
        <v>4043</v>
      </c>
      <c r="OX21">
        <v>1</v>
      </c>
      <c r="OY21">
        <v>47252</v>
      </c>
      <c r="OZ21">
        <v>51</v>
      </c>
      <c r="PA21">
        <v>52</v>
      </c>
      <c r="PB21" t="s">
        <v>4194</v>
      </c>
      <c r="PC21">
        <v>2</v>
      </c>
      <c r="PD21">
        <v>2104</v>
      </c>
      <c r="PF21">
        <v>494</v>
      </c>
      <c r="PG21">
        <v>35</v>
      </c>
      <c r="PH21">
        <v>471</v>
      </c>
      <c r="PI21">
        <v>0</v>
      </c>
      <c r="PJ21">
        <v>57</v>
      </c>
      <c r="PK21">
        <v>1876</v>
      </c>
      <c r="PL21">
        <v>1270.9</v>
      </c>
      <c r="PM21">
        <v>428.5</v>
      </c>
      <c r="PN21">
        <v>105.9</v>
      </c>
      <c r="PO21">
        <v>9.1</v>
      </c>
      <c r="PP21">
        <v>12</v>
      </c>
      <c r="PQ21">
        <v>3</v>
      </c>
      <c r="PR21">
        <v>3</v>
      </c>
      <c r="PS21">
        <v>0</v>
      </c>
      <c r="PT21">
        <v>254</v>
      </c>
      <c r="PU21">
        <v>10</v>
      </c>
      <c r="PV21" t="s">
        <v>4072</v>
      </c>
      <c r="PW21" t="s">
        <v>4072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-1</v>
      </c>
      <c r="QF21">
        <v>1</v>
      </c>
      <c r="QG21">
        <v>0</v>
      </c>
      <c r="QH21">
        <v>5</v>
      </c>
      <c r="QI21">
        <v>5</v>
      </c>
      <c r="QJ21">
        <v>5</v>
      </c>
      <c r="QK21">
        <v>202</v>
      </c>
      <c r="QL21">
        <v>402</v>
      </c>
      <c r="QM21">
        <v>7.5</v>
      </c>
      <c r="QN21">
        <v>1544.1</v>
      </c>
      <c r="QO21" t="s">
        <v>556</v>
      </c>
      <c r="QP21" t="s">
        <v>513</v>
      </c>
      <c r="QQ21">
        <v>0</v>
      </c>
      <c r="QR21" t="s">
        <v>596</v>
      </c>
      <c r="QS21">
        <v>40</v>
      </c>
      <c r="QT21">
        <v>50</v>
      </c>
    </row>
    <row r="22" spans="1:462">
      <c r="A22" t="s">
        <v>925</v>
      </c>
      <c r="B22" t="s">
        <v>629</v>
      </c>
      <c r="C22" t="s">
        <v>509</v>
      </c>
      <c r="D22" t="s">
        <v>911</v>
      </c>
      <c r="E22" t="s">
        <v>4036</v>
      </c>
      <c r="H22" t="s">
        <v>627</v>
      </c>
      <c r="I22" t="s">
        <v>604</v>
      </c>
      <c r="J22" t="s">
        <v>628</v>
      </c>
      <c r="K22" t="s">
        <v>606</v>
      </c>
      <c r="L22" t="s">
        <v>711</v>
      </c>
      <c r="M22" t="s">
        <v>512</v>
      </c>
      <c r="O22" t="s">
        <v>513</v>
      </c>
      <c r="P22" t="s">
        <v>567</v>
      </c>
      <c r="Q22" t="s">
        <v>926</v>
      </c>
      <c r="R22" t="s">
        <v>927</v>
      </c>
      <c r="S22" t="s">
        <v>4073</v>
      </c>
      <c r="T22" t="s">
        <v>570</v>
      </c>
      <c r="U22" t="s">
        <v>571</v>
      </c>
      <c r="V22" t="s">
        <v>928</v>
      </c>
      <c r="W22" t="s">
        <v>573</v>
      </c>
      <c r="X22" t="s">
        <v>929</v>
      </c>
      <c r="Y22" t="s">
        <v>930</v>
      </c>
      <c r="Z22" t="s">
        <v>541</v>
      </c>
      <c r="AA22" t="s">
        <v>4038</v>
      </c>
      <c r="AB22" t="s">
        <v>4195</v>
      </c>
      <c r="AC22">
        <v>9</v>
      </c>
      <c r="AD22" t="s">
        <v>924</v>
      </c>
      <c r="AE22">
        <v>4</v>
      </c>
      <c r="AF22">
        <v>7140</v>
      </c>
      <c r="AG22" t="s">
        <v>4196</v>
      </c>
      <c r="AH22">
        <v>1</v>
      </c>
      <c r="AI22" t="s">
        <v>4041</v>
      </c>
      <c r="AK22" t="s">
        <v>4197</v>
      </c>
      <c r="AL22">
        <v>1</v>
      </c>
      <c r="AM22" t="s">
        <v>582</v>
      </c>
      <c r="AO22" t="s">
        <v>4043</v>
      </c>
      <c r="AP22">
        <v>1</v>
      </c>
      <c r="AR22" t="s">
        <v>4198</v>
      </c>
      <c r="AS22">
        <v>1</v>
      </c>
      <c r="AT22">
        <v>52</v>
      </c>
      <c r="AV22" t="s">
        <v>4078</v>
      </c>
      <c r="AW22">
        <v>6.4</v>
      </c>
      <c r="AX22">
        <v>-6</v>
      </c>
      <c r="AY22">
        <v>118.5</v>
      </c>
      <c r="AZ22">
        <v>82.5</v>
      </c>
      <c r="BH22">
        <v>118.5</v>
      </c>
      <c r="BI22">
        <v>36</v>
      </c>
      <c r="BJ22">
        <v>82.5</v>
      </c>
      <c r="BK22">
        <v>3.5</v>
      </c>
      <c r="BL22">
        <v>237</v>
      </c>
      <c r="BM22">
        <v>-6</v>
      </c>
      <c r="BN22">
        <v>0</v>
      </c>
      <c r="BP22">
        <v>0</v>
      </c>
      <c r="BR22">
        <v>230</v>
      </c>
      <c r="BS22">
        <v>220</v>
      </c>
      <c r="BT22">
        <v>2240</v>
      </c>
      <c r="BU22" t="s">
        <v>4079</v>
      </c>
      <c r="BV22" t="s">
        <v>4079</v>
      </c>
      <c r="BW22" t="s">
        <v>4081</v>
      </c>
      <c r="BX22" t="s">
        <v>4081</v>
      </c>
      <c r="BY22" t="s">
        <v>4199</v>
      </c>
      <c r="BZ22" t="s">
        <v>4164</v>
      </c>
      <c r="CA22" t="s">
        <v>4084</v>
      </c>
      <c r="CB22" t="s">
        <v>4085</v>
      </c>
      <c r="CC22" t="s">
        <v>4053</v>
      </c>
      <c r="CD22" t="s">
        <v>4055</v>
      </c>
      <c r="CE22" t="s">
        <v>4055</v>
      </c>
      <c r="CF22" t="s">
        <v>4055</v>
      </c>
      <c r="CG22" t="s">
        <v>4056</v>
      </c>
      <c r="CI22" t="s">
        <v>4086</v>
      </c>
      <c r="CJ22" t="s">
        <v>4059</v>
      </c>
      <c r="CK22" t="s">
        <v>4060</v>
      </c>
      <c r="CL22" t="s">
        <v>4061</v>
      </c>
      <c r="CM22" t="s">
        <v>4055</v>
      </c>
      <c r="CN22" t="s">
        <v>4062</v>
      </c>
      <c r="CO22" t="s">
        <v>4063</v>
      </c>
      <c r="CP22" t="s">
        <v>4055</v>
      </c>
      <c r="CQ22" t="s">
        <v>4055</v>
      </c>
      <c r="CR22">
        <v>5</v>
      </c>
      <c r="CS22" t="s">
        <v>4055</v>
      </c>
      <c r="CT22" t="s">
        <v>4055</v>
      </c>
      <c r="CU22" t="s">
        <v>4055</v>
      </c>
      <c r="CV22">
        <v>141</v>
      </c>
      <c r="CW22">
        <v>3</v>
      </c>
      <c r="CX22">
        <v>98</v>
      </c>
      <c r="CY22">
        <v>5</v>
      </c>
      <c r="CZ22">
        <v>166</v>
      </c>
      <c r="DA22">
        <v>5</v>
      </c>
      <c r="DB22">
        <v>15250</v>
      </c>
      <c r="DC22">
        <v>380</v>
      </c>
      <c r="DD22">
        <v>380</v>
      </c>
      <c r="DE22">
        <v>2359</v>
      </c>
      <c r="DF22">
        <v>2359</v>
      </c>
      <c r="DG22">
        <v>2369</v>
      </c>
      <c r="DH22">
        <v>0</v>
      </c>
      <c r="DI22" t="s">
        <v>4055</v>
      </c>
      <c r="DJ22" t="s">
        <v>4087</v>
      </c>
      <c r="DK22">
        <v>230</v>
      </c>
      <c r="DL22" t="s">
        <v>4065</v>
      </c>
      <c r="DM22">
        <v>65</v>
      </c>
      <c r="DN22">
        <v>1.36</v>
      </c>
      <c r="DO22">
        <v>1</v>
      </c>
      <c r="DP22">
        <v>2244</v>
      </c>
      <c r="DQ22">
        <v>1299</v>
      </c>
      <c r="DR22" t="s">
        <v>4087</v>
      </c>
      <c r="DS22">
        <v>220</v>
      </c>
      <c r="DT22" t="s">
        <v>4065</v>
      </c>
      <c r="DU22">
        <v>65</v>
      </c>
      <c r="DV22">
        <v>1.36</v>
      </c>
      <c r="DW22">
        <v>1</v>
      </c>
      <c r="DX22">
        <v>2258</v>
      </c>
      <c r="DY22">
        <v>1251</v>
      </c>
      <c r="DZ22" t="s">
        <v>4066</v>
      </c>
      <c r="EA22">
        <v>20</v>
      </c>
      <c r="EB22" t="s">
        <v>4065</v>
      </c>
      <c r="EC22">
        <v>0.8</v>
      </c>
      <c r="ED22">
        <v>2244</v>
      </c>
      <c r="EE22">
        <v>79</v>
      </c>
      <c r="EG22">
        <v>0</v>
      </c>
      <c r="EH22" t="s">
        <v>4065</v>
      </c>
      <c r="EI22">
        <v>0</v>
      </c>
      <c r="EL22" t="s">
        <v>1528</v>
      </c>
      <c r="EM22">
        <v>12</v>
      </c>
      <c r="EN22">
        <v>0.5</v>
      </c>
      <c r="EO22">
        <v>0.96</v>
      </c>
      <c r="EP22">
        <v>2257.1</v>
      </c>
      <c r="EQ22">
        <v>43907.65</v>
      </c>
      <c r="ER22">
        <v>12730.12</v>
      </c>
      <c r="ES22">
        <v>0</v>
      </c>
      <c r="ET22">
        <v>0</v>
      </c>
      <c r="EU22">
        <v>1</v>
      </c>
      <c r="EV22">
        <v>56638</v>
      </c>
      <c r="EW22">
        <v>680</v>
      </c>
      <c r="EX22" t="s">
        <v>4088</v>
      </c>
      <c r="EY22">
        <v>256</v>
      </c>
      <c r="EZ22" t="s">
        <v>4055</v>
      </c>
      <c r="FA22">
        <v>7</v>
      </c>
      <c r="FB22">
        <v>1</v>
      </c>
      <c r="FC22">
        <v>1</v>
      </c>
      <c r="FD22">
        <v>2293</v>
      </c>
      <c r="FE22">
        <v>3346</v>
      </c>
      <c r="FF22" t="s">
        <v>4089</v>
      </c>
      <c r="FG22">
        <v>256</v>
      </c>
      <c r="FH22" t="s">
        <v>4055</v>
      </c>
      <c r="FI22">
        <v>1.8</v>
      </c>
      <c r="FJ22">
        <v>2293</v>
      </c>
      <c r="FK22">
        <v>1041</v>
      </c>
      <c r="FL22" t="s">
        <v>4069</v>
      </c>
      <c r="FM22" t="s">
        <v>4055</v>
      </c>
      <c r="FN22" t="s">
        <v>4055</v>
      </c>
      <c r="FO22" t="s">
        <v>4055</v>
      </c>
      <c r="FP22">
        <v>2293</v>
      </c>
      <c r="FQ22">
        <v>120</v>
      </c>
      <c r="FR22" t="s">
        <v>4090</v>
      </c>
      <c r="FS22">
        <v>260</v>
      </c>
      <c r="FT22" t="s">
        <v>4055</v>
      </c>
      <c r="FU22">
        <v>0.4</v>
      </c>
      <c r="FV22">
        <v>2293</v>
      </c>
      <c r="FW22">
        <v>267</v>
      </c>
      <c r="FX22" t="s">
        <v>4070</v>
      </c>
      <c r="FY22">
        <v>5</v>
      </c>
      <c r="FZ22" t="s">
        <v>4055</v>
      </c>
      <c r="GA22" t="s">
        <v>4055</v>
      </c>
      <c r="GB22">
        <v>2293</v>
      </c>
      <c r="GC22">
        <v>22</v>
      </c>
      <c r="GD22">
        <v>4796</v>
      </c>
      <c r="GE22" t="s">
        <v>4198</v>
      </c>
      <c r="GF22" t="s">
        <v>4055</v>
      </c>
      <c r="GG22" t="s">
        <v>4055</v>
      </c>
      <c r="GH22" t="s">
        <v>4055</v>
      </c>
      <c r="GI22" t="s">
        <v>4071</v>
      </c>
      <c r="GJ22" t="s">
        <v>4055</v>
      </c>
      <c r="GK22" t="s">
        <v>4055</v>
      </c>
      <c r="GL22" t="s">
        <v>4055</v>
      </c>
      <c r="GM22" t="s">
        <v>4055</v>
      </c>
      <c r="GQ22">
        <v>0</v>
      </c>
      <c r="GV22">
        <v>9.199999999999999</v>
      </c>
      <c r="GW22">
        <v>7.8</v>
      </c>
      <c r="GX22">
        <v>0.5</v>
      </c>
      <c r="GY22">
        <v>210</v>
      </c>
      <c r="GZ22">
        <v>3</v>
      </c>
      <c r="HA22">
        <v>276</v>
      </c>
      <c r="HB22">
        <v>3</v>
      </c>
      <c r="HC22">
        <v>2293</v>
      </c>
      <c r="HD22">
        <v>4</v>
      </c>
      <c r="HE22" t="s">
        <v>4071</v>
      </c>
      <c r="HG22" t="s">
        <v>549</v>
      </c>
      <c r="HL22">
        <v>4</v>
      </c>
      <c r="HM22">
        <v>20</v>
      </c>
      <c r="HN22">
        <v>6</v>
      </c>
      <c r="HO22">
        <v>1</v>
      </c>
      <c r="HP22">
        <v>0</v>
      </c>
      <c r="HQ22">
        <v>0</v>
      </c>
      <c r="HR22">
        <v>1</v>
      </c>
      <c r="HS22">
        <v>2240</v>
      </c>
      <c r="HT22">
        <v>5</v>
      </c>
      <c r="HU22">
        <v>1</v>
      </c>
      <c r="HV22">
        <v>3</v>
      </c>
      <c r="HW22">
        <v>0</v>
      </c>
      <c r="HX22">
        <v>1</v>
      </c>
      <c r="HY22">
        <v>0</v>
      </c>
      <c r="HZ22">
        <v>65</v>
      </c>
      <c r="IA22">
        <v>2244</v>
      </c>
      <c r="IB22">
        <v>2258</v>
      </c>
      <c r="ID22">
        <v>2293</v>
      </c>
      <c r="IE22">
        <v>2293</v>
      </c>
      <c r="IF22">
        <v>230</v>
      </c>
      <c r="IG22">
        <v>220</v>
      </c>
      <c r="IH22">
        <v>276</v>
      </c>
      <c r="II22">
        <v>1</v>
      </c>
      <c r="IJ22">
        <v>5</v>
      </c>
      <c r="IK22">
        <v>0</v>
      </c>
      <c r="IL22">
        <v>0</v>
      </c>
      <c r="IM22">
        <v>0</v>
      </c>
      <c r="IN22">
        <v>270</v>
      </c>
      <c r="IO22">
        <v>0</v>
      </c>
      <c r="IP22">
        <v>180</v>
      </c>
      <c r="IQ22">
        <v>0</v>
      </c>
      <c r="IR22">
        <v>330</v>
      </c>
      <c r="IS22">
        <v>0</v>
      </c>
      <c r="IT22">
        <v>90</v>
      </c>
      <c r="IU22">
        <v>0</v>
      </c>
      <c r="IV22">
        <v>6.4</v>
      </c>
      <c r="IW22">
        <v>-6</v>
      </c>
      <c r="IX22">
        <v>118.5</v>
      </c>
      <c r="IY22">
        <v>82.5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432</v>
      </c>
      <c r="JJ22">
        <v>402</v>
      </c>
      <c r="JK22">
        <v>290</v>
      </c>
      <c r="JL22">
        <v>398</v>
      </c>
      <c r="JM22">
        <v>315</v>
      </c>
      <c r="JN22">
        <v>230</v>
      </c>
      <c r="JO22">
        <v>284</v>
      </c>
      <c r="JP22">
        <v>180</v>
      </c>
      <c r="JQ22">
        <v>215</v>
      </c>
      <c r="JR22">
        <v>275</v>
      </c>
      <c r="JS22">
        <v>235</v>
      </c>
      <c r="JT22">
        <v>0</v>
      </c>
      <c r="JU22">
        <v>0</v>
      </c>
      <c r="JV22">
        <v>270</v>
      </c>
      <c r="JW22">
        <v>260</v>
      </c>
      <c r="JX22">
        <v>250</v>
      </c>
      <c r="JY22">
        <v>245</v>
      </c>
      <c r="JZ22">
        <v>0.5</v>
      </c>
      <c r="KA22">
        <v>0.2</v>
      </c>
      <c r="KB22">
        <v>0.4</v>
      </c>
      <c r="KC22">
        <v>0.42</v>
      </c>
      <c r="KD22">
        <v>0.3</v>
      </c>
      <c r="KE22">
        <v>0.5</v>
      </c>
      <c r="KF22">
        <v>0.2</v>
      </c>
      <c r="KG22">
        <v>0.12</v>
      </c>
      <c r="KH22">
        <v>3.5</v>
      </c>
      <c r="KI22">
        <v>1</v>
      </c>
      <c r="KJ22">
        <v>4.5</v>
      </c>
      <c r="KK22">
        <v>0</v>
      </c>
      <c r="KL22">
        <v>4.5</v>
      </c>
      <c r="KM22">
        <v>0.5</v>
      </c>
      <c r="KN22">
        <v>2.5</v>
      </c>
      <c r="KO22">
        <v>1</v>
      </c>
      <c r="KP22">
        <v>0</v>
      </c>
      <c r="KQ22">
        <v>0.5</v>
      </c>
      <c r="KR22">
        <v>0.5</v>
      </c>
      <c r="KS22">
        <v>0</v>
      </c>
      <c r="KT22">
        <v>2.7</v>
      </c>
      <c r="KU22">
        <v>0</v>
      </c>
      <c r="KV22">
        <v>0</v>
      </c>
      <c r="KW22">
        <v>1.2</v>
      </c>
      <c r="KX22">
        <v>1</v>
      </c>
      <c r="KY22">
        <v>1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3</v>
      </c>
      <c r="LI22">
        <v>0.5</v>
      </c>
      <c r="LJ22">
        <v>0</v>
      </c>
      <c r="LK22">
        <v>11</v>
      </c>
      <c r="LL22">
        <v>9</v>
      </c>
      <c r="LM22">
        <v>13</v>
      </c>
      <c r="LN22">
        <v>3</v>
      </c>
      <c r="LO22">
        <v>3</v>
      </c>
      <c r="LP22">
        <v>0</v>
      </c>
      <c r="LQ22">
        <v>0</v>
      </c>
      <c r="LR22">
        <v>0</v>
      </c>
      <c r="LS22">
        <v>1</v>
      </c>
      <c r="LT22">
        <v>0</v>
      </c>
      <c r="LU22">
        <v>0</v>
      </c>
      <c r="LV22">
        <v>0</v>
      </c>
      <c r="LW22">
        <v>1.8</v>
      </c>
      <c r="LX22">
        <v>1.8</v>
      </c>
      <c r="LY22">
        <v>2.1</v>
      </c>
      <c r="LZ22">
        <v>2.1</v>
      </c>
      <c r="MA22">
        <v>0</v>
      </c>
      <c r="MB22">
        <v>5</v>
      </c>
      <c r="MC22">
        <v>0</v>
      </c>
      <c r="MD22">
        <v>4.5</v>
      </c>
      <c r="ME22">
        <v>6</v>
      </c>
      <c r="MF22">
        <v>6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452</v>
      </c>
      <c r="MN22">
        <v>230</v>
      </c>
      <c r="MO22">
        <v>284</v>
      </c>
      <c r="NU22">
        <v>0.15</v>
      </c>
      <c r="NV22">
        <v>0.2</v>
      </c>
      <c r="NW22">
        <v>0.2</v>
      </c>
      <c r="NX22">
        <v>0.2</v>
      </c>
      <c r="NY22">
        <v>0.2</v>
      </c>
      <c r="NZ22">
        <v>0.2</v>
      </c>
      <c r="OE22" t="s">
        <v>4198</v>
      </c>
      <c r="OF22" t="s">
        <v>4196</v>
      </c>
      <c r="OG22" t="s">
        <v>4197</v>
      </c>
      <c r="OH22" t="s">
        <v>4043</v>
      </c>
      <c r="OI22" t="s">
        <v>4198</v>
      </c>
      <c r="OJ22" t="s">
        <v>4195</v>
      </c>
      <c r="OK22">
        <v>61</v>
      </c>
      <c r="OL22">
        <v>61</v>
      </c>
      <c r="OM22" t="s">
        <v>4196</v>
      </c>
      <c r="ON22">
        <v>2</v>
      </c>
      <c r="OO22">
        <v>2244</v>
      </c>
      <c r="OP22">
        <v>61</v>
      </c>
      <c r="OQ22">
        <v>61</v>
      </c>
      <c r="OR22" t="s">
        <v>4197</v>
      </c>
      <c r="OS22">
        <v>2</v>
      </c>
      <c r="OT22">
        <v>2258</v>
      </c>
      <c r="OU22">
        <v>65</v>
      </c>
      <c r="OV22">
        <v>65</v>
      </c>
      <c r="OW22" t="s">
        <v>4043</v>
      </c>
      <c r="OX22">
        <v>1</v>
      </c>
      <c r="OY22">
        <v>56638</v>
      </c>
      <c r="OZ22">
        <v>51</v>
      </c>
      <c r="PA22">
        <v>52</v>
      </c>
      <c r="PB22" t="s">
        <v>4198</v>
      </c>
      <c r="PC22">
        <v>2</v>
      </c>
      <c r="PD22">
        <v>2293</v>
      </c>
      <c r="PF22">
        <v>579</v>
      </c>
      <c r="PG22">
        <v>35</v>
      </c>
      <c r="PH22">
        <v>554</v>
      </c>
      <c r="PI22">
        <v>0</v>
      </c>
      <c r="PJ22">
        <v>52.2</v>
      </c>
      <c r="PK22">
        <v>2085</v>
      </c>
      <c r="PL22">
        <v>1459.4</v>
      </c>
      <c r="PM22">
        <v>453.9</v>
      </c>
      <c r="PN22">
        <v>116.6</v>
      </c>
      <c r="PO22">
        <v>9.5</v>
      </c>
      <c r="PP22">
        <v>12</v>
      </c>
      <c r="PQ22">
        <v>4</v>
      </c>
      <c r="PR22">
        <v>4</v>
      </c>
      <c r="PS22">
        <v>0</v>
      </c>
      <c r="PT22">
        <v>276</v>
      </c>
      <c r="PU22">
        <v>10</v>
      </c>
      <c r="PV22" t="s">
        <v>4072</v>
      </c>
      <c r="PW22" t="s">
        <v>4072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-1</v>
      </c>
      <c r="QF22">
        <v>1</v>
      </c>
      <c r="QG22">
        <v>0</v>
      </c>
      <c r="QH22">
        <v>5</v>
      </c>
      <c r="QI22">
        <v>5</v>
      </c>
      <c r="QJ22">
        <v>5</v>
      </c>
      <c r="QK22">
        <v>231</v>
      </c>
      <c r="QL22">
        <v>462</v>
      </c>
      <c r="QM22">
        <v>7.5</v>
      </c>
      <c r="QN22">
        <v>1625.4</v>
      </c>
      <c r="QO22" t="s">
        <v>556</v>
      </c>
      <c r="QP22" t="s">
        <v>513</v>
      </c>
      <c r="QQ22">
        <v>0</v>
      </c>
      <c r="QR22" t="s">
        <v>596</v>
      </c>
      <c r="QS22">
        <v>40</v>
      </c>
      <c r="QT22">
        <v>50</v>
      </c>
    </row>
    <row r="23" spans="1:462">
      <c r="A23" t="s">
        <v>938</v>
      </c>
      <c r="B23" t="s">
        <v>564</v>
      </c>
      <c r="C23" t="s">
        <v>509</v>
      </c>
      <c r="D23" t="s">
        <v>803</v>
      </c>
      <c r="E23" t="s">
        <v>4036</v>
      </c>
      <c r="H23" t="s">
        <v>604</v>
      </c>
      <c r="I23" t="s">
        <v>605</v>
      </c>
      <c r="J23" t="s">
        <v>628</v>
      </c>
      <c r="K23" t="s">
        <v>606</v>
      </c>
      <c r="L23" t="s">
        <v>629</v>
      </c>
      <c r="M23" t="s">
        <v>512</v>
      </c>
      <c r="O23" t="s">
        <v>513</v>
      </c>
      <c r="P23" t="s">
        <v>567</v>
      </c>
      <c r="Q23" t="s">
        <v>939</v>
      </c>
      <c r="R23" t="s">
        <v>759</v>
      </c>
      <c r="S23" t="s">
        <v>4037</v>
      </c>
      <c r="T23" t="s">
        <v>633</v>
      </c>
      <c r="U23" t="s">
        <v>634</v>
      </c>
      <c r="V23" t="s">
        <v>940</v>
      </c>
      <c r="W23" t="s">
        <v>573</v>
      </c>
      <c r="X23" t="s">
        <v>941</v>
      </c>
      <c r="Y23" t="s">
        <v>942</v>
      </c>
      <c r="Z23" t="s">
        <v>541</v>
      </c>
      <c r="AA23" t="s">
        <v>4038</v>
      </c>
      <c r="AB23" t="s">
        <v>4200</v>
      </c>
      <c r="AC23">
        <v>9</v>
      </c>
      <c r="AD23" t="s">
        <v>937</v>
      </c>
      <c r="AE23">
        <v>5</v>
      </c>
      <c r="AF23">
        <v>4581</v>
      </c>
      <c r="AG23" t="s">
        <v>4152</v>
      </c>
      <c r="AH23">
        <v>1</v>
      </c>
      <c r="AI23" t="s">
        <v>4041</v>
      </c>
      <c r="AK23" t="s">
        <v>4153</v>
      </c>
      <c r="AL23">
        <v>1</v>
      </c>
      <c r="AM23" t="s">
        <v>582</v>
      </c>
      <c r="AO23" t="s">
        <v>4043</v>
      </c>
      <c r="AP23">
        <v>1</v>
      </c>
      <c r="AR23" t="s">
        <v>4201</v>
      </c>
      <c r="AS23">
        <v>1</v>
      </c>
      <c r="AT23">
        <v>52</v>
      </c>
      <c r="AV23" t="s">
        <v>4078</v>
      </c>
      <c r="AW23">
        <v>6.4</v>
      </c>
      <c r="AX23">
        <v>-6</v>
      </c>
      <c r="AY23">
        <v>97.5</v>
      </c>
      <c r="AZ23">
        <v>75</v>
      </c>
      <c r="BH23">
        <v>97.5</v>
      </c>
      <c r="BI23">
        <v>22.5</v>
      </c>
      <c r="BJ23">
        <v>75</v>
      </c>
      <c r="BK23">
        <v>2.5</v>
      </c>
      <c r="BL23">
        <v>195</v>
      </c>
      <c r="BM23">
        <v>-6</v>
      </c>
      <c r="BN23">
        <v>0</v>
      </c>
      <c r="BO23">
        <v>0</v>
      </c>
      <c r="BP23">
        <v>0</v>
      </c>
      <c r="BR23">
        <v>190</v>
      </c>
      <c r="BS23">
        <v>180</v>
      </c>
      <c r="BT23">
        <v>1950</v>
      </c>
      <c r="BU23" t="s">
        <v>4047</v>
      </c>
      <c r="BV23" t="s">
        <v>4096</v>
      </c>
      <c r="BW23" t="s">
        <v>4049</v>
      </c>
      <c r="BX23" t="s">
        <v>4097</v>
      </c>
      <c r="BY23" t="s">
        <v>4107</v>
      </c>
      <c r="BZ23" t="s">
        <v>4150</v>
      </c>
      <c r="CA23" t="s">
        <v>4108</v>
      </c>
      <c r="CB23" t="s">
        <v>4109</v>
      </c>
      <c r="CC23" t="s">
        <v>4053</v>
      </c>
      <c r="CD23" t="s">
        <v>4110</v>
      </c>
      <c r="CE23" t="s">
        <v>4055</v>
      </c>
      <c r="CF23" t="s">
        <v>4055</v>
      </c>
      <c r="CG23" t="s">
        <v>4056</v>
      </c>
      <c r="CH23" t="s">
        <v>4099</v>
      </c>
      <c r="CI23" t="s">
        <v>4058</v>
      </c>
      <c r="CJ23" t="s">
        <v>4059</v>
      </c>
      <c r="CK23" t="s">
        <v>4060</v>
      </c>
      <c r="CL23" t="s">
        <v>4061</v>
      </c>
      <c r="CM23" t="s">
        <v>4055</v>
      </c>
      <c r="CN23" t="s">
        <v>4062</v>
      </c>
      <c r="CO23" t="s">
        <v>4063</v>
      </c>
      <c r="CP23" t="s">
        <v>4055</v>
      </c>
      <c r="CQ23" t="s">
        <v>4055</v>
      </c>
      <c r="CR23">
        <v>5</v>
      </c>
      <c r="CS23" t="s">
        <v>4055</v>
      </c>
      <c r="CT23" t="s">
        <v>4055</v>
      </c>
      <c r="CU23" t="s">
        <v>4055</v>
      </c>
      <c r="CV23">
        <v>120</v>
      </c>
      <c r="CW23">
        <v>3</v>
      </c>
      <c r="CX23">
        <v>85</v>
      </c>
      <c r="CY23">
        <v>5</v>
      </c>
      <c r="CZ23">
        <v>137</v>
      </c>
      <c r="DA23">
        <v>5</v>
      </c>
      <c r="DB23">
        <v>9980</v>
      </c>
      <c r="DC23">
        <v>290</v>
      </c>
      <c r="DD23">
        <v>316</v>
      </c>
      <c r="DE23">
        <v>2061</v>
      </c>
      <c r="DF23">
        <v>2061</v>
      </c>
      <c r="DG23">
        <v>2071</v>
      </c>
      <c r="DH23" t="s">
        <v>4055</v>
      </c>
      <c r="DI23" t="s">
        <v>4055</v>
      </c>
      <c r="DJ23" t="s">
        <v>4132</v>
      </c>
      <c r="DK23">
        <v>190</v>
      </c>
      <c r="DL23" t="s">
        <v>4065</v>
      </c>
      <c r="DM23">
        <v>65</v>
      </c>
      <c r="DN23">
        <v>1.1</v>
      </c>
      <c r="DO23">
        <v>1</v>
      </c>
      <c r="DP23">
        <v>1953</v>
      </c>
      <c r="DQ23">
        <v>803</v>
      </c>
      <c r="DR23" t="s">
        <v>4132</v>
      </c>
      <c r="DS23">
        <v>180</v>
      </c>
      <c r="DT23" t="s">
        <v>4065</v>
      </c>
      <c r="DU23">
        <v>65</v>
      </c>
      <c r="DV23">
        <v>1.1</v>
      </c>
      <c r="DW23">
        <v>1</v>
      </c>
      <c r="DX23">
        <v>1965</v>
      </c>
      <c r="DY23">
        <v>764</v>
      </c>
      <c r="DZ23" t="s">
        <v>4066</v>
      </c>
      <c r="EA23">
        <v>20</v>
      </c>
      <c r="EB23" t="s">
        <v>4065</v>
      </c>
      <c r="EC23">
        <v>0.8</v>
      </c>
      <c r="ED23">
        <v>1953</v>
      </c>
      <c r="EE23">
        <v>68</v>
      </c>
      <c r="EG23">
        <v>0</v>
      </c>
      <c r="EH23" t="s">
        <v>4065</v>
      </c>
      <c r="EI23">
        <v>0</v>
      </c>
      <c r="EL23" t="s">
        <v>1528</v>
      </c>
      <c r="EM23">
        <v>12</v>
      </c>
      <c r="EN23">
        <v>0.5</v>
      </c>
      <c r="EO23">
        <v>0.96</v>
      </c>
      <c r="EP23">
        <v>1963.83</v>
      </c>
      <c r="EQ23">
        <v>31758.81</v>
      </c>
      <c r="ER23">
        <v>6925.3</v>
      </c>
      <c r="ES23">
        <v>0</v>
      </c>
      <c r="ET23">
        <v>0</v>
      </c>
      <c r="EU23">
        <v>1</v>
      </c>
      <c r="EV23">
        <v>38685</v>
      </c>
      <c r="EW23">
        <v>465</v>
      </c>
      <c r="EX23" t="s">
        <v>4088</v>
      </c>
      <c r="EY23">
        <v>210</v>
      </c>
      <c r="EZ23" t="s">
        <v>4055</v>
      </c>
      <c r="FA23">
        <v>5.8</v>
      </c>
      <c r="FB23">
        <v>1</v>
      </c>
      <c r="FC23">
        <v>1</v>
      </c>
      <c r="FD23">
        <v>1995</v>
      </c>
      <c r="FE23">
        <v>2255</v>
      </c>
      <c r="FF23" t="s">
        <v>4089</v>
      </c>
      <c r="FG23">
        <v>210</v>
      </c>
      <c r="FH23" t="s">
        <v>4055</v>
      </c>
      <c r="FI23">
        <v>1.8</v>
      </c>
      <c r="FJ23">
        <v>1995</v>
      </c>
      <c r="FK23">
        <v>757</v>
      </c>
      <c r="FL23" t="s">
        <v>4069</v>
      </c>
      <c r="FM23" t="s">
        <v>4055</v>
      </c>
      <c r="FN23" t="s">
        <v>4055</v>
      </c>
      <c r="FO23" t="s">
        <v>4055</v>
      </c>
      <c r="FP23">
        <v>1995</v>
      </c>
      <c r="FQ23">
        <v>78</v>
      </c>
      <c r="FR23" t="s">
        <v>4090</v>
      </c>
      <c r="FS23">
        <v>214</v>
      </c>
      <c r="FT23" t="s">
        <v>4055</v>
      </c>
      <c r="FU23">
        <v>0.4</v>
      </c>
      <c r="FV23">
        <v>1995</v>
      </c>
      <c r="FW23">
        <v>190</v>
      </c>
      <c r="FX23" t="s">
        <v>4070</v>
      </c>
      <c r="FY23">
        <v>5</v>
      </c>
      <c r="FZ23" t="s">
        <v>4055</v>
      </c>
      <c r="GA23" t="s">
        <v>4055</v>
      </c>
      <c r="GB23">
        <v>1995</v>
      </c>
      <c r="GC23">
        <v>17</v>
      </c>
      <c r="GD23">
        <v>3297</v>
      </c>
      <c r="GE23" t="s">
        <v>4201</v>
      </c>
      <c r="GF23" t="s">
        <v>4055</v>
      </c>
      <c r="GG23" t="s">
        <v>4055</v>
      </c>
      <c r="GH23" t="s">
        <v>4055</v>
      </c>
      <c r="GI23" t="s">
        <v>4071</v>
      </c>
      <c r="GJ23" t="s">
        <v>4055</v>
      </c>
      <c r="GK23" t="s">
        <v>4055</v>
      </c>
      <c r="GL23" t="s">
        <v>4055</v>
      </c>
      <c r="GM23" t="s">
        <v>4055</v>
      </c>
      <c r="GQ23">
        <v>0</v>
      </c>
      <c r="GV23">
        <v>8</v>
      </c>
      <c r="GW23">
        <v>7.7</v>
      </c>
      <c r="GX23">
        <v>0.5</v>
      </c>
      <c r="GY23">
        <v>180</v>
      </c>
      <c r="GZ23">
        <v>3</v>
      </c>
      <c r="HA23">
        <v>226</v>
      </c>
      <c r="HB23">
        <v>3</v>
      </c>
      <c r="HC23">
        <v>1995</v>
      </c>
      <c r="HD23">
        <v>4</v>
      </c>
      <c r="HE23" t="s">
        <v>4071</v>
      </c>
      <c r="HG23" t="s">
        <v>549</v>
      </c>
      <c r="HL23">
        <v>4</v>
      </c>
      <c r="HM23">
        <v>17</v>
      </c>
      <c r="HN23">
        <v>6</v>
      </c>
      <c r="HO23">
        <v>1</v>
      </c>
      <c r="HP23">
        <v>0</v>
      </c>
      <c r="HQ23">
        <v>0</v>
      </c>
      <c r="HR23">
        <v>1</v>
      </c>
      <c r="HS23">
        <v>1950</v>
      </c>
      <c r="HT23">
        <v>5</v>
      </c>
      <c r="HU23">
        <v>1</v>
      </c>
      <c r="HV23">
        <v>3</v>
      </c>
      <c r="HW23">
        <v>0</v>
      </c>
      <c r="HX23">
        <v>1</v>
      </c>
      <c r="HY23">
        <v>0</v>
      </c>
      <c r="HZ23">
        <v>65</v>
      </c>
      <c r="IA23">
        <v>1953</v>
      </c>
      <c r="IB23">
        <v>1965</v>
      </c>
      <c r="ID23">
        <v>1995</v>
      </c>
      <c r="IE23">
        <v>1995</v>
      </c>
      <c r="IF23">
        <v>190</v>
      </c>
      <c r="IG23">
        <v>180</v>
      </c>
      <c r="IH23">
        <v>226</v>
      </c>
      <c r="II23">
        <v>1</v>
      </c>
      <c r="IJ23">
        <v>5</v>
      </c>
      <c r="IK23">
        <v>0</v>
      </c>
      <c r="IL23">
        <v>0</v>
      </c>
      <c r="IM23">
        <v>0</v>
      </c>
      <c r="IN23">
        <v>270</v>
      </c>
      <c r="IO23">
        <v>0</v>
      </c>
      <c r="IP23">
        <v>180</v>
      </c>
      <c r="IQ23">
        <v>0</v>
      </c>
      <c r="IR23">
        <v>330</v>
      </c>
      <c r="IS23">
        <v>0</v>
      </c>
      <c r="IT23">
        <v>90</v>
      </c>
      <c r="IU23">
        <v>0</v>
      </c>
      <c r="IV23">
        <v>6.4</v>
      </c>
      <c r="IW23">
        <v>-6</v>
      </c>
      <c r="IX23">
        <v>97.5</v>
      </c>
      <c r="IY23">
        <v>75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366</v>
      </c>
      <c r="JJ23">
        <v>336</v>
      </c>
      <c r="JK23">
        <v>260</v>
      </c>
      <c r="JL23">
        <v>332</v>
      </c>
      <c r="JM23">
        <v>265</v>
      </c>
      <c r="JN23">
        <v>195</v>
      </c>
      <c r="JO23">
        <v>236</v>
      </c>
      <c r="JP23">
        <v>220</v>
      </c>
      <c r="JQ23">
        <v>250</v>
      </c>
      <c r="JR23">
        <v>334</v>
      </c>
      <c r="JS23">
        <v>258</v>
      </c>
      <c r="JT23">
        <v>0</v>
      </c>
      <c r="JU23">
        <v>0</v>
      </c>
      <c r="JV23">
        <v>334</v>
      </c>
      <c r="JW23">
        <v>337</v>
      </c>
      <c r="JX23">
        <v>328</v>
      </c>
      <c r="JY23">
        <v>305</v>
      </c>
      <c r="JZ23">
        <v>2.5</v>
      </c>
      <c r="KA23">
        <v>0.2</v>
      </c>
      <c r="KB23">
        <v>0.4</v>
      </c>
      <c r="KC23">
        <v>0.42</v>
      </c>
      <c r="KD23">
        <v>0.28</v>
      </c>
      <c r="KE23">
        <v>0.5</v>
      </c>
      <c r="KF23">
        <v>0.2</v>
      </c>
      <c r="KG23">
        <v>0.11</v>
      </c>
      <c r="KH23">
        <v>3.5</v>
      </c>
      <c r="KI23">
        <v>1</v>
      </c>
      <c r="KJ23">
        <v>4.5</v>
      </c>
      <c r="KK23">
        <v>0.5</v>
      </c>
      <c r="KL23">
        <v>4.5</v>
      </c>
      <c r="KM23">
        <v>0.5</v>
      </c>
      <c r="KN23">
        <v>1.2</v>
      </c>
      <c r="KO23">
        <v>0</v>
      </c>
      <c r="KP23">
        <v>0</v>
      </c>
      <c r="KQ23">
        <v>0.8</v>
      </c>
      <c r="KR23">
        <v>0.8</v>
      </c>
      <c r="KS23">
        <v>0.2</v>
      </c>
      <c r="KT23">
        <v>2</v>
      </c>
      <c r="KU23">
        <v>0</v>
      </c>
      <c r="KV23">
        <v>0</v>
      </c>
      <c r="KW23">
        <v>1</v>
      </c>
      <c r="KX23">
        <v>2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3</v>
      </c>
      <c r="LI23">
        <v>1</v>
      </c>
      <c r="LJ23">
        <v>0</v>
      </c>
      <c r="LK23">
        <v>4.5</v>
      </c>
      <c r="LL23">
        <v>6</v>
      </c>
      <c r="LM23">
        <v>7</v>
      </c>
      <c r="LN23">
        <v>0.4</v>
      </c>
      <c r="LO23">
        <v>3.5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1.9</v>
      </c>
      <c r="LX23">
        <v>1.9</v>
      </c>
      <c r="LY23">
        <v>2.3</v>
      </c>
      <c r="LZ23">
        <v>2.3</v>
      </c>
      <c r="MA23">
        <v>0</v>
      </c>
      <c r="MB23">
        <v>3</v>
      </c>
      <c r="MC23">
        <v>0</v>
      </c>
      <c r="MD23">
        <v>4.5</v>
      </c>
      <c r="ME23">
        <v>6</v>
      </c>
      <c r="MF23">
        <v>6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390</v>
      </c>
      <c r="MN23">
        <v>185</v>
      </c>
      <c r="MO23">
        <v>236</v>
      </c>
      <c r="NU23">
        <v>0.15</v>
      </c>
      <c r="NV23">
        <v>0.2</v>
      </c>
      <c r="NW23">
        <v>0.2</v>
      </c>
      <c r="NX23">
        <v>0.2</v>
      </c>
      <c r="NY23">
        <v>0.2</v>
      </c>
      <c r="NZ23">
        <v>0.2</v>
      </c>
      <c r="OE23" t="s">
        <v>4201</v>
      </c>
      <c r="OF23" t="s">
        <v>4152</v>
      </c>
      <c r="OG23" t="s">
        <v>4153</v>
      </c>
      <c r="OH23" t="s">
        <v>4043</v>
      </c>
      <c r="OI23" t="s">
        <v>4201</v>
      </c>
      <c r="OJ23" t="s">
        <v>4200</v>
      </c>
      <c r="OK23">
        <v>61</v>
      </c>
      <c r="OL23">
        <v>61</v>
      </c>
      <c r="OM23" t="s">
        <v>4152</v>
      </c>
      <c r="ON23">
        <v>1</v>
      </c>
      <c r="OO23">
        <v>1953</v>
      </c>
      <c r="OP23">
        <v>61</v>
      </c>
      <c r="OQ23">
        <v>61</v>
      </c>
      <c r="OR23" t="s">
        <v>4153</v>
      </c>
      <c r="OS23">
        <v>1</v>
      </c>
      <c r="OT23">
        <v>1965</v>
      </c>
      <c r="OU23">
        <v>65</v>
      </c>
      <c r="OV23">
        <v>65</v>
      </c>
      <c r="OW23" t="s">
        <v>4043</v>
      </c>
      <c r="OX23">
        <v>2</v>
      </c>
      <c r="OY23">
        <v>38685</v>
      </c>
      <c r="OZ23">
        <v>51</v>
      </c>
      <c r="PA23">
        <v>52</v>
      </c>
      <c r="PB23" t="s">
        <v>4201</v>
      </c>
      <c r="PC23">
        <v>3</v>
      </c>
      <c r="PD23">
        <v>1995</v>
      </c>
      <c r="PF23">
        <v>411</v>
      </c>
      <c r="PG23">
        <v>35</v>
      </c>
      <c r="PH23">
        <v>389</v>
      </c>
      <c r="PI23">
        <v>0</v>
      </c>
      <c r="PJ23">
        <v>38.9</v>
      </c>
      <c r="PK23">
        <v>1667</v>
      </c>
      <c r="PL23">
        <v>1130.5</v>
      </c>
      <c r="PM23">
        <v>379.6</v>
      </c>
      <c r="PN23">
        <v>95.2</v>
      </c>
      <c r="PO23">
        <v>8.4</v>
      </c>
      <c r="PP23">
        <v>12</v>
      </c>
      <c r="PQ23">
        <v>1</v>
      </c>
      <c r="PR23">
        <v>3</v>
      </c>
      <c r="PS23">
        <v>8</v>
      </c>
      <c r="PT23">
        <v>226</v>
      </c>
      <c r="PU23">
        <v>8</v>
      </c>
      <c r="PV23" t="s">
        <v>4072</v>
      </c>
      <c r="PW23" t="s">
        <v>4072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-1</v>
      </c>
      <c r="QF23">
        <v>1</v>
      </c>
      <c r="QG23">
        <v>0</v>
      </c>
      <c r="QH23">
        <v>5</v>
      </c>
      <c r="QI23">
        <v>5</v>
      </c>
      <c r="QJ23">
        <v>5</v>
      </c>
      <c r="QK23">
        <v>177</v>
      </c>
      <c r="QL23">
        <v>400</v>
      </c>
      <c r="QM23">
        <v>7.5</v>
      </c>
      <c r="QN23">
        <v>1381.4</v>
      </c>
      <c r="QO23" t="s">
        <v>556</v>
      </c>
      <c r="QP23" t="s">
        <v>513</v>
      </c>
      <c r="QQ23">
        <v>0</v>
      </c>
      <c r="QR23" t="s">
        <v>540</v>
      </c>
      <c r="QS23">
        <v>30</v>
      </c>
      <c r="QT23">
        <v>40</v>
      </c>
    </row>
    <row r="24" spans="1:462">
      <c r="A24" t="s">
        <v>952</v>
      </c>
      <c r="B24" t="s">
        <v>559</v>
      </c>
      <c r="C24" t="s">
        <v>509</v>
      </c>
      <c r="D24" t="s">
        <v>1890</v>
      </c>
      <c r="E24" t="s">
        <v>4036</v>
      </c>
      <c r="H24" t="s">
        <v>604</v>
      </c>
      <c r="I24" t="s">
        <v>605</v>
      </c>
      <c r="K24" t="s">
        <v>606</v>
      </c>
      <c r="L24" t="s">
        <v>564</v>
      </c>
      <c r="M24" t="s">
        <v>512</v>
      </c>
      <c r="O24" t="s">
        <v>513</v>
      </c>
      <c r="P24" t="s">
        <v>567</v>
      </c>
      <c r="Q24" t="s">
        <v>953</v>
      </c>
      <c r="R24" t="s">
        <v>954</v>
      </c>
      <c r="S24" t="s">
        <v>4170</v>
      </c>
      <c r="T24" t="s">
        <v>662</v>
      </c>
      <c r="U24" t="s">
        <v>663</v>
      </c>
      <c r="V24" t="s">
        <v>955</v>
      </c>
      <c r="W24" t="s">
        <v>573</v>
      </c>
      <c r="X24" t="s">
        <v>956</v>
      </c>
      <c r="Y24" t="s">
        <v>957</v>
      </c>
      <c r="Z24" t="s">
        <v>541</v>
      </c>
      <c r="AA24" t="s">
        <v>4038</v>
      </c>
      <c r="AB24" t="s">
        <v>4202</v>
      </c>
      <c r="AC24">
        <v>9</v>
      </c>
      <c r="AD24" t="s">
        <v>950</v>
      </c>
      <c r="AE24">
        <v>6</v>
      </c>
      <c r="AF24">
        <v>5677</v>
      </c>
      <c r="AG24" t="s">
        <v>4152</v>
      </c>
      <c r="AH24">
        <v>1</v>
      </c>
      <c r="AI24" t="s">
        <v>4041</v>
      </c>
      <c r="AK24" t="s">
        <v>4153</v>
      </c>
      <c r="AL24">
        <v>1</v>
      </c>
      <c r="AM24" t="s">
        <v>582</v>
      </c>
      <c r="AO24" t="s">
        <v>4043</v>
      </c>
      <c r="AP24">
        <v>1</v>
      </c>
      <c r="AR24" t="s">
        <v>4203</v>
      </c>
      <c r="AS24">
        <v>1</v>
      </c>
      <c r="AT24">
        <v>52</v>
      </c>
      <c r="AV24" t="s">
        <v>4078</v>
      </c>
      <c r="AW24">
        <v>6.4</v>
      </c>
      <c r="AX24">
        <v>-6</v>
      </c>
      <c r="AY24">
        <v>98</v>
      </c>
      <c r="AZ24">
        <v>62</v>
      </c>
      <c r="BH24">
        <v>98</v>
      </c>
      <c r="BI24">
        <v>36</v>
      </c>
      <c r="BJ24">
        <v>62</v>
      </c>
      <c r="BK24">
        <v>3</v>
      </c>
      <c r="BL24">
        <v>196</v>
      </c>
      <c r="BM24">
        <v>-6</v>
      </c>
      <c r="BN24">
        <v>0</v>
      </c>
      <c r="BP24">
        <v>0</v>
      </c>
      <c r="BR24">
        <v>190</v>
      </c>
      <c r="BS24">
        <v>180</v>
      </c>
      <c r="BT24">
        <v>2130</v>
      </c>
      <c r="BU24" t="s">
        <v>4127</v>
      </c>
      <c r="BV24" t="s">
        <v>4127</v>
      </c>
      <c r="BW24" t="s">
        <v>4128</v>
      </c>
      <c r="BX24" t="s">
        <v>4128</v>
      </c>
      <c r="BY24" t="s">
        <v>4116</v>
      </c>
      <c r="BZ24" t="s">
        <v>4117</v>
      </c>
      <c r="CA24" t="s">
        <v>4118</v>
      </c>
      <c r="CB24" t="s">
        <v>4119</v>
      </c>
      <c r="CC24" t="s">
        <v>4053</v>
      </c>
      <c r="CD24" t="s">
        <v>4121</v>
      </c>
      <c r="CE24" t="s">
        <v>4055</v>
      </c>
      <c r="CF24" t="s">
        <v>4055</v>
      </c>
      <c r="CG24" t="s">
        <v>4056</v>
      </c>
      <c r="CI24" t="s">
        <v>4058</v>
      </c>
      <c r="CJ24" t="s">
        <v>4059</v>
      </c>
      <c r="CK24" t="s">
        <v>4060</v>
      </c>
      <c r="CL24" t="s">
        <v>4061</v>
      </c>
      <c r="CM24" t="s">
        <v>4062</v>
      </c>
      <c r="CN24" t="s">
        <v>4055</v>
      </c>
      <c r="CO24" t="s">
        <v>4063</v>
      </c>
      <c r="CP24" t="s">
        <v>4055</v>
      </c>
      <c r="CQ24" t="s">
        <v>4055</v>
      </c>
      <c r="CR24">
        <v>5</v>
      </c>
      <c r="CS24" t="s">
        <v>4055</v>
      </c>
      <c r="CT24" t="s">
        <v>4055</v>
      </c>
      <c r="CU24" t="s">
        <v>4055</v>
      </c>
      <c r="CV24">
        <v>118</v>
      </c>
      <c r="CW24">
        <v>3</v>
      </c>
      <c r="CX24">
        <v>82</v>
      </c>
      <c r="CY24">
        <v>5</v>
      </c>
      <c r="CZ24">
        <v>144</v>
      </c>
      <c r="DA24">
        <v>5</v>
      </c>
      <c r="DB24">
        <v>11730</v>
      </c>
      <c r="DC24">
        <v>350</v>
      </c>
      <c r="DD24">
        <v>330</v>
      </c>
      <c r="DE24">
        <v>2246</v>
      </c>
      <c r="DF24">
        <v>2246</v>
      </c>
      <c r="DG24">
        <v>2256</v>
      </c>
      <c r="DH24" t="s">
        <v>4055</v>
      </c>
      <c r="DI24" t="s">
        <v>4055</v>
      </c>
      <c r="DJ24" t="s">
        <v>4132</v>
      </c>
      <c r="DK24">
        <v>190</v>
      </c>
      <c r="DL24" t="s">
        <v>4065</v>
      </c>
      <c r="DM24">
        <v>65</v>
      </c>
      <c r="DN24">
        <v>1.1</v>
      </c>
      <c r="DO24">
        <v>1</v>
      </c>
      <c r="DP24">
        <v>2133</v>
      </c>
      <c r="DQ24">
        <v>877</v>
      </c>
      <c r="DR24" t="s">
        <v>4132</v>
      </c>
      <c r="DS24">
        <v>180</v>
      </c>
      <c r="DT24" t="s">
        <v>4065</v>
      </c>
      <c r="DU24">
        <v>65</v>
      </c>
      <c r="DV24">
        <v>1.1</v>
      </c>
      <c r="DW24">
        <v>1</v>
      </c>
      <c r="DX24">
        <v>2145</v>
      </c>
      <c r="DY24">
        <v>834</v>
      </c>
      <c r="DZ24" t="s">
        <v>4066</v>
      </c>
      <c r="EA24">
        <v>20</v>
      </c>
      <c r="EB24" t="s">
        <v>4065</v>
      </c>
      <c r="EC24">
        <v>0.8</v>
      </c>
      <c r="ED24">
        <v>2133</v>
      </c>
      <c r="EE24">
        <v>75</v>
      </c>
      <c r="EG24">
        <v>0</v>
      </c>
      <c r="EH24" t="s">
        <v>4065</v>
      </c>
      <c r="EI24">
        <v>0</v>
      </c>
      <c r="EL24" t="s">
        <v>1528</v>
      </c>
      <c r="EM24">
        <v>12</v>
      </c>
      <c r="EN24">
        <v>0.5</v>
      </c>
      <c r="EO24">
        <v>0.96</v>
      </c>
      <c r="EP24">
        <v>2143.83</v>
      </c>
      <c r="EQ24">
        <v>34837.24</v>
      </c>
      <c r="ER24">
        <v>12092.97</v>
      </c>
      <c r="ES24">
        <v>0</v>
      </c>
      <c r="ET24">
        <v>0</v>
      </c>
      <c r="EU24">
        <v>1</v>
      </c>
      <c r="EV24">
        <v>46931</v>
      </c>
      <c r="EW24">
        <v>564</v>
      </c>
      <c r="EX24" t="s">
        <v>4088</v>
      </c>
      <c r="EY24">
        <v>210</v>
      </c>
      <c r="EZ24" t="s">
        <v>4055</v>
      </c>
      <c r="FA24">
        <v>6.3</v>
      </c>
      <c r="FB24">
        <v>1</v>
      </c>
      <c r="FC24">
        <v>1</v>
      </c>
      <c r="FD24">
        <v>2177</v>
      </c>
      <c r="FE24">
        <v>2567</v>
      </c>
      <c r="FF24" t="s">
        <v>4089</v>
      </c>
      <c r="FG24">
        <v>210</v>
      </c>
      <c r="FH24" t="s">
        <v>4055</v>
      </c>
      <c r="FI24">
        <v>1.8</v>
      </c>
      <c r="FJ24">
        <v>2177</v>
      </c>
      <c r="FK24">
        <v>826</v>
      </c>
      <c r="FL24" t="s">
        <v>4069</v>
      </c>
      <c r="FM24" t="s">
        <v>4055</v>
      </c>
      <c r="FN24" t="s">
        <v>4055</v>
      </c>
      <c r="FO24" t="s">
        <v>4055</v>
      </c>
      <c r="FP24">
        <v>2177</v>
      </c>
      <c r="FQ24">
        <v>80</v>
      </c>
      <c r="FR24" t="s">
        <v>4090</v>
      </c>
      <c r="FS24">
        <v>214</v>
      </c>
      <c r="FT24" t="s">
        <v>4055</v>
      </c>
      <c r="FU24">
        <v>0.4</v>
      </c>
      <c r="FV24">
        <v>2177</v>
      </c>
      <c r="FW24">
        <v>207</v>
      </c>
      <c r="FX24" t="s">
        <v>4070</v>
      </c>
      <c r="FY24">
        <v>5</v>
      </c>
      <c r="FZ24" t="s">
        <v>4055</v>
      </c>
      <c r="GA24" t="s">
        <v>4055</v>
      </c>
      <c r="GB24">
        <v>2177</v>
      </c>
      <c r="GC24">
        <v>19</v>
      </c>
      <c r="GD24">
        <v>3699</v>
      </c>
      <c r="GE24" t="s">
        <v>4203</v>
      </c>
      <c r="GF24" t="s">
        <v>4055</v>
      </c>
      <c r="GG24" t="s">
        <v>4055</v>
      </c>
      <c r="GH24" t="s">
        <v>4055</v>
      </c>
      <c r="GI24" t="s">
        <v>4071</v>
      </c>
      <c r="GJ24" t="s">
        <v>4055</v>
      </c>
      <c r="GK24" t="s">
        <v>4055</v>
      </c>
      <c r="GL24" t="s">
        <v>4055</v>
      </c>
      <c r="GM24" t="s">
        <v>4055</v>
      </c>
      <c r="GQ24">
        <v>0</v>
      </c>
      <c r="GV24">
        <v>8.5</v>
      </c>
      <c r="GW24">
        <v>7.7</v>
      </c>
      <c r="GX24">
        <v>0.5</v>
      </c>
      <c r="GY24">
        <v>180</v>
      </c>
      <c r="GZ24">
        <v>3</v>
      </c>
      <c r="HA24">
        <v>226</v>
      </c>
      <c r="HB24">
        <v>3</v>
      </c>
      <c r="HC24">
        <v>2177</v>
      </c>
      <c r="HD24">
        <v>4</v>
      </c>
      <c r="HE24" t="s">
        <v>4071</v>
      </c>
      <c r="HG24" t="s">
        <v>549</v>
      </c>
      <c r="HL24">
        <v>4</v>
      </c>
      <c r="HM24">
        <v>18</v>
      </c>
      <c r="HN24">
        <v>6</v>
      </c>
      <c r="HO24">
        <v>1</v>
      </c>
      <c r="HP24">
        <v>0</v>
      </c>
      <c r="HQ24">
        <v>0</v>
      </c>
      <c r="HR24">
        <v>1</v>
      </c>
      <c r="HS24">
        <v>2130</v>
      </c>
      <c r="HT24">
        <v>5</v>
      </c>
      <c r="HU24">
        <v>1</v>
      </c>
      <c r="HV24">
        <v>3</v>
      </c>
      <c r="HW24">
        <v>0</v>
      </c>
      <c r="HX24">
        <v>1</v>
      </c>
      <c r="HY24">
        <v>0</v>
      </c>
      <c r="HZ24">
        <v>65</v>
      </c>
      <c r="IA24">
        <v>2133</v>
      </c>
      <c r="IB24">
        <v>2145</v>
      </c>
      <c r="ID24">
        <v>2177</v>
      </c>
      <c r="IE24">
        <v>2177</v>
      </c>
      <c r="IF24">
        <v>190</v>
      </c>
      <c r="IG24">
        <v>180</v>
      </c>
      <c r="IH24">
        <v>226</v>
      </c>
      <c r="II24">
        <v>1</v>
      </c>
      <c r="IJ24">
        <v>5</v>
      </c>
      <c r="IK24">
        <v>0</v>
      </c>
      <c r="IL24">
        <v>0</v>
      </c>
      <c r="IM24">
        <v>0</v>
      </c>
      <c r="IN24">
        <v>270</v>
      </c>
      <c r="IO24">
        <v>0</v>
      </c>
      <c r="IP24">
        <v>180</v>
      </c>
      <c r="IQ24">
        <v>0</v>
      </c>
      <c r="IR24">
        <v>330</v>
      </c>
      <c r="IS24">
        <v>0</v>
      </c>
      <c r="IT24">
        <v>90</v>
      </c>
      <c r="IU24">
        <v>0</v>
      </c>
      <c r="IV24">
        <v>6.4</v>
      </c>
      <c r="IW24">
        <v>-6</v>
      </c>
      <c r="IX24">
        <v>98</v>
      </c>
      <c r="IY24">
        <v>62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398</v>
      </c>
      <c r="JJ24">
        <v>368</v>
      </c>
      <c r="JK24">
        <v>270</v>
      </c>
      <c r="JL24">
        <v>366</v>
      </c>
      <c r="JM24">
        <v>280</v>
      </c>
      <c r="JN24">
        <v>190</v>
      </c>
      <c r="JO24">
        <v>240</v>
      </c>
      <c r="JP24">
        <v>205</v>
      </c>
      <c r="JQ24">
        <v>240</v>
      </c>
      <c r="JR24">
        <v>330</v>
      </c>
      <c r="JS24">
        <v>245</v>
      </c>
      <c r="JT24">
        <v>0</v>
      </c>
      <c r="JU24">
        <v>0</v>
      </c>
      <c r="JV24">
        <v>330</v>
      </c>
      <c r="JW24">
        <v>337</v>
      </c>
      <c r="JX24">
        <v>325</v>
      </c>
      <c r="JY24">
        <v>323</v>
      </c>
      <c r="JZ24">
        <v>2</v>
      </c>
      <c r="KA24">
        <v>0.2</v>
      </c>
      <c r="KB24">
        <v>0.4</v>
      </c>
      <c r="KC24">
        <v>0.42</v>
      </c>
      <c r="KD24">
        <v>0.28</v>
      </c>
      <c r="KE24">
        <v>0.5</v>
      </c>
      <c r="KF24">
        <v>0.2</v>
      </c>
      <c r="KG24">
        <v>0.1</v>
      </c>
      <c r="KH24">
        <v>3.5</v>
      </c>
      <c r="KI24">
        <v>1</v>
      </c>
      <c r="KJ24">
        <v>4.5</v>
      </c>
      <c r="KK24">
        <v>0.5</v>
      </c>
      <c r="KL24">
        <v>4.5</v>
      </c>
      <c r="KM24">
        <v>0.5</v>
      </c>
      <c r="KN24">
        <v>1.8</v>
      </c>
      <c r="KO24">
        <v>0</v>
      </c>
      <c r="KP24">
        <v>0</v>
      </c>
      <c r="KQ24">
        <v>0.8</v>
      </c>
      <c r="KR24">
        <v>0.8</v>
      </c>
      <c r="KS24">
        <v>0.2</v>
      </c>
      <c r="KT24">
        <v>3</v>
      </c>
      <c r="KU24">
        <v>0</v>
      </c>
      <c r="KV24">
        <v>0</v>
      </c>
      <c r="KW24">
        <v>1.4</v>
      </c>
      <c r="KX24">
        <v>2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3</v>
      </c>
      <c r="LI24">
        <v>0.2</v>
      </c>
      <c r="LJ24">
        <v>0</v>
      </c>
      <c r="LK24">
        <v>10</v>
      </c>
      <c r="LL24">
        <v>4</v>
      </c>
      <c r="LM24">
        <v>15</v>
      </c>
      <c r="LN24">
        <v>0.4</v>
      </c>
      <c r="LO24">
        <v>0.5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1.9</v>
      </c>
      <c r="LX24">
        <v>1.9</v>
      </c>
      <c r="LY24">
        <v>2.3</v>
      </c>
      <c r="LZ24">
        <v>2.3</v>
      </c>
      <c r="MA24">
        <v>0</v>
      </c>
      <c r="MB24">
        <v>3</v>
      </c>
      <c r="MC24">
        <v>0</v>
      </c>
      <c r="MD24">
        <v>4.5</v>
      </c>
      <c r="ME24">
        <v>6</v>
      </c>
      <c r="MF24">
        <v>6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420</v>
      </c>
      <c r="MN24">
        <v>185</v>
      </c>
      <c r="MO24">
        <v>240</v>
      </c>
      <c r="NU24">
        <v>0.15</v>
      </c>
      <c r="NV24">
        <v>0.2</v>
      </c>
      <c r="NW24">
        <v>0.2</v>
      </c>
      <c r="NX24">
        <v>0.2</v>
      </c>
      <c r="NY24">
        <v>0.2</v>
      </c>
      <c r="NZ24">
        <v>0.2</v>
      </c>
      <c r="OE24" t="s">
        <v>4203</v>
      </c>
      <c r="OF24" t="s">
        <v>4152</v>
      </c>
      <c r="OG24" t="s">
        <v>4153</v>
      </c>
      <c r="OH24" t="s">
        <v>4043</v>
      </c>
      <c r="OI24" t="s">
        <v>4203</v>
      </c>
      <c r="OJ24" t="s">
        <v>4202</v>
      </c>
      <c r="OK24">
        <v>61</v>
      </c>
      <c r="OL24">
        <v>61</v>
      </c>
      <c r="OM24" t="s">
        <v>4152</v>
      </c>
      <c r="ON24">
        <v>1</v>
      </c>
      <c r="OO24">
        <v>2133</v>
      </c>
      <c r="OP24">
        <v>61</v>
      </c>
      <c r="OQ24">
        <v>61</v>
      </c>
      <c r="OR24" t="s">
        <v>4153</v>
      </c>
      <c r="OS24">
        <v>1</v>
      </c>
      <c r="OT24">
        <v>2145</v>
      </c>
      <c r="OU24">
        <v>65</v>
      </c>
      <c r="OV24">
        <v>65</v>
      </c>
      <c r="OW24" t="s">
        <v>4043</v>
      </c>
      <c r="OX24">
        <v>2</v>
      </c>
      <c r="OY24">
        <v>46931</v>
      </c>
      <c r="OZ24">
        <v>51</v>
      </c>
      <c r="PA24">
        <v>52</v>
      </c>
      <c r="PB24" t="s">
        <v>4203</v>
      </c>
      <c r="PC24">
        <v>2</v>
      </c>
      <c r="PD24">
        <v>2177</v>
      </c>
      <c r="PF24">
        <v>411</v>
      </c>
      <c r="PG24">
        <v>35</v>
      </c>
      <c r="PH24">
        <v>389</v>
      </c>
      <c r="PI24">
        <v>0</v>
      </c>
      <c r="PJ24">
        <v>36.9</v>
      </c>
      <c r="PK24">
        <v>1711</v>
      </c>
      <c r="PL24">
        <v>1179.1</v>
      </c>
      <c r="PM24">
        <v>379.6</v>
      </c>
      <c r="PN24">
        <v>95.2</v>
      </c>
      <c r="PO24">
        <v>8.9</v>
      </c>
      <c r="PP24">
        <v>12</v>
      </c>
      <c r="PQ24">
        <v>5</v>
      </c>
      <c r="PR24">
        <v>5</v>
      </c>
      <c r="PS24">
        <v>0</v>
      </c>
      <c r="PT24">
        <v>226</v>
      </c>
      <c r="PU24">
        <v>8</v>
      </c>
      <c r="PV24" t="s">
        <v>4072</v>
      </c>
      <c r="PW24" t="s">
        <v>4072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-1</v>
      </c>
      <c r="QF24">
        <v>1</v>
      </c>
      <c r="QG24">
        <v>0</v>
      </c>
      <c r="QH24">
        <v>5</v>
      </c>
      <c r="QI24">
        <v>5</v>
      </c>
      <c r="QJ24">
        <v>5</v>
      </c>
      <c r="QK24">
        <v>190</v>
      </c>
      <c r="QL24">
        <v>432</v>
      </c>
      <c r="QM24">
        <v>7.5</v>
      </c>
      <c r="QN24">
        <v>1464.3</v>
      </c>
      <c r="QO24" t="s">
        <v>556</v>
      </c>
      <c r="QP24" t="s">
        <v>513</v>
      </c>
      <c r="QQ24">
        <v>0</v>
      </c>
      <c r="QR24" t="s">
        <v>621</v>
      </c>
      <c r="QS24">
        <v>30</v>
      </c>
      <c r="QT24">
        <v>40</v>
      </c>
    </row>
    <row r="25" spans="1:462">
      <c r="A25" t="s">
        <v>963</v>
      </c>
      <c r="B25" t="s">
        <v>564</v>
      </c>
      <c r="C25" t="s">
        <v>509</v>
      </c>
      <c r="D25" t="s">
        <v>4133</v>
      </c>
      <c r="E25" t="s">
        <v>4036</v>
      </c>
      <c r="H25" t="s">
        <v>604</v>
      </c>
      <c r="I25" t="s">
        <v>605</v>
      </c>
      <c r="J25" t="s">
        <v>628</v>
      </c>
      <c r="K25" t="s">
        <v>606</v>
      </c>
      <c r="L25" t="s">
        <v>629</v>
      </c>
      <c r="M25" t="s">
        <v>512</v>
      </c>
      <c r="O25" t="s">
        <v>513</v>
      </c>
      <c r="P25" t="s">
        <v>567</v>
      </c>
      <c r="Q25" t="s">
        <v>964</v>
      </c>
      <c r="R25" t="s">
        <v>965</v>
      </c>
      <c r="S25" t="s">
        <v>4073</v>
      </c>
      <c r="T25" t="s">
        <v>686</v>
      </c>
      <c r="U25" t="s">
        <v>687</v>
      </c>
      <c r="V25" t="s">
        <v>715</v>
      </c>
      <c r="W25" t="s">
        <v>573</v>
      </c>
      <c r="X25" t="s">
        <v>966</v>
      </c>
      <c r="Y25" t="s">
        <v>967</v>
      </c>
      <c r="Z25" t="s">
        <v>650</v>
      </c>
      <c r="AA25" t="s">
        <v>4038</v>
      </c>
      <c r="AB25" t="s">
        <v>4204</v>
      </c>
      <c r="AC25">
        <v>9</v>
      </c>
      <c r="AD25" t="s">
        <v>962</v>
      </c>
      <c r="AE25">
        <v>5</v>
      </c>
      <c r="AF25">
        <v>5397</v>
      </c>
      <c r="AG25" t="s">
        <v>4205</v>
      </c>
      <c r="AH25">
        <v>1</v>
      </c>
      <c r="AI25" t="s">
        <v>4041</v>
      </c>
      <c r="AK25" t="s">
        <v>4206</v>
      </c>
      <c r="AL25">
        <v>1</v>
      </c>
      <c r="AM25" t="s">
        <v>582</v>
      </c>
      <c r="AO25" t="s">
        <v>4043</v>
      </c>
      <c r="AP25">
        <v>1</v>
      </c>
      <c r="AR25" t="s">
        <v>4207</v>
      </c>
      <c r="AS25">
        <v>1</v>
      </c>
      <c r="AT25">
        <v>51</v>
      </c>
      <c r="AV25" t="s">
        <v>4078</v>
      </c>
      <c r="AW25">
        <v>6.4</v>
      </c>
      <c r="AX25">
        <v>-6</v>
      </c>
      <c r="AY25">
        <v>113.5</v>
      </c>
      <c r="AZ25">
        <v>75</v>
      </c>
      <c r="BH25">
        <v>113.5</v>
      </c>
      <c r="BI25">
        <v>38.5</v>
      </c>
      <c r="BJ25">
        <v>75</v>
      </c>
      <c r="BK25">
        <v>3.5</v>
      </c>
      <c r="BL25">
        <v>227</v>
      </c>
      <c r="BM25">
        <v>-6</v>
      </c>
      <c r="BN25">
        <v>0</v>
      </c>
      <c r="BP25">
        <v>0</v>
      </c>
      <c r="BR25">
        <v>220</v>
      </c>
      <c r="BS25">
        <v>210</v>
      </c>
      <c r="BT25">
        <v>2105</v>
      </c>
      <c r="BU25" t="s">
        <v>4127</v>
      </c>
      <c r="BV25" t="s">
        <v>4127</v>
      </c>
      <c r="BW25" t="s">
        <v>4128</v>
      </c>
      <c r="BX25" t="s">
        <v>4128</v>
      </c>
      <c r="BY25" t="s">
        <v>4129</v>
      </c>
      <c r="BZ25" t="s">
        <v>4160</v>
      </c>
      <c r="CA25" t="s">
        <v>4130</v>
      </c>
      <c r="CB25" t="s">
        <v>4131</v>
      </c>
      <c r="CC25" t="s">
        <v>4053</v>
      </c>
      <c r="CD25" t="s">
        <v>4055</v>
      </c>
      <c r="CE25" t="s">
        <v>4055</v>
      </c>
      <c r="CF25" t="s">
        <v>4055</v>
      </c>
      <c r="CG25" t="s">
        <v>4056</v>
      </c>
      <c r="CI25" t="s">
        <v>4086</v>
      </c>
      <c r="CJ25" t="s">
        <v>4059</v>
      </c>
      <c r="CK25" t="s">
        <v>4060</v>
      </c>
      <c r="CL25" t="s">
        <v>4061</v>
      </c>
      <c r="CM25" t="s">
        <v>4062</v>
      </c>
      <c r="CN25" t="s">
        <v>4055</v>
      </c>
      <c r="CO25" t="s">
        <v>4063</v>
      </c>
      <c r="CP25" t="s">
        <v>4055</v>
      </c>
      <c r="CQ25" t="s">
        <v>4055</v>
      </c>
      <c r="CR25">
        <v>5</v>
      </c>
      <c r="CS25" t="s">
        <v>4055</v>
      </c>
      <c r="CT25" t="s">
        <v>4055</v>
      </c>
      <c r="CU25" t="s">
        <v>4055</v>
      </c>
      <c r="CV25">
        <v>139</v>
      </c>
      <c r="CW25">
        <v>3</v>
      </c>
      <c r="CX25">
        <v>120</v>
      </c>
      <c r="CY25">
        <v>5</v>
      </c>
      <c r="CZ25">
        <v>149</v>
      </c>
      <c r="DA25">
        <v>5</v>
      </c>
      <c r="DB25">
        <v>12330</v>
      </c>
      <c r="DC25">
        <v>190</v>
      </c>
      <c r="DD25">
        <v>335</v>
      </c>
      <c r="DE25">
        <v>2200</v>
      </c>
      <c r="DF25">
        <v>2200</v>
      </c>
      <c r="DG25">
        <v>2228</v>
      </c>
      <c r="DH25">
        <v>0</v>
      </c>
      <c r="DI25" t="s">
        <v>4055</v>
      </c>
      <c r="DJ25" t="s">
        <v>4100</v>
      </c>
      <c r="DK25">
        <v>220</v>
      </c>
      <c r="DL25" t="s">
        <v>4101</v>
      </c>
      <c r="DM25">
        <v>67</v>
      </c>
      <c r="DN25">
        <v>0.84</v>
      </c>
      <c r="DO25">
        <v>1</v>
      </c>
      <c r="DP25">
        <v>2108</v>
      </c>
      <c r="DQ25">
        <v>847</v>
      </c>
      <c r="DR25" t="s">
        <v>4100</v>
      </c>
      <c r="DS25">
        <v>210</v>
      </c>
      <c r="DT25" t="s">
        <v>4101</v>
      </c>
      <c r="DU25">
        <v>67</v>
      </c>
      <c r="DV25">
        <v>0.84</v>
      </c>
      <c r="DW25">
        <v>1</v>
      </c>
      <c r="DX25">
        <v>2115</v>
      </c>
      <c r="DY25">
        <v>812</v>
      </c>
      <c r="DZ25" t="s">
        <v>4066</v>
      </c>
      <c r="EA25">
        <v>33</v>
      </c>
      <c r="EB25" t="s">
        <v>4065</v>
      </c>
      <c r="EC25">
        <v>0.4</v>
      </c>
      <c r="ED25">
        <v>2108</v>
      </c>
      <c r="EE25">
        <v>61</v>
      </c>
      <c r="EF25" t="s">
        <v>4066</v>
      </c>
      <c r="EG25">
        <v>33</v>
      </c>
      <c r="EH25" t="s">
        <v>4065</v>
      </c>
      <c r="EI25">
        <v>0.4</v>
      </c>
      <c r="EJ25">
        <v>2115</v>
      </c>
      <c r="EK25">
        <v>61</v>
      </c>
      <c r="EL25" t="s">
        <v>1528</v>
      </c>
      <c r="EM25">
        <v>12</v>
      </c>
      <c r="EN25">
        <v>0.5</v>
      </c>
      <c r="EO25">
        <v>0.96</v>
      </c>
      <c r="EP25">
        <v>2115.56</v>
      </c>
      <c r="EQ25">
        <v>39501.47</v>
      </c>
      <c r="ER25">
        <v>12762.7</v>
      </c>
      <c r="ES25">
        <v>0</v>
      </c>
      <c r="ET25">
        <v>0</v>
      </c>
      <c r="EU25">
        <v>1</v>
      </c>
      <c r="EV25">
        <v>52265</v>
      </c>
      <c r="EW25">
        <v>628</v>
      </c>
      <c r="EX25" t="s">
        <v>4088</v>
      </c>
      <c r="EY25">
        <v>238</v>
      </c>
      <c r="EZ25" t="s">
        <v>4055</v>
      </c>
      <c r="FA25">
        <v>6.4</v>
      </c>
      <c r="FB25">
        <v>1</v>
      </c>
      <c r="FC25">
        <v>1</v>
      </c>
      <c r="FD25">
        <v>2147</v>
      </c>
      <c r="FE25">
        <v>3472</v>
      </c>
      <c r="FF25" t="s">
        <v>4089</v>
      </c>
      <c r="FG25">
        <v>238</v>
      </c>
      <c r="FH25" t="s">
        <v>4055</v>
      </c>
      <c r="FI25">
        <v>1.2</v>
      </c>
      <c r="FJ25">
        <v>2147</v>
      </c>
      <c r="FK25">
        <v>625</v>
      </c>
      <c r="FL25" t="s">
        <v>4069</v>
      </c>
      <c r="FM25" t="s">
        <v>4055</v>
      </c>
      <c r="FN25" t="s">
        <v>4055</v>
      </c>
      <c r="FO25" t="s">
        <v>4055</v>
      </c>
      <c r="FP25">
        <v>2147</v>
      </c>
      <c r="FQ25">
        <v>172</v>
      </c>
      <c r="FR25" t="s">
        <v>4090</v>
      </c>
      <c r="FS25">
        <v>242</v>
      </c>
      <c r="FT25" t="s">
        <v>4055</v>
      </c>
      <c r="FU25">
        <v>0.4</v>
      </c>
      <c r="FV25">
        <v>2147</v>
      </c>
      <c r="FW25">
        <v>231</v>
      </c>
      <c r="FX25" t="s">
        <v>4070</v>
      </c>
      <c r="FY25">
        <v>5</v>
      </c>
      <c r="FZ25" t="s">
        <v>4055</v>
      </c>
      <c r="GA25" t="s">
        <v>4055</v>
      </c>
      <c r="GB25">
        <v>2147</v>
      </c>
      <c r="GC25">
        <v>20</v>
      </c>
      <c r="GD25">
        <v>4520</v>
      </c>
      <c r="GE25" t="s">
        <v>4207</v>
      </c>
      <c r="GF25" t="s">
        <v>4055</v>
      </c>
      <c r="GG25" t="s">
        <v>4055</v>
      </c>
      <c r="GH25" t="s">
        <v>4055</v>
      </c>
      <c r="GI25" t="s">
        <v>4071</v>
      </c>
      <c r="GJ25" t="s">
        <v>4055</v>
      </c>
      <c r="GK25" t="s">
        <v>4055</v>
      </c>
      <c r="GL25" t="s">
        <v>4055</v>
      </c>
      <c r="GM25" t="s">
        <v>4055</v>
      </c>
      <c r="GQ25">
        <v>0</v>
      </c>
      <c r="GV25">
        <v>8</v>
      </c>
      <c r="GW25">
        <v>8</v>
      </c>
      <c r="GX25">
        <v>0.5</v>
      </c>
      <c r="GY25">
        <v>200</v>
      </c>
      <c r="GZ25">
        <v>3</v>
      </c>
      <c r="HA25">
        <v>262</v>
      </c>
      <c r="HB25">
        <v>3</v>
      </c>
      <c r="HC25">
        <v>2147</v>
      </c>
      <c r="HD25">
        <v>4</v>
      </c>
      <c r="HE25" t="s">
        <v>4071</v>
      </c>
      <c r="HG25" t="s">
        <v>549</v>
      </c>
      <c r="HL25">
        <v>4</v>
      </c>
      <c r="HM25">
        <v>19</v>
      </c>
      <c r="HN25">
        <v>1</v>
      </c>
      <c r="HO25">
        <v>1</v>
      </c>
      <c r="HP25">
        <v>0</v>
      </c>
      <c r="HQ25">
        <v>0</v>
      </c>
      <c r="HR25">
        <v>2</v>
      </c>
      <c r="HS25">
        <v>2105</v>
      </c>
      <c r="HT25">
        <v>5</v>
      </c>
      <c r="HU25">
        <v>1</v>
      </c>
      <c r="HV25">
        <v>3</v>
      </c>
      <c r="HW25">
        <v>0</v>
      </c>
      <c r="HX25">
        <v>1</v>
      </c>
      <c r="HY25">
        <v>0</v>
      </c>
      <c r="HZ25">
        <v>67</v>
      </c>
      <c r="IA25">
        <v>2108</v>
      </c>
      <c r="IB25">
        <v>2115</v>
      </c>
      <c r="ID25">
        <v>2147</v>
      </c>
      <c r="IE25">
        <v>2147</v>
      </c>
      <c r="IF25">
        <v>220</v>
      </c>
      <c r="IG25">
        <v>210</v>
      </c>
      <c r="IH25">
        <v>262</v>
      </c>
      <c r="II25">
        <v>1</v>
      </c>
      <c r="IJ25">
        <v>10</v>
      </c>
      <c r="IK25">
        <v>0</v>
      </c>
      <c r="IL25">
        <v>0</v>
      </c>
      <c r="IM25">
        <v>0</v>
      </c>
      <c r="IN25">
        <v>270</v>
      </c>
      <c r="IO25">
        <v>0</v>
      </c>
      <c r="IP25">
        <v>180</v>
      </c>
      <c r="IQ25">
        <v>0</v>
      </c>
      <c r="IR25">
        <v>330</v>
      </c>
      <c r="IS25">
        <v>0</v>
      </c>
      <c r="IT25">
        <v>90</v>
      </c>
      <c r="IU25">
        <v>0</v>
      </c>
      <c r="IV25">
        <v>6.4</v>
      </c>
      <c r="IW25">
        <v>-6</v>
      </c>
      <c r="IX25">
        <v>113.5</v>
      </c>
      <c r="IY25">
        <v>75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392</v>
      </c>
      <c r="JJ25">
        <v>362</v>
      </c>
      <c r="JK25">
        <v>266</v>
      </c>
      <c r="JL25">
        <v>360</v>
      </c>
      <c r="JM25">
        <v>275</v>
      </c>
      <c r="JN25">
        <v>220</v>
      </c>
      <c r="JO25">
        <v>272</v>
      </c>
      <c r="JP25">
        <v>200</v>
      </c>
      <c r="JQ25">
        <v>262</v>
      </c>
      <c r="JR25">
        <v>310</v>
      </c>
      <c r="JS25">
        <v>240</v>
      </c>
      <c r="JT25">
        <v>0</v>
      </c>
      <c r="JU25">
        <v>0</v>
      </c>
      <c r="JV25">
        <v>300</v>
      </c>
      <c r="JW25">
        <v>290</v>
      </c>
      <c r="JX25">
        <v>290</v>
      </c>
      <c r="JY25">
        <v>260</v>
      </c>
      <c r="JZ25">
        <v>0.5</v>
      </c>
      <c r="KA25">
        <v>0.2</v>
      </c>
      <c r="KB25">
        <v>0.4</v>
      </c>
      <c r="KC25">
        <v>0.42</v>
      </c>
      <c r="KD25">
        <v>0.3</v>
      </c>
      <c r="KE25">
        <v>0.5</v>
      </c>
      <c r="KF25">
        <v>0.18</v>
      </c>
      <c r="KG25">
        <v>0.1</v>
      </c>
      <c r="KH25">
        <v>3.5</v>
      </c>
      <c r="KI25">
        <v>1</v>
      </c>
      <c r="KJ25">
        <v>4.5</v>
      </c>
      <c r="KK25">
        <v>0</v>
      </c>
      <c r="KL25">
        <v>4.5</v>
      </c>
      <c r="KM25">
        <v>0</v>
      </c>
      <c r="KN25">
        <v>1.6</v>
      </c>
      <c r="KO25">
        <v>0</v>
      </c>
      <c r="KP25">
        <v>0</v>
      </c>
      <c r="KQ25">
        <v>0.7</v>
      </c>
      <c r="KR25">
        <v>0.9</v>
      </c>
      <c r="KS25">
        <v>0</v>
      </c>
      <c r="KT25">
        <v>3.5</v>
      </c>
      <c r="KU25">
        <v>0</v>
      </c>
      <c r="KV25">
        <v>0</v>
      </c>
      <c r="KW25">
        <v>0.7</v>
      </c>
      <c r="KX25">
        <v>1.5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3</v>
      </c>
      <c r="LI25">
        <v>2.5</v>
      </c>
      <c r="LJ25">
        <v>0</v>
      </c>
      <c r="LK25">
        <v>9</v>
      </c>
      <c r="LL25">
        <v>5</v>
      </c>
      <c r="LM25">
        <v>8</v>
      </c>
      <c r="LN25">
        <v>0.5</v>
      </c>
      <c r="LO25">
        <v>3</v>
      </c>
      <c r="LP25">
        <v>0</v>
      </c>
      <c r="LQ25">
        <v>0</v>
      </c>
      <c r="LR25">
        <v>0</v>
      </c>
      <c r="LS25">
        <v>1</v>
      </c>
      <c r="LT25">
        <v>0</v>
      </c>
      <c r="LU25">
        <v>0</v>
      </c>
      <c r="LV25">
        <v>0</v>
      </c>
      <c r="LW25">
        <v>2.1</v>
      </c>
      <c r="LX25">
        <v>2.1</v>
      </c>
      <c r="LY25">
        <v>2.8</v>
      </c>
      <c r="LZ25">
        <v>2.8</v>
      </c>
      <c r="MA25">
        <v>0</v>
      </c>
      <c r="MB25">
        <v>4</v>
      </c>
      <c r="MC25">
        <v>0</v>
      </c>
      <c r="MD25">
        <v>4.5</v>
      </c>
      <c r="ME25">
        <v>6</v>
      </c>
      <c r="MF25">
        <v>6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420</v>
      </c>
      <c r="MN25">
        <v>215</v>
      </c>
      <c r="MO25">
        <v>272</v>
      </c>
      <c r="NU25">
        <v>0.15</v>
      </c>
      <c r="NV25">
        <v>0.2</v>
      </c>
      <c r="NW25">
        <v>0.2</v>
      </c>
      <c r="NX25">
        <v>0.2</v>
      </c>
      <c r="NY25">
        <v>0.2</v>
      </c>
      <c r="NZ25">
        <v>0.2</v>
      </c>
      <c r="OE25" t="s">
        <v>4207</v>
      </c>
      <c r="OF25" t="s">
        <v>4205</v>
      </c>
      <c r="OG25" t="s">
        <v>4206</v>
      </c>
      <c r="OH25" t="s">
        <v>4043</v>
      </c>
      <c r="OI25" t="s">
        <v>4207</v>
      </c>
      <c r="OJ25" t="s">
        <v>4204</v>
      </c>
      <c r="OK25">
        <v>61</v>
      </c>
      <c r="OL25">
        <v>61</v>
      </c>
      <c r="OM25" t="s">
        <v>4205</v>
      </c>
      <c r="ON25">
        <v>2</v>
      </c>
      <c r="OO25">
        <v>2108</v>
      </c>
      <c r="OP25">
        <v>61</v>
      </c>
      <c r="OQ25">
        <v>61</v>
      </c>
      <c r="OR25" t="s">
        <v>4206</v>
      </c>
      <c r="OS25">
        <v>2</v>
      </c>
      <c r="OT25">
        <v>2115</v>
      </c>
      <c r="OU25">
        <v>65</v>
      </c>
      <c r="OV25">
        <v>65</v>
      </c>
      <c r="OW25" t="s">
        <v>4043</v>
      </c>
      <c r="OX25">
        <v>1</v>
      </c>
      <c r="OY25">
        <v>52265</v>
      </c>
      <c r="OZ25">
        <v>51</v>
      </c>
      <c r="PA25">
        <v>51</v>
      </c>
      <c r="PB25" t="s">
        <v>4207</v>
      </c>
      <c r="PC25">
        <v>1</v>
      </c>
      <c r="PD25">
        <v>2147</v>
      </c>
      <c r="PF25">
        <v>402</v>
      </c>
      <c r="PG25">
        <v>29</v>
      </c>
      <c r="PH25">
        <v>384</v>
      </c>
      <c r="PI25">
        <v>29</v>
      </c>
      <c r="PJ25">
        <v>80</v>
      </c>
      <c r="PK25">
        <v>2099</v>
      </c>
      <c r="PL25">
        <v>1617.2</v>
      </c>
      <c r="PM25">
        <v>290.9</v>
      </c>
      <c r="PN25">
        <v>107.7</v>
      </c>
      <c r="PO25">
        <v>9.300000000000001</v>
      </c>
      <c r="PP25">
        <v>12</v>
      </c>
      <c r="PQ25">
        <v>5</v>
      </c>
      <c r="PR25">
        <v>5</v>
      </c>
      <c r="PS25">
        <v>0</v>
      </c>
      <c r="PT25">
        <v>262</v>
      </c>
      <c r="PU25">
        <v>12</v>
      </c>
      <c r="PV25" t="s">
        <v>4072</v>
      </c>
      <c r="PW25" t="s">
        <v>4072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-1</v>
      </c>
      <c r="QF25">
        <v>1</v>
      </c>
      <c r="QG25">
        <v>0</v>
      </c>
      <c r="QH25">
        <v>5</v>
      </c>
      <c r="QI25">
        <v>5</v>
      </c>
      <c r="QJ25">
        <v>5</v>
      </c>
      <c r="QK25">
        <v>210</v>
      </c>
      <c r="QL25">
        <v>422</v>
      </c>
      <c r="QM25">
        <v>7.5</v>
      </c>
      <c r="QN25">
        <v>1545.7</v>
      </c>
      <c r="QO25" t="s">
        <v>556</v>
      </c>
      <c r="QP25" t="s">
        <v>513</v>
      </c>
      <c r="QQ25">
        <v>0</v>
      </c>
      <c r="QR25" t="s">
        <v>704</v>
      </c>
      <c r="QS25">
        <v>40</v>
      </c>
      <c r="QT25">
        <v>50</v>
      </c>
    </row>
    <row r="26" spans="1:462">
      <c r="A26" t="s">
        <v>975</v>
      </c>
      <c r="B26" t="s">
        <v>564</v>
      </c>
      <c r="C26" t="s">
        <v>509</v>
      </c>
      <c r="D26" t="s">
        <v>974</v>
      </c>
      <c r="E26" t="s">
        <v>4036</v>
      </c>
      <c r="H26" t="s">
        <v>604</v>
      </c>
      <c r="I26" t="s">
        <v>605</v>
      </c>
      <c r="J26" t="s">
        <v>628</v>
      </c>
      <c r="K26" t="s">
        <v>606</v>
      </c>
      <c r="L26" t="s">
        <v>629</v>
      </c>
      <c r="M26" t="s">
        <v>512</v>
      </c>
      <c r="O26" t="s">
        <v>513</v>
      </c>
      <c r="P26" t="s">
        <v>567</v>
      </c>
      <c r="Q26" t="s">
        <v>976</v>
      </c>
      <c r="R26" t="s">
        <v>954</v>
      </c>
      <c r="S26" t="s">
        <v>4170</v>
      </c>
      <c r="T26" t="s">
        <v>633</v>
      </c>
      <c r="U26" t="s">
        <v>634</v>
      </c>
      <c r="V26" t="s">
        <v>715</v>
      </c>
      <c r="W26" t="s">
        <v>573</v>
      </c>
      <c r="X26" t="s">
        <v>977</v>
      </c>
      <c r="Y26" t="s">
        <v>978</v>
      </c>
      <c r="Z26" t="s">
        <v>541</v>
      </c>
      <c r="AA26" t="s">
        <v>4038</v>
      </c>
      <c r="AB26" t="s">
        <v>4208</v>
      </c>
      <c r="AC26">
        <v>9</v>
      </c>
      <c r="AD26" t="s">
        <v>973</v>
      </c>
      <c r="AE26">
        <v>5</v>
      </c>
      <c r="AF26">
        <v>5426</v>
      </c>
      <c r="AG26" t="s">
        <v>4152</v>
      </c>
      <c r="AH26">
        <v>1</v>
      </c>
      <c r="AI26" t="s">
        <v>4041</v>
      </c>
      <c r="AK26" t="s">
        <v>4153</v>
      </c>
      <c r="AL26">
        <v>1</v>
      </c>
      <c r="AM26" t="s">
        <v>582</v>
      </c>
      <c r="AO26" t="s">
        <v>4043</v>
      </c>
      <c r="AP26">
        <v>1</v>
      </c>
      <c r="AR26" t="s">
        <v>4209</v>
      </c>
      <c r="AS26">
        <v>1</v>
      </c>
      <c r="AT26">
        <v>52</v>
      </c>
      <c r="AV26" t="s">
        <v>4078</v>
      </c>
      <c r="AW26">
        <v>6.4</v>
      </c>
      <c r="AX26">
        <v>-6</v>
      </c>
      <c r="AY26">
        <v>98</v>
      </c>
      <c r="AZ26">
        <v>62</v>
      </c>
      <c r="BH26">
        <v>98</v>
      </c>
      <c r="BI26">
        <v>36</v>
      </c>
      <c r="BJ26">
        <v>62</v>
      </c>
      <c r="BK26">
        <v>3</v>
      </c>
      <c r="BL26">
        <v>196</v>
      </c>
      <c r="BM26">
        <v>-6</v>
      </c>
      <c r="BN26">
        <v>0</v>
      </c>
      <c r="BO26">
        <v>0</v>
      </c>
      <c r="BP26">
        <v>0</v>
      </c>
      <c r="BR26">
        <v>190</v>
      </c>
      <c r="BS26">
        <v>180</v>
      </c>
      <c r="BT26">
        <v>2050</v>
      </c>
      <c r="BU26" t="s">
        <v>4096</v>
      </c>
      <c r="BV26" t="s">
        <v>4096</v>
      </c>
      <c r="BW26" t="s">
        <v>4097</v>
      </c>
      <c r="BX26" t="s">
        <v>4097</v>
      </c>
      <c r="BY26" t="s">
        <v>4173</v>
      </c>
      <c r="BZ26" t="s">
        <v>4107</v>
      </c>
      <c r="CA26" t="s">
        <v>4108</v>
      </c>
      <c r="CB26" t="s">
        <v>4109</v>
      </c>
      <c r="CC26" t="s">
        <v>4053</v>
      </c>
      <c r="CD26" t="s">
        <v>4110</v>
      </c>
      <c r="CE26" t="s">
        <v>4055</v>
      </c>
      <c r="CF26" t="s">
        <v>4055</v>
      </c>
      <c r="CG26" t="s">
        <v>4056</v>
      </c>
      <c r="CI26" t="s">
        <v>4058</v>
      </c>
      <c r="CJ26" t="s">
        <v>4059</v>
      </c>
      <c r="CK26" t="s">
        <v>4060</v>
      </c>
      <c r="CL26" t="s">
        <v>4061</v>
      </c>
      <c r="CM26" t="s">
        <v>4062</v>
      </c>
      <c r="CN26" t="s">
        <v>4055</v>
      </c>
      <c r="CO26" t="s">
        <v>4063</v>
      </c>
      <c r="CP26" t="s">
        <v>4055</v>
      </c>
      <c r="CQ26" t="s">
        <v>4055</v>
      </c>
      <c r="CR26">
        <v>5</v>
      </c>
      <c r="CS26" t="s">
        <v>4055</v>
      </c>
      <c r="CT26" t="s">
        <v>4055</v>
      </c>
      <c r="CU26" t="s">
        <v>4055</v>
      </c>
      <c r="CV26">
        <v>122</v>
      </c>
      <c r="CW26">
        <v>3</v>
      </c>
      <c r="CX26">
        <v>83</v>
      </c>
      <c r="CY26">
        <v>5</v>
      </c>
      <c r="CZ26">
        <v>141</v>
      </c>
      <c r="DA26">
        <v>5</v>
      </c>
      <c r="DB26">
        <v>11510</v>
      </c>
      <c r="DC26">
        <v>340</v>
      </c>
      <c r="DD26">
        <v>331</v>
      </c>
      <c r="DE26">
        <v>2165</v>
      </c>
      <c r="DF26">
        <v>2165</v>
      </c>
      <c r="DG26">
        <v>2175</v>
      </c>
      <c r="DH26" t="s">
        <v>4055</v>
      </c>
      <c r="DI26" t="s">
        <v>4055</v>
      </c>
      <c r="DJ26" t="s">
        <v>4132</v>
      </c>
      <c r="DK26">
        <v>190</v>
      </c>
      <c r="DL26" t="s">
        <v>4065</v>
      </c>
      <c r="DM26">
        <v>65</v>
      </c>
      <c r="DN26">
        <v>1.1</v>
      </c>
      <c r="DO26">
        <v>1</v>
      </c>
      <c r="DP26">
        <v>2053</v>
      </c>
      <c r="DQ26">
        <v>844</v>
      </c>
      <c r="DR26" t="s">
        <v>4132</v>
      </c>
      <c r="DS26">
        <v>180</v>
      </c>
      <c r="DT26" t="s">
        <v>4065</v>
      </c>
      <c r="DU26">
        <v>65</v>
      </c>
      <c r="DV26">
        <v>1.1</v>
      </c>
      <c r="DW26">
        <v>1</v>
      </c>
      <c r="DX26">
        <v>2065</v>
      </c>
      <c r="DY26">
        <v>803</v>
      </c>
      <c r="DZ26" t="s">
        <v>4066</v>
      </c>
      <c r="EA26">
        <v>20</v>
      </c>
      <c r="EB26" t="s">
        <v>4065</v>
      </c>
      <c r="EC26">
        <v>0.8</v>
      </c>
      <c r="ED26">
        <v>2053</v>
      </c>
      <c r="EE26">
        <v>72</v>
      </c>
      <c r="EG26">
        <v>0</v>
      </c>
      <c r="EH26" t="s">
        <v>4065</v>
      </c>
      <c r="EI26">
        <v>0</v>
      </c>
      <c r="EL26" t="s">
        <v>1528</v>
      </c>
      <c r="EM26">
        <v>12</v>
      </c>
      <c r="EN26">
        <v>0.5</v>
      </c>
      <c r="EO26">
        <v>0.96</v>
      </c>
      <c r="EP26">
        <v>2063.83</v>
      </c>
      <c r="EQ26">
        <v>33537.24</v>
      </c>
      <c r="ER26">
        <v>11642.97</v>
      </c>
      <c r="ES26">
        <v>0</v>
      </c>
      <c r="ET26">
        <v>0</v>
      </c>
      <c r="EU26">
        <v>1</v>
      </c>
      <c r="EV26">
        <v>45181</v>
      </c>
      <c r="EW26">
        <v>543</v>
      </c>
      <c r="EX26" t="s">
        <v>4088</v>
      </c>
      <c r="EY26">
        <v>216</v>
      </c>
      <c r="EZ26" t="s">
        <v>4055</v>
      </c>
      <c r="FA26">
        <v>7.5</v>
      </c>
      <c r="FB26">
        <v>1</v>
      </c>
      <c r="FC26">
        <v>1</v>
      </c>
      <c r="FD26">
        <v>2101</v>
      </c>
      <c r="FE26">
        <v>2712</v>
      </c>
      <c r="FF26" t="s">
        <v>4089</v>
      </c>
      <c r="FG26">
        <v>216</v>
      </c>
      <c r="FH26" t="s">
        <v>4055</v>
      </c>
      <c r="FI26">
        <v>1.8</v>
      </c>
      <c r="FJ26">
        <v>2101</v>
      </c>
      <c r="FK26">
        <v>810</v>
      </c>
      <c r="FL26" t="s">
        <v>4069</v>
      </c>
      <c r="FM26" t="s">
        <v>4055</v>
      </c>
      <c r="FN26" t="s">
        <v>4055</v>
      </c>
      <c r="FO26" t="s">
        <v>4055</v>
      </c>
      <c r="FP26">
        <v>2101</v>
      </c>
      <c r="FQ26">
        <v>67</v>
      </c>
      <c r="FR26" t="s">
        <v>4090</v>
      </c>
      <c r="FS26">
        <v>220</v>
      </c>
      <c r="FT26" t="s">
        <v>4055</v>
      </c>
      <c r="FU26">
        <v>0.4</v>
      </c>
      <c r="FV26">
        <v>2101</v>
      </c>
      <c r="FW26">
        <v>205</v>
      </c>
      <c r="FX26" t="s">
        <v>4070</v>
      </c>
      <c r="FY26">
        <v>5</v>
      </c>
      <c r="FZ26" t="s">
        <v>4055</v>
      </c>
      <c r="GA26" t="s">
        <v>4055</v>
      </c>
      <c r="GB26">
        <v>2101</v>
      </c>
      <c r="GC26">
        <v>21</v>
      </c>
      <c r="GD26">
        <v>3815</v>
      </c>
      <c r="GE26" t="s">
        <v>4209</v>
      </c>
      <c r="GF26" t="s">
        <v>4055</v>
      </c>
      <c r="GG26" t="s">
        <v>4055</v>
      </c>
      <c r="GH26" t="s">
        <v>4055</v>
      </c>
      <c r="GI26" t="s">
        <v>4071</v>
      </c>
      <c r="GJ26" t="s">
        <v>4055</v>
      </c>
      <c r="GK26" t="s">
        <v>4055</v>
      </c>
      <c r="GL26" t="s">
        <v>4055</v>
      </c>
      <c r="GM26" t="s">
        <v>4055</v>
      </c>
      <c r="GQ26">
        <v>0</v>
      </c>
      <c r="GV26">
        <v>9.699999999999999</v>
      </c>
      <c r="GW26">
        <v>7.6</v>
      </c>
      <c r="GX26">
        <v>0.5</v>
      </c>
      <c r="GY26">
        <v>180</v>
      </c>
      <c r="GZ26">
        <v>3</v>
      </c>
      <c r="HA26">
        <v>230</v>
      </c>
      <c r="HB26">
        <v>3</v>
      </c>
      <c r="HC26">
        <v>2101</v>
      </c>
      <c r="HD26">
        <v>4</v>
      </c>
      <c r="HE26" t="s">
        <v>4071</v>
      </c>
      <c r="HG26" t="s">
        <v>549</v>
      </c>
      <c r="HL26">
        <v>4</v>
      </c>
      <c r="HM26">
        <v>17</v>
      </c>
      <c r="HN26">
        <v>6</v>
      </c>
      <c r="HO26">
        <v>1</v>
      </c>
      <c r="HP26">
        <v>0</v>
      </c>
      <c r="HQ26">
        <v>0</v>
      </c>
      <c r="HR26">
        <v>1</v>
      </c>
      <c r="HS26">
        <v>2050</v>
      </c>
      <c r="HT26">
        <v>5</v>
      </c>
      <c r="HU26">
        <v>1</v>
      </c>
      <c r="HV26">
        <v>3</v>
      </c>
      <c r="HW26">
        <v>0</v>
      </c>
      <c r="HX26">
        <v>1</v>
      </c>
      <c r="HY26">
        <v>0</v>
      </c>
      <c r="HZ26">
        <v>65</v>
      </c>
      <c r="IA26">
        <v>2053</v>
      </c>
      <c r="IB26">
        <v>2065</v>
      </c>
      <c r="ID26">
        <v>2101</v>
      </c>
      <c r="IE26">
        <v>2101</v>
      </c>
      <c r="IF26">
        <v>190</v>
      </c>
      <c r="IG26">
        <v>180</v>
      </c>
      <c r="IH26">
        <v>230</v>
      </c>
      <c r="II26">
        <v>1</v>
      </c>
      <c r="IJ26">
        <v>5</v>
      </c>
      <c r="IK26">
        <v>0</v>
      </c>
      <c r="IL26">
        <v>0</v>
      </c>
      <c r="IM26">
        <v>0</v>
      </c>
      <c r="IN26">
        <v>270</v>
      </c>
      <c r="IO26">
        <v>0</v>
      </c>
      <c r="IP26">
        <v>180</v>
      </c>
      <c r="IQ26">
        <v>0</v>
      </c>
      <c r="IR26">
        <v>330</v>
      </c>
      <c r="IS26">
        <v>0</v>
      </c>
      <c r="IT26">
        <v>90</v>
      </c>
      <c r="IU26">
        <v>0</v>
      </c>
      <c r="IV26">
        <v>6.4</v>
      </c>
      <c r="IW26">
        <v>-6</v>
      </c>
      <c r="IX26">
        <v>98</v>
      </c>
      <c r="IY26">
        <v>62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400</v>
      </c>
      <c r="JJ26">
        <v>370</v>
      </c>
      <c r="JK26">
        <v>273</v>
      </c>
      <c r="JL26">
        <v>368</v>
      </c>
      <c r="JM26">
        <v>282</v>
      </c>
      <c r="JN26">
        <v>190</v>
      </c>
      <c r="JO26">
        <v>240</v>
      </c>
      <c r="JP26">
        <v>215</v>
      </c>
      <c r="JQ26">
        <v>237</v>
      </c>
      <c r="JR26">
        <v>330</v>
      </c>
      <c r="JS26">
        <v>245</v>
      </c>
      <c r="JT26">
        <v>0</v>
      </c>
      <c r="JU26">
        <v>0</v>
      </c>
      <c r="JV26">
        <v>330</v>
      </c>
      <c r="JW26">
        <v>337</v>
      </c>
      <c r="JX26">
        <v>325</v>
      </c>
      <c r="JY26">
        <v>323</v>
      </c>
      <c r="JZ26">
        <v>2</v>
      </c>
      <c r="KA26">
        <v>0.2</v>
      </c>
      <c r="KB26">
        <v>0.4</v>
      </c>
      <c r="KC26">
        <v>0.42</v>
      </c>
      <c r="KD26">
        <v>0.28</v>
      </c>
      <c r="KE26">
        <v>0.5</v>
      </c>
      <c r="KF26">
        <v>0.18</v>
      </c>
      <c r="KG26">
        <v>0.1</v>
      </c>
      <c r="KH26">
        <v>3.5</v>
      </c>
      <c r="KI26">
        <v>1</v>
      </c>
      <c r="KJ26">
        <v>4.5</v>
      </c>
      <c r="KK26">
        <v>0.5</v>
      </c>
      <c r="KL26">
        <v>4.5</v>
      </c>
      <c r="KM26">
        <v>0.5</v>
      </c>
      <c r="KN26">
        <v>1.5</v>
      </c>
      <c r="KO26">
        <v>0</v>
      </c>
      <c r="KP26">
        <v>0</v>
      </c>
      <c r="KQ26">
        <v>0.8</v>
      </c>
      <c r="KR26">
        <v>0.8</v>
      </c>
      <c r="KS26">
        <v>0.2</v>
      </c>
      <c r="KT26">
        <v>2.5</v>
      </c>
      <c r="KU26">
        <v>0</v>
      </c>
      <c r="KV26">
        <v>0</v>
      </c>
      <c r="KW26">
        <v>1.4</v>
      </c>
      <c r="KX26">
        <v>2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3</v>
      </c>
      <c r="LI26">
        <v>0.2</v>
      </c>
      <c r="LJ26">
        <v>0</v>
      </c>
      <c r="LK26">
        <v>4</v>
      </c>
      <c r="LL26">
        <v>6</v>
      </c>
      <c r="LM26">
        <v>6</v>
      </c>
      <c r="LN26">
        <v>0.4</v>
      </c>
      <c r="LO26">
        <v>0.5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1.9</v>
      </c>
      <c r="LX26">
        <v>1.9</v>
      </c>
      <c r="LY26">
        <v>2.3</v>
      </c>
      <c r="LZ26">
        <v>2.3</v>
      </c>
      <c r="MA26">
        <v>0</v>
      </c>
      <c r="MB26">
        <v>3</v>
      </c>
      <c r="MC26">
        <v>0</v>
      </c>
      <c r="MD26">
        <v>4.5</v>
      </c>
      <c r="ME26">
        <v>6</v>
      </c>
      <c r="MF26">
        <v>6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420</v>
      </c>
      <c r="MN26">
        <v>185</v>
      </c>
      <c r="MO26">
        <v>240</v>
      </c>
      <c r="NU26">
        <v>0.15</v>
      </c>
      <c r="NV26">
        <v>0.2</v>
      </c>
      <c r="NW26">
        <v>0.2</v>
      </c>
      <c r="NX26">
        <v>0.2</v>
      </c>
      <c r="NY26">
        <v>0.2</v>
      </c>
      <c r="NZ26">
        <v>0.2</v>
      </c>
      <c r="OE26" t="s">
        <v>4209</v>
      </c>
      <c r="OF26" t="s">
        <v>4152</v>
      </c>
      <c r="OG26" t="s">
        <v>4153</v>
      </c>
      <c r="OH26" t="s">
        <v>4043</v>
      </c>
      <c r="OI26" t="s">
        <v>4209</v>
      </c>
      <c r="OJ26" t="s">
        <v>4208</v>
      </c>
      <c r="OK26">
        <v>61</v>
      </c>
      <c r="OL26">
        <v>61</v>
      </c>
      <c r="OM26" t="s">
        <v>4152</v>
      </c>
      <c r="ON26">
        <v>1</v>
      </c>
      <c r="OO26">
        <v>2053</v>
      </c>
      <c r="OP26">
        <v>61</v>
      </c>
      <c r="OQ26">
        <v>61</v>
      </c>
      <c r="OR26" t="s">
        <v>4153</v>
      </c>
      <c r="OS26">
        <v>1</v>
      </c>
      <c r="OT26">
        <v>2065</v>
      </c>
      <c r="OU26">
        <v>65</v>
      </c>
      <c r="OV26">
        <v>65</v>
      </c>
      <c r="OW26" t="s">
        <v>4043</v>
      </c>
      <c r="OX26">
        <v>2</v>
      </c>
      <c r="OY26">
        <v>45181</v>
      </c>
      <c r="OZ26">
        <v>51</v>
      </c>
      <c r="PA26">
        <v>52</v>
      </c>
      <c r="PB26" t="s">
        <v>4209</v>
      </c>
      <c r="PC26">
        <v>3</v>
      </c>
      <c r="PD26">
        <v>2101</v>
      </c>
      <c r="PF26">
        <v>411</v>
      </c>
      <c r="PG26">
        <v>35</v>
      </c>
      <c r="PH26">
        <v>389</v>
      </c>
      <c r="PI26">
        <v>0</v>
      </c>
      <c r="PJ26">
        <v>32</v>
      </c>
      <c r="PK26">
        <v>1830</v>
      </c>
      <c r="PL26">
        <v>1290.9</v>
      </c>
      <c r="PM26">
        <v>385.5</v>
      </c>
      <c r="PN26">
        <v>97.8</v>
      </c>
      <c r="PO26">
        <v>9.9</v>
      </c>
      <c r="PP26">
        <v>12</v>
      </c>
      <c r="PQ26">
        <v>3</v>
      </c>
      <c r="PR26">
        <v>3</v>
      </c>
      <c r="PS26">
        <v>0</v>
      </c>
      <c r="PT26">
        <v>230</v>
      </c>
      <c r="PU26">
        <v>7</v>
      </c>
      <c r="PV26" t="s">
        <v>4072</v>
      </c>
      <c r="PW26" t="s">
        <v>4072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-1</v>
      </c>
      <c r="QF26">
        <v>1</v>
      </c>
      <c r="QG26">
        <v>0</v>
      </c>
      <c r="QH26">
        <v>5</v>
      </c>
      <c r="QI26">
        <v>5</v>
      </c>
      <c r="QJ26">
        <v>5</v>
      </c>
      <c r="QK26">
        <v>195</v>
      </c>
      <c r="QL26">
        <v>434</v>
      </c>
      <c r="QM26">
        <v>7.5</v>
      </c>
      <c r="QN26">
        <v>1384.6</v>
      </c>
      <c r="QO26" t="s">
        <v>556</v>
      </c>
      <c r="QP26" t="s">
        <v>513</v>
      </c>
      <c r="QQ26">
        <v>0</v>
      </c>
      <c r="QR26" t="s">
        <v>892</v>
      </c>
      <c r="QS26">
        <v>30</v>
      </c>
      <c r="QT26">
        <v>40</v>
      </c>
    </row>
    <row r="27" spans="1:462">
      <c r="A27" t="s">
        <v>986</v>
      </c>
      <c r="B27" t="s">
        <v>629</v>
      </c>
      <c r="C27" t="s">
        <v>509</v>
      </c>
      <c r="D27" t="s">
        <v>1013</v>
      </c>
      <c r="E27" t="s">
        <v>4036</v>
      </c>
      <c r="H27" t="s">
        <v>604</v>
      </c>
      <c r="I27" t="s">
        <v>605</v>
      </c>
      <c r="J27" t="s">
        <v>628</v>
      </c>
      <c r="K27" t="s">
        <v>606</v>
      </c>
      <c r="L27" t="s">
        <v>711</v>
      </c>
      <c r="M27" t="s">
        <v>512</v>
      </c>
      <c r="O27" t="s">
        <v>513</v>
      </c>
      <c r="P27" t="s">
        <v>567</v>
      </c>
      <c r="Q27" t="s">
        <v>987</v>
      </c>
      <c r="R27" t="s">
        <v>988</v>
      </c>
      <c r="S27" t="s">
        <v>4170</v>
      </c>
      <c r="T27" t="s">
        <v>662</v>
      </c>
      <c r="U27" t="s">
        <v>663</v>
      </c>
      <c r="V27" t="s">
        <v>989</v>
      </c>
      <c r="W27" t="s">
        <v>573</v>
      </c>
      <c r="X27" t="s">
        <v>990</v>
      </c>
      <c r="Y27" t="s">
        <v>991</v>
      </c>
      <c r="Z27" t="s">
        <v>541</v>
      </c>
      <c r="AA27" t="s">
        <v>582</v>
      </c>
      <c r="AB27" t="s">
        <v>4210</v>
      </c>
      <c r="AC27">
        <v>14</v>
      </c>
      <c r="AD27" t="s">
        <v>985</v>
      </c>
      <c r="AE27">
        <v>4</v>
      </c>
      <c r="AF27">
        <v>7519</v>
      </c>
      <c r="AG27" t="s">
        <v>4211</v>
      </c>
      <c r="AH27">
        <v>1</v>
      </c>
      <c r="AI27" t="s">
        <v>4041</v>
      </c>
      <c r="AK27" t="s">
        <v>4212</v>
      </c>
      <c r="AL27">
        <v>1</v>
      </c>
      <c r="AM27" t="s">
        <v>582</v>
      </c>
      <c r="AO27" t="s">
        <v>4043</v>
      </c>
      <c r="AP27">
        <v>1</v>
      </c>
      <c r="AR27" t="s">
        <v>4213</v>
      </c>
      <c r="AS27">
        <v>1</v>
      </c>
      <c r="AT27">
        <v>51</v>
      </c>
      <c r="AV27" t="s">
        <v>4078</v>
      </c>
      <c r="AW27">
        <v>6.4</v>
      </c>
      <c r="AX27">
        <v>-6</v>
      </c>
      <c r="AY27">
        <v>113.5</v>
      </c>
      <c r="AZ27">
        <v>83</v>
      </c>
      <c r="BA27">
        <v>0</v>
      </c>
      <c r="BB27">
        <v>0</v>
      </c>
      <c r="BC27">
        <v>0</v>
      </c>
      <c r="BH27">
        <v>113.5</v>
      </c>
      <c r="BI27">
        <v>30.5</v>
      </c>
      <c r="BJ27">
        <v>83</v>
      </c>
      <c r="BK27">
        <v>3.5</v>
      </c>
      <c r="BL27">
        <v>227</v>
      </c>
      <c r="BM27">
        <v>-6</v>
      </c>
      <c r="BN27">
        <v>0</v>
      </c>
      <c r="BO27">
        <v>0</v>
      </c>
      <c r="BP27">
        <v>0</v>
      </c>
      <c r="BR27">
        <v>220</v>
      </c>
      <c r="BS27">
        <v>205</v>
      </c>
      <c r="BT27">
        <v>2270</v>
      </c>
      <c r="BU27" t="s">
        <v>4079</v>
      </c>
      <c r="BV27" t="s">
        <v>4079</v>
      </c>
      <c r="BW27" t="s">
        <v>4081</v>
      </c>
      <c r="BX27" t="s">
        <v>4081</v>
      </c>
      <c r="BY27" t="s">
        <v>4214</v>
      </c>
      <c r="BZ27" t="s">
        <v>4215</v>
      </c>
      <c r="CA27" t="s">
        <v>4118</v>
      </c>
      <c r="CB27" t="s">
        <v>4119</v>
      </c>
      <c r="CC27" t="s">
        <v>4053</v>
      </c>
      <c r="CD27" t="s">
        <v>4121</v>
      </c>
      <c r="CE27" t="s">
        <v>4055</v>
      </c>
      <c r="CF27" t="s">
        <v>4055</v>
      </c>
      <c r="CG27" t="s">
        <v>4056</v>
      </c>
      <c r="CI27" t="s">
        <v>4216</v>
      </c>
      <c r="CJ27" t="s">
        <v>4059</v>
      </c>
      <c r="CK27" t="s">
        <v>4060</v>
      </c>
      <c r="CL27" t="s">
        <v>4061</v>
      </c>
      <c r="CM27" t="s">
        <v>4062</v>
      </c>
      <c r="CN27" t="s">
        <v>4055</v>
      </c>
      <c r="CO27" t="s">
        <v>4063</v>
      </c>
      <c r="CP27" t="s">
        <v>4055</v>
      </c>
      <c r="CQ27" t="s">
        <v>4055</v>
      </c>
      <c r="CR27">
        <v>5</v>
      </c>
      <c r="CS27" t="s">
        <v>4055</v>
      </c>
      <c r="CT27" t="s">
        <v>4055</v>
      </c>
      <c r="CU27" t="s">
        <v>4055</v>
      </c>
      <c r="CV27">
        <v>140</v>
      </c>
      <c r="CW27">
        <v>3</v>
      </c>
      <c r="CX27">
        <v>98</v>
      </c>
      <c r="CY27">
        <v>5</v>
      </c>
      <c r="CZ27">
        <v>171</v>
      </c>
      <c r="DA27">
        <v>5</v>
      </c>
      <c r="DB27">
        <v>15660</v>
      </c>
      <c r="DC27">
        <v>460</v>
      </c>
      <c r="DD27">
        <v>390</v>
      </c>
      <c r="DE27">
        <v>2391</v>
      </c>
      <c r="DF27">
        <v>2391</v>
      </c>
      <c r="DG27">
        <v>2402</v>
      </c>
      <c r="DH27">
        <v>3</v>
      </c>
      <c r="DI27" t="s">
        <v>4055</v>
      </c>
      <c r="DJ27" t="s">
        <v>4217</v>
      </c>
      <c r="DK27">
        <v>220</v>
      </c>
      <c r="DL27" t="s">
        <v>4065</v>
      </c>
      <c r="DM27">
        <v>65</v>
      </c>
      <c r="DN27">
        <v>1.26</v>
      </c>
      <c r="DO27">
        <v>1</v>
      </c>
      <c r="DP27">
        <v>2274</v>
      </c>
      <c r="DQ27">
        <v>1207</v>
      </c>
      <c r="DR27" t="s">
        <v>4217</v>
      </c>
      <c r="DS27">
        <v>205</v>
      </c>
      <c r="DT27" t="s">
        <v>4065</v>
      </c>
      <c r="DU27">
        <v>65</v>
      </c>
      <c r="DV27">
        <v>1.26</v>
      </c>
      <c r="DW27">
        <v>1</v>
      </c>
      <c r="DX27">
        <v>2287</v>
      </c>
      <c r="DY27">
        <v>1132</v>
      </c>
      <c r="DZ27" t="s">
        <v>4066</v>
      </c>
      <c r="EA27">
        <v>20</v>
      </c>
      <c r="EB27" t="s">
        <v>4065</v>
      </c>
      <c r="EC27">
        <v>0.8</v>
      </c>
      <c r="ED27">
        <v>2274</v>
      </c>
      <c r="EE27">
        <v>80</v>
      </c>
      <c r="EG27">
        <v>0</v>
      </c>
      <c r="EH27" t="s">
        <v>4065</v>
      </c>
      <c r="EI27">
        <v>0</v>
      </c>
      <c r="EL27" t="s">
        <v>1528</v>
      </c>
      <c r="EM27">
        <v>12</v>
      </c>
      <c r="EN27">
        <v>0.5</v>
      </c>
      <c r="EO27">
        <v>0.96</v>
      </c>
      <c r="EP27">
        <v>2285.84</v>
      </c>
      <c r="EQ27">
        <v>42680.92</v>
      </c>
      <c r="ER27">
        <v>10922.2</v>
      </c>
      <c r="ES27">
        <v>0</v>
      </c>
      <c r="ET27">
        <v>0</v>
      </c>
      <c r="EU27">
        <v>1</v>
      </c>
      <c r="EV27">
        <v>53604</v>
      </c>
      <c r="EW27">
        <v>644</v>
      </c>
      <c r="EX27" t="s">
        <v>4088</v>
      </c>
      <c r="EY27">
        <v>248</v>
      </c>
      <c r="EZ27" t="s">
        <v>4055</v>
      </c>
      <c r="FA27">
        <v>7.5</v>
      </c>
      <c r="FB27">
        <v>1</v>
      </c>
      <c r="FC27">
        <v>1</v>
      </c>
      <c r="FD27">
        <v>2323</v>
      </c>
      <c r="FE27">
        <v>3622</v>
      </c>
      <c r="FF27" t="s">
        <v>4089</v>
      </c>
      <c r="FG27">
        <v>248</v>
      </c>
      <c r="FH27" t="s">
        <v>4055</v>
      </c>
      <c r="FI27">
        <v>1.8</v>
      </c>
      <c r="FJ27">
        <v>2323</v>
      </c>
      <c r="FK27">
        <v>1036</v>
      </c>
      <c r="FL27" t="s">
        <v>4069</v>
      </c>
      <c r="FM27" t="s">
        <v>4055</v>
      </c>
      <c r="FN27" t="s">
        <v>4055</v>
      </c>
      <c r="FO27" t="s">
        <v>4055</v>
      </c>
      <c r="FP27">
        <v>2323</v>
      </c>
      <c r="FQ27">
        <v>131</v>
      </c>
      <c r="FR27" t="s">
        <v>4090</v>
      </c>
      <c r="FS27">
        <v>252</v>
      </c>
      <c r="FT27" t="s">
        <v>4055</v>
      </c>
      <c r="FU27">
        <v>0.4</v>
      </c>
      <c r="FV27">
        <v>2323</v>
      </c>
      <c r="FW27">
        <v>260</v>
      </c>
      <c r="FX27" t="s">
        <v>4070</v>
      </c>
      <c r="FY27">
        <v>5</v>
      </c>
      <c r="FZ27" t="s">
        <v>4055</v>
      </c>
      <c r="GA27" t="s">
        <v>4055</v>
      </c>
      <c r="GB27">
        <v>2323</v>
      </c>
      <c r="GC27">
        <v>23</v>
      </c>
      <c r="GD27">
        <v>5072</v>
      </c>
      <c r="GE27" t="s">
        <v>4213</v>
      </c>
      <c r="GF27" t="s">
        <v>4055</v>
      </c>
      <c r="GG27" t="s">
        <v>4055</v>
      </c>
      <c r="GH27" t="s">
        <v>4055</v>
      </c>
      <c r="GI27" t="s">
        <v>4071</v>
      </c>
      <c r="GJ27" t="s">
        <v>4055</v>
      </c>
      <c r="GK27" t="s">
        <v>4055</v>
      </c>
      <c r="GL27" t="s">
        <v>4055</v>
      </c>
      <c r="GM27" t="s">
        <v>4055</v>
      </c>
      <c r="GQ27">
        <v>0</v>
      </c>
      <c r="GV27">
        <v>9.699999999999999</v>
      </c>
      <c r="GW27">
        <v>7.8</v>
      </c>
      <c r="GX27">
        <v>0.5</v>
      </c>
      <c r="GY27">
        <v>210</v>
      </c>
      <c r="GZ27">
        <v>3</v>
      </c>
      <c r="HA27">
        <v>268</v>
      </c>
      <c r="HB27">
        <v>3</v>
      </c>
      <c r="HC27">
        <v>2323</v>
      </c>
      <c r="HD27">
        <v>4</v>
      </c>
      <c r="HE27" t="s">
        <v>4071</v>
      </c>
      <c r="HG27" t="s">
        <v>549</v>
      </c>
      <c r="HL27">
        <v>4</v>
      </c>
      <c r="HM27">
        <v>18</v>
      </c>
      <c r="HN27">
        <v>6</v>
      </c>
      <c r="HO27">
        <v>1</v>
      </c>
      <c r="HP27">
        <v>0</v>
      </c>
      <c r="HQ27">
        <v>0</v>
      </c>
      <c r="HR27">
        <v>2</v>
      </c>
      <c r="HS27">
        <v>2270</v>
      </c>
      <c r="HT27">
        <v>5</v>
      </c>
      <c r="HU27">
        <v>1</v>
      </c>
      <c r="HV27">
        <v>3</v>
      </c>
      <c r="HW27">
        <v>0</v>
      </c>
      <c r="HX27">
        <v>1</v>
      </c>
      <c r="HY27">
        <v>0</v>
      </c>
      <c r="HZ27">
        <v>65</v>
      </c>
      <c r="IA27">
        <v>2274</v>
      </c>
      <c r="IB27">
        <v>2287</v>
      </c>
      <c r="ID27">
        <v>2323</v>
      </c>
      <c r="IE27">
        <v>2323</v>
      </c>
      <c r="IF27">
        <v>220</v>
      </c>
      <c r="IG27">
        <v>205</v>
      </c>
      <c r="IH27">
        <v>268</v>
      </c>
      <c r="II27">
        <v>1</v>
      </c>
      <c r="IJ27">
        <v>5</v>
      </c>
      <c r="IK27">
        <v>0</v>
      </c>
      <c r="IL27">
        <v>0</v>
      </c>
      <c r="IM27">
        <v>0</v>
      </c>
      <c r="IN27">
        <v>270</v>
      </c>
      <c r="IO27">
        <v>0</v>
      </c>
      <c r="IP27">
        <v>180</v>
      </c>
      <c r="IQ27">
        <v>0</v>
      </c>
      <c r="IR27">
        <v>330</v>
      </c>
      <c r="IS27">
        <v>0</v>
      </c>
      <c r="IT27">
        <v>100</v>
      </c>
      <c r="IU27">
        <v>0</v>
      </c>
      <c r="IV27">
        <v>6.4</v>
      </c>
      <c r="IW27">
        <v>-6</v>
      </c>
      <c r="IX27">
        <v>113.5</v>
      </c>
      <c r="IY27">
        <v>83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482</v>
      </c>
      <c r="JJ27">
        <v>452</v>
      </c>
      <c r="JK27">
        <v>300</v>
      </c>
      <c r="JL27">
        <v>450</v>
      </c>
      <c r="JM27">
        <v>330</v>
      </c>
      <c r="JN27">
        <v>230</v>
      </c>
      <c r="JO27">
        <v>280</v>
      </c>
      <c r="JP27">
        <v>180</v>
      </c>
      <c r="JQ27">
        <v>220</v>
      </c>
      <c r="JR27">
        <v>345</v>
      </c>
      <c r="JS27">
        <v>210</v>
      </c>
      <c r="JT27">
        <v>0</v>
      </c>
      <c r="JU27">
        <v>0</v>
      </c>
      <c r="JV27">
        <v>335</v>
      </c>
      <c r="JW27">
        <v>307</v>
      </c>
      <c r="JX27">
        <v>344</v>
      </c>
      <c r="JY27">
        <v>334</v>
      </c>
      <c r="JZ27">
        <v>1</v>
      </c>
      <c r="KA27">
        <v>0.2</v>
      </c>
      <c r="KB27">
        <v>0.4</v>
      </c>
      <c r="KC27">
        <v>0.42</v>
      </c>
      <c r="KD27">
        <v>0.28</v>
      </c>
      <c r="KE27">
        <v>0.5</v>
      </c>
      <c r="KF27">
        <v>0.18</v>
      </c>
      <c r="KG27">
        <v>0.1</v>
      </c>
      <c r="KH27">
        <v>3.5</v>
      </c>
      <c r="KI27">
        <v>1</v>
      </c>
      <c r="KJ27">
        <v>4.5</v>
      </c>
      <c r="KK27">
        <v>0</v>
      </c>
      <c r="KL27">
        <v>4.5</v>
      </c>
      <c r="KM27">
        <v>0</v>
      </c>
      <c r="KN27">
        <v>2.2</v>
      </c>
      <c r="KO27">
        <v>0</v>
      </c>
      <c r="KP27">
        <v>0</v>
      </c>
      <c r="KQ27">
        <v>1.2</v>
      </c>
      <c r="KR27">
        <v>0.5</v>
      </c>
      <c r="KS27">
        <v>0</v>
      </c>
      <c r="KT27">
        <v>3</v>
      </c>
      <c r="KU27">
        <v>0</v>
      </c>
      <c r="KV27">
        <v>0</v>
      </c>
      <c r="KW27">
        <v>1</v>
      </c>
      <c r="KX27">
        <v>2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3</v>
      </c>
      <c r="LI27">
        <v>1</v>
      </c>
      <c r="LJ27">
        <v>0</v>
      </c>
      <c r="LK27">
        <v>10</v>
      </c>
      <c r="LL27">
        <v>4</v>
      </c>
      <c r="LM27">
        <v>15</v>
      </c>
      <c r="LN27">
        <v>0.1</v>
      </c>
      <c r="LO27">
        <v>4</v>
      </c>
      <c r="LP27">
        <v>0</v>
      </c>
      <c r="LQ27">
        <v>0</v>
      </c>
      <c r="LR27">
        <v>0</v>
      </c>
      <c r="LS27">
        <v>1</v>
      </c>
      <c r="LT27">
        <v>0</v>
      </c>
      <c r="LU27">
        <v>0</v>
      </c>
      <c r="LV27">
        <v>0</v>
      </c>
      <c r="LW27">
        <v>2.8</v>
      </c>
      <c r="LX27">
        <v>2.8</v>
      </c>
      <c r="LY27">
        <v>2.8</v>
      </c>
      <c r="LZ27">
        <v>2.8</v>
      </c>
      <c r="MA27">
        <v>0</v>
      </c>
      <c r="MB27">
        <v>12</v>
      </c>
      <c r="MC27">
        <v>0</v>
      </c>
      <c r="MD27">
        <v>4.5</v>
      </c>
      <c r="ME27">
        <v>6</v>
      </c>
      <c r="MF27">
        <v>6</v>
      </c>
      <c r="MI27">
        <v>0</v>
      </c>
      <c r="MJ27">
        <v>0</v>
      </c>
      <c r="ML27">
        <v>0</v>
      </c>
      <c r="MM27">
        <v>484</v>
      </c>
      <c r="MN27">
        <v>210</v>
      </c>
      <c r="MO27">
        <v>262</v>
      </c>
      <c r="NU27">
        <v>0.15</v>
      </c>
      <c r="NV27">
        <v>0.2</v>
      </c>
      <c r="NW27">
        <v>0.2</v>
      </c>
      <c r="NX27">
        <v>0.2</v>
      </c>
      <c r="NY27">
        <v>0.2</v>
      </c>
      <c r="NZ27">
        <v>0.2</v>
      </c>
      <c r="OE27" t="s">
        <v>4213</v>
      </c>
      <c r="OF27" t="s">
        <v>4211</v>
      </c>
      <c r="OG27" t="s">
        <v>4212</v>
      </c>
      <c r="OH27" t="s">
        <v>4043</v>
      </c>
      <c r="OI27" t="s">
        <v>4213</v>
      </c>
      <c r="OJ27" t="s">
        <v>4210</v>
      </c>
      <c r="OK27">
        <v>61</v>
      </c>
      <c r="OL27">
        <v>61</v>
      </c>
      <c r="OM27" t="s">
        <v>4211</v>
      </c>
      <c r="ON27">
        <v>1</v>
      </c>
      <c r="OO27">
        <v>2274</v>
      </c>
      <c r="OP27">
        <v>61</v>
      </c>
      <c r="OQ27">
        <v>61</v>
      </c>
      <c r="OR27" t="s">
        <v>4212</v>
      </c>
      <c r="OS27">
        <v>1</v>
      </c>
      <c r="OT27">
        <v>2287</v>
      </c>
      <c r="OU27">
        <v>65</v>
      </c>
      <c r="OV27">
        <v>65</v>
      </c>
      <c r="OW27" t="s">
        <v>4043</v>
      </c>
      <c r="OX27">
        <v>2</v>
      </c>
      <c r="OY27">
        <v>53604</v>
      </c>
      <c r="OZ27">
        <v>51</v>
      </c>
      <c r="PA27">
        <v>51</v>
      </c>
      <c r="PB27" t="s">
        <v>4213</v>
      </c>
      <c r="PC27">
        <v>1</v>
      </c>
      <c r="PD27">
        <v>2323</v>
      </c>
      <c r="PF27">
        <v>531</v>
      </c>
      <c r="PG27">
        <v>35</v>
      </c>
      <c r="PH27">
        <v>495</v>
      </c>
      <c r="PI27">
        <v>0</v>
      </c>
      <c r="PJ27">
        <v>56.4</v>
      </c>
      <c r="PK27">
        <v>2179</v>
      </c>
      <c r="PL27">
        <v>1559.1</v>
      </c>
      <c r="PM27">
        <v>446.1</v>
      </c>
      <c r="PN27">
        <v>112.1</v>
      </c>
      <c r="PO27">
        <v>10.1</v>
      </c>
      <c r="PP27">
        <v>12</v>
      </c>
      <c r="PQ27">
        <v>4</v>
      </c>
      <c r="PR27">
        <v>4</v>
      </c>
      <c r="PS27">
        <v>0</v>
      </c>
      <c r="PT27">
        <v>268</v>
      </c>
      <c r="PU27">
        <v>10</v>
      </c>
      <c r="PV27" t="s">
        <v>4072</v>
      </c>
      <c r="PW27" t="s">
        <v>4072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-1</v>
      </c>
      <c r="QF27">
        <v>1</v>
      </c>
      <c r="QG27">
        <v>0</v>
      </c>
      <c r="QH27">
        <v>5</v>
      </c>
      <c r="QI27">
        <v>5</v>
      </c>
      <c r="QJ27">
        <v>5</v>
      </c>
      <c r="QK27">
        <v>257</v>
      </c>
      <c r="QL27">
        <v>512</v>
      </c>
      <c r="QM27">
        <v>7.5</v>
      </c>
      <c r="QN27">
        <v>1464.3</v>
      </c>
      <c r="QO27" t="s">
        <v>556</v>
      </c>
      <c r="QP27" t="s">
        <v>513</v>
      </c>
      <c r="QQ27">
        <v>0</v>
      </c>
      <c r="QR27" t="s">
        <v>596</v>
      </c>
      <c r="QS27">
        <v>40</v>
      </c>
      <c r="QT27">
        <v>50</v>
      </c>
    </row>
    <row r="28" spans="1:462">
      <c r="A28" t="s">
        <v>1001</v>
      </c>
      <c r="B28" t="s">
        <v>564</v>
      </c>
      <c r="C28" t="s">
        <v>509</v>
      </c>
      <c r="D28" t="s">
        <v>4218</v>
      </c>
      <c r="E28" t="s">
        <v>4036</v>
      </c>
      <c r="H28" t="s">
        <v>627</v>
      </c>
      <c r="I28" t="s">
        <v>604</v>
      </c>
      <c r="J28" t="s">
        <v>628</v>
      </c>
      <c r="K28" t="s">
        <v>606</v>
      </c>
      <c r="L28" t="s">
        <v>629</v>
      </c>
      <c r="M28" t="s">
        <v>512</v>
      </c>
      <c r="O28" t="s">
        <v>513</v>
      </c>
      <c r="P28" t="s">
        <v>567</v>
      </c>
      <c r="Q28" t="s">
        <v>1002</v>
      </c>
      <c r="R28" t="s">
        <v>1003</v>
      </c>
      <c r="S28" t="s">
        <v>4037</v>
      </c>
      <c r="T28" t="s">
        <v>686</v>
      </c>
      <c r="U28" t="s">
        <v>687</v>
      </c>
      <c r="V28" t="s">
        <v>1004</v>
      </c>
      <c r="W28" t="s">
        <v>573</v>
      </c>
      <c r="X28" t="s">
        <v>1005</v>
      </c>
      <c r="Y28" t="s">
        <v>1006</v>
      </c>
      <c r="Z28" t="s">
        <v>541</v>
      </c>
      <c r="AA28" t="s">
        <v>4038</v>
      </c>
      <c r="AB28" t="s">
        <v>4219</v>
      </c>
      <c r="AC28">
        <v>9</v>
      </c>
      <c r="AD28" t="s">
        <v>999</v>
      </c>
      <c r="AE28">
        <v>5</v>
      </c>
      <c r="AF28">
        <v>6305</v>
      </c>
      <c r="AG28" t="s">
        <v>4136</v>
      </c>
      <c r="AH28">
        <v>1</v>
      </c>
      <c r="AI28" t="s">
        <v>4041</v>
      </c>
      <c r="AK28" t="s">
        <v>4137</v>
      </c>
      <c r="AL28">
        <v>1</v>
      </c>
      <c r="AM28" t="s">
        <v>582</v>
      </c>
      <c r="AO28" t="s">
        <v>4043</v>
      </c>
      <c r="AP28">
        <v>1</v>
      </c>
      <c r="AR28" t="s">
        <v>4220</v>
      </c>
      <c r="AS28">
        <v>1</v>
      </c>
      <c r="AT28">
        <v>52</v>
      </c>
      <c r="AV28" t="s">
        <v>4078</v>
      </c>
      <c r="AW28">
        <v>6.4</v>
      </c>
      <c r="AX28">
        <v>-6</v>
      </c>
      <c r="AY28">
        <v>110</v>
      </c>
      <c r="AZ28">
        <v>80</v>
      </c>
      <c r="BH28">
        <v>110</v>
      </c>
      <c r="BI28">
        <v>30</v>
      </c>
      <c r="BJ28">
        <v>80</v>
      </c>
      <c r="BK28">
        <v>2.5</v>
      </c>
      <c r="BL28">
        <v>220</v>
      </c>
      <c r="BM28">
        <v>-6</v>
      </c>
      <c r="BN28">
        <v>0</v>
      </c>
      <c r="BP28">
        <v>0</v>
      </c>
      <c r="BR28">
        <v>215</v>
      </c>
      <c r="BS28">
        <v>205</v>
      </c>
      <c r="BT28">
        <v>2205</v>
      </c>
      <c r="BU28" t="s">
        <v>4127</v>
      </c>
      <c r="BV28" t="s">
        <v>4079</v>
      </c>
      <c r="BW28" t="s">
        <v>4128</v>
      </c>
      <c r="BX28" t="s">
        <v>4081</v>
      </c>
      <c r="BY28" t="s">
        <v>4129</v>
      </c>
      <c r="BZ28" t="s">
        <v>4221</v>
      </c>
      <c r="CA28" t="s">
        <v>4130</v>
      </c>
      <c r="CB28" t="s">
        <v>4131</v>
      </c>
      <c r="CC28" t="s">
        <v>4053</v>
      </c>
      <c r="CD28" t="s">
        <v>4055</v>
      </c>
      <c r="CE28" t="s">
        <v>4055</v>
      </c>
      <c r="CF28" t="s">
        <v>4055</v>
      </c>
      <c r="CG28" t="s">
        <v>4056</v>
      </c>
      <c r="CI28" t="s">
        <v>4086</v>
      </c>
      <c r="CJ28" t="s">
        <v>4059</v>
      </c>
      <c r="CK28" t="s">
        <v>4060</v>
      </c>
      <c r="CL28" t="s">
        <v>4061</v>
      </c>
      <c r="CM28" t="s">
        <v>4055</v>
      </c>
      <c r="CN28" t="s">
        <v>4062</v>
      </c>
      <c r="CO28" t="s">
        <v>4063</v>
      </c>
      <c r="CP28" t="s">
        <v>4055</v>
      </c>
      <c r="CQ28" t="s">
        <v>4055</v>
      </c>
      <c r="CR28">
        <v>5</v>
      </c>
      <c r="CS28" t="s">
        <v>4055</v>
      </c>
      <c r="CT28" t="s">
        <v>4055</v>
      </c>
      <c r="CU28" t="s">
        <v>4055</v>
      </c>
      <c r="CV28">
        <v>135</v>
      </c>
      <c r="CW28">
        <v>3</v>
      </c>
      <c r="CX28">
        <v>90</v>
      </c>
      <c r="CY28">
        <v>5</v>
      </c>
      <c r="CZ28">
        <v>161</v>
      </c>
      <c r="DA28">
        <v>5</v>
      </c>
      <c r="DB28">
        <v>13560</v>
      </c>
      <c r="DC28">
        <v>190</v>
      </c>
      <c r="DD28">
        <v>385</v>
      </c>
      <c r="DE28">
        <v>2320</v>
      </c>
      <c r="DF28">
        <v>2320</v>
      </c>
      <c r="DG28">
        <v>2335</v>
      </c>
      <c r="DH28">
        <v>0</v>
      </c>
      <c r="DI28" t="s">
        <v>4055</v>
      </c>
      <c r="DJ28" t="s">
        <v>4064</v>
      </c>
      <c r="DK28">
        <v>215</v>
      </c>
      <c r="DL28" t="s">
        <v>4065</v>
      </c>
      <c r="DM28">
        <v>65</v>
      </c>
      <c r="DN28">
        <v>1.2</v>
      </c>
      <c r="DO28">
        <v>1</v>
      </c>
      <c r="DP28">
        <v>2209</v>
      </c>
      <c r="DQ28">
        <v>1091</v>
      </c>
      <c r="DR28" t="s">
        <v>4064</v>
      </c>
      <c r="DS28">
        <v>205</v>
      </c>
      <c r="DT28" t="s">
        <v>4065</v>
      </c>
      <c r="DU28">
        <v>65</v>
      </c>
      <c r="DV28">
        <v>1.2</v>
      </c>
      <c r="DW28">
        <v>1</v>
      </c>
      <c r="DX28">
        <v>2221</v>
      </c>
      <c r="DY28">
        <v>1046</v>
      </c>
      <c r="DZ28" t="s">
        <v>4066</v>
      </c>
      <c r="EA28">
        <v>20</v>
      </c>
      <c r="EB28" t="s">
        <v>4065</v>
      </c>
      <c r="EC28">
        <v>0.8</v>
      </c>
      <c r="ED28">
        <v>2209</v>
      </c>
      <c r="EE28">
        <v>77</v>
      </c>
      <c r="EG28">
        <v>0</v>
      </c>
      <c r="EH28" t="s">
        <v>4065</v>
      </c>
      <c r="EI28">
        <v>0</v>
      </c>
      <c r="EL28" t="s">
        <v>1528</v>
      </c>
      <c r="EM28">
        <v>12</v>
      </c>
      <c r="EN28">
        <v>0.5</v>
      </c>
      <c r="EO28">
        <v>0.96</v>
      </c>
      <c r="EP28">
        <v>2220.08</v>
      </c>
      <c r="EQ28">
        <v>40238.95</v>
      </c>
      <c r="ER28">
        <v>10434.9</v>
      </c>
      <c r="ES28">
        <v>0</v>
      </c>
      <c r="ET28">
        <v>0</v>
      </c>
      <c r="EU28">
        <v>1</v>
      </c>
      <c r="EV28">
        <v>50674</v>
      </c>
      <c r="EW28">
        <v>609</v>
      </c>
      <c r="EX28" t="s">
        <v>4088</v>
      </c>
      <c r="EY28">
        <v>240</v>
      </c>
      <c r="EZ28" t="s">
        <v>4055</v>
      </c>
      <c r="FA28">
        <v>6.5</v>
      </c>
      <c r="FB28">
        <v>1</v>
      </c>
      <c r="FC28">
        <v>1</v>
      </c>
      <c r="FD28">
        <v>2253</v>
      </c>
      <c r="FE28">
        <v>3162</v>
      </c>
      <c r="FF28" t="s">
        <v>4089</v>
      </c>
      <c r="FG28">
        <v>240</v>
      </c>
      <c r="FH28" t="s">
        <v>4055</v>
      </c>
      <c r="FI28">
        <v>1.6</v>
      </c>
      <c r="FJ28">
        <v>2253</v>
      </c>
      <c r="FK28">
        <v>878</v>
      </c>
      <c r="FL28" t="s">
        <v>4069</v>
      </c>
      <c r="FM28" t="s">
        <v>4055</v>
      </c>
      <c r="FN28" t="s">
        <v>4055</v>
      </c>
      <c r="FO28" t="s">
        <v>4055</v>
      </c>
      <c r="FP28">
        <v>2253</v>
      </c>
      <c r="FQ28">
        <v>127</v>
      </c>
      <c r="FR28" t="s">
        <v>4090</v>
      </c>
      <c r="FS28">
        <v>244</v>
      </c>
      <c r="FT28" t="s">
        <v>4055</v>
      </c>
      <c r="FU28">
        <v>0.4</v>
      </c>
      <c r="FV28">
        <v>2253</v>
      </c>
      <c r="FW28">
        <v>245</v>
      </c>
      <c r="FX28" t="s">
        <v>4070</v>
      </c>
      <c r="FY28">
        <v>5</v>
      </c>
      <c r="FZ28" t="s">
        <v>4055</v>
      </c>
      <c r="GA28" t="s">
        <v>4055</v>
      </c>
      <c r="GB28">
        <v>2253</v>
      </c>
      <c r="GC28">
        <v>20</v>
      </c>
      <c r="GD28">
        <v>4432</v>
      </c>
      <c r="GE28" t="s">
        <v>4220</v>
      </c>
      <c r="GF28" t="s">
        <v>4055</v>
      </c>
      <c r="GG28" t="s">
        <v>4055</v>
      </c>
      <c r="GH28" t="s">
        <v>4055</v>
      </c>
      <c r="GI28" t="s">
        <v>4071</v>
      </c>
      <c r="GJ28" t="s">
        <v>4055</v>
      </c>
      <c r="GK28" t="s">
        <v>4055</v>
      </c>
      <c r="GL28" t="s">
        <v>4055</v>
      </c>
      <c r="GM28" t="s">
        <v>4055</v>
      </c>
      <c r="GQ28">
        <v>0</v>
      </c>
      <c r="GV28">
        <v>8.5</v>
      </c>
      <c r="GW28">
        <v>7.3</v>
      </c>
      <c r="GX28">
        <v>0.5</v>
      </c>
      <c r="GY28">
        <v>210</v>
      </c>
      <c r="GZ28">
        <v>3</v>
      </c>
      <c r="HA28">
        <v>260</v>
      </c>
      <c r="HB28">
        <v>3</v>
      </c>
      <c r="HC28">
        <v>2253</v>
      </c>
      <c r="HD28">
        <v>4</v>
      </c>
      <c r="HE28" t="s">
        <v>4071</v>
      </c>
      <c r="HG28" t="s">
        <v>549</v>
      </c>
      <c r="HL28">
        <v>4</v>
      </c>
      <c r="HM28">
        <v>19</v>
      </c>
      <c r="HN28">
        <v>6</v>
      </c>
      <c r="HO28">
        <v>1</v>
      </c>
      <c r="HP28">
        <v>0</v>
      </c>
      <c r="HQ28">
        <v>0</v>
      </c>
      <c r="HR28">
        <v>2</v>
      </c>
      <c r="HS28">
        <v>2205</v>
      </c>
      <c r="HT28">
        <v>5</v>
      </c>
      <c r="HU28">
        <v>1</v>
      </c>
      <c r="HV28">
        <v>3</v>
      </c>
      <c r="HW28">
        <v>0</v>
      </c>
      <c r="HX28">
        <v>1</v>
      </c>
      <c r="HY28">
        <v>0</v>
      </c>
      <c r="HZ28">
        <v>65</v>
      </c>
      <c r="IA28">
        <v>2209</v>
      </c>
      <c r="IB28">
        <v>2221</v>
      </c>
      <c r="ID28">
        <v>2253</v>
      </c>
      <c r="IE28">
        <v>2253</v>
      </c>
      <c r="IF28">
        <v>215</v>
      </c>
      <c r="IG28">
        <v>205</v>
      </c>
      <c r="IH28">
        <v>260</v>
      </c>
      <c r="II28">
        <v>1</v>
      </c>
      <c r="IJ28">
        <v>10</v>
      </c>
      <c r="IK28">
        <v>0</v>
      </c>
      <c r="IL28">
        <v>0</v>
      </c>
      <c r="IM28">
        <v>0</v>
      </c>
      <c r="IN28">
        <v>270</v>
      </c>
      <c r="IO28">
        <v>0</v>
      </c>
      <c r="IP28">
        <v>180</v>
      </c>
      <c r="IQ28">
        <v>0</v>
      </c>
      <c r="IR28">
        <v>330</v>
      </c>
      <c r="IS28">
        <v>0</v>
      </c>
      <c r="IT28">
        <v>90</v>
      </c>
      <c r="IU28">
        <v>0</v>
      </c>
      <c r="IV28">
        <v>6.4</v>
      </c>
      <c r="IW28">
        <v>-6</v>
      </c>
      <c r="IX28">
        <v>110</v>
      </c>
      <c r="IY28">
        <v>80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430</v>
      </c>
      <c r="JJ28">
        <v>400</v>
      </c>
      <c r="JK28">
        <v>289</v>
      </c>
      <c r="JL28">
        <v>398</v>
      </c>
      <c r="JM28">
        <v>316</v>
      </c>
      <c r="JN28">
        <v>215</v>
      </c>
      <c r="JO28">
        <v>268</v>
      </c>
      <c r="JP28">
        <v>215</v>
      </c>
      <c r="JQ28">
        <v>250</v>
      </c>
      <c r="JR28">
        <v>312</v>
      </c>
      <c r="JS28">
        <v>245</v>
      </c>
      <c r="JT28">
        <v>0</v>
      </c>
      <c r="JU28">
        <v>0</v>
      </c>
      <c r="JV28">
        <v>300</v>
      </c>
      <c r="JW28">
        <v>290</v>
      </c>
      <c r="JX28">
        <v>290</v>
      </c>
      <c r="JY28">
        <v>260</v>
      </c>
      <c r="JZ28">
        <v>0.5</v>
      </c>
      <c r="KA28">
        <v>0.2</v>
      </c>
      <c r="KB28">
        <v>0.4</v>
      </c>
      <c r="KC28">
        <v>0.42</v>
      </c>
      <c r="KD28">
        <v>0.3</v>
      </c>
      <c r="KE28">
        <v>0.5</v>
      </c>
      <c r="KF28">
        <v>0.18</v>
      </c>
      <c r="KG28">
        <v>0.1</v>
      </c>
      <c r="KH28">
        <v>3.5</v>
      </c>
      <c r="KI28">
        <v>1</v>
      </c>
      <c r="KJ28">
        <v>4.5</v>
      </c>
      <c r="KK28">
        <v>0</v>
      </c>
      <c r="KL28">
        <v>4.5</v>
      </c>
      <c r="KM28">
        <v>0</v>
      </c>
      <c r="KN28">
        <v>2</v>
      </c>
      <c r="KO28">
        <v>0</v>
      </c>
      <c r="KP28">
        <v>0</v>
      </c>
      <c r="KQ28">
        <v>0.8</v>
      </c>
      <c r="KR28">
        <v>1</v>
      </c>
      <c r="KS28">
        <v>0</v>
      </c>
      <c r="KT28">
        <v>2.9</v>
      </c>
      <c r="KU28">
        <v>0</v>
      </c>
      <c r="KV28">
        <v>0</v>
      </c>
      <c r="KW28">
        <v>0.7</v>
      </c>
      <c r="KX28">
        <v>1.5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3</v>
      </c>
      <c r="LI28">
        <v>2.5</v>
      </c>
      <c r="LJ28">
        <v>0</v>
      </c>
      <c r="LK28">
        <v>7</v>
      </c>
      <c r="LL28">
        <v>7</v>
      </c>
      <c r="LM28">
        <v>8</v>
      </c>
      <c r="LN28">
        <v>0.5</v>
      </c>
      <c r="LO28">
        <v>1</v>
      </c>
      <c r="LP28">
        <v>0</v>
      </c>
      <c r="LQ28">
        <v>0</v>
      </c>
      <c r="LR28">
        <v>0</v>
      </c>
      <c r="LS28">
        <v>1</v>
      </c>
      <c r="LT28">
        <v>0</v>
      </c>
      <c r="LU28">
        <v>0</v>
      </c>
      <c r="LV28">
        <v>0</v>
      </c>
      <c r="LW28">
        <v>2.1</v>
      </c>
      <c r="LX28">
        <v>2.1</v>
      </c>
      <c r="LY28">
        <v>2.8</v>
      </c>
      <c r="LZ28">
        <v>2.8</v>
      </c>
      <c r="MA28">
        <v>0</v>
      </c>
      <c r="MB28">
        <v>6</v>
      </c>
      <c r="MC28">
        <v>0</v>
      </c>
      <c r="MD28">
        <v>4.5</v>
      </c>
      <c r="ME28">
        <v>6</v>
      </c>
      <c r="MF28">
        <v>6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420</v>
      </c>
      <c r="MN28">
        <v>210</v>
      </c>
      <c r="MO28">
        <v>268</v>
      </c>
      <c r="NU28">
        <v>0.15</v>
      </c>
      <c r="NV28">
        <v>0.2</v>
      </c>
      <c r="NW28">
        <v>0.2</v>
      </c>
      <c r="NX28">
        <v>0.2</v>
      </c>
      <c r="NY28">
        <v>0.2</v>
      </c>
      <c r="NZ28">
        <v>0.2</v>
      </c>
      <c r="OE28" t="s">
        <v>4220</v>
      </c>
      <c r="OF28" t="s">
        <v>4136</v>
      </c>
      <c r="OG28" t="s">
        <v>4137</v>
      </c>
      <c r="OH28" t="s">
        <v>4043</v>
      </c>
      <c r="OI28" t="s">
        <v>4220</v>
      </c>
      <c r="OJ28" t="s">
        <v>4219</v>
      </c>
      <c r="OK28">
        <v>61</v>
      </c>
      <c r="OL28">
        <v>61</v>
      </c>
      <c r="OM28" t="s">
        <v>4136</v>
      </c>
      <c r="ON28">
        <v>1</v>
      </c>
      <c r="OO28">
        <v>2209</v>
      </c>
      <c r="OP28">
        <v>61</v>
      </c>
      <c r="OQ28">
        <v>61</v>
      </c>
      <c r="OR28" t="s">
        <v>4137</v>
      </c>
      <c r="OS28">
        <v>1</v>
      </c>
      <c r="OT28">
        <v>2221</v>
      </c>
      <c r="OU28">
        <v>65</v>
      </c>
      <c r="OV28">
        <v>65</v>
      </c>
      <c r="OW28" t="s">
        <v>4043</v>
      </c>
      <c r="OX28">
        <v>1</v>
      </c>
      <c r="OY28">
        <v>50674</v>
      </c>
      <c r="OZ28">
        <v>51</v>
      </c>
      <c r="PA28">
        <v>52</v>
      </c>
      <c r="PB28" t="s">
        <v>4220</v>
      </c>
      <c r="PC28">
        <v>1</v>
      </c>
      <c r="PD28">
        <v>2253</v>
      </c>
      <c r="PF28">
        <v>494</v>
      </c>
      <c r="PG28">
        <v>35</v>
      </c>
      <c r="PH28">
        <v>471</v>
      </c>
      <c r="PI28">
        <v>0</v>
      </c>
      <c r="PJ28">
        <v>56.5</v>
      </c>
      <c r="PK28">
        <v>1983</v>
      </c>
      <c r="PL28">
        <v>1403.5</v>
      </c>
      <c r="PM28">
        <v>389.6</v>
      </c>
      <c r="PN28">
        <v>108.6</v>
      </c>
      <c r="PO28">
        <v>9</v>
      </c>
      <c r="PP28">
        <v>12</v>
      </c>
      <c r="PQ28">
        <v>5</v>
      </c>
      <c r="PR28">
        <v>4</v>
      </c>
      <c r="PS28">
        <v>0</v>
      </c>
      <c r="PT28">
        <v>260</v>
      </c>
      <c r="PU28">
        <v>10</v>
      </c>
      <c r="PV28" t="s">
        <v>4072</v>
      </c>
      <c r="PW28" t="s">
        <v>4072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-1</v>
      </c>
      <c r="QF28">
        <v>1</v>
      </c>
      <c r="QG28">
        <v>0</v>
      </c>
      <c r="QH28">
        <v>5</v>
      </c>
      <c r="QI28">
        <v>5</v>
      </c>
      <c r="QJ28">
        <v>5</v>
      </c>
      <c r="QK28">
        <v>231</v>
      </c>
      <c r="QL28">
        <v>464</v>
      </c>
      <c r="QM28">
        <v>7.5</v>
      </c>
      <c r="QN28">
        <v>1544.1</v>
      </c>
      <c r="QO28" t="s">
        <v>556</v>
      </c>
      <c r="QP28" t="s">
        <v>513</v>
      </c>
      <c r="QQ28">
        <v>0</v>
      </c>
      <c r="QR28" t="s">
        <v>596</v>
      </c>
      <c r="QS28">
        <v>40</v>
      </c>
      <c r="QT28">
        <v>50</v>
      </c>
    </row>
    <row r="29" spans="1:462">
      <c r="A29" t="s">
        <v>1014</v>
      </c>
      <c r="B29" t="s">
        <v>559</v>
      </c>
      <c r="C29" t="s">
        <v>509</v>
      </c>
      <c r="D29" t="s">
        <v>1903</v>
      </c>
      <c r="E29" t="s">
        <v>4036</v>
      </c>
      <c r="H29" t="s">
        <v>604</v>
      </c>
      <c r="I29" t="s">
        <v>605</v>
      </c>
      <c r="J29" t="s">
        <v>628</v>
      </c>
      <c r="K29" t="s">
        <v>606</v>
      </c>
      <c r="L29" t="s">
        <v>564</v>
      </c>
      <c r="M29" t="s">
        <v>512</v>
      </c>
      <c r="O29" t="s">
        <v>513</v>
      </c>
      <c r="P29" t="s">
        <v>567</v>
      </c>
      <c r="Q29" t="s">
        <v>1015</v>
      </c>
      <c r="R29" t="s">
        <v>1016</v>
      </c>
      <c r="S29" t="s">
        <v>4073</v>
      </c>
      <c r="T29" t="s">
        <v>633</v>
      </c>
      <c r="U29" t="s">
        <v>634</v>
      </c>
      <c r="V29" t="s">
        <v>1017</v>
      </c>
      <c r="W29" t="s">
        <v>573</v>
      </c>
      <c r="X29" t="s">
        <v>1018</v>
      </c>
      <c r="Y29" t="s">
        <v>1019</v>
      </c>
      <c r="Z29" t="s">
        <v>650</v>
      </c>
      <c r="AA29" t="s">
        <v>4038</v>
      </c>
      <c r="AB29" t="s">
        <v>4222</v>
      </c>
      <c r="AC29">
        <v>9</v>
      </c>
      <c r="AD29" t="s">
        <v>1012</v>
      </c>
      <c r="AE29">
        <v>6</v>
      </c>
      <c r="AF29">
        <v>3983</v>
      </c>
      <c r="AG29" t="s">
        <v>4223</v>
      </c>
      <c r="AH29">
        <v>1</v>
      </c>
      <c r="AI29" t="s">
        <v>4041</v>
      </c>
      <c r="AK29" t="s">
        <v>4224</v>
      </c>
      <c r="AL29">
        <v>1</v>
      </c>
      <c r="AM29" t="s">
        <v>582</v>
      </c>
      <c r="AO29" t="s">
        <v>4043</v>
      </c>
      <c r="AP29">
        <v>1</v>
      </c>
      <c r="AR29" t="s">
        <v>4225</v>
      </c>
      <c r="AS29">
        <v>1</v>
      </c>
      <c r="AT29">
        <v>52</v>
      </c>
      <c r="AV29" t="s">
        <v>4078</v>
      </c>
      <c r="AW29">
        <v>6.4</v>
      </c>
      <c r="AX29">
        <v>-6</v>
      </c>
      <c r="AY29">
        <v>96</v>
      </c>
      <c r="AZ29">
        <v>63</v>
      </c>
      <c r="BH29">
        <v>96</v>
      </c>
      <c r="BI29">
        <v>33</v>
      </c>
      <c r="BJ29">
        <v>63</v>
      </c>
      <c r="BK29">
        <v>3.5</v>
      </c>
      <c r="BL29">
        <v>192</v>
      </c>
      <c r="BM29">
        <v>-6</v>
      </c>
      <c r="BN29">
        <v>0</v>
      </c>
      <c r="BO29">
        <v>0</v>
      </c>
      <c r="BP29">
        <v>0</v>
      </c>
      <c r="BR29">
        <v>185</v>
      </c>
      <c r="BS29">
        <v>175</v>
      </c>
      <c r="BT29">
        <v>1860</v>
      </c>
      <c r="BU29" t="s">
        <v>4047</v>
      </c>
      <c r="BV29" t="s">
        <v>4047</v>
      </c>
      <c r="BW29" t="s">
        <v>4049</v>
      </c>
      <c r="BX29" t="s">
        <v>4049</v>
      </c>
      <c r="BY29" t="s">
        <v>4150</v>
      </c>
      <c r="BZ29" t="s">
        <v>4107</v>
      </c>
      <c r="CA29" t="s">
        <v>4108</v>
      </c>
      <c r="CB29" t="s">
        <v>4109</v>
      </c>
      <c r="CC29" t="s">
        <v>4053</v>
      </c>
      <c r="CD29" t="s">
        <v>4110</v>
      </c>
      <c r="CE29" t="s">
        <v>4055</v>
      </c>
      <c r="CF29" t="s">
        <v>4055</v>
      </c>
      <c r="CG29" t="s">
        <v>4056</v>
      </c>
      <c r="CH29" t="s">
        <v>4057</v>
      </c>
      <c r="CI29" t="s">
        <v>4058</v>
      </c>
      <c r="CJ29" t="s">
        <v>4059</v>
      </c>
      <c r="CK29" t="s">
        <v>4060</v>
      </c>
      <c r="CL29" t="s">
        <v>4061</v>
      </c>
      <c r="CM29" t="s">
        <v>4062</v>
      </c>
      <c r="CN29" t="s">
        <v>4055</v>
      </c>
      <c r="CO29" t="s">
        <v>4063</v>
      </c>
      <c r="CP29" t="s">
        <v>4055</v>
      </c>
      <c r="CQ29" t="s">
        <v>4055</v>
      </c>
      <c r="CR29">
        <v>5</v>
      </c>
      <c r="CS29" t="s">
        <v>4055</v>
      </c>
      <c r="CT29" t="s">
        <v>4055</v>
      </c>
      <c r="CU29" t="s">
        <v>4055</v>
      </c>
      <c r="CV29">
        <v>117</v>
      </c>
      <c r="CW29">
        <v>3</v>
      </c>
      <c r="CX29">
        <v>98</v>
      </c>
      <c r="CY29">
        <v>5</v>
      </c>
      <c r="CZ29">
        <v>128</v>
      </c>
      <c r="DA29">
        <v>5</v>
      </c>
      <c r="DB29">
        <v>8940</v>
      </c>
      <c r="DC29">
        <v>260</v>
      </c>
      <c r="DD29">
        <v>306</v>
      </c>
      <c r="DE29">
        <v>1965</v>
      </c>
      <c r="DF29">
        <v>1965</v>
      </c>
      <c r="DG29">
        <v>1975</v>
      </c>
      <c r="DH29" t="s">
        <v>4055</v>
      </c>
      <c r="DI29" t="s">
        <v>4055</v>
      </c>
      <c r="DJ29" t="s">
        <v>4100</v>
      </c>
      <c r="DK29">
        <v>185</v>
      </c>
      <c r="DL29" t="s">
        <v>4101</v>
      </c>
      <c r="DM29">
        <v>65</v>
      </c>
      <c r="DN29">
        <v>0.84</v>
      </c>
      <c r="DO29">
        <v>1</v>
      </c>
      <c r="DP29">
        <v>1863</v>
      </c>
      <c r="DQ29">
        <v>630</v>
      </c>
      <c r="DR29" t="s">
        <v>4100</v>
      </c>
      <c r="DS29">
        <v>175</v>
      </c>
      <c r="DT29" t="s">
        <v>4101</v>
      </c>
      <c r="DU29">
        <v>65</v>
      </c>
      <c r="DV29">
        <v>0.84</v>
      </c>
      <c r="DW29">
        <v>1</v>
      </c>
      <c r="DX29">
        <v>1870</v>
      </c>
      <c r="DY29">
        <v>598</v>
      </c>
      <c r="DZ29" t="s">
        <v>4066</v>
      </c>
      <c r="EA29">
        <v>33</v>
      </c>
      <c r="EB29" t="s">
        <v>4065</v>
      </c>
      <c r="EC29">
        <v>0.4</v>
      </c>
      <c r="ED29">
        <v>1863</v>
      </c>
      <c r="EE29">
        <v>54</v>
      </c>
      <c r="EF29" t="s">
        <v>4066</v>
      </c>
      <c r="EG29">
        <v>33</v>
      </c>
      <c r="EH29" t="s">
        <v>4065</v>
      </c>
      <c r="EI29">
        <v>0.4</v>
      </c>
      <c r="EJ29">
        <v>1870</v>
      </c>
      <c r="EK29">
        <v>54</v>
      </c>
      <c r="EL29" t="s">
        <v>1528</v>
      </c>
      <c r="EM29">
        <v>12</v>
      </c>
      <c r="EN29">
        <v>0.5</v>
      </c>
      <c r="EO29">
        <v>0.96</v>
      </c>
      <c r="EP29">
        <v>1870.56</v>
      </c>
      <c r="EQ29">
        <v>29812.05</v>
      </c>
      <c r="ER29">
        <v>9676.18</v>
      </c>
      <c r="ES29">
        <v>0</v>
      </c>
      <c r="ET29">
        <v>0</v>
      </c>
      <c r="EU29">
        <v>1</v>
      </c>
      <c r="EV29">
        <v>39489</v>
      </c>
      <c r="EW29">
        <v>474</v>
      </c>
      <c r="EX29" t="s">
        <v>4088</v>
      </c>
      <c r="EY29">
        <v>202</v>
      </c>
      <c r="EZ29" t="s">
        <v>4055</v>
      </c>
      <c r="FA29">
        <v>6.9</v>
      </c>
      <c r="FB29">
        <v>1</v>
      </c>
      <c r="FC29">
        <v>1</v>
      </c>
      <c r="FD29">
        <v>1906</v>
      </c>
      <c r="FE29">
        <v>2152</v>
      </c>
      <c r="FF29" t="s">
        <v>4089</v>
      </c>
      <c r="FG29">
        <v>202</v>
      </c>
      <c r="FH29" t="s">
        <v>4055</v>
      </c>
      <c r="FI29">
        <v>1.8</v>
      </c>
      <c r="FJ29">
        <v>1906</v>
      </c>
      <c r="FK29">
        <v>791</v>
      </c>
      <c r="FL29" t="s">
        <v>4069</v>
      </c>
      <c r="FM29" t="s">
        <v>4055</v>
      </c>
      <c r="FN29" t="s">
        <v>4055</v>
      </c>
      <c r="FO29" t="s">
        <v>4055</v>
      </c>
      <c r="FP29">
        <v>1906</v>
      </c>
      <c r="FQ29">
        <v>98</v>
      </c>
      <c r="FR29" t="s">
        <v>4090</v>
      </c>
      <c r="FS29">
        <v>206</v>
      </c>
      <c r="FT29" t="s">
        <v>4055</v>
      </c>
      <c r="FU29">
        <v>0.4</v>
      </c>
      <c r="FV29">
        <v>1906</v>
      </c>
      <c r="FW29">
        <v>83</v>
      </c>
      <c r="FX29" t="s">
        <v>4070</v>
      </c>
      <c r="FY29">
        <v>5</v>
      </c>
      <c r="FZ29" t="s">
        <v>4055</v>
      </c>
      <c r="GA29" t="s">
        <v>4055</v>
      </c>
      <c r="GB29">
        <v>1906</v>
      </c>
      <c r="GC29">
        <v>18</v>
      </c>
      <c r="GD29">
        <v>3142</v>
      </c>
      <c r="GE29" t="s">
        <v>4225</v>
      </c>
      <c r="GF29" t="s">
        <v>4055</v>
      </c>
      <c r="GG29" t="s">
        <v>4055</v>
      </c>
      <c r="GH29" t="s">
        <v>4055</v>
      </c>
      <c r="GI29" t="s">
        <v>4071</v>
      </c>
      <c r="GJ29" t="s">
        <v>4055</v>
      </c>
      <c r="GK29" t="s">
        <v>4055</v>
      </c>
      <c r="GL29" t="s">
        <v>4055</v>
      </c>
      <c r="GM29" t="s">
        <v>4055</v>
      </c>
      <c r="GQ29">
        <v>0</v>
      </c>
      <c r="GV29">
        <v>9.1</v>
      </c>
      <c r="GW29">
        <v>7.8</v>
      </c>
      <c r="GX29">
        <v>0.5</v>
      </c>
      <c r="GY29">
        <v>176</v>
      </c>
      <c r="GZ29">
        <v>3</v>
      </c>
      <c r="HA29">
        <v>220</v>
      </c>
      <c r="HB29">
        <v>3</v>
      </c>
      <c r="HC29">
        <v>1906</v>
      </c>
      <c r="HD29">
        <v>4</v>
      </c>
      <c r="HE29" t="s">
        <v>4071</v>
      </c>
      <c r="HG29" t="s">
        <v>549</v>
      </c>
      <c r="HL29">
        <v>4</v>
      </c>
      <c r="HM29">
        <v>17</v>
      </c>
      <c r="HN29">
        <v>1</v>
      </c>
      <c r="HO29">
        <v>1</v>
      </c>
      <c r="HP29">
        <v>0</v>
      </c>
      <c r="HQ29">
        <v>0</v>
      </c>
      <c r="HR29">
        <v>3</v>
      </c>
      <c r="HS29">
        <v>1860</v>
      </c>
      <c r="HT29">
        <v>5</v>
      </c>
      <c r="HU29">
        <v>1</v>
      </c>
      <c r="HV29">
        <v>3</v>
      </c>
      <c r="HW29">
        <v>0</v>
      </c>
      <c r="HX29">
        <v>1</v>
      </c>
      <c r="HY29">
        <v>0</v>
      </c>
      <c r="HZ29">
        <v>65</v>
      </c>
      <c r="IA29">
        <v>1863</v>
      </c>
      <c r="IB29">
        <v>1870</v>
      </c>
      <c r="ID29">
        <v>1906</v>
      </c>
      <c r="IE29">
        <v>1906</v>
      </c>
      <c r="IF29">
        <v>185</v>
      </c>
      <c r="IG29">
        <v>175</v>
      </c>
      <c r="IH29">
        <v>220</v>
      </c>
      <c r="II29">
        <v>1</v>
      </c>
      <c r="IJ29">
        <v>5</v>
      </c>
      <c r="IK29">
        <v>0</v>
      </c>
      <c r="IL29">
        <v>0</v>
      </c>
      <c r="IM29">
        <v>0</v>
      </c>
      <c r="IN29">
        <v>270</v>
      </c>
      <c r="IO29">
        <v>0</v>
      </c>
      <c r="IP29">
        <v>180</v>
      </c>
      <c r="IQ29">
        <v>0</v>
      </c>
      <c r="IR29">
        <v>330</v>
      </c>
      <c r="IS29">
        <v>0</v>
      </c>
      <c r="IT29">
        <v>90</v>
      </c>
      <c r="IU29">
        <v>0</v>
      </c>
      <c r="IV29">
        <v>6.4</v>
      </c>
      <c r="IW29">
        <v>-6</v>
      </c>
      <c r="IX29">
        <v>96</v>
      </c>
      <c r="IY29">
        <v>63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334</v>
      </c>
      <c r="JJ29">
        <v>304</v>
      </c>
      <c r="JK29">
        <v>235</v>
      </c>
      <c r="JL29">
        <v>302</v>
      </c>
      <c r="JM29">
        <v>235</v>
      </c>
      <c r="JN29">
        <v>195</v>
      </c>
      <c r="JO29">
        <v>230</v>
      </c>
      <c r="JP29">
        <v>210</v>
      </c>
      <c r="JQ29">
        <v>260</v>
      </c>
      <c r="JR29">
        <v>330</v>
      </c>
      <c r="JS29">
        <v>265</v>
      </c>
      <c r="JT29">
        <v>0</v>
      </c>
      <c r="JU29">
        <v>0</v>
      </c>
      <c r="JV29">
        <v>296</v>
      </c>
      <c r="JW29">
        <v>300</v>
      </c>
      <c r="JX29">
        <v>325</v>
      </c>
      <c r="JY29">
        <v>300</v>
      </c>
      <c r="JZ29">
        <v>0.5</v>
      </c>
      <c r="KA29">
        <v>0.2</v>
      </c>
      <c r="KB29">
        <v>0.4</v>
      </c>
      <c r="KC29">
        <v>0.42</v>
      </c>
      <c r="KD29">
        <v>0.28</v>
      </c>
      <c r="KE29">
        <v>0.5</v>
      </c>
      <c r="KF29">
        <v>0.18</v>
      </c>
      <c r="KG29">
        <v>0.1</v>
      </c>
      <c r="KH29">
        <v>3.5</v>
      </c>
      <c r="KI29">
        <v>1</v>
      </c>
      <c r="KJ29">
        <v>4.5</v>
      </c>
      <c r="KK29">
        <v>0</v>
      </c>
      <c r="KL29">
        <v>4.5</v>
      </c>
      <c r="KM29">
        <v>0</v>
      </c>
      <c r="KN29">
        <v>1.2</v>
      </c>
      <c r="KO29">
        <v>0</v>
      </c>
      <c r="KP29">
        <v>0</v>
      </c>
      <c r="KQ29">
        <v>0.5</v>
      </c>
      <c r="KR29">
        <v>1</v>
      </c>
      <c r="KS29">
        <v>0</v>
      </c>
      <c r="KT29">
        <v>2.2</v>
      </c>
      <c r="KU29">
        <v>0</v>
      </c>
      <c r="KV29">
        <v>0</v>
      </c>
      <c r="KW29">
        <v>1</v>
      </c>
      <c r="KX29">
        <v>2</v>
      </c>
      <c r="KY29">
        <v>1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0.5</v>
      </c>
      <c r="LJ29">
        <v>0</v>
      </c>
      <c r="LK29">
        <v>4</v>
      </c>
      <c r="LL29">
        <v>5</v>
      </c>
      <c r="LM29">
        <v>6</v>
      </c>
      <c r="LN29">
        <v>0.1</v>
      </c>
      <c r="LO29">
        <v>1</v>
      </c>
      <c r="LP29">
        <v>0</v>
      </c>
      <c r="LQ29">
        <v>0</v>
      </c>
      <c r="LR29">
        <v>0</v>
      </c>
      <c r="LS29">
        <v>1</v>
      </c>
      <c r="LT29">
        <v>0</v>
      </c>
      <c r="LU29">
        <v>0</v>
      </c>
      <c r="LV29">
        <v>0</v>
      </c>
      <c r="LW29">
        <v>1.1</v>
      </c>
      <c r="LX29">
        <v>1.1</v>
      </c>
      <c r="LY29">
        <v>1.5</v>
      </c>
      <c r="LZ29">
        <v>1.5</v>
      </c>
      <c r="MA29">
        <v>0</v>
      </c>
      <c r="MB29">
        <v>4.5</v>
      </c>
      <c r="MC29">
        <v>0</v>
      </c>
      <c r="MD29">
        <v>4.5</v>
      </c>
      <c r="ME29">
        <v>6</v>
      </c>
      <c r="MF29">
        <v>6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390</v>
      </c>
      <c r="MN29">
        <v>180</v>
      </c>
      <c r="MO29">
        <v>230</v>
      </c>
      <c r="NU29">
        <v>0.15</v>
      </c>
      <c r="NV29">
        <v>0.2</v>
      </c>
      <c r="NW29">
        <v>0.2</v>
      </c>
      <c r="NX29">
        <v>2</v>
      </c>
      <c r="NY29">
        <v>2</v>
      </c>
      <c r="NZ29">
        <v>2</v>
      </c>
      <c r="OE29" t="s">
        <v>4225</v>
      </c>
      <c r="OF29" t="s">
        <v>4223</v>
      </c>
      <c r="OG29" t="s">
        <v>4224</v>
      </c>
      <c r="OH29" t="s">
        <v>4043</v>
      </c>
      <c r="OI29" t="s">
        <v>4225</v>
      </c>
      <c r="OJ29" t="s">
        <v>4222</v>
      </c>
      <c r="OK29">
        <v>61</v>
      </c>
      <c r="OL29">
        <v>61</v>
      </c>
      <c r="OM29" t="s">
        <v>4223</v>
      </c>
      <c r="ON29">
        <v>3</v>
      </c>
      <c r="OO29">
        <v>1863</v>
      </c>
      <c r="OP29">
        <v>61</v>
      </c>
      <c r="OQ29">
        <v>61</v>
      </c>
      <c r="OR29" t="s">
        <v>4224</v>
      </c>
      <c r="OS29">
        <v>3</v>
      </c>
      <c r="OT29">
        <v>1870</v>
      </c>
      <c r="OU29">
        <v>65</v>
      </c>
      <c r="OV29">
        <v>65</v>
      </c>
      <c r="OW29" t="s">
        <v>4043</v>
      </c>
      <c r="OX29">
        <v>2</v>
      </c>
      <c r="OY29">
        <v>39489</v>
      </c>
      <c r="OZ29">
        <v>51</v>
      </c>
      <c r="PA29">
        <v>52</v>
      </c>
      <c r="PB29" t="s">
        <v>4225</v>
      </c>
      <c r="PC29">
        <v>4</v>
      </c>
      <c r="PD29">
        <v>1906</v>
      </c>
      <c r="PF29">
        <v>338</v>
      </c>
      <c r="PG29">
        <v>29</v>
      </c>
      <c r="PH29">
        <v>320</v>
      </c>
      <c r="PI29">
        <v>29</v>
      </c>
      <c r="PJ29">
        <v>51.6</v>
      </c>
      <c r="PK29">
        <v>1636</v>
      </c>
      <c r="PL29">
        <v>1129.2</v>
      </c>
      <c r="PM29">
        <v>414.8</v>
      </c>
      <c r="PN29">
        <v>43.3</v>
      </c>
      <c r="PO29">
        <v>9.199999999999999</v>
      </c>
      <c r="PP29">
        <v>12</v>
      </c>
      <c r="PQ29">
        <v>2</v>
      </c>
      <c r="PR29">
        <v>1</v>
      </c>
      <c r="PS29">
        <v>7</v>
      </c>
      <c r="PT29">
        <v>220</v>
      </c>
      <c r="PU29">
        <v>9</v>
      </c>
      <c r="PV29" t="s">
        <v>4072</v>
      </c>
      <c r="PW29" t="s">
        <v>4072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-1</v>
      </c>
      <c r="QF29">
        <v>1</v>
      </c>
      <c r="QG29">
        <v>0</v>
      </c>
      <c r="QH29">
        <v>5</v>
      </c>
      <c r="QI29">
        <v>5</v>
      </c>
      <c r="QJ29">
        <v>5</v>
      </c>
      <c r="QK29">
        <v>161</v>
      </c>
      <c r="QL29">
        <v>368</v>
      </c>
      <c r="QM29">
        <v>7.5</v>
      </c>
      <c r="QN29">
        <v>1381.4</v>
      </c>
      <c r="QO29" t="s">
        <v>556</v>
      </c>
      <c r="QP29" t="s">
        <v>513</v>
      </c>
      <c r="QQ29">
        <v>0</v>
      </c>
      <c r="QR29" t="s">
        <v>649</v>
      </c>
      <c r="QS29">
        <v>30</v>
      </c>
      <c r="QT29">
        <v>40</v>
      </c>
    </row>
    <row r="30" spans="1:462">
      <c r="A30" t="s">
        <v>1027</v>
      </c>
      <c r="B30" t="s">
        <v>559</v>
      </c>
      <c r="C30" t="s">
        <v>509</v>
      </c>
      <c r="D30" t="s">
        <v>1013</v>
      </c>
      <c r="E30" t="s">
        <v>4036</v>
      </c>
      <c r="H30" t="s">
        <v>604</v>
      </c>
      <c r="I30" t="s">
        <v>605</v>
      </c>
      <c r="J30" t="s">
        <v>628</v>
      </c>
      <c r="K30" t="s">
        <v>606</v>
      </c>
      <c r="L30" t="s">
        <v>564</v>
      </c>
      <c r="M30" t="s">
        <v>512</v>
      </c>
      <c r="O30" t="s">
        <v>513</v>
      </c>
      <c r="P30" t="s">
        <v>567</v>
      </c>
      <c r="Q30" t="s">
        <v>1028</v>
      </c>
      <c r="R30" t="s">
        <v>1029</v>
      </c>
      <c r="S30" t="s">
        <v>4134</v>
      </c>
      <c r="T30" t="s">
        <v>662</v>
      </c>
      <c r="U30" t="s">
        <v>663</v>
      </c>
      <c r="V30" t="s">
        <v>940</v>
      </c>
      <c r="W30" t="s">
        <v>573</v>
      </c>
      <c r="X30" t="s">
        <v>1030</v>
      </c>
      <c r="Y30" t="s">
        <v>1031</v>
      </c>
      <c r="Z30" t="s">
        <v>650</v>
      </c>
      <c r="AA30" t="s">
        <v>582</v>
      </c>
      <c r="AB30" t="s">
        <v>4226</v>
      </c>
      <c r="AC30">
        <v>9</v>
      </c>
      <c r="AD30" t="s">
        <v>1026</v>
      </c>
      <c r="AE30">
        <v>6</v>
      </c>
      <c r="AF30">
        <v>4388</v>
      </c>
      <c r="AG30" t="s">
        <v>4227</v>
      </c>
      <c r="AH30">
        <v>1</v>
      </c>
      <c r="AI30" t="s">
        <v>4041</v>
      </c>
      <c r="AK30" t="s">
        <v>4228</v>
      </c>
      <c r="AL30">
        <v>1</v>
      </c>
      <c r="AM30" t="s">
        <v>582</v>
      </c>
      <c r="AO30" t="s">
        <v>4043</v>
      </c>
      <c r="AP30">
        <v>1</v>
      </c>
      <c r="AR30" t="s">
        <v>4229</v>
      </c>
      <c r="AS30">
        <v>1</v>
      </c>
      <c r="AT30">
        <v>51</v>
      </c>
      <c r="AV30" t="s">
        <v>4078</v>
      </c>
      <c r="AW30">
        <v>6.4</v>
      </c>
      <c r="AX30">
        <v>-6</v>
      </c>
      <c r="AY30">
        <v>105.5</v>
      </c>
      <c r="AZ30">
        <v>83</v>
      </c>
      <c r="BA30">
        <v>0</v>
      </c>
      <c r="BB30">
        <v>0</v>
      </c>
      <c r="BC30">
        <v>0</v>
      </c>
      <c r="BH30">
        <v>105.5</v>
      </c>
      <c r="BI30">
        <v>22.5</v>
      </c>
      <c r="BJ30">
        <v>83</v>
      </c>
      <c r="BK30">
        <v>3</v>
      </c>
      <c r="BL30">
        <v>211</v>
      </c>
      <c r="BM30">
        <v>-6</v>
      </c>
      <c r="BN30">
        <v>0</v>
      </c>
      <c r="BO30">
        <v>0</v>
      </c>
      <c r="BP30">
        <v>0</v>
      </c>
      <c r="BR30">
        <v>205</v>
      </c>
      <c r="BS30">
        <v>195</v>
      </c>
      <c r="BT30">
        <v>1950</v>
      </c>
      <c r="BU30" t="s">
        <v>4047</v>
      </c>
      <c r="BV30" t="s">
        <v>4096</v>
      </c>
      <c r="BW30" t="s">
        <v>4049</v>
      </c>
      <c r="BX30" t="s">
        <v>4097</v>
      </c>
      <c r="BY30" t="s">
        <v>4116</v>
      </c>
      <c r="BZ30" t="s">
        <v>4192</v>
      </c>
      <c r="CA30" t="s">
        <v>4118</v>
      </c>
      <c r="CB30" t="s">
        <v>4119</v>
      </c>
      <c r="CC30" t="s">
        <v>4053</v>
      </c>
      <c r="CD30" t="s">
        <v>4121</v>
      </c>
      <c r="CE30" t="s">
        <v>4055</v>
      </c>
      <c r="CF30" t="s">
        <v>4055</v>
      </c>
      <c r="CG30" t="s">
        <v>4056</v>
      </c>
      <c r="CH30" t="s">
        <v>4099</v>
      </c>
      <c r="CI30" t="s">
        <v>4058</v>
      </c>
      <c r="CJ30" t="s">
        <v>4059</v>
      </c>
      <c r="CK30" t="s">
        <v>4060</v>
      </c>
      <c r="CL30" t="s">
        <v>4061</v>
      </c>
      <c r="CM30" t="s">
        <v>4062</v>
      </c>
      <c r="CN30" t="s">
        <v>4055</v>
      </c>
      <c r="CO30" t="s">
        <v>4063</v>
      </c>
      <c r="CP30" t="s">
        <v>4055</v>
      </c>
      <c r="CQ30" t="s">
        <v>4055</v>
      </c>
      <c r="CR30">
        <v>5</v>
      </c>
      <c r="CS30" t="s">
        <v>4055</v>
      </c>
      <c r="CT30" t="s">
        <v>4055</v>
      </c>
      <c r="CU30" t="s">
        <v>4055</v>
      </c>
      <c r="CV30">
        <v>127</v>
      </c>
      <c r="CW30">
        <v>3</v>
      </c>
      <c r="CX30">
        <v>109</v>
      </c>
      <c r="CY30">
        <v>5</v>
      </c>
      <c r="CZ30">
        <v>134</v>
      </c>
      <c r="DA30">
        <v>5</v>
      </c>
      <c r="DB30">
        <v>10300</v>
      </c>
      <c r="DC30">
        <v>300</v>
      </c>
      <c r="DD30">
        <v>314</v>
      </c>
      <c r="DE30">
        <v>2063</v>
      </c>
      <c r="DF30">
        <v>2063</v>
      </c>
      <c r="DG30">
        <v>2072</v>
      </c>
      <c r="DH30" t="s">
        <v>4055</v>
      </c>
      <c r="DI30" t="s">
        <v>4055</v>
      </c>
      <c r="DJ30" t="s">
        <v>4132</v>
      </c>
      <c r="DK30">
        <v>205</v>
      </c>
      <c r="DL30" t="s">
        <v>4065</v>
      </c>
      <c r="DM30">
        <v>65</v>
      </c>
      <c r="DN30">
        <v>1.1</v>
      </c>
      <c r="DO30">
        <v>1</v>
      </c>
      <c r="DP30">
        <v>1953</v>
      </c>
      <c r="DQ30">
        <v>865</v>
      </c>
      <c r="DR30" t="s">
        <v>4132</v>
      </c>
      <c r="DS30">
        <v>195</v>
      </c>
      <c r="DT30" t="s">
        <v>4065</v>
      </c>
      <c r="DU30">
        <v>65</v>
      </c>
      <c r="DV30">
        <v>1.1</v>
      </c>
      <c r="DW30">
        <v>1</v>
      </c>
      <c r="DX30">
        <v>1965</v>
      </c>
      <c r="DY30">
        <v>829</v>
      </c>
      <c r="DZ30" t="s">
        <v>4066</v>
      </c>
      <c r="EA30">
        <v>20</v>
      </c>
      <c r="EB30" t="s">
        <v>4065</v>
      </c>
      <c r="EC30">
        <v>0.8</v>
      </c>
      <c r="ED30">
        <v>1953</v>
      </c>
      <c r="EE30">
        <v>68</v>
      </c>
      <c r="EG30">
        <v>0</v>
      </c>
      <c r="EH30" t="s">
        <v>4065</v>
      </c>
      <c r="EI30">
        <v>0</v>
      </c>
      <c r="EL30" t="s">
        <v>1528</v>
      </c>
      <c r="EM30">
        <v>12</v>
      </c>
      <c r="EN30">
        <v>0.5</v>
      </c>
      <c r="EO30">
        <v>0.96</v>
      </c>
      <c r="EP30">
        <v>1963.83</v>
      </c>
      <c r="EQ30">
        <v>34213.6</v>
      </c>
      <c r="ER30">
        <v>6925.3</v>
      </c>
      <c r="ES30">
        <v>0</v>
      </c>
      <c r="ET30">
        <v>0</v>
      </c>
      <c r="EU30">
        <v>1</v>
      </c>
      <c r="EV30">
        <v>41139</v>
      </c>
      <c r="EW30">
        <v>494</v>
      </c>
      <c r="EX30" t="s">
        <v>4088</v>
      </c>
      <c r="EY30">
        <v>220</v>
      </c>
      <c r="EZ30" t="s">
        <v>4055</v>
      </c>
      <c r="FA30">
        <v>6.7</v>
      </c>
      <c r="FB30">
        <v>1</v>
      </c>
      <c r="FC30">
        <v>1</v>
      </c>
      <c r="FD30">
        <v>1998</v>
      </c>
      <c r="FE30">
        <v>2467</v>
      </c>
      <c r="FF30" t="s">
        <v>4089</v>
      </c>
      <c r="FG30">
        <v>220</v>
      </c>
      <c r="FH30" t="s">
        <v>4055</v>
      </c>
      <c r="FI30">
        <v>1.8</v>
      </c>
      <c r="FJ30">
        <v>1998</v>
      </c>
      <c r="FK30">
        <v>805</v>
      </c>
      <c r="FL30" t="s">
        <v>4069</v>
      </c>
      <c r="FM30" t="s">
        <v>4055</v>
      </c>
      <c r="FN30" t="s">
        <v>4055</v>
      </c>
      <c r="FO30" t="s">
        <v>4055</v>
      </c>
      <c r="FP30">
        <v>1998</v>
      </c>
      <c r="FQ30">
        <v>166</v>
      </c>
      <c r="FR30" t="s">
        <v>4090</v>
      </c>
      <c r="FS30">
        <v>224</v>
      </c>
      <c r="FT30" t="s">
        <v>4055</v>
      </c>
      <c r="FU30">
        <v>0.4</v>
      </c>
      <c r="FV30">
        <v>1998</v>
      </c>
      <c r="FW30">
        <v>199</v>
      </c>
      <c r="FX30" t="s">
        <v>4070</v>
      </c>
      <c r="FY30">
        <v>5</v>
      </c>
      <c r="FZ30" t="s">
        <v>4055</v>
      </c>
      <c r="GA30" t="s">
        <v>4055</v>
      </c>
      <c r="GB30">
        <v>1998</v>
      </c>
      <c r="GC30">
        <v>18</v>
      </c>
      <c r="GD30">
        <v>3655</v>
      </c>
      <c r="GE30" t="s">
        <v>4229</v>
      </c>
      <c r="GF30" t="s">
        <v>4055</v>
      </c>
      <c r="GG30" t="s">
        <v>4055</v>
      </c>
      <c r="GH30" t="s">
        <v>4055</v>
      </c>
      <c r="GI30" t="s">
        <v>4071</v>
      </c>
      <c r="GJ30" t="s">
        <v>4055</v>
      </c>
      <c r="GK30" t="s">
        <v>4055</v>
      </c>
      <c r="GL30" t="s">
        <v>4055</v>
      </c>
      <c r="GM30" t="s">
        <v>4055</v>
      </c>
      <c r="GQ30">
        <v>0</v>
      </c>
      <c r="GV30">
        <v>8.9</v>
      </c>
      <c r="GW30">
        <v>7.5</v>
      </c>
      <c r="GX30">
        <v>0.5</v>
      </c>
      <c r="GY30">
        <v>194</v>
      </c>
      <c r="GZ30">
        <v>3</v>
      </c>
      <c r="HA30">
        <v>246</v>
      </c>
      <c r="HB30">
        <v>3</v>
      </c>
      <c r="HC30">
        <v>1998</v>
      </c>
      <c r="HD30">
        <v>4</v>
      </c>
      <c r="HE30" t="s">
        <v>4071</v>
      </c>
      <c r="HG30" t="s">
        <v>549</v>
      </c>
      <c r="HL30">
        <v>4</v>
      </c>
      <c r="HM30">
        <v>18</v>
      </c>
      <c r="HN30">
        <v>1</v>
      </c>
      <c r="HO30">
        <v>1</v>
      </c>
      <c r="HP30">
        <v>0</v>
      </c>
      <c r="HQ30">
        <v>0</v>
      </c>
      <c r="HR30">
        <v>1</v>
      </c>
      <c r="HS30">
        <v>1950</v>
      </c>
      <c r="HT30">
        <v>5</v>
      </c>
      <c r="HU30">
        <v>1</v>
      </c>
      <c r="HV30">
        <v>3</v>
      </c>
      <c r="HW30">
        <v>0</v>
      </c>
      <c r="HX30">
        <v>1</v>
      </c>
      <c r="HY30">
        <v>0</v>
      </c>
      <c r="HZ30">
        <v>65</v>
      </c>
      <c r="IA30">
        <v>1953</v>
      </c>
      <c r="IB30">
        <v>1965</v>
      </c>
      <c r="ID30">
        <v>1998</v>
      </c>
      <c r="IE30">
        <v>1998</v>
      </c>
      <c r="IF30">
        <v>205</v>
      </c>
      <c r="IG30">
        <v>195</v>
      </c>
      <c r="IH30">
        <v>246</v>
      </c>
      <c r="II30">
        <v>1</v>
      </c>
      <c r="IJ30">
        <v>5</v>
      </c>
      <c r="IK30">
        <v>0</v>
      </c>
      <c r="IL30">
        <v>0</v>
      </c>
      <c r="IM30">
        <v>0</v>
      </c>
      <c r="IN30">
        <v>270</v>
      </c>
      <c r="IO30">
        <v>0</v>
      </c>
      <c r="IP30">
        <v>180</v>
      </c>
      <c r="IQ30">
        <v>0</v>
      </c>
      <c r="IR30">
        <v>330</v>
      </c>
      <c r="IS30">
        <v>0</v>
      </c>
      <c r="IT30">
        <v>90</v>
      </c>
      <c r="IU30">
        <v>0</v>
      </c>
      <c r="IV30">
        <v>6.4</v>
      </c>
      <c r="IW30">
        <v>-6</v>
      </c>
      <c r="IX30">
        <v>105.5</v>
      </c>
      <c r="IY30">
        <v>83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346</v>
      </c>
      <c r="JJ30">
        <v>316</v>
      </c>
      <c r="JK30">
        <v>220</v>
      </c>
      <c r="JL30">
        <v>314</v>
      </c>
      <c r="JM30">
        <v>235</v>
      </c>
      <c r="JN30">
        <v>215</v>
      </c>
      <c r="JO30">
        <v>256</v>
      </c>
      <c r="JP30">
        <v>205</v>
      </c>
      <c r="JQ30">
        <v>260</v>
      </c>
      <c r="JR30">
        <v>306</v>
      </c>
      <c r="JS30">
        <v>285</v>
      </c>
      <c r="JT30">
        <v>0</v>
      </c>
      <c r="JU30">
        <v>0</v>
      </c>
      <c r="JV30">
        <v>300</v>
      </c>
      <c r="JW30">
        <v>260</v>
      </c>
      <c r="JX30">
        <v>296</v>
      </c>
      <c r="JY30">
        <v>290</v>
      </c>
      <c r="JZ30">
        <v>0.5</v>
      </c>
      <c r="KA30">
        <v>0.21</v>
      </c>
      <c r="KB30">
        <v>0.4</v>
      </c>
      <c r="KC30">
        <v>0.42</v>
      </c>
      <c r="KD30">
        <v>0.28</v>
      </c>
      <c r="KE30">
        <v>0.5</v>
      </c>
      <c r="KF30">
        <v>0.2</v>
      </c>
      <c r="KG30">
        <v>0.1</v>
      </c>
      <c r="KH30">
        <v>3.5</v>
      </c>
      <c r="KI30">
        <v>1</v>
      </c>
      <c r="KJ30">
        <v>4.5</v>
      </c>
      <c r="KK30">
        <v>0</v>
      </c>
      <c r="KL30">
        <v>4.5</v>
      </c>
      <c r="KM30">
        <v>0.5</v>
      </c>
      <c r="KN30">
        <v>1.5</v>
      </c>
      <c r="KO30">
        <v>0</v>
      </c>
      <c r="KP30">
        <v>0</v>
      </c>
      <c r="KQ30">
        <v>0.7</v>
      </c>
      <c r="KR30">
        <v>0.5</v>
      </c>
      <c r="KS30">
        <v>0.2</v>
      </c>
      <c r="KT30">
        <v>2.7</v>
      </c>
      <c r="KU30">
        <v>0</v>
      </c>
      <c r="KV30">
        <v>0</v>
      </c>
      <c r="KW30">
        <v>1</v>
      </c>
      <c r="KX30">
        <v>2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3</v>
      </c>
      <c r="LI30">
        <v>0.5</v>
      </c>
      <c r="LJ30">
        <v>0</v>
      </c>
      <c r="LK30">
        <v>4.5</v>
      </c>
      <c r="LL30">
        <v>4.5</v>
      </c>
      <c r="LM30">
        <v>7</v>
      </c>
      <c r="LN30">
        <v>0.4</v>
      </c>
      <c r="LO30">
        <v>3.5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1.2</v>
      </c>
      <c r="LX30">
        <v>1.2</v>
      </c>
      <c r="LY30">
        <v>2</v>
      </c>
      <c r="LZ30">
        <v>2</v>
      </c>
      <c r="MA30">
        <v>0</v>
      </c>
      <c r="MB30">
        <v>2.5</v>
      </c>
      <c r="MC30">
        <v>0</v>
      </c>
      <c r="MD30">
        <v>4.5</v>
      </c>
      <c r="ME30">
        <v>6</v>
      </c>
      <c r="MF30">
        <v>6</v>
      </c>
      <c r="MI30">
        <v>0</v>
      </c>
      <c r="MJ30">
        <v>0</v>
      </c>
      <c r="ML30">
        <v>0</v>
      </c>
      <c r="MM30">
        <v>390</v>
      </c>
      <c r="MN30">
        <v>200</v>
      </c>
      <c r="MO30">
        <v>252</v>
      </c>
      <c r="NU30">
        <v>0.15</v>
      </c>
      <c r="NV30">
        <v>0.2</v>
      </c>
      <c r="NW30">
        <v>0.2</v>
      </c>
      <c r="NX30">
        <v>0.2</v>
      </c>
      <c r="NY30">
        <v>0.2</v>
      </c>
      <c r="NZ30">
        <v>0.2</v>
      </c>
      <c r="OE30" t="s">
        <v>4229</v>
      </c>
      <c r="OF30" t="s">
        <v>4227</v>
      </c>
      <c r="OG30" t="s">
        <v>4228</v>
      </c>
      <c r="OH30" t="s">
        <v>4043</v>
      </c>
      <c r="OI30" t="s">
        <v>4229</v>
      </c>
      <c r="OJ30" t="s">
        <v>4226</v>
      </c>
      <c r="OK30">
        <v>61</v>
      </c>
      <c r="OL30">
        <v>61</v>
      </c>
      <c r="OM30" t="s">
        <v>4227</v>
      </c>
      <c r="ON30">
        <v>1</v>
      </c>
      <c r="OO30">
        <v>1953</v>
      </c>
      <c r="OP30">
        <v>61</v>
      </c>
      <c r="OQ30">
        <v>61</v>
      </c>
      <c r="OR30" t="s">
        <v>4228</v>
      </c>
      <c r="OS30">
        <v>1</v>
      </c>
      <c r="OT30">
        <v>1965</v>
      </c>
      <c r="OU30">
        <v>65</v>
      </c>
      <c r="OV30">
        <v>65</v>
      </c>
      <c r="OW30" t="s">
        <v>4043</v>
      </c>
      <c r="OX30">
        <v>2</v>
      </c>
      <c r="OY30">
        <v>41139</v>
      </c>
      <c r="OZ30">
        <v>51</v>
      </c>
      <c r="PA30">
        <v>51</v>
      </c>
      <c r="PB30" t="s">
        <v>4229</v>
      </c>
      <c r="PC30">
        <v>1</v>
      </c>
      <c r="PD30">
        <v>1998</v>
      </c>
      <c r="PF30">
        <v>443</v>
      </c>
      <c r="PG30">
        <v>35</v>
      </c>
      <c r="PH30">
        <v>422</v>
      </c>
      <c r="PI30">
        <v>0</v>
      </c>
      <c r="PJ30">
        <v>83.3</v>
      </c>
      <c r="PK30">
        <v>1852</v>
      </c>
      <c r="PL30">
        <v>1234.8</v>
      </c>
      <c r="PM30">
        <v>403.1</v>
      </c>
      <c r="PN30">
        <v>99.59999999999999</v>
      </c>
      <c r="PO30">
        <v>9.1</v>
      </c>
      <c r="PP30">
        <v>12</v>
      </c>
      <c r="PQ30">
        <v>1</v>
      </c>
      <c r="PR30">
        <v>3</v>
      </c>
      <c r="PS30">
        <v>8</v>
      </c>
      <c r="PT30">
        <v>246</v>
      </c>
      <c r="PU30">
        <v>13</v>
      </c>
      <c r="PV30" t="s">
        <v>4072</v>
      </c>
      <c r="PW30" t="s">
        <v>4072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-1</v>
      </c>
      <c r="QF30">
        <v>1</v>
      </c>
      <c r="QG30">
        <v>0</v>
      </c>
      <c r="QH30">
        <v>5</v>
      </c>
      <c r="QI30">
        <v>5</v>
      </c>
      <c r="QJ30">
        <v>5</v>
      </c>
      <c r="QK30">
        <v>167</v>
      </c>
      <c r="QL30">
        <v>380</v>
      </c>
      <c r="QM30">
        <v>7.5</v>
      </c>
      <c r="QN30">
        <v>1459.5</v>
      </c>
      <c r="QO30" t="s">
        <v>556</v>
      </c>
      <c r="QP30" t="s">
        <v>513</v>
      </c>
      <c r="QQ30">
        <v>0</v>
      </c>
      <c r="QR30" t="s">
        <v>649</v>
      </c>
      <c r="QS30">
        <v>30</v>
      </c>
      <c r="QT30">
        <v>40</v>
      </c>
    </row>
    <row r="31" spans="1:462">
      <c r="A31" t="s">
        <v>1041</v>
      </c>
      <c r="B31" t="s">
        <v>629</v>
      </c>
      <c r="C31" t="s">
        <v>509</v>
      </c>
      <c r="D31" t="s">
        <v>4230</v>
      </c>
      <c r="E31" t="s">
        <v>4036</v>
      </c>
      <c r="H31" t="s">
        <v>627</v>
      </c>
      <c r="I31" t="s">
        <v>604</v>
      </c>
      <c r="J31" t="s">
        <v>628</v>
      </c>
      <c r="K31" t="s">
        <v>606</v>
      </c>
      <c r="L31" t="s">
        <v>711</v>
      </c>
      <c r="M31" t="s">
        <v>512</v>
      </c>
      <c r="O31" t="s">
        <v>513</v>
      </c>
      <c r="P31" t="s">
        <v>567</v>
      </c>
      <c r="Q31" t="s">
        <v>1042</v>
      </c>
      <c r="R31" t="s">
        <v>1043</v>
      </c>
      <c r="S31" t="s">
        <v>4037</v>
      </c>
      <c r="T31" t="s">
        <v>686</v>
      </c>
      <c r="U31" t="s">
        <v>687</v>
      </c>
      <c r="V31" t="s">
        <v>1044</v>
      </c>
      <c r="W31" t="s">
        <v>573</v>
      </c>
      <c r="X31" t="s">
        <v>1045</v>
      </c>
      <c r="Y31" t="s">
        <v>1046</v>
      </c>
      <c r="Z31" t="s">
        <v>541</v>
      </c>
      <c r="AA31" t="s">
        <v>4038</v>
      </c>
      <c r="AB31" t="s">
        <v>4231</v>
      </c>
      <c r="AC31">
        <v>9</v>
      </c>
      <c r="AD31" t="s">
        <v>1039</v>
      </c>
      <c r="AE31">
        <v>4</v>
      </c>
      <c r="AF31">
        <v>6648</v>
      </c>
      <c r="AG31" t="s">
        <v>4196</v>
      </c>
      <c r="AH31">
        <v>1</v>
      </c>
      <c r="AI31" t="s">
        <v>4041</v>
      </c>
      <c r="AK31" t="s">
        <v>4197</v>
      </c>
      <c r="AL31">
        <v>1</v>
      </c>
      <c r="AM31" t="s">
        <v>582</v>
      </c>
      <c r="AO31" t="s">
        <v>4043</v>
      </c>
      <c r="AP31">
        <v>1</v>
      </c>
      <c r="AR31" t="s">
        <v>4232</v>
      </c>
      <c r="AS31">
        <v>1</v>
      </c>
      <c r="AT31">
        <v>51</v>
      </c>
      <c r="AV31" t="s">
        <v>4078</v>
      </c>
      <c r="AW31">
        <v>6.4</v>
      </c>
      <c r="AX31">
        <v>-6</v>
      </c>
      <c r="AY31">
        <v>117.5</v>
      </c>
      <c r="AZ31">
        <v>95</v>
      </c>
      <c r="BH31">
        <v>117.5</v>
      </c>
      <c r="BI31">
        <v>22.5</v>
      </c>
      <c r="BJ31">
        <v>95</v>
      </c>
      <c r="BK31">
        <v>2.5</v>
      </c>
      <c r="BL31">
        <v>235</v>
      </c>
      <c r="BM31">
        <v>-6</v>
      </c>
      <c r="BN31">
        <v>0</v>
      </c>
      <c r="BP31">
        <v>0</v>
      </c>
      <c r="BR31">
        <v>230</v>
      </c>
      <c r="BS31">
        <v>220</v>
      </c>
      <c r="BT31">
        <v>2230</v>
      </c>
      <c r="BU31" t="s">
        <v>4079</v>
      </c>
      <c r="BV31" t="s">
        <v>4079</v>
      </c>
      <c r="BW31" t="s">
        <v>4081</v>
      </c>
      <c r="BX31" t="s">
        <v>4081</v>
      </c>
      <c r="BY31" t="s">
        <v>4221</v>
      </c>
      <c r="BZ31" t="s">
        <v>4221</v>
      </c>
      <c r="CA31" t="s">
        <v>4130</v>
      </c>
      <c r="CB31" t="s">
        <v>4131</v>
      </c>
      <c r="CC31" t="s">
        <v>4053</v>
      </c>
      <c r="CD31" t="s">
        <v>4055</v>
      </c>
      <c r="CE31" t="s">
        <v>4055</v>
      </c>
      <c r="CF31" t="s">
        <v>4055</v>
      </c>
      <c r="CG31" t="s">
        <v>4056</v>
      </c>
      <c r="CI31" t="s">
        <v>4086</v>
      </c>
      <c r="CJ31" t="s">
        <v>4059</v>
      </c>
      <c r="CK31" t="s">
        <v>4060</v>
      </c>
      <c r="CL31" t="s">
        <v>4061</v>
      </c>
      <c r="CM31" t="s">
        <v>4055</v>
      </c>
      <c r="CN31" t="s">
        <v>4062</v>
      </c>
      <c r="CO31" t="s">
        <v>4063</v>
      </c>
      <c r="CP31" t="s">
        <v>4055</v>
      </c>
      <c r="CQ31" t="s">
        <v>4055</v>
      </c>
      <c r="CR31">
        <v>5</v>
      </c>
      <c r="CS31" t="s">
        <v>4055</v>
      </c>
      <c r="CT31" t="s">
        <v>4055</v>
      </c>
      <c r="CU31" t="s">
        <v>4055</v>
      </c>
      <c r="CV31">
        <v>143</v>
      </c>
      <c r="CW31">
        <v>3</v>
      </c>
      <c r="CX31">
        <v>100</v>
      </c>
      <c r="CY31">
        <v>5</v>
      </c>
      <c r="CZ31">
        <v>170</v>
      </c>
      <c r="DA31">
        <v>5</v>
      </c>
      <c r="DB31">
        <v>14380</v>
      </c>
      <c r="DC31">
        <v>230</v>
      </c>
      <c r="DD31">
        <v>436</v>
      </c>
      <c r="DE31">
        <v>2340</v>
      </c>
      <c r="DF31">
        <v>2340</v>
      </c>
      <c r="DG31">
        <v>2366</v>
      </c>
      <c r="DH31">
        <v>2</v>
      </c>
      <c r="DI31" t="s">
        <v>4055</v>
      </c>
      <c r="DJ31" t="s">
        <v>4087</v>
      </c>
      <c r="DK31">
        <v>230</v>
      </c>
      <c r="DL31" t="s">
        <v>4065</v>
      </c>
      <c r="DM31">
        <v>65</v>
      </c>
      <c r="DN31">
        <v>1.36</v>
      </c>
      <c r="DO31">
        <v>1</v>
      </c>
      <c r="DP31">
        <v>2234</v>
      </c>
      <c r="DQ31">
        <v>1293</v>
      </c>
      <c r="DR31" t="s">
        <v>4087</v>
      </c>
      <c r="DS31">
        <v>220</v>
      </c>
      <c r="DT31" t="s">
        <v>4065</v>
      </c>
      <c r="DU31">
        <v>65</v>
      </c>
      <c r="DV31">
        <v>1.36</v>
      </c>
      <c r="DW31">
        <v>1</v>
      </c>
      <c r="DX31">
        <v>2248</v>
      </c>
      <c r="DY31">
        <v>1245</v>
      </c>
      <c r="DZ31" t="s">
        <v>4066</v>
      </c>
      <c r="EA31">
        <v>20</v>
      </c>
      <c r="EB31" t="s">
        <v>4065</v>
      </c>
      <c r="EC31">
        <v>0.8</v>
      </c>
      <c r="ED31">
        <v>2234</v>
      </c>
      <c r="EE31">
        <v>78</v>
      </c>
      <c r="EG31">
        <v>0</v>
      </c>
      <c r="EH31" t="s">
        <v>4065</v>
      </c>
      <c r="EI31">
        <v>0</v>
      </c>
      <c r="EL31" t="s">
        <v>1528</v>
      </c>
      <c r="EM31">
        <v>12</v>
      </c>
      <c r="EN31">
        <v>0.5</v>
      </c>
      <c r="EO31">
        <v>0.96</v>
      </c>
      <c r="EP31">
        <v>2247.1</v>
      </c>
      <c r="EQ31">
        <v>43362.01</v>
      </c>
      <c r="ER31">
        <v>7921.17</v>
      </c>
      <c r="ES31">
        <v>0</v>
      </c>
      <c r="ET31">
        <v>0</v>
      </c>
      <c r="EU31">
        <v>1</v>
      </c>
      <c r="EV31">
        <v>51284</v>
      </c>
      <c r="EW31">
        <v>616</v>
      </c>
      <c r="EX31" t="s">
        <v>4088</v>
      </c>
      <c r="EY31">
        <v>250</v>
      </c>
      <c r="EZ31" t="s">
        <v>4055</v>
      </c>
      <c r="FA31">
        <v>6.5</v>
      </c>
      <c r="FB31">
        <v>1</v>
      </c>
      <c r="FC31">
        <v>1</v>
      </c>
      <c r="FD31">
        <v>2281</v>
      </c>
      <c r="FE31">
        <v>3008</v>
      </c>
      <c r="FF31" t="s">
        <v>4089</v>
      </c>
      <c r="FG31">
        <v>250</v>
      </c>
      <c r="FH31" t="s">
        <v>4055</v>
      </c>
      <c r="FI31">
        <v>1.8</v>
      </c>
      <c r="FJ31">
        <v>2281</v>
      </c>
      <c r="FK31">
        <v>1044</v>
      </c>
      <c r="FL31" t="s">
        <v>4069</v>
      </c>
      <c r="FM31" t="s">
        <v>4055</v>
      </c>
      <c r="FN31" t="s">
        <v>4055</v>
      </c>
      <c r="FO31" t="s">
        <v>4055</v>
      </c>
      <c r="FP31">
        <v>2281</v>
      </c>
      <c r="FQ31">
        <v>167</v>
      </c>
      <c r="FR31" t="s">
        <v>4090</v>
      </c>
      <c r="FS31">
        <v>254</v>
      </c>
      <c r="FT31" t="s">
        <v>4055</v>
      </c>
      <c r="FU31">
        <v>0.4</v>
      </c>
      <c r="FV31">
        <v>2281</v>
      </c>
      <c r="FW31">
        <v>258</v>
      </c>
      <c r="FX31" t="s">
        <v>4070</v>
      </c>
      <c r="FY31">
        <v>5</v>
      </c>
      <c r="FZ31" t="s">
        <v>4055</v>
      </c>
      <c r="GA31" t="s">
        <v>4055</v>
      </c>
      <c r="GB31">
        <v>2281</v>
      </c>
      <c r="GC31">
        <v>21</v>
      </c>
      <c r="GD31">
        <v>4498</v>
      </c>
      <c r="GE31" t="s">
        <v>4232</v>
      </c>
      <c r="GF31" t="s">
        <v>4055</v>
      </c>
      <c r="GG31" t="s">
        <v>4055</v>
      </c>
      <c r="GH31" t="s">
        <v>4055</v>
      </c>
      <c r="GI31" t="s">
        <v>4071</v>
      </c>
      <c r="GJ31" t="s">
        <v>4055</v>
      </c>
      <c r="GK31" t="s">
        <v>4055</v>
      </c>
      <c r="GL31" t="s">
        <v>4055</v>
      </c>
      <c r="GM31" t="s">
        <v>4055</v>
      </c>
      <c r="GQ31">
        <v>0</v>
      </c>
      <c r="GV31">
        <v>8.699999999999999</v>
      </c>
      <c r="GW31">
        <v>7.2</v>
      </c>
      <c r="GX31">
        <v>0.5</v>
      </c>
      <c r="GY31">
        <v>220</v>
      </c>
      <c r="GZ31">
        <v>3</v>
      </c>
      <c r="HA31">
        <v>276</v>
      </c>
      <c r="HB31">
        <v>3</v>
      </c>
      <c r="HC31">
        <v>2281</v>
      </c>
      <c r="HD31">
        <v>4</v>
      </c>
      <c r="HE31" t="s">
        <v>4071</v>
      </c>
      <c r="HG31" t="s">
        <v>549</v>
      </c>
      <c r="HL31">
        <v>4</v>
      </c>
      <c r="HM31">
        <v>19</v>
      </c>
      <c r="HN31">
        <v>6</v>
      </c>
      <c r="HO31">
        <v>1</v>
      </c>
      <c r="HP31">
        <v>0</v>
      </c>
      <c r="HQ31">
        <v>0</v>
      </c>
      <c r="HR31">
        <v>3</v>
      </c>
      <c r="HS31">
        <v>2230</v>
      </c>
      <c r="HT31">
        <v>5</v>
      </c>
      <c r="HU31">
        <v>1</v>
      </c>
      <c r="HV31">
        <v>3</v>
      </c>
      <c r="HW31">
        <v>0</v>
      </c>
      <c r="HX31">
        <v>1</v>
      </c>
      <c r="HY31">
        <v>0</v>
      </c>
      <c r="HZ31">
        <v>65</v>
      </c>
      <c r="IA31">
        <v>2234</v>
      </c>
      <c r="IB31">
        <v>2248</v>
      </c>
      <c r="ID31">
        <v>2281</v>
      </c>
      <c r="IE31">
        <v>2281</v>
      </c>
      <c r="IF31">
        <v>230</v>
      </c>
      <c r="IG31">
        <v>220</v>
      </c>
      <c r="IH31">
        <v>276</v>
      </c>
      <c r="II31">
        <v>1</v>
      </c>
      <c r="IJ31">
        <v>5</v>
      </c>
      <c r="IK31">
        <v>0</v>
      </c>
      <c r="IL31">
        <v>0</v>
      </c>
      <c r="IM31">
        <v>0</v>
      </c>
      <c r="IN31">
        <v>270</v>
      </c>
      <c r="IO31">
        <v>0</v>
      </c>
      <c r="IP31">
        <v>180</v>
      </c>
      <c r="IQ31">
        <v>0</v>
      </c>
      <c r="IR31">
        <v>330</v>
      </c>
      <c r="IS31">
        <v>0</v>
      </c>
      <c r="IT31">
        <v>90</v>
      </c>
      <c r="IU31">
        <v>0</v>
      </c>
      <c r="IV31">
        <v>6.4</v>
      </c>
      <c r="IW31">
        <v>-6</v>
      </c>
      <c r="IX31">
        <v>117.5</v>
      </c>
      <c r="IY31">
        <v>95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456</v>
      </c>
      <c r="JJ31">
        <v>426</v>
      </c>
      <c r="JK31">
        <v>315</v>
      </c>
      <c r="JL31">
        <v>424</v>
      </c>
      <c r="JM31">
        <v>345</v>
      </c>
      <c r="JN31">
        <v>230</v>
      </c>
      <c r="JO31">
        <v>275</v>
      </c>
      <c r="JP31">
        <v>180</v>
      </c>
      <c r="JQ31">
        <v>240</v>
      </c>
      <c r="JR31">
        <v>330</v>
      </c>
      <c r="JS31">
        <v>230</v>
      </c>
      <c r="JT31">
        <v>0</v>
      </c>
      <c r="JU31">
        <v>0</v>
      </c>
      <c r="JV31">
        <v>300</v>
      </c>
      <c r="JW31">
        <v>295</v>
      </c>
      <c r="JX31">
        <v>290</v>
      </c>
      <c r="JY31">
        <v>270</v>
      </c>
      <c r="JZ31">
        <v>0.5</v>
      </c>
      <c r="KA31">
        <v>0.2</v>
      </c>
      <c r="KB31">
        <v>0.4</v>
      </c>
      <c r="KC31">
        <v>0.42</v>
      </c>
      <c r="KD31">
        <v>0.28</v>
      </c>
      <c r="KE31">
        <v>0.5</v>
      </c>
      <c r="KF31">
        <v>0.18</v>
      </c>
      <c r="KG31">
        <v>0.12</v>
      </c>
      <c r="KH31">
        <v>3.5</v>
      </c>
      <c r="KI31">
        <v>1</v>
      </c>
      <c r="KJ31">
        <v>4.5</v>
      </c>
      <c r="KK31">
        <v>0</v>
      </c>
      <c r="KL31">
        <v>4.5</v>
      </c>
      <c r="KM31">
        <v>0.5</v>
      </c>
      <c r="KN31">
        <v>2.7</v>
      </c>
      <c r="KO31">
        <v>0</v>
      </c>
      <c r="KP31">
        <v>0</v>
      </c>
      <c r="KQ31">
        <v>0.5</v>
      </c>
      <c r="KR31">
        <v>0.5</v>
      </c>
      <c r="KS31">
        <v>0</v>
      </c>
      <c r="KT31">
        <v>3.8</v>
      </c>
      <c r="KU31">
        <v>0</v>
      </c>
      <c r="KV31">
        <v>0</v>
      </c>
      <c r="KW31">
        <v>1.6</v>
      </c>
      <c r="KX31">
        <v>2</v>
      </c>
      <c r="KY31">
        <v>1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3</v>
      </c>
      <c r="LI31">
        <v>0.5</v>
      </c>
      <c r="LJ31">
        <v>0</v>
      </c>
      <c r="LK31">
        <v>9</v>
      </c>
      <c r="LL31">
        <v>6</v>
      </c>
      <c r="LM31">
        <v>11</v>
      </c>
      <c r="LN31">
        <v>0.1</v>
      </c>
      <c r="LO31">
        <v>3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1.8</v>
      </c>
      <c r="LX31">
        <v>1.8</v>
      </c>
      <c r="LY31">
        <v>2.1</v>
      </c>
      <c r="LZ31">
        <v>2.1</v>
      </c>
      <c r="MA31">
        <v>0</v>
      </c>
      <c r="MB31">
        <v>5</v>
      </c>
      <c r="MC31">
        <v>0</v>
      </c>
      <c r="MD31">
        <v>4.5</v>
      </c>
      <c r="ME31">
        <v>6</v>
      </c>
      <c r="MF31">
        <v>6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452</v>
      </c>
      <c r="MN31">
        <v>220</v>
      </c>
      <c r="MO31">
        <v>282</v>
      </c>
      <c r="NU31">
        <v>0.15</v>
      </c>
      <c r="NV31">
        <v>0.2</v>
      </c>
      <c r="NW31">
        <v>0.2</v>
      </c>
      <c r="NX31">
        <v>0.2</v>
      </c>
      <c r="NY31">
        <v>0.2</v>
      </c>
      <c r="NZ31">
        <v>0.2</v>
      </c>
      <c r="OE31" t="s">
        <v>4232</v>
      </c>
      <c r="OF31" t="s">
        <v>4196</v>
      </c>
      <c r="OG31" t="s">
        <v>4197</v>
      </c>
      <c r="OH31" t="s">
        <v>4043</v>
      </c>
      <c r="OI31" t="s">
        <v>4232</v>
      </c>
      <c r="OJ31" t="s">
        <v>4231</v>
      </c>
      <c r="OK31">
        <v>61</v>
      </c>
      <c r="OL31">
        <v>61</v>
      </c>
      <c r="OM31" t="s">
        <v>4196</v>
      </c>
      <c r="ON31">
        <v>2</v>
      </c>
      <c r="OO31">
        <v>2234</v>
      </c>
      <c r="OP31">
        <v>61</v>
      </c>
      <c r="OQ31">
        <v>61</v>
      </c>
      <c r="OR31" t="s">
        <v>4197</v>
      </c>
      <c r="OS31">
        <v>2</v>
      </c>
      <c r="OT31">
        <v>2248</v>
      </c>
      <c r="OU31">
        <v>65</v>
      </c>
      <c r="OV31">
        <v>65</v>
      </c>
      <c r="OW31" t="s">
        <v>4043</v>
      </c>
      <c r="OX31">
        <v>1</v>
      </c>
      <c r="OY31">
        <v>51284</v>
      </c>
      <c r="OZ31">
        <v>51</v>
      </c>
      <c r="PA31">
        <v>51</v>
      </c>
      <c r="PB31" t="s">
        <v>4232</v>
      </c>
      <c r="PC31">
        <v>1</v>
      </c>
      <c r="PD31">
        <v>2281</v>
      </c>
      <c r="PF31">
        <v>579</v>
      </c>
      <c r="PG31">
        <v>35</v>
      </c>
      <c r="PH31">
        <v>554</v>
      </c>
      <c r="PI31">
        <v>0</v>
      </c>
      <c r="PJ31">
        <v>73.2</v>
      </c>
      <c r="PK31">
        <v>1985</v>
      </c>
      <c r="PL31">
        <v>1318.6</v>
      </c>
      <c r="PM31">
        <v>457.9</v>
      </c>
      <c r="PN31">
        <v>113</v>
      </c>
      <c r="PO31">
        <v>9.199999999999999</v>
      </c>
      <c r="PP31">
        <v>12</v>
      </c>
      <c r="PQ31">
        <v>4</v>
      </c>
      <c r="PR31">
        <v>4</v>
      </c>
      <c r="PS31">
        <v>0</v>
      </c>
      <c r="PT31">
        <v>276</v>
      </c>
      <c r="PU31">
        <v>13</v>
      </c>
      <c r="PV31" t="s">
        <v>4072</v>
      </c>
      <c r="PW31" t="s">
        <v>4072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-1</v>
      </c>
      <c r="QF31">
        <v>1</v>
      </c>
      <c r="QG31">
        <v>0</v>
      </c>
      <c r="QH31">
        <v>5</v>
      </c>
      <c r="QI31">
        <v>5</v>
      </c>
      <c r="QJ31">
        <v>5</v>
      </c>
      <c r="QK31">
        <v>244</v>
      </c>
      <c r="QL31">
        <v>486</v>
      </c>
      <c r="QM31">
        <v>7.5</v>
      </c>
      <c r="QN31">
        <v>1544.1</v>
      </c>
      <c r="QO31" t="s">
        <v>556</v>
      </c>
      <c r="QP31" t="s">
        <v>513</v>
      </c>
      <c r="QQ31">
        <v>0</v>
      </c>
      <c r="QR31" t="s">
        <v>596</v>
      </c>
      <c r="QS31">
        <v>40</v>
      </c>
      <c r="QT31">
        <v>50</v>
      </c>
    </row>
    <row r="32" spans="1:462">
      <c r="A32" t="s">
        <v>1058</v>
      </c>
      <c r="B32" t="s">
        <v>564</v>
      </c>
      <c r="C32" t="s">
        <v>509</v>
      </c>
      <c r="D32" t="s">
        <v>1987</v>
      </c>
      <c r="E32" t="s">
        <v>4036</v>
      </c>
      <c r="H32" t="s">
        <v>604</v>
      </c>
      <c r="I32" t="s">
        <v>605</v>
      </c>
      <c r="J32" t="s">
        <v>628</v>
      </c>
      <c r="K32" t="s">
        <v>606</v>
      </c>
      <c r="L32" t="s">
        <v>629</v>
      </c>
      <c r="M32" t="s">
        <v>512</v>
      </c>
      <c r="O32" t="s">
        <v>513</v>
      </c>
      <c r="P32" t="s">
        <v>567</v>
      </c>
      <c r="Q32" t="s">
        <v>1059</v>
      </c>
      <c r="R32" t="s">
        <v>1060</v>
      </c>
      <c r="S32" t="s">
        <v>4091</v>
      </c>
      <c r="T32" t="s">
        <v>633</v>
      </c>
      <c r="U32" t="s">
        <v>634</v>
      </c>
      <c r="V32" t="s">
        <v>1061</v>
      </c>
      <c r="W32" t="s">
        <v>573</v>
      </c>
      <c r="X32" t="s">
        <v>1062</v>
      </c>
      <c r="Y32" t="s">
        <v>1063</v>
      </c>
      <c r="Z32" t="s">
        <v>541</v>
      </c>
      <c r="AA32" t="s">
        <v>4038</v>
      </c>
      <c r="AB32" t="s">
        <v>4233</v>
      </c>
      <c r="AC32">
        <v>9</v>
      </c>
      <c r="AD32" t="s">
        <v>1056</v>
      </c>
      <c r="AE32">
        <v>5</v>
      </c>
      <c r="AF32">
        <v>7422</v>
      </c>
      <c r="AG32" t="s">
        <v>4211</v>
      </c>
      <c r="AH32">
        <v>1</v>
      </c>
      <c r="AI32" t="s">
        <v>4041</v>
      </c>
      <c r="AK32" t="s">
        <v>4212</v>
      </c>
      <c r="AL32">
        <v>1</v>
      </c>
      <c r="AM32" t="s">
        <v>582</v>
      </c>
      <c r="AO32" t="s">
        <v>4043</v>
      </c>
      <c r="AP32">
        <v>1</v>
      </c>
      <c r="AR32" t="s">
        <v>4234</v>
      </c>
      <c r="AS32">
        <v>1</v>
      </c>
      <c r="AT32">
        <v>52</v>
      </c>
      <c r="AV32" t="s">
        <v>4078</v>
      </c>
      <c r="AW32">
        <v>6.4</v>
      </c>
      <c r="AX32">
        <v>-6</v>
      </c>
      <c r="AY32">
        <v>113.5</v>
      </c>
      <c r="AZ32">
        <v>90</v>
      </c>
      <c r="BH32">
        <v>113.5</v>
      </c>
      <c r="BI32">
        <v>23.5</v>
      </c>
      <c r="BJ32">
        <v>90</v>
      </c>
      <c r="BK32">
        <v>3.5</v>
      </c>
      <c r="BL32">
        <v>227</v>
      </c>
      <c r="BM32">
        <v>-6</v>
      </c>
      <c r="BN32">
        <v>0</v>
      </c>
      <c r="BO32">
        <v>0</v>
      </c>
      <c r="BP32">
        <v>0</v>
      </c>
      <c r="BR32">
        <v>220</v>
      </c>
      <c r="BS32">
        <v>210</v>
      </c>
      <c r="BT32">
        <v>2265</v>
      </c>
      <c r="BU32" t="s">
        <v>4079</v>
      </c>
      <c r="BV32" t="s">
        <v>4079</v>
      </c>
      <c r="BW32" t="s">
        <v>4081</v>
      </c>
      <c r="BX32" t="s">
        <v>4081</v>
      </c>
      <c r="BY32" t="s">
        <v>4235</v>
      </c>
      <c r="BZ32" t="s">
        <v>4235</v>
      </c>
      <c r="CA32" t="s">
        <v>4108</v>
      </c>
      <c r="CB32" t="s">
        <v>4109</v>
      </c>
      <c r="CC32" t="s">
        <v>4053</v>
      </c>
      <c r="CD32" t="s">
        <v>4110</v>
      </c>
      <c r="CE32" t="s">
        <v>4055</v>
      </c>
      <c r="CF32" t="s">
        <v>4055</v>
      </c>
      <c r="CG32" t="s">
        <v>4056</v>
      </c>
      <c r="CI32" t="s">
        <v>4216</v>
      </c>
      <c r="CJ32" t="s">
        <v>4059</v>
      </c>
      <c r="CK32" t="s">
        <v>4060</v>
      </c>
      <c r="CL32" t="s">
        <v>4061</v>
      </c>
      <c r="CM32" t="s">
        <v>4062</v>
      </c>
      <c r="CN32" t="s">
        <v>4055</v>
      </c>
      <c r="CO32" t="s">
        <v>4063</v>
      </c>
      <c r="CP32" t="s">
        <v>4055</v>
      </c>
      <c r="CQ32" t="s">
        <v>4055</v>
      </c>
      <c r="CR32">
        <v>5</v>
      </c>
      <c r="CS32" t="s">
        <v>4055</v>
      </c>
      <c r="CT32" t="s">
        <v>4055</v>
      </c>
      <c r="CU32" t="s">
        <v>4055</v>
      </c>
      <c r="CV32">
        <v>142</v>
      </c>
      <c r="CW32">
        <v>3</v>
      </c>
      <c r="CX32">
        <v>90</v>
      </c>
      <c r="CY32">
        <v>5</v>
      </c>
      <c r="CZ32">
        <v>178</v>
      </c>
      <c r="DA32">
        <v>5</v>
      </c>
      <c r="DB32">
        <v>15500</v>
      </c>
      <c r="DC32">
        <v>460</v>
      </c>
      <c r="DD32">
        <v>410</v>
      </c>
      <c r="DE32">
        <v>2385</v>
      </c>
      <c r="DF32">
        <v>2385</v>
      </c>
      <c r="DG32">
        <v>2403</v>
      </c>
      <c r="DH32">
        <v>3</v>
      </c>
      <c r="DI32" t="s">
        <v>4055</v>
      </c>
      <c r="DJ32" t="s">
        <v>4217</v>
      </c>
      <c r="DK32">
        <v>220</v>
      </c>
      <c r="DL32" t="s">
        <v>4065</v>
      </c>
      <c r="DM32">
        <v>65</v>
      </c>
      <c r="DN32">
        <v>1.26</v>
      </c>
      <c r="DO32">
        <v>1</v>
      </c>
      <c r="DP32">
        <v>2269</v>
      </c>
      <c r="DQ32">
        <v>1205</v>
      </c>
      <c r="DR32" t="s">
        <v>4217</v>
      </c>
      <c r="DS32">
        <v>210</v>
      </c>
      <c r="DT32" t="s">
        <v>4065</v>
      </c>
      <c r="DU32">
        <v>65</v>
      </c>
      <c r="DV32">
        <v>1.26</v>
      </c>
      <c r="DW32">
        <v>1</v>
      </c>
      <c r="DX32">
        <v>2282</v>
      </c>
      <c r="DY32">
        <v>1157</v>
      </c>
      <c r="DZ32" t="s">
        <v>4066</v>
      </c>
      <c r="EA32">
        <v>20</v>
      </c>
      <c r="EB32" t="s">
        <v>4065</v>
      </c>
      <c r="EC32">
        <v>0.8</v>
      </c>
      <c r="ED32">
        <v>2269</v>
      </c>
      <c r="EE32">
        <v>79</v>
      </c>
      <c r="EG32">
        <v>0</v>
      </c>
      <c r="EH32" t="s">
        <v>4065</v>
      </c>
      <c r="EI32">
        <v>0</v>
      </c>
      <c r="EL32" t="s">
        <v>1528</v>
      </c>
      <c r="EM32">
        <v>12</v>
      </c>
      <c r="EN32">
        <v>0.5</v>
      </c>
      <c r="EO32">
        <v>0.96</v>
      </c>
      <c r="EP32">
        <v>2280.84</v>
      </c>
      <c r="EQ32">
        <v>42587.56</v>
      </c>
      <c r="ER32">
        <v>8397.110000000001</v>
      </c>
      <c r="ES32">
        <v>0</v>
      </c>
      <c r="ET32">
        <v>0</v>
      </c>
      <c r="EU32">
        <v>1</v>
      </c>
      <c r="EV32">
        <v>50985</v>
      </c>
      <c r="EW32">
        <v>612</v>
      </c>
      <c r="EX32" t="s">
        <v>4088</v>
      </c>
      <c r="EY32">
        <v>254</v>
      </c>
      <c r="EZ32" t="s">
        <v>4055</v>
      </c>
      <c r="FA32">
        <v>7.5</v>
      </c>
      <c r="FB32">
        <v>1</v>
      </c>
      <c r="FC32">
        <v>1</v>
      </c>
      <c r="FD32">
        <v>2318</v>
      </c>
      <c r="FE32">
        <v>3549</v>
      </c>
      <c r="FF32" t="s">
        <v>4089</v>
      </c>
      <c r="FG32">
        <v>254</v>
      </c>
      <c r="FH32" t="s">
        <v>4055</v>
      </c>
      <c r="FI32">
        <v>1.8</v>
      </c>
      <c r="FJ32">
        <v>2318</v>
      </c>
      <c r="FK32">
        <v>1034</v>
      </c>
      <c r="FL32" t="s">
        <v>4069</v>
      </c>
      <c r="FM32" t="s">
        <v>4055</v>
      </c>
      <c r="FN32" t="s">
        <v>4055</v>
      </c>
      <c r="FO32" t="s">
        <v>4055</v>
      </c>
      <c r="FP32">
        <v>2318</v>
      </c>
      <c r="FQ32">
        <v>153</v>
      </c>
      <c r="FR32" t="s">
        <v>4090</v>
      </c>
      <c r="FS32">
        <v>258</v>
      </c>
      <c r="FT32" t="s">
        <v>4055</v>
      </c>
      <c r="FU32">
        <v>0.4</v>
      </c>
      <c r="FV32">
        <v>2318</v>
      </c>
      <c r="FW32">
        <v>266</v>
      </c>
      <c r="FX32" t="s">
        <v>4070</v>
      </c>
      <c r="FY32">
        <v>5</v>
      </c>
      <c r="FZ32" t="s">
        <v>4055</v>
      </c>
      <c r="GA32" t="s">
        <v>4055</v>
      </c>
      <c r="GB32">
        <v>2318</v>
      </c>
      <c r="GC32">
        <v>23</v>
      </c>
      <c r="GD32">
        <v>5025</v>
      </c>
      <c r="GE32" t="s">
        <v>4234</v>
      </c>
      <c r="GF32" t="s">
        <v>4055</v>
      </c>
      <c r="GG32" t="s">
        <v>4055</v>
      </c>
      <c r="GH32" t="s">
        <v>4055</v>
      </c>
      <c r="GI32" t="s">
        <v>4071</v>
      </c>
      <c r="GJ32" t="s">
        <v>4055</v>
      </c>
      <c r="GK32" t="s">
        <v>4055</v>
      </c>
      <c r="GL32" t="s">
        <v>4055</v>
      </c>
      <c r="GM32" t="s">
        <v>4055</v>
      </c>
      <c r="GQ32">
        <v>0</v>
      </c>
      <c r="GV32">
        <v>9.699999999999999</v>
      </c>
      <c r="GW32">
        <v>7.8</v>
      </c>
      <c r="GX32">
        <v>0.5</v>
      </c>
      <c r="GY32">
        <v>210</v>
      </c>
      <c r="GZ32">
        <v>3</v>
      </c>
      <c r="HA32">
        <v>274</v>
      </c>
      <c r="HB32">
        <v>3</v>
      </c>
      <c r="HC32">
        <v>2318</v>
      </c>
      <c r="HD32">
        <v>4</v>
      </c>
      <c r="HE32" t="s">
        <v>4071</v>
      </c>
      <c r="HG32" t="s">
        <v>549</v>
      </c>
      <c r="HL32">
        <v>4</v>
      </c>
      <c r="HM32">
        <v>17</v>
      </c>
      <c r="HN32">
        <v>6</v>
      </c>
      <c r="HO32">
        <v>1</v>
      </c>
      <c r="HP32">
        <v>0</v>
      </c>
      <c r="HQ32">
        <v>0</v>
      </c>
      <c r="HR32">
        <v>1</v>
      </c>
      <c r="HS32">
        <v>2265</v>
      </c>
      <c r="HT32">
        <v>5</v>
      </c>
      <c r="HU32">
        <v>1</v>
      </c>
      <c r="HV32">
        <v>3</v>
      </c>
      <c r="HW32">
        <v>0</v>
      </c>
      <c r="HX32">
        <v>1</v>
      </c>
      <c r="HY32">
        <v>0</v>
      </c>
      <c r="HZ32">
        <v>65</v>
      </c>
      <c r="IA32">
        <v>2269</v>
      </c>
      <c r="IB32">
        <v>2282</v>
      </c>
      <c r="ID32">
        <v>2318</v>
      </c>
      <c r="IE32">
        <v>2318</v>
      </c>
      <c r="IF32">
        <v>220</v>
      </c>
      <c r="IG32">
        <v>210</v>
      </c>
      <c r="IH32">
        <v>274</v>
      </c>
      <c r="II32">
        <v>1</v>
      </c>
      <c r="IJ32">
        <v>5</v>
      </c>
      <c r="IK32">
        <v>0</v>
      </c>
      <c r="IL32">
        <v>0</v>
      </c>
      <c r="IM32">
        <v>0</v>
      </c>
      <c r="IN32">
        <v>270</v>
      </c>
      <c r="IO32">
        <v>0</v>
      </c>
      <c r="IP32">
        <v>180</v>
      </c>
      <c r="IQ32">
        <v>0</v>
      </c>
      <c r="IR32">
        <v>330</v>
      </c>
      <c r="IS32">
        <v>0</v>
      </c>
      <c r="IT32">
        <v>90</v>
      </c>
      <c r="IU32">
        <v>0</v>
      </c>
      <c r="IV32">
        <v>6.4</v>
      </c>
      <c r="IW32">
        <v>-6</v>
      </c>
      <c r="IX32">
        <v>113.5</v>
      </c>
      <c r="IY32">
        <v>90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500</v>
      </c>
      <c r="JJ32">
        <v>470</v>
      </c>
      <c r="JK32">
        <v>328</v>
      </c>
      <c r="JL32">
        <v>464</v>
      </c>
      <c r="JM32">
        <v>320</v>
      </c>
      <c r="JN32">
        <v>220</v>
      </c>
      <c r="JO32">
        <v>268</v>
      </c>
      <c r="JP32">
        <v>200</v>
      </c>
      <c r="JQ32">
        <v>230</v>
      </c>
      <c r="JR32">
        <v>356</v>
      </c>
      <c r="JS32">
        <v>235</v>
      </c>
      <c r="JT32">
        <v>0</v>
      </c>
      <c r="JU32">
        <v>0</v>
      </c>
      <c r="JV32">
        <v>335</v>
      </c>
      <c r="JW32">
        <v>337</v>
      </c>
      <c r="JX32">
        <v>349</v>
      </c>
      <c r="JY32">
        <v>334</v>
      </c>
      <c r="JZ32">
        <v>2.5</v>
      </c>
      <c r="KA32">
        <v>0.2</v>
      </c>
      <c r="KB32">
        <v>0.4</v>
      </c>
      <c r="KC32">
        <v>0.42</v>
      </c>
      <c r="KD32">
        <v>0.28</v>
      </c>
      <c r="KE32">
        <v>0.5</v>
      </c>
      <c r="KF32">
        <v>0.2</v>
      </c>
      <c r="KG32">
        <v>0.1</v>
      </c>
      <c r="KH32">
        <v>3.5</v>
      </c>
      <c r="KI32">
        <v>1</v>
      </c>
      <c r="KJ32">
        <v>4.5</v>
      </c>
      <c r="KK32">
        <v>0.5</v>
      </c>
      <c r="KL32">
        <v>4.5</v>
      </c>
      <c r="KM32">
        <v>0.5</v>
      </c>
      <c r="KN32">
        <v>3.3</v>
      </c>
      <c r="KO32">
        <v>0</v>
      </c>
      <c r="KP32">
        <v>0</v>
      </c>
      <c r="KQ32">
        <v>0.8</v>
      </c>
      <c r="KR32">
        <v>0.8</v>
      </c>
      <c r="KS32">
        <v>0.2</v>
      </c>
      <c r="KT32">
        <v>2.8</v>
      </c>
      <c r="KU32">
        <v>0</v>
      </c>
      <c r="KV32">
        <v>0</v>
      </c>
      <c r="KW32">
        <v>1</v>
      </c>
      <c r="KX32">
        <v>2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3</v>
      </c>
      <c r="LI32">
        <v>1</v>
      </c>
      <c r="LJ32">
        <v>0</v>
      </c>
      <c r="LK32">
        <v>2</v>
      </c>
      <c r="LL32">
        <v>18</v>
      </c>
      <c r="LM32">
        <v>18</v>
      </c>
      <c r="LN32">
        <v>0.1</v>
      </c>
      <c r="LO32">
        <v>0.1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2.5</v>
      </c>
      <c r="LX32">
        <v>2.5</v>
      </c>
      <c r="LY32">
        <v>2.3</v>
      </c>
      <c r="LZ32">
        <v>2.3</v>
      </c>
      <c r="MA32">
        <v>0</v>
      </c>
      <c r="MB32">
        <v>14</v>
      </c>
      <c r="MC32">
        <v>0</v>
      </c>
      <c r="MD32">
        <v>4.5</v>
      </c>
      <c r="ME32">
        <v>6</v>
      </c>
      <c r="MF32">
        <v>6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500</v>
      </c>
      <c r="MN32">
        <v>205</v>
      </c>
      <c r="MO32">
        <v>278</v>
      </c>
      <c r="NU32">
        <v>0.15</v>
      </c>
      <c r="NV32">
        <v>0.2</v>
      </c>
      <c r="NW32">
        <v>0.2</v>
      </c>
      <c r="NX32">
        <v>0.2</v>
      </c>
      <c r="NY32">
        <v>0.2</v>
      </c>
      <c r="NZ32">
        <v>0.2</v>
      </c>
      <c r="OE32" t="s">
        <v>4234</v>
      </c>
      <c r="OF32" t="s">
        <v>4211</v>
      </c>
      <c r="OG32" t="s">
        <v>4212</v>
      </c>
      <c r="OH32" t="s">
        <v>4043</v>
      </c>
      <c r="OI32" t="s">
        <v>4234</v>
      </c>
      <c r="OJ32" t="s">
        <v>4233</v>
      </c>
      <c r="OK32">
        <v>61</v>
      </c>
      <c r="OL32">
        <v>61</v>
      </c>
      <c r="OM32" t="s">
        <v>4211</v>
      </c>
      <c r="ON32">
        <v>1</v>
      </c>
      <c r="OO32">
        <v>2269</v>
      </c>
      <c r="OP32">
        <v>61</v>
      </c>
      <c r="OQ32">
        <v>61</v>
      </c>
      <c r="OR32" t="s">
        <v>4212</v>
      </c>
      <c r="OS32">
        <v>1</v>
      </c>
      <c r="OT32">
        <v>2282</v>
      </c>
      <c r="OU32">
        <v>65</v>
      </c>
      <c r="OV32">
        <v>65</v>
      </c>
      <c r="OW32" t="s">
        <v>4043</v>
      </c>
      <c r="OX32">
        <v>2</v>
      </c>
      <c r="OY32">
        <v>50985</v>
      </c>
      <c r="OZ32">
        <v>51</v>
      </c>
      <c r="PA32">
        <v>52</v>
      </c>
      <c r="PB32" t="s">
        <v>4234</v>
      </c>
      <c r="PC32">
        <v>2</v>
      </c>
      <c r="PD32">
        <v>2318</v>
      </c>
      <c r="PF32">
        <v>531</v>
      </c>
      <c r="PG32">
        <v>35</v>
      </c>
      <c r="PH32">
        <v>507</v>
      </c>
      <c r="PI32">
        <v>0</v>
      </c>
      <c r="PJ32">
        <v>66</v>
      </c>
      <c r="PK32">
        <v>2216</v>
      </c>
      <c r="PL32">
        <v>1531.1</v>
      </c>
      <c r="PM32">
        <v>446.1</v>
      </c>
      <c r="PN32">
        <v>114.8</v>
      </c>
      <c r="PO32">
        <v>10.1</v>
      </c>
      <c r="PP32">
        <v>12</v>
      </c>
      <c r="PQ32">
        <v>4</v>
      </c>
      <c r="PR32">
        <v>4</v>
      </c>
      <c r="PS32">
        <v>0</v>
      </c>
      <c r="PT32">
        <v>274</v>
      </c>
      <c r="PU32">
        <v>10</v>
      </c>
      <c r="PV32" t="s">
        <v>4072</v>
      </c>
      <c r="PW32" t="s">
        <v>4072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-1</v>
      </c>
      <c r="QF32">
        <v>1</v>
      </c>
      <c r="QG32">
        <v>0</v>
      </c>
      <c r="QH32">
        <v>5</v>
      </c>
      <c r="QI32">
        <v>5</v>
      </c>
      <c r="QJ32">
        <v>5</v>
      </c>
      <c r="QK32">
        <v>270</v>
      </c>
      <c r="QL32">
        <v>534</v>
      </c>
      <c r="QM32">
        <v>7.5</v>
      </c>
      <c r="QN32">
        <v>1386.2</v>
      </c>
      <c r="QO32" t="s">
        <v>556</v>
      </c>
      <c r="QP32" t="s">
        <v>513</v>
      </c>
      <c r="QQ32">
        <v>0</v>
      </c>
      <c r="QR32" t="s">
        <v>596</v>
      </c>
      <c r="QS32">
        <v>40</v>
      </c>
      <c r="QT32">
        <v>50</v>
      </c>
    </row>
    <row r="33" spans="1:462">
      <c r="A33" t="s">
        <v>1074</v>
      </c>
      <c r="B33" t="s">
        <v>629</v>
      </c>
      <c r="C33" t="s">
        <v>509</v>
      </c>
      <c r="D33" t="s">
        <v>4236</v>
      </c>
      <c r="E33" t="s">
        <v>4036</v>
      </c>
      <c r="H33" t="s">
        <v>604</v>
      </c>
      <c r="I33" t="s">
        <v>605</v>
      </c>
      <c r="J33" t="s">
        <v>628</v>
      </c>
      <c r="L33" t="s">
        <v>711</v>
      </c>
      <c r="M33" t="s">
        <v>512</v>
      </c>
      <c r="O33" t="s">
        <v>513</v>
      </c>
      <c r="P33" t="s">
        <v>567</v>
      </c>
      <c r="Q33" t="s">
        <v>1075</v>
      </c>
      <c r="R33" t="s">
        <v>1076</v>
      </c>
      <c r="S33" t="s">
        <v>4170</v>
      </c>
      <c r="T33" t="s">
        <v>662</v>
      </c>
      <c r="U33" t="s">
        <v>663</v>
      </c>
      <c r="V33" t="s">
        <v>1004</v>
      </c>
      <c r="W33" t="s">
        <v>573</v>
      </c>
      <c r="X33" t="s">
        <v>1077</v>
      </c>
      <c r="Y33" t="s">
        <v>1078</v>
      </c>
      <c r="Z33" t="s">
        <v>541</v>
      </c>
      <c r="AA33" t="s">
        <v>4038</v>
      </c>
      <c r="AB33" t="s">
        <v>4237</v>
      </c>
      <c r="AC33">
        <v>9</v>
      </c>
      <c r="AD33" t="s">
        <v>1072</v>
      </c>
      <c r="AE33">
        <v>4</v>
      </c>
      <c r="AF33">
        <v>6576</v>
      </c>
      <c r="AG33" t="s">
        <v>4238</v>
      </c>
      <c r="AH33">
        <v>1</v>
      </c>
      <c r="AI33" t="s">
        <v>4041</v>
      </c>
      <c r="AK33" t="s">
        <v>4239</v>
      </c>
      <c r="AL33">
        <v>1</v>
      </c>
      <c r="AM33" t="s">
        <v>582</v>
      </c>
      <c r="AO33" t="s">
        <v>4043</v>
      </c>
      <c r="AP33">
        <v>2</v>
      </c>
      <c r="AR33" t="s">
        <v>4240</v>
      </c>
      <c r="AS33">
        <v>1</v>
      </c>
      <c r="AT33">
        <v>52</v>
      </c>
      <c r="AV33" t="s">
        <v>4126</v>
      </c>
      <c r="AW33">
        <v>6.4</v>
      </c>
      <c r="AX33">
        <v>-6</v>
      </c>
      <c r="AY33">
        <v>101</v>
      </c>
      <c r="AZ33">
        <v>71</v>
      </c>
      <c r="BB33">
        <v>97.5</v>
      </c>
      <c r="BC33" t="s">
        <v>4055</v>
      </c>
      <c r="BH33">
        <v>101</v>
      </c>
      <c r="BI33">
        <v>30</v>
      </c>
      <c r="BJ33">
        <v>71</v>
      </c>
      <c r="BK33">
        <v>3.5</v>
      </c>
      <c r="BL33">
        <v>202</v>
      </c>
      <c r="BM33">
        <v>-6</v>
      </c>
      <c r="BN33">
        <v>97.5</v>
      </c>
      <c r="BP33">
        <v>195</v>
      </c>
      <c r="BR33">
        <v>195</v>
      </c>
      <c r="BS33">
        <v>185</v>
      </c>
      <c r="BT33">
        <v>2180</v>
      </c>
      <c r="BU33" t="s">
        <v>4127</v>
      </c>
      <c r="BV33" t="s">
        <v>4127</v>
      </c>
      <c r="BW33" t="s">
        <v>4128</v>
      </c>
      <c r="BX33" t="s">
        <v>4128</v>
      </c>
      <c r="BY33" t="s">
        <v>4117</v>
      </c>
      <c r="BZ33" t="s">
        <v>4117</v>
      </c>
      <c r="CA33" t="s">
        <v>4118</v>
      </c>
      <c r="CB33" t="s">
        <v>4119</v>
      </c>
      <c r="CC33" t="s">
        <v>4053</v>
      </c>
      <c r="CD33" t="s">
        <v>4121</v>
      </c>
      <c r="CE33" t="s">
        <v>4055</v>
      </c>
      <c r="CF33" t="s">
        <v>4055</v>
      </c>
      <c r="CG33" t="s">
        <v>4056</v>
      </c>
      <c r="CI33" t="s">
        <v>4058</v>
      </c>
      <c r="CJ33" t="s">
        <v>4059</v>
      </c>
      <c r="CK33" t="s">
        <v>4060</v>
      </c>
      <c r="CL33" t="s">
        <v>4061</v>
      </c>
      <c r="CM33" t="s">
        <v>4062</v>
      </c>
      <c r="CN33" t="s">
        <v>4055</v>
      </c>
      <c r="CO33" t="s">
        <v>4063</v>
      </c>
      <c r="CP33" t="s">
        <v>4055</v>
      </c>
      <c r="CQ33" t="s">
        <v>4055</v>
      </c>
      <c r="CR33">
        <v>5</v>
      </c>
      <c r="CS33" t="s">
        <v>4055</v>
      </c>
      <c r="CT33" t="s">
        <v>4055</v>
      </c>
      <c r="CU33" t="s">
        <v>4055</v>
      </c>
      <c r="CV33">
        <v>127</v>
      </c>
      <c r="CW33">
        <v>3</v>
      </c>
      <c r="CX33">
        <v>80</v>
      </c>
      <c r="CY33">
        <v>5</v>
      </c>
      <c r="CZ33">
        <v>155</v>
      </c>
      <c r="DA33">
        <v>5</v>
      </c>
      <c r="DB33">
        <v>13790</v>
      </c>
      <c r="DC33">
        <v>410</v>
      </c>
      <c r="DD33">
        <v>345</v>
      </c>
      <c r="DE33">
        <v>2287</v>
      </c>
      <c r="DF33">
        <v>2282</v>
      </c>
      <c r="DG33">
        <v>2297</v>
      </c>
      <c r="DH33" t="s">
        <v>4055</v>
      </c>
      <c r="DI33" t="s">
        <v>4055</v>
      </c>
      <c r="DJ33" t="s">
        <v>4087</v>
      </c>
      <c r="DK33">
        <v>195</v>
      </c>
      <c r="DL33" t="s">
        <v>4065</v>
      </c>
      <c r="DM33">
        <v>65</v>
      </c>
      <c r="DN33">
        <v>1.36</v>
      </c>
      <c r="DO33">
        <v>1</v>
      </c>
      <c r="DP33">
        <v>2184</v>
      </c>
      <c r="DQ33">
        <v>1072</v>
      </c>
      <c r="DR33" t="s">
        <v>4087</v>
      </c>
      <c r="DS33">
        <v>185</v>
      </c>
      <c r="DT33" t="s">
        <v>4065</v>
      </c>
      <c r="DU33">
        <v>65</v>
      </c>
      <c r="DV33">
        <v>1.36</v>
      </c>
      <c r="DW33">
        <v>1</v>
      </c>
      <c r="DX33">
        <v>2198</v>
      </c>
      <c r="DY33">
        <v>1024</v>
      </c>
      <c r="DZ33" t="s">
        <v>4066</v>
      </c>
      <c r="EA33">
        <v>20</v>
      </c>
      <c r="EB33" t="s">
        <v>4065</v>
      </c>
      <c r="EC33">
        <v>0.8</v>
      </c>
      <c r="ED33">
        <v>2184</v>
      </c>
      <c r="EE33">
        <v>76</v>
      </c>
      <c r="EG33">
        <v>0</v>
      </c>
      <c r="EH33" t="s">
        <v>4065</v>
      </c>
      <c r="EI33">
        <v>0</v>
      </c>
      <c r="EL33" t="s">
        <v>1528</v>
      </c>
      <c r="EM33">
        <v>12</v>
      </c>
      <c r="EN33">
        <v>0.5</v>
      </c>
      <c r="EO33">
        <v>0.96</v>
      </c>
      <c r="EP33">
        <v>2197.1</v>
      </c>
      <c r="EQ33">
        <v>36732.77</v>
      </c>
      <c r="ER33">
        <v>10327.18</v>
      </c>
      <c r="ES33">
        <v>33655.23</v>
      </c>
      <c r="ET33">
        <v>0</v>
      </c>
      <c r="EU33">
        <v>1</v>
      </c>
      <c r="EV33">
        <v>80716</v>
      </c>
      <c r="EW33">
        <v>969</v>
      </c>
      <c r="EX33" t="s">
        <v>4088</v>
      </c>
      <c r="EY33">
        <v>220</v>
      </c>
      <c r="EZ33" t="s">
        <v>4055</v>
      </c>
      <c r="FA33">
        <v>5</v>
      </c>
      <c r="FB33">
        <v>1</v>
      </c>
      <c r="FC33">
        <v>1</v>
      </c>
      <c r="FD33">
        <v>2226</v>
      </c>
      <c r="FE33">
        <v>2811</v>
      </c>
      <c r="FF33" t="s">
        <v>4089</v>
      </c>
      <c r="FG33">
        <v>220</v>
      </c>
      <c r="FH33" t="s">
        <v>4055</v>
      </c>
      <c r="FI33">
        <v>1.8</v>
      </c>
      <c r="FJ33">
        <v>2226</v>
      </c>
      <c r="FK33">
        <v>889</v>
      </c>
      <c r="FL33" t="s">
        <v>4069</v>
      </c>
      <c r="FM33" t="s">
        <v>4055</v>
      </c>
      <c r="FN33" t="s">
        <v>4055</v>
      </c>
      <c r="FO33" t="s">
        <v>4055</v>
      </c>
      <c r="FP33">
        <v>2226</v>
      </c>
      <c r="FQ33">
        <v>131</v>
      </c>
      <c r="FR33" t="s">
        <v>4090</v>
      </c>
      <c r="FS33">
        <v>224</v>
      </c>
      <c r="FT33" t="s">
        <v>4055</v>
      </c>
      <c r="FU33">
        <v>0.4</v>
      </c>
      <c r="FV33">
        <v>2226</v>
      </c>
      <c r="FW33">
        <v>222</v>
      </c>
      <c r="FX33" t="s">
        <v>4070</v>
      </c>
      <c r="FY33">
        <v>5</v>
      </c>
      <c r="FZ33" t="s">
        <v>4055</v>
      </c>
      <c r="GA33" t="s">
        <v>4055</v>
      </c>
      <c r="GB33">
        <v>2226</v>
      </c>
      <c r="GC33">
        <v>19</v>
      </c>
      <c r="GD33">
        <v>4072</v>
      </c>
      <c r="GE33" t="s">
        <v>4240</v>
      </c>
      <c r="GF33" t="s">
        <v>4055</v>
      </c>
      <c r="GG33" t="s">
        <v>4055</v>
      </c>
      <c r="GH33" t="s">
        <v>4055</v>
      </c>
      <c r="GI33" t="s">
        <v>4071</v>
      </c>
      <c r="GJ33" t="s">
        <v>4055</v>
      </c>
      <c r="GK33" t="s">
        <v>4055</v>
      </c>
      <c r="GL33" t="s">
        <v>4055</v>
      </c>
      <c r="GM33" t="s">
        <v>4055</v>
      </c>
      <c r="GQ33">
        <v>0</v>
      </c>
      <c r="GV33">
        <v>7.2</v>
      </c>
      <c r="GW33">
        <v>7.2</v>
      </c>
      <c r="GX33">
        <v>0.5</v>
      </c>
      <c r="GY33">
        <v>190</v>
      </c>
      <c r="GZ33">
        <v>3</v>
      </c>
      <c r="HA33">
        <v>240</v>
      </c>
      <c r="HB33">
        <v>3</v>
      </c>
      <c r="HC33">
        <v>2226</v>
      </c>
      <c r="HD33">
        <v>4</v>
      </c>
      <c r="HE33" t="s">
        <v>4071</v>
      </c>
      <c r="HG33" t="s">
        <v>549</v>
      </c>
      <c r="HL33">
        <v>6</v>
      </c>
      <c r="HM33">
        <v>18</v>
      </c>
      <c r="HN33">
        <v>6</v>
      </c>
      <c r="HO33">
        <v>1</v>
      </c>
      <c r="HP33">
        <v>0</v>
      </c>
      <c r="HQ33">
        <v>0</v>
      </c>
      <c r="HR33">
        <v>3</v>
      </c>
      <c r="HS33">
        <v>2180</v>
      </c>
      <c r="HT33">
        <v>5</v>
      </c>
      <c r="HU33">
        <v>1</v>
      </c>
      <c r="HV33">
        <v>3</v>
      </c>
      <c r="HW33">
        <v>0</v>
      </c>
      <c r="HX33">
        <v>1</v>
      </c>
      <c r="HY33">
        <v>0</v>
      </c>
      <c r="HZ33">
        <v>65</v>
      </c>
      <c r="IA33">
        <v>2184</v>
      </c>
      <c r="IB33">
        <v>2198</v>
      </c>
      <c r="ID33">
        <v>2226</v>
      </c>
      <c r="IE33">
        <v>2226</v>
      </c>
      <c r="IF33">
        <v>195</v>
      </c>
      <c r="IG33">
        <v>185</v>
      </c>
      <c r="IH33">
        <v>240</v>
      </c>
      <c r="II33">
        <v>1</v>
      </c>
      <c r="IJ33">
        <v>5</v>
      </c>
      <c r="IK33">
        <v>0</v>
      </c>
      <c r="IL33">
        <v>0</v>
      </c>
      <c r="IM33">
        <v>0</v>
      </c>
      <c r="IN33">
        <v>270</v>
      </c>
      <c r="IO33">
        <v>0</v>
      </c>
      <c r="IP33">
        <v>180</v>
      </c>
      <c r="IQ33">
        <v>0</v>
      </c>
      <c r="IR33">
        <v>330</v>
      </c>
      <c r="IS33">
        <v>0</v>
      </c>
      <c r="IT33">
        <v>90</v>
      </c>
      <c r="IU33">
        <v>0</v>
      </c>
      <c r="IV33">
        <v>6.4</v>
      </c>
      <c r="IW33">
        <v>-6</v>
      </c>
      <c r="IX33">
        <v>101</v>
      </c>
      <c r="IY33">
        <v>71</v>
      </c>
      <c r="IZ33">
        <v>0</v>
      </c>
      <c r="JA33">
        <v>97.5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422</v>
      </c>
      <c r="JJ33">
        <v>382</v>
      </c>
      <c r="JK33">
        <v>295</v>
      </c>
      <c r="JL33">
        <v>380</v>
      </c>
      <c r="JM33">
        <v>290</v>
      </c>
      <c r="JN33">
        <v>235</v>
      </c>
      <c r="JO33">
        <v>245</v>
      </c>
      <c r="JP33">
        <v>190</v>
      </c>
      <c r="JQ33">
        <v>265</v>
      </c>
      <c r="JR33">
        <v>315</v>
      </c>
      <c r="JS33">
        <v>220</v>
      </c>
      <c r="JT33">
        <v>0</v>
      </c>
      <c r="JU33">
        <v>0</v>
      </c>
      <c r="JV33">
        <v>305</v>
      </c>
      <c r="JW33">
        <v>307</v>
      </c>
      <c r="JX33">
        <v>290</v>
      </c>
      <c r="JY33">
        <v>270</v>
      </c>
      <c r="JZ33">
        <v>1</v>
      </c>
      <c r="KA33">
        <v>0.25</v>
      </c>
      <c r="KB33">
        <v>0.4</v>
      </c>
      <c r="KC33">
        <v>0.42</v>
      </c>
      <c r="KD33">
        <v>0.28</v>
      </c>
      <c r="KE33">
        <v>0.5</v>
      </c>
      <c r="KF33">
        <v>0.18</v>
      </c>
      <c r="KG33">
        <v>0.11</v>
      </c>
      <c r="KH33">
        <v>3.5</v>
      </c>
      <c r="KI33">
        <v>1</v>
      </c>
      <c r="KJ33">
        <v>4.5</v>
      </c>
      <c r="KK33">
        <v>0.5</v>
      </c>
      <c r="KL33">
        <v>4.5</v>
      </c>
      <c r="KM33">
        <v>0.5</v>
      </c>
      <c r="KN33">
        <v>1.8</v>
      </c>
      <c r="KO33">
        <v>0</v>
      </c>
      <c r="KP33">
        <v>0</v>
      </c>
      <c r="KQ33">
        <v>0.8</v>
      </c>
      <c r="KR33">
        <v>0.8</v>
      </c>
      <c r="KS33">
        <v>0</v>
      </c>
      <c r="KT33">
        <v>3.5</v>
      </c>
      <c r="KU33">
        <v>0</v>
      </c>
      <c r="KV33">
        <v>0</v>
      </c>
      <c r="KW33">
        <v>0.8</v>
      </c>
      <c r="KX33">
        <v>2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3</v>
      </c>
      <c r="LI33">
        <v>0.5</v>
      </c>
      <c r="LJ33">
        <v>0</v>
      </c>
      <c r="LK33">
        <v>8</v>
      </c>
      <c r="LL33">
        <v>4</v>
      </c>
      <c r="LM33">
        <v>7</v>
      </c>
      <c r="LN33">
        <v>0.1</v>
      </c>
      <c r="LO33">
        <v>3</v>
      </c>
      <c r="LP33">
        <v>0</v>
      </c>
      <c r="LQ33">
        <v>0</v>
      </c>
      <c r="LR33">
        <v>0</v>
      </c>
      <c r="LS33">
        <v>1</v>
      </c>
      <c r="LT33">
        <v>0</v>
      </c>
      <c r="LU33">
        <v>0</v>
      </c>
      <c r="LV33">
        <v>0</v>
      </c>
      <c r="LW33">
        <v>2.8</v>
      </c>
      <c r="LX33">
        <v>2.8</v>
      </c>
      <c r="LY33">
        <v>2.8</v>
      </c>
      <c r="LZ33">
        <v>2.8</v>
      </c>
      <c r="MA33">
        <v>0</v>
      </c>
      <c r="MB33">
        <v>3</v>
      </c>
      <c r="MC33">
        <v>0</v>
      </c>
      <c r="MD33">
        <v>4.5</v>
      </c>
      <c r="ME33">
        <v>6</v>
      </c>
      <c r="MF33">
        <v>6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420</v>
      </c>
      <c r="MN33">
        <v>190</v>
      </c>
      <c r="MO33">
        <v>250</v>
      </c>
      <c r="NU33">
        <v>0.15</v>
      </c>
      <c r="NV33">
        <v>0.2</v>
      </c>
      <c r="NW33">
        <v>0.2</v>
      </c>
      <c r="NX33">
        <v>0.2</v>
      </c>
      <c r="NY33">
        <v>0.2</v>
      </c>
      <c r="NZ33">
        <v>0.2</v>
      </c>
      <c r="OE33" t="s">
        <v>4240</v>
      </c>
      <c r="OF33" t="s">
        <v>4238</v>
      </c>
      <c r="OG33" t="s">
        <v>4239</v>
      </c>
      <c r="OH33" t="s">
        <v>4043</v>
      </c>
      <c r="OI33" t="s">
        <v>4240</v>
      </c>
      <c r="OJ33" t="s">
        <v>4237</v>
      </c>
      <c r="OK33">
        <v>61</v>
      </c>
      <c r="OL33">
        <v>61</v>
      </c>
      <c r="OM33" t="s">
        <v>4238</v>
      </c>
      <c r="ON33">
        <v>2</v>
      </c>
      <c r="OO33">
        <v>2184</v>
      </c>
      <c r="OP33">
        <v>61</v>
      </c>
      <c r="OQ33">
        <v>61</v>
      </c>
      <c r="OR33" t="s">
        <v>4239</v>
      </c>
      <c r="OS33">
        <v>2</v>
      </c>
      <c r="OT33">
        <v>2198</v>
      </c>
      <c r="OU33">
        <v>65</v>
      </c>
      <c r="OV33">
        <v>65</v>
      </c>
      <c r="OW33" t="s">
        <v>4043</v>
      </c>
      <c r="OX33">
        <v>1</v>
      </c>
      <c r="OY33">
        <v>80716</v>
      </c>
      <c r="OZ33">
        <v>51</v>
      </c>
      <c r="PA33">
        <v>52</v>
      </c>
      <c r="PB33" t="s">
        <v>4240</v>
      </c>
      <c r="PC33">
        <v>2</v>
      </c>
      <c r="PD33">
        <v>2226</v>
      </c>
      <c r="PF33">
        <v>491</v>
      </c>
      <c r="PG33">
        <v>35</v>
      </c>
      <c r="PH33">
        <v>466</v>
      </c>
      <c r="PI33">
        <v>0</v>
      </c>
      <c r="PJ33">
        <v>59</v>
      </c>
      <c r="PK33">
        <v>1830</v>
      </c>
      <c r="PL33">
        <v>1263</v>
      </c>
      <c r="PM33">
        <v>399.2</v>
      </c>
      <c r="PN33">
        <v>99.59999999999999</v>
      </c>
      <c r="PO33">
        <v>8.4</v>
      </c>
      <c r="PP33">
        <v>12</v>
      </c>
      <c r="PQ33">
        <v>5</v>
      </c>
      <c r="PR33">
        <v>5</v>
      </c>
      <c r="PS33">
        <v>0</v>
      </c>
      <c r="PT33">
        <v>240</v>
      </c>
      <c r="PU33">
        <v>10</v>
      </c>
      <c r="PV33" t="s">
        <v>4072</v>
      </c>
      <c r="PW33" t="s">
        <v>4072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-1</v>
      </c>
      <c r="QF33">
        <v>1</v>
      </c>
      <c r="QG33">
        <v>0</v>
      </c>
      <c r="QH33">
        <v>5</v>
      </c>
      <c r="QI33">
        <v>5</v>
      </c>
      <c r="QJ33">
        <v>5</v>
      </c>
      <c r="QK33">
        <v>206</v>
      </c>
      <c r="QL33">
        <v>456</v>
      </c>
      <c r="QM33">
        <v>7.5</v>
      </c>
      <c r="QN33">
        <v>1461.1</v>
      </c>
      <c r="QO33" t="s">
        <v>556</v>
      </c>
      <c r="QP33" t="s">
        <v>513</v>
      </c>
      <c r="QQ33">
        <v>0</v>
      </c>
      <c r="QR33" t="s">
        <v>621</v>
      </c>
      <c r="QS33">
        <v>30</v>
      </c>
      <c r="QT33">
        <v>40</v>
      </c>
    </row>
    <row r="34" spans="1:462">
      <c r="A34" t="s">
        <v>1089</v>
      </c>
      <c r="B34" t="s">
        <v>629</v>
      </c>
      <c r="C34" t="s">
        <v>509</v>
      </c>
      <c r="D34" t="s">
        <v>1087</v>
      </c>
      <c r="E34" t="s">
        <v>4036</v>
      </c>
      <c r="H34" t="s">
        <v>1088</v>
      </c>
      <c r="L34" t="s">
        <v>711</v>
      </c>
      <c r="M34" t="s">
        <v>512</v>
      </c>
      <c r="O34" t="s">
        <v>513</v>
      </c>
      <c r="P34" t="s">
        <v>567</v>
      </c>
      <c r="Q34" t="s">
        <v>1090</v>
      </c>
      <c r="R34" t="s">
        <v>1091</v>
      </c>
      <c r="S34" t="s">
        <v>4037</v>
      </c>
      <c r="T34" t="s">
        <v>686</v>
      </c>
      <c r="U34" t="s">
        <v>687</v>
      </c>
      <c r="V34" t="s">
        <v>1092</v>
      </c>
      <c r="W34" t="s">
        <v>573</v>
      </c>
      <c r="X34" t="s">
        <v>1093</v>
      </c>
      <c r="Y34" t="s">
        <v>1094</v>
      </c>
      <c r="Z34" t="s">
        <v>541</v>
      </c>
      <c r="AA34" t="s">
        <v>4038</v>
      </c>
      <c r="AB34" t="s">
        <v>4241</v>
      </c>
      <c r="AC34">
        <v>9</v>
      </c>
      <c r="AD34" t="s">
        <v>1086</v>
      </c>
      <c r="AE34">
        <v>4</v>
      </c>
      <c r="AF34">
        <v>6792</v>
      </c>
      <c r="AG34" t="s">
        <v>4242</v>
      </c>
      <c r="AH34">
        <v>1</v>
      </c>
      <c r="AI34" t="s">
        <v>4041</v>
      </c>
      <c r="AK34" t="s">
        <v>4243</v>
      </c>
      <c r="AL34">
        <v>1</v>
      </c>
      <c r="AM34" t="s">
        <v>582</v>
      </c>
      <c r="AO34" t="s">
        <v>4043</v>
      </c>
      <c r="AP34">
        <v>1</v>
      </c>
      <c r="AR34" t="s">
        <v>4244</v>
      </c>
      <c r="AS34">
        <v>1</v>
      </c>
      <c r="AT34">
        <v>52</v>
      </c>
      <c r="AV34" t="s">
        <v>4078</v>
      </c>
      <c r="AW34">
        <v>6.4</v>
      </c>
      <c r="AX34">
        <v>-6</v>
      </c>
      <c r="AY34">
        <v>122.5</v>
      </c>
      <c r="AZ34">
        <v>95</v>
      </c>
      <c r="BH34">
        <v>122.5</v>
      </c>
      <c r="BI34">
        <v>27.5</v>
      </c>
      <c r="BJ34">
        <v>95</v>
      </c>
      <c r="BK34">
        <v>2.5</v>
      </c>
      <c r="BL34">
        <v>245</v>
      </c>
      <c r="BM34">
        <v>-6</v>
      </c>
      <c r="BN34">
        <v>0</v>
      </c>
      <c r="BP34">
        <v>0</v>
      </c>
      <c r="BR34">
        <v>240</v>
      </c>
      <c r="BS34">
        <v>230</v>
      </c>
      <c r="BT34">
        <v>2270</v>
      </c>
      <c r="BU34" t="s">
        <v>4079</v>
      </c>
      <c r="BV34" t="s">
        <v>4079</v>
      </c>
      <c r="BW34" t="s">
        <v>4081</v>
      </c>
      <c r="BX34" t="s">
        <v>4081</v>
      </c>
      <c r="BY34" t="s">
        <v>4221</v>
      </c>
      <c r="BZ34" t="s">
        <v>4221</v>
      </c>
      <c r="CA34" t="s">
        <v>4130</v>
      </c>
      <c r="CB34" t="s">
        <v>4131</v>
      </c>
      <c r="CC34" t="s">
        <v>4053</v>
      </c>
      <c r="CD34" t="s">
        <v>4055</v>
      </c>
      <c r="CE34" t="s">
        <v>4055</v>
      </c>
      <c r="CF34" t="s">
        <v>4055</v>
      </c>
      <c r="CG34" t="s">
        <v>4056</v>
      </c>
      <c r="CI34" t="s">
        <v>4086</v>
      </c>
      <c r="CJ34" t="s">
        <v>4059</v>
      </c>
      <c r="CK34" t="s">
        <v>4060</v>
      </c>
      <c r="CL34" t="s">
        <v>4061</v>
      </c>
      <c r="CM34" t="s">
        <v>4055</v>
      </c>
      <c r="CN34" t="s">
        <v>4062</v>
      </c>
      <c r="CO34" t="s">
        <v>4063</v>
      </c>
      <c r="CP34" t="s">
        <v>4055</v>
      </c>
      <c r="CQ34" t="s">
        <v>4055</v>
      </c>
      <c r="CR34">
        <v>5</v>
      </c>
      <c r="CS34" t="s">
        <v>4055</v>
      </c>
      <c r="CT34" t="s">
        <v>4055</v>
      </c>
      <c r="CU34" t="s">
        <v>4055</v>
      </c>
      <c r="CV34">
        <v>149</v>
      </c>
      <c r="CW34">
        <v>3</v>
      </c>
      <c r="CX34">
        <v>107</v>
      </c>
      <c r="CY34">
        <v>5</v>
      </c>
      <c r="CZ34">
        <v>175</v>
      </c>
      <c r="DA34">
        <v>5</v>
      </c>
      <c r="DB34">
        <v>15450</v>
      </c>
      <c r="DC34">
        <v>380</v>
      </c>
      <c r="DD34">
        <v>390</v>
      </c>
      <c r="DE34">
        <v>2381</v>
      </c>
      <c r="DF34">
        <v>2381</v>
      </c>
      <c r="DG34">
        <v>2403</v>
      </c>
      <c r="DH34">
        <v>1</v>
      </c>
      <c r="DI34" t="s">
        <v>4055</v>
      </c>
      <c r="DJ34" t="s">
        <v>4087</v>
      </c>
      <c r="DK34">
        <v>240</v>
      </c>
      <c r="DL34" t="s">
        <v>4065</v>
      </c>
      <c r="DM34">
        <v>65</v>
      </c>
      <c r="DN34">
        <v>1.36</v>
      </c>
      <c r="DO34">
        <v>1</v>
      </c>
      <c r="DP34">
        <v>2274</v>
      </c>
      <c r="DQ34">
        <v>1373</v>
      </c>
      <c r="DR34" t="s">
        <v>4087</v>
      </c>
      <c r="DS34">
        <v>230</v>
      </c>
      <c r="DT34" t="s">
        <v>4065</v>
      </c>
      <c r="DU34">
        <v>65</v>
      </c>
      <c r="DV34">
        <v>1.36</v>
      </c>
      <c r="DW34">
        <v>1</v>
      </c>
      <c r="DX34">
        <v>2288</v>
      </c>
      <c r="DY34">
        <v>1325</v>
      </c>
      <c r="DZ34" t="s">
        <v>4066</v>
      </c>
      <c r="EA34">
        <v>20</v>
      </c>
      <c r="EB34" t="s">
        <v>4065</v>
      </c>
      <c r="EC34">
        <v>0.8</v>
      </c>
      <c r="ED34">
        <v>2274</v>
      </c>
      <c r="EE34">
        <v>80</v>
      </c>
      <c r="EG34">
        <v>0</v>
      </c>
      <c r="EH34" t="s">
        <v>4065</v>
      </c>
      <c r="EI34">
        <v>0</v>
      </c>
      <c r="EL34" t="s">
        <v>1528</v>
      </c>
      <c r="EM34">
        <v>12</v>
      </c>
      <c r="EN34">
        <v>0.5</v>
      </c>
      <c r="EO34">
        <v>0.96</v>
      </c>
      <c r="EP34">
        <v>2287.1</v>
      </c>
      <c r="EQ34">
        <v>45920.68</v>
      </c>
      <c r="ER34">
        <v>9853.299999999999</v>
      </c>
      <c r="ES34">
        <v>0</v>
      </c>
      <c r="ET34">
        <v>0</v>
      </c>
      <c r="EU34">
        <v>1</v>
      </c>
      <c r="EV34">
        <v>55774</v>
      </c>
      <c r="EW34">
        <v>670</v>
      </c>
      <c r="EX34" t="s">
        <v>4088</v>
      </c>
      <c r="EY34">
        <v>268</v>
      </c>
      <c r="EZ34" t="s">
        <v>4055</v>
      </c>
      <c r="FA34">
        <v>6.8</v>
      </c>
      <c r="FB34">
        <v>1</v>
      </c>
      <c r="FC34">
        <v>1</v>
      </c>
      <c r="FD34">
        <v>2322</v>
      </c>
      <c r="FE34">
        <v>3662</v>
      </c>
      <c r="FF34" t="s">
        <v>4089</v>
      </c>
      <c r="FG34">
        <v>268</v>
      </c>
      <c r="FH34" t="s">
        <v>4055</v>
      </c>
      <c r="FI34">
        <v>1.8</v>
      </c>
      <c r="FJ34">
        <v>2322</v>
      </c>
      <c r="FK34">
        <v>1104</v>
      </c>
      <c r="FL34" t="s">
        <v>4069</v>
      </c>
      <c r="FM34" t="s">
        <v>4055</v>
      </c>
      <c r="FN34" t="s">
        <v>4055</v>
      </c>
      <c r="FO34" t="s">
        <v>4055</v>
      </c>
      <c r="FP34">
        <v>2322</v>
      </c>
      <c r="FQ34">
        <v>132</v>
      </c>
      <c r="FR34" t="s">
        <v>4090</v>
      </c>
      <c r="FS34">
        <v>272</v>
      </c>
      <c r="FT34" t="s">
        <v>4055</v>
      </c>
      <c r="FU34">
        <v>0.4</v>
      </c>
      <c r="FV34">
        <v>2322</v>
      </c>
      <c r="FW34">
        <v>281</v>
      </c>
      <c r="FX34" t="s">
        <v>4070</v>
      </c>
      <c r="FY34">
        <v>5</v>
      </c>
      <c r="FZ34" t="s">
        <v>4055</v>
      </c>
      <c r="GA34" t="s">
        <v>4055</v>
      </c>
      <c r="GB34">
        <v>2322</v>
      </c>
      <c r="GC34">
        <v>22</v>
      </c>
      <c r="GD34">
        <v>5201</v>
      </c>
      <c r="GE34" t="s">
        <v>4244</v>
      </c>
      <c r="GF34" t="s">
        <v>4055</v>
      </c>
      <c r="GG34" t="s">
        <v>4055</v>
      </c>
      <c r="GH34" t="s">
        <v>4055</v>
      </c>
      <c r="GI34" t="s">
        <v>4071</v>
      </c>
      <c r="GJ34" t="s">
        <v>4055</v>
      </c>
      <c r="GK34" t="s">
        <v>4055</v>
      </c>
      <c r="GL34" t="s">
        <v>4055</v>
      </c>
      <c r="GM34" t="s">
        <v>4055</v>
      </c>
      <c r="GQ34">
        <v>0</v>
      </c>
      <c r="GV34">
        <v>9</v>
      </c>
      <c r="GW34">
        <v>7.8</v>
      </c>
      <c r="GX34">
        <v>0.5</v>
      </c>
      <c r="GY34">
        <v>220</v>
      </c>
      <c r="GZ34">
        <v>3</v>
      </c>
      <c r="HA34">
        <v>288</v>
      </c>
      <c r="HB34">
        <v>3</v>
      </c>
      <c r="HC34">
        <v>2322</v>
      </c>
      <c r="HD34">
        <v>4</v>
      </c>
      <c r="HE34" t="s">
        <v>4071</v>
      </c>
      <c r="HG34" t="s">
        <v>549</v>
      </c>
      <c r="HL34">
        <v>4</v>
      </c>
      <c r="HM34">
        <v>19</v>
      </c>
      <c r="HN34">
        <v>6</v>
      </c>
      <c r="HO34">
        <v>1</v>
      </c>
      <c r="HP34">
        <v>0</v>
      </c>
      <c r="HQ34">
        <v>0</v>
      </c>
      <c r="HR34">
        <v>1</v>
      </c>
      <c r="HS34">
        <v>2270</v>
      </c>
      <c r="HT34">
        <v>5</v>
      </c>
      <c r="HU34">
        <v>1</v>
      </c>
      <c r="HV34">
        <v>3</v>
      </c>
      <c r="HW34">
        <v>0</v>
      </c>
      <c r="HX34">
        <v>1</v>
      </c>
      <c r="HY34">
        <v>0</v>
      </c>
      <c r="HZ34">
        <v>65</v>
      </c>
      <c r="IA34">
        <v>2274</v>
      </c>
      <c r="IB34">
        <v>2288</v>
      </c>
      <c r="ID34">
        <v>2322</v>
      </c>
      <c r="IE34">
        <v>2322</v>
      </c>
      <c r="IF34">
        <v>240</v>
      </c>
      <c r="IG34">
        <v>230</v>
      </c>
      <c r="IH34">
        <v>288</v>
      </c>
      <c r="II34">
        <v>1</v>
      </c>
      <c r="IJ34">
        <v>5</v>
      </c>
      <c r="IK34">
        <v>0</v>
      </c>
      <c r="IL34">
        <v>0</v>
      </c>
      <c r="IM34">
        <v>0</v>
      </c>
      <c r="IN34">
        <v>270</v>
      </c>
      <c r="IO34">
        <v>0</v>
      </c>
      <c r="IP34">
        <v>180</v>
      </c>
      <c r="IQ34">
        <v>0</v>
      </c>
      <c r="IR34">
        <v>330</v>
      </c>
      <c r="IS34">
        <v>0</v>
      </c>
      <c r="IT34">
        <v>90</v>
      </c>
      <c r="IU34">
        <v>0</v>
      </c>
      <c r="IV34">
        <v>6.4</v>
      </c>
      <c r="IW34">
        <v>-6</v>
      </c>
      <c r="IX34">
        <v>122.5</v>
      </c>
      <c r="IY34">
        <v>95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474</v>
      </c>
      <c r="JJ34">
        <v>444</v>
      </c>
      <c r="JK34">
        <v>300</v>
      </c>
      <c r="JL34">
        <v>442</v>
      </c>
      <c r="JM34">
        <v>320</v>
      </c>
      <c r="JN34">
        <v>230</v>
      </c>
      <c r="JO34">
        <v>300</v>
      </c>
      <c r="JP34">
        <v>180</v>
      </c>
      <c r="JQ34">
        <v>215</v>
      </c>
      <c r="JR34">
        <v>275</v>
      </c>
      <c r="JS34">
        <v>235</v>
      </c>
      <c r="JT34">
        <v>0</v>
      </c>
      <c r="JU34">
        <v>0</v>
      </c>
      <c r="JV34">
        <v>270</v>
      </c>
      <c r="JW34">
        <v>260</v>
      </c>
      <c r="JX34">
        <v>250</v>
      </c>
      <c r="JY34">
        <v>245</v>
      </c>
      <c r="JZ34">
        <v>0.5</v>
      </c>
      <c r="KA34">
        <v>0.2</v>
      </c>
      <c r="KB34">
        <v>0.4</v>
      </c>
      <c r="KC34">
        <v>0.4</v>
      </c>
      <c r="KD34">
        <v>0.3</v>
      </c>
      <c r="KE34">
        <v>0.5</v>
      </c>
      <c r="KF34">
        <v>0.19</v>
      </c>
      <c r="KG34">
        <v>0.12</v>
      </c>
      <c r="KH34">
        <v>3.5</v>
      </c>
      <c r="KI34">
        <v>1</v>
      </c>
      <c r="KJ34">
        <v>4.5</v>
      </c>
      <c r="KK34">
        <v>0</v>
      </c>
      <c r="KL34">
        <v>4.5</v>
      </c>
      <c r="KM34">
        <v>0.5</v>
      </c>
      <c r="KN34">
        <v>2.3</v>
      </c>
      <c r="KO34">
        <v>1</v>
      </c>
      <c r="KP34">
        <v>0</v>
      </c>
      <c r="KQ34">
        <v>0.7</v>
      </c>
      <c r="KR34">
        <v>0.8</v>
      </c>
      <c r="KS34">
        <v>0</v>
      </c>
      <c r="KT34">
        <v>3.5</v>
      </c>
      <c r="KU34">
        <v>0</v>
      </c>
      <c r="KV34">
        <v>0</v>
      </c>
      <c r="KW34">
        <v>1.2</v>
      </c>
      <c r="KX34">
        <v>1</v>
      </c>
      <c r="KY34">
        <v>1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3</v>
      </c>
      <c r="LI34">
        <v>0.5</v>
      </c>
      <c r="LJ34">
        <v>0</v>
      </c>
      <c r="LK34">
        <v>7</v>
      </c>
      <c r="LL34">
        <v>10</v>
      </c>
      <c r="LM34">
        <v>8</v>
      </c>
      <c r="LN34">
        <v>3</v>
      </c>
      <c r="LO34">
        <v>3</v>
      </c>
      <c r="LP34">
        <v>0</v>
      </c>
      <c r="LQ34">
        <v>0</v>
      </c>
      <c r="LR34">
        <v>0</v>
      </c>
      <c r="LS34">
        <v>1</v>
      </c>
      <c r="LT34">
        <v>0</v>
      </c>
      <c r="LU34">
        <v>0</v>
      </c>
      <c r="LV34">
        <v>0</v>
      </c>
      <c r="LW34">
        <v>2.1</v>
      </c>
      <c r="LX34">
        <v>2.1</v>
      </c>
      <c r="LY34">
        <v>2.1</v>
      </c>
      <c r="LZ34">
        <v>2.1</v>
      </c>
      <c r="MA34">
        <v>0</v>
      </c>
      <c r="MB34">
        <v>10</v>
      </c>
      <c r="MC34">
        <v>0</v>
      </c>
      <c r="MD34">
        <v>4.5</v>
      </c>
      <c r="ME34">
        <v>6</v>
      </c>
      <c r="MF34">
        <v>6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452</v>
      </c>
      <c r="MN34">
        <v>230</v>
      </c>
      <c r="MO34">
        <v>284</v>
      </c>
      <c r="NU34">
        <v>0.15</v>
      </c>
      <c r="NV34">
        <v>0.2</v>
      </c>
      <c r="NW34">
        <v>0.2</v>
      </c>
      <c r="NX34">
        <v>0.2</v>
      </c>
      <c r="NY34">
        <v>0.2</v>
      </c>
      <c r="NZ34">
        <v>0.2</v>
      </c>
      <c r="OE34" t="s">
        <v>4244</v>
      </c>
      <c r="OF34" t="s">
        <v>4242</v>
      </c>
      <c r="OG34" t="s">
        <v>4243</v>
      </c>
      <c r="OH34" t="s">
        <v>4043</v>
      </c>
      <c r="OI34" t="s">
        <v>4244</v>
      </c>
      <c r="OJ34" t="s">
        <v>4241</v>
      </c>
      <c r="OK34">
        <v>61</v>
      </c>
      <c r="OL34">
        <v>61</v>
      </c>
      <c r="OM34" t="s">
        <v>4242</v>
      </c>
      <c r="ON34">
        <v>1</v>
      </c>
      <c r="OO34">
        <v>2274</v>
      </c>
      <c r="OP34">
        <v>61</v>
      </c>
      <c r="OQ34">
        <v>61</v>
      </c>
      <c r="OR34" t="s">
        <v>4243</v>
      </c>
      <c r="OS34">
        <v>1</v>
      </c>
      <c r="OT34">
        <v>2288</v>
      </c>
      <c r="OU34">
        <v>65</v>
      </c>
      <c r="OV34">
        <v>65</v>
      </c>
      <c r="OW34" t="s">
        <v>4043</v>
      </c>
      <c r="OX34">
        <v>1</v>
      </c>
      <c r="OY34">
        <v>55774</v>
      </c>
      <c r="OZ34">
        <v>51</v>
      </c>
      <c r="PA34">
        <v>52</v>
      </c>
      <c r="PB34" t="s">
        <v>4244</v>
      </c>
      <c r="PC34">
        <v>1</v>
      </c>
      <c r="PD34">
        <v>2322</v>
      </c>
      <c r="PF34">
        <v>604</v>
      </c>
      <c r="PG34">
        <v>35</v>
      </c>
      <c r="PH34">
        <v>579</v>
      </c>
      <c r="PI34">
        <v>0</v>
      </c>
      <c r="PJ34">
        <v>56.7</v>
      </c>
      <c r="PL34">
        <v>1576.9</v>
      </c>
      <c r="PM34">
        <v>475.5</v>
      </c>
      <c r="PN34">
        <v>121.1</v>
      </c>
      <c r="PO34">
        <v>9.5</v>
      </c>
      <c r="PP34">
        <v>12</v>
      </c>
      <c r="PQ34">
        <v>4</v>
      </c>
      <c r="PR34">
        <v>4</v>
      </c>
      <c r="PS34">
        <v>0</v>
      </c>
      <c r="PT34">
        <v>288</v>
      </c>
      <c r="PU34">
        <v>10</v>
      </c>
      <c r="PV34" t="s">
        <v>4072</v>
      </c>
      <c r="PW34" t="s">
        <v>4072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-1</v>
      </c>
      <c r="QF34">
        <v>1</v>
      </c>
      <c r="QG34">
        <v>0</v>
      </c>
      <c r="QH34">
        <v>5</v>
      </c>
      <c r="QI34">
        <v>5</v>
      </c>
      <c r="QJ34">
        <v>5</v>
      </c>
      <c r="QK34">
        <v>252</v>
      </c>
      <c r="QL34">
        <v>504</v>
      </c>
      <c r="QM34">
        <v>7.5</v>
      </c>
      <c r="QN34">
        <v>1544.1</v>
      </c>
      <c r="QO34" t="s">
        <v>556</v>
      </c>
      <c r="QP34" t="s">
        <v>513</v>
      </c>
      <c r="QQ34">
        <v>0</v>
      </c>
      <c r="QR34" t="s">
        <v>596</v>
      </c>
      <c r="QS34">
        <v>40</v>
      </c>
      <c r="QT34">
        <v>50</v>
      </c>
    </row>
    <row r="35" spans="1:462">
      <c r="A35" t="s">
        <v>1101</v>
      </c>
      <c r="B35" t="s">
        <v>711</v>
      </c>
      <c r="C35" t="s">
        <v>509</v>
      </c>
      <c r="D35" t="s">
        <v>1890</v>
      </c>
      <c r="E35" t="s">
        <v>4036</v>
      </c>
      <c r="H35" t="s">
        <v>604</v>
      </c>
      <c r="I35" t="s">
        <v>605</v>
      </c>
      <c r="K35" t="s">
        <v>606</v>
      </c>
      <c r="L35" t="s">
        <v>804</v>
      </c>
      <c r="M35" t="s">
        <v>512</v>
      </c>
      <c r="O35" t="s">
        <v>513</v>
      </c>
      <c r="P35" t="s">
        <v>567</v>
      </c>
      <c r="Q35" t="s">
        <v>1102</v>
      </c>
      <c r="R35" t="s">
        <v>1103</v>
      </c>
      <c r="S35" t="s">
        <v>4091</v>
      </c>
      <c r="T35" t="s">
        <v>633</v>
      </c>
      <c r="U35" t="s">
        <v>634</v>
      </c>
      <c r="V35" t="s">
        <v>1104</v>
      </c>
      <c r="W35" t="s">
        <v>573</v>
      </c>
      <c r="X35" t="s">
        <v>1105</v>
      </c>
      <c r="Y35" t="s">
        <v>1106</v>
      </c>
      <c r="Z35" t="s">
        <v>541</v>
      </c>
      <c r="AA35" t="s">
        <v>4038</v>
      </c>
      <c r="AB35" t="s">
        <v>4245</v>
      </c>
      <c r="AC35">
        <v>9</v>
      </c>
      <c r="AD35" t="s">
        <v>1100</v>
      </c>
      <c r="AE35">
        <v>3</v>
      </c>
      <c r="AF35">
        <v>7138</v>
      </c>
      <c r="AG35" t="s">
        <v>4246</v>
      </c>
      <c r="AH35">
        <v>1</v>
      </c>
      <c r="AI35" t="s">
        <v>4041</v>
      </c>
      <c r="AK35" t="s">
        <v>4247</v>
      </c>
      <c r="AL35">
        <v>1</v>
      </c>
      <c r="AM35" t="s">
        <v>582</v>
      </c>
      <c r="AO35" t="s">
        <v>4043</v>
      </c>
      <c r="AP35">
        <v>2</v>
      </c>
      <c r="AR35" t="s">
        <v>4248</v>
      </c>
      <c r="AS35">
        <v>1</v>
      </c>
      <c r="AT35">
        <v>52</v>
      </c>
      <c r="AV35" t="s">
        <v>4126</v>
      </c>
      <c r="AW35">
        <v>6.4</v>
      </c>
      <c r="AX35">
        <v>-6</v>
      </c>
      <c r="AY35">
        <v>101</v>
      </c>
      <c r="AZ35">
        <v>77</v>
      </c>
      <c r="BB35">
        <v>97.5</v>
      </c>
      <c r="BH35">
        <v>101</v>
      </c>
      <c r="BI35">
        <v>24</v>
      </c>
      <c r="BJ35">
        <v>77</v>
      </c>
      <c r="BK35">
        <v>3.5</v>
      </c>
      <c r="BL35">
        <v>202</v>
      </c>
      <c r="BM35">
        <v>-6</v>
      </c>
      <c r="BN35">
        <v>97.5</v>
      </c>
      <c r="BP35">
        <v>195</v>
      </c>
      <c r="BR35">
        <v>195</v>
      </c>
      <c r="BS35">
        <v>185</v>
      </c>
      <c r="BT35">
        <v>2170</v>
      </c>
      <c r="BU35" t="s">
        <v>4127</v>
      </c>
      <c r="BV35" t="s">
        <v>4127</v>
      </c>
      <c r="BW35" t="s">
        <v>4128</v>
      </c>
      <c r="BX35" t="s">
        <v>4128</v>
      </c>
      <c r="BY35" t="s">
        <v>4173</v>
      </c>
      <c r="BZ35" t="s">
        <v>4249</v>
      </c>
      <c r="CA35" t="s">
        <v>4108</v>
      </c>
      <c r="CB35" t="s">
        <v>4109</v>
      </c>
      <c r="CC35" t="s">
        <v>4053</v>
      </c>
      <c r="CD35" t="s">
        <v>4110</v>
      </c>
      <c r="CE35" t="s">
        <v>4055</v>
      </c>
      <c r="CF35" t="s">
        <v>4055</v>
      </c>
      <c r="CG35" t="s">
        <v>4056</v>
      </c>
      <c r="CI35" t="s">
        <v>4058</v>
      </c>
      <c r="CJ35" t="s">
        <v>4059</v>
      </c>
      <c r="CK35" t="s">
        <v>4060</v>
      </c>
      <c r="CL35" t="s">
        <v>4061</v>
      </c>
      <c r="CM35" t="s">
        <v>4062</v>
      </c>
      <c r="CN35" t="s">
        <v>4055</v>
      </c>
      <c r="CO35" t="s">
        <v>4063</v>
      </c>
      <c r="CP35" t="s">
        <v>4055</v>
      </c>
      <c r="CQ35" t="s">
        <v>4055</v>
      </c>
      <c r="CR35">
        <v>5</v>
      </c>
      <c r="CS35" t="s">
        <v>4055</v>
      </c>
      <c r="CT35" t="s">
        <v>4055</v>
      </c>
      <c r="CU35" t="s">
        <v>4055</v>
      </c>
      <c r="CV35">
        <v>128</v>
      </c>
      <c r="CW35">
        <v>3</v>
      </c>
      <c r="CX35">
        <v>82</v>
      </c>
      <c r="CY35">
        <v>5</v>
      </c>
      <c r="CZ35">
        <v>148</v>
      </c>
      <c r="DA35">
        <v>5</v>
      </c>
      <c r="DB35">
        <v>14000</v>
      </c>
      <c r="DC35">
        <v>420</v>
      </c>
      <c r="DD35">
        <v>340</v>
      </c>
      <c r="DE35">
        <v>2275</v>
      </c>
      <c r="DF35">
        <v>2275</v>
      </c>
      <c r="DG35">
        <v>2294</v>
      </c>
      <c r="DH35" t="s">
        <v>4055</v>
      </c>
      <c r="DI35" t="s">
        <v>4055</v>
      </c>
      <c r="DJ35" t="s">
        <v>4217</v>
      </c>
      <c r="DK35">
        <v>195</v>
      </c>
      <c r="DL35" t="s">
        <v>4065</v>
      </c>
      <c r="DM35">
        <v>65</v>
      </c>
      <c r="DN35">
        <v>1.26</v>
      </c>
      <c r="DO35">
        <v>1</v>
      </c>
      <c r="DP35">
        <v>2174</v>
      </c>
      <c r="DQ35">
        <v>1024</v>
      </c>
      <c r="DR35" t="s">
        <v>4217</v>
      </c>
      <c r="DS35">
        <v>185</v>
      </c>
      <c r="DT35" t="s">
        <v>4065</v>
      </c>
      <c r="DU35">
        <v>65</v>
      </c>
      <c r="DV35">
        <v>1.26</v>
      </c>
      <c r="DW35">
        <v>1</v>
      </c>
      <c r="DX35">
        <v>2187</v>
      </c>
      <c r="DY35">
        <v>978</v>
      </c>
      <c r="DZ35" t="s">
        <v>4066</v>
      </c>
      <c r="EA35">
        <v>20</v>
      </c>
      <c r="EB35" t="s">
        <v>4065</v>
      </c>
      <c r="EC35">
        <v>0.8</v>
      </c>
      <c r="ED35">
        <v>2174</v>
      </c>
      <c r="EE35">
        <v>76</v>
      </c>
      <c r="EG35">
        <v>0</v>
      </c>
      <c r="EH35" t="s">
        <v>4065</v>
      </c>
      <c r="EI35">
        <v>0</v>
      </c>
      <c r="EL35" t="s">
        <v>1528</v>
      </c>
      <c r="EM35">
        <v>12</v>
      </c>
      <c r="EN35">
        <v>0.5</v>
      </c>
      <c r="EO35">
        <v>0.96</v>
      </c>
      <c r="EP35">
        <v>2185.84</v>
      </c>
      <c r="EQ35">
        <v>36544.51</v>
      </c>
      <c r="ER35">
        <v>8219.52</v>
      </c>
      <c r="ES35">
        <v>33483.69</v>
      </c>
      <c r="ET35">
        <v>0</v>
      </c>
      <c r="EU35">
        <v>1</v>
      </c>
      <c r="EV35">
        <v>78248</v>
      </c>
      <c r="EW35">
        <v>939</v>
      </c>
      <c r="EX35" t="s">
        <v>4088</v>
      </c>
      <c r="EY35">
        <v>228</v>
      </c>
      <c r="EZ35" t="s">
        <v>4055</v>
      </c>
      <c r="FA35">
        <v>5.8</v>
      </c>
      <c r="FB35">
        <v>1</v>
      </c>
      <c r="FC35">
        <v>1</v>
      </c>
      <c r="FD35">
        <v>2218</v>
      </c>
      <c r="FE35">
        <v>2609</v>
      </c>
      <c r="FF35" t="s">
        <v>4089</v>
      </c>
      <c r="FG35">
        <v>228</v>
      </c>
      <c r="FH35" t="s">
        <v>4055</v>
      </c>
      <c r="FI35">
        <v>1.8</v>
      </c>
      <c r="FJ35">
        <v>2218</v>
      </c>
      <c r="FK35">
        <v>903</v>
      </c>
      <c r="FL35" t="s">
        <v>4069</v>
      </c>
      <c r="FM35" t="s">
        <v>4055</v>
      </c>
      <c r="FN35" t="s">
        <v>4055</v>
      </c>
      <c r="FO35" t="s">
        <v>4055</v>
      </c>
      <c r="FP35">
        <v>2218</v>
      </c>
      <c r="FQ35">
        <v>77</v>
      </c>
      <c r="FR35" t="s">
        <v>4090</v>
      </c>
      <c r="FS35">
        <v>232</v>
      </c>
      <c r="FT35" t="s">
        <v>4055</v>
      </c>
      <c r="FU35">
        <v>0.4</v>
      </c>
      <c r="FV35">
        <v>2218</v>
      </c>
      <c r="FW35">
        <v>229</v>
      </c>
      <c r="FX35" t="s">
        <v>4070</v>
      </c>
      <c r="FY35">
        <v>5</v>
      </c>
      <c r="FZ35" t="s">
        <v>4055</v>
      </c>
      <c r="GA35" t="s">
        <v>4055</v>
      </c>
      <c r="GB35">
        <v>2218</v>
      </c>
      <c r="GC35">
        <v>21</v>
      </c>
      <c r="GD35">
        <v>3839</v>
      </c>
      <c r="GE35" t="s">
        <v>4248</v>
      </c>
      <c r="GF35" t="s">
        <v>4055</v>
      </c>
      <c r="GG35" t="s">
        <v>4055</v>
      </c>
      <c r="GH35" t="s">
        <v>4055</v>
      </c>
      <c r="GI35" t="s">
        <v>4071</v>
      </c>
      <c r="GJ35" t="s">
        <v>4055</v>
      </c>
      <c r="GK35" t="s">
        <v>4055</v>
      </c>
      <c r="GL35" t="s">
        <v>4055</v>
      </c>
      <c r="GM35" t="s">
        <v>4055</v>
      </c>
      <c r="GQ35">
        <v>0</v>
      </c>
      <c r="GV35">
        <v>8</v>
      </c>
      <c r="GW35">
        <v>7</v>
      </c>
      <c r="GX35">
        <v>0.5</v>
      </c>
      <c r="GY35">
        <v>190</v>
      </c>
      <c r="GZ35">
        <v>3</v>
      </c>
      <c r="HA35">
        <v>242</v>
      </c>
      <c r="HB35">
        <v>3</v>
      </c>
      <c r="HC35">
        <v>2218</v>
      </c>
      <c r="HD35">
        <v>4</v>
      </c>
      <c r="HE35" t="s">
        <v>4071</v>
      </c>
      <c r="HG35" t="s">
        <v>549</v>
      </c>
      <c r="HL35">
        <v>6</v>
      </c>
      <c r="HM35">
        <v>17</v>
      </c>
      <c r="HN35">
        <v>6</v>
      </c>
      <c r="HO35">
        <v>1</v>
      </c>
      <c r="HP35">
        <v>0</v>
      </c>
      <c r="HQ35">
        <v>0</v>
      </c>
      <c r="HR35">
        <v>2</v>
      </c>
      <c r="HS35">
        <v>2170</v>
      </c>
      <c r="HT35">
        <v>5</v>
      </c>
      <c r="HU35">
        <v>1</v>
      </c>
      <c r="HV35">
        <v>3</v>
      </c>
      <c r="HW35">
        <v>0</v>
      </c>
      <c r="HX35">
        <v>1</v>
      </c>
      <c r="HY35">
        <v>0</v>
      </c>
      <c r="HZ35">
        <v>65</v>
      </c>
      <c r="IA35">
        <v>2174</v>
      </c>
      <c r="IB35">
        <v>2187</v>
      </c>
      <c r="ID35">
        <v>2218</v>
      </c>
      <c r="IE35">
        <v>2218</v>
      </c>
      <c r="IF35">
        <v>195</v>
      </c>
      <c r="IG35">
        <v>185</v>
      </c>
      <c r="IH35">
        <v>242</v>
      </c>
      <c r="II35">
        <v>1</v>
      </c>
      <c r="IJ35">
        <v>10</v>
      </c>
      <c r="IK35">
        <v>0</v>
      </c>
      <c r="IL35">
        <v>0</v>
      </c>
      <c r="IM35">
        <v>0</v>
      </c>
      <c r="IN35">
        <v>270</v>
      </c>
      <c r="IO35">
        <v>0</v>
      </c>
      <c r="IP35">
        <v>180</v>
      </c>
      <c r="IQ35">
        <v>0</v>
      </c>
      <c r="IR35">
        <v>330</v>
      </c>
      <c r="IS35">
        <v>0</v>
      </c>
      <c r="IT35">
        <v>90</v>
      </c>
      <c r="IU35">
        <v>0</v>
      </c>
      <c r="IV35">
        <v>6.4</v>
      </c>
      <c r="IW35">
        <v>-6</v>
      </c>
      <c r="IX35">
        <v>101</v>
      </c>
      <c r="IY35">
        <v>77</v>
      </c>
      <c r="IZ35">
        <v>0</v>
      </c>
      <c r="JA35">
        <v>97.5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436</v>
      </c>
      <c r="JJ35">
        <v>390</v>
      </c>
      <c r="JK35">
        <v>280</v>
      </c>
      <c r="JL35">
        <v>388</v>
      </c>
      <c r="JM35">
        <v>286</v>
      </c>
      <c r="JN35">
        <v>200</v>
      </c>
      <c r="JO35">
        <v>245</v>
      </c>
      <c r="JP35">
        <v>195</v>
      </c>
      <c r="JQ35">
        <v>250</v>
      </c>
      <c r="JR35">
        <v>350</v>
      </c>
      <c r="JS35">
        <v>220</v>
      </c>
      <c r="JT35">
        <v>0</v>
      </c>
      <c r="JU35">
        <v>0</v>
      </c>
      <c r="JV35">
        <v>300</v>
      </c>
      <c r="JW35">
        <v>290</v>
      </c>
      <c r="JX35">
        <v>290</v>
      </c>
      <c r="JY35">
        <v>260</v>
      </c>
      <c r="JZ35">
        <v>0.5</v>
      </c>
      <c r="KA35">
        <v>0.2</v>
      </c>
      <c r="KB35">
        <v>0.4</v>
      </c>
      <c r="KC35">
        <v>0.42</v>
      </c>
      <c r="KD35">
        <v>0.3</v>
      </c>
      <c r="KE35">
        <v>0.5</v>
      </c>
      <c r="KF35">
        <v>0.19</v>
      </c>
      <c r="KG35">
        <v>0.11</v>
      </c>
      <c r="KH35">
        <v>3.5</v>
      </c>
      <c r="KI35">
        <v>1</v>
      </c>
      <c r="KJ35">
        <v>4.5</v>
      </c>
      <c r="KK35">
        <v>0</v>
      </c>
      <c r="KL35">
        <v>4.5</v>
      </c>
      <c r="KM35">
        <v>0</v>
      </c>
      <c r="KN35">
        <v>1.8</v>
      </c>
      <c r="KO35">
        <v>0</v>
      </c>
      <c r="KP35">
        <v>0</v>
      </c>
      <c r="KQ35">
        <v>0.7</v>
      </c>
      <c r="KR35">
        <v>0.9</v>
      </c>
      <c r="KS35">
        <v>0</v>
      </c>
      <c r="KT35">
        <v>2</v>
      </c>
      <c r="KU35">
        <v>0</v>
      </c>
      <c r="KV35">
        <v>0</v>
      </c>
      <c r="KW35">
        <v>0.7</v>
      </c>
      <c r="KX35">
        <v>1.5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3</v>
      </c>
      <c r="LI35">
        <v>2.5</v>
      </c>
      <c r="LJ35">
        <v>0</v>
      </c>
      <c r="LK35">
        <v>9</v>
      </c>
      <c r="LL35">
        <v>5</v>
      </c>
      <c r="LM35">
        <v>8</v>
      </c>
      <c r="LN35">
        <v>0.5</v>
      </c>
      <c r="LO35">
        <v>3</v>
      </c>
      <c r="LP35">
        <v>0</v>
      </c>
      <c r="LQ35">
        <v>0</v>
      </c>
      <c r="LR35">
        <v>0</v>
      </c>
      <c r="LS35">
        <v>1</v>
      </c>
      <c r="LT35">
        <v>0</v>
      </c>
      <c r="LU35">
        <v>0</v>
      </c>
      <c r="LV35">
        <v>0</v>
      </c>
      <c r="LW35">
        <v>2.1</v>
      </c>
      <c r="LX35">
        <v>2.1</v>
      </c>
      <c r="LY35">
        <v>2.8</v>
      </c>
      <c r="LZ35">
        <v>2.8</v>
      </c>
      <c r="MA35">
        <v>0</v>
      </c>
      <c r="MB35">
        <v>4</v>
      </c>
      <c r="MC35">
        <v>0</v>
      </c>
      <c r="MD35">
        <v>4.5</v>
      </c>
      <c r="ME35">
        <v>6</v>
      </c>
      <c r="MF35">
        <v>6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452</v>
      </c>
      <c r="MN35">
        <v>200</v>
      </c>
      <c r="MO35">
        <v>245</v>
      </c>
      <c r="NU35">
        <v>0.15</v>
      </c>
      <c r="NV35">
        <v>0.2</v>
      </c>
      <c r="NW35">
        <v>0.2</v>
      </c>
      <c r="NX35">
        <v>0.2</v>
      </c>
      <c r="NY35">
        <v>0.2</v>
      </c>
      <c r="NZ35">
        <v>0.2</v>
      </c>
      <c r="OE35" t="s">
        <v>4248</v>
      </c>
      <c r="OF35" t="s">
        <v>4246</v>
      </c>
      <c r="OG35" t="s">
        <v>4247</v>
      </c>
      <c r="OH35" t="s">
        <v>4043</v>
      </c>
      <c r="OI35" t="s">
        <v>4248</v>
      </c>
      <c r="OJ35" t="s">
        <v>4245</v>
      </c>
      <c r="OK35">
        <v>61</v>
      </c>
      <c r="OL35">
        <v>61</v>
      </c>
      <c r="OM35" t="s">
        <v>4246</v>
      </c>
      <c r="ON35">
        <v>1</v>
      </c>
      <c r="OO35">
        <v>2174</v>
      </c>
      <c r="OP35">
        <v>61</v>
      </c>
      <c r="OQ35">
        <v>61</v>
      </c>
      <c r="OR35" t="s">
        <v>4247</v>
      </c>
      <c r="OS35">
        <v>1</v>
      </c>
      <c r="OT35">
        <v>2187</v>
      </c>
      <c r="OU35">
        <v>65</v>
      </c>
      <c r="OV35">
        <v>65</v>
      </c>
      <c r="OW35" t="s">
        <v>4043</v>
      </c>
      <c r="OX35">
        <v>2</v>
      </c>
      <c r="OY35">
        <v>78248</v>
      </c>
      <c r="OZ35">
        <v>51</v>
      </c>
      <c r="PA35">
        <v>52</v>
      </c>
      <c r="PB35" t="s">
        <v>4248</v>
      </c>
      <c r="PC35">
        <v>1</v>
      </c>
      <c r="PD35">
        <v>2218</v>
      </c>
      <c r="PF35">
        <v>471</v>
      </c>
      <c r="PG35">
        <v>35</v>
      </c>
      <c r="PH35">
        <v>447</v>
      </c>
      <c r="PI35">
        <v>0</v>
      </c>
      <c r="PJ35">
        <v>34.7</v>
      </c>
      <c r="PK35">
        <v>1730</v>
      </c>
      <c r="PL35">
        <v>1176.4</v>
      </c>
      <c r="PM35">
        <v>407</v>
      </c>
      <c r="PN35">
        <v>103.2</v>
      </c>
      <c r="PO35">
        <v>9.300000000000001</v>
      </c>
      <c r="PP35">
        <v>12</v>
      </c>
      <c r="PQ35">
        <v>5</v>
      </c>
      <c r="PR35">
        <v>5</v>
      </c>
      <c r="PS35">
        <v>0</v>
      </c>
      <c r="PT35">
        <v>242</v>
      </c>
      <c r="PU35">
        <v>7</v>
      </c>
      <c r="PV35" t="s">
        <v>4072</v>
      </c>
      <c r="PW35" t="s">
        <v>4072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-1</v>
      </c>
      <c r="QF35">
        <v>1</v>
      </c>
      <c r="QG35">
        <v>0</v>
      </c>
      <c r="QH35">
        <v>5</v>
      </c>
      <c r="QI35">
        <v>5</v>
      </c>
      <c r="QJ35">
        <v>5</v>
      </c>
      <c r="QK35">
        <v>213</v>
      </c>
      <c r="QL35">
        <v>470</v>
      </c>
      <c r="QM35">
        <v>7.5</v>
      </c>
      <c r="QN35">
        <v>1383</v>
      </c>
      <c r="QO35" t="s">
        <v>556</v>
      </c>
      <c r="QP35" t="s">
        <v>513</v>
      </c>
      <c r="QQ35">
        <v>0</v>
      </c>
      <c r="QR35" t="s">
        <v>892</v>
      </c>
      <c r="QS35">
        <v>30</v>
      </c>
      <c r="QT35">
        <v>40</v>
      </c>
    </row>
    <row r="36" spans="1:462">
      <c r="A36" t="s">
        <v>1116</v>
      </c>
      <c r="B36" t="s">
        <v>564</v>
      </c>
      <c r="C36" t="s">
        <v>509</v>
      </c>
      <c r="D36" t="s">
        <v>864</v>
      </c>
      <c r="E36" t="s">
        <v>4036</v>
      </c>
      <c r="H36" t="s">
        <v>1115</v>
      </c>
      <c r="J36" t="s">
        <v>562</v>
      </c>
      <c r="K36" t="s">
        <v>563</v>
      </c>
      <c r="L36" t="s">
        <v>629</v>
      </c>
      <c r="M36" t="s">
        <v>512</v>
      </c>
      <c r="O36" t="s">
        <v>513</v>
      </c>
      <c r="P36" t="s">
        <v>567</v>
      </c>
      <c r="Q36" t="s">
        <v>1117</v>
      </c>
      <c r="R36" t="s">
        <v>714</v>
      </c>
      <c r="S36" t="s">
        <v>4134</v>
      </c>
      <c r="T36" t="s">
        <v>662</v>
      </c>
      <c r="U36" t="s">
        <v>663</v>
      </c>
      <c r="V36" t="s">
        <v>1118</v>
      </c>
      <c r="W36" t="s">
        <v>573</v>
      </c>
      <c r="X36" t="s">
        <v>1119</v>
      </c>
      <c r="Y36" t="s">
        <v>1120</v>
      </c>
      <c r="Z36" t="s">
        <v>541</v>
      </c>
      <c r="AA36" t="s">
        <v>582</v>
      </c>
      <c r="AB36" t="s">
        <v>4250</v>
      </c>
      <c r="AC36">
        <v>9</v>
      </c>
      <c r="AD36" t="s">
        <v>1114</v>
      </c>
      <c r="AE36">
        <v>5</v>
      </c>
      <c r="AF36">
        <v>4869</v>
      </c>
      <c r="AG36" t="s">
        <v>4136</v>
      </c>
      <c r="AH36">
        <v>1</v>
      </c>
      <c r="AI36" t="s">
        <v>4041</v>
      </c>
      <c r="AK36" t="s">
        <v>4137</v>
      </c>
      <c r="AL36">
        <v>1</v>
      </c>
      <c r="AM36" t="s">
        <v>582</v>
      </c>
      <c r="AO36" t="s">
        <v>4043</v>
      </c>
      <c r="AP36">
        <v>1</v>
      </c>
      <c r="AR36" t="s">
        <v>4251</v>
      </c>
      <c r="AS36">
        <v>1</v>
      </c>
      <c r="AT36">
        <v>52</v>
      </c>
      <c r="AV36" t="s">
        <v>4078</v>
      </c>
      <c r="AW36">
        <v>6.4</v>
      </c>
      <c r="AX36">
        <v>-6</v>
      </c>
      <c r="AY36">
        <v>110</v>
      </c>
      <c r="AZ36">
        <v>80</v>
      </c>
      <c r="BA36">
        <v>0</v>
      </c>
      <c r="BB36">
        <v>0</v>
      </c>
      <c r="BC36">
        <v>0</v>
      </c>
      <c r="BH36">
        <v>110</v>
      </c>
      <c r="BI36">
        <v>30</v>
      </c>
      <c r="BJ36">
        <v>80</v>
      </c>
      <c r="BK36">
        <v>2.5</v>
      </c>
      <c r="BL36">
        <v>220</v>
      </c>
      <c r="BM36">
        <v>-6</v>
      </c>
      <c r="BN36">
        <v>0</v>
      </c>
      <c r="BP36">
        <v>0</v>
      </c>
      <c r="BR36">
        <v>215</v>
      </c>
      <c r="BS36">
        <v>205</v>
      </c>
      <c r="BT36">
        <v>1975</v>
      </c>
      <c r="BU36" t="s">
        <v>4096</v>
      </c>
      <c r="BV36" t="s">
        <v>4096</v>
      </c>
      <c r="BW36" t="s">
        <v>4049</v>
      </c>
      <c r="BX36" t="s">
        <v>4097</v>
      </c>
      <c r="BY36" t="s">
        <v>4116</v>
      </c>
      <c r="BZ36" t="s">
        <v>4116</v>
      </c>
      <c r="CA36" t="s">
        <v>4118</v>
      </c>
      <c r="CB36" t="s">
        <v>4119</v>
      </c>
      <c r="CC36" t="s">
        <v>4053</v>
      </c>
      <c r="CD36" t="s">
        <v>4121</v>
      </c>
      <c r="CE36" t="s">
        <v>4055</v>
      </c>
      <c r="CF36" t="s">
        <v>4055</v>
      </c>
      <c r="CG36" t="s">
        <v>4056</v>
      </c>
      <c r="CH36" t="s">
        <v>4099</v>
      </c>
      <c r="CI36" t="s">
        <v>4058</v>
      </c>
      <c r="CJ36" t="s">
        <v>4059</v>
      </c>
      <c r="CK36" t="s">
        <v>4060</v>
      </c>
      <c r="CL36" t="s">
        <v>4061</v>
      </c>
      <c r="CM36" t="s">
        <v>4055</v>
      </c>
      <c r="CN36" t="s">
        <v>4062</v>
      </c>
      <c r="CO36" t="s">
        <v>4063</v>
      </c>
      <c r="CP36" t="s">
        <v>4055</v>
      </c>
      <c r="CQ36" t="s">
        <v>4055</v>
      </c>
      <c r="CR36">
        <v>5</v>
      </c>
      <c r="CS36" t="s">
        <v>4055</v>
      </c>
      <c r="CT36" t="s">
        <v>4055</v>
      </c>
      <c r="CU36" t="s">
        <v>4055</v>
      </c>
      <c r="CV36">
        <v>131</v>
      </c>
      <c r="CW36">
        <v>3</v>
      </c>
      <c r="CX36">
        <v>88</v>
      </c>
      <c r="CY36">
        <v>5</v>
      </c>
      <c r="CZ36">
        <v>144</v>
      </c>
      <c r="DA36">
        <v>5</v>
      </c>
      <c r="DB36">
        <v>11160</v>
      </c>
      <c r="DC36">
        <v>330</v>
      </c>
      <c r="DD36">
        <v>320</v>
      </c>
      <c r="DE36">
        <v>2085</v>
      </c>
      <c r="DF36">
        <v>2085</v>
      </c>
      <c r="DG36">
        <v>2097</v>
      </c>
      <c r="DH36" t="s">
        <v>4055</v>
      </c>
      <c r="DI36" t="s">
        <v>4055</v>
      </c>
      <c r="DJ36" t="s">
        <v>4064</v>
      </c>
      <c r="DK36">
        <v>215</v>
      </c>
      <c r="DL36" t="s">
        <v>4065</v>
      </c>
      <c r="DM36">
        <v>65</v>
      </c>
      <c r="DN36">
        <v>1.2</v>
      </c>
      <c r="DO36">
        <v>1</v>
      </c>
      <c r="DP36">
        <v>1979</v>
      </c>
      <c r="DQ36">
        <v>978</v>
      </c>
      <c r="DR36" t="s">
        <v>4064</v>
      </c>
      <c r="DS36">
        <v>205</v>
      </c>
      <c r="DT36" t="s">
        <v>4065</v>
      </c>
      <c r="DU36">
        <v>65</v>
      </c>
      <c r="DV36">
        <v>1.2</v>
      </c>
      <c r="DW36">
        <v>1</v>
      </c>
      <c r="DX36">
        <v>1991</v>
      </c>
      <c r="DY36">
        <v>938</v>
      </c>
      <c r="DZ36" t="s">
        <v>4066</v>
      </c>
      <c r="EA36">
        <v>20</v>
      </c>
      <c r="EB36" t="s">
        <v>4065</v>
      </c>
      <c r="EC36">
        <v>0.8</v>
      </c>
      <c r="ED36">
        <v>1979</v>
      </c>
      <c r="EE36">
        <v>69</v>
      </c>
      <c r="EG36">
        <v>0</v>
      </c>
      <c r="EH36" t="s">
        <v>4065</v>
      </c>
      <c r="EI36">
        <v>0</v>
      </c>
      <c r="EL36" t="s">
        <v>1528</v>
      </c>
      <c r="EM36">
        <v>12</v>
      </c>
      <c r="EN36">
        <v>0.5</v>
      </c>
      <c r="EO36">
        <v>0.96</v>
      </c>
      <c r="EP36">
        <v>1990.08</v>
      </c>
      <c r="EQ36">
        <v>36070.2</v>
      </c>
      <c r="ER36">
        <v>9356.77</v>
      </c>
      <c r="ES36">
        <v>0</v>
      </c>
      <c r="ET36">
        <v>0</v>
      </c>
      <c r="EU36">
        <v>1</v>
      </c>
      <c r="EV36">
        <v>45427</v>
      </c>
      <c r="EW36">
        <v>546</v>
      </c>
      <c r="EX36" t="s">
        <v>4088</v>
      </c>
      <c r="EY36">
        <v>228</v>
      </c>
      <c r="EZ36" t="s">
        <v>4055</v>
      </c>
      <c r="FA36">
        <v>6.5</v>
      </c>
      <c r="FB36">
        <v>1</v>
      </c>
      <c r="FC36">
        <v>1</v>
      </c>
      <c r="FD36">
        <v>2024</v>
      </c>
      <c r="FE36">
        <v>2542</v>
      </c>
      <c r="FF36" t="s">
        <v>4089</v>
      </c>
      <c r="FG36">
        <v>228</v>
      </c>
      <c r="FH36" t="s">
        <v>4055</v>
      </c>
      <c r="FI36">
        <v>1.8</v>
      </c>
      <c r="FJ36">
        <v>2024</v>
      </c>
      <c r="FK36">
        <v>855</v>
      </c>
      <c r="FL36" t="s">
        <v>4069</v>
      </c>
      <c r="FM36" t="s">
        <v>4055</v>
      </c>
      <c r="FN36" t="s">
        <v>4055</v>
      </c>
      <c r="FO36" t="s">
        <v>4055</v>
      </c>
      <c r="FP36">
        <v>2024</v>
      </c>
      <c r="FQ36">
        <v>131</v>
      </c>
      <c r="FR36" t="s">
        <v>4090</v>
      </c>
      <c r="FS36">
        <v>232</v>
      </c>
      <c r="FT36" t="s">
        <v>4055</v>
      </c>
      <c r="FU36">
        <v>0.4</v>
      </c>
      <c r="FV36">
        <v>2024</v>
      </c>
      <c r="FW36">
        <v>209</v>
      </c>
      <c r="FX36" t="s">
        <v>4070</v>
      </c>
      <c r="FY36">
        <v>5</v>
      </c>
      <c r="FZ36" t="s">
        <v>4055</v>
      </c>
      <c r="GA36" t="s">
        <v>4055</v>
      </c>
      <c r="GB36">
        <v>2024</v>
      </c>
      <c r="GC36">
        <v>18</v>
      </c>
      <c r="GD36">
        <v>3755</v>
      </c>
      <c r="GE36" t="s">
        <v>4251</v>
      </c>
      <c r="GF36" t="s">
        <v>4055</v>
      </c>
      <c r="GG36" t="s">
        <v>4055</v>
      </c>
      <c r="GH36" t="s">
        <v>4055</v>
      </c>
      <c r="GI36" t="s">
        <v>4071</v>
      </c>
      <c r="GJ36" t="s">
        <v>4055</v>
      </c>
      <c r="GK36" t="s">
        <v>4055</v>
      </c>
      <c r="GL36" t="s">
        <v>4055</v>
      </c>
      <c r="GM36" t="s">
        <v>4055</v>
      </c>
      <c r="GQ36">
        <v>0</v>
      </c>
      <c r="GV36">
        <v>8.699999999999999</v>
      </c>
      <c r="GW36">
        <v>7.1</v>
      </c>
      <c r="GX36">
        <v>0.5</v>
      </c>
      <c r="GY36">
        <v>206</v>
      </c>
      <c r="GZ36">
        <v>3</v>
      </c>
      <c r="HA36">
        <v>252</v>
      </c>
      <c r="HB36">
        <v>3</v>
      </c>
      <c r="HC36">
        <v>2024</v>
      </c>
      <c r="HD36">
        <v>4</v>
      </c>
      <c r="HE36" t="s">
        <v>4071</v>
      </c>
      <c r="HG36" t="s">
        <v>549</v>
      </c>
      <c r="HL36">
        <v>4</v>
      </c>
      <c r="HM36">
        <v>18</v>
      </c>
      <c r="HN36">
        <v>6</v>
      </c>
      <c r="HO36">
        <v>1</v>
      </c>
      <c r="HP36">
        <v>0</v>
      </c>
      <c r="HQ36">
        <v>0</v>
      </c>
      <c r="HR36">
        <v>3</v>
      </c>
      <c r="HS36">
        <v>1975</v>
      </c>
      <c r="HT36">
        <v>5</v>
      </c>
      <c r="HU36">
        <v>1</v>
      </c>
      <c r="HV36">
        <v>3</v>
      </c>
      <c r="HW36">
        <v>0</v>
      </c>
      <c r="HX36">
        <v>1</v>
      </c>
      <c r="HY36">
        <v>0</v>
      </c>
      <c r="HZ36">
        <v>65</v>
      </c>
      <c r="IA36">
        <v>1979</v>
      </c>
      <c r="IB36">
        <v>1991</v>
      </c>
      <c r="ID36">
        <v>2024</v>
      </c>
      <c r="IE36">
        <v>2024</v>
      </c>
      <c r="IF36">
        <v>215</v>
      </c>
      <c r="IG36">
        <v>205</v>
      </c>
      <c r="IH36">
        <v>252</v>
      </c>
      <c r="II36">
        <v>1</v>
      </c>
      <c r="IJ36">
        <v>5</v>
      </c>
      <c r="IK36">
        <v>0</v>
      </c>
      <c r="IL36">
        <v>0</v>
      </c>
      <c r="IM36">
        <v>0</v>
      </c>
      <c r="IN36">
        <v>270</v>
      </c>
      <c r="IO36">
        <v>0</v>
      </c>
      <c r="IP36">
        <v>180</v>
      </c>
      <c r="IQ36">
        <v>0</v>
      </c>
      <c r="IR36">
        <v>330</v>
      </c>
      <c r="IS36">
        <v>0</v>
      </c>
      <c r="IT36">
        <v>90</v>
      </c>
      <c r="IU36">
        <v>0</v>
      </c>
      <c r="IV36">
        <v>6.4</v>
      </c>
      <c r="IW36">
        <v>-6</v>
      </c>
      <c r="IX36">
        <v>110</v>
      </c>
      <c r="IY36">
        <v>80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366</v>
      </c>
      <c r="JJ36">
        <v>336</v>
      </c>
      <c r="JK36">
        <v>246</v>
      </c>
      <c r="JL36">
        <v>336</v>
      </c>
      <c r="JM36">
        <v>256</v>
      </c>
      <c r="JN36">
        <v>215</v>
      </c>
      <c r="JO36">
        <v>258</v>
      </c>
      <c r="JP36">
        <v>230</v>
      </c>
      <c r="JQ36">
        <v>255</v>
      </c>
      <c r="JR36">
        <v>310</v>
      </c>
      <c r="JS36">
        <v>280</v>
      </c>
      <c r="JT36">
        <v>0</v>
      </c>
      <c r="JU36">
        <v>0</v>
      </c>
      <c r="JV36">
        <v>300</v>
      </c>
      <c r="JW36">
        <v>260</v>
      </c>
      <c r="JX36">
        <v>296</v>
      </c>
      <c r="JY36">
        <v>284</v>
      </c>
      <c r="JZ36">
        <v>0.5</v>
      </c>
      <c r="KA36">
        <v>0.21</v>
      </c>
      <c r="KB36">
        <v>0.4</v>
      </c>
      <c r="KC36">
        <v>0.42</v>
      </c>
      <c r="KD36">
        <v>0.28</v>
      </c>
      <c r="KE36">
        <v>0.5</v>
      </c>
      <c r="KF36">
        <v>0.2</v>
      </c>
      <c r="KG36">
        <v>0.1</v>
      </c>
      <c r="KH36">
        <v>3.5</v>
      </c>
      <c r="KI36">
        <v>1</v>
      </c>
      <c r="KJ36">
        <v>4.5</v>
      </c>
      <c r="KK36">
        <v>0</v>
      </c>
      <c r="KL36">
        <v>4.5</v>
      </c>
      <c r="KM36">
        <v>0.5</v>
      </c>
      <c r="KN36">
        <v>1.6</v>
      </c>
      <c r="KO36">
        <v>0</v>
      </c>
      <c r="KP36">
        <v>0</v>
      </c>
      <c r="KQ36">
        <v>0.8</v>
      </c>
      <c r="KR36">
        <v>1</v>
      </c>
      <c r="KS36">
        <v>0.2</v>
      </c>
      <c r="KT36">
        <v>3</v>
      </c>
      <c r="KU36">
        <v>0</v>
      </c>
      <c r="KV36">
        <v>0</v>
      </c>
      <c r="KW36">
        <v>1</v>
      </c>
      <c r="KX36">
        <v>2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3</v>
      </c>
      <c r="LI36">
        <v>0.5</v>
      </c>
      <c r="LJ36">
        <v>0</v>
      </c>
      <c r="LK36">
        <v>4.5</v>
      </c>
      <c r="LL36">
        <v>4.5</v>
      </c>
      <c r="LM36">
        <v>7</v>
      </c>
      <c r="LN36">
        <v>0.4</v>
      </c>
      <c r="LO36">
        <v>3.5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1.2</v>
      </c>
      <c r="LX36">
        <v>1.2</v>
      </c>
      <c r="LY36">
        <v>2</v>
      </c>
      <c r="LZ36">
        <v>2</v>
      </c>
      <c r="MA36">
        <v>0</v>
      </c>
      <c r="MB36">
        <v>2.5</v>
      </c>
      <c r="MC36">
        <v>0</v>
      </c>
      <c r="MD36">
        <v>4.5</v>
      </c>
      <c r="ME36">
        <v>6</v>
      </c>
      <c r="MF36">
        <v>6</v>
      </c>
      <c r="MI36">
        <v>0</v>
      </c>
      <c r="MJ36">
        <v>0</v>
      </c>
      <c r="ML36">
        <v>0</v>
      </c>
      <c r="MM36">
        <v>390</v>
      </c>
      <c r="MN36">
        <v>210</v>
      </c>
      <c r="MO36">
        <v>258</v>
      </c>
      <c r="NU36">
        <v>0.15</v>
      </c>
      <c r="NV36">
        <v>0.2</v>
      </c>
      <c r="NW36">
        <v>0.2</v>
      </c>
      <c r="NX36">
        <v>0.2</v>
      </c>
      <c r="NY36">
        <v>0.2</v>
      </c>
      <c r="NZ36">
        <v>0.2</v>
      </c>
      <c r="OE36" t="s">
        <v>4251</v>
      </c>
      <c r="OF36" t="s">
        <v>4136</v>
      </c>
      <c r="OG36" t="s">
        <v>4137</v>
      </c>
      <c r="OH36" t="s">
        <v>4043</v>
      </c>
      <c r="OI36" t="s">
        <v>4251</v>
      </c>
      <c r="OJ36" t="s">
        <v>4250</v>
      </c>
      <c r="OK36">
        <v>61</v>
      </c>
      <c r="OL36">
        <v>61</v>
      </c>
      <c r="OM36" t="s">
        <v>4136</v>
      </c>
      <c r="ON36">
        <v>1</v>
      </c>
      <c r="OO36">
        <v>1979</v>
      </c>
      <c r="OP36">
        <v>61</v>
      </c>
      <c r="OQ36">
        <v>61</v>
      </c>
      <c r="OR36" t="s">
        <v>4137</v>
      </c>
      <c r="OS36">
        <v>1</v>
      </c>
      <c r="OT36">
        <v>1991</v>
      </c>
      <c r="OU36">
        <v>65</v>
      </c>
      <c r="OV36">
        <v>65</v>
      </c>
      <c r="OW36" t="s">
        <v>4043</v>
      </c>
      <c r="OX36">
        <v>1</v>
      </c>
      <c r="OY36">
        <v>45427</v>
      </c>
      <c r="OZ36">
        <v>51</v>
      </c>
      <c r="PA36">
        <v>52</v>
      </c>
      <c r="PB36" t="s">
        <v>4251</v>
      </c>
      <c r="PC36">
        <v>2</v>
      </c>
      <c r="PD36">
        <v>2024</v>
      </c>
      <c r="PF36">
        <v>494</v>
      </c>
      <c r="PG36">
        <v>35</v>
      </c>
      <c r="PH36">
        <v>471</v>
      </c>
      <c r="PI36">
        <v>0</v>
      </c>
      <c r="PJ36">
        <v>64.7</v>
      </c>
      <c r="PK36">
        <v>1867</v>
      </c>
      <c r="PL36">
        <v>1256.1</v>
      </c>
      <c r="PM36">
        <v>422.6</v>
      </c>
      <c r="PN36">
        <v>103.2</v>
      </c>
      <c r="PO36">
        <v>9.1</v>
      </c>
      <c r="PP36">
        <v>12</v>
      </c>
      <c r="PQ36">
        <v>3</v>
      </c>
      <c r="PR36">
        <v>3</v>
      </c>
      <c r="PS36">
        <v>8</v>
      </c>
      <c r="PT36">
        <v>252</v>
      </c>
      <c r="PU36">
        <v>12</v>
      </c>
      <c r="PV36" t="s">
        <v>4072</v>
      </c>
      <c r="PW36" t="s">
        <v>4072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-1</v>
      </c>
      <c r="QF36">
        <v>1</v>
      </c>
      <c r="QG36">
        <v>0</v>
      </c>
      <c r="QH36">
        <v>5</v>
      </c>
      <c r="QI36">
        <v>5</v>
      </c>
      <c r="QJ36">
        <v>5</v>
      </c>
      <c r="QK36">
        <v>177</v>
      </c>
      <c r="QL36">
        <v>400</v>
      </c>
      <c r="QM36">
        <v>7.5</v>
      </c>
      <c r="QN36">
        <v>1461.1</v>
      </c>
      <c r="QO36" t="s">
        <v>556</v>
      </c>
      <c r="QP36" t="s">
        <v>513</v>
      </c>
      <c r="QQ36">
        <v>0</v>
      </c>
      <c r="QR36" t="s">
        <v>540</v>
      </c>
      <c r="QS36">
        <v>30</v>
      </c>
      <c r="QT36">
        <v>40</v>
      </c>
    </row>
    <row r="37" spans="1:462">
      <c r="A37" t="s">
        <v>1125</v>
      </c>
      <c r="B37" t="s">
        <v>564</v>
      </c>
      <c r="C37" t="s">
        <v>509</v>
      </c>
      <c r="D37" t="s">
        <v>1013</v>
      </c>
      <c r="E37" t="s">
        <v>4036</v>
      </c>
      <c r="H37" t="s">
        <v>604</v>
      </c>
      <c r="I37" t="s">
        <v>605</v>
      </c>
      <c r="J37" t="s">
        <v>628</v>
      </c>
      <c r="K37" t="s">
        <v>606</v>
      </c>
      <c r="L37" t="s">
        <v>629</v>
      </c>
      <c r="M37" t="s">
        <v>512</v>
      </c>
      <c r="O37" t="s">
        <v>513</v>
      </c>
      <c r="P37" t="s">
        <v>567</v>
      </c>
      <c r="Q37" t="s">
        <v>1126</v>
      </c>
      <c r="R37" t="s">
        <v>1127</v>
      </c>
      <c r="S37" t="s">
        <v>4073</v>
      </c>
      <c r="T37" t="s">
        <v>633</v>
      </c>
      <c r="U37" t="s">
        <v>634</v>
      </c>
      <c r="V37" t="s">
        <v>940</v>
      </c>
      <c r="W37" t="s">
        <v>573</v>
      </c>
      <c r="X37" t="s">
        <v>1128</v>
      </c>
      <c r="Y37" t="s">
        <v>1129</v>
      </c>
      <c r="Z37" t="s">
        <v>541</v>
      </c>
      <c r="AA37" t="s">
        <v>4038</v>
      </c>
      <c r="AB37" t="s">
        <v>4252</v>
      </c>
      <c r="AC37">
        <v>9</v>
      </c>
      <c r="AD37" t="s">
        <v>1124</v>
      </c>
      <c r="AE37">
        <v>5</v>
      </c>
      <c r="AF37">
        <v>4292</v>
      </c>
      <c r="AG37" t="s">
        <v>4227</v>
      </c>
      <c r="AH37">
        <v>1</v>
      </c>
      <c r="AI37" t="s">
        <v>4041</v>
      </c>
      <c r="AK37" t="s">
        <v>4228</v>
      </c>
      <c r="AL37">
        <v>1</v>
      </c>
      <c r="AM37" t="s">
        <v>582</v>
      </c>
      <c r="AO37" t="s">
        <v>4043</v>
      </c>
      <c r="AP37">
        <v>1</v>
      </c>
      <c r="AR37" t="s">
        <v>4253</v>
      </c>
      <c r="AS37">
        <v>1</v>
      </c>
      <c r="AT37">
        <v>52</v>
      </c>
      <c r="AV37" t="s">
        <v>4078</v>
      </c>
      <c r="AW37">
        <v>6.4</v>
      </c>
      <c r="AX37">
        <v>-6</v>
      </c>
      <c r="AY37">
        <v>106</v>
      </c>
      <c r="AZ37">
        <v>82.5</v>
      </c>
      <c r="BH37">
        <v>106</v>
      </c>
      <c r="BI37">
        <v>23.5</v>
      </c>
      <c r="BJ37">
        <v>82.5</v>
      </c>
      <c r="BK37">
        <v>3.5</v>
      </c>
      <c r="BL37">
        <v>212</v>
      </c>
      <c r="BM37">
        <v>-6</v>
      </c>
      <c r="BN37">
        <v>0</v>
      </c>
      <c r="BO37">
        <v>0</v>
      </c>
      <c r="BP37">
        <v>0</v>
      </c>
      <c r="BR37">
        <v>205</v>
      </c>
      <c r="BS37">
        <v>195</v>
      </c>
      <c r="BT37">
        <v>1920</v>
      </c>
      <c r="BU37" t="s">
        <v>4047</v>
      </c>
      <c r="BV37" t="s">
        <v>4047</v>
      </c>
      <c r="BW37" t="s">
        <v>4049</v>
      </c>
      <c r="BX37" t="s">
        <v>4049</v>
      </c>
      <c r="BY37" t="s">
        <v>4107</v>
      </c>
      <c r="BZ37" t="s">
        <v>4107</v>
      </c>
      <c r="CA37" t="s">
        <v>4108</v>
      </c>
      <c r="CB37" t="s">
        <v>4109</v>
      </c>
      <c r="CC37" t="s">
        <v>4053</v>
      </c>
      <c r="CD37" t="s">
        <v>4110</v>
      </c>
      <c r="CE37" t="s">
        <v>4055</v>
      </c>
      <c r="CF37" t="s">
        <v>4055</v>
      </c>
      <c r="CG37" t="s">
        <v>4056</v>
      </c>
      <c r="CH37" t="s">
        <v>4057</v>
      </c>
      <c r="CI37" t="s">
        <v>4058</v>
      </c>
      <c r="CJ37" t="s">
        <v>4059</v>
      </c>
      <c r="CK37" t="s">
        <v>4060</v>
      </c>
      <c r="CL37" t="s">
        <v>4061</v>
      </c>
      <c r="CM37" t="s">
        <v>4055</v>
      </c>
      <c r="CN37" t="s">
        <v>4062</v>
      </c>
      <c r="CO37" t="s">
        <v>4063</v>
      </c>
      <c r="CP37" t="s">
        <v>4055</v>
      </c>
      <c r="CQ37" t="s">
        <v>4055</v>
      </c>
      <c r="CR37">
        <v>5</v>
      </c>
      <c r="CS37" t="s">
        <v>4055</v>
      </c>
      <c r="CT37" t="s">
        <v>4055</v>
      </c>
      <c r="CU37" t="s">
        <v>4055</v>
      </c>
      <c r="CV37">
        <v>127</v>
      </c>
      <c r="CW37">
        <v>3</v>
      </c>
      <c r="CX37">
        <v>91</v>
      </c>
      <c r="CY37">
        <v>5</v>
      </c>
      <c r="CZ37">
        <v>143</v>
      </c>
      <c r="DA37">
        <v>5</v>
      </c>
      <c r="DB37">
        <v>10070</v>
      </c>
      <c r="DC37">
        <v>300</v>
      </c>
      <c r="DD37">
        <v>320</v>
      </c>
      <c r="DE37">
        <v>2028</v>
      </c>
      <c r="DF37">
        <v>2028</v>
      </c>
      <c r="DG37">
        <v>2038</v>
      </c>
      <c r="DH37" t="s">
        <v>4055</v>
      </c>
      <c r="DI37" t="s">
        <v>4055</v>
      </c>
      <c r="DJ37" t="s">
        <v>4132</v>
      </c>
      <c r="DK37">
        <v>205</v>
      </c>
      <c r="DL37" t="s">
        <v>4065</v>
      </c>
      <c r="DM37">
        <v>65</v>
      </c>
      <c r="DN37">
        <v>1.1</v>
      </c>
      <c r="DO37">
        <v>1</v>
      </c>
      <c r="DP37">
        <v>1923</v>
      </c>
      <c r="DQ37">
        <v>852</v>
      </c>
      <c r="DR37" t="s">
        <v>4132</v>
      </c>
      <c r="DS37">
        <v>195</v>
      </c>
      <c r="DT37" t="s">
        <v>4065</v>
      </c>
      <c r="DU37">
        <v>65</v>
      </c>
      <c r="DV37">
        <v>1.1</v>
      </c>
      <c r="DW37">
        <v>1</v>
      </c>
      <c r="DX37">
        <v>1935</v>
      </c>
      <c r="DY37">
        <v>817</v>
      </c>
      <c r="DZ37" t="s">
        <v>4066</v>
      </c>
      <c r="EA37">
        <v>20</v>
      </c>
      <c r="EB37" t="s">
        <v>4065</v>
      </c>
      <c r="EC37">
        <v>0.8</v>
      </c>
      <c r="ED37">
        <v>1923</v>
      </c>
      <c r="EE37">
        <v>67</v>
      </c>
      <c r="EG37">
        <v>0</v>
      </c>
      <c r="EH37" t="s">
        <v>4065</v>
      </c>
      <c r="EI37">
        <v>0</v>
      </c>
      <c r="EL37" t="s">
        <v>1528</v>
      </c>
      <c r="EM37">
        <v>12</v>
      </c>
      <c r="EN37">
        <v>0.5</v>
      </c>
      <c r="EO37">
        <v>0.96</v>
      </c>
      <c r="EP37">
        <v>1933.83</v>
      </c>
      <c r="EQ37">
        <v>33842.03</v>
      </c>
      <c r="ER37">
        <v>7122.93</v>
      </c>
      <c r="ES37">
        <v>0</v>
      </c>
      <c r="ET37">
        <v>0</v>
      </c>
      <c r="EU37">
        <v>1</v>
      </c>
      <c r="EV37">
        <v>40965</v>
      </c>
      <c r="EW37">
        <v>492</v>
      </c>
      <c r="EX37" t="s">
        <v>4088</v>
      </c>
      <c r="EY37">
        <v>220</v>
      </c>
      <c r="EZ37" t="s">
        <v>4055</v>
      </c>
      <c r="FA37">
        <v>6.9</v>
      </c>
      <c r="FB37">
        <v>1</v>
      </c>
      <c r="FC37">
        <v>1</v>
      </c>
      <c r="FD37">
        <v>1969</v>
      </c>
      <c r="FE37">
        <v>2438</v>
      </c>
      <c r="FF37" t="s">
        <v>4089</v>
      </c>
      <c r="FG37">
        <v>220</v>
      </c>
      <c r="FH37" t="s">
        <v>4055</v>
      </c>
      <c r="FI37">
        <v>1.8</v>
      </c>
      <c r="FJ37">
        <v>1969</v>
      </c>
      <c r="FK37">
        <v>794</v>
      </c>
      <c r="FL37" t="s">
        <v>4069</v>
      </c>
      <c r="FM37" t="s">
        <v>4055</v>
      </c>
      <c r="FN37" t="s">
        <v>4055</v>
      </c>
      <c r="FO37" t="s">
        <v>4055</v>
      </c>
      <c r="FP37">
        <v>1969</v>
      </c>
      <c r="FQ37">
        <v>101</v>
      </c>
      <c r="FR37" t="s">
        <v>4090</v>
      </c>
      <c r="FS37">
        <v>224</v>
      </c>
      <c r="FT37" t="s">
        <v>4055</v>
      </c>
      <c r="FU37">
        <v>0.4</v>
      </c>
      <c r="FV37">
        <v>1969</v>
      </c>
      <c r="FW37">
        <v>196</v>
      </c>
      <c r="FX37" t="s">
        <v>4070</v>
      </c>
      <c r="FY37">
        <v>5</v>
      </c>
      <c r="FZ37" t="s">
        <v>4055</v>
      </c>
      <c r="GA37" t="s">
        <v>4055</v>
      </c>
      <c r="GB37">
        <v>1969</v>
      </c>
      <c r="GC37">
        <v>19</v>
      </c>
      <c r="GD37">
        <v>3548</v>
      </c>
      <c r="GE37" t="s">
        <v>4253</v>
      </c>
      <c r="GF37" t="s">
        <v>4055</v>
      </c>
      <c r="GG37" t="s">
        <v>4055</v>
      </c>
      <c r="GH37" t="s">
        <v>4055</v>
      </c>
      <c r="GI37" t="s">
        <v>4071</v>
      </c>
      <c r="GJ37" t="s">
        <v>4055</v>
      </c>
      <c r="GK37" t="s">
        <v>4055</v>
      </c>
      <c r="GL37" t="s">
        <v>4055</v>
      </c>
      <c r="GM37" t="s">
        <v>4055</v>
      </c>
      <c r="GQ37">
        <v>0</v>
      </c>
      <c r="GV37">
        <v>9.1</v>
      </c>
      <c r="GW37">
        <v>7.3</v>
      </c>
      <c r="GX37">
        <v>0.5</v>
      </c>
      <c r="GY37">
        <v>194</v>
      </c>
      <c r="GZ37">
        <v>3</v>
      </c>
      <c r="HA37">
        <v>240</v>
      </c>
      <c r="HB37">
        <v>3</v>
      </c>
      <c r="HC37">
        <v>1969</v>
      </c>
      <c r="HD37">
        <v>4</v>
      </c>
      <c r="HE37" t="s">
        <v>4071</v>
      </c>
      <c r="HG37" t="s">
        <v>549</v>
      </c>
      <c r="HL37">
        <v>4</v>
      </c>
      <c r="HM37">
        <v>17</v>
      </c>
      <c r="HN37">
        <v>6</v>
      </c>
      <c r="HO37">
        <v>1</v>
      </c>
      <c r="HP37">
        <v>0</v>
      </c>
      <c r="HQ37">
        <v>0</v>
      </c>
      <c r="HR37">
        <v>3</v>
      </c>
      <c r="HS37">
        <v>1920</v>
      </c>
      <c r="HT37">
        <v>5</v>
      </c>
      <c r="HU37">
        <v>1</v>
      </c>
      <c r="HV37">
        <v>3</v>
      </c>
      <c r="HW37">
        <v>0</v>
      </c>
      <c r="HX37">
        <v>1</v>
      </c>
      <c r="HY37">
        <v>0</v>
      </c>
      <c r="HZ37">
        <v>65</v>
      </c>
      <c r="IA37">
        <v>1923</v>
      </c>
      <c r="IB37">
        <v>1935</v>
      </c>
      <c r="ID37">
        <v>1969</v>
      </c>
      <c r="IE37">
        <v>1969</v>
      </c>
      <c r="IF37">
        <v>205</v>
      </c>
      <c r="IG37">
        <v>195</v>
      </c>
      <c r="IH37">
        <v>240</v>
      </c>
      <c r="II37">
        <v>1</v>
      </c>
      <c r="IJ37">
        <v>5</v>
      </c>
      <c r="IK37">
        <v>0</v>
      </c>
      <c r="IL37">
        <v>0</v>
      </c>
      <c r="IM37">
        <v>0</v>
      </c>
      <c r="IN37">
        <v>270</v>
      </c>
      <c r="IO37">
        <v>0</v>
      </c>
      <c r="IP37">
        <v>180</v>
      </c>
      <c r="IQ37">
        <v>0</v>
      </c>
      <c r="IR37">
        <v>325</v>
      </c>
      <c r="IS37">
        <v>0</v>
      </c>
      <c r="IT37">
        <v>90</v>
      </c>
      <c r="IU37">
        <v>0</v>
      </c>
      <c r="IV37">
        <v>6.4</v>
      </c>
      <c r="IW37">
        <v>-6</v>
      </c>
      <c r="IX37">
        <v>106</v>
      </c>
      <c r="IY37">
        <v>82.5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368</v>
      </c>
      <c r="JJ37">
        <v>338</v>
      </c>
      <c r="JK37">
        <v>252</v>
      </c>
      <c r="JL37">
        <v>336</v>
      </c>
      <c r="JM37">
        <v>268</v>
      </c>
      <c r="JN37">
        <v>205</v>
      </c>
      <c r="JO37">
        <v>250</v>
      </c>
      <c r="JP37">
        <v>220</v>
      </c>
      <c r="JQ37">
        <v>260</v>
      </c>
      <c r="JR37">
        <v>325</v>
      </c>
      <c r="JS37">
        <v>260</v>
      </c>
      <c r="JT37">
        <v>0</v>
      </c>
      <c r="JU37">
        <v>0</v>
      </c>
      <c r="JV37">
        <v>310</v>
      </c>
      <c r="JW37">
        <v>312</v>
      </c>
      <c r="JX37">
        <v>317</v>
      </c>
      <c r="JY37">
        <v>310</v>
      </c>
      <c r="JZ37">
        <v>1</v>
      </c>
      <c r="KA37">
        <v>0.2</v>
      </c>
      <c r="KB37">
        <v>0.4</v>
      </c>
      <c r="KC37">
        <v>0.42</v>
      </c>
      <c r="KD37">
        <v>0.28</v>
      </c>
      <c r="KE37">
        <v>0.5</v>
      </c>
      <c r="KF37">
        <v>0.17</v>
      </c>
      <c r="KG37">
        <v>0.1</v>
      </c>
      <c r="KH37">
        <v>3.5</v>
      </c>
      <c r="KI37">
        <v>1</v>
      </c>
      <c r="KJ37">
        <v>5</v>
      </c>
      <c r="KK37">
        <v>1</v>
      </c>
      <c r="KL37">
        <v>5</v>
      </c>
      <c r="KM37">
        <v>1</v>
      </c>
      <c r="KN37">
        <v>1.5</v>
      </c>
      <c r="KO37">
        <v>0</v>
      </c>
      <c r="KP37">
        <v>0</v>
      </c>
      <c r="KQ37">
        <v>1.2</v>
      </c>
      <c r="KR37">
        <v>0.8</v>
      </c>
      <c r="KS37">
        <v>0.2</v>
      </c>
      <c r="KT37">
        <v>2.5</v>
      </c>
      <c r="KU37">
        <v>0</v>
      </c>
      <c r="KV37">
        <v>0</v>
      </c>
      <c r="KW37">
        <v>1.2</v>
      </c>
      <c r="KX37">
        <v>2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3</v>
      </c>
      <c r="LI37">
        <v>1</v>
      </c>
      <c r="LJ37">
        <v>0</v>
      </c>
      <c r="LK37">
        <v>3</v>
      </c>
      <c r="LL37">
        <v>6</v>
      </c>
      <c r="LM37">
        <v>5</v>
      </c>
      <c r="LN37">
        <v>0.5</v>
      </c>
      <c r="LO37">
        <v>0.3</v>
      </c>
      <c r="LP37">
        <v>0</v>
      </c>
      <c r="LQ37">
        <v>0</v>
      </c>
      <c r="LR37">
        <v>0</v>
      </c>
      <c r="LS37">
        <v>1</v>
      </c>
      <c r="LT37">
        <v>0</v>
      </c>
      <c r="LU37">
        <v>0</v>
      </c>
      <c r="LV37">
        <v>0</v>
      </c>
      <c r="LW37">
        <v>1.8</v>
      </c>
      <c r="LX37">
        <v>1.8</v>
      </c>
      <c r="LY37">
        <v>1.8</v>
      </c>
      <c r="LZ37">
        <v>1.8</v>
      </c>
      <c r="MA37">
        <v>0</v>
      </c>
      <c r="MB37">
        <v>3</v>
      </c>
      <c r="MC37">
        <v>0</v>
      </c>
      <c r="MD37">
        <v>4.5</v>
      </c>
      <c r="ME37">
        <v>6</v>
      </c>
      <c r="MF37">
        <v>6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390</v>
      </c>
      <c r="MN37">
        <v>210</v>
      </c>
      <c r="MO37">
        <v>250</v>
      </c>
      <c r="NU37">
        <v>0.15</v>
      </c>
      <c r="NV37">
        <v>0.2</v>
      </c>
      <c r="NW37">
        <v>0.2</v>
      </c>
      <c r="NX37">
        <v>2</v>
      </c>
      <c r="NY37">
        <v>2</v>
      </c>
      <c r="NZ37">
        <v>2</v>
      </c>
      <c r="OE37" t="s">
        <v>4253</v>
      </c>
      <c r="OF37" t="s">
        <v>4227</v>
      </c>
      <c r="OG37" t="s">
        <v>4228</v>
      </c>
      <c r="OH37" t="s">
        <v>4043</v>
      </c>
      <c r="OI37" t="s">
        <v>4253</v>
      </c>
      <c r="OJ37" t="s">
        <v>4252</v>
      </c>
      <c r="OK37">
        <v>61</v>
      </c>
      <c r="OL37">
        <v>61</v>
      </c>
      <c r="OM37" t="s">
        <v>4227</v>
      </c>
      <c r="ON37">
        <v>1</v>
      </c>
      <c r="OO37">
        <v>1923</v>
      </c>
      <c r="OP37">
        <v>61</v>
      </c>
      <c r="OQ37">
        <v>61</v>
      </c>
      <c r="OR37" t="s">
        <v>4228</v>
      </c>
      <c r="OS37">
        <v>1</v>
      </c>
      <c r="OT37">
        <v>1935</v>
      </c>
      <c r="OU37">
        <v>65</v>
      </c>
      <c r="OV37">
        <v>65</v>
      </c>
      <c r="OW37" t="s">
        <v>4043</v>
      </c>
      <c r="OX37">
        <v>2</v>
      </c>
      <c r="OY37">
        <v>40965</v>
      </c>
      <c r="OZ37">
        <v>51</v>
      </c>
      <c r="PA37">
        <v>52</v>
      </c>
      <c r="PB37" t="s">
        <v>4253</v>
      </c>
      <c r="PC37">
        <v>1</v>
      </c>
      <c r="PD37">
        <v>1969</v>
      </c>
      <c r="PF37">
        <v>443</v>
      </c>
      <c r="PG37">
        <v>35</v>
      </c>
      <c r="PH37">
        <v>422</v>
      </c>
      <c r="PI37">
        <v>0</v>
      </c>
      <c r="PJ37">
        <v>51.4</v>
      </c>
      <c r="PK37">
        <v>1784</v>
      </c>
      <c r="PL37">
        <v>1238.3</v>
      </c>
      <c r="PM37">
        <v>403.1</v>
      </c>
      <c r="PN37">
        <v>99.59999999999999</v>
      </c>
      <c r="PO37">
        <v>9.4</v>
      </c>
      <c r="PP37">
        <v>12</v>
      </c>
      <c r="PQ37">
        <v>1</v>
      </c>
      <c r="PR37">
        <v>1</v>
      </c>
      <c r="PS37">
        <v>7</v>
      </c>
      <c r="PT37">
        <v>240</v>
      </c>
      <c r="PU37">
        <v>10</v>
      </c>
      <c r="PV37" t="s">
        <v>4072</v>
      </c>
      <c r="PW37" t="s">
        <v>4072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-1</v>
      </c>
      <c r="QF37">
        <v>1</v>
      </c>
      <c r="QG37">
        <v>0</v>
      </c>
      <c r="QH37">
        <v>5</v>
      </c>
      <c r="QI37">
        <v>5</v>
      </c>
      <c r="QJ37">
        <v>5</v>
      </c>
      <c r="QK37">
        <v>181</v>
      </c>
      <c r="QL37">
        <v>404</v>
      </c>
      <c r="QM37">
        <v>7.5</v>
      </c>
      <c r="QN37">
        <v>1381.4</v>
      </c>
      <c r="QO37" t="s">
        <v>556</v>
      </c>
      <c r="QP37" t="s">
        <v>513</v>
      </c>
      <c r="QQ37">
        <v>0</v>
      </c>
      <c r="QR37" t="s">
        <v>540</v>
      </c>
      <c r="QS37">
        <v>30</v>
      </c>
      <c r="QT37">
        <v>40</v>
      </c>
    </row>
    <row r="38" spans="1:462">
      <c r="A38" t="s">
        <v>1136</v>
      </c>
      <c r="B38" t="s">
        <v>564</v>
      </c>
      <c r="C38" t="s">
        <v>509</v>
      </c>
      <c r="D38" t="s">
        <v>1134</v>
      </c>
      <c r="E38" t="s">
        <v>4036</v>
      </c>
      <c r="H38" t="s">
        <v>1135</v>
      </c>
      <c r="J38" t="s">
        <v>562</v>
      </c>
      <c r="K38" t="s">
        <v>563</v>
      </c>
      <c r="L38" t="s">
        <v>629</v>
      </c>
      <c r="M38" t="s">
        <v>512</v>
      </c>
      <c r="O38" t="s">
        <v>513</v>
      </c>
      <c r="P38" t="s">
        <v>567</v>
      </c>
      <c r="Q38" t="s">
        <v>1137</v>
      </c>
      <c r="R38" t="s">
        <v>1138</v>
      </c>
      <c r="S38" t="s">
        <v>4254</v>
      </c>
      <c r="T38" t="s">
        <v>662</v>
      </c>
      <c r="U38" t="s">
        <v>663</v>
      </c>
      <c r="V38" t="s">
        <v>1139</v>
      </c>
      <c r="W38" t="s">
        <v>573</v>
      </c>
      <c r="X38" t="s">
        <v>1140</v>
      </c>
      <c r="Y38" t="s">
        <v>1141</v>
      </c>
      <c r="Z38" t="s">
        <v>650</v>
      </c>
      <c r="AA38" t="s">
        <v>4038</v>
      </c>
      <c r="AB38" t="s">
        <v>4255</v>
      </c>
      <c r="AC38">
        <v>9</v>
      </c>
      <c r="AD38" t="s">
        <v>1133</v>
      </c>
      <c r="AE38">
        <v>5</v>
      </c>
      <c r="AF38">
        <v>4045</v>
      </c>
      <c r="AG38" t="s">
        <v>4184</v>
      </c>
      <c r="AH38">
        <v>1</v>
      </c>
      <c r="AI38" t="s">
        <v>4041</v>
      </c>
      <c r="AK38" t="s">
        <v>4185</v>
      </c>
      <c r="AL38">
        <v>1</v>
      </c>
      <c r="AM38" t="s">
        <v>582</v>
      </c>
      <c r="AO38" t="s">
        <v>4043</v>
      </c>
      <c r="AP38">
        <v>1</v>
      </c>
      <c r="AR38" t="s">
        <v>4256</v>
      </c>
      <c r="AS38">
        <v>1</v>
      </c>
      <c r="AT38">
        <v>52</v>
      </c>
      <c r="AV38" t="s">
        <v>4078</v>
      </c>
      <c r="AW38">
        <v>6.4</v>
      </c>
      <c r="AX38">
        <v>-6</v>
      </c>
      <c r="AY38">
        <v>113.5</v>
      </c>
      <c r="AZ38">
        <v>80</v>
      </c>
      <c r="BH38">
        <v>113.5</v>
      </c>
      <c r="BI38">
        <v>33.5</v>
      </c>
      <c r="BJ38">
        <v>80</v>
      </c>
      <c r="BK38">
        <v>3.5</v>
      </c>
      <c r="BL38">
        <v>227</v>
      </c>
      <c r="BM38">
        <v>-6</v>
      </c>
      <c r="BN38">
        <v>0</v>
      </c>
      <c r="BP38">
        <v>0</v>
      </c>
      <c r="BR38">
        <v>220</v>
      </c>
      <c r="BS38">
        <v>210</v>
      </c>
      <c r="BT38">
        <v>1895</v>
      </c>
      <c r="BU38" t="s">
        <v>4047</v>
      </c>
      <c r="BV38" t="s">
        <v>4047</v>
      </c>
      <c r="BW38" t="s">
        <v>4049</v>
      </c>
      <c r="BX38" t="s">
        <v>4049</v>
      </c>
      <c r="BY38" t="s">
        <v>4192</v>
      </c>
      <c r="BZ38" t="s">
        <v>4192</v>
      </c>
      <c r="CA38" t="s">
        <v>4118</v>
      </c>
      <c r="CB38" t="s">
        <v>4119</v>
      </c>
      <c r="CC38" t="s">
        <v>4053</v>
      </c>
      <c r="CD38" t="s">
        <v>4121</v>
      </c>
      <c r="CE38" t="s">
        <v>4055</v>
      </c>
      <c r="CF38" t="s">
        <v>4055</v>
      </c>
      <c r="CG38" t="s">
        <v>4056</v>
      </c>
      <c r="CH38" t="s">
        <v>4057</v>
      </c>
      <c r="CI38" t="s">
        <v>4058</v>
      </c>
      <c r="CJ38" t="s">
        <v>4059</v>
      </c>
      <c r="CK38" t="s">
        <v>4060</v>
      </c>
      <c r="CL38" t="s">
        <v>4061</v>
      </c>
      <c r="CM38" t="s">
        <v>4062</v>
      </c>
      <c r="CN38" t="s">
        <v>4055</v>
      </c>
      <c r="CO38" t="s">
        <v>4063</v>
      </c>
      <c r="CP38" t="s">
        <v>4055</v>
      </c>
      <c r="CQ38" t="s">
        <v>4055</v>
      </c>
      <c r="CR38">
        <v>5</v>
      </c>
      <c r="CS38" t="s">
        <v>4055</v>
      </c>
      <c r="CT38" t="s">
        <v>4055</v>
      </c>
      <c r="CU38" t="s">
        <v>4055</v>
      </c>
      <c r="CV38">
        <v>135</v>
      </c>
      <c r="CW38">
        <v>3</v>
      </c>
      <c r="CX38">
        <v>120</v>
      </c>
      <c r="CY38">
        <v>5</v>
      </c>
      <c r="CZ38">
        <v>139</v>
      </c>
      <c r="DA38">
        <v>5</v>
      </c>
      <c r="DB38">
        <v>10290</v>
      </c>
      <c r="DC38">
        <v>310</v>
      </c>
      <c r="DD38">
        <v>310</v>
      </c>
      <c r="DE38">
        <v>2012</v>
      </c>
      <c r="DF38">
        <v>2012</v>
      </c>
      <c r="DG38">
        <v>2022</v>
      </c>
      <c r="DH38" t="s">
        <v>4055</v>
      </c>
      <c r="DI38" t="s">
        <v>4055</v>
      </c>
      <c r="DJ38" t="s">
        <v>4064</v>
      </c>
      <c r="DK38">
        <v>220</v>
      </c>
      <c r="DL38" t="s">
        <v>4065</v>
      </c>
      <c r="DM38">
        <v>65</v>
      </c>
      <c r="DN38">
        <v>1.2</v>
      </c>
      <c r="DO38">
        <v>1</v>
      </c>
      <c r="DP38">
        <v>1899</v>
      </c>
      <c r="DQ38">
        <v>959</v>
      </c>
      <c r="DR38" t="s">
        <v>4064</v>
      </c>
      <c r="DS38">
        <v>210</v>
      </c>
      <c r="DT38" t="s">
        <v>4065</v>
      </c>
      <c r="DU38">
        <v>65</v>
      </c>
      <c r="DV38">
        <v>1.2</v>
      </c>
      <c r="DW38">
        <v>1</v>
      </c>
      <c r="DX38">
        <v>1911</v>
      </c>
      <c r="DY38">
        <v>921</v>
      </c>
      <c r="DZ38" t="s">
        <v>4066</v>
      </c>
      <c r="EA38">
        <v>20</v>
      </c>
      <c r="EB38" t="s">
        <v>4065</v>
      </c>
      <c r="EC38">
        <v>0.8</v>
      </c>
      <c r="ED38">
        <v>1899</v>
      </c>
      <c r="EE38">
        <v>66</v>
      </c>
      <c r="EG38">
        <v>0</v>
      </c>
      <c r="EH38" t="s">
        <v>4065</v>
      </c>
      <c r="EI38">
        <v>0</v>
      </c>
      <c r="EL38" t="s">
        <v>1528</v>
      </c>
      <c r="EM38">
        <v>12</v>
      </c>
      <c r="EN38">
        <v>0.5</v>
      </c>
      <c r="EO38">
        <v>0.96</v>
      </c>
      <c r="EP38">
        <v>1910.08</v>
      </c>
      <c r="EQ38">
        <v>35664.78</v>
      </c>
      <c r="ER38">
        <v>10029.65</v>
      </c>
      <c r="ES38">
        <v>0</v>
      </c>
      <c r="ET38">
        <v>0</v>
      </c>
      <c r="EU38">
        <v>1</v>
      </c>
      <c r="EV38">
        <v>45695</v>
      </c>
      <c r="EW38">
        <v>549</v>
      </c>
      <c r="EX38" t="s">
        <v>4088</v>
      </c>
      <c r="EY38">
        <v>238</v>
      </c>
      <c r="EZ38" t="s">
        <v>4055</v>
      </c>
      <c r="FA38">
        <v>6.7</v>
      </c>
      <c r="FB38">
        <v>1</v>
      </c>
      <c r="FC38">
        <v>1</v>
      </c>
      <c r="FD38">
        <v>1945</v>
      </c>
      <c r="FE38">
        <v>2577</v>
      </c>
      <c r="FF38" t="s">
        <v>4089</v>
      </c>
      <c r="FG38">
        <v>238</v>
      </c>
      <c r="FH38" t="s">
        <v>4055</v>
      </c>
      <c r="FI38">
        <v>1.8</v>
      </c>
      <c r="FJ38">
        <v>1945</v>
      </c>
      <c r="FK38">
        <v>849</v>
      </c>
      <c r="FL38" t="s">
        <v>4069</v>
      </c>
      <c r="FM38" t="s">
        <v>4055</v>
      </c>
      <c r="FN38" t="s">
        <v>4055</v>
      </c>
      <c r="FO38" t="s">
        <v>4055</v>
      </c>
      <c r="FP38">
        <v>1945</v>
      </c>
      <c r="FQ38">
        <v>97</v>
      </c>
      <c r="FR38" t="s">
        <v>4090</v>
      </c>
      <c r="FS38">
        <v>242</v>
      </c>
      <c r="FT38" t="s">
        <v>4055</v>
      </c>
      <c r="FU38">
        <v>0.4</v>
      </c>
      <c r="FV38">
        <v>1945</v>
      </c>
      <c r="FW38">
        <v>209</v>
      </c>
      <c r="FX38" t="s">
        <v>4070</v>
      </c>
      <c r="FY38">
        <v>5</v>
      </c>
      <c r="FZ38" t="s">
        <v>4055</v>
      </c>
      <c r="GA38" t="s">
        <v>4055</v>
      </c>
      <c r="GB38">
        <v>1945</v>
      </c>
      <c r="GC38">
        <v>18</v>
      </c>
      <c r="GD38">
        <v>3750</v>
      </c>
      <c r="GE38" t="s">
        <v>4256</v>
      </c>
      <c r="GF38" t="s">
        <v>4055</v>
      </c>
      <c r="GG38" t="s">
        <v>4055</v>
      </c>
      <c r="GH38" t="s">
        <v>4055</v>
      </c>
      <c r="GI38" t="s">
        <v>4071</v>
      </c>
      <c r="GJ38" t="s">
        <v>4055</v>
      </c>
      <c r="GK38" t="s">
        <v>4055</v>
      </c>
      <c r="GL38" t="s">
        <v>4055</v>
      </c>
      <c r="GM38" t="s">
        <v>4055</v>
      </c>
      <c r="GQ38">
        <v>0</v>
      </c>
      <c r="GV38">
        <v>8.9</v>
      </c>
      <c r="GW38">
        <v>7.3</v>
      </c>
      <c r="GX38">
        <v>0.5</v>
      </c>
      <c r="GY38">
        <v>210</v>
      </c>
      <c r="GZ38">
        <v>3</v>
      </c>
      <c r="HA38">
        <v>258</v>
      </c>
      <c r="HB38">
        <v>3</v>
      </c>
      <c r="HC38">
        <v>1945</v>
      </c>
      <c r="HD38">
        <v>4</v>
      </c>
      <c r="HE38" t="s">
        <v>4071</v>
      </c>
      <c r="HG38" t="s">
        <v>549</v>
      </c>
      <c r="HL38">
        <v>4</v>
      </c>
      <c r="HM38">
        <v>18</v>
      </c>
      <c r="HN38">
        <v>1</v>
      </c>
      <c r="HO38">
        <v>1</v>
      </c>
      <c r="HP38">
        <v>0</v>
      </c>
      <c r="HQ38">
        <v>0</v>
      </c>
      <c r="HR38">
        <v>3</v>
      </c>
      <c r="HS38">
        <v>1895</v>
      </c>
      <c r="HT38">
        <v>5</v>
      </c>
      <c r="HU38">
        <v>1</v>
      </c>
      <c r="HV38">
        <v>3</v>
      </c>
      <c r="HW38">
        <v>0</v>
      </c>
      <c r="HX38">
        <v>1</v>
      </c>
      <c r="HY38">
        <v>0</v>
      </c>
      <c r="HZ38">
        <v>65</v>
      </c>
      <c r="IA38">
        <v>1899</v>
      </c>
      <c r="IB38">
        <v>1911</v>
      </c>
      <c r="ID38">
        <v>1945</v>
      </c>
      <c r="IE38">
        <v>1945</v>
      </c>
      <c r="IF38">
        <v>220</v>
      </c>
      <c r="IG38">
        <v>210</v>
      </c>
      <c r="IH38">
        <v>258</v>
      </c>
      <c r="II38">
        <v>1</v>
      </c>
      <c r="IJ38">
        <v>5</v>
      </c>
      <c r="IK38">
        <v>0</v>
      </c>
      <c r="IL38">
        <v>0</v>
      </c>
      <c r="IM38">
        <v>0</v>
      </c>
      <c r="IN38">
        <v>270</v>
      </c>
      <c r="IO38">
        <v>0</v>
      </c>
      <c r="IP38">
        <v>180</v>
      </c>
      <c r="IQ38">
        <v>0</v>
      </c>
      <c r="IR38">
        <v>330</v>
      </c>
      <c r="IS38">
        <v>0</v>
      </c>
      <c r="IT38">
        <v>90</v>
      </c>
      <c r="IU38">
        <v>0</v>
      </c>
      <c r="IV38">
        <v>6.4</v>
      </c>
      <c r="IW38">
        <v>-6</v>
      </c>
      <c r="IX38">
        <v>113.5</v>
      </c>
      <c r="IY38">
        <v>80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356</v>
      </c>
      <c r="JJ38">
        <v>336</v>
      </c>
      <c r="JK38">
        <v>230</v>
      </c>
      <c r="JL38">
        <v>334</v>
      </c>
      <c r="JM38">
        <v>240</v>
      </c>
      <c r="JN38">
        <v>220</v>
      </c>
      <c r="JO38">
        <v>268</v>
      </c>
      <c r="JP38">
        <v>240</v>
      </c>
      <c r="JQ38">
        <v>270</v>
      </c>
      <c r="JR38">
        <v>320</v>
      </c>
      <c r="JS38">
        <v>280</v>
      </c>
      <c r="JT38">
        <v>0</v>
      </c>
      <c r="JU38">
        <v>0</v>
      </c>
      <c r="JV38">
        <v>320</v>
      </c>
      <c r="JW38">
        <v>310</v>
      </c>
      <c r="JX38">
        <v>310</v>
      </c>
      <c r="JY38">
        <v>285</v>
      </c>
      <c r="JZ38">
        <v>1</v>
      </c>
      <c r="KA38">
        <v>0.2</v>
      </c>
      <c r="KB38">
        <v>0.4</v>
      </c>
      <c r="KC38">
        <v>0.42</v>
      </c>
      <c r="KD38">
        <v>0.28</v>
      </c>
      <c r="KE38">
        <v>0.5</v>
      </c>
      <c r="KF38">
        <v>0.24</v>
      </c>
      <c r="KG38">
        <v>0.1</v>
      </c>
      <c r="KH38">
        <v>3.5</v>
      </c>
      <c r="KI38">
        <v>1</v>
      </c>
      <c r="KJ38">
        <v>4.5</v>
      </c>
      <c r="KK38">
        <v>0</v>
      </c>
      <c r="KL38">
        <v>4.5</v>
      </c>
      <c r="KM38">
        <v>0.5</v>
      </c>
      <c r="KN38">
        <v>1.5</v>
      </c>
      <c r="KO38">
        <v>0</v>
      </c>
      <c r="KP38">
        <v>0</v>
      </c>
      <c r="KQ38">
        <v>1</v>
      </c>
      <c r="KR38">
        <v>0.8</v>
      </c>
      <c r="KS38">
        <v>0</v>
      </c>
      <c r="KT38">
        <v>1.5</v>
      </c>
      <c r="KU38">
        <v>0</v>
      </c>
      <c r="KV38">
        <v>0</v>
      </c>
      <c r="KW38">
        <v>1.6</v>
      </c>
      <c r="KX38">
        <v>2</v>
      </c>
      <c r="KY38">
        <v>1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3</v>
      </c>
      <c r="LI38">
        <v>0.5</v>
      </c>
      <c r="LJ38">
        <v>0</v>
      </c>
      <c r="LK38">
        <v>5</v>
      </c>
      <c r="LL38">
        <v>6</v>
      </c>
      <c r="LM38">
        <v>7</v>
      </c>
      <c r="LN38">
        <v>0.1</v>
      </c>
      <c r="LO38">
        <v>3</v>
      </c>
      <c r="LP38">
        <v>0</v>
      </c>
      <c r="LQ38">
        <v>0</v>
      </c>
      <c r="LR38">
        <v>0</v>
      </c>
      <c r="LS38">
        <v>1</v>
      </c>
      <c r="LT38">
        <v>0</v>
      </c>
      <c r="LU38">
        <v>0</v>
      </c>
      <c r="LV38">
        <v>0</v>
      </c>
      <c r="LW38">
        <v>1.8</v>
      </c>
      <c r="LX38">
        <v>1.8</v>
      </c>
      <c r="LY38">
        <v>2.1</v>
      </c>
      <c r="LZ38">
        <v>2.1</v>
      </c>
      <c r="MA38">
        <v>0</v>
      </c>
      <c r="MB38">
        <v>7</v>
      </c>
      <c r="MC38">
        <v>0</v>
      </c>
      <c r="MD38">
        <v>4.5</v>
      </c>
      <c r="ME38">
        <v>6</v>
      </c>
      <c r="MF38">
        <v>6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358</v>
      </c>
      <c r="MN38">
        <v>220</v>
      </c>
      <c r="MO38">
        <v>268</v>
      </c>
      <c r="NU38">
        <v>0.15</v>
      </c>
      <c r="NV38">
        <v>0.2</v>
      </c>
      <c r="NW38">
        <v>0.2</v>
      </c>
      <c r="NX38">
        <v>0.2</v>
      </c>
      <c r="NY38">
        <v>0.2</v>
      </c>
      <c r="NZ38">
        <v>0.2</v>
      </c>
      <c r="OE38" t="s">
        <v>4256</v>
      </c>
      <c r="OF38" t="s">
        <v>4184</v>
      </c>
      <c r="OG38" t="s">
        <v>4185</v>
      </c>
      <c r="OH38" t="s">
        <v>4043</v>
      </c>
      <c r="OI38" t="s">
        <v>4256</v>
      </c>
      <c r="OJ38" t="s">
        <v>4255</v>
      </c>
      <c r="OK38">
        <v>61</v>
      </c>
      <c r="OL38">
        <v>61</v>
      </c>
      <c r="OM38" t="s">
        <v>4184</v>
      </c>
      <c r="ON38">
        <v>1</v>
      </c>
      <c r="OO38">
        <v>1899</v>
      </c>
      <c r="OP38">
        <v>61</v>
      </c>
      <c r="OQ38">
        <v>61</v>
      </c>
      <c r="OR38" t="s">
        <v>4185</v>
      </c>
      <c r="OS38">
        <v>1</v>
      </c>
      <c r="OT38">
        <v>1911</v>
      </c>
      <c r="OU38">
        <v>65</v>
      </c>
      <c r="OV38">
        <v>65</v>
      </c>
      <c r="OW38" t="s">
        <v>4043</v>
      </c>
      <c r="OX38">
        <v>1</v>
      </c>
      <c r="OY38">
        <v>45695</v>
      </c>
      <c r="OZ38">
        <v>51</v>
      </c>
      <c r="PA38">
        <v>52</v>
      </c>
      <c r="PB38" t="s">
        <v>4256</v>
      </c>
      <c r="PC38">
        <v>1</v>
      </c>
      <c r="PD38">
        <v>1945</v>
      </c>
      <c r="PF38">
        <v>505</v>
      </c>
      <c r="PG38">
        <v>35</v>
      </c>
      <c r="PH38">
        <v>482</v>
      </c>
      <c r="PI38">
        <v>0</v>
      </c>
      <c r="PJ38">
        <v>50</v>
      </c>
      <c r="PL38">
        <v>1325.1</v>
      </c>
      <c r="PM38">
        <v>436.3</v>
      </c>
      <c r="PN38">
        <v>107.7</v>
      </c>
      <c r="PO38">
        <v>9.300000000000001</v>
      </c>
      <c r="PP38">
        <v>12</v>
      </c>
      <c r="PQ38">
        <v>1</v>
      </c>
      <c r="PR38">
        <v>1</v>
      </c>
      <c r="PS38">
        <v>7</v>
      </c>
      <c r="PT38">
        <v>258</v>
      </c>
      <c r="PU38">
        <v>10</v>
      </c>
      <c r="PV38" t="s">
        <v>4072</v>
      </c>
      <c r="PW38" t="s">
        <v>4072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-1</v>
      </c>
      <c r="QF38">
        <v>1</v>
      </c>
      <c r="QG38">
        <v>0</v>
      </c>
      <c r="QH38">
        <v>5</v>
      </c>
      <c r="QI38">
        <v>5</v>
      </c>
      <c r="QJ38">
        <v>5</v>
      </c>
      <c r="QK38">
        <v>172</v>
      </c>
      <c r="QL38">
        <v>390</v>
      </c>
      <c r="QM38">
        <v>7.5</v>
      </c>
      <c r="QN38">
        <v>1461.1</v>
      </c>
      <c r="QO38" t="s">
        <v>556</v>
      </c>
      <c r="QP38" t="s">
        <v>513</v>
      </c>
      <c r="QQ38">
        <v>0</v>
      </c>
      <c r="QR38" t="s">
        <v>649</v>
      </c>
      <c r="QS38">
        <v>30</v>
      </c>
      <c r="QT38">
        <v>40</v>
      </c>
    </row>
    <row r="39" spans="1:462">
      <c r="A39" t="s">
        <v>1151</v>
      </c>
      <c r="B39" t="s">
        <v>897</v>
      </c>
      <c r="C39" t="s">
        <v>509</v>
      </c>
      <c r="D39" t="s">
        <v>1150</v>
      </c>
      <c r="E39" t="s">
        <v>4036</v>
      </c>
      <c r="H39" t="s">
        <v>604</v>
      </c>
      <c r="I39" t="s">
        <v>605</v>
      </c>
      <c r="J39" t="s">
        <v>628</v>
      </c>
      <c r="K39" t="s">
        <v>606</v>
      </c>
      <c r="L39" t="s">
        <v>657</v>
      </c>
      <c r="M39" t="s">
        <v>512</v>
      </c>
      <c r="O39" t="s">
        <v>513</v>
      </c>
      <c r="P39" t="s">
        <v>567</v>
      </c>
      <c r="Q39" t="s">
        <v>1152</v>
      </c>
      <c r="R39" t="s">
        <v>661</v>
      </c>
      <c r="S39" t="s">
        <v>4037</v>
      </c>
      <c r="T39" t="s">
        <v>633</v>
      </c>
      <c r="U39" t="s">
        <v>634</v>
      </c>
      <c r="V39" t="s">
        <v>1153</v>
      </c>
      <c r="W39" t="s">
        <v>573</v>
      </c>
      <c r="X39" t="s">
        <v>1154</v>
      </c>
      <c r="Y39" t="s">
        <v>1155</v>
      </c>
      <c r="Z39" t="s">
        <v>650</v>
      </c>
      <c r="AA39" t="s">
        <v>4038</v>
      </c>
      <c r="AB39" t="s">
        <v>4257</v>
      </c>
      <c r="AC39">
        <v>9</v>
      </c>
      <c r="AD39" t="s">
        <v>1149</v>
      </c>
      <c r="AE39">
        <v>8</v>
      </c>
      <c r="AF39">
        <v>5049</v>
      </c>
      <c r="AG39" t="s">
        <v>4112</v>
      </c>
      <c r="AH39">
        <v>1</v>
      </c>
      <c r="AI39" t="s">
        <v>4041</v>
      </c>
      <c r="AK39" t="s">
        <v>4113</v>
      </c>
      <c r="AL39">
        <v>1</v>
      </c>
      <c r="AM39" t="s">
        <v>582</v>
      </c>
      <c r="AO39" t="s">
        <v>4043</v>
      </c>
      <c r="AP39">
        <v>1</v>
      </c>
      <c r="AR39" t="s">
        <v>4258</v>
      </c>
      <c r="AS39">
        <v>1</v>
      </c>
      <c r="AT39">
        <v>51</v>
      </c>
      <c r="AV39" t="s">
        <v>4078</v>
      </c>
      <c r="AW39">
        <v>6.4</v>
      </c>
      <c r="AX39">
        <v>-6</v>
      </c>
      <c r="AY39">
        <v>103</v>
      </c>
      <c r="AZ39">
        <v>73</v>
      </c>
      <c r="BH39">
        <v>103</v>
      </c>
      <c r="BI39">
        <v>30</v>
      </c>
      <c r="BJ39">
        <v>73</v>
      </c>
      <c r="BK39">
        <v>3</v>
      </c>
      <c r="BL39">
        <v>206</v>
      </c>
      <c r="BM39">
        <v>-6</v>
      </c>
      <c r="BN39">
        <v>0</v>
      </c>
      <c r="BO39">
        <v>0</v>
      </c>
      <c r="BP39">
        <v>0</v>
      </c>
      <c r="BR39">
        <v>200</v>
      </c>
      <c r="BS39">
        <v>190</v>
      </c>
      <c r="BT39">
        <v>1980</v>
      </c>
      <c r="BU39" t="s">
        <v>4115</v>
      </c>
      <c r="BV39" t="s">
        <v>4096</v>
      </c>
      <c r="BW39" t="s">
        <v>4097</v>
      </c>
      <c r="BX39" t="s">
        <v>4097</v>
      </c>
      <c r="BY39" t="s">
        <v>4173</v>
      </c>
      <c r="BZ39" t="s">
        <v>4107</v>
      </c>
      <c r="CA39" t="s">
        <v>4108</v>
      </c>
      <c r="CB39" t="s">
        <v>4109</v>
      </c>
      <c r="CC39" t="s">
        <v>4120</v>
      </c>
      <c r="CD39" t="s">
        <v>4110</v>
      </c>
      <c r="CE39" t="s">
        <v>4055</v>
      </c>
      <c r="CF39" t="s">
        <v>4055</v>
      </c>
      <c r="CG39" t="s">
        <v>4056</v>
      </c>
      <c r="CH39" t="s">
        <v>4099</v>
      </c>
      <c r="CI39" t="s">
        <v>4058</v>
      </c>
      <c r="CJ39" t="s">
        <v>4059</v>
      </c>
      <c r="CK39" t="s">
        <v>4060</v>
      </c>
      <c r="CL39" t="s">
        <v>4061</v>
      </c>
      <c r="CM39" t="s">
        <v>4062</v>
      </c>
      <c r="CN39" t="s">
        <v>4055</v>
      </c>
      <c r="CO39" t="s">
        <v>4063</v>
      </c>
      <c r="CP39" t="s">
        <v>4055</v>
      </c>
      <c r="CQ39" t="s">
        <v>4055</v>
      </c>
      <c r="CR39">
        <v>5</v>
      </c>
      <c r="CS39" t="s">
        <v>4055</v>
      </c>
      <c r="CT39" t="s">
        <v>4055</v>
      </c>
      <c r="CU39" t="s">
        <v>4055</v>
      </c>
      <c r="CV39">
        <v>126</v>
      </c>
      <c r="CW39">
        <v>3</v>
      </c>
      <c r="CX39">
        <v>107</v>
      </c>
      <c r="CY39">
        <v>5</v>
      </c>
      <c r="CZ39">
        <v>144</v>
      </c>
      <c r="DA39">
        <v>5</v>
      </c>
      <c r="DB39">
        <v>10980</v>
      </c>
      <c r="DC39">
        <v>320</v>
      </c>
      <c r="DD39">
        <v>325</v>
      </c>
      <c r="DE39">
        <v>2077</v>
      </c>
      <c r="DF39">
        <v>2077</v>
      </c>
      <c r="DG39">
        <v>2104</v>
      </c>
      <c r="DH39" t="s">
        <v>4055</v>
      </c>
      <c r="DI39" t="s">
        <v>4055</v>
      </c>
      <c r="DJ39" t="s">
        <v>4100</v>
      </c>
      <c r="DK39">
        <v>200</v>
      </c>
      <c r="DL39" t="s">
        <v>4101</v>
      </c>
      <c r="DM39">
        <v>67</v>
      </c>
      <c r="DN39">
        <v>0.84</v>
      </c>
      <c r="DO39">
        <v>1</v>
      </c>
      <c r="DP39">
        <v>1983</v>
      </c>
      <c r="DQ39">
        <v>726</v>
      </c>
      <c r="DR39" t="s">
        <v>4100</v>
      </c>
      <c r="DS39">
        <v>190</v>
      </c>
      <c r="DT39" t="s">
        <v>4101</v>
      </c>
      <c r="DU39">
        <v>67</v>
      </c>
      <c r="DV39">
        <v>0.84</v>
      </c>
      <c r="DW39">
        <v>1</v>
      </c>
      <c r="DX39">
        <v>1990</v>
      </c>
      <c r="DY39">
        <v>691</v>
      </c>
      <c r="DZ39" t="s">
        <v>4066</v>
      </c>
      <c r="EA39">
        <v>33</v>
      </c>
      <c r="EB39" t="s">
        <v>4065</v>
      </c>
      <c r="EC39">
        <v>0.4</v>
      </c>
      <c r="ED39">
        <v>1983</v>
      </c>
      <c r="EE39">
        <v>58</v>
      </c>
      <c r="EF39" t="s">
        <v>4066</v>
      </c>
      <c r="EG39">
        <v>33</v>
      </c>
      <c r="EH39" t="s">
        <v>4065</v>
      </c>
      <c r="EI39">
        <v>0.4</v>
      </c>
      <c r="EJ39">
        <v>1990</v>
      </c>
      <c r="EK39">
        <v>58</v>
      </c>
      <c r="EL39" t="s">
        <v>1528</v>
      </c>
      <c r="EM39">
        <v>12</v>
      </c>
      <c r="EN39">
        <v>0.5</v>
      </c>
      <c r="EO39">
        <v>0.96</v>
      </c>
      <c r="EP39">
        <v>1990.56</v>
      </c>
      <c r="EQ39">
        <v>33901.73</v>
      </c>
      <c r="ER39">
        <v>9359.02</v>
      </c>
      <c r="ES39">
        <v>0</v>
      </c>
      <c r="ET39">
        <v>0</v>
      </c>
      <c r="EU39">
        <v>1</v>
      </c>
      <c r="EV39">
        <v>43261</v>
      </c>
      <c r="EW39">
        <v>520</v>
      </c>
      <c r="EX39" t="s">
        <v>4088</v>
      </c>
      <c r="EY39">
        <v>220</v>
      </c>
      <c r="EZ39" t="s">
        <v>4055</v>
      </c>
      <c r="FA39">
        <v>7.6</v>
      </c>
      <c r="FB39">
        <v>1</v>
      </c>
      <c r="FC39">
        <v>1</v>
      </c>
      <c r="FD39">
        <v>2028</v>
      </c>
      <c r="FE39">
        <v>2695</v>
      </c>
      <c r="FF39" t="s">
        <v>4089</v>
      </c>
      <c r="FG39">
        <v>220</v>
      </c>
      <c r="FH39" t="s">
        <v>4055</v>
      </c>
      <c r="FI39">
        <v>1.8</v>
      </c>
      <c r="FJ39">
        <v>2028</v>
      </c>
      <c r="FK39">
        <v>806</v>
      </c>
      <c r="FL39" t="s">
        <v>4069</v>
      </c>
      <c r="FM39" t="s">
        <v>4055</v>
      </c>
      <c r="FN39" t="s">
        <v>4055</v>
      </c>
      <c r="FO39" t="s">
        <v>4055</v>
      </c>
      <c r="FP39">
        <v>2028</v>
      </c>
      <c r="FQ39">
        <v>147</v>
      </c>
      <c r="FR39" t="s">
        <v>4090</v>
      </c>
      <c r="FS39">
        <v>224</v>
      </c>
      <c r="FT39" t="s">
        <v>4055</v>
      </c>
      <c r="FU39">
        <v>0.4</v>
      </c>
      <c r="FV39">
        <v>2028</v>
      </c>
      <c r="FW39">
        <v>202</v>
      </c>
      <c r="FX39" t="s">
        <v>4070</v>
      </c>
      <c r="FY39">
        <v>5</v>
      </c>
      <c r="FZ39" t="s">
        <v>4055</v>
      </c>
      <c r="GA39" t="s">
        <v>4055</v>
      </c>
      <c r="GB39">
        <v>2028</v>
      </c>
      <c r="GC39">
        <v>20</v>
      </c>
      <c r="GD39">
        <v>3870</v>
      </c>
      <c r="GE39" t="s">
        <v>4258</v>
      </c>
      <c r="GF39" t="s">
        <v>4055</v>
      </c>
      <c r="GG39" t="s">
        <v>4055</v>
      </c>
      <c r="GH39" t="s">
        <v>4055</v>
      </c>
      <c r="GI39" t="s">
        <v>4071</v>
      </c>
      <c r="GJ39" t="s">
        <v>4055</v>
      </c>
      <c r="GK39" t="s">
        <v>4055</v>
      </c>
      <c r="GL39" t="s">
        <v>4055</v>
      </c>
      <c r="GM39" t="s">
        <v>4055</v>
      </c>
      <c r="GQ39">
        <v>0</v>
      </c>
      <c r="GV39">
        <v>9.800000000000001</v>
      </c>
      <c r="GW39">
        <v>8.199999999999999</v>
      </c>
      <c r="GX39">
        <v>0.5</v>
      </c>
      <c r="GY39">
        <v>192</v>
      </c>
      <c r="GZ39">
        <v>3</v>
      </c>
      <c r="HA39">
        <v>240</v>
      </c>
      <c r="HB39">
        <v>3</v>
      </c>
      <c r="HC39">
        <v>2028</v>
      </c>
      <c r="HD39">
        <v>4</v>
      </c>
      <c r="HE39" t="s">
        <v>4071</v>
      </c>
      <c r="HG39" t="s">
        <v>549</v>
      </c>
      <c r="HL39">
        <v>4</v>
      </c>
      <c r="HM39">
        <v>17</v>
      </c>
      <c r="HN39">
        <v>1</v>
      </c>
      <c r="HO39">
        <v>1</v>
      </c>
      <c r="HP39">
        <v>0</v>
      </c>
      <c r="HQ39">
        <v>0</v>
      </c>
      <c r="HR39">
        <v>3</v>
      </c>
      <c r="HS39">
        <v>1980</v>
      </c>
      <c r="HT39">
        <v>5</v>
      </c>
      <c r="HU39">
        <v>1</v>
      </c>
      <c r="HV39">
        <v>3</v>
      </c>
      <c r="HW39">
        <v>0</v>
      </c>
      <c r="HX39">
        <v>1</v>
      </c>
      <c r="HY39">
        <v>0</v>
      </c>
      <c r="HZ39">
        <v>67</v>
      </c>
      <c r="IA39">
        <v>1983</v>
      </c>
      <c r="IB39">
        <v>1990</v>
      </c>
      <c r="ID39">
        <v>2028</v>
      </c>
      <c r="IE39">
        <v>2028</v>
      </c>
      <c r="IF39">
        <v>200</v>
      </c>
      <c r="IG39">
        <v>190</v>
      </c>
      <c r="IH39">
        <v>240</v>
      </c>
      <c r="II39">
        <v>1</v>
      </c>
      <c r="IJ39">
        <v>10</v>
      </c>
      <c r="IK39">
        <v>0</v>
      </c>
      <c r="IL39">
        <v>0</v>
      </c>
      <c r="IM39">
        <v>0</v>
      </c>
      <c r="IN39">
        <v>270</v>
      </c>
      <c r="IO39">
        <v>0</v>
      </c>
      <c r="IP39">
        <v>180</v>
      </c>
      <c r="IQ39">
        <v>0</v>
      </c>
      <c r="IR39">
        <v>330</v>
      </c>
      <c r="IS39">
        <v>0</v>
      </c>
      <c r="IT39">
        <v>90</v>
      </c>
      <c r="IU39">
        <v>0</v>
      </c>
      <c r="IV39">
        <v>6.4</v>
      </c>
      <c r="IW39">
        <v>-6</v>
      </c>
      <c r="IX39">
        <v>103</v>
      </c>
      <c r="IY39">
        <v>73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386</v>
      </c>
      <c r="JJ39">
        <v>360</v>
      </c>
      <c r="JK39">
        <v>260</v>
      </c>
      <c r="JL39">
        <v>360</v>
      </c>
      <c r="JM39">
        <v>260</v>
      </c>
      <c r="JN39">
        <v>205</v>
      </c>
      <c r="JO39">
        <v>248</v>
      </c>
      <c r="JP39">
        <v>200</v>
      </c>
      <c r="JQ39">
        <v>250</v>
      </c>
      <c r="JR39">
        <v>345</v>
      </c>
      <c r="JS39">
        <v>275</v>
      </c>
      <c r="JT39">
        <v>0</v>
      </c>
      <c r="JU39">
        <v>0</v>
      </c>
      <c r="JV39">
        <v>325</v>
      </c>
      <c r="JW39">
        <v>337</v>
      </c>
      <c r="JX39">
        <v>325</v>
      </c>
      <c r="JY39">
        <v>315</v>
      </c>
      <c r="JZ39">
        <v>1</v>
      </c>
      <c r="KA39">
        <v>0.2</v>
      </c>
      <c r="KB39">
        <v>0.4</v>
      </c>
      <c r="KC39">
        <v>0.42</v>
      </c>
      <c r="KD39">
        <v>0.28</v>
      </c>
      <c r="KE39">
        <v>0.5</v>
      </c>
      <c r="KF39">
        <v>0.17</v>
      </c>
      <c r="KG39">
        <v>0.11</v>
      </c>
      <c r="KH39">
        <v>3.5</v>
      </c>
      <c r="KI39">
        <v>1</v>
      </c>
      <c r="KJ39">
        <v>5</v>
      </c>
      <c r="KK39">
        <v>0</v>
      </c>
      <c r="KL39">
        <v>5</v>
      </c>
      <c r="KM39">
        <v>1.5</v>
      </c>
      <c r="KN39">
        <v>1.6</v>
      </c>
      <c r="KO39">
        <v>0</v>
      </c>
      <c r="KP39">
        <v>0</v>
      </c>
      <c r="KQ39">
        <v>0.8</v>
      </c>
      <c r="KR39">
        <v>1</v>
      </c>
      <c r="KS39">
        <v>0</v>
      </c>
      <c r="KT39">
        <v>1.8</v>
      </c>
      <c r="KU39">
        <v>0</v>
      </c>
      <c r="KV39">
        <v>0</v>
      </c>
      <c r="KW39">
        <v>1.2</v>
      </c>
      <c r="KX39">
        <v>2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3</v>
      </c>
      <c r="LI39">
        <v>1</v>
      </c>
      <c r="LJ39">
        <v>0</v>
      </c>
      <c r="LK39">
        <v>9</v>
      </c>
      <c r="LL39">
        <v>10</v>
      </c>
      <c r="LM39">
        <v>11</v>
      </c>
      <c r="LN39">
        <v>0.1</v>
      </c>
      <c r="LO39">
        <v>3</v>
      </c>
      <c r="LP39">
        <v>0</v>
      </c>
      <c r="LQ39">
        <v>0</v>
      </c>
      <c r="LR39">
        <v>0</v>
      </c>
      <c r="LS39">
        <v>1</v>
      </c>
      <c r="LT39">
        <v>0</v>
      </c>
      <c r="LU39">
        <v>0</v>
      </c>
      <c r="LV39">
        <v>0</v>
      </c>
      <c r="LW39">
        <v>1.8</v>
      </c>
      <c r="LX39">
        <v>1.8</v>
      </c>
      <c r="LY39">
        <v>2.1</v>
      </c>
      <c r="LZ39">
        <v>2.1</v>
      </c>
      <c r="MA39">
        <v>0</v>
      </c>
      <c r="MB39">
        <v>4</v>
      </c>
      <c r="MC39">
        <v>1</v>
      </c>
      <c r="MD39">
        <v>4.5</v>
      </c>
      <c r="ME39">
        <v>6</v>
      </c>
      <c r="MF39">
        <v>6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420</v>
      </c>
      <c r="MN39">
        <v>195</v>
      </c>
      <c r="MO39">
        <v>244</v>
      </c>
      <c r="NU39">
        <v>0.15</v>
      </c>
      <c r="NV39">
        <v>0.2</v>
      </c>
      <c r="NW39">
        <v>0.2</v>
      </c>
      <c r="NX39">
        <v>20</v>
      </c>
      <c r="NY39">
        <v>20</v>
      </c>
      <c r="NZ39">
        <v>20</v>
      </c>
      <c r="OE39" t="s">
        <v>4258</v>
      </c>
      <c r="OF39" t="s">
        <v>4112</v>
      </c>
      <c r="OG39" t="s">
        <v>4113</v>
      </c>
      <c r="OH39" t="s">
        <v>4043</v>
      </c>
      <c r="OI39" t="s">
        <v>4258</v>
      </c>
      <c r="OJ39" t="s">
        <v>4257</v>
      </c>
      <c r="OK39">
        <v>61</v>
      </c>
      <c r="OL39">
        <v>61</v>
      </c>
      <c r="OM39" t="s">
        <v>4112</v>
      </c>
      <c r="ON39">
        <v>2</v>
      </c>
      <c r="OO39">
        <v>1983</v>
      </c>
      <c r="OP39">
        <v>61</v>
      </c>
      <c r="OQ39">
        <v>61</v>
      </c>
      <c r="OR39" t="s">
        <v>4113</v>
      </c>
      <c r="OS39">
        <v>2</v>
      </c>
      <c r="OT39">
        <v>1990</v>
      </c>
      <c r="OU39">
        <v>65</v>
      </c>
      <c r="OV39">
        <v>65</v>
      </c>
      <c r="OW39" t="s">
        <v>4043</v>
      </c>
      <c r="OX39">
        <v>2</v>
      </c>
      <c r="OY39">
        <v>43261</v>
      </c>
      <c r="OZ39">
        <v>51</v>
      </c>
      <c r="PA39">
        <v>51</v>
      </c>
      <c r="PB39" t="s">
        <v>4258</v>
      </c>
      <c r="PC39">
        <v>1</v>
      </c>
      <c r="PD39">
        <v>2028</v>
      </c>
      <c r="PF39">
        <v>366</v>
      </c>
      <c r="PG39">
        <v>29</v>
      </c>
      <c r="PH39">
        <v>347</v>
      </c>
      <c r="PI39">
        <v>29</v>
      </c>
      <c r="PJ39">
        <v>72.5</v>
      </c>
      <c r="PK39">
        <v>1894</v>
      </c>
      <c r="PL39">
        <v>1329.1</v>
      </c>
      <c r="PM39">
        <v>397.2</v>
      </c>
      <c r="PN39">
        <v>99.59999999999999</v>
      </c>
      <c r="PO39">
        <v>10.1</v>
      </c>
      <c r="PP39">
        <v>12</v>
      </c>
      <c r="PQ39">
        <v>3</v>
      </c>
      <c r="PR39">
        <v>3</v>
      </c>
      <c r="PS39">
        <v>8</v>
      </c>
      <c r="PT39">
        <v>240</v>
      </c>
      <c r="PU39">
        <v>10</v>
      </c>
      <c r="PV39" t="s">
        <v>4072</v>
      </c>
      <c r="PW39" t="s">
        <v>4072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-1</v>
      </c>
      <c r="QF39">
        <v>1</v>
      </c>
      <c r="QG39">
        <v>0</v>
      </c>
      <c r="QH39">
        <v>5</v>
      </c>
      <c r="QI39">
        <v>5</v>
      </c>
      <c r="QJ39">
        <v>5</v>
      </c>
      <c r="QK39">
        <v>188</v>
      </c>
      <c r="QL39">
        <v>420</v>
      </c>
      <c r="QM39">
        <v>7.5</v>
      </c>
      <c r="QN39">
        <v>1384.6</v>
      </c>
      <c r="QO39" t="s">
        <v>556</v>
      </c>
      <c r="QP39" t="s">
        <v>513</v>
      </c>
      <c r="QQ39">
        <v>0</v>
      </c>
      <c r="QR39" t="s">
        <v>677</v>
      </c>
      <c r="QS39">
        <v>30</v>
      </c>
      <c r="QT39">
        <v>40</v>
      </c>
    </row>
    <row r="40" spans="1:462">
      <c r="A40" t="s">
        <v>1158</v>
      </c>
      <c r="B40" t="s">
        <v>564</v>
      </c>
      <c r="C40" t="s">
        <v>509</v>
      </c>
      <c r="D40" t="s">
        <v>1987</v>
      </c>
      <c r="E40" t="s">
        <v>4036</v>
      </c>
      <c r="H40" t="s">
        <v>604</v>
      </c>
      <c r="I40" t="s">
        <v>605</v>
      </c>
      <c r="J40" t="s">
        <v>628</v>
      </c>
      <c r="K40" t="s">
        <v>606</v>
      </c>
      <c r="L40" t="s">
        <v>629</v>
      </c>
      <c r="M40" t="s">
        <v>512</v>
      </c>
      <c r="O40" t="s">
        <v>513</v>
      </c>
      <c r="P40" t="s">
        <v>567</v>
      </c>
      <c r="Q40" t="s">
        <v>1159</v>
      </c>
      <c r="R40" t="s">
        <v>1160</v>
      </c>
      <c r="S40" t="s">
        <v>4170</v>
      </c>
      <c r="T40" t="s">
        <v>662</v>
      </c>
      <c r="U40" t="s">
        <v>663</v>
      </c>
      <c r="V40" t="s">
        <v>1161</v>
      </c>
      <c r="W40" t="s">
        <v>573</v>
      </c>
      <c r="X40" t="s">
        <v>1162</v>
      </c>
      <c r="Y40" t="s">
        <v>1163</v>
      </c>
      <c r="Z40" t="s">
        <v>541</v>
      </c>
      <c r="AA40" t="s">
        <v>4038</v>
      </c>
      <c r="AB40" t="s">
        <v>4259</v>
      </c>
      <c r="AC40">
        <v>9</v>
      </c>
      <c r="AD40" t="s">
        <v>1157</v>
      </c>
      <c r="AE40">
        <v>5</v>
      </c>
      <c r="AF40">
        <v>8834</v>
      </c>
      <c r="AG40" t="s">
        <v>4260</v>
      </c>
      <c r="AH40">
        <v>1</v>
      </c>
      <c r="AI40" t="s">
        <v>4041</v>
      </c>
      <c r="AK40" t="s">
        <v>4261</v>
      </c>
      <c r="AL40">
        <v>1</v>
      </c>
      <c r="AM40" t="s">
        <v>582</v>
      </c>
      <c r="AO40" t="s">
        <v>4043</v>
      </c>
      <c r="AP40">
        <v>1</v>
      </c>
      <c r="AR40" t="s">
        <v>4262</v>
      </c>
      <c r="AS40">
        <v>1</v>
      </c>
      <c r="AT40">
        <v>51</v>
      </c>
      <c r="AV40" t="s">
        <v>4078</v>
      </c>
      <c r="AW40">
        <v>6.4</v>
      </c>
      <c r="AX40">
        <v>-6</v>
      </c>
      <c r="AY40">
        <v>128</v>
      </c>
      <c r="AZ40">
        <v>94</v>
      </c>
      <c r="BH40">
        <v>128</v>
      </c>
      <c r="BI40">
        <v>34</v>
      </c>
      <c r="BJ40">
        <v>94</v>
      </c>
      <c r="BK40">
        <v>3</v>
      </c>
      <c r="BL40">
        <v>256</v>
      </c>
      <c r="BM40">
        <v>-6</v>
      </c>
      <c r="BN40">
        <v>0</v>
      </c>
      <c r="BO40">
        <v>0</v>
      </c>
      <c r="BP40">
        <v>0</v>
      </c>
      <c r="BR40">
        <v>250</v>
      </c>
      <c r="BS40">
        <v>240</v>
      </c>
      <c r="BT40">
        <v>2345</v>
      </c>
      <c r="BU40" t="s">
        <v>4263</v>
      </c>
      <c r="BV40" t="s">
        <v>4080</v>
      </c>
      <c r="BW40" t="s">
        <v>4264</v>
      </c>
      <c r="BX40" t="s">
        <v>4082</v>
      </c>
      <c r="BY40" t="s">
        <v>4265</v>
      </c>
      <c r="BZ40" t="s">
        <v>4265</v>
      </c>
      <c r="CA40" t="s">
        <v>4118</v>
      </c>
      <c r="CB40" t="s">
        <v>4119</v>
      </c>
      <c r="CC40" t="s">
        <v>4053</v>
      </c>
      <c r="CD40" t="s">
        <v>4121</v>
      </c>
      <c r="CE40" t="s">
        <v>4055</v>
      </c>
      <c r="CF40" t="s">
        <v>4055</v>
      </c>
      <c r="CG40" t="s">
        <v>4056</v>
      </c>
      <c r="CI40" t="s">
        <v>4216</v>
      </c>
      <c r="CJ40" t="s">
        <v>4059</v>
      </c>
      <c r="CK40" t="s">
        <v>4060</v>
      </c>
      <c r="CL40" t="s">
        <v>4061</v>
      </c>
      <c r="CM40" t="s">
        <v>4062</v>
      </c>
      <c r="CN40" t="s">
        <v>4055</v>
      </c>
      <c r="CO40" t="s">
        <v>4063</v>
      </c>
      <c r="CP40" t="s">
        <v>4055</v>
      </c>
      <c r="CQ40" t="s">
        <v>4055</v>
      </c>
      <c r="CR40">
        <v>5</v>
      </c>
      <c r="CS40" t="s">
        <v>4055</v>
      </c>
      <c r="CT40" t="s">
        <v>4055</v>
      </c>
      <c r="CU40" t="s">
        <v>4055</v>
      </c>
      <c r="CV40">
        <v>153</v>
      </c>
      <c r="CW40">
        <v>3</v>
      </c>
      <c r="CX40">
        <v>103</v>
      </c>
      <c r="CY40">
        <v>5</v>
      </c>
      <c r="CZ40">
        <v>180</v>
      </c>
      <c r="DA40">
        <v>5</v>
      </c>
      <c r="DB40">
        <v>18190</v>
      </c>
      <c r="DC40">
        <v>540</v>
      </c>
      <c r="DD40">
        <v>440</v>
      </c>
      <c r="DE40">
        <v>2466</v>
      </c>
      <c r="DF40">
        <v>2466</v>
      </c>
      <c r="DG40">
        <v>2477</v>
      </c>
      <c r="DH40">
        <v>3</v>
      </c>
      <c r="DI40" t="s">
        <v>4055</v>
      </c>
      <c r="DJ40" t="s">
        <v>4217</v>
      </c>
      <c r="DK40">
        <v>250</v>
      </c>
      <c r="DL40" t="s">
        <v>4065</v>
      </c>
      <c r="DM40">
        <v>63</v>
      </c>
      <c r="DN40">
        <v>1.26</v>
      </c>
      <c r="DO40">
        <v>1</v>
      </c>
      <c r="DP40">
        <v>2349</v>
      </c>
      <c r="DQ40">
        <v>1419</v>
      </c>
      <c r="DR40" t="s">
        <v>4217</v>
      </c>
      <c r="DS40">
        <v>240</v>
      </c>
      <c r="DT40" t="s">
        <v>4065</v>
      </c>
      <c r="DU40">
        <v>63</v>
      </c>
      <c r="DV40">
        <v>1.26</v>
      </c>
      <c r="DW40">
        <v>1</v>
      </c>
      <c r="DX40">
        <v>2362</v>
      </c>
      <c r="DY40">
        <v>1368</v>
      </c>
      <c r="DZ40" t="s">
        <v>4066</v>
      </c>
      <c r="EA40">
        <v>20</v>
      </c>
      <c r="EB40" t="s">
        <v>4065</v>
      </c>
      <c r="EC40">
        <v>0.8</v>
      </c>
      <c r="ED40">
        <v>2349</v>
      </c>
      <c r="EE40">
        <v>82</v>
      </c>
      <c r="EG40">
        <v>0</v>
      </c>
      <c r="EH40" t="s">
        <v>4065</v>
      </c>
      <c r="EI40">
        <v>0</v>
      </c>
      <c r="EL40" t="s">
        <v>1528</v>
      </c>
      <c r="EM40">
        <v>12</v>
      </c>
      <c r="EN40">
        <v>0.5</v>
      </c>
      <c r="EO40">
        <v>0.96</v>
      </c>
      <c r="EP40">
        <v>2360.84</v>
      </c>
      <c r="EQ40">
        <v>49430.09</v>
      </c>
      <c r="ER40">
        <v>12574.01</v>
      </c>
      <c r="ES40">
        <v>0</v>
      </c>
      <c r="ET40">
        <v>0</v>
      </c>
      <c r="EU40">
        <v>1</v>
      </c>
      <c r="EV40">
        <v>62005</v>
      </c>
      <c r="EW40">
        <v>745</v>
      </c>
      <c r="EX40" t="s">
        <v>4088</v>
      </c>
      <c r="EY40">
        <v>270</v>
      </c>
      <c r="EZ40" t="s">
        <v>4055</v>
      </c>
      <c r="FA40">
        <v>6.3</v>
      </c>
      <c r="FB40">
        <v>1</v>
      </c>
      <c r="FC40">
        <v>1</v>
      </c>
      <c r="FD40">
        <v>2394</v>
      </c>
      <c r="FE40">
        <v>4034</v>
      </c>
      <c r="FF40" t="s">
        <v>4089</v>
      </c>
      <c r="FG40">
        <v>270</v>
      </c>
      <c r="FH40" t="s">
        <v>4055</v>
      </c>
      <c r="FI40">
        <v>1.8</v>
      </c>
      <c r="FJ40">
        <v>2394</v>
      </c>
      <c r="FK40">
        <v>1180</v>
      </c>
      <c r="FL40" t="s">
        <v>4069</v>
      </c>
      <c r="FM40" t="s">
        <v>4055</v>
      </c>
      <c r="FN40" t="s">
        <v>4055</v>
      </c>
      <c r="FO40" t="s">
        <v>4055</v>
      </c>
      <c r="FP40">
        <v>2394</v>
      </c>
      <c r="FQ40">
        <v>205</v>
      </c>
      <c r="FR40" t="s">
        <v>4090</v>
      </c>
      <c r="FS40">
        <v>274</v>
      </c>
      <c r="FT40" t="s">
        <v>4055</v>
      </c>
      <c r="FU40">
        <v>0.4</v>
      </c>
      <c r="FV40">
        <v>2394</v>
      </c>
      <c r="FW40">
        <v>292</v>
      </c>
      <c r="FX40" t="s">
        <v>4070</v>
      </c>
      <c r="FY40">
        <v>5</v>
      </c>
      <c r="FZ40" t="s">
        <v>4055</v>
      </c>
      <c r="GA40" t="s">
        <v>4055</v>
      </c>
      <c r="GB40">
        <v>2394</v>
      </c>
      <c r="GC40">
        <v>23</v>
      </c>
      <c r="GD40">
        <v>5734</v>
      </c>
      <c r="GE40" t="s">
        <v>4262</v>
      </c>
      <c r="GF40" t="s">
        <v>4055</v>
      </c>
      <c r="GG40" t="s">
        <v>4055</v>
      </c>
      <c r="GH40" t="s">
        <v>4055</v>
      </c>
      <c r="GI40" t="s">
        <v>4071</v>
      </c>
      <c r="GJ40" t="s">
        <v>4055</v>
      </c>
      <c r="GK40" t="s">
        <v>4055</v>
      </c>
      <c r="GL40" t="s">
        <v>4055</v>
      </c>
      <c r="GM40" t="s">
        <v>4055</v>
      </c>
      <c r="GQ40">
        <v>0</v>
      </c>
      <c r="GV40">
        <v>8.5</v>
      </c>
      <c r="GW40">
        <v>7.8</v>
      </c>
      <c r="GX40">
        <v>0.5</v>
      </c>
      <c r="GY40">
        <v>236</v>
      </c>
      <c r="GZ40">
        <v>3</v>
      </c>
      <c r="HA40">
        <v>294</v>
      </c>
      <c r="HB40">
        <v>3</v>
      </c>
      <c r="HC40">
        <v>2394</v>
      </c>
      <c r="HD40">
        <v>4</v>
      </c>
      <c r="HE40" t="s">
        <v>4071</v>
      </c>
      <c r="HG40" t="s">
        <v>549</v>
      </c>
      <c r="HL40">
        <v>4</v>
      </c>
      <c r="HM40">
        <v>18</v>
      </c>
      <c r="HN40">
        <v>6</v>
      </c>
      <c r="HO40">
        <v>1</v>
      </c>
      <c r="HP40">
        <v>0</v>
      </c>
      <c r="HQ40">
        <v>0</v>
      </c>
      <c r="HR40">
        <v>3</v>
      </c>
      <c r="HS40">
        <v>2345</v>
      </c>
      <c r="HT40">
        <v>5</v>
      </c>
      <c r="HU40">
        <v>1</v>
      </c>
      <c r="HV40">
        <v>3</v>
      </c>
      <c r="HW40">
        <v>0</v>
      </c>
      <c r="HX40">
        <v>1</v>
      </c>
      <c r="HY40">
        <v>0</v>
      </c>
      <c r="HZ40">
        <v>63</v>
      </c>
      <c r="IA40">
        <v>2349</v>
      </c>
      <c r="IB40">
        <v>2362</v>
      </c>
      <c r="ID40">
        <v>2394</v>
      </c>
      <c r="IE40">
        <v>2394</v>
      </c>
      <c r="IF40">
        <v>250</v>
      </c>
      <c r="IG40">
        <v>240</v>
      </c>
      <c r="IH40">
        <v>294</v>
      </c>
      <c r="II40">
        <v>1</v>
      </c>
      <c r="IJ40">
        <v>5</v>
      </c>
      <c r="IK40">
        <v>0</v>
      </c>
      <c r="IL40">
        <v>0</v>
      </c>
      <c r="IM40">
        <v>0</v>
      </c>
      <c r="IN40">
        <v>80</v>
      </c>
      <c r="IO40">
        <v>0</v>
      </c>
      <c r="IP40">
        <v>180</v>
      </c>
      <c r="IQ40">
        <v>0</v>
      </c>
      <c r="IR40">
        <v>330</v>
      </c>
      <c r="IS40">
        <v>0</v>
      </c>
      <c r="IT40">
        <v>100</v>
      </c>
      <c r="IU40">
        <v>0</v>
      </c>
      <c r="IV40">
        <v>6.4</v>
      </c>
      <c r="IW40">
        <v>-6</v>
      </c>
      <c r="IX40">
        <v>128</v>
      </c>
      <c r="IY40">
        <v>94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524</v>
      </c>
      <c r="JJ40">
        <v>494</v>
      </c>
      <c r="JK40">
        <v>350</v>
      </c>
      <c r="JL40">
        <v>492</v>
      </c>
      <c r="JM40">
        <v>350</v>
      </c>
      <c r="JN40">
        <v>255</v>
      </c>
      <c r="JO40">
        <v>300</v>
      </c>
      <c r="JP40">
        <v>180</v>
      </c>
      <c r="JQ40">
        <v>220</v>
      </c>
      <c r="JR40">
        <v>355</v>
      </c>
      <c r="JS40">
        <v>200</v>
      </c>
      <c r="JT40">
        <v>0</v>
      </c>
      <c r="JU40">
        <v>0</v>
      </c>
      <c r="JV40">
        <v>305</v>
      </c>
      <c r="JW40">
        <v>307</v>
      </c>
      <c r="JX40">
        <v>330</v>
      </c>
      <c r="JY40">
        <v>290</v>
      </c>
      <c r="JZ40">
        <v>1</v>
      </c>
      <c r="KA40">
        <v>0.25</v>
      </c>
      <c r="KB40">
        <v>0.4</v>
      </c>
      <c r="KC40">
        <v>0.42</v>
      </c>
      <c r="KD40">
        <v>0.28</v>
      </c>
      <c r="KE40">
        <v>0.8</v>
      </c>
      <c r="KF40">
        <v>0.18</v>
      </c>
      <c r="KG40">
        <v>0.12</v>
      </c>
      <c r="KH40">
        <v>3.5</v>
      </c>
      <c r="KI40">
        <v>1</v>
      </c>
      <c r="KJ40">
        <v>4.5</v>
      </c>
      <c r="KK40">
        <v>0</v>
      </c>
      <c r="KL40">
        <v>4.5</v>
      </c>
      <c r="KM40">
        <v>0</v>
      </c>
      <c r="KN40">
        <v>2.2</v>
      </c>
      <c r="KO40">
        <v>0</v>
      </c>
      <c r="KP40">
        <v>0</v>
      </c>
      <c r="KQ40">
        <v>1</v>
      </c>
      <c r="KR40">
        <v>1.2</v>
      </c>
      <c r="KS40">
        <v>0</v>
      </c>
      <c r="KT40">
        <v>2.7</v>
      </c>
      <c r="KU40">
        <v>0</v>
      </c>
      <c r="KV40">
        <v>0</v>
      </c>
      <c r="KW40">
        <v>1</v>
      </c>
      <c r="KX40">
        <v>2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3</v>
      </c>
      <c r="LI40">
        <v>1</v>
      </c>
      <c r="LJ40">
        <v>0</v>
      </c>
      <c r="LK40">
        <v>12</v>
      </c>
      <c r="LL40">
        <v>11</v>
      </c>
      <c r="LM40">
        <v>10</v>
      </c>
      <c r="LN40">
        <v>0.4</v>
      </c>
      <c r="LO40">
        <v>3</v>
      </c>
      <c r="LP40">
        <v>0</v>
      </c>
      <c r="LQ40">
        <v>0</v>
      </c>
      <c r="LR40">
        <v>0</v>
      </c>
      <c r="LS40">
        <v>1</v>
      </c>
      <c r="LT40">
        <v>520</v>
      </c>
      <c r="LU40">
        <v>0</v>
      </c>
      <c r="LV40">
        <v>0</v>
      </c>
      <c r="LW40">
        <v>2.8</v>
      </c>
      <c r="LX40">
        <v>2.8</v>
      </c>
      <c r="LY40">
        <v>2.8</v>
      </c>
      <c r="LZ40">
        <v>2.8</v>
      </c>
      <c r="MA40">
        <v>0</v>
      </c>
      <c r="MB40">
        <v>3</v>
      </c>
      <c r="MC40">
        <v>0</v>
      </c>
      <c r="MD40">
        <v>4.5</v>
      </c>
      <c r="ME40">
        <v>6</v>
      </c>
      <c r="MF40">
        <v>6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524</v>
      </c>
      <c r="MN40">
        <v>245</v>
      </c>
      <c r="MO40">
        <v>310</v>
      </c>
      <c r="NU40">
        <v>0.15</v>
      </c>
      <c r="NV40">
        <v>0.2</v>
      </c>
      <c r="NW40">
        <v>0.2</v>
      </c>
      <c r="NX40">
        <v>2</v>
      </c>
      <c r="NY40">
        <v>2</v>
      </c>
      <c r="NZ40">
        <v>2</v>
      </c>
      <c r="OE40" t="s">
        <v>4262</v>
      </c>
      <c r="OF40" t="s">
        <v>4260</v>
      </c>
      <c r="OG40" t="s">
        <v>4261</v>
      </c>
      <c r="OH40" t="s">
        <v>4043</v>
      </c>
      <c r="OI40" t="s">
        <v>4262</v>
      </c>
      <c r="OJ40" t="s">
        <v>4259</v>
      </c>
      <c r="OK40">
        <v>61</v>
      </c>
      <c r="OL40">
        <v>61</v>
      </c>
      <c r="OM40" t="s">
        <v>4260</v>
      </c>
      <c r="ON40">
        <v>1</v>
      </c>
      <c r="OO40">
        <v>2349</v>
      </c>
      <c r="OP40">
        <v>61</v>
      </c>
      <c r="OQ40">
        <v>61</v>
      </c>
      <c r="OR40" t="s">
        <v>4261</v>
      </c>
      <c r="OS40">
        <v>1</v>
      </c>
      <c r="OT40">
        <v>2362</v>
      </c>
      <c r="OU40">
        <v>65</v>
      </c>
      <c r="OV40">
        <v>65</v>
      </c>
      <c r="OW40" t="s">
        <v>4043</v>
      </c>
      <c r="OX40">
        <v>2</v>
      </c>
      <c r="OY40">
        <v>62005</v>
      </c>
      <c r="OZ40">
        <v>51</v>
      </c>
      <c r="PA40">
        <v>51</v>
      </c>
      <c r="PB40" t="s">
        <v>4262</v>
      </c>
      <c r="PC40">
        <v>1</v>
      </c>
      <c r="PD40">
        <v>2394</v>
      </c>
      <c r="PF40">
        <v>604</v>
      </c>
      <c r="PG40">
        <v>35</v>
      </c>
      <c r="PH40">
        <v>579</v>
      </c>
      <c r="PI40">
        <v>0</v>
      </c>
      <c r="PJ40">
        <v>85.8</v>
      </c>
      <c r="PK40">
        <v>2399</v>
      </c>
      <c r="PL40">
        <v>1685.1</v>
      </c>
      <c r="PM40">
        <v>493.1</v>
      </c>
      <c r="PN40">
        <v>122</v>
      </c>
      <c r="PO40">
        <v>9.4</v>
      </c>
      <c r="PP40">
        <v>12</v>
      </c>
      <c r="PQ40">
        <v>6</v>
      </c>
      <c r="PR40">
        <v>6</v>
      </c>
      <c r="PS40">
        <v>0</v>
      </c>
      <c r="PT40">
        <v>294</v>
      </c>
      <c r="PU40">
        <v>12</v>
      </c>
      <c r="PV40" t="s">
        <v>4072</v>
      </c>
      <c r="PW40" t="s">
        <v>4072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-1</v>
      </c>
      <c r="QF40">
        <v>1</v>
      </c>
      <c r="QG40">
        <v>0</v>
      </c>
      <c r="QH40">
        <v>5</v>
      </c>
      <c r="QI40">
        <v>5</v>
      </c>
      <c r="QJ40">
        <v>5</v>
      </c>
      <c r="QK40">
        <v>281</v>
      </c>
      <c r="QL40">
        <v>554</v>
      </c>
      <c r="QM40">
        <v>9.4</v>
      </c>
      <c r="QN40">
        <v>1465.9</v>
      </c>
      <c r="QO40" t="s">
        <v>556</v>
      </c>
      <c r="QP40" t="s">
        <v>513</v>
      </c>
      <c r="QQ40">
        <v>0</v>
      </c>
      <c r="QR40" t="s">
        <v>596</v>
      </c>
      <c r="QS40">
        <v>40</v>
      </c>
      <c r="QT40">
        <v>50</v>
      </c>
    </row>
    <row r="41" spans="1:462">
      <c r="A41" t="s">
        <v>1174</v>
      </c>
      <c r="B41" t="s">
        <v>559</v>
      </c>
      <c r="C41" t="s">
        <v>509</v>
      </c>
      <c r="D41" t="s">
        <v>4266</v>
      </c>
      <c r="E41" t="s">
        <v>4036</v>
      </c>
      <c r="H41" t="s">
        <v>627</v>
      </c>
      <c r="I41" t="s">
        <v>604</v>
      </c>
      <c r="J41" t="s">
        <v>628</v>
      </c>
      <c r="K41" t="s">
        <v>606</v>
      </c>
      <c r="L41" t="s">
        <v>564</v>
      </c>
      <c r="M41" t="s">
        <v>512</v>
      </c>
      <c r="O41" t="s">
        <v>513</v>
      </c>
      <c r="P41" t="s">
        <v>567</v>
      </c>
      <c r="Q41" t="s">
        <v>1175</v>
      </c>
      <c r="R41" t="s">
        <v>685</v>
      </c>
      <c r="S41" t="s">
        <v>4037</v>
      </c>
      <c r="T41" t="s">
        <v>633</v>
      </c>
      <c r="U41" t="s">
        <v>634</v>
      </c>
      <c r="V41" t="s">
        <v>715</v>
      </c>
      <c r="W41" t="s">
        <v>573</v>
      </c>
      <c r="X41" t="s">
        <v>1176</v>
      </c>
      <c r="Y41" t="s">
        <v>1177</v>
      </c>
      <c r="Z41" t="s">
        <v>650</v>
      </c>
      <c r="AA41" t="s">
        <v>4038</v>
      </c>
      <c r="AB41" t="s">
        <v>4267</v>
      </c>
      <c r="AC41">
        <v>9</v>
      </c>
      <c r="AD41" t="s">
        <v>1172</v>
      </c>
      <c r="AE41">
        <v>6</v>
      </c>
      <c r="AF41">
        <v>5332</v>
      </c>
      <c r="AG41" t="s">
        <v>4268</v>
      </c>
      <c r="AH41">
        <v>1</v>
      </c>
      <c r="AI41" t="s">
        <v>4041</v>
      </c>
      <c r="AK41" t="s">
        <v>4269</v>
      </c>
      <c r="AL41">
        <v>1</v>
      </c>
      <c r="AM41" t="s">
        <v>582</v>
      </c>
      <c r="AO41" t="s">
        <v>4043</v>
      </c>
      <c r="AP41">
        <v>1</v>
      </c>
      <c r="AR41" t="s">
        <v>4270</v>
      </c>
      <c r="AS41">
        <v>1</v>
      </c>
      <c r="AT41">
        <v>52</v>
      </c>
      <c r="AV41" t="s">
        <v>4078</v>
      </c>
      <c r="AW41">
        <v>6.4</v>
      </c>
      <c r="AX41">
        <v>-6</v>
      </c>
      <c r="AY41">
        <v>108.5</v>
      </c>
      <c r="AZ41">
        <v>68</v>
      </c>
      <c r="BH41">
        <v>108.5</v>
      </c>
      <c r="BI41">
        <v>40.5</v>
      </c>
      <c r="BJ41">
        <v>68</v>
      </c>
      <c r="BK41">
        <v>3.5</v>
      </c>
      <c r="BL41">
        <v>217</v>
      </c>
      <c r="BM41">
        <v>-6</v>
      </c>
      <c r="BN41">
        <v>0</v>
      </c>
      <c r="BP41">
        <v>0</v>
      </c>
      <c r="BR41">
        <v>210</v>
      </c>
      <c r="BS41">
        <v>200</v>
      </c>
      <c r="BT41">
        <v>2025</v>
      </c>
      <c r="BU41" t="s">
        <v>4096</v>
      </c>
      <c r="BV41" t="s">
        <v>4096</v>
      </c>
      <c r="BW41" t="s">
        <v>4128</v>
      </c>
      <c r="BX41" t="s">
        <v>4097</v>
      </c>
      <c r="BY41" t="s">
        <v>4173</v>
      </c>
      <c r="BZ41" t="s">
        <v>4173</v>
      </c>
      <c r="CA41" t="s">
        <v>4108</v>
      </c>
      <c r="CB41" t="s">
        <v>4109</v>
      </c>
      <c r="CC41" t="s">
        <v>4053</v>
      </c>
      <c r="CD41" t="s">
        <v>4110</v>
      </c>
      <c r="CE41" t="s">
        <v>4055</v>
      </c>
      <c r="CF41" t="s">
        <v>4055</v>
      </c>
      <c r="CG41" t="s">
        <v>4056</v>
      </c>
      <c r="CI41" t="s">
        <v>4058</v>
      </c>
      <c r="CJ41" t="s">
        <v>4059</v>
      </c>
      <c r="CK41" t="s">
        <v>4060</v>
      </c>
      <c r="CL41" t="s">
        <v>4061</v>
      </c>
      <c r="CM41" t="s">
        <v>4062</v>
      </c>
      <c r="CN41" t="s">
        <v>4055</v>
      </c>
      <c r="CO41" t="s">
        <v>4063</v>
      </c>
      <c r="CP41" t="s">
        <v>4055</v>
      </c>
      <c r="CQ41" t="s">
        <v>4055</v>
      </c>
      <c r="CR41">
        <v>5</v>
      </c>
      <c r="CS41" t="s">
        <v>4055</v>
      </c>
      <c r="CT41" t="s">
        <v>4055</v>
      </c>
      <c r="CU41" t="s">
        <v>4055</v>
      </c>
      <c r="CV41">
        <v>135</v>
      </c>
      <c r="CW41">
        <v>3</v>
      </c>
      <c r="CX41">
        <v>115</v>
      </c>
      <c r="CY41">
        <v>5</v>
      </c>
      <c r="CZ41">
        <v>150</v>
      </c>
      <c r="DA41">
        <v>5</v>
      </c>
      <c r="DB41">
        <v>11630</v>
      </c>
      <c r="DC41">
        <v>340</v>
      </c>
      <c r="DD41">
        <v>341</v>
      </c>
      <c r="DE41">
        <v>2122</v>
      </c>
      <c r="DF41">
        <v>2127</v>
      </c>
      <c r="DG41">
        <v>2137</v>
      </c>
      <c r="DH41" t="s">
        <v>4055</v>
      </c>
      <c r="DI41" t="s">
        <v>4055</v>
      </c>
      <c r="DJ41" t="s">
        <v>4100</v>
      </c>
      <c r="DK41">
        <v>210</v>
      </c>
      <c r="DL41" t="s">
        <v>4101</v>
      </c>
      <c r="DM41">
        <v>67</v>
      </c>
      <c r="DN41">
        <v>0.84</v>
      </c>
      <c r="DO41">
        <v>1</v>
      </c>
      <c r="DP41">
        <v>2028</v>
      </c>
      <c r="DQ41">
        <v>779</v>
      </c>
      <c r="DR41" t="s">
        <v>4100</v>
      </c>
      <c r="DS41">
        <v>200</v>
      </c>
      <c r="DT41" t="s">
        <v>4101</v>
      </c>
      <c r="DU41">
        <v>67</v>
      </c>
      <c r="DV41">
        <v>0.84</v>
      </c>
      <c r="DW41">
        <v>1</v>
      </c>
      <c r="DX41">
        <v>2035</v>
      </c>
      <c r="DY41">
        <v>745</v>
      </c>
      <c r="DZ41" t="s">
        <v>4066</v>
      </c>
      <c r="EA41">
        <v>33</v>
      </c>
      <c r="EB41" t="s">
        <v>4065</v>
      </c>
      <c r="EC41">
        <v>0.4</v>
      </c>
      <c r="ED41">
        <v>2028</v>
      </c>
      <c r="EE41">
        <v>59</v>
      </c>
      <c r="EF41" t="s">
        <v>4066</v>
      </c>
      <c r="EG41">
        <v>33</v>
      </c>
      <c r="EH41" t="s">
        <v>4065</v>
      </c>
      <c r="EI41">
        <v>0.4</v>
      </c>
      <c r="EJ41">
        <v>2035</v>
      </c>
      <c r="EK41">
        <v>59</v>
      </c>
      <c r="EL41" t="s">
        <v>1528</v>
      </c>
      <c r="EM41">
        <v>12</v>
      </c>
      <c r="EN41">
        <v>0.5</v>
      </c>
      <c r="EO41">
        <v>0.96</v>
      </c>
      <c r="EP41">
        <v>2035.56</v>
      </c>
      <c r="EQ41">
        <v>36417.44</v>
      </c>
      <c r="ER41">
        <v>12919.45</v>
      </c>
      <c r="ES41">
        <v>0</v>
      </c>
      <c r="ET41">
        <v>0</v>
      </c>
      <c r="EU41">
        <v>1</v>
      </c>
      <c r="EV41">
        <v>49337</v>
      </c>
      <c r="EW41">
        <v>593</v>
      </c>
      <c r="EX41" t="s">
        <v>4088</v>
      </c>
      <c r="EY41">
        <v>232</v>
      </c>
      <c r="EZ41" t="s">
        <v>4055</v>
      </c>
      <c r="FA41">
        <v>6.4</v>
      </c>
      <c r="FB41">
        <v>1</v>
      </c>
      <c r="FC41">
        <v>1</v>
      </c>
      <c r="FD41">
        <v>2067</v>
      </c>
      <c r="FE41">
        <v>3102</v>
      </c>
      <c r="FF41" t="s">
        <v>4089</v>
      </c>
      <c r="FG41">
        <v>232</v>
      </c>
      <c r="FH41" t="s">
        <v>4055</v>
      </c>
      <c r="FI41">
        <v>1.2</v>
      </c>
      <c r="FJ41">
        <v>2067</v>
      </c>
      <c r="FK41">
        <v>585</v>
      </c>
      <c r="FL41" t="s">
        <v>4069</v>
      </c>
      <c r="FM41" t="s">
        <v>4055</v>
      </c>
      <c r="FN41" t="s">
        <v>4055</v>
      </c>
      <c r="FO41" t="s">
        <v>4055</v>
      </c>
      <c r="FP41">
        <v>2067</v>
      </c>
      <c r="FQ41">
        <v>137</v>
      </c>
      <c r="FR41" t="s">
        <v>4090</v>
      </c>
      <c r="FS41">
        <v>236</v>
      </c>
      <c r="FT41" t="s">
        <v>4055</v>
      </c>
      <c r="FU41">
        <v>0.4</v>
      </c>
      <c r="FV41">
        <v>2067</v>
      </c>
      <c r="FW41">
        <v>217</v>
      </c>
      <c r="FX41" t="s">
        <v>4070</v>
      </c>
      <c r="FY41">
        <v>5</v>
      </c>
      <c r="FZ41" t="s">
        <v>4055</v>
      </c>
      <c r="GA41" t="s">
        <v>4055</v>
      </c>
      <c r="GB41">
        <v>2067</v>
      </c>
      <c r="GC41">
        <v>19</v>
      </c>
      <c r="GD41">
        <v>4060</v>
      </c>
      <c r="GE41" t="s">
        <v>4270</v>
      </c>
      <c r="GF41" t="s">
        <v>4055</v>
      </c>
      <c r="GG41" t="s">
        <v>4055</v>
      </c>
      <c r="GH41" t="s">
        <v>4055</v>
      </c>
      <c r="GI41" t="s">
        <v>4071</v>
      </c>
      <c r="GJ41" t="s">
        <v>4055</v>
      </c>
      <c r="GK41" t="s">
        <v>4055</v>
      </c>
      <c r="GL41" t="s">
        <v>4055</v>
      </c>
      <c r="GM41" t="s">
        <v>4055</v>
      </c>
      <c r="GQ41">
        <v>0</v>
      </c>
      <c r="GV41">
        <v>8</v>
      </c>
      <c r="GW41">
        <v>7.5</v>
      </c>
      <c r="GX41">
        <v>0.5</v>
      </c>
      <c r="GY41">
        <v>204</v>
      </c>
      <c r="GZ41">
        <v>3</v>
      </c>
      <c r="HA41">
        <v>252</v>
      </c>
      <c r="HB41">
        <v>3</v>
      </c>
      <c r="HC41">
        <v>2067</v>
      </c>
      <c r="HD41">
        <v>4</v>
      </c>
      <c r="HE41" t="s">
        <v>4071</v>
      </c>
      <c r="HG41" t="s">
        <v>549</v>
      </c>
      <c r="HL41">
        <v>4</v>
      </c>
      <c r="HM41">
        <v>17</v>
      </c>
      <c r="HN41">
        <v>1</v>
      </c>
      <c r="HO41">
        <v>1</v>
      </c>
      <c r="HP41">
        <v>0</v>
      </c>
      <c r="HQ41">
        <v>0</v>
      </c>
      <c r="HR41">
        <v>2</v>
      </c>
      <c r="HS41">
        <v>2025</v>
      </c>
      <c r="HT41">
        <v>5</v>
      </c>
      <c r="HU41">
        <v>1</v>
      </c>
      <c r="HV41">
        <v>3</v>
      </c>
      <c r="HW41">
        <v>0</v>
      </c>
      <c r="HX41">
        <v>1</v>
      </c>
      <c r="HY41">
        <v>0</v>
      </c>
      <c r="HZ41">
        <v>67</v>
      </c>
      <c r="IA41">
        <v>2028</v>
      </c>
      <c r="IB41">
        <v>2035</v>
      </c>
      <c r="ID41">
        <v>2067</v>
      </c>
      <c r="IE41">
        <v>2067</v>
      </c>
      <c r="IF41">
        <v>210</v>
      </c>
      <c r="IG41">
        <v>200</v>
      </c>
      <c r="IH41">
        <v>252</v>
      </c>
      <c r="II41">
        <v>1</v>
      </c>
      <c r="IJ41">
        <v>5</v>
      </c>
      <c r="IK41">
        <v>0</v>
      </c>
      <c r="IL41">
        <v>0</v>
      </c>
      <c r="IM41">
        <v>0</v>
      </c>
      <c r="IN41">
        <v>270</v>
      </c>
      <c r="IO41">
        <v>0</v>
      </c>
      <c r="IP41">
        <v>180</v>
      </c>
      <c r="IQ41">
        <v>0</v>
      </c>
      <c r="IR41">
        <v>330</v>
      </c>
      <c r="IS41">
        <v>0</v>
      </c>
      <c r="IT41">
        <v>90</v>
      </c>
      <c r="IU41">
        <v>0</v>
      </c>
      <c r="IV41">
        <v>6.4</v>
      </c>
      <c r="IW41">
        <v>-6</v>
      </c>
      <c r="IX41">
        <v>108.5</v>
      </c>
      <c r="IY41">
        <v>68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404</v>
      </c>
      <c r="JJ41">
        <v>374</v>
      </c>
      <c r="JK41">
        <v>285</v>
      </c>
      <c r="JL41">
        <v>370</v>
      </c>
      <c r="JM41">
        <v>282</v>
      </c>
      <c r="JN41">
        <v>230</v>
      </c>
      <c r="JO41">
        <v>252</v>
      </c>
      <c r="JP41">
        <v>205</v>
      </c>
      <c r="JQ41">
        <v>260</v>
      </c>
      <c r="JR41">
        <v>338</v>
      </c>
      <c r="JS41">
        <v>270</v>
      </c>
      <c r="JT41">
        <v>0</v>
      </c>
      <c r="JU41">
        <v>0</v>
      </c>
      <c r="JV41">
        <v>295</v>
      </c>
      <c r="JW41">
        <v>285</v>
      </c>
      <c r="JX41">
        <v>311</v>
      </c>
      <c r="JY41">
        <v>293</v>
      </c>
      <c r="JZ41">
        <v>0.5</v>
      </c>
      <c r="KA41">
        <v>0.2</v>
      </c>
      <c r="KB41">
        <v>0.4</v>
      </c>
      <c r="KC41">
        <v>0.42</v>
      </c>
      <c r="KD41">
        <v>0.3</v>
      </c>
      <c r="KE41">
        <v>0.5</v>
      </c>
      <c r="KF41">
        <v>0.19</v>
      </c>
      <c r="KG41">
        <v>0.1</v>
      </c>
      <c r="KH41">
        <v>3.5</v>
      </c>
      <c r="KI41">
        <v>1</v>
      </c>
      <c r="KJ41">
        <v>4.5</v>
      </c>
      <c r="KK41">
        <v>0</v>
      </c>
      <c r="KL41">
        <v>4.5</v>
      </c>
      <c r="KM41">
        <v>3</v>
      </c>
      <c r="KN41">
        <v>1.6</v>
      </c>
      <c r="KO41">
        <v>2</v>
      </c>
      <c r="KP41">
        <v>0</v>
      </c>
      <c r="KQ41">
        <v>1</v>
      </c>
      <c r="KR41">
        <v>1.5</v>
      </c>
      <c r="KS41">
        <v>0</v>
      </c>
      <c r="KT41">
        <v>3</v>
      </c>
      <c r="KU41">
        <v>0</v>
      </c>
      <c r="KV41">
        <v>0</v>
      </c>
      <c r="KW41">
        <v>1.2</v>
      </c>
      <c r="KX41">
        <v>2</v>
      </c>
      <c r="KY41">
        <v>1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0.5</v>
      </c>
      <c r="LJ41">
        <v>0</v>
      </c>
      <c r="LK41">
        <v>10</v>
      </c>
      <c r="LL41">
        <v>8</v>
      </c>
      <c r="LM41">
        <v>3</v>
      </c>
      <c r="LN41">
        <v>0.1</v>
      </c>
      <c r="LO41">
        <v>0.1</v>
      </c>
      <c r="LP41">
        <v>0</v>
      </c>
      <c r="LQ41">
        <v>0</v>
      </c>
      <c r="LR41">
        <v>0</v>
      </c>
      <c r="LS41">
        <v>1</v>
      </c>
      <c r="LT41">
        <v>520</v>
      </c>
      <c r="LU41">
        <v>0</v>
      </c>
      <c r="LV41">
        <v>0</v>
      </c>
      <c r="LW41">
        <v>1.8</v>
      </c>
      <c r="LX41">
        <v>1.8</v>
      </c>
      <c r="LY41">
        <v>2.1</v>
      </c>
      <c r="LZ41">
        <v>2.1</v>
      </c>
      <c r="MA41">
        <v>0</v>
      </c>
      <c r="MB41">
        <v>0</v>
      </c>
      <c r="MC41">
        <v>0</v>
      </c>
      <c r="MD41">
        <v>4.5</v>
      </c>
      <c r="ME41">
        <v>6</v>
      </c>
      <c r="MF41">
        <v>6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420</v>
      </c>
      <c r="MN41">
        <v>205</v>
      </c>
      <c r="MO41">
        <v>262</v>
      </c>
      <c r="NU41">
        <v>0.15</v>
      </c>
      <c r="NV41">
        <v>0.2</v>
      </c>
      <c r="NW41">
        <v>0.2</v>
      </c>
      <c r="NX41">
        <v>0.2</v>
      </c>
      <c r="NY41">
        <v>0.2</v>
      </c>
      <c r="NZ41">
        <v>0.2</v>
      </c>
      <c r="OE41" t="s">
        <v>4270</v>
      </c>
      <c r="OF41" t="s">
        <v>4268</v>
      </c>
      <c r="OG41" t="s">
        <v>4269</v>
      </c>
      <c r="OH41" t="s">
        <v>4043</v>
      </c>
      <c r="OI41" t="s">
        <v>4270</v>
      </c>
      <c r="OJ41" t="s">
        <v>4267</v>
      </c>
      <c r="OK41">
        <v>61</v>
      </c>
      <c r="OL41">
        <v>61</v>
      </c>
      <c r="OM41" t="s">
        <v>4268</v>
      </c>
      <c r="ON41">
        <v>2</v>
      </c>
      <c r="OO41">
        <v>2028</v>
      </c>
      <c r="OP41">
        <v>61</v>
      </c>
      <c r="OQ41">
        <v>61</v>
      </c>
      <c r="OR41" t="s">
        <v>4269</v>
      </c>
      <c r="OS41">
        <v>2</v>
      </c>
      <c r="OT41">
        <v>2035</v>
      </c>
      <c r="OU41">
        <v>65</v>
      </c>
      <c r="OV41">
        <v>65</v>
      </c>
      <c r="OW41" t="s">
        <v>4043</v>
      </c>
      <c r="OX41">
        <v>1</v>
      </c>
      <c r="OY41">
        <v>49337</v>
      </c>
      <c r="OZ41">
        <v>51</v>
      </c>
      <c r="PA41">
        <v>52</v>
      </c>
      <c r="PB41" t="s">
        <v>4270</v>
      </c>
      <c r="PC41">
        <v>1</v>
      </c>
      <c r="PD41">
        <v>2067</v>
      </c>
      <c r="PF41">
        <v>384</v>
      </c>
      <c r="PG41">
        <v>29</v>
      </c>
      <c r="PH41">
        <v>366</v>
      </c>
      <c r="PI41">
        <v>29</v>
      </c>
      <c r="PJ41">
        <v>66.40000000000001</v>
      </c>
      <c r="PK41">
        <v>1995</v>
      </c>
      <c r="PL41">
        <v>1500.5</v>
      </c>
      <c r="PM41">
        <v>283.1</v>
      </c>
      <c r="PN41">
        <v>105</v>
      </c>
      <c r="PO41">
        <v>9.300000000000001</v>
      </c>
      <c r="PP41">
        <v>12</v>
      </c>
      <c r="PQ41">
        <v>3</v>
      </c>
      <c r="PR41">
        <v>3</v>
      </c>
      <c r="PS41">
        <v>0</v>
      </c>
      <c r="PT41">
        <v>252</v>
      </c>
      <c r="PU41">
        <v>10</v>
      </c>
      <c r="PV41" t="s">
        <v>4072</v>
      </c>
      <c r="PW41" t="s">
        <v>4072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-1</v>
      </c>
      <c r="QF41">
        <v>1</v>
      </c>
      <c r="QG41">
        <v>0</v>
      </c>
      <c r="QH41">
        <v>5</v>
      </c>
      <c r="QI41">
        <v>5</v>
      </c>
      <c r="QJ41">
        <v>5</v>
      </c>
      <c r="QK41">
        <v>196</v>
      </c>
      <c r="QL41">
        <v>438</v>
      </c>
      <c r="QM41">
        <v>7.5</v>
      </c>
      <c r="QN41">
        <v>1384.6</v>
      </c>
      <c r="QO41" t="s">
        <v>556</v>
      </c>
      <c r="QP41" t="s">
        <v>513</v>
      </c>
      <c r="QQ41">
        <v>0</v>
      </c>
      <c r="QR41" t="s">
        <v>677</v>
      </c>
      <c r="QS41">
        <v>30</v>
      </c>
      <c r="QT41">
        <v>40</v>
      </c>
    </row>
    <row r="42" spans="1:462">
      <c r="A42" t="s">
        <v>1186</v>
      </c>
      <c r="B42" t="s">
        <v>629</v>
      </c>
      <c r="C42" t="s">
        <v>509</v>
      </c>
      <c r="D42" t="s">
        <v>4236</v>
      </c>
      <c r="E42" t="s">
        <v>4036</v>
      </c>
      <c r="H42" t="s">
        <v>604</v>
      </c>
      <c r="I42" t="s">
        <v>605</v>
      </c>
      <c r="J42" t="s">
        <v>628</v>
      </c>
      <c r="L42" t="s">
        <v>711</v>
      </c>
      <c r="M42" t="s">
        <v>512</v>
      </c>
      <c r="O42" t="s">
        <v>513</v>
      </c>
      <c r="P42" t="s">
        <v>567</v>
      </c>
      <c r="Q42" t="s">
        <v>1187</v>
      </c>
      <c r="R42" t="s">
        <v>1103</v>
      </c>
      <c r="S42" t="s">
        <v>4091</v>
      </c>
      <c r="T42" t="s">
        <v>662</v>
      </c>
      <c r="U42" t="s">
        <v>663</v>
      </c>
      <c r="V42" t="s">
        <v>1188</v>
      </c>
      <c r="W42" t="s">
        <v>573</v>
      </c>
      <c r="X42" t="s">
        <v>1189</v>
      </c>
      <c r="Y42" t="s">
        <v>1190</v>
      </c>
      <c r="Z42" t="s">
        <v>541</v>
      </c>
      <c r="AA42" t="s">
        <v>4038</v>
      </c>
      <c r="AB42" t="s">
        <v>4271</v>
      </c>
      <c r="AC42">
        <v>9</v>
      </c>
      <c r="AD42" t="s">
        <v>1185</v>
      </c>
      <c r="AE42">
        <v>4</v>
      </c>
      <c r="AF42">
        <v>7140</v>
      </c>
      <c r="AG42" t="s">
        <v>4272</v>
      </c>
      <c r="AH42">
        <v>1</v>
      </c>
      <c r="AI42" t="s">
        <v>4041</v>
      </c>
      <c r="AK42" t="s">
        <v>4273</v>
      </c>
      <c r="AL42">
        <v>1</v>
      </c>
      <c r="AM42" t="s">
        <v>582</v>
      </c>
      <c r="AO42" t="s">
        <v>4043</v>
      </c>
      <c r="AP42">
        <v>2</v>
      </c>
      <c r="AR42" t="s">
        <v>4274</v>
      </c>
      <c r="AS42">
        <v>1</v>
      </c>
      <c r="AT42">
        <v>52</v>
      </c>
      <c r="AV42" t="s">
        <v>4126</v>
      </c>
      <c r="AW42">
        <v>6.4</v>
      </c>
      <c r="AX42">
        <v>-6</v>
      </c>
      <c r="AY42">
        <v>102.5</v>
      </c>
      <c r="AZ42">
        <v>70</v>
      </c>
      <c r="BB42">
        <v>100</v>
      </c>
      <c r="BH42">
        <v>102.5</v>
      </c>
      <c r="BI42">
        <v>32.5</v>
      </c>
      <c r="BJ42">
        <v>70</v>
      </c>
      <c r="BK42">
        <v>2.5</v>
      </c>
      <c r="BL42">
        <v>205</v>
      </c>
      <c r="BM42">
        <v>-6</v>
      </c>
      <c r="BN42">
        <v>100</v>
      </c>
      <c r="BP42">
        <v>200</v>
      </c>
      <c r="BR42">
        <v>200</v>
      </c>
      <c r="BS42">
        <v>190</v>
      </c>
      <c r="BT42">
        <v>2260</v>
      </c>
      <c r="BU42" t="s">
        <v>4079</v>
      </c>
      <c r="BV42" t="s">
        <v>4079</v>
      </c>
      <c r="BW42" t="s">
        <v>4081</v>
      </c>
      <c r="BX42" t="s">
        <v>4081</v>
      </c>
      <c r="BY42" t="s">
        <v>4117</v>
      </c>
      <c r="BZ42" t="s">
        <v>4215</v>
      </c>
      <c r="CA42" t="s">
        <v>4118</v>
      </c>
      <c r="CB42" t="s">
        <v>4119</v>
      </c>
      <c r="CC42" t="s">
        <v>4053</v>
      </c>
      <c r="CD42" t="s">
        <v>4121</v>
      </c>
      <c r="CE42" t="s">
        <v>4055</v>
      </c>
      <c r="CF42" t="s">
        <v>4055</v>
      </c>
      <c r="CG42" t="s">
        <v>4056</v>
      </c>
      <c r="CI42" t="s">
        <v>4058</v>
      </c>
      <c r="CJ42" t="s">
        <v>4059</v>
      </c>
      <c r="CK42" t="s">
        <v>4060</v>
      </c>
      <c r="CL42" t="s">
        <v>4061</v>
      </c>
      <c r="CM42" t="s">
        <v>4062</v>
      </c>
      <c r="CN42" t="s">
        <v>4055</v>
      </c>
      <c r="CO42" t="s">
        <v>4063</v>
      </c>
      <c r="CP42" t="s">
        <v>4055</v>
      </c>
      <c r="CQ42" t="s">
        <v>4055</v>
      </c>
      <c r="CR42">
        <v>5</v>
      </c>
      <c r="CS42" t="s">
        <v>4055</v>
      </c>
      <c r="CT42" t="s">
        <v>4055</v>
      </c>
      <c r="CU42" t="s">
        <v>4055</v>
      </c>
      <c r="CV42">
        <v>128</v>
      </c>
      <c r="CW42">
        <v>3</v>
      </c>
      <c r="CX42">
        <v>84</v>
      </c>
      <c r="CY42">
        <v>5</v>
      </c>
      <c r="CZ42">
        <v>154</v>
      </c>
      <c r="DA42">
        <v>5</v>
      </c>
      <c r="DB42">
        <v>14540</v>
      </c>
      <c r="DC42">
        <v>420</v>
      </c>
      <c r="DD42">
        <v>352</v>
      </c>
      <c r="DE42">
        <v>2363</v>
      </c>
      <c r="DF42">
        <v>2363</v>
      </c>
      <c r="DG42">
        <v>2373</v>
      </c>
      <c r="DH42" t="s">
        <v>4055</v>
      </c>
      <c r="DI42" t="s">
        <v>4055</v>
      </c>
      <c r="DJ42" t="s">
        <v>4087</v>
      </c>
      <c r="DK42">
        <v>200</v>
      </c>
      <c r="DL42" t="s">
        <v>4065</v>
      </c>
      <c r="DM42">
        <v>65</v>
      </c>
      <c r="DN42">
        <v>1.36</v>
      </c>
      <c r="DO42">
        <v>1</v>
      </c>
      <c r="DP42">
        <v>2264</v>
      </c>
      <c r="DQ42">
        <v>1141</v>
      </c>
      <c r="DR42" t="s">
        <v>4087</v>
      </c>
      <c r="DS42">
        <v>190</v>
      </c>
      <c r="DT42" t="s">
        <v>4065</v>
      </c>
      <c r="DU42">
        <v>65</v>
      </c>
      <c r="DV42">
        <v>1.36</v>
      </c>
      <c r="DW42">
        <v>1</v>
      </c>
      <c r="DX42">
        <v>2278</v>
      </c>
      <c r="DY42">
        <v>1089</v>
      </c>
      <c r="DZ42" t="s">
        <v>4066</v>
      </c>
      <c r="EA42">
        <v>20</v>
      </c>
      <c r="EB42" t="s">
        <v>4065</v>
      </c>
      <c r="EC42">
        <v>0.8</v>
      </c>
      <c r="ED42">
        <v>2264</v>
      </c>
      <c r="EE42">
        <v>79</v>
      </c>
      <c r="EG42">
        <v>0</v>
      </c>
      <c r="EH42" t="s">
        <v>4065</v>
      </c>
      <c r="EI42">
        <v>0</v>
      </c>
      <c r="EL42" t="s">
        <v>1528</v>
      </c>
      <c r="EM42">
        <v>12</v>
      </c>
      <c r="EN42">
        <v>0.5</v>
      </c>
      <c r="EO42">
        <v>0.96</v>
      </c>
      <c r="EP42">
        <v>2277.1</v>
      </c>
      <c r="EQ42">
        <v>38603.96</v>
      </c>
      <c r="ER42">
        <v>11594.03</v>
      </c>
      <c r="ES42">
        <v>35768.18</v>
      </c>
      <c r="ET42">
        <v>0</v>
      </c>
      <c r="EU42">
        <v>1</v>
      </c>
      <c r="EV42">
        <v>85967</v>
      </c>
      <c r="EW42">
        <v>1032</v>
      </c>
      <c r="EX42" t="s">
        <v>4088</v>
      </c>
      <c r="EY42">
        <v>228</v>
      </c>
      <c r="EZ42" t="s">
        <v>4055</v>
      </c>
      <c r="FA42">
        <v>5.4</v>
      </c>
      <c r="FB42">
        <v>1</v>
      </c>
      <c r="FC42">
        <v>1</v>
      </c>
      <c r="FD42">
        <v>2306</v>
      </c>
      <c r="FE42">
        <v>3084</v>
      </c>
      <c r="FF42" t="s">
        <v>4089</v>
      </c>
      <c r="FG42">
        <v>228</v>
      </c>
      <c r="FH42" t="s">
        <v>4055</v>
      </c>
      <c r="FI42">
        <v>1.2</v>
      </c>
      <c r="FJ42">
        <v>2306</v>
      </c>
      <c r="FK42">
        <v>626</v>
      </c>
      <c r="FL42" t="s">
        <v>4069</v>
      </c>
      <c r="FM42" t="s">
        <v>4055</v>
      </c>
      <c r="FN42" t="s">
        <v>4055</v>
      </c>
      <c r="FO42" t="s">
        <v>4055</v>
      </c>
      <c r="FP42">
        <v>2306</v>
      </c>
      <c r="FQ42">
        <v>88</v>
      </c>
      <c r="FR42" t="s">
        <v>4090</v>
      </c>
      <c r="FS42">
        <v>232</v>
      </c>
      <c r="FT42" t="s">
        <v>4055</v>
      </c>
      <c r="FU42">
        <v>0.4</v>
      </c>
      <c r="FV42">
        <v>2306</v>
      </c>
      <c r="FW42">
        <v>238</v>
      </c>
      <c r="FX42" t="s">
        <v>4070</v>
      </c>
      <c r="FY42">
        <v>5</v>
      </c>
      <c r="FZ42" t="s">
        <v>4055</v>
      </c>
      <c r="GA42" t="s">
        <v>4055</v>
      </c>
      <c r="GB42">
        <v>2306</v>
      </c>
      <c r="GC42">
        <v>19</v>
      </c>
      <c r="GD42">
        <v>4055</v>
      </c>
      <c r="GE42" t="s">
        <v>4274</v>
      </c>
      <c r="GF42" t="s">
        <v>4055</v>
      </c>
      <c r="GG42" t="s">
        <v>4055</v>
      </c>
      <c r="GH42" t="s">
        <v>4055</v>
      </c>
      <c r="GI42" t="s">
        <v>4071</v>
      </c>
      <c r="GJ42" t="s">
        <v>4055</v>
      </c>
      <c r="GK42" t="s">
        <v>4055</v>
      </c>
      <c r="GL42" t="s">
        <v>4055</v>
      </c>
      <c r="GM42" t="s">
        <v>4055</v>
      </c>
      <c r="GQ42">
        <v>0</v>
      </c>
      <c r="GV42">
        <v>7</v>
      </c>
      <c r="GW42">
        <v>7.3</v>
      </c>
      <c r="GX42">
        <v>0.5</v>
      </c>
      <c r="GY42">
        <v>190</v>
      </c>
      <c r="GZ42">
        <v>3</v>
      </c>
      <c r="HA42">
        <v>244</v>
      </c>
      <c r="HB42">
        <v>3</v>
      </c>
      <c r="HC42">
        <v>2306</v>
      </c>
      <c r="HD42">
        <v>4</v>
      </c>
      <c r="HE42" t="s">
        <v>4071</v>
      </c>
      <c r="HG42" t="s">
        <v>549</v>
      </c>
      <c r="HL42">
        <v>6</v>
      </c>
      <c r="HM42">
        <v>18</v>
      </c>
      <c r="HN42">
        <v>6</v>
      </c>
      <c r="HO42">
        <v>1</v>
      </c>
      <c r="HP42">
        <v>0</v>
      </c>
      <c r="HQ42">
        <v>0</v>
      </c>
      <c r="HR42">
        <v>3</v>
      </c>
      <c r="HS42">
        <v>2260</v>
      </c>
      <c r="HT42">
        <v>5</v>
      </c>
      <c r="HU42">
        <v>1</v>
      </c>
      <c r="HV42">
        <v>3</v>
      </c>
      <c r="HW42">
        <v>0</v>
      </c>
      <c r="HX42">
        <v>1</v>
      </c>
      <c r="HY42">
        <v>0</v>
      </c>
      <c r="HZ42">
        <v>65</v>
      </c>
      <c r="IA42">
        <v>2264</v>
      </c>
      <c r="IB42">
        <v>2278</v>
      </c>
      <c r="ID42">
        <v>2306</v>
      </c>
      <c r="IE42">
        <v>2306</v>
      </c>
      <c r="IF42">
        <v>200</v>
      </c>
      <c r="IG42">
        <v>190</v>
      </c>
      <c r="IH42">
        <v>244</v>
      </c>
      <c r="II42">
        <v>1</v>
      </c>
      <c r="IJ42">
        <v>5</v>
      </c>
      <c r="IK42">
        <v>0</v>
      </c>
      <c r="IL42">
        <v>0</v>
      </c>
      <c r="IM42">
        <v>0</v>
      </c>
      <c r="IN42">
        <v>90</v>
      </c>
      <c r="IO42">
        <v>0</v>
      </c>
      <c r="IP42">
        <v>180</v>
      </c>
      <c r="IQ42">
        <v>0</v>
      </c>
      <c r="IR42">
        <v>330</v>
      </c>
      <c r="IS42">
        <v>0</v>
      </c>
      <c r="IT42">
        <v>90</v>
      </c>
      <c r="IU42">
        <v>0</v>
      </c>
      <c r="IV42">
        <v>6.4</v>
      </c>
      <c r="IW42">
        <v>-6</v>
      </c>
      <c r="IX42">
        <v>102.5</v>
      </c>
      <c r="IY42">
        <v>70</v>
      </c>
      <c r="IZ42">
        <v>0</v>
      </c>
      <c r="JA42">
        <v>100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436</v>
      </c>
      <c r="JJ42">
        <v>406</v>
      </c>
      <c r="JK42">
        <v>295</v>
      </c>
      <c r="JL42">
        <v>404</v>
      </c>
      <c r="JM42">
        <v>300</v>
      </c>
      <c r="JN42">
        <v>210</v>
      </c>
      <c r="JO42">
        <v>255</v>
      </c>
      <c r="JP42">
        <v>180</v>
      </c>
      <c r="JQ42">
        <v>220</v>
      </c>
      <c r="JR42">
        <v>330</v>
      </c>
      <c r="JS42">
        <v>200</v>
      </c>
      <c r="JT42">
        <v>0</v>
      </c>
      <c r="JU42">
        <v>0</v>
      </c>
      <c r="JV42">
        <v>330</v>
      </c>
      <c r="JW42">
        <v>332</v>
      </c>
      <c r="JX42">
        <v>326</v>
      </c>
      <c r="JY42">
        <v>280</v>
      </c>
      <c r="JZ42">
        <v>0.5</v>
      </c>
      <c r="KA42">
        <v>0.2</v>
      </c>
      <c r="KB42">
        <v>0.4</v>
      </c>
      <c r="KC42">
        <v>0.42</v>
      </c>
      <c r="KD42">
        <v>0.3</v>
      </c>
      <c r="KE42">
        <v>0.5</v>
      </c>
      <c r="KF42">
        <v>0.19</v>
      </c>
      <c r="KG42">
        <v>0.1</v>
      </c>
      <c r="KH42">
        <v>3.5</v>
      </c>
      <c r="KI42">
        <v>1</v>
      </c>
      <c r="KJ42">
        <v>4.5</v>
      </c>
      <c r="KK42">
        <v>0</v>
      </c>
      <c r="KL42">
        <v>4.5</v>
      </c>
      <c r="KM42">
        <v>0</v>
      </c>
      <c r="KN42">
        <v>2.5</v>
      </c>
      <c r="KO42">
        <v>0</v>
      </c>
      <c r="KP42">
        <v>0</v>
      </c>
      <c r="KQ42">
        <v>0.8</v>
      </c>
      <c r="KR42">
        <v>1.5</v>
      </c>
      <c r="KS42">
        <v>0</v>
      </c>
      <c r="KT42">
        <v>3</v>
      </c>
      <c r="KU42">
        <v>0</v>
      </c>
      <c r="KV42">
        <v>0</v>
      </c>
      <c r="KW42">
        <v>1.2</v>
      </c>
      <c r="KX42">
        <v>2</v>
      </c>
      <c r="KY42">
        <v>0</v>
      </c>
      <c r="KZ42">
        <v>3</v>
      </c>
      <c r="LA42">
        <v>1.4</v>
      </c>
      <c r="LB42">
        <v>8</v>
      </c>
      <c r="LC42">
        <v>2.8</v>
      </c>
      <c r="LD42">
        <v>3.5</v>
      </c>
      <c r="LE42">
        <v>1.6</v>
      </c>
      <c r="LF42">
        <v>0</v>
      </c>
      <c r="LG42">
        <v>0</v>
      </c>
      <c r="LH42">
        <v>3</v>
      </c>
      <c r="LI42">
        <v>0.5</v>
      </c>
      <c r="LJ42">
        <v>0</v>
      </c>
      <c r="LK42">
        <v>7</v>
      </c>
      <c r="LL42">
        <v>11</v>
      </c>
      <c r="LM42">
        <v>14</v>
      </c>
      <c r="LN42">
        <v>0.1</v>
      </c>
      <c r="LO42">
        <v>0.5</v>
      </c>
      <c r="LP42">
        <v>0</v>
      </c>
      <c r="LQ42">
        <v>0</v>
      </c>
      <c r="LR42">
        <v>0</v>
      </c>
      <c r="LS42">
        <v>1</v>
      </c>
      <c r="LT42">
        <v>520</v>
      </c>
      <c r="LU42">
        <v>0</v>
      </c>
      <c r="LV42">
        <v>0</v>
      </c>
      <c r="LW42">
        <v>3</v>
      </c>
      <c r="LX42">
        <v>3</v>
      </c>
      <c r="LY42">
        <v>2.1</v>
      </c>
      <c r="LZ42">
        <v>2.1</v>
      </c>
      <c r="MA42">
        <v>0</v>
      </c>
      <c r="MB42">
        <v>9</v>
      </c>
      <c r="MC42">
        <v>0</v>
      </c>
      <c r="MD42">
        <v>4.5</v>
      </c>
      <c r="ME42">
        <v>6</v>
      </c>
      <c r="MF42">
        <v>6</v>
      </c>
      <c r="MI42">
        <v>0</v>
      </c>
      <c r="MJ42">
        <v>0</v>
      </c>
      <c r="ML42">
        <v>0</v>
      </c>
      <c r="MM42">
        <v>452</v>
      </c>
      <c r="MN42">
        <v>195</v>
      </c>
      <c r="MO42">
        <v>254</v>
      </c>
      <c r="NU42">
        <v>0.15</v>
      </c>
      <c r="NV42">
        <v>0.2</v>
      </c>
      <c r="NW42">
        <v>0.2</v>
      </c>
      <c r="NX42">
        <v>0.2</v>
      </c>
      <c r="NY42">
        <v>0.2</v>
      </c>
      <c r="NZ42">
        <v>0.2</v>
      </c>
      <c r="OE42" t="s">
        <v>4274</v>
      </c>
      <c r="OF42" t="s">
        <v>4272</v>
      </c>
      <c r="OG42" t="s">
        <v>4273</v>
      </c>
      <c r="OH42" t="s">
        <v>4043</v>
      </c>
      <c r="OI42" t="s">
        <v>4274</v>
      </c>
      <c r="OJ42" t="s">
        <v>4271</v>
      </c>
      <c r="OK42">
        <v>61</v>
      </c>
      <c r="OL42">
        <v>61</v>
      </c>
      <c r="OM42" t="s">
        <v>4272</v>
      </c>
      <c r="ON42">
        <v>1</v>
      </c>
      <c r="OO42">
        <v>2264</v>
      </c>
      <c r="OP42">
        <v>61</v>
      </c>
      <c r="OQ42">
        <v>61</v>
      </c>
      <c r="OR42" t="s">
        <v>4273</v>
      </c>
      <c r="OS42">
        <v>1</v>
      </c>
      <c r="OT42">
        <v>2278</v>
      </c>
      <c r="OU42">
        <v>65</v>
      </c>
      <c r="OV42">
        <v>65</v>
      </c>
      <c r="OW42" t="s">
        <v>4043</v>
      </c>
      <c r="OX42">
        <v>1</v>
      </c>
      <c r="OY42">
        <v>85967</v>
      </c>
      <c r="OZ42">
        <v>51</v>
      </c>
      <c r="PA42">
        <v>52</v>
      </c>
      <c r="PB42" t="s">
        <v>4274</v>
      </c>
      <c r="PC42">
        <v>1</v>
      </c>
      <c r="PD42">
        <v>2306</v>
      </c>
      <c r="PF42">
        <v>504</v>
      </c>
      <c r="PG42">
        <v>35</v>
      </c>
      <c r="PH42">
        <v>478</v>
      </c>
      <c r="PI42">
        <v>0</v>
      </c>
      <c r="PJ42">
        <v>38</v>
      </c>
      <c r="PK42">
        <v>1767</v>
      </c>
      <c r="PL42">
        <v>1337.3</v>
      </c>
      <c r="PM42">
        <v>271.3</v>
      </c>
      <c r="PN42">
        <v>103.2</v>
      </c>
      <c r="PO42">
        <v>8.1</v>
      </c>
      <c r="PP42">
        <v>12</v>
      </c>
      <c r="PQ42">
        <v>4</v>
      </c>
      <c r="PR42">
        <v>4</v>
      </c>
      <c r="PS42">
        <v>0</v>
      </c>
      <c r="PT42">
        <v>244</v>
      </c>
      <c r="PU42">
        <v>8</v>
      </c>
      <c r="PV42" t="s">
        <v>4072</v>
      </c>
      <c r="PW42" t="s">
        <v>4072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-1</v>
      </c>
      <c r="QF42">
        <v>1</v>
      </c>
      <c r="QG42">
        <v>0</v>
      </c>
      <c r="QH42">
        <v>5</v>
      </c>
      <c r="QI42">
        <v>5</v>
      </c>
      <c r="QJ42">
        <v>5</v>
      </c>
      <c r="QK42">
        <v>213</v>
      </c>
      <c r="QL42">
        <v>470</v>
      </c>
      <c r="QM42">
        <v>7.5</v>
      </c>
      <c r="QN42">
        <v>1465.9</v>
      </c>
      <c r="QO42" t="s">
        <v>556</v>
      </c>
      <c r="QP42" t="s">
        <v>513</v>
      </c>
      <c r="QQ42">
        <v>0</v>
      </c>
      <c r="QR42" t="s">
        <v>621</v>
      </c>
      <c r="QS42">
        <v>30</v>
      </c>
      <c r="QT42">
        <v>40</v>
      </c>
    </row>
    <row r="43" spans="1:462">
      <c r="A43" t="s">
        <v>1200</v>
      </c>
      <c r="B43" t="s">
        <v>559</v>
      </c>
      <c r="C43" t="s">
        <v>509</v>
      </c>
      <c r="D43" t="s">
        <v>1199</v>
      </c>
      <c r="E43" t="s">
        <v>4036</v>
      </c>
      <c r="H43" t="s">
        <v>627</v>
      </c>
      <c r="I43" t="s">
        <v>605</v>
      </c>
      <c r="J43" t="s">
        <v>628</v>
      </c>
      <c r="K43" t="s">
        <v>606</v>
      </c>
      <c r="L43" t="s">
        <v>564</v>
      </c>
      <c r="M43" t="s">
        <v>512</v>
      </c>
      <c r="O43" t="s">
        <v>513</v>
      </c>
      <c r="P43" t="s">
        <v>567</v>
      </c>
      <c r="Q43" t="s">
        <v>1201</v>
      </c>
      <c r="R43" t="s">
        <v>807</v>
      </c>
      <c r="S43" t="s">
        <v>4091</v>
      </c>
      <c r="T43" t="s">
        <v>633</v>
      </c>
      <c r="U43" t="s">
        <v>634</v>
      </c>
      <c r="V43" t="s">
        <v>1202</v>
      </c>
      <c r="W43" t="s">
        <v>573</v>
      </c>
      <c r="X43" t="s">
        <v>1203</v>
      </c>
      <c r="Y43" t="s">
        <v>1204</v>
      </c>
      <c r="Z43" t="s">
        <v>541</v>
      </c>
      <c r="AA43" t="s">
        <v>4038</v>
      </c>
      <c r="AB43" t="s">
        <v>4275</v>
      </c>
      <c r="AC43">
        <v>9</v>
      </c>
      <c r="AD43" t="s">
        <v>1198</v>
      </c>
      <c r="AE43">
        <v>6</v>
      </c>
      <c r="AF43">
        <v>5489</v>
      </c>
      <c r="AG43" t="s">
        <v>4166</v>
      </c>
      <c r="AH43">
        <v>1</v>
      </c>
      <c r="AI43" t="s">
        <v>4041</v>
      </c>
      <c r="AK43" t="s">
        <v>4167</v>
      </c>
      <c r="AL43">
        <v>1</v>
      </c>
      <c r="AM43" t="s">
        <v>582</v>
      </c>
      <c r="AO43" t="s">
        <v>4043</v>
      </c>
      <c r="AP43">
        <v>1</v>
      </c>
      <c r="AR43" t="s">
        <v>4276</v>
      </c>
      <c r="AS43">
        <v>1</v>
      </c>
      <c r="AT43">
        <v>51</v>
      </c>
      <c r="AV43" t="s">
        <v>4078</v>
      </c>
      <c r="AW43">
        <v>6.4</v>
      </c>
      <c r="AX43">
        <v>-6</v>
      </c>
      <c r="AY43">
        <v>92.5</v>
      </c>
      <c r="AZ43">
        <v>70</v>
      </c>
      <c r="BH43">
        <v>92.5</v>
      </c>
      <c r="BI43">
        <v>22.5</v>
      </c>
      <c r="BJ43">
        <v>70</v>
      </c>
      <c r="BK43">
        <v>2.5</v>
      </c>
      <c r="BL43">
        <v>185</v>
      </c>
      <c r="BM43">
        <v>-6</v>
      </c>
      <c r="BN43">
        <v>0</v>
      </c>
      <c r="BO43">
        <v>0</v>
      </c>
      <c r="BP43">
        <v>0</v>
      </c>
      <c r="BR43">
        <v>180</v>
      </c>
      <c r="BS43">
        <v>170</v>
      </c>
      <c r="BT43">
        <v>2085</v>
      </c>
      <c r="BU43" t="s">
        <v>4096</v>
      </c>
      <c r="BV43" t="s">
        <v>4127</v>
      </c>
      <c r="BW43" t="s">
        <v>4097</v>
      </c>
      <c r="BX43" t="s">
        <v>4128</v>
      </c>
      <c r="BY43" t="s">
        <v>4173</v>
      </c>
      <c r="BZ43" t="s">
        <v>4173</v>
      </c>
      <c r="CA43" t="s">
        <v>4108</v>
      </c>
      <c r="CB43" t="s">
        <v>4109</v>
      </c>
      <c r="CC43" t="s">
        <v>4053</v>
      </c>
      <c r="CD43" t="s">
        <v>4110</v>
      </c>
      <c r="CE43" t="s">
        <v>4055</v>
      </c>
      <c r="CF43" t="s">
        <v>4055</v>
      </c>
      <c r="CG43" t="s">
        <v>4056</v>
      </c>
      <c r="CI43" t="s">
        <v>4058</v>
      </c>
      <c r="CJ43" t="s">
        <v>4059</v>
      </c>
      <c r="CK43" t="s">
        <v>4060</v>
      </c>
      <c r="CL43" t="s">
        <v>4061</v>
      </c>
      <c r="CM43" t="s">
        <v>4062</v>
      </c>
      <c r="CN43" t="s">
        <v>4055</v>
      </c>
      <c r="CO43" t="s">
        <v>4063</v>
      </c>
      <c r="CP43" t="s">
        <v>4055</v>
      </c>
      <c r="CQ43" t="s">
        <v>4055</v>
      </c>
      <c r="CR43">
        <v>5</v>
      </c>
      <c r="CS43" t="s">
        <v>4055</v>
      </c>
      <c r="CT43" t="s">
        <v>4055</v>
      </c>
      <c r="CU43" t="s">
        <v>4055</v>
      </c>
      <c r="CV43">
        <v>117</v>
      </c>
      <c r="CW43">
        <v>3</v>
      </c>
      <c r="CX43">
        <v>75</v>
      </c>
      <c r="CY43">
        <v>5</v>
      </c>
      <c r="CZ43">
        <v>143</v>
      </c>
      <c r="DA43">
        <v>5</v>
      </c>
      <c r="DB43">
        <v>11260</v>
      </c>
      <c r="DC43">
        <v>330</v>
      </c>
      <c r="DD43">
        <v>325</v>
      </c>
      <c r="DE43">
        <v>2199</v>
      </c>
      <c r="DF43">
        <v>2199</v>
      </c>
      <c r="DG43">
        <v>2209</v>
      </c>
      <c r="DH43" t="s">
        <v>4055</v>
      </c>
      <c r="DI43" t="s">
        <v>4055</v>
      </c>
      <c r="DJ43" t="s">
        <v>4132</v>
      </c>
      <c r="DK43">
        <v>180</v>
      </c>
      <c r="DL43" t="s">
        <v>4065</v>
      </c>
      <c r="DM43">
        <v>65</v>
      </c>
      <c r="DN43">
        <v>1.1</v>
      </c>
      <c r="DO43">
        <v>1</v>
      </c>
      <c r="DP43">
        <v>2088</v>
      </c>
      <c r="DQ43">
        <v>812</v>
      </c>
      <c r="DR43" t="s">
        <v>4132</v>
      </c>
      <c r="DS43">
        <v>170</v>
      </c>
      <c r="DT43" t="s">
        <v>4065</v>
      </c>
      <c r="DU43">
        <v>65</v>
      </c>
      <c r="DV43">
        <v>1.1</v>
      </c>
      <c r="DW43">
        <v>1</v>
      </c>
      <c r="DX43">
        <v>2100</v>
      </c>
      <c r="DY43">
        <v>773</v>
      </c>
      <c r="DZ43" t="s">
        <v>4066</v>
      </c>
      <c r="EA43">
        <v>20</v>
      </c>
      <c r="EB43" t="s">
        <v>4065</v>
      </c>
      <c r="EC43">
        <v>0.8</v>
      </c>
      <c r="ED43">
        <v>2088</v>
      </c>
      <c r="EE43">
        <v>73</v>
      </c>
      <c r="EG43">
        <v>0</v>
      </c>
      <c r="EH43" t="s">
        <v>4065</v>
      </c>
      <c r="EI43">
        <v>0</v>
      </c>
      <c r="EL43" t="s">
        <v>1528</v>
      </c>
      <c r="EM43">
        <v>12</v>
      </c>
      <c r="EN43">
        <v>0.5</v>
      </c>
      <c r="EO43">
        <v>0.96</v>
      </c>
      <c r="EP43">
        <v>2098.83</v>
      </c>
      <c r="EQ43">
        <v>32302.31</v>
      </c>
      <c r="ER43">
        <v>7399.9</v>
      </c>
      <c r="ES43">
        <v>0</v>
      </c>
      <c r="ET43">
        <v>0</v>
      </c>
      <c r="EU43">
        <v>1</v>
      </c>
      <c r="EV43">
        <v>39703</v>
      </c>
      <c r="EW43">
        <v>477</v>
      </c>
      <c r="EX43" t="s">
        <v>4088</v>
      </c>
      <c r="EY43">
        <v>200</v>
      </c>
      <c r="EZ43" t="s">
        <v>4055</v>
      </c>
      <c r="FA43">
        <v>7.4</v>
      </c>
      <c r="FB43">
        <v>1</v>
      </c>
      <c r="FC43">
        <v>1</v>
      </c>
      <c r="FD43">
        <v>2134</v>
      </c>
      <c r="FE43">
        <v>2767</v>
      </c>
      <c r="FF43" t="s">
        <v>4089</v>
      </c>
      <c r="FG43">
        <v>200</v>
      </c>
      <c r="FH43" t="s">
        <v>4055</v>
      </c>
      <c r="FI43">
        <v>1.2</v>
      </c>
      <c r="FJ43">
        <v>2134</v>
      </c>
      <c r="FK43">
        <v>512</v>
      </c>
      <c r="FL43" t="s">
        <v>4069</v>
      </c>
      <c r="FM43" t="s">
        <v>4055</v>
      </c>
      <c r="FN43" t="s">
        <v>4055</v>
      </c>
      <c r="FO43" t="s">
        <v>4055</v>
      </c>
      <c r="FP43">
        <v>2134</v>
      </c>
      <c r="FQ43">
        <v>136</v>
      </c>
      <c r="FR43" t="s">
        <v>4090</v>
      </c>
      <c r="FS43">
        <v>204</v>
      </c>
      <c r="FT43" t="s">
        <v>4055</v>
      </c>
      <c r="FU43">
        <v>0.4</v>
      </c>
      <c r="FV43">
        <v>2134</v>
      </c>
      <c r="FW43">
        <v>194</v>
      </c>
      <c r="FX43" t="s">
        <v>4070</v>
      </c>
      <c r="FY43">
        <v>5</v>
      </c>
      <c r="FZ43" t="s">
        <v>4055</v>
      </c>
      <c r="GA43" t="s">
        <v>4055</v>
      </c>
      <c r="GB43">
        <v>2134</v>
      </c>
      <c r="GC43">
        <v>19</v>
      </c>
      <c r="GD43">
        <v>3628</v>
      </c>
      <c r="GE43" t="s">
        <v>4276</v>
      </c>
      <c r="GF43" t="s">
        <v>4055</v>
      </c>
      <c r="GG43" t="s">
        <v>4055</v>
      </c>
      <c r="GH43" t="s">
        <v>4055</v>
      </c>
      <c r="GI43" t="s">
        <v>4071</v>
      </c>
      <c r="GJ43" t="s">
        <v>4055</v>
      </c>
      <c r="GK43" t="s">
        <v>4055</v>
      </c>
      <c r="GL43" t="s">
        <v>4055</v>
      </c>
      <c r="GM43" t="s">
        <v>4055</v>
      </c>
      <c r="GQ43">
        <v>0</v>
      </c>
      <c r="GV43">
        <v>9</v>
      </c>
      <c r="GW43">
        <v>8</v>
      </c>
      <c r="GX43">
        <v>0.5</v>
      </c>
      <c r="GY43">
        <v>170</v>
      </c>
      <c r="GZ43">
        <v>3</v>
      </c>
      <c r="HA43">
        <v>220</v>
      </c>
      <c r="HB43">
        <v>3</v>
      </c>
      <c r="HC43">
        <v>2134</v>
      </c>
      <c r="HD43">
        <v>4</v>
      </c>
      <c r="HE43" t="s">
        <v>4071</v>
      </c>
      <c r="HG43" t="s">
        <v>549</v>
      </c>
      <c r="HL43">
        <v>4</v>
      </c>
      <c r="HM43">
        <v>17</v>
      </c>
      <c r="HN43">
        <v>6</v>
      </c>
      <c r="HO43">
        <v>1</v>
      </c>
      <c r="HP43">
        <v>0</v>
      </c>
      <c r="HQ43">
        <v>0</v>
      </c>
      <c r="HR43">
        <v>3</v>
      </c>
      <c r="HS43">
        <v>2085</v>
      </c>
      <c r="HT43">
        <v>5</v>
      </c>
      <c r="HU43">
        <v>1</v>
      </c>
      <c r="HV43">
        <v>3</v>
      </c>
      <c r="HW43">
        <v>0</v>
      </c>
      <c r="HX43">
        <v>1</v>
      </c>
      <c r="HY43">
        <v>0</v>
      </c>
      <c r="HZ43">
        <v>65</v>
      </c>
      <c r="IA43">
        <v>2088</v>
      </c>
      <c r="IB43">
        <v>2100</v>
      </c>
      <c r="ID43">
        <v>2134</v>
      </c>
      <c r="IE43">
        <v>2134</v>
      </c>
      <c r="IF43">
        <v>180</v>
      </c>
      <c r="IG43">
        <v>170</v>
      </c>
      <c r="IH43">
        <v>220</v>
      </c>
      <c r="II43">
        <v>1</v>
      </c>
      <c r="IJ43">
        <v>5</v>
      </c>
      <c r="IK43">
        <v>0</v>
      </c>
      <c r="IL43">
        <v>0</v>
      </c>
      <c r="IM43">
        <v>0</v>
      </c>
      <c r="IN43">
        <v>270</v>
      </c>
      <c r="IO43">
        <v>0</v>
      </c>
      <c r="IP43">
        <v>180</v>
      </c>
      <c r="IQ43">
        <v>0</v>
      </c>
      <c r="IR43">
        <v>330</v>
      </c>
      <c r="IS43">
        <v>0</v>
      </c>
      <c r="IT43">
        <v>90</v>
      </c>
      <c r="IU43">
        <v>0</v>
      </c>
      <c r="IV43">
        <v>6.4</v>
      </c>
      <c r="IW43">
        <v>-6</v>
      </c>
      <c r="IX43">
        <v>92.5</v>
      </c>
      <c r="IY43">
        <v>70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400</v>
      </c>
      <c r="JJ43">
        <v>370</v>
      </c>
      <c r="JK43">
        <v>273</v>
      </c>
      <c r="JL43">
        <v>368</v>
      </c>
      <c r="JM43">
        <v>282</v>
      </c>
      <c r="JN43">
        <v>184</v>
      </c>
      <c r="JO43">
        <v>234</v>
      </c>
      <c r="JP43">
        <v>170</v>
      </c>
      <c r="JQ43">
        <v>250</v>
      </c>
      <c r="JR43">
        <v>335</v>
      </c>
      <c r="JS43">
        <v>245</v>
      </c>
      <c r="JT43">
        <v>0</v>
      </c>
      <c r="JU43">
        <v>0</v>
      </c>
      <c r="JV43">
        <v>330</v>
      </c>
      <c r="JW43">
        <v>337</v>
      </c>
      <c r="JX43">
        <v>330</v>
      </c>
      <c r="JY43">
        <v>300</v>
      </c>
      <c r="JZ43">
        <v>0.5</v>
      </c>
      <c r="KA43">
        <v>0.2</v>
      </c>
      <c r="KB43">
        <v>0.4</v>
      </c>
      <c r="KC43">
        <v>0.42</v>
      </c>
      <c r="KD43">
        <v>0.28</v>
      </c>
      <c r="KE43">
        <v>0.5</v>
      </c>
      <c r="KF43">
        <v>0.16</v>
      </c>
      <c r="KG43">
        <v>0.1</v>
      </c>
      <c r="KH43">
        <v>4</v>
      </c>
      <c r="KI43">
        <v>1</v>
      </c>
      <c r="KJ43">
        <v>6</v>
      </c>
      <c r="KK43">
        <v>2</v>
      </c>
      <c r="KL43">
        <v>6.5</v>
      </c>
      <c r="KM43">
        <v>1</v>
      </c>
      <c r="KN43">
        <v>1.5</v>
      </c>
      <c r="KO43">
        <v>0</v>
      </c>
      <c r="KP43">
        <v>0</v>
      </c>
      <c r="KQ43">
        <v>0.7</v>
      </c>
      <c r="KR43">
        <v>1.5</v>
      </c>
      <c r="KS43">
        <v>0</v>
      </c>
      <c r="KT43">
        <v>2.4</v>
      </c>
      <c r="KU43">
        <v>0</v>
      </c>
      <c r="KV43">
        <v>0</v>
      </c>
      <c r="KW43">
        <v>0</v>
      </c>
      <c r="KX43">
        <v>0.8</v>
      </c>
      <c r="KY43">
        <v>1.5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3</v>
      </c>
      <c r="LI43">
        <v>0.5</v>
      </c>
      <c r="LJ43">
        <v>0</v>
      </c>
      <c r="LK43">
        <v>4.5</v>
      </c>
      <c r="LL43">
        <v>6</v>
      </c>
      <c r="LM43">
        <v>7.5</v>
      </c>
      <c r="LN43">
        <v>0.1</v>
      </c>
      <c r="LO43">
        <v>0.1</v>
      </c>
      <c r="LP43">
        <v>0</v>
      </c>
      <c r="LQ43">
        <v>0</v>
      </c>
      <c r="LR43">
        <v>0</v>
      </c>
      <c r="LS43">
        <v>1</v>
      </c>
      <c r="LT43">
        <v>0</v>
      </c>
      <c r="LU43">
        <v>0</v>
      </c>
      <c r="LV43">
        <v>0</v>
      </c>
      <c r="LW43">
        <v>2.1</v>
      </c>
      <c r="LX43">
        <v>2.1</v>
      </c>
      <c r="LY43">
        <v>2.1</v>
      </c>
      <c r="LZ43">
        <v>2.1</v>
      </c>
      <c r="MA43">
        <v>0</v>
      </c>
      <c r="MB43">
        <v>3</v>
      </c>
      <c r="MC43">
        <v>1</v>
      </c>
      <c r="MD43">
        <v>4.5</v>
      </c>
      <c r="ME43">
        <v>6</v>
      </c>
      <c r="MF43">
        <v>6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420</v>
      </c>
      <c r="MN43">
        <v>175</v>
      </c>
      <c r="MO43">
        <v>226</v>
      </c>
      <c r="NU43">
        <v>0.15</v>
      </c>
      <c r="NV43">
        <v>0.2</v>
      </c>
      <c r="NW43">
        <v>0.2</v>
      </c>
      <c r="NX43">
        <v>0.2</v>
      </c>
      <c r="NY43">
        <v>0.2</v>
      </c>
      <c r="NZ43">
        <v>0.2</v>
      </c>
      <c r="OE43" t="s">
        <v>4276</v>
      </c>
      <c r="OF43" t="s">
        <v>4166</v>
      </c>
      <c r="OG43" t="s">
        <v>4167</v>
      </c>
      <c r="OH43" t="s">
        <v>4043</v>
      </c>
      <c r="OI43" t="s">
        <v>4276</v>
      </c>
      <c r="OJ43" t="s">
        <v>4275</v>
      </c>
      <c r="OK43">
        <v>61</v>
      </c>
      <c r="OL43">
        <v>61</v>
      </c>
      <c r="OM43" t="s">
        <v>4166</v>
      </c>
      <c r="ON43">
        <v>1</v>
      </c>
      <c r="OO43">
        <v>2088</v>
      </c>
      <c r="OP43">
        <v>61</v>
      </c>
      <c r="OQ43">
        <v>61</v>
      </c>
      <c r="OR43" t="s">
        <v>4167</v>
      </c>
      <c r="OS43">
        <v>1</v>
      </c>
      <c r="OT43">
        <v>2100</v>
      </c>
      <c r="OU43">
        <v>65</v>
      </c>
      <c r="OV43">
        <v>65</v>
      </c>
      <c r="OW43" t="s">
        <v>4043</v>
      </c>
      <c r="OX43">
        <v>2</v>
      </c>
      <c r="OY43">
        <v>39703</v>
      </c>
      <c r="OZ43">
        <v>51</v>
      </c>
      <c r="PA43">
        <v>51</v>
      </c>
      <c r="PB43" t="s">
        <v>4276</v>
      </c>
      <c r="PC43">
        <v>1</v>
      </c>
      <c r="PD43">
        <v>2134</v>
      </c>
      <c r="PF43">
        <v>389</v>
      </c>
      <c r="PG43">
        <v>35</v>
      </c>
      <c r="PH43">
        <v>368</v>
      </c>
      <c r="PI43">
        <v>0</v>
      </c>
      <c r="PJ43">
        <v>63.8</v>
      </c>
      <c r="PK43">
        <v>1720</v>
      </c>
      <c r="PL43">
        <v>1296.7</v>
      </c>
      <c r="PM43">
        <v>240</v>
      </c>
      <c r="PN43">
        <v>90.7</v>
      </c>
      <c r="PO43">
        <v>9.1</v>
      </c>
      <c r="PP43">
        <v>12</v>
      </c>
      <c r="PQ43">
        <v>3</v>
      </c>
      <c r="PR43">
        <v>5</v>
      </c>
      <c r="PS43">
        <v>0</v>
      </c>
      <c r="PT43">
        <v>220</v>
      </c>
      <c r="PU43">
        <v>10</v>
      </c>
      <c r="PV43" t="s">
        <v>4072</v>
      </c>
      <c r="PW43" t="s">
        <v>4072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-1</v>
      </c>
      <c r="QF43">
        <v>1</v>
      </c>
      <c r="QG43">
        <v>0</v>
      </c>
      <c r="QH43">
        <v>5</v>
      </c>
      <c r="QI43">
        <v>5</v>
      </c>
      <c r="QJ43">
        <v>5</v>
      </c>
      <c r="QK43">
        <v>195</v>
      </c>
      <c r="QL43">
        <v>434</v>
      </c>
      <c r="QM43">
        <v>7.5</v>
      </c>
      <c r="QN43">
        <v>1384.6</v>
      </c>
      <c r="QO43" t="s">
        <v>556</v>
      </c>
      <c r="QP43" t="s">
        <v>513</v>
      </c>
      <c r="QQ43">
        <v>0</v>
      </c>
      <c r="QR43" t="s">
        <v>621</v>
      </c>
      <c r="QS43">
        <v>30</v>
      </c>
      <c r="QT43">
        <v>40</v>
      </c>
    </row>
    <row r="44" spans="1:462">
      <c r="A44" t="s">
        <v>1210</v>
      </c>
      <c r="B44" t="s">
        <v>629</v>
      </c>
      <c r="C44" t="s">
        <v>509</v>
      </c>
      <c r="D44" t="s">
        <v>1173</v>
      </c>
      <c r="E44" t="s">
        <v>4036</v>
      </c>
      <c r="H44" t="s">
        <v>627</v>
      </c>
      <c r="I44" t="s">
        <v>604</v>
      </c>
      <c r="J44" t="s">
        <v>628</v>
      </c>
      <c r="K44" t="s">
        <v>606</v>
      </c>
      <c r="L44" t="s">
        <v>711</v>
      </c>
      <c r="M44" t="s">
        <v>512</v>
      </c>
      <c r="O44" t="s">
        <v>513</v>
      </c>
      <c r="P44" t="s">
        <v>567</v>
      </c>
      <c r="Q44" t="s">
        <v>1211</v>
      </c>
      <c r="R44" t="s">
        <v>965</v>
      </c>
      <c r="S44" t="s">
        <v>4073</v>
      </c>
      <c r="T44" t="s">
        <v>662</v>
      </c>
      <c r="U44" t="s">
        <v>663</v>
      </c>
      <c r="V44" t="s">
        <v>1212</v>
      </c>
      <c r="W44" t="s">
        <v>573</v>
      </c>
      <c r="X44" t="s">
        <v>1213</v>
      </c>
      <c r="Y44" t="s">
        <v>1214</v>
      </c>
      <c r="Z44" t="s">
        <v>541</v>
      </c>
      <c r="AA44" t="s">
        <v>4038</v>
      </c>
      <c r="AB44" t="s">
        <v>4277</v>
      </c>
      <c r="AC44">
        <v>9</v>
      </c>
      <c r="AD44" t="s">
        <v>1208</v>
      </c>
      <c r="AE44">
        <v>4</v>
      </c>
      <c r="AF44">
        <v>5168</v>
      </c>
      <c r="AG44" t="s">
        <v>4136</v>
      </c>
      <c r="AH44">
        <v>1</v>
      </c>
      <c r="AI44" t="s">
        <v>4041</v>
      </c>
      <c r="AK44" t="s">
        <v>4137</v>
      </c>
      <c r="AL44">
        <v>1</v>
      </c>
      <c r="AM44" t="s">
        <v>582</v>
      </c>
      <c r="AO44" t="s">
        <v>4043</v>
      </c>
      <c r="AP44">
        <v>1</v>
      </c>
      <c r="AR44" t="s">
        <v>4278</v>
      </c>
      <c r="AS44">
        <v>1</v>
      </c>
      <c r="AT44">
        <v>52</v>
      </c>
      <c r="AV44" t="s">
        <v>4078</v>
      </c>
      <c r="AW44">
        <v>6.4</v>
      </c>
      <c r="AX44">
        <v>-6</v>
      </c>
      <c r="AY44">
        <v>110</v>
      </c>
      <c r="AZ44">
        <v>77</v>
      </c>
      <c r="BC44" t="s">
        <v>4055</v>
      </c>
      <c r="BH44">
        <v>110</v>
      </c>
      <c r="BI44">
        <v>33</v>
      </c>
      <c r="BJ44">
        <v>77</v>
      </c>
      <c r="BK44">
        <v>2.5</v>
      </c>
      <c r="BL44">
        <v>220</v>
      </c>
      <c r="BM44">
        <v>-6</v>
      </c>
      <c r="BN44">
        <v>0</v>
      </c>
      <c r="BP44">
        <v>0</v>
      </c>
      <c r="BR44">
        <v>215</v>
      </c>
      <c r="BS44">
        <v>205</v>
      </c>
      <c r="BT44">
        <v>2025</v>
      </c>
      <c r="BU44" t="s">
        <v>4096</v>
      </c>
      <c r="BV44" t="s">
        <v>4096</v>
      </c>
      <c r="BW44" t="s">
        <v>4097</v>
      </c>
      <c r="BX44" t="s">
        <v>4097</v>
      </c>
      <c r="BY44" t="s">
        <v>4116</v>
      </c>
      <c r="BZ44" t="s">
        <v>4116</v>
      </c>
      <c r="CA44" t="s">
        <v>4118</v>
      </c>
      <c r="CB44" t="s">
        <v>4119</v>
      </c>
      <c r="CC44" t="s">
        <v>4053</v>
      </c>
      <c r="CD44" t="s">
        <v>4121</v>
      </c>
      <c r="CE44" t="s">
        <v>4055</v>
      </c>
      <c r="CF44" t="s">
        <v>4055</v>
      </c>
      <c r="CG44" t="s">
        <v>4056</v>
      </c>
      <c r="CI44" t="s">
        <v>4058</v>
      </c>
      <c r="CJ44" t="s">
        <v>4059</v>
      </c>
      <c r="CK44" t="s">
        <v>4060</v>
      </c>
      <c r="CL44" t="s">
        <v>4061</v>
      </c>
      <c r="CM44" t="s">
        <v>4055</v>
      </c>
      <c r="CN44" t="s">
        <v>4062</v>
      </c>
      <c r="CO44" t="s">
        <v>4063</v>
      </c>
      <c r="CP44" t="s">
        <v>4055</v>
      </c>
      <c r="CQ44" t="s">
        <v>4055</v>
      </c>
      <c r="CR44">
        <v>5</v>
      </c>
      <c r="CS44" t="s">
        <v>4055</v>
      </c>
      <c r="CT44" t="s">
        <v>4055</v>
      </c>
      <c r="CU44" t="s">
        <v>4055</v>
      </c>
      <c r="CV44">
        <v>136</v>
      </c>
      <c r="CW44">
        <v>3</v>
      </c>
      <c r="CX44">
        <v>93</v>
      </c>
      <c r="CY44">
        <v>5</v>
      </c>
      <c r="CZ44">
        <v>150</v>
      </c>
      <c r="DA44">
        <v>5</v>
      </c>
      <c r="DB44">
        <v>11810</v>
      </c>
      <c r="DC44">
        <v>410</v>
      </c>
      <c r="DD44">
        <v>340</v>
      </c>
      <c r="DE44">
        <v>2140</v>
      </c>
      <c r="DF44">
        <v>2140</v>
      </c>
      <c r="DG44">
        <v>2149</v>
      </c>
      <c r="DH44" t="s">
        <v>4055</v>
      </c>
      <c r="DI44" t="s">
        <v>4055</v>
      </c>
      <c r="DJ44" t="s">
        <v>4064</v>
      </c>
      <c r="DK44">
        <v>215</v>
      </c>
      <c r="DL44" t="s">
        <v>4065</v>
      </c>
      <c r="DM44">
        <v>65</v>
      </c>
      <c r="DN44">
        <v>1.2</v>
      </c>
      <c r="DO44">
        <v>1</v>
      </c>
      <c r="DP44">
        <v>2029</v>
      </c>
      <c r="DQ44">
        <v>1002</v>
      </c>
      <c r="DR44" t="s">
        <v>4064</v>
      </c>
      <c r="DS44">
        <v>205</v>
      </c>
      <c r="DT44" t="s">
        <v>4065</v>
      </c>
      <c r="DU44">
        <v>65</v>
      </c>
      <c r="DV44">
        <v>1.2</v>
      </c>
      <c r="DW44">
        <v>1</v>
      </c>
      <c r="DX44">
        <v>2041</v>
      </c>
      <c r="DY44">
        <v>961</v>
      </c>
      <c r="DZ44" t="s">
        <v>4066</v>
      </c>
      <c r="EA44">
        <v>20</v>
      </c>
      <c r="EB44" t="s">
        <v>4065</v>
      </c>
      <c r="EC44">
        <v>0.8</v>
      </c>
      <c r="ED44">
        <v>2029</v>
      </c>
      <c r="EE44">
        <v>71</v>
      </c>
      <c r="EG44">
        <v>0</v>
      </c>
      <c r="EH44" t="s">
        <v>4065</v>
      </c>
      <c r="EI44">
        <v>0</v>
      </c>
      <c r="EL44" t="s">
        <v>1528</v>
      </c>
      <c r="EM44">
        <v>12</v>
      </c>
      <c r="EN44">
        <v>0.5</v>
      </c>
      <c r="EO44">
        <v>0.96</v>
      </c>
      <c r="EP44">
        <v>2040.08</v>
      </c>
      <c r="EQ44">
        <v>36976.45</v>
      </c>
      <c r="ER44">
        <v>10550.26</v>
      </c>
      <c r="ES44">
        <v>0</v>
      </c>
      <c r="ET44">
        <v>0</v>
      </c>
      <c r="EU44">
        <v>1</v>
      </c>
      <c r="EV44">
        <v>47527</v>
      </c>
      <c r="EW44">
        <v>571</v>
      </c>
      <c r="EX44" t="s">
        <v>4088</v>
      </c>
      <c r="EY44">
        <v>238</v>
      </c>
      <c r="EZ44" t="s">
        <v>4055</v>
      </c>
      <c r="FA44">
        <v>7.3</v>
      </c>
      <c r="FB44">
        <v>1</v>
      </c>
      <c r="FC44">
        <v>1</v>
      </c>
      <c r="FD44">
        <v>2075</v>
      </c>
      <c r="FE44">
        <v>3082</v>
      </c>
      <c r="FF44" t="s">
        <v>4089</v>
      </c>
      <c r="FG44">
        <v>238</v>
      </c>
      <c r="FH44" t="s">
        <v>4055</v>
      </c>
      <c r="FI44">
        <v>1.2</v>
      </c>
      <c r="FJ44">
        <v>2075</v>
      </c>
      <c r="FK44">
        <v>604</v>
      </c>
      <c r="FL44" t="s">
        <v>4069</v>
      </c>
      <c r="FM44" t="s">
        <v>4055</v>
      </c>
      <c r="FN44" t="s">
        <v>4055</v>
      </c>
      <c r="FO44" t="s">
        <v>4055</v>
      </c>
      <c r="FP44">
        <v>2075</v>
      </c>
      <c r="FQ44">
        <v>105</v>
      </c>
      <c r="FR44" t="s">
        <v>4090</v>
      </c>
      <c r="FS44">
        <v>242</v>
      </c>
      <c r="FT44" t="s">
        <v>4055</v>
      </c>
      <c r="FU44">
        <v>0.4</v>
      </c>
      <c r="FV44">
        <v>2075</v>
      </c>
      <c r="FW44">
        <v>223</v>
      </c>
      <c r="FX44" t="s">
        <v>4070</v>
      </c>
      <c r="FY44">
        <v>5</v>
      </c>
      <c r="FZ44" t="s">
        <v>4055</v>
      </c>
      <c r="GA44" t="s">
        <v>4055</v>
      </c>
      <c r="GB44">
        <v>2075</v>
      </c>
      <c r="GC44">
        <v>19</v>
      </c>
      <c r="GD44">
        <v>4033</v>
      </c>
      <c r="GE44" t="s">
        <v>4278</v>
      </c>
      <c r="GF44" t="s">
        <v>4055</v>
      </c>
      <c r="GG44" t="s">
        <v>4055</v>
      </c>
      <c r="GH44" t="s">
        <v>4055</v>
      </c>
      <c r="GI44" t="s">
        <v>4071</v>
      </c>
      <c r="GJ44" t="s">
        <v>4055</v>
      </c>
      <c r="GK44" t="s">
        <v>4055</v>
      </c>
      <c r="GL44" t="s">
        <v>4055</v>
      </c>
      <c r="GM44" t="s">
        <v>4055</v>
      </c>
      <c r="GQ44">
        <v>0</v>
      </c>
      <c r="GV44">
        <v>8.9</v>
      </c>
      <c r="GW44">
        <v>7.3</v>
      </c>
      <c r="GX44">
        <v>0.5</v>
      </c>
      <c r="GY44">
        <v>210</v>
      </c>
      <c r="GZ44">
        <v>3</v>
      </c>
      <c r="HA44">
        <v>258</v>
      </c>
      <c r="HB44">
        <v>3</v>
      </c>
      <c r="HC44">
        <v>2075</v>
      </c>
      <c r="HD44">
        <v>4</v>
      </c>
      <c r="HE44" t="s">
        <v>4071</v>
      </c>
      <c r="HG44" t="s">
        <v>549</v>
      </c>
      <c r="HL44">
        <v>4</v>
      </c>
      <c r="HM44">
        <v>18</v>
      </c>
      <c r="HN44">
        <v>6</v>
      </c>
      <c r="HO44">
        <v>1</v>
      </c>
      <c r="HP44">
        <v>0</v>
      </c>
      <c r="HQ44">
        <v>0</v>
      </c>
      <c r="HR44">
        <v>3</v>
      </c>
      <c r="HS44">
        <v>2025</v>
      </c>
      <c r="HT44">
        <v>5</v>
      </c>
      <c r="HU44">
        <v>1</v>
      </c>
      <c r="HV44">
        <v>3</v>
      </c>
      <c r="HW44">
        <v>0</v>
      </c>
      <c r="HX44">
        <v>1</v>
      </c>
      <c r="HY44">
        <v>0</v>
      </c>
      <c r="HZ44">
        <v>65</v>
      </c>
      <c r="IA44">
        <v>2029</v>
      </c>
      <c r="IB44">
        <v>2041</v>
      </c>
      <c r="ID44">
        <v>2075</v>
      </c>
      <c r="IE44">
        <v>2075</v>
      </c>
      <c r="IF44">
        <v>215</v>
      </c>
      <c r="IG44">
        <v>205</v>
      </c>
      <c r="IH44">
        <v>258</v>
      </c>
      <c r="II44">
        <v>1</v>
      </c>
      <c r="IJ44">
        <v>5</v>
      </c>
      <c r="IK44">
        <v>0</v>
      </c>
      <c r="IL44">
        <v>0</v>
      </c>
      <c r="IM44">
        <v>0</v>
      </c>
      <c r="IN44">
        <v>270</v>
      </c>
      <c r="IO44">
        <v>0</v>
      </c>
      <c r="IP44">
        <v>180</v>
      </c>
      <c r="IQ44">
        <v>0</v>
      </c>
      <c r="IR44">
        <v>330</v>
      </c>
      <c r="IS44">
        <v>0</v>
      </c>
      <c r="IT44">
        <v>90</v>
      </c>
      <c r="IU44">
        <v>0</v>
      </c>
      <c r="IV44">
        <v>6.4</v>
      </c>
      <c r="IW44">
        <v>-6</v>
      </c>
      <c r="IX44">
        <v>110</v>
      </c>
      <c r="IY44">
        <v>77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392</v>
      </c>
      <c r="JJ44">
        <v>362</v>
      </c>
      <c r="JK44">
        <v>260</v>
      </c>
      <c r="JL44">
        <v>360</v>
      </c>
      <c r="JM44">
        <v>280</v>
      </c>
      <c r="JN44">
        <v>215</v>
      </c>
      <c r="JO44">
        <v>268</v>
      </c>
      <c r="JP44">
        <v>195</v>
      </c>
      <c r="JQ44">
        <v>240</v>
      </c>
      <c r="JR44">
        <v>312</v>
      </c>
      <c r="JS44">
        <v>220</v>
      </c>
      <c r="JT44">
        <v>0</v>
      </c>
      <c r="JU44">
        <v>0</v>
      </c>
      <c r="JV44">
        <v>305</v>
      </c>
      <c r="JW44">
        <v>307</v>
      </c>
      <c r="JX44">
        <v>290</v>
      </c>
      <c r="JY44">
        <v>270</v>
      </c>
      <c r="JZ44">
        <v>1</v>
      </c>
      <c r="KA44">
        <v>0.25</v>
      </c>
      <c r="KB44">
        <v>0.4</v>
      </c>
      <c r="KC44">
        <v>0.42</v>
      </c>
      <c r="KD44">
        <v>0.28</v>
      </c>
      <c r="KE44">
        <v>0.5</v>
      </c>
      <c r="KF44">
        <v>0.18</v>
      </c>
      <c r="KG44">
        <v>0.1</v>
      </c>
      <c r="KH44">
        <v>3.5</v>
      </c>
      <c r="KI44">
        <v>1</v>
      </c>
      <c r="KJ44">
        <v>4.5</v>
      </c>
      <c r="KK44">
        <v>0.5</v>
      </c>
      <c r="KL44">
        <v>4.5</v>
      </c>
      <c r="KM44">
        <v>0.5</v>
      </c>
      <c r="KN44">
        <v>1.8</v>
      </c>
      <c r="KO44">
        <v>0</v>
      </c>
      <c r="KP44">
        <v>0</v>
      </c>
      <c r="KQ44">
        <v>0.8</v>
      </c>
      <c r="KR44">
        <v>0.8</v>
      </c>
      <c r="KS44">
        <v>0</v>
      </c>
      <c r="KT44">
        <v>2.6</v>
      </c>
      <c r="KU44">
        <v>0</v>
      </c>
      <c r="KV44">
        <v>0</v>
      </c>
      <c r="KW44">
        <v>0.8</v>
      </c>
      <c r="KX44">
        <v>2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3</v>
      </c>
      <c r="LI44">
        <v>0.5</v>
      </c>
      <c r="LJ44">
        <v>0</v>
      </c>
      <c r="LK44">
        <v>8</v>
      </c>
      <c r="LL44">
        <v>4</v>
      </c>
      <c r="LM44">
        <v>7</v>
      </c>
      <c r="LN44">
        <v>0.1</v>
      </c>
      <c r="LO44">
        <v>3</v>
      </c>
      <c r="LP44">
        <v>0</v>
      </c>
      <c r="LQ44">
        <v>0</v>
      </c>
      <c r="LR44">
        <v>0</v>
      </c>
      <c r="LS44">
        <v>1</v>
      </c>
      <c r="LT44">
        <v>0</v>
      </c>
      <c r="LU44">
        <v>0</v>
      </c>
      <c r="LV44">
        <v>0</v>
      </c>
      <c r="LW44">
        <v>2.8</v>
      </c>
      <c r="LX44">
        <v>2.8</v>
      </c>
      <c r="LY44">
        <v>2.8</v>
      </c>
      <c r="LZ44">
        <v>2.8</v>
      </c>
      <c r="MA44">
        <v>0</v>
      </c>
      <c r="MB44">
        <v>3</v>
      </c>
      <c r="MC44">
        <v>0</v>
      </c>
      <c r="MD44">
        <v>4.5</v>
      </c>
      <c r="ME44">
        <v>6</v>
      </c>
      <c r="MF44">
        <v>6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420</v>
      </c>
      <c r="MN44">
        <v>185</v>
      </c>
      <c r="MO44">
        <v>250</v>
      </c>
      <c r="NU44">
        <v>0.15</v>
      </c>
      <c r="NV44">
        <v>0.2</v>
      </c>
      <c r="NW44">
        <v>0.2</v>
      </c>
      <c r="NX44">
        <v>0.2</v>
      </c>
      <c r="NY44">
        <v>0.2</v>
      </c>
      <c r="NZ44">
        <v>0.2</v>
      </c>
      <c r="OE44" t="s">
        <v>4278</v>
      </c>
      <c r="OF44" t="s">
        <v>4136</v>
      </c>
      <c r="OG44" t="s">
        <v>4137</v>
      </c>
      <c r="OH44" t="s">
        <v>4043</v>
      </c>
      <c r="OI44" t="s">
        <v>4278</v>
      </c>
      <c r="OJ44" t="s">
        <v>4277</v>
      </c>
      <c r="OK44">
        <v>61</v>
      </c>
      <c r="OL44">
        <v>61</v>
      </c>
      <c r="OM44" t="s">
        <v>4136</v>
      </c>
      <c r="ON44">
        <v>1</v>
      </c>
      <c r="OO44">
        <v>2029</v>
      </c>
      <c r="OP44">
        <v>61</v>
      </c>
      <c r="OQ44">
        <v>61</v>
      </c>
      <c r="OR44" t="s">
        <v>4137</v>
      </c>
      <c r="OS44">
        <v>1</v>
      </c>
      <c r="OT44">
        <v>2041</v>
      </c>
      <c r="OU44">
        <v>65</v>
      </c>
      <c r="OV44">
        <v>65</v>
      </c>
      <c r="OW44" t="s">
        <v>4043</v>
      </c>
      <c r="OX44">
        <v>1</v>
      </c>
      <c r="OY44">
        <v>47527</v>
      </c>
      <c r="OZ44">
        <v>51</v>
      </c>
      <c r="PA44">
        <v>52</v>
      </c>
      <c r="PB44" t="s">
        <v>4278</v>
      </c>
      <c r="PC44">
        <v>1</v>
      </c>
      <c r="PD44">
        <v>2075</v>
      </c>
      <c r="PF44">
        <v>494</v>
      </c>
      <c r="PG44">
        <v>35</v>
      </c>
      <c r="PH44">
        <v>471</v>
      </c>
      <c r="PI44">
        <v>0</v>
      </c>
      <c r="PJ44">
        <v>50.6</v>
      </c>
      <c r="PK44">
        <v>1960</v>
      </c>
      <c r="PL44">
        <v>1485.1</v>
      </c>
      <c r="PM44">
        <v>290.9</v>
      </c>
      <c r="PN44">
        <v>107.7</v>
      </c>
      <c r="PO44">
        <v>9.300000000000001</v>
      </c>
      <c r="PP44">
        <v>12</v>
      </c>
      <c r="PQ44">
        <v>3</v>
      </c>
      <c r="PR44">
        <v>3</v>
      </c>
      <c r="PS44">
        <v>0</v>
      </c>
      <c r="PT44">
        <v>258</v>
      </c>
      <c r="PU44">
        <v>10</v>
      </c>
      <c r="PV44" t="s">
        <v>4072</v>
      </c>
      <c r="PW44" t="s">
        <v>4072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-1</v>
      </c>
      <c r="QF44">
        <v>1</v>
      </c>
      <c r="QG44">
        <v>0</v>
      </c>
      <c r="QH44">
        <v>5</v>
      </c>
      <c r="QI44">
        <v>5</v>
      </c>
      <c r="QJ44">
        <v>5</v>
      </c>
      <c r="QK44">
        <v>191</v>
      </c>
      <c r="QL44">
        <v>426</v>
      </c>
      <c r="QM44">
        <v>7.5</v>
      </c>
      <c r="QN44">
        <v>1464.3</v>
      </c>
      <c r="QO44" t="s">
        <v>556</v>
      </c>
      <c r="QP44" t="s">
        <v>513</v>
      </c>
      <c r="QQ44">
        <v>0</v>
      </c>
      <c r="QR44" t="s">
        <v>621</v>
      </c>
      <c r="QS44">
        <v>30</v>
      </c>
      <c r="QT44">
        <v>40</v>
      </c>
    </row>
    <row r="45" spans="1:462">
      <c r="A45" t="s">
        <v>1220</v>
      </c>
      <c r="B45" t="s">
        <v>564</v>
      </c>
      <c r="C45" t="s">
        <v>509</v>
      </c>
      <c r="D45" t="s">
        <v>4133</v>
      </c>
      <c r="E45" t="s">
        <v>4036</v>
      </c>
      <c r="H45" t="s">
        <v>627</v>
      </c>
      <c r="I45" t="s">
        <v>604</v>
      </c>
      <c r="J45" t="s">
        <v>628</v>
      </c>
      <c r="K45" t="s">
        <v>606</v>
      </c>
      <c r="L45" t="s">
        <v>629</v>
      </c>
      <c r="M45" t="s">
        <v>512</v>
      </c>
      <c r="O45" t="s">
        <v>513</v>
      </c>
      <c r="P45" t="s">
        <v>567</v>
      </c>
      <c r="Q45" t="s">
        <v>1221</v>
      </c>
      <c r="R45" t="s">
        <v>519</v>
      </c>
      <c r="S45" t="s">
        <v>4037</v>
      </c>
      <c r="T45" t="s">
        <v>633</v>
      </c>
      <c r="U45" t="s">
        <v>634</v>
      </c>
      <c r="V45" t="s">
        <v>1222</v>
      </c>
      <c r="W45" t="s">
        <v>573</v>
      </c>
      <c r="X45" t="s">
        <v>1223</v>
      </c>
      <c r="Y45" t="s">
        <v>1224</v>
      </c>
      <c r="Z45" t="s">
        <v>541</v>
      </c>
      <c r="AA45" t="s">
        <v>4038</v>
      </c>
      <c r="AB45" t="s">
        <v>4279</v>
      </c>
      <c r="AC45">
        <v>9</v>
      </c>
      <c r="AD45" t="s">
        <v>1219</v>
      </c>
      <c r="AE45">
        <v>5</v>
      </c>
      <c r="AF45">
        <v>4221</v>
      </c>
      <c r="AG45" t="s">
        <v>4141</v>
      </c>
      <c r="AH45">
        <v>1</v>
      </c>
      <c r="AI45" t="s">
        <v>4041</v>
      </c>
      <c r="AK45" t="s">
        <v>4142</v>
      </c>
      <c r="AL45">
        <v>1</v>
      </c>
      <c r="AM45" t="s">
        <v>582</v>
      </c>
      <c r="AO45" t="s">
        <v>4043</v>
      </c>
      <c r="AP45">
        <v>1</v>
      </c>
      <c r="AR45" t="s">
        <v>4280</v>
      </c>
      <c r="AS45">
        <v>1</v>
      </c>
      <c r="AT45">
        <v>52</v>
      </c>
      <c r="AV45" t="s">
        <v>4078</v>
      </c>
      <c r="AW45">
        <v>6</v>
      </c>
      <c r="AX45">
        <v>-6</v>
      </c>
      <c r="AY45">
        <v>93.5</v>
      </c>
      <c r="AZ45">
        <v>66</v>
      </c>
      <c r="BH45">
        <v>93.5</v>
      </c>
      <c r="BI45">
        <v>27.5</v>
      </c>
      <c r="BJ45">
        <v>66</v>
      </c>
      <c r="BK45">
        <v>3.5</v>
      </c>
      <c r="BL45">
        <v>187</v>
      </c>
      <c r="BM45">
        <v>-6</v>
      </c>
      <c r="BN45">
        <v>0</v>
      </c>
      <c r="BP45">
        <v>0</v>
      </c>
      <c r="BR45">
        <v>180</v>
      </c>
      <c r="BS45">
        <v>170</v>
      </c>
      <c r="BT45">
        <v>1925</v>
      </c>
      <c r="BU45" t="s">
        <v>4047</v>
      </c>
      <c r="BV45" t="s">
        <v>4047</v>
      </c>
      <c r="BW45" t="s">
        <v>4049</v>
      </c>
      <c r="BX45" t="s">
        <v>4049</v>
      </c>
      <c r="BY45" t="s">
        <v>4150</v>
      </c>
      <c r="BZ45" t="s">
        <v>4150</v>
      </c>
      <c r="CA45" t="s">
        <v>4108</v>
      </c>
      <c r="CB45" t="s">
        <v>4109</v>
      </c>
      <c r="CC45" t="s">
        <v>4053</v>
      </c>
      <c r="CD45" t="s">
        <v>4110</v>
      </c>
      <c r="CE45" t="s">
        <v>4055</v>
      </c>
      <c r="CF45" t="s">
        <v>4055</v>
      </c>
      <c r="CG45" t="s">
        <v>4056</v>
      </c>
      <c r="CH45" t="s">
        <v>4057</v>
      </c>
      <c r="CI45" t="s">
        <v>4058</v>
      </c>
      <c r="CJ45" t="s">
        <v>4059</v>
      </c>
      <c r="CK45" t="s">
        <v>4060</v>
      </c>
      <c r="CL45" t="s">
        <v>4061</v>
      </c>
      <c r="CM45" t="s">
        <v>4055</v>
      </c>
      <c r="CN45" t="s">
        <v>4062</v>
      </c>
      <c r="CO45" t="s">
        <v>4063</v>
      </c>
      <c r="CP45" t="s">
        <v>4055</v>
      </c>
      <c r="CQ45" t="s">
        <v>4055</v>
      </c>
      <c r="CR45">
        <v>5</v>
      </c>
      <c r="CS45" t="s">
        <v>4055</v>
      </c>
      <c r="CT45" t="s">
        <v>4055</v>
      </c>
      <c r="CU45" t="s">
        <v>4055</v>
      </c>
      <c r="CV45">
        <v>116</v>
      </c>
      <c r="CW45">
        <v>3</v>
      </c>
      <c r="CX45">
        <v>78</v>
      </c>
      <c r="CY45">
        <v>5</v>
      </c>
      <c r="CZ45">
        <v>131</v>
      </c>
      <c r="DA45">
        <v>5</v>
      </c>
      <c r="DB45">
        <v>9380</v>
      </c>
      <c r="DC45">
        <v>280</v>
      </c>
      <c r="DD45">
        <v>302</v>
      </c>
      <c r="DE45">
        <v>2031</v>
      </c>
      <c r="DF45">
        <v>2031</v>
      </c>
      <c r="DG45">
        <v>2041</v>
      </c>
      <c r="DH45" t="s">
        <v>4055</v>
      </c>
      <c r="DI45" t="s">
        <v>4055</v>
      </c>
      <c r="DJ45" t="s">
        <v>4100</v>
      </c>
      <c r="DK45">
        <v>180</v>
      </c>
      <c r="DL45" t="s">
        <v>4101</v>
      </c>
      <c r="DM45">
        <v>65</v>
      </c>
      <c r="DN45">
        <v>0.84</v>
      </c>
      <c r="DO45">
        <v>1</v>
      </c>
      <c r="DP45">
        <v>1928</v>
      </c>
      <c r="DQ45">
        <v>634</v>
      </c>
      <c r="DR45" t="s">
        <v>4100</v>
      </c>
      <c r="DS45">
        <v>170</v>
      </c>
      <c r="DT45" t="s">
        <v>4101</v>
      </c>
      <c r="DU45">
        <v>65</v>
      </c>
      <c r="DV45">
        <v>0.84</v>
      </c>
      <c r="DW45">
        <v>1</v>
      </c>
      <c r="DX45">
        <v>1935</v>
      </c>
      <c r="DY45">
        <v>602</v>
      </c>
      <c r="DZ45" t="s">
        <v>4066</v>
      </c>
      <c r="EA45">
        <v>33</v>
      </c>
      <c r="EB45" t="s">
        <v>4065</v>
      </c>
      <c r="EC45">
        <v>0.4</v>
      </c>
      <c r="ED45">
        <v>1928</v>
      </c>
      <c r="EE45">
        <v>56</v>
      </c>
      <c r="EF45" t="s">
        <v>4066</v>
      </c>
      <c r="EG45">
        <v>33</v>
      </c>
      <c r="EH45" t="s">
        <v>4065</v>
      </c>
      <c r="EI45">
        <v>0.4</v>
      </c>
      <c r="EJ45">
        <v>1935</v>
      </c>
      <c r="EK45">
        <v>56</v>
      </c>
      <c r="EL45" t="s">
        <v>1528</v>
      </c>
      <c r="EM45">
        <v>12</v>
      </c>
      <c r="EN45">
        <v>0.5</v>
      </c>
      <c r="EO45">
        <v>0.96</v>
      </c>
      <c r="EP45">
        <v>1935.56</v>
      </c>
      <c r="EQ45">
        <v>32098.04</v>
      </c>
      <c r="ER45">
        <v>8898.959999999999</v>
      </c>
      <c r="ES45">
        <v>0</v>
      </c>
      <c r="ET45">
        <v>0</v>
      </c>
      <c r="EU45">
        <v>1</v>
      </c>
      <c r="EV45">
        <v>40997</v>
      </c>
      <c r="EW45">
        <v>492</v>
      </c>
      <c r="EX45" t="s">
        <v>4088</v>
      </c>
      <c r="EY45">
        <v>200</v>
      </c>
      <c r="EZ45" t="s">
        <v>4055</v>
      </c>
      <c r="FA45">
        <v>7.4</v>
      </c>
      <c r="FB45">
        <v>1</v>
      </c>
      <c r="FC45">
        <v>1</v>
      </c>
      <c r="FD45">
        <v>1970</v>
      </c>
      <c r="FE45">
        <v>2539</v>
      </c>
      <c r="FF45" t="s">
        <v>4089</v>
      </c>
      <c r="FG45">
        <v>200</v>
      </c>
      <c r="FH45" t="s">
        <v>4055</v>
      </c>
      <c r="FI45">
        <v>1.2</v>
      </c>
      <c r="FJ45">
        <v>1970</v>
      </c>
      <c r="FK45">
        <v>473</v>
      </c>
      <c r="FL45" t="s">
        <v>4069</v>
      </c>
      <c r="FM45" t="s">
        <v>4055</v>
      </c>
      <c r="FN45" t="s">
        <v>4055</v>
      </c>
      <c r="FO45" t="s">
        <v>4055</v>
      </c>
      <c r="FP45">
        <v>1970</v>
      </c>
      <c r="FQ45">
        <v>102</v>
      </c>
      <c r="FR45" t="s">
        <v>4090</v>
      </c>
      <c r="FS45">
        <v>204</v>
      </c>
      <c r="FT45" t="s">
        <v>4055</v>
      </c>
      <c r="FU45">
        <v>0.4</v>
      </c>
      <c r="FV45">
        <v>1970</v>
      </c>
      <c r="FW45">
        <v>179</v>
      </c>
      <c r="FX45" t="s">
        <v>4070</v>
      </c>
      <c r="FY45">
        <v>5</v>
      </c>
      <c r="FZ45" t="s">
        <v>4055</v>
      </c>
      <c r="GA45" t="s">
        <v>4055</v>
      </c>
      <c r="GB45">
        <v>1970</v>
      </c>
      <c r="GC45">
        <v>18</v>
      </c>
      <c r="GD45">
        <v>3311</v>
      </c>
      <c r="GE45" t="s">
        <v>4280</v>
      </c>
      <c r="GF45" t="s">
        <v>4055</v>
      </c>
      <c r="GG45" t="s">
        <v>4055</v>
      </c>
      <c r="GH45" t="s">
        <v>4055</v>
      </c>
      <c r="GI45" t="s">
        <v>4071</v>
      </c>
      <c r="GJ45" t="s">
        <v>4055</v>
      </c>
      <c r="GK45" t="s">
        <v>4055</v>
      </c>
      <c r="GL45" t="s">
        <v>4055</v>
      </c>
      <c r="GM45" t="s">
        <v>4055</v>
      </c>
      <c r="GQ45">
        <v>0</v>
      </c>
      <c r="GV45">
        <v>9</v>
      </c>
      <c r="GW45">
        <v>7.8</v>
      </c>
      <c r="GX45">
        <v>0.5</v>
      </c>
      <c r="GY45">
        <v>170</v>
      </c>
      <c r="GZ45">
        <v>3</v>
      </c>
      <c r="HA45">
        <v>220</v>
      </c>
      <c r="HB45">
        <v>3</v>
      </c>
      <c r="HC45">
        <v>1970</v>
      </c>
      <c r="HD45">
        <v>4</v>
      </c>
      <c r="HE45" t="s">
        <v>4071</v>
      </c>
      <c r="HG45" t="s">
        <v>549</v>
      </c>
      <c r="HL45">
        <v>4</v>
      </c>
      <c r="HM45">
        <v>17</v>
      </c>
      <c r="HN45">
        <v>6</v>
      </c>
      <c r="HO45">
        <v>1</v>
      </c>
      <c r="HP45">
        <v>0</v>
      </c>
      <c r="HQ45">
        <v>0</v>
      </c>
      <c r="HR45">
        <v>2</v>
      </c>
      <c r="HS45">
        <v>1925</v>
      </c>
      <c r="HT45">
        <v>5</v>
      </c>
      <c r="HU45">
        <v>1</v>
      </c>
      <c r="HV45">
        <v>3</v>
      </c>
      <c r="HW45">
        <v>0</v>
      </c>
      <c r="HX45">
        <v>1</v>
      </c>
      <c r="HY45">
        <v>0</v>
      </c>
      <c r="HZ45">
        <v>65</v>
      </c>
      <c r="IA45">
        <v>1928</v>
      </c>
      <c r="IB45">
        <v>1935</v>
      </c>
      <c r="ID45">
        <v>1970</v>
      </c>
      <c r="IE45">
        <v>1970</v>
      </c>
      <c r="IF45">
        <v>180</v>
      </c>
      <c r="IG45">
        <v>170</v>
      </c>
      <c r="IH45">
        <v>220</v>
      </c>
      <c r="II45">
        <v>1</v>
      </c>
      <c r="IJ45">
        <v>5</v>
      </c>
      <c r="IK45">
        <v>0</v>
      </c>
      <c r="IL45">
        <v>0</v>
      </c>
      <c r="IM45">
        <v>0</v>
      </c>
      <c r="IN45">
        <v>270</v>
      </c>
      <c r="IO45">
        <v>0</v>
      </c>
      <c r="IP45">
        <v>180</v>
      </c>
      <c r="IQ45">
        <v>0</v>
      </c>
      <c r="IR45">
        <v>325</v>
      </c>
      <c r="IS45">
        <v>0</v>
      </c>
      <c r="IT45">
        <v>90</v>
      </c>
      <c r="IU45">
        <v>0</v>
      </c>
      <c r="IV45">
        <v>6.4</v>
      </c>
      <c r="IW45">
        <v>-6</v>
      </c>
      <c r="IX45">
        <v>93.5</v>
      </c>
      <c r="IY45">
        <v>66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348</v>
      </c>
      <c r="JJ45">
        <v>318</v>
      </c>
      <c r="JK45">
        <v>250</v>
      </c>
      <c r="JL45">
        <v>318</v>
      </c>
      <c r="JM45">
        <v>250</v>
      </c>
      <c r="JN45">
        <v>195</v>
      </c>
      <c r="JO45">
        <v>235</v>
      </c>
      <c r="JP45">
        <v>200</v>
      </c>
      <c r="JQ45">
        <v>255</v>
      </c>
      <c r="JR45">
        <v>330</v>
      </c>
      <c r="JS45">
        <v>265</v>
      </c>
      <c r="JT45">
        <v>0</v>
      </c>
      <c r="JU45">
        <v>0</v>
      </c>
      <c r="JV45">
        <v>305</v>
      </c>
      <c r="JW45">
        <v>307</v>
      </c>
      <c r="JX45">
        <v>325</v>
      </c>
      <c r="JY45">
        <v>290</v>
      </c>
      <c r="JZ45">
        <v>1</v>
      </c>
      <c r="KA45">
        <v>0.2</v>
      </c>
      <c r="KB45">
        <v>0.4</v>
      </c>
      <c r="KC45">
        <v>0.42</v>
      </c>
      <c r="KD45">
        <v>0.28</v>
      </c>
      <c r="KE45">
        <v>0.5</v>
      </c>
      <c r="KF45">
        <v>0.18</v>
      </c>
      <c r="KG45">
        <v>0.1</v>
      </c>
      <c r="KH45">
        <v>3.5</v>
      </c>
      <c r="KI45">
        <v>1</v>
      </c>
      <c r="KJ45">
        <v>5</v>
      </c>
      <c r="KK45">
        <v>0</v>
      </c>
      <c r="KL45">
        <v>7</v>
      </c>
      <c r="KM45">
        <v>1</v>
      </c>
      <c r="KN45">
        <v>1.3</v>
      </c>
      <c r="KO45">
        <v>0</v>
      </c>
      <c r="KP45">
        <v>0</v>
      </c>
      <c r="KQ45">
        <v>0.8</v>
      </c>
      <c r="KR45">
        <v>0.6</v>
      </c>
      <c r="KS45">
        <v>0</v>
      </c>
      <c r="KT45">
        <v>2.3</v>
      </c>
      <c r="KU45">
        <v>0</v>
      </c>
      <c r="KV45">
        <v>0</v>
      </c>
      <c r="KW45">
        <v>1.4</v>
      </c>
      <c r="KX45">
        <v>1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3</v>
      </c>
      <c r="LI45">
        <v>1</v>
      </c>
      <c r="LJ45">
        <v>0</v>
      </c>
      <c r="LK45">
        <v>7</v>
      </c>
      <c r="LL45">
        <v>2</v>
      </c>
      <c r="LM45">
        <v>10</v>
      </c>
      <c r="LN45">
        <v>0.5</v>
      </c>
      <c r="LO45">
        <v>3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1.4</v>
      </c>
      <c r="LX45">
        <v>1.4</v>
      </c>
      <c r="LY45">
        <v>2.1</v>
      </c>
      <c r="LZ45">
        <v>2.1</v>
      </c>
      <c r="MA45">
        <v>0</v>
      </c>
      <c r="MB45">
        <v>5</v>
      </c>
      <c r="MC45">
        <v>2</v>
      </c>
      <c r="MD45">
        <v>4.5</v>
      </c>
      <c r="ME45">
        <v>6</v>
      </c>
      <c r="MF45">
        <v>6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358</v>
      </c>
      <c r="MN45">
        <v>170</v>
      </c>
      <c r="MO45">
        <v>235</v>
      </c>
      <c r="NU45">
        <v>0.15</v>
      </c>
      <c r="NV45">
        <v>0.2</v>
      </c>
      <c r="NW45">
        <v>0.2</v>
      </c>
      <c r="NX45">
        <v>2</v>
      </c>
      <c r="NY45">
        <v>2</v>
      </c>
      <c r="NZ45">
        <v>2</v>
      </c>
      <c r="OE45" t="s">
        <v>4280</v>
      </c>
      <c r="OF45" t="s">
        <v>4141</v>
      </c>
      <c r="OG45" t="s">
        <v>4142</v>
      </c>
      <c r="OH45" t="s">
        <v>4043</v>
      </c>
      <c r="OI45" t="s">
        <v>4280</v>
      </c>
      <c r="OJ45" t="s">
        <v>4279</v>
      </c>
      <c r="OK45">
        <v>61</v>
      </c>
      <c r="OL45">
        <v>61</v>
      </c>
      <c r="OM45" t="s">
        <v>4141</v>
      </c>
      <c r="ON45">
        <v>2</v>
      </c>
      <c r="OO45">
        <v>1928</v>
      </c>
      <c r="OP45">
        <v>61</v>
      </c>
      <c r="OQ45">
        <v>61</v>
      </c>
      <c r="OR45" t="s">
        <v>4142</v>
      </c>
      <c r="OS45">
        <v>2</v>
      </c>
      <c r="OT45">
        <v>1935</v>
      </c>
      <c r="OU45">
        <v>65</v>
      </c>
      <c r="OV45">
        <v>65</v>
      </c>
      <c r="OW45" t="s">
        <v>4043</v>
      </c>
      <c r="OX45">
        <v>1</v>
      </c>
      <c r="OY45">
        <v>40997</v>
      </c>
      <c r="OZ45">
        <v>51</v>
      </c>
      <c r="PA45">
        <v>52</v>
      </c>
      <c r="PB45" t="s">
        <v>4280</v>
      </c>
      <c r="PC45">
        <v>1</v>
      </c>
      <c r="PD45">
        <v>1970</v>
      </c>
      <c r="PF45">
        <v>329</v>
      </c>
      <c r="PG45">
        <v>29</v>
      </c>
      <c r="PH45">
        <v>311</v>
      </c>
      <c r="PI45">
        <v>29</v>
      </c>
      <c r="PJ45">
        <v>52</v>
      </c>
      <c r="PL45">
        <v>1288.7</v>
      </c>
      <c r="PM45">
        <v>240</v>
      </c>
      <c r="PN45">
        <v>90.7</v>
      </c>
      <c r="PO45">
        <v>9.1</v>
      </c>
      <c r="PP45">
        <v>12</v>
      </c>
      <c r="PQ45">
        <v>1</v>
      </c>
      <c r="PR45">
        <v>1</v>
      </c>
      <c r="PS45">
        <v>7</v>
      </c>
      <c r="PT45">
        <v>220</v>
      </c>
      <c r="PU45">
        <v>10</v>
      </c>
      <c r="PV45" t="s">
        <v>4072</v>
      </c>
      <c r="PW45" t="s">
        <v>4072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-1</v>
      </c>
      <c r="QF45">
        <v>1</v>
      </c>
      <c r="QG45">
        <v>0</v>
      </c>
      <c r="QH45">
        <v>5</v>
      </c>
      <c r="QI45">
        <v>5</v>
      </c>
      <c r="QJ45">
        <v>5</v>
      </c>
      <c r="QK45">
        <v>169</v>
      </c>
      <c r="QL45">
        <v>382</v>
      </c>
      <c r="QM45">
        <v>7.5</v>
      </c>
      <c r="QN45">
        <v>1381.4</v>
      </c>
      <c r="QO45" t="s">
        <v>556</v>
      </c>
      <c r="QP45" t="s">
        <v>513</v>
      </c>
      <c r="QQ45">
        <v>0</v>
      </c>
      <c r="QR45" t="s">
        <v>540</v>
      </c>
      <c r="QS45">
        <v>30</v>
      </c>
      <c r="QT45">
        <v>40</v>
      </c>
    </row>
    <row r="46" spans="1:462">
      <c r="A46" t="s">
        <v>1230</v>
      </c>
      <c r="B46" t="s">
        <v>629</v>
      </c>
      <c r="C46" t="s">
        <v>509</v>
      </c>
      <c r="D46" t="s">
        <v>3236</v>
      </c>
      <c r="E46" t="s">
        <v>4036</v>
      </c>
      <c r="H46" t="s">
        <v>627</v>
      </c>
      <c r="I46" t="s">
        <v>604</v>
      </c>
      <c r="J46" t="s">
        <v>628</v>
      </c>
      <c r="K46" t="s">
        <v>606</v>
      </c>
      <c r="L46" t="s">
        <v>711</v>
      </c>
      <c r="M46" t="s">
        <v>512</v>
      </c>
      <c r="O46" t="s">
        <v>513</v>
      </c>
      <c r="P46" t="s">
        <v>567</v>
      </c>
      <c r="Q46" t="s">
        <v>1231</v>
      </c>
      <c r="R46" t="s">
        <v>1127</v>
      </c>
      <c r="S46" t="s">
        <v>4073</v>
      </c>
      <c r="T46" t="s">
        <v>662</v>
      </c>
      <c r="U46" t="s">
        <v>663</v>
      </c>
      <c r="V46" t="s">
        <v>1232</v>
      </c>
      <c r="W46" t="s">
        <v>573</v>
      </c>
      <c r="X46" t="s">
        <v>1233</v>
      </c>
      <c r="Y46" t="s">
        <v>1234</v>
      </c>
      <c r="Z46" t="s">
        <v>541</v>
      </c>
      <c r="AA46" t="s">
        <v>4038</v>
      </c>
      <c r="AB46" t="s">
        <v>4281</v>
      </c>
      <c r="AC46">
        <v>9</v>
      </c>
      <c r="AD46" t="s">
        <v>1228</v>
      </c>
      <c r="AE46">
        <v>4</v>
      </c>
      <c r="AF46">
        <v>4965</v>
      </c>
      <c r="AG46" t="s">
        <v>4175</v>
      </c>
      <c r="AH46">
        <v>1</v>
      </c>
      <c r="AI46" t="s">
        <v>4041</v>
      </c>
      <c r="AK46" t="s">
        <v>4176</v>
      </c>
      <c r="AL46">
        <v>1</v>
      </c>
      <c r="AM46" t="s">
        <v>582</v>
      </c>
      <c r="AO46" t="s">
        <v>4043</v>
      </c>
      <c r="AP46">
        <v>1</v>
      </c>
      <c r="AR46" t="s">
        <v>4282</v>
      </c>
      <c r="AS46">
        <v>1</v>
      </c>
      <c r="AT46">
        <v>52</v>
      </c>
      <c r="AV46" t="s">
        <v>4078</v>
      </c>
      <c r="AW46">
        <v>6.4</v>
      </c>
      <c r="AX46">
        <v>-6</v>
      </c>
      <c r="AY46">
        <v>106</v>
      </c>
      <c r="AZ46">
        <v>83</v>
      </c>
      <c r="BH46">
        <v>106</v>
      </c>
      <c r="BI46">
        <v>23</v>
      </c>
      <c r="BJ46">
        <v>83</v>
      </c>
      <c r="BK46">
        <v>3.5</v>
      </c>
      <c r="BL46">
        <v>212</v>
      </c>
      <c r="BM46">
        <v>-6</v>
      </c>
      <c r="BN46">
        <v>0</v>
      </c>
      <c r="BP46">
        <v>0</v>
      </c>
      <c r="BR46">
        <v>205</v>
      </c>
      <c r="BS46">
        <v>195</v>
      </c>
      <c r="BT46">
        <v>1995</v>
      </c>
      <c r="BU46" t="s">
        <v>4096</v>
      </c>
      <c r="BV46" t="s">
        <v>4096</v>
      </c>
      <c r="BW46" t="s">
        <v>4049</v>
      </c>
      <c r="BX46" t="s">
        <v>4097</v>
      </c>
      <c r="BY46" t="s">
        <v>4116</v>
      </c>
      <c r="BZ46" t="s">
        <v>4116</v>
      </c>
      <c r="CA46" t="s">
        <v>4118</v>
      </c>
      <c r="CB46" t="s">
        <v>4119</v>
      </c>
      <c r="CC46" t="s">
        <v>4053</v>
      </c>
      <c r="CD46" t="s">
        <v>4121</v>
      </c>
      <c r="CE46" t="s">
        <v>4055</v>
      </c>
      <c r="CF46" t="s">
        <v>4055</v>
      </c>
      <c r="CG46" t="s">
        <v>4056</v>
      </c>
      <c r="CH46" t="s">
        <v>4099</v>
      </c>
      <c r="CI46" t="s">
        <v>4058</v>
      </c>
      <c r="CJ46" t="s">
        <v>4059</v>
      </c>
      <c r="CK46" t="s">
        <v>4060</v>
      </c>
      <c r="CL46" t="s">
        <v>4061</v>
      </c>
      <c r="CM46" t="s">
        <v>4055</v>
      </c>
      <c r="CN46" t="s">
        <v>4062</v>
      </c>
      <c r="CO46" t="s">
        <v>4063</v>
      </c>
      <c r="CP46" t="s">
        <v>4055</v>
      </c>
      <c r="CQ46" t="s">
        <v>4055</v>
      </c>
      <c r="CR46">
        <v>5</v>
      </c>
      <c r="CS46" t="s">
        <v>4055</v>
      </c>
      <c r="CT46" t="s">
        <v>4055</v>
      </c>
      <c r="CU46" t="s">
        <v>4055</v>
      </c>
      <c r="CV46">
        <v>127</v>
      </c>
      <c r="CW46">
        <v>3</v>
      </c>
      <c r="CX46">
        <v>86</v>
      </c>
      <c r="CY46">
        <v>5</v>
      </c>
      <c r="CZ46">
        <v>141</v>
      </c>
      <c r="DA46">
        <v>5</v>
      </c>
      <c r="DB46">
        <v>11080</v>
      </c>
      <c r="DC46">
        <v>330</v>
      </c>
      <c r="DD46">
        <v>329</v>
      </c>
      <c r="DE46">
        <v>2108</v>
      </c>
      <c r="DF46">
        <v>2108</v>
      </c>
      <c r="DG46">
        <v>2117</v>
      </c>
      <c r="DH46" t="s">
        <v>4055</v>
      </c>
      <c r="DI46" t="s">
        <v>4055</v>
      </c>
      <c r="DJ46" t="s">
        <v>4064</v>
      </c>
      <c r="DK46">
        <v>205</v>
      </c>
      <c r="DL46" t="s">
        <v>4065</v>
      </c>
      <c r="DM46">
        <v>65</v>
      </c>
      <c r="DN46">
        <v>1.2</v>
      </c>
      <c r="DO46">
        <v>1</v>
      </c>
      <c r="DP46">
        <v>1999</v>
      </c>
      <c r="DQ46">
        <v>942</v>
      </c>
      <c r="DR46" t="s">
        <v>4064</v>
      </c>
      <c r="DS46">
        <v>195</v>
      </c>
      <c r="DT46" t="s">
        <v>4065</v>
      </c>
      <c r="DU46">
        <v>65</v>
      </c>
      <c r="DV46">
        <v>1.2</v>
      </c>
      <c r="DW46">
        <v>1</v>
      </c>
      <c r="DX46">
        <v>2011</v>
      </c>
      <c r="DY46">
        <v>901</v>
      </c>
      <c r="DZ46" t="s">
        <v>4066</v>
      </c>
      <c r="EA46">
        <v>20</v>
      </c>
      <c r="EB46" t="s">
        <v>4065</v>
      </c>
      <c r="EC46">
        <v>0.8</v>
      </c>
      <c r="ED46">
        <v>1999</v>
      </c>
      <c r="EE46">
        <v>70</v>
      </c>
      <c r="EG46">
        <v>0</v>
      </c>
      <c r="EH46" t="s">
        <v>4065</v>
      </c>
      <c r="EI46">
        <v>0</v>
      </c>
      <c r="EL46" t="s">
        <v>1528</v>
      </c>
      <c r="EM46">
        <v>12</v>
      </c>
      <c r="EN46">
        <v>0.5</v>
      </c>
      <c r="EO46">
        <v>0.96</v>
      </c>
      <c r="EP46">
        <v>2010.08</v>
      </c>
      <c r="EQ46">
        <v>35176.4</v>
      </c>
      <c r="ER46">
        <v>7245.4</v>
      </c>
      <c r="ES46">
        <v>0</v>
      </c>
      <c r="ET46">
        <v>0</v>
      </c>
      <c r="EU46">
        <v>1</v>
      </c>
      <c r="EV46">
        <v>42422</v>
      </c>
      <c r="EW46">
        <v>510</v>
      </c>
      <c r="EX46" t="s">
        <v>4088</v>
      </c>
      <c r="EY46">
        <v>220</v>
      </c>
      <c r="EZ46" t="s">
        <v>4055</v>
      </c>
      <c r="FA46">
        <v>6.9</v>
      </c>
      <c r="FB46">
        <v>1</v>
      </c>
      <c r="FC46">
        <v>1</v>
      </c>
      <c r="FD46">
        <v>2045</v>
      </c>
      <c r="FE46">
        <v>2532</v>
      </c>
      <c r="FF46" t="s">
        <v>4089</v>
      </c>
      <c r="FG46">
        <v>220</v>
      </c>
      <c r="FH46" t="s">
        <v>4055</v>
      </c>
      <c r="FI46">
        <v>1.8</v>
      </c>
      <c r="FJ46">
        <v>2045</v>
      </c>
      <c r="FK46">
        <v>824</v>
      </c>
      <c r="FL46" t="s">
        <v>4069</v>
      </c>
      <c r="FM46" t="s">
        <v>4055</v>
      </c>
      <c r="FN46" t="s">
        <v>4055</v>
      </c>
      <c r="FO46" t="s">
        <v>4055</v>
      </c>
      <c r="FP46">
        <v>2045</v>
      </c>
      <c r="FQ46">
        <v>105</v>
      </c>
      <c r="FR46" t="s">
        <v>4090</v>
      </c>
      <c r="FS46">
        <v>224</v>
      </c>
      <c r="FT46" t="s">
        <v>4055</v>
      </c>
      <c r="FU46">
        <v>0.4</v>
      </c>
      <c r="FV46">
        <v>2045</v>
      </c>
      <c r="FW46">
        <v>204</v>
      </c>
      <c r="FX46" t="s">
        <v>4070</v>
      </c>
      <c r="FY46">
        <v>5</v>
      </c>
      <c r="FZ46" t="s">
        <v>4055</v>
      </c>
      <c r="GA46" t="s">
        <v>4055</v>
      </c>
      <c r="GB46">
        <v>2045</v>
      </c>
      <c r="GC46">
        <v>19</v>
      </c>
      <c r="GD46">
        <v>3684</v>
      </c>
      <c r="GE46" t="s">
        <v>4282</v>
      </c>
      <c r="GF46" t="s">
        <v>4055</v>
      </c>
      <c r="GG46" t="s">
        <v>4055</v>
      </c>
      <c r="GH46" t="s">
        <v>4055</v>
      </c>
      <c r="GI46" t="s">
        <v>4071</v>
      </c>
      <c r="GJ46" t="s">
        <v>4055</v>
      </c>
      <c r="GK46" t="s">
        <v>4055</v>
      </c>
      <c r="GL46" t="s">
        <v>4055</v>
      </c>
      <c r="GM46" t="s">
        <v>4055</v>
      </c>
      <c r="GQ46">
        <v>0</v>
      </c>
      <c r="GV46">
        <v>9.1</v>
      </c>
      <c r="GW46">
        <v>7.3</v>
      </c>
      <c r="GX46">
        <v>0.5</v>
      </c>
      <c r="GY46">
        <v>194</v>
      </c>
      <c r="GZ46">
        <v>3</v>
      </c>
      <c r="HA46">
        <v>240</v>
      </c>
      <c r="HB46">
        <v>3</v>
      </c>
      <c r="HC46">
        <v>2045</v>
      </c>
      <c r="HD46">
        <v>4</v>
      </c>
      <c r="HE46" t="s">
        <v>4071</v>
      </c>
      <c r="HG46" t="s">
        <v>549</v>
      </c>
      <c r="HL46">
        <v>4</v>
      </c>
      <c r="HM46">
        <v>18</v>
      </c>
      <c r="HN46">
        <v>6</v>
      </c>
      <c r="HO46">
        <v>1</v>
      </c>
      <c r="HP46">
        <v>0</v>
      </c>
      <c r="HQ46">
        <v>0</v>
      </c>
      <c r="HR46">
        <v>2</v>
      </c>
      <c r="HS46">
        <v>1995</v>
      </c>
      <c r="HT46">
        <v>5</v>
      </c>
      <c r="HU46">
        <v>1</v>
      </c>
      <c r="HV46">
        <v>3</v>
      </c>
      <c r="HW46">
        <v>0</v>
      </c>
      <c r="HX46">
        <v>1</v>
      </c>
      <c r="HY46">
        <v>0</v>
      </c>
      <c r="HZ46">
        <v>65</v>
      </c>
      <c r="IA46">
        <v>1999</v>
      </c>
      <c r="IB46">
        <v>2011</v>
      </c>
      <c r="ID46">
        <v>2045</v>
      </c>
      <c r="IE46">
        <v>2045</v>
      </c>
      <c r="IF46">
        <v>205</v>
      </c>
      <c r="IG46">
        <v>195</v>
      </c>
      <c r="IH46">
        <v>240</v>
      </c>
      <c r="II46">
        <v>1</v>
      </c>
      <c r="IJ46">
        <v>5</v>
      </c>
      <c r="IK46">
        <v>0</v>
      </c>
      <c r="IL46">
        <v>0</v>
      </c>
      <c r="IM46">
        <v>0</v>
      </c>
      <c r="IN46">
        <v>270</v>
      </c>
      <c r="IO46">
        <v>0</v>
      </c>
      <c r="IP46">
        <v>180</v>
      </c>
      <c r="IQ46">
        <v>0</v>
      </c>
      <c r="IR46">
        <v>325</v>
      </c>
      <c r="IS46">
        <v>0</v>
      </c>
      <c r="IT46">
        <v>90</v>
      </c>
      <c r="IU46">
        <v>0</v>
      </c>
      <c r="IV46">
        <v>6.4</v>
      </c>
      <c r="IW46">
        <v>-6</v>
      </c>
      <c r="IX46">
        <v>106</v>
      </c>
      <c r="IY46">
        <v>83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368</v>
      </c>
      <c r="JJ46">
        <v>338</v>
      </c>
      <c r="JK46">
        <v>250</v>
      </c>
      <c r="JL46">
        <v>336</v>
      </c>
      <c r="JM46">
        <v>260</v>
      </c>
      <c r="JN46">
        <v>205</v>
      </c>
      <c r="JO46">
        <v>246</v>
      </c>
      <c r="JP46">
        <v>200</v>
      </c>
      <c r="JQ46">
        <v>255</v>
      </c>
      <c r="JR46">
        <v>320</v>
      </c>
      <c r="JS46">
        <v>240</v>
      </c>
      <c r="JT46">
        <v>0</v>
      </c>
      <c r="JU46">
        <v>0</v>
      </c>
      <c r="JV46">
        <v>310</v>
      </c>
      <c r="JW46">
        <v>312</v>
      </c>
      <c r="JX46">
        <v>317</v>
      </c>
      <c r="JY46">
        <v>310</v>
      </c>
      <c r="JZ46">
        <v>1</v>
      </c>
      <c r="KA46">
        <v>0.2</v>
      </c>
      <c r="KB46">
        <v>0.4</v>
      </c>
      <c r="KC46">
        <v>0.42</v>
      </c>
      <c r="KD46">
        <v>0.28</v>
      </c>
      <c r="KE46">
        <v>0.5</v>
      </c>
      <c r="KF46">
        <v>0.17</v>
      </c>
      <c r="KG46">
        <v>0.11</v>
      </c>
      <c r="KH46">
        <v>3.5</v>
      </c>
      <c r="KI46">
        <v>1</v>
      </c>
      <c r="KJ46">
        <v>5</v>
      </c>
      <c r="KK46">
        <v>1</v>
      </c>
      <c r="KL46">
        <v>5</v>
      </c>
      <c r="KM46">
        <v>1</v>
      </c>
      <c r="KN46">
        <v>1.5</v>
      </c>
      <c r="KO46">
        <v>0</v>
      </c>
      <c r="KP46">
        <v>0</v>
      </c>
      <c r="KQ46">
        <v>1.1</v>
      </c>
      <c r="KR46">
        <v>0.8</v>
      </c>
      <c r="KS46">
        <v>0.2</v>
      </c>
      <c r="KT46">
        <v>2.3</v>
      </c>
      <c r="KU46">
        <v>0</v>
      </c>
      <c r="KV46">
        <v>0</v>
      </c>
      <c r="KW46">
        <v>1.2</v>
      </c>
      <c r="KX46">
        <v>2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3</v>
      </c>
      <c r="LI46">
        <v>1</v>
      </c>
      <c r="LJ46">
        <v>0</v>
      </c>
      <c r="LK46">
        <v>3</v>
      </c>
      <c r="LL46">
        <v>6</v>
      </c>
      <c r="LM46">
        <v>5</v>
      </c>
      <c r="LN46">
        <v>0.5</v>
      </c>
      <c r="LO46">
        <v>0.3</v>
      </c>
      <c r="LP46">
        <v>0</v>
      </c>
      <c r="LQ46">
        <v>0</v>
      </c>
      <c r="LR46">
        <v>0</v>
      </c>
      <c r="LS46">
        <v>1</v>
      </c>
      <c r="LT46">
        <v>0</v>
      </c>
      <c r="LU46">
        <v>0</v>
      </c>
      <c r="LV46">
        <v>0</v>
      </c>
      <c r="LW46">
        <v>1.8</v>
      </c>
      <c r="LX46">
        <v>1.8</v>
      </c>
      <c r="LY46">
        <v>1.8</v>
      </c>
      <c r="LZ46">
        <v>1.8</v>
      </c>
      <c r="MA46">
        <v>0</v>
      </c>
      <c r="MB46">
        <v>3</v>
      </c>
      <c r="MC46">
        <v>0</v>
      </c>
      <c r="MD46">
        <v>4.5</v>
      </c>
      <c r="ME46">
        <v>6</v>
      </c>
      <c r="MF46">
        <v>6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390</v>
      </c>
      <c r="MN46">
        <v>200</v>
      </c>
      <c r="MO46">
        <v>250</v>
      </c>
      <c r="NU46">
        <v>0.15</v>
      </c>
      <c r="NV46">
        <v>0.3</v>
      </c>
      <c r="NW46">
        <v>0.3</v>
      </c>
      <c r="NX46">
        <v>2</v>
      </c>
      <c r="NY46">
        <v>2</v>
      </c>
      <c r="NZ46">
        <v>2</v>
      </c>
      <c r="OE46" t="s">
        <v>4282</v>
      </c>
      <c r="OF46" t="s">
        <v>4175</v>
      </c>
      <c r="OG46" t="s">
        <v>4176</v>
      </c>
      <c r="OH46" t="s">
        <v>4043</v>
      </c>
      <c r="OI46" t="s">
        <v>4282</v>
      </c>
      <c r="OJ46" t="s">
        <v>4281</v>
      </c>
      <c r="OK46">
        <v>61</v>
      </c>
      <c r="OL46">
        <v>61</v>
      </c>
      <c r="OM46" t="s">
        <v>4175</v>
      </c>
      <c r="ON46">
        <v>1</v>
      </c>
      <c r="OO46">
        <v>1999</v>
      </c>
      <c r="OP46">
        <v>61</v>
      </c>
      <c r="OQ46">
        <v>61</v>
      </c>
      <c r="OR46" t="s">
        <v>4176</v>
      </c>
      <c r="OS46">
        <v>1</v>
      </c>
      <c r="OT46">
        <v>2011</v>
      </c>
      <c r="OU46">
        <v>65</v>
      </c>
      <c r="OV46">
        <v>65</v>
      </c>
      <c r="OW46" t="s">
        <v>4043</v>
      </c>
      <c r="OX46">
        <v>1</v>
      </c>
      <c r="OY46">
        <v>42422</v>
      </c>
      <c r="OZ46">
        <v>51</v>
      </c>
      <c r="PA46">
        <v>52</v>
      </c>
      <c r="PB46" t="s">
        <v>4282</v>
      </c>
      <c r="PC46">
        <v>1</v>
      </c>
      <c r="PD46">
        <v>2045</v>
      </c>
      <c r="PF46">
        <v>471</v>
      </c>
      <c r="PG46">
        <v>35</v>
      </c>
      <c r="PH46">
        <v>448</v>
      </c>
      <c r="PI46">
        <v>0</v>
      </c>
      <c r="PJ46">
        <v>51.4</v>
      </c>
      <c r="PK46">
        <v>1784</v>
      </c>
      <c r="PL46">
        <v>1238.3</v>
      </c>
      <c r="PM46">
        <v>403.1</v>
      </c>
      <c r="PN46">
        <v>99.59999999999999</v>
      </c>
      <c r="PO46">
        <v>9.4</v>
      </c>
      <c r="PP46">
        <v>12</v>
      </c>
      <c r="PQ46">
        <v>3</v>
      </c>
      <c r="PR46">
        <v>3</v>
      </c>
      <c r="PS46">
        <v>8</v>
      </c>
      <c r="PT46">
        <v>240</v>
      </c>
      <c r="PU46">
        <v>10</v>
      </c>
      <c r="PV46" t="s">
        <v>4072</v>
      </c>
      <c r="PW46" t="s">
        <v>4072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-1</v>
      </c>
      <c r="QF46">
        <v>1</v>
      </c>
      <c r="QG46">
        <v>0</v>
      </c>
      <c r="QH46">
        <v>5</v>
      </c>
      <c r="QI46">
        <v>5</v>
      </c>
      <c r="QJ46">
        <v>5</v>
      </c>
      <c r="QK46">
        <v>178</v>
      </c>
      <c r="QL46">
        <v>402</v>
      </c>
      <c r="QM46">
        <v>7.5</v>
      </c>
      <c r="QN46">
        <v>1464.3</v>
      </c>
      <c r="QO46" t="s">
        <v>556</v>
      </c>
      <c r="QP46" t="s">
        <v>513</v>
      </c>
      <c r="QQ46">
        <v>0</v>
      </c>
      <c r="QR46" t="s">
        <v>621</v>
      </c>
      <c r="QS46">
        <v>30</v>
      </c>
      <c r="QT46">
        <v>40</v>
      </c>
    </row>
    <row r="47" spans="1:462">
      <c r="A47" t="s">
        <v>1240</v>
      </c>
      <c r="B47" t="s">
        <v>564</v>
      </c>
      <c r="C47" t="s">
        <v>509</v>
      </c>
      <c r="D47" t="s">
        <v>1239</v>
      </c>
      <c r="E47" t="s">
        <v>4036</v>
      </c>
      <c r="H47" t="s">
        <v>1135</v>
      </c>
      <c r="J47" t="s">
        <v>562</v>
      </c>
      <c r="K47" t="s">
        <v>563</v>
      </c>
      <c r="L47" t="s">
        <v>629</v>
      </c>
      <c r="M47" t="s">
        <v>512</v>
      </c>
      <c r="O47" t="s">
        <v>513</v>
      </c>
      <c r="P47" t="s">
        <v>517</v>
      </c>
      <c r="Q47" t="s">
        <v>926</v>
      </c>
      <c r="R47" t="s">
        <v>927</v>
      </c>
      <c r="S47" t="s">
        <v>4073</v>
      </c>
      <c r="T47" t="s">
        <v>570</v>
      </c>
      <c r="U47" t="s">
        <v>571</v>
      </c>
      <c r="V47" t="s">
        <v>1241</v>
      </c>
      <c r="W47" t="s">
        <v>1242</v>
      </c>
      <c r="X47" t="s">
        <v>1243</v>
      </c>
      <c r="Y47" t="s">
        <v>1244</v>
      </c>
      <c r="Z47" t="s">
        <v>541</v>
      </c>
      <c r="AA47" t="s">
        <v>4038</v>
      </c>
      <c r="AB47" t="s">
        <v>4283</v>
      </c>
      <c r="AC47">
        <v>9</v>
      </c>
      <c r="AD47" t="s">
        <v>1238</v>
      </c>
      <c r="AE47">
        <v>5</v>
      </c>
      <c r="AF47">
        <v>5871</v>
      </c>
      <c r="AG47" t="s">
        <v>4284</v>
      </c>
      <c r="AH47">
        <v>1</v>
      </c>
      <c r="AI47" t="s">
        <v>4041</v>
      </c>
      <c r="AK47" t="s">
        <v>4285</v>
      </c>
      <c r="AL47">
        <v>1</v>
      </c>
      <c r="AM47" t="s">
        <v>582</v>
      </c>
      <c r="AO47" t="s">
        <v>4043</v>
      </c>
      <c r="AP47">
        <v>1</v>
      </c>
      <c r="AR47" t="s">
        <v>4286</v>
      </c>
      <c r="AS47">
        <v>1</v>
      </c>
      <c r="AT47">
        <v>52</v>
      </c>
      <c r="AV47" t="s">
        <v>4078</v>
      </c>
      <c r="AW47">
        <v>6.4</v>
      </c>
      <c r="AX47">
        <v>-6</v>
      </c>
      <c r="AY47">
        <v>115</v>
      </c>
      <c r="AZ47">
        <v>85</v>
      </c>
      <c r="BH47">
        <v>115</v>
      </c>
      <c r="BI47">
        <v>30</v>
      </c>
      <c r="BJ47">
        <v>85</v>
      </c>
      <c r="BK47">
        <v>2.5</v>
      </c>
      <c r="BL47">
        <v>230</v>
      </c>
      <c r="BM47">
        <v>-6</v>
      </c>
      <c r="BN47">
        <v>0</v>
      </c>
      <c r="BO47">
        <v>0</v>
      </c>
      <c r="BP47">
        <v>0</v>
      </c>
      <c r="BR47">
        <v>225</v>
      </c>
      <c r="BS47">
        <v>215</v>
      </c>
      <c r="BT47">
        <v>2235</v>
      </c>
      <c r="BU47" t="s">
        <v>4079</v>
      </c>
      <c r="BV47" t="s">
        <v>4079</v>
      </c>
      <c r="BW47" t="s">
        <v>4081</v>
      </c>
      <c r="BX47" t="s">
        <v>4081</v>
      </c>
      <c r="BY47" t="s">
        <v>4199</v>
      </c>
      <c r="BZ47" t="s">
        <v>4164</v>
      </c>
      <c r="CA47" t="s">
        <v>4084</v>
      </c>
      <c r="CB47" t="s">
        <v>4085</v>
      </c>
      <c r="CC47" t="s">
        <v>4053</v>
      </c>
      <c r="CD47" t="s">
        <v>4055</v>
      </c>
      <c r="CE47" t="s">
        <v>4055</v>
      </c>
      <c r="CF47" t="s">
        <v>4055</v>
      </c>
      <c r="CG47" t="s">
        <v>4056</v>
      </c>
      <c r="CI47" t="s">
        <v>4086</v>
      </c>
      <c r="CJ47" t="s">
        <v>4059</v>
      </c>
      <c r="CK47" t="s">
        <v>4060</v>
      </c>
      <c r="CL47" t="s">
        <v>4061</v>
      </c>
      <c r="CM47" t="s">
        <v>4055</v>
      </c>
      <c r="CN47" t="s">
        <v>4062</v>
      </c>
      <c r="CO47" t="s">
        <v>4063</v>
      </c>
      <c r="CP47" t="s">
        <v>4055</v>
      </c>
      <c r="CQ47" t="s">
        <v>4055</v>
      </c>
      <c r="CR47">
        <v>5</v>
      </c>
      <c r="CS47" t="s">
        <v>4055</v>
      </c>
      <c r="CT47" t="s">
        <v>4055</v>
      </c>
      <c r="CU47" t="s">
        <v>4055</v>
      </c>
      <c r="CV47">
        <v>139</v>
      </c>
      <c r="CW47">
        <v>3</v>
      </c>
      <c r="CX47">
        <v>99</v>
      </c>
      <c r="CY47">
        <v>5</v>
      </c>
      <c r="CZ47">
        <v>164</v>
      </c>
      <c r="DA47">
        <v>5</v>
      </c>
      <c r="DB47">
        <v>15400</v>
      </c>
      <c r="DC47">
        <v>460</v>
      </c>
      <c r="DD47">
        <v>365</v>
      </c>
      <c r="DE47">
        <v>2365</v>
      </c>
      <c r="DF47">
        <v>2365</v>
      </c>
      <c r="DG47">
        <v>2377</v>
      </c>
      <c r="DH47">
        <v>1</v>
      </c>
      <c r="DI47" t="s">
        <v>4055</v>
      </c>
      <c r="DJ47" t="s">
        <v>4217</v>
      </c>
      <c r="DK47">
        <v>225</v>
      </c>
      <c r="DL47" t="s">
        <v>4065</v>
      </c>
      <c r="DM47">
        <v>63</v>
      </c>
      <c r="DN47">
        <v>1.26</v>
      </c>
      <c r="DO47">
        <v>1</v>
      </c>
      <c r="DP47">
        <v>2239</v>
      </c>
      <c r="DQ47">
        <v>1216</v>
      </c>
      <c r="DR47" t="s">
        <v>4217</v>
      </c>
      <c r="DS47">
        <v>215</v>
      </c>
      <c r="DT47" t="s">
        <v>4065</v>
      </c>
      <c r="DU47">
        <v>63</v>
      </c>
      <c r="DV47">
        <v>1.26</v>
      </c>
      <c r="DW47">
        <v>1</v>
      </c>
      <c r="DX47">
        <v>2252</v>
      </c>
      <c r="DY47">
        <v>1169</v>
      </c>
      <c r="DZ47" t="s">
        <v>4066</v>
      </c>
      <c r="EA47">
        <v>20</v>
      </c>
      <c r="EB47" t="s">
        <v>4065</v>
      </c>
      <c r="EC47">
        <v>0.8</v>
      </c>
      <c r="ED47">
        <v>2239</v>
      </c>
      <c r="EE47">
        <v>78</v>
      </c>
      <c r="EG47">
        <v>0</v>
      </c>
      <c r="EH47" t="s">
        <v>4065</v>
      </c>
      <c r="EI47">
        <v>0</v>
      </c>
      <c r="EL47" t="s">
        <v>1528</v>
      </c>
      <c r="EM47">
        <v>12</v>
      </c>
      <c r="EN47">
        <v>0.5</v>
      </c>
      <c r="EO47">
        <v>0.96</v>
      </c>
      <c r="EP47">
        <v>2250.84</v>
      </c>
      <c r="EQ47">
        <v>42554.94</v>
      </c>
      <c r="ER47">
        <v>10579.09</v>
      </c>
      <c r="ES47">
        <v>0</v>
      </c>
      <c r="ET47">
        <v>0</v>
      </c>
      <c r="EU47">
        <v>1</v>
      </c>
      <c r="EV47">
        <v>53135</v>
      </c>
      <c r="EW47">
        <v>638</v>
      </c>
      <c r="EX47" t="s">
        <v>4287</v>
      </c>
      <c r="EY47">
        <v>246</v>
      </c>
      <c r="EZ47" t="s">
        <v>4055</v>
      </c>
      <c r="FA47">
        <v>7</v>
      </c>
      <c r="FB47">
        <v>1</v>
      </c>
      <c r="FC47">
        <v>1</v>
      </c>
      <c r="FD47">
        <v>2292</v>
      </c>
      <c r="FE47">
        <v>3398</v>
      </c>
      <c r="FF47" t="s">
        <v>4288</v>
      </c>
      <c r="FG47">
        <v>246</v>
      </c>
      <c r="FH47" t="s">
        <v>4055</v>
      </c>
      <c r="FI47">
        <v>3.6</v>
      </c>
      <c r="FJ47">
        <v>2292</v>
      </c>
      <c r="FK47">
        <v>2542</v>
      </c>
      <c r="FL47" t="s">
        <v>4069</v>
      </c>
      <c r="FM47" t="s">
        <v>4055</v>
      </c>
      <c r="FN47" t="s">
        <v>4055</v>
      </c>
      <c r="FO47" t="s">
        <v>4055</v>
      </c>
      <c r="FP47">
        <v>2292</v>
      </c>
      <c r="FQ47">
        <v>199</v>
      </c>
      <c r="FR47" t="s">
        <v>4090</v>
      </c>
      <c r="FS47">
        <v>250</v>
      </c>
      <c r="FT47" t="s">
        <v>4055</v>
      </c>
      <c r="FU47">
        <v>0.4</v>
      </c>
      <c r="FV47">
        <v>2292</v>
      </c>
      <c r="FW47">
        <v>255</v>
      </c>
      <c r="FX47" t="s">
        <v>4070</v>
      </c>
      <c r="FY47">
        <v>5</v>
      </c>
      <c r="FZ47" t="s">
        <v>4055</v>
      </c>
      <c r="GA47" t="s">
        <v>4055</v>
      </c>
      <c r="GB47">
        <v>2292</v>
      </c>
      <c r="GC47">
        <v>28</v>
      </c>
      <c r="GD47">
        <v>6422</v>
      </c>
      <c r="GE47" t="s">
        <v>4286</v>
      </c>
      <c r="GF47" t="s">
        <v>4055</v>
      </c>
      <c r="GG47" t="s">
        <v>4055</v>
      </c>
      <c r="GH47" t="s">
        <v>4055</v>
      </c>
      <c r="GI47" t="s">
        <v>4071</v>
      </c>
      <c r="GJ47" t="s">
        <v>4055</v>
      </c>
      <c r="GK47" t="s">
        <v>4055</v>
      </c>
      <c r="GL47" t="s">
        <v>4055</v>
      </c>
      <c r="GM47" t="s">
        <v>4055</v>
      </c>
      <c r="GQ47">
        <v>0</v>
      </c>
      <c r="GV47">
        <v>11</v>
      </c>
      <c r="GW47">
        <v>11.8</v>
      </c>
      <c r="GX47">
        <v>0.5</v>
      </c>
      <c r="GY47">
        <v>212</v>
      </c>
      <c r="GZ47">
        <v>3</v>
      </c>
      <c r="HA47">
        <v>264</v>
      </c>
      <c r="HB47">
        <v>3</v>
      </c>
      <c r="HC47">
        <v>2292</v>
      </c>
      <c r="HD47">
        <v>4</v>
      </c>
      <c r="HE47" t="s">
        <v>4071</v>
      </c>
      <c r="HG47" t="s">
        <v>549</v>
      </c>
      <c r="HL47">
        <v>4</v>
      </c>
      <c r="HM47">
        <v>20</v>
      </c>
      <c r="HN47">
        <v>6</v>
      </c>
      <c r="HO47">
        <v>1</v>
      </c>
      <c r="HP47">
        <v>0</v>
      </c>
      <c r="HQ47">
        <v>0</v>
      </c>
      <c r="HR47">
        <v>2</v>
      </c>
      <c r="HS47">
        <v>2235</v>
      </c>
      <c r="HT47">
        <v>5</v>
      </c>
      <c r="HU47">
        <v>1</v>
      </c>
      <c r="HV47">
        <v>5</v>
      </c>
      <c r="HW47">
        <v>0</v>
      </c>
      <c r="HX47">
        <v>1</v>
      </c>
      <c r="HY47">
        <v>0</v>
      </c>
      <c r="HZ47">
        <v>63</v>
      </c>
      <c r="IA47">
        <v>2239</v>
      </c>
      <c r="IB47">
        <v>2252</v>
      </c>
      <c r="ID47">
        <v>2292</v>
      </c>
      <c r="IE47">
        <v>2292</v>
      </c>
      <c r="IF47">
        <v>225</v>
      </c>
      <c r="IG47">
        <v>215</v>
      </c>
      <c r="IH47">
        <v>264</v>
      </c>
      <c r="II47">
        <v>1</v>
      </c>
      <c r="IJ47">
        <v>5</v>
      </c>
      <c r="IK47">
        <v>0</v>
      </c>
      <c r="IL47">
        <v>0</v>
      </c>
      <c r="IM47">
        <v>0</v>
      </c>
      <c r="IN47">
        <v>270</v>
      </c>
      <c r="IO47">
        <v>0</v>
      </c>
      <c r="IP47">
        <v>180</v>
      </c>
      <c r="IQ47">
        <v>0</v>
      </c>
      <c r="IR47">
        <v>330</v>
      </c>
      <c r="IS47">
        <v>0</v>
      </c>
      <c r="IT47">
        <v>90</v>
      </c>
      <c r="IU47">
        <v>0</v>
      </c>
      <c r="IV47">
        <v>6.4</v>
      </c>
      <c r="IW47">
        <v>-6</v>
      </c>
      <c r="IX47">
        <v>115</v>
      </c>
      <c r="IY47">
        <v>85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420</v>
      </c>
      <c r="JJ47">
        <v>390</v>
      </c>
      <c r="JK47">
        <v>265</v>
      </c>
      <c r="JL47">
        <v>388</v>
      </c>
      <c r="JM47">
        <v>310</v>
      </c>
      <c r="JN47">
        <v>225</v>
      </c>
      <c r="JO47">
        <v>274</v>
      </c>
      <c r="JP47">
        <v>190</v>
      </c>
      <c r="JQ47">
        <v>225</v>
      </c>
      <c r="JR47">
        <v>305</v>
      </c>
      <c r="JS47">
        <v>230</v>
      </c>
      <c r="JT47">
        <v>0</v>
      </c>
      <c r="JU47">
        <v>0</v>
      </c>
      <c r="JV47">
        <v>300</v>
      </c>
      <c r="JW47">
        <v>290</v>
      </c>
      <c r="JX47">
        <v>298</v>
      </c>
      <c r="JY47">
        <v>290</v>
      </c>
      <c r="JZ47">
        <v>0.5</v>
      </c>
      <c r="KA47">
        <v>0.2</v>
      </c>
      <c r="KB47">
        <v>0.4</v>
      </c>
      <c r="KC47">
        <v>0.42</v>
      </c>
      <c r="KD47">
        <v>0.28</v>
      </c>
      <c r="KE47">
        <v>0.5</v>
      </c>
      <c r="KF47">
        <v>0.17</v>
      </c>
      <c r="KG47">
        <v>0.11</v>
      </c>
      <c r="KH47">
        <v>3.5</v>
      </c>
      <c r="KI47">
        <v>1</v>
      </c>
      <c r="KJ47">
        <v>4.5</v>
      </c>
      <c r="KK47">
        <v>0</v>
      </c>
      <c r="KL47">
        <v>4.5</v>
      </c>
      <c r="KM47">
        <v>0</v>
      </c>
      <c r="KN47">
        <v>2.7</v>
      </c>
      <c r="KO47">
        <v>0</v>
      </c>
      <c r="KP47">
        <v>0</v>
      </c>
      <c r="KQ47">
        <v>1</v>
      </c>
      <c r="KR47">
        <v>1</v>
      </c>
      <c r="KS47">
        <v>0</v>
      </c>
      <c r="KT47">
        <v>3.3</v>
      </c>
      <c r="KU47">
        <v>0</v>
      </c>
      <c r="KV47">
        <v>0</v>
      </c>
      <c r="KW47">
        <v>1.2</v>
      </c>
      <c r="KX47">
        <v>2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3</v>
      </c>
      <c r="LI47">
        <v>0.5</v>
      </c>
      <c r="LJ47">
        <v>0</v>
      </c>
      <c r="LK47">
        <v>8</v>
      </c>
      <c r="LL47">
        <v>10</v>
      </c>
      <c r="LM47">
        <v>12</v>
      </c>
      <c r="LN47">
        <v>1</v>
      </c>
      <c r="LO47">
        <v>3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1.8</v>
      </c>
      <c r="LX47">
        <v>1.8</v>
      </c>
      <c r="LY47">
        <v>2.1</v>
      </c>
      <c r="LZ47">
        <v>2.1</v>
      </c>
      <c r="MA47">
        <v>0</v>
      </c>
      <c r="MB47">
        <v>9</v>
      </c>
      <c r="MC47">
        <v>0</v>
      </c>
      <c r="MD47">
        <v>4.5</v>
      </c>
      <c r="ME47">
        <v>6</v>
      </c>
      <c r="MF47">
        <v>6</v>
      </c>
      <c r="MI47">
        <v>0</v>
      </c>
      <c r="MJ47">
        <v>0</v>
      </c>
      <c r="ML47">
        <v>0</v>
      </c>
      <c r="MM47">
        <v>452</v>
      </c>
      <c r="MN47">
        <v>210</v>
      </c>
      <c r="MO47">
        <v>264</v>
      </c>
      <c r="NU47">
        <v>0.15</v>
      </c>
      <c r="NV47">
        <v>0.25</v>
      </c>
      <c r="NW47">
        <v>0.3</v>
      </c>
      <c r="NX47">
        <v>0.2</v>
      </c>
      <c r="NY47">
        <v>0.2</v>
      </c>
      <c r="NZ47">
        <v>0.2</v>
      </c>
      <c r="OE47" t="s">
        <v>4286</v>
      </c>
      <c r="OF47" t="s">
        <v>4284</v>
      </c>
      <c r="OG47" t="s">
        <v>4285</v>
      </c>
      <c r="OH47" t="s">
        <v>4043</v>
      </c>
      <c r="OI47" t="s">
        <v>4286</v>
      </c>
      <c r="OJ47" t="s">
        <v>4283</v>
      </c>
      <c r="OK47">
        <v>61</v>
      </c>
      <c r="OL47">
        <v>61</v>
      </c>
      <c r="OM47" t="s">
        <v>4284</v>
      </c>
      <c r="ON47">
        <v>1</v>
      </c>
      <c r="OO47">
        <v>2239</v>
      </c>
      <c r="OP47">
        <v>61</v>
      </c>
      <c r="OQ47">
        <v>61</v>
      </c>
      <c r="OR47" t="s">
        <v>4285</v>
      </c>
      <c r="OS47">
        <v>1</v>
      </c>
      <c r="OT47">
        <v>2252</v>
      </c>
      <c r="OU47">
        <v>65</v>
      </c>
      <c r="OV47">
        <v>65</v>
      </c>
      <c r="OW47" t="s">
        <v>4043</v>
      </c>
      <c r="OX47">
        <v>2</v>
      </c>
      <c r="OY47">
        <v>53135</v>
      </c>
      <c r="OZ47">
        <v>51</v>
      </c>
      <c r="PA47">
        <v>52</v>
      </c>
      <c r="PB47" t="s">
        <v>4286</v>
      </c>
      <c r="PC47">
        <v>1</v>
      </c>
      <c r="PD47">
        <v>2292</v>
      </c>
      <c r="PF47">
        <v>543</v>
      </c>
      <c r="PG47">
        <v>35</v>
      </c>
      <c r="PH47">
        <v>519</v>
      </c>
      <c r="PI47">
        <v>0</v>
      </c>
      <c r="PJ47">
        <v>86.90000000000001</v>
      </c>
      <c r="PK47">
        <v>2780</v>
      </c>
      <c r="PL47">
        <v>1482.6</v>
      </c>
      <c r="PM47">
        <v>1109.1</v>
      </c>
      <c r="PN47">
        <v>111.3</v>
      </c>
      <c r="PO47">
        <v>12.4</v>
      </c>
      <c r="PP47">
        <v>12</v>
      </c>
      <c r="PQ47">
        <v>4</v>
      </c>
      <c r="PR47">
        <v>4</v>
      </c>
      <c r="PS47">
        <v>0</v>
      </c>
      <c r="PT47">
        <v>264</v>
      </c>
      <c r="PU47">
        <v>9</v>
      </c>
      <c r="PV47" t="s">
        <v>4072</v>
      </c>
      <c r="PW47" t="s">
        <v>4072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-1</v>
      </c>
      <c r="QF47">
        <v>1</v>
      </c>
      <c r="QG47">
        <v>0</v>
      </c>
      <c r="QH47">
        <v>5</v>
      </c>
      <c r="QI47">
        <v>5</v>
      </c>
      <c r="QJ47">
        <v>5</v>
      </c>
      <c r="QK47">
        <v>226</v>
      </c>
      <c r="QL47">
        <v>450</v>
      </c>
      <c r="QM47">
        <v>7.5</v>
      </c>
      <c r="QN47">
        <v>1623.8</v>
      </c>
      <c r="QO47" t="s">
        <v>1252</v>
      </c>
      <c r="QP47" t="s">
        <v>513</v>
      </c>
      <c r="QQ47">
        <v>0</v>
      </c>
      <c r="QR47" t="s">
        <v>596</v>
      </c>
      <c r="QS47">
        <v>40</v>
      </c>
      <c r="QT47">
        <v>50</v>
      </c>
    </row>
    <row r="48" spans="1:462">
      <c r="A48" t="s">
        <v>1256</v>
      </c>
      <c r="B48" t="s">
        <v>711</v>
      </c>
      <c r="C48" t="s">
        <v>509</v>
      </c>
      <c r="D48" t="s">
        <v>1254</v>
      </c>
      <c r="E48" t="s">
        <v>4036</v>
      </c>
      <c r="H48" t="s">
        <v>1088</v>
      </c>
      <c r="L48" t="s">
        <v>804</v>
      </c>
      <c r="M48" t="s">
        <v>512</v>
      </c>
      <c r="N48" t="s">
        <v>515</v>
      </c>
      <c r="O48" t="s">
        <v>513</v>
      </c>
      <c r="P48" t="s">
        <v>517</v>
      </c>
      <c r="Q48" t="s">
        <v>1159</v>
      </c>
      <c r="R48" t="s">
        <v>1160</v>
      </c>
      <c r="S48" t="s">
        <v>4170</v>
      </c>
      <c r="T48" t="s">
        <v>662</v>
      </c>
      <c r="U48" t="s">
        <v>663</v>
      </c>
      <c r="V48" t="s">
        <v>1257</v>
      </c>
      <c r="W48" t="s">
        <v>1242</v>
      </c>
      <c r="X48" t="s">
        <v>1258</v>
      </c>
      <c r="Y48" t="s">
        <v>1259</v>
      </c>
      <c r="Z48" t="s">
        <v>541</v>
      </c>
      <c r="AA48" t="s">
        <v>4038</v>
      </c>
      <c r="AB48" t="s">
        <v>4289</v>
      </c>
      <c r="AC48">
        <v>12</v>
      </c>
      <c r="AD48" t="s">
        <v>1253</v>
      </c>
      <c r="AE48">
        <v>3</v>
      </c>
      <c r="AF48">
        <v>7944</v>
      </c>
      <c r="AG48" t="s">
        <v>4290</v>
      </c>
      <c r="AH48">
        <v>1</v>
      </c>
      <c r="AI48" t="s">
        <v>4041</v>
      </c>
      <c r="AK48" t="s">
        <v>4291</v>
      </c>
      <c r="AL48">
        <v>1</v>
      </c>
      <c r="AM48" t="s">
        <v>582</v>
      </c>
      <c r="AO48" t="s">
        <v>4043</v>
      </c>
      <c r="AP48">
        <v>1</v>
      </c>
      <c r="AR48" t="s">
        <v>4292</v>
      </c>
      <c r="AS48">
        <v>1</v>
      </c>
      <c r="AT48">
        <v>52</v>
      </c>
      <c r="AV48" t="s">
        <v>4078</v>
      </c>
      <c r="AW48">
        <v>6.4</v>
      </c>
      <c r="AX48">
        <v>-6</v>
      </c>
      <c r="AY48">
        <v>120</v>
      </c>
      <c r="AZ48">
        <v>90</v>
      </c>
      <c r="BH48">
        <v>120</v>
      </c>
      <c r="BI48">
        <v>30</v>
      </c>
      <c r="BJ48">
        <v>90</v>
      </c>
      <c r="BK48">
        <v>2.5</v>
      </c>
      <c r="BL48">
        <v>240</v>
      </c>
      <c r="BM48">
        <v>-6</v>
      </c>
      <c r="BN48">
        <v>0</v>
      </c>
      <c r="BO48">
        <v>0</v>
      </c>
      <c r="BP48">
        <v>0</v>
      </c>
      <c r="BR48">
        <v>235</v>
      </c>
      <c r="BS48">
        <v>225</v>
      </c>
      <c r="BT48">
        <v>2340</v>
      </c>
      <c r="BU48" t="s">
        <v>4079</v>
      </c>
      <c r="BV48" t="s">
        <v>4080</v>
      </c>
      <c r="BW48" t="s">
        <v>4081</v>
      </c>
      <c r="BX48" t="s">
        <v>4082</v>
      </c>
      <c r="BY48" t="s">
        <v>4265</v>
      </c>
      <c r="BZ48" t="s">
        <v>4214</v>
      </c>
      <c r="CA48" t="s">
        <v>4118</v>
      </c>
      <c r="CB48" t="s">
        <v>4119</v>
      </c>
      <c r="CC48" t="s">
        <v>4053</v>
      </c>
      <c r="CD48" t="s">
        <v>4121</v>
      </c>
      <c r="CE48" t="s">
        <v>4055</v>
      </c>
      <c r="CF48" t="s">
        <v>4055</v>
      </c>
      <c r="CG48" t="s">
        <v>4056</v>
      </c>
      <c r="CI48" t="s">
        <v>4216</v>
      </c>
      <c r="CJ48" t="s">
        <v>4059</v>
      </c>
      <c r="CK48" t="s">
        <v>4060</v>
      </c>
      <c r="CL48" t="s">
        <v>4061</v>
      </c>
      <c r="CM48" t="s">
        <v>4062</v>
      </c>
      <c r="CN48" t="s">
        <v>4055</v>
      </c>
      <c r="CO48" t="s">
        <v>4063</v>
      </c>
      <c r="CP48" t="s">
        <v>4055</v>
      </c>
      <c r="CQ48" t="s">
        <v>4055</v>
      </c>
      <c r="CR48">
        <v>5</v>
      </c>
      <c r="CS48" t="s">
        <v>4055</v>
      </c>
      <c r="CT48" t="s">
        <v>4055</v>
      </c>
      <c r="CU48" t="s">
        <v>4055</v>
      </c>
      <c r="CV48">
        <v>150</v>
      </c>
      <c r="CW48">
        <v>3</v>
      </c>
      <c r="CX48">
        <v>100</v>
      </c>
      <c r="CY48">
        <v>5</v>
      </c>
      <c r="CZ48">
        <v>184</v>
      </c>
      <c r="DA48">
        <v>5</v>
      </c>
      <c r="DB48">
        <v>18550</v>
      </c>
      <c r="DC48">
        <v>550</v>
      </c>
      <c r="DD48">
        <v>425</v>
      </c>
      <c r="DE48">
        <v>2474</v>
      </c>
      <c r="DF48">
        <v>2474</v>
      </c>
      <c r="DG48">
        <v>2487</v>
      </c>
      <c r="DH48">
        <v>0</v>
      </c>
      <c r="DI48" t="s">
        <v>4055</v>
      </c>
      <c r="DJ48" t="s">
        <v>4217</v>
      </c>
      <c r="DK48">
        <v>235</v>
      </c>
      <c r="DL48" t="s">
        <v>4065</v>
      </c>
      <c r="DM48">
        <v>63</v>
      </c>
      <c r="DN48">
        <v>1.26</v>
      </c>
      <c r="DO48">
        <v>1</v>
      </c>
      <c r="DP48">
        <v>2344</v>
      </c>
      <c r="DQ48">
        <v>1329</v>
      </c>
      <c r="DR48" t="s">
        <v>4217</v>
      </c>
      <c r="DS48">
        <v>225</v>
      </c>
      <c r="DT48" t="s">
        <v>4065</v>
      </c>
      <c r="DU48">
        <v>63</v>
      </c>
      <c r="DV48">
        <v>1.26</v>
      </c>
      <c r="DW48">
        <v>1</v>
      </c>
      <c r="DX48">
        <v>2357</v>
      </c>
      <c r="DY48">
        <v>1280</v>
      </c>
      <c r="DZ48" t="s">
        <v>4066</v>
      </c>
      <c r="EA48">
        <v>20</v>
      </c>
      <c r="EB48" t="s">
        <v>4065</v>
      </c>
      <c r="EC48">
        <v>0.8</v>
      </c>
      <c r="ED48">
        <v>2344</v>
      </c>
      <c r="EE48">
        <v>82</v>
      </c>
      <c r="EG48">
        <v>0</v>
      </c>
      <c r="EH48" t="s">
        <v>4065</v>
      </c>
      <c r="EI48">
        <v>0</v>
      </c>
      <c r="EL48" t="s">
        <v>1528</v>
      </c>
      <c r="EM48">
        <v>12</v>
      </c>
      <c r="EN48">
        <v>0.5</v>
      </c>
      <c r="EO48">
        <v>0.96</v>
      </c>
      <c r="EP48">
        <v>2355.84</v>
      </c>
      <c r="EQ48">
        <v>46380.6</v>
      </c>
      <c r="ER48">
        <v>11071.27</v>
      </c>
      <c r="ES48">
        <v>0</v>
      </c>
      <c r="ET48">
        <v>0</v>
      </c>
      <c r="EU48">
        <v>1</v>
      </c>
      <c r="EV48">
        <v>57452</v>
      </c>
      <c r="EW48">
        <v>690</v>
      </c>
      <c r="EX48" t="s">
        <v>4287</v>
      </c>
      <c r="EY48">
        <v>264</v>
      </c>
      <c r="EZ48" t="s">
        <v>4055</v>
      </c>
      <c r="FA48">
        <v>5.8</v>
      </c>
      <c r="FB48">
        <v>1</v>
      </c>
      <c r="FC48">
        <v>1</v>
      </c>
      <c r="FD48">
        <v>2396</v>
      </c>
      <c r="FE48">
        <v>3536</v>
      </c>
      <c r="FF48" t="s">
        <v>4288</v>
      </c>
      <c r="FG48">
        <v>264</v>
      </c>
      <c r="FH48" t="s">
        <v>4055</v>
      </c>
      <c r="FI48">
        <v>4.6</v>
      </c>
      <c r="FJ48">
        <v>2396</v>
      </c>
      <c r="FK48">
        <v>3183</v>
      </c>
      <c r="FL48" t="s">
        <v>4069</v>
      </c>
      <c r="FM48" t="s">
        <v>4055</v>
      </c>
      <c r="FN48" t="s">
        <v>4055</v>
      </c>
      <c r="FO48" t="s">
        <v>4055</v>
      </c>
      <c r="FP48">
        <v>2396</v>
      </c>
      <c r="FQ48">
        <v>186</v>
      </c>
      <c r="FR48" t="s">
        <v>4090</v>
      </c>
      <c r="FS48">
        <v>268</v>
      </c>
      <c r="FT48" t="s">
        <v>4055</v>
      </c>
      <c r="FU48">
        <v>0.4</v>
      </c>
      <c r="FV48">
        <v>2396</v>
      </c>
      <c r="FW48">
        <v>286</v>
      </c>
      <c r="FX48" t="s">
        <v>4070</v>
      </c>
      <c r="FY48">
        <v>5</v>
      </c>
      <c r="FZ48" t="s">
        <v>4055</v>
      </c>
      <c r="GA48" t="s">
        <v>4055</v>
      </c>
      <c r="GB48">
        <v>2396</v>
      </c>
      <c r="GC48">
        <v>29</v>
      </c>
      <c r="GD48">
        <v>7220</v>
      </c>
      <c r="GE48" t="s">
        <v>4292</v>
      </c>
      <c r="GF48" t="s">
        <v>4055</v>
      </c>
      <c r="GG48" t="s">
        <v>4055</v>
      </c>
      <c r="GH48" t="s">
        <v>4055</v>
      </c>
      <c r="GI48" t="s">
        <v>4071</v>
      </c>
      <c r="GJ48" t="s">
        <v>4055</v>
      </c>
      <c r="GK48" t="s">
        <v>4055</v>
      </c>
      <c r="GL48" t="s">
        <v>4055</v>
      </c>
      <c r="GM48" t="s">
        <v>4055</v>
      </c>
      <c r="GQ48">
        <v>0</v>
      </c>
      <c r="GV48">
        <v>10.8</v>
      </c>
      <c r="GW48">
        <v>11.8</v>
      </c>
      <c r="GX48">
        <v>0.5</v>
      </c>
      <c r="GY48">
        <v>222</v>
      </c>
      <c r="GZ48">
        <v>3</v>
      </c>
      <c r="HA48">
        <v>280</v>
      </c>
      <c r="HB48">
        <v>3</v>
      </c>
      <c r="HC48">
        <v>2396</v>
      </c>
      <c r="HD48">
        <v>4</v>
      </c>
      <c r="HE48" t="s">
        <v>4071</v>
      </c>
      <c r="HG48" t="s">
        <v>549</v>
      </c>
      <c r="HL48">
        <v>4</v>
      </c>
      <c r="HM48">
        <v>18</v>
      </c>
      <c r="HN48">
        <v>6</v>
      </c>
      <c r="HO48">
        <v>1</v>
      </c>
      <c r="HP48">
        <v>0</v>
      </c>
      <c r="HQ48">
        <v>0</v>
      </c>
      <c r="HR48">
        <v>3</v>
      </c>
      <c r="HS48">
        <v>2340</v>
      </c>
      <c r="HT48">
        <v>5</v>
      </c>
      <c r="HU48">
        <v>1</v>
      </c>
      <c r="HV48">
        <v>5</v>
      </c>
      <c r="HW48">
        <v>0</v>
      </c>
      <c r="HX48">
        <v>1</v>
      </c>
      <c r="HY48">
        <v>0</v>
      </c>
      <c r="HZ48">
        <v>63</v>
      </c>
      <c r="IA48">
        <v>2344</v>
      </c>
      <c r="IB48">
        <v>2357</v>
      </c>
      <c r="ID48">
        <v>2396</v>
      </c>
      <c r="IE48">
        <v>2396</v>
      </c>
      <c r="IF48">
        <v>235</v>
      </c>
      <c r="IG48">
        <v>225</v>
      </c>
      <c r="IH48">
        <v>280</v>
      </c>
      <c r="II48">
        <v>1</v>
      </c>
      <c r="IJ48">
        <v>5</v>
      </c>
      <c r="IK48">
        <v>0</v>
      </c>
      <c r="IL48">
        <v>0</v>
      </c>
      <c r="IM48">
        <v>0</v>
      </c>
      <c r="IN48">
        <v>270</v>
      </c>
      <c r="IO48">
        <v>0</v>
      </c>
      <c r="IP48">
        <v>180</v>
      </c>
      <c r="IQ48">
        <v>0</v>
      </c>
      <c r="IR48">
        <v>330</v>
      </c>
      <c r="IS48">
        <v>0</v>
      </c>
      <c r="IT48">
        <v>90</v>
      </c>
      <c r="IU48">
        <v>0</v>
      </c>
      <c r="IV48">
        <v>6.4</v>
      </c>
      <c r="IW48">
        <v>-6</v>
      </c>
      <c r="IX48">
        <v>120</v>
      </c>
      <c r="IY48">
        <v>90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520</v>
      </c>
      <c r="JJ48">
        <v>490</v>
      </c>
      <c r="JK48">
        <v>366</v>
      </c>
      <c r="JL48">
        <v>490</v>
      </c>
      <c r="JM48">
        <v>350</v>
      </c>
      <c r="JN48">
        <v>235</v>
      </c>
      <c r="JO48">
        <v>295</v>
      </c>
      <c r="JP48">
        <v>180</v>
      </c>
      <c r="JQ48">
        <v>245</v>
      </c>
      <c r="JR48">
        <v>345</v>
      </c>
      <c r="JS48">
        <v>200</v>
      </c>
      <c r="JT48">
        <v>0</v>
      </c>
      <c r="JU48">
        <v>0</v>
      </c>
      <c r="JV48">
        <v>305</v>
      </c>
      <c r="JW48">
        <v>307</v>
      </c>
      <c r="JX48">
        <v>330</v>
      </c>
      <c r="JY48">
        <v>290</v>
      </c>
      <c r="JZ48">
        <v>1</v>
      </c>
      <c r="KA48">
        <v>0.2</v>
      </c>
      <c r="KB48">
        <v>0.4</v>
      </c>
      <c r="KC48">
        <v>0.42</v>
      </c>
      <c r="KD48">
        <v>0.28</v>
      </c>
      <c r="KE48">
        <v>0.5</v>
      </c>
      <c r="KF48">
        <v>0.18</v>
      </c>
      <c r="KG48">
        <v>0.11</v>
      </c>
      <c r="KH48">
        <v>3.5</v>
      </c>
      <c r="KI48">
        <v>1</v>
      </c>
      <c r="KJ48">
        <v>4.5</v>
      </c>
      <c r="KK48">
        <v>0</v>
      </c>
      <c r="KL48">
        <v>4.5</v>
      </c>
      <c r="KM48">
        <v>0</v>
      </c>
      <c r="KN48">
        <v>2.3</v>
      </c>
      <c r="KO48">
        <v>0</v>
      </c>
      <c r="KP48">
        <v>0</v>
      </c>
      <c r="KQ48">
        <v>0.8</v>
      </c>
      <c r="KR48">
        <v>1.2</v>
      </c>
      <c r="KS48">
        <v>0</v>
      </c>
      <c r="KT48">
        <v>3.7</v>
      </c>
      <c r="KU48">
        <v>0</v>
      </c>
      <c r="KV48">
        <v>0</v>
      </c>
      <c r="KW48">
        <v>1</v>
      </c>
      <c r="KX48">
        <v>2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3</v>
      </c>
      <c r="LI48">
        <v>1</v>
      </c>
      <c r="LJ48">
        <v>0</v>
      </c>
      <c r="LK48">
        <v>18</v>
      </c>
      <c r="LL48">
        <v>13</v>
      </c>
      <c r="LM48">
        <v>19</v>
      </c>
      <c r="LN48">
        <v>0.1</v>
      </c>
      <c r="LO48">
        <v>5</v>
      </c>
      <c r="LP48">
        <v>0</v>
      </c>
      <c r="LQ48">
        <v>0</v>
      </c>
      <c r="LR48">
        <v>0</v>
      </c>
      <c r="LS48">
        <v>1</v>
      </c>
      <c r="LT48">
        <v>520</v>
      </c>
      <c r="LU48">
        <v>0</v>
      </c>
      <c r="LV48">
        <v>0</v>
      </c>
      <c r="LW48">
        <v>2.8</v>
      </c>
      <c r="LX48">
        <v>2.8</v>
      </c>
      <c r="LY48">
        <v>2.8</v>
      </c>
      <c r="LZ48">
        <v>2.8</v>
      </c>
      <c r="MA48">
        <v>0</v>
      </c>
      <c r="MB48">
        <v>8.5</v>
      </c>
      <c r="MC48">
        <v>0</v>
      </c>
      <c r="MD48">
        <v>4.5</v>
      </c>
      <c r="ME48">
        <v>6</v>
      </c>
      <c r="MF48">
        <v>6</v>
      </c>
      <c r="MI48">
        <v>0</v>
      </c>
      <c r="MJ48">
        <v>0</v>
      </c>
      <c r="ML48">
        <v>0</v>
      </c>
      <c r="MM48">
        <v>520</v>
      </c>
      <c r="MN48">
        <v>225</v>
      </c>
      <c r="MO48">
        <v>294</v>
      </c>
      <c r="NU48">
        <v>0.15</v>
      </c>
      <c r="NV48">
        <v>0.2</v>
      </c>
      <c r="NW48">
        <v>0.2</v>
      </c>
      <c r="NX48">
        <v>0.2</v>
      </c>
      <c r="NY48">
        <v>0.2</v>
      </c>
      <c r="NZ48">
        <v>0.2</v>
      </c>
      <c r="OE48" t="s">
        <v>4292</v>
      </c>
      <c r="OF48" t="s">
        <v>4290</v>
      </c>
      <c r="OG48" t="s">
        <v>4291</v>
      </c>
      <c r="OH48" t="s">
        <v>4043</v>
      </c>
      <c r="OI48" t="s">
        <v>4292</v>
      </c>
      <c r="OJ48" t="s">
        <v>4289</v>
      </c>
      <c r="OK48">
        <v>61</v>
      </c>
      <c r="OL48">
        <v>61</v>
      </c>
      <c r="OM48" t="s">
        <v>4290</v>
      </c>
      <c r="ON48">
        <v>1</v>
      </c>
      <c r="OO48">
        <v>2344</v>
      </c>
      <c r="OP48">
        <v>61</v>
      </c>
      <c r="OQ48">
        <v>61</v>
      </c>
      <c r="OR48" t="s">
        <v>4291</v>
      </c>
      <c r="OS48">
        <v>1</v>
      </c>
      <c r="OT48">
        <v>2357</v>
      </c>
      <c r="OU48">
        <v>65</v>
      </c>
      <c r="OV48">
        <v>65</v>
      </c>
      <c r="OW48" t="s">
        <v>4043</v>
      </c>
      <c r="OX48">
        <v>2</v>
      </c>
      <c r="OY48">
        <v>57452</v>
      </c>
      <c r="OZ48">
        <v>51</v>
      </c>
      <c r="PA48">
        <v>52</v>
      </c>
      <c r="PB48" t="s">
        <v>4292</v>
      </c>
      <c r="PC48">
        <v>1</v>
      </c>
      <c r="PD48">
        <v>2396</v>
      </c>
      <c r="PF48">
        <v>567</v>
      </c>
      <c r="PG48">
        <v>35</v>
      </c>
      <c r="PH48">
        <v>543</v>
      </c>
      <c r="PI48">
        <v>0</v>
      </c>
      <c r="PJ48">
        <v>77.8</v>
      </c>
      <c r="PK48">
        <v>2222</v>
      </c>
      <c r="PL48">
        <v>1475.6</v>
      </c>
      <c r="PM48">
        <v>1328.3</v>
      </c>
      <c r="PN48">
        <v>119.3</v>
      </c>
      <c r="PO48">
        <v>12.3</v>
      </c>
      <c r="PP48">
        <v>12</v>
      </c>
      <c r="PQ48">
        <v>4</v>
      </c>
      <c r="PR48">
        <v>6</v>
      </c>
      <c r="PS48">
        <v>0</v>
      </c>
      <c r="PT48">
        <v>280</v>
      </c>
      <c r="PU48">
        <v>8</v>
      </c>
      <c r="PV48" t="s">
        <v>4072</v>
      </c>
      <c r="PW48" t="s">
        <v>4072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-1</v>
      </c>
      <c r="QF48">
        <v>1</v>
      </c>
      <c r="QG48">
        <v>0</v>
      </c>
      <c r="QH48">
        <v>5</v>
      </c>
      <c r="QI48">
        <v>5</v>
      </c>
      <c r="QJ48">
        <v>5</v>
      </c>
      <c r="QK48">
        <v>275</v>
      </c>
      <c r="QL48">
        <v>550</v>
      </c>
      <c r="QM48">
        <v>9.4</v>
      </c>
      <c r="QN48">
        <v>1465.9</v>
      </c>
      <c r="QO48" t="s">
        <v>1252</v>
      </c>
      <c r="QP48" t="s">
        <v>513</v>
      </c>
      <c r="QQ48">
        <v>0</v>
      </c>
      <c r="QR48" t="s">
        <v>596</v>
      </c>
      <c r="QS48">
        <v>40</v>
      </c>
      <c r="QT48">
        <v>50</v>
      </c>
    </row>
    <row r="49" spans="1:462">
      <c r="A49" t="s">
        <v>1269</v>
      </c>
      <c r="B49" t="s">
        <v>629</v>
      </c>
      <c r="C49" t="s">
        <v>509</v>
      </c>
      <c r="D49" t="s">
        <v>1268</v>
      </c>
      <c r="E49" t="s">
        <v>4036</v>
      </c>
      <c r="H49" t="s">
        <v>511</v>
      </c>
      <c r="J49" t="s">
        <v>562</v>
      </c>
      <c r="L49" t="s">
        <v>711</v>
      </c>
      <c r="M49" t="s">
        <v>512</v>
      </c>
      <c r="O49" t="s">
        <v>513</v>
      </c>
      <c r="P49" t="s">
        <v>517</v>
      </c>
      <c r="Q49" t="s">
        <v>1090</v>
      </c>
      <c r="R49" t="s">
        <v>1091</v>
      </c>
      <c r="S49" t="s">
        <v>4037</v>
      </c>
      <c r="T49" t="s">
        <v>686</v>
      </c>
      <c r="U49" t="s">
        <v>687</v>
      </c>
      <c r="V49" t="s">
        <v>1270</v>
      </c>
      <c r="W49" t="s">
        <v>1242</v>
      </c>
      <c r="X49" t="s">
        <v>1271</v>
      </c>
      <c r="Y49" t="s">
        <v>1272</v>
      </c>
      <c r="Z49" t="s">
        <v>541</v>
      </c>
      <c r="AA49" t="s">
        <v>4038</v>
      </c>
      <c r="AB49" t="s">
        <v>4293</v>
      </c>
      <c r="AC49">
        <v>9</v>
      </c>
      <c r="AD49" t="s">
        <v>1267</v>
      </c>
      <c r="AE49">
        <v>4</v>
      </c>
      <c r="AF49">
        <v>7091</v>
      </c>
      <c r="AG49" t="s">
        <v>4294</v>
      </c>
      <c r="AH49">
        <v>1</v>
      </c>
      <c r="AI49" t="s">
        <v>4041</v>
      </c>
      <c r="AK49" t="s">
        <v>4295</v>
      </c>
      <c r="AL49">
        <v>1</v>
      </c>
      <c r="AM49" t="s">
        <v>582</v>
      </c>
      <c r="AO49" t="s">
        <v>4043</v>
      </c>
      <c r="AP49">
        <v>1</v>
      </c>
      <c r="AR49" t="s">
        <v>4296</v>
      </c>
      <c r="AS49">
        <v>1</v>
      </c>
      <c r="AT49">
        <v>52</v>
      </c>
      <c r="AV49" t="s">
        <v>4078</v>
      </c>
      <c r="AW49">
        <v>6.4</v>
      </c>
      <c r="AX49">
        <v>-6</v>
      </c>
      <c r="AY49">
        <v>117.5</v>
      </c>
      <c r="AZ49">
        <v>87.5</v>
      </c>
      <c r="BH49">
        <v>117.5</v>
      </c>
      <c r="BI49">
        <v>30</v>
      </c>
      <c r="BJ49">
        <v>87.5</v>
      </c>
      <c r="BK49">
        <v>2.5</v>
      </c>
      <c r="BL49">
        <v>235</v>
      </c>
      <c r="BM49">
        <v>-6</v>
      </c>
      <c r="BN49">
        <v>0</v>
      </c>
      <c r="BO49">
        <v>0</v>
      </c>
      <c r="BP49">
        <v>0</v>
      </c>
      <c r="BR49">
        <v>230</v>
      </c>
      <c r="BS49">
        <v>220</v>
      </c>
      <c r="BT49">
        <v>2270</v>
      </c>
      <c r="BU49" t="s">
        <v>4079</v>
      </c>
      <c r="BV49" t="s">
        <v>4079</v>
      </c>
      <c r="BW49" t="s">
        <v>4082</v>
      </c>
      <c r="BX49" t="s">
        <v>4081</v>
      </c>
      <c r="BY49" t="s">
        <v>4297</v>
      </c>
      <c r="BZ49" t="s">
        <v>4221</v>
      </c>
      <c r="CA49" t="s">
        <v>4130</v>
      </c>
      <c r="CB49" t="s">
        <v>4131</v>
      </c>
      <c r="CC49" t="s">
        <v>4053</v>
      </c>
      <c r="CD49" t="s">
        <v>4055</v>
      </c>
      <c r="CE49" t="s">
        <v>4055</v>
      </c>
      <c r="CF49" t="s">
        <v>4055</v>
      </c>
      <c r="CG49" t="s">
        <v>4056</v>
      </c>
      <c r="CI49" t="s">
        <v>4086</v>
      </c>
      <c r="CJ49" t="s">
        <v>4059</v>
      </c>
      <c r="CK49" t="s">
        <v>4060</v>
      </c>
      <c r="CL49" t="s">
        <v>4061</v>
      </c>
      <c r="CM49" t="s">
        <v>4055</v>
      </c>
      <c r="CN49" t="s">
        <v>4062</v>
      </c>
      <c r="CO49" t="s">
        <v>4063</v>
      </c>
      <c r="CP49" t="s">
        <v>4055</v>
      </c>
      <c r="CQ49" t="s">
        <v>4055</v>
      </c>
      <c r="CR49">
        <v>5</v>
      </c>
      <c r="CS49" t="s">
        <v>4055</v>
      </c>
      <c r="CT49" t="s">
        <v>4055</v>
      </c>
      <c r="CU49" t="s">
        <v>4055</v>
      </c>
      <c r="CV49">
        <v>141</v>
      </c>
      <c r="CW49">
        <v>3</v>
      </c>
      <c r="CX49">
        <v>97</v>
      </c>
      <c r="CY49">
        <v>5</v>
      </c>
      <c r="CZ49">
        <v>189</v>
      </c>
      <c r="DA49">
        <v>5</v>
      </c>
      <c r="DB49">
        <v>17040</v>
      </c>
      <c r="DC49">
        <v>510</v>
      </c>
      <c r="DD49">
        <v>402</v>
      </c>
      <c r="DE49">
        <v>2399</v>
      </c>
      <c r="DF49">
        <v>2399</v>
      </c>
      <c r="DG49">
        <v>2412</v>
      </c>
      <c r="DH49">
        <v>1</v>
      </c>
      <c r="DI49" t="s">
        <v>4055</v>
      </c>
      <c r="DJ49" t="s">
        <v>4217</v>
      </c>
      <c r="DK49">
        <v>230</v>
      </c>
      <c r="DL49" t="s">
        <v>4065</v>
      </c>
      <c r="DM49">
        <v>63</v>
      </c>
      <c r="DN49">
        <v>1.26</v>
      </c>
      <c r="DO49">
        <v>1</v>
      </c>
      <c r="DP49">
        <v>2274</v>
      </c>
      <c r="DQ49">
        <v>1262</v>
      </c>
      <c r="DR49" t="s">
        <v>4217</v>
      </c>
      <c r="DS49">
        <v>220</v>
      </c>
      <c r="DT49" t="s">
        <v>4065</v>
      </c>
      <c r="DU49">
        <v>63</v>
      </c>
      <c r="DV49">
        <v>1.26</v>
      </c>
      <c r="DW49">
        <v>1</v>
      </c>
      <c r="DX49">
        <v>2287</v>
      </c>
      <c r="DY49">
        <v>1214</v>
      </c>
      <c r="DZ49" t="s">
        <v>4066</v>
      </c>
      <c r="EA49">
        <v>20</v>
      </c>
      <c r="EB49" t="s">
        <v>4065</v>
      </c>
      <c r="EC49">
        <v>0.8</v>
      </c>
      <c r="ED49">
        <v>2274</v>
      </c>
      <c r="EE49">
        <v>80</v>
      </c>
      <c r="EG49">
        <v>0</v>
      </c>
      <c r="EH49" t="s">
        <v>4065</v>
      </c>
      <c r="EI49">
        <v>0</v>
      </c>
      <c r="EL49" t="s">
        <v>1528</v>
      </c>
      <c r="EM49">
        <v>12</v>
      </c>
      <c r="EN49">
        <v>0.5</v>
      </c>
      <c r="EO49">
        <v>0.96</v>
      </c>
      <c r="EP49">
        <v>2285.84</v>
      </c>
      <c r="EQ49">
        <v>44109.57</v>
      </c>
      <c r="ER49">
        <v>10743.15</v>
      </c>
      <c r="ES49">
        <v>0</v>
      </c>
      <c r="ET49">
        <v>0</v>
      </c>
      <c r="EU49">
        <v>1</v>
      </c>
      <c r="EV49">
        <v>54853</v>
      </c>
      <c r="EW49">
        <v>659</v>
      </c>
      <c r="EX49" t="s">
        <v>4287</v>
      </c>
      <c r="EY49">
        <v>250</v>
      </c>
      <c r="EZ49" t="s">
        <v>4055</v>
      </c>
      <c r="FA49">
        <v>5.8</v>
      </c>
      <c r="FB49">
        <v>1</v>
      </c>
      <c r="FC49">
        <v>1</v>
      </c>
      <c r="FD49">
        <v>2326</v>
      </c>
      <c r="FE49">
        <v>3257</v>
      </c>
      <c r="FF49" t="s">
        <v>4288</v>
      </c>
      <c r="FG49">
        <v>250</v>
      </c>
      <c r="FH49" t="s">
        <v>4055</v>
      </c>
      <c r="FI49">
        <v>4.6</v>
      </c>
      <c r="FJ49">
        <v>2326</v>
      </c>
      <c r="FK49">
        <v>2950</v>
      </c>
      <c r="FL49" t="s">
        <v>4069</v>
      </c>
      <c r="FM49" t="s">
        <v>4055</v>
      </c>
      <c r="FN49" t="s">
        <v>4055</v>
      </c>
      <c r="FO49" t="s">
        <v>4055</v>
      </c>
      <c r="FP49">
        <v>2326</v>
      </c>
      <c r="FQ49">
        <v>234</v>
      </c>
      <c r="FR49" t="s">
        <v>4090</v>
      </c>
      <c r="FS49">
        <v>254</v>
      </c>
      <c r="FT49" t="s">
        <v>4055</v>
      </c>
      <c r="FU49">
        <v>0.4</v>
      </c>
      <c r="FV49">
        <v>2326</v>
      </c>
      <c r="FW49">
        <v>263</v>
      </c>
      <c r="FX49" t="s">
        <v>4070</v>
      </c>
      <c r="FY49">
        <v>5</v>
      </c>
      <c r="FZ49" t="s">
        <v>4055</v>
      </c>
      <c r="GA49" t="s">
        <v>4055</v>
      </c>
      <c r="GB49">
        <v>2326</v>
      </c>
      <c r="GC49">
        <v>29</v>
      </c>
      <c r="GD49">
        <v>6733</v>
      </c>
      <c r="GE49" t="s">
        <v>4296</v>
      </c>
      <c r="GF49" t="s">
        <v>4055</v>
      </c>
      <c r="GG49" t="s">
        <v>4055</v>
      </c>
      <c r="GH49" t="s">
        <v>4055</v>
      </c>
      <c r="GI49" t="s">
        <v>4071</v>
      </c>
      <c r="GJ49" t="s">
        <v>4055</v>
      </c>
      <c r="GK49" t="s">
        <v>4055</v>
      </c>
      <c r="GL49" t="s">
        <v>4055</v>
      </c>
      <c r="GM49" t="s">
        <v>4055</v>
      </c>
      <c r="GQ49">
        <v>0</v>
      </c>
      <c r="GV49">
        <v>10.8</v>
      </c>
      <c r="GW49">
        <v>11.8</v>
      </c>
      <c r="GX49">
        <v>0.5</v>
      </c>
      <c r="GY49">
        <v>214</v>
      </c>
      <c r="GZ49">
        <v>3</v>
      </c>
      <c r="HA49">
        <v>270</v>
      </c>
      <c r="HB49">
        <v>3</v>
      </c>
      <c r="HC49">
        <v>2326</v>
      </c>
      <c r="HD49">
        <v>4</v>
      </c>
      <c r="HE49" t="s">
        <v>4071</v>
      </c>
      <c r="HG49" t="s">
        <v>549</v>
      </c>
      <c r="HL49">
        <v>4</v>
      </c>
      <c r="HM49">
        <v>19</v>
      </c>
      <c r="HN49">
        <v>6</v>
      </c>
      <c r="HO49">
        <v>1</v>
      </c>
      <c r="HP49">
        <v>0</v>
      </c>
      <c r="HQ49">
        <v>0</v>
      </c>
      <c r="HR49">
        <v>3</v>
      </c>
      <c r="HS49">
        <v>2270</v>
      </c>
      <c r="HT49">
        <v>5</v>
      </c>
      <c r="HU49">
        <v>1</v>
      </c>
      <c r="HV49">
        <v>5</v>
      </c>
      <c r="HW49">
        <v>0</v>
      </c>
      <c r="HX49">
        <v>1</v>
      </c>
      <c r="HY49">
        <v>0</v>
      </c>
      <c r="HZ49">
        <v>63</v>
      </c>
      <c r="IA49">
        <v>2274</v>
      </c>
      <c r="IB49">
        <v>2287</v>
      </c>
      <c r="ID49">
        <v>2326</v>
      </c>
      <c r="IE49">
        <v>2326</v>
      </c>
      <c r="IF49">
        <v>230</v>
      </c>
      <c r="IG49">
        <v>220</v>
      </c>
      <c r="IH49">
        <v>270</v>
      </c>
      <c r="II49">
        <v>1</v>
      </c>
      <c r="IJ49">
        <v>5</v>
      </c>
      <c r="IK49">
        <v>0</v>
      </c>
      <c r="IL49">
        <v>0</v>
      </c>
      <c r="IM49">
        <v>0</v>
      </c>
      <c r="IN49">
        <v>270</v>
      </c>
      <c r="IO49">
        <v>0</v>
      </c>
      <c r="IP49">
        <v>180</v>
      </c>
      <c r="IQ49">
        <v>0</v>
      </c>
      <c r="IR49">
        <v>330</v>
      </c>
      <c r="IS49">
        <v>0</v>
      </c>
      <c r="IT49">
        <v>90</v>
      </c>
      <c r="IU49">
        <v>0</v>
      </c>
      <c r="IV49">
        <v>6.4</v>
      </c>
      <c r="IW49">
        <v>-6</v>
      </c>
      <c r="IX49">
        <v>117.5</v>
      </c>
      <c r="IY49">
        <v>87.5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470</v>
      </c>
      <c r="JJ49">
        <v>440</v>
      </c>
      <c r="JK49">
        <v>316</v>
      </c>
      <c r="JL49">
        <v>440</v>
      </c>
      <c r="JM49">
        <v>330</v>
      </c>
      <c r="JN49">
        <v>225</v>
      </c>
      <c r="JO49">
        <v>280</v>
      </c>
      <c r="JP49">
        <v>175</v>
      </c>
      <c r="JQ49">
        <v>226</v>
      </c>
      <c r="JR49">
        <v>342</v>
      </c>
      <c r="JS49">
        <v>242</v>
      </c>
      <c r="JT49">
        <v>0</v>
      </c>
      <c r="JU49">
        <v>0</v>
      </c>
      <c r="JV49">
        <v>300</v>
      </c>
      <c r="JW49">
        <v>290</v>
      </c>
      <c r="JX49">
        <v>298</v>
      </c>
      <c r="JY49">
        <v>290</v>
      </c>
      <c r="JZ49">
        <v>0.5</v>
      </c>
      <c r="KA49">
        <v>0.2</v>
      </c>
      <c r="KB49">
        <v>0.4</v>
      </c>
      <c r="KC49">
        <v>0.42</v>
      </c>
      <c r="KD49">
        <v>0.28</v>
      </c>
      <c r="KE49">
        <v>0.5</v>
      </c>
      <c r="KF49">
        <v>0.18</v>
      </c>
      <c r="KG49">
        <v>0.13</v>
      </c>
      <c r="KH49">
        <v>4.5</v>
      </c>
      <c r="KI49">
        <v>1</v>
      </c>
      <c r="KJ49">
        <v>4.5</v>
      </c>
      <c r="KK49">
        <v>0</v>
      </c>
      <c r="KL49">
        <v>4.5</v>
      </c>
      <c r="KM49">
        <v>0</v>
      </c>
      <c r="KN49">
        <v>2.5</v>
      </c>
      <c r="KO49">
        <v>0</v>
      </c>
      <c r="KP49">
        <v>0</v>
      </c>
      <c r="KQ49">
        <v>0.8</v>
      </c>
      <c r="KR49">
        <v>0.8</v>
      </c>
      <c r="KS49">
        <v>0</v>
      </c>
      <c r="KT49">
        <v>2.5</v>
      </c>
      <c r="KU49">
        <v>0</v>
      </c>
      <c r="KV49">
        <v>0</v>
      </c>
      <c r="KW49">
        <v>1.2</v>
      </c>
      <c r="KX49">
        <v>1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3</v>
      </c>
      <c r="LI49">
        <v>0.5</v>
      </c>
      <c r="LJ49">
        <v>0</v>
      </c>
      <c r="LK49">
        <v>12</v>
      </c>
      <c r="LL49">
        <v>9</v>
      </c>
      <c r="LM49">
        <v>14</v>
      </c>
      <c r="LN49">
        <v>0.1</v>
      </c>
      <c r="LO49">
        <v>3</v>
      </c>
      <c r="LP49">
        <v>0</v>
      </c>
      <c r="LQ49">
        <v>0</v>
      </c>
      <c r="LR49">
        <v>0</v>
      </c>
      <c r="LS49">
        <v>1</v>
      </c>
      <c r="LT49">
        <v>0</v>
      </c>
      <c r="LU49">
        <v>0</v>
      </c>
      <c r="LV49">
        <v>0</v>
      </c>
      <c r="LW49">
        <v>1.8</v>
      </c>
      <c r="LX49">
        <v>1.8</v>
      </c>
      <c r="LY49">
        <v>2.1</v>
      </c>
      <c r="LZ49">
        <v>2.1</v>
      </c>
      <c r="MA49">
        <v>0</v>
      </c>
      <c r="MB49">
        <v>3</v>
      </c>
      <c r="MC49">
        <v>0</v>
      </c>
      <c r="MD49">
        <v>3.5</v>
      </c>
      <c r="ME49">
        <v>4.5</v>
      </c>
      <c r="MF49">
        <v>4.5</v>
      </c>
      <c r="MG49">
        <v>20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484</v>
      </c>
      <c r="MN49">
        <v>225</v>
      </c>
      <c r="MO49">
        <v>280</v>
      </c>
      <c r="NU49">
        <v>0.15</v>
      </c>
      <c r="NV49">
        <v>0.2</v>
      </c>
      <c r="NW49">
        <v>0.2</v>
      </c>
      <c r="NX49">
        <v>0.2</v>
      </c>
      <c r="NY49">
        <v>0.2</v>
      </c>
      <c r="NZ49">
        <v>0.2</v>
      </c>
      <c r="OE49" t="s">
        <v>4296</v>
      </c>
      <c r="OF49" t="s">
        <v>4294</v>
      </c>
      <c r="OG49" t="s">
        <v>4295</v>
      </c>
      <c r="OH49" t="s">
        <v>4043</v>
      </c>
      <c r="OI49" t="s">
        <v>4296</v>
      </c>
      <c r="OJ49" t="s">
        <v>4293</v>
      </c>
      <c r="OK49">
        <v>61</v>
      </c>
      <c r="OL49">
        <v>61</v>
      </c>
      <c r="OM49" t="s">
        <v>4294</v>
      </c>
      <c r="ON49">
        <v>1</v>
      </c>
      <c r="OO49">
        <v>2274</v>
      </c>
      <c r="OP49">
        <v>61</v>
      </c>
      <c r="OQ49">
        <v>61</v>
      </c>
      <c r="OR49" t="s">
        <v>4295</v>
      </c>
      <c r="OS49">
        <v>1</v>
      </c>
      <c r="OT49">
        <v>2287</v>
      </c>
      <c r="OU49">
        <v>65</v>
      </c>
      <c r="OV49">
        <v>65</v>
      </c>
      <c r="OW49" t="s">
        <v>4043</v>
      </c>
      <c r="OX49">
        <v>2</v>
      </c>
      <c r="OY49">
        <v>54853</v>
      </c>
      <c r="OZ49">
        <v>51</v>
      </c>
      <c r="PA49">
        <v>52</v>
      </c>
      <c r="PB49" t="s">
        <v>4296</v>
      </c>
      <c r="PC49">
        <v>1</v>
      </c>
      <c r="PD49">
        <v>2326</v>
      </c>
      <c r="PF49">
        <v>555</v>
      </c>
      <c r="PG49">
        <v>35</v>
      </c>
      <c r="PH49">
        <v>531</v>
      </c>
      <c r="PI49">
        <v>0</v>
      </c>
      <c r="PJ49">
        <v>100.8</v>
      </c>
      <c r="PK49">
        <v>2894</v>
      </c>
      <c r="PL49">
        <v>1400.1</v>
      </c>
      <c r="PM49">
        <v>1268.2</v>
      </c>
      <c r="PN49">
        <v>113</v>
      </c>
      <c r="PO49">
        <v>12.3</v>
      </c>
      <c r="PP49">
        <v>12</v>
      </c>
      <c r="PQ49">
        <v>4</v>
      </c>
      <c r="PR49">
        <v>4</v>
      </c>
      <c r="PS49">
        <v>0</v>
      </c>
      <c r="PT49">
        <v>270</v>
      </c>
      <c r="PU49">
        <v>10</v>
      </c>
      <c r="PV49" t="s">
        <v>4072</v>
      </c>
      <c r="PW49" t="s">
        <v>4072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-1</v>
      </c>
      <c r="QF49">
        <v>1</v>
      </c>
      <c r="QG49">
        <v>0</v>
      </c>
      <c r="QH49">
        <v>5</v>
      </c>
      <c r="QI49">
        <v>5</v>
      </c>
      <c r="QJ49">
        <v>5</v>
      </c>
      <c r="QK49">
        <v>251</v>
      </c>
      <c r="QL49">
        <v>500</v>
      </c>
      <c r="QM49">
        <v>9.4</v>
      </c>
      <c r="QN49">
        <v>1547.3</v>
      </c>
      <c r="QO49" t="s">
        <v>1252</v>
      </c>
      <c r="QP49" t="s">
        <v>513</v>
      </c>
      <c r="QQ49">
        <v>0</v>
      </c>
      <c r="QR49" t="s">
        <v>596</v>
      </c>
      <c r="QS49">
        <v>40</v>
      </c>
      <c r="QT49">
        <v>50</v>
      </c>
    </row>
    <row r="50" spans="1:462">
      <c r="A50" t="s">
        <v>1282</v>
      </c>
      <c r="B50" t="s">
        <v>559</v>
      </c>
      <c r="C50" t="s">
        <v>509</v>
      </c>
      <c r="D50" t="s">
        <v>1150</v>
      </c>
      <c r="E50" t="s">
        <v>4036</v>
      </c>
      <c r="H50" t="s">
        <v>604</v>
      </c>
      <c r="I50" t="s">
        <v>605</v>
      </c>
      <c r="J50" t="s">
        <v>628</v>
      </c>
      <c r="K50" t="s">
        <v>606</v>
      </c>
      <c r="L50" t="s">
        <v>564</v>
      </c>
      <c r="M50" t="s">
        <v>512</v>
      </c>
      <c r="O50" t="s">
        <v>513</v>
      </c>
      <c r="P50" t="s">
        <v>517</v>
      </c>
      <c r="Q50" t="s">
        <v>713</v>
      </c>
      <c r="R50" t="s">
        <v>714</v>
      </c>
      <c r="S50" t="s">
        <v>4134</v>
      </c>
      <c r="T50" t="s">
        <v>570</v>
      </c>
      <c r="U50" t="s">
        <v>571</v>
      </c>
      <c r="V50" t="s">
        <v>1283</v>
      </c>
      <c r="W50" t="s">
        <v>1242</v>
      </c>
      <c r="X50" t="s">
        <v>1284</v>
      </c>
      <c r="Y50" t="s">
        <v>1285</v>
      </c>
      <c r="Z50" t="s">
        <v>650</v>
      </c>
      <c r="AA50" t="s">
        <v>4038</v>
      </c>
      <c r="AB50" t="s">
        <v>4298</v>
      </c>
      <c r="AC50">
        <v>9</v>
      </c>
      <c r="AD50" t="s">
        <v>1280</v>
      </c>
      <c r="AE50">
        <v>6</v>
      </c>
      <c r="AF50">
        <v>5276</v>
      </c>
      <c r="AG50" t="s">
        <v>4299</v>
      </c>
      <c r="AH50">
        <v>1</v>
      </c>
      <c r="AI50" t="s">
        <v>4041</v>
      </c>
      <c r="AK50" t="s">
        <v>4300</v>
      </c>
      <c r="AL50">
        <v>1</v>
      </c>
      <c r="AM50" t="s">
        <v>582</v>
      </c>
      <c r="AO50" t="s">
        <v>4043</v>
      </c>
      <c r="AP50">
        <v>1</v>
      </c>
      <c r="AR50" t="s">
        <v>4301</v>
      </c>
      <c r="AS50">
        <v>1</v>
      </c>
      <c r="AT50">
        <v>52</v>
      </c>
      <c r="AV50" t="s">
        <v>4078</v>
      </c>
      <c r="AW50">
        <v>6.4</v>
      </c>
      <c r="AX50">
        <v>-6</v>
      </c>
      <c r="AY50">
        <v>105</v>
      </c>
      <c r="AZ50">
        <v>75</v>
      </c>
      <c r="BH50">
        <v>105</v>
      </c>
      <c r="BI50">
        <v>30</v>
      </c>
      <c r="BJ50">
        <v>75</v>
      </c>
      <c r="BK50">
        <v>2.5</v>
      </c>
      <c r="BL50">
        <v>210</v>
      </c>
      <c r="BM50">
        <v>-6</v>
      </c>
      <c r="BN50">
        <v>0</v>
      </c>
      <c r="BO50">
        <v>0</v>
      </c>
      <c r="BP50">
        <v>0</v>
      </c>
      <c r="BR50">
        <v>205</v>
      </c>
      <c r="BS50">
        <v>195</v>
      </c>
      <c r="BT50">
        <v>2125</v>
      </c>
      <c r="BU50" t="s">
        <v>4127</v>
      </c>
      <c r="BV50" t="s">
        <v>4127</v>
      </c>
      <c r="BW50" t="s">
        <v>4128</v>
      </c>
      <c r="BX50" t="s">
        <v>4128</v>
      </c>
      <c r="BY50" t="s">
        <v>4164</v>
      </c>
      <c r="BZ50" t="s">
        <v>4139</v>
      </c>
      <c r="CA50" t="s">
        <v>4084</v>
      </c>
      <c r="CB50" t="s">
        <v>4085</v>
      </c>
      <c r="CC50" t="s">
        <v>4053</v>
      </c>
      <c r="CD50" t="s">
        <v>4055</v>
      </c>
      <c r="CE50" t="s">
        <v>4055</v>
      </c>
      <c r="CF50" t="s">
        <v>4055</v>
      </c>
      <c r="CG50" t="s">
        <v>4056</v>
      </c>
      <c r="CI50" t="s">
        <v>4086</v>
      </c>
      <c r="CJ50" t="s">
        <v>4059</v>
      </c>
      <c r="CK50" t="s">
        <v>4060</v>
      </c>
      <c r="CL50" t="s">
        <v>4061</v>
      </c>
      <c r="CM50" t="s">
        <v>4062</v>
      </c>
      <c r="CN50" t="s">
        <v>4055</v>
      </c>
      <c r="CO50" t="s">
        <v>4063</v>
      </c>
      <c r="CP50" t="s">
        <v>4055</v>
      </c>
      <c r="CQ50" t="s">
        <v>4055</v>
      </c>
      <c r="CR50">
        <v>5</v>
      </c>
      <c r="CS50" t="s">
        <v>4055</v>
      </c>
      <c r="CT50" t="s">
        <v>4055</v>
      </c>
      <c r="CU50" t="s">
        <v>4055</v>
      </c>
      <c r="CV50">
        <v>133</v>
      </c>
      <c r="CW50">
        <v>3</v>
      </c>
      <c r="CX50">
        <v>114</v>
      </c>
      <c r="CY50">
        <v>5</v>
      </c>
      <c r="CZ50">
        <v>146</v>
      </c>
      <c r="DA50">
        <v>5</v>
      </c>
      <c r="DB50">
        <v>13320</v>
      </c>
      <c r="DC50">
        <v>390</v>
      </c>
      <c r="DD50">
        <v>327</v>
      </c>
      <c r="DE50">
        <v>2251</v>
      </c>
      <c r="DF50">
        <v>2251</v>
      </c>
      <c r="DG50">
        <v>2264</v>
      </c>
      <c r="DH50">
        <v>2</v>
      </c>
      <c r="DI50" t="s">
        <v>4055</v>
      </c>
      <c r="DJ50" t="s">
        <v>4132</v>
      </c>
      <c r="DK50">
        <v>205</v>
      </c>
      <c r="DL50" t="s">
        <v>4065</v>
      </c>
      <c r="DM50">
        <v>63</v>
      </c>
      <c r="DN50">
        <v>1.1</v>
      </c>
      <c r="DO50">
        <v>1</v>
      </c>
      <c r="DP50">
        <v>2128</v>
      </c>
      <c r="DQ50">
        <v>943</v>
      </c>
      <c r="DR50" t="s">
        <v>4132</v>
      </c>
      <c r="DS50">
        <v>195</v>
      </c>
      <c r="DT50" t="s">
        <v>4065</v>
      </c>
      <c r="DU50">
        <v>63</v>
      </c>
      <c r="DV50">
        <v>1.1</v>
      </c>
      <c r="DW50">
        <v>1</v>
      </c>
      <c r="DX50">
        <v>2140</v>
      </c>
      <c r="DY50">
        <v>903</v>
      </c>
      <c r="DZ50" t="s">
        <v>4066</v>
      </c>
      <c r="EA50">
        <v>20</v>
      </c>
      <c r="EB50" t="s">
        <v>4065</v>
      </c>
      <c r="EC50">
        <v>0.8</v>
      </c>
      <c r="ED50">
        <v>2128</v>
      </c>
      <c r="EE50">
        <v>74</v>
      </c>
      <c r="EG50">
        <v>0</v>
      </c>
      <c r="EH50" t="s">
        <v>4065</v>
      </c>
      <c r="EI50">
        <v>0</v>
      </c>
      <c r="EL50" t="s">
        <v>1528</v>
      </c>
      <c r="EM50">
        <v>12</v>
      </c>
      <c r="EN50">
        <v>0.5</v>
      </c>
      <c r="EO50">
        <v>0.96</v>
      </c>
      <c r="EP50">
        <v>2138.83</v>
      </c>
      <c r="EQ50">
        <v>37095.33</v>
      </c>
      <c r="ER50">
        <v>10054.04</v>
      </c>
      <c r="ES50">
        <v>0</v>
      </c>
      <c r="ET50">
        <v>0</v>
      </c>
      <c r="EU50">
        <v>1</v>
      </c>
      <c r="EV50">
        <v>47150</v>
      </c>
      <c r="EW50">
        <v>566</v>
      </c>
      <c r="EX50" t="s">
        <v>4287</v>
      </c>
      <c r="EY50">
        <v>226</v>
      </c>
      <c r="EZ50" t="s">
        <v>4055</v>
      </c>
      <c r="FA50">
        <v>5</v>
      </c>
      <c r="FB50">
        <v>1</v>
      </c>
      <c r="FC50">
        <v>1</v>
      </c>
      <c r="FD50">
        <v>2178</v>
      </c>
      <c r="FE50">
        <v>2251</v>
      </c>
      <c r="FF50" t="s">
        <v>4288</v>
      </c>
      <c r="FG50">
        <v>226</v>
      </c>
      <c r="FH50" t="s">
        <v>4055</v>
      </c>
      <c r="FI50">
        <v>5.1</v>
      </c>
      <c r="FJ50">
        <v>2178</v>
      </c>
      <c r="FK50">
        <v>2837</v>
      </c>
      <c r="FL50" t="s">
        <v>4069</v>
      </c>
      <c r="FM50" t="s">
        <v>4055</v>
      </c>
      <c r="FN50" t="s">
        <v>4055</v>
      </c>
      <c r="FO50" t="s">
        <v>4055</v>
      </c>
      <c r="FP50">
        <v>2178</v>
      </c>
      <c r="FQ50">
        <v>217</v>
      </c>
      <c r="FR50" t="s">
        <v>4090</v>
      </c>
      <c r="FS50">
        <v>230</v>
      </c>
      <c r="FT50" t="s">
        <v>4055</v>
      </c>
      <c r="FU50">
        <v>0.4</v>
      </c>
      <c r="FV50">
        <v>2178</v>
      </c>
      <c r="FW50">
        <v>223</v>
      </c>
      <c r="FX50" t="s">
        <v>4070</v>
      </c>
      <c r="FY50">
        <v>5</v>
      </c>
      <c r="FZ50" t="s">
        <v>4055</v>
      </c>
      <c r="GA50" t="s">
        <v>4055</v>
      </c>
      <c r="GB50">
        <v>2178</v>
      </c>
      <c r="GC50">
        <v>26</v>
      </c>
      <c r="GD50">
        <v>5554</v>
      </c>
      <c r="GE50" t="s">
        <v>4301</v>
      </c>
      <c r="GF50" t="s">
        <v>4055</v>
      </c>
      <c r="GG50" t="s">
        <v>4055</v>
      </c>
      <c r="GH50" t="s">
        <v>4055</v>
      </c>
      <c r="GI50" t="s">
        <v>4071</v>
      </c>
      <c r="GJ50" t="s">
        <v>4055</v>
      </c>
      <c r="GK50" t="s">
        <v>4055</v>
      </c>
      <c r="GL50" t="s">
        <v>4055</v>
      </c>
      <c r="GM50" t="s">
        <v>4055</v>
      </c>
      <c r="GQ50">
        <v>0</v>
      </c>
      <c r="GV50">
        <v>10.5</v>
      </c>
      <c r="GW50">
        <v>11.8</v>
      </c>
      <c r="GX50">
        <v>0.5</v>
      </c>
      <c r="GY50">
        <v>198</v>
      </c>
      <c r="GZ50">
        <v>3</v>
      </c>
      <c r="HA50">
        <v>246</v>
      </c>
      <c r="HB50">
        <v>3</v>
      </c>
      <c r="HC50">
        <v>2178</v>
      </c>
      <c r="HD50">
        <v>4</v>
      </c>
      <c r="HE50" t="s">
        <v>4071</v>
      </c>
      <c r="HG50" t="s">
        <v>549</v>
      </c>
      <c r="HL50">
        <v>4</v>
      </c>
      <c r="HM50">
        <v>20</v>
      </c>
      <c r="HN50">
        <v>1</v>
      </c>
      <c r="HO50">
        <v>1</v>
      </c>
      <c r="HP50">
        <v>0</v>
      </c>
      <c r="HQ50">
        <v>0</v>
      </c>
      <c r="HR50">
        <v>1</v>
      </c>
      <c r="HS50">
        <v>2125</v>
      </c>
      <c r="HT50">
        <v>5</v>
      </c>
      <c r="HU50">
        <v>1</v>
      </c>
      <c r="HV50">
        <v>3</v>
      </c>
      <c r="HW50">
        <v>0</v>
      </c>
      <c r="HX50">
        <v>1</v>
      </c>
      <c r="HY50">
        <v>0</v>
      </c>
      <c r="HZ50">
        <v>63</v>
      </c>
      <c r="IA50">
        <v>2128</v>
      </c>
      <c r="IB50">
        <v>2140</v>
      </c>
      <c r="ID50">
        <v>2178</v>
      </c>
      <c r="IE50">
        <v>2178</v>
      </c>
      <c r="IF50">
        <v>205</v>
      </c>
      <c r="IG50">
        <v>195</v>
      </c>
      <c r="IH50">
        <v>246</v>
      </c>
      <c r="II50">
        <v>1</v>
      </c>
      <c r="IJ50">
        <v>5</v>
      </c>
      <c r="IK50">
        <v>0</v>
      </c>
      <c r="IL50">
        <v>0</v>
      </c>
      <c r="IM50">
        <v>0</v>
      </c>
      <c r="IN50">
        <v>270</v>
      </c>
      <c r="IO50">
        <v>0</v>
      </c>
      <c r="IP50">
        <v>180</v>
      </c>
      <c r="IQ50">
        <v>0</v>
      </c>
      <c r="IR50">
        <v>330</v>
      </c>
      <c r="IS50">
        <v>0</v>
      </c>
      <c r="IT50">
        <v>90</v>
      </c>
      <c r="IU50">
        <v>0</v>
      </c>
      <c r="IV50">
        <v>6.4</v>
      </c>
      <c r="IW50">
        <v>-6</v>
      </c>
      <c r="IX50">
        <v>105</v>
      </c>
      <c r="IY50">
        <v>75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370</v>
      </c>
      <c r="JJ50">
        <v>340</v>
      </c>
      <c r="JK50">
        <v>250</v>
      </c>
      <c r="JL50">
        <v>338</v>
      </c>
      <c r="JM50">
        <v>262</v>
      </c>
      <c r="JN50">
        <v>205</v>
      </c>
      <c r="JO50">
        <v>250</v>
      </c>
      <c r="JP50">
        <v>185</v>
      </c>
      <c r="JQ50">
        <v>225</v>
      </c>
      <c r="JR50">
        <v>295</v>
      </c>
      <c r="JS50">
        <v>250</v>
      </c>
      <c r="JT50">
        <v>0</v>
      </c>
      <c r="JU50">
        <v>0</v>
      </c>
      <c r="JV50">
        <v>275</v>
      </c>
      <c r="JW50">
        <v>270</v>
      </c>
      <c r="JX50">
        <v>270</v>
      </c>
      <c r="JY50">
        <v>255</v>
      </c>
      <c r="JZ50">
        <v>0.5</v>
      </c>
      <c r="KA50">
        <v>0.2</v>
      </c>
      <c r="KB50">
        <v>0.4</v>
      </c>
      <c r="KC50">
        <v>0.42</v>
      </c>
      <c r="KD50">
        <v>0.3</v>
      </c>
      <c r="KE50">
        <v>0.5</v>
      </c>
      <c r="KF50">
        <v>0.18</v>
      </c>
      <c r="KG50">
        <v>0.11</v>
      </c>
      <c r="KH50">
        <v>3.5</v>
      </c>
      <c r="KI50">
        <v>1</v>
      </c>
      <c r="KJ50">
        <v>4.5</v>
      </c>
      <c r="KK50">
        <v>0</v>
      </c>
      <c r="KL50">
        <v>4.5</v>
      </c>
      <c r="KM50">
        <v>0.5</v>
      </c>
      <c r="KN50">
        <v>1.6</v>
      </c>
      <c r="KO50">
        <v>1</v>
      </c>
      <c r="KP50">
        <v>0</v>
      </c>
      <c r="KQ50">
        <v>1</v>
      </c>
      <c r="KR50">
        <v>0.8</v>
      </c>
      <c r="KS50">
        <v>0</v>
      </c>
      <c r="KT50">
        <v>3.8</v>
      </c>
      <c r="KU50">
        <v>0</v>
      </c>
      <c r="KV50">
        <v>0</v>
      </c>
      <c r="KW50">
        <v>1.2</v>
      </c>
      <c r="KX50">
        <v>2</v>
      </c>
      <c r="KY50">
        <v>1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3</v>
      </c>
      <c r="LI50">
        <v>0.5</v>
      </c>
      <c r="LJ50">
        <v>0</v>
      </c>
      <c r="LK50">
        <v>9</v>
      </c>
      <c r="LL50">
        <v>5</v>
      </c>
      <c r="LM50">
        <v>9</v>
      </c>
      <c r="LN50">
        <v>0.1</v>
      </c>
      <c r="LO50">
        <v>0.1</v>
      </c>
      <c r="LP50">
        <v>0</v>
      </c>
      <c r="LQ50">
        <v>0</v>
      </c>
      <c r="LR50">
        <v>0</v>
      </c>
      <c r="LS50">
        <v>1</v>
      </c>
      <c r="LT50">
        <v>0</v>
      </c>
      <c r="LU50">
        <v>0</v>
      </c>
      <c r="LV50">
        <v>0</v>
      </c>
      <c r="LW50">
        <v>1.8</v>
      </c>
      <c r="LX50">
        <v>1.8</v>
      </c>
      <c r="LY50">
        <v>2.1</v>
      </c>
      <c r="LZ50">
        <v>2.1</v>
      </c>
      <c r="MA50">
        <v>0</v>
      </c>
      <c r="MB50">
        <v>4</v>
      </c>
      <c r="MC50">
        <v>0</v>
      </c>
      <c r="MD50">
        <v>4.5</v>
      </c>
      <c r="ME50">
        <v>6</v>
      </c>
      <c r="MF50">
        <v>6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420</v>
      </c>
      <c r="MN50">
        <v>190</v>
      </c>
      <c r="MO50">
        <v>256</v>
      </c>
      <c r="NU50">
        <v>0.15</v>
      </c>
      <c r="NV50">
        <v>0.2</v>
      </c>
      <c r="NW50">
        <v>0.2</v>
      </c>
      <c r="NX50">
        <v>0.2</v>
      </c>
      <c r="NY50">
        <v>0.2</v>
      </c>
      <c r="NZ50">
        <v>0.2</v>
      </c>
      <c r="OE50" t="s">
        <v>4301</v>
      </c>
      <c r="OF50" t="s">
        <v>4299</v>
      </c>
      <c r="OG50" t="s">
        <v>4300</v>
      </c>
      <c r="OH50" t="s">
        <v>4043</v>
      </c>
      <c r="OI50" t="s">
        <v>4301</v>
      </c>
      <c r="OJ50" t="s">
        <v>4298</v>
      </c>
      <c r="OK50">
        <v>61</v>
      </c>
      <c r="OL50">
        <v>61</v>
      </c>
      <c r="OM50" t="s">
        <v>4299</v>
      </c>
      <c r="ON50">
        <v>1</v>
      </c>
      <c r="OO50">
        <v>2128</v>
      </c>
      <c r="OP50">
        <v>61</v>
      </c>
      <c r="OQ50">
        <v>61</v>
      </c>
      <c r="OR50" t="s">
        <v>4300</v>
      </c>
      <c r="OS50">
        <v>1</v>
      </c>
      <c r="OT50">
        <v>2140</v>
      </c>
      <c r="OU50">
        <v>65</v>
      </c>
      <c r="OV50">
        <v>65</v>
      </c>
      <c r="OW50" t="s">
        <v>4043</v>
      </c>
      <c r="OX50">
        <v>2</v>
      </c>
      <c r="OY50">
        <v>47150</v>
      </c>
      <c r="OZ50">
        <v>51</v>
      </c>
      <c r="PA50">
        <v>52</v>
      </c>
      <c r="PB50" t="s">
        <v>4301</v>
      </c>
      <c r="PC50">
        <v>2</v>
      </c>
      <c r="PD50">
        <v>2178</v>
      </c>
      <c r="PF50">
        <v>443</v>
      </c>
      <c r="PG50">
        <v>35</v>
      </c>
      <c r="PH50">
        <v>422</v>
      </c>
      <c r="PI50">
        <v>0</v>
      </c>
      <c r="PJ50">
        <v>99.8</v>
      </c>
      <c r="PK50">
        <v>2527</v>
      </c>
      <c r="PL50">
        <v>1033.3</v>
      </c>
      <c r="PM50">
        <v>1302.5</v>
      </c>
      <c r="PN50">
        <v>102.3</v>
      </c>
      <c r="PO50">
        <v>11.8</v>
      </c>
      <c r="PP50">
        <v>12</v>
      </c>
      <c r="PQ50">
        <v>5</v>
      </c>
      <c r="PR50">
        <v>5</v>
      </c>
      <c r="PS50">
        <v>0</v>
      </c>
      <c r="PT50">
        <v>246</v>
      </c>
      <c r="PU50">
        <v>10</v>
      </c>
      <c r="PV50" t="s">
        <v>4072</v>
      </c>
      <c r="PW50" t="s">
        <v>4072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-1</v>
      </c>
      <c r="QF50">
        <v>1</v>
      </c>
      <c r="QG50">
        <v>0</v>
      </c>
      <c r="QH50">
        <v>5</v>
      </c>
      <c r="QI50">
        <v>5</v>
      </c>
      <c r="QJ50">
        <v>5</v>
      </c>
      <c r="QK50">
        <v>200</v>
      </c>
      <c r="QL50">
        <v>400</v>
      </c>
      <c r="QM50">
        <v>7.5</v>
      </c>
      <c r="QN50">
        <v>1623.8</v>
      </c>
      <c r="QO50" t="s">
        <v>1252</v>
      </c>
      <c r="QP50" t="s">
        <v>513</v>
      </c>
      <c r="QQ50">
        <v>0</v>
      </c>
      <c r="QR50" t="s">
        <v>704</v>
      </c>
      <c r="QS50">
        <v>40</v>
      </c>
      <c r="QT50">
        <v>50</v>
      </c>
    </row>
    <row r="51" spans="1:462">
      <c r="A51" t="s">
        <v>1295</v>
      </c>
      <c r="B51" t="s">
        <v>711</v>
      </c>
      <c r="C51" t="s">
        <v>509</v>
      </c>
      <c r="D51" t="s">
        <v>4302</v>
      </c>
      <c r="E51" t="s">
        <v>4036</v>
      </c>
      <c r="H51" t="s">
        <v>1294</v>
      </c>
      <c r="J51" t="s">
        <v>562</v>
      </c>
      <c r="K51" t="s">
        <v>563</v>
      </c>
      <c r="L51" t="s">
        <v>804</v>
      </c>
      <c r="M51" t="s">
        <v>512</v>
      </c>
      <c r="O51" t="s">
        <v>513</v>
      </c>
      <c r="P51" t="s">
        <v>517</v>
      </c>
      <c r="Q51" t="s">
        <v>1042</v>
      </c>
      <c r="R51" t="s">
        <v>1043</v>
      </c>
      <c r="S51" t="s">
        <v>4037</v>
      </c>
      <c r="T51" t="s">
        <v>686</v>
      </c>
      <c r="U51" t="s">
        <v>687</v>
      </c>
      <c r="V51" t="s">
        <v>1296</v>
      </c>
      <c r="W51" t="s">
        <v>1242</v>
      </c>
      <c r="X51" t="s">
        <v>1297</v>
      </c>
      <c r="Y51" t="s">
        <v>1298</v>
      </c>
      <c r="Z51" t="s">
        <v>541</v>
      </c>
      <c r="AA51" t="s">
        <v>4038</v>
      </c>
      <c r="AB51" t="s">
        <v>4303</v>
      </c>
      <c r="AC51">
        <v>9</v>
      </c>
      <c r="AD51" t="s">
        <v>1292</v>
      </c>
      <c r="AE51">
        <v>3</v>
      </c>
      <c r="AF51">
        <v>5758</v>
      </c>
      <c r="AG51" t="s">
        <v>4284</v>
      </c>
      <c r="AH51">
        <v>1</v>
      </c>
      <c r="AI51" t="s">
        <v>4041</v>
      </c>
      <c r="AK51" t="s">
        <v>4285</v>
      </c>
      <c r="AL51">
        <v>1</v>
      </c>
      <c r="AM51" t="s">
        <v>582</v>
      </c>
      <c r="AO51" t="s">
        <v>4043</v>
      </c>
      <c r="AP51">
        <v>1</v>
      </c>
      <c r="AR51" t="s">
        <v>4304</v>
      </c>
      <c r="AS51">
        <v>1</v>
      </c>
      <c r="AT51">
        <v>52</v>
      </c>
      <c r="AV51" t="s">
        <v>4078</v>
      </c>
      <c r="AW51">
        <v>6.4</v>
      </c>
      <c r="AX51">
        <v>-6</v>
      </c>
      <c r="AY51">
        <v>115</v>
      </c>
      <c r="AZ51">
        <v>85</v>
      </c>
      <c r="BH51">
        <v>115</v>
      </c>
      <c r="BI51">
        <v>30</v>
      </c>
      <c r="BJ51">
        <v>85</v>
      </c>
      <c r="BK51">
        <v>2.5</v>
      </c>
      <c r="BL51">
        <v>230</v>
      </c>
      <c r="BM51">
        <v>-6</v>
      </c>
      <c r="BN51">
        <v>0</v>
      </c>
      <c r="BP51">
        <v>0</v>
      </c>
      <c r="BR51">
        <v>225</v>
      </c>
      <c r="BS51">
        <v>215</v>
      </c>
      <c r="BT51">
        <v>2230</v>
      </c>
      <c r="BU51" t="s">
        <v>4079</v>
      </c>
      <c r="BV51" t="s">
        <v>4079</v>
      </c>
      <c r="BW51" t="s">
        <v>4081</v>
      </c>
      <c r="BX51" t="s">
        <v>4081</v>
      </c>
      <c r="BY51" t="s">
        <v>4221</v>
      </c>
      <c r="BZ51" t="s">
        <v>4221</v>
      </c>
      <c r="CA51" t="s">
        <v>4130</v>
      </c>
      <c r="CB51" t="s">
        <v>4131</v>
      </c>
      <c r="CC51" t="s">
        <v>4053</v>
      </c>
      <c r="CD51" t="s">
        <v>4055</v>
      </c>
      <c r="CE51" t="s">
        <v>4055</v>
      </c>
      <c r="CF51" t="s">
        <v>4055</v>
      </c>
      <c r="CG51" t="s">
        <v>4056</v>
      </c>
      <c r="CI51" t="s">
        <v>4086</v>
      </c>
      <c r="CJ51" t="s">
        <v>4059</v>
      </c>
      <c r="CK51" t="s">
        <v>4060</v>
      </c>
      <c r="CL51" t="s">
        <v>4061</v>
      </c>
      <c r="CM51" t="s">
        <v>4055</v>
      </c>
      <c r="CN51" t="s">
        <v>4062</v>
      </c>
      <c r="CO51" t="s">
        <v>4063</v>
      </c>
      <c r="CP51" t="s">
        <v>4055</v>
      </c>
      <c r="CQ51" t="s">
        <v>4055</v>
      </c>
      <c r="CR51">
        <v>5</v>
      </c>
      <c r="CS51" t="s">
        <v>4055</v>
      </c>
      <c r="CT51" t="s">
        <v>4055</v>
      </c>
      <c r="CU51" t="s">
        <v>4055</v>
      </c>
      <c r="CV51">
        <v>138</v>
      </c>
      <c r="CW51">
        <v>3</v>
      </c>
      <c r="CX51">
        <v>101</v>
      </c>
      <c r="CY51">
        <v>5</v>
      </c>
      <c r="CZ51">
        <v>166</v>
      </c>
      <c r="DA51">
        <v>5</v>
      </c>
      <c r="DB51">
        <v>15150</v>
      </c>
      <c r="DC51">
        <v>450</v>
      </c>
      <c r="DD51">
        <v>381</v>
      </c>
      <c r="DE51">
        <v>2361</v>
      </c>
      <c r="DF51">
        <v>2361</v>
      </c>
      <c r="DG51">
        <v>2374</v>
      </c>
      <c r="DH51">
        <v>1</v>
      </c>
      <c r="DI51" t="s">
        <v>4055</v>
      </c>
      <c r="DJ51" t="s">
        <v>4217</v>
      </c>
      <c r="DK51">
        <v>225</v>
      </c>
      <c r="DL51" t="s">
        <v>4065</v>
      </c>
      <c r="DM51">
        <v>63</v>
      </c>
      <c r="DN51">
        <v>1.26</v>
      </c>
      <c r="DO51">
        <v>1</v>
      </c>
      <c r="DP51">
        <v>2234</v>
      </c>
      <c r="DQ51">
        <v>1213</v>
      </c>
      <c r="DR51" t="s">
        <v>4217</v>
      </c>
      <c r="DS51">
        <v>215</v>
      </c>
      <c r="DT51" t="s">
        <v>4065</v>
      </c>
      <c r="DU51">
        <v>63</v>
      </c>
      <c r="DV51">
        <v>1.26</v>
      </c>
      <c r="DW51">
        <v>1</v>
      </c>
      <c r="DX51">
        <v>2247</v>
      </c>
      <c r="DY51">
        <v>1166</v>
      </c>
      <c r="DZ51" t="s">
        <v>4066</v>
      </c>
      <c r="EA51">
        <v>20</v>
      </c>
      <c r="EB51" t="s">
        <v>4065</v>
      </c>
      <c r="EC51">
        <v>0.8</v>
      </c>
      <c r="ED51">
        <v>2234</v>
      </c>
      <c r="EE51">
        <v>78</v>
      </c>
      <c r="EG51">
        <v>0</v>
      </c>
      <c r="EH51" t="s">
        <v>4065</v>
      </c>
      <c r="EI51">
        <v>0</v>
      </c>
      <c r="EL51" t="s">
        <v>1528</v>
      </c>
      <c r="EM51">
        <v>12</v>
      </c>
      <c r="EN51">
        <v>0.5</v>
      </c>
      <c r="EO51">
        <v>0.96</v>
      </c>
      <c r="EP51">
        <v>2245.84</v>
      </c>
      <c r="EQ51">
        <v>42460.41</v>
      </c>
      <c r="ER51">
        <v>10555.65</v>
      </c>
      <c r="ES51">
        <v>0</v>
      </c>
      <c r="ET51">
        <v>0</v>
      </c>
      <c r="EU51">
        <v>1</v>
      </c>
      <c r="EV51">
        <v>53017</v>
      </c>
      <c r="EW51">
        <v>637</v>
      </c>
      <c r="EX51" t="s">
        <v>4287</v>
      </c>
      <c r="EY51">
        <v>244</v>
      </c>
      <c r="EZ51" t="s">
        <v>4055</v>
      </c>
      <c r="FA51">
        <v>5.5</v>
      </c>
      <c r="FB51">
        <v>1</v>
      </c>
      <c r="FC51">
        <v>1</v>
      </c>
      <c r="FD51">
        <v>2285</v>
      </c>
      <c r="FE51">
        <v>2828</v>
      </c>
      <c r="FF51" t="s">
        <v>4288</v>
      </c>
      <c r="FG51">
        <v>244</v>
      </c>
      <c r="FH51" t="s">
        <v>4055</v>
      </c>
      <c r="FI51">
        <v>4.6</v>
      </c>
      <c r="FJ51">
        <v>2285</v>
      </c>
      <c r="FK51">
        <v>2996</v>
      </c>
      <c r="FL51" t="s">
        <v>4069</v>
      </c>
      <c r="FM51" t="s">
        <v>4055</v>
      </c>
      <c r="FN51" t="s">
        <v>4055</v>
      </c>
      <c r="FO51" t="s">
        <v>4055</v>
      </c>
      <c r="FP51">
        <v>2285</v>
      </c>
      <c r="FQ51">
        <v>192</v>
      </c>
      <c r="FR51" t="s">
        <v>4090</v>
      </c>
      <c r="FS51">
        <v>248</v>
      </c>
      <c r="FT51" t="s">
        <v>4055</v>
      </c>
      <c r="FU51">
        <v>0.4</v>
      </c>
      <c r="FV51">
        <v>2285</v>
      </c>
      <c r="FW51">
        <v>252</v>
      </c>
      <c r="FX51" t="s">
        <v>4070</v>
      </c>
      <c r="FY51">
        <v>5</v>
      </c>
      <c r="FZ51" t="s">
        <v>4055</v>
      </c>
      <c r="GA51" t="s">
        <v>4055</v>
      </c>
      <c r="GB51">
        <v>2285</v>
      </c>
      <c r="GC51">
        <v>27</v>
      </c>
      <c r="GD51">
        <v>6295</v>
      </c>
      <c r="GE51" t="s">
        <v>4304</v>
      </c>
      <c r="GF51" t="s">
        <v>4055</v>
      </c>
      <c r="GG51" t="s">
        <v>4055</v>
      </c>
      <c r="GH51" t="s">
        <v>4055</v>
      </c>
      <c r="GI51" t="s">
        <v>4071</v>
      </c>
      <c r="GJ51" t="s">
        <v>4055</v>
      </c>
      <c r="GK51" t="s">
        <v>4055</v>
      </c>
      <c r="GL51" t="s">
        <v>4055</v>
      </c>
      <c r="GM51" t="s">
        <v>4055</v>
      </c>
      <c r="GQ51">
        <v>0</v>
      </c>
      <c r="GV51">
        <v>10.5</v>
      </c>
      <c r="GW51">
        <v>11.7</v>
      </c>
      <c r="GX51">
        <v>0.5</v>
      </c>
      <c r="GY51">
        <v>210</v>
      </c>
      <c r="GZ51">
        <v>3</v>
      </c>
      <c r="HA51">
        <v>264</v>
      </c>
      <c r="HB51">
        <v>3</v>
      </c>
      <c r="HC51">
        <v>2285</v>
      </c>
      <c r="HD51">
        <v>4</v>
      </c>
      <c r="HE51" t="s">
        <v>4071</v>
      </c>
      <c r="HG51" t="s">
        <v>549</v>
      </c>
      <c r="HL51">
        <v>4</v>
      </c>
      <c r="HM51">
        <v>19</v>
      </c>
      <c r="HN51">
        <v>6</v>
      </c>
      <c r="HO51">
        <v>1</v>
      </c>
      <c r="HP51">
        <v>0</v>
      </c>
      <c r="HQ51">
        <v>0</v>
      </c>
      <c r="HR51">
        <v>3</v>
      </c>
      <c r="HS51">
        <v>2230</v>
      </c>
      <c r="HT51">
        <v>5</v>
      </c>
      <c r="HU51">
        <v>1</v>
      </c>
      <c r="HV51">
        <v>3</v>
      </c>
      <c r="HW51">
        <v>0</v>
      </c>
      <c r="HX51">
        <v>1</v>
      </c>
      <c r="HY51">
        <v>0</v>
      </c>
      <c r="HZ51">
        <v>63</v>
      </c>
      <c r="IA51">
        <v>2234</v>
      </c>
      <c r="IB51">
        <v>2247</v>
      </c>
      <c r="ID51">
        <v>2285</v>
      </c>
      <c r="IE51">
        <v>2285</v>
      </c>
      <c r="IF51">
        <v>225</v>
      </c>
      <c r="IG51">
        <v>215</v>
      </c>
      <c r="IH51">
        <v>264</v>
      </c>
      <c r="II51">
        <v>1</v>
      </c>
      <c r="IJ51">
        <v>5</v>
      </c>
      <c r="IK51">
        <v>0</v>
      </c>
      <c r="IL51">
        <v>0</v>
      </c>
      <c r="IM51">
        <v>0</v>
      </c>
      <c r="IN51">
        <v>270</v>
      </c>
      <c r="IO51">
        <v>0</v>
      </c>
      <c r="IP51">
        <v>180</v>
      </c>
      <c r="IQ51">
        <v>0</v>
      </c>
      <c r="IR51">
        <v>330</v>
      </c>
      <c r="IS51">
        <v>0</v>
      </c>
      <c r="IT51">
        <v>90</v>
      </c>
      <c r="IU51">
        <v>0</v>
      </c>
      <c r="IV51">
        <v>6.4</v>
      </c>
      <c r="IW51">
        <v>-6</v>
      </c>
      <c r="IX51">
        <v>115</v>
      </c>
      <c r="IY51">
        <v>85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454</v>
      </c>
      <c r="JJ51">
        <v>424</v>
      </c>
      <c r="JK51">
        <v>304</v>
      </c>
      <c r="JL51">
        <v>422</v>
      </c>
      <c r="JM51">
        <v>323</v>
      </c>
      <c r="JN51">
        <v>225</v>
      </c>
      <c r="JO51">
        <v>275</v>
      </c>
      <c r="JP51">
        <v>170</v>
      </c>
      <c r="JQ51">
        <v>210</v>
      </c>
      <c r="JR51">
        <v>330</v>
      </c>
      <c r="JS51">
        <v>230</v>
      </c>
      <c r="JT51">
        <v>0</v>
      </c>
      <c r="JU51">
        <v>0</v>
      </c>
      <c r="JV51">
        <v>300</v>
      </c>
      <c r="JW51">
        <v>295</v>
      </c>
      <c r="JX51">
        <v>290</v>
      </c>
      <c r="JY51">
        <v>270</v>
      </c>
      <c r="JZ51">
        <v>0.5</v>
      </c>
      <c r="KA51">
        <v>0.2</v>
      </c>
      <c r="KB51">
        <v>0.4</v>
      </c>
      <c r="KC51">
        <v>0.42</v>
      </c>
      <c r="KD51">
        <v>0.28</v>
      </c>
      <c r="KE51">
        <v>0.5</v>
      </c>
      <c r="KF51">
        <v>0.19</v>
      </c>
      <c r="KG51">
        <v>0.13</v>
      </c>
      <c r="KH51">
        <v>3.5</v>
      </c>
      <c r="KI51">
        <v>1</v>
      </c>
      <c r="KJ51">
        <v>4.5</v>
      </c>
      <c r="KK51">
        <v>0</v>
      </c>
      <c r="KL51">
        <v>4.5</v>
      </c>
      <c r="KM51">
        <v>0.5</v>
      </c>
      <c r="KN51">
        <v>1.9</v>
      </c>
      <c r="KO51">
        <v>0</v>
      </c>
      <c r="KP51">
        <v>0</v>
      </c>
      <c r="KQ51">
        <v>0.5</v>
      </c>
      <c r="KR51">
        <v>0.5</v>
      </c>
      <c r="KS51">
        <v>0</v>
      </c>
      <c r="KT51">
        <v>3</v>
      </c>
      <c r="KU51">
        <v>0</v>
      </c>
      <c r="KV51">
        <v>0</v>
      </c>
      <c r="KW51">
        <v>1.6</v>
      </c>
      <c r="KX51">
        <v>2</v>
      </c>
      <c r="KY51">
        <v>1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3</v>
      </c>
      <c r="LI51">
        <v>0.5</v>
      </c>
      <c r="LJ51">
        <v>0</v>
      </c>
      <c r="LK51">
        <v>9</v>
      </c>
      <c r="LL51">
        <v>6</v>
      </c>
      <c r="LM51">
        <v>11</v>
      </c>
      <c r="LN51">
        <v>0.1</v>
      </c>
      <c r="LO51">
        <v>3</v>
      </c>
      <c r="LP51">
        <v>0</v>
      </c>
      <c r="LQ51">
        <v>0</v>
      </c>
      <c r="LR51">
        <v>0</v>
      </c>
      <c r="LS51">
        <v>1</v>
      </c>
      <c r="LT51">
        <v>0</v>
      </c>
      <c r="LU51">
        <v>0</v>
      </c>
      <c r="LV51">
        <v>0</v>
      </c>
      <c r="LW51">
        <v>2.2</v>
      </c>
      <c r="LX51">
        <v>2.2</v>
      </c>
      <c r="LY51">
        <v>2.1</v>
      </c>
      <c r="LZ51">
        <v>2.1</v>
      </c>
      <c r="MA51">
        <v>0</v>
      </c>
      <c r="MB51">
        <v>5</v>
      </c>
      <c r="MC51">
        <v>0</v>
      </c>
      <c r="MD51">
        <v>4.5</v>
      </c>
      <c r="ME51">
        <v>6</v>
      </c>
      <c r="MF51">
        <v>6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454</v>
      </c>
      <c r="MN51">
        <v>220</v>
      </c>
      <c r="MO51">
        <v>274</v>
      </c>
      <c r="NU51">
        <v>0.15</v>
      </c>
      <c r="NV51">
        <v>0.2</v>
      </c>
      <c r="NW51">
        <v>0.2</v>
      </c>
      <c r="NX51">
        <v>0.2</v>
      </c>
      <c r="NY51">
        <v>0.2</v>
      </c>
      <c r="NZ51">
        <v>0.2</v>
      </c>
      <c r="OE51" t="s">
        <v>4304</v>
      </c>
      <c r="OF51" t="s">
        <v>4284</v>
      </c>
      <c r="OG51" t="s">
        <v>4285</v>
      </c>
      <c r="OH51" t="s">
        <v>4043</v>
      </c>
      <c r="OI51" t="s">
        <v>4304</v>
      </c>
      <c r="OJ51" t="s">
        <v>4303</v>
      </c>
      <c r="OK51">
        <v>61</v>
      </c>
      <c r="OL51">
        <v>61</v>
      </c>
      <c r="OM51" t="s">
        <v>4284</v>
      </c>
      <c r="ON51">
        <v>1</v>
      </c>
      <c r="OO51">
        <v>2234</v>
      </c>
      <c r="OP51">
        <v>61</v>
      </c>
      <c r="OQ51">
        <v>61</v>
      </c>
      <c r="OR51" t="s">
        <v>4285</v>
      </c>
      <c r="OS51">
        <v>1</v>
      </c>
      <c r="OT51">
        <v>2247</v>
      </c>
      <c r="OU51">
        <v>65</v>
      </c>
      <c r="OV51">
        <v>65</v>
      </c>
      <c r="OW51" t="s">
        <v>4043</v>
      </c>
      <c r="OX51">
        <v>2</v>
      </c>
      <c r="OY51">
        <v>53017</v>
      </c>
      <c r="OZ51">
        <v>51</v>
      </c>
      <c r="PA51">
        <v>52</v>
      </c>
      <c r="PB51" t="s">
        <v>4304</v>
      </c>
      <c r="PC51">
        <v>1</v>
      </c>
      <c r="PD51">
        <v>2285</v>
      </c>
      <c r="PF51">
        <v>543</v>
      </c>
      <c r="PG51">
        <v>35</v>
      </c>
      <c r="PH51">
        <v>519</v>
      </c>
      <c r="PI51">
        <v>0</v>
      </c>
      <c r="PJ51">
        <v>84</v>
      </c>
      <c r="PK51">
        <v>2740</v>
      </c>
      <c r="PL51">
        <v>1237.7</v>
      </c>
      <c r="PM51">
        <v>1311.1</v>
      </c>
      <c r="PN51">
        <v>110.4</v>
      </c>
      <c r="PO51">
        <v>11.9</v>
      </c>
      <c r="PP51">
        <v>12</v>
      </c>
      <c r="PQ51">
        <v>4</v>
      </c>
      <c r="PR51">
        <v>4</v>
      </c>
      <c r="PS51">
        <v>0</v>
      </c>
      <c r="PT51">
        <v>264</v>
      </c>
      <c r="PU51">
        <v>10</v>
      </c>
      <c r="PV51" t="s">
        <v>4072</v>
      </c>
      <c r="PW51" t="s">
        <v>4072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-1</v>
      </c>
      <c r="QF51">
        <v>1</v>
      </c>
      <c r="QG51">
        <v>0</v>
      </c>
      <c r="QH51">
        <v>5</v>
      </c>
      <c r="QI51">
        <v>5</v>
      </c>
      <c r="QJ51">
        <v>5</v>
      </c>
      <c r="QK51">
        <v>243</v>
      </c>
      <c r="QL51">
        <v>484</v>
      </c>
      <c r="QM51">
        <v>7.5</v>
      </c>
      <c r="QN51">
        <v>1544.1</v>
      </c>
      <c r="QO51" t="s">
        <v>1252</v>
      </c>
      <c r="QP51" t="s">
        <v>513</v>
      </c>
      <c r="QQ51">
        <v>0</v>
      </c>
      <c r="QR51" t="s">
        <v>596</v>
      </c>
      <c r="QS51">
        <v>40</v>
      </c>
      <c r="QT51">
        <v>50</v>
      </c>
    </row>
    <row r="52" spans="1:462">
      <c r="A52" t="s">
        <v>1308</v>
      </c>
      <c r="B52" t="s">
        <v>629</v>
      </c>
      <c r="C52" t="s">
        <v>509</v>
      </c>
      <c r="D52" t="s">
        <v>1307</v>
      </c>
      <c r="E52" t="s">
        <v>4036</v>
      </c>
      <c r="H52" t="s">
        <v>511</v>
      </c>
      <c r="L52" t="s">
        <v>711</v>
      </c>
      <c r="M52" t="s">
        <v>512</v>
      </c>
      <c r="O52" t="s">
        <v>513</v>
      </c>
      <c r="P52" t="s">
        <v>517</v>
      </c>
      <c r="Q52" t="s">
        <v>866</v>
      </c>
      <c r="R52" t="s">
        <v>867</v>
      </c>
      <c r="S52" t="s">
        <v>4134</v>
      </c>
      <c r="T52" t="s">
        <v>570</v>
      </c>
      <c r="U52" t="s">
        <v>571</v>
      </c>
      <c r="V52" t="s">
        <v>1309</v>
      </c>
      <c r="W52" t="s">
        <v>1242</v>
      </c>
      <c r="X52" t="s">
        <v>1310</v>
      </c>
      <c r="Y52" t="s">
        <v>1311</v>
      </c>
      <c r="Z52" t="s">
        <v>541</v>
      </c>
      <c r="AA52" t="s">
        <v>4038</v>
      </c>
      <c r="AB52" t="s">
        <v>4305</v>
      </c>
      <c r="AC52">
        <v>9</v>
      </c>
      <c r="AD52" t="s">
        <v>1306</v>
      </c>
      <c r="AE52">
        <v>4</v>
      </c>
      <c r="AF52">
        <v>5471</v>
      </c>
      <c r="AG52" t="s">
        <v>4306</v>
      </c>
      <c r="AH52">
        <v>1</v>
      </c>
      <c r="AI52" t="s">
        <v>4041</v>
      </c>
      <c r="AK52" t="s">
        <v>4307</v>
      </c>
      <c r="AL52">
        <v>1</v>
      </c>
      <c r="AM52" t="s">
        <v>582</v>
      </c>
      <c r="AO52" t="s">
        <v>4043</v>
      </c>
      <c r="AP52">
        <v>1</v>
      </c>
      <c r="AR52" t="s">
        <v>4308</v>
      </c>
      <c r="AS52">
        <v>1</v>
      </c>
      <c r="AT52">
        <v>52</v>
      </c>
      <c r="AV52" t="s">
        <v>4078</v>
      </c>
      <c r="AW52">
        <v>6.4</v>
      </c>
      <c r="AX52">
        <v>-6</v>
      </c>
      <c r="AY52">
        <v>110</v>
      </c>
      <c r="AZ52">
        <v>80</v>
      </c>
      <c r="BH52">
        <v>110</v>
      </c>
      <c r="BI52">
        <v>30</v>
      </c>
      <c r="BJ52">
        <v>80</v>
      </c>
      <c r="BK52">
        <v>2.5</v>
      </c>
      <c r="BL52">
        <v>220</v>
      </c>
      <c r="BM52">
        <v>-6</v>
      </c>
      <c r="BN52">
        <v>0</v>
      </c>
      <c r="BO52">
        <v>0</v>
      </c>
      <c r="BP52">
        <v>0</v>
      </c>
      <c r="BR52">
        <v>215</v>
      </c>
      <c r="BS52">
        <v>205</v>
      </c>
      <c r="BT52">
        <v>2155</v>
      </c>
      <c r="BU52" t="s">
        <v>4127</v>
      </c>
      <c r="BV52" t="s">
        <v>4127</v>
      </c>
      <c r="BW52" t="s">
        <v>4128</v>
      </c>
      <c r="BX52" t="s">
        <v>4128</v>
      </c>
      <c r="BY52" t="s">
        <v>4139</v>
      </c>
      <c r="BZ52" t="s">
        <v>4164</v>
      </c>
      <c r="CA52" t="s">
        <v>4084</v>
      </c>
      <c r="CB52" t="s">
        <v>4085</v>
      </c>
      <c r="CC52" t="s">
        <v>4053</v>
      </c>
      <c r="CD52" t="s">
        <v>4055</v>
      </c>
      <c r="CE52" t="s">
        <v>4055</v>
      </c>
      <c r="CF52" t="s">
        <v>4055</v>
      </c>
      <c r="CG52" t="s">
        <v>4056</v>
      </c>
      <c r="CI52" t="s">
        <v>4086</v>
      </c>
      <c r="CJ52" t="s">
        <v>4059</v>
      </c>
      <c r="CK52" t="s">
        <v>4060</v>
      </c>
      <c r="CL52" t="s">
        <v>4061</v>
      </c>
      <c r="CM52" t="s">
        <v>4055</v>
      </c>
      <c r="CN52" t="s">
        <v>4062</v>
      </c>
      <c r="CO52" t="s">
        <v>4063</v>
      </c>
      <c r="CP52" t="s">
        <v>4055</v>
      </c>
      <c r="CQ52" t="s">
        <v>4055</v>
      </c>
      <c r="CR52">
        <v>5</v>
      </c>
      <c r="CS52" t="s">
        <v>4055</v>
      </c>
      <c r="CT52" t="s">
        <v>4055</v>
      </c>
      <c r="CU52" t="s">
        <v>4055</v>
      </c>
      <c r="CV52">
        <v>135</v>
      </c>
      <c r="CW52">
        <v>3</v>
      </c>
      <c r="CX52">
        <v>94</v>
      </c>
      <c r="CY52">
        <v>5</v>
      </c>
      <c r="CZ52">
        <v>149</v>
      </c>
      <c r="DA52">
        <v>5</v>
      </c>
      <c r="DB52">
        <v>14130</v>
      </c>
      <c r="DC52">
        <v>420</v>
      </c>
      <c r="DD52">
        <v>346</v>
      </c>
      <c r="DE52">
        <v>2283</v>
      </c>
      <c r="DF52">
        <v>2283</v>
      </c>
      <c r="DG52">
        <v>2296</v>
      </c>
      <c r="DH52">
        <v>1</v>
      </c>
      <c r="DI52" t="s">
        <v>4055</v>
      </c>
      <c r="DJ52" t="s">
        <v>4132</v>
      </c>
      <c r="DK52">
        <v>215</v>
      </c>
      <c r="DL52" t="s">
        <v>4065</v>
      </c>
      <c r="DM52">
        <v>63</v>
      </c>
      <c r="DN52">
        <v>1.1</v>
      </c>
      <c r="DO52">
        <v>1</v>
      </c>
      <c r="DP52">
        <v>2158</v>
      </c>
      <c r="DQ52">
        <v>1003</v>
      </c>
      <c r="DR52" t="s">
        <v>4132</v>
      </c>
      <c r="DS52">
        <v>205</v>
      </c>
      <c r="DT52" t="s">
        <v>4065</v>
      </c>
      <c r="DU52">
        <v>63</v>
      </c>
      <c r="DV52">
        <v>1.1</v>
      </c>
      <c r="DW52">
        <v>1</v>
      </c>
      <c r="DX52">
        <v>2170</v>
      </c>
      <c r="DY52">
        <v>961</v>
      </c>
      <c r="DZ52" t="s">
        <v>4066</v>
      </c>
      <c r="EA52">
        <v>20</v>
      </c>
      <c r="EB52" t="s">
        <v>4065</v>
      </c>
      <c r="EC52">
        <v>0.8</v>
      </c>
      <c r="ED52">
        <v>2158</v>
      </c>
      <c r="EE52">
        <v>76</v>
      </c>
      <c r="EG52">
        <v>0</v>
      </c>
      <c r="EH52" t="s">
        <v>4065</v>
      </c>
      <c r="EI52">
        <v>0</v>
      </c>
      <c r="EL52" t="s">
        <v>1528</v>
      </c>
      <c r="EM52">
        <v>12</v>
      </c>
      <c r="EN52">
        <v>0.5</v>
      </c>
      <c r="EO52">
        <v>0.96</v>
      </c>
      <c r="EP52">
        <v>2168.83</v>
      </c>
      <c r="EQ52">
        <v>39310.04</v>
      </c>
      <c r="ER52">
        <v>10194.66</v>
      </c>
      <c r="ES52">
        <v>0</v>
      </c>
      <c r="ET52">
        <v>0</v>
      </c>
      <c r="EU52">
        <v>1</v>
      </c>
      <c r="EV52">
        <v>49505</v>
      </c>
      <c r="EW52">
        <v>595</v>
      </c>
      <c r="EX52" t="s">
        <v>4287</v>
      </c>
      <c r="EY52">
        <v>234</v>
      </c>
      <c r="EZ52" t="s">
        <v>4055</v>
      </c>
      <c r="FA52">
        <v>5.6</v>
      </c>
      <c r="FB52">
        <v>1</v>
      </c>
      <c r="FC52">
        <v>1</v>
      </c>
      <c r="FD52">
        <v>2210</v>
      </c>
      <c r="FE52">
        <v>2655</v>
      </c>
      <c r="FF52" t="s">
        <v>4288</v>
      </c>
      <c r="FG52">
        <v>234</v>
      </c>
      <c r="FH52" t="s">
        <v>4055</v>
      </c>
      <c r="FI52">
        <v>5</v>
      </c>
      <c r="FJ52">
        <v>2210</v>
      </c>
      <c r="FK52">
        <v>2905</v>
      </c>
      <c r="FL52" t="s">
        <v>4069</v>
      </c>
      <c r="FM52" t="s">
        <v>4055</v>
      </c>
      <c r="FN52" t="s">
        <v>4055</v>
      </c>
      <c r="FO52" t="s">
        <v>4055</v>
      </c>
      <c r="FP52">
        <v>2210</v>
      </c>
      <c r="FQ52">
        <v>199</v>
      </c>
      <c r="FR52" t="s">
        <v>4090</v>
      </c>
      <c r="FS52">
        <v>238</v>
      </c>
      <c r="FT52" t="s">
        <v>4055</v>
      </c>
      <c r="FU52">
        <v>0.4</v>
      </c>
      <c r="FV52">
        <v>2210</v>
      </c>
      <c r="FW52">
        <v>234</v>
      </c>
      <c r="FX52" t="s">
        <v>4070</v>
      </c>
      <c r="FY52">
        <v>5</v>
      </c>
      <c r="FZ52" t="s">
        <v>4055</v>
      </c>
      <c r="GA52" t="s">
        <v>4055</v>
      </c>
      <c r="GB52">
        <v>2210</v>
      </c>
      <c r="GC52">
        <v>28</v>
      </c>
      <c r="GD52">
        <v>6021</v>
      </c>
      <c r="GE52" t="s">
        <v>4308</v>
      </c>
      <c r="GF52" t="s">
        <v>4055</v>
      </c>
      <c r="GG52" t="s">
        <v>4055</v>
      </c>
      <c r="GH52" t="s">
        <v>4055</v>
      </c>
      <c r="GI52" t="s">
        <v>4071</v>
      </c>
      <c r="GJ52" t="s">
        <v>4055</v>
      </c>
      <c r="GK52" t="s">
        <v>4055</v>
      </c>
      <c r="GL52" t="s">
        <v>4055</v>
      </c>
      <c r="GM52" t="s">
        <v>4055</v>
      </c>
      <c r="GQ52">
        <v>0</v>
      </c>
      <c r="GV52">
        <v>11</v>
      </c>
      <c r="GW52">
        <v>11.5</v>
      </c>
      <c r="GX52">
        <v>0.5</v>
      </c>
      <c r="GY52">
        <v>210</v>
      </c>
      <c r="GZ52">
        <v>3</v>
      </c>
      <c r="HA52">
        <v>254</v>
      </c>
      <c r="HB52">
        <v>3</v>
      </c>
      <c r="HC52">
        <v>2210</v>
      </c>
      <c r="HD52">
        <v>4</v>
      </c>
      <c r="HE52" t="s">
        <v>4071</v>
      </c>
      <c r="HG52" t="s">
        <v>549</v>
      </c>
      <c r="HL52">
        <v>4</v>
      </c>
      <c r="HM52">
        <v>20</v>
      </c>
      <c r="HN52">
        <v>6</v>
      </c>
      <c r="HO52">
        <v>1</v>
      </c>
      <c r="HP52">
        <v>0</v>
      </c>
      <c r="HQ52">
        <v>0</v>
      </c>
      <c r="HR52">
        <v>3</v>
      </c>
      <c r="HS52">
        <v>2155</v>
      </c>
      <c r="HT52">
        <v>5</v>
      </c>
      <c r="HU52">
        <v>1</v>
      </c>
      <c r="HV52">
        <v>5</v>
      </c>
      <c r="HW52">
        <v>0</v>
      </c>
      <c r="HX52">
        <v>1</v>
      </c>
      <c r="HY52">
        <v>0</v>
      </c>
      <c r="HZ52">
        <v>63</v>
      </c>
      <c r="IA52">
        <v>2158</v>
      </c>
      <c r="IB52">
        <v>2170</v>
      </c>
      <c r="ID52">
        <v>2210</v>
      </c>
      <c r="IE52">
        <v>2210</v>
      </c>
      <c r="IF52">
        <v>215</v>
      </c>
      <c r="IG52">
        <v>205</v>
      </c>
      <c r="IH52">
        <v>254</v>
      </c>
      <c r="II52">
        <v>1</v>
      </c>
      <c r="IJ52">
        <v>5</v>
      </c>
      <c r="IK52">
        <v>0</v>
      </c>
      <c r="IL52">
        <v>0</v>
      </c>
      <c r="IM52">
        <v>0</v>
      </c>
      <c r="IN52">
        <v>270</v>
      </c>
      <c r="IO52">
        <v>0</v>
      </c>
      <c r="IP52">
        <v>180</v>
      </c>
      <c r="IQ52">
        <v>0</v>
      </c>
      <c r="IR52">
        <v>330</v>
      </c>
      <c r="IS52">
        <v>0</v>
      </c>
      <c r="IT52">
        <v>90</v>
      </c>
      <c r="IU52">
        <v>0</v>
      </c>
      <c r="IV52">
        <v>6.4</v>
      </c>
      <c r="IW52">
        <v>-6</v>
      </c>
      <c r="IX52">
        <v>110</v>
      </c>
      <c r="IY52">
        <v>80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382</v>
      </c>
      <c r="JJ52">
        <v>362</v>
      </c>
      <c r="JK52">
        <v>265</v>
      </c>
      <c r="JL52">
        <v>362</v>
      </c>
      <c r="JM52">
        <v>290</v>
      </c>
      <c r="JN52">
        <v>215</v>
      </c>
      <c r="JO52">
        <v>264</v>
      </c>
      <c r="JP52">
        <v>200</v>
      </c>
      <c r="JQ52">
        <v>250</v>
      </c>
      <c r="JR52">
        <v>288</v>
      </c>
      <c r="JS52">
        <v>246</v>
      </c>
      <c r="JT52">
        <v>0</v>
      </c>
      <c r="JU52">
        <v>0</v>
      </c>
      <c r="JV52">
        <v>270</v>
      </c>
      <c r="JW52">
        <v>266</v>
      </c>
      <c r="JX52">
        <v>265</v>
      </c>
      <c r="JY52">
        <v>250</v>
      </c>
      <c r="JZ52">
        <v>1</v>
      </c>
      <c r="KA52">
        <v>0.2</v>
      </c>
      <c r="KB52">
        <v>0.4</v>
      </c>
      <c r="KC52">
        <v>0.42</v>
      </c>
      <c r="KD52">
        <v>0.28</v>
      </c>
      <c r="KE52">
        <v>0.8</v>
      </c>
      <c r="KF52">
        <v>0.17</v>
      </c>
      <c r="KG52">
        <v>0.11</v>
      </c>
      <c r="KH52">
        <v>3.5</v>
      </c>
      <c r="KI52">
        <v>1</v>
      </c>
      <c r="KJ52">
        <v>4.5</v>
      </c>
      <c r="KK52">
        <v>0</v>
      </c>
      <c r="KL52">
        <v>4.5</v>
      </c>
      <c r="KM52">
        <v>0</v>
      </c>
      <c r="KN52">
        <v>1.8</v>
      </c>
      <c r="KO52">
        <v>0</v>
      </c>
      <c r="KP52">
        <v>0</v>
      </c>
      <c r="KQ52">
        <v>0.7</v>
      </c>
      <c r="KR52">
        <v>0.7</v>
      </c>
      <c r="KS52">
        <v>0</v>
      </c>
      <c r="KT52">
        <v>1.9</v>
      </c>
      <c r="KU52">
        <v>0</v>
      </c>
      <c r="KV52">
        <v>0</v>
      </c>
      <c r="KW52">
        <v>0.7</v>
      </c>
      <c r="KX52">
        <v>1.5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3</v>
      </c>
      <c r="LI52">
        <v>0</v>
      </c>
      <c r="LJ52">
        <v>0</v>
      </c>
      <c r="LK52">
        <v>9</v>
      </c>
      <c r="LL52">
        <v>5</v>
      </c>
      <c r="LM52">
        <v>9</v>
      </c>
      <c r="LN52">
        <v>0.1</v>
      </c>
      <c r="LO52">
        <v>0.1</v>
      </c>
      <c r="LP52">
        <v>0</v>
      </c>
      <c r="LQ52">
        <v>0</v>
      </c>
      <c r="LR52">
        <v>0</v>
      </c>
      <c r="LS52">
        <v>1</v>
      </c>
      <c r="LT52">
        <v>0</v>
      </c>
      <c r="LU52">
        <v>0</v>
      </c>
      <c r="LV52">
        <v>0</v>
      </c>
      <c r="LW52">
        <v>1.8</v>
      </c>
      <c r="LX52">
        <v>1.8</v>
      </c>
      <c r="LY52">
        <v>1.8</v>
      </c>
      <c r="LZ52">
        <v>1.8</v>
      </c>
      <c r="MA52">
        <v>0</v>
      </c>
      <c r="MB52">
        <v>4</v>
      </c>
      <c r="MC52">
        <v>0</v>
      </c>
      <c r="MD52">
        <v>4.5</v>
      </c>
      <c r="ME52">
        <v>6</v>
      </c>
      <c r="MF52">
        <v>6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420</v>
      </c>
      <c r="MN52">
        <v>210</v>
      </c>
      <c r="MO52">
        <v>264</v>
      </c>
      <c r="NU52">
        <v>0.15</v>
      </c>
      <c r="NV52">
        <v>0.2</v>
      </c>
      <c r="NW52">
        <v>0.2</v>
      </c>
      <c r="NX52">
        <v>2</v>
      </c>
      <c r="NY52">
        <v>2</v>
      </c>
      <c r="NZ52">
        <v>2</v>
      </c>
      <c r="OE52" t="s">
        <v>4308</v>
      </c>
      <c r="OF52" t="s">
        <v>4306</v>
      </c>
      <c r="OG52" t="s">
        <v>4307</v>
      </c>
      <c r="OH52" t="s">
        <v>4043</v>
      </c>
      <c r="OI52" t="s">
        <v>4308</v>
      </c>
      <c r="OJ52" t="s">
        <v>4305</v>
      </c>
      <c r="OK52">
        <v>61</v>
      </c>
      <c r="OL52">
        <v>61</v>
      </c>
      <c r="OM52" t="s">
        <v>4306</v>
      </c>
      <c r="ON52">
        <v>1</v>
      </c>
      <c r="OO52">
        <v>2158</v>
      </c>
      <c r="OP52">
        <v>61</v>
      </c>
      <c r="OQ52">
        <v>61</v>
      </c>
      <c r="OR52" t="s">
        <v>4307</v>
      </c>
      <c r="OS52">
        <v>1</v>
      </c>
      <c r="OT52">
        <v>2170</v>
      </c>
      <c r="OU52">
        <v>65</v>
      </c>
      <c r="OV52">
        <v>65</v>
      </c>
      <c r="OW52" t="s">
        <v>4043</v>
      </c>
      <c r="OX52">
        <v>2</v>
      </c>
      <c r="OY52">
        <v>49505</v>
      </c>
      <c r="OZ52">
        <v>51</v>
      </c>
      <c r="PA52">
        <v>52</v>
      </c>
      <c r="PB52" t="s">
        <v>4308</v>
      </c>
      <c r="PC52">
        <v>3</v>
      </c>
      <c r="PD52">
        <v>2210</v>
      </c>
      <c r="PF52">
        <v>465</v>
      </c>
      <c r="PG52">
        <v>35</v>
      </c>
      <c r="PH52">
        <v>443</v>
      </c>
      <c r="PI52">
        <v>0</v>
      </c>
      <c r="PJ52">
        <v>90.09999999999999</v>
      </c>
      <c r="PL52">
        <v>1201.2</v>
      </c>
      <c r="PM52">
        <v>1314.6</v>
      </c>
      <c r="PN52">
        <v>105.9</v>
      </c>
      <c r="PO52">
        <v>12.5</v>
      </c>
      <c r="PP52">
        <v>12</v>
      </c>
      <c r="PQ52">
        <v>5</v>
      </c>
      <c r="PR52">
        <v>5</v>
      </c>
      <c r="PS52">
        <v>0</v>
      </c>
      <c r="PT52">
        <v>254</v>
      </c>
      <c r="PU52">
        <v>10</v>
      </c>
      <c r="PV52" t="s">
        <v>4072</v>
      </c>
      <c r="PW52" t="s">
        <v>4072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-1</v>
      </c>
      <c r="QF52">
        <v>1</v>
      </c>
      <c r="QG52">
        <v>0</v>
      </c>
      <c r="QH52">
        <v>5</v>
      </c>
      <c r="QI52">
        <v>5</v>
      </c>
      <c r="QJ52">
        <v>5</v>
      </c>
      <c r="QK52">
        <v>207</v>
      </c>
      <c r="QL52">
        <v>412</v>
      </c>
      <c r="QM52">
        <v>7.5</v>
      </c>
      <c r="QN52">
        <v>1623.8</v>
      </c>
      <c r="QO52" t="s">
        <v>1252</v>
      </c>
      <c r="QP52" t="s">
        <v>513</v>
      </c>
      <c r="QQ52">
        <v>0</v>
      </c>
      <c r="QR52" t="s">
        <v>596</v>
      </c>
      <c r="QS52">
        <v>40</v>
      </c>
      <c r="QT52">
        <v>50</v>
      </c>
    </row>
    <row r="53" spans="1:462">
      <c r="A53" t="s">
        <v>1316</v>
      </c>
      <c r="B53" t="s">
        <v>629</v>
      </c>
      <c r="C53" t="s">
        <v>509</v>
      </c>
      <c r="D53" t="s">
        <v>603</v>
      </c>
      <c r="E53" t="s">
        <v>4036</v>
      </c>
      <c r="H53" t="s">
        <v>561</v>
      </c>
      <c r="J53" t="s">
        <v>562</v>
      </c>
      <c r="K53" t="s">
        <v>563</v>
      </c>
      <c r="L53" t="s">
        <v>711</v>
      </c>
      <c r="M53" t="s">
        <v>512</v>
      </c>
      <c r="O53" t="s">
        <v>513</v>
      </c>
      <c r="P53" t="s">
        <v>517</v>
      </c>
      <c r="Q53" t="s">
        <v>684</v>
      </c>
      <c r="R53" t="s">
        <v>685</v>
      </c>
      <c r="S53" t="s">
        <v>4037</v>
      </c>
      <c r="T53" t="s">
        <v>686</v>
      </c>
      <c r="U53" t="s">
        <v>687</v>
      </c>
      <c r="V53" t="s">
        <v>1309</v>
      </c>
      <c r="W53" t="s">
        <v>1242</v>
      </c>
      <c r="X53" t="s">
        <v>1317</v>
      </c>
      <c r="Y53" t="s">
        <v>1318</v>
      </c>
      <c r="Z53" t="s">
        <v>541</v>
      </c>
      <c r="AA53" t="s">
        <v>4038</v>
      </c>
      <c r="AB53" t="s">
        <v>4309</v>
      </c>
      <c r="AC53">
        <v>9</v>
      </c>
      <c r="AD53" t="s">
        <v>1315</v>
      </c>
      <c r="AE53">
        <v>4</v>
      </c>
      <c r="AF53">
        <v>5633</v>
      </c>
      <c r="AG53" t="s">
        <v>4299</v>
      </c>
      <c r="AH53">
        <v>1</v>
      </c>
      <c r="AI53" t="s">
        <v>4041</v>
      </c>
      <c r="AK53" t="s">
        <v>4300</v>
      </c>
      <c r="AL53">
        <v>1</v>
      </c>
      <c r="AM53" t="s">
        <v>582</v>
      </c>
      <c r="AO53" t="s">
        <v>4043</v>
      </c>
      <c r="AP53">
        <v>1</v>
      </c>
      <c r="AR53" t="s">
        <v>4310</v>
      </c>
      <c r="AS53">
        <v>1</v>
      </c>
      <c r="AT53">
        <v>52</v>
      </c>
      <c r="AV53" t="s">
        <v>4078</v>
      </c>
      <c r="AW53">
        <v>6.4</v>
      </c>
      <c r="AX53">
        <v>-6</v>
      </c>
      <c r="AY53">
        <v>105</v>
      </c>
      <c r="AZ53">
        <v>75</v>
      </c>
      <c r="BH53">
        <v>105</v>
      </c>
      <c r="BI53">
        <v>30</v>
      </c>
      <c r="BJ53">
        <v>75</v>
      </c>
      <c r="BK53">
        <v>2.5</v>
      </c>
      <c r="BL53">
        <v>210</v>
      </c>
      <c r="BM53">
        <v>-6</v>
      </c>
      <c r="BN53">
        <v>0</v>
      </c>
      <c r="BP53">
        <v>0</v>
      </c>
      <c r="BR53">
        <v>205</v>
      </c>
      <c r="BS53">
        <v>195</v>
      </c>
      <c r="BT53">
        <v>2165</v>
      </c>
      <c r="BU53" t="s">
        <v>4127</v>
      </c>
      <c r="BV53" t="s">
        <v>4127</v>
      </c>
      <c r="BW53" t="s">
        <v>4128</v>
      </c>
      <c r="BX53" t="s">
        <v>4128</v>
      </c>
      <c r="BY53" t="s">
        <v>4129</v>
      </c>
      <c r="BZ53" t="s">
        <v>4129</v>
      </c>
      <c r="CA53" t="s">
        <v>4130</v>
      </c>
      <c r="CB53" t="s">
        <v>4131</v>
      </c>
      <c r="CC53" t="s">
        <v>4053</v>
      </c>
      <c r="CD53" t="s">
        <v>4055</v>
      </c>
      <c r="CE53" t="s">
        <v>4055</v>
      </c>
      <c r="CF53" t="s">
        <v>4055</v>
      </c>
      <c r="CG53" t="s">
        <v>4056</v>
      </c>
      <c r="CI53" t="s">
        <v>4086</v>
      </c>
      <c r="CJ53" t="s">
        <v>4059</v>
      </c>
      <c r="CK53" t="s">
        <v>4060</v>
      </c>
      <c r="CL53" t="s">
        <v>4061</v>
      </c>
      <c r="CM53" t="s">
        <v>4055</v>
      </c>
      <c r="CN53" t="s">
        <v>4062</v>
      </c>
      <c r="CO53" t="s">
        <v>4063</v>
      </c>
      <c r="CP53" t="s">
        <v>4055</v>
      </c>
      <c r="CQ53" t="s">
        <v>4055</v>
      </c>
      <c r="CR53">
        <v>5</v>
      </c>
      <c r="CS53" t="s">
        <v>4055</v>
      </c>
      <c r="CT53" t="s">
        <v>4055</v>
      </c>
      <c r="CU53" t="s">
        <v>4055</v>
      </c>
      <c r="CV53">
        <v>127</v>
      </c>
      <c r="CW53">
        <v>3</v>
      </c>
      <c r="CX53">
        <v>90</v>
      </c>
      <c r="CY53">
        <v>5</v>
      </c>
      <c r="CZ53">
        <v>154</v>
      </c>
      <c r="DA53">
        <v>5</v>
      </c>
      <c r="DB53">
        <v>13880</v>
      </c>
      <c r="DC53">
        <v>410</v>
      </c>
      <c r="DD53">
        <v>360</v>
      </c>
      <c r="DE53">
        <v>2292</v>
      </c>
      <c r="DF53">
        <v>2292</v>
      </c>
      <c r="DG53">
        <v>2305</v>
      </c>
      <c r="DH53">
        <v>2</v>
      </c>
      <c r="DI53" t="s">
        <v>4055</v>
      </c>
      <c r="DJ53" t="s">
        <v>4132</v>
      </c>
      <c r="DK53">
        <v>205</v>
      </c>
      <c r="DL53" t="s">
        <v>4065</v>
      </c>
      <c r="DM53">
        <v>63</v>
      </c>
      <c r="DN53">
        <v>1.1</v>
      </c>
      <c r="DO53">
        <v>1</v>
      </c>
      <c r="DP53">
        <v>2168</v>
      </c>
      <c r="DQ53">
        <v>960</v>
      </c>
      <c r="DR53" t="s">
        <v>4132</v>
      </c>
      <c r="DS53">
        <v>195</v>
      </c>
      <c r="DT53" t="s">
        <v>4065</v>
      </c>
      <c r="DU53">
        <v>63</v>
      </c>
      <c r="DV53">
        <v>1.1</v>
      </c>
      <c r="DW53">
        <v>1</v>
      </c>
      <c r="DX53">
        <v>2180</v>
      </c>
      <c r="DY53">
        <v>920</v>
      </c>
      <c r="DZ53" t="s">
        <v>4066</v>
      </c>
      <c r="EA53">
        <v>20</v>
      </c>
      <c r="EB53" t="s">
        <v>4065</v>
      </c>
      <c r="EC53">
        <v>0.8</v>
      </c>
      <c r="ED53">
        <v>2168</v>
      </c>
      <c r="EE53">
        <v>76</v>
      </c>
      <c r="EG53">
        <v>0</v>
      </c>
      <c r="EH53" t="s">
        <v>4065</v>
      </c>
      <c r="EI53">
        <v>0</v>
      </c>
      <c r="EL53" t="s">
        <v>1528</v>
      </c>
      <c r="EM53">
        <v>12</v>
      </c>
      <c r="EN53">
        <v>0.5</v>
      </c>
      <c r="EO53">
        <v>0.96</v>
      </c>
      <c r="EP53">
        <v>2178.83</v>
      </c>
      <c r="EQ53">
        <v>37789.08</v>
      </c>
      <c r="ER53">
        <v>10241.54</v>
      </c>
      <c r="ES53">
        <v>0</v>
      </c>
      <c r="ET53">
        <v>0</v>
      </c>
      <c r="EU53">
        <v>1</v>
      </c>
      <c r="EV53">
        <v>48031</v>
      </c>
      <c r="EW53">
        <v>577</v>
      </c>
      <c r="EX53" t="s">
        <v>4287</v>
      </c>
      <c r="EY53">
        <v>220</v>
      </c>
      <c r="EZ53" t="s">
        <v>4055</v>
      </c>
      <c r="FA53">
        <v>5.7</v>
      </c>
      <c r="FB53">
        <v>1</v>
      </c>
      <c r="FC53">
        <v>1</v>
      </c>
      <c r="FD53">
        <v>2221</v>
      </c>
      <c r="FE53">
        <v>2436</v>
      </c>
      <c r="FF53" t="s">
        <v>4288</v>
      </c>
      <c r="FG53">
        <v>220</v>
      </c>
      <c r="FH53" t="s">
        <v>4055</v>
      </c>
      <c r="FI53">
        <v>5.2</v>
      </c>
      <c r="FJ53">
        <v>2221</v>
      </c>
      <c r="FK53">
        <v>2815</v>
      </c>
      <c r="FL53" t="s">
        <v>4069</v>
      </c>
      <c r="FM53" t="s">
        <v>4055</v>
      </c>
      <c r="FN53" t="s">
        <v>4055</v>
      </c>
      <c r="FO53" t="s">
        <v>4055</v>
      </c>
      <c r="FP53">
        <v>2221</v>
      </c>
      <c r="FQ53">
        <v>213</v>
      </c>
      <c r="FR53" t="s">
        <v>4090</v>
      </c>
      <c r="FS53">
        <v>224</v>
      </c>
      <c r="FT53" t="s">
        <v>4055</v>
      </c>
      <c r="FU53">
        <v>0.4</v>
      </c>
      <c r="FV53">
        <v>2221</v>
      </c>
      <c r="FW53">
        <v>221</v>
      </c>
      <c r="FX53" t="s">
        <v>4070</v>
      </c>
      <c r="FY53">
        <v>5</v>
      </c>
      <c r="FZ53" t="s">
        <v>4055</v>
      </c>
      <c r="GA53" t="s">
        <v>4055</v>
      </c>
      <c r="GB53">
        <v>2221</v>
      </c>
      <c r="GC53">
        <v>28</v>
      </c>
      <c r="GD53">
        <v>5713</v>
      </c>
      <c r="GE53" t="s">
        <v>4310</v>
      </c>
      <c r="GF53" t="s">
        <v>4055</v>
      </c>
      <c r="GG53" t="s">
        <v>4055</v>
      </c>
      <c r="GH53" t="s">
        <v>4055</v>
      </c>
      <c r="GI53" t="s">
        <v>4071</v>
      </c>
      <c r="GJ53" t="s">
        <v>4055</v>
      </c>
      <c r="GK53" t="s">
        <v>4055</v>
      </c>
      <c r="GL53" t="s">
        <v>4055</v>
      </c>
      <c r="GM53" t="s">
        <v>4055</v>
      </c>
      <c r="GQ53">
        <v>0</v>
      </c>
      <c r="GV53">
        <v>11.3</v>
      </c>
      <c r="GW53">
        <v>11.5</v>
      </c>
      <c r="GX53">
        <v>0.5</v>
      </c>
      <c r="GY53">
        <v>192</v>
      </c>
      <c r="GZ53">
        <v>3</v>
      </c>
      <c r="HA53">
        <v>240</v>
      </c>
      <c r="HB53">
        <v>3</v>
      </c>
      <c r="HC53">
        <v>2221</v>
      </c>
      <c r="HD53">
        <v>4</v>
      </c>
      <c r="HE53" t="s">
        <v>4071</v>
      </c>
      <c r="HG53" t="s">
        <v>549</v>
      </c>
      <c r="HL53">
        <v>4</v>
      </c>
      <c r="HM53">
        <v>19</v>
      </c>
      <c r="HN53">
        <v>6</v>
      </c>
      <c r="HO53">
        <v>1</v>
      </c>
      <c r="HP53">
        <v>0</v>
      </c>
      <c r="HQ53">
        <v>0</v>
      </c>
      <c r="HR53">
        <v>2</v>
      </c>
      <c r="HS53">
        <v>2165</v>
      </c>
      <c r="HT53">
        <v>5</v>
      </c>
      <c r="HU53">
        <v>1</v>
      </c>
      <c r="HV53">
        <v>5</v>
      </c>
      <c r="HW53">
        <v>0</v>
      </c>
      <c r="HX53">
        <v>1</v>
      </c>
      <c r="HY53">
        <v>0</v>
      </c>
      <c r="HZ53">
        <v>63</v>
      </c>
      <c r="IA53">
        <v>2168</v>
      </c>
      <c r="IB53">
        <v>2180</v>
      </c>
      <c r="ID53">
        <v>2221</v>
      </c>
      <c r="IE53">
        <v>2221</v>
      </c>
      <c r="IF53">
        <v>205</v>
      </c>
      <c r="IG53">
        <v>195</v>
      </c>
      <c r="IH53">
        <v>240</v>
      </c>
      <c r="II53">
        <v>1</v>
      </c>
      <c r="IJ53">
        <v>5</v>
      </c>
      <c r="IK53">
        <v>0</v>
      </c>
      <c r="IL53">
        <v>0</v>
      </c>
      <c r="IM53">
        <v>0</v>
      </c>
      <c r="IN53">
        <v>270</v>
      </c>
      <c r="IO53">
        <v>0</v>
      </c>
      <c r="IP53">
        <v>180</v>
      </c>
      <c r="IQ53">
        <v>0</v>
      </c>
      <c r="IR53">
        <v>330</v>
      </c>
      <c r="IS53">
        <v>0</v>
      </c>
      <c r="IT53">
        <v>90</v>
      </c>
      <c r="IU53">
        <v>0</v>
      </c>
      <c r="IV53">
        <v>6.4</v>
      </c>
      <c r="IW53">
        <v>-6</v>
      </c>
      <c r="IX53">
        <v>105</v>
      </c>
      <c r="IY53">
        <v>75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410</v>
      </c>
      <c r="JJ53">
        <v>380</v>
      </c>
      <c r="JK53">
        <v>270</v>
      </c>
      <c r="JL53">
        <v>378</v>
      </c>
      <c r="JM53">
        <v>296</v>
      </c>
      <c r="JN53">
        <v>220</v>
      </c>
      <c r="JO53">
        <v>260</v>
      </c>
      <c r="JP53">
        <v>180</v>
      </c>
      <c r="JQ53">
        <v>230</v>
      </c>
      <c r="JR53">
        <v>300</v>
      </c>
      <c r="JS53">
        <v>244</v>
      </c>
      <c r="JT53">
        <v>0</v>
      </c>
      <c r="JU53">
        <v>0</v>
      </c>
      <c r="JV53">
        <v>300</v>
      </c>
      <c r="JW53">
        <v>290</v>
      </c>
      <c r="JX53">
        <v>298</v>
      </c>
      <c r="JY53">
        <v>290</v>
      </c>
      <c r="JZ53">
        <v>0.5</v>
      </c>
      <c r="KA53">
        <v>0.2</v>
      </c>
      <c r="KB53">
        <v>0.4</v>
      </c>
      <c r="KC53">
        <v>0.42</v>
      </c>
      <c r="KD53">
        <v>0.28</v>
      </c>
      <c r="KE53">
        <v>0.5</v>
      </c>
      <c r="KF53">
        <v>0.17</v>
      </c>
      <c r="KG53">
        <v>0.11</v>
      </c>
      <c r="KH53">
        <v>3.5</v>
      </c>
      <c r="KI53">
        <v>1</v>
      </c>
      <c r="KJ53">
        <v>4.5</v>
      </c>
      <c r="KK53">
        <v>0</v>
      </c>
      <c r="KL53">
        <v>4.5</v>
      </c>
      <c r="KM53">
        <v>0</v>
      </c>
      <c r="KN53">
        <v>1.9</v>
      </c>
      <c r="KO53">
        <v>0</v>
      </c>
      <c r="KP53">
        <v>0</v>
      </c>
      <c r="KQ53">
        <v>0.5</v>
      </c>
      <c r="KR53">
        <v>0.5</v>
      </c>
      <c r="KS53">
        <v>0</v>
      </c>
      <c r="KT53">
        <v>2.8</v>
      </c>
      <c r="KU53">
        <v>0</v>
      </c>
      <c r="KV53">
        <v>0</v>
      </c>
      <c r="KW53">
        <v>1.2</v>
      </c>
      <c r="KX53">
        <v>2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3</v>
      </c>
      <c r="LI53">
        <v>0.5</v>
      </c>
      <c r="LJ53">
        <v>0</v>
      </c>
      <c r="LK53">
        <v>8</v>
      </c>
      <c r="LL53">
        <v>7</v>
      </c>
      <c r="LM53">
        <v>9</v>
      </c>
      <c r="LN53">
        <v>1</v>
      </c>
      <c r="LO53">
        <v>3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1.8</v>
      </c>
      <c r="LX53">
        <v>1.8</v>
      </c>
      <c r="LY53">
        <v>2.1</v>
      </c>
      <c r="LZ53">
        <v>2.1</v>
      </c>
      <c r="MA53">
        <v>0</v>
      </c>
      <c r="MB53">
        <v>6</v>
      </c>
      <c r="MC53">
        <v>0</v>
      </c>
      <c r="MD53">
        <v>4.5</v>
      </c>
      <c r="ME53">
        <v>6</v>
      </c>
      <c r="MF53">
        <v>6</v>
      </c>
      <c r="MI53">
        <v>0</v>
      </c>
      <c r="MJ53">
        <v>0</v>
      </c>
      <c r="ML53">
        <v>0</v>
      </c>
      <c r="MM53">
        <v>420</v>
      </c>
      <c r="MN53">
        <v>200</v>
      </c>
      <c r="MO53">
        <v>250</v>
      </c>
      <c r="NU53">
        <v>0.15</v>
      </c>
      <c r="NV53">
        <v>0.25</v>
      </c>
      <c r="NW53">
        <v>0.3</v>
      </c>
      <c r="NX53">
        <v>0.2</v>
      </c>
      <c r="NY53">
        <v>0.2</v>
      </c>
      <c r="NZ53">
        <v>0.2</v>
      </c>
      <c r="OE53" t="s">
        <v>4310</v>
      </c>
      <c r="OF53" t="s">
        <v>4299</v>
      </c>
      <c r="OG53" t="s">
        <v>4300</v>
      </c>
      <c r="OH53" t="s">
        <v>4043</v>
      </c>
      <c r="OI53" t="s">
        <v>4310</v>
      </c>
      <c r="OJ53" t="s">
        <v>4309</v>
      </c>
      <c r="OK53">
        <v>61</v>
      </c>
      <c r="OL53">
        <v>61</v>
      </c>
      <c r="OM53" t="s">
        <v>4299</v>
      </c>
      <c r="ON53">
        <v>1</v>
      </c>
      <c r="OO53">
        <v>2168</v>
      </c>
      <c r="OP53">
        <v>61</v>
      </c>
      <c r="OQ53">
        <v>61</v>
      </c>
      <c r="OR53" t="s">
        <v>4300</v>
      </c>
      <c r="OS53">
        <v>1</v>
      </c>
      <c r="OT53">
        <v>2180</v>
      </c>
      <c r="OU53">
        <v>65</v>
      </c>
      <c r="OV53">
        <v>65</v>
      </c>
      <c r="OW53" t="s">
        <v>4043</v>
      </c>
      <c r="OX53">
        <v>2</v>
      </c>
      <c r="OY53">
        <v>48031</v>
      </c>
      <c r="OZ53">
        <v>51</v>
      </c>
      <c r="PA53">
        <v>52</v>
      </c>
      <c r="PB53" t="s">
        <v>4310</v>
      </c>
      <c r="PC53">
        <v>1</v>
      </c>
      <c r="PD53">
        <v>2221</v>
      </c>
      <c r="PF53">
        <v>443</v>
      </c>
      <c r="PG53">
        <v>35</v>
      </c>
      <c r="PH53">
        <v>422</v>
      </c>
      <c r="PI53">
        <v>0</v>
      </c>
      <c r="PJ53">
        <v>96</v>
      </c>
      <c r="PK53">
        <v>2550</v>
      </c>
      <c r="PL53">
        <v>1096.8</v>
      </c>
      <c r="PM53">
        <v>1267.5</v>
      </c>
      <c r="PN53">
        <v>99.59999999999999</v>
      </c>
      <c r="PO53">
        <v>12.7</v>
      </c>
      <c r="PP53">
        <v>12</v>
      </c>
      <c r="PQ53">
        <v>5</v>
      </c>
      <c r="PR53">
        <v>5</v>
      </c>
      <c r="PS53">
        <v>0</v>
      </c>
      <c r="PT53">
        <v>240</v>
      </c>
      <c r="PU53">
        <v>10</v>
      </c>
      <c r="PV53" t="s">
        <v>4072</v>
      </c>
      <c r="PW53" t="s">
        <v>4072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-1</v>
      </c>
      <c r="QF53">
        <v>1</v>
      </c>
      <c r="QG53">
        <v>0</v>
      </c>
      <c r="QH53">
        <v>5</v>
      </c>
      <c r="QI53">
        <v>5</v>
      </c>
      <c r="QJ53">
        <v>5</v>
      </c>
      <c r="QK53">
        <v>221</v>
      </c>
      <c r="QL53">
        <v>440</v>
      </c>
      <c r="QM53">
        <v>7.5</v>
      </c>
      <c r="QN53">
        <v>1544.1</v>
      </c>
      <c r="QO53" t="s">
        <v>1252</v>
      </c>
      <c r="QP53" t="s">
        <v>513</v>
      </c>
      <c r="QQ53">
        <v>0</v>
      </c>
      <c r="QR53" t="s">
        <v>596</v>
      </c>
      <c r="QS53">
        <v>40</v>
      </c>
      <c r="QT53">
        <v>50</v>
      </c>
    </row>
    <row r="54" spans="1:462">
      <c r="A54" t="s">
        <v>1325</v>
      </c>
      <c r="B54" t="s">
        <v>559</v>
      </c>
      <c r="C54" t="s">
        <v>509</v>
      </c>
      <c r="D54" t="s">
        <v>1324</v>
      </c>
      <c r="E54" t="s">
        <v>4036</v>
      </c>
      <c r="H54" t="s">
        <v>561</v>
      </c>
      <c r="J54" t="s">
        <v>562</v>
      </c>
      <c r="K54" t="s">
        <v>563</v>
      </c>
      <c r="L54" t="s">
        <v>564</v>
      </c>
      <c r="M54" t="s">
        <v>512</v>
      </c>
      <c r="O54" t="s">
        <v>513</v>
      </c>
      <c r="P54" t="s">
        <v>517</v>
      </c>
      <c r="Q54" t="s">
        <v>1326</v>
      </c>
      <c r="R54" t="s">
        <v>1327</v>
      </c>
      <c r="S54" t="s">
        <v>4073</v>
      </c>
      <c r="T54" t="s">
        <v>570</v>
      </c>
      <c r="U54" t="s">
        <v>571</v>
      </c>
      <c r="V54" t="s">
        <v>1309</v>
      </c>
      <c r="W54" t="s">
        <v>1242</v>
      </c>
      <c r="X54" t="s">
        <v>1328</v>
      </c>
      <c r="Y54" t="s">
        <v>1329</v>
      </c>
      <c r="Z54" t="s">
        <v>541</v>
      </c>
      <c r="AA54" t="s">
        <v>4038</v>
      </c>
      <c r="AB54" t="s">
        <v>4311</v>
      </c>
      <c r="AC54">
        <v>9</v>
      </c>
      <c r="AD54" t="s">
        <v>1323</v>
      </c>
      <c r="AE54">
        <v>6</v>
      </c>
      <c r="AF54">
        <v>5664</v>
      </c>
      <c r="AG54" t="s">
        <v>4312</v>
      </c>
      <c r="AH54">
        <v>1</v>
      </c>
      <c r="AI54" t="s">
        <v>4041</v>
      </c>
      <c r="AK54" t="s">
        <v>4313</v>
      </c>
      <c r="AL54">
        <v>1</v>
      </c>
      <c r="AM54" t="s">
        <v>582</v>
      </c>
      <c r="AO54" t="s">
        <v>4043</v>
      </c>
      <c r="AP54">
        <v>1</v>
      </c>
      <c r="AR54" t="s">
        <v>4314</v>
      </c>
      <c r="AS54">
        <v>1</v>
      </c>
      <c r="AT54">
        <v>52</v>
      </c>
      <c r="AV54" t="s">
        <v>4078</v>
      </c>
      <c r="AW54">
        <v>6.4</v>
      </c>
      <c r="AX54">
        <v>-6</v>
      </c>
      <c r="AY54">
        <v>107.5</v>
      </c>
      <c r="AZ54">
        <v>71.5</v>
      </c>
      <c r="BH54">
        <v>107.5</v>
      </c>
      <c r="BI54">
        <v>36</v>
      </c>
      <c r="BJ54">
        <v>71.5</v>
      </c>
      <c r="BK54">
        <v>2.5</v>
      </c>
      <c r="BL54">
        <v>215</v>
      </c>
      <c r="BM54">
        <v>-6</v>
      </c>
      <c r="BN54">
        <v>0</v>
      </c>
      <c r="BO54">
        <v>0</v>
      </c>
      <c r="BP54">
        <v>0</v>
      </c>
      <c r="BR54">
        <v>210</v>
      </c>
      <c r="BS54">
        <v>200</v>
      </c>
      <c r="BT54">
        <v>2205</v>
      </c>
      <c r="BU54" t="s">
        <v>4127</v>
      </c>
      <c r="BV54" t="s">
        <v>4079</v>
      </c>
      <c r="BW54" t="s">
        <v>4128</v>
      </c>
      <c r="BX54" t="s">
        <v>4081</v>
      </c>
      <c r="BY54" t="s">
        <v>4164</v>
      </c>
      <c r="BZ54" t="s">
        <v>4164</v>
      </c>
      <c r="CA54" t="s">
        <v>4084</v>
      </c>
      <c r="CB54" t="s">
        <v>4085</v>
      </c>
      <c r="CC54" t="s">
        <v>4053</v>
      </c>
      <c r="CD54" t="s">
        <v>4055</v>
      </c>
      <c r="CE54" t="s">
        <v>4055</v>
      </c>
      <c r="CF54" t="s">
        <v>4055</v>
      </c>
      <c r="CG54" t="s">
        <v>4056</v>
      </c>
      <c r="CI54" t="s">
        <v>4086</v>
      </c>
      <c r="CJ54" t="s">
        <v>4059</v>
      </c>
      <c r="CK54" t="s">
        <v>4060</v>
      </c>
      <c r="CL54" t="s">
        <v>4061</v>
      </c>
      <c r="CM54" t="s">
        <v>4055</v>
      </c>
      <c r="CN54" t="s">
        <v>4062</v>
      </c>
      <c r="CO54" t="s">
        <v>4063</v>
      </c>
      <c r="CP54" t="s">
        <v>4055</v>
      </c>
      <c r="CQ54" t="s">
        <v>4055</v>
      </c>
      <c r="CR54">
        <v>5</v>
      </c>
      <c r="CS54" t="s">
        <v>4055</v>
      </c>
      <c r="CT54" t="s">
        <v>4055</v>
      </c>
      <c r="CU54" t="s">
        <v>4055</v>
      </c>
      <c r="CV54">
        <v>130</v>
      </c>
      <c r="CW54">
        <v>3</v>
      </c>
      <c r="CX54">
        <v>95</v>
      </c>
      <c r="CY54">
        <v>5</v>
      </c>
      <c r="CZ54">
        <v>157</v>
      </c>
      <c r="DA54">
        <v>5</v>
      </c>
      <c r="DB54">
        <v>14180</v>
      </c>
      <c r="DC54">
        <v>420</v>
      </c>
      <c r="DD54">
        <v>357</v>
      </c>
      <c r="DE54">
        <v>2333</v>
      </c>
      <c r="DF54">
        <v>2333</v>
      </c>
      <c r="DG54">
        <v>2346</v>
      </c>
      <c r="DH54">
        <v>2</v>
      </c>
      <c r="DI54" t="s">
        <v>4055</v>
      </c>
      <c r="DJ54" t="s">
        <v>4132</v>
      </c>
      <c r="DK54">
        <v>210</v>
      </c>
      <c r="DL54" t="s">
        <v>4065</v>
      </c>
      <c r="DM54">
        <v>63</v>
      </c>
      <c r="DN54">
        <v>1.1</v>
      </c>
      <c r="DO54">
        <v>1</v>
      </c>
      <c r="DP54">
        <v>2208</v>
      </c>
      <c r="DQ54">
        <v>1002</v>
      </c>
      <c r="DR54" t="s">
        <v>4132</v>
      </c>
      <c r="DS54">
        <v>200</v>
      </c>
      <c r="DT54" t="s">
        <v>4065</v>
      </c>
      <c r="DU54">
        <v>63</v>
      </c>
      <c r="DV54">
        <v>1.1</v>
      </c>
      <c r="DW54">
        <v>1</v>
      </c>
      <c r="DX54">
        <v>2220</v>
      </c>
      <c r="DY54">
        <v>961</v>
      </c>
      <c r="DZ54" t="s">
        <v>4066</v>
      </c>
      <c r="EA54">
        <v>20</v>
      </c>
      <c r="EB54" t="s">
        <v>4065</v>
      </c>
      <c r="EC54">
        <v>0.8</v>
      </c>
      <c r="ED54">
        <v>2208</v>
      </c>
      <c r="EE54">
        <v>77</v>
      </c>
      <c r="EG54">
        <v>0</v>
      </c>
      <c r="EH54" t="s">
        <v>4065</v>
      </c>
      <c r="EI54">
        <v>0</v>
      </c>
      <c r="EL54" t="s">
        <v>1528</v>
      </c>
      <c r="EM54">
        <v>12</v>
      </c>
      <c r="EN54">
        <v>0.5</v>
      </c>
      <c r="EO54">
        <v>0.96</v>
      </c>
      <c r="EP54">
        <v>2218.83</v>
      </c>
      <c r="EQ54">
        <v>39349.56</v>
      </c>
      <c r="ER54">
        <v>12514.85</v>
      </c>
      <c r="ES54">
        <v>0</v>
      </c>
      <c r="ET54">
        <v>0</v>
      </c>
      <c r="EU54">
        <v>1</v>
      </c>
      <c r="EV54">
        <v>51865</v>
      </c>
      <c r="EW54">
        <v>623</v>
      </c>
      <c r="EX54" t="s">
        <v>4287</v>
      </c>
      <c r="EY54">
        <v>226</v>
      </c>
      <c r="EZ54" t="s">
        <v>4055</v>
      </c>
      <c r="FA54">
        <v>5.4</v>
      </c>
      <c r="FB54">
        <v>1</v>
      </c>
      <c r="FC54">
        <v>1</v>
      </c>
      <c r="FD54">
        <v>2260</v>
      </c>
      <c r="FE54">
        <v>2420</v>
      </c>
      <c r="FF54" t="s">
        <v>4288</v>
      </c>
      <c r="FG54">
        <v>226</v>
      </c>
      <c r="FH54" t="s">
        <v>4055</v>
      </c>
      <c r="FI54">
        <v>5.2</v>
      </c>
      <c r="FJ54">
        <v>2260</v>
      </c>
      <c r="FK54">
        <v>2944</v>
      </c>
      <c r="FL54" t="s">
        <v>4069</v>
      </c>
      <c r="FM54" t="s">
        <v>4055</v>
      </c>
      <c r="FN54" t="s">
        <v>4055</v>
      </c>
      <c r="FO54" t="s">
        <v>4055</v>
      </c>
      <c r="FP54">
        <v>2260</v>
      </c>
      <c r="FQ54">
        <v>226</v>
      </c>
      <c r="FR54" t="s">
        <v>4090</v>
      </c>
      <c r="FS54">
        <v>230</v>
      </c>
      <c r="FT54" t="s">
        <v>4055</v>
      </c>
      <c r="FU54">
        <v>0.4</v>
      </c>
      <c r="FV54">
        <v>2260</v>
      </c>
      <c r="FW54">
        <v>231</v>
      </c>
      <c r="FX54" t="s">
        <v>4070</v>
      </c>
      <c r="FY54">
        <v>5</v>
      </c>
      <c r="FZ54" t="s">
        <v>4055</v>
      </c>
      <c r="GA54" t="s">
        <v>4055</v>
      </c>
      <c r="GB54">
        <v>2260</v>
      </c>
      <c r="GC54">
        <v>29</v>
      </c>
      <c r="GD54">
        <v>5850</v>
      </c>
      <c r="GE54" t="s">
        <v>4314</v>
      </c>
      <c r="GF54" t="s">
        <v>4055</v>
      </c>
      <c r="GG54" t="s">
        <v>4055</v>
      </c>
      <c r="GH54" t="s">
        <v>4055</v>
      </c>
      <c r="GI54" t="s">
        <v>4071</v>
      </c>
      <c r="GJ54" t="s">
        <v>4055</v>
      </c>
      <c r="GK54" t="s">
        <v>4055</v>
      </c>
      <c r="GL54" t="s">
        <v>4055</v>
      </c>
      <c r="GM54" t="s">
        <v>4055</v>
      </c>
      <c r="GQ54">
        <v>0</v>
      </c>
      <c r="GV54">
        <v>11</v>
      </c>
      <c r="GW54">
        <v>11.8</v>
      </c>
      <c r="GX54">
        <v>0.5</v>
      </c>
      <c r="GY54">
        <v>198</v>
      </c>
      <c r="GZ54">
        <v>3</v>
      </c>
      <c r="HA54">
        <v>246</v>
      </c>
      <c r="HB54">
        <v>3</v>
      </c>
      <c r="HC54">
        <v>2260</v>
      </c>
      <c r="HD54">
        <v>4</v>
      </c>
      <c r="HE54" t="s">
        <v>4071</v>
      </c>
      <c r="HG54" t="s">
        <v>549</v>
      </c>
      <c r="HL54">
        <v>4</v>
      </c>
      <c r="HM54">
        <v>20</v>
      </c>
      <c r="HN54">
        <v>6</v>
      </c>
      <c r="HO54">
        <v>1</v>
      </c>
      <c r="HP54">
        <v>0</v>
      </c>
      <c r="HQ54">
        <v>0</v>
      </c>
      <c r="HR54">
        <v>2</v>
      </c>
      <c r="HS54">
        <v>2205</v>
      </c>
      <c r="HT54">
        <v>5</v>
      </c>
      <c r="HU54">
        <v>1</v>
      </c>
      <c r="HV54">
        <v>5</v>
      </c>
      <c r="HW54">
        <v>0</v>
      </c>
      <c r="HX54">
        <v>1</v>
      </c>
      <c r="HY54">
        <v>0</v>
      </c>
      <c r="HZ54">
        <v>63</v>
      </c>
      <c r="IA54">
        <v>2208</v>
      </c>
      <c r="IB54">
        <v>2220</v>
      </c>
      <c r="ID54">
        <v>2260</v>
      </c>
      <c r="IE54">
        <v>2260</v>
      </c>
      <c r="IF54">
        <v>210</v>
      </c>
      <c r="IG54">
        <v>200</v>
      </c>
      <c r="IH54">
        <v>246</v>
      </c>
      <c r="II54">
        <v>1</v>
      </c>
      <c r="IJ54">
        <v>10</v>
      </c>
      <c r="IK54">
        <v>0</v>
      </c>
      <c r="IL54">
        <v>0</v>
      </c>
      <c r="IM54">
        <v>0</v>
      </c>
      <c r="IN54">
        <v>270</v>
      </c>
      <c r="IO54">
        <v>0</v>
      </c>
      <c r="IP54">
        <v>180</v>
      </c>
      <c r="IQ54">
        <v>0</v>
      </c>
      <c r="IR54">
        <v>330</v>
      </c>
      <c r="IS54">
        <v>0</v>
      </c>
      <c r="IT54">
        <v>90</v>
      </c>
      <c r="IU54">
        <v>0</v>
      </c>
      <c r="IV54">
        <v>6.4</v>
      </c>
      <c r="IW54">
        <v>-6</v>
      </c>
      <c r="IX54">
        <v>107.5</v>
      </c>
      <c r="IY54">
        <v>71.5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400</v>
      </c>
      <c r="JJ54">
        <v>370</v>
      </c>
      <c r="JK54">
        <v>275</v>
      </c>
      <c r="JL54">
        <v>368</v>
      </c>
      <c r="JM54">
        <v>295</v>
      </c>
      <c r="JN54">
        <v>215</v>
      </c>
      <c r="JO54">
        <v>255</v>
      </c>
      <c r="JP54">
        <v>170</v>
      </c>
      <c r="JQ54">
        <v>225</v>
      </c>
      <c r="JR54">
        <v>305</v>
      </c>
      <c r="JS54">
        <v>235</v>
      </c>
      <c r="JT54">
        <v>0</v>
      </c>
      <c r="JU54">
        <v>0</v>
      </c>
      <c r="JV54">
        <v>300</v>
      </c>
      <c r="JW54">
        <v>290</v>
      </c>
      <c r="JX54">
        <v>290</v>
      </c>
      <c r="JY54">
        <v>260</v>
      </c>
      <c r="JZ54">
        <v>0.5</v>
      </c>
      <c r="KA54">
        <v>0.2</v>
      </c>
      <c r="KB54">
        <v>0.4</v>
      </c>
      <c r="KC54">
        <v>0.42</v>
      </c>
      <c r="KD54">
        <v>0.3</v>
      </c>
      <c r="KE54">
        <v>0.5</v>
      </c>
      <c r="KF54">
        <v>0.17</v>
      </c>
      <c r="KG54">
        <v>0.12</v>
      </c>
      <c r="KH54">
        <v>3.5</v>
      </c>
      <c r="KI54">
        <v>1</v>
      </c>
      <c r="KJ54">
        <v>4.5</v>
      </c>
      <c r="KK54">
        <v>0</v>
      </c>
      <c r="KL54">
        <v>4.5</v>
      </c>
      <c r="KM54">
        <v>0</v>
      </c>
      <c r="KN54">
        <v>1.8</v>
      </c>
      <c r="KO54">
        <v>0</v>
      </c>
      <c r="KP54">
        <v>0</v>
      </c>
      <c r="KQ54">
        <v>0.7</v>
      </c>
      <c r="KR54">
        <v>0.5</v>
      </c>
      <c r="KS54">
        <v>0</v>
      </c>
      <c r="KT54">
        <v>2.8</v>
      </c>
      <c r="KU54">
        <v>0</v>
      </c>
      <c r="KV54">
        <v>0</v>
      </c>
      <c r="KW54">
        <v>0.7</v>
      </c>
      <c r="KX54">
        <v>1.5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3</v>
      </c>
      <c r="LI54">
        <v>2.5</v>
      </c>
      <c r="LJ54">
        <v>0</v>
      </c>
      <c r="LK54">
        <v>7</v>
      </c>
      <c r="LL54">
        <v>7</v>
      </c>
      <c r="LM54">
        <v>8</v>
      </c>
      <c r="LN54">
        <v>0.5</v>
      </c>
      <c r="LO54">
        <v>1</v>
      </c>
      <c r="LP54">
        <v>0</v>
      </c>
      <c r="LQ54">
        <v>0</v>
      </c>
      <c r="LR54">
        <v>0</v>
      </c>
      <c r="LS54">
        <v>1</v>
      </c>
      <c r="LT54">
        <v>0</v>
      </c>
      <c r="LU54">
        <v>0</v>
      </c>
      <c r="LV54">
        <v>0</v>
      </c>
      <c r="LW54">
        <v>2.1</v>
      </c>
      <c r="LX54">
        <v>2.1</v>
      </c>
      <c r="LY54">
        <v>2.8</v>
      </c>
      <c r="LZ54">
        <v>2.8</v>
      </c>
      <c r="MA54">
        <v>0</v>
      </c>
      <c r="MB54">
        <v>9</v>
      </c>
      <c r="MC54">
        <v>0</v>
      </c>
      <c r="MD54">
        <v>4.5</v>
      </c>
      <c r="ME54">
        <v>6</v>
      </c>
      <c r="MF54">
        <v>6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420</v>
      </c>
      <c r="MN54">
        <v>210</v>
      </c>
      <c r="MO54">
        <v>265</v>
      </c>
      <c r="NU54">
        <v>0.15</v>
      </c>
      <c r="NV54">
        <v>0.2</v>
      </c>
      <c r="NW54">
        <v>0.2</v>
      </c>
      <c r="NX54">
        <v>0.2</v>
      </c>
      <c r="NY54">
        <v>0.2</v>
      </c>
      <c r="NZ54">
        <v>0.2</v>
      </c>
      <c r="OE54" t="s">
        <v>4314</v>
      </c>
      <c r="OF54" t="s">
        <v>4312</v>
      </c>
      <c r="OG54" t="s">
        <v>4313</v>
      </c>
      <c r="OH54" t="s">
        <v>4043</v>
      </c>
      <c r="OI54" t="s">
        <v>4314</v>
      </c>
      <c r="OJ54" t="s">
        <v>4311</v>
      </c>
      <c r="OK54">
        <v>61</v>
      </c>
      <c r="OL54">
        <v>61</v>
      </c>
      <c r="OM54" t="s">
        <v>4312</v>
      </c>
      <c r="ON54">
        <v>1</v>
      </c>
      <c r="OO54">
        <v>2208</v>
      </c>
      <c r="OP54">
        <v>61</v>
      </c>
      <c r="OQ54">
        <v>61</v>
      </c>
      <c r="OR54" t="s">
        <v>4313</v>
      </c>
      <c r="OS54">
        <v>1</v>
      </c>
      <c r="OT54">
        <v>2220</v>
      </c>
      <c r="OU54">
        <v>65</v>
      </c>
      <c r="OV54">
        <v>65</v>
      </c>
      <c r="OW54" t="s">
        <v>4043</v>
      </c>
      <c r="OX54">
        <v>2</v>
      </c>
      <c r="OY54">
        <v>51865</v>
      </c>
      <c r="OZ54">
        <v>51</v>
      </c>
      <c r="PA54">
        <v>52</v>
      </c>
      <c r="PB54" t="s">
        <v>4314</v>
      </c>
      <c r="PC54">
        <v>4</v>
      </c>
      <c r="PD54">
        <v>2260</v>
      </c>
      <c r="PF54">
        <v>454</v>
      </c>
      <c r="PG54">
        <v>35</v>
      </c>
      <c r="PH54">
        <v>433</v>
      </c>
      <c r="PI54">
        <v>0</v>
      </c>
      <c r="PJ54">
        <v>99.8</v>
      </c>
      <c r="PK54">
        <v>2562</v>
      </c>
      <c r="PL54">
        <v>1070.9</v>
      </c>
      <c r="PM54">
        <v>1302.5</v>
      </c>
      <c r="PN54">
        <v>102.3</v>
      </c>
      <c r="PO54">
        <v>12.8</v>
      </c>
      <c r="PP54">
        <v>12</v>
      </c>
      <c r="PQ54">
        <v>5</v>
      </c>
      <c r="PR54">
        <v>4</v>
      </c>
      <c r="PS54">
        <v>0</v>
      </c>
      <c r="PT54">
        <v>246</v>
      </c>
      <c r="PU54">
        <v>10</v>
      </c>
      <c r="PV54" t="s">
        <v>4072</v>
      </c>
      <c r="PW54" t="s">
        <v>4072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-1</v>
      </c>
      <c r="QF54">
        <v>1</v>
      </c>
      <c r="QG54">
        <v>0</v>
      </c>
      <c r="QH54">
        <v>5</v>
      </c>
      <c r="QI54">
        <v>5</v>
      </c>
      <c r="QJ54">
        <v>5</v>
      </c>
      <c r="QK54">
        <v>215</v>
      </c>
      <c r="QL54">
        <v>430</v>
      </c>
      <c r="QM54">
        <v>7.5</v>
      </c>
      <c r="QN54">
        <v>1623.8</v>
      </c>
      <c r="QO54" t="s">
        <v>1252</v>
      </c>
      <c r="QP54" t="s">
        <v>513</v>
      </c>
      <c r="QQ54">
        <v>0</v>
      </c>
      <c r="QR54" t="s">
        <v>596</v>
      </c>
      <c r="QS54">
        <v>40</v>
      </c>
      <c r="QT54">
        <v>50</v>
      </c>
    </row>
    <row r="55" spans="1:462">
      <c r="A55" t="s">
        <v>1336</v>
      </c>
      <c r="B55" t="s">
        <v>559</v>
      </c>
      <c r="C55" t="s">
        <v>509</v>
      </c>
      <c r="D55" t="s">
        <v>1335</v>
      </c>
      <c r="E55" t="s">
        <v>4036</v>
      </c>
      <c r="H55" t="s">
        <v>1294</v>
      </c>
      <c r="J55" t="s">
        <v>562</v>
      </c>
      <c r="K55" t="s">
        <v>563</v>
      </c>
      <c r="L55" t="s">
        <v>564</v>
      </c>
      <c r="M55" t="s">
        <v>512</v>
      </c>
      <c r="O55" t="s">
        <v>513</v>
      </c>
      <c r="P55" t="s">
        <v>517</v>
      </c>
      <c r="Q55" t="s">
        <v>774</v>
      </c>
      <c r="R55" t="s">
        <v>661</v>
      </c>
      <c r="S55" t="s">
        <v>4037</v>
      </c>
      <c r="T55" t="s">
        <v>686</v>
      </c>
      <c r="U55" t="s">
        <v>687</v>
      </c>
      <c r="V55" t="s">
        <v>1283</v>
      </c>
      <c r="W55" t="s">
        <v>1242</v>
      </c>
      <c r="X55" t="s">
        <v>1337</v>
      </c>
      <c r="Y55" t="s">
        <v>1338</v>
      </c>
      <c r="Z55" t="s">
        <v>541</v>
      </c>
      <c r="AA55" t="s">
        <v>4038</v>
      </c>
      <c r="AB55" t="s">
        <v>4315</v>
      </c>
      <c r="AC55">
        <v>9</v>
      </c>
      <c r="AD55" t="s">
        <v>1334</v>
      </c>
      <c r="AE55">
        <v>6</v>
      </c>
      <c r="AF55">
        <v>5076</v>
      </c>
      <c r="AG55" t="s">
        <v>4316</v>
      </c>
      <c r="AH55">
        <v>1</v>
      </c>
      <c r="AI55" t="s">
        <v>4041</v>
      </c>
      <c r="AK55" t="s">
        <v>4317</v>
      </c>
      <c r="AL55">
        <v>1</v>
      </c>
      <c r="AM55" t="s">
        <v>582</v>
      </c>
      <c r="AO55" t="s">
        <v>4043</v>
      </c>
      <c r="AP55">
        <v>1</v>
      </c>
      <c r="AR55" t="s">
        <v>4318</v>
      </c>
      <c r="AS55">
        <v>1</v>
      </c>
      <c r="AT55">
        <v>52</v>
      </c>
      <c r="AV55" t="s">
        <v>4078</v>
      </c>
      <c r="AW55">
        <v>6.4</v>
      </c>
      <c r="AX55">
        <v>-6</v>
      </c>
      <c r="AY55">
        <v>100</v>
      </c>
      <c r="AZ55">
        <v>70</v>
      </c>
      <c r="BH55">
        <v>100</v>
      </c>
      <c r="BI55">
        <v>30</v>
      </c>
      <c r="BJ55">
        <v>70</v>
      </c>
      <c r="BK55">
        <v>2.5</v>
      </c>
      <c r="BL55">
        <v>200</v>
      </c>
      <c r="BM55">
        <v>-6</v>
      </c>
      <c r="BN55">
        <v>0</v>
      </c>
      <c r="BO55">
        <v>0</v>
      </c>
      <c r="BP55">
        <v>0</v>
      </c>
      <c r="BR55">
        <v>195</v>
      </c>
      <c r="BS55">
        <v>185</v>
      </c>
      <c r="BT55">
        <v>2135</v>
      </c>
      <c r="BU55" t="s">
        <v>4127</v>
      </c>
      <c r="BV55" t="s">
        <v>4127</v>
      </c>
      <c r="BW55" t="s">
        <v>4128</v>
      </c>
      <c r="BX55" t="s">
        <v>4128</v>
      </c>
      <c r="BY55" t="s">
        <v>4160</v>
      </c>
      <c r="BZ55" t="s">
        <v>4129</v>
      </c>
      <c r="CA55" t="s">
        <v>4130</v>
      </c>
      <c r="CB55" t="s">
        <v>4131</v>
      </c>
      <c r="CC55" t="s">
        <v>4053</v>
      </c>
      <c r="CD55" t="s">
        <v>4055</v>
      </c>
      <c r="CE55" t="s">
        <v>4055</v>
      </c>
      <c r="CF55" t="s">
        <v>4055</v>
      </c>
      <c r="CG55" t="s">
        <v>4056</v>
      </c>
      <c r="CI55" t="s">
        <v>4086</v>
      </c>
      <c r="CJ55" t="s">
        <v>4059</v>
      </c>
      <c r="CK55" t="s">
        <v>4060</v>
      </c>
      <c r="CL55" t="s">
        <v>4061</v>
      </c>
      <c r="CM55" t="s">
        <v>4055</v>
      </c>
      <c r="CN55" t="s">
        <v>4062</v>
      </c>
      <c r="CO55" t="s">
        <v>4063</v>
      </c>
      <c r="CP55" t="s">
        <v>4055</v>
      </c>
      <c r="CQ55" t="s">
        <v>4055</v>
      </c>
      <c r="CR55">
        <v>5</v>
      </c>
      <c r="CS55" t="s">
        <v>4055</v>
      </c>
      <c r="CT55" t="s">
        <v>4055</v>
      </c>
      <c r="CU55" t="s">
        <v>4055</v>
      </c>
      <c r="CV55">
        <v>124</v>
      </c>
      <c r="CW55">
        <v>3</v>
      </c>
      <c r="CX55">
        <v>86</v>
      </c>
      <c r="CY55">
        <v>5</v>
      </c>
      <c r="CZ55">
        <v>80</v>
      </c>
      <c r="DA55">
        <v>5</v>
      </c>
      <c r="DB55">
        <v>12710</v>
      </c>
      <c r="DC55">
        <v>380</v>
      </c>
      <c r="DD55">
        <v>339</v>
      </c>
      <c r="DE55">
        <v>2261</v>
      </c>
      <c r="DF55">
        <v>2261</v>
      </c>
      <c r="DG55">
        <v>2274</v>
      </c>
      <c r="DH55">
        <v>1</v>
      </c>
      <c r="DI55" t="s">
        <v>4055</v>
      </c>
      <c r="DJ55" t="s">
        <v>4132</v>
      </c>
      <c r="DK55">
        <v>195</v>
      </c>
      <c r="DL55" t="s">
        <v>4065</v>
      </c>
      <c r="DM55">
        <v>63</v>
      </c>
      <c r="DN55">
        <v>1.1</v>
      </c>
      <c r="DO55">
        <v>1</v>
      </c>
      <c r="DP55">
        <v>2138</v>
      </c>
      <c r="DQ55">
        <v>902</v>
      </c>
      <c r="DR55" t="s">
        <v>4132</v>
      </c>
      <c r="DS55">
        <v>185</v>
      </c>
      <c r="DT55" t="s">
        <v>4065</v>
      </c>
      <c r="DU55">
        <v>63</v>
      </c>
      <c r="DV55">
        <v>1.1</v>
      </c>
      <c r="DW55">
        <v>1</v>
      </c>
      <c r="DX55">
        <v>2150</v>
      </c>
      <c r="DY55">
        <v>860</v>
      </c>
      <c r="DZ55" t="s">
        <v>4066</v>
      </c>
      <c r="EA55">
        <v>20</v>
      </c>
      <c r="EB55" t="s">
        <v>4065</v>
      </c>
      <c r="EC55">
        <v>0.8</v>
      </c>
      <c r="ED55">
        <v>2138</v>
      </c>
      <c r="EE55">
        <v>75</v>
      </c>
      <c r="EG55">
        <v>0</v>
      </c>
      <c r="EH55" t="s">
        <v>4065</v>
      </c>
      <c r="EI55">
        <v>0</v>
      </c>
      <c r="EL55" t="s">
        <v>1528</v>
      </c>
      <c r="EM55">
        <v>12</v>
      </c>
      <c r="EN55">
        <v>0.5</v>
      </c>
      <c r="EO55">
        <v>0.96</v>
      </c>
      <c r="EP55">
        <v>2148.83</v>
      </c>
      <c r="EQ55">
        <v>35590</v>
      </c>
      <c r="ER55">
        <v>10100.91</v>
      </c>
      <c r="ES55">
        <v>0</v>
      </c>
      <c r="ET55">
        <v>0</v>
      </c>
      <c r="EU55">
        <v>1</v>
      </c>
      <c r="EV55">
        <v>45691</v>
      </c>
      <c r="EW55">
        <v>549</v>
      </c>
      <c r="EX55" t="s">
        <v>4287</v>
      </c>
      <c r="EY55">
        <v>212</v>
      </c>
      <c r="EZ55" t="s">
        <v>4055</v>
      </c>
      <c r="FA55">
        <v>6.5</v>
      </c>
      <c r="FB55">
        <v>1</v>
      </c>
      <c r="FC55">
        <v>1</v>
      </c>
      <c r="FD55">
        <v>2188</v>
      </c>
      <c r="FE55">
        <v>2793</v>
      </c>
      <c r="FF55" t="s">
        <v>4288</v>
      </c>
      <c r="FG55">
        <v>212</v>
      </c>
      <c r="FH55" t="s">
        <v>4055</v>
      </c>
      <c r="FI55">
        <v>3.4</v>
      </c>
      <c r="FJ55">
        <v>2188</v>
      </c>
      <c r="FK55">
        <v>2001</v>
      </c>
      <c r="FL55" t="s">
        <v>4069</v>
      </c>
      <c r="FM55" t="s">
        <v>4055</v>
      </c>
      <c r="FN55" t="s">
        <v>4055</v>
      </c>
      <c r="FO55" t="s">
        <v>4055</v>
      </c>
      <c r="FP55">
        <v>2188</v>
      </c>
      <c r="FQ55">
        <v>218</v>
      </c>
      <c r="FR55" t="s">
        <v>4090</v>
      </c>
      <c r="FS55">
        <v>216</v>
      </c>
      <c r="FT55" t="s">
        <v>4055</v>
      </c>
      <c r="FU55">
        <v>0.4</v>
      </c>
      <c r="FV55">
        <v>2188</v>
      </c>
      <c r="FW55">
        <v>210</v>
      </c>
      <c r="FX55" t="s">
        <v>4070</v>
      </c>
      <c r="FY55">
        <v>5</v>
      </c>
      <c r="FZ55" t="s">
        <v>4055</v>
      </c>
      <c r="GA55" t="s">
        <v>4055</v>
      </c>
      <c r="GB55">
        <v>2188</v>
      </c>
      <c r="GC55">
        <v>25</v>
      </c>
      <c r="GD55">
        <v>5247</v>
      </c>
      <c r="GE55" t="s">
        <v>4318</v>
      </c>
      <c r="GF55" t="s">
        <v>4055</v>
      </c>
      <c r="GG55" t="s">
        <v>4055</v>
      </c>
      <c r="GH55" t="s">
        <v>4055</v>
      </c>
      <c r="GI55" t="s">
        <v>4071</v>
      </c>
      <c r="GJ55" t="s">
        <v>4055</v>
      </c>
      <c r="GK55" t="s">
        <v>4055</v>
      </c>
      <c r="GL55" t="s">
        <v>4055</v>
      </c>
      <c r="GM55" t="s">
        <v>4055</v>
      </c>
      <c r="GQ55">
        <v>0</v>
      </c>
      <c r="GV55">
        <v>10.3</v>
      </c>
      <c r="GW55">
        <v>11.5</v>
      </c>
      <c r="GX55">
        <v>0.5</v>
      </c>
      <c r="GY55">
        <v>186</v>
      </c>
      <c r="GZ55">
        <v>3</v>
      </c>
      <c r="HA55">
        <v>232</v>
      </c>
      <c r="HB55">
        <v>3</v>
      </c>
      <c r="HC55">
        <v>2188</v>
      </c>
      <c r="HD55">
        <v>4</v>
      </c>
      <c r="HE55" t="s">
        <v>4071</v>
      </c>
      <c r="HG55" t="s">
        <v>549</v>
      </c>
      <c r="HL55">
        <v>4</v>
      </c>
      <c r="HM55">
        <v>19</v>
      </c>
      <c r="HN55">
        <v>6</v>
      </c>
      <c r="HO55">
        <v>1</v>
      </c>
      <c r="HP55">
        <v>0</v>
      </c>
      <c r="HQ55">
        <v>1</v>
      </c>
      <c r="HR55">
        <v>2</v>
      </c>
      <c r="HS55">
        <v>2135</v>
      </c>
      <c r="HT55">
        <v>5</v>
      </c>
      <c r="HU55">
        <v>1</v>
      </c>
      <c r="HV55">
        <v>5</v>
      </c>
      <c r="HW55">
        <v>0</v>
      </c>
      <c r="HX55">
        <v>1</v>
      </c>
      <c r="HY55">
        <v>0</v>
      </c>
      <c r="HZ55">
        <v>63</v>
      </c>
      <c r="IA55">
        <v>2138</v>
      </c>
      <c r="IB55">
        <v>2150</v>
      </c>
      <c r="ID55">
        <v>2188</v>
      </c>
      <c r="IE55">
        <v>2188</v>
      </c>
      <c r="IF55">
        <v>195</v>
      </c>
      <c r="IG55">
        <v>185</v>
      </c>
      <c r="IH55">
        <v>232</v>
      </c>
      <c r="II55">
        <v>1</v>
      </c>
      <c r="IJ55">
        <v>5</v>
      </c>
      <c r="IK55">
        <v>0</v>
      </c>
      <c r="IL55">
        <v>0</v>
      </c>
      <c r="IM55">
        <v>0</v>
      </c>
      <c r="IN55">
        <v>270</v>
      </c>
      <c r="IO55">
        <v>0</v>
      </c>
      <c r="IP55">
        <v>180</v>
      </c>
      <c r="IQ55">
        <v>0</v>
      </c>
      <c r="IR55">
        <v>330</v>
      </c>
      <c r="IS55">
        <v>0</v>
      </c>
      <c r="IT55">
        <v>90</v>
      </c>
      <c r="IU55">
        <v>0</v>
      </c>
      <c r="IV55">
        <v>6.4</v>
      </c>
      <c r="IW55">
        <v>-6</v>
      </c>
      <c r="IX55">
        <v>100</v>
      </c>
      <c r="IY55">
        <v>70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388</v>
      </c>
      <c r="JJ55">
        <v>358</v>
      </c>
      <c r="JK55">
        <v>248</v>
      </c>
      <c r="JL55">
        <v>356</v>
      </c>
      <c r="JM55">
        <v>285</v>
      </c>
      <c r="JN55">
        <v>195</v>
      </c>
      <c r="JO55">
        <v>242</v>
      </c>
      <c r="JP55">
        <v>210</v>
      </c>
      <c r="JQ55">
        <v>245</v>
      </c>
      <c r="JR55">
        <v>315</v>
      </c>
      <c r="JS55">
        <v>244</v>
      </c>
      <c r="JT55">
        <v>0</v>
      </c>
      <c r="JU55">
        <v>0</v>
      </c>
      <c r="JV55">
        <v>300</v>
      </c>
      <c r="JW55">
        <v>290</v>
      </c>
      <c r="JX55">
        <v>0</v>
      </c>
      <c r="JY55">
        <v>0</v>
      </c>
      <c r="JZ55">
        <v>0</v>
      </c>
      <c r="KA55">
        <v>0.2</v>
      </c>
      <c r="KB55">
        <v>0.4</v>
      </c>
      <c r="KC55">
        <v>0.42</v>
      </c>
      <c r="KD55">
        <v>0.28</v>
      </c>
      <c r="KE55">
        <v>0.5</v>
      </c>
      <c r="KF55">
        <v>0.17</v>
      </c>
      <c r="KG55">
        <v>0.12</v>
      </c>
      <c r="KH55">
        <v>3.5</v>
      </c>
      <c r="KI55">
        <v>1</v>
      </c>
      <c r="KJ55">
        <v>4.5</v>
      </c>
      <c r="KK55">
        <v>0</v>
      </c>
      <c r="KL55">
        <v>4.5</v>
      </c>
      <c r="KM55">
        <v>0</v>
      </c>
      <c r="KN55">
        <v>1.3</v>
      </c>
      <c r="KO55">
        <v>0</v>
      </c>
      <c r="KP55">
        <v>0</v>
      </c>
      <c r="KQ55">
        <v>1.2</v>
      </c>
      <c r="KR55">
        <v>1.5</v>
      </c>
      <c r="KS55">
        <v>0</v>
      </c>
      <c r="KT55">
        <v>2.3</v>
      </c>
      <c r="KU55">
        <v>0</v>
      </c>
      <c r="KV55">
        <v>0</v>
      </c>
      <c r="KW55">
        <v>1.2</v>
      </c>
      <c r="KX55">
        <v>2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3</v>
      </c>
      <c r="LI55">
        <v>0</v>
      </c>
      <c r="LJ55">
        <v>0</v>
      </c>
      <c r="LK55">
        <v>8</v>
      </c>
      <c r="LL55">
        <v>4</v>
      </c>
      <c r="LM55">
        <v>9</v>
      </c>
      <c r="LN55">
        <v>1</v>
      </c>
      <c r="LO55">
        <v>1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2.3</v>
      </c>
      <c r="LX55">
        <v>2.3</v>
      </c>
      <c r="LY55">
        <v>2.1</v>
      </c>
      <c r="LZ55">
        <v>2.1</v>
      </c>
      <c r="MA55">
        <v>0</v>
      </c>
      <c r="MB55">
        <v>2.5</v>
      </c>
      <c r="MC55">
        <v>0</v>
      </c>
      <c r="MD55">
        <v>4.5</v>
      </c>
      <c r="ME55">
        <v>6</v>
      </c>
      <c r="MF55">
        <v>6</v>
      </c>
      <c r="MI55">
        <v>0</v>
      </c>
      <c r="MJ55">
        <v>0</v>
      </c>
      <c r="ML55">
        <v>0</v>
      </c>
      <c r="MM55">
        <v>420</v>
      </c>
      <c r="MN55">
        <v>195</v>
      </c>
      <c r="MO55">
        <v>242</v>
      </c>
      <c r="NU55">
        <v>0.15</v>
      </c>
      <c r="NV55">
        <v>0.2</v>
      </c>
      <c r="NW55">
        <v>0.2</v>
      </c>
      <c r="NX55">
        <v>0.2</v>
      </c>
      <c r="NY55">
        <v>0.2</v>
      </c>
      <c r="NZ55">
        <v>0.2</v>
      </c>
      <c r="OE55" t="s">
        <v>4318</v>
      </c>
      <c r="OF55" t="s">
        <v>4316</v>
      </c>
      <c r="OG55" t="s">
        <v>4317</v>
      </c>
      <c r="OH55" t="s">
        <v>4043</v>
      </c>
      <c r="OI55" t="s">
        <v>4318</v>
      </c>
      <c r="OJ55" t="s">
        <v>4315</v>
      </c>
      <c r="OK55">
        <v>61</v>
      </c>
      <c r="OL55">
        <v>61</v>
      </c>
      <c r="OM55" t="s">
        <v>4316</v>
      </c>
      <c r="ON55">
        <v>1</v>
      </c>
      <c r="OO55">
        <v>2138</v>
      </c>
      <c r="OP55">
        <v>61</v>
      </c>
      <c r="OQ55">
        <v>61</v>
      </c>
      <c r="OR55" t="s">
        <v>4317</v>
      </c>
      <c r="OS55">
        <v>1</v>
      </c>
      <c r="OT55">
        <v>2150</v>
      </c>
      <c r="OU55">
        <v>65</v>
      </c>
      <c r="OV55">
        <v>65</v>
      </c>
      <c r="OW55" t="s">
        <v>4043</v>
      </c>
      <c r="OX55">
        <v>2</v>
      </c>
      <c r="OY55">
        <v>45691</v>
      </c>
      <c r="OZ55">
        <v>51</v>
      </c>
      <c r="PA55">
        <v>52</v>
      </c>
      <c r="PB55" t="s">
        <v>4318</v>
      </c>
      <c r="PC55">
        <v>3</v>
      </c>
      <c r="PD55">
        <v>2188</v>
      </c>
      <c r="PF55">
        <v>422</v>
      </c>
      <c r="PG55">
        <v>35</v>
      </c>
      <c r="PH55">
        <v>400</v>
      </c>
      <c r="PI55">
        <v>0</v>
      </c>
      <c r="PJ55">
        <v>99.5</v>
      </c>
      <c r="PK55">
        <v>2386</v>
      </c>
      <c r="PL55">
        <v>1276.3</v>
      </c>
      <c r="PM55">
        <v>914.6</v>
      </c>
      <c r="PN55">
        <v>96.09999999999999</v>
      </c>
      <c r="PO55">
        <v>11.5</v>
      </c>
      <c r="PP55">
        <v>12</v>
      </c>
      <c r="PQ55">
        <v>5</v>
      </c>
      <c r="PR55">
        <v>5</v>
      </c>
      <c r="PS55">
        <v>0</v>
      </c>
      <c r="PT55">
        <v>232</v>
      </c>
      <c r="PU55">
        <v>10</v>
      </c>
      <c r="PV55" t="s">
        <v>4072</v>
      </c>
      <c r="PW55" t="s">
        <v>4072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-1</v>
      </c>
      <c r="QF55">
        <v>1</v>
      </c>
      <c r="QG55">
        <v>0</v>
      </c>
      <c r="QH55">
        <v>5</v>
      </c>
      <c r="QI55">
        <v>5</v>
      </c>
      <c r="QJ55">
        <v>5</v>
      </c>
      <c r="QK55">
        <v>209</v>
      </c>
      <c r="QL55">
        <v>418</v>
      </c>
      <c r="QM55">
        <v>7.5</v>
      </c>
      <c r="QN55">
        <v>1540.9</v>
      </c>
      <c r="QO55" t="s">
        <v>1252</v>
      </c>
      <c r="QP55" t="s">
        <v>513</v>
      </c>
      <c r="QQ55">
        <v>0</v>
      </c>
      <c r="QR55" t="s">
        <v>1343</v>
      </c>
      <c r="QS55">
        <v>40</v>
      </c>
      <c r="QT55">
        <v>50</v>
      </c>
    </row>
    <row r="56" spans="1:462">
      <c r="A56" t="s">
        <v>1347</v>
      </c>
      <c r="B56" t="s">
        <v>564</v>
      </c>
      <c r="C56" t="s">
        <v>509</v>
      </c>
      <c r="D56" t="s">
        <v>1346</v>
      </c>
      <c r="E56" t="s">
        <v>4036</v>
      </c>
      <c r="H56" t="s">
        <v>604</v>
      </c>
      <c r="I56" t="s">
        <v>605</v>
      </c>
      <c r="J56" t="s">
        <v>628</v>
      </c>
      <c r="K56" t="s">
        <v>606</v>
      </c>
      <c r="L56" t="s">
        <v>629</v>
      </c>
      <c r="M56" t="s">
        <v>512</v>
      </c>
      <c r="O56" t="s">
        <v>513</v>
      </c>
      <c r="P56" t="s">
        <v>517</v>
      </c>
      <c r="Q56" t="s">
        <v>964</v>
      </c>
      <c r="R56" t="s">
        <v>965</v>
      </c>
      <c r="S56" t="s">
        <v>4073</v>
      </c>
      <c r="T56" t="s">
        <v>686</v>
      </c>
      <c r="U56" t="s">
        <v>687</v>
      </c>
      <c r="V56" t="s">
        <v>1283</v>
      </c>
      <c r="W56" t="s">
        <v>1242</v>
      </c>
      <c r="X56" t="s">
        <v>1348</v>
      </c>
      <c r="Y56" t="s">
        <v>1349</v>
      </c>
      <c r="Z56" t="s">
        <v>541</v>
      </c>
      <c r="AA56" t="s">
        <v>4038</v>
      </c>
      <c r="AB56" t="s">
        <v>4319</v>
      </c>
      <c r="AC56">
        <v>9</v>
      </c>
      <c r="AD56" t="s">
        <v>1345</v>
      </c>
      <c r="AE56">
        <v>5</v>
      </c>
      <c r="AF56">
        <v>4999</v>
      </c>
      <c r="AG56" t="s">
        <v>4299</v>
      </c>
      <c r="AH56">
        <v>1</v>
      </c>
      <c r="AI56" t="s">
        <v>4041</v>
      </c>
      <c r="AK56" t="s">
        <v>4300</v>
      </c>
      <c r="AL56">
        <v>1</v>
      </c>
      <c r="AM56" t="s">
        <v>582</v>
      </c>
      <c r="AO56" t="s">
        <v>4043</v>
      </c>
      <c r="AP56">
        <v>1</v>
      </c>
      <c r="AR56" t="s">
        <v>4320</v>
      </c>
      <c r="AS56">
        <v>1</v>
      </c>
      <c r="AT56">
        <v>52</v>
      </c>
      <c r="AV56" t="s">
        <v>4078</v>
      </c>
      <c r="AW56">
        <v>6.4</v>
      </c>
      <c r="AX56">
        <v>-6</v>
      </c>
      <c r="AY56">
        <v>105</v>
      </c>
      <c r="AZ56">
        <v>75</v>
      </c>
      <c r="BH56">
        <v>105</v>
      </c>
      <c r="BI56">
        <v>30</v>
      </c>
      <c r="BJ56">
        <v>75</v>
      </c>
      <c r="BK56">
        <v>2.5</v>
      </c>
      <c r="BL56">
        <v>210</v>
      </c>
      <c r="BM56">
        <v>-6</v>
      </c>
      <c r="BN56">
        <v>0</v>
      </c>
      <c r="BO56">
        <v>0</v>
      </c>
      <c r="BP56">
        <v>0</v>
      </c>
      <c r="BR56">
        <v>205</v>
      </c>
      <c r="BS56">
        <v>195</v>
      </c>
      <c r="BT56">
        <v>2100</v>
      </c>
      <c r="BU56" t="s">
        <v>4127</v>
      </c>
      <c r="BV56" t="s">
        <v>4127</v>
      </c>
      <c r="BW56" t="s">
        <v>4128</v>
      </c>
      <c r="BX56" t="s">
        <v>4128</v>
      </c>
      <c r="BY56" t="s">
        <v>4160</v>
      </c>
      <c r="BZ56" t="s">
        <v>4160</v>
      </c>
      <c r="CA56" t="s">
        <v>4130</v>
      </c>
      <c r="CB56" t="s">
        <v>4131</v>
      </c>
      <c r="CC56" t="s">
        <v>4053</v>
      </c>
      <c r="CD56" t="s">
        <v>4055</v>
      </c>
      <c r="CE56" t="s">
        <v>4055</v>
      </c>
      <c r="CF56" t="s">
        <v>4055</v>
      </c>
      <c r="CG56" t="s">
        <v>4056</v>
      </c>
      <c r="CI56" t="s">
        <v>4086</v>
      </c>
      <c r="CJ56" t="s">
        <v>4059</v>
      </c>
      <c r="CK56" t="s">
        <v>4060</v>
      </c>
      <c r="CL56" t="s">
        <v>4061</v>
      </c>
      <c r="CM56" t="s">
        <v>4055</v>
      </c>
      <c r="CN56" t="s">
        <v>4062</v>
      </c>
      <c r="CO56" t="s">
        <v>4063</v>
      </c>
      <c r="CP56" t="s">
        <v>4055</v>
      </c>
      <c r="CQ56" t="s">
        <v>4055</v>
      </c>
      <c r="CR56">
        <v>5</v>
      </c>
      <c r="CS56" t="s">
        <v>4055</v>
      </c>
      <c r="CT56" t="s">
        <v>4055</v>
      </c>
      <c r="CU56" t="s">
        <v>4055</v>
      </c>
      <c r="CV56">
        <v>133</v>
      </c>
      <c r="CW56">
        <v>3</v>
      </c>
      <c r="CX56">
        <v>93</v>
      </c>
      <c r="CY56">
        <v>5</v>
      </c>
      <c r="CZ56">
        <v>86</v>
      </c>
      <c r="DA56">
        <v>5</v>
      </c>
      <c r="DB56">
        <v>13150</v>
      </c>
      <c r="DC56">
        <v>390</v>
      </c>
      <c r="DD56">
        <v>350</v>
      </c>
      <c r="DE56">
        <v>2223</v>
      </c>
      <c r="DF56">
        <v>2223</v>
      </c>
      <c r="DG56">
        <v>2236</v>
      </c>
      <c r="DH56">
        <v>1</v>
      </c>
      <c r="DI56" t="s">
        <v>4055</v>
      </c>
      <c r="DJ56" t="s">
        <v>4132</v>
      </c>
      <c r="DK56">
        <v>205</v>
      </c>
      <c r="DL56" t="s">
        <v>4065</v>
      </c>
      <c r="DM56">
        <v>63</v>
      </c>
      <c r="DN56">
        <v>1.1</v>
      </c>
      <c r="DO56">
        <v>1</v>
      </c>
      <c r="DP56">
        <v>2103</v>
      </c>
      <c r="DQ56">
        <v>932</v>
      </c>
      <c r="DR56" t="s">
        <v>4132</v>
      </c>
      <c r="DS56">
        <v>195</v>
      </c>
      <c r="DT56" t="s">
        <v>4065</v>
      </c>
      <c r="DU56">
        <v>63</v>
      </c>
      <c r="DV56">
        <v>1.1</v>
      </c>
      <c r="DW56">
        <v>1</v>
      </c>
      <c r="DX56">
        <v>2115</v>
      </c>
      <c r="DY56">
        <v>893</v>
      </c>
      <c r="DZ56" t="s">
        <v>4066</v>
      </c>
      <c r="EA56">
        <v>20</v>
      </c>
      <c r="EB56" t="s">
        <v>4065</v>
      </c>
      <c r="EC56">
        <v>0.8</v>
      </c>
      <c r="ED56">
        <v>2103</v>
      </c>
      <c r="EE56">
        <v>74</v>
      </c>
      <c r="EG56">
        <v>0</v>
      </c>
      <c r="EH56" t="s">
        <v>4065</v>
      </c>
      <c r="EI56">
        <v>0</v>
      </c>
      <c r="EL56" t="s">
        <v>1528</v>
      </c>
      <c r="EM56">
        <v>12</v>
      </c>
      <c r="EN56">
        <v>0.5</v>
      </c>
      <c r="EO56">
        <v>0.96</v>
      </c>
      <c r="EP56">
        <v>2113.83</v>
      </c>
      <c r="EQ56">
        <v>36661.74</v>
      </c>
      <c r="ER56">
        <v>9936.85</v>
      </c>
      <c r="ES56">
        <v>0</v>
      </c>
      <c r="ET56">
        <v>0</v>
      </c>
      <c r="EU56">
        <v>1</v>
      </c>
      <c r="EV56">
        <v>46599</v>
      </c>
      <c r="EW56">
        <v>560</v>
      </c>
      <c r="EX56" t="s">
        <v>4287</v>
      </c>
      <c r="EY56">
        <v>226</v>
      </c>
      <c r="EZ56" t="s">
        <v>4055</v>
      </c>
      <c r="FA56">
        <v>6.3</v>
      </c>
      <c r="FB56">
        <v>1</v>
      </c>
      <c r="FC56">
        <v>1</v>
      </c>
      <c r="FD56">
        <v>2156</v>
      </c>
      <c r="FE56">
        <v>2729</v>
      </c>
      <c r="FF56" t="s">
        <v>4288</v>
      </c>
      <c r="FG56">
        <v>226</v>
      </c>
      <c r="FH56" t="s">
        <v>4055</v>
      </c>
      <c r="FI56">
        <v>4.6</v>
      </c>
      <c r="FJ56">
        <v>2156</v>
      </c>
      <c r="FK56">
        <v>2502</v>
      </c>
      <c r="FL56" t="s">
        <v>4069</v>
      </c>
      <c r="FM56" t="s">
        <v>4055</v>
      </c>
      <c r="FN56" t="s">
        <v>4055</v>
      </c>
      <c r="FO56" t="s">
        <v>4055</v>
      </c>
      <c r="FP56">
        <v>2156</v>
      </c>
      <c r="FQ56">
        <v>208</v>
      </c>
      <c r="FR56" t="s">
        <v>4090</v>
      </c>
      <c r="FS56">
        <v>230</v>
      </c>
      <c r="FT56" t="s">
        <v>4055</v>
      </c>
      <c r="FU56">
        <v>0.4</v>
      </c>
      <c r="FV56">
        <v>2156</v>
      </c>
      <c r="FW56">
        <v>221</v>
      </c>
      <c r="FX56" t="s">
        <v>4070</v>
      </c>
      <c r="FY56">
        <v>5</v>
      </c>
      <c r="FZ56" t="s">
        <v>4055</v>
      </c>
      <c r="GA56" t="s">
        <v>4055</v>
      </c>
      <c r="GB56">
        <v>2156</v>
      </c>
      <c r="GC56">
        <v>27</v>
      </c>
      <c r="GD56">
        <v>5687</v>
      </c>
      <c r="GE56" t="s">
        <v>4320</v>
      </c>
      <c r="GF56" t="s">
        <v>4055</v>
      </c>
      <c r="GG56" t="s">
        <v>4055</v>
      </c>
      <c r="GH56" t="s">
        <v>4055</v>
      </c>
      <c r="GI56" t="s">
        <v>4071</v>
      </c>
      <c r="GJ56" t="s">
        <v>4055</v>
      </c>
      <c r="GK56" t="s">
        <v>4055</v>
      </c>
      <c r="GL56" t="s">
        <v>4055</v>
      </c>
      <c r="GM56" t="s">
        <v>4055</v>
      </c>
      <c r="GQ56">
        <v>0</v>
      </c>
      <c r="GV56">
        <v>11.3</v>
      </c>
      <c r="GW56">
        <v>11.5</v>
      </c>
      <c r="GX56">
        <v>0.5</v>
      </c>
      <c r="GY56">
        <v>198</v>
      </c>
      <c r="GZ56">
        <v>3</v>
      </c>
      <c r="HA56">
        <v>246</v>
      </c>
      <c r="HB56">
        <v>3</v>
      </c>
      <c r="HC56">
        <v>2156</v>
      </c>
      <c r="HD56">
        <v>4</v>
      </c>
      <c r="HE56" t="s">
        <v>4071</v>
      </c>
      <c r="HG56" t="s">
        <v>549</v>
      </c>
      <c r="HL56">
        <v>4</v>
      </c>
      <c r="HM56">
        <v>19</v>
      </c>
      <c r="HN56">
        <v>6</v>
      </c>
      <c r="HO56">
        <v>1</v>
      </c>
      <c r="HP56">
        <v>0</v>
      </c>
      <c r="HQ56">
        <v>0</v>
      </c>
      <c r="HR56">
        <v>2</v>
      </c>
      <c r="HS56">
        <v>2100</v>
      </c>
      <c r="HT56">
        <v>5</v>
      </c>
      <c r="HU56">
        <v>1</v>
      </c>
      <c r="HV56">
        <v>5</v>
      </c>
      <c r="HW56">
        <v>0</v>
      </c>
      <c r="HX56">
        <v>1</v>
      </c>
      <c r="HY56">
        <v>0</v>
      </c>
      <c r="HZ56">
        <v>63</v>
      </c>
      <c r="IA56">
        <v>2103</v>
      </c>
      <c r="IB56">
        <v>2115</v>
      </c>
      <c r="ID56">
        <v>2156</v>
      </c>
      <c r="IE56">
        <v>2156</v>
      </c>
      <c r="IF56">
        <v>205</v>
      </c>
      <c r="IG56">
        <v>195</v>
      </c>
      <c r="IH56">
        <v>246</v>
      </c>
      <c r="II56">
        <v>1</v>
      </c>
      <c r="IJ56">
        <v>5</v>
      </c>
      <c r="IK56">
        <v>0</v>
      </c>
      <c r="IL56">
        <v>0</v>
      </c>
      <c r="IM56">
        <v>0</v>
      </c>
      <c r="IN56">
        <v>270</v>
      </c>
      <c r="IO56">
        <v>0</v>
      </c>
      <c r="IP56">
        <v>180</v>
      </c>
      <c r="IQ56">
        <v>0</v>
      </c>
      <c r="IR56">
        <v>330</v>
      </c>
      <c r="IS56">
        <v>0</v>
      </c>
      <c r="IT56">
        <v>90</v>
      </c>
      <c r="IU56">
        <v>0</v>
      </c>
      <c r="IV56">
        <v>6.4</v>
      </c>
      <c r="IW56">
        <v>-6</v>
      </c>
      <c r="IX56">
        <v>105</v>
      </c>
      <c r="IY56">
        <v>75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384</v>
      </c>
      <c r="JJ56">
        <v>354</v>
      </c>
      <c r="JK56">
        <v>254</v>
      </c>
      <c r="JL56">
        <v>350</v>
      </c>
      <c r="JM56">
        <v>294</v>
      </c>
      <c r="JN56">
        <v>200</v>
      </c>
      <c r="JO56">
        <v>260</v>
      </c>
      <c r="JP56">
        <v>200</v>
      </c>
      <c r="JQ56">
        <v>240</v>
      </c>
      <c r="JR56">
        <v>301</v>
      </c>
      <c r="JS56">
        <v>238</v>
      </c>
      <c r="JT56">
        <v>0</v>
      </c>
      <c r="JU56">
        <v>0</v>
      </c>
      <c r="JV56">
        <v>300</v>
      </c>
      <c r="JW56">
        <v>290</v>
      </c>
      <c r="JX56">
        <v>281</v>
      </c>
      <c r="JY56">
        <v>261</v>
      </c>
      <c r="JZ56">
        <v>0.5</v>
      </c>
      <c r="KA56">
        <v>0.2</v>
      </c>
      <c r="KB56">
        <v>0.4</v>
      </c>
      <c r="KC56">
        <v>0.42</v>
      </c>
      <c r="KD56">
        <v>0.28</v>
      </c>
      <c r="KE56">
        <v>0.5</v>
      </c>
      <c r="KF56">
        <v>0.17</v>
      </c>
      <c r="KG56">
        <v>0.11</v>
      </c>
      <c r="KH56">
        <v>3.5</v>
      </c>
      <c r="KI56">
        <v>1</v>
      </c>
      <c r="KJ56">
        <v>4.5</v>
      </c>
      <c r="KK56">
        <v>0</v>
      </c>
      <c r="KL56">
        <v>4.5</v>
      </c>
      <c r="KM56">
        <v>0</v>
      </c>
      <c r="KN56">
        <v>1.6</v>
      </c>
      <c r="KO56">
        <v>0</v>
      </c>
      <c r="KP56">
        <v>0</v>
      </c>
      <c r="KQ56">
        <v>1</v>
      </c>
      <c r="KR56">
        <v>0.8</v>
      </c>
      <c r="KS56">
        <v>0</v>
      </c>
      <c r="KT56">
        <v>2.5</v>
      </c>
      <c r="KU56">
        <v>0</v>
      </c>
      <c r="KV56">
        <v>0</v>
      </c>
      <c r="KW56">
        <v>1.2</v>
      </c>
      <c r="KX56">
        <v>2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3</v>
      </c>
      <c r="LI56">
        <v>0.5</v>
      </c>
      <c r="LJ56">
        <v>0</v>
      </c>
      <c r="LK56">
        <v>8</v>
      </c>
      <c r="LL56">
        <v>4</v>
      </c>
      <c r="LM56">
        <v>9</v>
      </c>
      <c r="LN56">
        <v>1</v>
      </c>
      <c r="LO56">
        <v>3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2.3</v>
      </c>
      <c r="LX56">
        <v>2.3</v>
      </c>
      <c r="LY56">
        <v>2.1</v>
      </c>
      <c r="LZ56">
        <v>2.1</v>
      </c>
      <c r="MA56">
        <v>0</v>
      </c>
      <c r="MB56">
        <v>2.5</v>
      </c>
      <c r="MC56">
        <v>0</v>
      </c>
      <c r="MD56">
        <v>4.5</v>
      </c>
      <c r="ME56">
        <v>6</v>
      </c>
      <c r="MF56">
        <v>6</v>
      </c>
      <c r="MI56">
        <v>0</v>
      </c>
      <c r="MJ56">
        <v>0</v>
      </c>
      <c r="ML56">
        <v>0</v>
      </c>
      <c r="MM56">
        <v>390</v>
      </c>
      <c r="MN56">
        <v>200</v>
      </c>
      <c r="MO56">
        <v>260</v>
      </c>
      <c r="NU56">
        <v>0.15</v>
      </c>
      <c r="NV56">
        <v>0.25</v>
      </c>
      <c r="NW56">
        <v>0.3</v>
      </c>
      <c r="NX56">
        <v>0.2</v>
      </c>
      <c r="NY56">
        <v>0.2</v>
      </c>
      <c r="NZ56">
        <v>0.2</v>
      </c>
      <c r="OE56" t="s">
        <v>4320</v>
      </c>
      <c r="OF56" t="s">
        <v>4299</v>
      </c>
      <c r="OG56" t="s">
        <v>4300</v>
      </c>
      <c r="OH56" t="s">
        <v>4043</v>
      </c>
      <c r="OI56" t="s">
        <v>4320</v>
      </c>
      <c r="OJ56" t="s">
        <v>4319</v>
      </c>
      <c r="OK56">
        <v>61</v>
      </c>
      <c r="OL56">
        <v>61</v>
      </c>
      <c r="OM56" t="s">
        <v>4299</v>
      </c>
      <c r="ON56">
        <v>1</v>
      </c>
      <c r="OO56">
        <v>2103</v>
      </c>
      <c r="OP56">
        <v>61</v>
      </c>
      <c r="OQ56">
        <v>61</v>
      </c>
      <c r="OR56" t="s">
        <v>4300</v>
      </c>
      <c r="OS56">
        <v>1</v>
      </c>
      <c r="OT56">
        <v>2115</v>
      </c>
      <c r="OU56">
        <v>65</v>
      </c>
      <c r="OV56">
        <v>65</v>
      </c>
      <c r="OW56" t="s">
        <v>4043</v>
      </c>
      <c r="OX56">
        <v>2</v>
      </c>
      <c r="OY56">
        <v>46599</v>
      </c>
      <c r="OZ56">
        <v>51</v>
      </c>
      <c r="PA56">
        <v>52</v>
      </c>
      <c r="PB56" t="s">
        <v>4320</v>
      </c>
      <c r="PC56">
        <v>2</v>
      </c>
      <c r="PD56">
        <v>2156</v>
      </c>
      <c r="PF56">
        <v>443</v>
      </c>
      <c r="PG56">
        <v>35</v>
      </c>
      <c r="PH56">
        <v>422</v>
      </c>
      <c r="PI56">
        <v>0</v>
      </c>
      <c r="PJ56">
        <v>96.7</v>
      </c>
      <c r="PK56">
        <v>2635</v>
      </c>
      <c r="PL56">
        <v>1265.6</v>
      </c>
      <c r="PM56">
        <v>1160.5</v>
      </c>
      <c r="PN56">
        <v>102.3</v>
      </c>
      <c r="PO56">
        <v>12.7</v>
      </c>
      <c r="PP56">
        <v>12</v>
      </c>
      <c r="PQ56">
        <v>5</v>
      </c>
      <c r="PR56">
        <v>5</v>
      </c>
      <c r="PS56">
        <v>0</v>
      </c>
      <c r="PT56">
        <v>246</v>
      </c>
      <c r="PU56">
        <v>10</v>
      </c>
      <c r="PV56" t="s">
        <v>4072</v>
      </c>
      <c r="PW56" t="s">
        <v>4072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-1</v>
      </c>
      <c r="QF56">
        <v>1</v>
      </c>
      <c r="QG56">
        <v>0</v>
      </c>
      <c r="QH56">
        <v>5</v>
      </c>
      <c r="QI56">
        <v>5</v>
      </c>
      <c r="QJ56">
        <v>5</v>
      </c>
      <c r="QK56">
        <v>208</v>
      </c>
      <c r="QL56">
        <v>414</v>
      </c>
      <c r="QM56">
        <v>7.5</v>
      </c>
      <c r="QN56">
        <v>1540.9</v>
      </c>
      <c r="QO56" t="s">
        <v>1252</v>
      </c>
      <c r="QP56" t="s">
        <v>513</v>
      </c>
      <c r="QQ56">
        <v>0</v>
      </c>
      <c r="QR56" t="s">
        <v>1343</v>
      </c>
      <c r="QS56">
        <v>40</v>
      </c>
      <c r="QT56">
        <v>50</v>
      </c>
    </row>
    <row r="57" spans="1:462">
      <c r="A57" t="s">
        <v>1353</v>
      </c>
      <c r="B57" t="s">
        <v>564</v>
      </c>
      <c r="C57" t="s">
        <v>509</v>
      </c>
      <c r="D57" t="s">
        <v>1239</v>
      </c>
      <c r="E57" t="s">
        <v>4036</v>
      </c>
      <c r="H57" t="s">
        <v>1294</v>
      </c>
      <c r="J57" t="s">
        <v>562</v>
      </c>
      <c r="K57" t="s">
        <v>563</v>
      </c>
      <c r="L57" t="s">
        <v>629</v>
      </c>
      <c r="M57" t="s">
        <v>512</v>
      </c>
      <c r="O57" t="s">
        <v>513</v>
      </c>
      <c r="P57" t="s">
        <v>517</v>
      </c>
      <c r="Q57" t="s">
        <v>849</v>
      </c>
      <c r="R57" t="s">
        <v>743</v>
      </c>
      <c r="S57" t="s">
        <v>4134</v>
      </c>
      <c r="T57" t="s">
        <v>686</v>
      </c>
      <c r="U57" t="s">
        <v>687</v>
      </c>
      <c r="V57" t="s">
        <v>1354</v>
      </c>
      <c r="W57" t="s">
        <v>1355</v>
      </c>
      <c r="X57" t="s">
        <v>1356</v>
      </c>
      <c r="Y57" t="s">
        <v>1357</v>
      </c>
      <c r="Z57" t="s">
        <v>541</v>
      </c>
      <c r="AA57" t="s">
        <v>4038</v>
      </c>
      <c r="AB57" t="s">
        <v>4321</v>
      </c>
      <c r="AC57">
        <v>9</v>
      </c>
      <c r="AD57" t="s">
        <v>1352</v>
      </c>
      <c r="AE57">
        <v>5</v>
      </c>
      <c r="AF57">
        <v>4166</v>
      </c>
      <c r="AG57" t="s">
        <v>4322</v>
      </c>
      <c r="AH57">
        <v>1</v>
      </c>
      <c r="AI57" t="s">
        <v>4041</v>
      </c>
      <c r="AK57" t="s">
        <v>4323</v>
      </c>
      <c r="AL57">
        <v>1</v>
      </c>
      <c r="AM57" t="s">
        <v>582</v>
      </c>
      <c r="AO57" t="s">
        <v>4043</v>
      </c>
      <c r="AP57">
        <v>1</v>
      </c>
      <c r="AR57" t="s">
        <v>4324</v>
      </c>
      <c r="AS57">
        <v>1</v>
      </c>
      <c r="AT57">
        <v>52</v>
      </c>
      <c r="AV57" t="s">
        <v>4078</v>
      </c>
      <c r="AW57">
        <v>6.4</v>
      </c>
      <c r="AX57">
        <v>-6</v>
      </c>
      <c r="AY57">
        <v>100</v>
      </c>
      <c r="AZ57">
        <v>70</v>
      </c>
      <c r="BH57">
        <v>100</v>
      </c>
      <c r="BI57">
        <v>30</v>
      </c>
      <c r="BJ57">
        <v>70</v>
      </c>
      <c r="BK57">
        <v>2.5</v>
      </c>
      <c r="BL57">
        <v>200</v>
      </c>
      <c r="BM57">
        <v>-6</v>
      </c>
      <c r="BN57">
        <v>0</v>
      </c>
      <c r="BO57">
        <v>0</v>
      </c>
      <c r="BP57">
        <v>0</v>
      </c>
      <c r="BR57">
        <v>195</v>
      </c>
      <c r="BS57">
        <v>185</v>
      </c>
      <c r="BT57">
        <v>1995</v>
      </c>
      <c r="BU57" t="s">
        <v>4096</v>
      </c>
      <c r="BV57" t="s">
        <v>4096</v>
      </c>
      <c r="BW57" t="s">
        <v>4097</v>
      </c>
      <c r="BX57" t="s">
        <v>4097</v>
      </c>
      <c r="BY57" t="s">
        <v>4181</v>
      </c>
      <c r="BZ57" t="s">
        <v>4181</v>
      </c>
      <c r="CA57" t="s">
        <v>4130</v>
      </c>
      <c r="CB57" t="s">
        <v>4131</v>
      </c>
      <c r="CC57" t="s">
        <v>4053</v>
      </c>
      <c r="CD57" t="s">
        <v>4055</v>
      </c>
      <c r="CE57" t="s">
        <v>4055</v>
      </c>
      <c r="CF57" t="s">
        <v>4055</v>
      </c>
      <c r="CG57" t="s">
        <v>4056</v>
      </c>
      <c r="CI57" t="s">
        <v>4086</v>
      </c>
      <c r="CJ57" t="s">
        <v>4059</v>
      </c>
      <c r="CK57" t="s">
        <v>4060</v>
      </c>
      <c r="CL57" t="s">
        <v>4061</v>
      </c>
      <c r="CM57" t="s">
        <v>4055</v>
      </c>
      <c r="CN57" t="s">
        <v>4062</v>
      </c>
      <c r="CO57" t="s">
        <v>4063</v>
      </c>
      <c r="CP57" t="s">
        <v>4055</v>
      </c>
      <c r="CQ57" t="s">
        <v>4055</v>
      </c>
      <c r="CR57">
        <v>5</v>
      </c>
      <c r="CS57" t="s">
        <v>4055</v>
      </c>
      <c r="CT57" t="s">
        <v>4055</v>
      </c>
      <c r="CU57" t="s">
        <v>4055</v>
      </c>
      <c r="CV57">
        <v>124</v>
      </c>
      <c r="CW57">
        <v>3</v>
      </c>
      <c r="CX57">
        <v>86</v>
      </c>
      <c r="CY57">
        <v>5</v>
      </c>
      <c r="CZ57">
        <v>78</v>
      </c>
      <c r="DA57">
        <v>5</v>
      </c>
      <c r="DB57">
        <v>11170</v>
      </c>
      <c r="DC57">
        <v>330</v>
      </c>
      <c r="DD57">
        <v>327</v>
      </c>
      <c r="DE57">
        <v>2119</v>
      </c>
      <c r="DF57">
        <v>2119</v>
      </c>
      <c r="DG57">
        <v>2131</v>
      </c>
      <c r="DH57">
        <v>1</v>
      </c>
      <c r="DI57" t="s">
        <v>4055</v>
      </c>
      <c r="DJ57" t="s">
        <v>4100</v>
      </c>
      <c r="DK57">
        <v>195</v>
      </c>
      <c r="DL57" t="s">
        <v>4101</v>
      </c>
      <c r="DM57">
        <v>63</v>
      </c>
      <c r="DN57">
        <v>0.84</v>
      </c>
      <c r="DO57">
        <v>1</v>
      </c>
      <c r="DP57">
        <v>1998</v>
      </c>
      <c r="DQ57">
        <v>711</v>
      </c>
      <c r="DR57" t="s">
        <v>4100</v>
      </c>
      <c r="DS57">
        <v>185</v>
      </c>
      <c r="DT57" t="s">
        <v>4101</v>
      </c>
      <c r="DU57">
        <v>63</v>
      </c>
      <c r="DV57">
        <v>0.84</v>
      </c>
      <c r="DW57">
        <v>1</v>
      </c>
      <c r="DX57">
        <v>2005</v>
      </c>
      <c r="DY57">
        <v>678</v>
      </c>
      <c r="DZ57" t="s">
        <v>4066</v>
      </c>
      <c r="EA57">
        <v>33</v>
      </c>
      <c r="EB57" t="s">
        <v>4065</v>
      </c>
      <c r="EC57">
        <v>0.4</v>
      </c>
      <c r="ED57">
        <v>1998</v>
      </c>
      <c r="EE57">
        <v>58</v>
      </c>
      <c r="EF57" t="s">
        <v>4066</v>
      </c>
      <c r="EG57">
        <v>33</v>
      </c>
      <c r="EH57" t="s">
        <v>4065</v>
      </c>
      <c r="EI57">
        <v>0.4</v>
      </c>
      <c r="EJ57">
        <v>2005</v>
      </c>
      <c r="EK57">
        <v>58</v>
      </c>
      <c r="EL57" t="s">
        <v>1528</v>
      </c>
      <c r="EM57">
        <v>12</v>
      </c>
      <c r="EN57">
        <v>0.5</v>
      </c>
      <c r="EO57">
        <v>0.96</v>
      </c>
      <c r="EP57">
        <v>2005.56</v>
      </c>
      <c r="EQ57">
        <v>33217.09</v>
      </c>
      <c r="ER57">
        <v>9429.34</v>
      </c>
      <c r="ES57">
        <v>0</v>
      </c>
      <c r="ET57">
        <v>0</v>
      </c>
      <c r="EU57">
        <v>1</v>
      </c>
      <c r="EV57">
        <v>42647</v>
      </c>
      <c r="EW57">
        <v>512</v>
      </c>
      <c r="EX57" t="s">
        <v>4287</v>
      </c>
      <c r="EY57">
        <v>212</v>
      </c>
      <c r="EZ57" t="s">
        <v>4055</v>
      </c>
      <c r="FA57">
        <v>5.8</v>
      </c>
      <c r="FB57">
        <v>1</v>
      </c>
      <c r="FC57">
        <v>1</v>
      </c>
      <c r="FD57">
        <v>2046</v>
      </c>
      <c r="FE57">
        <v>2312</v>
      </c>
      <c r="FF57" t="s">
        <v>4288</v>
      </c>
      <c r="FG57">
        <v>212</v>
      </c>
      <c r="FH57" t="s">
        <v>4055</v>
      </c>
      <c r="FI57">
        <v>4.6</v>
      </c>
      <c r="FJ57">
        <v>2046</v>
      </c>
      <c r="FK57">
        <v>2265</v>
      </c>
      <c r="FL57" t="s">
        <v>4069</v>
      </c>
      <c r="FM57" t="s">
        <v>4055</v>
      </c>
      <c r="FN57" t="s">
        <v>4055</v>
      </c>
      <c r="FO57" t="s">
        <v>4055</v>
      </c>
      <c r="FP57">
        <v>2046</v>
      </c>
      <c r="FQ57">
        <v>180</v>
      </c>
      <c r="FR57" t="s">
        <v>4090</v>
      </c>
      <c r="FS57">
        <v>216</v>
      </c>
      <c r="FT57" t="s">
        <v>4055</v>
      </c>
      <c r="FU57">
        <v>0.4</v>
      </c>
      <c r="FV57">
        <v>2046</v>
      </c>
      <c r="FW57">
        <v>197</v>
      </c>
      <c r="FX57" t="s">
        <v>4070</v>
      </c>
      <c r="FY57">
        <v>5</v>
      </c>
      <c r="FZ57" t="s">
        <v>4055</v>
      </c>
      <c r="GA57" t="s">
        <v>4055</v>
      </c>
      <c r="GB57">
        <v>2046</v>
      </c>
      <c r="GC57">
        <v>25</v>
      </c>
      <c r="GD57">
        <v>4979</v>
      </c>
      <c r="GE57" t="s">
        <v>4324</v>
      </c>
      <c r="GF57" t="s">
        <v>4055</v>
      </c>
      <c r="GG57" t="s">
        <v>4055</v>
      </c>
      <c r="GH57" t="s">
        <v>4055</v>
      </c>
      <c r="GI57" t="s">
        <v>4071</v>
      </c>
      <c r="GJ57" t="s">
        <v>4055</v>
      </c>
      <c r="GK57" t="s">
        <v>4055</v>
      </c>
      <c r="GL57" t="s">
        <v>4055</v>
      </c>
      <c r="GM57" t="s">
        <v>4055</v>
      </c>
      <c r="GQ57">
        <v>0</v>
      </c>
      <c r="GV57">
        <v>10.8</v>
      </c>
      <c r="GW57">
        <v>11.5</v>
      </c>
      <c r="GX57">
        <v>0.5</v>
      </c>
      <c r="GY57">
        <v>186</v>
      </c>
      <c r="GZ57">
        <v>3</v>
      </c>
      <c r="HA57">
        <v>232</v>
      </c>
      <c r="HB57">
        <v>3</v>
      </c>
      <c r="HC57">
        <v>2046</v>
      </c>
      <c r="HD57">
        <v>4</v>
      </c>
      <c r="HE57" t="s">
        <v>4071</v>
      </c>
      <c r="HG57" t="s">
        <v>549</v>
      </c>
      <c r="HL57">
        <v>4</v>
      </c>
      <c r="HM57">
        <v>19</v>
      </c>
      <c r="HN57">
        <v>6</v>
      </c>
      <c r="HO57">
        <v>1</v>
      </c>
      <c r="HP57">
        <v>0</v>
      </c>
      <c r="HQ57">
        <v>0</v>
      </c>
      <c r="HR57">
        <v>2</v>
      </c>
      <c r="HS57">
        <v>1995</v>
      </c>
      <c r="HT57">
        <v>5</v>
      </c>
      <c r="HU57">
        <v>1</v>
      </c>
      <c r="HV57">
        <v>5</v>
      </c>
      <c r="HW57">
        <v>0</v>
      </c>
      <c r="HX57">
        <v>1</v>
      </c>
      <c r="HY57">
        <v>0</v>
      </c>
      <c r="HZ57">
        <v>63</v>
      </c>
      <c r="IA57">
        <v>1998</v>
      </c>
      <c r="IB57">
        <v>2005</v>
      </c>
      <c r="ID57">
        <v>2046</v>
      </c>
      <c r="IE57">
        <v>2046</v>
      </c>
      <c r="IF57">
        <v>195</v>
      </c>
      <c r="IG57">
        <v>185</v>
      </c>
      <c r="IH57">
        <v>232</v>
      </c>
      <c r="II57">
        <v>1</v>
      </c>
      <c r="IJ57">
        <v>5</v>
      </c>
      <c r="IK57">
        <v>0</v>
      </c>
      <c r="IL57">
        <v>0</v>
      </c>
      <c r="IM57">
        <v>0</v>
      </c>
      <c r="IN57">
        <v>270</v>
      </c>
      <c r="IO57">
        <v>0</v>
      </c>
      <c r="IP57">
        <v>180</v>
      </c>
      <c r="IQ57">
        <v>0</v>
      </c>
      <c r="IR57">
        <v>330</v>
      </c>
      <c r="IS57">
        <v>0</v>
      </c>
      <c r="IT57">
        <v>90</v>
      </c>
      <c r="IU57">
        <v>0</v>
      </c>
      <c r="IV57">
        <v>6.4</v>
      </c>
      <c r="IW57">
        <v>-6</v>
      </c>
      <c r="IX57">
        <v>100</v>
      </c>
      <c r="IY57">
        <v>70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334</v>
      </c>
      <c r="JJ57">
        <v>304</v>
      </c>
      <c r="JK57">
        <v>222</v>
      </c>
      <c r="JL57">
        <v>290</v>
      </c>
      <c r="JM57">
        <v>238</v>
      </c>
      <c r="JN57">
        <v>190</v>
      </c>
      <c r="JO57">
        <v>242</v>
      </c>
      <c r="JP57">
        <v>200</v>
      </c>
      <c r="JQ57">
        <v>250</v>
      </c>
      <c r="JR57">
        <v>278</v>
      </c>
      <c r="JS57">
        <v>246</v>
      </c>
      <c r="JT57">
        <v>0</v>
      </c>
      <c r="JU57">
        <v>0</v>
      </c>
      <c r="JV57">
        <v>273</v>
      </c>
      <c r="JW57">
        <v>263</v>
      </c>
      <c r="JX57">
        <v>258</v>
      </c>
      <c r="JY57">
        <v>0</v>
      </c>
      <c r="JZ57">
        <v>0.5</v>
      </c>
      <c r="KA57">
        <v>0.2</v>
      </c>
      <c r="KB57">
        <v>0.4</v>
      </c>
      <c r="KC57">
        <v>0.42</v>
      </c>
      <c r="KD57">
        <v>0.28</v>
      </c>
      <c r="KE57">
        <v>0.5</v>
      </c>
      <c r="KF57">
        <v>0.19</v>
      </c>
      <c r="KG57">
        <v>0.11</v>
      </c>
      <c r="KH57">
        <v>3.5</v>
      </c>
      <c r="KI57">
        <v>1</v>
      </c>
      <c r="KJ57">
        <v>4.5</v>
      </c>
      <c r="KK57">
        <v>0</v>
      </c>
      <c r="KL57">
        <v>4.5</v>
      </c>
      <c r="KM57">
        <v>0</v>
      </c>
      <c r="KN57">
        <v>1.8</v>
      </c>
      <c r="KO57">
        <v>0</v>
      </c>
      <c r="KP57">
        <v>0</v>
      </c>
      <c r="KQ57">
        <v>0.8</v>
      </c>
      <c r="KR57">
        <v>0.8</v>
      </c>
      <c r="KS57">
        <v>0</v>
      </c>
      <c r="KT57">
        <v>2.7</v>
      </c>
      <c r="KU57">
        <v>0</v>
      </c>
      <c r="KV57">
        <v>0</v>
      </c>
      <c r="KW57">
        <v>1.2</v>
      </c>
      <c r="KX57">
        <v>2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3</v>
      </c>
      <c r="LI57">
        <v>0.5</v>
      </c>
      <c r="LJ57">
        <v>0</v>
      </c>
      <c r="LK57">
        <v>8</v>
      </c>
      <c r="LL57">
        <v>4</v>
      </c>
      <c r="LM57">
        <v>9</v>
      </c>
      <c r="LN57">
        <v>1</v>
      </c>
      <c r="LO57">
        <v>3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1.8</v>
      </c>
      <c r="LX57">
        <v>1.8</v>
      </c>
      <c r="LY57">
        <v>2.1</v>
      </c>
      <c r="LZ57">
        <v>2.1</v>
      </c>
      <c r="MA57">
        <v>0</v>
      </c>
      <c r="MB57">
        <v>2.5</v>
      </c>
      <c r="MC57">
        <v>0</v>
      </c>
      <c r="MD57">
        <v>4.5</v>
      </c>
      <c r="ME57">
        <v>6</v>
      </c>
      <c r="MF57">
        <v>6</v>
      </c>
      <c r="MI57">
        <v>0</v>
      </c>
      <c r="MJ57">
        <v>0</v>
      </c>
      <c r="ML57">
        <v>0</v>
      </c>
      <c r="MM57">
        <v>358</v>
      </c>
      <c r="MN57">
        <v>190</v>
      </c>
      <c r="MO57">
        <v>242</v>
      </c>
      <c r="NU57">
        <v>0.15</v>
      </c>
      <c r="NV57">
        <v>0.25</v>
      </c>
      <c r="NW57">
        <v>0.3</v>
      </c>
      <c r="NX57">
        <v>0.2</v>
      </c>
      <c r="NY57">
        <v>0.2</v>
      </c>
      <c r="NZ57">
        <v>0.2</v>
      </c>
      <c r="OE57" t="s">
        <v>4324</v>
      </c>
      <c r="OF57" t="s">
        <v>4322</v>
      </c>
      <c r="OG57" t="s">
        <v>4323</v>
      </c>
      <c r="OH57" t="s">
        <v>4043</v>
      </c>
      <c r="OI57" t="s">
        <v>4324</v>
      </c>
      <c r="OJ57" t="s">
        <v>4321</v>
      </c>
      <c r="OK57">
        <v>61</v>
      </c>
      <c r="OL57">
        <v>61</v>
      </c>
      <c r="OM57" t="s">
        <v>4322</v>
      </c>
      <c r="ON57">
        <v>3</v>
      </c>
      <c r="OO57">
        <v>1998</v>
      </c>
      <c r="OP57">
        <v>61</v>
      </c>
      <c r="OQ57">
        <v>61</v>
      </c>
      <c r="OR57" t="s">
        <v>4323</v>
      </c>
      <c r="OS57">
        <v>3</v>
      </c>
      <c r="OT57">
        <v>2005</v>
      </c>
      <c r="OU57">
        <v>65</v>
      </c>
      <c r="OV57">
        <v>65</v>
      </c>
      <c r="OW57" t="s">
        <v>4043</v>
      </c>
      <c r="OX57">
        <v>2</v>
      </c>
      <c r="OY57">
        <v>42647</v>
      </c>
      <c r="OZ57">
        <v>51</v>
      </c>
      <c r="PA57">
        <v>52</v>
      </c>
      <c r="PB57" t="s">
        <v>4324</v>
      </c>
      <c r="PC57">
        <v>3</v>
      </c>
      <c r="PD57">
        <v>2046</v>
      </c>
      <c r="PF57">
        <v>356</v>
      </c>
      <c r="PG57">
        <v>29</v>
      </c>
      <c r="PH57">
        <v>338</v>
      </c>
      <c r="PI57">
        <v>29</v>
      </c>
      <c r="PJ57">
        <v>87.8</v>
      </c>
      <c r="PK57">
        <v>2400</v>
      </c>
      <c r="PL57">
        <v>1130.2</v>
      </c>
      <c r="PM57">
        <v>1106.8</v>
      </c>
      <c r="PN57">
        <v>96.09999999999999</v>
      </c>
      <c r="PO57">
        <v>12.2</v>
      </c>
      <c r="PP57">
        <v>12</v>
      </c>
      <c r="PQ57">
        <v>3</v>
      </c>
      <c r="PR57">
        <v>3</v>
      </c>
      <c r="PS57">
        <v>0</v>
      </c>
      <c r="PT57">
        <v>232</v>
      </c>
      <c r="PU57">
        <v>10</v>
      </c>
      <c r="PV57" t="s">
        <v>4072</v>
      </c>
      <c r="PW57" t="s">
        <v>4072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-1</v>
      </c>
      <c r="QF57">
        <v>1</v>
      </c>
      <c r="QG57">
        <v>0</v>
      </c>
      <c r="QH57">
        <v>5</v>
      </c>
      <c r="QI57">
        <v>5</v>
      </c>
      <c r="QJ57">
        <v>5</v>
      </c>
      <c r="QK57">
        <v>183</v>
      </c>
      <c r="QL57">
        <v>364</v>
      </c>
      <c r="QM57">
        <v>7.5</v>
      </c>
      <c r="QN57">
        <v>1539.3</v>
      </c>
      <c r="QO57" t="s">
        <v>1252</v>
      </c>
      <c r="QP57" t="s">
        <v>513</v>
      </c>
      <c r="QQ57">
        <v>0</v>
      </c>
      <c r="QR57" t="s">
        <v>1343</v>
      </c>
      <c r="QS57">
        <v>40</v>
      </c>
      <c r="QT57">
        <v>50</v>
      </c>
    </row>
    <row r="58" spans="1:462">
      <c r="A58" t="s">
        <v>1366</v>
      </c>
      <c r="B58" t="s">
        <v>897</v>
      </c>
      <c r="C58" t="s">
        <v>509</v>
      </c>
      <c r="D58" t="s">
        <v>1365</v>
      </c>
      <c r="E58" t="s">
        <v>4036</v>
      </c>
      <c r="H58" t="s">
        <v>604</v>
      </c>
      <c r="I58" t="s">
        <v>605</v>
      </c>
      <c r="J58" t="s">
        <v>628</v>
      </c>
      <c r="K58" t="s">
        <v>606</v>
      </c>
      <c r="L58" t="s">
        <v>657</v>
      </c>
      <c r="M58" t="s">
        <v>512</v>
      </c>
      <c r="O58" t="s">
        <v>513</v>
      </c>
      <c r="P58" t="s">
        <v>517</v>
      </c>
      <c r="Q58" t="s">
        <v>713</v>
      </c>
      <c r="R58" t="s">
        <v>714</v>
      </c>
      <c r="S58" t="s">
        <v>4134</v>
      </c>
      <c r="T58" t="s">
        <v>570</v>
      </c>
      <c r="U58" t="s">
        <v>571</v>
      </c>
      <c r="V58" t="s">
        <v>1367</v>
      </c>
      <c r="W58" t="s">
        <v>1368</v>
      </c>
      <c r="X58" t="s">
        <v>1369</v>
      </c>
      <c r="Y58" t="s">
        <v>1370</v>
      </c>
      <c r="Z58" t="s">
        <v>650</v>
      </c>
      <c r="AA58" t="s">
        <v>4038</v>
      </c>
      <c r="AB58" t="s">
        <v>4325</v>
      </c>
      <c r="AC58">
        <v>9</v>
      </c>
      <c r="AD58" t="s">
        <v>1364</v>
      </c>
      <c r="AE58">
        <v>8</v>
      </c>
      <c r="AF58">
        <v>5224</v>
      </c>
      <c r="AG58" t="s">
        <v>4312</v>
      </c>
      <c r="AH58">
        <v>1</v>
      </c>
      <c r="AI58" t="s">
        <v>4041</v>
      </c>
      <c r="AK58" t="s">
        <v>4313</v>
      </c>
      <c r="AL58">
        <v>1</v>
      </c>
      <c r="AM58" t="s">
        <v>582</v>
      </c>
      <c r="AO58" t="s">
        <v>4043</v>
      </c>
      <c r="AP58">
        <v>1</v>
      </c>
      <c r="AR58" t="s">
        <v>4326</v>
      </c>
      <c r="AS58">
        <v>1</v>
      </c>
      <c r="AT58">
        <v>52</v>
      </c>
      <c r="AV58" t="s">
        <v>4078</v>
      </c>
      <c r="AW58">
        <v>6.4</v>
      </c>
      <c r="AX58">
        <v>-6</v>
      </c>
      <c r="AY58">
        <v>107.5</v>
      </c>
      <c r="AZ58">
        <v>77.5</v>
      </c>
      <c r="BH58">
        <v>107.5</v>
      </c>
      <c r="BI58">
        <v>30</v>
      </c>
      <c r="BJ58">
        <v>77.5</v>
      </c>
      <c r="BK58">
        <v>2.5</v>
      </c>
      <c r="BL58">
        <v>215</v>
      </c>
      <c r="BM58">
        <v>-6</v>
      </c>
      <c r="BN58">
        <v>0</v>
      </c>
      <c r="BO58">
        <v>0</v>
      </c>
      <c r="BP58">
        <v>0</v>
      </c>
      <c r="BR58">
        <v>210</v>
      </c>
      <c r="BS58">
        <v>200</v>
      </c>
      <c r="BT58">
        <v>2120</v>
      </c>
      <c r="BU58" t="s">
        <v>4127</v>
      </c>
      <c r="BV58" t="s">
        <v>4127</v>
      </c>
      <c r="BW58" t="s">
        <v>4128</v>
      </c>
      <c r="BX58" t="s">
        <v>4128</v>
      </c>
      <c r="BY58" t="s">
        <v>4164</v>
      </c>
      <c r="BZ58" t="s">
        <v>4139</v>
      </c>
      <c r="CA58" t="s">
        <v>4084</v>
      </c>
      <c r="CB58" t="s">
        <v>4085</v>
      </c>
      <c r="CC58" t="s">
        <v>4053</v>
      </c>
      <c r="CD58" t="s">
        <v>4055</v>
      </c>
      <c r="CE58" t="s">
        <v>4055</v>
      </c>
      <c r="CF58" t="s">
        <v>4055</v>
      </c>
      <c r="CG58" t="s">
        <v>4056</v>
      </c>
      <c r="CI58" t="s">
        <v>4086</v>
      </c>
      <c r="CJ58" t="s">
        <v>4059</v>
      </c>
      <c r="CK58" t="s">
        <v>4060</v>
      </c>
      <c r="CL58" t="s">
        <v>4061</v>
      </c>
      <c r="CM58" t="s">
        <v>4062</v>
      </c>
      <c r="CN58" t="s">
        <v>4055</v>
      </c>
      <c r="CO58" t="s">
        <v>4063</v>
      </c>
      <c r="CP58" t="s">
        <v>4055</v>
      </c>
      <c r="CQ58" t="s">
        <v>4055</v>
      </c>
      <c r="CR58">
        <v>5</v>
      </c>
      <c r="CS58" t="s">
        <v>4055</v>
      </c>
      <c r="CT58" t="s">
        <v>4055</v>
      </c>
      <c r="CU58" t="s">
        <v>4055</v>
      </c>
      <c r="CV58">
        <v>135</v>
      </c>
      <c r="CW58">
        <v>3</v>
      </c>
      <c r="CX58">
        <v>113</v>
      </c>
      <c r="CY58">
        <v>5</v>
      </c>
      <c r="CZ58">
        <v>143</v>
      </c>
      <c r="DA58">
        <v>5</v>
      </c>
      <c r="DB58">
        <v>12630</v>
      </c>
      <c r="DC58">
        <v>370</v>
      </c>
      <c r="DD58">
        <v>335</v>
      </c>
      <c r="DE58">
        <v>2240</v>
      </c>
      <c r="DF58">
        <v>2240</v>
      </c>
      <c r="DG58">
        <v>2259</v>
      </c>
      <c r="DH58">
        <v>1</v>
      </c>
      <c r="DI58" t="s">
        <v>4055</v>
      </c>
      <c r="DJ58" t="s">
        <v>4132</v>
      </c>
      <c r="DK58">
        <v>210</v>
      </c>
      <c r="DL58" t="s">
        <v>4065</v>
      </c>
      <c r="DM58">
        <v>63</v>
      </c>
      <c r="DN58">
        <v>1.1</v>
      </c>
      <c r="DO58">
        <v>1</v>
      </c>
      <c r="DP58">
        <v>2123</v>
      </c>
      <c r="DQ58">
        <v>964</v>
      </c>
      <c r="DR58" t="s">
        <v>4132</v>
      </c>
      <c r="DS58">
        <v>200</v>
      </c>
      <c r="DT58" t="s">
        <v>4065</v>
      </c>
      <c r="DU58">
        <v>63</v>
      </c>
      <c r="DV58">
        <v>1.1</v>
      </c>
      <c r="DW58">
        <v>1</v>
      </c>
      <c r="DX58">
        <v>2135</v>
      </c>
      <c r="DY58">
        <v>924</v>
      </c>
      <c r="DZ58" t="s">
        <v>4066</v>
      </c>
      <c r="EA58">
        <v>20</v>
      </c>
      <c r="EB58" t="s">
        <v>4065</v>
      </c>
      <c r="EC58">
        <v>0.8</v>
      </c>
      <c r="ED58">
        <v>2123</v>
      </c>
      <c r="EE58">
        <v>74</v>
      </c>
      <c r="EG58">
        <v>0</v>
      </c>
      <c r="EH58" t="s">
        <v>4065</v>
      </c>
      <c r="EI58">
        <v>0</v>
      </c>
      <c r="EL58" t="s">
        <v>1528</v>
      </c>
      <c r="EM58">
        <v>12</v>
      </c>
      <c r="EN58">
        <v>0.5</v>
      </c>
      <c r="EO58">
        <v>0.96</v>
      </c>
      <c r="EP58">
        <v>2133.83</v>
      </c>
      <c r="EQ58">
        <v>37842.14</v>
      </c>
      <c r="ER58">
        <v>10030.6</v>
      </c>
      <c r="ES58">
        <v>0</v>
      </c>
      <c r="ET58">
        <v>0</v>
      </c>
      <c r="EU58">
        <v>1</v>
      </c>
      <c r="EV58">
        <v>47873</v>
      </c>
      <c r="EW58">
        <v>575</v>
      </c>
      <c r="EX58" t="s">
        <v>4327</v>
      </c>
      <c r="EY58">
        <v>230</v>
      </c>
      <c r="EZ58" t="s">
        <v>4055</v>
      </c>
      <c r="FA58">
        <v>4.1</v>
      </c>
      <c r="FB58">
        <v>1</v>
      </c>
      <c r="FC58">
        <v>1</v>
      </c>
      <c r="FD58">
        <v>2164</v>
      </c>
      <c r="FE58">
        <v>2515</v>
      </c>
      <c r="FF58" t="s">
        <v>4288</v>
      </c>
      <c r="FG58">
        <v>230</v>
      </c>
      <c r="FH58" t="s">
        <v>4055</v>
      </c>
      <c r="FI58">
        <v>3</v>
      </c>
      <c r="FJ58">
        <v>2164</v>
      </c>
      <c r="FK58">
        <v>1858</v>
      </c>
      <c r="FL58" t="s">
        <v>4069</v>
      </c>
      <c r="FM58" t="s">
        <v>4055</v>
      </c>
      <c r="FN58" t="s">
        <v>4055</v>
      </c>
      <c r="FO58" t="s">
        <v>4055</v>
      </c>
      <c r="FP58">
        <v>2164</v>
      </c>
      <c r="FQ58">
        <v>251</v>
      </c>
      <c r="FR58" t="s">
        <v>4090</v>
      </c>
      <c r="FS58">
        <v>234</v>
      </c>
      <c r="FT58" t="s">
        <v>4055</v>
      </c>
      <c r="FU58">
        <v>0.4</v>
      </c>
      <c r="FV58">
        <v>2164</v>
      </c>
      <c r="FW58">
        <v>225</v>
      </c>
      <c r="FX58" t="s">
        <v>4070</v>
      </c>
      <c r="FY58">
        <v>5</v>
      </c>
      <c r="FZ58" t="s">
        <v>4055</v>
      </c>
      <c r="GA58" t="s">
        <v>4055</v>
      </c>
      <c r="GB58">
        <v>2164</v>
      </c>
      <c r="GC58">
        <v>19</v>
      </c>
      <c r="GD58">
        <v>4868</v>
      </c>
      <c r="GE58" t="s">
        <v>4326</v>
      </c>
      <c r="GF58" t="s">
        <v>4055</v>
      </c>
      <c r="GG58" t="s">
        <v>4055</v>
      </c>
      <c r="GH58" t="s">
        <v>4055</v>
      </c>
      <c r="GI58" t="s">
        <v>4071</v>
      </c>
      <c r="GJ58" t="s">
        <v>4055</v>
      </c>
      <c r="GK58" t="s">
        <v>4055</v>
      </c>
      <c r="GL58" t="s">
        <v>4055</v>
      </c>
      <c r="GM58" t="s">
        <v>4055</v>
      </c>
      <c r="GQ58">
        <v>0</v>
      </c>
      <c r="GV58">
        <v>7.5</v>
      </c>
      <c r="GW58">
        <v>10.5</v>
      </c>
      <c r="GX58">
        <v>0.5</v>
      </c>
      <c r="GY58">
        <v>200</v>
      </c>
      <c r="GZ58">
        <v>3</v>
      </c>
      <c r="HA58">
        <v>254</v>
      </c>
      <c r="HB58">
        <v>3</v>
      </c>
      <c r="HC58">
        <v>2164</v>
      </c>
      <c r="HD58">
        <v>4</v>
      </c>
      <c r="HE58" t="s">
        <v>4071</v>
      </c>
      <c r="HG58" t="s">
        <v>549</v>
      </c>
      <c r="HL58">
        <v>4</v>
      </c>
      <c r="HM58">
        <v>20</v>
      </c>
      <c r="HN58">
        <v>1</v>
      </c>
      <c r="HO58">
        <v>1</v>
      </c>
      <c r="HP58">
        <v>0</v>
      </c>
      <c r="HQ58">
        <v>0</v>
      </c>
      <c r="HR58">
        <v>2</v>
      </c>
      <c r="HS58">
        <v>2120</v>
      </c>
      <c r="HT58">
        <v>5</v>
      </c>
      <c r="HU58">
        <v>1</v>
      </c>
      <c r="HV58">
        <v>5</v>
      </c>
      <c r="HW58">
        <v>0</v>
      </c>
      <c r="HX58">
        <v>1</v>
      </c>
      <c r="HY58">
        <v>0</v>
      </c>
      <c r="HZ58">
        <v>63</v>
      </c>
      <c r="IA58">
        <v>2123</v>
      </c>
      <c r="IB58">
        <v>2135</v>
      </c>
      <c r="ID58">
        <v>2164</v>
      </c>
      <c r="IE58">
        <v>2164</v>
      </c>
      <c r="IF58">
        <v>210</v>
      </c>
      <c r="IG58">
        <v>200</v>
      </c>
      <c r="IH58">
        <v>254</v>
      </c>
      <c r="II58">
        <v>1</v>
      </c>
      <c r="IJ58">
        <v>5</v>
      </c>
      <c r="IK58">
        <v>0</v>
      </c>
      <c r="IL58">
        <v>0</v>
      </c>
      <c r="IM58">
        <v>0</v>
      </c>
      <c r="IN58">
        <v>270</v>
      </c>
      <c r="IO58">
        <v>0</v>
      </c>
      <c r="IP58">
        <v>180</v>
      </c>
      <c r="IQ58">
        <v>0</v>
      </c>
      <c r="IR58">
        <v>330</v>
      </c>
      <c r="IS58">
        <v>0</v>
      </c>
      <c r="IT58">
        <v>90</v>
      </c>
      <c r="IU58">
        <v>0</v>
      </c>
      <c r="IV58">
        <v>6.4</v>
      </c>
      <c r="IW58">
        <v>-6</v>
      </c>
      <c r="IX58">
        <v>107.5</v>
      </c>
      <c r="IY58">
        <v>77.5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364</v>
      </c>
      <c r="JJ58">
        <v>334</v>
      </c>
      <c r="JK58">
        <v>260</v>
      </c>
      <c r="JL58">
        <v>332</v>
      </c>
      <c r="JM58">
        <v>270</v>
      </c>
      <c r="JN58">
        <v>215</v>
      </c>
      <c r="JO58">
        <v>264</v>
      </c>
      <c r="JP58">
        <v>205</v>
      </c>
      <c r="JQ58">
        <v>235</v>
      </c>
      <c r="JR58">
        <v>305</v>
      </c>
      <c r="JS58">
        <v>275</v>
      </c>
      <c r="JT58">
        <v>0</v>
      </c>
      <c r="JU58">
        <v>0</v>
      </c>
      <c r="JV58">
        <v>300</v>
      </c>
      <c r="JW58">
        <v>290</v>
      </c>
      <c r="JX58">
        <v>300</v>
      </c>
      <c r="JY58">
        <v>295</v>
      </c>
      <c r="JZ58">
        <v>2</v>
      </c>
      <c r="KA58">
        <v>0.2</v>
      </c>
      <c r="KB58">
        <v>0.4</v>
      </c>
      <c r="KC58">
        <v>0.42</v>
      </c>
      <c r="KD58">
        <v>0.28</v>
      </c>
      <c r="KE58">
        <v>0.8</v>
      </c>
      <c r="KF58">
        <v>0.19</v>
      </c>
      <c r="KG58">
        <v>0.11</v>
      </c>
      <c r="KH58">
        <v>3.5</v>
      </c>
      <c r="KI58">
        <v>1</v>
      </c>
      <c r="KJ58">
        <v>4.5</v>
      </c>
      <c r="KK58">
        <v>0</v>
      </c>
      <c r="KL58">
        <v>4.5</v>
      </c>
      <c r="KM58">
        <v>0</v>
      </c>
      <c r="KN58">
        <v>1.8</v>
      </c>
      <c r="KO58">
        <v>0</v>
      </c>
      <c r="KP58">
        <v>0</v>
      </c>
      <c r="KQ58">
        <v>1</v>
      </c>
      <c r="KR58">
        <v>0.8</v>
      </c>
      <c r="KS58">
        <v>0</v>
      </c>
      <c r="KT58">
        <v>2.7</v>
      </c>
      <c r="KU58">
        <v>0</v>
      </c>
      <c r="KV58">
        <v>0</v>
      </c>
      <c r="KW58">
        <v>1.2</v>
      </c>
      <c r="KX58">
        <v>2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3</v>
      </c>
      <c r="LI58">
        <v>1.5</v>
      </c>
      <c r="LJ58">
        <v>0</v>
      </c>
      <c r="LK58">
        <v>8</v>
      </c>
      <c r="LL58">
        <v>4</v>
      </c>
      <c r="LM58">
        <v>9</v>
      </c>
      <c r="LN58">
        <v>0.1</v>
      </c>
      <c r="LO58">
        <v>3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1.8</v>
      </c>
      <c r="LX58">
        <v>1.8</v>
      </c>
      <c r="LY58">
        <v>2.1</v>
      </c>
      <c r="LZ58">
        <v>2.1</v>
      </c>
      <c r="MA58">
        <v>0</v>
      </c>
      <c r="MB58">
        <v>2.5</v>
      </c>
      <c r="MC58">
        <v>0</v>
      </c>
      <c r="MD58">
        <v>4.5</v>
      </c>
      <c r="ME58">
        <v>6</v>
      </c>
      <c r="MF58">
        <v>6</v>
      </c>
      <c r="MI58">
        <v>0</v>
      </c>
      <c r="MJ58">
        <v>0</v>
      </c>
      <c r="ML58">
        <v>0</v>
      </c>
      <c r="MM58">
        <v>420</v>
      </c>
      <c r="MN58">
        <v>210</v>
      </c>
      <c r="MO58">
        <v>264</v>
      </c>
      <c r="NU58">
        <v>0.15</v>
      </c>
      <c r="NV58">
        <v>0.25</v>
      </c>
      <c r="NW58">
        <v>0.3</v>
      </c>
      <c r="NX58">
        <v>0.2</v>
      </c>
      <c r="NY58">
        <v>0.2</v>
      </c>
      <c r="NZ58">
        <v>0.2</v>
      </c>
      <c r="OE58" t="s">
        <v>4326</v>
      </c>
      <c r="OF58" t="s">
        <v>4312</v>
      </c>
      <c r="OG58" t="s">
        <v>4313</v>
      </c>
      <c r="OH58" t="s">
        <v>4043</v>
      </c>
      <c r="OI58" t="s">
        <v>4326</v>
      </c>
      <c r="OJ58" t="s">
        <v>4325</v>
      </c>
      <c r="OK58">
        <v>61</v>
      </c>
      <c r="OL58">
        <v>61</v>
      </c>
      <c r="OM58" t="s">
        <v>4312</v>
      </c>
      <c r="ON58">
        <v>1</v>
      </c>
      <c r="OO58">
        <v>2123</v>
      </c>
      <c r="OP58">
        <v>61</v>
      </c>
      <c r="OQ58">
        <v>61</v>
      </c>
      <c r="OR58" t="s">
        <v>4313</v>
      </c>
      <c r="OS58">
        <v>1</v>
      </c>
      <c r="OT58">
        <v>2135</v>
      </c>
      <c r="OU58">
        <v>65</v>
      </c>
      <c r="OV58">
        <v>65</v>
      </c>
      <c r="OW58" t="s">
        <v>4043</v>
      </c>
      <c r="OX58">
        <v>2</v>
      </c>
      <c r="OY58">
        <v>47873</v>
      </c>
      <c r="OZ58">
        <v>51</v>
      </c>
      <c r="PA58">
        <v>52</v>
      </c>
      <c r="PB58" t="s">
        <v>4326</v>
      </c>
      <c r="PC58">
        <v>2</v>
      </c>
      <c r="PD58">
        <v>2164</v>
      </c>
      <c r="PF58">
        <v>454</v>
      </c>
      <c r="PG58">
        <v>35</v>
      </c>
      <c r="PH58">
        <v>433</v>
      </c>
      <c r="PI58">
        <v>0</v>
      </c>
      <c r="PJ58">
        <v>115.8</v>
      </c>
      <c r="PK58">
        <v>2218</v>
      </c>
      <c r="PL58">
        <v>1162.2</v>
      </c>
      <c r="PM58">
        <v>858.6</v>
      </c>
      <c r="PN58">
        <v>104.1</v>
      </c>
      <c r="PO58">
        <v>8.699999999999999</v>
      </c>
      <c r="PP58">
        <v>12</v>
      </c>
      <c r="PQ58">
        <v>5</v>
      </c>
      <c r="PR58">
        <v>5</v>
      </c>
      <c r="PS58">
        <v>0</v>
      </c>
      <c r="PT58">
        <v>254</v>
      </c>
      <c r="PU58">
        <v>12</v>
      </c>
      <c r="PV58" t="s">
        <v>4072</v>
      </c>
      <c r="PW58" t="s">
        <v>4072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-1</v>
      </c>
      <c r="QF58">
        <v>1</v>
      </c>
      <c r="QG58">
        <v>0</v>
      </c>
      <c r="QH58">
        <v>5</v>
      </c>
      <c r="QI58">
        <v>5</v>
      </c>
      <c r="QJ58">
        <v>5</v>
      </c>
      <c r="QK58">
        <v>196</v>
      </c>
      <c r="QL58">
        <v>394</v>
      </c>
      <c r="QM58">
        <v>7.5</v>
      </c>
      <c r="QN58">
        <v>1623.8</v>
      </c>
      <c r="QO58" t="s">
        <v>1377</v>
      </c>
      <c r="QP58" t="s">
        <v>513</v>
      </c>
      <c r="QQ58">
        <v>0</v>
      </c>
      <c r="QR58" t="s">
        <v>704</v>
      </c>
      <c r="QS58">
        <v>40</v>
      </c>
      <c r="QT58">
        <v>50</v>
      </c>
    </row>
    <row r="59" spans="1:462">
      <c r="A59" t="s">
        <v>1380</v>
      </c>
      <c r="B59" t="s">
        <v>897</v>
      </c>
      <c r="C59" t="s">
        <v>509</v>
      </c>
      <c r="D59" t="s">
        <v>1379</v>
      </c>
      <c r="E59" t="s">
        <v>4036</v>
      </c>
      <c r="H59" t="s">
        <v>1135</v>
      </c>
      <c r="J59" t="s">
        <v>562</v>
      </c>
      <c r="K59" t="s">
        <v>563</v>
      </c>
      <c r="L59" t="s">
        <v>657</v>
      </c>
      <c r="M59" t="s">
        <v>512</v>
      </c>
      <c r="O59" t="s">
        <v>513</v>
      </c>
      <c r="P59" t="s">
        <v>517</v>
      </c>
      <c r="Q59" t="s">
        <v>849</v>
      </c>
      <c r="R59" t="s">
        <v>743</v>
      </c>
      <c r="S59" t="s">
        <v>4134</v>
      </c>
      <c r="T59" t="s">
        <v>686</v>
      </c>
      <c r="U59" t="s">
        <v>687</v>
      </c>
      <c r="V59" t="s">
        <v>1354</v>
      </c>
      <c r="W59" t="s">
        <v>1381</v>
      </c>
      <c r="X59" t="s">
        <v>1382</v>
      </c>
      <c r="Y59" t="s">
        <v>1383</v>
      </c>
      <c r="Z59" t="s">
        <v>541</v>
      </c>
      <c r="AA59" t="s">
        <v>4038</v>
      </c>
      <c r="AB59" t="s">
        <v>4328</v>
      </c>
      <c r="AC59">
        <v>9</v>
      </c>
      <c r="AD59" t="s">
        <v>1378</v>
      </c>
      <c r="AE59">
        <v>8</v>
      </c>
      <c r="AF59">
        <v>3964</v>
      </c>
      <c r="AG59" t="s">
        <v>4322</v>
      </c>
      <c r="AH59">
        <v>1</v>
      </c>
      <c r="AI59" t="s">
        <v>4041</v>
      </c>
      <c r="AK59" t="s">
        <v>4323</v>
      </c>
      <c r="AL59">
        <v>1</v>
      </c>
      <c r="AM59" t="s">
        <v>582</v>
      </c>
      <c r="AO59" t="s">
        <v>4043</v>
      </c>
      <c r="AP59">
        <v>1</v>
      </c>
      <c r="AR59" t="s">
        <v>4329</v>
      </c>
      <c r="AS59">
        <v>1</v>
      </c>
      <c r="AT59">
        <v>52</v>
      </c>
      <c r="AV59" t="s">
        <v>4078</v>
      </c>
      <c r="AW59">
        <v>6.4</v>
      </c>
      <c r="AX59">
        <v>-6</v>
      </c>
      <c r="AY59">
        <v>100</v>
      </c>
      <c r="AZ59">
        <v>65</v>
      </c>
      <c r="BH59">
        <v>100</v>
      </c>
      <c r="BI59">
        <v>35</v>
      </c>
      <c r="BJ59">
        <v>65</v>
      </c>
      <c r="BK59">
        <v>2.5</v>
      </c>
      <c r="BL59">
        <v>200</v>
      </c>
      <c r="BM59">
        <v>-6</v>
      </c>
      <c r="BN59">
        <v>0</v>
      </c>
      <c r="BP59">
        <v>0</v>
      </c>
      <c r="BR59">
        <v>195</v>
      </c>
      <c r="BS59">
        <v>185</v>
      </c>
      <c r="BT59">
        <v>2000</v>
      </c>
      <c r="BU59" t="s">
        <v>4096</v>
      </c>
      <c r="BV59" t="s">
        <v>4096</v>
      </c>
      <c r="BW59" t="s">
        <v>4097</v>
      </c>
      <c r="BX59" t="s">
        <v>4097</v>
      </c>
      <c r="BY59" t="s">
        <v>4181</v>
      </c>
      <c r="BZ59" t="s">
        <v>4160</v>
      </c>
      <c r="CA59" t="s">
        <v>4130</v>
      </c>
      <c r="CB59" t="s">
        <v>4131</v>
      </c>
      <c r="CC59" t="s">
        <v>4053</v>
      </c>
      <c r="CD59" t="s">
        <v>4055</v>
      </c>
      <c r="CE59" t="s">
        <v>4055</v>
      </c>
      <c r="CF59" t="s">
        <v>4055</v>
      </c>
      <c r="CG59" t="s">
        <v>4056</v>
      </c>
      <c r="CH59" t="s">
        <v>4099</v>
      </c>
      <c r="CI59" t="s">
        <v>4086</v>
      </c>
      <c r="CJ59" t="s">
        <v>4059</v>
      </c>
      <c r="CK59" t="s">
        <v>4060</v>
      </c>
      <c r="CL59" t="s">
        <v>4061</v>
      </c>
      <c r="CM59" t="s">
        <v>4055</v>
      </c>
      <c r="CN59" t="s">
        <v>4062</v>
      </c>
      <c r="CO59" t="s">
        <v>4063</v>
      </c>
      <c r="CP59" t="s">
        <v>4055</v>
      </c>
      <c r="CQ59" t="s">
        <v>4055</v>
      </c>
      <c r="CR59">
        <v>5</v>
      </c>
      <c r="CS59" t="s">
        <v>4055</v>
      </c>
      <c r="CT59" t="s">
        <v>4055</v>
      </c>
      <c r="CU59" t="s">
        <v>4055</v>
      </c>
      <c r="CV59">
        <v>123</v>
      </c>
      <c r="CW59">
        <v>3</v>
      </c>
      <c r="CX59">
        <v>85</v>
      </c>
      <c r="CY59">
        <v>5</v>
      </c>
      <c r="CZ59">
        <v>79</v>
      </c>
      <c r="DA59">
        <v>5</v>
      </c>
      <c r="DB59">
        <v>10310</v>
      </c>
      <c r="DC59">
        <v>300</v>
      </c>
      <c r="DD59">
        <v>305</v>
      </c>
      <c r="DE59">
        <v>2105</v>
      </c>
      <c r="DF59">
        <v>2105</v>
      </c>
      <c r="DG59">
        <v>2126</v>
      </c>
      <c r="DH59">
        <v>2</v>
      </c>
      <c r="DI59" t="s">
        <v>4055</v>
      </c>
      <c r="DJ59" t="s">
        <v>4100</v>
      </c>
      <c r="DK59">
        <v>195</v>
      </c>
      <c r="DL59" t="s">
        <v>4101</v>
      </c>
      <c r="DM59">
        <v>63</v>
      </c>
      <c r="DN59">
        <v>0.84</v>
      </c>
      <c r="DO59">
        <v>1</v>
      </c>
      <c r="DP59">
        <v>2003</v>
      </c>
      <c r="DQ59">
        <v>713</v>
      </c>
      <c r="DR59" t="s">
        <v>4100</v>
      </c>
      <c r="DS59">
        <v>185</v>
      </c>
      <c r="DT59" t="s">
        <v>4101</v>
      </c>
      <c r="DU59">
        <v>63</v>
      </c>
      <c r="DV59">
        <v>0.84</v>
      </c>
      <c r="DW59">
        <v>1</v>
      </c>
      <c r="DX59">
        <v>2010</v>
      </c>
      <c r="DY59">
        <v>679</v>
      </c>
      <c r="DZ59" t="s">
        <v>4066</v>
      </c>
      <c r="EA59">
        <v>33</v>
      </c>
      <c r="EB59" t="s">
        <v>4065</v>
      </c>
      <c r="EC59">
        <v>0.4</v>
      </c>
      <c r="ED59">
        <v>2003</v>
      </c>
      <c r="EE59">
        <v>58</v>
      </c>
      <c r="EF59" t="s">
        <v>4066</v>
      </c>
      <c r="EG59">
        <v>33</v>
      </c>
      <c r="EH59" t="s">
        <v>4065</v>
      </c>
      <c r="EI59">
        <v>0.4</v>
      </c>
      <c r="EJ59">
        <v>2010</v>
      </c>
      <c r="EK59">
        <v>58</v>
      </c>
      <c r="EL59" t="s">
        <v>1528</v>
      </c>
      <c r="EM59">
        <v>12</v>
      </c>
      <c r="EN59">
        <v>0.5</v>
      </c>
      <c r="EO59">
        <v>0.96</v>
      </c>
      <c r="EP59">
        <v>2010.56</v>
      </c>
      <c r="EQ59">
        <v>33299.9</v>
      </c>
      <c r="ER59">
        <v>11028.24</v>
      </c>
      <c r="ES59">
        <v>0</v>
      </c>
      <c r="ET59">
        <v>0</v>
      </c>
      <c r="EU59">
        <v>1</v>
      </c>
      <c r="EV59">
        <v>44329</v>
      </c>
      <c r="EW59">
        <v>532</v>
      </c>
      <c r="EX59" t="s">
        <v>4327</v>
      </c>
      <c r="EY59">
        <v>210</v>
      </c>
      <c r="EZ59" t="s">
        <v>4055</v>
      </c>
      <c r="FA59">
        <v>3.7</v>
      </c>
      <c r="FB59">
        <v>1</v>
      </c>
      <c r="FC59">
        <v>1</v>
      </c>
      <c r="FD59">
        <v>2042</v>
      </c>
      <c r="FE59">
        <v>2000</v>
      </c>
      <c r="FF59" t="s">
        <v>4288</v>
      </c>
      <c r="FG59">
        <v>210</v>
      </c>
      <c r="FH59" t="s">
        <v>4055</v>
      </c>
      <c r="FI59">
        <v>3.7</v>
      </c>
      <c r="FJ59">
        <v>2042</v>
      </c>
      <c r="FK59">
        <v>1903</v>
      </c>
      <c r="FL59" t="s">
        <v>4069</v>
      </c>
      <c r="FM59" t="s">
        <v>4055</v>
      </c>
      <c r="FN59" t="s">
        <v>4055</v>
      </c>
      <c r="FO59" t="s">
        <v>4055</v>
      </c>
      <c r="FP59">
        <v>2042</v>
      </c>
      <c r="FQ59">
        <v>181</v>
      </c>
      <c r="FR59" t="s">
        <v>4090</v>
      </c>
      <c r="FS59">
        <v>214</v>
      </c>
      <c r="FT59" t="s">
        <v>4055</v>
      </c>
      <c r="FU59">
        <v>0.4</v>
      </c>
      <c r="FV59">
        <v>2042</v>
      </c>
      <c r="FW59">
        <v>194</v>
      </c>
      <c r="FX59" t="s">
        <v>4070</v>
      </c>
      <c r="FY59">
        <v>5</v>
      </c>
      <c r="FZ59" t="s">
        <v>4055</v>
      </c>
      <c r="GA59" t="s">
        <v>4055</v>
      </c>
      <c r="GB59">
        <v>2042</v>
      </c>
      <c r="GC59">
        <v>19</v>
      </c>
      <c r="GD59">
        <v>4297</v>
      </c>
      <c r="GE59" t="s">
        <v>4329</v>
      </c>
      <c r="GF59" t="s">
        <v>4055</v>
      </c>
      <c r="GG59" t="s">
        <v>4055</v>
      </c>
      <c r="GH59" t="s">
        <v>4055</v>
      </c>
      <c r="GI59" t="s">
        <v>4071</v>
      </c>
      <c r="GJ59" t="s">
        <v>4055</v>
      </c>
      <c r="GK59" t="s">
        <v>4055</v>
      </c>
      <c r="GL59" t="s">
        <v>4055</v>
      </c>
      <c r="GM59" t="s">
        <v>4055</v>
      </c>
      <c r="GQ59">
        <v>0</v>
      </c>
      <c r="GV59">
        <v>7.8</v>
      </c>
      <c r="GW59">
        <v>11</v>
      </c>
      <c r="GX59">
        <v>0.5</v>
      </c>
      <c r="GY59">
        <v>186</v>
      </c>
      <c r="GZ59">
        <v>3</v>
      </c>
      <c r="HA59">
        <v>230</v>
      </c>
      <c r="HB59">
        <v>3</v>
      </c>
      <c r="HC59">
        <v>2042</v>
      </c>
      <c r="HD59">
        <v>4</v>
      </c>
      <c r="HE59" t="s">
        <v>4071</v>
      </c>
      <c r="HG59" t="s">
        <v>549</v>
      </c>
      <c r="HL59">
        <v>4</v>
      </c>
      <c r="HM59">
        <v>19</v>
      </c>
      <c r="HN59">
        <v>6</v>
      </c>
      <c r="HO59">
        <v>1</v>
      </c>
      <c r="HP59">
        <v>0</v>
      </c>
      <c r="HQ59">
        <v>0</v>
      </c>
      <c r="HR59">
        <v>3</v>
      </c>
      <c r="HS59">
        <v>2000</v>
      </c>
      <c r="HT59">
        <v>5</v>
      </c>
      <c r="HU59">
        <v>1</v>
      </c>
      <c r="HV59">
        <v>5</v>
      </c>
      <c r="HW59">
        <v>0</v>
      </c>
      <c r="HX59">
        <v>1</v>
      </c>
      <c r="HY59">
        <v>0</v>
      </c>
      <c r="HZ59">
        <v>63</v>
      </c>
      <c r="IA59">
        <v>2003</v>
      </c>
      <c r="IB59">
        <v>2010</v>
      </c>
      <c r="ID59">
        <v>2042</v>
      </c>
      <c r="IE59">
        <v>2042</v>
      </c>
      <c r="IF59">
        <v>195</v>
      </c>
      <c r="IG59">
        <v>185</v>
      </c>
      <c r="IH59">
        <v>230</v>
      </c>
      <c r="II59">
        <v>1</v>
      </c>
      <c r="IJ59">
        <v>5</v>
      </c>
      <c r="IK59">
        <v>0</v>
      </c>
      <c r="IL59">
        <v>0</v>
      </c>
      <c r="IM59">
        <v>0</v>
      </c>
      <c r="IN59">
        <v>270</v>
      </c>
      <c r="IO59">
        <v>0</v>
      </c>
      <c r="IP59">
        <v>180</v>
      </c>
      <c r="IQ59">
        <v>0</v>
      </c>
      <c r="IR59">
        <v>330</v>
      </c>
      <c r="IS59">
        <v>0</v>
      </c>
      <c r="IT59">
        <v>90</v>
      </c>
      <c r="IU59">
        <v>0</v>
      </c>
      <c r="IV59">
        <v>6.4</v>
      </c>
      <c r="IW59">
        <v>-6</v>
      </c>
      <c r="IX59">
        <v>100</v>
      </c>
      <c r="IY59">
        <v>65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332</v>
      </c>
      <c r="JJ59">
        <v>316</v>
      </c>
      <c r="JK59">
        <v>250</v>
      </c>
      <c r="JL59">
        <v>314</v>
      </c>
      <c r="JM59">
        <v>280</v>
      </c>
      <c r="JN59">
        <v>190</v>
      </c>
      <c r="JO59">
        <v>240</v>
      </c>
      <c r="JP59">
        <v>200</v>
      </c>
      <c r="JQ59">
        <v>245</v>
      </c>
      <c r="JR59">
        <v>295</v>
      </c>
      <c r="JS59">
        <v>250</v>
      </c>
      <c r="JT59">
        <v>0</v>
      </c>
      <c r="JU59">
        <v>0</v>
      </c>
      <c r="JV59">
        <v>285</v>
      </c>
      <c r="JW59">
        <v>337</v>
      </c>
      <c r="JX59">
        <v>294</v>
      </c>
      <c r="JY59">
        <v>0</v>
      </c>
      <c r="JZ59">
        <v>3</v>
      </c>
      <c r="KA59">
        <v>0.2</v>
      </c>
      <c r="KB59">
        <v>0.4</v>
      </c>
      <c r="KC59">
        <v>0.42</v>
      </c>
      <c r="KD59">
        <v>0.28</v>
      </c>
      <c r="KE59">
        <v>0.8</v>
      </c>
      <c r="KF59">
        <v>0.18</v>
      </c>
      <c r="KG59">
        <v>0.11</v>
      </c>
      <c r="KH59">
        <v>3.5</v>
      </c>
      <c r="KI59">
        <v>1</v>
      </c>
      <c r="KJ59">
        <v>4.5</v>
      </c>
      <c r="KK59">
        <v>0</v>
      </c>
      <c r="KL59">
        <v>4.5</v>
      </c>
      <c r="KM59">
        <v>0</v>
      </c>
      <c r="KN59">
        <v>1.2</v>
      </c>
      <c r="KO59">
        <v>0</v>
      </c>
      <c r="KP59">
        <v>0</v>
      </c>
      <c r="KQ59">
        <v>0.7</v>
      </c>
      <c r="KR59">
        <v>0.9</v>
      </c>
      <c r="KS59">
        <v>0</v>
      </c>
      <c r="KT59">
        <v>1.5</v>
      </c>
      <c r="KU59">
        <v>0</v>
      </c>
      <c r="KV59">
        <v>0</v>
      </c>
      <c r="KW59">
        <v>0.7</v>
      </c>
      <c r="KX59">
        <v>1.5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3</v>
      </c>
      <c r="LI59">
        <v>1.5</v>
      </c>
      <c r="LJ59">
        <v>0</v>
      </c>
      <c r="LK59">
        <v>9</v>
      </c>
      <c r="LL59">
        <v>5</v>
      </c>
      <c r="LM59">
        <v>8</v>
      </c>
      <c r="LN59">
        <v>0.1</v>
      </c>
      <c r="LO59">
        <v>0.1</v>
      </c>
      <c r="LP59">
        <v>0</v>
      </c>
      <c r="LQ59">
        <v>0</v>
      </c>
      <c r="LR59">
        <v>0</v>
      </c>
      <c r="LS59">
        <v>1</v>
      </c>
      <c r="LT59">
        <v>0</v>
      </c>
      <c r="LU59">
        <v>0</v>
      </c>
      <c r="LV59">
        <v>0</v>
      </c>
      <c r="LW59">
        <v>2.8</v>
      </c>
      <c r="LX59">
        <v>2.8</v>
      </c>
      <c r="LY59">
        <v>2.8</v>
      </c>
      <c r="LZ59">
        <v>2.8</v>
      </c>
      <c r="MA59">
        <v>0</v>
      </c>
      <c r="MB59">
        <v>4</v>
      </c>
      <c r="MC59">
        <v>0</v>
      </c>
      <c r="MD59">
        <v>4.5</v>
      </c>
      <c r="ME59">
        <v>6</v>
      </c>
      <c r="MF59">
        <v>6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358</v>
      </c>
      <c r="MN59">
        <v>190</v>
      </c>
      <c r="MO59">
        <v>240</v>
      </c>
      <c r="NU59">
        <v>0.15</v>
      </c>
      <c r="NV59">
        <v>0.2</v>
      </c>
      <c r="NW59">
        <v>0.2</v>
      </c>
      <c r="NX59">
        <v>2</v>
      </c>
      <c r="NY59">
        <v>2</v>
      </c>
      <c r="NZ59">
        <v>2</v>
      </c>
      <c r="OE59" t="s">
        <v>4329</v>
      </c>
      <c r="OF59" t="s">
        <v>4322</v>
      </c>
      <c r="OG59" t="s">
        <v>4323</v>
      </c>
      <c r="OH59" t="s">
        <v>4043</v>
      </c>
      <c r="OI59" t="s">
        <v>4329</v>
      </c>
      <c r="OJ59" t="s">
        <v>4328</v>
      </c>
      <c r="OK59">
        <v>61</v>
      </c>
      <c r="OL59">
        <v>61</v>
      </c>
      <c r="OM59" t="s">
        <v>4322</v>
      </c>
      <c r="ON59">
        <v>3</v>
      </c>
      <c r="OO59">
        <v>2003</v>
      </c>
      <c r="OP59">
        <v>61</v>
      </c>
      <c r="OQ59">
        <v>61</v>
      </c>
      <c r="OR59" t="s">
        <v>4323</v>
      </c>
      <c r="OS59">
        <v>3</v>
      </c>
      <c r="OT59">
        <v>2010</v>
      </c>
      <c r="OU59">
        <v>65</v>
      </c>
      <c r="OV59">
        <v>65</v>
      </c>
      <c r="OW59" t="s">
        <v>4043</v>
      </c>
      <c r="OX59">
        <v>2</v>
      </c>
      <c r="OY59">
        <v>44329</v>
      </c>
      <c r="OZ59">
        <v>51</v>
      </c>
      <c r="PA59">
        <v>52</v>
      </c>
      <c r="PB59" t="s">
        <v>4329</v>
      </c>
      <c r="PC59">
        <v>2</v>
      </c>
      <c r="PD59">
        <v>2042</v>
      </c>
      <c r="PF59">
        <v>356</v>
      </c>
      <c r="PG59">
        <v>29</v>
      </c>
      <c r="PH59">
        <v>338</v>
      </c>
      <c r="PI59">
        <v>29</v>
      </c>
      <c r="PJ59">
        <v>88.8</v>
      </c>
      <c r="PK59">
        <v>2147</v>
      </c>
      <c r="PL59">
        <v>979.6</v>
      </c>
      <c r="PM59">
        <v>932</v>
      </c>
      <c r="PN59">
        <v>95.2</v>
      </c>
      <c r="PO59">
        <v>9.1</v>
      </c>
      <c r="PP59">
        <v>12</v>
      </c>
      <c r="PQ59">
        <v>3</v>
      </c>
      <c r="PR59">
        <v>3</v>
      </c>
      <c r="PS59">
        <v>8</v>
      </c>
      <c r="PT59">
        <v>230</v>
      </c>
      <c r="PU59">
        <v>10</v>
      </c>
      <c r="PV59" t="s">
        <v>4072</v>
      </c>
      <c r="PW59" t="s">
        <v>4072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-1</v>
      </c>
      <c r="QF59">
        <v>1</v>
      </c>
      <c r="QG59">
        <v>0</v>
      </c>
      <c r="QH59">
        <v>5</v>
      </c>
      <c r="QI59">
        <v>5</v>
      </c>
      <c r="QJ59">
        <v>5</v>
      </c>
      <c r="QK59">
        <v>182</v>
      </c>
      <c r="QL59">
        <v>362</v>
      </c>
      <c r="QM59">
        <v>7.5</v>
      </c>
      <c r="QN59">
        <v>1539.3</v>
      </c>
      <c r="QO59" t="s">
        <v>1377</v>
      </c>
      <c r="QP59" t="s">
        <v>513</v>
      </c>
      <c r="QQ59">
        <v>0</v>
      </c>
      <c r="QR59" t="s">
        <v>1343</v>
      </c>
      <c r="QS59">
        <v>40</v>
      </c>
      <c r="QT59">
        <v>50</v>
      </c>
    </row>
    <row r="60" spans="1:462">
      <c r="A60" t="s">
        <v>1388</v>
      </c>
      <c r="B60" t="s">
        <v>559</v>
      </c>
      <c r="C60" t="s">
        <v>509</v>
      </c>
      <c r="D60" t="s">
        <v>1387</v>
      </c>
      <c r="E60" t="s">
        <v>4036</v>
      </c>
      <c r="H60" t="s">
        <v>1294</v>
      </c>
      <c r="J60" t="s">
        <v>562</v>
      </c>
      <c r="K60" t="s">
        <v>563</v>
      </c>
      <c r="L60" t="s">
        <v>564</v>
      </c>
      <c r="M60" t="s">
        <v>512</v>
      </c>
      <c r="O60" t="s">
        <v>513</v>
      </c>
      <c r="P60" t="s">
        <v>517</v>
      </c>
      <c r="Q60" t="s">
        <v>1326</v>
      </c>
      <c r="R60" t="s">
        <v>1327</v>
      </c>
      <c r="S60" t="s">
        <v>4073</v>
      </c>
      <c r="T60" t="s">
        <v>570</v>
      </c>
      <c r="U60" t="s">
        <v>571</v>
      </c>
      <c r="V60" t="s">
        <v>1309</v>
      </c>
      <c r="W60" t="s">
        <v>1368</v>
      </c>
      <c r="X60" t="s">
        <v>1389</v>
      </c>
      <c r="Y60" t="s">
        <v>1390</v>
      </c>
      <c r="Z60" t="s">
        <v>541</v>
      </c>
      <c r="AA60" t="s">
        <v>4038</v>
      </c>
      <c r="AB60" t="s">
        <v>4330</v>
      </c>
      <c r="AC60">
        <v>9</v>
      </c>
      <c r="AD60" t="s">
        <v>1386</v>
      </c>
      <c r="AE60">
        <v>6</v>
      </c>
      <c r="AF60">
        <v>6011</v>
      </c>
      <c r="AG60" t="s">
        <v>4306</v>
      </c>
      <c r="AH60">
        <v>1</v>
      </c>
      <c r="AI60" t="s">
        <v>4041</v>
      </c>
      <c r="AK60" t="s">
        <v>4307</v>
      </c>
      <c r="AL60">
        <v>1</v>
      </c>
      <c r="AM60" t="s">
        <v>582</v>
      </c>
      <c r="AO60" t="s">
        <v>4043</v>
      </c>
      <c r="AP60">
        <v>1</v>
      </c>
      <c r="AR60" t="s">
        <v>4331</v>
      </c>
      <c r="AS60">
        <v>1</v>
      </c>
      <c r="AT60">
        <v>52</v>
      </c>
      <c r="AV60" t="s">
        <v>4078</v>
      </c>
      <c r="AW60">
        <v>6.4</v>
      </c>
      <c r="AX60">
        <v>-6</v>
      </c>
      <c r="AY60">
        <v>110</v>
      </c>
      <c r="AZ60">
        <v>80</v>
      </c>
      <c r="BH60">
        <v>110</v>
      </c>
      <c r="BI60">
        <v>30</v>
      </c>
      <c r="BJ60">
        <v>80</v>
      </c>
      <c r="BK60">
        <v>2.5</v>
      </c>
      <c r="BL60">
        <v>220</v>
      </c>
      <c r="BM60">
        <v>-6</v>
      </c>
      <c r="BN60">
        <v>0</v>
      </c>
      <c r="BP60">
        <v>0</v>
      </c>
      <c r="BR60">
        <v>215</v>
      </c>
      <c r="BS60">
        <v>205</v>
      </c>
      <c r="BT60">
        <v>2200</v>
      </c>
      <c r="BU60" t="s">
        <v>4127</v>
      </c>
      <c r="BV60" t="s">
        <v>4079</v>
      </c>
      <c r="BW60" t="s">
        <v>4128</v>
      </c>
      <c r="BX60" t="s">
        <v>4081</v>
      </c>
      <c r="BY60" t="s">
        <v>4164</v>
      </c>
      <c r="BZ60" t="s">
        <v>4164</v>
      </c>
      <c r="CA60" t="s">
        <v>4084</v>
      </c>
      <c r="CB60" t="s">
        <v>4085</v>
      </c>
      <c r="CC60" t="s">
        <v>4053</v>
      </c>
      <c r="CD60" t="s">
        <v>4055</v>
      </c>
      <c r="CE60" t="s">
        <v>4055</v>
      </c>
      <c r="CF60" t="s">
        <v>4055</v>
      </c>
      <c r="CG60" t="s">
        <v>4056</v>
      </c>
      <c r="CI60" t="s">
        <v>4086</v>
      </c>
      <c r="CJ60" t="s">
        <v>4059</v>
      </c>
      <c r="CK60" t="s">
        <v>4060</v>
      </c>
      <c r="CL60" t="s">
        <v>4061</v>
      </c>
      <c r="CM60" t="s">
        <v>4055</v>
      </c>
      <c r="CN60" t="s">
        <v>4062</v>
      </c>
      <c r="CO60" t="s">
        <v>4063</v>
      </c>
      <c r="CP60" t="s">
        <v>4055</v>
      </c>
      <c r="CQ60" t="s">
        <v>4055</v>
      </c>
      <c r="CR60">
        <v>5</v>
      </c>
      <c r="CS60" t="s">
        <v>4055</v>
      </c>
      <c r="CT60" t="s">
        <v>4055</v>
      </c>
      <c r="CU60" t="s">
        <v>4055</v>
      </c>
      <c r="CV60">
        <v>129</v>
      </c>
      <c r="CW60">
        <v>3</v>
      </c>
      <c r="CX60">
        <v>93</v>
      </c>
      <c r="CY60">
        <v>5</v>
      </c>
      <c r="CZ60">
        <v>151</v>
      </c>
      <c r="DA60">
        <v>5</v>
      </c>
      <c r="DB60">
        <v>14190</v>
      </c>
      <c r="DC60">
        <v>420</v>
      </c>
      <c r="DD60">
        <v>363</v>
      </c>
      <c r="DE60">
        <v>2329</v>
      </c>
      <c r="DF60">
        <v>2329</v>
      </c>
      <c r="DG60">
        <v>2341</v>
      </c>
      <c r="DH60">
        <v>1</v>
      </c>
      <c r="DI60" t="s">
        <v>4055</v>
      </c>
      <c r="DJ60" t="s">
        <v>4132</v>
      </c>
      <c r="DK60">
        <v>215</v>
      </c>
      <c r="DL60" t="s">
        <v>4065</v>
      </c>
      <c r="DM60">
        <v>63</v>
      </c>
      <c r="DN60">
        <v>1.1</v>
      </c>
      <c r="DO60">
        <v>1</v>
      </c>
      <c r="DP60">
        <v>2203</v>
      </c>
      <c r="DQ60">
        <v>1024</v>
      </c>
      <c r="DR60" t="s">
        <v>4132</v>
      </c>
      <c r="DS60">
        <v>205</v>
      </c>
      <c r="DT60" t="s">
        <v>4065</v>
      </c>
      <c r="DU60">
        <v>63</v>
      </c>
      <c r="DV60">
        <v>1.1</v>
      </c>
      <c r="DW60">
        <v>1</v>
      </c>
      <c r="DX60">
        <v>2215</v>
      </c>
      <c r="DY60">
        <v>981</v>
      </c>
      <c r="DZ60" t="s">
        <v>4066</v>
      </c>
      <c r="EA60">
        <v>20</v>
      </c>
      <c r="EB60" t="s">
        <v>4065</v>
      </c>
      <c r="EC60">
        <v>0.8</v>
      </c>
      <c r="ED60">
        <v>2203</v>
      </c>
      <c r="EE60">
        <v>77</v>
      </c>
      <c r="EG60">
        <v>0</v>
      </c>
      <c r="EH60" t="s">
        <v>4065</v>
      </c>
      <c r="EI60">
        <v>0</v>
      </c>
      <c r="EL60" t="s">
        <v>1528</v>
      </c>
      <c r="EM60">
        <v>12</v>
      </c>
      <c r="EN60">
        <v>0.5</v>
      </c>
      <c r="EO60">
        <v>0.96</v>
      </c>
      <c r="EP60">
        <v>2213.83</v>
      </c>
      <c r="EQ60">
        <v>40125.67</v>
      </c>
      <c r="ER60">
        <v>10405.6</v>
      </c>
      <c r="ES60">
        <v>0</v>
      </c>
      <c r="ET60">
        <v>0</v>
      </c>
      <c r="EU60">
        <v>1</v>
      </c>
      <c r="EV60">
        <v>50532</v>
      </c>
      <c r="EW60">
        <v>607</v>
      </c>
      <c r="EX60" t="s">
        <v>4327</v>
      </c>
      <c r="EY60">
        <v>230</v>
      </c>
      <c r="EZ60" t="s">
        <v>4055</v>
      </c>
      <c r="FA60">
        <v>3.9</v>
      </c>
      <c r="FB60">
        <v>1</v>
      </c>
      <c r="FC60">
        <v>1</v>
      </c>
      <c r="FD60">
        <v>2247</v>
      </c>
      <c r="FE60">
        <v>2525</v>
      </c>
      <c r="FF60" t="s">
        <v>4288</v>
      </c>
      <c r="FG60">
        <v>230</v>
      </c>
      <c r="FH60" t="s">
        <v>4055</v>
      </c>
      <c r="FI60">
        <v>4.2</v>
      </c>
      <c r="FJ60">
        <v>2247</v>
      </c>
      <c r="FK60">
        <v>2488</v>
      </c>
      <c r="FL60" t="s">
        <v>4069</v>
      </c>
      <c r="FM60" t="s">
        <v>4055</v>
      </c>
      <c r="FN60" t="s">
        <v>4055</v>
      </c>
      <c r="FO60" t="s">
        <v>4055</v>
      </c>
      <c r="FP60">
        <v>2247</v>
      </c>
      <c r="FQ60">
        <v>214</v>
      </c>
      <c r="FR60" t="s">
        <v>4090</v>
      </c>
      <c r="FS60">
        <v>234</v>
      </c>
      <c r="FT60" t="s">
        <v>4055</v>
      </c>
      <c r="FU60">
        <v>0.4</v>
      </c>
      <c r="FV60">
        <v>2247</v>
      </c>
      <c r="FW60">
        <v>234</v>
      </c>
      <c r="FX60" t="s">
        <v>4070</v>
      </c>
      <c r="FY60">
        <v>5</v>
      </c>
      <c r="FZ60" t="s">
        <v>4055</v>
      </c>
      <c r="GA60" t="s">
        <v>4055</v>
      </c>
      <c r="GB60">
        <v>2247</v>
      </c>
      <c r="GC60">
        <v>22</v>
      </c>
      <c r="GD60">
        <v>5483</v>
      </c>
      <c r="GE60" t="s">
        <v>4331</v>
      </c>
      <c r="GF60" t="s">
        <v>4055</v>
      </c>
      <c r="GG60" t="s">
        <v>4055</v>
      </c>
      <c r="GH60" t="s">
        <v>4055</v>
      </c>
      <c r="GI60" t="s">
        <v>4071</v>
      </c>
      <c r="GJ60" t="s">
        <v>4055</v>
      </c>
      <c r="GK60" t="s">
        <v>4055</v>
      </c>
      <c r="GL60" t="s">
        <v>4055</v>
      </c>
      <c r="GM60" t="s">
        <v>4055</v>
      </c>
      <c r="GQ60">
        <v>0</v>
      </c>
      <c r="GV60">
        <v>8.5</v>
      </c>
      <c r="GW60">
        <v>11.2</v>
      </c>
      <c r="GX60">
        <v>0.5</v>
      </c>
      <c r="GY60">
        <v>198</v>
      </c>
      <c r="GZ60">
        <v>3</v>
      </c>
      <c r="HA60">
        <v>250</v>
      </c>
      <c r="HB60">
        <v>3</v>
      </c>
      <c r="HC60">
        <v>2247</v>
      </c>
      <c r="HD60">
        <v>4</v>
      </c>
      <c r="HE60" t="s">
        <v>4071</v>
      </c>
      <c r="HG60" t="s">
        <v>549</v>
      </c>
      <c r="HL60">
        <v>4</v>
      </c>
      <c r="HM60">
        <v>20</v>
      </c>
      <c r="HN60">
        <v>6</v>
      </c>
      <c r="HO60">
        <v>1</v>
      </c>
      <c r="HP60">
        <v>0</v>
      </c>
      <c r="HQ60">
        <v>0</v>
      </c>
      <c r="HR60">
        <v>3</v>
      </c>
      <c r="HS60">
        <v>2200</v>
      </c>
      <c r="HT60">
        <v>5</v>
      </c>
      <c r="HU60">
        <v>1</v>
      </c>
      <c r="HV60">
        <v>5</v>
      </c>
      <c r="HW60">
        <v>0</v>
      </c>
      <c r="HX60">
        <v>1</v>
      </c>
      <c r="HY60">
        <v>0</v>
      </c>
      <c r="HZ60">
        <v>63</v>
      </c>
      <c r="IA60">
        <v>2203</v>
      </c>
      <c r="IB60">
        <v>2215</v>
      </c>
      <c r="ID60">
        <v>2247</v>
      </c>
      <c r="IE60">
        <v>2247</v>
      </c>
      <c r="IF60">
        <v>215</v>
      </c>
      <c r="IG60">
        <v>205</v>
      </c>
      <c r="IH60">
        <v>250</v>
      </c>
      <c r="II60">
        <v>1</v>
      </c>
      <c r="IJ60">
        <v>5</v>
      </c>
      <c r="IK60">
        <v>0</v>
      </c>
      <c r="IL60">
        <v>0</v>
      </c>
      <c r="IM60">
        <v>0</v>
      </c>
      <c r="IN60">
        <v>270</v>
      </c>
      <c r="IO60">
        <v>0</v>
      </c>
      <c r="IP60">
        <v>180</v>
      </c>
      <c r="IQ60">
        <v>0</v>
      </c>
      <c r="IR60">
        <v>330</v>
      </c>
      <c r="IS60">
        <v>0</v>
      </c>
      <c r="IT60">
        <v>90</v>
      </c>
      <c r="IU60">
        <v>0</v>
      </c>
      <c r="IV60">
        <v>6.4</v>
      </c>
      <c r="IW60">
        <v>-6</v>
      </c>
      <c r="IX60">
        <v>110</v>
      </c>
      <c r="IY60">
        <v>80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402</v>
      </c>
      <c r="JJ60">
        <v>372</v>
      </c>
      <c r="JK60">
        <v>275</v>
      </c>
      <c r="JL60">
        <v>370</v>
      </c>
      <c r="JM60">
        <v>302</v>
      </c>
      <c r="JN60">
        <v>215</v>
      </c>
      <c r="JO60">
        <v>264</v>
      </c>
      <c r="JP60">
        <v>185</v>
      </c>
      <c r="JQ60">
        <v>220</v>
      </c>
      <c r="JR60">
        <v>310</v>
      </c>
      <c r="JS60">
        <v>250</v>
      </c>
      <c r="JT60">
        <v>0</v>
      </c>
      <c r="JU60">
        <v>0</v>
      </c>
      <c r="JV60">
        <v>300</v>
      </c>
      <c r="JW60">
        <v>290</v>
      </c>
      <c r="JX60">
        <v>305</v>
      </c>
      <c r="JY60">
        <v>0</v>
      </c>
      <c r="JZ60">
        <v>2</v>
      </c>
      <c r="KA60">
        <v>0.2</v>
      </c>
      <c r="KB60">
        <v>0.4</v>
      </c>
      <c r="KC60">
        <v>0.42</v>
      </c>
      <c r="KD60">
        <v>0.28</v>
      </c>
      <c r="KE60">
        <v>0.8</v>
      </c>
      <c r="KF60">
        <v>0.19</v>
      </c>
      <c r="KG60">
        <v>0.13</v>
      </c>
      <c r="KH60">
        <v>3.5</v>
      </c>
      <c r="KI60">
        <v>1</v>
      </c>
      <c r="KJ60">
        <v>4.5</v>
      </c>
      <c r="KK60">
        <v>0</v>
      </c>
      <c r="KL60">
        <v>4.5</v>
      </c>
      <c r="KM60">
        <v>0</v>
      </c>
      <c r="KN60">
        <v>1.5</v>
      </c>
      <c r="KO60">
        <v>0</v>
      </c>
      <c r="KP60">
        <v>0</v>
      </c>
      <c r="KQ60">
        <v>0.8</v>
      </c>
      <c r="KR60">
        <v>0.5</v>
      </c>
      <c r="KS60">
        <v>0</v>
      </c>
      <c r="KT60">
        <v>2.8</v>
      </c>
      <c r="KU60">
        <v>0</v>
      </c>
      <c r="KV60">
        <v>0</v>
      </c>
      <c r="KW60">
        <v>1.2</v>
      </c>
      <c r="KX60">
        <v>1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3</v>
      </c>
      <c r="LI60">
        <v>0.5</v>
      </c>
      <c r="LJ60">
        <v>0</v>
      </c>
      <c r="LK60">
        <v>8</v>
      </c>
      <c r="LL60">
        <v>4</v>
      </c>
      <c r="LM60">
        <v>9</v>
      </c>
      <c r="LN60">
        <v>1</v>
      </c>
      <c r="LO60">
        <v>3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1.8</v>
      </c>
      <c r="LX60">
        <v>1.8</v>
      </c>
      <c r="LY60">
        <v>2.1</v>
      </c>
      <c r="LZ60">
        <v>2.1</v>
      </c>
      <c r="MA60">
        <v>0</v>
      </c>
      <c r="MB60">
        <v>2.5</v>
      </c>
      <c r="MC60">
        <v>0</v>
      </c>
      <c r="MD60">
        <v>4.5</v>
      </c>
      <c r="ME60">
        <v>6</v>
      </c>
      <c r="MF60">
        <v>6</v>
      </c>
      <c r="MI60">
        <v>0</v>
      </c>
      <c r="MJ60">
        <v>0</v>
      </c>
      <c r="ML60">
        <v>0</v>
      </c>
      <c r="MM60">
        <v>473</v>
      </c>
      <c r="MN60">
        <v>210</v>
      </c>
      <c r="MO60">
        <v>264</v>
      </c>
      <c r="NU60">
        <v>0.15</v>
      </c>
      <c r="NV60">
        <v>0.2</v>
      </c>
      <c r="NW60">
        <v>0.2</v>
      </c>
      <c r="NX60">
        <v>0.2</v>
      </c>
      <c r="NY60">
        <v>0.2</v>
      </c>
      <c r="NZ60">
        <v>0.2</v>
      </c>
      <c r="OE60" t="s">
        <v>4331</v>
      </c>
      <c r="OF60" t="s">
        <v>4306</v>
      </c>
      <c r="OG60" t="s">
        <v>4307</v>
      </c>
      <c r="OH60" t="s">
        <v>4043</v>
      </c>
      <c r="OI60" t="s">
        <v>4331</v>
      </c>
      <c r="OJ60" t="s">
        <v>4330</v>
      </c>
      <c r="OK60">
        <v>61</v>
      </c>
      <c r="OL60">
        <v>61</v>
      </c>
      <c r="OM60" t="s">
        <v>4306</v>
      </c>
      <c r="ON60">
        <v>1</v>
      </c>
      <c r="OO60">
        <v>2203</v>
      </c>
      <c r="OP60">
        <v>61</v>
      </c>
      <c r="OQ60">
        <v>61</v>
      </c>
      <c r="OR60" t="s">
        <v>4307</v>
      </c>
      <c r="OS60">
        <v>1</v>
      </c>
      <c r="OT60">
        <v>2215</v>
      </c>
      <c r="OU60">
        <v>65</v>
      </c>
      <c r="OV60">
        <v>65</v>
      </c>
      <c r="OW60" t="s">
        <v>4043</v>
      </c>
      <c r="OX60">
        <v>2</v>
      </c>
      <c r="OY60">
        <v>50532</v>
      </c>
      <c r="OZ60">
        <v>51</v>
      </c>
      <c r="PA60">
        <v>52</v>
      </c>
      <c r="PB60" t="s">
        <v>4331</v>
      </c>
      <c r="PC60">
        <v>2</v>
      </c>
      <c r="PD60">
        <v>2247</v>
      </c>
      <c r="PF60">
        <v>465</v>
      </c>
      <c r="PG60">
        <v>35</v>
      </c>
      <c r="PH60">
        <v>443</v>
      </c>
      <c r="PI60">
        <v>0</v>
      </c>
      <c r="PJ60">
        <v>95.09999999999999</v>
      </c>
      <c r="PK60">
        <v>2440</v>
      </c>
      <c r="PL60">
        <v>1123.8</v>
      </c>
      <c r="PM60">
        <v>1107.1</v>
      </c>
      <c r="PN60">
        <v>104.1</v>
      </c>
      <c r="PO60">
        <v>9.9</v>
      </c>
      <c r="PP60">
        <v>12</v>
      </c>
      <c r="PQ60">
        <v>5</v>
      </c>
      <c r="PR60">
        <v>4</v>
      </c>
      <c r="PS60">
        <v>0</v>
      </c>
      <c r="PT60">
        <v>250</v>
      </c>
      <c r="PU60">
        <v>10</v>
      </c>
      <c r="PV60" t="s">
        <v>4072</v>
      </c>
      <c r="PW60" t="s">
        <v>4072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-1</v>
      </c>
      <c r="QF60">
        <v>1</v>
      </c>
      <c r="QG60">
        <v>0</v>
      </c>
      <c r="QH60">
        <v>5</v>
      </c>
      <c r="QI60">
        <v>5</v>
      </c>
      <c r="QJ60">
        <v>5</v>
      </c>
      <c r="QK60">
        <v>216</v>
      </c>
      <c r="QL60">
        <v>432</v>
      </c>
      <c r="QM60">
        <v>7.5</v>
      </c>
      <c r="QN60">
        <v>1623.8</v>
      </c>
      <c r="QO60" t="s">
        <v>1377</v>
      </c>
      <c r="QP60" t="s">
        <v>513</v>
      </c>
      <c r="QQ60">
        <v>0</v>
      </c>
      <c r="QR60" t="s">
        <v>596</v>
      </c>
      <c r="QS60">
        <v>40</v>
      </c>
      <c r="QT60">
        <v>50</v>
      </c>
    </row>
    <row r="61" spans="1:462">
      <c r="A61" t="s">
        <v>1396</v>
      </c>
      <c r="B61" t="s">
        <v>564</v>
      </c>
      <c r="C61" t="s">
        <v>509</v>
      </c>
      <c r="D61" t="s">
        <v>1268</v>
      </c>
      <c r="E61" t="s">
        <v>4036</v>
      </c>
      <c r="H61" t="s">
        <v>1135</v>
      </c>
      <c r="J61" t="s">
        <v>562</v>
      </c>
      <c r="K61" t="s">
        <v>563</v>
      </c>
      <c r="L61" t="s">
        <v>629</v>
      </c>
      <c r="M61" t="s">
        <v>512</v>
      </c>
      <c r="O61" t="s">
        <v>513</v>
      </c>
      <c r="P61" t="s">
        <v>517</v>
      </c>
      <c r="Q61" t="s">
        <v>1090</v>
      </c>
      <c r="R61" t="s">
        <v>1091</v>
      </c>
      <c r="S61" t="s">
        <v>4037</v>
      </c>
      <c r="T61" t="s">
        <v>686</v>
      </c>
      <c r="U61" t="s">
        <v>687</v>
      </c>
      <c r="V61" t="s">
        <v>1270</v>
      </c>
      <c r="W61" t="s">
        <v>1368</v>
      </c>
      <c r="X61" t="s">
        <v>1397</v>
      </c>
      <c r="Y61" t="s">
        <v>1398</v>
      </c>
      <c r="Z61" t="s">
        <v>541</v>
      </c>
      <c r="AA61" t="s">
        <v>4038</v>
      </c>
      <c r="AB61" t="s">
        <v>4332</v>
      </c>
      <c r="AC61">
        <v>9</v>
      </c>
      <c r="AD61" t="s">
        <v>1395</v>
      </c>
      <c r="AE61">
        <v>5</v>
      </c>
      <c r="AF61">
        <v>6791</v>
      </c>
      <c r="AG61" t="s">
        <v>4284</v>
      </c>
      <c r="AH61">
        <v>1</v>
      </c>
      <c r="AI61" t="s">
        <v>4041</v>
      </c>
      <c r="AK61" t="s">
        <v>4285</v>
      </c>
      <c r="AL61">
        <v>1</v>
      </c>
      <c r="AM61" t="s">
        <v>582</v>
      </c>
      <c r="AO61" t="s">
        <v>4043</v>
      </c>
      <c r="AP61">
        <v>1</v>
      </c>
      <c r="AR61" t="s">
        <v>4333</v>
      </c>
      <c r="AS61">
        <v>1</v>
      </c>
      <c r="AT61">
        <v>52</v>
      </c>
      <c r="AV61" t="s">
        <v>4078</v>
      </c>
      <c r="AW61">
        <v>6.4</v>
      </c>
      <c r="AX61">
        <v>-6</v>
      </c>
      <c r="AY61">
        <v>115</v>
      </c>
      <c r="AZ61">
        <v>79</v>
      </c>
      <c r="BH61">
        <v>115</v>
      </c>
      <c r="BI61">
        <v>36</v>
      </c>
      <c r="BJ61">
        <v>79</v>
      </c>
      <c r="BK61">
        <v>2.5</v>
      </c>
      <c r="BL61">
        <v>230</v>
      </c>
      <c r="BM61">
        <v>-6</v>
      </c>
      <c r="BN61">
        <v>0</v>
      </c>
      <c r="BO61">
        <v>0</v>
      </c>
      <c r="BP61">
        <v>0</v>
      </c>
      <c r="BR61">
        <v>225</v>
      </c>
      <c r="BS61">
        <v>215</v>
      </c>
      <c r="BT61">
        <v>2270</v>
      </c>
      <c r="BU61" t="s">
        <v>4079</v>
      </c>
      <c r="BV61" t="s">
        <v>4079</v>
      </c>
      <c r="BW61" t="s">
        <v>4081</v>
      </c>
      <c r="BX61" t="s">
        <v>4081</v>
      </c>
      <c r="BY61" t="s">
        <v>4297</v>
      </c>
      <c r="BZ61" t="s">
        <v>4297</v>
      </c>
      <c r="CA61" t="s">
        <v>4130</v>
      </c>
      <c r="CB61" t="s">
        <v>4131</v>
      </c>
      <c r="CC61" t="s">
        <v>4053</v>
      </c>
      <c r="CD61" t="s">
        <v>4055</v>
      </c>
      <c r="CE61" t="s">
        <v>4055</v>
      </c>
      <c r="CF61" t="s">
        <v>4055</v>
      </c>
      <c r="CG61" t="s">
        <v>4056</v>
      </c>
      <c r="CI61" t="s">
        <v>4086</v>
      </c>
      <c r="CJ61" t="s">
        <v>4059</v>
      </c>
      <c r="CK61" t="s">
        <v>4060</v>
      </c>
      <c r="CL61" t="s">
        <v>4061</v>
      </c>
      <c r="CM61" t="s">
        <v>4055</v>
      </c>
      <c r="CN61" t="s">
        <v>4062</v>
      </c>
      <c r="CO61" t="s">
        <v>4063</v>
      </c>
      <c r="CP61" t="s">
        <v>4055</v>
      </c>
      <c r="CQ61" t="s">
        <v>4055</v>
      </c>
      <c r="CR61">
        <v>5</v>
      </c>
      <c r="CS61" t="s">
        <v>4055</v>
      </c>
      <c r="CT61" t="s">
        <v>4055</v>
      </c>
      <c r="CU61" t="s">
        <v>4055</v>
      </c>
      <c r="CV61">
        <v>139</v>
      </c>
      <c r="CW61">
        <v>3</v>
      </c>
      <c r="CX61">
        <v>101</v>
      </c>
      <c r="CY61">
        <v>5</v>
      </c>
      <c r="CZ61">
        <v>174</v>
      </c>
      <c r="DA61">
        <v>5</v>
      </c>
      <c r="DB61">
        <v>15680</v>
      </c>
      <c r="DC61">
        <v>470</v>
      </c>
      <c r="DD61">
        <v>405</v>
      </c>
      <c r="DE61">
        <v>2385</v>
      </c>
      <c r="DF61">
        <v>2385</v>
      </c>
      <c r="DG61">
        <v>2407</v>
      </c>
      <c r="DH61">
        <v>0</v>
      </c>
      <c r="DI61" t="s">
        <v>4055</v>
      </c>
      <c r="DJ61" t="s">
        <v>4217</v>
      </c>
      <c r="DK61">
        <v>225</v>
      </c>
      <c r="DL61" t="s">
        <v>4065</v>
      </c>
      <c r="DM61">
        <v>63</v>
      </c>
      <c r="DN61">
        <v>1.26</v>
      </c>
      <c r="DO61">
        <v>1</v>
      </c>
      <c r="DP61">
        <v>2274</v>
      </c>
      <c r="DQ61">
        <v>1235</v>
      </c>
      <c r="DR61" t="s">
        <v>4217</v>
      </c>
      <c r="DS61">
        <v>215</v>
      </c>
      <c r="DT61" t="s">
        <v>4065</v>
      </c>
      <c r="DU61">
        <v>63</v>
      </c>
      <c r="DV61">
        <v>1.26</v>
      </c>
      <c r="DW61">
        <v>1</v>
      </c>
      <c r="DX61">
        <v>2287</v>
      </c>
      <c r="DY61">
        <v>1187</v>
      </c>
      <c r="DZ61" t="s">
        <v>4066</v>
      </c>
      <c r="EA61">
        <v>20</v>
      </c>
      <c r="EB61" t="s">
        <v>4065</v>
      </c>
      <c r="EC61">
        <v>0.8</v>
      </c>
      <c r="ED61">
        <v>2274</v>
      </c>
      <c r="EE61">
        <v>80</v>
      </c>
      <c r="EG61">
        <v>0</v>
      </c>
      <c r="EH61" t="s">
        <v>4065</v>
      </c>
      <c r="EI61">
        <v>0</v>
      </c>
      <c r="EL61" t="s">
        <v>1528</v>
      </c>
      <c r="EM61">
        <v>12</v>
      </c>
      <c r="EN61">
        <v>0.5</v>
      </c>
      <c r="EO61">
        <v>0.96</v>
      </c>
      <c r="EP61">
        <v>2285.84</v>
      </c>
      <c r="EQ61">
        <v>43216.66</v>
      </c>
      <c r="ER61">
        <v>12891.78</v>
      </c>
      <c r="ES61">
        <v>0</v>
      </c>
      <c r="ET61">
        <v>0</v>
      </c>
      <c r="EU61">
        <v>1</v>
      </c>
      <c r="EV61">
        <v>56109</v>
      </c>
      <c r="EW61">
        <v>674</v>
      </c>
      <c r="EX61" t="s">
        <v>4327</v>
      </c>
      <c r="EY61">
        <v>248</v>
      </c>
      <c r="EZ61" t="s">
        <v>4055</v>
      </c>
      <c r="FA61">
        <v>3.4</v>
      </c>
      <c r="FB61">
        <v>1</v>
      </c>
      <c r="FC61">
        <v>1</v>
      </c>
      <c r="FD61">
        <v>2318</v>
      </c>
      <c r="FE61">
        <v>2487</v>
      </c>
      <c r="FF61" t="s">
        <v>4288</v>
      </c>
      <c r="FG61">
        <v>248</v>
      </c>
      <c r="FH61" t="s">
        <v>4055</v>
      </c>
      <c r="FI61">
        <v>4.2</v>
      </c>
      <c r="FJ61">
        <v>2318</v>
      </c>
      <c r="FK61">
        <v>2725</v>
      </c>
      <c r="FL61" t="s">
        <v>4069</v>
      </c>
      <c r="FM61" t="s">
        <v>4055</v>
      </c>
      <c r="FN61" t="s">
        <v>4055</v>
      </c>
      <c r="FO61" t="s">
        <v>4055</v>
      </c>
      <c r="FP61">
        <v>2318</v>
      </c>
      <c r="FQ61">
        <v>219</v>
      </c>
      <c r="FR61" t="s">
        <v>4090</v>
      </c>
      <c r="FS61">
        <v>252</v>
      </c>
      <c r="FT61" t="s">
        <v>4055</v>
      </c>
      <c r="FU61">
        <v>0.4</v>
      </c>
      <c r="FV61">
        <v>2318</v>
      </c>
      <c r="FW61">
        <v>260</v>
      </c>
      <c r="FX61" t="s">
        <v>4070</v>
      </c>
      <c r="FY61">
        <v>5</v>
      </c>
      <c r="FZ61" t="s">
        <v>4055</v>
      </c>
      <c r="GA61" t="s">
        <v>4055</v>
      </c>
      <c r="GB61">
        <v>2318</v>
      </c>
      <c r="GC61">
        <v>22</v>
      </c>
      <c r="GD61">
        <v>5713</v>
      </c>
      <c r="GE61" t="s">
        <v>4333</v>
      </c>
      <c r="GF61" t="s">
        <v>4055</v>
      </c>
      <c r="GG61" t="s">
        <v>4055</v>
      </c>
      <c r="GH61" t="s">
        <v>4055</v>
      </c>
      <c r="GI61" t="s">
        <v>4071</v>
      </c>
      <c r="GJ61" t="s">
        <v>4055</v>
      </c>
      <c r="GK61" t="s">
        <v>4055</v>
      </c>
      <c r="GL61" t="s">
        <v>4055</v>
      </c>
      <c r="GM61" t="s">
        <v>4055</v>
      </c>
      <c r="GQ61">
        <v>0</v>
      </c>
      <c r="GV61">
        <v>8</v>
      </c>
      <c r="GW61">
        <v>11</v>
      </c>
      <c r="GX61">
        <v>0.5</v>
      </c>
      <c r="GY61">
        <v>202</v>
      </c>
      <c r="GZ61">
        <v>3</v>
      </c>
      <c r="HA61">
        <v>268</v>
      </c>
      <c r="HB61">
        <v>3</v>
      </c>
      <c r="HC61">
        <v>2318</v>
      </c>
      <c r="HD61">
        <v>4</v>
      </c>
      <c r="HE61" t="s">
        <v>4071</v>
      </c>
      <c r="HG61" t="s">
        <v>549</v>
      </c>
      <c r="HL61">
        <v>4</v>
      </c>
      <c r="HM61">
        <v>19</v>
      </c>
      <c r="HN61">
        <v>6</v>
      </c>
      <c r="HO61">
        <v>1</v>
      </c>
      <c r="HP61">
        <v>0</v>
      </c>
      <c r="HQ61">
        <v>0</v>
      </c>
      <c r="HR61">
        <v>2</v>
      </c>
      <c r="HS61">
        <v>2270</v>
      </c>
      <c r="HT61">
        <v>5</v>
      </c>
      <c r="HU61">
        <v>1</v>
      </c>
      <c r="HV61">
        <v>5</v>
      </c>
      <c r="HW61">
        <v>0</v>
      </c>
      <c r="HX61">
        <v>1</v>
      </c>
      <c r="HY61">
        <v>0</v>
      </c>
      <c r="HZ61">
        <v>63</v>
      </c>
      <c r="IA61">
        <v>2274</v>
      </c>
      <c r="IB61">
        <v>2287</v>
      </c>
      <c r="ID61">
        <v>2318</v>
      </c>
      <c r="IE61">
        <v>2318</v>
      </c>
      <c r="IF61">
        <v>225</v>
      </c>
      <c r="IG61">
        <v>215</v>
      </c>
      <c r="IH61">
        <v>268</v>
      </c>
      <c r="II61">
        <v>1</v>
      </c>
      <c r="IJ61">
        <v>10</v>
      </c>
      <c r="IK61">
        <v>0</v>
      </c>
      <c r="IL61">
        <v>0</v>
      </c>
      <c r="IM61">
        <v>0</v>
      </c>
      <c r="IN61">
        <v>270</v>
      </c>
      <c r="IO61">
        <v>0</v>
      </c>
      <c r="IP61">
        <v>180</v>
      </c>
      <c r="IQ61">
        <v>0</v>
      </c>
      <c r="IR61">
        <v>330</v>
      </c>
      <c r="IS61">
        <v>0</v>
      </c>
      <c r="IT61">
        <v>90</v>
      </c>
      <c r="IU61">
        <v>0</v>
      </c>
      <c r="IV61">
        <v>6.4</v>
      </c>
      <c r="IW61">
        <v>-6</v>
      </c>
      <c r="IX61">
        <v>115</v>
      </c>
      <c r="IY61">
        <v>79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470</v>
      </c>
      <c r="JJ61">
        <v>440</v>
      </c>
      <c r="JK61">
        <v>335</v>
      </c>
      <c r="JL61">
        <v>438</v>
      </c>
      <c r="JM61">
        <v>330</v>
      </c>
      <c r="JN61">
        <v>220</v>
      </c>
      <c r="JO61">
        <v>278</v>
      </c>
      <c r="JP61">
        <v>195</v>
      </c>
      <c r="JQ61">
        <v>225</v>
      </c>
      <c r="JR61">
        <v>320</v>
      </c>
      <c r="JS61">
        <v>225</v>
      </c>
      <c r="JT61">
        <v>0</v>
      </c>
      <c r="JU61">
        <v>0</v>
      </c>
      <c r="JV61">
        <v>320</v>
      </c>
      <c r="JW61">
        <v>310</v>
      </c>
      <c r="JX61">
        <v>310</v>
      </c>
      <c r="JY61">
        <v>275</v>
      </c>
      <c r="JZ61">
        <v>0.5</v>
      </c>
      <c r="KA61">
        <v>0.2</v>
      </c>
      <c r="KB61">
        <v>0.4</v>
      </c>
      <c r="KC61">
        <v>0.42</v>
      </c>
      <c r="KD61">
        <v>0.3</v>
      </c>
      <c r="KE61">
        <v>0.5</v>
      </c>
      <c r="KF61">
        <v>0.18</v>
      </c>
      <c r="KG61">
        <v>0.12</v>
      </c>
      <c r="KH61">
        <v>3.5</v>
      </c>
      <c r="KI61">
        <v>1</v>
      </c>
      <c r="KJ61">
        <v>4.5</v>
      </c>
      <c r="KK61">
        <v>0</v>
      </c>
      <c r="KL61">
        <v>4.5</v>
      </c>
      <c r="KM61">
        <v>0</v>
      </c>
      <c r="KN61">
        <v>2.5</v>
      </c>
      <c r="KO61">
        <v>0</v>
      </c>
      <c r="KP61">
        <v>0</v>
      </c>
      <c r="KQ61">
        <v>0.5</v>
      </c>
      <c r="KR61">
        <v>0.8</v>
      </c>
      <c r="KS61">
        <v>0</v>
      </c>
      <c r="KT61">
        <v>3.5</v>
      </c>
      <c r="KU61">
        <v>0</v>
      </c>
      <c r="KV61">
        <v>0</v>
      </c>
      <c r="KW61">
        <v>1.6</v>
      </c>
      <c r="KX61">
        <v>2</v>
      </c>
      <c r="KY61">
        <v>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3</v>
      </c>
      <c r="LI61">
        <v>0.5</v>
      </c>
      <c r="LJ61">
        <v>0</v>
      </c>
      <c r="LK61">
        <v>10</v>
      </c>
      <c r="LL61">
        <v>11</v>
      </c>
      <c r="LM61">
        <v>10</v>
      </c>
      <c r="LN61">
        <v>0.1</v>
      </c>
      <c r="LO61">
        <v>1</v>
      </c>
      <c r="LP61">
        <v>0</v>
      </c>
      <c r="LQ61">
        <v>0</v>
      </c>
      <c r="LR61">
        <v>0</v>
      </c>
      <c r="LS61">
        <v>1</v>
      </c>
      <c r="LT61">
        <v>530</v>
      </c>
      <c r="LU61">
        <v>0</v>
      </c>
      <c r="LV61">
        <v>0</v>
      </c>
      <c r="LW61">
        <v>1.8</v>
      </c>
      <c r="LX61">
        <v>1.8</v>
      </c>
      <c r="LY61">
        <v>2.1</v>
      </c>
      <c r="LZ61">
        <v>2.1</v>
      </c>
      <c r="MA61">
        <v>0</v>
      </c>
      <c r="MB61">
        <v>12</v>
      </c>
      <c r="MC61">
        <v>0</v>
      </c>
      <c r="MD61">
        <v>4.5</v>
      </c>
      <c r="ME61">
        <v>6</v>
      </c>
      <c r="MF61">
        <v>6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484</v>
      </c>
      <c r="MN61">
        <v>215</v>
      </c>
      <c r="MO61">
        <v>278</v>
      </c>
      <c r="NU61">
        <v>0.15</v>
      </c>
      <c r="NV61">
        <v>0.2</v>
      </c>
      <c r="NW61">
        <v>0.2</v>
      </c>
      <c r="NX61">
        <v>0.2</v>
      </c>
      <c r="NY61">
        <v>0.2</v>
      </c>
      <c r="NZ61">
        <v>0.2</v>
      </c>
      <c r="OE61" t="s">
        <v>4333</v>
      </c>
      <c r="OF61" t="s">
        <v>4284</v>
      </c>
      <c r="OG61" t="s">
        <v>4285</v>
      </c>
      <c r="OH61" t="s">
        <v>4043</v>
      </c>
      <c r="OI61" t="s">
        <v>4333</v>
      </c>
      <c r="OJ61" t="s">
        <v>4332</v>
      </c>
      <c r="OK61">
        <v>61</v>
      </c>
      <c r="OL61">
        <v>61</v>
      </c>
      <c r="OM61" t="s">
        <v>4284</v>
      </c>
      <c r="ON61">
        <v>1</v>
      </c>
      <c r="OO61">
        <v>2274</v>
      </c>
      <c r="OP61">
        <v>61</v>
      </c>
      <c r="OQ61">
        <v>61</v>
      </c>
      <c r="OR61" t="s">
        <v>4285</v>
      </c>
      <c r="OS61">
        <v>1</v>
      </c>
      <c r="OT61">
        <v>2287</v>
      </c>
      <c r="OU61">
        <v>65</v>
      </c>
      <c r="OV61">
        <v>65</v>
      </c>
      <c r="OW61" t="s">
        <v>4043</v>
      </c>
      <c r="OX61">
        <v>2</v>
      </c>
      <c r="OY61">
        <v>56109</v>
      </c>
      <c r="OZ61">
        <v>51</v>
      </c>
      <c r="PA61">
        <v>52</v>
      </c>
      <c r="PB61" t="s">
        <v>4333</v>
      </c>
      <c r="PC61">
        <v>3</v>
      </c>
      <c r="PD61">
        <v>2318</v>
      </c>
      <c r="PF61">
        <v>543</v>
      </c>
      <c r="PG61">
        <v>35</v>
      </c>
      <c r="PH61">
        <v>519</v>
      </c>
      <c r="PI61">
        <v>0</v>
      </c>
      <c r="PJ61">
        <v>94.3</v>
      </c>
      <c r="PK61">
        <v>2440</v>
      </c>
      <c r="PL61">
        <v>1073.1</v>
      </c>
      <c r="PM61">
        <v>1175.4</v>
      </c>
      <c r="PN61">
        <v>112.1</v>
      </c>
      <c r="PO61">
        <v>9.300000000000001</v>
      </c>
      <c r="PP61">
        <v>12</v>
      </c>
      <c r="PQ61">
        <v>4</v>
      </c>
      <c r="PR61">
        <v>4</v>
      </c>
      <c r="PS61">
        <v>0</v>
      </c>
      <c r="PT61">
        <v>268</v>
      </c>
      <c r="PU61">
        <v>10</v>
      </c>
      <c r="PV61" t="s">
        <v>4072</v>
      </c>
      <c r="PW61" t="s">
        <v>4072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-1</v>
      </c>
      <c r="QF61">
        <v>1</v>
      </c>
      <c r="QG61">
        <v>0</v>
      </c>
      <c r="QH61">
        <v>5</v>
      </c>
      <c r="QI61">
        <v>5</v>
      </c>
      <c r="QJ61">
        <v>5</v>
      </c>
      <c r="QK61">
        <v>250</v>
      </c>
      <c r="QL61">
        <v>500</v>
      </c>
      <c r="QM61">
        <v>9.4</v>
      </c>
      <c r="QN61">
        <v>1545.7</v>
      </c>
      <c r="QO61" t="s">
        <v>1377</v>
      </c>
      <c r="QP61" t="s">
        <v>513</v>
      </c>
      <c r="QQ61">
        <v>0</v>
      </c>
      <c r="QR61" t="s">
        <v>596</v>
      </c>
      <c r="QS61">
        <v>40</v>
      </c>
      <c r="QT61">
        <v>50</v>
      </c>
    </row>
    <row r="62" spans="1:462">
      <c r="A62" t="s">
        <v>1407</v>
      </c>
      <c r="B62" t="s">
        <v>629</v>
      </c>
      <c r="C62" t="s">
        <v>509</v>
      </c>
      <c r="D62" t="s">
        <v>1406</v>
      </c>
      <c r="E62" t="s">
        <v>4036</v>
      </c>
      <c r="H62" t="s">
        <v>561</v>
      </c>
      <c r="J62" t="s">
        <v>562</v>
      </c>
      <c r="K62" t="s">
        <v>563</v>
      </c>
      <c r="L62" t="s">
        <v>711</v>
      </c>
      <c r="M62" t="s">
        <v>512</v>
      </c>
      <c r="O62" t="s">
        <v>513</v>
      </c>
      <c r="P62" t="s">
        <v>517</v>
      </c>
      <c r="Q62" t="s">
        <v>866</v>
      </c>
      <c r="R62" t="s">
        <v>867</v>
      </c>
      <c r="S62" t="s">
        <v>4134</v>
      </c>
      <c r="T62" t="s">
        <v>570</v>
      </c>
      <c r="U62" t="s">
        <v>571</v>
      </c>
      <c r="V62" t="s">
        <v>1309</v>
      </c>
      <c r="W62" t="s">
        <v>1368</v>
      </c>
      <c r="X62" t="s">
        <v>1408</v>
      </c>
      <c r="Y62" t="s">
        <v>1409</v>
      </c>
      <c r="Z62" t="s">
        <v>541</v>
      </c>
      <c r="AA62" t="s">
        <v>4038</v>
      </c>
      <c r="AB62" t="s">
        <v>4334</v>
      </c>
      <c r="AC62">
        <v>9</v>
      </c>
      <c r="AD62" t="s">
        <v>1405</v>
      </c>
      <c r="AE62">
        <v>4</v>
      </c>
      <c r="AF62">
        <v>5522</v>
      </c>
      <c r="AG62" t="s">
        <v>4335</v>
      </c>
      <c r="AH62">
        <v>1</v>
      </c>
      <c r="AI62" t="s">
        <v>4041</v>
      </c>
      <c r="AK62" t="s">
        <v>4336</v>
      </c>
      <c r="AL62">
        <v>1</v>
      </c>
      <c r="AM62" t="s">
        <v>582</v>
      </c>
      <c r="AO62" t="s">
        <v>4043</v>
      </c>
      <c r="AP62">
        <v>1</v>
      </c>
      <c r="AR62" t="s">
        <v>4337</v>
      </c>
      <c r="AS62">
        <v>1</v>
      </c>
      <c r="AT62">
        <v>52</v>
      </c>
      <c r="AV62" t="s">
        <v>4078</v>
      </c>
      <c r="AW62">
        <v>6.4</v>
      </c>
      <c r="AX62">
        <v>-6</v>
      </c>
      <c r="AY62">
        <v>112.5</v>
      </c>
      <c r="AZ62">
        <v>82.5</v>
      </c>
      <c r="BH62">
        <v>112.5</v>
      </c>
      <c r="BI62">
        <v>30</v>
      </c>
      <c r="BJ62">
        <v>82.5</v>
      </c>
      <c r="BK62">
        <v>2.5</v>
      </c>
      <c r="BL62">
        <v>225</v>
      </c>
      <c r="BM62">
        <v>-6</v>
      </c>
      <c r="BN62">
        <v>0</v>
      </c>
      <c r="BP62">
        <v>0</v>
      </c>
      <c r="BR62">
        <v>220</v>
      </c>
      <c r="BS62">
        <v>210</v>
      </c>
      <c r="BT62">
        <v>2155</v>
      </c>
      <c r="BU62" t="s">
        <v>4127</v>
      </c>
      <c r="BV62" t="s">
        <v>4127</v>
      </c>
      <c r="BW62" t="s">
        <v>4128</v>
      </c>
      <c r="BX62" t="s">
        <v>4128</v>
      </c>
      <c r="BY62" t="s">
        <v>4164</v>
      </c>
      <c r="BZ62" t="s">
        <v>4139</v>
      </c>
      <c r="CA62" t="s">
        <v>4084</v>
      </c>
      <c r="CB62" t="s">
        <v>4085</v>
      </c>
      <c r="CC62" t="s">
        <v>4053</v>
      </c>
      <c r="CD62" t="s">
        <v>4055</v>
      </c>
      <c r="CE62" t="s">
        <v>4055</v>
      </c>
      <c r="CF62" t="s">
        <v>4055</v>
      </c>
      <c r="CG62" t="s">
        <v>4056</v>
      </c>
      <c r="CI62" t="s">
        <v>4086</v>
      </c>
      <c r="CJ62" t="s">
        <v>4059</v>
      </c>
      <c r="CK62" t="s">
        <v>4060</v>
      </c>
      <c r="CL62" t="s">
        <v>4061</v>
      </c>
      <c r="CM62" t="s">
        <v>4055</v>
      </c>
      <c r="CN62" t="s">
        <v>4062</v>
      </c>
      <c r="CO62" t="s">
        <v>4063</v>
      </c>
      <c r="CP62" t="s">
        <v>4055</v>
      </c>
      <c r="CQ62" t="s">
        <v>4055</v>
      </c>
      <c r="CR62">
        <v>5</v>
      </c>
      <c r="CS62" t="s">
        <v>4055</v>
      </c>
      <c r="CT62" t="s">
        <v>4055</v>
      </c>
      <c r="CU62" t="s">
        <v>4055</v>
      </c>
      <c r="CV62">
        <v>136</v>
      </c>
      <c r="CW62">
        <v>3</v>
      </c>
      <c r="CX62">
        <v>96</v>
      </c>
      <c r="CY62">
        <v>5</v>
      </c>
      <c r="CZ62">
        <v>149</v>
      </c>
      <c r="DA62">
        <v>5</v>
      </c>
      <c r="DB62">
        <v>13660</v>
      </c>
      <c r="DC62">
        <v>400</v>
      </c>
      <c r="DD62">
        <v>325</v>
      </c>
      <c r="DE62">
        <v>2279</v>
      </c>
      <c r="DF62">
        <v>2279</v>
      </c>
      <c r="DG62">
        <v>2291</v>
      </c>
      <c r="DH62">
        <v>1</v>
      </c>
      <c r="DI62" t="s">
        <v>4055</v>
      </c>
      <c r="DJ62" t="s">
        <v>4132</v>
      </c>
      <c r="DK62">
        <v>220</v>
      </c>
      <c r="DL62" t="s">
        <v>4065</v>
      </c>
      <c r="DM62">
        <v>63</v>
      </c>
      <c r="DN62">
        <v>1.1</v>
      </c>
      <c r="DO62">
        <v>1</v>
      </c>
      <c r="DP62">
        <v>2158</v>
      </c>
      <c r="DQ62">
        <v>1027</v>
      </c>
      <c r="DR62" t="s">
        <v>4132</v>
      </c>
      <c r="DS62">
        <v>210</v>
      </c>
      <c r="DT62" t="s">
        <v>4065</v>
      </c>
      <c r="DU62">
        <v>63</v>
      </c>
      <c r="DV62">
        <v>1.1</v>
      </c>
      <c r="DW62">
        <v>1</v>
      </c>
      <c r="DX62">
        <v>2170</v>
      </c>
      <c r="DY62">
        <v>985</v>
      </c>
      <c r="DZ62" t="s">
        <v>4066</v>
      </c>
      <c r="EA62">
        <v>20</v>
      </c>
      <c r="EB62" t="s">
        <v>4065</v>
      </c>
      <c r="EC62">
        <v>0.8</v>
      </c>
      <c r="ED62">
        <v>2158</v>
      </c>
      <c r="EE62">
        <v>76</v>
      </c>
      <c r="EG62">
        <v>0</v>
      </c>
      <c r="EH62" t="s">
        <v>4065</v>
      </c>
      <c r="EI62">
        <v>0</v>
      </c>
      <c r="EL62" t="s">
        <v>1528</v>
      </c>
      <c r="EM62">
        <v>12</v>
      </c>
      <c r="EN62">
        <v>0.5</v>
      </c>
      <c r="EO62">
        <v>0.96</v>
      </c>
      <c r="EP62">
        <v>2168.83</v>
      </c>
      <c r="EQ62">
        <v>40157.24</v>
      </c>
      <c r="ER62">
        <v>10194.66</v>
      </c>
      <c r="ES62">
        <v>0</v>
      </c>
      <c r="ET62">
        <v>0</v>
      </c>
      <c r="EU62">
        <v>1</v>
      </c>
      <c r="EV62">
        <v>50352</v>
      </c>
      <c r="EW62">
        <v>605</v>
      </c>
      <c r="EX62" t="s">
        <v>4327</v>
      </c>
      <c r="EY62">
        <v>236</v>
      </c>
      <c r="EZ62" t="s">
        <v>4055</v>
      </c>
      <c r="FA62">
        <v>4.2</v>
      </c>
      <c r="FB62">
        <v>1</v>
      </c>
      <c r="FC62">
        <v>1</v>
      </c>
      <c r="FD62">
        <v>2201</v>
      </c>
      <c r="FE62">
        <v>2809</v>
      </c>
      <c r="FF62" t="s">
        <v>4288</v>
      </c>
      <c r="FG62">
        <v>236</v>
      </c>
      <c r="FH62" t="s">
        <v>4055</v>
      </c>
      <c r="FI62">
        <v>3.7</v>
      </c>
      <c r="FJ62">
        <v>2201</v>
      </c>
      <c r="FK62">
        <v>2183</v>
      </c>
      <c r="FL62" t="s">
        <v>4069</v>
      </c>
      <c r="FM62" t="s">
        <v>4055</v>
      </c>
      <c r="FN62" t="s">
        <v>4055</v>
      </c>
      <c r="FO62" t="s">
        <v>4055</v>
      </c>
      <c r="FP62">
        <v>2201</v>
      </c>
      <c r="FQ62">
        <v>188</v>
      </c>
      <c r="FR62" t="s">
        <v>4090</v>
      </c>
      <c r="FS62">
        <v>240</v>
      </c>
      <c r="FT62" t="s">
        <v>4055</v>
      </c>
      <c r="FU62">
        <v>0.4</v>
      </c>
      <c r="FV62">
        <v>2201</v>
      </c>
      <c r="FW62">
        <v>235</v>
      </c>
      <c r="FX62" t="s">
        <v>4070</v>
      </c>
      <c r="FY62">
        <v>5</v>
      </c>
      <c r="FZ62" t="s">
        <v>4055</v>
      </c>
      <c r="GA62" t="s">
        <v>4055</v>
      </c>
      <c r="GB62">
        <v>2201</v>
      </c>
      <c r="GC62">
        <v>21</v>
      </c>
      <c r="GD62">
        <v>5436</v>
      </c>
      <c r="GE62" t="s">
        <v>4337</v>
      </c>
      <c r="GF62" t="s">
        <v>4055</v>
      </c>
      <c r="GG62" t="s">
        <v>4055</v>
      </c>
      <c r="GH62" t="s">
        <v>4055</v>
      </c>
      <c r="GI62" t="s">
        <v>4071</v>
      </c>
      <c r="GJ62" t="s">
        <v>4055</v>
      </c>
      <c r="GK62" t="s">
        <v>4055</v>
      </c>
      <c r="GL62" t="s">
        <v>4055</v>
      </c>
      <c r="GM62" t="s">
        <v>4055</v>
      </c>
      <c r="GQ62">
        <v>0</v>
      </c>
      <c r="GV62">
        <v>8.300000000000001</v>
      </c>
      <c r="GW62">
        <v>11</v>
      </c>
      <c r="GX62">
        <v>0.5</v>
      </c>
      <c r="GY62">
        <v>206</v>
      </c>
      <c r="GZ62">
        <v>3</v>
      </c>
      <c r="HA62">
        <v>256</v>
      </c>
      <c r="HB62">
        <v>3</v>
      </c>
      <c r="HC62">
        <v>2201</v>
      </c>
      <c r="HD62">
        <v>4</v>
      </c>
      <c r="HE62" t="s">
        <v>4071</v>
      </c>
      <c r="HG62" t="s">
        <v>549</v>
      </c>
      <c r="HL62">
        <v>4</v>
      </c>
      <c r="HM62">
        <v>20</v>
      </c>
      <c r="HN62">
        <v>6</v>
      </c>
      <c r="HO62">
        <v>1</v>
      </c>
      <c r="HP62">
        <v>0</v>
      </c>
      <c r="HQ62">
        <v>0</v>
      </c>
      <c r="HR62">
        <v>3</v>
      </c>
      <c r="HS62">
        <v>2155</v>
      </c>
      <c r="HT62">
        <v>5</v>
      </c>
      <c r="HU62">
        <v>1</v>
      </c>
      <c r="HV62">
        <v>5</v>
      </c>
      <c r="HW62">
        <v>0</v>
      </c>
      <c r="HX62">
        <v>1</v>
      </c>
      <c r="HY62">
        <v>0</v>
      </c>
      <c r="HZ62">
        <v>63</v>
      </c>
      <c r="IA62">
        <v>2158</v>
      </c>
      <c r="IB62">
        <v>2170</v>
      </c>
      <c r="ID62">
        <v>2201</v>
      </c>
      <c r="IE62">
        <v>2201</v>
      </c>
      <c r="IF62">
        <v>220</v>
      </c>
      <c r="IG62">
        <v>210</v>
      </c>
      <c r="IH62">
        <v>256</v>
      </c>
      <c r="II62">
        <v>1</v>
      </c>
      <c r="IJ62">
        <v>5</v>
      </c>
      <c r="IK62">
        <v>0</v>
      </c>
      <c r="IL62">
        <v>0</v>
      </c>
      <c r="IM62">
        <v>0</v>
      </c>
      <c r="IN62">
        <v>270</v>
      </c>
      <c r="IO62">
        <v>0</v>
      </c>
      <c r="IP62">
        <v>180</v>
      </c>
      <c r="IQ62">
        <v>0</v>
      </c>
      <c r="IR62">
        <v>330</v>
      </c>
      <c r="IS62">
        <v>0</v>
      </c>
      <c r="IT62">
        <v>90</v>
      </c>
      <c r="IU62">
        <v>0</v>
      </c>
      <c r="IV62">
        <v>6.4</v>
      </c>
      <c r="IW62">
        <v>-6</v>
      </c>
      <c r="IX62">
        <v>112.5</v>
      </c>
      <c r="IY62">
        <v>82.5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378</v>
      </c>
      <c r="JJ62">
        <v>348</v>
      </c>
      <c r="JK62">
        <v>254</v>
      </c>
      <c r="JL62">
        <v>344</v>
      </c>
      <c r="JM62">
        <v>254</v>
      </c>
      <c r="JN62">
        <v>220</v>
      </c>
      <c r="JO62">
        <v>260</v>
      </c>
      <c r="JP62">
        <v>200</v>
      </c>
      <c r="JQ62">
        <v>240</v>
      </c>
      <c r="JR62">
        <v>295</v>
      </c>
      <c r="JS62">
        <v>240</v>
      </c>
      <c r="JT62">
        <v>0</v>
      </c>
      <c r="JU62">
        <v>0</v>
      </c>
      <c r="JV62">
        <v>285</v>
      </c>
      <c r="JW62">
        <v>265</v>
      </c>
      <c r="JX62">
        <v>290</v>
      </c>
      <c r="JY62">
        <v>0</v>
      </c>
      <c r="JZ62">
        <v>1.5</v>
      </c>
      <c r="KA62">
        <v>0.2</v>
      </c>
      <c r="KB62">
        <v>0.4</v>
      </c>
      <c r="KC62">
        <v>0.42</v>
      </c>
      <c r="KD62">
        <v>0.28</v>
      </c>
      <c r="KE62">
        <v>0.8</v>
      </c>
      <c r="KF62">
        <v>0.18</v>
      </c>
      <c r="KG62">
        <v>0.12</v>
      </c>
      <c r="KH62">
        <v>3.5</v>
      </c>
      <c r="KI62">
        <v>1</v>
      </c>
      <c r="KJ62">
        <v>4.5</v>
      </c>
      <c r="KK62">
        <v>0</v>
      </c>
      <c r="KL62">
        <v>4.5</v>
      </c>
      <c r="KM62">
        <v>0</v>
      </c>
      <c r="KN62">
        <v>1.8</v>
      </c>
      <c r="KO62">
        <v>0</v>
      </c>
      <c r="KP62">
        <v>0</v>
      </c>
      <c r="KQ62">
        <v>0.7</v>
      </c>
      <c r="KR62">
        <v>0.9</v>
      </c>
      <c r="KS62">
        <v>0</v>
      </c>
      <c r="KT62">
        <v>2.4</v>
      </c>
      <c r="KU62">
        <v>0</v>
      </c>
      <c r="KV62">
        <v>0</v>
      </c>
      <c r="KW62">
        <v>0.7</v>
      </c>
      <c r="KX62">
        <v>1.5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3</v>
      </c>
      <c r="LI62">
        <v>0</v>
      </c>
      <c r="LJ62">
        <v>0</v>
      </c>
      <c r="LK62">
        <v>9</v>
      </c>
      <c r="LL62">
        <v>9</v>
      </c>
      <c r="LM62">
        <v>12</v>
      </c>
      <c r="LN62">
        <v>0.1</v>
      </c>
      <c r="LO62">
        <v>0.1</v>
      </c>
      <c r="LP62">
        <v>0</v>
      </c>
      <c r="LQ62">
        <v>0</v>
      </c>
      <c r="LR62">
        <v>0</v>
      </c>
      <c r="LS62">
        <v>1</v>
      </c>
      <c r="LT62">
        <v>0</v>
      </c>
      <c r="LU62">
        <v>0</v>
      </c>
      <c r="LV62">
        <v>0</v>
      </c>
      <c r="LW62">
        <v>2.8</v>
      </c>
      <c r="LX62">
        <v>2.8</v>
      </c>
      <c r="LY62">
        <v>2.8</v>
      </c>
      <c r="LZ62">
        <v>2.8</v>
      </c>
      <c r="MA62">
        <v>0</v>
      </c>
      <c r="MB62">
        <v>10</v>
      </c>
      <c r="MC62">
        <v>0</v>
      </c>
      <c r="MD62">
        <v>4.5</v>
      </c>
      <c r="ME62">
        <v>6</v>
      </c>
      <c r="MF62">
        <v>6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390</v>
      </c>
      <c r="MN62">
        <v>215</v>
      </c>
      <c r="MO62">
        <v>260</v>
      </c>
      <c r="NU62">
        <v>0.15</v>
      </c>
      <c r="NV62">
        <v>0.2</v>
      </c>
      <c r="NW62">
        <v>0.2</v>
      </c>
      <c r="NX62">
        <v>2</v>
      </c>
      <c r="NY62">
        <v>2</v>
      </c>
      <c r="NZ62">
        <v>2</v>
      </c>
      <c r="OE62" t="s">
        <v>4337</v>
      </c>
      <c r="OF62" t="s">
        <v>4335</v>
      </c>
      <c r="OG62" t="s">
        <v>4336</v>
      </c>
      <c r="OH62" t="s">
        <v>4043</v>
      </c>
      <c r="OI62" t="s">
        <v>4337</v>
      </c>
      <c r="OJ62" t="s">
        <v>4334</v>
      </c>
      <c r="OK62">
        <v>61</v>
      </c>
      <c r="OL62">
        <v>61</v>
      </c>
      <c r="OM62" t="s">
        <v>4335</v>
      </c>
      <c r="ON62">
        <v>1</v>
      </c>
      <c r="OO62">
        <v>2158</v>
      </c>
      <c r="OP62">
        <v>61</v>
      </c>
      <c r="OQ62">
        <v>61</v>
      </c>
      <c r="OR62" t="s">
        <v>4336</v>
      </c>
      <c r="OS62">
        <v>1</v>
      </c>
      <c r="OT62">
        <v>2170</v>
      </c>
      <c r="OU62">
        <v>65</v>
      </c>
      <c r="OV62">
        <v>65</v>
      </c>
      <c r="OW62" t="s">
        <v>4043</v>
      </c>
      <c r="OX62">
        <v>2</v>
      </c>
      <c r="OY62">
        <v>50352</v>
      </c>
      <c r="OZ62">
        <v>51</v>
      </c>
      <c r="PA62">
        <v>52</v>
      </c>
      <c r="PB62" t="s">
        <v>4337</v>
      </c>
      <c r="PC62">
        <v>2</v>
      </c>
      <c r="PD62">
        <v>2201</v>
      </c>
      <c r="PF62">
        <v>476</v>
      </c>
      <c r="PG62">
        <v>35</v>
      </c>
      <c r="PH62">
        <v>454</v>
      </c>
      <c r="PI62">
        <v>0</v>
      </c>
      <c r="PJ62">
        <v>85.40000000000001</v>
      </c>
      <c r="PK62">
        <v>2470</v>
      </c>
      <c r="PL62">
        <v>1276.3</v>
      </c>
      <c r="PM62">
        <v>991.8</v>
      </c>
      <c r="PN62">
        <v>106.8</v>
      </c>
      <c r="PO62">
        <v>9.6</v>
      </c>
      <c r="PP62">
        <v>12</v>
      </c>
      <c r="PQ62">
        <v>5</v>
      </c>
      <c r="PR62">
        <v>5</v>
      </c>
      <c r="PS62">
        <v>0</v>
      </c>
      <c r="PT62">
        <v>256</v>
      </c>
      <c r="PU62">
        <v>10</v>
      </c>
      <c r="PV62" t="s">
        <v>4072</v>
      </c>
      <c r="PW62" t="s">
        <v>4072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-1</v>
      </c>
      <c r="QF62">
        <v>1</v>
      </c>
      <c r="QG62">
        <v>0</v>
      </c>
      <c r="QH62">
        <v>5</v>
      </c>
      <c r="QI62">
        <v>5</v>
      </c>
      <c r="QJ62">
        <v>5</v>
      </c>
      <c r="QK62">
        <v>205</v>
      </c>
      <c r="QL62">
        <v>408</v>
      </c>
      <c r="QM62">
        <v>7.5</v>
      </c>
      <c r="QN62">
        <v>1623.8</v>
      </c>
      <c r="QO62" t="s">
        <v>1377</v>
      </c>
      <c r="QP62" t="s">
        <v>513</v>
      </c>
      <c r="QQ62">
        <v>0</v>
      </c>
      <c r="QR62" t="s">
        <v>596</v>
      </c>
      <c r="QS62">
        <v>40</v>
      </c>
      <c r="QT62">
        <v>50</v>
      </c>
    </row>
    <row r="63" spans="1:462">
      <c r="A63" t="s">
        <v>1414</v>
      </c>
      <c r="B63" t="s">
        <v>629</v>
      </c>
      <c r="C63" t="s">
        <v>509</v>
      </c>
      <c r="D63" t="s">
        <v>1379</v>
      </c>
      <c r="E63" t="s">
        <v>4036</v>
      </c>
      <c r="H63" t="s">
        <v>511</v>
      </c>
      <c r="J63" t="s">
        <v>562</v>
      </c>
      <c r="L63" t="s">
        <v>711</v>
      </c>
      <c r="M63" t="s">
        <v>512</v>
      </c>
      <c r="O63" t="s">
        <v>513</v>
      </c>
      <c r="P63" t="s">
        <v>517</v>
      </c>
      <c r="Q63" t="s">
        <v>964</v>
      </c>
      <c r="R63" t="s">
        <v>965</v>
      </c>
      <c r="S63" t="s">
        <v>4073</v>
      </c>
      <c r="T63" t="s">
        <v>686</v>
      </c>
      <c r="U63" t="s">
        <v>687</v>
      </c>
      <c r="V63" t="s">
        <v>1283</v>
      </c>
      <c r="W63" t="s">
        <v>1368</v>
      </c>
      <c r="X63" t="s">
        <v>1415</v>
      </c>
      <c r="Y63" t="s">
        <v>1416</v>
      </c>
      <c r="Z63" t="s">
        <v>541</v>
      </c>
      <c r="AA63" t="s">
        <v>4038</v>
      </c>
      <c r="AB63" t="s">
        <v>4338</v>
      </c>
      <c r="AC63">
        <v>9</v>
      </c>
      <c r="AD63" t="s">
        <v>1413</v>
      </c>
      <c r="AE63">
        <v>4</v>
      </c>
      <c r="AF63">
        <v>4633</v>
      </c>
      <c r="AG63" t="s">
        <v>4312</v>
      </c>
      <c r="AH63">
        <v>1</v>
      </c>
      <c r="AI63" t="s">
        <v>4041</v>
      </c>
      <c r="AK63" t="s">
        <v>4313</v>
      </c>
      <c r="AL63">
        <v>1</v>
      </c>
      <c r="AM63" t="s">
        <v>582</v>
      </c>
      <c r="AO63" t="s">
        <v>4043</v>
      </c>
      <c r="AP63">
        <v>1</v>
      </c>
      <c r="AR63" t="s">
        <v>4339</v>
      </c>
      <c r="AS63">
        <v>1</v>
      </c>
      <c r="AT63">
        <v>52</v>
      </c>
      <c r="AV63" t="s">
        <v>4078</v>
      </c>
      <c r="AW63">
        <v>6.4</v>
      </c>
      <c r="AX63">
        <v>-6</v>
      </c>
      <c r="AY63">
        <v>107.5</v>
      </c>
      <c r="AZ63">
        <v>77</v>
      </c>
      <c r="BH63">
        <v>107.5</v>
      </c>
      <c r="BI63">
        <v>30.5</v>
      </c>
      <c r="BJ63">
        <v>77</v>
      </c>
      <c r="BK63">
        <v>2.5</v>
      </c>
      <c r="BL63">
        <v>215</v>
      </c>
      <c r="BM63">
        <v>-6</v>
      </c>
      <c r="BN63">
        <v>0</v>
      </c>
      <c r="BP63">
        <v>0</v>
      </c>
      <c r="BR63">
        <v>210</v>
      </c>
      <c r="BS63">
        <v>200</v>
      </c>
      <c r="BT63">
        <v>2095</v>
      </c>
      <c r="BU63" t="s">
        <v>4127</v>
      </c>
      <c r="BV63" t="s">
        <v>4127</v>
      </c>
      <c r="BW63" t="s">
        <v>4128</v>
      </c>
      <c r="BX63" t="s">
        <v>4128</v>
      </c>
      <c r="BY63" t="s">
        <v>4160</v>
      </c>
      <c r="BZ63" t="s">
        <v>4129</v>
      </c>
      <c r="CA63" t="s">
        <v>4130</v>
      </c>
      <c r="CB63" t="s">
        <v>4131</v>
      </c>
      <c r="CC63" t="s">
        <v>4053</v>
      </c>
      <c r="CD63" t="s">
        <v>4055</v>
      </c>
      <c r="CE63" t="s">
        <v>4055</v>
      </c>
      <c r="CF63" t="s">
        <v>4055</v>
      </c>
      <c r="CG63" t="s">
        <v>4056</v>
      </c>
      <c r="CI63" t="s">
        <v>4086</v>
      </c>
      <c r="CJ63" t="s">
        <v>4059</v>
      </c>
      <c r="CK63" t="s">
        <v>4060</v>
      </c>
      <c r="CL63" t="s">
        <v>4061</v>
      </c>
      <c r="CM63" t="s">
        <v>4055</v>
      </c>
      <c r="CN63" t="s">
        <v>4062</v>
      </c>
      <c r="CO63" t="s">
        <v>4063</v>
      </c>
      <c r="CP63" t="s">
        <v>4055</v>
      </c>
      <c r="CQ63" t="s">
        <v>4055</v>
      </c>
      <c r="CR63">
        <v>5</v>
      </c>
      <c r="CS63" t="s">
        <v>4055</v>
      </c>
      <c r="CT63" t="s">
        <v>4055</v>
      </c>
      <c r="CU63" t="s">
        <v>4055</v>
      </c>
      <c r="CV63">
        <v>128</v>
      </c>
      <c r="CW63">
        <v>3</v>
      </c>
      <c r="CX63">
        <v>87</v>
      </c>
      <c r="CY63">
        <v>5</v>
      </c>
      <c r="CZ63">
        <v>153</v>
      </c>
      <c r="DA63">
        <v>5</v>
      </c>
      <c r="DB63">
        <v>12060</v>
      </c>
      <c r="DC63">
        <v>360</v>
      </c>
      <c r="DD63">
        <v>355</v>
      </c>
      <c r="DE63">
        <v>2219</v>
      </c>
      <c r="DF63">
        <v>2219</v>
      </c>
      <c r="DG63">
        <v>2231</v>
      </c>
      <c r="DH63">
        <v>1</v>
      </c>
      <c r="DI63" t="s">
        <v>4055</v>
      </c>
      <c r="DJ63" t="s">
        <v>4132</v>
      </c>
      <c r="DK63">
        <v>210</v>
      </c>
      <c r="DL63" t="s">
        <v>4065</v>
      </c>
      <c r="DM63">
        <v>63</v>
      </c>
      <c r="DN63">
        <v>1.1</v>
      </c>
      <c r="DO63">
        <v>1</v>
      </c>
      <c r="DP63">
        <v>2098</v>
      </c>
      <c r="DQ63">
        <v>952</v>
      </c>
      <c r="DR63" t="s">
        <v>4132</v>
      </c>
      <c r="DS63">
        <v>200</v>
      </c>
      <c r="DT63" t="s">
        <v>4065</v>
      </c>
      <c r="DU63">
        <v>63</v>
      </c>
      <c r="DV63">
        <v>1.1</v>
      </c>
      <c r="DW63">
        <v>1</v>
      </c>
      <c r="DX63">
        <v>2110</v>
      </c>
      <c r="DY63">
        <v>914</v>
      </c>
      <c r="DZ63" t="s">
        <v>4066</v>
      </c>
      <c r="EA63">
        <v>20</v>
      </c>
      <c r="EB63" t="s">
        <v>4065</v>
      </c>
      <c r="EC63">
        <v>0.8</v>
      </c>
      <c r="ED63">
        <v>2098</v>
      </c>
      <c r="EE63">
        <v>73</v>
      </c>
      <c r="EG63">
        <v>0</v>
      </c>
      <c r="EH63" t="s">
        <v>4065</v>
      </c>
      <c r="EI63">
        <v>0</v>
      </c>
      <c r="EL63" t="s">
        <v>1528</v>
      </c>
      <c r="EM63">
        <v>12</v>
      </c>
      <c r="EN63">
        <v>0.5</v>
      </c>
      <c r="EO63">
        <v>0.96</v>
      </c>
      <c r="EP63">
        <v>2108.83</v>
      </c>
      <c r="EQ63">
        <v>37398.78</v>
      </c>
      <c r="ER63">
        <v>10078.64</v>
      </c>
      <c r="ES63">
        <v>0</v>
      </c>
      <c r="ET63">
        <v>0</v>
      </c>
      <c r="EU63">
        <v>1</v>
      </c>
      <c r="EV63">
        <v>47478</v>
      </c>
      <c r="EW63">
        <v>570</v>
      </c>
      <c r="EX63" t="s">
        <v>4327</v>
      </c>
      <c r="EY63">
        <v>224</v>
      </c>
      <c r="EZ63" t="s">
        <v>4055</v>
      </c>
      <c r="FA63">
        <v>3.7</v>
      </c>
      <c r="FB63">
        <v>1</v>
      </c>
      <c r="FC63">
        <v>1</v>
      </c>
      <c r="FD63">
        <v>2141</v>
      </c>
      <c r="FE63">
        <v>2159</v>
      </c>
      <c r="FF63" t="s">
        <v>4288</v>
      </c>
      <c r="FG63">
        <v>224</v>
      </c>
      <c r="FH63" t="s">
        <v>4055</v>
      </c>
      <c r="FI63">
        <v>4.2</v>
      </c>
      <c r="FJ63">
        <v>2141</v>
      </c>
      <c r="FK63">
        <v>2317</v>
      </c>
      <c r="FL63" t="s">
        <v>4069</v>
      </c>
      <c r="FM63" t="s">
        <v>4055</v>
      </c>
      <c r="FN63" t="s">
        <v>4055</v>
      </c>
      <c r="FO63" t="s">
        <v>4055</v>
      </c>
      <c r="FP63">
        <v>2141</v>
      </c>
      <c r="FQ63">
        <v>198</v>
      </c>
      <c r="FR63" t="s">
        <v>4090</v>
      </c>
      <c r="FS63">
        <v>228</v>
      </c>
      <c r="FT63" t="s">
        <v>4055</v>
      </c>
      <c r="FU63">
        <v>0.4</v>
      </c>
      <c r="FV63">
        <v>2141</v>
      </c>
      <c r="FW63">
        <v>217</v>
      </c>
      <c r="FX63" t="s">
        <v>4070</v>
      </c>
      <c r="FY63">
        <v>5</v>
      </c>
      <c r="FZ63" t="s">
        <v>4055</v>
      </c>
      <c r="GA63" t="s">
        <v>4055</v>
      </c>
      <c r="GB63">
        <v>2141</v>
      </c>
      <c r="GC63">
        <v>21</v>
      </c>
      <c r="GD63">
        <v>4912</v>
      </c>
      <c r="GE63" t="s">
        <v>4339</v>
      </c>
      <c r="GF63" t="s">
        <v>4055</v>
      </c>
      <c r="GG63" t="s">
        <v>4055</v>
      </c>
      <c r="GH63" t="s">
        <v>4055</v>
      </c>
      <c r="GI63" t="s">
        <v>4071</v>
      </c>
      <c r="GJ63" t="s">
        <v>4055</v>
      </c>
      <c r="GK63" t="s">
        <v>4055</v>
      </c>
      <c r="GL63" t="s">
        <v>4055</v>
      </c>
      <c r="GM63" t="s">
        <v>4055</v>
      </c>
      <c r="GQ63">
        <v>0</v>
      </c>
      <c r="GV63">
        <v>8.300000000000001</v>
      </c>
      <c r="GW63">
        <v>11</v>
      </c>
      <c r="GX63">
        <v>0.5</v>
      </c>
      <c r="GY63">
        <v>192</v>
      </c>
      <c r="GZ63">
        <v>3</v>
      </c>
      <c r="HA63">
        <v>244</v>
      </c>
      <c r="HB63">
        <v>3</v>
      </c>
      <c r="HC63">
        <v>2141</v>
      </c>
      <c r="HD63">
        <v>4</v>
      </c>
      <c r="HE63" t="s">
        <v>4071</v>
      </c>
      <c r="HG63" t="s">
        <v>549</v>
      </c>
      <c r="HL63">
        <v>4</v>
      </c>
      <c r="HM63">
        <v>19</v>
      </c>
      <c r="HN63">
        <v>6</v>
      </c>
      <c r="HO63">
        <v>1</v>
      </c>
      <c r="HP63">
        <v>0</v>
      </c>
      <c r="HQ63">
        <v>0</v>
      </c>
      <c r="HR63">
        <v>3</v>
      </c>
      <c r="HS63">
        <v>2095</v>
      </c>
      <c r="HT63">
        <v>5</v>
      </c>
      <c r="HU63">
        <v>1</v>
      </c>
      <c r="HV63">
        <v>5</v>
      </c>
      <c r="HW63">
        <v>0</v>
      </c>
      <c r="HX63">
        <v>1</v>
      </c>
      <c r="HY63">
        <v>0</v>
      </c>
      <c r="HZ63">
        <v>63</v>
      </c>
      <c r="IA63">
        <v>2098</v>
      </c>
      <c r="IB63">
        <v>2110</v>
      </c>
      <c r="ID63">
        <v>2141</v>
      </c>
      <c r="IE63">
        <v>2141</v>
      </c>
      <c r="IF63">
        <v>210</v>
      </c>
      <c r="IG63">
        <v>200</v>
      </c>
      <c r="IH63">
        <v>244</v>
      </c>
      <c r="II63">
        <v>1</v>
      </c>
      <c r="IJ63">
        <v>5</v>
      </c>
      <c r="IK63">
        <v>0</v>
      </c>
      <c r="IL63">
        <v>0</v>
      </c>
      <c r="IM63">
        <v>0</v>
      </c>
      <c r="IN63">
        <v>270</v>
      </c>
      <c r="IO63">
        <v>0</v>
      </c>
      <c r="IP63">
        <v>180</v>
      </c>
      <c r="IQ63">
        <v>0</v>
      </c>
      <c r="IR63">
        <v>330</v>
      </c>
      <c r="IS63">
        <v>0</v>
      </c>
      <c r="IT63">
        <v>90</v>
      </c>
      <c r="IU63">
        <v>0</v>
      </c>
      <c r="IV63">
        <v>6.4</v>
      </c>
      <c r="IW63">
        <v>-6</v>
      </c>
      <c r="IX63">
        <v>107.5</v>
      </c>
      <c r="IY63">
        <v>77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386</v>
      </c>
      <c r="JJ63">
        <v>356</v>
      </c>
      <c r="JK63">
        <v>266</v>
      </c>
      <c r="JL63">
        <v>356</v>
      </c>
      <c r="JM63">
        <v>266</v>
      </c>
      <c r="JN63">
        <v>215</v>
      </c>
      <c r="JO63">
        <v>260</v>
      </c>
      <c r="JP63">
        <v>215</v>
      </c>
      <c r="JQ63">
        <v>240</v>
      </c>
      <c r="JR63">
        <v>303</v>
      </c>
      <c r="JS63">
        <v>244</v>
      </c>
      <c r="JT63">
        <v>0</v>
      </c>
      <c r="JU63">
        <v>0</v>
      </c>
      <c r="JV63">
        <v>300</v>
      </c>
      <c r="JW63">
        <v>290</v>
      </c>
      <c r="JX63">
        <v>298</v>
      </c>
      <c r="JY63">
        <v>290</v>
      </c>
      <c r="JZ63">
        <v>0.5</v>
      </c>
      <c r="KA63">
        <v>0.2</v>
      </c>
      <c r="KB63">
        <v>0.4</v>
      </c>
      <c r="KC63">
        <v>0.42</v>
      </c>
      <c r="KD63">
        <v>0.28</v>
      </c>
      <c r="KE63">
        <v>0.5</v>
      </c>
      <c r="KF63">
        <v>0.18</v>
      </c>
      <c r="KG63">
        <v>0.11</v>
      </c>
      <c r="KH63">
        <v>3.5</v>
      </c>
      <c r="KI63">
        <v>1</v>
      </c>
      <c r="KJ63">
        <v>4.5</v>
      </c>
      <c r="KK63">
        <v>0</v>
      </c>
      <c r="KL63">
        <v>4.5</v>
      </c>
      <c r="KM63">
        <v>0</v>
      </c>
      <c r="KN63">
        <v>1.5</v>
      </c>
      <c r="KO63">
        <v>0</v>
      </c>
      <c r="KP63">
        <v>0</v>
      </c>
      <c r="KQ63">
        <v>0.7</v>
      </c>
      <c r="KR63">
        <v>0.7</v>
      </c>
      <c r="KS63">
        <v>0</v>
      </c>
      <c r="KT63">
        <v>2.3</v>
      </c>
      <c r="KU63">
        <v>0</v>
      </c>
      <c r="KV63">
        <v>0</v>
      </c>
      <c r="KW63">
        <v>1.2</v>
      </c>
      <c r="KX63">
        <v>2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3</v>
      </c>
      <c r="LI63">
        <v>0.5</v>
      </c>
      <c r="LJ63">
        <v>0</v>
      </c>
      <c r="LK63">
        <v>8</v>
      </c>
      <c r="LL63">
        <v>4</v>
      </c>
      <c r="LM63">
        <v>9</v>
      </c>
      <c r="LN63">
        <v>1</v>
      </c>
      <c r="LO63">
        <v>1.5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1.8</v>
      </c>
      <c r="LX63">
        <v>1.8</v>
      </c>
      <c r="LY63">
        <v>2.1</v>
      </c>
      <c r="LZ63">
        <v>2.1</v>
      </c>
      <c r="MA63">
        <v>0</v>
      </c>
      <c r="MB63">
        <v>2.5</v>
      </c>
      <c r="MC63">
        <v>0</v>
      </c>
      <c r="MD63">
        <v>4.5</v>
      </c>
      <c r="ME63">
        <v>6</v>
      </c>
      <c r="MF63">
        <v>6</v>
      </c>
      <c r="MI63">
        <v>0</v>
      </c>
      <c r="MJ63">
        <v>0</v>
      </c>
      <c r="ML63">
        <v>0</v>
      </c>
      <c r="MM63">
        <v>420</v>
      </c>
      <c r="MN63">
        <v>205</v>
      </c>
      <c r="MO63">
        <v>254</v>
      </c>
      <c r="NU63">
        <v>0.15</v>
      </c>
      <c r="NV63">
        <v>0.25</v>
      </c>
      <c r="NW63">
        <v>0.3</v>
      </c>
      <c r="NX63">
        <v>0.2</v>
      </c>
      <c r="NY63">
        <v>0.2</v>
      </c>
      <c r="NZ63">
        <v>0.2</v>
      </c>
      <c r="OE63" t="s">
        <v>4339</v>
      </c>
      <c r="OF63" t="s">
        <v>4312</v>
      </c>
      <c r="OG63" t="s">
        <v>4313</v>
      </c>
      <c r="OH63" t="s">
        <v>4043</v>
      </c>
      <c r="OI63" t="s">
        <v>4339</v>
      </c>
      <c r="OJ63" t="s">
        <v>4338</v>
      </c>
      <c r="OK63">
        <v>61</v>
      </c>
      <c r="OL63">
        <v>61</v>
      </c>
      <c r="OM63" t="s">
        <v>4312</v>
      </c>
      <c r="ON63">
        <v>1</v>
      </c>
      <c r="OO63">
        <v>2098</v>
      </c>
      <c r="OP63">
        <v>61</v>
      </c>
      <c r="OQ63">
        <v>61</v>
      </c>
      <c r="OR63" t="s">
        <v>4313</v>
      </c>
      <c r="OS63">
        <v>1</v>
      </c>
      <c r="OT63">
        <v>2110</v>
      </c>
      <c r="OU63">
        <v>65</v>
      </c>
      <c r="OV63">
        <v>65</v>
      </c>
      <c r="OW63" t="s">
        <v>4043</v>
      </c>
      <c r="OX63">
        <v>2</v>
      </c>
      <c r="OY63">
        <v>47478</v>
      </c>
      <c r="OZ63">
        <v>51</v>
      </c>
      <c r="PA63">
        <v>52</v>
      </c>
      <c r="PB63" t="s">
        <v>4339</v>
      </c>
      <c r="PC63">
        <v>2</v>
      </c>
      <c r="PD63">
        <v>2141</v>
      </c>
      <c r="PF63">
        <v>454</v>
      </c>
      <c r="PG63">
        <v>35</v>
      </c>
      <c r="PH63">
        <v>433</v>
      </c>
      <c r="PI63">
        <v>0</v>
      </c>
      <c r="PJ63">
        <v>92.3</v>
      </c>
      <c r="PK63">
        <v>2275</v>
      </c>
      <c r="PL63">
        <v>1008.4</v>
      </c>
      <c r="PM63">
        <v>1082</v>
      </c>
      <c r="PN63">
        <v>101.4</v>
      </c>
      <c r="PO63">
        <v>9.6</v>
      </c>
      <c r="PP63">
        <v>12</v>
      </c>
      <c r="PQ63">
        <v>5</v>
      </c>
      <c r="PR63">
        <v>5</v>
      </c>
      <c r="PS63">
        <v>0</v>
      </c>
      <c r="PT63">
        <v>244</v>
      </c>
      <c r="PU63">
        <v>10</v>
      </c>
      <c r="PV63" t="s">
        <v>4072</v>
      </c>
      <c r="PW63" t="s">
        <v>4072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-1</v>
      </c>
      <c r="QF63">
        <v>1</v>
      </c>
      <c r="QG63">
        <v>0</v>
      </c>
      <c r="QH63">
        <v>5</v>
      </c>
      <c r="QI63">
        <v>5</v>
      </c>
      <c r="QJ63">
        <v>5</v>
      </c>
      <c r="QK63">
        <v>209</v>
      </c>
      <c r="QL63">
        <v>416</v>
      </c>
      <c r="QM63">
        <v>7.5</v>
      </c>
      <c r="QN63">
        <v>1540.9</v>
      </c>
      <c r="QO63" t="s">
        <v>1377</v>
      </c>
      <c r="QP63" t="s">
        <v>513</v>
      </c>
      <c r="QQ63">
        <v>0</v>
      </c>
      <c r="QR63" t="s">
        <v>1420</v>
      </c>
      <c r="QS63">
        <v>40</v>
      </c>
      <c r="QT63">
        <v>50</v>
      </c>
    </row>
    <row r="64" spans="1:462">
      <c r="A64" t="s">
        <v>1424</v>
      </c>
      <c r="B64" t="s">
        <v>564</v>
      </c>
      <c r="C64" t="s">
        <v>509</v>
      </c>
      <c r="D64" t="s">
        <v>1422</v>
      </c>
      <c r="E64" t="s">
        <v>4036</v>
      </c>
      <c r="H64" t="s">
        <v>605</v>
      </c>
      <c r="I64" t="s">
        <v>896</v>
      </c>
      <c r="J64" t="s">
        <v>1423</v>
      </c>
      <c r="K64" t="s">
        <v>606</v>
      </c>
      <c r="L64" t="s">
        <v>629</v>
      </c>
      <c r="M64" t="s">
        <v>512</v>
      </c>
      <c r="O64" t="s">
        <v>513</v>
      </c>
      <c r="P64" t="s">
        <v>517</v>
      </c>
      <c r="Q64" t="s">
        <v>926</v>
      </c>
      <c r="R64" t="s">
        <v>927</v>
      </c>
      <c r="S64" t="s">
        <v>4073</v>
      </c>
      <c r="T64" t="s">
        <v>570</v>
      </c>
      <c r="U64" t="s">
        <v>571</v>
      </c>
      <c r="V64" t="s">
        <v>1241</v>
      </c>
      <c r="W64" t="s">
        <v>1368</v>
      </c>
      <c r="X64" t="s">
        <v>1425</v>
      </c>
      <c r="Y64" t="s">
        <v>1426</v>
      </c>
      <c r="Z64" t="s">
        <v>541</v>
      </c>
      <c r="AA64" t="s">
        <v>4038</v>
      </c>
      <c r="AB64" t="s">
        <v>4340</v>
      </c>
      <c r="AC64">
        <v>9</v>
      </c>
      <c r="AD64" t="s">
        <v>1421</v>
      </c>
      <c r="AE64">
        <v>5</v>
      </c>
      <c r="AF64">
        <v>6045</v>
      </c>
      <c r="AG64" t="s">
        <v>4341</v>
      </c>
      <c r="AH64">
        <v>1</v>
      </c>
      <c r="AI64" t="s">
        <v>4041</v>
      </c>
      <c r="AK64" t="s">
        <v>4342</v>
      </c>
      <c r="AL64">
        <v>1</v>
      </c>
      <c r="AM64" t="s">
        <v>582</v>
      </c>
      <c r="AO64" t="s">
        <v>4043</v>
      </c>
      <c r="AP64">
        <v>1</v>
      </c>
      <c r="AR64" t="s">
        <v>4343</v>
      </c>
      <c r="AS64">
        <v>1</v>
      </c>
      <c r="AT64">
        <v>52</v>
      </c>
      <c r="AV64" t="s">
        <v>4078</v>
      </c>
      <c r="AW64">
        <v>6.4</v>
      </c>
      <c r="AX64">
        <v>-6</v>
      </c>
      <c r="AY64">
        <v>112.5</v>
      </c>
      <c r="AZ64">
        <v>82</v>
      </c>
      <c r="BH64">
        <v>112.5</v>
      </c>
      <c r="BI64">
        <v>30.5</v>
      </c>
      <c r="BJ64">
        <v>82</v>
      </c>
      <c r="BK64">
        <v>2.5</v>
      </c>
      <c r="BL64">
        <v>225</v>
      </c>
      <c r="BM64">
        <v>-6</v>
      </c>
      <c r="BN64">
        <v>0</v>
      </c>
      <c r="BP64">
        <v>0</v>
      </c>
      <c r="BR64">
        <v>220</v>
      </c>
      <c r="BS64">
        <v>210</v>
      </c>
      <c r="BT64">
        <v>2230</v>
      </c>
      <c r="BU64" t="s">
        <v>4079</v>
      </c>
      <c r="BV64" t="s">
        <v>4079</v>
      </c>
      <c r="BW64" t="s">
        <v>4128</v>
      </c>
      <c r="BX64" t="s">
        <v>4081</v>
      </c>
      <c r="BY64" t="s">
        <v>4164</v>
      </c>
      <c r="BZ64" t="s">
        <v>4199</v>
      </c>
      <c r="CA64" t="s">
        <v>4084</v>
      </c>
      <c r="CB64" t="s">
        <v>4085</v>
      </c>
      <c r="CC64" t="s">
        <v>4053</v>
      </c>
      <c r="CD64" t="s">
        <v>4055</v>
      </c>
      <c r="CE64" t="s">
        <v>4055</v>
      </c>
      <c r="CF64" t="s">
        <v>4055</v>
      </c>
      <c r="CG64" t="s">
        <v>4056</v>
      </c>
      <c r="CI64" t="s">
        <v>4086</v>
      </c>
      <c r="CJ64" t="s">
        <v>4059</v>
      </c>
      <c r="CK64" t="s">
        <v>4060</v>
      </c>
      <c r="CL64" t="s">
        <v>4061</v>
      </c>
      <c r="CM64" t="s">
        <v>4055</v>
      </c>
      <c r="CN64" t="s">
        <v>4062</v>
      </c>
      <c r="CO64" t="s">
        <v>4063</v>
      </c>
      <c r="CP64" t="s">
        <v>4055</v>
      </c>
      <c r="CQ64" t="s">
        <v>4055</v>
      </c>
      <c r="CR64">
        <v>5</v>
      </c>
      <c r="CS64" t="s">
        <v>4055</v>
      </c>
      <c r="CT64" t="s">
        <v>4055</v>
      </c>
      <c r="CU64" t="s">
        <v>4055</v>
      </c>
      <c r="CV64">
        <v>136</v>
      </c>
      <c r="CW64">
        <v>3</v>
      </c>
      <c r="CX64">
        <v>93</v>
      </c>
      <c r="CY64">
        <v>5</v>
      </c>
      <c r="CZ64">
        <v>159</v>
      </c>
      <c r="DA64">
        <v>5</v>
      </c>
      <c r="DB64">
        <v>14840</v>
      </c>
      <c r="DC64">
        <v>440</v>
      </c>
      <c r="DD64">
        <v>375</v>
      </c>
      <c r="DE64">
        <v>2361</v>
      </c>
      <c r="DF64">
        <v>2361</v>
      </c>
      <c r="DG64">
        <v>2372</v>
      </c>
      <c r="DH64">
        <v>1</v>
      </c>
      <c r="DI64" t="s">
        <v>4055</v>
      </c>
      <c r="DJ64" t="s">
        <v>4217</v>
      </c>
      <c r="DK64">
        <v>220</v>
      </c>
      <c r="DL64" t="s">
        <v>4065</v>
      </c>
      <c r="DM64">
        <v>63</v>
      </c>
      <c r="DN64">
        <v>1.26</v>
      </c>
      <c r="DO64">
        <v>1</v>
      </c>
      <c r="DP64">
        <v>2234</v>
      </c>
      <c r="DQ64">
        <v>1186</v>
      </c>
      <c r="DR64" t="s">
        <v>4217</v>
      </c>
      <c r="DS64">
        <v>210</v>
      </c>
      <c r="DT64" t="s">
        <v>4065</v>
      </c>
      <c r="DU64">
        <v>63</v>
      </c>
      <c r="DV64">
        <v>1.26</v>
      </c>
      <c r="DW64">
        <v>1</v>
      </c>
      <c r="DX64">
        <v>2247</v>
      </c>
      <c r="DY64">
        <v>1139</v>
      </c>
      <c r="DZ64" t="s">
        <v>4066</v>
      </c>
      <c r="EA64">
        <v>20</v>
      </c>
      <c r="EB64" t="s">
        <v>4065</v>
      </c>
      <c r="EC64">
        <v>0.8</v>
      </c>
      <c r="ED64">
        <v>2234</v>
      </c>
      <c r="EE64">
        <v>78</v>
      </c>
      <c r="EG64">
        <v>0</v>
      </c>
      <c r="EH64" t="s">
        <v>4065</v>
      </c>
      <c r="EI64">
        <v>0</v>
      </c>
      <c r="EL64" t="s">
        <v>1528</v>
      </c>
      <c r="EM64">
        <v>12</v>
      </c>
      <c r="EN64">
        <v>0.5</v>
      </c>
      <c r="EO64">
        <v>0.96</v>
      </c>
      <c r="EP64">
        <v>2245.84</v>
      </c>
      <c r="EQ64">
        <v>41583.13</v>
      </c>
      <c r="ER64">
        <v>10731.58</v>
      </c>
      <c r="ES64">
        <v>0</v>
      </c>
      <c r="ET64">
        <v>0</v>
      </c>
      <c r="EU64">
        <v>1</v>
      </c>
      <c r="EV64">
        <v>52315</v>
      </c>
      <c r="EW64">
        <v>628</v>
      </c>
      <c r="EX64" t="s">
        <v>4327</v>
      </c>
      <c r="EY64">
        <v>242</v>
      </c>
      <c r="EZ64" t="s">
        <v>4055</v>
      </c>
      <c r="FA64">
        <v>3.5</v>
      </c>
      <c r="FB64">
        <v>1</v>
      </c>
      <c r="FC64">
        <v>1</v>
      </c>
      <c r="FD64">
        <v>2279</v>
      </c>
      <c r="FE64">
        <v>2519</v>
      </c>
      <c r="FF64" t="s">
        <v>4288</v>
      </c>
      <c r="FG64">
        <v>242</v>
      </c>
      <c r="FH64" t="s">
        <v>4055</v>
      </c>
      <c r="FI64">
        <v>4.6</v>
      </c>
      <c r="FJ64">
        <v>2279</v>
      </c>
      <c r="FK64">
        <v>2752</v>
      </c>
      <c r="FL64" t="s">
        <v>4069</v>
      </c>
      <c r="FM64" t="s">
        <v>4055</v>
      </c>
      <c r="FN64" t="s">
        <v>4055</v>
      </c>
      <c r="FO64" t="s">
        <v>4055</v>
      </c>
      <c r="FP64">
        <v>2279</v>
      </c>
      <c r="FQ64">
        <v>211</v>
      </c>
      <c r="FR64" t="s">
        <v>4090</v>
      </c>
      <c r="FS64">
        <v>246</v>
      </c>
      <c r="FT64" t="s">
        <v>4055</v>
      </c>
      <c r="FU64">
        <v>0.4</v>
      </c>
      <c r="FV64">
        <v>2279</v>
      </c>
      <c r="FW64">
        <v>250</v>
      </c>
      <c r="FX64" t="s">
        <v>4070</v>
      </c>
      <c r="FY64">
        <v>5</v>
      </c>
      <c r="FZ64" t="s">
        <v>4055</v>
      </c>
      <c r="GA64" t="s">
        <v>4055</v>
      </c>
      <c r="GB64">
        <v>2279</v>
      </c>
      <c r="GC64">
        <v>23</v>
      </c>
      <c r="GD64">
        <v>5755</v>
      </c>
      <c r="GE64" t="s">
        <v>4343</v>
      </c>
      <c r="GF64" t="s">
        <v>4055</v>
      </c>
      <c r="GG64" t="s">
        <v>4055</v>
      </c>
      <c r="GH64" t="s">
        <v>4055</v>
      </c>
      <c r="GI64" t="s">
        <v>4071</v>
      </c>
      <c r="GJ64" t="s">
        <v>4055</v>
      </c>
      <c r="GK64" t="s">
        <v>4055</v>
      </c>
      <c r="GL64" t="s">
        <v>4055</v>
      </c>
      <c r="GM64" t="s">
        <v>4055</v>
      </c>
      <c r="GQ64">
        <v>0</v>
      </c>
      <c r="GV64">
        <v>8.5</v>
      </c>
      <c r="GW64">
        <v>11</v>
      </c>
      <c r="GX64">
        <v>0.5</v>
      </c>
      <c r="GY64">
        <v>202</v>
      </c>
      <c r="GZ64">
        <v>3</v>
      </c>
      <c r="HA64">
        <v>262</v>
      </c>
      <c r="HB64">
        <v>3</v>
      </c>
      <c r="HC64">
        <v>2279</v>
      </c>
      <c r="HD64">
        <v>4</v>
      </c>
      <c r="HE64" t="s">
        <v>4071</v>
      </c>
      <c r="HG64" t="s">
        <v>549</v>
      </c>
      <c r="HL64">
        <v>4</v>
      </c>
      <c r="HM64">
        <v>20</v>
      </c>
      <c r="HN64">
        <v>6</v>
      </c>
      <c r="HO64">
        <v>1</v>
      </c>
      <c r="HP64">
        <v>0</v>
      </c>
      <c r="HQ64">
        <v>0</v>
      </c>
      <c r="HR64">
        <v>2</v>
      </c>
      <c r="HS64">
        <v>2230</v>
      </c>
      <c r="HT64">
        <v>5</v>
      </c>
      <c r="HU64">
        <v>1</v>
      </c>
      <c r="HV64">
        <v>5</v>
      </c>
      <c r="HW64">
        <v>0</v>
      </c>
      <c r="HX64">
        <v>1</v>
      </c>
      <c r="HY64">
        <v>0</v>
      </c>
      <c r="HZ64">
        <v>63</v>
      </c>
      <c r="IA64">
        <v>2234</v>
      </c>
      <c r="IB64">
        <v>2247</v>
      </c>
      <c r="ID64">
        <v>2279</v>
      </c>
      <c r="IE64">
        <v>2279</v>
      </c>
      <c r="IF64">
        <v>220</v>
      </c>
      <c r="IG64">
        <v>210</v>
      </c>
      <c r="IH64">
        <v>262</v>
      </c>
      <c r="II64">
        <v>1</v>
      </c>
      <c r="IJ64">
        <v>10</v>
      </c>
      <c r="IK64">
        <v>0</v>
      </c>
      <c r="IL64">
        <v>0</v>
      </c>
      <c r="IM64">
        <v>0</v>
      </c>
      <c r="IN64">
        <v>270</v>
      </c>
      <c r="IO64">
        <v>0</v>
      </c>
      <c r="IP64">
        <v>180</v>
      </c>
      <c r="IQ64">
        <v>0</v>
      </c>
      <c r="IR64">
        <v>330</v>
      </c>
      <c r="IS64">
        <v>0</v>
      </c>
      <c r="IT64">
        <v>90</v>
      </c>
      <c r="IU64">
        <v>0</v>
      </c>
      <c r="IV64">
        <v>6.4</v>
      </c>
      <c r="IW64">
        <v>-6</v>
      </c>
      <c r="IX64">
        <v>112.5</v>
      </c>
      <c r="IY64">
        <v>82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422</v>
      </c>
      <c r="JJ64">
        <v>392</v>
      </c>
      <c r="JK64">
        <v>290</v>
      </c>
      <c r="JL64">
        <v>392</v>
      </c>
      <c r="JM64">
        <v>295</v>
      </c>
      <c r="JN64">
        <v>215</v>
      </c>
      <c r="JO64">
        <v>272</v>
      </c>
      <c r="JP64">
        <v>200</v>
      </c>
      <c r="JQ64">
        <v>240</v>
      </c>
      <c r="JR64">
        <v>304</v>
      </c>
      <c r="JS64">
        <v>224</v>
      </c>
      <c r="JT64">
        <v>0</v>
      </c>
      <c r="JU64">
        <v>0</v>
      </c>
      <c r="JV64">
        <v>300</v>
      </c>
      <c r="JW64">
        <v>290</v>
      </c>
      <c r="JX64">
        <v>290</v>
      </c>
      <c r="JY64">
        <v>260</v>
      </c>
      <c r="JZ64">
        <v>0.5</v>
      </c>
      <c r="KA64">
        <v>0.2</v>
      </c>
      <c r="KB64">
        <v>0.4</v>
      </c>
      <c r="KC64">
        <v>0.42</v>
      </c>
      <c r="KD64">
        <v>0.3</v>
      </c>
      <c r="KE64">
        <v>0.5</v>
      </c>
      <c r="KF64">
        <v>0.19</v>
      </c>
      <c r="KG64">
        <v>0.11</v>
      </c>
      <c r="KH64">
        <v>3.5</v>
      </c>
      <c r="KI64">
        <v>1</v>
      </c>
      <c r="KJ64">
        <v>4.5</v>
      </c>
      <c r="KK64">
        <v>0</v>
      </c>
      <c r="KL64">
        <v>4.5</v>
      </c>
      <c r="KM64">
        <v>0</v>
      </c>
      <c r="KN64">
        <v>2.3</v>
      </c>
      <c r="KO64">
        <v>0</v>
      </c>
      <c r="KP64">
        <v>0</v>
      </c>
      <c r="KQ64">
        <v>0.8</v>
      </c>
      <c r="KR64">
        <v>0.8</v>
      </c>
      <c r="KS64">
        <v>0</v>
      </c>
      <c r="KT64">
        <v>3.1</v>
      </c>
      <c r="KU64">
        <v>0</v>
      </c>
      <c r="KV64">
        <v>0</v>
      </c>
      <c r="KW64">
        <v>0.8</v>
      </c>
      <c r="KX64">
        <v>1.5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3</v>
      </c>
      <c r="LI64">
        <v>0.5</v>
      </c>
      <c r="LJ64">
        <v>0</v>
      </c>
      <c r="LK64">
        <v>9</v>
      </c>
      <c r="LL64">
        <v>7</v>
      </c>
      <c r="LM64">
        <v>11</v>
      </c>
      <c r="LN64">
        <v>0.5</v>
      </c>
      <c r="LO64">
        <v>1</v>
      </c>
      <c r="LP64">
        <v>0</v>
      </c>
      <c r="LQ64">
        <v>0</v>
      </c>
      <c r="LR64">
        <v>0</v>
      </c>
      <c r="LS64">
        <v>1</v>
      </c>
      <c r="LT64">
        <v>0</v>
      </c>
      <c r="LU64">
        <v>0</v>
      </c>
      <c r="LV64">
        <v>0</v>
      </c>
      <c r="LW64">
        <v>2.1</v>
      </c>
      <c r="LX64">
        <v>2.1</v>
      </c>
      <c r="LY64">
        <v>2.8</v>
      </c>
      <c r="LZ64">
        <v>2.8</v>
      </c>
      <c r="MA64">
        <v>0</v>
      </c>
      <c r="MB64">
        <v>7</v>
      </c>
      <c r="MC64">
        <v>0</v>
      </c>
      <c r="MD64">
        <v>4.5</v>
      </c>
      <c r="ME64">
        <v>6</v>
      </c>
      <c r="MF64">
        <v>6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420</v>
      </c>
      <c r="MN64">
        <v>215</v>
      </c>
      <c r="MO64">
        <v>268</v>
      </c>
      <c r="NU64">
        <v>0.15</v>
      </c>
      <c r="NV64">
        <v>0.2</v>
      </c>
      <c r="NW64">
        <v>0.2</v>
      </c>
      <c r="NX64">
        <v>0.2</v>
      </c>
      <c r="NY64">
        <v>0.2</v>
      </c>
      <c r="NZ64">
        <v>0.2</v>
      </c>
      <c r="OE64" t="s">
        <v>4343</v>
      </c>
      <c r="OF64" t="s">
        <v>4341</v>
      </c>
      <c r="OG64" t="s">
        <v>4342</v>
      </c>
      <c r="OH64" t="s">
        <v>4043</v>
      </c>
      <c r="OI64" t="s">
        <v>4343</v>
      </c>
      <c r="OJ64" t="s">
        <v>4340</v>
      </c>
      <c r="OK64">
        <v>61</v>
      </c>
      <c r="OL64">
        <v>61</v>
      </c>
      <c r="OM64" t="s">
        <v>4341</v>
      </c>
      <c r="ON64">
        <v>1</v>
      </c>
      <c r="OO64">
        <v>2234</v>
      </c>
      <c r="OP64">
        <v>61</v>
      </c>
      <c r="OQ64">
        <v>61</v>
      </c>
      <c r="OR64" t="s">
        <v>4342</v>
      </c>
      <c r="OS64">
        <v>1</v>
      </c>
      <c r="OT64">
        <v>2247</v>
      </c>
      <c r="OU64">
        <v>65</v>
      </c>
      <c r="OV64">
        <v>65</v>
      </c>
      <c r="OW64" t="s">
        <v>4043</v>
      </c>
      <c r="OX64">
        <v>2</v>
      </c>
      <c r="OY64">
        <v>52315</v>
      </c>
      <c r="OZ64">
        <v>51</v>
      </c>
      <c r="PA64">
        <v>52</v>
      </c>
      <c r="PB64" t="s">
        <v>4343</v>
      </c>
      <c r="PC64">
        <v>3</v>
      </c>
      <c r="PD64">
        <v>2279</v>
      </c>
      <c r="PF64">
        <v>531</v>
      </c>
      <c r="PG64">
        <v>35</v>
      </c>
      <c r="PH64">
        <v>507</v>
      </c>
      <c r="PI64">
        <v>0</v>
      </c>
      <c r="PJ64">
        <v>92.59999999999999</v>
      </c>
      <c r="PK64">
        <v>2518</v>
      </c>
      <c r="PL64">
        <v>1105.1</v>
      </c>
      <c r="PM64">
        <v>1207.6</v>
      </c>
      <c r="PN64">
        <v>109.5</v>
      </c>
      <c r="PO64">
        <v>9.9</v>
      </c>
      <c r="PP64">
        <v>12</v>
      </c>
      <c r="PQ64">
        <v>4</v>
      </c>
      <c r="PR64">
        <v>4</v>
      </c>
      <c r="PS64">
        <v>0</v>
      </c>
      <c r="PT64">
        <v>262</v>
      </c>
      <c r="PU64">
        <v>10</v>
      </c>
      <c r="PV64" t="s">
        <v>4072</v>
      </c>
      <c r="PW64" t="s">
        <v>4072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-1</v>
      </c>
      <c r="QF64">
        <v>1</v>
      </c>
      <c r="QG64">
        <v>0</v>
      </c>
      <c r="QH64">
        <v>5</v>
      </c>
      <c r="QI64">
        <v>5</v>
      </c>
      <c r="QJ64">
        <v>5</v>
      </c>
      <c r="QK64">
        <v>226</v>
      </c>
      <c r="QL64">
        <v>452</v>
      </c>
      <c r="QM64">
        <v>7.5</v>
      </c>
      <c r="QN64">
        <v>1623.8</v>
      </c>
      <c r="QO64" t="s">
        <v>1377</v>
      </c>
      <c r="QP64" t="s">
        <v>513</v>
      </c>
      <c r="QQ64">
        <v>0</v>
      </c>
      <c r="QR64" t="s">
        <v>596</v>
      </c>
      <c r="QS64">
        <v>40</v>
      </c>
      <c r="QT64">
        <v>50</v>
      </c>
    </row>
    <row r="65" spans="1:462">
      <c r="A65" t="s">
        <v>1431</v>
      </c>
      <c r="B65" t="s">
        <v>564</v>
      </c>
      <c r="C65" t="s">
        <v>509</v>
      </c>
      <c r="D65" t="s">
        <v>1365</v>
      </c>
      <c r="E65" t="s">
        <v>4036</v>
      </c>
      <c r="H65" t="s">
        <v>604</v>
      </c>
      <c r="I65" t="s">
        <v>605</v>
      </c>
      <c r="J65" t="s">
        <v>628</v>
      </c>
      <c r="K65" t="s">
        <v>606</v>
      </c>
      <c r="L65" t="s">
        <v>629</v>
      </c>
      <c r="M65" t="s">
        <v>512</v>
      </c>
      <c r="O65" t="s">
        <v>513</v>
      </c>
      <c r="P65" t="s">
        <v>517</v>
      </c>
      <c r="Q65" t="s">
        <v>684</v>
      </c>
      <c r="R65" t="s">
        <v>685</v>
      </c>
      <c r="S65" t="s">
        <v>4037</v>
      </c>
      <c r="T65" t="s">
        <v>686</v>
      </c>
      <c r="U65" t="s">
        <v>687</v>
      </c>
      <c r="V65" t="s">
        <v>1309</v>
      </c>
      <c r="W65" t="s">
        <v>1368</v>
      </c>
      <c r="X65" t="s">
        <v>1432</v>
      </c>
      <c r="Y65" t="s">
        <v>1433</v>
      </c>
      <c r="Z65" t="s">
        <v>541</v>
      </c>
      <c r="AA65" t="s">
        <v>4038</v>
      </c>
      <c r="AB65" t="s">
        <v>4344</v>
      </c>
      <c r="AC65">
        <v>9</v>
      </c>
      <c r="AD65" t="s">
        <v>1430</v>
      </c>
      <c r="AE65">
        <v>5</v>
      </c>
      <c r="AF65">
        <v>5310</v>
      </c>
      <c r="AG65" t="s">
        <v>4299</v>
      </c>
      <c r="AH65">
        <v>1</v>
      </c>
      <c r="AI65" t="s">
        <v>4041</v>
      </c>
      <c r="AK65" t="s">
        <v>4300</v>
      </c>
      <c r="AL65">
        <v>1</v>
      </c>
      <c r="AM65" t="s">
        <v>582</v>
      </c>
      <c r="AO65" t="s">
        <v>4043</v>
      </c>
      <c r="AP65">
        <v>1</v>
      </c>
      <c r="AR65" t="s">
        <v>4345</v>
      </c>
      <c r="AS65">
        <v>1</v>
      </c>
      <c r="AT65">
        <v>52</v>
      </c>
      <c r="AV65" t="s">
        <v>4078</v>
      </c>
      <c r="AW65">
        <v>6.4</v>
      </c>
      <c r="AX65">
        <v>-6</v>
      </c>
      <c r="AY65">
        <v>105</v>
      </c>
      <c r="AZ65">
        <v>75</v>
      </c>
      <c r="BH65">
        <v>105</v>
      </c>
      <c r="BI65">
        <v>30</v>
      </c>
      <c r="BJ65">
        <v>75</v>
      </c>
      <c r="BK65">
        <v>2.5</v>
      </c>
      <c r="BL65">
        <v>210</v>
      </c>
      <c r="BM65">
        <v>-6</v>
      </c>
      <c r="BN65">
        <v>0</v>
      </c>
      <c r="BO65">
        <v>0</v>
      </c>
      <c r="BP65">
        <v>0</v>
      </c>
      <c r="BR65">
        <v>205</v>
      </c>
      <c r="BS65">
        <v>195</v>
      </c>
      <c r="BT65">
        <v>2165</v>
      </c>
      <c r="BU65" t="s">
        <v>4127</v>
      </c>
      <c r="BV65" t="s">
        <v>4127</v>
      </c>
      <c r="BW65" t="s">
        <v>4128</v>
      </c>
      <c r="BX65" t="s">
        <v>4128</v>
      </c>
      <c r="BY65" t="s">
        <v>4129</v>
      </c>
      <c r="BZ65" t="s">
        <v>4129</v>
      </c>
      <c r="CA65" t="s">
        <v>4130</v>
      </c>
      <c r="CB65" t="s">
        <v>4131</v>
      </c>
      <c r="CC65" t="s">
        <v>4053</v>
      </c>
      <c r="CD65" t="s">
        <v>4055</v>
      </c>
      <c r="CE65" t="s">
        <v>4055</v>
      </c>
      <c r="CF65" t="s">
        <v>4055</v>
      </c>
      <c r="CG65" t="s">
        <v>4056</v>
      </c>
      <c r="CI65" t="s">
        <v>4086</v>
      </c>
      <c r="CJ65" t="s">
        <v>4059</v>
      </c>
      <c r="CK65" t="s">
        <v>4060</v>
      </c>
      <c r="CL65" t="s">
        <v>4061</v>
      </c>
      <c r="CM65" t="s">
        <v>4055</v>
      </c>
      <c r="CN65" t="s">
        <v>4062</v>
      </c>
      <c r="CO65" t="s">
        <v>4063</v>
      </c>
      <c r="CP65" t="s">
        <v>4055</v>
      </c>
      <c r="CQ65" t="s">
        <v>4055</v>
      </c>
      <c r="CR65">
        <v>5</v>
      </c>
      <c r="CS65" t="s">
        <v>4055</v>
      </c>
      <c r="CT65">
        <v>15</v>
      </c>
      <c r="CU65" t="s">
        <v>4055</v>
      </c>
      <c r="CV65">
        <v>127</v>
      </c>
      <c r="CW65">
        <v>3</v>
      </c>
      <c r="CX65">
        <v>85</v>
      </c>
      <c r="CY65">
        <v>5</v>
      </c>
      <c r="CZ65">
        <v>150</v>
      </c>
      <c r="DA65">
        <v>5</v>
      </c>
      <c r="DB65">
        <v>12710</v>
      </c>
      <c r="DC65">
        <v>380</v>
      </c>
      <c r="DD65">
        <v>351</v>
      </c>
      <c r="DE65">
        <v>2285</v>
      </c>
      <c r="DF65">
        <v>2285</v>
      </c>
      <c r="DG65">
        <v>2294</v>
      </c>
      <c r="DH65">
        <v>2</v>
      </c>
      <c r="DI65" t="s">
        <v>4055</v>
      </c>
      <c r="DJ65" t="s">
        <v>4132</v>
      </c>
      <c r="DK65">
        <v>205</v>
      </c>
      <c r="DL65" t="s">
        <v>4065</v>
      </c>
      <c r="DM65">
        <v>63</v>
      </c>
      <c r="DN65">
        <v>1.1</v>
      </c>
      <c r="DO65">
        <v>1</v>
      </c>
      <c r="DP65">
        <v>2168</v>
      </c>
      <c r="DQ65">
        <v>960</v>
      </c>
      <c r="DR65" t="s">
        <v>4132</v>
      </c>
      <c r="DS65">
        <v>195</v>
      </c>
      <c r="DT65" t="s">
        <v>4065</v>
      </c>
      <c r="DU65">
        <v>63</v>
      </c>
      <c r="DV65">
        <v>1.1</v>
      </c>
      <c r="DW65">
        <v>1</v>
      </c>
      <c r="DX65">
        <v>2180</v>
      </c>
      <c r="DY65">
        <v>920</v>
      </c>
      <c r="DZ65" t="s">
        <v>4066</v>
      </c>
      <c r="EA65">
        <v>20</v>
      </c>
      <c r="EB65" t="s">
        <v>4065</v>
      </c>
      <c r="EC65">
        <v>0.8</v>
      </c>
      <c r="ED65">
        <v>2168</v>
      </c>
      <c r="EE65">
        <v>76</v>
      </c>
      <c r="EG65">
        <v>0</v>
      </c>
      <c r="EH65" t="s">
        <v>4065</v>
      </c>
      <c r="EI65">
        <v>0</v>
      </c>
      <c r="EL65" t="s">
        <v>1528</v>
      </c>
      <c r="EM65">
        <v>12</v>
      </c>
      <c r="EN65">
        <v>0.5</v>
      </c>
      <c r="EO65">
        <v>0.96</v>
      </c>
      <c r="EP65">
        <v>2178.83</v>
      </c>
      <c r="EQ65">
        <v>37789.08</v>
      </c>
      <c r="ER65">
        <v>10241.54</v>
      </c>
      <c r="ES65">
        <v>0</v>
      </c>
      <c r="ET65">
        <v>0</v>
      </c>
      <c r="EU65">
        <v>1</v>
      </c>
      <c r="EV65">
        <v>48031</v>
      </c>
      <c r="EW65">
        <v>577</v>
      </c>
      <c r="EX65" t="s">
        <v>4327</v>
      </c>
      <c r="EY65">
        <v>224</v>
      </c>
      <c r="EZ65" t="s">
        <v>4055</v>
      </c>
      <c r="FA65">
        <v>4.4</v>
      </c>
      <c r="FB65">
        <v>1</v>
      </c>
      <c r="FC65">
        <v>1</v>
      </c>
      <c r="FD65">
        <v>2210</v>
      </c>
      <c r="FE65">
        <v>2491</v>
      </c>
      <c r="FF65" t="s">
        <v>4288</v>
      </c>
      <c r="FG65">
        <v>224</v>
      </c>
      <c r="FH65" t="s">
        <v>4055</v>
      </c>
      <c r="FI65">
        <v>3.2</v>
      </c>
      <c r="FJ65">
        <v>2210</v>
      </c>
      <c r="FK65">
        <v>1975</v>
      </c>
      <c r="FL65" t="s">
        <v>4069</v>
      </c>
      <c r="FM65" t="s">
        <v>4055</v>
      </c>
      <c r="FN65" t="s">
        <v>4055</v>
      </c>
      <c r="FO65" t="s">
        <v>4055</v>
      </c>
      <c r="FP65">
        <v>2210</v>
      </c>
      <c r="FQ65">
        <v>150</v>
      </c>
      <c r="FR65" t="s">
        <v>4090</v>
      </c>
      <c r="FS65">
        <v>228</v>
      </c>
      <c r="FT65" t="s">
        <v>4055</v>
      </c>
      <c r="FU65">
        <v>0.4</v>
      </c>
      <c r="FV65">
        <v>2210</v>
      </c>
      <c r="FW65">
        <v>224</v>
      </c>
      <c r="FX65" t="s">
        <v>4070</v>
      </c>
      <c r="FY65">
        <v>5</v>
      </c>
      <c r="FZ65" t="s">
        <v>4055</v>
      </c>
      <c r="GA65" t="s">
        <v>4055</v>
      </c>
      <c r="GB65">
        <v>2210</v>
      </c>
      <c r="GC65">
        <v>21</v>
      </c>
      <c r="GD65">
        <v>4861</v>
      </c>
      <c r="GE65" t="s">
        <v>4345</v>
      </c>
      <c r="GF65" t="s">
        <v>4055</v>
      </c>
      <c r="GG65" t="s">
        <v>4055</v>
      </c>
      <c r="GH65" t="s">
        <v>4055</v>
      </c>
      <c r="GI65" t="s">
        <v>4071</v>
      </c>
      <c r="GJ65" t="s">
        <v>4055</v>
      </c>
      <c r="GK65" t="s">
        <v>4055</v>
      </c>
      <c r="GL65" t="s">
        <v>4055</v>
      </c>
      <c r="GM65" t="s">
        <v>4055</v>
      </c>
      <c r="GQ65">
        <v>0</v>
      </c>
      <c r="GV65">
        <v>8</v>
      </c>
      <c r="GW65">
        <v>10.7</v>
      </c>
      <c r="GX65">
        <v>0.5</v>
      </c>
      <c r="GY65">
        <v>192</v>
      </c>
      <c r="GZ65">
        <v>3</v>
      </c>
      <c r="HA65">
        <v>240</v>
      </c>
      <c r="HB65">
        <v>3</v>
      </c>
      <c r="HC65">
        <v>2210</v>
      </c>
      <c r="HD65">
        <v>4</v>
      </c>
      <c r="HE65" t="s">
        <v>4071</v>
      </c>
      <c r="HG65" t="s">
        <v>549</v>
      </c>
      <c r="HL65">
        <v>4</v>
      </c>
      <c r="HM65">
        <v>19</v>
      </c>
      <c r="HN65">
        <v>6</v>
      </c>
      <c r="HO65">
        <v>1</v>
      </c>
      <c r="HP65">
        <v>0</v>
      </c>
      <c r="HQ65">
        <v>0</v>
      </c>
      <c r="HR65">
        <v>2</v>
      </c>
      <c r="HS65">
        <v>2165</v>
      </c>
      <c r="HT65">
        <v>5</v>
      </c>
      <c r="HU65">
        <v>1</v>
      </c>
      <c r="HV65">
        <v>5</v>
      </c>
      <c r="HW65">
        <v>0</v>
      </c>
      <c r="HX65">
        <v>1</v>
      </c>
      <c r="HY65">
        <v>0</v>
      </c>
      <c r="HZ65">
        <v>63</v>
      </c>
      <c r="IA65">
        <v>2168</v>
      </c>
      <c r="IB65">
        <v>2180</v>
      </c>
      <c r="ID65">
        <v>2210</v>
      </c>
      <c r="IE65">
        <v>2210</v>
      </c>
      <c r="IF65">
        <v>205</v>
      </c>
      <c r="IG65">
        <v>195</v>
      </c>
      <c r="IH65">
        <v>240</v>
      </c>
      <c r="II65">
        <v>1</v>
      </c>
      <c r="IJ65">
        <v>5</v>
      </c>
      <c r="IK65">
        <v>0</v>
      </c>
      <c r="IL65">
        <v>0</v>
      </c>
      <c r="IM65">
        <v>0</v>
      </c>
      <c r="IN65">
        <v>270</v>
      </c>
      <c r="IO65">
        <v>0</v>
      </c>
      <c r="IP65">
        <v>180</v>
      </c>
      <c r="IQ65">
        <v>0</v>
      </c>
      <c r="IR65">
        <v>330</v>
      </c>
      <c r="IS65">
        <v>0</v>
      </c>
      <c r="IT65">
        <v>90</v>
      </c>
      <c r="IU65">
        <v>0</v>
      </c>
      <c r="IV65">
        <v>6.4</v>
      </c>
      <c r="IW65">
        <v>-6</v>
      </c>
      <c r="IX65">
        <v>105</v>
      </c>
      <c r="IY65">
        <v>75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408</v>
      </c>
      <c r="JJ65">
        <v>378</v>
      </c>
      <c r="JK65">
        <v>275</v>
      </c>
      <c r="JL65">
        <v>376</v>
      </c>
      <c r="JM65">
        <v>285</v>
      </c>
      <c r="JN65">
        <v>210</v>
      </c>
      <c r="JO65">
        <v>244</v>
      </c>
      <c r="JP65">
        <v>180</v>
      </c>
      <c r="JQ65">
        <v>225</v>
      </c>
      <c r="JR65">
        <v>320</v>
      </c>
      <c r="JS65">
        <v>258</v>
      </c>
      <c r="JT65">
        <v>0</v>
      </c>
      <c r="JU65">
        <v>0</v>
      </c>
      <c r="JV65">
        <v>300</v>
      </c>
      <c r="JW65">
        <v>290</v>
      </c>
      <c r="JX65">
        <v>305</v>
      </c>
      <c r="JY65">
        <v>290</v>
      </c>
      <c r="JZ65">
        <v>1.5</v>
      </c>
      <c r="KA65">
        <v>0.2</v>
      </c>
      <c r="KB65">
        <v>0.4</v>
      </c>
      <c r="KC65">
        <v>0.42</v>
      </c>
      <c r="KD65">
        <v>0.28</v>
      </c>
      <c r="KE65">
        <v>0.8</v>
      </c>
      <c r="KF65">
        <v>0.17</v>
      </c>
      <c r="KG65">
        <v>0.11</v>
      </c>
      <c r="KH65">
        <v>3.5</v>
      </c>
      <c r="KI65">
        <v>1</v>
      </c>
      <c r="KJ65">
        <v>4.5</v>
      </c>
      <c r="KK65">
        <v>0</v>
      </c>
      <c r="KL65">
        <v>4.5</v>
      </c>
      <c r="KM65">
        <v>0</v>
      </c>
      <c r="KN65">
        <v>1.6</v>
      </c>
      <c r="KO65">
        <v>0</v>
      </c>
      <c r="KP65">
        <v>0</v>
      </c>
      <c r="KQ65">
        <v>1</v>
      </c>
      <c r="KR65">
        <v>0.8</v>
      </c>
      <c r="KS65">
        <v>0</v>
      </c>
      <c r="KT65">
        <v>3.1</v>
      </c>
      <c r="KU65">
        <v>0</v>
      </c>
      <c r="KV65">
        <v>0</v>
      </c>
      <c r="KW65">
        <v>1.2</v>
      </c>
      <c r="KX65">
        <v>2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3</v>
      </c>
      <c r="LI65">
        <v>1.5</v>
      </c>
      <c r="LJ65">
        <v>0</v>
      </c>
      <c r="LK65">
        <v>8</v>
      </c>
      <c r="LL65">
        <v>4</v>
      </c>
      <c r="LM65">
        <v>9</v>
      </c>
      <c r="LN65">
        <v>1</v>
      </c>
      <c r="LO65">
        <v>3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1.8</v>
      </c>
      <c r="LX65">
        <v>1.8</v>
      </c>
      <c r="LY65">
        <v>2.1</v>
      </c>
      <c r="LZ65">
        <v>2.1</v>
      </c>
      <c r="MA65">
        <v>0</v>
      </c>
      <c r="MB65">
        <v>2.5</v>
      </c>
      <c r="MC65">
        <v>0</v>
      </c>
      <c r="MD65">
        <v>4.5</v>
      </c>
      <c r="ME65">
        <v>6</v>
      </c>
      <c r="MF65">
        <v>6</v>
      </c>
      <c r="MI65">
        <v>0</v>
      </c>
      <c r="MJ65">
        <v>0</v>
      </c>
      <c r="ML65">
        <v>0</v>
      </c>
      <c r="MM65">
        <v>420</v>
      </c>
      <c r="MN65">
        <v>190</v>
      </c>
      <c r="MO65">
        <v>254</v>
      </c>
      <c r="NU65">
        <v>0.15</v>
      </c>
      <c r="NV65">
        <v>0.25</v>
      </c>
      <c r="NW65">
        <v>0.3</v>
      </c>
      <c r="NX65">
        <v>0.2</v>
      </c>
      <c r="NY65">
        <v>0.2</v>
      </c>
      <c r="NZ65">
        <v>0.2</v>
      </c>
      <c r="OE65" t="s">
        <v>4345</v>
      </c>
      <c r="OF65" t="s">
        <v>4299</v>
      </c>
      <c r="OG65" t="s">
        <v>4300</v>
      </c>
      <c r="OH65" t="s">
        <v>4043</v>
      </c>
      <c r="OI65" t="s">
        <v>4345</v>
      </c>
      <c r="OJ65" t="s">
        <v>4344</v>
      </c>
      <c r="OK65">
        <v>61</v>
      </c>
      <c r="OL65">
        <v>61</v>
      </c>
      <c r="OM65" t="s">
        <v>4299</v>
      </c>
      <c r="ON65">
        <v>1</v>
      </c>
      <c r="OO65">
        <v>2168</v>
      </c>
      <c r="OP65">
        <v>61</v>
      </c>
      <c r="OQ65">
        <v>61</v>
      </c>
      <c r="OR65" t="s">
        <v>4300</v>
      </c>
      <c r="OS65">
        <v>1</v>
      </c>
      <c r="OT65">
        <v>2180</v>
      </c>
      <c r="OU65">
        <v>65</v>
      </c>
      <c r="OV65">
        <v>65</v>
      </c>
      <c r="OW65" t="s">
        <v>4043</v>
      </c>
      <c r="OX65">
        <v>2</v>
      </c>
      <c r="OY65">
        <v>48031</v>
      </c>
      <c r="OZ65">
        <v>51</v>
      </c>
      <c r="PA65">
        <v>52</v>
      </c>
      <c r="PB65" t="s">
        <v>4345</v>
      </c>
      <c r="PC65">
        <v>1</v>
      </c>
      <c r="PD65">
        <v>2210</v>
      </c>
      <c r="PF65">
        <v>443</v>
      </c>
      <c r="PG65">
        <v>35</v>
      </c>
      <c r="PH65">
        <v>422</v>
      </c>
      <c r="PI65">
        <v>0</v>
      </c>
      <c r="PJ65">
        <v>68</v>
      </c>
      <c r="PK65">
        <v>2159</v>
      </c>
      <c r="PL65">
        <v>1127</v>
      </c>
      <c r="PM65">
        <v>893.7</v>
      </c>
      <c r="PN65">
        <v>101.4</v>
      </c>
      <c r="PO65">
        <v>9.300000000000001</v>
      </c>
      <c r="PP65">
        <v>12</v>
      </c>
      <c r="PQ65">
        <v>5</v>
      </c>
      <c r="PR65">
        <v>5</v>
      </c>
      <c r="PS65">
        <v>0</v>
      </c>
      <c r="PT65">
        <v>240</v>
      </c>
      <c r="PU65">
        <v>8</v>
      </c>
      <c r="PV65" t="s">
        <v>4072</v>
      </c>
      <c r="PW65" t="s">
        <v>4072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-1</v>
      </c>
      <c r="QF65">
        <v>1</v>
      </c>
      <c r="QG65">
        <v>0</v>
      </c>
      <c r="QH65">
        <v>5</v>
      </c>
      <c r="QI65">
        <v>5</v>
      </c>
      <c r="QJ65">
        <v>5</v>
      </c>
      <c r="QK65">
        <v>219</v>
      </c>
      <c r="QL65">
        <v>438</v>
      </c>
      <c r="QM65">
        <v>7.5</v>
      </c>
      <c r="QN65">
        <v>1540.9</v>
      </c>
      <c r="QO65" t="s">
        <v>1377</v>
      </c>
      <c r="QP65" t="s">
        <v>513</v>
      </c>
      <c r="QQ65">
        <v>0</v>
      </c>
      <c r="QR65" t="s">
        <v>1420</v>
      </c>
      <c r="QS65">
        <v>40</v>
      </c>
      <c r="QT65">
        <v>50</v>
      </c>
    </row>
    <row r="66" spans="1:462">
      <c r="A66" t="s">
        <v>1438</v>
      </c>
      <c r="B66" t="s">
        <v>559</v>
      </c>
      <c r="C66" t="s">
        <v>509</v>
      </c>
      <c r="D66" t="s">
        <v>1365</v>
      </c>
      <c r="E66" t="s">
        <v>4036</v>
      </c>
      <c r="H66" t="s">
        <v>604</v>
      </c>
      <c r="I66" t="s">
        <v>605</v>
      </c>
      <c r="J66" t="s">
        <v>628</v>
      </c>
      <c r="K66" t="s">
        <v>606</v>
      </c>
      <c r="L66" t="s">
        <v>564</v>
      </c>
      <c r="M66" t="s">
        <v>512</v>
      </c>
      <c r="O66" t="s">
        <v>513</v>
      </c>
      <c r="P66" t="s">
        <v>517</v>
      </c>
      <c r="Q66" t="s">
        <v>774</v>
      </c>
      <c r="R66" t="s">
        <v>661</v>
      </c>
      <c r="S66" t="s">
        <v>4037</v>
      </c>
      <c r="T66" t="s">
        <v>686</v>
      </c>
      <c r="U66" t="s">
        <v>687</v>
      </c>
      <c r="V66" t="s">
        <v>1283</v>
      </c>
      <c r="W66" t="s">
        <v>1368</v>
      </c>
      <c r="X66" t="s">
        <v>1439</v>
      </c>
      <c r="Y66" t="s">
        <v>1440</v>
      </c>
      <c r="Z66" t="s">
        <v>541</v>
      </c>
      <c r="AA66" t="s">
        <v>4038</v>
      </c>
      <c r="AB66" t="s">
        <v>4346</v>
      </c>
      <c r="AC66">
        <v>9</v>
      </c>
      <c r="AD66" t="s">
        <v>1437</v>
      </c>
      <c r="AE66">
        <v>6</v>
      </c>
      <c r="AF66">
        <v>4964</v>
      </c>
      <c r="AG66" t="s">
        <v>4316</v>
      </c>
      <c r="AH66">
        <v>1</v>
      </c>
      <c r="AI66" t="s">
        <v>4041</v>
      </c>
      <c r="AK66" t="s">
        <v>4317</v>
      </c>
      <c r="AL66">
        <v>1</v>
      </c>
      <c r="AM66" t="s">
        <v>582</v>
      </c>
      <c r="AO66" t="s">
        <v>4043</v>
      </c>
      <c r="AP66">
        <v>1</v>
      </c>
      <c r="AR66" t="s">
        <v>4347</v>
      </c>
      <c r="AS66">
        <v>1</v>
      </c>
      <c r="AT66">
        <v>52</v>
      </c>
      <c r="AV66" t="s">
        <v>4078</v>
      </c>
      <c r="AW66">
        <v>6.4</v>
      </c>
      <c r="AX66">
        <v>-6</v>
      </c>
      <c r="AY66">
        <v>100</v>
      </c>
      <c r="AZ66">
        <v>70</v>
      </c>
      <c r="BH66">
        <v>100</v>
      </c>
      <c r="BI66">
        <v>30</v>
      </c>
      <c r="BJ66">
        <v>70</v>
      </c>
      <c r="BK66">
        <v>2.5</v>
      </c>
      <c r="BL66">
        <v>200</v>
      </c>
      <c r="BM66">
        <v>-6</v>
      </c>
      <c r="BN66">
        <v>0</v>
      </c>
      <c r="BO66">
        <v>0</v>
      </c>
      <c r="BP66">
        <v>0</v>
      </c>
      <c r="BR66">
        <v>195</v>
      </c>
      <c r="BS66">
        <v>185</v>
      </c>
      <c r="BT66">
        <v>2130</v>
      </c>
      <c r="BU66" t="s">
        <v>4127</v>
      </c>
      <c r="BV66" t="s">
        <v>4127</v>
      </c>
      <c r="BW66" t="s">
        <v>4128</v>
      </c>
      <c r="BX66" t="s">
        <v>4128</v>
      </c>
      <c r="BY66" t="s">
        <v>4129</v>
      </c>
      <c r="BZ66" t="s">
        <v>4160</v>
      </c>
      <c r="CA66" t="s">
        <v>4130</v>
      </c>
      <c r="CB66" t="s">
        <v>4131</v>
      </c>
      <c r="CC66" t="s">
        <v>4053</v>
      </c>
      <c r="CD66" t="s">
        <v>4055</v>
      </c>
      <c r="CE66" t="s">
        <v>4055</v>
      </c>
      <c r="CF66" t="s">
        <v>4055</v>
      </c>
      <c r="CG66" t="s">
        <v>4056</v>
      </c>
      <c r="CI66" t="s">
        <v>4086</v>
      </c>
      <c r="CJ66" t="s">
        <v>4059</v>
      </c>
      <c r="CK66" t="s">
        <v>4060</v>
      </c>
      <c r="CL66" t="s">
        <v>4061</v>
      </c>
      <c r="CM66" t="s">
        <v>4055</v>
      </c>
      <c r="CN66" t="s">
        <v>4062</v>
      </c>
      <c r="CO66" t="s">
        <v>4063</v>
      </c>
      <c r="CP66" t="s">
        <v>4055</v>
      </c>
      <c r="CQ66" t="s">
        <v>4055</v>
      </c>
      <c r="CR66">
        <v>5</v>
      </c>
      <c r="CS66" t="s">
        <v>4055</v>
      </c>
      <c r="CT66" t="s">
        <v>4055</v>
      </c>
      <c r="CU66" t="s">
        <v>4055</v>
      </c>
      <c r="CV66">
        <v>122</v>
      </c>
      <c r="CW66">
        <v>3</v>
      </c>
      <c r="CX66">
        <v>83</v>
      </c>
      <c r="CY66">
        <v>5</v>
      </c>
      <c r="CZ66">
        <v>139</v>
      </c>
      <c r="DA66">
        <v>5</v>
      </c>
      <c r="DB66">
        <v>12160</v>
      </c>
      <c r="DC66">
        <v>360</v>
      </c>
      <c r="DD66">
        <v>340</v>
      </c>
      <c r="DE66">
        <v>2257</v>
      </c>
      <c r="DF66">
        <v>2257</v>
      </c>
      <c r="DG66">
        <v>2269</v>
      </c>
      <c r="DH66">
        <v>1</v>
      </c>
      <c r="DI66" t="s">
        <v>4055</v>
      </c>
      <c r="DJ66" t="s">
        <v>4132</v>
      </c>
      <c r="DK66">
        <v>195</v>
      </c>
      <c r="DL66" t="s">
        <v>4065</v>
      </c>
      <c r="DM66">
        <v>63</v>
      </c>
      <c r="DN66">
        <v>1.1</v>
      </c>
      <c r="DO66">
        <v>1</v>
      </c>
      <c r="DP66">
        <v>2133</v>
      </c>
      <c r="DQ66">
        <v>900</v>
      </c>
      <c r="DR66" t="s">
        <v>4132</v>
      </c>
      <c r="DS66">
        <v>185</v>
      </c>
      <c r="DT66" t="s">
        <v>4065</v>
      </c>
      <c r="DU66">
        <v>63</v>
      </c>
      <c r="DV66">
        <v>1.1</v>
      </c>
      <c r="DW66">
        <v>1</v>
      </c>
      <c r="DX66">
        <v>2145</v>
      </c>
      <c r="DY66">
        <v>858</v>
      </c>
      <c r="DZ66" t="s">
        <v>4066</v>
      </c>
      <c r="EA66">
        <v>20</v>
      </c>
      <c r="EB66" t="s">
        <v>4065</v>
      </c>
      <c r="EC66">
        <v>0.8</v>
      </c>
      <c r="ED66">
        <v>2133</v>
      </c>
      <c r="EE66">
        <v>75</v>
      </c>
      <c r="EG66">
        <v>0</v>
      </c>
      <c r="EH66" t="s">
        <v>4065</v>
      </c>
      <c r="EI66">
        <v>0</v>
      </c>
      <c r="EL66" t="s">
        <v>1528</v>
      </c>
      <c r="EM66">
        <v>12</v>
      </c>
      <c r="EN66">
        <v>0.5</v>
      </c>
      <c r="EO66">
        <v>0.96</v>
      </c>
      <c r="EP66">
        <v>2143.83</v>
      </c>
      <c r="EQ66">
        <v>35507.18</v>
      </c>
      <c r="ER66">
        <v>10077.48</v>
      </c>
      <c r="ES66">
        <v>0</v>
      </c>
      <c r="ET66">
        <v>0</v>
      </c>
      <c r="EU66">
        <v>1</v>
      </c>
      <c r="EV66">
        <v>45585</v>
      </c>
      <c r="EW66">
        <v>548</v>
      </c>
      <c r="EX66" t="s">
        <v>4327</v>
      </c>
      <c r="EY66">
        <v>210</v>
      </c>
      <c r="EZ66" t="s">
        <v>4055</v>
      </c>
      <c r="FA66">
        <v>4</v>
      </c>
      <c r="FB66">
        <v>1</v>
      </c>
      <c r="FC66">
        <v>1</v>
      </c>
      <c r="FD66">
        <v>2177</v>
      </c>
      <c r="FE66">
        <v>2241</v>
      </c>
      <c r="FF66" t="s">
        <v>4288</v>
      </c>
      <c r="FG66">
        <v>210</v>
      </c>
      <c r="FH66" t="s">
        <v>4055</v>
      </c>
      <c r="FI66">
        <v>4.1</v>
      </c>
      <c r="FJ66">
        <v>2177</v>
      </c>
      <c r="FK66">
        <v>2169</v>
      </c>
      <c r="FL66" t="s">
        <v>4069</v>
      </c>
      <c r="FM66" t="s">
        <v>4055</v>
      </c>
      <c r="FN66" t="s">
        <v>4055</v>
      </c>
      <c r="FO66" t="s">
        <v>4055</v>
      </c>
      <c r="FP66">
        <v>2177</v>
      </c>
      <c r="FQ66">
        <v>175</v>
      </c>
      <c r="FR66" t="s">
        <v>4090</v>
      </c>
      <c r="FS66">
        <v>214</v>
      </c>
      <c r="FT66" t="s">
        <v>4055</v>
      </c>
      <c r="FU66">
        <v>0.4</v>
      </c>
      <c r="FV66">
        <v>2177</v>
      </c>
      <c r="FW66">
        <v>207</v>
      </c>
      <c r="FX66" t="s">
        <v>4070</v>
      </c>
      <c r="FY66">
        <v>5</v>
      </c>
      <c r="FZ66" t="s">
        <v>4055</v>
      </c>
      <c r="GA66" t="s">
        <v>4055</v>
      </c>
      <c r="GB66">
        <v>2177</v>
      </c>
      <c r="GC66">
        <v>22</v>
      </c>
      <c r="GD66">
        <v>4814</v>
      </c>
      <c r="GE66" t="s">
        <v>4347</v>
      </c>
      <c r="GF66" t="s">
        <v>4055</v>
      </c>
      <c r="GG66" t="s">
        <v>4055</v>
      </c>
      <c r="GH66" t="s">
        <v>4055</v>
      </c>
      <c r="GI66" t="s">
        <v>4071</v>
      </c>
      <c r="GJ66" t="s">
        <v>4055</v>
      </c>
      <c r="GK66" t="s">
        <v>4055</v>
      </c>
      <c r="GL66" t="s">
        <v>4055</v>
      </c>
      <c r="GM66" t="s">
        <v>4055</v>
      </c>
      <c r="GQ66">
        <v>0</v>
      </c>
      <c r="GV66">
        <v>8.5</v>
      </c>
      <c r="GW66">
        <v>11</v>
      </c>
      <c r="GX66">
        <v>0.5</v>
      </c>
      <c r="GY66">
        <v>186</v>
      </c>
      <c r="GZ66">
        <v>3</v>
      </c>
      <c r="HA66">
        <v>230</v>
      </c>
      <c r="HB66">
        <v>3</v>
      </c>
      <c r="HC66">
        <v>2177</v>
      </c>
      <c r="HD66">
        <v>4</v>
      </c>
      <c r="HE66" t="s">
        <v>4071</v>
      </c>
      <c r="HG66" t="s">
        <v>549</v>
      </c>
      <c r="HL66">
        <v>4</v>
      </c>
      <c r="HM66">
        <v>19</v>
      </c>
      <c r="HN66">
        <v>6</v>
      </c>
      <c r="HO66">
        <v>1</v>
      </c>
      <c r="HP66">
        <v>0</v>
      </c>
      <c r="HQ66">
        <v>1</v>
      </c>
      <c r="HR66">
        <v>2</v>
      </c>
      <c r="HS66">
        <v>2130</v>
      </c>
      <c r="HT66">
        <v>5</v>
      </c>
      <c r="HU66">
        <v>1</v>
      </c>
      <c r="HV66">
        <v>5</v>
      </c>
      <c r="HW66">
        <v>0</v>
      </c>
      <c r="HX66">
        <v>1</v>
      </c>
      <c r="HY66">
        <v>0</v>
      </c>
      <c r="HZ66">
        <v>63</v>
      </c>
      <c r="IA66">
        <v>2133</v>
      </c>
      <c r="IB66">
        <v>2145</v>
      </c>
      <c r="ID66">
        <v>2177</v>
      </c>
      <c r="IE66">
        <v>2177</v>
      </c>
      <c r="IF66">
        <v>195</v>
      </c>
      <c r="IG66">
        <v>185</v>
      </c>
      <c r="IH66">
        <v>230</v>
      </c>
      <c r="II66">
        <v>1</v>
      </c>
      <c r="IJ66">
        <v>5</v>
      </c>
      <c r="IK66">
        <v>0</v>
      </c>
      <c r="IL66">
        <v>0</v>
      </c>
      <c r="IM66">
        <v>0</v>
      </c>
      <c r="IN66">
        <v>270</v>
      </c>
      <c r="IO66">
        <v>0</v>
      </c>
      <c r="IP66">
        <v>180</v>
      </c>
      <c r="IQ66">
        <v>0</v>
      </c>
      <c r="IR66">
        <v>330</v>
      </c>
      <c r="IS66">
        <v>0</v>
      </c>
      <c r="IT66">
        <v>90</v>
      </c>
      <c r="IU66">
        <v>0</v>
      </c>
      <c r="IV66">
        <v>6.4</v>
      </c>
      <c r="IW66">
        <v>-6</v>
      </c>
      <c r="IX66">
        <v>100</v>
      </c>
      <c r="IY66">
        <v>70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390</v>
      </c>
      <c r="JJ66">
        <v>360</v>
      </c>
      <c r="JK66">
        <v>265</v>
      </c>
      <c r="JL66">
        <v>358</v>
      </c>
      <c r="JM66">
        <v>291</v>
      </c>
      <c r="JN66">
        <v>195</v>
      </c>
      <c r="JO66">
        <v>246</v>
      </c>
      <c r="JP66">
        <v>205</v>
      </c>
      <c r="JQ66">
        <v>240</v>
      </c>
      <c r="JR66">
        <v>305</v>
      </c>
      <c r="JS66">
        <v>244</v>
      </c>
      <c r="JT66">
        <v>0</v>
      </c>
      <c r="JU66">
        <v>0</v>
      </c>
      <c r="JV66">
        <v>300</v>
      </c>
      <c r="JW66">
        <v>290</v>
      </c>
      <c r="JX66">
        <v>0</v>
      </c>
      <c r="JY66">
        <v>0</v>
      </c>
      <c r="JZ66">
        <v>0</v>
      </c>
      <c r="KA66">
        <v>0.2</v>
      </c>
      <c r="KB66">
        <v>0.4</v>
      </c>
      <c r="KC66">
        <v>0.42</v>
      </c>
      <c r="KD66">
        <v>0.28</v>
      </c>
      <c r="KE66">
        <v>0.5</v>
      </c>
      <c r="KF66">
        <v>0.17</v>
      </c>
      <c r="KG66">
        <v>0.12</v>
      </c>
      <c r="KH66">
        <v>3.5</v>
      </c>
      <c r="KI66">
        <v>1</v>
      </c>
      <c r="KJ66">
        <v>4.5</v>
      </c>
      <c r="KK66">
        <v>0</v>
      </c>
      <c r="KL66">
        <v>4.5</v>
      </c>
      <c r="KM66">
        <v>0</v>
      </c>
      <c r="KN66">
        <v>1.2</v>
      </c>
      <c r="KO66">
        <v>0</v>
      </c>
      <c r="KP66">
        <v>0</v>
      </c>
      <c r="KQ66">
        <v>0.8</v>
      </c>
      <c r="KR66">
        <v>0.8</v>
      </c>
      <c r="KS66">
        <v>0</v>
      </c>
      <c r="KT66">
        <v>2</v>
      </c>
      <c r="KU66">
        <v>0</v>
      </c>
      <c r="KV66">
        <v>0</v>
      </c>
      <c r="KW66">
        <v>1.2</v>
      </c>
      <c r="KX66">
        <v>2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3</v>
      </c>
      <c r="LI66">
        <v>0</v>
      </c>
      <c r="LJ66">
        <v>0</v>
      </c>
      <c r="LK66">
        <v>8</v>
      </c>
      <c r="LL66">
        <v>4</v>
      </c>
      <c r="LM66">
        <v>9</v>
      </c>
      <c r="LN66">
        <v>1</v>
      </c>
      <c r="LO66">
        <v>1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1.8</v>
      </c>
      <c r="LX66">
        <v>1.8</v>
      </c>
      <c r="LY66">
        <v>2.1</v>
      </c>
      <c r="LZ66">
        <v>2.1</v>
      </c>
      <c r="MA66">
        <v>0</v>
      </c>
      <c r="MB66">
        <v>2.5</v>
      </c>
      <c r="MC66">
        <v>0</v>
      </c>
      <c r="MD66">
        <v>4.5</v>
      </c>
      <c r="ME66">
        <v>6</v>
      </c>
      <c r="MF66">
        <v>6</v>
      </c>
      <c r="MI66">
        <v>0</v>
      </c>
      <c r="MJ66">
        <v>0</v>
      </c>
      <c r="ML66">
        <v>0</v>
      </c>
      <c r="MM66">
        <v>420</v>
      </c>
      <c r="MN66">
        <v>190</v>
      </c>
      <c r="MO66">
        <v>246</v>
      </c>
      <c r="NU66">
        <v>0.15</v>
      </c>
      <c r="NV66">
        <v>0.2</v>
      </c>
      <c r="NW66">
        <v>0.2</v>
      </c>
      <c r="NX66">
        <v>0.2</v>
      </c>
      <c r="NY66">
        <v>0.2</v>
      </c>
      <c r="NZ66">
        <v>0.2</v>
      </c>
      <c r="OE66" t="s">
        <v>4347</v>
      </c>
      <c r="OF66" t="s">
        <v>4316</v>
      </c>
      <c r="OG66" t="s">
        <v>4317</v>
      </c>
      <c r="OH66" t="s">
        <v>4043</v>
      </c>
      <c r="OI66" t="s">
        <v>4347</v>
      </c>
      <c r="OJ66" t="s">
        <v>4346</v>
      </c>
      <c r="OK66">
        <v>61</v>
      </c>
      <c r="OL66">
        <v>61</v>
      </c>
      <c r="OM66" t="s">
        <v>4316</v>
      </c>
      <c r="ON66">
        <v>1</v>
      </c>
      <c r="OO66">
        <v>2133</v>
      </c>
      <c r="OP66">
        <v>61</v>
      </c>
      <c r="OQ66">
        <v>61</v>
      </c>
      <c r="OR66" t="s">
        <v>4317</v>
      </c>
      <c r="OS66">
        <v>1</v>
      </c>
      <c r="OT66">
        <v>2145</v>
      </c>
      <c r="OU66">
        <v>65</v>
      </c>
      <c r="OV66">
        <v>65</v>
      </c>
      <c r="OW66" t="s">
        <v>4043</v>
      </c>
      <c r="OX66">
        <v>2</v>
      </c>
      <c r="OY66">
        <v>45585</v>
      </c>
      <c r="OZ66">
        <v>51</v>
      </c>
      <c r="PA66">
        <v>52</v>
      </c>
      <c r="PB66" t="s">
        <v>4347</v>
      </c>
      <c r="PC66">
        <v>1</v>
      </c>
      <c r="PD66">
        <v>2177</v>
      </c>
      <c r="PF66">
        <v>422</v>
      </c>
      <c r="PG66">
        <v>35</v>
      </c>
      <c r="PH66">
        <v>400</v>
      </c>
      <c r="PI66">
        <v>0</v>
      </c>
      <c r="PJ66">
        <v>80.3</v>
      </c>
      <c r="PK66">
        <v>2227</v>
      </c>
      <c r="PL66">
        <v>1029.2</v>
      </c>
      <c r="PM66">
        <v>996.4</v>
      </c>
      <c r="PN66">
        <v>95.2</v>
      </c>
      <c r="PO66">
        <v>9.9</v>
      </c>
      <c r="PP66">
        <v>12</v>
      </c>
      <c r="PQ66">
        <v>5</v>
      </c>
      <c r="PR66">
        <v>5</v>
      </c>
      <c r="PS66">
        <v>0</v>
      </c>
      <c r="PT66">
        <v>230</v>
      </c>
      <c r="PU66">
        <v>10</v>
      </c>
      <c r="PV66" t="s">
        <v>4072</v>
      </c>
      <c r="PW66" t="s">
        <v>4072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-1</v>
      </c>
      <c r="QF66">
        <v>1</v>
      </c>
      <c r="QG66">
        <v>0</v>
      </c>
      <c r="QH66">
        <v>5</v>
      </c>
      <c r="QI66">
        <v>5</v>
      </c>
      <c r="QJ66">
        <v>5</v>
      </c>
      <c r="QK66">
        <v>210</v>
      </c>
      <c r="QL66">
        <v>420</v>
      </c>
      <c r="QM66">
        <v>7.5</v>
      </c>
      <c r="QN66">
        <v>1540.9</v>
      </c>
      <c r="QO66" t="s">
        <v>1377</v>
      </c>
      <c r="QP66" t="s">
        <v>513</v>
      </c>
      <c r="QQ66">
        <v>0</v>
      </c>
      <c r="QR66" t="s">
        <v>1420</v>
      </c>
      <c r="QS66">
        <v>40</v>
      </c>
      <c r="QT66">
        <v>50</v>
      </c>
    </row>
    <row r="67" spans="1:462">
      <c r="A67" t="s">
        <v>1445</v>
      </c>
      <c r="B67" t="s">
        <v>711</v>
      </c>
      <c r="C67" t="s">
        <v>509</v>
      </c>
      <c r="D67" t="s">
        <v>1444</v>
      </c>
      <c r="E67" t="s">
        <v>4036</v>
      </c>
      <c r="H67" t="s">
        <v>1294</v>
      </c>
      <c r="J67" t="s">
        <v>562</v>
      </c>
      <c r="K67" t="s">
        <v>563</v>
      </c>
      <c r="L67" t="s">
        <v>804</v>
      </c>
      <c r="M67" t="s">
        <v>512</v>
      </c>
      <c r="O67" t="s">
        <v>513</v>
      </c>
      <c r="P67" t="s">
        <v>517</v>
      </c>
      <c r="Q67" t="s">
        <v>1042</v>
      </c>
      <c r="R67" t="s">
        <v>1043</v>
      </c>
      <c r="S67" t="s">
        <v>4037</v>
      </c>
      <c r="T67" t="s">
        <v>686</v>
      </c>
      <c r="U67" t="s">
        <v>687</v>
      </c>
      <c r="V67" t="s">
        <v>1296</v>
      </c>
      <c r="W67" t="s">
        <v>1368</v>
      </c>
      <c r="X67" t="s">
        <v>1446</v>
      </c>
      <c r="Y67" t="s">
        <v>1447</v>
      </c>
      <c r="Z67" t="s">
        <v>541</v>
      </c>
      <c r="AA67" t="s">
        <v>4038</v>
      </c>
      <c r="AB67" t="s">
        <v>4348</v>
      </c>
      <c r="AC67">
        <v>9</v>
      </c>
      <c r="AD67" t="s">
        <v>1443</v>
      </c>
      <c r="AE67">
        <v>3</v>
      </c>
      <c r="AF67">
        <v>6215</v>
      </c>
      <c r="AG67" t="s">
        <v>4341</v>
      </c>
      <c r="AH67">
        <v>1</v>
      </c>
      <c r="AI67" t="s">
        <v>4041</v>
      </c>
      <c r="AK67" t="s">
        <v>4342</v>
      </c>
      <c r="AL67">
        <v>1</v>
      </c>
      <c r="AM67" t="s">
        <v>582</v>
      </c>
      <c r="AO67" t="s">
        <v>4043</v>
      </c>
      <c r="AP67">
        <v>1</v>
      </c>
      <c r="AR67" t="s">
        <v>4349</v>
      </c>
      <c r="AS67">
        <v>1</v>
      </c>
      <c r="AT67">
        <v>52</v>
      </c>
      <c r="AV67" t="s">
        <v>4078</v>
      </c>
      <c r="AW67">
        <v>6.4</v>
      </c>
      <c r="AX67">
        <v>-6</v>
      </c>
      <c r="AY67">
        <v>113</v>
      </c>
      <c r="AZ67">
        <v>83</v>
      </c>
      <c r="BH67">
        <v>113</v>
      </c>
      <c r="BI67">
        <v>30</v>
      </c>
      <c r="BJ67">
        <v>83</v>
      </c>
      <c r="BK67">
        <v>3</v>
      </c>
      <c r="BL67">
        <v>226</v>
      </c>
      <c r="BM67">
        <v>-6</v>
      </c>
      <c r="BN67">
        <v>0</v>
      </c>
      <c r="BP67">
        <v>0</v>
      </c>
      <c r="BR67">
        <v>220</v>
      </c>
      <c r="BS67">
        <v>210</v>
      </c>
      <c r="BT67">
        <v>2225</v>
      </c>
      <c r="BU67" t="s">
        <v>4079</v>
      </c>
      <c r="BV67" t="s">
        <v>4079</v>
      </c>
      <c r="BW67" t="s">
        <v>4081</v>
      </c>
      <c r="BX67" t="s">
        <v>4081</v>
      </c>
      <c r="BY67" t="s">
        <v>4221</v>
      </c>
      <c r="BZ67" t="s">
        <v>4221</v>
      </c>
      <c r="CA67" t="s">
        <v>4130</v>
      </c>
      <c r="CB67" t="s">
        <v>4131</v>
      </c>
      <c r="CC67" t="s">
        <v>4053</v>
      </c>
      <c r="CD67" t="s">
        <v>4055</v>
      </c>
      <c r="CE67" t="s">
        <v>4055</v>
      </c>
      <c r="CF67" t="s">
        <v>4055</v>
      </c>
      <c r="CG67" t="s">
        <v>4056</v>
      </c>
      <c r="CI67" t="s">
        <v>4086</v>
      </c>
      <c r="CJ67" t="s">
        <v>4059</v>
      </c>
      <c r="CK67" t="s">
        <v>4060</v>
      </c>
      <c r="CL67" t="s">
        <v>4061</v>
      </c>
      <c r="CM67" t="s">
        <v>4055</v>
      </c>
      <c r="CN67" t="s">
        <v>4062</v>
      </c>
      <c r="CO67" t="s">
        <v>4063</v>
      </c>
      <c r="CP67" t="s">
        <v>4055</v>
      </c>
      <c r="CQ67" t="s">
        <v>4055</v>
      </c>
      <c r="CR67">
        <v>5</v>
      </c>
      <c r="CS67" t="s">
        <v>4055</v>
      </c>
      <c r="CT67" t="s">
        <v>4055</v>
      </c>
      <c r="CU67" t="s">
        <v>4055</v>
      </c>
      <c r="CV67">
        <v>136</v>
      </c>
      <c r="CW67">
        <v>3</v>
      </c>
      <c r="CX67">
        <v>94</v>
      </c>
      <c r="CY67">
        <v>5</v>
      </c>
      <c r="CZ67">
        <v>164</v>
      </c>
      <c r="DA67">
        <v>5</v>
      </c>
      <c r="DB67">
        <v>15040</v>
      </c>
      <c r="DC67">
        <v>450</v>
      </c>
      <c r="DD67">
        <v>384</v>
      </c>
      <c r="DE67">
        <v>2358</v>
      </c>
      <c r="DF67">
        <v>2358</v>
      </c>
      <c r="DG67">
        <v>2369</v>
      </c>
      <c r="DH67">
        <v>1</v>
      </c>
      <c r="DI67" t="s">
        <v>4055</v>
      </c>
      <c r="DJ67" t="s">
        <v>4217</v>
      </c>
      <c r="DK67">
        <v>220</v>
      </c>
      <c r="DL67" t="s">
        <v>4065</v>
      </c>
      <c r="DM67">
        <v>63</v>
      </c>
      <c r="DN67">
        <v>1.26</v>
      </c>
      <c r="DO67">
        <v>1</v>
      </c>
      <c r="DP67">
        <v>2229</v>
      </c>
      <c r="DQ67">
        <v>1184</v>
      </c>
      <c r="DR67" t="s">
        <v>4217</v>
      </c>
      <c r="DS67">
        <v>210</v>
      </c>
      <c r="DT67" t="s">
        <v>4065</v>
      </c>
      <c r="DU67">
        <v>63</v>
      </c>
      <c r="DV67">
        <v>1.26</v>
      </c>
      <c r="DW67">
        <v>1</v>
      </c>
      <c r="DX67">
        <v>2242</v>
      </c>
      <c r="DY67">
        <v>1137</v>
      </c>
      <c r="DZ67" t="s">
        <v>4066</v>
      </c>
      <c r="EA67">
        <v>20</v>
      </c>
      <c r="EB67" t="s">
        <v>4065</v>
      </c>
      <c r="EC67">
        <v>0.8</v>
      </c>
      <c r="ED67">
        <v>2229</v>
      </c>
      <c r="EE67">
        <v>78</v>
      </c>
      <c r="EG67">
        <v>0</v>
      </c>
      <c r="EH67" t="s">
        <v>4065</v>
      </c>
      <c r="EI67">
        <v>0</v>
      </c>
      <c r="EL67" t="s">
        <v>1528</v>
      </c>
      <c r="EM67">
        <v>12</v>
      </c>
      <c r="EN67">
        <v>0.5</v>
      </c>
      <c r="EO67">
        <v>0.96</v>
      </c>
      <c r="EP67">
        <v>2240.84</v>
      </c>
      <c r="EQ67">
        <v>41665.62</v>
      </c>
      <c r="ER67">
        <v>10532.21</v>
      </c>
      <c r="ES67">
        <v>0</v>
      </c>
      <c r="ET67">
        <v>0</v>
      </c>
      <c r="EU67">
        <v>1</v>
      </c>
      <c r="EV67">
        <v>52198</v>
      </c>
      <c r="EW67">
        <v>627</v>
      </c>
      <c r="EX67" t="s">
        <v>4327</v>
      </c>
      <c r="EY67">
        <v>242</v>
      </c>
      <c r="EZ67" t="s">
        <v>4055</v>
      </c>
      <c r="FA67">
        <v>4.5</v>
      </c>
      <c r="FB67">
        <v>1</v>
      </c>
      <c r="FC67">
        <v>1</v>
      </c>
      <c r="FD67">
        <v>2274</v>
      </c>
      <c r="FE67">
        <v>2926</v>
      </c>
      <c r="FF67" t="s">
        <v>4288</v>
      </c>
      <c r="FG67">
        <v>242</v>
      </c>
      <c r="FH67" t="s">
        <v>4055</v>
      </c>
      <c r="FI67">
        <v>3.6</v>
      </c>
      <c r="FJ67">
        <v>2274</v>
      </c>
      <c r="FK67">
        <v>2390</v>
      </c>
      <c r="FL67" t="s">
        <v>4069</v>
      </c>
      <c r="FM67" t="s">
        <v>4055</v>
      </c>
      <c r="FN67" t="s">
        <v>4055</v>
      </c>
      <c r="FO67" t="s">
        <v>4055</v>
      </c>
      <c r="FP67">
        <v>2274</v>
      </c>
      <c r="FQ67">
        <v>210</v>
      </c>
      <c r="FR67" t="s">
        <v>4090</v>
      </c>
      <c r="FS67">
        <v>246</v>
      </c>
      <c r="FT67" t="s">
        <v>4055</v>
      </c>
      <c r="FU67">
        <v>0.4</v>
      </c>
      <c r="FV67">
        <v>2274</v>
      </c>
      <c r="FW67">
        <v>249</v>
      </c>
      <c r="FX67" t="s">
        <v>4070</v>
      </c>
      <c r="FY67">
        <v>5</v>
      </c>
      <c r="FZ67" t="s">
        <v>4055</v>
      </c>
      <c r="GA67" t="s">
        <v>4055</v>
      </c>
      <c r="GB67">
        <v>2274</v>
      </c>
      <c r="GC67">
        <v>23</v>
      </c>
      <c r="GD67">
        <v>5798</v>
      </c>
      <c r="GE67" t="s">
        <v>4349</v>
      </c>
      <c r="GF67" t="s">
        <v>4055</v>
      </c>
      <c r="GG67" t="s">
        <v>4055</v>
      </c>
      <c r="GH67" t="s">
        <v>4055</v>
      </c>
      <c r="GI67" t="s">
        <v>4071</v>
      </c>
      <c r="GJ67" t="s">
        <v>4055</v>
      </c>
      <c r="GK67" t="s">
        <v>4055</v>
      </c>
      <c r="GL67" t="s">
        <v>4055</v>
      </c>
      <c r="GM67" t="s">
        <v>4055</v>
      </c>
      <c r="GQ67">
        <v>0</v>
      </c>
      <c r="GV67">
        <v>8.5</v>
      </c>
      <c r="GW67">
        <v>11</v>
      </c>
      <c r="GX67">
        <v>0.5</v>
      </c>
      <c r="GY67">
        <v>204</v>
      </c>
      <c r="GZ67">
        <v>3</v>
      </c>
      <c r="HA67">
        <v>262</v>
      </c>
      <c r="HB67">
        <v>3</v>
      </c>
      <c r="HC67">
        <v>2274</v>
      </c>
      <c r="HD67">
        <v>4</v>
      </c>
      <c r="HE67" t="s">
        <v>4071</v>
      </c>
      <c r="HG67" t="s">
        <v>549</v>
      </c>
      <c r="HL67">
        <v>4</v>
      </c>
      <c r="HM67">
        <v>19</v>
      </c>
      <c r="HN67">
        <v>6</v>
      </c>
      <c r="HO67">
        <v>1</v>
      </c>
      <c r="HP67">
        <v>0</v>
      </c>
      <c r="HQ67">
        <v>0</v>
      </c>
      <c r="HR67">
        <v>3</v>
      </c>
      <c r="HS67">
        <v>2225</v>
      </c>
      <c r="HT67">
        <v>5</v>
      </c>
      <c r="HU67">
        <v>1</v>
      </c>
      <c r="HV67">
        <v>0</v>
      </c>
      <c r="HW67">
        <v>0</v>
      </c>
      <c r="HX67">
        <v>1</v>
      </c>
      <c r="HY67">
        <v>0</v>
      </c>
      <c r="HZ67">
        <v>63</v>
      </c>
      <c r="IA67">
        <v>2229</v>
      </c>
      <c r="IB67">
        <v>2242</v>
      </c>
      <c r="ID67">
        <v>2274</v>
      </c>
      <c r="IE67">
        <v>2274</v>
      </c>
      <c r="IF67">
        <v>220</v>
      </c>
      <c r="IG67">
        <v>210</v>
      </c>
      <c r="IH67">
        <v>262</v>
      </c>
      <c r="II67">
        <v>1</v>
      </c>
      <c r="IJ67">
        <v>5</v>
      </c>
      <c r="IK67">
        <v>0</v>
      </c>
      <c r="IL67">
        <v>0</v>
      </c>
      <c r="IM67">
        <v>0</v>
      </c>
      <c r="IN67">
        <v>270</v>
      </c>
      <c r="IO67">
        <v>0</v>
      </c>
      <c r="IP67">
        <v>180</v>
      </c>
      <c r="IQ67">
        <v>0</v>
      </c>
      <c r="IR67">
        <v>330</v>
      </c>
      <c r="IS67">
        <v>0</v>
      </c>
      <c r="IT67">
        <v>90</v>
      </c>
      <c r="IU67">
        <v>0</v>
      </c>
      <c r="IV67">
        <v>6.4</v>
      </c>
      <c r="IW67">
        <v>-6</v>
      </c>
      <c r="IX67">
        <v>113</v>
      </c>
      <c r="IY67">
        <v>83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450</v>
      </c>
      <c r="JJ67">
        <v>420</v>
      </c>
      <c r="JK67">
        <v>302</v>
      </c>
      <c r="JL67">
        <v>418</v>
      </c>
      <c r="JM67">
        <v>322</v>
      </c>
      <c r="JN67">
        <v>220</v>
      </c>
      <c r="JO67">
        <v>272</v>
      </c>
      <c r="JP67">
        <v>186</v>
      </c>
      <c r="JQ67">
        <v>216</v>
      </c>
      <c r="JR67">
        <v>320</v>
      </c>
      <c r="JS67">
        <v>240</v>
      </c>
      <c r="JT67">
        <v>0</v>
      </c>
      <c r="JU67">
        <v>0</v>
      </c>
      <c r="JV67">
        <v>300</v>
      </c>
      <c r="JW67">
        <v>260</v>
      </c>
      <c r="JX67">
        <v>310</v>
      </c>
      <c r="JY67">
        <v>285</v>
      </c>
      <c r="JZ67">
        <v>0.5</v>
      </c>
      <c r="KA67">
        <v>0.2</v>
      </c>
      <c r="KB67">
        <v>0.4</v>
      </c>
      <c r="KC67">
        <v>0.42</v>
      </c>
      <c r="KD67">
        <v>0.3</v>
      </c>
      <c r="KE67">
        <v>0.5</v>
      </c>
      <c r="KF67">
        <v>0.19</v>
      </c>
      <c r="KG67">
        <v>0.14</v>
      </c>
      <c r="KH67">
        <v>3.5</v>
      </c>
      <c r="KI67">
        <v>1</v>
      </c>
      <c r="KJ67">
        <v>4.5</v>
      </c>
      <c r="KK67">
        <v>0</v>
      </c>
      <c r="KL67">
        <v>4.5</v>
      </c>
      <c r="KM67">
        <v>0.5</v>
      </c>
      <c r="KN67">
        <v>1.7</v>
      </c>
      <c r="KO67">
        <v>0</v>
      </c>
      <c r="KP67">
        <v>0</v>
      </c>
      <c r="KQ67">
        <v>0.5</v>
      </c>
      <c r="KR67">
        <v>0.5</v>
      </c>
      <c r="KS67">
        <v>0</v>
      </c>
      <c r="KT67">
        <v>1.8</v>
      </c>
      <c r="KU67">
        <v>0</v>
      </c>
      <c r="KV67">
        <v>0</v>
      </c>
      <c r="KW67">
        <v>1.6</v>
      </c>
      <c r="KX67">
        <v>2</v>
      </c>
      <c r="KY67">
        <v>1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3</v>
      </c>
      <c r="LI67">
        <v>0.5</v>
      </c>
      <c r="LJ67">
        <v>0</v>
      </c>
      <c r="LK67">
        <v>10</v>
      </c>
      <c r="LL67">
        <v>6</v>
      </c>
      <c r="LM67">
        <v>13</v>
      </c>
      <c r="LN67">
        <v>0.1</v>
      </c>
      <c r="LO67">
        <v>3</v>
      </c>
      <c r="LP67">
        <v>0</v>
      </c>
      <c r="LQ67">
        <v>0</v>
      </c>
      <c r="LR67">
        <v>0</v>
      </c>
      <c r="LS67">
        <v>1</v>
      </c>
      <c r="LT67">
        <v>0</v>
      </c>
      <c r="LU67">
        <v>0</v>
      </c>
      <c r="LV67">
        <v>0</v>
      </c>
      <c r="LW67">
        <v>2.2</v>
      </c>
      <c r="LX67">
        <v>2.2</v>
      </c>
      <c r="LY67">
        <v>2.1</v>
      </c>
      <c r="LZ67">
        <v>2.1</v>
      </c>
      <c r="MA67">
        <v>0</v>
      </c>
      <c r="MB67">
        <v>5</v>
      </c>
      <c r="MC67">
        <v>0</v>
      </c>
      <c r="MD67">
        <v>4.5</v>
      </c>
      <c r="ME67">
        <v>6</v>
      </c>
      <c r="MF67">
        <v>6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452</v>
      </c>
      <c r="MN67">
        <v>215</v>
      </c>
      <c r="MO67">
        <v>272</v>
      </c>
      <c r="NU67">
        <v>0.15</v>
      </c>
      <c r="NV67">
        <v>0.2</v>
      </c>
      <c r="NW67">
        <v>0.2</v>
      </c>
      <c r="NX67">
        <v>0.2</v>
      </c>
      <c r="NY67">
        <v>0.2</v>
      </c>
      <c r="NZ67">
        <v>0.2</v>
      </c>
      <c r="OE67" t="s">
        <v>4349</v>
      </c>
      <c r="OF67" t="s">
        <v>4341</v>
      </c>
      <c r="OG67" t="s">
        <v>4342</v>
      </c>
      <c r="OH67" t="s">
        <v>4043</v>
      </c>
      <c r="OI67" t="s">
        <v>4349</v>
      </c>
      <c r="OJ67" t="s">
        <v>4348</v>
      </c>
      <c r="OK67">
        <v>61</v>
      </c>
      <c r="OL67">
        <v>61</v>
      </c>
      <c r="OM67" t="s">
        <v>4341</v>
      </c>
      <c r="ON67">
        <v>1</v>
      </c>
      <c r="OO67">
        <v>2229</v>
      </c>
      <c r="OP67">
        <v>61</v>
      </c>
      <c r="OQ67">
        <v>61</v>
      </c>
      <c r="OR67" t="s">
        <v>4342</v>
      </c>
      <c r="OS67">
        <v>1</v>
      </c>
      <c r="OT67">
        <v>2242</v>
      </c>
      <c r="OU67">
        <v>65</v>
      </c>
      <c r="OV67">
        <v>65</v>
      </c>
      <c r="OW67" t="s">
        <v>4043</v>
      </c>
      <c r="OX67">
        <v>2</v>
      </c>
      <c r="OY67">
        <v>52198</v>
      </c>
      <c r="OZ67">
        <v>51</v>
      </c>
      <c r="PA67">
        <v>52</v>
      </c>
      <c r="PB67" t="s">
        <v>4349</v>
      </c>
      <c r="PC67">
        <v>2</v>
      </c>
      <c r="PD67">
        <v>2274</v>
      </c>
      <c r="PF67">
        <v>531</v>
      </c>
      <c r="PG67">
        <v>35</v>
      </c>
      <c r="PH67">
        <v>507</v>
      </c>
      <c r="PI67">
        <v>0</v>
      </c>
      <c r="PJ67">
        <v>92.2</v>
      </c>
      <c r="PK67">
        <v>2522</v>
      </c>
      <c r="PL67">
        <v>1286.6</v>
      </c>
      <c r="PM67">
        <v>1051.2</v>
      </c>
      <c r="PN67">
        <v>109.5</v>
      </c>
      <c r="PO67">
        <v>9.9</v>
      </c>
      <c r="PP67">
        <v>12</v>
      </c>
      <c r="PQ67">
        <v>4</v>
      </c>
      <c r="PR67">
        <v>4</v>
      </c>
      <c r="PS67">
        <v>0</v>
      </c>
      <c r="PT67">
        <v>262</v>
      </c>
      <c r="PU67">
        <v>10</v>
      </c>
      <c r="PV67" t="s">
        <v>4072</v>
      </c>
      <c r="PW67" t="s">
        <v>4072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-1</v>
      </c>
      <c r="QF67">
        <v>1</v>
      </c>
      <c r="QG67">
        <v>0</v>
      </c>
      <c r="QH67">
        <v>5</v>
      </c>
      <c r="QI67">
        <v>5</v>
      </c>
      <c r="QJ67">
        <v>5</v>
      </c>
      <c r="QK67">
        <v>241</v>
      </c>
      <c r="QL67">
        <v>480</v>
      </c>
      <c r="QM67">
        <v>7.5</v>
      </c>
      <c r="QN67">
        <v>1544.1</v>
      </c>
      <c r="QO67" t="s">
        <v>1377</v>
      </c>
      <c r="QP67" t="s">
        <v>513</v>
      </c>
      <c r="QQ67">
        <v>0</v>
      </c>
      <c r="QR67" t="s">
        <v>596</v>
      </c>
      <c r="QS67">
        <v>40</v>
      </c>
      <c r="QT67">
        <v>50</v>
      </c>
    </row>
    <row r="68" spans="1:462">
      <c r="A68" t="s">
        <v>1454</v>
      </c>
      <c r="B68" t="s">
        <v>1453</v>
      </c>
      <c r="C68" t="s">
        <v>509</v>
      </c>
      <c r="D68" t="s">
        <v>1307</v>
      </c>
      <c r="E68" t="s">
        <v>4036</v>
      </c>
      <c r="H68" t="s">
        <v>604</v>
      </c>
      <c r="I68" t="s">
        <v>605</v>
      </c>
      <c r="J68" t="s">
        <v>628</v>
      </c>
      <c r="K68" t="s">
        <v>606</v>
      </c>
      <c r="L68" t="s">
        <v>727</v>
      </c>
      <c r="M68" t="s">
        <v>512</v>
      </c>
      <c r="O68" t="s">
        <v>513</v>
      </c>
      <c r="P68" t="s">
        <v>567</v>
      </c>
      <c r="Q68" t="s">
        <v>1455</v>
      </c>
      <c r="R68" t="s">
        <v>1456</v>
      </c>
      <c r="S68" t="s">
        <v>4091</v>
      </c>
      <c r="T68" t="s">
        <v>1457</v>
      </c>
      <c r="U68" t="s">
        <v>1458</v>
      </c>
      <c r="V68" t="s">
        <v>1459</v>
      </c>
      <c r="W68" t="s">
        <v>1460</v>
      </c>
      <c r="X68" t="s">
        <v>1461</v>
      </c>
      <c r="Y68" t="s">
        <v>1462</v>
      </c>
      <c r="Z68" t="s">
        <v>541</v>
      </c>
      <c r="AA68" t="s">
        <v>4038</v>
      </c>
      <c r="AB68" t="s">
        <v>4350</v>
      </c>
      <c r="AC68">
        <v>13</v>
      </c>
      <c r="AD68" t="s">
        <v>1452</v>
      </c>
      <c r="AE68">
        <v>11</v>
      </c>
      <c r="AF68">
        <v>3147</v>
      </c>
      <c r="AG68" t="s">
        <v>4351</v>
      </c>
      <c r="AH68">
        <v>1</v>
      </c>
      <c r="AI68" t="s">
        <v>4041</v>
      </c>
      <c r="AK68" t="s">
        <v>4352</v>
      </c>
      <c r="AL68">
        <v>1</v>
      </c>
      <c r="AM68" t="s">
        <v>582</v>
      </c>
      <c r="AO68" t="s">
        <v>4353</v>
      </c>
      <c r="AP68">
        <v>1</v>
      </c>
      <c r="AR68" t="s">
        <v>4354</v>
      </c>
      <c r="AS68">
        <v>1</v>
      </c>
      <c r="AT68">
        <v>52</v>
      </c>
      <c r="AV68" t="s">
        <v>4045</v>
      </c>
      <c r="AW68">
        <v>6.4</v>
      </c>
      <c r="AX68">
        <v>-6</v>
      </c>
      <c r="AY68">
        <v>73.5</v>
      </c>
      <c r="AZ68">
        <v>64.5</v>
      </c>
      <c r="BH68">
        <v>73.5</v>
      </c>
      <c r="BI68">
        <v>9</v>
      </c>
      <c r="BJ68">
        <v>64.5</v>
      </c>
      <c r="BK68">
        <v>3.5</v>
      </c>
      <c r="BL68">
        <v>147</v>
      </c>
      <c r="BM68">
        <v>-6</v>
      </c>
      <c r="BN68">
        <v>0</v>
      </c>
      <c r="BO68">
        <v>0</v>
      </c>
      <c r="BP68">
        <v>0</v>
      </c>
      <c r="BR68">
        <v>140</v>
      </c>
      <c r="BS68">
        <v>130</v>
      </c>
      <c r="BT68">
        <v>1705</v>
      </c>
      <c r="BU68" t="s">
        <v>4355</v>
      </c>
      <c r="BV68" t="s">
        <v>4355</v>
      </c>
      <c r="BW68" t="s">
        <v>4356</v>
      </c>
      <c r="BX68" t="s">
        <v>4356</v>
      </c>
      <c r="BY68" t="s">
        <v>4357</v>
      </c>
      <c r="BZ68" t="s">
        <v>4357</v>
      </c>
      <c r="CA68" t="s">
        <v>4358</v>
      </c>
      <c r="CB68" t="s">
        <v>4359</v>
      </c>
      <c r="CC68" t="s">
        <v>4053</v>
      </c>
      <c r="CD68" t="s">
        <v>4359</v>
      </c>
      <c r="CE68" t="s">
        <v>4360</v>
      </c>
      <c r="CF68" t="s">
        <v>4361</v>
      </c>
      <c r="CG68" t="s">
        <v>4056</v>
      </c>
      <c r="CH68" t="s">
        <v>4145</v>
      </c>
      <c r="CI68" t="s">
        <v>4058</v>
      </c>
      <c r="CJ68" t="s">
        <v>4059</v>
      </c>
      <c r="CK68" t="s">
        <v>4060</v>
      </c>
      <c r="CL68" t="s">
        <v>4061</v>
      </c>
      <c r="CM68" t="s">
        <v>4062</v>
      </c>
      <c r="CN68" t="s">
        <v>4055</v>
      </c>
      <c r="CO68" t="s">
        <v>4063</v>
      </c>
      <c r="CP68" t="s">
        <v>4055</v>
      </c>
      <c r="CQ68" t="s">
        <v>4055</v>
      </c>
      <c r="CR68">
        <v>5</v>
      </c>
      <c r="CS68" t="s">
        <v>4055</v>
      </c>
      <c r="CT68" t="s">
        <v>4055</v>
      </c>
      <c r="CU68" t="s">
        <v>4055</v>
      </c>
      <c r="CV68">
        <v>93</v>
      </c>
      <c r="CW68">
        <v>3</v>
      </c>
      <c r="CX68">
        <v>57</v>
      </c>
      <c r="CY68">
        <v>5</v>
      </c>
      <c r="CZ68">
        <v>116</v>
      </c>
      <c r="DA68">
        <v>5</v>
      </c>
      <c r="DB68">
        <v>6620</v>
      </c>
      <c r="DC68">
        <v>190</v>
      </c>
      <c r="DD68">
        <v>255</v>
      </c>
      <c r="DE68">
        <v>1797</v>
      </c>
      <c r="DF68">
        <v>1797</v>
      </c>
      <c r="DG68">
        <v>1807</v>
      </c>
      <c r="DH68" t="s">
        <v>4055</v>
      </c>
      <c r="DI68">
        <v>1775</v>
      </c>
      <c r="DJ68" t="s">
        <v>4100</v>
      </c>
      <c r="DK68">
        <v>140</v>
      </c>
      <c r="DL68" t="s">
        <v>4101</v>
      </c>
      <c r="DM68">
        <v>63</v>
      </c>
      <c r="DN68">
        <v>0.84</v>
      </c>
      <c r="DO68">
        <v>1</v>
      </c>
      <c r="DP68">
        <v>1708</v>
      </c>
      <c r="DQ68">
        <v>437</v>
      </c>
      <c r="DR68" t="s">
        <v>4100</v>
      </c>
      <c r="DS68">
        <v>130</v>
      </c>
      <c r="DT68" t="s">
        <v>4101</v>
      </c>
      <c r="DU68">
        <v>63</v>
      </c>
      <c r="DV68">
        <v>0.84</v>
      </c>
      <c r="DW68">
        <v>1</v>
      </c>
      <c r="DX68">
        <v>1715</v>
      </c>
      <c r="DY68">
        <v>408</v>
      </c>
      <c r="DZ68" t="s">
        <v>4066</v>
      </c>
      <c r="EA68">
        <v>33</v>
      </c>
      <c r="EB68" t="s">
        <v>4065</v>
      </c>
      <c r="EC68">
        <v>0.4</v>
      </c>
      <c r="ED68">
        <v>1708</v>
      </c>
      <c r="EE68">
        <v>50</v>
      </c>
      <c r="EF68" t="s">
        <v>4066</v>
      </c>
      <c r="EG68">
        <v>33</v>
      </c>
      <c r="EH68" t="s">
        <v>4065</v>
      </c>
      <c r="EI68">
        <v>0.4</v>
      </c>
      <c r="EJ68">
        <v>1715</v>
      </c>
      <c r="EK68">
        <v>50</v>
      </c>
      <c r="EL68" t="s">
        <v>4362</v>
      </c>
      <c r="EM68">
        <v>12</v>
      </c>
      <c r="EN68">
        <v>0.5</v>
      </c>
      <c r="EO68">
        <v>0.77</v>
      </c>
      <c r="EP68">
        <v>1715.56</v>
      </c>
      <c r="EQ68">
        <v>21310.47</v>
      </c>
      <c r="ER68">
        <v>2419.31</v>
      </c>
      <c r="ES68">
        <v>0</v>
      </c>
      <c r="ET68">
        <v>0</v>
      </c>
      <c r="EU68">
        <v>1</v>
      </c>
      <c r="EV68">
        <v>23730</v>
      </c>
      <c r="EW68">
        <v>238</v>
      </c>
      <c r="EX68" t="s">
        <v>4363</v>
      </c>
      <c r="EY68">
        <v>160</v>
      </c>
      <c r="EZ68" t="s">
        <v>4055</v>
      </c>
      <c r="FA68">
        <v>5.5</v>
      </c>
      <c r="FB68">
        <v>1</v>
      </c>
      <c r="FC68">
        <v>1</v>
      </c>
      <c r="FD68">
        <v>1744</v>
      </c>
      <c r="FE68">
        <v>1637</v>
      </c>
      <c r="FF68" t="s">
        <v>4089</v>
      </c>
      <c r="FG68">
        <v>160</v>
      </c>
      <c r="FH68" t="s">
        <v>4055</v>
      </c>
      <c r="FI68">
        <v>1.6</v>
      </c>
      <c r="FJ68">
        <v>1744</v>
      </c>
      <c r="FK68">
        <v>437</v>
      </c>
      <c r="FL68" t="s">
        <v>4069</v>
      </c>
      <c r="FM68" t="s">
        <v>4055</v>
      </c>
      <c r="FN68" t="s">
        <v>4055</v>
      </c>
      <c r="FO68" t="s">
        <v>4055</v>
      </c>
      <c r="FP68">
        <v>1744</v>
      </c>
      <c r="FQ68">
        <v>69</v>
      </c>
      <c r="FR68" t="s">
        <v>4090</v>
      </c>
      <c r="FS68">
        <v>164</v>
      </c>
      <c r="FT68" t="s">
        <v>4055</v>
      </c>
      <c r="FU68">
        <v>0.4</v>
      </c>
      <c r="FV68">
        <v>1744</v>
      </c>
      <c r="FW68">
        <v>127</v>
      </c>
      <c r="FX68" t="s">
        <v>4070</v>
      </c>
      <c r="FY68">
        <v>10</v>
      </c>
      <c r="FZ68" t="s">
        <v>4055</v>
      </c>
      <c r="GA68" t="s">
        <v>4055</v>
      </c>
      <c r="GB68">
        <v>1744</v>
      </c>
      <c r="GC68">
        <v>15</v>
      </c>
      <c r="GD68">
        <v>2285</v>
      </c>
      <c r="GE68" t="s">
        <v>4354</v>
      </c>
      <c r="GF68" t="s">
        <v>4055</v>
      </c>
      <c r="GG68" t="s">
        <v>4055</v>
      </c>
      <c r="GH68" t="s">
        <v>4055</v>
      </c>
      <c r="GI68" t="s">
        <v>4071</v>
      </c>
      <c r="GJ68" t="s">
        <v>4055</v>
      </c>
      <c r="GK68" t="s">
        <v>4055</v>
      </c>
      <c r="GL68" t="s">
        <v>4055</v>
      </c>
      <c r="GM68" t="s">
        <v>4055</v>
      </c>
      <c r="GQ68">
        <v>0</v>
      </c>
      <c r="GV68">
        <v>7.5</v>
      </c>
      <c r="GW68">
        <v>8.1</v>
      </c>
      <c r="GX68">
        <v>0.5</v>
      </c>
      <c r="GY68">
        <v>130</v>
      </c>
      <c r="GZ68">
        <v>3</v>
      </c>
      <c r="HA68">
        <v>172</v>
      </c>
      <c r="HB68">
        <v>3</v>
      </c>
      <c r="HC68">
        <v>1744</v>
      </c>
      <c r="HD68">
        <v>4</v>
      </c>
      <c r="HE68" t="s">
        <v>4071</v>
      </c>
      <c r="HG68" t="s">
        <v>549</v>
      </c>
      <c r="HL68">
        <v>4</v>
      </c>
      <c r="HM68">
        <v>14</v>
      </c>
      <c r="HN68">
        <v>6</v>
      </c>
      <c r="HO68">
        <v>1</v>
      </c>
      <c r="HP68">
        <v>0</v>
      </c>
      <c r="HQ68">
        <v>0</v>
      </c>
      <c r="HR68">
        <v>1</v>
      </c>
      <c r="HS68">
        <v>1705</v>
      </c>
      <c r="HT68">
        <v>5</v>
      </c>
      <c r="HU68">
        <v>1</v>
      </c>
      <c r="HV68">
        <v>3</v>
      </c>
      <c r="HW68">
        <v>0</v>
      </c>
      <c r="HX68">
        <v>1</v>
      </c>
      <c r="HY68">
        <v>0</v>
      </c>
      <c r="HZ68">
        <v>63</v>
      </c>
      <c r="IA68">
        <v>1708</v>
      </c>
      <c r="IB68">
        <v>1715</v>
      </c>
      <c r="ID68">
        <v>1744</v>
      </c>
      <c r="IE68">
        <v>1744</v>
      </c>
      <c r="IF68">
        <v>140</v>
      </c>
      <c r="IG68">
        <v>130</v>
      </c>
      <c r="IH68">
        <v>172</v>
      </c>
      <c r="II68">
        <v>0</v>
      </c>
      <c r="IJ68">
        <v>5</v>
      </c>
      <c r="IK68">
        <v>0</v>
      </c>
      <c r="IL68">
        <v>2</v>
      </c>
      <c r="IM68">
        <v>0</v>
      </c>
      <c r="IN68">
        <v>270</v>
      </c>
      <c r="IO68">
        <v>0</v>
      </c>
      <c r="IP68">
        <v>180</v>
      </c>
      <c r="IQ68">
        <v>0</v>
      </c>
      <c r="IR68">
        <v>330</v>
      </c>
      <c r="IS68">
        <v>0</v>
      </c>
      <c r="IT68">
        <v>90</v>
      </c>
      <c r="IU68">
        <v>0</v>
      </c>
      <c r="IV68">
        <v>6.4</v>
      </c>
      <c r="IW68">
        <v>-6</v>
      </c>
      <c r="IX68">
        <v>73.5</v>
      </c>
      <c r="IY68">
        <v>64.5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318</v>
      </c>
      <c r="JJ68">
        <v>258</v>
      </c>
      <c r="JK68">
        <v>220</v>
      </c>
      <c r="JL68">
        <v>248</v>
      </c>
      <c r="JM68">
        <v>230</v>
      </c>
      <c r="JN68">
        <v>150</v>
      </c>
      <c r="JO68">
        <v>190</v>
      </c>
      <c r="JP68">
        <v>240</v>
      </c>
      <c r="JQ68">
        <v>280</v>
      </c>
      <c r="JR68">
        <v>360</v>
      </c>
      <c r="JS68">
        <v>275</v>
      </c>
      <c r="JT68">
        <v>0</v>
      </c>
      <c r="JU68">
        <v>0</v>
      </c>
      <c r="JV68">
        <v>335</v>
      </c>
      <c r="JW68">
        <v>337</v>
      </c>
      <c r="JX68">
        <v>0</v>
      </c>
      <c r="JY68">
        <v>0</v>
      </c>
      <c r="JZ68">
        <v>0</v>
      </c>
      <c r="KA68">
        <v>0.2</v>
      </c>
      <c r="KB68">
        <v>0.4</v>
      </c>
      <c r="KC68">
        <v>0.42</v>
      </c>
      <c r="KD68">
        <v>0.3</v>
      </c>
      <c r="KE68">
        <v>0.5</v>
      </c>
      <c r="KF68">
        <v>0.2</v>
      </c>
      <c r="KG68">
        <v>0.11</v>
      </c>
      <c r="KH68">
        <v>6</v>
      </c>
      <c r="KI68">
        <v>1</v>
      </c>
      <c r="KJ68">
        <v>3.5</v>
      </c>
      <c r="KK68">
        <v>1</v>
      </c>
      <c r="KL68">
        <v>5</v>
      </c>
      <c r="KM68">
        <v>3</v>
      </c>
      <c r="KN68">
        <v>0.7</v>
      </c>
      <c r="KO68">
        <v>1</v>
      </c>
      <c r="KP68">
        <v>1.2</v>
      </c>
      <c r="KQ68">
        <v>1.2</v>
      </c>
      <c r="KR68">
        <v>0.5</v>
      </c>
      <c r="KS68">
        <v>0</v>
      </c>
      <c r="KT68">
        <v>2.9</v>
      </c>
      <c r="KU68">
        <v>0</v>
      </c>
      <c r="KV68">
        <v>1.4</v>
      </c>
      <c r="KW68">
        <v>1.2</v>
      </c>
      <c r="KX68">
        <v>2</v>
      </c>
      <c r="KY68">
        <v>0</v>
      </c>
      <c r="KZ68">
        <v>3.8</v>
      </c>
      <c r="LA68">
        <v>2</v>
      </c>
      <c r="LB68">
        <v>10</v>
      </c>
      <c r="LC68">
        <v>2.5</v>
      </c>
      <c r="LD68">
        <v>3.5</v>
      </c>
      <c r="LE68">
        <v>2</v>
      </c>
      <c r="LF68">
        <v>0</v>
      </c>
      <c r="LG68">
        <v>0</v>
      </c>
      <c r="LH68">
        <v>3</v>
      </c>
      <c r="LI68">
        <v>0</v>
      </c>
      <c r="LJ68">
        <v>0</v>
      </c>
      <c r="LK68">
        <v>8</v>
      </c>
      <c r="LL68">
        <v>7</v>
      </c>
      <c r="LM68">
        <v>11</v>
      </c>
      <c r="LN68">
        <v>1</v>
      </c>
      <c r="LO68">
        <v>4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10</v>
      </c>
      <c r="MC68">
        <v>0</v>
      </c>
      <c r="MD68">
        <v>4.5</v>
      </c>
      <c r="ME68">
        <v>6</v>
      </c>
      <c r="MF68">
        <v>6</v>
      </c>
      <c r="MI68">
        <v>0</v>
      </c>
      <c r="MJ68">
        <v>0</v>
      </c>
      <c r="ML68">
        <v>0</v>
      </c>
      <c r="MM68">
        <v>326</v>
      </c>
      <c r="MN68">
        <v>140</v>
      </c>
      <c r="MO68">
        <v>182</v>
      </c>
      <c r="NU68">
        <v>0.15</v>
      </c>
      <c r="NV68">
        <v>0.2</v>
      </c>
      <c r="NW68">
        <v>0.2</v>
      </c>
      <c r="NX68">
        <v>2</v>
      </c>
      <c r="NY68">
        <v>2</v>
      </c>
      <c r="NZ68">
        <v>2</v>
      </c>
      <c r="OE68" t="s">
        <v>4354</v>
      </c>
      <c r="OF68" t="s">
        <v>4351</v>
      </c>
      <c r="OG68" t="s">
        <v>4352</v>
      </c>
      <c r="OH68" t="s">
        <v>4353</v>
      </c>
      <c r="OI68" t="s">
        <v>4354</v>
      </c>
      <c r="OJ68" t="s">
        <v>4350</v>
      </c>
      <c r="OK68">
        <v>61</v>
      </c>
      <c r="OL68">
        <v>61</v>
      </c>
      <c r="OM68" t="s">
        <v>4351</v>
      </c>
      <c r="ON68">
        <v>3</v>
      </c>
      <c r="OO68">
        <v>1708</v>
      </c>
      <c r="OP68">
        <v>61</v>
      </c>
      <c r="OQ68">
        <v>61</v>
      </c>
      <c r="OR68" t="s">
        <v>4352</v>
      </c>
      <c r="OS68">
        <v>3</v>
      </c>
      <c r="OT68">
        <v>1715</v>
      </c>
      <c r="OU68">
        <v>65</v>
      </c>
      <c r="OV68">
        <v>65</v>
      </c>
      <c r="OW68" t="s">
        <v>4353</v>
      </c>
      <c r="OX68">
        <v>1</v>
      </c>
      <c r="OY68">
        <v>23730</v>
      </c>
      <c r="OZ68">
        <v>51</v>
      </c>
      <c r="PA68">
        <v>52</v>
      </c>
      <c r="PB68" t="s">
        <v>4354</v>
      </c>
      <c r="PC68">
        <v>2</v>
      </c>
      <c r="PD68">
        <v>1744</v>
      </c>
      <c r="PF68">
        <v>256</v>
      </c>
      <c r="PG68">
        <v>29</v>
      </c>
      <c r="PH68">
        <v>238</v>
      </c>
      <c r="PI68">
        <v>29</v>
      </c>
      <c r="PJ68">
        <v>39.6</v>
      </c>
      <c r="PK68">
        <v>1308</v>
      </c>
      <c r="PL68">
        <v>938.5</v>
      </c>
      <c r="PM68">
        <v>250.4</v>
      </c>
      <c r="PN68">
        <v>72.8</v>
      </c>
      <c r="PO68">
        <v>8.699999999999999</v>
      </c>
      <c r="PP68">
        <v>10</v>
      </c>
      <c r="PQ68">
        <v>8</v>
      </c>
      <c r="PR68">
        <v>8</v>
      </c>
      <c r="PS68">
        <v>6</v>
      </c>
      <c r="PT68">
        <v>172</v>
      </c>
      <c r="PU68">
        <v>6</v>
      </c>
      <c r="PV68" t="s">
        <v>4072</v>
      </c>
      <c r="PW68" t="s">
        <v>4072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-1</v>
      </c>
      <c r="QF68">
        <v>1</v>
      </c>
      <c r="QG68">
        <v>0</v>
      </c>
      <c r="QH68">
        <v>5</v>
      </c>
      <c r="QI68">
        <v>5</v>
      </c>
      <c r="QJ68">
        <v>5</v>
      </c>
      <c r="QK68">
        <v>155</v>
      </c>
      <c r="QL68">
        <v>354</v>
      </c>
      <c r="QM68">
        <v>7.5</v>
      </c>
      <c r="QN68">
        <v>1124.6</v>
      </c>
      <c r="QO68" t="s">
        <v>1477</v>
      </c>
      <c r="QP68" t="s">
        <v>513</v>
      </c>
      <c r="QQ68">
        <v>0</v>
      </c>
      <c r="QR68" t="s">
        <v>540</v>
      </c>
      <c r="QS68">
        <v>30</v>
      </c>
      <c r="QT68">
        <v>40</v>
      </c>
    </row>
    <row r="69" spans="1:462">
      <c r="A69" t="s">
        <v>1479</v>
      </c>
      <c r="B69" t="s">
        <v>897</v>
      </c>
      <c r="C69" t="s">
        <v>509</v>
      </c>
      <c r="D69" t="s">
        <v>728</v>
      </c>
      <c r="E69" t="s">
        <v>4036</v>
      </c>
      <c r="H69" t="s">
        <v>604</v>
      </c>
      <c r="I69" t="s">
        <v>605</v>
      </c>
      <c r="J69" t="s">
        <v>628</v>
      </c>
      <c r="K69" t="s">
        <v>606</v>
      </c>
      <c r="L69" t="s">
        <v>657</v>
      </c>
      <c r="M69" t="s">
        <v>512</v>
      </c>
      <c r="O69" t="s">
        <v>513</v>
      </c>
      <c r="P69" t="s">
        <v>567</v>
      </c>
      <c r="Q69" t="s">
        <v>1480</v>
      </c>
      <c r="R69" t="s">
        <v>1481</v>
      </c>
      <c r="S69" t="s">
        <v>4091</v>
      </c>
      <c r="T69" t="s">
        <v>1482</v>
      </c>
      <c r="U69" t="s">
        <v>1483</v>
      </c>
      <c r="V69" t="s">
        <v>1484</v>
      </c>
      <c r="W69" t="s">
        <v>1460</v>
      </c>
      <c r="X69" t="s">
        <v>1485</v>
      </c>
      <c r="Y69" t="s">
        <v>1486</v>
      </c>
      <c r="Z69" t="s">
        <v>541</v>
      </c>
      <c r="AA69" t="s">
        <v>4038</v>
      </c>
      <c r="AB69" t="s">
        <v>4364</v>
      </c>
      <c r="AC69">
        <v>13</v>
      </c>
      <c r="AD69" t="s">
        <v>1478</v>
      </c>
      <c r="AE69">
        <v>8</v>
      </c>
      <c r="AF69">
        <v>3426</v>
      </c>
      <c r="AG69" t="s">
        <v>4365</v>
      </c>
      <c r="AH69">
        <v>1</v>
      </c>
      <c r="AI69" t="s">
        <v>4041</v>
      </c>
      <c r="AK69" t="s">
        <v>4366</v>
      </c>
      <c r="AL69">
        <v>1</v>
      </c>
      <c r="AM69" t="s">
        <v>582</v>
      </c>
      <c r="AO69" t="s">
        <v>4353</v>
      </c>
      <c r="AP69">
        <v>1</v>
      </c>
      <c r="AR69" t="s">
        <v>4367</v>
      </c>
      <c r="AS69">
        <v>1</v>
      </c>
      <c r="AT69">
        <v>52</v>
      </c>
      <c r="AV69" t="s">
        <v>4078</v>
      </c>
      <c r="AW69">
        <v>6.4</v>
      </c>
      <c r="AX69">
        <v>-6</v>
      </c>
      <c r="AY69">
        <v>78.5</v>
      </c>
      <c r="AZ69">
        <v>56</v>
      </c>
      <c r="BH69">
        <v>78.5</v>
      </c>
      <c r="BI69">
        <v>22.5</v>
      </c>
      <c r="BJ69">
        <v>56</v>
      </c>
      <c r="BK69">
        <v>3.5</v>
      </c>
      <c r="BL69">
        <v>157</v>
      </c>
      <c r="BM69">
        <v>-6</v>
      </c>
      <c r="BN69">
        <v>0</v>
      </c>
      <c r="BO69">
        <v>0</v>
      </c>
      <c r="BP69">
        <v>0</v>
      </c>
      <c r="BR69">
        <v>150</v>
      </c>
      <c r="BS69">
        <v>140</v>
      </c>
      <c r="BT69">
        <v>1815</v>
      </c>
      <c r="BU69" t="s">
        <v>4355</v>
      </c>
      <c r="BV69" t="s">
        <v>4047</v>
      </c>
      <c r="BW69" t="s">
        <v>4368</v>
      </c>
      <c r="BX69" t="s">
        <v>4049</v>
      </c>
      <c r="BY69" t="s">
        <v>4369</v>
      </c>
      <c r="BZ69" t="s">
        <v>4369</v>
      </c>
      <c r="CA69" t="s">
        <v>4370</v>
      </c>
      <c r="CB69" t="s">
        <v>4371</v>
      </c>
      <c r="CC69" t="s">
        <v>4053</v>
      </c>
      <c r="CD69" t="s">
        <v>4372</v>
      </c>
      <c r="CG69" t="s">
        <v>4056</v>
      </c>
      <c r="CH69" t="s">
        <v>4145</v>
      </c>
      <c r="CI69" t="s">
        <v>4058</v>
      </c>
      <c r="CJ69" t="s">
        <v>4059</v>
      </c>
      <c r="CK69" t="s">
        <v>4060</v>
      </c>
      <c r="CL69" t="s">
        <v>4061</v>
      </c>
      <c r="CM69" t="s">
        <v>4062</v>
      </c>
      <c r="CN69" t="s">
        <v>4055</v>
      </c>
      <c r="CO69" t="s">
        <v>4063</v>
      </c>
      <c r="CP69" t="s">
        <v>4055</v>
      </c>
      <c r="CQ69" t="s">
        <v>4055</v>
      </c>
      <c r="CR69">
        <v>5</v>
      </c>
      <c r="CS69" t="s">
        <v>4055</v>
      </c>
      <c r="CT69" t="s">
        <v>4055</v>
      </c>
      <c r="CU69" t="s">
        <v>4055</v>
      </c>
      <c r="CV69">
        <v>99</v>
      </c>
      <c r="CW69">
        <v>3</v>
      </c>
      <c r="CX69">
        <v>59</v>
      </c>
      <c r="CY69">
        <v>5</v>
      </c>
      <c r="CZ69">
        <v>55</v>
      </c>
      <c r="DA69">
        <v>5</v>
      </c>
      <c r="DB69">
        <v>7280</v>
      </c>
      <c r="DC69">
        <v>210</v>
      </c>
      <c r="DD69">
        <v>277</v>
      </c>
      <c r="DE69">
        <v>1903</v>
      </c>
      <c r="DF69">
        <v>1903</v>
      </c>
      <c r="DG69">
        <v>1923</v>
      </c>
      <c r="DH69">
        <v>0</v>
      </c>
      <c r="DJ69" t="s">
        <v>4100</v>
      </c>
      <c r="DK69">
        <v>150</v>
      </c>
      <c r="DL69" t="s">
        <v>4101</v>
      </c>
      <c r="DM69">
        <v>65</v>
      </c>
      <c r="DN69">
        <v>0.84</v>
      </c>
      <c r="DO69">
        <v>1</v>
      </c>
      <c r="DP69">
        <v>1818</v>
      </c>
      <c r="DQ69">
        <v>498</v>
      </c>
      <c r="DR69" t="s">
        <v>4100</v>
      </c>
      <c r="DS69">
        <v>140</v>
      </c>
      <c r="DT69" t="s">
        <v>4101</v>
      </c>
      <c r="DU69">
        <v>65</v>
      </c>
      <c r="DV69">
        <v>0.84</v>
      </c>
      <c r="DW69">
        <v>1</v>
      </c>
      <c r="DX69">
        <v>1825</v>
      </c>
      <c r="DY69">
        <v>467</v>
      </c>
      <c r="DZ69" t="s">
        <v>4066</v>
      </c>
      <c r="EA69">
        <v>33</v>
      </c>
      <c r="EB69" t="s">
        <v>4065</v>
      </c>
      <c r="EC69">
        <v>0.4</v>
      </c>
      <c r="ED69">
        <v>1818</v>
      </c>
      <c r="EE69">
        <v>53</v>
      </c>
      <c r="EF69" t="s">
        <v>4066</v>
      </c>
      <c r="EG69">
        <v>33</v>
      </c>
      <c r="EH69" t="s">
        <v>4065</v>
      </c>
      <c r="EI69">
        <v>0.4</v>
      </c>
      <c r="EJ69">
        <v>1825</v>
      </c>
      <c r="EK69">
        <v>53</v>
      </c>
      <c r="EL69" t="s">
        <v>4362</v>
      </c>
      <c r="EM69">
        <v>12</v>
      </c>
      <c r="EN69">
        <v>0.5</v>
      </c>
      <c r="EO69">
        <v>0.77</v>
      </c>
      <c r="EP69">
        <v>1825.56</v>
      </c>
      <c r="EQ69">
        <v>24103.1</v>
      </c>
      <c r="ER69">
        <v>6434.99</v>
      </c>
      <c r="ES69">
        <v>0</v>
      </c>
      <c r="ET69">
        <v>0</v>
      </c>
      <c r="EU69">
        <v>1</v>
      </c>
      <c r="EV69">
        <v>30539</v>
      </c>
      <c r="EW69">
        <v>306</v>
      </c>
      <c r="EX69" t="s">
        <v>4363</v>
      </c>
      <c r="EY69">
        <v>174</v>
      </c>
      <c r="EZ69" t="s">
        <v>4055</v>
      </c>
      <c r="FA69">
        <v>3.8</v>
      </c>
      <c r="FB69">
        <v>1</v>
      </c>
      <c r="FC69">
        <v>1</v>
      </c>
      <c r="FD69">
        <v>1849</v>
      </c>
      <c r="FE69">
        <v>1744</v>
      </c>
      <c r="FF69" t="s">
        <v>4089</v>
      </c>
      <c r="FG69">
        <v>174</v>
      </c>
      <c r="FH69" t="s">
        <v>4055</v>
      </c>
      <c r="FI69">
        <v>1.6</v>
      </c>
      <c r="FJ69">
        <v>1849</v>
      </c>
      <c r="FK69">
        <v>495</v>
      </c>
      <c r="FL69" t="s">
        <v>4069</v>
      </c>
      <c r="FM69" t="s">
        <v>4055</v>
      </c>
      <c r="FN69" t="s">
        <v>4055</v>
      </c>
      <c r="FO69" t="s">
        <v>4055</v>
      </c>
      <c r="FP69">
        <v>1849</v>
      </c>
      <c r="FQ69">
        <v>74</v>
      </c>
      <c r="FR69" t="s">
        <v>4090</v>
      </c>
      <c r="FS69">
        <v>178</v>
      </c>
      <c r="FT69" t="s">
        <v>4055</v>
      </c>
      <c r="FU69">
        <v>0.4</v>
      </c>
      <c r="FV69">
        <v>1849</v>
      </c>
      <c r="FW69">
        <v>146</v>
      </c>
      <c r="FX69" t="s">
        <v>4070</v>
      </c>
      <c r="FY69">
        <v>10</v>
      </c>
      <c r="FZ69" t="s">
        <v>4055</v>
      </c>
      <c r="GA69" t="s">
        <v>4055</v>
      </c>
      <c r="GB69">
        <v>1849</v>
      </c>
      <c r="GC69">
        <v>16</v>
      </c>
      <c r="GD69">
        <v>2475</v>
      </c>
      <c r="GE69" t="s">
        <v>4367</v>
      </c>
      <c r="GF69" t="s">
        <v>4055</v>
      </c>
      <c r="GG69" t="s">
        <v>4055</v>
      </c>
      <c r="GH69" t="s">
        <v>4055</v>
      </c>
      <c r="GI69" t="s">
        <v>4071</v>
      </c>
      <c r="GJ69" t="s">
        <v>4055</v>
      </c>
      <c r="GK69" t="s">
        <v>4055</v>
      </c>
      <c r="GL69" t="s">
        <v>4055</v>
      </c>
      <c r="GM69" t="s">
        <v>4055</v>
      </c>
      <c r="GQ69">
        <v>0</v>
      </c>
      <c r="GV69">
        <v>5.8</v>
      </c>
      <c r="GW69">
        <v>8</v>
      </c>
      <c r="GX69">
        <v>0.5</v>
      </c>
      <c r="GY69">
        <v>136</v>
      </c>
      <c r="GZ69">
        <v>3</v>
      </c>
      <c r="HA69">
        <v>186</v>
      </c>
      <c r="HB69">
        <v>3</v>
      </c>
      <c r="HC69">
        <v>1849</v>
      </c>
      <c r="HD69">
        <v>4</v>
      </c>
      <c r="HE69" t="s">
        <v>4071</v>
      </c>
      <c r="HG69" t="s">
        <v>549</v>
      </c>
      <c r="HL69">
        <v>4</v>
      </c>
      <c r="HM69">
        <v>15</v>
      </c>
      <c r="HN69">
        <v>6</v>
      </c>
      <c r="HO69">
        <v>1</v>
      </c>
      <c r="HP69">
        <v>0</v>
      </c>
      <c r="HQ69">
        <v>0</v>
      </c>
      <c r="HR69">
        <v>3</v>
      </c>
      <c r="HS69">
        <v>1815</v>
      </c>
      <c r="HT69">
        <v>5</v>
      </c>
      <c r="HU69">
        <v>1</v>
      </c>
      <c r="HV69">
        <v>3</v>
      </c>
      <c r="HW69">
        <v>0</v>
      </c>
      <c r="HX69">
        <v>1</v>
      </c>
      <c r="HY69">
        <v>0</v>
      </c>
      <c r="HZ69">
        <v>65</v>
      </c>
      <c r="IA69">
        <v>1818</v>
      </c>
      <c r="IB69">
        <v>1825</v>
      </c>
      <c r="ID69">
        <v>1849</v>
      </c>
      <c r="IE69">
        <v>1849</v>
      </c>
      <c r="IF69">
        <v>150</v>
      </c>
      <c r="IG69">
        <v>140</v>
      </c>
      <c r="IH69">
        <v>186</v>
      </c>
      <c r="II69">
        <v>1</v>
      </c>
      <c r="IJ69">
        <v>5</v>
      </c>
      <c r="IK69">
        <v>0</v>
      </c>
      <c r="IL69">
        <v>2</v>
      </c>
      <c r="IM69">
        <v>0</v>
      </c>
      <c r="IN69">
        <v>270</v>
      </c>
      <c r="IO69">
        <v>0</v>
      </c>
      <c r="IP69">
        <v>180</v>
      </c>
      <c r="IQ69">
        <v>0</v>
      </c>
      <c r="IR69">
        <v>330</v>
      </c>
      <c r="IS69">
        <v>0</v>
      </c>
      <c r="IT69">
        <v>90</v>
      </c>
      <c r="IU69">
        <v>0</v>
      </c>
      <c r="IV69">
        <v>6.4</v>
      </c>
      <c r="IW69">
        <v>-6</v>
      </c>
      <c r="IX69">
        <v>78.5</v>
      </c>
      <c r="IY69">
        <v>56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340</v>
      </c>
      <c r="JJ69">
        <v>310</v>
      </c>
      <c r="JK69">
        <v>245</v>
      </c>
      <c r="JL69">
        <v>300</v>
      </c>
      <c r="JM69">
        <v>235</v>
      </c>
      <c r="JN69">
        <v>150</v>
      </c>
      <c r="JO69">
        <v>196</v>
      </c>
      <c r="JP69">
        <v>215</v>
      </c>
      <c r="JQ69">
        <v>270</v>
      </c>
      <c r="JR69">
        <v>350</v>
      </c>
      <c r="JS69">
        <v>270</v>
      </c>
      <c r="JV69">
        <v>335</v>
      </c>
      <c r="JW69">
        <v>337</v>
      </c>
      <c r="JX69">
        <v>340</v>
      </c>
      <c r="JY69">
        <v>320</v>
      </c>
      <c r="JZ69">
        <v>1</v>
      </c>
      <c r="KA69">
        <v>0.2</v>
      </c>
      <c r="KB69">
        <v>0.4</v>
      </c>
      <c r="KC69">
        <v>0.42</v>
      </c>
      <c r="KD69">
        <v>0.28</v>
      </c>
      <c r="KE69">
        <v>0.5</v>
      </c>
      <c r="KF69">
        <v>0.2</v>
      </c>
      <c r="KG69">
        <v>0.09</v>
      </c>
      <c r="KH69">
        <v>3.5</v>
      </c>
      <c r="KI69">
        <v>1</v>
      </c>
      <c r="KJ69">
        <v>5</v>
      </c>
      <c r="KK69">
        <v>0</v>
      </c>
      <c r="KL69">
        <v>5</v>
      </c>
      <c r="KM69">
        <v>0</v>
      </c>
      <c r="KN69">
        <v>1.2</v>
      </c>
      <c r="KO69">
        <v>2</v>
      </c>
      <c r="KP69">
        <v>1</v>
      </c>
      <c r="KQ69">
        <v>0.8</v>
      </c>
      <c r="KR69">
        <v>1</v>
      </c>
      <c r="KS69">
        <v>0</v>
      </c>
      <c r="KT69">
        <v>2.1</v>
      </c>
      <c r="KU69">
        <v>1.5</v>
      </c>
      <c r="KV69">
        <v>1.4</v>
      </c>
      <c r="KW69">
        <v>0.8</v>
      </c>
      <c r="KX69">
        <v>2</v>
      </c>
      <c r="KY69">
        <v>1</v>
      </c>
      <c r="KZ69">
        <v>3</v>
      </c>
      <c r="LA69">
        <v>1.4</v>
      </c>
      <c r="LB69">
        <v>8</v>
      </c>
      <c r="LC69">
        <v>2.8</v>
      </c>
      <c r="LD69">
        <v>3.5</v>
      </c>
      <c r="LE69">
        <v>1.6</v>
      </c>
      <c r="LF69">
        <v>0</v>
      </c>
      <c r="LG69">
        <v>0</v>
      </c>
      <c r="LH69">
        <v>3</v>
      </c>
      <c r="LI69">
        <v>1</v>
      </c>
      <c r="LJ69">
        <v>1</v>
      </c>
      <c r="LK69">
        <v>3</v>
      </c>
      <c r="LL69">
        <v>6</v>
      </c>
      <c r="LM69">
        <v>3</v>
      </c>
      <c r="LN69">
        <v>0.4</v>
      </c>
      <c r="LO69">
        <v>0.1</v>
      </c>
      <c r="LP69">
        <v>0</v>
      </c>
      <c r="LQ69">
        <v>0</v>
      </c>
      <c r="LR69">
        <v>0</v>
      </c>
      <c r="LS69">
        <v>1</v>
      </c>
      <c r="LT69">
        <v>0</v>
      </c>
      <c r="LU69">
        <v>0</v>
      </c>
      <c r="LV69">
        <v>0</v>
      </c>
      <c r="LW69">
        <v>1.4</v>
      </c>
      <c r="LX69">
        <v>1.4</v>
      </c>
      <c r="LY69">
        <v>2.1</v>
      </c>
      <c r="LZ69">
        <v>2.1</v>
      </c>
      <c r="MA69">
        <v>0</v>
      </c>
      <c r="MB69">
        <v>4</v>
      </c>
      <c r="MC69">
        <v>0</v>
      </c>
      <c r="MD69">
        <v>4.5</v>
      </c>
      <c r="ME69">
        <v>6</v>
      </c>
      <c r="MF69">
        <v>6</v>
      </c>
      <c r="MI69">
        <v>0</v>
      </c>
      <c r="MJ69">
        <v>0</v>
      </c>
      <c r="ML69">
        <v>0</v>
      </c>
      <c r="MM69">
        <v>340</v>
      </c>
      <c r="MN69">
        <v>145</v>
      </c>
      <c r="MO69">
        <v>196</v>
      </c>
      <c r="NU69">
        <v>0.15</v>
      </c>
      <c r="NV69">
        <v>0.2</v>
      </c>
      <c r="NW69">
        <v>0.2</v>
      </c>
      <c r="NX69">
        <v>20</v>
      </c>
      <c r="NY69">
        <v>20</v>
      </c>
      <c r="NZ69">
        <v>20</v>
      </c>
      <c r="OE69" t="s">
        <v>4367</v>
      </c>
      <c r="OF69" t="s">
        <v>4365</v>
      </c>
      <c r="OG69" t="s">
        <v>4366</v>
      </c>
      <c r="OH69" t="s">
        <v>4353</v>
      </c>
      <c r="OI69" t="s">
        <v>4367</v>
      </c>
      <c r="OJ69" t="s">
        <v>4364</v>
      </c>
      <c r="OK69">
        <v>61</v>
      </c>
      <c r="OL69">
        <v>61</v>
      </c>
      <c r="OM69" t="s">
        <v>4365</v>
      </c>
      <c r="ON69">
        <v>3</v>
      </c>
      <c r="OO69">
        <v>1818</v>
      </c>
      <c r="OP69">
        <v>61</v>
      </c>
      <c r="OQ69">
        <v>61</v>
      </c>
      <c r="OR69" t="s">
        <v>4366</v>
      </c>
      <c r="OS69">
        <v>3</v>
      </c>
      <c r="OT69">
        <v>1825</v>
      </c>
      <c r="OU69">
        <v>65</v>
      </c>
      <c r="OV69">
        <v>65</v>
      </c>
      <c r="OW69" t="s">
        <v>4353</v>
      </c>
      <c r="OX69">
        <v>1</v>
      </c>
      <c r="OY69">
        <v>30539</v>
      </c>
      <c r="OZ69">
        <v>51</v>
      </c>
      <c r="PA69">
        <v>52</v>
      </c>
      <c r="PB69" t="s">
        <v>4367</v>
      </c>
      <c r="PC69">
        <v>2</v>
      </c>
      <c r="PD69">
        <v>1849</v>
      </c>
      <c r="PF69">
        <v>274</v>
      </c>
      <c r="PG69">
        <v>29</v>
      </c>
      <c r="PH69">
        <v>256</v>
      </c>
      <c r="PI69">
        <v>29</v>
      </c>
      <c r="PJ69">
        <v>40.2</v>
      </c>
      <c r="PK69">
        <v>1340</v>
      </c>
      <c r="PL69">
        <v>943.2</v>
      </c>
      <c r="PM69">
        <v>267.8</v>
      </c>
      <c r="PN69">
        <v>79.09999999999999</v>
      </c>
      <c r="PO69">
        <v>8.699999999999999</v>
      </c>
      <c r="PP69">
        <v>10</v>
      </c>
      <c r="PQ69">
        <v>2</v>
      </c>
      <c r="PR69">
        <v>1</v>
      </c>
      <c r="PS69">
        <v>6</v>
      </c>
      <c r="PT69">
        <v>186</v>
      </c>
      <c r="PU69">
        <v>6</v>
      </c>
      <c r="PV69" t="s">
        <v>4072</v>
      </c>
      <c r="PW69" t="s">
        <v>4072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-1</v>
      </c>
      <c r="QF69">
        <v>1</v>
      </c>
      <c r="QG69">
        <v>0</v>
      </c>
      <c r="QH69">
        <v>5</v>
      </c>
      <c r="QI69">
        <v>5</v>
      </c>
      <c r="QJ69">
        <v>5</v>
      </c>
      <c r="QK69">
        <v>165</v>
      </c>
      <c r="QL69">
        <v>374</v>
      </c>
      <c r="QM69">
        <v>7.5</v>
      </c>
      <c r="QN69">
        <v>1202.7</v>
      </c>
      <c r="QO69" t="s">
        <v>1477</v>
      </c>
      <c r="QP69" t="s">
        <v>513</v>
      </c>
      <c r="QQ69">
        <v>0</v>
      </c>
      <c r="QR69" t="s">
        <v>1496</v>
      </c>
      <c r="QS69">
        <v>30</v>
      </c>
      <c r="QT69">
        <v>40</v>
      </c>
    </row>
    <row r="70" spans="1:462">
      <c r="A70" t="s">
        <v>1500</v>
      </c>
      <c r="B70" t="s">
        <v>897</v>
      </c>
      <c r="C70" t="s">
        <v>509</v>
      </c>
      <c r="D70" t="s">
        <v>4373</v>
      </c>
      <c r="E70" t="s">
        <v>4036</v>
      </c>
      <c r="H70" t="s">
        <v>605</v>
      </c>
      <c r="I70" t="s">
        <v>896</v>
      </c>
      <c r="J70" t="s">
        <v>1423</v>
      </c>
      <c r="K70" t="s">
        <v>606</v>
      </c>
      <c r="L70" t="s">
        <v>657</v>
      </c>
      <c r="M70" t="s">
        <v>512</v>
      </c>
      <c r="O70" t="s">
        <v>513</v>
      </c>
      <c r="P70" t="s">
        <v>567</v>
      </c>
      <c r="Q70" t="s">
        <v>518</v>
      </c>
      <c r="R70" t="s">
        <v>519</v>
      </c>
      <c r="S70" t="s">
        <v>4037</v>
      </c>
      <c r="T70" t="s">
        <v>520</v>
      </c>
      <c r="U70" t="s">
        <v>521</v>
      </c>
      <c r="V70" t="s">
        <v>744</v>
      </c>
      <c r="W70" t="s">
        <v>1460</v>
      </c>
      <c r="X70" t="s">
        <v>1501</v>
      </c>
      <c r="Y70" t="s">
        <v>1502</v>
      </c>
      <c r="Z70" t="s">
        <v>541</v>
      </c>
      <c r="AA70" t="s">
        <v>4038</v>
      </c>
      <c r="AB70" t="s">
        <v>4374</v>
      </c>
      <c r="AC70">
        <v>9</v>
      </c>
      <c r="AD70" t="s">
        <v>1499</v>
      </c>
      <c r="AE70">
        <v>8</v>
      </c>
      <c r="AF70">
        <v>4011</v>
      </c>
      <c r="AG70" t="s">
        <v>4375</v>
      </c>
      <c r="AH70">
        <v>1</v>
      </c>
      <c r="AI70" t="s">
        <v>4041</v>
      </c>
      <c r="AK70" t="s">
        <v>4376</v>
      </c>
      <c r="AL70">
        <v>1</v>
      </c>
      <c r="AM70" t="s">
        <v>582</v>
      </c>
      <c r="AO70" t="s">
        <v>4043</v>
      </c>
      <c r="AP70">
        <v>1</v>
      </c>
      <c r="AR70" t="s">
        <v>4377</v>
      </c>
      <c r="AS70">
        <v>1</v>
      </c>
      <c r="AT70">
        <v>52</v>
      </c>
      <c r="AV70" t="s">
        <v>4078</v>
      </c>
      <c r="AW70">
        <v>6.4</v>
      </c>
      <c r="AX70">
        <v>-6</v>
      </c>
      <c r="AY70">
        <v>91</v>
      </c>
      <c r="AZ70">
        <v>57</v>
      </c>
      <c r="BH70">
        <v>91</v>
      </c>
      <c r="BI70">
        <v>34</v>
      </c>
      <c r="BJ70">
        <v>57</v>
      </c>
      <c r="BK70">
        <v>3.5</v>
      </c>
      <c r="BL70">
        <v>182</v>
      </c>
      <c r="BM70">
        <v>-6</v>
      </c>
      <c r="BN70">
        <v>0</v>
      </c>
      <c r="BP70">
        <v>0</v>
      </c>
      <c r="BR70">
        <v>175</v>
      </c>
      <c r="BS70">
        <v>165</v>
      </c>
      <c r="BT70">
        <v>1850</v>
      </c>
      <c r="BU70" t="s">
        <v>4046</v>
      </c>
      <c r="BV70" t="s">
        <v>4047</v>
      </c>
      <c r="BW70" t="s">
        <v>4048</v>
      </c>
      <c r="BX70" t="s">
        <v>4049</v>
      </c>
      <c r="BY70" t="s">
        <v>4144</v>
      </c>
      <c r="BZ70" t="s">
        <v>4050</v>
      </c>
      <c r="CA70" t="s">
        <v>4051</v>
      </c>
      <c r="CB70" t="s">
        <v>4052</v>
      </c>
      <c r="CC70" t="s">
        <v>4053</v>
      </c>
      <c r="CD70" t="s">
        <v>4054</v>
      </c>
      <c r="CE70" t="s">
        <v>4055</v>
      </c>
      <c r="CF70" t="s">
        <v>4055</v>
      </c>
      <c r="CG70" t="s">
        <v>4056</v>
      </c>
      <c r="CH70" t="s">
        <v>4145</v>
      </c>
      <c r="CI70" t="s">
        <v>4058</v>
      </c>
      <c r="CJ70" t="s">
        <v>4059</v>
      </c>
      <c r="CK70" t="s">
        <v>4060</v>
      </c>
      <c r="CL70" t="s">
        <v>4061</v>
      </c>
      <c r="CM70" t="s">
        <v>4055</v>
      </c>
      <c r="CN70" t="s">
        <v>4062</v>
      </c>
      <c r="CO70" t="s">
        <v>4063</v>
      </c>
      <c r="CP70" t="s">
        <v>4055</v>
      </c>
      <c r="CQ70" t="s">
        <v>4055</v>
      </c>
      <c r="CR70">
        <v>5</v>
      </c>
      <c r="CS70" t="s">
        <v>4055</v>
      </c>
      <c r="CT70">
        <v>15</v>
      </c>
      <c r="CU70" t="s">
        <v>4055</v>
      </c>
      <c r="CV70">
        <v>115</v>
      </c>
      <c r="CW70">
        <v>3</v>
      </c>
      <c r="CX70">
        <v>72</v>
      </c>
      <c r="CY70">
        <v>5</v>
      </c>
      <c r="CZ70">
        <v>68</v>
      </c>
      <c r="DA70">
        <v>5</v>
      </c>
      <c r="DB70">
        <v>8840</v>
      </c>
      <c r="DC70">
        <v>260</v>
      </c>
      <c r="DD70">
        <v>306</v>
      </c>
      <c r="DE70">
        <v>1951</v>
      </c>
      <c r="DF70">
        <v>1951</v>
      </c>
      <c r="DG70">
        <v>1960</v>
      </c>
      <c r="DH70" t="s">
        <v>4055</v>
      </c>
      <c r="DI70" t="s">
        <v>4055</v>
      </c>
      <c r="DJ70" t="s">
        <v>4100</v>
      </c>
      <c r="DK70">
        <v>175</v>
      </c>
      <c r="DL70" t="s">
        <v>4101</v>
      </c>
      <c r="DM70">
        <v>65</v>
      </c>
      <c r="DN70">
        <v>0.84</v>
      </c>
      <c r="DO70">
        <v>1</v>
      </c>
      <c r="DP70">
        <v>1853</v>
      </c>
      <c r="DQ70">
        <v>593</v>
      </c>
      <c r="DR70" t="s">
        <v>4100</v>
      </c>
      <c r="DS70">
        <v>165</v>
      </c>
      <c r="DT70" t="s">
        <v>4101</v>
      </c>
      <c r="DU70">
        <v>65</v>
      </c>
      <c r="DV70">
        <v>0.84</v>
      </c>
      <c r="DW70">
        <v>1</v>
      </c>
      <c r="DX70">
        <v>1860</v>
      </c>
      <c r="DY70">
        <v>562</v>
      </c>
      <c r="DZ70" t="s">
        <v>4066</v>
      </c>
      <c r="EA70">
        <v>33</v>
      </c>
      <c r="EB70" t="s">
        <v>4065</v>
      </c>
      <c r="EC70">
        <v>0.4</v>
      </c>
      <c r="ED70">
        <v>1853</v>
      </c>
      <c r="EE70">
        <v>54</v>
      </c>
      <c r="EF70" t="s">
        <v>4066</v>
      </c>
      <c r="EG70">
        <v>33</v>
      </c>
      <c r="EH70" t="s">
        <v>4065</v>
      </c>
      <c r="EI70">
        <v>0.4</v>
      </c>
      <c r="EJ70">
        <v>1860</v>
      </c>
      <c r="EK70">
        <v>54</v>
      </c>
      <c r="EL70" t="s">
        <v>1528</v>
      </c>
      <c r="EM70">
        <v>12</v>
      </c>
      <c r="EN70">
        <v>0.5</v>
      </c>
      <c r="EO70">
        <v>0.96</v>
      </c>
      <c r="EP70">
        <v>1860.56</v>
      </c>
      <c r="EQ70">
        <v>28199.11</v>
      </c>
      <c r="ER70">
        <v>9916.27</v>
      </c>
      <c r="ES70">
        <v>0</v>
      </c>
      <c r="ET70">
        <v>0</v>
      </c>
      <c r="EU70">
        <v>1</v>
      </c>
      <c r="EV70">
        <v>38116</v>
      </c>
      <c r="EW70">
        <v>458</v>
      </c>
      <c r="EX70" t="s">
        <v>4363</v>
      </c>
      <c r="EY70">
        <v>192</v>
      </c>
      <c r="EZ70" t="s">
        <v>4055</v>
      </c>
      <c r="FA70">
        <v>5.3</v>
      </c>
      <c r="FB70">
        <v>1</v>
      </c>
      <c r="FC70">
        <v>1</v>
      </c>
      <c r="FD70">
        <v>1890</v>
      </c>
      <c r="FE70">
        <v>2202</v>
      </c>
      <c r="FF70" t="s">
        <v>4089</v>
      </c>
      <c r="FG70">
        <v>192</v>
      </c>
      <c r="FH70" t="s">
        <v>4055</v>
      </c>
      <c r="FI70">
        <v>1.6</v>
      </c>
      <c r="FJ70">
        <v>1890</v>
      </c>
      <c r="FK70">
        <v>579</v>
      </c>
      <c r="FL70" t="s">
        <v>4069</v>
      </c>
      <c r="FM70" t="s">
        <v>4055</v>
      </c>
      <c r="FN70" t="s">
        <v>4055</v>
      </c>
      <c r="FO70" t="s">
        <v>4055</v>
      </c>
      <c r="FP70">
        <v>1890</v>
      </c>
      <c r="FQ70">
        <v>145</v>
      </c>
      <c r="FR70" t="s">
        <v>4090</v>
      </c>
      <c r="FS70">
        <v>196</v>
      </c>
      <c r="FT70" t="s">
        <v>4055</v>
      </c>
      <c r="FU70">
        <v>0.4</v>
      </c>
      <c r="FV70">
        <v>1890</v>
      </c>
      <c r="FW70">
        <v>165</v>
      </c>
      <c r="FX70" t="s">
        <v>4070</v>
      </c>
      <c r="FY70">
        <v>5</v>
      </c>
      <c r="FZ70" t="s">
        <v>4055</v>
      </c>
      <c r="GA70" t="s">
        <v>4055</v>
      </c>
      <c r="GB70">
        <v>1890</v>
      </c>
      <c r="GC70">
        <v>16</v>
      </c>
      <c r="GD70">
        <v>3107</v>
      </c>
      <c r="GE70" t="s">
        <v>4377</v>
      </c>
      <c r="GF70" t="s">
        <v>4055</v>
      </c>
      <c r="GG70" t="s">
        <v>4055</v>
      </c>
      <c r="GH70" t="s">
        <v>4055</v>
      </c>
      <c r="GI70" t="s">
        <v>4071</v>
      </c>
      <c r="GJ70" t="s">
        <v>4055</v>
      </c>
      <c r="GK70" t="s">
        <v>4055</v>
      </c>
      <c r="GL70" t="s">
        <v>4055</v>
      </c>
      <c r="GM70" t="s">
        <v>4055</v>
      </c>
      <c r="GQ70">
        <v>0</v>
      </c>
      <c r="GV70">
        <v>7.3</v>
      </c>
      <c r="GW70">
        <v>9</v>
      </c>
      <c r="GX70">
        <v>0.5</v>
      </c>
      <c r="GY70">
        <v>162</v>
      </c>
      <c r="GZ70">
        <v>3</v>
      </c>
      <c r="HA70">
        <v>214</v>
      </c>
      <c r="HB70">
        <v>3</v>
      </c>
      <c r="HC70">
        <v>1890</v>
      </c>
      <c r="HD70">
        <v>4</v>
      </c>
      <c r="HE70" t="s">
        <v>4071</v>
      </c>
      <c r="HG70" t="s">
        <v>549</v>
      </c>
      <c r="HL70">
        <v>4</v>
      </c>
      <c r="HM70">
        <v>16</v>
      </c>
      <c r="HN70">
        <v>6</v>
      </c>
      <c r="HO70">
        <v>1</v>
      </c>
      <c r="HP70">
        <v>0</v>
      </c>
      <c r="HQ70">
        <v>2</v>
      </c>
      <c r="HR70">
        <v>3</v>
      </c>
      <c r="HS70">
        <v>1850</v>
      </c>
      <c r="HT70">
        <v>5</v>
      </c>
      <c r="HU70">
        <v>1</v>
      </c>
      <c r="HV70">
        <v>3</v>
      </c>
      <c r="HW70">
        <v>0</v>
      </c>
      <c r="HX70">
        <v>1</v>
      </c>
      <c r="HY70">
        <v>0</v>
      </c>
      <c r="HZ70">
        <v>65</v>
      </c>
      <c r="IA70">
        <v>1853</v>
      </c>
      <c r="IB70">
        <v>1860</v>
      </c>
      <c r="ID70">
        <v>1890</v>
      </c>
      <c r="IE70">
        <v>1890</v>
      </c>
      <c r="IF70">
        <v>175</v>
      </c>
      <c r="IG70">
        <v>165</v>
      </c>
      <c r="IH70">
        <v>214</v>
      </c>
      <c r="II70">
        <v>1</v>
      </c>
      <c r="IJ70">
        <v>5</v>
      </c>
      <c r="IK70">
        <v>0</v>
      </c>
      <c r="IL70">
        <v>0</v>
      </c>
      <c r="IM70">
        <v>0</v>
      </c>
      <c r="IN70">
        <v>270</v>
      </c>
      <c r="IO70">
        <v>0</v>
      </c>
      <c r="IP70">
        <v>180</v>
      </c>
      <c r="IQ70">
        <v>0</v>
      </c>
      <c r="IR70">
        <v>330</v>
      </c>
      <c r="IS70">
        <v>0</v>
      </c>
      <c r="IT70">
        <v>90</v>
      </c>
      <c r="IU70">
        <v>0</v>
      </c>
      <c r="IV70">
        <v>6.4</v>
      </c>
      <c r="IW70">
        <v>-6</v>
      </c>
      <c r="IX70">
        <v>91</v>
      </c>
      <c r="IY70">
        <v>57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352</v>
      </c>
      <c r="JJ70">
        <v>322</v>
      </c>
      <c r="JK70">
        <v>230</v>
      </c>
      <c r="JL70">
        <v>322</v>
      </c>
      <c r="JM70">
        <v>270</v>
      </c>
      <c r="JN70">
        <v>175</v>
      </c>
      <c r="JO70">
        <v>224</v>
      </c>
      <c r="JP70">
        <v>205</v>
      </c>
      <c r="JQ70">
        <v>225</v>
      </c>
      <c r="JR70">
        <v>330</v>
      </c>
      <c r="JS70">
        <v>265</v>
      </c>
      <c r="JT70">
        <v>0</v>
      </c>
      <c r="JU70">
        <v>0</v>
      </c>
      <c r="JV70">
        <v>320</v>
      </c>
      <c r="JW70">
        <v>317</v>
      </c>
      <c r="JX70">
        <v>325</v>
      </c>
      <c r="JY70">
        <v>315</v>
      </c>
      <c r="JZ70">
        <v>2.5</v>
      </c>
      <c r="KA70">
        <v>0.2</v>
      </c>
      <c r="KB70">
        <v>0.4</v>
      </c>
      <c r="KC70">
        <v>0.42</v>
      </c>
      <c r="KD70">
        <v>0.28</v>
      </c>
      <c r="KE70">
        <v>0.5</v>
      </c>
      <c r="KF70">
        <v>0.19</v>
      </c>
      <c r="KG70">
        <v>0.09</v>
      </c>
      <c r="KH70">
        <v>3.5</v>
      </c>
      <c r="KI70">
        <v>1</v>
      </c>
      <c r="KJ70">
        <v>5</v>
      </c>
      <c r="KK70">
        <v>0</v>
      </c>
      <c r="KL70">
        <v>5</v>
      </c>
      <c r="KM70">
        <v>0</v>
      </c>
      <c r="KN70">
        <v>1.2</v>
      </c>
      <c r="KO70">
        <v>0</v>
      </c>
      <c r="KP70">
        <v>0</v>
      </c>
      <c r="KQ70">
        <v>1.5</v>
      </c>
      <c r="KR70">
        <v>1</v>
      </c>
      <c r="KS70">
        <v>0</v>
      </c>
      <c r="KT70">
        <v>1.8</v>
      </c>
      <c r="KU70">
        <v>0</v>
      </c>
      <c r="KV70">
        <v>0</v>
      </c>
      <c r="KW70">
        <v>1.1</v>
      </c>
      <c r="KX70">
        <v>2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3</v>
      </c>
      <c r="LI70">
        <v>2.5</v>
      </c>
      <c r="LJ70">
        <v>0</v>
      </c>
      <c r="LK70">
        <v>5</v>
      </c>
      <c r="LL70">
        <v>7.5</v>
      </c>
      <c r="LM70">
        <v>8</v>
      </c>
      <c r="LN70">
        <v>0.5</v>
      </c>
      <c r="LO70">
        <v>0.3</v>
      </c>
      <c r="LP70">
        <v>0</v>
      </c>
      <c r="LQ70">
        <v>0</v>
      </c>
      <c r="LR70">
        <v>0</v>
      </c>
      <c r="LS70">
        <v>1</v>
      </c>
      <c r="LT70">
        <v>0</v>
      </c>
      <c r="LU70">
        <v>0</v>
      </c>
      <c r="LV70">
        <v>0</v>
      </c>
      <c r="LW70">
        <v>1.4</v>
      </c>
      <c r="LX70">
        <v>1.4</v>
      </c>
      <c r="LY70">
        <v>2.1</v>
      </c>
      <c r="LZ70">
        <v>2.1</v>
      </c>
      <c r="MA70">
        <v>0</v>
      </c>
      <c r="MB70">
        <v>5</v>
      </c>
      <c r="MC70">
        <v>0</v>
      </c>
      <c r="MD70">
        <v>4.5</v>
      </c>
      <c r="ME70">
        <v>6</v>
      </c>
      <c r="MF70">
        <v>6</v>
      </c>
      <c r="MI70">
        <v>0</v>
      </c>
      <c r="MJ70">
        <v>0</v>
      </c>
      <c r="ML70">
        <v>0</v>
      </c>
      <c r="MM70">
        <v>390</v>
      </c>
      <c r="MN70">
        <v>190</v>
      </c>
      <c r="MO70">
        <v>224</v>
      </c>
      <c r="NH70">
        <v>0</v>
      </c>
      <c r="NJ70">
        <v>0</v>
      </c>
      <c r="NK70">
        <v>0</v>
      </c>
      <c r="NM70">
        <v>0</v>
      </c>
      <c r="NU70">
        <v>0.15</v>
      </c>
      <c r="NV70">
        <v>0.3</v>
      </c>
      <c r="NW70">
        <v>0.3</v>
      </c>
      <c r="NX70">
        <v>2</v>
      </c>
      <c r="NY70">
        <v>2</v>
      </c>
      <c r="NZ70">
        <v>2</v>
      </c>
      <c r="OE70" t="s">
        <v>4377</v>
      </c>
      <c r="OF70" t="s">
        <v>4375</v>
      </c>
      <c r="OG70" t="s">
        <v>4376</v>
      </c>
      <c r="OH70" t="s">
        <v>4043</v>
      </c>
      <c r="OI70" t="s">
        <v>4377</v>
      </c>
      <c r="OJ70" t="s">
        <v>4374</v>
      </c>
      <c r="OK70">
        <v>61</v>
      </c>
      <c r="OL70">
        <v>61</v>
      </c>
      <c r="OM70" t="s">
        <v>4375</v>
      </c>
      <c r="ON70">
        <v>3</v>
      </c>
      <c r="OO70">
        <v>1853</v>
      </c>
      <c r="OP70">
        <v>61</v>
      </c>
      <c r="OQ70">
        <v>61</v>
      </c>
      <c r="OR70" t="s">
        <v>4376</v>
      </c>
      <c r="OS70">
        <v>3</v>
      </c>
      <c r="OT70">
        <v>1860</v>
      </c>
      <c r="OU70">
        <v>65</v>
      </c>
      <c r="OV70">
        <v>65</v>
      </c>
      <c r="OW70" t="s">
        <v>4043</v>
      </c>
      <c r="OX70">
        <v>2</v>
      </c>
      <c r="OY70">
        <v>38116</v>
      </c>
      <c r="OZ70">
        <v>51</v>
      </c>
      <c r="PA70">
        <v>52</v>
      </c>
      <c r="PB70" t="s">
        <v>4377</v>
      </c>
      <c r="PC70">
        <v>3</v>
      </c>
      <c r="PD70">
        <v>1890</v>
      </c>
      <c r="PF70">
        <v>320</v>
      </c>
      <c r="PG70">
        <v>29</v>
      </c>
      <c r="PH70">
        <v>302</v>
      </c>
      <c r="PI70">
        <v>29</v>
      </c>
      <c r="PJ70">
        <v>76.59999999999999</v>
      </c>
      <c r="PK70">
        <v>1630</v>
      </c>
      <c r="PL70">
        <v>1165.3</v>
      </c>
      <c r="PM70">
        <v>306.1</v>
      </c>
      <c r="PN70">
        <v>87.09999999999999</v>
      </c>
      <c r="PO70">
        <v>8.5</v>
      </c>
      <c r="PP70">
        <v>12</v>
      </c>
      <c r="PQ70">
        <v>2</v>
      </c>
      <c r="PR70">
        <v>1</v>
      </c>
      <c r="PS70">
        <v>6</v>
      </c>
      <c r="PT70">
        <v>214</v>
      </c>
      <c r="PU70">
        <v>11</v>
      </c>
      <c r="PV70" t="s">
        <v>4072</v>
      </c>
      <c r="PW70" t="s">
        <v>4072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-1</v>
      </c>
      <c r="QF70">
        <v>1</v>
      </c>
      <c r="QG70">
        <v>0</v>
      </c>
      <c r="QH70">
        <v>5</v>
      </c>
      <c r="QI70">
        <v>5</v>
      </c>
      <c r="QJ70">
        <v>5</v>
      </c>
      <c r="QK70">
        <v>171</v>
      </c>
      <c r="QL70">
        <v>386</v>
      </c>
      <c r="QM70">
        <v>7.5</v>
      </c>
      <c r="QN70">
        <v>1284.1</v>
      </c>
      <c r="QO70" t="s">
        <v>1477</v>
      </c>
      <c r="QP70" t="s">
        <v>513</v>
      </c>
      <c r="QQ70">
        <v>0</v>
      </c>
      <c r="QR70" t="s">
        <v>1496</v>
      </c>
      <c r="QS70">
        <v>30</v>
      </c>
      <c r="QT70">
        <v>40</v>
      </c>
    </row>
    <row r="71" spans="1:462">
      <c r="A71" t="s">
        <v>1507</v>
      </c>
      <c r="B71" t="s">
        <v>897</v>
      </c>
      <c r="C71" t="s">
        <v>509</v>
      </c>
      <c r="D71" t="s">
        <v>1903</v>
      </c>
      <c r="E71" t="s">
        <v>4036</v>
      </c>
      <c r="H71" t="s">
        <v>604</v>
      </c>
      <c r="I71" t="s">
        <v>605</v>
      </c>
      <c r="J71" t="s">
        <v>628</v>
      </c>
      <c r="K71" t="s">
        <v>606</v>
      </c>
      <c r="L71" t="s">
        <v>657</v>
      </c>
      <c r="M71" t="s">
        <v>512</v>
      </c>
      <c r="O71" t="s">
        <v>513</v>
      </c>
      <c r="P71" t="s">
        <v>567</v>
      </c>
      <c r="Q71" t="s">
        <v>631</v>
      </c>
      <c r="R71" t="s">
        <v>632</v>
      </c>
      <c r="S71" t="s">
        <v>4073</v>
      </c>
      <c r="T71" t="s">
        <v>633</v>
      </c>
      <c r="U71" t="s">
        <v>634</v>
      </c>
      <c r="V71" t="s">
        <v>744</v>
      </c>
      <c r="W71" t="s">
        <v>1460</v>
      </c>
      <c r="X71" t="s">
        <v>1508</v>
      </c>
      <c r="Y71" t="s">
        <v>1509</v>
      </c>
      <c r="Z71" t="s">
        <v>541</v>
      </c>
      <c r="AA71" t="s">
        <v>4038</v>
      </c>
      <c r="AB71" t="s">
        <v>4378</v>
      </c>
      <c r="AC71">
        <v>9</v>
      </c>
      <c r="AD71" t="s">
        <v>1506</v>
      </c>
      <c r="AE71">
        <v>8</v>
      </c>
      <c r="AF71">
        <v>4213</v>
      </c>
      <c r="AG71" t="s">
        <v>4379</v>
      </c>
      <c r="AH71">
        <v>1</v>
      </c>
      <c r="AI71" t="s">
        <v>4041</v>
      </c>
      <c r="AK71" t="s">
        <v>4380</v>
      </c>
      <c r="AL71">
        <v>1</v>
      </c>
      <c r="AM71" t="s">
        <v>582</v>
      </c>
      <c r="AO71" t="s">
        <v>4043</v>
      </c>
      <c r="AP71">
        <v>1</v>
      </c>
      <c r="AR71" t="s">
        <v>4381</v>
      </c>
      <c r="AS71">
        <v>1</v>
      </c>
      <c r="AT71">
        <v>52</v>
      </c>
      <c r="AV71" t="s">
        <v>4078</v>
      </c>
      <c r="AW71">
        <v>6.4</v>
      </c>
      <c r="AX71">
        <v>-6</v>
      </c>
      <c r="AY71">
        <v>98.5</v>
      </c>
      <c r="AZ71">
        <v>68</v>
      </c>
      <c r="BH71">
        <v>98.5</v>
      </c>
      <c r="BI71">
        <v>30.5</v>
      </c>
      <c r="BJ71">
        <v>68</v>
      </c>
      <c r="BK71">
        <v>3.5</v>
      </c>
      <c r="BL71">
        <v>197</v>
      </c>
      <c r="BM71">
        <v>-6</v>
      </c>
      <c r="BN71">
        <v>0</v>
      </c>
      <c r="BO71">
        <v>0</v>
      </c>
      <c r="BP71">
        <v>0</v>
      </c>
      <c r="BR71">
        <v>190</v>
      </c>
      <c r="BS71">
        <v>180</v>
      </c>
      <c r="BT71">
        <v>1890</v>
      </c>
      <c r="BU71" t="s">
        <v>4047</v>
      </c>
      <c r="BV71" t="s">
        <v>4047</v>
      </c>
      <c r="BW71" t="s">
        <v>4049</v>
      </c>
      <c r="BX71" t="s">
        <v>4049</v>
      </c>
      <c r="BY71" t="s">
        <v>4150</v>
      </c>
      <c r="BZ71" t="s">
        <v>4107</v>
      </c>
      <c r="CA71" t="s">
        <v>4108</v>
      </c>
      <c r="CB71" t="s">
        <v>4109</v>
      </c>
      <c r="CC71" t="s">
        <v>4053</v>
      </c>
      <c r="CD71" t="s">
        <v>4110</v>
      </c>
      <c r="CE71" t="s">
        <v>4055</v>
      </c>
      <c r="CF71" t="s">
        <v>4055</v>
      </c>
      <c r="CG71" t="s">
        <v>4056</v>
      </c>
      <c r="CH71" t="s">
        <v>4057</v>
      </c>
      <c r="CI71" t="s">
        <v>4058</v>
      </c>
      <c r="CJ71" t="s">
        <v>4059</v>
      </c>
      <c r="CK71" t="s">
        <v>4060</v>
      </c>
      <c r="CL71" t="s">
        <v>4061</v>
      </c>
      <c r="CM71" t="s">
        <v>4055</v>
      </c>
      <c r="CN71" t="s">
        <v>4062</v>
      </c>
      <c r="CO71" t="s">
        <v>4063</v>
      </c>
      <c r="CP71" t="s">
        <v>4055</v>
      </c>
      <c r="CQ71" t="s">
        <v>4055</v>
      </c>
      <c r="CR71">
        <v>5</v>
      </c>
      <c r="CS71">
        <v>15</v>
      </c>
      <c r="CT71" t="s">
        <v>4055</v>
      </c>
      <c r="CU71" t="s">
        <v>4055</v>
      </c>
      <c r="CV71">
        <v>123</v>
      </c>
      <c r="CW71">
        <v>3</v>
      </c>
      <c r="CX71">
        <v>82</v>
      </c>
      <c r="CY71">
        <v>5</v>
      </c>
      <c r="CZ71">
        <v>72</v>
      </c>
      <c r="DA71">
        <v>5</v>
      </c>
      <c r="DB71">
        <v>9470</v>
      </c>
      <c r="DC71">
        <v>280</v>
      </c>
      <c r="DD71">
        <v>323</v>
      </c>
      <c r="DE71">
        <v>1980</v>
      </c>
      <c r="DF71">
        <v>1980</v>
      </c>
      <c r="DG71">
        <v>2007</v>
      </c>
      <c r="DH71" t="s">
        <v>4055</v>
      </c>
      <c r="DI71" t="s">
        <v>4055</v>
      </c>
      <c r="DJ71" t="s">
        <v>4100</v>
      </c>
      <c r="DK71">
        <v>190</v>
      </c>
      <c r="DL71" t="s">
        <v>4101</v>
      </c>
      <c r="DM71">
        <v>65</v>
      </c>
      <c r="DN71">
        <v>0.84</v>
      </c>
      <c r="DO71">
        <v>1</v>
      </c>
      <c r="DP71">
        <v>1893</v>
      </c>
      <c r="DQ71">
        <v>657</v>
      </c>
      <c r="DR71" t="s">
        <v>4100</v>
      </c>
      <c r="DS71">
        <v>180</v>
      </c>
      <c r="DT71" t="s">
        <v>4101</v>
      </c>
      <c r="DU71">
        <v>65</v>
      </c>
      <c r="DV71">
        <v>0.84</v>
      </c>
      <c r="DW71">
        <v>1</v>
      </c>
      <c r="DX71">
        <v>1900</v>
      </c>
      <c r="DY71">
        <v>625</v>
      </c>
      <c r="DZ71" t="s">
        <v>4066</v>
      </c>
      <c r="EA71">
        <v>33</v>
      </c>
      <c r="EB71" t="s">
        <v>4065</v>
      </c>
      <c r="EC71">
        <v>0.4</v>
      </c>
      <c r="ED71">
        <v>1893</v>
      </c>
      <c r="EE71">
        <v>55</v>
      </c>
      <c r="EF71" t="s">
        <v>4066</v>
      </c>
      <c r="EG71">
        <v>33</v>
      </c>
      <c r="EH71" t="s">
        <v>4065</v>
      </c>
      <c r="EI71">
        <v>0.4</v>
      </c>
      <c r="EJ71">
        <v>1900</v>
      </c>
      <c r="EK71">
        <v>55</v>
      </c>
      <c r="EL71" t="s">
        <v>1528</v>
      </c>
      <c r="EM71">
        <v>12</v>
      </c>
      <c r="EN71">
        <v>0.5</v>
      </c>
      <c r="EO71">
        <v>0.96</v>
      </c>
      <c r="EP71">
        <v>1900.56</v>
      </c>
      <c r="EQ71">
        <v>31032.58</v>
      </c>
      <c r="ER71">
        <v>9086.1</v>
      </c>
      <c r="ES71">
        <v>0</v>
      </c>
      <c r="ET71">
        <v>0</v>
      </c>
      <c r="EU71">
        <v>1</v>
      </c>
      <c r="EV71">
        <v>40119</v>
      </c>
      <c r="EW71">
        <v>482</v>
      </c>
      <c r="EX71" t="s">
        <v>4363</v>
      </c>
      <c r="EY71">
        <v>210</v>
      </c>
      <c r="EZ71" t="s">
        <v>4055</v>
      </c>
      <c r="FA71">
        <v>5.5</v>
      </c>
      <c r="FB71">
        <v>1</v>
      </c>
      <c r="FC71">
        <v>1</v>
      </c>
      <c r="FD71">
        <v>1931</v>
      </c>
      <c r="FE71">
        <v>2401</v>
      </c>
      <c r="FF71" t="s">
        <v>4089</v>
      </c>
      <c r="FG71">
        <v>210</v>
      </c>
      <c r="FH71" t="s">
        <v>4055</v>
      </c>
      <c r="FI71">
        <v>1.6</v>
      </c>
      <c r="FJ71">
        <v>1931</v>
      </c>
      <c r="FK71">
        <v>638</v>
      </c>
      <c r="FL71" t="s">
        <v>4069</v>
      </c>
      <c r="FM71" t="s">
        <v>4055</v>
      </c>
      <c r="FN71" t="s">
        <v>4055</v>
      </c>
      <c r="FO71" t="s">
        <v>4055</v>
      </c>
      <c r="FP71">
        <v>1931</v>
      </c>
      <c r="FQ71">
        <v>138</v>
      </c>
      <c r="FR71" t="s">
        <v>4090</v>
      </c>
      <c r="FS71">
        <v>214</v>
      </c>
      <c r="FT71" t="s">
        <v>4055</v>
      </c>
      <c r="FU71">
        <v>0.4</v>
      </c>
      <c r="FV71">
        <v>1931</v>
      </c>
      <c r="FW71">
        <v>184</v>
      </c>
      <c r="FX71" t="s">
        <v>4070</v>
      </c>
      <c r="FY71">
        <v>5</v>
      </c>
      <c r="FZ71" t="s">
        <v>4055</v>
      </c>
      <c r="GA71" t="s">
        <v>4055</v>
      </c>
      <c r="GB71">
        <v>1931</v>
      </c>
      <c r="GC71">
        <v>17</v>
      </c>
      <c r="GD71">
        <v>3378</v>
      </c>
      <c r="GE71" t="s">
        <v>4381</v>
      </c>
      <c r="GF71" t="s">
        <v>4055</v>
      </c>
      <c r="GG71" t="s">
        <v>4055</v>
      </c>
      <c r="GH71" t="s">
        <v>4055</v>
      </c>
      <c r="GI71" t="s">
        <v>4071</v>
      </c>
      <c r="GJ71" t="s">
        <v>4055</v>
      </c>
      <c r="GK71" t="s">
        <v>4055</v>
      </c>
      <c r="GL71" t="s">
        <v>4055</v>
      </c>
      <c r="GM71" t="s">
        <v>4055</v>
      </c>
      <c r="GQ71">
        <v>0</v>
      </c>
      <c r="GV71">
        <v>7.5</v>
      </c>
      <c r="GW71">
        <v>9</v>
      </c>
      <c r="GX71">
        <v>0.5</v>
      </c>
      <c r="GY71">
        <v>184</v>
      </c>
      <c r="GZ71">
        <v>3</v>
      </c>
      <c r="HA71">
        <v>232</v>
      </c>
      <c r="HB71">
        <v>3</v>
      </c>
      <c r="HC71">
        <v>1931</v>
      </c>
      <c r="HD71">
        <v>4</v>
      </c>
      <c r="HE71" t="s">
        <v>4071</v>
      </c>
      <c r="HG71" t="s">
        <v>549</v>
      </c>
      <c r="HL71">
        <v>4</v>
      </c>
      <c r="HM71">
        <v>17</v>
      </c>
      <c r="HN71">
        <v>6</v>
      </c>
      <c r="HO71">
        <v>1</v>
      </c>
      <c r="HP71">
        <v>0</v>
      </c>
      <c r="HQ71">
        <v>2</v>
      </c>
      <c r="HR71">
        <v>1</v>
      </c>
      <c r="HS71">
        <v>1890</v>
      </c>
      <c r="HT71">
        <v>5</v>
      </c>
      <c r="HU71">
        <v>1</v>
      </c>
      <c r="HV71">
        <v>3</v>
      </c>
      <c r="HW71">
        <v>0</v>
      </c>
      <c r="HX71">
        <v>1</v>
      </c>
      <c r="HY71">
        <v>0</v>
      </c>
      <c r="HZ71">
        <v>65</v>
      </c>
      <c r="IA71">
        <v>1893</v>
      </c>
      <c r="IB71">
        <v>1900</v>
      </c>
      <c r="ID71">
        <v>1931</v>
      </c>
      <c r="IE71">
        <v>1931</v>
      </c>
      <c r="IF71">
        <v>190</v>
      </c>
      <c r="IG71">
        <v>180</v>
      </c>
      <c r="IH71">
        <v>232</v>
      </c>
      <c r="II71">
        <v>1</v>
      </c>
      <c r="IJ71">
        <v>5</v>
      </c>
      <c r="IK71">
        <v>0</v>
      </c>
      <c r="IL71">
        <v>0</v>
      </c>
      <c r="IM71">
        <v>0</v>
      </c>
      <c r="IN71">
        <v>270</v>
      </c>
      <c r="IO71">
        <v>0</v>
      </c>
      <c r="IP71">
        <v>180</v>
      </c>
      <c r="IQ71">
        <v>0</v>
      </c>
      <c r="IR71">
        <v>330</v>
      </c>
      <c r="IS71">
        <v>0</v>
      </c>
      <c r="IT71">
        <v>90</v>
      </c>
      <c r="IU71">
        <v>0</v>
      </c>
      <c r="IV71">
        <v>6.4</v>
      </c>
      <c r="IW71">
        <v>-6</v>
      </c>
      <c r="IX71">
        <v>98.5</v>
      </c>
      <c r="IY71">
        <v>68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352</v>
      </c>
      <c r="JJ71">
        <v>322</v>
      </c>
      <c r="JK71">
        <v>235</v>
      </c>
      <c r="JL71">
        <v>315</v>
      </c>
      <c r="JM71">
        <v>260</v>
      </c>
      <c r="JN71">
        <v>190</v>
      </c>
      <c r="JO71">
        <v>242</v>
      </c>
      <c r="JP71">
        <v>225</v>
      </c>
      <c r="JQ71">
        <v>240</v>
      </c>
      <c r="JR71">
        <v>330</v>
      </c>
      <c r="JS71">
        <v>248</v>
      </c>
      <c r="JT71">
        <v>0</v>
      </c>
      <c r="JU71">
        <v>0</v>
      </c>
      <c r="JV71">
        <v>330</v>
      </c>
      <c r="JW71">
        <v>337</v>
      </c>
      <c r="JX71">
        <v>328</v>
      </c>
      <c r="JY71">
        <v>305</v>
      </c>
      <c r="JZ71">
        <v>2.5</v>
      </c>
      <c r="KA71">
        <v>0.2</v>
      </c>
      <c r="KB71">
        <v>0.4</v>
      </c>
      <c r="KC71">
        <v>0.42</v>
      </c>
      <c r="KD71">
        <v>0.28</v>
      </c>
      <c r="KE71">
        <v>0.5</v>
      </c>
      <c r="KF71">
        <v>0.19</v>
      </c>
      <c r="KG71">
        <v>0.1</v>
      </c>
      <c r="KH71">
        <v>3.5</v>
      </c>
      <c r="KI71">
        <v>1</v>
      </c>
      <c r="KJ71">
        <v>4.5</v>
      </c>
      <c r="KK71">
        <v>0.5</v>
      </c>
      <c r="KL71">
        <v>4.5</v>
      </c>
      <c r="KM71">
        <v>0.5</v>
      </c>
      <c r="KN71">
        <v>1.1</v>
      </c>
      <c r="KO71">
        <v>0</v>
      </c>
      <c r="KP71">
        <v>0</v>
      </c>
      <c r="KQ71">
        <v>0.8</v>
      </c>
      <c r="KR71">
        <v>1.5</v>
      </c>
      <c r="KS71">
        <v>0.2</v>
      </c>
      <c r="KT71">
        <v>1.5</v>
      </c>
      <c r="KU71">
        <v>0</v>
      </c>
      <c r="KV71">
        <v>0</v>
      </c>
      <c r="KW71">
        <v>1.2</v>
      </c>
      <c r="KX71">
        <v>2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3</v>
      </c>
      <c r="LI71">
        <v>1</v>
      </c>
      <c r="LJ71">
        <v>0</v>
      </c>
      <c r="LK71">
        <v>4.5</v>
      </c>
      <c r="LL71">
        <v>6</v>
      </c>
      <c r="LM71">
        <v>7</v>
      </c>
      <c r="LN71">
        <v>0.4</v>
      </c>
      <c r="LO71">
        <v>3.5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1.9</v>
      </c>
      <c r="LX71">
        <v>1.9</v>
      </c>
      <c r="LY71">
        <v>2.3</v>
      </c>
      <c r="LZ71">
        <v>2.3</v>
      </c>
      <c r="MA71">
        <v>0</v>
      </c>
      <c r="MB71">
        <v>4</v>
      </c>
      <c r="MC71">
        <v>0</v>
      </c>
      <c r="MD71">
        <v>4.5</v>
      </c>
      <c r="ME71">
        <v>6</v>
      </c>
      <c r="MF71">
        <v>6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390</v>
      </c>
      <c r="MN71">
        <v>185</v>
      </c>
      <c r="MO71">
        <v>242</v>
      </c>
      <c r="NU71">
        <v>0.2</v>
      </c>
      <c r="NV71">
        <v>0.4</v>
      </c>
      <c r="NW71">
        <v>0.4</v>
      </c>
      <c r="NX71">
        <v>2</v>
      </c>
      <c r="NY71">
        <v>2</v>
      </c>
      <c r="NZ71">
        <v>2</v>
      </c>
      <c r="OE71" t="s">
        <v>4381</v>
      </c>
      <c r="OF71" t="s">
        <v>4379</v>
      </c>
      <c r="OG71" t="s">
        <v>4380</v>
      </c>
      <c r="OH71" t="s">
        <v>4043</v>
      </c>
      <c r="OI71" t="s">
        <v>4381</v>
      </c>
      <c r="OJ71" t="s">
        <v>4378</v>
      </c>
      <c r="OK71">
        <v>61</v>
      </c>
      <c r="OL71">
        <v>61</v>
      </c>
      <c r="OM71" t="s">
        <v>4379</v>
      </c>
      <c r="ON71">
        <v>3</v>
      </c>
      <c r="OO71">
        <v>1893</v>
      </c>
      <c r="OP71">
        <v>61</v>
      </c>
      <c r="OQ71">
        <v>61</v>
      </c>
      <c r="OR71" t="s">
        <v>4380</v>
      </c>
      <c r="OS71">
        <v>3</v>
      </c>
      <c r="OT71">
        <v>1900</v>
      </c>
      <c r="OU71">
        <v>65</v>
      </c>
      <c r="OV71">
        <v>65</v>
      </c>
      <c r="OW71" t="s">
        <v>4043</v>
      </c>
      <c r="OX71">
        <v>2</v>
      </c>
      <c r="OY71">
        <v>40119</v>
      </c>
      <c r="OZ71">
        <v>51</v>
      </c>
      <c r="PA71">
        <v>52</v>
      </c>
      <c r="PB71" t="s">
        <v>4381</v>
      </c>
      <c r="PC71">
        <v>1</v>
      </c>
      <c r="PD71">
        <v>1931</v>
      </c>
      <c r="PF71">
        <v>347</v>
      </c>
      <c r="PG71">
        <v>29</v>
      </c>
      <c r="PH71">
        <v>329</v>
      </c>
      <c r="PI71">
        <v>29</v>
      </c>
      <c r="PJ71">
        <v>71.7</v>
      </c>
      <c r="PK71">
        <v>1766</v>
      </c>
      <c r="PL71">
        <v>1243.4</v>
      </c>
      <c r="PM71">
        <v>330.5</v>
      </c>
      <c r="PN71">
        <v>95.2</v>
      </c>
      <c r="PO71">
        <v>8.699999999999999</v>
      </c>
      <c r="PP71">
        <v>12</v>
      </c>
      <c r="PQ71">
        <v>1</v>
      </c>
      <c r="PR71">
        <v>1</v>
      </c>
      <c r="PS71">
        <v>7</v>
      </c>
      <c r="PT71">
        <v>232</v>
      </c>
      <c r="PU71">
        <v>11</v>
      </c>
      <c r="PV71" t="s">
        <v>4072</v>
      </c>
      <c r="PW71" t="s">
        <v>4072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-1</v>
      </c>
      <c r="QF71">
        <v>1</v>
      </c>
      <c r="QG71">
        <v>0</v>
      </c>
      <c r="QH71">
        <v>5</v>
      </c>
      <c r="QI71">
        <v>5</v>
      </c>
      <c r="QJ71">
        <v>5</v>
      </c>
      <c r="QK71">
        <v>173</v>
      </c>
      <c r="QL71">
        <v>390</v>
      </c>
      <c r="QM71">
        <v>7.5</v>
      </c>
      <c r="QN71">
        <v>1379.8</v>
      </c>
      <c r="QO71" t="s">
        <v>1477</v>
      </c>
      <c r="QP71" t="s">
        <v>513</v>
      </c>
      <c r="QQ71">
        <v>0</v>
      </c>
      <c r="QR71" t="s">
        <v>1496</v>
      </c>
      <c r="QS71">
        <v>30</v>
      </c>
      <c r="QT71">
        <v>40</v>
      </c>
    </row>
    <row r="72" spans="1:462">
      <c r="A72" t="s">
        <v>1516</v>
      </c>
      <c r="B72" t="s">
        <v>657</v>
      </c>
      <c r="C72" t="s">
        <v>509</v>
      </c>
      <c r="D72" t="s">
        <v>1851</v>
      </c>
      <c r="E72" t="s">
        <v>4036</v>
      </c>
      <c r="H72" t="s">
        <v>627</v>
      </c>
      <c r="I72" t="s">
        <v>604</v>
      </c>
      <c r="J72" t="s">
        <v>628</v>
      </c>
      <c r="K72" t="s">
        <v>606</v>
      </c>
      <c r="L72" t="s">
        <v>559</v>
      </c>
      <c r="M72" t="s">
        <v>512</v>
      </c>
      <c r="O72" t="s">
        <v>513</v>
      </c>
      <c r="P72" t="s">
        <v>567</v>
      </c>
      <c r="Q72" t="s">
        <v>1159</v>
      </c>
      <c r="R72" t="s">
        <v>1160</v>
      </c>
      <c r="S72" t="s">
        <v>4170</v>
      </c>
      <c r="T72" t="s">
        <v>662</v>
      </c>
      <c r="U72" t="s">
        <v>663</v>
      </c>
      <c r="V72" t="s">
        <v>1517</v>
      </c>
      <c r="W72" t="s">
        <v>1460</v>
      </c>
      <c r="X72" t="s">
        <v>1518</v>
      </c>
      <c r="Y72" t="s">
        <v>1519</v>
      </c>
      <c r="Z72" t="s">
        <v>541</v>
      </c>
      <c r="AA72" t="s">
        <v>4038</v>
      </c>
      <c r="AB72" t="s">
        <v>4382</v>
      </c>
      <c r="AC72">
        <v>13</v>
      </c>
      <c r="AD72" t="s">
        <v>1515</v>
      </c>
      <c r="AE72">
        <v>7</v>
      </c>
      <c r="AF72">
        <v>8539</v>
      </c>
      <c r="AG72" t="s">
        <v>4075</v>
      </c>
      <c r="AH72">
        <v>1</v>
      </c>
      <c r="AI72" t="s">
        <v>4041</v>
      </c>
      <c r="AK72" t="s">
        <v>4383</v>
      </c>
      <c r="AL72">
        <v>1</v>
      </c>
      <c r="AM72" t="s">
        <v>582</v>
      </c>
      <c r="AO72" t="s">
        <v>4043</v>
      </c>
      <c r="AP72">
        <v>1</v>
      </c>
      <c r="AR72" t="s">
        <v>4384</v>
      </c>
      <c r="AS72">
        <v>1</v>
      </c>
      <c r="AT72">
        <v>52</v>
      </c>
      <c r="AV72" t="s">
        <v>4078</v>
      </c>
      <c r="AW72">
        <v>6.4</v>
      </c>
      <c r="AX72">
        <v>-6</v>
      </c>
      <c r="AY72">
        <v>128.5</v>
      </c>
      <c r="AZ72">
        <v>84</v>
      </c>
      <c r="BH72">
        <v>128.5</v>
      </c>
      <c r="BI72">
        <v>44.5</v>
      </c>
      <c r="BJ72">
        <v>84</v>
      </c>
      <c r="BK72">
        <v>3.5</v>
      </c>
      <c r="BL72">
        <v>257</v>
      </c>
      <c r="BM72">
        <v>-6</v>
      </c>
      <c r="BN72">
        <v>0</v>
      </c>
      <c r="BP72">
        <v>0</v>
      </c>
      <c r="BR72">
        <v>250</v>
      </c>
      <c r="BS72">
        <v>235</v>
      </c>
      <c r="BT72">
        <v>2340</v>
      </c>
      <c r="BU72" t="s">
        <v>4079</v>
      </c>
      <c r="BV72" t="s">
        <v>4080</v>
      </c>
      <c r="BW72" t="s">
        <v>4081</v>
      </c>
      <c r="BX72" t="s">
        <v>4082</v>
      </c>
      <c r="BY72" t="s">
        <v>4265</v>
      </c>
      <c r="BZ72" t="s">
        <v>4214</v>
      </c>
      <c r="CA72" t="s">
        <v>4118</v>
      </c>
      <c r="CB72" t="s">
        <v>4119</v>
      </c>
      <c r="CC72" t="s">
        <v>4053</v>
      </c>
      <c r="CD72" t="s">
        <v>4121</v>
      </c>
      <c r="CE72" t="s">
        <v>4055</v>
      </c>
      <c r="CF72" t="s">
        <v>4055</v>
      </c>
      <c r="CG72" t="s">
        <v>4056</v>
      </c>
      <c r="CI72" t="s">
        <v>4216</v>
      </c>
      <c r="CJ72" t="s">
        <v>4059</v>
      </c>
      <c r="CK72" t="s">
        <v>4060</v>
      </c>
      <c r="CL72" t="s">
        <v>4061</v>
      </c>
      <c r="CM72" t="s">
        <v>4062</v>
      </c>
      <c r="CN72" t="s">
        <v>4055</v>
      </c>
      <c r="CO72" t="s">
        <v>4063</v>
      </c>
      <c r="CP72" t="s">
        <v>4055</v>
      </c>
      <c r="CQ72" t="s">
        <v>4055</v>
      </c>
      <c r="CR72">
        <v>5</v>
      </c>
      <c r="CS72" t="s">
        <v>4055</v>
      </c>
      <c r="CT72" t="s">
        <v>4055</v>
      </c>
      <c r="CU72" t="s">
        <v>4055</v>
      </c>
      <c r="CV72">
        <v>157</v>
      </c>
      <c r="CW72">
        <v>3</v>
      </c>
      <c r="CX72">
        <v>110</v>
      </c>
      <c r="CY72">
        <v>5</v>
      </c>
      <c r="CZ72">
        <v>187</v>
      </c>
      <c r="DA72">
        <v>5</v>
      </c>
      <c r="DB72">
        <v>17560</v>
      </c>
      <c r="DC72">
        <v>510</v>
      </c>
      <c r="DD72">
        <v>430</v>
      </c>
      <c r="DE72">
        <v>2446</v>
      </c>
      <c r="DF72">
        <v>2446</v>
      </c>
      <c r="DG72">
        <v>2478</v>
      </c>
      <c r="DH72">
        <v>3</v>
      </c>
      <c r="DI72" t="s">
        <v>4055</v>
      </c>
      <c r="DJ72" t="s">
        <v>4087</v>
      </c>
      <c r="DK72">
        <v>250</v>
      </c>
      <c r="DL72" t="s">
        <v>4065</v>
      </c>
      <c r="DM72">
        <v>65</v>
      </c>
      <c r="DN72">
        <v>1.36</v>
      </c>
      <c r="DO72">
        <v>1</v>
      </c>
      <c r="DP72">
        <v>2344</v>
      </c>
      <c r="DQ72">
        <v>1477</v>
      </c>
      <c r="DR72" t="s">
        <v>4087</v>
      </c>
      <c r="DS72">
        <v>235</v>
      </c>
      <c r="DT72" t="s">
        <v>4065</v>
      </c>
      <c r="DU72">
        <v>65</v>
      </c>
      <c r="DV72">
        <v>1.36</v>
      </c>
      <c r="DW72">
        <v>1</v>
      </c>
      <c r="DX72">
        <v>2358</v>
      </c>
      <c r="DY72">
        <v>1396</v>
      </c>
      <c r="DZ72" t="s">
        <v>4066</v>
      </c>
      <c r="EA72">
        <v>20</v>
      </c>
      <c r="EB72" t="s">
        <v>4065</v>
      </c>
      <c r="EC72">
        <v>0.8</v>
      </c>
      <c r="ED72">
        <v>2344</v>
      </c>
      <c r="EE72">
        <v>82</v>
      </c>
      <c r="EG72">
        <v>0</v>
      </c>
      <c r="EH72" t="s">
        <v>4065</v>
      </c>
      <c r="EI72">
        <v>0</v>
      </c>
      <c r="EL72" t="s">
        <v>1528</v>
      </c>
      <c r="EM72">
        <v>12</v>
      </c>
      <c r="EN72">
        <v>0.5</v>
      </c>
      <c r="EO72">
        <v>0.96</v>
      </c>
      <c r="EP72">
        <v>2357.1</v>
      </c>
      <c r="EQ72">
        <v>49535.93</v>
      </c>
      <c r="ER72">
        <v>16431.15</v>
      </c>
      <c r="ES72">
        <v>0</v>
      </c>
      <c r="ET72">
        <v>0</v>
      </c>
      <c r="EU72">
        <v>1</v>
      </c>
      <c r="EV72">
        <v>65968</v>
      </c>
      <c r="EW72">
        <v>792</v>
      </c>
      <c r="EX72" t="s">
        <v>4363</v>
      </c>
      <c r="EY72">
        <v>276</v>
      </c>
      <c r="EZ72" t="s">
        <v>4055</v>
      </c>
      <c r="FA72">
        <v>5.6</v>
      </c>
      <c r="FB72">
        <v>1</v>
      </c>
      <c r="FC72">
        <v>1</v>
      </c>
      <c r="FD72">
        <v>2386</v>
      </c>
      <c r="FE72">
        <v>4073</v>
      </c>
      <c r="FF72" t="s">
        <v>4089</v>
      </c>
      <c r="FG72">
        <v>276</v>
      </c>
      <c r="FH72" t="s">
        <v>4055</v>
      </c>
      <c r="FI72">
        <v>1</v>
      </c>
      <c r="FJ72">
        <v>2386</v>
      </c>
      <c r="FK72">
        <v>803</v>
      </c>
      <c r="FL72" t="s">
        <v>4069</v>
      </c>
      <c r="FM72" t="s">
        <v>4055</v>
      </c>
      <c r="FN72" t="s">
        <v>4055</v>
      </c>
      <c r="FO72" t="s">
        <v>4055</v>
      </c>
      <c r="FP72">
        <v>2386</v>
      </c>
      <c r="FQ72">
        <v>223</v>
      </c>
      <c r="FR72" t="s">
        <v>4090</v>
      </c>
      <c r="FS72">
        <v>280</v>
      </c>
      <c r="FT72" t="s">
        <v>4055</v>
      </c>
      <c r="FU72">
        <v>0.4</v>
      </c>
      <c r="FV72">
        <v>2386</v>
      </c>
      <c r="FW72">
        <v>148</v>
      </c>
      <c r="FX72" t="s">
        <v>4070</v>
      </c>
      <c r="FY72">
        <v>5</v>
      </c>
      <c r="FZ72" t="s">
        <v>4055</v>
      </c>
      <c r="GA72" t="s">
        <v>4055</v>
      </c>
      <c r="GB72">
        <v>2386</v>
      </c>
      <c r="GC72">
        <v>19</v>
      </c>
      <c r="GD72">
        <v>5266</v>
      </c>
      <c r="GE72" t="s">
        <v>4384</v>
      </c>
      <c r="GF72" t="s">
        <v>4055</v>
      </c>
      <c r="GG72" t="s">
        <v>4055</v>
      </c>
      <c r="GH72" t="s">
        <v>4055</v>
      </c>
      <c r="GI72" t="s">
        <v>4071</v>
      </c>
      <c r="GJ72" t="s">
        <v>4055</v>
      </c>
      <c r="GK72" t="s">
        <v>4055</v>
      </c>
      <c r="GL72" t="s">
        <v>4055</v>
      </c>
      <c r="GM72" t="s">
        <v>4055</v>
      </c>
      <c r="GQ72">
        <v>0</v>
      </c>
      <c r="GV72">
        <v>7</v>
      </c>
      <c r="GW72">
        <v>9</v>
      </c>
      <c r="GX72">
        <v>0.5</v>
      </c>
      <c r="GY72">
        <v>222</v>
      </c>
      <c r="GZ72">
        <v>3</v>
      </c>
      <c r="HA72">
        <v>304</v>
      </c>
      <c r="HB72">
        <v>3</v>
      </c>
      <c r="HC72">
        <v>2386</v>
      </c>
      <c r="HD72">
        <v>4</v>
      </c>
      <c r="HE72" t="s">
        <v>4071</v>
      </c>
      <c r="HG72" t="s">
        <v>549</v>
      </c>
      <c r="HL72">
        <v>4</v>
      </c>
      <c r="HM72">
        <v>18</v>
      </c>
      <c r="HN72">
        <v>6</v>
      </c>
      <c r="HO72">
        <v>1</v>
      </c>
      <c r="HP72">
        <v>0</v>
      </c>
      <c r="HQ72">
        <v>0</v>
      </c>
      <c r="HR72">
        <v>3</v>
      </c>
      <c r="HS72">
        <v>2340</v>
      </c>
      <c r="HT72">
        <v>5</v>
      </c>
      <c r="HU72">
        <v>1</v>
      </c>
      <c r="HV72">
        <v>3</v>
      </c>
      <c r="HW72">
        <v>0</v>
      </c>
      <c r="HX72">
        <v>1</v>
      </c>
      <c r="HY72">
        <v>0</v>
      </c>
      <c r="HZ72">
        <v>65</v>
      </c>
      <c r="IA72">
        <v>2344</v>
      </c>
      <c r="IB72">
        <v>2358</v>
      </c>
      <c r="ID72">
        <v>2386</v>
      </c>
      <c r="IE72">
        <v>2386</v>
      </c>
      <c r="IF72">
        <v>250</v>
      </c>
      <c r="IG72">
        <v>235</v>
      </c>
      <c r="IH72">
        <v>304</v>
      </c>
      <c r="II72">
        <v>1</v>
      </c>
      <c r="IJ72">
        <v>5</v>
      </c>
      <c r="IK72">
        <v>0</v>
      </c>
      <c r="IL72">
        <v>0</v>
      </c>
      <c r="IM72">
        <v>0</v>
      </c>
      <c r="IN72">
        <v>80</v>
      </c>
      <c r="IO72">
        <v>0</v>
      </c>
      <c r="IP72">
        <v>180</v>
      </c>
      <c r="IQ72">
        <v>0</v>
      </c>
      <c r="IR72">
        <v>330</v>
      </c>
      <c r="IS72">
        <v>0</v>
      </c>
      <c r="IT72">
        <v>100</v>
      </c>
      <c r="IU72">
        <v>0</v>
      </c>
      <c r="IV72">
        <v>6.4</v>
      </c>
      <c r="IW72">
        <v>-6</v>
      </c>
      <c r="IX72">
        <v>128.5</v>
      </c>
      <c r="IY72">
        <v>84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528</v>
      </c>
      <c r="JJ72">
        <v>498</v>
      </c>
      <c r="JK72">
        <v>360</v>
      </c>
      <c r="JL72">
        <v>496</v>
      </c>
      <c r="JM72">
        <v>390</v>
      </c>
      <c r="JN72">
        <v>245</v>
      </c>
      <c r="JO72">
        <v>300</v>
      </c>
      <c r="JP72">
        <v>190</v>
      </c>
      <c r="JQ72">
        <v>230</v>
      </c>
      <c r="JR72">
        <v>345</v>
      </c>
      <c r="JS72">
        <v>200</v>
      </c>
      <c r="JT72">
        <v>0</v>
      </c>
      <c r="JU72">
        <v>0</v>
      </c>
      <c r="JV72">
        <v>305</v>
      </c>
      <c r="JW72">
        <v>307</v>
      </c>
      <c r="JX72">
        <v>330</v>
      </c>
      <c r="JY72">
        <v>290</v>
      </c>
      <c r="JZ72">
        <v>1</v>
      </c>
      <c r="KA72">
        <v>0.2</v>
      </c>
      <c r="KB72">
        <v>0.4</v>
      </c>
      <c r="KC72">
        <v>0.42</v>
      </c>
      <c r="KD72">
        <v>0.28</v>
      </c>
      <c r="KE72">
        <v>0.5</v>
      </c>
      <c r="KF72">
        <v>0.18</v>
      </c>
      <c r="KG72">
        <v>0.12</v>
      </c>
      <c r="KH72">
        <v>3.5</v>
      </c>
      <c r="KI72">
        <v>1</v>
      </c>
      <c r="KJ72">
        <v>4.5</v>
      </c>
      <c r="KK72">
        <v>0</v>
      </c>
      <c r="KL72">
        <v>4.5</v>
      </c>
      <c r="KM72">
        <v>0</v>
      </c>
      <c r="KN72">
        <v>2.5</v>
      </c>
      <c r="KO72">
        <v>0</v>
      </c>
      <c r="KP72">
        <v>0</v>
      </c>
      <c r="KQ72">
        <v>0.8</v>
      </c>
      <c r="KR72">
        <v>0.5</v>
      </c>
      <c r="KS72">
        <v>0</v>
      </c>
      <c r="KT72">
        <v>4</v>
      </c>
      <c r="KU72">
        <v>0</v>
      </c>
      <c r="KV72">
        <v>0</v>
      </c>
      <c r="KW72">
        <v>1</v>
      </c>
      <c r="KX72">
        <v>2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3</v>
      </c>
      <c r="LI72">
        <v>1</v>
      </c>
      <c r="LJ72">
        <v>0</v>
      </c>
      <c r="LK72">
        <v>11</v>
      </c>
      <c r="LL72">
        <v>9</v>
      </c>
      <c r="LM72">
        <v>13</v>
      </c>
      <c r="LN72">
        <v>0.3</v>
      </c>
      <c r="LO72">
        <v>3</v>
      </c>
      <c r="LP72">
        <v>0</v>
      </c>
      <c r="LQ72">
        <v>0</v>
      </c>
      <c r="LR72">
        <v>0</v>
      </c>
      <c r="LS72">
        <v>1</v>
      </c>
      <c r="LT72">
        <v>520</v>
      </c>
      <c r="LU72">
        <v>0</v>
      </c>
      <c r="LV72">
        <v>0</v>
      </c>
      <c r="LW72">
        <v>2.8</v>
      </c>
      <c r="LX72">
        <v>2.8</v>
      </c>
      <c r="LY72">
        <v>2.8</v>
      </c>
      <c r="LZ72">
        <v>2.8</v>
      </c>
      <c r="MA72">
        <v>0</v>
      </c>
      <c r="MB72">
        <v>4</v>
      </c>
      <c r="MC72">
        <v>0</v>
      </c>
      <c r="MD72">
        <v>4.5</v>
      </c>
      <c r="ME72">
        <v>6</v>
      </c>
      <c r="MF72">
        <v>6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516</v>
      </c>
      <c r="MN72">
        <v>245</v>
      </c>
      <c r="MO72">
        <v>310</v>
      </c>
      <c r="NU72">
        <v>0.15</v>
      </c>
      <c r="NV72">
        <v>0.2</v>
      </c>
      <c r="NW72">
        <v>0.2</v>
      </c>
      <c r="NX72">
        <v>2</v>
      </c>
      <c r="NY72">
        <v>2</v>
      </c>
      <c r="NZ72">
        <v>2</v>
      </c>
      <c r="OE72" t="s">
        <v>4384</v>
      </c>
      <c r="OF72" t="s">
        <v>4075</v>
      </c>
      <c r="OG72" t="s">
        <v>4383</v>
      </c>
      <c r="OH72" t="s">
        <v>4043</v>
      </c>
      <c r="OI72" t="s">
        <v>4384</v>
      </c>
      <c r="OJ72" t="s">
        <v>4382</v>
      </c>
      <c r="OK72">
        <v>61</v>
      </c>
      <c r="OL72">
        <v>61</v>
      </c>
      <c r="OM72" t="s">
        <v>4075</v>
      </c>
      <c r="ON72">
        <v>1</v>
      </c>
      <c r="OO72">
        <v>2344</v>
      </c>
      <c r="OP72">
        <v>61</v>
      </c>
      <c r="OQ72">
        <v>61</v>
      </c>
      <c r="OR72" t="s">
        <v>4383</v>
      </c>
      <c r="OS72">
        <v>1</v>
      </c>
      <c r="OT72">
        <v>2358</v>
      </c>
      <c r="OU72">
        <v>65</v>
      </c>
      <c r="OV72">
        <v>65</v>
      </c>
      <c r="OW72" t="s">
        <v>4043</v>
      </c>
      <c r="OX72">
        <v>1</v>
      </c>
      <c r="OY72">
        <v>65968</v>
      </c>
      <c r="OZ72">
        <v>51</v>
      </c>
      <c r="PA72">
        <v>52</v>
      </c>
      <c r="PB72" t="s">
        <v>4384</v>
      </c>
      <c r="PC72">
        <v>2</v>
      </c>
      <c r="PD72">
        <v>2386</v>
      </c>
      <c r="PF72">
        <v>630</v>
      </c>
      <c r="PG72">
        <v>35</v>
      </c>
      <c r="PH72">
        <v>592</v>
      </c>
      <c r="PI72">
        <v>0</v>
      </c>
      <c r="PJ72">
        <v>93.5</v>
      </c>
      <c r="PK72">
        <v>2226</v>
      </c>
      <c r="PL72">
        <v>1707.2</v>
      </c>
      <c r="PM72">
        <v>336.4</v>
      </c>
      <c r="PN72">
        <v>62.1</v>
      </c>
      <c r="PO72">
        <v>8.1</v>
      </c>
      <c r="PP72">
        <v>12</v>
      </c>
      <c r="PQ72">
        <v>4</v>
      </c>
      <c r="PR72">
        <v>6</v>
      </c>
      <c r="PS72">
        <v>0</v>
      </c>
      <c r="PT72">
        <v>304</v>
      </c>
      <c r="PU72">
        <v>14</v>
      </c>
      <c r="PV72" t="s">
        <v>4072</v>
      </c>
      <c r="PW72" t="s">
        <v>4072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-1</v>
      </c>
      <c r="QF72">
        <v>1</v>
      </c>
      <c r="QG72">
        <v>0</v>
      </c>
      <c r="QH72">
        <v>5</v>
      </c>
      <c r="QI72">
        <v>5</v>
      </c>
      <c r="QJ72">
        <v>5</v>
      </c>
      <c r="QK72">
        <v>282</v>
      </c>
      <c r="QL72">
        <v>558</v>
      </c>
      <c r="QM72">
        <v>9.4</v>
      </c>
      <c r="QN72">
        <v>1465.9</v>
      </c>
      <c r="QO72" t="s">
        <v>1477</v>
      </c>
      <c r="QP72" t="s">
        <v>513</v>
      </c>
      <c r="QQ72">
        <v>0</v>
      </c>
      <c r="QR72" t="s">
        <v>1527</v>
      </c>
      <c r="QS72">
        <v>40</v>
      </c>
      <c r="QT72">
        <v>50</v>
      </c>
    </row>
    <row r="73" spans="1:462">
      <c r="A73" t="s">
        <v>1531</v>
      </c>
      <c r="B73" t="s">
        <v>559</v>
      </c>
      <c r="C73" t="s">
        <v>509</v>
      </c>
      <c r="D73" t="s">
        <v>1978</v>
      </c>
      <c r="E73" t="s">
        <v>4036</v>
      </c>
      <c r="H73" t="s">
        <v>604</v>
      </c>
      <c r="I73" t="s">
        <v>605</v>
      </c>
      <c r="K73" t="s">
        <v>606</v>
      </c>
      <c r="L73" t="s">
        <v>564</v>
      </c>
      <c r="M73" t="s">
        <v>512</v>
      </c>
      <c r="O73" t="s">
        <v>513</v>
      </c>
      <c r="P73" t="s">
        <v>567</v>
      </c>
      <c r="Q73" t="s">
        <v>684</v>
      </c>
      <c r="R73" t="s">
        <v>685</v>
      </c>
      <c r="S73" t="s">
        <v>4037</v>
      </c>
      <c r="T73" t="s">
        <v>686</v>
      </c>
      <c r="U73" t="s">
        <v>687</v>
      </c>
      <c r="V73" t="s">
        <v>1532</v>
      </c>
      <c r="W73" t="s">
        <v>1460</v>
      </c>
      <c r="X73" t="s">
        <v>1533</v>
      </c>
      <c r="Y73" t="s">
        <v>1534</v>
      </c>
      <c r="Z73" t="s">
        <v>650</v>
      </c>
      <c r="AA73" t="s">
        <v>4038</v>
      </c>
      <c r="AB73" t="s">
        <v>4385</v>
      </c>
      <c r="AC73">
        <v>13</v>
      </c>
      <c r="AD73" t="s">
        <v>1529</v>
      </c>
      <c r="AE73">
        <v>6</v>
      </c>
      <c r="AF73">
        <v>6730</v>
      </c>
      <c r="AG73" t="s">
        <v>4227</v>
      </c>
      <c r="AH73">
        <v>1</v>
      </c>
      <c r="AI73" t="s">
        <v>4041</v>
      </c>
      <c r="AK73" t="s">
        <v>4228</v>
      </c>
      <c r="AL73">
        <v>1</v>
      </c>
      <c r="AM73" t="s">
        <v>582</v>
      </c>
      <c r="AO73" t="s">
        <v>4043</v>
      </c>
      <c r="AP73">
        <v>1</v>
      </c>
      <c r="AR73" t="s">
        <v>4386</v>
      </c>
      <c r="AS73">
        <v>1</v>
      </c>
      <c r="AT73">
        <v>51</v>
      </c>
      <c r="AV73" t="s">
        <v>4078</v>
      </c>
      <c r="AW73">
        <v>6.4</v>
      </c>
      <c r="AX73">
        <v>-6</v>
      </c>
      <c r="AY73">
        <v>106</v>
      </c>
      <c r="AZ73">
        <v>75</v>
      </c>
      <c r="BH73">
        <v>106</v>
      </c>
      <c r="BI73">
        <v>31</v>
      </c>
      <c r="BJ73">
        <v>75</v>
      </c>
      <c r="BK73">
        <v>3.5</v>
      </c>
      <c r="BL73">
        <v>212</v>
      </c>
      <c r="BM73">
        <v>-6</v>
      </c>
      <c r="BN73">
        <v>0</v>
      </c>
      <c r="BP73">
        <v>0</v>
      </c>
      <c r="BR73">
        <v>205</v>
      </c>
      <c r="BS73">
        <v>195</v>
      </c>
      <c r="BT73">
        <v>2165</v>
      </c>
      <c r="BU73" t="s">
        <v>4127</v>
      </c>
      <c r="BV73" t="s">
        <v>4127</v>
      </c>
      <c r="BW73" t="s">
        <v>4128</v>
      </c>
      <c r="BX73" t="s">
        <v>4128</v>
      </c>
      <c r="BY73" t="s">
        <v>4129</v>
      </c>
      <c r="BZ73" t="s">
        <v>4129</v>
      </c>
      <c r="CA73" t="s">
        <v>4130</v>
      </c>
      <c r="CB73" t="s">
        <v>4131</v>
      </c>
      <c r="CC73" t="s">
        <v>4053</v>
      </c>
      <c r="CD73" t="s">
        <v>4055</v>
      </c>
      <c r="CE73" t="s">
        <v>4055</v>
      </c>
      <c r="CF73" t="s">
        <v>4055</v>
      </c>
      <c r="CG73" t="s">
        <v>4056</v>
      </c>
      <c r="CI73" t="s">
        <v>4086</v>
      </c>
      <c r="CJ73" t="s">
        <v>4059</v>
      </c>
      <c r="CK73" t="s">
        <v>4060</v>
      </c>
      <c r="CL73" t="s">
        <v>4061</v>
      </c>
      <c r="CM73" t="s">
        <v>4062</v>
      </c>
      <c r="CN73" t="s">
        <v>4055</v>
      </c>
      <c r="CO73" t="s">
        <v>4063</v>
      </c>
      <c r="CP73" t="s">
        <v>4055</v>
      </c>
      <c r="CQ73" t="s">
        <v>4055</v>
      </c>
      <c r="CR73">
        <v>5</v>
      </c>
      <c r="CS73" t="s">
        <v>4055</v>
      </c>
      <c r="CT73" t="s">
        <v>4055</v>
      </c>
      <c r="CU73" t="s">
        <v>4055</v>
      </c>
      <c r="CV73">
        <v>130</v>
      </c>
      <c r="CW73">
        <v>3</v>
      </c>
      <c r="CX73">
        <v>112</v>
      </c>
      <c r="CY73">
        <v>5</v>
      </c>
      <c r="CZ73">
        <v>147</v>
      </c>
      <c r="DA73">
        <v>5</v>
      </c>
      <c r="DB73">
        <v>14000</v>
      </c>
      <c r="DC73">
        <v>420</v>
      </c>
      <c r="DD73">
        <v>350</v>
      </c>
      <c r="DE73">
        <v>2278</v>
      </c>
      <c r="DF73">
        <v>2278</v>
      </c>
      <c r="DG73">
        <v>2297</v>
      </c>
      <c r="DH73">
        <v>2</v>
      </c>
      <c r="DI73" t="s">
        <v>4055</v>
      </c>
      <c r="DJ73" t="s">
        <v>4132</v>
      </c>
      <c r="DK73">
        <v>205</v>
      </c>
      <c r="DL73" t="s">
        <v>4065</v>
      </c>
      <c r="DM73">
        <v>65</v>
      </c>
      <c r="DN73">
        <v>1.1</v>
      </c>
      <c r="DO73">
        <v>1</v>
      </c>
      <c r="DP73">
        <v>2168</v>
      </c>
      <c r="DQ73">
        <v>960</v>
      </c>
      <c r="DR73" t="s">
        <v>4132</v>
      </c>
      <c r="DS73">
        <v>195</v>
      </c>
      <c r="DT73" t="s">
        <v>4065</v>
      </c>
      <c r="DU73">
        <v>65</v>
      </c>
      <c r="DV73">
        <v>1.1</v>
      </c>
      <c r="DW73">
        <v>1</v>
      </c>
      <c r="DX73">
        <v>2180</v>
      </c>
      <c r="DY73">
        <v>920</v>
      </c>
      <c r="DZ73" t="s">
        <v>4066</v>
      </c>
      <c r="EA73">
        <v>20</v>
      </c>
      <c r="EB73" t="s">
        <v>4065</v>
      </c>
      <c r="EC73">
        <v>0.8</v>
      </c>
      <c r="ED73">
        <v>2168</v>
      </c>
      <c r="EE73">
        <v>76</v>
      </c>
      <c r="EG73">
        <v>0</v>
      </c>
      <c r="EH73" t="s">
        <v>4065</v>
      </c>
      <c r="EI73">
        <v>0</v>
      </c>
      <c r="EL73" t="s">
        <v>1528</v>
      </c>
      <c r="EM73">
        <v>12</v>
      </c>
      <c r="EN73">
        <v>0.5</v>
      </c>
      <c r="EO73">
        <v>0.96</v>
      </c>
      <c r="EP73">
        <v>2178.83</v>
      </c>
      <c r="EQ73">
        <v>38129.53</v>
      </c>
      <c r="ER73">
        <v>10582.92</v>
      </c>
      <c r="ES73">
        <v>0</v>
      </c>
      <c r="ET73">
        <v>0</v>
      </c>
      <c r="EU73">
        <v>1</v>
      </c>
      <c r="EV73">
        <v>48713</v>
      </c>
      <c r="EW73">
        <v>585</v>
      </c>
      <c r="EX73" t="s">
        <v>4363</v>
      </c>
      <c r="EY73">
        <v>224</v>
      </c>
      <c r="EZ73" t="s">
        <v>4055</v>
      </c>
      <c r="FA73">
        <v>7.1</v>
      </c>
      <c r="FB73">
        <v>1</v>
      </c>
      <c r="FC73">
        <v>1</v>
      </c>
      <c r="FD73">
        <v>2213</v>
      </c>
      <c r="FE73">
        <v>3702</v>
      </c>
      <c r="FF73" t="s">
        <v>4089</v>
      </c>
      <c r="FG73">
        <v>224</v>
      </c>
      <c r="FH73" t="s">
        <v>4055</v>
      </c>
      <c r="FI73">
        <v>1.2</v>
      </c>
      <c r="FJ73">
        <v>2213</v>
      </c>
      <c r="FK73">
        <v>586</v>
      </c>
      <c r="FL73" t="s">
        <v>4069</v>
      </c>
      <c r="FM73" t="s">
        <v>4055</v>
      </c>
      <c r="FN73" t="s">
        <v>4055</v>
      </c>
      <c r="FO73" t="s">
        <v>4055</v>
      </c>
      <c r="FP73">
        <v>2213</v>
      </c>
      <c r="FQ73">
        <v>190</v>
      </c>
      <c r="FR73" t="s">
        <v>4090</v>
      </c>
      <c r="FS73">
        <v>228</v>
      </c>
      <c r="FT73" t="s">
        <v>4055</v>
      </c>
      <c r="FU73">
        <v>0.4</v>
      </c>
      <c r="FV73">
        <v>2213</v>
      </c>
      <c r="FW73">
        <v>220</v>
      </c>
      <c r="FX73" t="s">
        <v>4070</v>
      </c>
      <c r="FY73">
        <v>5</v>
      </c>
      <c r="FZ73" t="s">
        <v>4055</v>
      </c>
      <c r="GA73" t="s">
        <v>4055</v>
      </c>
      <c r="GB73">
        <v>2213</v>
      </c>
      <c r="GC73">
        <v>22</v>
      </c>
      <c r="GD73">
        <v>4720</v>
      </c>
      <c r="GE73" t="s">
        <v>4386</v>
      </c>
      <c r="GF73" t="s">
        <v>4055</v>
      </c>
      <c r="GG73" t="s">
        <v>4055</v>
      </c>
      <c r="GH73" t="s">
        <v>4055</v>
      </c>
      <c r="GI73" t="s">
        <v>4071</v>
      </c>
      <c r="GJ73" t="s">
        <v>4055</v>
      </c>
      <c r="GK73" t="s">
        <v>4055</v>
      </c>
      <c r="GL73" t="s">
        <v>4055</v>
      </c>
      <c r="GM73" t="s">
        <v>4055</v>
      </c>
      <c r="GQ73">
        <v>0</v>
      </c>
      <c r="GV73">
        <v>8.699999999999999</v>
      </c>
      <c r="GW73">
        <v>9.5</v>
      </c>
      <c r="GX73">
        <v>0.5</v>
      </c>
      <c r="GY73">
        <v>186</v>
      </c>
      <c r="GZ73">
        <v>3</v>
      </c>
      <c r="HA73">
        <v>248</v>
      </c>
      <c r="HB73">
        <v>3</v>
      </c>
      <c r="HC73">
        <v>2213</v>
      </c>
      <c r="HD73">
        <v>4</v>
      </c>
      <c r="HE73" t="s">
        <v>4071</v>
      </c>
      <c r="HG73" t="s">
        <v>549</v>
      </c>
      <c r="HL73">
        <v>4</v>
      </c>
      <c r="HM73">
        <v>19</v>
      </c>
      <c r="HN73">
        <v>1</v>
      </c>
      <c r="HO73">
        <v>1</v>
      </c>
      <c r="HP73">
        <v>0</v>
      </c>
      <c r="HQ73">
        <v>0</v>
      </c>
      <c r="HR73">
        <v>3</v>
      </c>
      <c r="HS73">
        <v>2165</v>
      </c>
      <c r="HT73">
        <v>5</v>
      </c>
      <c r="HU73">
        <v>1</v>
      </c>
      <c r="HV73">
        <v>3</v>
      </c>
      <c r="HW73">
        <v>0</v>
      </c>
      <c r="HX73">
        <v>1</v>
      </c>
      <c r="HY73">
        <v>0</v>
      </c>
      <c r="HZ73">
        <v>65</v>
      </c>
      <c r="IA73">
        <v>2168</v>
      </c>
      <c r="IB73">
        <v>2180</v>
      </c>
      <c r="ID73">
        <v>2213</v>
      </c>
      <c r="IE73">
        <v>2213</v>
      </c>
      <c r="IF73">
        <v>205</v>
      </c>
      <c r="IG73">
        <v>195</v>
      </c>
      <c r="IH73">
        <v>248</v>
      </c>
      <c r="II73">
        <v>1</v>
      </c>
      <c r="IJ73">
        <v>5</v>
      </c>
      <c r="IK73">
        <v>0</v>
      </c>
      <c r="IL73">
        <v>0</v>
      </c>
      <c r="IM73">
        <v>0</v>
      </c>
      <c r="IN73">
        <v>270</v>
      </c>
      <c r="IO73">
        <v>0</v>
      </c>
      <c r="IP73">
        <v>180</v>
      </c>
      <c r="IQ73">
        <v>0</v>
      </c>
      <c r="IR73">
        <v>330</v>
      </c>
      <c r="IS73">
        <v>0</v>
      </c>
      <c r="IT73">
        <v>90</v>
      </c>
      <c r="IU73">
        <v>0</v>
      </c>
      <c r="IV73">
        <v>6.4</v>
      </c>
      <c r="IW73">
        <v>-6</v>
      </c>
      <c r="IX73">
        <v>106</v>
      </c>
      <c r="IY73">
        <v>75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406</v>
      </c>
      <c r="JJ73">
        <v>376</v>
      </c>
      <c r="JK73">
        <v>290</v>
      </c>
      <c r="JL73">
        <v>376</v>
      </c>
      <c r="JM73">
        <v>295</v>
      </c>
      <c r="JN73">
        <v>205</v>
      </c>
      <c r="JO73">
        <v>258</v>
      </c>
      <c r="JP73">
        <v>185</v>
      </c>
      <c r="JQ73">
        <v>230</v>
      </c>
      <c r="JR73">
        <v>325</v>
      </c>
      <c r="JS73">
        <v>235</v>
      </c>
      <c r="JT73">
        <v>0</v>
      </c>
      <c r="JU73">
        <v>0</v>
      </c>
      <c r="JV73">
        <v>325</v>
      </c>
      <c r="JW73">
        <v>320</v>
      </c>
      <c r="JX73">
        <v>315</v>
      </c>
      <c r="JY73">
        <v>295</v>
      </c>
      <c r="JZ73">
        <v>3</v>
      </c>
      <c r="KA73">
        <v>0.2</v>
      </c>
      <c r="KB73">
        <v>0.4</v>
      </c>
      <c r="KC73">
        <v>0.42</v>
      </c>
      <c r="KD73">
        <v>0.28</v>
      </c>
      <c r="KE73">
        <v>0.8</v>
      </c>
      <c r="KF73">
        <v>0.16</v>
      </c>
      <c r="KG73">
        <v>0.12</v>
      </c>
      <c r="KH73">
        <v>3.5</v>
      </c>
      <c r="KI73">
        <v>1</v>
      </c>
      <c r="KJ73">
        <v>4.5</v>
      </c>
      <c r="KK73">
        <v>0</v>
      </c>
      <c r="KL73">
        <v>4.5</v>
      </c>
      <c r="KM73">
        <v>0</v>
      </c>
      <c r="KN73">
        <v>2</v>
      </c>
      <c r="KO73">
        <v>0</v>
      </c>
      <c r="KP73">
        <v>0</v>
      </c>
      <c r="KQ73">
        <v>0.7</v>
      </c>
      <c r="KR73">
        <v>0.9</v>
      </c>
      <c r="KS73">
        <v>0</v>
      </c>
      <c r="KT73">
        <v>2.4</v>
      </c>
      <c r="KU73">
        <v>0</v>
      </c>
      <c r="KV73">
        <v>0</v>
      </c>
      <c r="KW73">
        <v>0.7</v>
      </c>
      <c r="KX73">
        <v>1.5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3</v>
      </c>
      <c r="LI73">
        <v>1.5</v>
      </c>
      <c r="LJ73">
        <v>0</v>
      </c>
      <c r="LK73">
        <v>9</v>
      </c>
      <c r="LL73">
        <v>5</v>
      </c>
      <c r="LM73">
        <v>8</v>
      </c>
      <c r="LN73">
        <v>3</v>
      </c>
      <c r="LO73">
        <v>0.2</v>
      </c>
      <c r="LP73">
        <v>0</v>
      </c>
      <c r="LQ73">
        <v>0</v>
      </c>
      <c r="LR73">
        <v>0</v>
      </c>
      <c r="LS73">
        <v>1</v>
      </c>
      <c r="LT73">
        <v>0</v>
      </c>
      <c r="LU73">
        <v>0</v>
      </c>
      <c r="LV73">
        <v>0</v>
      </c>
      <c r="LW73">
        <v>2.8</v>
      </c>
      <c r="LX73">
        <v>2.8</v>
      </c>
      <c r="LY73">
        <v>2.8</v>
      </c>
      <c r="LZ73">
        <v>2.8</v>
      </c>
      <c r="MA73">
        <v>0</v>
      </c>
      <c r="MB73">
        <v>2</v>
      </c>
      <c r="MC73">
        <v>0</v>
      </c>
      <c r="MD73">
        <v>4.5</v>
      </c>
      <c r="ME73">
        <v>6</v>
      </c>
      <c r="MF73">
        <v>6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420</v>
      </c>
      <c r="MN73">
        <v>200</v>
      </c>
      <c r="MO73">
        <v>258</v>
      </c>
      <c r="NU73">
        <v>0.15</v>
      </c>
      <c r="NV73">
        <v>0.2</v>
      </c>
      <c r="NW73">
        <v>0.2</v>
      </c>
      <c r="NX73">
        <v>2</v>
      </c>
      <c r="NY73">
        <v>2</v>
      </c>
      <c r="NZ73">
        <v>2</v>
      </c>
      <c r="OE73" t="s">
        <v>4386</v>
      </c>
      <c r="OF73" t="s">
        <v>4227</v>
      </c>
      <c r="OG73" t="s">
        <v>4228</v>
      </c>
      <c r="OH73" t="s">
        <v>4043</v>
      </c>
      <c r="OI73" t="s">
        <v>4386</v>
      </c>
      <c r="OJ73" t="s">
        <v>4385</v>
      </c>
      <c r="OK73">
        <v>61</v>
      </c>
      <c r="OL73">
        <v>61</v>
      </c>
      <c r="OM73" t="s">
        <v>4227</v>
      </c>
      <c r="ON73">
        <v>1</v>
      </c>
      <c r="OO73">
        <v>2168</v>
      </c>
      <c r="OP73">
        <v>61</v>
      </c>
      <c r="OQ73">
        <v>61</v>
      </c>
      <c r="OR73" t="s">
        <v>4228</v>
      </c>
      <c r="OS73">
        <v>1</v>
      </c>
      <c r="OT73">
        <v>2180</v>
      </c>
      <c r="OU73">
        <v>65</v>
      </c>
      <c r="OV73">
        <v>65</v>
      </c>
      <c r="OW73" t="s">
        <v>4043</v>
      </c>
      <c r="OX73">
        <v>2</v>
      </c>
      <c r="OY73">
        <v>48713</v>
      </c>
      <c r="OZ73">
        <v>51</v>
      </c>
      <c r="PA73">
        <v>51</v>
      </c>
      <c r="PB73" t="s">
        <v>4386</v>
      </c>
      <c r="PC73">
        <v>1</v>
      </c>
      <c r="PD73">
        <v>2213</v>
      </c>
      <c r="PF73">
        <v>443</v>
      </c>
      <c r="PG73">
        <v>35</v>
      </c>
      <c r="PH73">
        <v>422</v>
      </c>
      <c r="PI73">
        <v>0</v>
      </c>
      <c r="PJ73">
        <v>85.7</v>
      </c>
      <c r="PK73">
        <v>2143</v>
      </c>
      <c r="PL73">
        <v>1672.9</v>
      </c>
      <c r="PM73">
        <v>264.8</v>
      </c>
      <c r="PN73">
        <v>99.59999999999999</v>
      </c>
      <c r="PO73">
        <v>10.1</v>
      </c>
      <c r="PP73">
        <v>12</v>
      </c>
      <c r="PQ73">
        <v>5</v>
      </c>
      <c r="PR73">
        <v>5</v>
      </c>
      <c r="PS73">
        <v>0</v>
      </c>
      <c r="PT73">
        <v>248</v>
      </c>
      <c r="PU73">
        <v>12</v>
      </c>
      <c r="PV73" t="s">
        <v>4072</v>
      </c>
      <c r="PW73" t="s">
        <v>4072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-1</v>
      </c>
      <c r="QF73">
        <v>1</v>
      </c>
      <c r="QG73">
        <v>0</v>
      </c>
      <c r="QH73">
        <v>5</v>
      </c>
      <c r="QI73">
        <v>5</v>
      </c>
      <c r="QJ73">
        <v>5</v>
      </c>
      <c r="QK73">
        <v>218</v>
      </c>
      <c r="QL73">
        <v>436</v>
      </c>
      <c r="QM73">
        <v>7.5</v>
      </c>
      <c r="QN73">
        <v>1545.7</v>
      </c>
      <c r="QO73" t="s">
        <v>1477</v>
      </c>
      <c r="QP73" t="s">
        <v>513</v>
      </c>
      <c r="QQ73">
        <v>0</v>
      </c>
      <c r="QR73" t="s">
        <v>704</v>
      </c>
      <c r="QS73">
        <v>40</v>
      </c>
      <c r="QT73">
        <v>50</v>
      </c>
    </row>
    <row r="74" spans="1:462">
      <c r="A74" t="s">
        <v>1543</v>
      </c>
      <c r="B74" t="s">
        <v>897</v>
      </c>
      <c r="C74" t="s">
        <v>509</v>
      </c>
      <c r="D74" t="s">
        <v>951</v>
      </c>
      <c r="E74" t="s">
        <v>4036</v>
      </c>
      <c r="H74" t="s">
        <v>604</v>
      </c>
      <c r="I74" t="s">
        <v>605</v>
      </c>
      <c r="K74" t="s">
        <v>606</v>
      </c>
      <c r="L74" t="s">
        <v>657</v>
      </c>
      <c r="M74" t="s">
        <v>512</v>
      </c>
      <c r="O74" t="s">
        <v>513</v>
      </c>
      <c r="P74" t="s">
        <v>567</v>
      </c>
      <c r="Q74" t="s">
        <v>1544</v>
      </c>
      <c r="R74" t="s">
        <v>1481</v>
      </c>
      <c r="S74" t="s">
        <v>4091</v>
      </c>
      <c r="T74" t="s">
        <v>1457</v>
      </c>
      <c r="U74" t="s">
        <v>1458</v>
      </c>
      <c r="V74" t="s">
        <v>1545</v>
      </c>
      <c r="W74" t="s">
        <v>1460</v>
      </c>
      <c r="X74" t="s">
        <v>1546</v>
      </c>
      <c r="Y74" t="s">
        <v>1547</v>
      </c>
      <c r="Z74" t="s">
        <v>541</v>
      </c>
      <c r="AA74" t="s">
        <v>4038</v>
      </c>
      <c r="AB74" t="s">
        <v>1619</v>
      </c>
      <c r="AC74">
        <v>13</v>
      </c>
      <c r="AD74" t="s">
        <v>1542</v>
      </c>
      <c r="AE74">
        <v>8</v>
      </c>
      <c r="AF74">
        <v>3311</v>
      </c>
      <c r="AG74" t="s">
        <v>4365</v>
      </c>
      <c r="AH74">
        <v>1</v>
      </c>
      <c r="AI74" t="s">
        <v>4041</v>
      </c>
      <c r="AK74" t="s">
        <v>4366</v>
      </c>
      <c r="AL74">
        <v>1</v>
      </c>
      <c r="AM74" t="s">
        <v>582</v>
      </c>
      <c r="AO74" t="s">
        <v>4353</v>
      </c>
      <c r="AP74">
        <v>1</v>
      </c>
      <c r="AR74" t="s">
        <v>4387</v>
      </c>
      <c r="AS74">
        <v>1</v>
      </c>
      <c r="AT74">
        <v>52</v>
      </c>
      <c r="AV74" t="s">
        <v>4045</v>
      </c>
      <c r="AW74">
        <v>6.4</v>
      </c>
      <c r="AX74">
        <v>-6</v>
      </c>
      <c r="AY74">
        <v>78.5</v>
      </c>
      <c r="AZ74">
        <v>69</v>
      </c>
      <c r="BH74">
        <v>78.5</v>
      </c>
      <c r="BI74">
        <v>9.5</v>
      </c>
      <c r="BJ74">
        <v>69</v>
      </c>
      <c r="BK74">
        <v>3.5</v>
      </c>
      <c r="BL74">
        <v>157</v>
      </c>
      <c r="BM74">
        <v>-6</v>
      </c>
      <c r="BN74">
        <v>0</v>
      </c>
      <c r="BP74">
        <v>0</v>
      </c>
      <c r="BR74">
        <v>150</v>
      </c>
      <c r="BS74">
        <v>140</v>
      </c>
      <c r="BT74">
        <v>1740</v>
      </c>
      <c r="BU74" t="s">
        <v>4355</v>
      </c>
      <c r="BV74" t="s">
        <v>4355</v>
      </c>
      <c r="BW74" t="s">
        <v>4356</v>
      </c>
      <c r="BX74" t="s">
        <v>4356</v>
      </c>
      <c r="BY74" t="s">
        <v>4388</v>
      </c>
      <c r="BZ74" t="s">
        <v>4357</v>
      </c>
      <c r="CA74" t="s">
        <v>4358</v>
      </c>
      <c r="CB74" t="s">
        <v>4359</v>
      </c>
      <c r="CC74" t="s">
        <v>4053</v>
      </c>
      <c r="CD74" t="s">
        <v>4359</v>
      </c>
      <c r="CE74" t="s">
        <v>4360</v>
      </c>
      <c r="CF74" t="s">
        <v>4361</v>
      </c>
      <c r="CG74" t="s">
        <v>4056</v>
      </c>
      <c r="CH74" t="s">
        <v>4145</v>
      </c>
      <c r="CI74" t="s">
        <v>4058</v>
      </c>
      <c r="CJ74" t="s">
        <v>4059</v>
      </c>
      <c r="CK74" t="s">
        <v>4060</v>
      </c>
      <c r="CL74" t="s">
        <v>4061</v>
      </c>
      <c r="CM74" t="s">
        <v>4062</v>
      </c>
      <c r="CN74" t="s">
        <v>4055</v>
      </c>
      <c r="CO74" t="s">
        <v>4063</v>
      </c>
      <c r="CP74" t="s">
        <v>4055</v>
      </c>
      <c r="CQ74" t="s">
        <v>4055</v>
      </c>
      <c r="CR74">
        <v>5</v>
      </c>
      <c r="CS74" t="s">
        <v>4055</v>
      </c>
      <c r="CT74" t="s">
        <v>4055</v>
      </c>
      <c r="CU74" t="s">
        <v>4055</v>
      </c>
      <c r="CV74">
        <v>97</v>
      </c>
      <c r="CW74">
        <v>3</v>
      </c>
      <c r="CX74">
        <v>65</v>
      </c>
      <c r="CY74">
        <v>5</v>
      </c>
      <c r="CZ74">
        <v>124</v>
      </c>
      <c r="DA74">
        <v>5</v>
      </c>
      <c r="DB74">
        <v>6920</v>
      </c>
      <c r="DC74">
        <v>200</v>
      </c>
      <c r="DD74">
        <v>279</v>
      </c>
      <c r="DE74">
        <v>1822</v>
      </c>
      <c r="DF74">
        <v>1822</v>
      </c>
      <c r="DG74">
        <v>1844</v>
      </c>
      <c r="DH74" t="s">
        <v>4055</v>
      </c>
      <c r="DJ74" t="s">
        <v>4100</v>
      </c>
      <c r="DK74">
        <v>150</v>
      </c>
      <c r="DL74" t="s">
        <v>4101</v>
      </c>
      <c r="DM74">
        <v>65</v>
      </c>
      <c r="DN74">
        <v>0.84</v>
      </c>
      <c r="DO74">
        <v>1</v>
      </c>
      <c r="DP74">
        <v>1743</v>
      </c>
      <c r="DQ74">
        <v>478</v>
      </c>
      <c r="DR74" t="s">
        <v>4100</v>
      </c>
      <c r="DS74">
        <v>140</v>
      </c>
      <c r="DT74" t="s">
        <v>4101</v>
      </c>
      <c r="DU74">
        <v>65</v>
      </c>
      <c r="DV74">
        <v>0.84</v>
      </c>
      <c r="DW74">
        <v>1</v>
      </c>
      <c r="DX74">
        <v>1750</v>
      </c>
      <c r="DY74">
        <v>448</v>
      </c>
      <c r="DZ74" t="s">
        <v>4066</v>
      </c>
      <c r="EA74">
        <v>33</v>
      </c>
      <c r="EB74" t="s">
        <v>4065</v>
      </c>
      <c r="EC74">
        <v>0.4</v>
      </c>
      <c r="ED74">
        <v>1743</v>
      </c>
      <c r="EE74">
        <v>51</v>
      </c>
      <c r="EF74" t="s">
        <v>4066</v>
      </c>
      <c r="EG74">
        <v>33</v>
      </c>
      <c r="EH74" t="s">
        <v>4065</v>
      </c>
      <c r="EI74">
        <v>0.4</v>
      </c>
      <c r="EJ74">
        <v>1750</v>
      </c>
      <c r="EK74">
        <v>51</v>
      </c>
      <c r="EL74" t="s">
        <v>4362</v>
      </c>
      <c r="EM74">
        <v>12</v>
      </c>
      <c r="EN74">
        <v>0.5</v>
      </c>
      <c r="EO74">
        <v>0.77</v>
      </c>
      <c r="EP74">
        <v>1750.56</v>
      </c>
      <c r="EQ74">
        <v>23112.86</v>
      </c>
      <c r="ER74">
        <v>2605.67</v>
      </c>
      <c r="ES74">
        <v>0</v>
      </c>
      <c r="ET74">
        <v>0</v>
      </c>
      <c r="EU74">
        <v>1</v>
      </c>
      <c r="EV74">
        <v>25719</v>
      </c>
      <c r="EW74">
        <v>258</v>
      </c>
      <c r="EX74" t="s">
        <v>4363</v>
      </c>
      <c r="EY74">
        <v>168</v>
      </c>
      <c r="EZ74" t="s">
        <v>4055</v>
      </c>
      <c r="FA74">
        <v>4.9</v>
      </c>
      <c r="FB74">
        <v>1</v>
      </c>
      <c r="FC74">
        <v>1</v>
      </c>
      <c r="FD74">
        <v>1776</v>
      </c>
      <c r="FE74">
        <v>1726</v>
      </c>
      <c r="FF74" t="s">
        <v>4089</v>
      </c>
      <c r="FG74">
        <v>168</v>
      </c>
      <c r="FH74" t="s">
        <v>4055</v>
      </c>
      <c r="FI74">
        <v>1.2</v>
      </c>
      <c r="FJ74">
        <v>1776</v>
      </c>
      <c r="FK74">
        <v>366</v>
      </c>
      <c r="FL74" t="s">
        <v>4069</v>
      </c>
      <c r="FM74" t="s">
        <v>4055</v>
      </c>
      <c r="FN74" t="s">
        <v>4055</v>
      </c>
      <c r="FO74" t="s">
        <v>4055</v>
      </c>
      <c r="FP74">
        <v>1776</v>
      </c>
      <c r="FQ74">
        <v>78</v>
      </c>
      <c r="FR74" t="s">
        <v>4090</v>
      </c>
      <c r="FS74">
        <v>172</v>
      </c>
      <c r="FT74" t="s">
        <v>4055</v>
      </c>
      <c r="FU74">
        <v>0.4</v>
      </c>
      <c r="FV74">
        <v>1776</v>
      </c>
      <c r="FW74">
        <v>136</v>
      </c>
      <c r="FX74" t="s">
        <v>4070</v>
      </c>
      <c r="FY74">
        <v>10</v>
      </c>
      <c r="FZ74" t="s">
        <v>4055</v>
      </c>
      <c r="GA74" t="s">
        <v>4055</v>
      </c>
      <c r="GB74">
        <v>1776</v>
      </c>
      <c r="GC74">
        <v>13</v>
      </c>
      <c r="GD74">
        <v>2319</v>
      </c>
      <c r="GE74" t="s">
        <v>4387</v>
      </c>
      <c r="GF74" t="s">
        <v>4055</v>
      </c>
      <c r="GG74" t="s">
        <v>4055</v>
      </c>
      <c r="GH74" t="s">
        <v>4055</v>
      </c>
      <c r="GI74" t="s">
        <v>4071</v>
      </c>
      <c r="GJ74" t="s">
        <v>4055</v>
      </c>
      <c r="GK74" t="s">
        <v>4055</v>
      </c>
      <c r="GL74" t="s">
        <v>4055</v>
      </c>
      <c r="GM74" t="s">
        <v>4055</v>
      </c>
      <c r="GQ74">
        <v>0</v>
      </c>
      <c r="GV74">
        <v>6.5</v>
      </c>
      <c r="GW74">
        <v>8.5</v>
      </c>
      <c r="GX74">
        <v>0.5</v>
      </c>
      <c r="GY74">
        <v>140</v>
      </c>
      <c r="GZ74">
        <v>3</v>
      </c>
      <c r="HA74">
        <v>182</v>
      </c>
      <c r="HB74">
        <v>3</v>
      </c>
      <c r="HC74">
        <v>1776</v>
      </c>
      <c r="HD74">
        <v>4</v>
      </c>
      <c r="HE74" t="s">
        <v>4071</v>
      </c>
      <c r="HG74" t="s">
        <v>549</v>
      </c>
      <c r="HL74">
        <v>4</v>
      </c>
      <c r="HM74">
        <v>14</v>
      </c>
      <c r="HN74">
        <v>6</v>
      </c>
      <c r="HO74">
        <v>1</v>
      </c>
      <c r="HP74">
        <v>0</v>
      </c>
      <c r="HQ74">
        <v>0</v>
      </c>
      <c r="HR74">
        <v>1</v>
      </c>
      <c r="HS74">
        <v>1740</v>
      </c>
      <c r="HT74">
        <v>5</v>
      </c>
      <c r="HU74">
        <v>1</v>
      </c>
      <c r="HV74">
        <v>5</v>
      </c>
      <c r="HW74">
        <v>0</v>
      </c>
      <c r="HX74">
        <v>1</v>
      </c>
      <c r="HY74">
        <v>0</v>
      </c>
      <c r="HZ74">
        <v>65</v>
      </c>
      <c r="IA74">
        <v>1743</v>
      </c>
      <c r="IB74">
        <v>1750</v>
      </c>
      <c r="ID74">
        <v>1776</v>
      </c>
      <c r="IE74">
        <v>1776</v>
      </c>
      <c r="IF74">
        <v>150</v>
      </c>
      <c r="IG74">
        <v>140</v>
      </c>
      <c r="IH74">
        <v>182</v>
      </c>
      <c r="II74">
        <v>0</v>
      </c>
      <c r="IJ74">
        <v>5</v>
      </c>
      <c r="IK74">
        <v>0</v>
      </c>
      <c r="IL74">
        <v>2</v>
      </c>
      <c r="IM74">
        <v>0</v>
      </c>
      <c r="IN74">
        <v>270</v>
      </c>
      <c r="IO74">
        <v>0</v>
      </c>
      <c r="IP74">
        <v>180</v>
      </c>
      <c r="IQ74">
        <v>0</v>
      </c>
      <c r="IR74">
        <v>330</v>
      </c>
      <c r="IS74">
        <v>0</v>
      </c>
      <c r="IT74">
        <v>90</v>
      </c>
      <c r="IU74">
        <v>0</v>
      </c>
      <c r="IV74">
        <v>6.4</v>
      </c>
      <c r="IW74">
        <v>-6</v>
      </c>
      <c r="IX74">
        <v>78.5</v>
      </c>
      <c r="IY74">
        <v>69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338</v>
      </c>
      <c r="JJ74">
        <v>298</v>
      </c>
      <c r="JK74">
        <v>235</v>
      </c>
      <c r="JL74">
        <v>296</v>
      </c>
      <c r="JM74">
        <v>242</v>
      </c>
      <c r="JN74">
        <v>158</v>
      </c>
      <c r="JO74">
        <v>200</v>
      </c>
      <c r="JP74">
        <v>230</v>
      </c>
      <c r="JQ74">
        <v>270</v>
      </c>
      <c r="JR74">
        <v>355</v>
      </c>
      <c r="JS74">
        <v>275</v>
      </c>
      <c r="JT74">
        <v>0</v>
      </c>
      <c r="JU74">
        <v>0</v>
      </c>
      <c r="JV74">
        <v>335</v>
      </c>
      <c r="JW74">
        <v>337</v>
      </c>
      <c r="JX74">
        <v>0</v>
      </c>
      <c r="JY74">
        <v>0</v>
      </c>
      <c r="JZ74">
        <v>0</v>
      </c>
      <c r="KA74">
        <v>0.2</v>
      </c>
      <c r="KB74">
        <v>0.4</v>
      </c>
      <c r="KC74">
        <v>0.42</v>
      </c>
      <c r="KD74">
        <v>0.3</v>
      </c>
      <c r="KE74">
        <v>0.5</v>
      </c>
      <c r="KF74">
        <v>0.19</v>
      </c>
      <c r="KG74">
        <v>0.11</v>
      </c>
      <c r="KH74">
        <v>6</v>
      </c>
      <c r="KI74">
        <v>1</v>
      </c>
      <c r="KJ74">
        <v>3.5</v>
      </c>
      <c r="KK74">
        <v>1</v>
      </c>
      <c r="KL74">
        <v>5</v>
      </c>
      <c r="KM74">
        <v>3</v>
      </c>
      <c r="KN74">
        <v>1.6</v>
      </c>
      <c r="KO74">
        <v>1</v>
      </c>
      <c r="KP74">
        <v>1.2</v>
      </c>
      <c r="KQ74">
        <v>0.5</v>
      </c>
      <c r="KR74">
        <v>1</v>
      </c>
      <c r="KS74">
        <v>0</v>
      </c>
      <c r="KT74">
        <v>2.1</v>
      </c>
      <c r="KU74">
        <v>0</v>
      </c>
      <c r="KV74">
        <v>1.4</v>
      </c>
      <c r="KW74">
        <v>1.2</v>
      </c>
      <c r="KX74">
        <v>2</v>
      </c>
      <c r="KY74">
        <v>0</v>
      </c>
      <c r="KZ74">
        <v>3.8</v>
      </c>
      <c r="LA74">
        <v>2</v>
      </c>
      <c r="LB74">
        <v>10</v>
      </c>
      <c r="LC74">
        <v>2.5</v>
      </c>
      <c r="LD74">
        <v>3.5</v>
      </c>
      <c r="LE74">
        <v>2</v>
      </c>
      <c r="LF74">
        <v>0</v>
      </c>
      <c r="LG74">
        <v>0</v>
      </c>
      <c r="LH74">
        <v>3</v>
      </c>
      <c r="LI74">
        <v>0</v>
      </c>
      <c r="LJ74">
        <v>0</v>
      </c>
      <c r="LK74">
        <v>8</v>
      </c>
      <c r="LL74">
        <v>10</v>
      </c>
      <c r="LM74">
        <v>9</v>
      </c>
      <c r="LN74">
        <v>0.1</v>
      </c>
      <c r="LO74">
        <v>1.5</v>
      </c>
      <c r="LP74">
        <v>0</v>
      </c>
      <c r="LQ74">
        <v>0</v>
      </c>
      <c r="LR74">
        <v>0</v>
      </c>
      <c r="LS74">
        <v>1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1.5</v>
      </c>
      <c r="MC74">
        <v>0</v>
      </c>
      <c r="MD74">
        <v>4.5</v>
      </c>
      <c r="ME74">
        <v>6</v>
      </c>
      <c r="MF74">
        <v>6</v>
      </c>
      <c r="MI74">
        <v>0</v>
      </c>
      <c r="MJ74">
        <v>0</v>
      </c>
      <c r="ML74">
        <v>0</v>
      </c>
      <c r="MM74">
        <v>358</v>
      </c>
      <c r="MN74">
        <v>145</v>
      </c>
      <c r="MO74">
        <v>192</v>
      </c>
      <c r="NU74">
        <v>0.15</v>
      </c>
      <c r="NV74">
        <v>0.2</v>
      </c>
      <c r="NW74">
        <v>0.2</v>
      </c>
      <c r="NX74">
        <v>2</v>
      </c>
      <c r="NY74">
        <v>2</v>
      </c>
      <c r="NZ74">
        <v>2</v>
      </c>
      <c r="OE74" t="s">
        <v>4387</v>
      </c>
      <c r="OF74" t="s">
        <v>4365</v>
      </c>
      <c r="OG74" t="s">
        <v>4366</v>
      </c>
      <c r="OH74" t="s">
        <v>4353</v>
      </c>
      <c r="OI74" t="s">
        <v>4387</v>
      </c>
      <c r="OJ74" t="s">
        <v>1619</v>
      </c>
      <c r="OK74">
        <v>61</v>
      </c>
      <c r="OL74">
        <v>61</v>
      </c>
      <c r="OM74" t="s">
        <v>4365</v>
      </c>
      <c r="ON74">
        <v>3</v>
      </c>
      <c r="OO74">
        <v>1743</v>
      </c>
      <c r="OP74">
        <v>61</v>
      </c>
      <c r="OQ74">
        <v>61</v>
      </c>
      <c r="OR74" t="s">
        <v>4366</v>
      </c>
      <c r="OS74">
        <v>3</v>
      </c>
      <c r="OT74">
        <v>1750</v>
      </c>
      <c r="OU74">
        <v>65</v>
      </c>
      <c r="OV74">
        <v>65</v>
      </c>
      <c r="OW74" t="s">
        <v>4353</v>
      </c>
      <c r="OX74">
        <v>1</v>
      </c>
      <c r="OY74">
        <v>25719</v>
      </c>
      <c r="OZ74">
        <v>51</v>
      </c>
      <c r="PA74">
        <v>52</v>
      </c>
      <c r="PB74" t="s">
        <v>4387</v>
      </c>
      <c r="PC74">
        <v>3</v>
      </c>
      <c r="PD74">
        <v>1776</v>
      </c>
      <c r="PF74">
        <v>274</v>
      </c>
      <c r="PG74">
        <v>29</v>
      </c>
      <c r="PH74">
        <v>256</v>
      </c>
      <c r="PI74">
        <v>29</v>
      </c>
      <c r="PJ74">
        <v>44.2</v>
      </c>
      <c r="PK74">
        <v>1323</v>
      </c>
      <c r="PL74">
        <v>972</v>
      </c>
      <c r="PM74">
        <v>206.1</v>
      </c>
      <c r="PN74">
        <v>76.40000000000001</v>
      </c>
      <c r="PO74">
        <v>7.6</v>
      </c>
      <c r="PP74">
        <v>10</v>
      </c>
      <c r="PQ74">
        <v>8</v>
      </c>
      <c r="PR74">
        <v>8</v>
      </c>
      <c r="PS74">
        <v>6</v>
      </c>
      <c r="PT74">
        <v>182</v>
      </c>
      <c r="PU74">
        <v>7</v>
      </c>
      <c r="PV74" t="s">
        <v>4072</v>
      </c>
      <c r="PW74" t="s">
        <v>4072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-1</v>
      </c>
      <c r="QF74">
        <v>1</v>
      </c>
      <c r="QG74">
        <v>0</v>
      </c>
      <c r="QH74">
        <v>5</v>
      </c>
      <c r="QI74">
        <v>5</v>
      </c>
      <c r="QJ74">
        <v>5</v>
      </c>
      <c r="QK74">
        <v>164</v>
      </c>
      <c r="QL74">
        <v>372</v>
      </c>
      <c r="QM74">
        <v>7.5</v>
      </c>
      <c r="QN74">
        <v>1124.6</v>
      </c>
      <c r="QO74" t="s">
        <v>1477</v>
      </c>
      <c r="QP74" t="s">
        <v>513</v>
      </c>
      <c r="QQ74">
        <v>0</v>
      </c>
      <c r="QR74" t="s">
        <v>540</v>
      </c>
      <c r="QS74">
        <v>30</v>
      </c>
      <c r="QT74">
        <v>40</v>
      </c>
    </row>
    <row r="75" spans="1:462">
      <c r="A75" t="s">
        <v>1552</v>
      </c>
      <c r="B75" t="s">
        <v>564</v>
      </c>
      <c r="C75" t="s">
        <v>509</v>
      </c>
      <c r="D75" t="s">
        <v>951</v>
      </c>
      <c r="E75" t="s">
        <v>4036</v>
      </c>
      <c r="H75" t="s">
        <v>604</v>
      </c>
      <c r="I75" t="s">
        <v>605</v>
      </c>
      <c r="K75" t="s">
        <v>606</v>
      </c>
      <c r="L75" t="s">
        <v>629</v>
      </c>
      <c r="M75" t="s">
        <v>512</v>
      </c>
      <c r="O75" t="s">
        <v>513</v>
      </c>
      <c r="P75" t="s">
        <v>567</v>
      </c>
      <c r="Q75" t="s">
        <v>1553</v>
      </c>
      <c r="R75" t="s">
        <v>1554</v>
      </c>
      <c r="S75" t="s">
        <v>4170</v>
      </c>
      <c r="T75" t="s">
        <v>1482</v>
      </c>
      <c r="U75" t="s">
        <v>1483</v>
      </c>
      <c r="V75" t="s">
        <v>1555</v>
      </c>
      <c r="W75" t="s">
        <v>1460</v>
      </c>
      <c r="X75" t="s">
        <v>1556</v>
      </c>
      <c r="Y75" t="s">
        <v>1557</v>
      </c>
      <c r="Z75" t="s">
        <v>541</v>
      </c>
      <c r="AA75" t="s">
        <v>3054</v>
      </c>
      <c r="AB75" t="s">
        <v>4389</v>
      </c>
      <c r="AC75">
        <v>9</v>
      </c>
      <c r="AD75" t="s">
        <v>1551</v>
      </c>
      <c r="AE75">
        <v>5</v>
      </c>
      <c r="AF75">
        <v>3402</v>
      </c>
      <c r="AG75" t="s">
        <v>4365</v>
      </c>
      <c r="AH75">
        <v>1</v>
      </c>
      <c r="AI75" t="s">
        <v>4041</v>
      </c>
      <c r="AK75" t="s">
        <v>4366</v>
      </c>
      <c r="AL75">
        <v>1</v>
      </c>
      <c r="AM75" t="s">
        <v>582</v>
      </c>
      <c r="AO75" t="s">
        <v>4043</v>
      </c>
      <c r="AP75">
        <v>1</v>
      </c>
      <c r="AR75" t="s">
        <v>4390</v>
      </c>
      <c r="AS75">
        <v>1</v>
      </c>
      <c r="AT75">
        <v>52</v>
      </c>
      <c r="AV75" t="s">
        <v>4078</v>
      </c>
      <c r="AW75">
        <v>6.4</v>
      </c>
      <c r="AX75">
        <v>-6</v>
      </c>
      <c r="AY75">
        <v>78</v>
      </c>
      <c r="AZ75">
        <v>46</v>
      </c>
      <c r="BH75">
        <v>78</v>
      </c>
      <c r="BI75">
        <v>32</v>
      </c>
      <c r="BJ75">
        <v>46</v>
      </c>
      <c r="BK75">
        <v>3</v>
      </c>
      <c r="BL75">
        <v>156</v>
      </c>
      <c r="BM75">
        <v>-6</v>
      </c>
      <c r="BN75">
        <v>0</v>
      </c>
      <c r="BP75">
        <v>0</v>
      </c>
      <c r="BR75">
        <v>150</v>
      </c>
      <c r="BS75">
        <v>140</v>
      </c>
      <c r="BT75">
        <v>1760</v>
      </c>
      <c r="BU75" t="s">
        <v>4355</v>
      </c>
      <c r="BV75" t="s">
        <v>4046</v>
      </c>
      <c r="BW75" t="s">
        <v>4368</v>
      </c>
      <c r="BX75" t="s">
        <v>4048</v>
      </c>
      <c r="BY75" t="s">
        <v>4369</v>
      </c>
      <c r="BZ75" t="s">
        <v>4369</v>
      </c>
      <c r="CA75" t="s">
        <v>4370</v>
      </c>
      <c r="CB75" t="s">
        <v>4371</v>
      </c>
      <c r="CC75" t="s">
        <v>4053</v>
      </c>
      <c r="CD75" t="s">
        <v>4372</v>
      </c>
      <c r="CE75" t="s">
        <v>4055</v>
      </c>
      <c r="CF75" t="s">
        <v>4055</v>
      </c>
      <c r="CG75" t="s">
        <v>4056</v>
      </c>
      <c r="CH75" t="s">
        <v>4145</v>
      </c>
      <c r="CI75" t="s">
        <v>4058</v>
      </c>
      <c r="CJ75" t="s">
        <v>4059</v>
      </c>
      <c r="CK75" t="s">
        <v>4060</v>
      </c>
      <c r="CL75" t="s">
        <v>4061</v>
      </c>
      <c r="CM75" t="s">
        <v>4062</v>
      </c>
      <c r="CN75" t="s">
        <v>4055</v>
      </c>
      <c r="CO75" t="s">
        <v>4063</v>
      </c>
      <c r="CP75" t="s">
        <v>4055</v>
      </c>
      <c r="CQ75" t="s">
        <v>4055</v>
      </c>
      <c r="CR75">
        <v>5</v>
      </c>
      <c r="CS75" t="s">
        <v>4055</v>
      </c>
      <c r="CT75" t="s">
        <v>4055</v>
      </c>
      <c r="CU75" t="s">
        <v>4055</v>
      </c>
      <c r="CV75">
        <v>102</v>
      </c>
      <c r="CW75">
        <v>3</v>
      </c>
      <c r="CX75">
        <v>66</v>
      </c>
      <c r="CY75">
        <v>5</v>
      </c>
      <c r="CZ75">
        <v>122</v>
      </c>
      <c r="DA75">
        <v>5</v>
      </c>
      <c r="DB75">
        <v>7250</v>
      </c>
      <c r="DC75">
        <v>210</v>
      </c>
      <c r="DD75">
        <v>280</v>
      </c>
      <c r="DE75">
        <v>1840</v>
      </c>
      <c r="DF75">
        <v>1840</v>
      </c>
      <c r="DG75">
        <v>1870</v>
      </c>
      <c r="DH75" t="s">
        <v>4055</v>
      </c>
      <c r="DJ75" t="s">
        <v>4100</v>
      </c>
      <c r="DK75">
        <v>150</v>
      </c>
      <c r="DL75" t="s">
        <v>4101</v>
      </c>
      <c r="DM75">
        <v>65</v>
      </c>
      <c r="DN75">
        <v>0.84</v>
      </c>
      <c r="DO75">
        <v>1</v>
      </c>
      <c r="DP75">
        <v>1763</v>
      </c>
      <c r="DQ75">
        <v>483</v>
      </c>
      <c r="DR75" t="s">
        <v>4100</v>
      </c>
      <c r="DS75">
        <v>140</v>
      </c>
      <c r="DT75" t="s">
        <v>4101</v>
      </c>
      <c r="DU75">
        <v>65</v>
      </c>
      <c r="DV75">
        <v>0.84</v>
      </c>
      <c r="DW75">
        <v>1</v>
      </c>
      <c r="DX75">
        <v>1770</v>
      </c>
      <c r="DY75">
        <v>453</v>
      </c>
      <c r="DZ75" t="s">
        <v>4066</v>
      </c>
      <c r="EA75">
        <v>33</v>
      </c>
      <c r="EB75" t="s">
        <v>4065</v>
      </c>
      <c r="EC75">
        <v>0.4</v>
      </c>
      <c r="ED75">
        <v>1763</v>
      </c>
      <c r="EE75">
        <v>51</v>
      </c>
      <c r="EF75" t="s">
        <v>4066</v>
      </c>
      <c r="EG75">
        <v>33</v>
      </c>
      <c r="EH75" t="s">
        <v>4065</v>
      </c>
      <c r="EI75">
        <v>0.4</v>
      </c>
      <c r="EJ75">
        <v>1770</v>
      </c>
      <c r="EK75">
        <v>51</v>
      </c>
      <c r="EL75" t="s">
        <v>1528</v>
      </c>
      <c r="EM75">
        <v>12</v>
      </c>
      <c r="EN75">
        <v>0.5</v>
      </c>
      <c r="EO75">
        <v>0.96</v>
      </c>
      <c r="EP75">
        <v>1770.56</v>
      </c>
      <c r="EQ75">
        <v>23238.6</v>
      </c>
      <c r="ER75">
        <v>8882.959999999999</v>
      </c>
      <c r="ES75">
        <v>0</v>
      </c>
      <c r="ET75">
        <v>0</v>
      </c>
      <c r="EU75">
        <v>1</v>
      </c>
      <c r="EV75">
        <v>32122</v>
      </c>
      <c r="EW75">
        <v>386</v>
      </c>
      <c r="EX75" t="s">
        <v>4363</v>
      </c>
      <c r="EY75">
        <v>174</v>
      </c>
      <c r="EZ75" t="s">
        <v>4055</v>
      </c>
      <c r="FA75">
        <v>3.8</v>
      </c>
      <c r="FB75">
        <v>1</v>
      </c>
      <c r="FC75">
        <v>1</v>
      </c>
      <c r="FD75">
        <v>1795</v>
      </c>
      <c r="FE75">
        <v>1713</v>
      </c>
      <c r="FF75" t="s">
        <v>4089</v>
      </c>
      <c r="FG75">
        <v>174</v>
      </c>
      <c r="FH75" t="s">
        <v>4055</v>
      </c>
      <c r="FI75">
        <v>1.6</v>
      </c>
      <c r="FJ75">
        <v>1795</v>
      </c>
      <c r="FK75">
        <v>481</v>
      </c>
      <c r="FL75" t="s">
        <v>4069</v>
      </c>
      <c r="FM75" t="s">
        <v>4055</v>
      </c>
      <c r="FN75" t="s">
        <v>4055</v>
      </c>
      <c r="FO75" t="s">
        <v>4055</v>
      </c>
      <c r="FP75">
        <v>1795</v>
      </c>
      <c r="FQ75">
        <v>72</v>
      </c>
      <c r="FR75" t="s">
        <v>4090</v>
      </c>
      <c r="FS75">
        <v>178</v>
      </c>
      <c r="FT75" t="s">
        <v>4055</v>
      </c>
      <c r="FU75">
        <v>0.4</v>
      </c>
      <c r="FV75">
        <v>1795</v>
      </c>
      <c r="FW75">
        <v>142</v>
      </c>
      <c r="FX75" t="s">
        <v>4070</v>
      </c>
      <c r="FY75">
        <v>10</v>
      </c>
      <c r="FZ75" t="s">
        <v>4055</v>
      </c>
      <c r="GA75" t="s">
        <v>4055</v>
      </c>
      <c r="GB75">
        <v>1795</v>
      </c>
      <c r="GC75">
        <v>16</v>
      </c>
      <c r="GD75">
        <v>2424</v>
      </c>
      <c r="GE75" t="s">
        <v>4390</v>
      </c>
      <c r="GF75" t="s">
        <v>4055</v>
      </c>
      <c r="GG75" t="s">
        <v>4055</v>
      </c>
      <c r="GH75" t="s">
        <v>4055</v>
      </c>
      <c r="GI75" t="s">
        <v>4071</v>
      </c>
      <c r="GJ75" t="s">
        <v>4055</v>
      </c>
      <c r="GK75" t="s">
        <v>4055</v>
      </c>
      <c r="GL75" t="s">
        <v>4055</v>
      </c>
      <c r="GM75" t="s">
        <v>4055</v>
      </c>
      <c r="GQ75">
        <v>0</v>
      </c>
      <c r="GV75">
        <v>5.8</v>
      </c>
      <c r="GW75">
        <v>8</v>
      </c>
      <c r="GX75">
        <v>0.5</v>
      </c>
      <c r="GY75">
        <v>136</v>
      </c>
      <c r="GZ75">
        <v>3</v>
      </c>
      <c r="HA75">
        <v>186</v>
      </c>
      <c r="HB75">
        <v>3</v>
      </c>
      <c r="HC75">
        <v>1795</v>
      </c>
      <c r="HD75">
        <v>4</v>
      </c>
      <c r="HE75" t="s">
        <v>4071</v>
      </c>
      <c r="HG75" t="s">
        <v>549</v>
      </c>
      <c r="HL75">
        <v>4</v>
      </c>
      <c r="HM75">
        <v>15</v>
      </c>
      <c r="HN75">
        <v>6</v>
      </c>
      <c r="HO75">
        <v>1</v>
      </c>
      <c r="HP75">
        <v>0</v>
      </c>
      <c r="HQ75">
        <v>0</v>
      </c>
      <c r="HR75">
        <v>2</v>
      </c>
      <c r="HS75">
        <v>1760</v>
      </c>
      <c r="HT75">
        <v>5</v>
      </c>
      <c r="HU75">
        <v>1</v>
      </c>
      <c r="HV75">
        <v>0</v>
      </c>
      <c r="HW75">
        <v>0</v>
      </c>
      <c r="HX75">
        <v>1</v>
      </c>
      <c r="HY75">
        <v>0</v>
      </c>
      <c r="HZ75">
        <v>65</v>
      </c>
      <c r="IA75">
        <v>1763</v>
      </c>
      <c r="IB75">
        <v>1770</v>
      </c>
      <c r="ID75">
        <v>1795</v>
      </c>
      <c r="IE75">
        <v>1795</v>
      </c>
      <c r="IF75">
        <v>150</v>
      </c>
      <c r="IG75">
        <v>140</v>
      </c>
      <c r="IH75">
        <v>186</v>
      </c>
      <c r="II75">
        <v>1</v>
      </c>
      <c r="IJ75">
        <v>5</v>
      </c>
      <c r="IK75">
        <v>0</v>
      </c>
      <c r="IL75">
        <v>0</v>
      </c>
      <c r="IM75">
        <v>0</v>
      </c>
      <c r="IN75">
        <v>270</v>
      </c>
      <c r="IO75">
        <v>0</v>
      </c>
      <c r="IP75">
        <v>180</v>
      </c>
      <c r="IQ75">
        <v>0</v>
      </c>
      <c r="IR75">
        <v>330</v>
      </c>
      <c r="IS75">
        <v>0</v>
      </c>
      <c r="IT75">
        <v>90</v>
      </c>
      <c r="IU75">
        <v>0</v>
      </c>
      <c r="IV75">
        <v>6.4</v>
      </c>
      <c r="IW75">
        <v>-6</v>
      </c>
      <c r="IX75">
        <v>78</v>
      </c>
      <c r="IY75">
        <v>46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324</v>
      </c>
      <c r="JJ75">
        <v>256</v>
      </c>
      <c r="JK75">
        <v>216</v>
      </c>
      <c r="JL75">
        <v>256</v>
      </c>
      <c r="JM75">
        <v>225</v>
      </c>
      <c r="JN75">
        <v>160</v>
      </c>
      <c r="JO75">
        <v>190</v>
      </c>
      <c r="JP75">
        <v>240</v>
      </c>
      <c r="JQ75">
        <v>280</v>
      </c>
      <c r="JR75">
        <v>345</v>
      </c>
      <c r="JS75">
        <v>280</v>
      </c>
      <c r="JT75">
        <v>0</v>
      </c>
      <c r="JU75">
        <v>0</v>
      </c>
      <c r="JV75">
        <v>335</v>
      </c>
      <c r="JW75">
        <v>337</v>
      </c>
      <c r="JX75">
        <v>335</v>
      </c>
      <c r="JY75">
        <v>320</v>
      </c>
      <c r="JZ75">
        <v>1.5</v>
      </c>
      <c r="KA75">
        <v>0.2</v>
      </c>
      <c r="KB75">
        <v>0.4</v>
      </c>
      <c r="KC75">
        <v>0.42</v>
      </c>
      <c r="KD75">
        <v>0.28</v>
      </c>
      <c r="KE75">
        <v>0.5</v>
      </c>
      <c r="KF75">
        <v>0.15</v>
      </c>
      <c r="KG75">
        <v>0.1</v>
      </c>
      <c r="KH75">
        <v>3.5</v>
      </c>
      <c r="KI75">
        <v>0</v>
      </c>
      <c r="KJ75">
        <v>5.5</v>
      </c>
      <c r="KK75">
        <v>0</v>
      </c>
      <c r="KL75">
        <v>4.5</v>
      </c>
      <c r="KM75">
        <v>0.5</v>
      </c>
      <c r="KN75">
        <v>1</v>
      </c>
      <c r="KO75">
        <v>0</v>
      </c>
      <c r="KP75">
        <v>0</v>
      </c>
      <c r="KQ75">
        <v>0.8</v>
      </c>
      <c r="KR75">
        <v>1</v>
      </c>
      <c r="KS75">
        <v>0</v>
      </c>
      <c r="KT75">
        <v>2</v>
      </c>
      <c r="KU75">
        <v>0</v>
      </c>
      <c r="KV75">
        <v>0</v>
      </c>
      <c r="KW75">
        <v>1.5</v>
      </c>
      <c r="KX75">
        <v>1.5</v>
      </c>
      <c r="KY75">
        <v>1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3</v>
      </c>
      <c r="LI75">
        <v>1</v>
      </c>
      <c r="LJ75">
        <v>0</v>
      </c>
      <c r="LK75">
        <v>4</v>
      </c>
      <c r="LL75">
        <v>4.5</v>
      </c>
      <c r="LM75">
        <v>5</v>
      </c>
      <c r="LN75">
        <v>0.3</v>
      </c>
      <c r="LO75">
        <v>0.5</v>
      </c>
      <c r="LP75">
        <v>0</v>
      </c>
      <c r="LQ75">
        <v>0</v>
      </c>
      <c r="LR75">
        <v>0</v>
      </c>
      <c r="LS75">
        <v>1</v>
      </c>
      <c r="LT75">
        <v>0</v>
      </c>
      <c r="LU75">
        <v>0</v>
      </c>
      <c r="LV75">
        <v>0</v>
      </c>
      <c r="LW75">
        <v>2</v>
      </c>
      <c r="LX75">
        <v>2</v>
      </c>
      <c r="LY75">
        <v>2.1</v>
      </c>
      <c r="LZ75">
        <v>2.1</v>
      </c>
      <c r="MA75">
        <v>0</v>
      </c>
      <c r="MB75">
        <v>6</v>
      </c>
      <c r="MC75">
        <v>0</v>
      </c>
      <c r="MD75">
        <v>4.5</v>
      </c>
      <c r="ME75">
        <v>6</v>
      </c>
      <c r="MF75">
        <v>6</v>
      </c>
      <c r="MI75">
        <v>0</v>
      </c>
      <c r="MJ75">
        <v>0</v>
      </c>
      <c r="ML75">
        <v>0</v>
      </c>
      <c r="MM75">
        <v>356</v>
      </c>
      <c r="MN75">
        <v>155</v>
      </c>
      <c r="MO75">
        <v>206</v>
      </c>
      <c r="NH75">
        <v>0</v>
      </c>
      <c r="NJ75">
        <v>0</v>
      </c>
      <c r="NK75">
        <v>0</v>
      </c>
      <c r="NM75">
        <v>0</v>
      </c>
      <c r="NU75">
        <v>0.15</v>
      </c>
      <c r="NV75">
        <v>0.2</v>
      </c>
      <c r="NW75">
        <v>0.2</v>
      </c>
      <c r="NX75">
        <v>2</v>
      </c>
      <c r="NY75">
        <v>2</v>
      </c>
      <c r="NZ75">
        <v>2</v>
      </c>
      <c r="OE75" t="s">
        <v>4390</v>
      </c>
      <c r="OF75" t="s">
        <v>4365</v>
      </c>
      <c r="OG75" t="s">
        <v>4366</v>
      </c>
      <c r="OH75" t="s">
        <v>4043</v>
      </c>
      <c r="OI75" t="s">
        <v>4390</v>
      </c>
      <c r="OJ75" t="s">
        <v>4389</v>
      </c>
      <c r="OK75">
        <v>61</v>
      </c>
      <c r="OL75">
        <v>61</v>
      </c>
      <c r="OM75" t="s">
        <v>4365</v>
      </c>
      <c r="ON75">
        <v>3</v>
      </c>
      <c r="OO75">
        <v>1763</v>
      </c>
      <c r="OP75">
        <v>61</v>
      </c>
      <c r="OQ75">
        <v>61</v>
      </c>
      <c r="OR75" t="s">
        <v>4366</v>
      </c>
      <c r="OS75">
        <v>3</v>
      </c>
      <c r="OT75">
        <v>1770</v>
      </c>
      <c r="OU75">
        <v>65</v>
      </c>
      <c r="OV75">
        <v>65</v>
      </c>
      <c r="OW75" t="s">
        <v>4043</v>
      </c>
      <c r="OX75">
        <v>2</v>
      </c>
      <c r="OY75">
        <v>32122</v>
      </c>
      <c r="OZ75">
        <v>51</v>
      </c>
      <c r="PA75">
        <v>52</v>
      </c>
      <c r="PB75" t="s">
        <v>4390</v>
      </c>
      <c r="PC75">
        <v>3</v>
      </c>
      <c r="PD75">
        <v>1795</v>
      </c>
      <c r="PF75">
        <v>274</v>
      </c>
      <c r="PG75">
        <v>29</v>
      </c>
      <c r="PH75">
        <v>256</v>
      </c>
      <c r="PI75">
        <v>29</v>
      </c>
      <c r="PJ75">
        <v>40.2</v>
      </c>
      <c r="PK75">
        <v>1348</v>
      </c>
      <c r="PL75">
        <v>954.4</v>
      </c>
      <c r="PM75">
        <v>267.8</v>
      </c>
      <c r="PN75">
        <v>79.09999999999999</v>
      </c>
      <c r="PO75">
        <v>8.699999999999999</v>
      </c>
      <c r="PP75">
        <v>12</v>
      </c>
      <c r="PQ75">
        <v>2</v>
      </c>
      <c r="PR75">
        <v>2</v>
      </c>
      <c r="PS75">
        <v>6</v>
      </c>
      <c r="PT75">
        <v>186</v>
      </c>
      <c r="PU75">
        <v>6</v>
      </c>
      <c r="PV75" t="s">
        <v>4072</v>
      </c>
      <c r="PW75" t="s">
        <v>4072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-1</v>
      </c>
      <c r="QF75">
        <v>1</v>
      </c>
      <c r="QG75">
        <v>0</v>
      </c>
      <c r="QH75">
        <v>5</v>
      </c>
      <c r="QI75">
        <v>5</v>
      </c>
      <c r="QJ75">
        <v>5</v>
      </c>
      <c r="QK75">
        <v>157</v>
      </c>
      <c r="QL75">
        <v>358</v>
      </c>
      <c r="QM75">
        <v>7.5</v>
      </c>
      <c r="QN75">
        <v>1204.3</v>
      </c>
      <c r="QO75" t="s">
        <v>1477</v>
      </c>
      <c r="QP75" t="s">
        <v>513</v>
      </c>
      <c r="QQ75">
        <v>0</v>
      </c>
      <c r="QR75" t="s">
        <v>540</v>
      </c>
      <c r="QS75">
        <v>30</v>
      </c>
      <c r="QT75">
        <v>40</v>
      </c>
    </row>
    <row r="76" spans="1:462">
      <c r="A76" t="s">
        <v>1566</v>
      </c>
      <c r="B76" t="s">
        <v>559</v>
      </c>
      <c r="C76" t="s">
        <v>509</v>
      </c>
      <c r="D76" t="s">
        <v>1657</v>
      </c>
      <c r="E76" t="s">
        <v>4036</v>
      </c>
      <c r="H76" t="s">
        <v>627</v>
      </c>
      <c r="I76" t="s">
        <v>604</v>
      </c>
      <c r="J76" t="s">
        <v>628</v>
      </c>
      <c r="K76" t="s">
        <v>606</v>
      </c>
      <c r="L76" t="s">
        <v>564</v>
      </c>
      <c r="M76" t="s">
        <v>512</v>
      </c>
      <c r="O76" t="s">
        <v>513</v>
      </c>
      <c r="P76" t="s">
        <v>567</v>
      </c>
      <c r="Q76" t="s">
        <v>1567</v>
      </c>
      <c r="R76" t="s">
        <v>1568</v>
      </c>
      <c r="S76" t="s">
        <v>4391</v>
      </c>
      <c r="T76" t="s">
        <v>520</v>
      </c>
      <c r="U76" t="s">
        <v>521</v>
      </c>
      <c r="V76" t="s">
        <v>955</v>
      </c>
      <c r="W76" t="s">
        <v>1460</v>
      </c>
      <c r="X76" t="s">
        <v>1569</v>
      </c>
      <c r="Y76" t="s">
        <v>1570</v>
      </c>
      <c r="Z76" t="s">
        <v>541</v>
      </c>
      <c r="AA76" t="s">
        <v>4038</v>
      </c>
      <c r="AB76" t="s">
        <v>4392</v>
      </c>
      <c r="AC76">
        <v>10</v>
      </c>
      <c r="AD76" t="s">
        <v>1565</v>
      </c>
      <c r="AE76">
        <v>6</v>
      </c>
      <c r="AF76">
        <v>5075</v>
      </c>
      <c r="AG76" t="s">
        <v>4393</v>
      </c>
      <c r="AH76">
        <v>1</v>
      </c>
      <c r="AI76" t="s">
        <v>4041</v>
      </c>
      <c r="AK76" t="s">
        <v>4394</v>
      </c>
      <c r="AL76">
        <v>1</v>
      </c>
      <c r="AM76" t="s">
        <v>582</v>
      </c>
      <c r="AO76" t="s">
        <v>4043</v>
      </c>
      <c r="AP76">
        <v>1</v>
      </c>
      <c r="AR76" t="s">
        <v>4395</v>
      </c>
      <c r="AS76">
        <v>1</v>
      </c>
      <c r="AT76">
        <v>52</v>
      </c>
      <c r="AV76" t="s">
        <v>4078</v>
      </c>
      <c r="AW76">
        <v>6.4</v>
      </c>
      <c r="AX76">
        <v>-6</v>
      </c>
      <c r="AY76">
        <v>86</v>
      </c>
      <c r="AZ76">
        <v>57</v>
      </c>
      <c r="BH76">
        <v>86</v>
      </c>
      <c r="BI76">
        <v>29</v>
      </c>
      <c r="BJ76">
        <v>57</v>
      </c>
      <c r="BK76">
        <v>3.5</v>
      </c>
      <c r="BL76">
        <v>172</v>
      </c>
      <c r="BM76">
        <v>-6</v>
      </c>
      <c r="BN76">
        <v>0</v>
      </c>
      <c r="BP76">
        <v>0</v>
      </c>
      <c r="BR76">
        <v>165</v>
      </c>
      <c r="BS76">
        <v>155</v>
      </c>
      <c r="BT76">
        <v>2075</v>
      </c>
      <c r="BU76" t="s">
        <v>4096</v>
      </c>
      <c r="BV76" t="s">
        <v>4127</v>
      </c>
      <c r="BW76" t="s">
        <v>4097</v>
      </c>
      <c r="BX76" t="s">
        <v>4128</v>
      </c>
      <c r="BY76" t="s">
        <v>4098</v>
      </c>
      <c r="BZ76" t="s">
        <v>4098</v>
      </c>
      <c r="CA76" t="s">
        <v>4051</v>
      </c>
      <c r="CB76" t="s">
        <v>4052</v>
      </c>
      <c r="CC76" t="s">
        <v>4053</v>
      </c>
      <c r="CD76" t="s">
        <v>4054</v>
      </c>
      <c r="CE76" t="s">
        <v>4055</v>
      </c>
      <c r="CF76" t="s">
        <v>4055</v>
      </c>
      <c r="CG76" t="s">
        <v>4056</v>
      </c>
      <c r="CI76" t="s">
        <v>4058</v>
      </c>
      <c r="CJ76" t="s">
        <v>4059</v>
      </c>
      <c r="CK76" t="s">
        <v>4060</v>
      </c>
      <c r="CL76" t="s">
        <v>4061</v>
      </c>
      <c r="CM76" t="s">
        <v>4062</v>
      </c>
      <c r="CN76" t="s">
        <v>4055</v>
      </c>
      <c r="CO76" t="s">
        <v>4063</v>
      </c>
      <c r="CP76" t="s">
        <v>4055</v>
      </c>
      <c r="CQ76" t="s">
        <v>4055</v>
      </c>
      <c r="CR76">
        <v>5</v>
      </c>
      <c r="CS76" t="s">
        <v>4055</v>
      </c>
      <c r="CT76" t="s">
        <v>4055</v>
      </c>
      <c r="CU76" t="s">
        <v>4055</v>
      </c>
      <c r="CV76">
        <v>113</v>
      </c>
      <c r="CW76">
        <v>3</v>
      </c>
      <c r="CX76">
        <v>71</v>
      </c>
      <c r="CY76">
        <v>5</v>
      </c>
      <c r="CZ76">
        <v>143</v>
      </c>
      <c r="DA76">
        <v>5</v>
      </c>
      <c r="DB76">
        <v>10500</v>
      </c>
      <c r="DC76">
        <v>330</v>
      </c>
      <c r="DD76">
        <v>348</v>
      </c>
      <c r="DE76">
        <v>2075</v>
      </c>
      <c r="DF76">
        <v>2181</v>
      </c>
      <c r="DG76">
        <v>2203</v>
      </c>
      <c r="DH76" t="s">
        <v>4055</v>
      </c>
      <c r="DJ76" t="s">
        <v>4064</v>
      </c>
      <c r="DK76">
        <v>165</v>
      </c>
      <c r="DL76" t="s">
        <v>4065</v>
      </c>
      <c r="DM76">
        <v>65</v>
      </c>
      <c r="DN76">
        <v>1.2</v>
      </c>
      <c r="DO76">
        <v>1</v>
      </c>
      <c r="DP76">
        <v>2079</v>
      </c>
      <c r="DQ76">
        <v>788</v>
      </c>
      <c r="DR76" t="s">
        <v>4064</v>
      </c>
      <c r="DS76">
        <v>155</v>
      </c>
      <c r="DT76" t="s">
        <v>4065</v>
      </c>
      <c r="DU76">
        <v>65</v>
      </c>
      <c r="DV76">
        <v>1.2</v>
      </c>
      <c r="DW76">
        <v>1</v>
      </c>
      <c r="DX76">
        <v>2091</v>
      </c>
      <c r="DY76">
        <v>744</v>
      </c>
      <c r="DZ76" t="s">
        <v>4066</v>
      </c>
      <c r="EA76">
        <v>20</v>
      </c>
      <c r="EB76" t="s">
        <v>4065</v>
      </c>
      <c r="EC76">
        <v>0.8</v>
      </c>
      <c r="ED76">
        <v>2079</v>
      </c>
      <c r="EE76">
        <v>73</v>
      </c>
      <c r="EG76">
        <v>0</v>
      </c>
      <c r="EH76" t="s">
        <v>4065</v>
      </c>
      <c r="EI76">
        <v>0</v>
      </c>
      <c r="EL76" t="s">
        <v>1528</v>
      </c>
      <c r="EM76">
        <v>12</v>
      </c>
      <c r="EN76">
        <v>0.5</v>
      </c>
      <c r="EO76">
        <v>0.96</v>
      </c>
      <c r="EP76">
        <v>2090.08</v>
      </c>
      <c r="EQ76">
        <v>30044.9</v>
      </c>
      <c r="ER76">
        <v>9498.01</v>
      </c>
      <c r="ES76">
        <v>0</v>
      </c>
      <c r="ET76">
        <v>0</v>
      </c>
      <c r="EU76">
        <v>1</v>
      </c>
      <c r="EV76">
        <v>39543</v>
      </c>
      <c r="EW76">
        <v>475</v>
      </c>
      <c r="EX76" t="s">
        <v>4363</v>
      </c>
      <c r="EY76">
        <v>190</v>
      </c>
      <c r="EZ76" t="s">
        <v>4055</v>
      </c>
      <c r="FA76">
        <v>5.5</v>
      </c>
      <c r="FB76">
        <v>1</v>
      </c>
      <c r="FC76">
        <v>1</v>
      </c>
      <c r="FD76">
        <v>2120</v>
      </c>
      <c r="FE76">
        <v>2287</v>
      </c>
      <c r="FF76" t="s">
        <v>4089</v>
      </c>
      <c r="FG76">
        <v>190</v>
      </c>
      <c r="FH76" t="s">
        <v>4055</v>
      </c>
      <c r="FI76">
        <v>1.6</v>
      </c>
      <c r="FJ76">
        <v>2120</v>
      </c>
      <c r="FK76">
        <v>664</v>
      </c>
      <c r="FL76" t="s">
        <v>4069</v>
      </c>
      <c r="FM76" t="s">
        <v>4055</v>
      </c>
      <c r="FN76" t="s">
        <v>4055</v>
      </c>
      <c r="FO76" t="s">
        <v>4055</v>
      </c>
      <c r="FP76">
        <v>2120</v>
      </c>
      <c r="FQ76">
        <v>185</v>
      </c>
      <c r="FR76" t="s">
        <v>4090</v>
      </c>
      <c r="FS76">
        <v>194</v>
      </c>
      <c r="FT76" t="s">
        <v>4055</v>
      </c>
      <c r="FU76">
        <v>0.4</v>
      </c>
      <c r="FV76">
        <v>2120</v>
      </c>
      <c r="FW76">
        <v>183</v>
      </c>
      <c r="FX76" t="s">
        <v>4070</v>
      </c>
      <c r="FY76">
        <v>5</v>
      </c>
      <c r="FZ76" t="s">
        <v>4055</v>
      </c>
      <c r="GA76" t="s">
        <v>4055</v>
      </c>
      <c r="GB76">
        <v>2120</v>
      </c>
      <c r="GC76">
        <v>18</v>
      </c>
      <c r="GD76">
        <v>3337</v>
      </c>
      <c r="GE76" t="s">
        <v>4395</v>
      </c>
      <c r="GF76" t="s">
        <v>4055</v>
      </c>
      <c r="GG76" t="s">
        <v>4055</v>
      </c>
      <c r="GH76" t="s">
        <v>4055</v>
      </c>
      <c r="GI76" t="s">
        <v>4071</v>
      </c>
      <c r="GJ76" t="s">
        <v>4055</v>
      </c>
      <c r="GK76" t="s">
        <v>4055</v>
      </c>
      <c r="GL76" t="s">
        <v>4055</v>
      </c>
      <c r="GM76" t="s">
        <v>4055</v>
      </c>
      <c r="GQ76">
        <v>0</v>
      </c>
      <c r="GV76">
        <v>7.5</v>
      </c>
      <c r="GW76">
        <v>8.199999999999999</v>
      </c>
      <c r="GX76">
        <v>0.5</v>
      </c>
      <c r="GY76">
        <v>156</v>
      </c>
      <c r="GZ76">
        <v>3</v>
      </c>
      <c r="HA76">
        <v>214</v>
      </c>
      <c r="HB76">
        <v>3</v>
      </c>
      <c r="HC76">
        <v>2120</v>
      </c>
      <c r="HD76">
        <v>4</v>
      </c>
      <c r="HE76" t="s">
        <v>4071</v>
      </c>
      <c r="HG76" t="s">
        <v>549</v>
      </c>
      <c r="HL76">
        <v>4</v>
      </c>
      <c r="HM76">
        <v>16</v>
      </c>
      <c r="HN76">
        <v>6</v>
      </c>
      <c r="HO76">
        <v>1</v>
      </c>
      <c r="HP76">
        <v>0</v>
      </c>
      <c r="HQ76">
        <v>0</v>
      </c>
      <c r="HR76">
        <v>3</v>
      </c>
      <c r="HS76">
        <v>2075</v>
      </c>
      <c r="HT76">
        <v>5</v>
      </c>
      <c r="HU76">
        <v>1</v>
      </c>
      <c r="HV76">
        <v>3</v>
      </c>
      <c r="HW76">
        <v>0</v>
      </c>
      <c r="HX76">
        <v>1</v>
      </c>
      <c r="HY76">
        <v>0</v>
      </c>
      <c r="HZ76">
        <v>65</v>
      </c>
      <c r="IA76">
        <v>2079</v>
      </c>
      <c r="IB76">
        <v>2091</v>
      </c>
      <c r="ID76">
        <v>2120</v>
      </c>
      <c r="IE76">
        <v>2120</v>
      </c>
      <c r="IF76">
        <v>165</v>
      </c>
      <c r="IG76">
        <v>155</v>
      </c>
      <c r="IH76">
        <v>214</v>
      </c>
      <c r="II76">
        <v>1</v>
      </c>
      <c r="IJ76">
        <v>5</v>
      </c>
      <c r="IK76">
        <v>0</v>
      </c>
      <c r="IL76">
        <v>0</v>
      </c>
      <c r="IM76">
        <v>0</v>
      </c>
      <c r="IN76">
        <v>270</v>
      </c>
      <c r="IO76">
        <v>0</v>
      </c>
      <c r="IP76">
        <v>180</v>
      </c>
      <c r="IQ76">
        <v>0</v>
      </c>
      <c r="IR76">
        <v>330</v>
      </c>
      <c r="IS76">
        <v>0</v>
      </c>
      <c r="IT76">
        <v>90</v>
      </c>
      <c r="IU76">
        <v>0</v>
      </c>
      <c r="IV76">
        <v>6.4</v>
      </c>
      <c r="IW76">
        <v>-6</v>
      </c>
      <c r="IX76">
        <v>86</v>
      </c>
      <c r="IY76">
        <v>57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412</v>
      </c>
      <c r="JJ76">
        <v>382</v>
      </c>
      <c r="JK76">
        <v>280</v>
      </c>
      <c r="JL76">
        <v>380</v>
      </c>
      <c r="JM76">
        <v>270</v>
      </c>
      <c r="JN76">
        <v>170</v>
      </c>
      <c r="JO76">
        <v>226</v>
      </c>
      <c r="JP76">
        <v>180</v>
      </c>
      <c r="JQ76">
        <v>242</v>
      </c>
      <c r="JR76">
        <v>350</v>
      </c>
      <c r="JS76">
        <v>255</v>
      </c>
      <c r="JT76">
        <v>0</v>
      </c>
      <c r="JU76">
        <v>0</v>
      </c>
      <c r="JV76">
        <v>335</v>
      </c>
      <c r="JW76">
        <v>337</v>
      </c>
      <c r="JX76">
        <v>320</v>
      </c>
      <c r="JY76">
        <v>300</v>
      </c>
      <c r="JZ76">
        <v>0.5</v>
      </c>
      <c r="KA76">
        <v>0.2</v>
      </c>
      <c r="KB76">
        <v>0.4</v>
      </c>
      <c r="KC76">
        <v>0.42</v>
      </c>
      <c r="KD76">
        <v>0.28</v>
      </c>
      <c r="KE76">
        <v>0.5</v>
      </c>
      <c r="KF76">
        <v>0.19</v>
      </c>
      <c r="KG76">
        <v>0.1</v>
      </c>
      <c r="KH76">
        <v>3.5</v>
      </c>
      <c r="KI76">
        <v>1</v>
      </c>
      <c r="KJ76">
        <v>4.5</v>
      </c>
      <c r="KK76">
        <v>0</v>
      </c>
      <c r="KL76">
        <v>4.5</v>
      </c>
      <c r="KM76">
        <v>0</v>
      </c>
      <c r="KN76">
        <v>1.6</v>
      </c>
      <c r="KO76">
        <v>0</v>
      </c>
      <c r="KP76">
        <v>0</v>
      </c>
      <c r="KQ76">
        <v>1.5</v>
      </c>
      <c r="KR76">
        <v>0.8</v>
      </c>
      <c r="KS76">
        <v>0</v>
      </c>
      <c r="KT76">
        <v>3.4</v>
      </c>
      <c r="KU76">
        <v>0</v>
      </c>
      <c r="KV76">
        <v>0</v>
      </c>
      <c r="KW76">
        <v>1.2</v>
      </c>
      <c r="KX76">
        <v>2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3</v>
      </c>
      <c r="LI76">
        <v>0.5</v>
      </c>
      <c r="LJ76">
        <v>0</v>
      </c>
      <c r="LK76">
        <v>5</v>
      </c>
      <c r="LL76">
        <v>5.5</v>
      </c>
      <c r="LM76">
        <v>6</v>
      </c>
      <c r="LN76">
        <v>0.3</v>
      </c>
      <c r="LO76">
        <v>0.5</v>
      </c>
      <c r="LP76">
        <v>0</v>
      </c>
      <c r="LQ76">
        <v>0</v>
      </c>
      <c r="LR76">
        <v>0</v>
      </c>
      <c r="LS76">
        <v>1</v>
      </c>
      <c r="LT76">
        <v>0</v>
      </c>
      <c r="LU76">
        <v>0</v>
      </c>
      <c r="LV76">
        <v>0</v>
      </c>
      <c r="LW76">
        <v>2</v>
      </c>
      <c r="LX76">
        <v>2</v>
      </c>
      <c r="LY76">
        <v>2.1</v>
      </c>
      <c r="LZ76">
        <v>2.1</v>
      </c>
      <c r="MA76">
        <v>0</v>
      </c>
      <c r="MB76">
        <v>6</v>
      </c>
      <c r="MC76">
        <v>0</v>
      </c>
      <c r="MD76">
        <v>4.5</v>
      </c>
      <c r="ME76">
        <v>6</v>
      </c>
      <c r="MF76">
        <v>6</v>
      </c>
      <c r="MI76">
        <v>0</v>
      </c>
      <c r="MJ76">
        <v>0</v>
      </c>
      <c r="ML76">
        <v>0</v>
      </c>
      <c r="MM76">
        <v>420</v>
      </c>
      <c r="MN76">
        <v>165</v>
      </c>
      <c r="MO76">
        <v>224</v>
      </c>
      <c r="NH76">
        <v>0</v>
      </c>
      <c r="NJ76">
        <v>0</v>
      </c>
      <c r="NK76">
        <v>0</v>
      </c>
      <c r="NM76">
        <v>0</v>
      </c>
      <c r="NU76">
        <v>0.15</v>
      </c>
      <c r="NV76">
        <v>0.2</v>
      </c>
      <c r="NW76">
        <v>0.2</v>
      </c>
      <c r="NX76">
        <v>2</v>
      </c>
      <c r="NY76">
        <v>2</v>
      </c>
      <c r="NZ76">
        <v>2</v>
      </c>
      <c r="OE76" t="s">
        <v>4395</v>
      </c>
      <c r="OF76" t="s">
        <v>4393</v>
      </c>
      <c r="OG76" t="s">
        <v>4394</v>
      </c>
      <c r="OH76" t="s">
        <v>4043</v>
      </c>
      <c r="OI76" t="s">
        <v>4395</v>
      </c>
      <c r="OJ76" t="s">
        <v>4392</v>
      </c>
      <c r="OK76">
        <v>61</v>
      </c>
      <c r="OL76">
        <v>61</v>
      </c>
      <c r="OM76" t="s">
        <v>4393</v>
      </c>
      <c r="ON76">
        <v>1</v>
      </c>
      <c r="OO76">
        <v>2079</v>
      </c>
      <c r="OP76">
        <v>61</v>
      </c>
      <c r="OQ76">
        <v>61</v>
      </c>
      <c r="OR76" t="s">
        <v>4394</v>
      </c>
      <c r="OS76">
        <v>1</v>
      </c>
      <c r="OT76">
        <v>2091</v>
      </c>
      <c r="OU76">
        <v>65</v>
      </c>
      <c r="OV76">
        <v>65</v>
      </c>
      <c r="OW76" t="s">
        <v>4043</v>
      </c>
      <c r="OX76">
        <v>1</v>
      </c>
      <c r="OY76">
        <v>39543</v>
      </c>
      <c r="OZ76">
        <v>51</v>
      </c>
      <c r="PA76">
        <v>52</v>
      </c>
      <c r="PB76" t="s">
        <v>4395</v>
      </c>
      <c r="PC76">
        <v>2</v>
      </c>
      <c r="PD76">
        <v>2120</v>
      </c>
      <c r="PF76">
        <v>379</v>
      </c>
      <c r="PG76">
        <v>35</v>
      </c>
      <c r="PH76">
        <v>356</v>
      </c>
      <c r="PI76">
        <v>0</v>
      </c>
      <c r="PJ76">
        <v>87.40000000000001</v>
      </c>
      <c r="PK76">
        <v>1577</v>
      </c>
      <c r="PL76">
        <v>1079</v>
      </c>
      <c r="PM76">
        <v>313.1</v>
      </c>
      <c r="PN76">
        <v>86.2</v>
      </c>
      <c r="PO76">
        <v>8.699999999999999</v>
      </c>
      <c r="PP76">
        <v>12</v>
      </c>
      <c r="PQ76">
        <v>3</v>
      </c>
      <c r="PR76">
        <v>5</v>
      </c>
      <c r="PS76">
        <v>0</v>
      </c>
      <c r="PT76">
        <v>214</v>
      </c>
      <c r="PU76">
        <v>12</v>
      </c>
      <c r="PV76" t="s">
        <v>4072</v>
      </c>
      <c r="PW76" t="s">
        <v>4072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-1</v>
      </c>
      <c r="QF76">
        <v>1</v>
      </c>
      <c r="QG76">
        <v>0</v>
      </c>
      <c r="QH76">
        <v>5</v>
      </c>
      <c r="QI76">
        <v>5</v>
      </c>
      <c r="QJ76">
        <v>5</v>
      </c>
      <c r="QK76">
        <v>201</v>
      </c>
      <c r="QL76">
        <v>446</v>
      </c>
      <c r="QM76">
        <v>7.5</v>
      </c>
      <c r="QN76">
        <v>1285.7</v>
      </c>
      <c r="QO76" t="s">
        <v>1477</v>
      </c>
      <c r="QP76" t="s">
        <v>513</v>
      </c>
      <c r="QQ76">
        <v>0</v>
      </c>
      <c r="QR76" t="s">
        <v>621</v>
      </c>
      <c r="QS76">
        <v>30</v>
      </c>
      <c r="QT76">
        <v>40</v>
      </c>
    </row>
    <row r="77" spans="1:462">
      <c r="A77" t="s">
        <v>1580</v>
      </c>
      <c r="B77" t="s">
        <v>564</v>
      </c>
      <c r="C77" t="s">
        <v>509</v>
      </c>
      <c r="D77" t="s">
        <v>951</v>
      </c>
      <c r="E77" t="s">
        <v>4036</v>
      </c>
      <c r="H77" t="s">
        <v>604</v>
      </c>
      <c r="I77" t="s">
        <v>605</v>
      </c>
      <c r="K77" t="s">
        <v>606</v>
      </c>
      <c r="L77" t="s">
        <v>629</v>
      </c>
      <c r="M77" t="s">
        <v>512</v>
      </c>
      <c r="O77" t="s">
        <v>513</v>
      </c>
      <c r="P77" t="s">
        <v>567</v>
      </c>
      <c r="Q77" t="s">
        <v>879</v>
      </c>
      <c r="R77" t="s">
        <v>880</v>
      </c>
      <c r="S77" t="s">
        <v>4091</v>
      </c>
      <c r="T77" t="s">
        <v>633</v>
      </c>
      <c r="U77" t="s">
        <v>634</v>
      </c>
      <c r="V77" t="s">
        <v>881</v>
      </c>
      <c r="W77" t="s">
        <v>1460</v>
      </c>
      <c r="X77" t="s">
        <v>1581</v>
      </c>
      <c r="Y77" t="s">
        <v>1582</v>
      </c>
      <c r="Z77" t="s">
        <v>541</v>
      </c>
      <c r="AA77" t="s">
        <v>4038</v>
      </c>
      <c r="AB77" t="s">
        <v>4396</v>
      </c>
      <c r="AC77">
        <v>13</v>
      </c>
      <c r="AD77" t="s">
        <v>1579</v>
      </c>
      <c r="AE77">
        <v>5</v>
      </c>
      <c r="AF77">
        <v>5587</v>
      </c>
      <c r="AG77" t="s">
        <v>4166</v>
      </c>
      <c r="AH77">
        <v>1</v>
      </c>
      <c r="AI77" t="s">
        <v>4041</v>
      </c>
      <c r="AK77" t="s">
        <v>4167</v>
      </c>
      <c r="AL77">
        <v>1</v>
      </c>
      <c r="AM77" t="s">
        <v>582</v>
      </c>
      <c r="AO77" t="s">
        <v>4043</v>
      </c>
      <c r="AP77">
        <v>1</v>
      </c>
      <c r="AR77" t="s">
        <v>4397</v>
      </c>
      <c r="AS77">
        <v>1</v>
      </c>
      <c r="AT77">
        <v>52</v>
      </c>
      <c r="AV77" t="s">
        <v>4078</v>
      </c>
      <c r="AW77">
        <v>6.4</v>
      </c>
      <c r="AX77">
        <v>-6</v>
      </c>
      <c r="AY77">
        <v>93</v>
      </c>
      <c r="AZ77">
        <v>66</v>
      </c>
      <c r="BH77">
        <v>93</v>
      </c>
      <c r="BI77">
        <v>27</v>
      </c>
      <c r="BJ77">
        <v>66</v>
      </c>
      <c r="BK77">
        <v>3</v>
      </c>
      <c r="BL77">
        <v>186</v>
      </c>
      <c r="BM77">
        <v>-6</v>
      </c>
      <c r="BN77">
        <v>0</v>
      </c>
      <c r="BP77">
        <v>0</v>
      </c>
      <c r="BR77">
        <v>180</v>
      </c>
      <c r="BS77">
        <v>170</v>
      </c>
      <c r="BT77">
        <v>2120</v>
      </c>
      <c r="BU77" t="s">
        <v>4079</v>
      </c>
      <c r="BV77" t="s">
        <v>4127</v>
      </c>
      <c r="BW77" t="s">
        <v>4049</v>
      </c>
      <c r="BX77" t="s">
        <v>4128</v>
      </c>
      <c r="BY77" t="s">
        <v>4173</v>
      </c>
      <c r="BZ77" t="s">
        <v>4173</v>
      </c>
      <c r="CA77" t="s">
        <v>4108</v>
      </c>
      <c r="CB77" t="s">
        <v>4109</v>
      </c>
      <c r="CC77" t="s">
        <v>4053</v>
      </c>
      <c r="CD77" t="s">
        <v>4110</v>
      </c>
      <c r="CE77" t="s">
        <v>4055</v>
      </c>
      <c r="CF77" t="s">
        <v>4055</v>
      </c>
      <c r="CG77" t="s">
        <v>4056</v>
      </c>
      <c r="CI77" t="s">
        <v>4058</v>
      </c>
      <c r="CJ77" t="s">
        <v>4059</v>
      </c>
      <c r="CK77" t="s">
        <v>4060</v>
      </c>
      <c r="CL77" t="s">
        <v>4061</v>
      </c>
      <c r="CM77" t="s">
        <v>4062</v>
      </c>
      <c r="CN77" t="s">
        <v>4055</v>
      </c>
      <c r="CO77" t="s">
        <v>4063</v>
      </c>
      <c r="CP77" t="s">
        <v>4055</v>
      </c>
      <c r="CQ77" t="s">
        <v>4055</v>
      </c>
      <c r="CR77">
        <v>5</v>
      </c>
      <c r="CS77" t="s">
        <v>4055</v>
      </c>
      <c r="CT77" t="s">
        <v>4055</v>
      </c>
      <c r="CU77" t="s">
        <v>4055</v>
      </c>
      <c r="CV77">
        <v>119</v>
      </c>
      <c r="CW77">
        <v>3</v>
      </c>
      <c r="CX77">
        <v>75</v>
      </c>
      <c r="CY77">
        <v>5</v>
      </c>
      <c r="CZ77">
        <v>143</v>
      </c>
      <c r="DA77">
        <v>5</v>
      </c>
      <c r="DB77">
        <v>12000</v>
      </c>
      <c r="DC77">
        <v>360</v>
      </c>
      <c r="DD77">
        <v>327</v>
      </c>
      <c r="DE77">
        <v>2237</v>
      </c>
      <c r="DF77">
        <v>2237</v>
      </c>
      <c r="DG77">
        <v>2247</v>
      </c>
      <c r="DH77" t="s">
        <v>4055</v>
      </c>
      <c r="DI77" t="s">
        <v>4055</v>
      </c>
      <c r="DJ77" t="s">
        <v>4132</v>
      </c>
      <c r="DK77">
        <v>180</v>
      </c>
      <c r="DL77" t="s">
        <v>4065</v>
      </c>
      <c r="DM77">
        <v>65</v>
      </c>
      <c r="DN77">
        <v>1.1</v>
      </c>
      <c r="DO77">
        <v>1</v>
      </c>
      <c r="DP77">
        <v>2123</v>
      </c>
      <c r="DQ77">
        <v>826</v>
      </c>
      <c r="DR77" t="s">
        <v>4132</v>
      </c>
      <c r="DS77">
        <v>170</v>
      </c>
      <c r="DT77" t="s">
        <v>4065</v>
      </c>
      <c r="DU77">
        <v>65</v>
      </c>
      <c r="DV77">
        <v>1.1</v>
      </c>
      <c r="DW77">
        <v>1</v>
      </c>
      <c r="DX77">
        <v>2135</v>
      </c>
      <c r="DY77">
        <v>786</v>
      </c>
      <c r="DZ77" t="s">
        <v>4066</v>
      </c>
      <c r="EA77">
        <v>20</v>
      </c>
      <c r="EB77" t="s">
        <v>4065</v>
      </c>
      <c r="EC77">
        <v>0.8</v>
      </c>
      <c r="ED77">
        <v>2123</v>
      </c>
      <c r="EE77">
        <v>74</v>
      </c>
      <c r="EG77">
        <v>0</v>
      </c>
      <c r="EH77" t="s">
        <v>4065</v>
      </c>
      <c r="EI77">
        <v>0</v>
      </c>
      <c r="EL77" t="s">
        <v>1528</v>
      </c>
      <c r="EM77">
        <v>12</v>
      </c>
      <c r="EN77">
        <v>0.5</v>
      </c>
      <c r="EO77">
        <v>0.96</v>
      </c>
      <c r="EP77">
        <v>2133.83</v>
      </c>
      <c r="EQ77">
        <v>33007.68</v>
      </c>
      <c r="ER77">
        <v>9027.540000000001</v>
      </c>
      <c r="ES77">
        <v>0</v>
      </c>
      <c r="ET77">
        <v>0</v>
      </c>
      <c r="EU77">
        <v>1</v>
      </c>
      <c r="EV77">
        <v>42036</v>
      </c>
      <c r="EW77">
        <v>505</v>
      </c>
      <c r="EX77" t="s">
        <v>4363</v>
      </c>
      <c r="EY77">
        <v>210</v>
      </c>
      <c r="EZ77" t="s">
        <v>4055</v>
      </c>
      <c r="FA77">
        <v>6.6</v>
      </c>
      <c r="FB77">
        <v>1</v>
      </c>
      <c r="FC77">
        <v>1</v>
      </c>
      <c r="FD77">
        <v>2167</v>
      </c>
      <c r="FE77">
        <v>3150</v>
      </c>
      <c r="FF77" t="s">
        <v>4089</v>
      </c>
      <c r="FG77">
        <v>210</v>
      </c>
      <c r="FH77" t="s">
        <v>4055</v>
      </c>
      <c r="FI77">
        <v>1.6</v>
      </c>
      <c r="FJ77">
        <v>2167</v>
      </c>
      <c r="FK77">
        <v>742</v>
      </c>
      <c r="FL77" t="s">
        <v>4069</v>
      </c>
      <c r="FM77" t="s">
        <v>4055</v>
      </c>
      <c r="FN77" t="s">
        <v>4055</v>
      </c>
      <c r="FO77" t="s">
        <v>4055</v>
      </c>
      <c r="FP77">
        <v>2167</v>
      </c>
      <c r="FQ77">
        <v>102</v>
      </c>
      <c r="FR77" t="s">
        <v>4090</v>
      </c>
      <c r="FS77">
        <v>214</v>
      </c>
      <c r="FT77" t="s">
        <v>4055</v>
      </c>
      <c r="FU77">
        <v>0.4</v>
      </c>
      <c r="FV77">
        <v>2167</v>
      </c>
      <c r="FW77">
        <v>206</v>
      </c>
      <c r="FX77" t="s">
        <v>4070</v>
      </c>
      <c r="FY77">
        <v>5</v>
      </c>
      <c r="FZ77" t="s">
        <v>4055</v>
      </c>
      <c r="GA77" t="s">
        <v>4055</v>
      </c>
      <c r="GB77">
        <v>2167</v>
      </c>
      <c r="GC77">
        <v>22</v>
      </c>
      <c r="GD77">
        <v>4222</v>
      </c>
      <c r="GE77" t="s">
        <v>4397</v>
      </c>
      <c r="GF77" t="s">
        <v>4055</v>
      </c>
      <c r="GG77" t="s">
        <v>4055</v>
      </c>
      <c r="GH77" t="s">
        <v>4055</v>
      </c>
      <c r="GI77" t="s">
        <v>4071</v>
      </c>
      <c r="GJ77" t="s">
        <v>4055</v>
      </c>
      <c r="GK77" t="s">
        <v>4055</v>
      </c>
      <c r="GL77" t="s">
        <v>4055</v>
      </c>
      <c r="GM77" t="s">
        <v>4055</v>
      </c>
      <c r="GQ77">
        <v>0</v>
      </c>
      <c r="GV77">
        <v>8.6</v>
      </c>
      <c r="GW77">
        <v>9.199999999999999</v>
      </c>
      <c r="GX77">
        <v>0.5</v>
      </c>
      <c r="GY77">
        <v>162</v>
      </c>
      <c r="GZ77">
        <v>3</v>
      </c>
      <c r="HA77">
        <v>224</v>
      </c>
      <c r="HB77">
        <v>3</v>
      </c>
      <c r="HC77">
        <v>2167</v>
      </c>
      <c r="HD77">
        <v>4</v>
      </c>
      <c r="HE77" t="s">
        <v>4071</v>
      </c>
      <c r="HG77" t="s">
        <v>549</v>
      </c>
      <c r="HL77">
        <v>4</v>
      </c>
      <c r="HM77">
        <v>17</v>
      </c>
      <c r="HN77">
        <v>6</v>
      </c>
      <c r="HO77">
        <v>1</v>
      </c>
      <c r="HP77">
        <v>0</v>
      </c>
      <c r="HQ77">
        <v>0</v>
      </c>
      <c r="HR77">
        <v>1</v>
      </c>
      <c r="HS77">
        <v>2120</v>
      </c>
      <c r="HT77">
        <v>5</v>
      </c>
      <c r="HU77">
        <v>1</v>
      </c>
      <c r="HV77">
        <v>3</v>
      </c>
      <c r="HW77">
        <v>0</v>
      </c>
      <c r="HX77">
        <v>1</v>
      </c>
      <c r="HY77">
        <v>0</v>
      </c>
      <c r="HZ77">
        <v>65</v>
      </c>
      <c r="IA77">
        <v>2123</v>
      </c>
      <c r="IB77">
        <v>2135</v>
      </c>
      <c r="ID77">
        <v>2167</v>
      </c>
      <c r="IE77">
        <v>2167</v>
      </c>
      <c r="IF77">
        <v>180</v>
      </c>
      <c r="IG77">
        <v>170</v>
      </c>
      <c r="IH77">
        <v>224</v>
      </c>
      <c r="II77">
        <v>1</v>
      </c>
      <c r="IJ77">
        <v>5</v>
      </c>
      <c r="IK77">
        <v>0</v>
      </c>
      <c r="IL77">
        <v>0</v>
      </c>
      <c r="IM77">
        <v>0</v>
      </c>
      <c r="IN77">
        <v>270</v>
      </c>
      <c r="IO77">
        <v>0</v>
      </c>
      <c r="IP77">
        <v>180</v>
      </c>
      <c r="IQ77">
        <v>0</v>
      </c>
      <c r="IR77">
        <v>330</v>
      </c>
      <c r="IS77">
        <v>0</v>
      </c>
      <c r="IT77">
        <v>90</v>
      </c>
      <c r="IU77">
        <v>0</v>
      </c>
      <c r="IV77">
        <v>6.4</v>
      </c>
      <c r="IW77">
        <v>-6</v>
      </c>
      <c r="IX77">
        <v>93</v>
      </c>
      <c r="IY77">
        <v>66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410</v>
      </c>
      <c r="JJ77">
        <v>380</v>
      </c>
      <c r="JK77">
        <v>280</v>
      </c>
      <c r="JL77">
        <v>378</v>
      </c>
      <c r="JM77">
        <v>290</v>
      </c>
      <c r="JN77">
        <v>180</v>
      </c>
      <c r="JO77">
        <v>234</v>
      </c>
      <c r="JP77">
        <v>210</v>
      </c>
      <c r="JQ77">
        <v>240</v>
      </c>
      <c r="JR77">
        <v>335</v>
      </c>
      <c r="JS77">
        <v>230</v>
      </c>
      <c r="JT77">
        <v>0</v>
      </c>
      <c r="JU77">
        <v>0</v>
      </c>
      <c r="JV77">
        <v>335</v>
      </c>
      <c r="JW77">
        <v>337</v>
      </c>
      <c r="JX77">
        <v>330</v>
      </c>
      <c r="JY77">
        <v>300</v>
      </c>
      <c r="JZ77">
        <v>0.5</v>
      </c>
      <c r="KA77">
        <v>0.2</v>
      </c>
      <c r="KB77">
        <v>0.4</v>
      </c>
      <c r="KC77">
        <v>0.42</v>
      </c>
      <c r="KD77">
        <v>0.3</v>
      </c>
      <c r="KE77">
        <v>0.5</v>
      </c>
      <c r="KF77">
        <v>0.17</v>
      </c>
      <c r="KG77">
        <v>0.1</v>
      </c>
      <c r="KH77">
        <v>3.5</v>
      </c>
      <c r="KI77">
        <v>1</v>
      </c>
      <c r="KJ77">
        <v>4.5</v>
      </c>
      <c r="KK77">
        <v>0.5</v>
      </c>
      <c r="KL77">
        <v>4.5</v>
      </c>
      <c r="KM77">
        <v>0.5</v>
      </c>
      <c r="KN77">
        <v>1.5</v>
      </c>
      <c r="KO77">
        <v>0</v>
      </c>
      <c r="KP77">
        <v>0</v>
      </c>
      <c r="KQ77">
        <v>0.8</v>
      </c>
      <c r="KR77">
        <v>0.8</v>
      </c>
      <c r="KS77">
        <v>0.2</v>
      </c>
      <c r="KT77">
        <v>2.9</v>
      </c>
      <c r="KU77">
        <v>0</v>
      </c>
      <c r="KV77">
        <v>0</v>
      </c>
      <c r="KW77">
        <v>1.2</v>
      </c>
      <c r="KX77">
        <v>2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3</v>
      </c>
      <c r="LI77">
        <v>1</v>
      </c>
      <c r="LJ77">
        <v>0</v>
      </c>
      <c r="LK77">
        <v>4.5</v>
      </c>
      <c r="LL77">
        <v>6</v>
      </c>
      <c r="LM77">
        <v>7</v>
      </c>
      <c r="LN77">
        <v>0.4</v>
      </c>
      <c r="LO77">
        <v>3.5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1.9</v>
      </c>
      <c r="LX77">
        <v>1.9</v>
      </c>
      <c r="LY77">
        <v>2.3</v>
      </c>
      <c r="LZ77">
        <v>2.3</v>
      </c>
      <c r="MA77">
        <v>0</v>
      </c>
      <c r="MB77">
        <v>3</v>
      </c>
      <c r="MC77">
        <v>0</v>
      </c>
      <c r="MD77">
        <v>4.5</v>
      </c>
      <c r="ME77">
        <v>6</v>
      </c>
      <c r="MF77">
        <v>6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420</v>
      </c>
      <c r="MN77">
        <v>175</v>
      </c>
      <c r="MO77">
        <v>234</v>
      </c>
      <c r="NU77">
        <v>0.2</v>
      </c>
      <c r="NV77">
        <v>0.4</v>
      </c>
      <c r="NW77">
        <v>0.4</v>
      </c>
      <c r="NX77">
        <v>2</v>
      </c>
      <c r="NY77">
        <v>2</v>
      </c>
      <c r="NZ77">
        <v>2</v>
      </c>
      <c r="OE77" t="s">
        <v>4397</v>
      </c>
      <c r="OF77" t="s">
        <v>4166</v>
      </c>
      <c r="OG77" t="s">
        <v>4167</v>
      </c>
      <c r="OH77" t="s">
        <v>4043</v>
      </c>
      <c r="OI77" t="s">
        <v>4397</v>
      </c>
      <c r="OJ77" t="s">
        <v>4396</v>
      </c>
      <c r="OK77">
        <v>61</v>
      </c>
      <c r="OL77">
        <v>61</v>
      </c>
      <c r="OM77" t="s">
        <v>4166</v>
      </c>
      <c r="ON77">
        <v>1</v>
      </c>
      <c r="OO77">
        <v>2123</v>
      </c>
      <c r="OP77">
        <v>61</v>
      </c>
      <c r="OQ77">
        <v>61</v>
      </c>
      <c r="OR77" t="s">
        <v>4167</v>
      </c>
      <c r="OS77">
        <v>1</v>
      </c>
      <c r="OT77">
        <v>2135</v>
      </c>
      <c r="OU77">
        <v>65</v>
      </c>
      <c r="OV77">
        <v>65</v>
      </c>
      <c r="OW77" t="s">
        <v>4043</v>
      </c>
      <c r="OX77">
        <v>2</v>
      </c>
      <c r="OY77">
        <v>42036</v>
      </c>
      <c r="OZ77">
        <v>51</v>
      </c>
      <c r="PA77">
        <v>52</v>
      </c>
      <c r="PB77" t="s">
        <v>4397</v>
      </c>
      <c r="PC77">
        <v>5</v>
      </c>
      <c r="PD77">
        <v>2167</v>
      </c>
      <c r="PF77">
        <v>389</v>
      </c>
      <c r="PG77">
        <v>35</v>
      </c>
      <c r="PH77">
        <v>368</v>
      </c>
      <c r="PI77">
        <v>0</v>
      </c>
      <c r="PJ77">
        <v>47.1</v>
      </c>
      <c r="PK77">
        <v>1961</v>
      </c>
      <c r="PL77">
        <v>1453.4</v>
      </c>
      <c r="PM77">
        <v>342.6</v>
      </c>
      <c r="PN77">
        <v>95.2</v>
      </c>
      <c r="PO77">
        <v>10</v>
      </c>
      <c r="PP77">
        <v>12</v>
      </c>
      <c r="PQ77">
        <v>5</v>
      </c>
      <c r="PR77">
        <v>5</v>
      </c>
      <c r="PS77">
        <v>0</v>
      </c>
      <c r="PT77">
        <v>224</v>
      </c>
      <c r="PU77">
        <v>7</v>
      </c>
      <c r="PV77" t="s">
        <v>4072</v>
      </c>
      <c r="PW77" t="s">
        <v>4072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-1</v>
      </c>
      <c r="QF77">
        <v>1</v>
      </c>
      <c r="QG77">
        <v>0</v>
      </c>
      <c r="QH77">
        <v>5</v>
      </c>
      <c r="QI77">
        <v>5</v>
      </c>
      <c r="QJ77">
        <v>5</v>
      </c>
      <c r="QK77">
        <v>200</v>
      </c>
      <c r="QL77">
        <v>444</v>
      </c>
      <c r="QM77">
        <v>7.5</v>
      </c>
      <c r="QN77">
        <v>1384.6</v>
      </c>
      <c r="QO77" t="s">
        <v>1477</v>
      </c>
      <c r="QP77" t="s">
        <v>513</v>
      </c>
      <c r="QQ77">
        <v>0</v>
      </c>
      <c r="QR77" t="s">
        <v>621</v>
      </c>
      <c r="QS77">
        <v>30</v>
      </c>
      <c r="QT77">
        <v>40</v>
      </c>
    </row>
    <row r="78" spans="1:462">
      <c r="A78" t="s">
        <v>1588</v>
      </c>
      <c r="B78" t="s">
        <v>559</v>
      </c>
      <c r="C78" t="s">
        <v>509</v>
      </c>
      <c r="D78" t="s">
        <v>1903</v>
      </c>
      <c r="E78" t="s">
        <v>4036</v>
      </c>
      <c r="H78" t="s">
        <v>604</v>
      </c>
      <c r="I78" t="s">
        <v>605</v>
      </c>
      <c r="J78" t="s">
        <v>628</v>
      </c>
      <c r="K78" t="s">
        <v>606</v>
      </c>
      <c r="L78" t="s">
        <v>564</v>
      </c>
      <c r="M78" t="s">
        <v>512</v>
      </c>
      <c r="O78" t="s">
        <v>513</v>
      </c>
      <c r="P78" t="s">
        <v>567</v>
      </c>
      <c r="Q78" t="s">
        <v>987</v>
      </c>
      <c r="R78" t="s">
        <v>988</v>
      </c>
      <c r="S78" t="s">
        <v>4170</v>
      </c>
      <c r="T78" t="s">
        <v>662</v>
      </c>
      <c r="U78" t="s">
        <v>663</v>
      </c>
      <c r="V78" t="s">
        <v>1589</v>
      </c>
      <c r="W78" t="s">
        <v>1460</v>
      </c>
      <c r="X78" t="s">
        <v>1590</v>
      </c>
      <c r="Y78" t="s">
        <v>1591</v>
      </c>
      <c r="Z78" t="s">
        <v>541</v>
      </c>
      <c r="AA78" t="s">
        <v>582</v>
      </c>
      <c r="AB78" t="s">
        <v>4398</v>
      </c>
      <c r="AC78">
        <v>13</v>
      </c>
      <c r="AD78" t="s">
        <v>1587</v>
      </c>
      <c r="AE78">
        <v>6</v>
      </c>
      <c r="AF78">
        <v>7042</v>
      </c>
      <c r="AG78" t="s">
        <v>4399</v>
      </c>
      <c r="AH78">
        <v>1</v>
      </c>
      <c r="AI78" t="s">
        <v>4041</v>
      </c>
      <c r="AK78" t="s">
        <v>4400</v>
      </c>
      <c r="AL78">
        <v>1</v>
      </c>
      <c r="AM78" t="s">
        <v>582</v>
      </c>
      <c r="AO78" t="s">
        <v>4043</v>
      </c>
      <c r="AP78">
        <v>1</v>
      </c>
      <c r="AR78" t="s">
        <v>4401</v>
      </c>
      <c r="AS78">
        <v>1</v>
      </c>
      <c r="AT78">
        <v>52</v>
      </c>
      <c r="AV78" t="s">
        <v>4078</v>
      </c>
      <c r="AW78">
        <v>6.4</v>
      </c>
      <c r="AX78">
        <v>-6</v>
      </c>
      <c r="AY78">
        <v>118.5</v>
      </c>
      <c r="AZ78">
        <v>86</v>
      </c>
      <c r="BA78">
        <v>0</v>
      </c>
      <c r="BB78">
        <v>0</v>
      </c>
      <c r="BC78">
        <v>0</v>
      </c>
      <c r="BH78">
        <v>118.5</v>
      </c>
      <c r="BI78">
        <v>32.5</v>
      </c>
      <c r="BJ78">
        <v>86</v>
      </c>
      <c r="BK78">
        <v>3.5</v>
      </c>
      <c r="BL78">
        <v>237</v>
      </c>
      <c r="BM78">
        <v>-6</v>
      </c>
      <c r="BN78">
        <v>0</v>
      </c>
      <c r="BO78">
        <v>0</v>
      </c>
      <c r="BP78">
        <v>0</v>
      </c>
      <c r="BR78">
        <v>230</v>
      </c>
      <c r="BS78">
        <v>215</v>
      </c>
      <c r="BT78">
        <v>2270</v>
      </c>
      <c r="BU78" t="s">
        <v>4079</v>
      </c>
      <c r="BV78" t="s">
        <v>4079</v>
      </c>
      <c r="BW78" t="s">
        <v>4081</v>
      </c>
      <c r="BX78" t="s">
        <v>4081</v>
      </c>
      <c r="BY78" t="s">
        <v>4214</v>
      </c>
      <c r="BZ78" t="s">
        <v>4214</v>
      </c>
      <c r="CA78" t="s">
        <v>4118</v>
      </c>
      <c r="CB78" t="s">
        <v>4119</v>
      </c>
      <c r="CC78" t="s">
        <v>4053</v>
      </c>
      <c r="CD78" t="s">
        <v>4121</v>
      </c>
      <c r="CE78" t="s">
        <v>4055</v>
      </c>
      <c r="CF78" t="s">
        <v>4055</v>
      </c>
      <c r="CG78" t="s">
        <v>4056</v>
      </c>
      <c r="CI78" t="s">
        <v>4216</v>
      </c>
      <c r="CJ78" t="s">
        <v>4059</v>
      </c>
      <c r="CK78" t="s">
        <v>4060</v>
      </c>
      <c r="CL78" t="s">
        <v>4061</v>
      </c>
      <c r="CM78" t="s">
        <v>4062</v>
      </c>
      <c r="CN78" t="s">
        <v>4055</v>
      </c>
      <c r="CO78" t="s">
        <v>4063</v>
      </c>
      <c r="CP78" t="s">
        <v>4055</v>
      </c>
      <c r="CQ78" t="s">
        <v>4055</v>
      </c>
      <c r="CR78">
        <v>5</v>
      </c>
      <c r="CS78" t="s">
        <v>4055</v>
      </c>
      <c r="CT78" t="s">
        <v>4055</v>
      </c>
      <c r="CU78" t="s">
        <v>4055</v>
      </c>
      <c r="CV78">
        <v>144</v>
      </c>
      <c r="CW78">
        <v>3</v>
      </c>
      <c r="CX78">
        <v>99</v>
      </c>
      <c r="CY78">
        <v>5</v>
      </c>
      <c r="CZ78">
        <v>172</v>
      </c>
      <c r="DA78">
        <v>5</v>
      </c>
      <c r="DB78">
        <v>15210</v>
      </c>
      <c r="DC78">
        <v>450</v>
      </c>
      <c r="DD78">
        <v>355</v>
      </c>
      <c r="DE78">
        <v>2384</v>
      </c>
      <c r="DF78">
        <v>2384</v>
      </c>
      <c r="DG78">
        <v>2403</v>
      </c>
      <c r="DH78">
        <v>3</v>
      </c>
      <c r="DI78" t="s">
        <v>4055</v>
      </c>
      <c r="DJ78" t="s">
        <v>4217</v>
      </c>
      <c r="DK78">
        <v>230</v>
      </c>
      <c r="DL78" t="s">
        <v>4065</v>
      </c>
      <c r="DM78">
        <v>65</v>
      </c>
      <c r="DN78">
        <v>1.26</v>
      </c>
      <c r="DO78">
        <v>1</v>
      </c>
      <c r="DP78">
        <v>2274</v>
      </c>
      <c r="DQ78">
        <v>1262</v>
      </c>
      <c r="DR78" t="s">
        <v>4217</v>
      </c>
      <c r="DS78">
        <v>215</v>
      </c>
      <c r="DT78" t="s">
        <v>4065</v>
      </c>
      <c r="DU78">
        <v>65</v>
      </c>
      <c r="DV78">
        <v>1.26</v>
      </c>
      <c r="DW78">
        <v>1</v>
      </c>
      <c r="DX78">
        <v>2287</v>
      </c>
      <c r="DY78">
        <v>1187</v>
      </c>
      <c r="DZ78" t="s">
        <v>4066</v>
      </c>
      <c r="EA78">
        <v>20</v>
      </c>
      <c r="EB78" t="s">
        <v>4065</v>
      </c>
      <c r="EC78">
        <v>0.8</v>
      </c>
      <c r="ED78">
        <v>2274</v>
      </c>
      <c r="EE78">
        <v>80</v>
      </c>
      <c r="EG78">
        <v>0</v>
      </c>
      <c r="EH78" t="s">
        <v>4065</v>
      </c>
      <c r="EI78">
        <v>0</v>
      </c>
      <c r="EL78" t="s">
        <v>1528</v>
      </c>
      <c r="EM78">
        <v>12</v>
      </c>
      <c r="EN78">
        <v>0.5</v>
      </c>
      <c r="EO78">
        <v>0.96</v>
      </c>
      <c r="EP78">
        <v>2285.84</v>
      </c>
      <c r="EQ78">
        <v>44466.73</v>
      </c>
      <c r="ER78">
        <v>11638.41</v>
      </c>
      <c r="ES78">
        <v>0</v>
      </c>
      <c r="ET78">
        <v>0</v>
      </c>
      <c r="EU78">
        <v>1</v>
      </c>
      <c r="EV78">
        <v>56106</v>
      </c>
      <c r="EW78">
        <v>674</v>
      </c>
      <c r="EX78" t="s">
        <v>4363</v>
      </c>
      <c r="EY78">
        <v>246</v>
      </c>
      <c r="EZ78" t="s">
        <v>4055</v>
      </c>
      <c r="FA78">
        <v>6.4</v>
      </c>
      <c r="FB78">
        <v>1</v>
      </c>
      <c r="FC78">
        <v>1</v>
      </c>
      <c r="FD78">
        <v>2318</v>
      </c>
      <c r="FE78">
        <v>3761</v>
      </c>
      <c r="FF78" t="s">
        <v>4089</v>
      </c>
      <c r="FG78">
        <v>246</v>
      </c>
      <c r="FH78" t="s">
        <v>4055</v>
      </c>
      <c r="FI78">
        <v>1.2</v>
      </c>
      <c r="FJ78">
        <v>2318</v>
      </c>
      <c r="FK78">
        <v>680</v>
      </c>
      <c r="FL78" t="s">
        <v>4069</v>
      </c>
      <c r="FM78" t="s">
        <v>4055</v>
      </c>
      <c r="FN78" t="s">
        <v>4055</v>
      </c>
      <c r="FO78" t="s">
        <v>4055</v>
      </c>
      <c r="FP78">
        <v>2318</v>
      </c>
      <c r="FQ78">
        <v>240</v>
      </c>
      <c r="FR78" t="s">
        <v>4090</v>
      </c>
      <c r="FS78">
        <v>250</v>
      </c>
      <c r="FT78" t="s">
        <v>4055</v>
      </c>
      <c r="FU78">
        <v>0.4</v>
      </c>
      <c r="FV78">
        <v>2318</v>
      </c>
      <c r="FW78">
        <v>258</v>
      </c>
      <c r="FX78" t="s">
        <v>4070</v>
      </c>
      <c r="FY78">
        <v>5</v>
      </c>
      <c r="FZ78" t="s">
        <v>4055</v>
      </c>
      <c r="GA78" t="s">
        <v>4055</v>
      </c>
      <c r="GB78">
        <v>2318</v>
      </c>
      <c r="GC78">
        <v>22</v>
      </c>
      <c r="GD78">
        <v>4961</v>
      </c>
      <c r="GE78" t="s">
        <v>4401</v>
      </c>
      <c r="GF78" t="s">
        <v>4055</v>
      </c>
      <c r="GG78" t="s">
        <v>4055</v>
      </c>
      <c r="GH78" t="s">
        <v>4055</v>
      </c>
      <c r="GI78" t="s">
        <v>4071</v>
      </c>
      <c r="GJ78" t="s">
        <v>4055</v>
      </c>
      <c r="GK78" t="s">
        <v>4055</v>
      </c>
      <c r="GL78" t="s">
        <v>4055</v>
      </c>
      <c r="GM78" t="s">
        <v>4055</v>
      </c>
      <c r="GQ78">
        <v>0</v>
      </c>
      <c r="GV78">
        <v>8</v>
      </c>
      <c r="GW78">
        <v>8.5</v>
      </c>
      <c r="GX78">
        <v>0.5</v>
      </c>
      <c r="GY78">
        <v>206</v>
      </c>
      <c r="GZ78">
        <v>3</v>
      </c>
      <c r="HA78">
        <v>276</v>
      </c>
      <c r="HB78">
        <v>3</v>
      </c>
      <c r="HC78">
        <v>2318</v>
      </c>
      <c r="HD78">
        <v>4</v>
      </c>
      <c r="HE78" t="s">
        <v>4071</v>
      </c>
      <c r="HG78" t="s">
        <v>549</v>
      </c>
      <c r="HL78">
        <v>4</v>
      </c>
      <c r="HM78">
        <v>18</v>
      </c>
      <c r="HN78">
        <v>6</v>
      </c>
      <c r="HO78">
        <v>1</v>
      </c>
      <c r="HP78">
        <v>0</v>
      </c>
      <c r="HQ78">
        <v>0</v>
      </c>
      <c r="HR78">
        <v>2</v>
      </c>
      <c r="HS78">
        <v>2270</v>
      </c>
      <c r="HT78">
        <v>5</v>
      </c>
      <c r="HU78">
        <v>1</v>
      </c>
      <c r="HV78">
        <v>0</v>
      </c>
      <c r="HW78">
        <v>0</v>
      </c>
      <c r="HX78">
        <v>1</v>
      </c>
      <c r="HY78">
        <v>0</v>
      </c>
      <c r="HZ78">
        <v>65</v>
      </c>
      <c r="IA78">
        <v>2274</v>
      </c>
      <c r="IB78">
        <v>2287</v>
      </c>
      <c r="ID78">
        <v>2318</v>
      </c>
      <c r="IE78">
        <v>2318</v>
      </c>
      <c r="IF78">
        <v>230</v>
      </c>
      <c r="IG78">
        <v>215</v>
      </c>
      <c r="IH78">
        <v>276</v>
      </c>
      <c r="II78">
        <v>1</v>
      </c>
      <c r="IJ78">
        <v>5</v>
      </c>
      <c r="IK78">
        <v>0</v>
      </c>
      <c r="IL78">
        <v>0</v>
      </c>
      <c r="IM78">
        <v>0</v>
      </c>
      <c r="IN78">
        <v>270</v>
      </c>
      <c r="IO78">
        <v>0</v>
      </c>
      <c r="IP78">
        <v>180</v>
      </c>
      <c r="IQ78">
        <v>0</v>
      </c>
      <c r="IR78">
        <v>330</v>
      </c>
      <c r="IS78">
        <v>0</v>
      </c>
      <c r="IT78">
        <v>100</v>
      </c>
      <c r="IU78">
        <v>0</v>
      </c>
      <c r="IV78">
        <v>6.4</v>
      </c>
      <c r="IW78">
        <v>-6</v>
      </c>
      <c r="IX78">
        <v>118.5</v>
      </c>
      <c r="IY78">
        <v>86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488</v>
      </c>
      <c r="JJ78">
        <v>458</v>
      </c>
      <c r="JK78">
        <v>320</v>
      </c>
      <c r="JL78">
        <v>456</v>
      </c>
      <c r="JM78">
        <v>350</v>
      </c>
      <c r="JN78">
        <v>240</v>
      </c>
      <c r="JO78">
        <v>290</v>
      </c>
      <c r="JP78">
        <v>170</v>
      </c>
      <c r="JQ78">
        <v>225</v>
      </c>
      <c r="JR78">
        <v>340</v>
      </c>
      <c r="JS78">
        <v>220</v>
      </c>
      <c r="JT78">
        <v>0</v>
      </c>
      <c r="JU78">
        <v>0</v>
      </c>
      <c r="JV78">
        <v>335</v>
      </c>
      <c r="JW78">
        <v>307</v>
      </c>
      <c r="JX78">
        <v>330</v>
      </c>
      <c r="JY78">
        <v>320</v>
      </c>
      <c r="JZ78">
        <v>1</v>
      </c>
      <c r="KA78">
        <v>0.2</v>
      </c>
      <c r="KB78">
        <v>0.4</v>
      </c>
      <c r="KC78">
        <v>0.42</v>
      </c>
      <c r="KD78">
        <v>0.28</v>
      </c>
      <c r="KE78">
        <v>0.5</v>
      </c>
      <c r="KF78">
        <v>0.19</v>
      </c>
      <c r="KG78">
        <v>0.11</v>
      </c>
      <c r="KH78">
        <v>3.5</v>
      </c>
      <c r="KI78">
        <v>1</v>
      </c>
      <c r="KJ78">
        <v>4.5</v>
      </c>
      <c r="KK78">
        <v>0</v>
      </c>
      <c r="KL78">
        <v>4.5</v>
      </c>
      <c r="KM78">
        <v>0</v>
      </c>
      <c r="KN78">
        <v>1.3</v>
      </c>
      <c r="KO78">
        <v>0</v>
      </c>
      <c r="KP78">
        <v>0</v>
      </c>
      <c r="KQ78">
        <v>1.2</v>
      </c>
      <c r="KR78">
        <v>0.5</v>
      </c>
      <c r="KS78">
        <v>0</v>
      </c>
      <c r="KT78">
        <v>2.4</v>
      </c>
      <c r="KU78">
        <v>0</v>
      </c>
      <c r="KV78">
        <v>0</v>
      </c>
      <c r="KW78">
        <v>1</v>
      </c>
      <c r="KX78">
        <v>2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3</v>
      </c>
      <c r="LI78">
        <v>1</v>
      </c>
      <c r="LJ78">
        <v>0</v>
      </c>
      <c r="LK78">
        <v>10</v>
      </c>
      <c r="LL78">
        <v>4</v>
      </c>
      <c r="LM78">
        <v>15</v>
      </c>
      <c r="LN78">
        <v>0.1</v>
      </c>
      <c r="LO78">
        <v>4</v>
      </c>
      <c r="LP78">
        <v>0</v>
      </c>
      <c r="LQ78">
        <v>0</v>
      </c>
      <c r="LR78">
        <v>0</v>
      </c>
      <c r="LS78">
        <v>1</v>
      </c>
      <c r="LT78">
        <v>0</v>
      </c>
      <c r="LU78">
        <v>0</v>
      </c>
      <c r="LV78">
        <v>0</v>
      </c>
      <c r="LW78">
        <v>2.8</v>
      </c>
      <c r="LX78">
        <v>2.8</v>
      </c>
      <c r="LY78">
        <v>2.8</v>
      </c>
      <c r="LZ78">
        <v>2.8</v>
      </c>
      <c r="MA78">
        <v>0</v>
      </c>
      <c r="MB78">
        <v>12</v>
      </c>
      <c r="MC78">
        <v>0</v>
      </c>
      <c r="MD78">
        <v>4.5</v>
      </c>
      <c r="ME78">
        <v>6</v>
      </c>
      <c r="MF78">
        <v>6</v>
      </c>
      <c r="MI78">
        <v>0</v>
      </c>
      <c r="MJ78">
        <v>0</v>
      </c>
      <c r="ML78">
        <v>0</v>
      </c>
      <c r="MM78">
        <v>488</v>
      </c>
      <c r="MN78">
        <v>230</v>
      </c>
      <c r="MO78">
        <v>290</v>
      </c>
      <c r="NU78">
        <v>0.15</v>
      </c>
      <c r="NV78">
        <v>0.2</v>
      </c>
      <c r="NW78">
        <v>0.2</v>
      </c>
      <c r="NX78">
        <v>0.2</v>
      </c>
      <c r="NY78">
        <v>0.2</v>
      </c>
      <c r="NZ78">
        <v>0.2</v>
      </c>
      <c r="OE78" t="s">
        <v>4401</v>
      </c>
      <c r="OF78" t="s">
        <v>4399</v>
      </c>
      <c r="OG78" t="s">
        <v>4400</v>
      </c>
      <c r="OH78" t="s">
        <v>4043</v>
      </c>
      <c r="OI78" t="s">
        <v>4401</v>
      </c>
      <c r="OJ78" t="s">
        <v>4398</v>
      </c>
      <c r="OK78">
        <v>61</v>
      </c>
      <c r="OL78">
        <v>61</v>
      </c>
      <c r="OM78" t="s">
        <v>4399</v>
      </c>
      <c r="ON78">
        <v>1</v>
      </c>
      <c r="OO78">
        <v>2274</v>
      </c>
      <c r="OP78">
        <v>61</v>
      </c>
      <c r="OQ78">
        <v>61</v>
      </c>
      <c r="OR78" t="s">
        <v>4400</v>
      </c>
      <c r="OS78">
        <v>1</v>
      </c>
      <c r="OT78">
        <v>2287</v>
      </c>
      <c r="OU78">
        <v>65</v>
      </c>
      <c r="OV78">
        <v>65</v>
      </c>
      <c r="OW78" t="s">
        <v>4043</v>
      </c>
      <c r="OX78">
        <v>2</v>
      </c>
      <c r="OY78">
        <v>56106</v>
      </c>
      <c r="OZ78">
        <v>51</v>
      </c>
      <c r="PA78">
        <v>52</v>
      </c>
      <c r="PB78" t="s">
        <v>4401</v>
      </c>
      <c r="PC78">
        <v>1</v>
      </c>
      <c r="PD78">
        <v>2318</v>
      </c>
      <c r="PF78">
        <v>555</v>
      </c>
      <c r="PG78">
        <v>35</v>
      </c>
      <c r="PH78">
        <v>519</v>
      </c>
      <c r="PI78">
        <v>0</v>
      </c>
      <c r="PJ78">
        <v>103.7</v>
      </c>
      <c r="PK78">
        <v>2128</v>
      </c>
      <c r="PL78">
        <v>1622.6</v>
      </c>
      <c r="PM78">
        <v>293.5</v>
      </c>
      <c r="PN78">
        <v>111.3</v>
      </c>
      <c r="PO78">
        <v>9.300000000000001</v>
      </c>
      <c r="PP78">
        <v>12</v>
      </c>
      <c r="PQ78">
        <v>4</v>
      </c>
      <c r="PR78">
        <v>4</v>
      </c>
      <c r="PS78">
        <v>0</v>
      </c>
      <c r="PT78">
        <v>276</v>
      </c>
      <c r="PU78">
        <v>15</v>
      </c>
      <c r="PV78" t="s">
        <v>4072</v>
      </c>
      <c r="PW78" t="s">
        <v>4072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-1</v>
      </c>
      <c r="QF78">
        <v>1</v>
      </c>
      <c r="QG78">
        <v>0</v>
      </c>
      <c r="QH78">
        <v>5</v>
      </c>
      <c r="QI78">
        <v>5</v>
      </c>
      <c r="QJ78">
        <v>5</v>
      </c>
      <c r="QK78">
        <v>262</v>
      </c>
      <c r="QL78">
        <v>518</v>
      </c>
      <c r="QM78">
        <v>7.5</v>
      </c>
      <c r="QN78">
        <v>1464.3</v>
      </c>
      <c r="QO78" t="s">
        <v>1477</v>
      </c>
      <c r="QP78" t="s">
        <v>513</v>
      </c>
      <c r="QQ78">
        <v>0</v>
      </c>
      <c r="QR78" t="s">
        <v>596</v>
      </c>
      <c r="QS78">
        <v>40</v>
      </c>
      <c r="QT78">
        <v>50</v>
      </c>
    </row>
    <row r="79" spans="1:462">
      <c r="A79" t="s">
        <v>1599</v>
      </c>
      <c r="B79" t="s">
        <v>629</v>
      </c>
      <c r="C79" t="s">
        <v>509</v>
      </c>
      <c r="D79" t="s">
        <v>4402</v>
      </c>
      <c r="E79" t="s">
        <v>4036</v>
      </c>
      <c r="H79" t="s">
        <v>604</v>
      </c>
      <c r="I79" t="s">
        <v>605</v>
      </c>
      <c r="J79" t="s">
        <v>628</v>
      </c>
      <c r="K79" t="s">
        <v>606</v>
      </c>
      <c r="L79" t="s">
        <v>711</v>
      </c>
      <c r="M79" t="s">
        <v>512</v>
      </c>
      <c r="O79" t="s">
        <v>513</v>
      </c>
      <c r="P79" t="s">
        <v>567</v>
      </c>
      <c r="Q79" t="s">
        <v>1002</v>
      </c>
      <c r="R79" t="s">
        <v>1003</v>
      </c>
      <c r="S79" t="s">
        <v>4037</v>
      </c>
      <c r="T79" t="s">
        <v>686</v>
      </c>
      <c r="U79" t="s">
        <v>687</v>
      </c>
      <c r="V79" t="s">
        <v>1004</v>
      </c>
      <c r="W79" t="s">
        <v>1460</v>
      </c>
      <c r="X79" t="s">
        <v>1600</v>
      </c>
      <c r="Y79" t="s">
        <v>1601</v>
      </c>
      <c r="Z79" t="s">
        <v>650</v>
      </c>
      <c r="AA79" t="s">
        <v>4038</v>
      </c>
      <c r="AB79" t="s">
        <v>4403</v>
      </c>
      <c r="AC79">
        <v>13</v>
      </c>
      <c r="AD79" t="s">
        <v>1597</v>
      </c>
      <c r="AE79">
        <v>4</v>
      </c>
      <c r="AF79">
        <v>6853</v>
      </c>
      <c r="AG79" t="s">
        <v>4136</v>
      </c>
      <c r="AH79">
        <v>1</v>
      </c>
      <c r="AI79" t="s">
        <v>4041</v>
      </c>
      <c r="AK79" t="s">
        <v>4137</v>
      </c>
      <c r="AL79">
        <v>1</v>
      </c>
      <c r="AM79" t="s">
        <v>582</v>
      </c>
      <c r="AO79" t="s">
        <v>4043</v>
      </c>
      <c r="AP79">
        <v>1</v>
      </c>
      <c r="AR79" t="s">
        <v>4404</v>
      </c>
      <c r="AS79">
        <v>1</v>
      </c>
      <c r="AT79">
        <v>52</v>
      </c>
      <c r="AV79" t="s">
        <v>4078</v>
      </c>
      <c r="AW79">
        <v>6.4</v>
      </c>
      <c r="AX79">
        <v>-6</v>
      </c>
      <c r="AY79">
        <v>111</v>
      </c>
      <c r="AZ79">
        <v>77</v>
      </c>
      <c r="BH79">
        <v>111</v>
      </c>
      <c r="BI79">
        <v>34</v>
      </c>
      <c r="BJ79">
        <v>77</v>
      </c>
      <c r="BK79">
        <v>3.5</v>
      </c>
      <c r="BL79">
        <v>222</v>
      </c>
      <c r="BM79">
        <v>-6</v>
      </c>
      <c r="BN79">
        <v>0</v>
      </c>
      <c r="BP79">
        <v>0</v>
      </c>
      <c r="BR79">
        <v>215</v>
      </c>
      <c r="BS79">
        <v>205</v>
      </c>
      <c r="BT79">
        <v>2205</v>
      </c>
      <c r="BU79" t="s">
        <v>4127</v>
      </c>
      <c r="BV79" t="s">
        <v>4079</v>
      </c>
      <c r="BW79" t="s">
        <v>4128</v>
      </c>
      <c r="BX79" t="s">
        <v>4081</v>
      </c>
      <c r="BY79" t="s">
        <v>4129</v>
      </c>
      <c r="BZ79" t="s">
        <v>4221</v>
      </c>
      <c r="CA79" t="s">
        <v>4130</v>
      </c>
      <c r="CB79" t="s">
        <v>4131</v>
      </c>
      <c r="CC79" t="s">
        <v>4053</v>
      </c>
      <c r="CD79" t="s">
        <v>4055</v>
      </c>
      <c r="CE79" t="s">
        <v>4055</v>
      </c>
      <c r="CF79" t="s">
        <v>4055</v>
      </c>
      <c r="CG79" t="s">
        <v>4056</v>
      </c>
      <c r="CI79" t="s">
        <v>4086</v>
      </c>
      <c r="CJ79" t="s">
        <v>4059</v>
      </c>
      <c r="CK79" t="s">
        <v>4060</v>
      </c>
      <c r="CL79" t="s">
        <v>4061</v>
      </c>
      <c r="CM79" t="s">
        <v>4062</v>
      </c>
      <c r="CN79" t="s">
        <v>4055</v>
      </c>
      <c r="CO79" t="s">
        <v>4063</v>
      </c>
      <c r="CP79" t="s">
        <v>4055</v>
      </c>
      <c r="CQ79" t="s">
        <v>4055</v>
      </c>
      <c r="CR79">
        <v>5</v>
      </c>
      <c r="CS79" t="s">
        <v>4055</v>
      </c>
      <c r="CT79" t="s">
        <v>4055</v>
      </c>
      <c r="CU79" t="s">
        <v>4055</v>
      </c>
      <c r="CV79">
        <v>137</v>
      </c>
      <c r="CW79">
        <v>3</v>
      </c>
      <c r="CX79">
        <v>119</v>
      </c>
      <c r="CY79">
        <v>5</v>
      </c>
      <c r="CZ79">
        <v>154</v>
      </c>
      <c r="DA79">
        <v>5</v>
      </c>
      <c r="DB79">
        <v>14720</v>
      </c>
      <c r="DC79">
        <v>440</v>
      </c>
      <c r="DD79">
        <v>335</v>
      </c>
      <c r="DE79">
        <v>2325</v>
      </c>
      <c r="DF79">
        <v>2325</v>
      </c>
      <c r="DG79">
        <v>2335</v>
      </c>
      <c r="DH79">
        <v>3</v>
      </c>
      <c r="DI79" t="s">
        <v>4055</v>
      </c>
      <c r="DJ79" t="s">
        <v>4064</v>
      </c>
      <c r="DK79">
        <v>215</v>
      </c>
      <c r="DL79" t="s">
        <v>4065</v>
      </c>
      <c r="DM79">
        <v>65</v>
      </c>
      <c r="DN79">
        <v>1.2</v>
      </c>
      <c r="DO79">
        <v>1</v>
      </c>
      <c r="DP79">
        <v>2209</v>
      </c>
      <c r="DQ79">
        <v>1091</v>
      </c>
      <c r="DR79" t="s">
        <v>4064</v>
      </c>
      <c r="DS79">
        <v>205</v>
      </c>
      <c r="DT79" t="s">
        <v>4065</v>
      </c>
      <c r="DU79">
        <v>65</v>
      </c>
      <c r="DV79">
        <v>1.2</v>
      </c>
      <c r="DW79">
        <v>1</v>
      </c>
      <c r="DX79">
        <v>2221</v>
      </c>
      <c r="DY79">
        <v>1046</v>
      </c>
      <c r="DZ79" t="s">
        <v>4066</v>
      </c>
      <c r="EA79">
        <v>20</v>
      </c>
      <c r="EB79" t="s">
        <v>4065</v>
      </c>
      <c r="EC79">
        <v>0.8</v>
      </c>
      <c r="ED79">
        <v>2209</v>
      </c>
      <c r="EE79">
        <v>77</v>
      </c>
      <c r="EG79">
        <v>0</v>
      </c>
      <c r="EH79" t="s">
        <v>4065</v>
      </c>
      <c r="EI79">
        <v>0</v>
      </c>
      <c r="EL79" t="s">
        <v>1528</v>
      </c>
      <c r="EM79">
        <v>12</v>
      </c>
      <c r="EN79">
        <v>0.5</v>
      </c>
      <c r="EO79">
        <v>0.96</v>
      </c>
      <c r="EP79">
        <v>2220.08</v>
      </c>
      <c r="EQ79">
        <v>40585.84</v>
      </c>
      <c r="ER79">
        <v>11826.22</v>
      </c>
      <c r="ES79">
        <v>0</v>
      </c>
      <c r="ET79">
        <v>0</v>
      </c>
      <c r="EU79">
        <v>1</v>
      </c>
      <c r="EV79">
        <v>52413</v>
      </c>
      <c r="EW79">
        <v>629</v>
      </c>
      <c r="EX79" t="s">
        <v>4363</v>
      </c>
      <c r="EY79">
        <v>232</v>
      </c>
      <c r="EZ79" t="s">
        <v>4055</v>
      </c>
      <c r="FA79">
        <v>6.5</v>
      </c>
      <c r="FB79">
        <v>1</v>
      </c>
      <c r="FC79">
        <v>1</v>
      </c>
      <c r="FD79">
        <v>2253</v>
      </c>
      <c r="FE79">
        <v>3663</v>
      </c>
      <c r="FF79" t="s">
        <v>4089</v>
      </c>
      <c r="FG79">
        <v>232</v>
      </c>
      <c r="FH79" t="s">
        <v>4055</v>
      </c>
      <c r="FI79">
        <v>1.6</v>
      </c>
      <c r="FJ79">
        <v>2253</v>
      </c>
      <c r="FK79">
        <v>858</v>
      </c>
      <c r="FL79" t="s">
        <v>4069</v>
      </c>
      <c r="FM79" t="s">
        <v>4055</v>
      </c>
      <c r="FN79" t="s">
        <v>4055</v>
      </c>
      <c r="FO79" t="s">
        <v>4055</v>
      </c>
      <c r="FP79">
        <v>2253</v>
      </c>
      <c r="FQ79">
        <v>243</v>
      </c>
      <c r="FR79" t="s">
        <v>4090</v>
      </c>
      <c r="FS79">
        <v>236</v>
      </c>
      <c r="FT79" t="s">
        <v>4055</v>
      </c>
      <c r="FU79">
        <v>0.4</v>
      </c>
      <c r="FV79">
        <v>2253</v>
      </c>
      <c r="FW79">
        <v>237</v>
      </c>
      <c r="FX79" t="s">
        <v>4070</v>
      </c>
      <c r="FY79">
        <v>5</v>
      </c>
      <c r="FZ79" t="s">
        <v>4055</v>
      </c>
      <c r="GA79" t="s">
        <v>4055</v>
      </c>
      <c r="GB79">
        <v>2253</v>
      </c>
      <c r="GC79">
        <v>22</v>
      </c>
      <c r="GD79">
        <v>5023</v>
      </c>
      <c r="GE79" t="s">
        <v>4404</v>
      </c>
      <c r="GF79" t="s">
        <v>4055</v>
      </c>
      <c r="GG79" t="s">
        <v>4055</v>
      </c>
      <c r="GH79" t="s">
        <v>4055</v>
      </c>
      <c r="GI79" t="s">
        <v>4071</v>
      </c>
      <c r="GJ79" t="s">
        <v>4055</v>
      </c>
      <c r="GK79" t="s">
        <v>4055</v>
      </c>
      <c r="GL79" t="s">
        <v>4055</v>
      </c>
      <c r="GM79" t="s">
        <v>4055</v>
      </c>
      <c r="GQ79">
        <v>0</v>
      </c>
      <c r="GV79">
        <v>8.5</v>
      </c>
      <c r="GW79">
        <v>10.1</v>
      </c>
      <c r="GX79">
        <v>0.5</v>
      </c>
      <c r="GY79">
        <v>196</v>
      </c>
      <c r="GZ79">
        <v>3</v>
      </c>
      <c r="HA79">
        <v>258</v>
      </c>
      <c r="HB79">
        <v>3</v>
      </c>
      <c r="HC79">
        <v>2253</v>
      </c>
      <c r="HD79">
        <v>4</v>
      </c>
      <c r="HE79" t="s">
        <v>4071</v>
      </c>
      <c r="HG79" t="s">
        <v>549</v>
      </c>
      <c r="HL79">
        <v>4</v>
      </c>
      <c r="HM79">
        <v>19</v>
      </c>
      <c r="HN79">
        <v>1</v>
      </c>
      <c r="HO79">
        <v>1</v>
      </c>
      <c r="HP79">
        <v>0</v>
      </c>
      <c r="HQ79">
        <v>0</v>
      </c>
      <c r="HR79">
        <v>2</v>
      </c>
      <c r="HS79">
        <v>2205</v>
      </c>
      <c r="HT79">
        <v>5</v>
      </c>
      <c r="HU79">
        <v>1</v>
      </c>
      <c r="HV79">
        <v>3</v>
      </c>
      <c r="HW79">
        <v>0</v>
      </c>
      <c r="HX79">
        <v>1</v>
      </c>
      <c r="HY79">
        <v>0</v>
      </c>
      <c r="HZ79">
        <v>65</v>
      </c>
      <c r="IA79">
        <v>2209</v>
      </c>
      <c r="IB79">
        <v>2221</v>
      </c>
      <c r="ID79">
        <v>2253</v>
      </c>
      <c r="IE79">
        <v>2253</v>
      </c>
      <c r="IF79">
        <v>215</v>
      </c>
      <c r="IG79">
        <v>205</v>
      </c>
      <c r="IH79">
        <v>258</v>
      </c>
      <c r="II79">
        <v>1</v>
      </c>
      <c r="IJ79">
        <v>5</v>
      </c>
      <c r="IK79">
        <v>0</v>
      </c>
      <c r="IL79">
        <v>0</v>
      </c>
      <c r="IM79">
        <v>0</v>
      </c>
      <c r="IN79">
        <v>270</v>
      </c>
      <c r="IO79">
        <v>0</v>
      </c>
      <c r="IP79">
        <v>180</v>
      </c>
      <c r="IQ79">
        <v>0</v>
      </c>
      <c r="IR79">
        <v>330</v>
      </c>
      <c r="IS79">
        <v>0</v>
      </c>
      <c r="IT79">
        <v>90</v>
      </c>
      <c r="IU79">
        <v>0</v>
      </c>
      <c r="IV79">
        <v>6.4</v>
      </c>
      <c r="IW79">
        <v>-6</v>
      </c>
      <c r="IX79">
        <v>111</v>
      </c>
      <c r="IY79">
        <v>77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428</v>
      </c>
      <c r="JJ79">
        <v>400</v>
      </c>
      <c r="JK79">
        <v>300</v>
      </c>
      <c r="JL79">
        <v>382</v>
      </c>
      <c r="JM79">
        <v>310</v>
      </c>
      <c r="JN79">
        <v>215</v>
      </c>
      <c r="JO79">
        <v>262</v>
      </c>
      <c r="JP79">
        <v>184</v>
      </c>
      <c r="JQ79">
        <v>230</v>
      </c>
      <c r="JR79">
        <v>318</v>
      </c>
      <c r="JS79">
        <v>250</v>
      </c>
      <c r="JT79">
        <v>0</v>
      </c>
      <c r="JU79">
        <v>0</v>
      </c>
      <c r="JV79">
        <v>300</v>
      </c>
      <c r="JW79">
        <v>290</v>
      </c>
      <c r="JX79">
        <v>316</v>
      </c>
      <c r="JY79">
        <v>270</v>
      </c>
      <c r="JZ79">
        <v>1.5</v>
      </c>
      <c r="KA79">
        <v>0.2</v>
      </c>
      <c r="KB79">
        <v>0.4</v>
      </c>
      <c r="KC79">
        <v>0.42</v>
      </c>
      <c r="KD79">
        <v>0.28</v>
      </c>
      <c r="KE79">
        <v>0.5</v>
      </c>
      <c r="KF79">
        <v>0.18</v>
      </c>
      <c r="KG79">
        <v>0.11</v>
      </c>
      <c r="KH79">
        <v>4.5</v>
      </c>
      <c r="KI79">
        <v>1</v>
      </c>
      <c r="KJ79">
        <v>4.5</v>
      </c>
      <c r="KK79">
        <v>0</v>
      </c>
      <c r="KL79">
        <v>5.5</v>
      </c>
      <c r="KM79">
        <v>1</v>
      </c>
      <c r="KN79">
        <v>1.7</v>
      </c>
      <c r="KO79">
        <v>0</v>
      </c>
      <c r="KP79">
        <v>0</v>
      </c>
      <c r="KQ79">
        <v>0.8</v>
      </c>
      <c r="KR79">
        <v>0.8</v>
      </c>
      <c r="KS79">
        <v>0</v>
      </c>
      <c r="KT79">
        <v>2.1</v>
      </c>
      <c r="KU79">
        <v>0</v>
      </c>
      <c r="KV79">
        <v>0</v>
      </c>
      <c r="KW79">
        <v>1.2</v>
      </c>
      <c r="KX79">
        <v>2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3</v>
      </c>
      <c r="LI79">
        <v>2</v>
      </c>
      <c r="LJ79">
        <v>0</v>
      </c>
      <c r="LK79">
        <v>9</v>
      </c>
      <c r="LL79">
        <v>6</v>
      </c>
      <c r="LM79">
        <v>11</v>
      </c>
      <c r="LN79">
        <v>0.1</v>
      </c>
      <c r="LO79">
        <v>0.1</v>
      </c>
      <c r="LP79">
        <v>0</v>
      </c>
      <c r="LQ79">
        <v>0</v>
      </c>
      <c r="LR79">
        <v>0</v>
      </c>
      <c r="LS79">
        <v>1</v>
      </c>
      <c r="LT79">
        <v>0</v>
      </c>
      <c r="LU79">
        <v>0</v>
      </c>
      <c r="LV79">
        <v>0</v>
      </c>
      <c r="LW79">
        <v>2.8</v>
      </c>
      <c r="LX79">
        <v>2.8</v>
      </c>
      <c r="LY79">
        <v>2.8</v>
      </c>
      <c r="LZ79">
        <v>2.8</v>
      </c>
      <c r="MA79">
        <v>0</v>
      </c>
      <c r="MB79">
        <v>8</v>
      </c>
      <c r="MC79">
        <v>0</v>
      </c>
      <c r="MD79">
        <v>4.5</v>
      </c>
      <c r="ME79">
        <v>6</v>
      </c>
      <c r="MF79">
        <v>6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452</v>
      </c>
      <c r="MN79">
        <v>210</v>
      </c>
      <c r="MO79">
        <v>268</v>
      </c>
      <c r="NU79">
        <v>0.15</v>
      </c>
      <c r="NV79">
        <v>0.2</v>
      </c>
      <c r="NW79">
        <v>0.2</v>
      </c>
      <c r="NX79">
        <v>2</v>
      </c>
      <c r="NY79">
        <v>2</v>
      </c>
      <c r="NZ79">
        <v>2</v>
      </c>
      <c r="OE79" t="s">
        <v>4404</v>
      </c>
      <c r="OF79" t="s">
        <v>4136</v>
      </c>
      <c r="OG79" t="s">
        <v>4137</v>
      </c>
      <c r="OH79" t="s">
        <v>4043</v>
      </c>
      <c r="OI79" t="s">
        <v>4404</v>
      </c>
      <c r="OJ79" t="s">
        <v>4403</v>
      </c>
      <c r="OK79">
        <v>61</v>
      </c>
      <c r="OL79">
        <v>61</v>
      </c>
      <c r="OM79" t="s">
        <v>4136</v>
      </c>
      <c r="ON79">
        <v>1</v>
      </c>
      <c r="OO79">
        <v>2209</v>
      </c>
      <c r="OP79">
        <v>61</v>
      </c>
      <c r="OQ79">
        <v>61</v>
      </c>
      <c r="OR79" t="s">
        <v>4137</v>
      </c>
      <c r="OS79">
        <v>1</v>
      </c>
      <c r="OT79">
        <v>2221</v>
      </c>
      <c r="OU79">
        <v>65</v>
      </c>
      <c r="OV79">
        <v>65</v>
      </c>
      <c r="OW79" t="s">
        <v>4043</v>
      </c>
      <c r="OX79">
        <v>1</v>
      </c>
      <c r="OY79">
        <v>52413</v>
      </c>
      <c r="OZ79">
        <v>51</v>
      </c>
      <c r="PA79">
        <v>52</v>
      </c>
      <c r="PB79" t="s">
        <v>4404</v>
      </c>
      <c r="PC79">
        <v>1</v>
      </c>
      <c r="PD79">
        <v>2253</v>
      </c>
      <c r="PF79">
        <v>494</v>
      </c>
      <c r="PG79">
        <v>35</v>
      </c>
      <c r="PH79">
        <v>471</v>
      </c>
      <c r="PI79">
        <v>0</v>
      </c>
      <c r="PJ79">
        <v>107.9</v>
      </c>
      <c r="PK79">
        <v>2220</v>
      </c>
      <c r="PL79">
        <v>1625.8</v>
      </c>
      <c r="PM79">
        <v>380.9</v>
      </c>
      <c r="PN79">
        <v>105</v>
      </c>
      <c r="PO79">
        <v>9.9</v>
      </c>
      <c r="PP79">
        <v>12</v>
      </c>
      <c r="PQ79">
        <v>5</v>
      </c>
      <c r="PR79">
        <v>4</v>
      </c>
      <c r="PS79">
        <v>0</v>
      </c>
      <c r="PT79">
        <v>258</v>
      </c>
      <c r="PU79">
        <v>13</v>
      </c>
      <c r="PV79" t="s">
        <v>4072</v>
      </c>
      <c r="PW79" t="s">
        <v>4072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-1</v>
      </c>
      <c r="QF79">
        <v>1</v>
      </c>
      <c r="QG79">
        <v>0</v>
      </c>
      <c r="QH79">
        <v>5</v>
      </c>
      <c r="QI79">
        <v>5</v>
      </c>
      <c r="QJ79">
        <v>5</v>
      </c>
      <c r="QK79">
        <v>230</v>
      </c>
      <c r="QL79">
        <v>458</v>
      </c>
      <c r="QM79">
        <v>7.5</v>
      </c>
      <c r="QN79">
        <v>1545.7</v>
      </c>
      <c r="QO79" t="s">
        <v>1477</v>
      </c>
      <c r="QP79" t="s">
        <v>513</v>
      </c>
      <c r="QQ79">
        <v>0</v>
      </c>
      <c r="QR79" t="s">
        <v>704</v>
      </c>
      <c r="QS79">
        <v>40</v>
      </c>
      <c r="QT79">
        <v>50</v>
      </c>
    </row>
    <row r="80" spans="1:462">
      <c r="A80" t="s">
        <v>1608</v>
      </c>
      <c r="B80" t="s">
        <v>657</v>
      </c>
      <c r="C80" t="s">
        <v>509</v>
      </c>
      <c r="D80" t="s">
        <v>728</v>
      </c>
      <c r="E80" t="s">
        <v>4036</v>
      </c>
      <c r="H80" t="s">
        <v>604</v>
      </c>
      <c r="I80" t="s">
        <v>605</v>
      </c>
      <c r="J80" t="s">
        <v>628</v>
      </c>
      <c r="K80" t="s">
        <v>606</v>
      </c>
      <c r="L80" t="s">
        <v>559</v>
      </c>
      <c r="M80" t="s">
        <v>512</v>
      </c>
      <c r="O80" t="s">
        <v>513</v>
      </c>
      <c r="P80" t="s">
        <v>567</v>
      </c>
      <c r="Q80" t="s">
        <v>1609</v>
      </c>
      <c r="R80" t="s">
        <v>1554</v>
      </c>
      <c r="S80" t="s">
        <v>4170</v>
      </c>
      <c r="T80" t="s">
        <v>1457</v>
      </c>
      <c r="U80" t="s">
        <v>1458</v>
      </c>
      <c r="V80" t="s">
        <v>1459</v>
      </c>
      <c r="W80" t="s">
        <v>1460</v>
      </c>
      <c r="X80" t="s">
        <v>1610</v>
      </c>
      <c r="Y80" t="s">
        <v>1611</v>
      </c>
      <c r="Z80" t="s">
        <v>541</v>
      </c>
      <c r="AA80" t="s">
        <v>4038</v>
      </c>
      <c r="AB80" t="s">
        <v>4405</v>
      </c>
      <c r="AC80">
        <v>13</v>
      </c>
      <c r="AD80" t="s">
        <v>1607</v>
      </c>
      <c r="AE80">
        <v>7</v>
      </c>
      <c r="AF80">
        <v>3132</v>
      </c>
      <c r="AG80" t="s">
        <v>4365</v>
      </c>
      <c r="AH80">
        <v>1</v>
      </c>
      <c r="AI80" t="s">
        <v>4041</v>
      </c>
      <c r="AK80" t="s">
        <v>4366</v>
      </c>
      <c r="AL80">
        <v>1</v>
      </c>
      <c r="AM80" t="s">
        <v>582</v>
      </c>
      <c r="AO80" t="s">
        <v>4353</v>
      </c>
      <c r="AP80">
        <v>1</v>
      </c>
      <c r="AR80" t="s">
        <v>4406</v>
      </c>
      <c r="AS80">
        <v>1</v>
      </c>
      <c r="AT80">
        <v>51</v>
      </c>
      <c r="AV80" t="s">
        <v>4045</v>
      </c>
      <c r="AW80">
        <v>6.4</v>
      </c>
      <c r="AX80">
        <v>-6</v>
      </c>
      <c r="AY80">
        <v>77.5</v>
      </c>
      <c r="AZ80">
        <v>65</v>
      </c>
      <c r="BH80">
        <v>77.5</v>
      </c>
      <c r="BI80">
        <v>12.5</v>
      </c>
      <c r="BJ80">
        <v>65</v>
      </c>
      <c r="BK80">
        <v>2.5</v>
      </c>
      <c r="BL80">
        <v>155</v>
      </c>
      <c r="BM80">
        <v>-6</v>
      </c>
      <c r="BN80">
        <v>0</v>
      </c>
      <c r="BO80">
        <v>0</v>
      </c>
      <c r="BP80">
        <v>0</v>
      </c>
      <c r="BR80">
        <v>150</v>
      </c>
      <c r="BS80">
        <v>140</v>
      </c>
      <c r="BT80">
        <v>1685</v>
      </c>
      <c r="BU80" t="s">
        <v>4355</v>
      </c>
      <c r="BV80" t="s">
        <v>4355</v>
      </c>
      <c r="BW80" t="s">
        <v>4356</v>
      </c>
      <c r="BX80" t="s">
        <v>4356</v>
      </c>
      <c r="BY80" t="s">
        <v>4357</v>
      </c>
      <c r="BZ80" t="s">
        <v>4357</v>
      </c>
      <c r="CA80" t="s">
        <v>4358</v>
      </c>
      <c r="CB80" t="s">
        <v>4359</v>
      </c>
      <c r="CC80" t="s">
        <v>4053</v>
      </c>
      <c r="CD80" t="s">
        <v>4359</v>
      </c>
      <c r="CE80" t="s">
        <v>4407</v>
      </c>
      <c r="CF80" t="s">
        <v>4408</v>
      </c>
      <c r="CG80" t="s">
        <v>4056</v>
      </c>
      <c r="CH80" t="s">
        <v>4145</v>
      </c>
      <c r="CI80" t="s">
        <v>4058</v>
      </c>
      <c r="CJ80" t="s">
        <v>4059</v>
      </c>
      <c r="CK80" t="s">
        <v>4060</v>
      </c>
      <c r="CL80" t="s">
        <v>4061</v>
      </c>
      <c r="CM80" t="s">
        <v>4062</v>
      </c>
      <c r="CN80" t="s">
        <v>4055</v>
      </c>
      <c r="CO80" t="s">
        <v>4063</v>
      </c>
      <c r="CP80" t="s">
        <v>4055</v>
      </c>
      <c r="CQ80" t="s">
        <v>4055</v>
      </c>
      <c r="CR80">
        <v>5</v>
      </c>
      <c r="CS80" t="s">
        <v>4055</v>
      </c>
      <c r="CT80" t="s">
        <v>4055</v>
      </c>
      <c r="CU80" t="s">
        <v>4055</v>
      </c>
      <c r="CV80">
        <v>97</v>
      </c>
      <c r="CW80">
        <v>3</v>
      </c>
      <c r="CX80">
        <v>65</v>
      </c>
      <c r="CY80">
        <v>5</v>
      </c>
      <c r="CZ80">
        <v>118</v>
      </c>
      <c r="DA80">
        <v>5</v>
      </c>
      <c r="DB80">
        <v>6720</v>
      </c>
      <c r="DC80">
        <v>200</v>
      </c>
      <c r="DD80">
        <v>265</v>
      </c>
      <c r="DE80">
        <v>1771</v>
      </c>
      <c r="DF80">
        <v>1771</v>
      </c>
      <c r="DG80">
        <v>1788</v>
      </c>
      <c r="DH80" t="s">
        <v>4055</v>
      </c>
      <c r="DI80" t="s">
        <v>4055</v>
      </c>
      <c r="DJ80" t="s">
        <v>4100</v>
      </c>
      <c r="DK80">
        <v>150</v>
      </c>
      <c r="DL80" t="s">
        <v>4101</v>
      </c>
      <c r="DM80">
        <v>65</v>
      </c>
      <c r="DN80">
        <v>0.84</v>
      </c>
      <c r="DO80">
        <v>1</v>
      </c>
      <c r="DP80">
        <v>1688</v>
      </c>
      <c r="DQ80">
        <v>463</v>
      </c>
      <c r="DR80" t="s">
        <v>4100</v>
      </c>
      <c r="DS80">
        <v>140</v>
      </c>
      <c r="DT80" t="s">
        <v>4101</v>
      </c>
      <c r="DU80">
        <v>65</v>
      </c>
      <c r="DV80">
        <v>0.84</v>
      </c>
      <c r="DW80">
        <v>1</v>
      </c>
      <c r="DX80">
        <v>1695</v>
      </c>
      <c r="DY80">
        <v>434</v>
      </c>
      <c r="DZ80" t="s">
        <v>4066</v>
      </c>
      <c r="EA80">
        <v>33</v>
      </c>
      <c r="EB80" t="s">
        <v>4065</v>
      </c>
      <c r="EC80">
        <v>0.4</v>
      </c>
      <c r="ED80">
        <v>1688</v>
      </c>
      <c r="EE80">
        <v>49</v>
      </c>
      <c r="EF80" t="s">
        <v>4066</v>
      </c>
      <c r="EG80">
        <v>33</v>
      </c>
      <c r="EH80" t="s">
        <v>4065</v>
      </c>
      <c r="EI80">
        <v>0.4</v>
      </c>
      <c r="EJ80">
        <v>1695</v>
      </c>
      <c r="EK80">
        <v>49</v>
      </c>
      <c r="EL80" t="s">
        <v>4362</v>
      </c>
      <c r="EM80">
        <v>12</v>
      </c>
      <c r="EN80">
        <v>0.5</v>
      </c>
      <c r="EO80">
        <v>0.77</v>
      </c>
      <c r="EP80">
        <v>1695.56</v>
      </c>
      <c r="EQ80">
        <v>22121.76</v>
      </c>
      <c r="ER80">
        <v>3321.09</v>
      </c>
      <c r="ES80">
        <v>0</v>
      </c>
      <c r="ET80">
        <v>0</v>
      </c>
      <c r="EU80">
        <v>1</v>
      </c>
      <c r="EV80">
        <v>25443</v>
      </c>
      <c r="EW80">
        <v>255</v>
      </c>
      <c r="EX80" t="s">
        <v>4363</v>
      </c>
      <c r="EY80">
        <v>168</v>
      </c>
      <c r="EZ80" t="s">
        <v>4055</v>
      </c>
      <c r="FA80">
        <v>3.9</v>
      </c>
      <c r="FB80">
        <v>1</v>
      </c>
      <c r="FC80">
        <v>1</v>
      </c>
      <c r="FD80">
        <v>1718</v>
      </c>
      <c r="FE80">
        <v>1767</v>
      </c>
      <c r="FF80" t="s">
        <v>4089</v>
      </c>
      <c r="FG80">
        <v>168</v>
      </c>
      <c r="FH80" t="s">
        <v>4055</v>
      </c>
      <c r="FI80">
        <v>1.2</v>
      </c>
      <c r="FJ80">
        <v>1718</v>
      </c>
      <c r="FK80">
        <v>341</v>
      </c>
      <c r="FL80" t="s">
        <v>4069</v>
      </c>
      <c r="FM80" t="s">
        <v>4055</v>
      </c>
      <c r="FN80" t="s">
        <v>4055</v>
      </c>
      <c r="FO80" t="s">
        <v>4055</v>
      </c>
      <c r="FP80">
        <v>1718</v>
      </c>
      <c r="FQ80">
        <v>84</v>
      </c>
      <c r="FR80" t="s">
        <v>4090</v>
      </c>
      <c r="FS80">
        <v>172</v>
      </c>
      <c r="FT80" t="s">
        <v>4055</v>
      </c>
      <c r="FU80">
        <v>0.4</v>
      </c>
      <c r="FV80">
        <v>1718</v>
      </c>
      <c r="FW80">
        <v>131</v>
      </c>
      <c r="FX80" t="s">
        <v>4070</v>
      </c>
      <c r="FY80">
        <v>10</v>
      </c>
      <c r="FZ80" t="s">
        <v>4055</v>
      </c>
      <c r="GA80" t="s">
        <v>4055</v>
      </c>
      <c r="GB80">
        <v>1718</v>
      </c>
      <c r="GC80">
        <v>14</v>
      </c>
      <c r="GD80">
        <v>2337</v>
      </c>
      <c r="GE80" t="s">
        <v>4406</v>
      </c>
      <c r="GF80" t="s">
        <v>4055</v>
      </c>
      <c r="GG80" t="s">
        <v>4055</v>
      </c>
      <c r="GH80" t="s">
        <v>4055</v>
      </c>
      <c r="GI80" t="s">
        <v>4055</v>
      </c>
      <c r="GJ80" t="s">
        <v>4055</v>
      </c>
      <c r="GK80" t="s">
        <v>4055</v>
      </c>
      <c r="GL80" t="s">
        <v>4055</v>
      </c>
      <c r="GM80" t="s">
        <v>4055</v>
      </c>
      <c r="GV80">
        <v>5.5</v>
      </c>
      <c r="GW80">
        <v>8.699999999999999</v>
      </c>
      <c r="GX80">
        <v>0.5</v>
      </c>
      <c r="GY80">
        <v>138</v>
      </c>
      <c r="GZ80">
        <v>3</v>
      </c>
      <c r="HA80">
        <v>182</v>
      </c>
      <c r="HB80">
        <v>3</v>
      </c>
      <c r="HC80">
        <v>1718</v>
      </c>
      <c r="HD80">
        <v>4</v>
      </c>
      <c r="HE80" t="s">
        <v>4071</v>
      </c>
      <c r="HG80" t="s">
        <v>549</v>
      </c>
      <c r="HL80">
        <v>4</v>
      </c>
      <c r="HM80">
        <v>14</v>
      </c>
      <c r="HN80">
        <v>6</v>
      </c>
      <c r="HO80">
        <v>1</v>
      </c>
      <c r="HP80">
        <v>0</v>
      </c>
      <c r="HQ80">
        <v>0</v>
      </c>
      <c r="HR80">
        <v>3</v>
      </c>
      <c r="HS80">
        <v>1685</v>
      </c>
      <c r="HT80">
        <v>5</v>
      </c>
      <c r="HU80">
        <v>1</v>
      </c>
      <c r="HV80">
        <v>3</v>
      </c>
      <c r="HW80">
        <v>0</v>
      </c>
      <c r="HX80">
        <v>1</v>
      </c>
      <c r="HY80">
        <v>0</v>
      </c>
      <c r="HZ80">
        <v>65</v>
      </c>
      <c r="IA80">
        <v>1688</v>
      </c>
      <c r="IB80">
        <v>1695</v>
      </c>
      <c r="ID80">
        <v>1718</v>
      </c>
      <c r="IE80">
        <v>1718</v>
      </c>
      <c r="IF80">
        <v>150</v>
      </c>
      <c r="IG80">
        <v>140</v>
      </c>
      <c r="IH80">
        <v>182</v>
      </c>
      <c r="II80">
        <v>0</v>
      </c>
      <c r="IJ80">
        <v>5</v>
      </c>
      <c r="IK80">
        <v>0</v>
      </c>
      <c r="IL80">
        <v>2</v>
      </c>
      <c r="IM80">
        <v>0</v>
      </c>
      <c r="IN80">
        <v>270</v>
      </c>
      <c r="IO80">
        <v>0</v>
      </c>
      <c r="IP80">
        <v>180</v>
      </c>
      <c r="IQ80">
        <v>0</v>
      </c>
      <c r="IR80">
        <v>330</v>
      </c>
      <c r="IS80">
        <v>0</v>
      </c>
      <c r="IT80">
        <v>90</v>
      </c>
      <c r="IU80">
        <v>0</v>
      </c>
      <c r="IV80">
        <v>6.4</v>
      </c>
      <c r="IW80">
        <v>-6</v>
      </c>
      <c r="IX80">
        <v>77.5</v>
      </c>
      <c r="IY80">
        <v>65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322</v>
      </c>
      <c r="JJ80">
        <v>292</v>
      </c>
      <c r="JK80">
        <v>215</v>
      </c>
      <c r="JL80">
        <v>290</v>
      </c>
      <c r="JM80">
        <v>215</v>
      </c>
      <c r="JN80">
        <v>150</v>
      </c>
      <c r="JO80">
        <v>192</v>
      </c>
      <c r="JP80">
        <v>240</v>
      </c>
      <c r="JQ80">
        <v>300</v>
      </c>
      <c r="JR80">
        <v>356</v>
      </c>
      <c r="JS80">
        <v>270</v>
      </c>
      <c r="JT80">
        <v>0</v>
      </c>
      <c r="JU80">
        <v>0</v>
      </c>
      <c r="JV80">
        <v>335</v>
      </c>
      <c r="JW80">
        <v>337</v>
      </c>
      <c r="JX80">
        <v>349</v>
      </c>
      <c r="JY80">
        <v>334</v>
      </c>
      <c r="JZ80">
        <v>2.5</v>
      </c>
      <c r="KA80">
        <v>0.2</v>
      </c>
      <c r="KB80">
        <v>0.4</v>
      </c>
      <c r="KC80">
        <v>0.42</v>
      </c>
      <c r="KD80">
        <v>0.28</v>
      </c>
      <c r="KE80">
        <v>0.5</v>
      </c>
      <c r="KF80">
        <v>0.2</v>
      </c>
      <c r="KG80">
        <v>0.1</v>
      </c>
      <c r="KH80">
        <v>3.5</v>
      </c>
      <c r="KI80">
        <v>1</v>
      </c>
      <c r="KJ80">
        <v>4.5</v>
      </c>
      <c r="KK80">
        <v>0</v>
      </c>
      <c r="KL80">
        <v>4.5</v>
      </c>
      <c r="KM80">
        <v>0</v>
      </c>
      <c r="KN80">
        <v>1.4</v>
      </c>
      <c r="KO80">
        <v>1</v>
      </c>
      <c r="KP80">
        <v>0.7</v>
      </c>
      <c r="KQ80">
        <v>0.8</v>
      </c>
      <c r="KR80">
        <v>1</v>
      </c>
      <c r="KS80">
        <v>0</v>
      </c>
      <c r="KT80">
        <v>2.8</v>
      </c>
      <c r="KU80">
        <v>0</v>
      </c>
      <c r="KV80">
        <v>0.9</v>
      </c>
      <c r="KW80">
        <v>1.2</v>
      </c>
      <c r="KX80">
        <v>2</v>
      </c>
      <c r="KY80">
        <v>0</v>
      </c>
      <c r="KZ80">
        <v>3</v>
      </c>
      <c r="LA80">
        <v>2</v>
      </c>
      <c r="LB80">
        <v>9</v>
      </c>
      <c r="LC80">
        <v>2.5</v>
      </c>
      <c r="LD80">
        <v>3</v>
      </c>
      <c r="LE80">
        <v>2</v>
      </c>
      <c r="LF80">
        <v>0</v>
      </c>
      <c r="LG80">
        <v>0</v>
      </c>
      <c r="LH80">
        <v>3</v>
      </c>
      <c r="LI80">
        <v>2</v>
      </c>
      <c r="LJ80">
        <v>1</v>
      </c>
      <c r="LK80">
        <v>8</v>
      </c>
      <c r="LL80">
        <v>7</v>
      </c>
      <c r="LM80">
        <v>12</v>
      </c>
      <c r="LN80">
        <v>0.1</v>
      </c>
      <c r="LO80">
        <v>0.1</v>
      </c>
      <c r="LP80">
        <v>0</v>
      </c>
      <c r="LQ80">
        <v>0</v>
      </c>
      <c r="LR80">
        <v>0</v>
      </c>
      <c r="LS80">
        <v>1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6.5</v>
      </c>
      <c r="MC80">
        <v>0</v>
      </c>
      <c r="MD80">
        <v>4.5</v>
      </c>
      <c r="ME80">
        <v>6</v>
      </c>
      <c r="MF80">
        <v>6</v>
      </c>
      <c r="MI80">
        <v>0</v>
      </c>
      <c r="MJ80">
        <v>0</v>
      </c>
      <c r="ML80">
        <v>0</v>
      </c>
      <c r="MM80">
        <v>326</v>
      </c>
      <c r="MN80">
        <v>145</v>
      </c>
      <c r="MO80">
        <v>172</v>
      </c>
      <c r="NU80">
        <v>0.15</v>
      </c>
      <c r="NV80">
        <v>0.2</v>
      </c>
      <c r="NW80">
        <v>0.2</v>
      </c>
      <c r="NX80">
        <v>2</v>
      </c>
      <c r="NY80">
        <v>2</v>
      </c>
      <c r="NZ80">
        <v>2</v>
      </c>
      <c r="OE80" t="s">
        <v>4406</v>
      </c>
      <c r="OF80" t="s">
        <v>4365</v>
      </c>
      <c r="OG80" t="s">
        <v>4366</v>
      </c>
      <c r="OH80" t="s">
        <v>4353</v>
      </c>
      <c r="OI80" t="s">
        <v>4406</v>
      </c>
      <c r="OJ80" t="s">
        <v>4405</v>
      </c>
      <c r="OK80">
        <v>61</v>
      </c>
      <c r="OL80">
        <v>61</v>
      </c>
      <c r="OM80" t="s">
        <v>4365</v>
      </c>
      <c r="ON80">
        <v>3</v>
      </c>
      <c r="OO80">
        <v>1688</v>
      </c>
      <c r="OP80">
        <v>61</v>
      </c>
      <c r="OQ80">
        <v>61</v>
      </c>
      <c r="OR80" t="s">
        <v>4366</v>
      </c>
      <c r="OS80">
        <v>3</v>
      </c>
      <c r="OT80">
        <v>1695</v>
      </c>
      <c r="OU80">
        <v>65</v>
      </c>
      <c r="OV80">
        <v>65</v>
      </c>
      <c r="OW80" t="s">
        <v>4353</v>
      </c>
      <c r="OX80">
        <v>1</v>
      </c>
      <c r="OY80">
        <v>25443</v>
      </c>
      <c r="OZ80">
        <v>51</v>
      </c>
      <c r="PA80">
        <v>51</v>
      </c>
      <c r="PB80" t="s">
        <v>4406</v>
      </c>
      <c r="PC80">
        <v>3</v>
      </c>
      <c r="PD80">
        <v>1718</v>
      </c>
      <c r="PF80">
        <v>274</v>
      </c>
      <c r="PG80">
        <v>29</v>
      </c>
      <c r="PH80">
        <v>256</v>
      </c>
      <c r="PI80">
        <v>29</v>
      </c>
      <c r="PJ80">
        <v>48.7</v>
      </c>
      <c r="PK80">
        <v>1350</v>
      </c>
      <c r="PL80">
        <v>1028.6</v>
      </c>
      <c r="PM80">
        <v>198.3</v>
      </c>
      <c r="PN80">
        <v>76.40000000000001</v>
      </c>
      <c r="PO80">
        <v>8.4</v>
      </c>
      <c r="PP80">
        <v>10</v>
      </c>
      <c r="PQ80">
        <v>8</v>
      </c>
      <c r="PR80">
        <v>8</v>
      </c>
      <c r="PS80">
        <v>6</v>
      </c>
      <c r="PT80">
        <v>182</v>
      </c>
      <c r="PU80">
        <v>7</v>
      </c>
      <c r="PV80" t="s">
        <v>4072</v>
      </c>
      <c r="PW80" t="s">
        <v>4072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-1</v>
      </c>
      <c r="QF80">
        <v>1</v>
      </c>
      <c r="QG80">
        <v>0</v>
      </c>
      <c r="QH80">
        <v>5</v>
      </c>
      <c r="QI80">
        <v>5</v>
      </c>
      <c r="QJ80">
        <v>5</v>
      </c>
      <c r="QK80">
        <v>156</v>
      </c>
      <c r="QL80">
        <v>356</v>
      </c>
      <c r="QM80">
        <v>7.5</v>
      </c>
      <c r="QN80">
        <v>1124.6</v>
      </c>
      <c r="QO80" t="s">
        <v>1477</v>
      </c>
      <c r="QP80" t="s">
        <v>513</v>
      </c>
      <c r="QQ80">
        <v>0</v>
      </c>
      <c r="QR80" t="s">
        <v>540</v>
      </c>
      <c r="QS80">
        <v>30</v>
      </c>
      <c r="QT80">
        <v>40</v>
      </c>
    </row>
    <row r="81" spans="1:462">
      <c r="A81" t="s">
        <v>1616</v>
      </c>
      <c r="B81" t="s">
        <v>559</v>
      </c>
      <c r="C81" t="s">
        <v>509</v>
      </c>
      <c r="D81" t="s">
        <v>1379</v>
      </c>
      <c r="E81" t="s">
        <v>4036</v>
      </c>
      <c r="H81" t="s">
        <v>605</v>
      </c>
      <c r="I81" t="s">
        <v>896</v>
      </c>
      <c r="J81" t="s">
        <v>1423</v>
      </c>
      <c r="K81" t="s">
        <v>606</v>
      </c>
      <c r="L81" t="s">
        <v>564</v>
      </c>
      <c r="M81" t="s">
        <v>512</v>
      </c>
      <c r="O81" t="s">
        <v>513</v>
      </c>
      <c r="P81" t="s">
        <v>567</v>
      </c>
      <c r="Q81" t="s">
        <v>1617</v>
      </c>
      <c r="R81" t="s">
        <v>1618</v>
      </c>
      <c r="S81" t="s">
        <v>4091</v>
      </c>
      <c r="T81" t="s">
        <v>1482</v>
      </c>
      <c r="U81" t="s">
        <v>1483</v>
      </c>
      <c r="V81" t="s">
        <v>1619</v>
      </c>
      <c r="W81" t="s">
        <v>1460</v>
      </c>
      <c r="X81" t="s">
        <v>1620</v>
      </c>
      <c r="Y81" t="s">
        <v>1621</v>
      </c>
      <c r="Z81" t="s">
        <v>541</v>
      </c>
      <c r="AA81" t="s">
        <v>4038</v>
      </c>
      <c r="AB81" t="s">
        <v>4409</v>
      </c>
      <c r="AC81">
        <v>13</v>
      </c>
      <c r="AD81" t="s">
        <v>1615</v>
      </c>
      <c r="AE81">
        <v>6</v>
      </c>
      <c r="AF81">
        <v>3755</v>
      </c>
      <c r="AG81" t="s">
        <v>4410</v>
      </c>
      <c r="AH81">
        <v>1</v>
      </c>
      <c r="AI81" t="s">
        <v>4041</v>
      </c>
      <c r="AK81" t="s">
        <v>4411</v>
      </c>
      <c r="AL81">
        <v>1</v>
      </c>
      <c r="AM81" t="s">
        <v>582</v>
      </c>
      <c r="AO81" t="s">
        <v>4353</v>
      </c>
      <c r="AP81">
        <v>1</v>
      </c>
      <c r="AR81" t="s">
        <v>4412</v>
      </c>
      <c r="AS81">
        <v>1</v>
      </c>
      <c r="AT81">
        <v>52</v>
      </c>
      <c r="AV81" t="s">
        <v>4078</v>
      </c>
      <c r="AW81">
        <v>6.4</v>
      </c>
      <c r="AX81">
        <v>-6</v>
      </c>
      <c r="AY81">
        <v>83.5</v>
      </c>
      <c r="AZ81">
        <v>58</v>
      </c>
      <c r="BH81">
        <v>83.5</v>
      </c>
      <c r="BI81">
        <v>25.5</v>
      </c>
      <c r="BJ81">
        <v>58</v>
      </c>
      <c r="BK81">
        <v>3.5</v>
      </c>
      <c r="BL81">
        <v>167</v>
      </c>
      <c r="BM81">
        <v>-6</v>
      </c>
      <c r="BN81">
        <v>0</v>
      </c>
      <c r="BP81">
        <v>0</v>
      </c>
      <c r="BR81">
        <v>160</v>
      </c>
      <c r="BS81">
        <v>150</v>
      </c>
      <c r="BT81">
        <v>1850</v>
      </c>
      <c r="BU81" t="s">
        <v>4046</v>
      </c>
      <c r="BV81" t="s">
        <v>4047</v>
      </c>
      <c r="BW81" t="s">
        <v>4048</v>
      </c>
      <c r="BX81" t="s">
        <v>4049</v>
      </c>
      <c r="BY81" t="s">
        <v>4413</v>
      </c>
      <c r="BZ81" t="s">
        <v>4413</v>
      </c>
      <c r="CA81" t="s">
        <v>4370</v>
      </c>
      <c r="CB81" t="s">
        <v>4371</v>
      </c>
      <c r="CC81" t="s">
        <v>4053</v>
      </c>
      <c r="CD81" t="s">
        <v>4372</v>
      </c>
      <c r="CE81" t="s">
        <v>4055</v>
      </c>
      <c r="CF81" t="s">
        <v>4055</v>
      </c>
      <c r="CG81" t="s">
        <v>4056</v>
      </c>
      <c r="CH81" t="s">
        <v>4057</v>
      </c>
      <c r="CI81" t="s">
        <v>4058</v>
      </c>
      <c r="CJ81" t="s">
        <v>4059</v>
      </c>
      <c r="CK81" t="s">
        <v>4060</v>
      </c>
      <c r="CL81" t="s">
        <v>4061</v>
      </c>
      <c r="CM81" t="s">
        <v>4062</v>
      </c>
      <c r="CN81" t="s">
        <v>4055</v>
      </c>
      <c r="CO81" t="s">
        <v>4063</v>
      </c>
      <c r="CP81" t="s">
        <v>4055</v>
      </c>
      <c r="CQ81" t="s">
        <v>4055</v>
      </c>
      <c r="CR81">
        <v>5</v>
      </c>
      <c r="CS81" t="s">
        <v>4055</v>
      </c>
      <c r="CT81" t="s">
        <v>4055</v>
      </c>
      <c r="CU81" t="s">
        <v>4055</v>
      </c>
      <c r="CV81">
        <v>105</v>
      </c>
      <c r="CW81">
        <v>3</v>
      </c>
      <c r="CX81">
        <v>66</v>
      </c>
      <c r="CY81">
        <v>5</v>
      </c>
      <c r="CZ81">
        <v>56</v>
      </c>
      <c r="DA81">
        <v>5</v>
      </c>
      <c r="DB81">
        <v>7990</v>
      </c>
      <c r="DC81">
        <v>230</v>
      </c>
      <c r="DD81">
        <v>290</v>
      </c>
      <c r="DE81">
        <v>1956</v>
      </c>
      <c r="DF81">
        <v>1931</v>
      </c>
      <c r="DG81">
        <v>1965</v>
      </c>
      <c r="DH81" t="s">
        <v>4055</v>
      </c>
      <c r="DI81" t="s">
        <v>4055</v>
      </c>
      <c r="DJ81" t="s">
        <v>4100</v>
      </c>
      <c r="DK81">
        <v>160</v>
      </c>
      <c r="DL81" t="s">
        <v>4101</v>
      </c>
      <c r="DM81">
        <v>65</v>
      </c>
      <c r="DN81">
        <v>0.84</v>
      </c>
      <c r="DO81">
        <v>1</v>
      </c>
      <c r="DP81">
        <v>1853</v>
      </c>
      <c r="DQ81">
        <v>541</v>
      </c>
      <c r="DR81" t="s">
        <v>4100</v>
      </c>
      <c r="DS81">
        <v>150</v>
      </c>
      <c r="DT81" t="s">
        <v>4101</v>
      </c>
      <c r="DU81">
        <v>65</v>
      </c>
      <c r="DV81">
        <v>0.84</v>
      </c>
      <c r="DW81">
        <v>1</v>
      </c>
      <c r="DX81">
        <v>1860</v>
      </c>
      <c r="DY81">
        <v>510</v>
      </c>
      <c r="DZ81" t="s">
        <v>4066</v>
      </c>
      <c r="EA81">
        <v>33</v>
      </c>
      <c r="EB81" t="s">
        <v>4065</v>
      </c>
      <c r="EC81">
        <v>0.4</v>
      </c>
      <c r="ED81">
        <v>1853</v>
      </c>
      <c r="EE81">
        <v>54</v>
      </c>
      <c r="EF81" t="s">
        <v>4066</v>
      </c>
      <c r="EG81">
        <v>33</v>
      </c>
      <c r="EH81" t="s">
        <v>4065</v>
      </c>
      <c r="EI81">
        <v>0.4</v>
      </c>
      <c r="EJ81">
        <v>1860</v>
      </c>
      <c r="EK81">
        <v>54</v>
      </c>
      <c r="EL81" t="s">
        <v>4362</v>
      </c>
      <c r="EM81">
        <v>12</v>
      </c>
      <c r="EN81">
        <v>0.5</v>
      </c>
      <c r="EO81">
        <v>0.77</v>
      </c>
      <c r="EP81">
        <v>1860.56</v>
      </c>
      <c r="EQ81">
        <v>26018.77</v>
      </c>
      <c r="ER81">
        <v>7432.45</v>
      </c>
      <c r="ES81">
        <v>0</v>
      </c>
      <c r="ET81">
        <v>0</v>
      </c>
      <c r="EU81">
        <v>1</v>
      </c>
      <c r="EV81">
        <v>33452</v>
      </c>
      <c r="EW81">
        <v>335</v>
      </c>
      <c r="EX81" t="s">
        <v>4363</v>
      </c>
      <c r="EY81">
        <v>178</v>
      </c>
      <c r="EZ81" t="s">
        <v>4055</v>
      </c>
      <c r="FA81">
        <v>5.6</v>
      </c>
      <c r="FB81">
        <v>1</v>
      </c>
      <c r="FC81">
        <v>1</v>
      </c>
      <c r="FD81">
        <v>1887</v>
      </c>
      <c r="FE81">
        <v>2189</v>
      </c>
      <c r="FF81" t="s">
        <v>4089</v>
      </c>
      <c r="FG81">
        <v>178</v>
      </c>
      <c r="FH81" t="s">
        <v>4055</v>
      </c>
      <c r="FI81">
        <v>0.8</v>
      </c>
      <c r="FJ81">
        <v>1887</v>
      </c>
      <c r="FK81">
        <v>266</v>
      </c>
      <c r="FL81" t="s">
        <v>4069</v>
      </c>
      <c r="FM81" t="s">
        <v>4055</v>
      </c>
      <c r="FN81" t="s">
        <v>4055</v>
      </c>
      <c r="FO81" t="s">
        <v>4055</v>
      </c>
      <c r="FP81">
        <v>1887</v>
      </c>
      <c r="FQ81">
        <v>117</v>
      </c>
      <c r="FR81" t="s">
        <v>4090</v>
      </c>
      <c r="FS81">
        <v>182</v>
      </c>
      <c r="FT81" t="s">
        <v>4055</v>
      </c>
      <c r="FU81">
        <v>0.4</v>
      </c>
      <c r="FV81">
        <v>1887</v>
      </c>
      <c r="FW81">
        <v>153</v>
      </c>
      <c r="FX81" t="s">
        <v>4070</v>
      </c>
      <c r="FY81">
        <v>10</v>
      </c>
      <c r="FZ81" t="s">
        <v>4055</v>
      </c>
      <c r="GA81" t="s">
        <v>4055</v>
      </c>
      <c r="GB81">
        <v>1887</v>
      </c>
      <c r="GC81">
        <v>15</v>
      </c>
      <c r="GD81">
        <v>2740</v>
      </c>
      <c r="GE81" t="s">
        <v>4412</v>
      </c>
      <c r="GF81" t="s">
        <v>4055</v>
      </c>
      <c r="GG81" t="s">
        <v>4055</v>
      </c>
      <c r="GH81" t="s">
        <v>4055</v>
      </c>
      <c r="GI81" t="s">
        <v>4071</v>
      </c>
      <c r="GJ81" t="s">
        <v>4055</v>
      </c>
      <c r="GK81" t="s">
        <v>4055</v>
      </c>
      <c r="GL81" t="s">
        <v>4055</v>
      </c>
      <c r="GM81" t="s">
        <v>4055</v>
      </c>
      <c r="GQ81">
        <v>0</v>
      </c>
      <c r="GV81">
        <v>6.8</v>
      </c>
      <c r="GW81">
        <v>8.199999999999999</v>
      </c>
      <c r="GX81">
        <v>0.5</v>
      </c>
      <c r="GY81">
        <v>148</v>
      </c>
      <c r="GZ81">
        <v>3</v>
      </c>
      <c r="HA81">
        <v>196</v>
      </c>
      <c r="HB81">
        <v>3</v>
      </c>
      <c r="HC81">
        <v>1887</v>
      </c>
      <c r="HD81">
        <v>4</v>
      </c>
      <c r="HE81" t="s">
        <v>4071</v>
      </c>
      <c r="HG81" t="s">
        <v>549</v>
      </c>
      <c r="HL81">
        <v>4</v>
      </c>
      <c r="HM81">
        <v>15</v>
      </c>
      <c r="HN81">
        <v>6</v>
      </c>
      <c r="HO81">
        <v>1</v>
      </c>
      <c r="HP81">
        <v>0</v>
      </c>
      <c r="HQ81">
        <v>0</v>
      </c>
      <c r="HR81">
        <v>1</v>
      </c>
      <c r="HS81">
        <v>1850</v>
      </c>
      <c r="HT81">
        <v>5</v>
      </c>
      <c r="HU81">
        <v>1</v>
      </c>
      <c r="HV81">
        <v>3</v>
      </c>
      <c r="HW81">
        <v>0</v>
      </c>
      <c r="HX81">
        <v>1</v>
      </c>
      <c r="HY81">
        <v>0</v>
      </c>
      <c r="HZ81">
        <v>65</v>
      </c>
      <c r="IA81">
        <v>1853</v>
      </c>
      <c r="IB81">
        <v>1860</v>
      </c>
      <c r="ID81">
        <v>1887</v>
      </c>
      <c r="IE81">
        <v>1887</v>
      </c>
      <c r="IF81">
        <v>160</v>
      </c>
      <c r="IG81">
        <v>150</v>
      </c>
      <c r="IH81">
        <v>196</v>
      </c>
      <c r="II81">
        <v>1</v>
      </c>
      <c r="IJ81">
        <v>5</v>
      </c>
      <c r="IK81">
        <v>0</v>
      </c>
      <c r="IL81">
        <v>2</v>
      </c>
      <c r="IM81">
        <v>0</v>
      </c>
      <c r="IN81">
        <v>270</v>
      </c>
      <c r="IO81">
        <v>0</v>
      </c>
      <c r="IP81">
        <v>180</v>
      </c>
      <c r="IQ81">
        <v>0</v>
      </c>
      <c r="IR81">
        <v>310</v>
      </c>
      <c r="IS81">
        <v>0</v>
      </c>
      <c r="IT81">
        <v>90</v>
      </c>
      <c r="IU81">
        <v>0</v>
      </c>
      <c r="IV81">
        <v>6.4</v>
      </c>
      <c r="IW81">
        <v>-6</v>
      </c>
      <c r="IX81">
        <v>83.5</v>
      </c>
      <c r="IY81">
        <v>58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360</v>
      </c>
      <c r="JJ81">
        <v>330</v>
      </c>
      <c r="JK81">
        <v>250</v>
      </c>
      <c r="JL81">
        <v>326</v>
      </c>
      <c r="JM81">
        <v>240</v>
      </c>
      <c r="JN81">
        <v>156</v>
      </c>
      <c r="JO81">
        <v>196</v>
      </c>
      <c r="JP81">
        <v>210</v>
      </c>
      <c r="JQ81">
        <v>260</v>
      </c>
      <c r="JR81">
        <v>350</v>
      </c>
      <c r="JS81">
        <v>255</v>
      </c>
      <c r="JT81">
        <v>0</v>
      </c>
      <c r="JU81">
        <v>0</v>
      </c>
      <c r="JV81">
        <v>335</v>
      </c>
      <c r="JW81">
        <v>337</v>
      </c>
      <c r="JX81">
        <v>330</v>
      </c>
      <c r="JY81">
        <v>325</v>
      </c>
      <c r="JZ81">
        <v>0.5</v>
      </c>
      <c r="KA81">
        <v>0.2</v>
      </c>
      <c r="KB81">
        <v>0.42</v>
      </c>
      <c r="KC81">
        <v>0.43</v>
      </c>
      <c r="KD81">
        <v>0.2</v>
      </c>
      <c r="KE81">
        <v>0.5</v>
      </c>
      <c r="KF81">
        <v>0.17</v>
      </c>
      <c r="KG81">
        <v>0.1</v>
      </c>
      <c r="KH81">
        <v>6</v>
      </c>
      <c r="KI81">
        <v>1</v>
      </c>
      <c r="KJ81">
        <v>4.5</v>
      </c>
      <c r="KK81">
        <v>0</v>
      </c>
      <c r="KL81">
        <v>4.5</v>
      </c>
      <c r="KM81">
        <v>0</v>
      </c>
      <c r="KN81">
        <v>1.2</v>
      </c>
      <c r="KO81">
        <v>0</v>
      </c>
      <c r="KP81">
        <v>0</v>
      </c>
      <c r="KQ81">
        <v>0.8</v>
      </c>
      <c r="KR81">
        <v>0.8</v>
      </c>
      <c r="KS81">
        <v>0</v>
      </c>
      <c r="KT81">
        <v>2.5</v>
      </c>
      <c r="KU81">
        <v>0</v>
      </c>
      <c r="KV81">
        <v>0</v>
      </c>
      <c r="KW81">
        <v>1</v>
      </c>
      <c r="KX81">
        <v>2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3</v>
      </c>
      <c r="LI81">
        <v>1</v>
      </c>
      <c r="LJ81">
        <v>0</v>
      </c>
      <c r="LK81">
        <v>4</v>
      </c>
      <c r="LL81">
        <v>5</v>
      </c>
      <c r="LM81">
        <v>6</v>
      </c>
      <c r="LN81">
        <v>0.3</v>
      </c>
      <c r="LO81">
        <v>0.5</v>
      </c>
      <c r="LP81">
        <v>0</v>
      </c>
      <c r="LQ81">
        <v>0</v>
      </c>
      <c r="LR81">
        <v>0</v>
      </c>
      <c r="LS81">
        <v>1</v>
      </c>
      <c r="LT81">
        <v>0</v>
      </c>
      <c r="LU81">
        <v>0</v>
      </c>
      <c r="LV81">
        <v>0</v>
      </c>
      <c r="LW81">
        <v>1.4</v>
      </c>
      <c r="LX81">
        <v>1.4</v>
      </c>
      <c r="LY81">
        <v>2.1</v>
      </c>
      <c r="LZ81">
        <v>2.1</v>
      </c>
      <c r="MA81">
        <v>0</v>
      </c>
      <c r="MB81">
        <v>10</v>
      </c>
      <c r="MC81">
        <v>0</v>
      </c>
      <c r="MD81">
        <v>4.5</v>
      </c>
      <c r="ME81">
        <v>6</v>
      </c>
      <c r="MF81">
        <v>6</v>
      </c>
      <c r="MI81">
        <v>0</v>
      </c>
      <c r="MJ81">
        <v>0</v>
      </c>
      <c r="ML81">
        <v>0</v>
      </c>
      <c r="MM81">
        <v>358</v>
      </c>
      <c r="MN81">
        <v>155</v>
      </c>
      <c r="MO81">
        <v>206</v>
      </c>
      <c r="NU81">
        <v>0.2</v>
      </c>
      <c r="NV81">
        <v>0.2</v>
      </c>
      <c r="NW81">
        <v>0.2</v>
      </c>
      <c r="NX81">
        <v>3.5</v>
      </c>
      <c r="NY81">
        <v>2</v>
      </c>
      <c r="NZ81">
        <v>2</v>
      </c>
      <c r="OE81" t="s">
        <v>4412</v>
      </c>
      <c r="OF81" t="s">
        <v>4410</v>
      </c>
      <c r="OG81" t="s">
        <v>4411</v>
      </c>
      <c r="OH81" t="s">
        <v>4353</v>
      </c>
      <c r="OI81" t="s">
        <v>4412</v>
      </c>
      <c r="OJ81" t="s">
        <v>4409</v>
      </c>
      <c r="OK81">
        <v>61</v>
      </c>
      <c r="OL81">
        <v>61</v>
      </c>
      <c r="OM81" t="s">
        <v>4410</v>
      </c>
      <c r="ON81">
        <v>2</v>
      </c>
      <c r="OO81">
        <v>1853</v>
      </c>
      <c r="OP81">
        <v>61</v>
      </c>
      <c r="OQ81">
        <v>61</v>
      </c>
      <c r="OR81" t="s">
        <v>4411</v>
      </c>
      <c r="OS81">
        <v>2</v>
      </c>
      <c r="OT81">
        <v>1860</v>
      </c>
      <c r="OU81">
        <v>65</v>
      </c>
      <c r="OV81">
        <v>65</v>
      </c>
      <c r="OW81" t="s">
        <v>4353</v>
      </c>
      <c r="OX81">
        <v>1</v>
      </c>
      <c r="OY81">
        <v>33452</v>
      </c>
      <c r="OZ81">
        <v>51</v>
      </c>
      <c r="PA81">
        <v>52</v>
      </c>
      <c r="PB81" t="s">
        <v>4412</v>
      </c>
      <c r="PC81">
        <v>1</v>
      </c>
      <c r="PD81">
        <v>1887</v>
      </c>
      <c r="PF81">
        <v>292</v>
      </c>
      <c r="PG81">
        <v>29</v>
      </c>
      <c r="PH81">
        <v>274</v>
      </c>
      <c r="PI81">
        <v>29</v>
      </c>
      <c r="PJ81">
        <v>62.1</v>
      </c>
      <c r="PK81">
        <v>1440</v>
      </c>
      <c r="PL81">
        <v>1160.1</v>
      </c>
      <c r="PM81">
        <v>140.9</v>
      </c>
      <c r="PN81">
        <v>80.90000000000001</v>
      </c>
      <c r="PO81">
        <v>7.9</v>
      </c>
      <c r="PP81">
        <v>10</v>
      </c>
      <c r="PQ81">
        <v>2</v>
      </c>
      <c r="PR81">
        <v>1</v>
      </c>
      <c r="PS81">
        <v>7</v>
      </c>
      <c r="PT81">
        <v>196</v>
      </c>
      <c r="PU81">
        <v>9</v>
      </c>
      <c r="PV81" t="s">
        <v>4072</v>
      </c>
      <c r="PW81" t="s">
        <v>4072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-1</v>
      </c>
      <c r="QF81">
        <v>1</v>
      </c>
      <c r="QG81">
        <v>0</v>
      </c>
      <c r="QH81">
        <v>5</v>
      </c>
      <c r="QI81">
        <v>5</v>
      </c>
      <c r="QJ81">
        <v>5</v>
      </c>
      <c r="QK81">
        <v>175</v>
      </c>
      <c r="QL81">
        <v>394</v>
      </c>
      <c r="QM81">
        <v>7.5</v>
      </c>
      <c r="QN81">
        <v>1204.3</v>
      </c>
      <c r="QO81" t="s">
        <v>1477</v>
      </c>
      <c r="QP81" t="s">
        <v>513</v>
      </c>
      <c r="QQ81">
        <v>0</v>
      </c>
      <c r="QR81" t="s">
        <v>1496</v>
      </c>
      <c r="QS81">
        <v>30</v>
      </c>
      <c r="QT81">
        <v>40</v>
      </c>
    </row>
    <row r="82" spans="1:462">
      <c r="A82" t="s">
        <v>1626</v>
      </c>
      <c r="B82" t="s">
        <v>564</v>
      </c>
      <c r="C82" t="s">
        <v>509</v>
      </c>
      <c r="D82" t="s">
        <v>1890</v>
      </c>
      <c r="E82" t="s">
        <v>4036</v>
      </c>
      <c r="H82" t="s">
        <v>604</v>
      </c>
      <c r="K82" t="s">
        <v>606</v>
      </c>
      <c r="L82" t="s">
        <v>629</v>
      </c>
      <c r="M82" t="s">
        <v>512</v>
      </c>
      <c r="O82" t="s">
        <v>513</v>
      </c>
      <c r="P82" t="s">
        <v>567</v>
      </c>
      <c r="Q82" t="s">
        <v>806</v>
      </c>
      <c r="R82" t="s">
        <v>807</v>
      </c>
      <c r="S82" t="s">
        <v>4091</v>
      </c>
      <c r="T82" t="s">
        <v>520</v>
      </c>
      <c r="U82" t="s">
        <v>521</v>
      </c>
      <c r="V82" t="s">
        <v>808</v>
      </c>
      <c r="W82" t="s">
        <v>1460</v>
      </c>
      <c r="X82" t="s">
        <v>1627</v>
      </c>
      <c r="Y82" t="s">
        <v>1628</v>
      </c>
      <c r="Z82" t="s">
        <v>541</v>
      </c>
      <c r="AA82" t="s">
        <v>4038</v>
      </c>
      <c r="AB82" t="s">
        <v>4414</v>
      </c>
      <c r="AC82">
        <v>13</v>
      </c>
      <c r="AD82" t="s">
        <v>1625</v>
      </c>
      <c r="AE82">
        <v>5</v>
      </c>
      <c r="AF82">
        <v>4890</v>
      </c>
      <c r="AG82" t="s">
        <v>4415</v>
      </c>
      <c r="AH82">
        <v>1</v>
      </c>
      <c r="AI82" t="s">
        <v>4041</v>
      </c>
      <c r="AK82" t="s">
        <v>4416</v>
      </c>
      <c r="AL82">
        <v>1</v>
      </c>
      <c r="AM82" t="s">
        <v>582</v>
      </c>
      <c r="AO82" t="s">
        <v>4043</v>
      </c>
      <c r="AP82">
        <v>1</v>
      </c>
      <c r="AR82" t="s">
        <v>4417</v>
      </c>
      <c r="AS82">
        <v>1</v>
      </c>
      <c r="AT82">
        <v>52</v>
      </c>
      <c r="AV82" t="s">
        <v>4078</v>
      </c>
      <c r="AW82">
        <v>6.4</v>
      </c>
      <c r="AX82">
        <v>-6</v>
      </c>
      <c r="AY82">
        <v>88.5</v>
      </c>
      <c r="AZ82">
        <v>70</v>
      </c>
      <c r="BH82">
        <v>88.5</v>
      </c>
      <c r="BI82">
        <v>18.5</v>
      </c>
      <c r="BJ82">
        <v>70</v>
      </c>
      <c r="BK82">
        <v>3.5</v>
      </c>
      <c r="BL82">
        <v>177</v>
      </c>
      <c r="BM82">
        <v>-6</v>
      </c>
      <c r="BN82">
        <v>0</v>
      </c>
      <c r="BP82">
        <v>0</v>
      </c>
      <c r="BR82">
        <v>170</v>
      </c>
      <c r="BS82">
        <v>160</v>
      </c>
      <c r="BT82">
        <v>2005</v>
      </c>
      <c r="BU82" t="s">
        <v>4096</v>
      </c>
      <c r="BV82" t="s">
        <v>4096</v>
      </c>
      <c r="BW82" t="s">
        <v>4097</v>
      </c>
      <c r="BX82" t="s">
        <v>4097</v>
      </c>
      <c r="BY82" t="s">
        <v>4050</v>
      </c>
      <c r="BZ82" t="s">
        <v>4050</v>
      </c>
      <c r="CA82" t="s">
        <v>4051</v>
      </c>
      <c r="CB82" t="s">
        <v>4052</v>
      </c>
      <c r="CC82" t="s">
        <v>4053</v>
      </c>
      <c r="CD82" t="s">
        <v>4054</v>
      </c>
      <c r="CE82" t="s">
        <v>4055</v>
      </c>
      <c r="CF82" t="s">
        <v>4055</v>
      </c>
      <c r="CG82" t="s">
        <v>4056</v>
      </c>
      <c r="CH82" t="s">
        <v>4099</v>
      </c>
      <c r="CI82" t="s">
        <v>4058</v>
      </c>
      <c r="CJ82" t="s">
        <v>4059</v>
      </c>
      <c r="CK82" t="s">
        <v>4060</v>
      </c>
      <c r="CL82" t="s">
        <v>4061</v>
      </c>
      <c r="CM82" t="s">
        <v>4062</v>
      </c>
      <c r="CN82" t="s">
        <v>4055</v>
      </c>
      <c r="CO82" t="s">
        <v>4063</v>
      </c>
      <c r="CP82" t="s">
        <v>4055</v>
      </c>
      <c r="CQ82" t="s">
        <v>4055</v>
      </c>
      <c r="CR82">
        <v>5</v>
      </c>
      <c r="CS82" t="s">
        <v>4055</v>
      </c>
      <c r="CT82" t="s">
        <v>4055</v>
      </c>
      <c r="CU82" t="s">
        <v>4055</v>
      </c>
      <c r="CV82">
        <v>115</v>
      </c>
      <c r="CW82">
        <v>3</v>
      </c>
      <c r="CX82">
        <v>74</v>
      </c>
      <c r="CY82">
        <v>5</v>
      </c>
      <c r="CZ82">
        <v>132</v>
      </c>
      <c r="DA82">
        <v>5</v>
      </c>
      <c r="DB82">
        <v>10240</v>
      </c>
      <c r="DC82">
        <v>300</v>
      </c>
      <c r="DD82">
        <v>314</v>
      </c>
      <c r="DE82">
        <v>2118</v>
      </c>
      <c r="DF82">
        <v>2118</v>
      </c>
      <c r="DG82">
        <v>2128</v>
      </c>
      <c r="DH82" t="s">
        <v>4055</v>
      </c>
      <c r="DJ82" t="s">
        <v>4132</v>
      </c>
      <c r="DK82">
        <v>170</v>
      </c>
      <c r="DL82" t="s">
        <v>4065</v>
      </c>
      <c r="DM82">
        <v>65</v>
      </c>
      <c r="DN82">
        <v>1.1</v>
      </c>
      <c r="DO82">
        <v>1</v>
      </c>
      <c r="DP82">
        <v>2008</v>
      </c>
      <c r="DQ82">
        <v>739</v>
      </c>
      <c r="DR82" t="s">
        <v>4132</v>
      </c>
      <c r="DS82">
        <v>160</v>
      </c>
      <c r="DT82" t="s">
        <v>4065</v>
      </c>
      <c r="DU82">
        <v>65</v>
      </c>
      <c r="DV82">
        <v>1.1</v>
      </c>
      <c r="DW82">
        <v>1</v>
      </c>
      <c r="DX82">
        <v>2020</v>
      </c>
      <c r="DY82">
        <v>699</v>
      </c>
      <c r="DZ82" t="s">
        <v>4066</v>
      </c>
      <c r="EA82">
        <v>20</v>
      </c>
      <c r="EB82" t="s">
        <v>4065</v>
      </c>
      <c r="EC82">
        <v>0.8</v>
      </c>
      <c r="ED82">
        <v>2008</v>
      </c>
      <c r="EE82">
        <v>70</v>
      </c>
      <c r="EG82">
        <v>0</v>
      </c>
      <c r="EH82" t="s">
        <v>4065</v>
      </c>
      <c r="EI82">
        <v>0</v>
      </c>
      <c r="EL82" t="s">
        <v>1528</v>
      </c>
      <c r="EM82">
        <v>12</v>
      </c>
      <c r="EN82">
        <v>0.5</v>
      </c>
      <c r="EO82">
        <v>0.96</v>
      </c>
      <c r="EP82">
        <v>2018.83</v>
      </c>
      <c r="EQ82">
        <v>29809.29</v>
      </c>
      <c r="ER82">
        <v>5853.12</v>
      </c>
      <c r="ES82">
        <v>0</v>
      </c>
      <c r="ET82">
        <v>0</v>
      </c>
      <c r="EU82">
        <v>1</v>
      </c>
      <c r="EV82">
        <v>35663</v>
      </c>
      <c r="EW82">
        <v>428</v>
      </c>
      <c r="EX82" t="s">
        <v>4363</v>
      </c>
      <c r="EY82">
        <v>190</v>
      </c>
      <c r="EZ82" t="s">
        <v>4055</v>
      </c>
      <c r="FA82">
        <v>6.4</v>
      </c>
      <c r="FB82">
        <v>1</v>
      </c>
      <c r="FC82">
        <v>1</v>
      </c>
      <c r="FD82">
        <v>2052</v>
      </c>
      <c r="FE82">
        <v>2345</v>
      </c>
      <c r="FF82" t="s">
        <v>4089</v>
      </c>
      <c r="FG82">
        <v>190</v>
      </c>
      <c r="FH82" t="s">
        <v>4055</v>
      </c>
      <c r="FI82">
        <v>1.8</v>
      </c>
      <c r="FJ82">
        <v>2052</v>
      </c>
      <c r="FK82">
        <v>719</v>
      </c>
      <c r="FL82" t="s">
        <v>4069</v>
      </c>
      <c r="FM82" t="s">
        <v>4055</v>
      </c>
      <c r="FN82" t="s">
        <v>4055</v>
      </c>
      <c r="FO82" t="s">
        <v>4055</v>
      </c>
      <c r="FP82">
        <v>2052</v>
      </c>
      <c r="FQ82">
        <v>147</v>
      </c>
      <c r="FR82" t="s">
        <v>4090</v>
      </c>
      <c r="FS82">
        <v>194</v>
      </c>
      <c r="FT82" t="s">
        <v>4055</v>
      </c>
      <c r="FU82">
        <v>0.4</v>
      </c>
      <c r="FV82">
        <v>2052</v>
      </c>
      <c r="FW82">
        <v>177</v>
      </c>
      <c r="FX82" t="s">
        <v>4070</v>
      </c>
      <c r="FY82">
        <v>5</v>
      </c>
      <c r="FZ82" t="s">
        <v>4055</v>
      </c>
      <c r="GA82" t="s">
        <v>4055</v>
      </c>
      <c r="GB82">
        <v>2052</v>
      </c>
      <c r="GC82">
        <v>18</v>
      </c>
      <c r="GD82">
        <v>3406</v>
      </c>
      <c r="GE82" t="s">
        <v>4417</v>
      </c>
      <c r="GF82" t="s">
        <v>4055</v>
      </c>
      <c r="GG82" t="s">
        <v>4055</v>
      </c>
      <c r="GH82" t="s">
        <v>4055</v>
      </c>
      <c r="GI82" t="s">
        <v>4071</v>
      </c>
      <c r="GJ82" t="s">
        <v>4055</v>
      </c>
      <c r="GK82" t="s">
        <v>4055</v>
      </c>
      <c r="GL82" t="s">
        <v>4055</v>
      </c>
      <c r="GM82" t="s">
        <v>4055</v>
      </c>
      <c r="GQ82">
        <v>0</v>
      </c>
      <c r="GV82">
        <v>8.6</v>
      </c>
      <c r="GW82">
        <v>8.300000000000001</v>
      </c>
      <c r="GX82">
        <v>0.5</v>
      </c>
      <c r="GY82">
        <v>170</v>
      </c>
      <c r="GZ82">
        <v>3</v>
      </c>
      <c r="HA82">
        <v>212</v>
      </c>
      <c r="HB82">
        <v>3</v>
      </c>
      <c r="HC82">
        <v>2052</v>
      </c>
      <c r="HD82">
        <v>4</v>
      </c>
      <c r="HE82" t="s">
        <v>4071</v>
      </c>
      <c r="HG82" t="s">
        <v>549</v>
      </c>
      <c r="HL82">
        <v>4</v>
      </c>
      <c r="HM82">
        <v>16</v>
      </c>
      <c r="HN82">
        <v>6</v>
      </c>
      <c r="HO82">
        <v>1</v>
      </c>
      <c r="HP82">
        <v>0</v>
      </c>
      <c r="HQ82">
        <v>0</v>
      </c>
      <c r="HR82">
        <v>2</v>
      </c>
      <c r="HS82">
        <v>2005</v>
      </c>
      <c r="HT82">
        <v>5.5</v>
      </c>
      <c r="HU82">
        <v>1</v>
      </c>
      <c r="HV82">
        <v>3</v>
      </c>
      <c r="HW82">
        <v>0</v>
      </c>
      <c r="HX82">
        <v>1</v>
      </c>
      <c r="HY82">
        <v>0</v>
      </c>
      <c r="HZ82">
        <v>65</v>
      </c>
      <c r="IA82">
        <v>2008</v>
      </c>
      <c r="IB82">
        <v>2020</v>
      </c>
      <c r="ID82">
        <v>2052</v>
      </c>
      <c r="IE82">
        <v>2052</v>
      </c>
      <c r="IF82">
        <v>170</v>
      </c>
      <c r="IG82">
        <v>160</v>
      </c>
      <c r="IH82">
        <v>212</v>
      </c>
      <c r="II82">
        <v>1</v>
      </c>
      <c r="IJ82">
        <v>5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180</v>
      </c>
      <c r="IQ82">
        <v>0</v>
      </c>
      <c r="IR82">
        <v>330</v>
      </c>
      <c r="IS82">
        <v>0</v>
      </c>
      <c r="IT82">
        <v>90</v>
      </c>
      <c r="IU82">
        <v>0</v>
      </c>
      <c r="IV82">
        <v>6.4</v>
      </c>
      <c r="IW82">
        <v>-6</v>
      </c>
      <c r="IX82">
        <v>88.5</v>
      </c>
      <c r="IY82">
        <v>70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394</v>
      </c>
      <c r="JJ82">
        <v>364</v>
      </c>
      <c r="JK82">
        <v>260</v>
      </c>
      <c r="JL82">
        <v>360</v>
      </c>
      <c r="JM82">
        <v>270</v>
      </c>
      <c r="JN82">
        <v>195</v>
      </c>
      <c r="JO82">
        <v>230</v>
      </c>
      <c r="JP82">
        <v>195</v>
      </c>
      <c r="JQ82">
        <v>240</v>
      </c>
      <c r="JR82">
        <v>332</v>
      </c>
      <c r="JS82">
        <v>250</v>
      </c>
      <c r="JT82">
        <v>0</v>
      </c>
      <c r="JU82">
        <v>0</v>
      </c>
      <c r="JV82">
        <v>310</v>
      </c>
      <c r="JW82">
        <v>312</v>
      </c>
      <c r="JX82">
        <v>324</v>
      </c>
      <c r="JY82">
        <v>300</v>
      </c>
      <c r="JZ82">
        <v>1</v>
      </c>
      <c r="KA82">
        <v>0.2</v>
      </c>
      <c r="KB82">
        <v>0.4</v>
      </c>
      <c r="KC82">
        <v>0.42</v>
      </c>
      <c r="KD82">
        <v>0.28</v>
      </c>
      <c r="KE82">
        <v>0.5</v>
      </c>
      <c r="KF82">
        <v>0.17</v>
      </c>
      <c r="KG82">
        <v>0.1</v>
      </c>
      <c r="KH82">
        <v>3.5</v>
      </c>
      <c r="KI82">
        <v>1</v>
      </c>
      <c r="KJ82">
        <v>4.5</v>
      </c>
      <c r="KK82">
        <v>1</v>
      </c>
      <c r="KL82">
        <v>4.5</v>
      </c>
      <c r="KM82">
        <v>0</v>
      </c>
      <c r="KN82">
        <v>1.8</v>
      </c>
      <c r="KO82">
        <v>0</v>
      </c>
      <c r="KP82">
        <v>0</v>
      </c>
      <c r="KQ82">
        <v>1</v>
      </c>
      <c r="KR82">
        <v>0.5</v>
      </c>
      <c r="KS82">
        <v>0.2</v>
      </c>
      <c r="KT82">
        <v>2.4</v>
      </c>
      <c r="KU82">
        <v>0</v>
      </c>
      <c r="KV82">
        <v>0</v>
      </c>
      <c r="KW82">
        <v>1.2</v>
      </c>
      <c r="KX82">
        <v>2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3</v>
      </c>
      <c r="LI82">
        <v>0.5</v>
      </c>
      <c r="LJ82">
        <v>0</v>
      </c>
      <c r="LK82">
        <v>7</v>
      </c>
      <c r="LL82">
        <v>5</v>
      </c>
      <c r="LM82">
        <v>9</v>
      </c>
      <c r="LN82">
        <v>0.1</v>
      </c>
      <c r="LO82">
        <v>3</v>
      </c>
      <c r="LP82">
        <v>0</v>
      </c>
      <c r="LQ82">
        <v>0</v>
      </c>
      <c r="LR82">
        <v>0</v>
      </c>
      <c r="LS82">
        <v>1</v>
      </c>
      <c r="LT82">
        <v>0</v>
      </c>
      <c r="LU82">
        <v>0</v>
      </c>
      <c r="LV82">
        <v>0</v>
      </c>
      <c r="LW82">
        <v>1.6</v>
      </c>
      <c r="LX82">
        <v>1.6</v>
      </c>
      <c r="LY82">
        <v>2.2</v>
      </c>
      <c r="LZ82">
        <v>2.2</v>
      </c>
      <c r="MA82">
        <v>0</v>
      </c>
      <c r="MB82">
        <v>5</v>
      </c>
      <c r="MC82">
        <v>0</v>
      </c>
      <c r="MD82">
        <v>6.5</v>
      </c>
      <c r="ME82">
        <v>8</v>
      </c>
      <c r="MF82">
        <v>8</v>
      </c>
      <c r="MI82">
        <v>0</v>
      </c>
      <c r="MJ82">
        <v>0</v>
      </c>
      <c r="ML82">
        <v>0</v>
      </c>
      <c r="MM82">
        <v>440</v>
      </c>
      <c r="MN82">
        <v>200</v>
      </c>
      <c r="MO82">
        <v>235</v>
      </c>
      <c r="NU82">
        <v>0.15</v>
      </c>
      <c r="NV82">
        <v>0.2</v>
      </c>
      <c r="NW82">
        <v>0.2</v>
      </c>
      <c r="NX82">
        <v>2</v>
      </c>
      <c r="NY82">
        <v>2</v>
      </c>
      <c r="NZ82">
        <v>2</v>
      </c>
      <c r="OE82" t="s">
        <v>4417</v>
      </c>
      <c r="OF82" t="s">
        <v>4415</v>
      </c>
      <c r="OG82" t="s">
        <v>4416</v>
      </c>
      <c r="OH82" t="s">
        <v>4043</v>
      </c>
      <c r="OI82" t="s">
        <v>4417</v>
      </c>
      <c r="OJ82" t="s">
        <v>4414</v>
      </c>
      <c r="OK82">
        <v>61</v>
      </c>
      <c r="OL82">
        <v>61</v>
      </c>
      <c r="OM82" t="s">
        <v>4415</v>
      </c>
      <c r="ON82">
        <v>1</v>
      </c>
      <c r="OO82">
        <v>2008</v>
      </c>
      <c r="OP82">
        <v>61</v>
      </c>
      <c r="OQ82">
        <v>61</v>
      </c>
      <c r="OR82" t="s">
        <v>4416</v>
      </c>
      <c r="OS82">
        <v>1</v>
      </c>
      <c r="OT82">
        <v>2020</v>
      </c>
      <c r="OU82">
        <v>65</v>
      </c>
      <c r="OV82">
        <v>65</v>
      </c>
      <c r="OW82" t="s">
        <v>4043</v>
      </c>
      <c r="OX82">
        <v>2</v>
      </c>
      <c r="OY82">
        <v>35663</v>
      </c>
      <c r="OZ82">
        <v>51</v>
      </c>
      <c r="PA82">
        <v>52</v>
      </c>
      <c r="PB82" t="s">
        <v>4417</v>
      </c>
      <c r="PC82">
        <v>1</v>
      </c>
      <c r="PD82">
        <v>2052</v>
      </c>
      <c r="PF82">
        <v>368</v>
      </c>
      <c r="PG82">
        <v>35</v>
      </c>
      <c r="PH82">
        <v>346</v>
      </c>
      <c r="PI82">
        <v>0</v>
      </c>
      <c r="PJ82">
        <v>71.5</v>
      </c>
      <c r="PK82">
        <v>1686</v>
      </c>
      <c r="PL82">
        <v>1142.9</v>
      </c>
      <c r="PM82">
        <v>350.2</v>
      </c>
      <c r="PN82">
        <v>86.2</v>
      </c>
      <c r="PO82">
        <v>8.9</v>
      </c>
      <c r="PP82">
        <v>12</v>
      </c>
      <c r="PQ82">
        <v>3</v>
      </c>
      <c r="PR82">
        <v>3</v>
      </c>
      <c r="PS82">
        <v>8</v>
      </c>
      <c r="PT82">
        <v>212</v>
      </c>
      <c r="PU82">
        <v>11</v>
      </c>
      <c r="PV82" t="s">
        <v>4072</v>
      </c>
      <c r="PW82" t="s">
        <v>4072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-1</v>
      </c>
      <c r="QF82">
        <v>1</v>
      </c>
      <c r="QG82">
        <v>0</v>
      </c>
      <c r="QH82">
        <v>5</v>
      </c>
      <c r="QI82">
        <v>5</v>
      </c>
      <c r="QJ82">
        <v>5</v>
      </c>
      <c r="QK82">
        <v>192</v>
      </c>
      <c r="QL82">
        <v>428</v>
      </c>
      <c r="QM82">
        <v>7.5</v>
      </c>
      <c r="QN82">
        <v>1285.7</v>
      </c>
      <c r="QO82" t="s">
        <v>1477</v>
      </c>
      <c r="QP82" t="s">
        <v>513</v>
      </c>
      <c r="QQ82">
        <v>0</v>
      </c>
      <c r="QR82" t="s">
        <v>621</v>
      </c>
      <c r="QS82">
        <v>30</v>
      </c>
      <c r="QT82">
        <v>40</v>
      </c>
    </row>
    <row r="83" spans="1:462">
      <c r="A83" t="s">
        <v>1633</v>
      </c>
      <c r="B83" t="s">
        <v>729</v>
      </c>
      <c r="C83" t="s">
        <v>509</v>
      </c>
      <c r="D83" t="s">
        <v>1346</v>
      </c>
      <c r="E83" t="s">
        <v>4036</v>
      </c>
      <c r="H83" t="s">
        <v>604</v>
      </c>
      <c r="I83" t="s">
        <v>605</v>
      </c>
      <c r="J83" t="s">
        <v>628</v>
      </c>
      <c r="K83" t="s">
        <v>606</v>
      </c>
      <c r="L83" t="s">
        <v>897</v>
      </c>
      <c r="M83" t="s">
        <v>512</v>
      </c>
      <c r="O83" t="s">
        <v>513</v>
      </c>
      <c r="P83" t="s">
        <v>567</v>
      </c>
      <c r="Q83" t="s">
        <v>939</v>
      </c>
      <c r="R83" t="s">
        <v>759</v>
      </c>
      <c r="S83" t="s">
        <v>4037</v>
      </c>
      <c r="T83" t="s">
        <v>633</v>
      </c>
      <c r="U83" t="s">
        <v>634</v>
      </c>
      <c r="V83" t="s">
        <v>1634</v>
      </c>
      <c r="W83" t="s">
        <v>1460</v>
      </c>
      <c r="X83" t="s">
        <v>1635</v>
      </c>
      <c r="Y83" t="s">
        <v>1636</v>
      </c>
      <c r="Z83" t="s">
        <v>541</v>
      </c>
      <c r="AA83" t="s">
        <v>4038</v>
      </c>
      <c r="AB83" t="s">
        <v>4418</v>
      </c>
      <c r="AC83">
        <v>9</v>
      </c>
      <c r="AD83" t="s">
        <v>1632</v>
      </c>
      <c r="AE83">
        <v>9</v>
      </c>
      <c r="AF83">
        <v>4442</v>
      </c>
      <c r="AG83" t="s">
        <v>4379</v>
      </c>
      <c r="AH83">
        <v>1</v>
      </c>
      <c r="AI83" t="s">
        <v>4041</v>
      </c>
      <c r="AK83" t="s">
        <v>4380</v>
      </c>
      <c r="AL83">
        <v>1</v>
      </c>
      <c r="AM83" t="s">
        <v>582</v>
      </c>
      <c r="AO83" t="s">
        <v>4043</v>
      </c>
      <c r="AP83">
        <v>1</v>
      </c>
      <c r="AR83" t="s">
        <v>4419</v>
      </c>
      <c r="AS83">
        <v>1</v>
      </c>
      <c r="AT83">
        <v>52</v>
      </c>
      <c r="AV83" t="s">
        <v>4078</v>
      </c>
      <c r="AW83">
        <v>6.4</v>
      </c>
      <c r="AX83">
        <v>-6</v>
      </c>
      <c r="AY83">
        <v>98.5</v>
      </c>
      <c r="AZ83">
        <v>72</v>
      </c>
      <c r="BH83">
        <v>98.5</v>
      </c>
      <c r="BI83">
        <v>26.5</v>
      </c>
      <c r="BJ83">
        <v>72</v>
      </c>
      <c r="BK83">
        <v>3.5</v>
      </c>
      <c r="BL83">
        <v>197</v>
      </c>
      <c r="BM83">
        <v>-6</v>
      </c>
      <c r="BN83">
        <v>0</v>
      </c>
      <c r="BO83">
        <v>0</v>
      </c>
      <c r="BP83">
        <v>0</v>
      </c>
      <c r="BR83">
        <v>190</v>
      </c>
      <c r="BS83">
        <v>180</v>
      </c>
      <c r="BT83">
        <v>1955</v>
      </c>
      <c r="BU83" t="s">
        <v>4047</v>
      </c>
      <c r="BV83" t="s">
        <v>4096</v>
      </c>
      <c r="BW83" t="s">
        <v>4049</v>
      </c>
      <c r="BX83" t="s">
        <v>4097</v>
      </c>
      <c r="BY83" t="s">
        <v>4107</v>
      </c>
      <c r="BZ83" t="s">
        <v>4107</v>
      </c>
      <c r="CA83" t="s">
        <v>4108</v>
      </c>
      <c r="CB83" t="s">
        <v>4109</v>
      </c>
      <c r="CC83" t="s">
        <v>4053</v>
      </c>
      <c r="CD83" t="s">
        <v>4110</v>
      </c>
      <c r="CE83" t="s">
        <v>4055</v>
      </c>
      <c r="CF83" t="s">
        <v>4055</v>
      </c>
      <c r="CG83" t="s">
        <v>4056</v>
      </c>
      <c r="CH83" t="s">
        <v>4057</v>
      </c>
      <c r="CI83" t="s">
        <v>4058</v>
      </c>
      <c r="CJ83" t="s">
        <v>4059</v>
      </c>
      <c r="CK83" t="s">
        <v>4060</v>
      </c>
      <c r="CL83" t="s">
        <v>4061</v>
      </c>
      <c r="CM83" t="s">
        <v>4055</v>
      </c>
      <c r="CN83" t="s">
        <v>4062</v>
      </c>
      <c r="CO83" t="s">
        <v>4063</v>
      </c>
      <c r="CP83" t="s">
        <v>4055</v>
      </c>
      <c r="CQ83" t="s">
        <v>4055</v>
      </c>
      <c r="CR83">
        <v>5</v>
      </c>
      <c r="CS83" t="s">
        <v>4055</v>
      </c>
      <c r="CT83">
        <v>15</v>
      </c>
      <c r="CU83" t="s">
        <v>4055</v>
      </c>
      <c r="CV83">
        <v>121</v>
      </c>
      <c r="CW83">
        <v>3</v>
      </c>
      <c r="CX83">
        <v>78</v>
      </c>
      <c r="CY83">
        <v>5</v>
      </c>
      <c r="CZ83">
        <v>72</v>
      </c>
      <c r="DA83">
        <v>5</v>
      </c>
      <c r="DB83">
        <v>9830</v>
      </c>
      <c r="DC83">
        <v>290</v>
      </c>
      <c r="DD83">
        <v>310</v>
      </c>
      <c r="DE83">
        <v>2048</v>
      </c>
      <c r="DF83">
        <v>2048</v>
      </c>
      <c r="DG83">
        <v>2070</v>
      </c>
      <c r="DH83" t="s">
        <v>4055</v>
      </c>
      <c r="DI83" t="s">
        <v>4055</v>
      </c>
      <c r="DJ83" t="s">
        <v>4100</v>
      </c>
      <c r="DK83">
        <v>190</v>
      </c>
      <c r="DL83" t="s">
        <v>4101</v>
      </c>
      <c r="DM83">
        <v>65</v>
      </c>
      <c r="DN83">
        <v>0.84</v>
      </c>
      <c r="DO83">
        <v>1</v>
      </c>
      <c r="DP83">
        <v>1958</v>
      </c>
      <c r="DQ83">
        <v>679</v>
      </c>
      <c r="DR83" t="s">
        <v>4100</v>
      </c>
      <c r="DS83">
        <v>180</v>
      </c>
      <c r="DT83" t="s">
        <v>4101</v>
      </c>
      <c r="DU83">
        <v>65</v>
      </c>
      <c r="DV83">
        <v>0.84</v>
      </c>
      <c r="DW83">
        <v>1</v>
      </c>
      <c r="DX83">
        <v>1965</v>
      </c>
      <c r="DY83">
        <v>646</v>
      </c>
      <c r="DZ83" t="s">
        <v>4066</v>
      </c>
      <c r="EA83">
        <v>33</v>
      </c>
      <c r="EB83" t="s">
        <v>4065</v>
      </c>
      <c r="EC83">
        <v>0.4</v>
      </c>
      <c r="ED83">
        <v>1958</v>
      </c>
      <c r="EE83">
        <v>57</v>
      </c>
      <c r="EF83" t="s">
        <v>4066</v>
      </c>
      <c r="EG83">
        <v>33</v>
      </c>
      <c r="EH83" t="s">
        <v>4065</v>
      </c>
      <c r="EI83">
        <v>0.4</v>
      </c>
      <c r="EJ83">
        <v>1965</v>
      </c>
      <c r="EK83">
        <v>57</v>
      </c>
      <c r="EL83" t="s">
        <v>1528</v>
      </c>
      <c r="EM83">
        <v>12</v>
      </c>
      <c r="EN83">
        <v>0.5</v>
      </c>
      <c r="EO83">
        <v>0.96</v>
      </c>
      <c r="EP83">
        <v>1965.56</v>
      </c>
      <c r="EQ83">
        <v>32093.91</v>
      </c>
      <c r="ER83">
        <v>8163.62</v>
      </c>
      <c r="ES83">
        <v>0</v>
      </c>
      <c r="ET83">
        <v>0</v>
      </c>
      <c r="EU83">
        <v>1</v>
      </c>
      <c r="EV83">
        <v>40258</v>
      </c>
      <c r="EW83">
        <v>484</v>
      </c>
      <c r="EX83" t="s">
        <v>4363</v>
      </c>
      <c r="EY83">
        <v>210</v>
      </c>
      <c r="EZ83" t="s">
        <v>4055</v>
      </c>
      <c r="FA83">
        <v>5.2</v>
      </c>
      <c r="FB83">
        <v>1</v>
      </c>
      <c r="FC83">
        <v>1</v>
      </c>
      <c r="FD83">
        <v>1995</v>
      </c>
      <c r="FE83">
        <v>2485</v>
      </c>
      <c r="FF83" t="s">
        <v>4089</v>
      </c>
      <c r="FG83">
        <v>210</v>
      </c>
      <c r="FH83" t="s">
        <v>4055</v>
      </c>
      <c r="FI83">
        <v>1.6</v>
      </c>
      <c r="FJ83">
        <v>1995</v>
      </c>
      <c r="FK83">
        <v>659</v>
      </c>
      <c r="FL83" t="s">
        <v>4069</v>
      </c>
      <c r="FM83" t="s">
        <v>4055</v>
      </c>
      <c r="FN83" t="s">
        <v>4055</v>
      </c>
      <c r="FO83" t="s">
        <v>4055</v>
      </c>
      <c r="FP83">
        <v>1995</v>
      </c>
      <c r="FQ83">
        <v>111</v>
      </c>
      <c r="FR83" t="s">
        <v>4090</v>
      </c>
      <c r="FS83">
        <v>214</v>
      </c>
      <c r="FT83" t="s">
        <v>4055</v>
      </c>
      <c r="FU83">
        <v>0.4</v>
      </c>
      <c r="FV83">
        <v>1995</v>
      </c>
      <c r="FW83">
        <v>190</v>
      </c>
      <c r="FX83" t="s">
        <v>4070</v>
      </c>
      <c r="FY83">
        <v>5</v>
      </c>
      <c r="FZ83" t="s">
        <v>4055</v>
      </c>
      <c r="GA83" t="s">
        <v>4055</v>
      </c>
      <c r="GB83">
        <v>1995</v>
      </c>
      <c r="GC83">
        <v>17</v>
      </c>
      <c r="GD83">
        <v>3462</v>
      </c>
      <c r="GE83" t="s">
        <v>4419</v>
      </c>
      <c r="GF83" t="s">
        <v>4055</v>
      </c>
      <c r="GG83" t="s">
        <v>4055</v>
      </c>
      <c r="GH83" t="s">
        <v>4055</v>
      </c>
      <c r="GI83" t="s">
        <v>4071</v>
      </c>
      <c r="GJ83" t="s">
        <v>4055</v>
      </c>
      <c r="GK83" t="s">
        <v>4055</v>
      </c>
      <c r="GL83" t="s">
        <v>4055</v>
      </c>
      <c r="GM83" t="s">
        <v>4055</v>
      </c>
      <c r="GQ83">
        <v>0</v>
      </c>
      <c r="GV83">
        <v>7.2</v>
      </c>
      <c r="GW83">
        <v>9</v>
      </c>
      <c r="GX83">
        <v>0.5</v>
      </c>
      <c r="GY83">
        <v>172</v>
      </c>
      <c r="GZ83">
        <v>3</v>
      </c>
      <c r="HA83">
        <v>228</v>
      </c>
      <c r="HB83">
        <v>3</v>
      </c>
      <c r="HC83">
        <v>1995</v>
      </c>
      <c r="HD83">
        <v>4</v>
      </c>
      <c r="HE83" t="s">
        <v>4071</v>
      </c>
      <c r="HG83" t="s">
        <v>549</v>
      </c>
      <c r="HL83">
        <v>4</v>
      </c>
      <c r="HM83">
        <v>17</v>
      </c>
      <c r="HN83">
        <v>6</v>
      </c>
      <c r="HO83">
        <v>1</v>
      </c>
      <c r="HP83">
        <v>0</v>
      </c>
      <c r="HQ83">
        <v>2</v>
      </c>
      <c r="HR83">
        <v>3</v>
      </c>
      <c r="HS83">
        <v>1955</v>
      </c>
      <c r="HT83">
        <v>5</v>
      </c>
      <c r="HU83">
        <v>1</v>
      </c>
      <c r="HV83">
        <v>3</v>
      </c>
      <c r="HW83">
        <v>0</v>
      </c>
      <c r="HX83">
        <v>1</v>
      </c>
      <c r="HY83">
        <v>0</v>
      </c>
      <c r="HZ83">
        <v>65</v>
      </c>
      <c r="IA83">
        <v>1958</v>
      </c>
      <c r="IB83">
        <v>1965</v>
      </c>
      <c r="ID83">
        <v>1995</v>
      </c>
      <c r="IE83">
        <v>1995</v>
      </c>
      <c r="IF83">
        <v>190</v>
      </c>
      <c r="IG83">
        <v>180</v>
      </c>
      <c r="IH83">
        <v>228</v>
      </c>
      <c r="II83">
        <v>1</v>
      </c>
      <c r="IJ83">
        <v>5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180</v>
      </c>
      <c r="IQ83">
        <v>0</v>
      </c>
      <c r="IR83">
        <v>330</v>
      </c>
      <c r="IS83">
        <v>0</v>
      </c>
      <c r="IT83">
        <v>90</v>
      </c>
      <c r="IU83">
        <v>0</v>
      </c>
      <c r="IV83">
        <v>6.4</v>
      </c>
      <c r="IW83">
        <v>-6</v>
      </c>
      <c r="IX83">
        <v>98.5</v>
      </c>
      <c r="IY83">
        <v>72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362</v>
      </c>
      <c r="JJ83">
        <v>328</v>
      </c>
      <c r="JK83">
        <v>235</v>
      </c>
      <c r="JL83">
        <v>326</v>
      </c>
      <c r="JM83">
        <v>258</v>
      </c>
      <c r="JN83">
        <v>200</v>
      </c>
      <c r="JO83">
        <v>250</v>
      </c>
      <c r="JP83">
        <v>210</v>
      </c>
      <c r="JQ83">
        <v>240</v>
      </c>
      <c r="JR83">
        <v>325</v>
      </c>
      <c r="JS83">
        <v>240</v>
      </c>
      <c r="JT83">
        <v>0</v>
      </c>
      <c r="JU83">
        <v>0</v>
      </c>
      <c r="JV83">
        <v>324</v>
      </c>
      <c r="JW83">
        <v>327</v>
      </c>
      <c r="JX83">
        <v>320</v>
      </c>
      <c r="JY83">
        <v>305</v>
      </c>
      <c r="JZ83">
        <v>2.5</v>
      </c>
      <c r="KA83">
        <v>0.2</v>
      </c>
      <c r="KB83">
        <v>0.4</v>
      </c>
      <c r="KC83">
        <v>0.42</v>
      </c>
      <c r="KD83">
        <v>0.28</v>
      </c>
      <c r="KE83">
        <v>0.6</v>
      </c>
      <c r="KF83">
        <v>0.17</v>
      </c>
      <c r="KG83">
        <v>0.1</v>
      </c>
      <c r="KH83">
        <v>3.5</v>
      </c>
      <c r="KI83">
        <v>1</v>
      </c>
      <c r="KJ83">
        <v>4.5</v>
      </c>
      <c r="KK83">
        <v>0</v>
      </c>
      <c r="KL83">
        <v>5</v>
      </c>
      <c r="KM83">
        <v>0</v>
      </c>
      <c r="KN83">
        <v>1.2</v>
      </c>
      <c r="KO83">
        <v>0</v>
      </c>
      <c r="KP83">
        <v>0</v>
      </c>
      <c r="KQ83">
        <v>0.8</v>
      </c>
      <c r="KR83">
        <v>0.5</v>
      </c>
      <c r="KS83">
        <v>0</v>
      </c>
      <c r="KT83">
        <v>2.5</v>
      </c>
      <c r="KU83">
        <v>0</v>
      </c>
      <c r="KV83">
        <v>0</v>
      </c>
      <c r="KW83">
        <v>1.2</v>
      </c>
      <c r="KX83">
        <v>2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3</v>
      </c>
      <c r="LI83">
        <v>1</v>
      </c>
      <c r="LJ83">
        <v>0</v>
      </c>
      <c r="LK83">
        <v>3</v>
      </c>
      <c r="LL83">
        <v>6</v>
      </c>
      <c r="LM83">
        <v>6</v>
      </c>
      <c r="LN83">
        <v>0.5</v>
      </c>
      <c r="LO83">
        <v>0.3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2.5</v>
      </c>
      <c r="LX83">
        <v>2.5</v>
      </c>
      <c r="LY83">
        <v>2.3</v>
      </c>
      <c r="LZ83">
        <v>2.3</v>
      </c>
      <c r="MA83">
        <v>0</v>
      </c>
      <c r="MB83">
        <v>2</v>
      </c>
      <c r="MC83">
        <v>0</v>
      </c>
      <c r="MD83">
        <v>4.5</v>
      </c>
      <c r="ME83">
        <v>6</v>
      </c>
      <c r="MF83">
        <v>6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390</v>
      </c>
      <c r="MN83">
        <v>185</v>
      </c>
      <c r="MO83">
        <v>228</v>
      </c>
      <c r="NU83">
        <v>0.15</v>
      </c>
      <c r="NV83">
        <v>0.2</v>
      </c>
      <c r="NW83">
        <v>0.2</v>
      </c>
      <c r="NX83">
        <v>2</v>
      </c>
      <c r="NY83">
        <v>2</v>
      </c>
      <c r="NZ83">
        <v>2</v>
      </c>
      <c r="OE83" t="s">
        <v>4419</v>
      </c>
      <c r="OF83" t="s">
        <v>4379</v>
      </c>
      <c r="OG83" t="s">
        <v>4380</v>
      </c>
      <c r="OH83" t="s">
        <v>4043</v>
      </c>
      <c r="OI83" t="s">
        <v>4419</v>
      </c>
      <c r="OJ83" t="s">
        <v>4418</v>
      </c>
      <c r="OK83">
        <v>61</v>
      </c>
      <c r="OL83">
        <v>61</v>
      </c>
      <c r="OM83" t="s">
        <v>4379</v>
      </c>
      <c r="ON83">
        <v>3</v>
      </c>
      <c r="OO83">
        <v>1958</v>
      </c>
      <c r="OP83">
        <v>61</v>
      </c>
      <c r="OQ83">
        <v>61</v>
      </c>
      <c r="OR83" t="s">
        <v>4380</v>
      </c>
      <c r="OS83">
        <v>3</v>
      </c>
      <c r="OT83">
        <v>1965</v>
      </c>
      <c r="OU83">
        <v>65</v>
      </c>
      <c r="OV83">
        <v>65</v>
      </c>
      <c r="OW83" t="s">
        <v>4043</v>
      </c>
      <c r="OX83">
        <v>2</v>
      </c>
      <c r="OY83">
        <v>40258</v>
      </c>
      <c r="OZ83">
        <v>51</v>
      </c>
      <c r="PA83">
        <v>52</v>
      </c>
      <c r="PB83" t="s">
        <v>4419</v>
      </c>
      <c r="PC83">
        <v>5</v>
      </c>
      <c r="PD83">
        <v>1995</v>
      </c>
      <c r="PF83">
        <v>347</v>
      </c>
      <c r="PG83">
        <v>29</v>
      </c>
      <c r="PH83">
        <v>329</v>
      </c>
      <c r="PI83">
        <v>29</v>
      </c>
      <c r="PJ83">
        <v>55.8</v>
      </c>
      <c r="PK83">
        <v>1748</v>
      </c>
      <c r="PL83">
        <v>1245.6</v>
      </c>
      <c r="PM83">
        <v>330.5</v>
      </c>
      <c r="PN83">
        <v>95.2</v>
      </c>
      <c r="PO83">
        <v>8.4</v>
      </c>
      <c r="PP83">
        <v>12</v>
      </c>
      <c r="PQ83">
        <v>1</v>
      </c>
      <c r="PR83">
        <v>3</v>
      </c>
      <c r="PS83">
        <v>7</v>
      </c>
      <c r="PT83">
        <v>228</v>
      </c>
      <c r="PU83">
        <v>9</v>
      </c>
      <c r="PV83" t="s">
        <v>4072</v>
      </c>
      <c r="PW83" t="s">
        <v>4072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-1</v>
      </c>
      <c r="QF83">
        <v>1</v>
      </c>
      <c r="QG83">
        <v>0</v>
      </c>
      <c r="QH83">
        <v>5</v>
      </c>
      <c r="QI83">
        <v>5</v>
      </c>
      <c r="QJ83">
        <v>5</v>
      </c>
      <c r="QK83">
        <v>177</v>
      </c>
      <c r="QL83">
        <v>398</v>
      </c>
      <c r="QM83">
        <v>7.5</v>
      </c>
      <c r="QN83">
        <v>1379.8</v>
      </c>
      <c r="QO83" t="s">
        <v>1477</v>
      </c>
      <c r="QP83" t="s">
        <v>513</v>
      </c>
      <c r="QQ83">
        <v>0</v>
      </c>
      <c r="QR83" t="s">
        <v>1496</v>
      </c>
      <c r="QS83">
        <v>30</v>
      </c>
      <c r="QT83">
        <v>40</v>
      </c>
    </row>
    <row r="84" spans="1:462">
      <c r="A84" t="s">
        <v>1643</v>
      </c>
      <c r="B84" t="s">
        <v>564</v>
      </c>
      <c r="C84" t="s">
        <v>509</v>
      </c>
      <c r="D84" t="s">
        <v>1903</v>
      </c>
      <c r="E84" t="s">
        <v>4036</v>
      </c>
      <c r="H84" t="s">
        <v>604</v>
      </c>
      <c r="I84" t="s">
        <v>605</v>
      </c>
      <c r="J84" t="s">
        <v>628</v>
      </c>
      <c r="K84" t="s">
        <v>606</v>
      </c>
      <c r="L84" t="s">
        <v>629</v>
      </c>
      <c r="M84" t="s">
        <v>512</v>
      </c>
      <c r="O84" t="s">
        <v>513</v>
      </c>
      <c r="P84" t="s">
        <v>567</v>
      </c>
      <c r="Q84" t="s">
        <v>1644</v>
      </c>
      <c r="R84" t="s">
        <v>1043</v>
      </c>
      <c r="S84" t="s">
        <v>4037</v>
      </c>
      <c r="T84" t="s">
        <v>662</v>
      </c>
      <c r="U84" t="s">
        <v>663</v>
      </c>
      <c r="V84" t="s">
        <v>928</v>
      </c>
      <c r="W84" t="s">
        <v>1460</v>
      </c>
      <c r="X84" t="s">
        <v>1645</v>
      </c>
      <c r="Y84" t="s">
        <v>1646</v>
      </c>
      <c r="Z84" t="s">
        <v>650</v>
      </c>
      <c r="AA84" t="s">
        <v>4038</v>
      </c>
      <c r="AB84" t="s">
        <v>4420</v>
      </c>
      <c r="AC84">
        <v>13</v>
      </c>
      <c r="AD84" t="s">
        <v>1642</v>
      </c>
      <c r="AE84">
        <v>5</v>
      </c>
      <c r="AF84">
        <v>6502</v>
      </c>
      <c r="AG84" t="s">
        <v>4421</v>
      </c>
      <c r="AH84">
        <v>1</v>
      </c>
      <c r="AI84" t="s">
        <v>4041</v>
      </c>
      <c r="AK84" t="s">
        <v>4285</v>
      </c>
      <c r="AL84">
        <v>1</v>
      </c>
      <c r="AM84" t="s">
        <v>582</v>
      </c>
      <c r="AO84" t="s">
        <v>4043</v>
      </c>
      <c r="AP84">
        <v>1</v>
      </c>
      <c r="AR84" t="s">
        <v>4422</v>
      </c>
      <c r="AS84">
        <v>1</v>
      </c>
      <c r="AT84">
        <v>52</v>
      </c>
      <c r="AV84" t="s">
        <v>4078</v>
      </c>
      <c r="AW84">
        <v>6.4</v>
      </c>
      <c r="AX84">
        <v>-6</v>
      </c>
      <c r="AY84">
        <v>116</v>
      </c>
      <c r="AZ84">
        <v>80</v>
      </c>
      <c r="BH84">
        <v>116</v>
      </c>
      <c r="BI84">
        <v>36</v>
      </c>
      <c r="BJ84">
        <v>80</v>
      </c>
      <c r="BK84">
        <v>3.5</v>
      </c>
      <c r="BL84">
        <v>232</v>
      </c>
      <c r="BM84">
        <v>-6</v>
      </c>
      <c r="BN84">
        <v>0</v>
      </c>
      <c r="BO84">
        <v>0</v>
      </c>
      <c r="BP84">
        <v>0</v>
      </c>
      <c r="BR84">
        <v>225</v>
      </c>
      <c r="BS84">
        <v>215</v>
      </c>
      <c r="BT84">
        <v>2155</v>
      </c>
      <c r="BU84" t="s">
        <v>4127</v>
      </c>
      <c r="BV84" t="s">
        <v>4127</v>
      </c>
      <c r="BW84" t="s">
        <v>4128</v>
      </c>
      <c r="BX84" t="s">
        <v>4128</v>
      </c>
      <c r="BY84" t="s">
        <v>4215</v>
      </c>
      <c r="BZ84" t="s">
        <v>4215</v>
      </c>
      <c r="CA84" t="s">
        <v>4118</v>
      </c>
      <c r="CB84" t="s">
        <v>4119</v>
      </c>
      <c r="CC84" t="s">
        <v>4053</v>
      </c>
      <c r="CD84" t="s">
        <v>4121</v>
      </c>
      <c r="CE84" t="s">
        <v>4055</v>
      </c>
      <c r="CF84" t="s">
        <v>4055</v>
      </c>
      <c r="CG84" t="s">
        <v>4056</v>
      </c>
      <c r="CI84" t="s">
        <v>4058</v>
      </c>
      <c r="CJ84" t="s">
        <v>4059</v>
      </c>
      <c r="CK84" t="s">
        <v>4060</v>
      </c>
      <c r="CL84" t="s">
        <v>4061</v>
      </c>
      <c r="CM84" t="s">
        <v>4062</v>
      </c>
      <c r="CN84" t="s">
        <v>4055</v>
      </c>
      <c r="CO84" t="s">
        <v>4063</v>
      </c>
      <c r="CP84" t="s">
        <v>4055</v>
      </c>
      <c r="CQ84" t="s">
        <v>4055</v>
      </c>
      <c r="CR84">
        <v>5</v>
      </c>
      <c r="CS84" t="s">
        <v>4055</v>
      </c>
      <c r="CT84" t="s">
        <v>4055</v>
      </c>
      <c r="CU84" t="s">
        <v>4055</v>
      </c>
      <c r="CV84">
        <v>143</v>
      </c>
      <c r="CW84">
        <v>3</v>
      </c>
      <c r="CX84">
        <v>123</v>
      </c>
      <c r="CY84">
        <v>5</v>
      </c>
      <c r="CZ84">
        <v>160</v>
      </c>
      <c r="DA84">
        <v>5</v>
      </c>
      <c r="DB84">
        <v>14460</v>
      </c>
      <c r="DC84">
        <v>430</v>
      </c>
      <c r="DD84">
        <v>378</v>
      </c>
      <c r="DE84">
        <v>2272</v>
      </c>
      <c r="DF84">
        <v>2272</v>
      </c>
      <c r="DG84">
        <v>2285</v>
      </c>
      <c r="DH84" t="s">
        <v>4055</v>
      </c>
      <c r="DI84" t="s">
        <v>4055</v>
      </c>
      <c r="DJ84" t="s">
        <v>4217</v>
      </c>
      <c r="DK84">
        <v>225</v>
      </c>
      <c r="DL84" t="s">
        <v>4065</v>
      </c>
      <c r="DM84">
        <v>65</v>
      </c>
      <c r="DN84">
        <v>1.26</v>
      </c>
      <c r="DO84">
        <v>1</v>
      </c>
      <c r="DP84">
        <v>2159</v>
      </c>
      <c r="DQ84">
        <v>1172</v>
      </c>
      <c r="DR84" t="s">
        <v>4217</v>
      </c>
      <c r="DS84">
        <v>215</v>
      </c>
      <c r="DT84" t="s">
        <v>4065</v>
      </c>
      <c r="DU84">
        <v>63</v>
      </c>
      <c r="DV84">
        <v>1.26</v>
      </c>
      <c r="DW84">
        <v>1</v>
      </c>
      <c r="DX84">
        <v>2172</v>
      </c>
      <c r="DY84">
        <v>1127</v>
      </c>
      <c r="DZ84" t="s">
        <v>4066</v>
      </c>
      <c r="EA84">
        <v>20</v>
      </c>
      <c r="EB84" t="s">
        <v>4065</v>
      </c>
      <c r="EC84">
        <v>0.8</v>
      </c>
      <c r="ED84">
        <v>2159</v>
      </c>
      <c r="EE84">
        <v>76</v>
      </c>
      <c r="EG84">
        <v>0</v>
      </c>
      <c r="EH84" t="s">
        <v>4065</v>
      </c>
      <c r="EI84">
        <v>0</v>
      </c>
      <c r="EL84" t="s">
        <v>1528</v>
      </c>
      <c r="EM84">
        <v>12</v>
      </c>
      <c r="EN84">
        <v>0.5</v>
      </c>
      <c r="EO84">
        <v>0.96</v>
      </c>
      <c r="EP84">
        <v>2170.84</v>
      </c>
      <c r="EQ84">
        <v>41381.64</v>
      </c>
      <c r="ER84">
        <v>12244.9</v>
      </c>
      <c r="ES84">
        <v>0</v>
      </c>
      <c r="ET84">
        <v>0</v>
      </c>
      <c r="EU84">
        <v>1</v>
      </c>
      <c r="EV84">
        <v>53627</v>
      </c>
      <c r="EW84">
        <v>644</v>
      </c>
      <c r="EX84" t="s">
        <v>4363</v>
      </c>
      <c r="EY84">
        <v>246</v>
      </c>
      <c r="EZ84" t="s">
        <v>4055</v>
      </c>
      <c r="FA84">
        <v>6.7</v>
      </c>
      <c r="FB84">
        <v>1</v>
      </c>
      <c r="FC84">
        <v>1</v>
      </c>
      <c r="FD84">
        <v>2203</v>
      </c>
      <c r="FE84">
        <v>3799</v>
      </c>
      <c r="FF84" t="s">
        <v>4089</v>
      </c>
      <c r="FG84">
        <v>246</v>
      </c>
      <c r="FH84" t="s">
        <v>4055</v>
      </c>
      <c r="FI84">
        <v>1.2</v>
      </c>
      <c r="FJ84">
        <v>2203</v>
      </c>
      <c r="FK84">
        <v>647</v>
      </c>
      <c r="FL84" t="s">
        <v>4069</v>
      </c>
      <c r="FM84" t="s">
        <v>4055</v>
      </c>
      <c r="FN84" t="s">
        <v>4055</v>
      </c>
      <c r="FO84" t="s">
        <v>4055</v>
      </c>
      <c r="FP84">
        <v>2203</v>
      </c>
      <c r="FQ84">
        <v>227</v>
      </c>
      <c r="FR84" t="s">
        <v>4090</v>
      </c>
      <c r="FS84">
        <v>250</v>
      </c>
      <c r="FT84" t="s">
        <v>4055</v>
      </c>
      <c r="FU84">
        <v>0.4</v>
      </c>
      <c r="FV84">
        <v>2203</v>
      </c>
      <c r="FW84">
        <v>245</v>
      </c>
      <c r="FX84" t="s">
        <v>4070</v>
      </c>
      <c r="FY84">
        <v>5</v>
      </c>
      <c r="FZ84" t="s">
        <v>4055</v>
      </c>
      <c r="GA84" t="s">
        <v>4055</v>
      </c>
      <c r="GB84">
        <v>2203</v>
      </c>
      <c r="GC84">
        <v>21</v>
      </c>
      <c r="GD84">
        <v>4939</v>
      </c>
      <c r="GE84" t="s">
        <v>4422</v>
      </c>
      <c r="GF84" t="s">
        <v>4055</v>
      </c>
      <c r="GG84" t="s">
        <v>4055</v>
      </c>
      <c r="GH84" t="s">
        <v>4055</v>
      </c>
      <c r="GI84" t="s">
        <v>4071</v>
      </c>
      <c r="GJ84" t="s">
        <v>4055</v>
      </c>
      <c r="GK84" t="s">
        <v>4055</v>
      </c>
      <c r="GL84" t="s">
        <v>4055</v>
      </c>
      <c r="GM84" t="s">
        <v>4055</v>
      </c>
      <c r="GQ84">
        <v>0</v>
      </c>
      <c r="GV84">
        <v>8.300000000000001</v>
      </c>
      <c r="GW84">
        <v>9.199999999999999</v>
      </c>
      <c r="GX84">
        <v>0.5</v>
      </c>
      <c r="GY84">
        <v>206</v>
      </c>
      <c r="GZ84">
        <v>3</v>
      </c>
      <c r="HA84">
        <v>272</v>
      </c>
      <c r="HB84">
        <v>3</v>
      </c>
      <c r="HC84">
        <v>2203</v>
      </c>
      <c r="HD84">
        <v>4</v>
      </c>
      <c r="HE84" t="s">
        <v>4071</v>
      </c>
      <c r="HG84" t="s">
        <v>549</v>
      </c>
      <c r="HL84">
        <v>4</v>
      </c>
      <c r="HM84">
        <v>18</v>
      </c>
      <c r="HN84">
        <v>1</v>
      </c>
      <c r="HO84">
        <v>1</v>
      </c>
      <c r="HP84">
        <v>0</v>
      </c>
      <c r="HQ84">
        <v>0</v>
      </c>
      <c r="HR84">
        <v>3</v>
      </c>
      <c r="HS84">
        <v>2155</v>
      </c>
      <c r="HT84">
        <v>5</v>
      </c>
      <c r="HU84">
        <v>1</v>
      </c>
      <c r="HV84">
        <v>3</v>
      </c>
      <c r="HW84">
        <v>0</v>
      </c>
      <c r="HX84">
        <v>1</v>
      </c>
      <c r="HY84">
        <v>0</v>
      </c>
      <c r="HZ84">
        <v>65</v>
      </c>
      <c r="IA84">
        <v>2159</v>
      </c>
      <c r="IB84">
        <v>2172</v>
      </c>
      <c r="ID84">
        <v>2203</v>
      </c>
      <c r="IE84">
        <v>2203</v>
      </c>
      <c r="IF84">
        <v>225</v>
      </c>
      <c r="IG84">
        <v>215</v>
      </c>
      <c r="IH84">
        <v>272</v>
      </c>
      <c r="II84">
        <v>1</v>
      </c>
      <c r="IJ84">
        <v>5</v>
      </c>
      <c r="IK84">
        <v>0</v>
      </c>
      <c r="IL84">
        <v>0</v>
      </c>
      <c r="IM84">
        <v>0</v>
      </c>
      <c r="IN84">
        <v>270</v>
      </c>
      <c r="IO84">
        <v>0</v>
      </c>
      <c r="IP84">
        <v>180</v>
      </c>
      <c r="IQ84">
        <v>0</v>
      </c>
      <c r="IR84">
        <v>330</v>
      </c>
      <c r="IS84">
        <v>0</v>
      </c>
      <c r="IT84">
        <v>90</v>
      </c>
      <c r="IU84">
        <v>0</v>
      </c>
      <c r="IV84">
        <v>6.4</v>
      </c>
      <c r="IW84">
        <v>-6</v>
      </c>
      <c r="IX84">
        <v>116</v>
      </c>
      <c r="IY84">
        <v>80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442</v>
      </c>
      <c r="JJ84">
        <v>412</v>
      </c>
      <c r="JK84">
        <v>288</v>
      </c>
      <c r="JL84">
        <v>410</v>
      </c>
      <c r="JM84">
        <v>323</v>
      </c>
      <c r="JN84">
        <v>230</v>
      </c>
      <c r="JO84">
        <v>275</v>
      </c>
      <c r="JP84">
        <v>180</v>
      </c>
      <c r="JQ84">
        <v>240</v>
      </c>
      <c r="JR84">
        <v>356</v>
      </c>
      <c r="JS84">
        <v>240</v>
      </c>
      <c r="JT84">
        <v>0</v>
      </c>
      <c r="JU84">
        <v>0</v>
      </c>
      <c r="JV84">
        <v>330</v>
      </c>
      <c r="JW84">
        <v>315</v>
      </c>
      <c r="JX84">
        <v>305</v>
      </c>
      <c r="JY84">
        <v>280</v>
      </c>
      <c r="JZ84">
        <v>0.5</v>
      </c>
      <c r="KA84">
        <v>0.2</v>
      </c>
      <c r="KB84">
        <v>0.4</v>
      </c>
      <c r="KC84">
        <v>0.42</v>
      </c>
      <c r="KD84">
        <v>0.28</v>
      </c>
      <c r="KE84">
        <v>0.5</v>
      </c>
      <c r="KF84">
        <v>0.16</v>
      </c>
      <c r="KG84">
        <v>0.1</v>
      </c>
      <c r="KH84">
        <v>3.5</v>
      </c>
      <c r="KI84">
        <v>1</v>
      </c>
      <c r="KJ84">
        <v>4.5</v>
      </c>
      <c r="KK84">
        <v>0</v>
      </c>
      <c r="KL84">
        <v>4.5</v>
      </c>
      <c r="KM84">
        <v>0.5</v>
      </c>
      <c r="KN84">
        <v>1.8</v>
      </c>
      <c r="KO84">
        <v>0</v>
      </c>
      <c r="KP84">
        <v>0</v>
      </c>
      <c r="KQ84">
        <v>1</v>
      </c>
      <c r="KR84">
        <v>0.5</v>
      </c>
      <c r="KS84">
        <v>0</v>
      </c>
      <c r="KT84">
        <v>2.6</v>
      </c>
      <c r="KU84">
        <v>0</v>
      </c>
      <c r="KV84">
        <v>0</v>
      </c>
      <c r="KW84">
        <v>1.6</v>
      </c>
      <c r="KX84">
        <v>2</v>
      </c>
      <c r="KY84">
        <v>1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3</v>
      </c>
      <c r="LI84">
        <v>0.5</v>
      </c>
      <c r="LJ84">
        <v>0</v>
      </c>
      <c r="LK84">
        <v>9</v>
      </c>
      <c r="LL84">
        <v>6</v>
      </c>
      <c r="LM84">
        <v>11</v>
      </c>
      <c r="LN84">
        <v>0.1</v>
      </c>
      <c r="LO84">
        <v>3</v>
      </c>
      <c r="LP84">
        <v>0</v>
      </c>
      <c r="LQ84">
        <v>0</v>
      </c>
      <c r="LR84">
        <v>0</v>
      </c>
      <c r="LS84">
        <v>1</v>
      </c>
      <c r="LT84">
        <v>0</v>
      </c>
      <c r="LU84">
        <v>0</v>
      </c>
      <c r="LV84">
        <v>0</v>
      </c>
      <c r="LW84">
        <v>1.8</v>
      </c>
      <c r="LX84">
        <v>1.8</v>
      </c>
      <c r="LY84">
        <v>2.1</v>
      </c>
      <c r="LZ84">
        <v>2.1</v>
      </c>
      <c r="MA84">
        <v>0</v>
      </c>
      <c r="MB84">
        <v>5</v>
      </c>
      <c r="MC84">
        <v>0</v>
      </c>
      <c r="MD84">
        <v>4.5</v>
      </c>
      <c r="ME84">
        <v>6</v>
      </c>
      <c r="MF84">
        <v>6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452</v>
      </c>
      <c r="MN84">
        <v>220</v>
      </c>
      <c r="MO84">
        <v>282</v>
      </c>
      <c r="NU84">
        <v>0.15</v>
      </c>
      <c r="NV84">
        <v>0.2</v>
      </c>
      <c r="NW84">
        <v>0.2</v>
      </c>
      <c r="NX84">
        <v>0.2</v>
      </c>
      <c r="NY84">
        <v>0.2</v>
      </c>
      <c r="NZ84">
        <v>0.2</v>
      </c>
      <c r="OE84" t="s">
        <v>4422</v>
      </c>
      <c r="OF84" t="s">
        <v>4421</v>
      </c>
      <c r="OG84" t="s">
        <v>4285</v>
      </c>
      <c r="OH84" t="s">
        <v>4043</v>
      </c>
      <c r="OI84" t="s">
        <v>4422</v>
      </c>
      <c r="OJ84" t="s">
        <v>4420</v>
      </c>
      <c r="OK84">
        <v>61</v>
      </c>
      <c r="OL84">
        <v>61</v>
      </c>
      <c r="OM84" t="s">
        <v>4421</v>
      </c>
      <c r="ON84">
        <v>1</v>
      </c>
      <c r="OO84">
        <v>2159</v>
      </c>
      <c r="OP84">
        <v>61</v>
      </c>
      <c r="OQ84">
        <v>61</v>
      </c>
      <c r="OR84" t="s">
        <v>4285</v>
      </c>
      <c r="OS84">
        <v>1</v>
      </c>
      <c r="OT84">
        <v>2172</v>
      </c>
      <c r="OU84">
        <v>65</v>
      </c>
      <c r="OV84">
        <v>65</v>
      </c>
      <c r="OW84" t="s">
        <v>4043</v>
      </c>
      <c r="OX84">
        <v>2</v>
      </c>
      <c r="OY84">
        <v>53627</v>
      </c>
      <c r="OZ84">
        <v>51</v>
      </c>
      <c r="PA84">
        <v>52</v>
      </c>
      <c r="PB84" t="s">
        <v>4422</v>
      </c>
      <c r="PC84">
        <v>2</v>
      </c>
      <c r="PD84">
        <v>2203</v>
      </c>
      <c r="PF84">
        <v>543</v>
      </c>
      <c r="PG84">
        <v>35</v>
      </c>
      <c r="PH84">
        <v>519</v>
      </c>
      <c r="PI84">
        <v>0</v>
      </c>
      <c r="PJ84">
        <v>102.9</v>
      </c>
      <c r="PL84">
        <v>1724.3</v>
      </c>
      <c r="PM84">
        <v>293.5</v>
      </c>
      <c r="PN84">
        <v>111.3</v>
      </c>
      <c r="PO84">
        <v>9.6</v>
      </c>
      <c r="PP84">
        <v>12</v>
      </c>
      <c r="PQ84">
        <v>5</v>
      </c>
      <c r="PR84">
        <v>5</v>
      </c>
      <c r="PS84">
        <v>0</v>
      </c>
      <c r="PT84">
        <v>272</v>
      </c>
      <c r="PU84">
        <v>13</v>
      </c>
      <c r="PV84" t="s">
        <v>4072</v>
      </c>
      <c r="PW84" t="s">
        <v>4072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-1</v>
      </c>
      <c r="QF84">
        <v>1</v>
      </c>
      <c r="QG84">
        <v>0</v>
      </c>
      <c r="QH84">
        <v>5</v>
      </c>
      <c r="QI84">
        <v>5</v>
      </c>
      <c r="QJ84">
        <v>5</v>
      </c>
      <c r="QK84">
        <v>215</v>
      </c>
      <c r="QL84">
        <v>476</v>
      </c>
      <c r="QM84">
        <v>7.5</v>
      </c>
      <c r="QN84">
        <v>1465.9</v>
      </c>
      <c r="QO84" t="s">
        <v>1477</v>
      </c>
      <c r="QP84" t="s">
        <v>513</v>
      </c>
      <c r="QQ84">
        <v>0</v>
      </c>
      <c r="QR84" t="s">
        <v>677</v>
      </c>
      <c r="QS84">
        <v>30</v>
      </c>
      <c r="QT84">
        <v>40</v>
      </c>
    </row>
    <row r="85" spans="1:462">
      <c r="A85" t="s">
        <v>1658</v>
      </c>
      <c r="B85" t="s">
        <v>629</v>
      </c>
      <c r="C85" t="s">
        <v>509</v>
      </c>
      <c r="D85" t="s">
        <v>1040</v>
      </c>
      <c r="E85" t="s">
        <v>4036</v>
      </c>
      <c r="H85" t="s">
        <v>604</v>
      </c>
      <c r="I85" t="s">
        <v>605</v>
      </c>
      <c r="J85" t="s">
        <v>628</v>
      </c>
      <c r="K85" t="s">
        <v>606</v>
      </c>
      <c r="L85" t="s">
        <v>711</v>
      </c>
      <c r="M85" t="s">
        <v>512</v>
      </c>
      <c r="O85" t="s">
        <v>513</v>
      </c>
      <c r="P85" t="s">
        <v>567</v>
      </c>
      <c r="Q85" t="s">
        <v>849</v>
      </c>
      <c r="R85" t="s">
        <v>743</v>
      </c>
      <c r="S85" t="s">
        <v>4134</v>
      </c>
      <c r="T85" t="s">
        <v>686</v>
      </c>
      <c r="U85" t="s">
        <v>687</v>
      </c>
      <c r="V85" t="s">
        <v>1659</v>
      </c>
      <c r="W85" t="s">
        <v>1460</v>
      </c>
      <c r="X85" t="s">
        <v>1660</v>
      </c>
      <c r="Y85" t="s">
        <v>1661</v>
      </c>
      <c r="Z85" t="s">
        <v>541</v>
      </c>
      <c r="AA85" t="s">
        <v>4038</v>
      </c>
      <c r="AB85" t="s">
        <v>4423</v>
      </c>
      <c r="AC85">
        <v>9</v>
      </c>
      <c r="AD85" t="s">
        <v>1656</v>
      </c>
      <c r="AE85">
        <v>4</v>
      </c>
      <c r="AF85">
        <v>4619</v>
      </c>
      <c r="AG85" t="s">
        <v>4104</v>
      </c>
      <c r="AH85">
        <v>1</v>
      </c>
      <c r="AI85" t="s">
        <v>4041</v>
      </c>
      <c r="AK85" t="s">
        <v>4105</v>
      </c>
      <c r="AL85">
        <v>1</v>
      </c>
      <c r="AM85" t="s">
        <v>582</v>
      </c>
      <c r="AO85" t="s">
        <v>4043</v>
      </c>
      <c r="AP85">
        <v>1</v>
      </c>
      <c r="AR85" t="s">
        <v>4424</v>
      </c>
      <c r="AS85">
        <v>1</v>
      </c>
      <c r="AT85">
        <v>52</v>
      </c>
      <c r="AV85" t="s">
        <v>4078</v>
      </c>
      <c r="AW85">
        <v>6.4</v>
      </c>
      <c r="AX85">
        <v>-6</v>
      </c>
      <c r="AY85">
        <v>100</v>
      </c>
      <c r="AZ85">
        <v>76</v>
      </c>
      <c r="BH85">
        <v>100</v>
      </c>
      <c r="BI85">
        <v>24</v>
      </c>
      <c r="BJ85">
        <v>76</v>
      </c>
      <c r="BK85">
        <v>2.5</v>
      </c>
      <c r="BL85">
        <v>200</v>
      </c>
      <c r="BM85">
        <v>-6</v>
      </c>
      <c r="BN85">
        <v>0</v>
      </c>
      <c r="BP85">
        <v>0</v>
      </c>
      <c r="BR85">
        <v>195</v>
      </c>
      <c r="BS85">
        <v>185</v>
      </c>
      <c r="BT85">
        <v>2005</v>
      </c>
      <c r="BU85" t="s">
        <v>4096</v>
      </c>
      <c r="BV85" t="s">
        <v>4096</v>
      </c>
      <c r="BW85" t="s">
        <v>4048</v>
      </c>
      <c r="BX85" t="s">
        <v>4097</v>
      </c>
      <c r="BY85" t="s">
        <v>4181</v>
      </c>
      <c r="BZ85" t="s">
        <v>4181</v>
      </c>
      <c r="CA85" t="s">
        <v>4130</v>
      </c>
      <c r="CB85" t="s">
        <v>4131</v>
      </c>
      <c r="CC85" t="s">
        <v>4053</v>
      </c>
      <c r="CD85" t="s">
        <v>4055</v>
      </c>
      <c r="CE85" t="s">
        <v>4055</v>
      </c>
      <c r="CF85" t="s">
        <v>4055</v>
      </c>
      <c r="CG85" t="s">
        <v>4056</v>
      </c>
      <c r="CH85" t="s">
        <v>4099</v>
      </c>
      <c r="CI85" t="s">
        <v>4086</v>
      </c>
      <c r="CJ85" t="s">
        <v>4059</v>
      </c>
      <c r="CK85" t="s">
        <v>4060</v>
      </c>
      <c r="CL85" t="s">
        <v>4061</v>
      </c>
      <c r="CM85" t="s">
        <v>4055</v>
      </c>
      <c r="CN85" t="s">
        <v>4062</v>
      </c>
      <c r="CO85" t="s">
        <v>4063</v>
      </c>
      <c r="CP85" t="s">
        <v>4055</v>
      </c>
      <c r="CQ85" t="s">
        <v>4055</v>
      </c>
      <c r="CR85">
        <v>5</v>
      </c>
      <c r="CS85" t="s">
        <v>4055</v>
      </c>
      <c r="CT85">
        <v>15</v>
      </c>
      <c r="CU85" t="s">
        <v>4055</v>
      </c>
      <c r="CV85">
        <v>122</v>
      </c>
      <c r="CW85">
        <v>3</v>
      </c>
      <c r="CX85">
        <v>87</v>
      </c>
      <c r="CY85">
        <v>5</v>
      </c>
      <c r="CZ85">
        <v>76</v>
      </c>
      <c r="DA85">
        <v>5</v>
      </c>
      <c r="DB85">
        <v>10300</v>
      </c>
      <c r="DC85">
        <v>190</v>
      </c>
      <c r="DD85">
        <v>300</v>
      </c>
      <c r="DE85">
        <v>2092</v>
      </c>
      <c r="DF85">
        <v>2092</v>
      </c>
      <c r="DG85">
        <v>2123</v>
      </c>
      <c r="DH85">
        <v>1</v>
      </c>
      <c r="DI85" t="s">
        <v>4055</v>
      </c>
      <c r="DJ85" t="s">
        <v>4100</v>
      </c>
      <c r="DK85">
        <v>195</v>
      </c>
      <c r="DL85" t="s">
        <v>4101</v>
      </c>
      <c r="DM85">
        <v>65</v>
      </c>
      <c r="DN85">
        <v>0.84</v>
      </c>
      <c r="DO85">
        <v>1</v>
      </c>
      <c r="DP85">
        <v>2008</v>
      </c>
      <c r="DQ85">
        <v>715</v>
      </c>
      <c r="DR85" t="s">
        <v>4100</v>
      </c>
      <c r="DS85">
        <v>185</v>
      </c>
      <c r="DT85" t="s">
        <v>4101</v>
      </c>
      <c r="DU85">
        <v>65</v>
      </c>
      <c r="DV85">
        <v>0.84</v>
      </c>
      <c r="DW85">
        <v>1</v>
      </c>
      <c r="DX85">
        <v>2015</v>
      </c>
      <c r="DY85">
        <v>681</v>
      </c>
      <c r="DZ85" t="s">
        <v>4066</v>
      </c>
      <c r="EA85">
        <v>33</v>
      </c>
      <c r="EB85" t="s">
        <v>4065</v>
      </c>
      <c r="EC85">
        <v>0.4</v>
      </c>
      <c r="ED85">
        <v>2008</v>
      </c>
      <c r="EE85">
        <v>58</v>
      </c>
      <c r="EF85" t="s">
        <v>4066</v>
      </c>
      <c r="EG85">
        <v>33</v>
      </c>
      <c r="EH85" t="s">
        <v>4065</v>
      </c>
      <c r="EI85">
        <v>0.4</v>
      </c>
      <c r="EJ85">
        <v>2015</v>
      </c>
      <c r="EK85">
        <v>58</v>
      </c>
      <c r="EL85" t="s">
        <v>1528</v>
      </c>
      <c r="EM85">
        <v>12</v>
      </c>
      <c r="EN85">
        <v>0.5</v>
      </c>
      <c r="EO85">
        <v>0.96</v>
      </c>
      <c r="EP85">
        <v>2015.56</v>
      </c>
      <c r="EQ85">
        <v>33382.71</v>
      </c>
      <c r="ER85">
        <v>7580.97</v>
      </c>
      <c r="ES85">
        <v>0</v>
      </c>
      <c r="ET85">
        <v>0</v>
      </c>
      <c r="EU85">
        <v>1</v>
      </c>
      <c r="EV85">
        <v>40964</v>
      </c>
      <c r="EW85">
        <v>492</v>
      </c>
      <c r="EX85" t="s">
        <v>4363</v>
      </c>
      <c r="EY85">
        <v>210</v>
      </c>
      <c r="EZ85" t="s">
        <v>4055</v>
      </c>
      <c r="FA85">
        <v>5.2</v>
      </c>
      <c r="FB85">
        <v>1</v>
      </c>
      <c r="FC85">
        <v>1</v>
      </c>
      <c r="FD85">
        <v>2045</v>
      </c>
      <c r="FE85">
        <v>2631</v>
      </c>
      <c r="FF85" t="s">
        <v>4089</v>
      </c>
      <c r="FG85">
        <v>210</v>
      </c>
      <c r="FH85" t="s">
        <v>4055</v>
      </c>
      <c r="FI85">
        <v>1.6</v>
      </c>
      <c r="FJ85">
        <v>2045</v>
      </c>
      <c r="FK85">
        <v>690</v>
      </c>
      <c r="FL85" t="s">
        <v>4069</v>
      </c>
      <c r="FM85" t="s">
        <v>4055</v>
      </c>
      <c r="FN85" t="s">
        <v>4055</v>
      </c>
      <c r="FO85" t="s">
        <v>4055</v>
      </c>
      <c r="FP85">
        <v>2045</v>
      </c>
      <c r="FQ85">
        <v>138</v>
      </c>
      <c r="FR85" t="s">
        <v>4090</v>
      </c>
      <c r="FS85">
        <v>214</v>
      </c>
      <c r="FT85" t="s">
        <v>4055</v>
      </c>
      <c r="FU85">
        <v>0.4</v>
      </c>
      <c r="FV85">
        <v>2045</v>
      </c>
      <c r="FW85">
        <v>195</v>
      </c>
      <c r="FX85" t="s">
        <v>4070</v>
      </c>
      <c r="FY85">
        <v>5</v>
      </c>
      <c r="FZ85" t="s">
        <v>4055</v>
      </c>
      <c r="GA85" t="s">
        <v>4055</v>
      </c>
      <c r="GB85">
        <v>2045</v>
      </c>
      <c r="GC85">
        <v>17</v>
      </c>
      <c r="GD85">
        <v>3671</v>
      </c>
      <c r="GE85" t="s">
        <v>4424</v>
      </c>
      <c r="GF85" t="s">
        <v>4055</v>
      </c>
      <c r="GG85" t="s">
        <v>4055</v>
      </c>
      <c r="GH85" t="s">
        <v>4055</v>
      </c>
      <c r="GI85" t="s">
        <v>4071</v>
      </c>
      <c r="GJ85" t="s">
        <v>4055</v>
      </c>
      <c r="GK85" t="s">
        <v>4055</v>
      </c>
      <c r="GL85" t="s">
        <v>4055</v>
      </c>
      <c r="GM85" t="s">
        <v>4055</v>
      </c>
      <c r="GQ85">
        <v>0</v>
      </c>
      <c r="GV85">
        <v>7.2</v>
      </c>
      <c r="GW85">
        <v>9.5</v>
      </c>
      <c r="GX85">
        <v>0.5</v>
      </c>
      <c r="GY85">
        <v>184</v>
      </c>
      <c r="GZ85">
        <v>3</v>
      </c>
      <c r="HA85">
        <v>230</v>
      </c>
      <c r="HB85">
        <v>3</v>
      </c>
      <c r="HC85">
        <v>2045</v>
      </c>
      <c r="HD85">
        <v>4</v>
      </c>
      <c r="HE85" t="s">
        <v>4071</v>
      </c>
      <c r="HG85" t="s">
        <v>549</v>
      </c>
      <c r="HL85">
        <v>4</v>
      </c>
      <c r="HM85">
        <v>19</v>
      </c>
      <c r="HN85">
        <v>6</v>
      </c>
      <c r="HO85">
        <v>1</v>
      </c>
      <c r="HP85">
        <v>0</v>
      </c>
      <c r="HQ85">
        <v>2</v>
      </c>
      <c r="HR85">
        <v>1</v>
      </c>
      <c r="HS85">
        <v>2005</v>
      </c>
      <c r="HT85">
        <v>5</v>
      </c>
      <c r="HU85">
        <v>1</v>
      </c>
      <c r="HV85">
        <v>3</v>
      </c>
      <c r="HW85">
        <v>0</v>
      </c>
      <c r="HX85">
        <v>1</v>
      </c>
      <c r="HY85">
        <v>0</v>
      </c>
      <c r="HZ85">
        <v>65</v>
      </c>
      <c r="IA85">
        <v>2008</v>
      </c>
      <c r="IB85">
        <v>2015</v>
      </c>
      <c r="ID85">
        <v>2045</v>
      </c>
      <c r="IE85">
        <v>2045</v>
      </c>
      <c r="IF85">
        <v>195</v>
      </c>
      <c r="IG85">
        <v>185</v>
      </c>
      <c r="IH85">
        <v>230</v>
      </c>
      <c r="II85">
        <v>1</v>
      </c>
      <c r="IJ85">
        <v>5</v>
      </c>
      <c r="IK85">
        <v>0</v>
      </c>
      <c r="IL85">
        <v>0</v>
      </c>
      <c r="IM85">
        <v>0</v>
      </c>
      <c r="IN85">
        <v>270</v>
      </c>
      <c r="IO85">
        <v>0</v>
      </c>
      <c r="IP85">
        <v>180</v>
      </c>
      <c r="IQ85">
        <v>0</v>
      </c>
      <c r="IR85">
        <v>325</v>
      </c>
      <c r="IS85">
        <v>0</v>
      </c>
      <c r="IT85">
        <v>90</v>
      </c>
      <c r="IU85">
        <v>0</v>
      </c>
      <c r="IV85">
        <v>6.4</v>
      </c>
      <c r="IW85">
        <v>-6</v>
      </c>
      <c r="IX85">
        <v>100</v>
      </c>
      <c r="IY85">
        <v>76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340</v>
      </c>
      <c r="JJ85">
        <v>310</v>
      </c>
      <c r="JK85">
        <v>220</v>
      </c>
      <c r="JL85">
        <v>308</v>
      </c>
      <c r="JM85">
        <v>248</v>
      </c>
      <c r="JN85">
        <v>195</v>
      </c>
      <c r="JO85">
        <v>240</v>
      </c>
      <c r="JP85">
        <v>210</v>
      </c>
      <c r="JQ85">
        <v>225</v>
      </c>
      <c r="JR85">
        <v>285</v>
      </c>
      <c r="JS85">
        <v>270</v>
      </c>
      <c r="JT85">
        <v>0</v>
      </c>
      <c r="JU85">
        <v>0</v>
      </c>
      <c r="JV85">
        <v>285</v>
      </c>
      <c r="JW85">
        <v>307</v>
      </c>
      <c r="JX85">
        <v>0</v>
      </c>
      <c r="JY85">
        <v>0</v>
      </c>
      <c r="JZ85">
        <v>0</v>
      </c>
      <c r="KA85">
        <v>0.2</v>
      </c>
      <c r="KB85">
        <v>0.4</v>
      </c>
      <c r="KC85">
        <v>0.42</v>
      </c>
      <c r="KD85">
        <v>0.28</v>
      </c>
      <c r="KE85">
        <v>0.8</v>
      </c>
      <c r="KF85">
        <v>0.18</v>
      </c>
      <c r="KG85">
        <v>0.11</v>
      </c>
      <c r="KH85">
        <v>3.5</v>
      </c>
      <c r="KI85">
        <v>0.5</v>
      </c>
      <c r="KJ85">
        <v>4</v>
      </c>
      <c r="KK85">
        <v>0</v>
      </c>
      <c r="KL85">
        <v>4</v>
      </c>
      <c r="KM85">
        <v>1</v>
      </c>
      <c r="KN85">
        <v>1.4</v>
      </c>
      <c r="KO85">
        <v>0</v>
      </c>
      <c r="KP85">
        <v>0</v>
      </c>
      <c r="KQ85">
        <v>1</v>
      </c>
      <c r="KR85">
        <v>0.8</v>
      </c>
      <c r="KS85">
        <v>0</v>
      </c>
      <c r="KT85">
        <v>2.5</v>
      </c>
      <c r="KU85">
        <v>0</v>
      </c>
      <c r="KV85">
        <v>0</v>
      </c>
      <c r="KW85">
        <v>1.2</v>
      </c>
      <c r="KX85">
        <v>2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3</v>
      </c>
      <c r="LI85">
        <v>0</v>
      </c>
      <c r="LJ85">
        <v>0</v>
      </c>
      <c r="LK85">
        <v>3</v>
      </c>
      <c r="LL85">
        <v>4</v>
      </c>
      <c r="LM85">
        <v>4</v>
      </c>
      <c r="LN85">
        <v>1</v>
      </c>
      <c r="LO85">
        <v>0.5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1.4</v>
      </c>
      <c r="LX85">
        <v>1.4</v>
      </c>
      <c r="LY85">
        <v>2.1</v>
      </c>
      <c r="LZ85">
        <v>2.1</v>
      </c>
      <c r="MA85">
        <v>0</v>
      </c>
      <c r="MB85">
        <v>0</v>
      </c>
      <c r="MC85">
        <v>0</v>
      </c>
      <c r="MD85">
        <v>4.5</v>
      </c>
      <c r="ME85">
        <v>6</v>
      </c>
      <c r="MF85">
        <v>6</v>
      </c>
      <c r="MI85">
        <v>0</v>
      </c>
      <c r="MJ85">
        <v>0</v>
      </c>
      <c r="ML85">
        <v>0</v>
      </c>
      <c r="MM85">
        <v>390</v>
      </c>
      <c r="MN85">
        <v>195</v>
      </c>
      <c r="MO85">
        <v>240</v>
      </c>
      <c r="NU85">
        <v>0.15</v>
      </c>
      <c r="NV85">
        <v>0.2</v>
      </c>
      <c r="NW85">
        <v>0.2</v>
      </c>
      <c r="NX85">
        <v>0.2</v>
      </c>
      <c r="NY85">
        <v>0.2</v>
      </c>
      <c r="NZ85">
        <v>0.2</v>
      </c>
      <c r="OE85" t="s">
        <v>4424</v>
      </c>
      <c r="OF85" t="s">
        <v>4104</v>
      </c>
      <c r="OG85" t="s">
        <v>4105</v>
      </c>
      <c r="OH85" t="s">
        <v>4043</v>
      </c>
      <c r="OI85" t="s">
        <v>4424</v>
      </c>
      <c r="OJ85" t="s">
        <v>4423</v>
      </c>
      <c r="OK85">
        <v>61</v>
      </c>
      <c r="OL85">
        <v>61</v>
      </c>
      <c r="OM85" t="s">
        <v>4104</v>
      </c>
      <c r="ON85">
        <v>2</v>
      </c>
      <c r="OO85">
        <v>2008</v>
      </c>
      <c r="OP85">
        <v>61</v>
      </c>
      <c r="OQ85">
        <v>61</v>
      </c>
      <c r="OR85" t="s">
        <v>4105</v>
      </c>
      <c r="OS85">
        <v>2</v>
      </c>
      <c r="OT85">
        <v>2015</v>
      </c>
      <c r="OU85">
        <v>65</v>
      </c>
      <c r="OV85">
        <v>65</v>
      </c>
      <c r="OW85" t="s">
        <v>4043</v>
      </c>
      <c r="OX85">
        <v>1</v>
      </c>
      <c r="OY85">
        <v>40964</v>
      </c>
      <c r="OZ85">
        <v>51</v>
      </c>
      <c r="PA85">
        <v>52</v>
      </c>
      <c r="PB85" t="s">
        <v>4424</v>
      </c>
      <c r="PC85">
        <v>1</v>
      </c>
      <c r="PD85">
        <v>2045</v>
      </c>
      <c r="PF85">
        <v>356</v>
      </c>
      <c r="PG85">
        <v>29</v>
      </c>
      <c r="PH85">
        <v>338</v>
      </c>
      <c r="PI85">
        <v>29</v>
      </c>
      <c r="PJ85">
        <v>67.7</v>
      </c>
      <c r="PK85">
        <v>1791</v>
      </c>
      <c r="PL85">
        <v>1286.6</v>
      </c>
      <c r="PM85">
        <v>337.4</v>
      </c>
      <c r="PN85">
        <v>95.2</v>
      </c>
      <c r="PO85">
        <v>8.4</v>
      </c>
      <c r="PP85">
        <v>12</v>
      </c>
      <c r="PQ85">
        <v>3</v>
      </c>
      <c r="PR85">
        <v>3</v>
      </c>
      <c r="PS85">
        <v>8</v>
      </c>
      <c r="PT85">
        <v>230</v>
      </c>
      <c r="PU85">
        <v>10</v>
      </c>
      <c r="PV85" t="s">
        <v>4072</v>
      </c>
      <c r="PW85" t="s">
        <v>4072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-1</v>
      </c>
      <c r="QF85">
        <v>1</v>
      </c>
      <c r="QG85">
        <v>0</v>
      </c>
      <c r="QH85">
        <v>5</v>
      </c>
      <c r="QI85">
        <v>5</v>
      </c>
      <c r="QJ85">
        <v>5</v>
      </c>
      <c r="QK85">
        <v>186</v>
      </c>
      <c r="QL85">
        <v>370</v>
      </c>
      <c r="QM85">
        <v>7.5</v>
      </c>
      <c r="QN85">
        <v>1540.9</v>
      </c>
      <c r="QO85" t="s">
        <v>1477</v>
      </c>
      <c r="QP85" t="s">
        <v>513</v>
      </c>
      <c r="QQ85">
        <v>0</v>
      </c>
      <c r="QR85" t="s">
        <v>1343</v>
      </c>
      <c r="QS85">
        <v>40</v>
      </c>
      <c r="QT85">
        <v>50</v>
      </c>
    </row>
    <row r="86" spans="1:462">
      <c r="A86" t="s">
        <v>1669</v>
      </c>
      <c r="B86" t="s">
        <v>564</v>
      </c>
      <c r="C86" t="s">
        <v>509</v>
      </c>
      <c r="D86" t="s">
        <v>1087</v>
      </c>
      <c r="E86" t="s">
        <v>4036</v>
      </c>
      <c r="H86" t="s">
        <v>627</v>
      </c>
      <c r="I86" t="s">
        <v>604</v>
      </c>
      <c r="J86" t="s">
        <v>628</v>
      </c>
      <c r="K86" t="s">
        <v>606</v>
      </c>
      <c r="L86" t="s">
        <v>629</v>
      </c>
      <c r="M86" t="s">
        <v>512</v>
      </c>
      <c r="O86" t="s">
        <v>513</v>
      </c>
      <c r="P86" t="s">
        <v>567</v>
      </c>
      <c r="Q86" t="s">
        <v>1670</v>
      </c>
      <c r="R86" t="s">
        <v>1671</v>
      </c>
      <c r="S86" t="s">
        <v>4391</v>
      </c>
      <c r="T86" t="s">
        <v>1482</v>
      </c>
      <c r="U86" t="s">
        <v>1483</v>
      </c>
      <c r="V86" t="s">
        <v>821</v>
      </c>
      <c r="W86" t="s">
        <v>1460</v>
      </c>
      <c r="X86" t="s">
        <v>1672</v>
      </c>
      <c r="Y86" t="s">
        <v>1673</v>
      </c>
      <c r="Z86" t="s">
        <v>541</v>
      </c>
      <c r="AA86" t="s">
        <v>3054</v>
      </c>
      <c r="AB86" t="s">
        <v>4425</v>
      </c>
      <c r="AC86">
        <v>13</v>
      </c>
      <c r="AD86" t="s">
        <v>1667</v>
      </c>
      <c r="AE86">
        <v>5</v>
      </c>
      <c r="AF86">
        <v>4585</v>
      </c>
      <c r="AG86" t="s">
        <v>4410</v>
      </c>
      <c r="AH86">
        <v>1</v>
      </c>
      <c r="AI86" t="s">
        <v>4041</v>
      </c>
      <c r="AK86" t="s">
        <v>4411</v>
      </c>
      <c r="AL86">
        <v>1</v>
      </c>
      <c r="AM86" t="s">
        <v>582</v>
      </c>
      <c r="AO86" t="s">
        <v>4426</v>
      </c>
      <c r="AP86">
        <v>1</v>
      </c>
      <c r="AR86" t="s">
        <v>4427</v>
      </c>
      <c r="AS86">
        <v>1</v>
      </c>
      <c r="AT86">
        <v>52</v>
      </c>
      <c r="AV86" t="s">
        <v>4078</v>
      </c>
      <c r="AW86">
        <v>6.4</v>
      </c>
      <c r="AX86">
        <v>-6</v>
      </c>
      <c r="AY86">
        <v>83.5</v>
      </c>
      <c r="AZ86">
        <v>63</v>
      </c>
      <c r="BH86">
        <v>83.5</v>
      </c>
      <c r="BI86">
        <v>20.5</v>
      </c>
      <c r="BJ86">
        <v>63</v>
      </c>
      <c r="BK86">
        <v>3.5</v>
      </c>
      <c r="BL86">
        <v>167</v>
      </c>
      <c r="BM86">
        <v>-6</v>
      </c>
      <c r="BN86">
        <v>0</v>
      </c>
      <c r="BP86">
        <v>0</v>
      </c>
      <c r="BR86">
        <v>160</v>
      </c>
      <c r="BS86">
        <v>150</v>
      </c>
      <c r="BT86">
        <v>1955</v>
      </c>
      <c r="BU86" t="s">
        <v>4047</v>
      </c>
      <c r="BV86" t="s">
        <v>4096</v>
      </c>
      <c r="BW86" t="s">
        <v>4049</v>
      </c>
      <c r="BX86" t="s">
        <v>4097</v>
      </c>
      <c r="BY86" t="s">
        <v>4428</v>
      </c>
      <c r="BZ86" t="s">
        <v>4428</v>
      </c>
      <c r="CA86" t="s">
        <v>4370</v>
      </c>
      <c r="CB86" t="s">
        <v>4371</v>
      </c>
      <c r="CC86" t="s">
        <v>4053</v>
      </c>
      <c r="CD86" t="s">
        <v>4372</v>
      </c>
      <c r="CE86" t="s">
        <v>4055</v>
      </c>
      <c r="CF86" t="s">
        <v>4055</v>
      </c>
      <c r="CG86" t="s">
        <v>4056</v>
      </c>
      <c r="CH86" t="s">
        <v>4099</v>
      </c>
      <c r="CI86" t="s">
        <v>4058</v>
      </c>
      <c r="CJ86" t="s">
        <v>4059</v>
      </c>
      <c r="CK86" t="s">
        <v>4060</v>
      </c>
      <c r="CL86" t="s">
        <v>4061</v>
      </c>
      <c r="CM86" t="s">
        <v>4062</v>
      </c>
      <c r="CN86" t="s">
        <v>4055</v>
      </c>
      <c r="CO86" t="s">
        <v>4063</v>
      </c>
      <c r="CP86" t="s">
        <v>4055</v>
      </c>
      <c r="CQ86" t="s">
        <v>4055</v>
      </c>
      <c r="CR86">
        <v>5</v>
      </c>
      <c r="CS86" t="s">
        <v>4055</v>
      </c>
      <c r="CT86" t="s">
        <v>4055</v>
      </c>
      <c r="CU86" t="s">
        <v>4055</v>
      </c>
      <c r="CV86">
        <v>108</v>
      </c>
      <c r="CW86">
        <v>3</v>
      </c>
      <c r="CX86">
        <v>65</v>
      </c>
      <c r="CY86">
        <v>5</v>
      </c>
      <c r="CZ86">
        <v>59</v>
      </c>
      <c r="DA86">
        <v>5</v>
      </c>
      <c r="DB86">
        <v>9260</v>
      </c>
      <c r="DC86">
        <v>270</v>
      </c>
      <c r="DD86">
        <v>315</v>
      </c>
      <c r="DE86">
        <v>2065</v>
      </c>
      <c r="DF86">
        <v>2050</v>
      </c>
      <c r="DG86">
        <v>2075</v>
      </c>
      <c r="DH86" t="s">
        <v>4055</v>
      </c>
      <c r="DI86" t="s">
        <v>4055</v>
      </c>
      <c r="DJ86" t="s">
        <v>4100</v>
      </c>
      <c r="DK86">
        <v>160</v>
      </c>
      <c r="DL86" t="s">
        <v>4101</v>
      </c>
      <c r="DM86">
        <v>65</v>
      </c>
      <c r="DN86">
        <v>0.84</v>
      </c>
      <c r="DO86">
        <v>1</v>
      </c>
      <c r="DP86">
        <v>1958</v>
      </c>
      <c r="DQ86">
        <v>572</v>
      </c>
      <c r="DR86" t="s">
        <v>4100</v>
      </c>
      <c r="DS86">
        <v>150</v>
      </c>
      <c r="DT86" t="s">
        <v>4101</v>
      </c>
      <c r="DU86">
        <v>65</v>
      </c>
      <c r="DV86">
        <v>0.84</v>
      </c>
      <c r="DW86">
        <v>1</v>
      </c>
      <c r="DX86">
        <v>1965</v>
      </c>
      <c r="DY86">
        <v>538</v>
      </c>
      <c r="DZ86" t="s">
        <v>4066</v>
      </c>
      <c r="EA86">
        <v>33</v>
      </c>
      <c r="EB86" t="s">
        <v>4065</v>
      </c>
      <c r="EC86">
        <v>0.4</v>
      </c>
      <c r="ED86">
        <v>1958</v>
      </c>
      <c r="EE86">
        <v>57</v>
      </c>
      <c r="EF86" t="s">
        <v>4066</v>
      </c>
      <c r="EG86">
        <v>33</v>
      </c>
      <c r="EH86" t="s">
        <v>4065</v>
      </c>
      <c r="EI86">
        <v>0.4</v>
      </c>
      <c r="EJ86">
        <v>1965</v>
      </c>
      <c r="EK86">
        <v>57</v>
      </c>
      <c r="EL86" t="s">
        <v>4429</v>
      </c>
      <c r="EM86">
        <v>12</v>
      </c>
      <c r="EN86">
        <v>0.5</v>
      </c>
      <c r="EO86">
        <v>0.9</v>
      </c>
      <c r="EP86">
        <v>1965.56</v>
      </c>
      <c r="EQ86">
        <v>27487.13</v>
      </c>
      <c r="ER86">
        <v>6314.05</v>
      </c>
      <c r="ES86">
        <v>0</v>
      </c>
      <c r="ET86">
        <v>0</v>
      </c>
      <c r="EU86">
        <v>1</v>
      </c>
      <c r="EV86">
        <v>33802</v>
      </c>
      <c r="EW86">
        <v>406</v>
      </c>
      <c r="EX86" t="s">
        <v>4363</v>
      </c>
      <c r="EY86">
        <v>182</v>
      </c>
      <c r="EZ86" t="s">
        <v>4055</v>
      </c>
      <c r="FA86">
        <v>5.1</v>
      </c>
      <c r="FB86">
        <v>1</v>
      </c>
      <c r="FC86">
        <v>1</v>
      </c>
      <c r="FD86">
        <v>1992</v>
      </c>
      <c r="FE86">
        <v>2461</v>
      </c>
      <c r="FF86" t="s">
        <v>4089</v>
      </c>
      <c r="FG86">
        <v>182</v>
      </c>
      <c r="FH86" t="s">
        <v>4055</v>
      </c>
      <c r="FI86">
        <v>0.8</v>
      </c>
      <c r="FJ86">
        <v>1992</v>
      </c>
      <c r="FK86">
        <v>286</v>
      </c>
      <c r="FL86" t="s">
        <v>4069</v>
      </c>
      <c r="FM86" t="s">
        <v>4055</v>
      </c>
      <c r="FN86" t="s">
        <v>4055</v>
      </c>
      <c r="FO86" t="s">
        <v>4055</v>
      </c>
      <c r="FP86">
        <v>1992</v>
      </c>
      <c r="FQ86">
        <v>113</v>
      </c>
      <c r="FR86" t="s">
        <v>4090</v>
      </c>
      <c r="FS86">
        <v>186</v>
      </c>
      <c r="FT86" t="s">
        <v>4055</v>
      </c>
      <c r="FU86">
        <v>0.4</v>
      </c>
      <c r="FV86">
        <v>1992</v>
      </c>
      <c r="FW86">
        <v>165</v>
      </c>
      <c r="FX86" t="s">
        <v>4070</v>
      </c>
      <c r="FY86">
        <v>10</v>
      </c>
      <c r="FZ86" t="s">
        <v>4055</v>
      </c>
      <c r="GA86" t="s">
        <v>4055</v>
      </c>
      <c r="GB86">
        <v>1992</v>
      </c>
      <c r="GC86">
        <v>17</v>
      </c>
      <c r="GD86">
        <v>3042</v>
      </c>
      <c r="GE86" t="s">
        <v>4427</v>
      </c>
      <c r="GF86" t="s">
        <v>4055</v>
      </c>
      <c r="GG86" t="s">
        <v>4055</v>
      </c>
      <c r="GH86" t="s">
        <v>4055</v>
      </c>
      <c r="GI86" t="s">
        <v>4071</v>
      </c>
      <c r="GJ86" t="s">
        <v>4055</v>
      </c>
      <c r="GK86" t="s">
        <v>4055</v>
      </c>
      <c r="GL86" t="s">
        <v>4055</v>
      </c>
      <c r="GM86" t="s">
        <v>4055</v>
      </c>
      <c r="GQ86">
        <v>0</v>
      </c>
      <c r="GV86">
        <v>6.3</v>
      </c>
      <c r="GW86">
        <v>8.5</v>
      </c>
      <c r="GX86">
        <v>0.5</v>
      </c>
      <c r="GY86">
        <v>150</v>
      </c>
      <c r="GZ86">
        <v>3</v>
      </c>
      <c r="HA86">
        <v>202</v>
      </c>
      <c r="HB86">
        <v>3</v>
      </c>
      <c r="HC86">
        <v>1992</v>
      </c>
      <c r="HD86">
        <v>4</v>
      </c>
      <c r="HE86" t="s">
        <v>4071</v>
      </c>
      <c r="HG86" t="s">
        <v>549</v>
      </c>
      <c r="HL86">
        <v>4</v>
      </c>
      <c r="HM86">
        <v>15</v>
      </c>
      <c r="HN86">
        <v>6</v>
      </c>
      <c r="HO86">
        <v>1</v>
      </c>
      <c r="HP86">
        <v>0</v>
      </c>
      <c r="HQ86">
        <v>0</v>
      </c>
      <c r="HR86">
        <v>3</v>
      </c>
      <c r="HS86">
        <v>1955</v>
      </c>
      <c r="HT86">
        <v>5</v>
      </c>
      <c r="HU86">
        <v>1</v>
      </c>
      <c r="HV86">
        <v>5</v>
      </c>
      <c r="HW86">
        <v>0</v>
      </c>
      <c r="HX86">
        <v>1</v>
      </c>
      <c r="HY86">
        <v>0</v>
      </c>
      <c r="HZ86">
        <v>65</v>
      </c>
      <c r="IA86">
        <v>1958</v>
      </c>
      <c r="IB86">
        <v>1965</v>
      </c>
      <c r="ID86">
        <v>1992</v>
      </c>
      <c r="IE86">
        <v>1992</v>
      </c>
      <c r="IF86">
        <v>160</v>
      </c>
      <c r="IG86">
        <v>150</v>
      </c>
      <c r="IH86">
        <v>202</v>
      </c>
      <c r="II86">
        <v>1</v>
      </c>
      <c r="IJ86">
        <v>5</v>
      </c>
      <c r="IK86">
        <v>0</v>
      </c>
      <c r="IL86">
        <v>1</v>
      </c>
      <c r="IM86">
        <v>0</v>
      </c>
      <c r="IN86">
        <v>270</v>
      </c>
      <c r="IO86">
        <v>0</v>
      </c>
      <c r="IP86">
        <v>180</v>
      </c>
      <c r="IQ86">
        <v>0</v>
      </c>
      <c r="IR86">
        <v>330</v>
      </c>
      <c r="IS86">
        <v>0</v>
      </c>
      <c r="IT86">
        <v>90</v>
      </c>
      <c r="IU86">
        <v>0</v>
      </c>
      <c r="IV86">
        <v>6.4</v>
      </c>
      <c r="IW86">
        <v>-6</v>
      </c>
      <c r="IX86">
        <v>83.5</v>
      </c>
      <c r="IY86">
        <v>63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398</v>
      </c>
      <c r="JJ86">
        <v>368</v>
      </c>
      <c r="JK86">
        <v>290</v>
      </c>
      <c r="JL86">
        <v>364</v>
      </c>
      <c r="JM86">
        <v>270</v>
      </c>
      <c r="JN86">
        <v>155</v>
      </c>
      <c r="JO86">
        <v>208</v>
      </c>
      <c r="JP86">
        <v>210</v>
      </c>
      <c r="JQ86">
        <v>250</v>
      </c>
      <c r="JR86">
        <v>380</v>
      </c>
      <c r="JS86">
        <v>270</v>
      </c>
      <c r="JT86">
        <v>0</v>
      </c>
      <c r="JU86">
        <v>0</v>
      </c>
      <c r="JV86">
        <v>335</v>
      </c>
      <c r="JW86">
        <v>337</v>
      </c>
      <c r="JX86">
        <v>352</v>
      </c>
      <c r="JY86">
        <v>320</v>
      </c>
      <c r="JZ86">
        <v>0.5</v>
      </c>
      <c r="KA86">
        <v>0.2</v>
      </c>
      <c r="KB86">
        <v>0.4</v>
      </c>
      <c r="KC86">
        <v>0.42</v>
      </c>
      <c r="KD86">
        <v>0.28</v>
      </c>
      <c r="KE86">
        <v>0.5</v>
      </c>
      <c r="KF86">
        <v>0.2</v>
      </c>
      <c r="KG86">
        <v>0.1</v>
      </c>
      <c r="KH86">
        <v>3.5</v>
      </c>
      <c r="KI86">
        <v>1</v>
      </c>
      <c r="KJ86">
        <v>4.5</v>
      </c>
      <c r="KK86">
        <v>0</v>
      </c>
      <c r="KL86">
        <v>4.5</v>
      </c>
      <c r="KM86">
        <v>0</v>
      </c>
      <c r="KN86">
        <v>1.2</v>
      </c>
      <c r="KO86">
        <v>0</v>
      </c>
      <c r="KP86">
        <v>0</v>
      </c>
      <c r="KQ86">
        <v>0.8</v>
      </c>
      <c r="KR86">
        <v>0.8</v>
      </c>
      <c r="KS86">
        <v>0</v>
      </c>
      <c r="KT86">
        <v>1.6</v>
      </c>
      <c r="KU86">
        <v>0</v>
      </c>
      <c r="KV86">
        <v>0</v>
      </c>
      <c r="KW86">
        <v>1</v>
      </c>
      <c r="KX86">
        <v>2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3</v>
      </c>
      <c r="LI86">
        <v>0.5</v>
      </c>
      <c r="LJ86">
        <v>0</v>
      </c>
      <c r="LK86">
        <v>7</v>
      </c>
      <c r="LL86">
        <v>4</v>
      </c>
      <c r="LM86">
        <v>8</v>
      </c>
      <c r="LN86">
        <v>0.1</v>
      </c>
      <c r="LO86">
        <v>5</v>
      </c>
      <c r="LP86">
        <v>0</v>
      </c>
      <c r="LQ86">
        <v>0</v>
      </c>
      <c r="LR86">
        <v>0</v>
      </c>
      <c r="LS86">
        <v>1</v>
      </c>
      <c r="LT86">
        <v>0</v>
      </c>
      <c r="LU86">
        <v>0</v>
      </c>
      <c r="LV86">
        <v>0</v>
      </c>
      <c r="LW86">
        <v>2.1</v>
      </c>
      <c r="LX86">
        <v>2.1</v>
      </c>
      <c r="LY86">
        <v>2.1</v>
      </c>
      <c r="LZ86">
        <v>2.1</v>
      </c>
      <c r="MA86">
        <v>0</v>
      </c>
      <c r="MB86">
        <v>8</v>
      </c>
      <c r="MC86">
        <v>0</v>
      </c>
      <c r="MD86">
        <v>4.5</v>
      </c>
      <c r="ME86">
        <v>6</v>
      </c>
      <c r="MF86">
        <v>6</v>
      </c>
      <c r="MG86">
        <v>20</v>
      </c>
      <c r="MH86">
        <v>20</v>
      </c>
      <c r="MI86">
        <v>0</v>
      </c>
      <c r="MJ86">
        <v>0</v>
      </c>
      <c r="ML86">
        <v>0</v>
      </c>
      <c r="MM86">
        <v>390</v>
      </c>
      <c r="MN86">
        <v>155</v>
      </c>
      <c r="MO86">
        <v>208</v>
      </c>
      <c r="NU86">
        <v>0.15</v>
      </c>
      <c r="NV86">
        <v>0.2</v>
      </c>
      <c r="NW86">
        <v>0.2</v>
      </c>
      <c r="NX86">
        <v>0.2</v>
      </c>
      <c r="NY86">
        <v>0.2</v>
      </c>
      <c r="NZ86">
        <v>0.2</v>
      </c>
      <c r="OE86" t="s">
        <v>4427</v>
      </c>
      <c r="OF86" t="s">
        <v>4410</v>
      </c>
      <c r="OG86" t="s">
        <v>4411</v>
      </c>
      <c r="OH86" t="s">
        <v>4426</v>
      </c>
      <c r="OI86" t="s">
        <v>4427</v>
      </c>
      <c r="OJ86" t="s">
        <v>4425</v>
      </c>
      <c r="OK86">
        <v>61</v>
      </c>
      <c r="OL86">
        <v>61</v>
      </c>
      <c r="OM86" t="s">
        <v>4410</v>
      </c>
      <c r="ON86">
        <v>2</v>
      </c>
      <c r="OO86">
        <v>1958</v>
      </c>
      <c r="OP86">
        <v>61</v>
      </c>
      <c r="OQ86">
        <v>61</v>
      </c>
      <c r="OR86" t="s">
        <v>4411</v>
      </c>
      <c r="OS86">
        <v>2</v>
      </c>
      <c r="OT86">
        <v>1965</v>
      </c>
      <c r="OU86">
        <v>65</v>
      </c>
      <c r="OV86">
        <v>65</v>
      </c>
      <c r="OW86" t="s">
        <v>4426</v>
      </c>
      <c r="OX86">
        <v>1</v>
      </c>
      <c r="OY86">
        <v>33802</v>
      </c>
      <c r="OZ86">
        <v>51</v>
      </c>
      <c r="PA86">
        <v>52</v>
      </c>
      <c r="PB86" t="s">
        <v>4427</v>
      </c>
      <c r="PC86">
        <v>2</v>
      </c>
      <c r="PD86">
        <v>1992</v>
      </c>
      <c r="PF86">
        <v>292</v>
      </c>
      <c r="PG86">
        <v>29</v>
      </c>
      <c r="PH86">
        <v>274</v>
      </c>
      <c r="PI86">
        <v>29</v>
      </c>
      <c r="PJ86">
        <v>56.9</v>
      </c>
      <c r="PK86">
        <v>1540</v>
      </c>
      <c r="PL86">
        <v>1235.4</v>
      </c>
      <c r="PM86">
        <v>143.5</v>
      </c>
      <c r="PN86">
        <v>82.7</v>
      </c>
      <c r="PO86">
        <v>8.5</v>
      </c>
      <c r="PP86">
        <v>12</v>
      </c>
      <c r="PQ86">
        <v>1</v>
      </c>
      <c r="PR86">
        <v>3</v>
      </c>
      <c r="PS86">
        <v>8</v>
      </c>
      <c r="PT86">
        <v>202</v>
      </c>
      <c r="PU86">
        <v>10</v>
      </c>
      <c r="PV86" t="s">
        <v>4072</v>
      </c>
      <c r="PW86" t="s">
        <v>4072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-1</v>
      </c>
      <c r="QF86">
        <v>1</v>
      </c>
      <c r="QG86">
        <v>0</v>
      </c>
      <c r="QH86">
        <v>5</v>
      </c>
      <c r="QI86">
        <v>5</v>
      </c>
      <c r="QJ86">
        <v>5</v>
      </c>
      <c r="QK86">
        <v>194</v>
      </c>
      <c r="QL86">
        <v>432</v>
      </c>
      <c r="QM86">
        <v>7.5</v>
      </c>
      <c r="QN86">
        <v>1204.3</v>
      </c>
      <c r="QO86" t="s">
        <v>1477</v>
      </c>
      <c r="QP86" t="s">
        <v>513</v>
      </c>
      <c r="QQ86">
        <v>0</v>
      </c>
      <c r="QR86" t="s">
        <v>1496</v>
      </c>
      <c r="QS86">
        <v>30</v>
      </c>
      <c r="QT86">
        <v>40</v>
      </c>
    </row>
    <row r="87" spans="1:462">
      <c r="A87" t="s">
        <v>1680</v>
      </c>
      <c r="B87" t="s">
        <v>897</v>
      </c>
      <c r="C87" t="s">
        <v>509</v>
      </c>
      <c r="D87" t="s">
        <v>1890</v>
      </c>
      <c r="E87" t="s">
        <v>4036</v>
      </c>
      <c r="H87" t="s">
        <v>604</v>
      </c>
      <c r="K87" t="s">
        <v>606</v>
      </c>
      <c r="L87" t="s">
        <v>657</v>
      </c>
      <c r="M87" t="s">
        <v>512</v>
      </c>
      <c r="O87" t="s">
        <v>513</v>
      </c>
      <c r="P87" t="s">
        <v>567</v>
      </c>
      <c r="Q87" t="s">
        <v>1681</v>
      </c>
      <c r="R87" t="s">
        <v>1682</v>
      </c>
      <c r="S87" t="s">
        <v>4170</v>
      </c>
      <c r="T87" t="s">
        <v>520</v>
      </c>
      <c r="U87" t="s">
        <v>521</v>
      </c>
      <c r="V87" t="s">
        <v>1683</v>
      </c>
      <c r="W87" t="s">
        <v>1460</v>
      </c>
      <c r="X87" t="s">
        <v>1684</v>
      </c>
      <c r="Y87" t="s">
        <v>1685</v>
      </c>
      <c r="Z87" t="s">
        <v>541</v>
      </c>
      <c r="AA87" t="s">
        <v>4038</v>
      </c>
      <c r="AB87" t="s">
        <v>4430</v>
      </c>
      <c r="AC87">
        <v>9</v>
      </c>
      <c r="AD87" t="s">
        <v>1679</v>
      </c>
      <c r="AE87">
        <v>8</v>
      </c>
      <c r="AF87">
        <v>4261</v>
      </c>
      <c r="AG87" t="s">
        <v>4093</v>
      </c>
      <c r="AH87">
        <v>1</v>
      </c>
      <c r="AI87" t="s">
        <v>4041</v>
      </c>
      <c r="AK87" t="s">
        <v>4094</v>
      </c>
      <c r="AL87">
        <v>1</v>
      </c>
      <c r="AM87" t="s">
        <v>582</v>
      </c>
      <c r="AO87" t="s">
        <v>4043</v>
      </c>
      <c r="AP87">
        <v>1</v>
      </c>
      <c r="AR87" t="s">
        <v>4431</v>
      </c>
      <c r="AS87">
        <v>1</v>
      </c>
      <c r="AT87">
        <v>52</v>
      </c>
      <c r="AV87" t="s">
        <v>4078</v>
      </c>
      <c r="AW87">
        <v>6.4</v>
      </c>
      <c r="AX87">
        <v>-6</v>
      </c>
      <c r="AY87">
        <v>88.5</v>
      </c>
      <c r="AZ87">
        <v>59</v>
      </c>
      <c r="BH87">
        <v>88.5</v>
      </c>
      <c r="BI87">
        <v>29.5</v>
      </c>
      <c r="BJ87">
        <v>59</v>
      </c>
      <c r="BK87">
        <v>3.5</v>
      </c>
      <c r="BL87">
        <v>177</v>
      </c>
      <c r="BM87">
        <v>-6</v>
      </c>
      <c r="BN87">
        <v>0</v>
      </c>
      <c r="BP87">
        <v>0</v>
      </c>
      <c r="BR87">
        <v>170</v>
      </c>
      <c r="BS87">
        <v>160</v>
      </c>
      <c r="BT87">
        <v>1910</v>
      </c>
      <c r="BU87" t="s">
        <v>4047</v>
      </c>
      <c r="BV87" t="s">
        <v>4047</v>
      </c>
      <c r="BW87" t="s">
        <v>4049</v>
      </c>
      <c r="BX87" t="s">
        <v>4049</v>
      </c>
      <c r="BY87" t="s">
        <v>4144</v>
      </c>
      <c r="BZ87" t="s">
        <v>4050</v>
      </c>
      <c r="CA87" t="s">
        <v>4051</v>
      </c>
      <c r="CB87" t="s">
        <v>4052</v>
      </c>
      <c r="CC87" t="s">
        <v>4053</v>
      </c>
      <c r="CD87" t="s">
        <v>4054</v>
      </c>
      <c r="CE87" t="s">
        <v>4055</v>
      </c>
      <c r="CF87" t="s">
        <v>4055</v>
      </c>
      <c r="CG87" t="s">
        <v>4056</v>
      </c>
      <c r="CH87" t="s">
        <v>4057</v>
      </c>
      <c r="CI87" t="s">
        <v>4058</v>
      </c>
      <c r="CJ87" t="s">
        <v>4059</v>
      </c>
      <c r="CK87" t="s">
        <v>4060</v>
      </c>
      <c r="CL87" t="s">
        <v>4061</v>
      </c>
      <c r="CM87" t="s">
        <v>4062</v>
      </c>
      <c r="CN87" t="s">
        <v>4055</v>
      </c>
      <c r="CO87" t="s">
        <v>4063</v>
      </c>
      <c r="CP87" t="s">
        <v>4055</v>
      </c>
      <c r="CQ87" t="s">
        <v>4055</v>
      </c>
      <c r="CR87">
        <v>5</v>
      </c>
      <c r="CS87" t="s">
        <v>4055</v>
      </c>
      <c r="CT87" t="s">
        <v>4055</v>
      </c>
      <c r="CU87" t="s">
        <v>4055</v>
      </c>
      <c r="CV87">
        <v>111</v>
      </c>
      <c r="CW87">
        <v>3</v>
      </c>
      <c r="CX87">
        <v>73</v>
      </c>
      <c r="CY87">
        <v>5</v>
      </c>
      <c r="CZ87">
        <v>67</v>
      </c>
      <c r="DA87">
        <v>5</v>
      </c>
      <c r="DB87">
        <v>9030</v>
      </c>
      <c r="DC87">
        <v>270</v>
      </c>
      <c r="DD87">
        <v>304</v>
      </c>
      <c r="DE87">
        <v>2005</v>
      </c>
      <c r="DF87">
        <v>2005</v>
      </c>
      <c r="DG87">
        <v>2023</v>
      </c>
      <c r="DH87" t="s">
        <v>4055</v>
      </c>
      <c r="DI87" t="s">
        <v>4055</v>
      </c>
      <c r="DJ87" t="s">
        <v>4100</v>
      </c>
      <c r="DK87">
        <v>170</v>
      </c>
      <c r="DL87" t="s">
        <v>4101</v>
      </c>
      <c r="DM87">
        <v>65</v>
      </c>
      <c r="DN87">
        <v>0.84</v>
      </c>
      <c r="DO87">
        <v>1</v>
      </c>
      <c r="DP87">
        <v>1913</v>
      </c>
      <c r="DQ87">
        <v>595</v>
      </c>
      <c r="DR87" t="s">
        <v>4100</v>
      </c>
      <c r="DS87">
        <v>160</v>
      </c>
      <c r="DT87" t="s">
        <v>4101</v>
      </c>
      <c r="DU87">
        <v>65</v>
      </c>
      <c r="DV87">
        <v>0.84</v>
      </c>
      <c r="DW87">
        <v>1</v>
      </c>
      <c r="DX87">
        <v>1920</v>
      </c>
      <c r="DY87">
        <v>561</v>
      </c>
      <c r="DZ87" t="s">
        <v>4066</v>
      </c>
      <c r="EA87">
        <v>33</v>
      </c>
      <c r="EB87" t="s">
        <v>4065</v>
      </c>
      <c r="EC87">
        <v>0.4</v>
      </c>
      <c r="ED87">
        <v>1913</v>
      </c>
      <c r="EE87">
        <v>55</v>
      </c>
      <c r="EF87" t="s">
        <v>4066</v>
      </c>
      <c r="EG87">
        <v>33</v>
      </c>
      <c r="EH87" t="s">
        <v>4065</v>
      </c>
      <c r="EI87">
        <v>0.4</v>
      </c>
      <c r="EJ87">
        <v>1920</v>
      </c>
      <c r="EK87">
        <v>56</v>
      </c>
      <c r="EL87" t="s">
        <v>1528</v>
      </c>
      <c r="EM87">
        <v>12</v>
      </c>
      <c r="EN87">
        <v>0.5</v>
      </c>
      <c r="EO87">
        <v>0.96</v>
      </c>
      <c r="EP87">
        <v>1920.56</v>
      </c>
      <c r="EQ87">
        <v>28358.27</v>
      </c>
      <c r="ER87">
        <v>8880.379999999999</v>
      </c>
      <c r="ES87">
        <v>0</v>
      </c>
      <c r="ET87">
        <v>0</v>
      </c>
      <c r="EU87">
        <v>1</v>
      </c>
      <c r="EV87">
        <v>37239</v>
      </c>
      <c r="EW87">
        <v>447</v>
      </c>
      <c r="EX87" t="s">
        <v>4363</v>
      </c>
      <c r="EY87">
        <v>192</v>
      </c>
      <c r="EZ87" t="s">
        <v>4055</v>
      </c>
      <c r="FA87">
        <v>5</v>
      </c>
      <c r="FB87">
        <v>1</v>
      </c>
      <c r="FC87">
        <v>1</v>
      </c>
      <c r="FD87">
        <v>1949</v>
      </c>
      <c r="FE87">
        <v>2175</v>
      </c>
      <c r="FF87" t="s">
        <v>4089</v>
      </c>
      <c r="FG87">
        <v>192</v>
      </c>
      <c r="FH87" t="s">
        <v>4055</v>
      </c>
      <c r="FI87">
        <v>1.6</v>
      </c>
      <c r="FJ87">
        <v>1949</v>
      </c>
      <c r="FK87">
        <v>583</v>
      </c>
      <c r="FL87" t="s">
        <v>4069</v>
      </c>
      <c r="FM87" t="s">
        <v>4055</v>
      </c>
      <c r="FN87" t="s">
        <v>4055</v>
      </c>
      <c r="FO87" t="s">
        <v>4055</v>
      </c>
      <c r="FP87">
        <v>1949</v>
      </c>
      <c r="FQ87">
        <v>102</v>
      </c>
      <c r="FR87" t="s">
        <v>4090</v>
      </c>
      <c r="FS87">
        <v>196</v>
      </c>
      <c r="FT87" t="s">
        <v>4055</v>
      </c>
      <c r="FU87">
        <v>0.4</v>
      </c>
      <c r="FV87">
        <v>1949</v>
      </c>
      <c r="FW87">
        <v>170</v>
      </c>
      <c r="FX87" t="s">
        <v>4070</v>
      </c>
      <c r="FY87">
        <v>10</v>
      </c>
      <c r="FZ87" t="s">
        <v>4055</v>
      </c>
      <c r="GA87" t="s">
        <v>4055</v>
      </c>
      <c r="GB87">
        <v>1949</v>
      </c>
      <c r="GC87">
        <v>16</v>
      </c>
      <c r="GD87">
        <v>3046</v>
      </c>
      <c r="GE87" t="s">
        <v>4431</v>
      </c>
      <c r="GF87" t="s">
        <v>4055</v>
      </c>
      <c r="GG87" t="s">
        <v>4055</v>
      </c>
      <c r="GH87" t="s">
        <v>4055</v>
      </c>
      <c r="GI87" t="s">
        <v>4071</v>
      </c>
      <c r="GJ87" t="s">
        <v>4055</v>
      </c>
      <c r="GK87" t="s">
        <v>4055</v>
      </c>
      <c r="GL87" t="s">
        <v>4055</v>
      </c>
      <c r="GM87" t="s">
        <v>4055</v>
      </c>
      <c r="GQ87">
        <v>0</v>
      </c>
      <c r="GV87">
        <v>7</v>
      </c>
      <c r="GW87">
        <v>8</v>
      </c>
      <c r="GX87">
        <v>0.5</v>
      </c>
      <c r="GY87">
        <v>154</v>
      </c>
      <c r="GZ87">
        <v>3</v>
      </c>
      <c r="HA87">
        <v>210</v>
      </c>
      <c r="HB87">
        <v>3</v>
      </c>
      <c r="HC87">
        <v>1949</v>
      </c>
      <c r="HD87">
        <v>4</v>
      </c>
      <c r="HE87" t="s">
        <v>4071</v>
      </c>
      <c r="HG87" t="s">
        <v>549</v>
      </c>
      <c r="HL87">
        <v>4</v>
      </c>
      <c r="HM87">
        <v>16</v>
      </c>
      <c r="HN87">
        <v>6</v>
      </c>
      <c r="HO87">
        <v>1</v>
      </c>
      <c r="HP87">
        <v>0</v>
      </c>
      <c r="HQ87">
        <v>0</v>
      </c>
      <c r="HR87">
        <v>3</v>
      </c>
      <c r="HS87">
        <v>1910</v>
      </c>
      <c r="HT87">
        <v>5</v>
      </c>
      <c r="HU87">
        <v>1</v>
      </c>
      <c r="HV87">
        <v>3</v>
      </c>
      <c r="HW87">
        <v>0</v>
      </c>
      <c r="HX87">
        <v>1</v>
      </c>
      <c r="HY87">
        <v>0</v>
      </c>
      <c r="HZ87">
        <v>65</v>
      </c>
      <c r="IA87">
        <v>1913</v>
      </c>
      <c r="IB87">
        <v>1920</v>
      </c>
      <c r="ID87">
        <v>1949</v>
      </c>
      <c r="IE87">
        <v>1949</v>
      </c>
      <c r="IF87">
        <v>170</v>
      </c>
      <c r="IG87">
        <v>160</v>
      </c>
      <c r="IH87">
        <v>210</v>
      </c>
      <c r="II87">
        <v>1</v>
      </c>
      <c r="IJ87">
        <v>5</v>
      </c>
      <c r="IK87">
        <v>0</v>
      </c>
      <c r="IL87">
        <v>0</v>
      </c>
      <c r="IM87">
        <v>0</v>
      </c>
      <c r="IN87">
        <v>270</v>
      </c>
      <c r="IO87">
        <v>0</v>
      </c>
      <c r="IP87">
        <v>180</v>
      </c>
      <c r="IQ87">
        <v>0</v>
      </c>
      <c r="IR87">
        <v>330</v>
      </c>
      <c r="IS87">
        <v>0</v>
      </c>
      <c r="IT87">
        <v>90</v>
      </c>
      <c r="IU87">
        <v>0</v>
      </c>
      <c r="IV87">
        <v>6.4</v>
      </c>
      <c r="IW87">
        <v>-6</v>
      </c>
      <c r="IX87">
        <v>88.5</v>
      </c>
      <c r="IY87">
        <v>59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366</v>
      </c>
      <c r="JJ87">
        <v>336</v>
      </c>
      <c r="JK87">
        <v>250</v>
      </c>
      <c r="JL87">
        <v>334</v>
      </c>
      <c r="JM87">
        <v>258</v>
      </c>
      <c r="JN87">
        <v>170</v>
      </c>
      <c r="JO87">
        <v>220</v>
      </c>
      <c r="JP87">
        <v>200</v>
      </c>
      <c r="JQ87">
        <v>250</v>
      </c>
      <c r="JR87">
        <v>330</v>
      </c>
      <c r="JS87">
        <v>265</v>
      </c>
      <c r="JT87">
        <v>0</v>
      </c>
      <c r="JU87">
        <v>0</v>
      </c>
      <c r="JV87">
        <v>320</v>
      </c>
      <c r="JW87">
        <v>317</v>
      </c>
      <c r="JX87">
        <v>325</v>
      </c>
      <c r="JY87">
        <v>315</v>
      </c>
      <c r="JZ87">
        <v>2.5</v>
      </c>
      <c r="KA87">
        <v>0.2</v>
      </c>
      <c r="KB87">
        <v>0.4</v>
      </c>
      <c r="KC87">
        <v>0.42</v>
      </c>
      <c r="KD87">
        <v>0.28</v>
      </c>
      <c r="KE87">
        <v>0.5</v>
      </c>
      <c r="KF87">
        <v>0.19</v>
      </c>
      <c r="KG87">
        <v>0.1</v>
      </c>
      <c r="KH87">
        <v>3.5</v>
      </c>
      <c r="KI87">
        <v>1</v>
      </c>
      <c r="KJ87">
        <v>5</v>
      </c>
      <c r="KK87">
        <v>0</v>
      </c>
      <c r="KL87">
        <v>5</v>
      </c>
      <c r="KM87">
        <v>0</v>
      </c>
      <c r="KN87">
        <v>1.4</v>
      </c>
      <c r="KO87">
        <v>0</v>
      </c>
      <c r="KP87">
        <v>0</v>
      </c>
      <c r="KQ87">
        <v>1</v>
      </c>
      <c r="KR87">
        <v>1.5</v>
      </c>
      <c r="KS87">
        <v>0</v>
      </c>
      <c r="KT87">
        <v>2.8</v>
      </c>
      <c r="KU87">
        <v>0</v>
      </c>
      <c r="KV87">
        <v>0</v>
      </c>
      <c r="KW87">
        <v>1.1</v>
      </c>
      <c r="KX87">
        <v>2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3</v>
      </c>
      <c r="LI87">
        <v>2.5</v>
      </c>
      <c r="LJ87">
        <v>0</v>
      </c>
      <c r="LK87">
        <v>5</v>
      </c>
      <c r="LL87">
        <v>7.5</v>
      </c>
      <c r="LM87">
        <v>8</v>
      </c>
      <c r="LN87">
        <v>0.5</v>
      </c>
      <c r="LO87">
        <v>0.3</v>
      </c>
      <c r="LP87">
        <v>0</v>
      </c>
      <c r="LQ87">
        <v>0</v>
      </c>
      <c r="LR87">
        <v>0</v>
      </c>
      <c r="LS87">
        <v>1</v>
      </c>
      <c r="LT87">
        <v>0</v>
      </c>
      <c r="LU87">
        <v>0</v>
      </c>
      <c r="LV87">
        <v>0</v>
      </c>
      <c r="LW87">
        <v>1.4</v>
      </c>
      <c r="LX87">
        <v>1.4</v>
      </c>
      <c r="LY87">
        <v>2.1</v>
      </c>
      <c r="LZ87">
        <v>2.1</v>
      </c>
      <c r="MA87">
        <v>0</v>
      </c>
      <c r="MB87">
        <v>5</v>
      </c>
      <c r="MC87">
        <v>0</v>
      </c>
      <c r="MD87">
        <v>4.5</v>
      </c>
      <c r="ME87">
        <v>6</v>
      </c>
      <c r="MF87">
        <v>6</v>
      </c>
      <c r="MI87">
        <v>0</v>
      </c>
      <c r="MJ87">
        <v>0</v>
      </c>
      <c r="ML87">
        <v>0</v>
      </c>
      <c r="MM87">
        <v>390</v>
      </c>
      <c r="MN87">
        <v>165</v>
      </c>
      <c r="MO87">
        <v>220</v>
      </c>
      <c r="NH87">
        <v>0</v>
      </c>
      <c r="NJ87">
        <v>0</v>
      </c>
      <c r="NK87">
        <v>0</v>
      </c>
      <c r="NM87">
        <v>0</v>
      </c>
      <c r="NU87">
        <v>0.2</v>
      </c>
      <c r="NV87">
        <v>0.4</v>
      </c>
      <c r="NW87">
        <v>0.42</v>
      </c>
      <c r="NX87">
        <v>2</v>
      </c>
      <c r="NY87">
        <v>2</v>
      </c>
      <c r="NZ87">
        <v>2</v>
      </c>
      <c r="OE87" t="s">
        <v>4431</v>
      </c>
      <c r="OF87" t="s">
        <v>4093</v>
      </c>
      <c r="OG87" t="s">
        <v>4094</v>
      </c>
      <c r="OH87" t="s">
        <v>4043</v>
      </c>
      <c r="OI87" t="s">
        <v>4431</v>
      </c>
      <c r="OJ87" t="s">
        <v>4430</v>
      </c>
      <c r="OK87">
        <v>61</v>
      </c>
      <c r="OL87">
        <v>61</v>
      </c>
      <c r="OM87" t="s">
        <v>4093</v>
      </c>
      <c r="ON87">
        <v>3</v>
      </c>
      <c r="OO87">
        <v>1913</v>
      </c>
      <c r="OP87">
        <v>61</v>
      </c>
      <c r="OQ87">
        <v>61</v>
      </c>
      <c r="OR87" t="s">
        <v>4094</v>
      </c>
      <c r="OS87">
        <v>3</v>
      </c>
      <c r="OT87">
        <v>1920</v>
      </c>
      <c r="OU87">
        <v>65</v>
      </c>
      <c r="OV87">
        <v>65</v>
      </c>
      <c r="OW87" t="s">
        <v>4043</v>
      </c>
      <c r="OX87">
        <v>2</v>
      </c>
      <c r="OY87">
        <v>37239</v>
      </c>
      <c r="OZ87">
        <v>51</v>
      </c>
      <c r="PA87">
        <v>52</v>
      </c>
      <c r="PB87" t="s">
        <v>4431</v>
      </c>
      <c r="PC87">
        <v>3</v>
      </c>
      <c r="PD87">
        <v>1949</v>
      </c>
      <c r="PF87">
        <v>311</v>
      </c>
      <c r="PG87">
        <v>29</v>
      </c>
      <c r="PH87">
        <v>292</v>
      </c>
      <c r="PI87">
        <v>29</v>
      </c>
      <c r="PJ87">
        <v>52.1</v>
      </c>
      <c r="PK87">
        <v>1564</v>
      </c>
      <c r="PL87">
        <v>1116.1</v>
      </c>
      <c r="PM87">
        <v>299.1</v>
      </c>
      <c r="PN87">
        <v>87.09999999999999</v>
      </c>
      <c r="PO87">
        <v>8.1</v>
      </c>
      <c r="PP87">
        <v>12</v>
      </c>
      <c r="PQ87">
        <v>1</v>
      </c>
      <c r="PR87">
        <v>1</v>
      </c>
      <c r="PS87">
        <v>7</v>
      </c>
      <c r="PT87">
        <v>210</v>
      </c>
      <c r="PU87">
        <v>9</v>
      </c>
      <c r="PV87" t="s">
        <v>4072</v>
      </c>
      <c r="PW87" t="s">
        <v>4072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-1</v>
      </c>
      <c r="QF87">
        <v>1</v>
      </c>
      <c r="QG87">
        <v>0</v>
      </c>
      <c r="QH87">
        <v>5</v>
      </c>
      <c r="QI87">
        <v>5</v>
      </c>
      <c r="QJ87">
        <v>5</v>
      </c>
      <c r="QK87">
        <v>174</v>
      </c>
      <c r="QL87">
        <v>400</v>
      </c>
      <c r="QM87">
        <v>7.5</v>
      </c>
      <c r="QN87">
        <v>1284.1</v>
      </c>
      <c r="QO87" t="s">
        <v>1477</v>
      </c>
      <c r="QP87" t="s">
        <v>513</v>
      </c>
      <c r="QQ87">
        <v>0</v>
      </c>
      <c r="QR87" t="s">
        <v>1496</v>
      </c>
      <c r="QS87">
        <v>30</v>
      </c>
      <c r="QT87">
        <v>40</v>
      </c>
    </row>
    <row r="88" spans="1:462">
      <c r="A88" t="s">
        <v>1690</v>
      </c>
      <c r="B88" t="s">
        <v>629</v>
      </c>
      <c r="C88" t="s">
        <v>509</v>
      </c>
      <c r="D88" t="s">
        <v>1903</v>
      </c>
      <c r="E88" t="s">
        <v>4036</v>
      </c>
      <c r="H88" t="s">
        <v>604</v>
      </c>
      <c r="I88" t="s">
        <v>605</v>
      </c>
      <c r="J88" t="s">
        <v>628</v>
      </c>
      <c r="K88" t="s">
        <v>606</v>
      </c>
      <c r="L88" t="s">
        <v>711</v>
      </c>
      <c r="M88" t="s">
        <v>512</v>
      </c>
      <c r="O88" t="s">
        <v>513</v>
      </c>
      <c r="P88" t="s">
        <v>567</v>
      </c>
      <c r="Q88" t="s">
        <v>976</v>
      </c>
      <c r="R88" t="s">
        <v>954</v>
      </c>
      <c r="S88" t="s">
        <v>4170</v>
      </c>
      <c r="T88" t="s">
        <v>633</v>
      </c>
      <c r="U88" t="s">
        <v>634</v>
      </c>
      <c r="V88" t="s">
        <v>715</v>
      </c>
      <c r="W88" t="s">
        <v>1460</v>
      </c>
      <c r="X88" t="s">
        <v>1691</v>
      </c>
      <c r="Y88" t="s">
        <v>1692</v>
      </c>
      <c r="Z88" t="s">
        <v>541</v>
      </c>
      <c r="AA88" t="s">
        <v>4038</v>
      </c>
      <c r="AB88" t="s">
        <v>4432</v>
      </c>
      <c r="AC88">
        <v>13</v>
      </c>
      <c r="AD88" t="s">
        <v>1689</v>
      </c>
      <c r="AE88">
        <v>4</v>
      </c>
      <c r="AF88">
        <v>5771</v>
      </c>
      <c r="AG88" t="s">
        <v>4152</v>
      </c>
      <c r="AH88">
        <v>1</v>
      </c>
      <c r="AI88" t="s">
        <v>4041</v>
      </c>
      <c r="AK88" t="s">
        <v>4153</v>
      </c>
      <c r="AL88">
        <v>1</v>
      </c>
      <c r="AM88" t="s">
        <v>582</v>
      </c>
      <c r="AO88" t="s">
        <v>4043</v>
      </c>
      <c r="AP88">
        <v>1</v>
      </c>
      <c r="AR88" t="s">
        <v>4433</v>
      </c>
      <c r="AS88">
        <v>1</v>
      </c>
      <c r="AT88">
        <v>52</v>
      </c>
      <c r="AV88" t="s">
        <v>4045</v>
      </c>
      <c r="AW88">
        <v>6.4</v>
      </c>
      <c r="AX88">
        <v>-6</v>
      </c>
      <c r="AY88">
        <v>98</v>
      </c>
      <c r="AZ88">
        <v>80</v>
      </c>
      <c r="BH88">
        <v>98</v>
      </c>
      <c r="BI88">
        <v>18</v>
      </c>
      <c r="BJ88">
        <v>80</v>
      </c>
      <c r="BK88">
        <v>3</v>
      </c>
      <c r="BL88">
        <v>196</v>
      </c>
      <c r="BM88">
        <v>-6</v>
      </c>
      <c r="BN88">
        <v>0</v>
      </c>
      <c r="BO88">
        <v>0</v>
      </c>
      <c r="BP88">
        <v>0</v>
      </c>
      <c r="BR88">
        <v>190</v>
      </c>
      <c r="BS88">
        <v>180</v>
      </c>
      <c r="BT88">
        <v>2055</v>
      </c>
      <c r="BU88" t="s">
        <v>4096</v>
      </c>
      <c r="BV88" t="s">
        <v>4096</v>
      </c>
      <c r="BW88" t="s">
        <v>4097</v>
      </c>
      <c r="BX88" t="s">
        <v>4097</v>
      </c>
      <c r="BY88" t="s">
        <v>4173</v>
      </c>
      <c r="BZ88" t="s">
        <v>4173</v>
      </c>
      <c r="CA88" t="s">
        <v>4108</v>
      </c>
      <c r="CB88" t="s">
        <v>4109</v>
      </c>
      <c r="CC88" t="s">
        <v>4053</v>
      </c>
      <c r="CD88" t="s">
        <v>4110</v>
      </c>
      <c r="CE88" t="s">
        <v>4055</v>
      </c>
      <c r="CF88" t="s">
        <v>4055</v>
      </c>
      <c r="CG88" t="s">
        <v>4056</v>
      </c>
      <c r="CI88" t="s">
        <v>4058</v>
      </c>
      <c r="CJ88" t="s">
        <v>4059</v>
      </c>
      <c r="CK88" t="s">
        <v>4060</v>
      </c>
      <c r="CL88" t="s">
        <v>4061</v>
      </c>
      <c r="CM88" t="s">
        <v>4062</v>
      </c>
      <c r="CN88" t="s">
        <v>4055</v>
      </c>
      <c r="CO88" t="s">
        <v>4063</v>
      </c>
      <c r="CP88" t="s">
        <v>4055</v>
      </c>
      <c r="CQ88" t="s">
        <v>4055</v>
      </c>
      <c r="CR88">
        <v>5</v>
      </c>
      <c r="CS88" t="s">
        <v>4055</v>
      </c>
      <c r="CT88" t="s">
        <v>4055</v>
      </c>
      <c r="CU88" t="s">
        <v>4055</v>
      </c>
      <c r="CV88">
        <v>124</v>
      </c>
      <c r="CW88">
        <v>3</v>
      </c>
      <c r="CX88">
        <v>74</v>
      </c>
      <c r="CY88">
        <v>5</v>
      </c>
      <c r="CZ88">
        <v>143</v>
      </c>
      <c r="DA88">
        <v>5</v>
      </c>
      <c r="DB88">
        <v>11480</v>
      </c>
      <c r="DC88">
        <v>340</v>
      </c>
      <c r="DD88">
        <v>333</v>
      </c>
      <c r="DE88">
        <v>2165</v>
      </c>
      <c r="DF88">
        <v>2165</v>
      </c>
      <c r="DG88">
        <v>2175</v>
      </c>
      <c r="DH88" t="s">
        <v>4055</v>
      </c>
      <c r="DI88" t="s">
        <v>4055</v>
      </c>
      <c r="DJ88" t="s">
        <v>4132</v>
      </c>
      <c r="DK88">
        <v>190</v>
      </c>
      <c r="DL88" t="s">
        <v>4065</v>
      </c>
      <c r="DM88">
        <v>65</v>
      </c>
      <c r="DN88">
        <v>1.1</v>
      </c>
      <c r="DO88">
        <v>1</v>
      </c>
      <c r="DP88">
        <v>2058</v>
      </c>
      <c r="DQ88">
        <v>846</v>
      </c>
      <c r="DR88" t="s">
        <v>4132</v>
      </c>
      <c r="DS88">
        <v>180</v>
      </c>
      <c r="DT88" t="s">
        <v>4065</v>
      </c>
      <c r="DU88">
        <v>65</v>
      </c>
      <c r="DV88">
        <v>1.1</v>
      </c>
      <c r="DW88">
        <v>1</v>
      </c>
      <c r="DX88">
        <v>2070</v>
      </c>
      <c r="DY88">
        <v>805</v>
      </c>
      <c r="DZ88" t="s">
        <v>4066</v>
      </c>
      <c r="EA88">
        <v>20</v>
      </c>
      <c r="EB88" t="s">
        <v>4065</v>
      </c>
      <c r="EC88">
        <v>0.8</v>
      </c>
      <c r="ED88">
        <v>2058</v>
      </c>
      <c r="EE88">
        <v>72</v>
      </c>
      <c r="EG88">
        <v>0</v>
      </c>
      <c r="EH88" t="s">
        <v>4065</v>
      </c>
      <c r="EI88">
        <v>0</v>
      </c>
      <c r="EL88" t="s">
        <v>1528</v>
      </c>
      <c r="EM88">
        <v>12</v>
      </c>
      <c r="EN88">
        <v>0.5</v>
      </c>
      <c r="EO88">
        <v>0.96</v>
      </c>
      <c r="EP88">
        <v>2068.83</v>
      </c>
      <c r="EQ88">
        <v>33618.49</v>
      </c>
      <c r="ER88">
        <v>5835.55</v>
      </c>
      <c r="ES88">
        <v>0</v>
      </c>
      <c r="ET88">
        <v>0</v>
      </c>
      <c r="EU88">
        <v>1</v>
      </c>
      <c r="EV88">
        <v>39455</v>
      </c>
      <c r="EW88">
        <v>474</v>
      </c>
      <c r="EX88" t="s">
        <v>4363</v>
      </c>
      <c r="EY88">
        <v>208</v>
      </c>
      <c r="EZ88" t="s">
        <v>4055</v>
      </c>
      <c r="FA88">
        <v>5.6</v>
      </c>
      <c r="FB88">
        <v>1</v>
      </c>
      <c r="FC88">
        <v>1</v>
      </c>
      <c r="FD88">
        <v>2098</v>
      </c>
      <c r="FE88">
        <v>2597</v>
      </c>
      <c r="FF88" t="s">
        <v>4089</v>
      </c>
      <c r="FG88">
        <v>208</v>
      </c>
      <c r="FH88" t="s">
        <v>4055</v>
      </c>
      <c r="FI88">
        <v>1.2</v>
      </c>
      <c r="FJ88">
        <v>2098</v>
      </c>
      <c r="FK88">
        <v>520</v>
      </c>
      <c r="FL88" t="s">
        <v>4069</v>
      </c>
      <c r="FM88" t="s">
        <v>4055</v>
      </c>
      <c r="FN88" t="s">
        <v>4055</v>
      </c>
      <c r="FO88" t="s">
        <v>4055</v>
      </c>
      <c r="FP88">
        <v>2098</v>
      </c>
      <c r="FQ88">
        <v>178</v>
      </c>
      <c r="FR88" t="s">
        <v>4090</v>
      </c>
      <c r="FS88">
        <v>212</v>
      </c>
      <c r="FT88" t="s">
        <v>4055</v>
      </c>
      <c r="FU88">
        <v>0.4</v>
      </c>
      <c r="FV88">
        <v>2098</v>
      </c>
      <c r="FW88">
        <v>198</v>
      </c>
      <c r="FX88" t="s">
        <v>4070</v>
      </c>
      <c r="FY88">
        <v>5</v>
      </c>
      <c r="FZ88" t="s">
        <v>4055</v>
      </c>
      <c r="GA88" t="s">
        <v>4055</v>
      </c>
      <c r="GB88">
        <v>2098</v>
      </c>
      <c r="GC88">
        <v>18</v>
      </c>
      <c r="GD88">
        <v>3511</v>
      </c>
      <c r="GE88" t="s">
        <v>4433</v>
      </c>
      <c r="GF88" t="s">
        <v>4055</v>
      </c>
      <c r="GG88" t="s">
        <v>4055</v>
      </c>
      <c r="GH88" t="s">
        <v>4055</v>
      </c>
      <c r="GI88" t="s">
        <v>4071</v>
      </c>
      <c r="GJ88" t="s">
        <v>4055</v>
      </c>
      <c r="GK88" t="s">
        <v>4055</v>
      </c>
      <c r="GL88" t="s">
        <v>4055</v>
      </c>
      <c r="GM88" t="s">
        <v>4055</v>
      </c>
      <c r="GQ88">
        <v>0</v>
      </c>
      <c r="GV88">
        <v>7.2</v>
      </c>
      <c r="GW88">
        <v>8</v>
      </c>
      <c r="GX88">
        <v>0.5</v>
      </c>
      <c r="GY88">
        <v>174</v>
      </c>
      <c r="GZ88">
        <v>3</v>
      </c>
      <c r="HA88">
        <v>234</v>
      </c>
      <c r="HB88">
        <v>3</v>
      </c>
      <c r="HC88">
        <v>2098</v>
      </c>
      <c r="HD88">
        <v>4</v>
      </c>
      <c r="HE88" t="s">
        <v>4071</v>
      </c>
      <c r="HG88" t="s">
        <v>549</v>
      </c>
      <c r="HL88">
        <v>4</v>
      </c>
      <c r="HM88">
        <v>17</v>
      </c>
      <c r="HN88">
        <v>6</v>
      </c>
      <c r="HO88">
        <v>1</v>
      </c>
      <c r="HP88">
        <v>0</v>
      </c>
      <c r="HQ88">
        <v>0</v>
      </c>
      <c r="HR88">
        <v>1</v>
      </c>
      <c r="HS88">
        <v>2055</v>
      </c>
      <c r="HT88">
        <v>5</v>
      </c>
      <c r="HU88">
        <v>1</v>
      </c>
      <c r="HV88">
        <v>3</v>
      </c>
      <c r="HW88">
        <v>0</v>
      </c>
      <c r="HX88">
        <v>1</v>
      </c>
      <c r="HY88">
        <v>0</v>
      </c>
      <c r="HZ88">
        <v>65</v>
      </c>
      <c r="IA88">
        <v>2058</v>
      </c>
      <c r="IB88">
        <v>2070</v>
      </c>
      <c r="ID88">
        <v>2098</v>
      </c>
      <c r="IE88">
        <v>2098</v>
      </c>
      <c r="IF88">
        <v>190</v>
      </c>
      <c r="IG88">
        <v>180</v>
      </c>
      <c r="IH88">
        <v>234</v>
      </c>
      <c r="II88">
        <v>1</v>
      </c>
      <c r="IJ88">
        <v>5</v>
      </c>
      <c r="IK88">
        <v>0</v>
      </c>
      <c r="IL88">
        <v>0</v>
      </c>
      <c r="IM88">
        <v>0</v>
      </c>
      <c r="IN88">
        <v>270</v>
      </c>
      <c r="IO88">
        <v>0</v>
      </c>
      <c r="IP88">
        <v>180</v>
      </c>
      <c r="IQ88">
        <v>0</v>
      </c>
      <c r="IR88">
        <v>330</v>
      </c>
      <c r="IS88">
        <v>0</v>
      </c>
      <c r="IT88">
        <v>90</v>
      </c>
      <c r="IU88">
        <v>0</v>
      </c>
      <c r="IV88">
        <v>6.4</v>
      </c>
      <c r="IW88">
        <v>-6</v>
      </c>
      <c r="IX88">
        <v>98</v>
      </c>
      <c r="IY88">
        <v>80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400</v>
      </c>
      <c r="JJ88">
        <v>370</v>
      </c>
      <c r="JK88">
        <v>270</v>
      </c>
      <c r="JL88">
        <v>368</v>
      </c>
      <c r="JM88">
        <v>280</v>
      </c>
      <c r="JN88">
        <v>190</v>
      </c>
      <c r="JO88">
        <v>240</v>
      </c>
      <c r="JP88">
        <v>210</v>
      </c>
      <c r="JQ88">
        <v>240</v>
      </c>
      <c r="JR88">
        <v>330</v>
      </c>
      <c r="JS88">
        <v>220</v>
      </c>
      <c r="JT88">
        <v>0</v>
      </c>
      <c r="JU88">
        <v>0</v>
      </c>
      <c r="JV88">
        <v>330</v>
      </c>
      <c r="JW88">
        <v>337</v>
      </c>
      <c r="JX88">
        <v>305</v>
      </c>
      <c r="JY88">
        <v>285</v>
      </c>
      <c r="JZ88">
        <v>3</v>
      </c>
      <c r="KA88">
        <v>0.2</v>
      </c>
      <c r="KB88">
        <v>0.4</v>
      </c>
      <c r="KC88">
        <v>0.42</v>
      </c>
      <c r="KD88">
        <v>0.28</v>
      </c>
      <c r="KE88">
        <v>0.5</v>
      </c>
      <c r="KF88">
        <v>0.2</v>
      </c>
      <c r="KG88">
        <v>0.1</v>
      </c>
      <c r="KH88">
        <v>3.5</v>
      </c>
      <c r="KI88">
        <v>1</v>
      </c>
      <c r="KJ88">
        <v>4.5</v>
      </c>
      <c r="KK88">
        <v>0.5</v>
      </c>
      <c r="KL88">
        <v>4.5</v>
      </c>
      <c r="KM88">
        <v>0.5</v>
      </c>
      <c r="KN88">
        <v>1.2</v>
      </c>
      <c r="KO88">
        <v>0</v>
      </c>
      <c r="KP88">
        <v>0</v>
      </c>
      <c r="KQ88">
        <v>0.8</v>
      </c>
      <c r="KR88">
        <v>0.7</v>
      </c>
      <c r="KS88">
        <v>0.2</v>
      </c>
      <c r="KT88">
        <v>2.8</v>
      </c>
      <c r="KU88">
        <v>0</v>
      </c>
      <c r="KV88">
        <v>0</v>
      </c>
      <c r="KW88">
        <v>1.4</v>
      </c>
      <c r="KX88">
        <v>2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3</v>
      </c>
      <c r="LI88">
        <v>3</v>
      </c>
      <c r="LJ88">
        <v>0</v>
      </c>
      <c r="LK88">
        <v>8</v>
      </c>
      <c r="LL88">
        <v>8</v>
      </c>
      <c r="LM88">
        <v>6</v>
      </c>
      <c r="LN88">
        <v>0.4</v>
      </c>
      <c r="LO88">
        <v>0.5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1.9</v>
      </c>
      <c r="LX88">
        <v>1.9</v>
      </c>
      <c r="LY88">
        <v>2.3</v>
      </c>
      <c r="LZ88">
        <v>2.3</v>
      </c>
      <c r="MA88">
        <v>0</v>
      </c>
      <c r="MB88">
        <v>3</v>
      </c>
      <c r="MC88">
        <v>0</v>
      </c>
      <c r="MD88">
        <v>4.5</v>
      </c>
      <c r="ME88">
        <v>6</v>
      </c>
      <c r="MF88">
        <v>6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420</v>
      </c>
      <c r="MN88">
        <v>185</v>
      </c>
      <c r="MO88">
        <v>240</v>
      </c>
      <c r="NU88">
        <v>0.15</v>
      </c>
      <c r="NV88">
        <v>0.2</v>
      </c>
      <c r="NW88">
        <v>0.2</v>
      </c>
      <c r="NX88">
        <v>0.2</v>
      </c>
      <c r="NY88">
        <v>0.2</v>
      </c>
      <c r="NZ88">
        <v>0.2</v>
      </c>
      <c r="OE88" t="s">
        <v>4433</v>
      </c>
      <c r="OF88" t="s">
        <v>4152</v>
      </c>
      <c r="OG88" t="s">
        <v>4153</v>
      </c>
      <c r="OH88" t="s">
        <v>4043</v>
      </c>
      <c r="OI88" t="s">
        <v>4433</v>
      </c>
      <c r="OJ88" t="s">
        <v>4432</v>
      </c>
      <c r="OK88">
        <v>61</v>
      </c>
      <c r="OL88">
        <v>61</v>
      </c>
      <c r="OM88" t="s">
        <v>4152</v>
      </c>
      <c r="ON88">
        <v>1</v>
      </c>
      <c r="OO88">
        <v>2058</v>
      </c>
      <c r="OP88">
        <v>61</v>
      </c>
      <c r="OQ88">
        <v>61</v>
      </c>
      <c r="OR88" t="s">
        <v>4153</v>
      </c>
      <c r="OS88">
        <v>1</v>
      </c>
      <c r="OT88">
        <v>2070</v>
      </c>
      <c r="OU88">
        <v>65</v>
      </c>
      <c r="OV88">
        <v>65</v>
      </c>
      <c r="OW88" t="s">
        <v>4043</v>
      </c>
      <c r="OX88">
        <v>2</v>
      </c>
      <c r="OY88">
        <v>39455</v>
      </c>
      <c r="OZ88">
        <v>51</v>
      </c>
      <c r="PA88">
        <v>52</v>
      </c>
      <c r="PB88" t="s">
        <v>4433</v>
      </c>
      <c r="PC88">
        <v>3</v>
      </c>
      <c r="PD88">
        <v>2098</v>
      </c>
      <c r="PF88">
        <v>411</v>
      </c>
      <c r="PG88">
        <v>35</v>
      </c>
      <c r="PH88">
        <v>389</v>
      </c>
      <c r="PI88">
        <v>0</v>
      </c>
      <c r="PJ88">
        <v>84.7</v>
      </c>
      <c r="PK88">
        <v>1688</v>
      </c>
      <c r="PL88">
        <v>1238</v>
      </c>
      <c r="PM88">
        <v>248</v>
      </c>
      <c r="PN88">
        <v>94.3</v>
      </c>
      <c r="PO88">
        <v>8.4</v>
      </c>
      <c r="PP88">
        <v>12</v>
      </c>
      <c r="PQ88">
        <v>3</v>
      </c>
      <c r="PR88">
        <v>3</v>
      </c>
      <c r="PS88">
        <v>0</v>
      </c>
      <c r="PT88">
        <v>234</v>
      </c>
      <c r="PU88">
        <v>13</v>
      </c>
      <c r="PV88" t="s">
        <v>4072</v>
      </c>
      <c r="PW88" t="s">
        <v>4072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-1</v>
      </c>
      <c r="QF88">
        <v>1</v>
      </c>
      <c r="QG88">
        <v>0</v>
      </c>
      <c r="QH88">
        <v>5</v>
      </c>
      <c r="QI88">
        <v>5</v>
      </c>
      <c r="QJ88">
        <v>5</v>
      </c>
      <c r="QK88">
        <v>195</v>
      </c>
      <c r="QL88">
        <v>434</v>
      </c>
      <c r="QM88">
        <v>7.5</v>
      </c>
      <c r="QN88">
        <v>1386.2</v>
      </c>
      <c r="QO88" t="s">
        <v>1477</v>
      </c>
      <c r="QP88" t="s">
        <v>513</v>
      </c>
      <c r="QQ88">
        <v>0</v>
      </c>
      <c r="QR88" t="s">
        <v>621</v>
      </c>
      <c r="QS88">
        <v>30</v>
      </c>
      <c r="QT88">
        <v>40</v>
      </c>
    </row>
    <row r="89" spans="1:462">
      <c r="A89" t="s">
        <v>1700</v>
      </c>
      <c r="B89" t="s">
        <v>629</v>
      </c>
      <c r="C89" t="s">
        <v>509</v>
      </c>
      <c r="D89" t="s">
        <v>1851</v>
      </c>
      <c r="E89" t="s">
        <v>4036</v>
      </c>
      <c r="H89" t="s">
        <v>627</v>
      </c>
      <c r="I89" t="s">
        <v>604</v>
      </c>
      <c r="J89" t="s">
        <v>628</v>
      </c>
      <c r="K89" t="s">
        <v>606</v>
      </c>
      <c r="L89" t="s">
        <v>711</v>
      </c>
      <c r="M89" t="s">
        <v>512</v>
      </c>
      <c r="O89" t="s">
        <v>513</v>
      </c>
      <c r="P89" t="s">
        <v>567</v>
      </c>
      <c r="Q89" t="s">
        <v>1211</v>
      </c>
      <c r="R89" t="s">
        <v>965</v>
      </c>
      <c r="S89" t="s">
        <v>4073</v>
      </c>
      <c r="T89" t="s">
        <v>662</v>
      </c>
      <c r="U89" t="s">
        <v>663</v>
      </c>
      <c r="V89" t="s">
        <v>1212</v>
      </c>
      <c r="W89" t="s">
        <v>1460</v>
      </c>
      <c r="X89" t="s">
        <v>1701</v>
      </c>
      <c r="Y89" t="s">
        <v>1702</v>
      </c>
      <c r="Z89" t="s">
        <v>650</v>
      </c>
      <c r="AA89" t="s">
        <v>4038</v>
      </c>
      <c r="AB89" t="s">
        <v>4434</v>
      </c>
      <c r="AC89">
        <v>10</v>
      </c>
      <c r="AD89" t="s">
        <v>1699</v>
      </c>
      <c r="AE89">
        <v>4</v>
      </c>
      <c r="AF89">
        <v>5369</v>
      </c>
      <c r="AG89" t="s">
        <v>4184</v>
      </c>
      <c r="AH89">
        <v>1</v>
      </c>
      <c r="AI89" t="s">
        <v>4041</v>
      </c>
      <c r="AK89" t="s">
        <v>4185</v>
      </c>
      <c r="AL89">
        <v>1</v>
      </c>
      <c r="AM89" t="s">
        <v>582</v>
      </c>
      <c r="AO89" t="s">
        <v>4043</v>
      </c>
      <c r="AP89">
        <v>1</v>
      </c>
      <c r="AR89" t="s">
        <v>4435</v>
      </c>
      <c r="AS89">
        <v>1</v>
      </c>
      <c r="AT89">
        <v>51</v>
      </c>
      <c r="AV89" t="s">
        <v>4078</v>
      </c>
      <c r="AW89">
        <v>6.4</v>
      </c>
      <c r="AX89">
        <v>-6</v>
      </c>
      <c r="AY89">
        <v>113.5</v>
      </c>
      <c r="AZ89">
        <v>84</v>
      </c>
      <c r="BB89" t="s">
        <v>4055</v>
      </c>
      <c r="BC89" t="s">
        <v>4055</v>
      </c>
      <c r="BH89">
        <v>113.5</v>
      </c>
      <c r="BI89">
        <v>29.5</v>
      </c>
      <c r="BJ89">
        <v>84</v>
      </c>
      <c r="BK89">
        <v>3.5</v>
      </c>
      <c r="BL89">
        <v>227</v>
      </c>
      <c r="BM89">
        <v>-6</v>
      </c>
      <c r="BN89">
        <v>0</v>
      </c>
      <c r="BP89">
        <v>0</v>
      </c>
      <c r="BR89">
        <v>220</v>
      </c>
      <c r="BS89">
        <v>210</v>
      </c>
      <c r="BT89">
        <v>2020</v>
      </c>
      <c r="BU89" t="s">
        <v>4096</v>
      </c>
      <c r="BV89" t="s">
        <v>4096</v>
      </c>
      <c r="BW89" t="s">
        <v>4097</v>
      </c>
      <c r="BX89" t="s">
        <v>4097</v>
      </c>
      <c r="BY89" t="s">
        <v>4117</v>
      </c>
      <c r="BZ89" t="s">
        <v>4117</v>
      </c>
      <c r="CA89" t="s">
        <v>4118</v>
      </c>
      <c r="CB89" t="s">
        <v>4119</v>
      </c>
      <c r="CC89" t="s">
        <v>4053</v>
      </c>
      <c r="CD89" t="s">
        <v>4121</v>
      </c>
      <c r="CE89" t="s">
        <v>4055</v>
      </c>
      <c r="CF89" t="s">
        <v>4055</v>
      </c>
      <c r="CG89" t="s">
        <v>4056</v>
      </c>
      <c r="CI89" t="s">
        <v>4058</v>
      </c>
      <c r="CJ89" t="s">
        <v>4059</v>
      </c>
      <c r="CK89" t="s">
        <v>4060</v>
      </c>
      <c r="CL89" t="s">
        <v>4061</v>
      </c>
      <c r="CM89" t="s">
        <v>4062</v>
      </c>
      <c r="CN89" t="s">
        <v>4055</v>
      </c>
      <c r="CO89" t="s">
        <v>4063</v>
      </c>
      <c r="CP89" t="s">
        <v>4055</v>
      </c>
      <c r="CQ89" t="s">
        <v>4055</v>
      </c>
      <c r="CR89">
        <v>5</v>
      </c>
      <c r="CS89" t="s">
        <v>4055</v>
      </c>
      <c r="CT89" t="s">
        <v>4055</v>
      </c>
      <c r="CU89" t="s">
        <v>4055</v>
      </c>
      <c r="CV89">
        <v>137</v>
      </c>
      <c r="CW89">
        <v>3</v>
      </c>
      <c r="CX89">
        <v>118</v>
      </c>
      <c r="CY89">
        <v>5</v>
      </c>
      <c r="CZ89">
        <v>148</v>
      </c>
      <c r="DA89">
        <v>5</v>
      </c>
      <c r="DB89">
        <v>12760</v>
      </c>
      <c r="DC89">
        <v>280</v>
      </c>
      <c r="DD89">
        <v>330</v>
      </c>
      <c r="DE89">
        <v>2137</v>
      </c>
      <c r="DF89">
        <v>2137</v>
      </c>
      <c r="DG89">
        <v>2147</v>
      </c>
      <c r="DH89" t="s">
        <v>4055</v>
      </c>
      <c r="DI89" t="s">
        <v>4055</v>
      </c>
      <c r="DJ89" t="s">
        <v>4064</v>
      </c>
      <c r="DK89">
        <v>220</v>
      </c>
      <c r="DL89" t="s">
        <v>4065</v>
      </c>
      <c r="DM89">
        <v>65</v>
      </c>
      <c r="DN89">
        <v>1.2</v>
      </c>
      <c r="DO89">
        <v>1</v>
      </c>
      <c r="DP89">
        <v>2024</v>
      </c>
      <c r="DQ89">
        <v>1022</v>
      </c>
      <c r="DR89" t="s">
        <v>4064</v>
      </c>
      <c r="DS89">
        <v>210</v>
      </c>
      <c r="DT89" t="s">
        <v>4065</v>
      </c>
      <c r="DU89">
        <v>65</v>
      </c>
      <c r="DV89">
        <v>1.2</v>
      </c>
      <c r="DW89">
        <v>1</v>
      </c>
      <c r="DX89">
        <v>2036</v>
      </c>
      <c r="DY89">
        <v>981</v>
      </c>
      <c r="DZ89" t="s">
        <v>4066</v>
      </c>
      <c r="EA89">
        <v>20</v>
      </c>
      <c r="EB89" t="s">
        <v>4065</v>
      </c>
      <c r="EC89">
        <v>0.8</v>
      </c>
      <c r="ED89">
        <v>2024</v>
      </c>
      <c r="EE89">
        <v>71</v>
      </c>
      <c r="EG89">
        <v>0</v>
      </c>
      <c r="EH89" t="s">
        <v>4065</v>
      </c>
      <c r="EI89">
        <v>0</v>
      </c>
      <c r="EL89" t="s">
        <v>1528</v>
      </c>
      <c r="EM89">
        <v>12</v>
      </c>
      <c r="EN89">
        <v>0.5</v>
      </c>
      <c r="EO89">
        <v>0.96</v>
      </c>
      <c r="EP89">
        <v>2035.08</v>
      </c>
      <c r="EQ89">
        <v>37998.76</v>
      </c>
      <c r="ER89">
        <v>9408.25</v>
      </c>
      <c r="ES89">
        <v>0</v>
      </c>
      <c r="ET89">
        <v>0</v>
      </c>
      <c r="EU89">
        <v>1</v>
      </c>
      <c r="EV89">
        <v>47408</v>
      </c>
      <c r="EW89">
        <v>569</v>
      </c>
      <c r="EX89" t="s">
        <v>4363</v>
      </c>
      <c r="EY89">
        <v>232</v>
      </c>
      <c r="EZ89" t="s">
        <v>4055</v>
      </c>
      <c r="FA89">
        <v>6.9</v>
      </c>
      <c r="FB89">
        <v>1</v>
      </c>
      <c r="FC89">
        <v>1</v>
      </c>
      <c r="FD89">
        <v>2068</v>
      </c>
      <c r="FE89">
        <v>3687</v>
      </c>
      <c r="FF89" t="s">
        <v>4089</v>
      </c>
      <c r="FG89">
        <v>232</v>
      </c>
      <c r="FH89" t="s">
        <v>4055</v>
      </c>
      <c r="FI89">
        <v>1.2</v>
      </c>
      <c r="FJ89">
        <v>2068</v>
      </c>
      <c r="FK89">
        <v>591</v>
      </c>
      <c r="FL89" t="s">
        <v>4069</v>
      </c>
      <c r="FM89" t="s">
        <v>4055</v>
      </c>
      <c r="FN89" t="s">
        <v>4055</v>
      </c>
      <c r="FO89" t="s">
        <v>4055</v>
      </c>
      <c r="FP89">
        <v>2068</v>
      </c>
      <c r="FQ89">
        <v>224</v>
      </c>
      <c r="FR89" t="s">
        <v>4090</v>
      </c>
      <c r="FS89">
        <v>236</v>
      </c>
      <c r="FT89" t="s">
        <v>4055</v>
      </c>
      <c r="FU89">
        <v>0.4</v>
      </c>
      <c r="FV89">
        <v>2068</v>
      </c>
      <c r="FW89">
        <v>217</v>
      </c>
      <c r="FX89" t="s">
        <v>4070</v>
      </c>
      <c r="FY89">
        <v>5</v>
      </c>
      <c r="FZ89" t="s">
        <v>4055</v>
      </c>
      <c r="GA89" t="s">
        <v>4055</v>
      </c>
      <c r="GB89">
        <v>2068</v>
      </c>
      <c r="GC89">
        <v>20</v>
      </c>
      <c r="GD89">
        <v>4739</v>
      </c>
      <c r="GE89" t="s">
        <v>4435</v>
      </c>
      <c r="GF89" t="s">
        <v>4055</v>
      </c>
      <c r="GG89" t="s">
        <v>4055</v>
      </c>
      <c r="GH89" t="s">
        <v>4055</v>
      </c>
      <c r="GI89" t="s">
        <v>4071</v>
      </c>
      <c r="GJ89" t="s">
        <v>4055</v>
      </c>
      <c r="GK89" t="s">
        <v>4055</v>
      </c>
      <c r="GL89" t="s">
        <v>4055</v>
      </c>
      <c r="GM89" t="s">
        <v>4055</v>
      </c>
      <c r="GQ89">
        <v>0</v>
      </c>
      <c r="GV89">
        <v>8.5</v>
      </c>
      <c r="GW89">
        <v>10.1</v>
      </c>
      <c r="GX89">
        <v>0.5</v>
      </c>
      <c r="GY89">
        <v>196</v>
      </c>
      <c r="GZ89">
        <v>3</v>
      </c>
      <c r="HA89">
        <v>258</v>
      </c>
      <c r="HB89">
        <v>3</v>
      </c>
      <c r="HC89">
        <v>2068</v>
      </c>
      <c r="HD89">
        <v>4</v>
      </c>
      <c r="HE89" t="s">
        <v>4071</v>
      </c>
      <c r="HG89" t="s">
        <v>549</v>
      </c>
      <c r="HL89">
        <v>4</v>
      </c>
      <c r="HM89">
        <v>18</v>
      </c>
      <c r="HN89">
        <v>1</v>
      </c>
      <c r="HO89">
        <v>1</v>
      </c>
      <c r="HP89">
        <v>0</v>
      </c>
      <c r="HQ89">
        <v>0</v>
      </c>
      <c r="HR89">
        <v>3</v>
      </c>
      <c r="HS89">
        <v>2020</v>
      </c>
      <c r="HT89">
        <v>5</v>
      </c>
      <c r="HU89">
        <v>1</v>
      </c>
      <c r="HV89">
        <v>3</v>
      </c>
      <c r="HW89">
        <v>0</v>
      </c>
      <c r="HX89">
        <v>1</v>
      </c>
      <c r="HY89">
        <v>0</v>
      </c>
      <c r="HZ89">
        <v>65</v>
      </c>
      <c r="IA89">
        <v>2024</v>
      </c>
      <c r="IB89">
        <v>2036</v>
      </c>
      <c r="ID89">
        <v>2068</v>
      </c>
      <c r="IE89">
        <v>2068</v>
      </c>
      <c r="IF89">
        <v>220</v>
      </c>
      <c r="IG89">
        <v>210</v>
      </c>
      <c r="IH89">
        <v>258</v>
      </c>
      <c r="II89">
        <v>1</v>
      </c>
      <c r="IJ89">
        <v>5</v>
      </c>
      <c r="IK89">
        <v>0</v>
      </c>
      <c r="IL89">
        <v>0</v>
      </c>
      <c r="IM89">
        <v>0</v>
      </c>
      <c r="IN89">
        <v>270</v>
      </c>
      <c r="IO89">
        <v>0</v>
      </c>
      <c r="IP89">
        <v>180</v>
      </c>
      <c r="IQ89">
        <v>0</v>
      </c>
      <c r="IR89">
        <v>330</v>
      </c>
      <c r="IS89">
        <v>0</v>
      </c>
      <c r="IT89">
        <v>90</v>
      </c>
      <c r="IU89">
        <v>0</v>
      </c>
      <c r="IV89">
        <v>6.4</v>
      </c>
      <c r="IW89">
        <v>-6</v>
      </c>
      <c r="IX89">
        <v>113.5</v>
      </c>
      <c r="IY89">
        <v>84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390</v>
      </c>
      <c r="JJ89">
        <v>360</v>
      </c>
      <c r="JK89">
        <v>265</v>
      </c>
      <c r="JL89">
        <v>358</v>
      </c>
      <c r="JM89">
        <v>262</v>
      </c>
      <c r="JN89">
        <v>220</v>
      </c>
      <c r="JO89">
        <v>270</v>
      </c>
      <c r="JP89">
        <v>228</v>
      </c>
      <c r="JQ89">
        <v>265</v>
      </c>
      <c r="JR89">
        <v>335</v>
      </c>
      <c r="JS89">
        <v>275</v>
      </c>
      <c r="JT89">
        <v>0</v>
      </c>
      <c r="JU89">
        <v>0</v>
      </c>
      <c r="JV89">
        <v>310</v>
      </c>
      <c r="JW89">
        <v>315</v>
      </c>
      <c r="JX89">
        <v>310</v>
      </c>
      <c r="JY89">
        <v>305</v>
      </c>
      <c r="JZ89">
        <v>1</v>
      </c>
      <c r="KA89">
        <v>0.25</v>
      </c>
      <c r="KB89">
        <v>0.4</v>
      </c>
      <c r="KC89">
        <v>0.42</v>
      </c>
      <c r="KD89">
        <v>0.28</v>
      </c>
      <c r="KE89">
        <v>0.5</v>
      </c>
      <c r="KF89">
        <v>0.2</v>
      </c>
      <c r="KG89">
        <v>0.1</v>
      </c>
      <c r="KH89">
        <v>3.5</v>
      </c>
      <c r="KI89">
        <v>1</v>
      </c>
      <c r="KJ89">
        <v>4.5</v>
      </c>
      <c r="KK89">
        <v>0.5</v>
      </c>
      <c r="KL89">
        <v>4.5</v>
      </c>
      <c r="KM89">
        <v>0.5</v>
      </c>
      <c r="KN89">
        <v>1.6</v>
      </c>
      <c r="KO89">
        <v>0</v>
      </c>
      <c r="KP89">
        <v>0</v>
      </c>
      <c r="KQ89">
        <v>1</v>
      </c>
      <c r="KR89">
        <v>0.8</v>
      </c>
      <c r="KS89">
        <v>0</v>
      </c>
      <c r="KT89">
        <v>3</v>
      </c>
      <c r="KU89">
        <v>0</v>
      </c>
      <c r="KV89">
        <v>0</v>
      </c>
      <c r="KW89">
        <v>0.8</v>
      </c>
      <c r="KX89">
        <v>2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2</v>
      </c>
      <c r="LI89">
        <v>1</v>
      </c>
      <c r="LJ89">
        <v>0</v>
      </c>
      <c r="LK89">
        <v>5</v>
      </c>
      <c r="LL89">
        <v>5</v>
      </c>
      <c r="LM89">
        <v>8</v>
      </c>
      <c r="LN89">
        <v>0.5</v>
      </c>
      <c r="LO89">
        <v>5</v>
      </c>
      <c r="LP89">
        <v>0</v>
      </c>
      <c r="LQ89">
        <v>0</v>
      </c>
      <c r="LR89">
        <v>0</v>
      </c>
      <c r="LS89">
        <v>1</v>
      </c>
      <c r="LT89">
        <v>0</v>
      </c>
      <c r="LU89">
        <v>0</v>
      </c>
      <c r="LV89">
        <v>0</v>
      </c>
      <c r="LW89">
        <v>1.7</v>
      </c>
      <c r="LX89">
        <v>1.7</v>
      </c>
      <c r="LY89">
        <v>2.1</v>
      </c>
      <c r="LZ89">
        <v>2.1</v>
      </c>
      <c r="MA89">
        <v>0</v>
      </c>
      <c r="MB89">
        <v>8</v>
      </c>
      <c r="MC89">
        <v>0</v>
      </c>
      <c r="MD89">
        <v>4.5</v>
      </c>
      <c r="ME89">
        <v>6</v>
      </c>
      <c r="MF89">
        <v>6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420</v>
      </c>
      <c r="MN89">
        <v>215</v>
      </c>
      <c r="MO89">
        <v>268</v>
      </c>
      <c r="NU89">
        <v>0.15</v>
      </c>
      <c r="NV89">
        <v>0.2</v>
      </c>
      <c r="NW89">
        <v>0.2</v>
      </c>
      <c r="NX89">
        <v>0.2</v>
      </c>
      <c r="NY89">
        <v>0.2</v>
      </c>
      <c r="NZ89">
        <v>0.2</v>
      </c>
      <c r="OE89" t="s">
        <v>4435</v>
      </c>
      <c r="OF89" t="s">
        <v>4184</v>
      </c>
      <c r="OG89" t="s">
        <v>4185</v>
      </c>
      <c r="OH89" t="s">
        <v>4043</v>
      </c>
      <c r="OI89" t="s">
        <v>4435</v>
      </c>
      <c r="OJ89" t="s">
        <v>4434</v>
      </c>
      <c r="OK89">
        <v>61</v>
      </c>
      <c r="OL89">
        <v>61</v>
      </c>
      <c r="OM89" t="s">
        <v>4184</v>
      </c>
      <c r="ON89">
        <v>1</v>
      </c>
      <c r="OO89">
        <v>2024</v>
      </c>
      <c r="OP89">
        <v>61</v>
      </c>
      <c r="OQ89">
        <v>61</v>
      </c>
      <c r="OR89" t="s">
        <v>4185</v>
      </c>
      <c r="OS89">
        <v>1</v>
      </c>
      <c r="OT89">
        <v>2036</v>
      </c>
      <c r="OU89">
        <v>65</v>
      </c>
      <c r="OV89">
        <v>65</v>
      </c>
      <c r="OW89" t="s">
        <v>4043</v>
      </c>
      <c r="OX89">
        <v>1</v>
      </c>
      <c r="OY89">
        <v>47408</v>
      </c>
      <c r="OZ89">
        <v>51</v>
      </c>
      <c r="PA89">
        <v>51</v>
      </c>
      <c r="PB89" t="s">
        <v>4435</v>
      </c>
      <c r="PC89">
        <v>3</v>
      </c>
      <c r="PD89">
        <v>2068</v>
      </c>
      <c r="PF89">
        <v>505</v>
      </c>
      <c r="PG89">
        <v>35</v>
      </c>
      <c r="PH89">
        <v>482</v>
      </c>
      <c r="PI89">
        <v>0</v>
      </c>
      <c r="PJ89">
        <v>108.3</v>
      </c>
      <c r="PK89">
        <v>2278</v>
      </c>
      <c r="PL89">
        <v>1782.8</v>
      </c>
      <c r="PM89">
        <v>285.7</v>
      </c>
      <c r="PN89">
        <v>105</v>
      </c>
      <c r="PO89">
        <v>9.9</v>
      </c>
      <c r="PP89">
        <v>12</v>
      </c>
      <c r="PQ89">
        <v>3</v>
      </c>
      <c r="PR89">
        <v>3</v>
      </c>
      <c r="PS89">
        <v>0</v>
      </c>
      <c r="PT89">
        <v>258</v>
      </c>
      <c r="PU89">
        <v>13</v>
      </c>
      <c r="PV89" t="s">
        <v>4072</v>
      </c>
      <c r="PW89" t="s">
        <v>4072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-1</v>
      </c>
      <c r="QF89">
        <v>1</v>
      </c>
      <c r="QG89">
        <v>0</v>
      </c>
      <c r="QH89">
        <v>5</v>
      </c>
      <c r="QI89">
        <v>5</v>
      </c>
      <c r="QJ89">
        <v>5</v>
      </c>
      <c r="QK89">
        <v>191</v>
      </c>
      <c r="QL89">
        <v>424</v>
      </c>
      <c r="QM89">
        <v>7.5</v>
      </c>
      <c r="QN89">
        <v>1464.3</v>
      </c>
      <c r="QO89" t="s">
        <v>1477</v>
      </c>
      <c r="QP89" t="s">
        <v>513</v>
      </c>
      <c r="QQ89">
        <v>0</v>
      </c>
      <c r="QR89" t="s">
        <v>677</v>
      </c>
      <c r="QS89">
        <v>30</v>
      </c>
      <c r="QT89">
        <v>40</v>
      </c>
    </row>
    <row r="90" spans="1:462">
      <c r="A90" t="s">
        <v>1709</v>
      </c>
      <c r="B90" t="s">
        <v>564</v>
      </c>
      <c r="C90" t="s">
        <v>509</v>
      </c>
      <c r="D90" t="s">
        <v>3427</v>
      </c>
      <c r="E90" t="s">
        <v>4036</v>
      </c>
      <c r="H90" t="s">
        <v>604</v>
      </c>
      <c r="I90" t="s">
        <v>605</v>
      </c>
      <c r="J90" t="s">
        <v>628</v>
      </c>
      <c r="K90" t="s">
        <v>606</v>
      </c>
      <c r="L90" t="s">
        <v>629</v>
      </c>
      <c r="M90" t="s">
        <v>512</v>
      </c>
      <c r="O90" t="s">
        <v>513</v>
      </c>
      <c r="P90" t="s">
        <v>567</v>
      </c>
      <c r="Q90" t="s">
        <v>774</v>
      </c>
      <c r="R90" t="s">
        <v>661</v>
      </c>
      <c r="S90" t="s">
        <v>4037</v>
      </c>
      <c r="T90" t="s">
        <v>686</v>
      </c>
      <c r="U90" t="s">
        <v>687</v>
      </c>
      <c r="V90" t="s">
        <v>1710</v>
      </c>
      <c r="W90" t="s">
        <v>1460</v>
      </c>
      <c r="X90" t="s">
        <v>1711</v>
      </c>
      <c r="Y90" t="s">
        <v>1712</v>
      </c>
      <c r="Z90" t="s">
        <v>541</v>
      </c>
      <c r="AA90" t="s">
        <v>4038</v>
      </c>
      <c r="AB90" t="s">
        <v>4436</v>
      </c>
      <c r="AC90">
        <v>9</v>
      </c>
      <c r="AD90" t="s">
        <v>1708</v>
      </c>
      <c r="AE90">
        <v>5</v>
      </c>
      <c r="AF90">
        <v>5463</v>
      </c>
      <c r="AG90" t="s">
        <v>4437</v>
      </c>
      <c r="AH90">
        <v>1</v>
      </c>
      <c r="AI90" t="s">
        <v>4041</v>
      </c>
      <c r="AK90" t="s">
        <v>4438</v>
      </c>
      <c r="AL90">
        <v>1</v>
      </c>
      <c r="AM90" t="s">
        <v>582</v>
      </c>
      <c r="AO90" t="s">
        <v>4043</v>
      </c>
      <c r="AP90">
        <v>1</v>
      </c>
      <c r="AR90" t="s">
        <v>4439</v>
      </c>
      <c r="AS90">
        <v>1</v>
      </c>
      <c r="AT90">
        <v>51</v>
      </c>
      <c r="AV90" t="s">
        <v>4045</v>
      </c>
      <c r="AW90">
        <v>6.4</v>
      </c>
      <c r="AX90">
        <v>-6</v>
      </c>
      <c r="AY90">
        <v>100</v>
      </c>
      <c r="AZ90">
        <v>88</v>
      </c>
      <c r="BH90">
        <v>100</v>
      </c>
      <c r="BI90">
        <v>12</v>
      </c>
      <c r="BJ90">
        <v>88</v>
      </c>
      <c r="BK90">
        <v>2.5</v>
      </c>
      <c r="BL90">
        <v>200</v>
      </c>
      <c r="BM90">
        <v>-6</v>
      </c>
      <c r="BN90">
        <v>0</v>
      </c>
      <c r="BP90">
        <v>0</v>
      </c>
      <c r="BR90">
        <v>195</v>
      </c>
      <c r="BS90">
        <v>185</v>
      </c>
      <c r="BT90">
        <v>2140</v>
      </c>
      <c r="BU90" t="s">
        <v>4127</v>
      </c>
      <c r="BV90" t="s">
        <v>4127</v>
      </c>
      <c r="BW90" t="s">
        <v>4128</v>
      </c>
      <c r="BX90" t="s">
        <v>4128</v>
      </c>
      <c r="BY90" t="s">
        <v>4160</v>
      </c>
      <c r="BZ90" t="s">
        <v>4160</v>
      </c>
      <c r="CA90" t="s">
        <v>4130</v>
      </c>
      <c r="CB90" t="s">
        <v>4131</v>
      </c>
      <c r="CC90" t="s">
        <v>4053</v>
      </c>
      <c r="CD90" t="s">
        <v>4055</v>
      </c>
      <c r="CE90" t="s">
        <v>4055</v>
      </c>
      <c r="CF90" t="s">
        <v>4055</v>
      </c>
      <c r="CG90" t="s">
        <v>4056</v>
      </c>
      <c r="CI90" t="s">
        <v>4086</v>
      </c>
      <c r="CJ90" t="s">
        <v>4059</v>
      </c>
      <c r="CK90" t="s">
        <v>4060</v>
      </c>
      <c r="CL90" t="s">
        <v>4061</v>
      </c>
      <c r="CM90" t="s">
        <v>4055</v>
      </c>
      <c r="CN90" t="s">
        <v>4062</v>
      </c>
      <c r="CO90" t="s">
        <v>4063</v>
      </c>
      <c r="CP90" t="s">
        <v>4055</v>
      </c>
      <c r="CQ90" t="s">
        <v>4055</v>
      </c>
      <c r="CR90">
        <v>5</v>
      </c>
      <c r="CS90" t="s">
        <v>4055</v>
      </c>
      <c r="CT90">
        <v>15</v>
      </c>
      <c r="CU90" t="s">
        <v>4055</v>
      </c>
      <c r="CV90">
        <v>126</v>
      </c>
      <c r="CW90">
        <v>3</v>
      </c>
      <c r="CX90">
        <v>81</v>
      </c>
      <c r="CY90">
        <v>5</v>
      </c>
      <c r="CZ90">
        <v>72</v>
      </c>
      <c r="DA90">
        <v>5</v>
      </c>
      <c r="DB90">
        <v>11500</v>
      </c>
      <c r="DC90">
        <v>350</v>
      </c>
      <c r="DD90">
        <v>330</v>
      </c>
      <c r="DE90">
        <v>2250</v>
      </c>
      <c r="DF90">
        <v>2250</v>
      </c>
      <c r="DG90">
        <v>2266</v>
      </c>
      <c r="DH90">
        <v>0</v>
      </c>
      <c r="DI90" t="s">
        <v>4055</v>
      </c>
      <c r="DJ90" t="s">
        <v>4064</v>
      </c>
      <c r="DK90">
        <v>195</v>
      </c>
      <c r="DL90" t="s">
        <v>4065</v>
      </c>
      <c r="DM90">
        <v>65</v>
      </c>
      <c r="DN90">
        <v>1.2</v>
      </c>
      <c r="DO90">
        <v>1</v>
      </c>
      <c r="DP90">
        <v>2144</v>
      </c>
      <c r="DQ90">
        <v>961</v>
      </c>
      <c r="DR90" t="s">
        <v>4064</v>
      </c>
      <c r="DS90">
        <v>185</v>
      </c>
      <c r="DT90" t="s">
        <v>4065</v>
      </c>
      <c r="DU90">
        <v>65</v>
      </c>
      <c r="DV90">
        <v>1.2</v>
      </c>
      <c r="DW90">
        <v>1</v>
      </c>
      <c r="DX90">
        <v>2156</v>
      </c>
      <c r="DY90">
        <v>916</v>
      </c>
      <c r="DZ90" t="s">
        <v>4066</v>
      </c>
      <c r="EA90">
        <v>20</v>
      </c>
      <c r="EB90" t="s">
        <v>4065</v>
      </c>
      <c r="EC90">
        <v>0.8</v>
      </c>
      <c r="ED90">
        <v>2144</v>
      </c>
      <c r="EE90">
        <v>75</v>
      </c>
      <c r="EG90">
        <v>0</v>
      </c>
      <c r="EH90" t="s">
        <v>4065</v>
      </c>
      <c r="EI90">
        <v>0</v>
      </c>
      <c r="EL90" t="s">
        <v>1528</v>
      </c>
      <c r="EM90">
        <v>12</v>
      </c>
      <c r="EN90">
        <v>0.5</v>
      </c>
      <c r="EO90">
        <v>0.96</v>
      </c>
      <c r="EP90">
        <v>2155.08</v>
      </c>
      <c r="EQ90">
        <v>35693.51</v>
      </c>
      <c r="ER90">
        <v>4052.08</v>
      </c>
      <c r="ES90">
        <v>0</v>
      </c>
      <c r="ET90">
        <v>0</v>
      </c>
      <c r="EU90">
        <v>1</v>
      </c>
      <c r="EV90">
        <v>39746</v>
      </c>
      <c r="EW90">
        <v>477</v>
      </c>
      <c r="EX90" t="s">
        <v>4363</v>
      </c>
      <c r="EY90">
        <v>216</v>
      </c>
      <c r="EZ90" t="s">
        <v>4055</v>
      </c>
      <c r="FA90">
        <v>5</v>
      </c>
      <c r="FB90">
        <v>1</v>
      </c>
      <c r="FC90">
        <v>1</v>
      </c>
      <c r="FD90">
        <v>2184</v>
      </c>
      <c r="FE90">
        <v>2452</v>
      </c>
      <c r="FF90" t="s">
        <v>4089</v>
      </c>
      <c r="FG90">
        <v>216</v>
      </c>
      <c r="FH90" t="s">
        <v>4055</v>
      </c>
      <c r="FI90">
        <v>1.6</v>
      </c>
      <c r="FJ90">
        <v>2184</v>
      </c>
      <c r="FK90">
        <v>748</v>
      </c>
      <c r="FL90" t="s">
        <v>4069</v>
      </c>
      <c r="FM90" t="s">
        <v>4055</v>
      </c>
      <c r="FN90" t="s">
        <v>4055</v>
      </c>
      <c r="FO90" t="s">
        <v>4055</v>
      </c>
      <c r="FP90">
        <v>2184</v>
      </c>
      <c r="FQ90">
        <v>175</v>
      </c>
      <c r="FR90" t="s">
        <v>4090</v>
      </c>
      <c r="FS90">
        <v>220</v>
      </c>
      <c r="FT90" t="s">
        <v>4055</v>
      </c>
      <c r="FU90">
        <v>0.4</v>
      </c>
      <c r="FV90">
        <v>2184</v>
      </c>
      <c r="FW90">
        <v>214</v>
      </c>
      <c r="FX90" t="s">
        <v>4070</v>
      </c>
      <c r="FY90">
        <v>5</v>
      </c>
      <c r="FZ90" t="s">
        <v>4055</v>
      </c>
      <c r="GA90" t="s">
        <v>4055</v>
      </c>
      <c r="GB90">
        <v>2184</v>
      </c>
      <c r="GC90">
        <v>18</v>
      </c>
      <c r="GD90">
        <v>3607</v>
      </c>
      <c r="GE90" t="s">
        <v>4439</v>
      </c>
      <c r="GF90" t="s">
        <v>4055</v>
      </c>
      <c r="GG90" t="s">
        <v>4055</v>
      </c>
      <c r="GH90" t="s">
        <v>4055</v>
      </c>
      <c r="GI90" t="s">
        <v>4071</v>
      </c>
      <c r="GJ90" t="s">
        <v>4055</v>
      </c>
      <c r="GK90" t="s">
        <v>4055</v>
      </c>
      <c r="GL90" t="s">
        <v>4055</v>
      </c>
      <c r="GM90" t="s">
        <v>4055</v>
      </c>
      <c r="GQ90">
        <v>0</v>
      </c>
      <c r="GV90">
        <v>7</v>
      </c>
      <c r="GW90">
        <v>8.5</v>
      </c>
      <c r="GX90">
        <v>0.5</v>
      </c>
      <c r="GY90">
        <v>180</v>
      </c>
      <c r="GZ90">
        <v>3</v>
      </c>
      <c r="HA90">
        <v>238</v>
      </c>
      <c r="HB90">
        <v>3</v>
      </c>
      <c r="HC90">
        <v>2184</v>
      </c>
      <c r="HD90">
        <v>4</v>
      </c>
      <c r="HE90" t="s">
        <v>4071</v>
      </c>
      <c r="HG90" t="s">
        <v>549</v>
      </c>
      <c r="HL90">
        <v>4</v>
      </c>
      <c r="HM90">
        <v>19</v>
      </c>
      <c r="HN90">
        <v>6</v>
      </c>
      <c r="HO90">
        <v>1</v>
      </c>
      <c r="HP90">
        <v>0</v>
      </c>
      <c r="HQ90">
        <v>2</v>
      </c>
      <c r="HR90">
        <v>3</v>
      </c>
      <c r="HS90">
        <v>2140</v>
      </c>
      <c r="HT90">
        <v>5</v>
      </c>
      <c r="HU90">
        <v>1</v>
      </c>
      <c r="HV90">
        <v>3</v>
      </c>
      <c r="HW90">
        <v>0</v>
      </c>
      <c r="HX90">
        <v>1</v>
      </c>
      <c r="HY90">
        <v>0</v>
      </c>
      <c r="HZ90">
        <v>65</v>
      </c>
      <c r="IA90">
        <v>2144</v>
      </c>
      <c r="IB90">
        <v>2156</v>
      </c>
      <c r="ID90">
        <v>2184</v>
      </c>
      <c r="IE90">
        <v>2184</v>
      </c>
      <c r="IF90">
        <v>195</v>
      </c>
      <c r="IG90">
        <v>185</v>
      </c>
      <c r="IH90">
        <v>238</v>
      </c>
      <c r="II90">
        <v>1</v>
      </c>
      <c r="IJ90">
        <v>5</v>
      </c>
      <c r="IK90">
        <v>0</v>
      </c>
      <c r="IL90">
        <v>0</v>
      </c>
      <c r="IM90">
        <v>0</v>
      </c>
      <c r="IN90">
        <v>270</v>
      </c>
      <c r="IO90">
        <v>0</v>
      </c>
      <c r="IP90">
        <v>180</v>
      </c>
      <c r="IQ90">
        <v>0</v>
      </c>
      <c r="IR90">
        <v>330</v>
      </c>
      <c r="IS90">
        <v>0</v>
      </c>
      <c r="IT90">
        <v>90</v>
      </c>
      <c r="IU90">
        <v>0</v>
      </c>
      <c r="IV90">
        <v>6.4</v>
      </c>
      <c r="IW90">
        <v>-6</v>
      </c>
      <c r="IX90">
        <v>100</v>
      </c>
      <c r="IY90">
        <v>88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386</v>
      </c>
      <c r="JJ90">
        <v>356</v>
      </c>
      <c r="JK90">
        <v>264</v>
      </c>
      <c r="JL90">
        <v>352</v>
      </c>
      <c r="JM90">
        <v>278</v>
      </c>
      <c r="JN90">
        <v>195</v>
      </c>
      <c r="JO90">
        <v>248</v>
      </c>
      <c r="JP90">
        <v>210</v>
      </c>
      <c r="JQ90">
        <v>260</v>
      </c>
      <c r="JR90">
        <v>310</v>
      </c>
      <c r="JS90">
        <v>230</v>
      </c>
      <c r="JT90">
        <v>0</v>
      </c>
      <c r="JU90">
        <v>0</v>
      </c>
      <c r="JV90">
        <v>305</v>
      </c>
      <c r="JW90">
        <v>337</v>
      </c>
      <c r="JX90">
        <v>300</v>
      </c>
      <c r="JY90">
        <v>0</v>
      </c>
      <c r="JZ90">
        <v>1</v>
      </c>
      <c r="KA90">
        <v>0.2</v>
      </c>
      <c r="KB90">
        <v>0.4</v>
      </c>
      <c r="KC90">
        <v>0.42</v>
      </c>
      <c r="KD90">
        <v>0.28</v>
      </c>
      <c r="KE90">
        <v>0.8</v>
      </c>
      <c r="KF90">
        <v>0.18</v>
      </c>
      <c r="KG90">
        <v>0.11</v>
      </c>
      <c r="KH90">
        <v>3.5</v>
      </c>
      <c r="KI90">
        <v>1</v>
      </c>
      <c r="KJ90">
        <v>4.5</v>
      </c>
      <c r="KK90">
        <v>0</v>
      </c>
      <c r="KL90">
        <v>4.5</v>
      </c>
      <c r="KM90">
        <v>0</v>
      </c>
      <c r="KN90">
        <v>2.2</v>
      </c>
      <c r="KO90">
        <v>0</v>
      </c>
      <c r="KP90">
        <v>0</v>
      </c>
      <c r="KQ90">
        <v>0.7</v>
      </c>
      <c r="KR90">
        <v>0.9</v>
      </c>
      <c r="KS90">
        <v>0</v>
      </c>
      <c r="KT90">
        <v>2.4</v>
      </c>
      <c r="KU90">
        <v>0</v>
      </c>
      <c r="KV90">
        <v>0</v>
      </c>
      <c r="KW90">
        <v>0.7</v>
      </c>
      <c r="KX90">
        <v>1.5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3</v>
      </c>
      <c r="LI90">
        <v>1.5</v>
      </c>
      <c r="LJ90">
        <v>0</v>
      </c>
      <c r="LK90">
        <v>9</v>
      </c>
      <c r="LL90">
        <v>5</v>
      </c>
      <c r="LM90">
        <v>8</v>
      </c>
      <c r="LN90">
        <v>3</v>
      </c>
      <c r="LO90">
        <v>0.2</v>
      </c>
      <c r="LP90">
        <v>0</v>
      </c>
      <c r="LQ90">
        <v>0</v>
      </c>
      <c r="LR90">
        <v>0</v>
      </c>
      <c r="LS90">
        <v>1</v>
      </c>
      <c r="LT90">
        <v>0</v>
      </c>
      <c r="LU90">
        <v>0</v>
      </c>
      <c r="LV90">
        <v>0</v>
      </c>
      <c r="LW90">
        <v>2.8</v>
      </c>
      <c r="LX90">
        <v>2.8</v>
      </c>
      <c r="LY90">
        <v>2.8</v>
      </c>
      <c r="LZ90">
        <v>2.8</v>
      </c>
      <c r="MA90">
        <v>0</v>
      </c>
      <c r="MB90">
        <v>2</v>
      </c>
      <c r="MC90">
        <v>0</v>
      </c>
      <c r="MD90">
        <v>4.5</v>
      </c>
      <c r="ME90">
        <v>6</v>
      </c>
      <c r="MF90">
        <v>6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390</v>
      </c>
      <c r="MN90">
        <v>190</v>
      </c>
      <c r="MO90">
        <v>248</v>
      </c>
      <c r="NU90">
        <v>0.15</v>
      </c>
      <c r="NV90">
        <v>0.2</v>
      </c>
      <c r="NW90">
        <v>0.2</v>
      </c>
      <c r="NX90">
        <v>2</v>
      </c>
      <c r="NY90">
        <v>2</v>
      </c>
      <c r="NZ90">
        <v>2</v>
      </c>
      <c r="OE90" t="s">
        <v>4439</v>
      </c>
      <c r="OF90" t="s">
        <v>4437</v>
      </c>
      <c r="OG90" t="s">
        <v>4438</v>
      </c>
      <c r="OH90" t="s">
        <v>4043</v>
      </c>
      <c r="OI90" t="s">
        <v>4439</v>
      </c>
      <c r="OJ90" t="s">
        <v>4436</v>
      </c>
      <c r="OK90">
        <v>61</v>
      </c>
      <c r="OL90">
        <v>61</v>
      </c>
      <c r="OM90" t="s">
        <v>4437</v>
      </c>
      <c r="ON90">
        <v>1</v>
      </c>
      <c r="OO90">
        <v>2144</v>
      </c>
      <c r="OP90">
        <v>61</v>
      </c>
      <c r="OQ90">
        <v>61</v>
      </c>
      <c r="OR90" t="s">
        <v>4438</v>
      </c>
      <c r="OS90">
        <v>1</v>
      </c>
      <c r="OT90">
        <v>2156</v>
      </c>
      <c r="OU90">
        <v>65</v>
      </c>
      <c r="OV90">
        <v>65</v>
      </c>
      <c r="OW90" t="s">
        <v>4043</v>
      </c>
      <c r="OX90">
        <v>1</v>
      </c>
      <c r="OY90">
        <v>39746</v>
      </c>
      <c r="OZ90">
        <v>51</v>
      </c>
      <c r="PA90">
        <v>51</v>
      </c>
      <c r="PB90" t="s">
        <v>4439</v>
      </c>
      <c r="PC90">
        <v>3</v>
      </c>
      <c r="PD90">
        <v>2184</v>
      </c>
      <c r="PF90">
        <v>448</v>
      </c>
      <c r="PG90">
        <v>35</v>
      </c>
      <c r="PH90">
        <v>425</v>
      </c>
      <c r="PI90">
        <v>0</v>
      </c>
      <c r="PJ90">
        <v>80.3</v>
      </c>
      <c r="PK90">
        <v>1628</v>
      </c>
      <c r="PL90">
        <v>1122.9</v>
      </c>
      <c r="PM90">
        <v>342.6</v>
      </c>
      <c r="PN90">
        <v>97.8</v>
      </c>
      <c r="PO90">
        <v>8.1</v>
      </c>
      <c r="PP90">
        <v>12</v>
      </c>
      <c r="PQ90">
        <v>5</v>
      </c>
      <c r="PR90">
        <v>5</v>
      </c>
      <c r="PS90">
        <v>0</v>
      </c>
      <c r="PT90">
        <v>238</v>
      </c>
      <c r="PU90">
        <v>11</v>
      </c>
      <c r="PV90" t="s">
        <v>4072</v>
      </c>
      <c r="PW90" t="s">
        <v>4072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-1</v>
      </c>
      <c r="QF90">
        <v>1</v>
      </c>
      <c r="QG90">
        <v>0</v>
      </c>
      <c r="QH90">
        <v>5</v>
      </c>
      <c r="QI90">
        <v>5</v>
      </c>
      <c r="QJ90">
        <v>5</v>
      </c>
      <c r="QK90">
        <v>206</v>
      </c>
      <c r="QL90">
        <v>416</v>
      </c>
      <c r="QM90">
        <v>7.5</v>
      </c>
      <c r="QN90">
        <v>1540.9</v>
      </c>
      <c r="QO90" t="s">
        <v>1477</v>
      </c>
      <c r="QP90" t="s">
        <v>513</v>
      </c>
      <c r="QQ90">
        <v>0</v>
      </c>
      <c r="QR90" t="s">
        <v>1343</v>
      </c>
      <c r="QS90">
        <v>40</v>
      </c>
      <c r="QT90">
        <v>50</v>
      </c>
    </row>
    <row r="91" spans="1:462">
      <c r="A91" t="s">
        <v>1717</v>
      </c>
      <c r="B91" t="s">
        <v>559</v>
      </c>
      <c r="C91" t="s">
        <v>509</v>
      </c>
      <c r="D91" t="s">
        <v>1307</v>
      </c>
      <c r="E91" t="s">
        <v>4036</v>
      </c>
      <c r="H91" t="s">
        <v>604</v>
      </c>
      <c r="I91" t="s">
        <v>605</v>
      </c>
      <c r="J91" t="s">
        <v>628</v>
      </c>
      <c r="K91" t="s">
        <v>606</v>
      </c>
      <c r="L91" t="s">
        <v>564</v>
      </c>
      <c r="M91" t="s">
        <v>512</v>
      </c>
      <c r="O91" t="s">
        <v>513</v>
      </c>
      <c r="P91" t="s">
        <v>567</v>
      </c>
      <c r="Q91" t="s">
        <v>1718</v>
      </c>
      <c r="R91" t="s">
        <v>610</v>
      </c>
      <c r="S91" t="s">
        <v>4091</v>
      </c>
      <c r="T91" t="s">
        <v>1482</v>
      </c>
      <c r="U91" t="s">
        <v>1483</v>
      </c>
      <c r="V91" t="s">
        <v>1719</v>
      </c>
      <c r="W91" t="s">
        <v>1460</v>
      </c>
      <c r="X91" t="s">
        <v>1720</v>
      </c>
      <c r="Y91" t="s">
        <v>1721</v>
      </c>
      <c r="Z91" t="s">
        <v>541</v>
      </c>
      <c r="AA91" t="s">
        <v>3054</v>
      </c>
      <c r="AB91" t="s">
        <v>4440</v>
      </c>
      <c r="AC91">
        <v>13</v>
      </c>
      <c r="AD91" t="s">
        <v>1716</v>
      </c>
      <c r="AE91">
        <v>6</v>
      </c>
      <c r="AF91">
        <v>4153</v>
      </c>
      <c r="AG91" t="s">
        <v>4441</v>
      </c>
      <c r="AH91">
        <v>1</v>
      </c>
      <c r="AI91" t="s">
        <v>4041</v>
      </c>
      <c r="AK91" t="s">
        <v>4442</v>
      </c>
      <c r="AL91">
        <v>1</v>
      </c>
      <c r="AM91" t="s">
        <v>582</v>
      </c>
      <c r="AO91" t="s">
        <v>4353</v>
      </c>
      <c r="AP91">
        <v>1</v>
      </c>
      <c r="AR91" t="s">
        <v>4443</v>
      </c>
      <c r="AS91">
        <v>1</v>
      </c>
      <c r="AT91">
        <v>52</v>
      </c>
      <c r="AV91" t="s">
        <v>4078</v>
      </c>
      <c r="AW91">
        <v>6.4</v>
      </c>
      <c r="AX91">
        <v>-6</v>
      </c>
      <c r="AY91">
        <v>86</v>
      </c>
      <c r="AZ91">
        <v>59</v>
      </c>
      <c r="BH91">
        <v>86</v>
      </c>
      <c r="BI91">
        <v>27</v>
      </c>
      <c r="BJ91">
        <v>59</v>
      </c>
      <c r="BK91">
        <v>3.5</v>
      </c>
      <c r="BL91">
        <v>172</v>
      </c>
      <c r="BM91">
        <v>-6</v>
      </c>
      <c r="BN91">
        <v>0</v>
      </c>
      <c r="BO91">
        <v>0</v>
      </c>
      <c r="BP91">
        <v>0</v>
      </c>
      <c r="BR91">
        <v>165</v>
      </c>
      <c r="BS91">
        <v>155</v>
      </c>
      <c r="BT91">
        <v>1890</v>
      </c>
      <c r="BU91" t="s">
        <v>4047</v>
      </c>
      <c r="BV91" t="s">
        <v>4047</v>
      </c>
      <c r="BW91" t="s">
        <v>4049</v>
      </c>
      <c r="BX91" t="s">
        <v>4049</v>
      </c>
      <c r="BY91" t="s">
        <v>4428</v>
      </c>
      <c r="BZ91" t="s">
        <v>4428</v>
      </c>
      <c r="CA91" t="s">
        <v>4370</v>
      </c>
      <c r="CB91" t="s">
        <v>4371</v>
      </c>
      <c r="CC91" t="s">
        <v>4053</v>
      </c>
      <c r="CD91" t="s">
        <v>4372</v>
      </c>
      <c r="CE91" t="s">
        <v>4055</v>
      </c>
      <c r="CF91" t="s">
        <v>4055</v>
      </c>
      <c r="CG91" t="s">
        <v>4056</v>
      </c>
      <c r="CH91" t="s">
        <v>4057</v>
      </c>
      <c r="CI91" t="s">
        <v>4058</v>
      </c>
      <c r="CJ91" t="s">
        <v>4059</v>
      </c>
      <c r="CK91" t="s">
        <v>4060</v>
      </c>
      <c r="CL91" t="s">
        <v>4061</v>
      </c>
      <c r="CM91" t="s">
        <v>4062</v>
      </c>
      <c r="CN91" t="s">
        <v>4055</v>
      </c>
      <c r="CO91" t="s">
        <v>4063</v>
      </c>
      <c r="CP91" t="s">
        <v>4055</v>
      </c>
      <c r="CQ91" t="s">
        <v>4055</v>
      </c>
      <c r="CR91">
        <v>5</v>
      </c>
      <c r="CS91" t="s">
        <v>4055</v>
      </c>
      <c r="CT91" t="s">
        <v>4055</v>
      </c>
      <c r="CU91" t="s">
        <v>4055</v>
      </c>
      <c r="CV91">
        <v>108</v>
      </c>
      <c r="CW91">
        <v>3</v>
      </c>
      <c r="CX91">
        <v>62</v>
      </c>
      <c r="CY91">
        <v>5</v>
      </c>
      <c r="CZ91">
        <v>56</v>
      </c>
      <c r="DA91">
        <v>5</v>
      </c>
      <c r="DB91">
        <v>8740</v>
      </c>
      <c r="DC91">
        <v>260</v>
      </c>
      <c r="DD91">
        <v>308</v>
      </c>
      <c r="DE91">
        <v>1980</v>
      </c>
      <c r="DF91">
        <v>1980</v>
      </c>
      <c r="DG91">
        <v>2002</v>
      </c>
      <c r="DH91" t="s">
        <v>4055</v>
      </c>
      <c r="DI91" t="s">
        <v>4055</v>
      </c>
      <c r="DJ91" t="s">
        <v>4100</v>
      </c>
      <c r="DK91">
        <v>165</v>
      </c>
      <c r="DL91" t="s">
        <v>4101</v>
      </c>
      <c r="DM91">
        <v>65</v>
      </c>
      <c r="DN91">
        <v>0.84</v>
      </c>
      <c r="DO91">
        <v>1</v>
      </c>
      <c r="DP91">
        <v>1893</v>
      </c>
      <c r="DQ91">
        <v>572</v>
      </c>
      <c r="DR91" t="s">
        <v>4100</v>
      </c>
      <c r="DS91">
        <v>155</v>
      </c>
      <c r="DT91" t="s">
        <v>4101</v>
      </c>
      <c r="DU91">
        <v>65</v>
      </c>
      <c r="DV91">
        <v>0.84</v>
      </c>
      <c r="DW91">
        <v>1</v>
      </c>
      <c r="DX91">
        <v>1900</v>
      </c>
      <c r="DY91">
        <v>538</v>
      </c>
      <c r="DZ91" t="s">
        <v>4066</v>
      </c>
      <c r="EA91">
        <v>33</v>
      </c>
      <c r="EB91" t="s">
        <v>4065</v>
      </c>
      <c r="EC91">
        <v>0.4</v>
      </c>
      <c r="ED91">
        <v>1893</v>
      </c>
      <c r="EE91">
        <v>55</v>
      </c>
      <c r="EF91" t="s">
        <v>4066</v>
      </c>
      <c r="EG91">
        <v>33</v>
      </c>
      <c r="EH91" t="s">
        <v>4065</v>
      </c>
      <c r="EI91">
        <v>0.4</v>
      </c>
      <c r="EJ91">
        <v>1900</v>
      </c>
      <c r="EK91">
        <v>55</v>
      </c>
      <c r="EL91" t="s">
        <v>4362</v>
      </c>
      <c r="EM91">
        <v>12</v>
      </c>
      <c r="EN91">
        <v>0.5</v>
      </c>
      <c r="EO91">
        <v>0.77</v>
      </c>
      <c r="EP91">
        <v>1900.56</v>
      </c>
      <c r="EQ91">
        <v>27320.55</v>
      </c>
      <c r="ER91">
        <v>8038.4</v>
      </c>
      <c r="ES91">
        <v>0</v>
      </c>
      <c r="ET91">
        <v>0</v>
      </c>
      <c r="EU91">
        <v>1</v>
      </c>
      <c r="EV91">
        <v>35359</v>
      </c>
      <c r="EW91">
        <v>354</v>
      </c>
      <c r="EX91" t="s">
        <v>4363</v>
      </c>
      <c r="EY91">
        <v>186</v>
      </c>
      <c r="EZ91" t="s">
        <v>4055</v>
      </c>
      <c r="FA91">
        <v>3.5</v>
      </c>
      <c r="FB91">
        <v>1</v>
      </c>
      <c r="FC91">
        <v>1</v>
      </c>
      <c r="FD91">
        <v>1923</v>
      </c>
      <c r="FE91">
        <v>2133</v>
      </c>
      <c r="FF91" t="s">
        <v>4089</v>
      </c>
      <c r="FG91">
        <v>186</v>
      </c>
      <c r="FH91" t="s">
        <v>4055</v>
      </c>
      <c r="FI91">
        <v>1.6</v>
      </c>
      <c r="FJ91">
        <v>1923</v>
      </c>
      <c r="FK91">
        <v>572</v>
      </c>
      <c r="FL91" t="s">
        <v>4069</v>
      </c>
      <c r="FM91" t="s">
        <v>4055</v>
      </c>
      <c r="FN91" t="s">
        <v>4055</v>
      </c>
      <c r="FO91" t="s">
        <v>4055</v>
      </c>
      <c r="FP91">
        <v>1923</v>
      </c>
      <c r="FQ91">
        <v>125</v>
      </c>
      <c r="FR91" t="s">
        <v>4090</v>
      </c>
      <c r="FS91">
        <v>190</v>
      </c>
      <c r="FT91" t="s">
        <v>4055</v>
      </c>
      <c r="FU91">
        <v>0.4</v>
      </c>
      <c r="FV91">
        <v>1923</v>
      </c>
      <c r="FW91">
        <v>162</v>
      </c>
      <c r="FX91" t="s">
        <v>4070</v>
      </c>
      <c r="FY91">
        <v>10</v>
      </c>
      <c r="FZ91" t="s">
        <v>4055</v>
      </c>
      <c r="GA91" t="s">
        <v>4055</v>
      </c>
      <c r="GB91">
        <v>1923</v>
      </c>
      <c r="GC91">
        <v>17</v>
      </c>
      <c r="GD91">
        <v>3009</v>
      </c>
      <c r="GE91" t="s">
        <v>4443</v>
      </c>
      <c r="GF91" t="s">
        <v>4055</v>
      </c>
      <c r="GG91" t="s">
        <v>4055</v>
      </c>
      <c r="GH91" t="s">
        <v>4055</v>
      </c>
      <c r="GI91" t="s">
        <v>4071</v>
      </c>
      <c r="GJ91" t="s">
        <v>4055</v>
      </c>
      <c r="GK91" t="s">
        <v>4055</v>
      </c>
      <c r="GL91" t="s">
        <v>4055</v>
      </c>
      <c r="GM91" t="s">
        <v>4055</v>
      </c>
      <c r="GQ91">
        <v>0</v>
      </c>
      <c r="GV91">
        <v>5.5</v>
      </c>
      <c r="GW91">
        <v>8.5</v>
      </c>
      <c r="GX91">
        <v>0.5</v>
      </c>
      <c r="GY91">
        <v>158</v>
      </c>
      <c r="GZ91">
        <v>3</v>
      </c>
      <c r="HA91">
        <v>204</v>
      </c>
      <c r="HB91">
        <v>3</v>
      </c>
      <c r="HC91">
        <v>1923</v>
      </c>
      <c r="HD91">
        <v>4</v>
      </c>
      <c r="HE91" t="s">
        <v>4071</v>
      </c>
      <c r="HG91" t="s">
        <v>549</v>
      </c>
      <c r="HL91">
        <v>4</v>
      </c>
      <c r="HM91">
        <v>15</v>
      </c>
      <c r="HN91">
        <v>6</v>
      </c>
      <c r="HO91">
        <v>1</v>
      </c>
      <c r="HP91">
        <v>0</v>
      </c>
      <c r="HQ91">
        <v>0</v>
      </c>
      <c r="HR91">
        <v>2</v>
      </c>
      <c r="HS91">
        <v>1890</v>
      </c>
      <c r="HT91">
        <v>5</v>
      </c>
      <c r="HU91">
        <v>1</v>
      </c>
      <c r="HV91">
        <v>5</v>
      </c>
      <c r="HW91">
        <v>0</v>
      </c>
      <c r="HX91">
        <v>1</v>
      </c>
      <c r="HY91">
        <v>0</v>
      </c>
      <c r="HZ91">
        <v>65</v>
      </c>
      <c r="IA91">
        <v>1893</v>
      </c>
      <c r="IB91">
        <v>1900</v>
      </c>
      <c r="ID91">
        <v>1923</v>
      </c>
      <c r="IE91">
        <v>1923</v>
      </c>
      <c r="IF91">
        <v>165</v>
      </c>
      <c r="IG91">
        <v>155</v>
      </c>
      <c r="IH91">
        <v>204</v>
      </c>
      <c r="II91">
        <v>1</v>
      </c>
      <c r="IJ91">
        <v>5</v>
      </c>
      <c r="IK91">
        <v>0</v>
      </c>
      <c r="IL91">
        <v>2</v>
      </c>
      <c r="IM91">
        <v>0</v>
      </c>
      <c r="IN91">
        <v>270</v>
      </c>
      <c r="IO91">
        <v>0</v>
      </c>
      <c r="IP91">
        <v>180</v>
      </c>
      <c r="IQ91">
        <v>0</v>
      </c>
      <c r="IR91">
        <v>330</v>
      </c>
      <c r="IS91">
        <v>0</v>
      </c>
      <c r="IT91">
        <v>90</v>
      </c>
      <c r="IU91">
        <v>0</v>
      </c>
      <c r="IV91">
        <v>6.4</v>
      </c>
      <c r="IW91">
        <v>-6</v>
      </c>
      <c r="IX91">
        <v>86</v>
      </c>
      <c r="IY91">
        <v>59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380</v>
      </c>
      <c r="JJ91">
        <v>350</v>
      </c>
      <c r="JK91">
        <v>260</v>
      </c>
      <c r="JL91">
        <v>346</v>
      </c>
      <c r="JM91">
        <v>256</v>
      </c>
      <c r="JN91">
        <v>165</v>
      </c>
      <c r="JO91">
        <v>214</v>
      </c>
      <c r="JP91">
        <v>220</v>
      </c>
      <c r="JQ91">
        <v>260</v>
      </c>
      <c r="JR91">
        <v>350</v>
      </c>
      <c r="JS91">
        <v>250</v>
      </c>
      <c r="JT91">
        <v>0</v>
      </c>
      <c r="JU91">
        <v>0</v>
      </c>
      <c r="JV91">
        <v>335</v>
      </c>
      <c r="JW91">
        <v>337</v>
      </c>
      <c r="JX91">
        <v>346</v>
      </c>
      <c r="JY91">
        <v>318</v>
      </c>
      <c r="JZ91">
        <v>0.5</v>
      </c>
      <c r="KA91">
        <v>0.2</v>
      </c>
      <c r="KB91">
        <v>0.4</v>
      </c>
      <c r="KC91">
        <v>0.42</v>
      </c>
      <c r="KD91">
        <v>0.28</v>
      </c>
      <c r="KE91">
        <v>0.5</v>
      </c>
      <c r="KF91">
        <v>0.17</v>
      </c>
      <c r="KG91">
        <v>0.09</v>
      </c>
      <c r="KH91">
        <v>3.5</v>
      </c>
      <c r="KI91">
        <v>1</v>
      </c>
      <c r="KJ91">
        <v>4.5</v>
      </c>
      <c r="KK91">
        <v>0</v>
      </c>
      <c r="KL91">
        <v>4.5</v>
      </c>
      <c r="KM91">
        <v>0</v>
      </c>
      <c r="KN91">
        <v>1</v>
      </c>
      <c r="KO91">
        <v>0</v>
      </c>
      <c r="KP91">
        <v>0</v>
      </c>
      <c r="KQ91">
        <v>0.8</v>
      </c>
      <c r="KR91">
        <v>1.5</v>
      </c>
      <c r="KS91">
        <v>0</v>
      </c>
      <c r="KT91">
        <v>1.6</v>
      </c>
      <c r="KU91">
        <v>0</v>
      </c>
      <c r="KV91">
        <v>0</v>
      </c>
      <c r="KW91">
        <v>1.2</v>
      </c>
      <c r="KX91">
        <v>2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3</v>
      </c>
      <c r="LI91">
        <v>0.5</v>
      </c>
      <c r="LJ91">
        <v>0</v>
      </c>
      <c r="LK91">
        <v>7</v>
      </c>
      <c r="LL91">
        <v>3</v>
      </c>
      <c r="LM91">
        <v>6</v>
      </c>
      <c r="LN91">
        <v>0.3</v>
      </c>
      <c r="LO91">
        <v>3</v>
      </c>
      <c r="LP91">
        <v>0</v>
      </c>
      <c r="LQ91">
        <v>0</v>
      </c>
      <c r="LR91">
        <v>0</v>
      </c>
      <c r="LS91">
        <v>1</v>
      </c>
      <c r="LT91">
        <v>0</v>
      </c>
      <c r="LU91">
        <v>0</v>
      </c>
      <c r="LV91">
        <v>0</v>
      </c>
      <c r="LW91">
        <v>2.5</v>
      </c>
      <c r="LX91">
        <v>2.5</v>
      </c>
      <c r="LY91">
        <v>2.1</v>
      </c>
      <c r="LZ91">
        <v>2.1</v>
      </c>
      <c r="MA91">
        <v>0</v>
      </c>
      <c r="MB91">
        <v>8</v>
      </c>
      <c r="MC91">
        <v>0</v>
      </c>
      <c r="MD91">
        <v>4.5</v>
      </c>
      <c r="ME91">
        <v>6</v>
      </c>
      <c r="MF91">
        <v>6</v>
      </c>
      <c r="MG91">
        <v>20</v>
      </c>
      <c r="MH91">
        <v>20</v>
      </c>
      <c r="MI91">
        <v>0</v>
      </c>
      <c r="MJ91">
        <v>0</v>
      </c>
      <c r="ML91">
        <v>0</v>
      </c>
      <c r="MM91">
        <v>390</v>
      </c>
      <c r="MN91">
        <v>160</v>
      </c>
      <c r="MO91">
        <v>214</v>
      </c>
      <c r="NU91">
        <v>0.15</v>
      </c>
      <c r="NV91">
        <v>0.2</v>
      </c>
      <c r="NW91">
        <v>0.2</v>
      </c>
      <c r="NX91">
        <v>0.2</v>
      </c>
      <c r="NY91">
        <v>0.2</v>
      </c>
      <c r="NZ91">
        <v>0.2</v>
      </c>
      <c r="OE91" t="s">
        <v>4443</v>
      </c>
      <c r="OF91" t="s">
        <v>4441</v>
      </c>
      <c r="OG91" t="s">
        <v>4442</v>
      </c>
      <c r="OH91" t="s">
        <v>4353</v>
      </c>
      <c r="OI91" t="s">
        <v>4443</v>
      </c>
      <c r="OJ91" t="s">
        <v>4440</v>
      </c>
      <c r="OK91">
        <v>61</v>
      </c>
      <c r="OL91">
        <v>61</v>
      </c>
      <c r="OM91" t="s">
        <v>4441</v>
      </c>
      <c r="ON91">
        <v>3</v>
      </c>
      <c r="OO91">
        <v>1893</v>
      </c>
      <c r="OP91">
        <v>61</v>
      </c>
      <c r="OQ91">
        <v>61</v>
      </c>
      <c r="OR91" t="s">
        <v>4442</v>
      </c>
      <c r="OS91">
        <v>3</v>
      </c>
      <c r="OT91">
        <v>1900</v>
      </c>
      <c r="OU91">
        <v>65</v>
      </c>
      <c r="OV91">
        <v>65</v>
      </c>
      <c r="OW91" t="s">
        <v>4353</v>
      </c>
      <c r="OX91">
        <v>1</v>
      </c>
      <c r="OY91">
        <v>35359</v>
      </c>
      <c r="OZ91">
        <v>51</v>
      </c>
      <c r="PA91">
        <v>52</v>
      </c>
      <c r="PB91" t="s">
        <v>4443</v>
      </c>
      <c r="PC91">
        <v>2</v>
      </c>
      <c r="PD91">
        <v>1923</v>
      </c>
      <c r="PF91">
        <v>302</v>
      </c>
      <c r="PG91">
        <v>29</v>
      </c>
      <c r="PH91">
        <v>283</v>
      </c>
      <c r="PI91">
        <v>29</v>
      </c>
      <c r="PJ91">
        <v>64.8</v>
      </c>
      <c r="PK91">
        <v>1570</v>
      </c>
      <c r="PL91">
        <v>1109</v>
      </c>
      <c r="PM91">
        <v>297.4</v>
      </c>
      <c r="PN91">
        <v>84.40000000000001</v>
      </c>
      <c r="PO91">
        <v>8.699999999999999</v>
      </c>
      <c r="PP91">
        <v>10</v>
      </c>
      <c r="PQ91">
        <v>1</v>
      </c>
      <c r="PR91">
        <v>1</v>
      </c>
      <c r="PS91">
        <v>7</v>
      </c>
      <c r="PT91">
        <v>204</v>
      </c>
      <c r="PU91">
        <v>9</v>
      </c>
      <c r="PV91" t="s">
        <v>4072</v>
      </c>
      <c r="PW91" t="s">
        <v>4072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-1</v>
      </c>
      <c r="QF91">
        <v>1</v>
      </c>
      <c r="QG91">
        <v>0</v>
      </c>
      <c r="QH91">
        <v>5</v>
      </c>
      <c r="QI91">
        <v>5</v>
      </c>
      <c r="QJ91">
        <v>5</v>
      </c>
      <c r="QK91">
        <v>183</v>
      </c>
      <c r="QL91">
        <v>414</v>
      </c>
      <c r="QM91">
        <v>7.5</v>
      </c>
      <c r="QN91">
        <v>1204.3</v>
      </c>
      <c r="QO91" t="s">
        <v>1477</v>
      </c>
      <c r="QP91" t="s">
        <v>513</v>
      </c>
      <c r="QQ91">
        <v>0</v>
      </c>
      <c r="QR91" t="s">
        <v>1496</v>
      </c>
      <c r="QS91">
        <v>30</v>
      </c>
      <c r="QT91">
        <v>40</v>
      </c>
    </row>
    <row r="92" spans="1:462">
      <c r="A92" t="s">
        <v>1727</v>
      </c>
      <c r="B92" t="s">
        <v>564</v>
      </c>
      <c r="C92" t="s">
        <v>509</v>
      </c>
      <c r="D92" t="s">
        <v>3157</v>
      </c>
      <c r="E92" t="s">
        <v>4036</v>
      </c>
      <c r="H92" t="s">
        <v>627</v>
      </c>
      <c r="I92" t="s">
        <v>604</v>
      </c>
      <c r="J92" t="s">
        <v>628</v>
      </c>
      <c r="K92" t="s">
        <v>606</v>
      </c>
      <c r="L92" t="s">
        <v>629</v>
      </c>
      <c r="M92" t="s">
        <v>512</v>
      </c>
      <c r="O92" t="s">
        <v>513</v>
      </c>
      <c r="P92" t="s">
        <v>567</v>
      </c>
      <c r="Q92" t="s">
        <v>1728</v>
      </c>
      <c r="R92" t="s">
        <v>759</v>
      </c>
      <c r="S92" t="s">
        <v>4037</v>
      </c>
      <c r="T92" t="s">
        <v>520</v>
      </c>
      <c r="U92" t="s">
        <v>521</v>
      </c>
      <c r="V92" t="s">
        <v>1729</v>
      </c>
      <c r="W92" t="s">
        <v>1460</v>
      </c>
      <c r="X92" t="s">
        <v>1730</v>
      </c>
      <c r="Y92" t="s">
        <v>1731</v>
      </c>
      <c r="Z92" t="s">
        <v>541</v>
      </c>
      <c r="AA92" t="s">
        <v>4038</v>
      </c>
      <c r="AB92" t="s">
        <v>4444</v>
      </c>
      <c r="AC92">
        <v>9</v>
      </c>
      <c r="AD92" t="s">
        <v>1726</v>
      </c>
      <c r="AE92">
        <v>5</v>
      </c>
      <c r="AF92">
        <v>4368</v>
      </c>
      <c r="AG92" t="s">
        <v>4379</v>
      </c>
      <c r="AH92">
        <v>1</v>
      </c>
      <c r="AI92" t="s">
        <v>4041</v>
      </c>
      <c r="AK92" t="s">
        <v>4380</v>
      </c>
      <c r="AL92">
        <v>1</v>
      </c>
      <c r="AM92" t="s">
        <v>582</v>
      </c>
      <c r="AO92" t="s">
        <v>4043</v>
      </c>
      <c r="AP92">
        <v>1</v>
      </c>
      <c r="AR92" t="s">
        <v>4445</v>
      </c>
      <c r="AS92">
        <v>1</v>
      </c>
      <c r="AT92">
        <v>52</v>
      </c>
      <c r="AV92" t="s">
        <v>4078</v>
      </c>
      <c r="AW92">
        <v>6.4</v>
      </c>
      <c r="AX92">
        <v>-6</v>
      </c>
      <c r="AY92">
        <v>98</v>
      </c>
      <c r="AZ92">
        <v>63</v>
      </c>
      <c r="BH92">
        <v>98</v>
      </c>
      <c r="BI92">
        <v>35</v>
      </c>
      <c r="BJ92">
        <v>63</v>
      </c>
      <c r="BK92">
        <v>3</v>
      </c>
      <c r="BL92">
        <v>196</v>
      </c>
      <c r="BM92">
        <v>-6</v>
      </c>
      <c r="BN92">
        <v>0</v>
      </c>
      <c r="BP92">
        <v>0</v>
      </c>
      <c r="BR92">
        <v>190</v>
      </c>
      <c r="BS92">
        <v>180</v>
      </c>
      <c r="BT92">
        <v>1880</v>
      </c>
      <c r="BU92" t="s">
        <v>4047</v>
      </c>
      <c r="BV92" t="s">
        <v>4047</v>
      </c>
      <c r="BW92" t="s">
        <v>4049</v>
      </c>
      <c r="BX92" t="s">
        <v>4049</v>
      </c>
      <c r="BY92" t="s">
        <v>4050</v>
      </c>
      <c r="BZ92" t="s">
        <v>4050</v>
      </c>
      <c r="CA92" t="s">
        <v>4051</v>
      </c>
      <c r="CB92" t="s">
        <v>4052</v>
      </c>
      <c r="CC92" t="s">
        <v>4053</v>
      </c>
      <c r="CD92" t="s">
        <v>4054</v>
      </c>
      <c r="CE92" t="s">
        <v>4055</v>
      </c>
      <c r="CF92" t="s">
        <v>4055</v>
      </c>
      <c r="CG92" t="s">
        <v>4056</v>
      </c>
      <c r="CH92" t="s">
        <v>4057</v>
      </c>
      <c r="CI92" t="s">
        <v>4058</v>
      </c>
      <c r="CJ92" t="s">
        <v>4059</v>
      </c>
      <c r="CK92" t="s">
        <v>4060</v>
      </c>
      <c r="CL92" t="s">
        <v>4061</v>
      </c>
      <c r="CM92" t="s">
        <v>4055</v>
      </c>
      <c r="CN92" t="s">
        <v>4062</v>
      </c>
      <c r="CO92" t="s">
        <v>4063</v>
      </c>
      <c r="CP92" t="s">
        <v>4055</v>
      </c>
      <c r="CQ92" t="s">
        <v>4055</v>
      </c>
      <c r="CR92">
        <v>5</v>
      </c>
      <c r="CS92" t="s">
        <v>4055</v>
      </c>
      <c r="CT92">
        <v>15</v>
      </c>
      <c r="CU92" t="s">
        <v>4055</v>
      </c>
      <c r="CV92">
        <v>124</v>
      </c>
      <c r="CW92">
        <v>3</v>
      </c>
      <c r="CX92">
        <v>80</v>
      </c>
      <c r="CY92">
        <v>5</v>
      </c>
      <c r="CZ92">
        <v>73</v>
      </c>
      <c r="DA92">
        <v>5</v>
      </c>
      <c r="DB92">
        <v>9580</v>
      </c>
      <c r="DC92">
        <v>260</v>
      </c>
      <c r="DD92">
        <v>319</v>
      </c>
      <c r="DE92">
        <v>1962</v>
      </c>
      <c r="DF92">
        <v>1962</v>
      </c>
      <c r="DG92">
        <v>1992</v>
      </c>
      <c r="DH92" t="s">
        <v>4055</v>
      </c>
      <c r="DI92" t="s">
        <v>4055</v>
      </c>
      <c r="DJ92" t="s">
        <v>4100</v>
      </c>
      <c r="DK92">
        <v>190</v>
      </c>
      <c r="DL92" t="s">
        <v>4101</v>
      </c>
      <c r="DM92">
        <v>65</v>
      </c>
      <c r="DN92">
        <v>0.84</v>
      </c>
      <c r="DO92">
        <v>1</v>
      </c>
      <c r="DP92">
        <v>1883</v>
      </c>
      <c r="DQ92">
        <v>653</v>
      </c>
      <c r="DR92" t="s">
        <v>4100</v>
      </c>
      <c r="DS92">
        <v>180</v>
      </c>
      <c r="DT92" t="s">
        <v>4101</v>
      </c>
      <c r="DU92">
        <v>65</v>
      </c>
      <c r="DV92">
        <v>0.84</v>
      </c>
      <c r="DW92">
        <v>1</v>
      </c>
      <c r="DX92">
        <v>1890</v>
      </c>
      <c r="DY92">
        <v>622</v>
      </c>
      <c r="DZ92" t="s">
        <v>4066</v>
      </c>
      <c r="EA92">
        <v>33</v>
      </c>
      <c r="EB92" t="s">
        <v>4065</v>
      </c>
      <c r="EC92">
        <v>0.4</v>
      </c>
      <c r="ED92">
        <v>1883</v>
      </c>
      <c r="EE92">
        <v>55</v>
      </c>
      <c r="EF92" t="s">
        <v>4066</v>
      </c>
      <c r="EG92">
        <v>33</v>
      </c>
      <c r="EH92" t="s">
        <v>4065</v>
      </c>
      <c r="EI92">
        <v>0.4</v>
      </c>
      <c r="EJ92">
        <v>1890</v>
      </c>
      <c r="EK92">
        <v>55</v>
      </c>
      <c r="EL92" t="s">
        <v>1528</v>
      </c>
      <c r="EM92">
        <v>12</v>
      </c>
      <c r="EN92">
        <v>0.5</v>
      </c>
      <c r="EO92">
        <v>0.96</v>
      </c>
      <c r="EP92">
        <v>1890.56</v>
      </c>
      <c r="EQ92">
        <v>30721.6</v>
      </c>
      <c r="ER92">
        <v>10371.99</v>
      </c>
      <c r="ES92">
        <v>0</v>
      </c>
      <c r="ET92">
        <v>0</v>
      </c>
      <c r="EU92">
        <v>1</v>
      </c>
      <c r="EV92">
        <v>41094</v>
      </c>
      <c r="EW92">
        <v>494</v>
      </c>
      <c r="EX92" t="s">
        <v>4363</v>
      </c>
      <c r="EY92">
        <v>210</v>
      </c>
      <c r="EZ92" t="s">
        <v>4055</v>
      </c>
      <c r="FA92">
        <v>5.2</v>
      </c>
      <c r="FB92">
        <v>1</v>
      </c>
      <c r="FC92">
        <v>1</v>
      </c>
      <c r="FD92">
        <v>1920</v>
      </c>
      <c r="FE92">
        <v>2392</v>
      </c>
      <c r="FF92" t="s">
        <v>4089</v>
      </c>
      <c r="FG92">
        <v>210</v>
      </c>
      <c r="FH92" t="s">
        <v>4055</v>
      </c>
      <c r="FI92">
        <v>1.6</v>
      </c>
      <c r="FJ92">
        <v>1920</v>
      </c>
      <c r="FK92">
        <v>635</v>
      </c>
      <c r="FL92" t="s">
        <v>4069</v>
      </c>
      <c r="FM92" t="s">
        <v>4055</v>
      </c>
      <c r="FN92" t="s">
        <v>4055</v>
      </c>
      <c r="FO92" t="s">
        <v>4055</v>
      </c>
      <c r="FP92">
        <v>1920</v>
      </c>
      <c r="FQ92">
        <v>107</v>
      </c>
      <c r="FR92" t="s">
        <v>4090</v>
      </c>
      <c r="FS92">
        <v>214</v>
      </c>
      <c r="FT92" t="s">
        <v>4055</v>
      </c>
      <c r="FU92">
        <v>0.4</v>
      </c>
      <c r="FV92">
        <v>1920</v>
      </c>
      <c r="FW92">
        <v>183</v>
      </c>
      <c r="FX92" t="s">
        <v>4070</v>
      </c>
      <c r="FY92">
        <v>5</v>
      </c>
      <c r="FZ92" t="s">
        <v>4055</v>
      </c>
      <c r="GA92" t="s">
        <v>4055</v>
      </c>
      <c r="GB92">
        <v>1920</v>
      </c>
      <c r="GC92">
        <v>16</v>
      </c>
      <c r="GD92">
        <v>3333</v>
      </c>
      <c r="GE92" t="s">
        <v>4445</v>
      </c>
      <c r="GF92" t="s">
        <v>4055</v>
      </c>
      <c r="GG92" t="s">
        <v>4055</v>
      </c>
      <c r="GH92" t="s">
        <v>4055</v>
      </c>
      <c r="GI92" t="s">
        <v>4071</v>
      </c>
      <c r="GJ92" t="s">
        <v>4055</v>
      </c>
      <c r="GK92" t="s">
        <v>4055</v>
      </c>
      <c r="GL92" t="s">
        <v>4055</v>
      </c>
      <c r="GM92" t="s">
        <v>4055</v>
      </c>
      <c r="GQ92">
        <v>0</v>
      </c>
      <c r="GV92">
        <v>7.2</v>
      </c>
      <c r="GW92">
        <v>9</v>
      </c>
      <c r="GX92">
        <v>0.5</v>
      </c>
      <c r="GY92">
        <v>172</v>
      </c>
      <c r="GZ92">
        <v>3</v>
      </c>
      <c r="HA92">
        <v>228</v>
      </c>
      <c r="HB92">
        <v>3</v>
      </c>
      <c r="HC92">
        <v>1920</v>
      </c>
      <c r="HD92">
        <v>4</v>
      </c>
      <c r="HE92" t="s">
        <v>4071</v>
      </c>
      <c r="HG92" t="s">
        <v>549</v>
      </c>
      <c r="HL92">
        <v>4</v>
      </c>
      <c r="HM92">
        <v>16</v>
      </c>
      <c r="HN92">
        <v>6</v>
      </c>
      <c r="HO92">
        <v>1</v>
      </c>
      <c r="HP92">
        <v>0</v>
      </c>
      <c r="HQ92">
        <v>2</v>
      </c>
      <c r="HR92">
        <v>1</v>
      </c>
      <c r="HS92">
        <v>1880</v>
      </c>
      <c r="HT92">
        <v>5</v>
      </c>
      <c r="HU92">
        <v>1</v>
      </c>
      <c r="HV92">
        <v>3</v>
      </c>
      <c r="HW92">
        <v>0</v>
      </c>
      <c r="HX92">
        <v>1</v>
      </c>
      <c r="HY92">
        <v>0</v>
      </c>
      <c r="HZ92">
        <v>65</v>
      </c>
      <c r="IA92">
        <v>1883</v>
      </c>
      <c r="IB92">
        <v>1890</v>
      </c>
      <c r="ID92">
        <v>1920</v>
      </c>
      <c r="IE92">
        <v>1920</v>
      </c>
      <c r="IF92">
        <v>190</v>
      </c>
      <c r="IG92">
        <v>180</v>
      </c>
      <c r="IH92">
        <v>228</v>
      </c>
      <c r="II92">
        <v>1</v>
      </c>
      <c r="IJ92">
        <v>5</v>
      </c>
      <c r="IK92">
        <v>0</v>
      </c>
      <c r="IL92">
        <v>0</v>
      </c>
      <c r="IM92">
        <v>0</v>
      </c>
      <c r="IN92">
        <v>270</v>
      </c>
      <c r="IO92">
        <v>0</v>
      </c>
      <c r="IP92">
        <v>180</v>
      </c>
      <c r="IQ92">
        <v>0</v>
      </c>
      <c r="IR92">
        <v>330</v>
      </c>
      <c r="IS92">
        <v>0</v>
      </c>
      <c r="IT92">
        <v>90</v>
      </c>
      <c r="IU92">
        <v>0</v>
      </c>
      <c r="IV92">
        <v>6.4</v>
      </c>
      <c r="IW92">
        <v>-6</v>
      </c>
      <c r="IX92">
        <v>98</v>
      </c>
      <c r="IY92">
        <v>63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376</v>
      </c>
      <c r="JJ92">
        <v>336</v>
      </c>
      <c r="JK92">
        <v>252</v>
      </c>
      <c r="JL92">
        <v>332</v>
      </c>
      <c r="JM92">
        <v>280</v>
      </c>
      <c r="JN92">
        <v>195</v>
      </c>
      <c r="JO92">
        <v>238</v>
      </c>
      <c r="JP92">
        <v>210</v>
      </c>
      <c r="JQ92">
        <v>222</v>
      </c>
      <c r="JR92">
        <v>350</v>
      </c>
      <c r="JS92">
        <v>255</v>
      </c>
      <c r="JT92">
        <v>0</v>
      </c>
      <c r="JU92">
        <v>0</v>
      </c>
      <c r="JV92">
        <v>335</v>
      </c>
      <c r="JW92">
        <v>337</v>
      </c>
      <c r="JX92">
        <v>330</v>
      </c>
      <c r="JY92">
        <v>315</v>
      </c>
      <c r="JZ92">
        <v>0.5</v>
      </c>
      <c r="KA92">
        <v>0.25</v>
      </c>
      <c r="KB92">
        <v>0.4</v>
      </c>
      <c r="KC92">
        <v>0.42</v>
      </c>
      <c r="KD92">
        <v>0.28</v>
      </c>
      <c r="KE92">
        <v>0.5</v>
      </c>
      <c r="KF92">
        <v>0.17</v>
      </c>
      <c r="KG92">
        <v>0.1</v>
      </c>
      <c r="KH92">
        <v>5</v>
      </c>
      <c r="KI92">
        <v>1</v>
      </c>
      <c r="KJ92">
        <v>4.5</v>
      </c>
      <c r="KK92">
        <v>0</v>
      </c>
      <c r="KL92">
        <v>4.5</v>
      </c>
      <c r="KM92">
        <v>1</v>
      </c>
      <c r="KN92">
        <v>1.8</v>
      </c>
      <c r="KO92">
        <v>0</v>
      </c>
      <c r="KP92">
        <v>0</v>
      </c>
      <c r="KQ92">
        <v>0.8</v>
      </c>
      <c r="KR92">
        <v>1</v>
      </c>
      <c r="KS92">
        <v>0</v>
      </c>
      <c r="KT92">
        <v>2.3</v>
      </c>
      <c r="KU92">
        <v>0</v>
      </c>
      <c r="KV92">
        <v>0</v>
      </c>
      <c r="KW92">
        <v>0.8</v>
      </c>
      <c r="KX92">
        <v>1.6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3</v>
      </c>
      <c r="LI92">
        <v>0.5</v>
      </c>
      <c r="LJ92">
        <v>0</v>
      </c>
      <c r="LK92">
        <v>6</v>
      </c>
      <c r="LL92">
        <v>6.5</v>
      </c>
      <c r="LM92">
        <v>8.5</v>
      </c>
      <c r="LN92">
        <v>3</v>
      </c>
      <c r="LO92">
        <v>3.5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1.2</v>
      </c>
      <c r="LX92">
        <v>1.2</v>
      </c>
      <c r="LY92">
        <v>1.5</v>
      </c>
      <c r="LZ92">
        <v>1.5</v>
      </c>
      <c r="MA92">
        <v>0</v>
      </c>
      <c r="MB92">
        <v>3</v>
      </c>
      <c r="MC92">
        <v>0</v>
      </c>
      <c r="MD92">
        <v>4.5</v>
      </c>
      <c r="ME92">
        <v>6</v>
      </c>
      <c r="MF92">
        <v>6</v>
      </c>
      <c r="MI92">
        <v>0</v>
      </c>
      <c r="MJ92">
        <v>0</v>
      </c>
      <c r="ML92">
        <v>0</v>
      </c>
      <c r="MM92">
        <v>390</v>
      </c>
      <c r="MN92">
        <v>200</v>
      </c>
      <c r="MO92">
        <v>244</v>
      </c>
      <c r="NH92">
        <v>0</v>
      </c>
      <c r="NJ92">
        <v>0</v>
      </c>
      <c r="NK92">
        <v>0</v>
      </c>
      <c r="NM92">
        <v>0</v>
      </c>
      <c r="NU92">
        <v>0.25</v>
      </c>
      <c r="NV92">
        <v>0.3</v>
      </c>
      <c r="NW92">
        <v>0.32</v>
      </c>
      <c r="NX92">
        <v>2</v>
      </c>
      <c r="NY92">
        <v>2</v>
      </c>
      <c r="NZ92">
        <v>2</v>
      </c>
      <c r="OE92" t="s">
        <v>4445</v>
      </c>
      <c r="OF92" t="s">
        <v>4379</v>
      </c>
      <c r="OG92" t="s">
        <v>4380</v>
      </c>
      <c r="OH92" t="s">
        <v>4043</v>
      </c>
      <c r="OI92" t="s">
        <v>4445</v>
      </c>
      <c r="OJ92" t="s">
        <v>4444</v>
      </c>
      <c r="OK92">
        <v>61</v>
      </c>
      <c r="OL92">
        <v>61</v>
      </c>
      <c r="OM92" t="s">
        <v>4379</v>
      </c>
      <c r="ON92">
        <v>3</v>
      </c>
      <c r="OO92">
        <v>1883</v>
      </c>
      <c r="OP92">
        <v>61</v>
      </c>
      <c r="OQ92">
        <v>61</v>
      </c>
      <c r="OR92" t="s">
        <v>4380</v>
      </c>
      <c r="OS92">
        <v>3</v>
      </c>
      <c r="OT92">
        <v>1890</v>
      </c>
      <c r="OU92">
        <v>65</v>
      </c>
      <c r="OV92">
        <v>65</v>
      </c>
      <c r="OW92" t="s">
        <v>4043</v>
      </c>
      <c r="OX92">
        <v>1</v>
      </c>
      <c r="OY92">
        <v>41094</v>
      </c>
      <c r="OZ92">
        <v>51</v>
      </c>
      <c r="PA92">
        <v>52</v>
      </c>
      <c r="PB92" t="s">
        <v>4445</v>
      </c>
      <c r="PC92">
        <v>2</v>
      </c>
      <c r="PD92">
        <v>1920</v>
      </c>
      <c r="PF92">
        <v>347</v>
      </c>
      <c r="PG92">
        <v>29</v>
      </c>
      <c r="PH92">
        <v>329</v>
      </c>
      <c r="PI92">
        <v>29</v>
      </c>
      <c r="PJ92">
        <v>55.8</v>
      </c>
      <c r="PK92">
        <v>1748</v>
      </c>
      <c r="PL92">
        <v>1245.6</v>
      </c>
      <c r="PM92">
        <v>330.5</v>
      </c>
      <c r="PN92">
        <v>95.2</v>
      </c>
      <c r="PO92">
        <v>8.4</v>
      </c>
      <c r="PP92">
        <v>12</v>
      </c>
      <c r="PQ92">
        <v>1</v>
      </c>
      <c r="PR92">
        <v>1</v>
      </c>
      <c r="PS92">
        <v>7</v>
      </c>
      <c r="PT92">
        <v>228</v>
      </c>
      <c r="PU92">
        <v>9</v>
      </c>
      <c r="PV92" t="s">
        <v>4072</v>
      </c>
      <c r="PW92" t="s">
        <v>4072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-1</v>
      </c>
      <c r="QF92">
        <v>1</v>
      </c>
      <c r="QG92">
        <v>0</v>
      </c>
      <c r="QH92">
        <v>5</v>
      </c>
      <c r="QI92">
        <v>5</v>
      </c>
      <c r="QJ92">
        <v>5</v>
      </c>
      <c r="QK92">
        <v>180</v>
      </c>
      <c r="QL92">
        <v>406</v>
      </c>
      <c r="QM92">
        <v>7.5</v>
      </c>
      <c r="QN92">
        <v>1284.1</v>
      </c>
      <c r="QO92" t="s">
        <v>1477</v>
      </c>
      <c r="QP92" t="s">
        <v>513</v>
      </c>
      <c r="QQ92">
        <v>0</v>
      </c>
      <c r="QR92" t="s">
        <v>1496</v>
      </c>
      <c r="QS92">
        <v>30</v>
      </c>
      <c r="QT92">
        <v>40</v>
      </c>
    </row>
    <row r="93" spans="1:462">
      <c r="A93" t="s">
        <v>1739</v>
      </c>
      <c r="B93" t="s">
        <v>897</v>
      </c>
      <c r="C93" t="s">
        <v>509</v>
      </c>
      <c r="D93" t="s">
        <v>1738</v>
      </c>
      <c r="E93" t="s">
        <v>4036</v>
      </c>
      <c r="H93" t="s">
        <v>604</v>
      </c>
      <c r="I93" t="s">
        <v>605</v>
      </c>
      <c r="J93" t="s">
        <v>628</v>
      </c>
      <c r="K93" t="s">
        <v>606</v>
      </c>
      <c r="L93" t="s">
        <v>657</v>
      </c>
      <c r="M93" t="s">
        <v>512</v>
      </c>
      <c r="O93" t="s">
        <v>513</v>
      </c>
      <c r="P93" t="s">
        <v>567</v>
      </c>
      <c r="Q93" t="s">
        <v>742</v>
      </c>
      <c r="R93" t="s">
        <v>743</v>
      </c>
      <c r="S93" t="s">
        <v>4134</v>
      </c>
      <c r="T93" t="s">
        <v>633</v>
      </c>
      <c r="U93" t="s">
        <v>634</v>
      </c>
      <c r="V93" t="s">
        <v>744</v>
      </c>
      <c r="W93" t="s">
        <v>1460</v>
      </c>
      <c r="X93" t="s">
        <v>1740</v>
      </c>
      <c r="Y93" t="s">
        <v>1741</v>
      </c>
      <c r="Z93" t="s">
        <v>541</v>
      </c>
      <c r="AA93" t="s">
        <v>4038</v>
      </c>
      <c r="AB93" t="s">
        <v>4446</v>
      </c>
      <c r="AC93">
        <v>9</v>
      </c>
      <c r="AD93" t="s">
        <v>1737</v>
      </c>
      <c r="AE93">
        <v>8</v>
      </c>
      <c r="AF93">
        <v>3555</v>
      </c>
      <c r="AG93" t="s">
        <v>4104</v>
      </c>
      <c r="AH93">
        <v>1</v>
      </c>
      <c r="AI93" t="s">
        <v>4041</v>
      </c>
      <c r="AK93" t="s">
        <v>4105</v>
      </c>
      <c r="AL93">
        <v>1</v>
      </c>
      <c r="AM93" t="s">
        <v>582</v>
      </c>
      <c r="AO93" t="s">
        <v>4043</v>
      </c>
      <c r="AP93">
        <v>1</v>
      </c>
      <c r="AR93" t="s">
        <v>4447</v>
      </c>
      <c r="AS93">
        <v>1</v>
      </c>
      <c r="AT93">
        <v>51</v>
      </c>
      <c r="AV93" t="s">
        <v>4078</v>
      </c>
      <c r="AW93">
        <v>6.4</v>
      </c>
      <c r="AX93">
        <v>-6</v>
      </c>
      <c r="AY93">
        <v>101</v>
      </c>
      <c r="AZ93">
        <v>72</v>
      </c>
      <c r="BH93">
        <v>101</v>
      </c>
      <c r="BI93">
        <v>29</v>
      </c>
      <c r="BJ93">
        <v>72</v>
      </c>
      <c r="BK93">
        <v>3.5</v>
      </c>
      <c r="BL93">
        <v>202</v>
      </c>
      <c r="BM93">
        <v>-6</v>
      </c>
      <c r="BN93">
        <v>0</v>
      </c>
      <c r="BO93">
        <v>0</v>
      </c>
      <c r="BP93">
        <v>0</v>
      </c>
      <c r="BR93">
        <v>195</v>
      </c>
      <c r="BS93">
        <v>185</v>
      </c>
      <c r="BT93">
        <v>1855</v>
      </c>
      <c r="BU93" t="s">
        <v>4046</v>
      </c>
      <c r="BV93" t="s">
        <v>4047</v>
      </c>
      <c r="BW93" t="s">
        <v>4048</v>
      </c>
      <c r="BX93" t="s">
        <v>4049</v>
      </c>
      <c r="BY93" t="s">
        <v>4150</v>
      </c>
      <c r="BZ93" t="s">
        <v>4150</v>
      </c>
      <c r="CA93" t="s">
        <v>4108</v>
      </c>
      <c r="CB93" t="s">
        <v>4109</v>
      </c>
      <c r="CC93" t="s">
        <v>4053</v>
      </c>
      <c r="CD93" t="s">
        <v>4110</v>
      </c>
      <c r="CE93" t="s">
        <v>4055</v>
      </c>
      <c r="CF93" t="s">
        <v>4055</v>
      </c>
      <c r="CG93" t="s">
        <v>4056</v>
      </c>
      <c r="CH93" t="s">
        <v>4057</v>
      </c>
      <c r="CI93" t="s">
        <v>4058</v>
      </c>
      <c r="CJ93" t="s">
        <v>4059</v>
      </c>
      <c r="CK93" t="s">
        <v>4060</v>
      </c>
      <c r="CL93" t="s">
        <v>4061</v>
      </c>
      <c r="CM93" t="s">
        <v>4055</v>
      </c>
      <c r="CN93" t="s">
        <v>4062</v>
      </c>
      <c r="CO93" t="s">
        <v>4063</v>
      </c>
      <c r="CP93" t="s">
        <v>4055</v>
      </c>
      <c r="CQ93" t="s">
        <v>4055</v>
      </c>
      <c r="CR93">
        <v>5</v>
      </c>
      <c r="CS93" t="s">
        <v>4055</v>
      </c>
      <c r="CT93">
        <v>15</v>
      </c>
      <c r="CU93" t="s">
        <v>4055</v>
      </c>
      <c r="CV93">
        <v>122</v>
      </c>
      <c r="CW93">
        <v>3</v>
      </c>
      <c r="CX93">
        <v>83</v>
      </c>
      <c r="CY93">
        <v>5</v>
      </c>
      <c r="CZ93">
        <v>74</v>
      </c>
      <c r="DA93">
        <v>5</v>
      </c>
      <c r="DB93">
        <v>8450</v>
      </c>
      <c r="DC93">
        <v>250</v>
      </c>
      <c r="DD93">
        <v>312</v>
      </c>
      <c r="DE93">
        <v>1925</v>
      </c>
      <c r="DF93">
        <v>1925</v>
      </c>
      <c r="DG93">
        <v>1964</v>
      </c>
      <c r="DH93" t="s">
        <v>4055</v>
      </c>
      <c r="DI93" t="s">
        <v>4055</v>
      </c>
      <c r="DJ93" t="s">
        <v>4100</v>
      </c>
      <c r="DK93">
        <v>195</v>
      </c>
      <c r="DL93" t="s">
        <v>4101</v>
      </c>
      <c r="DM93">
        <v>65</v>
      </c>
      <c r="DN93">
        <v>0.84</v>
      </c>
      <c r="DO93">
        <v>1</v>
      </c>
      <c r="DP93">
        <v>1858</v>
      </c>
      <c r="DQ93">
        <v>661</v>
      </c>
      <c r="DR93" t="s">
        <v>4100</v>
      </c>
      <c r="DS93">
        <v>185</v>
      </c>
      <c r="DT93" t="s">
        <v>4101</v>
      </c>
      <c r="DU93">
        <v>65</v>
      </c>
      <c r="DV93">
        <v>0.84</v>
      </c>
      <c r="DW93">
        <v>1</v>
      </c>
      <c r="DX93">
        <v>1865</v>
      </c>
      <c r="DY93">
        <v>630</v>
      </c>
      <c r="DZ93" t="s">
        <v>4066</v>
      </c>
      <c r="EA93">
        <v>33</v>
      </c>
      <c r="EB93" t="s">
        <v>4065</v>
      </c>
      <c r="EC93">
        <v>0.4</v>
      </c>
      <c r="ED93">
        <v>1858</v>
      </c>
      <c r="EE93">
        <v>54</v>
      </c>
      <c r="EF93" t="s">
        <v>4066</v>
      </c>
      <c r="EG93">
        <v>33</v>
      </c>
      <c r="EH93" t="s">
        <v>4065</v>
      </c>
      <c r="EI93">
        <v>0.4</v>
      </c>
      <c r="EJ93">
        <v>1865</v>
      </c>
      <c r="EK93">
        <v>54</v>
      </c>
      <c r="EL93" t="s">
        <v>1528</v>
      </c>
      <c r="EM93">
        <v>12</v>
      </c>
      <c r="EN93">
        <v>0.5</v>
      </c>
      <c r="EO93">
        <v>0.96</v>
      </c>
      <c r="EP93">
        <v>1865.56</v>
      </c>
      <c r="EQ93">
        <v>31189.83</v>
      </c>
      <c r="ER93">
        <v>8480.65</v>
      </c>
      <c r="ES93">
        <v>0</v>
      </c>
      <c r="ET93">
        <v>0</v>
      </c>
      <c r="EU93">
        <v>1</v>
      </c>
      <c r="EV93">
        <v>39671</v>
      </c>
      <c r="EW93">
        <v>477</v>
      </c>
      <c r="EX93" t="s">
        <v>4363</v>
      </c>
      <c r="EY93">
        <v>210</v>
      </c>
      <c r="EZ93" t="s">
        <v>4055</v>
      </c>
      <c r="FA93">
        <v>4.5</v>
      </c>
      <c r="FB93">
        <v>1</v>
      </c>
      <c r="FC93">
        <v>1</v>
      </c>
      <c r="FD93">
        <v>1893</v>
      </c>
      <c r="FE93">
        <v>2050</v>
      </c>
      <c r="FF93" t="s">
        <v>4089</v>
      </c>
      <c r="FG93">
        <v>210</v>
      </c>
      <c r="FH93" t="s">
        <v>4055</v>
      </c>
      <c r="FI93">
        <v>1.6</v>
      </c>
      <c r="FJ93">
        <v>1893</v>
      </c>
      <c r="FK93">
        <v>639</v>
      </c>
      <c r="FL93" t="s">
        <v>4069</v>
      </c>
      <c r="FM93" t="s">
        <v>4055</v>
      </c>
      <c r="FN93" t="s">
        <v>4055</v>
      </c>
      <c r="FO93" t="s">
        <v>4055</v>
      </c>
      <c r="FP93">
        <v>1893</v>
      </c>
      <c r="FQ93">
        <v>128</v>
      </c>
      <c r="FR93" t="s">
        <v>4090</v>
      </c>
      <c r="FS93">
        <v>214</v>
      </c>
      <c r="FT93" t="s">
        <v>4055</v>
      </c>
      <c r="FU93">
        <v>0.4</v>
      </c>
      <c r="FV93">
        <v>1893</v>
      </c>
      <c r="FW93">
        <v>180</v>
      </c>
      <c r="FX93" t="s">
        <v>4070</v>
      </c>
      <c r="FY93">
        <v>5</v>
      </c>
      <c r="FZ93" t="s">
        <v>4055</v>
      </c>
      <c r="GA93" t="s">
        <v>4055</v>
      </c>
      <c r="GB93">
        <v>1893</v>
      </c>
      <c r="GC93">
        <v>14</v>
      </c>
      <c r="GD93">
        <v>3011</v>
      </c>
      <c r="GE93" t="s">
        <v>4447</v>
      </c>
      <c r="GF93" t="s">
        <v>4055</v>
      </c>
      <c r="GG93" t="s">
        <v>4055</v>
      </c>
      <c r="GH93" t="s">
        <v>4055</v>
      </c>
      <c r="GI93" t="s">
        <v>4071</v>
      </c>
      <c r="GJ93" t="s">
        <v>4055</v>
      </c>
      <c r="GK93" t="s">
        <v>4055</v>
      </c>
      <c r="GL93" t="s">
        <v>4055</v>
      </c>
      <c r="GM93" t="s">
        <v>4055</v>
      </c>
      <c r="GQ93">
        <v>0</v>
      </c>
      <c r="GV93">
        <v>6.5</v>
      </c>
      <c r="GW93">
        <v>8.699999999999999</v>
      </c>
      <c r="GX93">
        <v>0.5</v>
      </c>
      <c r="GY93">
        <v>184</v>
      </c>
      <c r="GZ93">
        <v>3</v>
      </c>
      <c r="HA93">
        <v>230</v>
      </c>
      <c r="HB93">
        <v>3</v>
      </c>
      <c r="HC93">
        <v>1893</v>
      </c>
      <c r="HD93">
        <v>4</v>
      </c>
      <c r="HE93" t="s">
        <v>4071</v>
      </c>
      <c r="HG93" t="s">
        <v>549</v>
      </c>
      <c r="HL93">
        <v>4</v>
      </c>
      <c r="HM93">
        <v>17</v>
      </c>
      <c r="HN93">
        <v>6</v>
      </c>
      <c r="HO93">
        <v>1</v>
      </c>
      <c r="HP93">
        <v>0</v>
      </c>
      <c r="HQ93">
        <v>2</v>
      </c>
      <c r="HR93">
        <v>1</v>
      </c>
      <c r="HS93">
        <v>1855</v>
      </c>
      <c r="HT93">
        <v>5</v>
      </c>
      <c r="HU93">
        <v>1</v>
      </c>
      <c r="HV93">
        <v>3</v>
      </c>
      <c r="HW93">
        <v>0</v>
      </c>
      <c r="HX93">
        <v>1</v>
      </c>
      <c r="HY93">
        <v>0</v>
      </c>
      <c r="HZ93">
        <v>65</v>
      </c>
      <c r="IA93">
        <v>1858</v>
      </c>
      <c r="IB93">
        <v>1865</v>
      </c>
      <c r="ID93">
        <v>1893</v>
      </c>
      <c r="IE93">
        <v>1893</v>
      </c>
      <c r="IF93">
        <v>195</v>
      </c>
      <c r="IG93">
        <v>185</v>
      </c>
      <c r="IH93">
        <v>230</v>
      </c>
      <c r="II93">
        <v>1</v>
      </c>
      <c r="IJ93">
        <v>5</v>
      </c>
      <c r="IK93">
        <v>0</v>
      </c>
      <c r="IL93">
        <v>0</v>
      </c>
      <c r="IM93">
        <v>0</v>
      </c>
      <c r="IN93">
        <v>270</v>
      </c>
      <c r="IO93">
        <v>0</v>
      </c>
      <c r="IP93">
        <v>180</v>
      </c>
      <c r="IQ93">
        <v>0</v>
      </c>
      <c r="IR93">
        <v>325</v>
      </c>
      <c r="IS93">
        <v>0</v>
      </c>
      <c r="IT93">
        <v>90</v>
      </c>
      <c r="IU93">
        <v>0</v>
      </c>
      <c r="IV93">
        <v>6.4</v>
      </c>
      <c r="IW93">
        <v>-6</v>
      </c>
      <c r="IX93">
        <v>101</v>
      </c>
      <c r="IY93">
        <v>72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338</v>
      </c>
      <c r="JJ93">
        <v>308</v>
      </c>
      <c r="JK93">
        <v>224</v>
      </c>
      <c r="JL93">
        <v>308</v>
      </c>
      <c r="JM93">
        <v>234</v>
      </c>
      <c r="JN93">
        <v>195</v>
      </c>
      <c r="JO93">
        <v>240</v>
      </c>
      <c r="JP93">
        <v>225</v>
      </c>
      <c r="JQ93">
        <v>245</v>
      </c>
      <c r="JR93">
        <v>320</v>
      </c>
      <c r="JS93">
        <v>270</v>
      </c>
      <c r="JT93">
        <v>0</v>
      </c>
      <c r="JU93">
        <v>0</v>
      </c>
      <c r="JV93">
        <v>300</v>
      </c>
      <c r="JW93">
        <v>307</v>
      </c>
      <c r="JX93">
        <v>0</v>
      </c>
      <c r="JY93">
        <v>0</v>
      </c>
      <c r="JZ93">
        <v>0</v>
      </c>
      <c r="KA93">
        <v>0.2</v>
      </c>
      <c r="KB93">
        <v>0.4</v>
      </c>
      <c r="KC93">
        <v>0.42</v>
      </c>
      <c r="KD93">
        <v>0.28</v>
      </c>
      <c r="KE93">
        <v>0.8</v>
      </c>
      <c r="KF93">
        <v>0.18</v>
      </c>
      <c r="KG93">
        <v>0.1</v>
      </c>
      <c r="KH93">
        <v>3.5</v>
      </c>
      <c r="KI93">
        <v>0.5</v>
      </c>
      <c r="KJ93">
        <v>4</v>
      </c>
      <c r="KK93">
        <v>0</v>
      </c>
      <c r="KL93">
        <v>4</v>
      </c>
      <c r="KM93">
        <v>1</v>
      </c>
      <c r="KN93">
        <v>1.4</v>
      </c>
      <c r="KO93">
        <v>0</v>
      </c>
      <c r="KP93">
        <v>0</v>
      </c>
      <c r="KQ93">
        <v>1</v>
      </c>
      <c r="KR93">
        <v>0.8</v>
      </c>
      <c r="KS93">
        <v>0</v>
      </c>
      <c r="KT93">
        <v>2.5</v>
      </c>
      <c r="KU93">
        <v>0</v>
      </c>
      <c r="KV93">
        <v>0</v>
      </c>
      <c r="KW93">
        <v>1.2</v>
      </c>
      <c r="KX93">
        <v>2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3</v>
      </c>
      <c r="LI93">
        <v>0</v>
      </c>
      <c r="LJ93">
        <v>0</v>
      </c>
      <c r="LK93">
        <v>3</v>
      </c>
      <c r="LL93">
        <v>4</v>
      </c>
      <c r="LM93">
        <v>4</v>
      </c>
      <c r="LN93">
        <v>0.5</v>
      </c>
      <c r="LO93">
        <v>1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1.4</v>
      </c>
      <c r="LX93">
        <v>1.4</v>
      </c>
      <c r="LY93">
        <v>2.1</v>
      </c>
      <c r="LZ93">
        <v>2.1</v>
      </c>
      <c r="MA93">
        <v>0</v>
      </c>
      <c r="MB93">
        <v>0</v>
      </c>
      <c r="MC93">
        <v>0</v>
      </c>
      <c r="MD93">
        <v>4.5</v>
      </c>
      <c r="ME93">
        <v>6</v>
      </c>
      <c r="MF93">
        <v>6</v>
      </c>
      <c r="MI93">
        <v>0</v>
      </c>
      <c r="MJ93">
        <v>0</v>
      </c>
      <c r="ML93">
        <v>0</v>
      </c>
      <c r="MM93">
        <v>358</v>
      </c>
      <c r="MN93">
        <v>195</v>
      </c>
      <c r="MO93">
        <v>240</v>
      </c>
      <c r="NU93">
        <v>0.15</v>
      </c>
      <c r="NV93">
        <v>0.2</v>
      </c>
      <c r="NW93">
        <v>0.2</v>
      </c>
      <c r="NX93">
        <v>0.2</v>
      </c>
      <c r="NY93">
        <v>0.2</v>
      </c>
      <c r="NZ93">
        <v>0.2</v>
      </c>
      <c r="OE93" t="s">
        <v>4447</v>
      </c>
      <c r="OF93" t="s">
        <v>4104</v>
      </c>
      <c r="OG93" t="s">
        <v>4105</v>
      </c>
      <c r="OH93" t="s">
        <v>4043</v>
      </c>
      <c r="OI93" t="s">
        <v>4447</v>
      </c>
      <c r="OJ93" t="s">
        <v>4446</v>
      </c>
      <c r="OK93">
        <v>61</v>
      </c>
      <c r="OL93">
        <v>61</v>
      </c>
      <c r="OM93" t="s">
        <v>4104</v>
      </c>
      <c r="ON93">
        <v>2</v>
      </c>
      <c r="OO93">
        <v>1858</v>
      </c>
      <c r="OP93">
        <v>61</v>
      </c>
      <c r="OQ93">
        <v>61</v>
      </c>
      <c r="OR93" t="s">
        <v>4105</v>
      </c>
      <c r="OS93">
        <v>2</v>
      </c>
      <c r="OT93">
        <v>1865</v>
      </c>
      <c r="OU93">
        <v>65</v>
      </c>
      <c r="OV93">
        <v>65</v>
      </c>
      <c r="OW93" t="s">
        <v>4043</v>
      </c>
      <c r="OX93">
        <v>2</v>
      </c>
      <c r="OY93">
        <v>39671</v>
      </c>
      <c r="OZ93">
        <v>51</v>
      </c>
      <c r="PA93">
        <v>51</v>
      </c>
      <c r="PB93" t="s">
        <v>4447</v>
      </c>
      <c r="PC93">
        <v>1</v>
      </c>
      <c r="PD93">
        <v>1893</v>
      </c>
      <c r="PF93">
        <v>356</v>
      </c>
      <c r="PG93">
        <v>29</v>
      </c>
      <c r="PH93">
        <v>338</v>
      </c>
      <c r="PI93">
        <v>29</v>
      </c>
      <c r="PJ93">
        <v>67.7</v>
      </c>
      <c r="PL93">
        <v>1083.1</v>
      </c>
      <c r="PM93">
        <v>337.4</v>
      </c>
      <c r="PN93">
        <v>95.2</v>
      </c>
      <c r="PO93">
        <v>7.6</v>
      </c>
      <c r="PP93">
        <v>12</v>
      </c>
      <c r="PQ93">
        <v>2</v>
      </c>
      <c r="PR93">
        <v>1</v>
      </c>
      <c r="PS93">
        <v>7</v>
      </c>
      <c r="PT93">
        <v>230</v>
      </c>
      <c r="PU93">
        <v>10</v>
      </c>
      <c r="PV93" t="s">
        <v>4072</v>
      </c>
      <c r="PW93" t="s">
        <v>4072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-1</v>
      </c>
      <c r="QF93">
        <v>1</v>
      </c>
      <c r="QG93">
        <v>0</v>
      </c>
      <c r="QH93">
        <v>5</v>
      </c>
      <c r="QI93">
        <v>5</v>
      </c>
      <c r="QJ93">
        <v>5</v>
      </c>
      <c r="QK93">
        <v>164</v>
      </c>
      <c r="QL93">
        <v>372</v>
      </c>
      <c r="QM93">
        <v>7.5</v>
      </c>
      <c r="QN93">
        <v>1379.8</v>
      </c>
      <c r="QO93" t="s">
        <v>1477</v>
      </c>
      <c r="QP93" t="s">
        <v>513</v>
      </c>
      <c r="QQ93">
        <v>0</v>
      </c>
      <c r="QR93" t="s">
        <v>1496</v>
      </c>
      <c r="QS93">
        <v>30</v>
      </c>
      <c r="QT93">
        <v>40</v>
      </c>
    </row>
    <row r="94" spans="1:462">
      <c r="A94" t="s">
        <v>1746</v>
      </c>
      <c r="B94" t="s">
        <v>564</v>
      </c>
      <c r="C94" t="s">
        <v>509</v>
      </c>
      <c r="D94" t="s">
        <v>4230</v>
      </c>
      <c r="E94" t="s">
        <v>4036</v>
      </c>
      <c r="H94" t="s">
        <v>627</v>
      </c>
      <c r="I94" t="s">
        <v>604</v>
      </c>
      <c r="J94" t="s">
        <v>628</v>
      </c>
      <c r="K94" t="s">
        <v>606</v>
      </c>
      <c r="L94" t="s">
        <v>629</v>
      </c>
      <c r="M94" t="s">
        <v>512</v>
      </c>
      <c r="O94" t="s">
        <v>513</v>
      </c>
      <c r="P94" t="s">
        <v>567</v>
      </c>
      <c r="Q94" t="s">
        <v>758</v>
      </c>
      <c r="R94" t="s">
        <v>759</v>
      </c>
      <c r="S94" t="s">
        <v>4037</v>
      </c>
      <c r="T94" t="s">
        <v>662</v>
      </c>
      <c r="U94" t="s">
        <v>663</v>
      </c>
      <c r="V94" t="s">
        <v>760</v>
      </c>
      <c r="W94" t="s">
        <v>1460</v>
      </c>
      <c r="X94" t="s">
        <v>1747</v>
      </c>
      <c r="Y94" t="s">
        <v>1748</v>
      </c>
      <c r="Z94" t="s">
        <v>541</v>
      </c>
      <c r="AA94" t="s">
        <v>4038</v>
      </c>
      <c r="AB94" t="s">
        <v>4448</v>
      </c>
      <c r="AC94">
        <v>9</v>
      </c>
      <c r="AD94" t="s">
        <v>1745</v>
      </c>
      <c r="AE94">
        <v>5</v>
      </c>
      <c r="AF94">
        <v>4922</v>
      </c>
      <c r="AG94" t="s">
        <v>4449</v>
      </c>
      <c r="AH94">
        <v>1</v>
      </c>
      <c r="AI94" t="s">
        <v>4041</v>
      </c>
      <c r="AK94" t="s">
        <v>4450</v>
      </c>
      <c r="AL94">
        <v>1</v>
      </c>
      <c r="AM94" t="s">
        <v>582</v>
      </c>
      <c r="AO94" t="s">
        <v>4043</v>
      </c>
      <c r="AP94">
        <v>1</v>
      </c>
      <c r="AR94" t="s">
        <v>4451</v>
      </c>
      <c r="AS94">
        <v>1</v>
      </c>
      <c r="AT94">
        <v>51</v>
      </c>
      <c r="AV94" t="s">
        <v>4045</v>
      </c>
      <c r="AW94">
        <v>6.4</v>
      </c>
      <c r="AX94">
        <v>-6</v>
      </c>
      <c r="AY94">
        <v>95</v>
      </c>
      <c r="AZ94">
        <v>77</v>
      </c>
      <c r="BH94">
        <v>95</v>
      </c>
      <c r="BI94">
        <v>18</v>
      </c>
      <c r="BJ94">
        <v>77</v>
      </c>
      <c r="BK94">
        <v>2.5</v>
      </c>
      <c r="BL94">
        <v>190</v>
      </c>
      <c r="BM94">
        <v>-6</v>
      </c>
      <c r="BN94">
        <v>0</v>
      </c>
      <c r="BP94">
        <v>0</v>
      </c>
      <c r="BR94">
        <v>185</v>
      </c>
      <c r="BS94">
        <v>175</v>
      </c>
      <c r="BT94">
        <v>2025</v>
      </c>
      <c r="BU94" t="s">
        <v>4096</v>
      </c>
      <c r="BV94" t="s">
        <v>4096</v>
      </c>
      <c r="BW94" t="s">
        <v>4049</v>
      </c>
      <c r="BX94" t="s">
        <v>4097</v>
      </c>
      <c r="BY94" t="s">
        <v>4116</v>
      </c>
      <c r="BZ94" t="s">
        <v>4116</v>
      </c>
      <c r="CA94" t="s">
        <v>4118</v>
      </c>
      <c r="CB94" t="s">
        <v>4119</v>
      </c>
      <c r="CC94" t="s">
        <v>4053</v>
      </c>
      <c r="CD94" t="s">
        <v>4121</v>
      </c>
      <c r="CE94" t="s">
        <v>4055</v>
      </c>
      <c r="CF94" t="s">
        <v>4055</v>
      </c>
      <c r="CG94" t="s">
        <v>4056</v>
      </c>
      <c r="CI94" t="s">
        <v>4058</v>
      </c>
      <c r="CJ94" t="s">
        <v>4059</v>
      </c>
      <c r="CK94" t="s">
        <v>4060</v>
      </c>
      <c r="CL94" t="s">
        <v>4061</v>
      </c>
      <c r="CM94" t="s">
        <v>4055</v>
      </c>
      <c r="CN94" t="s">
        <v>4062</v>
      </c>
      <c r="CO94" t="s">
        <v>4063</v>
      </c>
      <c r="CP94" t="s">
        <v>4055</v>
      </c>
      <c r="CQ94" t="s">
        <v>4055</v>
      </c>
      <c r="CR94">
        <v>5</v>
      </c>
      <c r="CS94" t="s">
        <v>4055</v>
      </c>
      <c r="CT94">
        <v>15</v>
      </c>
      <c r="CU94" t="s">
        <v>4055</v>
      </c>
      <c r="CV94">
        <v>121</v>
      </c>
      <c r="CW94">
        <v>3</v>
      </c>
      <c r="CX94">
        <v>79</v>
      </c>
      <c r="CY94">
        <v>5</v>
      </c>
      <c r="CZ94">
        <v>77</v>
      </c>
      <c r="DA94">
        <v>5</v>
      </c>
      <c r="DB94">
        <v>10640</v>
      </c>
      <c r="DC94">
        <v>260</v>
      </c>
      <c r="DD94">
        <v>321</v>
      </c>
      <c r="DE94">
        <v>2130</v>
      </c>
      <c r="DF94">
        <v>2130</v>
      </c>
      <c r="DG94">
        <v>2150</v>
      </c>
      <c r="DH94" t="s">
        <v>4055</v>
      </c>
      <c r="DI94" t="s">
        <v>4055</v>
      </c>
      <c r="DJ94" t="s">
        <v>4064</v>
      </c>
      <c r="DK94">
        <v>185</v>
      </c>
      <c r="DL94" t="s">
        <v>4065</v>
      </c>
      <c r="DM94">
        <v>65</v>
      </c>
      <c r="DN94">
        <v>1.2</v>
      </c>
      <c r="DO94">
        <v>1</v>
      </c>
      <c r="DP94">
        <v>2029</v>
      </c>
      <c r="DQ94">
        <v>862</v>
      </c>
      <c r="DR94" t="s">
        <v>4064</v>
      </c>
      <c r="DS94">
        <v>175</v>
      </c>
      <c r="DT94" t="s">
        <v>4065</v>
      </c>
      <c r="DU94">
        <v>65</v>
      </c>
      <c r="DV94">
        <v>1.2</v>
      </c>
      <c r="DW94">
        <v>1</v>
      </c>
      <c r="DX94">
        <v>2041</v>
      </c>
      <c r="DY94">
        <v>820</v>
      </c>
      <c r="DZ94" t="s">
        <v>4066</v>
      </c>
      <c r="EA94">
        <v>20</v>
      </c>
      <c r="EB94" t="s">
        <v>4065</v>
      </c>
      <c r="EC94">
        <v>0.8</v>
      </c>
      <c r="ED94">
        <v>2029</v>
      </c>
      <c r="EE94">
        <v>71</v>
      </c>
      <c r="EG94">
        <v>0</v>
      </c>
      <c r="EH94" t="s">
        <v>4065</v>
      </c>
      <c r="EI94">
        <v>0</v>
      </c>
      <c r="EL94" t="s">
        <v>1528</v>
      </c>
      <c r="EM94">
        <v>12</v>
      </c>
      <c r="EN94">
        <v>0.5</v>
      </c>
      <c r="EO94">
        <v>0.96</v>
      </c>
      <c r="EP94">
        <v>2040.08</v>
      </c>
      <c r="EQ94">
        <v>32195.01</v>
      </c>
      <c r="ER94">
        <v>5754.69</v>
      </c>
      <c r="ES94">
        <v>0</v>
      </c>
      <c r="ET94">
        <v>0</v>
      </c>
      <c r="EU94">
        <v>1</v>
      </c>
      <c r="EV94">
        <v>37950</v>
      </c>
      <c r="EW94">
        <v>456</v>
      </c>
      <c r="EX94" t="s">
        <v>4363</v>
      </c>
      <c r="EY94">
        <v>210</v>
      </c>
      <c r="EZ94" t="s">
        <v>4055</v>
      </c>
      <c r="FA94">
        <v>5.2</v>
      </c>
      <c r="FB94">
        <v>1</v>
      </c>
      <c r="FC94">
        <v>1</v>
      </c>
      <c r="FD94">
        <v>2069</v>
      </c>
      <c r="FE94">
        <v>2491</v>
      </c>
      <c r="FF94" t="s">
        <v>4089</v>
      </c>
      <c r="FG94">
        <v>210</v>
      </c>
      <c r="FH94" t="s">
        <v>4055</v>
      </c>
      <c r="FI94">
        <v>1.6</v>
      </c>
      <c r="FJ94">
        <v>2069</v>
      </c>
      <c r="FK94">
        <v>684</v>
      </c>
      <c r="FL94" t="s">
        <v>4069</v>
      </c>
      <c r="FM94" t="s">
        <v>4055</v>
      </c>
      <c r="FN94" t="s">
        <v>4055</v>
      </c>
      <c r="FO94" t="s">
        <v>4055</v>
      </c>
      <c r="FP94">
        <v>2069</v>
      </c>
      <c r="FQ94">
        <v>115</v>
      </c>
      <c r="FR94" t="s">
        <v>4090</v>
      </c>
      <c r="FS94">
        <v>214</v>
      </c>
      <c r="FT94" t="s">
        <v>4055</v>
      </c>
      <c r="FU94">
        <v>0.4</v>
      </c>
      <c r="FV94">
        <v>2069</v>
      </c>
      <c r="FW94">
        <v>197</v>
      </c>
      <c r="FX94" t="s">
        <v>4070</v>
      </c>
      <c r="FY94">
        <v>5</v>
      </c>
      <c r="FZ94" t="s">
        <v>4055</v>
      </c>
      <c r="GA94" t="s">
        <v>4055</v>
      </c>
      <c r="GB94">
        <v>2069</v>
      </c>
      <c r="GC94">
        <v>17</v>
      </c>
      <c r="GD94">
        <v>3504</v>
      </c>
      <c r="GE94" t="s">
        <v>4451</v>
      </c>
      <c r="GF94" t="s">
        <v>4055</v>
      </c>
      <c r="GG94" t="s">
        <v>4055</v>
      </c>
      <c r="GH94" t="s">
        <v>4055</v>
      </c>
      <c r="GI94" t="s">
        <v>4071</v>
      </c>
      <c r="GJ94" t="s">
        <v>4055</v>
      </c>
      <c r="GK94" t="s">
        <v>4055</v>
      </c>
      <c r="GL94" t="s">
        <v>4055</v>
      </c>
      <c r="GM94" t="s">
        <v>4055</v>
      </c>
      <c r="GQ94">
        <v>0</v>
      </c>
      <c r="GV94">
        <v>7.2</v>
      </c>
      <c r="GW94">
        <v>8.5</v>
      </c>
      <c r="GX94">
        <v>0.5</v>
      </c>
      <c r="GY94">
        <v>172</v>
      </c>
      <c r="GZ94">
        <v>3</v>
      </c>
      <c r="HA94">
        <v>228</v>
      </c>
      <c r="HB94">
        <v>3</v>
      </c>
      <c r="HC94">
        <v>2069</v>
      </c>
      <c r="HD94">
        <v>4</v>
      </c>
      <c r="HE94" t="s">
        <v>4071</v>
      </c>
      <c r="HG94" t="s">
        <v>549</v>
      </c>
      <c r="HL94">
        <v>4</v>
      </c>
      <c r="HM94">
        <v>18</v>
      </c>
      <c r="HN94">
        <v>6</v>
      </c>
      <c r="HO94">
        <v>1</v>
      </c>
      <c r="HP94">
        <v>0</v>
      </c>
      <c r="HQ94">
        <v>2</v>
      </c>
      <c r="HR94">
        <v>1</v>
      </c>
      <c r="HS94">
        <v>2025</v>
      </c>
      <c r="HT94">
        <v>5</v>
      </c>
      <c r="HU94">
        <v>1</v>
      </c>
      <c r="HV94">
        <v>3</v>
      </c>
      <c r="HW94">
        <v>0</v>
      </c>
      <c r="HX94">
        <v>1</v>
      </c>
      <c r="HY94">
        <v>0</v>
      </c>
      <c r="HZ94">
        <v>65</v>
      </c>
      <c r="IA94">
        <v>2029</v>
      </c>
      <c r="IB94">
        <v>2041</v>
      </c>
      <c r="ID94">
        <v>2069</v>
      </c>
      <c r="IE94">
        <v>2069</v>
      </c>
      <c r="IF94">
        <v>185</v>
      </c>
      <c r="IG94">
        <v>175</v>
      </c>
      <c r="IH94">
        <v>228</v>
      </c>
      <c r="II94">
        <v>1</v>
      </c>
      <c r="IJ94">
        <v>5</v>
      </c>
      <c r="IK94">
        <v>0</v>
      </c>
      <c r="IL94">
        <v>0</v>
      </c>
      <c r="IM94">
        <v>0</v>
      </c>
      <c r="IN94">
        <v>270</v>
      </c>
      <c r="IO94">
        <v>0</v>
      </c>
      <c r="IP94">
        <v>180</v>
      </c>
      <c r="IQ94">
        <v>0</v>
      </c>
      <c r="IR94">
        <v>330</v>
      </c>
      <c r="IS94">
        <v>0</v>
      </c>
      <c r="IT94">
        <v>90</v>
      </c>
      <c r="IU94">
        <v>0</v>
      </c>
      <c r="IV94">
        <v>6.4</v>
      </c>
      <c r="IW94">
        <v>-6</v>
      </c>
      <c r="IX94">
        <v>95</v>
      </c>
      <c r="IY94">
        <v>77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366</v>
      </c>
      <c r="JJ94">
        <v>336</v>
      </c>
      <c r="JK94">
        <v>252</v>
      </c>
      <c r="JL94">
        <v>334</v>
      </c>
      <c r="JM94">
        <v>280</v>
      </c>
      <c r="JN94">
        <v>185</v>
      </c>
      <c r="JO94">
        <v>238</v>
      </c>
      <c r="JP94">
        <v>220</v>
      </c>
      <c r="JQ94">
        <v>235</v>
      </c>
      <c r="JR94">
        <v>320</v>
      </c>
      <c r="JS94">
        <v>230</v>
      </c>
      <c r="JT94">
        <v>0</v>
      </c>
      <c r="JU94">
        <v>0</v>
      </c>
      <c r="JV94">
        <v>315</v>
      </c>
      <c r="JW94">
        <v>315</v>
      </c>
      <c r="JX94">
        <v>0</v>
      </c>
      <c r="JY94">
        <v>0</v>
      </c>
      <c r="JZ94">
        <v>0</v>
      </c>
      <c r="KA94">
        <v>0.2</v>
      </c>
      <c r="KB94">
        <v>0.4</v>
      </c>
      <c r="KC94">
        <v>0.42</v>
      </c>
      <c r="KD94">
        <v>0.28</v>
      </c>
      <c r="KE94">
        <v>0.5</v>
      </c>
      <c r="KF94">
        <v>0.18</v>
      </c>
      <c r="KG94">
        <v>0.11</v>
      </c>
      <c r="KH94">
        <v>3.5</v>
      </c>
      <c r="KI94">
        <v>1</v>
      </c>
      <c r="KJ94">
        <v>4.5</v>
      </c>
      <c r="KK94">
        <v>0.5</v>
      </c>
      <c r="KL94">
        <v>4.5</v>
      </c>
      <c r="KM94">
        <v>0.5</v>
      </c>
      <c r="KN94">
        <v>1.3</v>
      </c>
      <c r="KO94">
        <v>0</v>
      </c>
      <c r="KP94">
        <v>0</v>
      </c>
      <c r="KQ94">
        <v>0.8</v>
      </c>
      <c r="KR94">
        <v>0.8</v>
      </c>
      <c r="KS94">
        <v>0.2</v>
      </c>
      <c r="KT94">
        <v>2.3</v>
      </c>
      <c r="KU94">
        <v>0</v>
      </c>
      <c r="KV94">
        <v>0</v>
      </c>
      <c r="KW94">
        <v>1</v>
      </c>
      <c r="KX94">
        <v>2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3</v>
      </c>
      <c r="LI94">
        <v>0</v>
      </c>
      <c r="LJ94">
        <v>0</v>
      </c>
      <c r="LK94">
        <v>4.5</v>
      </c>
      <c r="LL94">
        <v>6</v>
      </c>
      <c r="LM94">
        <v>7</v>
      </c>
      <c r="LN94">
        <v>0.4</v>
      </c>
      <c r="LO94">
        <v>3.5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1.9</v>
      </c>
      <c r="LX94">
        <v>1.9</v>
      </c>
      <c r="LY94">
        <v>2.3</v>
      </c>
      <c r="LZ94">
        <v>2.3</v>
      </c>
      <c r="MA94">
        <v>0</v>
      </c>
      <c r="MB94">
        <v>3</v>
      </c>
      <c r="MC94">
        <v>0</v>
      </c>
      <c r="MD94">
        <v>4.5</v>
      </c>
      <c r="ME94">
        <v>6</v>
      </c>
      <c r="MF94">
        <v>6</v>
      </c>
      <c r="MI94">
        <v>0</v>
      </c>
      <c r="MJ94">
        <v>0</v>
      </c>
      <c r="ML94">
        <v>0</v>
      </c>
      <c r="MM94">
        <v>390</v>
      </c>
      <c r="MN94">
        <v>180</v>
      </c>
      <c r="MO94">
        <v>238</v>
      </c>
      <c r="NH94">
        <v>0</v>
      </c>
      <c r="NJ94">
        <v>0</v>
      </c>
      <c r="NK94">
        <v>0</v>
      </c>
      <c r="NM94">
        <v>0</v>
      </c>
      <c r="NU94">
        <v>0.15</v>
      </c>
      <c r="NV94">
        <v>0.2</v>
      </c>
      <c r="NW94">
        <v>0.2</v>
      </c>
      <c r="NX94">
        <v>2</v>
      </c>
      <c r="NY94">
        <v>2</v>
      </c>
      <c r="NZ94">
        <v>2</v>
      </c>
      <c r="OE94" t="s">
        <v>4451</v>
      </c>
      <c r="OF94" t="s">
        <v>4449</v>
      </c>
      <c r="OG94" t="s">
        <v>4450</v>
      </c>
      <c r="OH94" t="s">
        <v>4043</v>
      </c>
      <c r="OI94" t="s">
        <v>4451</v>
      </c>
      <c r="OJ94" t="s">
        <v>4448</v>
      </c>
      <c r="OK94">
        <v>61</v>
      </c>
      <c r="OL94">
        <v>61</v>
      </c>
      <c r="OM94" t="s">
        <v>4449</v>
      </c>
      <c r="ON94">
        <v>1</v>
      </c>
      <c r="OO94">
        <v>2029</v>
      </c>
      <c r="OP94">
        <v>61</v>
      </c>
      <c r="OQ94">
        <v>61</v>
      </c>
      <c r="OR94" t="s">
        <v>4450</v>
      </c>
      <c r="OS94">
        <v>1</v>
      </c>
      <c r="OT94">
        <v>2041</v>
      </c>
      <c r="OU94">
        <v>65</v>
      </c>
      <c r="OV94">
        <v>65</v>
      </c>
      <c r="OW94" t="s">
        <v>4043</v>
      </c>
      <c r="OX94">
        <v>1</v>
      </c>
      <c r="OY94">
        <v>37950</v>
      </c>
      <c r="OZ94">
        <v>51</v>
      </c>
      <c r="PA94">
        <v>51</v>
      </c>
      <c r="PB94" t="s">
        <v>4451</v>
      </c>
      <c r="PC94">
        <v>2</v>
      </c>
      <c r="PD94">
        <v>2069</v>
      </c>
      <c r="PF94">
        <v>425</v>
      </c>
      <c r="PG94">
        <v>35</v>
      </c>
      <c r="PH94">
        <v>402</v>
      </c>
      <c r="PI94">
        <v>0</v>
      </c>
      <c r="PJ94">
        <v>55.8</v>
      </c>
      <c r="PK94">
        <v>1692</v>
      </c>
      <c r="PL94">
        <v>1204</v>
      </c>
      <c r="PM94">
        <v>330.5</v>
      </c>
      <c r="PN94">
        <v>95.2</v>
      </c>
      <c r="PO94">
        <v>8.4</v>
      </c>
      <c r="PP94">
        <v>12</v>
      </c>
      <c r="PQ94">
        <v>3</v>
      </c>
      <c r="PR94">
        <v>3</v>
      </c>
      <c r="PS94">
        <v>0</v>
      </c>
      <c r="PT94">
        <v>228</v>
      </c>
      <c r="PU94">
        <v>9</v>
      </c>
      <c r="PV94" t="s">
        <v>4072</v>
      </c>
      <c r="PW94" t="s">
        <v>4072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-1</v>
      </c>
      <c r="QF94">
        <v>1</v>
      </c>
      <c r="QG94">
        <v>0</v>
      </c>
      <c r="QH94">
        <v>5</v>
      </c>
      <c r="QI94">
        <v>5</v>
      </c>
      <c r="QJ94">
        <v>5</v>
      </c>
      <c r="QK94">
        <v>177</v>
      </c>
      <c r="QL94">
        <v>400</v>
      </c>
      <c r="QM94">
        <v>7.5</v>
      </c>
      <c r="QN94">
        <v>1461.1</v>
      </c>
      <c r="QO94" t="s">
        <v>1477</v>
      </c>
      <c r="QP94" t="s">
        <v>513</v>
      </c>
      <c r="QQ94">
        <v>0</v>
      </c>
      <c r="QR94" t="s">
        <v>1496</v>
      </c>
      <c r="QS94">
        <v>30</v>
      </c>
      <c r="QT94">
        <v>40</v>
      </c>
    </row>
    <row r="95" spans="1:462">
      <c r="A95" t="s">
        <v>1753</v>
      </c>
      <c r="B95" t="s">
        <v>629</v>
      </c>
      <c r="C95" t="s">
        <v>509</v>
      </c>
      <c r="D95" t="s">
        <v>1851</v>
      </c>
      <c r="E95" t="s">
        <v>4036</v>
      </c>
      <c r="H95" t="s">
        <v>604</v>
      </c>
      <c r="I95" t="s">
        <v>605</v>
      </c>
      <c r="J95" t="s">
        <v>628</v>
      </c>
      <c r="K95" t="s">
        <v>606</v>
      </c>
      <c r="L95" t="s">
        <v>711</v>
      </c>
      <c r="M95" t="s">
        <v>512</v>
      </c>
      <c r="O95" t="s">
        <v>513</v>
      </c>
      <c r="P95" t="s">
        <v>567</v>
      </c>
      <c r="Q95" t="s">
        <v>1754</v>
      </c>
      <c r="R95" t="s">
        <v>927</v>
      </c>
      <c r="S95" t="s">
        <v>4073</v>
      </c>
      <c r="T95" t="s">
        <v>686</v>
      </c>
      <c r="U95" t="s">
        <v>687</v>
      </c>
      <c r="V95" t="s">
        <v>1755</v>
      </c>
      <c r="W95" t="s">
        <v>1460</v>
      </c>
      <c r="X95" t="s">
        <v>1756</v>
      </c>
      <c r="Y95" t="s">
        <v>1757</v>
      </c>
      <c r="Z95" t="s">
        <v>650</v>
      </c>
      <c r="AA95" t="s">
        <v>4038</v>
      </c>
      <c r="AB95" t="s">
        <v>4452</v>
      </c>
      <c r="AC95">
        <v>13</v>
      </c>
      <c r="AD95" t="s">
        <v>1752</v>
      </c>
      <c r="AE95">
        <v>4</v>
      </c>
      <c r="AF95">
        <v>5913</v>
      </c>
      <c r="AG95" t="s">
        <v>4196</v>
      </c>
      <c r="AH95">
        <v>1</v>
      </c>
      <c r="AI95" t="s">
        <v>4041</v>
      </c>
      <c r="AK95" t="s">
        <v>4197</v>
      </c>
      <c r="AL95">
        <v>1</v>
      </c>
      <c r="AM95" t="s">
        <v>582</v>
      </c>
      <c r="AO95" t="s">
        <v>4043</v>
      </c>
      <c r="AP95">
        <v>1</v>
      </c>
      <c r="AR95" t="s">
        <v>4453</v>
      </c>
      <c r="AS95">
        <v>1</v>
      </c>
      <c r="AT95">
        <v>51</v>
      </c>
      <c r="AV95" t="s">
        <v>4045</v>
      </c>
      <c r="AW95">
        <v>6.4</v>
      </c>
      <c r="AX95">
        <v>-6</v>
      </c>
      <c r="AY95">
        <v>118.5</v>
      </c>
      <c r="AZ95">
        <v>109</v>
      </c>
      <c r="BH95">
        <v>118.5</v>
      </c>
      <c r="BI95">
        <v>9.5</v>
      </c>
      <c r="BJ95">
        <v>109</v>
      </c>
      <c r="BK95">
        <v>3.5</v>
      </c>
      <c r="BL95">
        <v>237</v>
      </c>
      <c r="BM95">
        <v>-6</v>
      </c>
      <c r="BN95">
        <v>0</v>
      </c>
      <c r="BP95">
        <v>0</v>
      </c>
      <c r="BR95">
        <v>230</v>
      </c>
      <c r="BS95">
        <v>220</v>
      </c>
      <c r="BT95">
        <v>2165</v>
      </c>
      <c r="BU95" t="s">
        <v>4079</v>
      </c>
      <c r="BV95" t="s">
        <v>4127</v>
      </c>
      <c r="BW95" t="s">
        <v>4081</v>
      </c>
      <c r="BX95" t="s">
        <v>4128</v>
      </c>
      <c r="BY95" t="s">
        <v>4221</v>
      </c>
      <c r="BZ95" t="s">
        <v>4221</v>
      </c>
      <c r="CA95" t="s">
        <v>4130</v>
      </c>
      <c r="CB95" t="s">
        <v>4131</v>
      </c>
      <c r="CC95" t="s">
        <v>4053</v>
      </c>
      <c r="CD95" t="s">
        <v>4055</v>
      </c>
      <c r="CE95" t="s">
        <v>4055</v>
      </c>
      <c r="CF95" t="s">
        <v>4055</v>
      </c>
      <c r="CG95" t="s">
        <v>4056</v>
      </c>
      <c r="CI95" t="s">
        <v>4086</v>
      </c>
      <c r="CJ95" t="s">
        <v>4059</v>
      </c>
      <c r="CK95" t="s">
        <v>4060</v>
      </c>
      <c r="CL95" t="s">
        <v>4061</v>
      </c>
      <c r="CM95" t="s">
        <v>4062</v>
      </c>
      <c r="CN95" t="s">
        <v>4055</v>
      </c>
      <c r="CO95" t="s">
        <v>4063</v>
      </c>
      <c r="CP95" t="s">
        <v>4055</v>
      </c>
      <c r="CQ95" t="s">
        <v>4055</v>
      </c>
      <c r="CR95">
        <v>5</v>
      </c>
      <c r="CS95" t="s">
        <v>4055</v>
      </c>
      <c r="CT95" t="s">
        <v>4055</v>
      </c>
      <c r="CU95" t="s">
        <v>4055</v>
      </c>
      <c r="CV95">
        <v>143</v>
      </c>
      <c r="CW95">
        <v>3</v>
      </c>
      <c r="CX95">
        <v>124</v>
      </c>
      <c r="CY95">
        <v>5</v>
      </c>
      <c r="CZ95">
        <v>163</v>
      </c>
      <c r="DA95">
        <v>5</v>
      </c>
      <c r="DB95">
        <v>13740</v>
      </c>
      <c r="DC95">
        <v>410</v>
      </c>
      <c r="DD95">
        <v>360</v>
      </c>
      <c r="DE95">
        <v>2285</v>
      </c>
      <c r="DF95">
        <v>2280</v>
      </c>
      <c r="DG95">
        <v>2295</v>
      </c>
      <c r="DH95">
        <v>1</v>
      </c>
      <c r="DI95" t="s">
        <v>4055</v>
      </c>
      <c r="DJ95" t="s">
        <v>4087</v>
      </c>
      <c r="DK95">
        <v>230</v>
      </c>
      <c r="DL95" t="s">
        <v>4065</v>
      </c>
      <c r="DM95">
        <v>65</v>
      </c>
      <c r="DN95">
        <v>1.36</v>
      </c>
      <c r="DO95">
        <v>1</v>
      </c>
      <c r="DP95">
        <v>2169</v>
      </c>
      <c r="DQ95">
        <v>1256</v>
      </c>
      <c r="DR95" t="s">
        <v>4087</v>
      </c>
      <c r="DS95">
        <v>220</v>
      </c>
      <c r="DT95" t="s">
        <v>4065</v>
      </c>
      <c r="DU95">
        <v>65</v>
      </c>
      <c r="DV95">
        <v>1.36</v>
      </c>
      <c r="DW95">
        <v>1</v>
      </c>
      <c r="DX95">
        <v>2183</v>
      </c>
      <c r="DY95">
        <v>1209</v>
      </c>
      <c r="DZ95" t="s">
        <v>4066</v>
      </c>
      <c r="EA95">
        <v>20</v>
      </c>
      <c r="EB95" t="s">
        <v>4065</v>
      </c>
      <c r="EC95">
        <v>0.8</v>
      </c>
      <c r="ED95">
        <v>2169</v>
      </c>
      <c r="EE95">
        <v>76</v>
      </c>
      <c r="EG95">
        <v>0</v>
      </c>
      <c r="EH95" t="s">
        <v>4065</v>
      </c>
      <c r="EI95">
        <v>0</v>
      </c>
      <c r="EL95" t="s">
        <v>1528</v>
      </c>
      <c r="EM95">
        <v>12</v>
      </c>
      <c r="EN95">
        <v>0.5</v>
      </c>
      <c r="EO95">
        <v>0.96</v>
      </c>
      <c r="EP95">
        <v>2182.1</v>
      </c>
      <c r="EQ95">
        <v>42448.66</v>
      </c>
      <c r="ER95">
        <v>3248.01</v>
      </c>
      <c r="ES95">
        <v>0</v>
      </c>
      <c r="ET95">
        <v>0</v>
      </c>
      <c r="EU95">
        <v>1</v>
      </c>
      <c r="EV95">
        <v>45697</v>
      </c>
      <c r="EW95">
        <v>549</v>
      </c>
      <c r="EX95" t="s">
        <v>4363</v>
      </c>
      <c r="EY95">
        <v>244</v>
      </c>
      <c r="EZ95" t="s">
        <v>4055</v>
      </c>
      <c r="FA95">
        <v>5.5</v>
      </c>
      <c r="FB95">
        <v>1</v>
      </c>
      <c r="FC95">
        <v>1</v>
      </c>
      <c r="FD95">
        <v>2212</v>
      </c>
      <c r="FE95">
        <v>3316</v>
      </c>
      <c r="FF95" t="s">
        <v>4089</v>
      </c>
      <c r="FG95">
        <v>244</v>
      </c>
      <c r="FH95" t="s">
        <v>4055</v>
      </c>
      <c r="FI95">
        <v>1.6</v>
      </c>
      <c r="FJ95">
        <v>2212</v>
      </c>
      <c r="FK95">
        <v>893</v>
      </c>
      <c r="FL95" t="s">
        <v>4069</v>
      </c>
      <c r="FM95" t="s">
        <v>4055</v>
      </c>
      <c r="FN95" t="s">
        <v>4055</v>
      </c>
      <c r="FO95" t="s">
        <v>4055</v>
      </c>
      <c r="FP95">
        <v>2212</v>
      </c>
      <c r="FQ95">
        <v>265</v>
      </c>
      <c r="FR95" t="s">
        <v>4090</v>
      </c>
      <c r="FS95">
        <v>248</v>
      </c>
      <c r="FT95" t="s">
        <v>4055</v>
      </c>
      <c r="FU95">
        <v>0.4</v>
      </c>
      <c r="FV95">
        <v>2212</v>
      </c>
      <c r="FW95">
        <v>244</v>
      </c>
      <c r="FX95" t="s">
        <v>4070</v>
      </c>
      <c r="FY95">
        <v>5</v>
      </c>
      <c r="FZ95" t="s">
        <v>4055</v>
      </c>
      <c r="GA95" t="s">
        <v>4055</v>
      </c>
      <c r="GB95">
        <v>2212</v>
      </c>
      <c r="GC95">
        <v>19</v>
      </c>
      <c r="GD95">
        <v>4737</v>
      </c>
      <c r="GE95" t="s">
        <v>4453</v>
      </c>
      <c r="GF95" t="s">
        <v>4055</v>
      </c>
      <c r="GG95" t="s">
        <v>4055</v>
      </c>
      <c r="GH95" t="s">
        <v>4055</v>
      </c>
      <c r="GI95" t="s">
        <v>4071</v>
      </c>
      <c r="GJ95" t="s">
        <v>4055</v>
      </c>
      <c r="GK95" t="s">
        <v>4055</v>
      </c>
      <c r="GL95" t="s">
        <v>4055</v>
      </c>
      <c r="GM95" t="s">
        <v>4055</v>
      </c>
      <c r="GQ95">
        <v>0</v>
      </c>
      <c r="GV95">
        <v>7.5</v>
      </c>
      <c r="GW95">
        <v>9</v>
      </c>
      <c r="GX95">
        <v>0.5</v>
      </c>
      <c r="GY95">
        <v>222</v>
      </c>
      <c r="GZ95">
        <v>3</v>
      </c>
      <c r="HA95">
        <v>274</v>
      </c>
      <c r="HB95">
        <v>3</v>
      </c>
      <c r="HC95">
        <v>2212</v>
      </c>
      <c r="HD95">
        <v>4</v>
      </c>
      <c r="HE95" t="s">
        <v>4071</v>
      </c>
      <c r="HG95" t="s">
        <v>549</v>
      </c>
      <c r="HL95">
        <v>4</v>
      </c>
      <c r="HM95">
        <v>19</v>
      </c>
      <c r="HN95">
        <v>1</v>
      </c>
      <c r="HO95">
        <v>1</v>
      </c>
      <c r="HP95">
        <v>0</v>
      </c>
      <c r="HQ95">
        <v>0</v>
      </c>
      <c r="HR95">
        <v>1</v>
      </c>
      <c r="HS95">
        <v>2165</v>
      </c>
      <c r="HT95">
        <v>5</v>
      </c>
      <c r="HU95">
        <v>1</v>
      </c>
      <c r="HV95">
        <v>3</v>
      </c>
      <c r="HW95">
        <v>0</v>
      </c>
      <c r="HX95">
        <v>1</v>
      </c>
      <c r="HY95">
        <v>0</v>
      </c>
      <c r="HZ95">
        <v>65</v>
      </c>
      <c r="IA95">
        <v>2169</v>
      </c>
      <c r="IB95">
        <v>2183</v>
      </c>
      <c r="ID95">
        <v>2212</v>
      </c>
      <c r="IE95">
        <v>2212</v>
      </c>
      <c r="IF95">
        <v>230</v>
      </c>
      <c r="IG95">
        <v>220</v>
      </c>
      <c r="IH95">
        <v>274</v>
      </c>
      <c r="II95">
        <v>1</v>
      </c>
      <c r="IJ95">
        <v>5</v>
      </c>
      <c r="IK95">
        <v>0</v>
      </c>
      <c r="IL95">
        <v>0</v>
      </c>
      <c r="IM95">
        <v>0</v>
      </c>
      <c r="IN95">
        <v>270</v>
      </c>
      <c r="IO95">
        <v>0</v>
      </c>
      <c r="IP95">
        <v>180</v>
      </c>
      <c r="IQ95">
        <v>0</v>
      </c>
      <c r="IR95">
        <v>330</v>
      </c>
      <c r="IS95">
        <v>0</v>
      </c>
      <c r="IT95">
        <v>90</v>
      </c>
      <c r="IU95">
        <v>0</v>
      </c>
      <c r="IV95">
        <v>6.4</v>
      </c>
      <c r="IW95">
        <v>-6</v>
      </c>
      <c r="IX95">
        <v>118.5</v>
      </c>
      <c r="IY95">
        <v>109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432</v>
      </c>
      <c r="JJ95">
        <v>402</v>
      </c>
      <c r="JK95">
        <v>290</v>
      </c>
      <c r="JL95">
        <v>402</v>
      </c>
      <c r="JM95">
        <v>300</v>
      </c>
      <c r="JN95">
        <v>230</v>
      </c>
      <c r="JO95">
        <v>280</v>
      </c>
      <c r="JP95">
        <v>195</v>
      </c>
      <c r="JQ95">
        <v>245</v>
      </c>
      <c r="JR95">
        <v>328</v>
      </c>
      <c r="JS95">
        <v>276</v>
      </c>
      <c r="JT95">
        <v>0</v>
      </c>
      <c r="JU95">
        <v>0</v>
      </c>
      <c r="JV95">
        <v>330</v>
      </c>
      <c r="JW95">
        <v>280</v>
      </c>
      <c r="JX95">
        <v>326</v>
      </c>
      <c r="JY95">
        <v>0</v>
      </c>
      <c r="JZ95">
        <v>2</v>
      </c>
      <c r="KA95">
        <v>0.2</v>
      </c>
      <c r="KB95">
        <v>0.4</v>
      </c>
      <c r="KC95">
        <v>0.42</v>
      </c>
      <c r="KD95">
        <v>0.3</v>
      </c>
      <c r="KE95">
        <v>0.7</v>
      </c>
      <c r="KF95">
        <v>0.18</v>
      </c>
      <c r="KG95">
        <v>0.11</v>
      </c>
      <c r="KH95">
        <v>3.5</v>
      </c>
      <c r="KI95">
        <v>1</v>
      </c>
      <c r="KJ95">
        <v>4.5</v>
      </c>
      <c r="KK95">
        <v>0</v>
      </c>
      <c r="KL95">
        <v>4.5</v>
      </c>
      <c r="KM95">
        <v>0.5</v>
      </c>
      <c r="KN95">
        <v>1.9</v>
      </c>
      <c r="KO95">
        <v>1</v>
      </c>
      <c r="KP95">
        <v>0</v>
      </c>
      <c r="KQ95">
        <v>0.7</v>
      </c>
      <c r="KR95">
        <v>0.7</v>
      </c>
      <c r="KS95">
        <v>0</v>
      </c>
      <c r="KT95">
        <v>2.6</v>
      </c>
      <c r="KU95">
        <v>0</v>
      </c>
      <c r="KV95">
        <v>0</v>
      </c>
      <c r="KW95">
        <v>1.2</v>
      </c>
      <c r="KX95">
        <v>1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3</v>
      </c>
      <c r="LI95">
        <v>0</v>
      </c>
      <c r="LJ95">
        <v>0</v>
      </c>
      <c r="LK95">
        <v>11</v>
      </c>
      <c r="LL95">
        <v>9</v>
      </c>
      <c r="LM95">
        <v>13</v>
      </c>
      <c r="LN95">
        <v>3</v>
      </c>
      <c r="LO95">
        <v>0.1</v>
      </c>
      <c r="LP95">
        <v>0</v>
      </c>
      <c r="LQ95">
        <v>0</v>
      </c>
      <c r="LR95">
        <v>0</v>
      </c>
      <c r="LS95">
        <v>1</v>
      </c>
      <c r="LT95">
        <v>520</v>
      </c>
      <c r="LU95">
        <v>0</v>
      </c>
      <c r="LV95">
        <v>0</v>
      </c>
      <c r="LW95">
        <v>1.8</v>
      </c>
      <c r="LX95">
        <v>1.8</v>
      </c>
      <c r="LY95">
        <v>2</v>
      </c>
      <c r="LZ95">
        <v>2</v>
      </c>
      <c r="MA95">
        <v>0</v>
      </c>
      <c r="MB95">
        <v>5</v>
      </c>
      <c r="MC95">
        <v>0</v>
      </c>
      <c r="MD95">
        <v>4.5</v>
      </c>
      <c r="ME95">
        <v>6</v>
      </c>
      <c r="MF95">
        <v>6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452</v>
      </c>
      <c r="MN95">
        <v>225</v>
      </c>
      <c r="MO95">
        <v>280</v>
      </c>
      <c r="NU95">
        <v>0.15</v>
      </c>
      <c r="NV95">
        <v>0.2</v>
      </c>
      <c r="NW95">
        <v>0.2</v>
      </c>
      <c r="NX95">
        <v>0.2</v>
      </c>
      <c r="NY95">
        <v>0.2</v>
      </c>
      <c r="NZ95">
        <v>0.2</v>
      </c>
      <c r="OE95" t="s">
        <v>4453</v>
      </c>
      <c r="OF95" t="s">
        <v>4196</v>
      </c>
      <c r="OG95" t="s">
        <v>4197</v>
      </c>
      <c r="OH95" t="s">
        <v>4043</v>
      </c>
      <c r="OI95" t="s">
        <v>4453</v>
      </c>
      <c r="OJ95" t="s">
        <v>4452</v>
      </c>
      <c r="OK95">
        <v>61</v>
      </c>
      <c r="OL95">
        <v>61</v>
      </c>
      <c r="OM95" t="s">
        <v>4196</v>
      </c>
      <c r="ON95">
        <v>2</v>
      </c>
      <c r="OO95">
        <v>2169</v>
      </c>
      <c r="OP95">
        <v>61</v>
      </c>
      <c r="OQ95">
        <v>61</v>
      </c>
      <c r="OR95" t="s">
        <v>4197</v>
      </c>
      <c r="OS95">
        <v>2</v>
      </c>
      <c r="OT95">
        <v>2183</v>
      </c>
      <c r="OU95">
        <v>65</v>
      </c>
      <c r="OV95">
        <v>65</v>
      </c>
      <c r="OW95" t="s">
        <v>4043</v>
      </c>
      <c r="OX95">
        <v>1</v>
      </c>
      <c r="OY95">
        <v>45697</v>
      </c>
      <c r="OZ95">
        <v>51</v>
      </c>
      <c r="PA95">
        <v>51</v>
      </c>
      <c r="PB95" t="s">
        <v>4453</v>
      </c>
      <c r="PC95">
        <v>1</v>
      </c>
      <c r="PD95">
        <v>2212</v>
      </c>
      <c r="PF95">
        <v>579</v>
      </c>
      <c r="PG95">
        <v>35</v>
      </c>
      <c r="PH95">
        <v>554</v>
      </c>
      <c r="PI95">
        <v>0</v>
      </c>
      <c r="PJ95">
        <v>120</v>
      </c>
      <c r="PK95">
        <v>2133</v>
      </c>
      <c r="PL95">
        <v>1499.1</v>
      </c>
      <c r="PM95">
        <v>403.5</v>
      </c>
      <c r="PN95">
        <v>110.4</v>
      </c>
      <c r="PO95">
        <v>8.699999999999999</v>
      </c>
      <c r="PP95">
        <v>12</v>
      </c>
      <c r="PQ95">
        <v>5</v>
      </c>
      <c r="PR95">
        <v>5</v>
      </c>
      <c r="PS95">
        <v>0</v>
      </c>
      <c r="PT95">
        <v>274</v>
      </c>
      <c r="PU95">
        <v>15</v>
      </c>
      <c r="PV95" t="s">
        <v>4072</v>
      </c>
      <c r="PW95" t="s">
        <v>4072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-1</v>
      </c>
      <c r="QF95">
        <v>1</v>
      </c>
      <c r="QG95">
        <v>0</v>
      </c>
      <c r="QH95">
        <v>5</v>
      </c>
      <c r="QI95">
        <v>5</v>
      </c>
      <c r="QJ95">
        <v>5</v>
      </c>
      <c r="QK95">
        <v>231</v>
      </c>
      <c r="QL95">
        <v>462</v>
      </c>
      <c r="QM95">
        <v>7.5</v>
      </c>
      <c r="QN95">
        <v>1544.1</v>
      </c>
      <c r="QO95" t="s">
        <v>1477</v>
      </c>
      <c r="QP95" t="s">
        <v>513</v>
      </c>
      <c r="QQ95">
        <v>0</v>
      </c>
      <c r="QR95" t="s">
        <v>704</v>
      </c>
      <c r="QS95">
        <v>40</v>
      </c>
      <c r="QT95">
        <v>50</v>
      </c>
    </row>
    <row r="96" spans="1:462">
      <c r="A96" t="s">
        <v>1765</v>
      </c>
      <c r="B96" t="s">
        <v>897</v>
      </c>
      <c r="C96" t="s">
        <v>509</v>
      </c>
      <c r="D96" t="s">
        <v>1890</v>
      </c>
      <c r="E96" t="s">
        <v>4036</v>
      </c>
      <c r="H96" t="s">
        <v>604</v>
      </c>
      <c r="I96" t="s">
        <v>605</v>
      </c>
      <c r="K96" t="s">
        <v>606</v>
      </c>
      <c r="L96" t="s">
        <v>657</v>
      </c>
      <c r="M96" t="s">
        <v>512</v>
      </c>
      <c r="O96" t="s">
        <v>513</v>
      </c>
      <c r="P96" t="s">
        <v>567</v>
      </c>
      <c r="Q96" t="s">
        <v>1766</v>
      </c>
      <c r="R96" t="s">
        <v>1767</v>
      </c>
      <c r="S96" t="s">
        <v>4170</v>
      </c>
      <c r="T96" t="s">
        <v>1482</v>
      </c>
      <c r="U96" t="s">
        <v>1483</v>
      </c>
      <c r="V96" t="s">
        <v>1484</v>
      </c>
      <c r="W96" t="s">
        <v>1460</v>
      </c>
      <c r="X96" t="s">
        <v>1768</v>
      </c>
      <c r="Y96" t="s">
        <v>1769</v>
      </c>
      <c r="Z96" t="s">
        <v>541</v>
      </c>
      <c r="AA96" t="s">
        <v>4038</v>
      </c>
      <c r="AB96" t="s">
        <v>4454</v>
      </c>
      <c r="AC96">
        <v>13</v>
      </c>
      <c r="AD96" t="s">
        <v>1764</v>
      </c>
      <c r="AE96">
        <v>8</v>
      </c>
      <c r="AF96">
        <v>3713</v>
      </c>
      <c r="AG96" t="s">
        <v>4455</v>
      </c>
      <c r="AH96">
        <v>1</v>
      </c>
      <c r="AI96" t="s">
        <v>4041</v>
      </c>
      <c r="AK96" t="s">
        <v>4456</v>
      </c>
      <c r="AL96">
        <v>1</v>
      </c>
      <c r="AM96" t="s">
        <v>582</v>
      </c>
      <c r="AO96" t="s">
        <v>4353</v>
      </c>
      <c r="AP96">
        <v>1</v>
      </c>
      <c r="AR96" t="s">
        <v>4457</v>
      </c>
      <c r="AS96">
        <v>1</v>
      </c>
      <c r="AT96">
        <v>52</v>
      </c>
      <c r="AV96" t="s">
        <v>4078</v>
      </c>
      <c r="AW96">
        <v>6.4</v>
      </c>
      <c r="AX96">
        <v>-6</v>
      </c>
      <c r="AY96">
        <v>83.5</v>
      </c>
      <c r="AZ96">
        <v>64</v>
      </c>
      <c r="BH96">
        <v>83.5</v>
      </c>
      <c r="BI96">
        <v>19.5</v>
      </c>
      <c r="BJ96">
        <v>64</v>
      </c>
      <c r="BK96">
        <v>3.5</v>
      </c>
      <c r="BL96">
        <v>167</v>
      </c>
      <c r="BM96">
        <v>-6</v>
      </c>
      <c r="BN96">
        <v>0</v>
      </c>
      <c r="BP96">
        <v>0</v>
      </c>
      <c r="BR96">
        <v>160</v>
      </c>
      <c r="BS96">
        <v>150</v>
      </c>
      <c r="BT96">
        <v>1795</v>
      </c>
      <c r="BU96" t="s">
        <v>4046</v>
      </c>
      <c r="BV96" t="s">
        <v>4046</v>
      </c>
      <c r="BW96" t="s">
        <v>4048</v>
      </c>
      <c r="BX96" t="s">
        <v>4048</v>
      </c>
      <c r="BY96" t="s">
        <v>4413</v>
      </c>
      <c r="BZ96" t="s">
        <v>4413</v>
      </c>
      <c r="CA96" t="s">
        <v>4370</v>
      </c>
      <c r="CB96" t="s">
        <v>4371</v>
      </c>
      <c r="CC96" t="s">
        <v>4053</v>
      </c>
      <c r="CD96" t="s">
        <v>4372</v>
      </c>
      <c r="CE96" t="s">
        <v>4055</v>
      </c>
      <c r="CF96" t="s">
        <v>4055</v>
      </c>
      <c r="CG96" t="s">
        <v>4056</v>
      </c>
      <c r="CH96" t="s">
        <v>4145</v>
      </c>
      <c r="CI96" t="s">
        <v>4058</v>
      </c>
      <c r="CJ96" t="s">
        <v>4059</v>
      </c>
      <c r="CK96" t="s">
        <v>4060</v>
      </c>
      <c r="CL96" t="s">
        <v>4061</v>
      </c>
      <c r="CM96" t="s">
        <v>4062</v>
      </c>
      <c r="CN96" t="s">
        <v>4055</v>
      </c>
      <c r="CO96" t="s">
        <v>4063</v>
      </c>
      <c r="CP96" t="s">
        <v>4055</v>
      </c>
      <c r="CQ96" t="s">
        <v>4055</v>
      </c>
      <c r="CR96">
        <v>5</v>
      </c>
      <c r="CS96" t="s">
        <v>4055</v>
      </c>
      <c r="CT96" t="s">
        <v>4055</v>
      </c>
      <c r="CU96" t="s">
        <v>4055</v>
      </c>
      <c r="CV96">
        <v>103</v>
      </c>
      <c r="CW96">
        <v>3</v>
      </c>
      <c r="CX96">
        <v>65</v>
      </c>
      <c r="CY96">
        <v>5</v>
      </c>
      <c r="CZ96">
        <v>53</v>
      </c>
      <c r="DA96">
        <v>5</v>
      </c>
      <c r="DB96">
        <v>7860</v>
      </c>
      <c r="DC96">
        <v>230</v>
      </c>
      <c r="DD96">
        <v>290</v>
      </c>
      <c r="DE96">
        <v>1893</v>
      </c>
      <c r="DF96">
        <v>1893</v>
      </c>
      <c r="DG96">
        <v>1902</v>
      </c>
      <c r="DH96" t="s">
        <v>4055</v>
      </c>
      <c r="DI96" t="s">
        <v>4055</v>
      </c>
      <c r="DJ96" t="s">
        <v>4100</v>
      </c>
      <c r="DK96">
        <v>160</v>
      </c>
      <c r="DL96" t="s">
        <v>4101</v>
      </c>
      <c r="DM96">
        <v>63</v>
      </c>
      <c r="DN96">
        <v>0.84</v>
      </c>
      <c r="DO96">
        <v>1</v>
      </c>
      <c r="DP96">
        <v>1798</v>
      </c>
      <c r="DQ96">
        <v>525</v>
      </c>
      <c r="DR96" t="s">
        <v>4100</v>
      </c>
      <c r="DS96">
        <v>150</v>
      </c>
      <c r="DT96" t="s">
        <v>4101</v>
      </c>
      <c r="DU96">
        <v>63</v>
      </c>
      <c r="DV96">
        <v>0.84</v>
      </c>
      <c r="DW96">
        <v>1</v>
      </c>
      <c r="DX96">
        <v>1805</v>
      </c>
      <c r="DY96">
        <v>495</v>
      </c>
      <c r="DZ96" t="s">
        <v>4066</v>
      </c>
      <c r="EA96">
        <v>33</v>
      </c>
      <c r="EB96" t="s">
        <v>4065</v>
      </c>
      <c r="EC96">
        <v>0.4</v>
      </c>
      <c r="ED96">
        <v>1798</v>
      </c>
      <c r="EE96">
        <v>52</v>
      </c>
      <c r="EF96" t="s">
        <v>4066</v>
      </c>
      <c r="EG96">
        <v>33</v>
      </c>
      <c r="EH96" t="s">
        <v>4065</v>
      </c>
      <c r="EI96">
        <v>0.4</v>
      </c>
      <c r="EJ96">
        <v>1805</v>
      </c>
      <c r="EK96">
        <v>52</v>
      </c>
      <c r="EL96" t="s">
        <v>4362</v>
      </c>
      <c r="EM96">
        <v>12</v>
      </c>
      <c r="EN96">
        <v>0.5</v>
      </c>
      <c r="EO96">
        <v>0.77</v>
      </c>
      <c r="EP96">
        <v>1805.56</v>
      </c>
      <c r="EQ96">
        <v>25249.63</v>
      </c>
      <c r="ER96">
        <v>5516.06</v>
      </c>
      <c r="ES96">
        <v>0</v>
      </c>
      <c r="ET96">
        <v>0</v>
      </c>
      <c r="EU96">
        <v>1</v>
      </c>
      <c r="EV96">
        <v>30766</v>
      </c>
      <c r="EW96">
        <v>308</v>
      </c>
      <c r="EX96" t="s">
        <v>4363</v>
      </c>
      <c r="EY96">
        <v>174</v>
      </c>
      <c r="EZ96" t="s">
        <v>4055</v>
      </c>
      <c r="FA96">
        <v>5.5</v>
      </c>
      <c r="FB96">
        <v>1</v>
      </c>
      <c r="FC96">
        <v>1</v>
      </c>
      <c r="FD96">
        <v>1834</v>
      </c>
      <c r="FE96">
        <v>1932</v>
      </c>
      <c r="FF96" t="s">
        <v>4089</v>
      </c>
      <c r="FG96">
        <v>174</v>
      </c>
      <c r="FH96" t="s">
        <v>4055</v>
      </c>
      <c r="FI96">
        <v>1.6</v>
      </c>
      <c r="FJ96">
        <v>1834</v>
      </c>
      <c r="FK96">
        <v>507</v>
      </c>
      <c r="FL96" t="s">
        <v>4069</v>
      </c>
      <c r="FM96" t="s">
        <v>4055</v>
      </c>
      <c r="FN96" t="s">
        <v>4055</v>
      </c>
      <c r="FO96" t="s">
        <v>4055</v>
      </c>
      <c r="FP96">
        <v>1834</v>
      </c>
      <c r="FQ96">
        <v>112</v>
      </c>
      <c r="FR96" t="s">
        <v>4090</v>
      </c>
      <c r="FS96">
        <v>178</v>
      </c>
      <c r="FT96" t="s">
        <v>4055</v>
      </c>
      <c r="FU96">
        <v>0.4</v>
      </c>
      <c r="FV96">
        <v>1834</v>
      </c>
      <c r="FW96">
        <v>145</v>
      </c>
      <c r="FX96" t="s">
        <v>4070</v>
      </c>
      <c r="FY96">
        <v>10</v>
      </c>
      <c r="FZ96" t="s">
        <v>4055</v>
      </c>
      <c r="GA96" t="s">
        <v>4055</v>
      </c>
      <c r="GB96">
        <v>1834</v>
      </c>
      <c r="GC96">
        <v>16</v>
      </c>
      <c r="GD96">
        <v>2712</v>
      </c>
      <c r="GE96" t="s">
        <v>4457</v>
      </c>
      <c r="GF96" t="s">
        <v>4055</v>
      </c>
      <c r="GG96" t="s">
        <v>4055</v>
      </c>
      <c r="GH96" t="s">
        <v>4055</v>
      </c>
      <c r="GI96" t="s">
        <v>4071</v>
      </c>
      <c r="GJ96" t="s">
        <v>4055</v>
      </c>
      <c r="GK96" t="s">
        <v>4055</v>
      </c>
      <c r="GL96" t="s">
        <v>4055</v>
      </c>
      <c r="GM96" t="s">
        <v>4055</v>
      </c>
      <c r="GQ96">
        <v>0</v>
      </c>
      <c r="GV96">
        <v>7.5</v>
      </c>
      <c r="GW96">
        <v>8.699999999999999</v>
      </c>
      <c r="GX96">
        <v>0.5</v>
      </c>
      <c r="GY96">
        <v>142</v>
      </c>
      <c r="GZ96">
        <v>3</v>
      </c>
      <c r="HA96">
        <v>194</v>
      </c>
      <c r="HB96">
        <v>3</v>
      </c>
      <c r="HC96">
        <v>1834</v>
      </c>
      <c r="HD96">
        <v>4</v>
      </c>
      <c r="HE96" t="s">
        <v>4071</v>
      </c>
      <c r="HG96" t="s">
        <v>549</v>
      </c>
      <c r="HL96">
        <v>4</v>
      </c>
      <c r="HM96">
        <v>15</v>
      </c>
      <c r="HN96">
        <v>6</v>
      </c>
      <c r="HO96">
        <v>1</v>
      </c>
      <c r="HP96">
        <v>0</v>
      </c>
      <c r="HQ96">
        <v>0</v>
      </c>
      <c r="HR96">
        <v>1</v>
      </c>
      <c r="HS96">
        <v>1795</v>
      </c>
      <c r="HT96">
        <v>5</v>
      </c>
      <c r="HU96">
        <v>1</v>
      </c>
      <c r="HV96">
        <v>3</v>
      </c>
      <c r="HW96">
        <v>0</v>
      </c>
      <c r="HX96">
        <v>1</v>
      </c>
      <c r="HY96">
        <v>0</v>
      </c>
      <c r="HZ96">
        <v>63</v>
      </c>
      <c r="IA96">
        <v>1798</v>
      </c>
      <c r="IB96">
        <v>1805</v>
      </c>
      <c r="ID96">
        <v>1834</v>
      </c>
      <c r="IE96">
        <v>1834</v>
      </c>
      <c r="IF96">
        <v>160</v>
      </c>
      <c r="IG96">
        <v>150</v>
      </c>
      <c r="IH96">
        <v>194</v>
      </c>
      <c r="II96">
        <v>1</v>
      </c>
      <c r="IJ96">
        <v>5</v>
      </c>
      <c r="IK96">
        <v>0</v>
      </c>
      <c r="IL96">
        <v>2</v>
      </c>
      <c r="IM96">
        <v>0</v>
      </c>
      <c r="IN96">
        <v>270</v>
      </c>
      <c r="IO96">
        <v>0</v>
      </c>
      <c r="IP96">
        <v>180</v>
      </c>
      <c r="IQ96">
        <v>0</v>
      </c>
      <c r="IR96">
        <v>310</v>
      </c>
      <c r="IS96">
        <v>0</v>
      </c>
      <c r="IT96">
        <v>90</v>
      </c>
      <c r="IU96">
        <v>0</v>
      </c>
      <c r="IV96">
        <v>6.4</v>
      </c>
      <c r="IW96">
        <v>-6</v>
      </c>
      <c r="IX96">
        <v>83.5</v>
      </c>
      <c r="IY96">
        <v>64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342</v>
      </c>
      <c r="JJ96">
        <v>312</v>
      </c>
      <c r="JK96">
        <v>230</v>
      </c>
      <c r="JL96">
        <v>308</v>
      </c>
      <c r="JM96">
        <v>235</v>
      </c>
      <c r="JN96">
        <v>165</v>
      </c>
      <c r="JO96">
        <v>208</v>
      </c>
      <c r="JP96">
        <v>220</v>
      </c>
      <c r="JQ96">
        <v>275</v>
      </c>
      <c r="JR96">
        <v>340</v>
      </c>
      <c r="JS96">
        <v>260</v>
      </c>
      <c r="JT96">
        <v>0</v>
      </c>
      <c r="JU96">
        <v>0</v>
      </c>
      <c r="JV96">
        <v>330</v>
      </c>
      <c r="JW96">
        <v>325</v>
      </c>
      <c r="JX96">
        <v>320</v>
      </c>
      <c r="JY96">
        <v>295</v>
      </c>
      <c r="JZ96">
        <v>1</v>
      </c>
      <c r="KA96">
        <v>0.2</v>
      </c>
      <c r="KB96">
        <v>0.4</v>
      </c>
      <c r="KC96">
        <v>0.42</v>
      </c>
      <c r="KD96">
        <v>0.28</v>
      </c>
      <c r="KE96">
        <v>0.5</v>
      </c>
      <c r="KF96">
        <v>0.19</v>
      </c>
      <c r="KG96">
        <v>0.1</v>
      </c>
      <c r="KH96">
        <v>6</v>
      </c>
      <c r="KI96">
        <v>1.5</v>
      </c>
      <c r="KJ96">
        <v>4.5</v>
      </c>
      <c r="KK96">
        <v>0</v>
      </c>
      <c r="KL96">
        <v>4.5</v>
      </c>
      <c r="KM96">
        <v>1</v>
      </c>
      <c r="KN96">
        <v>1</v>
      </c>
      <c r="KO96">
        <v>0</v>
      </c>
      <c r="KP96">
        <v>0</v>
      </c>
      <c r="KQ96">
        <v>0.5</v>
      </c>
      <c r="KR96">
        <v>1</v>
      </c>
      <c r="KS96">
        <v>0</v>
      </c>
      <c r="KT96">
        <v>1.8</v>
      </c>
      <c r="KU96">
        <v>0</v>
      </c>
      <c r="KV96">
        <v>0</v>
      </c>
      <c r="KW96">
        <v>1.2</v>
      </c>
      <c r="KX96">
        <v>2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3.5</v>
      </c>
      <c r="LI96">
        <v>2</v>
      </c>
      <c r="LJ96">
        <v>0</v>
      </c>
      <c r="LK96">
        <v>5</v>
      </c>
      <c r="LL96">
        <v>1.5</v>
      </c>
      <c r="LM96">
        <v>7</v>
      </c>
      <c r="LN96">
        <v>0.5</v>
      </c>
      <c r="LO96">
        <v>1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1.4</v>
      </c>
      <c r="LX96">
        <v>1.4</v>
      </c>
      <c r="LY96">
        <v>2.1</v>
      </c>
      <c r="LZ96">
        <v>2.1</v>
      </c>
      <c r="MA96">
        <v>0</v>
      </c>
      <c r="MB96">
        <v>0</v>
      </c>
      <c r="MC96">
        <v>0</v>
      </c>
      <c r="MD96">
        <v>4.5</v>
      </c>
      <c r="ME96">
        <v>6</v>
      </c>
      <c r="MF96">
        <v>6</v>
      </c>
      <c r="MI96">
        <v>0</v>
      </c>
      <c r="MJ96">
        <v>0</v>
      </c>
      <c r="ML96">
        <v>0</v>
      </c>
      <c r="MM96">
        <v>358</v>
      </c>
      <c r="MN96">
        <v>170</v>
      </c>
      <c r="MO96">
        <v>210</v>
      </c>
      <c r="NU96">
        <v>0.15</v>
      </c>
      <c r="NV96">
        <v>0.2</v>
      </c>
      <c r="NW96">
        <v>0.2</v>
      </c>
      <c r="NX96">
        <v>2</v>
      </c>
      <c r="NY96">
        <v>2</v>
      </c>
      <c r="NZ96">
        <v>2</v>
      </c>
      <c r="OE96" t="s">
        <v>4457</v>
      </c>
      <c r="OF96" t="s">
        <v>4455</v>
      </c>
      <c r="OG96" t="s">
        <v>4456</v>
      </c>
      <c r="OH96" t="s">
        <v>4353</v>
      </c>
      <c r="OI96" t="s">
        <v>4457</v>
      </c>
      <c r="OJ96" t="s">
        <v>4454</v>
      </c>
      <c r="OK96">
        <v>61</v>
      </c>
      <c r="OL96">
        <v>61</v>
      </c>
      <c r="OM96" t="s">
        <v>4455</v>
      </c>
      <c r="ON96">
        <v>3</v>
      </c>
      <c r="OO96">
        <v>1798</v>
      </c>
      <c r="OP96">
        <v>61</v>
      </c>
      <c r="OQ96">
        <v>61</v>
      </c>
      <c r="OR96" t="s">
        <v>4456</v>
      </c>
      <c r="OS96">
        <v>3</v>
      </c>
      <c r="OT96">
        <v>1805</v>
      </c>
      <c r="OU96">
        <v>65</v>
      </c>
      <c r="OV96">
        <v>65</v>
      </c>
      <c r="OW96" t="s">
        <v>4353</v>
      </c>
      <c r="OX96">
        <v>1</v>
      </c>
      <c r="OY96">
        <v>30766</v>
      </c>
      <c r="OZ96">
        <v>51</v>
      </c>
      <c r="PA96">
        <v>52</v>
      </c>
      <c r="PB96" t="s">
        <v>4457</v>
      </c>
      <c r="PC96">
        <v>1</v>
      </c>
      <c r="PD96">
        <v>1834</v>
      </c>
      <c r="PF96">
        <v>292</v>
      </c>
      <c r="PG96">
        <v>29</v>
      </c>
      <c r="PH96">
        <v>274</v>
      </c>
      <c r="PI96">
        <v>29</v>
      </c>
      <c r="PJ96">
        <v>61.3</v>
      </c>
      <c r="PK96">
        <v>1503</v>
      </c>
      <c r="PL96">
        <v>1053.4</v>
      </c>
      <c r="PM96">
        <v>276.5</v>
      </c>
      <c r="PN96">
        <v>79.09999999999999</v>
      </c>
      <c r="PO96">
        <v>8.699999999999999</v>
      </c>
      <c r="PP96">
        <v>10</v>
      </c>
      <c r="PQ96">
        <v>2</v>
      </c>
      <c r="PR96">
        <v>2</v>
      </c>
      <c r="PS96">
        <v>6</v>
      </c>
      <c r="PT96">
        <v>194</v>
      </c>
      <c r="PU96">
        <v>10</v>
      </c>
      <c r="PV96" t="s">
        <v>4072</v>
      </c>
      <c r="PW96" t="s">
        <v>4072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-1</v>
      </c>
      <c r="QF96">
        <v>1</v>
      </c>
      <c r="QG96">
        <v>0</v>
      </c>
      <c r="QH96">
        <v>5</v>
      </c>
      <c r="QI96">
        <v>5</v>
      </c>
      <c r="QJ96">
        <v>5</v>
      </c>
      <c r="QK96">
        <v>166</v>
      </c>
      <c r="QL96">
        <v>376</v>
      </c>
      <c r="QM96">
        <v>7.5</v>
      </c>
      <c r="QN96">
        <v>1204.3</v>
      </c>
      <c r="QO96" t="s">
        <v>1477</v>
      </c>
      <c r="QP96" t="s">
        <v>513</v>
      </c>
      <c r="QQ96">
        <v>0</v>
      </c>
      <c r="QR96" t="s">
        <v>1496</v>
      </c>
      <c r="QS96">
        <v>30</v>
      </c>
      <c r="QT96">
        <v>40</v>
      </c>
    </row>
    <row r="97" spans="1:462">
      <c r="A97" t="s">
        <v>1775</v>
      </c>
      <c r="B97" t="s">
        <v>564</v>
      </c>
      <c r="C97" t="s">
        <v>509</v>
      </c>
      <c r="D97" t="s">
        <v>3157</v>
      </c>
      <c r="E97" t="s">
        <v>4036</v>
      </c>
      <c r="H97" t="s">
        <v>627</v>
      </c>
      <c r="I97" t="s">
        <v>604</v>
      </c>
      <c r="J97" t="s">
        <v>628</v>
      </c>
      <c r="K97" t="s">
        <v>606</v>
      </c>
      <c r="L97" t="s">
        <v>629</v>
      </c>
      <c r="M97" t="s">
        <v>512</v>
      </c>
      <c r="O97" t="s">
        <v>513</v>
      </c>
      <c r="P97" t="s">
        <v>567</v>
      </c>
      <c r="Q97" t="s">
        <v>1776</v>
      </c>
      <c r="R97" t="s">
        <v>1777</v>
      </c>
      <c r="S97" t="s">
        <v>4391</v>
      </c>
      <c r="T97" t="s">
        <v>520</v>
      </c>
      <c r="U97" t="s">
        <v>521</v>
      </c>
      <c r="V97" t="s">
        <v>1778</v>
      </c>
      <c r="W97" t="s">
        <v>1460</v>
      </c>
      <c r="X97" t="s">
        <v>1779</v>
      </c>
      <c r="Y97" t="s">
        <v>1780</v>
      </c>
      <c r="Z97" t="s">
        <v>541</v>
      </c>
      <c r="AA97" t="s">
        <v>4038</v>
      </c>
      <c r="AB97" t="s">
        <v>4458</v>
      </c>
      <c r="AC97">
        <v>13</v>
      </c>
      <c r="AD97" t="s">
        <v>1774</v>
      </c>
      <c r="AE97">
        <v>5</v>
      </c>
      <c r="AF97">
        <v>6126</v>
      </c>
      <c r="AG97" t="s">
        <v>4449</v>
      </c>
      <c r="AH97">
        <v>1</v>
      </c>
      <c r="AI97" t="s">
        <v>4041</v>
      </c>
      <c r="AK97" t="s">
        <v>4450</v>
      </c>
      <c r="AL97">
        <v>1</v>
      </c>
      <c r="AM97" t="s">
        <v>582</v>
      </c>
      <c r="AO97" t="s">
        <v>4043</v>
      </c>
      <c r="AP97">
        <v>1</v>
      </c>
      <c r="AR97" t="s">
        <v>4459</v>
      </c>
      <c r="AS97">
        <v>1</v>
      </c>
      <c r="AT97">
        <v>52</v>
      </c>
      <c r="AV97" t="s">
        <v>4078</v>
      </c>
      <c r="AW97">
        <v>6.4</v>
      </c>
      <c r="AX97">
        <v>-6</v>
      </c>
      <c r="AY97">
        <v>96</v>
      </c>
      <c r="AZ97">
        <v>68</v>
      </c>
      <c r="BH97">
        <v>96</v>
      </c>
      <c r="BI97">
        <v>28</v>
      </c>
      <c r="BJ97">
        <v>68</v>
      </c>
      <c r="BK97">
        <v>3.5</v>
      </c>
      <c r="BL97">
        <v>192</v>
      </c>
      <c r="BM97">
        <v>-6</v>
      </c>
      <c r="BN97">
        <v>0</v>
      </c>
      <c r="BP97">
        <v>0</v>
      </c>
      <c r="BR97">
        <v>185</v>
      </c>
      <c r="BS97">
        <v>175</v>
      </c>
      <c r="BT97">
        <v>2120</v>
      </c>
      <c r="BU97" t="s">
        <v>4127</v>
      </c>
      <c r="BV97" t="s">
        <v>4127</v>
      </c>
      <c r="BW97" t="s">
        <v>4097</v>
      </c>
      <c r="BX97" t="s">
        <v>4128</v>
      </c>
      <c r="BY97" t="s">
        <v>4098</v>
      </c>
      <c r="BZ97" t="s">
        <v>4460</v>
      </c>
      <c r="CA97" t="s">
        <v>4051</v>
      </c>
      <c r="CB97" t="s">
        <v>4052</v>
      </c>
      <c r="CC97" t="s">
        <v>4053</v>
      </c>
      <c r="CD97" t="s">
        <v>4054</v>
      </c>
      <c r="CE97" t="s">
        <v>4055</v>
      </c>
      <c r="CF97" t="s">
        <v>4055</v>
      </c>
      <c r="CG97" t="s">
        <v>4056</v>
      </c>
      <c r="CI97" t="s">
        <v>4216</v>
      </c>
      <c r="CJ97" t="s">
        <v>4059</v>
      </c>
      <c r="CK97" t="s">
        <v>4060</v>
      </c>
      <c r="CL97" t="s">
        <v>4061</v>
      </c>
      <c r="CM97" t="s">
        <v>4062</v>
      </c>
      <c r="CN97" t="s">
        <v>4055</v>
      </c>
      <c r="CO97" t="s">
        <v>4063</v>
      </c>
      <c r="CP97" t="s">
        <v>4055</v>
      </c>
      <c r="CQ97" t="s">
        <v>4055</v>
      </c>
      <c r="CR97">
        <v>5</v>
      </c>
      <c r="CS97" t="s">
        <v>4055</v>
      </c>
      <c r="CT97" t="s">
        <v>4055</v>
      </c>
      <c r="CU97" t="s">
        <v>4055</v>
      </c>
      <c r="CV97">
        <v>126</v>
      </c>
      <c r="CW97">
        <v>3</v>
      </c>
      <c r="CX97">
        <v>78</v>
      </c>
      <c r="CY97">
        <v>5</v>
      </c>
      <c r="CZ97">
        <v>153</v>
      </c>
      <c r="DA97">
        <v>5</v>
      </c>
      <c r="DB97">
        <v>12130</v>
      </c>
      <c r="DC97">
        <v>360</v>
      </c>
      <c r="DD97">
        <v>370</v>
      </c>
      <c r="DE97">
        <v>2237</v>
      </c>
      <c r="DF97">
        <v>2230</v>
      </c>
      <c r="DG97">
        <v>2247</v>
      </c>
      <c r="DH97">
        <v>3</v>
      </c>
      <c r="DJ97" t="s">
        <v>4064</v>
      </c>
      <c r="DK97">
        <v>185</v>
      </c>
      <c r="DL97" t="s">
        <v>4065</v>
      </c>
      <c r="DM97">
        <v>65</v>
      </c>
      <c r="DN97">
        <v>1.2</v>
      </c>
      <c r="DO97">
        <v>1</v>
      </c>
      <c r="DP97">
        <v>2124</v>
      </c>
      <c r="DQ97">
        <v>903</v>
      </c>
      <c r="DR97" t="s">
        <v>4064</v>
      </c>
      <c r="DS97">
        <v>175</v>
      </c>
      <c r="DT97" t="s">
        <v>4065</v>
      </c>
      <c r="DU97">
        <v>65</v>
      </c>
      <c r="DV97">
        <v>1.2</v>
      </c>
      <c r="DW97">
        <v>1</v>
      </c>
      <c r="DX97">
        <v>2136</v>
      </c>
      <c r="DY97">
        <v>859</v>
      </c>
      <c r="DZ97" t="s">
        <v>4066</v>
      </c>
      <c r="EA97">
        <v>20</v>
      </c>
      <c r="EB97" t="s">
        <v>4065</v>
      </c>
      <c r="EC97">
        <v>0.8</v>
      </c>
      <c r="ED97">
        <v>2124</v>
      </c>
      <c r="EE97">
        <v>74</v>
      </c>
      <c r="EG97">
        <v>0</v>
      </c>
      <c r="EH97" t="s">
        <v>4065</v>
      </c>
      <c r="EI97">
        <v>0</v>
      </c>
      <c r="EL97" t="s">
        <v>1528</v>
      </c>
      <c r="EM97">
        <v>12</v>
      </c>
      <c r="EN97">
        <v>0.5</v>
      </c>
      <c r="EO97">
        <v>0.96</v>
      </c>
      <c r="EP97">
        <v>2135.08</v>
      </c>
      <c r="EQ97">
        <v>34027.84</v>
      </c>
      <c r="ER97">
        <v>9367.360000000001</v>
      </c>
      <c r="ES97">
        <v>0</v>
      </c>
      <c r="ET97">
        <v>0</v>
      </c>
      <c r="EU97">
        <v>1</v>
      </c>
      <c r="EV97">
        <v>43396</v>
      </c>
      <c r="EW97">
        <v>521</v>
      </c>
      <c r="EX97" t="s">
        <v>4363</v>
      </c>
      <c r="EY97">
        <v>208</v>
      </c>
      <c r="EZ97" t="s">
        <v>4055</v>
      </c>
      <c r="FA97">
        <v>6.1</v>
      </c>
      <c r="FB97">
        <v>1</v>
      </c>
      <c r="FC97">
        <v>1</v>
      </c>
      <c r="FD97">
        <v>2165</v>
      </c>
      <c r="FE97">
        <v>2797</v>
      </c>
      <c r="FF97" t="s">
        <v>4089</v>
      </c>
      <c r="FG97">
        <v>208</v>
      </c>
      <c r="FH97" t="s">
        <v>4055</v>
      </c>
      <c r="FI97">
        <v>1</v>
      </c>
      <c r="FJ97">
        <v>2165</v>
      </c>
      <c r="FK97">
        <v>447</v>
      </c>
      <c r="FL97" t="s">
        <v>4069</v>
      </c>
      <c r="FM97" t="s">
        <v>4055</v>
      </c>
      <c r="FN97" t="s">
        <v>4055</v>
      </c>
      <c r="FO97" t="s">
        <v>4055</v>
      </c>
      <c r="FP97">
        <v>2165</v>
      </c>
      <c r="FQ97">
        <v>173</v>
      </c>
      <c r="FR97" t="s">
        <v>4090</v>
      </c>
      <c r="FS97">
        <v>212</v>
      </c>
      <c r="FT97" t="s">
        <v>4055</v>
      </c>
      <c r="FU97">
        <v>0.4</v>
      </c>
      <c r="FV97">
        <v>2165</v>
      </c>
      <c r="FW97">
        <v>204</v>
      </c>
      <c r="FX97" t="s">
        <v>4070</v>
      </c>
      <c r="FY97">
        <v>5</v>
      </c>
      <c r="FZ97" t="s">
        <v>4055</v>
      </c>
      <c r="GA97" t="s">
        <v>4055</v>
      </c>
      <c r="GB97">
        <v>2165</v>
      </c>
      <c r="GC97">
        <v>19</v>
      </c>
      <c r="GD97">
        <v>3640</v>
      </c>
      <c r="GE97" t="s">
        <v>4459</v>
      </c>
      <c r="GF97" t="s">
        <v>4055</v>
      </c>
      <c r="GG97" t="s">
        <v>4055</v>
      </c>
      <c r="GH97" t="s">
        <v>4055</v>
      </c>
      <c r="GI97" t="s">
        <v>4071</v>
      </c>
      <c r="GJ97" t="s">
        <v>4055</v>
      </c>
      <c r="GK97" t="s">
        <v>4055</v>
      </c>
      <c r="GL97" t="s">
        <v>4055</v>
      </c>
      <c r="GM97" t="s">
        <v>4055</v>
      </c>
      <c r="GQ97">
        <v>0</v>
      </c>
      <c r="GV97">
        <v>7.5</v>
      </c>
      <c r="GW97">
        <v>8</v>
      </c>
      <c r="GX97">
        <v>0.5</v>
      </c>
      <c r="GY97">
        <v>164</v>
      </c>
      <c r="GZ97">
        <v>3</v>
      </c>
      <c r="HA97">
        <v>234</v>
      </c>
      <c r="HB97">
        <v>3</v>
      </c>
      <c r="HC97">
        <v>2165</v>
      </c>
      <c r="HD97">
        <v>4</v>
      </c>
      <c r="HE97" t="s">
        <v>4071</v>
      </c>
      <c r="HG97" t="s">
        <v>549</v>
      </c>
      <c r="HL97">
        <v>4</v>
      </c>
      <c r="HM97">
        <v>16</v>
      </c>
      <c r="HN97">
        <v>6</v>
      </c>
      <c r="HO97">
        <v>1</v>
      </c>
      <c r="HP97">
        <v>0</v>
      </c>
      <c r="HQ97">
        <v>0</v>
      </c>
      <c r="HR97">
        <v>3</v>
      </c>
      <c r="HS97">
        <v>2120</v>
      </c>
      <c r="HT97">
        <v>5</v>
      </c>
      <c r="HU97">
        <v>1</v>
      </c>
      <c r="HV97">
        <v>3</v>
      </c>
      <c r="HW97">
        <v>0</v>
      </c>
      <c r="HX97">
        <v>1</v>
      </c>
      <c r="HY97">
        <v>0</v>
      </c>
      <c r="HZ97">
        <v>65</v>
      </c>
      <c r="IA97">
        <v>2124</v>
      </c>
      <c r="IB97">
        <v>2136</v>
      </c>
      <c r="ID97">
        <v>2165</v>
      </c>
      <c r="IE97">
        <v>2165</v>
      </c>
      <c r="IF97">
        <v>185</v>
      </c>
      <c r="IG97">
        <v>175</v>
      </c>
      <c r="IH97">
        <v>234</v>
      </c>
      <c r="II97">
        <v>1</v>
      </c>
      <c r="IJ97">
        <v>5</v>
      </c>
      <c r="IK97">
        <v>0</v>
      </c>
      <c r="IL97">
        <v>0</v>
      </c>
      <c r="IM97">
        <v>0</v>
      </c>
      <c r="IN97">
        <v>270</v>
      </c>
      <c r="IO97">
        <v>0</v>
      </c>
      <c r="IP97">
        <v>180</v>
      </c>
      <c r="IQ97">
        <v>0</v>
      </c>
      <c r="IR97">
        <v>330</v>
      </c>
      <c r="IS97">
        <v>0</v>
      </c>
      <c r="IT97">
        <v>90</v>
      </c>
      <c r="IU97">
        <v>0</v>
      </c>
      <c r="IV97">
        <v>6.4</v>
      </c>
      <c r="IW97">
        <v>-6</v>
      </c>
      <c r="IX97">
        <v>96</v>
      </c>
      <c r="IY97">
        <v>68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442</v>
      </c>
      <c r="JJ97">
        <v>412</v>
      </c>
      <c r="JK97">
        <v>316</v>
      </c>
      <c r="JL97">
        <v>412</v>
      </c>
      <c r="JM97">
        <v>300</v>
      </c>
      <c r="JN97">
        <v>200</v>
      </c>
      <c r="JO97">
        <v>244</v>
      </c>
      <c r="JP97">
        <v>180</v>
      </c>
      <c r="JQ97">
        <v>250</v>
      </c>
      <c r="JR97">
        <v>360</v>
      </c>
      <c r="JS97">
        <v>220</v>
      </c>
      <c r="JT97">
        <v>0</v>
      </c>
      <c r="JU97">
        <v>0</v>
      </c>
      <c r="JV97">
        <v>335</v>
      </c>
      <c r="JW97">
        <v>346</v>
      </c>
      <c r="JX97">
        <v>335</v>
      </c>
      <c r="JY97">
        <v>305</v>
      </c>
      <c r="JZ97">
        <v>0.5</v>
      </c>
      <c r="KA97">
        <v>0.2</v>
      </c>
      <c r="KB97">
        <v>0.4</v>
      </c>
      <c r="KC97">
        <v>0.42</v>
      </c>
      <c r="KD97">
        <v>0.28</v>
      </c>
      <c r="KE97">
        <v>0.5</v>
      </c>
      <c r="KF97">
        <v>0.2</v>
      </c>
      <c r="KG97">
        <v>0.11</v>
      </c>
      <c r="KH97">
        <v>3.5</v>
      </c>
      <c r="KI97">
        <v>1</v>
      </c>
      <c r="KJ97">
        <v>4.5</v>
      </c>
      <c r="KK97">
        <v>0</v>
      </c>
      <c r="KL97">
        <v>4.5</v>
      </c>
      <c r="KM97">
        <v>0</v>
      </c>
      <c r="KN97">
        <v>1.7</v>
      </c>
      <c r="KO97">
        <v>0</v>
      </c>
      <c r="KP97">
        <v>0</v>
      </c>
      <c r="KQ97">
        <v>0.7</v>
      </c>
      <c r="KR97">
        <v>0.8</v>
      </c>
      <c r="KS97">
        <v>0</v>
      </c>
      <c r="KT97">
        <v>2.5</v>
      </c>
      <c r="KU97">
        <v>0</v>
      </c>
      <c r="KV97">
        <v>0</v>
      </c>
      <c r="KW97">
        <v>0.8</v>
      </c>
      <c r="KX97">
        <v>2</v>
      </c>
      <c r="KY97">
        <v>1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3</v>
      </c>
      <c r="LI97">
        <v>0.5</v>
      </c>
      <c r="LJ97">
        <v>0</v>
      </c>
      <c r="LK97">
        <v>4.5</v>
      </c>
      <c r="LL97">
        <v>6</v>
      </c>
      <c r="LM97">
        <v>7</v>
      </c>
      <c r="LN97">
        <v>0.4</v>
      </c>
      <c r="LO97">
        <v>3.5</v>
      </c>
      <c r="LP97">
        <v>0</v>
      </c>
      <c r="LQ97">
        <v>0</v>
      </c>
      <c r="LR97">
        <v>0</v>
      </c>
      <c r="LS97">
        <v>1</v>
      </c>
      <c r="LT97">
        <v>0</v>
      </c>
      <c r="LU97">
        <v>0</v>
      </c>
      <c r="LV97">
        <v>0</v>
      </c>
      <c r="LW97">
        <v>2</v>
      </c>
      <c r="LX97">
        <v>2</v>
      </c>
      <c r="LY97">
        <v>2.1</v>
      </c>
      <c r="LZ97">
        <v>2.1</v>
      </c>
      <c r="MA97">
        <v>0</v>
      </c>
      <c r="MB97">
        <v>3</v>
      </c>
      <c r="MC97">
        <v>0</v>
      </c>
      <c r="MD97">
        <v>4.5</v>
      </c>
      <c r="ME97">
        <v>6</v>
      </c>
      <c r="MF97">
        <v>6</v>
      </c>
      <c r="MI97">
        <v>0</v>
      </c>
      <c r="MJ97">
        <v>0</v>
      </c>
      <c r="ML97">
        <v>0</v>
      </c>
      <c r="MM97">
        <v>452</v>
      </c>
      <c r="MN97">
        <v>180</v>
      </c>
      <c r="MO97">
        <v>244</v>
      </c>
      <c r="NH97">
        <v>0</v>
      </c>
      <c r="NJ97">
        <v>0</v>
      </c>
      <c r="NK97">
        <v>0</v>
      </c>
      <c r="NM97">
        <v>0</v>
      </c>
      <c r="NU97">
        <v>0.15</v>
      </c>
      <c r="NV97">
        <v>0.2</v>
      </c>
      <c r="NW97">
        <v>0.2</v>
      </c>
      <c r="NX97">
        <v>2</v>
      </c>
      <c r="NY97">
        <v>2</v>
      </c>
      <c r="NZ97">
        <v>2</v>
      </c>
      <c r="OE97" t="s">
        <v>4459</v>
      </c>
      <c r="OF97" t="s">
        <v>4449</v>
      </c>
      <c r="OG97" t="s">
        <v>4450</v>
      </c>
      <c r="OH97" t="s">
        <v>4043</v>
      </c>
      <c r="OI97" t="s">
        <v>4459</v>
      </c>
      <c r="OJ97" t="s">
        <v>4458</v>
      </c>
      <c r="OK97">
        <v>61</v>
      </c>
      <c r="OL97">
        <v>61</v>
      </c>
      <c r="OM97" t="s">
        <v>4449</v>
      </c>
      <c r="ON97">
        <v>1</v>
      </c>
      <c r="OO97">
        <v>2124</v>
      </c>
      <c r="OP97">
        <v>61</v>
      </c>
      <c r="OQ97">
        <v>61</v>
      </c>
      <c r="OR97" t="s">
        <v>4450</v>
      </c>
      <c r="OS97">
        <v>1</v>
      </c>
      <c r="OT97">
        <v>2136</v>
      </c>
      <c r="OU97">
        <v>65</v>
      </c>
      <c r="OV97">
        <v>65</v>
      </c>
      <c r="OW97" t="s">
        <v>4043</v>
      </c>
      <c r="OX97">
        <v>1</v>
      </c>
      <c r="OY97">
        <v>43396</v>
      </c>
      <c r="OZ97">
        <v>51</v>
      </c>
      <c r="PA97">
        <v>52</v>
      </c>
      <c r="PB97" t="s">
        <v>4459</v>
      </c>
      <c r="PC97">
        <v>1</v>
      </c>
      <c r="PD97">
        <v>2165</v>
      </c>
      <c r="PF97">
        <v>425</v>
      </c>
      <c r="PG97">
        <v>35</v>
      </c>
      <c r="PH97">
        <v>402</v>
      </c>
      <c r="PI97">
        <v>0</v>
      </c>
      <c r="PJ97">
        <v>79.8</v>
      </c>
      <c r="PK97">
        <v>1697</v>
      </c>
      <c r="PL97">
        <v>1291.9</v>
      </c>
      <c r="PM97">
        <v>206.5</v>
      </c>
      <c r="PN97">
        <v>94.3</v>
      </c>
      <c r="PO97">
        <v>8.699999999999999</v>
      </c>
      <c r="PP97">
        <v>12</v>
      </c>
      <c r="PQ97">
        <v>5</v>
      </c>
      <c r="PR97">
        <v>5</v>
      </c>
      <c r="PS97">
        <v>0</v>
      </c>
      <c r="PT97">
        <v>234</v>
      </c>
      <c r="PU97">
        <v>13</v>
      </c>
      <c r="PV97" t="s">
        <v>4072</v>
      </c>
      <c r="PW97" t="s">
        <v>4072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-1</v>
      </c>
      <c r="QF97">
        <v>1</v>
      </c>
      <c r="QG97">
        <v>0</v>
      </c>
      <c r="QH97">
        <v>5</v>
      </c>
      <c r="QI97">
        <v>5</v>
      </c>
      <c r="QJ97">
        <v>5</v>
      </c>
      <c r="QK97">
        <v>239</v>
      </c>
      <c r="QL97">
        <v>472</v>
      </c>
      <c r="QM97">
        <v>7.5</v>
      </c>
      <c r="QN97">
        <v>1285.7</v>
      </c>
      <c r="QO97" t="s">
        <v>1477</v>
      </c>
      <c r="QP97" t="s">
        <v>513</v>
      </c>
      <c r="QQ97">
        <v>0</v>
      </c>
      <c r="QR97" t="s">
        <v>596</v>
      </c>
      <c r="QS97">
        <v>40</v>
      </c>
      <c r="QT97">
        <v>50</v>
      </c>
    </row>
    <row r="98" spans="1:462">
      <c r="A98" t="s">
        <v>1788</v>
      </c>
      <c r="B98" t="s">
        <v>711</v>
      </c>
      <c r="C98" t="s">
        <v>509</v>
      </c>
      <c r="D98" t="s">
        <v>3157</v>
      </c>
      <c r="E98" t="s">
        <v>4036</v>
      </c>
      <c r="H98" t="s">
        <v>627</v>
      </c>
      <c r="I98" t="s">
        <v>604</v>
      </c>
      <c r="J98" t="s">
        <v>628</v>
      </c>
      <c r="K98" t="s">
        <v>606</v>
      </c>
      <c r="L98" t="s">
        <v>804</v>
      </c>
      <c r="M98" t="s">
        <v>512</v>
      </c>
      <c r="O98" t="s">
        <v>513</v>
      </c>
      <c r="P98" t="s">
        <v>567</v>
      </c>
      <c r="Q98" t="s">
        <v>1152</v>
      </c>
      <c r="R98" t="s">
        <v>661</v>
      </c>
      <c r="S98" t="s">
        <v>4037</v>
      </c>
      <c r="T98" t="s">
        <v>633</v>
      </c>
      <c r="U98" t="s">
        <v>634</v>
      </c>
      <c r="V98" t="s">
        <v>1212</v>
      </c>
      <c r="W98" t="s">
        <v>1460</v>
      </c>
      <c r="X98" t="s">
        <v>1789</v>
      </c>
      <c r="Y98" t="s">
        <v>1790</v>
      </c>
      <c r="Z98" t="s">
        <v>541</v>
      </c>
      <c r="AA98" t="s">
        <v>4038</v>
      </c>
      <c r="AB98" t="s">
        <v>4461</v>
      </c>
      <c r="AC98">
        <v>9</v>
      </c>
      <c r="AD98" t="s">
        <v>1787</v>
      </c>
      <c r="AE98">
        <v>3</v>
      </c>
      <c r="AF98">
        <v>4841</v>
      </c>
      <c r="AG98" t="s">
        <v>4437</v>
      </c>
      <c r="AH98">
        <v>1</v>
      </c>
      <c r="AI98" t="s">
        <v>4041</v>
      </c>
      <c r="AK98" t="s">
        <v>4438</v>
      </c>
      <c r="AL98">
        <v>1</v>
      </c>
      <c r="AM98" t="s">
        <v>582</v>
      </c>
      <c r="AO98" t="s">
        <v>4043</v>
      </c>
      <c r="AP98">
        <v>1</v>
      </c>
      <c r="AR98" t="s">
        <v>4462</v>
      </c>
      <c r="AS98">
        <v>1</v>
      </c>
      <c r="AT98">
        <v>52</v>
      </c>
      <c r="AV98" t="s">
        <v>4078</v>
      </c>
      <c r="AW98">
        <v>6.4</v>
      </c>
      <c r="AX98">
        <v>-6</v>
      </c>
      <c r="AY98">
        <v>101</v>
      </c>
      <c r="AZ98">
        <v>67</v>
      </c>
      <c r="BH98">
        <v>101</v>
      </c>
      <c r="BI98">
        <v>34</v>
      </c>
      <c r="BJ98">
        <v>67</v>
      </c>
      <c r="BK98">
        <v>3.5</v>
      </c>
      <c r="BL98">
        <v>202</v>
      </c>
      <c r="BM98">
        <v>-6</v>
      </c>
      <c r="BN98">
        <v>0</v>
      </c>
      <c r="BP98">
        <v>0</v>
      </c>
      <c r="BR98">
        <v>195</v>
      </c>
      <c r="BS98">
        <v>185</v>
      </c>
      <c r="BT98">
        <v>1985</v>
      </c>
      <c r="BU98" t="s">
        <v>4096</v>
      </c>
      <c r="BV98" t="s">
        <v>4096</v>
      </c>
      <c r="BW98" t="s">
        <v>4048</v>
      </c>
      <c r="BX98" t="s">
        <v>4097</v>
      </c>
      <c r="BY98" t="s">
        <v>4107</v>
      </c>
      <c r="BZ98" t="s">
        <v>4107</v>
      </c>
      <c r="CA98" t="s">
        <v>4108</v>
      </c>
      <c r="CB98" t="s">
        <v>4109</v>
      </c>
      <c r="CC98" t="s">
        <v>4053</v>
      </c>
      <c r="CD98" t="s">
        <v>4110</v>
      </c>
      <c r="CE98" t="s">
        <v>4055</v>
      </c>
      <c r="CF98" t="s">
        <v>4055</v>
      </c>
      <c r="CG98" t="s">
        <v>4056</v>
      </c>
      <c r="CH98" t="s">
        <v>4099</v>
      </c>
      <c r="CI98" t="s">
        <v>4058</v>
      </c>
      <c r="CJ98" t="s">
        <v>4059</v>
      </c>
      <c r="CK98" t="s">
        <v>4060</v>
      </c>
      <c r="CL98" t="s">
        <v>4061</v>
      </c>
      <c r="CM98" t="s">
        <v>4055</v>
      </c>
      <c r="CN98" t="s">
        <v>4062</v>
      </c>
      <c r="CO98" t="s">
        <v>4063</v>
      </c>
      <c r="CP98" t="s">
        <v>4055</v>
      </c>
      <c r="CQ98" t="s">
        <v>4055</v>
      </c>
      <c r="CR98">
        <v>5</v>
      </c>
      <c r="CS98" t="s">
        <v>4055</v>
      </c>
      <c r="CT98">
        <v>15</v>
      </c>
      <c r="CU98" t="s">
        <v>4055</v>
      </c>
      <c r="CV98">
        <v>126</v>
      </c>
      <c r="CW98">
        <v>3</v>
      </c>
      <c r="CX98">
        <v>84</v>
      </c>
      <c r="CY98">
        <v>5</v>
      </c>
      <c r="CZ98">
        <v>72</v>
      </c>
      <c r="DA98">
        <v>5</v>
      </c>
      <c r="DB98">
        <v>10750</v>
      </c>
      <c r="DC98">
        <v>190</v>
      </c>
      <c r="DD98">
        <v>331</v>
      </c>
      <c r="DE98">
        <v>2098</v>
      </c>
      <c r="DF98">
        <v>2098</v>
      </c>
      <c r="DG98">
        <v>2107</v>
      </c>
      <c r="DH98" t="s">
        <v>4055</v>
      </c>
      <c r="DI98" t="s">
        <v>4055</v>
      </c>
      <c r="DJ98" t="s">
        <v>4064</v>
      </c>
      <c r="DK98">
        <v>195</v>
      </c>
      <c r="DL98" t="s">
        <v>4065</v>
      </c>
      <c r="DM98">
        <v>65</v>
      </c>
      <c r="DN98">
        <v>1.2</v>
      </c>
      <c r="DO98">
        <v>1</v>
      </c>
      <c r="DP98">
        <v>1989</v>
      </c>
      <c r="DQ98">
        <v>891</v>
      </c>
      <c r="DR98" t="s">
        <v>4064</v>
      </c>
      <c r="DS98">
        <v>185</v>
      </c>
      <c r="DT98" t="s">
        <v>4065</v>
      </c>
      <c r="DU98">
        <v>65</v>
      </c>
      <c r="DV98">
        <v>1.2</v>
      </c>
      <c r="DW98">
        <v>1</v>
      </c>
      <c r="DX98">
        <v>2001</v>
      </c>
      <c r="DY98">
        <v>850</v>
      </c>
      <c r="DZ98" t="s">
        <v>4066</v>
      </c>
      <c r="EA98">
        <v>20</v>
      </c>
      <c r="EB98" t="s">
        <v>4065</v>
      </c>
      <c r="EC98">
        <v>0.8</v>
      </c>
      <c r="ED98">
        <v>1989</v>
      </c>
      <c r="EE98">
        <v>70</v>
      </c>
      <c r="EG98">
        <v>0</v>
      </c>
      <c r="EH98" t="s">
        <v>4065</v>
      </c>
      <c r="EI98">
        <v>0</v>
      </c>
      <c r="EL98" t="s">
        <v>1528</v>
      </c>
      <c r="EM98">
        <v>12</v>
      </c>
      <c r="EN98">
        <v>0.5</v>
      </c>
      <c r="EO98">
        <v>0.96</v>
      </c>
      <c r="EP98">
        <v>2000.08</v>
      </c>
      <c r="EQ98">
        <v>33438.84</v>
      </c>
      <c r="ER98">
        <v>10657.47</v>
      </c>
      <c r="ES98">
        <v>0</v>
      </c>
      <c r="ET98">
        <v>0</v>
      </c>
      <c r="EU98">
        <v>1</v>
      </c>
      <c r="EV98">
        <v>44097</v>
      </c>
      <c r="EW98">
        <v>530</v>
      </c>
      <c r="EX98" t="s">
        <v>4363</v>
      </c>
      <c r="EY98">
        <v>216</v>
      </c>
      <c r="EZ98" t="s">
        <v>4055</v>
      </c>
      <c r="FA98">
        <v>5.2</v>
      </c>
      <c r="FB98">
        <v>1</v>
      </c>
      <c r="FC98">
        <v>1</v>
      </c>
      <c r="FD98">
        <v>2029</v>
      </c>
      <c r="FE98">
        <v>2527</v>
      </c>
      <c r="FF98" t="s">
        <v>4089</v>
      </c>
      <c r="FG98">
        <v>216</v>
      </c>
      <c r="FH98" t="s">
        <v>4055</v>
      </c>
      <c r="FI98">
        <v>1.6</v>
      </c>
      <c r="FJ98">
        <v>2029</v>
      </c>
      <c r="FK98">
        <v>695</v>
      </c>
      <c r="FL98" t="s">
        <v>4069</v>
      </c>
      <c r="FM98" t="s">
        <v>4055</v>
      </c>
      <c r="FN98" t="s">
        <v>4055</v>
      </c>
      <c r="FO98" t="s">
        <v>4055</v>
      </c>
      <c r="FP98">
        <v>2029</v>
      </c>
      <c r="FQ98">
        <v>126</v>
      </c>
      <c r="FR98" t="s">
        <v>4090</v>
      </c>
      <c r="FS98">
        <v>220</v>
      </c>
      <c r="FT98" t="s">
        <v>4055</v>
      </c>
      <c r="FU98">
        <v>0.4</v>
      </c>
      <c r="FV98">
        <v>2029</v>
      </c>
      <c r="FW98">
        <v>198</v>
      </c>
      <c r="FX98" t="s">
        <v>4070</v>
      </c>
      <c r="FY98">
        <v>5</v>
      </c>
      <c r="FZ98" t="s">
        <v>4055</v>
      </c>
      <c r="GA98" t="s">
        <v>4055</v>
      </c>
      <c r="GB98">
        <v>2029</v>
      </c>
      <c r="GC98">
        <v>17</v>
      </c>
      <c r="GD98">
        <v>3563</v>
      </c>
      <c r="GE98" t="s">
        <v>4462</v>
      </c>
      <c r="GF98" t="s">
        <v>4055</v>
      </c>
      <c r="GG98" t="s">
        <v>4055</v>
      </c>
      <c r="GH98" t="s">
        <v>4055</v>
      </c>
      <c r="GI98" t="s">
        <v>4071</v>
      </c>
      <c r="GJ98" t="s">
        <v>4055</v>
      </c>
      <c r="GK98" t="s">
        <v>4055</v>
      </c>
      <c r="GL98" t="s">
        <v>4055</v>
      </c>
      <c r="GM98" t="s">
        <v>4055</v>
      </c>
      <c r="GQ98">
        <v>0</v>
      </c>
      <c r="GV98">
        <v>7.2</v>
      </c>
      <c r="GW98">
        <v>9</v>
      </c>
      <c r="GX98">
        <v>0.5</v>
      </c>
      <c r="GY98">
        <v>180</v>
      </c>
      <c r="GZ98">
        <v>3</v>
      </c>
      <c r="HA98">
        <v>234</v>
      </c>
      <c r="HB98">
        <v>3</v>
      </c>
      <c r="HC98">
        <v>2029</v>
      </c>
      <c r="HD98">
        <v>4</v>
      </c>
      <c r="HE98" t="s">
        <v>4071</v>
      </c>
      <c r="HG98" t="s">
        <v>549</v>
      </c>
      <c r="HL98">
        <v>4</v>
      </c>
      <c r="HM98">
        <v>17</v>
      </c>
      <c r="HN98">
        <v>6</v>
      </c>
      <c r="HO98">
        <v>1</v>
      </c>
      <c r="HP98">
        <v>0</v>
      </c>
      <c r="HQ98">
        <v>2</v>
      </c>
      <c r="HR98">
        <v>2</v>
      </c>
      <c r="HS98">
        <v>1985</v>
      </c>
      <c r="HT98">
        <v>5</v>
      </c>
      <c r="HU98">
        <v>1</v>
      </c>
      <c r="HV98">
        <v>3</v>
      </c>
      <c r="HW98">
        <v>0</v>
      </c>
      <c r="HX98">
        <v>1</v>
      </c>
      <c r="HY98">
        <v>0</v>
      </c>
      <c r="HZ98">
        <v>65</v>
      </c>
      <c r="IA98">
        <v>1989</v>
      </c>
      <c r="IB98">
        <v>2001</v>
      </c>
      <c r="ID98">
        <v>2029</v>
      </c>
      <c r="IE98">
        <v>2029</v>
      </c>
      <c r="IF98">
        <v>195</v>
      </c>
      <c r="IG98">
        <v>185</v>
      </c>
      <c r="IH98">
        <v>234</v>
      </c>
      <c r="II98">
        <v>1</v>
      </c>
      <c r="IJ98">
        <v>5</v>
      </c>
      <c r="IK98">
        <v>0</v>
      </c>
      <c r="IL98">
        <v>0</v>
      </c>
      <c r="IM98">
        <v>0</v>
      </c>
      <c r="IN98">
        <v>270</v>
      </c>
      <c r="IO98">
        <v>0</v>
      </c>
      <c r="IP98">
        <v>180</v>
      </c>
      <c r="IQ98">
        <v>0</v>
      </c>
      <c r="IR98">
        <v>325</v>
      </c>
      <c r="IS98">
        <v>0</v>
      </c>
      <c r="IT98">
        <v>90</v>
      </c>
      <c r="IU98">
        <v>0</v>
      </c>
      <c r="IV98">
        <v>6.4</v>
      </c>
      <c r="IW98">
        <v>-6</v>
      </c>
      <c r="IX98">
        <v>101</v>
      </c>
      <c r="IY98">
        <v>67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384</v>
      </c>
      <c r="JJ98">
        <v>354</v>
      </c>
      <c r="JK98">
        <v>260</v>
      </c>
      <c r="JL98">
        <v>350</v>
      </c>
      <c r="JM98">
        <v>290</v>
      </c>
      <c r="JN98">
        <v>210</v>
      </c>
      <c r="JO98">
        <v>240</v>
      </c>
      <c r="JP98">
        <v>215</v>
      </c>
      <c r="JQ98">
        <v>240</v>
      </c>
      <c r="JR98">
        <v>338</v>
      </c>
      <c r="JS98">
        <v>246</v>
      </c>
      <c r="JT98">
        <v>0</v>
      </c>
      <c r="JU98">
        <v>0</v>
      </c>
      <c r="JV98">
        <v>335</v>
      </c>
      <c r="JW98">
        <v>337</v>
      </c>
      <c r="JX98">
        <v>330</v>
      </c>
      <c r="JY98">
        <v>310</v>
      </c>
      <c r="JZ98">
        <v>1</v>
      </c>
      <c r="KA98">
        <v>0.2</v>
      </c>
      <c r="KB98">
        <v>0.4</v>
      </c>
      <c r="KC98">
        <v>0.42</v>
      </c>
      <c r="KE98">
        <v>0.5</v>
      </c>
      <c r="KF98">
        <v>0.18</v>
      </c>
      <c r="KG98">
        <v>0.1</v>
      </c>
      <c r="KH98">
        <v>3.5</v>
      </c>
      <c r="KI98">
        <v>1</v>
      </c>
      <c r="KJ98">
        <v>5</v>
      </c>
      <c r="KK98">
        <v>1</v>
      </c>
      <c r="KL98">
        <v>5</v>
      </c>
      <c r="KM98">
        <v>1</v>
      </c>
      <c r="KN98">
        <v>1.6</v>
      </c>
      <c r="KO98">
        <v>0</v>
      </c>
      <c r="KP98">
        <v>0</v>
      </c>
      <c r="KQ98">
        <v>1</v>
      </c>
      <c r="KR98">
        <v>0.8</v>
      </c>
      <c r="KS98">
        <v>0</v>
      </c>
      <c r="KT98">
        <v>2.2</v>
      </c>
      <c r="KU98">
        <v>0</v>
      </c>
      <c r="KV98">
        <v>0</v>
      </c>
      <c r="KW98">
        <v>1.2</v>
      </c>
      <c r="KX98">
        <v>2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3</v>
      </c>
      <c r="LI98">
        <v>1</v>
      </c>
      <c r="LJ98">
        <v>0</v>
      </c>
      <c r="LK98">
        <v>3</v>
      </c>
      <c r="LL98">
        <v>6</v>
      </c>
      <c r="LM98">
        <v>5</v>
      </c>
      <c r="LN98">
        <v>0.5</v>
      </c>
      <c r="LO98">
        <v>0.3</v>
      </c>
      <c r="LP98">
        <v>0</v>
      </c>
      <c r="LQ98">
        <v>0</v>
      </c>
      <c r="LR98">
        <v>0</v>
      </c>
      <c r="LS98">
        <v>1</v>
      </c>
      <c r="LT98">
        <v>0</v>
      </c>
      <c r="LU98">
        <v>0</v>
      </c>
      <c r="LV98">
        <v>0</v>
      </c>
      <c r="LW98">
        <v>1.8</v>
      </c>
      <c r="LX98">
        <v>1.8</v>
      </c>
      <c r="LY98">
        <v>2.1</v>
      </c>
      <c r="LZ98">
        <v>2.1</v>
      </c>
      <c r="MA98">
        <v>0</v>
      </c>
      <c r="MB98">
        <v>3</v>
      </c>
      <c r="MC98">
        <v>0</v>
      </c>
      <c r="MD98">
        <v>4.5</v>
      </c>
      <c r="ME98">
        <v>6</v>
      </c>
      <c r="MF98">
        <v>6</v>
      </c>
      <c r="MI98">
        <v>0</v>
      </c>
      <c r="MJ98">
        <v>0</v>
      </c>
      <c r="ML98">
        <v>0</v>
      </c>
      <c r="MM98">
        <v>390</v>
      </c>
      <c r="MN98">
        <v>185</v>
      </c>
      <c r="MO98">
        <v>234</v>
      </c>
      <c r="NU98">
        <v>0.15</v>
      </c>
      <c r="NV98">
        <v>0.2</v>
      </c>
      <c r="NW98">
        <v>0.2</v>
      </c>
      <c r="NX98">
        <v>0.2</v>
      </c>
      <c r="NY98">
        <v>0.2</v>
      </c>
      <c r="NZ98">
        <v>0.2</v>
      </c>
      <c r="OE98" t="s">
        <v>4462</v>
      </c>
      <c r="OF98" t="s">
        <v>4437</v>
      </c>
      <c r="OG98" t="s">
        <v>4438</v>
      </c>
      <c r="OH98" t="s">
        <v>4043</v>
      </c>
      <c r="OI98" t="s">
        <v>4462</v>
      </c>
      <c r="OJ98" t="s">
        <v>4461</v>
      </c>
      <c r="OK98">
        <v>61</v>
      </c>
      <c r="OL98">
        <v>61</v>
      </c>
      <c r="OM98" t="s">
        <v>4437</v>
      </c>
      <c r="ON98">
        <v>1</v>
      </c>
      <c r="OO98">
        <v>1989</v>
      </c>
      <c r="OP98">
        <v>61</v>
      </c>
      <c r="OQ98">
        <v>61</v>
      </c>
      <c r="OR98" t="s">
        <v>4438</v>
      </c>
      <c r="OS98">
        <v>1</v>
      </c>
      <c r="OT98">
        <v>2001</v>
      </c>
      <c r="OU98">
        <v>65</v>
      </c>
      <c r="OV98">
        <v>65</v>
      </c>
      <c r="OW98" t="s">
        <v>4043</v>
      </c>
      <c r="OX98">
        <v>1</v>
      </c>
      <c r="OY98">
        <v>44097</v>
      </c>
      <c r="OZ98">
        <v>51</v>
      </c>
      <c r="PA98">
        <v>52</v>
      </c>
      <c r="PB98" t="s">
        <v>4462</v>
      </c>
      <c r="PC98">
        <v>2</v>
      </c>
      <c r="PD98">
        <v>2029</v>
      </c>
      <c r="PF98">
        <v>448</v>
      </c>
      <c r="PG98">
        <v>35</v>
      </c>
      <c r="PH98">
        <v>425</v>
      </c>
      <c r="PI98">
        <v>0</v>
      </c>
      <c r="PJ98">
        <v>61.9</v>
      </c>
      <c r="PK98">
        <v>1753</v>
      </c>
      <c r="PL98">
        <v>1245.6</v>
      </c>
      <c r="PM98">
        <v>342.6</v>
      </c>
      <c r="PN98">
        <v>97.8</v>
      </c>
      <c r="PO98">
        <v>8.4</v>
      </c>
      <c r="PP98">
        <v>12</v>
      </c>
      <c r="PQ98">
        <v>3</v>
      </c>
      <c r="PR98">
        <v>3</v>
      </c>
      <c r="PS98">
        <v>8</v>
      </c>
      <c r="PT98">
        <v>234</v>
      </c>
      <c r="PU98">
        <v>9</v>
      </c>
      <c r="PV98" t="s">
        <v>4072</v>
      </c>
      <c r="PW98" t="s">
        <v>4072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-1</v>
      </c>
      <c r="QF98">
        <v>1</v>
      </c>
      <c r="QG98">
        <v>0</v>
      </c>
      <c r="QH98">
        <v>5</v>
      </c>
      <c r="QI98">
        <v>5</v>
      </c>
      <c r="QJ98">
        <v>5</v>
      </c>
      <c r="QK98">
        <v>187</v>
      </c>
      <c r="QL98">
        <v>418</v>
      </c>
      <c r="QM98">
        <v>7.5</v>
      </c>
      <c r="QN98">
        <v>1381.4</v>
      </c>
      <c r="QO98" t="s">
        <v>1477</v>
      </c>
      <c r="QP98" t="s">
        <v>513</v>
      </c>
      <c r="QQ98">
        <v>0</v>
      </c>
      <c r="QR98" t="s">
        <v>1496</v>
      </c>
      <c r="QS98">
        <v>30</v>
      </c>
      <c r="QT98">
        <v>40</v>
      </c>
    </row>
    <row r="99" spans="1:462">
      <c r="A99" t="s">
        <v>1794</v>
      </c>
      <c r="B99" t="s">
        <v>657</v>
      </c>
      <c r="C99" t="s">
        <v>509</v>
      </c>
      <c r="D99" t="s">
        <v>4236</v>
      </c>
      <c r="E99" t="s">
        <v>4036</v>
      </c>
      <c r="H99" t="s">
        <v>604</v>
      </c>
      <c r="I99" t="s">
        <v>605</v>
      </c>
      <c r="J99" t="s">
        <v>628</v>
      </c>
      <c r="L99" t="s">
        <v>559</v>
      </c>
      <c r="M99" t="s">
        <v>512</v>
      </c>
      <c r="O99" t="s">
        <v>513</v>
      </c>
      <c r="P99" t="s">
        <v>567</v>
      </c>
      <c r="Q99" t="s">
        <v>1795</v>
      </c>
      <c r="R99" t="s">
        <v>1796</v>
      </c>
      <c r="S99" t="s">
        <v>4037</v>
      </c>
      <c r="T99" t="s">
        <v>1482</v>
      </c>
      <c r="U99" t="s">
        <v>1483</v>
      </c>
      <c r="V99" t="s">
        <v>1797</v>
      </c>
      <c r="W99" t="s">
        <v>1460</v>
      </c>
      <c r="X99" t="s">
        <v>1798</v>
      </c>
      <c r="Y99" t="s">
        <v>1799</v>
      </c>
      <c r="Z99" t="s">
        <v>650</v>
      </c>
      <c r="AA99" t="s">
        <v>4038</v>
      </c>
      <c r="AB99" t="s">
        <v>4463</v>
      </c>
      <c r="AC99">
        <v>9</v>
      </c>
      <c r="AD99" t="s">
        <v>1793</v>
      </c>
      <c r="AE99">
        <v>7</v>
      </c>
      <c r="AF99">
        <v>3106</v>
      </c>
      <c r="AG99" t="s">
        <v>4410</v>
      </c>
      <c r="AH99">
        <v>1</v>
      </c>
      <c r="AI99" t="s">
        <v>4041</v>
      </c>
      <c r="AK99" t="s">
        <v>4411</v>
      </c>
      <c r="AL99">
        <v>1</v>
      </c>
      <c r="AM99" t="s">
        <v>582</v>
      </c>
      <c r="AO99" t="s">
        <v>4043</v>
      </c>
      <c r="AP99">
        <v>1</v>
      </c>
      <c r="AR99" t="s">
        <v>4464</v>
      </c>
      <c r="AS99">
        <v>1</v>
      </c>
      <c r="AT99">
        <v>51</v>
      </c>
      <c r="AV99" t="s">
        <v>4045</v>
      </c>
      <c r="AW99">
        <v>6.4</v>
      </c>
      <c r="AX99">
        <v>-6</v>
      </c>
      <c r="AY99">
        <v>82.5</v>
      </c>
      <c r="AZ99">
        <v>65</v>
      </c>
      <c r="BH99">
        <v>82.5</v>
      </c>
      <c r="BI99">
        <v>17.5</v>
      </c>
      <c r="BJ99">
        <v>65</v>
      </c>
      <c r="BK99">
        <v>2.5</v>
      </c>
      <c r="BL99">
        <v>165</v>
      </c>
      <c r="BM99">
        <v>-6</v>
      </c>
      <c r="BN99">
        <v>0</v>
      </c>
      <c r="BP99">
        <v>0</v>
      </c>
      <c r="BR99">
        <v>160</v>
      </c>
      <c r="BS99">
        <v>150</v>
      </c>
      <c r="BT99">
        <v>1700</v>
      </c>
      <c r="BU99" t="s">
        <v>4355</v>
      </c>
      <c r="BW99" t="s">
        <v>4368</v>
      </c>
      <c r="BY99" t="s">
        <v>4369</v>
      </c>
      <c r="BZ99" t="s">
        <v>4369</v>
      </c>
      <c r="CA99" t="s">
        <v>4370</v>
      </c>
      <c r="CB99" t="s">
        <v>4371</v>
      </c>
      <c r="CC99" t="s">
        <v>4053</v>
      </c>
      <c r="CD99" t="s">
        <v>4372</v>
      </c>
      <c r="CE99" t="s">
        <v>4055</v>
      </c>
      <c r="CF99" t="s">
        <v>4055</v>
      </c>
      <c r="CG99" t="s">
        <v>4056</v>
      </c>
      <c r="CH99" t="s">
        <v>4145</v>
      </c>
      <c r="CI99" t="s">
        <v>4058</v>
      </c>
      <c r="CJ99" t="s">
        <v>4059</v>
      </c>
      <c r="CK99" t="s">
        <v>4060</v>
      </c>
      <c r="CL99" t="s">
        <v>4061</v>
      </c>
      <c r="CM99" t="s">
        <v>4062</v>
      </c>
      <c r="CN99" t="s">
        <v>4055</v>
      </c>
      <c r="CO99" t="s">
        <v>4063</v>
      </c>
      <c r="CP99" t="s">
        <v>4055</v>
      </c>
      <c r="CQ99" t="s">
        <v>4055</v>
      </c>
      <c r="CR99">
        <v>5</v>
      </c>
      <c r="CS99" t="s">
        <v>4055</v>
      </c>
      <c r="CT99" t="s">
        <v>4055</v>
      </c>
      <c r="CU99" t="s">
        <v>4055</v>
      </c>
      <c r="CV99">
        <v>110</v>
      </c>
      <c r="CW99">
        <v>3</v>
      </c>
      <c r="CX99">
        <v>93</v>
      </c>
      <c r="CY99">
        <v>5</v>
      </c>
      <c r="CZ99">
        <v>119</v>
      </c>
      <c r="DA99">
        <v>5</v>
      </c>
      <c r="DB99">
        <v>7010</v>
      </c>
      <c r="DC99">
        <v>210</v>
      </c>
      <c r="DD99">
        <v>264</v>
      </c>
      <c r="DE99">
        <v>1777</v>
      </c>
      <c r="DF99">
        <v>1777</v>
      </c>
      <c r="DG99">
        <v>1812</v>
      </c>
      <c r="DH99" t="s">
        <v>4055</v>
      </c>
      <c r="DI99" t="s">
        <v>4055</v>
      </c>
      <c r="DJ99" t="s">
        <v>4100</v>
      </c>
      <c r="DK99">
        <v>160</v>
      </c>
      <c r="DL99" t="s">
        <v>4101</v>
      </c>
      <c r="DM99">
        <v>65</v>
      </c>
      <c r="DN99">
        <v>0.84</v>
      </c>
      <c r="DO99">
        <v>1</v>
      </c>
      <c r="DP99">
        <v>1703</v>
      </c>
      <c r="DQ99">
        <v>497</v>
      </c>
      <c r="DR99" t="s">
        <v>4100</v>
      </c>
      <c r="DS99">
        <v>150</v>
      </c>
      <c r="DT99" t="s">
        <v>4101</v>
      </c>
      <c r="DU99">
        <v>65</v>
      </c>
      <c r="DV99">
        <v>0.84</v>
      </c>
      <c r="DW99">
        <v>1</v>
      </c>
      <c r="DX99">
        <v>1710</v>
      </c>
      <c r="DY99">
        <v>469</v>
      </c>
      <c r="DZ99" t="s">
        <v>4066</v>
      </c>
      <c r="EA99">
        <v>33</v>
      </c>
      <c r="EB99" t="s">
        <v>4065</v>
      </c>
      <c r="EC99">
        <v>0.4</v>
      </c>
      <c r="ED99">
        <v>1703</v>
      </c>
      <c r="EE99">
        <v>49</v>
      </c>
      <c r="EF99" t="s">
        <v>4066</v>
      </c>
      <c r="EG99">
        <v>33</v>
      </c>
      <c r="EH99" t="s">
        <v>4065</v>
      </c>
      <c r="EI99">
        <v>0.4</v>
      </c>
      <c r="EJ99">
        <v>1710</v>
      </c>
      <c r="EK99">
        <v>50</v>
      </c>
      <c r="EL99" t="s">
        <v>1528</v>
      </c>
      <c r="EM99">
        <v>12</v>
      </c>
      <c r="EN99">
        <v>0.5</v>
      </c>
      <c r="EO99">
        <v>0.96</v>
      </c>
      <c r="EP99">
        <v>1710.56</v>
      </c>
      <c r="EQ99">
        <v>23653.84</v>
      </c>
      <c r="ER99">
        <v>4693.81</v>
      </c>
      <c r="ES99">
        <v>0</v>
      </c>
      <c r="ET99">
        <v>0</v>
      </c>
      <c r="EU99">
        <v>1</v>
      </c>
      <c r="EV99">
        <v>28348</v>
      </c>
      <c r="EW99">
        <v>341</v>
      </c>
      <c r="EX99" t="s">
        <v>4363</v>
      </c>
      <c r="EY99">
        <v>184</v>
      </c>
      <c r="EZ99" t="s">
        <v>4055</v>
      </c>
      <c r="FA99">
        <v>2.9</v>
      </c>
      <c r="FB99">
        <v>1</v>
      </c>
      <c r="FC99">
        <v>1</v>
      </c>
      <c r="FD99">
        <v>1731</v>
      </c>
      <c r="FE99">
        <v>1847</v>
      </c>
      <c r="FF99" t="s">
        <v>4089</v>
      </c>
      <c r="FG99">
        <v>184</v>
      </c>
      <c r="FH99" t="s">
        <v>4055</v>
      </c>
      <c r="FI99">
        <v>1.2</v>
      </c>
      <c r="FJ99">
        <v>1731</v>
      </c>
      <c r="FK99">
        <v>386</v>
      </c>
      <c r="FL99" t="s">
        <v>4069</v>
      </c>
      <c r="FM99" t="s">
        <v>4055</v>
      </c>
      <c r="FN99" t="s">
        <v>4055</v>
      </c>
      <c r="FO99" t="s">
        <v>4055</v>
      </c>
      <c r="FP99">
        <v>1731</v>
      </c>
      <c r="FQ99">
        <v>100</v>
      </c>
      <c r="FR99" t="s">
        <v>4090</v>
      </c>
      <c r="FS99">
        <v>188</v>
      </c>
      <c r="FT99" t="s">
        <v>4055</v>
      </c>
      <c r="FU99">
        <v>0.4</v>
      </c>
      <c r="FV99">
        <v>1731</v>
      </c>
      <c r="FW99">
        <v>145</v>
      </c>
      <c r="FX99" t="s">
        <v>4070</v>
      </c>
      <c r="FY99">
        <v>10</v>
      </c>
      <c r="FZ99" t="s">
        <v>4055</v>
      </c>
      <c r="GA99" t="s">
        <v>4055</v>
      </c>
      <c r="GB99">
        <v>1731</v>
      </c>
      <c r="GC99">
        <v>14</v>
      </c>
      <c r="GD99">
        <v>2492</v>
      </c>
      <c r="GE99" t="s">
        <v>4464</v>
      </c>
      <c r="GF99" t="s">
        <v>4055</v>
      </c>
      <c r="GG99" t="s">
        <v>4055</v>
      </c>
      <c r="GH99" t="s">
        <v>4055</v>
      </c>
      <c r="GI99" t="s">
        <v>4071</v>
      </c>
      <c r="GJ99" t="s">
        <v>4055</v>
      </c>
      <c r="GK99" t="s">
        <v>4055</v>
      </c>
      <c r="GL99" t="s">
        <v>4055</v>
      </c>
      <c r="GM99" t="s">
        <v>4055</v>
      </c>
      <c r="GQ99">
        <v>0</v>
      </c>
      <c r="GV99">
        <v>4.5</v>
      </c>
      <c r="GW99">
        <v>8.5</v>
      </c>
      <c r="GX99">
        <v>0.5</v>
      </c>
      <c r="GY99">
        <v>156</v>
      </c>
      <c r="GZ99">
        <v>3</v>
      </c>
      <c r="HA99">
        <v>200</v>
      </c>
      <c r="HB99">
        <v>3</v>
      </c>
      <c r="HC99">
        <v>1731</v>
      </c>
      <c r="HD99">
        <v>4</v>
      </c>
      <c r="HE99" t="s">
        <v>4071</v>
      </c>
      <c r="HG99" t="s">
        <v>549</v>
      </c>
      <c r="HL99">
        <v>4</v>
      </c>
      <c r="HM99">
        <v>15</v>
      </c>
      <c r="HN99">
        <v>1</v>
      </c>
      <c r="HO99">
        <v>1</v>
      </c>
      <c r="HP99">
        <v>0</v>
      </c>
      <c r="HQ99">
        <v>0</v>
      </c>
      <c r="HR99">
        <v>3</v>
      </c>
      <c r="HS99">
        <v>1700</v>
      </c>
      <c r="HT99">
        <v>5</v>
      </c>
      <c r="HU99">
        <v>1</v>
      </c>
      <c r="HV99">
        <v>3</v>
      </c>
      <c r="HW99">
        <v>0</v>
      </c>
      <c r="HX99">
        <v>1</v>
      </c>
      <c r="HY99">
        <v>0</v>
      </c>
      <c r="HZ99">
        <v>65</v>
      </c>
      <c r="IA99">
        <v>1703</v>
      </c>
      <c r="IB99">
        <v>1710</v>
      </c>
      <c r="ID99">
        <v>1731</v>
      </c>
      <c r="IE99">
        <v>1731</v>
      </c>
      <c r="IF99">
        <v>160</v>
      </c>
      <c r="IG99">
        <v>150</v>
      </c>
      <c r="IH99">
        <v>200</v>
      </c>
      <c r="II99">
        <v>1</v>
      </c>
      <c r="IJ99">
        <v>5</v>
      </c>
      <c r="IK99">
        <v>0</v>
      </c>
      <c r="IL99">
        <v>0</v>
      </c>
      <c r="IM99">
        <v>0</v>
      </c>
      <c r="IN99">
        <v>270</v>
      </c>
      <c r="IO99">
        <v>0</v>
      </c>
      <c r="IP99">
        <v>180</v>
      </c>
      <c r="IQ99">
        <v>0</v>
      </c>
      <c r="IR99">
        <v>330</v>
      </c>
      <c r="IS99">
        <v>0</v>
      </c>
      <c r="IT99">
        <v>90</v>
      </c>
      <c r="IU99">
        <v>0</v>
      </c>
      <c r="IV99">
        <v>6.4</v>
      </c>
      <c r="IW99">
        <v>-6</v>
      </c>
      <c r="IX99">
        <v>82.5</v>
      </c>
      <c r="IY99">
        <v>65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308</v>
      </c>
      <c r="JJ99">
        <v>278</v>
      </c>
      <c r="JK99">
        <v>222</v>
      </c>
      <c r="JL99">
        <v>284</v>
      </c>
      <c r="JM99">
        <v>220</v>
      </c>
      <c r="JN99">
        <v>170</v>
      </c>
      <c r="JO99">
        <v>210</v>
      </c>
      <c r="JP99">
        <v>240</v>
      </c>
      <c r="JQ99">
        <v>260</v>
      </c>
      <c r="JR99">
        <v>345</v>
      </c>
      <c r="JS99">
        <v>280</v>
      </c>
      <c r="JT99">
        <v>0</v>
      </c>
      <c r="JU99">
        <v>0</v>
      </c>
      <c r="JV99">
        <v>335</v>
      </c>
      <c r="JW99">
        <v>337</v>
      </c>
      <c r="JX99">
        <v>335</v>
      </c>
      <c r="JY99">
        <v>320</v>
      </c>
      <c r="JZ99">
        <v>1.5</v>
      </c>
      <c r="KA99">
        <v>0.2</v>
      </c>
      <c r="KB99">
        <v>0.4</v>
      </c>
      <c r="KC99">
        <v>0.42</v>
      </c>
      <c r="KD99">
        <v>0.28</v>
      </c>
      <c r="KE99">
        <v>0.5</v>
      </c>
      <c r="KF99">
        <v>0.15</v>
      </c>
      <c r="KG99">
        <v>0.09</v>
      </c>
      <c r="KH99">
        <v>3.5</v>
      </c>
      <c r="KI99">
        <v>0</v>
      </c>
      <c r="KJ99">
        <v>5.5</v>
      </c>
      <c r="KK99">
        <v>0</v>
      </c>
      <c r="KL99">
        <v>4.5</v>
      </c>
      <c r="KM99">
        <v>0.5</v>
      </c>
      <c r="KN99">
        <v>1</v>
      </c>
      <c r="KO99">
        <v>0</v>
      </c>
      <c r="KP99">
        <v>0</v>
      </c>
      <c r="KQ99">
        <v>0.8</v>
      </c>
      <c r="KR99">
        <v>1</v>
      </c>
      <c r="KS99">
        <v>0</v>
      </c>
      <c r="KT99">
        <v>1.4</v>
      </c>
      <c r="KU99">
        <v>0</v>
      </c>
      <c r="KV99">
        <v>0</v>
      </c>
      <c r="KW99">
        <v>1.5</v>
      </c>
      <c r="KX99">
        <v>1.5</v>
      </c>
      <c r="KY99">
        <v>1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3</v>
      </c>
      <c r="LI99">
        <v>1</v>
      </c>
      <c r="LJ99">
        <v>0</v>
      </c>
      <c r="LK99">
        <v>4</v>
      </c>
      <c r="LL99">
        <v>4.5</v>
      </c>
      <c r="LM99">
        <v>5</v>
      </c>
      <c r="LN99">
        <v>0.3</v>
      </c>
      <c r="LO99">
        <v>0.5</v>
      </c>
      <c r="LP99">
        <v>0</v>
      </c>
      <c r="LQ99">
        <v>0</v>
      </c>
      <c r="LR99">
        <v>0</v>
      </c>
      <c r="LS99">
        <v>1</v>
      </c>
      <c r="LT99">
        <v>0</v>
      </c>
      <c r="LU99">
        <v>0</v>
      </c>
      <c r="LV99">
        <v>0</v>
      </c>
      <c r="LW99">
        <v>2</v>
      </c>
      <c r="LX99">
        <v>2</v>
      </c>
      <c r="LY99">
        <v>2.1</v>
      </c>
      <c r="LZ99">
        <v>2.1</v>
      </c>
      <c r="MA99">
        <v>0</v>
      </c>
      <c r="MB99">
        <v>6</v>
      </c>
      <c r="MC99">
        <v>0</v>
      </c>
      <c r="MD99">
        <v>4.5</v>
      </c>
      <c r="ME99">
        <v>6</v>
      </c>
      <c r="MF99">
        <v>6</v>
      </c>
      <c r="MI99">
        <v>0</v>
      </c>
      <c r="MJ99">
        <v>0</v>
      </c>
      <c r="ML99">
        <v>0</v>
      </c>
      <c r="MM99">
        <v>341</v>
      </c>
      <c r="MN99">
        <v>155</v>
      </c>
      <c r="MO99">
        <v>210</v>
      </c>
      <c r="NH99">
        <v>0</v>
      </c>
      <c r="NJ99">
        <v>0</v>
      </c>
      <c r="NK99">
        <v>0</v>
      </c>
      <c r="NM99">
        <v>0</v>
      </c>
      <c r="NU99">
        <v>0.15</v>
      </c>
      <c r="NV99">
        <v>0.2</v>
      </c>
      <c r="NW99">
        <v>0.2</v>
      </c>
      <c r="NX99">
        <v>2</v>
      </c>
      <c r="NY99">
        <v>2</v>
      </c>
      <c r="NZ99">
        <v>2</v>
      </c>
      <c r="OE99" t="s">
        <v>4464</v>
      </c>
      <c r="OF99" t="s">
        <v>4410</v>
      </c>
      <c r="OG99" t="s">
        <v>4411</v>
      </c>
      <c r="OH99" t="s">
        <v>4043</v>
      </c>
      <c r="OI99" t="s">
        <v>4464</v>
      </c>
      <c r="OJ99" t="s">
        <v>4463</v>
      </c>
      <c r="OK99">
        <v>61</v>
      </c>
      <c r="OL99">
        <v>61</v>
      </c>
      <c r="OM99" t="s">
        <v>4410</v>
      </c>
      <c r="ON99">
        <v>2</v>
      </c>
      <c r="OO99">
        <v>1703</v>
      </c>
      <c r="OP99">
        <v>61</v>
      </c>
      <c r="OQ99">
        <v>61</v>
      </c>
      <c r="OR99" t="s">
        <v>4411</v>
      </c>
      <c r="OS99">
        <v>2</v>
      </c>
      <c r="OT99">
        <v>1710</v>
      </c>
      <c r="OU99">
        <v>65</v>
      </c>
      <c r="OV99">
        <v>65</v>
      </c>
      <c r="OW99" t="s">
        <v>4043</v>
      </c>
      <c r="OX99">
        <v>1</v>
      </c>
      <c r="OY99">
        <v>28348</v>
      </c>
      <c r="OZ99">
        <v>51</v>
      </c>
      <c r="PA99">
        <v>51</v>
      </c>
      <c r="PB99" t="s">
        <v>4464</v>
      </c>
      <c r="PC99">
        <v>3</v>
      </c>
      <c r="PD99">
        <v>1731</v>
      </c>
      <c r="PF99">
        <v>292</v>
      </c>
      <c r="PG99">
        <v>29</v>
      </c>
      <c r="PH99">
        <v>274</v>
      </c>
      <c r="PI99">
        <v>29</v>
      </c>
      <c r="PJ99">
        <v>57.8</v>
      </c>
      <c r="PK99">
        <v>1432</v>
      </c>
      <c r="PL99">
        <v>1066.8</v>
      </c>
      <c r="PM99">
        <v>223.1</v>
      </c>
      <c r="PN99">
        <v>83.59999999999999</v>
      </c>
      <c r="PO99">
        <v>8.1</v>
      </c>
      <c r="PP99">
        <v>12</v>
      </c>
      <c r="PQ99">
        <v>2</v>
      </c>
      <c r="PR99" t="s">
        <v>4465</v>
      </c>
      <c r="PS99">
        <v>6</v>
      </c>
      <c r="PT99">
        <v>200</v>
      </c>
      <c r="PU99">
        <v>8</v>
      </c>
      <c r="PV99" t="s">
        <v>4072</v>
      </c>
      <c r="PW99" t="s">
        <v>4072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-1</v>
      </c>
      <c r="QF99">
        <v>1</v>
      </c>
      <c r="QG99">
        <v>0</v>
      </c>
      <c r="QH99">
        <v>5</v>
      </c>
      <c r="QI99">
        <v>5</v>
      </c>
      <c r="QJ99">
        <v>5</v>
      </c>
      <c r="QK99">
        <v>148</v>
      </c>
      <c r="QL99">
        <v>342</v>
      </c>
      <c r="QM99">
        <v>7.5</v>
      </c>
      <c r="QN99">
        <v>1202.7</v>
      </c>
      <c r="QO99" t="s">
        <v>1477</v>
      </c>
      <c r="QP99" t="s">
        <v>513</v>
      </c>
      <c r="QQ99">
        <v>0</v>
      </c>
      <c r="QR99" t="s">
        <v>649</v>
      </c>
      <c r="QS99">
        <v>30</v>
      </c>
      <c r="QT99">
        <v>40</v>
      </c>
    </row>
    <row r="100" spans="1:462">
      <c r="A100" t="s">
        <v>1810</v>
      </c>
      <c r="B100" t="s">
        <v>629</v>
      </c>
      <c r="C100" t="s">
        <v>509</v>
      </c>
      <c r="D100" t="s">
        <v>1851</v>
      </c>
      <c r="E100" t="s">
        <v>4036</v>
      </c>
      <c r="H100" t="s">
        <v>1135</v>
      </c>
      <c r="J100" t="s">
        <v>562</v>
      </c>
      <c r="K100" t="s">
        <v>563</v>
      </c>
      <c r="L100" t="s">
        <v>711</v>
      </c>
      <c r="M100" t="s">
        <v>512</v>
      </c>
      <c r="O100" t="s">
        <v>513</v>
      </c>
      <c r="P100" t="s">
        <v>567</v>
      </c>
      <c r="Q100" t="s">
        <v>1811</v>
      </c>
      <c r="R100" t="s">
        <v>1812</v>
      </c>
      <c r="S100" t="s">
        <v>4037</v>
      </c>
      <c r="T100" t="s">
        <v>520</v>
      </c>
      <c r="U100" t="s">
        <v>521</v>
      </c>
      <c r="V100" t="s">
        <v>1813</v>
      </c>
      <c r="W100" t="s">
        <v>1460</v>
      </c>
      <c r="X100" t="s">
        <v>1814</v>
      </c>
      <c r="Y100" t="s">
        <v>1815</v>
      </c>
      <c r="Z100" t="s">
        <v>650</v>
      </c>
      <c r="AA100" t="s">
        <v>4038</v>
      </c>
      <c r="AB100" t="s">
        <v>4466</v>
      </c>
      <c r="AC100">
        <v>9</v>
      </c>
      <c r="AD100" t="s">
        <v>1808</v>
      </c>
      <c r="AE100">
        <v>4</v>
      </c>
      <c r="AF100">
        <v>3759</v>
      </c>
      <c r="AG100" t="s">
        <v>4093</v>
      </c>
      <c r="AH100">
        <v>1</v>
      </c>
      <c r="AI100" t="s">
        <v>4041</v>
      </c>
      <c r="AK100" t="s">
        <v>4094</v>
      </c>
      <c r="AL100">
        <v>1</v>
      </c>
      <c r="AM100" t="s">
        <v>582</v>
      </c>
      <c r="AO100" t="s">
        <v>4043</v>
      </c>
      <c r="AP100">
        <v>1</v>
      </c>
      <c r="AR100" t="s">
        <v>4467</v>
      </c>
      <c r="AS100">
        <v>1</v>
      </c>
      <c r="AT100">
        <v>52</v>
      </c>
      <c r="AV100" t="s">
        <v>4045</v>
      </c>
      <c r="AW100">
        <v>6.4</v>
      </c>
      <c r="AX100">
        <v>-6</v>
      </c>
      <c r="AY100">
        <v>87.5</v>
      </c>
      <c r="AZ100">
        <v>70</v>
      </c>
      <c r="BH100">
        <v>87.5</v>
      </c>
      <c r="BI100">
        <v>17.5</v>
      </c>
      <c r="BJ100">
        <v>70</v>
      </c>
      <c r="BK100">
        <v>2.5</v>
      </c>
      <c r="BL100">
        <v>175</v>
      </c>
      <c r="BM100">
        <v>-6</v>
      </c>
      <c r="BN100">
        <v>0</v>
      </c>
      <c r="BP100">
        <v>0</v>
      </c>
      <c r="BR100">
        <v>170</v>
      </c>
      <c r="BS100">
        <v>160</v>
      </c>
      <c r="BT100">
        <v>1810</v>
      </c>
      <c r="BU100" t="s">
        <v>4355</v>
      </c>
      <c r="BV100" t="s">
        <v>4046</v>
      </c>
      <c r="BW100" t="s">
        <v>4049</v>
      </c>
      <c r="BX100" t="s">
        <v>4048</v>
      </c>
      <c r="BY100" t="s">
        <v>4144</v>
      </c>
      <c r="BZ100" t="s">
        <v>4144</v>
      </c>
      <c r="CA100" t="s">
        <v>4051</v>
      </c>
      <c r="CB100" t="s">
        <v>4052</v>
      </c>
      <c r="CC100" t="s">
        <v>4053</v>
      </c>
      <c r="CD100" t="s">
        <v>4054</v>
      </c>
      <c r="CE100" t="s">
        <v>4055</v>
      </c>
      <c r="CF100" t="s">
        <v>4055</v>
      </c>
      <c r="CG100" t="s">
        <v>4056</v>
      </c>
      <c r="CH100" t="s">
        <v>4145</v>
      </c>
      <c r="CI100" t="s">
        <v>4058</v>
      </c>
      <c r="CJ100" t="s">
        <v>4059</v>
      </c>
      <c r="CK100" t="s">
        <v>4060</v>
      </c>
      <c r="CL100" t="s">
        <v>4061</v>
      </c>
      <c r="CM100" t="s">
        <v>4062</v>
      </c>
      <c r="CN100" t="s">
        <v>4055</v>
      </c>
      <c r="CO100" t="s">
        <v>4063</v>
      </c>
      <c r="CP100" t="s">
        <v>4055</v>
      </c>
      <c r="CQ100" t="s">
        <v>4055</v>
      </c>
      <c r="CR100">
        <v>5</v>
      </c>
      <c r="CS100" t="s">
        <v>4055</v>
      </c>
      <c r="CT100" t="s">
        <v>4055</v>
      </c>
      <c r="CU100" t="s">
        <v>4055</v>
      </c>
      <c r="CV100">
        <v>113</v>
      </c>
      <c r="CW100">
        <v>3</v>
      </c>
      <c r="CX100">
        <v>93</v>
      </c>
      <c r="CY100">
        <v>5</v>
      </c>
      <c r="CZ100">
        <v>123</v>
      </c>
      <c r="DA100">
        <v>5</v>
      </c>
      <c r="DB100">
        <v>8180</v>
      </c>
      <c r="DC100">
        <v>260</v>
      </c>
      <c r="DD100">
        <v>280</v>
      </c>
      <c r="DE100">
        <v>1895</v>
      </c>
      <c r="DF100">
        <v>1895</v>
      </c>
      <c r="DG100">
        <v>1922</v>
      </c>
      <c r="DH100" t="s">
        <v>4055</v>
      </c>
      <c r="DI100" t="s">
        <v>4055</v>
      </c>
      <c r="DJ100" t="s">
        <v>4100</v>
      </c>
      <c r="DK100">
        <v>170</v>
      </c>
      <c r="DL100" t="s">
        <v>4101</v>
      </c>
      <c r="DM100">
        <v>65</v>
      </c>
      <c r="DN100">
        <v>0.84</v>
      </c>
      <c r="DO100">
        <v>1</v>
      </c>
      <c r="DP100">
        <v>1813</v>
      </c>
      <c r="DQ100">
        <v>564</v>
      </c>
      <c r="DR100" t="s">
        <v>4100</v>
      </c>
      <c r="DS100">
        <v>160</v>
      </c>
      <c r="DT100" t="s">
        <v>4101</v>
      </c>
      <c r="DU100">
        <v>65</v>
      </c>
      <c r="DV100">
        <v>0.84</v>
      </c>
      <c r="DW100">
        <v>1</v>
      </c>
      <c r="DX100">
        <v>1820</v>
      </c>
      <c r="DY100">
        <v>531</v>
      </c>
      <c r="DZ100" t="s">
        <v>4066</v>
      </c>
      <c r="EA100">
        <v>33</v>
      </c>
      <c r="EB100" t="s">
        <v>4065</v>
      </c>
      <c r="EC100">
        <v>0.4</v>
      </c>
      <c r="ED100">
        <v>1813</v>
      </c>
      <c r="EE100">
        <v>53</v>
      </c>
      <c r="EF100" t="s">
        <v>4066</v>
      </c>
      <c r="EG100">
        <v>33</v>
      </c>
      <c r="EH100" t="s">
        <v>4065</v>
      </c>
      <c r="EI100">
        <v>0.4</v>
      </c>
      <c r="EJ100">
        <v>1820</v>
      </c>
      <c r="EK100">
        <v>53</v>
      </c>
      <c r="EL100" t="s">
        <v>1528</v>
      </c>
      <c r="EM100">
        <v>12</v>
      </c>
      <c r="EN100">
        <v>0.5</v>
      </c>
      <c r="EO100">
        <v>0.96</v>
      </c>
      <c r="EP100">
        <v>1820.56</v>
      </c>
      <c r="EQ100">
        <v>26597.24</v>
      </c>
      <c r="ER100">
        <v>4994.59</v>
      </c>
      <c r="ES100">
        <v>0</v>
      </c>
      <c r="ET100">
        <v>0</v>
      </c>
      <c r="EU100">
        <v>1</v>
      </c>
      <c r="EV100">
        <v>31592</v>
      </c>
      <c r="EW100">
        <v>380</v>
      </c>
      <c r="EX100" t="s">
        <v>4363</v>
      </c>
      <c r="EY100">
        <v>192</v>
      </c>
      <c r="EZ100" t="s">
        <v>4055</v>
      </c>
      <c r="FA100">
        <v>3</v>
      </c>
      <c r="FB100">
        <v>1</v>
      </c>
      <c r="FC100">
        <v>1</v>
      </c>
      <c r="FD100">
        <v>1843</v>
      </c>
      <c r="FE100">
        <v>2005</v>
      </c>
      <c r="FF100" t="s">
        <v>4089</v>
      </c>
      <c r="FG100">
        <v>192</v>
      </c>
      <c r="FH100" t="s">
        <v>4055</v>
      </c>
      <c r="FI100">
        <v>1.6</v>
      </c>
      <c r="FJ100">
        <v>1843</v>
      </c>
      <c r="FK100">
        <v>551</v>
      </c>
      <c r="FL100" t="s">
        <v>4069</v>
      </c>
      <c r="FM100" t="s">
        <v>4055</v>
      </c>
      <c r="FN100" t="s">
        <v>4055</v>
      </c>
      <c r="FO100" t="s">
        <v>4055</v>
      </c>
      <c r="FP100">
        <v>1843</v>
      </c>
      <c r="FQ100">
        <v>107</v>
      </c>
      <c r="FR100" t="s">
        <v>4090</v>
      </c>
      <c r="FS100">
        <v>196</v>
      </c>
      <c r="FT100" t="s">
        <v>4055</v>
      </c>
      <c r="FU100">
        <v>0.4</v>
      </c>
      <c r="FV100">
        <v>1843</v>
      </c>
      <c r="FW100">
        <v>161</v>
      </c>
      <c r="FX100" t="s">
        <v>4070</v>
      </c>
      <c r="FY100">
        <v>10</v>
      </c>
      <c r="FZ100" t="s">
        <v>4055</v>
      </c>
      <c r="GA100" t="s">
        <v>4055</v>
      </c>
      <c r="GB100">
        <v>1843</v>
      </c>
      <c r="GC100">
        <v>15</v>
      </c>
      <c r="GD100">
        <v>2839</v>
      </c>
      <c r="GE100" t="s">
        <v>4467</v>
      </c>
      <c r="GF100" t="s">
        <v>4055</v>
      </c>
      <c r="GG100" t="s">
        <v>4055</v>
      </c>
      <c r="GH100" t="s">
        <v>4055</v>
      </c>
      <c r="GI100" t="s">
        <v>4071</v>
      </c>
      <c r="GJ100" t="s">
        <v>4055</v>
      </c>
      <c r="GK100" t="s">
        <v>4055</v>
      </c>
      <c r="GL100" t="s">
        <v>4055</v>
      </c>
      <c r="GM100" t="s">
        <v>4055</v>
      </c>
      <c r="GQ100">
        <v>0</v>
      </c>
      <c r="GV100">
        <v>5</v>
      </c>
      <c r="GW100">
        <v>8.5</v>
      </c>
      <c r="GX100">
        <v>0.5</v>
      </c>
      <c r="GY100">
        <v>160</v>
      </c>
      <c r="GZ100">
        <v>3</v>
      </c>
      <c r="HA100">
        <v>210</v>
      </c>
      <c r="HB100">
        <v>3</v>
      </c>
      <c r="HC100">
        <v>1843</v>
      </c>
      <c r="HD100">
        <v>4</v>
      </c>
      <c r="HE100" t="s">
        <v>4071</v>
      </c>
      <c r="HG100" t="s">
        <v>549</v>
      </c>
      <c r="HL100">
        <v>4</v>
      </c>
      <c r="HM100">
        <v>16</v>
      </c>
      <c r="HN100">
        <v>1</v>
      </c>
      <c r="HO100">
        <v>1</v>
      </c>
      <c r="HP100">
        <v>0</v>
      </c>
      <c r="HQ100">
        <v>0</v>
      </c>
      <c r="HR100">
        <v>3</v>
      </c>
      <c r="HS100">
        <v>1810</v>
      </c>
      <c r="HT100">
        <v>5</v>
      </c>
      <c r="HU100">
        <v>1</v>
      </c>
      <c r="HV100">
        <v>3</v>
      </c>
      <c r="HW100">
        <v>0</v>
      </c>
      <c r="HX100">
        <v>1</v>
      </c>
      <c r="HY100">
        <v>0</v>
      </c>
      <c r="HZ100">
        <v>65</v>
      </c>
      <c r="IA100">
        <v>1813</v>
      </c>
      <c r="IB100">
        <v>1820</v>
      </c>
      <c r="ID100">
        <v>1843</v>
      </c>
      <c r="IE100">
        <v>1843</v>
      </c>
      <c r="IF100">
        <v>170</v>
      </c>
      <c r="IG100">
        <v>160</v>
      </c>
      <c r="IH100">
        <v>210</v>
      </c>
      <c r="II100">
        <v>1</v>
      </c>
      <c r="IJ100">
        <v>5</v>
      </c>
      <c r="IK100">
        <v>0</v>
      </c>
      <c r="IL100">
        <v>0</v>
      </c>
      <c r="IM100">
        <v>0</v>
      </c>
      <c r="IN100">
        <v>270</v>
      </c>
      <c r="IO100">
        <v>0</v>
      </c>
      <c r="IP100">
        <v>180</v>
      </c>
      <c r="IQ100">
        <v>0</v>
      </c>
      <c r="IR100">
        <v>330</v>
      </c>
      <c r="IS100">
        <v>0</v>
      </c>
      <c r="IT100">
        <v>90</v>
      </c>
      <c r="IU100">
        <v>0</v>
      </c>
      <c r="IV100">
        <v>6.4</v>
      </c>
      <c r="IW100">
        <v>-6</v>
      </c>
      <c r="IX100">
        <v>87.5</v>
      </c>
      <c r="IY100">
        <v>70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332</v>
      </c>
      <c r="JJ100">
        <v>302</v>
      </c>
      <c r="JK100">
        <v>234</v>
      </c>
      <c r="JL100">
        <v>302</v>
      </c>
      <c r="JM100">
        <v>220</v>
      </c>
      <c r="JN100">
        <v>170</v>
      </c>
      <c r="JO100">
        <v>220</v>
      </c>
      <c r="JP100">
        <v>240</v>
      </c>
      <c r="JQ100">
        <v>262</v>
      </c>
      <c r="JR100">
        <v>350</v>
      </c>
      <c r="JS100">
        <v>280</v>
      </c>
      <c r="JT100">
        <v>0</v>
      </c>
      <c r="JU100">
        <v>0</v>
      </c>
      <c r="JV100">
        <v>320</v>
      </c>
      <c r="JW100">
        <v>337</v>
      </c>
      <c r="JX100">
        <v>330</v>
      </c>
      <c r="JY100">
        <v>316</v>
      </c>
      <c r="JZ100">
        <v>1</v>
      </c>
      <c r="KA100">
        <v>0.2</v>
      </c>
      <c r="KB100">
        <v>0.4</v>
      </c>
      <c r="KC100">
        <v>0.42</v>
      </c>
      <c r="KD100">
        <v>0.28</v>
      </c>
      <c r="KE100">
        <v>0.5</v>
      </c>
      <c r="KF100">
        <v>0.16</v>
      </c>
      <c r="KG100">
        <v>0.1</v>
      </c>
      <c r="KH100">
        <v>3.5</v>
      </c>
      <c r="KI100">
        <v>1</v>
      </c>
      <c r="KJ100">
        <v>5</v>
      </c>
      <c r="KK100">
        <v>0</v>
      </c>
      <c r="KL100">
        <v>5</v>
      </c>
      <c r="KM100">
        <v>0</v>
      </c>
      <c r="KN100">
        <v>1.2</v>
      </c>
      <c r="KO100">
        <v>0</v>
      </c>
      <c r="KP100">
        <v>0</v>
      </c>
      <c r="KQ100">
        <v>0.8</v>
      </c>
      <c r="KR100">
        <v>0.8</v>
      </c>
      <c r="KS100">
        <v>0</v>
      </c>
      <c r="KT100">
        <v>1.6</v>
      </c>
      <c r="KU100">
        <v>0</v>
      </c>
      <c r="KV100">
        <v>0</v>
      </c>
      <c r="KW100">
        <v>1.2</v>
      </c>
      <c r="KX100">
        <v>2</v>
      </c>
      <c r="KY100">
        <v>2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3</v>
      </c>
      <c r="LI100">
        <v>1</v>
      </c>
      <c r="LJ100">
        <v>0</v>
      </c>
      <c r="LK100">
        <v>5</v>
      </c>
      <c r="LL100">
        <v>7</v>
      </c>
      <c r="LM100">
        <v>6</v>
      </c>
      <c r="LN100">
        <v>0.3</v>
      </c>
      <c r="LO100">
        <v>0.5</v>
      </c>
      <c r="LP100">
        <v>0</v>
      </c>
      <c r="LQ100">
        <v>0</v>
      </c>
      <c r="LR100">
        <v>0</v>
      </c>
      <c r="LS100">
        <v>1</v>
      </c>
      <c r="LT100">
        <v>0</v>
      </c>
      <c r="LU100">
        <v>0</v>
      </c>
      <c r="LV100">
        <v>0</v>
      </c>
      <c r="LW100">
        <v>1.4</v>
      </c>
      <c r="LX100">
        <v>1.4</v>
      </c>
      <c r="LY100">
        <v>2.1</v>
      </c>
      <c r="LZ100">
        <v>2.1</v>
      </c>
      <c r="MA100">
        <v>0</v>
      </c>
      <c r="MB100">
        <v>4</v>
      </c>
      <c r="MC100">
        <v>0</v>
      </c>
      <c r="MD100">
        <v>4.5</v>
      </c>
      <c r="ME100">
        <v>6</v>
      </c>
      <c r="MF100">
        <v>6</v>
      </c>
      <c r="MI100">
        <v>0</v>
      </c>
      <c r="MJ100">
        <v>0</v>
      </c>
      <c r="ML100">
        <v>0</v>
      </c>
      <c r="MM100">
        <v>358</v>
      </c>
      <c r="MN100">
        <v>165</v>
      </c>
      <c r="MO100">
        <v>220</v>
      </c>
      <c r="NH100">
        <v>0</v>
      </c>
      <c r="NJ100">
        <v>0</v>
      </c>
      <c r="NK100">
        <v>0</v>
      </c>
      <c r="NM100">
        <v>0</v>
      </c>
      <c r="NU100">
        <v>0.15</v>
      </c>
      <c r="NV100">
        <v>0.2</v>
      </c>
      <c r="NW100">
        <v>0.2</v>
      </c>
      <c r="NX100">
        <v>2</v>
      </c>
      <c r="NY100">
        <v>2</v>
      </c>
      <c r="NZ100">
        <v>2</v>
      </c>
      <c r="OE100" t="s">
        <v>4467</v>
      </c>
      <c r="OF100" t="s">
        <v>4093</v>
      </c>
      <c r="OG100" t="s">
        <v>4094</v>
      </c>
      <c r="OH100" t="s">
        <v>4043</v>
      </c>
      <c r="OI100" t="s">
        <v>4467</v>
      </c>
      <c r="OJ100" t="s">
        <v>4466</v>
      </c>
      <c r="OK100">
        <v>61</v>
      </c>
      <c r="OL100">
        <v>61</v>
      </c>
      <c r="OM100" t="s">
        <v>4093</v>
      </c>
      <c r="ON100">
        <v>3</v>
      </c>
      <c r="OO100">
        <v>1813</v>
      </c>
      <c r="OP100">
        <v>61</v>
      </c>
      <c r="OQ100">
        <v>61</v>
      </c>
      <c r="OR100" t="s">
        <v>4094</v>
      </c>
      <c r="OS100">
        <v>3</v>
      </c>
      <c r="OT100">
        <v>1820</v>
      </c>
      <c r="OU100">
        <v>65</v>
      </c>
      <c r="OV100">
        <v>65</v>
      </c>
      <c r="OW100" t="s">
        <v>4043</v>
      </c>
      <c r="OX100">
        <v>1</v>
      </c>
      <c r="OY100">
        <v>31592</v>
      </c>
      <c r="OZ100">
        <v>51</v>
      </c>
      <c r="PA100">
        <v>52</v>
      </c>
      <c r="PB100" t="s">
        <v>4467</v>
      </c>
      <c r="PC100">
        <v>1</v>
      </c>
      <c r="PD100">
        <v>1843</v>
      </c>
      <c r="PF100">
        <v>311</v>
      </c>
      <c r="PG100">
        <v>29</v>
      </c>
      <c r="PH100">
        <v>292</v>
      </c>
      <c r="PI100">
        <v>29</v>
      </c>
      <c r="PJ100">
        <v>58.2</v>
      </c>
      <c r="PK100">
        <v>2222</v>
      </c>
      <c r="PL100">
        <v>1087.7</v>
      </c>
      <c r="PM100">
        <v>299.1</v>
      </c>
      <c r="PN100">
        <v>87.09999999999999</v>
      </c>
      <c r="PO100">
        <v>8.1</v>
      </c>
      <c r="PP100">
        <v>12</v>
      </c>
      <c r="PQ100">
        <v>2</v>
      </c>
      <c r="PR100">
        <v>2</v>
      </c>
      <c r="PS100">
        <v>6</v>
      </c>
      <c r="PT100">
        <v>210</v>
      </c>
      <c r="PU100">
        <v>9</v>
      </c>
      <c r="PV100" t="s">
        <v>4072</v>
      </c>
      <c r="PW100" t="s">
        <v>4072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-1</v>
      </c>
      <c r="QF100">
        <v>1</v>
      </c>
      <c r="QG100">
        <v>0</v>
      </c>
      <c r="QH100">
        <v>5</v>
      </c>
      <c r="QI100">
        <v>5</v>
      </c>
      <c r="QJ100">
        <v>5</v>
      </c>
      <c r="QK100">
        <v>161</v>
      </c>
      <c r="QL100">
        <v>366</v>
      </c>
      <c r="QM100">
        <v>7.5</v>
      </c>
      <c r="QN100">
        <v>1284.1</v>
      </c>
      <c r="QO100" t="s">
        <v>1477</v>
      </c>
      <c r="QP100" t="s">
        <v>513</v>
      </c>
      <c r="QQ100">
        <v>0</v>
      </c>
      <c r="QR100" t="s">
        <v>649</v>
      </c>
      <c r="QS100">
        <v>30</v>
      </c>
      <c r="QT100">
        <v>40</v>
      </c>
    </row>
    <row r="101" spans="1:462">
      <c r="A101" t="s">
        <v>1822</v>
      </c>
      <c r="B101" t="s">
        <v>629</v>
      </c>
      <c r="C101" t="s">
        <v>509</v>
      </c>
      <c r="D101" t="s">
        <v>4468</v>
      </c>
      <c r="E101" t="s">
        <v>4036</v>
      </c>
      <c r="H101" t="s">
        <v>604</v>
      </c>
      <c r="I101" t="s">
        <v>605</v>
      </c>
      <c r="J101" t="s">
        <v>628</v>
      </c>
      <c r="K101" t="s">
        <v>606</v>
      </c>
      <c r="L101" t="s">
        <v>711</v>
      </c>
      <c r="M101" t="s">
        <v>512</v>
      </c>
      <c r="O101" t="s">
        <v>513</v>
      </c>
      <c r="P101" t="s">
        <v>567</v>
      </c>
      <c r="Q101" t="s">
        <v>1175</v>
      </c>
      <c r="R101" t="s">
        <v>685</v>
      </c>
      <c r="S101" t="s">
        <v>4037</v>
      </c>
      <c r="T101" t="s">
        <v>633</v>
      </c>
      <c r="U101" t="s">
        <v>634</v>
      </c>
      <c r="V101" t="s">
        <v>1823</v>
      </c>
      <c r="W101" t="s">
        <v>1460</v>
      </c>
      <c r="X101" t="s">
        <v>1824</v>
      </c>
      <c r="Y101" t="s">
        <v>1825</v>
      </c>
      <c r="Z101" t="s">
        <v>650</v>
      </c>
      <c r="AA101" t="s">
        <v>4038</v>
      </c>
      <c r="AB101" t="s">
        <v>4469</v>
      </c>
      <c r="AC101">
        <v>13</v>
      </c>
      <c r="AD101" t="s">
        <v>1821</v>
      </c>
      <c r="AE101">
        <v>4</v>
      </c>
      <c r="AF101">
        <v>5820</v>
      </c>
      <c r="AG101" t="s">
        <v>4175</v>
      </c>
      <c r="AH101">
        <v>1</v>
      </c>
      <c r="AI101" t="s">
        <v>4041</v>
      </c>
      <c r="AK101" t="s">
        <v>4176</v>
      </c>
      <c r="AL101">
        <v>1</v>
      </c>
      <c r="AM101" t="s">
        <v>582</v>
      </c>
      <c r="AO101" t="s">
        <v>4043</v>
      </c>
      <c r="AP101">
        <v>1</v>
      </c>
      <c r="AR101" t="s">
        <v>4470</v>
      </c>
      <c r="AS101">
        <v>1</v>
      </c>
      <c r="AT101">
        <v>52</v>
      </c>
      <c r="AV101" t="s">
        <v>4078</v>
      </c>
      <c r="AW101">
        <v>6.4</v>
      </c>
      <c r="AX101">
        <v>-6</v>
      </c>
      <c r="AY101">
        <v>106</v>
      </c>
      <c r="AZ101">
        <v>75</v>
      </c>
      <c r="BH101">
        <v>106</v>
      </c>
      <c r="BI101">
        <v>31</v>
      </c>
      <c r="BJ101">
        <v>75</v>
      </c>
      <c r="BK101">
        <v>3.5</v>
      </c>
      <c r="BL101">
        <v>212</v>
      </c>
      <c r="BM101">
        <v>-6</v>
      </c>
      <c r="BN101">
        <v>0</v>
      </c>
      <c r="BP101">
        <v>0</v>
      </c>
      <c r="BR101">
        <v>205</v>
      </c>
      <c r="BS101">
        <v>195</v>
      </c>
      <c r="BT101">
        <v>2010</v>
      </c>
      <c r="BU101" t="s">
        <v>4096</v>
      </c>
      <c r="BV101" t="s">
        <v>4096</v>
      </c>
      <c r="BW101" t="s">
        <v>4097</v>
      </c>
      <c r="BX101" t="s">
        <v>4097</v>
      </c>
      <c r="BY101" t="s">
        <v>4173</v>
      </c>
      <c r="BZ101" t="s">
        <v>4107</v>
      </c>
      <c r="CA101" t="s">
        <v>4108</v>
      </c>
      <c r="CB101" t="s">
        <v>4109</v>
      </c>
      <c r="CC101" t="s">
        <v>4053</v>
      </c>
      <c r="CD101" t="s">
        <v>4110</v>
      </c>
      <c r="CE101" t="s">
        <v>4055</v>
      </c>
      <c r="CF101" t="s">
        <v>4055</v>
      </c>
      <c r="CG101" t="s">
        <v>4056</v>
      </c>
      <c r="CI101" t="s">
        <v>4058</v>
      </c>
      <c r="CJ101" t="s">
        <v>4059</v>
      </c>
      <c r="CK101" t="s">
        <v>4060</v>
      </c>
      <c r="CL101" t="s">
        <v>4061</v>
      </c>
      <c r="CM101" t="s">
        <v>4062</v>
      </c>
      <c r="CN101" t="s">
        <v>4055</v>
      </c>
      <c r="CO101" t="s">
        <v>4063</v>
      </c>
      <c r="CP101" t="s">
        <v>4055</v>
      </c>
      <c r="CQ101" t="s">
        <v>4055</v>
      </c>
      <c r="CR101">
        <v>5</v>
      </c>
      <c r="CS101" t="s">
        <v>4055</v>
      </c>
      <c r="CT101" t="s">
        <v>4055</v>
      </c>
      <c r="CU101" t="s">
        <v>4055</v>
      </c>
      <c r="CV101">
        <v>132</v>
      </c>
      <c r="CW101">
        <v>3</v>
      </c>
      <c r="CX101">
        <v>110</v>
      </c>
      <c r="CY101">
        <v>5</v>
      </c>
      <c r="CZ101">
        <v>148</v>
      </c>
      <c r="DA101">
        <v>5</v>
      </c>
      <c r="DB101">
        <v>12500</v>
      </c>
      <c r="DC101">
        <v>190</v>
      </c>
      <c r="DD101">
        <v>345</v>
      </c>
      <c r="DE101">
        <v>2127</v>
      </c>
      <c r="DF101">
        <v>2127</v>
      </c>
      <c r="DG101">
        <v>2137</v>
      </c>
      <c r="DH101" t="s">
        <v>4055</v>
      </c>
      <c r="DI101" t="s">
        <v>4055</v>
      </c>
      <c r="DJ101" t="s">
        <v>4064</v>
      </c>
      <c r="DK101">
        <v>205</v>
      </c>
      <c r="DL101" t="s">
        <v>4065</v>
      </c>
      <c r="DM101">
        <v>65</v>
      </c>
      <c r="DN101">
        <v>1.2</v>
      </c>
      <c r="DO101">
        <v>1</v>
      </c>
      <c r="DP101">
        <v>2014</v>
      </c>
      <c r="DQ101">
        <v>949</v>
      </c>
      <c r="DR101" t="s">
        <v>4064</v>
      </c>
      <c r="DS101">
        <v>195</v>
      </c>
      <c r="DT101" t="s">
        <v>4065</v>
      </c>
      <c r="DU101">
        <v>65</v>
      </c>
      <c r="DV101">
        <v>1.2</v>
      </c>
      <c r="DW101">
        <v>1</v>
      </c>
      <c r="DX101">
        <v>2026</v>
      </c>
      <c r="DY101">
        <v>908</v>
      </c>
      <c r="DZ101" t="s">
        <v>4066</v>
      </c>
      <c r="EA101">
        <v>20</v>
      </c>
      <c r="EB101" t="s">
        <v>4065</v>
      </c>
      <c r="EC101">
        <v>0.8</v>
      </c>
      <c r="ED101">
        <v>2014</v>
      </c>
      <c r="EE101">
        <v>70</v>
      </c>
      <c r="EG101">
        <v>0</v>
      </c>
      <c r="EH101" t="s">
        <v>4065</v>
      </c>
      <c r="EI101">
        <v>0</v>
      </c>
      <c r="EL101" t="s">
        <v>1528</v>
      </c>
      <c r="EM101">
        <v>12</v>
      </c>
      <c r="EN101">
        <v>0.5</v>
      </c>
      <c r="EO101">
        <v>0.96</v>
      </c>
      <c r="EP101">
        <v>2025.08</v>
      </c>
      <c r="EQ101">
        <v>35438.9</v>
      </c>
      <c r="ER101">
        <v>9838.200000000001</v>
      </c>
      <c r="ES101">
        <v>0</v>
      </c>
      <c r="ET101">
        <v>0</v>
      </c>
      <c r="EU101">
        <v>1</v>
      </c>
      <c r="EV101">
        <v>45278</v>
      </c>
      <c r="EW101">
        <v>544</v>
      </c>
      <c r="EX101" t="s">
        <v>4363</v>
      </c>
      <c r="EY101">
        <v>224</v>
      </c>
      <c r="EZ101" t="s">
        <v>4055</v>
      </c>
      <c r="FA101">
        <v>6.7</v>
      </c>
      <c r="FB101">
        <v>1</v>
      </c>
      <c r="FC101">
        <v>1</v>
      </c>
      <c r="FD101">
        <v>2059</v>
      </c>
      <c r="FE101">
        <v>3077</v>
      </c>
      <c r="FF101" t="s">
        <v>4089</v>
      </c>
      <c r="FG101">
        <v>224</v>
      </c>
      <c r="FH101" t="s">
        <v>4055</v>
      </c>
      <c r="FI101">
        <v>1.6</v>
      </c>
      <c r="FJ101">
        <v>2059</v>
      </c>
      <c r="FK101">
        <v>727</v>
      </c>
      <c r="FL101" t="s">
        <v>4069</v>
      </c>
      <c r="FM101" t="s">
        <v>4055</v>
      </c>
      <c r="FN101" t="s">
        <v>4055</v>
      </c>
      <c r="FO101" t="s">
        <v>4055</v>
      </c>
      <c r="FP101">
        <v>2059</v>
      </c>
      <c r="FQ101">
        <v>175</v>
      </c>
      <c r="FR101" t="s">
        <v>4090</v>
      </c>
      <c r="FS101">
        <v>228</v>
      </c>
      <c r="FT101" t="s">
        <v>4055</v>
      </c>
      <c r="FU101">
        <v>0.4</v>
      </c>
      <c r="FV101">
        <v>2059</v>
      </c>
      <c r="FW101">
        <v>205</v>
      </c>
      <c r="FX101" t="s">
        <v>4070</v>
      </c>
      <c r="FY101">
        <v>5</v>
      </c>
      <c r="FZ101" t="s">
        <v>4055</v>
      </c>
      <c r="GA101" t="s">
        <v>4055</v>
      </c>
      <c r="GB101">
        <v>2059</v>
      </c>
      <c r="GC101">
        <v>21</v>
      </c>
      <c r="GD101">
        <v>4205</v>
      </c>
      <c r="GE101" t="s">
        <v>4470</v>
      </c>
      <c r="GF101" t="s">
        <v>4055</v>
      </c>
      <c r="GG101" t="s">
        <v>4055</v>
      </c>
      <c r="GH101" t="s">
        <v>4055</v>
      </c>
      <c r="GI101" t="s">
        <v>4071</v>
      </c>
      <c r="GJ101" t="s">
        <v>4055</v>
      </c>
      <c r="GK101" t="s">
        <v>4055</v>
      </c>
      <c r="GL101" t="s">
        <v>4055</v>
      </c>
      <c r="GM101" t="s">
        <v>4055</v>
      </c>
      <c r="GQ101">
        <v>0</v>
      </c>
      <c r="GV101">
        <v>8.699999999999999</v>
      </c>
      <c r="GW101">
        <v>9.199999999999999</v>
      </c>
      <c r="GX101">
        <v>0.5</v>
      </c>
      <c r="GY101">
        <v>186</v>
      </c>
      <c r="GZ101">
        <v>3</v>
      </c>
      <c r="HA101">
        <v>248</v>
      </c>
      <c r="HB101">
        <v>3</v>
      </c>
      <c r="HC101">
        <v>2059</v>
      </c>
      <c r="HD101">
        <v>4</v>
      </c>
      <c r="HE101" t="s">
        <v>4071</v>
      </c>
      <c r="HG101" t="s">
        <v>549</v>
      </c>
      <c r="HL101">
        <v>4</v>
      </c>
      <c r="HM101">
        <v>17</v>
      </c>
      <c r="HN101">
        <v>1</v>
      </c>
      <c r="HO101">
        <v>1</v>
      </c>
      <c r="HP101">
        <v>0</v>
      </c>
      <c r="HQ101">
        <v>0</v>
      </c>
      <c r="HR101">
        <v>2</v>
      </c>
      <c r="HS101">
        <v>2010</v>
      </c>
      <c r="HT101">
        <v>5</v>
      </c>
      <c r="HU101">
        <v>1</v>
      </c>
      <c r="HV101">
        <v>3</v>
      </c>
      <c r="HW101">
        <v>0</v>
      </c>
      <c r="HX101">
        <v>1</v>
      </c>
      <c r="HY101">
        <v>0</v>
      </c>
      <c r="HZ101">
        <v>65</v>
      </c>
      <c r="IA101">
        <v>2014</v>
      </c>
      <c r="IB101">
        <v>2026</v>
      </c>
      <c r="ID101">
        <v>2059</v>
      </c>
      <c r="IE101">
        <v>2059</v>
      </c>
      <c r="IF101">
        <v>205</v>
      </c>
      <c r="IG101">
        <v>195</v>
      </c>
      <c r="IH101">
        <v>248</v>
      </c>
      <c r="II101">
        <v>1</v>
      </c>
      <c r="IJ101">
        <v>10</v>
      </c>
      <c r="IK101">
        <v>0</v>
      </c>
      <c r="IL101">
        <v>0</v>
      </c>
      <c r="IM101">
        <v>0</v>
      </c>
      <c r="IN101">
        <v>270</v>
      </c>
      <c r="IO101">
        <v>0</v>
      </c>
      <c r="IP101">
        <v>180</v>
      </c>
      <c r="IQ101">
        <v>0</v>
      </c>
      <c r="IR101">
        <v>330</v>
      </c>
      <c r="IS101">
        <v>0</v>
      </c>
      <c r="IT101">
        <v>90</v>
      </c>
      <c r="IU101">
        <v>0</v>
      </c>
      <c r="IV101">
        <v>6.4</v>
      </c>
      <c r="IW101">
        <v>-6</v>
      </c>
      <c r="IX101">
        <v>106</v>
      </c>
      <c r="IY101">
        <v>75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402</v>
      </c>
      <c r="JJ101">
        <v>372</v>
      </c>
      <c r="JK101">
        <v>275</v>
      </c>
      <c r="JL101">
        <v>370</v>
      </c>
      <c r="JM101">
        <v>270</v>
      </c>
      <c r="JN101">
        <v>205</v>
      </c>
      <c r="JO101">
        <v>258</v>
      </c>
      <c r="JP101">
        <v>230</v>
      </c>
      <c r="JQ101">
        <v>253</v>
      </c>
      <c r="JR101">
        <v>328</v>
      </c>
      <c r="JS101">
        <v>270</v>
      </c>
      <c r="JT101">
        <v>0</v>
      </c>
      <c r="JU101">
        <v>0</v>
      </c>
      <c r="JV101">
        <v>300</v>
      </c>
      <c r="JW101">
        <v>290</v>
      </c>
      <c r="JX101">
        <v>290</v>
      </c>
      <c r="JY101">
        <v>280</v>
      </c>
      <c r="JZ101">
        <v>0.5</v>
      </c>
      <c r="KA101">
        <v>0.2</v>
      </c>
      <c r="KB101">
        <v>0.4</v>
      </c>
      <c r="KC101">
        <v>0.42</v>
      </c>
      <c r="KD101">
        <v>0.28</v>
      </c>
      <c r="KE101">
        <v>0.5</v>
      </c>
      <c r="KF101">
        <v>0.17</v>
      </c>
      <c r="KG101">
        <v>0.1</v>
      </c>
      <c r="KH101">
        <v>3.5</v>
      </c>
      <c r="KI101">
        <v>1</v>
      </c>
      <c r="KJ101">
        <v>4.5</v>
      </c>
      <c r="KK101">
        <v>0</v>
      </c>
      <c r="KL101">
        <v>4.5</v>
      </c>
      <c r="KM101">
        <v>0</v>
      </c>
      <c r="KN101">
        <v>1.5</v>
      </c>
      <c r="KO101">
        <v>0</v>
      </c>
      <c r="KP101">
        <v>0</v>
      </c>
      <c r="KQ101">
        <v>1</v>
      </c>
      <c r="KR101">
        <v>0.5</v>
      </c>
      <c r="KS101">
        <v>0</v>
      </c>
      <c r="KT101">
        <v>2</v>
      </c>
      <c r="KU101">
        <v>0</v>
      </c>
      <c r="KV101">
        <v>0</v>
      </c>
      <c r="KW101">
        <v>0.7</v>
      </c>
      <c r="KX101">
        <v>1.5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3</v>
      </c>
      <c r="LI101">
        <v>2.5</v>
      </c>
      <c r="LJ101">
        <v>0</v>
      </c>
      <c r="LK101">
        <v>7</v>
      </c>
      <c r="LL101">
        <v>7</v>
      </c>
      <c r="LM101">
        <v>11</v>
      </c>
      <c r="LN101">
        <v>1</v>
      </c>
      <c r="LO101">
        <v>2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1.8</v>
      </c>
      <c r="LX101">
        <v>1.8</v>
      </c>
      <c r="LY101">
        <v>2.1</v>
      </c>
      <c r="LZ101">
        <v>2.1</v>
      </c>
      <c r="MA101">
        <v>0</v>
      </c>
      <c r="MB101">
        <v>2.2</v>
      </c>
      <c r="MC101">
        <v>0</v>
      </c>
      <c r="MD101">
        <v>4.5</v>
      </c>
      <c r="ME101">
        <v>6</v>
      </c>
      <c r="MF101">
        <v>6</v>
      </c>
      <c r="MI101">
        <v>0</v>
      </c>
      <c r="MJ101">
        <v>0</v>
      </c>
      <c r="ML101">
        <v>0</v>
      </c>
      <c r="MM101">
        <v>420</v>
      </c>
      <c r="MN101">
        <v>200</v>
      </c>
      <c r="MO101">
        <v>258</v>
      </c>
      <c r="NU101">
        <v>0.15</v>
      </c>
      <c r="NV101">
        <v>0.2</v>
      </c>
      <c r="NW101">
        <v>0.2</v>
      </c>
      <c r="NX101">
        <v>0.2</v>
      </c>
      <c r="NY101">
        <v>0.2</v>
      </c>
      <c r="NZ101">
        <v>0.2</v>
      </c>
      <c r="OE101" t="s">
        <v>4470</v>
      </c>
      <c r="OF101" t="s">
        <v>4175</v>
      </c>
      <c r="OG101" t="s">
        <v>4176</v>
      </c>
      <c r="OH101" t="s">
        <v>4043</v>
      </c>
      <c r="OI101" t="s">
        <v>4470</v>
      </c>
      <c r="OJ101" t="s">
        <v>4469</v>
      </c>
      <c r="OK101">
        <v>61</v>
      </c>
      <c r="OL101">
        <v>61</v>
      </c>
      <c r="OM101" t="s">
        <v>4175</v>
      </c>
      <c r="ON101">
        <v>1</v>
      </c>
      <c r="OO101">
        <v>2014</v>
      </c>
      <c r="OP101">
        <v>61</v>
      </c>
      <c r="OQ101">
        <v>61</v>
      </c>
      <c r="OR101" t="s">
        <v>4176</v>
      </c>
      <c r="OS101">
        <v>1</v>
      </c>
      <c r="OT101">
        <v>2026</v>
      </c>
      <c r="OU101">
        <v>65</v>
      </c>
      <c r="OV101">
        <v>65</v>
      </c>
      <c r="OW101" t="s">
        <v>4043</v>
      </c>
      <c r="OX101">
        <v>1</v>
      </c>
      <c r="OY101">
        <v>45278</v>
      </c>
      <c r="OZ101">
        <v>51</v>
      </c>
      <c r="PA101">
        <v>52</v>
      </c>
      <c r="PB101" t="s">
        <v>4470</v>
      </c>
      <c r="PC101">
        <v>1</v>
      </c>
      <c r="PD101">
        <v>2059</v>
      </c>
      <c r="PF101">
        <v>471</v>
      </c>
      <c r="PG101">
        <v>35</v>
      </c>
      <c r="PH101">
        <v>448</v>
      </c>
      <c r="PI101">
        <v>0</v>
      </c>
      <c r="PJ101">
        <v>85.2</v>
      </c>
      <c r="PK101">
        <v>2044</v>
      </c>
      <c r="PL101">
        <v>1494.2</v>
      </c>
      <c r="PM101">
        <v>353.1</v>
      </c>
      <c r="PN101">
        <v>99.59999999999999</v>
      </c>
      <c r="PO101">
        <v>10.1</v>
      </c>
      <c r="PP101">
        <v>12</v>
      </c>
      <c r="PQ101">
        <v>3</v>
      </c>
      <c r="PR101">
        <v>3</v>
      </c>
      <c r="PS101">
        <v>0</v>
      </c>
      <c r="PT101">
        <v>248</v>
      </c>
      <c r="PU101">
        <v>12</v>
      </c>
      <c r="PV101" t="s">
        <v>4072</v>
      </c>
      <c r="PW101" t="s">
        <v>4072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-1</v>
      </c>
      <c r="QF101">
        <v>1</v>
      </c>
      <c r="QG101">
        <v>0</v>
      </c>
      <c r="QH101">
        <v>5</v>
      </c>
      <c r="QI101">
        <v>5</v>
      </c>
      <c r="QJ101">
        <v>5</v>
      </c>
      <c r="QK101">
        <v>196</v>
      </c>
      <c r="QL101">
        <v>436</v>
      </c>
      <c r="QM101">
        <v>7.5</v>
      </c>
      <c r="QN101">
        <v>1386.2</v>
      </c>
      <c r="QO101" t="s">
        <v>1477</v>
      </c>
      <c r="QP101" t="s">
        <v>513</v>
      </c>
      <c r="QQ101">
        <v>0</v>
      </c>
      <c r="QR101" t="s">
        <v>677</v>
      </c>
      <c r="QS101">
        <v>30</v>
      </c>
      <c r="QT101">
        <v>40</v>
      </c>
    </row>
    <row r="102" spans="1:462">
      <c r="A102" t="s">
        <v>1834</v>
      </c>
      <c r="B102" t="s">
        <v>629</v>
      </c>
      <c r="C102" t="s">
        <v>509</v>
      </c>
      <c r="D102" t="s">
        <v>4236</v>
      </c>
      <c r="E102" t="s">
        <v>4036</v>
      </c>
      <c r="H102" t="s">
        <v>604</v>
      </c>
      <c r="I102" t="s">
        <v>605</v>
      </c>
      <c r="J102" t="s">
        <v>628</v>
      </c>
      <c r="L102" t="s">
        <v>711</v>
      </c>
      <c r="M102" t="s">
        <v>512</v>
      </c>
      <c r="O102" t="s">
        <v>513</v>
      </c>
      <c r="P102" t="s">
        <v>567</v>
      </c>
      <c r="Q102" t="s">
        <v>609</v>
      </c>
      <c r="R102" t="s">
        <v>610</v>
      </c>
      <c r="S102" t="s">
        <v>4091</v>
      </c>
      <c r="T102" t="s">
        <v>520</v>
      </c>
      <c r="U102" t="s">
        <v>521</v>
      </c>
      <c r="V102" t="s">
        <v>1835</v>
      </c>
      <c r="W102" t="s">
        <v>1460</v>
      </c>
      <c r="X102" t="s">
        <v>1836</v>
      </c>
      <c r="Y102" t="s">
        <v>1837</v>
      </c>
      <c r="Z102" t="s">
        <v>541</v>
      </c>
      <c r="AA102" t="s">
        <v>3054</v>
      </c>
      <c r="AB102" t="s">
        <v>4471</v>
      </c>
      <c r="AC102">
        <v>13</v>
      </c>
      <c r="AD102" t="s">
        <v>1833</v>
      </c>
      <c r="AE102">
        <v>4</v>
      </c>
      <c r="AF102">
        <v>4528</v>
      </c>
      <c r="AG102" t="s">
        <v>4393</v>
      </c>
      <c r="AH102">
        <v>1</v>
      </c>
      <c r="AI102" t="s">
        <v>4041</v>
      </c>
      <c r="AK102" t="s">
        <v>4394</v>
      </c>
      <c r="AL102">
        <v>1</v>
      </c>
      <c r="AM102" t="s">
        <v>582</v>
      </c>
      <c r="AO102" t="s">
        <v>4043</v>
      </c>
      <c r="AP102">
        <v>1</v>
      </c>
      <c r="AR102" t="s">
        <v>4472</v>
      </c>
      <c r="AS102">
        <v>1</v>
      </c>
      <c r="AT102">
        <v>52</v>
      </c>
      <c r="AV102" t="s">
        <v>4045</v>
      </c>
      <c r="AW102">
        <v>6.4</v>
      </c>
      <c r="AX102">
        <v>-6</v>
      </c>
      <c r="AY102">
        <v>86</v>
      </c>
      <c r="AZ102">
        <v>77</v>
      </c>
      <c r="BH102">
        <v>86</v>
      </c>
      <c r="BI102">
        <v>9</v>
      </c>
      <c r="BJ102">
        <v>77</v>
      </c>
      <c r="BK102">
        <v>3.5</v>
      </c>
      <c r="BL102">
        <v>172</v>
      </c>
      <c r="BM102">
        <v>-6</v>
      </c>
      <c r="BN102">
        <v>0</v>
      </c>
      <c r="BP102">
        <v>0</v>
      </c>
      <c r="BR102">
        <v>165</v>
      </c>
      <c r="BS102">
        <v>155</v>
      </c>
      <c r="BT102">
        <v>1960</v>
      </c>
      <c r="BU102" t="s">
        <v>4047</v>
      </c>
      <c r="BV102" t="s">
        <v>4096</v>
      </c>
      <c r="BW102" t="s">
        <v>4049</v>
      </c>
      <c r="BX102" t="s">
        <v>4097</v>
      </c>
      <c r="BY102" t="s">
        <v>4050</v>
      </c>
      <c r="BZ102" t="s">
        <v>4050</v>
      </c>
      <c r="CA102" t="s">
        <v>4051</v>
      </c>
      <c r="CB102" t="s">
        <v>4052</v>
      </c>
      <c r="CC102" t="s">
        <v>4053</v>
      </c>
      <c r="CD102" t="s">
        <v>4054</v>
      </c>
      <c r="CE102" t="s">
        <v>4055</v>
      </c>
      <c r="CF102" t="s">
        <v>4055</v>
      </c>
      <c r="CG102" t="s">
        <v>4056</v>
      </c>
      <c r="CH102" t="s">
        <v>4099</v>
      </c>
      <c r="CI102" t="s">
        <v>4058</v>
      </c>
      <c r="CJ102" t="s">
        <v>4059</v>
      </c>
      <c r="CK102" t="s">
        <v>4060</v>
      </c>
      <c r="CL102" t="s">
        <v>4061</v>
      </c>
      <c r="CM102" t="s">
        <v>4062</v>
      </c>
      <c r="CN102" t="s">
        <v>4055</v>
      </c>
      <c r="CO102" t="s">
        <v>4063</v>
      </c>
      <c r="CP102" t="s">
        <v>4055</v>
      </c>
      <c r="CQ102" t="s">
        <v>4055</v>
      </c>
      <c r="CR102">
        <v>5</v>
      </c>
      <c r="CS102" t="s">
        <v>4055</v>
      </c>
      <c r="CT102" t="s">
        <v>4055</v>
      </c>
      <c r="CU102" t="s">
        <v>4055</v>
      </c>
      <c r="CV102">
        <v>110</v>
      </c>
      <c r="CW102">
        <v>3</v>
      </c>
      <c r="CX102">
        <v>67</v>
      </c>
      <c r="CY102">
        <v>5</v>
      </c>
      <c r="CZ102">
        <v>135</v>
      </c>
      <c r="DA102">
        <v>5</v>
      </c>
      <c r="DB102">
        <v>9430</v>
      </c>
      <c r="DC102">
        <v>280</v>
      </c>
      <c r="DD102">
        <v>315</v>
      </c>
      <c r="DE102">
        <v>2075</v>
      </c>
      <c r="DF102">
        <v>2060</v>
      </c>
      <c r="DG102">
        <v>2085</v>
      </c>
      <c r="DH102" t="s">
        <v>4055</v>
      </c>
      <c r="DI102" t="s">
        <v>4055</v>
      </c>
      <c r="DJ102" t="s">
        <v>4064</v>
      </c>
      <c r="DK102">
        <v>165</v>
      </c>
      <c r="DL102" t="s">
        <v>4065</v>
      </c>
      <c r="DM102">
        <v>65</v>
      </c>
      <c r="DN102">
        <v>1.2</v>
      </c>
      <c r="DO102">
        <v>1</v>
      </c>
      <c r="DP102">
        <v>1964</v>
      </c>
      <c r="DQ102">
        <v>744</v>
      </c>
      <c r="DR102" t="s">
        <v>4064</v>
      </c>
      <c r="DS102">
        <v>155</v>
      </c>
      <c r="DT102" t="s">
        <v>4065</v>
      </c>
      <c r="DU102">
        <v>65</v>
      </c>
      <c r="DV102">
        <v>1.2</v>
      </c>
      <c r="DW102">
        <v>1</v>
      </c>
      <c r="DX102">
        <v>1976</v>
      </c>
      <c r="DY102">
        <v>703</v>
      </c>
      <c r="DZ102" t="s">
        <v>4066</v>
      </c>
      <c r="EA102">
        <v>20</v>
      </c>
      <c r="EB102" t="s">
        <v>4065</v>
      </c>
      <c r="EC102">
        <v>0.8</v>
      </c>
      <c r="ED102">
        <v>1964</v>
      </c>
      <c r="EE102">
        <v>69</v>
      </c>
      <c r="EG102">
        <v>0</v>
      </c>
      <c r="EH102" t="s">
        <v>4065</v>
      </c>
      <c r="EI102">
        <v>0</v>
      </c>
      <c r="EL102" t="s">
        <v>1528</v>
      </c>
      <c r="EM102">
        <v>12</v>
      </c>
      <c r="EN102">
        <v>0.5</v>
      </c>
      <c r="EO102">
        <v>0.96</v>
      </c>
      <c r="EP102">
        <v>1975.08</v>
      </c>
      <c r="EQ102">
        <v>28391.78</v>
      </c>
      <c r="ER102">
        <v>2785.94</v>
      </c>
      <c r="ES102">
        <v>0</v>
      </c>
      <c r="ET102">
        <v>0</v>
      </c>
      <c r="EU102">
        <v>1</v>
      </c>
      <c r="EV102">
        <v>31178</v>
      </c>
      <c r="EW102">
        <v>375</v>
      </c>
      <c r="EX102" t="s">
        <v>4363</v>
      </c>
      <c r="EY102">
        <v>192</v>
      </c>
      <c r="EZ102" t="s">
        <v>4055</v>
      </c>
      <c r="FA102">
        <v>3.5</v>
      </c>
      <c r="FB102">
        <v>1</v>
      </c>
      <c r="FC102">
        <v>1</v>
      </c>
      <c r="FD102">
        <v>1999</v>
      </c>
      <c r="FE102">
        <v>2111</v>
      </c>
      <c r="FF102" t="s">
        <v>4089</v>
      </c>
      <c r="FG102">
        <v>192</v>
      </c>
      <c r="FH102" t="s">
        <v>4055</v>
      </c>
      <c r="FI102">
        <v>1.6</v>
      </c>
      <c r="FJ102">
        <v>1999</v>
      </c>
      <c r="FK102">
        <v>598</v>
      </c>
      <c r="FL102" t="s">
        <v>4069</v>
      </c>
      <c r="FM102" t="s">
        <v>4055</v>
      </c>
      <c r="FN102" t="s">
        <v>4055</v>
      </c>
      <c r="FO102" t="s">
        <v>4055</v>
      </c>
      <c r="FP102">
        <v>1999</v>
      </c>
      <c r="FQ102">
        <v>104</v>
      </c>
      <c r="FR102" t="s">
        <v>4090</v>
      </c>
      <c r="FS102">
        <v>196</v>
      </c>
      <c r="FT102" t="s">
        <v>4055</v>
      </c>
      <c r="FU102">
        <v>0.4</v>
      </c>
      <c r="FV102">
        <v>1999</v>
      </c>
      <c r="FW102">
        <v>174</v>
      </c>
      <c r="FX102" t="s">
        <v>4070</v>
      </c>
      <c r="FY102">
        <v>10</v>
      </c>
      <c r="FZ102" t="s">
        <v>4055</v>
      </c>
      <c r="GA102" t="s">
        <v>4055</v>
      </c>
      <c r="GB102">
        <v>1999</v>
      </c>
      <c r="GC102">
        <v>16</v>
      </c>
      <c r="GD102">
        <v>3003</v>
      </c>
      <c r="GE102" t="s">
        <v>4472</v>
      </c>
      <c r="GF102" t="s">
        <v>4055</v>
      </c>
      <c r="GG102" t="s">
        <v>4055</v>
      </c>
      <c r="GH102" t="s">
        <v>4055</v>
      </c>
      <c r="GI102" t="s">
        <v>4071</v>
      </c>
      <c r="GJ102" t="s">
        <v>4055</v>
      </c>
      <c r="GK102" t="s">
        <v>4055</v>
      </c>
      <c r="GL102" t="s">
        <v>4055</v>
      </c>
      <c r="GM102" t="s">
        <v>4055</v>
      </c>
      <c r="GQ102">
        <v>0</v>
      </c>
      <c r="GV102">
        <v>5.5</v>
      </c>
      <c r="GW102">
        <v>8</v>
      </c>
      <c r="GX102">
        <v>0.5</v>
      </c>
      <c r="GY102">
        <v>156</v>
      </c>
      <c r="GZ102">
        <v>3</v>
      </c>
      <c r="HA102">
        <v>210</v>
      </c>
      <c r="HB102">
        <v>3</v>
      </c>
      <c r="HC102">
        <v>1999</v>
      </c>
      <c r="HD102">
        <v>4</v>
      </c>
      <c r="HE102" t="s">
        <v>4071</v>
      </c>
      <c r="HG102" t="s">
        <v>549</v>
      </c>
      <c r="HL102">
        <v>4</v>
      </c>
      <c r="HM102">
        <v>16</v>
      </c>
      <c r="HN102">
        <v>6</v>
      </c>
      <c r="HO102">
        <v>1</v>
      </c>
      <c r="HP102">
        <v>0</v>
      </c>
      <c r="HQ102">
        <v>0</v>
      </c>
      <c r="HR102">
        <v>3</v>
      </c>
      <c r="HS102">
        <v>1960</v>
      </c>
      <c r="HT102">
        <v>5</v>
      </c>
      <c r="HU102">
        <v>1</v>
      </c>
      <c r="HV102">
        <v>3</v>
      </c>
      <c r="HW102">
        <v>0</v>
      </c>
      <c r="HX102">
        <v>1</v>
      </c>
      <c r="HY102">
        <v>0</v>
      </c>
      <c r="HZ102">
        <v>65</v>
      </c>
      <c r="IA102">
        <v>1964</v>
      </c>
      <c r="IB102">
        <v>1976</v>
      </c>
      <c r="ID102">
        <v>1999</v>
      </c>
      <c r="IE102">
        <v>1999</v>
      </c>
      <c r="IF102">
        <v>165</v>
      </c>
      <c r="IG102">
        <v>155</v>
      </c>
      <c r="IH102">
        <v>210</v>
      </c>
      <c r="II102">
        <v>1</v>
      </c>
      <c r="IJ102">
        <v>5</v>
      </c>
      <c r="IK102">
        <v>0</v>
      </c>
      <c r="IL102">
        <v>0</v>
      </c>
      <c r="IM102">
        <v>0</v>
      </c>
      <c r="IN102">
        <v>270</v>
      </c>
      <c r="IO102">
        <v>0</v>
      </c>
      <c r="IP102">
        <v>180</v>
      </c>
      <c r="IQ102">
        <v>0</v>
      </c>
      <c r="IR102">
        <v>330</v>
      </c>
      <c r="IS102">
        <v>0</v>
      </c>
      <c r="IT102">
        <v>90</v>
      </c>
      <c r="IU102">
        <v>0</v>
      </c>
      <c r="IV102">
        <v>6.4</v>
      </c>
      <c r="IW102">
        <v>-6</v>
      </c>
      <c r="IX102">
        <v>86</v>
      </c>
      <c r="IY102">
        <v>77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382</v>
      </c>
      <c r="JJ102">
        <v>352</v>
      </c>
      <c r="JK102">
        <v>270</v>
      </c>
      <c r="JL102">
        <v>348</v>
      </c>
      <c r="JM102">
        <v>270</v>
      </c>
      <c r="JN102">
        <v>160</v>
      </c>
      <c r="JO102">
        <v>220</v>
      </c>
      <c r="JP102">
        <v>210</v>
      </c>
      <c r="JQ102">
        <v>250</v>
      </c>
      <c r="JR102">
        <v>350</v>
      </c>
      <c r="JS102">
        <v>250</v>
      </c>
      <c r="JT102">
        <v>0</v>
      </c>
      <c r="JU102">
        <v>0</v>
      </c>
      <c r="JV102">
        <v>335</v>
      </c>
      <c r="JW102">
        <v>337</v>
      </c>
      <c r="JX102">
        <v>340</v>
      </c>
      <c r="JY102">
        <v>320</v>
      </c>
      <c r="JZ102">
        <v>0.5</v>
      </c>
      <c r="KA102">
        <v>0.2</v>
      </c>
      <c r="KB102">
        <v>0.4</v>
      </c>
      <c r="KC102">
        <v>0.42</v>
      </c>
      <c r="KD102">
        <v>0.28</v>
      </c>
      <c r="KE102">
        <v>0.5</v>
      </c>
      <c r="KF102">
        <v>0.2</v>
      </c>
      <c r="KG102">
        <v>0.1</v>
      </c>
      <c r="KH102">
        <v>3.5</v>
      </c>
      <c r="KI102">
        <v>1</v>
      </c>
      <c r="KJ102">
        <v>4.5</v>
      </c>
      <c r="KK102">
        <v>0</v>
      </c>
      <c r="KL102">
        <v>4.5</v>
      </c>
      <c r="KM102">
        <v>0</v>
      </c>
      <c r="KN102">
        <v>1.8</v>
      </c>
      <c r="KO102">
        <v>0</v>
      </c>
      <c r="KP102">
        <v>0</v>
      </c>
      <c r="KQ102">
        <v>0.8</v>
      </c>
      <c r="KR102">
        <v>0.8</v>
      </c>
      <c r="KS102">
        <v>0</v>
      </c>
      <c r="KT102">
        <v>1.6</v>
      </c>
      <c r="KU102">
        <v>0</v>
      </c>
      <c r="KV102">
        <v>0</v>
      </c>
      <c r="KW102">
        <v>1</v>
      </c>
      <c r="KX102">
        <v>2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3</v>
      </c>
      <c r="LI102">
        <v>0.5</v>
      </c>
      <c r="LJ102">
        <v>0</v>
      </c>
      <c r="LK102">
        <v>7</v>
      </c>
      <c r="LL102">
        <v>4</v>
      </c>
      <c r="LM102">
        <v>8</v>
      </c>
      <c r="LN102">
        <v>0.1</v>
      </c>
      <c r="LO102">
        <v>5</v>
      </c>
      <c r="LP102">
        <v>0</v>
      </c>
      <c r="LQ102">
        <v>0</v>
      </c>
      <c r="LR102">
        <v>0</v>
      </c>
      <c r="LS102">
        <v>1</v>
      </c>
      <c r="LT102">
        <v>0</v>
      </c>
      <c r="LU102">
        <v>0</v>
      </c>
      <c r="LV102">
        <v>0</v>
      </c>
      <c r="LW102">
        <v>2.1</v>
      </c>
      <c r="LX102">
        <v>2.1</v>
      </c>
      <c r="LY102">
        <v>2.1</v>
      </c>
      <c r="LZ102">
        <v>2.1</v>
      </c>
      <c r="MA102">
        <v>0</v>
      </c>
      <c r="MB102">
        <v>8</v>
      </c>
      <c r="MC102">
        <v>0</v>
      </c>
      <c r="MD102">
        <v>4.5</v>
      </c>
      <c r="ME102">
        <v>6</v>
      </c>
      <c r="MF102">
        <v>6</v>
      </c>
      <c r="MG102">
        <v>20</v>
      </c>
      <c r="MH102">
        <v>20</v>
      </c>
      <c r="MI102">
        <v>0</v>
      </c>
      <c r="MJ102">
        <v>0</v>
      </c>
      <c r="ML102">
        <v>0</v>
      </c>
      <c r="MM102">
        <v>390</v>
      </c>
      <c r="MN102">
        <v>175</v>
      </c>
      <c r="MO102">
        <v>220</v>
      </c>
      <c r="NU102">
        <v>0.15</v>
      </c>
      <c r="NV102">
        <v>0.2</v>
      </c>
      <c r="NW102">
        <v>0.2</v>
      </c>
      <c r="NX102">
        <v>0.2</v>
      </c>
      <c r="NY102">
        <v>0.2</v>
      </c>
      <c r="NZ102">
        <v>0.2</v>
      </c>
      <c r="OE102" t="s">
        <v>4472</v>
      </c>
      <c r="OF102" t="s">
        <v>4393</v>
      </c>
      <c r="OG102" t="s">
        <v>4394</v>
      </c>
      <c r="OH102" t="s">
        <v>4043</v>
      </c>
      <c r="OI102" t="s">
        <v>4472</v>
      </c>
      <c r="OJ102" t="s">
        <v>4471</v>
      </c>
      <c r="OK102">
        <v>61</v>
      </c>
      <c r="OL102">
        <v>61</v>
      </c>
      <c r="OM102" t="s">
        <v>4393</v>
      </c>
      <c r="ON102">
        <v>1</v>
      </c>
      <c r="OO102">
        <v>1964</v>
      </c>
      <c r="OP102">
        <v>61</v>
      </c>
      <c r="OQ102">
        <v>61</v>
      </c>
      <c r="OR102" t="s">
        <v>4394</v>
      </c>
      <c r="OS102">
        <v>1</v>
      </c>
      <c r="OT102">
        <v>1976</v>
      </c>
      <c r="OU102">
        <v>65</v>
      </c>
      <c r="OV102">
        <v>65</v>
      </c>
      <c r="OW102" t="s">
        <v>4043</v>
      </c>
      <c r="OX102">
        <v>1</v>
      </c>
      <c r="OY102">
        <v>31178</v>
      </c>
      <c r="OZ102">
        <v>51</v>
      </c>
      <c r="PA102">
        <v>52</v>
      </c>
      <c r="PB102" t="s">
        <v>4472</v>
      </c>
      <c r="PC102">
        <v>1</v>
      </c>
      <c r="PD102">
        <v>1999</v>
      </c>
      <c r="PF102">
        <v>379</v>
      </c>
      <c r="PG102">
        <v>35</v>
      </c>
      <c r="PH102">
        <v>356</v>
      </c>
      <c r="PI102">
        <v>0</v>
      </c>
      <c r="PJ102">
        <v>52.1</v>
      </c>
      <c r="PL102">
        <v>1056.2</v>
      </c>
      <c r="PM102">
        <v>299.1</v>
      </c>
      <c r="PN102">
        <v>87.09999999999999</v>
      </c>
      <c r="PO102">
        <v>8.1</v>
      </c>
      <c r="PP102">
        <v>12</v>
      </c>
      <c r="PQ102">
        <v>1</v>
      </c>
      <c r="PR102">
        <v>3</v>
      </c>
      <c r="PS102">
        <v>8</v>
      </c>
      <c r="PT102">
        <v>210</v>
      </c>
      <c r="PU102">
        <v>9</v>
      </c>
      <c r="PV102" t="s">
        <v>4072</v>
      </c>
      <c r="PW102" t="s">
        <v>4072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-1</v>
      </c>
      <c r="QF102">
        <v>1</v>
      </c>
      <c r="QG102">
        <v>0</v>
      </c>
      <c r="QH102">
        <v>5</v>
      </c>
      <c r="QI102">
        <v>5</v>
      </c>
      <c r="QJ102">
        <v>5</v>
      </c>
      <c r="QK102">
        <v>186</v>
      </c>
      <c r="QL102">
        <v>416</v>
      </c>
      <c r="QM102">
        <v>7.5</v>
      </c>
      <c r="QN102">
        <v>1284.1</v>
      </c>
      <c r="QO102" t="s">
        <v>1477</v>
      </c>
      <c r="QP102" t="s">
        <v>513</v>
      </c>
      <c r="QQ102">
        <v>0</v>
      </c>
      <c r="QR102" t="s">
        <v>540</v>
      </c>
      <c r="QS102">
        <v>30</v>
      </c>
      <c r="QT102">
        <v>40</v>
      </c>
    </row>
    <row r="103" spans="1:462">
      <c r="A103" t="s">
        <v>1842</v>
      </c>
      <c r="B103" t="s">
        <v>559</v>
      </c>
      <c r="C103" t="s">
        <v>509</v>
      </c>
      <c r="D103" t="s">
        <v>3157</v>
      </c>
      <c r="E103" t="s">
        <v>4036</v>
      </c>
      <c r="H103" t="s">
        <v>627</v>
      </c>
      <c r="I103" t="s">
        <v>604</v>
      </c>
      <c r="J103" t="s">
        <v>628</v>
      </c>
      <c r="K103" t="s">
        <v>606</v>
      </c>
      <c r="L103" t="s">
        <v>564</v>
      </c>
      <c r="M103" t="s">
        <v>512</v>
      </c>
      <c r="O103" t="s">
        <v>513</v>
      </c>
      <c r="P103" t="s">
        <v>567</v>
      </c>
      <c r="Q103" t="s">
        <v>1059</v>
      </c>
      <c r="R103" t="s">
        <v>1060</v>
      </c>
      <c r="S103" t="s">
        <v>4091</v>
      </c>
      <c r="T103" t="s">
        <v>633</v>
      </c>
      <c r="U103" t="s">
        <v>634</v>
      </c>
      <c r="V103" t="s">
        <v>1061</v>
      </c>
      <c r="W103" t="s">
        <v>1460</v>
      </c>
      <c r="X103" t="s">
        <v>1843</v>
      </c>
      <c r="Y103" t="s">
        <v>1844</v>
      </c>
      <c r="Z103" t="s">
        <v>541</v>
      </c>
      <c r="AA103" t="s">
        <v>4038</v>
      </c>
      <c r="AB103" t="s">
        <v>4473</v>
      </c>
      <c r="AC103">
        <v>11</v>
      </c>
      <c r="AD103" t="s">
        <v>1841</v>
      </c>
      <c r="AE103">
        <v>6</v>
      </c>
      <c r="AF103">
        <v>7631</v>
      </c>
      <c r="AG103" t="s">
        <v>4474</v>
      </c>
      <c r="AH103">
        <v>1</v>
      </c>
      <c r="AI103" t="s">
        <v>4041</v>
      </c>
      <c r="AK103" t="s">
        <v>4475</v>
      </c>
      <c r="AL103">
        <v>1</v>
      </c>
      <c r="AM103" t="s">
        <v>582</v>
      </c>
      <c r="AO103" t="s">
        <v>4043</v>
      </c>
      <c r="AP103">
        <v>1</v>
      </c>
      <c r="AR103" t="s">
        <v>4476</v>
      </c>
      <c r="AS103">
        <v>1</v>
      </c>
      <c r="AT103">
        <v>52</v>
      </c>
      <c r="AV103" t="s">
        <v>4078</v>
      </c>
      <c r="AW103">
        <v>6.4</v>
      </c>
      <c r="AX103">
        <v>-6</v>
      </c>
      <c r="AY103">
        <v>113</v>
      </c>
      <c r="AZ103">
        <v>93</v>
      </c>
      <c r="BH103">
        <v>113</v>
      </c>
      <c r="BI103">
        <v>20</v>
      </c>
      <c r="BJ103">
        <v>93</v>
      </c>
      <c r="BK103">
        <v>3</v>
      </c>
      <c r="BL103">
        <v>226</v>
      </c>
      <c r="BM103">
        <v>-6</v>
      </c>
      <c r="BN103">
        <v>0</v>
      </c>
      <c r="BP103">
        <v>0</v>
      </c>
      <c r="BR103">
        <v>220</v>
      </c>
      <c r="BS103">
        <v>205</v>
      </c>
      <c r="BT103">
        <v>2275</v>
      </c>
      <c r="BU103" t="s">
        <v>4079</v>
      </c>
      <c r="BV103" t="s">
        <v>4079</v>
      </c>
      <c r="BW103" t="s">
        <v>4081</v>
      </c>
      <c r="BX103" t="s">
        <v>4081</v>
      </c>
      <c r="BY103" t="s">
        <v>4235</v>
      </c>
      <c r="BZ103" t="s">
        <v>4235</v>
      </c>
      <c r="CA103" t="s">
        <v>4108</v>
      </c>
      <c r="CB103" t="s">
        <v>4109</v>
      </c>
      <c r="CC103" t="s">
        <v>4053</v>
      </c>
      <c r="CD103" t="s">
        <v>4110</v>
      </c>
      <c r="CE103" t="s">
        <v>4055</v>
      </c>
      <c r="CF103" t="s">
        <v>4055</v>
      </c>
      <c r="CG103" t="s">
        <v>4056</v>
      </c>
      <c r="CI103" t="s">
        <v>4216</v>
      </c>
      <c r="CJ103" t="s">
        <v>4059</v>
      </c>
      <c r="CK103" t="s">
        <v>4060</v>
      </c>
      <c r="CL103" t="s">
        <v>4061</v>
      </c>
      <c r="CM103" t="s">
        <v>4062</v>
      </c>
      <c r="CN103" t="s">
        <v>4055</v>
      </c>
      <c r="CO103" t="s">
        <v>4063</v>
      </c>
      <c r="CP103" t="s">
        <v>4055</v>
      </c>
      <c r="CQ103" t="s">
        <v>4055</v>
      </c>
      <c r="CR103">
        <v>5</v>
      </c>
      <c r="CS103" t="s">
        <v>4055</v>
      </c>
      <c r="CT103" t="s">
        <v>4055</v>
      </c>
      <c r="CU103" t="s">
        <v>4055</v>
      </c>
      <c r="CV103">
        <v>140</v>
      </c>
      <c r="CW103">
        <v>3</v>
      </c>
      <c r="CX103">
        <v>94</v>
      </c>
      <c r="CY103">
        <v>5</v>
      </c>
      <c r="CZ103">
        <v>165</v>
      </c>
      <c r="DA103">
        <v>5</v>
      </c>
      <c r="DB103">
        <v>15400</v>
      </c>
      <c r="DC103">
        <v>460</v>
      </c>
      <c r="DD103">
        <v>401</v>
      </c>
      <c r="DE103">
        <v>2398</v>
      </c>
      <c r="DF103">
        <v>2398</v>
      </c>
      <c r="DG103">
        <v>2409</v>
      </c>
      <c r="DH103">
        <v>2</v>
      </c>
      <c r="DI103" t="s">
        <v>4055</v>
      </c>
      <c r="DJ103" t="s">
        <v>4087</v>
      </c>
      <c r="DK103">
        <v>220</v>
      </c>
      <c r="DL103" t="s">
        <v>4065</v>
      </c>
      <c r="DM103">
        <v>61</v>
      </c>
      <c r="DN103">
        <v>1.36</v>
      </c>
      <c r="DO103">
        <v>1</v>
      </c>
      <c r="DP103">
        <v>2279</v>
      </c>
      <c r="DQ103">
        <v>1263</v>
      </c>
      <c r="DR103" t="s">
        <v>4087</v>
      </c>
      <c r="DS103">
        <v>205</v>
      </c>
      <c r="DT103" t="s">
        <v>4065</v>
      </c>
      <c r="DU103">
        <v>61</v>
      </c>
      <c r="DV103">
        <v>1.36</v>
      </c>
      <c r="DW103">
        <v>1</v>
      </c>
      <c r="DX103">
        <v>2293</v>
      </c>
      <c r="DY103">
        <v>1183</v>
      </c>
      <c r="DZ103" t="s">
        <v>4066</v>
      </c>
      <c r="EA103">
        <v>20</v>
      </c>
      <c r="EB103" t="s">
        <v>4065</v>
      </c>
      <c r="EC103">
        <v>0.8</v>
      </c>
      <c r="ED103">
        <v>2279</v>
      </c>
      <c r="EE103">
        <v>80</v>
      </c>
      <c r="EG103">
        <v>0</v>
      </c>
      <c r="EH103" t="s">
        <v>4065</v>
      </c>
      <c r="EI103">
        <v>0</v>
      </c>
      <c r="EL103" t="s">
        <v>1528</v>
      </c>
      <c r="EM103">
        <v>12</v>
      </c>
      <c r="EN103">
        <v>0.5</v>
      </c>
      <c r="EO103">
        <v>0.96</v>
      </c>
      <c r="EP103">
        <v>2292.1</v>
      </c>
      <c r="EQ103">
        <v>42618.73</v>
      </c>
      <c r="ER103">
        <v>7181.66</v>
      </c>
      <c r="ES103">
        <v>0</v>
      </c>
      <c r="ET103">
        <v>0</v>
      </c>
      <c r="EU103">
        <v>1</v>
      </c>
      <c r="EV103">
        <v>49801</v>
      </c>
      <c r="EW103">
        <v>598</v>
      </c>
      <c r="EX103" t="s">
        <v>4363</v>
      </c>
      <c r="EY103">
        <v>236</v>
      </c>
      <c r="EZ103" t="s">
        <v>4055</v>
      </c>
      <c r="FA103">
        <v>6.4</v>
      </c>
      <c r="FB103">
        <v>1</v>
      </c>
      <c r="FC103">
        <v>1</v>
      </c>
      <c r="FD103">
        <v>2324</v>
      </c>
      <c r="FE103">
        <v>3436</v>
      </c>
      <c r="FF103" t="s">
        <v>4089</v>
      </c>
      <c r="FG103">
        <v>236</v>
      </c>
      <c r="FH103" t="s">
        <v>4055</v>
      </c>
      <c r="FI103">
        <v>1.2</v>
      </c>
      <c r="FJ103">
        <v>2324</v>
      </c>
      <c r="FK103">
        <v>667</v>
      </c>
      <c r="FL103" t="s">
        <v>4069</v>
      </c>
      <c r="FM103" t="s">
        <v>4055</v>
      </c>
      <c r="FN103" t="s">
        <v>4055</v>
      </c>
      <c r="FO103" t="s">
        <v>4055</v>
      </c>
      <c r="FP103">
        <v>2324</v>
      </c>
      <c r="FQ103">
        <v>271</v>
      </c>
      <c r="FR103" t="s">
        <v>4090</v>
      </c>
      <c r="FS103">
        <v>240</v>
      </c>
      <c r="FT103" t="s">
        <v>4055</v>
      </c>
      <c r="FU103">
        <v>0.4</v>
      </c>
      <c r="FV103">
        <v>2324</v>
      </c>
      <c r="FW103">
        <v>248</v>
      </c>
      <c r="FX103" t="s">
        <v>4070</v>
      </c>
      <c r="FY103">
        <v>5</v>
      </c>
      <c r="FZ103" t="s">
        <v>4055</v>
      </c>
      <c r="GA103" t="s">
        <v>4055</v>
      </c>
      <c r="GB103">
        <v>2324</v>
      </c>
      <c r="GC103">
        <v>22</v>
      </c>
      <c r="GD103">
        <v>4644</v>
      </c>
      <c r="GE103" t="s">
        <v>4476</v>
      </c>
      <c r="GF103" t="s">
        <v>4055</v>
      </c>
      <c r="GG103" t="s">
        <v>4055</v>
      </c>
      <c r="GH103" t="s">
        <v>4055</v>
      </c>
      <c r="GI103" t="s">
        <v>4071</v>
      </c>
      <c r="GJ103" t="s">
        <v>4055</v>
      </c>
      <c r="GK103" t="s">
        <v>4055</v>
      </c>
      <c r="GL103" t="s">
        <v>4055</v>
      </c>
      <c r="GM103" t="s">
        <v>4055</v>
      </c>
      <c r="GQ103">
        <v>0</v>
      </c>
      <c r="GV103">
        <v>8</v>
      </c>
      <c r="GW103">
        <v>8.199999999999999</v>
      </c>
      <c r="GX103">
        <v>0.5</v>
      </c>
      <c r="GY103">
        <v>188</v>
      </c>
      <c r="GZ103">
        <v>3</v>
      </c>
      <c r="HA103">
        <v>268</v>
      </c>
      <c r="HB103">
        <v>3</v>
      </c>
      <c r="HC103">
        <v>2324</v>
      </c>
      <c r="HD103">
        <v>4</v>
      </c>
      <c r="HE103" t="s">
        <v>4071</v>
      </c>
      <c r="HG103" t="s">
        <v>549</v>
      </c>
      <c r="HL103">
        <v>4</v>
      </c>
      <c r="HM103">
        <v>17</v>
      </c>
      <c r="HN103">
        <v>6</v>
      </c>
      <c r="HO103">
        <v>1</v>
      </c>
      <c r="HP103">
        <v>0</v>
      </c>
      <c r="HQ103">
        <v>0</v>
      </c>
      <c r="HR103">
        <v>1</v>
      </c>
      <c r="HS103">
        <v>2275</v>
      </c>
      <c r="HT103">
        <v>5</v>
      </c>
      <c r="HU103">
        <v>1</v>
      </c>
      <c r="HV103">
        <v>3</v>
      </c>
      <c r="HW103">
        <v>0</v>
      </c>
      <c r="HX103">
        <v>1</v>
      </c>
      <c r="HY103">
        <v>0</v>
      </c>
      <c r="HZ103">
        <v>61</v>
      </c>
      <c r="IA103">
        <v>2279</v>
      </c>
      <c r="IB103">
        <v>2293</v>
      </c>
      <c r="ID103">
        <v>2324</v>
      </c>
      <c r="IE103">
        <v>2324</v>
      </c>
      <c r="IF103">
        <v>220</v>
      </c>
      <c r="IG103">
        <v>205</v>
      </c>
      <c r="IH103">
        <v>268</v>
      </c>
      <c r="II103">
        <v>1</v>
      </c>
      <c r="IJ103">
        <v>5</v>
      </c>
      <c r="IK103">
        <v>0</v>
      </c>
      <c r="IL103">
        <v>0</v>
      </c>
      <c r="IM103">
        <v>0</v>
      </c>
      <c r="IN103">
        <v>270</v>
      </c>
      <c r="IO103">
        <v>0</v>
      </c>
      <c r="IP103">
        <v>180</v>
      </c>
      <c r="IQ103">
        <v>0</v>
      </c>
      <c r="IR103">
        <v>330</v>
      </c>
      <c r="IS103">
        <v>0</v>
      </c>
      <c r="IT103">
        <v>90</v>
      </c>
      <c r="IU103">
        <v>0</v>
      </c>
      <c r="IV103">
        <v>6.4</v>
      </c>
      <c r="IW103">
        <v>-6</v>
      </c>
      <c r="IX103">
        <v>113</v>
      </c>
      <c r="IY103">
        <v>93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496</v>
      </c>
      <c r="JJ103">
        <v>466</v>
      </c>
      <c r="JK103">
        <v>330</v>
      </c>
      <c r="JL103">
        <v>464</v>
      </c>
      <c r="JM103">
        <v>335</v>
      </c>
      <c r="JN103">
        <v>220</v>
      </c>
      <c r="JO103">
        <v>273</v>
      </c>
      <c r="JP103">
        <v>170</v>
      </c>
      <c r="JQ103">
        <v>235</v>
      </c>
      <c r="JR103">
        <v>375</v>
      </c>
      <c r="JS103">
        <v>215</v>
      </c>
      <c r="JT103">
        <v>0</v>
      </c>
      <c r="JU103">
        <v>0</v>
      </c>
      <c r="JV103">
        <v>335</v>
      </c>
      <c r="JW103">
        <v>337</v>
      </c>
      <c r="JX103">
        <v>370</v>
      </c>
      <c r="JY103">
        <v>330</v>
      </c>
      <c r="JZ103">
        <v>3</v>
      </c>
      <c r="KA103">
        <v>0.15</v>
      </c>
      <c r="KB103">
        <v>0.3</v>
      </c>
      <c r="KC103">
        <v>0.42</v>
      </c>
      <c r="KD103">
        <v>0.28</v>
      </c>
      <c r="KE103">
        <v>0.5</v>
      </c>
      <c r="KF103">
        <v>0.2</v>
      </c>
      <c r="KG103">
        <v>0.11</v>
      </c>
      <c r="KH103">
        <v>3.5</v>
      </c>
      <c r="KI103">
        <v>1</v>
      </c>
      <c r="KJ103">
        <v>4.5</v>
      </c>
      <c r="KK103">
        <v>0.5</v>
      </c>
      <c r="KL103">
        <v>4.5</v>
      </c>
      <c r="KM103">
        <v>0.5</v>
      </c>
      <c r="KN103">
        <v>2.5</v>
      </c>
      <c r="KO103">
        <v>0</v>
      </c>
      <c r="KP103">
        <v>0</v>
      </c>
      <c r="KQ103">
        <v>0.8</v>
      </c>
      <c r="KR103">
        <v>0.5</v>
      </c>
      <c r="KS103">
        <v>0.2</v>
      </c>
      <c r="KT103">
        <v>2.9</v>
      </c>
      <c r="KU103">
        <v>0</v>
      </c>
      <c r="KV103">
        <v>0</v>
      </c>
      <c r="KW103">
        <v>1</v>
      </c>
      <c r="KX103">
        <v>2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3</v>
      </c>
      <c r="LI103">
        <v>2</v>
      </c>
      <c r="LJ103">
        <v>0</v>
      </c>
      <c r="LK103">
        <v>10</v>
      </c>
      <c r="LL103">
        <v>10</v>
      </c>
      <c r="LM103">
        <v>13</v>
      </c>
      <c r="LN103">
        <v>0.1</v>
      </c>
      <c r="LO103">
        <v>3</v>
      </c>
      <c r="LP103">
        <v>0</v>
      </c>
      <c r="LQ103">
        <v>0</v>
      </c>
      <c r="LR103">
        <v>0</v>
      </c>
      <c r="LS103">
        <v>1</v>
      </c>
      <c r="LT103">
        <v>0</v>
      </c>
      <c r="LU103">
        <v>0</v>
      </c>
      <c r="LV103">
        <v>0</v>
      </c>
      <c r="LW103">
        <v>2.5</v>
      </c>
      <c r="LX103">
        <v>2.5</v>
      </c>
      <c r="LY103">
        <v>2.3</v>
      </c>
      <c r="LZ103">
        <v>2.3</v>
      </c>
      <c r="MA103">
        <v>0</v>
      </c>
      <c r="MB103">
        <v>9</v>
      </c>
      <c r="MC103">
        <v>0</v>
      </c>
      <c r="MD103">
        <v>4.5</v>
      </c>
      <c r="ME103">
        <v>6</v>
      </c>
      <c r="MF103">
        <v>6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484</v>
      </c>
      <c r="MN103">
        <v>215</v>
      </c>
      <c r="MO103">
        <v>278</v>
      </c>
      <c r="NU103">
        <v>0.15</v>
      </c>
      <c r="NV103">
        <v>0.2</v>
      </c>
      <c r="NW103">
        <v>0.2</v>
      </c>
      <c r="NX103">
        <v>0.2</v>
      </c>
      <c r="NY103">
        <v>0.2</v>
      </c>
      <c r="NZ103">
        <v>0.2</v>
      </c>
      <c r="OE103" t="s">
        <v>4476</v>
      </c>
      <c r="OF103" t="s">
        <v>4474</v>
      </c>
      <c r="OG103" t="s">
        <v>4475</v>
      </c>
      <c r="OH103" t="s">
        <v>4043</v>
      </c>
      <c r="OI103" t="s">
        <v>4476</v>
      </c>
      <c r="OJ103" t="s">
        <v>4473</v>
      </c>
      <c r="OK103">
        <v>61</v>
      </c>
      <c r="OL103">
        <v>61</v>
      </c>
      <c r="OM103" t="s">
        <v>4474</v>
      </c>
      <c r="ON103">
        <v>1</v>
      </c>
      <c r="OO103">
        <v>2279</v>
      </c>
      <c r="OP103">
        <v>61</v>
      </c>
      <c r="OQ103">
        <v>61</v>
      </c>
      <c r="OR103" t="s">
        <v>4475</v>
      </c>
      <c r="OS103">
        <v>1</v>
      </c>
      <c r="OT103">
        <v>2293</v>
      </c>
      <c r="OU103">
        <v>65</v>
      </c>
      <c r="OV103">
        <v>65</v>
      </c>
      <c r="OW103" t="s">
        <v>4043</v>
      </c>
      <c r="OX103">
        <v>1</v>
      </c>
      <c r="OY103">
        <v>49801</v>
      </c>
      <c r="OZ103">
        <v>51</v>
      </c>
      <c r="PA103">
        <v>52</v>
      </c>
      <c r="PB103" t="s">
        <v>4476</v>
      </c>
      <c r="PC103">
        <v>1</v>
      </c>
      <c r="PD103">
        <v>2324</v>
      </c>
      <c r="PF103">
        <v>554</v>
      </c>
      <c r="PG103">
        <v>35</v>
      </c>
      <c r="PH103">
        <v>516</v>
      </c>
      <c r="PI103">
        <v>0</v>
      </c>
      <c r="PJ103">
        <v>116.7</v>
      </c>
      <c r="PK103">
        <v>2029</v>
      </c>
      <c r="PL103">
        <v>1478.4</v>
      </c>
      <c r="PM103">
        <v>287</v>
      </c>
      <c r="PN103">
        <v>106.8</v>
      </c>
      <c r="PO103">
        <v>9.300000000000001</v>
      </c>
      <c r="PP103">
        <v>12</v>
      </c>
      <c r="PQ103">
        <v>4</v>
      </c>
      <c r="PR103">
        <v>4</v>
      </c>
      <c r="PS103">
        <v>0</v>
      </c>
      <c r="PT103">
        <v>268</v>
      </c>
      <c r="PU103">
        <v>16</v>
      </c>
      <c r="PV103" t="s">
        <v>4072</v>
      </c>
      <c r="PW103" t="s">
        <v>4072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-1</v>
      </c>
      <c r="QF103">
        <v>1</v>
      </c>
      <c r="QG103">
        <v>0</v>
      </c>
      <c r="QH103">
        <v>5</v>
      </c>
      <c r="QI103">
        <v>5</v>
      </c>
      <c r="QJ103">
        <v>5</v>
      </c>
      <c r="QK103">
        <v>263</v>
      </c>
      <c r="QL103">
        <v>526</v>
      </c>
      <c r="QM103">
        <v>7.5</v>
      </c>
      <c r="QN103">
        <v>1384.6</v>
      </c>
      <c r="QO103" t="s">
        <v>1477</v>
      </c>
      <c r="QP103" t="s">
        <v>513</v>
      </c>
      <c r="QQ103">
        <v>0</v>
      </c>
      <c r="QR103" t="s">
        <v>1849</v>
      </c>
      <c r="QS103">
        <v>40</v>
      </c>
      <c r="QT103">
        <v>50</v>
      </c>
    </row>
    <row r="104" spans="1:462">
      <c r="A104" t="s">
        <v>1852</v>
      </c>
      <c r="B104" t="s">
        <v>564</v>
      </c>
      <c r="C104" t="s">
        <v>509</v>
      </c>
      <c r="D104" t="s">
        <v>1851</v>
      </c>
      <c r="E104" t="s">
        <v>4036</v>
      </c>
      <c r="H104" t="s">
        <v>561</v>
      </c>
      <c r="J104" t="s">
        <v>562</v>
      </c>
      <c r="K104" t="s">
        <v>563</v>
      </c>
      <c r="L104" t="s">
        <v>629</v>
      </c>
      <c r="M104" t="s">
        <v>512</v>
      </c>
      <c r="O104" t="s">
        <v>513</v>
      </c>
      <c r="P104" t="s">
        <v>567</v>
      </c>
      <c r="Q104" t="s">
        <v>1853</v>
      </c>
      <c r="R104" t="s">
        <v>820</v>
      </c>
      <c r="S104" t="s">
        <v>4170</v>
      </c>
      <c r="T104" t="s">
        <v>520</v>
      </c>
      <c r="U104" t="s">
        <v>521</v>
      </c>
      <c r="V104" t="s">
        <v>1835</v>
      </c>
      <c r="W104" t="s">
        <v>1460</v>
      </c>
      <c r="X104" t="s">
        <v>1854</v>
      </c>
      <c r="Y104" t="s">
        <v>1855</v>
      </c>
      <c r="Z104" t="s">
        <v>541</v>
      </c>
      <c r="AA104" t="s">
        <v>4038</v>
      </c>
      <c r="AB104" t="s">
        <v>4477</v>
      </c>
      <c r="AC104">
        <v>9</v>
      </c>
      <c r="AD104" t="s">
        <v>1850</v>
      </c>
      <c r="AE104">
        <v>5</v>
      </c>
      <c r="AF104">
        <v>4645</v>
      </c>
      <c r="AG104" t="s">
        <v>4449</v>
      </c>
      <c r="AH104">
        <v>1</v>
      </c>
      <c r="AI104" t="s">
        <v>4041</v>
      </c>
      <c r="AK104" t="s">
        <v>4450</v>
      </c>
      <c r="AL104">
        <v>1</v>
      </c>
      <c r="AM104" t="s">
        <v>582</v>
      </c>
      <c r="AO104" t="s">
        <v>4043</v>
      </c>
      <c r="AP104">
        <v>1</v>
      </c>
      <c r="AR104" t="s">
        <v>4478</v>
      </c>
      <c r="AS104">
        <v>1</v>
      </c>
      <c r="AT104">
        <v>51</v>
      </c>
      <c r="AV104" t="s">
        <v>4045</v>
      </c>
      <c r="AW104">
        <v>6.4</v>
      </c>
      <c r="AX104">
        <v>-6</v>
      </c>
      <c r="AY104">
        <v>95</v>
      </c>
      <c r="AZ104">
        <v>83</v>
      </c>
      <c r="BH104">
        <v>95</v>
      </c>
      <c r="BI104">
        <v>12</v>
      </c>
      <c r="BJ104">
        <v>83</v>
      </c>
      <c r="BK104">
        <v>2.5</v>
      </c>
      <c r="BL104">
        <v>190</v>
      </c>
      <c r="BM104">
        <v>-6</v>
      </c>
      <c r="BN104">
        <v>0</v>
      </c>
      <c r="BP104">
        <v>0</v>
      </c>
      <c r="BR104">
        <v>185</v>
      </c>
      <c r="BS104">
        <v>175</v>
      </c>
      <c r="BT104">
        <v>1935</v>
      </c>
      <c r="BU104" t="s">
        <v>4047</v>
      </c>
      <c r="BV104" t="s">
        <v>4047</v>
      </c>
      <c r="BW104" t="s">
        <v>4097</v>
      </c>
      <c r="BX104" t="s">
        <v>4049</v>
      </c>
      <c r="BY104" t="s">
        <v>4050</v>
      </c>
      <c r="BZ104" t="s">
        <v>4050</v>
      </c>
      <c r="CA104" t="s">
        <v>4051</v>
      </c>
      <c r="CB104" t="s">
        <v>4052</v>
      </c>
      <c r="CC104" t="s">
        <v>4053</v>
      </c>
      <c r="CD104" t="s">
        <v>4054</v>
      </c>
      <c r="CE104" t="s">
        <v>4055</v>
      </c>
      <c r="CF104" t="s">
        <v>4055</v>
      </c>
      <c r="CG104" t="s">
        <v>4056</v>
      </c>
      <c r="CH104" t="s">
        <v>4057</v>
      </c>
      <c r="CI104" t="s">
        <v>4058</v>
      </c>
      <c r="CJ104" t="s">
        <v>4059</v>
      </c>
      <c r="CK104" t="s">
        <v>4060</v>
      </c>
      <c r="CL104" t="s">
        <v>4061</v>
      </c>
      <c r="CM104" t="s">
        <v>4062</v>
      </c>
      <c r="CN104" t="s">
        <v>4055</v>
      </c>
      <c r="CO104" t="s">
        <v>4063</v>
      </c>
      <c r="CP104" t="s">
        <v>4055</v>
      </c>
      <c r="CQ104" t="s">
        <v>4055</v>
      </c>
      <c r="CR104">
        <v>5</v>
      </c>
      <c r="CS104" t="s">
        <v>4055</v>
      </c>
      <c r="CT104" t="s">
        <v>4055</v>
      </c>
      <c r="CU104" t="s">
        <v>4055</v>
      </c>
      <c r="CV104">
        <v>121</v>
      </c>
      <c r="CW104">
        <v>3</v>
      </c>
      <c r="CX104">
        <v>79</v>
      </c>
      <c r="CY104">
        <v>5</v>
      </c>
      <c r="CZ104">
        <v>141</v>
      </c>
      <c r="DA104">
        <v>5</v>
      </c>
      <c r="DB104">
        <v>10000</v>
      </c>
      <c r="DC104">
        <v>300</v>
      </c>
      <c r="DD104">
        <v>328</v>
      </c>
      <c r="DE104">
        <v>2043</v>
      </c>
      <c r="DF104">
        <v>2043</v>
      </c>
      <c r="DG104">
        <v>2059</v>
      </c>
      <c r="DH104" t="s">
        <v>4055</v>
      </c>
      <c r="DJ104" t="s">
        <v>4064</v>
      </c>
      <c r="DK104">
        <v>185</v>
      </c>
      <c r="DL104" t="s">
        <v>4065</v>
      </c>
      <c r="DM104">
        <v>65</v>
      </c>
      <c r="DN104">
        <v>1.2</v>
      </c>
      <c r="DO104">
        <v>1</v>
      </c>
      <c r="DP104">
        <v>1939</v>
      </c>
      <c r="DQ104">
        <v>824</v>
      </c>
      <c r="DR104" t="s">
        <v>4064</v>
      </c>
      <c r="DS104">
        <v>175</v>
      </c>
      <c r="DT104" t="s">
        <v>4065</v>
      </c>
      <c r="DU104">
        <v>65</v>
      </c>
      <c r="DV104">
        <v>1.2</v>
      </c>
      <c r="DW104">
        <v>1</v>
      </c>
      <c r="DX104">
        <v>1951</v>
      </c>
      <c r="DY104">
        <v>784</v>
      </c>
      <c r="DZ104" t="s">
        <v>4066</v>
      </c>
      <c r="EA104">
        <v>20</v>
      </c>
      <c r="EB104" t="s">
        <v>4065</v>
      </c>
      <c r="EC104">
        <v>0.8</v>
      </c>
      <c r="ED104">
        <v>1939</v>
      </c>
      <c r="EE104">
        <v>68</v>
      </c>
      <c r="EG104">
        <v>0</v>
      </c>
      <c r="EH104" t="s">
        <v>4065</v>
      </c>
      <c r="EI104">
        <v>0</v>
      </c>
      <c r="EL104" t="s">
        <v>1528</v>
      </c>
      <c r="EM104">
        <v>12</v>
      </c>
      <c r="EN104">
        <v>0.5</v>
      </c>
      <c r="EO104">
        <v>0.96</v>
      </c>
      <c r="EP104">
        <v>1950.08</v>
      </c>
      <c r="EQ104">
        <v>30774.7</v>
      </c>
      <c r="ER104">
        <v>3667.71</v>
      </c>
      <c r="ES104">
        <v>0</v>
      </c>
      <c r="ET104">
        <v>0</v>
      </c>
      <c r="EU104">
        <v>1</v>
      </c>
      <c r="EV104">
        <v>34443</v>
      </c>
      <c r="EW104">
        <v>414</v>
      </c>
      <c r="EX104" t="s">
        <v>4363</v>
      </c>
      <c r="EY104">
        <v>216</v>
      </c>
      <c r="EZ104" t="s">
        <v>4055</v>
      </c>
      <c r="FA104">
        <v>6</v>
      </c>
      <c r="FB104">
        <v>1</v>
      </c>
      <c r="FC104">
        <v>1</v>
      </c>
      <c r="FD104">
        <v>1982</v>
      </c>
      <c r="FE104">
        <v>2228</v>
      </c>
      <c r="FF104" t="s">
        <v>4089</v>
      </c>
      <c r="FG104">
        <v>216</v>
      </c>
      <c r="FH104" t="s">
        <v>4055</v>
      </c>
      <c r="FI104">
        <v>1.8</v>
      </c>
      <c r="FJ104">
        <v>1982</v>
      </c>
      <c r="FK104">
        <v>764</v>
      </c>
      <c r="FL104" t="s">
        <v>4069</v>
      </c>
      <c r="FM104" t="s">
        <v>4055</v>
      </c>
      <c r="FN104" t="s">
        <v>4055</v>
      </c>
      <c r="FO104" t="s">
        <v>4055</v>
      </c>
      <c r="FP104">
        <v>1982</v>
      </c>
      <c r="FQ104">
        <v>54</v>
      </c>
      <c r="FR104" t="s">
        <v>4090</v>
      </c>
      <c r="FS104">
        <v>220</v>
      </c>
      <c r="FT104" t="s">
        <v>4055</v>
      </c>
      <c r="FU104">
        <v>0.4</v>
      </c>
      <c r="FV104">
        <v>1982</v>
      </c>
      <c r="FW104">
        <v>194</v>
      </c>
      <c r="FX104" t="s">
        <v>4070</v>
      </c>
      <c r="FY104">
        <v>5</v>
      </c>
      <c r="FZ104" t="s">
        <v>4055</v>
      </c>
      <c r="GA104" t="s">
        <v>4055</v>
      </c>
      <c r="GB104">
        <v>1982</v>
      </c>
      <c r="GC104">
        <v>16</v>
      </c>
      <c r="GD104">
        <v>3256</v>
      </c>
      <c r="GE104" t="s">
        <v>4478</v>
      </c>
      <c r="GF104" t="s">
        <v>4055</v>
      </c>
      <c r="GG104" t="s">
        <v>4055</v>
      </c>
      <c r="GH104" t="s">
        <v>4055</v>
      </c>
      <c r="GI104" t="s">
        <v>4071</v>
      </c>
      <c r="GJ104" t="s">
        <v>4055</v>
      </c>
      <c r="GK104" t="s">
        <v>4055</v>
      </c>
      <c r="GL104" t="s">
        <v>4055</v>
      </c>
      <c r="GM104" t="s">
        <v>4055</v>
      </c>
      <c r="GQ104">
        <v>0</v>
      </c>
      <c r="GV104">
        <v>8.199999999999999</v>
      </c>
      <c r="GW104">
        <v>7.6</v>
      </c>
      <c r="GX104">
        <v>0.5</v>
      </c>
      <c r="GY104">
        <v>180</v>
      </c>
      <c r="GZ104">
        <v>3</v>
      </c>
      <c r="HA104">
        <v>228</v>
      </c>
      <c r="HB104">
        <v>3</v>
      </c>
      <c r="HC104">
        <v>1982</v>
      </c>
      <c r="HD104">
        <v>4</v>
      </c>
      <c r="HE104" t="s">
        <v>4071</v>
      </c>
      <c r="HG104" t="s">
        <v>549</v>
      </c>
      <c r="HL104">
        <v>4</v>
      </c>
      <c r="HM104">
        <v>16</v>
      </c>
      <c r="HN104">
        <v>6</v>
      </c>
      <c r="HO104">
        <v>1</v>
      </c>
      <c r="HP104">
        <v>0</v>
      </c>
      <c r="HQ104">
        <v>0</v>
      </c>
      <c r="HR104">
        <v>3</v>
      </c>
      <c r="HS104">
        <v>1935</v>
      </c>
      <c r="HT104">
        <v>5</v>
      </c>
      <c r="HU104">
        <v>1</v>
      </c>
      <c r="HV104">
        <v>3</v>
      </c>
      <c r="HW104">
        <v>0</v>
      </c>
      <c r="HX104">
        <v>1</v>
      </c>
      <c r="HY104">
        <v>0</v>
      </c>
      <c r="HZ104">
        <v>65</v>
      </c>
      <c r="IA104">
        <v>1939</v>
      </c>
      <c r="IB104">
        <v>1951</v>
      </c>
      <c r="ID104">
        <v>1982</v>
      </c>
      <c r="IE104">
        <v>1982</v>
      </c>
      <c r="IF104">
        <v>185</v>
      </c>
      <c r="IG104">
        <v>175</v>
      </c>
      <c r="IH104">
        <v>228</v>
      </c>
      <c r="II104">
        <v>1</v>
      </c>
      <c r="IJ104">
        <v>5</v>
      </c>
      <c r="IK104">
        <v>0</v>
      </c>
      <c r="IL104">
        <v>0</v>
      </c>
      <c r="IM104">
        <v>0</v>
      </c>
      <c r="IN104">
        <v>270</v>
      </c>
      <c r="IO104">
        <v>0</v>
      </c>
      <c r="IP104">
        <v>180</v>
      </c>
      <c r="IQ104">
        <v>0</v>
      </c>
      <c r="IR104">
        <v>320</v>
      </c>
      <c r="IS104">
        <v>0</v>
      </c>
      <c r="IT104">
        <v>90</v>
      </c>
      <c r="IU104">
        <v>0</v>
      </c>
      <c r="IV104">
        <v>6.4</v>
      </c>
      <c r="IW104">
        <v>-6</v>
      </c>
      <c r="IX104">
        <v>95</v>
      </c>
      <c r="IY104">
        <v>83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390</v>
      </c>
      <c r="JJ104">
        <v>358</v>
      </c>
      <c r="JK104">
        <v>260</v>
      </c>
      <c r="JL104">
        <v>356</v>
      </c>
      <c r="JM104">
        <v>275</v>
      </c>
      <c r="JN104">
        <v>195</v>
      </c>
      <c r="JO104">
        <v>242</v>
      </c>
      <c r="JP104">
        <v>200</v>
      </c>
      <c r="JQ104">
        <v>255</v>
      </c>
      <c r="JR104">
        <v>355</v>
      </c>
      <c r="JS104">
        <v>240</v>
      </c>
      <c r="JT104">
        <v>0</v>
      </c>
      <c r="JU104">
        <v>0</v>
      </c>
      <c r="JV104">
        <v>335</v>
      </c>
      <c r="JW104">
        <v>337</v>
      </c>
      <c r="JX104">
        <v>330</v>
      </c>
      <c r="JY104">
        <v>310</v>
      </c>
      <c r="JZ104">
        <v>0.5</v>
      </c>
      <c r="KA104">
        <v>0.2</v>
      </c>
      <c r="KB104">
        <v>0.4</v>
      </c>
      <c r="KC104">
        <v>0.42</v>
      </c>
      <c r="KD104">
        <v>0.28</v>
      </c>
      <c r="KE104">
        <v>0.5</v>
      </c>
      <c r="KF104">
        <v>0.17</v>
      </c>
      <c r="KG104">
        <v>0.1</v>
      </c>
      <c r="KH104">
        <v>3.5</v>
      </c>
      <c r="KI104">
        <v>1</v>
      </c>
      <c r="KJ104">
        <v>4.5</v>
      </c>
      <c r="KK104">
        <v>0</v>
      </c>
      <c r="KL104">
        <v>4.5</v>
      </c>
      <c r="KM104">
        <v>0</v>
      </c>
      <c r="KN104">
        <v>1.7</v>
      </c>
      <c r="KO104">
        <v>0</v>
      </c>
      <c r="KP104">
        <v>0</v>
      </c>
      <c r="KQ104">
        <v>0.8</v>
      </c>
      <c r="KR104">
        <v>0.8</v>
      </c>
      <c r="KS104">
        <v>0</v>
      </c>
      <c r="KT104">
        <v>1.6</v>
      </c>
      <c r="KU104">
        <v>0</v>
      </c>
      <c r="KV104">
        <v>0</v>
      </c>
      <c r="KW104">
        <v>1</v>
      </c>
      <c r="KX104">
        <v>2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3</v>
      </c>
      <c r="LI104">
        <v>0.5</v>
      </c>
      <c r="LJ104">
        <v>0</v>
      </c>
      <c r="LK104">
        <v>3.5</v>
      </c>
      <c r="LL104">
        <v>4</v>
      </c>
      <c r="LM104">
        <v>5</v>
      </c>
      <c r="LN104">
        <v>0.5</v>
      </c>
      <c r="LO104">
        <v>1</v>
      </c>
      <c r="LP104">
        <v>0</v>
      </c>
      <c r="LQ104">
        <v>0</v>
      </c>
      <c r="LR104">
        <v>0</v>
      </c>
      <c r="LS104">
        <v>1</v>
      </c>
      <c r="LT104">
        <v>0</v>
      </c>
      <c r="LU104">
        <v>0</v>
      </c>
      <c r="LV104">
        <v>0</v>
      </c>
      <c r="LW104">
        <v>1.8</v>
      </c>
      <c r="LX104">
        <v>1.8</v>
      </c>
      <c r="LY104">
        <v>2.1</v>
      </c>
      <c r="LZ104">
        <v>2.1</v>
      </c>
      <c r="MA104">
        <v>0</v>
      </c>
      <c r="MB104">
        <v>8</v>
      </c>
      <c r="MC104">
        <v>0</v>
      </c>
      <c r="MD104">
        <v>4.5</v>
      </c>
      <c r="ME104">
        <v>7</v>
      </c>
      <c r="MF104">
        <v>7</v>
      </c>
      <c r="MI104">
        <v>0</v>
      </c>
      <c r="MJ104">
        <v>0</v>
      </c>
      <c r="ML104">
        <v>0</v>
      </c>
      <c r="MM104">
        <v>390</v>
      </c>
      <c r="MN104">
        <v>190</v>
      </c>
      <c r="MO104">
        <v>245</v>
      </c>
      <c r="NH104">
        <v>0</v>
      </c>
      <c r="NJ104">
        <v>0</v>
      </c>
      <c r="NK104">
        <v>0</v>
      </c>
      <c r="NM104">
        <v>0</v>
      </c>
      <c r="NU104">
        <v>0.15</v>
      </c>
      <c r="NV104">
        <v>0.2</v>
      </c>
      <c r="NW104">
        <v>0.2</v>
      </c>
      <c r="NX104">
        <v>2</v>
      </c>
      <c r="NY104">
        <v>2</v>
      </c>
      <c r="NZ104">
        <v>2</v>
      </c>
      <c r="OE104" t="s">
        <v>4478</v>
      </c>
      <c r="OF104" t="s">
        <v>4449</v>
      </c>
      <c r="OG104" t="s">
        <v>4450</v>
      </c>
      <c r="OH104" t="s">
        <v>4043</v>
      </c>
      <c r="OI104" t="s">
        <v>4478</v>
      </c>
      <c r="OJ104" t="s">
        <v>4477</v>
      </c>
      <c r="OK104">
        <v>61</v>
      </c>
      <c r="OL104">
        <v>61</v>
      </c>
      <c r="OM104" t="s">
        <v>4449</v>
      </c>
      <c r="ON104">
        <v>1</v>
      </c>
      <c r="OO104">
        <v>1939</v>
      </c>
      <c r="OP104">
        <v>61</v>
      </c>
      <c r="OQ104">
        <v>61</v>
      </c>
      <c r="OR104" t="s">
        <v>4450</v>
      </c>
      <c r="OS104">
        <v>1</v>
      </c>
      <c r="OT104">
        <v>1951</v>
      </c>
      <c r="OU104">
        <v>65</v>
      </c>
      <c r="OV104">
        <v>65</v>
      </c>
      <c r="OW104" t="s">
        <v>4043</v>
      </c>
      <c r="OX104">
        <v>1</v>
      </c>
      <c r="OY104">
        <v>34443</v>
      </c>
      <c r="OZ104">
        <v>51</v>
      </c>
      <c r="PA104">
        <v>51</v>
      </c>
      <c r="PB104" t="s">
        <v>4478</v>
      </c>
      <c r="PC104">
        <v>1</v>
      </c>
      <c r="PD104">
        <v>1982</v>
      </c>
      <c r="PF104">
        <v>425</v>
      </c>
      <c r="PG104">
        <v>35</v>
      </c>
      <c r="PH104">
        <v>402</v>
      </c>
      <c r="PI104">
        <v>0</v>
      </c>
      <c r="PJ104">
        <v>27.1</v>
      </c>
      <c r="PK104">
        <v>1624</v>
      </c>
      <c r="PL104">
        <v>1124.3</v>
      </c>
      <c r="PM104">
        <v>385.5</v>
      </c>
      <c r="PN104">
        <v>97.8</v>
      </c>
      <c r="PO104">
        <v>8.300000000000001</v>
      </c>
      <c r="PP104">
        <v>12</v>
      </c>
      <c r="PQ104">
        <v>1</v>
      </c>
      <c r="PR104">
        <v>1</v>
      </c>
      <c r="PS104">
        <v>7</v>
      </c>
      <c r="PT104">
        <v>228</v>
      </c>
      <c r="PU104">
        <v>6</v>
      </c>
      <c r="PV104" t="s">
        <v>4072</v>
      </c>
      <c r="PW104" t="s">
        <v>4072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-1</v>
      </c>
      <c r="QF104">
        <v>1</v>
      </c>
      <c r="QG104">
        <v>0</v>
      </c>
      <c r="QH104">
        <v>5</v>
      </c>
      <c r="QI104">
        <v>5</v>
      </c>
      <c r="QJ104">
        <v>5</v>
      </c>
      <c r="QK104">
        <v>189</v>
      </c>
      <c r="QL104">
        <v>422</v>
      </c>
      <c r="QM104">
        <v>7.5</v>
      </c>
      <c r="QN104">
        <v>1285.7</v>
      </c>
      <c r="QO104" t="s">
        <v>1477</v>
      </c>
      <c r="QP104" t="s">
        <v>513</v>
      </c>
      <c r="QQ104">
        <v>0</v>
      </c>
      <c r="QR104" t="s">
        <v>621</v>
      </c>
      <c r="QS104">
        <v>30</v>
      </c>
      <c r="QT104">
        <v>40</v>
      </c>
    </row>
    <row r="105" spans="1:462">
      <c r="A105" t="s">
        <v>1861</v>
      </c>
      <c r="B105" t="s">
        <v>564</v>
      </c>
      <c r="C105" t="s">
        <v>509</v>
      </c>
      <c r="D105" t="s">
        <v>1860</v>
      </c>
      <c r="E105" t="s">
        <v>4036</v>
      </c>
      <c r="H105" t="s">
        <v>1115</v>
      </c>
      <c r="J105" t="s">
        <v>562</v>
      </c>
      <c r="K105" t="s">
        <v>563</v>
      </c>
      <c r="L105" t="s">
        <v>629</v>
      </c>
      <c r="M105" t="s">
        <v>512</v>
      </c>
      <c r="O105" t="s">
        <v>513</v>
      </c>
      <c r="P105" t="s">
        <v>567</v>
      </c>
      <c r="Q105" t="s">
        <v>1015</v>
      </c>
      <c r="R105" t="s">
        <v>1016</v>
      </c>
      <c r="S105" t="s">
        <v>4073</v>
      </c>
      <c r="T105" t="s">
        <v>633</v>
      </c>
      <c r="U105" t="s">
        <v>634</v>
      </c>
      <c r="V105" t="s">
        <v>1862</v>
      </c>
      <c r="W105" t="s">
        <v>1460</v>
      </c>
      <c r="X105" t="s">
        <v>1863</v>
      </c>
      <c r="Y105" t="s">
        <v>1864</v>
      </c>
      <c r="Z105" t="s">
        <v>650</v>
      </c>
      <c r="AA105" t="s">
        <v>4038</v>
      </c>
      <c r="AB105" t="s">
        <v>4479</v>
      </c>
      <c r="AC105">
        <v>9</v>
      </c>
      <c r="AD105" t="s">
        <v>1859</v>
      </c>
      <c r="AE105">
        <v>5</v>
      </c>
      <c r="AF105">
        <v>3850</v>
      </c>
      <c r="AG105" t="s">
        <v>4223</v>
      </c>
      <c r="AH105">
        <v>1</v>
      </c>
      <c r="AI105" t="s">
        <v>4041</v>
      </c>
      <c r="AK105" t="s">
        <v>4224</v>
      </c>
      <c r="AL105">
        <v>1</v>
      </c>
      <c r="AM105" t="s">
        <v>582</v>
      </c>
      <c r="AO105" t="s">
        <v>4043</v>
      </c>
      <c r="AP105">
        <v>1</v>
      </c>
      <c r="AR105" t="s">
        <v>4480</v>
      </c>
      <c r="AS105">
        <v>1</v>
      </c>
      <c r="AT105">
        <v>52</v>
      </c>
      <c r="AV105" t="s">
        <v>4045</v>
      </c>
      <c r="AW105">
        <v>6.4</v>
      </c>
      <c r="AX105">
        <v>-6</v>
      </c>
      <c r="AY105">
        <v>95</v>
      </c>
      <c r="AZ105">
        <v>78</v>
      </c>
      <c r="BH105">
        <v>95</v>
      </c>
      <c r="BI105">
        <v>17</v>
      </c>
      <c r="BJ105">
        <v>78</v>
      </c>
      <c r="BK105">
        <v>2.5</v>
      </c>
      <c r="BL105">
        <v>190</v>
      </c>
      <c r="BM105">
        <v>-6</v>
      </c>
      <c r="BN105">
        <v>0</v>
      </c>
      <c r="BP105">
        <v>0</v>
      </c>
      <c r="BR105">
        <v>185</v>
      </c>
      <c r="BS105">
        <v>175</v>
      </c>
      <c r="BT105">
        <v>1860</v>
      </c>
      <c r="BU105" t="s">
        <v>4046</v>
      </c>
      <c r="BV105" t="s">
        <v>4047</v>
      </c>
      <c r="BW105" t="s">
        <v>4048</v>
      </c>
      <c r="BX105" t="s">
        <v>4049</v>
      </c>
      <c r="BY105" t="s">
        <v>4150</v>
      </c>
      <c r="BZ105" t="s">
        <v>4150</v>
      </c>
      <c r="CA105" t="s">
        <v>4108</v>
      </c>
      <c r="CB105" t="s">
        <v>4109</v>
      </c>
      <c r="CC105" t="s">
        <v>4053</v>
      </c>
      <c r="CD105" t="s">
        <v>4110</v>
      </c>
      <c r="CE105" t="s">
        <v>4055</v>
      </c>
      <c r="CF105" t="s">
        <v>4055</v>
      </c>
      <c r="CG105" t="s">
        <v>4056</v>
      </c>
      <c r="CH105" t="s">
        <v>4057</v>
      </c>
      <c r="CI105" t="s">
        <v>4058</v>
      </c>
      <c r="CJ105" t="s">
        <v>4059</v>
      </c>
      <c r="CK105" t="s">
        <v>4060</v>
      </c>
      <c r="CL105" t="s">
        <v>4061</v>
      </c>
      <c r="CM105" t="s">
        <v>4062</v>
      </c>
      <c r="CN105" t="s">
        <v>4055</v>
      </c>
      <c r="CO105" t="s">
        <v>4063</v>
      </c>
      <c r="CP105" t="s">
        <v>4055</v>
      </c>
      <c r="CQ105" t="s">
        <v>4055</v>
      </c>
      <c r="CR105">
        <v>5</v>
      </c>
      <c r="CS105" t="s">
        <v>4055</v>
      </c>
      <c r="CT105" t="s">
        <v>4055</v>
      </c>
      <c r="CU105" t="s">
        <v>4055</v>
      </c>
      <c r="CV105">
        <v>123</v>
      </c>
      <c r="CW105">
        <v>3</v>
      </c>
      <c r="CX105">
        <v>102</v>
      </c>
      <c r="CY105">
        <v>5</v>
      </c>
      <c r="CZ105">
        <v>130</v>
      </c>
      <c r="DA105">
        <v>5</v>
      </c>
      <c r="DB105">
        <v>8860</v>
      </c>
      <c r="DC105">
        <v>260</v>
      </c>
      <c r="DD105">
        <v>285</v>
      </c>
      <c r="DE105">
        <v>1945</v>
      </c>
      <c r="DF105">
        <v>1945</v>
      </c>
      <c r="DG105">
        <v>1975</v>
      </c>
      <c r="DH105" t="s">
        <v>4055</v>
      </c>
      <c r="DI105" t="s">
        <v>4055</v>
      </c>
      <c r="DJ105" t="s">
        <v>4100</v>
      </c>
      <c r="DK105">
        <v>185</v>
      </c>
      <c r="DL105" t="s">
        <v>4101</v>
      </c>
      <c r="DM105">
        <v>65</v>
      </c>
      <c r="DN105">
        <v>0.84</v>
      </c>
      <c r="DO105">
        <v>1</v>
      </c>
      <c r="DP105">
        <v>1863</v>
      </c>
      <c r="DQ105">
        <v>630</v>
      </c>
      <c r="DR105" t="s">
        <v>4100</v>
      </c>
      <c r="DS105">
        <v>175</v>
      </c>
      <c r="DT105" t="s">
        <v>4101</v>
      </c>
      <c r="DU105">
        <v>65</v>
      </c>
      <c r="DV105">
        <v>0.84</v>
      </c>
      <c r="DW105">
        <v>1</v>
      </c>
      <c r="DX105">
        <v>1870</v>
      </c>
      <c r="DY105">
        <v>598</v>
      </c>
      <c r="DZ105" t="s">
        <v>4066</v>
      </c>
      <c r="EA105">
        <v>33</v>
      </c>
      <c r="EB105" t="s">
        <v>4065</v>
      </c>
      <c r="EC105">
        <v>0.4</v>
      </c>
      <c r="ED105">
        <v>1863</v>
      </c>
      <c r="EE105">
        <v>54</v>
      </c>
      <c r="EF105" t="s">
        <v>4066</v>
      </c>
      <c r="EG105">
        <v>33</v>
      </c>
      <c r="EH105" t="s">
        <v>4065</v>
      </c>
      <c r="EI105">
        <v>0.4</v>
      </c>
      <c r="EJ105">
        <v>1870</v>
      </c>
      <c r="EK105">
        <v>54</v>
      </c>
      <c r="EL105" t="s">
        <v>1528</v>
      </c>
      <c r="EM105">
        <v>12</v>
      </c>
      <c r="EN105">
        <v>0.5</v>
      </c>
      <c r="EO105">
        <v>0.96</v>
      </c>
      <c r="EP105">
        <v>1870.56</v>
      </c>
      <c r="EQ105">
        <v>29519.78</v>
      </c>
      <c r="ER105">
        <v>4984.7</v>
      </c>
      <c r="ES105">
        <v>0</v>
      </c>
      <c r="ET105">
        <v>0</v>
      </c>
      <c r="EU105">
        <v>1</v>
      </c>
      <c r="EV105">
        <v>34505</v>
      </c>
      <c r="EW105">
        <v>415</v>
      </c>
      <c r="EX105" t="s">
        <v>4363</v>
      </c>
      <c r="EY105">
        <v>204</v>
      </c>
      <c r="EZ105" t="s">
        <v>4055</v>
      </c>
      <c r="FA105">
        <v>3.3</v>
      </c>
      <c r="FB105">
        <v>1</v>
      </c>
      <c r="FC105">
        <v>1</v>
      </c>
      <c r="FD105">
        <v>1894</v>
      </c>
      <c r="FE105">
        <v>2302</v>
      </c>
      <c r="FF105" t="s">
        <v>4089</v>
      </c>
      <c r="FG105">
        <v>204</v>
      </c>
      <c r="FH105" t="s">
        <v>4055</v>
      </c>
      <c r="FI105">
        <v>1.6</v>
      </c>
      <c r="FJ105">
        <v>1894</v>
      </c>
      <c r="FK105">
        <v>616</v>
      </c>
      <c r="FL105" t="s">
        <v>4069</v>
      </c>
      <c r="FM105" t="s">
        <v>4055</v>
      </c>
      <c r="FN105" t="s">
        <v>4055</v>
      </c>
      <c r="FO105" t="s">
        <v>4055</v>
      </c>
      <c r="FP105">
        <v>1894</v>
      </c>
      <c r="FQ105">
        <v>149</v>
      </c>
      <c r="FR105" t="s">
        <v>4090</v>
      </c>
      <c r="FS105">
        <v>208</v>
      </c>
      <c r="FT105" t="s">
        <v>4055</v>
      </c>
      <c r="FU105">
        <v>0.4</v>
      </c>
      <c r="FV105">
        <v>1894</v>
      </c>
      <c r="FW105">
        <v>175</v>
      </c>
      <c r="FX105" t="s">
        <v>4070</v>
      </c>
      <c r="FY105">
        <v>10</v>
      </c>
      <c r="FZ105" t="s">
        <v>4055</v>
      </c>
      <c r="GA105" t="s">
        <v>4055</v>
      </c>
      <c r="GB105">
        <v>1894</v>
      </c>
      <c r="GC105">
        <v>16</v>
      </c>
      <c r="GD105">
        <v>3258</v>
      </c>
      <c r="GE105" t="s">
        <v>4480</v>
      </c>
      <c r="GF105" t="s">
        <v>4055</v>
      </c>
      <c r="GG105" t="s">
        <v>4055</v>
      </c>
      <c r="GH105" t="s">
        <v>4055</v>
      </c>
      <c r="GI105" t="s">
        <v>4071</v>
      </c>
      <c r="GJ105" t="s">
        <v>4055</v>
      </c>
      <c r="GK105" t="s">
        <v>4055</v>
      </c>
      <c r="GL105" t="s">
        <v>4055</v>
      </c>
      <c r="GM105" t="s">
        <v>4055</v>
      </c>
      <c r="GQ105">
        <v>0</v>
      </c>
      <c r="GV105">
        <v>5.3</v>
      </c>
      <c r="GW105">
        <v>9</v>
      </c>
      <c r="GX105">
        <v>0.5</v>
      </c>
      <c r="GY105">
        <v>172</v>
      </c>
      <c r="GZ105">
        <v>3</v>
      </c>
      <c r="HA105">
        <v>224</v>
      </c>
      <c r="HB105">
        <v>3</v>
      </c>
      <c r="HC105">
        <v>1894</v>
      </c>
      <c r="HD105">
        <v>4</v>
      </c>
      <c r="HE105" t="s">
        <v>4071</v>
      </c>
      <c r="HG105" t="s">
        <v>549</v>
      </c>
      <c r="HL105">
        <v>4</v>
      </c>
      <c r="HM105">
        <v>17</v>
      </c>
      <c r="HN105">
        <v>1</v>
      </c>
      <c r="HO105">
        <v>1</v>
      </c>
      <c r="HP105">
        <v>0</v>
      </c>
      <c r="HQ105">
        <v>0</v>
      </c>
      <c r="HR105">
        <v>3</v>
      </c>
      <c r="HS105">
        <v>1860</v>
      </c>
      <c r="HT105">
        <v>5</v>
      </c>
      <c r="HU105">
        <v>1</v>
      </c>
      <c r="HV105">
        <v>3</v>
      </c>
      <c r="HW105">
        <v>0</v>
      </c>
      <c r="HX105">
        <v>1</v>
      </c>
      <c r="HY105">
        <v>0</v>
      </c>
      <c r="HZ105">
        <v>65</v>
      </c>
      <c r="IA105">
        <v>1863</v>
      </c>
      <c r="IB105">
        <v>1870</v>
      </c>
      <c r="ID105">
        <v>1894</v>
      </c>
      <c r="IE105">
        <v>1894</v>
      </c>
      <c r="IF105">
        <v>185</v>
      </c>
      <c r="IG105">
        <v>175</v>
      </c>
      <c r="IH105">
        <v>224</v>
      </c>
      <c r="II105">
        <v>1</v>
      </c>
      <c r="IJ105">
        <v>5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180</v>
      </c>
      <c r="IQ105">
        <v>0</v>
      </c>
      <c r="IR105">
        <v>330</v>
      </c>
      <c r="IS105">
        <v>0</v>
      </c>
      <c r="IT105">
        <v>90</v>
      </c>
      <c r="IU105">
        <v>0</v>
      </c>
      <c r="IV105">
        <v>6.4</v>
      </c>
      <c r="IW105">
        <v>-6</v>
      </c>
      <c r="IX105">
        <v>95</v>
      </c>
      <c r="IY105">
        <v>78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334</v>
      </c>
      <c r="JJ105">
        <v>304</v>
      </c>
      <c r="JK105">
        <v>234</v>
      </c>
      <c r="JL105">
        <v>300</v>
      </c>
      <c r="JM105">
        <v>228</v>
      </c>
      <c r="JN105">
        <v>185</v>
      </c>
      <c r="JO105">
        <v>234</v>
      </c>
      <c r="JP105">
        <v>220</v>
      </c>
      <c r="JQ105">
        <v>260</v>
      </c>
      <c r="JR105">
        <v>325</v>
      </c>
      <c r="JS105">
        <v>290</v>
      </c>
      <c r="JT105">
        <v>0</v>
      </c>
      <c r="JU105">
        <v>0</v>
      </c>
      <c r="JV105">
        <v>324</v>
      </c>
      <c r="JW105">
        <v>337</v>
      </c>
      <c r="JX105">
        <v>320</v>
      </c>
      <c r="JY105">
        <v>300</v>
      </c>
      <c r="JZ105">
        <v>2.5</v>
      </c>
      <c r="KA105">
        <v>0.2</v>
      </c>
      <c r="KB105">
        <v>0.4</v>
      </c>
      <c r="KC105">
        <v>0.42</v>
      </c>
      <c r="KD105">
        <v>0.28</v>
      </c>
      <c r="KE105">
        <v>0.6</v>
      </c>
      <c r="KF105">
        <v>0.17</v>
      </c>
      <c r="KG105">
        <v>0.1</v>
      </c>
      <c r="KH105">
        <v>3.5</v>
      </c>
      <c r="KI105">
        <v>1</v>
      </c>
      <c r="KJ105">
        <v>4.5</v>
      </c>
      <c r="KK105">
        <v>0</v>
      </c>
      <c r="KL105">
        <v>4</v>
      </c>
      <c r="KM105">
        <v>3</v>
      </c>
      <c r="KN105">
        <v>1</v>
      </c>
      <c r="KO105">
        <v>0</v>
      </c>
      <c r="KP105">
        <v>0</v>
      </c>
      <c r="KQ105">
        <v>0.8</v>
      </c>
      <c r="KR105">
        <v>0.5</v>
      </c>
      <c r="KS105">
        <v>0</v>
      </c>
      <c r="KT105">
        <v>2</v>
      </c>
      <c r="KU105">
        <v>0</v>
      </c>
      <c r="KV105">
        <v>0</v>
      </c>
      <c r="KW105">
        <v>1.2</v>
      </c>
      <c r="KX105">
        <v>1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3</v>
      </c>
      <c r="LI105">
        <v>1</v>
      </c>
      <c r="LJ105">
        <v>0</v>
      </c>
      <c r="LK105">
        <v>4</v>
      </c>
      <c r="LL105">
        <v>5</v>
      </c>
      <c r="LM105">
        <v>6</v>
      </c>
      <c r="LN105">
        <v>0.5</v>
      </c>
      <c r="LO105">
        <v>0.1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2.5</v>
      </c>
      <c r="LX105">
        <v>2.5</v>
      </c>
      <c r="LY105">
        <v>2.3</v>
      </c>
      <c r="LZ105">
        <v>2.3</v>
      </c>
      <c r="MA105">
        <v>0</v>
      </c>
      <c r="MB105">
        <v>4.5</v>
      </c>
      <c r="MC105">
        <v>0</v>
      </c>
      <c r="MD105">
        <v>4.5</v>
      </c>
      <c r="ME105">
        <v>6</v>
      </c>
      <c r="MF105">
        <v>6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390</v>
      </c>
      <c r="MN105">
        <v>185</v>
      </c>
      <c r="MO105">
        <v>234</v>
      </c>
      <c r="NU105">
        <v>0.15</v>
      </c>
      <c r="NV105">
        <v>0.2</v>
      </c>
      <c r="NW105">
        <v>0.2</v>
      </c>
      <c r="NX105">
        <v>2</v>
      </c>
      <c r="NY105">
        <v>2</v>
      </c>
      <c r="NZ105">
        <v>2</v>
      </c>
      <c r="OE105" t="s">
        <v>4480</v>
      </c>
      <c r="OF105" t="s">
        <v>4223</v>
      </c>
      <c r="OG105" t="s">
        <v>4224</v>
      </c>
      <c r="OH105" t="s">
        <v>4043</v>
      </c>
      <c r="OI105" t="s">
        <v>4480</v>
      </c>
      <c r="OJ105" t="s">
        <v>4479</v>
      </c>
      <c r="OK105">
        <v>61</v>
      </c>
      <c r="OL105">
        <v>61</v>
      </c>
      <c r="OM105" t="s">
        <v>4223</v>
      </c>
      <c r="ON105">
        <v>3</v>
      </c>
      <c r="OO105">
        <v>1863</v>
      </c>
      <c r="OP105">
        <v>61</v>
      </c>
      <c r="OQ105">
        <v>61</v>
      </c>
      <c r="OR105" t="s">
        <v>4224</v>
      </c>
      <c r="OS105">
        <v>3</v>
      </c>
      <c r="OT105">
        <v>1870</v>
      </c>
      <c r="OU105">
        <v>65</v>
      </c>
      <c r="OV105">
        <v>65</v>
      </c>
      <c r="OW105" t="s">
        <v>4043</v>
      </c>
      <c r="OX105">
        <v>1</v>
      </c>
      <c r="OY105">
        <v>34505</v>
      </c>
      <c r="OZ105">
        <v>51</v>
      </c>
      <c r="PA105">
        <v>52</v>
      </c>
      <c r="PB105" t="s">
        <v>4480</v>
      </c>
      <c r="PC105">
        <v>1</v>
      </c>
      <c r="PD105">
        <v>1894</v>
      </c>
      <c r="PF105">
        <v>338</v>
      </c>
      <c r="PG105">
        <v>29</v>
      </c>
      <c r="PH105">
        <v>320</v>
      </c>
      <c r="PI105">
        <v>29</v>
      </c>
      <c r="PJ105">
        <v>78.7</v>
      </c>
      <c r="PK105">
        <v>1712</v>
      </c>
      <c r="PL105">
        <v>1215.6</v>
      </c>
      <c r="PM105">
        <v>325.2</v>
      </c>
      <c r="PN105">
        <v>92.5</v>
      </c>
      <c r="PO105">
        <v>8.5</v>
      </c>
      <c r="PP105">
        <v>12</v>
      </c>
      <c r="PQ105">
        <v>2</v>
      </c>
      <c r="PR105">
        <v>1</v>
      </c>
      <c r="PS105">
        <v>7</v>
      </c>
      <c r="PT105">
        <v>224</v>
      </c>
      <c r="PU105">
        <v>10</v>
      </c>
      <c r="PV105" t="s">
        <v>4072</v>
      </c>
      <c r="PW105" t="s">
        <v>4072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-1</v>
      </c>
      <c r="QF105">
        <v>1</v>
      </c>
      <c r="QG105">
        <v>0</v>
      </c>
      <c r="QH105">
        <v>5</v>
      </c>
      <c r="QI105">
        <v>5</v>
      </c>
      <c r="QJ105">
        <v>5</v>
      </c>
      <c r="QK105">
        <v>162</v>
      </c>
      <c r="QL105">
        <v>368</v>
      </c>
      <c r="QM105">
        <v>7.5</v>
      </c>
      <c r="QN105">
        <v>1381.4</v>
      </c>
      <c r="QO105" t="s">
        <v>1477</v>
      </c>
      <c r="QP105" t="s">
        <v>513</v>
      </c>
      <c r="QQ105">
        <v>0</v>
      </c>
      <c r="QR105" t="s">
        <v>649</v>
      </c>
      <c r="QS105">
        <v>30</v>
      </c>
      <c r="QT105">
        <v>40</v>
      </c>
    </row>
    <row r="106" spans="1:462">
      <c r="A106" t="s">
        <v>1869</v>
      </c>
      <c r="B106" t="s">
        <v>629</v>
      </c>
      <c r="C106" t="s">
        <v>509</v>
      </c>
      <c r="D106" t="s">
        <v>1860</v>
      </c>
      <c r="E106" t="s">
        <v>4036</v>
      </c>
      <c r="H106" t="s">
        <v>1294</v>
      </c>
      <c r="J106" t="s">
        <v>562</v>
      </c>
      <c r="K106" t="s">
        <v>563</v>
      </c>
      <c r="L106" t="s">
        <v>711</v>
      </c>
      <c r="M106" t="s">
        <v>512</v>
      </c>
      <c r="O106" t="s">
        <v>513</v>
      </c>
      <c r="P106" t="s">
        <v>567</v>
      </c>
      <c r="Q106" t="s">
        <v>819</v>
      </c>
      <c r="R106" t="s">
        <v>820</v>
      </c>
      <c r="S106" t="s">
        <v>4170</v>
      </c>
      <c r="T106" t="s">
        <v>633</v>
      </c>
      <c r="U106" t="s">
        <v>634</v>
      </c>
      <c r="V106" t="s">
        <v>1870</v>
      </c>
      <c r="W106" t="s">
        <v>1460</v>
      </c>
      <c r="X106" t="s">
        <v>1871</v>
      </c>
      <c r="Y106" t="s">
        <v>1872</v>
      </c>
      <c r="Z106" t="s">
        <v>541</v>
      </c>
      <c r="AA106" t="s">
        <v>4038</v>
      </c>
      <c r="AB106" t="s">
        <v>4481</v>
      </c>
      <c r="AC106">
        <v>9</v>
      </c>
      <c r="AD106" t="s">
        <v>1868</v>
      </c>
      <c r="AE106">
        <v>4</v>
      </c>
      <c r="AF106">
        <v>4950</v>
      </c>
      <c r="AG106" t="s">
        <v>4449</v>
      </c>
      <c r="AH106">
        <v>1</v>
      </c>
      <c r="AI106" t="s">
        <v>4041</v>
      </c>
      <c r="AK106" t="s">
        <v>4450</v>
      </c>
      <c r="AL106">
        <v>1</v>
      </c>
      <c r="AM106" t="s">
        <v>582</v>
      </c>
      <c r="AO106" t="s">
        <v>4043</v>
      </c>
      <c r="AP106">
        <v>1</v>
      </c>
      <c r="AR106" t="s">
        <v>4482</v>
      </c>
      <c r="AS106">
        <v>1</v>
      </c>
      <c r="AT106">
        <v>51</v>
      </c>
      <c r="AV106" t="s">
        <v>4045</v>
      </c>
      <c r="AW106">
        <v>6.4</v>
      </c>
      <c r="AX106">
        <v>-6</v>
      </c>
      <c r="AY106">
        <v>95</v>
      </c>
      <c r="AZ106">
        <v>86</v>
      </c>
      <c r="BH106">
        <v>95</v>
      </c>
      <c r="BI106">
        <v>9</v>
      </c>
      <c r="BJ106">
        <v>86</v>
      </c>
      <c r="BK106">
        <v>2.5</v>
      </c>
      <c r="BL106">
        <v>190</v>
      </c>
      <c r="BM106">
        <v>-6</v>
      </c>
      <c r="BN106">
        <v>0</v>
      </c>
      <c r="BP106">
        <v>0</v>
      </c>
      <c r="BR106">
        <v>185</v>
      </c>
      <c r="BS106">
        <v>175</v>
      </c>
      <c r="BT106">
        <v>2015</v>
      </c>
      <c r="BU106" t="s">
        <v>4096</v>
      </c>
      <c r="BV106" t="s">
        <v>4096</v>
      </c>
      <c r="BW106" t="s">
        <v>4097</v>
      </c>
      <c r="BX106" t="s">
        <v>4097</v>
      </c>
      <c r="BY106" t="s">
        <v>4107</v>
      </c>
      <c r="BZ106" t="s">
        <v>4173</v>
      </c>
      <c r="CA106" t="s">
        <v>4108</v>
      </c>
      <c r="CB106" t="s">
        <v>4109</v>
      </c>
      <c r="CC106" t="s">
        <v>4053</v>
      </c>
      <c r="CD106" t="s">
        <v>4110</v>
      </c>
      <c r="CE106" t="s">
        <v>4055</v>
      </c>
      <c r="CF106" t="s">
        <v>4055</v>
      </c>
      <c r="CG106" t="s">
        <v>4056</v>
      </c>
      <c r="CI106" t="s">
        <v>4058</v>
      </c>
      <c r="CJ106" t="s">
        <v>4059</v>
      </c>
      <c r="CK106" t="s">
        <v>4060</v>
      </c>
      <c r="CL106" t="s">
        <v>4061</v>
      </c>
      <c r="CM106" t="s">
        <v>4062</v>
      </c>
      <c r="CN106" t="s">
        <v>4055</v>
      </c>
      <c r="CO106" t="s">
        <v>4063</v>
      </c>
      <c r="CP106" t="s">
        <v>4055</v>
      </c>
      <c r="CQ106" t="s">
        <v>4055</v>
      </c>
      <c r="CR106">
        <v>5</v>
      </c>
      <c r="CS106" t="s">
        <v>4055</v>
      </c>
      <c r="CT106" t="s">
        <v>4055</v>
      </c>
      <c r="CU106" t="s">
        <v>4055</v>
      </c>
      <c r="CV106">
        <v>121</v>
      </c>
      <c r="CW106">
        <v>3</v>
      </c>
      <c r="CX106">
        <v>78</v>
      </c>
      <c r="CY106">
        <v>5</v>
      </c>
      <c r="CZ106">
        <v>138</v>
      </c>
      <c r="DA106">
        <v>5</v>
      </c>
      <c r="DB106">
        <v>10600</v>
      </c>
      <c r="DC106">
        <v>340</v>
      </c>
      <c r="DD106">
        <v>332</v>
      </c>
      <c r="DE106">
        <v>2120</v>
      </c>
      <c r="DF106">
        <v>2120</v>
      </c>
      <c r="DG106">
        <v>2140</v>
      </c>
      <c r="DH106" t="s">
        <v>4055</v>
      </c>
      <c r="DI106" t="s">
        <v>4055</v>
      </c>
      <c r="DJ106" t="s">
        <v>4064</v>
      </c>
      <c r="DK106">
        <v>185</v>
      </c>
      <c r="DL106" t="s">
        <v>4065</v>
      </c>
      <c r="DM106">
        <v>65</v>
      </c>
      <c r="DN106">
        <v>1.2</v>
      </c>
      <c r="DO106">
        <v>1</v>
      </c>
      <c r="DP106">
        <v>2019</v>
      </c>
      <c r="DQ106">
        <v>858</v>
      </c>
      <c r="DR106" t="s">
        <v>4064</v>
      </c>
      <c r="DS106">
        <v>175</v>
      </c>
      <c r="DT106" t="s">
        <v>4065</v>
      </c>
      <c r="DU106">
        <v>65</v>
      </c>
      <c r="DV106">
        <v>1.2</v>
      </c>
      <c r="DW106">
        <v>1</v>
      </c>
      <c r="DX106">
        <v>2031</v>
      </c>
      <c r="DY106">
        <v>816</v>
      </c>
      <c r="DZ106" t="s">
        <v>4066</v>
      </c>
      <c r="EA106">
        <v>20</v>
      </c>
      <c r="EB106" t="s">
        <v>4065</v>
      </c>
      <c r="EC106">
        <v>0.8</v>
      </c>
      <c r="ED106">
        <v>2019</v>
      </c>
      <c r="EE106">
        <v>71</v>
      </c>
      <c r="EG106">
        <v>0</v>
      </c>
      <c r="EH106" t="s">
        <v>4065</v>
      </c>
      <c r="EI106">
        <v>0</v>
      </c>
      <c r="EL106" t="s">
        <v>1528</v>
      </c>
      <c r="EM106">
        <v>12</v>
      </c>
      <c r="EN106">
        <v>0.5</v>
      </c>
      <c r="EO106">
        <v>0.96</v>
      </c>
      <c r="EP106">
        <v>2030.08</v>
      </c>
      <c r="EQ106">
        <v>32037.2</v>
      </c>
      <c r="ER106">
        <v>2863.28</v>
      </c>
      <c r="ES106">
        <v>0</v>
      </c>
      <c r="ET106">
        <v>0</v>
      </c>
      <c r="EU106">
        <v>1</v>
      </c>
      <c r="EV106">
        <v>34901</v>
      </c>
      <c r="EW106">
        <v>419</v>
      </c>
      <c r="EX106" t="s">
        <v>4363</v>
      </c>
      <c r="EY106">
        <v>210</v>
      </c>
      <c r="EZ106" t="s">
        <v>4055</v>
      </c>
      <c r="FA106">
        <v>5.6</v>
      </c>
      <c r="FB106">
        <v>1</v>
      </c>
      <c r="FC106">
        <v>1</v>
      </c>
      <c r="FD106">
        <v>2059</v>
      </c>
      <c r="FE106">
        <v>2645</v>
      </c>
      <c r="FF106" t="s">
        <v>4089</v>
      </c>
      <c r="FG106">
        <v>210</v>
      </c>
      <c r="FH106" t="s">
        <v>4055</v>
      </c>
      <c r="FI106">
        <v>1.2</v>
      </c>
      <c r="FJ106">
        <v>2059</v>
      </c>
      <c r="FK106">
        <v>510</v>
      </c>
      <c r="FL106" t="s">
        <v>4069</v>
      </c>
      <c r="FM106" t="s">
        <v>4055</v>
      </c>
      <c r="FN106" t="s">
        <v>4055</v>
      </c>
      <c r="FO106" t="s">
        <v>4055</v>
      </c>
      <c r="FP106">
        <v>2059</v>
      </c>
      <c r="FQ106">
        <v>116</v>
      </c>
      <c r="FR106" t="s">
        <v>4090</v>
      </c>
      <c r="FS106">
        <v>212</v>
      </c>
      <c r="FT106" t="s">
        <v>4055</v>
      </c>
      <c r="FU106">
        <v>0.4</v>
      </c>
      <c r="FV106">
        <v>2059</v>
      </c>
      <c r="FW106">
        <v>196</v>
      </c>
      <c r="FX106" t="s">
        <v>4070</v>
      </c>
      <c r="FY106">
        <v>5</v>
      </c>
      <c r="FZ106" t="s">
        <v>4055</v>
      </c>
      <c r="GA106" t="s">
        <v>4055</v>
      </c>
      <c r="GB106">
        <v>2059</v>
      </c>
      <c r="GC106">
        <v>17</v>
      </c>
      <c r="GD106">
        <v>3484</v>
      </c>
      <c r="GE106" t="s">
        <v>4482</v>
      </c>
      <c r="GF106" t="s">
        <v>4055</v>
      </c>
      <c r="GG106" t="s">
        <v>4055</v>
      </c>
      <c r="GH106" t="s">
        <v>4055</v>
      </c>
      <c r="GI106" t="s">
        <v>4071</v>
      </c>
      <c r="GJ106" t="s">
        <v>4055</v>
      </c>
      <c r="GK106" t="s">
        <v>4055</v>
      </c>
      <c r="GL106" t="s">
        <v>4055</v>
      </c>
      <c r="GM106" t="s">
        <v>4055</v>
      </c>
      <c r="GQ106">
        <v>0</v>
      </c>
      <c r="GV106">
        <v>7.2</v>
      </c>
      <c r="GW106">
        <v>9</v>
      </c>
      <c r="GX106">
        <v>0.5</v>
      </c>
      <c r="GY106">
        <v>154</v>
      </c>
      <c r="GZ106">
        <v>3</v>
      </c>
      <c r="HA106">
        <v>228</v>
      </c>
      <c r="HB106">
        <v>3</v>
      </c>
      <c r="HC106">
        <v>2059</v>
      </c>
      <c r="HD106">
        <v>4</v>
      </c>
      <c r="HE106" t="s">
        <v>4071</v>
      </c>
      <c r="HG106" t="s">
        <v>549</v>
      </c>
      <c r="HL106">
        <v>4</v>
      </c>
      <c r="HM106">
        <v>17</v>
      </c>
      <c r="HN106">
        <v>6</v>
      </c>
      <c r="HO106">
        <v>1</v>
      </c>
      <c r="HP106">
        <v>0</v>
      </c>
      <c r="HQ106">
        <v>0</v>
      </c>
      <c r="HR106">
        <v>3</v>
      </c>
      <c r="HS106">
        <v>2015</v>
      </c>
      <c r="HT106">
        <v>5</v>
      </c>
      <c r="HU106">
        <v>1</v>
      </c>
      <c r="HV106">
        <v>3</v>
      </c>
      <c r="HW106">
        <v>0</v>
      </c>
      <c r="HX106">
        <v>1</v>
      </c>
      <c r="HY106">
        <v>0</v>
      </c>
      <c r="HZ106">
        <v>65</v>
      </c>
      <c r="IA106">
        <v>2019</v>
      </c>
      <c r="IB106">
        <v>2031</v>
      </c>
      <c r="ID106">
        <v>2059</v>
      </c>
      <c r="IE106">
        <v>2059</v>
      </c>
      <c r="IF106">
        <v>185</v>
      </c>
      <c r="IG106">
        <v>175</v>
      </c>
      <c r="IH106">
        <v>228</v>
      </c>
      <c r="II106">
        <v>1</v>
      </c>
      <c r="IJ106">
        <v>5</v>
      </c>
      <c r="IK106">
        <v>0</v>
      </c>
      <c r="IL106">
        <v>0</v>
      </c>
      <c r="IM106">
        <v>0</v>
      </c>
      <c r="IN106">
        <v>270</v>
      </c>
      <c r="IO106">
        <v>0</v>
      </c>
      <c r="IP106">
        <v>180</v>
      </c>
      <c r="IQ106">
        <v>0</v>
      </c>
      <c r="IR106">
        <v>330</v>
      </c>
      <c r="IS106">
        <v>0</v>
      </c>
      <c r="IT106">
        <v>90</v>
      </c>
      <c r="IU106">
        <v>0</v>
      </c>
      <c r="IV106">
        <v>6.4</v>
      </c>
      <c r="IW106">
        <v>-6</v>
      </c>
      <c r="IX106">
        <v>95</v>
      </c>
      <c r="IY106">
        <v>86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380</v>
      </c>
      <c r="JJ106">
        <v>350</v>
      </c>
      <c r="JK106">
        <v>263</v>
      </c>
      <c r="JL106">
        <v>348</v>
      </c>
      <c r="JM106">
        <v>280</v>
      </c>
      <c r="JN106">
        <v>185</v>
      </c>
      <c r="JO106">
        <v>238</v>
      </c>
      <c r="JP106">
        <v>195</v>
      </c>
      <c r="JQ106">
        <v>245</v>
      </c>
      <c r="JR106">
        <v>336</v>
      </c>
      <c r="JS106">
        <v>235</v>
      </c>
      <c r="JT106">
        <v>0</v>
      </c>
      <c r="JU106">
        <v>0</v>
      </c>
      <c r="JV106">
        <v>335</v>
      </c>
      <c r="JW106">
        <v>337</v>
      </c>
      <c r="JX106">
        <v>320</v>
      </c>
      <c r="JY106">
        <v>300</v>
      </c>
      <c r="JZ106">
        <v>1</v>
      </c>
      <c r="KA106">
        <v>0.2</v>
      </c>
      <c r="KB106">
        <v>0.4</v>
      </c>
      <c r="KC106">
        <v>0.42</v>
      </c>
      <c r="KD106">
        <v>0.28</v>
      </c>
      <c r="KE106">
        <v>0.5</v>
      </c>
      <c r="KF106">
        <v>0.19</v>
      </c>
      <c r="KG106">
        <v>0.11</v>
      </c>
      <c r="KH106">
        <v>3.5</v>
      </c>
      <c r="KI106">
        <v>1</v>
      </c>
      <c r="KJ106">
        <v>4.5</v>
      </c>
      <c r="KK106">
        <v>0</v>
      </c>
      <c r="KL106">
        <v>4.5</v>
      </c>
      <c r="KM106">
        <v>0</v>
      </c>
      <c r="KN106">
        <v>1.3</v>
      </c>
      <c r="KO106">
        <v>0</v>
      </c>
      <c r="KP106">
        <v>0</v>
      </c>
      <c r="KQ106">
        <v>0.8</v>
      </c>
      <c r="KR106">
        <v>1</v>
      </c>
      <c r="KS106">
        <v>0</v>
      </c>
      <c r="KT106">
        <v>1.8</v>
      </c>
      <c r="KU106">
        <v>0</v>
      </c>
      <c r="KV106">
        <v>0</v>
      </c>
      <c r="KW106">
        <v>0.8</v>
      </c>
      <c r="KX106">
        <v>0.8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3</v>
      </c>
      <c r="LI106">
        <v>3</v>
      </c>
      <c r="LJ106">
        <v>0</v>
      </c>
      <c r="LK106">
        <v>4.5</v>
      </c>
      <c r="LL106">
        <v>6</v>
      </c>
      <c r="LM106">
        <v>7.5</v>
      </c>
      <c r="LN106">
        <v>0.1</v>
      </c>
      <c r="LO106">
        <v>0.1</v>
      </c>
      <c r="LP106">
        <v>0</v>
      </c>
      <c r="LQ106">
        <v>0</v>
      </c>
      <c r="LR106">
        <v>0</v>
      </c>
      <c r="LS106">
        <v>1</v>
      </c>
      <c r="LT106">
        <v>0</v>
      </c>
      <c r="LU106">
        <v>0</v>
      </c>
      <c r="LV106">
        <v>0</v>
      </c>
      <c r="LW106">
        <v>2.1</v>
      </c>
      <c r="LX106">
        <v>2.1</v>
      </c>
      <c r="LY106">
        <v>2.1</v>
      </c>
      <c r="LZ106">
        <v>2.1</v>
      </c>
      <c r="MA106">
        <v>0</v>
      </c>
      <c r="MB106">
        <v>3</v>
      </c>
      <c r="MC106">
        <v>1</v>
      </c>
      <c r="MD106">
        <v>4.5</v>
      </c>
      <c r="ME106">
        <v>6</v>
      </c>
      <c r="MF106">
        <v>6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420</v>
      </c>
      <c r="MN106">
        <v>180</v>
      </c>
      <c r="MO106">
        <v>238</v>
      </c>
      <c r="NU106">
        <v>0.15</v>
      </c>
      <c r="NV106">
        <v>0.2</v>
      </c>
      <c r="NW106">
        <v>0.2</v>
      </c>
      <c r="NX106">
        <v>2</v>
      </c>
      <c r="NY106">
        <v>2</v>
      </c>
      <c r="NZ106">
        <v>2</v>
      </c>
      <c r="OE106" t="s">
        <v>4482</v>
      </c>
      <c r="OF106" t="s">
        <v>4449</v>
      </c>
      <c r="OG106" t="s">
        <v>4450</v>
      </c>
      <c r="OH106" t="s">
        <v>4043</v>
      </c>
      <c r="OI106" t="s">
        <v>4482</v>
      </c>
      <c r="OJ106" t="s">
        <v>4481</v>
      </c>
      <c r="OK106">
        <v>61</v>
      </c>
      <c r="OL106">
        <v>61</v>
      </c>
      <c r="OM106" t="s">
        <v>4449</v>
      </c>
      <c r="ON106">
        <v>1</v>
      </c>
      <c r="OO106">
        <v>2019</v>
      </c>
      <c r="OP106">
        <v>61</v>
      </c>
      <c r="OQ106">
        <v>61</v>
      </c>
      <c r="OR106" t="s">
        <v>4450</v>
      </c>
      <c r="OS106">
        <v>1</v>
      </c>
      <c r="OT106">
        <v>2031</v>
      </c>
      <c r="OU106">
        <v>65</v>
      </c>
      <c r="OV106">
        <v>65</v>
      </c>
      <c r="OW106" t="s">
        <v>4043</v>
      </c>
      <c r="OX106">
        <v>1</v>
      </c>
      <c r="OY106">
        <v>34901</v>
      </c>
      <c r="OZ106">
        <v>51</v>
      </c>
      <c r="PA106">
        <v>51</v>
      </c>
      <c r="PB106" t="s">
        <v>4482</v>
      </c>
      <c r="PC106">
        <v>2</v>
      </c>
      <c r="PD106">
        <v>2059</v>
      </c>
      <c r="PF106">
        <v>425</v>
      </c>
      <c r="PG106">
        <v>35</v>
      </c>
      <c r="PH106">
        <v>402</v>
      </c>
      <c r="PI106">
        <v>0</v>
      </c>
      <c r="PJ106">
        <v>56.2</v>
      </c>
      <c r="PK106">
        <v>1730</v>
      </c>
      <c r="PL106">
        <v>1284.4</v>
      </c>
      <c r="PM106">
        <v>247.8</v>
      </c>
      <c r="PN106">
        <v>95.2</v>
      </c>
      <c r="PO106">
        <v>8.4</v>
      </c>
      <c r="PP106">
        <v>12</v>
      </c>
      <c r="PQ106">
        <v>3</v>
      </c>
      <c r="PR106">
        <v>3</v>
      </c>
      <c r="PS106">
        <v>0</v>
      </c>
      <c r="PT106">
        <v>228</v>
      </c>
      <c r="PU106">
        <v>9</v>
      </c>
      <c r="PV106" t="s">
        <v>4072</v>
      </c>
      <c r="PW106" t="s">
        <v>4072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-1</v>
      </c>
      <c r="QF106">
        <v>1</v>
      </c>
      <c r="QG106">
        <v>0</v>
      </c>
      <c r="QH106">
        <v>5</v>
      </c>
      <c r="QI106">
        <v>5</v>
      </c>
      <c r="QJ106">
        <v>5</v>
      </c>
      <c r="QK106">
        <v>184</v>
      </c>
      <c r="QL106">
        <v>414</v>
      </c>
      <c r="QM106">
        <v>7.5</v>
      </c>
      <c r="QN106">
        <v>1384.6</v>
      </c>
      <c r="QO106" t="s">
        <v>1477</v>
      </c>
      <c r="QP106" t="s">
        <v>513</v>
      </c>
      <c r="QQ106">
        <v>0</v>
      </c>
      <c r="QR106" t="s">
        <v>621</v>
      </c>
      <c r="QS106">
        <v>30</v>
      </c>
      <c r="QT106">
        <v>40</v>
      </c>
    </row>
    <row r="107" spans="1:462">
      <c r="A107" t="s">
        <v>1878</v>
      </c>
      <c r="B107" t="s">
        <v>804</v>
      </c>
      <c r="C107" t="s">
        <v>509</v>
      </c>
      <c r="D107" t="s">
        <v>1877</v>
      </c>
      <c r="E107" t="s">
        <v>4036</v>
      </c>
      <c r="H107" t="s">
        <v>1088</v>
      </c>
      <c r="L107" t="s">
        <v>508</v>
      </c>
      <c r="M107" t="s">
        <v>512</v>
      </c>
      <c r="N107" t="s">
        <v>515</v>
      </c>
      <c r="O107" t="s">
        <v>513</v>
      </c>
      <c r="P107" t="s">
        <v>567</v>
      </c>
      <c r="Q107" t="s">
        <v>866</v>
      </c>
      <c r="R107" t="s">
        <v>867</v>
      </c>
      <c r="S107" t="s">
        <v>4134</v>
      </c>
      <c r="T107" t="s">
        <v>570</v>
      </c>
      <c r="U107" t="s">
        <v>571</v>
      </c>
      <c r="V107" t="s">
        <v>1879</v>
      </c>
      <c r="W107" t="s">
        <v>1880</v>
      </c>
      <c r="X107" t="s">
        <v>1881</v>
      </c>
      <c r="Y107" t="s">
        <v>1882</v>
      </c>
      <c r="Z107" t="s">
        <v>541</v>
      </c>
      <c r="AA107" t="s">
        <v>4038</v>
      </c>
      <c r="AB107" t="s">
        <v>4483</v>
      </c>
      <c r="AC107">
        <v>9</v>
      </c>
      <c r="AD107" t="s">
        <v>1876</v>
      </c>
      <c r="AE107">
        <v>2</v>
      </c>
      <c r="AF107">
        <v>5762</v>
      </c>
      <c r="AG107" t="s">
        <v>4484</v>
      </c>
      <c r="AH107">
        <v>1</v>
      </c>
      <c r="AI107" t="s">
        <v>4041</v>
      </c>
      <c r="AK107" t="s">
        <v>4485</v>
      </c>
      <c r="AL107">
        <v>1</v>
      </c>
      <c r="AM107" t="s">
        <v>582</v>
      </c>
      <c r="AO107" t="s">
        <v>4043</v>
      </c>
      <c r="AP107">
        <v>1</v>
      </c>
      <c r="AR107" t="s">
        <v>4486</v>
      </c>
      <c r="AS107">
        <v>1</v>
      </c>
      <c r="AT107">
        <v>51</v>
      </c>
      <c r="AV107" t="s">
        <v>4078</v>
      </c>
      <c r="AW107">
        <v>6.4</v>
      </c>
      <c r="AX107">
        <v>-6</v>
      </c>
      <c r="AY107">
        <v>115</v>
      </c>
      <c r="AZ107">
        <v>91</v>
      </c>
      <c r="BH107">
        <v>115</v>
      </c>
      <c r="BI107">
        <v>24</v>
      </c>
      <c r="BJ107">
        <v>91</v>
      </c>
      <c r="BK107">
        <v>2.5</v>
      </c>
      <c r="BL107">
        <v>230</v>
      </c>
      <c r="BM107">
        <v>-6</v>
      </c>
      <c r="BN107">
        <v>0</v>
      </c>
      <c r="BP107">
        <v>0</v>
      </c>
      <c r="BR107">
        <v>225</v>
      </c>
      <c r="BS107">
        <v>215</v>
      </c>
      <c r="BT107">
        <v>2175</v>
      </c>
      <c r="BU107" t="s">
        <v>4127</v>
      </c>
      <c r="BV107" t="s">
        <v>4127</v>
      </c>
      <c r="BW107" t="s">
        <v>4128</v>
      </c>
      <c r="BX107" t="s">
        <v>4128</v>
      </c>
      <c r="BY107" t="s">
        <v>4164</v>
      </c>
      <c r="BZ107" t="s">
        <v>4139</v>
      </c>
      <c r="CA107" t="s">
        <v>4084</v>
      </c>
      <c r="CB107" t="s">
        <v>4085</v>
      </c>
      <c r="CC107" t="s">
        <v>4053</v>
      </c>
      <c r="CD107" t="s">
        <v>4055</v>
      </c>
      <c r="CE107" t="s">
        <v>4055</v>
      </c>
      <c r="CF107" t="s">
        <v>4055</v>
      </c>
      <c r="CG107" t="s">
        <v>4056</v>
      </c>
      <c r="CI107" t="s">
        <v>4086</v>
      </c>
      <c r="CJ107" t="s">
        <v>4059</v>
      </c>
      <c r="CK107" t="s">
        <v>4060</v>
      </c>
      <c r="CL107" t="s">
        <v>4061</v>
      </c>
      <c r="CM107" t="s">
        <v>4055</v>
      </c>
      <c r="CN107" t="s">
        <v>4062</v>
      </c>
      <c r="CO107" t="s">
        <v>4063</v>
      </c>
      <c r="CP107" t="s">
        <v>4055</v>
      </c>
      <c r="CQ107" t="s">
        <v>4055</v>
      </c>
      <c r="CR107">
        <v>5</v>
      </c>
      <c r="CS107" t="s">
        <v>4055</v>
      </c>
      <c r="CT107" t="s">
        <v>4055</v>
      </c>
      <c r="CU107" t="s">
        <v>4055</v>
      </c>
      <c r="CV107">
        <v>138</v>
      </c>
      <c r="CW107">
        <v>3</v>
      </c>
      <c r="CX107">
        <v>98</v>
      </c>
      <c r="CY107">
        <v>5</v>
      </c>
      <c r="CZ107">
        <v>152</v>
      </c>
      <c r="DA107">
        <v>5</v>
      </c>
      <c r="DB107">
        <v>12750</v>
      </c>
      <c r="DC107">
        <v>380</v>
      </c>
      <c r="DD107">
        <v>335</v>
      </c>
      <c r="DE107">
        <v>2294</v>
      </c>
      <c r="DF107">
        <v>2294</v>
      </c>
      <c r="DG107">
        <v>2304</v>
      </c>
      <c r="DH107">
        <v>1</v>
      </c>
      <c r="DI107" t="s">
        <v>4055</v>
      </c>
      <c r="DJ107" t="s">
        <v>4132</v>
      </c>
      <c r="DK107">
        <v>225</v>
      </c>
      <c r="DL107" t="s">
        <v>4065</v>
      </c>
      <c r="DM107">
        <v>65</v>
      </c>
      <c r="DN107">
        <v>1.1</v>
      </c>
      <c r="DO107">
        <v>1</v>
      </c>
      <c r="DP107">
        <v>2178</v>
      </c>
      <c r="DQ107">
        <v>1061</v>
      </c>
      <c r="DR107" t="s">
        <v>4132</v>
      </c>
      <c r="DS107">
        <v>215</v>
      </c>
      <c r="DT107" t="s">
        <v>4065</v>
      </c>
      <c r="DU107">
        <v>65</v>
      </c>
      <c r="DV107">
        <v>1.1</v>
      </c>
      <c r="DW107">
        <v>1</v>
      </c>
      <c r="DX107">
        <v>2190</v>
      </c>
      <c r="DY107">
        <v>1018</v>
      </c>
      <c r="DZ107" t="s">
        <v>4066</v>
      </c>
      <c r="EA107">
        <v>20</v>
      </c>
      <c r="EB107" t="s">
        <v>4065</v>
      </c>
      <c r="EC107">
        <v>0.8</v>
      </c>
      <c r="ED107">
        <v>2178</v>
      </c>
      <c r="EE107">
        <v>76</v>
      </c>
      <c r="EG107">
        <v>0</v>
      </c>
      <c r="EH107" t="s">
        <v>4065</v>
      </c>
      <c r="EI107">
        <v>0</v>
      </c>
      <c r="EL107" t="s">
        <v>1528</v>
      </c>
      <c r="EM107">
        <v>12</v>
      </c>
      <c r="EN107">
        <v>0.5</v>
      </c>
      <c r="EO107">
        <v>0.96</v>
      </c>
      <c r="EP107">
        <v>2188.83</v>
      </c>
      <c r="EQ107">
        <v>41382.57</v>
      </c>
      <c r="ER107">
        <v>8230.73</v>
      </c>
      <c r="ES107">
        <v>0</v>
      </c>
      <c r="ET107">
        <v>0</v>
      </c>
      <c r="EU107">
        <v>1</v>
      </c>
      <c r="EV107">
        <v>49614</v>
      </c>
      <c r="EW107">
        <v>596</v>
      </c>
      <c r="EX107" t="s">
        <v>4363</v>
      </c>
      <c r="EY107">
        <v>238</v>
      </c>
      <c r="EZ107" t="s">
        <v>4055</v>
      </c>
      <c r="FA107">
        <v>5</v>
      </c>
      <c r="FB107">
        <v>1</v>
      </c>
      <c r="FC107">
        <v>1</v>
      </c>
      <c r="FD107">
        <v>2217</v>
      </c>
      <c r="FE107">
        <v>2872</v>
      </c>
      <c r="FF107" t="s">
        <v>4089</v>
      </c>
      <c r="FG107">
        <v>238</v>
      </c>
      <c r="FH107" t="s">
        <v>4055</v>
      </c>
      <c r="FI107">
        <v>1.6</v>
      </c>
      <c r="FJ107">
        <v>2217</v>
      </c>
      <c r="FK107">
        <v>879</v>
      </c>
      <c r="FL107" t="s">
        <v>4069</v>
      </c>
      <c r="FM107" t="s">
        <v>4055</v>
      </c>
      <c r="FN107" t="s">
        <v>4055</v>
      </c>
      <c r="FO107" t="s">
        <v>4055</v>
      </c>
      <c r="FP107">
        <v>2217</v>
      </c>
      <c r="FQ107">
        <v>225</v>
      </c>
      <c r="FR107" t="s">
        <v>4090</v>
      </c>
      <c r="FS107">
        <v>242</v>
      </c>
      <c r="FT107" t="s">
        <v>4055</v>
      </c>
      <c r="FU107">
        <v>0.4</v>
      </c>
      <c r="FV107">
        <v>2217</v>
      </c>
      <c r="FW107">
        <v>239</v>
      </c>
      <c r="FX107" t="s">
        <v>4070</v>
      </c>
      <c r="FY107">
        <v>5</v>
      </c>
      <c r="FZ107" t="s">
        <v>4055</v>
      </c>
      <c r="GA107" t="s">
        <v>4055</v>
      </c>
      <c r="GB107">
        <v>2217</v>
      </c>
      <c r="GC107">
        <v>18</v>
      </c>
      <c r="GD107">
        <v>4233</v>
      </c>
      <c r="GE107" t="s">
        <v>4486</v>
      </c>
      <c r="GF107" t="s">
        <v>4055</v>
      </c>
      <c r="GG107" t="s">
        <v>4055</v>
      </c>
      <c r="GH107" t="s">
        <v>4055</v>
      </c>
      <c r="GI107" t="s">
        <v>4071</v>
      </c>
      <c r="GJ107" t="s">
        <v>4055</v>
      </c>
      <c r="GK107" t="s">
        <v>4055</v>
      </c>
      <c r="GL107" t="s">
        <v>4055</v>
      </c>
      <c r="GM107" t="s">
        <v>4055</v>
      </c>
      <c r="GQ107">
        <v>0</v>
      </c>
      <c r="GV107">
        <v>7</v>
      </c>
      <c r="GW107">
        <v>8.5</v>
      </c>
      <c r="GX107">
        <v>0.5</v>
      </c>
      <c r="GY107">
        <v>220</v>
      </c>
      <c r="GZ107">
        <v>3</v>
      </c>
      <c r="HA107">
        <v>264</v>
      </c>
      <c r="HB107">
        <v>3</v>
      </c>
      <c r="HC107">
        <v>2217</v>
      </c>
      <c r="HD107">
        <v>4</v>
      </c>
      <c r="HE107" t="s">
        <v>4071</v>
      </c>
      <c r="HG107" t="s">
        <v>549</v>
      </c>
      <c r="HL107">
        <v>4</v>
      </c>
      <c r="HM107">
        <v>20</v>
      </c>
      <c r="HN107">
        <v>6</v>
      </c>
      <c r="HO107">
        <v>1</v>
      </c>
      <c r="HP107">
        <v>0</v>
      </c>
      <c r="HQ107">
        <v>0</v>
      </c>
      <c r="HR107">
        <v>1</v>
      </c>
      <c r="HS107">
        <v>2175</v>
      </c>
      <c r="HT107">
        <v>5</v>
      </c>
      <c r="HU107">
        <v>1</v>
      </c>
      <c r="HV107">
        <v>3</v>
      </c>
      <c r="HW107">
        <v>0</v>
      </c>
      <c r="HX107">
        <v>1</v>
      </c>
      <c r="HY107">
        <v>0</v>
      </c>
      <c r="HZ107">
        <v>65</v>
      </c>
      <c r="IA107">
        <v>2178</v>
      </c>
      <c r="IB107">
        <v>2190</v>
      </c>
      <c r="ID107">
        <v>2217</v>
      </c>
      <c r="IE107">
        <v>2217</v>
      </c>
      <c r="IF107">
        <v>225</v>
      </c>
      <c r="IG107">
        <v>215</v>
      </c>
      <c r="IH107">
        <v>264</v>
      </c>
      <c r="II107">
        <v>1</v>
      </c>
      <c r="IJ107">
        <v>5</v>
      </c>
      <c r="IK107">
        <v>0</v>
      </c>
      <c r="IL107">
        <v>0</v>
      </c>
      <c r="IM107">
        <v>0</v>
      </c>
      <c r="IN107">
        <v>270</v>
      </c>
      <c r="IO107">
        <v>0</v>
      </c>
      <c r="IP107">
        <v>180</v>
      </c>
      <c r="IQ107">
        <v>0</v>
      </c>
      <c r="IR107">
        <v>330</v>
      </c>
      <c r="IS107">
        <v>0</v>
      </c>
      <c r="IT107">
        <v>90</v>
      </c>
      <c r="IU107">
        <v>0</v>
      </c>
      <c r="IV107">
        <v>6.4</v>
      </c>
      <c r="IW107">
        <v>-6</v>
      </c>
      <c r="IX107">
        <v>115</v>
      </c>
      <c r="IY107">
        <v>91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388</v>
      </c>
      <c r="JJ107">
        <v>358</v>
      </c>
      <c r="JK107">
        <v>270</v>
      </c>
      <c r="JL107">
        <v>356</v>
      </c>
      <c r="JM107">
        <v>280</v>
      </c>
      <c r="JN107">
        <v>225</v>
      </c>
      <c r="JO107">
        <v>274</v>
      </c>
      <c r="JP107">
        <v>195</v>
      </c>
      <c r="JQ107">
        <v>245</v>
      </c>
      <c r="JR107">
        <v>295</v>
      </c>
      <c r="JS107">
        <v>270</v>
      </c>
      <c r="JT107">
        <v>0</v>
      </c>
      <c r="JU107">
        <v>0</v>
      </c>
      <c r="JV107">
        <v>290</v>
      </c>
      <c r="JW107">
        <v>280</v>
      </c>
      <c r="JX107">
        <v>0</v>
      </c>
      <c r="JY107">
        <v>0</v>
      </c>
      <c r="JZ107">
        <v>0</v>
      </c>
      <c r="KA107">
        <v>0.2</v>
      </c>
      <c r="KB107">
        <v>0.4</v>
      </c>
      <c r="KC107">
        <v>0.42</v>
      </c>
      <c r="KD107">
        <v>0.3</v>
      </c>
      <c r="KE107">
        <v>0.7</v>
      </c>
      <c r="KF107">
        <v>0.18</v>
      </c>
      <c r="KG107">
        <v>0.11</v>
      </c>
      <c r="KH107">
        <v>3.5</v>
      </c>
      <c r="KI107">
        <v>1</v>
      </c>
      <c r="KJ107">
        <v>4.5</v>
      </c>
      <c r="KK107">
        <v>0</v>
      </c>
      <c r="KL107">
        <v>4.5</v>
      </c>
      <c r="KM107">
        <v>0.5</v>
      </c>
      <c r="KN107">
        <v>1.9</v>
      </c>
      <c r="KO107">
        <v>1</v>
      </c>
      <c r="KP107">
        <v>0</v>
      </c>
      <c r="KQ107">
        <v>0.7</v>
      </c>
      <c r="KR107">
        <v>0.7</v>
      </c>
      <c r="KS107">
        <v>0</v>
      </c>
      <c r="KT107">
        <v>2.6</v>
      </c>
      <c r="KU107">
        <v>0</v>
      </c>
      <c r="KV107">
        <v>0</v>
      </c>
      <c r="KW107">
        <v>1.2</v>
      </c>
      <c r="KX107">
        <v>1</v>
      </c>
      <c r="KY107">
        <v>1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3</v>
      </c>
      <c r="LI107">
        <v>0</v>
      </c>
      <c r="LJ107">
        <v>0</v>
      </c>
      <c r="LK107">
        <v>11</v>
      </c>
      <c r="LL107">
        <v>9</v>
      </c>
      <c r="LM107">
        <v>13</v>
      </c>
      <c r="LN107">
        <v>3</v>
      </c>
      <c r="LO107">
        <v>0.1</v>
      </c>
      <c r="LP107">
        <v>0</v>
      </c>
      <c r="LQ107">
        <v>0</v>
      </c>
      <c r="LR107">
        <v>0</v>
      </c>
      <c r="LS107">
        <v>1</v>
      </c>
      <c r="LT107">
        <v>520</v>
      </c>
      <c r="LU107">
        <v>0</v>
      </c>
      <c r="LV107">
        <v>0</v>
      </c>
      <c r="LW107">
        <v>1.8</v>
      </c>
      <c r="LX107">
        <v>1.8</v>
      </c>
      <c r="LY107">
        <v>2</v>
      </c>
      <c r="LZ107">
        <v>2</v>
      </c>
      <c r="MA107">
        <v>0</v>
      </c>
      <c r="MB107">
        <v>5</v>
      </c>
      <c r="MC107">
        <v>0</v>
      </c>
      <c r="MD107">
        <v>4.5</v>
      </c>
      <c r="ME107">
        <v>6</v>
      </c>
      <c r="MF107">
        <v>6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452</v>
      </c>
      <c r="MN107">
        <v>225</v>
      </c>
      <c r="MO107">
        <v>280</v>
      </c>
      <c r="NU107">
        <v>0.15</v>
      </c>
      <c r="NV107">
        <v>0.2</v>
      </c>
      <c r="NW107">
        <v>0.2</v>
      </c>
      <c r="NX107">
        <v>0.2</v>
      </c>
      <c r="NY107">
        <v>0.2</v>
      </c>
      <c r="NZ107">
        <v>0.2</v>
      </c>
      <c r="OE107" t="s">
        <v>4486</v>
      </c>
      <c r="OF107" t="s">
        <v>4484</v>
      </c>
      <c r="OG107" t="s">
        <v>4485</v>
      </c>
      <c r="OH107" t="s">
        <v>4043</v>
      </c>
      <c r="OI107" t="s">
        <v>4486</v>
      </c>
      <c r="OJ107" t="s">
        <v>4483</v>
      </c>
      <c r="OK107">
        <v>61</v>
      </c>
      <c r="OL107">
        <v>61</v>
      </c>
      <c r="OM107" t="s">
        <v>4484</v>
      </c>
      <c r="ON107">
        <v>1</v>
      </c>
      <c r="OO107">
        <v>2178</v>
      </c>
      <c r="OP107">
        <v>61</v>
      </c>
      <c r="OQ107">
        <v>61</v>
      </c>
      <c r="OR107" t="s">
        <v>4485</v>
      </c>
      <c r="OS107">
        <v>1</v>
      </c>
      <c r="OT107">
        <v>2190</v>
      </c>
      <c r="OU107">
        <v>65</v>
      </c>
      <c r="OV107">
        <v>65</v>
      </c>
      <c r="OW107" t="s">
        <v>4043</v>
      </c>
      <c r="OX107">
        <v>2</v>
      </c>
      <c r="OY107">
        <v>49614</v>
      </c>
      <c r="OZ107">
        <v>51</v>
      </c>
      <c r="PA107">
        <v>51</v>
      </c>
      <c r="PB107" t="s">
        <v>4486</v>
      </c>
      <c r="PC107">
        <v>1</v>
      </c>
      <c r="PD107">
        <v>2217</v>
      </c>
      <c r="PF107">
        <v>487</v>
      </c>
      <c r="PG107">
        <v>35</v>
      </c>
      <c r="PH107">
        <v>465</v>
      </c>
      <c r="PI107">
        <v>0</v>
      </c>
      <c r="PJ107">
        <v>101.6</v>
      </c>
      <c r="PL107">
        <v>1295.4</v>
      </c>
      <c r="PM107">
        <v>396.5</v>
      </c>
      <c r="PN107">
        <v>107.7</v>
      </c>
      <c r="PO107">
        <v>8.1</v>
      </c>
      <c r="PP107">
        <v>12</v>
      </c>
      <c r="PQ107">
        <v>5</v>
      </c>
      <c r="PR107">
        <v>5</v>
      </c>
      <c r="PS107">
        <v>0</v>
      </c>
      <c r="PT107">
        <v>264</v>
      </c>
      <c r="PU107">
        <v>13</v>
      </c>
      <c r="PV107" t="s">
        <v>4072</v>
      </c>
      <c r="PW107" t="s">
        <v>4072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-1</v>
      </c>
      <c r="QF107">
        <v>1</v>
      </c>
      <c r="QG107">
        <v>0</v>
      </c>
      <c r="QH107">
        <v>5</v>
      </c>
      <c r="QI107">
        <v>5</v>
      </c>
      <c r="QJ107">
        <v>5</v>
      </c>
      <c r="QK107">
        <v>210</v>
      </c>
      <c r="QL107">
        <v>418</v>
      </c>
      <c r="QM107">
        <v>9.4</v>
      </c>
      <c r="QN107">
        <v>1623.8</v>
      </c>
      <c r="QO107" t="s">
        <v>1888</v>
      </c>
      <c r="QP107" t="s">
        <v>513</v>
      </c>
      <c r="QQ107">
        <v>0</v>
      </c>
      <c r="QR107" t="s">
        <v>596</v>
      </c>
      <c r="QS107">
        <v>40</v>
      </c>
      <c r="QT107">
        <v>50</v>
      </c>
    </row>
    <row r="108" spans="1:462">
      <c r="A108" t="s">
        <v>1891</v>
      </c>
      <c r="B108" t="s">
        <v>1453</v>
      </c>
      <c r="C108" t="s">
        <v>509</v>
      </c>
      <c r="D108" t="s">
        <v>1890</v>
      </c>
      <c r="E108" t="s">
        <v>4036</v>
      </c>
      <c r="H108" t="s">
        <v>604</v>
      </c>
      <c r="I108" t="s">
        <v>605</v>
      </c>
      <c r="K108" t="s">
        <v>606</v>
      </c>
      <c r="L108" t="s">
        <v>727</v>
      </c>
      <c r="M108" t="s">
        <v>512</v>
      </c>
      <c r="O108" t="s">
        <v>513</v>
      </c>
      <c r="P108" t="s">
        <v>567</v>
      </c>
      <c r="Q108" t="s">
        <v>1609</v>
      </c>
      <c r="R108" t="s">
        <v>1554</v>
      </c>
      <c r="S108" t="s">
        <v>4170</v>
      </c>
      <c r="T108" t="s">
        <v>1457</v>
      </c>
      <c r="U108" t="s">
        <v>1458</v>
      </c>
      <c r="V108" t="s">
        <v>1892</v>
      </c>
      <c r="W108" t="s">
        <v>1880</v>
      </c>
      <c r="X108" t="s">
        <v>1893</v>
      </c>
      <c r="Y108" t="s">
        <v>1894</v>
      </c>
      <c r="Z108" t="s">
        <v>541</v>
      </c>
      <c r="AA108" t="s">
        <v>4038</v>
      </c>
      <c r="AB108" t="s">
        <v>4487</v>
      </c>
      <c r="AC108">
        <v>9</v>
      </c>
      <c r="AD108" t="s">
        <v>1889</v>
      </c>
      <c r="AE108">
        <v>11</v>
      </c>
      <c r="AF108">
        <v>2966</v>
      </c>
      <c r="AG108" t="s">
        <v>4488</v>
      </c>
      <c r="AH108">
        <v>1</v>
      </c>
      <c r="AI108" t="s">
        <v>4041</v>
      </c>
      <c r="AK108" t="s">
        <v>4489</v>
      </c>
      <c r="AL108">
        <v>1</v>
      </c>
      <c r="AM108" t="s">
        <v>582</v>
      </c>
      <c r="AO108" t="s">
        <v>4353</v>
      </c>
      <c r="AP108">
        <v>1</v>
      </c>
      <c r="AR108" t="s">
        <v>4490</v>
      </c>
      <c r="AS108">
        <v>1</v>
      </c>
      <c r="AT108">
        <v>52</v>
      </c>
      <c r="AV108" t="s">
        <v>4045</v>
      </c>
      <c r="AW108">
        <v>6.4</v>
      </c>
      <c r="AX108">
        <v>-6</v>
      </c>
      <c r="AY108">
        <v>78.5</v>
      </c>
      <c r="AZ108">
        <v>69.5</v>
      </c>
      <c r="BH108">
        <v>78.5</v>
      </c>
      <c r="BI108">
        <v>9</v>
      </c>
      <c r="BJ108">
        <v>69.5</v>
      </c>
      <c r="BK108">
        <v>3.5</v>
      </c>
      <c r="BL108">
        <v>157</v>
      </c>
      <c r="BM108">
        <v>-6</v>
      </c>
      <c r="BN108">
        <v>0</v>
      </c>
      <c r="BP108">
        <v>0</v>
      </c>
      <c r="BR108">
        <v>150</v>
      </c>
      <c r="BS108">
        <v>140</v>
      </c>
      <c r="BT108">
        <v>1675</v>
      </c>
      <c r="BU108" t="s">
        <v>4355</v>
      </c>
      <c r="BV108" t="s">
        <v>4355</v>
      </c>
      <c r="BW108" t="s">
        <v>4356</v>
      </c>
      <c r="BX108" t="s">
        <v>4356</v>
      </c>
      <c r="BY108" t="s">
        <v>4357</v>
      </c>
      <c r="BZ108" t="s">
        <v>4357</v>
      </c>
      <c r="CA108" t="s">
        <v>4358</v>
      </c>
      <c r="CB108" t="s">
        <v>4359</v>
      </c>
      <c r="CC108" t="s">
        <v>4053</v>
      </c>
      <c r="CD108" t="s">
        <v>4359</v>
      </c>
      <c r="CE108" t="s">
        <v>4360</v>
      </c>
      <c r="CF108" t="s">
        <v>4361</v>
      </c>
      <c r="CG108" t="s">
        <v>4056</v>
      </c>
      <c r="CH108" t="s">
        <v>4145</v>
      </c>
      <c r="CI108" t="s">
        <v>4058</v>
      </c>
      <c r="CJ108" t="s">
        <v>4059</v>
      </c>
      <c r="CK108" t="s">
        <v>4060</v>
      </c>
      <c r="CL108" t="s">
        <v>4061</v>
      </c>
      <c r="CM108" t="s">
        <v>4062</v>
      </c>
      <c r="CN108" t="s">
        <v>4055</v>
      </c>
      <c r="CO108" t="s">
        <v>4063</v>
      </c>
      <c r="CP108" t="s">
        <v>4055</v>
      </c>
      <c r="CQ108" t="s">
        <v>4055</v>
      </c>
      <c r="CR108">
        <v>5</v>
      </c>
      <c r="CS108" t="s">
        <v>4055</v>
      </c>
      <c r="CT108" t="s">
        <v>4055</v>
      </c>
      <c r="CU108" t="s">
        <v>4055</v>
      </c>
      <c r="CV108">
        <v>96</v>
      </c>
      <c r="CW108">
        <v>3</v>
      </c>
      <c r="CX108">
        <v>62</v>
      </c>
      <c r="CY108">
        <v>5</v>
      </c>
      <c r="CZ108">
        <v>118</v>
      </c>
      <c r="DA108">
        <v>5</v>
      </c>
      <c r="DB108">
        <v>6570</v>
      </c>
      <c r="DC108">
        <v>190</v>
      </c>
      <c r="DD108">
        <v>271</v>
      </c>
      <c r="DE108">
        <v>1764</v>
      </c>
      <c r="DF108">
        <v>1764</v>
      </c>
      <c r="DG108">
        <v>1784</v>
      </c>
      <c r="DH108" t="s">
        <v>4055</v>
      </c>
      <c r="DI108" t="s">
        <v>4055</v>
      </c>
      <c r="DJ108" t="s">
        <v>4100</v>
      </c>
      <c r="DK108">
        <v>150</v>
      </c>
      <c r="DL108" t="s">
        <v>4101</v>
      </c>
      <c r="DM108">
        <v>63</v>
      </c>
      <c r="DN108">
        <v>0.84</v>
      </c>
      <c r="DO108">
        <v>1</v>
      </c>
      <c r="DP108">
        <v>1678</v>
      </c>
      <c r="DQ108">
        <v>460</v>
      </c>
      <c r="DR108" t="s">
        <v>4100</v>
      </c>
      <c r="DS108">
        <v>140</v>
      </c>
      <c r="DT108" t="s">
        <v>4101</v>
      </c>
      <c r="DU108">
        <v>63</v>
      </c>
      <c r="DV108">
        <v>0.84</v>
      </c>
      <c r="DW108">
        <v>1</v>
      </c>
      <c r="DX108">
        <v>1685</v>
      </c>
      <c r="DY108">
        <v>431</v>
      </c>
      <c r="DZ108" t="s">
        <v>4066</v>
      </c>
      <c r="EA108">
        <v>33</v>
      </c>
      <c r="EB108" t="s">
        <v>4065</v>
      </c>
      <c r="EC108">
        <v>0.4</v>
      </c>
      <c r="ED108">
        <v>1678</v>
      </c>
      <c r="EE108">
        <v>49</v>
      </c>
      <c r="EF108" t="s">
        <v>4066</v>
      </c>
      <c r="EG108">
        <v>33</v>
      </c>
      <c r="EH108" t="s">
        <v>4065</v>
      </c>
      <c r="EI108">
        <v>0.4</v>
      </c>
      <c r="EJ108">
        <v>1685</v>
      </c>
      <c r="EK108">
        <v>49</v>
      </c>
      <c r="EL108" t="s">
        <v>4362</v>
      </c>
      <c r="EM108">
        <v>12</v>
      </c>
      <c r="EN108">
        <v>0.5</v>
      </c>
      <c r="EO108">
        <v>0.77</v>
      </c>
      <c r="EP108">
        <v>1685.56</v>
      </c>
      <c r="EQ108">
        <v>22254.66</v>
      </c>
      <c r="ER108">
        <v>2377.12</v>
      </c>
      <c r="ES108">
        <v>0</v>
      </c>
      <c r="ET108">
        <v>0</v>
      </c>
      <c r="EU108">
        <v>1</v>
      </c>
      <c r="EV108">
        <v>24632</v>
      </c>
      <c r="EW108">
        <v>247</v>
      </c>
      <c r="EX108" t="s">
        <v>4363</v>
      </c>
      <c r="EY108">
        <v>160</v>
      </c>
      <c r="EZ108" t="s">
        <v>4055</v>
      </c>
      <c r="FA108">
        <v>6.1</v>
      </c>
      <c r="FB108">
        <v>1</v>
      </c>
      <c r="FC108">
        <v>1</v>
      </c>
      <c r="FD108">
        <v>1715</v>
      </c>
      <c r="FE108">
        <v>1817</v>
      </c>
      <c r="FF108" t="s">
        <v>4089</v>
      </c>
      <c r="FG108">
        <v>160</v>
      </c>
      <c r="FH108" t="s">
        <v>4055</v>
      </c>
      <c r="FI108">
        <v>1.1</v>
      </c>
      <c r="FJ108">
        <v>1715</v>
      </c>
      <c r="FK108">
        <v>294</v>
      </c>
      <c r="FL108" t="s">
        <v>4069</v>
      </c>
      <c r="FM108" t="s">
        <v>4055</v>
      </c>
      <c r="FN108" t="s">
        <v>4055</v>
      </c>
      <c r="FO108" t="s">
        <v>4055</v>
      </c>
      <c r="FP108">
        <v>1715</v>
      </c>
      <c r="FQ108">
        <v>114</v>
      </c>
      <c r="FR108" t="s">
        <v>4090</v>
      </c>
      <c r="FS108">
        <v>164</v>
      </c>
      <c r="FT108" t="s">
        <v>4055</v>
      </c>
      <c r="FU108">
        <v>0.4</v>
      </c>
      <c r="FV108">
        <v>1715</v>
      </c>
      <c r="FW108">
        <v>125</v>
      </c>
      <c r="FX108" t="s">
        <v>4070</v>
      </c>
      <c r="FY108">
        <v>10</v>
      </c>
      <c r="FZ108" t="s">
        <v>4055</v>
      </c>
      <c r="GA108" t="s">
        <v>4055</v>
      </c>
      <c r="GB108">
        <v>1715</v>
      </c>
      <c r="GC108">
        <v>15</v>
      </c>
      <c r="GD108">
        <v>2365</v>
      </c>
      <c r="GE108" t="s">
        <v>4490</v>
      </c>
      <c r="GF108" t="s">
        <v>4055</v>
      </c>
      <c r="GG108" t="s">
        <v>4055</v>
      </c>
      <c r="GH108" t="s">
        <v>4055</v>
      </c>
      <c r="GI108" t="s">
        <v>4071</v>
      </c>
      <c r="GJ108" t="s">
        <v>4055</v>
      </c>
      <c r="GK108" t="s">
        <v>4055</v>
      </c>
      <c r="GL108" t="s">
        <v>4055</v>
      </c>
      <c r="GM108" t="s">
        <v>4055</v>
      </c>
      <c r="GQ108">
        <v>0</v>
      </c>
      <c r="GV108">
        <v>7.6</v>
      </c>
      <c r="GW108">
        <v>8.4</v>
      </c>
      <c r="GX108">
        <v>0.5</v>
      </c>
      <c r="GY108">
        <v>132</v>
      </c>
      <c r="GZ108">
        <v>3</v>
      </c>
      <c r="HA108">
        <v>178</v>
      </c>
      <c r="HB108">
        <v>3</v>
      </c>
      <c r="HC108">
        <v>1715</v>
      </c>
      <c r="HD108">
        <v>4</v>
      </c>
      <c r="HE108" t="s">
        <v>4071</v>
      </c>
      <c r="HG108" t="s">
        <v>549</v>
      </c>
      <c r="HL108">
        <v>4</v>
      </c>
      <c r="HM108">
        <v>14</v>
      </c>
      <c r="HN108">
        <v>6</v>
      </c>
      <c r="HO108">
        <v>1</v>
      </c>
      <c r="HP108">
        <v>0</v>
      </c>
      <c r="HQ108">
        <v>0</v>
      </c>
      <c r="HR108">
        <v>3</v>
      </c>
      <c r="HS108">
        <v>1675</v>
      </c>
      <c r="HT108">
        <v>5</v>
      </c>
      <c r="HU108">
        <v>1</v>
      </c>
      <c r="HV108">
        <v>5</v>
      </c>
      <c r="HW108">
        <v>0</v>
      </c>
      <c r="HX108">
        <v>1</v>
      </c>
      <c r="HY108">
        <v>0</v>
      </c>
      <c r="HZ108">
        <v>63</v>
      </c>
      <c r="IA108">
        <v>1678</v>
      </c>
      <c r="IB108">
        <v>1685</v>
      </c>
      <c r="ID108">
        <v>1715</v>
      </c>
      <c r="IE108">
        <v>1715</v>
      </c>
      <c r="IF108">
        <v>150</v>
      </c>
      <c r="IG108">
        <v>140</v>
      </c>
      <c r="IH108">
        <v>178</v>
      </c>
      <c r="II108">
        <v>0</v>
      </c>
      <c r="IJ108">
        <v>5</v>
      </c>
      <c r="IK108">
        <v>0</v>
      </c>
      <c r="IL108">
        <v>2</v>
      </c>
      <c r="IM108">
        <v>0</v>
      </c>
      <c r="IN108">
        <v>270</v>
      </c>
      <c r="IO108">
        <v>0</v>
      </c>
      <c r="IP108">
        <v>180</v>
      </c>
      <c r="IQ108">
        <v>0</v>
      </c>
      <c r="IR108">
        <v>310</v>
      </c>
      <c r="IS108">
        <v>0</v>
      </c>
      <c r="IT108">
        <v>360</v>
      </c>
      <c r="IU108">
        <v>0</v>
      </c>
      <c r="IV108">
        <v>6.4</v>
      </c>
      <c r="IW108">
        <v>-6</v>
      </c>
      <c r="IX108">
        <v>78.5</v>
      </c>
      <c r="IY108">
        <v>69.5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318</v>
      </c>
      <c r="JJ108">
        <v>272</v>
      </c>
      <c r="JK108">
        <v>210</v>
      </c>
      <c r="JL108">
        <v>270</v>
      </c>
      <c r="JM108">
        <v>236</v>
      </c>
      <c r="JN108">
        <v>170</v>
      </c>
      <c r="JO108">
        <v>195</v>
      </c>
      <c r="JP108">
        <v>250</v>
      </c>
      <c r="JQ108">
        <v>265</v>
      </c>
      <c r="JR108">
        <v>354</v>
      </c>
      <c r="JS108">
        <v>280</v>
      </c>
      <c r="JT108">
        <v>0</v>
      </c>
      <c r="JU108">
        <v>0</v>
      </c>
      <c r="JV108">
        <v>335</v>
      </c>
      <c r="JW108">
        <v>337</v>
      </c>
      <c r="JX108">
        <v>350</v>
      </c>
      <c r="JY108">
        <v>320</v>
      </c>
      <c r="JZ108">
        <v>0</v>
      </c>
      <c r="KA108">
        <v>0.2</v>
      </c>
      <c r="KB108">
        <v>0.4</v>
      </c>
      <c r="KC108">
        <v>0.42</v>
      </c>
      <c r="KD108">
        <v>0.28</v>
      </c>
      <c r="KE108">
        <v>0.6</v>
      </c>
      <c r="KF108">
        <v>0.19</v>
      </c>
      <c r="KG108">
        <v>0.1</v>
      </c>
      <c r="KH108">
        <v>3.5</v>
      </c>
      <c r="KI108">
        <v>1</v>
      </c>
      <c r="KJ108">
        <v>4.5</v>
      </c>
      <c r="KK108">
        <v>0</v>
      </c>
      <c r="KL108">
        <v>4.5</v>
      </c>
      <c r="KM108">
        <v>0</v>
      </c>
      <c r="KN108">
        <v>0.9</v>
      </c>
      <c r="KO108">
        <v>1</v>
      </c>
      <c r="KP108">
        <v>0.7</v>
      </c>
      <c r="KQ108">
        <v>1</v>
      </c>
      <c r="KR108">
        <v>1</v>
      </c>
      <c r="KS108">
        <v>0</v>
      </c>
      <c r="KT108">
        <v>2</v>
      </c>
      <c r="KU108">
        <v>0</v>
      </c>
      <c r="KV108">
        <v>1.4</v>
      </c>
      <c r="KW108">
        <v>1.2</v>
      </c>
      <c r="KX108">
        <v>2</v>
      </c>
      <c r="KY108">
        <v>0</v>
      </c>
      <c r="KZ108">
        <v>2.5</v>
      </c>
      <c r="LA108">
        <v>2.5</v>
      </c>
      <c r="LB108">
        <v>10</v>
      </c>
      <c r="LC108">
        <v>2.5</v>
      </c>
      <c r="LD108">
        <v>2.5</v>
      </c>
      <c r="LE108">
        <v>1.5</v>
      </c>
      <c r="LF108">
        <v>0</v>
      </c>
      <c r="LG108">
        <v>0</v>
      </c>
      <c r="LH108">
        <v>2</v>
      </c>
      <c r="LI108">
        <v>0</v>
      </c>
      <c r="LJ108">
        <v>1</v>
      </c>
      <c r="LK108">
        <v>3</v>
      </c>
      <c r="LL108">
        <v>7</v>
      </c>
      <c r="LM108">
        <v>3</v>
      </c>
      <c r="LN108">
        <v>0.5</v>
      </c>
      <c r="LO108">
        <v>0.1</v>
      </c>
      <c r="LP108">
        <v>0</v>
      </c>
      <c r="LQ108">
        <v>0</v>
      </c>
      <c r="LR108">
        <v>0</v>
      </c>
      <c r="LS108">
        <v>1</v>
      </c>
      <c r="LT108">
        <v>0</v>
      </c>
      <c r="LU108">
        <v>0</v>
      </c>
      <c r="LV108">
        <v>0</v>
      </c>
      <c r="LW108">
        <v>1.4</v>
      </c>
      <c r="LX108">
        <v>1.4</v>
      </c>
      <c r="LY108">
        <v>2.1</v>
      </c>
      <c r="LZ108">
        <v>2.1</v>
      </c>
      <c r="MA108">
        <v>0</v>
      </c>
      <c r="MB108">
        <v>7</v>
      </c>
      <c r="MC108">
        <v>0</v>
      </c>
      <c r="MD108">
        <v>3.5</v>
      </c>
      <c r="ME108">
        <v>4.5</v>
      </c>
      <c r="MF108">
        <v>4.5</v>
      </c>
      <c r="MI108">
        <v>0</v>
      </c>
      <c r="MJ108">
        <v>0</v>
      </c>
      <c r="ML108">
        <v>0</v>
      </c>
      <c r="MM108">
        <v>340</v>
      </c>
      <c r="MN108">
        <v>145</v>
      </c>
      <c r="MO108">
        <v>188</v>
      </c>
      <c r="NU108">
        <v>0.15</v>
      </c>
      <c r="NV108">
        <v>0.2</v>
      </c>
      <c r="NW108">
        <v>0.2</v>
      </c>
      <c r="NX108">
        <v>2</v>
      </c>
      <c r="NY108">
        <v>2</v>
      </c>
      <c r="NZ108">
        <v>2</v>
      </c>
      <c r="OE108" t="s">
        <v>4490</v>
      </c>
      <c r="OF108" t="s">
        <v>4488</v>
      </c>
      <c r="OG108" t="s">
        <v>4489</v>
      </c>
      <c r="OH108" t="s">
        <v>4353</v>
      </c>
      <c r="OI108" t="s">
        <v>4490</v>
      </c>
      <c r="OJ108" t="s">
        <v>4487</v>
      </c>
      <c r="OK108">
        <v>61</v>
      </c>
      <c r="OL108">
        <v>61</v>
      </c>
      <c r="OM108" t="s">
        <v>4488</v>
      </c>
      <c r="ON108">
        <v>3</v>
      </c>
      <c r="OO108">
        <v>1678</v>
      </c>
      <c r="OP108">
        <v>61</v>
      </c>
      <c r="OQ108">
        <v>61</v>
      </c>
      <c r="OR108" t="s">
        <v>4489</v>
      </c>
      <c r="OS108">
        <v>3</v>
      </c>
      <c r="OT108">
        <v>1685</v>
      </c>
      <c r="OU108">
        <v>65</v>
      </c>
      <c r="OV108">
        <v>65</v>
      </c>
      <c r="OW108" t="s">
        <v>4353</v>
      </c>
      <c r="OX108">
        <v>1</v>
      </c>
      <c r="OY108">
        <v>24632</v>
      </c>
      <c r="OZ108">
        <v>51</v>
      </c>
      <c r="PA108">
        <v>52</v>
      </c>
      <c r="PB108" t="s">
        <v>4490</v>
      </c>
      <c r="PC108">
        <v>5</v>
      </c>
      <c r="PD108">
        <v>1715</v>
      </c>
      <c r="PF108">
        <v>274</v>
      </c>
      <c r="PG108">
        <v>29</v>
      </c>
      <c r="PH108">
        <v>256</v>
      </c>
      <c r="PI108">
        <v>29</v>
      </c>
      <c r="PJ108">
        <v>66.5</v>
      </c>
      <c r="PL108">
        <v>1059.2</v>
      </c>
      <c r="PM108">
        <v>171.6</v>
      </c>
      <c r="PN108">
        <v>72.8</v>
      </c>
      <c r="PO108">
        <v>8.800000000000001</v>
      </c>
      <c r="PP108">
        <v>10</v>
      </c>
      <c r="PQ108">
        <v>8</v>
      </c>
      <c r="PR108">
        <v>8</v>
      </c>
      <c r="PS108">
        <v>6</v>
      </c>
      <c r="PT108">
        <v>178</v>
      </c>
      <c r="PU108">
        <v>9</v>
      </c>
      <c r="PV108" t="s">
        <v>4072</v>
      </c>
      <c r="PW108" t="s">
        <v>4072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-1</v>
      </c>
      <c r="QF108">
        <v>1</v>
      </c>
      <c r="QG108">
        <v>0</v>
      </c>
      <c r="QH108">
        <v>5</v>
      </c>
      <c r="QI108">
        <v>5</v>
      </c>
      <c r="QJ108">
        <v>5</v>
      </c>
      <c r="QK108">
        <v>154</v>
      </c>
      <c r="QL108">
        <v>352</v>
      </c>
      <c r="QM108">
        <v>7.5</v>
      </c>
      <c r="QN108">
        <v>1123</v>
      </c>
      <c r="QO108" t="s">
        <v>1888</v>
      </c>
      <c r="QP108" t="s">
        <v>513</v>
      </c>
      <c r="QQ108">
        <v>0</v>
      </c>
      <c r="QR108" t="s">
        <v>540</v>
      </c>
      <c r="QS108">
        <v>30</v>
      </c>
      <c r="QT108">
        <v>40</v>
      </c>
    </row>
    <row r="109" spans="1:462">
      <c r="A109" t="s">
        <v>1904</v>
      </c>
      <c r="B109" t="s">
        <v>897</v>
      </c>
      <c r="C109" t="s">
        <v>509</v>
      </c>
      <c r="D109" t="s">
        <v>1903</v>
      </c>
      <c r="E109" t="s">
        <v>4036</v>
      </c>
      <c r="H109" t="s">
        <v>604</v>
      </c>
      <c r="I109" t="s">
        <v>605</v>
      </c>
      <c r="J109" t="s">
        <v>628</v>
      </c>
      <c r="K109" t="s">
        <v>606</v>
      </c>
      <c r="L109" t="s">
        <v>657</v>
      </c>
      <c r="M109" t="s">
        <v>512</v>
      </c>
      <c r="O109" t="s">
        <v>513</v>
      </c>
      <c r="P109" t="s">
        <v>567</v>
      </c>
      <c r="Q109" t="s">
        <v>1617</v>
      </c>
      <c r="R109" t="s">
        <v>1618</v>
      </c>
      <c r="S109" t="s">
        <v>4091</v>
      </c>
      <c r="T109" t="s">
        <v>1482</v>
      </c>
      <c r="U109" t="s">
        <v>1483</v>
      </c>
      <c r="V109" t="s">
        <v>1905</v>
      </c>
      <c r="W109" t="s">
        <v>1880</v>
      </c>
      <c r="X109" t="s">
        <v>1906</v>
      </c>
      <c r="Y109" t="s">
        <v>1907</v>
      </c>
      <c r="Z109" t="s">
        <v>541</v>
      </c>
      <c r="AA109" t="s">
        <v>4038</v>
      </c>
      <c r="AB109" t="s">
        <v>4491</v>
      </c>
      <c r="AC109">
        <v>9</v>
      </c>
      <c r="AD109" t="s">
        <v>1902</v>
      </c>
      <c r="AE109">
        <v>8</v>
      </c>
      <c r="AF109">
        <v>3307</v>
      </c>
      <c r="AG109" t="s">
        <v>4492</v>
      </c>
      <c r="AH109">
        <v>1</v>
      </c>
      <c r="AI109" t="s">
        <v>4041</v>
      </c>
      <c r="AK109" t="s">
        <v>4493</v>
      </c>
      <c r="AL109">
        <v>1</v>
      </c>
      <c r="AM109" t="s">
        <v>582</v>
      </c>
      <c r="AO109" t="s">
        <v>4043</v>
      </c>
      <c r="AP109">
        <v>1</v>
      </c>
      <c r="AR109" t="s">
        <v>4494</v>
      </c>
      <c r="AS109">
        <v>1</v>
      </c>
      <c r="AT109">
        <v>51</v>
      </c>
      <c r="AV109" t="s">
        <v>4045</v>
      </c>
      <c r="AW109">
        <v>6.4</v>
      </c>
      <c r="AX109">
        <v>-6</v>
      </c>
      <c r="AY109">
        <v>81</v>
      </c>
      <c r="AZ109">
        <v>72</v>
      </c>
      <c r="BH109">
        <v>81</v>
      </c>
      <c r="BI109">
        <v>9</v>
      </c>
      <c r="BJ109">
        <v>72</v>
      </c>
      <c r="BK109">
        <v>3.5</v>
      </c>
      <c r="BL109">
        <v>162</v>
      </c>
      <c r="BM109">
        <v>-6</v>
      </c>
      <c r="BN109">
        <v>0</v>
      </c>
      <c r="BO109">
        <v>0</v>
      </c>
      <c r="BP109">
        <v>0</v>
      </c>
      <c r="BR109">
        <v>155</v>
      </c>
      <c r="BS109">
        <v>145</v>
      </c>
      <c r="BT109">
        <v>1870</v>
      </c>
      <c r="BU109" t="s">
        <v>4047</v>
      </c>
      <c r="BV109" t="s">
        <v>4047</v>
      </c>
      <c r="BW109" t="s">
        <v>4049</v>
      </c>
      <c r="BX109" t="s">
        <v>4049</v>
      </c>
      <c r="BY109" t="s">
        <v>4413</v>
      </c>
      <c r="BZ109" t="s">
        <v>4413</v>
      </c>
      <c r="CA109" t="s">
        <v>4370</v>
      </c>
      <c r="CB109" t="s">
        <v>4371</v>
      </c>
      <c r="CC109" t="s">
        <v>4053</v>
      </c>
      <c r="CD109" t="s">
        <v>4372</v>
      </c>
      <c r="CE109" t="s">
        <v>4055</v>
      </c>
      <c r="CF109" t="s">
        <v>4055</v>
      </c>
      <c r="CG109" t="s">
        <v>4056</v>
      </c>
      <c r="CH109" t="s">
        <v>4057</v>
      </c>
      <c r="CI109" t="s">
        <v>4058</v>
      </c>
      <c r="CJ109" t="s">
        <v>4059</v>
      </c>
      <c r="CK109" t="s">
        <v>4060</v>
      </c>
      <c r="CL109" t="s">
        <v>4061</v>
      </c>
      <c r="CM109" t="s">
        <v>4062</v>
      </c>
      <c r="CN109" t="s">
        <v>4055</v>
      </c>
      <c r="CO109" t="s">
        <v>4063</v>
      </c>
      <c r="CP109" t="s">
        <v>4055</v>
      </c>
      <c r="CQ109" t="s">
        <v>4055</v>
      </c>
      <c r="CR109">
        <v>5</v>
      </c>
      <c r="CS109" t="s">
        <v>4055</v>
      </c>
      <c r="CT109" t="s">
        <v>4055</v>
      </c>
      <c r="CU109" t="s">
        <v>4055</v>
      </c>
      <c r="CV109">
        <v>103</v>
      </c>
      <c r="CW109">
        <v>3</v>
      </c>
      <c r="CX109">
        <v>62</v>
      </c>
      <c r="CY109">
        <v>5</v>
      </c>
      <c r="CZ109">
        <v>53</v>
      </c>
      <c r="DA109">
        <v>5</v>
      </c>
      <c r="DB109">
        <v>7250</v>
      </c>
      <c r="DC109">
        <v>210</v>
      </c>
      <c r="DD109">
        <v>285</v>
      </c>
      <c r="DE109">
        <v>1964</v>
      </c>
      <c r="DF109">
        <v>1964</v>
      </c>
      <c r="DG109">
        <v>1972</v>
      </c>
      <c r="DH109" t="s">
        <v>4055</v>
      </c>
      <c r="DI109" t="s">
        <v>4055</v>
      </c>
      <c r="DJ109" t="s">
        <v>4100</v>
      </c>
      <c r="DK109">
        <v>155</v>
      </c>
      <c r="DL109" t="s">
        <v>4101</v>
      </c>
      <c r="DM109">
        <v>63</v>
      </c>
      <c r="DN109">
        <v>0.84</v>
      </c>
      <c r="DO109">
        <v>1</v>
      </c>
      <c r="DP109">
        <v>1873</v>
      </c>
      <c r="DQ109">
        <v>530</v>
      </c>
      <c r="DR109" t="s">
        <v>4100</v>
      </c>
      <c r="DS109">
        <v>145</v>
      </c>
      <c r="DT109" t="s">
        <v>4101</v>
      </c>
      <c r="DU109">
        <v>63</v>
      </c>
      <c r="DV109">
        <v>0.84</v>
      </c>
      <c r="DW109">
        <v>1</v>
      </c>
      <c r="DX109">
        <v>1880</v>
      </c>
      <c r="DY109">
        <v>498</v>
      </c>
      <c r="DZ109" t="s">
        <v>4066</v>
      </c>
      <c r="EA109">
        <v>33</v>
      </c>
      <c r="EB109" t="s">
        <v>4065</v>
      </c>
      <c r="EC109">
        <v>0.4</v>
      </c>
      <c r="ED109">
        <v>1873</v>
      </c>
      <c r="EE109">
        <v>54</v>
      </c>
      <c r="EF109" t="s">
        <v>4066</v>
      </c>
      <c r="EG109">
        <v>33</v>
      </c>
      <c r="EH109" t="s">
        <v>4065</v>
      </c>
      <c r="EI109">
        <v>0.4</v>
      </c>
      <c r="EJ109">
        <v>1880</v>
      </c>
      <c r="EK109">
        <v>55</v>
      </c>
      <c r="EL109" t="s">
        <v>1528</v>
      </c>
      <c r="EM109">
        <v>12</v>
      </c>
      <c r="EN109">
        <v>0.5</v>
      </c>
      <c r="EO109">
        <v>0.96</v>
      </c>
      <c r="EP109">
        <v>1880.56</v>
      </c>
      <c r="EQ109">
        <v>25563.86</v>
      </c>
      <c r="ER109">
        <v>2653.02</v>
      </c>
      <c r="ES109">
        <v>0</v>
      </c>
      <c r="ET109">
        <v>0</v>
      </c>
      <c r="EU109">
        <v>1</v>
      </c>
      <c r="EV109">
        <v>28217</v>
      </c>
      <c r="EW109">
        <v>339</v>
      </c>
      <c r="EX109" t="s">
        <v>4363</v>
      </c>
      <c r="EY109">
        <v>172</v>
      </c>
      <c r="EZ109" t="s">
        <v>4055</v>
      </c>
      <c r="FA109">
        <v>4</v>
      </c>
      <c r="FB109">
        <v>1</v>
      </c>
      <c r="FC109">
        <v>1</v>
      </c>
      <c r="FD109">
        <v>1904</v>
      </c>
      <c r="FE109">
        <v>1867</v>
      </c>
      <c r="FF109" t="s">
        <v>4089</v>
      </c>
      <c r="FG109">
        <v>172</v>
      </c>
      <c r="FH109" t="s">
        <v>4055</v>
      </c>
      <c r="FI109">
        <v>1.1</v>
      </c>
      <c r="FJ109">
        <v>1904</v>
      </c>
      <c r="FK109">
        <v>344</v>
      </c>
      <c r="FL109" t="s">
        <v>4069</v>
      </c>
      <c r="FM109" t="s">
        <v>4055</v>
      </c>
      <c r="FN109" t="s">
        <v>4055</v>
      </c>
      <c r="FO109" t="s">
        <v>4055</v>
      </c>
      <c r="FP109">
        <v>1904</v>
      </c>
      <c r="FQ109">
        <v>91</v>
      </c>
      <c r="FR109" t="s">
        <v>4090</v>
      </c>
      <c r="FS109">
        <v>176</v>
      </c>
      <c r="FT109" t="s">
        <v>4055</v>
      </c>
      <c r="FU109">
        <v>0.4</v>
      </c>
      <c r="FV109">
        <v>1904</v>
      </c>
      <c r="FW109">
        <v>149</v>
      </c>
      <c r="FX109" t="s">
        <v>4070</v>
      </c>
      <c r="FY109">
        <v>10</v>
      </c>
      <c r="FZ109" t="s">
        <v>4055</v>
      </c>
      <c r="GA109" t="s">
        <v>4055</v>
      </c>
      <c r="GB109">
        <v>1904</v>
      </c>
      <c r="GC109">
        <v>15</v>
      </c>
      <c r="GD109">
        <v>2466</v>
      </c>
      <c r="GE109" t="s">
        <v>4494</v>
      </c>
      <c r="GF109" t="s">
        <v>4055</v>
      </c>
      <c r="GG109" t="s">
        <v>4055</v>
      </c>
      <c r="GH109" t="s">
        <v>4055</v>
      </c>
      <c r="GI109" t="s">
        <v>4071</v>
      </c>
      <c r="GJ109" t="s">
        <v>4055</v>
      </c>
      <c r="GK109" t="s">
        <v>4055</v>
      </c>
      <c r="GL109" t="s">
        <v>4055</v>
      </c>
      <c r="GM109" t="s">
        <v>4055</v>
      </c>
      <c r="GQ109">
        <v>0</v>
      </c>
      <c r="GV109">
        <v>5.5</v>
      </c>
      <c r="GW109">
        <v>7.7</v>
      </c>
      <c r="GX109">
        <v>0.5</v>
      </c>
      <c r="GY109">
        <v>132</v>
      </c>
      <c r="GZ109">
        <v>3</v>
      </c>
      <c r="HA109">
        <v>192</v>
      </c>
      <c r="HB109">
        <v>3</v>
      </c>
      <c r="HC109">
        <v>1904</v>
      </c>
      <c r="HD109">
        <v>4</v>
      </c>
      <c r="HE109" t="s">
        <v>4071</v>
      </c>
      <c r="HG109" t="s">
        <v>549</v>
      </c>
      <c r="HL109">
        <v>4</v>
      </c>
      <c r="HM109">
        <v>15</v>
      </c>
      <c r="HN109">
        <v>6</v>
      </c>
      <c r="HO109">
        <v>1</v>
      </c>
      <c r="HP109">
        <v>0</v>
      </c>
      <c r="HQ109">
        <v>0</v>
      </c>
      <c r="HR109">
        <v>1</v>
      </c>
      <c r="HS109">
        <v>1870</v>
      </c>
      <c r="HT109">
        <v>5</v>
      </c>
      <c r="HU109">
        <v>1</v>
      </c>
      <c r="HV109">
        <v>5</v>
      </c>
      <c r="HW109">
        <v>0</v>
      </c>
      <c r="HX109">
        <v>1</v>
      </c>
      <c r="HY109">
        <v>0</v>
      </c>
      <c r="HZ109">
        <v>63</v>
      </c>
      <c r="IA109">
        <v>1873</v>
      </c>
      <c r="IB109">
        <v>1880</v>
      </c>
      <c r="ID109">
        <v>1904</v>
      </c>
      <c r="IE109">
        <v>1904</v>
      </c>
      <c r="IF109">
        <v>155</v>
      </c>
      <c r="IG109">
        <v>145</v>
      </c>
      <c r="IH109">
        <v>192</v>
      </c>
      <c r="II109">
        <v>1</v>
      </c>
      <c r="IJ109">
        <v>5</v>
      </c>
      <c r="IK109">
        <v>0</v>
      </c>
      <c r="IL109">
        <v>0</v>
      </c>
      <c r="IM109">
        <v>0</v>
      </c>
      <c r="IN109">
        <v>270</v>
      </c>
      <c r="IO109">
        <v>0</v>
      </c>
      <c r="IP109">
        <v>180</v>
      </c>
      <c r="IQ109">
        <v>0</v>
      </c>
      <c r="IR109">
        <v>310</v>
      </c>
      <c r="IS109">
        <v>0</v>
      </c>
      <c r="IT109">
        <v>90</v>
      </c>
      <c r="IU109">
        <v>0</v>
      </c>
      <c r="IV109">
        <v>6.4</v>
      </c>
      <c r="IW109">
        <v>-6</v>
      </c>
      <c r="IX109">
        <v>81</v>
      </c>
      <c r="IY109">
        <v>72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356</v>
      </c>
      <c r="JJ109">
        <v>330</v>
      </c>
      <c r="JK109">
        <v>235</v>
      </c>
      <c r="JL109">
        <v>328</v>
      </c>
      <c r="JM109">
        <v>260</v>
      </c>
      <c r="JN109">
        <v>150</v>
      </c>
      <c r="JO109">
        <v>204</v>
      </c>
      <c r="JP109">
        <v>210</v>
      </c>
      <c r="JQ109">
        <v>260</v>
      </c>
      <c r="JR109">
        <v>355</v>
      </c>
      <c r="JS109">
        <v>260</v>
      </c>
      <c r="JT109">
        <v>0</v>
      </c>
      <c r="JU109">
        <v>0</v>
      </c>
      <c r="JV109">
        <v>335</v>
      </c>
      <c r="JW109">
        <v>337</v>
      </c>
      <c r="JX109">
        <v>350</v>
      </c>
      <c r="JY109">
        <v>330</v>
      </c>
      <c r="JZ109">
        <v>1.5</v>
      </c>
      <c r="KA109">
        <v>0.2</v>
      </c>
      <c r="KB109">
        <v>0.42</v>
      </c>
      <c r="KC109">
        <v>0.43</v>
      </c>
      <c r="KD109">
        <v>0.2</v>
      </c>
      <c r="KE109">
        <v>0.5</v>
      </c>
      <c r="KF109">
        <v>0.2</v>
      </c>
      <c r="KG109">
        <v>0.1</v>
      </c>
      <c r="KH109">
        <v>6</v>
      </c>
      <c r="KI109">
        <v>1</v>
      </c>
      <c r="KJ109">
        <v>4.5</v>
      </c>
      <c r="KK109">
        <v>3.5</v>
      </c>
      <c r="KL109">
        <v>4.5</v>
      </c>
      <c r="KM109">
        <v>4</v>
      </c>
      <c r="KN109">
        <v>1.2</v>
      </c>
      <c r="KO109">
        <v>0</v>
      </c>
      <c r="KP109">
        <v>0</v>
      </c>
      <c r="KQ109">
        <v>1</v>
      </c>
      <c r="KR109">
        <v>1.2</v>
      </c>
      <c r="KS109">
        <v>0</v>
      </c>
      <c r="KT109">
        <v>2.5</v>
      </c>
      <c r="KU109">
        <v>0</v>
      </c>
      <c r="KV109">
        <v>0</v>
      </c>
      <c r="KW109">
        <v>1.2</v>
      </c>
      <c r="KX109">
        <v>2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3</v>
      </c>
      <c r="LI109">
        <v>1</v>
      </c>
      <c r="LJ109">
        <v>0</v>
      </c>
      <c r="LK109">
        <v>3</v>
      </c>
      <c r="LL109">
        <v>10</v>
      </c>
      <c r="LM109">
        <v>4</v>
      </c>
      <c r="LN109">
        <v>1</v>
      </c>
      <c r="LO109">
        <v>3</v>
      </c>
      <c r="LP109">
        <v>0</v>
      </c>
      <c r="LQ109">
        <v>0</v>
      </c>
      <c r="LR109">
        <v>0</v>
      </c>
      <c r="LS109">
        <v>1</v>
      </c>
      <c r="LT109">
        <v>0</v>
      </c>
      <c r="LU109">
        <v>0</v>
      </c>
      <c r="LV109">
        <v>0</v>
      </c>
      <c r="LW109">
        <v>1.4</v>
      </c>
      <c r="LX109">
        <v>1.4</v>
      </c>
      <c r="LY109">
        <v>2.1</v>
      </c>
      <c r="LZ109">
        <v>2.1</v>
      </c>
      <c r="MA109">
        <v>0</v>
      </c>
      <c r="MB109">
        <v>3</v>
      </c>
      <c r="MC109">
        <v>0</v>
      </c>
      <c r="MD109">
        <v>4.5</v>
      </c>
      <c r="ME109">
        <v>9</v>
      </c>
      <c r="MF109">
        <v>9</v>
      </c>
      <c r="MI109">
        <v>0</v>
      </c>
      <c r="MJ109">
        <v>0</v>
      </c>
      <c r="ML109">
        <v>0</v>
      </c>
      <c r="MM109">
        <v>358</v>
      </c>
      <c r="MN109">
        <v>180</v>
      </c>
      <c r="MO109">
        <v>198</v>
      </c>
      <c r="NU109">
        <v>0.15</v>
      </c>
      <c r="NV109">
        <v>0.2</v>
      </c>
      <c r="NW109">
        <v>0.4</v>
      </c>
      <c r="NX109">
        <v>0.5</v>
      </c>
      <c r="NY109">
        <v>2</v>
      </c>
      <c r="NZ109">
        <v>2</v>
      </c>
      <c r="OE109" t="s">
        <v>4494</v>
      </c>
      <c r="OF109" t="s">
        <v>4492</v>
      </c>
      <c r="OG109" t="s">
        <v>4493</v>
      </c>
      <c r="OH109" t="s">
        <v>4043</v>
      </c>
      <c r="OI109" t="s">
        <v>4494</v>
      </c>
      <c r="OJ109" t="s">
        <v>4491</v>
      </c>
      <c r="OK109">
        <v>61</v>
      </c>
      <c r="OL109">
        <v>61</v>
      </c>
      <c r="OM109" t="s">
        <v>4492</v>
      </c>
      <c r="ON109">
        <v>3</v>
      </c>
      <c r="OO109">
        <v>1873</v>
      </c>
      <c r="OP109">
        <v>61</v>
      </c>
      <c r="OQ109">
        <v>61</v>
      </c>
      <c r="OR109" t="s">
        <v>4493</v>
      </c>
      <c r="OS109">
        <v>3</v>
      </c>
      <c r="OT109">
        <v>1880</v>
      </c>
      <c r="OU109">
        <v>65</v>
      </c>
      <c r="OV109">
        <v>65</v>
      </c>
      <c r="OW109" t="s">
        <v>4043</v>
      </c>
      <c r="OX109">
        <v>2</v>
      </c>
      <c r="OY109">
        <v>28217</v>
      </c>
      <c r="OZ109">
        <v>51</v>
      </c>
      <c r="PA109">
        <v>51</v>
      </c>
      <c r="PB109" t="s">
        <v>4494</v>
      </c>
      <c r="PC109">
        <v>1</v>
      </c>
      <c r="PD109">
        <v>1904</v>
      </c>
      <c r="PF109">
        <v>283</v>
      </c>
      <c r="PG109">
        <v>29</v>
      </c>
      <c r="PH109">
        <v>265</v>
      </c>
      <c r="PI109">
        <v>29</v>
      </c>
      <c r="PJ109">
        <v>47.8</v>
      </c>
      <c r="PL109">
        <v>980.6</v>
      </c>
      <c r="PM109">
        <v>180.6</v>
      </c>
      <c r="PN109">
        <v>78.2</v>
      </c>
      <c r="PO109">
        <v>8.1</v>
      </c>
      <c r="PP109">
        <v>12</v>
      </c>
      <c r="PQ109">
        <v>1</v>
      </c>
      <c r="PR109">
        <v>1</v>
      </c>
      <c r="PS109">
        <v>7</v>
      </c>
      <c r="PT109">
        <v>192</v>
      </c>
      <c r="PU109">
        <v>10</v>
      </c>
      <c r="PV109" t="s">
        <v>4072</v>
      </c>
      <c r="PW109" t="s">
        <v>4072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-1</v>
      </c>
      <c r="QF109">
        <v>1</v>
      </c>
      <c r="QG109">
        <v>0</v>
      </c>
      <c r="QH109">
        <v>5</v>
      </c>
      <c r="QI109">
        <v>5</v>
      </c>
      <c r="QJ109">
        <v>5</v>
      </c>
      <c r="QK109">
        <v>173</v>
      </c>
      <c r="QL109">
        <v>390</v>
      </c>
      <c r="QM109">
        <v>7.5</v>
      </c>
      <c r="QN109">
        <v>1202.7</v>
      </c>
      <c r="QO109" t="s">
        <v>1888</v>
      </c>
      <c r="QP109" t="s">
        <v>513</v>
      </c>
      <c r="QQ109">
        <v>0</v>
      </c>
      <c r="QR109" t="s">
        <v>1496</v>
      </c>
      <c r="QS109">
        <v>30</v>
      </c>
      <c r="QT109">
        <v>40</v>
      </c>
    </row>
    <row r="110" spans="1:462">
      <c r="A110" t="s">
        <v>1912</v>
      </c>
      <c r="B110" t="s">
        <v>729</v>
      </c>
      <c r="C110" t="s">
        <v>509</v>
      </c>
      <c r="D110" t="s">
        <v>1668</v>
      </c>
      <c r="E110" t="s">
        <v>4036</v>
      </c>
      <c r="H110" t="s">
        <v>627</v>
      </c>
      <c r="I110" t="s">
        <v>604</v>
      </c>
      <c r="J110" t="s">
        <v>628</v>
      </c>
      <c r="K110" t="s">
        <v>606</v>
      </c>
      <c r="L110" t="s">
        <v>897</v>
      </c>
      <c r="M110" t="s">
        <v>512</v>
      </c>
      <c r="O110" t="s">
        <v>513</v>
      </c>
      <c r="P110" t="s">
        <v>567</v>
      </c>
      <c r="Q110" t="s">
        <v>1681</v>
      </c>
      <c r="R110" t="s">
        <v>1682</v>
      </c>
      <c r="S110" t="s">
        <v>4170</v>
      </c>
      <c r="T110" t="s">
        <v>520</v>
      </c>
      <c r="U110" t="s">
        <v>521</v>
      </c>
      <c r="V110" t="s">
        <v>1913</v>
      </c>
      <c r="W110" t="s">
        <v>1880</v>
      </c>
      <c r="X110" t="s">
        <v>1914</v>
      </c>
      <c r="Y110" t="s">
        <v>1915</v>
      </c>
      <c r="Z110" t="s">
        <v>541</v>
      </c>
      <c r="AA110" t="s">
        <v>4038</v>
      </c>
      <c r="AB110" t="s">
        <v>4495</v>
      </c>
      <c r="AC110">
        <v>9</v>
      </c>
      <c r="AD110" t="s">
        <v>1911</v>
      </c>
      <c r="AE110">
        <v>9</v>
      </c>
      <c r="AF110">
        <v>3829</v>
      </c>
      <c r="AG110" t="s">
        <v>4496</v>
      </c>
      <c r="AH110">
        <v>1</v>
      </c>
      <c r="AI110" t="s">
        <v>4041</v>
      </c>
      <c r="AK110" t="s">
        <v>4497</v>
      </c>
      <c r="AL110">
        <v>1</v>
      </c>
      <c r="AM110" t="s">
        <v>582</v>
      </c>
      <c r="AO110" t="s">
        <v>4426</v>
      </c>
      <c r="AP110">
        <v>1</v>
      </c>
      <c r="AR110" t="s">
        <v>4498</v>
      </c>
      <c r="AS110">
        <v>1</v>
      </c>
      <c r="AT110">
        <v>52</v>
      </c>
      <c r="AV110" t="s">
        <v>4045</v>
      </c>
      <c r="AW110">
        <v>6.4</v>
      </c>
      <c r="AX110">
        <v>-6</v>
      </c>
      <c r="AY110">
        <v>86</v>
      </c>
      <c r="AZ110">
        <v>73.5</v>
      </c>
      <c r="BH110">
        <v>86</v>
      </c>
      <c r="BI110">
        <v>12.5</v>
      </c>
      <c r="BJ110">
        <v>73.5</v>
      </c>
      <c r="BK110">
        <v>3.5</v>
      </c>
      <c r="BL110">
        <v>172</v>
      </c>
      <c r="BM110">
        <v>-6</v>
      </c>
      <c r="BN110">
        <v>0</v>
      </c>
      <c r="BP110">
        <v>0</v>
      </c>
      <c r="BR110">
        <v>165</v>
      </c>
      <c r="BS110">
        <v>155</v>
      </c>
      <c r="BT110">
        <v>1920</v>
      </c>
      <c r="BU110" t="s">
        <v>4047</v>
      </c>
      <c r="BV110" t="s">
        <v>4047</v>
      </c>
      <c r="BW110" t="s">
        <v>4049</v>
      </c>
      <c r="BX110" t="s">
        <v>4049</v>
      </c>
      <c r="BY110" t="s">
        <v>4144</v>
      </c>
      <c r="BZ110" t="s">
        <v>4050</v>
      </c>
      <c r="CA110" t="s">
        <v>4051</v>
      </c>
      <c r="CB110" t="s">
        <v>4052</v>
      </c>
      <c r="CC110" t="s">
        <v>4053</v>
      </c>
      <c r="CD110" t="s">
        <v>4054</v>
      </c>
      <c r="CE110" t="s">
        <v>4055</v>
      </c>
      <c r="CF110" t="s">
        <v>4055</v>
      </c>
      <c r="CG110" t="s">
        <v>4056</v>
      </c>
      <c r="CH110" t="s">
        <v>4057</v>
      </c>
      <c r="CI110" t="s">
        <v>4216</v>
      </c>
      <c r="CJ110" t="s">
        <v>4059</v>
      </c>
      <c r="CK110" t="s">
        <v>4060</v>
      </c>
      <c r="CL110" t="s">
        <v>4061</v>
      </c>
      <c r="CM110" t="s">
        <v>4062</v>
      </c>
      <c r="CN110" t="s">
        <v>4055</v>
      </c>
      <c r="CO110" t="s">
        <v>4063</v>
      </c>
      <c r="CP110" t="s">
        <v>4055</v>
      </c>
      <c r="CQ110" t="s">
        <v>4055</v>
      </c>
      <c r="CR110">
        <v>5</v>
      </c>
      <c r="CS110" t="s">
        <v>4055</v>
      </c>
      <c r="CT110" t="s">
        <v>4055</v>
      </c>
      <c r="CU110" t="s">
        <v>4055</v>
      </c>
      <c r="CV110">
        <v>105</v>
      </c>
      <c r="CW110">
        <v>3</v>
      </c>
      <c r="CX110">
        <v>67</v>
      </c>
      <c r="CY110">
        <v>5</v>
      </c>
      <c r="CZ110">
        <v>61</v>
      </c>
      <c r="DA110">
        <v>5</v>
      </c>
      <c r="DB110">
        <v>8350</v>
      </c>
      <c r="DC110">
        <v>260</v>
      </c>
      <c r="DD110">
        <v>290</v>
      </c>
      <c r="DE110">
        <v>2012</v>
      </c>
      <c r="DF110">
        <v>2012</v>
      </c>
      <c r="DG110">
        <v>2022</v>
      </c>
      <c r="DH110">
        <v>3</v>
      </c>
      <c r="DI110" t="s">
        <v>4055</v>
      </c>
      <c r="DJ110" t="s">
        <v>4100</v>
      </c>
      <c r="DK110">
        <v>165</v>
      </c>
      <c r="DL110" t="s">
        <v>4101</v>
      </c>
      <c r="DM110">
        <v>63</v>
      </c>
      <c r="DN110">
        <v>0.84</v>
      </c>
      <c r="DO110">
        <v>1</v>
      </c>
      <c r="DP110">
        <v>1923</v>
      </c>
      <c r="DQ110">
        <v>581</v>
      </c>
      <c r="DR110" t="s">
        <v>4100</v>
      </c>
      <c r="DS110">
        <v>155</v>
      </c>
      <c r="DT110" t="s">
        <v>4101</v>
      </c>
      <c r="DU110">
        <v>63</v>
      </c>
      <c r="DV110">
        <v>0.84</v>
      </c>
      <c r="DW110">
        <v>1</v>
      </c>
      <c r="DX110">
        <v>1930</v>
      </c>
      <c r="DY110">
        <v>546</v>
      </c>
      <c r="DZ110" t="s">
        <v>4066</v>
      </c>
      <c r="EA110">
        <v>33</v>
      </c>
      <c r="EB110" t="s">
        <v>4065</v>
      </c>
      <c r="EC110">
        <v>0.4</v>
      </c>
      <c r="ED110">
        <v>1923</v>
      </c>
      <c r="EE110">
        <v>56</v>
      </c>
      <c r="EF110" t="s">
        <v>4066</v>
      </c>
      <c r="EG110">
        <v>33</v>
      </c>
      <c r="EH110" t="s">
        <v>4065</v>
      </c>
      <c r="EI110">
        <v>0.4</v>
      </c>
      <c r="EJ110">
        <v>1930</v>
      </c>
      <c r="EK110">
        <v>56</v>
      </c>
      <c r="EL110" t="s">
        <v>4429</v>
      </c>
      <c r="EM110">
        <v>12</v>
      </c>
      <c r="EN110">
        <v>0.5</v>
      </c>
      <c r="EO110">
        <v>0.9</v>
      </c>
      <c r="EP110">
        <v>1930.56</v>
      </c>
      <c r="EQ110">
        <v>27751.8</v>
      </c>
      <c r="ER110">
        <v>3781.67</v>
      </c>
      <c r="ES110">
        <v>0</v>
      </c>
      <c r="ET110">
        <v>0</v>
      </c>
      <c r="EU110">
        <v>1</v>
      </c>
      <c r="EV110">
        <v>31534</v>
      </c>
      <c r="EW110">
        <v>379</v>
      </c>
      <c r="EX110" t="s">
        <v>4363</v>
      </c>
      <c r="EY110">
        <v>180</v>
      </c>
      <c r="EZ110" t="s">
        <v>4055</v>
      </c>
      <c r="FA110">
        <v>6</v>
      </c>
      <c r="FB110">
        <v>1</v>
      </c>
      <c r="FC110">
        <v>1</v>
      </c>
      <c r="FD110">
        <v>1960</v>
      </c>
      <c r="FE110">
        <v>2257</v>
      </c>
      <c r="FF110" t="s">
        <v>4089</v>
      </c>
      <c r="FG110">
        <v>180</v>
      </c>
      <c r="FH110" t="s">
        <v>4055</v>
      </c>
      <c r="FI110">
        <v>1.1</v>
      </c>
      <c r="FJ110">
        <v>1960</v>
      </c>
      <c r="FK110">
        <v>374</v>
      </c>
      <c r="FL110" t="s">
        <v>4069</v>
      </c>
      <c r="FM110" t="s">
        <v>4055</v>
      </c>
      <c r="FN110" t="s">
        <v>4055</v>
      </c>
      <c r="FO110" t="s">
        <v>4055</v>
      </c>
      <c r="FP110">
        <v>1960</v>
      </c>
      <c r="FQ110">
        <v>93</v>
      </c>
      <c r="FR110" t="s">
        <v>4090</v>
      </c>
      <c r="FS110">
        <v>184</v>
      </c>
      <c r="FT110" t="s">
        <v>4055</v>
      </c>
      <c r="FU110">
        <v>0.4</v>
      </c>
      <c r="FV110">
        <v>1960</v>
      </c>
      <c r="FW110">
        <v>162</v>
      </c>
      <c r="FX110" t="s">
        <v>4070</v>
      </c>
      <c r="FY110">
        <v>5</v>
      </c>
      <c r="FZ110" t="s">
        <v>4055</v>
      </c>
      <c r="GA110" t="s">
        <v>4055</v>
      </c>
      <c r="GB110">
        <v>1960</v>
      </c>
      <c r="GC110">
        <v>17</v>
      </c>
      <c r="GD110">
        <v>2903</v>
      </c>
      <c r="GE110" t="s">
        <v>4498</v>
      </c>
      <c r="GF110" t="s">
        <v>4055</v>
      </c>
      <c r="GG110" t="s">
        <v>4055</v>
      </c>
      <c r="GH110" t="s">
        <v>4055</v>
      </c>
      <c r="GI110" t="s">
        <v>4071</v>
      </c>
      <c r="GJ110" t="s">
        <v>4055</v>
      </c>
      <c r="GK110" t="s">
        <v>4055</v>
      </c>
      <c r="GL110" t="s">
        <v>4055</v>
      </c>
      <c r="GM110" t="s">
        <v>4055</v>
      </c>
      <c r="GQ110">
        <v>0</v>
      </c>
      <c r="GV110">
        <v>7.5</v>
      </c>
      <c r="GW110">
        <v>7.8</v>
      </c>
      <c r="GX110">
        <v>0.5</v>
      </c>
      <c r="GY110">
        <v>144</v>
      </c>
      <c r="GZ110">
        <v>3</v>
      </c>
      <c r="HA110">
        <v>200</v>
      </c>
      <c r="HB110">
        <v>3</v>
      </c>
      <c r="HC110">
        <v>1960</v>
      </c>
      <c r="HD110">
        <v>4</v>
      </c>
      <c r="HE110" t="s">
        <v>4071</v>
      </c>
      <c r="HG110" t="s">
        <v>549</v>
      </c>
      <c r="HL110">
        <v>4</v>
      </c>
      <c r="HM110">
        <v>16</v>
      </c>
      <c r="HN110">
        <v>6</v>
      </c>
      <c r="HO110">
        <v>1</v>
      </c>
      <c r="HP110">
        <v>0</v>
      </c>
      <c r="HQ110">
        <v>0</v>
      </c>
      <c r="HR110">
        <v>3</v>
      </c>
      <c r="HS110">
        <v>1920</v>
      </c>
      <c r="HT110">
        <v>5</v>
      </c>
      <c r="HU110">
        <v>1</v>
      </c>
      <c r="HV110">
        <v>5</v>
      </c>
      <c r="HW110">
        <v>0</v>
      </c>
      <c r="HX110">
        <v>1</v>
      </c>
      <c r="HY110">
        <v>0</v>
      </c>
      <c r="HZ110">
        <v>63</v>
      </c>
      <c r="IA110">
        <v>1923</v>
      </c>
      <c r="IB110">
        <v>1930</v>
      </c>
      <c r="ID110">
        <v>1960</v>
      </c>
      <c r="IE110">
        <v>1960</v>
      </c>
      <c r="IF110">
        <v>165</v>
      </c>
      <c r="IG110">
        <v>155</v>
      </c>
      <c r="IH110">
        <v>200</v>
      </c>
      <c r="II110">
        <v>1</v>
      </c>
      <c r="IJ110">
        <v>5</v>
      </c>
      <c r="IK110">
        <v>0</v>
      </c>
      <c r="IL110">
        <v>1</v>
      </c>
      <c r="IM110">
        <v>0</v>
      </c>
      <c r="IN110">
        <v>270</v>
      </c>
      <c r="IO110">
        <v>0</v>
      </c>
      <c r="IP110">
        <v>180</v>
      </c>
      <c r="IQ110">
        <v>0</v>
      </c>
      <c r="IR110">
        <v>330</v>
      </c>
      <c r="IS110">
        <v>0</v>
      </c>
      <c r="IT110">
        <v>90</v>
      </c>
      <c r="IU110">
        <v>0</v>
      </c>
      <c r="IV110">
        <v>6.4</v>
      </c>
      <c r="IW110">
        <v>-6</v>
      </c>
      <c r="IX110">
        <v>86</v>
      </c>
      <c r="IY110">
        <v>73.5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364</v>
      </c>
      <c r="JJ110">
        <v>334</v>
      </c>
      <c r="JK110">
        <v>247</v>
      </c>
      <c r="JL110">
        <v>334</v>
      </c>
      <c r="JM110">
        <v>260</v>
      </c>
      <c r="JN110">
        <v>165</v>
      </c>
      <c r="JO110">
        <v>210</v>
      </c>
      <c r="JP110">
        <v>186</v>
      </c>
      <c r="JQ110">
        <v>240</v>
      </c>
      <c r="JR110">
        <v>330</v>
      </c>
      <c r="JS110">
        <v>265</v>
      </c>
      <c r="JT110">
        <v>0</v>
      </c>
      <c r="JU110">
        <v>0</v>
      </c>
      <c r="JV110">
        <v>320</v>
      </c>
      <c r="JW110">
        <v>317</v>
      </c>
      <c r="JX110">
        <v>325</v>
      </c>
      <c r="JY110">
        <v>315</v>
      </c>
      <c r="JZ110">
        <v>2.5</v>
      </c>
      <c r="KA110">
        <v>0.2</v>
      </c>
      <c r="KB110">
        <v>0.4</v>
      </c>
      <c r="KC110">
        <v>0.42</v>
      </c>
      <c r="KD110">
        <v>0.28</v>
      </c>
      <c r="KE110">
        <v>0.5</v>
      </c>
      <c r="KF110">
        <v>0.19</v>
      </c>
      <c r="KG110">
        <v>0.1</v>
      </c>
      <c r="KH110">
        <v>6</v>
      </c>
      <c r="KI110">
        <v>1</v>
      </c>
      <c r="KJ110">
        <v>5</v>
      </c>
      <c r="KK110">
        <v>0</v>
      </c>
      <c r="KL110">
        <v>5</v>
      </c>
      <c r="KM110">
        <v>0</v>
      </c>
      <c r="KN110">
        <v>1.2</v>
      </c>
      <c r="KO110">
        <v>0</v>
      </c>
      <c r="KP110">
        <v>0</v>
      </c>
      <c r="KQ110">
        <v>1.5</v>
      </c>
      <c r="KR110">
        <v>1.5</v>
      </c>
      <c r="KS110">
        <v>0</v>
      </c>
      <c r="KT110">
        <v>2.2</v>
      </c>
      <c r="KU110">
        <v>0</v>
      </c>
      <c r="KV110">
        <v>0</v>
      </c>
      <c r="KW110">
        <v>1.1</v>
      </c>
      <c r="KX110">
        <v>2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3</v>
      </c>
      <c r="LI110">
        <v>2.5</v>
      </c>
      <c r="LJ110">
        <v>0</v>
      </c>
      <c r="LK110">
        <v>5</v>
      </c>
      <c r="LL110">
        <v>7.5</v>
      </c>
      <c r="LM110">
        <v>8</v>
      </c>
      <c r="LN110">
        <v>0.5</v>
      </c>
      <c r="LO110">
        <v>0.3</v>
      </c>
      <c r="LP110">
        <v>0</v>
      </c>
      <c r="LQ110">
        <v>0</v>
      </c>
      <c r="LR110">
        <v>0</v>
      </c>
      <c r="LS110">
        <v>1</v>
      </c>
      <c r="LT110">
        <v>0</v>
      </c>
      <c r="LU110">
        <v>0</v>
      </c>
      <c r="LV110">
        <v>0</v>
      </c>
      <c r="LW110">
        <v>1.4</v>
      </c>
      <c r="LX110">
        <v>1.4</v>
      </c>
      <c r="LY110">
        <v>2.1</v>
      </c>
      <c r="LZ110">
        <v>2.1</v>
      </c>
      <c r="MA110">
        <v>0</v>
      </c>
      <c r="MB110">
        <v>5</v>
      </c>
      <c r="MC110">
        <v>0</v>
      </c>
      <c r="MD110">
        <v>4.5</v>
      </c>
      <c r="ME110">
        <v>6</v>
      </c>
      <c r="MF110">
        <v>6</v>
      </c>
      <c r="MI110">
        <v>0</v>
      </c>
      <c r="MJ110">
        <v>0</v>
      </c>
      <c r="ML110">
        <v>0</v>
      </c>
      <c r="MM110">
        <v>380</v>
      </c>
      <c r="MN110">
        <v>175</v>
      </c>
      <c r="MO110">
        <v>210</v>
      </c>
      <c r="NH110">
        <v>0</v>
      </c>
      <c r="NJ110">
        <v>0</v>
      </c>
      <c r="NK110">
        <v>0</v>
      </c>
      <c r="NM110">
        <v>0</v>
      </c>
      <c r="NU110">
        <v>0.15</v>
      </c>
      <c r="NV110">
        <v>0.3</v>
      </c>
      <c r="NW110">
        <v>0.3</v>
      </c>
      <c r="NX110">
        <v>2</v>
      </c>
      <c r="NY110">
        <v>2</v>
      </c>
      <c r="NZ110">
        <v>2</v>
      </c>
      <c r="OE110" t="s">
        <v>4498</v>
      </c>
      <c r="OF110" t="s">
        <v>4496</v>
      </c>
      <c r="OG110" t="s">
        <v>4497</v>
      </c>
      <c r="OH110" t="s">
        <v>4426</v>
      </c>
      <c r="OI110" t="s">
        <v>4498</v>
      </c>
      <c r="OJ110" t="s">
        <v>4495</v>
      </c>
      <c r="OK110">
        <v>61</v>
      </c>
      <c r="OL110">
        <v>61</v>
      </c>
      <c r="OM110" t="s">
        <v>4496</v>
      </c>
      <c r="ON110">
        <v>3</v>
      </c>
      <c r="OO110">
        <v>1923</v>
      </c>
      <c r="OP110">
        <v>61</v>
      </c>
      <c r="OQ110">
        <v>61</v>
      </c>
      <c r="OR110" t="s">
        <v>4497</v>
      </c>
      <c r="OS110">
        <v>3</v>
      </c>
      <c r="OT110">
        <v>1930</v>
      </c>
      <c r="OU110">
        <v>65</v>
      </c>
      <c r="OV110">
        <v>65</v>
      </c>
      <c r="OW110" t="s">
        <v>4426</v>
      </c>
      <c r="OX110">
        <v>1</v>
      </c>
      <c r="OY110">
        <v>31534</v>
      </c>
      <c r="OZ110">
        <v>51</v>
      </c>
      <c r="PA110">
        <v>52</v>
      </c>
      <c r="PB110" t="s">
        <v>4498</v>
      </c>
      <c r="PC110">
        <v>3</v>
      </c>
      <c r="PD110">
        <v>1960</v>
      </c>
      <c r="PF110">
        <v>302</v>
      </c>
      <c r="PG110">
        <v>29</v>
      </c>
      <c r="PH110">
        <v>283</v>
      </c>
      <c r="PI110">
        <v>29</v>
      </c>
      <c r="PJ110">
        <v>47.7</v>
      </c>
      <c r="PK110">
        <v>1519</v>
      </c>
      <c r="PL110">
        <v>1151.5</v>
      </c>
      <c r="PM110">
        <v>190.8</v>
      </c>
      <c r="PN110">
        <v>82.7</v>
      </c>
      <c r="PO110">
        <v>8.699999999999999</v>
      </c>
      <c r="PP110">
        <v>12</v>
      </c>
      <c r="PQ110">
        <v>1</v>
      </c>
      <c r="PR110">
        <v>1</v>
      </c>
      <c r="PS110">
        <v>7</v>
      </c>
      <c r="PT110">
        <v>200</v>
      </c>
      <c r="PU110">
        <v>10</v>
      </c>
      <c r="PV110" t="s">
        <v>4072</v>
      </c>
      <c r="PW110" t="s">
        <v>4072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-1</v>
      </c>
      <c r="QF110">
        <v>1</v>
      </c>
      <c r="QG110">
        <v>0</v>
      </c>
      <c r="QH110">
        <v>5</v>
      </c>
      <c r="QI110">
        <v>5</v>
      </c>
      <c r="QJ110">
        <v>5</v>
      </c>
      <c r="QK110">
        <v>197</v>
      </c>
      <c r="QL110">
        <v>394</v>
      </c>
      <c r="QM110">
        <v>7.5</v>
      </c>
      <c r="QN110">
        <v>1282.5</v>
      </c>
      <c r="QO110" t="s">
        <v>1888</v>
      </c>
      <c r="QP110" t="s">
        <v>513</v>
      </c>
      <c r="QQ110">
        <v>0</v>
      </c>
      <c r="QR110" t="s">
        <v>1343</v>
      </c>
      <c r="QS110">
        <v>40</v>
      </c>
      <c r="QT110">
        <v>50</v>
      </c>
    </row>
    <row r="111" spans="1:462">
      <c r="A111" t="s">
        <v>1922</v>
      </c>
      <c r="B111" t="s">
        <v>727</v>
      </c>
      <c r="C111" t="s">
        <v>509</v>
      </c>
      <c r="D111" t="s">
        <v>1668</v>
      </c>
      <c r="E111" t="s">
        <v>4036</v>
      </c>
      <c r="H111" t="s">
        <v>627</v>
      </c>
      <c r="I111" t="s">
        <v>604</v>
      </c>
      <c r="J111" t="s">
        <v>628</v>
      </c>
      <c r="K111" t="s">
        <v>606</v>
      </c>
      <c r="L111" t="s">
        <v>729</v>
      </c>
      <c r="M111" t="s">
        <v>512</v>
      </c>
      <c r="O111" t="s">
        <v>513</v>
      </c>
      <c r="P111" t="s">
        <v>567</v>
      </c>
      <c r="Q111" t="s">
        <v>939</v>
      </c>
      <c r="R111" t="s">
        <v>759</v>
      </c>
      <c r="S111" t="s">
        <v>4037</v>
      </c>
      <c r="T111" t="s">
        <v>633</v>
      </c>
      <c r="U111" t="s">
        <v>634</v>
      </c>
      <c r="V111" t="s">
        <v>1923</v>
      </c>
      <c r="W111" t="s">
        <v>1880</v>
      </c>
      <c r="X111" t="s">
        <v>1924</v>
      </c>
      <c r="Y111" t="s">
        <v>1925</v>
      </c>
      <c r="Z111" t="s">
        <v>541</v>
      </c>
      <c r="AA111" t="s">
        <v>4038</v>
      </c>
      <c r="AB111" t="s">
        <v>4499</v>
      </c>
      <c r="AC111">
        <v>9</v>
      </c>
      <c r="AD111" t="s">
        <v>1921</v>
      </c>
      <c r="AE111">
        <v>10</v>
      </c>
      <c r="AF111">
        <v>4225</v>
      </c>
      <c r="AG111" t="s">
        <v>4500</v>
      </c>
      <c r="AH111">
        <v>1</v>
      </c>
      <c r="AI111" t="s">
        <v>4041</v>
      </c>
      <c r="AK111" t="s">
        <v>4501</v>
      </c>
      <c r="AL111">
        <v>1</v>
      </c>
      <c r="AM111" t="s">
        <v>582</v>
      </c>
      <c r="AO111" t="s">
        <v>4426</v>
      </c>
      <c r="AP111">
        <v>1</v>
      </c>
      <c r="AR111" t="s">
        <v>4502</v>
      </c>
      <c r="AS111">
        <v>1</v>
      </c>
      <c r="AT111">
        <v>52</v>
      </c>
      <c r="AV111" t="s">
        <v>4045</v>
      </c>
      <c r="AW111">
        <v>6.4</v>
      </c>
      <c r="AX111">
        <v>-6</v>
      </c>
      <c r="AY111">
        <v>98.5</v>
      </c>
      <c r="AZ111">
        <v>89.5</v>
      </c>
      <c r="BH111">
        <v>98.5</v>
      </c>
      <c r="BI111">
        <v>9</v>
      </c>
      <c r="BJ111">
        <v>89.5</v>
      </c>
      <c r="BK111">
        <v>3.5</v>
      </c>
      <c r="BL111">
        <v>197</v>
      </c>
      <c r="BM111">
        <v>-6</v>
      </c>
      <c r="BN111">
        <v>0</v>
      </c>
      <c r="BP111">
        <v>0</v>
      </c>
      <c r="BR111">
        <v>190</v>
      </c>
      <c r="BS111">
        <v>180</v>
      </c>
      <c r="BT111">
        <v>1960</v>
      </c>
      <c r="BU111" t="s">
        <v>4047</v>
      </c>
      <c r="BV111" t="s">
        <v>4096</v>
      </c>
      <c r="BW111" t="s">
        <v>4049</v>
      </c>
      <c r="BX111" t="s">
        <v>4097</v>
      </c>
      <c r="BY111" t="s">
        <v>4107</v>
      </c>
      <c r="BZ111" t="s">
        <v>4107</v>
      </c>
      <c r="CA111" t="s">
        <v>4108</v>
      </c>
      <c r="CB111" t="s">
        <v>4109</v>
      </c>
      <c r="CC111" t="s">
        <v>4053</v>
      </c>
      <c r="CD111" t="s">
        <v>4110</v>
      </c>
      <c r="CE111" t="s">
        <v>4055</v>
      </c>
      <c r="CF111" t="s">
        <v>4055</v>
      </c>
      <c r="CG111" t="s">
        <v>4056</v>
      </c>
      <c r="CH111" t="s">
        <v>4099</v>
      </c>
      <c r="CI111" t="s">
        <v>4216</v>
      </c>
      <c r="CJ111" t="s">
        <v>4059</v>
      </c>
      <c r="CK111" t="s">
        <v>4060</v>
      </c>
      <c r="CL111" t="s">
        <v>4061</v>
      </c>
      <c r="CM111" t="s">
        <v>4055</v>
      </c>
      <c r="CN111" t="s">
        <v>4062</v>
      </c>
      <c r="CO111" t="s">
        <v>4063</v>
      </c>
      <c r="CP111" t="s">
        <v>4055</v>
      </c>
      <c r="CQ111" t="s">
        <v>4055</v>
      </c>
      <c r="CR111">
        <v>5</v>
      </c>
      <c r="CS111" t="s">
        <v>4055</v>
      </c>
      <c r="CT111">
        <v>15</v>
      </c>
      <c r="CU111" t="s">
        <v>4055</v>
      </c>
      <c r="CV111">
        <v>115</v>
      </c>
      <c r="CW111">
        <v>3</v>
      </c>
      <c r="CX111">
        <v>88</v>
      </c>
      <c r="CY111">
        <v>5</v>
      </c>
      <c r="CZ111">
        <v>68</v>
      </c>
      <c r="DA111">
        <v>5</v>
      </c>
      <c r="DB111">
        <v>9370</v>
      </c>
      <c r="DC111">
        <v>280</v>
      </c>
      <c r="DD111">
        <v>305</v>
      </c>
      <c r="DE111">
        <v>2052</v>
      </c>
      <c r="DF111">
        <v>2052</v>
      </c>
      <c r="DG111">
        <v>2072</v>
      </c>
      <c r="DH111">
        <v>3</v>
      </c>
      <c r="DI111" t="s">
        <v>4055</v>
      </c>
      <c r="DJ111" t="s">
        <v>4100</v>
      </c>
      <c r="DK111">
        <v>190</v>
      </c>
      <c r="DL111" t="s">
        <v>4101</v>
      </c>
      <c r="DM111">
        <v>63</v>
      </c>
      <c r="DN111">
        <v>0.84</v>
      </c>
      <c r="DO111">
        <v>1</v>
      </c>
      <c r="DP111">
        <v>1963</v>
      </c>
      <c r="DQ111">
        <v>681</v>
      </c>
      <c r="DR111" t="s">
        <v>4100</v>
      </c>
      <c r="DS111">
        <v>180</v>
      </c>
      <c r="DT111" t="s">
        <v>4101</v>
      </c>
      <c r="DU111">
        <v>63</v>
      </c>
      <c r="DV111">
        <v>0.84</v>
      </c>
      <c r="DW111">
        <v>1</v>
      </c>
      <c r="DX111">
        <v>1970</v>
      </c>
      <c r="DY111">
        <v>648</v>
      </c>
      <c r="DZ111" t="s">
        <v>4066</v>
      </c>
      <c r="EA111">
        <v>33</v>
      </c>
      <c r="EB111" t="s">
        <v>4065</v>
      </c>
      <c r="EC111">
        <v>0.4</v>
      </c>
      <c r="ED111">
        <v>1963</v>
      </c>
      <c r="EE111">
        <v>57</v>
      </c>
      <c r="EF111" t="s">
        <v>4066</v>
      </c>
      <c r="EG111">
        <v>33</v>
      </c>
      <c r="EH111" t="s">
        <v>4065</v>
      </c>
      <c r="EI111">
        <v>0.4</v>
      </c>
      <c r="EJ111">
        <v>1970</v>
      </c>
      <c r="EK111">
        <v>57</v>
      </c>
      <c r="EL111" t="s">
        <v>4429</v>
      </c>
      <c r="EM111">
        <v>12</v>
      </c>
      <c r="EN111">
        <v>0.5</v>
      </c>
      <c r="EO111">
        <v>0.9</v>
      </c>
      <c r="EP111">
        <v>1970.56</v>
      </c>
      <c r="EQ111">
        <v>32175.55</v>
      </c>
      <c r="ER111">
        <v>2779.05</v>
      </c>
      <c r="ES111">
        <v>0</v>
      </c>
      <c r="ET111">
        <v>0</v>
      </c>
      <c r="EU111">
        <v>1</v>
      </c>
      <c r="EV111">
        <v>34955</v>
      </c>
      <c r="EW111">
        <v>420</v>
      </c>
      <c r="EX111" t="s">
        <v>4363</v>
      </c>
      <c r="EY111">
        <v>202</v>
      </c>
      <c r="EZ111" t="s">
        <v>4055</v>
      </c>
      <c r="FA111">
        <v>5.3</v>
      </c>
      <c r="FB111">
        <v>1</v>
      </c>
      <c r="FC111">
        <v>1</v>
      </c>
      <c r="FD111">
        <v>1998</v>
      </c>
      <c r="FE111">
        <v>2528</v>
      </c>
      <c r="FF111" t="s">
        <v>4089</v>
      </c>
      <c r="FG111">
        <v>202</v>
      </c>
      <c r="FH111" t="s">
        <v>4055</v>
      </c>
      <c r="FI111">
        <v>1.1</v>
      </c>
      <c r="FJ111">
        <v>1998</v>
      </c>
      <c r="FK111">
        <v>441</v>
      </c>
      <c r="FL111" t="s">
        <v>4069</v>
      </c>
      <c r="FM111" t="s">
        <v>4055</v>
      </c>
      <c r="FN111" t="s">
        <v>4055</v>
      </c>
      <c r="FO111" t="s">
        <v>4055</v>
      </c>
      <c r="FP111">
        <v>1998</v>
      </c>
      <c r="FQ111">
        <v>105</v>
      </c>
      <c r="FR111" t="s">
        <v>4090</v>
      </c>
      <c r="FS111">
        <v>206</v>
      </c>
      <c r="FT111" t="s">
        <v>4055</v>
      </c>
      <c r="FU111">
        <v>0.4</v>
      </c>
      <c r="FV111">
        <v>1998</v>
      </c>
      <c r="FW111">
        <v>183</v>
      </c>
      <c r="FX111" t="s">
        <v>4070</v>
      </c>
      <c r="FY111">
        <v>5</v>
      </c>
      <c r="FZ111" t="s">
        <v>4055</v>
      </c>
      <c r="GA111" t="s">
        <v>4055</v>
      </c>
      <c r="GB111">
        <v>1998</v>
      </c>
      <c r="GC111">
        <v>16</v>
      </c>
      <c r="GD111">
        <v>3273</v>
      </c>
      <c r="GE111" t="s">
        <v>4502</v>
      </c>
      <c r="GF111" t="s">
        <v>4055</v>
      </c>
      <c r="GG111" t="s">
        <v>4055</v>
      </c>
      <c r="GH111" t="s">
        <v>4055</v>
      </c>
      <c r="GI111" t="s">
        <v>4071</v>
      </c>
      <c r="GJ111" t="s">
        <v>4055</v>
      </c>
      <c r="GK111" t="s">
        <v>4055</v>
      </c>
      <c r="GL111" t="s">
        <v>4055</v>
      </c>
      <c r="GM111" t="s">
        <v>4055</v>
      </c>
      <c r="GQ111">
        <v>0</v>
      </c>
      <c r="GV111">
        <v>6.8</v>
      </c>
      <c r="GW111">
        <v>8.199999999999999</v>
      </c>
      <c r="GX111">
        <v>0.5</v>
      </c>
      <c r="GY111">
        <v>172</v>
      </c>
      <c r="GZ111">
        <v>3</v>
      </c>
      <c r="HA111">
        <v>218</v>
      </c>
      <c r="HB111">
        <v>3</v>
      </c>
      <c r="HC111">
        <v>1998</v>
      </c>
      <c r="HD111">
        <v>4</v>
      </c>
      <c r="HE111" t="s">
        <v>4071</v>
      </c>
      <c r="HG111" t="s">
        <v>549</v>
      </c>
      <c r="HL111">
        <v>4</v>
      </c>
      <c r="HM111">
        <v>17</v>
      </c>
      <c r="HN111">
        <v>6</v>
      </c>
      <c r="HO111">
        <v>1</v>
      </c>
      <c r="HP111">
        <v>0</v>
      </c>
      <c r="HQ111">
        <v>1</v>
      </c>
      <c r="HR111">
        <v>1</v>
      </c>
      <c r="HS111">
        <v>1960</v>
      </c>
      <c r="HT111">
        <v>5.5</v>
      </c>
      <c r="HU111">
        <v>1</v>
      </c>
      <c r="HV111">
        <v>0</v>
      </c>
      <c r="HW111">
        <v>0</v>
      </c>
      <c r="HX111">
        <v>1</v>
      </c>
      <c r="HY111">
        <v>0</v>
      </c>
      <c r="HZ111">
        <v>63</v>
      </c>
      <c r="IA111">
        <v>1963</v>
      </c>
      <c r="IB111">
        <v>1970</v>
      </c>
      <c r="ID111">
        <v>1998</v>
      </c>
      <c r="IE111">
        <v>1998</v>
      </c>
      <c r="IF111">
        <v>190</v>
      </c>
      <c r="IG111">
        <v>180</v>
      </c>
      <c r="IH111">
        <v>218</v>
      </c>
      <c r="II111">
        <v>1</v>
      </c>
      <c r="IJ111">
        <v>5</v>
      </c>
      <c r="IK111">
        <v>0</v>
      </c>
      <c r="IL111">
        <v>1</v>
      </c>
      <c r="IM111">
        <v>0</v>
      </c>
      <c r="IN111">
        <v>270</v>
      </c>
      <c r="IO111">
        <v>0</v>
      </c>
      <c r="IP111">
        <v>180</v>
      </c>
      <c r="IQ111">
        <v>250</v>
      </c>
      <c r="IR111">
        <v>330</v>
      </c>
      <c r="IS111">
        <v>0</v>
      </c>
      <c r="IT111">
        <v>90</v>
      </c>
      <c r="IU111">
        <v>0</v>
      </c>
      <c r="IV111">
        <v>6.4</v>
      </c>
      <c r="IW111">
        <v>-6</v>
      </c>
      <c r="IX111">
        <v>98.5</v>
      </c>
      <c r="IY111">
        <v>89.5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360</v>
      </c>
      <c r="JJ111">
        <v>342</v>
      </c>
      <c r="JK111">
        <v>230</v>
      </c>
      <c r="JL111">
        <v>340</v>
      </c>
      <c r="JM111">
        <v>255</v>
      </c>
      <c r="JN111">
        <v>190</v>
      </c>
      <c r="JO111">
        <v>235</v>
      </c>
      <c r="JP111">
        <v>200</v>
      </c>
      <c r="JQ111">
        <v>250</v>
      </c>
      <c r="JR111">
        <v>338</v>
      </c>
      <c r="JS111">
        <v>248</v>
      </c>
      <c r="JT111">
        <v>0</v>
      </c>
      <c r="JU111">
        <v>0</v>
      </c>
      <c r="JV111">
        <v>335</v>
      </c>
      <c r="JW111">
        <v>337</v>
      </c>
      <c r="JX111">
        <v>332</v>
      </c>
      <c r="JY111">
        <v>305</v>
      </c>
      <c r="JZ111">
        <v>1</v>
      </c>
      <c r="KA111">
        <v>0.25</v>
      </c>
      <c r="KB111">
        <v>0.4</v>
      </c>
      <c r="KC111">
        <v>0.42</v>
      </c>
      <c r="KD111">
        <v>0.28</v>
      </c>
      <c r="KE111">
        <v>0.6</v>
      </c>
      <c r="KF111">
        <v>0.21</v>
      </c>
      <c r="KG111">
        <v>0.1</v>
      </c>
      <c r="KH111">
        <v>6</v>
      </c>
      <c r="KI111">
        <v>1</v>
      </c>
      <c r="KJ111">
        <v>5</v>
      </c>
      <c r="KK111">
        <v>1</v>
      </c>
      <c r="KL111">
        <v>5</v>
      </c>
      <c r="KM111">
        <v>0</v>
      </c>
      <c r="KN111">
        <v>1</v>
      </c>
      <c r="KO111">
        <v>0</v>
      </c>
      <c r="KP111">
        <v>0</v>
      </c>
      <c r="KQ111">
        <v>1</v>
      </c>
      <c r="KR111">
        <v>0.8</v>
      </c>
      <c r="KS111">
        <v>0</v>
      </c>
      <c r="KT111">
        <v>2.5</v>
      </c>
      <c r="KU111">
        <v>0</v>
      </c>
      <c r="KV111">
        <v>0</v>
      </c>
      <c r="KW111">
        <v>0.8</v>
      </c>
      <c r="KX111">
        <v>2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2</v>
      </c>
      <c r="LI111">
        <v>1</v>
      </c>
      <c r="LJ111">
        <v>0</v>
      </c>
      <c r="LK111">
        <v>7</v>
      </c>
      <c r="LL111">
        <v>7</v>
      </c>
      <c r="LM111">
        <v>5</v>
      </c>
      <c r="LN111">
        <v>0.5</v>
      </c>
      <c r="LO111">
        <v>0.3</v>
      </c>
      <c r="LP111">
        <v>0</v>
      </c>
      <c r="LQ111">
        <v>0</v>
      </c>
      <c r="LR111">
        <v>0</v>
      </c>
      <c r="LS111">
        <v>1</v>
      </c>
      <c r="LT111">
        <v>0</v>
      </c>
      <c r="LU111">
        <v>0</v>
      </c>
      <c r="LV111">
        <v>0</v>
      </c>
      <c r="LW111">
        <v>1.7</v>
      </c>
      <c r="LX111">
        <v>1.7</v>
      </c>
      <c r="LY111">
        <v>2.1</v>
      </c>
      <c r="LZ111">
        <v>2.1</v>
      </c>
      <c r="MA111">
        <v>0</v>
      </c>
      <c r="MB111">
        <v>8</v>
      </c>
      <c r="MC111">
        <v>0</v>
      </c>
      <c r="MD111">
        <v>4.5</v>
      </c>
      <c r="ME111">
        <v>6</v>
      </c>
      <c r="MF111">
        <v>6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390</v>
      </c>
      <c r="MN111">
        <v>185</v>
      </c>
      <c r="MO111">
        <v>234</v>
      </c>
      <c r="NU111">
        <v>0.15</v>
      </c>
      <c r="NV111">
        <v>0.2</v>
      </c>
      <c r="NW111">
        <v>0.2</v>
      </c>
      <c r="NX111">
        <v>0.2</v>
      </c>
      <c r="NY111">
        <v>0.2</v>
      </c>
      <c r="NZ111">
        <v>0.2</v>
      </c>
      <c r="OE111" t="s">
        <v>4502</v>
      </c>
      <c r="OF111" t="s">
        <v>4500</v>
      </c>
      <c r="OG111" t="s">
        <v>4501</v>
      </c>
      <c r="OH111" t="s">
        <v>4426</v>
      </c>
      <c r="OI111" t="s">
        <v>4502</v>
      </c>
      <c r="OJ111" t="s">
        <v>4499</v>
      </c>
      <c r="OK111">
        <v>61</v>
      </c>
      <c r="OL111">
        <v>61</v>
      </c>
      <c r="OM111" t="s">
        <v>4500</v>
      </c>
      <c r="ON111">
        <v>3</v>
      </c>
      <c r="OO111">
        <v>1963</v>
      </c>
      <c r="OP111">
        <v>61</v>
      </c>
      <c r="OQ111">
        <v>61</v>
      </c>
      <c r="OR111" t="s">
        <v>4501</v>
      </c>
      <c r="OS111">
        <v>3</v>
      </c>
      <c r="OT111">
        <v>1970</v>
      </c>
      <c r="OU111">
        <v>65</v>
      </c>
      <c r="OV111">
        <v>65</v>
      </c>
      <c r="OW111" t="s">
        <v>4426</v>
      </c>
      <c r="OX111">
        <v>1</v>
      </c>
      <c r="OY111">
        <v>34955</v>
      </c>
      <c r="OZ111">
        <v>51</v>
      </c>
      <c r="PA111">
        <v>52</v>
      </c>
      <c r="PB111" t="s">
        <v>4502</v>
      </c>
      <c r="PC111">
        <v>3</v>
      </c>
      <c r="PD111">
        <v>1998</v>
      </c>
      <c r="PF111">
        <v>347</v>
      </c>
      <c r="PG111">
        <v>29</v>
      </c>
      <c r="PH111">
        <v>329</v>
      </c>
      <c r="PI111">
        <v>29</v>
      </c>
      <c r="PJ111">
        <v>52.6</v>
      </c>
      <c r="PK111">
        <v>1650</v>
      </c>
      <c r="PL111">
        <v>1265.3</v>
      </c>
      <c r="PM111">
        <v>220.7</v>
      </c>
      <c r="PN111">
        <v>91.59999999999999</v>
      </c>
      <c r="PO111">
        <v>7.9</v>
      </c>
      <c r="PP111">
        <v>12</v>
      </c>
      <c r="PQ111">
        <v>1</v>
      </c>
      <c r="PR111">
        <v>3</v>
      </c>
      <c r="PS111">
        <v>8</v>
      </c>
      <c r="PT111">
        <v>218</v>
      </c>
      <c r="PU111">
        <v>8</v>
      </c>
      <c r="PV111" t="s">
        <v>4072</v>
      </c>
      <c r="PW111" t="s">
        <v>4072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-1</v>
      </c>
      <c r="QF111">
        <v>1</v>
      </c>
      <c r="QG111">
        <v>0</v>
      </c>
      <c r="QH111">
        <v>5</v>
      </c>
      <c r="QI111">
        <v>5</v>
      </c>
      <c r="QJ111">
        <v>5</v>
      </c>
      <c r="QK111">
        <v>196</v>
      </c>
      <c r="QL111">
        <v>390</v>
      </c>
      <c r="QM111">
        <v>7.5</v>
      </c>
      <c r="QN111">
        <v>1379.8</v>
      </c>
      <c r="QO111" t="s">
        <v>1888</v>
      </c>
      <c r="QP111" t="s">
        <v>513</v>
      </c>
      <c r="QQ111">
        <v>0</v>
      </c>
      <c r="QR111" t="s">
        <v>1343</v>
      </c>
      <c r="QS111">
        <v>40</v>
      </c>
      <c r="QT111">
        <v>50</v>
      </c>
    </row>
    <row r="112" spans="1:462">
      <c r="A112" t="s">
        <v>1933</v>
      </c>
      <c r="B112" t="s">
        <v>804</v>
      </c>
      <c r="C112" t="s">
        <v>509</v>
      </c>
      <c r="D112" t="s">
        <v>1932</v>
      </c>
      <c r="E112" t="s">
        <v>4036</v>
      </c>
      <c r="H112" t="s">
        <v>511</v>
      </c>
      <c r="J112" t="s">
        <v>562</v>
      </c>
      <c r="L112" t="s">
        <v>508</v>
      </c>
      <c r="M112" t="s">
        <v>512</v>
      </c>
      <c r="N112" t="s">
        <v>515</v>
      </c>
      <c r="O112" t="s">
        <v>513</v>
      </c>
      <c r="P112" t="s">
        <v>567</v>
      </c>
      <c r="Q112" t="s">
        <v>1075</v>
      </c>
      <c r="R112" t="s">
        <v>1076</v>
      </c>
      <c r="S112" t="s">
        <v>4170</v>
      </c>
      <c r="T112" t="s">
        <v>662</v>
      </c>
      <c r="U112" t="s">
        <v>663</v>
      </c>
      <c r="V112" t="s">
        <v>1755</v>
      </c>
      <c r="W112" t="s">
        <v>1880</v>
      </c>
      <c r="X112" t="s">
        <v>1934</v>
      </c>
      <c r="Y112" t="s">
        <v>1935</v>
      </c>
      <c r="Z112" t="s">
        <v>541</v>
      </c>
      <c r="AA112" t="s">
        <v>4038</v>
      </c>
      <c r="AB112" t="s">
        <v>4503</v>
      </c>
      <c r="AC112">
        <v>9</v>
      </c>
      <c r="AD112" t="s">
        <v>1931</v>
      </c>
      <c r="AE112">
        <v>2</v>
      </c>
      <c r="AF112">
        <v>5816</v>
      </c>
      <c r="AG112" t="s">
        <v>4504</v>
      </c>
      <c r="AH112">
        <v>1</v>
      </c>
      <c r="AI112" t="s">
        <v>4041</v>
      </c>
      <c r="AK112" t="s">
        <v>4505</v>
      </c>
      <c r="AL112">
        <v>1</v>
      </c>
      <c r="AM112" t="s">
        <v>582</v>
      </c>
      <c r="AO112" t="s">
        <v>4043</v>
      </c>
      <c r="AP112">
        <v>1</v>
      </c>
      <c r="AR112" t="s">
        <v>4506</v>
      </c>
      <c r="AS112">
        <v>1</v>
      </c>
      <c r="AT112">
        <v>51</v>
      </c>
      <c r="AV112" t="s">
        <v>4078</v>
      </c>
      <c r="AW112">
        <v>6.4</v>
      </c>
      <c r="AX112">
        <v>-6</v>
      </c>
      <c r="AY112">
        <v>97.5</v>
      </c>
      <c r="AZ112">
        <v>67.5</v>
      </c>
      <c r="BH112">
        <v>97.5</v>
      </c>
      <c r="BI112">
        <v>30</v>
      </c>
      <c r="BJ112">
        <v>67.5</v>
      </c>
      <c r="BK112">
        <v>2.5</v>
      </c>
      <c r="BL112">
        <v>195</v>
      </c>
      <c r="BM112">
        <v>-6</v>
      </c>
      <c r="BN112">
        <v>0</v>
      </c>
      <c r="BP112">
        <v>0</v>
      </c>
      <c r="BR112">
        <v>190</v>
      </c>
      <c r="BS112">
        <v>180</v>
      </c>
      <c r="BT112">
        <v>2180</v>
      </c>
      <c r="BU112" t="s">
        <v>4096</v>
      </c>
      <c r="BV112" t="s">
        <v>4127</v>
      </c>
      <c r="BW112" t="s">
        <v>4097</v>
      </c>
      <c r="BX112" t="s">
        <v>4128</v>
      </c>
      <c r="BY112" t="s">
        <v>4117</v>
      </c>
      <c r="BZ112" t="s">
        <v>4215</v>
      </c>
      <c r="CA112" t="s">
        <v>4118</v>
      </c>
      <c r="CB112" t="s">
        <v>4119</v>
      </c>
      <c r="CC112" t="s">
        <v>4053</v>
      </c>
      <c r="CD112" t="s">
        <v>4121</v>
      </c>
      <c r="CE112" t="s">
        <v>4055</v>
      </c>
      <c r="CF112" t="s">
        <v>4055</v>
      </c>
      <c r="CG112" t="s">
        <v>4056</v>
      </c>
      <c r="CI112" t="s">
        <v>4058</v>
      </c>
      <c r="CJ112" t="s">
        <v>4059</v>
      </c>
      <c r="CK112" t="s">
        <v>4060</v>
      </c>
      <c r="CL112" t="s">
        <v>4061</v>
      </c>
      <c r="CM112" t="s">
        <v>4062</v>
      </c>
      <c r="CN112" t="s">
        <v>4055</v>
      </c>
      <c r="CO112" t="s">
        <v>4063</v>
      </c>
      <c r="CP112" t="s">
        <v>4055</v>
      </c>
      <c r="CQ112" t="s">
        <v>4055</v>
      </c>
      <c r="CR112">
        <v>5</v>
      </c>
      <c r="CS112" t="s">
        <v>4055</v>
      </c>
      <c r="CT112" t="s">
        <v>4055</v>
      </c>
      <c r="CU112" t="s">
        <v>4055</v>
      </c>
      <c r="CV112">
        <v>122</v>
      </c>
      <c r="CW112">
        <v>3</v>
      </c>
      <c r="CX112">
        <v>81</v>
      </c>
      <c r="CY112">
        <v>5</v>
      </c>
      <c r="CZ112">
        <v>153</v>
      </c>
      <c r="DA112">
        <v>5</v>
      </c>
      <c r="DB112">
        <v>12090</v>
      </c>
      <c r="DC112">
        <v>360</v>
      </c>
      <c r="DD112">
        <v>360</v>
      </c>
      <c r="DE112">
        <v>2297</v>
      </c>
      <c r="DF112">
        <v>2297</v>
      </c>
      <c r="DG112">
        <v>2307</v>
      </c>
      <c r="DH112" t="s">
        <v>4055</v>
      </c>
      <c r="DI112" t="s">
        <v>4055</v>
      </c>
      <c r="DJ112" t="s">
        <v>4087</v>
      </c>
      <c r="DK112">
        <v>190</v>
      </c>
      <c r="DL112" t="s">
        <v>4065</v>
      </c>
      <c r="DM112">
        <v>65</v>
      </c>
      <c r="DN112">
        <v>1.36</v>
      </c>
      <c r="DO112">
        <v>1</v>
      </c>
      <c r="DP112">
        <v>2184</v>
      </c>
      <c r="DQ112">
        <v>1044</v>
      </c>
      <c r="DR112" t="s">
        <v>4087</v>
      </c>
      <c r="DS112">
        <v>180</v>
      </c>
      <c r="DT112" t="s">
        <v>4065</v>
      </c>
      <c r="DU112">
        <v>65</v>
      </c>
      <c r="DV112">
        <v>1.36</v>
      </c>
      <c r="DW112">
        <v>1</v>
      </c>
      <c r="DX112">
        <v>2198</v>
      </c>
      <c r="DY112">
        <v>996</v>
      </c>
      <c r="DZ112" t="s">
        <v>4066</v>
      </c>
      <c r="EA112">
        <v>20</v>
      </c>
      <c r="EB112" t="s">
        <v>4065</v>
      </c>
      <c r="EC112">
        <v>0.8</v>
      </c>
      <c r="ED112">
        <v>2184</v>
      </c>
      <c r="EE112">
        <v>76</v>
      </c>
      <c r="EG112">
        <v>0</v>
      </c>
      <c r="EH112" t="s">
        <v>4065</v>
      </c>
      <c r="EI112">
        <v>0</v>
      </c>
      <c r="EL112" t="s">
        <v>1528</v>
      </c>
      <c r="EM112">
        <v>12</v>
      </c>
      <c r="EN112">
        <v>0.5</v>
      </c>
      <c r="EO112">
        <v>0.96</v>
      </c>
      <c r="EP112">
        <v>2197.1</v>
      </c>
      <c r="EQ112">
        <v>35531.23</v>
      </c>
      <c r="ER112">
        <v>10327.18</v>
      </c>
      <c r="ES112">
        <v>0</v>
      </c>
      <c r="ET112">
        <v>0</v>
      </c>
      <c r="EU112">
        <v>1</v>
      </c>
      <c r="EV112">
        <v>45859</v>
      </c>
      <c r="EW112">
        <v>551</v>
      </c>
      <c r="EX112" t="s">
        <v>4363</v>
      </c>
      <c r="EY112">
        <v>210</v>
      </c>
      <c r="EZ112" t="s">
        <v>4055</v>
      </c>
      <c r="FA112">
        <v>4.7</v>
      </c>
      <c r="FB112">
        <v>1</v>
      </c>
      <c r="FC112">
        <v>1</v>
      </c>
      <c r="FD112">
        <v>2225</v>
      </c>
      <c r="FE112">
        <v>2473</v>
      </c>
      <c r="FF112" t="s">
        <v>4089</v>
      </c>
      <c r="FG112">
        <v>210</v>
      </c>
      <c r="FH112" t="s">
        <v>4055</v>
      </c>
      <c r="FI112">
        <v>1.6</v>
      </c>
      <c r="FJ112">
        <v>2225</v>
      </c>
      <c r="FK112">
        <v>759</v>
      </c>
      <c r="FL112" t="s">
        <v>4069</v>
      </c>
      <c r="FM112" t="s">
        <v>4055</v>
      </c>
      <c r="FN112" t="s">
        <v>4055</v>
      </c>
      <c r="FO112" t="s">
        <v>4055</v>
      </c>
      <c r="FP112">
        <v>2225</v>
      </c>
      <c r="FQ112">
        <v>141</v>
      </c>
      <c r="FR112" t="s">
        <v>4090</v>
      </c>
      <c r="FS112">
        <v>214</v>
      </c>
      <c r="FT112" t="s">
        <v>4055</v>
      </c>
      <c r="FU112">
        <v>0.4</v>
      </c>
      <c r="FV112">
        <v>2225</v>
      </c>
      <c r="FW112">
        <v>212</v>
      </c>
      <c r="FX112" t="s">
        <v>4070</v>
      </c>
      <c r="FY112">
        <v>5</v>
      </c>
      <c r="FZ112" t="s">
        <v>4055</v>
      </c>
      <c r="GA112" t="s">
        <v>4055</v>
      </c>
      <c r="GB112">
        <v>2225</v>
      </c>
      <c r="GC112">
        <v>17</v>
      </c>
      <c r="GD112">
        <v>3602</v>
      </c>
      <c r="GE112" t="s">
        <v>4506</v>
      </c>
      <c r="GF112" t="s">
        <v>4055</v>
      </c>
      <c r="GG112" t="s">
        <v>4055</v>
      </c>
      <c r="GH112" t="s">
        <v>4055</v>
      </c>
      <c r="GI112" t="s">
        <v>4071</v>
      </c>
      <c r="GJ112" t="s">
        <v>4055</v>
      </c>
      <c r="GK112" t="s">
        <v>4055</v>
      </c>
      <c r="GL112" t="s">
        <v>4055</v>
      </c>
      <c r="GM112" t="s">
        <v>4055</v>
      </c>
      <c r="GQ112">
        <v>0</v>
      </c>
      <c r="GV112">
        <v>6.7</v>
      </c>
      <c r="GW112">
        <v>8.199999999999999</v>
      </c>
      <c r="GX112">
        <v>0.5</v>
      </c>
      <c r="GY112">
        <v>184</v>
      </c>
      <c r="GZ112">
        <v>3</v>
      </c>
      <c r="HA112">
        <v>230</v>
      </c>
      <c r="HB112">
        <v>3</v>
      </c>
      <c r="HC112">
        <v>2225</v>
      </c>
      <c r="HD112">
        <v>4</v>
      </c>
      <c r="HE112" t="s">
        <v>4071</v>
      </c>
      <c r="HG112" t="s">
        <v>549</v>
      </c>
      <c r="HL112">
        <v>4</v>
      </c>
      <c r="HM112">
        <v>18</v>
      </c>
      <c r="HN112">
        <v>6</v>
      </c>
      <c r="HO112">
        <v>1</v>
      </c>
      <c r="HP112">
        <v>0</v>
      </c>
      <c r="HQ112">
        <v>0</v>
      </c>
      <c r="HR112">
        <v>2</v>
      </c>
      <c r="HS112">
        <v>2180</v>
      </c>
      <c r="HT112">
        <v>5</v>
      </c>
      <c r="HU112">
        <v>1</v>
      </c>
      <c r="HV112">
        <v>3</v>
      </c>
      <c r="HW112">
        <v>0</v>
      </c>
      <c r="HX112">
        <v>1</v>
      </c>
      <c r="HY112">
        <v>0</v>
      </c>
      <c r="HZ112">
        <v>65</v>
      </c>
      <c r="IA112">
        <v>2184</v>
      </c>
      <c r="IB112">
        <v>2198</v>
      </c>
      <c r="ID112">
        <v>2225</v>
      </c>
      <c r="IE112">
        <v>2225</v>
      </c>
      <c r="IF112">
        <v>190</v>
      </c>
      <c r="IG112">
        <v>180</v>
      </c>
      <c r="IH112">
        <v>230</v>
      </c>
      <c r="II112">
        <v>1</v>
      </c>
      <c r="IJ112">
        <v>10</v>
      </c>
      <c r="IK112">
        <v>0</v>
      </c>
      <c r="IL112">
        <v>0</v>
      </c>
      <c r="IM112">
        <v>0</v>
      </c>
      <c r="IN112">
        <v>270</v>
      </c>
      <c r="IO112">
        <v>0</v>
      </c>
      <c r="IP112">
        <v>180</v>
      </c>
      <c r="IQ112">
        <v>0</v>
      </c>
      <c r="IR112">
        <v>330</v>
      </c>
      <c r="IS112">
        <v>0</v>
      </c>
      <c r="IT112">
        <v>90</v>
      </c>
      <c r="IU112">
        <v>0</v>
      </c>
      <c r="IV112">
        <v>6.4</v>
      </c>
      <c r="IW112">
        <v>-6</v>
      </c>
      <c r="IX112">
        <v>97.5</v>
      </c>
      <c r="IY112">
        <v>67.5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420</v>
      </c>
      <c r="JJ112">
        <v>390</v>
      </c>
      <c r="JK112">
        <v>280</v>
      </c>
      <c r="JL112">
        <v>390</v>
      </c>
      <c r="JM112">
        <v>280</v>
      </c>
      <c r="JN112">
        <v>190</v>
      </c>
      <c r="JO112">
        <v>244</v>
      </c>
      <c r="JP112">
        <v>200</v>
      </c>
      <c r="JQ112">
        <v>244</v>
      </c>
      <c r="JR112">
        <v>328</v>
      </c>
      <c r="JS112">
        <v>250</v>
      </c>
      <c r="JT112">
        <v>0</v>
      </c>
      <c r="JU112">
        <v>0</v>
      </c>
      <c r="JV112">
        <v>300</v>
      </c>
      <c r="JW112">
        <v>290</v>
      </c>
      <c r="JX112">
        <v>290</v>
      </c>
      <c r="JY112">
        <v>280</v>
      </c>
      <c r="JZ112">
        <v>0.5</v>
      </c>
      <c r="KA112">
        <v>0.2</v>
      </c>
      <c r="KB112">
        <v>0.4</v>
      </c>
      <c r="KC112">
        <v>0.42</v>
      </c>
      <c r="KD112">
        <v>0.28</v>
      </c>
      <c r="KE112">
        <v>0.5</v>
      </c>
      <c r="KF112">
        <v>0.18</v>
      </c>
      <c r="KG112">
        <v>0.1</v>
      </c>
      <c r="KH112">
        <v>3.5</v>
      </c>
      <c r="KI112">
        <v>1</v>
      </c>
      <c r="KJ112">
        <v>4.5</v>
      </c>
      <c r="KK112">
        <v>0</v>
      </c>
      <c r="KL112">
        <v>4.5</v>
      </c>
      <c r="KM112">
        <v>0</v>
      </c>
      <c r="KN112">
        <v>2</v>
      </c>
      <c r="KO112">
        <v>0</v>
      </c>
      <c r="KP112">
        <v>0</v>
      </c>
      <c r="KQ112">
        <v>0.8</v>
      </c>
      <c r="KR112">
        <v>0.8</v>
      </c>
      <c r="KS112">
        <v>0</v>
      </c>
      <c r="KT112">
        <v>2.1</v>
      </c>
      <c r="KU112">
        <v>0</v>
      </c>
      <c r="KV112">
        <v>0</v>
      </c>
      <c r="KW112">
        <v>0.7</v>
      </c>
      <c r="KX112">
        <v>1.5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3</v>
      </c>
      <c r="LI112">
        <v>2.5</v>
      </c>
      <c r="LJ112">
        <v>0</v>
      </c>
      <c r="LK112">
        <v>7</v>
      </c>
      <c r="LL112">
        <v>7</v>
      </c>
      <c r="LM112">
        <v>11</v>
      </c>
      <c r="LN112">
        <v>1</v>
      </c>
      <c r="LO112">
        <v>2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2.1</v>
      </c>
      <c r="LX112">
        <v>2.1</v>
      </c>
      <c r="LY112">
        <v>2.1</v>
      </c>
      <c r="LZ112">
        <v>2.1</v>
      </c>
      <c r="MA112">
        <v>0</v>
      </c>
      <c r="MB112">
        <v>2.2</v>
      </c>
      <c r="MC112">
        <v>0</v>
      </c>
      <c r="MD112">
        <v>4.5</v>
      </c>
      <c r="ME112">
        <v>6</v>
      </c>
      <c r="MF112">
        <v>6</v>
      </c>
      <c r="MI112">
        <v>0</v>
      </c>
      <c r="MJ112">
        <v>0</v>
      </c>
      <c r="ML112">
        <v>0</v>
      </c>
      <c r="MM112">
        <v>420</v>
      </c>
      <c r="MN112">
        <v>185</v>
      </c>
      <c r="MO112">
        <v>244</v>
      </c>
      <c r="NU112">
        <v>0.15</v>
      </c>
      <c r="NV112">
        <v>0.2</v>
      </c>
      <c r="NW112">
        <v>0.2</v>
      </c>
      <c r="NX112">
        <v>0.2</v>
      </c>
      <c r="NY112">
        <v>0.2</v>
      </c>
      <c r="NZ112">
        <v>0.2</v>
      </c>
      <c r="OE112" t="s">
        <v>4506</v>
      </c>
      <c r="OF112" t="s">
        <v>4504</v>
      </c>
      <c r="OG112" t="s">
        <v>4505</v>
      </c>
      <c r="OH112" t="s">
        <v>4043</v>
      </c>
      <c r="OI112" t="s">
        <v>4506</v>
      </c>
      <c r="OJ112" t="s">
        <v>4503</v>
      </c>
      <c r="OK112">
        <v>61</v>
      </c>
      <c r="OL112">
        <v>61</v>
      </c>
      <c r="OM112" t="s">
        <v>4504</v>
      </c>
      <c r="ON112">
        <v>1</v>
      </c>
      <c r="OO112">
        <v>2184</v>
      </c>
      <c r="OP112">
        <v>61</v>
      </c>
      <c r="OQ112">
        <v>61</v>
      </c>
      <c r="OR112" t="s">
        <v>4505</v>
      </c>
      <c r="OS112">
        <v>1</v>
      </c>
      <c r="OT112">
        <v>2198</v>
      </c>
      <c r="OU112">
        <v>65</v>
      </c>
      <c r="OV112">
        <v>65</v>
      </c>
      <c r="OW112" t="s">
        <v>4043</v>
      </c>
      <c r="OX112">
        <v>1</v>
      </c>
      <c r="OY112">
        <v>45859</v>
      </c>
      <c r="OZ112">
        <v>51</v>
      </c>
      <c r="PA112">
        <v>51</v>
      </c>
      <c r="PB112" t="s">
        <v>4506</v>
      </c>
      <c r="PC112">
        <v>1</v>
      </c>
      <c r="PD112">
        <v>2225</v>
      </c>
      <c r="PF112">
        <v>478</v>
      </c>
      <c r="PG112">
        <v>35</v>
      </c>
      <c r="PH112">
        <v>453</v>
      </c>
      <c r="PI112">
        <v>0</v>
      </c>
      <c r="PJ112">
        <v>63.4</v>
      </c>
      <c r="PL112">
        <v>1111.3</v>
      </c>
      <c r="PM112">
        <v>340.9</v>
      </c>
      <c r="PN112">
        <v>95.2</v>
      </c>
      <c r="PO112">
        <v>7.8</v>
      </c>
      <c r="PP112">
        <v>12</v>
      </c>
      <c r="PQ112">
        <v>5</v>
      </c>
      <c r="PR112">
        <v>5</v>
      </c>
      <c r="PS112">
        <v>0</v>
      </c>
      <c r="PT112">
        <v>230</v>
      </c>
      <c r="PU112">
        <v>10</v>
      </c>
      <c r="PV112" t="s">
        <v>4072</v>
      </c>
      <c r="PW112" t="s">
        <v>4072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-1</v>
      </c>
      <c r="QF112">
        <v>1</v>
      </c>
      <c r="QG112">
        <v>0</v>
      </c>
      <c r="QH112">
        <v>5</v>
      </c>
      <c r="QI112">
        <v>5</v>
      </c>
      <c r="QJ112">
        <v>5</v>
      </c>
      <c r="QK112">
        <v>205</v>
      </c>
      <c r="QL112">
        <v>454</v>
      </c>
      <c r="QM112">
        <v>7.5</v>
      </c>
      <c r="QN112">
        <v>1464.3</v>
      </c>
      <c r="QO112" t="s">
        <v>1888</v>
      </c>
      <c r="QP112" t="s">
        <v>513</v>
      </c>
      <c r="QQ112">
        <v>0</v>
      </c>
      <c r="QR112" t="s">
        <v>621</v>
      </c>
      <c r="QS112">
        <v>30</v>
      </c>
      <c r="QT112">
        <v>40</v>
      </c>
    </row>
    <row r="113" spans="1:462">
      <c r="A113" t="s">
        <v>1943</v>
      </c>
      <c r="B113" t="s">
        <v>804</v>
      </c>
      <c r="C113" t="s">
        <v>509</v>
      </c>
      <c r="D113" t="s">
        <v>1941</v>
      </c>
      <c r="E113" t="s">
        <v>4036</v>
      </c>
      <c r="H113" t="s">
        <v>1135</v>
      </c>
      <c r="J113" t="s">
        <v>562</v>
      </c>
      <c r="K113" t="s">
        <v>563</v>
      </c>
      <c r="L113" t="s">
        <v>508</v>
      </c>
      <c r="M113" t="s">
        <v>512</v>
      </c>
      <c r="N113" t="s">
        <v>515</v>
      </c>
      <c r="O113" t="s">
        <v>513</v>
      </c>
      <c r="P113" t="s">
        <v>567</v>
      </c>
      <c r="Q113" t="s">
        <v>684</v>
      </c>
      <c r="R113" t="s">
        <v>685</v>
      </c>
      <c r="S113" t="s">
        <v>4037</v>
      </c>
      <c r="T113" t="s">
        <v>686</v>
      </c>
      <c r="U113" t="s">
        <v>687</v>
      </c>
      <c r="V113" t="s">
        <v>1879</v>
      </c>
      <c r="W113" t="s">
        <v>1880</v>
      </c>
      <c r="X113" t="s">
        <v>1944</v>
      </c>
      <c r="Y113" t="s">
        <v>1945</v>
      </c>
      <c r="Z113" t="s">
        <v>541</v>
      </c>
      <c r="AA113" t="s">
        <v>582</v>
      </c>
      <c r="AB113" t="s">
        <v>4507</v>
      </c>
      <c r="AC113">
        <v>9</v>
      </c>
      <c r="AD113" t="s">
        <v>1940</v>
      </c>
      <c r="AE113">
        <v>2</v>
      </c>
      <c r="AF113">
        <v>5671</v>
      </c>
      <c r="AG113" t="s">
        <v>4508</v>
      </c>
      <c r="AH113">
        <v>1</v>
      </c>
      <c r="AI113" t="s">
        <v>4041</v>
      </c>
      <c r="AK113" t="s">
        <v>4509</v>
      </c>
      <c r="AL113">
        <v>1</v>
      </c>
      <c r="AM113" t="s">
        <v>582</v>
      </c>
      <c r="AO113" t="s">
        <v>4043</v>
      </c>
      <c r="AP113">
        <v>1</v>
      </c>
      <c r="AR113" t="s">
        <v>4510</v>
      </c>
      <c r="AS113">
        <v>1</v>
      </c>
      <c r="AT113">
        <v>51</v>
      </c>
      <c r="AV113" t="s">
        <v>4078</v>
      </c>
      <c r="AW113">
        <v>6.4</v>
      </c>
      <c r="AX113">
        <v>-6</v>
      </c>
      <c r="AY113">
        <v>100</v>
      </c>
      <c r="AZ113">
        <v>70</v>
      </c>
      <c r="BA113">
        <v>0</v>
      </c>
      <c r="BB113">
        <v>0</v>
      </c>
      <c r="BC113">
        <v>0</v>
      </c>
      <c r="BH113">
        <v>100</v>
      </c>
      <c r="BI113">
        <v>30</v>
      </c>
      <c r="BJ113">
        <v>70</v>
      </c>
      <c r="BK113">
        <v>2.5</v>
      </c>
      <c r="BL113">
        <v>200</v>
      </c>
      <c r="BM113">
        <v>-6</v>
      </c>
      <c r="BN113">
        <v>0</v>
      </c>
      <c r="BP113">
        <v>0</v>
      </c>
      <c r="BR113">
        <v>195</v>
      </c>
      <c r="BS113">
        <v>185</v>
      </c>
      <c r="BT113">
        <v>2185</v>
      </c>
      <c r="BU113" t="s">
        <v>4127</v>
      </c>
      <c r="BV113" t="s">
        <v>4127</v>
      </c>
      <c r="BW113" t="s">
        <v>4128</v>
      </c>
      <c r="BX113" t="s">
        <v>4128</v>
      </c>
      <c r="BY113" t="s">
        <v>4129</v>
      </c>
      <c r="BZ113" t="s">
        <v>4160</v>
      </c>
      <c r="CA113" t="s">
        <v>4130</v>
      </c>
      <c r="CB113" t="s">
        <v>4131</v>
      </c>
      <c r="CC113" t="s">
        <v>4053</v>
      </c>
      <c r="CD113" t="s">
        <v>4055</v>
      </c>
      <c r="CE113" t="s">
        <v>4055</v>
      </c>
      <c r="CF113" t="s">
        <v>4055</v>
      </c>
      <c r="CG113" t="s">
        <v>4056</v>
      </c>
      <c r="CI113" t="s">
        <v>4086</v>
      </c>
      <c r="CJ113" t="s">
        <v>4059</v>
      </c>
      <c r="CK113" t="s">
        <v>4060</v>
      </c>
      <c r="CL113" t="s">
        <v>4061</v>
      </c>
      <c r="CM113" t="s">
        <v>4055</v>
      </c>
      <c r="CN113" t="s">
        <v>4062</v>
      </c>
      <c r="CO113" t="s">
        <v>4063</v>
      </c>
      <c r="CP113" t="s">
        <v>4055</v>
      </c>
      <c r="CQ113" t="s">
        <v>4055</v>
      </c>
      <c r="CR113">
        <v>5</v>
      </c>
      <c r="CS113" t="s">
        <v>4055</v>
      </c>
      <c r="CT113" t="s">
        <v>4055</v>
      </c>
      <c r="CU113" t="s">
        <v>4055</v>
      </c>
      <c r="CV113">
        <v>124</v>
      </c>
      <c r="CW113">
        <v>3</v>
      </c>
      <c r="CX113">
        <v>80</v>
      </c>
      <c r="CY113">
        <v>5</v>
      </c>
      <c r="CZ113">
        <v>151</v>
      </c>
      <c r="DA113">
        <v>5</v>
      </c>
      <c r="DB113">
        <v>11740</v>
      </c>
      <c r="DC113">
        <v>350</v>
      </c>
      <c r="DD113">
        <v>345</v>
      </c>
      <c r="DE113">
        <v>2304</v>
      </c>
      <c r="DF113">
        <v>2304</v>
      </c>
      <c r="DG113">
        <v>2313</v>
      </c>
      <c r="DH113">
        <v>1</v>
      </c>
      <c r="DI113" t="s">
        <v>4055</v>
      </c>
      <c r="DJ113" t="s">
        <v>4132</v>
      </c>
      <c r="DK113">
        <v>195</v>
      </c>
      <c r="DL113" t="s">
        <v>4065</v>
      </c>
      <c r="DM113">
        <v>65</v>
      </c>
      <c r="DN113">
        <v>1.1</v>
      </c>
      <c r="DO113">
        <v>1</v>
      </c>
      <c r="DP113">
        <v>2188</v>
      </c>
      <c r="DQ113">
        <v>923</v>
      </c>
      <c r="DR113" t="s">
        <v>4132</v>
      </c>
      <c r="DS113">
        <v>185</v>
      </c>
      <c r="DT113" t="s">
        <v>4065</v>
      </c>
      <c r="DU113">
        <v>65</v>
      </c>
      <c r="DV113">
        <v>1.1</v>
      </c>
      <c r="DW113">
        <v>1</v>
      </c>
      <c r="DX113">
        <v>2200</v>
      </c>
      <c r="DY113">
        <v>880</v>
      </c>
      <c r="DZ113" t="s">
        <v>4066</v>
      </c>
      <c r="EA113">
        <v>20</v>
      </c>
      <c r="EB113" t="s">
        <v>4065</v>
      </c>
      <c r="EC113">
        <v>0.8</v>
      </c>
      <c r="ED113">
        <v>2188</v>
      </c>
      <c r="EE113">
        <v>77</v>
      </c>
      <c r="EG113">
        <v>0</v>
      </c>
      <c r="EH113" t="s">
        <v>4065</v>
      </c>
      <c r="EI113">
        <v>0</v>
      </c>
      <c r="EL113" t="s">
        <v>1528</v>
      </c>
      <c r="EM113">
        <v>12</v>
      </c>
      <c r="EN113">
        <v>0.5</v>
      </c>
      <c r="EO113">
        <v>0.96</v>
      </c>
      <c r="EP113">
        <v>2198.83</v>
      </c>
      <c r="EQ113">
        <v>36418.12</v>
      </c>
      <c r="ER113">
        <v>10335.29</v>
      </c>
      <c r="ES113">
        <v>0</v>
      </c>
      <c r="ET113">
        <v>0</v>
      </c>
      <c r="EU113">
        <v>1</v>
      </c>
      <c r="EV113">
        <v>46754</v>
      </c>
      <c r="EW113">
        <v>562</v>
      </c>
      <c r="EX113" t="s">
        <v>4363</v>
      </c>
      <c r="EY113">
        <v>216</v>
      </c>
      <c r="EZ113" t="s">
        <v>4055</v>
      </c>
      <c r="FA113">
        <v>5</v>
      </c>
      <c r="FB113">
        <v>1</v>
      </c>
      <c r="FC113">
        <v>1</v>
      </c>
      <c r="FD113">
        <v>2227</v>
      </c>
      <c r="FE113">
        <v>2483</v>
      </c>
      <c r="FF113" t="s">
        <v>4089</v>
      </c>
      <c r="FG113">
        <v>216</v>
      </c>
      <c r="FH113" t="s">
        <v>4055</v>
      </c>
      <c r="FI113">
        <v>1.6</v>
      </c>
      <c r="FJ113">
        <v>2227</v>
      </c>
      <c r="FK113">
        <v>763</v>
      </c>
      <c r="FL113" t="s">
        <v>4069</v>
      </c>
      <c r="FM113" t="s">
        <v>4055</v>
      </c>
      <c r="FN113" t="s">
        <v>4055</v>
      </c>
      <c r="FO113" t="s">
        <v>4055</v>
      </c>
      <c r="FP113">
        <v>2227</v>
      </c>
      <c r="FQ113">
        <v>136</v>
      </c>
      <c r="FR113" t="s">
        <v>4090</v>
      </c>
      <c r="FS113">
        <v>220</v>
      </c>
      <c r="FT113" t="s">
        <v>4055</v>
      </c>
      <c r="FU113">
        <v>0.4</v>
      </c>
      <c r="FV113">
        <v>2227</v>
      </c>
      <c r="FW113">
        <v>218</v>
      </c>
      <c r="FX113" t="s">
        <v>4070</v>
      </c>
      <c r="FY113">
        <v>5</v>
      </c>
      <c r="FZ113" t="s">
        <v>4055</v>
      </c>
      <c r="GA113" t="s">
        <v>4055</v>
      </c>
      <c r="GB113">
        <v>2227</v>
      </c>
      <c r="GC113">
        <v>18</v>
      </c>
      <c r="GD113">
        <v>3618</v>
      </c>
      <c r="GE113" t="s">
        <v>4510</v>
      </c>
      <c r="GF113" t="s">
        <v>4055</v>
      </c>
      <c r="GG113" t="s">
        <v>4055</v>
      </c>
      <c r="GH113" t="s">
        <v>4055</v>
      </c>
      <c r="GI113" t="s">
        <v>4071</v>
      </c>
      <c r="GJ113" t="s">
        <v>4055</v>
      </c>
      <c r="GK113" t="s">
        <v>4055</v>
      </c>
      <c r="GL113" t="s">
        <v>4055</v>
      </c>
      <c r="GM113" t="s">
        <v>4055</v>
      </c>
      <c r="GQ113">
        <v>0</v>
      </c>
      <c r="GV113">
        <v>7</v>
      </c>
      <c r="GW113">
        <v>8.5</v>
      </c>
      <c r="GX113">
        <v>0.5</v>
      </c>
      <c r="GY113">
        <v>180</v>
      </c>
      <c r="GZ113">
        <v>3</v>
      </c>
      <c r="HA113">
        <v>234</v>
      </c>
      <c r="HB113">
        <v>3</v>
      </c>
      <c r="HC113">
        <v>2227</v>
      </c>
      <c r="HD113">
        <v>4</v>
      </c>
      <c r="HE113" t="s">
        <v>4071</v>
      </c>
      <c r="HG113" t="s">
        <v>549</v>
      </c>
      <c r="HL113">
        <v>4</v>
      </c>
      <c r="HM113">
        <v>19</v>
      </c>
      <c r="HN113">
        <v>6</v>
      </c>
      <c r="HO113">
        <v>1</v>
      </c>
      <c r="HP113">
        <v>0</v>
      </c>
      <c r="HQ113">
        <v>0</v>
      </c>
      <c r="HR113">
        <v>3</v>
      </c>
      <c r="HS113">
        <v>2185</v>
      </c>
      <c r="HT113">
        <v>5</v>
      </c>
      <c r="HU113">
        <v>1</v>
      </c>
      <c r="HV113">
        <v>3</v>
      </c>
      <c r="HW113">
        <v>0</v>
      </c>
      <c r="HX113">
        <v>1</v>
      </c>
      <c r="HY113">
        <v>0</v>
      </c>
      <c r="HZ113">
        <v>65</v>
      </c>
      <c r="IA113">
        <v>2188</v>
      </c>
      <c r="IB113">
        <v>2200</v>
      </c>
      <c r="ID113">
        <v>2227</v>
      </c>
      <c r="IE113">
        <v>2227</v>
      </c>
      <c r="IF113">
        <v>195</v>
      </c>
      <c r="IG113">
        <v>185</v>
      </c>
      <c r="IH113">
        <v>234</v>
      </c>
      <c r="II113">
        <v>1</v>
      </c>
      <c r="IJ113">
        <v>5</v>
      </c>
      <c r="IK113">
        <v>0</v>
      </c>
      <c r="IL113">
        <v>0</v>
      </c>
      <c r="IM113">
        <v>0</v>
      </c>
      <c r="IN113">
        <v>270</v>
      </c>
      <c r="IO113">
        <v>0</v>
      </c>
      <c r="IP113">
        <v>180</v>
      </c>
      <c r="IQ113">
        <v>0</v>
      </c>
      <c r="IR113">
        <v>330</v>
      </c>
      <c r="IS113">
        <v>0</v>
      </c>
      <c r="IT113">
        <v>90</v>
      </c>
      <c r="IU113">
        <v>0</v>
      </c>
      <c r="IV113">
        <v>6.4</v>
      </c>
      <c r="IW113">
        <v>-6</v>
      </c>
      <c r="IX113">
        <v>100</v>
      </c>
      <c r="IY113">
        <v>70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402</v>
      </c>
      <c r="JJ113">
        <v>372</v>
      </c>
      <c r="JK113">
        <v>272</v>
      </c>
      <c r="JL113">
        <v>370</v>
      </c>
      <c r="JM113">
        <v>290</v>
      </c>
      <c r="JN113">
        <v>195</v>
      </c>
      <c r="JO113">
        <v>248</v>
      </c>
      <c r="JP113">
        <v>195</v>
      </c>
      <c r="JQ113">
        <v>245</v>
      </c>
      <c r="JR113">
        <v>306</v>
      </c>
      <c r="JS113">
        <v>270</v>
      </c>
      <c r="JT113">
        <v>0</v>
      </c>
      <c r="JU113">
        <v>0</v>
      </c>
      <c r="JV113">
        <v>300</v>
      </c>
      <c r="JW113">
        <v>260</v>
      </c>
      <c r="JX113">
        <v>0</v>
      </c>
      <c r="JY113">
        <v>0</v>
      </c>
      <c r="JZ113">
        <v>0</v>
      </c>
      <c r="KA113">
        <v>0.2</v>
      </c>
      <c r="KB113">
        <v>0.4</v>
      </c>
      <c r="KC113">
        <v>0.42</v>
      </c>
      <c r="KD113">
        <v>0.28</v>
      </c>
      <c r="KE113">
        <v>0.5</v>
      </c>
      <c r="KF113">
        <v>0.2</v>
      </c>
      <c r="KG113">
        <v>0.11</v>
      </c>
      <c r="KH113">
        <v>3.5</v>
      </c>
      <c r="KI113">
        <v>1</v>
      </c>
      <c r="KJ113">
        <v>4.5</v>
      </c>
      <c r="KK113">
        <v>0</v>
      </c>
      <c r="KL113">
        <v>4.5</v>
      </c>
      <c r="KM113">
        <v>0.5</v>
      </c>
      <c r="KN113">
        <v>1.8</v>
      </c>
      <c r="KO113">
        <v>0</v>
      </c>
      <c r="KP113">
        <v>0</v>
      </c>
      <c r="KQ113">
        <v>0.8</v>
      </c>
      <c r="KR113">
        <v>1</v>
      </c>
      <c r="KS113">
        <v>0.2</v>
      </c>
      <c r="KT113">
        <v>2.5</v>
      </c>
      <c r="KU113">
        <v>0</v>
      </c>
      <c r="KV113">
        <v>0</v>
      </c>
      <c r="KW113">
        <v>1</v>
      </c>
      <c r="KX113">
        <v>2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3</v>
      </c>
      <c r="LI113">
        <v>0</v>
      </c>
      <c r="LJ113">
        <v>0</v>
      </c>
      <c r="LK113">
        <v>9</v>
      </c>
      <c r="LL113">
        <v>14</v>
      </c>
      <c r="LM113">
        <v>11</v>
      </c>
      <c r="LN113">
        <v>0.1</v>
      </c>
      <c r="LO113">
        <v>3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2.2</v>
      </c>
      <c r="LX113">
        <v>2.2</v>
      </c>
      <c r="LY113">
        <v>2.1</v>
      </c>
      <c r="LZ113">
        <v>2.1</v>
      </c>
      <c r="MA113">
        <v>0</v>
      </c>
      <c r="MB113">
        <v>5</v>
      </c>
      <c r="MC113">
        <v>0</v>
      </c>
      <c r="MD113">
        <v>4.5</v>
      </c>
      <c r="ME113">
        <v>6</v>
      </c>
      <c r="MF113">
        <v>6</v>
      </c>
      <c r="MI113">
        <v>0</v>
      </c>
      <c r="MJ113">
        <v>0</v>
      </c>
      <c r="ML113">
        <v>0</v>
      </c>
      <c r="MM113">
        <v>390</v>
      </c>
      <c r="MN113">
        <v>190</v>
      </c>
      <c r="MO113">
        <v>248</v>
      </c>
      <c r="NU113">
        <v>0.15</v>
      </c>
      <c r="NV113">
        <v>0.2</v>
      </c>
      <c r="NW113">
        <v>0.2</v>
      </c>
      <c r="NX113">
        <v>0.2</v>
      </c>
      <c r="NY113">
        <v>0.2</v>
      </c>
      <c r="NZ113">
        <v>0.2</v>
      </c>
      <c r="OE113" t="s">
        <v>4510</v>
      </c>
      <c r="OF113" t="s">
        <v>4508</v>
      </c>
      <c r="OG113" t="s">
        <v>4509</v>
      </c>
      <c r="OH113" t="s">
        <v>4043</v>
      </c>
      <c r="OI113" t="s">
        <v>4510</v>
      </c>
      <c r="OJ113" t="s">
        <v>4507</v>
      </c>
      <c r="OK113">
        <v>61</v>
      </c>
      <c r="OL113">
        <v>61</v>
      </c>
      <c r="OM113" t="s">
        <v>4508</v>
      </c>
      <c r="ON113">
        <v>1</v>
      </c>
      <c r="OO113">
        <v>2188</v>
      </c>
      <c r="OP113">
        <v>61</v>
      </c>
      <c r="OQ113">
        <v>61</v>
      </c>
      <c r="OR113" t="s">
        <v>4509</v>
      </c>
      <c r="OS113">
        <v>1</v>
      </c>
      <c r="OT113">
        <v>2200</v>
      </c>
      <c r="OU113">
        <v>65</v>
      </c>
      <c r="OV113">
        <v>65</v>
      </c>
      <c r="OW113" t="s">
        <v>4043</v>
      </c>
      <c r="OX113">
        <v>2</v>
      </c>
      <c r="OY113">
        <v>46754</v>
      </c>
      <c r="OZ113">
        <v>51</v>
      </c>
      <c r="PA113">
        <v>51</v>
      </c>
      <c r="PB113" t="s">
        <v>4510</v>
      </c>
      <c r="PC113">
        <v>1</v>
      </c>
      <c r="PD113">
        <v>2227</v>
      </c>
      <c r="PF113">
        <v>422</v>
      </c>
      <c r="PG113">
        <v>35</v>
      </c>
      <c r="PH113">
        <v>400</v>
      </c>
      <c r="PI113">
        <v>0</v>
      </c>
      <c r="PJ113">
        <v>61</v>
      </c>
      <c r="PK113">
        <v>1631</v>
      </c>
      <c r="PL113">
        <v>1114.8</v>
      </c>
      <c r="PM113">
        <v>342.6</v>
      </c>
      <c r="PN113">
        <v>97.8</v>
      </c>
      <c r="PO113">
        <v>8.1</v>
      </c>
      <c r="PP113">
        <v>12</v>
      </c>
      <c r="PQ113">
        <v>5</v>
      </c>
      <c r="PR113">
        <v>5</v>
      </c>
      <c r="PS113">
        <v>0</v>
      </c>
      <c r="PT113">
        <v>234</v>
      </c>
      <c r="PU113">
        <v>9</v>
      </c>
      <c r="PV113" t="s">
        <v>4072</v>
      </c>
      <c r="PW113" t="s">
        <v>4072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-1</v>
      </c>
      <c r="QF113">
        <v>1</v>
      </c>
      <c r="QG113">
        <v>0</v>
      </c>
      <c r="QH113">
        <v>5</v>
      </c>
      <c r="QI113">
        <v>5</v>
      </c>
      <c r="QJ113">
        <v>5</v>
      </c>
      <c r="QK113">
        <v>217</v>
      </c>
      <c r="QL113">
        <v>432</v>
      </c>
      <c r="QM113">
        <v>7.5</v>
      </c>
      <c r="QN113">
        <v>1544.1</v>
      </c>
      <c r="QO113" t="s">
        <v>1888</v>
      </c>
      <c r="QP113" t="s">
        <v>513</v>
      </c>
      <c r="QQ113">
        <v>0</v>
      </c>
      <c r="QR113" t="s">
        <v>596</v>
      </c>
      <c r="QS113">
        <v>40</v>
      </c>
      <c r="QT113">
        <v>50</v>
      </c>
    </row>
    <row r="114" spans="1:462">
      <c r="A114" t="s">
        <v>1952</v>
      </c>
      <c r="B114" t="s">
        <v>804</v>
      </c>
      <c r="C114" t="s">
        <v>509</v>
      </c>
      <c r="D114" t="s">
        <v>1951</v>
      </c>
      <c r="E114" t="s">
        <v>4036</v>
      </c>
      <c r="H114" t="s">
        <v>1135</v>
      </c>
      <c r="J114" t="s">
        <v>562</v>
      </c>
      <c r="K114" t="s">
        <v>563</v>
      </c>
      <c r="L114" t="s">
        <v>508</v>
      </c>
      <c r="M114" t="s">
        <v>512</v>
      </c>
      <c r="N114" t="s">
        <v>515</v>
      </c>
      <c r="O114" t="s">
        <v>513</v>
      </c>
      <c r="P114" t="s">
        <v>567</v>
      </c>
      <c r="Q114" t="s">
        <v>1326</v>
      </c>
      <c r="R114" t="s">
        <v>1327</v>
      </c>
      <c r="S114" t="s">
        <v>4073</v>
      </c>
      <c r="T114" t="s">
        <v>570</v>
      </c>
      <c r="U114" t="s">
        <v>571</v>
      </c>
      <c r="V114" t="s">
        <v>1879</v>
      </c>
      <c r="W114" t="s">
        <v>1880</v>
      </c>
      <c r="X114" t="s">
        <v>1953</v>
      </c>
      <c r="Y114" t="s">
        <v>1954</v>
      </c>
      <c r="Z114" t="s">
        <v>541</v>
      </c>
      <c r="AA114" t="s">
        <v>4038</v>
      </c>
      <c r="AB114" t="s">
        <v>4511</v>
      </c>
      <c r="AC114">
        <v>9</v>
      </c>
      <c r="AD114" t="s">
        <v>1950</v>
      </c>
      <c r="AE114">
        <v>2</v>
      </c>
      <c r="AF114">
        <v>6159</v>
      </c>
      <c r="AG114" t="s">
        <v>4512</v>
      </c>
      <c r="AH114">
        <v>1</v>
      </c>
      <c r="AI114" t="s">
        <v>4041</v>
      </c>
      <c r="AK114" t="s">
        <v>4513</v>
      </c>
      <c r="AL114">
        <v>1</v>
      </c>
      <c r="AM114" t="s">
        <v>582</v>
      </c>
      <c r="AO114" t="s">
        <v>4043</v>
      </c>
      <c r="AP114">
        <v>1</v>
      </c>
      <c r="AR114" t="s">
        <v>4514</v>
      </c>
      <c r="AS114">
        <v>1</v>
      </c>
      <c r="AT114">
        <v>51</v>
      </c>
      <c r="AV114" t="s">
        <v>4078</v>
      </c>
      <c r="AW114">
        <v>6.4</v>
      </c>
      <c r="AX114">
        <v>-6</v>
      </c>
      <c r="AY114">
        <v>107.5</v>
      </c>
      <c r="AZ114">
        <v>77.5</v>
      </c>
      <c r="BH114">
        <v>107.5</v>
      </c>
      <c r="BI114">
        <v>30</v>
      </c>
      <c r="BJ114">
        <v>77.5</v>
      </c>
      <c r="BK114">
        <v>2.5</v>
      </c>
      <c r="BL114">
        <v>215</v>
      </c>
      <c r="BM114">
        <v>-6</v>
      </c>
      <c r="BN114">
        <v>0</v>
      </c>
      <c r="BP114">
        <v>0</v>
      </c>
      <c r="BR114">
        <v>210</v>
      </c>
      <c r="BS114">
        <v>200</v>
      </c>
      <c r="BT114">
        <v>2225</v>
      </c>
      <c r="BU114" t="s">
        <v>4127</v>
      </c>
      <c r="BV114" t="s">
        <v>4079</v>
      </c>
      <c r="BW114" t="s">
        <v>4128</v>
      </c>
      <c r="BX114" t="s">
        <v>4081</v>
      </c>
      <c r="BY114" t="s">
        <v>4164</v>
      </c>
      <c r="BZ114" t="s">
        <v>4139</v>
      </c>
      <c r="CA114" t="s">
        <v>4084</v>
      </c>
      <c r="CB114" t="s">
        <v>4085</v>
      </c>
      <c r="CC114" t="s">
        <v>4053</v>
      </c>
      <c r="CD114" t="s">
        <v>4055</v>
      </c>
      <c r="CE114" t="s">
        <v>4055</v>
      </c>
      <c r="CF114" t="s">
        <v>4055</v>
      </c>
      <c r="CG114" t="s">
        <v>4056</v>
      </c>
      <c r="CI114" t="s">
        <v>4086</v>
      </c>
      <c r="CJ114" t="s">
        <v>4059</v>
      </c>
      <c r="CK114" t="s">
        <v>4060</v>
      </c>
      <c r="CL114" t="s">
        <v>4061</v>
      </c>
      <c r="CM114" t="s">
        <v>4055</v>
      </c>
      <c r="CN114" t="s">
        <v>4062</v>
      </c>
      <c r="CO114" t="s">
        <v>4063</v>
      </c>
      <c r="CP114" t="s">
        <v>4055</v>
      </c>
      <c r="CQ114" t="s">
        <v>4055</v>
      </c>
      <c r="CR114">
        <v>5</v>
      </c>
      <c r="CS114" t="s">
        <v>4055</v>
      </c>
      <c r="CT114" t="s">
        <v>4055</v>
      </c>
      <c r="CU114" t="s">
        <v>4055</v>
      </c>
      <c r="CV114">
        <v>128</v>
      </c>
      <c r="CW114">
        <v>3</v>
      </c>
      <c r="CX114">
        <v>95</v>
      </c>
      <c r="CY114">
        <v>5</v>
      </c>
      <c r="CZ114">
        <v>159</v>
      </c>
      <c r="DA114">
        <v>5</v>
      </c>
      <c r="DB114">
        <v>13120</v>
      </c>
      <c r="DC114">
        <v>390</v>
      </c>
      <c r="DD114">
        <v>352</v>
      </c>
      <c r="DE114">
        <v>2344</v>
      </c>
      <c r="DF114">
        <v>2344</v>
      </c>
      <c r="DG114">
        <v>2354</v>
      </c>
      <c r="DH114">
        <v>2</v>
      </c>
      <c r="DI114" t="s">
        <v>4055</v>
      </c>
      <c r="DJ114" t="s">
        <v>4132</v>
      </c>
      <c r="DK114">
        <v>210</v>
      </c>
      <c r="DL114" t="s">
        <v>4065</v>
      </c>
      <c r="DM114">
        <v>65</v>
      </c>
      <c r="DN114">
        <v>1.1</v>
      </c>
      <c r="DO114">
        <v>1</v>
      </c>
      <c r="DP114">
        <v>2228</v>
      </c>
      <c r="DQ114">
        <v>1012</v>
      </c>
      <c r="DR114" t="s">
        <v>4132</v>
      </c>
      <c r="DS114">
        <v>200</v>
      </c>
      <c r="DT114" t="s">
        <v>4065</v>
      </c>
      <c r="DU114">
        <v>65</v>
      </c>
      <c r="DV114">
        <v>1.1</v>
      </c>
      <c r="DW114">
        <v>1</v>
      </c>
      <c r="DX114">
        <v>2240</v>
      </c>
      <c r="DY114">
        <v>970</v>
      </c>
      <c r="DZ114" t="s">
        <v>4066</v>
      </c>
      <c r="EA114">
        <v>20</v>
      </c>
      <c r="EB114" t="s">
        <v>4065</v>
      </c>
      <c r="EC114">
        <v>0.8</v>
      </c>
      <c r="ED114">
        <v>2228</v>
      </c>
      <c r="EE114">
        <v>78</v>
      </c>
      <c r="EG114">
        <v>0</v>
      </c>
      <c r="EH114" t="s">
        <v>4065</v>
      </c>
      <c r="EI114">
        <v>0</v>
      </c>
      <c r="EL114" t="s">
        <v>1528</v>
      </c>
      <c r="EM114">
        <v>12</v>
      </c>
      <c r="EN114">
        <v>0.5</v>
      </c>
      <c r="EO114">
        <v>0.96</v>
      </c>
      <c r="EP114">
        <v>2238.83</v>
      </c>
      <c r="EQ114">
        <v>39704.25</v>
      </c>
      <c r="ER114">
        <v>10522.79</v>
      </c>
      <c r="ES114">
        <v>0</v>
      </c>
      <c r="ET114">
        <v>0</v>
      </c>
      <c r="EU114">
        <v>1</v>
      </c>
      <c r="EV114">
        <v>50228</v>
      </c>
      <c r="EW114">
        <v>603</v>
      </c>
      <c r="EX114" t="s">
        <v>4363</v>
      </c>
      <c r="EY114">
        <v>228</v>
      </c>
      <c r="EZ114" t="s">
        <v>4055</v>
      </c>
      <c r="FA114">
        <v>5.8</v>
      </c>
      <c r="FB114">
        <v>1</v>
      </c>
      <c r="FC114">
        <v>1</v>
      </c>
      <c r="FD114">
        <v>2268</v>
      </c>
      <c r="FE114">
        <v>3300</v>
      </c>
      <c r="FF114" t="s">
        <v>4089</v>
      </c>
      <c r="FG114">
        <v>228</v>
      </c>
      <c r="FH114" t="s">
        <v>4055</v>
      </c>
      <c r="FI114">
        <v>1.1</v>
      </c>
      <c r="FJ114">
        <v>2268</v>
      </c>
      <c r="FK114">
        <v>578</v>
      </c>
      <c r="FL114" t="s">
        <v>4069</v>
      </c>
      <c r="FM114" t="s">
        <v>4055</v>
      </c>
      <c r="FN114" t="s">
        <v>4055</v>
      </c>
      <c r="FO114" t="s">
        <v>4055</v>
      </c>
      <c r="FP114">
        <v>2268</v>
      </c>
      <c r="FQ114">
        <v>162</v>
      </c>
      <c r="FR114" t="s">
        <v>4090</v>
      </c>
      <c r="FS114">
        <v>232</v>
      </c>
      <c r="FT114" t="s">
        <v>4055</v>
      </c>
      <c r="FU114">
        <v>0.4</v>
      </c>
      <c r="FV114">
        <v>2268</v>
      </c>
      <c r="FW114">
        <v>234</v>
      </c>
      <c r="FX114" t="s">
        <v>4070</v>
      </c>
      <c r="FY114">
        <v>5</v>
      </c>
      <c r="FZ114" t="s">
        <v>4055</v>
      </c>
      <c r="GA114" t="s">
        <v>4055</v>
      </c>
      <c r="GB114">
        <v>2268</v>
      </c>
      <c r="GC114">
        <v>19</v>
      </c>
      <c r="GD114">
        <v>4293</v>
      </c>
      <c r="GE114" t="s">
        <v>4514</v>
      </c>
      <c r="GF114" t="s">
        <v>4055</v>
      </c>
      <c r="GG114" t="s">
        <v>4055</v>
      </c>
      <c r="GH114" t="s">
        <v>4055</v>
      </c>
      <c r="GI114" t="s">
        <v>4071</v>
      </c>
      <c r="GJ114" t="s">
        <v>4055</v>
      </c>
      <c r="GK114" t="s">
        <v>4055</v>
      </c>
      <c r="GL114" t="s">
        <v>4055</v>
      </c>
      <c r="GM114" t="s">
        <v>4055</v>
      </c>
      <c r="GQ114">
        <v>0</v>
      </c>
      <c r="GV114">
        <v>7.3</v>
      </c>
      <c r="GW114">
        <v>8.800000000000001</v>
      </c>
      <c r="GX114">
        <v>0.5</v>
      </c>
      <c r="GY114">
        <v>200</v>
      </c>
      <c r="GZ114">
        <v>3</v>
      </c>
      <c r="HA114">
        <v>248</v>
      </c>
      <c r="HB114">
        <v>3</v>
      </c>
      <c r="HC114">
        <v>2268</v>
      </c>
      <c r="HD114">
        <v>4</v>
      </c>
      <c r="HE114" t="s">
        <v>4071</v>
      </c>
      <c r="HG114" t="s">
        <v>549</v>
      </c>
      <c r="HL114">
        <v>4</v>
      </c>
      <c r="HM114">
        <v>20</v>
      </c>
      <c r="HN114">
        <v>6</v>
      </c>
      <c r="HO114">
        <v>1</v>
      </c>
      <c r="HP114">
        <v>0</v>
      </c>
      <c r="HQ114">
        <v>0</v>
      </c>
      <c r="HR114">
        <v>1</v>
      </c>
      <c r="HS114">
        <v>2225</v>
      </c>
      <c r="HT114">
        <v>5</v>
      </c>
      <c r="HU114">
        <v>1</v>
      </c>
      <c r="HV114">
        <v>3</v>
      </c>
      <c r="HW114">
        <v>0</v>
      </c>
      <c r="HX114">
        <v>1</v>
      </c>
      <c r="HY114">
        <v>0</v>
      </c>
      <c r="HZ114">
        <v>65</v>
      </c>
      <c r="IA114">
        <v>2228</v>
      </c>
      <c r="IB114">
        <v>2240</v>
      </c>
      <c r="ID114">
        <v>2268</v>
      </c>
      <c r="IE114">
        <v>2268</v>
      </c>
      <c r="IF114">
        <v>210</v>
      </c>
      <c r="IG114">
        <v>200</v>
      </c>
      <c r="IH114">
        <v>248</v>
      </c>
      <c r="II114">
        <v>1</v>
      </c>
      <c r="IJ114">
        <v>5</v>
      </c>
      <c r="IK114">
        <v>0</v>
      </c>
      <c r="IL114">
        <v>0</v>
      </c>
      <c r="IM114">
        <v>0</v>
      </c>
      <c r="IN114">
        <v>270</v>
      </c>
      <c r="IO114">
        <v>0</v>
      </c>
      <c r="IP114">
        <v>180</v>
      </c>
      <c r="IQ114">
        <v>0</v>
      </c>
      <c r="IR114">
        <v>330</v>
      </c>
      <c r="IS114">
        <v>0</v>
      </c>
      <c r="IT114">
        <v>90</v>
      </c>
      <c r="IU114">
        <v>0</v>
      </c>
      <c r="IV114">
        <v>6.4</v>
      </c>
      <c r="IW114">
        <v>-6</v>
      </c>
      <c r="IX114">
        <v>107.5</v>
      </c>
      <c r="IY114">
        <v>77.5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412</v>
      </c>
      <c r="JJ114">
        <v>382</v>
      </c>
      <c r="JK114">
        <v>280</v>
      </c>
      <c r="JL114">
        <v>380</v>
      </c>
      <c r="JM114">
        <v>300</v>
      </c>
      <c r="JN114">
        <v>210</v>
      </c>
      <c r="JO114">
        <v>258</v>
      </c>
      <c r="JP114">
        <v>190</v>
      </c>
      <c r="JQ114">
        <v>235</v>
      </c>
      <c r="JR114">
        <v>280</v>
      </c>
      <c r="JS114">
        <v>240</v>
      </c>
      <c r="JT114">
        <v>0</v>
      </c>
      <c r="JU114">
        <v>0</v>
      </c>
      <c r="JV114">
        <v>275</v>
      </c>
      <c r="JW114">
        <v>270</v>
      </c>
      <c r="JX114">
        <v>0</v>
      </c>
      <c r="JY114">
        <v>0</v>
      </c>
      <c r="JZ114">
        <v>0</v>
      </c>
      <c r="KA114">
        <v>0.2</v>
      </c>
      <c r="KB114">
        <v>0.4</v>
      </c>
      <c r="KC114">
        <v>0.42</v>
      </c>
      <c r="KD114">
        <v>0.3</v>
      </c>
      <c r="KE114">
        <v>0.5</v>
      </c>
      <c r="KF114">
        <v>0.2</v>
      </c>
      <c r="KG114">
        <v>0.11</v>
      </c>
      <c r="KH114">
        <v>3.5</v>
      </c>
      <c r="KI114">
        <v>1</v>
      </c>
      <c r="KJ114">
        <v>4.5</v>
      </c>
      <c r="KK114">
        <v>0</v>
      </c>
      <c r="KL114">
        <v>4.5</v>
      </c>
      <c r="KM114">
        <v>0.5</v>
      </c>
      <c r="KN114">
        <v>1.6</v>
      </c>
      <c r="KO114">
        <v>1</v>
      </c>
      <c r="KP114">
        <v>0</v>
      </c>
      <c r="KQ114">
        <v>1</v>
      </c>
      <c r="KR114">
        <v>0.8</v>
      </c>
      <c r="KS114">
        <v>0</v>
      </c>
      <c r="KT114">
        <v>2.5</v>
      </c>
      <c r="KU114">
        <v>0</v>
      </c>
      <c r="KV114">
        <v>0</v>
      </c>
      <c r="KW114">
        <v>1.2</v>
      </c>
      <c r="KX114">
        <v>2</v>
      </c>
      <c r="KY114">
        <v>1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3</v>
      </c>
      <c r="LI114">
        <v>0</v>
      </c>
      <c r="LJ114">
        <v>0</v>
      </c>
      <c r="LK114">
        <v>8</v>
      </c>
      <c r="LL114">
        <v>7.5</v>
      </c>
      <c r="LM114">
        <v>9</v>
      </c>
      <c r="LN114">
        <v>0.1</v>
      </c>
      <c r="LO114">
        <v>1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1.8</v>
      </c>
      <c r="LX114">
        <v>1.8</v>
      </c>
      <c r="LY114">
        <v>2.1</v>
      </c>
      <c r="LZ114">
        <v>2.1</v>
      </c>
      <c r="MA114">
        <v>0</v>
      </c>
      <c r="MB114">
        <v>4</v>
      </c>
      <c r="MC114">
        <v>0</v>
      </c>
      <c r="MD114">
        <v>4.5</v>
      </c>
      <c r="ME114">
        <v>6</v>
      </c>
      <c r="MF114">
        <v>6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390</v>
      </c>
      <c r="MN114">
        <v>210</v>
      </c>
      <c r="MO114">
        <v>258</v>
      </c>
      <c r="NU114">
        <v>0.15</v>
      </c>
      <c r="NV114">
        <v>0.2</v>
      </c>
      <c r="NW114">
        <v>0.2</v>
      </c>
      <c r="NX114">
        <v>0.2</v>
      </c>
      <c r="NY114">
        <v>0.2</v>
      </c>
      <c r="NZ114">
        <v>0.2</v>
      </c>
      <c r="OE114" t="s">
        <v>4514</v>
      </c>
      <c r="OF114" t="s">
        <v>4512</v>
      </c>
      <c r="OG114" t="s">
        <v>4513</v>
      </c>
      <c r="OH114" t="s">
        <v>4043</v>
      </c>
      <c r="OI114" t="s">
        <v>4514</v>
      </c>
      <c r="OJ114" t="s">
        <v>4511</v>
      </c>
      <c r="OK114">
        <v>61</v>
      </c>
      <c r="OL114">
        <v>61</v>
      </c>
      <c r="OM114" t="s">
        <v>4512</v>
      </c>
      <c r="ON114">
        <v>1</v>
      </c>
      <c r="OO114">
        <v>2228</v>
      </c>
      <c r="OP114">
        <v>61</v>
      </c>
      <c r="OQ114">
        <v>61</v>
      </c>
      <c r="OR114" t="s">
        <v>4513</v>
      </c>
      <c r="OS114">
        <v>1</v>
      </c>
      <c r="OT114">
        <v>2240</v>
      </c>
      <c r="OU114">
        <v>65</v>
      </c>
      <c r="OV114">
        <v>65</v>
      </c>
      <c r="OW114" t="s">
        <v>4043</v>
      </c>
      <c r="OX114">
        <v>2</v>
      </c>
      <c r="OY114">
        <v>50228</v>
      </c>
      <c r="OZ114">
        <v>51</v>
      </c>
      <c r="PA114">
        <v>51</v>
      </c>
      <c r="PB114" t="s">
        <v>4514</v>
      </c>
      <c r="PC114">
        <v>1</v>
      </c>
      <c r="PD114">
        <v>2268</v>
      </c>
      <c r="PF114">
        <v>454</v>
      </c>
      <c r="PG114">
        <v>35</v>
      </c>
      <c r="PH114">
        <v>433</v>
      </c>
      <c r="PI114">
        <v>0</v>
      </c>
      <c r="PJ114">
        <v>71.5</v>
      </c>
      <c r="PK114">
        <v>1865</v>
      </c>
      <c r="PL114">
        <v>1454.9</v>
      </c>
      <c r="PM114">
        <v>254.7</v>
      </c>
      <c r="PN114">
        <v>103.2</v>
      </c>
      <c r="PO114">
        <v>8.5</v>
      </c>
      <c r="PP114">
        <v>12</v>
      </c>
      <c r="PQ114">
        <v>4</v>
      </c>
      <c r="PR114">
        <v>4</v>
      </c>
      <c r="PS114">
        <v>0</v>
      </c>
      <c r="PT114">
        <v>248</v>
      </c>
      <c r="PU114">
        <v>10</v>
      </c>
      <c r="PV114" t="s">
        <v>4072</v>
      </c>
      <c r="PW114" t="s">
        <v>4072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-1</v>
      </c>
      <c r="QF114">
        <v>1</v>
      </c>
      <c r="QG114">
        <v>0</v>
      </c>
      <c r="QH114">
        <v>5</v>
      </c>
      <c r="QI114">
        <v>5</v>
      </c>
      <c r="QJ114">
        <v>5</v>
      </c>
      <c r="QK114">
        <v>223</v>
      </c>
      <c r="QL114">
        <v>442</v>
      </c>
      <c r="QM114">
        <v>9.4</v>
      </c>
      <c r="QN114">
        <v>1623.8</v>
      </c>
      <c r="QO114" t="s">
        <v>1888</v>
      </c>
      <c r="QP114" t="s">
        <v>513</v>
      </c>
      <c r="QQ114">
        <v>0</v>
      </c>
      <c r="QR114" t="s">
        <v>596</v>
      </c>
      <c r="QS114">
        <v>40</v>
      </c>
      <c r="QT114">
        <v>50</v>
      </c>
    </row>
    <row r="115" spans="1:462">
      <c r="A115" t="s">
        <v>1961</v>
      </c>
      <c r="B115" t="s">
        <v>1960</v>
      </c>
      <c r="C115" t="s">
        <v>509</v>
      </c>
      <c r="D115" t="s">
        <v>1199</v>
      </c>
      <c r="E115" t="s">
        <v>4036</v>
      </c>
      <c r="H115" t="s">
        <v>627</v>
      </c>
      <c r="I115" t="s">
        <v>605</v>
      </c>
      <c r="J115" t="s">
        <v>628</v>
      </c>
      <c r="K115" t="s">
        <v>606</v>
      </c>
      <c r="L115" t="s">
        <v>1453</v>
      </c>
      <c r="M115" t="s">
        <v>512</v>
      </c>
      <c r="O115" t="s">
        <v>513</v>
      </c>
      <c r="P115" t="s">
        <v>567</v>
      </c>
      <c r="Q115" t="s">
        <v>1455</v>
      </c>
      <c r="R115" t="s">
        <v>1456</v>
      </c>
      <c r="S115" t="s">
        <v>4091</v>
      </c>
      <c r="T115" t="s">
        <v>1457</v>
      </c>
      <c r="U115" t="s">
        <v>1458</v>
      </c>
      <c r="V115" t="s">
        <v>1962</v>
      </c>
      <c r="W115" t="s">
        <v>1880</v>
      </c>
      <c r="X115" t="s">
        <v>1963</v>
      </c>
      <c r="Y115" t="s">
        <v>1964</v>
      </c>
      <c r="Z115" t="s">
        <v>541</v>
      </c>
      <c r="AA115" t="s">
        <v>4038</v>
      </c>
      <c r="AB115" t="s">
        <v>4515</v>
      </c>
      <c r="AC115">
        <v>9</v>
      </c>
      <c r="AD115" t="s">
        <v>1959</v>
      </c>
      <c r="AE115">
        <v>12</v>
      </c>
      <c r="AF115">
        <v>2991</v>
      </c>
      <c r="AG115" t="s">
        <v>4516</v>
      </c>
      <c r="AH115">
        <v>1</v>
      </c>
      <c r="AI115" t="s">
        <v>4041</v>
      </c>
      <c r="AK115" t="s">
        <v>4517</v>
      </c>
      <c r="AL115">
        <v>1</v>
      </c>
      <c r="AM115" t="s">
        <v>582</v>
      </c>
      <c r="AO115" t="s">
        <v>4353</v>
      </c>
      <c r="AP115">
        <v>1</v>
      </c>
      <c r="AR115" t="s">
        <v>4518</v>
      </c>
      <c r="AS115">
        <v>1</v>
      </c>
      <c r="AT115">
        <v>52</v>
      </c>
      <c r="AV115" t="s">
        <v>4045</v>
      </c>
      <c r="AW115">
        <v>6.4</v>
      </c>
      <c r="AX115">
        <v>-6</v>
      </c>
      <c r="AY115">
        <v>71</v>
      </c>
      <c r="AZ115">
        <v>56</v>
      </c>
      <c r="BH115">
        <v>71</v>
      </c>
      <c r="BI115">
        <v>15</v>
      </c>
      <c r="BJ115">
        <v>56</v>
      </c>
      <c r="BK115">
        <v>3.5</v>
      </c>
      <c r="BL115">
        <v>142</v>
      </c>
      <c r="BM115">
        <v>-6</v>
      </c>
      <c r="BN115">
        <v>0</v>
      </c>
      <c r="BO115">
        <v>0</v>
      </c>
      <c r="BP115">
        <v>0</v>
      </c>
      <c r="BR115">
        <v>135</v>
      </c>
      <c r="BS115">
        <v>125</v>
      </c>
      <c r="BT115">
        <v>1715</v>
      </c>
      <c r="BU115" t="s">
        <v>4355</v>
      </c>
      <c r="BV115" t="s">
        <v>4355</v>
      </c>
      <c r="BW115" t="s">
        <v>4356</v>
      </c>
      <c r="BX115" t="s">
        <v>4356</v>
      </c>
      <c r="BY115" t="s">
        <v>4357</v>
      </c>
      <c r="BZ115" t="s">
        <v>4357</v>
      </c>
      <c r="CA115" t="s">
        <v>4358</v>
      </c>
      <c r="CB115" t="s">
        <v>4359</v>
      </c>
      <c r="CC115" t="s">
        <v>4053</v>
      </c>
      <c r="CD115" t="s">
        <v>4359</v>
      </c>
      <c r="CE115" t="s">
        <v>4360</v>
      </c>
      <c r="CF115" t="s">
        <v>4361</v>
      </c>
      <c r="CG115" t="s">
        <v>4056</v>
      </c>
      <c r="CH115" t="s">
        <v>4145</v>
      </c>
      <c r="CI115" t="s">
        <v>4058</v>
      </c>
      <c r="CJ115" t="s">
        <v>4059</v>
      </c>
      <c r="CK115" t="s">
        <v>4060</v>
      </c>
      <c r="CL115" t="s">
        <v>4061</v>
      </c>
      <c r="CM115" t="s">
        <v>4062</v>
      </c>
      <c r="CN115" t="s">
        <v>4055</v>
      </c>
      <c r="CO115" t="s">
        <v>4063</v>
      </c>
      <c r="CP115" t="s">
        <v>4055</v>
      </c>
      <c r="CQ115" t="s">
        <v>4055</v>
      </c>
      <c r="CR115">
        <v>5</v>
      </c>
      <c r="CS115" t="s">
        <v>4055</v>
      </c>
      <c r="CT115" t="s">
        <v>4055</v>
      </c>
      <c r="CU115" t="s">
        <v>4055</v>
      </c>
      <c r="CV115">
        <v>90</v>
      </c>
      <c r="CW115">
        <v>3</v>
      </c>
      <c r="CX115">
        <v>60</v>
      </c>
      <c r="CY115">
        <v>5</v>
      </c>
      <c r="CZ115">
        <v>122</v>
      </c>
      <c r="DA115">
        <v>5</v>
      </c>
      <c r="DB115">
        <v>6380</v>
      </c>
      <c r="DC115">
        <v>190</v>
      </c>
      <c r="DD115">
        <v>256</v>
      </c>
      <c r="DE115">
        <v>1797</v>
      </c>
      <c r="DF115">
        <v>1797</v>
      </c>
      <c r="DG115">
        <v>1810</v>
      </c>
      <c r="DH115" t="s">
        <v>4055</v>
      </c>
      <c r="DI115" t="s">
        <v>4055</v>
      </c>
      <c r="DJ115" t="s">
        <v>4100</v>
      </c>
      <c r="DK115">
        <v>135</v>
      </c>
      <c r="DL115" t="s">
        <v>4101</v>
      </c>
      <c r="DM115">
        <v>63</v>
      </c>
      <c r="DN115">
        <v>0.84</v>
      </c>
      <c r="DO115">
        <v>1</v>
      </c>
      <c r="DP115">
        <v>1718</v>
      </c>
      <c r="DQ115">
        <v>424</v>
      </c>
      <c r="DR115" t="s">
        <v>4100</v>
      </c>
      <c r="DS115">
        <v>125</v>
      </c>
      <c r="DT115" t="s">
        <v>4101</v>
      </c>
      <c r="DU115">
        <v>63</v>
      </c>
      <c r="DV115">
        <v>0.84</v>
      </c>
      <c r="DW115">
        <v>1</v>
      </c>
      <c r="DX115">
        <v>1725</v>
      </c>
      <c r="DY115">
        <v>395</v>
      </c>
      <c r="DZ115" t="s">
        <v>4066</v>
      </c>
      <c r="EA115">
        <v>33</v>
      </c>
      <c r="EB115" t="s">
        <v>4065</v>
      </c>
      <c r="EC115">
        <v>0.4</v>
      </c>
      <c r="ED115">
        <v>1718</v>
      </c>
      <c r="EE115">
        <v>50</v>
      </c>
      <c r="EF115" t="s">
        <v>4066</v>
      </c>
      <c r="EG115">
        <v>33</v>
      </c>
      <c r="EH115" t="s">
        <v>4065</v>
      </c>
      <c r="EI115">
        <v>0.4</v>
      </c>
      <c r="EJ115">
        <v>1725</v>
      </c>
      <c r="EK115">
        <v>50</v>
      </c>
      <c r="EL115" t="s">
        <v>4362</v>
      </c>
      <c r="EM115">
        <v>12</v>
      </c>
      <c r="EN115">
        <v>0.5</v>
      </c>
      <c r="EO115">
        <v>0.77</v>
      </c>
      <c r="EP115">
        <v>1725.56</v>
      </c>
      <c r="EQ115">
        <v>20760.64</v>
      </c>
      <c r="ER115">
        <v>4055.62</v>
      </c>
      <c r="ES115">
        <v>0</v>
      </c>
      <c r="ET115">
        <v>0</v>
      </c>
      <c r="EU115">
        <v>1</v>
      </c>
      <c r="EV115">
        <v>24817</v>
      </c>
      <c r="EW115">
        <v>249</v>
      </c>
      <c r="EX115" t="s">
        <v>4363</v>
      </c>
      <c r="EY115">
        <v>152</v>
      </c>
      <c r="EZ115" t="s">
        <v>4055</v>
      </c>
      <c r="FA115">
        <v>5.8</v>
      </c>
      <c r="FB115">
        <v>1</v>
      </c>
      <c r="FC115">
        <v>1</v>
      </c>
      <c r="FD115">
        <v>1754</v>
      </c>
      <c r="FE115">
        <v>1733</v>
      </c>
      <c r="FF115" t="s">
        <v>4089</v>
      </c>
      <c r="FG115">
        <v>152</v>
      </c>
      <c r="FH115" t="s">
        <v>4055</v>
      </c>
      <c r="FI115">
        <v>1.1</v>
      </c>
      <c r="FJ115">
        <v>1754</v>
      </c>
      <c r="FK115">
        <v>282</v>
      </c>
      <c r="FL115" t="s">
        <v>4069</v>
      </c>
      <c r="FM115" t="s">
        <v>4055</v>
      </c>
      <c r="FN115" t="s">
        <v>4055</v>
      </c>
      <c r="FO115" t="s">
        <v>4055</v>
      </c>
      <c r="FP115">
        <v>1754</v>
      </c>
      <c r="FQ115">
        <v>66</v>
      </c>
      <c r="FR115" t="s">
        <v>4090</v>
      </c>
      <c r="FS115">
        <v>156</v>
      </c>
      <c r="FT115" t="s">
        <v>4055</v>
      </c>
      <c r="FU115">
        <v>0.4</v>
      </c>
      <c r="FV115">
        <v>1754</v>
      </c>
      <c r="FW115">
        <v>122</v>
      </c>
      <c r="FX115" t="s">
        <v>4070</v>
      </c>
      <c r="FY115">
        <v>10</v>
      </c>
      <c r="FZ115" t="s">
        <v>4055</v>
      </c>
      <c r="GA115" t="s">
        <v>4055</v>
      </c>
      <c r="GB115">
        <v>1754</v>
      </c>
      <c r="GC115">
        <v>15</v>
      </c>
      <c r="GD115">
        <v>2218</v>
      </c>
      <c r="GE115" t="s">
        <v>4518</v>
      </c>
      <c r="GF115" t="s">
        <v>4055</v>
      </c>
      <c r="GG115" t="s">
        <v>4055</v>
      </c>
      <c r="GH115" t="s">
        <v>4055</v>
      </c>
      <c r="GI115" t="s">
        <v>4055</v>
      </c>
      <c r="GJ115" t="s">
        <v>4055</v>
      </c>
      <c r="GK115" t="s">
        <v>4055</v>
      </c>
      <c r="GL115" t="s">
        <v>4055</v>
      </c>
      <c r="GM115" t="s">
        <v>4055</v>
      </c>
      <c r="GQ115">
        <v>0</v>
      </c>
      <c r="GV115">
        <v>7.3</v>
      </c>
      <c r="GW115">
        <v>8.4</v>
      </c>
      <c r="GX115">
        <v>0.5</v>
      </c>
      <c r="GY115">
        <v>122</v>
      </c>
      <c r="GZ115">
        <v>3</v>
      </c>
      <c r="HA115">
        <v>166</v>
      </c>
      <c r="HB115">
        <v>3</v>
      </c>
      <c r="HC115">
        <v>1754</v>
      </c>
      <c r="HD115">
        <v>4</v>
      </c>
      <c r="HE115" t="s">
        <v>4071</v>
      </c>
      <c r="HG115" t="s">
        <v>549</v>
      </c>
      <c r="HL115">
        <v>4</v>
      </c>
      <c r="HM115">
        <v>14</v>
      </c>
      <c r="HN115">
        <v>6</v>
      </c>
      <c r="HO115">
        <v>1</v>
      </c>
      <c r="HP115">
        <v>0</v>
      </c>
      <c r="HQ115">
        <v>0</v>
      </c>
      <c r="HR115">
        <v>1</v>
      </c>
      <c r="HS115">
        <v>1715</v>
      </c>
      <c r="HT115">
        <v>6</v>
      </c>
      <c r="HU115">
        <v>1</v>
      </c>
      <c r="HV115">
        <v>5</v>
      </c>
      <c r="HW115">
        <v>0</v>
      </c>
      <c r="HX115">
        <v>1</v>
      </c>
      <c r="HY115">
        <v>0</v>
      </c>
      <c r="HZ115">
        <v>63</v>
      </c>
      <c r="IA115">
        <v>1718</v>
      </c>
      <c r="IB115">
        <v>1725</v>
      </c>
      <c r="ID115">
        <v>1754</v>
      </c>
      <c r="IE115">
        <v>1754</v>
      </c>
      <c r="IF115">
        <v>135</v>
      </c>
      <c r="IG115">
        <v>125</v>
      </c>
      <c r="IH115">
        <v>166</v>
      </c>
      <c r="II115">
        <v>0</v>
      </c>
      <c r="IJ115">
        <v>5</v>
      </c>
      <c r="IK115">
        <v>0</v>
      </c>
      <c r="IL115">
        <v>2</v>
      </c>
      <c r="IM115">
        <v>0</v>
      </c>
      <c r="IN115">
        <v>270</v>
      </c>
      <c r="IO115">
        <v>0</v>
      </c>
      <c r="IP115">
        <v>180</v>
      </c>
      <c r="IQ115">
        <v>0</v>
      </c>
      <c r="IR115">
        <v>330</v>
      </c>
      <c r="IS115">
        <v>0</v>
      </c>
      <c r="IT115">
        <v>90</v>
      </c>
      <c r="IU115">
        <v>0</v>
      </c>
      <c r="IV115">
        <v>6.4</v>
      </c>
      <c r="IW115">
        <v>-6</v>
      </c>
      <c r="IX115">
        <v>71</v>
      </c>
      <c r="IY115">
        <v>56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316</v>
      </c>
      <c r="JJ115">
        <v>290</v>
      </c>
      <c r="JK115">
        <v>206</v>
      </c>
      <c r="JL115">
        <v>290</v>
      </c>
      <c r="JM115">
        <v>230</v>
      </c>
      <c r="JN115">
        <v>140</v>
      </c>
      <c r="JO115">
        <v>180</v>
      </c>
      <c r="JP115">
        <v>240</v>
      </c>
      <c r="JQ115">
        <v>270</v>
      </c>
      <c r="JR115">
        <v>357</v>
      </c>
      <c r="JS115">
        <v>270</v>
      </c>
      <c r="JT115">
        <v>0</v>
      </c>
      <c r="JU115">
        <v>0</v>
      </c>
      <c r="JV115">
        <v>335</v>
      </c>
      <c r="JW115">
        <v>337</v>
      </c>
      <c r="JX115">
        <v>0</v>
      </c>
      <c r="JY115">
        <v>0</v>
      </c>
      <c r="JZ115">
        <v>0</v>
      </c>
      <c r="KA115">
        <v>0.2</v>
      </c>
      <c r="KB115">
        <v>0.4</v>
      </c>
      <c r="KC115">
        <v>0.42</v>
      </c>
      <c r="KD115">
        <v>0.3</v>
      </c>
      <c r="KE115">
        <v>0.5</v>
      </c>
      <c r="KF115">
        <v>0.2</v>
      </c>
      <c r="KG115">
        <v>0.09</v>
      </c>
      <c r="KH115">
        <v>3.5</v>
      </c>
      <c r="KI115">
        <v>1</v>
      </c>
      <c r="KJ115">
        <v>3.5</v>
      </c>
      <c r="KK115">
        <v>1</v>
      </c>
      <c r="KL115">
        <v>5</v>
      </c>
      <c r="KM115">
        <v>3</v>
      </c>
      <c r="KN115">
        <v>1</v>
      </c>
      <c r="KO115">
        <v>1</v>
      </c>
      <c r="KP115">
        <v>0</v>
      </c>
      <c r="KQ115">
        <v>0.8</v>
      </c>
      <c r="KR115">
        <v>1.2</v>
      </c>
      <c r="KS115">
        <v>0</v>
      </c>
      <c r="KT115">
        <v>1.8</v>
      </c>
      <c r="KU115">
        <v>0</v>
      </c>
      <c r="KV115">
        <v>1.4</v>
      </c>
      <c r="KW115">
        <v>1.2</v>
      </c>
      <c r="KX115">
        <v>2</v>
      </c>
      <c r="KY115">
        <v>0</v>
      </c>
      <c r="KZ115">
        <v>3.5</v>
      </c>
      <c r="LA115">
        <v>3</v>
      </c>
      <c r="LB115">
        <v>10</v>
      </c>
      <c r="LC115">
        <v>3</v>
      </c>
      <c r="LD115">
        <v>3.5</v>
      </c>
      <c r="LE115">
        <v>2.5</v>
      </c>
      <c r="LF115">
        <v>0</v>
      </c>
      <c r="LG115">
        <v>0</v>
      </c>
      <c r="LH115">
        <v>3</v>
      </c>
      <c r="LI115">
        <v>0</v>
      </c>
      <c r="LJ115">
        <v>0</v>
      </c>
      <c r="LK115">
        <v>8</v>
      </c>
      <c r="LL115">
        <v>11</v>
      </c>
      <c r="LM115">
        <v>8</v>
      </c>
      <c r="LN115">
        <v>0.1</v>
      </c>
      <c r="LO115">
        <v>0.5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5</v>
      </c>
      <c r="MC115">
        <v>0</v>
      </c>
      <c r="MD115">
        <v>4.5</v>
      </c>
      <c r="ME115">
        <v>6</v>
      </c>
      <c r="MF115">
        <v>6</v>
      </c>
      <c r="MI115">
        <v>0</v>
      </c>
      <c r="MJ115">
        <v>0</v>
      </c>
      <c r="ML115">
        <v>0</v>
      </c>
      <c r="MM115">
        <v>326</v>
      </c>
      <c r="MN115">
        <v>140</v>
      </c>
      <c r="MO115">
        <v>182</v>
      </c>
      <c r="NU115">
        <v>0.15</v>
      </c>
      <c r="NV115">
        <v>0.2</v>
      </c>
      <c r="NW115">
        <v>0.2</v>
      </c>
      <c r="NX115">
        <v>2</v>
      </c>
      <c r="NY115">
        <v>2</v>
      </c>
      <c r="NZ115">
        <v>2</v>
      </c>
      <c r="OE115" t="s">
        <v>4518</v>
      </c>
      <c r="OF115" t="s">
        <v>4516</v>
      </c>
      <c r="OG115" t="s">
        <v>4517</v>
      </c>
      <c r="OH115" t="s">
        <v>4353</v>
      </c>
      <c r="OI115" t="s">
        <v>4518</v>
      </c>
      <c r="OJ115" t="s">
        <v>4515</v>
      </c>
      <c r="OK115">
        <v>61</v>
      </c>
      <c r="OL115">
        <v>61</v>
      </c>
      <c r="OM115" t="s">
        <v>4516</v>
      </c>
      <c r="ON115">
        <v>3</v>
      </c>
      <c r="OO115">
        <v>1718</v>
      </c>
      <c r="OP115">
        <v>61</v>
      </c>
      <c r="OQ115">
        <v>61</v>
      </c>
      <c r="OR115" t="s">
        <v>4517</v>
      </c>
      <c r="OS115">
        <v>3</v>
      </c>
      <c r="OT115">
        <v>1725</v>
      </c>
      <c r="OU115">
        <v>65</v>
      </c>
      <c r="OV115">
        <v>65</v>
      </c>
      <c r="OW115" t="s">
        <v>4353</v>
      </c>
      <c r="OX115">
        <v>1</v>
      </c>
      <c r="OY115">
        <v>24817</v>
      </c>
      <c r="OZ115">
        <v>51</v>
      </c>
      <c r="PA115">
        <v>52</v>
      </c>
      <c r="PB115" t="s">
        <v>4518</v>
      </c>
      <c r="PC115">
        <v>6</v>
      </c>
      <c r="PD115">
        <v>1754</v>
      </c>
      <c r="PF115">
        <v>247</v>
      </c>
      <c r="PG115">
        <v>29</v>
      </c>
      <c r="PH115">
        <v>229</v>
      </c>
      <c r="PI115">
        <v>29</v>
      </c>
      <c r="PJ115">
        <v>37.7</v>
      </c>
      <c r="PK115">
        <v>1254</v>
      </c>
      <c r="PL115">
        <v>988</v>
      </c>
      <c r="PM115">
        <v>160.9</v>
      </c>
      <c r="PN115">
        <v>69.3</v>
      </c>
      <c r="PO115">
        <v>8.5</v>
      </c>
      <c r="PP115">
        <v>10</v>
      </c>
      <c r="PQ115">
        <v>8</v>
      </c>
      <c r="PR115">
        <v>8</v>
      </c>
      <c r="PS115">
        <v>6</v>
      </c>
      <c r="PT115">
        <v>166</v>
      </c>
      <c r="PU115">
        <v>7</v>
      </c>
      <c r="PV115" t="s">
        <v>4072</v>
      </c>
      <c r="PW115" t="s">
        <v>4072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-1</v>
      </c>
      <c r="QF115">
        <v>1</v>
      </c>
      <c r="QG115">
        <v>0</v>
      </c>
      <c r="QH115">
        <v>5</v>
      </c>
      <c r="QI115">
        <v>5</v>
      </c>
      <c r="QJ115">
        <v>5</v>
      </c>
      <c r="QK115">
        <v>152</v>
      </c>
      <c r="QL115">
        <v>350</v>
      </c>
      <c r="QM115">
        <v>7.5</v>
      </c>
      <c r="QN115">
        <v>1123</v>
      </c>
      <c r="QO115" t="s">
        <v>1888</v>
      </c>
      <c r="QP115" t="s">
        <v>513</v>
      </c>
      <c r="QQ115">
        <v>0</v>
      </c>
      <c r="QR115" t="s">
        <v>540</v>
      </c>
      <c r="QS115">
        <v>30</v>
      </c>
      <c r="QT115">
        <v>40</v>
      </c>
    </row>
    <row r="116" spans="1:462">
      <c r="A116" t="s">
        <v>1970</v>
      </c>
      <c r="B116" t="s">
        <v>1453</v>
      </c>
      <c r="C116" t="s">
        <v>509</v>
      </c>
      <c r="D116" t="s">
        <v>4519</v>
      </c>
      <c r="E116" t="s">
        <v>4036</v>
      </c>
      <c r="H116" t="s">
        <v>605</v>
      </c>
      <c r="J116" t="s">
        <v>628</v>
      </c>
      <c r="K116" t="s">
        <v>606</v>
      </c>
      <c r="L116" t="s">
        <v>727</v>
      </c>
      <c r="M116" t="s">
        <v>512</v>
      </c>
      <c r="O116" t="s">
        <v>513</v>
      </c>
      <c r="P116" t="s">
        <v>567</v>
      </c>
      <c r="Q116" t="s">
        <v>1480</v>
      </c>
      <c r="R116" t="s">
        <v>1481</v>
      </c>
      <c r="S116" t="s">
        <v>4091</v>
      </c>
      <c r="T116" t="s">
        <v>1482</v>
      </c>
      <c r="U116" t="s">
        <v>1483</v>
      </c>
      <c r="V116" t="s">
        <v>1971</v>
      </c>
      <c r="W116" t="s">
        <v>1880</v>
      </c>
      <c r="X116" t="s">
        <v>1972</v>
      </c>
      <c r="Y116" t="s">
        <v>1973</v>
      </c>
      <c r="Z116" t="s">
        <v>541</v>
      </c>
      <c r="AA116" t="s">
        <v>4038</v>
      </c>
      <c r="AB116" t="s">
        <v>4520</v>
      </c>
      <c r="AC116">
        <v>9</v>
      </c>
      <c r="AD116" t="s">
        <v>1968</v>
      </c>
      <c r="AE116">
        <v>11</v>
      </c>
      <c r="AF116">
        <v>3329</v>
      </c>
      <c r="AG116" t="s">
        <v>4521</v>
      </c>
      <c r="AH116">
        <v>1</v>
      </c>
      <c r="AI116" t="s">
        <v>4041</v>
      </c>
      <c r="AK116" t="s">
        <v>4522</v>
      </c>
      <c r="AL116">
        <v>1</v>
      </c>
      <c r="AM116" t="s">
        <v>582</v>
      </c>
      <c r="AO116" t="s">
        <v>4353</v>
      </c>
      <c r="AP116">
        <v>1</v>
      </c>
      <c r="AR116" t="s">
        <v>4523</v>
      </c>
      <c r="AS116">
        <v>1</v>
      </c>
      <c r="AT116">
        <v>51</v>
      </c>
      <c r="AV116" t="s">
        <v>4045</v>
      </c>
      <c r="AW116">
        <v>6.4</v>
      </c>
      <c r="AX116">
        <v>-6</v>
      </c>
      <c r="AY116">
        <v>75</v>
      </c>
      <c r="AZ116">
        <v>63</v>
      </c>
      <c r="BH116">
        <v>75</v>
      </c>
      <c r="BI116">
        <v>12</v>
      </c>
      <c r="BJ116">
        <v>63</v>
      </c>
      <c r="BK116">
        <v>2.5</v>
      </c>
      <c r="BL116">
        <v>150</v>
      </c>
      <c r="BM116">
        <v>-6</v>
      </c>
      <c r="BN116">
        <v>0</v>
      </c>
      <c r="BP116">
        <v>0</v>
      </c>
      <c r="BR116">
        <v>145</v>
      </c>
      <c r="BS116">
        <v>135</v>
      </c>
      <c r="BT116">
        <v>1820</v>
      </c>
      <c r="BU116" t="s">
        <v>4046</v>
      </c>
      <c r="BV116" t="s">
        <v>4047</v>
      </c>
      <c r="BW116" t="s">
        <v>4048</v>
      </c>
      <c r="BX116" t="s">
        <v>4049</v>
      </c>
      <c r="BY116" t="s">
        <v>4413</v>
      </c>
      <c r="BZ116" t="s">
        <v>4413</v>
      </c>
      <c r="CA116" t="s">
        <v>4370</v>
      </c>
      <c r="CB116" t="s">
        <v>4371</v>
      </c>
      <c r="CC116" t="s">
        <v>4053</v>
      </c>
      <c r="CD116" t="s">
        <v>4372</v>
      </c>
      <c r="CE116" t="s">
        <v>4055</v>
      </c>
      <c r="CF116" t="s">
        <v>4055</v>
      </c>
      <c r="CG116" t="s">
        <v>4056</v>
      </c>
      <c r="CH116" t="s">
        <v>4145</v>
      </c>
      <c r="CI116" t="s">
        <v>4058</v>
      </c>
      <c r="CJ116" t="s">
        <v>4059</v>
      </c>
      <c r="CK116" t="s">
        <v>4060</v>
      </c>
      <c r="CL116" t="s">
        <v>4061</v>
      </c>
      <c r="CM116" t="s">
        <v>4062</v>
      </c>
      <c r="CN116" t="s">
        <v>4055</v>
      </c>
      <c r="CO116" t="s">
        <v>4063</v>
      </c>
      <c r="CP116" t="s">
        <v>4055</v>
      </c>
      <c r="CQ116" t="s">
        <v>4055</v>
      </c>
      <c r="CR116">
        <v>5</v>
      </c>
      <c r="CS116" t="s">
        <v>4055</v>
      </c>
      <c r="CT116" t="s">
        <v>4055</v>
      </c>
      <c r="CU116" t="s">
        <v>4055</v>
      </c>
      <c r="CV116">
        <v>97</v>
      </c>
      <c r="CW116">
        <v>3</v>
      </c>
      <c r="CX116">
        <v>59</v>
      </c>
      <c r="CY116">
        <v>5</v>
      </c>
      <c r="CZ116">
        <v>53</v>
      </c>
      <c r="DA116">
        <v>5</v>
      </c>
      <c r="DB116">
        <v>6980</v>
      </c>
      <c r="DC116">
        <v>200</v>
      </c>
      <c r="DD116">
        <v>272</v>
      </c>
      <c r="DE116">
        <v>1914</v>
      </c>
      <c r="DF116">
        <v>1914</v>
      </c>
      <c r="DG116">
        <v>1924</v>
      </c>
      <c r="DH116">
        <v>0</v>
      </c>
      <c r="DI116" t="s">
        <v>4055</v>
      </c>
      <c r="DJ116" t="s">
        <v>4100</v>
      </c>
      <c r="DK116">
        <v>145</v>
      </c>
      <c r="DL116" t="s">
        <v>4101</v>
      </c>
      <c r="DM116">
        <v>63</v>
      </c>
      <c r="DN116">
        <v>0.84</v>
      </c>
      <c r="DO116">
        <v>1</v>
      </c>
      <c r="DP116">
        <v>1823</v>
      </c>
      <c r="DQ116">
        <v>483</v>
      </c>
      <c r="DR116" t="s">
        <v>4100</v>
      </c>
      <c r="DS116">
        <v>135</v>
      </c>
      <c r="DT116" t="s">
        <v>4101</v>
      </c>
      <c r="DU116">
        <v>63</v>
      </c>
      <c r="DV116">
        <v>0.84</v>
      </c>
      <c r="DW116">
        <v>1</v>
      </c>
      <c r="DX116">
        <v>1830</v>
      </c>
      <c r="DY116">
        <v>452</v>
      </c>
      <c r="DZ116" t="s">
        <v>4066</v>
      </c>
      <c r="EA116">
        <v>33</v>
      </c>
      <c r="EB116" t="s">
        <v>4065</v>
      </c>
      <c r="EC116">
        <v>0.4</v>
      </c>
      <c r="ED116">
        <v>1823</v>
      </c>
      <c r="EE116">
        <v>53</v>
      </c>
      <c r="EF116" t="s">
        <v>4066</v>
      </c>
      <c r="EG116">
        <v>33</v>
      </c>
      <c r="EH116" t="s">
        <v>4065</v>
      </c>
      <c r="EI116">
        <v>0.4</v>
      </c>
      <c r="EJ116">
        <v>1830</v>
      </c>
      <c r="EK116">
        <v>53</v>
      </c>
      <c r="EL116" t="s">
        <v>4362</v>
      </c>
      <c r="EM116">
        <v>12</v>
      </c>
      <c r="EN116">
        <v>0.5</v>
      </c>
      <c r="EO116">
        <v>0.77</v>
      </c>
      <c r="EP116">
        <v>1830.56</v>
      </c>
      <c r="EQ116">
        <v>23168.03</v>
      </c>
      <c r="ER116">
        <v>3441.37</v>
      </c>
      <c r="ES116">
        <v>0</v>
      </c>
      <c r="ET116">
        <v>0</v>
      </c>
      <c r="EU116">
        <v>1</v>
      </c>
      <c r="EV116">
        <v>26610</v>
      </c>
      <c r="EW116">
        <v>267</v>
      </c>
      <c r="EX116" t="s">
        <v>4363</v>
      </c>
      <c r="EY116">
        <v>160</v>
      </c>
      <c r="EZ116" t="s">
        <v>4055</v>
      </c>
      <c r="FA116">
        <v>5.3</v>
      </c>
      <c r="FB116">
        <v>1</v>
      </c>
      <c r="FC116">
        <v>1</v>
      </c>
      <c r="FD116">
        <v>1857</v>
      </c>
      <c r="FE116">
        <v>1745</v>
      </c>
      <c r="FF116" t="s">
        <v>4089</v>
      </c>
      <c r="FG116">
        <v>160</v>
      </c>
      <c r="FH116" t="s">
        <v>4055</v>
      </c>
      <c r="FI116">
        <v>1.1</v>
      </c>
      <c r="FJ116">
        <v>1857</v>
      </c>
      <c r="FK116">
        <v>324</v>
      </c>
      <c r="FL116" t="s">
        <v>4069</v>
      </c>
      <c r="FM116" t="s">
        <v>4055</v>
      </c>
      <c r="FN116" t="s">
        <v>4055</v>
      </c>
      <c r="FO116" t="s">
        <v>4055</v>
      </c>
      <c r="FP116">
        <v>1857</v>
      </c>
      <c r="FQ116">
        <v>115</v>
      </c>
      <c r="FR116" t="s">
        <v>4090</v>
      </c>
      <c r="FS116">
        <v>164</v>
      </c>
      <c r="FT116" t="s">
        <v>4055</v>
      </c>
      <c r="FU116">
        <v>0.4</v>
      </c>
      <c r="FV116">
        <v>1857</v>
      </c>
      <c r="FW116">
        <v>135</v>
      </c>
      <c r="FX116" t="s">
        <v>4070</v>
      </c>
      <c r="FY116">
        <v>10</v>
      </c>
      <c r="FZ116" t="s">
        <v>4055</v>
      </c>
      <c r="GA116" t="s">
        <v>4055</v>
      </c>
      <c r="GB116">
        <v>1857</v>
      </c>
      <c r="GC116">
        <v>15</v>
      </c>
      <c r="GD116">
        <v>2334</v>
      </c>
      <c r="GE116" t="s">
        <v>4523</v>
      </c>
      <c r="GF116" t="s">
        <v>4055</v>
      </c>
      <c r="GG116" t="s">
        <v>4055</v>
      </c>
      <c r="GH116" t="s">
        <v>4055</v>
      </c>
      <c r="GI116" t="s">
        <v>4071</v>
      </c>
      <c r="GJ116" t="s">
        <v>4055</v>
      </c>
      <c r="GK116" t="s">
        <v>4055</v>
      </c>
      <c r="GL116" t="s">
        <v>4055</v>
      </c>
      <c r="GM116" t="s">
        <v>4055</v>
      </c>
      <c r="GQ116">
        <v>0</v>
      </c>
      <c r="GV116">
        <v>6.8</v>
      </c>
      <c r="GW116">
        <v>8.199999999999999</v>
      </c>
      <c r="GX116">
        <v>0.5</v>
      </c>
      <c r="GY116">
        <v>134</v>
      </c>
      <c r="GZ116">
        <v>3</v>
      </c>
      <c r="HA116">
        <v>178</v>
      </c>
      <c r="HB116">
        <v>3</v>
      </c>
      <c r="HC116">
        <v>1857</v>
      </c>
      <c r="HD116">
        <v>4</v>
      </c>
      <c r="HE116" t="s">
        <v>4071</v>
      </c>
      <c r="HG116" t="s">
        <v>549</v>
      </c>
      <c r="HL116">
        <v>4</v>
      </c>
      <c r="HM116">
        <v>15</v>
      </c>
      <c r="HN116">
        <v>6</v>
      </c>
      <c r="HO116">
        <v>1</v>
      </c>
      <c r="HP116">
        <v>0</v>
      </c>
      <c r="HQ116">
        <v>0</v>
      </c>
      <c r="HR116">
        <v>1</v>
      </c>
      <c r="HS116">
        <v>1820</v>
      </c>
      <c r="HT116">
        <v>5</v>
      </c>
      <c r="HU116">
        <v>1</v>
      </c>
      <c r="HV116">
        <v>5</v>
      </c>
      <c r="HW116">
        <v>0</v>
      </c>
      <c r="HX116">
        <v>1</v>
      </c>
      <c r="HY116">
        <v>0</v>
      </c>
      <c r="HZ116">
        <v>63</v>
      </c>
      <c r="IA116">
        <v>1823</v>
      </c>
      <c r="IB116">
        <v>1830</v>
      </c>
      <c r="ID116">
        <v>1857</v>
      </c>
      <c r="IE116">
        <v>1857</v>
      </c>
      <c r="IF116">
        <v>145</v>
      </c>
      <c r="IG116">
        <v>135</v>
      </c>
      <c r="IH116">
        <v>178</v>
      </c>
      <c r="II116">
        <v>1</v>
      </c>
      <c r="IJ116">
        <v>5</v>
      </c>
      <c r="IK116">
        <v>0</v>
      </c>
      <c r="IL116">
        <v>2</v>
      </c>
      <c r="IM116">
        <v>0</v>
      </c>
      <c r="IN116">
        <v>270</v>
      </c>
      <c r="IO116">
        <v>0</v>
      </c>
      <c r="IP116">
        <v>180</v>
      </c>
      <c r="IQ116">
        <v>0</v>
      </c>
      <c r="IR116">
        <v>310</v>
      </c>
      <c r="IS116">
        <v>0</v>
      </c>
      <c r="IT116">
        <v>90</v>
      </c>
      <c r="IU116">
        <v>0</v>
      </c>
      <c r="IV116">
        <v>6.4</v>
      </c>
      <c r="IW116">
        <v>-6</v>
      </c>
      <c r="IX116">
        <v>75</v>
      </c>
      <c r="IY116">
        <v>63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338</v>
      </c>
      <c r="JJ116">
        <v>312</v>
      </c>
      <c r="JK116">
        <v>222</v>
      </c>
      <c r="JL116">
        <v>312</v>
      </c>
      <c r="JM116">
        <v>235</v>
      </c>
      <c r="JN116">
        <v>145</v>
      </c>
      <c r="JO116">
        <v>194</v>
      </c>
      <c r="JP116">
        <v>210</v>
      </c>
      <c r="JQ116">
        <v>270</v>
      </c>
      <c r="JR116">
        <v>344</v>
      </c>
      <c r="JS116">
        <v>256</v>
      </c>
      <c r="JT116">
        <v>0</v>
      </c>
      <c r="JU116">
        <v>0</v>
      </c>
      <c r="JV116">
        <v>335</v>
      </c>
      <c r="JW116">
        <v>337</v>
      </c>
      <c r="JX116">
        <v>330</v>
      </c>
      <c r="JY116">
        <v>320</v>
      </c>
      <c r="JZ116">
        <v>2.5</v>
      </c>
      <c r="KA116">
        <v>0.2</v>
      </c>
      <c r="KB116">
        <v>0.4</v>
      </c>
      <c r="KC116">
        <v>0.42</v>
      </c>
      <c r="KD116">
        <v>0.28</v>
      </c>
      <c r="KE116">
        <v>0.5</v>
      </c>
      <c r="KF116">
        <v>0.2</v>
      </c>
      <c r="KG116">
        <v>0.09</v>
      </c>
      <c r="KH116">
        <v>6</v>
      </c>
      <c r="KI116">
        <v>1.5</v>
      </c>
      <c r="KJ116">
        <v>4.5</v>
      </c>
      <c r="KK116">
        <v>0</v>
      </c>
      <c r="KL116">
        <v>4.5</v>
      </c>
      <c r="KM116">
        <v>1</v>
      </c>
      <c r="KN116">
        <v>1</v>
      </c>
      <c r="KO116">
        <v>0</v>
      </c>
      <c r="KP116">
        <v>0</v>
      </c>
      <c r="KQ116">
        <v>1</v>
      </c>
      <c r="KR116">
        <v>1.5</v>
      </c>
      <c r="KS116">
        <v>0</v>
      </c>
      <c r="KT116">
        <v>2.4</v>
      </c>
      <c r="KU116">
        <v>0</v>
      </c>
      <c r="KV116">
        <v>0</v>
      </c>
      <c r="KW116">
        <v>1.2</v>
      </c>
      <c r="KX116">
        <v>2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3.5</v>
      </c>
      <c r="LI116">
        <v>1.5</v>
      </c>
      <c r="LJ116">
        <v>0</v>
      </c>
      <c r="LK116">
        <v>4</v>
      </c>
      <c r="LL116">
        <v>6</v>
      </c>
      <c r="LM116">
        <v>6</v>
      </c>
      <c r="LN116">
        <v>0.1</v>
      </c>
      <c r="LO116">
        <v>1.5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1.4</v>
      </c>
      <c r="LX116">
        <v>1.4</v>
      </c>
      <c r="LY116">
        <v>2.1</v>
      </c>
      <c r="LZ116">
        <v>2.1</v>
      </c>
      <c r="MA116">
        <v>0</v>
      </c>
      <c r="MB116">
        <v>0</v>
      </c>
      <c r="MC116">
        <v>0</v>
      </c>
      <c r="MD116">
        <v>4.5</v>
      </c>
      <c r="ME116">
        <v>6</v>
      </c>
      <c r="MF116">
        <v>6</v>
      </c>
      <c r="MI116">
        <v>0</v>
      </c>
      <c r="MJ116">
        <v>0</v>
      </c>
      <c r="ML116">
        <v>0</v>
      </c>
      <c r="MM116">
        <v>358</v>
      </c>
      <c r="MN116">
        <v>140</v>
      </c>
      <c r="MO116">
        <v>188</v>
      </c>
      <c r="NU116">
        <v>0.15</v>
      </c>
      <c r="NV116">
        <v>0.2</v>
      </c>
      <c r="NW116">
        <v>0.2</v>
      </c>
      <c r="NX116">
        <v>2</v>
      </c>
      <c r="NY116">
        <v>2</v>
      </c>
      <c r="NZ116">
        <v>2</v>
      </c>
      <c r="OE116" t="s">
        <v>4523</v>
      </c>
      <c r="OF116" t="s">
        <v>4521</v>
      </c>
      <c r="OG116" t="s">
        <v>4522</v>
      </c>
      <c r="OH116" t="s">
        <v>4353</v>
      </c>
      <c r="OI116" t="s">
        <v>4523</v>
      </c>
      <c r="OJ116" t="s">
        <v>4520</v>
      </c>
      <c r="OK116">
        <v>61</v>
      </c>
      <c r="OL116">
        <v>61</v>
      </c>
      <c r="OM116" t="s">
        <v>4521</v>
      </c>
      <c r="ON116">
        <v>3</v>
      </c>
      <c r="OO116">
        <v>1823</v>
      </c>
      <c r="OP116">
        <v>61</v>
      </c>
      <c r="OQ116">
        <v>61</v>
      </c>
      <c r="OR116" t="s">
        <v>4522</v>
      </c>
      <c r="OS116">
        <v>3</v>
      </c>
      <c r="OT116">
        <v>1830</v>
      </c>
      <c r="OU116">
        <v>65</v>
      </c>
      <c r="OV116">
        <v>65</v>
      </c>
      <c r="OW116" t="s">
        <v>4353</v>
      </c>
      <c r="OX116">
        <v>1</v>
      </c>
      <c r="OY116">
        <v>26610</v>
      </c>
      <c r="OZ116">
        <v>51</v>
      </c>
      <c r="PA116">
        <v>51</v>
      </c>
      <c r="PB116" t="s">
        <v>4523</v>
      </c>
      <c r="PC116">
        <v>1</v>
      </c>
      <c r="PD116">
        <v>1857</v>
      </c>
      <c r="PF116">
        <v>265</v>
      </c>
      <c r="PG116">
        <v>29</v>
      </c>
      <c r="PH116">
        <v>247</v>
      </c>
      <c r="PI116">
        <v>29</v>
      </c>
      <c r="PJ116">
        <v>62.1</v>
      </c>
      <c r="PK116">
        <v>1260</v>
      </c>
      <c r="PL116">
        <v>939.9</v>
      </c>
      <c r="PM116">
        <v>174.6</v>
      </c>
      <c r="PN116">
        <v>72.8</v>
      </c>
      <c r="PO116">
        <v>7.9</v>
      </c>
      <c r="PP116">
        <v>10</v>
      </c>
      <c r="PQ116">
        <v>2</v>
      </c>
      <c r="PR116">
        <v>1</v>
      </c>
      <c r="PS116">
        <v>6</v>
      </c>
      <c r="PT116">
        <v>178</v>
      </c>
      <c r="PU116">
        <v>9</v>
      </c>
      <c r="PV116" t="s">
        <v>4072</v>
      </c>
      <c r="PW116" t="s">
        <v>4072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-1</v>
      </c>
      <c r="QF116">
        <v>1</v>
      </c>
      <c r="QG116">
        <v>0</v>
      </c>
      <c r="QH116">
        <v>5</v>
      </c>
      <c r="QI116">
        <v>5</v>
      </c>
      <c r="QJ116">
        <v>5</v>
      </c>
      <c r="QK116">
        <v>164</v>
      </c>
      <c r="QL116">
        <v>372</v>
      </c>
      <c r="QM116">
        <v>7.5</v>
      </c>
      <c r="QN116">
        <v>1202.7</v>
      </c>
      <c r="QO116" t="s">
        <v>1888</v>
      </c>
      <c r="QP116" t="s">
        <v>513</v>
      </c>
      <c r="QQ116">
        <v>0</v>
      </c>
      <c r="QR116" t="s">
        <v>1496</v>
      </c>
      <c r="QS116">
        <v>30</v>
      </c>
      <c r="QT116">
        <v>40</v>
      </c>
    </row>
    <row r="117" spans="1:462">
      <c r="A117" t="s">
        <v>1979</v>
      </c>
      <c r="B117" t="s">
        <v>729</v>
      </c>
      <c r="C117" t="s">
        <v>509</v>
      </c>
      <c r="D117" t="s">
        <v>1978</v>
      </c>
      <c r="E117" t="s">
        <v>4036</v>
      </c>
      <c r="H117" t="s">
        <v>604</v>
      </c>
      <c r="I117" t="s">
        <v>605</v>
      </c>
      <c r="K117" t="s">
        <v>606</v>
      </c>
      <c r="L117" t="s">
        <v>897</v>
      </c>
      <c r="M117" t="s">
        <v>512</v>
      </c>
      <c r="O117" t="s">
        <v>513</v>
      </c>
      <c r="P117" t="s">
        <v>567</v>
      </c>
      <c r="Q117" t="s">
        <v>518</v>
      </c>
      <c r="R117" t="s">
        <v>519</v>
      </c>
      <c r="S117" t="s">
        <v>4037</v>
      </c>
      <c r="T117" t="s">
        <v>520</v>
      </c>
      <c r="U117" t="s">
        <v>521</v>
      </c>
      <c r="V117" t="s">
        <v>1980</v>
      </c>
      <c r="W117" t="s">
        <v>1880</v>
      </c>
      <c r="X117" t="s">
        <v>1981</v>
      </c>
      <c r="Y117" t="s">
        <v>1982</v>
      </c>
      <c r="Z117" t="s">
        <v>541</v>
      </c>
      <c r="AA117" t="s">
        <v>4038</v>
      </c>
      <c r="AB117" t="s">
        <v>4524</v>
      </c>
      <c r="AC117">
        <v>9</v>
      </c>
      <c r="AD117" t="s">
        <v>1977</v>
      </c>
      <c r="AE117">
        <v>9</v>
      </c>
      <c r="AF117">
        <v>4042</v>
      </c>
      <c r="AG117" t="s">
        <v>4525</v>
      </c>
      <c r="AH117">
        <v>1</v>
      </c>
      <c r="AI117" t="s">
        <v>4041</v>
      </c>
      <c r="AK117" t="s">
        <v>4526</v>
      </c>
      <c r="AL117">
        <v>1</v>
      </c>
      <c r="AM117" t="s">
        <v>582</v>
      </c>
      <c r="AO117" t="s">
        <v>4353</v>
      </c>
      <c r="AP117">
        <v>1</v>
      </c>
      <c r="AR117" t="s">
        <v>4527</v>
      </c>
      <c r="AS117">
        <v>1</v>
      </c>
      <c r="AT117">
        <v>52</v>
      </c>
      <c r="AV117" t="s">
        <v>4078</v>
      </c>
      <c r="AW117">
        <v>6.4</v>
      </c>
      <c r="AX117">
        <v>-6</v>
      </c>
      <c r="AY117">
        <v>90.5</v>
      </c>
      <c r="AZ117">
        <v>55</v>
      </c>
      <c r="BH117">
        <v>90.5</v>
      </c>
      <c r="BI117">
        <v>35.5</v>
      </c>
      <c r="BJ117">
        <v>55</v>
      </c>
      <c r="BK117">
        <v>3</v>
      </c>
      <c r="BL117">
        <v>181</v>
      </c>
      <c r="BM117">
        <v>-6</v>
      </c>
      <c r="BN117">
        <v>0</v>
      </c>
      <c r="BP117">
        <v>0</v>
      </c>
      <c r="BR117">
        <v>175</v>
      </c>
      <c r="BS117">
        <v>165</v>
      </c>
      <c r="BT117">
        <v>1850</v>
      </c>
      <c r="BU117" t="s">
        <v>4046</v>
      </c>
      <c r="BV117" t="s">
        <v>4047</v>
      </c>
      <c r="BW117" t="s">
        <v>4048</v>
      </c>
      <c r="BX117" t="s">
        <v>4049</v>
      </c>
      <c r="BY117" t="s">
        <v>4144</v>
      </c>
      <c r="BZ117" t="s">
        <v>4144</v>
      </c>
      <c r="CA117" t="s">
        <v>4051</v>
      </c>
      <c r="CB117" t="s">
        <v>4052</v>
      </c>
      <c r="CC117" t="s">
        <v>4053</v>
      </c>
      <c r="CD117" t="s">
        <v>4054</v>
      </c>
      <c r="CE117" t="s">
        <v>4055</v>
      </c>
      <c r="CF117" t="s">
        <v>4055</v>
      </c>
      <c r="CG117" t="s">
        <v>4056</v>
      </c>
      <c r="CH117" t="s">
        <v>4057</v>
      </c>
      <c r="CI117" t="s">
        <v>4058</v>
      </c>
      <c r="CJ117" t="s">
        <v>4059</v>
      </c>
      <c r="CK117" t="s">
        <v>4060</v>
      </c>
      <c r="CL117" t="s">
        <v>4061</v>
      </c>
      <c r="CM117" t="s">
        <v>4055</v>
      </c>
      <c r="CN117" t="s">
        <v>4062</v>
      </c>
      <c r="CO117" t="s">
        <v>4063</v>
      </c>
      <c r="CP117" t="s">
        <v>4055</v>
      </c>
      <c r="CQ117" t="s">
        <v>4055</v>
      </c>
      <c r="CR117">
        <v>5</v>
      </c>
      <c r="CS117" t="s">
        <v>4055</v>
      </c>
      <c r="CT117">
        <v>15</v>
      </c>
      <c r="CU117" t="s">
        <v>4055</v>
      </c>
      <c r="CV117">
        <v>112</v>
      </c>
      <c r="CW117">
        <v>3</v>
      </c>
      <c r="CX117">
        <v>70</v>
      </c>
      <c r="CY117">
        <v>5</v>
      </c>
      <c r="CZ117">
        <v>64</v>
      </c>
      <c r="DA117">
        <v>5</v>
      </c>
      <c r="DB117">
        <v>8880</v>
      </c>
      <c r="DC117">
        <v>260</v>
      </c>
      <c r="DD117">
        <v>300</v>
      </c>
      <c r="DE117">
        <v>1952</v>
      </c>
      <c r="DF117">
        <v>1952</v>
      </c>
      <c r="DG117">
        <v>1962</v>
      </c>
      <c r="DH117" t="s">
        <v>4055</v>
      </c>
      <c r="DI117" t="s">
        <v>4055</v>
      </c>
      <c r="DJ117" t="s">
        <v>4100</v>
      </c>
      <c r="DK117">
        <v>175</v>
      </c>
      <c r="DL117" t="s">
        <v>4101</v>
      </c>
      <c r="DM117">
        <v>63</v>
      </c>
      <c r="DN117">
        <v>0.84</v>
      </c>
      <c r="DO117">
        <v>1</v>
      </c>
      <c r="DP117">
        <v>1853</v>
      </c>
      <c r="DQ117">
        <v>593</v>
      </c>
      <c r="DR117" t="s">
        <v>4100</v>
      </c>
      <c r="DS117">
        <v>165</v>
      </c>
      <c r="DT117" t="s">
        <v>4101</v>
      </c>
      <c r="DU117">
        <v>63</v>
      </c>
      <c r="DV117">
        <v>0.84</v>
      </c>
      <c r="DW117">
        <v>1</v>
      </c>
      <c r="DX117">
        <v>1860</v>
      </c>
      <c r="DY117">
        <v>562</v>
      </c>
      <c r="DZ117" t="s">
        <v>4066</v>
      </c>
      <c r="EA117">
        <v>33</v>
      </c>
      <c r="EB117" t="s">
        <v>4065</v>
      </c>
      <c r="EC117">
        <v>0.4</v>
      </c>
      <c r="ED117">
        <v>1853</v>
      </c>
      <c r="EE117">
        <v>54</v>
      </c>
      <c r="EF117" t="s">
        <v>4066</v>
      </c>
      <c r="EG117">
        <v>33</v>
      </c>
      <c r="EH117" t="s">
        <v>4065</v>
      </c>
      <c r="EI117">
        <v>0.4</v>
      </c>
      <c r="EJ117">
        <v>1860</v>
      </c>
      <c r="EK117">
        <v>54</v>
      </c>
      <c r="EL117" t="s">
        <v>4362</v>
      </c>
      <c r="EM117">
        <v>12</v>
      </c>
      <c r="EN117">
        <v>0.5</v>
      </c>
      <c r="EO117">
        <v>0.77</v>
      </c>
      <c r="EP117">
        <v>1860.56</v>
      </c>
      <c r="EQ117">
        <v>28053.76</v>
      </c>
      <c r="ER117">
        <v>10347.13</v>
      </c>
      <c r="ES117">
        <v>0</v>
      </c>
      <c r="ET117">
        <v>0</v>
      </c>
      <c r="EU117">
        <v>1</v>
      </c>
      <c r="EV117">
        <v>38401</v>
      </c>
      <c r="EW117">
        <v>385</v>
      </c>
      <c r="EX117" t="s">
        <v>4363</v>
      </c>
      <c r="EY117">
        <v>192</v>
      </c>
      <c r="EZ117" t="s">
        <v>4055</v>
      </c>
      <c r="FA117">
        <v>6.3</v>
      </c>
      <c r="FB117">
        <v>1</v>
      </c>
      <c r="FC117">
        <v>1</v>
      </c>
      <c r="FD117">
        <v>1890</v>
      </c>
      <c r="FE117">
        <v>2512</v>
      </c>
      <c r="FF117" t="s">
        <v>4089</v>
      </c>
      <c r="FG117">
        <v>192</v>
      </c>
      <c r="FH117" t="s">
        <v>4055</v>
      </c>
      <c r="FI117">
        <v>1.1</v>
      </c>
      <c r="FJ117">
        <v>1890</v>
      </c>
      <c r="FK117">
        <v>394</v>
      </c>
      <c r="FL117" t="s">
        <v>4069</v>
      </c>
      <c r="FM117" t="s">
        <v>4055</v>
      </c>
      <c r="FN117" t="s">
        <v>4055</v>
      </c>
      <c r="FO117" t="s">
        <v>4055</v>
      </c>
      <c r="FP117">
        <v>1890</v>
      </c>
      <c r="FQ117">
        <v>101</v>
      </c>
      <c r="FR117" t="s">
        <v>4090</v>
      </c>
      <c r="FS117">
        <v>196</v>
      </c>
      <c r="FT117" t="s">
        <v>4055</v>
      </c>
      <c r="FU117">
        <v>0.4</v>
      </c>
      <c r="FV117">
        <v>1890</v>
      </c>
      <c r="FW117">
        <v>165</v>
      </c>
      <c r="FX117" t="s">
        <v>4070</v>
      </c>
      <c r="FY117">
        <v>5</v>
      </c>
      <c r="FZ117" t="s">
        <v>4055</v>
      </c>
      <c r="GA117" t="s">
        <v>4055</v>
      </c>
      <c r="GB117">
        <v>1890</v>
      </c>
      <c r="GC117">
        <v>17</v>
      </c>
      <c r="GD117">
        <v>3189</v>
      </c>
      <c r="GE117" t="s">
        <v>4527</v>
      </c>
      <c r="GF117" t="s">
        <v>4055</v>
      </c>
      <c r="GG117" t="s">
        <v>4055</v>
      </c>
      <c r="GH117" t="s">
        <v>4055</v>
      </c>
      <c r="GI117" t="s">
        <v>4071</v>
      </c>
      <c r="GJ117" t="s">
        <v>4055</v>
      </c>
      <c r="GK117" t="s">
        <v>4055</v>
      </c>
      <c r="GL117" t="s">
        <v>4055</v>
      </c>
      <c r="GM117" t="s">
        <v>4055</v>
      </c>
      <c r="GQ117">
        <v>0</v>
      </c>
      <c r="GV117">
        <v>7.8</v>
      </c>
      <c r="GW117">
        <v>8.5</v>
      </c>
      <c r="GX117">
        <v>0.5</v>
      </c>
      <c r="GY117">
        <v>162</v>
      </c>
      <c r="GZ117">
        <v>3</v>
      </c>
      <c r="HA117">
        <v>210</v>
      </c>
      <c r="HB117">
        <v>3</v>
      </c>
      <c r="HC117">
        <v>1890</v>
      </c>
      <c r="HD117">
        <v>4</v>
      </c>
      <c r="HE117" t="s">
        <v>4071</v>
      </c>
      <c r="HG117" t="s">
        <v>549</v>
      </c>
      <c r="HL117">
        <v>4</v>
      </c>
      <c r="HM117">
        <v>16</v>
      </c>
      <c r="HN117">
        <v>6</v>
      </c>
      <c r="HO117">
        <v>1</v>
      </c>
      <c r="HP117">
        <v>0</v>
      </c>
      <c r="HQ117">
        <v>2</v>
      </c>
      <c r="HR117">
        <v>1</v>
      </c>
      <c r="HS117">
        <v>1850</v>
      </c>
      <c r="HT117">
        <v>5</v>
      </c>
      <c r="HU117">
        <v>1</v>
      </c>
      <c r="HV117">
        <v>5</v>
      </c>
      <c r="HW117">
        <v>0</v>
      </c>
      <c r="HX117">
        <v>1</v>
      </c>
      <c r="HY117">
        <v>0</v>
      </c>
      <c r="HZ117">
        <v>63</v>
      </c>
      <c r="IA117">
        <v>1853</v>
      </c>
      <c r="IB117">
        <v>1860</v>
      </c>
      <c r="ID117">
        <v>1890</v>
      </c>
      <c r="IE117">
        <v>1890</v>
      </c>
      <c r="IF117">
        <v>175</v>
      </c>
      <c r="IG117">
        <v>165</v>
      </c>
      <c r="IH117">
        <v>210</v>
      </c>
      <c r="II117">
        <v>1</v>
      </c>
      <c r="IJ117">
        <v>5</v>
      </c>
      <c r="IK117">
        <v>0</v>
      </c>
      <c r="IL117">
        <v>2</v>
      </c>
      <c r="IM117">
        <v>0</v>
      </c>
      <c r="IN117">
        <v>270</v>
      </c>
      <c r="IO117">
        <v>0</v>
      </c>
      <c r="IP117">
        <v>180</v>
      </c>
      <c r="IQ117">
        <v>0</v>
      </c>
      <c r="IR117">
        <v>325</v>
      </c>
      <c r="IS117">
        <v>0</v>
      </c>
      <c r="IT117">
        <v>90</v>
      </c>
      <c r="IU117">
        <v>0</v>
      </c>
      <c r="IV117">
        <v>6.4</v>
      </c>
      <c r="IW117">
        <v>-6</v>
      </c>
      <c r="IX117">
        <v>90.5</v>
      </c>
      <c r="IY117">
        <v>55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352</v>
      </c>
      <c r="JJ117">
        <v>322</v>
      </c>
      <c r="JK117">
        <v>230</v>
      </c>
      <c r="JL117">
        <v>322</v>
      </c>
      <c r="JM117">
        <v>250</v>
      </c>
      <c r="JN117">
        <v>170</v>
      </c>
      <c r="JO117">
        <v>222</v>
      </c>
      <c r="JP117">
        <v>180</v>
      </c>
      <c r="JQ117">
        <v>215</v>
      </c>
      <c r="JR117">
        <v>336</v>
      </c>
      <c r="JS117">
        <v>270</v>
      </c>
      <c r="JT117">
        <v>0</v>
      </c>
      <c r="JU117">
        <v>0</v>
      </c>
      <c r="JV117">
        <v>305</v>
      </c>
      <c r="JW117">
        <v>307</v>
      </c>
      <c r="JX117">
        <v>0</v>
      </c>
      <c r="JY117">
        <v>0</v>
      </c>
      <c r="JZ117">
        <v>0</v>
      </c>
      <c r="KA117">
        <v>0.2</v>
      </c>
      <c r="KB117">
        <v>0.4</v>
      </c>
      <c r="KC117">
        <v>0.42</v>
      </c>
      <c r="KD117">
        <v>0.2</v>
      </c>
      <c r="KE117">
        <v>0.5</v>
      </c>
      <c r="KF117">
        <v>0.2</v>
      </c>
      <c r="KG117">
        <v>0.1</v>
      </c>
      <c r="KH117">
        <v>6</v>
      </c>
      <c r="KI117">
        <v>1</v>
      </c>
      <c r="KJ117">
        <v>4.5</v>
      </c>
      <c r="KK117">
        <v>0</v>
      </c>
      <c r="KL117">
        <v>4.5</v>
      </c>
      <c r="KM117">
        <v>1</v>
      </c>
      <c r="KN117">
        <v>1.2</v>
      </c>
      <c r="KO117">
        <v>0</v>
      </c>
      <c r="KP117">
        <v>0</v>
      </c>
      <c r="KQ117">
        <v>1</v>
      </c>
      <c r="KR117">
        <v>1.5</v>
      </c>
      <c r="KS117">
        <v>0</v>
      </c>
      <c r="KT117">
        <v>1.8</v>
      </c>
      <c r="KU117">
        <v>0</v>
      </c>
      <c r="KV117">
        <v>0</v>
      </c>
      <c r="KW117">
        <v>1.2</v>
      </c>
      <c r="KX117">
        <v>2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3</v>
      </c>
      <c r="LI117">
        <v>0</v>
      </c>
      <c r="LJ117">
        <v>0</v>
      </c>
      <c r="LK117">
        <v>3</v>
      </c>
      <c r="LL117">
        <v>4</v>
      </c>
      <c r="LM117">
        <v>4</v>
      </c>
      <c r="LN117">
        <v>1</v>
      </c>
      <c r="LO117">
        <v>0.5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1.4</v>
      </c>
      <c r="LX117">
        <v>1.4</v>
      </c>
      <c r="LY117">
        <v>2.1</v>
      </c>
      <c r="LZ117">
        <v>2.1</v>
      </c>
      <c r="MA117">
        <v>0</v>
      </c>
      <c r="MB117">
        <v>0</v>
      </c>
      <c r="MC117">
        <v>0</v>
      </c>
      <c r="MD117">
        <v>7.5</v>
      </c>
      <c r="ME117">
        <v>8</v>
      </c>
      <c r="MF117">
        <v>8</v>
      </c>
      <c r="MI117">
        <v>0</v>
      </c>
      <c r="MJ117">
        <v>0</v>
      </c>
      <c r="ML117">
        <v>0</v>
      </c>
      <c r="MM117">
        <v>358</v>
      </c>
      <c r="MN117">
        <v>180</v>
      </c>
      <c r="MO117">
        <v>227</v>
      </c>
      <c r="NU117">
        <v>0.15</v>
      </c>
      <c r="NV117">
        <v>0.2</v>
      </c>
      <c r="NW117">
        <v>0.2</v>
      </c>
      <c r="NX117">
        <v>3</v>
      </c>
      <c r="NY117">
        <v>3</v>
      </c>
      <c r="NZ117">
        <v>3</v>
      </c>
      <c r="OE117" t="s">
        <v>4527</v>
      </c>
      <c r="OF117" t="s">
        <v>4525</v>
      </c>
      <c r="OG117" t="s">
        <v>4526</v>
      </c>
      <c r="OH117" t="s">
        <v>4353</v>
      </c>
      <c r="OI117" t="s">
        <v>4527</v>
      </c>
      <c r="OJ117" t="s">
        <v>4524</v>
      </c>
      <c r="OK117">
        <v>61</v>
      </c>
      <c r="OL117">
        <v>61</v>
      </c>
      <c r="OM117" t="s">
        <v>4525</v>
      </c>
      <c r="ON117">
        <v>3</v>
      </c>
      <c r="OO117">
        <v>1853</v>
      </c>
      <c r="OP117">
        <v>61</v>
      </c>
      <c r="OQ117">
        <v>61</v>
      </c>
      <c r="OR117" t="s">
        <v>4526</v>
      </c>
      <c r="OS117">
        <v>3</v>
      </c>
      <c r="OT117">
        <v>1860</v>
      </c>
      <c r="OU117">
        <v>65</v>
      </c>
      <c r="OV117">
        <v>65</v>
      </c>
      <c r="OW117" t="s">
        <v>4353</v>
      </c>
      <c r="OX117">
        <v>1</v>
      </c>
      <c r="OY117">
        <v>38401</v>
      </c>
      <c r="OZ117">
        <v>51</v>
      </c>
      <c r="PA117">
        <v>52</v>
      </c>
      <c r="PB117" t="s">
        <v>4527</v>
      </c>
      <c r="PC117">
        <v>5</v>
      </c>
      <c r="PD117">
        <v>1890</v>
      </c>
      <c r="PF117">
        <v>320</v>
      </c>
      <c r="PG117">
        <v>29</v>
      </c>
      <c r="PH117">
        <v>302</v>
      </c>
      <c r="PI117">
        <v>29</v>
      </c>
      <c r="PJ117">
        <v>53.2</v>
      </c>
      <c r="PK117">
        <v>1675</v>
      </c>
      <c r="PL117">
        <v>1329.2</v>
      </c>
      <c r="PM117">
        <v>208.7</v>
      </c>
      <c r="PN117">
        <v>87.09999999999999</v>
      </c>
      <c r="PO117">
        <v>9.1</v>
      </c>
      <c r="PP117">
        <v>10</v>
      </c>
      <c r="PQ117">
        <v>2</v>
      </c>
      <c r="PR117">
        <v>1</v>
      </c>
      <c r="PS117">
        <v>7</v>
      </c>
      <c r="PT117">
        <v>210</v>
      </c>
      <c r="PU117">
        <v>9</v>
      </c>
      <c r="PV117" t="s">
        <v>4072</v>
      </c>
      <c r="PW117" t="s">
        <v>4072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-1</v>
      </c>
      <c r="QF117">
        <v>1</v>
      </c>
      <c r="QG117">
        <v>0</v>
      </c>
      <c r="QH117">
        <v>5</v>
      </c>
      <c r="QI117">
        <v>5</v>
      </c>
      <c r="QJ117">
        <v>5</v>
      </c>
      <c r="QK117">
        <v>169</v>
      </c>
      <c r="QL117">
        <v>382</v>
      </c>
      <c r="QM117">
        <v>7.5</v>
      </c>
      <c r="QN117">
        <v>1282.5</v>
      </c>
      <c r="QO117" t="s">
        <v>1888</v>
      </c>
      <c r="QP117" t="s">
        <v>513</v>
      </c>
      <c r="QQ117">
        <v>0</v>
      </c>
      <c r="QR117" t="s">
        <v>1496</v>
      </c>
      <c r="QS117">
        <v>30</v>
      </c>
      <c r="QT117">
        <v>40</v>
      </c>
    </row>
    <row r="118" spans="1:462">
      <c r="A118" t="s">
        <v>1988</v>
      </c>
      <c r="B118" t="s">
        <v>559</v>
      </c>
      <c r="C118" t="s">
        <v>509</v>
      </c>
      <c r="D118" t="s">
        <v>1987</v>
      </c>
      <c r="E118" t="s">
        <v>4036</v>
      </c>
      <c r="H118" t="s">
        <v>511</v>
      </c>
      <c r="J118" t="s">
        <v>562</v>
      </c>
      <c r="K118" t="s">
        <v>563</v>
      </c>
      <c r="L118" t="s">
        <v>564</v>
      </c>
      <c r="M118" t="s">
        <v>512</v>
      </c>
      <c r="O118" t="s">
        <v>513</v>
      </c>
      <c r="P118" t="s">
        <v>567</v>
      </c>
      <c r="Q118" t="s">
        <v>1059</v>
      </c>
      <c r="R118" t="s">
        <v>1060</v>
      </c>
      <c r="S118" t="s">
        <v>4091</v>
      </c>
      <c r="T118" t="s">
        <v>633</v>
      </c>
      <c r="U118" t="s">
        <v>634</v>
      </c>
      <c r="V118" t="s">
        <v>1989</v>
      </c>
      <c r="W118" t="s">
        <v>1880</v>
      </c>
      <c r="X118" t="s">
        <v>1990</v>
      </c>
      <c r="Y118" t="s">
        <v>1991</v>
      </c>
      <c r="Z118" t="s">
        <v>541</v>
      </c>
      <c r="AA118" t="s">
        <v>4038</v>
      </c>
      <c r="AB118" t="s">
        <v>4528</v>
      </c>
      <c r="AC118">
        <v>9</v>
      </c>
      <c r="AD118" t="s">
        <v>1986</v>
      </c>
      <c r="AE118">
        <v>6</v>
      </c>
      <c r="AF118">
        <v>6986</v>
      </c>
      <c r="AG118" t="s">
        <v>4529</v>
      </c>
      <c r="AH118">
        <v>1</v>
      </c>
      <c r="AI118" t="s">
        <v>4041</v>
      </c>
      <c r="AK118" t="s">
        <v>4530</v>
      </c>
      <c r="AL118">
        <v>1</v>
      </c>
      <c r="AM118" t="s">
        <v>582</v>
      </c>
      <c r="AO118" t="s">
        <v>4043</v>
      </c>
      <c r="AP118">
        <v>2</v>
      </c>
      <c r="AR118" t="s">
        <v>4531</v>
      </c>
      <c r="AS118">
        <v>1</v>
      </c>
      <c r="AT118">
        <v>51</v>
      </c>
      <c r="AV118" t="s">
        <v>4532</v>
      </c>
      <c r="AW118">
        <v>6.4</v>
      </c>
      <c r="AX118">
        <v>-6</v>
      </c>
      <c r="AY118">
        <v>105</v>
      </c>
      <c r="AZ118">
        <v>65</v>
      </c>
      <c r="BA118">
        <v>70</v>
      </c>
      <c r="BB118">
        <v>100</v>
      </c>
      <c r="BH118">
        <v>105</v>
      </c>
      <c r="BI118">
        <v>40</v>
      </c>
      <c r="BJ118">
        <v>65</v>
      </c>
      <c r="BK118">
        <v>2.5</v>
      </c>
      <c r="BL118">
        <v>210</v>
      </c>
      <c r="BM118">
        <v>-6</v>
      </c>
      <c r="BN118">
        <v>100</v>
      </c>
      <c r="BO118">
        <v>70</v>
      </c>
      <c r="BP118">
        <v>200</v>
      </c>
      <c r="BR118">
        <v>205</v>
      </c>
      <c r="BS118">
        <v>195</v>
      </c>
      <c r="BT118">
        <v>2290</v>
      </c>
      <c r="BU118" t="s">
        <v>4079</v>
      </c>
      <c r="BV118" t="s">
        <v>4080</v>
      </c>
      <c r="BW118" t="s">
        <v>4081</v>
      </c>
      <c r="BX118" t="s">
        <v>4082</v>
      </c>
      <c r="BY118" t="s">
        <v>4235</v>
      </c>
      <c r="BZ118" t="s">
        <v>4235</v>
      </c>
      <c r="CA118" t="s">
        <v>4108</v>
      </c>
      <c r="CB118" t="s">
        <v>4109</v>
      </c>
      <c r="CC118" t="s">
        <v>4053</v>
      </c>
      <c r="CD118" t="s">
        <v>4110</v>
      </c>
      <c r="CE118" t="s">
        <v>4055</v>
      </c>
      <c r="CF118" t="s">
        <v>4055</v>
      </c>
      <c r="CG118" t="s">
        <v>4056</v>
      </c>
      <c r="CI118" t="s">
        <v>4216</v>
      </c>
      <c r="CJ118" t="s">
        <v>4059</v>
      </c>
      <c r="CK118" t="s">
        <v>4060</v>
      </c>
      <c r="CL118" t="s">
        <v>4061</v>
      </c>
      <c r="CM118" t="s">
        <v>4062</v>
      </c>
      <c r="CN118" t="s">
        <v>4055</v>
      </c>
      <c r="CO118" t="s">
        <v>4063</v>
      </c>
      <c r="CP118" t="s">
        <v>4055</v>
      </c>
      <c r="CQ118" t="s">
        <v>4055</v>
      </c>
      <c r="CR118">
        <v>5</v>
      </c>
      <c r="CS118" t="s">
        <v>4055</v>
      </c>
      <c r="CT118" t="s">
        <v>4055</v>
      </c>
      <c r="CU118" t="s">
        <v>4055</v>
      </c>
      <c r="CV118">
        <v>137</v>
      </c>
      <c r="CW118">
        <v>3</v>
      </c>
      <c r="CX118">
        <v>84</v>
      </c>
      <c r="CY118">
        <v>5</v>
      </c>
      <c r="CZ118">
        <v>179</v>
      </c>
      <c r="DA118">
        <v>5</v>
      </c>
      <c r="DB118">
        <v>14470</v>
      </c>
      <c r="DC118">
        <v>430</v>
      </c>
      <c r="DD118">
        <v>398</v>
      </c>
      <c r="DE118">
        <v>2414</v>
      </c>
      <c r="DF118">
        <v>2414</v>
      </c>
      <c r="DG118">
        <v>2423</v>
      </c>
      <c r="DH118">
        <v>1</v>
      </c>
      <c r="DI118" t="s">
        <v>4055</v>
      </c>
      <c r="DJ118" t="s">
        <v>4217</v>
      </c>
      <c r="DK118">
        <v>205</v>
      </c>
      <c r="DL118" t="s">
        <v>4065</v>
      </c>
      <c r="DM118">
        <v>63</v>
      </c>
      <c r="DN118">
        <v>1.26</v>
      </c>
      <c r="DO118">
        <v>1</v>
      </c>
      <c r="DP118">
        <v>2294</v>
      </c>
      <c r="DQ118">
        <v>1136</v>
      </c>
      <c r="DR118" t="s">
        <v>4217</v>
      </c>
      <c r="DS118">
        <v>195</v>
      </c>
      <c r="DT118" t="s">
        <v>4065</v>
      </c>
      <c r="DU118">
        <v>63</v>
      </c>
      <c r="DV118">
        <v>1.26</v>
      </c>
      <c r="DW118">
        <v>1</v>
      </c>
      <c r="DX118">
        <v>2307</v>
      </c>
      <c r="DY118">
        <v>1087</v>
      </c>
      <c r="DZ118" t="s">
        <v>4066</v>
      </c>
      <c r="EA118">
        <v>20</v>
      </c>
      <c r="EB118" t="s">
        <v>4065</v>
      </c>
      <c r="EC118">
        <v>0.8</v>
      </c>
      <c r="ED118">
        <v>2294</v>
      </c>
      <c r="EE118">
        <v>80</v>
      </c>
      <c r="EG118">
        <v>0</v>
      </c>
      <c r="EH118" t="s">
        <v>4065</v>
      </c>
      <c r="EI118">
        <v>0</v>
      </c>
      <c r="EL118" t="s">
        <v>1528</v>
      </c>
      <c r="EM118">
        <v>12</v>
      </c>
      <c r="EN118">
        <v>0.5</v>
      </c>
      <c r="EO118">
        <v>0.96</v>
      </c>
      <c r="EP118">
        <v>2305.84</v>
      </c>
      <c r="EQ118">
        <v>39991.91</v>
      </c>
      <c r="ER118">
        <v>14449.2</v>
      </c>
      <c r="ES118">
        <v>10865.17</v>
      </c>
      <c r="ET118">
        <v>0</v>
      </c>
      <c r="EU118">
        <v>1</v>
      </c>
      <c r="EV118">
        <v>65307</v>
      </c>
      <c r="EW118">
        <v>784</v>
      </c>
      <c r="EX118" t="s">
        <v>4363</v>
      </c>
      <c r="EY118">
        <v>232</v>
      </c>
      <c r="EZ118" t="s">
        <v>4055</v>
      </c>
      <c r="FA118">
        <v>5.5</v>
      </c>
      <c r="FB118">
        <v>1</v>
      </c>
      <c r="FC118">
        <v>1</v>
      </c>
      <c r="FD118">
        <v>2336</v>
      </c>
      <c r="FE118">
        <v>2975</v>
      </c>
      <c r="FF118" t="s">
        <v>4089</v>
      </c>
      <c r="FG118">
        <v>232</v>
      </c>
      <c r="FH118" t="s">
        <v>4055</v>
      </c>
      <c r="FI118">
        <v>1.6</v>
      </c>
      <c r="FJ118">
        <v>2336</v>
      </c>
      <c r="FK118">
        <v>890</v>
      </c>
      <c r="FL118" t="s">
        <v>4069</v>
      </c>
      <c r="FM118" t="s">
        <v>4055</v>
      </c>
      <c r="FN118" t="s">
        <v>4055</v>
      </c>
      <c r="FO118" t="s">
        <v>4055</v>
      </c>
      <c r="FP118">
        <v>2336</v>
      </c>
      <c r="FQ118">
        <v>258</v>
      </c>
      <c r="FR118" t="s">
        <v>4090</v>
      </c>
      <c r="FS118">
        <v>236</v>
      </c>
      <c r="FT118" t="s">
        <v>4055</v>
      </c>
      <c r="FU118">
        <v>0.4</v>
      </c>
      <c r="FV118">
        <v>2336</v>
      </c>
      <c r="FW118">
        <v>245</v>
      </c>
      <c r="FX118" t="s">
        <v>4070</v>
      </c>
      <c r="FY118">
        <v>5</v>
      </c>
      <c r="FZ118" t="s">
        <v>4055</v>
      </c>
      <c r="GA118" t="s">
        <v>4055</v>
      </c>
      <c r="GB118">
        <v>2336</v>
      </c>
      <c r="GC118">
        <v>20</v>
      </c>
      <c r="GD118">
        <v>4388</v>
      </c>
      <c r="GE118" t="s">
        <v>4531</v>
      </c>
      <c r="GF118" t="s">
        <v>4055</v>
      </c>
      <c r="GG118" t="s">
        <v>4055</v>
      </c>
      <c r="GH118" t="s">
        <v>4055</v>
      </c>
      <c r="GI118" t="s">
        <v>4071</v>
      </c>
      <c r="GJ118" t="s">
        <v>4055</v>
      </c>
      <c r="GK118" t="s">
        <v>4055</v>
      </c>
      <c r="GL118" t="s">
        <v>4055</v>
      </c>
      <c r="GM118" t="s">
        <v>4055</v>
      </c>
      <c r="GQ118">
        <v>0</v>
      </c>
      <c r="GV118">
        <v>7.5</v>
      </c>
      <c r="GW118">
        <v>8</v>
      </c>
      <c r="GX118">
        <v>0.5</v>
      </c>
      <c r="GY118">
        <v>196</v>
      </c>
      <c r="GZ118">
        <v>3</v>
      </c>
      <c r="HA118">
        <v>264</v>
      </c>
      <c r="HB118">
        <v>3</v>
      </c>
      <c r="HC118">
        <v>2336</v>
      </c>
      <c r="HD118">
        <v>4</v>
      </c>
      <c r="HE118" t="s">
        <v>4071</v>
      </c>
      <c r="HG118" t="s">
        <v>549</v>
      </c>
      <c r="HL118">
        <v>5</v>
      </c>
      <c r="HM118">
        <v>17</v>
      </c>
      <c r="HN118">
        <v>6</v>
      </c>
      <c r="HO118">
        <v>1</v>
      </c>
      <c r="HP118">
        <v>0</v>
      </c>
      <c r="HQ118">
        <v>0</v>
      </c>
      <c r="HR118">
        <v>1</v>
      </c>
      <c r="HS118">
        <v>2290</v>
      </c>
      <c r="HT118">
        <v>5</v>
      </c>
      <c r="HU118">
        <v>1</v>
      </c>
      <c r="HV118">
        <v>3</v>
      </c>
      <c r="HW118">
        <v>0</v>
      </c>
      <c r="HX118">
        <v>1</v>
      </c>
      <c r="HY118">
        <v>0</v>
      </c>
      <c r="HZ118">
        <v>63</v>
      </c>
      <c r="IA118">
        <v>2294</v>
      </c>
      <c r="IB118">
        <v>2307</v>
      </c>
      <c r="ID118">
        <v>2336</v>
      </c>
      <c r="IE118">
        <v>2336</v>
      </c>
      <c r="IF118">
        <v>205</v>
      </c>
      <c r="IG118">
        <v>195</v>
      </c>
      <c r="IH118">
        <v>264</v>
      </c>
      <c r="II118">
        <v>1</v>
      </c>
      <c r="IJ118">
        <v>5</v>
      </c>
      <c r="IK118">
        <v>0</v>
      </c>
      <c r="IL118">
        <v>0</v>
      </c>
      <c r="IM118">
        <v>0</v>
      </c>
      <c r="IN118">
        <v>270</v>
      </c>
      <c r="IO118">
        <v>0</v>
      </c>
      <c r="IP118">
        <v>180</v>
      </c>
      <c r="IQ118">
        <v>0</v>
      </c>
      <c r="IR118">
        <v>330</v>
      </c>
      <c r="IS118">
        <v>0</v>
      </c>
      <c r="IT118">
        <v>90</v>
      </c>
      <c r="IU118">
        <v>0</v>
      </c>
      <c r="IV118">
        <v>6.4</v>
      </c>
      <c r="IW118">
        <v>-6</v>
      </c>
      <c r="IX118">
        <v>105</v>
      </c>
      <c r="IY118">
        <v>65</v>
      </c>
      <c r="IZ118">
        <v>70</v>
      </c>
      <c r="JA118">
        <v>100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502</v>
      </c>
      <c r="JJ118">
        <v>472</v>
      </c>
      <c r="JK118">
        <v>372</v>
      </c>
      <c r="JL118">
        <v>468</v>
      </c>
      <c r="JM118">
        <v>350</v>
      </c>
      <c r="JN118">
        <v>204</v>
      </c>
      <c r="JO118">
        <v>252</v>
      </c>
      <c r="JP118">
        <v>175</v>
      </c>
      <c r="JQ118">
        <v>235</v>
      </c>
      <c r="JR118">
        <v>380</v>
      </c>
      <c r="JS118">
        <v>218</v>
      </c>
      <c r="JT118">
        <v>0</v>
      </c>
      <c r="JU118">
        <v>0</v>
      </c>
      <c r="JV118">
        <v>335</v>
      </c>
      <c r="JW118">
        <v>337</v>
      </c>
      <c r="JX118">
        <v>370</v>
      </c>
      <c r="JY118">
        <v>330</v>
      </c>
      <c r="JZ118">
        <v>3</v>
      </c>
      <c r="KA118">
        <v>0.15</v>
      </c>
      <c r="KB118">
        <v>0.3</v>
      </c>
      <c r="KC118">
        <v>0.42</v>
      </c>
      <c r="KD118">
        <v>0.28</v>
      </c>
      <c r="KE118">
        <v>0.5</v>
      </c>
      <c r="KF118">
        <v>0.2</v>
      </c>
      <c r="KG118">
        <v>0.11</v>
      </c>
      <c r="KH118">
        <v>3.5</v>
      </c>
      <c r="KI118">
        <v>1</v>
      </c>
      <c r="KJ118">
        <v>4.5</v>
      </c>
      <c r="KK118">
        <v>0.5</v>
      </c>
      <c r="KL118">
        <v>4.5</v>
      </c>
      <c r="KM118">
        <v>0.5</v>
      </c>
      <c r="KN118">
        <v>2.4</v>
      </c>
      <c r="KO118">
        <v>0</v>
      </c>
      <c r="KP118">
        <v>0</v>
      </c>
      <c r="KQ118">
        <v>0.8</v>
      </c>
      <c r="KR118">
        <v>0.8</v>
      </c>
      <c r="KS118">
        <v>0.2</v>
      </c>
      <c r="KT118">
        <v>2.7</v>
      </c>
      <c r="KU118">
        <v>0</v>
      </c>
      <c r="KV118">
        <v>0</v>
      </c>
      <c r="KW118">
        <v>1</v>
      </c>
      <c r="KX118">
        <v>2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3</v>
      </c>
      <c r="LI118">
        <v>2</v>
      </c>
      <c r="LJ118">
        <v>0</v>
      </c>
      <c r="LK118">
        <v>10</v>
      </c>
      <c r="LL118">
        <v>13</v>
      </c>
      <c r="LM118">
        <v>16</v>
      </c>
      <c r="LN118">
        <v>0.1</v>
      </c>
      <c r="LO118">
        <v>3</v>
      </c>
      <c r="LP118">
        <v>0</v>
      </c>
      <c r="LQ118">
        <v>0</v>
      </c>
      <c r="LR118">
        <v>0</v>
      </c>
      <c r="LS118">
        <v>1</v>
      </c>
      <c r="LT118">
        <v>0</v>
      </c>
      <c r="LU118">
        <v>0</v>
      </c>
      <c r="LV118">
        <v>0</v>
      </c>
      <c r="LW118">
        <v>2.4</v>
      </c>
      <c r="LX118">
        <v>2.4</v>
      </c>
      <c r="LY118">
        <v>2.3</v>
      </c>
      <c r="LZ118">
        <v>2.3</v>
      </c>
      <c r="MA118">
        <v>0</v>
      </c>
      <c r="MB118">
        <v>9</v>
      </c>
      <c r="MC118">
        <v>0</v>
      </c>
      <c r="MD118">
        <v>4.5</v>
      </c>
      <c r="ME118">
        <v>6</v>
      </c>
      <c r="MF118">
        <v>6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502</v>
      </c>
      <c r="MN118">
        <v>200</v>
      </c>
      <c r="MO118">
        <v>268</v>
      </c>
      <c r="NU118">
        <v>0.15</v>
      </c>
      <c r="NV118">
        <v>0.2</v>
      </c>
      <c r="NW118">
        <v>0.2</v>
      </c>
      <c r="NX118">
        <v>0.2</v>
      </c>
      <c r="NY118">
        <v>0.2</v>
      </c>
      <c r="NZ118">
        <v>0.2</v>
      </c>
      <c r="OE118" t="s">
        <v>4531</v>
      </c>
      <c r="OF118" t="s">
        <v>4529</v>
      </c>
      <c r="OG118" t="s">
        <v>4530</v>
      </c>
      <c r="OH118" t="s">
        <v>4043</v>
      </c>
      <c r="OI118" t="s">
        <v>4531</v>
      </c>
      <c r="OJ118" t="s">
        <v>4528</v>
      </c>
      <c r="OK118">
        <v>61</v>
      </c>
      <c r="OL118">
        <v>61</v>
      </c>
      <c r="OM118" t="s">
        <v>4529</v>
      </c>
      <c r="ON118">
        <v>1</v>
      </c>
      <c r="OO118">
        <v>2294</v>
      </c>
      <c r="OP118">
        <v>61</v>
      </c>
      <c r="OQ118">
        <v>61</v>
      </c>
      <c r="OR118" t="s">
        <v>4530</v>
      </c>
      <c r="OS118">
        <v>1</v>
      </c>
      <c r="OT118">
        <v>2307</v>
      </c>
      <c r="OU118">
        <v>65</v>
      </c>
      <c r="OV118">
        <v>65</v>
      </c>
      <c r="OW118" t="s">
        <v>4043</v>
      </c>
      <c r="OX118">
        <v>2</v>
      </c>
      <c r="OY118">
        <v>65307</v>
      </c>
      <c r="OZ118">
        <v>51</v>
      </c>
      <c r="PA118">
        <v>51</v>
      </c>
      <c r="PB118" t="s">
        <v>4531</v>
      </c>
      <c r="PC118">
        <v>2</v>
      </c>
      <c r="PD118">
        <v>2336</v>
      </c>
      <c r="PF118">
        <v>495</v>
      </c>
      <c r="PG118">
        <v>35</v>
      </c>
      <c r="PH118">
        <v>471</v>
      </c>
      <c r="PI118">
        <v>0</v>
      </c>
      <c r="PJ118">
        <v>110.6</v>
      </c>
      <c r="PK118">
        <v>1850</v>
      </c>
      <c r="PL118">
        <v>1273.4</v>
      </c>
      <c r="PM118">
        <v>380.9</v>
      </c>
      <c r="PN118">
        <v>105</v>
      </c>
      <c r="PO118">
        <v>8.699999999999999</v>
      </c>
      <c r="PP118">
        <v>12</v>
      </c>
      <c r="PQ118">
        <v>4</v>
      </c>
      <c r="PR118">
        <v>6</v>
      </c>
      <c r="PS118">
        <v>0</v>
      </c>
      <c r="PT118">
        <v>264</v>
      </c>
      <c r="PU118">
        <v>16</v>
      </c>
      <c r="PV118" t="s">
        <v>4072</v>
      </c>
      <c r="PW118" t="s">
        <v>4072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-1</v>
      </c>
      <c r="QF118">
        <v>1</v>
      </c>
      <c r="QG118">
        <v>0</v>
      </c>
      <c r="QH118">
        <v>5</v>
      </c>
      <c r="QI118">
        <v>5</v>
      </c>
      <c r="QJ118">
        <v>5</v>
      </c>
      <c r="QK118">
        <v>267</v>
      </c>
      <c r="QL118">
        <v>532</v>
      </c>
      <c r="QM118">
        <v>7.5</v>
      </c>
      <c r="QN118">
        <v>1386.2</v>
      </c>
      <c r="QO118" t="s">
        <v>1888</v>
      </c>
      <c r="QP118" t="s">
        <v>513</v>
      </c>
      <c r="QQ118">
        <v>0</v>
      </c>
      <c r="QR118" t="s">
        <v>596</v>
      </c>
      <c r="QS118">
        <v>40</v>
      </c>
      <c r="QT118">
        <v>50</v>
      </c>
    </row>
    <row r="119" spans="1:462">
      <c r="A119" t="s">
        <v>1998</v>
      </c>
      <c r="B119" t="s">
        <v>804</v>
      </c>
      <c r="C119" t="s">
        <v>509</v>
      </c>
      <c r="D119" t="s">
        <v>1941</v>
      </c>
      <c r="E119" t="s">
        <v>4036</v>
      </c>
      <c r="H119" t="s">
        <v>561</v>
      </c>
      <c r="J119" t="s">
        <v>562</v>
      </c>
      <c r="K119" t="s">
        <v>563</v>
      </c>
      <c r="L119" t="s">
        <v>508</v>
      </c>
      <c r="M119" t="s">
        <v>512</v>
      </c>
      <c r="N119" t="s">
        <v>515</v>
      </c>
      <c r="O119" t="s">
        <v>513</v>
      </c>
      <c r="P119" t="s">
        <v>567</v>
      </c>
      <c r="Q119" t="s">
        <v>660</v>
      </c>
      <c r="R119" t="s">
        <v>661</v>
      </c>
      <c r="S119" t="s">
        <v>4037</v>
      </c>
      <c r="T119" t="s">
        <v>662</v>
      </c>
      <c r="U119" t="s">
        <v>663</v>
      </c>
      <c r="V119" t="s">
        <v>914</v>
      </c>
      <c r="W119" t="s">
        <v>1880</v>
      </c>
      <c r="X119" t="s">
        <v>1999</v>
      </c>
      <c r="Y119" t="s">
        <v>2000</v>
      </c>
      <c r="Z119" t="s">
        <v>541</v>
      </c>
      <c r="AA119" t="s">
        <v>4038</v>
      </c>
      <c r="AB119" t="s">
        <v>4533</v>
      </c>
      <c r="AC119">
        <v>9</v>
      </c>
      <c r="AD119" t="s">
        <v>1997</v>
      </c>
      <c r="AE119">
        <v>2</v>
      </c>
      <c r="AF119">
        <v>5352</v>
      </c>
      <c r="AG119" t="s">
        <v>4534</v>
      </c>
      <c r="AH119">
        <v>1</v>
      </c>
      <c r="AI119" t="s">
        <v>4041</v>
      </c>
      <c r="AK119" t="s">
        <v>4535</v>
      </c>
      <c r="AL119">
        <v>1</v>
      </c>
      <c r="AM119" t="s">
        <v>582</v>
      </c>
      <c r="AO119" t="s">
        <v>4043</v>
      </c>
      <c r="AP119">
        <v>1</v>
      </c>
      <c r="AR119" t="s">
        <v>4536</v>
      </c>
      <c r="AS119">
        <v>1</v>
      </c>
      <c r="AT119">
        <v>51</v>
      </c>
      <c r="AV119" t="s">
        <v>4078</v>
      </c>
      <c r="AW119">
        <v>6.4</v>
      </c>
      <c r="AX119">
        <v>-6</v>
      </c>
      <c r="AY119">
        <v>95</v>
      </c>
      <c r="AZ119">
        <v>65</v>
      </c>
      <c r="BH119">
        <v>95</v>
      </c>
      <c r="BI119">
        <v>30</v>
      </c>
      <c r="BJ119">
        <v>65</v>
      </c>
      <c r="BK119">
        <v>2.5</v>
      </c>
      <c r="BL119">
        <v>190</v>
      </c>
      <c r="BM119">
        <v>-6</v>
      </c>
      <c r="BN119">
        <v>0</v>
      </c>
      <c r="BP119">
        <v>0</v>
      </c>
      <c r="BR119">
        <v>185</v>
      </c>
      <c r="BS119">
        <v>175</v>
      </c>
      <c r="BT119">
        <v>2075</v>
      </c>
      <c r="BU119" t="s">
        <v>4115</v>
      </c>
      <c r="BV119" t="s">
        <v>4127</v>
      </c>
      <c r="BW119" t="s">
        <v>4097</v>
      </c>
      <c r="BX119" t="s">
        <v>4128</v>
      </c>
      <c r="BY119" t="s">
        <v>4116</v>
      </c>
      <c r="BZ119" t="s">
        <v>4117</v>
      </c>
      <c r="CA119" t="s">
        <v>4118</v>
      </c>
      <c r="CB119" t="s">
        <v>4119</v>
      </c>
      <c r="CC119" t="s">
        <v>4053</v>
      </c>
      <c r="CD119" t="s">
        <v>4121</v>
      </c>
      <c r="CE119" t="s">
        <v>4055</v>
      </c>
      <c r="CF119" t="s">
        <v>4055</v>
      </c>
      <c r="CG119" t="s">
        <v>4056</v>
      </c>
      <c r="CI119" t="s">
        <v>4058</v>
      </c>
      <c r="CJ119" t="s">
        <v>4059</v>
      </c>
      <c r="CK119" t="s">
        <v>4060</v>
      </c>
      <c r="CL119" t="s">
        <v>4061</v>
      </c>
      <c r="CM119" t="s">
        <v>4055</v>
      </c>
      <c r="CN119" t="s">
        <v>4062</v>
      </c>
      <c r="CO119" t="s">
        <v>4063</v>
      </c>
      <c r="CP119" t="s">
        <v>4055</v>
      </c>
      <c r="CQ119" t="s">
        <v>4055</v>
      </c>
      <c r="CR119">
        <v>5</v>
      </c>
      <c r="CS119" t="s">
        <v>4055</v>
      </c>
      <c r="CT119" t="s">
        <v>4055</v>
      </c>
      <c r="CU119" t="s">
        <v>4055</v>
      </c>
      <c r="CV119">
        <v>118</v>
      </c>
      <c r="CW119">
        <v>3</v>
      </c>
      <c r="CX119">
        <v>78</v>
      </c>
      <c r="CY119">
        <v>5</v>
      </c>
      <c r="CZ119">
        <v>145</v>
      </c>
      <c r="DA119">
        <v>5</v>
      </c>
      <c r="DB119">
        <v>11000</v>
      </c>
      <c r="DC119">
        <v>330</v>
      </c>
      <c r="DD119">
        <v>333</v>
      </c>
      <c r="DE119">
        <v>2191</v>
      </c>
      <c r="DF119">
        <v>2191</v>
      </c>
      <c r="DG119">
        <v>2200</v>
      </c>
      <c r="DH119" t="s">
        <v>4055</v>
      </c>
      <c r="DI119" t="s">
        <v>4055</v>
      </c>
      <c r="DJ119" t="s">
        <v>4132</v>
      </c>
      <c r="DK119">
        <v>185</v>
      </c>
      <c r="DL119" t="s">
        <v>4065</v>
      </c>
      <c r="DM119">
        <v>65</v>
      </c>
      <c r="DN119">
        <v>1.1</v>
      </c>
      <c r="DO119">
        <v>1</v>
      </c>
      <c r="DP119">
        <v>2078</v>
      </c>
      <c r="DQ119">
        <v>831</v>
      </c>
      <c r="DR119" t="s">
        <v>4132</v>
      </c>
      <c r="DS119">
        <v>175</v>
      </c>
      <c r="DT119" t="s">
        <v>4065</v>
      </c>
      <c r="DU119">
        <v>65</v>
      </c>
      <c r="DV119">
        <v>1.1</v>
      </c>
      <c r="DW119">
        <v>1</v>
      </c>
      <c r="DX119">
        <v>2090</v>
      </c>
      <c r="DY119">
        <v>792</v>
      </c>
      <c r="DZ119" t="s">
        <v>4066</v>
      </c>
      <c r="EA119">
        <v>20</v>
      </c>
      <c r="EB119" t="s">
        <v>4065</v>
      </c>
      <c r="EC119">
        <v>0.8</v>
      </c>
      <c r="ED119">
        <v>2078</v>
      </c>
      <c r="EE119">
        <v>73</v>
      </c>
      <c r="EG119">
        <v>0</v>
      </c>
      <c r="EH119" t="s">
        <v>4065</v>
      </c>
      <c r="EI119">
        <v>0</v>
      </c>
      <c r="EL119" t="s">
        <v>1528</v>
      </c>
      <c r="EM119">
        <v>12</v>
      </c>
      <c r="EN119">
        <v>0.5</v>
      </c>
      <c r="EO119">
        <v>0.96</v>
      </c>
      <c r="EP119">
        <v>2088.83</v>
      </c>
      <c r="EQ119">
        <v>32964.35</v>
      </c>
      <c r="ER119">
        <v>9819.66</v>
      </c>
      <c r="ES119">
        <v>0</v>
      </c>
      <c r="ET119">
        <v>0</v>
      </c>
      <c r="EU119">
        <v>1</v>
      </c>
      <c r="EV119">
        <v>42785</v>
      </c>
      <c r="EW119">
        <v>514</v>
      </c>
      <c r="EX119" t="s">
        <v>4363</v>
      </c>
      <c r="EY119">
        <v>210</v>
      </c>
      <c r="EZ119" t="s">
        <v>4055</v>
      </c>
      <c r="FA119">
        <v>5</v>
      </c>
      <c r="FB119">
        <v>1</v>
      </c>
      <c r="FC119">
        <v>1</v>
      </c>
      <c r="FD119">
        <v>2117</v>
      </c>
      <c r="FE119">
        <v>2394</v>
      </c>
      <c r="FF119" t="s">
        <v>4089</v>
      </c>
      <c r="FG119">
        <v>210</v>
      </c>
      <c r="FH119" t="s">
        <v>4055</v>
      </c>
      <c r="FI119">
        <v>1.6</v>
      </c>
      <c r="FJ119">
        <v>2117</v>
      </c>
      <c r="FK119">
        <v>718</v>
      </c>
      <c r="FL119" t="s">
        <v>4069</v>
      </c>
      <c r="FM119" t="s">
        <v>4055</v>
      </c>
      <c r="FN119" t="s">
        <v>4055</v>
      </c>
      <c r="FO119" t="s">
        <v>4055</v>
      </c>
      <c r="FP119">
        <v>2117</v>
      </c>
      <c r="FQ119">
        <v>98</v>
      </c>
      <c r="FR119" t="s">
        <v>4090</v>
      </c>
      <c r="FS119">
        <v>214</v>
      </c>
      <c r="FT119" t="s">
        <v>4055</v>
      </c>
      <c r="FU119">
        <v>0.4</v>
      </c>
      <c r="FV119">
        <v>2117</v>
      </c>
      <c r="FW119">
        <v>202</v>
      </c>
      <c r="FX119" t="s">
        <v>4070</v>
      </c>
      <c r="FY119">
        <v>5</v>
      </c>
      <c r="FZ119" t="s">
        <v>4055</v>
      </c>
      <c r="GA119" t="s">
        <v>4055</v>
      </c>
      <c r="GB119">
        <v>2117</v>
      </c>
      <c r="GC119">
        <v>17</v>
      </c>
      <c r="GD119">
        <v>3429</v>
      </c>
      <c r="GE119" t="s">
        <v>4536</v>
      </c>
      <c r="GF119" t="s">
        <v>4055</v>
      </c>
      <c r="GG119" t="s">
        <v>4055</v>
      </c>
      <c r="GH119" t="s">
        <v>4055</v>
      </c>
      <c r="GI119" t="s">
        <v>4071</v>
      </c>
      <c r="GJ119" t="s">
        <v>4055</v>
      </c>
      <c r="GK119" t="s">
        <v>4055</v>
      </c>
      <c r="GL119" t="s">
        <v>4055</v>
      </c>
      <c r="GM119" t="s">
        <v>4055</v>
      </c>
      <c r="GQ119">
        <v>0</v>
      </c>
      <c r="GV119">
        <v>7</v>
      </c>
      <c r="GW119">
        <v>8.5</v>
      </c>
      <c r="GX119">
        <v>0.5</v>
      </c>
      <c r="GY119">
        <v>182</v>
      </c>
      <c r="GZ119">
        <v>3</v>
      </c>
      <c r="HA119">
        <v>224</v>
      </c>
      <c r="HB119">
        <v>3</v>
      </c>
      <c r="HC119">
        <v>2117</v>
      </c>
      <c r="HD119">
        <v>4</v>
      </c>
      <c r="HE119" t="s">
        <v>4071</v>
      </c>
      <c r="HG119" t="s">
        <v>549</v>
      </c>
      <c r="HL119">
        <v>4</v>
      </c>
      <c r="HM119">
        <v>18</v>
      </c>
      <c r="HN119">
        <v>6</v>
      </c>
      <c r="HO119">
        <v>1</v>
      </c>
      <c r="HP119">
        <v>0</v>
      </c>
      <c r="HQ119">
        <v>0</v>
      </c>
      <c r="HR119">
        <v>3</v>
      </c>
      <c r="HS119">
        <v>2075</v>
      </c>
      <c r="HT119">
        <v>5</v>
      </c>
      <c r="HU119">
        <v>1</v>
      </c>
      <c r="HV119">
        <v>3</v>
      </c>
      <c r="HW119">
        <v>0</v>
      </c>
      <c r="HX119">
        <v>1</v>
      </c>
      <c r="HY119">
        <v>0</v>
      </c>
      <c r="HZ119">
        <v>65</v>
      </c>
      <c r="IA119">
        <v>2078</v>
      </c>
      <c r="IB119">
        <v>2090</v>
      </c>
      <c r="ID119">
        <v>2117</v>
      </c>
      <c r="IE119">
        <v>2117</v>
      </c>
      <c r="IF119">
        <v>185</v>
      </c>
      <c r="IG119">
        <v>175</v>
      </c>
      <c r="IH119">
        <v>224</v>
      </c>
      <c r="II119">
        <v>1</v>
      </c>
      <c r="IJ119">
        <v>0.8</v>
      </c>
      <c r="IK119">
        <v>0</v>
      </c>
      <c r="IL119">
        <v>0</v>
      </c>
      <c r="IM119">
        <v>0</v>
      </c>
      <c r="IN119">
        <v>270</v>
      </c>
      <c r="IO119">
        <v>0</v>
      </c>
      <c r="IP119">
        <v>180</v>
      </c>
      <c r="IQ119">
        <v>0</v>
      </c>
      <c r="IR119">
        <v>330</v>
      </c>
      <c r="IS119">
        <v>0</v>
      </c>
      <c r="IT119">
        <v>90</v>
      </c>
      <c r="IU119">
        <v>0</v>
      </c>
      <c r="IV119">
        <v>6.4</v>
      </c>
      <c r="IW119">
        <v>-6</v>
      </c>
      <c r="IX119">
        <v>95</v>
      </c>
      <c r="IY119">
        <v>65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384</v>
      </c>
      <c r="JJ119">
        <v>350</v>
      </c>
      <c r="JK119">
        <v>260</v>
      </c>
      <c r="JL119">
        <v>348</v>
      </c>
      <c r="JM119">
        <v>275</v>
      </c>
      <c r="JN119">
        <v>180</v>
      </c>
      <c r="JO119">
        <v>238</v>
      </c>
      <c r="JP119">
        <v>190</v>
      </c>
      <c r="JQ119">
        <v>240</v>
      </c>
      <c r="JR119">
        <v>305</v>
      </c>
      <c r="JS119">
        <v>240</v>
      </c>
      <c r="JT119">
        <v>0</v>
      </c>
      <c r="JU119">
        <v>0</v>
      </c>
      <c r="JV119">
        <v>305</v>
      </c>
      <c r="JW119">
        <v>300</v>
      </c>
      <c r="JX119">
        <v>290</v>
      </c>
      <c r="JY119">
        <v>270</v>
      </c>
      <c r="JZ119">
        <v>1</v>
      </c>
      <c r="KA119">
        <v>0.2</v>
      </c>
      <c r="KB119">
        <v>0.4</v>
      </c>
      <c r="KC119">
        <v>0.42</v>
      </c>
      <c r="KD119">
        <v>0.28</v>
      </c>
      <c r="KE119">
        <v>0.5</v>
      </c>
      <c r="KF119">
        <v>0.18</v>
      </c>
      <c r="KG119">
        <v>0.1</v>
      </c>
      <c r="KH119">
        <v>3.5</v>
      </c>
      <c r="KI119">
        <v>1</v>
      </c>
      <c r="KJ119">
        <v>5</v>
      </c>
      <c r="KK119">
        <v>0</v>
      </c>
      <c r="KL119">
        <v>5</v>
      </c>
      <c r="KM119">
        <v>1.5</v>
      </c>
      <c r="KN119">
        <v>1.6</v>
      </c>
      <c r="KO119">
        <v>0</v>
      </c>
      <c r="KP119">
        <v>0</v>
      </c>
      <c r="KQ119">
        <v>0.8</v>
      </c>
      <c r="KR119">
        <v>0.8</v>
      </c>
      <c r="KS119">
        <v>0</v>
      </c>
      <c r="KT119">
        <v>2.6</v>
      </c>
      <c r="KU119">
        <v>0</v>
      </c>
      <c r="KV119">
        <v>0</v>
      </c>
      <c r="KW119">
        <v>0.2</v>
      </c>
      <c r="KX119">
        <v>2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3</v>
      </c>
      <c r="LI119">
        <v>1</v>
      </c>
      <c r="LJ119">
        <v>0</v>
      </c>
      <c r="LK119">
        <v>4</v>
      </c>
      <c r="LL119">
        <v>5</v>
      </c>
      <c r="LM119">
        <v>6</v>
      </c>
      <c r="LN119">
        <v>0.1</v>
      </c>
      <c r="LO119">
        <v>3</v>
      </c>
      <c r="LP119">
        <v>0</v>
      </c>
      <c r="LQ119">
        <v>0</v>
      </c>
      <c r="LR119">
        <v>0</v>
      </c>
      <c r="LS119">
        <v>1</v>
      </c>
      <c r="LT119">
        <v>0</v>
      </c>
      <c r="LU119">
        <v>0</v>
      </c>
      <c r="LV119">
        <v>0</v>
      </c>
      <c r="LW119">
        <v>2.3</v>
      </c>
      <c r="LX119">
        <v>2.3</v>
      </c>
      <c r="LY119">
        <v>2.1</v>
      </c>
      <c r="LZ119">
        <v>2.1</v>
      </c>
      <c r="MA119">
        <v>0</v>
      </c>
      <c r="MB119">
        <v>3</v>
      </c>
      <c r="MC119">
        <v>1</v>
      </c>
      <c r="MD119">
        <v>4.5</v>
      </c>
      <c r="ME119">
        <v>6</v>
      </c>
      <c r="MF119">
        <v>6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420</v>
      </c>
      <c r="MN119">
        <v>170</v>
      </c>
      <c r="MO119">
        <v>238</v>
      </c>
      <c r="NU119">
        <v>0.15</v>
      </c>
      <c r="NV119">
        <v>0.2</v>
      </c>
      <c r="NW119">
        <v>0.2</v>
      </c>
      <c r="NX119">
        <v>20</v>
      </c>
      <c r="NY119">
        <v>20</v>
      </c>
      <c r="NZ119">
        <v>20</v>
      </c>
      <c r="OE119" t="s">
        <v>4536</v>
      </c>
      <c r="OF119" t="s">
        <v>4534</v>
      </c>
      <c r="OG119" t="s">
        <v>4535</v>
      </c>
      <c r="OH119" t="s">
        <v>4043</v>
      </c>
      <c r="OI119" t="s">
        <v>4536</v>
      </c>
      <c r="OJ119" t="s">
        <v>4533</v>
      </c>
      <c r="OK119">
        <v>61</v>
      </c>
      <c r="OL119">
        <v>61</v>
      </c>
      <c r="OM119" t="s">
        <v>4534</v>
      </c>
      <c r="ON119">
        <v>1</v>
      </c>
      <c r="OO119">
        <v>2078</v>
      </c>
      <c r="OP119">
        <v>61</v>
      </c>
      <c r="OQ119">
        <v>61</v>
      </c>
      <c r="OR119" t="s">
        <v>4535</v>
      </c>
      <c r="OS119">
        <v>1</v>
      </c>
      <c r="OT119">
        <v>2090</v>
      </c>
      <c r="OU119">
        <v>65</v>
      </c>
      <c r="OV119">
        <v>65</v>
      </c>
      <c r="OW119" t="s">
        <v>4043</v>
      </c>
      <c r="OX119">
        <v>2</v>
      </c>
      <c r="OY119">
        <v>42785</v>
      </c>
      <c r="OZ119">
        <v>51</v>
      </c>
      <c r="PA119">
        <v>51</v>
      </c>
      <c r="PB119" t="s">
        <v>4536</v>
      </c>
      <c r="PC119">
        <v>1</v>
      </c>
      <c r="PD119">
        <v>2117</v>
      </c>
      <c r="PF119">
        <v>400</v>
      </c>
      <c r="PG119">
        <v>35</v>
      </c>
      <c r="PH119">
        <v>379</v>
      </c>
      <c r="PI119">
        <v>0</v>
      </c>
      <c r="PJ119">
        <v>46.5</v>
      </c>
      <c r="PK119">
        <v>1636</v>
      </c>
      <c r="PL119">
        <v>1130.9</v>
      </c>
      <c r="PM119">
        <v>339.2</v>
      </c>
      <c r="PN119">
        <v>95.2</v>
      </c>
      <c r="PO119">
        <v>8.1</v>
      </c>
      <c r="PP119">
        <v>12</v>
      </c>
      <c r="PQ119">
        <v>3</v>
      </c>
      <c r="PR119">
        <v>5</v>
      </c>
      <c r="PS119">
        <v>0</v>
      </c>
      <c r="PT119">
        <v>224</v>
      </c>
      <c r="PU119">
        <v>7</v>
      </c>
      <c r="PV119" t="s">
        <v>4072</v>
      </c>
      <c r="PW119" t="s">
        <v>4072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-1</v>
      </c>
      <c r="QF119">
        <v>1</v>
      </c>
      <c r="QG119">
        <v>0</v>
      </c>
      <c r="QH119">
        <v>5</v>
      </c>
      <c r="QI119">
        <v>5</v>
      </c>
      <c r="QJ119">
        <v>5</v>
      </c>
      <c r="QK119">
        <v>187</v>
      </c>
      <c r="QL119">
        <v>418</v>
      </c>
      <c r="QM119">
        <v>7.5</v>
      </c>
      <c r="QN119">
        <v>1464.3</v>
      </c>
      <c r="QO119" t="s">
        <v>1888</v>
      </c>
      <c r="QP119" t="s">
        <v>513</v>
      </c>
      <c r="QQ119">
        <v>0</v>
      </c>
      <c r="QR119" t="s">
        <v>621</v>
      </c>
      <c r="QS119">
        <v>30</v>
      </c>
      <c r="QT119">
        <v>40</v>
      </c>
    </row>
    <row r="120" spans="1:462">
      <c r="A120" t="s">
        <v>2006</v>
      </c>
      <c r="B120" t="s">
        <v>804</v>
      </c>
      <c r="C120" t="s">
        <v>509</v>
      </c>
      <c r="D120" t="s">
        <v>2005</v>
      </c>
      <c r="E120" t="s">
        <v>4036</v>
      </c>
      <c r="H120" t="s">
        <v>1115</v>
      </c>
      <c r="J120" t="s">
        <v>562</v>
      </c>
      <c r="K120" t="s">
        <v>563</v>
      </c>
      <c r="L120" t="s">
        <v>508</v>
      </c>
      <c r="M120" t="s">
        <v>512</v>
      </c>
      <c r="N120" t="s">
        <v>515</v>
      </c>
      <c r="O120" t="s">
        <v>513</v>
      </c>
      <c r="P120" t="s">
        <v>567</v>
      </c>
      <c r="Q120" t="s">
        <v>964</v>
      </c>
      <c r="R120" t="s">
        <v>965</v>
      </c>
      <c r="S120" t="s">
        <v>4073</v>
      </c>
      <c r="T120" t="s">
        <v>686</v>
      </c>
      <c r="U120" t="s">
        <v>687</v>
      </c>
      <c r="V120" t="s">
        <v>1710</v>
      </c>
      <c r="W120" t="s">
        <v>1880</v>
      </c>
      <c r="X120" t="s">
        <v>2007</v>
      </c>
      <c r="Y120" t="s">
        <v>2008</v>
      </c>
      <c r="Z120" t="s">
        <v>541</v>
      </c>
      <c r="AA120" t="s">
        <v>4038</v>
      </c>
      <c r="AB120" t="s">
        <v>4537</v>
      </c>
      <c r="AC120">
        <v>9</v>
      </c>
      <c r="AD120" t="s">
        <v>2004</v>
      </c>
      <c r="AE120">
        <v>2</v>
      </c>
      <c r="AF120">
        <v>5024</v>
      </c>
      <c r="AG120" t="s">
        <v>4538</v>
      </c>
      <c r="AH120">
        <v>1</v>
      </c>
      <c r="AI120" t="s">
        <v>4041</v>
      </c>
      <c r="AK120" t="s">
        <v>4539</v>
      </c>
      <c r="AL120">
        <v>1</v>
      </c>
      <c r="AM120" t="s">
        <v>582</v>
      </c>
      <c r="AO120" t="s">
        <v>4043</v>
      </c>
      <c r="AP120">
        <v>1</v>
      </c>
      <c r="AR120" t="s">
        <v>4540</v>
      </c>
      <c r="AS120">
        <v>1</v>
      </c>
      <c r="AT120">
        <v>51</v>
      </c>
      <c r="AV120" t="s">
        <v>4078</v>
      </c>
      <c r="AW120">
        <v>6.4</v>
      </c>
      <c r="AX120">
        <v>-6</v>
      </c>
      <c r="AY120">
        <v>102.5</v>
      </c>
      <c r="AZ120">
        <v>73</v>
      </c>
      <c r="BH120">
        <v>102.5</v>
      </c>
      <c r="BI120">
        <v>29.5</v>
      </c>
      <c r="BJ120">
        <v>73</v>
      </c>
      <c r="BK120">
        <v>2.5</v>
      </c>
      <c r="BL120">
        <v>205</v>
      </c>
      <c r="BM120">
        <v>-6</v>
      </c>
      <c r="BN120">
        <v>0</v>
      </c>
      <c r="BP120">
        <v>0</v>
      </c>
      <c r="BR120">
        <v>200</v>
      </c>
      <c r="BS120">
        <v>190</v>
      </c>
      <c r="BT120">
        <v>2120</v>
      </c>
      <c r="BU120" t="s">
        <v>4127</v>
      </c>
      <c r="BV120" t="s">
        <v>4127</v>
      </c>
      <c r="BW120" t="s">
        <v>4128</v>
      </c>
      <c r="BX120" t="s">
        <v>4128</v>
      </c>
      <c r="BY120" t="s">
        <v>4129</v>
      </c>
      <c r="BZ120" t="s">
        <v>4160</v>
      </c>
      <c r="CA120" t="s">
        <v>4130</v>
      </c>
      <c r="CB120" t="s">
        <v>4131</v>
      </c>
      <c r="CC120" t="s">
        <v>4053</v>
      </c>
      <c r="CD120" t="s">
        <v>4055</v>
      </c>
      <c r="CE120" t="s">
        <v>4055</v>
      </c>
      <c r="CF120" t="s">
        <v>4055</v>
      </c>
      <c r="CG120" t="s">
        <v>4056</v>
      </c>
      <c r="CI120" t="s">
        <v>4086</v>
      </c>
      <c r="CJ120" t="s">
        <v>4059</v>
      </c>
      <c r="CK120" t="s">
        <v>4060</v>
      </c>
      <c r="CL120" t="s">
        <v>4061</v>
      </c>
      <c r="CM120" t="s">
        <v>4055</v>
      </c>
      <c r="CN120" t="s">
        <v>4062</v>
      </c>
      <c r="CO120" t="s">
        <v>4063</v>
      </c>
      <c r="CP120" t="s">
        <v>4055</v>
      </c>
      <c r="CQ120" t="s">
        <v>4055</v>
      </c>
      <c r="CR120">
        <v>5</v>
      </c>
      <c r="CS120">
        <v>15</v>
      </c>
      <c r="CT120" t="s">
        <v>4055</v>
      </c>
      <c r="CU120" t="s">
        <v>4055</v>
      </c>
      <c r="CV120">
        <v>124</v>
      </c>
      <c r="CW120">
        <v>3</v>
      </c>
      <c r="CX120">
        <v>85</v>
      </c>
      <c r="CY120">
        <v>5</v>
      </c>
      <c r="CZ120">
        <v>82</v>
      </c>
      <c r="DA120">
        <v>5</v>
      </c>
      <c r="DB120">
        <v>11130</v>
      </c>
      <c r="DC120">
        <v>330</v>
      </c>
      <c r="DD120">
        <v>330</v>
      </c>
      <c r="DE120">
        <v>2235</v>
      </c>
      <c r="DF120">
        <v>2235</v>
      </c>
      <c r="DG120">
        <v>2244</v>
      </c>
      <c r="DH120">
        <v>1</v>
      </c>
      <c r="DI120" t="s">
        <v>4055</v>
      </c>
      <c r="DJ120" t="s">
        <v>4132</v>
      </c>
      <c r="DK120">
        <v>200</v>
      </c>
      <c r="DL120" t="s">
        <v>4065</v>
      </c>
      <c r="DM120">
        <v>65</v>
      </c>
      <c r="DN120">
        <v>1.1</v>
      </c>
      <c r="DO120">
        <v>1</v>
      </c>
      <c r="DP120">
        <v>2123</v>
      </c>
      <c r="DQ120">
        <v>919</v>
      </c>
      <c r="DR120" t="s">
        <v>4132</v>
      </c>
      <c r="DS120">
        <v>190</v>
      </c>
      <c r="DT120" t="s">
        <v>4065</v>
      </c>
      <c r="DU120">
        <v>65</v>
      </c>
      <c r="DV120">
        <v>1.1</v>
      </c>
      <c r="DW120">
        <v>1</v>
      </c>
      <c r="DX120">
        <v>2135</v>
      </c>
      <c r="DY120">
        <v>877</v>
      </c>
      <c r="DZ120" t="s">
        <v>4066</v>
      </c>
      <c r="EA120">
        <v>20</v>
      </c>
      <c r="EB120" t="s">
        <v>4065</v>
      </c>
      <c r="EC120">
        <v>0.8</v>
      </c>
      <c r="ED120">
        <v>2123</v>
      </c>
      <c r="EE120">
        <v>74</v>
      </c>
      <c r="EG120">
        <v>0</v>
      </c>
      <c r="EH120" t="s">
        <v>4065</v>
      </c>
      <c r="EI120">
        <v>0</v>
      </c>
      <c r="EL120" t="s">
        <v>1528</v>
      </c>
      <c r="EM120">
        <v>12</v>
      </c>
      <c r="EN120">
        <v>0.5</v>
      </c>
      <c r="EO120">
        <v>0.96</v>
      </c>
      <c r="EP120">
        <v>2133.83</v>
      </c>
      <c r="EQ120">
        <v>36175.09</v>
      </c>
      <c r="ER120">
        <v>9863.43</v>
      </c>
      <c r="ES120">
        <v>0</v>
      </c>
      <c r="ET120">
        <v>0</v>
      </c>
      <c r="EU120">
        <v>1</v>
      </c>
      <c r="EV120">
        <v>46039</v>
      </c>
      <c r="EW120">
        <v>553</v>
      </c>
      <c r="EX120" t="s">
        <v>4363</v>
      </c>
      <c r="EY120">
        <v>214</v>
      </c>
      <c r="EZ120" t="s">
        <v>4055</v>
      </c>
      <c r="FA120">
        <v>5</v>
      </c>
      <c r="FB120">
        <v>1</v>
      </c>
      <c r="FC120">
        <v>1</v>
      </c>
      <c r="FD120">
        <v>2162</v>
      </c>
      <c r="FE120">
        <v>2573</v>
      </c>
      <c r="FF120" t="s">
        <v>4089</v>
      </c>
      <c r="FG120">
        <v>214</v>
      </c>
      <c r="FH120" t="s">
        <v>4055</v>
      </c>
      <c r="FI120">
        <v>1.6</v>
      </c>
      <c r="FJ120">
        <v>2162</v>
      </c>
      <c r="FK120">
        <v>733</v>
      </c>
      <c r="FL120" t="s">
        <v>4069</v>
      </c>
      <c r="FM120" t="s">
        <v>4055</v>
      </c>
      <c r="FN120" t="s">
        <v>4055</v>
      </c>
      <c r="FO120" t="s">
        <v>4055</v>
      </c>
      <c r="FP120">
        <v>2162</v>
      </c>
      <c r="FQ120">
        <v>140</v>
      </c>
      <c r="FR120" t="s">
        <v>4090</v>
      </c>
      <c r="FS120">
        <v>218</v>
      </c>
      <c r="FT120" t="s">
        <v>4055</v>
      </c>
      <c r="FU120">
        <v>0.4</v>
      </c>
      <c r="FV120">
        <v>2162</v>
      </c>
      <c r="FW120">
        <v>210</v>
      </c>
      <c r="FX120" t="s">
        <v>4070</v>
      </c>
      <c r="FY120">
        <v>5</v>
      </c>
      <c r="FZ120" t="s">
        <v>4055</v>
      </c>
      <c r="GA120" t="s">
        <v>4055</v>
      </c>
      <c r="GB120">
        <v>2162</v>
      </c>
      <c r="GC120">
        <v>18</v>
      </c>
      <c r="GD120">
        <v>3674</v>
      </c>
      <c r="GE120" t="s">
        <v>4540</v>
      </c>
      <c r="GF120" t="s">
        <v>4055</v>
      </c>
      <c r="GG120" t="s">
        <v>4055</v>
      </c>
      <c r="GH120" t="s">
        <v>4055</v>
      </c>
      <c r="GI120" t="s">
        <v>4071</v>
      </c>
      <c r="GJ120" t="s">
        <v>4055</v>
      </c>
      <c r="GK120" t="s">
        <v>4055</v>
      </c>
      <c r="GL120" t="s">
        <v>4055</v>
      </c>
      <c r="GM120" t="s">
        <v>4055</v>
      </c>
      <c r="GQ120">
        <v>0</v>
      </c>
      <c r="GV120">
        <v>7</v>
      </c>
      <c r="GW120">
        <v>9</v>
      </c>
      <c r="GX120">
        <v>0.5</v>
      </c>
      <c r="GY120">
        <v>190</v>
      </c>
      <c r="GZ120">
        <v>3</v>
      </c>
      <c r="HA120">
        <v>234</v>
      </c>
      <c r="HB120">
        <v>3</v>
      </c>
      <c r="HC120">
        <v>2162</v>
      </c>
      <c r="HD120">
        <v>4</v>
      </c>
      <c r="HE120" t="s">
        <v>4071</v>
      </c>
      <c r="HG120" t="s">
        <v>549</v>
      </c>
      <c r="HL120">
        <v>4</v>
      </c>
      <c r="HM120">
        <v>19</v>
      </c>
      <c r="HN120">
        <v>6</v>
      </c>
      <c r="HO120">
        <v>1</v>
      </c>
      <c r="HP120">
        <v>0</v>
      </c>
      <c r="HQ120">
        <v>2</v>
      </c>
      <c r="HR120">
        <v>3</v>
      </c>
      <c r="HS120">
        <v>2120</v>
      </c>
      <c r="HT120">
        <v>5</v>
      </c>
      <c r="HU120">
        <v>1</v>
      </c>
      <c r="HV120">
        <v>3</v>
      </c>
      <c r="HW120">
        <v>0</v>
      </c>
      <c r="HX120">
        <v>1</v>
      </c>
      <c r="HY120">
        <v>0</v>
      </c>
      <c r="HZ120">
        <v>65</v>
      </c>
      <c r="IA120">
        <v>2123</v>
      </c>
      <c r="IB120">
        <v>2135</v>
      </c>
      <c r="ID120">
        <v>2162</v>
      </c>
      <c r="IE120">
        <v>2162</v>
      </c>
      <c r="IF120">
        <v>200</v>
      </c>
      <c r="IG120">
        <v>190</v>
      </c>
      <c r="IH120">
        <v>234</v>
      </c>
      <c r="II120">
        <v>1</v>
      </c>
      <c r="IJ120">
        <v>5</v>
      </c>
      <c r="IK120">
        <v>0</v>
      </c>
      <c r="IL120">
        <v>0</v>
      </c>
      <c r="IM120">
        <v>0</v>
      </c>
      <c r="IN120">
        <v>270</v>
      </c>
      <c r="IO120">
        <v>0</v>
      </c>
      <c r="IP120">
        <v>180</v>
      </c>
      <c r="IQ120">
        <v>0</v>
      </c>
      <c r="IR120">
        <v>330</v>
      </c>
      <c r="IS120">
        <v>0</v>
      </c>
      <c r="IT120">
        <v>90</v>
      </c>
      <c r="IU120">
        <v>0</v>
      </c>
      <c r="IV120">
        <v>6.4</v>
      </c>
      <c r="IW120">
        <v>-6</v>
      </c>
      <c r="IX120">
        <v>102.5</v>
      </c>
      <c r="IY120">
        <v>73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390</v>
      </c>
      <c r="JJ120">
        <v>360</v>
      </c>
      <c r="JK120">
        <v>262</v>
      </c>
      <c r="JL120">
        <v>356</v>
      </c>
      <c r="JM120">
        <v>274</v>
      </c>
      <c r="JN120">
        <v>195</v>
      </c>
      <c r="JO120">
        <v>244</v>
      </c>
      <c r="JP120">
        <v>202</v>
      </c>
      <c r="JQ120">
        <v>255</v>
      </c>
      <c r="JR120">
        <v>298</v>
      </c>
      <c r="JS120">
        <v>236</v>
      </c>
      <c r="JT120">
        <v>0</v>
      </c>
      <c r="JU120">
        <v>0</v>
      </c>
      <c r="JV120">
        <v>293</v>
      </c>
      <c r="JW120">
        <v>283</v>
      </c>
      <c r="JX120">
        <v>0</v>
      </c>
      <c r="JY120">
        <v>0</v>
      </c>
      <c r="JZ120">
        <v>3</v>
      </c>
      <c r="KA120">
        <v>0.2</v>
      </c>
      <c r="KB120">
        <v>0.4</v>
      </c>
      <c r="KC120">
        <v>0.42</v>
      </c>
      <c r="KD120">
        <v>0.28</v>
      </c>
      <c r="KE120">
        <v>0.8</v>
      </c>
      <c r="KF120">
        <v>0.18</v>
      </c>
      <c r="KG120">
        <v>0.11</v>
      </c>
      <c r="KH120">
        <v>3.5</v>
      </c>
      <c r="KI120">
        <v>1</v>
      </c>
      <c r="KJ120">
        <v>4.5</v>
      </c>
      <c r="KK120">
        <v>0</v>
      </c>
      <c r="KL120">
        <v>4.5</v>
      </c>
      <c r="KM120">
        <v>0</v>
      </c>
      <c r="KN120">
        <v>2</v>
      </c>
      <c r="KO120">
        <v>0</v>
      </c>
      <c r="KP120">
        <v>0</v>
      </c>
      <c r="KQ120">
        <v>0.7</v>
      </c>
      <c r="KR120">
        <v>0.9</v>
      </c>
      <c r="KS120">
        <v>0</v>
      </c>
      <c r="KT120">
        <v>2.4</v>
      </c>
      <c r="KU120">
        <v>0</v>
      </c>
      <c r="KV120">
        <v>0</v>
      </c>
      <c r="KW120">
        <v>0.7</v>
      </c>
      <c r="KX120">
        <v>1.5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3</v>
      </c>
      <c r="LI120">
        <v>1.5</v>
      </c>
      <c r="LJ120">
        <v>0</v>
      </c>
      <c r="LK120">
        <v>9</v>
      </c>
      <c r="LL120">
        <v>5</v>
      </c>
      <c r="LM120">
        <v>8</v>
      </c>
      <c r="LN120">
        <v>0.1</v>
      </c>
      <c r="LO120">
        <v>0.1</v>
      </c>
      <c r="LP120">
        <v>0</v>
      </c>
      <c r="LQ120">
        <v>0</v>
      </c>
      <c r="LR120">
        <v>0</v>
      </c>
      <c r="LS120">
        <v>1</v>
      </c>
      <c r="LT120">
        <v>0</v>
      </c>
      <c r="LU120">
        <v>0</v>
      </c>
      <c r="LV120">
        <v>0</v>
      </c>
      <c r="LW120">
        <v>2.8</v>
      </c>
      <c r="LX120">
        <v>2.8</v>
      </c>
      <c r="LY120">
        <v>2.8</v>
      </c>
      <c r="LZ120">
        <v>2.8</v>
      </c>
      <c r="MA120">
        <v>0</v>
      </c>
      <c r="MB120">
        <v>3</v>
      </c>
      <c r="MC120">
        <v>0</v>
      </c>
      <c r="MD120">
        <v>4.5</v>
      </c>
      <c r="ME120">
        <v>6</v>
      </c>
      <c r="MF120">
        <v>6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420</v>
      </c>
      <c r="MN120">
        <v>195</v>
      </c>
      <c r="MO120">
        <v>244</v>
      </c>
      <c r="NU120">
        <v>0.15</v>
      </c>
      <c r="NV120">
        <v>0.2</v>
      </c>
      <c r="NW120">
        <v>0.2</v>
      </c>
      <c r="NX120">
        <v>2</v>
      </c>
      <c r="NY120">
        <v>2</v>
      </c>
      <c r="NZ120">
        <v>2</v>
      </c>
      <c r="OE120" t="s">
        <v>4540</v>
      </c>
      <c r="OF120" t="s">
        <v>4538</v>
      </c>
      <c r="OG120" t="s">
        <v>4539</v>
      </c>
      <c r="OH120" t="s">
        <v>4043</v>
      </c>
      <c r="OI120" t="s">
        <v>4540</v>
      </c>
      <c r="OJ120" t="s">
        <v>4537</v>
      </c>
      <c r="OK120">
        <v>61</v>
      </c>
      <c r="OL120">
        <v>61</v>
      </c>
      <c r="OM120" t="s">
        <v>4538</v>
      </c>
      <c r="ON120">
        <v>1</v>
      </c>
      <c r="OO120">
        <v>2123</v>
      </c>
      <c r="OP120">
        <v>61</v>
      </c>
      <c r="OQ120">
        <v>61</v>
      </c>
      <c r="OR120" t="s">
        <v>4539</v>
      </c>
      <c r="OS120">
        <v>1</v>
      </c>
      <c r="OT120">
        <v>2135</v>
      </c>
      <c r="OU120">
        <v>65</v>
      </c>
      <c r="OV120">
        <v>65</v>
      </c>
      <c r="OW120" t="s">
        <v>4043</v>
      </c>
      <c r="OX120">
        <v>2</v>
      </c>
      <c r="OY120">
        <v>46039</v>
      </c>
      <c r="OZ120">
        <v>51</v>
      </c>
      <c r="PA120">
        <v>51</v>
      </c>
      <c r="PB120" t="s">
        <v>4540</v>
      </c>
      <c r="PC120">
        <v>1</v>
      </c>
      <c r="PD120">
        <v>2162</v>
      </c>
      <c r="PF120">
        <v>433</v>
      </c>
      <c r="PG120">
        <v>35</v>
      </c>
      <c r="PH120">
        <v>411</v>
      </c>
      <c r="PI120">
        <v>0</v>
      </c>
      <c r="PJ120">
        <v>64.59999999999999</v>
      </c>
      <c r="PK120">
        <v>1728</v>
      </c>
      <c r="PL120">
        <v>1190.1</v>
      </c>
      <c r="PM120">
        <v>339.2</v>
      </c>
      <c r="PN120">
        <v>97</v>
      </c>
      <c r="PO120">
        <v>8.1</v>
      </c>
      <c r="PP120">
        <v>12</v>
      </c>
      <c r="PQ120">
        <v>5</v>
      </c>
      <c r="PR120">
        <v>5</v>
      </c>
      <c r="PS120">
        <v>0</v>
      </c>
      <c r="PT120">
        <v>234</v>
      </c>
      <c r="PU120">
        <v>10</v>
      </c>
      <c r="PV120" t="s">
        <v>4072</v>
      </c>
      <c r="PW120" t="s">
        <v>4072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-1</v>
      </c>
      <c r="QF120">
        <v>1</v>
      </c>
      <c r="QG120">
        <v>0</v>
      </c>
      <c r="QH120">
        <v>5</v>
      </c>
      <c r="QI120">
        <v>5</v>
      </c>
      <c r="QJ120">
        <v>5</v>
      </c>
      <c r="QK120">
        <v>211</v>
      </c>
      <c r="QL120">
        <v>420</v>
      </c>
      <c r="QM120">
        <v>7.5</v>
      </c>
      <c r="QN120">
        <v>1540.9</v>
      </c>
      <c r="QO120" t="s">
        <v>1888</v>
      </c>
      <c r="QP120" t="s">
        <v>513</v>
      </c>
      <c r="QQ120">
        <v>0</v>
      </c>
      <c r="QR120" t="s">
        <v>1343</v>
      </c>
      <c r="QS120">
        <v>40</v>
      </c>
      <c r="QT120">
        <v>50</v>
      </c>
    </row>
    <row r="121" spans="1:462">
      <c r="A121" t="s">
        <v>2013</v>
      </c>
      <c r="B121" t="s">
        <v>804</v>
      </c>
      <c r="C121" t="s">
        <v>509</v>
      </c>
      <c r="D121" t="s">
        <v>2064</v>
      </c>
      <c r="E121" t="s">
        <v>4036</v>
      </c>
      <c r="H121" t="s">
        <v>1088</v>
      </c>
      <c r="J121" t="s">
        <v>562</v>
      </c>
      <c r="K121" t="s">
        <v>563</v>
      </c>
      <c r="L121" t="s">
        <v>508</v>
      </c>
      <c r="M121" t="s">
        <v>512</v>
      </c>
      <c r="N121" t="s">
        <v>515</v>
      </c>
      <c r="O121" t="s">
        <v>513</v>
      </c>
      <c r="P121" t="s">
        <v>567</v>
      </c>
      <c r="Q121" t="s">
        <v>926</v>
      </c>
      <c r="R121" t="s">
        <v>927</v>
      </c>
      <c r="S121" t="s">
        <v>4073</v>
      </c>
      <c r="T121" t="s">
        <v>570</v>
      </c>
      <c r="U121" t="s">
        <v>571</v>
      </c>
      <c r="V121" t="s">
        <v>928</v>
      </c>
      <c r="W121" t="s">
        <v>1880</v>
      </c>
      <c r="X121" t="s">
        <v>2014</v>
      </c>
      <c r="Y121" t="s">
        <v>2015</v>
      </c>
      <c r="Z121" t="s">
        <v>541</v>
      </c>
      <c r="AA121" t="s">
        <v>4038</v>
      </c>
      <c r="AB121" t="s">
        <v>4541</v>
      </c>
      <c r="AC121">
        <v>9</v>
      </c>
      <c r="AD121" t="s">
        <v>2011</v>
      </c>
      <c r="AE121">
        <v>2</v>
      </c>
      <c r="AF121">
        <v>6421</v>
      </c>
      <c r="AG121" t="s">
        <v>4542</v>
      </c>
      <c r="AH121">
        <v>1</v>
      </c>
      <c r="AI121" t="s">
        <v>4041</v>
      </c>
      <c r="AK121" t="s">
        <v>4543</v>
      </c>
      <c r="AL121">
        <v>1</v>
      </c>
      <c r="AM121" t="s">
        <v>582</v>
      </c>
      <c r="AO121" t="s">
        <v>4043</v>
      </c>
      <c r="AP121">
        <v>1</v>
      </c>
      <c r="AR121" t="s">
        <v>4544</v>
      </c>
      <c r="AS121">
        <v>1</v>
      </c>
      <c r="AT121">
        <v>51</v>
      </c>
      <c r="AV121" t="s">
        <v>4078</v>
      </c>
      <c r="AW121">
        <v>6.4</v>
      </c>
      <c r="AX121">
        <v>-6</v>
      </c>
      <c r="AY121">
        <v>112.5</v>
      </c>
      <c r="AZ121">
        <v>82.5</v>
      </c>
      <c r="BH121">
        <v>112.5</v>
      </c>
      <c r="BI121">
        <v>30</v>
      </c>
      <c r="BJ121">
        <v>82.5</v>
      </c>
      <c r="BK121">
        <v>2.5</v>
      </c>
      <c r="BL121">
        <v>225</v>
      </c>
      <c r="BM121">
        <v>-6</v>
      </c>
      <c r="BN121">
        <v>0</v>
      </c>
      <c r="BP121">
        <v>0</v>
      </c>
      <c r="BR121">
        <v>220</v>
      </c>
      <c r="BS121">
        <v>210</v>
      </c>
      <c r="BT121">
        <v>2255</v>
      </c>
      <c r="BU121" t="s">
        <v>4079</v>
      </c>
      <c r="BV121" t="s">
        <v>4079</v>
      </c>
      <c r="BW121" t="s">
        <v>4081</v>
      </c>
      <c r="BX121" t="s">
        <v>4081</v>
      </c>
      <c r="BY121" t="s">
        <v>4199</v>
      </c>
      <c r="BZ121" t="s">
        <v>4164</v>
      </c>
      <c r="CA121" t="s">
        <v>4084</v>
      </c>
      <c r="CB121" t="s">
        <v>4085</v>
      </c>
      <c r="CC121" t="s">
        <v>4053</v>
      </c>
      <c r="CD121" t="s">
        <v>4055</v>
      </c>
      <c r="CE121" t="s">
        <v>4055</v>
      </c>
      <c r="CF121" t="s">
        <v>4055</v>
      </c>
      <c r="CG121" t="s">
        <v>4056</v>
      </c>
      <c r="CI121" t="s">
        <v>4086</v>
      </c>
      <c r="CJ121" t="s">
        <v>4059</v>
      </c>
      <c r="CK121" t="s">
        <v>4060</v>
      </c>
      <c r="CL121" t="s">
        <v>4061</v>
      </c>
      <c r="CM121" t="s">
        <v>4055</v>
      </c>
      <c r="CN121" t="s">
        <v>4062</v>
      </c>
      <c r="CO121" t="s">
        <v>4063</v>
      </c>
      <c r="CP121" t="s">
        <v>4055</v>
      </c>
      <c r="CQ121" t="s">
        <v>4055</v>
      </c>
      <c r="CR121">
        <v>5</v>
      </c>
      <c r="CS121" t="s">
        <v>4055</v>
      </c>
      <c r="CT121" t="s">
        <v>4055</v>
      </c>
      <c r="CU121" t="s">
        <v>4055</v>
      </c>
      <c r="CV121">
        <v>135</v>
      </c>
      <c r="CW121">
        <v>3</v>
      </c>
      <c r="CX121">
        <v>95</v>
      </c>
      <c r="CY121">
        <v>5</v>
      </c>
      <c r="CZ121">
        <v>167</v>
      </c>
      <c r="DA121">
        <v>5</v>
      </c>
      <c r="DB121">
        <v>13910</v>
      </c>
      <c r="DC121">
        <v>410</v>
      </c>
      <c r="DD121">
        <v>379</v>
      </c>
      <c r="DE121">
        <v>2376</v>
      </c>
      <c r="DF121">
        <v>2376</v>
      </c>
      <c r="DG121">
        <v>2386</v>
      </c>
      <c r="DH121">
        <v>2</v>
      </c>
      <c r="DI121" t="s">
        <v>4055</v>
      </c>
      <c r="DJ121" t="s">
        <v>4087</v>
      </c>
      <c r="DK121">
        <v>220</v>
      </c>
      <c r="DL121" t="s">
        <v>4065</v>
      </c>
      <c r="DM121">
        <v>65</v>
      </c>
      <c r="DN121">
        <v>1.36</v>
      </c>
      <c r="DO121">
        <v>1</v>
      </c>
      <c r="DP121">
        <v>2259</v>
      </c>
      <c r="DQ121">
        <v>1251</v>
      </c>
      <c r="DR121" t="s">
        <v>4087</v>
      </c>
      <c r="DS121">
        <v>210</v>
      </c>
      <c r="DT121" t="s">
        <v>4065</v>
      </c>
      <c r="DU121">
        <v>65</v>
      </c>
      <c r="DV121">
        <v>1.36</v>
      </c>
      <c r="DW121">
        <v>1</v>
      </c>
      <c r="DX121">
        <v>2273</v>
      </c>
      <c r="DY121">
        <v>1202</v>
      </c>
      <c r="DZ121" t="s">
        <v>4066</v>
      </c>
      <c r="EA121">
        <v>20</v>
      </c>
      <c r="EB121" t="s">
        <v>4065</v>
      </c>
      <c r="EC121">
        <v>0.8</v>
      </c>
      <c r="ED121">
        <v>2259</v>
      </c>
      <c r="EE121">
        <v>79</v>
      </c>
      <c r="EG121">
        <v>0</v>
      </c>
      <c r="EH121" t="s">
        <v>4065</v>
      </c>
      <c r="EI121">
        <v>0</v>
      </c>
      <c r="EL121" t="s">
        <v>1528</v>
      </c>
      <c r="EM121">
        <v>12</v>
      </c>
      <c r="EN121">
        <v>0.5</v>
      </c>
      <c r="EO121">
        <v>0.96</v>
      </c>
      <c r="EP121">
        <v>2272.1</v>
      </c>
      <c r="EQ121">
        <v>42069.35</v>
      </c>
      <c r="ER121">
        <v>10678.74</v>
      </c>
      <c r="ES121">
        <v>0</v>
      </c>
      <c r="ET121">
        <v>0</v>
      </c>
      <c r="EU121">
        <v>1</v>
      </c>
      <c r="EV121">
        <v>52749</v>
      </c>
      <c r="EW121">
        <v>633</v>
      </c>
      <c r="EX121" t="s">
        <v>4363</v>
      </c>
      <c r="EY121">
        <v>238</v>
      </c>
      <c r="EZ121" t="s">
        <v>4055</v>
      </c>
      <c r="FA121">
        <v>5</v>
      </c>
      <c r="FB121">
        <v>1</v>
      </c>
      <c r="FC121">
        <v>1</v>
      </c>
      <c r="FD121">
        <v>2301</v>
      </c>
      <c r="FE121">
        <v>3001</v>
      </c>
      <c r="FF121" t="s">
        <v>4089</v>
      </c>
      <c r="FG121">
        <v>238</v>
      </c>
      <c r="FH121" t="s">
        <v>4055</v>
      </c>
      <c r="FI121">
        <v>1.6</v>
      </c>
      <c r="FJ121">
        <v>2301</v>
      </c>
      <c r="FK121">
        <v>892</v>
      </c>
      <c r="FL121" t="s">
        <v>4069</v>
      </c>
      <c r="FM121" t="s">
        <v>4055</v>
      </c>
      <c r="FN121" t="s">
        <v>4055</v>
      </c>
      <c r="FO121" t="s">
        <v>4055</v>
      </c>
      <c r="FP121">
        <v>2301</v>
      </c>
      <c r="FQ121">
        <v>160</v>
      </c>
      <c r="FR121" t="s">
        <v>4090</v>
      </c>
      <c r="FS121">
        <v>242</v>
      </c>
      <c r="FT121" t="s">
        <v>4055</v>
      </c>
      <c r="FU121">
        <v>0.4</v>
      </c>
      <c r="FV121">
        <v>2301</v>
      </c>
      <c r="FW121">
        <v>248</v>
      </c>
      <c r="FX121" t="s">
        <v>4070</v>
      </c>
      <c r="FY121">
        <v>5</v>
      </c>
      <c r="FZ121" t="s">
        <v>4055</v>
      </c>
      <c r="GA121" t="s">
        <v>4055</v>
      </c>
      <c r="GB121">
        <v>2301</v>
      </c>
      <c r="GC121">
        <v>19</v>
      </c>
      <c r="GD121">
        <v>4320</v>
      </c>
      <c r="GE121" t="s">
        <v>4544</v>
      </c>
      <c r="GF121" t="s">
        <v>4055</v>
      </c>
      <c r="GG121" t="s">
        <v>4055</v>
      </c>
      <c r="GH121" t="s">
        <v>4055</v>
      </c>
      <c r="GI121" t="s">
        <v>4071</v>
      </c>
      <c r="GJ121" t="s">
        <v>4055</v>
      </c>
      <c r="GK121" t="s">
        <v>4055</v>
      </c>
      <c r="GL121" t="s">
        <v>4055</v>
      </c>
      <c r="GM121" t="s">
        <v>4055</v>
      </c>
      <c r="GQ121">
        <v>0</v>
      </c>
      <c r="GV121">
        <v>7</v>
      </c>
      <c r="GW121">
        <v>8.5</v>
      </c>
      <c r="GX121">
        <v>0.5</v>
      </c>
      <c r="GY121">
        <v>210</v>
      </c>
      <c r="GZ121">
        <v>3</v>
      </c>
      <c r="HA121">
        <v>258</v>
      </c>
      <c r="HB121">
        <v>3</v>
      </c>
      <c r="HC121">
        <v>2301</v>
      </c>
      <c r="HD121">
        <v>4</v>
      </c>
      <c r="HE121" t="s">
        <v>4071</v>
      </c>
      <c r="HG121" t="s">
        <v>549</v>
      </c>
      <c r="HL121">
        <v>4</v>
      </c>
      <c r="HM121">
        <v>20</v>
      </c>
      <c r="HN121">
        <v>6</v>
      </c>
      <c r="HO121">
        <v>1</v>
      </c>
      <c r="HP121">
        <v>0</v>
      </c>
      <c r="HQ121">
        <v>0</v>
      </c>
      <c r="HR121">
        <v>1</v>
      </c>
      <c r="HS121">
        <v>2255</v>
      </c>
      <c r="HT121">
        <v>5</v>
      </c>
      <c r="HU121">
        <v>1</v>
      </c>
      <c r="HV121">
        <v>3</v>
      </c>
      <c r="HW121">
        <v>0</v>
      </c>
      <c r="HX121">
        <v>1</v>
      </c>
      <c r="HY121">
        <v>0</v>
      </c>
      <c r="HZ121">
        <v>65</v>
      </c>
      <c r="IA121">
        <v>2259</v>
      </c>
      <c r="IB121">
        <v>2273</v>
      </c>
      <c r="ID121">
        <v>2301</v>
      </c>
      <c r="IE121">
        <v>2301</v>
      </c>
      <c r="IF121">
        <v>220</v>
      </c>
      <c r="IG121">
        <v>210</v>
      </c>
      <c r="IH121">
        <v>258</v>
      </c>
      <c r="II121">
        <v>1</v>
      </c>
      <c r="IJ121">
        <v>5</v>
      </c>
      <c r="IK121">
        <v>0</v>
      </c>
      <c r="IL121">
        <v>0</v>
      </c>
      <c r="IM121">
        <v>0</v>
      </c>
      <c r="IN121">
        <v>270</v>
      </c>
      <c r="IO121">
        <v>0</v>
      </c>
      <c r="IP121">
        <v>180</v>
      </c>
      <c r="IQ121">
        <v>0</v>
      </c>
      <c r="IR121">
        <v>330</v>
      </c>
      <c r="IS121">
        <v>0</v>
      </c>
      <c r="IT121">
        <v>90</v>
      </c>
      <c r="IU121">
        <v>0</v>
      </c>
      <c r="IV121">
        <v>6.4</v>
      </c>
      <c r="IW121">
        <v>-6</v>
      </c>
      <c r="IX121">
        <v>112.5</v>
      </c>
      <c r="IY121">
        <v>82.5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428</v>
      </c>
      <c r="JJ121">
        <v>398</v>
      </c>
      <c r="JK121">
        <v>280</v>
      </c>
      <c r="JL121">
        <v>396</v>
      </c>
      <c r="JM121">
        <v>330</v>
      </c>
      <c r="JN121">
        <v>220</v>
      </c>
      <c r="JO121">
        <v>268</v>
      </c>
      <c r="JP121">
        <v>195</v>
      </c>
      <c r="JQ121">
        <v>235</v>
      </c>
      <c r="JR121">
        <v>300</v>
      </c>
      <c r="JS121">
        <v>265</v>
      </c>
      <c r="JT121">
        <v>0</v>
      </c>
      <c r="JU121">
        <v>0</v>
      </c>
      <c r="JV121">
        <v>300</v>
      </c>
      <c r="JW121">
        <v>270</v>
      </c>
      <c r="JX121">
        <v>0</v>
      </c>
      <c r="JY121">
        <v>0</v>
      </c>
      <c r="JZ121">
        <v>0</v>
      </c>
      <c r="KA121">
        <v>0.2</v>
      </c>
      <c r="KB121">
        <v>0.4</v>
      </c>
      <c r="KC121">
        <v>0.42</v>
      </c>
      <c r="KD121">
        <v>0.3</v>
      </c>
      <c r="KE121">
        <v>0.7</v>
      </c>
      <c r="KF121">
        <v>0.18</v>
      </c>
      <c r="KG121">
        <v>0.12</v>
      </c>
      <c r="KH121">
        <v>3.5</v>
      </c>
      <c r="KI121">
        <v>1</v>
      </c>
      <c r="KJ121">
        <v>4.5</v>
      </c>
      <c r="KK121">
        <v>0</v>
      </c>
      <c r="KL121">
        <v>4.5</v>
      </c>
      <c r="KM121">
        <v>0.5</v>
      </c>
      <c r="KN121">
        <v>1.8</v>
      </c>
      <c r="KO121">
        <v>1</v>
      </c>
      <c r="KP121">
        <v>0</v>
      </c>
      <c r="KQ121">
        <v>0.7</v>
      </c>
      <c r="KR121">
        <v>0.7</v>
      </c>
      <c r="KS121">
        <v>0</v>
      </c>
      <c r="KT121">
        <v>3</v>
      </c>
      <c r="KU121">
        <v>0</v>
      </c>
      <c r="KV121">
        <v>0</v>
      </c>
      <c r="KW121">
        <v>1.2</v>
      </c>
      <c r="KX121">
        <v>1</v>
      </c>
      <c r="KY121">
        <v>1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3</v>
      </c>
      <c r="LI121">
        <v>0</v>
      </c>
      <c r="LJ121">
        <v>0</v>
      </c>
      <c r="LK121">
        <v>11</v>
      </c>
      <c r="LL121">
        <v>9</v>
      </c>
      <c r="LM121">
        <v>13</v>
      </c>
      <c r="LN121">
        <v>3</v>
      </c>
      <c r="LO121">
        <v>0.1</v>
      </c>
      <c r="LP121">
        <v>0</v>
      </c>
      <c r="LQ121">
        <v>0</v>
      </c>
      <c r="LR121">
        <v>0</v>
      </c>
      <c r="LS121">
        <v>1</v>
      </c>
      <c r="LT121">
        <v>520</v>
      </c>
      <c r="LU121">
        <v>0</v>
      </c>
      <c r="LV121">
        <v>0</v>
      </c>
      <c r="LW121">
        <v>1.8</v>
      </c>
      <c r="LX121">
        <v>1.8</v>
      </c>
      <c r="LY121">
        <v>2</v>
      </c>
      <c r="LZ121">
        <v>2</v>
      </c>
      <c r="MA121">
        <v>0</v>
      </c>
      <c r="MB121">
        <v>5</v>
      </c>
      <c r="MC121">
        <v>0</v>
      </c>
      <c r="MD121">
        <v>4.5</v>
      </c>
      <c r="ME121">
        <v>6</v>
      </c>
      <c r="MF121">
        <v>6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452</v>
      </c>
      <c r="MN121">
        <v>225</v>
      </c>
      <c r="MO121">
        <v>280</v>
      </c>
      <c r="NU121">
        <v>0.15</v>
      </c>
      <c r="NV121">
        <v>0.2</v>
      </c>
      <c r="NW121">
        <v>0.2</v>
      </c>
      <c r="NX121">
        <v>0.2</v>
      </c>
      <c r="NY121">
        <v>0.2</v>
      </c>
      <c r="NZ121">
        <v>0.2</v>
      </c>
      <c r="OE121" t="s">
        <v>4544</v>
      </c>
      <c r="OF121" t="s">
        <v>4542</v>
      </c>
      <c r="OG121" t="s">
        <v>4543</v>
      </c>
      <c r="OH121" t="s">
        <v>4043</v>
      </c>
      <c r="OI121" t="s">
        <v>4544</v>
      </c>
      <c r="OJ121" t="s">
        <v>4541</v>
      </c>
      <c r="OK121">
        <v>61</v>
      </c>
      <c r="OL121">
        <v>61</v>
      </c>
      <c r="OM121" t="s">
        <v>4542</v>
      </c>
      <c r="ON121">
        <v>1</v>
      </c>
      <c r="OO121">
        <v>2259</v>
      </c>
      <c r="OP121">
        <v>61</v>
      </c>
      <c r="OQ121">
        <v>61</v>
      </c>
      <c r="OR121" t="s">
        <v>4543</v>
      </c>
      <c r="OS121">
        <v>1</v>
      </c>
      <c r="OT121">
        <v>2273</v>
      </c>
      <c r="OU121">
        <v>65</v>
      </c>
      <c r="OV121">
        <v>65</v>
      </c>
      <c r="OW121" t="s">
        <v>4043</v>
      </c>
      <c r="OX121">
        <v>2</v>
      </c>
      <c r="OY121">
        <v>52749</v>
      </c>
      <c r="OZ121">
        <v>51</v>
      </c>
      <c r="PA121">
        <v>51</v>
      </c>
      <c r="PB121" t="s">
        <v>4544</v>
      </c>
      <c r="PC121">
        <v>1</v>
      </c>
      <c r="PD121">
        <v>2301</v>
      </c>
      <c r="PF121">
        <v>554</v>
      </c>
      <c r="PG121">
        <v>35</v>
      </c>
      <c r="PH121">
        <v>529</v>
      </c>
      <c r="PI121">
        <v>0</v>
      </c>
      <c r="PJ121">
        <v>69.5</v>
      </c>
      <c r="PK121">
        <v>1860</v>
      </c>
      <c r="PL121">
        <v>1304</v>
      </c>
      <c r="PM121">
        <v>387.8</v>
      </c>
      <c r="PN121">
        <v>107.7</v>
      </c>
      <c r="PO121">
        <v>8.1</v>
      </c>
      <c r="PP121">
        <v>12</v>
      </c>
      <c r="PQ121">
        <v>4</v>
      </c>
      <c r="PR121">
        <v>4</v>
      </c>
      <c r="PS121">
        <v>0</v>
      </c>
      <c r="PT121">
        <v>258</v>
      </c>
      <c r="PU121">
        <v>10</v>
      </c>
      <c r="PV121" t="s">
        <v>4072</v>
      </c>
      <c r="PW121" t="s">
        <v>4072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-1</v>
      </c>
      <c r="QF121">
        <v>1</v>
      </c>
      <c r="QG121">
        <v>0</v>
      </c>
      <c r="QH121">
        <v>5</v>
      </c>
      <c r="QI121">
        <v>5</v>
      </c>
      <c r="QJ121">
        <v>5</v>
      </c>
      <c r="QK121">
        <v>230</v>
      </c>
      <c r="QL121">
        <v>458</v>
      </c>
      <c r="QM121">
        <v>9.4</v>
      </c>
      <c r="QN121">
        <v>1623.8</v>
      </c>
      <c r="QO121" t="s">
        <v>1888</v>
      </c>
      <c r="QP121" t="s">
        <v>513</v>
      </c>
      <c r="QQ121">
        <v>0</v>
      </c>
      <c r="QR121" t="s">
        <v>596</v>
      </c>
      <c r="QS121">
        <v>40</v>
      </c>
      <c r="QT121">
        <v>50</v>
      </c>
    </row>
    <row r="122" spans="1:462">
      <c r="A122" t="s">
        <v>2022</v>
      </c>
      <c r="B122" t="s">
        <v>657</v>
      </c>
      <c r="C122" t="s">
        <v>509</v>
      </c>
      <c r="D122" t="s">
        <v>603</v>
      </c>
      <c r="E122" t="s">
        <v>4036</v>
      </c>
      <c r="H122" t="s">
        <v>604</v>
      </c>
      <c r="I122" t="s">
        <v>605</v>
      </c>
      <c r="K122" t="s">
        <v>606</v>
      </c>
      <c r="L122" t="s">
        <v>559</v>
      </c>
      <c r="M122" t="s">
        <v>512</v>
      </c>
      <c r="O122" t="s">
        <v>513</v>
      </c>
      <c r="P122" t="s">
        <v>567</v>
      </c>
      <c r="Q122" t="s">
        <v>1553</v>
      </c>
      <c r="R122" t="s">
        <v>1554</v>
      </c>
      <c r="S122" t="s">
        <v>4170</v>
      </c>
      <c r="T122" t="s">
        <v>1482</v>
      </c>
      <c r="U122" t="s">
        <v>1483</v>
      </c>
      <c r="V122" t="s">
        <v>2023</v>
      </c>
      <c r="W122" t="s">
        <v>1880</v>
      </c>
      <c r="X122" t="s">
        <v>2024</v>
      </c>
      <c r="Y122" t="s">
        <v>2025</v>
      </c>
      <c r="Z122" t="s">
        <v>541</v>
      </c>
      <c r="AA122" t="s">
        <v>4038</v>
      </c>
      <c r="AB122" t="s">
        <v>4545</v>
      </c>
      <c r="AC122">
        <v>9</v>
      </c>
      <c r="AD122" t="s">
        <v>2021</v>
      </c>
      <c r="AE122">
        <v>7</v>
      </c>
      <c r="AF122">
        <v>3167</v>
      </c>
      <c r="AG122" t="s">
        <v>4488</v>
      </c>
      <c r="AH122">
        <v>1</v>
      </c>
      <c r="AI122" t="s">
        <v>4041</v>
      </c>
      <c r="AK122" t="s">
        <v>4489</v>
      </c>
      <c r="AL122">
        <v>1</v>
      </c>
      <c r="AM122" t="s">
        <v>582</v>
      </c>
      <c r="AO122" t="s">
        <v>4353</v>
      </c>
      <c r="AP122">
        <v>1</v>
      </c>
      <c r="AR122" t="s">
        <v>4546</v>
      </c>
      <c r="AS122">
        <v>1</v>
      </c>
      <c r="AT122">
        <v>52</v>
      </c>
      <c r="AV122" t="s">
        <v>4045</v>
      </c>
      <c r="AW122">
        <v>6.4</v>
      </c>
      <c r="AX122">
        <v>-6</v>
      </c>
      <c r="AY122">
        <v>78</v>
      </c>
      <c r="AZ122">
        <v>69</v>
      </c>
      <c r="BH122">
        <v>78</v>
      </c>
      <c r="BI122">
        <v>9</v>
      </c>
      <c r="BJ122">
        <v>69</v>
      </c>
      <c r="BK122">
        <v>3</v>
      </c>
      <c r="BL122">
        <v>156</v>
      </c>
      <c r="BM122">
        <v>-6</v>
      </c>
      <c r="BN122">
        <v>0</v>
      </c>
      <c r="BP122">
        <v>0</v>
      </c>
      <c r="BR122">
        <v>150</v>
      </c>
      <c r="BS122">
        <v>140</v>
      </c>
      <c r="BT122">
        <v>1770</v>
      </c>
      <c r="BU122" t="s">
        <v>4046</v>
      </c>
      <c r="BV122" t="s">
        <v>4046</v>
      </c>
      <c r="BW122" t="s">
        <v>4048</v>
      </c>
      <c r="BX122" t="s">
        <v>4048</v>
      </c>
      <c r="BY122" t="s">
        <v>4369</v>
      </c>
      <c r="BZ122" t="s">
        <v>4369</v>
      </c>
      <c r="CA122" t="s">
        <v>4370</v>
      </c>
      <c r="CB122" t="s">
        <v>4371</v>
      </c>
      <c r="CC122" t="s">
        <v>4053</v>
      </c>
      <c r="CD122" t="s">
        <v>4372</v>
      </c>
      <c r="CE122" t="s">
        <v>4055</v>
      </c>
      <c r="CF122" t="s">
        <v>4055</v>
      </c>
      <c r="CG122" t="s">
        <v>4056</v>
      </c>
      <c r="CH122" t="s">
        <v>4145</v>
      </c>
      <c r="CI122" t="s">
        <v>4058</v>
      </c>
      <c r="CJ122" t="s">
        <v>4059</v>
      </c>
      <c r="CK122" t="s">
        <v>4060</v>
      </c>
      <c r="CL122" t="s">
        <v>4061</v>
      </c>
      <c r="CM122" t="s">
        <v>4062</v>
      </c>
      <c r="CN122" t="s">
        <v>4055</v>
      </c>
      <c r="CO122" t="s">
        <v>4063</v>
      </c>
      <c r="CP122" t="s">
        <v>4055</v>
      </c>
      <c r="CQ122" t="s">
        <v>4055</v>
      </c>
      <c r="CR122">
        <v>5</v>
      </c>
      <c r="CS122" t="s">
        <v>4055</v>
      </c>
      <c r="CT122" t="s">
        <v>4055</v>
      </c>
      <c r="CU122" t="s">
        <v>4055</v>
      </c>
      <c r="CV122">
        <v>99</v>
      </c>
      <c r="CW122">
        <v>3</v>
      </c>
      <c r="CX122">
        <v>59</v>
      </c>
      <c r="CY122">
        <v>5</v>
      </c>
      <c r="CZ122">
        <v>53</v>
      </c>
      <c r="DA122">
        <v>5</v>
      </c>
      <c r="DB122">
        <v>6930</v>
      </c>
      <c r="DC122">
        <v>200</v>
      </c>
      <c r="DD122">
        <v>271</v>
      </c>
      <c r="DE122">
        <v>1859</v>
      </c>
      <c r="DF122">
        <v>1859</v>
      </c>
      <c r="DG122">
        <v>1868</v>
      </c>
      <c r="DH122" t="s">
        <v>4055</v>
      </c>
      <c r="DI122" t="s">
        <v>4055</v>
      </c>
      <c r="DJ122" t="s">
        <v>4100</v>
      </c>
      <c r="DK122">
        <v>150</v>
      </c>
      <c r="DL122" t="s">
        <v>4101</v>
      </c>
      <c r="DM122">
        <v>63</v>
      </c>
      <c r="DN122">
        <v>0.84</v>
      </c>
      <c r="DO122">
        <v>1</v>
      </c>
      <c r="DP122">
        <v>1773</v>
      </c>
      <c r="DQ122">
        <v>486</v>
      </c>
      <c r="DR122" t="s">
        <v>4100</v>
      </c>
      <c r="DS122">
        <v>140</v>
      </c>
      <c r="DT122" t="s">
        <v>4101</v>
      </c>
      <c r="DU122">
        <v>63</v>
      </c>
      <c r="DV122">
        <v>0.84</v>
      </c>
      <c r="DW122">
        <v>1</v>
      </c>
      <c r="DX122">
        <v>1780</v>
      </c>
      <c r="DY122">
        <v>456</v>
      </c>
      <c r="DZ122" t="s">
        <v>4066</v>
      </c>
      <c r="EA122">
        <v>33</v>
      </c>
      <c r="EB122" t="s">
        <v>4065</v>
      </c>
      <c r="EC122">
        <v>0.4</v>
      </c>
      <c r="ED122">
        <v>1773</v>
      </c>
      <c r="EE122">
        <v>51</v>
      </c>
      <c r="EF122" t="s">
        <v>4066</v>
      </c>
      <c r="EG122">
        <v>33</v>
      </c>
      <c r="EH122" t="s">
        <v>4065</v>
      </c>
      <c r="EI122">
        <v>0.4</v>
      </c>
      <c r="EJ122">
        <v>1780</v>
      </c>
      <c r="EK122">
        <v>52</v>
      </c>
      <c r="EL122" t="s">
        <v>4362</v>
      </c>
      <c r="EM122">
        <v>12</v>
      </c>
      <c r="EN122">
        <v>0.5</v>
      </c>
      <c r="EO122">
        <v>0.77</v>
      </c>
      <c r="EP122">
        <v>1780.56</v>
      </c>
      <c r="EQ122">
        <v>23369.85</v>
      </c>
      <c r="ER122">
        <v>2510.72</v>
      </c>
      <c r="ES122">
        <v>0</v>
      </c>
      <c r="ET122">
        <v>0</v>
      </c>
      <c r="EU122">
        <v>1</v>
      </c>
      <c r="EV122">
        <v>25881</v>
      </c>
      <c r="EW122">
        <v>259</v>
      </c>
      <c r="EX122" t="s">
        <v>4363</v>
      </c>
      <c r="EY122">
        <v>166</v>
      </c>
      <c r="EZ122" t="s">
        <v>4055</v>
      </c>
      <c r="FA122">
        <v>5.8</v>
      </c>
      <c r="FB122">
        <v>1</v>
      </c>
      <c r="FC122">
        <v>1</v>
      </c>
      <c r="FD122">
        <v>1809</v>
      </c>
      <c r="FE122">
        <v>1872</v>
      </c>
      <c r="FF122" t="s">
        <v>4089</v>
      </c>
      <c r="FG122">
        <v>166</v>
      </c>
      <c r="FH122" t="s">
        <v>4055</v>
      </c>
      <c r="FI122">
        <v>1.1</v>
      </c>
      <c r="FJ122">
        <v>1809</v>
      </c>
      <c r="FK122">
        <v>330</v>
      </c>
      <c r="FL122" t="s">
        <v>4069</v>
      </c>
      <c r="FM122" t="s">
        <v>4055</v>
      </c>
      <c r="FN122" t="s">
        <v>4055</v>
      </c>
      <c r="FO122" t="s">
        <v>4055</v>
      </c>
      <c r="FP122">
        <v>1809</v>
      </c>
      <c r="FQ122">
        <v>102</v>
      </c>
      <c r="FR122" t="s">
        <v>4090</v>
      </c>
      <c r="FS122">
        <v>170</v>
      </c>
      <c r="FT122" t="s">
        <v>4055</v>
      </c>
      <c r="FU122">
        <v>0.4</v>
      </c>
      <c r="FV122">
        <v>1809</v>
      </c>
      <c r="FW122">
        <v>137</v>
      </c>
      <c r="FX122" t="s">
        <v>4070</v>
      </c>
      <c r="FY122">
        <v>10</v>
      </c>
      <c r="FZ122" t="s">
        <v>4055</v>
      </c>
      <c r="GA122" t="s">
        <v>4055</v>
      </c>
      <c r="GB122">
        <v>1809</v>
      </c>
      <c r="GC122">
        <v>15</v>
      </c>
      <c r="GD122">
        <v>2456</v>
      </c>
      <c r="GE122" t="s">
        <v>4546</v>
      </c>
      <c r="GF122" t="s">
        <v>4055</v>
      </c>
      <c r="GG122" t="s">
        <v>4055</v>
      </c>
      <c r="GH122" t="s">
        <v>4055</v>
      </c>
      <c r="GI122" t="s">
        <v>4071</v>
      </c>
      <c r="GJ122" t="s">
        <v>4055</v>
      </c>
      <c r="GK122" t="s">
        <v>4055</v>
      </c>
      <c r="GL122" t="s">
        <v>4055</v>
      </c>
      <c r="GM122" t="s">
        <v>4055</v>
      </c>
      <c r="GQ122">
        <v>0</v>
      </c>
      <c r="GV122">
        <v>7.3</v>
      </c>
      <c r="GW122">
        <v>8.1</v>
      </c>
      <c r="GX122">
        <v>0.5</v>
      </c>
      <c r="GY122">
        <v>136</v>
      </c>
      <c r="GZ122">
        <v>3</v>
      </c>
      <c r="HA122">
        <v>182</v>
      </c>
      <c r="HB122">
        <v>3</v>
      </c>
      <c r="HC122">
        <v>1809</v>
      </c>
      <c r="HD122">
        <v>4</v>
      </c>
      <c r="HE122" t="s">
        <v>4071</v>
      </c>
      <c r="HG122" t="s">
        <v>549</v>
      </c>
      <c r="HL122">
        <v>4</v>
      </c>
      <c r="HM122">
        <v>15</v>
      </c>
      <c r="HN122">
        <v>6</v>
      </c>
      <c r="HO122">
        <v>1</v>
      </c>
      <c r="HP122">
        <v>0</v>
      </c>
      <c r="HQ122">
        <v>0</v>
      </c>
      <c r="HR122">
        <v>2</v>
      </c>
      <c r="HS122">
        <v>1770</v>
      </c>
      <c r="HT122">
        <v>5</v>
      </c>
      <c r="HU122">
        <v>1</v>
      </c>
      <c r="HV122">
        <v>5</v>
      </c>
      <c r="HW122">
        <v>0</v>
      </c>
      <c r="HX122">
        <v>1</v>
      </c>
      <c r="HY122">
        <v>0</v>
      </c>
      <c r="HZ122">
        <v>63</v>
      </c>
      <c r="IA122">
        <v>1773</v>
      </c>
      <c r="IB122">
        <v>1780</v>
      </c>
      <c r="ID122">
        <v>1809</v>
      </c>
      <c r="IE122">
        <v>1809</v>
      </c>
      <c r="IF122">
        <v>150</v>
      </c>
      <c r="IG122">
        <v>140</v>
      </c>
      <c r="IH122">
        <v>182</v>
      </c>
      <c r="II122">
        <v>1</v>
      </c>
      <c r="IJ122">
        <v>5</v>
      </c>
      <c r="IK122">
        <v>0</v>
      </c>
      <c r="IL122">
        <v>2</v>
      </c>
      <c r="IM122">
        <v>0</v>
      </c>
      <c r="IN122">
        <v>270</v>
      </c>
      <c r="IO122">
        <v>0</v>
      </c>
      <c r="IP122">
        <v>180</v>
      </c>
      <c r="IQ122">
        <v>0</v>
      </c>
      <c r="IR122">
        <v>330</v>
      </c>
      <c r="IS122">
        <v>0</v>
      </c>
      <c r="IT122">
        <v>90</v>
      </c>
      <c r="IU122">
        <v>0</v>
      </c>
      <c r="IV122">
        <v>6.4</v>
      </c>
      <c r="IW122">
        <v>-6</v>
      </c>
      <c r="IX122">
        <v>78</v>
      </c>
      <c r="IY122">
        <v>69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320</v>
      </c>
      <c r="JJ122">
        <v>294</v>
      </c>
      <c r="JK122">
        <v>227</v>
      </c>
      <c r="JL122">
        <v>290</v>
      </c>
      <c r="JM122">
        <v>250</v>
      </c>
      <c r="JN122">
        <v>155</v>
      </c>
      <c r="JO122">
        <v>200</v>
      </c>
      <c r="JP122">
        <v>235</v>
      </c>
      <c r="JQ122">
        <v>280</v>
      </c>
      <c r="JR122">
        <v>350</v>
      </c>
      <c r="JS122">
        <v>270</v>
      </c>
      <c r="JT122">
        <v>0</v>
      </c>
      <c r="JU122">
        <v>0</v>
      </c>
      <c r="JV122">
        <v>335</v>
      </c>
      <c r="JW122">
        <v>337</v>
      </c>
      <c r="JX122">
        <v>338</v>
      </c>
      <c r="JY122">
        <v>325</v>
      </c>
      <c r="JZ122">
        <v>2</v>
      </c>
      <c r="KA122">
        <v>0.25</v>
      </c>
      <c r="KB122">
        <v>0.4</v>
      </c>
      <c r="KC122">
        <v>0.42</v>
      </c>
      <c r="KD122">
        <v>0.28</v>
      </c>
      <c r="KE122">
        <v>0.5</v>
      </c>
      <c r="KF122">
        <v>0.18</v>
      </c>
      <c r="KG122">
        <v>0.1</v>
      </c>
      <c r="KH122">
        <v>6</v>
      </c>
      <c r="KI122">
        <v>2</v>
      </c>
      <c r="KJ122">
        <v>5</v>
      </c>
      <c r="KK122">
        <v>0</v>
      </c>
      <c r="KL122">
        <v>5</v>
      </c>
      <c r="KM122">
        <v>1</v>
      </c>
      <c r="KN122">
        <v>1.4</v>
      </c>
      <c r="KO122">
        <v>0</v>
      </c>
      <c r="KP122">
        <v>0</v>
      </c>
      <c r="KQ122">
        <v>0.8</v>
      </c>
      <c r="KR122">
        <v>1</v>
      </c>
      <c r="KS122">
        <v>0</v>
      </c>
      <c r="KT122">
        <v>1.5</v>
      </c>
      <c r="KU122">
        <v>0</v>
      </c>
      <c r="KV122">
        <v>0</v>
      </c>
      <c r="KW122">
        <v>1.2</v>
      </c>
      <c r="KX122">
        <v>2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3</v>
      </c>
      <c r="LI122">
        <v>2</v>
      </c>
      <c r="LJ122">
        <v>0</v>
      </c>
      <c r="LK122">
        <v>5</v>
      </c>
      <c r="LL122">
        <v>6</v>
      </c>
      <c r="LM122">
        <v>4</v>
      </c>
      <c r="LN122">
        <v>0.5</v>
      </c>
      <c r="LO122">
        <v>2</v>
      </c>
      <c r="LP122">
        <v>0</v>
      </c>
      <c r="LQ122">
        <v>0</v>
      </c>
      <c r="LR122">
        <v>0</v>
      </c>
      <c r="LS122">
        <v>1</v>
      </c>
      <c r="LT122">
        <v>0</v>
      </c>
      <c r="LU122">
        <v>0</v>
      </c>
      <c r="LV122">
        <v>0</v>
      </c>
      <c r="LW122">
        <v>1.4</v>
      </c>
      <c r="LX122">
        <v>1.4</v>
      </c>
      <c r="LY122">
        <v>2.1</v>
      </c>
      <c r="LZ122">
        <v>2.1</v>
      </c>
      <c r="MA122">
        <v>0</v>
      </c>
      <c r="MB122">
        <v>4</v>
      </c>
      <c r="MC122">
        <v>0</v>
      </c>
      <c r="MD122">
        <v>4.5</v>
      </c>
      <c r="ME122">
        <v>6</v>
      </c>
      <c r="MF122">
        <v>6</v>
      </c>
      <c r="MI122">
        <v>0</v>
      </c>
      <c r="MJ122">
        <v>0</v>
      </c>
      <c r="ML122">
        <v>0</v>
      </c>
      <c r="MM122">
        <v>326</v>
      </c>
      <c r="MN122">
        <v>150</v>
      </c>
      <c r="MO122">
        <v>202</v>
      </c>
      <c r="NU122">
        <v>0.15</v>
      </c>
      <c r="NV122">
        <v>0.2</v>
      </c>
      <c r="NW122">
        <v>0.2</v>
      </c>
      <c r="NX122">
        <v>2</v>
      </c>
      <c r="NY122">
        <v>2</v>
      </c>
      <c r="NZ122">
        <v>2</v>
      </c>
      <c r="OE122" t="s">
        <v>4546</v>
      </c>
      <c r="OF122" t="s">
        <v>4488</v>
      </c>
      <c r="OG122" t="s">
        <v>4489</v>
      </c>
      <c r="OH122" t="s">
        <v>4353</v>
      </c>
      <c r="OI122" t="s">
        <v>4546</v>
      </c>
      <c r="OJ122" t="s">
        <v>4545</v>
      </c>
      <c r="OK122">
        <v>61</v>
      </c>
      <c r="OL122">
        <v>61</v>
      </c>
      <c r="OM122" t="s">
        <v>4488</v>
      </c>
      <c r="ON122">
        <v>3</v>
      </c>
      <c r="OO122">
        <v>1773</v>
      </c>
      <c r="OP122">
        <v>61</v>
      </c>
      <c r="OQ122">
        <v>61</v>
      </c>
      <c r="OR122" t="s">
        <v>4489</v>
      </c>
      <c r="OS122">
        <v>3</v>
      </c>
      <c r="OT122">
        <v>1780</v>
      </c>
      <c r="OU122">
        <v>65</v>
      </c>
      <c r="OV122">
        <v>65</v>
      </c>
      <c r="OW122" t="s">
        <v>4353</v>
      </c>
      <c r="OX122">
        <v>1</v>
      </c>
      <c r="OY122">
        <v>25881</v>
      </c>
      <c r="OZ122">
        <v>51</v>
      </c>
      <c r="PA122">
        <v>52</v>
      </c>
      <c r="PB122" t="s">
        <v>4546</v>
      </c>
      <c r="PC122">
        <v>5</v>
      </c>
      <c r="PD122">
        <v>1809</v>
      </c>
      <c r="PF122">
        <v>274</v>
      </c>
      <c r="PG122">
        <v>29</v>
      </c>
      <c r="PH122">
        <v>256</v>
      </c>
      <c r="PI122">
        <v>29</v>
      </c>
      <c r="PJ122">
        <v>56.6</v>
      </c>
      <c r="PK122">
        <v>1360</v>
      </c>
      <c r="PL122">
        <v>1034.6</v>
      </c>
      <c r="PM122">
        <v>182.4</v>
      </c>
      <c r="PN122">
        <v>75.5</v>
      </c>
      <c r="PO122">
        <v>8.5</v>
      </c>
      <c r="PP122">
        <v>10</v>
      </c>
      <c r="PQ122">
        <v>2</v>
      </c>
      <c r="PR122">
        <v>2</v>
      </c>
      <c r="PS122">
        <v>6</v>
      </c>
      <c r="PT122">
        <v>182</v>
      </c>
      <c r="PU122">
        <v>8</v>
      </c>
      <c r="PV122" t="s">
        <v>4072</v>
      </c>
      <c r="PW122" t="s">
        <v>4072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-1</v>
      </c>
      <c r="QF122">
        <v>1</v>
      </c>
      <c r="QG122">
        <v>0</v>
      </c>
      <c r="QH122">
        <v>5</v>
      </c>
      <c r="QI122">
        <v>5</v>
      </c>
      <c r="QJ122">
        <v>5</v>
      </c>
      <c r="QK122">
        <v>155</v>
      </c>
      <c r="QL122">
        <v>354</v>
      </c>
      <c r="QM122">
        <v>7.5</v>
      </c>
      <c r="QN122">
        <v>1202.7</v>
      </c>
      <c r="QO122" t="s">
        <v>1888</v>
      </c>
      <c r="QP122" t="s">
        <v>513</v>
      </c>
      <c r="QQ122">
        <v>0</v>
      </c>
      <c r="QR122" t="s">
        <v>1496</v>
      </c>
      <c r="QS122">
        <v>30</v>
      </c>
      <c r="QT122">
        <v>40</v>
      </c>
    </row>
    <row r="123" spans="1:462">
      <c r="A123" t="s">
        <v>2032</v>
      </c>
      <c r="B123" t="s">
        <v>2030</v>
      </c>
      <c r="C123" t="s">
        <v>509</v>
      </c>
      <c r="D123" t="s">
        <v>1307</v>
      </c>
      <c r="E123" t="s">
        <v>4036</v>
      </c>
      <c r="H123" t="s">
        <v>604</v>
      </c>
      <c r="I123" t="s">
        <v>605</v>
      </c>
      <c r="J123" t="s">
        <v>628</v>
      </c>
      <c r="K123" t="s">
        <v>606</v>
      </c>
      <c r="L123" t="s">
        <v>2031</v>
      </c>
      <c r="M123" t="s">
        <v>512</v>
      </c>
      <c r="O123" t="s">
        <v>513</v>
      </c>
      <c r="P123" t="s">
        <v>567</v>
      </c>
      <c r="Q123" t="s">
        <v>806</v>
      </c>
      <c r="R123" t="s">
        <v>807</v>
      </c>
      <c r="S123" t="s">
        <v>4091</v>
      </c>
      <c r="T123" t="s">
        <v>520</v>
      </c>
      <c r="U123" t="s">
        <v>521</v>
      </c>
      <c r="V123" t="s">
        <v>2033</v>
      </c>
      <c r="W123" t="s">
        <v>1880</v>
      </c>
      <c r="X123" t="s">
        <v>2034</v>
      </c>
      <c r="Y123" t="s">
        <v>2035</v>
      </c>
      <c r="Z123" t="s">
        <v>541</v>
      </c>
      <c r="AA123" t="s">
        <v>4038</v>
      </c>
      <c r="AB123" t="s">
        <v>4547</v>
      </c>
      <c r="AC123">
        <v>9</v>
      </c>
      <c r="AD123" t="s">
        <v>2029</v>
      </c>
      <c r="AE123">
        <v>17</v>
      </c>
      <c r="AF123">
        <v>4505</v>
      </c>
      <c r="AG123" t="s">
        <v>4496</v>
      </c>
      <c r="AH123">
        <v>1</v>
      </c>
      <c r="AI123" t="s">
        <v>4041</v>
      </c>
      <c r="AK123" t="s">
        <v>4497</v>
      </c>
      <c r="AL123">
        <v>1</v>
      </c>
      <c r="AM123" t="s">
        <v>582</v>
      </c>
      <c r="AO123" t="s">
        <v>4043</v>
      </c>
      <c r="AP123">
        <v>1</v>
      </c>
      <c r="AR123" t="s">
        <v>4548</v>
      </c>
      <c r="AS123">
        <v>1</v>
      </c>
      <c r="AT123">
        <v>51</v>
      </c>
      <c r="AV123" t="s">
        <v>4045</v>
      </c>
      <c r="AW123">
        <v>6.4</v>
      </c>
      <c r="AX123">
        <v>-12</v>
      </c>
      <c r="AY123">
        <v>85</v>
      </c>
      <c r="AZ123">
        <v>76</v>
      </c>
      <c r="BH123">
        <v>85</v>
      </c>
      <c r="BI123">
        <v>9</v>
      </c>
      <c r="BJ123">
        <v>76</v>
      </c>
      <c r="BK123">
        <v>2.5</v>
      </c>
      <c r="BL123">
        <v>170</v>
      </c>
      <c r="BM123">
        <v>-12</v>
      </c>
      <c r="BN123">
        <v>0</v>
      </c>
      <c r="BO123">
        <v>0</v>
      </c>
      <c r="BP123">
        <v>0</v>
      </c>
      <c r="BR123">
        <v>165</v>
      </c>
      <c r="BS123">
        <v>155</v>
      </c>
      <c r="BT123">
        <v>2015</v>
      </c>
      <c r="BU123" t="s">
        <v>4096</v>
      </c>
      <c r="BV123" t="s">
        <v>4096</v>
      </c>
      <c r="BW123" t="s">
        <v>4097</v>
      </c>
      <c r="BX123" t="s">
        <v>4097</v>
      </c>
      <c r="BY123" t="s">
        <v>4098</v>
      </c>
      <c r="BZ123" t="s">
        <v>4098</v>
      </c>
      <c r="CA123" t="s">
        <v>4051</v>
      </c>
      <c r="CB123" t="s">
        <v>4052</v>
      </c>
      <c r="CC123" t="s">
        <v>4053</v>
      </c>
      <c r="CD123" t="s">
        <v>4054</v>
      </c>
      <c r="CE123" t="s">
        <v>4055</v>
      </c>
      <c r="CF123" t="s">
        <v>4055</v>
      </c>
      <c r="CG123" t="s">
        <v>4056</v>
      </c>
      <c r="CH123" t="s">
        <v>4099</v>
      </c>
      <c r="CI123" t="s">
        <v>4058</v>
      </c>
      <c r="CJ123" t="s">
        <v>4059</v>
      </c>
      <c r="CK123" t="s">
        <v>4060</v>
      </c>
      <c r="CL123" t="s">
        <v>4061</v>
      </c>
      <c r="CM123" t="s">
        <v>4062</v>
      </c>
      <c r="CN123" t="s">
        <v>4055</v>
      </c>
      <c r="CO123" t="s">
        <v>4063</v>
      </c>
      <c r="CP123" t="s">
        <v>4055</v>
      </c>
      <c r="CQ123" t="s">
        <v>4055</v>
      </c>
      <c r="CR123">
        <v>5</v>
      </c>
      <c r="CS123" t="s">
        <v>4055</v>
      </c>
      <c r="CT123" t="s">
        <v>4055</v>
      </c>
      <c r="CU123" t="s">
        <v>4055</v>
      </c>
      <c r="CV123">
        <v>112</v>
      </c>
      <c r="CW123">
        <v>3</v>
      </c>
      <c r="CX123">
        <v>69</v>
      </c>
      <c r="CY123">
        <v>5</v>
      </c>
      <c r="CZ123">
        <v>64</v>
      </c>
      <c r="DA123">
        <v>5</v>
      </c>
      <c r="DB123">
        <v>9010</v>
      </c>
      <c r="DC123">
        <v>270</v>
      </c>
      <c r="DD123">
        <v>320</v>
      </c>
      <c r="DE123">
        <v>2105</v>
      </c>
      <c r="DF123">
        <v>2105</v>
      </c>
      <c r="DG123">
        <v>2130</v>
      </c>
      <c r="DH123" t="s">
        <v>4055</v>
      </c>
      <c r="DI123" t="s">
        <v>4055</v>
      </c>
      <c r="DJ123" t="s">
        <v>4100</v>
      </c>
      <c r="DK123">
        <v>165</v>
      </c>
      <c r="DL123" t="s">
        <v>4101</v>
      </c>
      <c r="DM123">
        <v>63</v>
      </c>
      <c r="DN123">
        <v>0.84</v>
      </c>
      <c r="DO123">
        <v>1</v>
      </c>
      <c r="DP123">
        <v>2018</v>
      </c>
      <c r="DQ123">
        <v>609</v>
      </c>
      <c r="DR123" t="s">
        <v>4100</v>
      </c>
      <c r="DS123">
        <v>155</v>
      </c>
      <c r="DT123" t="s">
        <v>4101</v>
      </c>
      <c r="DU123">
        <v>63</v>
      </c>
      <c r="DV123">
        <v>0.84</v>
      </c>
      <c r="DW123">
        <v>1</v>
      </c>
      <c r="DX123">
        <v>2025</v>
      </c>
      <c r="DY123">
        <v>573</v>
      </c>
      <c r="DZ123" t="s">
        <v>4066</v>
      </c>
      <c r="EA123">
        <v>33</v>
      </c>
      <c r="EB123" t="s">
        <v>4065</v>
      </c>
      <c r="EC123">
        <v>0.4</v>
      </c>
      <c r="ED123">
        <v>2018</v>
      </c>
      <c r="EE123">
        <v>59</v>
      </c>
      <c r="EF123" t="s">
        <v>4066</v>
      </c>
      <c r="EG123">
        <v>33</v>
      </c>
      <c r="EH123" t="s">
        <v>4065</v>
      </c>
      <c r="EI123">
        <v>0.4</v>
      </c>
      <c r="EJ123">
        <v>2025</v>
      </c>
      <c r="EK123">
        <v>59</v>
      </c>
      <c r="EL123" t="s">
        <v>1528</v>
      </c>
      <c r="EM123">
        <v>12</v>
      </c>
      <c r="EN123">
        <v>0.5</v>
      </c>
      <c r="EO123">
        <v>0.96</v>
      </c>
      <c r="EP123">
        <v>2025.56</v>
      </c>
      <c r="EQ123">
        <v>30699.89</v>
      </c>
      <c r="ER123">
        <v>2856.93</v>
      </c>
      <c r="ES123">
        <v>0</v>
      </c>
      <c r="ET123">
        <v>0</v>
      </c>
      <c r="EU123">
        <v>1</v>
      </c>
      <c r="EV123">
        <v>33557</v>
      </c>
      <c r="EW123">
        <v>403</v>
      </c>
      <c r="EX123" t="s">
        <v>4363</v>
      </c>
      <c r="EY123">
        <v>194</v>
      </c>
      <c r="EZ123" t="s">
        <v>4055</v>
      </c>
      <c r="FA123">
        <v>4.5</v>
      </c>
      <c r="FB123">
        <v>1</v>
      </c>
      <c r="FC123">
        <v>1</v>
      </c>
      <c r="FD123">
        <v>2051</v>
      </c>
      <c r="FE123">
        <v>2048</v>
      </c>
      <c r="FF123" t="s">
        <v>4089</v>
      </c>
      <c r="FG123">
        <v>194</v>
      </c>
      <c r="FH123" t="s">
        <v>4055</v>
      </c>
      <c r="FI123">
        <v>1.1</v>
      </c>
      <c r="FJ123">
        <v>2051</v>
      </c>
      <c r="FK123">
        <v>449</v>
      </c>
      <c r="FL123" t="s">
        <v>4069</v>
      </c>
      <c r="FM123" t="s">
        <v>4055</v>
      </c>
      <c r="FN123" t="s">
        <v>4055</v>
      </c>
      <c r="FO123" t="s">
        <v>4055</v>
      </c>
      <c r="FP123">
        <v>2051</v>
      </c>
      <c r="FQ123">
        <v>104</v>
      </c>
      <c r="FR123" t="s">
        <v>4090</v>
      </c>
      <c r="FS123">
        <v>198</v>
      </c>
      <c r="FT123" t="s">
        <v>4055</v>
      </c>
      <c r="FU123">
        <v>0.4</v>
      </c>
      <c r="FV123">
        <v>2051</v>
      </c>
      <c r="FW123">
        <v>180</v>
      </c>
      <c r="FX123" t="s">
        <v>4070</v>
      </c>
      <c r="FY123">
        <v>5</v>
      </c>
      <c r="FZ123" t="s">
        <v>4055</v>
      </c>
      <c r="GA123" t="s">
        <v>4055</v>
      </c>
      <c r="GB123">
        <v>2051</v>
      </c>
      <c r="GC123">
        <v>14</v>
      </c>
      <c r="GD123">
        <v>2795</v>
      </c>
      <c r="GE123" t="s">
        <v>4548</v>
      </c>
      <c r="GF123" t="s">
        <v>4055</v>
      </c>
      <c r="GG123" t="s">
        <v>4055</v>
      </c>
      <c r="GH123" t="s">
        <v>4055</v>
      </c>
      <c r="GI123" t="s">
        <v>4071</v>
      </c>
      <c r="GJ123" t="s">
        <v>4055</v>
      </c>
      <c r="GK123" t="s">
        <v>4055</v>
      </c>
      <c r="GL123" t="s">
        <v>4055</v>
      </c>
      <c r="GM123" t="s">
        <v>4055</v>
      </c>
      <c r="GQ123">
        <v>0</v>
      </c>
      <c r="GV123">
        <v>6</v>
      </c>
      <c r="GW123">
        <v>7.7</v>
      </c>
      <c r="GX123">
        <v>0.5</v>
      </c>
      <c r="GY123">
        <v>152</v>
      </c>
      <c r="GZ123">
        <v>3</v>
      </c>
      <c r="HA123">
        <v>212</v>
      </c>
      <c r="HB123">
        <v>3</v>
      </c>
      <c r="HC123">
        <v>2051</v>
      </c>
      <c r="HD123">
        <v>4</v>
      </c>
      <c r="HE123" t="s">
        <v>4071</v>
      </c>
      <c r="HG123" t="s">
        <v>549</v>
      </c>
      <c r="HL123">
        <v>4</v>
      </c>
      <c r="HM123">
        <v>16</v>
      </c>
      <c r="HN123">
        <v>6</v>
      </c>
      <c r="HO123">
        <v>1</v>
      </c>
      <c r="HP123">
        <v>0</v>
      </c>
      <c r="HQ123">
        <v>0</v>
      </c>
      <c r="HR123">
        <v>1</v>
      </c>
      <c r="HS123">
        <v>2015</v>
      </c>
      <c r="HT123">
        <v>5.5</v>
      </c>
      <c r="HU123">
        <v>1</v>
      </c>
      <c r="HV123">
        <v>5</v>
      </c>
      <c r="HW123">
        <v>0</v>
      </c>
      <c r="HX123">
        <v>1</v>
      </c>
      <c r="HY123">
        <v>0</v>
      </c>
      <c r="HZ123">
        <v>63</v>
      </c>
      <c r="IA123">
        <v>2018</v>
      </c>
      <c r="IB123">
        <v>2025</v>
      </c>
      <c r="ID123">
        <v>2051</v>
      </c>
      <c r="IE123">
        <v>2051</v>
      </c>
      <c r="IF123">
        <v>165</v>
      </c>
      <c r="IG123">
        <v>155</v>
      </c>
      <c r="IH123">
        <v>212</v>
      </c>
      <c r="II123">
        <v>1</v>
      </c>
      <c r="IJ123">
        <v>5</v>
      </c>
      <c r="IK123">
        <v>0</v>
      </c>
      <c r="IL123">
        <v>0</v>
      </c>
      <c r="IM123">
        <v>0</v>
      </c>
      <c r="IN123">
        <v>270</v>
      </c>
      <c r="IO123">
        <v>0</v>
      </c>
      <c r="IP123">
        <v>180</v>
      </c>
      <c r="IQ123">
        <v>0</v>
      </c>
      <c r="IR123">
        <v>310</v>
      </c>
      <c r="IS123">
        <v>0</v>
      </c>
      <c r="IT123">
        <v>90</v>
      </c>
      <c r="IU123">
        <v>0</v>
      </c>
      <c r="IV123">
        <v>6.4</v>
      </c>
      <c r="IW123">
        <v>-12</v>
      </c>
      <c r="IX123">
        <v>85</v>
      </c>
      <c r="IY123">
        <v>76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396</v>
      </c>
      <c r="JJ123">
        <v>372</v>
      </c>
      <c r="JK123">
        <v>290</v>
      </c>
      <c r="JL123">
        <v>370</v>
      </c>
      <c r="JM123">
        <v>286</v>
      </c>
      <c r="JN123">
        <v>174</v>
      </c>
      <c r="JO123">
        <v>218</v>
      </c>
      <c r="JP123">
        <v>195</v>
      </c>
      <c r="JQ123">
        <v>242</v>
      </c>
      <c r="JR123">
        <v>340</v>
      </c>
      <c r="JS123">
        <v>248</v>
      </c>
      <c r="JT123">
        <v>0</v>
      </c>
      <c r="JU123">
        <v>0</v>
      </c>
      <c r="JV123">
        <v>335</v>
      </c>
      <c r="JW123">
        <v>337</v>
      </c>
      <c r="JX123">
        <v>337</v>
      </c>
      <c r="JY123">
        <v>300</v>
      </c>
      <c r="JZ123">
        <v>0</v>
      </c>
      <c r="KA123">
        <v>0.2</v>
      </c>
      <c r="KB123">
        <v>0.4</v>
      </c>
      <c r="KC123">
        <v>0.35</v>
      </c>
      <c r="KD123">
        <v>0.28</v>
      </c>
      <c r="KE123">
        <v>0.7</v>
      </c>
      <c r="KF123">
        <v>0.16</v>
      </c>
      <c r="KG123">
        <v>0.1</v>
      </c>
      <c r="KH123">
        <v>6</v>
      </c>
      <c r="KI123">
        <v>1</v>
      </c>
      <c r="KJ123">
        <v>5</v>
      </c>
      <c r="KK123">
        <v>1</v>
      </c>
      <c r="KL123">
        <v>5</v>
      </c>
      <c r="KM123">
        <v>1</v>
      </c>
      <c r="KN123">
        <v>1.5</v>
      </c>
      <c r="KO123">
        <v>0</v>
      </c>
      <c r="KP123">
        <v>0</v>
      </c>
      <c r="KQ123">
        <v>1</v>
      </c>
      <c r="KR123">
        <v>1.5</v>
      </c>
      <c r="KS123">
        <v>0</v>
      </c>
      <c r="KT123">
        <v>2.8</v>
      </c>
      <c r="KU123">
        <v>0</v>
      </c>
      <c r="KV123">
        <v>0</v>
      </c>
      <c r="KW123">
        <v>1.2</v>
      </c>
      <c r="KX123">
        <v>2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3</v>
      </c>
      <c r="LI123">
        <v>0</v>
      </c>
      <c r="LJ123">
        <v>0</v>
      </c>
      <c r="LK123">
        <v>7.5</v>
      </c>
      <c r="LL123">
        <v>7</v>
      </c>
      <c r="LM123">
        <v>10</v>
      </c>
      <c r="LN123">
        <v>0.1</v>
      </c>
      <c r="LO123">
        <v>0.1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1.6</v>
      </c>
      <c r="LX123">
        <v>1.6</v>
      </c>
      <c r="LY123">
        <v>2.1</v>
      </c>
      <c r="LZ123">
        <v>2.1</v>
      </c>
      <c r="MA123">
        <v>0</v>
      </c>
      <c r="MB123">
        <v>8</v>
      </c>
      <c r="MC123">
        <v>0</v>
      </c>
      <c r="MD123">
        <v>7.5</v>
      </c>
      <c r="ME123">
        <v>8</v>
      </c>
      <c r="MF123">
        <v>8</v>
      </c>
      <c r="MI123">
        <v>0</v>
      </c>
      <c r="MJ123">
        <v>0</v>
      </c>
      <c r="ML123">
        <v>0</v>
      </c>
      <c r="MM123">
        <v>420</v>
      </c>
      <c r="MN123">
        <v>175</v>
      </c>
      <c r="MO123">
        <v>216</v>
      </c>
      <c r="NU123">
        <v>0.15</v>
      </c>
      <c r="NV123">
        <v>0.3</v>
      </c>
      <c r="NW123">
        <v>0.3</v>
      </c>
      <c r="NX123">
        <v>3</v>
      </c>
      <c r="NY123">
        <v>3</v>
      </c>
      <c r="NZ123">
        <v>2</v>
      </c>
      <c r="OE123" t="s">
        <v>4548</v>
      </c>
      <c r="OF123" t="s">
        <v>4496</v>
      </c>
      <c r="OG123" t="s">
        <v>4497</v>
      </c>
      <c r="OH123" t="s">
        <v>4043</v>
      </c>
      <c r="OI123" t="s">
        <v>4548</v>
      </c>
      <c r="OJ123" t="s">
        <v>4547</v>
      </c>
      <c r="OK123">
        <v>61</v>
      </c>
      <c r="OL123">
        <v>61</v>
      </c>
      <c r="OM123" t="s">
        <v>4496</v>
      </c>
      <c r="ON123">
        <v>3</v>
      </c>
      <c r="OO123">
        <v>2018</v>
      </c>
      <c r="OP123">
        <v>61</v>
      </c>
      <c r="OQ123">
        <v>61</v>
      </c>
      <c r="OR123" t="s">
        <v>4497</v>
      </c>
      <c r="OS123">
        <v>3</v>
      </c>
      <c r="OT123">
        <v>2025</v>
      </c>
      <c r="OU123">
        <v>65</v>
      </c>
      <c r="OV123">
        <v>65</v>
      </c>
      <c r="OW123" t="s">
        <v>4043</v>
      </c>
      <c r="OX123">
        <v>2</v>
      </c>
      <c r="OY123">
        <v>33557</v>
      </c>
      <c r="OZ123">
        <v>51</v>
      </c>
      <c r="PA123">
        <v>51</v>
      </c>
      <c r="PB123" t="s">
        <v>4548</v>
      </c>
      <c r="PC123">
        <v>2</v>
      </c>
      <c r="PD123">
        <v>2051</v>
      </c>
      <c r="PF123">
        <v>302</v>
      </c>
      <c r="PG123">
        <v>29</v>
      </c>
      <c r="PH123">
        <v>283</v>
      </c>
      <c r="PI123">
        <v>29</v>
      </c>
      <c r="PJ123">
        <v>50.5</v>
      </c>
      <c r="PK123">
        <v>1340</v>
      </c>
      <c r="PL123">
        <v>998.7</v>
      </c>
      <c r="PM123">
        <v>218.8</v>
      </c>
      <c r="PN123">
        <v>88</v>
      </c>
      <c r="PO123">
        <v>7</v>
      </c>
      <c r="PP123">
        <v>12</v>
      </c>
      <c r="PQ123">
        <v>3</v>
      </c>
      <c r="PR123">
        <v>3</v>
      </c>
      <c r="PS123">
        <v>8</v>
      </c>
      <c r="PT123">
        <v>212</v>
      </c>
      <c r="PU123">
        <v>9</v>
      </c>
      <c r="PV123" t="s">
        <v>4072</v>
      </c>
      <c r="PW123" t="s">
        <v>4072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-1</v>
      </c>
      <c r="QF123">
        <v>1</v>
      </c>
      <c r="QG123">
        <v>0</v>
      </c>
      <c r="QH123">
        <v>5</v>
      </c>
      <c r="QI123">
        <v>5</v>
      </c>
      <c r="QJ123">
        <v>5</v>
      </c>
      <c r="QK123">
        <v>193</v>
      </c>
      <c r="QL123">
        <v>430</v>
      </c>
      <c r="QM123">
        <v>7.5</v>
      </c>
      <c r="QN123">
        <v>1282.5</v>
      </c>
      <c r="QO123" t="s">
        <v>1888</v>
      </c>
      <c r="QP123" t="s">
        <v>513</v>
      </c>
      <c r="QQ123">
        <v>0</v>
      </c>
      <c r="QR123" t="s">
        <v>1496</v>
      </c>
      <c r="QS123">
        <v>30</v>
      </c>
      <c r="QT123">
        <v>40</v>
      </c>
    </row>
    <row r="124" spans="1:462">
      <c r="A124" t="s">
        <v>2040</v>
      </c>
      <c r="B124" t="s">
        <v>629</v>
      </c>
      <c r="C124" t="s">
        <v>509</v>
      </c>
      <c r="D124" t="s">
        <v>1738</v>
      </c>
      <c r="E124" t="s">
        <v>4036</v>
      </c>
      <c r="H124" t="s">
        <v>1088</v>
      </c>
      <c r="L124" t="s">
        <v>711</v>
      </c>
      <c r="M124" t="s">
        <v>512</v>
      </c>
      <c r="O124" t="s">
        <v>513</v>
      </c>
      <c r="P124" t="s">
        <v>567</v>
      </c>
      <c r="Q124" t="s">
        <v>1015</v>
      </c>
      <c r="R124" t="s">
        <v>1016</v>
      </c>
      <c r="S124" t="s">
        <v>4073</v>
      </c>
      <c r="T124" t="s">
        <v>633</v>
      </c>
      <c r="U124" t="s">
        <v>634</v>
      </c>
      <c r="V124" t="s">
        <v>1862</v>
      </c>
      <c r="W124" t="s">
        <v>1880</v>
      </c>
      <c r="X124" t="s">
        <v>2041</v>
      </c>
      <c r="Y124" t="s">
        <v>2042</v>
      </c>
      <c r="Z124" t="s">
        <v>541</v>
      </c>
      <c r="AA124" t="s">
        <v>4038</v>
      </c>
      <c r="AB124" t="s">
        <v>4549</v>
      </c>
      <c r="AC124">
        <v>9</v>
      </c>
      <c r="AD124" t="s">
        <v>2039</v>
      </c>
      <c r="AE124">
        <v>4</v>
      </c>
      <c r="AF124">
        <v>3920</v>
      </c>
      <c r="AG124" t="s">
        <v>4093</v>
      </c>
      <c r="AH124">
        <v>1</v>
      </c>
      <c r="AI124" t="s">
        <v>4041</v>
      </c>
      <c r="AK124" t="s">
        <v>4094</v>
      </c>
      <c r="AL124">
        <v>1</v>
      </c>
      <c r="AM124" t="s">
        <v>582</v>
      </c>
      <c r="AO124" t="s">
        <v>4426</v>
      </c>
      <c r="AP124">
        <v>1</v>
      </c>
      <c r="AR124" t="s">
        <v>4550</v>
      </c>
      <c r="AS124">
        <v>1</v>
      </c>
      <c r="AT124">
        <v>51</v>
      </c>
      <c r="AV124" t="s">
        <v>4078</v>
      </c>
      <c r="AW124">
        <v>6.4</v>
      </c>
      <c r="AX124">
        <v>-6</v>
      </c>
      <c r="AY124">
        <v>87.5</v>
      </c>
      <c r="AZ124">
        <v>61</v>
      </c>
      <c r="BH124">
        <v>87.5</v>
      </c>
      <c r="BI124">
        <v>26.5</v>
      </c>
      <c r="BJ124">
        <v>61</v>
      </c>
      <c r="BK124">
        <v>2.5</v>
      </c>
      <c r="BL124">
        <v>175</v>
      </c>
      <c r="BM124">
        <v>-6</v>
      </c>
      <c r="BN124">
        <v>0</v>
      </c>
      <c r="BO124">
        <v>0</v>
      </c>
      <c r="BP124">
        <v>0</v>
      </c>
      <c r="BR124">
        <v>170</v>
      </c>
      <c r="BS124">
        <v>160</v>
      </c>
      <c r="BT124">
        <v>1880</v>
      </c>
      <c r="BU124" t="s">
        <v>4047</v>
      </c>
      <c r="BV124" t="s">
        <v>4047</v>
      </c>
      <c r="BW124" t="s">
        <v>4049</v>
      </c>
      <c r="BX124" t="s">
        <v>4049</v>
      </c>
      <c r="BY124" t="s">
        <v>4150</v>
      </c>
      <c r="BZ124" t="s">
        <v>4150</v>
      </c>
      <c r="CA124" t="s">
        <v>4108</v>
      </c>
      <c r="CB124" t="s">
        <v>4109</v>
      </c>
      <c r="CC124" t="s">
        <v>4053</v>
      </c>
      <c r="CD124" t="s">
        <v>4110</v>
      </c>
      <c r="CE124" t="s">
        <v>4055</v>
      </c>
      <c r="CF124" t="s">
        <v>4055</v>
      </c>
      <c r="CG124" t="s">
        <v>4056</v>
      </c>
      <c r="CH124" t="s">
        <v>4057</v>
      </c>
      <c r="CI124" t="s">
        <v>4058</v>
      </c>
      <c r="CJ124" t="s">
        <v>4059</v>
      </c>
      <c r="CK124" t="s">
        <v>4060</v>
      </c>
      <c r="CL124" t="s">
        <v>4061</v>
      </c>
      <c r="CM124" t="s">
        <v>4055</v>
      </c>
      <c r="CN124" t="s">
        <v>4062</v>
      </c>
      <c r="CO124" t="s">
        <v>4063</v>
      </c>
      <c r="CP124" t="s">
        <v>4055</v>
      </c>
      <c r="CQ124" t="s">
        <v>4055</v>
      </c>
      <c r="CR124">
        <v>5</v>
      </c>
      <c r="CS124" t="s">
        <v>4055</v>
      </c>
      <c r="CT124" t="s">
        <v>4055</v>
      </c>
      <c r="CU124" t="s">
        <v>4055</v>
      </c>
      <c r="CV124">
        <v>109</v>
      </c>
      <c r="CW124">
        <v>3</v>
      </c>
      <c r="CX124">
        <v>70</v>
      </c>
      <c r="CY124">
        <v>5</v>
      </c>
      <c r="CZ124">
        <v>65</v>
      </c>
      <c r="DA124">
        <v>5</v>
      </c>
      <c r="DB124">
        <v>8480</v>
      </c>
      <c r="DC124">
        <v>250</v>
      </c>
      <c r="DD124">
        <v>290</v>
      </c>
      <c r="DE124">
        <v>1970</v>
      </c>
      <c r="DF124">
        <v>1970</v>
      </c>
      <c r="DG124">
        <v>1991</v>
      </c>
      <c r="DH124" t="s">
        <v>4055</v>
      </c>
      <c r="DI124" t="s">
        <v>4055</v>
      </c>
      <c r="DJ124" t="s">
        <v>4100</v>
      </c>
      <c r="DK124">
        <v>170</v>
      </c>
      <c r="DL124" t="s">
        <v>4101</v>
      </c>
      <c r="DM124">
        <v>65</v>
      </c>
      <c r="DN124">
        <v>0.84</v>
      </c>
      <c r="DO124">
        <v>1</v>
      </c>
      <c r="DP124">
        <v>1883</v>
      </c>
      <c r="DQ124">
        <v>586</v>
      </c>
      <c r="DR124" t="s">
        <v>4100</v>
      </c>
      <c r="DS124">
        <v>160</v>
      </c>
      <c r="DT124" t="s">
        <v>4101</v>
      </c>
      <c r="DU124">
        <v>65</v>
      </c>
      <c r="DV124">
        <v>0.84</v>
      </c>
      <c r="DW124">
        <v>1</v>
      </c>
      <c r="DX124">
        <v>1890</v>
      </c>
      <c r="DY124">
        <v>552</v>
      </c>
      <c r="DZ124" t="s">
        <v>4066</v>
      </c>
      <c r="EA124">
        <v>33</v>
      </c>
      <c r="EB124" t="s">
        <v>4065</v>
      </c>
      <c r="EC124">
        <v>0.4</v>
      </c>
      <c r="ED124">
        <v>1883</v>
      </c>
      <c r="EE124">
        <v>55</v>
      </c>
      <c r="EF124" t="s">
        <v>4066</v>
      </c>
      <c r="EG124">
        <v>33</v>
      </c>
      <c r="EH124" t="s">
        <v>4065</v>
      </c>
      <c r="EI124">
        <v>0.4</v>
      </c>
      <c r="EJ124">
        <v>1890</v>
      </c>
      <c r="EK124">
        <v>55</v>
      </c>
      <c r="EL124" t="s">
        <v>4429</v>
      </c>
      <c r="EM124">
        <v>12</v>
      </c>
      <c r="EN124">
        <v>0.5</v>
      </c>
      <c r="EO124">
        <v>0.9</v>
      </c>
      <c r="EP124">
        <v>1890.56</v>
      </c>
      <c r="EQ124">
        <v>27619.9</v>
      </c>
      <c r="ER124">
        <v>7851.51</v>
      </c>
      <c r="ES124">
        <v>0</v>
      </c>
      <c r="ET124">
        <v>0</v>
      </c>
      <c r="EU124">
        <v>1</v>
      </c>
      <c r="EV124">
        <v>35472</v>
      </c>
      <c r="EW124">
        <v>426</v>
      </c>
      <c r="EX124" t="s">
        <v>4363</v>
      </c>
      <c r="EY124">
        <v>192</v>
      </c>
      <c r="EZ124" t="s">
        <v>4055</v>
      </c>
      <c r="FA124">
        <v>6</v>
      </c>
      <c r="FB124">
        <v>1</v>
      </c>
      <c r="FC124">
        <v>1</v>
      </c>
      <c r="FD124">
        <v>1920</v>
      </c>
      <c r="FE124">
        <v>2216</v>
      </c>
      <c r="FF124" t="s">
        <v>4089</v>
      </c>
      <c r="FG124">
        <v>192</v>
      </c>
      <c r="FH124" t="s">
        <v>4055</v>
      </c>
      <c r="FI124">
        <v>1.1</v>
      </c>
      <c r="FJ124">
        <v>1920</v>
      </c>
      <c r="FK124">
        <v>404</v>
      </c>
      <c r="FL124" t="s">
        <v>4069</v>
      </c>
      <c r="FM124" t="s">
        <v>4055</v>
      </c>
      <c r="FN124" t="s">
        <v>4055</v>
      </c>
      <c r="FO124" t="s">
        <v>4055</v>
      </c>
      <c r="FP124">
        <v>1920</v>
      </c>
      <c r="FQ124">
        <v>77</v>
      </c>
      <c r="FR124" t="s">
        <v>4090</v>
      </c>
      <c r="FS124">
        <v>196</v>
      </c>
      <c r="FT124" t="s">
        <v>4055</v>
      </c>
      <c r="FU124">
        <v>0.4</v>
      </c>
      <c r="FV124">
        <v>1920</v>
      </c>
      <c r="FW124">
        <v>167</v>
      </c>
      <c r="FX124" t="s">
        <v>4070</v>
      </c>
      <c r="FY124">
        <v>5</v>
      </c>
      <c r="FZ124" t="s">
        <v>4055</v>
      </c>
      <c r="GA124" t="s">
        <v>4055</v>
      </c>
      <c r="GB124">
        <v>1920</v>
      </c>
      <c r="GC124">
        <v>17</v>
      </c>
      <c r="GD124">
        <v>2881</v>
      </c>
      <c r="GE124" t="s">
        <v>4550</v>
      </c>
      <c r="GF124" t="s">
        <v>4055</v>
      </c>
      <c r="GG124" t="s">
        <v>4055</v>
      </c>
      <c r="GH124" t="s">
        <v>4055</v>
      </c>
      <c r="GI124" t="s">
        <v>4071</v>
      </c>
      <c r="GJ124" t="s">
        <v>4055</v>
      </c>
      <c r="GK124" t="s">
        <v>4055</v>
      </c>
      <c r="GL124" t="s">
        <v>4055</v>
      </c>
      <c r="GM124" t="s">
        <v>4055</v>
      </c>
      <c r="GQ124">
        <v>0</v>
      </c>
      <c r="GV124">
        <v>7.5</v>
      </c>
      <c r="GW124">
        <v>8.5</v>
      </c>
      <c r="GX124">
        <v>0.5</v>
      </c>
      <c r="GY124">
        <v>162</v>
      </c>
      <c r="GZ124">
        <v>3</v>
      </c>
      <c r="HA124">
        <v>206</v>
      </c>
      <c r="HB124">
        <v>3</v>
      </c>
      <c r="HC124">
        <v>1920</v>
      </c>
      <c r="HD124">
        <v>4</v>
      </c>
      <c r="HE124" t="s">
        <v>4071</v>
      </c>
      <c r="HG124" t="s">
        <v>549</v>
      </c>
      <c r="HL124">
        <v>4</v>
      </c>
      <c r="HM124">
        <v>17</v>
      </c>
      <c r="HN124">
        <v>6</v>
      </c>
      <c r="HO124">
        <v>1</v>
      </c>
      <c r="HP124">
        <v>0</v>
      </c>
      <c r="HQ124">
        <v>0</v>
      </c>
      <c r="HR124">
        <v>3</v>
      </c>
      <c r="HS124">
        <v>1880</v>
      </c>
      <c r="HT124">
        <v>5</v>
      </c>
      <c r="HU124">
        <v>1</v>
      </c>
      <c r="HV124">
        <v>0</v>
      </c>
      <c r="HW124">
        <v>0</v>
      </c>
      <c r="HX124">
        <v>1</v>
      </c>
      <c r="HY124">
        <v>0</v>
      </c>
      <c r="HZ124">
        <v>65</v>
      </c>
      <c r="IA124">
        <v>1883</v>
      </c>
      <c r="IB124">
        <v>1890</v>
      </c>
      <c r="ID124">
        <v>1920</v>
      </c>
      <c r="IE124">
        <v>1920</v>
      </c>
      <c r="IF124">
        <v>170</v>
      </c>
      <c r="IG124">
        <v>160</v>
      </c>
      <c r="IH124">
        <v>206</v>
      </c>
      <c r="II124">
        <v>1</v>
      </c>
      <c r="IJ124">
        <v>5</v>
      </c>
      <c r="IK124">
        <v>0</v>
      </c>
      <c r="IL124">
        <v>1</v>
      </c>
      <c r="IM124">
        <v>0</v>
      </c>
      <c r="IN124">
        <v>0</v>
      </c>
      <c r="IO124">
        <v>0</v>
      </c>
      <c r="IP124">
        <v>180</v>
      </c>
      <c r="IQ124">
        <v>0</v>
      </c>
      <c r="IR124">
        <v>330</v>
      </c>
      <c r="IS124">
        <v>0</v>
      </c>
      <c r="IT124">
        <v>90</v>
      </c>
      <c r="IU124">
        <v>0</v>
      </c>
      <c r="IV124">
        <v>6.4</v>
      </c>
      <c r="IW124">
        <v>-6</v>
      </c>
      <c r="IX124">
        <v>87.5</v>
      </c>
      <c r="IY124">
        <v>61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332</v>
      </c>
      <c r="JJ124">
        <v>302</v>
      </c>
      <c r="JK124">
        <v>225</v>
      </c>
      <c r="JL124">
        <v>300</v>
      </c>
      <c r="JM124">
        <v>250</v>
      </c>
      <c r="JN124">
        <v>170</v>
      </c>
      <c r="JO124">
        <v>220</v>
      </c>
      <c r="JP124">
        <v>220</v>
      </c>
      <c r="JQ124">
        <v>260</v>
      </c>
      <c r="JR124">
        <v>315</v>
      </c>
      <c r="JS124">
        <v>285</v>
      </c>
      <c r="JT124">
        <v>0</v>
      </c>
      <c r="JU124">
        <v>0</v>
      </c>
      <c r="JV124">
        <v>312</v>
      </c>
      <c r="JW124">
        <v>337</v>
      </c>
      <c r="JX124">
        <v>310</v>
      </c>
      <c r="JY124">
        <v>300</v>
      </c>
      <c r="JZ124">
        <v>2.5</v>
      </c>
      <c r="KA124">
        <v>0.2</v>
      </c>
      <c r="KB124">
        <v>0.4</v>
      </c>
      <c r="KC124">
        <v>0.42</v>
      </c>
      <c r="KD124">
        <v>0.28</v>
      </c>
      <c r="KE124">
        <v>0.6</v>
      </c>
      <c r="KF124">
        <v>0.19</v>
      </c>
      <c r="KG124">
        <v>0.1</v>
      </c>
      <c r="KH124">
        <v>3.5</v>
      </c>
      <c r="KI124">
        <v>1</v>
      </c>
      <c r="KJ124">
        <v>4.5</v>
      </c>
      <c r="KK124">
        <v>0</v>
      </c>
      <c r="KL124">
        <v>4</v>
      </c>
      <c r="KM124">
        <v>0</v>
      </c>
      <c r="KN124">
        <v>1.2</v>
      </c>
      <c r="KO124">
        <v>0</v>
      </c>
      <c r="KP124">
        <v>0</v>
      </c>
      <c r="KQ124">
        <v>0.8</v>
      </c>
      <c r="KR124">
        <v>0.5</v>
      </c>
      <c r="KS124">
        <v>0</v>
      </c>
      <c r="KT124">
        <v>1.6</v>
      </c>
      <c r="KU124">
        <v>0</v>
      </c>
      <c r="KV124">
        <v>0</v>
      </c>
      <c r="KW124">
        <v>1</v>
      </c>
      <c r="KX124">
        <v>2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3</v>
      </c>
      <c r="LI124">
        <v>1</v>
      </c>
      <c r="LJ124">
        <v>0</v>
      </c>
      <c r="LK124">
        <v>4</v>
      </c>
      <c r="LL124">
        <v>5</v>
      </c>
      <c r="LM124">
        <v>6</v>
      </c>
      <c r="LN124">
        <v>0.5</v>
      </c>
      <c r="LO124">
        <v>0.1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2.5</v>
      </c>
      <c r="LX124">
        <v>2.5</v>
      </c>
      <c r="LY124">
        <v>2.3</v>
      </c>
      <c r="LZ124">
        <v>2.3</v>
      </c>
      <c r="MA124">
        <v>0</v>
      </c>
      <c r="MB124">
        <v>4.5</v>
      </c>
      <c r="MC124">
        <v>0</v>
      </c>
      <c r="MD124">
        <v>4.5</v>
      </c>
      <c r="ME124">
        <v>6</v>
      </c>
      <c r="MF124">
        <v>6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358</v>
      </c>
      <c r="MN124">
        <v>185</v>
      </c>
      <c r="MO124">
        <v>234</v>
      </c>
      <c r="NU124">
        <v>0.15</v>
      </c>
      <c r="NV124">
        <v>0.2</v>
      </c>
      <c r="NW124">
        <v>0.2</v>
      </c>
      <c r="NX124">
        <v>2</v>
      </c>
      <c r="NY124">
        <v>2</v>
      </c>
      <c r="NZ124">
        <v>2</v>
      </c>
      <c r="OE124" t="s">
        <v>4550</v>
      </c>
      <c r="OF124" t="s">
        <v>4093</v>
      </c>
      <c r="OG124" t="s">
        <v>4094</v>
      </c>
      <c r="OH124" t="s">
        <v>4426</v>
      </c>
      <c r="OI124" t="s">
        <v>4550</v>
      </c>
      <c r="OJ124" t="s">
        <v>4549</v>
      </c>
      <c r="OK124">
        <v>61</v>
      </c>
      <c r="OL124">
        <v>61</v>
      </c>
      <c r="OM124" t="s">
        <v>4093</v>
      </c>
      <c r="ON124">
        <v>3</v>
      </c>
      <c r="OO124">
        <v>1883</v>
      </c>
      <c r="OP124">
        <v>61</v>
      </c>
      <c r="OQ124">
        <v>61</v>
      </c>
      <c r="OR124" t="s">
        <v>4094</v>
      </c>
      <c r="OS124">
        <v>3</v>
      </c>
      <c r="OT124">
        <v>1890</v>
      </c>
      <c r="OU124">
        <v>65</v>
      </c>
      <c r="OV124">
        <v>65</v>
      </c>
      <c r="OW124" t="s">
        <v>4426</v>
      </c>
      <c r="OX124">
        <v>2</v>
      </c>
      <c r="OY124">
        <v>35472</v>
      </c>
      <c r="OZ124">
        <v>51</v>
      </c>
      <c r="PA124">
        <v>51</v>
      </c>
      <c r="PB124" t="s">
        <v>4550</v>
      </c>
      <c r="PC124">
        <v>1</v>
      </c>
      <c r="PD124">
        <v>1920</v>
      </c>
      <c r="PF124">
        <v>311</v>
      </c>
      <c r="PG124">
        <v>29</v>
      </c>
      <c r="PH124">
        <v>292</v>
      </c>
      <c r="PI124">
        <v>29</v>
      </c>
      <c r="PJ124">
        <v>39.9</v>
      </c>
      <c r="PK124">
        <v>1510</v>
      </c>
      <c r="PL124">
        <v>1154.2</v>
      </c>
      <c r="PM124">
        <v>210.4</v>
      </c>
      <c r="PN124">
        <v>87.09999999999999</v>
      </c>
      <c r="PO124">
        <v>8.699999999999999</v>
      </c>
      <c r="PP124">
        <v>12</v>
      </c>
      <c r="PQ124">
        <v>1</v>
      </c>
      <c r="PR124">
        <v>1</v>
      </c>
      <c r="PS124">
        <v>7</v>
      </c>
      <c r="PT124">
        <v>206</v>
      </c>
      <c r="PU124">
        <v>7</v>
      </c>
      <c r="PV124" t="s">
        <v>4072</v>
      </c>
      <c r="PW124" t="s">
        <v>4072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-1</v>
      </c>
      <c r="QF124">
        <v>1</v>
      </c>
      <c r="QG124">
        <v>0</v>
      </c>
      <c r="QH124">
        <v>5</v>
      </c>
      <c r="QI124">
        <v>5</v>
      </c>
      <c r="QJ124">
        <v>5</v>
      </c>
      <c r="QK124">
        <v>161</v>
      </c>
      <c r="QL124">
        <v>366</v>
      </c>
      <c r="QM124">
        <v>7.5</v>
      </c>
      <c r="QN124">
        <v>1379.8</v>
      </c>
      <c r="QO124" t="s">
        <v>1888</v>
      </c>
      <c r="QP124" t="s">
        <v>513</v>
      </c>
      <c r="QQ124">
        <v>0</v>
      </c>
      <c r="QR124" t="s">
        <v>1496</v>
      </c>
      <c r="QS124">
        <v>30</v>
      </c>
      <c r="QT124">
        <v>40</v>
      </c>
    </row>
    <row r="125" spans="1:462">
      <c r="A125" t="s">
        <v>2047</v>
      </c>
      <c r="B125" t="s">
        <v>804</v>
      </c>
      <c r="C125" t="s">
        <v>509</v>
      </c>
      <c r="D125" t="s">
        <v>2046</v>
      </c>
      <c r="E125" t="s">
        <v>4036</v>
      </c>
      <c r="H125" t="s">
        <v>561</v>
      </c>
      <c r="J125" t="s">
        <v>562</v>
      </c>
      <c r="K125" t="s">
        <v>563</v>
      </c>
      <c r="L125" t="s">
        <v>508</v>
      </c>
      <c r="M125" t="s">
        <v>512</v>
      </c>
      <c r="N125" t="s">
        <v>515</v>
      </c>
      <c r="O125" t="s">
        <v>513</v>
      </c>
      <c r="P125" t="s">
        <v>567</v>
      </c>
      <c r="Q125" t="s">
        <v>1644</v>
      </c>
      <c r="R125" t="s">
        <v>1043</v>
      </c>
      <c r="S125" t="s">
        <v>4037</v>
      </c>
      <c r="T125" t="s">
        <v>662</v>
      </c>
      <c r="U125" t="s">
        <v>663</v>
      </c>
      <c r="V125" t="s">
        <v>2048</v>
      </c>
      <c r="W125" t="s">
        <v>1880</v>
      </c>
      <c r="X125" t="s">
        <v>2049</v>
      </c>
      <c r="Y125" t="s">
        <v>2050</v>
      </c>
      <c r="Z125" t="s">
        <v>541</v>
      </c>
      <c r="AA125" t="s">
        <v>4038</v>
      </c>
      <c r="AB125" t="s">
        <v>4551</v>
      </c>
      <c r="AC125">
        <v>9</v>
      </c>
      <c r="AD125" t="s">
        <v>2045</v>
      </c>
      <c r="AE125">
        <v>2</v>
      </c>
      <c r="AF125">
        <v>6019</v>
      </c>
      <c r="AG125" t="s">
        <v>4552</v>
      </c>
      <c r="AH125">
        <v>1</v>
      </c>
      <c r="AI125" t="s">
        <v>4041</v>
      </c>
      <c r="AK125" t="s">
        <v>4553</v>
      </c>
      <c r="AL125">
        <v>1</v>
      </c>
      <c r="AM125" t="s">
        <v>582</v>
      </c>
      <c r="AO125" t="s">
        <v>4043</v>
      </c>
      <c r="AP125">
        <v>1</v>
      </c>
      <c r="AR125" t="s">
        <v>4554</v>
      </c>
      <c r="AS125">
        <v>1</v>
      </c>
      <c r="AT125">
        <v>51</v>
      </c>
      <c r="AV125" t="s">
        <v>4078</v>
      </c>
      <c r="AW125">
        <v>6.4</v>
      </c>
      <c r="AX125">
        <v>-6</v>
      </c>
      <c r="AY125">
        <v>107.5</v>
      </c>
      <c r="AZ125">
        <v>81</v>
      </c>
      <c r="BH125">
        <v>107.5</v>
      </c>
      <c r="BI125">
        <v>26.5</v>
      </c>
      <c r="BJ125">
        <v>81</v>
      </c>
      <c r="BK125">
        <v>2.5</v>
      </c>
      <c r="BL125">
        <v>215</v>
      </c>
      <c r="BM125">
        <v>-6</v>
      </c>
      <c r="BN125">
        <v>0</v>
      </c>
      <c r="BP125">
        <v>0</v>
      </c>
      <c r="BR125">
        <v>210</v>
      </c>
      <c r="BS125">
        <v>200</v>
      </c>
      <c r="BT125">
        <v>2170</v>
      </c>
      <c r="BU125" t="s">
        <v>4127</v>
      </c>
      <c r="BV125" t="s">
        <v>4127</v>
      </c>
      <c r="BW125" t="s">
        <v>4128</v>
      </c>
      <c r="BX125" t="s">
        <v>4128</v>
      </c>
      <c r="BY125" t="s">
        <v>4215</v>
      </c>
      <c r="BZ125" t="s">
        <v>4117</v>
      </c>
      <c r="CA125" t="s">
        <v>4118</v>
      </c>
      <c r="CB125" t="s">
        <v>4119</v>
      </c>
      <c r="CC125" t="s">
        <v>4053</v>
      </c>
      <c r="CD125" t="s">
        <v>4121</v>
      </c>
      <c r="CE125" t="s">
        <v>4055</v>
      </c>
      <c r="CF125" t="s">
        <v>4055</v>
      </c>
      <c r="CG125" t="s">
        <v>4056</v>
      </c>
      <c r="CI125" t="s">
        <v>4058</v>
      </c>
      <c r="CJ125" t="s">
        <v>4059</v>
      </c>
      <c r="CK125" t="s">
        <v>4060</v>
      </c>
      <c r="CL125" t="s">
        <v>4061</v>
      </c>
      <c r="CM125" t="s">
        <v>4055</v>
      </c>
      <c r="CN125" t="s">
        <v>4062</v>
      </c>
      <c r="CO125" t="s">
        <v>4063</v>
      </c>
      <c r="CP125" t="s">
        <v>4055</v>
      </c>
      <c r="CQ125" t="s">
        <v>4055</v>
      </c>
      <c r="CR125">
        <v>5</v>
      </c>
      <c r="CS125" t="s">
        <v>4055</v>
      </c>
      <c r="CT125" t="s">
        <v>4055</v>
      </c>
      <c r="CU125" t="s">
        <v>4055</v>
      </c>
      <c r="CV125">
        <v>132</v>
      </c>
      <c r="CW125">
        <v>3</v>
      </c>
      <c r="CX125">
        <v>89</v>
      </c>
      <c r="CY125">
        <v>5</v>
      </c>
      <c r="CZ125">
        <v>160</v>
      </c>
      <c r="DA125">
        <v>5</v>
      </c>
      <c r="DB125">
        <v>12800</v>
      </c>
      <c r="DC125">
        <v>380</v>
      </c>
      <c r="DD125">
        <v>369</v>
      </c>
      <c r="DE125">
        <v>2291</v>
      </c>
      <c r="DF125">
        <v>2291</v>
      </c>
      <c r="DG125">
        <v>2301</v>
      </c>
      <c r="DH125" t="s">
        <v>4055</v>
      </c>
      <c r="DI125" t="s">
        <v>4055</v>
      </c>
      <c r="DJ125" t="s">
        <v>4217</v>
      </c>
      <c r="DK125">
        <v>210</v>
      </c>
      <c r="DL125" t="s">
        <v>4065</v>
      </c>
      <c r="DM125">
        <v>65</v>
      </c>
      <c r="DN125">
        <v>1.26</v>
      </c>
      <c r="DO125">
        <v>1</v>
      </c>
      <c r="DP125">
        <v>2174</v>
      </c>
      <c r="DQ125">
        <v>1102</v>
      </c>
      <c r="DR125" t="s">
        <v>4217</v>
      </c>
      <c r="DS125">
        <v>200</v>
      </c>
      <c r="DT125" t="s">
        <v>4065</v>
      </c>
      <c r="DU125">
        <v>65</v>
      </c>
      <c r="DV125">
        <v>1.26</v>
      </c>
      <c r="DW125">
        <v>1</v>
      </c>
      <c r="DX125">
        <v>2187</v>
      </c>
      <c r="DY125">
        <v>1056</v>
      </c>
      <c r="DZ125" t="s">
        <v>4066</v>
      </c>
      <c r="EA125">
        <v>20</v>
      </c>
      <c r="EB125" t="s">
        <v>4065</v>
      </c>
      <c r="EC125">
        <v>0.8</v>
      </c>
      <c r="ED125">
        <v>2174</v>
      </c>
      <c r="EE125">
        <v>76</v>
      </c>
      <c r="EG125">
        <v>0</v>
      </c>
      <c r="EH125" t="s">
        <v>4065</v>
      </c>
      <c r="EI125">
        <v>0</v>
      </c>
      <c r="EL125" t="s">
        <v>1528</v>
      </c>
      <c r="EM125">
        <v>12</v>
      </c>
      <c r="EN125">
        <v>0.5</v>
      </c>
      <c r="EO125">
        <v>0.96</v>
      </c>
      <c r="EP125">
        <v>2185.84</v>
      </c>
      <c r="EQ125">
        <v>38764.51</v>
      </c>
      <c r="ER125">
        <v>9075.719999999999</v>
      </c>
      <c r="ES125">
        <v>0</v>
      </c>
      <c r="ET125">
        <v>0</v>
      </c>
      <c r="EU125">
        <v>1</v>
      </c>
      <c r="EV125">
        <v>47841</v>
      </c>
      <c r="EW125">
        <v>575</v>
      </c>
      <c r="EX125" t="s">
        <v>4363</v>
      </c>
      <c r="EY125">
        <v>226</v>
      </c>
      <c r="EZ125" t="s">
        <v>4055</v>
      </c>
      <c r="FA125">
        <v>5</v>
      </c>
      <c r="FB125">
        <v>1</v>
      </c>
      <c r="FC125">
        <v>1</v>
      </c>
      <c r="FD125">
        <v>2214</v>
      </c>
      <c r="FE125">
        <v>2653</v>
      </c>
      <c r="FF125" t="s">
        <v>4089</v>
      </c>
      <c r="FG125">
        <v>226</v>
      </c>
      <c r="FH125" t="s">
        <v>4055</v>
      </c>
      <c r="FI125">
        <v>1.6</v>
      </c>
      <c r="FJ125">
        <v>2214</v>
      </c>
      <c r="FK125">
        <v>828</v>
      </c>
      <c r="FL125" t="s">
        <v>4069</v>
      </c>
      <c r="FM125" t="s">
        <v>4055</v>
      </c>
      <c r="FN125" t="s">
        <v>4055</v>
      </c>
      <c r="FO125" t="s">
        <v>4055</v>
      </c>
      <c r="FP125">
        <v>2214</v>
      </c>
      <c r="FQ125">
        <v>241</v>
      </c>
      <c r="FR125" t="s">
        <v>4090</v>
      </c>
      <c r="FS125">
        <v>230</v>
      </c>
      <c r="FT125" t="s">
        <v>4055</v>
      </c>
      <c r="FU125">
        <v>0.4</v>
      </c>
      <c r="FV125">
        <v>2214</v>
      </c>
      <c r="FW125">
        <v>226</v>
      </c>
      <c r="FX125" t="s">
        <v>4070</v>
      </c>
      <c r="FY125">
        <v>5</v>
      </c>
      <c r="FZ125" t="s">
        <v>4055</v>
      </c>
      <c r="GA125" t="s">
        <v>4055</v>
      </c>
      <c r="GB125">
        <v>2214</v>
      </c>
      <c r="GC125">
        <v>18</v>
      </c>
      <c r="GD125">
        <v>3966</v>
      </c>
      <c r="GE125" t="s">
        <v>4554</v>
      </c>
      <c r="GF125" t="s">
        <v>4055</v>
      </c>
      <c r="GG125" t="s">
        <v>4055</v>
      </c>
      <c r="GH125" t="s">
        <v>4055</v>
      </c>
      <c r="GI125" t="s">
        <v>4071</v>
      </c>
      <c r="GJ125" t="s">
        <v>4055</v>
      </c>
      <c r="GK125" t="s">
        <v>4055</v>
      </c>
      <c r="GL125" t="s">
        <v>4055</v>
      </c>
      <c r="GM125" t="s">
        <v>4055</v>
      </c>
      <c r="GQ125">
        <v>0</v>
      </c>
      <c r="GV125">
        <v>7</v>
      </c>
      <c r="GW125">
        <v>8.199999999999999</v>
      </c>
      <c r="GX125">
        <v>0.5</v>
      </c>
      <c r="GY125">
        <v>206</v>
      </c>
      <c r="GZ125">
        <v>3</v>
      </c>
      <c r="HA125">
        <v>256</v>
      </c>
      <c r="HB125">
        <v>3</v>
      </c>
      <c r="HC125">
        <v>2214</v>
      </c>
      <c r="HD125">
        <v>4</v>
      </c>
      <c r="HE125" t="s">
        <v>4071</v>
      </c>
      <c r="HG125" t="s">
        <v>549</v>
      </c>
      <c r="HL125">
        <v>4</v>
      </c>
      <c r="HM125">
        <v>18</v>
      </c>
      <c r="HN125">
        <v>6</v>
      </c>
      <c r="HO125">
        <v>1</v>
      </c>
      <c r="HP125">
        <v>0</v>
      </c>
      <c r="HQ125">
        <v>0</v>
      </c>
      <c r="HR125">
        <v>3</v>
      </c>
      <c r="HS125">
        <v>2170</v>
      </c>
      <c r="HT125">
        <v>5</v>
      </c>
      <c r="HU125">
        <v>1</v>
      </c>
      <c r="HV125">
        <v>3</v>
      </c>
      <c r="HW125">
        <v>0</v>
      </c>
      <c r="HX125">
        <v>1</v>
      </c>
      <c r="HY125">
        <v>0</v>
      </c>
      <c r="HZ125">
        <v>65</v>
      </c>
      <c r="IA125">
        <v>2174</v>
      </c>
      <c r="IB125">
        <v>2187</v>
      </c>
      <c r="ID125">
        <v>2214</v>
      </c>
      <c r="IE125">
        <v>2214</v>
      </c>
      <c r="IF125">
        <v>210</v>
      </c>
      <c r="IG125">
        <v>200</v>
      </c>
      <c r="IH125">
        <v>256</v>
      </c>
      <c r="II125">
        <v>1</v>
      </c>
      <c r="IJ125">
        <v>5</v>
      </c>
      <c r="IK125">
        <v>0</v>
      </c>
      <c r="IL125">
        <v>0</v>
      </c>
      <c r="IM125">
        <v>0</v>
      </c>
      <c r="IN125">
        <v>270</v>
      </c>
      <c r="IO125">
        <v>0</v>
      </c>
      <c r="IP125">
        <v>180</v>
      </c>
      <c r="IQ125">
        <v>0</v>
      </c>
      <c r="IR125">
        <v>330</v>
      </c>
      <c r="IS125">
        <v>0</v>
      </c>
      <c r="IT125">
        <v>90</v>
      </c>
      <c r="IU125">
        <v>0</v>
      </c>
      <c r="IV125">
        <v>6.4</v>
      </c>
      <c r="IW125">
        <v>-6</v>
      </c>
      <c r="IX125">
        <v>107.5</v>
      </c>
      <c r="IY125">
        <v>81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442</v>
      </c>
      <c r="JJ125">
        <v>412</v>
      </c>
      <c r="JK125">
        <v>295</v>
      </c>
      <c r="JL125">
        <v>408</v>
      </c>
      <c r="JM125">
        <v>310</v>
      </c>
      <c r="JN125">
        <v>205</v>
      </c>
      <c r="JO125">
        <v>266</v>
      </c>
      <c r="JP125">
        <v>180</v>
      </c>
      <c r="JQ125">
        <v>240</v>
      </c>
      <c r="JR125">
        <v>356</v>
      </c>
      <c r="JS125">
        <v>240</v>
      </c>
      <c r="JT125">
        <v>0</v>
      </c>
      <c r="JU125">
        <v>0</v>
      </c>
      <c r="JV125">
        <v>330</v>
      </c>
      <c r="JW125">
        <v>315</v>
      </c>
      <c r="JX125">
        <v>305</v>
      </c>
      <c r="JY125">
        <v>280</v>
      </c>
      <c r="JZ125">
        <v>0.5</v>
      </c>
      <c r="KA125">
        <v>0.2</v>
      </c>
      <c r="KB125">
        <v>0.4</v>
      </c>
      <c r="KC125">
        <v>0.42</v>
      </c>
      <c r="KD125">
        <v>0.28</v>
      </c>
      <c r="KE125">
        <v>0.5</v>
      </c>
      <c r="KF125">
        <v>0.2</v>
      </c>
      <c r="KG125">
        <v>0.1</v>
      </c>
      <c r="KH125">
        <v>3.5</v>
      </c>
      <c r="KI125">
        <v>1</v>
      </c>
      <c r="KJ125">
        <v>4.5</v>
      </c>
      <c r="KK125">
        <v>0</v>
      </c>
      <c r="KL125">
        <v>4.5</v>
      </c>
      <c r="KM125">
        <v>0.5</v>
      </c>
      <c r="KN125">
        <v>1.9</v>
      </c>
      <c r="KO125">
        <v>0</v>
      </c>
      <c r="KP125">
        <v>0</v>
      </c>
      <c r="KQ125">
        <v>1</v>
      </c>
      <c r="KR125">
        <v>0.5</v>
      </c>
      <c r="KS125">
        <v>0</v>
      </c>
      <c r="KT125">
        <v>3.2</v>
      </c>
      <c r="KU125">
        <v>0</v>
      </c>
      <c r="KV125">
        <v>0</v>
      </c>
      <c r="KW125">
        <v>1.6</v>
      </c>
      <c r="KX125">
        <v>2</v>
      </c>
      <c r="KY125">
        <v>1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3</v>
      </c>
      <c r="LI125">
        <v>0.5</v>
      </c>
      <c r="LJ125">
        <v>0</v>
      </c>
      <c r="LK125">
        <v>8</v>
      </c>
      <c r="LL125">
        <v>9</v>
      </c>
      <c r="LM125">
        <v>10</v>
      </c>
      <c r="LN125">
        <v>0.1</v>
      </c>
      <c r="LO125">
        <v>3</v>
      </c>
      <c r="LP125">
        <v>0</v>
      </c>
      <c r="LQ125">
        <v>0</v>
      </c>
      <c r="LR125">
        <v>0</v>
      </c>
      <c r="LS125">
        <v>1</v>
      </c>
      <c r="LT125">
        <v>0</v>
      </c>
      <c r="LU125">
        <v>0</v>
      </c>
      <c r="LV125">
        <v>0</v>
      </c>
      <c r="LW125">
        <v>1.8</v>
      </c>
      <c r="LX125">
        <v>1.8</v>
      </c>
      <c r="LY125">
        <v>2.1</v>
      </c>
      <c r="LZ125">
        <v>2.1</v>
      </c>
      <c r="MA125">
        <v>0</v>
      </c>
      <c r="MB125">
        <v>6</v>
      </c>
      <c r="MC125">
        <v>0</v>
      </c>
      <c r="MD125">
        <v>4.5</v>
      </c>
      <c r="ME125">
        <v>6</v>
      </c>
      <c r="MF125">
        <v>6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452</v>
      </c>
      <c r="MN125">
        <v>195</v>
      </c>
      <c r="MO125">
        <v>266</v>
      </c>
      <c r="NU125">
        <v>0.15</v>
      </c>
      <c r="NV125">
        <v>0.2</v>
      </c>
      <c r="NW125">
        <v>0.2</v>
      </c>
      <c r="NX125">
        <v>0.2</v>
      </c>
      <c r="NY125">
        <v>0.2</v>
      </c>
      <c r="NZ125">
        <v>0.2</v>
      </c>
      <c r="OE125" t="s">
        <v>4554</v>
      </c>
      <c r="OF125" t="s">
        <v>4552</v>
      </c>
      <c r="OG125" t="s">
        <v>4553</v>
      </c>
      <c r="OH125" t="s">
        <v>4043</v>
      </c>
      <c r="OI125" t="s">
        <v>4554</v>
      </c>
      <c r="OJ125" t="s">
        <v>4551</v>
      </c>
      <c r="OK125">
        <v>61</v>
      </c>
      <c r="OL125">
        <v>61</v>
      </c>
      <c r="OM125" t="s">
        <v>4552</v>
      </c>
      <c r="ON125">
        <v>1</v>
      </c>
      <c r="OO125">
        <v>2174</v>
      </c>
      <c r="OP125">
        <v>61</v>
      </c>
      <c r="OQ125">
        <v>61</v>
      </c>
      <c r="OR125" t="s">
        <v>4553</v>
      </c>
      <c r="OS125">
        <v>1</v>
      </c>
      <c r="OT125">
        <v>2187</v>
      </c>
      <c r="OU125">
        <v>65</v>
      </c>
      <c r="OV125">
        <v>65</v>
      </c>
      <c r="OW125" t="s">
        <v>4043</v>
      </c>
      <c r="OX125">
        <v>2</v>
      </c>
      <c r="OY125">
        <v>47841</v>
      </c>
      <c r="OZ125">
        <v>51</v>
      </c>
      <c r="PA125">
        <v>51</v>
      </c>
      <c r="PB125" t="s">
        <v>4554</v>
      </c>
      <c r="PC125">
        <v>1</v>
      </c>
      <c r="PD125">
        <v>2214</v>
      </c>
      <c r="PF125">
        <v>507</v>
      </c>
      <c r="PG125">
        <v>35</v>
      </c>
      <c r="PH125">
        <v>483</v>
      </c>
      <c r="PI125">
        <v>0</v>
      </c>
      <c r="PJ125">
        <v>109</v>
      </c>
      <c r="PK125">
        <v>1784</v>
      </c>
      <c r="PL125">
        <v>1198.5</v>
      </c>
      <c r="PM125">
        <v>373.9</v>
      </c>
      <c r="PN125">
        <v>102.3</v>
      </c>
      <c r="PO125">
        <v>8.1</v>
      </c>
      <c r="PP125">
        <v>12</v>
      </c>
      <c r="PQ125">
        <v>5</v>
      </c>
      <c r="PR125">
        <v>5</v>
      </c>
      <c r="PS125">
        <v>0</v>
      </c>
      <c r="PT125">
        <v>256</v>
      </c>
      <c r="PU125">
        <v>15</v>
      </c>
      <c r="PV125" t="s">
        <v>4072</v>
      </c>
      <c r="PW125" t="s">
        <v>4072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-1</v>
      </c>
      <c r="QF125">
        <v>1</v>
      </c>
      <c r="QG125">
        <v>0</v>
      </c>
      <c r="QH125">
        <v>5</v>
      </c>
      <c r="QI125">
        <v>5</v>
      </c>
      <c r="QJ125">
        <v>5</v>
      </c>
      <c r="QK125">
        <v>216</v>
      </c>
      <c r="QL125">
        <v>476</v>
      </c>
      <c r="QM125">
        <v>7.5</v>
      </c>
      <c r="QN125">
        <v>1464.3</v>
      </c>
      <c r="QO125" t="s">
        <v>1888</v>
      </c>
      <c r="QP125" t="s">
        <v>513</v>
      </c>
      <c r="QQ125">
        <v>0</v>
      </c>
      <c r="QR125" t="s">
        <v>621</v>
      </c>
      <c r="QS125">
        <v>30</v>
      </c>
      <c r="QT125">
        <v>40</v>
      </c>
    </row>
    <row r="126" spans="1:462">
      <c r="A126" t="s">
        <v>2057</v>
      </c>
      <c r="B126" t="s">
        <v>804</v>
      </c>
      <c r="C126" t="s">
        <v>509</v>
      </c>
      <c r="D126" t="s">
        <v>2056</v>
      </c>
      <c r="E126" t="s">
        <v>4036</v>
      </c>
      <c r="H126" t="s">
        <v>1088</v>
      </c>
      <c r="L126" t="s">
        <v>508</v>
      </c>
      <c r="M126" t="s">
        <v>512</v>
      </c>
      <c r="N126" t="s">
        <v>515</v>
      </c>
      <c r="O126" t="s">
        <v>513</v>
      </c>
      <c r="P126" t="s">
        <v>567</v>
      </c>
      <c r="Q126" t="s">
        <v>774</v>
      </c>
      <c r="R126" t="s">
        <v>661</v>
      </c>
      <c r="S126" t="s">
        <v>4037</v>
      </c>
      <c r="T126" t="s">
        <v>686</v>
      </c>
      <c r="U126" t="s">
        <v>687</v>
      </c>
      <c r="V126" t="s">
        <v>1710</v>
      </c>
      <c r="W126" t="s">
        <v>1880</v>
      </c>
      <c r="X126" t="s">
        <v>2058</v>
      </c>
      <c r="Y126" t="s">
        <v>2059</v>
      </c>
      <c r="Z126" t="s">
        <v>541</v>
      </c>
      <c r="AA126" t="s">
        <v>4038</v>
      </c>
      <c r="AB126" t="s">
        <v>4555</v>
      </c>
      <c r="AC126">
        <v>9</v>
      </c>
      <c r="AD126" t="s">
        <v>2055</v>
      </c>
      <c r="AE126">
        <v>2</v>
      </c>
      <c r="AF126">
        <v>5499</v>
      </c>
      <c r="AG126" t="s">
        <v>4534</v>
      </c>
      <c r="AH126">
        <v>1</v>
      </c>
      <c r="AI126" t="s">
        <v>4041</v>
      </c>
      <c r="AK126" t="s">
        <v>4535</v>
      </c>
      <c r="AL126">
        <v>1</v>
      </c>
      <c r="AM126" t="s">
        <v>582</v>
      </c>
      <c r="AO126" t="s">
        <v>4043</v>
      </c>
      <c r="AP126">
        <v>1</v>
      </c>
      <c r="AR126" t="s">
        <v>4556</v>
      </c>
      <c r="AS126">
        <v>1</v>
      </c>
      <c r="AT126">
        <v>51</v>
      </c>
      <c r="AV126" t="s">
        <v>4078</v>
      </c>
      <c r="AW126">
        <v>6.4</v>
      </c>
      <c r="AX126">
        <v>-6</v>
      </c>
      <c r="AY126">
        <v>95</v>
      </c>
      <c r="AZ126">
        <v>65</v>
      </c>
      <c r="BH126">
        <v>95</v>
      </c>
      <c r="BI126">
        <v>30</v>
      </c>
      <c r="BJ126">
        <v>65</v>
      </c>
      <c r="BK126">
        <v>2.5</v>
      </c>
      <c r="BL126">
        <v>190</v>
      </c>
      <c r="BM126">
        <v>-6</v>
      </c>
      <c r="BN126">
        <v>0</v>
      </c>
      <c r="BP126">
        <v>0</v>
      </c>
      <c r="BR126">
        <v>185</v>
      </c>
      <c r="BS126">
        <v>175</v>
      </c>
      <c r="BT126">
        <v>2155</v>
      </c>
      <c r="BU126" t="s">
        <v>4127</v>
      </c>
      <c r="BV126" t="s">
        <v>4127</v>
      </c>
      <c r="BW126" t="s">
        <v>4128</v>
      </c>
      <c r="BX126" t="s">
        <v>4128</v>
      </c>
      <c r="BY126" t="s">
        <v>4160</v>
      </c>
      <c r="BZ126" t="s">
        <v>4129</v>
      </c>
      <c r="CA126" t="s">
        <v>4130</v>
      </c>
      <c r="CB126" t="s">
        <v>4131</v>
      </c>
      <c r="CC126" t="s">
        <v>4053</v>
      </c>
      <c r="CD126" t="s">
        <v>4055</v>
      </c>
      <c r="CE126" t="s">
        <v>4055</v>
      </c>
      <c r="CF126" t="s">
        <v>4055</v>
      </c>
      <c r="CG126" t="s">
        <v>4056</v>
      </c>
      <c r="CI126" t="s">
        <v>4086</v>
      </c>
      <c r="CJ126" t="s">
        <v>4059</v>
      </c>
      <c r="CK126" t="s">
        <v>4060</v>
      </c>
      <c r="CL126" t="s">
        <v>4061</v>
      </c>
      <c r="CM126" t="s">
        <v>4055</v>
      </c>
      <c r="CN126" t="s">
        <v>4062</v>
      </c>
      <c r="CO126" t="s">
        <v>4063</v>
      </c>
      <c r="CP126" t="s">
        <v>4055</v>
      </c>
      <c r="CQ126" t="s">
        <v>4055</v>
      </c>
      <c r="CR126">
        <v>5</v>
      </c>
      <c r="CS126" t="s">
        <v>4055</v>
      </c>
      <c r="CT126" t="s">
        <v>4055</v>
      </c>
      <c r="CU126" t="s">
        <v>4055</v>
      </c>
      <c r="CV126">
        <v>119</v>
      </c>
      <c r="CW126">
        <v>3</v>
      </c>
      <c r="CX126">
        <v>78</v>
      </c>
      <c r="CY126">
        <v>5</v>
      </c>
      <c r="CZ126">
        <v>143</v>
      </c>
      <c r="DA126">
        <v>5</v>
      </c>
      <c r="DB126">
        <v>11360</v>
      </c>
      <c r="DC126">
        <v>340</v>
      </c>
      <c r="DD126">
        <v>326</v>
      </c>
      <c r="DE126">
        <v>2272</v>
      </c>
      <c r="DF126">
        <v>2272</v>
      </c>
      <c r="DG126">
        <v>2282</v>
      </c>
      <c r="DH126">
        <v>1</v>
      </c>
      <c r="DI126" t="s">
        <v>4055</v>
      </c>
      <c r="DJ126" t="s">
        <v>4132</v>
      </c>
      <c r="DK126">
        <v>185</v>
      </c>
      <c r="DL126" t="s">
        <v>4065</v>
      </c>
      <c r="DM126">
        <v>65</v>
      </c>
      <c r="DN126">
        <v>1.1</v>
      </c>
      <c r="DO126">
        <v>1</v>
      </c>
      <c r="DP126">
        <v>2158</v>
      </c>
      <c r="DQ126">
        <v>863</v>
      </c>
      <c r="DR126" t="s">
        <v>4132</v>
      </c>
      <c r="DS126">
        <v>175</v>
      </c>
      <c r="DT126" t="s">
        <v>4065</v>
      </c>
      <c r="DU126">
        <v>65</v>
      </c>
      <c r="DV126">
        <v>1.1</v>
      </c>
      <c r="DW126">
        <v>1</v>
      </c>
      <c r="DX126">
        <v>2170</v>
      </c>
      <c r="DY126">
        <v>822</v>
      </c>
      <c r="DZ126" t="s">
        <v>4066</v>
      </c>
      <c r="EA126">
        <v>20</v>
      </c>
      <c r="EB126" t="s">
        <v>4065</v>
      </c>
      <c r="EC126">
        <v>0.8</v>
      </c>
      <c r="ED126">
        <v>2158</v>
      </c>
      <c r="EE126">
        <v>76</v>
      </c>
      <c r="EG126">
        <v>0</v>
      </c>
      <c r="EH126" t="s">
        <v>4065</v>
      </c>
      <c r="EI126">
        <v>0</v>
      </c>
      <c r="EL126" t="s">
        <v>1528</v>
      </c>
      <c r="EM126">
        <v>12</v>
      </c>
      <c r="EN126">
        <v>0.5</v>
      </c>
      <c r="EO126">
        <v>0.96</v>
      </c>
      <c r="EP126">
        <v>2168.83</v>
      </c>
      <c r="EQ126">
        <v>34226.85</v>
      </c>
      <c r="ER126">
        <v>10194.66</v>
      </c>
      <c r="ES126">
        <v>0</v>
      </c>
      <c r="ET126">
        <v>0</v>
      </c>
      <c r="EU126">
        <v>1</v>
      </c>
      <c r="EV126">
        <v>44422</v>
      </c>
      <c r="EW126">
        <v>534</v>
      </c>
      <c r="EX126" t="s">
        <v>4363</v>
      </c>
      <c r="EY126">
        <v>210</v>
      </c>
      <c r="EZ126" t="s">
        <v>4055</v>
      </c>
      <c r="FA126">
        <v>5</v>
      </c>
      <c r="FB126">
        <v>1</v>
      </c>
      <c r="FC126">
        <v>1</v>
      </c>
      <c r="FD126">
        <v>2197</v>
      </c>
      <c r="FE126">
        <v>2485</v>
      </c>
      <c r="FF126" t="s">
        <v>4089</v>
      </c>
      <c r="FG126">
        <v>210</v>
      </c>
      <c r="FH126" t="s">
        <v>4055</v>
      </c>
      <c r="FI126">
        <v>1.6</v>
      </c>
      <c r="FJ126">
        <v>2197</v>
      </c>
      <c r="FK126">
        <v>745</v>
      </c>
      <c r="FL126" t="s">
        <v>4069</v>
      </c>
      <c r="FM126" t="s">
        <v>4055</v>
      </c>
      <c r="FN126" t="s">
        <v>4055</v>
      </c>
      <c r="FO126" t="s">
        <v>4055</v>
      </c>
      <c r="FP126">
        <v>2197</v>
      </c>
      <c r="FQ126">
        <v>102</v>
      </c>
      <c r="FR126" t="s">
        <v>4090</v>
      </c>
      <c r="FS126">
        <v>214</v>
      </c>
      <c r="FT126" t="s">
        <v>4055</v>
      </c>
      <c r="FU126">
        <v>0.4</v>
      </c>
      <c r="FV126">
        <v>2197</v>
      </c>
      <c r="FW126">
        <v>209</v>
      </c>
      <c r="FX126" t="s">
        <v>4070</v>
      </c>
      <c r="FY126">
        <v>5</v>
      </c>
      <c r="FZ126" t="s">
        <v>4055</v>
      </c>
      <c r="GA126" t="s">
        <v>4055</v>
      </c>
      <c r="GB126">
        <v>2197</v>
      </c>
      <c r="GC126">
        <v>18</v>
      </c>
      <c r="GD126">
        <v>3559</v>
      </c>
      <c r="GE126" t="s">
        <v>4556</v>
      </c>
      <c r="GF126" t="s">
        <v>4055</v>
      </c>
      <c r="GG126" t="s">
        <v>4055</v>
      </c>
      <c r="GH126" t="s">
        <v>4055</v>
      </c>
      <c r="GI126" t="s">
        <v>4071</v>
      </c>
      <c r="GJ126" t="s">
        <v>4055</v>
      </c>
      <c r="GK126" t="s">
        <v>4055</v>
      </c>
      <c r="GL126" t="s">
        <v>4055</v>
      </c>
      <c r="GM126" t="s">
        <v>4055</v>
      </c>
      <c r="GQ126">
        <v>0</v>
      </c>
      <c r="GV126">
        <v>7</v>
      </c>
      <c r="GW126">
        <v>8.5</v>
      </c>
      <c r="GX126">
        <v>0.5</v>
      </c>
      <c r="GY126">
        <v>182</v>
      </c>
      <c r="GZ126">
        <v>3</v>
      </c>
      <c r="HA126">
        <v>224</v>
      </c>
      <c r="HB126">
        <v>3</v>
      </c>
      <c r="HC126">
        <v>2197</v>
      </c>
      <c r="HD126">
        <v>4</v>
      </c>
      <c r="HE126" t="s">
        <v>4071</v>
      </c>
      <c r="HG126" t="s">
        <v>549</v>
      </c>
      <c r="HL126">
        <v>4</v>
      </c>
      <c r="HM126">
        <v>19</v>
      </c>
      <c r="HN126">
        <v>6</v>
      </c>
      <c r="HO126">
        <v>1</v>
      </c>
      <c r="HP126">
        <v>0</v>
      </c>
      <c r="HQ126">
        <v>0</v>
      </c>
      <c r="HR126">
        <v>3</v>
      </c>
      <c r="HS126">
        <v>2155</v>
      </c>
      <c r="HT126">
        <v>5</v>
      </c>
      <c r="HU126">
        <v>1</v>
      </c>
      <c r="HV126">
        <v>3</v>
      </c>
      <c r="HW126">
        <v>0</v>
      </c>
      <c r="HX126">
        <v>1</v>
      </c>
      <c r="HY126">
        <v>0</v>
      </c>
      <c r="HZ126">
        <v>65</v>
      </c>
      <c r="IA126">
        <v>2158</v>
      </c>
      <c r="IB126">
        <v>2170</v>
      </c>
      <c r="ID126">
        <v>2197</v>
      </c>
      <c r="IE126">
        <v>2197</v>
      </c>
      <c r="IF126">
        <v>185</v>
      </c>
      <c r="IG126">
        <v>175</v>
      </c>
      <c r="IH126">
        <v>224</v>
      </c>
      <c r="II126">
        <v>1</v>
      </c>
      <c r="IJ126">
        <v>5</v>
      </c>
      <c r="IK126">
        <v>0</v>
      </c>
      <c r="IL126">
        <v>0</v>
      </c>
      <c r="IM126">
        <v>0</v>
      </c>
      <c r="IN126">
        <v>270</v>
      </c>
      <c r="IO126">
        <v>0</v>
      </c>
      <c r="IP126">
        <v>180</v>
      </c>
      <c r="IQ126">
        <v>0</v>
      </c>
      <c r="IR126">
        <v>330</v>
      </c>
      <c r="IS126">
        <v>0</v>
      </c>
      <c r="IT126">
        <v>90</v>
      </c>
      <c r="IU126">
        <v>0</v>
      </c>
      <c r="IV126">
        <v>6.4</v>
      </c>
      <c r="IW126">
        <v>-6</v>
      </c>
      <c r="IX126">
        <v>95</v>
      </c>
      <c r="IY126">
        <v>65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384</v>
      </c>
      <c r="JJ126">
        <v>354</v>
      </c>
      <c r="JK126">
        <v>264</v>
      </c>
      <c r="JL126">
        <v>350</v>
      </c>
      <c r="JM126">
        <v>278</v>
      </c>
      <c r="JN126">
        <v>185</v>
      </c>
      <c r="JO126">
        <v>234</v>
      </c>
      <c r="JP126">
        <v>210</v>
      </c>
      <c r="JQ126">
        <v>260</v>
      </c>
      <c r="JR126">
        <v>310</v>
      </c>
      <c r="JS126">
        <v>230</v>
      </c>
      <c r="JT126">
        <v>0</v>
      </c>
      <c r="JU126">
        <v>0</v>
      </c>
      <c r="JV126">
        <v>305</v>
      </c>
      <c r="JW126">
        <v>337</v>
      </c>
      <c r="JX126">
        <v>300</v>
      </c>
      <c r="JY126">
        <v>0</v>
      </c>
      <c r="JZ126">
        <v>1</v>
      </c>
      <c r="KA126">
        <v>0.2</v>
      </c>
      <c r="KB126">
        <v>0.4</v>
      </c>
      <c r="KC126">
        <v>0.42</v>
      </c>
      <c r="KD126">
        <v>0.28</v>
      </c>
      <c r="KE126">
        <v>0.8</v>
      </c>
      <c r="KF126">
        <v>0.18</v>
      </c>
      <c r="KG126">
        <v>0.11</v>
      </c>
      <c r="KH126">
        <v>3.5</v>
      </c>
      <c r="KI126">
        <v>1</v>
      </c>
      <c r="KJ126">
        <v>4.5</v>
      </c>
      <c r="KK126">
        <v>0</v>
      </c>
      <c r="KL126">
        <v>4.5</v>
      </c>
      <c r="KM126">
        <v>0</v>
      </c>
      <c r="KN126">
        <v>1.9</v>
      </c>
      <c r="KO126">
        <v>0</v>
      </c>
      <c r="KP126">
        <v>0</v>
      </c>
      <c r="KQ126">
        <v>0.7</v>
      </c>
      <c r="KR126">
        <v>0.9</v>
      </c>
      <c r="KS126">
        <v>0</v>
      </c>
      <c r="KT126">
        <v>2.4</v>
      </c>
      <c r="KU126">
        <v>0</v>
      </c>
      <c r="KV126">
        <v>0</v>
      </c>
      <c r="KW126">
        <v>0.7</v>
      </c>
      <c r="KX126">
        <v>1.5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3</v>
      </c>
      <c r="LI126">
        <v>1.5</v>
      </c>
      <c r="LJ126">
        <v>0</v>
      </c>
      <c r="LK126">
        <v>9</v>
      </c>
      <c r="LL126">
        <v>5</v>
      </c>
      <c r="LM126">
        <v>8</v>
      </c>
      <c r="LN126">
        <v>1</v>
      </c>
      <c r="LO126">
        <v>0.2</v>
      </c>
      <c r="LP126">
        <v>0</v>
      </c>
      <c r="LQ126">
        <v>0</v>
      </c>
      <c r="LR126">
        <v>0</v>
      </c>
      <c r="LS126">
        <v>1</v>
      </c>
      <c r="LT126">
        <v>0</v>
      </c>
      <c r="LU126">
        <v>0</v>
      </c>
      <c r="LV126">
        <v>0</v>
      </c>
      <c r="LW126">
        <v>2.8</v>
      </c>
      <c r="LX126">
        <v>2.8</v>
      </c>
      <c r="LY126">
        <v>2.8</v>
      </c>
      <c r="LZ126">
        <v>2.8</v>
      </c>
      <c r="MA126">
        <v>0</v>
      </c>
      <c r="MB126">
        <v>2</v>
      </c>
      <c r="MC126">
        <v>0</v>
      </c>
      <c r="MD126">
        <v>4.5</v>
      </c>
      <c r="ME126">
        <v>6</v>
      </c>
      <c r="MF126">
        <v>6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390</v>
      </c>
      <c r="MN126">
        <v>190</v>
      </c>
      <c r="MO126">
        <v>248</v>
      </c>
      <c r="NU126">
        <v>0.15</v>
      </c>
      <c r="NV126">
        <v>0.2</v>
      </c>
      <c r="NW126">
        <v>0.2</v>
      </c>
      <c r="NX126">
        <v>2</v>
      </c>
      <c r="NY126">
        <v>2</v>
      </c>
      <c r="NZ126">
        <v>2</v>
      </c>
      <c r="OE126" t="s">
        <v>4556</v>
      </c>
      <c r="OF126" t="s">
        <v>4534</v>
      </c>
      <c r="OG126" t="s">
        <v>4535</v>
      </c>
      <c r="OH126" t="s">
        <v>4043</v>
      </c>
      <c r="OI126" t="s">
        <v>4556</v>
      </c>
      <c r="OJ126" t="s">
        <v>4555</v>
      </c>
      <c r="OK126">
        <v>61</v>
      </c>
      <c r="OL126">
        <v>61</v>
      </c>
      <c r="OM126" t="s">
        <v>4534</v>
      </c>
      <c r="ON126">
        <v>1</v>
      </c>
      <c r="OO126">
        <v>2158</v>
      </c>
      <c r="OP126">
        <v>61</v>
      </c>
      <c r="OQ126">
        <v>61</v>
      </c>
      <c r="OR126" t="s">
        <v>4535</v>
      </c>
      <c r="OS126">
        <v>1</v>
      </c>
      <c r="OT126">
        <v>2170</v>
      </c>
      <c r="OU126">
        <v>65</v>
      </c>
      <c r="OV126">
        <v>65</v>
      </c>
      <c r="OW126" t="s">
        <v>4043</v>
      </c>
      <c r="OX126">
        <v>2</v>
      </c>
      <c r="OY126">
        <v>44422</v>
      </c>
      <c r="OZ126">
        <v>51</v>
      </c>
      <c r="PA126">
        <v>51</v>
      </c>
      <c r="PB126" t="s">
        <v>4556</v>
      </c>
      <c r="PC126">
        <v>1</v>
      </c>
      <c r="PD126">
        <v>2197</v>
      </c>
      <c r="PF126">
        <v>400</v>
      </c>
      <c r="PG126">
        <v>35</v>
      </c>
      <c r="PH126">
        <v>379</v>
      </c>
      <c r="PI126">
        <v>0</v>
      </c>
      <c r="PJ126">
        <v>46.5</v>
      </c>
      <c r="PK126">
        <v>1636</v>
      </c>
      <c r="PL126">
        <v>1130.9</v>
      </c>
      <c r="PM126">
        <v>339.2</v>
      </c>
      <c r="PN126">
        <v>95.2</v>
      </c>
      <c r="PO126">
        <v>8.1</v>
      </c>
      <c r="PP126">
        <v>12</v>
      </c>
      <c r="PQ126">
        <v>5</v>
      </c>
      <c r="PR126">
        <v>5</v>
      </c>
      <c r="PS126">
        <v>0</v>
      </c>
      <c r="PT126">
        <v>224</v>
      </c>
      <c r="PU126">
        <v>7</v>
      </c>
      <c r="PV126" t="s">
        <v>4072</v>
      </c>
      <c r="PW126" t="s">
        <v>4072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-1</v>
      </c>
      <c r="QF126">
        <v>1</v>
      </c>
      <c r="QG126">
        <v>0</v>
      </c>
      <c r="QH126">
        <v>5</v>
      </c>
      <c r="QI126">
        <v>5</v>
      </c>
      <c r="QJ126">
        <v>5</v>
      </c>
      <c r="QK126">
        <v>208</v>
      </c>
      <c r="QL126">
        <v>414</v>
      </c>
      <c r="QM126">
        <v>7.5</v>
      </c>
      <c r="QN126">
        <v>1544.1</v>
      </c>
      <c r="QO126" t="s">
        <v>1888</v>
      </c>
      <c r="QP126" t="s">
        <v>513</v>
      </c>
      <c r="QQ126">
        <v>0</v>
      </c>
      <c r="QR126" t="s">
        <v>596</v>
      </c>
      <c r="QS126">
        <v>40</v>
      </c>
      <c r="QT126">
        <v>50</v>
      </c>
    </row>
    <row r="127" spans="1:462">
      <c r="A127" t="s">
        <v>2065</v>
      </c>
      <c r="B127" t="s">
        <v>804</v>
      </c>
      <c r="C127" t="s">
        <v>509</v>
      </c>
      <c r="D127" t="s">
        <v>1951</v>
      </c>
      <c r="E127" t="s">
        <v>4036</v>
      </c>
      <c r="H127" t="s">
        <v>1135</v>
      </c>
      <c r="J127" t="s">
        <v>562</v>
      </c>
      <c r="K127" t="s">
        <v>563</v>
      </c>
      <c r="L127" t="s">
        <v>508</v>
      </c>
      <c r="M127" t="s">
        <v>512</v>
      </c>
      <c r="N127" t="s">
        <v>515</v>
      </c>
      <c r="O127" t="s">
        <v>513</v>
      </c>
      <c r="P127" t="s">
        <v>567</v>
      </c>
      <c r="Q127" t="s">
        <v>2066</v>
      </c>
      <c r="R127" t="s">
        <v>1043</v>
      </c>
      <c r="S127" t="s">
        <v>4037</v>
      </c>
      <c r="T127" t="s">
        <v>570</v>
      </c>
      <c r="U127" t="s">
        <v>571</v>
      </c>
      <c r="V127" t="s">
        <v>2067</v>
      </c>
      <c r="W127" t="s">
        <v>1880</v>
      </c>
      <c r="X127" t="s">
        <v>2068</v>
      </c>
      <c r="Y127" t="s">
        <v>2069</v>
      </c>
      <c r="Z127" t="s">
        <v>541</v>
      </c>
      <c r="AA127" t="s">
        <v>4038</v>
      </c>
      <c r="AB127" t="s">
        <v>4557</v>
      </c>
      <c r="AC127">
        <v>9</v>
      </c>
      <c r="AD127" t="s">
        <v>2063</v>
      </c>
      <c r="AE127">
        <v>2</v>
      </c>
      <c r="AF127">
        <v>6633</v>
      </c>
      <c r="AG127" t="s">
        <v>4552</v>
      </c>
      <c r="AH127">
        <v>1</v>
      </c>
      <c r="AI127" t="s">
        <v>4041</v>
      </c>
      <c r="AK127" t="s">
        <v>4553</v>
      </c>
      <c r="AL127">
        <v>1</v>
      </c>
      <c r="AM127" t="s">
        <v>582</v>
      </c>
      <c r="AO127" t="s">
        <v>4043</v>
      </c>
      <c r="AP127">
        <v>1</v>
      </c>
      <c r="AR127" t="s">
        <v>4558</v>
      </c>
      <c r="AS127">
        <v>1</v>
      </c>
      <c r="AT127">
        <v>51</v>
      </c>
      <c r="AV127" t="s">
        <v>4078</v>
      </c>
      <c r="AW127">
        <v>6.4</v>
      </c>
      <c r="AX127">
        <v>-6</v>
      </c>
      <c r="AY127">
        <v>107.5</v>
      </c>
      <c r="AZ127">
        <v>77.5</v>
      </c>
      <c r="BH127">
        <v>107.5</v>
      </c>
      <c r="BI127">
        <v>30</v>
      </c>
      <c r="BJ127">
        <v>77.5</v>
      </c>
      <c r="BK127">
        <v>2.5</v>
      </c>
      <c r="BL127">
        <v>215</v>
      </c>
      <c r="BM127">
        <v>-6</v>
      </c>
      <c r="BN127">
        <v>0</v>
      </c>
      <c r="BP127">
        <v>0</v>
      </c>
      <c r="BR127">
        <v>210</v>
      </c>
      <c r="BS127">
        <v>200</v>
      </c>
      <c r="BT127">
        <v>2330</v>
      </c>
      <c r="BU127" t="s">
        <v>4079</v>
      </c>
      <c r="BV127" t="s">
        <v>4080</v>
      </c>
      <c r="BW127" t="s">
        <v>4081</v>
      </c>
      <c r="BX127" t="s">
        <v>4082</v>
      </c>
      <c r="BY127" t="s">
        <v>4199</v>
      </c>
      <c r="BZ127" t="s">
        <v>4164</v>
      </c>
      <c r="CA127" t="s">
        <v>4084</v>
      </c>
      <c r="CB127" t="s">
        <v>4085</v>
      </c>
      <c r="CC127" t="s">
        <v>4053</v>
      </c>
      <c r="CD127" t="s">
        <v>4055</v>
      </c>
      <c r="CE127" t="s">
        <v>4055</v>
      </c>
      <c r="CF127" t="s">
        <v>4055</v>
      </c>
      <c r="CG127" t="s">
        <v>4056</v>
      </c>
      <c r="CI127" t="s">
        <v>4086</v>
      </c>
      <c r="CJ127" t="s">
        <v>4059</v>
      </c>
      <c r="CK127" t="s">
        <v>4060</v>
      </c>
      <c r="CL127" t="s">
        <v>4061</v>
      </c>
      <c r="CM127" t="s">
        <v>4055</v>
      </c>
      <c r="CN127" t="s">
        <v>4062</v>
      </c>
      <c r="CO127" t="s">
        <v>4063</v>
      </c>
      <c r="CP127" t="s">
        <v>4055</v>
      </c>
      <c r="CQ127" t="s">
        <v>4055</v>
      </c>
      <c r="CR127">
        <v>5</v>
      </c>
      <c r="CS127" t="s">
        <v>4055</v>
      </c>
      <c r="CT127" t="s">
        <v>4055</v>
      </c>
      <c r="CU127" t="s">
        <v>4055</v>
      </c>
      <c r="CV127">
        <v>131</v>
      </c>
      <c r="CW127">
        <v>3</v>
      </c>
      <c r="CX127">
        <v>89</v>
      </c>
      <c r="CY127">
        <v>5</v>
      </c>
      <c r="CZ127">
        <v>165</v>
      </c>
      <c r="DA127">
        <v>5</v>
      </c>
      <c r="DB127">
        <v>13850</v>
      </c>
      <c r="DC127">
        <v>410</v>
      </c>
      <c r="DD127">
        <v>369</v>
      </c>
      <c r="DE127">
        <v>2453</v>
      </c>
      <c r="DF127">
        <v>2453</v>
      </c>
      <c r="DG127">
        <v>2462</v>
      </c>
      <c r="DH127">
        <v>1</v>
      </c>
      <c r="DI127" t="s">
        <v>4055</v>
      </c>
      <c r="DJ127" t="s">
        <v>4217</v>
      </c>
      <c r="DK127">
        <v>210</v>
      </c>
      <c r="DL127" t="s">
        <v>4065</v>
      </c>
      <c r="DM127">
        <v>65</v>
      </c>
      <c r="DN127">
        <v>1.26</v>
      </c>
      <c r="DO127">
        <v>1</v>
      </c>
      <c r="DP127">
        <v>2334</v>
      </c>
      <c r="DQ127">
        <v>1183</v>
      </c>
      <c r="DR127" t="s">
        <v>4217</v>
      </c>
      <c r="DS127">
        <v>200</v>
      </c>
      <c r="DT127" t="s">
        <v>4065</v>
      </c>
      <c r="DU127">
        <v>65</v>
      </c>
      <c r="DV127">
        <v>1.26</v>
      </c>
      <c r="DW127">
        <v>1</v>
      </c>
      <c r="DX127">
        <v>2347</v>
      </c>
      <c r="DY127">
        <v>1134</v>
      </c>
      <c r="DZ127" t="s">
        <v>4066</v>
      </c>
      <c r="EA127">
        <v>20</v>
      </c>
      <c r="EB127" t="s">
        <v>4065</v>
      </c>
      <c r="EC127">
        <v>0.8</v>
      </c>
      <c r="ED127">
        <v>2334</v>
      </c>
      <c r="EE127">
        <v>82</v>
      </c>
      <c r="EG127">
        <v>0</v>
      </c>
      <c r="EH127" t="s">
        <v>4065</v>
      </c>
      <c r="EI127">
        <v>0</v>
      </c>
      <c r="EL127" t="s">
        <v>1528</v>
      </c>
      <c r="EM127">
        <v>12</v>
      </c>
      <c r="EN127">
        <v>0.5</v>
      </c>
      <c r="EO127">
        <v>0.96</v>
      </c>
      <c r="EP127">
        <v>2345.84</v>
      </c>
      <c r="EQ127">
        <v>41602.01</v>
      </c>
      <c r="ER127">
        <v>11024.4</v>
      </c>
      <c r="ES127">
        <v>0</v>
      </c>
      <c r="ET127">
        <v>0</v>
      </c>
      <c r="EU127">
        <v>1</v>
      </c>
      <c r="EV127">
        <v>52627</v>
      </c>
      <c r="EW127">
        <v>632</v>
      </c>
      <c r="EX127" t="s">
        <v>4363</v>
      </c>
      <c r="EY127">
        <v>226</v>
      </c>
      <c r="EZ127" t="s">
        <v>4055</v>
      </c>
      <c r="FA127">
        <v>5</v>
      </c>
      <c r="FB127">
        <v>1</v>
      </c>
      <c r="FC127">
        <v>1</v>
      </c>
      <c r="FD127">
        <v>2374</v>
      </c>
      <c r="FE127">
        <v>2815</v>
      </c>
      <c r="FF127" t="s">
        <v>4089</v>
      </c>
      <c r="FG127">
        <v>226</v>
      </c>
      <c r="FH127" t="s">
        <v>4055</v>
      </c>
      <c r="FI127">
        <v>1.6</v>
      </c>
      <c r="FJ127">
        <v>2374</v>
      </c>
      <c r="FK127">
        <v>888</v>
      </c>
      <c r="FL127" t="s">
        <v>4069</v>
      </c>
      <c r="FM127" t="s">
        <v>4055</v>
      </c>
      <c r="FN127" t="s">
        <v>4055</v>
      </c>
      <c r="FO127" t="s">
        <v>4055</v>
      </c>
      <c r="FP127">
        <v>2374</v>
      </c>
      <c r="FQ127">
        <v>220</v>
      </c>
      <c r="FR127" t="s">
        <v>4090</v>
      </c>
      <c r="FS127">
        <v>230</v>
      </c>
      <c r="FT127" t="s">
        <v>4055</v>
      </c>
      <c r="FU127">
        <v>0.4</v>
      </c>
      <c r="FV127">
        <v>2374</v>
      </c>
      <c r="FW127">
        <v>243</v>
      </c>
      <c r="FX127" t="s">
        <v>4070</v>
      </c>
      <c r="FY127">
        <v>5</v>
      </c>
      <c r="FZ127" t="s">
        <v>4055</v>
      </c>
      <c r="GA127" t="s">
        <v>4055</v>
      </c>
      <c r="GB127">
        <v>2374</v>
      </c>
      <c r="GC127">
        <v>19</v>
      </c>
      <c r="GD127">
        <v>4185</v>
      </c>
      <c r="GE127" t="s">
        <v>4558</v>
      </c>
      <c r="GF127" t="s">
        <v>4055</v>
      </c>
      <c r="GG127" t="s">
        <v>4055</v>
      </c>
      <c r="GH127" t="s">
        <v>4055</v>
      </c>
      <c r="GI127" t="s">
        <v>4071</v>
      </c>
      <c r="GJ127" t="s">
        <v>4055</v>
      </c>
      <c r="GK127" t="s">
        <v>4055</v>
      </c>
      <c r="GL127" t="s">
        <v>4055</v>
      </c>
      <c r="GM127" t="s">
        <v>4055</v>
      </c>
      <c r="GQ127">
        <v>0</v>
      </c>
      <c r="GV127">
        <v>7</v>
      </c>
      <c r="GW127">
        <v>8.199999999999999</v>
      </c>
      <c r="GX127">
        <v>0.5</v>
      </c>
      <c r="GY127">
        <v>206</v>
      </c>
      <c r="GZ127">
        <v>3</v>
      </c>
      <c r="HA127">
        <v>252</v>
      </c>
      <c r="HB127">
        <v>3</v>
      </c>
      <c r="HC127">
        <v>2374</v>
      </c>
      <c r="HD127">
        <v>4</v>
      </c>
      <c r="HE127" t="s">
        <v>4071</v>
      </c>
      <c r="HG127" t="s">
        <v>549</v>
      </c>
      <c r="HL127">
        <v>4</v>
      </c>
      <c r="HM127">
        <v>20</v>
      </c>
      <c r="HN127">
        <v>6</v>
      </c>
      <c r="HO127">
        <v>1</v>
      </c>
      <c r="HP127">
        <v>0</v>
      </c>
      <c r="HQ127">
        <v>0</v>
      </c>
      <c r="HR127">
        <v>1</v>
      </c>
      <c r="HS127">
        <v>2330</v>
      </c>
      <c r="HT127">
        <v>5</v>
      </c>
      <c r="HU127">
        <v>1</v>
      </c>
      <c r="HV127">
        <v>3</v>
      </c>
      <c r="HW127">
        <v>0</v>
      </c>
      <c r="HX127">
        <v>1</v>
      </c>
      <c r="HY127">
        <v>0</v>
      </c>
      <c r="HZ127">
        <v>65</v>
      </c>
      <c r="IA127">
        <v>2334</v>
      </c>
      <c r="IB127">
        <v>2347</v>
      </c>
      <c r="ID127">
        <v>2374</v>
      </c>
      <c r="IE127">
        <v>2374</v>
      </c>
      <c r="IF127">
        <v>210</v>
      </c>
      <c r="IG127">
        <v>200</v>
      </c>
      <c r="IH127">
        <v>252</v>
      </c>
      <c r="II127">
        <v>1</v>
      </c>
      <c r="IJ127">
        <v>5</v>
      </c>
      <c r="IK127">
        <v>0</v>
      </c>
      <c r="IL127">
        <v>0</v>
      </c>
      <c r="IM127">
        <v>0</v>
      </c>
      <c r="IN127">
        <v>270</v>
      </c>
      <c r="IO127">
        <v>0</v>
      </c>
      <c r="IP127">
        <v>180</v>
      </c>
      <c r="IQ127">
        <v>0</v>
      </c>
      <c r="IR127">
        <v>330</v>
      </c>
      <c r="IS127">
        <v>0</v>
      </c>
      <c r="IT127">
        <v>90</v>
      </c>
      <c r="IU127">
        <v>0</v>
      </c>
      <c r="IV127">
        <v>6.4</v>
      </c>
      <c r="IW127">
        <v>-6</v>
      </c>
      <c r="IX127">
        <v>107.5</v>
      </c>
      <c r="IY127">
        <v>77.5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446</v>
      </c>
      <c r="JJ127">
        <v>416</v>
      </c>
      <c r="JK127">
        <v>295</v>
      </c>
      <c r="JL127">
        <v>414</v>
      </c>
      <c r="JM127">
        <v>315</v>
      </c>
      <c r="JN127">
        <v>210</v>
      </c>
      <c r="JO127">
        <v>262</v>
      </c>
      <c r="JP127">
        <v>225</v>
      </c>
      <c r="JQ127">
        <v>260</v>
      </c>
      <c r="JR127">
        <v>275</v>
      </c>
      <c r="JS127">
        <v>235</v>
      </c>
      <c r="JT127">
        <v>0</v>
      </c>
      <c r="JU127">
        <v>0</v>
      </c>
      <c r="JV127">
        <v>270</v>
      </c>
      <c r="JW127">
        <v>260</v>
      </c>
      <c r="JX127">
        <v>0</v>
      </c>
      <c r="JY127">
        <v>0</v>
      </c>
      <c r="JZ127">
        <v>0</v>
      </c>
      <c r="KA127">
        <v>0.2</v>
      </c>
      <c r="KB127">
        <v>0.4</v>
      </c>
      <c r="KC127">
        <v>0.42</v>
      </c>
      <c r="KD127">
        <v>0.3</v>
      </c>
      <c r="KE127">
        <v>0.5</v>
      </c>
      <c r="KF127">
        <v>0.2</v>
      </c>
      <c r="KG127">
        <v>0.12</v>
      </c>
      <c r="KH127">
        <v>3.5</v>
      </c>
      <c r="KI127">
        <v>1</v>
      </c>
      <c r="KJ127">
        <v>4.5</v>
      </c>
      <c r="KK127">
        <v>0</v>
      </c>
      <c r="KL127">
        <v>4.5</v>
      </c>
      <c r="KM127">
        <v>0.5</v>
      </c>
      <c r="KN127">
        <v>2.2</v>
      </c>
      <c r="KO127">
        <v>1</v>
      </c>
      <c r="KP127">
        <v>0</v>
      </c>
      <c r="KQ127">
        <v>0.5</v>
      </c>
      <c r="KR127">
        <v>0.5</v>
      </c>
      <c r="KS127">
        <v>0</v>
      </c>
      <c r="KT127">
        <v>2.7</v>
      </c>
      <c r="KU127">
        <v>0</v>
      </c>
      <c r="KV127">
        <v>0</v>
      </c>
      <c r="KW127">
        <v>1.2</v>
      </c>
      <c r="KX127">
        <v>1</v>
      </c>
      <c r="KY127">
        <v>1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3</v>
      </c>
      <c r="LI127">
        <v>0</v>
      </c>
      <c r="LJ127">
        <v>0</v>
      </c>
      <c r="LK127">
        <v>11</v>
      </c>
      <c r="LL127">
        <v>9</v>
      </c>
      <c r="LM127">
        <v>13</v>
      </c>
      <c r="LN127">
        <v>3</v>
      </c>
      <c r="LO127">
        <v>3</v>
      </c>
      <c r="LP127">
        <v>0</v>
      </c>
      <c r="LQ127">
        <v>0</v>
      </c>
      <c r="LR127">
        <v>0</v>
      </c>
      <c r="LS127">
        <v>1</v>
      </c>
      <c r="LT127">
        <v>0</v>
      </c>
      <c r="LU127">
        <v>0</v>
      </c>
      <c r="LV127">
        <v>0</v>
      </c>
      <c r="LW127">
        <v>1.8</v>
      </c>
      <c r="LX127">
        <v>1.8</v>
      </c>
      <c r="LY127">
        <v>2.1</v>
      </c>
      <c r="LZ127">
        <v>2.1</v>
      </c>
      <c r="MA127">
        <v>0</v>
      </c>
      <c r="MB127">
        <v>5</v>
      </c>
      <c r="MC127">
        <v>0</v>
      </c>
      <c r="MD127">
        <v>4.5</v>
      </c>
      <c r="ME127">
        <v>6</v>
      </c>
      <c r="MF127">
        <v>6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452</v>
      </c>
      <c r="MN127">
        <v>205</v>
      </c>
      <c r="MO127">
        <v>262</v>
      </c>
      <c r="NU127">
        <v>0.15</v>
      </c>
      <c r="NV127">
        <v>0.2</v>
      </c>
      <c r="NW127">
        <v>0.2</v>
      </c>
      <c r="NX127">
        <v>0.2</v>
      </c>
      <c r="NY127">
        <v>0.2</v>
      </c>
      <c r="NZ127">
        <v>0.2</v>
      </c>
      <c r="OE127" t="s">
        <v>4558</v>
      </c>
      <c r="OF127" t="s">
        <v>4552</v>
      </c>
      <c r="OG127" t="s">
        <v>4553</v>
      </c>
      <c r="OH127" t="s">
        <v>4043</v>
      </c>
      <c r="OI127" t="s">
        <v>4558</v>
      </c>
      <c r="OJ127" t="s">
        <v>4557</v>
      </c>
      <c r="OK127">
        <v>61</v>
      </c>
      <c r="OL127">
        <v>61</v>
      </c>
      <c r="OM127" t="s">
        <v>4552</v>
      </c>
      <c r="ON127">
        <v>1</v>
      </c>
      <c r="OO127">
        <v>2334</v>
      </c>
      <c r="OP127">
        <v>61</v>
      </c>
      <c r="OQ127">
        <v>61</v>
      </c>
      <c r="OR127" t="s">
        <v>4553</v>
      </c>
      <c r="OS127">
        <v>1</v>
      </c>
      <c r="OT127">
        <v>2347</v>
      </c>
      <c r="OU127">
        <v>65</v>
      </c>
      <c r="OV127">
        <v>65</v>
      </c>
      <c r="OW127" t="s">
        <v>4043</v>
      </c>
      <c r="OX127">
        <v>2</v>
      </c>
      <c r="OY127">
        <v>52627</v>
      </c>
      <c r="OZ127">
        <v>51</v>
      </c>
      <c r="PA127">
        <v>51</v>
      </c>
      <c r="PB127" t="s">
        <v>4558</v>
      </c>
      <c r="PC127">
        <v>1</v>
      </c>
      <c r="PD127">
        <v>2374</v>
      </c>
      <c r="PF127">
        <v>507</v>
      </c>
      <c r="PG127">
        <v>35</v>
      </c>
      <c r="PH127">
        <v>483</v>
      </c>
      <c r="PI127">
        <v>0</v>
      </c>
      <c r="PJ127">
        <v>92.7</v>
      </c>
      <c r="PK127">
        <v>1759</v>
      </c>
      <c r="PL127">
        <v>1185.6</v>
      </c>
      <c r="PM127">
        <v>373.9</v>
      </c>
      <c r="PN127">
        <v>102.3</v>
      </c>
      <c r="PO127">
        <v>8.1</v>
      </c>
      <c r="PP127">
        <v>12</v>
      </c>
      <c r="PQ127">
        <v>4</v>
      </c>
      <c r="PR127">
        <v>6</v>
      </c>
      <c r="PS127">
        <v>0</v>
      </c>
      <c r="PT127">
        <v>252</v>
      </c>
      <c r="PU127">
        <v>13</v>
      </c>
      <c r="PV127" t="s">
        <v>4072</v>
      </c>
      <c r="PW127" t="s">
        <v>4072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-1</v>
      </c>
      <c r="QF127">
        <v>1</v>
      </c>
      <c r="QG127">
        <v>0</v>
      </c>
      <c r="QH127">
        <v>5</v>
      </c>
      <c r="QI127">
        <v>5</v>
      </c>
      <c r="QJ127">
        <v>5</v>
      </c>
      <c r="QK127">
        <v>239</v>
      </c>
      <c r="QL127">
        <v>476</v>
      </c>
      <c r="QM127">
        <v>7.5</v>
      </c>
      <c r="QN127">
        <v>1623.8</v>
      </c>
      <c r="QO127" t="s">
        <v>1888</v>
      </c>
      <c r="QP127" t="s">
        <v>513</v>
      </c>
      <c r="QQ127">
        <v>0</v>
      </c>
      <c r="QR127" t="s">
        <v>596</v>
      </c>
      <c r="QS127">
        <v>40</v>
      </c>
      <c r="QT127">
        <v>50</v>
      </c>
    </row>
    <row r="128" spans="1:462">
      <c r="A128" t="s">
        <v>2076</v>
      </c>
      <c r="B128" t="s">
        <v>727</v>
      </c>
      <c r="C128" t="s">
        <v>509</v>
      </c>
      <c r="D128" t="s">
        <v>1073</v>
      </c>
      <c r="E128" t="s">
        <v>4036</v>
      </c>
      <c r="H128" t="s">
        <v>604</v>
      </c>
      <c r="I128" t="s">
        <v>605</v>
      </c>
      <c r="J128" t="s">
        <v>628</v>
      </c>
      <c r="K128" t="s">
        <v>606</v>
      </c>
      <c r="L128" t="s">
        <v>729</v>
      </c>
      <c r="M128" t="s">
        <v>512</v>
      </c>
      <c r="O128" t="s">
        <v>513</v>
      </c>
      <c r="P128" t="s">
        <v>567</v>
      </c>
      <c r="Q128" t="s">
        <v>2077</v>
      </c>
      <c r="R128" t="s">
        <v>1812</v>
      </c>
      <c r="S128" t="s">
        <v>4037</v>
      </c>
      <c r="T128" t="s">
        <v>1482</v>
      </c>
      <c r="U128" t="s">
        <v>1483</v>
      </c>
      <c r="V128" t="s">
        <v>2078</v>
      </c>
      <c r="W128" t="s">
        <v>1880</v>
      </c>
      <c r="X128" t="s">
        <v>2079</v>
      </c>
      <c r="Y128" t="s">
        <v>2080</v>
      </c>
      <c r="Z128" t="s">
        <v>541</v>
      </c>
      <c r="AA128" t="s">
        <v>4038</v>
      </c>
      <c r="AB128" t="s">
        <v>4559</v>
      </c>
      <c r="AC128">
        <v>9</v>
      </c>
      <c r="AD128" t="s">
        <v>2075</v>
      </c>
      <c r="AE128">
        <v>10</v>
      </c>
      <c r="AF128">
        <v>3247</v>
      </c>
      <c r="AG128" t="s">
        <v>4496</v>
      </c>
      <c r="AH128">
        <v>1</v>
      </c>
      <c r="AI128" t="s">
        <v>4041</v>
      </c>
      <c r="AK128" t="s">
        <v>4497</v>
      </c>
      <c r="AL128">
        <v>1</v>
      </c>
      <c r="AM128" t="s">
        <v>582</v>
      </c>
      <c r="AO128" t="s">
        <v>4353</v>
      </c>
      <c r="AP128">
        <v>1</v>
      </c>
      <c r="AR128" t="s">
        <v>4560</v>
      </c>
      <c r="AS128">
        <v>1</v>
      </c>
      <c r="AT128">
        <v>52</v>
      </c>
      <c r="AV128" t="s">
        <v>4045</v>
      </c>
      <c r="AW128">
        <v>6.4</v>
      </c>
      <c r="AX128">
        <v>-6</v>
      </c>
      <c r="AY128">
        <v>86</v>
      </c>
      <c r="AZ128">
        <v>77</v>
      </c>
      <c r="BH128">
        <v>86</v>
      </c>
      <c r="BI128">
        <v>9</v>
      </c>
      <c r="BJ128">
        <v>77</v>
      </c>
      <c r="BK128">
        <v>3.5</v>
      </c>
      <c r="BL128">
        <v>172</v>
      </c>
      <c r="BM128">
        <v>-6</v>
      </c>
      <c r="BN128">
        <v>0</v>
      </c>
      <c r="BP128">
        <v>0</v>
      </c>
      <c r="BR128">
        <v>165</v>
      </c>
      <c r="BS128">
        <v>155</v>
      </c>
      <c r="BT128">
        <v>1745</v>
      </c>
      <c r="BU128" t="s">
        <v>4046</v>
      </c>
      <c r="BV128" t="s">
        <v>4046</v>
      </c>
      <c r="BW128" t="s">
        <v>4048</v>
      </c>
      <c r="BX128" t="s">
        <v>4048</v>
      </c>
      <c r="BY128" t="s">
        <v>4369</v>
      </c>
      <c r="BZ128" t="s">
        <v>4369</v>
      </c>
      <c r="CA128" t="s">
        <v>4370</v>
      </c>
      <c r="CB128" t="s">
        <v>4371</v>
      </c>
      <c r="CC128" t="s">
        <v>4053</v>
      </c>
      <c r="CD128" t="s">
        <v>4372</v>
      </c>
      <c r="CE128" t="s">
        <v>4055</v>
      </c>
      <c r="CF128" t="s">
        <v>4055</v>
      </c>
      <c r="CG128" t="s">
        <v>4056</v>
      </c>
      <c r="CH128" t="s">
        <v>4145</v>
      </c>
      <c r="CI128" t="s">
        <v>4216</v>
      </c>
      <c r="CJ128" t="s">
        <v>4059</v>
      </c>
      <c r="CK128" t="s">
        <v>4060</v>
      </c>
      <c r="CL128" t="s">
        <v>4061</v>
      </c>
      <c r="CM128" t="s">
        <v>4055</v>
      </c>
      <c r="CN128" t="s">
        <v>4062</v>
      </c>
      <c r="CO128" t="s">
        <v>4063</v>
      </c>
      <c r="CP128" t="s">
        <v>4055</v>
      </c>
      <c r="CQ128" t="s">
        <v>4055</v>
      </c>
      <c r="CR128">
        <v>5</v>
      </c>
      <c r="CS128" t="s">
        <v>4055</v>
      </c>
      <c r="CT128" t="s">
        <v>4055</v>
      </c>
      <c r="CU128" t="s">
        <v>4055</v>
      </c>
      <c r="CV128">
        <v>103</v>
      </c>
      <c r="CW128">
        <v>3</v>
      </c>
      <c r="CX128">
        <v>66</v>
      </c>
      <c r="CY128">
        <v>5</v>
      </c>
      <c r="CZ128">
        <v>57</v>
      </c>
      <c r="DA128">
        <v>5</v>
      </c>
      <c r="DB128">
        <v>7210</v>
      </c>
      <c r="DC128">
        <v>110</v>
      </c>
      <c r="DD128">
        <v>281</v>
      </c>
      <c r="DE128">
        <v>1837</v>
      </c>
      <c r="DF128">
        <v>1832</v>
      </c>
      <c r="DG128">
        <v>1847</v>
      </c>
      <c r="DH128">
        <v>3</v>
      </c>
      <c r="DI128" t="s">
        <v>4055</v>
      </c>
      <c r="DJ128" t="s">
        <v>4100</v>
      </c>
      <c r="DK128">
        <v>165</v>
      </c>
      <c r="DL128" t="s">
        <v>4101</v>
      </c>
      <c r="DM128">
        <v>63</v>
      </c>
      <c r="DN128">
        <v>0.84</v>
      </c>
      <c r="DO128">
        <v>1</v>
      </c>
      <c r="DP128">
        <v>1748</v>
      </c>
      <c r="DQ128">
        <v>528</v>
      </c>
      <c r="DR128" t="s">
        <v>4100</v>
      </c>
      <c r="DS128">
        <v>155</v>
      </c>
      <c r="DT128" t="s">
        <v>4101</v>
      </c>
      <c r="DU128">
        <v>63</v>
      </c>
      <c r="DV128">
        <v>0.84</v>
      </c>
      <c r="DW128">
        <v>1</v>
      </c>
      <c r="DX128">
        <v>1755</v>
      </c>
      <c r="DY128">
        <v>497</v>
      </c>
      <c r="DZ128" t="s">
        <v>4066</v>
      </c>
      <c r="EA128">
        <v>33</v>
      </c>
      <c r="EB128" t="s">
        <v>4065</v>
      </c>
      <c r="EC128">
        <v>0.4</v>
      </c>
      <c r="ED128">
        <v>1748</v>
      </c>
      <c r="EE128">
        <v>51</v>
      </c>
      <c r="EF128" t="s">
        <v>4066</v>
      </c>
      <c r="EG128">
        <v>33</v>
      </c>
      <c r="EH128" t="s">
        <v>4065</v>
      </c>
      <c r="EI128">
        <v>0.4</v>
      </c>
      <c r="EJ128">
        <v>1755</v>
      </c>
      <c r="EK128">
        <v>51</v>
      </c>
      <c r="EL128" t="s">
        <v>4362</v>
      </c>
      <c r="EM128">
        <v>12</v>
      </c>
      <c r="EN128">
        <v>0.5</v>
      </c>
      <c r="EO128">
        <v>0.77</v>
      </c>
      <c r="EP128">
        <v>1755.56</v>
      </c>
      <c r="EQ128">
        <v>25236.18</v>
      </c>
      <c r="ER128">
        <v>2475.56</v>
      </c>
      <c r="ES128">
        <v>0</v>
      </c>
      <c r="ET128">
        <v>0</v>
      </c>
      <c r="EU128">
        <v>1</v>
      </c>
      <c r="EV128">
        <v>27712</v>
      </c>
      <c r="EW128">
        <v>278</v>
      </c>
      <c r="EX128" t="s">
        <v>4363</v>
      </c>
      <c r="EY128">
        <v>180</v>
      </c>
      <c r="EZ128" t="s">
        <v>4055</v>
      </c>
      <c r="FA128">
        <v>5.8</v>
      </c>
      <c r="FB128">
        <v>1</v>
      </c>
      <c r="FC128">
        <v>1</v>
      </c>
      <c r="FD128">
        <v>1784</v>
      </c>
      <c r="FE128">
        <v>1987</v>
      </c>
      <c r="FF128" t="s">
        <v>4089</v>
      </c>
      <c r="FG128">
        <v>180</v>
      </c>
      <c r="FH128" t="s">
        <v>4055</v>
      </c>
      <c r="FI128">
        <v>1.1</v>
      </c>
      <c r="FJ128">
        <v>1784</v>
      </c>
      <c r="FK128">
        <v>341</v>
      </c>
      <c r="FL128" t="s">
        <v>4069</v>
      </c>
      <c r="FM128" t="s">
        <v>4055</v>
      </c>
      <c r="FN128" t="s">
        <v>4055</v>
      </c>
      <c r="FO128" t="s">
        <v>4055</v>
      </c>
      <c r="FP128">
        <v>1784</v>
      </c>
      <c r="FQ128">
        <v>70</v>
      </c>
      <c r="FR128" t="s">
        <v>4090</v>
      </c>
      <c r="FS128">
        <v>184</v>
      </c>
      <c r="FT128" t="s">
        <v>4055</v>
      </c>
      <c r="FU128">
        <v>0.4</v>
      </c>
      <c r="FV128">
        <v>1784</v>
      </c>
      <c r="FW128">
        <v>145</v>
      </c>
      <c r="FX128" t="s">
        <v>4070</v>
      </c>
      <c r="FY128">
        <v>10</v>
      </c>
      <c r="FZ128" t="s">
        <v>4055</v>
      </c>
      <c r="GA128" t="s">
        <v>4055</v>
      </c>
      <c r="GB128">
        <v>1784</v>
      </c>
      <c r="GC128">
        <v>15</v>
      </c>
      <c r="GD128">
        <v>2558</v>
      </c>
      <c r="GE128" t="s">
        <v>4560</v>
      </c>
      <c r="GF128" t="s">
        <v>4055</v>
      </c>
      <c r="GG128" t="s">
        <v>4055</v>
      </c>
      <c r="GH128" t="s">
        <v>4055</v>
      </c>
      <c r="GI128" t="s">
        <v>4071</v>
      </c>
      <c r="GJ128" t="s">
        <v>4055</v>
      </c>
      <c r="GK128" t="s">
        <v>4055</v>
      </c>
      <c r="GL128" t="s">
        <v>4055</v>
      </c>
      <c r="GM128" t="s">
        <v>4055</v>
      </c>
      <c r="GQ128">
        <v>0</v>
      </c>
      <c r="GV128">
        <v>7.3</v>
      </c>
      <c r="GW128">
        <v>7.9</v>
      </c>
      <c r="GX128">
        <v>0.5</v>
      </c>
      <c r="GY128">
        <v>144</v>
      </c>
      <c r="GZ128">
        <v>3</v>
      </c>
      <c r="HA128">
        <v>194</v>
      </c>
      <c r="HB128">
        <v>3</v>
      </c>
      <c r="HC128">
        <v>1784</v>
      </c>
      <c r="HD128">
        <v>4</v>
      </c>
      <c r="HE128" t="s">
        <v>4071</v>
      </c>
      <c r="HG128" t="s">
        <v>549</v>
      </c>
      <c r="HL128">
        <v>4</v>
      </c>
      <c r="HM128">
        <v>15</v>
      </c>
      <c r="HN128">
        <v>6</v>
      </c>
      <c r="HO128">
        <v>1</v>
      </c>
      <c r="HP128">
        <v>0</v>
      </c>
      <c r="HQ128">
        <v>0</v>
      </c>
      <c r="HR128">
        <v>1</v>
      </c>
      <c r="HS128">
        <v>1745</v>
      </c>
      <c r="HT128">
        <v>5</v>
      </c>
      <c r="HU128">
        <v>1</v>
      </c>
      <c r="HV128">
        <v>5</v>
      </c>
      <c r="HW128">
        <v>0</v>
      </c>
      <c r="HX128">
        <v>1</v>
      </c>
      <c r="HY128">
        <v>0</v>
      </c>
      <c r="HZ128">
        <v>63</v>
      </c>
      <c r="IA128">
        <v>1748</v>
      </c>
      <c r="IB128">
        <v>1755</v>
      </c>
      <c r="ID128">
        <v>1784</v>
      </c>
      <c r="IE128">
        <v>1784</v>
      </c>
      <c r="IF128">
        <v>165</v>
      </c>
      <c r="IG128">
        <v>155</v>
      </c>
      <c r="IH128">
        <v>194</v>
      </c>
      <c r="II128">
        <v>1</v>
      </c>
      <c r="IJ128">
        <v>5</v>
      </c>
      <c r="IK128">
        <v>0</v>
      </c>
      <c r="IL128">
        <v>2</v>
      </c>
      <c r="IM128">
        <v>0</v>
      </c>
      <c r="IN128">
        <v>270</v>
      </c>
      <c r="IO128">
        <v>0</v>
      </c>
      <c r="IP128">
        <v>180</v>
      </c>
      <c r="IQ128">
        <v>0</v>
      </c>
      <c r="IR128">
        <v>310</v>
      </c>
      <c r="IS128">
        <v>0</v>
      </c>
      <c r="IT128">
        <v>90</v>
      </c>
      <c r="IU128">
        <v>0</v>
      </c>
      <c r="IV128">
        <v>6.4</v>
      </c>
      <c r="IW128">
        <v>-6</v>
      </c>
      <c r="IX128">
        <v>86</v>
      </c>
      <c r="IY128">
        <v>77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328</v>
      </c>
      <c r="JJ128">
        <v>278</v>
      </c>
      <c r="JK128">
        <v>212</v>
      </c>
      <c r="JL128">
        <v>274</v>
      </c>
      <c r="JM128">
        <v>222</v>
      </c>
      <c r="JN128">
        <v>165</v>
      </c>
      <c r="JO128">
        <v>208</v>
      </c>
      <c r="JP128">
        <v>225</v>
      </c>
      <c r="JQ128">
        <v>275</v>
      </c>
      <c r="JR128">
        <v>346</v>
      </c>
      <c r="JS128">
        <v>260</v>
      </c>
      <c r="JT128">
        <v>0</v>
      </c>
      <c r="JU128">
        <v>0</v>
      </c>
      <c r="JV128">
        <v>335</v>
      </c>
      <c r="JW128">
        <v>337</v>
      </c>
      <c r="JX128">
        <v>340</v>
      </c>
      <c r="JY128">
        <v>320</v>
      </c>
      <c r="JZ128">
        <v>1</v>
      </c>
      <c r="KA128">
        <v>0.2</v>
      </c>
      <c r="KB128">
        <v>0.4</v>
      </c>
      <c r="KC128">
        <v>0.42</v>
      </c>
      <c r="KD128">
        <v>0.28</v>
      </c>
      <c r="KE128">
        <v>0.5</v>
      </c>
      <c r="KF128">
        <v>0.2</v>
      </c>
      <c r="KG128">
        <v>0.1</v>
      </c>
      <c r="KH128">
        <v>6</v>
      </c>
      <c r="KI128">
        <v>1.5</v>
      </c>
      <c r="KJ128">
        <v>4.5</v>
      </c>
      <c r="KK128">
        <v>0</v>
      </c>
      <c r="KL128">
        <v>4.5</v>
      </c>
      <c r="KM128">
        <v>1</v>
      </c>
      <c r="KN128">
        <v>1</v>
      </c>
      <c r="KO128">
        <v>0</v>
      </c>
      <c r="KP128">
        <v>0</v>
      </c>
      <c r="KQ128">
        <v>0.8</v>
      </c>
      <c r="KR128">
        <v>0.5</v>
      </c>
      <c r="KS128">
        <v>0</v>
      </c>
      <c r="KT128">
        <v>1.5</v>
      </c>
      <c r="KU128">
        <v>0</v>
      </c>
      <c r="KV128">
        <v>0</v>
      </c>
      <c r="KW128">
        <v>1.5</v>
      </c>
      <c r="KX128">
        <v>2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2.8</v>
      </c>
      <c r="LI128">
        <v>2</v>
      </c>
      <c r="LJ128">
        <v>0</v>
      </c>
      <c r="LK128">
        <v>5</v>
      </c>
      <c r="LL128">
        <v>1.5</v>
      </c>
      <c r="LM128">
        <v>7</v>
      </c>
      <c r="LN128">
        <v>0.5</v>
      </c>
      <c r="LO128">
        <v>0.1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1.4</v>
      </c>
      <c r="LX128">
        <v>1.4</v>
      </c>
      <c r="LY128">
        <v>2.1</v>
      </c>
      <c r="LZ128">
        <v>2.1</v>
      </c>
      <c r="MA128">
        <v>0</v>
      </c>
      <c r="MB128">
        <v>0</v>
      </c>
      <c r="MC128">
        <v>0</v>
      </c>
      <c r="MD128">
        <v>4.5</v>
      </c>
      <c r="ME128">
        <v>6</v>
      </c>
      <c r="MF128">
        <v>6</v>
      </c>
      <c r="MI128">
        <v>0</v>
      </c>
      <c r="MJ128">
        <v>0</v>
      </c>
      <c r="ML128">
        <v>0</v>
      </c>
      <c r="MM128">
        <v>326</v>
      </c>
      <c r="MN128">
        <v>185</v>
      </c>
      <c r="MO128">
        <v>210</v>
      </c>
      <c r="NU128">
        <v>0.15</v>
      </c>
      <c r="NV128">
        <v>0.2</v>
      </c>
      <c r="NW128">
        <v>0.2</v>
      </c>
      <c r="NX128">
        <v>2</v>
      </c>
      <c r="NY128">
        <v>2</v>
      </c>
      <c r="NZ128">
        <v>2</v>
      </c>
      <c r="OE128" t="s">
        <v>4560</v>
      </c>
      <c r="OF128" t="s">
        <v>4496</v>
      </c>
      <c r="OG128" t="s">
        <v>4497</v>
      </c>
      <c r="OH128" t="s">
        <v>4353</v>
      </c>
      <c r="OI128" t="s">
        <v>4560</v>
      </c>
      <c r="OJ128" t="s">
        <v>4559</v>
      </c>
      <c r="OK128">
        <v>61</v>
      </c>
      <c r="OL128">
        <v>61</v>
      </c>
      <c r="OM128" t="s">
        <v>4496</v>
      </c>
      <c r="ON128">
        <v>3</v>
      </c>
      <c r="OO128">
        <v>1748</v>
      </c>
      <c r="OP128">
        <v>61</v>
      </c>
      <c r="OQ128">
        <v>61</v>
      </c>
      <c r="OR128" t="s">
        <v>4497</v>
      </c>
      <c r="OS128">
        <v>3</v>
      </c>
      <c r="OT128">
        <v>1755</v>
      </c>
      <c r="OU128">
        <v>65</v>
      </c>
      <c r="OV128">
        <v>65</v>
      </c>
      <c r="OW128" t="s">
        <v>4353</v>
      </c>
      <c r="OX128">
        <v>1</v>
      </c>
      <c r="OY128">
        <v>27712</v>
      </c>
      <c r="OZ128">
        <v>51</v>
      </c>
      <c r="PA128">
        <v>52</v>
      </c>
      <c r="PB128" t="s">
        <v>4560</v>
      </c>
      <c r="PC128">
        <v>6</v>
      </c>
      <c r="PD128">
        <v>1784</v>
      </c>
      <c r="PF128">
        <v>302</v>
      </c>
      <c r="PG128">
        <v>29</v>
      </c>
      <c r="PH128">
        <v>283</v>
      </c>
      <c r="PI128">
        <v>29</v>
      </c>
      <c r="PJ128">
        <v>39.5</v>
      </c>
      <c r="PK128">
        <v>1478</v>
      </c>
      <c r="PL128">
        <v>1113.8</v>
      </c>
      <c r="PM128">
        <v>191.2</v>
      </c>
      <c r="PN128">
        <v>81.3</v>
      </c>
      <c r="PO128">
        <v>8.5</v>
      </c>
      <c r="PP128">
        <v>10</v>
      </c>
      <c r="PQ128">
        <v>2</v>
      </c>
      <c r="PR128">
        <v>2</v>
      </c>
      <c r="PS128">
        <v>6</v>
      </c>
      <c r="PT128">
        <v>194</v>
      </c>
      <c r="PU128">
        <v>7</v>
      </c>
      <c r="PV128" t="s">
        <v>4072</v>
      </c>
      <c r="PW128" t="s">
        <v>4072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-1</v>
      </c>
      <c r="QF128">
        <v>1</v>
      </c>
      <c r="QG128">
        <v>0</v>
      </c>
      <c r="QH128">
        <v>5</v>
      </c>
      <c r="QI128">
        <v>5</v>
      </c>
      <c r="QJ128">
        <v>5</v>
      </c>
      <c r="QK128">
        <v>181</v>
      </c>
      <c r="QL128">
        <v>358</v>
      </c>
      <c r="QM128">
        <v>7.5</v>
      </c>
      <c r="QN128">
        <v>1202.7</v>
      </c>
      <c r="QO128" t="s">
        <v>1888</v>
      </c>
      <c r="QP128" t="s">
        <v>513</v>
      </c>
      <c r="QQ128">
        <v>0</v>
      </c>
      <c r="QR128" t="s">
        <v>1343</v>
      </c>
      <c r="QS128">
        <v>40</v>
      </c>
      <c r="QT128">
        <v>50</v>
      </c>
    </row>
    <row r="129" spans="1:462">
      <c r="A129" t="s">
        <v>2084</v>
      </c>
      <c r="B129" t="s">
        <v>711</v>
      </c>
      <c r="C129" t="s">
        <v>509</v>
      </c>
      <c r="D129" t="s">
        <v>1335</v>
      </c>
      <c r="E129" t="s">
        <v>4036</v>
      </c>
      <c r="H129" t="s">
        <v>1135</v>
      </c>
      <c r="J129" t="s">
        <v>562</v>
      </c>
      <c r="K129" t="s">
        <v>563</v>
      </c>
      <c r="L129" t="s">
        <v>804</v>
      </c>
      <c r="M129" t="s">
        <v>512</v>
      </c>
      <c r="O129" t="s">
        <v>513</v>
      </c>
      <c r="P129" t="s">
        <v>567</v>
      </c>
      <c r="Q129" t="s">
        <v>1728</v>
      </c>
      <c r="R129" t="s">
        <v>759</v>
      </c>
      <c r="S129" t="s">
        <v>4037</v>
      </c>
      <c r="T129" t="s">
        <v>520</v>
      </c>
      <c r="U129" t="s">
        <v>521</v>
      </c>
      <c r="V129" t="s">
        <v>2085</v>
      </c>
      <c r="W129" t="s">
        <v>1880</v>
      </c>
      <c r="X129" t="s">
        <v>2086</v>
      </c>
      <c r="Y129" t="s">
        <v>2087</v>
      </c>
      <c r="Z129" t="s">
        <v>541</v>
      </c>
      <c r="AA129" t="s">
        <v>4038</v>
      </c>
      <c r="AB129" t="s">
        <v>4561</v>
      </c>
      <c r="AC129">
        <v>9</v>
      </c>
      <c r="AD129" t="s">
        <v>2083</v>
      </c>
      <c r="AE129">
        <v>3</v>
      </c>
      <c r="AF129">
        <v>4321</v>
      </c>
      <c r="AG129" t="s">
        <v>4166</v>
      </c>
      <c r="AH129">
        <v>1</v>
      </c>
      <c r="AI129" t="s">
        <v>4041</v>
      </c>
      <c r="AK129" t="s">
        <v>4167</v>
      </c>
      <c r="AL129">
        <v>1</v>
      </c>
      <c r="AM129" t="s">
        <v>582</v>
      </c>
      <c r="AO129" t="s">
        <v>4043</v>
      </c>
      <c r="AP129">
        <v>1</v>
      </c>
      <c r="AR129" t="s">
        <v>4562</v>
      </c>
      <c r="AS129">
        <v>1</v>
      </c>
      <c r="AT129">
        <v>51</v>
      </c>
      <c r="AV129" t="s">
        <v>4078</v>
      </c>
      <c r="AW129">
        <v>6.4</v>
      </c>
      <c r="AX129">
        <v>-6</v>
      </c>
      <c r="AY129">
        <v>92.5</v>
      </c>
      <c r="AZ129">
        <v>66</v>
      </c>
      <c r="BH129">
        <v>92.5</v>
      </c>
      <c r="BI129">
        <v>26.5</v>
      </c>
      <c r="BJ129">
        <v>66</v>
      </c>
      <c r="BK129">
        <v>2.5</v>
      </c>
      <c r="BL129">
        <v>185</v>
      </c>
      <c r="BM129">
        <v>-6</v>
      </c>
      <c r="BN129">
        <v>0</v>
      </c>
      <c r="BO129">
        <v>0</v>
      </c>
      <c r="BP129">
        <v>0</v>
      </c>
      <c r="BR129">
        <v>180</v>
      </c>
      <c r="BS129">
        <v>170</v>
      </c>
      <c r="BT129">
        <v>1885</v>
      </c>
      <c r="BU129" t="s">
        <v>4047</v>
      </c>
      <c r="BV129" t="s">
        <v>4047</v>
      </c>
      <c r="BW129" t="s">
        <v>4049</v>
      </c>
      <c r="BX129" t="s">
        <v>4049</v>
      </c>
      <c r="BY129" t="s">
        <v>4050</v>
      </c>
      <c r="BZ129" t="s">
        <v>4144</v>
      </c>
      <c r="CA129" t="s">
        <v>4051</v>
      </c>
      <c r="CB129" t="s">
        <v>4052</v>
      </c>
      <c r="CC129" t="s">
        <v>4053</v>
      </c>
      <c r="CD129" t="s">
        <v>4054</v>
      </c>
      <c r="CE129" t="s">
        <v>4055</v>
      </c>
      <c r="CF129" t="s">
        <v>4055</v>
      </c>
      <c r="CG129" t="s">
        <v>4056</v>
      </c>
      <c r="CH129" t="s">
        <v>4057</v>
      </c>
      <c r="CI129" t="s">
        <v>4058</v>
      </c>
      <c r="CJ129" t="s">
        <v>4059</v>
      </c>
      <c r="CK129" t="s">
        <v>4060</v>
      </c>
      <c r="CL129" t="s">
        <v>4061</v>
      </c>
      <c r="CM129" t="s">
        <v>4055</v>
      </c>
      <c r="CN129" t="s">
        <v>4062</v>
      </c>
      <c r="CO129" t="s">
        <v>4063</v>
      </c>
      <c r="CP129" t="s">
        <v>4055</v>
      </c>
      <c r="CQ129" t="s">
        <v>4055</v>
      </c>
      <c r="CR129">
        <v>5</v>
      </c>
      <c r="CS129" t="s">
        <v>4055</v>
      </c>
      <c r="CT129" t="s">
        <v>4055</v>
      </c>
      <c r="CU129" t="s">
        <v>4055</v>
      </c>
      <c r="CV129">
        <v>117</v>
      </c>
      <c r="CW129">
        <v>3</v>
      </c>
      <c r="CX129">
        <v>79</v>
      </c>
      <c r="CY129">
        <v>5</v>
      </c>
      <c r="CZ129">
        <v>71</v>
      </c>
      <c r="DA129">
        <v>5</v>
      </c>
      <c r="DB129">
        <v>9030</v>
      </c>
      <c r="DC129">
        <v>270</v>
      </c>
      <c r="DD129">
        <v>320</v>
      </c>
      <c r="DE129">
        <v>1977</v>
      </c>
      <c r="DF129">
        <v>1977</v>
      </c>
      <c r="DG129">
        <v>2004</v>
      </c>
      <c r="DH129" t="s">
        <v>4055</v>
      </c>
      <c r="DI129" t="s">
        <v>4055</v>
      </c>
      <c r="DJ129" t="s">
        <v>4132</v>
      </c>
      <c r="DK129">
        <v>180</v>
      </c>
      <c r="DL129" t="s">
        <v>4065</v>
      </c>
      <c r="DM129">
        <v>65</v>
      </c>
      <c r="DN129">
        <v>1.1</v>
      </c>
      <c r="DO129">
        <v>1</v>
      </c>
      <c r="DP129">
        <v>1888</v>
      </c>
      <c r="DQ129">
        <v>734</v>
      </c>
      <c r="DR129" t="s">
        <v>4132</v>
      </c>
      <c r="DS129">
        <v>170</v>
      </c>
      <c r="DT129" t="s">
        <v>4065</v>
      </c>
      <c r="DU129">
        <v>65</v>
      </c>
      <c r="DV129">
        <v>1.1</v>
      </c>
      <c r="DW129">
        <v>1</v>
      </c>
      <c r="DX129">
        <v>1900</v>
      </c>
      <c r="DY129">
        <v>699</v>
      </c>
      <c r="DZ129" t="s">
        <v>4066</v>
      </c>
      <c r="EA129">
        <v>20</v>
      </c>
      <c r="EB129" t="s">
        <v>4065</v>
      </c>
      <c r="EC129">
        <v>0.8</v>
      </c>
      <c r="ED129">
        <v>1888</v>
      </c>
      <c r="EE129">
        <v>66</v>
      </c>
      <c r="EG129">
        <v>0</v>
      </c>
      <c r="EH129" t="s">
        <v>4065</v>
      </c>
      <c r="EI129">
        <v>0</v>
      </c>
      <c r="EL129" t="s">
        <v>1528</v>
      </c>
      <c r="EM129">
        <v>12</v>
      </c>
      <c r="EN129">
        <v>0.5</v>
      </c>
      <c r="EO129">
        <v>0.96</v>
      </c>
      <c r="EP129">
        <v>1898.83</v>
      </c>
      <c r="EQ129">
        <v>29224.18</v>
      </c>
      <c r="ER129">
        <v>7887.32</v>
      </c>
      <c r="ES129">
        <v>0</v>
      </c>
      <c r="ET129">
        <v>0</v>
      </c>
      <c r="EU129">
        <v>1</v>
      </c>
      <c r="EV129">
        <v>37112</v>
      </c>
      <c r="EW129">
        <v>446</v>
      </c>
      <c r="EX129" t="s">
        <v>4363</v>
      </c>
      <c r="EY129">
        <v>202</v>
      </c>
      <c r="EZ129" t="s">
        <v>4055</v>
      </c>
      <c r="FA129">
        <v>5</v>
      </c>
      <c r="FB129">
        <v>1</v>
      </c>
      <c r="FC129">
        <v>1</v>
      </c>
      <c r="FD129">
        <v>1926</v>
      </c>
      <c r="FE129">
        <v>2056</v>
      </c>
      <c r="FF129" t="s">
        <v>4089</v>
      </c>
      <c r="FG129">
        <v>202</v>
      </c>
      <c r="FH129" t="s">
        <v>4055</v>
      </c>
      <c r="FI129">
        <v>1.1</v>
      </c>
      <c r="FJ129">
        <v>1926</v>
      </c>
      <c r="FK129">
        <v>426</v>
      </c>
      <c r="FL129" t="s">
        <v>4069</v>
      </c>
      <c r="FM129" t="s">
        <v>4055</v>
      </c>
      <c r="FN129" t="s">
        <v>4055</v>
      </c>
      <c r="FO129" t="s">
        <v>4055</v>
      </c>
      <c r="FP129">
        <v>1926</v>
      </c>
      <c r="FQ129">
        <v>90</v>
      </c>
      <c r="FR129" t="s">
        <v>4090</v>
      </c>
      <c r="FS129">
        <v>206</v>
      </c>
      <c r="FT129" t="s">
        <v>4055</v>
      </c>
      <c r="FU129">
        <v>0.4</v>
      </c>
      <c r="FV129">
        <v>1926</v>
      </c>
      <c r="FW129">
        <v>176</v>
      </c>
      <c r="FX129" t="s">
        <v>4070</v>
      </c>
      <c r="FY129">
        <v>5</v>
      </c>
      <c r="FZ129" t="s">
        <v>4055</v>
      </c>
      <c r="GA129" t="s">
        <v>4055</v>
      </c>
      <c r="GB129">
        <v>1926</v>
      </c>
      <c r="GC129">
        <v>15</v>
      </c>
      <c r="GD129">
        <v>2763</v>
      </c>
      <c r="GE129" t="s">
        <v>4562</v>
      </c>
      <c r="GF129" t="s">
        <v>4055</v>
      </c>
      <c r="GG129" t="s">
        <v>4055</v>
      </c>
      <c r="GH129" t="s">
        <v>4055</v>
      </c>
      <c r="GI129" t="s">
        <v>4071</v>
      </c>
      <c r="GJ129" t="s">
        <v>4055</v>
      </c>
      <c r="GK129" t="s">
        <v>4055</v>
      </c>
      <c r="GL129" t="s">
        <v>4055</v>
      </c>
      <c r="GM129" t="s">
        <v>4055</v>
      </c>
      <c r="GQ129">
        <v>0</v>
      </c>
      <c r="GV129">
        <v>6.5</v>
      </c>
      <c r="GW129">
        <v>7.8</v>
      </c>
      <c r="GX129">
        <v>0.5</v>
      </c>
      <c r="GY129">
        <v>170</v>
      </c>
      <c r="GZ129">
        <v>3</v>
      </c>
      <c r="HA129">
        <v>218</v>
      </c>
      <c r="HB129">
        <v>3</v>
      </c>
      <c r="HC129">
        <v>1926</v>
      </c>
      <c r="HD129">
        <v>4</v>
      </c>
      <c r="HE129" t="s">
        <v>4071</v>
      </c>
      <c r="HG129" t="s">
        <v>549</v>
      </c>
      <c r="HL129">
        <v>4</v>
      </c>
      <c r="HM129">
        <v>16</v>
      </c>
      <c r="HN129">
        <v>6</v>
      </c>
      <c r="HO129">
        <v>1</v>
      </c>
      <c r="HP129">
        <v>0</v>
      </c>
      <c r="HQ129">
        <v>0</v>
      </c>
      <c r="HR129">
        <v>1</v>
      </c>
      <c r="HS129">
        <v>1885</v>
      </c>
      <c r="HT129">
        <v>5</v>
      </c>
      <c r="HU129">
        <v>1</v>
      </c>
      <c r="HV129">
        <v>3</v>
      </c>
      <c r="HW129">
        <v>0</v>
      </c>
      <c r="HX129">
        <v>1</v>
      </c>
      <c r="HY129">
        <v>0</v>
      </c>
      <c r="HZ129">
        <v>65</v>
      </c>
      <c r="IA129">
        <v>1888</v>
      </c>
      <c r="IB129">
        <v>1900</v>
      </c>
      <c r="ID129">
        <v>1926</v>
      </c>
      <c r="IE129">
        <v>1926</v>
      </c>
      <c r="IF129">
        <v>180</v>
      </c>
      <c r="IG129">
        <v>170</v>
      </c>
      <c r="IH129">
        <v>218</v>
      </c>
      <c r="II129">
        <v>1</v>
      </c>
      <c r="IJ129">
        <v>5</v>
      </c>
      <c r="IK129">
        <v>0</v>
      </c>
      <c r="IL129">
        <v>0</v>
      </c>
      <c r="IM129">
        <v>0</v>
      </c>
      <c r="IN129">
        <v>270</v>
      </c>
      <c r="IO129">
        <v>0</v>
      </c>
      <c r="IP129">
        <v>180</v>
      </c>
      <c r="IQ129">
        <v>0</v>
      </c>
      <c r="IR129">
        <v>330</v>
      </c>
      <c r="IS129">
        <v>0</v>
      </c>
      <c r="IT129">
        <v>90</v>
      </c>
      <c r="IU129">
        <v>0</v>
      </c>
      <c r="IV129">
        <v>6.4</v>
      </c>
      <c r="IW129">
        <v>-6</v>
      </c>
      <c r="IX129">
        <v>92.5</v>
      </c>
      <c r="IY129">
        <v>66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370</v>
      </c>
      <c r="JJ129">
        <v>340</v>
      </c>
      <c r="JK129">
        <v>252</v>
      </c>
      <c r="JL129">
        <v>338</v>
      </c>
      <c r="JM129">
        <v>282</v>
      </c>
      <c r="JN129">
        <v>180</v>
      </c>
      <c r="JO129">
        <v>228</v>
      </c>
      <c r="JP129">
        <v>225</v>
      </c>
      <c r="JQ129">
        <v>265</v>
      </c>
      <c r="JR129">
        <v>350</v>
      </c>
      <c r="JS129">
        <v>255</v>
      </c>
      <c r="JT129">
        <v>0</v>
      </c>
      <c r="JU129">
        <v>0</v>
      </c>
      <c r="JV129">
        <v>335</v>
      </c>
      <c r="JW129">
        <v>337</v>
      </c>
      <c r="JX129">
        <v>0</v>
      </c>
      <c r="JY129">
        <v>0</v>
      </c>
      <c r="JZ129">
        <v>0</v>
      </c>
      <c r="KA129">
        <v>0.25</v>
      </c>
      <c r="KB129">
        <v>0.4</v>
      </c>
      <c r="KC129">
        <v>0.42</v>
      </c>
      <c r="KD129">
        <v>0.28</v>
      </c>
      <c r="KE129">
        <v>0.5</v>
      </c>
      <c r="KF129">
        <v>0.17</v>
      </c>
      <c r="KG129">
        <v>0.1</v>
      </c>
      <c r="KH129">
        <v>5</v>
      </c>
      <c r="KI129">
        <v>1</v>
      </c>
      <c r="KJ129">
        <v>4.5</v>
      </c>
      <c r="KK129">
        <v>0</v>
      </c>
      <c r="KL129">
        <v>4.5</v>
      </c>
      <c r="KM129">
        <v>1</v>
      </c>
      <c r="KN129">
        <v>1.8</v>
      </c>
      <c r="KO129">
        <v>0</v>
      </c>
      <c r="KP129">
        <v>0</v>
      </c>
      <c r="KQ129">
        <v>0.8</v>
      </c>
      <c r="KR129">
        <v>1</v>
      </c>
      <c r="KS129">
        <v>0</v>
      </c>
      <c r="KT129">
        <v>2.3</v>
      </c>
      <c r="KU129">
        <v>0</v>
      </c>
      <c r="KV129">
        <v>0</v>
      </c>
      <c r="KW129">
        <v>0.8</v>
      </c>
      <c r="KX129">
        <v>1.6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3</v>
      </c>
      <c r="LI129">
        <v>0</v>
      </c>
      <c r="LJ129">
        <v>0</v>
      </c>
      <c r="LK129">
        <v>6</v>
      </c>
      <c r="LL129">
        <v>6.5</v>
      </c>
      <c r="LM129">
        <v>8.5</v>
      </c>
      <c r="LN129">
        <v>3</v>
      </c>
      <c r="LO129">
        <v>3.5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1.2</v>
      </c>
      <c r="LX129">
        <v>1.2</v>
      </c>
      <c r="LY129">
        <v>1.5</v>
      </c>
      <c r="LZ129">
        <v>1.5</v>
      </c>
      <c r="MA129">
        <v>0</v>
      </c>
      <c r="MB129">
        <v>3</v>
      </c>
      <c r="MC129">
        <v>0</v>
      </c>
      <c r="MD129">
        <v>4.5</v>
      </c>
      <c r="ME129">
        <v>6</v>
      </c>
      <c r="MF129">
        <v>6</v>
      </c>
      <c r="MI129">
        <v>0</v>
      </c>
      <c r="MJ129">
        <v>0</v>
      </c>
      <c r="ML129">
        <v>0</v>
      </c>
      <c r="MM129">
        <v>390</v>
      </c>
      <c r="MN129">
        <v>175</v>
      </c>
      <c r="MO129">
        <v>228</v>
      </c>
      <c r="NH129">
        <v>0</v>
      </c>
      <c r="NJ129">
        <v>0</v>
      </c>
      <c r="NK129">
        <v>0</v>
      </c>
      <c r="NM129">
        <v>0</v>
      </c>
      <c r="NU129">
        <v>0.15</v>
      </c>
      <c r="NV129">
        <v>0.2</v>
      </c>
      <c r="NW129">
        <v>0.2</v>
      </c>
      <c r="NX129">
        <v>2</v>
      </c>
      <c r="NY129">
        <v>2</v>
      </c>
      <c r="NZ129">
        <v>2</v>
      </c>
      <c r="OE129" t="s">
        <v>4562</v>
      </c>
      <c r="OF129" t="s">
        <v>4166</v>
      </c>
      <c r="OG129" t="s">
        <v>4167</v>
      </c>
      <c r="OH129" t="s">
        <v>4043</v>
      </c>
      <c r="OI129" t="s">
        <v>4562</v>
      </c>
      <c r="OJ129" t="s">
        <v>4561</v>
      </c>
      <c r="OK129">
        <v>61</v>
      </c>
      <c r="OL129">
        <v>61</v>
      </c>
      <c r="OM129" t="s">
        <v>4166</v>
      </c>
      <c r="ON129">
        <v>1</v>
      </c>
      <c r="OO129">
        <v>1888</v>
      </c>
      <c r="OP129">
        <v>61</v>
      </c>
      <c r="OQ129">
        <v>61</v>
      </c>
      <c r="OR129" t="s">
        <v>4167</v>
      </c>
      <c r="OS129">
        <v>1</v>
      </c>
      <c r="OT129">
        <v>1900</v>
      </c>
      <c r="OU129">
        <v>65</v>
      </c>
      <c r="OV129">
        <v>65</v>
      </c>
      <c r="OW129" t="s">
        <v>4043</v>
      </c>
      <c r="OX129">
        <v>2</v>
      </c>
      <c r="OY129">
        <v>37112</v>
      </c>
      <c r="OZ129">
        <v>51</v>
      </c>
      <c r="PA129">
        <v>51</v>
      </c>
      <c r="PB129" t="s">
        <v>4562</v>
      </c>
      <c r="PC129">
        <v>1</v>
      </c>
      <c r="PD129">
        <v>1926</v>
      </c>
      <c r="PF129">
        <v>389</v>
      </c>
      <c r="PG129">
        <v>35</v>
      </c>
      <c r="PH129">
        <v>368</v>
      </c>
      <c r="PI129">
        <v>0</v>
      </c>
      <c r="PJ129">
        <v>46.8</v>
      </c>
      <c r="PK129">
        <v>1431</v>
      </c>
      <c r="PL129">
        <v>1067.3</v>
      </c>
      <c r="PM129">
        <v>221.2</v>
      </c>
      <c r="PN129">
        <v>91.59999999999999</v>
      </c>
      <c r="PO129">
        <v>7.6</v>
      </c>
      <c r="PP129">
        <v>12</v>
      </c>
      <c r="PQ129">
        <v>1</v>
      </c>
      <c r="PR129">
        <v>1</v>
      </c>
      <c r="PS129">
        <v>7</v>
      </c>
      <c r="PT129">
        <v>218</v>
      </c>
      <c r="PU129">
        <v>8</v>
      </c>
      <c r="PV129" t="s">
        <v>4072</v>
      </c>
      <c r="PW129" t="s">
        <v>4072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-1</v>
      </c>
      <c r="QF129">
        <v>1</v>
      </c>
      <c r="QG129">
        <v>0</v>
      </c>
      <c r="QH129">
        <v>5</v>
      </c>
      <c r="QI129">
        <v>5</v>
      </c>
      <c r="QJ129">
        <v>5</v>
      </c>
      <c r="QK129">
        <v>180</v>
      </c>
      <c r="QL129">
        <v>404</v>
      </c>
      <c r="QM129">
        <v>7.5</v>
      </c>
      <c r="QN129">
        <v>1284.1</v>
      </c>
      <c r="QO129" t="s">
        <v>1888</v>
      </c>
      <c r="QP129" t="s">
        <v>513</v>
      </c>
      <c r="QQ129">
        <v>0</v>
      </c>
      <c r="QR129" t="s">
        <v>1496</v>
      </c>
      <c r="QS129">
        <v>30</v>
      </c>
      <c r="QT129">
        <v>40</v>
      </c>
    </row>
    <row r="130" spans="1:462">
      <c r="A130" t="s">
        <v>2091</v>
      </c>
      <c r="B130" t="s">
        <v>711</v>
      </c>
      <c r="C130" t="s">
        <v>509</v>
      </c>
      <c r="D130" t="s">
        <v>1281</v>
      </c>
      <c r="E130" t="s">
        <v>4036</v>
      </c>
      <c r="H130" t="s">
        <v>1294</v>
      </c>
      <c r="J130" t="s">
        <v>562</v>
      </c>
      <c r="K130" t="s">
        <v>563</v>
      </c>
      <c r="L130" t="s">
        <v>804</v>
      </c>
      <c r="M130" t="s">
        <v>512</v>
      </c>
      <c r="O130" t="s">
        <v>513</v>
      </c>
      <c r="P130" t="s">
        <v>567</v>
      </c>
      <c r="Q130" t="s">
        <v>819</v>
      </c>
      <c r="R130" t="s">
        <v>820</v>
      </c>
      <c r="S130" t="s">
        <v>4170</v>
      </c>
      <c r="T130" t="s">
        <v>633</v>
      </c>
      <c r="U130" t="s">
        <v>634</v>
      </c>
      <c r="V130" t="s">
        <v>1870</v>
      </c>
      <c r="W130" t="s">
        <v>1880</v>
      </c>
      <c r="X130" t="s">
        <v>2092</v>
      </c>
      <c r="Y130" t="s">
        <v>2093</v>
      </c>
      <c r="Z130" t="s">
        <v>541</v>
      </c>
      <c r="AA130" t="s">
        <v>4038</v>
      </c>
      <c r="AB130" t="s">
        <v>4563</v>
      </c>
      <c r="AC130">
        <v>9</v>
      </c>
      <c r="AD130" t="s">
        <v>2090</v>
      </c>
      <c r="AE130">
        <v>3</v>
      </c>
      <c r="AF130">
        <v>5165</v>
      </c>
      <c r="AG130" t="s">
        <v>4415</v>
      </c>
      <c r="AH130">
        <v>1</v>
      </c>
      <c r="AI130" t="s">
        <v>4041</v>
      </c>
      <c r="AK130" t="s">
        <v>4416</v>
      </c>
      <c r="AL130">
        <v>1</v>
      </c>
      <c r="AM130" t="s">
        <v>582</v>
      </c>
      <c r="AO130" t="s">
        <v>4043</v>
      </c>
      <c r="AP130">
        <v>1</v>
      </c>
      <c r="AR130" t="s">
        <v>4564</v>
      </c>
      <c r="AS130">
        <v>1</v>
      </c>
      <c r="AT130">
        <v>51</v>
      </c>
      <c r="AV130" t="s">
        <v>4078</v>
      </c>
      <c r="AW130">
        <v>6.4</v>
      </c>
      <c r="AX130">
        <v>-6</v>
      </c>
      <c r="AY130">
        <v>87.5</v>
      </c>
      <c r="AZ130">
        <v>63.5</v>
      </c>
      <c r="BH130">
        <v>87.5</v>
      </c>
      <c r="BI130">
        <v>24</v>
      </c>
      <c r="BJ130">
        <v>63.5</v>
      </c>
      <c r="BK130">
        <v>2.5</v>
      </c>
      <c r="BL130">
        <v>175</v>
      </c>
      <c r="BM130">
        <v>-6</v>
      </c>
      <c r="BN130">
        <v>0</v>
      </c>
      <c r="BO130">
        <v>0</v>
      </c>
      <c r="BP130">
        <v>0</v>
      </c>
      <c r="BR130">
        <v>170</v>
      </c>
      <c r="BS130">
        <v>160</v>
      </c>
      <c r="BT130">
        <v>2030</v>
      </c>
      <c r="BU130" t="s">
        <v>4096</v>
      </c>
      <c r="BV130" t="s">
        <v>4096</v>
      </c>
      <c r="BW130" t="s">
        <v>4097</v>
      </c>
      <c r="BX130" t="s">
        <v>4097</v>
      </c>
      <c r="BY130" t="s">
        <v>4107</v>
      </c>
      <c r="BZ130" t="s">
        <v>4173</v>
      </c>
      <c r="CA130" t="s">
        <v>4108</v>
      </c>
      <c r="CB130" t="s">
        <v>4109</v>
      </c>
      <c r="CC130" t="s">
        <v>4053</v>
      </c>
      <c r="CD130" t="s">
        <v>4110</v>
      </c>
      <c r="CE130" t="s">
        <v>4055</v>
      </c>
      <c r="CF130" t="s">
        <v>4055</v>
      </c>
      <c r="CG130" t="s">
        <v>4056</v>
      </c>
      <c r="CI130" t="s">
        <v>4058</v>
      </c>
      <c r="CJ130" t="s">
        <v>4059</v>
      </c>
      <c r="CK130" t="s">
        <v>4060</v>
      </c>
      <c r="CL130" t="s">
        <v>4061</v>
      </c>
      <c r="CM130" t="s">
        <v>4062</v>
      </c>
      <c r="CN130" t="s">
        <v>4055</v>
      </c>
      <c r="CO130" t="s">
        <v>4063</v>
      </c>
      <c r="CP130" t="s">
        <v>4055</v>
      </c>
      <c r="CQ130" t="s">
        <v>4055</v>
      </c>
      <c r="CR130">
        <v>5</v>
      </c>
      <c r="CS130" t="s">
        <v>4055</v>
      </c>
      <c r="CT130" t="s">
        <v>4055</v>
      </c>
      <c r="CU130" t="s">
        <v>4055</v>
      </c>
      <c r="CV130">
        <v>115</v>
      </c>
      <c r="CW130">
        <v>3</v>
      </c>
      <c r="CX130">
        <v>68</v>
      </c>
      <c r="CY130">
        <v>5</v>
      </c>
      <c r="CZ130">
        <v>136</v>
      </c>
      <c r="DA130">
        <v>5</v>
      </c>
      <c r="DB130">
        <v>10410</v>
      </c>
      <c r="DC130">
        <v>310</v>
      </c>
      <c r="DD130">
        <v>327</v>
      </c>
      <c r="DE130">
        <v>2143</v>
      </c>
      <c r="DF130">
        <v>2143</v>
      </c>
      <c r="DG130">
        <v>2153</v>
      </c>
      <c r="DH130" t="s">
        <v>4055</v>
      </c>
      <c r="DI130" t="s">
        <v>4055</v>
      </c>
      <c r="DJ130" t="s">
        <v>4132</v>
      </c>
      <c r="DK130">
        <v>170</v>
      </c>
      <c r="DL130" t="s">
        <v>4065</v>
      </c>
      <c r="DM130">
        <v>65</v>
      </c>
      <c r="DN130">
        <v>1.1</v>
      </c>
      <c r="DO130">
        <v>1</v>
      </c>
      <c r="DP130">
        <v>2033</v>
      </c>
      <c r="DQ130">
        <v>748</v>
      </c>
      <c r="DR130" t="s">
        <v>4132</v>
      </c>
      <c r="DS130">
        <v>160</v>
      </c>
      <c r="DT130" t="s">
        <v>4065</v>
      </c>
      <c r="DU130">
        <v>65</v>
      </c>
      <c r="DV130">
        <v>1.1</v>
      </c>
      <c r="DW130">
        <v>1</v>
      </c>
      <c r="DX130">
        <v>2045</v>
      </c>
      <c r="DY130">
        <v>708</v>
      </c>
      <c r="DZ130" t="s">
        <v>4066</v>
      </c>
      <c r="EA130">
        <v>20</v>
      </c>
      <c r="EB130" t="s">
        <v>4065</v>
      </c>
      <c r="EC130">
        <v>0.8</v>
      </c>
      <c r="ED130">
        <v>2033</v>
      </c>
      <c r="EE130">
        <v>71</v>
      </c>
      <c r="EG130">
        <v>0</v>
      </c>
      <c r="EH130" t="s">
        <v>4065</v>
      </c>
      <c r="EI130">
        <v>0</v>
      </c>
      <c r="EL130" t="s">
        <v>1528</v>
      </c>
      <c r="EM130">
        <v>12</v>
      </c>
      <c r="EN130">
        <v>0.5</v>
      </c>
      <c r="EO130">
        <v>0.96</v>
      </c>
      <c r="EP130">
        <v>2043.83</v>
      </c>
      <c r="EQ130">
        <v>29859.08</v>
      </c>
      <c r="ER130">
        <v>7686.98</v>
      </c>
      <c r="ES130">
        <v>0</v>
      </c>
      <c r="ET130">
        <v>0</v>
      </c>
      <c r="EU130">
        <v>1</v>
      </c>
      <c r="EV130">
        <v>37547</v>
      </c>
      <c r="EW130">
        <v>451</v>
      </c>
      <c r="EX130" t="s">
        <v>4363</v>
      </c>
      <c r="EY130">
        <v>190</v>
      </c>
      <c r="EZ130" t="s">
        <v>4055</v>
      </c>
      <c r="FA130">
        <v>5.9</v>
      </c>
      <c r="FB130">
        <v>1</v>
      </c>
      <c r="FC130">
        <v>1</v>
      </c>
      <c r="FD130">
        <v>2074</v>
      </c>
      <c r="FE130">
        <v>2395</v>
      </c>
      <c r="FF130" t="s">
        <v>4089</v>
      </c>
      <c r="FG130">
        <v>190</v>
      </c>
      <c r="FH130" t="s">
        <v>4055</v>
      </c>
      <c r="FI130">
        <v>1.2</v>
      </c>
      <c r="FJ130">
        <v>2074</v>
      </c>
      <c r="FK130">
        <v>487</v>
      </c>
      <c r="FL130" t="s">
        <v>4069</v>
      </c>
      <c r="FM130" t="s">
        <v>4055</v>
      </c>
      <c r="FN130" t="s">
        <v>4055</v>
      </c>
      <c r="FO130" t="s">
        <v>4055</v>
      </c>
      <c r="FP130">
        <v>2074</v>
      </c>
      <c r="FQ130">
        <v>182</v>
      </c>
      <c r="FR130" t="s">
        <v>4090</v>
      </c>
      <c r="FS130">
        <v>194</v>
      </c>
      <c r="FT130" t="s">
        <v>4055</v>
      </c>
      <c r="FU130">
        <v>0.4</v>
      </c>
      <c r="FV130">
        <v>2074</v>
      </c>
      <c r="FW130">
        <v>179</v>
      </c>
      <c r="FX130" t="s">
        <v>4070</v>
      </c>
      <c r="FY130">
        <v>5</v>
      </c>
      <c r="FZ130" t="s">
        <v>4055</v>
      </c>
      <c r="GA130" t="s">
        <v>4055</v>
      </c>
      <c r="GB130">
        <v>2074</v>
      </c>
      <c r="GC130">
        <v>18</v>
      </c>
      <c r="GD130">
        <v>3261</v>
      </c>
      <c r="GE130" t="s">
        <v>4564</v>
      </c>
      <c r="GF130" t="s">
        <v>4055</v>
      </c>
      <c r="GG130" t="s">
        <v>4055</v>
      </c>
      <c r="GH130" t="s">
        <v>4055</v>
      </c>
      <c r="GI130" t="s">
        <v>4071</v>
      </c>
      <c r="GJ130" t="s">
        <v>4055</v>
      </c>
      <c r="GK130" t="s">
        <v>4055</v>
      </c>
      <c r="GL130" t="s">
        <v>4055</v>
      </c>
      <c r="GM130" t="s">
        <v>4055</v>
      </c>
      <c r="GQ130">
        <v>0</v>
      </c>
      <c r="GV130">
        <v>7.5</v>
      </c>
      <c r="GW130">
        <v>8.199999999999999</v>
      </c>
      <c r="GX130">
        <v>0.5</v>
      </c>
      <c r="GY130">
        <v>156</v>
      </c>
      <c r="GZ130">
        <v>3</v>
      </c>
      <c r="HA130">
        <v>214</v>
      </c>
      <c r="HB130">
        <v>3</v>
      </c>
      <c r="HC130">
        <v>2074</v>
      </c>
      <c r="HD130">
        <v>4</v>
      </c>
      <c r="HE130" t="s">
        <v>4071</v>
      </c>
      <c r="HG130" t="s">
        <v>549</v>
      </c>
      <c r="HL130">
        <v>4</v>
      </c>
      <c r="HM130">
        <v>17</v>
      </c>
      <c r="HN130">
        <v>6</v>
      </c>
      <c r="HO130">
        <v>1</v>
      </c>
      <c r="HP130">
        <v>0</v>
      </c>
      <c r="HQ130">
        <v>0</v>
      </c>
      <c r="HR130">
        <v>3</v>
      </c>
      <c r="HS130">
        <v>2030</v>
      </c>
      <c r="HT130">
        <v>5</v>
      </c>
      <c r="HU130">
        <v>1</v>
      </c>
      <c r="HV130">
        <v>3</v>
      </c>
      <c r="HW130">
        <v>0</v>
      </c>
      <c r="HX130">
        <v>1</v>
      </c>
      <c r="HY130">
        <v>0</v>
      </c>
      <c r="HZ130">
        <v>65</v>
      </c>
      <c r="IA130">
        <v>2033</v>
      </c>
      <c r="IB130">
        <v>2045</v>
      </c>
      <c r="ID130">
        <v>2074</v>
      </c>
      <c r="IE130">
        <v>2074</v>
      </c>
      <c r="IF130">
        <v>170</v>
      </c>
      <c r="IG130">
        <v>160</v>
      </c>
      <c r="IH130">
        <v>214</v>
      </c>
      <c r="II130">
        <v>1</v>
      </c>
      <c r="IJ130">
        <v>5</v>
      </c>
      <c r="IK130">
        <v>0</v>
      </c>
      <c r="IL130">
        <v>0</v>
      </c>
      <c r="IM130">
        <v>0</v>
      </c>
      <c r="IN130">
        <v>270</v>
      </c>
      <c r="IO130">
        <v>0</v>
      </c>
      <c r="IP130">
        <v>180</v>
      </c>
      <c r="IQ130">
        <v>0</v>
      </c>
      <c r="IR130">
        <v>330</v>
      </c>
      <c r="IS130">
        <v>0</v>
      </c>
      <c r="IT130">
        <v>90</v>
      </c>
      <c r="IU130">
        <v>0</v>
      </c>
      <c r="IV130">
        <v>6.4</v>
      </c>
      <c r="IW130">
        <v>-6</v>
      </c>
      <c r="IX130">
        <v>87.5</v>
      </c>
      <c r="IY130">
        <v>63.5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378</v>
      </c>
      <c r="JJ130">
        <v>348</v>
      </c>
      <c r="JK130">
        <v>260</v>
      </c>
      <c r="JL130">
        <v>346</v>
      </c>
      <c r="JM130">
        <v>280</v>
      </c>
      <c r="JN130">
        <v>170</v>
      </c>
      <c r="JO130">
        <v>224</v>
      </c>
      <c r="JP130">
        <v>185</v>
      </c>
      <c r="JQ130">
        <v>235</v>
      </c>
      <c r="JR130">
        <v>336</v>
      </c>
      <c r="JS130">
        <v>235</v>
      </c>
      <c r="JT130">
        <v>0</v>
      </c>
      <c r="JU130">
        <v>0</v>
      </c>
      <c r="JV130">
        <v>335</v>
      </c>
      <c r="JW130">
        <v>337</v>
      </c>
      <c r="JX130">
        <v>0</v>
      </c>
      <c r="JY130">
        <v>0</v>
      </c>
      <c r="JZ130">
        <v>0</v>
      </c>
      <c r="KA130">
        <v>0.2</v>
      </c>
      <c r="KB130">
        <v>0.4</v>
      </c>
      <c r="KC130">
        <v>0.42</v>
      </c>
      <c r="KD130">
        <v>0.28</v>
      </c>
      <c r="KE130">
        <v>0.5</v>
      </c>
      <c r="KF130">
        <v>0.19</v>
      </c>
      <c r="KG130">
        <v>0.11</v>
      </c>
      <c r="KH130">
        <v>3.5</v>
      </c>
      <c r="KI130">
        <v>1</v>
      </c>
      <c r="KJ130">
        <v>4.5</v>
      </c>
      <c r="KK130">
        <v>0</v>
      </c>
      <c r="KL130">
        <v>4.5</v>
      </c>
      <c r="KM130">
        <v>0</v>
      </c>
      <c r="KN130">
        <v>1.3</v>
      </c>
      <c r="KO130">
        <v>0</v>
      </c>
      <c r="KP130">
        <v>0</v>
      </c>
      <c r="KQ130">
        <v>0.8</v>
      </c>
      <c r="KR130">
        <v>1</v>
      </c>
      <c r="KS130">
        <v>0</v>
      </c>
      <c r="KT130">
        <v>1.8</v>
      </c>
      <c r="KU130">
        <v>0</v>
      </c>
      <c r="KV130">
        <v>0</v>
      </c>
      <c r="KW130">
        <v>0.8</v>
      </c>
      <c r="KX130">
        <v>0.8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3</v>
      </c>
      <c r="LI130">
        <v>0</v>
      </c>
      <c r="LJ130">
        <v>0</v>
      </c>
      <c r="LK130">
        <v>4.5</v>
      </c>
      <c r="LL130">
        <v>6</v>
      </c>
      <c r="LM130">
        <v>7.5</v>
      </c>
      <c r="LN130">
        <v>0.1</v>
      </c>
      <c r="LO130">
        <v>0.1</v>
      </c>
      <c r="LP130">
        <v>0</v>
      </c>
      <c r="LQ130">
        <v>0</v>
      </c>
      <c r="LR130">
        <v>0</v>
      </c>
      <c r="LS130">
        <v>1</v>
      </c>
      <c r="LT130">
        <v>0</v>
      </c>
      <c r="LU130">
        <v>0</v>
      </c>
      <c r="LV130">
        <v>0</v>
      </c>
      <c r="LW130">
        <v>2.1</v>
      </c>
      <c r="LX130">
        <v>2.1</v>
      </c>
      <c r="LY130">
        <v>2.1</v>
      </c>
      <c r="LZ130">
        <v>2.1</v>
      </c>
      <c r="MA130">
        <v>0</v>
      </c>
      <c r="MB130">
        <v>3</v>
      </c>
      <c r="MC130">
        <v>1</v>
      </c>
      <c r="MD130">
        <v>4.5</v>
      </c>
      <c r="ME130">
        <v>6</v>
      </c>
      <c r="MF130">
        <v>6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420</v>
      </c>
      <c r="MN130">
        <v>165</v>
      </c>
      <c r="MO130">
        <v>224</v>
      </c>
      <c r="NU130">
        <v>0.15</v>
      </c>
      <c r="NV130">
        <v>0.2</v>
      </c>
      <c r="NW130">
        <v>0.2</v>
      </c>
      <c r="NX130">
        <v>2</v>
      </c>
      <c r="NY130">
        <v>2</v>
      </c>
      <c r="NZ130">
        <v>2</v>
      </c>
      <c r="OE130" t="s">
        <v>4564</v>
      </c>
      <c r="OF130" t="s">
        <v>4415</v>
      </c>
      <c r="OG130" t="s">
        <v>4416</v>
      </c>
      <c r="OH130" t="s">
        <v>4043</v>
      </c>
      <c r="OI130" t="s">
        <v>4564</v>
      </c>
      <c r="OJ130" t="s">
        <v>4563</v>
      </c>
      <c r="OK130">
        <v>61</v>
      </c>
      <c r="OL130">
        <v>61</v>
      </c>
      <c r="OM130" t="s">
        <v>4415</v>
      </c>
      <c r="ON130">
        <v>1</v>
      </c>
      <c r="OO130">
        <v>2033</v>
      </c>
      <c r="OP130">
        <v>61</v>
      </c>
      <c r="OQ130">
        <v>61</v>
      </c>
      <c r="OR130" t="s">
        <v>4416</v>
      </c>
      <c r="OS130">
        <v>1</v>
      </c>
      <c r="OT130">
        <v>2045</v>
      </c>
      <c r="OU130">
        <v>65</v>
      </c>
      <c r="OV130">
        <v>65</v>
      </c>
      <c r="OW130" t="s">
        <v>4043</v>
      </c>
      <c r="OX130">
        <v>2</v>
      </c>
      <c r="OY130">
        <v>37547</v>
      </c>
      <c r="OZ130">
        <v>51</v>
      </c>
      <c r="PA130">
        <v>51</v>
      </c>
      <c r="PB130" t="s">
        <v>4564</v>
      </c>
      <c r="PC130">
        <v>1</v>
      </c>
      <c r="PD130">
        <v>2074</v>
      </c>
      <c r="PF130">
        <v>368</v>
      </c>
      <c r="PG130">
        <v>35</v>
      </c>
      <c r="PH130">
        <v>346</v>
      </c>
      <c r="PI130">
        <v>0</v>
      </c>
      <c r="PJ130">
        <v>87.8</v>
      </c>
      <c r="PK130">
        <v>1560</v>
      </c>
      <c r="PL130">
        <v>1154.6</v>
      </c>
      <c r="PM130">
        <v>234.8</v>
      </c>
      <c r="PN130">
        <v>86.2</v>
      </c>
      <c r="PO130">
        <v>8.699999999999999</v>
      </c>
      <c r="PP130">
        <v>12</v>
      </c>
      <c r="PQ130">
        <v>3</v>
      </c>
      <c r="PR130">
        <v>3</v>
      </c>
      <c r="PS130">
        <v>0</v>
      </c>
      <c r="PT130">
        <v>214</v>
      </c>
      <c r="PU130">
        <v>12</v>
      </c>
      <c r="PV130" t="s">
        <v>4072</v>
      </c>
      <c r="PW130" t="s">
        <v>4072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-1</v>
      </c>
      <c r="QF130">
        <v>1</v>
      </c>
      <c r="QG130">
        <v>0</v>
      </c>
      <c r="QH130">
        <v>5</v>
      </c>
      <c r="QI130">
        <v>5</v>
      </c>
      <c r="QJ130">
        <v>5</v>
      </c>
      <c r="QK130">
        <v>184</v>
      </c>
      <c r="QL130">
        <v>412</v>
      </c>
      <c r="QM130">
        <v>7.5</v>
      </c>
      <c r="QN130">
        <v>1384.6</v>
      </c>
      <c r="QO130" t="s">
        <v>1888</v>
      </c>
      <c r="QP130" t="s">
        <v>513</v>
      </c>
      <c r="QQ130">
        <v>0</v>
      </c>
      <c r="QR130" t="s">
        <v>621</v>
      </c>
      <c r="QS130">
        <v>30</v>
      </c>
      <c r="QT130">
        <v>40</v>
      </c>
    </row>
    <row r="131" spans="1:462">
      <c r="A131" t="s">
        <v>2100</v>
      </c>
      <c r="B131" t="s">
        <v>804</v>
      </c>
      <c r="C131" t="s">
        <v>509</v>
      </c>
      <c r="D131" t="s">
        <v>2099</v>
      </c>
      <c r="E131" t="s">
        <v>4036</v>
      </c>
      <c r="H131" t="s">
        <v>1294</v>
      </c>
      <c r="J131" t="s">
        <v>562</v>
      </c>
      <c r="K131" t="s">
        <v>563</v>
      </c>
      <c r="L131" t="s">
        <v>508</v>
      </c>
      <c r="M131" t="s">
        <v>512</v>
      </c>
      <c r="N131" t="s">
        <v>515</v>
      </c>
      <c r="O131" t="s">
        <v>513</v>
      </c>
      <c r="P131" t="s">
        <v>567</v>
      </c>
      <c r="Q131" t="s">
        <v>899</v>
      </c>
      <c r="R131" t="s">
        <v>743</v>
      </c>
      <c r="S131" t="s">
        <v>4134</v>
      </c>
      <c r="T131" t="s">
        <v>662</v>
      </c>
      <c r="U131" t="s">
        <v>663</v>
      </c>
      <c r="V131" t="s">
        <v>1222</v>
      </c>
      <c r="W131" t="s">
        <v>1880</v>
      </c>
      <c r="X131" t="s">
        <v>2101</v>
      </c>
      <c r="Y131" t="s">
        <v>2102</v>
      </c>
      <c r="Z131" t="s">
        <v>541</v>
      </c>
      <c r="AA131" t="s">
        <v>4038</v>
      </c>
      <c r="AB131" t="s">
        <v>4565</v>
      </c>
      <c r="AC131">
        <v>9</v>
      </c>
      <c r="AD131" t="s">
        <v>2098</v>
      </c>
      <c r="AE131">
        <v>2</v>
      </c>
      <c r="AF131">
        <v>3977</v>
      </c>
      <c r="AG131" t="s">
        <v>4104</v>
      </c>
      <c r="AH131">
        <v>1</v>
      </c>
      <c r="AI131" t="s">
        <v>4041</v>
      </c>
      <c r="AK131" t="s">
        <v>4105</v>
      </c>
      <c r="AL131">
        <v>1</v>
      </c>
      <c r="AM131" t="s">
        <v>582</v>
      </c>
      <c r="AO131" t="s">
        <v>4426</v>
      </c>
      <c r="AP131">
        <v>1</v>
      </c>
      <c r="AR131" t="s">
        <v>4566</v>
      </c>
      <c r="AS131">
        <v>1</v>
      </c>
      <c r="AT131">
        <v>51</v>
      </c>
      <c r="AV131" t="s">
        <v>4078</v>
      </c>
      <c r="AW131">
        <v>6.4</v>
      </c>
      <c r="AX131">
        <v>-6</v>
      </c>
      <c r="AY131">
        <v>100</v>
      </c>
      <c r="AZ131">
        <v>74</v>
      </c>
      <c r="BH131">
        <v>100</v>
      </c>
      <c r="BI131">
        <v>26</v>
      </c>
      <c r="BJ131">
        <v>74</v>
      </c>
      <c r="BK131">
        <v>2.5</v>
      </c>
      <c r="BL131">
        <v>200</v>
      </c>
      <c r="BM131">
        <v>-6</v>
      </c>
      <c r="BN131">
        <v>0</v>
      </c>
      <c r="BP131">
        <v>0</v>
      </c>
      <c r="BR131">
        <v>195</v>
      </c>
      <c r="BS131">
        <v>185</v>
      </c>
      <c r="BT131">
        <v>1945</v>
      </c>
      <c r="BU131" t="s">
        <v>4047</v>
      </c>
      <c r="BV131" t="s">
        <v>4096</v>
      </c>
      <c r="BW131" t="s">
        <v>4049</v>
      </c>
      <c r="BX131" t="s">
        <v>4097</v>
      </c>
      <c r="BY131" t="s">
        <v>4567</v>
      </c>
      <c r="BZ131" t="s">
        <v>4116</v>
      </c>
      <c r="CA131" t="s">
        <v>4118</v>
      </c>
      <c r="CB131" t="s">
        <v>4119</v>
      </c>
      <c r="CC131" t="s">
        <v>4053</v>
      </c>
      <c r="CD131" t="s">
        <v>4121</v>
      </c>
      <c r="CE131" t="s">
        <v>4055</v>
      </c>
      <c r="CF131" t="s">
        <v>4055</v>
      </c>
      <c r="CG131" t="s">
        <v>4056</v>
      </c>
      <c r="CH131" t="s">
        <v>4057</v>
      </c>
      <c r="CI131" t="s">
        <v>4058</v>
      </c>
      <c r="CJ131" t="s">
        <v>4059</v>
      </c>
      <c r="CK131" t="s">
        <v>4060</v>
      </c>
      <c r="CL131" t="s">
        <v>4061</v>
      </c>
      <c r="CM131" t="s">
        <v>4055</v>
      </c>
      <c r="CN131" t="s">
        <v>4062</v>
      </c>
      <c r="CO131" t="s">
        <v>4063</v>
      </c>
      <c r="CP131" t="s">
        <v>4055</v>
      </c>
      <c r="CQ131" t="s">
        <v>4055</v>
      </c>
      <c r="CR131">
        <v>5</v>
      </c>
      <c r="CS131" t="s">
        <v>4055</v>
      </c>
      <c r="CT131">
        <v>15</v>
      </c>
      <c r="CU131" t="s">
        <v>4055</v>
      </c>
      <c r="CV131">
        <v>122</v>
      </c>
      <c r="CW131">
        <v>3</v>
      </c>
      <c r="CX131">
        <v>84</v>
      </c>
      <c r="CY131">
        <v>5</v>
      </c>
      <c r="CZ131">
        <v>75</v>
      </c>
      <c r="DA131">
        <v>5</v>
      </c>
      <c r="DB131">
        <v>9500</v>
      </c>
      <c r="DC131">
        <v>280</v>
      </c>
      <c r="DD131">
        <v>303</v>
      </c>
      <c r="DE131">
        <v>2048</v>
      </c>
      <c r="DF131">
        <v>2048</v>
      </c>
      <c r="DG131">
        <v>2057</v>
      </c>
      <c r="DH131" t="s">
        <v>4055</v>
      </c>
      <c r="DI131" t="s">
        <v>4055</v>
      </c>
      <c r="DJ131" t="s">
        <v>4100</v>
      </c>
      <c r="DK131">
        <v>195</v>
      </c>
      <c r="DL131" t="s">
        <v>4101</v>
      </c>
      <c r="DM131">
        <v>65</v>
      </c>
      <c r="DN131">
        <v>0.84</v>
      </c>
      <c r="DO131">
        <v>1</v>
      </c>
      <c r="DP131">
        <v>1948</v>
      </c>
      <c r="DQ131">
        <v>693</v>
      </c>
      <c r="DR131" t="s">
        <v>4100</v>
      </c>
      <c r="DS131">
        <v>185</v>
      </c>
      <c r="DT131" t="s">
        <v>4101</v>
      </c>
      <c r="DU131">
        <v>65</v>
      </c>
      <c r="DV131">
        <v>0.84</v>
      </c>
      <c r="DW131">
        <v>1</v>
      </c>
      <c r="DX131">
        <v>1955</v>
      </c>
      <c r="DY131">
        <v>661</v>
      </c>
      <c r="DZ131" t="s">
        <v>4066</v>
      </c>
      <c r="EA131">
        <v>33</v>
      </c>
      <c r="EB131" t="s">
        <v>4065</v>
      </c>
      <c r="EC131">
        <v>0.4</v>
      </c>
      <c r="ED131">
        <v>1948</v>
      </c>
      <c r="EE131">
        <v>56</v>
      </c>
      <c r="EF131" t="s">
        <v>4066</v>
      </c>
      <c r="EG131">
        <v>33</v>
      </c>
      <c r="EH131" t="s">
        <v>4065</v>
      </c>
      <c r="EI131">
        <v>0.4</v>
      </c>
      <c r="EJ131">
        <v>1955</v>
      </c>
      <c r="EK131">
        <v>57</v>
      </c>
      <c r="EL131" t="s">
        <v>4429</v>
      </c>
      <c r="EM131">
        <v>12</v>
      </c>
      <c r="EN131">
        <v>0.5</v>
      </c>
      <c r="EO131">
        <v>0.9</v>
      </c>
      <c r="EP131">
        <v>1955.56</v>
      </c>
      <c r="EQ131">
        <v>32388.96</v>
      </c>
      <c r="ER131">
        <v>7967.44</v>
      </c>
      <c r="ES131">
        <v>0</v>
      </c>
      <c r="ET131">
        <v>0</v>
      </c>
      <c r="EU131">
        <v>1</v>
      </c>
      <c r="EV131">
        <v>40357</v>
      </c>
      <c r="EW131">
        <v>485</v>
      </c>
      <c r="EX131" t="s">
        <v>4363</v>
      </c>
      <c r="EY131">
        <v>210</v>
      </c>
      <c r="EZ131" t="s">
        <v>4055</v>
      </c>
      <c r="FA131">
        <v>5.2</v>
      </c>
      <c r="FB131">
        <v>1</v>
      </c>
      <c r="FC131">
        <v>1</v>
      </c>
      <c r="FD131">
        <v>1984</v>
      </c>
      <c r="FE131">
        <v>2555</v>
      </c>
      <c r="FF131" t="s">
        <v>4089</v>
      </c>
      <c r="FG131">
        <v>210</v>
      </c>
      <c r="FH131" t="s">
        <v>4055</v>
      </c>
      <c r="FI131">
        <v>1.6</v>
      </c>
      <c r="FJ131">
        <v>1984</v>
      </c>
      <c r="FK131">
        <v>669</v>
      </c>
      <c r="FL131" t="s">
        <v>4069</v>
      </c>
      <c r="FM131" t="s">
        <v>4055</v>
      </c>
      <c r="FN131" t="s">
        <v>4055</v>
      </c>
      <c r="FO131" t="s">
        <v>4055</v>
      </c>
      <c r="FP131">
        <v>1984</v>
      </c>
      <c r="FQ131">
        <v>134</v>
      </c>
      <c r="FR131" t="s">
        <v>4090</v>
      </c>
      <c r="FS131">
        <v>214</v>
      </c>
      <c r="FT131" t="s">
        <v>4055</v>
      </c>
      <c r="FU131">
        <v>0.4</v>
      </c>
      <c r="FV131">
        <v>1984</v>
      </c>
      <c r="FW131">
        <v>189</v>
      </c>
      <c r="FX131" t="s">
        <v>4070</v>
      </c>
      <c r="FY131">
        <v>5</v>
      </c>
      <c r="FZ131" t="s">
        <v>4055</v>
      </c>
      <c r="GA131" t="s">
        <v>4055</v>
      </c>
      <c r="GB131">
        <v>1984</v>
      </c>
      <c r="GC131">
        <v>17</v>
      </c>
      <c r="GD131">
        <v>3564</v>
      </c>
      <c r="GE131" t="s">
        <v>4566</v>
      </c>
      <c r="GF131" t="s">
        <v>4055</v>
      </c>
      <c r="GG131" t="s">
        <v>4055</v>
      </c>
      <c r="GH131" t="s">
        <v>4055</v>
      </c>
      <c r="GI131" t="s">
        <v>4071</v>
      </c>
      <c r="GJ131" t="s">
        <v>4055</v>
      </c>
      <c r="GK131" t="s">
        <v>4055</v>
      </c>
      <c r="GL131" t="s">
        <v>4055</v>
      </c>
      <c r="GM131" t="s">
        <v>4055</v>
      </c>
      <c r="GQ131">
        <v>0</v>
      </c>
      <c r="GV131">
        <v>7.2</v>
      </c>
      <c r="GW131">
        <v>9.5</v>
      </c>
      <c r="GX131">
        <v>0.5</v>
      </c>
      <c r="GY131">
        <v>184</v>
      </c>
      <c r="GZ131">
        <v>3</v>
      </c>
      <c r="HA131">
        <v>230</v>
      </c>
      <c r="HB131">
        <v>3</v>
      </c>
      <c r="HC131">
        <v>1984</v>
      </c>
      <c r="HD131">
        <v>4</v>
      </c>
      <c r="HE131" t="s">
        <v>4071</v>
      </c>
      <c r="HG131" t="s">
        <v>549</v>
      </c>
      <c r="HL131">
        <v>4</v>
      </c>
      <c r="HM131">
        <v>18</v>
      </c>
      <c r="HN131">
        <v>6</v>
      </c>
      <c r="HO131">
        <v>1</v>
      </c>
      <c r="HP131">
        <v>0</v>
      </c>
      <c r="HQ131">
        <v>2</v>
      </c>
      <c r="HR131">
        <v>1</v>
      </c>
      <c r="HS131">
        <v>1945</v>
      </c>
      <c r="HT131">
        <v>5</v>
      </c>
      <c r="HU131">
        <v>1</v>
      </c>
      <c r="HV131">
        <v>3</v>
      </c>
      <c r="HW131">
        <v>0</v>
      </c>
      <c r="HX131">
        <v>1</v>
      </c>
      <c r="HY131">
        <v>0</v>
      </c>
      <c r="HZ131">
        <v>65</v>
      </c>
      <c r="IA131">
        <v>1948</v>
      </c>
      <c r="IB131">
        <v>1955</v>
      </c>
      <c r="ID131">
        <v>1984</v>
      </c>
      <c r="IE131">
        <v>1984</v>
      </c>
      <c r="IF131">
        <v>195</v>
      </c>
      <c r="IG131">
        <v>185</v>
      </c>
      <c r="IH131">
        <v>230</v>
      </c>
      <c r="II131">
        <v>1</v>
      </c>
      <c r="IJ131">
        <v>5</v>
      </c>
      <c r="IK131">
        <v>0</v>
      </c>
      <c r="IL131">
        <v>1</v>
      </c>
      <c r="IM131">
        <v>0</v>
      </c>
      <c r="IN131">
        <v>270</v>
      </c>
      <c r="IO131">
        <v>0</v>
      </c>
      <c r="IP131">
        <v>180</v>
      </c>
      <c r="IQ131">
        <v>0</v>
      </c>
      <c r="IR131">
        <v>325</v>
      </c>
      <c r="IS131">
        <v>0</v>
      </c>
      <c r="IT131">
        <v>90</v>
      </c>
      <c r="IU131">
        <v>0</v>
      </c>
      <c r="IV131">
        <v>6.4</v>
      </c>
      <c r="IW131">
        <v>-6</v>
      </c>
      <c r="IX131">
        <v>100</v>
      </c>
      <c r="IY131">
        <v>74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334</v>
      </c>
      <c r="JJ131">
        <v>304</v>
      </c>
      <c r="JK131">
        <v>220</v>
      </c>
      <c r="JL131">
        <v>304</v>
      </c>
      <c r="JM131">
        <v>230</v>
      </c>
      <c r="JN131">
        <v>195</v>
      </c>
      <c r="JO131">
        <v>240</v>
      </c>
      <c r="JP131">
        <v>230</v>
      </c>
      <c r="JQ131">
        <v>252</v>
      </c>
      <c r="JR131">
        <v>305</v>
      </c>
      <c r="JS131">
        <v>270</v>
      </c>
      <c r="JT131">
        <v>0</v>
      </c>
      <c r="JU131">
        <v>0</v>
      </c>
      <c r="JV131">
        <v>300</v>
      </c>
      <c r="JW131">
        <v>292</v>
      </c>
      <c r="JX131">
        <v>0</v>
      </c>
      <c r="JY131">
        <v>0</v>
      </c>
      <c r="JZ131">
        <v>0</v>
      </c>
      <c r="KA131">
        <v>0.2</v>
      </c>
      <c r="KB131">
        <v>0.4</v>
      </c>
      <c r="KC131">
        <v>0.42</v>
      </c>
      <c r="KD131">
        <v>0.28</v>
      </c>
      <c r="KE131">
        <v>0.8</v>
      </c>
      <c r="KF131">
        <v>0.18</v>
      </c>
      <c r="KG131">
        <v>0.1</v>
      </c>
      <c r="KH131">
        <v>3.5</v>
      </c>
      <c r="KI131">
        <v>1</v>
      </c>
      <c r="KJ131">
        <v>4</v>
      </c>
      <c r="KK131">
        <v>0.5</v>
      </c>
      <c r="KL131">
        <v>4</v>
      </c>
      <c r="KM131">
        <v>1.5</v>
      </c>
      <c r="KN131">
        <v>1.4</v>
      </c>
      <c r="KO131">
        <v>0</v>
      </c>
      <c r="KP131">
        <v>0</v>
      </c>
      <c r="KQ131">
        <v>1</v>
      </c>
      <c r="KR131">
        <v>0.8</v>
      </c>
      <c r="KS131">
        <v>0</v>
      </c>
      <c r="KT131">
        <v>2.5</v>
      </c>
      <c r="KU131">
        <v>0</v>
      </c>
      <c r="KV131">
        <v>0</v>
      </c>
      <c r="KW131">
        <v>1.2</v>
      </c>
      <c r="KX131">
        <v>2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3</v>
      </c>
      <c r="LI131">
        <v>0</v>
      </c>
      <c r="LJ131">
        <v>0</v>
      </c>
      <c r="LK131">
        <v>3</v>
      </c>
      <c r="LL131">
        <v>4</v>
      </c>
      <c r="LM131">
        <v>4</v>
      </c>
      <c r="LN131">
        <v>0.5</v>
      </c>
      <c r="LO131">
        <v>1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1.4</v>
      </c>
      <c r="LX131">
        <v>1.4</v>
      </c>
      <c r="LY131">
        <v>2.1</v>
      </c>
      <c r="LZ131">
        <v>2.1</v>
      </c>
      <c r="MA131">
        <v>0</v>
      </c>
      <c r="MB131">
        <v>0</v>
      </c>
      <c r="MC131">
        <v>0</v>
      </c>
      <c r="MD131">
        <v>4.5</v>
      </c>
      <c r="ME131">
        <v>6</v>
      </c>
      <c r="MF131">
        <v>6</v>
      </c>
      <c r="MI131">
        <v>0</v>
      </c>
      <c r="MJ131">
        <v>0</v>
      </c>
      <c r="ML131">
        <v>0</v>
      </c>
      <c r="MM131">
        <v>390</v>
      </c>
      <c r="MN131">
        <v>195</v>
      </c>
      <c r="MO131">
        <v>240</v>
      </c>
      <c r="NU131">
        <v>0.15</v>
      </c>
      <c r="NV131">
        <v>0.2</v>
      </c>
      <c r="NW131">
        <v>0.2</v>
      </c>
      <c r="NX131">
        <v>0.2</v>
      </c>
      <c r="NY131">
        <v>0.2</v>
      </c>
      <c r="NZ131">
        <v>0.2</v>
      </c>
      <c r="OE131" t="s">
        <v>4566</v>
      </c>
      <c r="OF131" t="s">
        <v>4104</v>
      </c>
      <c r="OG131" t="s">
        <v>4105</v>
      </c>
      <c r="OH131" t="s">
        <v>4426</v>
      </c>
      <c r="OI131" t="s">
        <v>4566</v>
      </c>
      <c r="OJ131" t="s">
        <v>4565</v>
      </c>
      <c r="OK131">
        <v>61</v>
      </c>
      <c r="OL131">
        <v>61</v>
      </c>
      <c r="OM131" t="s">
        <v>4104</v>
      </c>
      <c r="ON131">
        <v>2</v>
      </c>
      <c r="OO131">
        <v>1948</v>
      </c>
      <c r="OP131">
        <v>61</v>
      </c>
      <c r="OQ131">
        <v>61</v>
      </c>
      <c r="OR131" t="s">
        <v>4105</v>
      </c>
      <c r="OS131">
        <v>2</v>
      </c>
      <c r="OT131">
        <v>1955</v>
      </c>
      <c r="OU131">
        <v>65</v>
      </c>
      <c r="OV131">
        <v>65</v>
      </c>
      <c r="OW131" t="s">
        <v>4426</v>
      </c>
      <c r="OX131">
        <v>2</v>
      </c>
      <c r="OY131">
        <v>40357</v>
      </c>
      <c r="OZ131">
        <v>51</v>
      </c>
      <c r="PA131">
        <v>51</v>
      </c>
      <c r="PB131" t="s">
        <v>4566</v>
      </c>
      <c r="PC131">
        <v>1</v>
      </c>
      <c r="PD131">
        <v>1984</v>
      </c>
      <c r="PF131">
        <v>356</v>
      </c>
      <c r="PG131">
        <v>29</v>
      </c>
      <c r="PH131">
        <v>338</v>
      </c>
      <c r="PI131">
        <v>29</v>
      </c>
      <c r="PJ131">
        <v>67.7</v>
      </c>
      <c r="PK131">
        <v>0</v>
      </c>
      <c r="PL131">
        <v>1287.7</v>
      </c>
      <c r="PM131">
        <v>337.4</v>
      </c>
      <c r="PN131">
        <v>95.2</v>
      </c>
      <c r="PO131">
        <v>8.4</v>
      </c>
      <c r="PP131">
        <v>12</v>
      </c>
      <c r="PQ131">
        <v>1</v>
      </c>
      <c r="PR131">
        <v>3</v>
      </c>
      <c r="PS131">
        <v>7</v>
      </c>
      <c r="PT131">
        <v>230</v>
      </c>
      <c r="PU131">
        <v>10</v>
      </c>
      <c r="PV131" t="s">
        <v>4072</v>
      </c>
      <c r="PW131" t="s">
        <v>4072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-1</v>
      </c>
      <c r="QF131">
        <v>1</v>
      </c>
      <c r="QG131">
        <v>0</v>
      </c>
      <c r="QH131">
        <v>5</v>
      </c>
      <c r="QI131">
        <v>5</v>
      </c>
      <c r="QJ131">
        <v>5</v>
      </c>
      <c r="QK131">
        <v>162</v>
      </c>
      <c r="QL131">
        <v>368</v>
      </c>
      <c r="QM131">
        <v>7.5</v>
      </c>
      <c r="QN131">
        <v>1459.5</v>
      </c>
      <c r="QO131" t="s">
        <v>1888</v>
      </c>
      <c r="QP131" t="s">
        <v>513</v>
      </c>
      <c r="QQ131">
        <v>0</v>
      </c>
      <c r="QR131" t="s">
        <v>1496</v>
      </c>
      <c r="QS131">
        <v>30</v>
      </c>
      <c r="QT131">
        <v>40</v>
      </c>
    </row>
    <row r="132" spans="1:462">
      <c r="A132" t="s">
        <v>2107</v>
      </c>
      <c r="B132" t="s">
        <v>804</v>
      </c>
      <c r="C132" t="s">
        <v>509</v>
      </c>
      <c r="D132" t="s">
        <v>2056</v>
      </c>
      <c r="E132" t="s">
        <v>4036</v>
      </c>
      <c r="H132" t="s">
        <v>511</v>
      </c>
      <c r="J132" t="s">
        <v>562</v>
      </c>
      <c r="L132" t="s">
        <v>508</v>
      </c>
      <c r="M132" t="s">
        <v>512</v>
      </c>
      <c r="N132" t="s">
        <v>515</v>
      </c>
      <c r="O132" t="s">
        <v>513</v>
      </c>
      <c r="P132" t="s">
        <v>567</v>
      </c>
      <c r="Q132" t="s">
        <v>713</v>
      </c>
      <c r="R132" t="s">
        <v>714</v>
      </c>
      <c r="S132" t="s">
        <v>4134</v>
      </c>
      <c r="T132" t="s">
        <v>570</v>
      </c>
      <c r="U132" t="s">
        <v>571</v>
      </c>
      <c r="V132" t="s">
        <v>1710</v>
      </c>
      <c r="W132" t="s">
        <v>1880</v>
      </c>
      <c r="X132" t="s">
        <v>2108</v>
      </c>
      <c r="Y132" t="s">
        <v>2109</v>
      </c>
      <c r="Z132" t="s">
        <v>650</v>
      </c>
      <c r="AA132" t="s">
        <v>4038</v>
      </c>
      <c r="AB132" t="s">
        <v>4568</v>
      </c>
      <c r="AC132">
        <v>9</v>
      </c>
      <c r="AD132" t="s">
        <v>2106</v>
      </c>
      <c r="AE132">
        <v>2</v>
      </c>
      <c r="AF132">
        <v>5279</v>
      </c>
      <c r="AG132" t="s">
        <v>4569</v>
      </c>
      <c r="AH132">
        <v>1</v>
      </c>
      <c r="AI132" t="s">
        <v>4041</v>
      </c>
      <c r="AK132" t="s">
        <v>4570</v>
      </c>
      <c r="AL132">
        <v>1</v>
      </c>
      <c r="AM132" t="s">
        <v>582</v>
      </c>
      <c r="AO132" t="s">
        <v>4043</v>
      </c>
      <c r="AP132">
        <v>1</v>
      </c>
      <c r="AR132" t="s">
        <v>4571</v>
      </c>
      <c r="AS132">
        <v>1</v>
      </c>
      <c r="AT132">
        <v>51</v>
      </c>
      <c r="AV132" t="s">
        <v>4078</v>
      </c>
      <c r="AW132">
        <v>6.4</v>
      </c>
      <c r="AX132">
        <v>-6</v>
      </c>
      <c r="AY132">
        <v>110</v>
      </c>
      <c r="AZ132">
        <v>80</v>
      </c>
      <c r="BH132">
        <v>110</v>
      </c>
      <c r="BI132">
        <v>30</v>
      </c>
      <c r="BJ132">
        <v>80</v>
      </c>
      <c r="BK132">
        <v>2.5</v>
      </c>
      <c r="BL132">
        <v>220</v>
      </c>
      <c r="BM132">
        <v>-6</v>
      </c>
      <c r="BN132">
        <v>0</v>
      </c>
      <c r="BP132">
        <v>0</v>
      </c>
      <c r="BR132">
        <v>215</v>
      </c>
      <c r="BS132">
        <v>205</v>
      </c>
      <c r="BT132">
        <v>2145</v>
      </c>
      <c r="BU132" t="s">
        <v>4127</v>
      </c>
      <c r="BV132" t="s">
        <v>4127</v>
      </c>
      <c r="BW132" t="s">
        <v>4128</v>
      </c>
      <c r="BX132" t="s">
        <v>4128</v>
      </c>
      <c r="BY132" t="s">
        <v>4139</v>
      </c>
      <c r="BZ132" t="s">
        <v>4139</v>
      </c>
      <c r="CA132" t="s">
        <v>4084</v>
      </c>
      <c r="CB132" t="s">
        <v>4085</v>
      </c>
      <c r="CC132" t="s">
        <v>4053</v>
      </c>
      <c r="CD132" t="s">
        <v>4055</v>
      </c>
      <c r="CE132" t="s">
        <v>4055</v>
      </c>
      <c r="CF132" t="s">
        <v>4055</v>
      </c>
      <c r="CG132" t="s">
        <v>4056</v>
      </c>
      <c r="CI132" t="s">
        <v>4086</v>
      </c>
      <c r="CJ132" t="s">
        <v>4059</v>
      </c>
      <c r="CK132" t="s">
        <v>4060</v>
      </c>
      <c r="CL132" t="s">
        <v>4061</v>
      </c>
      <c r="CM132" t="s">
        <v>4062</v>
      </c>
      <c r="CN132" t="s">
        <v>4055</v>
      </c>
      <c r="CO132" t="s">
        <v>4063</v>
      </c>
      <c r="CP132" t="s">
        <v>4055</v>
      </c>
      <c r="CQ132" t="s">
        <v>4055</v>
      </c>
      <c r="CR132">
        <v>5</v>
      </c>
      <c r="CS132" t="s">
        <v>4055</v>
      </c>
      <c r="CT132" t="s">
        <v>4055</v>
      </c>
      <c r="CU132" t="s">
        <v>4055</v>
      </c>
      <c r="CV132">
        <v>134</v>
      </c>
      <c r="CW132">
        <v>3</v>
      </c>
      <c r="CX132">
        <v>117</v>
      </c>
      <c r="CY132">
        <v>5</v>
      </c>
      <c r="CZ132">
        <v>145</v>
      </c>
      <c r="DA132">
        <v>5</v>
      </c>
      <c r="DB132">
        <v>11930</v>
      </c>
      <c r="DC132">
        <v>350</v>
      </c>
      <c r="DD132">
        <v>325</v>
      </c>
      <c r="DE132">
        <v>2263</v>
      </c>
      <c r="DF132">
        <v>2263</v>
      </c>
      <c r="DG132">
        <v>2273</v>
      </c>
      <c r="DH132">
        <v>1</v>
      </c>
      <c r="DI132" t="s">
        <v>4055</v>
      </c>
      <c r="DJ132" t="s">
        <v>4132</v>
      </c>
      <c r="DK132">
        <v>215</v>
      </c>
      <c r="DL132" t="s">
        <v>4065</v>
      </c>
      <c r="DM132">
        <v>65</v>
      </c>
      <c r="DN132">
        <v>1.1</v>
      </c>
      <c r="DO132">
        <v>1</v>
      </c>
      <c r="DP132">
        <v>2148</v>
      </c>
      <c r="DQ132">
        <v>999</v>
      </c>
      <c r="DR132" t="s">
        <v>4132</v>
      </c>
      <c r="DS132">
        <v>205</v>
      </c>
      <c r="DT132" t="s">
        <v>4065</v>
      </c>
      <c r="DU132">
        <v>65</v>
      </c>
      <c r="DV132">
        <v>1.1</v>
      </c>
      <c r="DW132">
        <v>1</v>
      </c>
      <c r="DX132">
        <v>2160</v>
      </c>
      <c r="DY132">
        <v>957</v>
      </c>
      <c r="DZ132" t="s">
        <v>4066</v>
      </c>
      <c r="EA132">
        <v>20</v>
      </c>
      <c r="EB132" t="s">
        <v>4065</v>
      </c>
      <c r="EC132">
        <v>0.8</v>
      </c>
      <c r="ED132">
        <v>2148</v>
      </c>
      <c r="EE132">
        <v>75</v>
      </c>
      <c r="EG132">
        <v>0</v>
      </c>
      <c r="EH132" t="s">
        <v>4065</v>
      </c>
      <c r="EI132">
        <v>0</v>
      </c>
      <c r="EL132" t="s">
        <v>1528</v>
      </c>
      <c r="EM132">
        <v>12</v>
      </c>
      <c r="EN132">
        <v>0.5</v>
      </c>
      <c r="EO132">
        <v>0.96</v>
      </c>
      <c r="EP132">
        <v>2158.83</v>
      </c>
      <c r="EQ132">
        <v>39128.79</v>
      </c>
      <c r="ER132">
        <v>10147.79</v>
      </c>
      <c r="ES132">
        <v>0</v>
      </c>
      <c r="ET132">
        <v>0</v>
      </c>
      <c r="EU132">
        <v>1</v>
      </c>
      <c r="EV132">
        <v>49277</v>
      </c>
      <c r="EW132">
        <v>592</v>
      </c>
      <c r="EX132" t="s">
        <v>4363</v>
      </c>
      <c r="EY132">
        <v>226</v>
      </c>
      <c r="EZ132" t="s">
        <v>4055</v>
      </c>
      <c r="FA132">
        <v>5</v>
      </c>
      <c r="FB132">
        <v>1</v>
      </c>
      <c r="FC132">
        <v>1</v>
      </c>
      <c r="FD132">
        <v>2187</v>
      </c>
      <c r="FE132">
        <v>2751</v>
      </c>
      <c r="FF132" t="s">
        <v>4089</v>
      </c>
      <c r="FG132">
        <v>226</v>
      </c>
      <c r="FH132" t="s">
        <v>4055</v>
      </c>
      <c r="FI132">
        <v>1.6</v>
      </c>
      <c r="FJ132">
        <v>2187</v>
      </c>
      <c r="FK132">
        <v>818</v>
      </c>
      <c r="FL132" t="s">
        <v>4069</v>
      </c>
      <c r="FM132" t="s">
        <v>4055</v>
      </c>
      <c r="FN132" t="s">
        <v>4055</v>
      </c>
      <c r="FO132" t="s">
        <v>4055</v>
      </c>
      <c r="FP132">
        <v>2187</v>
      </c>
      <c r="FQ132">
        <v>215</v>
      </c>
      <c r="FR132" t="s">
        <v>4090</v>
      </c>
      <c r="FS132">
        <v>230</v>
      </c>
      <c r="FT132" t="s">
        <v>4055</v>
      </c>
      <c r="FU132">
        <v>0.4</v>
      </c>
      <c r="FV132">
        <v>2187</v>
      </c>
      <c r="FW132">
        <v>224</v>
      </c>
      <c r="FX132" t="s">
        <v>4070</v>
      </c>
      <c r="FY132">
        <v>5</v>
      </c>
      <c r="FZ132" t="s">
        <v>4055</v>
      </c>
      <c r="GA132" t="s">
        <v>4055</v>
      </c>
      <c r="GB132">
        <v>2187</v>
      </c>
      <c r="GC132">
        <v>18</v>
      </c>
      <c r="GD132">
        <v>4026</v>
      </c>
      <c r="GE132" t="s">
        <v>4571</v>
      </c>
      <c r="GF132" t="s">
        <v>4055</v>
      </c>
      <c r="GG132" t="s">
        <v>4055</v>
      </c>
      <c r="GH132" t="s">
        <v>4055</v>
      </c>
      <c r="GI132" t="s">
        <v>4071</v>
      </c>
      <c r="GJ132" t="s">
        <v>4055</v>
      </c>
      <c r="GK132" t="s">
        <v>4055</v>
      </c>
      <c r="GL132" t="s">
        <v>4055</v>
      </c>
      <c r="GM132" t="s">
        <v>4055</v>
      </c>
      <c r="GQ132">
        <v>0</v>
      </c>
      <c r="GV132">
        <v>7</v>
      </c>
      <c r="GW132">
        <v>9</v>
      </c>
      <c r="GX132">
        <v>0.5</v>
      </c>
      <c r="GY132">
        <v>206</v>
      </c>
      <c r="GZ132">
        <v>3</v>
      </c>
      <c r="HA132">
        <v>252</v>
      </c>
      <c r="HB132">
        <v>3</v>
      </c>
      <c r="HC132">
        <v>2187</v>
      </c>
      <c r="HD132">
        <v>4</v>
      </c>
      <c r="HE132" t="s">
        <v>4071</v>
      </c>
      <c r="HG132" t="s">
        <v>549</v>
      </c>
      <c r="HL132">
        <v>4</v>
      </c>
      <c r="HM132">
        <v>20</v>
      </c>
      <c r="HN132">
        <v>1</v>
      </c>
      <c r="HO132">
        <v>1</v>
      </c>
      <c r="HP132">
        <v>0</v>
      </c>
      <c r="HQ132">
        <v>0</v>
      </c>
      <c r="HR132">
        <v>3</v>
      </c>
      <c r="HS132">
        <v>2145</v>
      </c>
      <c r="HT132">
        <v>5</v>
      </c>
      <c r="HU132">
        <v>1</v>
      </c>
      <c r="HV132">
        <v>3</v>
      </c>
      <c r="HW132">
        <v>0</v>
      </c>
      <c r="HX132">
        <v>1</v>
      </c>
      <c r="HY132">
        <v>0</v>
      </c>
      <c r="HZ132">
        <v>65</v>
      </c>
      <c r="IA132">
        <v>2148</v>
      </c>
      <c r="IB132">
        <v>2160</v>
      </c>
      <c r="ID132">
        <v>2187</v>
      </c>
      <c r="IE132">
        <v>2187</v>
      </c>
      <c r="IF132">
        <v>215</v>
      </c>
      <c r="IG132">
        <v>205</v>
      </c>
      <c r="IH132">
        <v>252</v>
      </c>
      <c r="II132">
        <v>1</v>
      </c>
      <c r="IJ132">
        <v>5</v>
      </c>
      <c r="IK132">
        <v>0</v>
      </c>
      <c r="IL132">
        <v>0</v>
      </c>
      <c r="IM132">
        <v>0</v>
      </c>
      <c r="IN132">
        <v>270</v>
      </c>
      <c r="IO132">
        <v>0</v>
      </c>
      <c r="IP132">
        <v>180</v>
      </c>
      <c r="IQ132">
        <v>0</v>
      </c>
      <c r="IR132">
        <v>330</v>
      </c>
      <c r="IS132">
        <v>0</v>
      </c>
      <c r="IT132">
        <v>90</v>
      </c>
      <c r="IU132">
        <v>0</v>
      </c>
      <c r="IV132">
        <v>6.4</v>
      </c>
      <c r="IW132">
        <v>-6</v>
      </c>
      <c r="IX132">
        <v>110</v>
      </c>
      <c r="IY132">
        <v>80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370</v>
      </c>
      <c r="JJ132">
        <v>340</v>
      </c>
      <c r="JK132">
        <v>256</v>
      </c>
      <c r="JL132">
        <v>340</v>
      </c>
      <c r="JM132">
        <v>256</v>
      </c>
      <c r="JN132">
        <v>220</v>
      </c>
      <c r="JO132">
        <v>262</v>
      </c>
      <c r="JP132">
        <v>205</v>
      </c>
      <c r="JQ132">
        <v>240</v>
      </c>
      <c r="JR132">
        <v>280</v>
      </c>
      <c r="JS132">
        <v>232</v>
      </c>
      <c r="JT132">
        <v>0</v>
      </c>
      <c r="JU132">
        <v>0</v>
      </c>
      <c r="JV132">
        <v>270</v>
      </c>
      <c r="JW132">
        <v>295</v>
      </c>
      <c r="JX132">
        <v>0</v>
      </c>
      <c r="JY132">
        <v>0</v>
      </c>
      <c r="JZ132">
        <v>0</v>
      </c>
      <c r="KA132">
        <v>0.2</v>
      </c>
      <c r="KB132">
        <v>0.4</v>
      </c>
      <c r="KC132">
        <v>0.42</v>
      </c>
      <c r="KD132">
        <v>0.28</v>
      </c>
      <c r="KE132">
        <v>0.5</v>
      </c>
      <c r="KF132">
        <v>0.19</v>
      </c>
      <c r="KG132">
        <v>0.11</v>
      </c>
      <c r="KH132">
        <v>3.5</v>
      </c>
      <c r="KI132">
        <v>1</v>
      </c>
      <c r="KJ132">
        <v>4.5</v>
      </c>
      <c r="KK132">
        <v>0</v>
      </c>
      <c r="KL132">
        <v>4.5</v>
      </c>
      <c r="KM132">
        <v>0.5</v>
      </c>
      <c r="KN132">
        <v>1.9</v>
      </c>
      <c r="KO132">
        <v>0</v>
      </c>
      <c r="KP132">
        <v>0</v>
      </c>
      <c r="KQ132">
        <v>0.8</v>
      </c>
      <c r="KR132">
        <v>0.8</v>
      </c>
      <c r="KS132">
        <v>0</v>
      </c>
      <c r="KT132">
        <v>2.4</v>
      </c>
      <c r="KU132">
        <v>0</v>
      </c>
      <c r="KV132">
        <v>0</v>
      </c>
      <c r="KW132">
        <v>1.6</v>
      </c>
      <c r="KX132">
        <v>2</v>
      </c>
      <c r="KY132">
        <v>1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3</v>
      </c>
      <c r="LI132">
        <v>0</v>
      </c>
      <c r="LJ132">
        <v>0</v>
      </c>
      <c r="LK132">
        <v>7</v>
      </c>
      <c r="LL132">
        <v>5</v>
      </c>
      <c r="LM132">
        <v>9</v>
      </c>
      <c r="LN132">
        <v>0.1</v>
      </c>
      <c r="LO132">
        <v>3</v>
      </c>
      <c r="LP132">
        <v>0</v>
      </c>
      <c r="LQ132">
        <v>0</v>
      </c>
      <c r="LR132">
        <v>0</v>
      </c>
      <c r="LS132">
        <v>1</v>
      </c>
      <c r="LT132">
        <v>0</v>
      </c>
      <c r="LU132">
        <v>0</v>
      </c>
      <c r="LV132">
        <v>0</v>
      </c>
      <c r="LW132">
        <v>2</v>
      </c>
      <c r="LX132">
        <v>2</v>
      </c>
      <c r="LY132">
        <v>2.1</v>
      </c>
      <c r="LZ132">
        <v>2.1</v>
      </c>
      <c r="MA132">
        <v>0</v>
      </c>
      <c r="MB132">
        <v>3</v>
      </c>
      <c r="MC132">
        <v>0</v>
      </c>
      <c r="MD132">
        <v>4.5</v>
      </c>
      <c r="ME132">
        <v>6</v>
      </c>
      <c r="MF132">
        <v>6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390</v>
      </c>
      <c r="MN132">
        <v>210</v>
      </c>
      <c r="MO132">
        <v>264</v>
      </c>
      <c r="NU132">
        <v>0.15</v>
      </c>
      <c r="NV132">
        <v>0.2</v>
      </c>
      <c r="NW132">
        <v>0.2</v>
      </c>
      <c r="NX132">
        <v>0.2</v>
      </c>
      <c r="NY132">
        <v>0.2</v>
      </c>
      <c r="NZ132">
        <v>0.2</v>
      </c>
      <c r="OE132" t="s">
        <v>4571</v>
      </c>
      <c r="OF132" t="s">
        <v>4569</v>
      </c>
      <c r="OG132" t="s">
        <v>4570</v>
      </c>
      <c r="OH132" t="s">
        <v>4043</v>
      </c>
      <c r="OI132" t="s">
        <v>4571</v>
      </c>
      <c r="OJ132" t="s">
        <v>4568</v>
      </c>
      <c r="OK132">
        <v>61</v>
      </c>
      <c r="OL132">
        <v>61</v>
      </c>
      <c r="OM132" t="s">
        <v>4569</v>
      </c>
      <c r="ON132">
        <v>1</v>
      </c>
      <c r="OO132">
        <v>2148</v>
      </c>
      <c r="OP132">
        <v>61</v>
      </c>
      <c r="OQ132">
        <v>61</v>
      </c>
      <c r="OR132" t="s">
        <v>4570</v>
      </c>
      <c r="OS132">
        <v>1</v>
      </c>
      <c r="OT132">
        <v>2160</v>
      </c>
      <c r="OU132">
        <v>65</v>
      </c>
      <c r="OV132">
        <v>65</v>
      </c>
      <c r="OW132" t="s">
        <v>4043</v>
      </c>
      <c r="OX132">
        <v>2</v>
      </c>
      <c r="OY132">
        <v>49277</v>
      </c>
      <c r="OZ132">
        <v>51</v>
      </c>
      <c r="PA132">
        <v>51</v>
      </c>
      <c r="PB132" t="s">
        <v>4571</v>
      </c>
      <c r="PC132">
        <v>1</v>
      </c>
      <c r="PD132">
        <v>2187</v>
      </c>
      <c r="PF132">
        <v>465</v>
      </c>
      <c r="PG132">
        <v>35</v>
      </c>
      <c r="PH132">
        <v>443</v>
      </c>
      <c r="PI132">
        <v>0</v>
      </c>
      <c r="PJ132">
        <v>98.3</v>
      </c>
      <c r="PK132">
        <v>1843</v>
      </c>
      <c r="PL132">
        <v>1258.1</v>
      </c>
      <c r="PM132">
        <v>373.9</v>
      </c>
      <c r="PN132">
        <v>102.3</v>
      </c>
      <c r="PO132">
        <v>8.1</v>
      </c>
      <c r="PP132">
        <v>12</v>
      </c>
      <c r="PQ132">
        <v>5</v>
      </c>
      <c r="PR132">
        <v>5</v>
      </c>
      <c r="PS132">
        <v>0</v>
      </c>
      <c r="PT132">
        <v>252</v>
      </c>
      <c r="PU132">
        <v>13</v>
      </c>
      <c r="PV132" t="s">
        <v>4072</v>
      </c>
      <c r="PW132" t="s">
        <v>4072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-1</v>
      </c>
      <c r="QF132">
        <v>1</v>
      </c>
      <c r="QG132">
        <v>0</v>
      </c>
      <c r="QH132">
        <v>5</v>
      </c>
      <c r="QI132">
        <v>5</v>
      </c>
      <c r="QJ132">
        <v>5</v>
      </c>
      <c r="QK132">
        <v>201</v>
      </c>
      <c r="QL132">
        <v>400</v>
      </c>
      <c r="QM132">
        <v>9.4</v>
      </c>
      <c r="QN132">
        <v>1623.8</v>
      </c>
      <c r="QO132" t="s">
        <v>1888</v>
      </c>
      <c r="QP132" t="s">
        <v>513</v>
      </c>
      <c r="QQ132">
        <v>0</v>
      </c>
      <c r="QR132" t="s">
        <v>704</v>
      </c>
      <c r="QS132">
        <v>40</v>
      </c>
      <c r="QT132">
        <v>50</v>
      </c>
    </row>
    <row r="133" spans="1:462">
      <c r="A133" t="s">
        <v>2116</v>
      </c>
      <c r="B133" t="s">
        <v>629</v>
      </c>
      <c r="C133" t="s">
        <v>509</v>
      </c>
      <c r="D133" t="s">
        <v>1307</v>
      </c>
      <c r="E133" t="s">
        <v>4036</v>
      </c>
      <c r="H133" t="s">
        <v>561</v>
      </c>
      <c r="J133" t="s">
        <v>562</v>
      </c>
      <c r="K133" t="s">
        <v>563</v>
      </c>
      <c r="L133" t="s">
        <v>711</v>
      </c>
      <c r="M133" t="s">
        <v>512</v>
      </c>
      <c r="O133" t="s">
        <v>513</v>
      </c>
      <c r="P133" t="s">
        <v>567</v>
      </c>
      <c r="Q133" t="s">
        <v>1718</v>
      </c>
      <c r="R133" t="s">
        <v>610</v>
      </c>
      <c r="S133" t="s">
        <v>4091</v>
      </c>
      <c r="T133" t="s">
        <v>1482</v>
      </c>
      <c r="U133" t="s">
        <v>1483</v>
      </c>
      <c r="V133" t="s">
        <v>1835</v>
      </c>
      <c r="W133" t="s">
        <v>1880</v>
      </c>
      <c r="X133" t="s">
        <v>2117</v>
      </c>
      <c r="Y133" t="s">
        <v>2118</v>
      </c>
      <c r="Z133" t="s">
        <v>541</v>
      </c>
      <c r="AA133" t="s">
        <v>3054</v>
      </c>
      <c r="AB133" t="s">
        <v>4572</v>
      </c>
      <c r="AC133">
        <v>9</v>
      </c>
      <c r="AD133" t="s">
        <v>2115</v>
      </c>
      <c r="AE133">
        <v>4</v>
      </c>
      <c r="AF133">
        <v>4712</v>
      </c>
      <c r="AG133" t="s">
        <v>4573</v>
      </c>
      <c r="AH133">
        <v>1</v>
      </c>
      <c r="AI133" t="s">
        <v>4041</v>
      </c>
      <c r="AK133" t="s">
        <v>4574</v>
      </c>
      <c r="AL133">
        <v>1</v>
      </c>
      <c r="AM133" t="s">
        <v>582</v>
      </c>
      <c r="AO133" t="s">
        <v>4043</v>
      </c>
      <c r="AP133">
        <v>1</v>
      </c>
      <c r="AR133" t="s">
        <v>4575</v>
      </c>
      <c r="AS133">
        <v>1</v>
      </c>
      <c r="AT133">
        <v>51</v>
      </c>
      <c r="AV133" t="s">
        <v>4078</v>
      </c>
      <c r="AW133">
        <v>6.4</v>
      </c>
      <c r="AX133">
        <v>-6</v>
      </c>
      <c r="AY133">
        <v>80</v>
      </c>
      <c r="AZ133">
        <v>56</v>
      </c>
      <c r="BH133">
        <v>80</v>
      </c>
      <c r="BI133">
        <v>24</v>
      </c>
      <c r="BJ133">
        <v>56</v>
      </c>
      <c r="BK133">
        <v>2.5</v>
      </c>
      <c r="BL133">
        <v>160</v>
      </c>
      <c r="BM133">
        <v>-6</v>
      </c>
      <c r="BN133">
        <v>0</v>
      </c>
      <c r="BO133">
        <v>0</v>
      </c>
      <c r="BP133">
        <v>0</v>
      </c>
      <c r="BR133">
        <v>155</v>
      </c>
      <c r="BS133">
        <v>145</v>
      </c>
      <c r="BT133">
        <v>1905</v>
      </c>
      <c r="BU133" t="s">
        <v>4047</v>
      </c>
      <c r="BV133" t="s">
        <v>4047</v>
      </c>
      <c r="BW133" t="s">
        <v>4049</v>
      </c>
      <c r="BX133" t="s">
        <v>4049</v>
      </c>
      <c r="BY133" t="s">
        <v>4413</v>
      </c>
      <c r="BZ133" t="s">
        <v>4428</v>
      </c>
      <c r="CA133" t="s">
        <v>4370</v>
      </c>
      <c r="CB133" t="s">
        <v>4371</v>
      </c>
      <c r="CC133" t="s">
        <v>4053</v>
      </c>
      <c r="CD133" t="s">
        <v>4372</v>
      </c>
      <c r="CE133" t="s">
        <v>4055</v>
      </c>
      <c r="CF133" t="s">
        <v>4055</v>
      </c>
      <c r="CG133" t="s">
        <v>4056</v>
      </c>
      <c r="CH133" t="s">
        <v>4057</v>
      </c>
      <c r="CI133" t="s">
        <v>4058</v>
      </c>
      <c r="CJ133" t="s">
        <v>4059</v>
      </c>
      <c r="CK133" t="s">
        <v>4060</v>
      </c>
      <c r="CL133" t="s">
        <v>4061</v>
      </c>
      <c r="CM133" t="s">
        <v>4062</v>
      </c>
      <c r="CN133" t="s">
        <v>4055</v>
      </c>
      <c r="CO133" t="s">
        <v>4063</v>
      </c>
      <c r="CP133" t="s">
        <v>4055</v>
      </c>
      <c r="CQ133" t="s">
        <v>4055</v>
      </c>
      <c r="CR133">
        <v>5</v>
      </c>
      <c r="CS133" t="s">
        <v>4055</v>
      </c>
      <c r="CT133" t="s">
        <v>4055</v>
      </c>
      <c r="CU133" t="s">
        <v>4055</v>
      </c>
      <c r="CV133">
        <v>109</v>
      </c>
      <c r="CW133">
        <v>3</v>
      </c>
      <c r="CX133">
        <v>65</v>
      </c>
      <c r="CY133">
        <v>5</v>
      </c>
      <c r="CZ133">
        <v>133</v>
      </c>
      <c r="DA133">
        <v>5</v>
      </c>
      <c r="DB133">
        <v>9060</v>
      </c>
      <c r="DC133">
        <v>270</v>
      </c>
      <c r="DD133">
        <v>319</v>
      </c>
      <c r="DE133">
        <v>2005</v>
      </c>
      <c r="DF133">
        <v>2005</v>
      </c>
      <c r="DG133">
        <v>2015</v>
      </c>
      <c r="DH133" t="s">
        <v>4055</v>
      </c>
      <c r="DI133" t="s">
        <v>4055</v>
      </c>
      <c r="DJ133" t="s">
        <v>4132</v>
      </c>
      <c r="DK133">
        <v>155</v>
      </c>
      <c r="DL133" t="s">
        <v>4065</v>
      </c>
      <c r="DM133">
        <v>65</v>
      </c>
      <c r="DN133">
        <v>1.1</v>
      </c>
      <c r="DO133">
        <v>1</v>
      </c>
      <c r="DP133">
        <v>1908</v>
      </c>
      <c r="DQ133">
        <v>639</v>
      </c>
      <c r="DR133" t="s">
        <v>4132</v>
      </c>
      <c r="DS133">
        <v>145</v>
      </c>
      <c r="DT133" t="s">
        <v>4065</v>
      </c>
      <c r="DU133">
        <v>65</v>
      </c>
      <c r="DV133">
        <v>1.1</v>
      </c>
      <c r="DW133">
        <v>1</v>
      </c>
      <c r="DX133">
        <v>1920</v>
      </c>
      <c r="DY133">
        <v>603</v>
      </c>
      <c r="DZ133" t="s">
        <v>4066</v>
      </c>
      <c r="EA133">
        <v>20</v>
      </c>
      <c r="EB133" t="s">
        <v>4065</v>
      </c>
      <c r="EC133">
        <v>0.8</v>
      </c>
      <c r="ED133">
        <v>1908</v>
      </c>
      <c r="EE133">
        <v>67</v>
      </c>
      <c r="EG133">
        <v>0</v>
      </c>
      <c r="EH133" t="s">
        <v>4065</v>
      </c>
      <c r="EI133">
        <v>0</v>
      </c>
      <c r="EL133" t="s">
        <v>1528</v>
      </c>
      <c r="EM133">
        <v>12</v>
      </c>
      <c r="EN133">
        <v>0.5</v>
      </c>
      <c r="EO133">
        <v>0.96</v>
      </c>
      <c r="EP133">
        <v>1918.83</v>
      </c>
      <c r="EQ133">
        <v>25784.28</v>
      </c>
      <c r="ER133">
        <v>7218.23</v>
      </c>
      <c r="ES133">
        <v>0</v>
      </c>
      <c r="ET133">
        <v>0</v>
      </c>
      <c r="EU133">
        <v>1</v>
      </c>
      <c r="EV133">
        <v>33003</v>
      </c>
      <c r="EW133">
        <v>397</v>
      </c>
      <c r="EX133" t="s">
        <v>4363</v>
      </c>
      <c r="EY133">
        <v>184</v>
      </c>
      <c r="EZ133" t="s">
        <v>4055</v>
      </c>
      <c r="FA133">
        <v>5.4</v>
      </c>
      <c r="FB133">
        <v>1</v>
      </c>
      <c r="FC133">
        <v>1</v>
      </c>
      <c r="FD133">
        <v>1948</v>
      </c>
      <c r="FE133">
        <v>1825</v>
      </c>
      <c r="FF133" t="s">
        <v>4089</v>
      </c>
      <c r="FG133">
        <v>184</v>
      </c>
      <c r="FH133" t="s">
        <v>4055</v>
      </c>
      <c r="FI133">
        <v>1.4</v>
      </c>
      <c r="FJ133">
        <v>1948</v>
      </c>
      <c r="FK133">
        <v>489</v>
      </c>
      <c r="FL133" t="s">
        <v>4069</v>
      </c>
      <c r="FM133" t="s">
        <v>4055</v>
      </c>
      <c r="FN133" t="s">
        <v>4055</v>
      </c>
      <c r="FO133" t="s">
        <v>4055</v>
      </c>
      <c r="FP133">
        <v>1948</v>
      </c>
      <c r="FQ133">
        <v>141</v>
      </c>
      <c r="FR133" t="s">
        <v>4090</v>
      </c>
      <c r="FS133">
        <v>188</v>
      </c>
      <c r="FT133" t="s">
        <v>4055</v>
      </c>
      <c r="FU133">
        <v>0.4</v>
      </c>
      <c r="FV133">
        <v>1948</v>
      </c>
      <c r="FW133">
        <v>163</v>
      </c>
      <c r="FX133" t="s">
        <v>4070</v>
      </c>
      <c r="FY133">
        <v>5</v>
      </c>
      <c r="FZ133" t="s">
        <v>4055</v>
      </c>
      <c r="GA133" t="s">
        <v>4055</v>
      </c>
      <c r="GB133">
        <v>1948</v>
      </c>
      <c r="GC133">
        <v>16</v>
      </c>
      <c r="GD133">
        <v>2634</v>
      </c>
      <c r="GE133" t="s">
        <v>4575</v>
      </c>
      <c r="GF133" t="s">
        <v>4055</v>
      </c>
      <c r="GG133" t="s">
        <v>4055</v>
      </c>
      <c r="GH133" t="s">
        <v>4055</v>
      </c>
      <c r="GI133" t="s">
        <v>4071</v>
      </c>
      <c r="GJ133" t="s">
        <v>4055</v>
      </c>
      <c r="GK133" t="s">
        <v>4055</v>
      </c>
      <c r="GL133" t="s">
        <v>4055</v>
      </c>
      <c r="GM133" t="s">
        <v>4055</v>
      </c>
      <c r="GQ133">
        <v>0</v>
      </c>
      <c r="GV133">
        <v>7.2</v>
      </c>
      <c r="GW133">
        <v>7.6</v>
      </c>
      <c r="GX133">
        <v>0.5</v>
      </c>
      <c r="GY133">
        <v>148</v>
      </c>
      <c r="GZ133">
        <v>3</v>
      </c>
      <c r="HA133">
        <v>204</v>
      </c>
      <c r="HB133">
        <v>3</v>
      </c>
      <c r="HC133">
        <v>1948</v>
      </c>
      <c r="HD133">
        <v>4</v>
      </c>
      <c r="HE133" t="s">
        <v>4071</v>
      </c>
      <c r="HG133" t="s">
        <v>549</v>
      </c>
      <c r="HL133">
        <v>4</v>
      </c>
      <c r="HM133">
        <v>15</v>
      </c>
      <c r="HN133">
        <v>6</v>
      </c>
      <c r="HO133">
        <v>1</v>
      </c>
      <c r="HP133">
        <v>0</v>
      </c>
      <c r="HQ133">
        <v>0</v>
      </c>
      <c r="HR133">
        <v>2</v>
      </c>
      <c r="HS133">
        <v>1905</v>
      </c>
      <c r="HT133">
        <v>5</v>
      </c>
      <c r="HU133">
        <v>1</v>
      </c>
      <c r="HV133">
        <v>3</v>
      </c>
      <c r="HW133">
        <v>0</v>
      </c>
      <c r="HX133">
        <v>1</v>
      </c>
      <c r="HY133">
        <v>0</v>
      </c>
      <c r="HZ133">
        <v>65</v>
      </c>
      <c r="IA133">
        <v>1908</v>
      </c>
      <c r="IB133">
        <v>1920</v>
      </c>
      <c r="ID133">
        <v>1948</v>
      </c>
      <c r="IE133">
        <v>1948</v>
      </c>
      <c r="IF133">
        <v>155</v>
      </c>
      <c r="IG133">
        <v>145</v>
      </c>
      <c r="IH133">
        <v>204</v>
      </c>
      <c r="II133">
        <v>1</v>
      </c>
      <c r="IJ133">
        <v>5</v>
      </c>
      <c r="IK133">
        <v>0</v>
      </c>
      <c r="IL133">
        <v>0</v>
      </c>
      <c r="IM133">
        <v>0</v>
      </c>
      <c r="IN133">
        <v>270</v>
      </c>
      <c r="IO133">
        <v>0</v>
      </c>
      <c r="IP133">
        <v>180</v>
      </c>
      <c r="IQ133">
        <v>0</v>
      </c>
      <c r="IR133">
        <v>330</v>
      </c>
      <c r="IS133">
        <v>0</v>
      </c>
      <c r="IT133">
        <v>90</v>
      </c>
      <c r="IU133">
        <v>0</v>
      </c>
      <c r="IV133">
        <v>6.4</v>
      </c>
      <c r="IW133">
        <v>-6</v>
      </c>
      <c r="IX133">
        <v>80</v>
      </c>
      <c r="IY133">
        <v>56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382</v>
      </c>
      <c r="JJ133">
        <v>352</v>
      </c>
      <c r="JK133">
        <v>260</v>
      </c>
      <c r="JL133">
        <v>350</v>
      </c>
      <c r="JM133">
        <v>275</v>
      </c>
      <c r="JN133">
        <v>165</v>
      </c>
      <c r="JO133">
        <v>214</v>
      </c>
      <c r="JP133">
        <v>200</v>
      </c>
      <c r="JQ133">
        <v>260</v>
      </c>
      <c r="JR133">
        <v>360</v>
      </c>
      <c r="JS133">
        <v>245</v>
      </c>
      <c r="JT133">
        <v>0</v>
      </c>
      <c r="JU133">
        <v>0</v>
      </c>
      <c r="JV133">
        <v>335</v>
      </c>
      <c r="JW133">
        <v>337</v>
      </c>
      <c r="JX133">
        <v>346</v>
      </c>
      <c r="JY133">
        <v>318</v>
      </c>
      <c r="JZ133">
        <v>0.5</v>
      </c>
      <c r="KA133">
        <v>0.2</v>
      </c>
      <c r="KB133">
        <v>0.4</v>
      </c>
      <c r="KC133">
        <v>0.42</v>
      </c>
      <c r="KD133">
        <v>0.28</v>
      </c>
      <c r="KE133">
        <v>0.5</v>
      </c>
      <c r="KF133">
        <v>0.18</v>
      </c>
      <c r="KG133">
        <v>0.1</v>
      </c>
      <c r="KH133">
        <v>3.5</v>
      </c>
      <c r="KI133">
        <v>1</v>
      </c>
      <c r="KJ133">
        <v>4.5</v>
      </c>
      <c r="KK133">
        <v>0</v>
      </c>
      <c r="KL133">
        <v>4.5</v>
      </c>
      <c r="KM133">
        <v>0</v>
      </c>
      <c r="KN133">
        <v>1.8</v>
      </c>
      <c r="KO133">
        <v>0</v>
      </c>
      <c r="KP133">
        <v>0</v>
      </c>
      <c r="KQ133">
        <v>1.2</v>
      </c>
      <c r="KR133">
        <v>1.5</v>
      </c>
      <c r="KS133">
        <v>0</v>
      </c>
      <c r="KT133">
        <v>2</v>
      </c>
      <c r="KU133">
        <v>0</v>
      </c>
      <c r="KV133">
        <v>0</v>
      </c>
      <c r="KW133">
        <v>1.2</v>
      </c>
      <c r="KX133">
        <v>2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3</v>
      </c>
      <c r="LI133">
        <v>0.5</v>
      </c>
      <c r="LJ133">
        <v>0</v>
      </c>
      <c r="LK133">
        <v>7</v>
      </c>
      <c r="LL133">
        <v>3</v>
      </c>
      <c r="LM133">
        <v>6</v>
      </c>
      <c r="LN133">
        <v>0.3</v>
      </c>
      <c r="LO133">
        <v>3</v>
      </c>
      <c r="LP133">
        <v>0</v>
      </c>
      <c r="LQ133">
        <v>0</v>
      </c>
      <c r="LR133">
        <v>0</v>
      </c>
      <c r="LS133">
        <v>1</v>
      </c>
      <c r="LT133">
        <v>0</v>
      </c>
      <c r="LU133">
        <v>0</v>
      </c>
      <c r="LV133">
        <v>0</v>
      </c>
      <c r="LW133">
        <v>2.5</v>
      </c>
      <c r="LX133">
        <v>2.5</v>
      </c>
      <c r="LY133">
        <v>2.1</v>
      </c>
      <c r="LZ133">
        <v>2.1</v>
      </c>
      <c r="MA133">
        <v>0</v>
      </c>
      <c r="MB133">
        <v>8</v>
      </c>
      <c r="MC133">
        <v>0</v>
      </c>
      <c r="MD133">
        <v>4.5</v>
      </c>
      <c r="ME133">
        <v>6</v>
      </c>
      <c r="MF133">
        <v>6</v>
      </c>
      <c r="MG133">
        <v>20</v>
      </c>
      <c r="MH133">
        <v>20</v>
      </c>
      <c r="MI133">
        <v>0</v>
      </c>
      <c r="MJ133">
        <v>0</v>
      </c>
      <c r="ML133">
        <v>0</v>
      </c>
      <c r="MM133">
        <v>390</v>
      </c>
      <c r="MN133">
        <v>150</v>
      </c>
      <c r="MO133">
        <v>214</v>
      </c>
      <c r="NU133">
        <v>0.15</v>
      </c>
      <c r="NV133">
        <v>0.2</v>
      </c>
      <c r="NW133">
        <v>0.2</v>
      </c>
      <c r="NX133">
        <v>0.2</v>
      </c>
      <c r="NY133">
        <v>0.2</v>
      </c>
      <c r="NZ133">
        <v>0.2</v>
      </c>
      <c r="OE133" t="s">
        <v>4575</v>
      </c>
      <c r="OF133" t="s">
        <v>4573</v>
      </c>
      <c r="OG133" t="s">
        <v>4574</v>
      </c>
      <c r="OH133" t="s">
        <v>4043</v>
      </c>
      <c r="OI133" t="s">
        <v>4575</v>
      </c>
      <c r="OJ133" t="s">
        <v>4572</v>
      </c>
      <c r="OK133">
        <v>61</v>
      </c>
      <c r="OL133">
        <v>61</v>
      </c>
      <c r="OM133" t="s">
        <v>4573</v>
      </c>
      <c r="ON133">
        <v>1</v>
      </c>
      <c r="OO133">
        <v>1908</v>
      </c>
      <c r="OP133">
        <v>61</v>
      </c>
      <c r="OQ133">
        <v>61</v>
      </c>
      <c r="OR133" t="s">
        <v>4574</v>
      </c>
      <c r="OS133">
        <v>1</v>
      </c>
      <c r="OT133">
        <v>1920</v>
      </c>
      <c r="OU133">
        <v>65</v>
      </c>
      <c r="OV133">
        <v>65</v>
      </c>
      <c r="OW133" t="s">
        <v>4043</v>
      </c>
      <c r="OX133">
        <v>2</v>
      </c>
      <c r="OY133">
        <v>33003</v>
      </c>
      <c r="OZ133">
        <v>51</v>
      </c>
      <c r="PA133">
        <v>51</v>
      </c>
      <c r="PB133" t="s">
        <v>4575</v>
      </c>
      <c r="PC133">
        <v>2</v>
      </c>
      <c r="PD133">
        <v>1948</v>
      </c>
      <c r="PF133">
        <v>335</v>
      </c>
      <c r="PG133">
        <v>35</v>
      </c>
      <c r="PH133">
        <v>314</v>
      </c>
      <c r="PI133">
        <v>0</v>
      </c>
      <c r="PJ133">
        <v>72.2</v>
      </c>
      <c r="PK133">
        <v>1331</v>
      </c>
      <c r="PL133">
        <v>936.7</v>
      </c>
      <c r="PM133">
        <v>251.1</v>
      </c>
      <c r="PN133">
        <v>83.59999999999999</v>
      </c>
      <c r="PO133">
        <v>8.4</v>
      </c>
      <c r="PP133">
        <v>12</v>
      </c>
      <c r="PQ133">
        <v>1</v>
      </c>
      <c r="PR133">
        <v>1</v>
      </c>
      <c r="PS133">
        <v>7</v>
      </c>
      <c r="PT133">
        <v>204</v>
      </c>
      <c r="PU133">
        <v>10</v>
      </c>
      <c r="PV133" t="s">
        <v>4072</v>
      </c>
      <c r="PW133" t="s">
        <v>4072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-1</v>
      </c>
      <c r="QF133">
        <v>1</v>
      </c>
      <c r="QG133">
        <v>0</v>
      </c>
      <c r="QH133">
        <v>5</v>
      </c>
      <c r="QI133">
        <v>5</v>
      </c>
      <c r="QJ133">
        <v>5</v>
      </c>
      <c r="QK133">
        <v>186</v>
      </c>
      <c r="QL133">
        <v>416</v>
      </c>
      <c r="QM133">
        <v>7.5</v>
      </c>
      <c r="QN133">
        <v>1205.9</v>
      </c>
      <c r="QO133" t="s">
        <v>1888</v>
      </c>
      <c r="QP133" t="s">
        <v>513</v>
      </c>
      <c r="QQ133">
        <v>0</v>
      </c>
      <c r="QR133" t="s">
        <v>621</v>
      </c>
      <c r="QS133">
        <v>30</v>
      </c>
      <c r="QT133">
        <v>40</v>
      </c>
    </row>
    <row r="134" spans="1:462">
      <c r="A134" t="s">
        <v>2127</v>
      </c>
      <c r="B134" t="s">
        <v>711</v>
      </c>
      <c r="C134" t="s">
        <v>509</v>
      </c>
      <c r="D134" t="s">
        <v>2126</v>
      </c>
      <c r="E134" t="s">
        <v>4036</v>
      </c>
      <c r="H134" t="s">
        <v>561</v>
      </c>
      <c r="J134" t="s">
        <v>562</v>
      </c>
      <c r="L134" t="s">
        <v>804</v>
      </c>
      <c r="M134" t="s">
        <v>512</v>
      </c>
      <c r="O134" t="s">
        <v>513</v>
      </c>
      <c r="P134" t="s">
        <v>567</v>
      </c>
      <c r="Q134" t="s">
        <v>609</v>
      </c>
      <c r="R134" t="s">
        <v>610</v>
      </c>
      <c r="S134" t="s">
        <v>4091</v>
      </c>
      <c r="T134" t="s">
        <v>520</v>
      </c>
      <c r="U134" t="s">
        <v>521</v>
      </c>
      <c r="V134" t="s">
        <v>1835</v>
      </c>
      <c r="W134" t="s">
        <v>1880</v>
      </c>
      <c r="X134" t="s">
        <v>2128</v>
      </c>
      <c r="Y134" t="s">
        <v>2129</v>
      </c>
      <c r="Z134" t="s">
        <v>541</v>
      </c>
      <c r="AA134" t="s">
        <v>3054</v>
      </c>
      <c r="AB134" t="s">
        <v>4576</v>
      </c>
      <c r="AC134">
        <v>13</v>
      </c>
      <c r="AD134" t="s">
        <v>2125</v>
      </c>
      <c r="AE134">
        <v>3</v>
      </c>
      <c r="AF134">
        <v>4914</v>
      </c>
      <c r="AG134" t="s">
        <v>4573</v>
      </c>
      <c r="AH134">
        <v>1</v>
      </c>
      <c r="AI134" t="s">
        <v>4041</v>
      </c>
      <c r="AK134" t="s">
        <v>4574</v>
      </c>
      <c r="AL134">
        <v>1</v>
      </c>
      <c r="AM134" t="s">
        <v>582</v>
      </c>
      <c r="AO134" t="s">
        <v>4043</v>
      </c>
      <c r="AP134">
        <v>1</v>
      </c>
      <c r="AR134" t="s">
        <v>4577</v>
      </c>
      <c r="AS134">
        <v>1</v>
      </c>
      <c r="AT134">
        <v>51</v>
      </c>
      <c r="AV134" t="s">
        <v>4045</v>
      </c>
      <c r="AW134">
        <v>6.4</v>
      </c>
      <c r="AX134">
        <v>-6</v>
      </c>
      <c r="AY134">
        <v>80</v>
      </c>
      <c r="AZ134">
        <v>62</v>
      </c>
      <c r="BH134">
        <v>80</v>
      </c>
      <c r="BI134">
        <v>18</v>
      </c>
      <c r="BJ134">
        <v>62</v>
      </c>
      <c r="BK134">
        <v>2.5</v>
      </c>
      <c r="BL134">
        <v>160</v>
      </c>
      <c r="BM134">
        <v>-6</v>
      </c>
      <c r="BN134">
        <v>0</v>
      </c>
      <c r="BO134">
        <v>0</v>
      </c>
      <c r="BP134">
        <v>0</v>
      </c>
      <c r="BR134">
        <v>155</v>
      </c>
      <c r="BS134">
        <v>145</v>
      </c>
      <c r="BT134">
        <v>1975</v>
      </c>
      <c r="BU134" t="s">
        <v>4096</v>
      </c>
      <c r="BV134" t="s">
        <v>4096</v>
      </c>
      <c r="BW134" t="s">
        <v>4049</v>
      </c>
      <c r="BX134" t="s">
        <v>4097</v>
      </c>
      <c r="BY134" t="s">
        <v>4050</v>
      </c>
      <c r="BZ134" t="s">
        <v>4050</v>
      </c>
      <c r="CA134" t="s">
        <v>4051</v>
      </c>
      <c r="CB134" t="s">
        <v>4052</v>
      </c>
      <c r="CC134" t="s">
        <v>4053</v>
      </c>
      <c r="CD134" t="s">
        <v>4054</v>
      </c>
      <c r="CE134" t="s">
        <v>4055</v>
      </c>
      <c r="CF134" t="s">
        <v>4055</v>
      </c>
      <c r="CG134" t="s">
        <v>4056</v>
      </c>
      <c r="CH134" t="s">
        <v>4099</v>
      </c>
      <c r="CI134" t="s">
        <v>4058</v>
      </c>
      <c r="CJ134" t="s">
        <v>4059</v>
      </c>
      <c r="CK134" t="s">
        <v>4060</v>
      </c>
      <c r="CL134" t="s">
        <v>4061</v>
      </c>
      <c r="CM134" t="s">
        <v>4062</v>
      </c>
      <c r="CN134" t="s">
        <v>4055</v>
      </c>
      <c r="CO134" t="s">
        <v>4063</v>
      </c>
      <c r="CP134" t="s">
        <v>4055</v>
      </c>
      <c r="CQ134" t="s">
        <v>4055</v>
      </c>
      <c r="CR134">
        <v>5</v>
      </c>
      <c r="CS134" t="s">
        <v>4055</v>
      </c>
      <c r="CT134" t="s">
        <v>4055</v>
      </c>
      <c r="CU134" t="s">
        <v>4055</v>
      </c>
      <c r="CV134">
        <v>109</v>
      </c>
      <c r="CW134">
        <v>3</v>
      </c>
      <c r="CX134">
        <v>64</v>
      </c>
      <c r="CY134">
        <v>5</v>
      </c>
      <c r="CZ134">
        <v>140</v>
      </c>
      <c r="DA134">
        <v>5</v>
      </c>
      <c r="DB134">
        <v>9520</v>
      </c>
      <c r="DC134">
        <v>280</v>
      </c>
      <c r="DD134">
        <v>322</v>
      </c>
      <c r="DE134">
        <v>2075</v>
      </c>
      <c r="DF134">
        <v>2075</v>
      </c>
      <c r="DG134">
        <v>2097</v>
      </c>
      <c r="DH134" t="s">
        <v>4055</v>
      </c>
      <c r="DI134" t="s">
        <v>4055</v>
      </c>
      <c r="DJ134" t="s">
        <v>4132</v>
      </c>
      <c r="DK134">
        <v>155</v>
      </c>
      <c r="DL134" t="s">
        <v>4065</v>
      </c>
      <c r="DM134">
        <v>65</v>
      </c>
      <c r="DN134">
        <v>1.1</v>
      </c>
      <c r="DO134">
        <v>1</v>
      </c>
      <c r="DP134">
        <v>1978</v>
      </c>
      <c r="DQ134">
        <v>663</v>
      </c>
      <c r="DR134" t="s">
        <v>4132</v>
      </c>
      <c r="DS134">
        <v>145</v>
      </c>
      <c r="DT134" t="s">
        <v>4065</v>
      </c>
      <c r="DU134">
        <v>65</v>
      </c>
      <c r="DV134">
        <v>1.1</v>
      </c>
      <c r="DW134">
        <v>1</v>
      </c>
      <c r="DX134">
        <v>1990</v>
      </c>
      <c r="DY134">
        <v>625</v>
      </c>
      <c r="DZ134" t="s">
        <v>4066</v>
      </c>
      <c r="EA134">
        <v>20</v>
      </c>
      <c r="EB134" t="s">
        <v>4065</v>
      </c>
      <c r="EC134">
        <v>0.8</v>
      </c>
      <c r="ED134">
        <v>1978</v>
      </c>
      <c r="EE134">
        <v>69</v>
      </c>
      <c r="EG134">
        <v>0</v>
      </c>
      <c r="EH134" t="s">
        <v>4065</v>
      </c>
      <c r="EI134">
        <v>0</v>
      </c>
      <c r="EL134" t="s">
        <v>1528</v>
      </c>
      <c r="EM134">
        <v>12</v>
      </c>
      <c r="EN134">
        <v>0.5</v>
      </c>
      <c r="EO134">
        <v>0.96</v>
      </c>
      <c r="EP134">
        <v>1988.83</v>
      </c>
      <c r="EQ134">
        <v>26724.9</v>
      </c>
      <c r="ER134">
        <v>5610.55</v>
      </c>
      <c r="ES134">
        <v>0</v>
      </c>
      <c r="ET134">
        <v>0</v>
      </c>
      <c r="EU134">
        <v>1</v>
      </c>
      <c r="EV134">
        <v>32336</v>
      </c>
      <c r="EW134">
        <v>389</v>
      </c>
      <c r="EX134" t="s">
        <v>4363</v>
      </c>
      <c r="EY134">
        <v>188</v>
      </c>
      <c r="EZ134" t="s">
        <v>4055</v>
      </c>
      <c r="FA134">
        <v>5</v>
      </c>
      <c r="FB134">
        <v>1</v>
      </c>
      <c r="FC134">
        <v>1</v>
      </c>
      <c r="FD134">
        <v>2017</v>
      </c>
      <c r="FE134">
        <v>1955</v>
      </c>
      <c r="FF134" t="s">
        <v>4089</v>
      </c>
      <c r="FG134">
        <v>188</v>
      </c>
      <c r="FH134" t="s">
        <v>4055</v>
      </c>
      <c r="FI134">
        <v>1.6</v>
      </c>
      <c r="FJ134">
        <v>2017</v>
      </c>
      <c r="FK134">
        <v>593</v>
      </c>
      <c r="FL134" t="s">
        <v>4069</v>
      </c>
      <c r="FM134" t="s">
        <v>4055</v>
      </c>
      <c r="FN134" t="s">
        <v>4055</v>
      </c>
      <c r="FO134" t="s">
        <v>4055</v>
      </c>
      <c r="FP134">
        <v>2017</v>
      </c>
      <c r="FQ134">
        <v>117</v>
      </c>
      <c r="FR134" t="s">
        <v>4090</v>
      </c>
      <c r="FS134">
        <v>192</v>
      </c>
      <c r="FT134" t="s">
        <v>4055</v>
      </c>
      <c r="FU134">
        <v>0.4</v>
      </c>
      <c r="FV134">
        <v>2017</v>
      </c>
      <c r="FW134">
        <v>172</v>
      </c>
      <c r="FX134" t="s">
        <v>4070</v>
      </c>
      <c r="FY134">
        <v>5</v>
      </c>
      <c r="FZ134" t="s">
        <v>4055</v>
      </c>
      <c r="GA134" t="s">
        <v>4055</v>
      </c>
      <c r="GB134">
        <v>2017</v>
      </c>
      <c r="GC134">
        <v>16</v>
      </c>
      <c r="GD134">
        <v>2853</v>
      </c>
      <c r="GE134" t="s">
        <v>4577</v>
      </c>
      <c r="GF134" t="s">
        <v>4055</v>
      </c>
      <c r="GG134" t="s">
        <v>4055</v>
      </c>
      <c r="GH134" t="s">
        <v>4055</v>
      </c>
      <c r="GI134" t="s">
        <v>4071</v>
      </c>
      <c r="GJ134" t="s">
        <v>4055</v>
      </c>
      <c r="GK134" t="s">
        <v>4055</v>
      </c>
      <c r="GL134" t="s">
        <v>4055</v>
      </c>
      <c r="GM134" t="s">
        <v>4055</v>
      </c>
      <c r="GQ134">
        <v>0</v>
      </c>
      <c r="GV134">
        <v>7</v>
      </c>
      <c r="GW134">
        <v>7.8</v>
      </c>
      <c r="GX134">
        <v>0.5</v>
      </c>
      <c r="GY134">
        <v>152</v>
      </c>
      <c r="GZ134">
        <v>3</v>
      </c>
      <c r="HA134">
        <v>208</v>
      </c>
      <c r="HB134">
        <v>3</v>
      </c>
      <c r="HC134">
        <v>2017</v>
      </c>
      <c r="HD134">
        <v>4</v>
      </c>
      <c r="HE134" t="s">
        <v>4071</v>
      </c>
      <c r="HG134" t="s">
        <v>549</v>
      </c>
      <c r="HL134">
        <v>4</v>
      </c>
      <c r="HM134">
        <v>16</v>
      </c>
      <c r="HN134">
        <v>6</v>
      </c>
      <c r="HO134">
        <v>1</v>
      </c>
      <c r="HP134">
        <v>0</v>
      </c>
      <c r="HQ134">
        <v>0</v>
      </c>
      <c r="HR134">
        <v>3</v>
      </c>
      <c r="HS134">
        <v>1975</v>
      </c>
      <c r="HT134">
        <v>5</v>
      </c>
      <c r="HU134">
        <v>1</v>
      </c>
      <c r="HV134">
        <v>5</v>
      </c>
      <c r="HW134">
        <v>0</v>
      </c>
      <c r="HX134">
        <v>1</v>
      </c>
      <c r="HY134">
        <v>0</v>
      </c>
      <c r="HZ134">
        <v>65</v>
      </c>
      <c r="IA134">
        <v>1978</v>
      </c>
      <c r="IB134">
        <v>1990</v>
      </c>
      <c r="ID134">
        <v>2017</v>
      </c>
      <c r="IE134">
        <v>2017</v>
      </c>
      <c r="IF134">
        <v>155</v>
      </c>
      <c r="IG134">
        <v>145</v>
      </c>
      <c r="IH134">
        <v>208</v>
      </c>
      <c r="II134">
        <v>1</v>
      </c>
      <c r="IJ134">
        <v>5</v>
      </c>
      <c r="IK134">
        <v>0</v>
      </c>
      <c r="IL134">
        <v>0</v>
      </c>
      <c r="IM134">
        <v>0</v>
      </c>
      <c r="IN134">
        <v>270</v>
      </c>
      <c r="IO134">
        <v>0</v>
      </c>
      <c r="IP134">
        <v>180</v>
      </c>
      <c r="IQ134">
        <v>0</v>
      </c>
      <c r="IR134">
        <v>330</v>
      </c>
      <c r="IS134">
        <v>0</v>
      </c>
      <c r="IT134">
        <v>90</v>
      </c>
      <c r="IU134">
        <v>0</v>
      </c>
      <c r="IV134">
        <v>6.4</v>
      </c>
      <c r="IW134">
        <v>-6</v>
      </c>
      <c r="IX134">
        <v>80</v>
      </c>
      <c r="IY134">
        <v>62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382</v>
      </c>
      <c r="JJ134">
        <v>352</v>
      </c>
      <c r="JK134">
        <v>258</v>
      </c>
      <c r="JL134">
        <v>350</v>
      </c>
      <c r="JM134">
        <v>275</v>
      </c>
      <c r="JN134">
        <v>160</v>
      </c>
      <c r="JO134">
        <v>220</v>
      </c>
      <c r="JP134">
        <v>205</v>
      </c>
      <c r="JQ134">
        <v>250</v>
      </c>
      <c r="JR134">
        <v>350</v>
      </c>
      <c r="JS134">
        <v>260</v>
      </c>
      <c r="JT134">
        <v>0</v>
      </c>
      <c r="JU134">
        <v>0</v>
      </c>
      <c r="JV134">
        <v>335</v>
      </c>
      <c r="JW134">
        <v>337</v>
      </c>
      <c r="JX134">
        <v>340</v>
      </c>
      <c r="JY134">
        <v>320</v>
      </c>
      <c r="JZ134">
        <v>0.5</v>
      </c>
      <c r="KA134">
        <v>0.2</v>
      </c>
      <c r="KB134">
        <v>0.4</v>
      </c>
      <c r="KC134">
        <v>0.42</v>
      </c>
      <c r="KD134">
        <v>0.28</v>
      </c>
      <c r="KE134">
        <v>0.5</v>
      </c>
      <c r="KF134">
        <v>0.18</v>
      </c>
      <c r="KG134">
        <v>0.11</v>
      </c>
      <c r="KH134">
        <v>3.5</v>
      </c>
      <c r="KI134">
        <v>1</v>
      </c>
      <c r="KJ134">
        <v>4.5</v>
      </c>
      <c r="KK134">
        <v>0</v>
      </c>
      <c r="KL134">
        <v>4.5</v>
      </c>
      <c r="KM134">
        <v>0</v>
      </c>
      <c r="KN134">
        <v>1.5</v>
      </c>
      <c r="KO134">
        <v>0</v>
      </c>
      <c r="KP134">
        <v>0</v>
      </c>
      <c r="KQ134">
        <v>0.8</v>
      </c>
      <c r="KR134">
        <v>0.8</v>
      </c>
      <c r="KS134">
        <v>0</v>
      </c>
      <c r="KT134">
        <v>1.8</v>
      </c>
      <c r="KU134">
        <v>0</v>
      </c>
      <c r="KV134">
        <v>0</v>
      </c>
      <c r="KW134">
        <v>1</v>
      </c>
      <c r="KX134">
        <v>2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3</v>
      </c>
      <c r="LI134">
        <v>0.5</v>
      </c>
      <c r="LJ134">
        <v>0</v>
      </c>
      <c r="LK134">
        <v>7</v>
      </c>
      <c r="LL134">
        <v>4</v>
      </c>
      <c r="LM134">
        <v>8</v>
      </c>
      <c r="LN134">
        <v>0.1</v>
      </c>
      <c r="LO134">
        <v>5</v>
      </c>
      <c r="LP134">
        <v>0</v>
      </c>
      <c r="LQ134">
        <v>0</v>
      </c>
      <c r="LR134">
        <v>0</v>
      </c>
      <c r="LS134">
        <v>1</v>
      </c>
      <c r="LT134">
        <v>0</v>
      </c>
      <c r="LU134">
        <v>0</v>
      </c>
      <c r="LV134">
        <v>0</v>
      </c>
      <c r="LW134">
        <v>2.1</v>
      </c>
      <c r="LX134">
        <v>2.1</v>
      </c>
      <c r="LY134">
        <v>2.1</v>
      </c>
      <c r="LZ134">
        <v>2.1</v>
      </c>
      <c r="MA134">
        <v>0</v>
      </c>
      <c r="MB134">
        <v>8</v>
      </c>
      <c r="MC134">
        <v>0</v>
      </c>
      <c r="MD134">
        <v>4.5</v>
      </c>
      <c r="ME134">
        <v>6</v>
      </c>
      <c r="MF134">
        <v>6</v>
      </c>
      <c r="MG134">
        <v>20</v>
      </c>
      <c r="MH134">
        <v>20</v>
      </c>
      <c r="MI134">
        <v>0</v>
      </c>
      <c r="MJ134">
        <v>0</v>
      </c>
      <c r="ML134">
        <v>0</v>
      </c>
      <c r="MM134">
        <v>390</v>
      </c>
      <c r="MN134">
        <v>140</v>
      </c>
      <c r="MO134">
        <v>214</v>
      </c>
      <c r="NU134">
        <v>0.15</v>
      </c>
      <c r="NV134">
        <v>0.2</v>
      </c>
      <c r="NW134">
        <v>0.2</v>
      </c>
      <c r="NX134">
        <v>0.2</v>
      </c>
      <c r="NY134">
        <v>0.2</v>
      </c>
      <c r="NZ134">
        <v>0.2</v>
      </c>
      <c r="OE134" t="s">
        <v>4577</v>
      </c>
      <c r="OF134" t="s">
        <v>4573</v>
      </c>
      <c r="OG134" t="s">
        <v>4574</v>
      </c>
      <c r="OH134" t="s">
        <v>4043</v>
      </c>
      <c r="OI134" t="s">
        <v>4577</v>
      </c>
      <c r="OJ134" t="s">
        <v>4576</v>
      </c>
      <c r="OK134">
        <v>61</v>
      </c>
      <c r="OL134">
        <v>61</v>
      </c>
      <c r="OM134" t="s">
        <v>4573</v>
      </c>
      <c r="ON134">
        <v>1</v>
      </c>
      <c r="OO134">
        <v>1978</v>
      </c>
      <c r="OP134">
        <v>61</v>
      </c>
      <c r="OQ134">
        <v>61</v>
      </c>
      <c r="OR134" t="s">
        <v>4574</v>
      </c>
      <c r="OS134">
        <v>1</v>
      </c>
      <c r="OT134">
        <v>1990</v>
      </c>
      <c r="OU134">
        <v>65</v>
      </c>
      <c r="OV134">
        <v>65</v>
      </c>
      <c r="OW134" t="s">
        <v>4043</v>
      </c>
      <c r="OX134">
        <v>2</v>
      </c>
      <c r="OY134">
        <v>32336</v>
      </c>
      <c r="OZ134">
        <v>51</v>
      </c>
      <c r="PA134">
        <v>51</v>
      </c>
      <c r="PB134" t="s">
        <v>4577</v>
      </c>
      <c r="PC134">
        <v>1</v>
      </c>
      <c r="PD134">
        <v>2017</v>
      </c>
      <c r="PF134">
        <v>335</v>
      </c>
      <c r="PG134">
        <v>35</v>
      </c>
      <c r="PH134">
        <v>314</v>
      </c>
      <c r="PI134">
        <v>0</v>
      </c>
      <c r="PJ134">
        <v>57.9</v>
      </c>
      <c r="PK134">
        <v>1400</v>
      </c>
      <c r="PL134">
        <v>969.3</v>
      </c>
      <c r="PM134">
        <v>293.9</v>
      </c>
      <c r="PN134">
        <v>85.3</v>
      </c>
      <c r="PO134">
        <v>8.1</v>
      </c>
      <c r="PP134">
        <v>12</v>
      </c>
      <c r="PQ134">
        <v>3</v>
      </c>
      <c r="PR134">
        <v>3</v>
      </c>
      <c r="PS134">
        <v>8</v>
      </c>
      <c r="PT134">
        <v>208</v>
      </c>
      <c r="PU134">
        <v>10</v>
      </c>
      <c r="PV134" t="s">
        <v>4072</v>
      </c>
      <c r="PW134" t="s">
        <v>4072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-1</v>
      </c>
      <c r="QF134">
        <v>1</v>
      </c>
      <c r="QG134">
        <v>0</v>
      </c>
      <c r="QH134">
        <v>5</v>
      </c>
      <c r="QI134">
        <v>5</v>
      </c>
      <c r="QJ134">
        <v>5</v>
      </c>
      <c r="QK134">
        <v>186</v>
      </c>
      <c r="QL134">
        <v>416</v>
      </c>
      <c r="QM134">
        <v>7.5</v>
      </c>
      <c r="QN134">
        <v>1285.7</v>
      </c>
      <c r="QO134" t="s">
        <v>1888</v>
      </c>
      <c r="QP134" t="s">
        <v>513</v>
      </c>
      <c r="QQ134">
        <v>0</v>
      </c>
      <c r="QR134" t="s">
        <v>621</v>
      </c>
      <c r="QS134">
        <v>30</v>
      </c>
      <c r="QT134">
        <v>40</v>
      </c>
    </row>
    <row r="135" spans="1:462">
      <c r="A135" t="s">
        <v>2135</v>
      </c>
      <c r="B135" t="s">
        <v>711</v>
      </c>
      <c r="C135" t="s">
        <v>509</v>
      </c>
      <c r="D135" t="s">
        <v>1281</v>
      </c>
      <c r="E135" t="s">
        <v>4036</v>
      </c>
      <c r="H135" t="s">
        <v>1088</v>
      </c>
      <c r="L135" t="s">
        <v>804</v>
      </c>
      <c r="M135" t="s">
        <v>512</v>
      </c>
      <c r="O135" t="s">
        <v>513</v>
      </c>
      <c r="P135" t="s">
        <v>567</v>
      </c>
      <c r="Q135" t="s">
        <v>742</v>
      </c>
      <c r="R135" t="s">
        <v>743</v>
      </c>
      <c r="S135" t="s">
        <v>4134</v>
      </c>
      <c r="T135" t="s">
        <v>633</v>
      </c>
      <c r="U135" t="s">
        <v>634</v>
      </c>
      <c r="V135" t="s">
        <v>1980</v>
      </c>
      <c r="W135" t="s">
        <v>1880</v>
      </c>
      <c r="X135" t="s">
        <v>2136</v>
      </c>
      <c r="Y135" t="s">
        <v>2137</v>
      </c>
      <c r="Z135" t="s">
        <v>541</v>
      </c>
      <c r="AA135" t="s">
        <v>4038</v>
      </c>
      <c r="AB135" t="s">
        <v>4578</v>
      </c>
      <c r="AC135">
        <v>9</v>
      </c>
      <c r="AD135" t="s">
        <v>2134</v>
      </c>
      <c r="AE135">
        <v>3</v>
      </c>
      <c r="AF135">
        <v>3935</v>
      </c>
      <c r="AG135" t="s">
        <v>4104</v>
      </c>
      <c r="AH135">
        <v>1</v>
      </c>
      <c r="AI135" t="s">
        <v>4041</v>
      </c>
      <c r="AK135" t="s">
        <v>4105</v>
      </c>
      <c r="AL135">
        <v>1</v>
      </c>
      <c r="AM135" t="s">
        <v>582</v>
      </c>
      <c r="AO135" t="s">
        <v>4353</v>
      </c>
      <c r="AP135">
        <v>1</v>
      </c>
      <c r="AR135" t="s">
        <v>4579</v>
      </c>
      <c r="AS135">
        <v>1</v>
      </c>
      <c r="AT135">
        <v>51</v>
      </c>
      <c r="AV135" t="s">
        <v>4078</v>
      </c>
      <c r="AW135">
        <v>6.4</v>
      </c>
      <c r="AX135">
        <v>-6</v>
      </c>
      <c r="AY135">
        <v>100</v>
      </c>
      <c r="AZ135">
        <v>74</v>
      </c>
      <c r="BH135">
        <v>100</v>
      </c>
      <c r="BI135">
        <v>26</v>
      </c>
      <c r="BJ135">
        <v>74</v>
      </c>
      <c r="BK135">
        <v>2.5</v>
      </c>
      <c r="BL135">
        <v>200</v>
      </c>
      <c r="BM135">
        <v>-6</v>
      </c>
      <c r="BN135">
        <v>0</v>
      </c>
      <c r="BO135">
        <v>0</v>
      </c>
      <c r="BP135">
        <v>0</v>
      </c>
      <c r="BR135">
        <v>195</v>
      </c>
      <c r="BS135">
        <v>185</v>
      </c>
      <c r="BT135">
        <v>1870</v>
      </c>
      <c r="BU135" t="s">
        <v>4047</v>
      </c>
      <c r="BV135" t="s">
        <v>4047</v>
      </c>
      <c r="BW135" t="s">
        <v>4049</v>
      </c>
      <c r="BX135" t="s">
        <v>4049</v>
      </c>
      <c r="BY135" t="s">
        <v>4150</v>
      </c>
      <c r="BZ135" t="s">
        <v>4150</v>
      </c>
      <c r="CA135" t="s">
        <v>4108</v>
      </c>
      <c r="CB135" t="s">
        <v>4109</v>
      </c>
      <c r="CC135" t="s">
        <v>4053</v>
      </c>
      <c r="CD135" t="s">
        <v>4110</v>
      </c>
      <c r="CE135" t="s">
        <v>4055</v>
      </c>
      <c r="CF135" t="s">
        <v>4055</v>
      </c>
      <c r="CG135" t="s">
        <v>4056</v>
      </c>
      <c r="CH135" t="s">
        <v>4057</v>
      </c>
      <c r="CI135" t="s">
        <v>4058</v>
      </c>
      <c r="CJ135" t="s">
        <v>4059</v>
      </c>
      <c r="CK135" t="s">
        <v>4060</v>
      </c>
      <c r="CL135" t="s">
        <v>4061</v>
      </c>
      <c r="CM135" t="s">
        <v>4055</v>
      </c>
      <c r="CN135" t="s">
        <v>4062</v>
      </c>
      <c r="CO135" t="s">
        <v>4063</v>
      </c>
      <c r="CP135" t="s">
        <v>4055</v>
      </c>
      <c r="CQ135" t="s">
        <v>4055</v>
      </c>
      <c r="CR135">
        <v>5</v>
      </c>
      <c r="CS135" t="s">
        <v>4055</v>
      </c>
      <c r="CT135" t="s">
        <v>4055</v>
      </c>
      <c r="CU135" t="s">
        <v>4055</v>
      </c>
      <c r="CV135">
        <v>125</v>
      </c>
      <c r="CW135">
        <v>3</v>
      </c>
      <c r="CX135">
        <v>87</v>
      </c>
      <c r="CY135">
        <v>5</v>
      </c>
      <c r="CZ135">
        <v>79</v>
      </c>
      <c r="DA135">
        <v>5</v>
      </c>
      <c r="DB135">
        <v>9030</v>
      </c>
      <c r="DC135">
        <v>270</v>
      </c>
      <c r="DD135">
        <v>295</v>
      </c>
      <c r="DE135">
        <v>1956</v>
      </c>
      <c r="DF135">
        <v>1956</v>
      </c>
      <c r="DG135">
        <v>1979</v>
      </c>
      <c r="DH135" t="s">
        <v>4055</v>
      </c>
      <c r="DI135" t="s">
        <v>4055</v>
      </c>
      <c r="DJ135" t="s">
        <v>4100</v>
      </c>
      <c r="DK135">
        <v>195</v>
      </c>
      <c r="DL135" t="s">
        <v>4101</v>
      </c>
      <c r="DM135">
        <v>65</v>
      </c>
      <c r="DN135">
        <v>0.84</v>
      </c>
      <c r="DO135">
        <v>1</v>
      </c>
      <c r="DP135">
        <v>1873</v>
      </c>
      <c r="DQ135">
        <v>667</v>
      </c>
      <c r="DR135" t="s">
        <v>4100</v>
      </c>
      <c r="DS135">
        <v>185</v>
      </c>
      <c r="DT135" t="s">
        <v>4101</v>
      </c>
      <c r="DU135">
        <v>65</v>
      </c>
      <c r="DV135">
        <v>0.84</v>
      </c>
      <c r="DW135">
        <v>1</v>
      </c>
      <c r="DX135">
        <v>1880</v>
      </c>
      <c r="DY135">
        <v>635</v>
      </c>
      <c r="DZ135" t="s">
        <v>4066</v>
      </c>
      <c r="EA135">
        <v>33</v>
      </c>
      <c r="EB135" t="s">
        <v>4065</v>
      </c>
      <c r="EC135">
        <v>0.4</v>
      </c>
      <c r="ED135">
        <v>1873</v>
      </c>
      <c r="EE135">
        <v>54</v>
      </c>
      <c r="EF135" t="s">
        <v>4066</v>
      </c>
      <c r="EG135">
        <v>33</v>
      </c>
      <c r="EH135" t="s">
        <v>4065</v>
      </c>
      <c r="EI135">
        <v>0.4</v>
      </c>
      <c r="EJ135">
        <v>1880</v>
      </c>
      <c r="EK135">
        <v>55</v>
      </c>
      <c r="EL135" t="s">
        <v>4362</v>
      </c>
      <c r="EM135">
        <v>12</v>
      </c>
      <c r="EN135">
        <v>0.5</v>
      </c>
      <c r="EO135">
        <v>0.77</v>
      </c>
      <c r="EP135">
        <v>1880.56</v>
      </c>
      <c r="EQ135">
        <v>31146.78</v>
      </c>
      <c r="ER135">
        <v>7659.43</v>
      </c>
      <c r="ES135">
        <v>0</v>
      </c>
      <c r="ET135">
        <v>0</v>
      </c>
      <c r="EU135">
        <v>1</v>
      </c>
      <c r="EV135">
        <v>38807</v>
      </c>
      <c r="EW135">
        <v>389</v>
      </c>
      <c r="EX135" t="s">
        <v>4363</v>
      </c>
      <c r="EY135">
        <v>214</v>
      </c>
      <c r="EZ135" t="s">
        <v>4055</v>
      </c>
      <c r="FA135">
        <v>5</v>
      </c>
      <c r="FB135">
        <v>1</v>
      </c>
      <c r="FC135">
        <v>1</v>
      </c>
      <c r="FD135">
        <v>1908</v>
      </c>
      <c r="FE135">
        <v>2322</v>
      </c>
      <c r="FF135" t="s">
        <v>4089</v>
      </c>
      <c r="FG135">
        <v>214</v>
      </c>
      <c r="FH135" t="s">
        <v>4055</v>
      </c>
      <c r="FI135">
        <v>1.6</v>
      </c>
      <c r="FJ135">
        <v>1908</v>
      </c>
      <c r="FK135">
        <v>647</v>
      </c>
      <c r="FL135" t="s">
        <v>4069</v>
      </c>
      <c r="FM135" t="s">
        <v>4055</v>
      </c>
      <c r="FN135" t="s">
        <v>4055</v>
      </c>
      <c r="FO135" t="s">
        <v>4055</v>
      </c>
      <c r="FP135">
        <v>1908</v>
      </c>
      <c r="FQ135">
        <v>123</v>
      </c>
      <c r="FR135" t="s">
        <v>4090</v>
      </c>
      <c r="FS135">
        <v>218</v>
      </c>
      <c r="FT135" t="s">
        <v>4055</v>
      </c>
      <c r="FU135">
        <v>0.4</v>
      </c>
      <c r="FV135">
        <v>1908</v>
      </c>
      <c r="FW135">
        <v>185</v>
      </c>
      <c r="FX135" t="s">
        <v>4070</v>
      </c>
      <c r="FY135">
        <v>5</v>
      </c>
      <c r="FZ135" t="s">
        <v>4055</v>
      </c>
      <c r="GA135" t="s">
        <v>4055</v>
      </c>
      <c r="GB135">
        <v>1908</v>
      </c>
      <c r="GC135">
        <v>15</v>
      </c>
      <c r="GD135">
        <v>3292</v>
      </c>
      <c r="GE135" t="s">
        <v>4579</v>
      </c>
      <c r="GF135" t="s">
        <v>4055</v>
      </c>
      <c r="GG135" t="s">
        <v>4055</v>
      </c>
      <c r="GH135" t="s">
        <v>4055</v>
      </c>
      <c r="GI135" t="s">
        <v>4071</v>
      </c>
      <c r="GJ135" t="s">
        <v>4055</v>
      </c>
      <c r="GK135" t="s">
        <v>4055</v>
      </c>
      <c r="GL135" t="s">
        <v>4055</v>
      </c>
      <c r="GM135" t="s">
        <v>4055</v>
      </c>
      <c r="GQ135">
        <v>0</v>
      </c>
      <c r="GV135">
        <v>7</v>
      </c>
      <c r="GW135">
        <v>9</v>
      </c>
      <c r="GX135">
        <v>0.5</v>
      </c>
      <c r="GY135">
        <v>190</v>
      </c>
      <c r="GZ135">
        <v>3</v>
      </c>
      <c r="HA135">
        <v>234</v>
      </c>
      <c r="HB135">
        <v>3</v>
      </c>
      <c r="HC135">
        <v>1908</v>
      </c>
      <c r="HD135">
        <v>4</v>
      </c>
      <c r="HE135" t="s">
        <v>4071</v>
      </c>
      <c r="HG135" t="s">
        <v>549</v>
      </c>
      <c r="HL135">
        <v>4</v>
      </c>
      <c r="HM135">
        <v>17</v>
      </c>
      <c r="HN135">
        <v>6</v>
      </c>
      <c r="HO135">
        <v>1</v>
      </c>
      <c r="HP135">
        <v>0</v>
      </c>
      <c r="HQ135">
        <v>0</v>
      </c>
      <c r="HR135">
        <v>3</v>
      </c>
      <c r="HS135">
        <v>1870</v>
      </c>
      <c r="HT135">
        <v>5</v>
      </c>
      <c r="HU135">
        <v>1</v>
      </c>
      <c r="HV135">
        <v>0</v>
      </c>
      <c r="HW135">
        <v>0</v>
      </c>
      <c r="HX135">
        <v>1</v>
      </c>
      <c r="HY135">
        <v>0</v>
      </c>
      <c r="HZ135">
        <v>65</v>
      </c>
      <c r="IA135">
        <v>1873</v>
      </c>
      <c r="IB135">
        <v>1880</v>
      </c>
      <c r="ID135">
        <v>1908</v>
      </c>
      <c r="IE135">
        <v>1908</v>
      </c>
      <c r="IF135">
        <v>195</v>
      </c>
      <c r="IG135">
        <v>185</v>
      </c>
      <c r="IH135">
        <v>234</v>
      </c>
      <c r="II135">
        <v>1</v>
      </c>
      <c r="IJ135">
        <v>5</v>
      </c>
      <c r="IK135">
        <v>0</v>
      </c>
      <c r="IL135">
        <v>2</v>
      </c>
      <c r="IM135">
        <v>0</v>
      </c>
      <c r="IN135">
        <v>0</v>
      </c>
      <c r="IO135">
        <v>0</v>
      </c>
      <c r="IP135">
        <v>180</v>
      </c>
      <c r="IQ135">
        <v>0</v>
      </c>
      <c r="IR135">
        <v>330</v>
      </c>
      <c r="IS135">
        <v>0</v>
      </c>
      <c r="IT135">
        <v>90</v>
      </c>
      <c r="IU135">
        <v>0</v>
      </c>
      <c r="IV135">
        <v>6.4</v>
      </c>
      <c r="IW135">
        <v>-6</v>
      </c>
      <c r="IX135">
        <v>100</v>
      </c>
      <c r="IY135">
        <v>74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336</v>
      </c>
      <c r="JJ135">
        <v>306</v>
      </c>
      <c r="JK135">
        <v>234</v>
      </c>
      <c r="JL135">
        <v>304</v>
      </c>
      <c r="JM135">
        <v>250</v>
      </c>
      <c r="JN135">
        <v>195</v>
      </c>
      <c r="JO135">
        <v>244</v>
      </c>
      <c r="JP135">
        <v>220</v>
      </c>
      <c r="JQ135">
        <v>265</v>
      </c>
      <c r="JR135">
        <v>325</v>
      </c>
      <c r="JS135">
        <v>280</v>
      </c>
      <c r="JT135">
        <v>0</v>
      </c>
      <c r="JU135">
        <v>0</v>
      </c>
      <c r="JV135">
        <v>324</v>
      </c>
      <c r="JW135">
        <v>337</v>
      </c>
      <c r="JX135">
        <v>320</v>
      </c>
      <c r="JY135">
        <v>300</v>
      </c>
      <c r="JZ135">
        <v>2.5</v>
      </c>
      <c r="KA135">
        <v>0.2</v>
      </c>
      <c r="KB135">
        <v>0.4</v>
      </c>
      <c r="KC135">
        <v>0.42</v>
      </c>
      <c r="KD135">
        <v>0.28</v>
      </c>
      <c r="KE135">
        <v>0.6</v>
      </c>
      <c r="KF135">
        <v>0.2</v>
      </c>
      <c r="KG135">
        <v>0.1</v>
      </c>
      <c r="KH135">
        <v>3.5</v>
      </c>
      <c r="KI135">
        <v>1</v>
      </c>
      <c r="KJ135">
        <v>4.5</v>
      </c>
      <c r="KK135">
        <v>0</v>
      </c>
      <c r="KL135">
        <v>4</v>
      </c>
      <c r="KM135">
        <v>0</v>
      </c>
      <c r="KN135">
        <v>1.2</v>
      </c>
      <c r="KO135">
        <v>0</v>
      </c>
      <c r="KP135">
        <v>0</v>
      </c>
      <c r="KQ135">
        <v>0.8</v>
      </c>
      <c r="KR135">
        <v>0.5</v>
      </c>
      <c r="KS135">
        <v>0</v>
      </c>
      <c r="KT135">
        <v>1.8</v>
      </c>
      <c r="KU135">
        <v>0</v>
      </c>
      <c r="KV135">
        <v>0</v>
      </c>
      <c r="KW135">
        <v>1</v>
      </c>
      <c r="KX135">
        <v>2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3</v>
      </c>
      <c r="LI135">
        <v>1</v>
      </c>
      <c r="LJ135">
        <v>0</v>
      </c>
      <c r="LK135">
        <v>4</v>
      </c>
      <c r="LL135">
        <v>5</v>
      </c>
      <c r="LM135">
        <v>6</v>
      </c>
      <c r="LN135">
        <v>0.5</v>
      </c>
      <c r="LO135">
        <v>0.1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2.5</v>
      </c>
      <c r="LX135">
        <v>2.5</v>
      </c>
      <c r="LY135">
        <v>2.3</v>
      </c>
      <c r="LZ135">
        <v>2.3</v>
      </c>
      <c r="MA135">
        <v>0</v>
      </c>
      <c r="MB135">
        <v>4.5</v>
      </c>
      <c r="MC135">
        <v>0</v>
      </c>
      <c r="MD135">
        <v>4.5</v>
      </c>
      <c r="ME135">
        <v>6</v>
      </c>
      <c r="MF135">
        <v>6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358</v>
      </c>
      <c r="MN135">
        <v>185</v>
      </c>
      <c r="MO135">
        <v>234</v>
      </c>
      <c r="NU135">
        <v>0.15</v>
      </c>
      <c r="NV135">
        <v>0.2</v>
      </c>
      <c r="NW135">
        <v>0.2</v>
      </c>
      <c r="NX135">
        <v>2</v>
      </c>
      <c r="NY135">
        <v>2</v>
      </c>
      <c r="NZ135">
        <v>2</v>
      </c>
      <c r="OE135" t="s">
        <v>4579</v>
      </c>
      <c r="OF135" t="s">
        <v>4104</v>
      </c>
      <c r="OG135" t="s">
        <v>4105</v>
      </c>
      <c r="OH135" t="s">
        <v>4353</v>
      </c>
      <c r="OI135" t="s">
        <v>4579</v>
      </c>
      <c r="OJ135" t="s">
        <v>4578</v>
      </c>
      <c r="OK135">
        <v>61</v>
      </c>
      <c r="OL135">
        <v>61</v>
      </c>
      <c r="OM135" t="s">
        <v>4104</v>
      </c>
      <c r="ON135">
        <v>2</v>
      </c>
      <c r="OO135">
        <v>1873</v>
      </c>
      <c r="OP135">
        <v>61</v>
      </c>
      <c r="OQ135">
        <v>61</v>
      </c>
      <c r="OR135" t="s">
        <v>4105</v>
      </c>
      <c r="OS135">
        <v>2</v>
      </c>
      <c r="OT135">
        <v>1880</v>
      </c>
      <c r="OU135">
        <v>65</v>
      </c>
      <c r="OV135">
        <v>65</v>
      </c>
      <c r="OW135" t="s">
        <v>4353</v>
      </c>
      <c r="OX135">
        <v>1</v>
      </c>
      <c r="OY135">
        <v>38807</v>
      </c>
      <c r="OZ135">
        <v>51</v>
      </c>
      <c r="PA135">
        <v>51</v>
      </c>
      <c r="PB135" t="s">
        <v>4579</v>
      </c>
      <c r="PC135">
        <v>1</v>
      </c>
      <c r="PD135">
        <v>1908</v>
      </c>
      <c r="PF135">
        <v>356</v>
      </c>
      <c r="PG135">
        <v>29</v>
      </c>
      <c r="PH135">
        <v>338</v>
      </c>
      <c r="PI135">
        <v>29</v>
      </c>
      <c r="PJ135">
        <v>64.59999999999999</v>
      </c>
      <c r="PK135">
        <v>1703</v>
      </c>
      <c r="PL135">
        <v>1217</v>
      </c>
      <c r="PM135">
        <v>339.2</v>
      </c>
      <c r="PN135">
        <v>97</v>
      </c>
      <c r="PO135">
        <v>8.1</v>
      </c>
      <c r="PP135">
        <v>10</v>
      </c>
      <c r="PQ135">
        <v>1</v>
      </c>
      <c r="PR135">
        <v>1</v>
      </c>
      <c r="PS135">
        <v>7</v>
      </c>
      <c r="PT135">
        <v>234</v>
      </c>
      <c r="PU135">
        <v>10</v>
      </c>
      <c r="PV135" t="s">
        <v>4072</v>
      </c>
      <c r="PW135" t="s">
        <v>4072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-1</v>
      </c>
      <c r="QF135">
        <v>1</v>
      </c>
      <c r="QG135">
        <v>0</v>
      </c>
      <c r="QH135">
        <v>5</v>
      </c>
      <c r="QI135">
        <v>5</v>
      </c>
      <c r="QJ135">
        <v>5</v>
      </c>
      <c r="QK135">
        <v>163</v>
      </c>
      <c r="QL135">
        <v>370</v>
      </c>
      <c r="QM135">
        <v>7.5</v>
      </c>
      <c r="QN135">
        <v>1381.4</v>
      </c>
      <c r="QO135" t="s">
        <v>1888</v>
      </c>
      <c r="QP135" t="s">
        <v>513</v>
      </c>
      <c r="QQ135">
        <v>0</v>
      </c>
      <c r="QR135" t="s">
        <v>1496</v>
      </c>
      <c r="QS135">
        <v>30</v>
      </c>
      <c r="QT135">
        <v>40</v>
      </c>
    </row>
    <row r="136" spans="1:462">
      <c r="A136" t="s">
        <v>2143</v>
      </c>
      <c r="B136" t="s">
        <v>804</v>
      </c>
      <c r="C136" t="s">
        <v>509</v>
      </c>
      <c r="D136" t="s">
        <v>2142</v>
      </c>
      <c r="E136" t="s">
        <v>4036</v>
      </c>
      <c r="H136" t="s">
        <v>561</v>
      </c>
      <c r="J136" t="s">
        <v>562</v>
      </c>
      <c r="K136" t="s">
        <v>563</v>
      </c>
      <c r="L136" t="s">
        <v>508</v>
      </c>
      <c r="M136" t="s">
        <v>512</v>
      </c>
      <c r="N136" t="s">
        <v>515</v>
      </c>
      <c r="O136" t="s">
        <v>513</v>
      </c>
      <c r="P136" t="s">
        <v>567</v>
      </c>
      <c r="Q136" t="s">
        <v>1231</v>
      </c>
      <c r="R136" t="s">
        <v>1127</v>
      </c>
      <c r="S136" t="s">
        <v>4073</v>
      </c>
      <c r="T136" t="s">
        <v>662</v>
      </c>
      <c r="U136" t="s">
        <v>663</v>
      </c>
      <c r="V136" t="s">
        <v>760</v>
      </c>
      <c r="W136" t="s">
        <v>1880</v>
      </c>
      <c r="X136" t="s">
        <v>2144</v>
      </c>
      <c r="Y136" t="s">
        <v>2145</v>
      </c>
      <c r="Z136" t="s">
        <v>541</v>
      </c>
      <c r="AA136" t="s">
        <v>4038</v>
      </c>
      <c r="AB136" t="s">
        <v>4580</v>
      </c>
      <c r="AC136">
        <v>9</v>
      </c>
      <c r="AD136" t="s">
        <v>2141</v>
      </c>
      <c r="AE136">
        <v>2</v>
      </c>
      <c r="AF136">
        <v>4758</v>
      </c>
      <c r="AG136" t="s">
        <v>4508</v>
      </c>
      <c r="AH136">
        <v>1</v>
      </c>
      <c r="AI136" t="s">
        <v>4041</v>
      </c>
      <c r="AK136" t="s">
        <v>4509</v>
      </c>
      <c r="AL136">
        <v>1</v>
      </c>
      <c r="AM136" t="s">
        <v>582</v>
      </c>
      <c r="AO136" t="s">
        <v>4043</v>
      </c>
      <c r="AP136">
        <v>1</v>
      </c>
      <c r="AR136" t="s">
        <v>4581</v>
      </c>
      <c r="AS136">
        <v>1</v>
      </c>
      <c r="AT136">
        <v>51</v>
      </c>
      <c r="AV136" t="s">
        <v>4078</v>
      </c>
      <c r="AW136">
        <v>6.4</v>
      </c>
      <c r="AX136">
        <v>-6</v>
      </c>
      <c r="AY136">
        <v>100</v>
      </c>
      <c r="AZ136">
        <v>76</v>
      </c>
      <c r="BH136">
        <v>100</v>
      </c>
      <c r="BI136">
        <v>24</v>
      </c>
      <c r="BJ136">
        <v>76</v>
      </c>
      <c r="BK136">
        <v>2.5</v>
      </c>
      <c r="BL136">
        <v>200</v>
      </c>
      <c r="BM136">
        <v>-6</v>
      </c>
      <c r="BN136">
        <v>0</v>
      </c>
      <c r="BP136">
        <v>0</v>
      </c>
      <c r="BR136">
        <v>195</v>
      </c>
      <c r="BS136">
        <v>185</v>
      </c>
      <c r="BT136">
        <v>2010</v>
      </c>
      <c r="BU136" t="s">
        <v>4096</v>
      </c>
      <c r="BV136" t="s">
        <v>4096</v>
      </c>
      <c r="BW136" t="s">
        <v>4049</v>
      </c>
      <c r="BX136" t="s">
        <v>4097</v>
      </c>
      <c r="BY136" t="s">
        <v>4116</v>
      </c>
      <c r="BZ136" t="s">
        <v>4117</v>
      </c>
      <c r="CA136" t="s">
        <v>4118</v>
      </c>
      <c r="CB136" t="s">
        <v>4119</v>
      </c>
      <c r="CC136" t="s">
        <v>4053</v>
      </c>
      <c r="CD136" t="s">
        <v>4121</v>
      </c>
      <c r="CE136" t="s">
        <v>4055</v>
      </c>
      <c r="CF136" t="s">
        <v>4055</v>
      </c>
      <c r="CG136" t="s">
        <v>4056</v>
      </c>
      <c r="CI136" t="s">
        <v>4058</v>
      </c>
      <c r="CJ136" t="s">
        <v>4059</v>
      </c>
      <c r="CK136" t="s">
        <v>4060</v>
      </c>
      <c r="CL136" t="s">
        <v>4061</v>
      </c>
      <c r="CM136" t="s">
        <v>4055</v>
      </c>
      <c r="CN136" t="s">
        <v>4062</v>
      </c>
      <c r="CO136" t="s">
        <v>4063</v>
      </c>
      <c r="CP136" t="s">
        <v>4055</v>
      </c>
      <c r="CQ136" t="s">
        <v>4055</v>
      </c>
      <c r="CR136">
        <v>5</v>
      </c>
      <c r="CS136" t="s">
        <v>4055</v>
      </c>
      <c r="CT136" t="s">
        <v>4055</v>
      </c>
      <c r="CU136" t="s">
        <v>4055</v>
      </c>
      <c r="CV136">
        <v>121</v>
      </c>
      <c r="CW136">
        <v>3</v>
      </c>
      <c r="CX136">
        <v>85</v>
      </c>
      <c r="CY136">
        <v>5</v>
      </c>
      <c r="CZ136">
        <v>76</v>
      </c>
      <c r="DA136">
        <v>5</v>
      </c>
      <c r="DB136">
        <v>10360</v>
      </c>
      <c r="DC136">
        <v>310</v>
      </c>
      <c r="DD136">
        <v>328</v>
      </c>
      <c r="DE136">
        <v>2123</v>
      </c>
      <c r="DF136">
        <v>2123</v>
      </c>
      <c r="DG136">
        <v>2133</v>
      </c>
      <c r="DH136" t="s">
        <v>4055</v>
      </c>
      <c r="DI136" t="s">
        <v>4055</v>
      </c>
      <c r="DJ136" t="s">
        <v>4132</v>
      </c>
      <c r="DK136">
        <v>195</v>
      </c>
      <c r="DL136" t="s">
        <v>4065</v>
      </c>
      <c r="DM136">
        <v>65</v>
      </c>
      <c r="DN136">
        <v>1.1</v>
      </c>
      <c r="DO136">
        <v>1</v>
      </c>
      <c r="DP136">
        <v>2013</v>
      </c>
      <c r="DQ136">
        <v>849</v>
      </c>
      <c r="DR136" t="s">
        <v>4132</v>
      </c>
      <c r="DS136">
        <v>185</v>
      </c>
      <c r="DT136" t="s">
        <v>4065</v>
      </c>
      <c r="DU136">
        <v>65</v>
      </c>
      <c r="DV136">
        <v>1.1</v>
      </c>
      <c r="DW136">
        <v>1</v>
      </c>
      <c r="DX136">
        <v>2025</v>
      </c>
      <c r="DY136">
        <v>810</v>
      </c>
      <c r="DZ136" t="s">
        <v>4066</v>
      </c>
      <c r="EA136">
        <v>20</v>
      </c>
      <c r="EB136" t="s">
        <v>4065</v>
      </c>
      <c r="EC136">
        <v>0.8</v>
      </c>
      <c r="ED136">
        <v>2013</v>
      </c>
      <c r="EE136">
        <v>70</v>
      </c>
      <c r="EG136">
        <v>0</v>
      </c>
      <c r="EH136" t="s">
        <v>4065</v>
      </c>
      <c r="EI136">
        <v>0</v>
      </c>
      <c r="EL136" t="s">
        <v>1528</v>
      </c>
      <c r="EM136">
        <v>12</v>
      </c>
      <c r="EN136">
        <v>0.5</v>
      </c>
      <c r="EO136">
        <v>0.96</v>
      </c>
      <c r="EP136">
        <v>2023.83</v>
      </c>
      <c r="EQ136">
        <v>33519.68</v>
      </c>
      <c r="ER136">
        <v>7611.98</v>
      </c>
      <c r="ES136">
        <v>0</v>
      </c>
      <c r="ET136">
        <v>0</v>
      </c>
      <c r="EU136">
        <v>1</v>
      </c>
      <c r="EV136">
        <v>41132</v>
      </c>
      <c r="EW136">
        <v>494</v>
      </c>
      <c r="EX136" t="s">
        <v>4363</v>
      </c>
      <c r="EY136">
        <v>210</v>
      </c>
      <c r="EZ136" t="s">
        <v>4055</v>
      </c>
      <c r="FA136">
        <v>5</v>
      </c>
      <c r="FB136">
        <v>1</v>
      </c>
      <c r="FC136">
        <v>1</v>
      </c>
      <c r="FD136">
        <v>2052</v>
      </c>
      <c r="FE136">
        <v>2339</v>
      </c>
      <c r="FF136" t="s">
        <v>4089</v>
      </c>
      <c r="FG136">
        <v>210</v>
      </c>
      <c r="FH136" t="s">
        <v>4055</v>
      </c>
      <c r="FI136">
        <v>1.6</v>
      </c>
      <c r="FJ136">
        <v>2052</v>
      </c>
      <c r="FK136">
        <v>696</v>
      </c>
      <c r="FL136" t="s">
        <v>4069</v>
      </c>
      <c r="FM136" t="s">
        <v>4055</v>
      </c>
      <c r="FN136" t="s">
        <v>4055</v>
      </c>
      <c r="FO136" t="s">
        <v>4055</v>
      </c>
      <c r="FP136">
        <v>2052</v>
      </c>
      <c r="FQ136">
        <v>130</v>
      </c>
      <c r="FR136" t="s">
        <v>4090</v>
      </c>
      <c r="FS136">
        <v>214</v>
      </c>
      <c r="FT136" t="s">
        <v>4055</v>
      </c>
      <c r="FU136">
        <v>0.4</v>
      </c>
      <c r="FV136">
        <v>2052</v>
      </c>
      <c r="FW136">
        <v>195</v>
      </c>
      <c r="FX136" t="s">
        <v>4070</v>
      </c>
      <c r="FY136">
        <v>5</v>
      </c>
      <c r="FZ136" t="s">
        <v>4055</v>
      </c>
      <c r="GA136" t="s">
        <v>4055</v>
      </c>
      <c r="GB136">
        <v>2052</v>
      </c>
      <c r="GC136">
        <v>17</v>
      </c>
      <c r="GD136">
        <v>3377</v>
      </c>
      <c r="GE136" t="s">
        <v>4581</v>
      </c>
      <c r="GF136" t="s">
        <v>4055</v>
      </c>
      <c r="GG136" t="s">
        <v>4055</v>
      </c>
      <c r="GH136" t="s">
        <v>4055</v>
      </c>
      <c r="GI136" t="s">
        <v>4071</v>
      </c>
      <c r="GJ136" t="s">
        <v>4055</v>
      </c>
      <c r="GK136" t="s">
        <v>4055</v>
      </c>
      <c r="GL136" t="s">
        <v>4055</v>
      </c>
      <c r="GM136" t="s">
        <v>4055</v>
      </c>
      <c r="GQ136">
        <v>0</v>
      </c>
      <c r="GV136">
        <v>7</v>
      </c>
      <c r="GW136">
        <v>8.5</v>
      </c>
      <c r="GX136">
        <v>0.5</v>
      </c>
      <c r="GY136">
        <v>182</v>
      </c>
      <c r="GZ136">
        <v>3</v>
      </c>
      <c r="HA136">
        <v>228</v>
      </c>
      <c r="HB136">
        <v>3</v>
      </c>
      <c r="HC136">
        <v>2052</v>
      </c>
      <c r="HD136">
        <v>4</v>
      </c>
      <c r="HE136" t="s">
        <v>4071</v>
      </c>
      <c r="HG136" t="s">
        <v>549</v>
      </c>
      <c r="HL136">
        <v>4</v>
      </c>
      <c r="HM136">
        <v>18</v>
      </c>
      <c r="HN136">
        <v>6</v>
      </c>
      <c r="HO136">
        <v>1</v>
      </c>
      <c r="HP136">
        <v>0</v>
      </c>
      <c r="HQ136">
        <v>2</v>
      </c>
      <c r="HR136">
        <v>2</v>
      </c>
      <c r="HS136">
        <v>2010</v>
      </c>
      <c r="HT136">
        <v>5</v>
      </c>
      <c r="HU136">
        <v>1</v>
      </c>
      <c r="HV136">
        <v>3</v>
      </c>
      <c r="HW136">
        <v>0</v>
      </c>
      <c r="HX136">
        <v>1</v>
      </c>
      <c r="HY136">
        <v>0</v>
      </c>
      <c r="HZ136">
        <v>65</v>
      </c>
      <c r="IA136">
        <v>2013</v>
      </c>
      <c r="IB136">
        <v>2025</v>
      </c>
      <c r="ID136">
        <v>2052</v>
      </c>
      <c r="IE136">
        <v>2052</v>
      </c>
      <c r="IF136">
        <v>195</v>
      </c>
      <c r="IG136">
        <v>185</v>
      </c>
      <c r="IH136">
        <v>228</v>
      </c>
      <c r="II136">
        <v>1</v>
      </c>
      <c r="IJ136">
        <v>5</v>
      </c>
      <c r="IK136">
        <v>0</v>
      </c>
      <c r="IL136">
        <v>0</v>
      </c>
      <c r="IM136">
        <v>0</v>
      </c>
      <c r="IN136">
        <v>270</v>
      </c>
      <c r="IO136">
        <v>0</v>
      </c>
      <c r="IP136">
        <v>180</v>
      </c>
      <c r="IQ136">
        <v>0</v>
      </c>
      <c r="IR136">
        <v>325</v>
      </c>
      <c r="IS136">
        <v>0</v>
      </c>
      <c r="IT136">
        <v>90</v>
      </c>
      <c r="IU136">
        <v>0</v>
      </c>
      <c r="IV136">
        <v>6.4</v>
      </c>
      <c r="IW136">
        <v>-6</v>
      </c>
      <c r="IX136">
        <v>100</v>
      </c>
      <c r="IY136">
        <v>76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370</v>
      </c>
      <c r="JJ136">
        <v>340</v>
      </c>
      <c r="JK136">
        <v>250</v>
      </c>
      <c r="JL136">
        <v>338</v>
      </c>
      <c r="JM136">
        <v>265</v>
      </c>
      <c r="JN136">
        <v>190</v>
      </c>
      <c r="JO136">
        <v>238</v>
      </c>
      <c r="JP136">
        <v>200</v>
      </c>
      <c r="JQ136">
        <v>255</v>
      </c>
      <c r="JR136">
        <v>310</v>
      </c>
      <c r="JS136">
        <v>240</v>
      </c>
      <c r="JT136">
        <v>0</v>
      </c>
      <c r="JU136">
        <v>0</v>
      </c>
      <c r="JV136">
        <v>300</v>
      </c>
      <c r="JW136">
        <v>302</v>
      </c>
      <c r="JX136">
        <v>307</v>
      </c>
      <c r="JY136">
        <v>300</v>
      </c>
      <c r="JZ136">
        <v>1</v>
      </c>
      <c r="KA136">
        <v>0.2</v>
      </c>
      <c r="KB136">
        <v>0.4</v>
      </c>
      <c r="KC136">
        <v>0.42</v>
      </c>
      <c r="KD136">
        <v>0.28</v>
      </c>
      <c r="KE136">
        <v>0.5</v>
      </c>
      <c r="KF136">
        <v>0.17</v>
      </c>
      <c r="KG136">
        <v>0.11</v>
      </c>
      <c r="KH136">
        <v>3.5</v>
      </c>
      <c r="KI136">
        <v>1</v>
      </c>
      <c r="KJ136">
        <v>5</v>
      </c>
      <c r="KK136">
        <v>1</v>
      </c>
      <c r="KL136">
        <v>5</v>
      </c>
      <c r="KM136">
        <v>1</v>
      </c>
      <c r="KN136">
        <v>1.4</v>
      </c>
      <c r="KO136">
        <v>0</v>
      </c>
      <c r="KP136">
        <v>0</v>
      </c>
      <c r="KQ136">
        <v>1.1</v>
      </c>
      <c r="KR136">
        <v>0.8</v>
      </c>
      <c r="KS136">
        <v>0.2</v>
      </c>
      <c r="KT136">
        <v>2.3</v>
      </c>
      <c r="KU136">
        <v>0</v>
      </c>
      <c r="KV136">
        <v>0</v>
      </c>
      <c r="KW136">
        <v>1.2</v>
      </c>
      <c r="KX136">
        <v>2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3</v>
      </c>
      <c r="LI136">
        <v>1</v>
      </c>
      <c r="LJ136">
        <v>0</v>
      </c>
      <c r="LK136">
        <v>3</v>
      </c>
      <c r="LL136">
        <v>6</v>
      </c>
      <c r="LM136">
        <v>5</v>
      </c>
      <c r="LN136">
        <v>0.5</v>
      </c>
      <c r="LO136">
        <v>0.3</v>
      </c>
      <c r="LP136">
        <v>0</v>
      </c>
      <c r="LQ136">
        <v>0</v>
      </c>
      <c r="LR136">
        <v>0</v>
      </c>
      <c r="LS136">
        <v>1</v>
      </c>
      <c r="LT136">
        <v>0</v>
      </c>
      <c r="LU136">
        <v>0</v>
      </c>
      <c r="LV136">
        <v>0</v>
      </c>
      <c r="LW136">
        <v>1.9</v>
      </c>
      <c r="LX136">
        <v>1.9</v>
      </c>
      <c r="LY136">
        <v>1.8</v>
      </c>
      <c r="LZ136">
        <v>1.8</v>
      </c>
      <c r="MA136">
        <v>0</v>
      </c>
      <c r="MB136">
        <v>3</v>
      </c>
      <c r="MC136">
        <v>0</v>
      </c>
      <c r="MD136">
        <v>4.5</v>
      </c>
      <c r="ME136">
        <v>6</v>
      </c>
      <c r="MF136">
        <v>6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440</v>
      </c>
      <c r="MN136">
        <v>200</v>
      </c>
      <c r="MO136">
        <v>250</v>
      </c>
      <c r="NU136">
        <v>0.15</v>
      </c>
      <c r="NV136">
        <v>0.3</v>
      </c>
      <c r="NW136">
        <v>0.3</v>
      </c>
      <c r="NX136">
        <v>2</v>
      </c>
      <c r="NY136">
        <v>2</v>
      </c>
      <c r="NZ136">
        <v>2</v>
      </c>
      <c r="OE136" t="s">
        <v>4581</v>
      </c>
      <c r="OF136" t="s">
        <v>4508</v>
      </c>
      <c r="OG136" t="s">
        <v>4509</v>
      </c>
      <c r="OH136" t="s">
        <v>4043</v>
      </c>
      <c r="OI136" t="s">
        <v>4581</v>
      </c>
      <c r="OJ136" t="s">
        <v>4580</v>
      </c>
      <c r="OK136">
        <v>61</v>
      </c>
      <c r="OL136">
        <v>61</v>
      </c>
      <c r="OM136" t="s">
        <v>4508</v>
      </c>
      <c r="ON136">
        <v>1</v>
      </c>
      <c r="OO136">
        <v>2013</v>
      </c>
      <c r="OP136">
        <v>61</v>
      </c>
      <c r="OQ136">
        <v>61</v>
      </c>
      <c r="OR136" t="s">
        <v>4509</v>
      </c>
      <c r="OS136">
        <v>1</v>
      </c>
      <c r="OT136">
        <v>2025</v>
      </c>
      <c r="OU136">
        <v>65</v>
      </c>
      <c r="OV136">
        <v>65</v>
      </c>
      <c r="OW136" t="s">
        <v>4043</v>
      </c>
      <c r="OX136">
        <v>2</v>
      </c>
      <c r="OY136">
        <v>41132</v>
      </c>
      <c r="OZ136">
        <v>51</v>
      </c>
      <c r="PA136">
        <v>51</v>
      </c>
      <c r="PB136" t="s">
        <v>4581</v>
      </c>
      <c r="PC136">
        <v>1</v>
      </c>
      <c r="PD136">
        <v>2052</v>
      </c>
      <c r="PF136">
        <v>422</v>
      </c>
      <c r="PG136">
        <v>35</v>
      </c>
      <c r="PH136">
        <v>400</v>
      </c>
      <c r="PI136">
        <v>0</v>
      </c>
      <c r="PJ136">
        <v>63.4</v>
      </c>
      <c r="PK136">
        <v>1622</v>
      </c>
      <c r="PL136">
        <v>1139.8</v>
      </c>
      <c r="PM136">
        <v>339.2</v>
      </c>
      <c r="PN136">
        <v>95.2</v>
      </c>
      <c r="PO136">
        <v>8.1</v>
      </c>
      <c r="PP136">
        <v>12</v>
      </c>
      <c r="PQ136">
        <v>3</v>
      </c>
      <c r="PR136">
        <v>3</v>
      </c>
      <c r="PS136">
        <v>0</v>
      </c>
      <c r="PT136">
        <v>228</v>
      </c>
      <c r="PU136">
        <v>9</v>
      </c>
      <c r="PV136" t="s">
        <v>4072</v>
      </c>
      <c r="PW136" t="s">
        <v>4072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-1</v>
      </c>
      <c r="QF136">
        <v>1</v>
      </c>
      <c r="QG136">
        <v>0</v>
      </c>
      <c r="QH136">
        <v>5</v>
      </c>
      <c r="QI136">
        <v>5</v>
      </c>
      <c r="QJ136">
        <v>5</v>
      </c>
      <c r="QK136">
        <v>180</v>
      </c>
      <c r="QL136">
        <v>404</v>
      </c>
      <c r="QM136">
        <v>7.5</v>
      </c>
      <c r="QN136">
        <v>1461.1</v>
      </c>
      <c r="QO136" t="s">
        <v>1888</v>
      </c>
      <c r="QP136" t="s">
        <v>513</v>
      </c>
      <c r="QQ136">
        <v>0</v>
      </c>
      <c r="QR136" t="s">
        <v>1496</v>
      </c>
      <c r="QS136">
        <v>30</v>
      </c>
      <c r="QT136">
        <v>40</v>
      </c>
    </row>
    <row r="137" spans="1:462">
      <c r="A137" t="s">
        <v>2152</v>
      </c>
      <c r="B137" t="s">
        <v>564</v>
      </c>
      <c r="C137" t="s">
        <v>509</v>
      </c>
      <c r="D137" t="s">
        <v>2782</v>
      </c>
      <c r="E137" t="s">
        <v>4036</v>
      </c>
      <c r="H137" t="s">
        <v>1294</v>
      </c>
      <c r="J137" t="s">
        <v>562</v>
      </c>
      <c r="K137" t="s">
        <v>563</v>
      </c>
      <c r="L137" t="s">
        <v>629</v>
      </c>
      <c r="M137" t="s">
        <v>512</v>
      </c>
      <c r="O137" t="s">
        <v>513</v>
      </c>
      <c r="P137" t="s">
        <v>567</v>
      </c>
      <c r="Q137" t="s">
        <v>1795</v>
      </c>
      <c r="R137" t="s">
        <v>1796</v>
      </c>
      <c r="S137" t="s">
        <v>4037</v>
      </c>
      <c r="T137" t="s">
        <v>1482</v>
      </c>
      <c r="U137" t="s">
        <v>1483</v>
      </c>
      <c r="V137" t="s">
        <v>1797</v>
      </c>
      <c r="W137" t="s">
        <v>1880</v>
      </c>
      <c r="X137" t="s">
        <v>2153</v>
      </c>
      <c r="Y137" t="s">
        <v>2154</v>
      </c>
      <c r="Z137" t="s">
        <v>541</v>
      </c>
      <c r="AA137" t="s">
        <v>4038</v>
      </c>
      <c r="AB137" t="s">
        <v>4582</v>
      </c>
      <c r="AC137">
        <v>9</v>
      </c>
      <c r="AD137" t="s">
        <v>2151</v>
      </c>
      <c r="AE137">
        <v>5</v>
      </c>
      <c r="AF137">
        <v>3378</v>
      </c>
      <c r="AG137" t="s">
        <v>4583</v>
      </c>
      <c r="AH137">
        <v>1</v>
      </c>
      <c r="AI137" t="s">
        <v>4041</v>
      </c>
      <c r="AK137" t="s">
        <v>4584</v>
      </c>
      <c r="AL137">
        <v>1</v>
      </c>
      <c r="AM137" t="s">
        <v>582</v>
      </c>
      <c r="AO137" t="s">
        <v>4353</v>
      </c>
      <c r="AP137">
        <v>1</v>
      </c>
      <c r="AR137" t="s">
        <v>4585</v>
      </c>
      <c r="AS137">
        <v>1</v>
      </c>
      <c r="AT137">
        <v>51</v>
      </c>
      <c r="AV137" t="s">
        <v>4078</v>
      </c>
      <c r="AW137">
        <v>6.4</v>
      </c>
      <c r="AX137">
        <v>-6</v>
      </c>
      <c r="AY137">
        <v>80</v>
      </c>
      <c r="AZ137">
        <v>54</v>
      </c>
      <c r="BH137">
        <v>80</v>
      </c>
      <c r="BI137">
        <v>26</v>
      </c>
      <c r="BJ137">
        <v>54</v>
      </c>
      <c r="BK137">
        <v>2.5</v>
      </c>
      <c r="BL137">
        <v>160</v>
      </c>
      <c r="BM137">
        <v>-6</v>
      </c>
      <c r="BN137">
        <v>0</v>
      </c>
      <c r="BO137">
        <v>0</v>
      </c>
      <c r="BP137">
        <v>0</v>
      </c>
      <c r="BR137">
        <v>155</v>
      </c>
      <c r="BS137">
        <v>145</v>
      </c>
      <c r="BT137">
        <v>1720</v>
      </c>
      <c r="BU137" t="s">
        <v>4355</v>
      </c>
      <c r="BV137" t="s">
        <v>4046</v>
      </c>
      <c r="BW137" t="s">
        <v>4368</v>
      </c>
      <c r="BX137" t="s">
        <v>4048</v>
      </c>
      <c r="BY137" t="s">
        <v>4369</v>
      </c>
      <c r="BZ137" t="s">
        <v>4369</v>
      </c>
      <c r="CA137" t="s">
        <v>4370</v>
      </c>
      <c r="CB137" t="s">
        <v>4371</v>
      </c>
      <c r="CC137" t="s">
        <v>4053</v>
      </c>
      <c r="CD137" t="s">
        <v>4372</v>
      </c>
      <c r="CE137" t="s">
        <v>4055</v>
      </c>
      <c r="CF137" t="s">
        <v>4055</v>
      </c>
      <c r="CG137" t="s">
        <v>4056</v>
      </c>
      <c r="CH137" t="s">
        <v>4145</v>
      </c>
      <c r="CI137" t="s">
        <v>4058</v>
      </c>
      <c r="CJ137" t="s">
        <v>4059</v>
      </c>
      <c r="CK137" t="s">
        <v>4060</v>
      </c>
      <c r="CL137" t="s">
        <v>4061</v>
      </c>
      <c r="CM137" t="s">
        <v>4055</v>
      </c>
      <c r="CN137" t="s">
        <v>4062</v>
      </c>
      <c r="CO137" t="s">
        <v>4063</v>
      </c>
      <c r="CP137" t="s">
        <v>4055</v>
      </c>
      <c r="CQ137" t="s">
        <v>4055</v>
      </c>
      <c r="CR137">
        <v>5</v>
      </c>
      <c r="CS137" t="s">
        <v>4055</v>
      </c>
      <c r="CT137">
        <v>15</v>
      </c>
      <c r="CU137" t="s">
        <v>4055</v>
      </c>
      <c r="CV137">
        <v>103</v>
      </c>
      <c r="CW137">
        <v>3</v>
      </c>
      <c r="CX137">
        <v>66</v>
      </c>
      <c r="CY137">
        <v>5</v>
      </c>
      <c r="CZ137">
        <v>56</v>
      </c>
      <c r="DA137">
        <v>5</v>
      </c>
      <c r="DB137">
        <v>7210</v>
      </c>
      <c r="DC137">
        <v>210</v>
      </c>
      <c r="DD137">
        <v>267</v>
      </c>
      <c r="DE137">
        <v>1800</v>
      </c>
      <c r="DF137">
        <v>1800</v>
      </c>
      <c r="DG137">
        <v>1825</v>
      </c>
      <c r="DH137" t="s">
        <v>4055</v>
      </c>
      <c r="DI137" t="s">
        <v>4055</v>
      </c>
      <c r="DJ137" t="s">
        <v>4100</v>
      </c>
      <c r="DK137">
        <v>155</v>
      </c>
      <c r="DL137" t="s">
        <v>4101</v>
      </c>
      <c r="DM137">
        <v>65</v>
      </c>
      <c r="DN137">
        <v>0.84</v>
      </c>
      <c r="DO137">
        <v>1</v>
      </c>
      <c r="DP137">
        <v>1723</v>
      </c>
      <c r="DQ137">
        <v>488</v>
      </c>
      <c r="DR137" t="s">
        <v>4100</v>
      </c>
      <c r="DS137">
        <v>145</v>
      </c>
      <c r="DT137" t="s">
        <v>4101</v>
      </c>
      <c r="DU137">
        <v>65</v>
      </c>
      <c r="DV137">
        <v>0.84</v>
      </c>
      <c r="DW137">
        <v>1</v>
      </c>
      <c r="DX137">
        <v>1730</v>
      </c>
      <c r="DY137">
        <v>458</v>
      </c>
      <c r="DZ137" t="s">
        <v>4066</v>
      </c>
      <c r="EA137">
        <v>33</v>
      </c>
      <c r="EB137" t="s">
        <v>4065</v>
      </c>
      <c r="EC137">
        <v>0.4</v>
      </c>
      <c r="ED137">
        <v>1723</v>
      </c>
      <c r="EE137">
        <v>50</v>
      </c>
      <c r="EF137" t="s">
        <v>4066</v>
      </c>
      <c r="EG137">
        <v>33</v>
      </c>
      <c r="EH137" t="s">
        <v>4065</v>
      </c>
      <c r="EI137">
        <v>0.4</v>
      </c>
      <c r="EJ137">
        <v>1730</v>
      </c>
      <c r="EK137">
        <v>50</v>
      </c>
      <c r="EL137" t="s">
        <v>4362</v>
      </c>
      <c r="EM137">
        <v>12</v>
      </c>
      <c r="EN137">
        <v>0.5</v>
      </c>
      <c r="EO137">
        <v>0.77</v>
      </c>
      <c r="EP137">
        <v>1730.56</v>
      </c>
      <c r="EQ137">
        <v>23254.4</v>
      </c>
      <c r="ER137">
        <v>7050.05</v>
      </c>
      <c r="ES137">
        <v>0</v>
      </c>
      <c r="ET137">
        <v>0</v>
      </c>
      <c r="EU137">
        <v>1</v>
      </c>
      <c r="EV137">
        <v>30305</v>
      </c>
      <c r="EW137">
        <v>304</v>
      </c>
      <c r="EX137" t="s">
        <v>4363</v>
      </c>
      <c r="EY137">
        <v>174</v>
      </c>
      <c r="EZ137" t="s">
        <v>4055</v>
      </c>
      <c r="FA137">
        <v>4</v>
      </c>
      <c r="FB137">
        <v>1</v>
      </c>
      <c r="FC137">
        <v>1</v>
      </c>
      <c r="FD137">
        <v>1755</v>
      </c>
      <c r="FE137">
        <v>1774</v>
      </c>
      <c r="FF137" t="s">
        <v>4089</v>
      </c>
      <c r="FG137">
        <v>174</v>
      </c>
      <c r="FH137" t="s">
        <v>4055</v>
      </c>
      <c r="FI137">
        <v>1.6</v>
      </c>
      <c r="FJ137">
        <v>1755</v>
      </c>
      <c r="FK137">
        <v>491</v>
      </c>
      <c r="FL137" t="s">
        <v>4069</v>
      </c>
      <c r="FM137" t="s">
        <v>4055</v>
      </c>
      <c r="FN137" t="s">
        <v>4055</v>
      </c>
      <c r="FO137" t="s">
        <v>4055</v>
      </c>
      <c r="FP137">
        <v>1755</v>
      </c>
      <c r="FQ137">
        <v>57</v>
      </c>
      <c r="FR137" t="s">
        <v>4090</v>
      </c>
      <c r="FS137">
        <v>178</v>
      </c>
      <c r="FT137" t="s">
        <v>4055</v>
      </c>
      <c r="FU137">
        <v>0.4</v>
      </c>
      <c r="FV137">
        <v>1755</v>
      </c>
      <c r="FW137">
        <v>139</v>
      </c>
      <c r="FX137" t="s">
        <v>4070</v>
      </c>
      <c r="FY137">
        <v>10</v>
      </c>
      <c r="FZ137" t="s">
        <v>4055</v>
      </c>
      <c r="GA137" t="s">
        <v>4055</v>
      </c>
      <c r="GB137">
        <v>1755</v>
      </c>
      <c r="GC137">
        <v>14</v>
      </c>
      <c r="GD137">
        <v>2475</v>
      </c>
      <c r="GE137" t="s">
        <v>4585</v>
      </c>
      <c r="GF137" t="s">
        <v>4055</v>
      </c>
      <c r="GG137" t="s">
        <v>4055</v>
      </c>
      <c r="GH137" t="s">
        <v>4055</v>
      </c>
      <c r="GI137" t="s">
        <v>4071</v>
      </c>
      <c r="GJ137" t="s">
        <v>4055</v>
      </c>
      <c r="GK137" t="s">
        <v>4055</v>
      </c>
      <c r="GL137" t="s">
        <v>4055</v>
      </c>
      <c r="GM137" t="s">
        <v>4055</v>
      </c>
      <c r="GQ137">
        <v>0</v>
      </c>
      <c r="GV137">
        <v>6</v>
      </c>
      <c r="GW137">
        <v>8.699999999999999</v>
      </c>
      <c r="GX137">
        <v>0.5</v>
      </c>
      <c r="GY137">
        <v>150</v>
      </c>
      <c r="GZ137">
        <v>3</v>
      </c>
      <c r="HA137">
        <v>186</v>
      </c>
      <c r="HB137">
        <v>3</v>
      </c>
      <c r="HC137">
        <v>1755</v>
      </c>
      <c r="HD137">
        <v>4</v>
      </c>
      <c r="HE137" t="s">
        <v>4071</v>
      </c>
      <c r="HG137" t="s">
        <v>549</v>
      </c>
      <c r="HL137">
        <v>4</v>
      </c>
      <c r="HM137">
        <v>15</v>
      </c>
      <c r="HN137">
        <v>6</v>
      </c>
      <c r="HO137">
        <v>1</v>
      </c>
      <c r="HP137">
        <v>0</v>
      </c>
      <c r="HQ137">
        <v>2</v>
      </c>
      <c r="HR137">
        <v>3</v>
      </c>
      <c r="HS137">
        <v>1720</v>
      </c>
      <c r="HT137">
        <v>5</v>
      </c>
      <c r="HU137">
        <v>1</v>
      </c>
      <c r="HV137">
        <v>3</v>
      </c>
      <c r="HW137">
        <v>0</v>
      </c>
      <c r="HX137">
        <v>1</v>
      </c>
      <c r="HY137">
        <v>0</v>
      </c>
      <c r="HZ137">
        <v>65</v>
      </c>
      <c r="IA137">
        <v>1723</v>
      </c>
      <c r="IB137">
        <v>1730</v>
      </c>
      <c r="ID137">
        <v>1755</v>
      </c>
      <c r="IE137">
        <v>1755</v>
      </c>
      <c r="IF137">
        <v>155</v>
      </c>
      <c r="IG137">
        <v>145</v>
      </c>
      <c r="IH137">
        <v>186</v>
      </c>
      <c r="II137">
        <v>1</v>
      </c>
      <c r="IJ137">
        <v>5</v>
      </c>
      <c r="IK137">
        <v>0</v>
      </c>
      <c r="IL137">
        <v>2</v>
      </c>
      <c r="IM137">
        <v>0</v>
      </c>
      <c r="IN137">
        <v>270</v>
      </c>
      <c r="IO137">
        <v>0</v>
      </c>
      <c r="IP137">
        <v>180</v>
      </c>
      <c r="IQ137">
        <v>0</v>
      </c>
      <c r="IR137">
        <v>330</v>
      </c>
      <c r="IS137">
        <v>0</v>
      </c>
      <c r="IT137">
        <v>90</v>
      </c>
      <c r="IU137">
        <v>0</v>
      </c>
      <c r="IV137">
        <v>6.4</v>
      </c>
      <c r="IW137">
        <v>-6</v>
      </c>
      <c r="IX137">
        <v>80</v>
      </c>
      <c r="IY137">
        <v>54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312</v>
      </c>
      <c r="JJ137">
        <v>282</v>
      </c>
      <c r="JK137">
        <v>210</v>
      </c>
      <c r="JL137">
        <v>280</v>
      </c>
      <c r="JM137">
        <v>233</v>
      </c>
      <c r="JN137">
        <v>150</v>
      </c>
      <c r="JO137">
        <v>196</v>
      </c>
      <c r="JP137">
        <v>165</v>
      </c>
      <c r="JQ137">
        <v>200</v>
      </c>
      <c r="JR137">
        <v>335</v>
      </c>
      <c r="JS137">
        <v>280</v>
      </c>
      <c r="JT137">
        <v>0</v>
      </c>
      <c r="JU137">
        <v>0</v>
      </c>
      <c r="JV137">
        <v>330</v>
      </c>
      <c r="JW137">
        <v>330</v>
      </c>
      <c r="JX137">
        <v>325</v>
      </c>
      <c r="JY137">
        <v>320</v>
      </c>
      <c r="JZ137">
        <v>1.5</v>
      </c>
      <c r="KA137">
        <v>0.2</v>
      </c>
      <c r="KB137">
        <v>0.4</v>
      </c>
      <c r="KC137">
        <v>0.42</v>
      </c>
      <c r="KD137">
        <v>0.26</v>
      </c>
      <c r="KE137">
        <v>0.5</v>
      </c>
      <c r="KF137">
        <v>0.18</v>
      </c>
      <c r="KG137">
        <v>0.1</v>
      </c>
      <c r="KH137">
        <v>3.5</v>
      </c>
      <c r="KI137">
        <v>0</v>
      </c>
      <c r="KJ137">
        <v>5.5</v>
      </c>
      <c r="KK137">
        <v>0</v>
      </c>
      <c r="KL137">
        <v>4.5</v>
      </c>
      <c r="KM137">
        <v>0.5</v>
      </c>
      <c r="KN137">
        <v>1.1</v>
      </c>
      <c r="KO137">
        <v>0</v>
      </c>
      <c r="KP137">
        <v>0</v>
      </c>
      <c r="KQ137">
        <v>0.8</v>
      </c>
      <c r="KR137">
        <v>1</v>
      </c>
      <c r="KS137">
        <v>0</v>
      </c>
      <c r="KT137">
        <v>1.6</v>
      </c>
      <c r="KU137">
        <v>0</v>
      </c>
      <c r="KV137">
        <v>0</v>
      </c>
      <c r="KW137">
        <v>1.5</v>
      </c>
      <c r="KX137">
        <v>1.5</v>
      </c>
      <c r="KY137">
        <v>1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3</v>
      </c>
      <c r="LI137">
        <v>1</v>
      </c>
      <c r="LJ137">
        <v>0</v>
      </c>
      <c r="LK137">
        <v>4</v>
      </c>
      <c r="LL137">
        <v>4.5</v>
      </c>
      <c r="LM137">
        <v>5</v>
      </c>
      <c r="LN137">
        <v>0.3</v>
      </c>
      <c r="LO137">
        <v>0.5</v>
      </c>
      <c r="LP137">
        <v>0</v>
      </c>
      <c r="LQ137">
        <v>0</v>
      </c>
      <c r="LR137">
        <v>0</v>
      </c>
      <c r="LS137">
        <v>1</v>
      </c>
      <c r="LT137">
        <v>0</v>
      </c>
      <c r="LU137">
        <v>0</v>
      </c>
      <c r="LV137">
        <v>0</v>
      </c>
      <c r="LW137">
        <v>1.5</v>
      </c>
      <c r="LX137">
        <v>1.5</v>
      </c>
      <c r="LY137">
        <v>1.5</v>
      </c>
      <c r="LZ137">
        <v>1.5</v>
      </c>
      <c r="MA137">
        <v>0</v>
      </c>
      <c r="MB137">
        <v>6</v>
      </c>
      <c r="MC137">
        <v>0</v>
      </c>
      <c r="MD137">
        <v>4.5</v>
      </c>
      <c r="ME137">
        <v>6</v>
      </c>
      <c r="MF137">
        <v>6</v>
      </c>
      <c r="MI137">
        <v>0</v>
      </c>
      <c r="MJ137">
        <v>0</v>
      </c>
      <c r="ML137">
        <v>0</v>
      </c>
      <c r="MM137">
        <v>326</v>
      </c>
      <c r="MN137">
        <v>155</v>
      </c>
      <c r="MO137">
        <v>210</v>
      </c>
      <c r="NH137">
        <v>0</v>
      </c>
      <c r="NJ137">
        <v>0</v>
      </c>
      <c r="NK137">
        <v>0</v>
      </c>
      <c r="NM137">
        <v>0</v>
      </c>
      <c r="NU137">
        <v>0.15</v>
      </c>
      <c r="NV137">
        <v>0.2</v>
      </c>
      <c r="NW137">
        <v>0.2</v>
      </c>
      <c r="NX137">
        <v>2</v>
      </c>
      <c r="NY137">
        <v>2</v>
      </c>
      <c r="NZ137">
        <v>2</v>
      </c>
      <c r="OE137" t="s">
        <v>4585</v>
      </c>
      <c r="OF137" t="s">
        <v>4583</v>
      </c>
      <c r="OG137" t="s">
        <v>4584</v>
      </c>
      <c r="OH137" t="s">
        <v>4353</v>
      </c>
      <c r="OI137" t="s">
        <v>4585</v>
      </c>
      <c r="OJ137" t="s">
        <v>4582</v>
      </c>
      <c r="OK137">
        <v>61</v>
      </c>
      <c r="OL137">
        <v>61</v>
      </c>
      <c r="OM137" t="s">
        <v>4583</v>
      </c>
      <c r="ON137">
        <v>3</v>
      </c>
      <c r="OO137">
        <v>1723</v>
      </c>
      <c r="OP137">
        <v>61</v>
      </c>
      <c r="OQ137">
        <v>61</v>
      </c>
      <c r="OR137" t="s">
        <v>4584</v>
      </c>
      <c r="OS137">
        <v>3</v>
      </c>
      <c r="OT137">
        <v>1730</v>
      </c>
      <c r="OU137">
        <v>65</v>
      </c>
      <c r="OV137">
        <v>65</v>
      </c>
      <c r="OW137" t="s">
        <v>4353</v>
      </c>
      <c r="OX137">
        <v>1</v>
      </c>
      <c r="OY137">
        <v>30305</v>
      </c>
      <c r="OZ137">
        <v>51</v>
      </c>
      <c r="PA137">
        <v>51</v>
      </c>
      <c r="PB137" t="s">
        <v>4585</v>
      </c>
      <c r="PC137">
        <v>1</v>
      </c>
      <c r="PD137">
        <v>1755</v>
      </c>
      <c r="PF137">
        <v>283</v>
      </c>
      <c r="PG137">
        <v>29</v>
      </c>
      <c r="PH137">
        <v>265</v>
      </c>
      <c r="PI137">
        <v>29</v>
      </c>
      <c r="PJ137">
        <v>32.2</v>
      </c>
      <c r="PK137">
        <v>2222</v>
      </c>
      <c r="PL137">
        <v>1010.6</v>
      </c>
      <c r="PM137">
        <v>280</v>
      </c>
      <c r="PN137">
        <v>79.09999999999999</v>
      </c>
      <c r="PO137">
        <v>8.1</v>
      </c>
      <c r="PP137">
        <v>10</v>
      </c>
      <c r="PQ137">
        <v>2</v>
      </c>
      <c r="PR137">
        <v>2</v>
      </c>
      <c r="PS137">
        <v>6</v>
      </c>
      <c r="PT137">
        <v>186</v>
      </c>
      <c r="PU137">
        <v>6</v>
      </c>
      <c r="PV137" t="s">
        <v>4072</v>
      </c>
      <c r="PW137" t="s">
        <v>4072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-1</v>
      </c>
      <c r="QF137">
        <v>1</v>
      </c>
      <c r="QG137">
        <v>0</v>
      </c>
      <c r="QH137">
        <v>5</v>
      </c>
      <c r="QI137">
        <v>5</v>
      </c>
      <c r="QJ137">
        <v>5</v>
      </c>
      <c r="QK137">
        <v>149</v>
      </c>
      <c r="QL137">
        <v>344</v>
      </c>
      <c r="QM137">
        <v>7.5</v>
      </c>
      <c r="QN137">
        <v>1204.3</v>
      </c>
      <c r="QO137" t="s">
        <v>1888</v>
      </c>
      <c r="QP137" t="s">
        <v>513</v>
      </c>
      <c r="QQ137">
        <v>0</v>
      </c>
      <c r="QR137" t="s">
        <v>1496</v>
      </c>
      <c r="QS137">
        <v>30</v>
      </c>
      <c r="QT137">
        <v>40</v>
      </c>
    </row>
    <row r="138" spans="1:462">
      <c r="A138" t="s">
        <v>2159</v>
      </c>
      <c r="B138" t="s">
        <v>711</v>
      </c>
      <c r="C138" t="s">
        <v>509</v>
      </c>
      <c r="D138" t="s">
        <v>2158</v>
      </c>
      <c r="E138" t="s">
        <v>4036</v>
      </c>
      <c r="H138" t="s">
        <v>1294</v>
      </c>
      <c r="J138" t="s">
        <v>562</v>
      </c>
      <c r="K138" t="s">
        <v>563</v>
      </c>
      <c r="L138" t="s">
        <v>804</v>
      </c>
      <c r="M138" t="s">
        <v>512</v>
      </c>
      <c r="O138" t="s">
        <v>513</v>
      </c>
      <c r="P138" t="s">
        <v>567</v>
      </c>
      <c r="Q138" t="s">
        <v>1853</v>
      </c>
      <c r="R138" t="s">
        <v>820</v>
      </c>
      <c r="S138" t="s">
        <v>4170</v>
      </c>
      <c r="T138" t="s">
        <v>520</v>
      </c>
      <c r="U138" t="s">
        <v>521</v>
      </c>
      <c r="V138" t="s">
        <v>1835</v>
      </c>
      <c r="W138" t="s">
        <v>1880</v>
      </c>
      <c r="X138" t="s">
        <v>2160</v>
      </c>
      <c r="Y138" t="s">
        <v>2161</v>
      </c>
      <c r="Z138" t="s">
        <v>541</v>
      </c>
      <c r="AA138" t="s">
        <v>4038</v>
      </c>
      <c r="AB138" t="s">
        <v>4586</v>
      </c>
      <c r="AC138">
        <v>9</v>
      </c>
      <c r="AD138" t="s">
        <v>2157</v>
      </c>
      <c r="AE138">
        <v>3</v>
      </c>
      <c r="AF138">
        <v>4623</v>
      </c>
      <c r="AG138" t="s">
        <v>4415</v>
      </c>
      <c r="AH138">
        <v>1</v>
      </c>
      <c r="AI138" t="s">
        <v>4041</v>
      </c>
      <c r="AK138" t="s">
        <v>4416</v>
      </c>
      <c r="AL138">
        <v>1</v>
      </c>
      <c r="AM138" t="s">
        <v>582</v>
      </c>
      <c r="AO138" t="s">
        <v>4043</v>
      </c>
      <c r="AP138">
        <v>1</v>
      </c>
      <c r="AR138" t="s">
        <v>4587</v>
      </c>
      <c r="AS138">
        <v>1</v>
      </c>
      <c r="AT138">
        <v>51</v>
      </c>
      <c r="AV138" t="s">
        <v>4045</v>
      </c>
      <c r="AW138">
        <v>6.4</v>
      </c>
      <c r="AX138">
        <v>-6</v>
      </c>
      <c r="AY138">
        <v>87.5</v>
      </c>
      <c r="AZ138">
        <v>70</v>
      </c>
      <c r="BH138">
        <v>87.5</v>
      </c>
      <c r="BI138">
        <v>17.5</v>
      </c>
      <c r="BJ138">
        <v>70</v>
      </c>
      <c r="BK138">
        <v>2.5</v>
      </c>
      <c r="BL138">
        <v>175</v>
      </c>
      <c r="BM138">
        <v>-6</v>
      </c>
      <c r="BN138">
        <v>0</v>
      </c>
      <c r="BO138">
        <v>0</v>
      </c>
      <c r="BP138">
        <v>0</v>
      </c>
      <c r="BR138">
        <v>170</v>
      </c>
      <c r="BS138">
        <v>160</v>
      </c>
      <c r="BT138">
        <v>1955</v>
      </c>
      <c r="BU138" t="s">
        <v>4047</v>
      </c>
      <c r="BV138" t="s">
        <v>4096</v>
      </c>
      <c r="BW138" t="s">
        <v>4049</v>
      </c>
      <c r="BX138" t="s">
        <v>4097</v>
      </c>
      <c r="BY138" t="s">
        <v>4050</v>
      </c>
      <c r="BZ138" t="s">
        <v>4050</v>
      </c>
      <c r="CA138" t="s">
        <v>4051</v>
      </c>
      <c r="CB138" t="s">
        <v>4052</v>
      </c>
      <c r="CC138" t="s">
        <v>4053</v>
      </c>
      <c r="CD138" t="s">
        <v>4054</v>
      </c>
      <c r="CE138" t="s">
        <v>4055</v>
      </c>
      <c r="CF138" t="s">
        <v>4055</v>
      </c>
      <c r="CG138" t="s">
        <v>4056</v>
      </c>
      <c r="CH138" t="s">
        <v>4099</v>
      </c>
      <c r="CI138" t="s">
        <v>4058</v>
      </c>
      <c r="CJ138" t="s">
        <v>4059</v>
      </c>
      <c r="CK138" t="s">
        <v>4060</v>
      </c>
      <c r="CL138" t="s">
        <v>4061</v>
      </c>
      <c r="CM138" t="s">
        <v>4062</v>
      </c>
      <c r="CN138" t="s">
        <v>4055</v>
      </c>
      <c r="CO138" t="s">
        <v>4063</v>
      </c>
      <c r="CP138" t="s">
        <v>4055</v>
      </c>
      <c r="CQ138" t="s">
        <v>4055</v>
      </c>
      <c r="CR138">
        <v>5</v>
      </c>
      <c r="CS138" t="s">
        <v>4055</v>
      </c>
      <c r="CT138" t="s">
        <v>4055</v>
      </c>
      <c r="CU138" t="s">
        <v>4055</v>
      </c>
      <c r="CV138">
        <v>116</v>
      </c>
      <c r="CW138">
        <v>3</v>
      </c>
      <c r="CX138">
        <v>76</v>
      </c>
      <c r="CY138">
        <v>5</v>
      </c>
      <c r="CZ138">
        <v>143</v>
      </c>
      <c r="DA138">
        <v>5</v>
      </c>
      <c r="DB138">
        <v>9620</v>
      </c>
      <c r="DC138">
        <v>280</v>
      </c>
      <c r="DD138">
        <v>330</v>
      </c>
      <c r="DE138">
        <v>2064</v>
      </c>
      <c r="DF138">
        <v>2064</v>
      </c>
      <c r="DG138">
        <v>2073</v>
      </c>
      <c r="DH138" t="s">
        <v>4055</v>
      </c>
      <c r="DJ138" t="s">
        <v>4132</v>
      </c>
      <c r="DK138">
        <v>170</v>
      </c>
      <c r="DL138" t="s">
        <v>4065</v>
      </c>
      <c r="DM138">
        <v>65</v>
      </c>
      <c r="DN138">
        <v>1.1</v>
      </c>
      <c r="DO138">
        <v>1</v>
      </c>
      <c r="DP138">
        <v>1958</v>
      </c>
      <c r="DQ138">
        <v>721</v>
      </c>
      <c r="DR138" t="s">
        <v>4132</v>
      </c>
      <c r="DS138">
        <v>160</v>
      </c>
      <c r="DT138" t="s">
        <v>4065</v>
      </c>
      <c r="DU138">
        <v>65</v>
      </c>
      <c r="DV138">
        <v>1.1</v>
      </c>
      <c r="DW138">
        <v>1</v>
      </c>
      <c r="DX138">
        <v>1970</v>
      </c>
      <c r="DY138">
        <v>682</v>
      </c>
      <c r="DZ138" t="s">
        <v>4066</v>
      </c>
      <c r="EA138">
        <v>20</v>
      </c>
      <c r="EB138" t="s">
        <v>4065</v>
      </c>
      <c r="EC138">
        <v>0.8</v>
      </c>
      <c r="ED138">
        <v>1958</v>
      </c>
      <c r="EE138">
        <v>69</v>
      </c>
      <c r="EG138">
        <v>0</v>
      </c>
      <c r="EH138" t="s">
        <v>4065</v>
      </c>
      <c r="EI138">
        <v>0</v>
      </c>
      <c r="EL138" t="s">
        <v>1528</v>
      </c>
      <c r="EM138">
        <v>12</v>
      </c>
      <c r="EN138">
        <v>0.5</v>
      </c>
      <c r="EO138">
        <v>0.96</v>
      </c>
      <c r="EP138">
        <v>1968.83</v>
      </c>
      <c r="EQ138">
        <v>28763.38</v>
      </c>
      <c r="ER138">
        <v>5400.01</v>
      </c>
      <c r="ES138">
        <v>0</v>
      </c>
      <c r="ET138">
        <v>0</v>
      </c>
      <c r="EU138">
        <v>1</v>
      </c>
      <c r="EV138">
        <v>34164</v>
      </c>
      <c r="EW138">
        <v>410</v>
      </c>
      <c r="EX138" t="s">
        <v>4363</v>
      </c>
      <c r="EY138">
        <v>190</v>
      </c>
      <c r="EZ138" t="s">
        <v>4055</v>
      </c>
      <c r="FA138">
        <v>5.5</v>
      </c>
      <c r="FB138">
        <v>1</v>
      </c>
      <c r="FC138">
        <v>1</v>
      </c>
      <c r="FD138">
        <v>1999</v>
      </c>
      <c r="FE138">
        <v>2113</v>
      </c>
      <c r="FF138" t="s">
        <v>4089</v>
      </c>
      <c r="FG138">
        <v>190</v>
      </c>
      <c r="FH138" t="s">
        <v>4055</v>
      </c>
      <c r="FI138">
        <v>1.6</v>
      </c>
      <c r="FJ138">
        <v>1999</v>
      </c>
      <c r="FK138">
        <v>626</v>
      </c>
      <c r="FL138" t="s">
        <v>4069</v>
      </c>
      <c r="FM138" t="s">
        <v>4055</v>
      </c>
      <c r="FN138" t="s">
        <v>4055</v>
      </c>
      <c r="FO138" t="s">
        <v>4055</v>
      </c>
      <c r="FP138">
        <v>1999</v>
      </c>
      <c r="FQ138">
        <v>179</v>
      </c>
      <c r="FR138" t="s">
        <v>4090</v>
      </c>
      <c r="FS138">
        <v>194</v>
      </c>
      <c r="FT138" t="s">
        <v>4055</v>
      </c>
      <c r="FU138">
        <v>0.4</v>
      </c>
      <c r="FV138">
        <v>1999</v>
      </c>
      <c r="FW138">
        <v>172</v>
      </c>
      <c r="FX138" t="s">
        <v>4070</v>
      </c>
      <c r="FY138">
        <v>5</v>
      </c>
      <c r="FZ138" t="s">
        <v>4055</v>
      </c>
      <c r="GA138" t="s">
        <v>4055</v>
      </c>
      <c r="GB138">
        <v>1999</v>
      </c>
      <c r="GC138">
        <v>17</v>
      </c>
      <c r="GD138">
        <v>3107</v>
      </c>
      <c r="GE138" t="s">
        <v>4587</v>
      </c>
      <c r="GF138" t="s">
        <v>4055</v>
      </c>
      <c r="GG138" t="s">
        <v>4055</v>
      </c>
      <c r="GH138" t="s">
        <v>4055</v>
      </c>
      <c r="GI138" t="s">
        <v>4071</v>
      </c>
      <c r="GJ138" t="s">
        <v>4055</v>
      </c>
      <c r="GK138" t="s">
        <v>4055</v>
      </c>
      <c r="GL138" t="s">
        <v>4055</v>
      </c>
      <c r="GM138" t="s">
        <v>4055</v>
      </c>
      <c r="GQ138">
        <v>0</v>
      </c>
      <c r="GV138">
        <v>7.5</v>
      </c>
      <c r="GW138">
        <v>8.199999999999999</v>
      </c>
      <c r="GX138">
        <v>0.5</v>
      </c>
      <c r="GY138">
        <v>160</v>
      </c>
      <c r="GZ138">
        <v>3</v>
      </c>
      <c r="HA138">
        <v>216</v>
      </c>
      <c r="HB138">
        <v>3</v>
      </c>
      <c r="HC138">
        <v>1999</v>
      </c>
      <c r="HD138">
        <v>4</v>
      </c>
      <c r="HE138" t="s">
        <v>4071</v>
      </c>
      <c r="HG138" t="s">
        <v>549</v>
      </c>
      <c r="HL138">
        <v>4</v>
      </c>
      <c r="HM138">
        <v>16</v>
      </c>
      <c r="HN138">
        <v>6</v>
      </c>
      <c r="HO138">
        <v>1</v>
      </c>
      <c r="HP138">
        <v>0</v>
      </c>
      <c r="HQ138">
        <v>0</v>
      </c>
      <c r="HR138">
        <v>3</v>
      </c>
      <c r="HS138">
        <v>1955</v>
      </c>
      <c r="HT138">
        <v>5</v>
      </c>
      <c r="HU138">
        <v>1</v>
      </c>
      <c r="HV138">
        <v>3</v>
      </c>
      <c r="HW138">
        <v>0</v>
      </c>
      <c r="HX138">
        <v>1</v>
      </c>
      <c r="HY138">
        <v>0</v>
      </c>
      <c r="HZ138">
        <v>65</v>
      </c>
      <c r="IA138">
        <v>1958</v>
      </c>
      <c r="IB138">
        <v>1970</v>
      </c>
      <c r="ID138">
        <v>1999</v>
      </c>
      <c r="IE138">
        <v>1999</v>
      </c>
      <c r="IF138">
        <v>170</v>
      </c>
      <c r="IG138">
        <v>160</v>
      </c>
      <c r="IH138">
        <v>216</v>
      </c>
      <c r="II138">
        <v>1</v>
      </c>
      <c r="IJ138">
        <v>5</v>
      </c>
      <c r="IK138">
        <v>0</v>
      </c>
      <c r="IL138">
        <v>0</v>
      </c>
      <c r="IM138">
        <v>0</v>
      </c>
      <c r="IN138">
        <v>270</v>
      </c>
      <c r="IO138">
        <v>0</v>
      </c>
      <c r="IP138">
        <v>180</v>
      </c>
      <c r="IQ138">
        <v>0</v>
      </c>
      <c r="IR138">
        <v>320</v>
      </c>
      <c r="IS138">
        <v>0</v>
      </c>
      <c r="IT138">
        <v>90</v>
      </c>
      <c r="IU138">
        <v>0</v>
      </c>
      <c r="IV138">
        <v>6.4</v>
      </c>
      <c r="IW138">
        <v>-6</v>
      </c>
      <c r="IX138">
        <v>87.5</v>
      </c>
      <c r="IY138">
        <v>70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386</v>
      </c>
      <c r="JJ138">
        <v>354</v>
      </c>
      <c r="JK138">
        <v>262</v>
      </c>
      <c r="JL138">
        <v>352</v>
      </c>
      <c r="JM138">
        <v>280</v>
      </c>
      <c r="JN138">
        <v>170</v>
      </c>
      <c r="JO138">
        <v>224</v>
      </c>
      <c r="JP138">
        <v>194</v>
      </c>
      <c r="JQ138">
        <v>230</v>
      </c>
      <c r="JR138">
        <v>355</v>
      </c>
      <c r="JS138">
        <v>240</v>
      </c>
      <c r="JT138">
        <v>0</v>
      </c>
      <c r="JU138">
        <v>0</v>
      </c>
      <c r="JV138">
        <v>335</v>
      </c>
      <c r="JW138">
        <v>337</v>
      </c>
      <c r="JX138">
        <v>330</v>
      </c>
      <c r="JY138">
        <v>310</v>
      </c>
      <c r="JZ138">
        <v>0.5</v>
      </c>
      <c r="KA138">
        <v>0.2</v>
      </c>
      <c r="KB138">
        <v>0.4</v>
      </c>
      <c r="KC138">
        <v>0.42</v>
      </c>
      <c r="KD138">
        <v>0.28</v>
      </c>
      <c r="KE138">
        <v>0.5</v>
      </c>
      <c r="KF138">
        <v>0.17</v>
      </c>
      <c r="KG138">
        <v>0.1</v>
      </c>
      <c r="KH138">
        <v>3.5</v>
      </c>
      <c r="KI138">
        <v>1</v>
      </c>
      <c r="KJ138">
        <v>4.5</v>
      </c>
      <c r="KK138">
        <v>0</v>
      </c>
      <c r="KL138">
        <v>4.5</v>
      </c>
      <c r="KM138">
        <v>0</v>
      </c>
      <c r="KN138">
        <v>1.7</v>
      </c>
      <c r="KO138">
        <v>0</v>
      </c>
      <c r="KP138">
        <v>0</v>
      </c>
      <c r="KQ138">
        <v>0.8</v>
      </c>
      <c r="KR138">
        <v>0.8</v>
      </c>
      <c r="KS138">
        <v>0</v>
      </c>
      <c r="KT138">
        <v>1.6</v>
      </c>
      <c r="KU138">
        <v>0</v>
      </c>
      <c r="KV138">
        <v>0</v>
      </c>
      <c r="KW138">
        <v>1</v>
      </c>
      <c r="KX138">
        <v>2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3</v>
      </c>
      <c r="LI138">
        <v>0.5</v>
      </c>
      <c r="LJ138">
        <v>0</v>
      </c>
      <c r="LK138">
        <v>3.5</v>
      </c>
      <c r="LL138">
        <v>4</v>
      </c>
      <c r="LM138">
        <v>5</v>
      </c>
      <c r="LN138">
        <v>0.5</v>
      </c>
      <c r="LO138">
        <v>1</v>
      </c>
      <c r="LP138">
        <v>0</v>
      </c>
      <c r="LQ138">
        <v>0</v>
      </c>
      <c r="LR138">
        <v>0</v>
      </c>
      <c r="LS138">
        <v>1</v>
      </c>
      <c r="LT138">
        <v>0</v>
      </c>
      <c r="LU138">
        <v>0</v>
      </c>
      <c r="LV138">
        <v>0</v>
      </c>
      <c r="LW138">
        <v>1.8</v>
      </c>
      <c r="LX138">
        <v>1.8</v>
      </c>
      <c r="LY138">
        <v>2.1</v>
      </c>
      <c r="LZ138">
        <v>2.1</v>
      </c>
      <c r="MA138">
        <v>0</v>
      </c>
      <c r="MB138">
        <v>8</v>
      </c>
      <c r="MC138">
        <v>0</v>
      </c>
      <c r="MD138">
        <v>4.5</v>
      </c>
      <c r="ME138">
        <v>7</v>
      </c>
      <c r="MF138">
        <v>7</v>
      </c>
      <c r="MI138">
        <v>0</v>
      </c>
      <c r="MJ138">
        <v>0</v>
      </c>
      <c r="ML138">
        <v>0</v>
      </c>
      <c r="MM138">
        <v>390</v>
      </c>
      <c r="MN138">
        <v>170</v>
      </c>
      <c r="MO138">
        <v>224</v>
      </c>
      <c r="NH138">
        <v>0</v>
      </c>
      <c r="NJ138">
        <v>0</v>
      </c>
      <c r="NK138">
        <v>0</v>
      </c>
      <c r="NM138">
        <v>0</v>
      </c>
      <c r="NU138">
        <v>0.15</v>
      </c>
      <c r="NV138">
        <v>0.2</v>
      </c>
      <c r="NW138">
        <v>0.2</v>
      </c>
      <c r="NX138">
        <v>2</v>
      </c>
      <c r="NY138">
        <v>2</v>
      </c>
      <c r="NZ138">
        <v>2</v>
      </c>
      <c r="OE138" t="s">
        <v>4587</v>
      </c>
      <c r="OF138" t="s">
        <v>4415</v>
      </c>
      <c r="OG138" t="s">
        <v>4416</v>
      </c>
      <c r="OH138" t="s">
        <v>4043</v>
      </c>
      <c r="OI138" t="s">
        <v>4587</v>
      </c>
      <c r="OJ138" t="s">
        <v>4586</v>
      </c>
      <c r="OK138">
        <v>61</v>
      </c>
      <c r="OL138">
        <v>61</v>
      </c>
      <c r="OM138" t="s">
        <v>4415</v>
      </c>
      <c r="ON138">
        <v>1</v>
      </c>
      <c r="OO138">
        <v>1958</v>
      </c>
      <c r="OP138">
        <v>61</v>
      </c>
      <c r="OQ138">
        <v>61</v>
      </c>
      <c r="OR138" t="s">
        <v>4416</v>
      </c>
      <c r="OS138">
        <v>1</v>
      </c>
      <c r="OT138">
        <v>1970</v>
      </c>
      <c r="OU138">
        <v>65</v>
      </c>
      <c r="OV138">
        <v>65</v>
      </c>
      <c r="OW138" t="s">
        <v>4043</v>
      </c>
      <c r="OX138">
        <v>2</v>
      </c>
      <c r="OY138">
        <v>34164</v>
      </c>
      <c r="OZ138">
        <v>51</v>
      </c>
      <c r="PA138">
        <v>51</v>
      </c>
      <c r="PB138" t="s">
        <v>4587</v>
      </c>
      <c r="PC138">
        <v>1</v>
      </c>
      <c r="PD138">
        <v>1999</v>
      </c>
      <c r="PF138">
        <v>368</v>
      </c>
      <c r="PG138">
        <v>35</v>
      </c>
      <c r="PH138">
        <v>346</v>
      </c>
      <c r="PI138">
        <v>0</v>
      </c>
      <c r="PJ138">
        <v>89.7</v>
      </c>
      <c r="PK138">
        <v>1568</v>
      </c>
      <c r="PL138">
        <v>1056.9</v>
      </c>
      <c r="PM138">
        <v>313.1</v>
      </c>
      <c r="PN138">
        <v>86.2</v>
      </c>
      <c r="PO138">
        <v>8.699999999999999</v>
      </c>
      <c r="PP138">
        <v>12</v>
      </c>
      <c r="PQ138">
        <v>1</v>
      </c>
      <c r="PR138">
        <v>3</v>
      </c>
      <c r="PS138">
        <v>8</v>
      </c>
      <c r="PT138">
        <v>216</v>
      </c>
      <c r="PU138">
        <v>13</v>
      </c>
      <c r="PV138" t="s">
        <v>4072</v>
      </c>
      <c r="PW138" t="s">
        <v>4072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-1</v>
      </c>
      <c r="QF138">
        <v>1</v>
      </c>
      <c r="QG138">
        <v>0</v>
      </c>
      <c r="QH138">
        <v>5</v>
      </c>
      <c r="QI138">
        <v>5</v>
      </c>
      <c r="QJ138">
        <v>5</v>
      </c>
      <c r="QK138">
        <v>186</v>
      </c>
      <c r="QL138">
        <v>418</v>
      </c>
      <c r="QM138">
        <v>7.5</v>
      </c>
      <c r="QN138">
        <v>1285.7</v>
      </c>
      <c r="QO138" t="s">
        <v>1888</v>
      </c>
      <c r="QP138" t="s">
        <v>513</v>
      </c>
      <c r="QQ138">
        <v>0</v>
      </c>
      <c r="QR138" t="s">
        <v>621</v>
      </c>
      <c r="QS138">
        <v>30</v>
      </c>
      <c r="QT138">
        <v>40</v>
      </c>
    </row>
    <row r="139" spans="1:462">
      <c r="A139" t="s">
        <v>2165</v>
      </c>
      <c r="B139" t="s">
        <v>711</v>
      </c>
      <c r="C139" t="s">
        <v>509</v>
      </c>
      <c r="D139" t="s">
        <v>1281</v>
      </c>
      <c r="E139" t="s">
        <v>4036</v>
      </c>
      <c r="H139" t="s">
        <v>1135</v>
      </c>
      <c r="J139" t="s">
        <v>562</v>
      </c>
      <c r="K139" t="s">
        <v>563</v>
      </c>
      <c r="L139" t="s">
        <v>804</v>
      </c>
      <c r="M139" t="s">
        <v>512</v>
      </c>
      <c r="O139" t="s">
        <v>513</v>
      </c>
      <c r="P139" t="s">
        <v>567</v>
      </c>
      <c r="Q139" t="s">
        <v>1126</v>
      </c>
      <c r="R139" t="s">
        <v>1127</v>
      </c>
      <c r="S139" t="s">
        <v>4073</v>
      </c>
      <c r="T139" t="s">
        <v>633</v>
      </c>
      <c r="U139" t="s">
        <v>634</v>
      </c>
      <c r="V139" t="s">
        <v>1923</v>
      </c>
      <c r="W139" t="s">
        <v>1880</v>
      </c>
      <c r="X139" t="s">
        <v>2166</v>
      </c>
      <c r="Y139" t="s">
        <v>2167</v>
      </c>
      <c r="Z139" t="s">
        <v>541</v>
      </c>
      <c r="AA139" t="s">
        <v>4038</v>
      </c>
      <c r="AB139" t="s">
        <v>4588</v>
      </c>
      <c r="AC139">
        <v>9</v>
      </c>
      <c r="AD139" t="s">
        <v>2164</v>
      </c>
      <c r="AE139">
        <v>3</v>
      </c>
      <c r="AF139">
        <v>4425</v>
      </c>
      <c r="AG139" t="s">
        <v>4152</v>
      </c>
      <c r="AH139">
        <v>1</v>
      </c>
      <c r="AI139" t="s">
        <v>4041</v>
      </c>
      <c r="AK139" t="s">
        <v>4153</v>
      </c>
      <c r="AL139">
        <v>1</v>
      </c>
      <c r="AM139" t="s">
        <v>582</v>
      </c>
      <c r="AO139" t="s">
        <v>4043</v>
      </c>
      <c r="AP139">
        <v>1</v>
      </c>
      <c r="AR139" t="s">
        <v>4589</v>
      </c>
      <c r="AS139">
        <v>1</v>
      </c>
      <c r="AT139">
        <v>51</v>
      </c>
      <c r="AV139" t="s">
        <v>4078</v>
      </c>
      <c r="AW139">
        <v>6.4</v>
      </c>
      <c r="AX139">
        <v>-6</v>
      </c>
      <c r="AY139">
        <v>97.5</v>
      </c>
      <c r="AZ139">
        <v>68</v>
      </c>
      <c r="BH139">
        <v>97.5</v>
      </c>
      <c r="BI139">
        <v>29.5</v>
      </c>
      <c r="BJ139">
        <v>68</v>
      </c>
      <c r="BK139">
        <v>2.5</v>
      </c>
      <c r="BL139">
        <v>195</v>
      </c>
      <c r="BM139">
        <v>-6</v>
      </c>
      <c r="BN139">
        <v>0</v>
      </c>
      <c r="BO139">
        <v>0</v>
      </c>
      <c r="BP139">
        <v>0</v>
      </c>
      <c r="BR139">
        <v>190</v>
      </c>
      <c r="BS139">
        <v>180</v>
      </c>
      <c r="BT139">
        <v>1935</v>
      </c>
      <c r="BU139" t="s">
        <v>4590</v>
      </c>
      <c r="BV139" t="s">
        <v>4047</v>
      </c>
      <c r="BW139" t="s">
        <v>4049</v>
      </c>
      <c r="BX139" t="s">
        <v>4049</v>
      </c>
      <c r="BY139" t="s">
        <v>4107</v>
      </c>
      <c r="BZ139" t="s">
        <v>4173</v>
      </c>
      <c r="CA139" t="s">
        <v>4108</v>
      </c>
      <c r="CB139" t="s">
        <v>4109</v>
      </c>
      <c r="CC139" t="s">
        <v>4053</v>
      </c>
      <c r="CD139" t="s">
        <v>4110</v>
      </c>
      <c r="CE139" t="s">
        <v>4055</v>
      </c>
      <c r="CF139" t="s">
        <v>4055</v>
      </c>
      <c r="CG139" t="s">
        <v>4056</v>
      </c>
      <c r="CH139" t="s">
        <v>4057</v>
      </c>
      <c r="CI139" t="s">
        <v>4058</v>
      </c>
      <c r="CJ139" t="s">
        <v>4059</v>
      </c>
      <c r="CK139" t="s">
        <v>4060</v>
      </c>
      <c r="CL139" t="s">
        <v>4061</v>
      </c>
      <c r="CM139" t="s">
        <v>4055</v>
      </c>
      <c r="CN139" t="s">
        <v>4062</v>
      </c>
      <c r="CO139" t="s">
        <v>4063</v>
      </c>
      <c r="CP139" t="s">
        <v>4055</v>
      </c>
      <c r="CQ139" t="s">
        <v>4055</v>
      </c>
      <c r="CR139">
        <v>5</v>
      </c>
      <c r="CS139" t="s">
        <v>4055</v>
      </c>
      <c r="CT139" t="s">
        <v>4055</v>
      </c>
      <c r="CU139" t="s">
        <v>4055</v>
      </c>
      <c r="CV139">
        <v>118</v>
      </c>
      <c r="CW139">
        <v>3</v>
      </c>
      <c r="CX139">
        <v>78</v>
      </c>
      <c r="CY139">
        <v>5</v>
      </c>
      <c r="CZ139">
        <v>75</v>
      </c>
      <c r="DA139">
        <v>5</v>
      </c>
      <c r="DB139">
        <v>9730</v>
      </c>
      <c r="DC139">
        <v>290</v>
      </c>
      <c r="DD139">
        <v>325</v>
      </c>
      <c r="DE139">
        <v>2037</v>
      </c>
      <c r="DF139">
        <v>2037</v>
      </c>
      <c r="DG139">
        <v>2054</v>
      </c>
      <c r="DH139" t="s">
        <v>4055</v>
      </c>
      <c r="DI139" t="s">
        <v>4055</v>
      </c>
      <c r="DJ139" t="s">
        <v>4132</v>
      </c>
      <c r="DK139">
        <v>190</v>
      </c>
      <c r="DL139" t="s">
        <v>4065</v>
      </c>
      <c r="DM139">
        <v>65</v>
      </c>
      <c r="DN139">
        <v>1.1</v>
      </c>
      <c r="DO139">
        <v>1</v>
      </c>
      <c r="DP139">
        <v>1938</v>
      </c>
      <c r="DQ139">
        <v>797</v>
      </c>
      <c r="DR139" t="s">
        <v>4132</v>
      </c>
      <c r="DS139">
        <v>180</v>
      </c>
      <c r="DT139" t="s">
        <v>4065</v>
      </c>
      <c r="DU139">
        <v>65</v>
      </c>
      <c r="DV139">
        <v>1.1</v>
      </c>
      <c r="DW139">
        <v>1</v>
      </c>
      <c r="DX139">
        <v>1950</v>
      </c>
      <c r="DY139">
        <v>759</v>
      </c>
      <c r="DZ139" t="s">
        <v>4066</v>
      </c>
      <c r="EA139">
        <v>20</v>
      </c>
      <c r="EB139" t="s">
        <v>4065</v>
      </c>
      <c r="EC139">
        <v>0.8</v>
      </c>
      <c r="ED139">
        <v>1938</v>
      </c>
      <c r="EE139">
        <v>68</v>
      </c>
      <c r="EG139">
        <v>0</v>
      </c>
      <c r="EH139" t="s">
        <v>4065</v>
      </c>
      <c r="EI139">
        <v>0</v>
      </c>
      <c r="EL139" t="s">
        <v>1528</v>
      </c>
      <c r="EM139">
        <v>12</v>
      </c>
      <c r="EN139">
        <v>0.5</v>
      </c>
      <c r="EO139">
        <v>0.96</v>
      </c>
      <c r="EP139">
        <v>1948.83</v>
      </c>
      <c r="EQ139">
        <v>31516.24</v>
      </c>
      <c r="ER139">
        <v>9010.690000000001</v>
      </c>
      <c r="ES139">
        <v>0</v>
      </c>
      <c r="ET139">
        <v>0</v>
      </c>
      <c r="EU139">
        <v>1</v>
      </c>
      <c r="EV139">
        <v>40527</v>
      </c>
      <c r="EW139">
        <v>487</v>
      </c>
      <c r="EX139" t="s">
        <v>4363</v>
      </c>
      <c r="EY139">
        <v>206</v>
      </c>
      <c r="EZ139" t="s">
        <v>4055</v>
      </c>
      <c r="FA139">
        <v>5</v>
      </c>
      <c r="FB139">
        <v>1</v>
      </c>
      <c r="FC139">
        <v>1</v>
      </c>
      <c r="FD139">
        <v>1977</v>
      </c>
      <c r="FE139">
        <v>2207</v>
      </c>
      <c r="FF139" t="s">
        <v>4089</v>
      </c>
      <c r="FG139">
        <v>206</v>
      </c>
      <c r="FH139" t="s">
        <v>4055</v>
      </c>
      <c r="FI139">
        <v>1.6</v>
      </c>
      <c r="FJ139">
        <v>1977</v>
      </c>
      <c r="FK139">
        <v>671</v>
      </c>
      <c r="FL139" t="s">
        <v>4069</v>
      </c>
      <c r="FM139" t="s">
        <v>4055</v>
      </c>
      <c r="FN139" t="s">
        <v>4055</v>
      </c>
      <c r="FO139" t="s">
        <v>4055</v>
      </c>
      <c r="FP139">
        <v>1977</v>
      </c>
      <c r="FQ139">
        <v>112</v>
      </c>
      <c r="FR139" t="s">
        <v>4090</v>
      </c>
      <c r="FS139">
        <v>210</v>
      </c>
      <c r="FT139" t="s">
        <v>4055</v>
      </c>
      <c r="FU139">
        <v>0.4</v>
      </c>
      <c r="FV139">
        <v>1977</v>
      </c>
      <c r="FW139">
        <v>185</v>
      </c>
      <c r="FX139" t="s">
        <v>4070</v>
      </c>
      <c r="FY139">
        <v>5</v>
      </c>
      <c r="FZ139" t="s">
        <v>4055</v>
      </c>
      <c r="GA139" t="s">
        <v>4055</v>
      </c>
      <c r="GB139">
        <v>1977</v>
      </c>
      <c r="GC139">
        <v>16</v>
      </c>
      <c r="GD139">
        <v>3191</v>
      </c>
      <c r="GE139" t="s">
        <v>4589</v>
      </c>
      <c r="GF139" t="s">
        <v>4055</v>
      </c>
      <c r="GG139" t="s">
        <v>4055</v>
      </c>
      <c r="GH139" t="s">
        <v>4055</v>
      </c>
      <c r="GI139" t="s">
        <v>4071</v>
      </c>
      <c r="GJ139" t="s">
        <v>4055</v>
      </c>
      <c r="GK139" t="s">
        <v>4055</v>
      </c>
      <c r="GL139" t="s">
        <v>4055</v>
      </c>
      <c r="GM139" t="s">
        <v>4055</v>
      </c>
      <c r="GQ139">
        <v>0</v>
      </c>
      <c r="GV139">
        <v>7</v>
      </c>
      <c r="GW139">
        <v>8.5</v>
      </c>
      <c r="GX139">
        <v>0.5</v>
      </c>
      <c r="GY139">
        <v>186</v>
      </c>
      <c r="GZ139">
        <v>3</v>
      </c>
      <c r="HA139">
        <v>224</v>
      </c>
      <c r="HB139">
        <v>3</v>
      </c>
      <c r="HC139">
        <v>1977</v>
      </c>
      <c r="HD139">
        <v>4</v>
      </c>
      <c r="HE139" t="s">
        <v>4071</v>
      </c>
      <c r="HG139" t="s">
        <v>549</v>
      </c>
      <c r="HL139">
        <v>4</v>
      </c>
      <c r="HM139">
        <v>17</v>
      </c>
      <c r="HN139">
        <v>6</v>
      </c>
      <c r="HO139">
        <v>1</v>
      </c>
      <c r="HP139">
        <v>0</v>
      </c>
      <c r="HQ139">
        <v>0</v>
      </c>
      <c r="HR139">
        <v>3</v>
      </c>
      <c r="HS139">
        <v>1935</v>
      </c>
      <c r="HT139">
        <v>5</v>
      </c>
      <c r="HU139">
        <v>1</v>
      </c>
      <c r="HV139">
        <v>3</v>
      </c>
      <c r="HW139">
        <v>0</v>
      </c>
      <c r="HX139">
        <v>1</v>
      </c>
      <c r="HY139">
        <v>0</v>
      </c>
      <c r="HZ139">
        <v>65</v>
      </c>
      <c r="IA139">
        <v>1938</v>
      </c>
      <c r="IB139">
        <v>1950</v>
      </c>
      <c r="ID139">
        <v>1977</v>
      </c>
      <c r="IE139">
        <v>1977</v>
      </c>
      <c r="IF139">
        <v>190</v>
      </c>
      <c r="IG139">
        <v>180</v>
      </c>
      <c r="IH139">
        <v>224</v>
      </c>
      <c r="II139">
        <v>1</v>
      </c>
      <c r="IJ139">
        <v>10</v>
      </c>
      <c r="IK139">
        <v>0</v>
      </c>
      <c r="IL139">
        <v>0</v>
      </c>
      <c r="IM139">
        <v>0</v>
      </c>
      <c r="IN139">
        <v>270</v>
      </c>
      <c r="IO139">
        <v>0</v>
      </c>
      <c r="IP139">
        <v>180</v>
      </c>
      <c r="IQ139">
        <v>0</v>
      </c>
      <c r="IR139">
        <v>330</v>
      </c>
      <c r="IS139">
        <v>0</v>
      </c>
      <c r="IT139">
        <v>90</v>
      </c>
      <c r="IU139">
        <v>0</v>
      </c>
      <c r="IV139">
        <v>6.4</v>
      </c>
      <c r="IW139">
        <v>-6</v>
      </c>
      <c r="IX139">
        <v>97.5</v>
      </c>
      <c r="IY139">
        <v>68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372</v>
      </c>
      <c r="JJ139">
        <v>342</v>
      </c>
      <c r="JK139">
        <v>254</v>
      </c>
      <c r="JL139">
        <v>340</v>
      </c>
      <c r="JM139">
        <v>264</v>
      </c>
      <c r="JN139">
        <v>185</v>
      </c>
      <c r="JO139">
        <v>234</v>
      </c>
      <c r="JP139">
        <v>200</v>
      </c>
      <c r="JQ139">
        <v>250</v>
      </c>
      <c r="JR139">
        <v>321</v>
      </c>
      <c r="JS139">
        <v>236</v>
      </c>
      <c r="JT139">
        <v>0</v>
      </c>
      <c r="JU139">
        <v>0</v>
      </c>
      <c r="JV139">
        <v>316</v>
      </c>
      <c r="JW139">
        <v>306</v>
      </c>
      <c r="JX139">
        <v>301</v>
      </c>
      <c r="JY139">
        <v>281</v>
      </c>
      <c r="JZ139">
        <v>1</v>
      </c>
      <c r="KA139">
        <v>0.2</v>
      </c>
      <c r="KB139">
        <v>0.4</v>
      </c>
      <c r="KC139">
        <v>0.42</v>
      </c>
      <c r="KD139">
        <v>0.28</v>
      </c>
      <c r="KE139">
        <v>0.5</v>
      </c>
      <c r="KF139">
        <v>0.19</v>
      </c>
      <c r="KG139">
        <v>0.1</v>
      </c>
      <c r="KH139">
        <v>3.5</v>
      </c>
      <c r="KI139">
        <v>1</v>
      </c>
      <c r="KJ139">
        <v>5</v>
      </c>
      <c r="KK139">
        <v>0</v>
      </c>
      <c r="KL139">
        <v>5</v>
      </c>
      <c r="KM139">
        <v>1.5</v>
      </c>
      <c r="KN139">
        <v>1.6</v>
      </c>
      <c r="KO139">
        <v>0</v>
      </c>
      <c r="KP139">
        <v>0</v>
      </c>
      <c r="KQ139">
        <v>0.8</v>
      </c>
      <c r="KR139">
        <v>1</v>
      </c>
      <c r="KS139">
        <v>0</v>
      </c>
      <c r="KT139">
        <v>1.8</v>
      </c>
      <c r="KU139">
        <v>0</v>
      </c>
      <c r="KV139">
        <v>0</v>
      </c>
      <c r="KW139">
        <v>1.2</v>
      </c>
      <c r="KX139">
        <v>2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3</v>
      </c>
      <c r="LI139">
        <v>1</v>
      </c>
      <c r="LJ139">
        <v>0</v>
      </c>
      <c r="LK139">
        <v>9</v>
      </c>
      <c r="LL139">
        <v>10</v>
      </c>
      <c r="LM139">
        <v>11</v>
      </c>
      <c r="LN139">
        <v>0.1</v>
      </c>
      <c r="LO139">
        <v>3</v>
      </c>
      <c r="LP139">
        <v>0</v>
      </c>
      <c r="LQ139">
        <v>0</v>
      </c>
      <c r="LR139">
        <v>0</v>
      </c>
      <c r="LS139">
        <v>1</v>
      </c>
      <c r="LT139">
        <v>0</v>
      </c>
      <c r="LU139">
        <v>0</v>
      </c>
      <c r="LV139">
        <v>0</v>
      </c>
      <c r="LW139">
        <v>1.8</v>
      </c>
      <c r="LX139">
        <v>1.8</v>
      </c>
      <c r="LY139">
        <v>2.1</v>
      </c>
      <c r="LZ139">
        <v>2.1</v>
      </c>
      <c r="MA139">
        <v>0</v>
      </c>
      <c r="MB139">
        <v>4</v>
      </c>
      <c r="MC139">
        <v>1</v>
      </c>
      <c r="MD139">
        <v>4.5</v>
      </c>
      <c r="ME139">
        <v>6</v>
      </c>
      <c r="MF139">
        <v>6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420</v>
      </c>
      <c r="MN139">
        <v>194</v>
      </c>
      <c r="MO139">
        <v>234</v>
      </c>
      <c r="NU139">
        <v>0.15</v>
      </c>
      <c r="NV139">
        <v>0.28</v>
      </c>
      <c r="NW139">
        <v>0.3</v>
      </c>
      <c r="NX139">
        <v>3</v>
      </c>
      <c r="NY139">
        <v>3.8</v>
      </c>
      <c r="NZ139">
        <v>4.4</v>
      </c>
      <c r="OE139" t="s">
        <v>4589</v>
      </c>
      <c r="OF139" t="s">
        <v>4152</v>
      </c>
      <c r="OG139" t="s">
        <v>4153</v>
      </c>
      <c r="OH139" t="s">
        <v>4043</v>
      </c>
      <c r="OI139" t="s">
        <v>4589</v>
      </c>
      <c r="OJ139" t="s">
        <v>4588</v>
      </c>
      <c r="OK139">
        <v>61</v>
      </c>
      <c r="OL139">
        <v>61</v>
      </c>
      <c r="OM139" t="s">
        <v>4152</v>
      </c>
      <c r="ON139">
        <v>1</v>
      </c>
      <c r="OO139">
        <v>1938</v>
      </c>
      <c r="OP139">
        <v>61</v>
      </c>
      <c r="OQ139">
        <v>61</v>
      </c>
      <c r="OR139" t="s">
        <v>4153</v>
      </c>
      <c r="OS139">
        <v>1</v>
      </c>
      <c r="OT139">
        <v>1950</v>
      </c>
      <c r="OU139">
        <v>65</v>
      </c>
      <c r="OV139">
        <v>65</v>
      </c>
      <c r="OW139" t="s">
        <v>4043</v>
      </c>
      <c r="OX139">
        <v>2</v>
      </c>
      <c r="OY139">
        <v>40527</v>
      </c>
      <c r="OZ139">
        <v>51</v>
      </c>
      <c r="PA139">
        <v>51</v>
      </c>
      <c r="PB139" t="s">
        <v>4589</v>
      </c>
      <c r="PC139">
        <v>1</v>
      </c>
      <c r="PD139">
        <v>1977</v>
      </c>
      <c r="PF139">
        <v>411</v>
      </c>
      <c r="PG139">
        <v>35</v>
      </c>
      <c r="PH139">
        <v>389</v>
      </c>
      <c r="PI139">
        <v>0</v>
      </c>
      <c r="PJ139">
        <v>56.7</v>
      </c>
      <c r="PK139">
        <v>1602</v>
      </c>
      <c r="PL139">
        <v>1116.3</v>
      </c>
      <c r="PM139">
        <v>339.2</v>
      </c>
      <c r="PN139">
        <v>93.40000000000001</v>
      </c>
      <c r="PO139">
        <v>8.1</v>
      </c>
      <c r="PP139">
        <v>12</v>
      </c>
      <c r="PQ139">
        <v>1</v>
      </c>
      <c r="PR139">
        <v>1</v>
      </c>
      <c r="PS139">
        <v>7</v>
      </c>
      <c r="PT139">
        <v>224</v>
      </c>
      <c r="PU139">
        <v>9</v>
      </c>
      <c r="PV139" t="s">
        <v>4072</v>
      </c>
      <c r="PW139" t="s">
        <v>4072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-1</v>
      </c>
      <c r="QF139">
        <v>1</v>
      </c>
      <c r="QG139">
        <v>0</v>
      </c>
      <c r="QH139">
        <v>5</v>
      </c>
      <c r="QI139">
        <v>5</v>
      </c>
      <c r="QJ139">
        <v>5</v>
      </c>
      <c r="QK139">
        <v>181</v>
      </c>
      <c r="QL139">
        <v>406</v>
      </c>
      <c r="QM139">
        <v>7.5</v>
      </c>
      <c r="QN139">
        <v>1381.4</v>
      </c>
      <c r="QO139" t="s">
        <v>1888</v>
      </c>
      <c r="QP139" t="s">
        <v>513</v>
      </c>
      <c r="QQ139">
        <v>0</v>
      </c>
      <c r="QR139" t="s">
        <v>1496</v>
      </c>
      <c r="QS139">
        <v>30</v>
      </c>
      <c r="QT139">
        <v>40</v>
      </c>
    </row>
    <row r="140" spans="1:462">
      <c r="A140" t="s">
        <v>2171</v>
      </c>
      <c r="B140" t="s">
        <v>804</v>
      </c>
      <c r="C140" t="s">
        <v>509</v>
      </c>
      <c r="D140" t="s">
        <v>2142</v>
      </c>
      <c r="E140" t="s">
        <v>4036</v>
      </c>
      <c r="H140" t="s">
        <v>1135</v>
      </c>
      <c r="J140" t="s">
        <v>562</v>
      </c>
      <c r="K140" t="s">
        <v>563</v>
      </c>
      <c r="L140" t="s">
        <v>508</v>
      </c>
      <c r="M140" t="s">
        <v>512</v>
      </c>
      <c r="N140" t="s">
        <v>515</v>
      </c>
      <c r="O140" t="s">
        <v>513</v>
      </c>
      <c r="P140" t="s">
        <v>567</v>
      </c>
      <c r="Q140" t="s">
        <v>953</v>
      </c>
      <c r="R140" t="s">
        <v>954</v>
      </c>
      <c r="S140" t="s">
        <v>4170</v>
      </c>
      <c r="T140" t="s">
        <v>662</v>
      </c>
      <c r="U140" t="s">
        <v>663</v>
      </c>
      <c r="V140" t="s">
        <v>2172</v>
      </c>
      <c r="W140" t="s">
        <v>1880</v>
      </c>
      <c r="X140" t="s">
        <v>2173</v>
      </c>
      <c r="Y140" t="s">
        <v>2174</v>
      </c>
      <c r="Z140" t="s">
        <v>541</v>
      </c>
      <c r="AA140" t="s">
        <v>582</v>
      </c>
      <c r="AB140" t="s">
        <v>4591</v>
      </c>
      <c r="AC140">
        <v>9</v>
      </c>
      <c r="AD140" t="s">
        <v>2170</v>
      </c>
      <c r="AE140">
        <v>2</v>
      </c>
      <c r="AF140">
        <v>5573</v>
      </c>
      <c r="AG140" t="s">
        <v>4166</v>
      </c>
      <c r="AH140">
        <v>1</v>
      </c>
      <c r="AI140" t="s">
        <v>4041</v>
      </c>
      <c r="AK140" t="s">
        <v>4167</v>
      </c>
      <c r="AL140">
        <v>1</v>
      </c>
      <c r="AM140" t="s">
        <v>582</v>
      </c>
      <c r="AO140" t="s">
        <v>4043</v>
      </c>
      <c r="AP140">
        <v>1</v>
      </c>
      <c r="AR140" t="s">
        <v>4592</v>
      </c>
      <c r="AS140">
        <v>1</v>
      </c>
      <c r="AT140">
        <v>51</v>
      </c>
      <c r="AV140" t="s">
        <v>4078</v>
      </c>
      <c r="AW140">
        <v>6.4</v>
      </c>
      <c r="AX140">
        <v>-6</v>
      </c>
      <c r="AY140">
        <v>92.5</v>
      </c>
      <c r="AZ140">
        <v>63</v>
      </c>
      <c r="BA140">
        <v>0</v>
      </c>
      <c r="BB140">
        <v>0</v>
      </c>
      <c r="BC140">
        <v>0</v>
      </c>
      <c r="BH140">
        <v>92.5</v>
      </c>
      <c r="BI140">
        <v>29.5</v>
      </c>
      <c r="BJ140">
        <v>63</v>
      </c>
      <c r="BK140">
        <v>2.5</v>
      </c>
      <c r="BL140">
        <v>185</v>
      </c>
      <c r="BM140">
        <v>-6</v>
      </c>
      <c r="BN140">
        <v>0</v>
      </c>
      <c r="BP140">
        <v>0</v>
      </c>
      <c r="BR140">
        <v>180</v>
      </c>
      <c r="BS140">
        <v>170</v>
      </c>
      <c r="BT140">
        <v>2145</v>
      </c>
      <c r="BU140" t="s">
        <v>4127</v>
      </c>
      <c r="BV140" t="s">
        <v>4127</v>
      </c>
      <c r="BW140" t="s">
        <v>4128</v>
      </c>
      <c r="BX140" t="s">
        <v>4128</v>
      </c>
      <c r="BY140" t="s">
        <v>4117</v>
      </c>
      <c r="BZ140" t="s">
        <v>4116</v>
      </c>
      <c r="CA140" t="s">
        <v>4118</v>
      </c>
      <c r="CB140" t="s">
        <v>4119</v>
      </c>
      <c r="CC140" t="s">
        <v>4053</v>
      </c>
      <c r="CD140" t="s">
        <v>4121</v>
      </c>
      <c r="CE140" t="s">
        <v>4055</v>
      </c>
      <c r="CF140" t="s">
        <v>4055</v>
      </c>
      <c r="CG140" t="s">
        <v>4056</v>
      </c>
      <c r="CI140" t="s">
        <v>4058</v>
      </c>
      <c r="CJ140" t="s">
        <v>4059</v>
      </c>
      <c r="CK140" t="s">
        <v>4060</v>
      </c>
      <c r="CL140" t="s">
        <v>4061</v>
      </c>
      <c r="CM140" t="s">
        <v>4062</v>
      </c>
      <c r="CN140" t="s">
        <v>4055</v>
      </c>
      <c r="CO140" t="s">
        <v>4063</v>
      </c>
      <c r="CP140" t="s">
        <v>4055</v>
      </c>
      <c r="CQ140" t="s">
        <v>4055</v>
      </c>
      <c r="CR140">
        <v>5</v>
      </c>
      <c r="CS140" t="s">
        <v>4055</v>
      </c>
      <c r="CT140" t="s">
        <v>4055</v>
      </c>
      <c r="CU140" t="s">
        <v>4055</v>
      </c>
      <c r="CV140">
        <v>118</v>
      </c>
      <c r="CW140">
        <v>3</v>
      </c>
      <c r="CX140">
        <v>75</v>
      </c>
      <c r="CY140">
        <v>5</v>
      </c>
      <c r="CZ140">
        <v>149</v>
      </c>
      <c r="DA140">
        <v>5</v>
      </c>
      <c r="DB140">
        <v>11250</v>
      </c>
      <c r="DC140">
        <v>330</v>
      </c>
      <c r="DD140">
        <v>329</v>
      </c>
      <c r="DE140">
        <v>2260</v>
      </c>
      <c r="DF140">
        <v>2260</v>
      </c>
      <c r="DG140">
        <v>2269</v>
      </c>
      <c r="DH140" t="s">
        <v>4055</v>
      </c>
      <c r="DI140" t="s">
        <v>4055</v>
      </c>
      <c r="DJ140" t="s">
        <v>4132</v>
      </c>
      <c r="DK140">
        <v>180</v>
      </c>
      <c r="DL140" t="s">
        <v>4065</v>
      </c>
      <c r="DM140">
        <v>65</v>
      </c>
      <c r="DN140">
        <v>1.1</v>
      </c>
      <c r="DO140">
        <v>1</v>
      </c>
      <c r="DP140">
        <v>2148</v>
      </c>
      <c r="DQ140">
        <v>836</v>
      </c>
      <c r="DR140" t="s">
        <v>4132</v>
      </c>
      <c r="DS140">
        <v>170</v>
      </c>
      <c r="DT140" t="s">
        <v>4065</v>
      </c>
      <c r="DU140">
        <v>65</v>
      </c>
      <c r="DV140">
        <v>1.1</v>
      </c>
      <c r="DW140">
        <v>1</v>
      </c>
      <c r="DX140">
        <v>2160</v>
      </c>
      <c r="DY140">
        <v>795</v>
      </c>
      <c r="DZ140" t="s">
        <v>4066</v>
      </c>
      <c r="EA140">
        <v>20</v>
      </c>
      <c r="EB140" t="s">
        <v>4065</v>
      </c>
      <c r="EC140">
        <v>0.8</v>
      </c>
      <c r="ED140">
        <v>2148</v>
      </c>
      <c r="EE140">
        <v>75</v>
      </c>
      <c r="EG140">
        <v>0</v>
      </c>
      <c r="EH140" t="s">
        <v>4065</v>
      </c>
      <c r="EI140">
        <v>0</v>
      </c>
      <c r="EL140" t="s">
        <v>1528</v>
      </c>
      <c r="EM140">
        <v>12</v>
      </c>
      <c r="EN140">
        <v>0.5</v>
      </c>
      <c r="EO140">
        <v>0.96</v>
      </c>
      <c r="EP140">
        <v>2158.83</v>
      </c>
      <c r="EQ140">
        <v>33225.74</v>
      </c>
      <c r="ER140">
        <v>9978.66</v>
      </c>
      <c r="ES140">
        <v>0</v>
      </c>
      <c r="ET140">
        <v>0</v>
      </c>
      <c r="EU140">
        <v>1</v>
      </c>
      <c r="EV140">
        <v>43205</v>
      </c>
      <c r="EW140">
        <v>519</v>
      </c>
      <c r="EX140" t="s">
        <v>4363</v>
      </c>
      <c r="EY140">
        <v>206</v>
      </c>
      <c r="EZ140" t="s">
        <v>4055</v>
      </c>
      <c r="FA140">
        <v>5</v>
      </c>
      <c r="FB140">
        <v>1</v>
      </c>
      <c r="FC140">
        <v>1</v>
      </c>
      <c r="FD140">
        <v>2187</v>
      </c>
      <c r="FE140">
        <v>2378</v>
      </c>
      <c r="FF140" t="s">
        <v>4089</v>
      </c>
      <c r="FG140">
        <v>206</v>
      </c>
      <c r="FH140" t="s">
        <v>4055</v>
      </c>
      <c r="FI140">
        <v>1.6</v>
      </c>
      <c r="FJ140">
        <v>2187</v>
      </c>
      <c r="FK140">
        <v>719</v>
      </c>
      <c r="FL140" t="s">
        <v>4069</v>
      </c>
      <c r="FM140" t="s">
        <v>4055</v>
      </c>
      <c r="FN140" t="s">
        <v>4055</v>
      </c>
      <c r="FO140" t="s">
        <v>4055</v>
      </c>
      <c r="FP140">
        <v>2187</v>
      </c>
      <c r="FQ140">
        <v>132</v>
      </c>
      <c r="FR140" t="s">
        <v>4090</v>
      </c>
      <c r="FS140">
        <v>210</v>
      </c>
      <c r="FT140" t="s">
        <v>4055</v>
      </c>
      <c r="FU140">
        <v>0.4</v>
      </c>
      <c r="FV140">
        <v>2187</v>
      </c>
      <c r="FW140">
        <v>204</v>
      </c>
      <c r="FX140" t="s">
        <v>4070</v>
      </c>
      <c r="FY140">
        <v>5</v>
      </c>
      <c r="FZ140" t="s">
        <v>4055</v>
      </c>
      <c r="GA140" t="s">
        <v>4055</v>
      </c>
      <c r="GB140">
        <v>2187</v>
      </c>
      <c r="GC140">
        <v>18</v>
      </c>
      <c r="GD140">
        <v>3451</v>
      </c>
      <c r="GE140" t="s">
        <v>4592</v>
      </c>
      <c r="GF140" t="s">
        <v>4055</v>
      </c>
      <c r="GG140" t="s">
        <v>4055</v>
      </c>
      <c r="GH140" t="s">
        <v>4055</v>
      </c>
      <c r="GI140" t="s">
        <v>4071</v>
      </c>
      <c r="GJ140" t="s">
        <v>4055</v>
      </c>
      <c r="GK140" t="s">
        <v>4055</v>
      </c>
      <c r="GL140" t="s">
        <v>4055</v>
      </c>
      <c r="GM140" t="s">
        <v>4055</v>
      </c>
      <c r="GQ140">
        <v>0</v>
      </c>
      <c r="GV140">
        <v>7</v>
      </c>
      <c r="GW140">
        <v>8.5</v>
      </c>
      <c r="GX140">
        <v>0.5</v>
      </c>
      <c r="GY140">
        <v>174</v>
      </c>
      <c r="GZ140">
        <v>3</v>
      </c>
      <c r="HA140">
        <v>224</v>
      </c>
      <c r="HB140">
        <v>3</v>
      </c>
      <c r="HC140">
        <v>2187</v>
      </c>
      <c r="HD140">
        <v>4</v>
      </c>
      <c r="HE140" t="s">
        <v>4071</v>
      </c>
      <c r="HG140" t="s">
        <v>549</v>
      </c>
      <c r="HL140">
        <v>4</v>
      </c>
      <c r="HM140">
        <v>18</v>
      </c>
      <c r="HN140">
        <v>6</v>
      </c>
      <c r="HO140">
        <v>1</v>
      </c>
      <c r="HP140">
        <v>0</v>
      </c>
      <c r="HQ140">
        <v>0</v>
      </c>
      <c r="HR140">
        <v>3</v>
      </c>
      <c r="HS140">
        <v>2145</v>
      </c>
      <c r="HT140">
        <v>5</v>
      </c>
      <c r="HU140">
        <v>1</v>
      </c>
      <c r="HV140">
        <v>3</v>
      </c>
      <c r="HW140">
        <v>0</v>
      </c>
      <c r="HX140">
        <v>1</v>
      </c>
      <c r="HY140">
        <v>0</v>
      </c>
      <c r="HZ140">
        <v>65</v>
      </c>
      <c r="IA140">
        <v>2148</v>
      </c>
      <c r="IB140">
        <v>2160</v>
      </c>
      <c r="ID140">
        <v>2187</v>
      </c>
      <c r="IE140">
        <v>2187</v>
      </c>
      <c r="IF140">
        <v>180</v>
      </c>
      <c r="IG140">
        <v>170</v>
      </c>
      <c r="IH140">
        <v>224</v>
      </c>
      <c r="II140">
        <v>1</v>
      </c>
      <c r="IJ140">
        <v>5</v>
      </c>
      <c r="IK140">
        <v>0</v>
      </c>
      <c r="IL140">
        <v>0</v>
      </c>
      <c r="IM140">
        <v>0</v>
      </c>
      <c r="IN140">
        <v>270</v>
      </c>
      <c r="IO140">
        <v>0</v>
      </c>
      <c r="IP140">
        <v>180</v>
      </c>
      <c r="IQ140">
        <v>0</v>
      </c>
      <c r="IR140">
        <v>330</v>
      </c>
      <c r="IS140">
        <v>0</v>
      </c>
      <c r="IT140">
        <v>90</v>
      </c>
      <c r="IU140">
        <v>0</v>
      </c>
      <c r="IV140">
        <v>6.4</v>
      </c>
      <c r="IW140">
        <v>-6</v>
      </c>
      <c r="IX140">
        <v>92.5</v>
      </c>
      <c r="IY140">
        <v>63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398</v>
      </c>
      <c r="JJ140">
        <v>368</v>
      </c>
      <c r="JK140">
        <v>268</v>
      </c>
      <c r="JL140">
        <v>364</v>
      </c>
      <c r="JM140">
        <v>268</v>
      </c>
      <c r="JN140">
        <v>175</v>
      </c>
      <c r="JO140">
        <v>234</v>
      </c>
      <c r="JP140">
        <v>200</v>
      </c>
      <c r="JQ140">
        <v>250</v>
      </c>
      <c r="JR140">
        <v>319</v>
      </c>
      <c r="JS140">
        <v>239</v>
      </c>
      <c r="JT140">
        <v>0</v>
      </c>
      <c r="JU140">
        <v>0</v>
      </c>
      <c r="JV140">
        <v>314</v>
      </c>
      <c r="JW140">
        <v>304</v>
      </c>
      <c r="JX140">
        <v>299</v>
      </c>
      <c r="JY140">
        <v>279</v>
      </c>
      <c r="JZ140">
        <v>0.5</v>
      </c>
      <c r="KA140">
        <v>0.21</v>
      </c>
      <c r="KB140">
        <v>0.4</v>
      </c>
      <c r="KC140">
        <v>0.42</v>
      </c>
      <c r="KD140">
        <v>0.28</v>
      </c>
      <c r="KE140">
        <v>0.5</v>
      </c>
      <c r="KF140">
        <v>0.2</v>
      </c>
      <c r="KG140">
        <v>0.1</v>
      </c>
      <c r="KH140">
        <v>3.5</v>
      </c>
      <c r="KI140">
        <v>1</v>
      </c>
      <c r="KJ140">
        <v>4.5</v>
      </c>
      <c r="KK140">
        <v>0</v>
      </c>
      <c r="KL140">
        <v>4.5</v>
      </c>
      <c r="KM140">
        <v>0.5</v>
      </c>
      <c r="KN140">
        <v>1.6</v>
      </c>
      <c r="KO140">
        <v>0</v>
      </c>
      <c r="KP140">
        <v>0</v>
      </c>
      <c r="KQ140">
        <v>0.8</v>
      </c>
      <c r="KR140">
        <v>1</v>
      </c>
      <c r="KS140">
        <v>0.2</v>
      </c>
      <c r="KT140">
        <v>3</v>
      </c>
      <c r="KU140">
        <v>0</v>
      </c>
      <c r="KV140">
        <v>0</v>
      </c>
      <c r="KW140">
        <v>1</v>
      </c>
      <c r="KX140">
        <v>2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3</v>
      </c>
      <c r="LI140">
        <v>0.5</v>
      </c>
      <c r="LJ140">
        <v>0</v>
      </c>
      <c r="LK140">
        <v>4.5</v>
      </c>
      <c r="LL140">
        <v>4.5</v>
      </c>
      <c r="LM140">
        <v>7</v>
      </c>
      <c r="LN140">
        <v>0.4</v>
      </c>
      <c r="LO140">
        <v>3.5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1.2</v>
      </c>
      <c r="LX140">
        <v>1.2</v>
      </c>
      <c r="LY140">
        <v>2</v>
      </c>
      <c r="LZ140">
        <v>2</v>
      </c>
      <c r="MA140">
        <v>0</v>
      </c>
      <c r="MB140">
        <v>2.5</v>
      </c>
      <c r="MC140">
        <v>0</v>
      </c>
      <c r="MD140">
        <v>4.5</v>
      </c>
      <c r="ME140">
        <v>6</v>
      </c>
      <c r="MF140">
        <v>6</v>
      </c>
      <c r="MI140">
        <v>0</v>
      </c>
      <c r="MJ140">
        <v>0</v>
      </c>
      <c r="ML140">
        <v>0</v>
      </c>
      <c r="MM140">
        <v>420</v>
      </c>
      <c r="MN140">
        <v>175</v>
      </c>
      <c r="MO140">
        <v>234</v>
      </c>
      <c r="NU140">
        <v>0.15</v>
      </c>
      <c r="NV140">
        <v>0.2</v>
      </c>
      <c r="NW140">
        <v>0.2</v>
      </c>
      <c r="NX140">
        <v>0.2</v>
      </c>
      <c r="NY140">
        <v>0.2</v>
      </c>
      <c r="NZ140">
        <v>0.2</v>
      </c>
      <c r="OE140" t="s">
        <v>4592</v>
      </c>
      <c r="OF140" t="s">
        <v>4166</v>
      </c>
      <c r="OG140" t="s">
        <v>4167</v>
      </c>
      <c r="OH140" t="s">
        <v>4043</v>
      </c>
      <c r="OI140" t="s">
        <v>4592</v>
      </c>
      <c r="OJ140" t="s">
        <v>4591</v>
      </c>
      <c r="OK140">
        <v>61</v>
      </c>
      <c r="OL140">
        <v>61</v>
      </c>
      <c r="OM140" t="s">
        <v>4166</v>
      </c>
      <c r="ON140">
        <v>1</v>
      </c>
      <c r="OO140">
        <v>2148</v>
      </c>
      <c r="OP140">
        <v>61</v>
      </c>
      <c r="OQ140">
        <v>61</v>
      </c>
      <c r="OR140" t="s">
        <v>4167</v>
      </c>
      <c r="OS140">
        <v>1</v>
      </c>
      <c r="OT140">
        <v>2160</v>
      </c>
      <c r="OU140">
        <v>65</v>
      </c>
      <c r="OV140">
        <v>65</v>
      </c>
      <c r="OW140" t="s">
        <v>4043</v>
      </c>
      <c r="OX140">
        <v>2</v>
      </c>
      <c r="OY140">
        <v>43205</v>
      </c>
      <c r="OZ140">
        <v>51</v>
      </c>
      <c r="PA140">
        <v>51</v>
      </c>
      <c r="PB140" t="s">
        <v>4592</v>
      </c>
      <c r="PC140">
        <v>1</v>
      </c>
      <c r="PD140">
        <v>2187</v>
      </c>
      <c r="PF140">
        <v>389</v>
      </c>
      <c r="PG140">
        <v>35</v>
      </c>
      <c r="PH140">
        <v>368</v>
      </c>
      <c r="PI140">
        <v>0</v>
      </c>
      <c r="PJ140">
        <v>60.4</v>
      </c>
      <c r="PK140">
        <v>2222</v>
      </c>
      <c r="PL140">
        <v>1087.3</v>
      </c>
      <c r="PM140">
        <v>328.7</v>
      </c>
      <c r="PN140">
        <v>93.40000000000001</v>
      </c>
      <c r="PO140">
        <v>8.1</v>
      </c>
      <c r="PP140">
        <v>12</v>
      </c>
      <c r="PQ140">
        <v>5</v>
      </c>
      <c r="PR140">
        <v>5</v>
      </c>
      <c r="PS140">
        <v>0</v>
      </c>
      <c r="PT140">
        <v>224</v>
      </c>
      <c r="PU140">
        <v>9</v>
      </c>
      <c r="PV140" t="s">
        <v>4072</v>
      </c>
      <c r="PW140" t="s">
        <v>4072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-1</v>
      </c>
      <c r="QF140">
        <v>1</v>
      </c>
      <c r="QG140">
        <v>0</v>
      </c>
      <c r="QH140">
        <v>5</v>
      </c>
      <c r="QI140">
        <v>5</v>
      </c>
      <c r="QJ140">
        <v>5</v>
      </c>
      <c r="QK140">
        <v>194</v>
      </c>
      <c r="QL140">
        <v>432</v>
      </c>
      <c r="QM140">
        <v>7.5</v>
      </c>
      <c r="QN140">
        <v>1464.3</v>
      </c>
      <c r="QO140" t="s">
        <v>1888</v>
      </c>
      <c r="QP140" t="s">
        <v>513</v>
      </c>
      <c r="QQ140">
        <v>0</v>
      </c>
      <c r="QR140" t="s">
        <v>621</v>
      </c>
      <c r="QS140">
        <v>30</v>
      </c>
      <c r="QT140">
        <v>40</v>
      </c>
    </row>
    <row r="141" spans="1:462">
      <c r="A141" t="s">
        <v>2179</v>
      </c>
      <c r="B141" t="s">
        <v>629</v>
      </c>
      <c r="C141" t="s">
        <v>509</v>
      </c>
      <c r="D141" t="s">
        <v>1281</v>
      </c>
      <c r="E141" t="s">
        <v>4036</v>
      </c>
      <c r="H141" t="s">
        <v>561</v>
      </c>
      <c r="J141" t="s">
        <v>562</v>
      </c>
      <c r="K141" t="s">
        <v>563</v>
      </c>
      <c r="L141" t="s">
        <v>711</v>
      </c>
      <c r="M141" t="s">
        <v>512</v>
      </c>
      <c r="O141" t="s">
        <v>513</v>
      </c>
      <c r="P141" t="s">
        <v>567</v>
      </c>
      <c r="Q141" t="s">
        <v>1102</v>
      </c>
      <c r="R141" t="s">
        <v>1103</v>
      </c>
      <c r="S141" t="s">
        <v>4091</v>
      </c>
      <c r="T141" t="s">
        <v>633</v>
      </c>
      <c r="U141" t="s">
        <v>634</v>
      </c>
      <c r="V141" t="s">
        <v>2180</v>
      </c>
      <c r="W141" t="s">
        <v>1880</v>
      </c>
      <c r="X141" t="s">
        <v>2181</v>
      </c>
      <c r="Y141" t="s">
        <v>2182</v>
      </c>
      <c r="Z141" t="s">
        <v>541</v>
      </c>
      <c r="AA141" t="s">
        <v>4038</v>
      </c>
      <c r="AB141" t="s">
        <v>4593</v>
      </c>
      <c r="AC141">
        <v>9</v>
      </c>
      <c r="AD141" t="s">
        <v>2178</v>
      </c>
      <c r="AE141">
        <v>4</v>
      </c>
      <c r="AF141">
        <v>6302</v>
      </c>
      <c r="AG141" t="s">
        <v>4594</v>
      </c>
      <c r="AH141">
        <v>1</v>
      </c>
      <c r="AI141" t="s">
        <v>4041</v>
      </c>
      <c r="AK141" t="s">
        <v>4595</v>
      </c>
      <c r="AL141">
        <v>1</v>
      </c>
      <c r="AM141" t="s">
        <v>582</v>
      </c>
      <c r="AO141" t="s">
        <v>4043</v>
      </c>
      <c r="AP141">
        <v>1</v>
      </c>
      <c r="AR141" t="s">
        <v>4596</v>
      </c>
      <c r="AS141">
        <v>1</v>
      </c>
      <c r="AT141">
        <v>51</v>
      </c>
      <c r="AV141" t="s">
        <v>4045</v>
      </c>
      <c r="AW141">
        <v>6.4</v>
      </c>
      <c r="AX141">
        <v>-6</v>
      </c>
      <c r="AY141">
        <v>95</v>
      </c>
      <c r="AZ141">
        <v>77</v>
      </c>
      <c r="BH141">
        <v>95</v>
      </c>
      <c r="BI141">
        <v>18</v>
      </c>
      <c r="BJ141">
        <v>77</v>
      </c>
      <c r="BK141">
        <v>2.5</v>
      </c>
      <c r="BL141">
        <v>190</v>
      </c>
      <c r="BM141">
        <v>-6</v>
      </c>
      <c r="BN141">
        <v>0</v>
      </c>
      <c r="BO141">
        <v>0</v>
      </c>
      <c r="BP141">
        <v>0</v>
      </c>
      <c r="BR141">
        <v>185</v>
      </c>
      <c r="BS141">
        <v>175</v>
      </c>
      <c r="BT141">
        <v>2175</v>
      </c>
      <c r="BU141" t="s">
        <v>4127</v>
      </c>
      <c r="BV141" t="s">
        <v>4127</v>
      </c>
      <c r="BW141" t="s">
        <v>4128</v>
      </c>
      <c r="BX141" t="s">
        <v>4128</v>
      </c>
      <c r="BY141" t="s">
        <v>4249</v>
      </c>
      <c r="BZ141" t="s">
        <v>4249</v>
      </c>
      <c r="CA141" t="s">
        <v>4108</v>
      </c>
      <c r="CB141" t="s">
        <v>4109</v>
      </c>
      <c r="CC141" t="s">
        <v>4053</v>
      </c>
      <c r="CD141" t="s">
        <v>4110</v>
      </c>
      <c r="CE141" t="s">
        <v>4055</v>
      </c>
      <c r="CF141" t="s">
        <v>4055</v>
      </c>
      <c r="CG141" t="s">
        <v>4056</v>
      </c>
      <c r="CI141" t="s">
        <v>4058</v>
      </c>
      <c r="CJ141" t="s">
        <v>4059</v>
      </c>
      <c r="CK141" t="s">
        <v>4060</v>
      </c>
      <c r="CL141" t="s">
        <v>4061</v>
      </c>
      <c r="CM141" t="s">
        <v>4062</v>
      </c>
      <c r="CN141" t="s">
        <v>4055</v>
      </c>
      <c r="CO141" t="s">
        <v>4063</v>
      </c>
      <c r="CP141" t="s">
        <v>4055</v>
      </c>
      <c r="CQ141" t="s">
        <v>4055</v>
      </c>
      <c r="CR141">
        <v>5</v>
      </c>
      <c r="CS141" t="s">
        <v>4055</v>
      </c>
      <c r="CT141" t="s">
        <v>4055</v>
      </c>
      <c r="CU141" t="s">
        <v>4055</v>
      </c>
      <c r="CV141">
        <v>120</v>
      </c>
      <c r="CW141">
        <v>3</v>
      </c>
      <c r="CX141">
        <v>75</v>
      </c>
      <c r="CY141">
        <v>5</v>
      </c>
      <c r="CZ141">
        <v>154</v>
      </c>
      <c r="DA141">
        <v>5</v>
      </c>
      <c r="DB141">
        <v>12390</v>
      </c>
      <c r="DC141">
        <v>370</v>
      </c>
      <c r="DD141">
        <v>352</v>
      </c>
      <c r="DE141">
        <v>2283</v>
      </c>
      <c r="DF141">
        <v>2283</v>
      </c>
      <c r="DG141">
        <v>2304</v>
      </c>
      <c r="DH141" t="s">
        <v>4055</v>
      </c>
      <c r="DI141" t="s">
        <v>4055</v>
      </c>
      <c r="DJ141" t="s">
        <v>4217</v>
      </c>
      <c r="DK141">
        <v>185</v>
      </c>
      <c r="DL141" t="s">
        <v>4065</v>
      </c>
      <c r="DM141">
        <v>65</v>
      </c>
      <c r="DN141">
        <v>1.26</v>
      </c>
      <c r="DO141">
        <v>1</v>
      </c>
      <c r="DP141">
        <v>2179</v>
      </c>
      <c r="DQ141">
        <v>974</v>
      </c>
      <c r="DR141" t="s">
        <v>4217</v>
      </c>
      <c r="DS141">
        <v>175</v>
      </c>
      <c r="DT141" t="s">
        <v>4065</v>
      </c>
      <c r="DU141">
        <v>65</v>
      </c>
      <c r="DV141">
        <v>1.26</v>
      </c>
      <c r="DW141">
        <v>1</v>
      </c>
      <c r="DX141">
        <v>2192</v>
      </c>
      <c r="DY141">
        <v>925</v>
      </c>
      <c r="DZ141" t="s">
        <v>4066</v>
      </c>
      <c r="EA141">
        <v>20</v>
      </c>
      <c r="EB141" t="s">
        <v>4065</v>
      </c>
      <c r="EC141">
        <v>0.8</v>
      </c>
      <c r="ED141">
        <v>2179</v>
      </c>
      <c r="EE141">
        <v>76</v>
      </c>
      <c r="EG141">
        <v>0</v>
      </c>
      <c r="EH141" t="s">
        <v>4065</v>
      </c>
      <c r="EI141">
        <v>0</v>
      </c>
      <c r="EL141" t="s">
        <v>1528</v>
      </c>
      <c r="EM141">
        <v>12</v>
      </c>
      <c r="EN141">
        <v>0.5</v>
      </c>
      <c r="EO141">
        <v>0.96</v>
      </c>
      <c r="EP141">
        <v>2190.84</v>
      </c>
      <c r="EQ141">
        <v>34574.19</v>
      </c>
      <c r="ER141">
        <v>6178.7</v>
      </c>
      <c r="ES141">
        <v>0</v>
      </c>
      <c r="ET141">
        <v>0</v>
      </c>
      <c r="EU141">
        <v>1</v>
      </c>
      <c r="EV141">
        <v>40753</v>
      </c>
      <c r="EW141">
        <v>490</v>
      </c>
      <c r="EX141" t="s">
        <v>4363</v>
      </c>
      <c r="EY141">
        <v>212</v>
      </c>
      <c r="EZ141" t="s">
        <v>4055</v>
      </c>
      <c r="FA141">
        <v>5.4</v>
      </c>
      <c r="FB141">
        <v>1</v>
      </c>
      <c r="FC141">
        <v>1</v>
      </c>
      <c r="FD141">
        <v>2220</v>
      </c>
      <c r="FE141">
        <v>2598</v>
      </c>
      <c r="FF141" t="s">
        <v>4089</v>
      </c>
      <c r="FG141">
        <v>212</v>
      </c>
      <c r="FH141" t="s">
        <v>4055</v>
      </c>
      <c r="FI141">
        <v>1.4</v>
      </c>
      <c r="FJ141">
        <v>2220</v>
      </c>
      <c r="FK141">
        <v>649</v>
      </c>
      <c r="FL141" t="s">
        <v>4069</v>
      </c>
      <c r="FM141" t="s">
        <v>4055</v>
      </c>
      <c r="FN141" t="s">
        <v>4055</v>
      </c>
      <c r="FO141" t="s">
        <v>4055</v>
      </c>
      <c r="FP141">
        <v>2220</v>
      </c>
      <c r="FQ141">
        <v>143</v>
      </c>
      <c r="FR141" t="s">
        <v>4090</v>
      </c>
      <c r="FS141">
        <v>216</v>
      </c>
      <c r="FT141" t="s">
        <v>4055</v>
      </c>
      <c r="FU141">
        <v>0.4</v>
      </c>
      <c r="FV141">
        <v>2220</v>
      </c>
      <c r="FW141">
        <v>213</v>
      </c>
      <c r="FX141" t="s">
        <v>4070</v>
      </c>
      <c r="FY141">
        <v>5</v>
      </c>
      <c r="FZ141" t="s">
        <v>4055</v>
      </c>
      <c r="GA141" t="s">
        <v>4055</v>
      </c>
      <c r="GB141">
        <v>2220</v>
      </c>
      <c r="GC141">
        <v>19</v>
      </c>
      <c r="GD141">
        <v>3622</v>
      </c>
      <c r="GE141" t="s">
        <v>4596</v>
      </c>
      <c r="GF141" t="s">
        <v>4055</v>
      </c>
      <c r="GG141" t="s">
        <v>4055</v>
      </c>
      <c r="GH141" t="s">
        <v>4055</v>
      </c>
      <c r="GI141" t="s">
        <v>4071</v>
      </c>
      <c r="GJ141" t="s">
        <v>4055</v>
      </c>
      <c r="GK141" t="s">
        <v>4055</v>
      </c>
      <c r="GL141" t="s">
        <v>4055</v>
      </c>
      <c r="GM141" t="s">
        <v>4055</v>
      </c>
      <c r="GQ141">
        <v>0</v>
      </c>
      <c r="GV141">
        <v>7.2</v>
      </c>
      <c r="GW141">
        <v>8</v>
      </c>
      <c r="GX141">
        <v>0.5</v>
      </c>
      <c r="GY141">
        <v>174</v>
      </c>
      <c r="GZ141">
        <v>3</v>
      </c>
      <c r="HA141">
        <v>232</v>
      </c>
      <c r="HB141">
        <v>3</v>
      </c>
      <c r="HC141">
        <v>2220</v>
      </c>
      <c r="HD141">
        <v>4</v>
      </c>
      <c r="HE141" t="s">
        <v>4071</v>
      </c>
      <c r="HG141" t="s">
        <v>549</v>
      </c>
      <c r="HL141">
        <v>4</v>
      </c>
      <c r="HM141">
        <v>17</v>
      </c>
      <c r="HN141">
        <v>6</v>
      </c>
      <c r="HO141">
        <v>1</v>
      </c>
      <c r="HP141">
        <v>0</v>
      </c>
      <c r="HQ141">
        <v>0</v>
      </c>
      <c r="HR141">
        <v>2</v>
      </c>
      <c r="HS141">
        <v>2175</v>
      </c>
      <c r="HT141">
        <v>5</v>
      </c>
      <c r="HU141">
        <v>1</v>
      </c>
      <c r="HV141">
        <v>3</v>
      </c>
      <c r="HW141">
        <v>0</v>
      </c>
      <c r="HX141">
        <v>1</v>
      </c>
      <c r="HY141">
        <v>0</v>
      </c>
      <c r="HZ141">
        <v>65</v>
      </c>
      <c r="IA141">
        <v>2179</v>
      </c>
      <c r="IB141">
        <v>2192</v>
      </c>
      <c r="ID141">
        <v>2220</v>
      </c>
      <c r="IE141">
        <v>2220</v>
      </c>
      <c r="IF141">
        <v>185</v>
      </c>
      <c r="IG141">
        <v>175</v>
      </c>
      <c r="IH141">
        <v>232</v>
      </c>
      <c r="II141">
        <v>1</v>
      </c>
      <c r="IJ141">
        <v>10</v>
      </c>
      <c r="IK141">
        <v>0</v>
      </c>
      <c r="IL141">
        <v>0</v>
      </c>
      <c r="IM141">
        <v>0</v>
      </c>
      <c r="IN141">
        <v>270</v>
      </c>
      <c r="IO141">
        <v>0</v>
      </c>
      <c r="IP141">
        <v>180</v>
      </c>
      <c r="IQ141">
        <v>0</v>
      </c>
      <c r="IR141">
        <v>330</v>
      </c>
      <c r="IS141">
        <v>0</v>
      </c>
      <c r="IT141">
        <v>90</v>
      </c>
      <c r="IU141">
        <v>0</v>
      </c>
      <c r="IV141">
        <v>6.4</v>
      </c>
      <c r="IW141">
        <v>-6</v>
      </c>
      <c r="IX141">
        <v>95</v>
      </c>
      <c r="IY141">
        <v>77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434</v>
      </c>
      <c r="JJ141">
        <v>400</v>
      </c>
      <c r="JK141">
        <v>285</v>
      </c>
      <c r="JL141">
        <v>396</v>
      </c>
      <c r="JM141">
        <v>295</v>
      </c>
      <c r="JN141">
        <v>200</v>
      </c>
      <c r="JO141">
        <v>245</v>
      </c>
      <c r="JP141">
        <v>175</v>
      </c>
      <c r="JQ141">
        <v>240</v>
      </c>
      <c r="JR141">
        <v>350</v>
      </c>
      <c r="JS141">
        <v>220</v>
      </c>
      <c r="JT141">
        <v>0</v>
      </c>
      <c r="JU141">
        <v>0</v>
      </c>
      <c r="JV141">
        <v>300</v>
      </c>
      <c r="JW141">
        <v>290</v>
      </c>
      <c r="JX141">
        <v>280</v>
      </c>
      <c r="JY141">
        <v>0</v>
      </c>
      <c r="JZ141">
        <v>0</v>
      </c>
      <c r="KA141">
        <v>0.2</v>
      </c>
      <c r="KB141">
        <v>0.4</v>
      </c>
      <c r="KC141">
        <v>0.42</v>
      </c>
      <c r="KD141">
        <v>0.3</v>
      </c>
      <c r="KE141">
        <v>0.5</v>
      </c>
      <c r="KF141">
        <v>0.18</v>
      </c>
      <c r="KG141">
        <v>0.12</v>
      </c>
      <c r="KH141">
        <v>3.5</v>
      </c>
      <c r="KI141">
        <v>1</v>
      </c>
      <c r="KJ141">
        <v>4.5</v>
      </c>
      <c r="KK141">
        <v>0</v>
      </c>
      <c r="KL141">
        <v>4.5</v>
      </c>
      <c r="KM141">
        <v>0</v>
      </c>
      <c r="KN141">
        <v>2.4</v>
      </c>
      <c r="KO141">
        <v>0</v>
      </c>
      <c r="KP141">
        <v>0</v>
      </c>
      <c r="KQ141">
        <v>0.5</v>
      </c>
      <c r="KR141">
        <v>0.5</v>
      </c>
      <c r="KS141">
        <v>0</v>
      </c>
      <c r="KT141">
        <v>2.1</v>
      </c>
      <c r="KU141">
        <v>0</v>
      </c>
      <c r="KV141">
        <v>0</v>
      </c>
      <c r="KW141">
        <v>0.7</v>
      </c>
      <c r="KX141">
        <v>1.5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3</v>
      </c>
      <c r="LI141">
        <v>2.5</v>
      </c>
      <c r="LJ141">
        <v>0</v>
      </c>
      <c r="LK141">
        <v>10</v>
      </c>
      <c r="LL141">
        <v>10</v>
      </c>
      <c r="LM141">
        <v>13</v>
      </c>
      <c r="LN141">
        <v>0.5</v>
      </c>
      <c r="LO141">
        <v>3</v>
      </c>
      <c r="LP141">
        <v>0</v>
      </c>
      <c r="LQ141">
        <v>0</v>
      </c>
      <c r="LR141">
        <v>0</v>
      </c>
      <c r="LS141">
        <v>1</v>
      </c>
      <c r="LT141">
        <v>0</v>
      </c>
      <c r="LU141">
        <v>0</v>
      </c>
      <c r="LV141">
        <v>0</v>
      </c>
      <c r="LW141">
        <v>2.1</v>
      </c>
      <c r="LX141">
        <v>2.1</v>
      </c>
      <c r="LY141">
        <v>2.8</v>
      </c>
      <c r="LZ141">
        <v>2.8</v>
      </c>
      <c r="MA141">
        <v>0</v>
      </c>
      <c r="MB141">
        <v>9</v>
      </c>
      <c r="MC141">
        <v>0</v>
      </c>
      <c r="MD141">
        <v>4.5</v>
      </c>
      <c r="ME141">
        <v>6</v>
      </c>
      <c r="MF141">
        <v>6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452</v>
      </c>
      <c r="MN141">
        <v>200</v>
      </c>
      <c r="MO141">
        <v>237</v>
      </c>
      <c r="NU141">
        <v>0.15</v>
      </c>
      <c r="NV141">
        <v>0.2</v>
      </c>
      <c r="NW141">
        <v>0.2</v>
      </c>
      <c r="NX141">
        <v>0.2</v>
      </c>
      <c r="NY141">
        <v>0.2</v>
      </c>
      <c r="NZ141">
        <v>0.2</v>
      </c>
      <c r="OE141" t="s">
        <v>4596</v>
      </c>
      <c r="OF141" t="s">
        <v>4594</v>
      </c>
      <c r="OG141" t="s">
        <v>4595</v>
      </c>
      <c r="OH141" t="s">
        <v>4043</v>
      </c>
      <c r="OI141" t="s">
        <v>4596</v>
      </c>
      <c r="OJ141" t="s">
        <v>4593</v>
      </c>
      <c r="OK141">
        <v>61</v>
      </c>
      <c r="OL141">
        <v>61</v>
      </c>
      <c r="OM141" t="s">
        <v>4594</v>
      </c>
      <c r="ON141">
        <v>1</v>
      </c>
      <c r="OO141">
        <v>2179</v>
      </c>
      <c r="OP141">
        <v>61</v>
      </c>
      <c r="OQ141">
        <v>61</v>
      </c>
      <c r="OR141" t="s">
        <v>4595</v>
      </c>
      <c r="OS141">
        <v>1</v>
      </c>
      <c r="OT141">
        <v>2192</v>
      </c>
      <c r="OU141">
        <v>65</v>
      </c>
      <c r="OV141">
        <v>65</v>
      </c>
      <c r="OW141" t="s">
        <v>4043</v>
      </c>
      <c r="OX141">
        <v>2</v>
      </c>
      <c r="OY141">
        <v>40753</v>
      </c>
      <c r="OZ141">
        <v>51</v>
      </c>
      <c r="PA141">
        <v>51</v>
      </c>
      <c r="PB141" t="s">
        <v>4596</v>
      </c>
      <c r="PC141">
        <v>1</v>
      </c>
      <c r="PD141">
        <v>2220</v>
      </c>
      <c r="PF141">
        <v>447</v>
      </c>
      <c r="PG141">
        <v>35</v>
      </c>
      <c r="PH141">
        <v>422</v>
      </c>
      <c r="PI141">
        <v>0</v>
      </c>
      <c r="PJ141">
        <v>64.40000000000001</v>
      </c>
      <c r="PK141">
        <v>1625</v>
      </c>
      <c r="PL141">
        <v>1170.2</v>
      </c>
      <c r="PM141">
        <v>292.2</v>
      </c>
      <c r="PN141">
        <v>96.09999999999999</v>
      </c>
      <c r="PO141">
        <v>8.4</v>
      </c>
      <c r="PP141">
        <v>12</v>
      </c>
      <c r="PQ141">
        <v>5</v>
      </c>
      <c r="PR141">
        <v>5</v>
      </c>
      <c r="PS141">
        <v>0</v>
      </c>
      <c r="PT141">
        <v>232</v>
      </c>
      <c r="PU141">
        <v>10</v>
      </c>
      <c r="PV141" t="s">
        <v>4072</v>
      </c>
      <c r="PW141" t="s">
        <v>4072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-1</v>
      </c>
      <c r="QF141">
        <v>1</v>
      </c>
      <c r="QG141">
        <v>0</v>
      </c>
      <c r="QH141">
        <v>5</v>
      </c>
      <c r="QI141">
        <v>5</v>
      </c>
      <c r="QJ141">
        <v>5</v>
      </c>
      <c r="QK141">
        <v>212</v>
      </c>
      <c r="QL141">
        <v>468</v>
      </c>
      <c r="QM141">
        <v>7.5</v>
      </c>
      <c r="QN141">
        <v>1386.2</v>
      </c>
      <c r="QO141" t="s">
        <v>1888</v>
      </c>
      <c r="QP141" t="s">
        <v>513</v>
      </c>
      <c r="QQ141">
        <v>0</v>
      </c>
      <c r="QR141" t="s">
        <v>621</v>
      </c>
      <c r="QS141">
        <v>30</v>
      </c>
      <c r="QT141">
        <v>40</v>
      </c>
    </row>
    <row r="142" spans="1:462">
      <c r="A142" t="s">
        <v>2189</v>
      </c>
      <c r="B142" t="s">
        <v>804</v>
      </c>
      <c r="C142" t="s">
        <v>509</v>
      </c>
      <c r="D142" t="s">
        <v>2142</v>
      </c>
      <c r="E142" t="s">
        <v>4036</v>
      </c>
      <c r="H142" t="s">
        <v>1294</v>
      </c>
      <c r="J142" t="s">
        <v>562</v>
      </c>
      <c r="K142" t="s">
        <v>563</v>
      </c>
      <c r="L142" t="s">
        <v>508</v>
      </c>
      <c r="M142" t="s">
        <v>512</v>
      </c>
      <c r="N142" t="s">
        <v>515</v>
      </c>
      <c r="O142" t="s">
        <v>513</v>
      </c>
      <c r="P142" t="s">
        <v>567</v>
      </c>
      <c r="Q142" t="s">
        <v>1028</v>
      </c>
      <c r="R142" t="s">
        <v>1029</v>
      </c>
      <c r="S142" t="s">
        <v>4134</v>
      </c>
      <c r="T142" t="s">
        <v>662</v>
      </c>
      <c r="U142" t="s">
        <v>663</v>
      </c>
      <c r="V142" t="s">
        <v>1923</v>
      </c>
      <c r="W142" t="s">
        <v>1880</v>
      </c>
      <c r="X142" t="s">
        <v>2190</v>
      </c>
      <c r="Y142" t="s">
        <v>2191</v>
      </c>
      <c r="Z142" t="s">
        <v>541</v>
      </c>
      <c r="AA142" t="s">
        <v>582</v>
      </c>
      <c r="AB142" t="s">
        <v>4597</v>
      </c>
      <c r="AC142">
        <v>9</v>
      </c>
      <c r="AD142" t="s">
        <v>2188</v>
      </c>
      <c r="AE142">
        <v>2</v>
      </c>
      <c r="AF142">
        <v>4381</v>
      </c>
      <c r="AG142" t="s">
        <v>4227</v>
      </c>
      <c r="AH142">
        <v>1</v>
      </c>
      <c r="AI142" t="s">
        <v>4041</v>
      </c>
      <c r="AK142" t="s">
        <v>4228</v>
      </c>
      <c r="AL142">
        <v>1</v>
      </c>
      <c r="AM142" t="s">
        <v>582</v>
      </c>
      <c r="AO142" t="s">
        <v>4043</v>
      </c>
      <c r="AP142">
        <v>1</v>
      </c>
      <c r="AR142" t="s">
        <v>4598</v>
      </c>
      <c r="AS142">
        <v>1</v>
      </c>
      <c r="AT142">
        <v>51</v>
      </c>
      <c r="AV142" t="s">
        <v>4078</v>
      </c>
      <c r="AW142">
        <v>6.4</v>
      </c>
      <c r="AX142">
        <v>-6</v>
      </c>
      <c r="AY142">
        <v>105</v>
      </c>
      <c r="AZ142">
        <v>75</v>
      </c>
      <c r="BA142">
        <v>0</v>
      </c>
      <c r="BB142">
        <v>0</v>
      </c>
      <c r="BC142">
        <v>0</v>
      </c>
      <c r="BH142">
        <v>105</v>
      </c>
      <c r="BI142">
        <v>30</v>
      </c>
      <c r="BJ142">
        <v>75</v>
      </c>
      <c r="BK142">
        <v>2.5</v>
      </c>
      <c r="BL142">
        <v>210</v>
      </c>
      <c r="BM142">
        <v>-6</v>
      </c>
      <c r="BN142">
        <v>0</v>
      </c>
      <c r="BP142">
        <v>0</v>
      </c>
      <c r="BR142">
        <v>205</v>
      </c>
      <c r="BS142">
        <v>195</v>
      </c>
      <c r="BT142">
        <v>1970</v>
      </c>
      <c r="BU142" t="s">
        <v>4047</v>
      </c>
      <c r="BV142" t="s">
        <v>4096</v>
      </c>
      <c r="BW142" t="s">
        <v>4049</v>
      </c>
      <c r="BX142" t="s">
        <v>4097</v>
      </c>
      <c r="BY142" t="s">
        <v>4116</v>
      </c>
      <c r="BZ142" t="s">
        <v>4192</v>
      </c>
      <c r="CA142" t="s">
        <v>4118</v>
      </c>
      <c r="CB142" t="s">
        <v>4119</v>
      </c>
      <c r="CC142" t="s">
        <v>4053</v>
      </c>
      <c r="CD142" t="s">
        <v>4121</v>
      </c>
      <c r="CE142" t="s">
        <v>4055</v>
      </c>
      <c r="CF142" t="s">
        <v>4055</v>
      </c>
      <c r="CG142" t="s">
        <v>4056</v>
      </c>
      <c r="CH142" t="s">
        <v>4099</v>
      </c>
      <c r="CI142" t="s">
        <v>4058</v>
      </c>
      <c r="CJ142" t="s">
        <v>4059</v>
      </c>
      <c r="CK142" t="s">
        <v>4060</v>
      </c>
      <c r="CL142" t="s">
        <v>4061</v>
      </c>
      <c r="CM142" t="s">
        <v>4055</v>
      </c>
      <c r="CN142" t="s">
        <v>4062</v>
      </c>
      <c r="CO142" t="s">
        <v>4063</v>
      </c>
      <c r="CP142" t="s">
        <v>4055</v>
      </c>
      <c r="CQ142" t="s">
        <v>4055</v>
      </c>
      <c r="CR142">
        <v>5</v>
      </c>
      <c r="CS142" t="s">
        <v>4055</v>
      </c>
      <c r="CT142">
        <v>15</v>
      </c>
      <c r="CU142" t="s">
        <v>4055</v>
      </c>
      <c r="CV142">
        <v>125</v>
      </c>
      <c r="CW142">
        <v>3</v>
      </c>
      <c r="CX142">
        <v>87</v>
      </c>
      <c r="CY142">
        <v>5</v>
      </c>
      <c r="CZ142">
        <v>85</v>
      </c>
      <c r="DA142">
        <v>5</v>
      </c>
      <c r="DB142">
        <v>10240</v>
      </c>
      <c r="DC142">
        <v>300</v>
      </c>
      <c r="DD142">
        <v>310</v>
      </c>
      <c r="DE142">
        <v>2079</v>
      </c>
      <c r="DF142">
        <v>2079</v>
      </c>
      <c r="DG142">
        <v>2089</v>
      </c>
      <c r="DH142" t="s">
        <v>4055</v>
      </c>
      <c r="DI142" t="s">
        <v>4055</v>
      </c>
      <c r="DJ142" t="s">
        <v>4132</v>
      </c>
      <c r="DK142">
        <v>205</v>
      </c>
      <c r="DL142" t="s">
        <v>4065</v>
      </c>
      <c r="DM142">
        <v>65</v>
      </c>
      <c r="DN142">
        <v>1.1</v>
      </c>
      <c r="DO142">
        <v>1</v>
      </c>
      <c r="DP142">
        <v>1973</v>
      </c>
      <c r="DQ142">
        <v>874</v>
      </c>
      <c r="DR142" t="s">
        <v>4132</v>
      </c>
      <c r="DS142">
        <v>195</v>
      </c>
      <c r="DT142" t="s">
        <v>4065</v>
      </c>
      <c r="DU142">
        <v>65</v>
      </c>
      <c r="DV142">
        <v>1.1</v>
      </c>
      <c r="DW142">
        <v>1</v>
      </c>
      <c r="DX142">
        <v>1985</v>
      </c>
      <c r="DY142">
        <v>838</v>
      </c>
      <c r="DZ142" t="s">
        <v>4066</v>
      </c>
      <c r="EA142">
        <v>20</v>
      </c>
      <c r="EB142" t="s">
        <v>4065</v>
      </c>
      <c r="EC142">
        <v>0.8</v>
      </c>
      <c r="ED142">
        <v>1973</v>
      </c>
      <c r="EE142">
        <v>69</v>
      </c>
      <c r="EG142">
        <v>0</v>
      </c>
      <c r="EH142" t="s">
        <v>4065</v>
      </c>
      <c r="EI142">
        <v>0</v>
      </c>
      <c r="EL142" t="s">
        <v>1528</v>
      </c>
      <c r="EM142">
        <v>12</v>
      </c>
      <c r="EN142">
        <v>0.5</v>
      </c>
      <c r="EO142">
        <v>0.96</v>
      </c>
      <c r="EP142">
        <v>1983.83</v>
      </c>
      <c r="EQ142">
        <v>34407.05</v>
      </c>
      <c r="ER142">
        <v>9327.48</v>
      </c>
      <c r="ES142">
        <v>0</v>
      </c>
      <c r="ET142">
        <v>0</v>
      </c>
      <c r="EU142">
        <v>1</v>
      </c>
      <c r="EV142">
        <v>43735</v>
      </c>
      <c r="EW142">
        <v>525</v>
      </c>
      <c r="EX142" t="s">
        <v>4363</v>
      </c>
      <c r="EY142">
        <v>216</v>
      </c>
      <c r="EZ142" t="s">
        <v>4055</v>
      </c>
      <c r="FA142">
        <v>5</v>
      </c>
      <c r="FB142">
        <v>1</v>
      </c>
      <c r="FC142">
        <v>1</v>
      </c>
      <c r="FD142">
        <v>2012</v>
      </c>
      <c r="FE142">
        <v>2416</v>
      </c>
      <c r="FF142" t="s">
        <v>4089</v>
      </c>
      <c r="FG142">
        <v>216</v>
      </c>
      <c r="FH142" t="s">
        <v>4055</v>
      </c>
      <c r="FI142">
        <v>1.6</v>
      </c>
      <c r="FJ142">
        <v>2012</v>
      </c>
      <c r="FK142">
        <v>724</v>
      </c>
      <c r="FL142" t="s">
        <v>4069</v>
      </c>
      <c r="FM142" t="s">
        <v>4055</v>
      </c>
      <c r="FN142" t="s">
        <v>4055</v>
      </c>
      <c r="FO142" t="s">
        <v>4055</v>
      </c>
      <c r="FP142">
        <v>2012</v>
      </c>
      <c r="FQ142">
        <v>191</v>
      </c>
      <c r="FR142" t="s">
        <v>4090</v>
      </c>
      <c r="FS142">
        <v>220</v>
      </c>
      <c r="FT142" t="s">
        <v>4055</v>
      </c>
      <c r="FU142">
        <v>0.4</v>
      </c>
      <c r="FV142">
        <v>2012</v>
      </c>
      <c r="FW142">
        <v>197</v>
      </c>
      <c r="FX142" t="s">
        <v>4070</v>
      </c>
      <c r="FY142">
        <v>5</v>
      </c>
      <c r="FZ142" t="s">
        <v>4055</v>
      </c>
      <c r="GA142" t="s">
        <v>4055</v>
      </c>
      <c r="GB142">
        <v>2012</v>
      </c>
      <c r="GC142">
        <v>16</v>
      </c>
      <c r="GD142">
        <v>3544</v>
      </c>
      <c r="GE142" t="s">
        <v>4598</v>
      </c>
      <c r="GF142" t="s">
        <v>4055</v>
      </c>
      <c r="GG142" t="s">
        <v>4055</v>
      </c>
      <c r="GH142" t="s">
        <v>4055</v>
      </c>
      <c r="GI142" t="s">
        <v>4071</v>
      </c>
      <c r="GJ142" t="s">
        <v>4055</v>
      </c>
      <c r="GK142" t="s">
        <v>4055</v>
      </c>
      <c r="GL142" t="s">
        <v>4055</v>
      </c>
      <c r="GM142" t="s">
        <v>4055</v>
      </c>
      <c r="GQ142">
        <v>0</v>
      </c>
      <c r="GV142">
        <v>7</v>
      </c>
      <c r="GW142">
        <v>9</v>
      </c>
      <c r="GX142">
        <v>0.5</v>
      </c>
      <c r="GY142">
        <v>200</v>
      </c>
      <c r="GZ142">
        <v>3</v>
      </c>
      <c r="HA142">
        <v>242</v>
      </c>
      <c r="HB142">
        <v>3</v>
      </c>
      <c r="HC142">
        <v>2012</v>
      </c>
      <c r="HD142">
        <v>4</v>
      </c>
      <c r="HE142" t="s">
        <v>4071</v>
      </c>
      <c r="HG142" t="s">
        <v>549</v>
      </c>
      <c r="HL142">
        <v>4</v>
      </c>
      <c r="HM142">
        <v>18</v>
      </c>
      <c r="HN142">
        <v>6</v>
      </c>
      <c r="HO142">
        <v>1</v>
      </c>
      <c r="HP142">
        <v>0</v>
      </c>
      <c r="HQ142">
        <v>2</v>
      </c>
      <c r="HR142">
        <v>1</v>
      </c>
      <c r="HS142">
        <v>1970</v>
      </c>
      <c r="HT142">
        <v>5</v>
      </c>
      <c r="HU142">
        <v>1</v>
      </c>
      <c r="HV142">
        <v>3</v>
      </c>
      <c r="HW142">
        <v>0</v>
      </c>
      <c r="HX142">
        <v>1</v>
      </c>
      <c r="HY142">
        <v>0</v>
      </c>
      <c r="HZ142">
        <v>65</v>
      </c>
      <c r="IA142">
        <v>1973</v>
      </c>
      <c r="IB142">
        <v>1985</v>
      </c>
      <c r="ID142">
        <v>2012</v>
      </c>
      <c r="IE142">
        <v>2012</v>
      </c>
      <c r="IF142">
        <v>205</v>
      </c>
      <c r="IG142">
        <v>195</v>
      </c>
      <c r="IH142">
        <v>242</v>
      </c>
      <c r="II142">
        <v>1</v>
      </c>
      <c r="IJ142">
        <v>5</v>
      </c>
      <c r="IK142">
        <v>0</v>
      </c>
      <c r="IL142">
        <v>0</v>
      </c>
      <c r="IM142">
        <v>0</v>
      </c>
      <c r="IN142">
        <v>270</v>
      </c>
      <c r="IO142">
        <v>0</v>
      </c>
      <c r="IP142">
        <v>180</v>
      </c>
      <c r="IQ142">
        <v>0</v>
      </c>
      <c r="IR142">
        <v>330</v>
      </c>
      <c r="IS142">
        <v>0</v>
      </c>
      <c r="IT142">
        <v>90</v>
      </c>
      <c r="IU142">
        <v>0</v>
      </c>
      <c r="IV142">
        <v>6.4</v>
      </c>
      <c r="IW142">
        <v>-6</v>
      </c>
      <c r="IX142">
        <v>105</v>
      </c>
      <c r="IY142">
        <v>75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354</v>
      </c>
      <c r="JJ142">
        <v>324</v>
      </c>
      <c r="JK142">
        <v>242</v>
      </c>
      <c r="JL142">
        <v>322</v>
      </c>
      <c r="JM142">
        <v>257</v>
      </c>
      <c r="JN142">
        <v>205</v>
      </c>
      <c r="JO142">
        <v>248</v>
      </c>
      <c r="JP142">
        <v>218</v>
      </c>
      <c r="JQ142">
        <v>250</v>
      </c>
      <c r="JR142">
        <v>306</v>
      </c>
      <c r="JS142">
        <v>285</v>
      </c>
      <c r="JT142">
        <v>0</v>
      </c>
      <c r="JU142">
        <v>0</v>
      </c>
      <c r="JV142">
        <v>300</v>
      </c>
      <c r="JW142">
        <v>260</v>
      </c>
      <c r="JX142">
        <v>296</v>
      </c>
      <c r="JY142">
        <v>290</v>
      </c>
      <c r="JZ142">
        <v>0.5</v>
      </c>
      <c r="KA142">
        <v>0.21</v>
      </c>
      <c r="KB142">
        <v>0.4</v>
      </c>
      <c r="KC142">
        <v>0.42</v>
      </c>
      <c r="KD142">
        <v>0.28</v>
      </c>
      <c r="KE142">
        <v>0.5</v>
      </c>
      <c r="KF142">
        <v>0.2</v>
      </c>
      <c r="KG142">
        <v>0.1</v>
      </c>
      <c r="KH142">
        <v>3.5</v>
      </c>
      <c r="KI142">
        <v>1</v>
      </c>
      <c r="KJ142">
        <v>4.5</v>
      </c>
      <c r="KK142">
        <v>0</v>
      </c>
      <c r="KL142">
        <v>4.5</v>
      </c>
      <c r="KM142">
        <v>0.5</v>
      </c>
      <c r="KN142">
        <v>1.6</v>
      </c>
      <c r="KO142">
        <v>0</v>
      </c>
      <c r="KP142">
        <v>0</v>
      </c>
      <c r="KQ142">
        <v>0.7</v>
      </c>
      <c r="KR142">
        <v>0.5</v>
      </c>
      <c r="KS142">
        <v>0.2</v>
      </c>
      <c r="KT142">
        <v>2.6</v>
      </c>
      <c r="KU142">
        <v>0</v>
      </c>
      <c r="KV142">
        <v>0</v>
      </c>
      <c r="KW142">
        <v>1</v>
      </c>
      <c r="KX142">
        <v>2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3</v>
      </c>
      <c r="LI142">
        <v>0.5</v>
      </c>
      <c r="LJ142">
        <v>0</v>
      </c>
      <c r="LK142">
        <v>4.5</v>
      </c>
      <c r="LL142">
        <v>4.5</v>
      </c>
      <c r="LM142">
        <v>7</v>
      </c>
      <c r="LN142">
        <v>0.4</v>
      </c>
      <c r="LO142">
        <v>3.5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1.2</v>
      </c>
      <c r="LX142">
        <v>1.2</v>
      </c>
      <c r="LY142">
        <v>2</v>
      </c>
      <c r="LZ142">
        <v>2</v>
      </c>
      <c r="MA142">
        <v>0</v>
      </c>
      <c r="MB142">
        <v>2.5</v>
      </c>
      <c r="MC142">
        <v>0</v>
      </c>
      <c r="MD142">
        <v>4.5</v>
      </c>
      <c r="ME142">
        <v>6</v>
      </c>
      <c r="MF142">
        <v>6</v>
      </c>
      <c r="MI142">
        <v>0</v>
      </c>
      <c r="MJ142">
        <v>0</v>
      </c>
      <c r="ML142">
        <v>0</v>
      </c>
      <c r="MM142">
        <v>390</v>
      </c>
      <c r="MN142">
        <v>200</v>
      </c>
      <c r="MO142">
        <v>252</v>
      </c>
      <c r="NU142">
        <v>0.15</v>
      </c>
      <c r="NV142">
        <v>0.2</v>
      </c>
      <c r="NW142">
        <v>0.2</v>
      </c>
      <c r="NX142">
        <v>0.2</v>
      </c>
      <c r="NY142">
        <v>0.2</v>
      </c>
      <c r="NZ142">
        <v>0.2</v>
      </c>
      <c r="OE142" t="s">
        <v>4598</v>
      </c>
      <c r="OF142" t="s">
        <v>4227</v>
      </c>
      <c r="OG142" t="s">
        <v>4228</v>
      </c>
      <c r="OH142" t="s">
        <v>4043</v>
      </c>
      <c r="OI142" t="s">
        <v>4598</v>
      </c>
      <c r="OJ142" t="s">
        <v>4597</v>
      </c>
      <c r="OK142">
        <v>61</v>
      </c>
      <c r="OL142">
        <v>61</v>
      </c>
      <c r="OM142" t="s">
        <v>4227</v>
      </c>
      <c r="ON142">
        <v>1</v>
      </c>
      <c r="OO142">
        <v>1973</v>
      </c>
      <c r="OP142">
        <v>61</v>
      </c>
      <c r="OQ142">
        <v>61</v>
      </c>
      <c r="OR142" t="s">
        <v>4228</v>
      </c>
      <c r="OS142">
        <v>1</v>
      </c>
      <c r="OT142">
        <v>1985</v>
      </c>
      <c r="OU142">
        <v>65</v>
      </c>
      <c r="OV142">
        <v>65</v>
      </c>
      <c r="OW142" t="s">
        <v>4043</v>
      </c>
      <c r="OX142">
        <v>2</v>
      </c>
      <c r="OY142">
        <v>43735</v>
      </c>
      <c r="OZ142">
        <v>51</v>
      </c>
      <c r="PA142">
        <v>51</v>
      </c>
      <c r="PB142" t="s">
        <v>4598</v>
      </c>
      <c r="PC142">
        <v>1</v>
      </c>
      <c r="PD142">
        <v>2012</v>
      </c>
      <c r="PF142">
        <v>443</v>
      </c>
      <c r="PG142">
        <v>35</v>
      </c>
      <c r="PH142">
        <v>422</v>
      </c>
      <c r="PI142">
        <v>0</v>
      </c>
      <c r="PJ142">
        <v>94.8</v>
      </c>
      <c r="PK142">
        <v>2222</v>
      </c>
      <c r="PL142">
        <v>1200.9</v>
      </c>
      <c r="PM142">
        <v>360</v>
      </c>
      <c r="PN142">
        <v>97.8</v>
      </c>
      <c r="PO142">
        <v>8.1</v>
      </c>
      <c r="PP142">
        <v>12</v>
      </c>
      <c r="PQ142">
        <v>3</v>
      </c>
      <c r="PR142">
        <v>3</v>
      </c>
      <c r="PS142">
        <v>8</v>
      </c>
      <c r="PT142">
        <v>242</v>
      </c>
      <c r="PU142">
        <v>13</v>
      </c>
      <c r="PV142" t="s">
        <v>4072</v>
      </c>
      <c r="PW142" t="s">
        <v>4072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-1</v>
      </c>
      <c r="QF142">
        <v>1</v>
      </c>
      <c r="QG142">
        <v>0</v>
      </c>
      <c r="QH142">
        <v>5</v>
      </c>
      <c r="QI142">
        <v>5</v>
      </c>
      <c r="QJ142">
        <v>5</v>
      </c>
      <c r="QK142">
        <v>172</v>
      </c>
      <c r="QL142">
        <v>388</v>
      </c>
      <c r="QM142">
        <v>7.5</v>
      </c>
      <c r="QN142">
        <v>1461.1</v>
      </c>
      <c r="QO142" t="s">
        <v>1888</v>
      </c>
      <c r="QP142" t="s">
        <v>513</v>
      </c>
      <c r="QQ142">
        <v>0</v>
      </c>
      <c r="QR142" t="s">
        <v>1496</v>
      </c>
      <c r="QS142">
        <v>30</v>
      </c>
      <c r="QT142">
        <v>40</v>
      </c>
    </row>
    <row r="143" spans="1:462">
      <c r="A143" t="s">
        <v>2197</v>
      </c>
      <c r="B143" t="s">
        <v>711</v>
      </c>
      <c r="C143" t="s">
        <v>509</v>
      </c>
      <c r="D143" t="s">
        <v>2196</v>
      </c>
      <c r="E143" t="s">
        <v>4036</v>
      </c>
      <c r="H143" t="s">
        <v>511</v>
      </c>
      <c r="J143" t="s">
        <v>562</v>
      </c>
      <c r="L143" t="s">
        <v>804</v>
      </c>
      <c r="M143" t="s">
        <v>512</v>
      </c>
      <c r="O143" t="s">
        <v>513</v>
      </c>
      <c r="P143" t="s">
        <v>567</v>
      </c>
      <c r="Q143" t="s">
        <v>879</v>
      </c>
      <c r="R143" t="s">
        <v>880</v>
      </c>
      <c r="S143" t="s">
        <v>4091</v>
      </c>
      <c r="T143" t="s">
        <v>633</v>
      </c>
      <c r="U143" t="s">
        <v>634</v>
      </c>
      <c r="V143" t="s">
        <v>2198</v>
      </c>
      <c r="W143" t="s">
        <v>1880</v>
      </c>
      <c r="X143" t="s">
        <v>2199</v>
      </c>
      <c r="Y143" t="s">
        <v>2200</v>
      </c>
      <c r="Z143" t="s">
        <v>541</v>
      </c>
      <c r="AA143" t="s">
        <v>4038</v>
      </c>
      <c r="AB143" t="s">
        <v>4599</v>
      </c>
      <c r="AC143">
        <v>9</v>
      </c>
      <c r="AD143" t="s">
        <v>2195</v>
      </c>
      <c r="AE143">
        <v>3</v>
      </c>
      <c r="AF143">
        <v>5404</v>
      </c>
      <c r="AG143" t="s">
        <v>4600</v>
      </c>
      <c r="AH143">
        <v>1</v>
      </c>
      <c r="AI143" t="s">
        <v>4041</v>
      </c>
      <c r="AK143" t="s">
        <v>4601</v>
      </c>
      <c r="AL143">
        <v>1</v>
      </c>
      <c r="AM143" t="s">
        <v>582</v>
      </c>
      <c r="AO143" t="s">
        <v>4043</v>
      </c>
      <c r="AP143">
        <v>1</v>
      </c>
      <c r="AR143" t="s">
        <v>4602</v>
      </c>
      <c r="AS143">
        <v>1</v>
      </c>
      <c r="AT143">
        <v>51</v>
      </c>
      <c r="AV143" t="s">
        <v>4078</v>
      </c>
      <c r="AW143">
        <v>6.4</v>
      </c>
      <c r="AX143">
        <v>-6</v>
      </c>
      <c r="AY143">
        <v>90</v>
      </c>
      <c r="AZ143">
        <v>66</v>
      </c>
      <c r="BH143">
        <v>90</v>
      </c>
      <c r="BI143">
        <v>24</v>
      </c>
      <c r="BJ143">
        <v>66</v>
      </c>
      <c r="BK143">
        <v>2.5</v>
      </c>
      <c r="BL143">
        <v>180</v>
      </c>
      <c r="BM143">
        <v>-6</v>
      </c>
      <c r="BN143">
        <v>0</v>
      </c>
      <c r="BO143">
        <v>0</v>
      </c>
      <c r="BP143">
        <v>0</v>
      </c>
      <c r="BR143">
        <v>175</v>
      </c>
      <c r="BS143">
        <v>165</v>
      </c>
      <c r="BT143">
        <v>2130</v>
      </c>
      <c r="BU143" t="s">
        <v>4127</v>
      </c>
      <c r="BV143" t="s">
        <v>4127</v>
      </c>
      <c r="BW143" t="s">
        <v>4049</v>
      </c>
      <c r="BX143" t="s">
        <v>4128</v>
      </c>
      <c r="BY143" t="s">
        <v>4173</v>
      </c>
      <c r="BZ143" t="s">
        <v>4249</v>
      </c>
      <c r="CA143" t="s">
        <v>4108</v>
      </c>
      <c r="CB143" t="s">
        <v>4109</v>
      </c>
      <c r="CC143" t="s">
        <v>4053</v>
      </c>
      <c r="CD143" t="s">
        <v>4110</v>
      </c>
      <c r="CE143" t="s">
        <v>4055</v>
      </c>
      <c r="CF143" t="s">
        <v>4055</v>
      </c>
      <c r="CG143" t="s">
        <v>4056</v>
      </c>
      <c r="CI143" t="s">
        <v>4058</v>
      </c>
      <c r="CJ143" t="s">
        <v>4059</v>
      </c>
      <c r="CK143" t="s">
        <v>4060</v>
      </c>
      <c r="CL143" t="s">
        <v>4061</v>
      </c>
      <c r="CM143" t="s">
        <v>4062</v>
      </c>
      <c r="CN143" t="s">
        <v>4055</v>
      </c>
      <c r="CO143" t="s">
        <v>4063</v>
      </c>
      <c r="CP143" t="s">
        <v>4055</v>
      </c>
      <c r="CQ143" t="s">
        <v>4055</v>
      </c>
      <c r="CR143">
        <v>5</v>
      </c>
      <c r="CS143" t="s">
        <v>4055</v>
      </c>
      <c r="CT143" t="s">
        <v>4055</v>
      </c>
      <c r="CU143" t="s">
        <v>4055</v>
      </c>
      <c r="CV143">
        <v>117</v>
      </c>
      <c r="CW143">
        <v>3</v>
      </c>
      <c r="CX143">
        <v>70</v>
      </c>
      <c r="CY143">
        <v>5</v>
      </c>
      <c r="CZ143">
        <v>159</v>
      </c>
      <c r="DA143">
        <v>5</v>
      </c>
      <c r="DB143">
        <v>11160</v>
      </c>
      <c r="DC143">
        <v>330</v>
      </c>
      <c r="DD143">
        <v>346</v>
      </c>
      <c r="DE143">
        <v>2250</v>
      </c>
      <c r="DF143">
        <v>2238</v>
      </c>
      <c r="DG143">
        <v>2260</v>
      </c>
      <c r="DH143" t="s">
        <v>4055</v>
      </c>
      <c r="DI143" t="s">
        <v>4055</v>
      </c>
      <c r="DJ143" t="s">
        <v>4217</v>
      </c>
      <c r="DK143">
        <v>175</v>
      </c>
      <c r="DL143" t="s">
        <v>4065</v>
      </c>
      <c r="DM143">
        <v>65</v>
      </c>
      <c r="DN143">
        <v>1.26</v>
      </c>
      <c r="DO143">
        <v>1</v>
      </c>
      <c r="DP143">
        <v>2134</v>
      </c>
      <c r="DQ143">
        <v>901</v>
      </c>
      <c r="DR143" t="s">
        <v>4217</v>
      </c>
      <c r="DS143">
        <v>165</v>
      </c>
      <c r="DT143" t="s">
        <v>4065</v>
      </c>
      <c r="DU143">
        <v>65</v>
      </c>
      <c r="DV143">
        <v>1.26</v>
      </c>
      <c r="DW143">
        <v>1</v>
      </c>
      <c r="DX143">
        <v>2147</v>
      </c>
      <c r="DY143">
        <v>855</v>
      </c>
      <c r="DZ143" t="s">
        <v>4066</v>
      </c>
      <c r="EA143">
        <v>20</v>
      </c>
      <c r="EB143" t="s">
        <v>4065</v>
      </c>
      <c r="EC143">
        <v>0.8</v>
      </c>
      <c r="ED143">
        <v>2134</v>
      </c>
      <c r="EE143">
        <v>75</v>
      </c>
      <c r="EG143">
        <v>0</v>
      </c>
      <c r="EH143" t="s">
        <v>4065</v>
      </c>
      <c r="EI143">
        <v>0</v>
      </c>
      <c r="EL143" t="s">
        <v>1528</v>
      </c>
      <c r="EM143">
        <v>12</v>
      </c>
      <c r="EN143">
        <v>0.5</v>
      </c>
      <c r="EO143">
        <v>0.96</v>
      </c>
      <c r="EP143">
        <v>2145.84</v>
      </c>
      <c r="EQ143">
        <v>32187.6</v>
      </c>
      <c r="ER143">
        <v>8069.52</v>
      </c>
      <c r="ES143">
        <v>0</v>
      </c>
      <c r="ET143">
        <v>0</v>
      </c>
      <c r="EU143">
        <v>1</v>
      </c>
      <c r="EV143">
        <v>40258</v>
      </c>
      <c r="EW143">
        <v>484</v>
      </c>
      <c r="EX143" t="s">
        <v>4363</v>
      </c>
      <c r="EY143">
        <v>202</v>
      </c>
      <c r="EZ143" t="s">
        <v>4055</v>
      </c>
      <c r="FA143">
        <v>5.3</v>
      </c>
      <c r="FB143">
        <v>1</v>
      </c>
      <c r="FC143">
        <v>1</v>
      </c>
      <c r="FD143">
        <v>2174</v>
      </c>
      <c r="FE143">
        <v>2604</v>
      </c>
      <c r="FF143" t="s">
        <v>4089</v>
      </c>
      <c r="FG143">
        <v>202</v>
      </c>
      <c r="FH143" t="s">
        <v>4055</v>
      </c>
      <c r="FI143">
        <v>1.1</v>
      </c>
      <c r="FJ143">
        <v>2174</v>
      </c>
      <c r="FK143">
        <v>476</v>
      </c>
      <c r="FL143" t="s">
        <v>4069</v>
      </c>
      <c r="FM143" t="s">
        <v>4055</v>
      </c>
      <c r="FN143" t="s">
        <v>4055</v>
      </c>
      <c r="FO143" t="s">
        <v>4055</v>
      </c>
      <c r="FP143">
        <v>2174</v>
      </c>
      <c r="FQ143">
        <v>139</v>
      </c>
      <c r="FR143" t="s">
        <v>4090</v>
      </c>
      <c r="FS143">
        <v>206</v>
      </c>
      <c r="FT143" t="s">
        <v>4055</v>
      </c>
      <c r="FU143">
        <v>0.4</v>
      </c>
      <c r="FV143">
        <v>2174</v>
      </c>
      <c r="FW143">
        <v>199</v>
      </c>
      <c r="FX143" t="s">
        <v>4070</v>
      </c>
      <c r="FY143">
        <v>5</v>
      </c>
      <c r="FZ143" t="s">
        <v>4055</v>
      </c>
      <c r="GA143" t="s">
        <v>4055</v>
      </c>
      <c r="GB143">
        <v>2174</v>
      </c>
      <c r="GC143">
        <v>17</v>
      </c>
      <c r="GD143">
        <v>3435</v>
      </c>
      <c r="GE143" t="s">
        <v>4602</v>
      </c>
      <c r="GF143" t="s">
        <v>4055</v>
      </c>
      <c r="GG143" t="s">
        <v>4055</v>
      </c>
      <c r="GH143" t="s">
        <v>4055</v>
      </c>
      <c r="GI143" t="s">
        <v>4071</v>
      </c>
      <c r="GJ143" t="s">
        <v>4055</v>
      </c>
      <c r="GK143" t="s">
        <v>4055</v>
      </c>
      <c r="GL143" t="s">
        <v>4055</v>
      </c>
      <c r="GM143" t="s">
        <v>4055</v>
      </c>
      <c r="GQ143">
        <v>0</v>
      </c>
      <c r="GV143">
        <v>6.8</v>
      </c>
      <c r="GW143">
        <v>8.199999999999999</v>
      </c>
      <c r="GX143">
        <v>0.5</v>
      </c>
      <c r="GY143">
        <v>166</v>
      </c>
      <c r="GZ143">
        <v>3</v>
      </c>
      <c r="HA143">
        <v>222</v>
      </c>
      <c r="HB143">
        <v>3</v>
      </c>
      <c r="HC143">
        <v>2174</v>
      </c>
      <c r="HD143">
        <v>4</v>
      </c>
      <c r="HE143" t="s">
        <v>4071</v>
      </c>
      <c r="HG143" t="s">
        <v>549</v>
      </c>
      <c r="HL143">
        <v>4</v>
      </c>
      <c r="HM143">
        <v>17</v>
      </c>
      <c r="HN143">
        <v>6</v>
      </c>
      <c r="HO143">
        <v>1</v>
      </c>
      <c r="HP143">
        <v>0</v>
      </c>
      <c r="HQ143">
        <v>0</v>
      </c>
      <c r="HR143">
        <v>3</v>
      </c>
      <c r="HS143">
        <v>2130</v>
      </c>
      <c r="HT143">
        <v>5</v>
      </c>
      <c r="HU143">
        <v>1</v>
      </c>
      <c r="HV143">
        <v>3</v>
      </c>
      <c r="HW143">
        <v>0</v>
      </c>
      <c r="HX143">
        <v>1</v>
      </c>
      <c r="HY143">
        <v>0</v>
      </c>
      <c r="HZ143">
        <v>65</v>
      </c>
      <c r="IA143">
        <v>2134</v>
      </c>
      <c r="IB143">
        <v>2147</v>
      </c>
      <c r="ID143">
        <v>2174</v>
      </c>
      <c r="IE143">
        <v>2174</v>
      </c>
      <c r="IF143">
        <v>175</v>
      </c>
      <c r="IG143">
        <v>165</v>
      </c>
      <c r="IH143">
        <v>222</v>
      </c>
      <c r="II143">
        <v>1</v>
      </c>
      <c r="IJ143">
        <v>5</v>
      </c>
      <c r="IK143">
        <v>0</v>
      </c>
      <c r="IL143">
        <v>0</v>
      </c>
      <c r="IM143">
        <v>0</v>
      </c>
      <c r="IN143">
        <v>270</v>
      </c>
      <c r="IO143">
        <v>0</v>
      </c>
      <c r="IP143">
        <v>180</v>
      </c>
      <c r="IQ143">
        <v>0</v>
      </c>
      <c r="IR143">
        <v>330</v>
      </c>
      <c r="IS143">
        <v>0</v>
      </c>
      <c r="IT143">
        <v>90</v>
      </c>
      <c r="IU143">
        <v>0</v>
      </c>
      <c r="IV143">
        <v>6.4</v>
      </c>
      <c r="IW143">
        <v>-6</v>
      </c>
      <c r="IX143">
        <v>90</v>
      </c>
      <c r="IY143">
        <v>66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418</v>
      </c>
      <c r="JJ143">
        <v>388</v>
      </c>
      <c r="JK143">
        <v>290</v>
      </c>
      <c r="JL143">
        <v>388</v>
      </c>
      <c r="JM143">
        <v>290</v>
      </c>
      <c r="JN143">
        <v>175</v>
      </c>
      <c r="JO143">
        <v>230</v>
      </c>
      <c r="JP143">
        <v>180</v>
      </c>
      <c r="JQ143">
        <v>230</v>
      </c>
      <c r="JR143">
        <v>350</v>
      </c>
      <c r="JS143">
        <v>215</v>
      </c>
      <c r="JT143">
        <v>0</v>
      </c>
      <c r="JU143">
        <v>0</v>
      </c>
      <c r="JV143">
        <v>335</v>
      </c>
      <c r="JW143">
        <v>337</v>
      </c>
      <c r="JX143">
        <v>330</v>
      </c>
      <c r="JY143">
        <v>300</v>
      </c>
      <c r="JZ143">
        <v>0.5</v>
      </c>
      <c r="KA143">
        <v>0.2</v>
      </c>
      <c r="KB143">
        <v>0.4</v>
      </c>
      <c r="KC143">
        <v>0.42</v>
      </c>
      <c r="KD143">
        <v>0.3</v>
      </c>
      <c r="KE143">
        <v>0.5</v>
      </c>
      <c r="KF143">
        <v>0.2</v>
      </c>
      <c r="KG143">
        <v>0.11</v>
      </c>
      <c r="KH143">
        <v>3.5</v>
      </c>
      <c r="KI143">
        <v>1</v>
      </c>
      <c r="KJ143">
        <v>4.5</v>
      </c>
      <c r="KK143">
        <v>0.5</v>
      </c>
      <c r="KL143">
        <v>4.5</v>
      </c>
      <c r="KM143">
        <v>0.5</v>
      </c>
      <c r="KN143">
        <v>1.7</v>
      </c>
      <c r="KO143">
        <v>0</v>
      </c>
      <c r="KP143">
        <v>0</v>
      </c>
      <c r="KQ143">
        <v>0.8</v>
      </c>
      <c r="KR143">
        <v>0.8</v>
      </c>
      <c r="KS143">
        <v>0.2</v>
      </c>
      <c r="KT143">
        <v>2.8</v>
      </c>
      <c r="KU143">
        <v>0</v>
      </c>
      <c r="KV143">
        <v>0</v>
      </c>
      <c r="KW143">
        <v>1.2</v>
      </c>
      <c r="KX143">
        <v>2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3</v>
      </c>
      <c r="LI143">
        <v>1</v>
      </c>
      <c r="LJ143">
        <v>0</v>
      </c>
      <c r="LK143">
        <v>6</v>
      </c>
      <c r="LL143">
        <v>8</v>
      </c>
      <c r="LM143">
        <v>10</v>
      </c>
      <c r="LN143">
        <v>0.5</v>
      </c>
      <c r="LO143">
        <v>3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1.9</v>
      </c>
      <c r="LX143">
        <v>1.9</v>
      </c>
      <c r="LY143">
        <v>2.3</v>
      </c>
      <c r="LZ143">
        <v>2.3</v>
      </c>
      <c r="MA143">
        <v>0</v>
      </c>
      <c r="MB143">
        <v>5</v>
      </c>
      <c r="MC143">
        <v>0</v>
      </c>
      <c r="MD143">
        <v>4.5</v>
      </c>
      <c r="ME143">
        <v>6</v>
      </c>
      <c r="MF143">
        <v>6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452</v>
      </c>
      <c r="MN143">
        <v>170</v>
      </c>
      <c r="MO143">
        <v>228</v>
      </c>
      <c r="NU143">
        <v>0.2</v>
      </c>
      <c r="NV143">
        <v>0.4</v>
      </c>
      <c r="NW143">
        <v>0.4</v>
      </c>
      <c r="NX143">
        <v>2</v>
      </c>
      <c r="NY143">
        <v>2</v>
      </c>
      <c r="NZ143">
        <v>2</v>
      </c>
      <c r="OE143" t="s">
        <v>4602</v>
      </c>
      <c r="OF143" t="s">
        <v>4600</v>
      </c>
      <c r="OG143" t="s">
        <v>4601</v>
      </c>
      <c r="OH143" t="s">
        <v>4043</v>
      </c>
      <c r="OI143" t="s">
        <v>4602</v>
      </c>
      <c r="OJ143" t="s">
        <v>4599</v>
      </c>
      <c r="OK143">
        <v>61</v>
      </c>
      <c r="OL143">
        <v>61</v>
      </c>
      <c r="OM143" t="s">
        <v>4600</v>
      </c>
      <c r="ON143">
        <v>1</v>
      </c>
      <c r="OO143">
        <v>2134</v>
      </c>
      <c r="OP143">
        <v>61</v>
      </c>
      <c r="OQ143">
        <v>61</v>
      </c>
      <c r="OR143" t="s">
        <v>4601</v>
      </c>
      <c r="OS143">
        <v>1</v>
      </c>
      <c r="OT143">
        <v>2147</v>
      </c>
      <c r="OU143">
        <v>65</v>
      </c>
      <c r="OV143">
        <v>65</v>
      </c>
      <c r="OW143" t="s">
        <v>4043</v>
      </c>
      <c r="OX143">
        <v>2</v>
      </c>
      <c r="OY143">
        <v>40258</v>
      </c>
      <c r="OZ143">
        <v>51</v>
      </c>
      <c r="PA143">
        <v>51</v>
      </c>
      <c r="PB143" t="s">
        <v>4602</v>
      </c>
      <c r="PC143">
        <v>1</v>
      </c>
      <c r="PD143">
        <v>2174</v>
      </c>
      <c r="PF143">
        <v>422</v>
      </c>
      <c r="PG143">
        <v>35</v>
      </c>
      <c r="PH143">
        <v>398</v>
      </c>
      <c r="PI143">
        <v>0</v>
      </c>
      <c r="PJ143">
        <v>63.8</v>
      </c>
      <c r="PK143">
        <v>1562</v>
      </c>
      <c r="PL143">
        <v>1197.6</v>
      </c>
      <c r="PM143">
        <v>218.8</v>
      </c>
      <c r="PN143">
        <v>91.59999999999999</v>
      </c>
      <c r="PO143">
        <v>7.9</v>
      </c>
      <c r="PP143">
        <v>12</v>
      </c>
      <c r="PQ143">
        <v>5</v>
      </c>
      <c r="PR143">
        <v>5</v>
      </c>
      <c r="PS143">
        <v>0</v>
      </c>
      <c r="PT143">
        <v>222</v>
      </c>
      <c r="PU143">
        <v>10</v>
      </c>
      <c r="PV143" t="s">
        <v>4072</v>
      </c>
      <c r="PW143" t="s">
        <v>4072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-1</v>
      </c>
      <c r="QF143">
        <v>1</v>
      </c>
      <c r="QG143">
        <v>0</v>
      </c>
      <c r="QH143">
        <v>5</v>
      </c>
      <c r="QI143">
        <v>5</v>
      </c>
      <c r="QJ143">
        <v>5</v>
      </c>
      <c r="QK143">
        <v>204</v>
      </c>
      <c r="QL143">
        <v>452</v>
      </c>
      <c r="QM143">
        <v>7.5</v>
      </c>
      <c r="QN143">
        <v>1384.6</v>
      </c>
      <c r="QO143" t="s">
        <v>1888</v>
      </c>
      <c r="QP143" t="s">
        <v>513</v>
      </c>
      <c r="QQ143">
        <v>0</v>
      </c>
      <c r="QR143" t="s">
        <v>621</v>
      </c>
      <c r="QS143">
        <v>30</v>
      </c>
      <c r="QT143">
        <v>40</v>
      </c>
    </row>
    <row r="144" spans="1:462">
      <c r="A144" t="s">
        <v>2207</v>
      </c>
      <c r="B144" t="s">
        <v>804</v>
      </c>
      <c r="C144" t="s">
        <v>509</v>
      </c>
      <c r="D144" t="s">
        <v>2206</v>
      </c>
      <c r="E144" t="s">
        <v>4036</v>
      </c>
      <c r="H144" t="s">
        <v>1135</v>
      </c>
      <c r="J144" t="s">
        <v>562</v>
      </c>
      <c r="K144" t="s">
        <v>563</v>
      </c>
      <c r="L144" t="s">
        <v>508</v>
      </c>
      <c r="M144" t="s">
        <v>512</v>
      </c>
      <c r="N144" t="s">
        <v>515</v>
      </c>
      <c r="O144" t="s">
        <v>513</v>
      </c>
      <c r="P144" t="s">
        <v>567</v>
      </c>
      <c r="Q144" t="s">
        <v>835</v>
      </c>
      <c r="R144" t="s">
        <v>685</v>
      </c>
      <c r="S144" t="s">
        <v>4037</v>
      </c>
      <c r="T144" t="s">
        <v>662</v>
      </c>
      <c r="U144" t="s">
        <v>663</v>
      </c>
      <c r="V144" t="s">
        <v>2208</v>
      </c>
      <c r="W144" t="s">
        <v>1880</v>
      </c>
      <c r="X144" t="s">
        <v>2209</v>
      </c>
      <c r="Y144" t="s">
        <v>2210</v>
      </c>
      <c r="Z144" t="s">
        <v>541</v>
      </c>
      <c r="AA144" t="s">
        <v>4038</v>
      </c>
      <c r="AB144" t="s">
        <v>4603</v>
      </c>
      <c r="AC144">
        <v>9</v>
      </c>
      <c r="AD144" t="s">
        <v>2205</v>
      </c>
      <c r="AE144">
        <v>2</v>
      </c>
      <c r="AF144">
        <v>5497</v>
      </c>
      <c r="AG144" t="s">
        <v>4508</v>
      </c>
      <c r="AH144">
        <v>1</v>
      </c>
      <c r="AI144" t="s">
        <v>4041</v>
      </c>
      <c r="AK144" t="s">
        <v>4509</v>
      </c>
      <c r="AL144">
        <v>1</v>
      </c>
      <c r="AM144" t="s">
        <v>582</v>
      </c>
      <c r="AO144" t="s">
        <v>4043</v>
      </c>
      <c r="AP144">
        <v>1</v>
      </c>
      <c r="AR144" t="s">
        <v>4604</v>
      </c>
      <c r="AS144">
        <v>1</v>
      </c>
      <c r="AT144">
        <v>51</v>
      </c>
      <c r="AV144" t="s">
        <v>4078</v>
      </c>
      <c r="AW144">
        <v>6.4</v>
      </c>
      <c r="AX144">
        <v>-6</v>
      </c>
      <c r="AY144">
        <v>100</v>
      </c>
      <c r="AZ144">
        <v>70</v>
      </c>
      <c r="BB144" t="s">
        <v>4055</v>
      </c>
      <c r="BC144" t="s">
        <v>4055</v>
      </c>
      <c r="BH144">
        <v>100</v>
      </c>
      <c r="BI144">
        <v>30</v>
      </c>
      <c r="BJ144">
        <v>70</v>
      </c>
      <c r="BK144">
        <v>2.5</v>
      </c>
      <c r="BL144">
        <v>200</v>
      </c>
      <c r="BM144">
        <v>-6</v>
      </c>
      <c r="BN144">
        <v>0</v>
      </c>
      <c r="BP144">
        <v>0</v>
      </c>
      <c r="BR144">
        <v>195</v>
      </c>
      <c r="BS144">
        <v>185</v>
      </c>
      <c r="BT144">
        <v>2105</v>
      </c>
      <c r="BU144" t="s">
        <v>4127</v>
      </c>
      <c r="BV144" t="s">
        <v>4127</v>
      </c>
      <c r="BW144" t="s">
        <v>4128</v>
      </c>
      <c r="BX144" t="s">
        <v>4128</v>
      </c>
      <c r="BY144" t="s">
        <v>4117</v>
      </c>
      <c r="BZ144" t="s">
        <v>4116</v>
      </c>
      <c r="CA144" t="s">
        <v>4118</v>
      </c>
      <c r="CB144" t="s">
        <v>4119</v>
      </c>
      <c r="CC144" t="s">
        <v>4053</v>
      </c>
      <c r="CD144" t="s">
        <v>4121</v>
      </c>
      <c r="CE144" t="s">
        <v>4055</v>
      </c>
      <c r="CF144" t="s">
        <v>4055</v>
      </c>
      <c r="CG144" t="s">
        <v>4056</v>
      </c>
      <c r="CI144" t="s">
        <v>4058</v>
      </c>
      <c r="CJ144" t="s">
        <v>4059</v>
      </c>
      <c r="CK144" t="s">
        <v>4060</v>
      </c>
      <c r="CL144" t="s">
        <v>4061</v>
      </c>
      <c r="CM144" t="s">
        <v>4055</v>
      </c>
      <c r="CN144" t="s">
        <v>4062</v>
      </c>
      <c r="CO144" t="s">
        <v>4063</v>
      </c>
      <c r="CP144" t="s">
        <v>4055</v>
      </c>
      <c r="CQ144" t="s">
        <v>4055</v>
      </c>
      <c r="CR144">
        <v>5</v>
      </c>
      <c r="CS144" t="s">
        <v>4055</v>
      </c>
      <c r="CT144" t="s">
        <v>4055</v>
      </c>
      <c r="CU144" t="s">
        <v>4055</v>
      </c>
      <c r="CV144">
        <v>125</v>
      </c>
      <c r="CW144">
        <v>3</v>
      </c>
      <c r="CX144">
        <v>82</v>
      </c>
      <c r="CY144">
        <v>5</v>
      </c>
      <c r="CZ144">
        <v>151</v>
      </c>
      <c r="DA144">
        <v>5</v>
      </c>
      <c r="DB144">
        <v>11400</v>
      </c>
      <c r="DC144">
        <v>340</v>
      </c>
      <c r="DD144">
        <v>337</v>
      </c>
      <c r="DE144">
        <v>2222</v>
      </c>
      <c r="DF144">
        <v>2222</v>
      </c>
      <c r="DG144">
        <v>2232</v>
      </c>
      <c r="DH144" t="s">
        <v>4055</v>
      </c>
      <c r="DI144" t="s">
        <v>4055</v>
      </c>
      <c r="DJ144" t="s">
        <v>4132</v>
      </c>
      <c r="DK144">
        <v>195</v>
      </c>
      <c r="DL144" t="s">
        <v>4065</v>
      </c>
      <c r="DM144">
        <v>65</v>
      </c>
      <c r="DN144">
        <v>1.1</v>
      </c>
      <c r="DO144">
        <v>1</v>
      </c>
      <c r="DP144">
        <v>2108</v>
      </c>
      <c r="DQ144">
        <v>890</v>
      </c>
      <c r="DR144" t="s">
        <v>4132</v>
      </c>
      <c r="DS144">
        <v>185</v>
      </c>
      <c r="DT144" t="s">
        <v>4065</v>
      </c>
      <c r="DU144">
        <v>65</v>
      </c>
      <c r="DV144">
        <v>1.1</v>
      </c>
      <c r="DW144">
        <v>1</v>
      </c>
      <c r="DX144">
        <v>2120</v>
      </c>
      <c r="DY144">
        <v>848</v>
      </c>
      <c r="DZ144" t="s">
        <v>4066</v>
      </c>
      <c r="EA144">
        <v>20</v>
      </c>
      <c r="EB144" t="s">
        <v>4065</v>
      </c>
      <c r="EC144">
        <v>0.8</v>
      </c>
      <c r="ED144">
        <v>2108</v>
      </c>
      <c r="EE144">
        <v>74</v>
      </c>
      <c r="EG144">
        <v>0</v>
      </c>
      <c r="EH144" t="s">
        <v>4065</v>
      </c>
      <c r="EI144">
        <v>0</v>
      </c>
      <c r="EL144" t="s">
        <v>1528</v>
      </c>
      <c r="EM144">
        <v>12</v>
      </c>
      <c r="EN144">
        <v>0.5</v>
      </c>
      <c r="EO144">
        <v>0.96</v>
      </c>
      <c r="EP144">
        <v>2118.83</v>
      </c>
      <c r="EQ144">
        <v>35093.12</v>
      </c>
      <c r="ER144">
        <v>9960.290000000001</v>
      </c>
      <c r="ES144">
        <v>0</v>
      </c>
      <c r="ET144">
        <v>0</v>
      </c>
      <c r="EU144">
        <v>1</v>
      </c>
      <c r="EV144">
        <v>45054</v>
      </c>
      <c r="EW144">
        <v>541</v>
      </c>
      <c r="EX144" t="s">
        <v>4363</v>
      </c>
      <c r="EY144">
        <v>216</v>
      </c>
      <c r="EZ144" t="s">
        <v>4055</v>
      </c>
      <c r="FA144">
        <v>5</v>
      </c>
      <c r="FB144">
        <v>1</v>
      </c>
      <c r="FC144">
        <v>1</v>
      </c>
      <c r="FD144">
        <v>2147</v>
      </c>
      <c r="FE144">
        <v>2411</v>
      </c>
      <c r="FF144" t="s">
        <v>4089</v>
      </c>
      <c r="FG144">
        <v>216</v>
      </c>
      <c r="FH144" t="s">
        <v>4055</v>
      </c>
      <c r="FI144">
        <v>1.6</v>
      </c>
      <c r="FJ144">
        <v>2147</v>
      </c>
      <c r="FK144">
        <v>736</v>
      </c>
      <c r="FL144" t="s">
        <v>4069</v>
      </c>
      <c r="FM144" t="s">
        <v>4055</v>
      </c>
      <c r="FN144" t="s">
        <v>4055</v>
      </c>
      <c r="FO144" t="s">
        <v>4055</v>
      </c>
      <c r="FP144">
        <v>2147</v>
      </c>
      <c r="FQ144">
        <v>172</v>
      </c>
      <c r="FR144" t="s">
        <v>4090</v>
      </c>
      <c r="FS144">
        <v>220</v>
      </c>
      <c r="FT144" t="s">
        <v>4055</v>
      </c>
      <c r="FU144">
        <v>0.4</v>
      </c>
      <c r="FV144">
        <v>2147</v>
      </c>
      <c r="FW144">
        <v>210</v>
      </c>
      <c r="FX144" t="s">
        <v>4070</v>
      </c>
      <c r="FY144">
        <v>5</v>
      </c>
      <c r="FZ144" t="s">
        <v>4055</v>
      </c>
      <c r="GA144" t="s">
        <v>4055</v>
      </c>
      <c r="GB144">
        <v>2147</v>
      </c>
      <c r="GC144">
        <v>17</v>
      </c>
      <c r="GD144">
        <v>3546</v>
      </c>
      <c r="GE144" t="s">
        <v>4604</v>
      </c>
      <c r="GF144" t="s">
        <v>4055</v>
      </c>
      <c r="GG144" t="s">
        <v>4055</v>
      </c>
      <c r="GH144" t="s">
        <v>4055</v>
      </c>
      <c r="GI144" t="s">
        <v>4071</v>
      </c>
      <c r="GJ144" t="s">
        <v>4055</v>
      </c>
      <c r="GK144" t="s">
        <v>4055</v>
      </c>
      <c r="GL144" t="s">
        <v>4055</v>
      </c>
      <c r="GM144" t="s">
        <v>4055</v>
      </c>
      <c r="GQ144">
        <v>0</v>
      </c>
      <c r="GV144">
        <v>7</v>
      </c>
      <c r="GW144">
        <v>8.5</v>
      </c>
      <c r="GX144">
        <v>0.5</v>
      </c>
      <c r="GY144">
        <v>180</v>
      </c>
      <c r="GZ144">
        <v>3</v>
      </c>
      <c r="HA144">
        <v>238</v>
      </c>
      <c r="HB144">
        <v>3</v>
      </c>
      <c r="HC144">
        <v>2147</v>
      </c>
      <c r="HD144">
        <v>4</v>
      </c>
      <c r="HE144" t="s">
        <v>4071</v>
      </c>
      <c r="HG144" t="s">
        <v>549</v>
      </c>
      <c r="HL144">
        <v>4</v>
      </c>
      <c r="HM144">
        <v>18</v>
      </c>
      <c r="HN144">
        <v>6</v>
      </c>
      <c r="HO144">
        <v>1</v>
      </c>
      <c r="HP144">
        <v>0</v>
      </c>
      <c r="HQ144">
        <v>0</v>
      </c>
      <c r="HR144">
        <v>3</v>
      </c>
      <c r="HS144">
        <v>2105</v>
      </c>
      <c r="HT144">
        <v>5</v>
      </c>
      <c r="HU144">
        <v>1</v>
      </c>
      <c r="HV144">
        <v>3</v>
      </c>
      <c r="HW144">
        <v>0</v>
      </c>
      <c r="HX144">
        <v>1</v>
      </c>
      <c r="HY144">
        <v>0</v>
      </c>
      <c r="HZ144">
        <v>65</v>
      </c>
      <c r="IA144">
        <v>2108</v>
      </c>
      <c r="IB144">
        <v>2120</v>
      </c>
      <c r="ID144">
        <v>2147</v>
      </c>
      <c r="IE144">
        <v>2147</v>
      </c>
      <c r="IF144">
        <v>195</v>
      </c>
      <c r="IG144">
        <v>185</v>
      </c>
      <c r="IH144">
        <v>238</v>
      </c>
      <c r="II144">
        <v>1</v>
      </c>
      <c r="IJ144">
        <v>5</v>
      </c>
      <c r="IK144">
        <v>0</v>
      </c>
      <c r="IL144">
        <v>0</v>
      </c>
      <c r="IM144">
        <v>0</v>
      </c>
      <c r="IN144">
        <v>270</v>
      </c>
      <c r="IO144">
        <v>0</v>
      </c>
      <c r="IP144">
        <v>180</v>
      </c>
      <c r="IQ144">
        <v>0</v>
      </c>
      <c r="IR144">
        <v>330</v>
      </c>
      <c r="IS144">
        <v>0</v>
      </c>
      <c r="IT144">
        <v>90</v>
      </c>
      <c r="IU144">
        <v>0</v>
      </c>
      <c r="IV144">
        <v>6.4</v>
      </c>
      <c r="IW144">
        <v>-6</v>
      </c>
      <c r="IX144">
        <v>100</v>
      </c>
      <c r="IY144">
        <v>70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398</v>
      </c>
      <c r="JJ144">
        <v>368</v>
      </c>
      <c r="JK144">
        <v>272</v>
      </c>
      <c r="JL144">
        <v>366</v>
      </c>
      <c r="JM144">
        <v>289</v>
      </c>
      <c r="JN144">
        <v>200</v>
      </c>
      <c r="JO144">
        <v>248</v>
      </c>
      <c r="JP144">
        <v>218</v>
      </c>
      <c r="JQ144">
        <v>250</v>
      </c>
      <c r="JR144">
        <v>315</v>
      </c>
      <c r="JS144">
        <v>235</v>
      </c>
      <c r="JT144">
        <v>0</v>
      </c>
      <c r="JU144">
        <v>0</v>
      </c>
      <c r="JV144">
        <v>310</v>
      </c>
      <c r="JW144">
        <v>315</v>
      </c>
      <c r="JX144">
        <v>310</v>
      </c>
      <c r="JY144">
        <v>305</v>
      </c>
      <c r="JZ144">
        <v>1</v>
      </c>
      <c r="KA144">
        <v>0.25</v>
      </c>
      <c r="KB144">
        <v>0.4</v>
      </c>
      <c r="KC144">
        <v>0.42</v>
      </c>
      <c r="KD144">
        <v>0.28</v>
      </c>
      <c r="KE144">
        <v>0.5</v>
      </c>
      <c r="KF144">
        <v>0.18</v>
      </c>
      <c r="KG144">
        <v>0.1</v>
      </c>
      <c r="KH144">
        <v>3.5</v>
      </c>
      <c r="KI144">
        <v>1</v>
      </c>
      <c r="KJ144">
        <v>4.5</v>
      </c>
      <c r="KK144">
        <v>0.5</v>
      </c>
      <c r="KL144">
        <v>4.5</v>
      </c>
      <c r="KM144">
        <v>1</v>
      </c>
      <c r="KN144">
        <v>1.3</v>
      </c>
      <c r="KO144">
        <v>0</v>
      </c>
      <c r="KP144">
        <v>0</v>
      </c>
      <c r="KQ144">
        <v>1</v>
      </c>
      <c r="KR144">
        <v>0.8</v>
      </c>
      <c r="KS144">
        <v>0</v>
      </c>
      <c r="KT144">
        <v>2.8</v>
      </c>
      <c r="KU144">
        <v>0</v>
      </c>
      <c r="KV144">
        <v>0</v>
      </c>
      <c r="KW144">
        <v>0.8</v>
      </c>
      <c r="KX144">
        <v>2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2</v>
      </c>
      <c r="LI144">
        <v>1</v>
      </c>
      <c r="LJ144">
        <v>0</v>
      </c>
      <c r="LK144">
        <v>5</v>
      </c>
      <c r="LL144">
        <v>7.5</v>
      </c>
      <c r="LM144">
        <v>9</v>
      </c>
      <c r="LN144">
        <v>0.5</v>
      </c>
      <c r="LO144">
        <v>1</v>
      </c>
      <c r="LP144">
        <v>0</v>
      </c>
      <c r="LQ144">
        <v>0</v>
      </c>
      <c r="LR144">
        <v>0</v>
      </c>
      <c r="LS144">
        <v>1</v>
      </c>
      <c r="LT144">
        <v>0</v>
      </c>
      <c r="LU144">
        <v>0</v>
      </c>
      <c r="LV144">
        <v>0</v>
      </c>
      <c r="LW144">
        <v>1.7</v>
      </c>
      <c r="LX144">
        <v>1.7</v>
      </c>
      <c r="LY144">
        <v>2.1</v>
      </c>
      <c r="LZ144">
        <v>2.1</v>
      </c>
      <c r="MA144">
        <v>0</v>
      </c>
      <c r="MB144">
        <v>6</v>
      </c>
      <c r="MC144">
        <v>0</v>
      </c>
      <c r="MD144">
        <v>4.5</v>
      </c>
      <c r="ME144">
        <v>6</v>
      </c>
      <c r="MF144">
        <v>6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420</v>
      </c>
      <c r="MN144">
        <v>195</v>
      </c>
      <c r="MO144">
        <v>248</v>
      </c>
      <c r="NU144">
        <v>0.15</v>
      </c>
      <c r="NV144">
        <v>0.2</v>
      </c>
      <c r="NW144">
        <v>0.2</v>
      </c>
      <c r="NX144">
        <v>0.2</v>
      </c>
      <c r="NY144">
        <v>0.2</v>
      </c>
      <c r="NZ144">
        <v>0.2</v>
      </c>
      <c r="OE144" t="s">
        <v>4604</v>
      </c>
      <c r="OF144" t="s">
        <v>4508</v>
      </c>
      <c r="OG144" t="s">
        <v>4509</v>
      </c>
      <c r="OH144" t="s">
        <v>4043</v>
      </c>
      <c r="OI144" t="s">
        <v>4604</v>
      </c>
      <c r="OJ144" t="s">
        <v>4603</v>
      </c>
      <c r="OK144">
        <v>61</v>
      </c>
      <c r="OL144">
        <v>61</v>
      </c>
      <c r="OM144" t="s">
        <v>4508</v>
      </c>
      <c r="ON144">
        <v>1</v>
      </c>
      <c r="OO144">
        <v>2108</v>
      </c>
      <c r="OP144">
        <v>61</v>
      </c>
      <c r="OQ144">
        <v>61</v>
      </c>
      <c r="OR144" t="s">
        <v>4509</v>
      </c>
      <c r="OS144">
        <v>1</v>
      </c>
      <c r="OT144">
        <v>2120</v>
      </c>
      <c r="OU144">
        <v>65</v>
      </c>
      <c r="OV144">
        <v>65</v>
      </c>
      <c r="OW144" t="s">
        <v>4043</v>
      </c>
      <c r="OX144">
        <v>2</v>
      </c>
      <c r="OY144">
        <v>45054</v>
      </c>
      <c r="OZ144">
        <v>51</v>
      </c>
      <c r="PA144">
        <v>51</v>
      </c>
      <c r="PB144" t="s">
        <v>4604</v>
      </c>
      <c r="PC144">
        <v>1</v>
      </c>
      <c r="PD144">
        <v>2147</v>
      </c>
      <c r="PF144">
        <v>422</v>
      </c>
      <c r="PG144">
        <v>35</v>
      </c>
      <c r="PH144">
        <v>400</v>
      </c>
      <c r="PI144">
        <v>0</v>
      </c>
      <c r="PJ144">
        <v>80.3</v>
      </c>
      <c r="PK144">
        <v>1630</v>
      </c>
      <c r="PL144">
        <v>1122.9</v>
      </c>
      <c r="PM144">
        <v>342.6</v>
      </c>
      <c r="PN144">
        <v>97.8</v>
      </c>
      <c r="PO144">
        <v>8.1</v>
      </c>
      <c r="PP144">
        <v>12</v>
      </c>
      <c r="PQ144">
        <v>5</v>
      </c>
      <c r="PR144">
        <v>5</v>
      </c>
      <c r="PS144">
        <v>0</v>
      </c>
      <c r="PT144">
        <v>238</v>
      </c>
      <c r="PU144">
        <v>11</v>
      </c>
      <c r="PV144" t="s">
        <v>4072</v>
      </c>
      <c r="PW144" t="s">
        <v>4072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-1</v>
      </c>
      <c r="QF144">
        <v>1</v>
      </c>
      <c r="QG144">
        <v>0</v>
      </c>
      <c r="QH144">
        <v>5</v>
      </c>
      <c r="QI144">
        <v>5</v>
      </c>
      <c r="QJ144">
        <v>5</v>
      </c>
      <c r="QK144">
        <v>194</v>
      </c>
      <c r="QL144">
        <v>432</v>
      </c>
      <c r="QM144">
        <v>7.5</v>
      </c>
      <c r="QN144">
        <v>1464.3</v>
      </c>
      <c r="QO144" t="s">
        <v>1888</v>
      </c>
      <c r="QP144" t="s">
        <v>513</v>
      </c>
      <c r="QQ144">
        <v>0</v>
      </c>
      <c r="QR144" t="s">
        <v>621</v>
      </c>
      <c r="QS144">
        <v>30</v>
      </c>
      <c r="QT144">
        <v>40</v>
      </c>
    </row>
    <row r="145" spans="1:462">
      <c r="A145" t="s">
        <v>2218</v>
      </c>
      <c r="B145" t="s">
        <v>508</v>
      </c>
      <c r="C145" t="s">
        <v>509</v>
      </c>
      <c r="D145" t="s">
        <v>4605</v>
      </c>
      <c r="E145" t="s">
        <v>4036</v>
      </c>
      <c r="H145" t="s">
        <v>2216</v>
      </c>
      <c r="I145" t="s">
        <v>511</v>
      </c>
      <c r="J145" t="s">
        <v>562</v>
      </c>
      <c r="K145" t="s">
        <v>2217</v>
      </c>
      <c r="M145" t="s">
        <v>512</v>
      </c>
      <c r="N145" t="s">
        <v>515</v>
      </c>
      <c r="O145" t="s">
        <v>513</v>
      </c>
      <c r="P145" t="s">
        <v>517</v>
      </c>
      <c r="Q145" t="s">
        <v>518</v>
      </c>
      <c r="R145" t="s">
        <v>519</v>
      </c>
      <c r="S145" t="s">
        <v>4037</v>
      </c>
      <c r="T145" t="s">
        <v>520</v>
      </c>
      <c r="U145" t="s">
        <v>521</v>
      </c>
      <c r="V145" t="s">
        <v>2219</v>
      </c>
      <c r="W145" t="s">
        <v>2220</v>
      </c>
      <c r="X145" t="s">
        <v>2221</v>
      </c>
      <c r="Y145" t="s">
        <v>2222</v>
      </c>
      <c r="Z145" t="s">
        <v>541</v>
      </c>
      <c r="AA145" t="s">
        <v>4038</v>
      </c>
      <c r="AB145" t="s">
        <v>4606</v>
      </c>
      <c r="AC145">
        <v>10</v>
      </c>
      <c r="AD145" t="s">
        <v>2214</v>
      </c>
      <c r="AE145">
        <v>1</v>
      </c>
      <c r="AF145">
        <v>4092</v>
      </c>
      <c r="AG145" t="s">
        <v>4607</v>
      </c>
      <c r="AH145">
        <v>1</v>
      </c>
      <c r="AI145" t="s">
        <v>4041</v>
      </c>
      <c r="AK145" t="s">
        <v>4608</v>
      </c>
      <c r="AL145">
        <v>1</v>
      </c>
      <c r="AM145" t="s">
        <v>582</v>
      </c>
      <c r="AO145" t="s">
        <v>4043</v>
      </c>
      <c r="AP145">
        <v>1</v>
      </c>
      <c r="AR145" t="s">
        <v>4609</v>
      </c>
      <c r="AS145">
        <v>1</v>
      </c>
      <c r="AT145">
        <v>51</v>
      </c>
      <c r="AV145" t="s">
        <v>4045</v>
      </c>
      <c r="AW145">
        <v>6.4</v>
      </c>
      <c r="AX145">
        <v>-6</v>
      </c>
      <c r="AY145">
        <v>93</v>
      </c>
      <c r="AZ145">
        <v>80.5</v>
      </c>
      <c r="BA145">
        <v>12.5</v>
      </c>
      <c r="BH145">
        <v>93</v>
      </c>
      <c r="BI145">
        <v>12.5</v>
      </c>
      <c r="BJ145">
        <v>80.5</v>
      </c>
      <c r="BK145">
        <v>3</v>
      </c>
      <c r="BL145">
        <v>186</v>
      </c>
      <c r="BM145">
        <v>-6</v>
      </c>
      <c r="BN145">
        <v>0</v>
      </c>
      <c r="BP145">
        <v>0</v>
      </c>
      <c r="BR145">
        <v>180</v>
      </c>
      <c r="BS145">
        <v>170</v>
      </c>
      <c r="BT145">
        <v>1835</v>
      </c>
      <c r="BU145" t="s">
        <v>4046</v>
      </c>
      <c r="BV145" t="s">
        <v>4047</v>
      </c>
      <c r="BW145" t="s">
        <v>4048</v>
      </c>
      <c r="BX145" t="s">
        <v>4049</v>
      </c>
      <c r="BY145" t="s">
        <v>4144</v>
      </c>
      <c r="BZ145" t="s">
        <v>4144</v>
      </c>
      <c r="CA145" t="s">
        <v>4051</v>
      </c>
      <c r="CB145" t="s">
        <v>4052</v>
      </c>
      <c r="CC145" t="s">
        <v>4053</v>
      </c>
      <c r="CD145" t="s">
        <v>4054</v>
      </c>
      <c r="CE145" t="s">
        <v>4055</v>
      </c>
      <c r="CF145" t="s">
        <v>4055</v>
      </c>
      <c r="CG145" t="s">
        <v>4056</v>
      </c>
      <c r="CH145" t="s">
        <v>4057</v>
      </c>
      <c r="CI145" t="s">
        <v>4216</v>
      </c>
      <c r="CJ145" t="s">
        <v>4610</v>
      </c>
      <c r="CK145" t="s">
        <v>4611</v>
      </c>
      <c r="CL145" t="s">
        <v>4612</v>
      </c>
      <c r="CM145" t="s">
        <v>4055</v>
      </c>
      <c r="CN145" t="s">
        <v>4062</v>
      </c>
      <c r="CO145" t="s">
        <v>4063</v>
      </c>
      <c r="CP145" t="s">
        <v>4055</v>
      </c>
      <c r="CQ145" t="s">
        <v>4055</v>
      </c>
      <c r="CR145">
        <v>5</v>
      </c>
      <c r="CT145" t="s">
        <v>4055</v>
      </c>
      <c r="CU145" t="s">
        <v>4055</v>
      </c>
      <c r="CV145">
        <v>116</v>
      </c>
      <c r="CW145">
        <v>3</v>
      </c>
      <c r="CX145">
        <v>77</v>
      </c>
      <c r="CY145">
        <v>5</v>
      </c>
      <c r="CZ145">
        <v>70</v>
      </c>
      <c r="DA145">
        <v>5</v>
      </c>
      <c r="DB145">
        <v>9860</v>
      </c>
      <c r="DC145">
        <v>390</v>
      </c>
      <c r="DD145">
        <v>298</v>
      </c>
      <c r="DE145">
        <v>1949</v>
      </c>
      <c r="DF145">
        <v>1949</v>
      </c>
      <c r="DG145">
        <v>1964</v>
      </c>
      <c r="DH145">
        <v>2</v>
      </c>
      <c r="DI145" t="s">
        <v>4055</v>
      </c>
      <c r="DJ145" t="s">
        <v>4064</v>
      </c>
      <c r="DK145">
        <v>180</v>
      </c>
      <c r="DL145" t="s">
        <v>4065</v>
      </c>
      <c r="DM145">
        <v>65</v>
      </c>
      <c r="DN145">
        <v>1.2</v>
      </c>
      <c r="DO145">
        <v>1</v>
      </c>
      <c r="DP145">
        <v>1839</v>
      </c>
      <c r="DQ145">
        <v>760</v>
      </c>
      <c r="DR145" t="s">
        <v>4064</v>
      </c>
      <c r="DS145">
        <v>170</v>
      </c>
      <c r="DT145" t="s">
        <v>4065</v>
      </c>
      <c r="DU145">
        <v>65</v>
      </c>
      <c r="DV145">
        <v>1.2</v>
      </c>
      <c r="DW145">
        <v>1</v>
      </c>
      <c r="DX145">
        <v>1851</v>
      </c>
      <c r="DY145">
        <v>722</v>
      </c>
      <c r="DZ145" t="s">
        <v>4066</v>
      </c>
      <c r="EA145">
        <v>20</v>
      </c>
      <c r="EB145" t="s">
        <v>4065</v>
      </c>
      <c r="EC145">
        <v>0.8</v>
      </c>
      <c r="ED145">
        <v>1839</v>
      </c>
      <c r="EE145">
        <v>64</v>
      </c>
      <c r="EG145">
        <v>0</v>
      </c>
      <c r="EH145" t="s">
        <v>4065</v>
      </c>
      <c r="EI145">
        <v>0</v>
      </c>
      <c r="EL145" t="s">
        <v>1528</v>
      </c>
      <c r="EM145">
        <v>12</v>
      </c>
      <c r="EN145">
        <v>0.5</v>
      </c>
      <c r="EO145">
        <v>0.96</v>
      </c>
      <c r="EP145">
        <v>1850.08</v>
      </c>
      <c r="EQ145">
        <v>28618.43</v>
      </c>
      <c r="ER145">
        <v>3625.22</v>
      </c>
      <c r="ES145">
        <v>0</v>
      </c>
      <c r="ET145">
        <v>0</v>
      </c>
      <c r="EU145">
        <v>1</v>
      </c>
      <c r="EV145">
        <v>32244</v>
      </c>
      <c r="EW145">
        <v>387</v>
      </c>
      <c r="EX145" t="s">
        <v>4613</v>
      </c>
      <c r="EY145">
        <v>192</v>
      </c>
      <c r="EZ145" t="s">
        <v>4055</v>
      </c>
      <c r="FA145">
        <v>4</v>
      </c>
      <c r="FB145">
        <v>1</v>
      </c>
      <c r="FC145">
        <v>1</v>
      </c>
      <c r="FD145">
        <v>1883</v>
      </c>
      <c r="FE145">
        <v>1609</v>
      </c>
      <c r="FF145" t="s">
        <v>4288</v>
      </c>
      <c r="FG145">
        <v>202</v>
      </c>
      <c r="FH145" t="s">
        <v>4055</v>
      </c>
      <c r="FI145">
        <v>4</v>
      </c>
      <c r="FJ145">
        <v>1883</v>
      </c>
      <c r="FK145">
        <v>1940</v>
      </c>
      <c r="FL145" t="s">
        <v>4069</v>
      </c>
      <c r="FM145" t="s">
        <v>4055</v>
      </c>
      <c r="FN145" t="s">
        <v>4055</v>
      </c>
      <c r="FO145" t="s">
        <v>4055</v>
      </c>
      <c r="FP145">
        <v>1883</v>
      </c>
      <c r="FQ145">
        <v>105</v>
      </c>
      <c r="FR145" t="s">
        <v>4090</v>
      </c>
      <c r="FS145">
        <v>206</v>
      </c>
      <c r="FT145" t="s">
        <v>4055</v>
      </c>
      <c r="FU145">
        <v>0.4</v>
      </c>
      <c r="FV145">
        <v>1883</v>
      </c>
      <c r="FW145">
        <v>173</v>
      </c>
      <c r="FZ145" t="s">
        <v>4055</v>
      </c>
      <c r="GA145" t="s">
        <v>4055</v>
      </c>
      <c r="GD145">
        <v>3827</v>
      </c>
      <c r="GE145" t="s">
        <v>4609</v>
      </c>
      <c r="GF145" t="s">
        <v>4055</v>
      </c>
      <c r="GG145" t="s">
        <v>4055</v>
      </c>
      <c r="GH145" t="s">
        <v>4055</v>
      </c>
      <c r="GI145" t="s">
        <v>4071</v>
      </c>
      <c r="GJ145" t="s">
        <v>4055</v>
      </c>
      <c r="GK145" t="s">
        <v>4055</v>
      </c>
      <c r="GL145" t="s">
        <v>4055</v>
      </c>
      <c r="GM145" t="s">
        <v>4055</v>
      </c>
      <c r="GQ145">
        <v>0</v>
      </c>
      <c r="GV145">
        <v>8.4</v>
      </c>
      <c r="GW145">
        <v>10.9</v>
      </c>
      <c r="GX145">
        <v>0.5</v>
      </c>
      <c r="GY145">
        <v>170</v>
      </c>
      <c r="GZ145">
        <v>3</v>
      </c>
      <c r="HA145">
        <v>218</v>
      </c>
      <c r="HB145">
        <v>3</v>
      </c>
      <c r="HC145">
        <v>1883</v>
      </c>
      <c r="HD145">
        <v>4</v>
      </c>
      <c r="HE145" t="s">
        <v>4071</v>
      </c>
      <c r="HG145" t="s">
        <v>549</v>
      </c>
      <c r="HL145">
        <v>4</v>
      </c>
      <c r="HM145">
        <v>16</v>
      </c>
      <c r="HN145">
        <v>6</v>
      </c>
      <c r="HO145">
        <v>1</v>
      </c>
      <c r="HP145">
        <v>0</v>
      </c>
      <c r="HQ145">
        <v>0</v>
      </c>
      <c r="HR145">
        <v>2</v>
      </c>
      <c r="HS145">
        <v>1835</v>
      </c>
      <c r="HT145">
        <v>5</v>
      </c>
      <c r="HU145">
        <v>1</v>
      </c>
      <c r="HV145">
        <v>5</v>
      </c>
      <c r="HW145">
        <v>0</v>
      </c>
      <c r="HX145">
        <v>1</v>
      </c>
      <c r="HY145">
        <v>0</v>
      </c>
      <c r="HZ145">
        <v>65</v>
      </c>
      <c r="IA145">
        <v>1839</v>
      </c>
      <c r="IB145">
        <v>1851</v>
      </c>
      <c r="IC145">
        <v>0</v>
      </c>
      <c r="ID145">
        <v>1883</v>
      </c>
      <c r="IE145">
        <v>1883</v>
      </c>
      <c r="IF145">
        <v>180</v>
      </c>
      <c r="IG145">
        <v>170</v>
      </c>
      <c r="IH145">
        <v>218</v>
      </c>
      <c r="II145">
        <v>1</v>
      </c>
      <c r="IJ145">
        <v>5</v>
      </c>
      <c r="IK145">
        <v>0</v>
      </c>
      <c r="IL145">
        <v>0</v>
      </c>
      <c r="IM145">
        <v>0</v>
      </c>
      <c r="IN145">
        <v>270</v>
      </c>
      <c r="IO145">
        <v>0</v>
      </c>
      <c r="IP145">
        <v>180</v>
      </c>
      <c r="IQ145">
        <v>0</v>
      </c>
      <c r="IR145">
        <v>330</v>
      </c>
      <c r="IS145">
        <v>0</v>
      </c>
      <c r="IT145">
        <v>90</v>
      </c>
      <c r="IU145">
        <v>0</v>
      </c>
      <c r="IV145">
        <v>6.4</v>
      </c>
      <c r="IW145">
        <v>-6</v>
      </c>
      <c r="IX145">
        <v>93</v>
      </c>
      <c r="IY145">
        <v>80.5</v>
      </c>
      <c r="IZ145">
        <v>12.5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352</v>
      </c>
      <c r="JJ145">
        <v>312</v>
      </c>
      <c r="JK145">
        <v>224</v>
      </c>
      <c r="JL145">
        <v>300</v>
      </c>
      <c r="JM145">
        <v>234</v>
      </c>
      <c r="JN145">
        <v>195</v>
      </c>
      <c r="JO145">
        <v>235</v>
      </c>
      <c r="JP145">
        <v>235</v>
      </c>
      <c r="JQ145">
        <v>295</v>
      </c>
      <c r="JR145">
        <v>341</v>
      </c>
      <c r="JS145">
        <v>270</v>
      </c>
      <c r="JT145">
        <v>0</v>
      </c>
      <c r="JU145">
        <v>0</v>
      </c>
      <c r="JV145">
        <v>305</v>
      </c>
      <c r="JW145">
        <v>307</v>
      </c>
      <c r="JX145">
        <v>340</v>
      </c>
      <c r="JY145">
        <v>310</v>
      </c>
      <c r="JZ145">
        <v>1</v>
      </c>
      <c r="KA145">
        <v>0.2</v>
      </c>
      <c r="KB145">
        <v>0.4</v>
      </c>
      <c r="KC145">
        <v>0.42</v>
      </c>
      <c r="KD145">
        <v>0.28</v>
      </c>
      <c r="KE145">
        <v>0.5</v>
      </c>
      <c r="KF145">
        <v>0.18</v>
      </c>
      <c r="KG145">
        <v>0.1</v>
      </c>
      <c r="KH145">
        <v>3.5</v>
      </c>
      <c r="KI145">
        <v>1</v>
      </c>
      <c r="KJ145">
        <v>4.5</v>
      </c>
      <c r="KK145">
        <v>0</v>
      </c>
      <c r="KL145">
        <v>4.5</v>
      </c>
      <c r="KM145">
        <v>0</v>
      </c>
      <c r="KN145">
        <v>1.5</v>
      </c>
      <c r="KO145">
        <v>0</v>
      </c>
      <c r="KP145">
        <v>0</v>
      </c>
      <c r="KQ145">
        <v>0.8</v>
      </c>
      <c r="KR145">
        <v>0.3</v>
      </c>
      <c r="KS145">
        <v>0</v>
      </c>
      <c r="KT145">
        <v>2.8</v>
      </c>
      <c r="KU145">
        <v>0</v>
      </c>
      <c r="KV145">
        <v>0</v>
      </c>
      <c r="KW145">
        <v>1.2</v>
      </c>
      <c r="KX145">
        <v>2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3</v>
      </c>
      <c r="LI145">
        <v>0.5</v>
      </c>
      <c r="LJ145">
        <v>0</v>
      </c>
      <c r="LK145">
        <v>7</v>
      </c>
      <c r="LL145">
        <v>2</v>
      </c>
      <c r="LM145">
        <v>10</v>
      </c>
      <c r="LN145">
        <v>0.5</v>
      </c>
      <c r="LO145">
        <v>3</v>
      </c>
      <c r="LP145">
        <v>0</v>
      </c>
      <c r="LQ145">
        <v>0</v>
      </c>
      <c r="LR145">
        <v>0</v>
      </c>
      <c r="LS145">
        <v>1</v>
      </c>
      <c r="LT145">
        <v>0</v>
      </c>
      <c r="LU145">
        <v>0</v>
      </c>
      <c r="LV145">
        <v>0</v>
      </c>
      <c r="LW145">
        <v>2.1</v>
      </c>
      <c r="LX145">
        <v>2.1</v>
      </c>
      <c r="LY145">
        <v>2.1</v>
      </c>
      <c r="LZ145">
        <v>2.1</v>
      </c>
      <c r="MA145">
        <v>0</v>
      </c>
      <c r="MB145">
        <v>3</v>
      </c>
      <c r="MC145">
        <v>0</v>
      </c>
      <c r="MD145">
        <v>4.5</v>
      </c>
      <c r="ME145">
        <v>6</v>
      </c>
      <c r="MF145">
        <v>6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500</v>
      </c>
      <c r="MM145">
        <v>0</v>
      </c>
      <c r="MN145">
        <v>175</v>
      </c>
      <c r="MO145">
        <v>218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0.15</v>
      </c>
      <c r="NV145">
        <v>0.25</v>
      </c>
      <c r="NW145">
        <v>0.3</v>
      </c>
      <c r="NX145">
        <v>0.2</v>
      </c>
      <c r="NY145">
        <v>0.2</v>
      </c>
      <c r="NZ145">
        <v>0.2</v>
      </c>
      <c r="OA145">
        <v>0</v>
      </c>
      <c r="OB145">
        <v>0</v>
      </c>
      <c r="OC145">
        <v>0</v>
      </c>
      <c r="OD145">
        <v>0</v>
      </c>
      <c r="OE145" t="s">
        <v>4609</v>
      </c>
      <c r="OF145" t="s">
        <v>4607</v>
      </c>
      <c r="OG145" t="s">
        <v>4608</v>
      </c>
      <c r="OH145" t="s">
        <v>4043</v>
      </c>
      <c r="OI145" t="s">
        <v>4609</v>
      </c>
      <c r="OJ145" t="s">
        <v>4606</v>
      </c>
      <c r="OK145">
        <v>61</v>
      </c>
      <c r="OL145">
        <v>61</v>
      </c>
      <c r="OM145" t="s">
        <v>4607</v>
      </c>
      <c r="ON145">
        <v>1</v>
      </c>
      <c r="OO145">
        <v>1839</v>
      </c>
      <c r="OP145">
        <v>61</v>
      </c>
      <c r="OQ145">
        <v>61</v>
      </c>
      <c r="OR145" t="s">
        <v>4608</v>
      </c>
      <c r="OS145">
        <v>1</v>
      </c>
      <c r="OT145">
        <v>1851</v>
      </c>
      <c r="OU145">
        <v>65</v>
      </c>
      <c r="OV145">
        <v>65</v>
      </c>
      <c r="OW145" t="s">
        <v>4043</v>
      </c>
      <c r="OX145">
        <v>1</v>
      </c>
      <c r="OY145">
        <v>32244</v>
      </c>
      <c r="OZ145">
        <v>51</v>
      </c>
      <c r="PA145">
        <v>51</v>
      </c>
      <c r="PB145" t="s">
        <v>4609</v>
      </c>
      <c r="PC145">
        <v>1</v>
      </c>
      <c r="PD145">
        <v>1883</v>
      </c>
      <c r="PF145">
        <v>413</v>
      </c>
      <c r="PG145">
        <v>35</v>
      </c>
      <c r="PH145">
        <v>390</v>
      </c>
      <c r="PI145">
        <v>0</v>
      </c>
      <c r="PJ145">
        <v>55.6</v>
      </c>
      <c r="PL145">
        <v>854.4</v>
      </c>
      <c r="PM145">
        <v>1030.1</v>
      </c>
      <c r="PN145">
        <v>92</v>
      </c>
      <c r="PP145">
        <v>12</v>
      </c>
      <c r="PQ145">
        <v>2</v>
      </c>
      <c r="PR145">
        <v>1</v>
      </c>
      <c r="PS145">
        <v>7</v>
      </c>
      <c r="PT145">
        <v>218</v>
      </c>
      <c r="PU145">
        <v>8</v>
      </c>
      <c r="PV145" t="s">
        <v>4072</v>
      </c>
      <c r="PW145" t="s">
        <v>4072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-1</v>
      </c>
      <c r="QF145">
        <v>1</v>
      </c>
      <c r="QG145">
        <v>0</v>
      </c>
      <c r="QH145">
        <v>5</v>
      </c>
      <c r="QI145">
        <v>5</v>
      </c>
      <c r="QJ145">
        <v>5</v>
      </c>
      <c r="QK145">
        <v>196</v>
      </c>
      <c r="QL145">
        <v>382</v>
      </c>
      <c r="QM145">
        <v>7.5</v>
      </c>
      <c r="QN145">
        <v>1282.5</v>
      </c>
      <c r="QO145" t="s">
        <v>1888</v>
      </c>
      <c r="QP145" t="s">
        <v>513</v>
      </c>
      <c r="QQ145">
        <v>0</v>
      </c>
      <c r="QR145" t="s">
        <v>1343</v>
      </c>
    </row>
    <row r="146" spans="1:462">
      <c r="A146" t="s">
        <v>2230</v>
      </c>
      <c r="B146" t="s">
        <v>559</v>
      </c>
      <c r="C146" t="s">
        <v>509</v>
      </c>
      <c r="D146" t="s">
        <v>1293</v>
      </c>
      <c r="E146" t="s">
        <v>4036</v>
      </c>
      <c r="H146" t="s">
        <v>1088</v>
      </c>
      <c r="L146" t="s">
        <v>564</v>
      </c>
      <c r="M146" t="s">
        <v>512</v>
      </c>
      <c r="N146" t="s">
        <v>515</v>
      </c>
      <c r="O146" t="s">
        <v>513</v>
      </c>
      <c r="P146" t="s">
        <v>567</v>
      </c>
      <c r="Q146" t="s">
        <v>2231</v>
      </c>
      <c r="R146" t="s">
        <v>1138</v>
      </c>
      <c r="S146" t="s">
        <v>4254</v>
      </c>
      <c r="T146" t="s">
        <v>570</v>
      </c>
      <c r="U146" t="s">
        <v>571</v>
      </c>
      <c r="V146" t="s">
        <v>1232</v>
      </c>
      <c r="W146" t="s">
        <v>2232</v>
      </c>
      <c r="X146" t="s">
        <v>2233</v>
      </c>
      <c r="Y146" t="s">
        <v>2234</v>
      </c>
      <c r="Z146" t="s">
        <v>650</v>
      </c>
      <c r="AA146" t="s">
        <v>4038</v>
      </c>
      <c r="AB146" t="s">
        <v>4614</v>
      </c>
      <c r="AC146">
        <v>9</v>
      </c>
      <c r="AD146" t="s">
        <v>2229</v>
      </c>
      <c r="AE146">
        <v>6</v>
      </c>
      <c r="AF146">
        <v>4768</v>
      </c>
      <c r="AG146" t="s">
        <v>4615</v>
      </c>
      <c r="AH146">
        <v>1</v>
      </c>
      <c r="AI146" t="s">
        <v>4041</v>
      </c>
      <c r="AK146" t="s">
        <v>4616</v>
      </c>
      <c r="AL146">
        <v>1</v>
      </c>
      <c r="AM146" t="s">
        <v>582</v>
      </c>
      <c r="AO146" t="s">
        <v>4043</v>
      </c>
      <c r="AP146">
        <v>2</v>
      </c>
      <c r="AR146" t="s">
        <v>4617</v>
      </c>
      <c r="AS146">
        <v>1</v>
      </c>
      <c r="AT146">
        <v>51</v>
      </c>
      <c r="AV146" t="s">
        <v>4532</v>
      </c>
      <c r="AW146">
        <v>6.4</v>
      </c>
      <c r="AX146">
        <v>-6</v>
      </c>
      <c r="AY146">
        <v>115</v>
      </c>
      <c r="AZ146">
        <v>79</v>
      </c>
      <c r="BA146">
        <v>85</v>
      </c>
      <c r="BB146">
        <v>108</v>
      </c>
      <c r="BH146">
        <v>115</v>
      </c>
      <c r="BI146">
        <v>36</v>
      </c>
      <c r="BJ146">
        <v>79</v>
      </c>
      <c r="BK146">
        <v>2.5</v>
      </c>
      <c r="BL146">
        <v>230</v>
      </c>
      <c r="BM146">
        <v>-6</v>
      </c>
      <c r="BN146">
        <v>108</v>
      </c>
      <c r="BO146">
        <v>85</v>
      </c>
      <c r="BP146">
        <v>216</v>
      </c>
      <c r="BR146">
        <v>225</v>
      </c>
      <c r="BS146">
        <v>215</v>
      </c>
      <c r="BT146">
        <v>2050</v>
      </c>
      <c r="BU146" t="s">
        <v>4096</v>
      </c>
      <c r="BV146" t="s">
        <v>4096</v>
      </c>
      <c r="BW146" t="s">
        <v>4097</v>
      </c>
      <c r="BX146" t="s">
        <v>4097</v>
      </c>
      <c r="BY146" t="s">
        <v>4139</v>
      </c>
      <c r="BZ146" t="s">
        <v>4618</v>
      </c>
      <c r="CA146" t="s">
        <v>4084</v>
      </c>
      <c r="CB146" t="s">
        <v>4085</v>
      </c>
      <c r="CC146" t="s">
        <v>4053</v>
      </c>
      <c r="CD146" t="s">
        <v>4055</v>
      </c>
      <c r="CE146" t="s">
        <v>4055</v>
      </c>
      <c r="CF146" t="s">
        <v>4055</v>
      </c>
      <c r="CG146" t="s">
        <v>4056</v>
      </c>
      <c r="CI146" t="s">
        <v>4086</v>
      </c>
      <c r="CJ146" t="s">
        <v>4059</v>
      </c>
      <c r="CK146" t="s">
        <v>4060</v>
      </c>
      <c r="CL146" t="s">
        <v>4061</v>
      </c>
      <c r="CM146" t="s">
        <v>4062</v>
      </c>
      <c r="CN146" t="s">
        <v>4055</v>
      </c>
      <c r="CO146" t="s">
        <v>4063</v>
      </c>
      <c r="CP146" t="s">
        <v>4055</v>
      </c>
      <c r="CQ146" t="s">
        <v>4055</v>
      </c>
      <c r="CR146">
        <v>5</v>
      </c>
      <c r="CS146" t="s">
        <v>4055</v>
      </c>
      <c r="CT146" t="s">
        <v>4055</v>
      </c>
      <c r="CU146" t="s">
        <v>4055</v>
      </c>
      <c r="CV146">
        <v>143</v>
      </c>
      <c r="CW146">
        <v>3</v>
      </c>
      <c r="CX146">
        <v>123</v>
      </c>
      <c r="CY146">
        <v>5</v>
      </c>
      <c r="CZ146">
        <v>151</v>
      </c>
      <c r="DA146">
        <v>5</v>
      </c>
      <c r="DB146">
        <v>12250</v>
      </c>
      <c r="DC146">
        <v>360</v>
      </c>
      <c r="DD146">
        <v>315</v>
      </c>
      <c r="DE146">
        <v>2166</v>
      </c>
      <c r="DF146">
        <v>2166</v>
      </c>
      <c r="DG146">
        <v>2176</v>
      </c>
      <c r="DH146">
        <v>0</v>
      </c>
      <c r="DI146" t="s">
        <v>4055</v>
      </c>
      <c r="DJ146" t="s">
        <v>4132</v>
      </c>
      <c r="DK146">
        <v>225</v>
      </c>
      <c r="DL146" t="s">
        <v>4065</v>
      </c>
      <c r="DM146">
        <v>69</v>
      </c>
      <c r="DN146">
        <v>1.1</v>
      </c>
      <c r="DO146">
        <v>1</v>
      </c>
      <c r="DP146">
        <v>2053</v>
      </c>
      <c r="DQ146">
        <v>1000</v>
      </c>
      <c r="DR146" t="s">
        <v>4132</v>
      </c>
      <c r="DS146">
        <v>215</v>
      </c>
      <c r="DT146" t="s">
        <v>4065</v>
      </c>
      <c r="DU146">
        <v>69</v>
      </c>
      <c r="DV146">
        <v>1.1</v>
      </c>
      <c r="DW146">
        <v>1</v>
      </c>
      <c r="DX146">
        <v>2065</v>
      </c>
      <c r="DY146">
        <v>960</v>
      </c>
      <c r="DZ146" t="s">
        <v>4066</v>
      </c>
      <c r="EA146">
        <v>20</v>
      </c>
      <c r="EB146" t="s">
        <v>4065</v>
      </c>
      <c r="EC146">
        <v>0.8</v>
      </c>
      <c r="ED146">
        <v>2053</v>
      </c>
      <c r="EE146">
        <v>72</v>
      </c>
      <c r="EG146">
        <v>0</v>
      </c>
      <c r="EH146" t="s">
        <v>4065</v>
      </c>
      <c r="EI146">
        <v>0</v>
      </c>
      <c r="EL146" t="s">
        <v>1528</v>
      </c>
      <c r="EM146">
        <v>12</v>
      </c>
      <c r="EN146">
        <v>0.5</v>
      </c>
      <c r="EO146">
        <v>0.96</v>
      </c>
      <c r="EP146">
        <v>2063.83</v>
      </c>
      <c r="EQ146">
        <v>39019.29</v>
      </c>
      <c r="ER146">
        <v>11642.97</v>
      </c>
      <c r="ES146">
        <v>7460.24</v>
      </c>
      <c r="ET146">
        <v>0</v>
      </c>
      <c r="EU146">
        <v>1</v>
      </c>
      <c r="EV146">
        <v>58123</v>
      </c>
      <c r="EW146">
        <v>698</v>
      </c>
      <c r="EX146" t="s">
        <v>4619</v>
      </c>
      <c r="EY146">
        <v>250</v>
      </c>
      <c r="EZ146" t="s">
        <v>4055</v>
      </c>
      <c r="FA146">
        <v>6</v>
      </c>
      <c r="FB146">
        <v>1</v>
      </c>
      <c r="FC146">
        <v>1</v>
      </c>
      <c r="FD146">
        <v>2095</v>
      </c>
      <c r="FE146">
        <v>3470</v>
      </c>
      <c r="FF146" t="s">
        <v>4089</v>
      </c>
      <c r="FG146">
        <v>250</v>
      </c>
      <c r="FH146" t="s">
        <v>4055</v>
      </c>
      <c r="FI146">
        <v>1.6</v>
      </c>
      <c r="FJ146">
        <v>2095</v>
      </c>
      <c r="FK146">
        <v>849</v>
      </c>
      <c r="FL146" t="s">
        <v>4069</v>
      </c>
      <c r="FM146" t="s">
        <v>4055</v>
      </c>
      <c r="FN146" t="s">
        <v>4055</v>
      </c>
      <c r="FO146" t="s">
        <v>4055</v>
      </c>
      <c r="FP146">
        <v>2095</v>
      </c>
      <c r="FQ146">
        <v>174</v>
      </c>
      <c r="FR146" t="s">
        <v>4090</v>
      </c>
      <c r="FS146">
        <v>254</v>
      </c>
      <c r="FT146" t="s">
        <v>4055</v>
      </c>
      <c r="FU146">
        <v>0.4</v>
      </c>
      <c r="FV146">
        <v>2095</v>
      </c>
      <c r="FW146">
        <v>237</v>
      </c>
      <c r="FX146" t="s">
        <v>4070</v>
      </c>
      <c r="FY146">
        <v>5</v>
      </c>
      <c r="FZ146" t="s">
        <v>4055</v>
      </c>
      <c r="GA146" t="s">
        <v>4055</v>
      </c>
      <c r="GB146">
        <v>2095</v>
      </c>
      <c r="GC146">
        <v>19</v>
      </c>
      <c r="GD146">
        <v>4749</v>
      </c>
      <c r="GE146" t="s">
        <v>4617</v>
      </c>
      <c r="GF146" t="s">
        <v>4055</v>
      </c>
      <c r="GG146" t="s">
        <v>4055</v>
      </c>
      <c r="GH146" t="s">
        <v>4055</v>
      </c>
      <c r="GI146" t="s">
        <v>4071</v>
      </c>
      <c r="GJ146" t="s">
        <v>4055</v>
      </c>
      <c r="GK146" t="s">
        <v>4055</v>
      </c>
      <c r="GL146" t="s">
        <v>4055</v>
      </c>
      <c r="GM146" t="s">
        <v>4055</v>
      </c>
      <c r="GQ146">
        <v>0</v>
      </c>
      <c r="GV146">
        <v>8</v>
      </c>
      <c r="GW146">
        <v>10</v>
      </c>
      <c r="GX146">
        <v>0.5</v>
      </c>
      <c r="GY146">
        <v>210</v>
      </c>
      <c r="GZ146">
        <v>3</v>
      </c>
      <c r="HA146">
        <v>270</v>
      </c>
      <c r="HB146">
        <v>3</v>
      </c>
      <c r="HC146">
        <v>2095</v>
      </c>
      <c r="HD146">
        <v>4</v>
      </c>
      <c r="HE146" t="s">
        <v>4071</v>
      </c>
      <c r="HG146" t="s">
        <v>549</v>
      </c>
      <c r="HL146">
        <v>5</v>
      </c>
      <c r="HM146">
        <v>20</v>
      </c>
      <c r="HN146">
        <v>1</v>
      </c>
      <c r="HO146">
        <v>1</v>
      </c>
      <c r="HP146">
        <v>0</v>
      </c>
      <c r="HQ146">
        <v>0</v>
      </c>
      <c r="HR146">
        <v>3</v>
      </c>
      <c r="HS146">
        <v>2050</v>
      </c>
      <c r="HT146">
        <v>5</v>
      </c>
      <c r="HU146">
        <v>1</v>
      </c>
      <c r="HV146">
        <v>3</v>
      </c>
      <c r="HW146">
        <v>0</v>
      </c>
      <c r="HX146">
        <v>1</v>
      </c>
      <c r="HY146">
        <v>0</v>
      </c>
      <c r="HZ146">
        <v>69</v>
      </c>
      <c r="IA146">
        <v>2053</v>
      </c>
      <c r="IB146">
        <v>2065</v>
      </c>
      <c r="ID146">
        <v>2095</v>
      </c>
      <c r="IE146">
        <v>2095</v>
      </c>
      <c r="IF146">
        <v>225</v>
      </c>
      <c r="IG146">
        <v>215</v>
      </c>
      <c r="IH146">
        <v>270</v>
      </c>
      <c r="II146">
        <v>1</v>
      </c>
      <c r="IJ146">
        <v>5</v>
      </c>
      <c r="IK146">
        <v>0</v>
      </c>
      <c r="IL146">
        <v>0</v>
      </c>
      <c r="IM146">
        <v>0</v>
      </c>
      <c r="IN146">
        <v>270</v>
      </c>
      <c r="IO146">
        <v>0</v>
      </c>
      <c r="IP146">
        <v>180</v>
      </c>
      <c r="IQ146">
        <v>0</v>
      </c>
      <c r="IR146">
        <v>330</v>
      </c>
      <c r="IS146">
        <v>0</v>
      </c>
      <c r="IT146">
        <v>90</v>
      </c>
      <c r="IU146">
        <v>0</v>
      </c>
      <c r="IV146">
        <v>6.4</v>
      </c>
      <c r="IW146">
        <v>-6</v>
      </c>
      <c r="IX146">
        <v>115</v>
      </c>
      <c r="IY146">
        <v>79</v>
      </c>
      <c r="IZ146">
        <v>85</v>
      </c>
      <c r="JA146">
        <v>108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350</v>
      </c>
      <c r="JJ146">
        <v>330</v>
      </c>
      <c r="JK146">
        <v>255</v>
      </c>
      <c r="JL146">
        <v>328</v>
      </c>
      <c r="JM146">
        <v>255</v>
      </c>
      <c r="JN146">
        <v>220</v>
      </c>
      <c r="JO146">
        <v>274</v>
      </c>
      <c r="JP146">
        <v>205</v>
      </c>
      <c r="JQ146">
        <v>255</v>
      </c>
      <c r="JR146">
        <v>300</v>
      </c>
      <c r="JS146">
        <v>276</v>
      </c>
      <c r="JT146">
        <v>0</v>
      </c>
      <c r="JU146">
        <v>0</v>
      </c>
      <c r="JV146">
        <v>287</v>
      </c>
      <c r="JW146">
        <v>275</v>
      </c>
      <c r="JX146">
        <v>0</v>
      </c>
      <c r="JY146">
        <v>0</v>
      </c>
      <c r="JZ146">
        <v>0.5</v>
      </c>
      <c r="KA146">
        <v>0.2</v>
      </c>
      <c r="KB146">
        <v>0.4</v>
      </c>
      <c r="KC146">
        <v>0.42</v>
      </c>
      <c r="KD146">
        <v>0.3</v>
      </c>
      <c r="KE146">
        <v>0.5</v>
      </c>
      <c r="KF146">
        <v>0.21</v>
      </c>
      <c r="KG146">
        <v>0.11</v>
      </c>
      <c r="KH146">
        <v>3.5</v>
      </c>
      <c r="KI146">
        <v>1</v>
      </c>
      <c r="KJ146">
        <v>4.5</v>
      </c>
      <c r="KK146">
        <v>0</v>
      </c>
      <c r="KL146">
        <v>4.5</v>
      </c>
      <c r="KM146">
        <v>0.5</v>
      </c>
      <c r="KN146">
        <v>1.6</v>
      </c>
      <c r="KO146">
        <v>1</v>
      </c>
      <c r="KP146">
        <v>0</v>
      </c>
      <c r="KQ146">
        <v>0.8</v>
      </c>
      <c r="KR146">
        <v>0.8</v>
      </c>
      <c r="KS146">
        <v>0</v>
      </c>
      <c r="KT146">
        <v>2.5</v>
      </c>
      <c r="KU146">
        <v>0</v>
      </c>
      <c r="KV146">
        <v>0</v>
      </c>
      <c r="KW146">
        <v>1.2</v>
      </c>
      <c r="KX146">
        <v>2</v>
      </c>
      <c r="KY146">
        <v>1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3</v>
      </c>
      <c r="LI146">
        <v>0</v>
      </c>
      <c r="LJ146">
        <v>0</v>
      </c>
      <c r="LK146">
        <v>7</v>
      </c>
      <c r="LL146">
        <v>5</v>
      </c>
      <c r="LM146">
        <v>9</v>
      </c>
      <c r="LN146">
        <v>0.1</v>
      </c>
      <c r="LO146">
        <v>3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1.8</v>
      </c>
      <c r="LX146">
        <v>1.8</v>
      </c>
      <c r="LY146">
        <v>2.1</v>
      </c>
      <c r="LZ146">
        <v>2.1</v>
      </c>
      <c r="MA146">
        <v>0</v>
      </c>
      <c r="MB146">
        <v>3</v>
      </c>
      <c r="MC146">
        <v>0</v>
      </c>
      <c r="MD146">
        <v>4.5</v>
      </c>
      <c r="ME146">
        <v>6</v>
      </c>
      <c r="MF146">
        <v>6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390</v>
      </c>
      <c r="MN146">
        <v>215</v>
      </c>
      <c r="MO146">
        <v>274</v>
      </c>
      <c r="NU146">
        <v>0.15</v>
      </c>
      <c r="NV146">
        <v>0.2</v>
      </c>
      <c r="NW146">
        <v>0.2</v>
      </c>
      <c r="NX146">
        <v>0.2</v>
      </c>
      <c r="NY146">
        <v>0.2</v>
      </c>
      <c r="NZ146">
        <v>0.2</v>
      </c>
      <c r="OE146" t="s">
        <v>4617</v>
      </c>
      <c r="OF146" t="s">
        <v>4615</v>
      </c>
      <c r="OG146" t="s">
        <v>4616</v>
      </c>
      <c r="OH146" t="s">
        <v>4043</v>
      </c>
      <c r="OI146" t="s">
        <v>4617</v>
      </c>
      <c r="OJ146" t="s">
        <v>4614</v>
      </c>
      <c r="OK146">
        <v>61</v>
      </c>
      <c r="OL146">
        <v>61</v>
      </c>
      <c r="OM146" t="s">
        <v>4615</v>
      </c>
      <c r="ON146">
        <v>1</v>
      </c>
      <c r="OO146">
        <v>2053</v>
      </c>
      <c r="OP146">
        <v>61</v>
      </c>
      <c r="OQ146">
        <v>61</v>
      </c>
      <c r="OR146" t="s">
        <v>4616</v>
      </c>
      <c r="OS146">
        <v>1</v>
      </c>
      <c r="OT146">
        <v>2065</v>
      </c>
      <c r="OU146">
        <v>65</v>
      </c>
      <c r="OV146">
        <v>65</v>
      </c>
      <c r="OW146" t="s">
        <v>4043</v>
      </c>
      <c r="OX146">
        <v>2</v>
      </c>
      <c r="OY146">
        <v>58123</v>
      </c>
      <c r="OZ146">
        <v>51</v>
      </c>
      <c r="PA146">
        <v>51</v>
      </c>
      <c r="PB146" t="s">
        <v>4617</v>
      </c>
      <c r="PC146">
        <v>1</v>
      </c>
      <c r="PD146">
        <v>2095</v>
      </c>
      <c r="PF146">
        <v>487</v>
      </c>
      <c r="PG146">
        <v>35</v>
      </c>
      <c r="PH146">
        <v>465</v>
      </c>
      <c r="PI146">
        <v>0</v>
      </c>
      <c r="PJ146">
        <v>83.2</v>
      </c>
      <c r="PK146">
        <v>2251</v>
      </c>
      <c r="PL146">
        <v>1656.1</v>
      </c>
      <c r="PM146">
        <v>405.2</v>
      </c>
      <c r="PN146">
        <v>113</v>
      </c>
      <c r="PO146">
        <v>9.300000000000001</v>
      </c>
      <c r="PP146">
        <v>12</v>
      </c>
      <c r="PQ146">
        <v>3</v>
      </c>
      <c r="PR146">
        <v>3</v>
      </c>
      <c r="PS146">
        <v>0</v>
      </c>
      <c r="PT146">
        <v>270</v>
      </c>
      <c r="PU146">
        <v>10</v>
      </c>
      <c r="PV146" t="s">
        <v>4072</v>
      </c>
      <c r="PW146" t="s">
        <v>4072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-1</v>
      </c>
      <c r="QF146">
        <v>1</v>
      </c>
      <c r="QG146">
        <v>0</v>
      </c>
      <c r="QH146">
        <v>5</v>
      </c>
      <c r="QI146">
        <v>5</v>
      </c>
      <c r="QJ146">
        <v>5</v>
      </c>
      <c r="QK146">
        <v>190</v>
      </c>
      <c r="QL146">
        <v>380</v>
      </c>
      <c r="QM146">
        <v>7.5</v>
      </c>
      <c r="QN146">
        <v>1623.8</v>
      </c>
      <c r="QO146" t="s">
        <v>2240</v>
      </c>
      <c r="QP146" t="s">
        <v>513</v>
      </c>
      <c r="QQ146">
        <v>0</v>
      </c>
      <c r="QR146" t="s">
        <v>704</v>
      </c>
      <c r="QS146">
        <v>40</v>
      </c>
      <c r="QT146">
        <v>50</v>
      </c>
    </row>
    <row r="147" spans="1:462">
      <c r="A147" t="s">
        <v>2242</v>
      </c>
      <c r="B147" t="s">
        <v>897</v>
      </c>
      <c r="C147" t="s">
        <v>509</v>
      </c>
      <c r="D147" t="s">
        <v>1281</v>
      </c>
      <c r="E147" t="s">
        <v>4036</v>
      </c>
      <c r="H147" t="s">
        <v>1135</v>
      </c>
      <c r="J147" t="s">
        <v>562</v>
      </c>
      <c r="K147" t="s">
        <v>563</v>
      </c>
      <c r="L147" t="s">
        <v>657</v>
      </c>
      <c r="M147" t="s">
        <v>512</v>
      </c>
      <c r="O147" t="s">
        <v>513</v>
      </c>
      <c r="P147" t="s">
        <v>567</v>
      </c>
      <c r="Q147" t="s">
        <v>1090</v>
      </c>
      <c r="R147" t="s">
        <v>1091</v>
      </c>
      <c r="S147" t="s">
        <v>4037</v>
      </c>
      <c r="T147" t="s">
        <v>686</v>
      </c>
      <c r="U147" t="s">
        <v>687</v>
      </c>
      <c r="V147" t="s">
        <v>2243</v>
      </c>
      <c r="W147" t="s">
        <v>2244</v>
      </c>
      <c r="X147" t="s">
        <v>2245</v>
      </c>
      <c r="Y147" t="s">
        <v>2246</v>
      </c>
      <c r="Z147" t="s">
        <v>541</v>
      </c>
      <c r="AA147" t="s">
        <v>4038</v>
      </c>
      <c r="AB147" t="s">
        <v>4620</v>
      </c>
      <c r="AC147">
        <v>9</v>
      </c>
      <c r="AD147" t="s">
        <v>2241</v>
      </c>
      <c r="AE147">
        <v>8</v>
      </c>
      <c r="AF147">
        <v>6690</v>
      </c>
      <c r="AG147" t="s">
        <v>4621</v>
      </c>
      <c r="AH147">
        <v>1</v>
      </c>
      <c r="AI147" t="s">
        <v>4041</v>
      </c>
      <c r="AK147" t="s">
        <v>4622</v>
      </c>
      <c r="AL147">
        <v>1</v>
      </c>
      <c r="AM147" t="s">
        <v>582</v>
      </c>
      <c r="AO147" t="s">
        <v>4043</v>
      </c>
      <c r="AP147">
        <v>1</v>
      </c>
      <c r="AR147" t="s">
        <v>4623</v>
      </c>
      <c r="AS147">
        <v>1</v>
      </c>
      <c r="AT147">
        <v>51</v>
      </c>
      <c r="AV147" t="s">
        <v>4045</v>
      </c>
      <c r="AW147">
        <v>6.4</v>
      </c>
      <c r="AX147">
        <v>-6</v>
      </c>
      <c r="AY147">
        <v>120</v>
      </c>
      <c r="AZ147">
        <v>102</v>
      </c>
      <c r="BH147">
        <v>120</v>
      </c>
      <c r="BI147">
        <v>18</v>
      </c>
      <c r="BJ147">
        <v>102</v>
      </c>
      <c r="BK147">
        <v>2.5</v>
      </c>
      <c r="BL147">
        <v>240</v>
      </c>
      <c r="BM147">
        <v>-6</v>
      </c>
      <c r="BN147">
        <v>0</v>
      </c>
      <c r="BO147">
        <v>0</v>
      </c>
      <c r="BP147">
        <v>0</v>
      </c>
      <c r="BR147">
        <v>235</v>
      </c>
      <c r="BS147">
        <v>225</v>
      </c>
      <c r="BT147">
        <v>2260</v>
      </c>
      <c r="BU147" t="s">
        <v>4079</v>
      </c>
      <c r="BV147" t="s">
        <v>4079</v>
      </c>
      <c r="BW147" t="s">
        <v>4081</v>
      </c>
      <c r="BX147" t="s">
        <v>4081</v>
      </c>
      <c r="BY147" t="s">
        <v>4221</v>
      </c>
      <c r="BZ147" t="s">
        <v>4297</v>
      </c>
      <c r="CA147" t="s">
        <v>4130</v>
      </c>
      <c r="CB147" t="s">
        <v>4131</v>
      </c>
      <c r="CC147" t="s">
        <v>4053</v>
      </c>
      <c r="CD147" t="s">
        <v>4055</v>
      </c>
      <c r="CE147" t="s">
        <v>4055</v>
      </c>
      <c r="CF147" t="s">
        <v>4055</v>
      </c>
      <c r="CG147" t="s">
        <v>4056</v>
      </c>
      <c r="CI147" t="s">
        <v>4086</v>
      </c>
      <c r="CJ147" t="s">
        <v>4059</v>
      </c>
      <c r="CK147" t="s">
        <v>4060</v>
      </c>
      <c r="CL147" t="s">
        <v>4061</v>
      </c>
      <c r="CM147" t="s">
        <v>4055</v>
      </c>
      <c r="CN147" t="s">
        <v>4062</v>
      </c>
      <c r="CO147" t="s">
        <v>4063</v>
      </c>
      <c r="CP147" t="s">
        <v>4055</v>
      </c>
      <c r="CQ147" t="s">
        <v>4055</v>
      </c>
      <c r="CR147">
        <v>5</v>
      </c>
      <c r="CS147" t="s">
        <v>4055</v>
      </c>
      <c r="CT147" t="s">
        <v>4055</v>
      </c>
      <c r="CU147" t="s">
        <v>4055</v>
      </c>
      <c r="CV147">
        <v>145</v>
      </c>
      <c r="CW147">
        <v>3</v>
      </c>
      <c r="CX147">
        <v>100</v>
      </c>
      <c r="CY147">
        <v>5</v>
      </c>
      <c r="CZ147">
        <v>164</v>
      </c>
      <c r="DA147">
        <v>5</v>
      </c>
      <c r="DB147">
        <v>15390</v>
      </c>
      <c r="DC147">
        <v>460</v>
      </c>
      <c r="DD147">
        <v>400</v>
      </c>
      <c r="DE147">
        <v>2388</v>
      </c>
      <c r="DF147">
        <v>2388</v>
      </c>
      <c r="DG147">
        <v>2399</v>
      </c>
      <c r="DH147">
        <v>1</v>
      </c>
      <c r="DI147" t="s">
        <v>4055</v>
      </c>
      <c r="DJ147" t="s">
        <v>4217</v>
      </c>
      <c r="DK147">
        <v>235</v>
      </c>
      <c r="DL147" t="s">
        <v>4065</v>
      </c>
      <c r="DM147">
        <v>65</v>
      </c>
      <c r="DN147">
        <v>1.26</v>
      </c>
      <c r="DO147">
        <v>1</v>
      </c>
      <c r="DP147">
        <v>2264</v>
      </c>
      <c r="DQ147">
        <v>1284</v>
      </c>
      <c r="DR147" t="s">
        <v>4217</v>
      </c>
      <c r="DS147">
        <v>225</v>
      </c>
      <c r="DT147" t="s">
        <v>4065</v>
      </c>
      <c r="DU147">
        <v>65</v>
      </c>
      <c r="DV147">
        <v>1.26</v>
      </c>
      <c r="DW147">
        <v>1</v>
      </c>
      <c r="DX147">
        <v>2277</v>
      </c>
      <c r="DY147">
        <v>1236</v>
      </c>
      <c r="DZ147" t="s">
        <v>4066</v>
      </c>
      <c r="EA147">
        <v>20</v>
      </c>
      <c r="EB147" t="s">
        <v>4065</v>
      </c>
      <c r="EC147">
        <v>0.8</v>
      </c>
      <c r="ED147">
        <v>2264</v>
      </c>
      <c r="EE147">
        <v>79</v>
      </c>
      <c r="EG147">
        <v>0</v>
      </c>
      <c r="EH147" t="s">
        <v>4065</v>
      </c>
      <c r="EI147">
        <v>0</v>
      </c>
      <c r="EL147" t="s">
        <v>1528</v>
      </c>
      <c r="EM147">
        <v>12</v>
      </c>
      <c r="EN147">
        <v>0.5</v>
      </c>
      <c r="EO147">
        <v>0.96</v>
      </c>
      <c r="EP147">
        <v>2275.84</v>
      </c>
      <c r="EQ147">
        <v>44805.6</v>
      </c>
      <c r="ER147">
        <v>6417.76</v>
      </c>
      <c r="ES147">
        <v>0</v>
      </c>
      <c r="ET147">
        <v>0</v>
      </c>
      <c r="EU147">
        <v>1</v>
      </c>
      <c r="EV147">
        <v>51224</v>
      </c>
      <c r="EW147">
        <v>615</v>
      </c>
      <c r="EX147" t="s">
        <v>4619</v>
      </c>
      <c r="EY147">
        <v>254</v>
      </c>
      <c r="EZ147" t="s">
        <v>4055</v>
      </c>
      <c r="FA147">
        <v>6.4</v>
      </c>
      <c r="FB147">
        <v>1</v>
      </c>
      <c r="FC147">
        <v>1</v>
      </c>
      <c r="FD147">
        <v>2308</v>
      </c>
      <c r="FE147">
        <v>4177</v>
      </c>
      <c r="FF147" t="s">
        <v>4089</v>
      </c>
      <c r="FG147">
        <v>254</v>
      </c>
      <c r="FH147" t="s">
        <v>4055</v>
      </c>
      <c r="FI147">
        <v>1.2</v>
      </c>
      <c r="FJ147">
        <v>2308</v>
      </c>
      <c r="FK147">
        <v>713</v>
      </c>
      <c r="FL147" t="s">
        <v>4069</v>
      </c>
      <c r="FM147" t="s">
        <v>4055</v>
      </c>
      <c r="FN147" t="s">
        <v>4055</v>
      </c>
      <c r="FO147" t="s">
        <v>4055</v>
      </c>
      <c r="FP147">
        <v>2308</v>
      </c>
      <c r="FQ147">
        <v>305</v>
      </c>
      <c r="FR147" t="s">
        <v>4090</v>
      </c>
      <c r="FS147">
        <v>258</v>
      </c>
      <c r="FT147" t="s">
        <v>4055</v>
      </c>
      <c r="FU147">
        <v>0.4</v>
      </c>
      <c r="FV147">
        <v>2308</v>
      </c>
      <c r="FW147">
        <v>265</v>
      </c>
      <c r="FX147" t="s">
        <v>4070</v>
      </c>
      <c r="FY147">
        <v>5</v>
      </c>
      <c r="FZ147" t="s">
        <v>4055</v>
      </c>
      <c r="GA147" t="s">
        <v>4055</v>
      </c>
      <c r="GB147">
        <v>2308</v>
      </c>
      <c r="GC147">
        <v>21</v>
      </c>
      <c r="GD147">
        <v>5481</v>
      </c>
      <c r="GE147" t="s">
        <v>4623</v>
      </c>
      <c r="GF147" t="s">
        <v>4055</v>
      </c>
      <c r="GG147" t="s">
        <v>4055</v>
      </c>
      <c r="GH147" t="s">
        <v>4055</v>
      </c>
      <c r="GI147" t="s">
        <v>4071</v>
      </c>
      <c r="GJ147" t="s">
        <v>4055</v>
      </c>
      <c r="GK147" t="s">
        <v>4055</v>
      </c>
      <c r="GL147" t="s">
        <v>4055</v>
      </c>
      <c r="GM147" t="s">
        <v>4055</v>
      </c>
      <c r="GQ147">
        <v>0</v>
      </c>
      <c r="GV147">
        <v>8</v>
      </c>
      <c r="GW147">
        <v>9.5</v>
      </c>
      <c r="GX147">
        <v>0.5</v>
      </c>
      <c r="GY147">
        <v>222</v>
      </c>
      <c r="GZ147">
        <v>3</v>
      </c>
      <c r="HA147">
        <v>284</v>
      </c>
      <c r="HB147">
        <v>3</v>
      </c>
      <c r="HC147">
        <v>2308</v>
      </c>
      <c r="HD147">
        <v>4</v>
      </c>
      <c r="HE147" t="s">
        <v>4071</v>
      </c>
      <c r="HG147" t="s">
        <v>549</v>
      </c>
      <c r="HL147">
        <v>4</v>
      </c>
      <c r="HM147">
        <v>19</v>
      </c>
      <c r="HN147">
        <v>6</v>
      </c>
      <c r="HO147">
        <v>1</v>
      </c>
      <c r="HP147">
        <v>0</v>
      </c>
      <c r="HQ147">
        <v>0</v>
      </c>
      <c r="HR147">
        <v>3</v>
      </c>
      <c r="HS147">
        <v>2260</v>
      </c>
      <c r="HT147">
        <v>5</v>
      </c>
      <c r="HU147">
        <v>1</v>
      </c>
      <c r="HV147">
        <v>3</v>
      </c>
      <c r="HW147">
        <v>0</v>
      </c>
      <c r="HX147">
        <v>1</v>
      </c>
      <c r="HY147">
        <v>0</v>
      </c>
      <c r="HZ147">
        <v>65</v>
      </c>
      <c r="IA147">
        <v>2264</v>
      </c>
      <c r="IB147">
        <v>2277</v>
      </c>
      <c r="ID147">
        <v>2308</v>
      </c>
      <c r="IE147">
        <v>2308</v>
      </c>
      <c r="IF147">
        <v>235</v>
      </c>
      <c r="IG147">
        <v>225</v>
      </c>
      <c r="IH147">
        <v>284</v>
      </c>
      <c r="II147">
        <v>1</v>
      </c>
      <c r="IJ147">
        <v>5</v>
      </c>
      <c r="IK147">
        <v>0</v>
      </c>
      <c r="IL147">
        <v>0</v>
      </c>
      <c r="IM147">
        <v>0</v>
      </c>
      <c r="IN147">
        <v>270</v>
      </c>
      <c r="IO147">
        <v>0</v>
      </c>
      <c r="IP147">
        <v>180</v>
      </c>
      <c r="IQ147">
        <v>0</v>
      </c>
      <c r="IR147">
        <v>330</v>
      </c>
      <c r="IS147">
        <v>0</v>
      </c>
      <c r="IT147">
        <v>90</v>
      </c>
      <c r="IU147">
        <v>0</v>
      </c>
      <c r="IV147">
        <v>6.4</v>
      </c>
      <c r="IW147">
        <v>-6</v>
      </c>
      <c r="IX147">
        <v>120</v>
      </c>
      <c r="IY147">
        <v>102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460</v>
      </c>
      <c r="JJ147">
        <v>430</v>
      </c>
      <c r="JK147">
        <v>309</v>
      </c>
      <c r="JL147">
        <v>428</v>
      </c>
      <c r="JM147">
        <v>320</v>
      </c>
      <c r="JN147">
        <v>225</v>
      </c>
      <c r="JO147">
        <v>282</v>
      </c>
      <c r="JP147">
        <v>200</v>
      </c>
      <c r="JQ147">
        <v>240</v>
      </c>
      <c r="JR147">
        <v>330</v>
      </c>
      <c r="JS147">
        <v>230</v>
      </c>
      <c r="JT147">
        <v>0</v>
      </c>
      <c r="JU147">
        <v>0</v>
      </c>
      <c r="JV147">
        <v>300</v>
      </c>
      <c r="JW147">
        <v>295</v>
      </c>
      <c r="JX147">
        <v>290</v>
      </c>
      <c r="JY147">
        <v>270</v>
      </c>
      <c r="JZ147">
        <v>0.5</v>
      </c>
      <c r="KA147">
        <v>0.2</v>
      </c>
      <c r="KB147">
        <v>0.4</v>
      </c>
      <c r="KC147">
        <v>0.42</v>
      </c>
      <c r="KD147">
        <v>0.28</v>
      </c>
      <c r="KE147">
        <v>0.7</v>
      </c>
      <c r="KF147">
        <v>0.24</v>
      </c>
      <c r="KG147">
        <v>0.13</v>
      </c>
      <c r="KH147">
        <v>3.5</v>
      </c>
      <c r="KI147">
        <v>1</v>
      </c>
      <c r="KJ147">
        <v>4.5</v>
      </c>
      <c r="KK147">
        <v>0</v>
      </c>
      <c r="KL147">
        <v>4.5</v>
      </c>
      <c r="KM147">
        <v>0.5</v>
      </c>
      <c r="KN147">
        <v>2.2</v>
      </c>
      <c r="KO147">
        <v>0</v>
      </c>
      <c r="KP147">
        <v>0</v>
      </c>
      <c r="KQ147">
        <v>0.4</v>
      </c>
      <c r="KR147">
        <v>0.4</v>
      </c>
      <c r="KS147">
        <v>0</v>
      </c>
      <c r="KT147">
        <v>3.3</v>
      </c>
      <c r="KU147">
        <v>0</v>
      </c>
      <c r="KV147">
        <v>0</v>
      </c>
      <c r="KW147">
        <v>1.6</v>
      </c>
      <c r="KX147">
        <v>2</v>
      </c>
      <c r="KY147">
        <v>1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3</v>
      </c>
      <c r="LI147">
        <v>0.5</v>
      </c>
      <c r="LJ147">
        <v>0</v>
      </c>
      <c r="LK147">
        <v>9</v>
      </c>
      <c r="LL147">
        <v>14</v>
      </c>
      <c r="LM147">
        <v>6</v>
      </c>
      <c r="LN147">
        <v>0.1</v>
      </c>
      <c r="LO147">
        <v>3</v>
      </c>
      <c r="LP147">
        <v>0</v>
      </c>
      <c r="LQ147">
        <v>0</v>
      </c>
      <c r="LR147">
        <v>0</v>
      </c>
      <c r="LS147">
        <v>1</v>
      </c>
      <c r="LT147">
        <v>0</v>
      </c>
      <c r="LU147">
        <v>0</v>
      </c>
      <c r="LV147">
        <v>0</v>
      </c>
      <c r="LW147">
        <v>2.3</v>
      </c>
      <c r="LX147">
        <v>2.3</v>
      </c>
      <c r="LY147">
        <v>2.3</v>
      </c>
      <c r="LZ147">
        <v>2.3</v>
      </c>
      <c r="MA147">
        <v>0</v>
      </c>
      <c r="MB147">
        <v>5</v>
      </c>
      <c r="MC147">
        <v>0</v>
      </c>
      <c r="MD147">
        <v>4.5</v>
      </c>
      <c r="ME147">
        <v>6</v>
      </c>
      <c r="MF147">
        <v>6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484</v>
      </c>
      <c r="MN147">
        <v>220</v>
      </c>
      <c r="MO147">
        <v>292</v>
      </c>
      <c r="NU147">
        <v>0.15</v>
      </c>
      <c r="NV147">
        <v>0.2</v>
      </c>
      <c r="NW147">
        <v>0.2</v>
      </c>
      <c r="NX147">
        <v>0.2</v>
      </c>
      <c r="NY147">
        <v>0.2</v>
      </c>
      <c r="NZ147">
        <v>0.2</v>
      </c>
      <c r="OE147" t="s">
        <v>4623</v>
      </c>
      <c r="OF147" t="s">
        <v>4621</v>
      </c>
      <c r="OG147" t="s">
        <v>4622</v>
      </c>
      <c r="OH147" t="s">
        <v>4043</v>
      </c>
      <c r="OI147" t="s">
        <v>4623</v>
      </c>
      <c r="OJ147" t="s">
        <v>4620</v>
      </c>
      <c r="OK147">
        <v>61</v>
      </c>
      <c r="OL147">
        <v>61</v>
      </c>
      <c r="OM147" t="s">
        <v>4621</v>
      </c>
      <c r="ON147">
        <v>1</v>
      </c>
      <c r="OO147">
        <v>2264</v>
      </c>
      <c r="OP147">
        <v>61</v>
      </c>
      <c r="OQ147">
        <v>61</v>
      </c>
      <c r="OR147" t="s">
        <v>4622</v>
      </c>
      <c r="OS147">
        <v>1</v>
      </c>
      <c r="OT147">
        <v>2277</v>
      </c>
      <c r="OU147">
        <v>65</v>
      </c>
      <c r="OV147">
        <v>65</v>
      </c>
      <c r="OW147" t="s">
        <v>4043</v>
      </c>
      <c r="OX147">
        <v>2</v>
      </c>
      <c r="OY147">
        <v>51224</v>
      </c>
      <c r="OZ147">
        <v>51</v>
      </c>
      <c r="PA147">
        <v>51</v>
      </c>
      <c r="PB147" t="s">
        <v>4623</v>
      </c>
      <c r="PC147">
        <v>2</v>
      </c>
      <c r="PD147">
        <v>2308</v>
      </c>
      <c r="PF147">
        <v>567</v>
      </c>
      <c r="PG147">
        <v>35</v>
      </c>
      <c r="PH147">
        <v>543</v>
      </c>
      <c r="PI147">
        <v>0</v>
      </c>
      <c r="PJ147">
        <v>132.3</v>
      </c>
      <c r="PK147">
        <v>2360</v>
      </c>
      <c r="PL147">
        <v>1809.7</v>
      </c>
      <c r="PM147">
        <v>309.1</v>
      </c>
      <c r="PN147">
        <v>114.8</v>
      </c>
      <c r="PO147">
        <v>9.300000000000001</v>
      </c>
      <c r="PP147">
        <v>12</v>
      </c>
      <c r="PQ147">
        <v>4</v>
      </c>
      <c r="PR147">
        <v>4</v>
      </c>
      <c r="PS147">
        <v>0</v>
      </c>
      <c r="PT147">
        <v>284</v>
      </c>
      <c r="PU147">
        <v>15</v>
      </c>
      <c r="PV147" t="s">
        <v>4072</v>
      </c>
      <c r="PW147" t="s">
        <v>4072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-1</v>
      </c>
      <c r="QF147">
        <v>1</v>
      </c>
      <c r="QG147">
        <v>0</v>
      </c>
      <c r="QH147">
        <v>5</v>
      </c>
      <c r="QI147">
        <v>5</v>
      </c>
      <c r="QJ147">
        <v>5</v>
      </c>
      <c r="QK147">
        <v>245</v>
      </c>
      <c r="QL147">
        <v>490</v>
      </c>
      <c r="QM147">
        <v>7.5</v>
      </c>
      <c r="QN147">
        <v>1544.1</v>
      </c>
      <c r="QO147" t="s">
        <v>2240</v>
      </c>
      <c r="QP147" t="s">
        <v>513</v>
      </c>
      <c r="QQ147">
        <v>0</v>
      </c>
      <c r="QR147" t="s">
        <v>596</v>
      </c>
      <c r="QS147">
        <v>40</v>
      </c>
      <c r="QT147">
        <v>50</v>
      </c>
    </row>
    <row r="148" spans="1:462">
      <c r="A148" t="s">
        <v>2253</v>
      </c>
      <c r="B148" t="s">
        <v>559</v>
      </c>
      <c r="C148" t="s">
        <v>509</v>
      </c>
      <c r="D148" t="s">
        <v>2252</v>
      </c>
      <c r="E148" t="s">
        <v>4036</v>
      </c>
      <c r="H148" t="s">
        <v>561</v>
      </c>
      <c r="J148" t="s">
        <v>562</v>
      </c>
      <c r="K148" t="s">
        <v>563</v>
      </c>
      <c r="L148" t="s">
        <v>564</v>
      </c>
      <c r="M148" t="s">
        <v>512</v>
      </c>
      <c r="O148" t="s">
        <v>513</v>
      </c>
      <c r="P148" t="s">
        <v>567</v>
      </c>
      <c r="Q148" t="s">
        <v>866</v>
      </c>
      <c r="R148" t="s">
        <v>867</v>
      </c>
      <c r="S148" t="s">
        <v>4134</v>
      </c>
      <c r="T148" t="s">
        <v>570</v>
      </c>
      <c r="U148" t="s">
        <v>571</v>
      </c>
      <c r="V148" t="s">
        <v>2254</v>
      </c>
      <c r="W148" t="s">
        <v>2244</v>
      </c>
      <c r="X148" t="s">
        <v>2255</v>
      </c>
      <c r="Y148" t="s">
        <v>2256</v>
      </c>
      <c r="Z148" t="s">
        <v>541</v>
      </c>
      <c r="AA148" t="s">
        <v>4038</v>
      </c>
      <c r="AB148" t="s">
        <v>4624</v>
      </c>
      <c r="AC148">
        <v>9</v>
      </c>
      <c r="AD148" t="s">
        <v>2251</v>
      </c>
      <c r="AE148">
        <v>6</v>
      </c>
      <c r="AF148">
        <v>5785</v>
      </c>
      <c r="AG148" t="s">
        <v>4625</v>
      </c>
      <c r="AH148">
        <v>1</v>
      </c>
      <c r="AI148" t="s">
        <v>4041</v>
      </c>
      <c r="AK148" t="s">
        <v>4626</v>
      </c>
      <c r="AL148">
        <v>1</v>
      </c>
      <c r="AM148" t="s">
        <v>582</v>
      </c>
      <c r="AO148" t="s">
        <v>4043</v>
      </c>
      <c r="AP148">
        <v>1</v>
      </c>
      <c r="AR148" t="s">
        <v>4627</v>
      </c>
      <c r="AS148">
        <v>1</v>
      </c>
      <c r="AT148">
        <v>51</v>
      </c>
      <c r="AV148" t="s">
        <v>4078</v>
      </c>
      <c r="AW148">
        <v>6.4</v>
      </c>
      <c r="AX148">
        <v>-6</v>
      </c>
      <c r="AY148">
        <v>117.5</v>
      </c>
      <c r="AZ148">
        <v>99</v>
      </c>
      <c r="BH148">
        <v>117.5</v>
      </c>
      <c r="BI148">
        <v>18.5</v>
      </c>
      <c r="BJ148">
        <v>99</v>
      </c>
      <c r="BK148">
        <v>2.5</v>
      </c>
      <c r="BL148">
        <v>235</v>
      </c>
      <c r="BM148">
        <v>-6</v>
      </c>
      <c r="BN148">
        <v>0</v>
      </c>
      <c r="BO148">
        <v>0</v>
      </c>
      <c r="BP148">
        <v>0</v>
      </c>
      <c r="BR148">
        <v>230</v>
      </c>
      <c r="BS148">
        <v>220</v>
      </c>
      <c r="BT148">
        <v>2150</v>
      </c>
      <c r="BU148" t="s">
        <v>4127</v>
      </c>
      <c r="BV148" t="s">
        <v>4127</v>
      </c>
      <c r="BW148" t="s">
        <v>4128</v>
      </c>
      <c r="BX148" t="s">
        <v>4128</v>
      </c>
      <c r="BY148" t="s">
        <v>4139</v>
      </c>
      <c r="BZ148" t="s">
        <v>4164</v>
      </c>
      <c r="CA148" t="s">
        <v>4084</v>
      </c>
      <c r="CB148" t="s">
        <v>4085</v>
      </c>
      <c r="CC148" t="s">
        <v>4053</v>
      </c>
      <c r="CD148" t="s">
        <v>4055</v>
      </c>
      <c r="CE148" t="s">
        <v>4055</v>
      </c>
      <c r="CF148" t="s">
        <v>4055</v>
      </c>
      <c r="CG148" t="s">
        <v>4056</v>
      </c>
      <c r="CI148" t="s">
        <v>4086</v>
      </c>
      <c r="CJ148" t="s">
        <v>4059</v>
      </c>
      <c r="CK148" t="s">
        <v>4060</v>
      </c>
      <c r="CL148" t="s">
        <v>4061</v>
      </c>
      <c r="CM148" t="s">
        <v>4055</v>
      </c>
      <c r="CN148" t="s">
        <v>4062</v>
      </c>
      <c r="CO148" t="s">
        <v>4063</v>
      </c>
      <c r="CP148" t="s">
        <v>4055</v>
      </c>
      <c r="CQ148" t="s">
        <v>4055</v>
      </c>
      <c r="CR148">
        <v>5</v>
      </c>
      <c r="CS148" t="s">
        <v>4055</v>
      </c>
      <c r="CT148" t="s">
        <v>4055</v>
      </c>
      <c r="CU148" t="s">
        <v>4055</v>
      </c>
      <c r="CV148">
        <v>140</v>
      </c>
      <c r="CW148">
        <v>3</v>
      </c>
      <c r="CX148">
        <v>103</v>
      </c>
      <c r="CY148">
        <v>5</v>
      </c>
      <c r="CZ148">
        <v>147</v>
      </c>
      <c r="DA148">
        <v>5</v>
      </c>
      <c r="DB148">
        <v>13580</v>
      </c>
      <c r="DC148">
        <v>400</v>
      </c>
      <c r="DD148">
        <v>340</v>
      </c>
      <c r="DE148">
        <v>2273</v>
      </c>
      <c r="DF148">
        <v>2273</v>
      </c>
      <c r="DG148">
        <v>2283</v>
      </c>
      <c r="DH148">
        <v>2</v>
      </c>
      <c r="DI148" t="s">
        <v>4055</v>
      </c>
      <c r="DJ148" t="s">
        <v>4132</v>
      </c>
      <c r="DK148">
        <v>230</v>
      </c>
      <c r="DL148" t="s">
        <v>4065</v>
      </c>
      <c r="DM148">
        <v>65</v>
      </c>
      <c r="DN148">
        <v>1.1</v>
      </c>
      <c r="DO148">
        <v>1</v>
      </c>
      <c r="DP148">
        <v>2153</v>
      </c>
      <c r="DQ148">
        <v>1070</v>
      </c>
      <c r="DR148" t="s">
        <v>4132</v>
      </c>
      <c r="DS148">
        <v>220</v>
      </c>
      <c r="DT148" t="s">
        <v>4065</v>
      </c>
      <c r="DU148">
        <v>65</v>
      </c>
      <c r="DV148">
        <v>1.1</v>
      </c>
      <c r="DW148">
        <v>1</v>
      </c>
      <c r="DX148">
        <v>2165</v>
      </c>
      <c r="DY148">
        <v>1031</v>
      </c>
      <c r="DZ148" t="s">
        <v>4066</v>
      </c>
      <c r="EA148">
        <v>20</v>
      </c>
      <c r="EB148" t="s">
        <v>4065</v>
      </c>
      <c r="EC148">
        <v>0.8</v>
      </c>
      <c r="ED148">
        <v>2153</v>
      </c>
      <c r="EE148">
        <v>75</v>
      </c>
      <c r="EG148">
        <v>0</v>
      </c>
      <c r="EH148" t="s">
        <v>4065</v>
      </c>
      <c r="EI148">
        <v>0</v>
      </c>
      <c r="EL148" t="s">
        <v>1528</v>
      </c>
      <c r="EM148">
        <v>12</v>
      </c>
      <c r="EN148">
        <v>0.5</v>
      </c>
      <c r="EO148">
        <v>0.96</v>
      </c>
      <c r="EP148">
        <v>2163.83</v>
      </c>
      <c r="EQ148">
        <v>41755.16</v>
      </c>
      <c r="ER148">
        <v>6272.26</v>
      </c>
      <c r="ES148">
        <v>0</v>
      </c>
      <c r="ET148">
        <v>0</v>
      </c>
      <c r="EU148">
        <v>1</v>
      </c>
      <c r="EV148">
        <v>48028</v>
      </c>
      <c r="EW148">
        <v>577</v>
      </c>
      <c r="EX148" t="s">
        <v>4619</v>
      </c>
      <c r="EY148">
        <v>250</v>
      </c>
      <c r="EZ148" t="s">
        <v>4055</v>
      </c>
      <c r="FA148">
        <v>5.8</v>
      </c>
      <c r="FB148">
        <v>1</v>
      </c>
      <c r="FC148">
        <v>1</v>
      </c>
      <c r="FD148">
        <v>2195</v>
      </c>
      <c r="FE148">
        <v>3725</v>
      </c>
      <c r="FF148" t="s">
        <v>4089</v>
      </c>
      <c r="FG148">
        <v>250</v>
      </c>
      <c r="FH148" t="s">
        <v>4055</v>
      </c>
      <c r="FI148">
        <v>1.6</v>
      </c>
      <c r="FJ148">
        <v>2195</v>
      </c>
      <c r="FK148">
        <v>893</v>
      </c>
      <c r="FL148" t="s">
        <v>4069</v>
      </c>
      <c r="FM148" t="s">
        <v>4055</v>
      </c>
      <c r="FN148" t="s">
        <v>4055</v>
      </c>
      <c r="FO148" t="s">
        <v>4055</v>
      </c>
      <c r="FP148">
        <v>2195</v>
      </c>
      <c r="FQ148">
        <v>156</v>
      </c>
      <c r="FR148" t="s">
        <v>4090</v>
      </c>
      <c r="FS148">
        <v>254</v>
      </c>
      <c r="FT148" t="s">
        <v>4055</v>
      </c>
      <c r="FU148">
        <v>0.4</v>
      </c>
      <c r="FV148">
        <v>2195</v>
      </c>
      <c r="FW148">
        <v>248</v>
      </c>
      <c r="FX148" t="s">
        <v>4070</v>
      </c>
      <c r="FY148">
        <v>5</v>
      </c>
      <c r="FZ148" t="s">
        <v>4055</v>
      </c>
      <c r="GA148" t="s">
        <v>4055</v>
      </c>
      <c r="GB148">
        <v>2195</v>
      </c>
      <c r="GC148">
        <v>20</v>
      </c>
      <c r="GD148">
        <v>5042</v>
      </c>
      <c r="GE148" t="s">
        <v>4627</v>
      </c>
      <c r="GF148" t="s">
        <v>4055</v>
      </c>
      <c r="GG148" t="s">
        <v>4055</v>
      </c>
      <c r="GH148" t="s">
        <v>4055</v>
      </c>
      <c r="GI148" t="s">
        <v>4071</v>
      </c>
      <c r="GJ148" t="s">
        <v>4055</v>
      </c>
      <c r="GK148" t="s">
        <v>4055</v>
      </c>
      <c r="GL148" t="s">
        <v>4055</v>
      </c>
      <c r="GM148" t="s">
        <v>4055</v>
      </c>
      <c r="GQ148">
        <v>0</v>
      </c>
      <c r="GV148">
        <v>7.8</v>
      </c>
      <c r="GW148">
        <v>9.199999999999999</v>
      </c>
      <c r="GX148">
        <v>0.5</v>
      </c>
      <c r="GY148">
        <v>222</v>
      </c>
      <c r="GZ148">
        <v>3</v>
      </c>
      <c r="HA148">
        <v>270</v>
      </c>
      <c r="HB148">
        <v>3</v>
      </c>
      <c r="HC148">
        <v>2195</v>
      </c>
      <c r="HD148">
        <v>4</v>
      </c>
      <c r="HE148" t="s">
        <v>4071</v>
      </c>
      <c r="HG148" t="s">
        <v>549</v>
      </c>
      <c r="HL148">
        <v>4</v>
      </c>
      <c r="HM148">
        <v>20</v>
      </c>
      <c r="HN148">
        <v>6</v>
      </c>
      <c r="HO148">
        <v>1</v>
      </c>
      <c r="HP148">
        <v>0</v>
      </c>
      <c r="HQ148">
        <v>0</v>
      </c>
      <c r="HR148">
        <v>3</v>
      </c>
      <c r="HS148">
        <v>2150</v>
      </c>
      <c r="HT148">
        <v>5</v>
      </c>
      <c r="HU148">
        <v>1</v>
      </c>
      <c r="HV148">
        <v>3</v>
      </c>
      <c r="HW148">
        <v>0</v>
      </c>
      <c r="HX148">
        <v>1</v>
      </c>
      <c r="HY148">
        <v>0</v>
      </c>
      <c r="HZ148">
        <v>65</v>
      </c>
      <c r="IA148">
        <v>2153</v>
      </c>
      <c r="IB148">
        <v>2165</v>
      </c>
      <c r="ID148">
        <v>2195</v>
      </c>
      <c r="IE148">
        <v>2195</v>
      </c>
      <c r="IF148">
        <v>230</v>
      </c>
      <c r="IG148">
        <v>220</v>
      </c>
      <c r="IH148">
        <v>270</v>
      </c>
      <c r="II148">
        <v>1</v>
      </c>
      <c r="IJ148">
        <v>5</v>
      </c>
      <c r="IK148">
        <v>0</v>
      </c>
      <c r="IL148">
        <v>0</v>
      </c>
      <c r="IM148">
        <v>0</v>
      </c>
      <c r="IN148">
        <v>270</v>
      </c>
      <c r="IO148">
        <v>0</v>
      </c>
      <c r="IP148">
        <v>180</v>
      </c>
      <c r="IQ148">
        <v>0</v>
      </c>
      <c r="IR148">
        <v>330</v>
      </c>
      <c r="IS148">
        <v>0</v>
      </c>
      <c r="IT148">
        <v>90</v>
      </c>
      <c r="IU148">
        <v>0</v>
      </c>
      <c r="IV148">
        <v>6.4</v>
      </c>
      <c r="IW148">
        <v>-6</v>
      </c>
      <c r="IX148">
        <v>117.5</v>
      </c>
      <c r="IY148">
        <v>99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386</v>
      </c>
      <c r="JJ148">
        <v>356</v>
      </c>
      <c r="JK148">
        <v>250</v>
      </c>
      <c r="JL148">
        <v>352</v>
      </c>
      <c r="JM148">
        <v>280</v>
      </c>
      <c r="JN148">
        <v>240</v>
      </c>
      <c r="JO148">
        <v>280</v>
      </c>
      <c r="JP148">
        <v>195</v>
      </c>
      <c r="JQ148">
        <v>254</v>
      </c>
      <c r="JR148">
        <v>295</v>
      </c>
      <c r="JS148">
        <v>260</v>
      </c>
      <c r="JT148">
        <v>0</v>
      </c>
      <c r="JU148">
        <v>0</v>
      </c>
      <c r="JV148">
        <v>280</v>
      </c>
      <c r="JW148">
        <v>276</v>
      </c>
      <c r="JX148">
        <v>274</v>
      </c>
      <c r="JY148">
        <v>270</v>
      </c>
      <c r="JZ148">
        <v>0.5</v>
      </c>
      <c r="KA148">
        <v>0.2</v>
      </c>
      <c r="KB148">
        <v>0.4</v>
      </c>
      <c r="KC148">
        <v>0.42</v>
      </c>
      <c r="KD148">
        <v>0.3</v>
      </c>
      <c r="KE148">
        <v>0.5</v>
      </c>
      <c r="KF148">
        <v>0.2</v>
      </c>
      <c r="KG148">
        <v>0.11</v>
      </c>
      <c r="KH148">
        <v>3.5</v>
      </c>
      <c r="KI148">
        <v>1</v>
      </c>
      <c r="KJ148">
        <v>4.5</v>
      </c>
      <c r="KK148">
        <v>0</v>
      </c>
      <c r="KL148">
        <v>4.5</v>
      </c>
      <c r="KM148">
        <v>0.5</v>
      </c>
      <c r="KN148">
        <v>1.6</v>
      </c>
      <c r="KO148">
        <v>1</v>
      </c>
      <c r="KP148">
        <v>0</v>
      </c>
      <c r="KQ148">
        <v>0.6</v>
      </c>
      <c r="KR148">
        <v>0.6</v>
      </c>
      <c r="KS148">
        <v>0</v>
      </c>
      <c r="KT148">
        <v>2.9</v>
      </c>
      <c r="KU148">
        <v>0</v>
      </c>
      <c r="KV148">
        <v>0</v>
      </c>
      <c r="KW148">
        <v>1.2</v>
      </c>
      <c r="KX148">
        <v>1</v>
      </c>
      <c r="KY148">
        <v>1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3</v>
      </c>
      <c r="LI148">
        <v>0.5</v>
      </c>
      <c r="LJ148">
        <v>0</v>
      </c>
      <c r="LK148">
        <v>7</v>
      </c>
      <c r="LL148">
        <v>8</v>
      </c>
      <c r="LM148">
        <v>12</v>
      </c>
      <c r="LN148">
        <v>0.1</v>
      </c>
      <c r="LO148">
        <v>0.1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1.8</v>
      </c>
      <c r="LX148">
        <v>1.8</v>
      </c>
      <c r="LY148">
        <v>2.1</v>
      </c>
      <c r="LZ148">
        <v>2.1</v>
      </c>
      <c r="MA148">
        <v>0</v>
      </c>
      <c r="MB148">
        <v>5</v>
      </c>
      <c r="MC148">
        <v>0</v>
      </c>
      <c r="MD148">
        <v>4.5</v>
      </c>
      <c r="ME148">
        <v>6</v>
      </c>
      <c r="MF148">
        <v>6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420</v>
      </c>
      <c r="MN148">
        <v>215</v>
      </c>
      <c r="MO148">
        <v>280</v>
      </c>
      <c r="NU148">
        <v>0.15</v>
      </c>
      <c r="NV148">
        <v>0.2</v>
      </c>
      <c r="NW148">
        <v>0.2</v>
      </c>
      <c r="NX148">
        <v>0.2</v>
      </c>
      <c r="NY148">
        <v>0.2</v>
      </c>
      <c r="NZ148">
        <v>0.2</v>
      </c>
      <c r="OE148" t="s">
        <v>4627</v>
      </c>
      <c r="OF148" t="s">
        <v>4625</v>
      </c>
      <c r="OG148" t="s">
        <v>4626</v>
      </c>
      <c r="OH148" t="s">
        <v>4043</v>
      </c>
      <c r="OI148" t="s">
        <v>4627</v>
      </c>
      <c r="OJ148" t="s">
        <v>4624</v>
      </c>
      <c r="OK148">
        <v>61</v>
      </c>
      <c r="OL148">
        <v>61</v>
      </c>
      <c r="OM148" t="s">
        <v>4625</v>
      </c>
      <c r="ON148">
        <v>1</v>
      </c>
      <c r="OO148">
        <v>2153</v>
      </c>
      <c r="OP148">
        <v>61</v>
      </c>
      <c r="OQ148">
        <v>61</v>
      </c>
      <c r="OR148" t="s">
        <v>4626</v>
      </c>
      <c r="OS148">
        <v>1</v>
      </c>
      <c r="OT148">
        <v>2165</v>
      </c>
      <c r="OU148">
        <v>65</v>
      </c>
      <c r="OV148">
        <v>65</v>
      </c>
      <c r="OW148" t="s">
        <v>4043</v>
      </c>
      <c r="OX148">
        <v>2</v>
      </c>
      <c r="OY148">
        <v>48028</v>
      </c>
      <c r="OZ148">
        <v>51</v>
      </c>
      <c r="PA148">
        <v>51</v>
      </c>
      <c r="PB148" t="s">
        <v>4627</v>
      </c>
      <c r="PC148">
        <v>1</v>
      </c>
      <c r="PD148">
        <v>2195</v>
      </c>
      <c r="PF148">
        <v>497</v>
      </c>
      <c r="PG148">
        <v>35</v>
      </c>
      <c r="PH148">
        <v>476</v>
      </c>
      <c r="PI148">
        <v>0</v>
      </c>
      <c r="PJ148">
        <v>71</v>
      </c>
      <c r="PK148">
        <v>2311</v>
      </c>
      <c r="PL148">
        <v>1697.1</v>
      </c>
      <c r="PM148">
        <v>407</v>
      </c>
      <c r="PN148">
        <v>113</v>
      </c>
      <c r="PO148">
        <v>9.1</v>
      </c>
      <c r="PP148">
        <v>12</v>
      </c>
      <c r="PQ148">
        <v>5</v>
      </c>
      <c r="PR148">
        <v>5</v>
      </c>
      <c r="PS148">
        <v>0</v>
      </c>
      <c r="PT148">
        <v>270</v>
      </c>
      <c r="PU148">
        <v>10</v>
      </c>
      <c r="PV148" t="s">
        <v>4072</v>
      </c>
      <c r="PW148" t="s">
        <v>4072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-1</v>
      </c>
      <c r="QF148">
        <v>1</v>
      </c>
      <c r="QG148">
        <v>0</v>
      </c>
      <c r="QH148">
        <v>5</v>
      </c>
      <c r="QI148">
        <v>5</v>
      </c>
      <c r="QJ148">
        <v>5</v>
      </c>
      <c r="QK148">
        <v>209</v>
      </c>
      <c r="QL148">
        <v>416</v>
      </c>
      <c r="QM148">
        <v>7.5</v>
      </c>
      <c r="QN148">
        <v>1623.8</v>
      </c>
      <c r="QO148" t="s">
        <v>2240</v>
      </c>
      <c r="QP148" t="s">
        <v>513</v>
      </c>
      <c r="QQ148">
        <v>0</v>
      </c>
      <c r="QR148" t="s">
        <v>596</v>
      </c>
      <c r="QS148">
        <v>40</v>
      </c>
      <c r="QT148">
        <v>50</v>
      </c>
    </row>
    <row r="149" spans="1:462">
      <c r="A149" t="s">
        <v>2262</v>
      </c>
      <c r="B149" t="s">
        <v>564</v>
      </c>
      <c r="C149" t="s">
        <v>509</v>
      </c>
      <c r="D149" t="s">
        <v>1903</v>
      </c>
      <c r="E149" t="s">
        <v>4036</v>
      </c>
      <c r="H149" t="s">
        <v>1088</v>
      </c>
      <c r="L149" t="s">
        <v>629</v>
      </c>
      <c r="M149" t="s">
        <v>512</v>
      </c>
      <c r="O149" t="s">
        <v>513</v>
      </c>
      <c r="P149" t="s">
        <v>567</v>
      </c>
      <c r="Q149" t="s">
        <v>684</v>
      </c>
      <c r="R149" t="s">
        <v>685</v>
      </c>
      <c r="S149" t="s">
        <v>4037</v>
      </c>
      <c r="T149" t="s">
        <v>686</v>
      </c>
      <c r="U149" t="s">
        <v>687</v>
      </c>
      <c r="V149" t="s">
        <v>1879</v>
      </c>
      <c r="W149" t="s">
        <v>2244</v>
      </c>
      <c r="X149" t="s">
        <v>2263</v>
      </c>
      <c r="Y149" t="s">
        <v>2264</v>
      </c>
      <c r="Z149" t="s">
        <v>541</v>
      </c>
      <c r="AA149" t="s">
        <v>582</v>
      </c>
      <c r="AB149" t="s">
        <v>4628</v>
      </c>
      <c r="AC149">
        <v>9</v>
      </c>
      <c r="AD149" t="s">
        <v>2261</v>
      </c>
      <c r="AE149">
        <v>5</v>
      </c>
      <c r="AF149">
        <v>5782</v>
      </c>
      <c r="AG149" t="s">
        <v>4538</v>
      </c>
      <c r="AH149">
        <v>1</v>
      </c>
      <c r="AI149" t="s">
        <v>4041</v>
      </c>
      <c r="AK149" t="s">
        <v>4539</v>
      </c>
      <c r="AL149">
        <v>1</v>
      </c>
      <c r="AM149" t="s">
        <v>582</v>
      </c>
      <c r="AO149" t="s">
        <v>4043</v>
      </c>
      <c r="AP149">
        <v>1</v>
      </c>
      <c r="AR149" t="s">
        <v>4629</v>
      </c>
      <c r="AS149">
        <v>1</v>
      </c>
      <c r="AT149">
        <v>51</v>
      </c>
      <c r="AV149" t="s">
        <v>4045</v>
      </c>
      <c r="AW149">
        <v>6.4</v>
      </c>
      <c r="AX149">
        <v>-6</v>
      </c>
      <c r="AY149">
        <v>102.5</v>
      </c>
      <c r="AZ149">
        <v>90</v>
      </c>
      <c r="BA149">
        <v>0</v>
      </c>
      <c r="BB149">
        <v>0</v>
      </c>
      <c r="BC149">
        <v>0</v>
      </c>
      <c r="BH149">
        <v>102.5</v>
      </c>
      <c r="BI149">
        <v>12.5</v>
      </c>
      <c r="BJ149">
        <v>90</v>
      </c>
      <c r="BK149">
        <v>2.5</v>
      </c>
      <c r="BL149">
        <v>205</v>
      </c>
      <c r="BM149">
        <v>-6</v>
      </c>
      <c r="BN149">
        <v>0</v>
      </c>
      <c r="BO149">
        <v>0</v>
      </c>
      <c r="BP149">
        <v>0</v>
      </c>
      <c r="BR149">
        <v>200</v>
      </c>
      <c r="BS149">
        <v>190</v>
      </c>
      <c r="BT149">
        <v>2160</v>
      </c>
      <c r="BU149" t="s">
        <v>4127</v>
      </c>
      <c r="BV149" t="s">
        <v>4127</v>
      </c>
      <c r="BW149" t="s">
        <v>4128</v>
      </c>
      <c r="BX149" t="s">
        <v>4128</v>
      </c>
      <c r="BY149" t="s">
        <v>4129</v>
      </c>
      <c r="BZ149" t="s">
        <v>4129</v>
      </c>
      <c r="CA149" t="s">
        <v>4130</v>
      </c>
      <c r="CB149" t="s">
        <v>4131</v>
      </c>
      <c r="CC149" t="s">
        <v>4053</v>
      </c>
      <c r="CD149" t="s">
        <v>4055</v>
      </c>
      <c r="CE149" t="s">
        <v>4055</v>
      </c>
      <c r="CF149" t="s">
        <v>4055</v>
      </c>
      <c r="CG149" t="s">
        <v>4056</v>
      </c>
      <c r="CI149" t="s">
        <v>4086</v>
      </c>
      <c r="CJ149" t="s">
        <v>4059</v>
      </c>
      <c r="CK149" t="s">
        <v>4060</v>
      </c>
      <c r="CL149" t="s">
        <v>4061</v>
      </c>
      <c r="CM149" t="s">
        <v>4055</v>
      </c>
      <c r="CN149" t="s">
        <v>4062</v>
      </c>
      <c r="CO149" t="s">
        <v>4063</v>
      </c>
      <c r="CP149" t="s">
        <v>4055</v>
      </c>
      <c r="CQ149" t="s">
        <v>4055</v>
      </c>
      <c r="CR149">
        <v>5</v>
      </c>
      <c r="CS149" t="s">
        <v>4055</v>
      </c>
      <c r="CT149" t="s">
        <v>4055</v>
      </c>
      <c r="CU149" t="s">
        <v>4055</v>
      </c>
      <c r="CV149">
        <v>130</v>
      </c>
      <c r="CW149">
        <v>3</v>
      </c>
      <c r="CX149">
        <v>84</v>
      </c>
      <c r="CY149">
        <v>5</v>
      </c>
      <c r="CZ149">
        <v>147</v>
      </c>
      <c r="DA149">
        <v>5</v>
      </c>
      <c r="DB149">
        <v>12680</v>
      </c>
      <c r="DC149">
        <v>380</v>
      </c>
      <c r="DD149">
        <v>340</v>
      </c>
      <c r="DE149">
        <v>2270</v>
      </c>
      <c r="DF149">
        <v>2270</v>
      </c>
      <c r="DG149">
        <v>2292</v>
      </c>
      <c r="DH149">
        <v>1</v>
      </c>
      <c r="DI149" t="s">
        <v>4055</v>
      </c>
      <c r="DJ149" t="s">
        <v>4132</v>
      </c>
      <c r="DK149">
        <v>200</v>
      </c>
      <c r="DL149" t="s">
        <v>4065</v>
      </c>
      <c r="DM149">
        <v>65</v>
      </c>
      <c r="DN149">
        <v>1.1</v>
      </c>
      <c r="DO149">
        <v>1</v>
      </c>
      <c r="DP149">
        <v>2163</v>
      </c>
      <c r="DQ149">
        <v>937</v>
      </c>
      <c r="DR149" t="s">
        <v>4132</v>
      </c>
      <c r="DS149">
        <v>190</v>
      </c>
      <c r="DT149" t="s">
        <v>4065</v>
      </c>
      <c r="DU149">
        <v>65</v>
      </c>
      <c r="DV149">
        <v>1.1</v>
      </c>
      <c r="DW149">
        <v>1</v>
      </c>
      <c r="DX149">
        <v>2175</v>
      </c>
      <c r="DY149">
        <v>894</v>
      </c>
      <c r="DZ149" t="s">
        <v>4066</v>
      </c>
      <c r="EA149">
        <v>20</v>
      </c>
      <c r="EB149" t="s">
        <v>4065</v>
      </c>
      <c r="EC149">
        <v>0.8</v>
      </c>
      <c r="ED149">
        <v>2163</v>
      </c>
      <c r="EE149">
        <v>76</v>
      </c>
      <c r="EG149">
        <v>0</v>
      </c>
      <c r="EH149" t="s">
        <v>4065</v>
      </c>
      <c r="EI149">
        <v>0</v>
      </c>
      <c r="EL149" t="s">
        <v>1528</v>
      </c>
      <c r="EM149">
        <v>12</v>
      </c>
      <c r="EN149">
        <v>0.5</v>
      </c>
      <c r="EO149">
        <v>0.96</v>
      </c>
      <c r="EP149">
        <v>2173.83</v>
      </c>
      <c r="EQ149">
        <v>36853.21</v>
      </c>
      <c r="ER149">
        <v>4257.54</v>
      </c>
      <c r="ES149">
        <v>0</v>
      </c>
      <c r="ET149">
        <v>0</v>
      </c>
      <c r="EU149">
        <v>1</v>
      </c>
      <c r="EV149">
        <v>41111</v>
      </c>
      <c r="EW149">
        <v>494</v>
      </c>
      <c r="EX149" t="s">
        <v>4619</v>
      </c>
      <c r="EY149">
        <v>224</v>
      </c>
      <c r="EZ149" t="s">
        <v>4055</v>
      </c>
      <c r="FA149">
        <v>6</v>
      </c>
      <c r="FB149">
        <v>1</v>
      </c>
      <c r="FC149">
        <v>1</v>
      </c>
      <c r="FD149">
        <v>2205</v>
      </c>
      <c r="FE149">
        <v>3260</v>
      </c>
      <c r="FF149" t="s">
        <v>4089</v>
      </c>
      <c r="FG149">
        <v>224</v>
      </c>
      <c r="FH149" t="s">
        <v>4055</v>
      </c>
      <c r="FI149">
        <v>1.6</v>
      </c>
      <c r="FJ149">
        <v>2205</v>
      </c>
      <c r="FK149">
        <v>802</v>
      </c>
      <c r="FL149" t="s">
        <v>4069</v>
      </c>
      <c r="FM149" t="s">
        <v>4055</v>
      </c>
      <c r="FN149" t="s">
        <v>4055</v>
      </c>
      <c r="FO149" t="s">
        <v>4055</v>
      </c>
      <c r="FP149">
        <v>2205</v>
      </c>
      <c r="FQ149">
        <v>190</v>
      </c>
      <c r="FR149" t="s">
        <v>4090</v>
      </c>
      <c r="FS149">
        <v>228</v>
      </c>
      <c r="FT149" t="s">
        <v>4055</v>
      </c>
      <c r="FU149">
        <v>0.4</v>
      </c>
      <c r="FV149">
        <v>2205</v>
      </c>
      <c r="FW149">
        <v>224</v>
      </c>
      <c r="FX149" t="s">
        <v>4070</v>
      </c>
      <c r="FY149">
        <v>5</v>
      </c>
      <c r="FZ149" t="s">
        <v>4055</v>
      </c>
      <c r="GA149" t="s">
        <v>4055</v>
      </c>
      <c r="GB149">
        <v>2205</v>
      </c>
      <c r="GC149">
        <v>21</v>
      </c>
      <c r="GD149">
        <v>4497</v>
      </c>
      <c r="GE149" t="s">
        <v>4629</v>
      </c>
      <c r="GF149" t="s">
        <v>4055</v>
      </c>
      <c r="GG149" t="s">
        <v>4055</v>
      </c>
      <c r="GH149" t="s">
        <v>4055</v>
      </c>
      <c r="GI149" t="s">
        <v>4071</v>
      </c>
      <c r="GJ149" t="s">
        <v>4055</v>
      </c>
      <c r="GK149" t="s">
        <v>4055</v>
      </c>
      <c r="GL149" t="s">
        <v>4055</v>
      </c>
      <c r="GM149" t="s">
        <v>4055</v>
      </c>
      <c r="GQ149">
        <v>0</v>
      </c>
      <c r="GV149">
        <v>8</v>
      </c>
      <c r="GW149">
        <v>9</v>
      </c>
      <c r="GX149">
        <v>0.5</v>
      </c>
      <c r="GY149">
        <v>196</v>
      </c>
      <c r="GZ149">
        <v>3</v>
      </c>
      <c r="HA149">
        <v>246</v>
      </c>
      <c r="HB149">
        <v>3</v>
      </c>
      <c r="HC149">
        <v>2205</v>
      </c>
      <c r="HD149">
        <v>4</v>
      </c>
      <c r="HE149" t="s">
        <v>4071</v>
      </c>
      <c r="HG149" t="s">
        <v>549</v>
      </c>
      <c r="HL149">
        <v>4</v>
      </c>
      <c r="HM149">
        <v>19</v>
      </c>
      <c r="HN149">
        <v>6</v>
      </c>
      <c r="HO149">
        <v>1</v>
      </c>
      <c r="HP149">
        <v>0</v>
      </c>
      <c r="HQ149">
        <v>0</v>
      </c>
      <c r="HR149">
        <v>3</v>
      </c>
      <c r="HS149">
        <v>2160</v>
      </c>
      <c r="HT149">
        <v>5</v>
      </c>
      <c r="HU149">
        <v>1</v>
      </c>
      <c r="HV149">
        <v>3</v>
      </c>
      <c r="HW149">
        <v>0</v>
      </c>
      <c r="HX149">
        <v>1</v>
      </c>
      <c r="HY149">
        <v>0</v>
      </c>
      <c r="HZ149">
        <v>65</v>
      </c>
      <c r="IA149">
        <v>2163</v>
      </c>
      <c r="IB149">
        <v>2175</v>
      </c>
      <c r="ID149">
        <v>2205</v>
      </c>
      <c r="IE149">
        <v>2205</v>
      </c>
      <c r="IF149">
        <v>200</v>
      </c>
      <c r="IG149">
        <v>190</v>
      </c>
      <c r="IH149">
        <v>246</v>
      </c>
      <c r="II149">
        <v>1</v>
      </c>
      <c r="IJ149">
        <v>5</v>
      </c>
      <c r="IK149">
        <v>0</v>
      </c>
      <c r="IL149">
        <v>0</v>
      </c>
      <c r="IM149">
        <v>0</v>
      </c>
      <c r="IN149">
        <v>270</v>
      </c>
      <c r="IO149">
        <v>0</v>
      </c>
      <c r="IP149">
        <v>180</v>
      </c>
      <c r="IQ149">
        <v>0</v>
      </c>
      <c r="IR149">
        <v>330</v>
      </c>
      <c r="IS149">
        <v>0</v>
      </c>
      <c r="IT149">
        <v>90</v>
      </c>
      <c r="IU149">
        <v>0</v>
      </c>
      <c r="IV149">
        <v>6.4</v>
      </c>
      <c r="IW149">
        <v>-6</v>
      </c>
      <c r="IX149">
        <v>102.5</v>
      </c>
      <c r="IY149">
        <v>90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408</v>
      </c>
      <c r="JJ149">
        <v>378</v>
      </c>
      <c r="JK149">
        <v>282</v>
      </c>
      <c r="JL149">
        <v>374</v>
      </c>
      <c r="JM149">
        <v>282</v>
      </c>
      <c r="JN149">
        <v>195</v>
      </c>
      <c r="JO149">
        <v>256</v>
      </c>
      <c r="JP149">
        <v>185</v>
      </c>
      <c r="JQ149">
        <v>230</v>
      </c>
      <c r="JR149">
        <v>306</v>
      </c>
      <c r="JS149">
        <v>235</v>
      </c>
      <c r="JT149">
        <v>0</v>
      </c>
      <c r="JU149">
        <v>0</v>
      </c>
      <c r="JV149">
        <v>301</v>
      </c>
      <c r="JW149">
        <v>291</v>
      </c>
      <c r="JX149">
        <v>286</v>
      </c>
      <c r="JY149">
        <v>266</v>
      </c>
      <c r="JZ149">
        <v>0.5</v>
      </c>
      <c r="KA149">
        <v>0.21</v>
      </c>
      <c r="KB149">
        <v>0.4</v>
      </c>
      <c r="KC149">
        <v>0.42</v>
      </c>
      <c r="KD149">
        <v>0.28</v>
      </c>
      <c r="KE149">
        <v>0.5</v>
      </c>
      <c r="KF149">
        <v>0.18</v>
      </c>
      <c r="KG149">
        <v>0.11</v>
      </c>
      <c r="KH149">
        <v>3.5</v>
      </c>
      <c r="KI149">
        <v>1</v>
      </c>
      <c r="KJ149">
        <v>4.5</v>
      </c>
      <c r="KK149">
        <v>0</v>
      </c>
      <c r="KL149">
        <v>4.5</v>
      </c>
      <c r="KM149">
        <v>0.5</v>
      </c>
      <c r="KN149">
        <v>1.8</v>
      </c>
      <c r="KO149">
        <v>0</v>
      </c>
      <c r="KP149">
        <v>0</v>
      </c>
      <c r="KQ149">
        <v>0.8</v>
      </c>
      <c r="KR149">
        <v>1</v>
      </c>
      <c r="KS149">
        <v>0.2</v>
      </c>
      <c r="KT149">
        <v>2.1</v>
      </c>
      <c r="KU149">
        <v>0</v>
      </c>
      <c r="KV149">
        <v>0</v>
      </c>
      <c r="KW149">
        <v>1</v>
      </c>
      <c r="KX149">
        <v>1.5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3</v>
      </c>
      <c r="LI149">
        <v>0.5</v>
      </c>
      <c r="LJ149">
        <v>0</v>
      </c>
      <c r="LK149">
        <v>4.5</v>
      </c>
      <c r="LL149">
        <v>4.5</v>
      </c>
      <c r="LM149">
        <v>8</v>
      </c>
      <c r="LN149">
        <v>0.1</v>
      </c>
      <c r="LO149">
        <v>0.1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1.8</v>
      </c>
      <c r="LX149">
        <v>1.8</v>
      </c>
      <c r="LY149">
        <v>2</v>
      </c>
      <c r="LZ149">
        <v>2</v>
      </c>
      <c r="MA149">
        <v>0</v>
      </c>
      <c r="MB149">
        <v>3.5</v>
      </c>
      <c r="MC149">
        <v>0</v>
      </c>
      <c r="MD149">
        <v>4.5</v>
      </c>
      <c r="ME149">
        <v>6</v>
      </c>
      <c r="MF149">
        <v>6</v>
      </c>
      <c r="MI149">
        <v>0</v>
      </c>
      <c r="MJ149">
        <v>0</v>
      </c>
      <c r="ML149">
        <v>0</v>
      </c>
      <c r="MM149">
        <v>420</v>
      </c>
      <c r="MN149">
        <v>200</v>
      </c>
      <c r="MO149">
        <v>256</v>
      </c>
      <c r="NU149">
        <v>0.15</v>
      </c>
      <c r="NV149">
        <v>0.2</v>
      </c>
      <c r="NW149">
        <v>0.2</v>
      </c>
      <c r="NX149">
        <v>0.2</v>
      </c>
      <c r="NY149">
        <v>0.2</v>
      </c>
      <c r="NZ149">
        <v>0.2</v>
      </c>
      <c r="OE149" t="s">
        <v>4629</v>
      </c>
      <c r="OF149" t="s">
        <v>4538</v>
      </c>
      <c r="OG149" t="s">
        <v>4539</v>
      </c>
      <c r="OH149" t="s">
        <v>4043</v>
      </c>
      <c r="OI149" t="s">
        <v>4629</v>
      </c>
      <c r="OJ149" t="s">
        <v>4628</v>
      </c>
      <c r="OK149">
        <v>61</v>
      </c>
      <c r="OL149">
        <v>61</v>
      </c>
      <c r="OM149" t="s">
        <v>4538</v>
      </c>
      <c r="ON149">
        <v>1</v>
      </c>
      <c r="OO149">
        <v>2163</v>
      </c>
      <c r="OP149">
        <v>61</v>
      </c>
      <c r="OQ149">
        <v>61</v>
      </c>
      <c r="OR149" t="s">
        <v>4539</v>
      </c>
      <c r="OS149">
        <v>1</v>
      </c>
      <c r="OT149">
        <v>2175</v>
      </c>
      <c r="OU149">
        <v>65</v>
      </c>
      <c r="OV149">
        <v>65</v>
      </c>
      <c r="OW149" t="s">
        <v>4043</v>
      </c>
      <c r="OX149">
        <v>2</v>
      </c>
      <c r="OY149">
        <v>41111</v>
      </c>
      <c r="OZ149">
        <v>51</v>
      </c>
      <c r="PA149">
        <v>51</v>
      </c>
      <c r="PB149" t="s">
        <v>4629</v>
      </c>
      <c r="PC149">
        <v>3</v>
      </c>
      <c r="PD149">
        <v>2205</v>
      </c>
      <c r="PF149">
        <v>433</v>
      </c>
      <c r="PG149">
        <v>35</v>
      </c>
      <c r="PH149">
        <v>411</v>
      </c>
      <c r="PI149">
        <v>0</v>
      </c>
      <c r="PJ149">
        <v>86.09999999999999</v>
      </c>
      <c r="PK149">
        <v>2021</v>
      </c>
      <c r="PL149">
        <v>1478.4</v>
      </c>
      <c r="PM149">
        <v>363.5</v>
      </c>
      <c r="PN149">
        <v>101.4</v>
      </c>
      <c r="PO149">
        <v>9.300000000000001</v>
      </c>
      <c r="PP149">
        <v>12</v>
      </c>
      <c r="PQ149">
        <v>5</v>
      </c>
      <c r="PR149">
        <v>5</v>
      </c>
      <c r="PS149">
        <v>0</v>
      </c>
      <c r="PT149">
        <v>246</v>
      </c>
      <c r="PU149">
        <v>11</v>
      </c>
      <c r="PV149" t="s">
        <v>4072</v>
      </c>
      <c r="PW149" t="s">
        <v>4072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-1</v>
      </c>
      <c r="QF149">
        <v>1</v>
      </c>
      <c r="QG149">
        <v>0</v>
      </c>
      <c r="QH149">
        <v>5</v>
      </c>
      <c r="QI149">
        <v>5</v>
      </c>
      <c r="QJ149">
        <v>5</v>
      </c>
      <c r="QK149">
        <v>220</v>
      </c>
      <c r="QL149">
        <v>438</v>
      </c>
      <c r="QM149">
        <v>7.5</v>
      </c>
      <c r="QN149">
        <v>1544.1</v>
      </c>
      <c r="QO149" t="s">
        <v>2240</v>
      </c>
      <c r="QP149" t="s">
        <v>513</v>
      </c>
      <c r="QQ149">
        <v>0</v>
      </c>
      <c r="QR149" t="s">
        <v>596</v>
      </c>
      <c r="QS149">
        <v>40</v>
      </c>
      <c r="QT149">
        <v>50</v>
      </c>
    </row>
    <row r="150" spans="1:462">
      <c r="A150" t="s">
        <v>2269</v>
      </c>
      <c r="B150" t="s">
        <v>711</v>
      </c>
      <c r="C150" t="s">
        <v>509</v>
      </c>
      <c r="D150" t="s">
        <v>2932</v>
      </c>
      <c r="E150" t="s">
        <v>4036</v>
      </c>
      <c r="H150" t="s">
        <v>1135</v>
      </c>
      <c r="J150" t="s">
        <v>562</v>
      </c>
      <c r="K150" t="s">
        <v>563</v>
      </c>
      <c r="L150" t="s">
        <v>804</v>
      </c>
      <c r="M150" t="s">
        <v>512</v>
      </c>
      <c r="O150" t="s">
        <v>513</v>
      </c>
      <c r="P150" t="s">
        <v>567</v>
      </c>
      <c r="Q150" t="s">
        <v>1326</v>
      </c>
      <c r="R150" t="s">
        <v>1327</v>
      </c>
      <c r="S150" t="s">
        <v>4073</v>
      </c>
      <c r="T150" t="s">
        <v>570</v>
      </c>
      <c r="U150" t="s">
        <v>571</v>
      </c>
      <c r="V150" t="s">
        <v>1879</v>
      </c>
      <c r="W150" t="s">
        <v>2244</v>
      </c>
      <c r="X150" t="s">
        <v>2270</v>
      </c>
      <c r="Y150" t="s">
        <v>2271</v>
      </c>
      <c r="Z150" t="s">
        <v>541</v>
      </c>
      <c r="AA150" t="s">
        <v>4038</v>
      </c>
      <c r="AB150" t="s">
        <v>4630</v>
      </c>
      <c r="AC150">
        <v>9</v>
      </c>
      <c r="AD150" t="s">
        <v>2268</v>
      </c>
      <c r="AE150">
        <v>3</v>
      </c>
      <c r="AF150">
        <v>6123</v>
      </c>
      <c r="AG150" t="s">
        <v>4227</v>
      </c>
      <c r="AH150">
        <v>1</v>
      </c>
      <c r="AI150" t="s">
        <v>4041</v>
      </c>
      <c r="AK150" t="s">
        <v>4228</v>
      </c>
      <c r="AL150">
        <v>1</v>
      </c>
      <c r="AM150" t="s">
        <v>582</v>
      </c>
      <c r="AO150" t="s">
        <v>4043</v>
      </c>
      <c r="AP150">
        <v>1</v>
      </c>
      <c r="AR150" t="s">
        <v>4631</v>
      </c>
      <c r="AS150">
        <v>1</v>
      </c>
      <c r="AT150">
        <v>51</v>
      </c>
      <c r="AV150" t="s">
        <v>4078</v>
      </c>
      <c r="AW150">
        <v>6.4</v>
      </c>
      <c r="AX150">
        <v>-6</v>
      </c>
      <c r="AY150">
        <v>105</v>
      </c>
      <c r="AZ150">
        <v>75</v>
      </c>
      <c r="BH150">
        <v>105</v>
      </c>
      <c r="BI150">
        <v>30</v>
      </c>
      <c r="BJ150">
        <v>75</v>
      </c>
      <c r="BK150">
        <v>2.5</v>
      </c>
      <c r="BL150">
        <v>210</v>
      </c>
      <c r="BM150">
        <v>-6</v>
      </c>
      <c r="BN150">
        <v>0</v>
      </c>
      <c r="BP150">
        <v>0</v>
      </c>
      <c r="BR150">
        <v>205</v>
      </c>
      <c r="BS150">
        <v>195</v>
      </c>
      <c r="BT150">
        <v>2200</v>
      </c>
      <c r="BU150" t="s">
        <v>4127</v>
      </c>
      <c r="BV150" t="s">
        <v>4079</v>
      </c>
      <c r="BW150" t="s">
        <v>4128</v>
      </c>
      <c r="BX150" t="s">
        <v>4081</v>
      </c>
      <c r="BY150" t="s">
        <v>4164</v>
      </c>
      <c r="BZ150" t="s">
        <v>4139</v>
      </c>
      <c r="CA150" t="s">
        <v>4084</v>
      </c>
      <c r="CB150" t="s">
        <v>4085</v>
      </c>
      <c r="CC150" t="s">
        <v>4053</v>
      </c>
      <c r="CD150" t="s">
        <v>4055</v>
      </c>
      <c r="CE150" t="s">
        <v>4055</v>
      </c>
      <c r="CF150" t="s">
        <v>4055</v>
      </c>
      <c r="CG150" t="s">
        <v>4056</v>
      </c>
      <c r="CI150" t="s">
        <v>4086</v>
      </c>
      <c r="CJ150" t="s">
        <v>4059</v>
      </c>
      <c r="CK150" t="s">
        <v>4060</v>
      </c>
      <c r="CL150" t="s">
        <v>4061</v>
      </c>
      <c r="CM150" t="s">
        <v>4055</v>
      </c>
      <c r="CN150" t="s">
        <v>4062</v>
      </c>
      <c r="CO150" t="s">
        <v>4063</v>
      </c>
      <c r="CP150" t="s">
        <v>4055</v>
      </c>
      <c r="CQ150" t="s">
        <v>4055</v>
      </c>
      <c r="CR150">
        <v>5</v>
      </c>
      <c r="CS150" t="s">
        <v>4055</v>
      </c>
      <c r="CT150" t="s">
        <v>4055</v>
      </c>
      <c r="CU150" t="s">
        <v>4055</v>
      </c>
      <c r="CV150">
        <v>130</v>
      </c>
      <c r="CW150">
        <v>3</v>
      </c>
      <c r="CX150">
        <v>88</v>
      </c>
      <c r="CY150">
        <v>5</v>
      </c>
      <c r="CZ150">
        <v>143</v>
      </c>
      <c r="DA150">
        <v>5</v>
      </c>
      <c r="DB150">
        <v>13420</v>
      </c>
      <c r="DC150">
        <v>400</v>
      </c>
      <c r="DD150">
        <v>355</v>
      </c>
      <c r="DE150">
        <v>2322</v>
      </c>
      <c r="DF150">
        <v>2322</v>
      </c>
      <c r="DG150">
        <v>2333</v>
      </c>
      <c r="DH150">
        <v>3</v>
      </c>
      <c r="DI150" t="s">
        <v>4055</v>
      </c>
      <c r="DJ150" t="s">
        <v>4132</v>
      </c>
      <c r="DK150">
        <v>205</v>
      </c>
      <c r="DL150" t="s">
        <v>4065</v>
      </c>
      <c r="DM150">
        <v>65</v>
      </c>
      <c r="DN150">
        <v>1.1</v>
      </c>
      <c r="DO150">
        <v>1</v>
      </c>
      <c r="DP150">
        <v>2203</v>
      </c>
      <c r="DQ150">
        <v>976</v>
      </c>
      <c r="DR150" t="s">
        <v>4132</v>
      </c>
      <c r="DS150">
        <v>195</v>
      </c>
      <c r="DT150" t="s">
        <v>4065</v>
      </c>
      <c r="DU150">
        <v>65</v>
      </c>
      <c r="DV150">
        <v>1.1</v>
      </c>
      <c r="DW150">
        <v>1</v>
      </c>
      <c r="DX150">
        <v>2215</v>
      </c>
      <c r="DY150">
        <v>935</v>
      </c>
      <c r="DZ150" t="s">
        <v>4066</v>
      </c>
      <c r="EA150">
        <v>20</v>
      </c>
      <c r="EB150" t="s">
        <v>4065</v>
      </c>
      <c r="EC150">
        <v>0.8</v>
      </c>
      <c r="ED150">
        <v>2203</v>
      </c>
      <c r="EE150">
        <v>77</v>
      </c>
      <c r="EG150">
        <v>0</v>
      </c>
      <c r="EH150" t="s">
        <v>4065</v>
      </c>
      <c r="EI150">
        <v>0</v>
      </c>
      <c r="EL150" t="s">
        <v>1528</v>
      </c>
      <c r="EM150">
        <v>12</v>
      </c>
      <c r="EN150">
        <v>0.5</v>
      </c>
      <c r="EO150">
        <v>0.96</v>
      </c>
      <c r="EP150">
        <v>2213.83</v>
      </c>
      <c r="EQ150">
        <v>38396.11</v>
      </c>
      <c r="ER150">
        <v>10405.6</v>
      </c>
      <c r="ES150">
        <v>0</v>
      </c>
      <c r="ET150">
        <v>0</v>
      </c>
      <c r="EU150">
        <v>1</v>
      </c>
      <c r="EV150">
        <v>48802</v>
      </c>
      <c r="EW150">
        <v>586</v>
      </c>
      <c r="EX150" t="s">
        <v>4619</v>
      </c>
      <c r="EY150">
        <v>228</v>
      </c>
      <c r="EZ150" t="s">
        <v>4055</v>
      </c>
      <c r="FA150">
        <v>6</v>
      </c>
      <c r="FB150">
        <v>1</v>
      </c>
      <c r="FC150">
        <v>1</v>
      </c>
      <c r="FD150">
        <v>2245</v>
      </c>
      <c r="FE150">
        <v>3450</v>
      </c>
      <c r="FF150" t="s">
        <v>4089</v>
      </c>
      <c r="FG150">
        <v>228</v>
      </c>
      <c r="FH150" t="s">
        <v>4055</v>
      </c>
      <c r="FI150">
        <v>1.6</v>
      </c>
      <c r="FJ150">
        <v>2245</v>
      </c>
      <c r="FK150">
        <v>824</v>
      </c>
      <c r="FL150" t="s">
        <v>4069</v>
      </c>
      <c r="FM150" t="s">
        <v>4055</v>
      </c>
      <c r="FN150" t="s">
        <v>4055</v>
      </c>
      <c r="FO150" t="s">
        <v>4055</v>
      </c>
      <c r="FP150">
        <v>2245</v>
      </c>
      <c r="FQ150">
        <v>190</v>
      </c>
      <c r="FR150" t="s">
        <v>4090</v>
      </c>
      <c r="FS150">
        <v>232</v>
      </c>
      <c r="FT150" t="s">
        <v>4055</v>
      </c>
      <c r="FU150">
        <v>0.4</v>
      </c>
      <c r="FV150">
        <v>2245</v>
      </c>
      <c r="FW150">
        <v>232</v>
      </c>
      <c r="FX150" t="s">
        <v>4070</v>
      </c>
      <c r="FY150">
        <v>5</v>
      </c>
      <c r="FZ150" t="s">
        <v>4055</v>
      </c>
      <c r="GA150" t="s">
        <v>4055</v>
      </c>
      <c r="GB150">
        <v>2245</v>
      </c>
      <c r="GC150">
        <v>21</v>
      </c>
      <c r="GD150">
        <v>4717</v>
      </c>
      <c r="GE150" t="s">
        <v>4631</v>
      </c>
      <c r="GF150" t="s">
        <v>4055</v>
      </c>
      <c r="GG150" t="s">
        <v>4055</v>
      </c>
      <c r="GH150" t="s">
        <v>4055</v>
      </c>
      <c r="GI150" t="s">
        <v>4071</v>
      </c>
      <c r="GJ150" t="s">
        <v>4055</v>
      </c>
      <c r="GK150" t="s">
        <v>4055</v>
      </c>
      <c r="GL150" t="s">
        <v>4055</v>
      </c>
      <c r="GM150" t="s">
        <v>4055</v>
      </c>
      <c r="GQ150">
        <v>0</v>
      </c>
      <c r="GV150">
        <v>8</v>
      </c>
      <c r="GW150">
        <v>9.5</v>
      </c>
      <c r="GX150">
        <v>0.5</v>
      </c>
      <c r="GY150">
        <v>196</v>
      </c>
      <c r="GZ150">
        <v>3</v>
      </c>
      <c r="HA150">
        <v>250</v>
      </c>
      <c r="HB150">
        <v>3</v>
      </c>
      <c r="HC150">
        <v>2245</v>
      </c>
      <c r="HD150">
        <v>4</v>
      </c>
      <c r="HE150" t="s">
        <v>4071</v>
      </c>
      <c r="HG150" t="s">
        <v>549</v>
      </c>
      <c r="HL150">
        <v>4</v>
      </c>
      <c r="HM150">
        <v>20</v>
      </c>
      <c r="HN150">
        <v>6</v>
      </c>
      <c r="HO150">
        <v>1</v>
      </c>
      <c r="HP150">
        <v>0</v>
      </c>
      <c r="HQ150">
        <v>0</v>
      </c>
      <c r="HR150">
        <v>3</v>
      </c>
      <c r="HS150">
        <v>2200</v>
      </c>
      <c r="HT150">
        <v>5</v>
      </c>
      <c r="HU150">
        <v>1</v>
      </c>
      <c r="HV150">
        <v>3</v>
      </c>
      <c r="HW150">
        <v>0</v>
      </c>
      <c r="HX150">
        <v>1</v>
      </c>
      <c r="HY150">
        <v>0</v>
      </c>
      <c r="HZ150">
        <v>65</v>
      </c>
      <c r="IA150">
        <v>2203</v>
      </c>
      <c r="IB150">
        <v>2215</v>
      </c>
      <c r="ID150">
        <v>2245</v>
      </c>
      <c r="IE150">
        <v>2245</v>
      </c>
      <c r="IF150">
        <v>205</v>
      </c>
      <c r="IG150">
        <v>195</v>
      </c>
      <c r="IH150">
        <v>250</v>
      </c>
      <c r="II150">
        <v>1</v>
      </c>
      <c r="IJ150">
        <v>5</v>
      </c>
      <c r="IK150">
        <v>0</v>
      </c>
      <c r="IL150">
        <v>0</v>
      </c>
      <c r="IM150">
        <v>0</v>
      </c>
      <c r="IN150">
        <v>270</v>
      </c>
      <c r="IO150">
        <v>0</v>
      </c>
      <c r="IP150">
        <v>180</v>
      </c>
      <c r="IQ150">
        <v>0</v>
      </c>
      <c r="IR150">
        <v>330</v>
      </c>
      <c r="IS150">
        <v>0</v>
      </c>
      <c r="IT150">
        <v>90</v>
      </c>
      <c r="IU150">
        <v>0</v>
      </c>
      <c r="IV150">
        <v>6.4</v>
      </c>
      <c r="IW150">
        <v>-6</v>
      </c>
      <c r="IX150">
        <v>105</v>
      </c>
      <c r="IY150">
        <v>75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402</v>
      </c>
      <c r="JJ150">
        <v>372</v>
      </c>
      <c r="JK150">
        <v>270</v>
      </c>
      <c r="JL150">
        <v>370</v>
      </c>
      <c r="JM150">
        <v>300</v>
      </c>
      <c r="JN150">
        <v>200</v>
      </c>
      <c r="JO150">
        <v>256</v>
      </c>
      <c r="JP150">
        <v>185</v>
      </c>
      <c r="JQ150">
        <v>230</v>
      </c>
      <c r="JR150">
        <v>300</v>
      </c>
      <c r="JS150">
        <v>230</v>
      </c>
      <c r="JT150">
        <v>0</v>
      </c>
      <c r="JU150">
        <v>0</v>
      </c>
      <c r="JV150">
        <v>300</v>
      </c>
      <c r="JW150">
        <v>295</v>
      </c>
      <c r="JX150">
        <v>0</v>
      </c>
      <c r="JY150">
        <v>0</v>
      </c>
      <c r="JZ150">
        <v>0</v>
      </c>
      <c r="KA150">
        <v>0.2</v>
      </c>
      <c r="KB150">
        <v>0.4</v>
      </c>
      <c r="KC150">
        <v>0.42</v>
      </c>
      <c r="KD150">
        <v>0.28</v>
      </c>
      <c r="KE150">
        <v>0.5</v>
      </c>
      <c r="KF150">
        <v>0.18</v>
      </c>
      <c r="KG150">
        <v>0.11</v>
      </c>
      <c r="KH150">
        <v>3.5</v>
      </c>
      <c r="KI150">
        <v>1</v>
      </c>
      <c r="KJ150">
        <v>4.5</v>
      </c>
      <c r="KK150">
        <v>0</v>
      </c>
      <c r="KL150">
        <v>4.5</v>
      </c>
      <c r="KM150">
        <v>0.5</v>
      </c>
      <c r="KN150">
        <v>1.8</v>
      </c>
      <c r="KO150">
        <v>0</v>
      </c>
      <c r="KP150">
        <v>0</v>
      </c>
      <c r="KQ150">
        <v>0.5</v>
      </c>
      <c r="KR150">
        <v>0.5</v>
      </c>
      <c r="KS150">
        <v>0</v>
      </c>
      <c r="KT150">
        <v>3.3</v>
      </c>
      <c r="KU150">
        <v>0</v>
      </c>
      <c r="KV150">
        <v>0</v>
      </c>
      <c r="KW150">
        <v>1.6</v>
      </c>
      <c r="KX150">
        <v>2</v>
      </c>
      <c r="KY150">
        <v>1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3</v>
      </c>
      <c r="LI150">
        <v>0</v>
      </c>
      <c r="LJ150">
        <v>0</v>
      </c>
      <c r="LK150">
        <v>9</v>
      </c>
      <c r="LL150">
        <v>14</v>
      </c>
      <c r="LM150">
        <v>11</v>
      </c>
      <c r="LN150">
        <v>0.1</v>
      </c>
      <c r="LO150">
        <v>3</v>
      </c>
      <c r="LP150">
        <v>0</v>
      </c>
      <c r="LQ150">
        <v>0</v>
      </c>
      <c r="LR150">
        <v>0</v>
      </c>
      <c r="LS150">
        <v>1</v>
      </c>
      <c r="LT150">
        <v>0</v>
      </c>
      <c r="LU150">
        <v>0</v>
      </c>
      <c r="LV150">
        <v>0</v>
      </c>
      <c r="LW150">
        <v>2</v>
      </c>
      <c r="LX150">
        <v>2</v>
      </c>
      <c r="LY150">
        <v>2.1</v>
      </c>
      <c r="LZ150">
        <v>2.1</v>
      </c>
      <c r="MA150">
        <v>0</v>
      </c>
      <c r="MB150">
        <v>5</v>
      </c>
      <c r="MC150">
        <v>0</v>
      </c>
      <c r="MD150">
        <v>4.5</v>
      </c>
      <c r="ME150">
        <v>6</v>
      </c>
      <c r="MF150">
        <v>6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452</v>
      </c>
      <c r="MN150">
        <v>195</v>
      </c>
      <c r="MO150">
        <v>256</v>
      </c>
      <c r="NU150">
        <v>0.15</v>
      </c>
      <c r="NV150">
        <v>0.2</v>
      </c>
      <c r="NW150">
        <v>0.2</v>
      </c>
      <c r="NX150">
        <v>0.2</v>
      </c>
      <c r="NY150">
        <v>0.2</v>
      </c>
      <c r="NZ150">
        <v>0.2</v>
      </c>
      <c r="OE150" t="s">
        <v>4631</v>
      </c>
      <c r="OF150" t="s">
        <v>4227</v>
      </c>
      <c r="OG150" t="s">
        <v>4228</v>
      </c>
      <c r="OH150" t="s">
        <v>4043</v>
      </c>
      <c r="OI150" t="s">
        <v>4631</v>
      </c>
      <c r="OJ150" t="s">
        <v>4630</v>
      </c>
      <c r="OK150">
        <v>61</v>
      </c>
      <c r="OL150">
        <v>61</v>
      </c>
      <c r="OM150" t="s">
        <v>4227</v>
      </c>
      <c r="ON150">
        <v>1</v>
      </c>
      <c r="OO150">
        <v>2203</v>
      </c>
      <c r="OP150">
        <v>61</v>
      </c>
      <c r="OQ150">
        <v>61</v>
      </c>
      <c r="OR150" t="s">
        <v>4228</v>
      </c>
      <c r="OS150">
        <v>1</v>
      </c>
      <c r="OT150">
        <v>2215</v>
      </c>
      <c r="OU150">
        <v>65</v>
      </c>
      <c r="OV150">
        <v>65</v>
      </c>
      <c r="OW150" t="s">
        <v>4043</v>
      </c>
      <c r="OX150">
        <v>2</v>
      </c>
      <c r="OY150">
        <v>48802</v>
      </c>
      <c r="OZ150">
        <v>51</v>
      </c>
      <c r="PA150">
        <v>51</v>
      </c>
      <c r="PB150" t="s">
        <v>4631</v>
      </c>
      <c r="PC150">
        <v>2</v>
      </c>
      <c r="PD150">
        <v>2245</v>
      </c>
      <c r="PF150">
        <v>443</v>
      </c>
      <c r="PG150">
        <v>35</v>
      </c>
      <c r="PH150">
        <v>422</v>
      </c>
      <c r="PI150">
        <v>0</v>
      </c>
      <c r="PJ150">
        <v>84.7</v>
      </c>
      <c r="PK150">
        <v>2107</v>
      </c>
      <c r="PL150">
        <v>1536.9</v>
      </c>
      <c r="PM150">
        <v>367</v>
      </c>
      <c r="PN150">
        <v>103.2</v>
      </c>
      <c r="PO150">
        <v>9.300000000000001</v>
      </c>
      <c r="PP150">
        <v>12</v>
      </c>
      <c r="PQ150">
        <v>5</v>
      </c>
      <c r="PR150">
        <v>4</v>
      </c>
      <c r="PS150">
        <v>0</v>
      </c>
      <c r="PT150">
        <v>250</v>
      </c>
      <c r="PU150">
        <v>11</v>
      </c>
      <c r="PV150" t="s">
        <v>4072</v>
      </c>
      <c r="PW150" t="s">
        <v>4072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-1</v>
      </c>
      <c r="QF150">
        <v>1</v>
      </c>
      <c r="QG150">
        <v>0</v>
      </c>
      <c r="QH150">
        <v>5</v>
      </c>
      <c r="QI150">
        <v>5</v>
      </c>
      <c r="QJ150">
        <v>5</v>
      </c>
      <c r="QK150">
        <v>217</v>
      </c>
      <c r="QL150">
        <v>432</v>
      </c>
      <c r="QM150">
        <v>7.5</v>
      </c>
      <c r="QN150">
        <v>1623.8</v>
      </c>
      <c r="QO150" t="s">
        <v>2240</v>
      </c>
      <c r="QP150" t="s">
        <v>513</v>
      </c>
      <c r="QQ150">
        <v>0</v>
      </c>
      <c r="QR150" t="s">
        <v>1849</v>
      </c>
      <c r="QS150">
        <v>40</v>
      </c>
      <c r="QT150">
        <v>50</v>
      </c>
    </row>
    <row r="151" spans="1:462">
      <c r="A151" t="s">
        <v>2277</v>
      </c>
      <c r="B151" t="s">
        <v>564</v>
      </c>
      <c r="C151" t="s">
        <v>509</v>
      </c>
      <c r="D151" t="s">
        <v>2276</v>
      </c>
      <c r="E151" t="s">
        <v>4036</v>
      </c>
      <c r="H151" t="s">
        <v>1088</v>
      </c>
      <c r="L151" t="s">
        <v>629</v>
      </c>
      <c r="M151" t="s">
        <v>512</v>
      </c>
      <c r="O151" t="s">
        <v>513</v>
      </c>
      <c r="P151" t="s">
        <v>567</v>
      </c>
      <c r="Q151" t="s">
        <v>964</v>
      </c>
      <c r="R151" t="s">
        <v>965</v>
      </c>
      <c r="S151" t="s">
        <v>4073</v>
      </c>
      <c r="T151" t="s">
        <v>686</v>
      </c>
      <c r="U151" t="s">
        <v>687</v>
      </c>
      <c r="V151" t="s">
        <v>1710</v>
      </c>
      <c r="W151" t="s">
        <v>2244</v>
      </c>
      <c r="X151" t="s">
        <v>2278</v>
      </c>
      <c r="Y151" t="s">
        <v>2279</v>
      </c>
      <c r="Z151" t="s">
        <v>541</v>
      </c>
      <c r="AA151" t="s">
        <v>4038</v>
      </c>
      <c r="AB151" t="s">
        <v>4632</v>
      </c>
      <c r="AC151">
        <v>9</v>
      </c>
      <c r="AD151" t="s">
        <v>2275</v>
      </c>
      <c r="AE151">
        <v>5</v>
      </c>
      <c r="AF151">
        <v>5457</v>
      </c>
      <c r="AG151" t="s">
        <v>4227</v>
      </c>
      <c r="AH151">
        <v>1</v>
      </c>
      <c r="AI151" t="s">
        <v>4041</v>
      </c>
      <c r="AK151" t="s">
        <v>4228</v>
      </c>
      <c r="AL151">
        <v>1</v>
      </c>
      <c r="AM151" t="s">
        <v>582</v>
      </c>
      <c r="AO151" t="s">
        <v>4043</v>
      </c>
      <c r="AP151">
        <v>1</v>
      </c>
      <c r="AR151" t="s">
        <v>4633</v>
      </c>
      <c r="AS151">
        <v>1</v>
      </c>
      <c r="AT151">
        <v>51</v>
      </c>
      <c r="AV151" t="s">
        <v>4078</v>
      </c>
      <c r="AW151">
        <v>6.4</v>
      </c>
      <c r="AX151">
        <v>-6</v>
      </c>
      <c r="AY151">
        <v>105</v>
      </c>
      <c r="AZ151">
        <v>75</v>
      </c>
      <c r="BH151">
        <v>105</v>
      </c>
      <c r="BI151">
        <v>30</v>
      </c>
      <c r="BJ151">
        <v>75</v>
      </c>
      <c r="BK151">
        <v>2.5</v>
      </c>
      <c r="BL151">
        <v>210</v>
      </c>
      <c r="BM151">
        <v>-6</v>
      </c>
      <c r="BN151">
        <v>0</v>
      </c>
      <c r="BO151">
        <v>0</v>
      </c>
      <c r="BP151">
        <v>0</v>
      </c>
      <c r="BR151">
        <v>205</v>
      </c>
      <c r="BS151">
        <v>195</v>
      </c>
      <c r="BT151">
        <v>2090</v>
      </c>
      <c r="BU151" t="s">
        <v>4127</v>
      </c>
      <c r="BV151" t="s">
        <v>4127</v>
      </c>
      <c r="BW151" t="s">
        <v>4128</v>
      </c>
      <c r="BX151" t="s">
        <v>4128</v>
      </c>
      <c r="BY151" t="s">
        <v>4129</v>
      </c>
      <c r="BZ151" t="s">
        <v>4160</v>
      </c>
      <c r="CA151" t="s">
        <v>4130</v>
      </c>
      <c r="CB151" t="s">
        <v>4131</v>
      </c>
      <c r="CC151" t="s">
        <v>4053</v>
      </c>
      <c r="CD151" t="s">
        <v>4055</v>
      </c>
      <c r="CE151" t="s">
        <v>4055</v>
      </c>
      <c r="CF151" t="s">
        <v>4055</v>
      </c>
      <c r="CG151" t="s">
        <v>4056</v>
      </c>
      <c r="CI151" t="s">
        <v>4086</v>
      </c>
      <c r="CJ151" t="s">
        <v>4059</v>
      </c>
      <c r="CK151" t="s">
        <v>4060</v>
      </c>
      <c r="CL151" t="s">
        <v>4061</v>
      </c>
      <c r="CM151" t="s">
        <v>4055</v>
      </c>
      <c r="CN151" t="s">
        <v>4062</v>
      </c>
      <c r="CO151" t="s">
        <v>4063</v>
      </c>
      <c r="CP151" t="s">
        <v>4055</v>
      </c>
      <c r="CQ151" t="s">
        <v>4055</v>
      </c>
      <c r="CR151">
        <v>5</v>
      </c>
      <c r="CS151" t="s">
        <v>4055</v>
      </c>
      <c r="CT151" t="s">
        <v>4055</v>
      </c>
      <c r="CU151" t="s">
        <v>4055</v>
      </c>
      <c r="CV151">
        <v>128</v>
      </c>
      <c r="CW151">
        <v>3</v>
      </c>
      <c r="CX151">
        <v>88</v>
      </c>
      <c r="CY151">
        <v>5</v>
      </c>
      <c r="CZ151">
        <v>142</v>
      </c>
      <c r="DA151">
        <v>5</v>
      </c>
      <c r="DB151">
        <v>12350</v>
      </c>
      <c r="DC151">
        <v>370</v>
      </c>
      <c r="DD151">
        <v>345</v>
      </c>
      <c r="DE151">
        <v>2200</v>
      </c>
      <c r="DF151">
        <v>2200</v>
      </c>
      <c r="DG151">
        <v>2223</v>
      </c>
      <c r="DH151">
        <v>0</v>
      </c>
      <c r="DI151" t="s">
        <v>4055</v>
      </c>
      <c r="DJ151" t="s">
        <v>4132</v>
      </c>
      <c r="DK151">
        <v>205</v>
      </c>
      <c r="DL151" t="s">
        <v>4065</v>
      </c>
      <c r="DM151">
        <v>65</v>
      </c>
      <c r="DN151">
        <v>1.1</v>
      </c>
      <c r="DO151">
        <v>1</v>
      </c>
      <c r="DP151">
        <v>2093</v>
      </c>
      <c r="DQ151">
        <v>927</v>
      </c>
      <c r="DR151" t="s">
        <v>4132</v>
      </c>
      <c r="DS151">
        <v>195</v>
      </c>
      <c r="DT151" t="s">
        <v>4065</v>
      </c>
      <c r="DU151">
        <v>65</v>
      </c>
      <c r="DV151">
        <v>1.1</v>
      </c>
      <c r="DW151">
        <v>1</v>
      </c>
      <c r="DX151">
        <v>2105</v>
      </c>
      <c r="DY151">
        <v>888</v>
      </c>
      <c r="DZ151" t="s">
        <v>4066</v>
      </c>
      <c r="EA151">
        <v>20</v>
      </c>
      <c r="EB151" t="s">
        <v>4065</v>
      </c>
      <c r="EC151">
        <v>0.8</v>
      </c>
      <c r="ED151">
        <v>2093</v>
      </c>
      <c r="EE151">
        <v>73</v>
      </c>
      <c r="EG151">
        <v>0</v>
      </c>
      <c r="EH151" t="s">
        <v>4065</v>
      </c>
      <c r="EI151">
        <v>0</v>
      </c>
      <c r="EL151" t="s">
        <v>1528</v>
      </c>
      <c r="EM151">
        <v>12</v>
      </c>
      <c r="EN151">
        <v>0.5</v>
      </c>
      <c r="EO151">
        <v>0.96</v>
      </c>
      <c r="EP151">
        <v>2103.83</v>
      </c>
      <c r="EQ151">
        <v>36488.3</v>
      </c>
      <c r="ER151">
        <v>9889.98</v>
      </c>
      <c r="ES151">
        <v>0</v>
      </c>
      <c r="ET151">
        <v>0</v>
      </c>
      <c r="EU151">
        <v>1</v>
      </c>
      <c r="EV151">
        <v>46379</v>
      </c>
      <c r="EW151">
        <v>557</v>
      </c>
      <c r="EX151" t="s">
        <v>4619</v>
      </c>
      <c r="EY151">
        <v>224</v>
      </c>
      <c r="EZ151" t="s">
        <v>4055</v>
      </c>
      <c r="FA151">
        <v>6</v>
      </c>
      <c r="FB151">
        <v>1</v>
      </c>
      <c r="FC151">
        <v>1</v>
      </c>
      <c r="FD151">
        <v>2135</v>
      </c>
      <c r="FE151">
        <v>3249</v>
      </c>
      <c r="FF151" t="s">
        <v>4089</v>
      </c>
      <c r="FG151">
        <v>224</v>
      </c>
      <c r="FH151" t="s">
        <v>4055</v>
      </c>
      <c r="FI151">
        <v>1.6</v>
      </c>
      <c r="FJ151">
        <v>2135</v>
      </c>
      <c r="FK151">
        <v>776</v>
      </c>
      <c r="FL151" t="s">
        <v>4069</v>
      </c>
      <c r="FM151" t="s">
        <v>4055</v>
      </c>
      <c r="FN151" t="s">
        <v>4055</v>
      </c>
      <c r="FO151" t="s">
        <v>4055</v>
      </c>
      <c r="FP151">
        <v>2135</v>
      </c>
      <c r="FQ151">
        <v>184</v>
      </c>
      <c r="FR151" t="s">
        <v>4090</v>
      </c>
      <c r="FS151">
        <v>228</v>
      </c>
      <c r="FT151" t="s">
        <v>4055</v>
      </c>
      <c r="FU151">
        <v>0.4</v>
      </c>
      <c r="FV151">
        <v>2135</v>
      </c>
      <c r="FW151">
        <v>216</v>
      </c>
      <c r="FX151" t="s">
        <v>4070</v>
      </c>
      <c r="FY151">
        <v>5</v>
      </c>
      <c r="FZ151" t="s">
        <v>4055</v>
      </c>
      <c r="GA151" t="s">
        <v>4055</v>
      </c>
      <c r="GB151">
        <v>2135</v>
      </c>
      <c r="GC151">
        <v>20</v>
      </c>
      <c r="GD151">
        <v>4445</v>
      </c>
      <c r="GE151" t="s">
        <v>4633</v>
      </c>
      <c r="GF151" t="s">
        <v>4055</v>
      </c>
      <c r="GG151" t="s">
        <v>4055</v>
      </c>
      <c r="GH151" t="s">
        <v>4055</v>
      </c>
      <c r="GI151" t="s">
        <v>4071</v>
      </c>
      <c r="GJ151" t="s">
        <v>4055</v>
      </c>
      <c r="GK151" t="s">
        <v>4055</v>
      </c>
      <c r="GL151" t="s">
        <v>4055</v>
      </c>
      <c r="GM151" t="s">
        <v>4055</v>
      </c>
      <c r="GQ151">
        <v>0</v>
      </c>
      <c r="GV151">
        <v>8</v>
      </c>
      <c r="GW151">
        <v>9.5</v>
      </c>
      <c r="GX151">
        <v>0.5</v>
      </c>
      <c r="GY151">
        <v>196</v>
      </c>
      <c r="GZ151">
        <v>3</v>
      </c>
      <c r="HA151">
        <v>246</v>
      </c>
      <c r="HB151">
        <v>3</v>
      </c>
      <c r="HC151">
        <v>2135</v>
      </c>
      <c r="HD151">
        <v>4</v>
      </c>
      <c r="HE151" t="s">
        <v>4071</v>
      </c>
      <c r="HG151" t="s">
        <v>549</v>
      </c>
      <c r="HL151">
        <v>4</v>
      </c>
      <c r="HM151">
        <v>19</v>
      </c>
      <c r="HN151">
        <v>6</v>
      </c>
      <c r="HO151">
        <v>1</v>
      </c>
      <c r="HP151">
        <v>0</v>
      </c>
      <c r="HQ151">
        <v>0</v>
      </c>
      <c r="HR151">
        <v>2</v>
      </c>
      <c r="HS151">
        <v>2090</v>
      </c>
      <c r="HT151">
        <v>5</v>
      </c>
      <c r="HU151">
        <v>1</v>
      </c>
      <c r="HV151">
        <v>3</v>
      </c>
      <c r="HW151">
        <v>0</v>
      </c>
      <c r="HX151">
        <v>1</v>
      </c>
      <c r="HY151">
        <v>0</v>
      </c>
      <c r="HZ151">
        <v>65</v>
      </c>
      <c r="IA151">
        <v>2093</v>
      </c>
      <c r="IB151">
        <v>2105</v>
      </c>
      <c r="ID151">
        <v>2135</v>
      </c>
      <c r="IE151">
        <v>2135</v>
      </c>
      <c r="IF151">
        <v>205</v>
      </c>
      <c r="IG151">
        <v>195</v>
      </c>
      <c r="IH151">
        <v>246</v>
      </c>
      <c r="II151">
        <v>1</v>
      </c>
      <c r="IJ151">
        <v>10</v>
      </c>
      <c r="IK151">
        <v>0</v>
      </c>
      <c r="IL151">
        <v>0</v>
      </c>
      <c r="IM151">
        <v>0</v>
      </c>
      <c r="IN151">
        <v>270</v>
      </c>
      <c r="IO151">
        <v>0</v>
      </c>
      <c r="IP151">
        <v>180</v>
      </c>
      <c r="IQ151">
        <v>0</v>
      </c>
      <c r="IR151">
        <v>330</v>
      </c>
      <c r="IS151">
        <v>0</v>
      </c>
      <c r="IT151">
        <v>90</v>
      </c>
      <c r="IU151">
        <v>0</v>
      </c>
      <c r="IV151">
        <v>6.4</v>
      </c>
      <c r="IW151">
        <v>-6</v>
      </c>
      <c r="IX151">
        <v>105</v>
      </c>
      <c r="IY151">
        <v>75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390</v>
      </c>
      <c r="JJ151">
        <v>360</v>
      </c>
      <c r="JK151">
        <v>260</v>
      </c>
      <c r="JL151">
        <v>358</v>
      </c>
      <c r="JM151">
        <v>270</v>
      </c>
      <c r="JN151">
        <v>205</v>
      </c>
      <c r="JO151">
        <v>256</v>
      </c>
      <c r="JP151">
        <v>215</v>
      </c>
      <c r="JQ151">
        <v>255</v>
      </c>
      <c r="JR151">
        <v>298</v>
      </c>
      <c r="JS151">
        <v>240</v>
      </c>
      <c r="JT151">
        <v>0</v>
      </c>
      <c r="JU151">
        <v>0</v>
      </c>
      <c r="JV151">
        <v>293</v>
      </c>
      <c r="JW151">
        <v>283</v>
      </c>
      <c r="JX151">
        <v>290</v>
      </c>
      <c r="JY151">
        <v>260</v>
      </c>
      <c r="JZ151">
        <v>0.5</v>
      </c>
      <c r="KA151">
        <v>0.2</v>
      </c>
      <c r="KB151">
        <v>0.4</v>
      </c>
      <c r="KC151">
        <v>0.42</v>
      </c>
      <c r="KD151">
        <v>0.3</v>
      </c>
      <c r="KE151">
        <v>0.5</v>
      </c>
      <c r="KF151">
        <v>0.18</v>
      </c>
      <c r="KG151">
        <v>0.1</v>
      </c>
      <c r="KH151">
        <v>3.5</v>
      </c>
      <c r="KI151">
        <v>1</v>
      </c>
      <c r="KJ151">
        <v>4.5</v>
      </c>
      <c r="KK151">
        <v>0</v>
      </c>
      <c r="KL151">
        <v>4.5</v>
      </c>
      <c r="KM151">
        <v>0</v>
      </c>
      <c r="KN151">
        <v>1.6</v>
      </c>
      <c r="KO151">
        <v>0</v>
      </c>
      <c r="KP151">
        <v>0</v>
      </c>
      <c r="KQ151">
        <v>0.7</v>
      </c>
      <c r="KR151">
        <v>0.9</v>
      </c>
      <c r="KS151">
        <v>0</v>
      </c>
      <c r="KT151">
        <v>3.5</v>
      </c>
      <c r="KU151">
        <v>0</v>
      </c>
      <c r="KV151">
        <v>0</v>
      </c>
      <c r="KW151">
        <v>0.7</v>
      </c>
      <c r="KX151">
        <v>1.5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3</v>
      </c>
      <c r="LI151">
        <v>2.5</v>
      </c>
      <c r="LJ151">
        <v>0</v>
      </c>
      <c r="LK151">
        <v>9</v>
      </c>
      <c r="LL151">
        <v>5</v>
      </c>
      <c r="LM151">
        <v>8</v>
      </c>
      <c r="LN151">
        <v>0.5</v>
      </c>
      <c r="LO151">
        <v>3</v>
      </c>
      <c r="LP151">
        <v>0</v>
      </c>
      <c r="LQ151">
        <v>0</v>
      </c>
      <c r="LR151">
        <v>0</v>
      </c>
      <c r="LS151">
        <v>1</v>
      </c>
      <c r="LT151">
        <v>0</v>
      </c>
      <c r="LU151">
        <v>0</v>
      </c>
      <c r="LV151">
        <v>0</v>
      </c>
      <c r="LW151">
        <v>2.1</v>
      </c>
      <c r="LX151">
        <v>2.1</v>
      </c>
      <c r="LY151">
        <v>2.8</v>
      </c>
      <c r="LZ151">
        <v>2.8</v>
      </c>
      <c r="MA151">
        <v>0</v>
      </c>
      <c r="MB151">
        <v>4</v>
      </c>
      <c r="MC151">
        <v>0</v>
      </c>
      <c r="MD151">
        <v>4.5</v>
      </c>
      <c r="ME151">
        <v>6</v>
      </c>
      <c r="MF151">
        <v>6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420</v>
      </c>
      <c r="MN151">
        <v>215</v>
      </c>
      <c r="MO151">
        <v>272</v>
      </c>
      <c r="NU151">
        <v>0.15</v>
      </c>
      <c r="NV151">
        <v>0.2</v>
      </c>
      <c r="NW151">
        <v>0.2</v>
      </c>
      <c r="NX151">
        <v>0.2</v>
      </c>
      <c r="NY151">
        <v>0.2</v>
      </c>
      <c r="NZ151">
        <v>0.2</v>
      </c>
      <c r="OE151" t="s">
        <v>4633</v>
      </c>
      <c r="OF151" t="s">
        <v>4227</v>
      </c>
      <c r="OG151" t="s">
        <v>4228</v>
      </c>
      <c r="OH151" t="s">
        <v>4043</v>
      </c>
      <c r="OI151" t="s">
        <v>4633</v>
      </c>
      <c r="OJ151" t="s">
        <v>4632</v>
      </c>
      <c r="OK151">
        <v>61</v>
      </c>
      <c r="OL151">
        <v>61</v>
      </c>
      <c r="OM151" t="s">
        <v>4227</v>
      </c>
      <c r="ON151">
        <v>1</v>
      </c>
      <c r="OO151">
        <v>2093</v>
      </c>
      <c r="OP151">
        <v>61</v>
      </c>
      <c r="OQ151">
        <v>61</v>
      </c>
      <c r="OR151" t="s">
        <v>4228</v>
      </c>
      <c r="OS151">
        <v>1</v>
      </c>
      <c r="OT151">
        <v>2105</v>
      </c>
      <c r="OU151">
        <v>65</v>
      </c>
      <c r="OV151">
        <v>65</v>
      </c>
      <c r="OW151" t="s">
        <v>4043</v>
      </c>
      <c r="OX151">
        <v>2</v>
      </c>
      <c r="OY151">
        <v>46379</v>
      </c>
      <c r="OZ151">
        <v>51</v>
      </c>
      <c r="PA151">
        <v>51</v>
      </c>
      <c r="PB151" t="s">
        <v>4633</v>
      </c>
      <c r="PC151">
        <v>1</v>
      </c>
      <c r="PD151">
        <v>2135</v>
      </c>
      <c r="PF151">
        <v>443</v>
      </c>
      <c r="PG151">
        <v>35</v>
      </c>
      <c r="PH151">
        <v>422</v>
      </c>
      <c r="PI151">
        <v>0</v>
      </c>
      <c r="PJ151">
        <v>86.09999999999999</v>
      </c>
      <c r="PK151">
        <v>2085</v>
      </c>
      <c r="PL151">
        <v>1521.8</v>
      </c>
      <c r="PM151">
        <v>363.5</v>
      </c>
      <c r="PN151">
        <v>101.4</v>
      </c>
      <c r="PO151">
        <v>9.300000000000001</v>
      </c>
      <c r="PP151">
        <v>12</v>
      </c>
      <c r="PQ151">
        <v>5</v>
      </c>
      <c r="PR151">
        <v>5</v>
      </c>
      <c r="PS151">
        <v>0</v>
      </c>
      <c r="PT151">
        <v>246</v>
      </c>
      <c r="PU151">
        <v>11</v>
      </c>
      <c r="PV151" t="s">
        <v>4072</v>
      </c>
      <c r="PW151" t="s">
        <v>4072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-1</v>
      </c>
      <c r="QF151">
        <v>1</v>
      </c>
      <c r="QG151">
        <v>0</v>
      </c>
      <c r="QH151">
        <v>5</v>
      </c>
      <c r="QI151">
        <v>5</v>
      </c>
      <c r="QJ151">
        <v>5</v>
      </c>
      <c r="QK151">
        <v>210</v>
      </c>
      <c r="QL151">
        <v>420</v>
      </c>
      <c r="QM151">
        <v>7.5</v>
      </c>
      <c r="QN151">
        <v>1544.1</v>
      </c>
      <c r="QO151" t="s">
        <v>2240</v>
      </c>
      <c r="QP151" t="s">
        <v>513</v>
      </c>
      <c r="QQ151">
        <v>0</v>
      </c>
      <c r="QR151" t="s">
        <v>596</v>
      </c>
      <c r="QS151">
        <v>40</v>
      </c>
      <c r="QT151">
        <v>50</v>
      </c>
    </row>
    <row r="152" spans="1:462">
      <c r="A152" t="s">
        <v>2284</v>
      </c>
      <c r="B152" t="s">
        <v>564</v>
      </c>
      <c r="C152" t="s">
        <v>509</v>
      </c>
      <c r="D152" t="s">
        <v>1903</v>
      </c>
      <c r="E152" t="s">
        <v>4036</v>
      </c>
      <c r="H152" t="s">
        <v>1294</v>
      </c>
      <c r="J152" t="s">
        <v>562</v>
      </c>
      <c r="K152" t="s">
        <v>563</v>
      </c>
      <c r="L152" t="s">
        <v>629</v>
      </c>
      <c r="M152" t="s">
        <v>512</v>
      </c>
      <c r="O152" t="s">
        <v>513</v>
      </c>
      <c r="P152" t="s">
        <v>567</v>
      </c>
      <c r="Q152" t="s">
        <v>926</v>
      </c>
      <c r="R152" t="s">
        <v>927</v>
      </c>
      <c r="S152" t="s">
        <v>4073</v>
      </c>
      <c r="T152" t="s">
        <v>570</v>
      </c>
      <c r="U152" t="s">
        <v>571</v>
      </c>
      <c r="V152" t="s">
        <v>928</v>
      </c>
      <c r="W152" t="s">
        <v>2244</v>
      </c>
      <c r="X152" t="s">
        <v>2285</v>
      </c>
      <c r="Y152" t="s">
        <v>2286</v>
      </c>
      <c r="Z152" t="s">
        <v>541</v>
      </c>
      <c r="AA152" t="s">
        <v>4038</v>
      </c>
      <c r="AB152" t="s">
        <v>4634</v>
      </c>
      <c r="AC152">
        <v>9</v>
      </c>
      <c r="AD152" t="s">
        <v>2283</v>
      </c>
      <c r="AE152">
        <v>5</v>
      </c>
      <c r="AF152">
        <v>6528</v>
      </c>
      <c r="AG152" t="s">
        <v>4635</v>
      </c>
      <c r="AH152">
        <v>1</v>
      </c>
      <c r="AI152" t="s">
        <v>4041</v>
      </c>
      <c r="AK152" t="s">
        <v>4636</v>
      </c>
      <c r="AL152">
        <v>1</v>
      </c>
      <c r="AM152" t="s">
        <v>582</v>
      </c>
      <c r="AO152" t="s">
        <v>4043</v>
      </c>
      <c r="AP152">
        <v>1</v>
      </c>
      <c r="AR152" t="s">
        <v>4637</v>
      </c>
      <c r="AS152">
        <v>1</v>
      </c>
      <c r="AT152">
        <v>51</v>
      </c>
      <c r="AV152" t="s">
        <v>4078</v>
      </c>
      <c r="AW152">
        <v>6.4</v>
      </c>
      <c r="AX152">
        <v>-6</v>
      </c>
      <c r="AY152">
        <v>110</v>
      </c>
      <c r="AZ152">
        <v>86</v>
      </c>
      <c r="BH152">
        <v>110</v>
      </c>
      <c r="BI152">
        <v>24</v>
      </c>
      <c r="BJ152">
        <v>86</v>
      </c>
      <c r="BK152">
        <v>2.5</v>
      </c>
      <c r="BL152">
        <v>220</v>
      </c>
      <c r="BM152">
        <v>-6</v>
      </c>
      <c r="BN152">
        <v>0</v>
      </c>
      <c r="BO152">
        <v>0</v>
      </c>
      <c r="BP152">
        <v>0</v>
      </c>
      <c r="BR152">
        <v>215</v>
      </c>
      <c r="BS152">
        <v>205</v>
      </c>
      <c r="BT152">
        <v>2220</v>
      </c>
      <c r="BU152" t="s">
        <v>4079</v>
      </c>
      <c r="BV152" t="s">
        <v>4079</v>
      </c>
      <c r="BW152" t="s">
        <v>4081</v>
      </c>
      <c r="BX152" t="s">
        <v>4081</v>
      </c>
      <c r="BY152" t="s">
        <v>4164</v>
      </c>
      <c r="BZ152" t="s">
        <v>4199</v>
      </c>
      <c r="CA152" t="s">
        <v>4084</v>
      </c>
      <c r="CB152" t="s">
        <v>4085</v>
      </c>
      <c r="CC152" t="s">
        <v>4053</v>
      </c>
      <c r="CD152" t="s">
        <v>4055</v>
      </c>
      <c r="CE152" t="s">
        <v>4055</v>
      </c>
      <c r="CF152" t="s">
        <v>4055</v>
      </c>
      <c r="CG152" t="s">
        <v>4056</v>
      </c>
      <c r="CI152" t="s">
        <v>4086</v>
      </c>
      <c r="CJ152" t="s">
        <v>4059</v>
      </c>
      <c r="CK152" t="s">
        <v>4060</v>
      </c>
      <c r="CL152" t="s">
        <v>4061</v>
      </c>
      <c r="CM152" t="s">
        <v>4055</v>
      </c>
      <c r="CN152" t="s">
        <v>4062</v>
      </c>
      <c r="CO152" t="s">
        <v>4063</v>
      </c>
      <c r="CP152" t="s">
        <v>4055</v>
      </c>
      <c r="CQ152" t="s">
        <v>4055</v>
      </c>
      <c r="CR152">
        <v>5</v>
      </c>
      <c r="CS152" t="s">
        <v>4055</v>
      </c>
      <c r="CT152" t="s">
        <v>4055</v>
      </c>
      <c r="CU152" t="s">
        <v>4055</v>
      </c>
      <c r="CV152">
        <v>142</v>
      </c>
      <c r="CW152">
        <v>3</v>
      </c>
      <c r="CX152">
        <v>95</v>
      </c>
      <c r="CY152">
        <v>5</v>
      </c>
      <c r="CZ152">
        <v>148</v>
      </c>
      <c r="DA152">
        <v>5</v>
      </c>
      <c r="DB152">
        <v>14890</v>
      </c>
      <c r="DC152">
        <v>440</v>
      </c>
      <c r="DD152">
        <v>385</v>
      </c>
      <c r="DE152">
        <v>2340</v>
      </c>
      <c r="DF152">
        <v>2340</v>
      </c>
      <c r="DG152">
        <v>2364</v>
      </c>
      <c r="DH152">
        <v>3</v>
      </c>
      <c r="DI152" t="s">
        <v>4055</v>
      </c>
      <c r="DJ152" t="s">
        <v>4217</v>
      </c>
      <c r="DK152">
        <v>215</v>
      </c>
      <c r="DL152" t="s">
        <v>4065</v>
      </c>
      <c r="DM152">
        <v>65</v>
      </c>
      <c r="DN152">
        <v>1.26</v>
      </c>
      <c r="DO152">
        <v>1</v>
      </c>
      <c r="DP152">
        <v>2224</v>
      </c>
      <c r="DQ152">
        <v>1154</v>
      </c>
      <c r="DR152" t="s">
        <v>4217</v>
      </c>
      <c r="DS152">
        <v>205</v>
      </c>
      <c r="DT152" t="s">
        <v>4065</v>
      </c>
      <c r="DU152">
        <v>65</v>
      </c>
      <c r="DV152">
        <v>1.26</v>
      </c>
      <c r="DW152">
        <v>1</v>
      </c>
      <c r="DX152">
        <v>2237</v>
      </c>
      <c r="DY152">
        <v>1107</v>
      </c>
      <c r="DZ152" t="s">
        <v>4066</v>
      </c>
      <c r="EA152">
        <v>20</v>
      </c>
      <c r="EB152" t="s">
        <v>4065</v>
      </c>
      <c r="EC152">
        <v>0.8</v>
      </c>
      <c r="ED152">
        <v>2224</v>
      </c>
      <c r="EE152">
        <v>78</v>
      </c>
      <c r="EG152">
        <v>0</v>
      </c>
      <c r="EH152" t="s">
        <v>4065</v>
      </c>
      <c r="EI152">
        <v>0</v>
      </c>
      <c r="EL152" t="s">
        <v>1528</v>
      </c>
      <c r="EM152">
        <v>12</v>
      </c>
      <c r="EN152">
        <v>0.5</v>
      </c>
      <c r="EO152">
        <v>0.96</v>
      </c>
      <c r="EP152">
        <v>2235.84</v>
      </c>
      <c r="EQ152">
        <v>40524.6</v>
      </c>
      <c r="ER152">
        <v>8407.02</v>
      </c>
      <c r="ES152">
        <v>0</v>
      </c>
      <c r="ET152">
        <v>0</v>
      </c>
      <c r="EU152">
        <v>1</v>
      </c>
      <c r="EV152">
        <v>48932</v>
      </c>
      <c r="EW152">
        <v>588</v>
      </c>
      <c r="EX152" t="s">
        <v>4619</v>
      </c>
      <c r="EY152">
        <v>252</v>
      </c>
      <c r="EZ152" t="s">
        <v>4055</v>
      </c>
      <c r="FA152">
        <v>6.5</v>
      </c>
      <c r="FB152">
        <v>1</v>
      </c>
      <c r="FC152">
        <v>1</v>
      </c>
      <c r="FD152">
        <v>2269</v>
      </c>
      <c r="FE152">
        <v>4044</v>
      </c>
      <c r="FF152" t="s">
        <v>4089</v>
      </c>
      <c r="FG152">
        <v>252</v>
      </c>
      <c r="FH152" t="s">
        <v>4055</v>
      </c>
      <c r="FI152">
        <v>1.6</v>
      </c>
      <c r="FJ152">
        <v>2269</v>
      </c>
      <c r="FK152">
        <v>912</v>
      </c>
      <c r="FL152" t="s">
        <v>4069</v>
      </c>
      <c r="FM152" t="s">
        <v>4055</v>
      </c>
      <c r="FN152" t="s">
        <v>4055</v>
      </c>
      <c r="FO152" t="s">
        <v>4055</v>
      </c>
      <c r="FP152">
        <v>2269</v>
      </c>
      <c r="FQ152">
        <v>192</v>
      </c>
      <c r="FR152" t="s">
        <v>4090</v>
      </c>
      <c r="FS152">
        <v>256</v>
      </c>
      <c r="FT152" t="s">
        <v>4055</v>
      </c>
      <c r="FU152">
        <v>0.4</v>
      </c>
      <c r="FV152">
        <v>2269</v>
      </c>
      <c r="FW152">
        <v>258</v>
      </c>
      <c r="FX152" t="s">
        <v>4070</v>
      </c>
      <c r="FY152">
        <v>5</v>
      </c>
      <c r="FZ152" t="s">
        <v>4055</v>
      </c>
      <c r="GA152" t="s">
        <v>4055</v>
      </c>
      <c r="GB152">
        <v>2269</v>
      </c>
      <c r="GC152">
        <v>22</v>
      </c>
      <c r="GD152">
        <v>5428</v>
      </c>
      <c r="GE152" t="s">
        <v>4637</v>
      </c>
      <c r="GF152" t="s">
        <v>4055</v>
      </c>
      <c r="GG152" t="s">
        <v>4055</v>
      </c>
      <c r="GH152" t="s">
        <v>4055</v>
      </c>
      <c r="GI152" t="s">
        <v>4071</v>
      </c>
      <c r="GJ152" t="s">
        <v>4055</v>
      </c>
      <c r="GK152" t="s">
        <v>4055</v>
      </c>
      <c r="GL152" t="s">
        <v>4055</v>
      </c>
      <c r="GM152" t="s">
        <v>4055</v>
      </c>
      <c r="GQ152">
        <v>0</v>
      </c>
      <c r="GV152">
        <v>8.5</v>
      </c>
      <c r="GW152">
        <v>9.800000000000001</v>
      </c>
      <c r="GX152">
        <v>0.5</v>
      </c>
      <c r="GY152">
        <v>206</v>
      </c>
      <c r="GZ152">
        <v>3</v>
      </c>
      <c r="HA152">
        <v>272</v>
      </c>
      <c r="HB152">
        <v>3</v>
      </c>
      <c r="HC152">
        <v>2269</v>
      </c>
      <c r="HD152">
        <v>4</v>
      </c>
      <c r="HE152" t="s">
        <v>4071</v>
      </c>
      <c r="HG152" t="s">
        <v>549</v>
      </c>
      <c r="HL152">
        <v>4</v>
      </c>
      <c r="HM152">
        <v>20</v>
      </c>
      <c r="HN152">
        <v>6</v>
      </c>
      <c r="HO152">
        <v>1</v>
      </c>
      <c r="HP152">
        <v>0</v>
      </c>
      <c r="HQ152">
        <v>0</v>
      </c>
      <c r="HR152">
        <v>1</v>
      </c>
      <c r="HS152">
        <v>2220</v>
      </c>
      <c r="HT152">
        <v>5</v>
      </c>
      <c r="HU152">
        <v>1</v>
      </c>
      <c r="HV152">
        <v>3</v>
      </c>
      <c r="HW152">
        <v>0</v>
      </c>
      <c r="HX152">
        <v>1</v>
      </c>
      <c r="HY152">
        <v>0</v>
      </c>
      <c r="HZ152">
        <v>65</v>
      </c>
      <c r="IA152">
        <v>2224</v>
      </c>
      <c r="IB152">
        <v>2237</v>
      </c>
      <c r="ID152">
        <v>2269</v>
      </c>
      <c r="IE152">
        <v>2269</v>
      </c>
      <c r="IF152">
        <v>215</v>
      </c>
      <c r="IG152">
        <v>205</v>
      </c>
      <c r="IH152">
        <v>272</v>
      </c>
      <c r="II152">
        <v>1</v>
      </c>
      <c r="IJ152">
        <v>5</v>
      </c>
      <c r="IK152">
        <v>0</v>
      </c>
      <c r="IL152">
        <v>0</v>
      </c>
      <c r="IM152">
        <v>0</v>
      </c>
      <c r="IN152">
        <v>270</v>
      </c>
      <c r="IO152">
        <v>0</v>
      </c>
      <c r="IP152">
        <v>180</v>
      </c>
      <c r="IQ152">
        <v>0</v>
      </c>
      <c r="IR152">
        <v>330</v>
      </c>
      <c r="IS152">
        <v>0</v>
      </c>
      <c r="IT152">
        <v>90</v>
      </c>
      <c r="IU152">
        <v>0</v>
      </c>
      <c r="IV152">
        <v>6.4</v>
      </c>
      <c r="IW152">
        <v>-6</v>
      </c>
      <c r="IX152">
        <v>110</v>
      </c>
      <c r="IY152">
        <v>86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428</v>
      </c>
      <c r="JJ152">
        <v>384</v>
      </c>
      <c r="JK152">
        <v>294</v>
      </c>
      <c r="JL152">
        <v>382</v>
      </c>
      <c r="JM152">
        <v>320</v>
      </c>
      <c r="JN152">
        <v>215</v>
      </c>
      <c r="JO152">
        <v>282</v>
      </c>
      <c r="JP152">
        <v>180</v>
      </c>
      <c r="JQ152">
        <v>220</v>
      </c>
      <c r="JR152">
        <v>275</v>
      </c>
      <c r="JS152">
        <v>235</v>
      </c>
      <c r="JT152">
        <v>0</v>
      </c>
      <c r="JU152">
        <v>0</v>
      </c>
      <c r="JV152">
        <v>270</v>
      </c>
      <c r="JW152">
        <v>260</v>
      </c>
      <c r="JX152">
        <v>250</v>
      </c>
      <c r="JY152">
        <v>245</v>
      </c>
      <c r="JZ152">
        <v>0.5</v>
      </c>
      <c r="KA152">
        <v>0.2</v>
      </c>
      <c r="KB152">
        <v>0.4</v>
      </c>
      <c r="KC152">
        <v>0.42</v>
      </c>
      <c r="KD152">
        <v>0.3</v>
      </c>
      <c r="KE152">
        <v>0.5</v>
      </c>
      <c r="KF152">
        <v>0.18</v>
      </c>
      <c r="KG152">
        <v>0.13</v>
      </c>
      <c r="KH152">
        <v>3.5</v>
      </c>
      <c r="KI152">
        <v>1</v>
      </c>
      <c r="KJ152">
        <v>4.5</v>
      </c>
      <c r="KK152">
        <v>0</v>
      </c>
      <c r="KL152">
        <v>4.5</v>
      </c>
      <c r="KM152">
        <v>0.5</v>
      </c>
      <c r="KN152">
        <v>2.5</v>
      </c>
      <c r="KO152">
        <v>1</v>
      </c>
      <c r="KP152">
        <v>0</v>
      </c>
      <c r="KQ152">
        <v>0.5</v>
      </c>
      <c r="KR152">
        <v>0.5</v>
      </c>
      <c r="KS152">
        <v>0</v>
      </c>
      <c r="KT152">
        <v>2.8</v>
      </c>
      <c r="KU152">
        <v>0</v>
      </c>
      <c r="KV152">
        <v>0</v>
      </c>
      <c r="KW152">
        <v>1.2</v>
      </c>
      <c r="KX152">
        <v>1</v>
      </c>
      <c r="KY152">
        <v>1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3</v>
      </c>
      <c r="LI152">
        <v>0.5</v>
      </c>
      <c r="LJ152">
        <v>0</v>
      </c>
      <c r="LK152">
        <v>11</v>
      </c>
      <c r="LL152">
        <v>9</v>
      </c>
      <c r="LM152">
        <v>13</v>
      </c>
      <c r="LN152">
        <v>3</v>
      </c>
      <c r="LO152">
        <v>3</v>
      </c>
      <c r="LP152">
        <v>0</v>
      </c>
      <c r="LQ152">
        <v>0</v>
      </c>
      <c r="LR152">
        <v>0</v>
      </c>
      <c r="LS152">
        <v>1</v>
      </c>
      <c r="LT152">
        <v>0</v>
      </c>
      <c r="LU152">
        <v>0</v>
      </c>
      <c r="LV152">
        <v>0</v>
      </c>
      <c r="LW152">
        <v>1.8</v>
      </c>
      <c r="LX152">
        <v>1.8</v>
      </c>
      <c r="LY152">
        <v>2.1</v>
      </c>
      <c r="LZ152">
        <v>2.1</v>
      </c>
      <c r="MA152">
        <v>0</v>
      </c>
      <c r="MB152">
        <v>5</v>
      </c>
      <c r="MC152">
        <v>0</v>
      </c>
      <c r="MD152">
        <v>4.5</v>
      </c>
      <c r="ME152">
        <v>6</v>
      </c>
      <c r="MF152">
        <v>6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452</v>
      </c>
      <c r="MN152">
        <v>210</v>
      </c>
      <c r="MO152">
        <v>282</v>
      </c>
      <c r="NU152">
        <v>0.15</v>
      </c>
      <c r="NV152">
        <v>0.2</v>
      </c>
      <c r="NW152">
        <v>0.2</v>
      </c>
      <c r="NX152">
        <v>0.2</v>
      </c>
      <c r="NY152">
        <v>0.2</v>
      </c>
      <c r="NZ152">
        <v>0.2</v>
      </c>
      <c r="OE152" t="s">
        <v>4637</v>
      </c>
      <c r="OF152" t="s">
        <v>4635</v>
      </c>
      <c r="OG152" t="s">
        <v>4636</v>
      </c>
      <c r="OH152" t="s">
        <v>4043</v>
      </c>
      <c r="OI152" t="s">
        <v>4637</v>
      </c>
      <c r="OJ152" t="s">
        <v>4634</v>
      </c>
      <c r="OK152">
        <v>61</v>
      </c>
      <c r="OL152">
        <v>61</v>
      </c>
      <c r="OM152" t="s">
        <v>4635</v>
      </c>
      <c r="ON152">
        <v>1</v>
      </c>
      <c r="OO152">
        <v>2224</v>
      </c>
      <c r="OP152">
        <v>61</v>
      </c>
      <c r="OQ152">
        <v>61</v>
      </c>
      <c r="OR152" t="s">
        <v>4636</v>
      </c>
      <c r="OS152">
        <v>1</v>
      </c>
      <c r="OT152">
        <v>2237</v>
      </c>
      <c r="OU152">
        <v>65</v>
      </c>
      <c r="OV152">
        <v>65</v>
      </c>
      <c r="OW152" t="s">
        <v>4043</v>
      </c>
      <c r="OX152">
        <v>2</v>
      </c>
      <c r="OY152">
        <v>48932</v>
      </c>
      <c r="OZ152">
        <v>51</v>
      </c>
      <c r="PA152">
        <v>51</v>
      </c>
      <c r="PB152" t="s">
        <v>4637</v>
      </c>
      <c r="PC152">
        <v>3</v>
      </c>
      <c r="PD152">
        <v>2269</v>
      </c>
      <c r="PF152">
        <v>519</v>
      </c>
      <c r="PG152">
        <v>35</v>
      </c>
      <c r="PH152">
        <v>495</v>
      </c>
      <c r="PI152">
        <v>0</v>
      </c>
      <c r="PJ152">
        <v>84.7</v>
      </c>
      <c r="PK152">
        <v>2360</v>
      </c>
      <c r="PL152">
        <v>1782.4</v>
      </c>
      <c r="PM152">
        <v>401.8</v>
      </c>
      <c r="PN152">
        <v>113.9</v>
      </c>
      <c r="PO152">
        <v>9.9</v>
      </c>
      <c r="PP152">
        <v>12</v>
      </c>
      <c r="PQ152">
        <v>4</v>
      </c>
      <c r="PR152">
        <v>4</v>
      </c>
      <c r="PS152">
        <v>0</v>
      </c>
      <c r="PT152">
        <v>272</v>
      </c>
      <c r="PU152">
        <v>10</v>
      </c>
      <c r="PV152" t="s">
        <v>4072</v>
      </c>
      <c r="PW152" t="s">
        <v>4072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-1</v>
      </c>
      <c r="QF152">
        <v>1</v>
      </c>
      <c r="QG152">
        <v>0</v>
      </c>
      <c r="QH152">
        <v>5</v>
      </c>
      <c r="QI152">
        <v>5</v>
      </c>
      <c r="QJ152">
        <v>5</v>
      </c>
      <c r="QK152">
        <v>230</v>
      </c>
      <c r="QL152">
        <v>454</v>
      </c>
      <c r="QM152">
        <v>7.5</v>
      </c>
      <c r="QN152">
        <v>1623.8</v>
      </c>
      <c r="QO152" t="s">
        <v>2240</v>
      </c>
      <c r="QP152" t="s">
        <v>513</v>
      </c>
      <c r="QQ152">
        <v>0</v>
      </c>
      <c r="QR152" t="s">
        <v>1849</v>
      </c>
      <c r="QS152">
        <v>40</v>
      </c>
      <c r="QT152">
        <v>50</v>
      </c>
    </row>
    <row r="153" spans="1:462">
      <c r="A153" t="s">
        <v>2291</v>
      </c>
      <c r="B153" t="s">
        <v>629</v>
      </c>
      <c r="C153" t="s">
        <v>509</v>
      </c>
      <c r="D153" t="s">
        <v>803</v>
      </c>
      <c r="E153" t="s">
        <v>4036</v>
      </c>
      <c r="H153" t="s">
        <v>561</v>
      </c>
      <c r="J153" t="s">
        <v>562</v>
      </c>
      <c r="K153" t="s">
        <v>563</v>
      </c>
      <c r="L153" t="s">
        <v>711</v>
      </c>
      <c r="M153" t="s">
        <v>512</v>
      </c>
      <c r="O153" t="s">
        <v>513</v>
      </c>
      <c r="P153" t="s">
        <v>567</v>
      </c>
      <c r="Q153" t="s">
        <v>1042</v>
      </c>
      <c r="R153" t="s">
        <v>1043</v>
      </c>
      <c r="S153" t="s">
        <v>4037</v>
      </c>
      <c r="T153" t="s">
        <v>686</v>
      </c>
      <c r="U153" t="s">
        <v>687</v>
      </c>
      <c r="V153" t="s">
        <v>2292</v>
      </c>
      <c r="W153" t="s">
        <v>2244</v>
      </c>
      <c r="X153" t="s">
        <v>2293</v>
      </c>
      <c r="Y153" t="s">
        <v>2294</v>
      </c>
      <c r="Z153" t="s">
        <v>541</v>
      </c>
      <c r="AA153" t="s">
        <v>4038</v>
      </c>
      <c r="AB153" t="s">
        <v>4638</v>
      </c>
      <c r="AC153">
        <v>9</v>
      </c>
      <c r="AD153" t="s">
        <v>2290</v>
      </c>
      <c r="AE153">
        <v>4</v>
      </c>
      <c r="AF153">
        <v>6469</v>
      </c>
      <c r="AG153" t="s">
        <v>4552</v>
      </c>
      <c r="AH153">
        <v>1</v>
      </c>
      <c r="AI153" t="s">
        <v>4041</v>
      </c>
      <c r="AK153" t="s">
        <v>4553</v>
      </c>
      <c r="AL153">
        <v>1</v>
      </c>
      <c r="AM153" t="s">
        <v>582</v>
      </c>
      <c r="AO153" t="s">
        <v>4043</v>
      </c>
      <c r="AP153">
        <v>1</v>
      </c>
      <c r="AR153" t="s">
        <v>4639</v>
      </c>
      <c r="AS153">
        <v>1</v>
      </c>
      <c r="AT153">
        <v>51</v>
      </c>
      <c r="AV153" t="s">
        <v>4078</v>
      </c>
      <c r="AW153">
        <v>6.4</v>
      </c>
      <c r="AX153">
        <v>-6</v>
      </c>
      <c r="AY153">
        <v>107.5</v>
      </c>
      <c r="AZ153">
        <v>83.5</v>
      </c>
      <c r="BH153">
        <v>107.5</v>
      </c>
      <c r="BI153">
        <v>24</v>
      </c>
      <c r="BJ153">
        <v>83.5</v>
      </c>
      <c r="BK153">
        <v>2.5</v>
      </c>
      <c r="BL153">
        <v>215</v>
      </c>
      <c r="BM153">
        <v>-6</v>
      </c>
      <c r="BN153">
        <v>0</v>
      </c>
      <c r="BO153">
        <v>0</v>
      </c>
      <c r="BP153">
        <v>0</v>
      </c>
      <c r="BR153">
        <v>210</v>
      </c>
      <c r="BS153">
        <v>200</v>
      </c>
      <c r="BT153">
        <v>2225</v>
      </c>
      <c r="BU153" t="s">
        <v>4079</v>
      </c>
      <c r="BV153" t="s">
        <v>4079</v>
      </c>
      <c r="BW153" t="s">
        <v>4081</v>
      </c>
      <c r="BX153" t="s">
        <v>4081</v>
      </c>
      <c r="BY153" t="s">
        <v>4221</v>
      </c>
      <c r="BZ153" t="s">
        <v>4129</v>
      </c>
      <c r="CA153" t="s">
        <v>4130</v>
      </c>
      <c r="CB153" t="s">
        <v>4131</v>
      </c>
      <c r="CC153" t="s">
        <v>4053</v>
      </c>
      <c r="CD153" t="s">
        <v>4055</v>
      </c>
      <c r="CE153" t="s">
        <v>4055</v>
      </c>
      <c r="CF153" t="s">
        <v>4055</v>
      </c>
      <c r="CG153" t="s">
        <v>4056</v>
      </c>
      <c r="CI153" t="s">
        <v>4086</v>
      </c>
      <c r="CJ153" t="s">
        <v>4059</v>
      </c>
      <c r="CK153" t="s">
        <v>4060</v>
      </c>
      <c r="CL153" t="s">
        <v>4061</v>
      </c>
      <c r="CM153" t="s">
        <v>4055</v>
      </c>
      <c r="CN153" t="s">
        <v>4062</v>
      </c>
      <c r="CO153" t="s">
        <v>4063</v>
      </c>
      <c r="CP153" t="s">
        <v>4055</v>
      </c>
      <c r="CQ153" t="s">
        <v>4055</v>
      </c>
      <c r="CR153">
        <v>5</v>
      </c>
      <c r="CS153" t="s">
        <v>4055</v>
      </c>
      <c r="CT153" t="s">
        <v>4055</v>
      </c>
      <c r="CU153" t="s">
        <v>4055</v>
      </c>
      <c r="CV153">
        <v>139</v>
      </c>
      <c r="CW153">
        <v>3</v>
      </c>
      <c r="CX153">
        <v>90</v>
      </c>
      <c r="CY153">
        <v>5</v>
      </c>
      <c r="CZ153">
        <v>158</v>
      </c>
      <c r="DA153">
        <v>5</v>
      </c>
      <c r="DB153">
        <v>14590</v>
      </c>
      <c r="DC153">
        <v>430</v>
      </c>
      <c r="DD153">
        <v>384</v>
      </c>
      <c r="DE153">
        <v>2345</v>
      </c>
      <c r="DF153">
        <v>2345</v>
      </c>
      <c r="DG153">
        <v>2361</v>
      </c>
      <c r="DH153">
        <v>2</v>
      </c>
      <c r="DI153" t="s">
        <v>4055</v>
      </c>
      <c r="DJ153" t="s">
        <v>4217</v>
      </c>
      <c r="DK153">
        <v>210</v>
      </c>
      <c r="DL153" t="s">
        <v>4065</v>
      </c>
      <c r="DM153">
        <v>65</v>
      </c>
      <c r="DN153">
        <v>1.26</v>
      </c>
      <c r="DO153">
        <v>1</v>
      </c>
      <c r="DP153">
        <v>2229</v>
      </c>
      <c r="DQ153">
        <v>1130</v>
      </c>
      <c r="DR153" t="s">
        <v>4217</v>
      </c>
      <c r="DS153">
        <v>200</v>
      </c>
      <c r="DT153" t="s">
        <v>4065</v>
      </c>
      <c r="DU153">
        <v>65</v>
      </c>
      <c r="DV153">
        <v>1.26</v>
      </c>
      <c r="DW153">
        <v>1</v>
      </c>
      <c r="DX153">
        <v>2242</v>
      </c>
      <c r="DY153">
        <v>1083</v>
      </c>
      <c r="DZ153" t="s">
        <v>4066</v>
      </c>
      <c r="EA153">
        <v>20</v>
      </c>
      <c r="EB153" t="s">
        <v>4065</v>
      </c>
      <c r="EC153">
        <v>0.8</v>
      </c>
      <c r="ED153">
        <v>2229</v>
      </c>
      <c r="EE153">
        <v>78</v>
      </c>
      <c r="EG153">
        <v>0</v>
      </c>
      <c r="EH153" t="s">
        <v>4065</v>
      </c>
      <c r="EI153">
        <v>0</v>
      </c>
      <c r="EL153" t="s">
        <v>1528</v>
      </c>
      <c r="EM153">
        <v>12</v>
      </c>
      <c r="EN153">
        <v>0.5</v>
      </c>
      <c r="EO153">
        <v>0.96</v>
      </c>
      <c r="EP153">
        <v>2240.84</v>
      </c>
      <c r="EQ153">
        <v>39739.9</v>
      </c>
      <c r="ER153">
        <v>8425.77</v>
      </c>
      <c r="ES153">
        <v>0</v>
      </c>
      <c r="ET153">
        <v>0</v>
      </c>
      <c r="EU153">
        <v>1</v>
      </c>
      <c r="EV153">
        <v>48166</v>
      </c>
      <c r="EW153">
        <v>578</v>
      </c>
      <c r="EX153" t="s">
        <v>4619</v>
      </c>
      <c r="EY153">
        <v>250</v>
      </c>
      <c r="EZ153" t="s">
        <v>4055</v>
      </c>
      <c r="FA153">
        <v>6.2</v>
      </c>
      <c r="FB153">
        <v>1</v>
      </c>
      <c r="FC153">
        <v>1</v>
      </c>
      <c r="FD153">
        <v>2273</v>
      </c>
      <c r="FE153">
        <v>3889</v>
      </c>
      <c r="FF153" t="s">
        <v>4089</v>
      </c>
      <c r="FG153">
        <v>250</v>
      </c>
      <c r="FH153" t="s">
        <v>4055</v>
      </c>
      <c r="FI153">
        <v>1.6</v>
      </c>
      <c r="FJ153">
        <v>2273</v>
      </c>
      <c r="FK153">
        <v>894</v>
      </c>
      <c r="FL153" t="s">
        <v>4069</v>
      </c>
      <c r="FM153" t="s">
        <v>4055</v>
      </c>
      <c r="FN153" t="s">
        <v>4055</v>
      </c>
      <c r="FO153" t="s">
        <v>4055</v>
      </c>
      <c r="FP153">
        <v>2273</v>
      </c>
      <c r="FQ153">
        <v>183</v>
      </c>
      <c r="FR153" t="s">
        <v>4090</v>
      </c>
      <c r="FS153">
        <v>254</v>
      </c>
      <c r="FT153" t="s">
        <v>4055</v>
      </c>
      <c r="FU153">
        <v>0.4</v>
      </c>
      <c r="FV153">
        <v>2273</v>
      </c>
      <c r="FW153">
        <v>257</v>
      </c>
      <c r="FX153" t="s">
        <v>4070</v>
      </c>
      <c r="FY153">
        <v>5</v>
      </c>
      <c r="FZ153" t="s">
        <v>4055</v>
      </c>
      <c r="GA153" t="s">
        <v>4055</v>
      </c>
      <c r="GB153">
        <v>2273</v>
      </c>
      <c r="GC153">
        <v>22</v>
      </c>
      <c r="GD153">
        <v>5245</v>
      </c>
      <c r="GE153" t="s">
        <v>4639</v>
      </c>
      <c r="GF153" t="s">
        <v>4055</v>
      </c>
      <c r="GG153" t="s">
        <v>4055</v>
      </c>
      <c r="GH153" t="s">
        <v>4055</v>
      </c>
      <c r="GI153" t="s">
        <v>4071</v>
      </c>
      <c r="GJ153" t="s">
        <v>4055</v>
      </c>
      <c r="GK153" t="s">
        <v>4055</v>
      </c>
      <c r="GL153" t="s">
        <v>4055</v>
      </c>
      <c r="GM153" t="s">
        <v>4055</v>
      </c>
      <c r="GQ153">
        <v>0</v>
      </c>
      <c r="GV153">
        <v>8.199999999999999</v>
      </c>
      <c r="GW153">
        <v>9.5</v>
      </c>
      <c r="GX153">
        <v>0.5</v>
      </c>
      <c r="GY153">
        <v>206</v>
      </c>
      <c r="GZ153">
        <v>3</v>
      </c>
      <c r="HA153">
        <v>270</v>
      </c>
      <c r="HB153">
        <v>3</v>
      </c>
      <c r="HC153">
        <v>2273</v>
      </c>
      <c r="HD153">
        <v>4</v>
      </c>
      <c r="HE153" t="s">
        <v>4071</v>
      </c>
      <c r="HG153" t="s">
        <v>549</v>
      </c>
      <c r="HL153">
        <v>4</v>
      </c>
      <c r="HM153">
        <v>19</v>
      </c>
      <c r="HN153">
        <v>6</v>
      </c>
      <c r="HO153">
        <v>1</v>
      </c>
      <c r="HP153">
        <v>0</v>
      </c>
      <c r="HQ153">
        <v>0</v>
      </c>
      <c r="HR153">
        <v>3</v>
      </c>
      <c r="HS153">
        <v>2225</v>
      </c>
      <c r="HT153">
        <v>5</v>
      </c>
      <c r="HU153">
        <v>1</v>
      </c>
      <c r="HV153">
        <v>3</v>
      </c>
      <c r="HW153">
        <v>0</v>
      </c>
      <c r="HX153">
        <v>1</v>
      </c>
      <c r="HY153">
        <v>0</v>
      </c>
      <c r="HZ153">
        <v>65</v>
      </c>
      <c r="IA153">
        <v>2229</v>
      </c>
      <c r="IB153">
        <v>2242</v>
      </c>
      <c r="ID153">
        <v>2273</v>
      </c>
      <c r="IE153">
        <v>2273</v>
      </c>
      <c r="IF153">
        <v>210</v>
      </c>
      <c r="IG153">
        <v>200</v>
      </c>
      <c r="IH153">
        <v>270</v>
      </c>
      <c r="II153">
        <v>1</v>
      </c>
      <c r="IJ153">
        <v>5</v>
      </c>
      <c r="IK153">
        <v>0</v>
      </c>
      <c r="IL153">
        <v>0</v>
      </c>
      <c r="IM153">
        <v>0</v>
      </c>
      <c r="IN153">
        <v>270</v>
      </c>
      <c r="IO153">
        <v>0</v>
      </c>
      <c r="IP153">
        <v>180</v>
      </c>
      <c r="IQ153">
        <v>0</v>
      </c>
      <c r="IR153">
        <v>330</v>
      </c>
      <c r="IS153">
        <v>0</v>
      </c>
      <c r="IT153">
        <v>90</v>
      </c>
      <c r="IU153">
        <v>0</v>
      </c>
      <c r="IV153">
        <v>6.4</v>
      </c>
      <c r="IW153">
        <v>-6</v>
      </c>
      <c r="IX153">
        <v>107.5</v>
      </c>
      <c r="IY153">
        <v>83.5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444</v>
      </c>
      <c r="JJ153">
        <v>414</v>
      </c>
      <c r="JK153">
        <v>295</v>
      </c>
      <c r="JL153">
        <v>412</v>
      </c>
      <c r="JM153">
        <v>306</v>
      </c>
      <c r="JN153">
        <v>230</v>
      </c>
      <c r="JO153">
        <v>275</v>
      </c>
      <c r="JP153">
        <v>180</v>
      </c>
      <c r="JQ153">
        <v>245</v>
      </c>
      <c r="JR153">
        <v>315</v>
      </c>
      <c r="JS153">
        <v>230</v>
      </c>
      <c r="JT153">
        <v>0</v>
      </c>
      <c r="JU153">
        <v>0</v>
      </c>
      <c r="JV153">
        <v>300</v>
      </c>
      <c r="JW153">
        <v>295</v>
      </c>
      <c r="JX153">
        <v>290</v>
      </c>
      <c r="JY153">
        <v>270</v>
      </c>
      <c r="JZ153">
        <v>0.5</v>
      </c>
      <c r="KA153">
        <v>0.2</v>
      </c>
      <c r="KB153">
        <v>0.4</v>
      </c>
      <c r="KC153">
        <v>0.42</v>
      </c>
      <c r="KD153">
        <v>0.28</v>
      </c>
      <c r="KE153">
        <v>0.5</v>
      </c>
      <c r="KF153">
        <v>0.19</v>
      </c>
      <c r="KG153">
        <v>0.11</v>
      </c>
      <c r="KH153">
        <v>3.5</v>
      </c>
      <c r="KI153">
        <v>1</v>
      </c>
      <c r="KJ153">
        <v>4.5</v>
      </c>
      <c r="KK153">
        <v>0</v>
      </c>
      <c r="KL153">
        <v>4.5</v>
      </c>
      <c r="KM153">
        <v>0.5</v>
      </c>
      <c r="KN153">
        <v>1.8</v>
      </c>
      <c r="KO153">
        <v>0</v>
      </c>
      <c r="KP153">
        <v>0</v>
      </c>
      <c r="KQ153">
        <v>0.5</v>
      </c>
      <c r="KR153">
        <v>0.5</v>
      </c>
      <c r="KS153">
        <v>0</v>
      </c>
      <c r="KT153">
        <v>3.5</v>
      </c>
      <c r="KU153">
        <v>0</v>
      </c>
      <c r="KV153">
        <v>0</v>
      </c>
      <c r="KW153">
        <v>1.6</v>
      </c>
      <c r="KX153">
        <v>2</v>
      </c>
      <c r="KY153">
        <v>1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3</v>
      </c>
      <c r="LI153">
        <v>0.5</v>
      </c>
      <c r="LJ153">
        <v>0</v>
      </c>
      <c r="LK153">
        <v>9</v>
      </c>
      <c r="LL153">
        <v>6</v>
      </c>
      <c r="LM153">
        <v>11</v>
      </c>
      <c r="LN153">
        <v>0.1</v>
      </c>
      <c r="LO153">
        <v>3</v>
      </c>
      <c r="LP153">
        <v>0</v>
      </c>
      <c r="LQ153">
        <v>0</v>
      </c>
      <c r="LR153">
        <v>0</v>
      </c>
      <c r="LS153">
        <v>1</v>
      </c>
      <c r="LT153">
        <v>0</v>
      </c>
      <c r="LU153">
        <v>0</v>
      </c>
      <c r="LV153">
        <v>0</v>
      </c>
      <c r="LW153">
        <v>2.1</v>
      </c>
      <c r="LX153">
        <v>2.1</v>
      </c>
      <c r="LY153">
        <v>2.1</v>
      </c>
      <c r="LZ153">
        <v>2.1</v>
      </c>
      <c r="MA153">
        <v>0</v>
      </c>
      <c r="MB153">
        <v>5</v>
      </c>
      <c r="MC153">
        <v>0</v>
      </c>
      <c r="MD153">
        <v>4.5</v>
      </c>
      <c r="ME153">
        <v>6</v>
      </c>
      <c r="MF153">
        <v>6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452</v>
      </c>
      <c r="MN153">
        <v>205</v>
      </c>
      <c r="MO153">
        <v>280</v>
      </c>
      <c r="NU153">
        <v>0.15</v>
      </c>
      <c r="NV153">
        <v>0.2</v>
      </c>
      <c r="NW153">
        <v>0.2</v>
      </c>
      <c r="NX153">
        <v>0.2</v>
      </c>
      <c r="NY153">
        <v>0.2</v>
      </c>
      <c r="NZ153">
        <v>0.2</v>
      </c>
      <c r="OE153" t="s">
        <v>4639</v>
      </c>
      <c r="OF153" t="s">
        <v>4552</v>
      </c>
      <c r="OG153" t="s">
        <v>4553</v>
      </c>
      <c r="OH153" t="s">
        <v>4043</v>
      </c>
      <c r="OI153" t="s">
        <v>4639</v>
      </c>
      <c r="OJ153" t="s">
        <v>4638</v>
      </c>
      <c r="OK153">
        <v>61</v>
      </c>
      <c r="OL153">
        <v>61</v>
      </c>
      <c r="OM153" t="s">
        <v>4552</v>
      </c>
      <c r="ON153">
        <v>1</v>
      </c>
      <c r="OO153">
        <v>2229</v>
      </c>
      <c r="OP153">
        <v>61</v>
      </c>
      <c r="OQ153">
        <v>61</v>
      </c>
      <c r="OR153" t="s">
        <v>4553</v>
      </c>
      <c r="OS153">
        <v>1</v>
      </c>
      <c r="OT153">
        <v>2242</v>
      </c>
      <c r="OU153">
        <v>65</v>
      </c>
      <c r="OV153">
        <v>65</v>
      </c>
      <c r="OW153" t="s">
        <v>4043</v>
      </c>
      <c r="OX153">
        <v>2</v>
      </c>
      <c r="OY153">
        <v>48166</v>
      </c>
      <c r="OZ153">
        <v>51</v>
      </c>
      <c r="PA153">
        <v>51</v>
      </c>
      <c r="PB153" t="s">
        <v>4639</v>
      </c>
      <c r="PC153">
        <v>3</v>
      </c>
      <c r="PD153">
        <v>2273</v>
      </c>
      <c r="PF153">
        <v>507</v>
      </c>
      <c r="PG153">
        <v>35</v>
      </c>
      <c r="PH153">
        <v>483</v>
      </c>
      <c r="PI153">
        <v>0</v>
      </c>
      <c r="PJ153">
        <v>80.7</v>
      </c>
      <c r="PK153">
        <v>2272</v>
      </c>
      <c r="PL153">
        <v>1710.9</v>
      </c>
      <c r="PM153">
        <v>393.1</v>
      </c>
      <c r="PN153">
        <v>113</v>
      </c>
      <c r="PO153">
        <v>9.5</v>
      </c>
      <c r="PP153">
        <v>12</v>
      </c>
      <c r="PQ153">
        <v>4</v>
      </c>
      <c r="PR153">
        <v>4</v>
      </c>
      <c r="PS153">
        <v>0</v>
      </c>
      <c r="PT153">
        <v>270</v>
      </c>
      <c r="PU153">
        <v>10</v>
      </c>
      <c r="PV153" t="s">
        <v>4072</v>
      </c>
      <c r="PW153" t="s">
        <v>4072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-1</v>
      </c>
      <c r="QF153">
        <v>1</v>
      </c>
      <c r="QG153">
        <v>0</v>
      </c>
      <c r="QH153">
        <v>5</v>
      </c>
      <c r="QI153">
        <v>5</v>
      </c>
      <c r="QJ153">
        <v>5</v>
      </c>
      <c r="QK153">
        <v>239</v>
      </c>
      <c r="QL153">
        <v>474</v>
      </c>
      <c r="QM153">
        <v>7.5</v>
      </c>
      <c r="QN153">
        <v>1544.1</v>
      </c>
      <c r="QO153" t="s">
        <v>2240</v>
      </c>
      <c r="QP153" t="s">
        <v>513</v>
      </c>
      <c r="QQ153">
        <v>0</v>
      </c>
      <c r="QR153" t="s">
        <v>1849</v>
      </c>
      <c r="QS153">
        <v>40</v>
      </c>
      <c r="QT153">
        <v>50</v>
      </c>
    </row>
    <row r="154" spans="1:462">
      <c r="A154" t="s">
        <v>2300</v>
      </c>
      <c r="B154" t="s">
        <v>564</v>
      </c>
      <c r="C154" t="s">
        <v>509</v>
      </c>
      <c r="D154" t="s">
        <v>2299</v>
      </c>
      <c r="E154" t="s">
        <v>4036</v>
      </c>
      <c r="H154" t="s">
        <v>511</v>
      </c>
      <c r="L154" t="s">
        <v>629</v>
      </c>
      <c r="M154" t="s">
        <v>512</v>
      </c>
      <c r="O154" t="s">
        <v>513</v>
      </c>
      <c r="P154" t="s">
        <v>567</v>
      </c>
      <c r="Q154" t="s">
        <v>713</v>
      </c>
      <c r="R154" t="s">
        <v>714</v>
      </c>
      <c r="S154" t="s">
        <v>4134</v>
      </c>
      <c r="T154" t="s">
        <v>570</v>
      </c>
      <c r="U154" t="s">
        <v>571</v>
      </c>
      <c r="V154" t="s">
        <v>1710</v>
      </c>
      <c r="W154" t="s">
        <v>2244</v>
      </c>
      <c r="X154" t="s">
        <v>2301</v>
      </c>
      <c r="Y154" t="s">
        <v>2302</v>
      </c>
      <c r="Z154" t="s">
        <v>541</v>
      </c>
      <c r="AA154" t="s">
        <v>4038</v>
      </c>
      <c r="AB154" t="s">
        <v>4640</v>
      </c>
      <c r="AC154">
        <v>9</v>
      </c>
      <c r="AD154" t="s">
        <v>2298</v>
      </c>
      <c r="AE154">
        <v>5</v>
      </c>
      <c r="AF154">
        <v>5477</v>
      </c>
      <c r="AG154" t="s">
        <v>4569</v>
      </c>
      <c r="AH154">
        <v>1</v>
      </c>
      <c r="AI154" t="s">
        <v>4041</v>
      </c>
      <c r="AK154" t="s">
        <v>4570</v>
      </c>
      <c r="AL154">
        <v>1</v>
      </c>
      <c r="AM154" t="s">
        <v>582</v>
      </c>
      <c r="AO154" t="s">
        <v>4043</v>
      </c>
      <c r="AP154">
        <v>1</v>
      </c>
      <c r="AR154" t="s">
        <v>4641</v>
      </c>
      <c r="AS154">
        <v>1</v>
      </c>
      <c r="AT154">
        <v>51</v>
      </c>
      <c r="AV154" t="s">
        <v>4045</v>
      </c>
      <c r="AW154">
        <v>6.4</v>
      </c>
      <c r="AX154">
        <v>-6</v>
      </c>
      <c r="AY154">
        <v>110</v>
      </c>
      <c r="AZ154">
        <v>92</v>
      </c>
      <c r="BH154">
        <v>110</v>
      </c>
      <c r="BI154">
        <v>18</v>
      </c>
      <c r="BJ154">
        <v>92</v>
      </c>
      <c r="BK154">
        <v>2.5</v>
      </c>
      <c r="BL154">
        <v>220</v>
      </c>
      <c r="BM154">
        <v>-6</v>
      </c>
      <c r="BN154">
        <v>0</v>
      </c>
      <c r="BP154">
        <v>0</v>
      </c>
      <c r="BR154">
        <v>215</v>
      </c>
      <c r="BS154">
        <v>205</v>
      </c>
      <c r="BT154">
        <v>2120</v>
      </c>
      <c r="BU154" t="s">
        <v>4127</v>
      </c>
      <c r="BV154" t="s">
        <v>4127</v>
      </c>
      <c r="BW154" t="s">
        <v>4128</v>
      </c>
      <c r="BX154" t="s">
        <v>4128</v>
      </c>
      <c r="BY154" t="s">
        <v>4139</v>
      </c>
      <c r="BZ154" t="s">
        <v>4139</v>
      </c>
      <c r="CA154" t="s">
        <v>4084</v>
      </c>
      <c r="CB154" t="s">
        <v>4085</v>
      </c>
      <c r="CC154" t="s">
        <v>4053</v>
      </c>
      <c r="CD154" t="s">
        <v>4055</v>
      </c>
      <c r="CE154" t="s">
        <v>4055</v>
      </c>
      <c r="CF154" t="s">
        <v>4055</v>
      </c>
      <c r="CG154" t="s">
        <v>4056</v>
      </c>
      <c r="CI154" t="s">
        <v>4086</v>
      </c>
      <c r="CJ154" t="s">
        <v>4059</v>
      </c>
      <c r="CK154" t="s">
        <v>4060</v>
      </c>
      <c r="CL154" t="s">
        <v>4061</v>
      </c>
      <c r="CM154" t="s">
        <v>4055</v>
      </c>
      <c r="CN154" t="s">
        <v>4062</v>
      </c>
      <c r="CO154" t="s">
        <v>4063</v>
      </c>
      <c r="CP154" t="s">
        <v>4055</v>
      </c>
      <c r="CQ154" t="s">
        <v>4055</v>
      </c>
      <c r="CR154">
        <v>5</v>
      </c>
      <c r="CS154" t="s">
        <v>4055</v>
      </c>
      <c r="CT154" t="s">
        <v>4055</v>
      </c>
      <c r="CU154" t="s">
        <v>4055</v>
      </c>
      <c r="CV154">
        <v>133</v>
      </c>
      <c r="CW154">
        <v>3</v>
      </c>
      <c r="CX154">
        <v>95</v>
      </c>
      <c r="CY154">
        <v>5</v>
      </c>
      <c r="CZ154">
        <v>137</v>
      </c>
      <c r="DA154">
        <v>5</v>
      </c>
      <c r="DB154">
        <v>12690</v>
      </c>
      <c r="DC154">
        <v>380</v>
      </c>
      <c r="DD154">
        <v>324</v>
      </c>
      <c r="DE154">
        <v>2240</v>
      </c>
      <c r="DF154">
        <v>2240</v>
      </c>
      <c r="DG154">
        <v>2251</v>
      </c>
      <c r="DH154">
        <v>1</v>
      </c>
      <c r="DI154" t="s">
        <v>4055</v>
      </c>
      <c r="DJ154" t="s">
        <v>4132</v>
      </c>
      <c r="DK154">
        <v>215</v>
      </c>
      <c r="DL154" t="s">
        <v>4065</v>
      </c>
      <c r="DM154">
        <v>65</v>
      </c>
      <c r="DN154">
        <v>1.1</v>
      </c>
      <c r="DO154">
        <v>1</v>
      </c>
      <c r="DP154">
        <v>2123</v>
      </c>
      <c r="DQ154">
        <v>987</v>
      </c>
      <c r="DR154" t="s">
        <v>4132</v>
      </c>
      <c r="DS154">
        <v>205</v>
      </c>
      <c r="DT154" t="s">
        <v>4065</v>
      </c>
      <c r="DU154">
        <v>65</v>
      </c>
      <c r="DV154">
        <v>1.1</v>
      </c>
      <c r="DW154">
        <v>1</v>
      </c>
      <c r="DX154">
        <v>2135</v>
      </c>
      <c r="DY154">
        <v>946</v>
      </c>
      <c r="DZ154" t="s">
        <v>4066</v>
      </c>
      <c r="EA154">
        <v>20</v>
      </c>
      <c r="EB154" t="s">
        <v>4065</v>
      </c>
      <c r="EC154">
        <v>0.8</v>
      </c>
      <c r="ED154">
        <v>2123</v>
      </c>
      <c r="EE154">
        <v>74</v>
      </c>
      <c r="EG154">
        <v>0</v>
      </c>
      <c r="EH154" t="s">
        <v>4065</v>
      </c>
      <c r="EI154">
        <v>0</v>
      </c>
      <c r="EL154" t="s">
        <v>1528</v>
      </c>
      <c r="EM154">
        <v>12</v>
      </c>
      <c r="EN154">
        <v>0.5</v>
      </c>
      <c r="EO154">
        <v>0.96</v>
      </c>
      <c r="EP154">
        <v>2133.83</v>
      </c>
      <c r="EQ154">
        <v>38675.67</v>
      </c>
      <c r="ER154">
        <v>6018.36</v>
      </c>
      <c r="ES154">
        <v>0</v>
      </c>
      <c r="ET154">
        <v>0</v>
      </c>
      <c r="EU154">
        <v>1</v>
      </c>
      <c r="EV154">
        <v>44695</v>
      </c>
      <c r="EW154">
        <v>537</v>
      </c>
      <c r="EX154" t="s">
        <v>4619</v>
      </c>
      <c r="EY154">
        <v>232</v>
      </c>
      <c r="EZ154" t="s">
        <v>4055</v>
      </c>
      <c r="FA154">
        <v>6</v>
      </c>
      <c r="FB154">
        <v>1</v>
      </c>
      <c r="FC154">
        <v>1</v>
      </c>
      <c r="FD154">
        <v>2165</v>
      </c>
      <c r="FE154">
        <v>3437</v>
      </c>
      <c r="FF154" t="s">
        <v>4089</v>
      </c>
      <c r="FG154">
        <v>232</v>
      </c>
      <c r="FH154" t="s">
        <v>4055</v>
      </c>
      <c r="FI154">
        <v>1.6</v>
      </c>
      <c r="FJ154">
        <v>2165</v>
      </c>
      <c r="FK154">
        <v>817</v>
      </c>
      <c r="FL154" t="s">
        <v>4069</v>
      </c>
      <c r="FM154" t="s">
        <v>4055</v>
      </c>
      <c r="FN154" t="s">
        <v>4055</v>
      </c>
      <c r="FO154" t="s">
        <v>4055</v>
      </c>
      <c r="FP154">
        <v>2165</v>
      </c>
      <c r="FQ154">
        <v>161</v>
      </c>
      <c r="FR154" t="s">
        <v>4090</v>
      </c>
      <c r="FS154">
        <v>236</v>
      </c>
      <c r="FT154" t="s">
        <v>4055</v>
      </c>
      <c r="FU154">
        <v>0.4</v>
      </c>
      <c r="FV154">
        <v>2165</v>
      </c>
      <c r="FW154">
        <v>227</v>
      </c>
      <c r="FX154" t="s">
        <v>4070</v>
      </c>
      <c r="FY154">
        <v>5</v>
      </c>
      <c r="FZ154" t="s">
        <v>4055</v>
      </c>
      <c r="GA154" t="s">
        <v>4055</v>
      </c>
      <c r="GB154">
        <v>2165</v>
      </c>
      <c r="GC154">
        <v>20</v>
      </c>
      <c r="GD154">
        <v>4662</v>
      </c>
      <c r="GE154" t="s">
        <v>4641</v>
      </c>
      <c r="GF154" t="s">
        <v>4055</v>
      </c>
      <c r="GG154" t="s">
        <v>4055</v>
      </c>
      <c r="GH154" t="s">
        <v>4055</v>
      </c>
      <c r="GI154" t="s">
        <v>4071</v>
      </c>
      <c r="GJ154" t="s">
        <v>4055</v>
      </c>
      <c r="GK154" t="s">
        <v>4055</v>
      </c>
      <c r="GL154" t="s">
        <v>4055</v>
      </c>
      <c r="GM154" t="s">
        <v>4055</v>
      </c>
      <c r="GQ154">
        <v>0</v>
      </c>
      <c r="GV154">
        <v>8</v>
      </c>
      <c r="GW154">
        <v>9.5</v>
      </c>
      <c r="GX154">
        <v>0.5</v>
      </c>
      <c r="GY154">
        <v>204</v>
      </c>
      <c r="GZ154">
        <v>3</v>
      </c>
      <c r="HA154">
        <v>254</v>
      </c>
      <c r="HB154">
        <v>3</v>
      </c>
      <c r="HC154">
        <v>2165</v>
      </c>
      <c r="HD154">
        <v>4</v>
      </c>
      <c r="HE154" t="s">
        <v>4071</v>
      </c>
      <c r="HG154" t="s">
        <v>549</v>
      </c>
      <c r="HL154">
        <v>4</v>
      </c>
      <c r="HM154">
        <v>20</v>
      </c>
      <c r="HN154">
        <v>6</v>
      </c>
      <c r="HO154">
        <v>1</v>
      </c>
      <c r="HP154">
        <v>0</v>
      </c>
      <c r="HQ154">
        <v>0</v>
      </c>
      <c r="HR154">
        <v>3</v>
      </c>
      <c r="HS154">
        <v>2120</v>
      </c>
      <c r="HT154">
        <v>5</v>
      </c>
      <c r="HU154">
        <v>1</v>
      </c>
      <c r="HV154">
        <v>3</v>
      </c>
      <c r="HW154">
        <v>0</v>
      </c>
      <c r="HX154">
        <v>1</v>
      </c>
      <c r="HY154">
        <v>0</v>
      </c>
      <c r="HZ154">
        <v>65</v>
      </c>
      <c r="IA154">
        <v>2123</v>
      </c>
      <c r="IB154">
        <v>2135</v>
      </c>
      <c r="ID154">
        <v>2165</v>
      </c>
      <c r="IE154">
        <v>2165</v>
      </c>
      <c r="IF154">
        <v>215</v>
      </c>
      <c r="IG154">
        <v>205</v>
      </c>
      <c r="IH154">
        <v>254</v>
      </c>
      <c r="II154">
        <v>1</v>
      </c>
      <c r="IJ154">
        <v>5</v>
      </c>
      <c r="IK154">
        <v>0</v>
      </c>
      <c r="IL154">
        <v>0</v>
      </c>
      <c r="IM154">
        <v>0</v>
      </c>
      <c r="IN154">
        <v>270</v>
      </c>
      <c r="IO154">
        <v>0</v>
      </c>
      <c r="IP154">
        <v>180</v>
      </c>
      <c r="IQ154">
        <v>0</v>
      </c>
      <c r="IR154">
        <v>330</v>
      </c>
      <c r="IS154">
        <v>0</v>
      </c>
      <c r="IT154">
        <v>90</v>
      </c>
      <c r="IU154">
        <v>0</v>
      </c>
      <c r="IV154">
        <v>6.4</v>
      </c>
      <c r="IW154">
        <v>-6</v>
      </c>
      <c r="IX154">
        <v>110</v>
      </c>
      <c r="IY154">
        <v>92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366</v>
      </c>
      <c r="JJ154">
        <v>336</v>
      </c>
      <c r="JK154">
        <v>248</v>
      </c>
      <c r="JL154">
        <v>336</v>
      </c>
      <c r="JM154">
        <v>250</v>
      </c>
      <c r="JN154">
        <v>220</v>
      </c>
      <c r="JO154">
        <v>264</v>
      </c>
      <c r="JP154">
        <v>205</v>
      </c>
      <c r="JQ154">
        <v>240</v>
      </c>
      <c r="JR154">
        <v>274</v>
      </c>
      <c r="JS154">
        <v>232</v>
      </c>
      <c r="JT154">
        <v>0</v>
      </c>
      <c r="JU154">
        <v>0</v>
      </c>
      <c r="JV154">
        <v>270</v>
      </c>
      <c r="JW154">
        <v>295</v>
      </c>
      <c r="JX154">
        <v>0</v>
      </c>
      <c r="JY154">
        <v>0</v>
      </c>
      <c r="JZ154">
        <v>0</v>
      </c>
      <c r="KA154">
        <v>0.2</v>
      </c>
      <c r="KB154">
        <v>0.4</v>
      </c>
      <c r="KC154">
        <v>0.42</v>
      </c>
      <c r="KD154">
        <v>0.28</v>
      </c>
      <c r="KE154">
        <v>0.5</v>
      </c>
      <c r="KF154">
        <v>0.18</v>
      </c>
      <c r="KG154">
        <v>0.11</v>
      </c>
      <c r="KH154">
        <v>3.5</v>
      </c>
      <c r="KI154">
        <v>1</v>
      </c>
      <c r="KJ154">
        <v>4.5</v>
      </c>
      <c r="KK154">
        <v>0</v>
      </c>
      <c r="KL154">
        <v>4.5</v>
      </c>
      <c r="KM154">
        <v>0.5</v>
      </c>
      <c r="KN154">
        <v>1.9</v>
      </c>
      <c r="KO154">
        <v>0</v>
      </c>
      <c r="KP154">
        <v>0</v>
      </c>
      <c r="KQ154">
        <v>0.8</v>
      </c>
      <c r="KR154">
        <v>0.8</v>
      </c>
      <c r="KS154">
        <v>0</v>
      </c>
      <c r="KT154">
        <v>2.4</v>
      </c>
      <c r="KU154">
        <v>0</v>
      </c>
      <c r="KV154">
        <v>0</v>
      </c>
      <c r="KW154">
        <v>1.6</v>
      </c>
      <c r="KX154">
        <v>2</v>
      </c>
      <c r="KY154">
        <v>1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3</v>
      </c>
      <c r="LI154">
        <v>0</v>
      </c>
      <c r="LJ154">
        <v>0</v>
      </c>
      <c r="LK154">
        <v>7</v>
      </c>
      <c r="LL154">
        <v>5</v>
      </c>
      <c r="LM154">
        <v>9</v>
      </c>
      <c r="LN154">
        <v>0.1</v>
      </c>
      <c r="LO154">
        <v>3</v>
      </c>
      <c r="LP154">
        <v>0</v>
      </c>
      <c r="LQ154">
        <v>0</v>
      </c>
      <c r="LR154">
        <v>0</v>
      </c>
      <c r="LS154">
        <v>1</v>
      </c>
      <c r="LT154">
        <v>0</v>
      </c>
      <c r="LU154">
        <v>0</v>
      </c>
      <c r="LV154">
        <v>0</v>
      </c>
      <c r="LW154">
        <v>2</v>
      </c>
      <c r="LX154">
        <v>2</v>
      </c>
      <c r="LY154">
        <v>2.1</v>
      </c>
      <c r="LZ154">
        <v>2.1</v>
      </c>
      <c r="MA154">
        <v>0</v>
      </c>
      <c r="MB154">
        <v>3</v>
      </c>
      <c r="MC154">
        <v>0</v>
      </c>
      <c r="MD154">
        <v>4.5</v>
      </c>
      <c r="ME154">
        <v>6</v>
      </c>
      <c r="MF154">
        <v>6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390</v>
      </c>
      <c r="MN154">
        <v>210</v>
      </c>
      <c r="MO154">
        <v>264</v>
      </c>
      <c r="NU154">
        <v>0.15</v>
      </c>
      <c r="NV154">
        <v>0.2</v>
      </c>
      <c r="NW154">
        <v>0.2</v>
      </c>
      <c r="NX154">
        <v>0.2</v>
      </c>
      <c r="NY154">
        <v>0.2</v>
      </c>
      <c r="NZ154">
        <v>0.2</v>
      </c>
      <c r="OE154" t="s">
        <v>4641</v>
      </c>
      <c r="OF154" t="s">
        <v>4569</v>
      </c>
      <c r="OG154" t="s">
        <v>4570</v>
      </c>
      <c r="OH154" t="s">
        <v>4043</v>
      </c>
      <c r="OI154" t="s">
        <v>4641</v>
      </c>
      <c r="OJ154" t="s">
        <v>4640</v>
      </c>
      <c r="OK154">
        <v>61</v>
      </c>
      <c r="OL154">
        <v>61</v>
      </c>
      <c r="OM154" t="s">
        <v>4569</v>
      </c>
      <c r="ON154">
        <v>1</v>
      </c>
      <c r="OO154">
        <v>2123</v>
      </c>
      <c r="OP154">
        <v>61</v>
      </c>
      <c r="OQ154">
        <v>61</v>
      </c>
      <c r="OR154" t="s">
        <v>4570</v>
      </c>
      <c r="OS154">
        <v>1</v>
      </c>
      <c r="OT154">
        <v>2135</v>
      </c>
      <c r="OU154">
        <v>65</v>
      </c>
      <c r="OV154">
        <v>65</v>
      </c>
      <c r="OW154" t="s">
        <v>4043</v>
      </c>
      <c r="OX154">
        <v>2</v>
      </c>
      <c r="OY154">
        <v>44695</v>
      </c>
      <c r="OZ154">
        <v>51</v>
      </c>
      <c r="PA154">
        <v>51</v>
      </c>
      <c r="PB154" t="s">
        <v>4641</v>
      </c>
      <c r="PC154">
        <v>2</v>
      </c>
      <c r="PD154">
        <v>2165</v>
      </c>
      <c r="PF154">
        <v>465</v>
      </c>
      <c r="PG154">
        <v>35</v>
      </c>
      <c r="PH154">
        <v>443</v>
      </c>
      <c r="PI154">
        <v>0</v>
      </c>
      <c r="PJ154">
        <v>74.5</v>
      </c>
      <c r="PK154">
        <v>2152</v>
      </c>
      <c r="PL154">
        <v>1587.6</v>
      </c>
      <c r="PM154">
        <v>377.4</v>
      </c>
      <c r="PN154">
        <v>105</v>
      </c>
      <c r="PO154">
        <v>9.300000000000001</v>
      </c>
      <c r="PP154">
        <v>12</v>
      </c>
      <c r="PQ154">
        <v>5</v>
      </c>
      <c r="PR154">
        <v>5</v>
      </c>
      <c r="PS154">
        <v>0</v>
      </c>
      <c r="PT154">
        <v>254</v>
      </c>
      <c r="PU154">
        <v>11</v>
      </c>
      <c r="PV154" t="s">
        <v>4072</v>
      </c>
      <c r="PW154" t="s">
        <v>4072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-1</v>
      </c>
      <c r="QF154">
        <v>1</v>
      </c>
      <c r="QG154">
        <v>0</v>
      </c>
      <c r="QH154">
        <v>5</v>
      </c>
      <c r="QI154">
        <v>5</v>
      </c>
      <c r="QJ154">
        <v>5</v>
      </c>
      <c r="QK154">
        <v>199</v>
      </c>
      <c r="QL154">
        <v>396</v>
      </c>
      <c r="QM154">
        <v>7.5</v>
      </c>
      <c r="QN154">
        <v>1623.8</v>
      </c>
      <c r="QO154" t="s">
        <v>2240</v>
      </c>
      <c r="QP154" t="s">
        <v>513</v>
      </c>
      <c r="QQ154">
        <v>0</v>
      </c>
      <c r="QR154" t="s">
        <v>596</v>
      </c>
      <c r="QS154">
        <v>40</v>
      </c>
      <c r="QT154">
        <v>50</v>
      </c>
    </row>
    <row r="155" spans="1:462">
      <c r="A155" t="s">
        <v>2308</v>
      </c>
      <c r="B155" t="s">
        <v>629</v>
      </c>
      <c r="C155" t="s">
        <v>509</v>
      </c>
      <c r="D155" t="s">
        <v>2433</v>
      </c>
      <c r="E155" t="s">
        <v>4036</v>
      </c>
      <c r="H155" t="s">
        <v>604</v>
      </c>
      <c r="I155" t="s">
        <v>605</v>
      </c>
      <c r="J155" t="s">
        <v>628</v>
      </c>
      <c r="K155" t="s">
        <v>606</v>
      </c>
      <c r="L155" t="s">
        <v>711</v>
      </c>
      <c r="M155" t="s">
        <v>512</v>
      </c>
      <c r="O155" t="s">
        <v>513</v>
      </c>
      <c r="P155" t="s">
        <v>567</v>
      </c>
      <c r="Q155" t="s">
        <v>774</v>
      </c>
      <c r="R155" t="s">
        <v>661</v>
      </c>
      <c r="S155" t="s">
        <v>4037</v>
      </c>
      <c r="T155" t="s">
        <v>686</v>
      </c>
      <c r="U155" t="s">
        <v>687</v>
      </c>
      <c r="V155" t="s">
        <v>1710</v>
      </c>
      <c r="W155" t="s">
        <v>2244</v>
      </c>
      <c r="X155" t="s">
        <v>2309</v>
      </c>
      <c r="Y155" t="s">
        <v>2310</v>
      </c>
      <c r="Z155" t="s">
        <v>541</v>
      </c>
      <c r="AA155" t="s">
        <v>4038</v>
      </c>
      <c r="AB155" t="s">
        <v>4642</v>
      </c>
      <c r="AC155">
        <v>9</v>
      </c>
      <c r="AD155" t="s">
        <v>2306</v>
      </c>
      <c r="AE155">
        <v>4</v>
      </c>
      <c r="AF155">
        <v>5474</v>
      </c>
      <c r="AG155" t="s">
        <v>4152</v>
      </c>
      <c r="AH155">
        <v>1</v>
      </c>
      <c r="AI155" t="s">
        <v>4041</v>
      </c>
      <c r="AK155" t="s">
        <v>4153</v>
      </c>
      <c r="AL155">
        <v>1</v>
      </c>
      <c r="AM155" t="s">
        <v>582</v>
      </c>
      <c r="AO155" t="s">
        <v>4043</v>
      </c>
      <c r="AP155">
        <v>1</v>
      </c>
      <c r="AR155" t="s">
        <v>4643</v>
      </c>
      <c r="AS155">
        <v>1</v>
      </c>
      <c r="AT155">
        <v>51</v>
      </c>
      <c r="AV155" t="s">
        <v>4045</v>
      </c>
      <c r="AW155">
        <v>6.4</v>
      </c>
      <c r="AX155">
        <v>-6</v>
      </c>
      <c r="AY155">
        <v>97.5</v>
      </c>
      <c r="AZ155">
        <v>79.5</v>
      </c>
      <c r="BH155">
        <v>97.5</v>
      </c>
      <c r="BI155">
        <v>18</v>
      </c>
      <c r="BJ155">
        <v>79.5</v>
      </c>
      <c r="BK155">
        <v>2.5</v>
      </c>
      <c r="BL155">
        <v>195</v>
      </c>
      <c r="BM155">
        <v>-6</v>
      </c>
      <c r="BN155">
        <v>0</v>
      </c>
      <c r="BP155">
        <v>0</v>
      </c>
      <c r="BR155">
        <v>190</v>
      </c>
      <c r="BS155">
        <v>180</v>
      </c>
      <c r="BT155">
        <v>2130</v>
      </c>
      <c r="BU155" t="s">
        <v>4127</v>
      </c>
      <c r="BV155" t="s">
        <v>4127</v>
      </c>
      <c r="BW155" t="s">
        <v>4128</v>
      </c>
      <c r="BX155" t="s">
        <v>4128</v>
      </c>
      <c r="BY155" t="s">
        <v>4160</v>
      </c>
      <c r="BZ155" t="s">
        <v>4160</v>
      </c>
      <c r="CA155" t="s">
        <v>4130</v>
      </c>
      <c r="CB155" t="s">
        <v>4131</v>
      </c>
      <c r="CC155" t="s">
        <v>4053</v>
      </c>
      <c r="CD155" t="s">
        <v>4055</v>
      </c>
      <c r="CE155" t="s">
        <v>4055</v>
      </c>
      <c r="CF155" t="s">
        <v>4055</v>
      </c>
      <c r="CG155" t="s">
        <v>4056</v>
      </c>
      <c r="CI155" t="s">
        <v>4086</v>
      </c>
      <c r="CJ155" t="s">
        <v>4059</v>
      </c>
      <c r="CK155" t="s">
        <v>4060</v>
      </c>
      <c r="CL155" t="s">
        <v>4061</v>
      </c>
      <c r="CM155" t="s">
        <v>4055</v>
      </c>
      <c r="CN155" t="s">
        <v>4062</v>
      </c>
      <c r="CO155" t="s">
        <v>4063</v>
      </c>
      <c r="CP155" t="s">
        <v>4055</v>
      </c>
      <c r="CQ155" t="s">
        <v>4055</v>
      </c>
      <c r="CR155">
        <v>5</v>
      </c>
      <c r="CS155" t="s">
        <v>4055</v>
      </c>
      <c r="CT155" t="s">
        <v>4055</v>
      </c>
      <c r="CU155" t="s">
        <v>4055</v>
      </c>
      <c r="CV155">
        <v>121</v>
      </c>
      <c r="CW155">
        <v>3</v>
      </c>
      <c r="CX155">
        <v>80</v>
      </c>
      <c r="CY155">
        <v>5</v>
      </c>
      <c r="CZ155">
        <v>135</v>
      </c>
      <c r="DA155">
        <v>5</v>
      </c>
      <c r="DB155">
        <v>12020</v>
      </c>
      <c r="DC155">
        <v>360</v>
      </c>
      <c r="DD155">
        <v>337</v>
      </c>
      <c r="DE155">
        <v>2250</v>
      </c>
      <c r="DF155">
        <v>2250</v>
      </c>
      <c r="DG155">
        <v>2261</v>
      </c>
      <c r="DH155">
        <v>1</v>
      </c>
      <c r="DI155" t="s">
        <v>4055</v>
      </c>
      <c r="DJ155" t="s">
        <v>4132</v>
      </c>
      <c r="DK155">
        <v>190</v>
      </c>
      <c r="DL155" t="s">
        <v>4065</v>
      </c>
      <c r="DM155">
        <v>65</v>
      </c>
      <c r="DN155">
        <v>1.1</v>
      </c>
      <c r="DO155">
        <v>1</v>
      </c>
      <c r="DP155">
        <v>2133</v>
      </c>
      <c r="DQ155">
        <v>877</v>
      </c>
      <c r="DR155" t="s">
        <v>4132</v>
      </c>
      <c r="DS155">
        <v>180</v>
      </c>
      <c r="DT155" t="s">
        <v>4065</v>
      </c>
      <c r="DU155">
        <v>65</v>
      </c>
      <c r="DV155">
        <v>1.1</v>
      </c>
      <c r="DW155">
        <v>1</v>
      </c>
      <c r="DX155">
        <v>2145</v>
      </c>
      <c r="DY155">
        <v>834</v>
      </c>
      <c r="DZ155" t="s">
        <v>4066</v>
      </c>
      <c r="EA155">
        <v>20</v>
      </c>
      <c r="EB155" t="s">
        <v>4065</v>
      </c>
      <c r="EC155">
        <v>0.8</v>
      </c>
      <c r="ED155">
        <v>2133</v>
      </c>
      <c r="EE155">
        <v>75</v>
      </c>
      <c r="EG155">
        <v>0</v>
      </c>
      <c r="EH155" t="s">
        <v>4065</v>
      </c>
      <c r="EI155">
        <v>0</v>
      </c>
      <c r="EL155" t="s">
        <v>1528</v>
      </c>
      <c r="EM155">
        <v>12</v>
      </c>
      <c r="EN155">
        <v>0.5</v>
      </c>
      <c r="EO155">
        <v>0.96</v>
      </c>
      <c r="EP155">
        <v>2143.83</v>
      </c>
      <c r="EQ155">
        <v>34669.75</v>
      </c>
      <c r="ER155">
        <v>6046.49</v>
      </c>
      <c r="ES155">
        <v>0</v>
      </c>
      <c r="ET155">
        <v>0</v>
      </c>
      <c r="EU155">
        <v>1</v>
      </c>
      <c r="EV155">
        <v>40717</v>
      </c>
      <c r="EW155">
        <v>489</v>
      </c>
      <c r="EX155" t="s">
        <v>4619</v>
      </c>
      <c r="EY155">
        <v>210</v>
      </c>
      <c r="EZ155" t="s">
        <v>4055</v>
      </c>
      <c r="FA155">
        <v>6</v>
      </c>
      <c r="FB155">
        <v>1</v>
      </c>
      <c r="FC155">
        <v>1</v>
      </c>
      <c r="FD155">
        <v>2175</v>
      </c>
      <c r="FE155">
        <v>3155</v>
      </c>
      <c r="FF155" t="s">
        <v>4089</v>
      </c>
      <c r="FG155">
        <v>210</v>
      </c>
      <c r="FH155" t="s">
        <v>4055</v>
      </c>
      <c r="FI155">
        <v>1.6</v>
      </c>
      <c r="FJ155">
        <v>2175</v>
      </c>
      <c r="FK155">
        <v>741</v>
      </c>
      <c r="FL155" t="s">
        <v>4069</v>
      </c>
      <c r="FM155" t="s">
        <v>4055</v>
      </c>
      <c r="FN155" t="s">
        <v>4055</v>
      </c>
      <c r="FO155" t="s">
        <v>4055</v>
      </c>
      <c r="FP155">
        <v>2175</v>
      </c>
      <c r="FQ155">
        <v>147</v>
      </c>
      <c r="FR155" t="s">
        <v>4090</v>
      </c>
      <c r="FS155">
        <v>214</v>
      </c>
      <c r="FT155" t="s">
        <v>4055</v>
      </c>
      <c r="FU155">
        <v>0.4</v>
      </c>
      <c r="FV155">
        <v>2175</v>
      </c>
      <c r="FW155">
        <v>207</v>
      </c>
      <c r="FX155" t="s">
        <v>4070</v>
      </c>
      <c r="FY155">
        <v>5</v>
      </c>
      <c r="FZ155" t="s">
        <v>4055</v>
      </c>
      <c r="GA155" t="s">
        <v>4055</v>
      </c>
      <c r="GB155">
        <v>2175</v>
      </c>
      <c r="GC155">
        <v>20</v>
      </c>
      <c r="GD155">
        <v>4270</v>
      </c>
      <c r="GE155" t="s">
        <v>4643</v>
      </c>
      <c r="GF155" t="s">
        <v>4055</v>
      </c>
      <c r="GG155" t="s">
        <v>4055</v>
      </c>
      <c r="GH155" t="s">
        <v>4055</v>
      </c>
      <c r="GI155" t="s">
        <v>4071</v>
      </c>
      <c r="GJ155" t="s">
        <v>4055</v>
      </c>
      <c r="GK155" t="s">
        <v>4055</v>
      </c>
      <c r="GL155" t="s">
        <v>4055</v>
      </c>
      <c r="GM155" t="s">
        <v>4055</v>
      </c>
      <c r="GQ155">
        <v>0</v>
      </c>
      <c r="GV155">
        <v>8</v>
      </c>
      <c r="GW155">
        <v>9.699999999999999</v>
      </c>
      <c r="GX155">
        <v>0.5</v>
      </c>
      <c r="GY155">
        <v>184</v>
      </c>
      <c r="GZ155">
        <v>3</v>
      </c>
      <c r="HA155">
        <v>228</v>
      </c>
      <c r="HB155">
        <v>3</v>
      </c>
      <c r="HC155">
        <v>2175</v>
      </c>
      <c r="HD155">
        <v>4</v>
      </c>
      <c r="HE155" t="s">
        <v>4071</v>
      </c>
      <c r="HG155" t="s">
        <v>549</v>
      </c>
      <c r="HL155">
        <v>4</v>
      </c>
      <c r="HM155">
        <v>19</v>
      </c>
      <c r="HN155">
        <v>6</v>
      </c>
      <c r="HO155">
        <v>1</v>
      </c>
      <c r="HP155">
        <v>0</v>
      </c>
      <c r="HQ155">
        <v>0</v>
      </c>
      <c r="HR155">
        <v>3</v>
      </c>
      <c r="HS155">
        <v>2130</v>
      </c>
      <c r="HT155">
        <v>5</v>
      </c>
      <c r="HU155">
        <v>1</v>
      </c>
      <c r="HV155">
        <v>3</v>
      </c>
      <c r="HW155">
        <v>0</v>
      </c>
      <c r="HX155">
        <v>1</v>
      </c>
      <c r="HY155">
        <v>0</v>
      </c>
      <c r="HZ155">
        <v>65</v>
      </c>
      <c r="IA155">
        <v>2133</v>
      </c>
      <c r="IB155">
        <v>2145</v>
      </c>
      <c r="ID155">
        <v>2175</v>
      </c>
      <c r="IE155">
        <v>2175</v>
      </c>
      <c r="IF155">
        <v>190</v>
      </c>
      <c r="IG155">
        <v>180</v>
      </c>
      <c r="IH155">
        <v>228</v>
      </c>
      <c r="II155">
        <v>1</v>
      </c>
      <c r="IJ155">
        <v>5</v>
      </c>
      <c r="IK155">
        <v>0</v>
      </c>
      <c r="IL155">
        <v>0</v>
      </c>
      <c r="IM155">
        <v>0</v>
      </c>
      <c r="IN155">
        <v>270</v>
      </c>
      <c r="IO155">
        <v>0</v>
      </c>
      <c r="IP155">
        <v>180</v>
      </c>
      <c r="IQ155">
        <v>0</v>
      </c>
      <c r="IR155">
        <v>330</v>
      </c>
      <c r="IS155">
        <v>0</v>
      </c>
      <c r="IT155">
        <v>90</v>
      </c>
      <c r="IU155">
        <v>0</v>
      </c>
      <c r="IV155">
        <v>6.4</v>
      </c>
      <c r="IW155">
        <v>-6</v>
      </c>
      <c r="IX155">
        <v>97.5</v>
      </c>
      <c r="IY155">
        <v>79.5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386</v>
      </c>
      <c r="JJ155">
        <v>356</v>
      </c>
      <c r="JK155">
        <v>263</v>
      </c>
      <c r="JL155">
        <v>356</v>
      </c>
      <c r="JM155">
        <v>280</v>
      </c>
      <c r="JN155">
        <v>190</v>
      </c>
      <c r="JO155">
        <v>238</v>
      </c>
      <c r="JP155">
        <v>195</v>
      </c>
      <c r="JQ155">
        <v>230</v>
      </c>
      <c r="JR155">
        <v>310</v>
      </c>
      <c r="JS155">
        <v>230</v>
      </c>
      <c r="JT155">
        <v>0</v>
      </c>
      <c r="JU155">
        <v>0</v>
      </c>
      <c r="JV155">
        <v>300</v>
      </c>
      <c r="JW155">
        <v>295</v>
      </c>
      <c r="JX155">
        <v>0</v>
      </c>
      <c r="JY155">
        <v>0</v>
      </c>
      <c r="JZ155">
        <v>0</v>
      </c>
      <c r="KA155">
        <v>0.2</v>
      </c>
      <c r="KB155">
        <v>0.4</v>
      </c>
      <c r="KC155">
        <v>0.42</v>
      </c>
      <c r="KD155">
        <v>0.28</v>
      </c>
      <c r="KE155">
        <v>0.5</v>
      </c>
      <c r="KF155">
        <v>0.18</v>
      </c>
      <c r="KG155">
        <v>0.11</v>
      </c>
      <c r="KH155">
        <v>3.5</v>
      </c>
      <c r="KI155">
        <v>1</v>
      </c>
      <c r="KJ155">
        <v>4.5</v>
      </c>
      <c r="KK155">
        <v>0</v>
      </c>
      <c r="KL155">
        <v>4.5</v>
      </c>
      <c r="KM155">
        <v>0.5</v>
      </c>
      <c r="KN155">
        <v>1.7</v>
      </c>
      <c r="KO155">
        <v>0</v>
      </c>
      <c r="KP155">
        <v>0</v>
      </c>
      <c r="KQ155">
        <v>0.5</v>
      </c>
      <c r="KR155">
        <v>0.5</v>
      </c>
      <c r="KS155">
        <v>0</v>
      </c>
      <c r="KT155">
        <v>2.5</v>
      </c>
      <c r="KU155">
        <v>0</v>
      </c>
      <c r="KV155">
        <v>0</v>
      </c>
      <c r="KW155">
        <v>1.6</v>
      </c>
      <c r="KX155">
        <v>2</v>
      </c>
      <c r="KY155">
        <v>1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3</v>
      </c>
      <c r="LI155">
        <v>0</v>
      </c>
      <c r="LJ155">
        <v>0</v>
      </c>
      <c r="LK155">
        <v>9</v>
      </c>
      <c r="LL155">
        <v>6</v>
      </c>
      <c r="LM155">
        <v>11</v>
      </c>
      <c r="LN155">
        <v>0.1</v>
      </c>
      <c r="LO155">
        <v>2</v>
      </c>
      <c r="LP155">
        <v>0</v>
      </c>
      <c r="LQ155">
        <v>0</v>
      </c>
      <c r="LR155">
        <v>0</v>
      </c>
      <c r="LS155">
        <v>1</v>
      </c>
      <c r="LT155">
        <v>0</v>
      </c>
      <c r="LU155">
        <v>0</v>
      </c>
      <c r="LV155">
        <v>0</v>
      </c>
      <c r="LW155">
        <v>2.2</v>
      </c>
      <c r="LX155">
        <v>2.2</v>
      </c>
      <c r="LY155">
        <v>2.1</v>
      </c>
      <c r="LZ155">
        <v>2.1</v>
      </c>
      <c r="MA155">
        <v>0</v>
      </c>
      <c r="MB155">
        <v>5</v>
      </c>
      <c r="MC155">
        <v>0</v>
      </c>
      <c r="MD155">
        <v>4.5</v>
      </c>
      <c r="ME155">
        <v>6</v>
      </c>
      <c r="MF155">
        <v>6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452</v>
      </c>
      <c r="MN155">
        <v>185</v>
      </c>
      <c r="MO155">
        <v>238</v>
      </c>
      <c r="NU155">
        <v>0.15</v>
      </c>
      <c r="NV155">
        <v>0.2</v>
      </c>
      <c r="NW155">
        <v>0.2</v>
      </c>
      <c r="NX155">
        <v>0.2</v>
      </c>
      <c r="NY155">
        <v>0.2</v>
      </c>
      <c r="NZ155">
        <v>0.2</v>
      </c>
      <c r="OE155" t="s">
        <v>4643</v>
      </c>
      <c r="OF155" t="s">
        <v>4152</v>
      </c>
      <c r="OG155" t="s">
        <v>4153</v>
      </c>
      <c r="OH155" t="s">
        <v>4043</v>
      </c>
      <c r="OI155" t="s">
        <v>4643</v>
      </c>
      <c r="OJ155" t="s">
        <v>4642</v>
      </c>
      <c r="OK155">
        <v>61</v>
      </c>
      <c r="OL155">
        <v>61</v>
      </c>
      <c r="OM155" t="s">
        <v>4152</v>
      </c>
      <c r="ON155">
        <v>1</v>
      </c>
      <c r="OO155">
        <v>2133</v>
      </c>
      <c r="OP155">
        <v>61</v>
      </c>
      <c r="OQ155">
        <v>61</v>
      </c>
      <c r="OR155" t="s">
        <v>4153</v>
      </c>
      <c r="OS155">
        <v>1</v>
      </c>
      <c r="OT155">
        <v>2145</v>
      </c>
      <c r="OU155">
        <v>65</v>
      </c>
      <c r="OV155">
        <v>65</v>
      </c>
      <c r="OW155" t="s">
        <v>4043</v>
      </c>
      <c r="OX155">
        <v>2</v>
      </c>
      <c r="OY155">
        <v>40717</v>
      </c>
      <c r="OZ155">
        <v>51</v>
      </c>
      <c r="PA155">
        <v>51</v>
      </c>
      <c r="PB155" t="s">
        <v>4643</v>
      </c>
      <c r="PC155">
        <v>1</v>
      </c>
      <c r="PD155">
        <v>2175</v>
      </c>
      <c r="PF155">
        <v>411</v>
      </c>
      <c r="PG155">
        <v>35</v>
      </c>
      <c r="PH155">
        <v>389</v>
      </c>
      <c r="PI155">
        <v>0</v>
      </c>
      <c r="PJ155">
        <v>67.40000000000001</v>
      </c>
      <c r="PK155">
        <v>1980</v>
      </c>
      <c r="PL155">
        <v>1450.5</v>
      </c>
      <c r="PM155">
        <v>340.9</v>
      </c>
      <c r="PN155">
        <v>95.2</v>
      </c>
      <c r="PO155">
        <v>9.300000000000001</v>
      </c>
      <c r="PP155">
        <v>12</v>
      </c>
      <c r="PQ155">
        <v>5</v>
      </c>
      <c r="PR155">
        <v>5</v>
      </c>
      <c r="PS155">
        <v>0</v>
      </c>
      <c r="PT155">
        <v>228</v>
      </c>
      <c r="PU155">
        <v>9</v>
      </c>
      <c r="PV155" t="s">
        <v>4072</v>
      </c>
      <c r="PW155" t="s">
        <v>4072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-1</v>
      </c>
      <c r="QF155">
        <v>1</v>
      </c>
      <c r="QG155">
        <v>0</v>
      </c>
      <c r="QH155">
        <v>5</v>
      </c>
      <c r="QI155">
        <v>5</v>
      </c>
      <c r="QJ155">
        <v>5</v>
      </c>
      <c r="QK155">
        <v>209</v>
      </c>
      <c r="QL155">
        <v>416</v>
      </c>
      <c r="QM155">
        <v>7.5</v>
      </c>
      <c r="QN155">
        <v>1544.1</v>
      </c>
      <c r="QO155" t="s">
        <v>2240</v>
      </c>
      <c r="QP155" t="s">
        <v>513</v>
      </c>
      <c r="QQ155">
        <v>0</v>
      </c>
      <c r="QR155" t="s">
        <v>596</v>
      </c>
      <c r="QS155">
        <v>40</v>
      </c>
      <c r="QT155">
        <v>50</v>
      </c>
    </row>
    <row r="156" spans="1:462">
      <c r="A156" t="s">
        <v>2316</v>
      </c>
      <c r="B156" t="s">
        <v>711</v>
      </c>
      <c r="C156" t="s">
        <v>509</v>
      </c>
      <c r="D156" t="s">
        <v>1199</v>
      </c>
      <c r="E156" t="s">
        <v>4036</v>
      </c>
      <c r="H156" t="s">
        <v>1294</v>
      </c>
      <c r="J156" t="s">
        <v>562</v>
      </c>
      <c r="K156" t="s">
        <v>563</v>
      </c>
      <c r="L156" t="s">
        <v>804</v>
      </c>
      <c r="M156" t="s">
        <v>512</v>
      </c>
      <c r="O156" t="s">
        <v>513</v>
      </c>
      <c r="P156" t="s">
        <v>567</v>
      </c>
      <c r="Q156" t="s">
        <v>2066</v>
      </c>
      <c r="R156" t="s">
        <v>1043</v>
      </c>
      <c r="S156" t="s">
        <v>4037</v>
      </c>
      <c r="T156" t="s">
        <v>570</v>
      </c>
      <c r="U156" t="s">
        <v>571</v>
      </c>
      <c r="V156" t="s">
        <v>2067</v>
      </c>
      <c r="W156" t="s">
        <v>2244</v>
      </c>
      <c r="X156" t="s">
        <v>2317</v>
      </c>
      <c r="Y156" t="s">
        <v>2318</v>
      </c>
      <c r="Z156" t="s">
        <v>541</v>
      </c>
      <c r="AA156" t="s">
        <v>4038</v>
      </c>
      <c r="AB156" t="s">
        <v>4644</v>
      </c>
      <c r="AC156">
        <v>9</v>
      </c>
      <c r="AD156" t="s">
        <v>2314</v>
      </c>
      <c r="AE156">
        <v>3</v>
      </c>
      <c r="AF156">
        <v>6676</v>
      </c>
      <c r="AG156" t="s">
        <v>4211</v>
      </c>
      <c r="AH156">
        <v>1</v>
      </c>
      <c r="AI156" t="s">
        <v>4041</v>
      </c>
      <c r="AK156" t="s">
        <v>4212</v>
      </c>
      <c r="AL156">
        <v>1</v>
      </c>
      <c r="AM156" t="s">
        <v>582</v>
      </c>
      <c r="AO156" t="s">
        <v>4043</v>
      </c>
      <c r="AP156">
        <v>1</v>
      </c>
      <c r="AR156" t="s">
        <v>4645</v>
      </c>
      <c r="AS156">
        <v>1</v>
      </c>
      <c r="AT156">
        <v>51</v>
      </c>
      <c r="AV156" t="s">
        <v>4045</v>
      </c>
      <c r="AW156">
        <v>6.4</v>
      </c>
      <c r="AX156">
        <v>-6</v>
      </c>
      <c r="AY156">
        <v>112.5</v>
      </c>
      <c r="AZ156">
        <v>94.5</v>
      </c>
      <c r="BH156">
        <v>112.5</v>
      </c>
      <c r="BI156">
        <v>18</v>
      </c>
      <c r="BJ156">
        <v>94.5</v>
      </c>
      <c r="BK156">
        <v>2.5</v>
      </c>
      <c r="BL156">
        <v>225</v>
      </c>
      <c r="BM156">
        <v>-6</v>
      </c>
      <c r="BN156">
        <v>0</v>
      </c>
      <c r="BO156">
        <v>0</v>
      </c>
      <c r="BP156">
        <v>0</v>
      </c>
      <c r="BR156">
        <v>220</v>
      </c>
      <c r="BS156">
        <v>210</v>
      </c>
      <c r="BT156">
        <v>2300</v>
      </c>
      <c r="BU156" t="s">
        <v>4079</v>
      </c>
      <c r="BV156" t="s">
        <v>4080</v>
      </c>
      <c r="BW156" t="s">
        <v>4081</v>
      </c>
      <c r="BX156" t="s">
        <v>4082</v>
      </c>
      <c r="BY156" t="s">
        <v>4199</v>
      </c>
      <c r="BZ156" t="s">
        <v>4164</v>
      </c>
      <c r="CA156" t="s">
        <v>4084</v>
      </c>
      <c r="CB156" t="s">
        <v>4085</v>
      </c>
      <c r="CC156" t="s">
        <v>4053</v>
      </c>
      <c r="CD156" t="s">
        <v>4055</v>
      </c>
      <c r="CE156" t="s">
        <v>4055</v>
      </c>
      <c r="CF156" t="s">
        <v>4055</v>
      </c>
      <c r="CG156" t="s">
        <v>4056</v>
      </c>
      <c r="CI156" t="s">
        <v>4086</v>
      </c>
      <c r="CJ156" t="s">
        <v>4059</v>
      </c>
      <c r="CK156" t="s">
        <v>4060</v>
      </c>
      <c r="CL156" t="s">
        <v>4061</v>
      </c>
      <c r="CM156" t="s">
        <v>4055</v>
      </c>
      <c r="CN156" t="s">
        <v>4062</v>
      </c>
      <c r="CO156" t="s">
        <v>4063</v>
      </c>
      <c r="CP156" t="s">
        <v>4055</v>
      </c>
      <c r="CQ156" t="s">
        <v>4055</v>
      </c>
      <c r="CR156">
        <v>5</v>
      </c>
      <c r="CS156" t="s">
        <v>4055</v>
      </c>
      <c r="CT156" t="s">
        <v>4055</v>
      </c>
      <c r="CU156" t="s">
        <v>4055</v>
      </c>
      <c r="CV156">
        <v>141</v>
      </c>
      <c r="CW156">
        <v>3</v>
      </c>
      <c r="CX156">
        <v>97</v>
      </c>
      <c r="CY156">
        <v>5</v>
      </c>
      <c r="CZ156">
        <v>154</v>
      </c>
      <c r="DA156">
        <v>5</v>
      </c>
      <c r="DB156">
        <v>15220</v>
      </c>
      <c r="DC156">
        <v>450</v>
      </c>
      <c r="DD156">
        <v>384</v>
      </c>
      <c r="DE156">
        <v>2420</v>
      </c>
      <c r="DF156">
        <v>2420</v>
      </c>
      <c r="DG156">
        <v>2440</v>
      </c>
      <c r="DH156">
        <v>3</v>
      </c>
      <c r="DI156" t="s">
        <v>4055</v>
      </c>
      <c r="DJ156" t="s">
        <v>4217</v>
      </c>
      <c r="DK156">
        <v>220</v>
      </c>
      <c r="DL156" t="s">
        <v>4065</v>
      </c>
      <c r="DM156">
        <v>65</v>
      </c>
      <c r="DN156">
        <v>1.26</v>
      </c>
      <c r="DO156">
        <v>1</v>
      </c>
      <c r="DP156">
        <v>2304</v>
      </c>
      <c r="DQ156">
        <v>1223</v>
      </c>
      <c r="DR156" t="s">
        <v>4217</v>
      </c>
      <c r="DS156">
        <v>210</v>
      </c>
      <c r="DT156" t="s">
        <v>4065</v>
      </c>
      <c r="DU156">
        <v>65</v>
      </c>
      <c r="DV156">
        <v>1.26</v>
      </c>
      <c r="DW156">
        <v>1</v>
      </c>
      <c r="DX156">
        <v>2317</v>
      </c>
      <c r="DY156">
        <v>1175</v>
      </c>
      <c r="DZ156" t="s">
        <v>4066</v>
      </c>
      <c r="EA156">
        <v>20</v>
      </c>
      <c r="EB156" t="s">
        <v>4065</v>
      </c>
      <c r="EC156">
        <v>0.8</v>
      </c>
      <c r="ED156">
        <v>2304</v>
      </c>
      <c r="EE156">
        <v>81</v>
      </c>
      <c r="EG156">
        <v>0</v>
      </c>
      <c r="EH156" t="s">
        <v>4065</v>
      </c>
      <c r="EI156">
        <v>0</v>
      </c>
      <c r="EL156" t="s">
        <v>1528</v>
      </c>
      <c r="EM156">
        <v>12</v>
      </c>
      <c r="EN156">
        <v>0.5</v>
      </c>
      <c r="EO156">
        <v>0.96</v>
      </c>
      <c r="EP156">
        <v>2315.84</v>
      </c>
      <c r="EQ156">
        <v>42879.23</v>
      </c>
      <c r="ER156">
        <v>6530.26</v>
      </c>
      <c r="ES156">
        <v>0</v>
      </c>
      <c r="ET156">
        <v>0</v>
      </c>
      <c r="EU156">
        <v>1</v>
      </c>
      <c r="EV156">
        <v>49410</v>
      </c>
      <c r="EW156">
        <v>593</v>
      </c>
      <c r="EX156" t="s">
        <v>4619</v>
      </c>
      <c r="EY156">
        <v>254</v>
      </c>
      <c r="EZ156" t="s">
        <v>4055</v>
      </c>
      <c r="FA156">
        <v>6.3</v>
      </c>
      <c r="FB156">
        <v>1</v>
      </c>
      <c r="FC156">
        <v>1</v>
      </c>
      <c r="FD156">
        <v>2348</v>
      </c>
      <c r="FE156">
        <v>4013</v>
      </c>
      <c r="FF156" t="s">
        <v>4089</v>
      </c>
      <c r="FG156">
        <v>254</v>
      </c>
      <c r="FH156" t="s">
        <v>4055</v>
      </c>
      <c r="FI156">
        <v>1.6</v>
      </c>
      <c r="FJ156">
        <v>2348</v>
      </c>
      <c r="FK156">
        <v>951</v>
      </c>
      <c r="FL156" t="s">
        <v>4069</v>
      </c>
      <c r="FM156" t="s">
        <v>4055</v>
      </c>
      <c r="FN156" t="s">
        <v>4055</v>
      </c>
      <c r="FO156" t="s">
        <v>4055</v>
      </c>
      <c r="FP156">
        <v>2348</v>
      </c>
      <c r="FQ156">
        <v>209</v>
      </c>
      <c r="FR156" t="s">
        <v>4090</v>
      </c>
      <c r="FS156">
        <v>258</v>
      </c>
      <c r="FT156" t="s">
        <v>4055</v>
      </c>
      <c r="FU156">
        <v>0.4</v>
      </c>
      <c r="FV156">
        <v>2348</v>
      </c>
      <c r="FW156">
        <v>270</v>
      </c>
      <c r="FX156" t="s">
        <v>4070</v>
      </c>
      <c r="FY156">
        <v>5</v>
      </c>
      <c r="FZ156" t="s">
        <v>4055</v>
      </c>
      <c r="GA156" t="s">
        <v>4055</v>
      </c>
      <c r="GB156">
        <v>2348</v>
      </c>
      <c r="GC156">
        <v>23</v>
      </c>
      <c r="GD156">
        <v>5466</v>
      </c>
      <c r="GE156" t="s">
        <v>4645</v>
      </c>
      <c r="GF156" t="s">
        <v>4055</v>
      </c>
      <c r="GG156" t="s">
        <v>4055</v>
      </c>
      <c r="GH156" t="s">
        <v>4055</v>
      </c>
      <c r="GI156" t="s">
        <v>4071</v>
      </c>
      <c r="GJ156" t="s">
        <v>4055</v>
      </c>
      <c r="GK156" t="s">
        <v>4055</v>
      </c>
      <c r="GL156" t="s">
        <v>4055</v>
      </c>
      <c r="GM156" t="s">
        <v>4055</v>
      </c>
      <c r="GQ156">
        <v>0</v>
      </c>
      <c r="GV156">
        <v>8.300000000000001</v>
      </c>
      <c r="GW156">
        <v>9.5</v>
      </c>
      <c r="GX156">
        <v>0.5</v>
      </c>
      <c r="GY156">
        <v>214</v>
      </c>
      <c r="GZ156">
        <v>3</v>
      </c>
      <c r="HA156">
        <v>274</v>
      </c>
      <c r="HB156">
        <v>3</v>
      </c>
      <c r="HC156">
        <v>2348</v>
      </c>
      <c r="HD156">
        <v>4</v>
      </c>
      <c r="HE156" t="s">
        <v>4071</v>
      </c>
      <c r="HG156" t="s">
        <v>549</v>
      </c>
      <c r="HL156">
        <v>4</v>
      </c>
      <c r="HM156">
        <v>20</v>
      </c>
      <c r="HN156">
        <v>6</v>
      </c>
      <c r="HO156">
        <v>1</v>
      </c>
      <c r="HP156">
        <v>0</v>
      </c>
      <c r="HQ156">
        <v>0</v>
      </c>
      <c r="HR156">
        <v>1</v>
      </c>
      <c r="HS156">
        <v>2300</v>
      </c>
      <c r="HT156">
        <v>5</v>
      </c>
      <c r="HU156">
        <v>1</v>
      </c>
      <c r="HV156">
        <v>3</v>
      </c>
      <c r="HW156">
        <v>0</v>
      </c>
      <c r="HX156">
        <v>1</v>
      </c>
      <c r="HY156">
        <v>0</v>
      </c>
      <c r="HZ156">
        <v>65</v>
      </c>
      <c r="IA156">
        <v>2304</v>
      </c>
      <c r="IB156">
        <v>2317</v>
      </c>
      <c r="ID156">
        <v>2348</v>
      </c>
      <c r="IE156">
        <v>2348</v>
      </c>
      <c r="IF156">
        <v>220</v>
      </c>
      <c r="IG156">
        <v>210</v>
      </c>
      <c r="IH156">
        <v>274</v>
      </c>
      <c r="II156">
        <v>1</v>
      </c>
      <c r="IJ156">
        <v>5</v>
      </c>
      <c r="IK156">
        <v>0</v>
      </c>
      <c r="IL156">
        <v>0</v>
      </c>
      <c r="IM156">
        <v>0</v>
      </c>
      <c r="IN156">
        <v>270</v>
      </c>
      <c r="IO156">
        <v>0</v>
      </c>
      <c r="IP156">
        <v>180</v>
      </c>
      <c r="IQ156">
        <v>0</v>
      </c>
      <c r="IR156">
        <v>330</v>
      </c>
      <c r="IS156">
        <v>0</v>
      </c>
      <c r="IT156">
        <v>90</v>
      </c>
      <c r="IU156">
        <v>0</v>
      </c>
      <c r="IV156">
        <v>6.4</v>
      </c>
      <c r="IW156">
        <v>-6</v>
      </c>
      <c r="IX156">
        <v>112.5</v>
      </c>
      <c r="IY156">
        <v>94.5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440</v>
      </c>
      <c r="JJ156">
        <v>410</v>
      </c>
      <c r="JK156">
        <v>295</v>
      </c>
      <c r="JL156">
        <v>408</v>
      </c>
      <c r="JM156">
        <v>314</v>
      </c>
      <c r="JN156">
        <v>210</v>
      </c>
      <c r="JO156">
        <v>278</v>
      </c>
      <c r="JP156">
        <v>170</v>
      </c>
      <c r="JQ156">
        <v>205</v>
      </c>
      <c r="JR156">
        <v>275</v>
      </c>
      <c r="JS156">
        <v>235</v>
      </c>
      <c r="JT156">
        <v>0</v>
      </c>
      <c r="JU156">
        <v>0</v>
      </c>
      <c r="JV156">
        <v>270</v>
      </c>
      <c r="JW156">
        <v>260</v>
      </c>
      <c r="JX156">
        <v>250</v>
      </c>
      <c r="JY156">
        <v>245</v>
      </c>
      <c r="JZ156">
        <v>0.5</v>
      </c>
      <c r="KA156">
        <v>0.2</v>
      </c>
      <c r="KB156">
        <v>0.4</v>
      </c>
      <c r="KC156">
        <v>0.42</v>
      </c>
      <c r="KD156">
        <v>0.3</v>
      </c>
      <c r="KE156">
        <v>0.5</v>
      </c>
      <c r="KF156">
        <v>0.2</v>
      </c>
      <c r="KG156">
        <v>0.13</v>
      </c>
      <c r="KH156">
        <v>3.5</v>
      </c>
      <c r="KI156">
        <v>1</v>
      </c>
      <c r="KJ156">
        <v>4.5</v>
      </c>
      <c r="KK156">
        <v>0</v>
      </c>
      <c r="KL156">
        <v>4.5</v>
      </c>
      <c r="KM156">
        <v>0.5</v>
      </c>
      <c r="KN156">
        <v>2.7</v>
      </c>
      <c r="KO156">
        <v>1</v>
      </c>
      <c r="KP156">
        <v>0</v>
      </c>
      <c r="KQ156">
        <v>0.5</v>
      </c>
      <c r="KR156">
        <v>0.5</v>
      </c>
      <c r="KS156">
        <v>0</v>
      </c>
      <c r="KT156">
        <v>2.9</v>
      </c>
      <c r="KU156">
        <v>0</v>
      </c>
      <c r="KV156">
        <v>0</v>
      </c>
      <c r="KW156">
        <v>1.2</v>
      </c>
      <c r="KX156">
        <v>1</v>
      </c>
      <c r="KY156">
        <v>1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3</v>
      </c>
      <c r="LI156">
        <v>0.5</v>
      </c>
      <c r="LJ156">
        <v>0</v>
      </c>
      <c r="LK156">
        <v>11</v>
      </c>
      <c r="LL156">
        <v>9</v>
      </c>
      <c r="LM156">
        <v>13</v>
      </c>
      <c r="LN156">
        <v>3</v>
      </c>
      <c r="LO156">
        <v>3</v>
      </c>
      <c r="LP156">
        <v>0</v>
      </c>
      <c r="LQ156">
        <v>0</v>
      </c>
      <c r="LR156">
        <v>0</v>
      </c>
      <c r="LS156">
        <v>1</v>
      </c>
      <c r="LT156">
        <v>0</v>
      </c>
      <c r="LU156">
        <v>0</v>
      </c>
      <c r="LV156">
        <v>0</v>
      </c>
      <c r="LW156">
        <v>1.8</v>
      </c>
      <c r="LX156">
        <v>1.8</v>
      </c>
      <c r="LY156">
        <v>2.1</v>
      </c>
      <c r="LZ156">
        <v>2.1</v>
      </c>
      <c r="MA156">
        <v>0</v>
      </c>
      <c r="MB156">
        <v>5</v>
      </c>
      <c r="MC156">
        <v>0</v>
      </c>
      <c r="MD156">
        <v>4.5</v>
      </c>
      <c r="ME156">
        <v>6</v>
      </c>
      <c r="MF156">
        <v>6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452</v>
      </c>
      <c r="MN156">
        <v>205</v>
      </c>
      <c r="MO156">
        <v>278</v>
      </c>
      <c r="NU156">
        <v>0.15</v>
      </c>
      <c r="NV156">
        <v>0.2</v>
      </c>
      <c r="NW156">
        <v>0.2</v>
      </c>
      <c r="NX156">
        <v>0.2</v>
      </c>
      <c r="NY156">
        <v>0.2</v>
      </c>
      <c r="NZ156">
        <v>0.2</v>
      </c>
      <c r="OE156" t="s">
        <v>4645</v>
      </c>
      <c r="OF156" t="s">
        <v>4211</v>
      </c>
      <c r="OG156" t="s">
        <v>4212</v>
      </c>
      <c r="OH156" t="s">
        <v>4043</v>
      </c>
      <c r="OI156" t="s">
        <v>4645</v>
      </c>
      <c r="OJ156" t="s">
        <v>4644</v>
      </c>
      <c r="OK156">
        <v>61</v>
      </c>
      <c r="OL156">
        <v>61</v>
      </c>
      <c r="OM156" t="s">
        <v>4211</v>
      </c>
      <c r="ON156">
        <v>1</v>
      </c>
      <c r="OO156">
        <v>2304</v>
      </c>
      <c r="OP156">
        <v>61</v>
      </c>
      <c r="OQ156">
        <v>61</v>
      </c>
      <c r="OR156" t="s">
        <v>4212</v>
      </c>
      <c r="OS156">
        <v>1</v>
      </c>
      <c r="OT156">
        <v>2317</v>
      </c>
      <c r="OU156">
        <v>65</v>
      </c>
      <c r="OV156">
        <v>65</v>
      </c>
      <c r="OW156" t="s">
        <v>4043</v>
      </c>
      <c r="OX156">
        <v>2</v>
      </c>
      <c r="OY156">
        <v>49410</v>
      </c>
      <c r="OZ156">
        <v>51</v>
      </c>
      <c r="PA156">
        <v>51</v>
      </c>
      <c r="PB156" t="s">
        <v>4645</v>
      </c>
      <c r="PC156">
        <v>2</v>
      </c>
      <c r="PD156">
        <v>2348</v>
      </c>
      <c r="PF156">
        <v>531</v>
      </c>
      <c r="PG156">
        <v>35</v>
      </c>
      <c r="PH156">
        <v>507</v>
      </c>
      <c r="PI156">
        <v>0</v>
      </c>
      <c r="PJ156">
        <v>89</v>
      </c>
      <c r="PK156">
        <v>2391</v>
      </c>
      <c r="PL156">
        <v>1709.2</v>
      </c>
      <c r="PM156">
        <v>405.2</v>
      </c>
      <c r="PN156">
        <v>114.8</v>
      </c>
      <c r="PO156">
        <v>9.6</v>
      </c>
      <c r="PP156">
        <v>12</v>
      </c>
      <c r="PQ156">
        <v>4</v>
      </c>
      <c r="PR156">
        <v>6</v>
      </c>
      <c r="PS156">
        <v>0</v>
      </c>
      <c r="PT156">
        <v>274</v>
      </c>
      <c r="PU156">
        <v>10</v>
      </c>
      <c r="PV156" t="s">
        <v>4072</v>
      </c>
      <c r="PW156" t="s">
        <v>4072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-1</v>
      </c>
      <c r="QF156">
        <v>1</v>
      </c>
      <c r="QG156">
        <v>0</v>
      </c>
      <c r="QH156">
        <v>5</v>
      </c>
      <c r="QI156">
        <v>5</v>
      </c>
      <c r="QJ156">
        <v>5</v>
      </c>
      <c r="QK156">
        <v>238</v>
      </c>
      <c r="QL156">
        <v>470</v>
      </c>
      <c r="QM156">
        <v>7.5</v>
      </c>
      <c r="QN156">
        <v>1623.8</v>
      </c>
      <c r="QO156" t="s">
        <v>2240</v>
      </c>
      <c r="QP156" t="s">
        <v>513</v>
      </c>
      <c r="QQ156">
        <v>0</v>
      </c>
      <c r="QR156" t="s">
        <v>1849</v>
      </c>
      <c r="QS156">
        <v>40</v>
      </c>
      <c r="QT156">
        <v>50</v>
      </c>
    </row>
    <row r="157" spans="1:462">
      <c r="A157" t="s">
        <v>2324</v>
      </c>
      <c r="B157" t="s">
        <v>711</v>
      </c>
      <c r="C157" t="s">
        <v>509</v>
      </c>
      <c r="D157" t="s">
        <v>2323</v>
      </c>
      <c r="E157" t="s">
        <v>4036</v>
      </c>
      <c r="H157" t="s">
        <v>1088</v>
      </c>
      <c r="J157" t="s">
        <v>562</v>
      </c>
      <c r="K157" t="s">
        <v>563</v>
      </c>
      <c r="L157" t="s">
        <v>804</v>
      </c>
      <c r="M157" t="s">
        <v>512</v>
      </c>
      <c r="N157" t="s">
        <v>515</v>
      </c>
      <c r="O157" t="s">
        <v>513</v>
      </c>
      <c r="P157" t="s">
        <v>567</v>
      </c>
      <c r="Q157" t="s">
        <v>849</v>
      </c>
      <c r="R157" t="s">
        <v>743</v>
      </c>
      <c r="S157" t="s">
        <v>4134</v>
      </c>
      <c r="T157" t="s">
        <v>686</v>
      </c>
      <c r="U157" t="s">
        <v>687</v>
      </c>
      <c r="V157" t="s">
        <v>1659</v>
      </c>
      <c r="W157" t="s">
        <v>2232</v>
      </c>
      <c r="X157" t="s">
        <v>2325</v>
      </c>
      <c r="Y157" t="s">
        <v>2326</v>
      </c>
      <c r="Z157" t="s">
        <v>650</v>
      </c>
      <c r="AA157" t="s">
        <v>4038</v>
      </c>
      <c r="AB157" t="s">
        <v>4646</v>
      </c>
      <c r="AC157">
        <v>9</v>
      </c>
      <c r="AD157" t="s">
        <v>2322</v>
      </c>
      <c r="AE157">
        <v>3</v>
      </c>
      <c r="AF157">
        <v>3959</v>
      </c>
      <c r="AG157" t="s">
        <v>4647</v>
      </c>
      <c r="AH157">
        <v>1</v>
      </c>
      <c r="AI157" t="s">
        <v>4041</v>
      </c>
      <c r="AK157" t="s">
        <v>4648</v>
      </c>
      <c r="AL157">
        <v>1</v>
      </c>
      <c r="AM157" t="s">
        <v>582</v>
      </c>
      <c r="AO157" t="s">
        <v>4043</v>
      </c>
      <c r="AP157">
        <v>1</v>
      </c>
      <c r="AR157" t="s">
        <v>4649</v>
      </c>
      <c r="AS157">
        <v>1</v>
      </c>
      <c r="AT157">
        <v>51</v>
      </c>
      <c r="AV157" t="s">
        <v>4078</v>
      </c>
      <c r="AW157">
        <v>6.4</v>
      </c>
      <c r="AX157">
        <v>-6</v>
      </c>
      <c r="AY157">
        <v>102.5</v>
      </c>
      <c r="AZ157">
        <v>72.5</v>
      </c>
      <c r="BH157">
        <v>102.5</v>
      </c>
      <c r="BI157">
        <v>30</v>
      </c>
      <c r="BJ157">
        <v>72.5</v>
      </c>
      <c r="BK157">
        <v>2.5</v>
      </c>
      <c r="BL157">
        <v>205</v>
      </c>
      <c r="BM157">
        <v>-6</v>
      </c>
      <c r="BN157">
        <v>0</v>
      </c>
      <c r="BP157">
        <v>0</v>
      </c>
      <c r="BR157">
        <v>200</v>
      </c>
      <c r="BS157">
        <v>190</v>
      </c>
      <c r="BT157">
        <v>1995</v>
      </c>
      <c r="BU157" t="s">
        <v>4096</v>
      </c>
      <c r="BV157" t="s">
        <v>4096</v>
      </c>
      <c r="BW157" t="s">
        <v>4097</v>
      </c>
      <c r="BX157" t="s">
        <v>4097</v>
      </c>
      <c r="BY157" t="s">
        <v>4181</v>
      </c>
      <c r="BZ157" t="s">
        <v>4181</v>
      </c>
      <c r="CA157" t="s">
        <v>4130</v>
      </c>
      <c r="CB157" t="s">
        <v>4131</v>
      </c>
      <c r="CC157" t="s">
        <v>4053</v>
      </c>
      <c r="CD157" t="s">
        <v>4055</v>
      </c>
      <c r="CE157" t="s">
        <v>4055</v>
      </c>
      <c r="CF157" t="s">
        <v>4055</v>
      </c>
      <c r="CG157" t="s">
        <v>4056</v>
      </c>
      <c r="CH157" t="s">
        <v>4099</v>
      </c>
      <c r="CI157" t="s">
        <v>4086</v>
      </c>
      <c r="CJ157" t="s">
        <v>4059</v>
      </c>
      <c r="CK157" t="s">
        <v>4060</v>
      </c>
      <c r="CL157" t="s">
        <v>4061</v>
      </c>
      <c r="CM157" t="s">
        <v>4062</v>
      </c>
      <c r="CN157" t="s">
        <v>4055</v>
      </c>
      <c r="CO157" t="s">
        <v>4063</v>
      </c>
      <c r="CP157" t="s">
        <v>4055</v>
      </c>
      <c r="CQ157" t="s">
        <v>4055</v>
      </c>
      <c r="CR157">
        <v>5</v>
      </c>
      <c r="CS157" t="s">
        <v>4055</v>
      </c>
      <c r="CT157" t="s">
        <v>4055</v>
      </c>
      <c r="CU157" t="s">
        <v>4055</v>
      </c>
      <c r="CV157">
        <v>127</v>
      </c>
      <c r="CW157">
        <v>3</v>
      </c>
      <c r="CX157">
        <v>106</v>
      </c>
      <c r="CY157">
        <v>5</v>
      </c>
      <c r="CZ157">
        <v>138</v>
      </c>
      <c r="DA157">
        <v>5</v>
      </c>
      <c r="DB157">
        <v>10140</v>
      </c>
      <c r="DC157">
        <v>300</v>
      </c>
      <c r="DD157">
        <v>295</v>
      </c>
      <c r="DE157">
        <v>2106</v>
      </c>
      <c r="DF157">
        <v>2106</v>
      </c>
      <c r="DG157">
        <v>2117</v>
      </c>
      <c r="DH157">
        <v>1</v>
      </c>
      <c r="DI157" t="s">
        <v>4055</v>
      </c>
      <c r="DJ157" t="s">
        <v>4100</v>
      </c>
      <c r="DK157">
        <v>200</v>
      </c>
      <c r="DL157" t="s">
        <v>4101</v>
      </c>
      <c r="DM157">
        <v>63</v>
      </c>
      <c r="DN157">
        <v>0.84</v>
      </c>
      <c r="DO157">
        <v>1</v>
      </c>
      <c r="DP157">
        <v>1998</v>
      </c>
      <c r="DQ157">
        <v>731</v>
      </c>
      <c r="DR157" t="s">
        <v>4100</v>
      </c>
      <c r="DS157">
        <v>190</v>
      </c>
      <c r="DT157" t="s">
        <v>4101</v>
      </c>
      <c r="DU157">
        <v>63</v>
      </c>
      <c r="DV157">
        <v>0.84</v>
      </c>
      <c r="DW157">
        <v>1</v>
      </c>
      <c r="DX157">
        <v>2005</v>
      </c>
      <c r="DY157">
        <v>696</v>
      </c>
      <c r="DZ157" t="s">
        <v>4066</v>
      </c>
      <c r="EA157">
        <v>33</v>
      </c>
      <c r="EB157" t="s">
        <v>4065</v>
      </c>
      <c r="EC157">
        <v>0.4</v>
      </c>
      <c r="ED157">
        <v>1998</v>
      </c>
      <c r="EE157">
        <v>58</v>
      </c>
      <c r="EF157" t="s">
        <v>4066</v>
      </c>
      <c r="EG157">
        <v>33</v>
      </c>
      <c r="EH157" t="s">
        <v>4065</v>
      </c>
      <c r="EI157">
        <v>0.4</v>
      </c>
      <c r="EJ157">
        <v>2005</v>
      </c>
      <c r="EK157">
        <v>58</v>
      </c>
      <c r="EL157" t="s">
        <v>1528</v>
      </c>
      <c r="EM157">
        <v>12</v>
      </c>
      <c r="EN157">
        <v>0.5</v>
      </c>
      <c r="EO157">
        <v>0.96</v>
      </c>
      <c r="EP157">
        <v>2005.56</v>
      </c>
      <c r="EQ157">
        <v>34000.51</v>
      </c>
      <c r="ER157">
        <v>9429.34</v>
      </c>
      <c r="ES157">
        <v>0</v>
      </c>
      <c r="ET157">
        <v>0</v>
      </c>
      <c r="EU157">
        <v>1</v>
      </c>
      <c r="EV157">
        <v>43430</v>
      </c>
      <c r="EW157">
        <v>522</v>
      </c>
      <c r="EX157" t="s">
        <v>4619</v>
      </c>
      <c r="EY157">
        <v>224</v>
      </c>
      <c r="EZ157" t="s">
        <v>4055</v>
      </c>
      <c r="FA157">
        <v>5.5</v>
      </c>
      <c r="FB157">
        <v>1</v>
      </c>
      <c r="FC157">
        <v>1</v>
      </c>
      <c r="FD157">
        <v>2036</v>
      </c>
      <c r="FE157">
        <v>3013</v>
      </c>
      <c r="FF157" t="s">
        <v>4089</v>
      </c>
      <c r="FG157">
        <v>224</v>
      </c>
      <c r="FH157" t="s">
        <v>4055</v>
      </c>
      <c r="FI157">
        <v>1.6</v>
      </c>
      <c r="FJ157">
        <v>2036</v>
      </c>
      <c r="FK157">
        <v>722</v>
      </c>
      <c r="FL157" t="s">
        <v>4069</v>
      </c>
      <c r="FM157" t="s">
        <v>4055</v>
      </c>
      <c r="FN157" t="s">
        <v>4055</v>
      </c>
      <c r="FO157" t="s">
        <v>4055</v>
      </c>
      <c r="FP157">
        <v>2036</v>
      </c>
      <c r="FQ157">
        <v>151</v>
      </c>
      <c r="FR157" t="s">
        <v>4090</v>
      </c>
      <c r="FS157">
        <v>228</v>
      </c>
      <c r="FT157" t="s">
        <v>4055</v>
      </c>
      <c r="FU157">
        <v>0.4</v>
      </c>
      <c r="FV157">
        <v>2036</v>
      </c>
      <c r="FW157">
        <v>206</v>
      </c>
      <c r="FX157" t="s">
        <v>4070</v>
      </c>
      <c r="FY157">
        <v>5</v>
      </c>
      <c r="FZ157" t="s">
        <v>4055</v>
      </c>
      <c r="GA157" t="s">
        <v>4055</v>
      </c>
      <c r="GB157">
        <v>2036</v>
      </c>
      <c r="GC157">
        <v>18</v>
      </c>
      <c r="GD157">
        <v>4110</v>
      </c>
      <c r="GE157" t="s">
        <v>4649</v>
      </c>
      <c r="GF157" t="s">
        <v>4055</v>
      </c>
      <c r="GG157" t="s">
        <v>4055</v>
      </c>
      <c r="GH157" t="s">
        <v>4055</v>
      </c>
      <c r="GI157" t="s">
        <v>4071</v>
      </c>
      <c r="GJ157" t="s">
        <v>4055</v>
      </c>
      <c r="GK157" t="s">
        <v>4055</v>
      </c>
      <c r="GL157" t="s">
        <v>4055</v>
      </c>
      <c r="GM157" t="s">
        <v>4055</v>
      </c>
      <c r="GQ157">
        <v>0</v>
      </c>
      <c r="GV157">
        <v>7.5</v>
      </c>
      <c r="GW157">
        <v>10</v>
      </c>
      <c r="GX157">
        <v>0.5</v>
      </c>
      <c r="GY157">
        <v>186</v>
      </c>
      <c r="GZ157">
        <v>3</v>
      </c>
      <c r="HA157">
        <v>240</v>
      </c>
      <c r="HB157">
        <v>3</v>
      </c>
      <c r="HC157">
        <v>2036</v>
      </c>
      <c r="HD157">
        <v>4</v>
      </c>
      <c r="HE157" t="s">
        <v>4071</v>
      </c>
      <c r="HG157" t="s">
        <v>549</v>
      </c>
      <c r="HL157">
        <v>4</v>
      </c>
      <c r="HM157">
        <v>19</v>
      </c>
      <c r="HN157">
        <v>1</v>
      </c>
      <c r="HO157">
        <v>1</v>
      </c>
      <c r="HP157">
        <v>0</v>
      </c>
      <c r="HQ157">
        <v>0</v>
      </c>
      <c r="HR157">
        <v>3</v>
      </c>
      <c r="HS157">
        <v>1995</v>
      </c>
      <c r="HT157">
        <v>5</v>
      </c>
      <c r="HU157">
        <v>1</v>
      </c>
      <c r="HV157">
        <v>3</v>
      </c>
      <c r="HW157">
        <v>0</v>
      </c>
      <c r="HX157">
        <v>1</v>
      </c>
      <c r="HY157">
        <v>0</v>
      </c>
      <c r="HZ157">
        <v>63</v>
      </c>
      <c r="IA157">
        <v>1998</v>
      </c>
      <c r="IB157">
        <v>2005</v>
      </c>
      <c r="ID157">
        <v>2036</v>
      </c>
      <c r="IE157">
        <v>2036</v>
      </c>
      <c r="IF157">
        <v>200</v>
      </c>
      <c r="IG157">
        <v>190</v>
      </c>
      <c r="IH157">
        <v>240</v>
      </c>
      <c r="II157">
        <v>1</v>
      </c>
      <c r="IJ157">
        <v>5</v>
      </c>
      <c r="IK157">
        <v>0</v>
      </c>
      <c r="IL157">
        <v>0</v>
      </c>
      <c r="IM157">
        <v>0</v>
      </c>
      <c r="IN157">
        <v>270</v>
      </c>
      <c r="IO157">
        <v>0</v>
      </c>
      <c r="IP157">
        <v>180</v>
      </c>
      <c r="IQ157">
        <v>0</v>
      </c>
      <c r="IR157">
        <v>330</v>
      </c>
      <c r="IS157">
        <v>0</v>
      </c>
      <c r="IT157">
        <v>90</v>
      </c>
      <c r="IU157">
        <v>0</v>
      </c>
      <c r="IV157">
        <v>6.4</v>
      </c>
      <c r="IW157">
        <v>-6</v>
      </c>
      <c r="IX157">
        <v>102.5</v>
      </c>
      <c r="IY157">
        <v>72.5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336</v>
      </c>
      <c r="JJ157">
        <v>316</v>
      </c>
      <c r="JK157">
        <v>230</v>
      </c>
      <c r="JL157">
        <v>314</v>
      </c>
      <c r="JM157">
        <v>240</v>
      </c>
      <c r="JN157">
        <v>200</v>
      </c>
      <c r="JO157">
        <v>250</v>
      </c>
      <c r="JP157">
        <v>210</v>
      </c>
      <c r="JQ157">
        <v>260</v>
      </c>
      <c r="JR157">
        <v>300</v>
      </c>
      <c r="JS157">
        <v>280</v>
      </c>
      <c r="JT157">
        <v>0</v>
      </c>
      <c r="JU157">
        <v>0</v>
      </c>
      <c r="JV157">
        <v>280</v>
      </c>
      <c r="JW157">
        <v>295</v>
      </c>
      <c r="JX157">
        <v>0</v>
      </c>
      <c r="JY157">
        <v>0</v>
      </c>
      <c r="JZ157">
        <v>0</v>
      </c>
      <c r="KA157">
        <v>0.2</v>
      </c>
      <c r="KB157">
        <v>0.4</v>
      </c>
      <c r="KC157">
        <v>0.42</v>
      </c>
      <c r="KD157">
        <v>0.28</v>
      </c>
      <c r="KE157">
        <v>0.5</v>
      </c>
      <c r="KF157">
        <v>0.19</v>
      </c>
      <c r="KG157">
        <v>0.11</v>
      </c>
      <c r="KH157">
        <v>3.5</v>
      </c>
      <c r="KI157">
        <v>1</v>
      </c>
      <c r="KJ157">
        <v>4.5</v>
      </c>
      <c r="KK157">
        <v>0</v>
      </c>
      <c r="KL157">
        <v>4.5</v>
      </c>
      <c r="KM157">
        <v>0.5</v>
      </c>
      <c r="KN157">
        <v>1.8</v>
      </c>
      <c r="KO157">
        <v>0</v>
      </c>
      <c r="KP157">
        <v>0</v>
      </c>
      <c r="KQ157">
        <v>0.8</v>
      </c>
      <c r="KR157">
        <v>0.8</v>
      </c>
      <c r="KS157">
        <v>0</v>
      </c>
      <c r="KT157">
        <v>2.5</v>
      </c>
      <c r="KU157">
        <v>0</v>
      </c>
      <c r="KV157">
        <v>0</v>
      </c>
      <c r="KW157">
        <v>2</v>
      </c>
      <c r="KX157">
        <v>2</v>
      </c>
      <c r="KY157">
        <v>1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3</v>
      </c>
      <c r="LI157">
        <v>0</v>
      </c>
      <c r="LJ157">
        <v>0</v>
      </c>
      <c r="LK157">
        <v>9</v>
      </c>
      <c r="LL157">
        <v>14</v>
      </c>
      <c r="LM157">
        <v>11</v>
      </c>
      <c r="LN157">
        <v>0.1</v>
      </c>
      <c r="LO157">
        <v>3</v>
      </c>
      <c r="LP157">
        <v>0</v>
      </c>
      <c r="LQ157">
        <v>0</v>
      </c>
      <c r="LR157">
        <v>0</v>
      </c>
      <c r="LS157">
        <v>1</v>
      </c>
      <c r="LT157">
        <v>0</v>
      </c>
      <c r="LU157">
        <v>0</v>
      </c>
      <c r="LV157">
        <v>0</v>
      </c>
      <c r="LW157">
        <v>1.7</v>
      </c>
      <c r="LX157">
        <v>1.7</v>
      </c>
      <c r="LY157">
        <v>2.1</v>
      </c>
      <c r="LZ157">
        <v>2.1</v>
      </c>
      <c r="MA157">
        <v>0</v>
      </c>
      <c r="MB157">
        <v>5</v>
      </c>
      <c r="MC157">
        <v>0</v>
      </c>
      <c r="MD157">
        <v>4.5</v>
      </c>
      <c r="ME157">
        <v>6</v>
      </c>
      <c r="MF157">
        <v>6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390</v>
      </c>
      <c r="MN157">
        <v>210</v>
      </c>
      <c r="MO157">
        <v>264</v>
      </c>
      <c r="NU157">
        <v>0.15</v>
      </c>
      <c r="NV157">
        <v>0.2</v>
      </c>
      <c r="NW157">
        <v>0.2</v>
      </c>
      <c r="NX157">
        <v>0.2</v>
      </c>
      <c r="NY157">
        <v>0.2</v>
      </c>
      <c r="NZ157">
        <v>0.2</v>
      </c>
      <c r="OE157" t="s">
        <v>4649</v>
      </c>
      <c r="OF157" t="s">
        <v>4647</v>
      </c>
      <c r="OG157" t="s">
        <v>4648</v>
      </c>
      <c r="OH157" t="s">
        <v>4043</v>
      </c>
      <c r="OI157" t="s">
        <v>4649</v>
      </c>
      <c r="OJ157" t="s">
        <v>4646</v>
      </c>
      <c r="OK157">
        <v>61</v>
      </c>
      <c r="OL157">
        <v>61</v>
      </c>
      <c r="OM157" t="s">
        <v>4647</v>
      </c>
      <c r="ON157">
        <v>3</v>
      </c>
      <c r="OO157">
        <v>1998</v>
      </c>
      <c r="OP157">
        <v>61</v>
      </c>
      <c r="OQ157">
        <v>61</v>
      </c>
      <c r="OR157" t="s">
        <v>4648</v>
      </c>
      <c r="OS157">
        <v>3</v>
      </c>
      <c r="OT157">
        <v>2005</v>
      </c>
      <c r="OU157">
        <v>65</v>
      </c>
      <c r="OV157">
        <v>65</v>
      </c>
      <c r="OW157" t="s">
        <v>4043</v>
      </c>
      <c r="OX157">
        <v>2</v>
      </c>
      <c r="OY157">
        <v>43430</v>
      </c>
      <c r="OZ157">
        <v>51</v>
      </c>
      <c r="PA157">
        <v>51</v>
      </c>
      <c r="PB157" t="s">
        <v>4649</v>
      </c>
      <c r="PC157">
        <v>1</v>
      </c>
      <c r="PD157">
        <v>2036</v>
      </c>
      <c r="PF157">
        <v>366</v>
      </c>
      <c r="PG157">
        <v>29</v>
      </c>
      <c r="PH157">
        <v>347</v>
      </c>
      <c r="PI157">
        <v>29</v>
      </c>
      <c r="PJ157">
        <v>74.2</v>
      </c>
      <c r="PK157">
        <v>2222</v>
      </c>
      <c r="PL157">
        <v>1480</v>
      </c>
      <c r="PM157">
        <v>354.8</v>
      </c>
      <c r="PN157">
        <v>101.4</v>
      </c>
      <c r="PO157">
        <v>8.699999999999999</v>
      </c>
      <c r="PP157">
        <v>12</v>
      </c>
      <c r="PQ157">
        <v>3</v>
      </c>
      <c r="PR157">
        <v>3</v>
      </c>
      <c r="PS157">
        <v>8</v>
      </c>
      <c r="PT157">
        <v>240</v>
      </c>
      <c r="PU157">
        <v>8</v>
      </c>
      <c r="PV157" t="s">
        <v>4072</v>
      </c>
      <c r="PW157" t="s">
        <v>4072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-1</v>
      </c>
      <c r="QF157">
        <v>1</v>
      </c>
      <c r="QG157">
        <v>0</v>
      </c>
      <c r="QH157">
        <v>5</v>
      </c>
      <c r="QI157">
        <v>5</v>
      </c>
      <c r="QJ157">
        <v>5</v>
      </c>
      <c r="QK157">
        <v>184</v>
      </c>
      <c r="QL157">
        <v>366</v>
      </c>
      <c r="QM157">
        <v>7.5</v>
      </c>
      <c r="QN157">
        <v>1540.9</v>
      </c>
      <c r="QO157" t="s">
        <v>2240</v>
      </c>
      <c r="QP157" t="s">
        <v>513</v>
      </c>
      <c r="QQ157">
        <v>0</v>
      </c>
      <c r="QR157" t="s">
        <v>860</v>
      </c>
      <c r="QS157">
        <v>40</v>
      </c>
      <c r="QT157">
        <v>50</v>
      </c>
    </row>
    <row r="158" spans="1:462">
      <c r="A158" t="s">
        <v>2332</v>
      </c>
      <c r="B158" t="s">
        <v>657</v>
      </c>
      <c r="C158" t="s">
        <v>509</v>
      </c>
      <c r="D158" t="s">
        <v>3236</v>
      </c>
      <c r="E158" t="s">
        <v>4036</v>
      </c>
      <c r="H158" t="s">
        <v>627</v>
      </c>
      <c r="I158" t="s">
        <v>604</v>
      </c>
      <c r="J158" t="s">
        <v>628</v>
      </c>
      <c r="K158" t="s">
        <v>606</v>
      </c>
      <c r="L158" t="s">
        <v>559</v>
      </c>
      <c r="M158" t="s">
        <v>512</v>
      </c>
      <c r="O158" t="s">
        <v>513</v>
      </c>
      <c r="P158" t="s">
        <v>517</v>
      </c>
      <c r="Q158" t="s">
        <v>2333</v>
      </c>
      <c r="R158" t="s">
        <v>2334</v>
      </c>
      <c r="S158" t="s">
        <v>4391</v>
      </c>
      <c r="T158" t="s">
        <v>1457</v>
      </c>
      <c r="U158" t="s">
        <v>1458</v>
      </c>
      <c r="V158" t="s">
        <v>2335</v>
      </c>
      <c r="W158" t="s">
        <v>2336</v>
      </c>
      <c r="X158" t="s">
        <v>2337</v>
      </c>
      <c r="Y158" t="s">
        <v>2338</v>
      </c>
      <c r="Z158" t="s">
        <v>541</v>
      </c>
      <c r="AA158" t="s">
        <v>3054</v>
      </c>
      <c r="AB158" t="s">
        <v>4650</v>
      </c>
      <c r="AC158">
        <v>15</v>
      </c>
      <c r="AD158" t="s">
        <v>2331</v>
      </c>
      <c r="AE158">
        <v>7</v>
      </c>
      <c r="AF158">
        <v>3103</v>
      </c>
      <c r="AG158" t="s">
        <v>4651</v>
      </c>
      <c r="AH158">
        <v>1</v>
      </c>
      <c r="AI158" t="s">
        <v>4041</v>
      </c>
      <c r="AK158" t="s">
        <v>4652</v>
      </c>
      <c r="AL158">
        <v>1</v>
      </c>
      <c r="AM158" t="s">
        <v>582</v>
      </c>
      <c r="AO158" t="s">
        <v>4043</v>
      </c>
      <c r="AP158">
        <v>1</v>
      </c>
      <c r="AR158" t="s">
        <v>4653</v>
      </c>
      <c r="AS158">
        <v>1</v>
      </c>
      <c r="AT158">
        <v>51</v>
      </c>
      <c r="AV158" t="s">
        <v>4045</v>
      </c>
      <c r="AW158">
        <v>6.4</v>
      </c>
      <c r="AX158">
        <v>-6</v>
      </c>
      <c r="AY158">
        <v>76</v>
      </c>
      <c r="AZ158">
        <v>67</v>
      </c>
      <c r="BH158">
        <v>76</v>
      </c>
      <c r="BI158">
        <v>9</v>
      </c>
      <c r="BJ158">
        <v>67</v>
      </c>
      <c r="BK158">
        <v>3.5</v>
      </c>
      <c r="BL158">
        <v>152</v>
      </c>
      <c r="BM158">
        <v>-6</v>
      </c>
      <c r="BN158">
        <v>0</v>
      </c>
      <c r="BP158">
        <v>0</v>
      </c>
      <c r="BR158">
        <v>145</v>
      </c>
      <c r="BS158">
        <v>135</v>
      </c>
      <c r="BT158">
        <v>1765</v>
      </c>
      <c r="BU158" t="s">
        <v>4355</v>
      </c>
      <c r="BV158" t="s">
        <v>4355</v>
      </c>
      <c r="BW158" t="s">
        <v>4356</v>
      </c>
      <c r="BX158" t="s">
        <v>4356</v>
      </c>
      <c r="BY158" t="s">
        <v>4357</v>
      </c>
      <c r="BZ158" t="s">
        <v>4357</v>
      </c>
      <c r="CA158" t="s">
        <v>4358</v>
      </c>
      <c r="CB158" t="s">
        <v>4359</v>
      </c>
      <c r="CC158" t="s">
        <v>4053</v>
      </c>
      <c r="CD158" t="s">
        <v>4359</v>
      </c>
      <c r="CE158" t="s">
        <v>4360</v>
      </c>
      <c r="CF158" t="s">
        <v>4361</v>
      </c>
      <c r="CG158" t="s">
        <v>4056</v>
      </c>
      <c r="CH158" t="s">
        <v>4145</v>
      </c>
      <c r="CI158" t="s">
        <v>4216</v>
      </c>
      <c r="CJ158" t="s">
        <v>4059</v>
      </c>
      <c r="CK158" t="s">
        <v>4060</v>
      </c>
      <c r="CL158" t="s">
        <v>4061</v>
      </c>
      <c r="CM158" t="s">
        <v>4062</v>
      </c>
      <c r="CN158" t="s">
        <v>4055</v>
      </c>
      <c r="CO158" t="s">
        <v>4063</v>
      </c>
      <c r="CP158" t="s">
        <v>4055</v>
      </c>
      <c r="CQ158" t="s">
        <v>4055</v>
      </c>
      <c r="CR158">
        <v>5</v>
      </c>
      <c r="CS158" t="s">
        <v>4055</v>
      </c>
      <c r="CT158" t="s">
        <v>4055</v>
      </c>
      <c r="CU158" t="s">
        <v>4055</v>
      </c>
      <c r="CV158">
        <v>99</v>
      </c>
      <c r="CW158">
        <v>3</v>
      </c>
      <c r="CX158">
        <v>59</v>
      </c>
      <c r="CY158">
        <v>5</v>
      </c>
      <c r="CZ158">
        <v>115</v>
      </c>
      <c r="DA158">
        <v>5</v>
      </c>
      <c r="DB158">
        <v>7500</v>
      </c>
      <c r="DC158">
        <v>130</v>
      </c>
      <c r="DD158">
        <v>273</v>
      </c>
      <c r="DE158">
        <v>1863</v>
      </c>
      <c r="DF158">
        <v>1863</v>
      </c>
      <c r="DG158">
        <v>1875</v>
      </c>
      <c r="DH158">
        <v>3</v>
      </c>
      <c r="DI158" t="s">
        <v>4055</v>
      </c>
      <c r="DJ158" t="s">
        <v>4100</v>
      </c>
      <c r="DK158">
        <v>145</v>
      </c>
      <c r="DL158" t="s">
        <v>4101</v>
      </c>
      <c r="DM158">
        <v>67</v>
      </c>
      <c r="DN158">
        <v>0.84</v>
      </c>
      <c r="DO158">
        <v>1</v>
      </c>
      <c r="DP158">
        <v>1768</v>
      </c>
      <c r="DQ158">
        <v>469</v>
      </c>
      <c r="DR158" t="s">
        <v>4100</v>
      </c>
      <c r="DS158">
        <v>135</v>
      </c>
      <c r="DT158" t="s">
        <v>4101</v>
      </c>
      <c r="DU158">
        <v>67</v>
      </c>
      <c r="DV158">
        <v>0.84</v>
      </c>
      <c r="DW158">
        <v>1</v>
      </c>
      <c r="DX158">
        <v>1775</v>
      </c>
      <c r="DY158">
        <v>438</v>
      </c>
      <c r="DZ158" t="s">
        <v>4066</v>
      </c>
      <c r="EA158">
        <v>33</v>
      </c>
      <c r="EB158" t="s">
        <v>4065</v>
      </c>
      <c r="EC158">
        <v>0.4</v>
      </c>
      <c r="ED158">
        <v>1768</v>
      </c>
      <c r="EE158">
        <v>51</v>
      </c>
      <c r="EF158" t="s">
        <v>4066</v>
      </c>
      <c r="EG158">
        <v>33</v>
      </c>
      <c r="EH158" t="s">
        <v>4065</v>
      </c>
      <c r="EI158">
        <v>0.4</v>
      </c>
      <c r="EJ158">
        <v>1775</v>
      </c>
      <c r="EK158">
        <v>51</v>
      </c>
      <c r="EL158" t="s">
        <v>1528</v>
      </c>
      <c r="EM158">
        <v>12</v>
      </c>
      <c r="EN158">
        <v>0.5</v>
      </c>
      <c r="EO158">
        <v>0.96</v>
      </c>
      <c r="EP158">
        <v>1775.56</v>
      </c>
      <c r="EQ158">
        <v>22749.36</v>
      </c>
      <c r="ER158">
        <v>2505.36</v>
      </c>
      <c r="ES158">
        <v>0</v>
      </c>
      <c r="ET158">
        <v>0</v>
      </c>
      <c r="EU158">
        <v>1</v>
      </c>
      <c r="EV158">
        <v>25255</v>
      </c>
      <c r="EW158">
        <v>304</v>
      </c>
      <c r="EX158" t="s">
        <v>4613</v>
      </c>
      <c r="EY158">
        <v>154</v>
      </c>
      <c r="EZ158" t="s">
        <v>4055</v>
      </c>
      <c r="FA158">
        <v>4.2</v>
      </c>
      <c r="FB158">
        <v>1</v>
      </c>
      <c r="FC158">
        <v>1</v>
      </c>
      <c r="FD158">
        <v>1810</v>
      </c>
      <c r="FE158">
        <v>1326</v>
      </c>
      <c r="FF158" t="s">
        <v>4288</v>
      </c>
      <c r="FG158">
        <v>162</v>
      </c>
      <c r="FH158" t="s">
        <v>4055</v>
      </c>
      <c r="FI158">
        <v>4.2</v>
      </c>
      <c r="FJ158">
        <v>1810</v>
      </c>
      <c r="FK158">
        <v>1464</v>
      </c>
      <c r="FL158" t="s">
        <v>4069</v>
      </c>
      <c r="FM158" t="s">
        <v>4055</v>
      </c>
      <c r="FN158" t="s">
        <v>4055</v>
      </c>
      <c r="FO158" t="s">
        <v>4055</v>
      </c>
      <c r="FP158">
        <v>1810</v>
      </c>
      <c r="FQ158">
        <v>153</v>
      </c>
      <c r="FR158" t="s">
        <v>4090</v>
      </c>
      <c r="FS158">
        <v>166</v>
      </c>
      <c r="FT158" t="s">
        <v>4055</v>
      </c>
      <c r="FU158">
        <v>0.4</v>
      </c>
      <c r="FV158">
        <v>1810</v>
      </c>
      <c r="FW158">
        <v>134</v>
      </c>
      <c r="FZ158" t="s">
        <v>4055</v>
      </c>
      <c r="GA158" t="s">
        <v>4055</v>
      </c>
      <c r="GD158">
        <v>3077</v>
      </c>
      <c r="GE158" t="s">
        <v>4653</v>
      </c>
      <c r="GF158" t="s">
        <v>4055</v>
      </c>
      <c r="GG158" t="s">
        <v>4055</v>
      </c>
      <c r="GH158" t="s">
        <v>4055</v>
      </c>
      <c r="GI158" t="s">
        <v>4071</v>
      </c>
      <c r="GJ158" t="s">
        <v>4055</v>
      </c>
      <c r="GK158" t="s">
        <v>4055</v>
      </c>
      <c r="GL158" t="s">
        <v>4055</v>
      </c>
      <c r="GM158" t="s">
        <v>4055</v>
      </c>
      <c r="GQ158">
        <v>0</v>
      </c>
      <c r="GV158">
        <v>8.800000000000001</v>
      </c>
      <c r="GW158">
        <v>10.7</v>
      </c>
      <c r="GX158">
        <v>0.5</v>
      </c>
      <c r="GY158">
        <v>136</v>
      </c>
      <c r="GZ158">
        <v>3</v>
      </c>
      <c r="HA158">
        <v>178</v>
      </c>
      <c r="HB158">
        <v>3</v>
      </c>
      <c r="HC158">
        <v>1810</v>
      </c>
      <c r="HD158">
        <v>4</v>
      </c>
      <c r="HE158" t="s">
        <v>4071</v>
      </c>
      <c r="HG158" t="s">
        <v>549</v>
      </c>
      <c r="HL158">
        <v>4</v>
      </c>
      <c r="HM158">
        <v>14</v>
      </c>
      <c r="HN158">
        <v>6</v>
      </c>
      <c r="HO158">
        <v>1</v>
      </c>
      <c r="HP158">
        <v>0</v>
      </c>
      <c r="HQ158">
        <v>0</v>
      </c>
      <c r="HR158">
        <v>2</v>
      </c>
      <c r="HS158">
        <v>1765</v>
      </c>
      <c r="HT158">
        <v>5</v>
      </c>
      <c r="HU158">
        <v>1</v>
      </c>
      <c r="HV158">
        <v>5</v>
      </c>
      <c r="HW158">
        <v>0</v>
      </c>
      <c r="HX158">
        <v>1</v>
      </c>
      <c r="HY158">
        <v>0</v>
      </c>
      <c r="HZ158">
        <v>67</v>
      </c>
      <c r="IA158">
        <v>1768</v>
      </c>
      <c r="IB158">
        <v>1775</v>
      </c>
      <c r="ID158">
        <v>1810</v>
      </c>
      <c r="IE158">
        <v>1810</v>
      </c>
      <c r="IF158">
        <v>145</v>
      </c>
      <c r="IG158">
        <v>135</v>
      </c>
      <c r="IH158">
        <v>178</v>
      </c>
      <c r="II158">
        <v>0</v>
      </c>
      <c r="IJ158">
        <v>5</v>
      </c>
      <c r="IK158">
        <v>0</v>
      </c>
      <c r="IL158">
        <v>0</v>
      </c>
      <c r="IM158">
        <v>0</v>
      </c>
      <c r="IN158">
        <v>270</v>
      </c>
      <c r="IO158">
        <v>0</v>
      </c>
      <c r="IP158">
        <v>180</v>
      </c>
      <c r="IQ158">
        <v>0</v>
      </c>
      <c r="IR158">
        <v>330</v>
      </c>
      <c r="IS158">
        <v>0</v>
      </c>
      <c r="IT158">
        <v>90</v>
      </c>
      <c r="IU158">
        <v>0</v>
      </c>
      <c r="IV158">
        <v>6.4</v>
      </c>
      <c r="IW158">
        <v>-6</v>
      </c>
      <c r="IX158">
        <v>76</v>
      </c>
      <c r="IY158">
        <v>67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338</v>
      </c>
      <c r="JJ158">
        <v>308</v>
      </c>
      <c r="JK158">
        <v>230</v>
      </c>
      <c r="JL158">
        <v>302</v>
      </c>
      <c r="JM158">
        <v>230</v>
      </c>
      <c r="JN158">
        <v>155</v>
      </c>
      <c r="JO158">
        <v>195</v>
      </c>
      <c r="JP158">
        <v>220</v>
      </c>
      <c r="JQ158">
        <v>280</v>
      </c>
      <c r="JR158">
        <v>355</v>
      </c>
      <c r="JS158">
        <v>275</v>
      </c>
      <c r="JT158">
        <v>0</v>
      </c>
      <c r="JU158">
        <v>0</v>
      </c>
      <c r="JV158">
        <v>335</v>
      </c>
      <c r="JW158">
        <v>337</v>
      </c>
      <c r="JX158">
        <v>344</v>
      </c>
      <c r="JY158">
        <v>338</v>
      </c>
      <c r="JZ158">
        <v>2.5</v>
      </c>
      <c r="KA158">
        <v>0.2</v>
      </c>
      <c r="KB158">
        <v>0.4</v>
      </c>
      <c r="KC158">
        <v>0.42</v>
      </c>
      <c r="KD158">
        <v>0.2</v>
      </c>
      <c r="KE158">
        <v>0.6</v>
      </c>
      <c r="KF158">
        <v>0.2</v>
      </c>
      <c r="KG158">
        <v>0.1</v>
      </c>
      <c r="KH158">
        <v>3.5</v>
      </c>
      <c r="KI158">
        <v>1</v>
      </c>
      <c r="KJ158">
        <v>4.5</v>
      </c>
      <c r="KK158">
        <v>0</v>
      </c>
      <c r="KL158">
        <v>4.5</v>
      </c>
      <c r="KM158">
        <v>0</v>
      </c>
      <c r="KN158">
        <v>1.2</v>
      </c>
      <c r="KO158">
        <v>1</v>
      </c>
      <c r="KP158">
        <v>1.2</v>
      </c>
      <c r="KQ158">
        <v>0.7</v>
      </c>
      <c r="KR158">
        <v>1</v>
      </c>
      <c r="KS158">
        <v>0</v>
      </c>
      <c r="KT158">
        <v>2.5</v>
      </c>
      <c r="KU158">
        <v>0</v>
      </c>
      <c r="KV158">
        <v>0</v>
      </c>
      <c r="KW158">
        <v>1.4</v>
      </c>
      <c r="KX158">
        <v>1</v>
      </c>
      <c r="KY158">
        <v>0</v>
      </c>
      <c r="KZ158">
        <v>3.5</v>
      </c>
      <c r="LA158">
        <v>2</v>
      </c>
      <c r="LB158">
        <v>10</v>
      </c>
      <c r="LC158">
        <v>3.5</v>
      </c>
      <c r="LD158">
        <v>3</v>
      </c>
      <c r="LE158">
        <v>1.8</v>
      </c>
      <c r="LF158">
        <v>0</v>
      </c>
      <c r="LG158">
        <v>0</v>
      </c>
      <c r="LH158">
        <v>3</v>
      </c>
      <c r="LI158">
        <v>1</v>
      </c>
      <c r="LJ158">
        <v>0</v>
      </c>
      <c r="LK158">
        <v>5</v>
      </c>
      <c r="LL158">
        <v>10</v>
      </c>
      <c r="LM158">
        <v>11</v>
      </c>
      <c r="LN158">
        <v>0.1</v>
      </c>
      <c r="LO158">
        <v>1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1.4</v>
      </c>
      <c r="LX158">
        <v>1.4</v>
      </c>
      <c r="LY158">
        <v>2.1</v>
      </c>
      <c r="LZ158">
        <v>2.1</v>
      </c>
      <c r="MA158">
        <v>0</v>
      </c>
      <c r="MB158">
        <v>5</v>
      </c>
      <c r="MC158">
        <v>0</v>
      </c>
      <c r="MD158">
        <v>4.5</v>
      </c>
      <c r="ME158">
        <v>6</v>
      </c>
      <c r="MF158">
        <v>6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326</v>
      </c>
      <c r="MN158">
        <v>140</v>
      </c>
      <c r="MO158">
        <v>188</v>
      </c>
      <c r="NU158">
        <v>0.15</v>
      </c>
      <c r="NV158">
        <v>0.2</v>
      </c>
      <c r="NW158">
        <v>0.2</v>
      </c>
      <c r="NX158">
        <v>0.2</v>
      </c>
      <c r="NY158">
        <v>0.2</v>
      </c>
      <c r="NZ158">
        <v>0.2</v>
      </c>
      <c r="OE158" t="s">
        <v>4653</v>
      </c>
      <c r="OF158" t="s">
        <v>4651</v>
      </c>
      <c r="OG158" t="s">
        <v>4652</v>
      </c>
      <c r="OH158" t="s">
        <v>4043</v>
      </c>
      <c r="OI158" t="s">
        <v>4653</v>
      </c>
      <c r="OJ158" t="s">
        <v>4650</v>
      </c>
      <c r="OK158">
        <v>61</v>
      </c>
      <c r="OL158">
        <v>61</v>
      </c>
      <c r="OM158" t="s">
        <v>4651</v>
      </c>
      <c r="ON158">
        <v>3</v>
      </c>
      <c r="OO158">
        <v>1768</v>
      </c>
      <c r="OP158">
        <v>61</v>
      </c>
      <c r="OQ158">
        <v>61</v>
      </c>
      <c r="OR158" t="s">
        <v>4652</v>
      </c>
      <c r="OS158">
        <v>3</v>
      </c>
      <c r="OT158">
        <v>1775</v>
      </c>
      <c r="OU158">
        <v>65</v>
      </c>
      <c r="OV158">
        <v>65</v>
      </c>
      <c r="OW158" t="s">
        <v>4043</v>
      </c>
      <c r="OX158">
        <v>1</v>
      </c>
      <c r="OY158">
        <v>25255</v>
      </c>
      <c r="OZ158">
        <v>51</v>
      </c>
      <c r="PA158">
        <v>51</v>
      </c>
      <c r="PB158" t="s">
        <v>4653</v>
      </c>
      <c r="PC158">
        <v>2</v>
      </c>
      <c r="PD158">
        <v>1810</v>
      </c>
      <c r="PF158">
        <v>265</v>
      </c>
      <c r="PG158">
        <v>29</v>
      </c>
      <c r="PH158">
        <v>247</v>
      </c>
      <c r="PI158">
        <v>29</v>
      </c>
      <c r="PJ158">
        <v>84.7</v>
      </c>
      <c r="PK158">
        <v>1708</v>
      </c>
      <c r="PL158">
        <v>732.8</v>
      </c>
      <c r="PM158">
        <v>808.9</v>
      </c>
      <c r="PN158">
        <v>74.2</v>
      </c>
      <c r="PP158">
        <v>12</v>
      </c>
      <c r="PQ158">
        <v>8</v>
      </c>
      <c r="PR158">
        <v>8</v>
      </c>
      <c r="PS158">
        <v>6</v>
      </c>
      <c r="PT158">
        <v>178</v>
      </c>
      <c r="PU158">
        <v>8</v>
      </c>
      <c r="PV158" t="s">
        <v>4072</v>
      </c>
      <c r="PW158" t="s">
        <v>4072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-1</v>
      </c>
      <c r="QF158">
        <v>1</v>
      </c>
      <c r="QG158">
        <v>0</v>
      </c>
      <c r="QH158">
        <v>5</v>
      </c>
      <c r="QI158">
        <v>5</v>
      </c>
      <c r="QJ158">
        <v>5</v>
      </c>
      <c r="QK158">
        <v>187</v>
      </c>
      <c r="QL158">
        <v>368</v>
      </c>
      <c r="QM158">
        <v>7.5</v>
      </c>
      <c r="QN158">
        <v>1123</v>
      </c>
      <c r="QO158" t="s">
        <v>2341</v>
      </c>
      <c r="QP158" t="s">
        <v>513</v>
      </c>
      <c r="QQ158">
        <v>0</v>
      </c>
      <c r="QR158" t="s">
        <v>1420</v>
      </c>
      <c r="QS158">
        <v>40</v>
      </c>
      <c r="QT158">
        <v>50</v>
      </c>
    </row>
    <row r="159" spans="1:462">
      <c r="A159" t="s">
        <v>2344</v>
      </c>
      <c r="B159" t="s">
        <v>729</v>
      </c>
      <c r="C159" t="s">
        <v>509</v>
      </c>
      <c r="D159" t="s">
        <v>4654</v>
      </c>
      <c r="E159" t="s">
        <v>4036</v>
      </c>
      <c r="H159" t="s">
        <v>605</v>
      </c>
      <c r="I159" t="s">
        <v>604</v>
      </c>
      <c r="J159" t="s">
        <v>628</v>
      </c>
      <c r="K159" t="s">
        <v>606</v>
      </c>
      <c r="L159" t="s">
        <v>897</v>
      </c>
      <c r="M159" t="s">
        <v>512</v>
      </c>
      <c r="O159" t="s">
        <v>513</v>
      </c>
      <c r="P159" t="s">
        <v>517</v>
      </c>
      <c r="Q159" t="s">
        <v>1553</v>
      </c>
      <c r="R159" t="s">
        <v>1554</v>
      </c>
      <c r="S159" t="s">
        <v>4170</v>
      </c>
      <c r="T159" t="s">
        <v>1482</v>
      </c>
      <c r="U159" t="s">
        <v>1483</v>
      </c>
      <c r="V159" t="s">
        <v>2335</v>
      </c>
      <c r="W159" t="s">
        <v>2336</v>
      </c>
      <c r="X159" t="s">
        <v>2345</v>
      </c>
      <c r="Y159" t="s">
        <v>2346</v>
      </c>
      <c r="Z159" t="s">
        <v>541</v>
      </c>
      <c r="AA159" t="s">
        <v>4038</v>
      </c>
      <c r="AB159" t="s">
        <v>4655</v>
      </c>
      <c r="AC159">
        <v>14</v>
      </c>
      <c r="AD159" t="s">
        <v>2342</v>
      </c>
      <c r="AE159">
        <v>9</v>
      </c>
      <c r="AF159">
        <v>3367</v>
      </c>
      <c r="AG159" t="s">
        <v>4656</v>
      </c>
      <c r="AH159">
        <v>1</v>
      </c>
      <c r="AI159" t="s">
        <v>4041</v>
      </c>
      <c r="AK159" t="s">
        <v>4657</v>
      </c>
      <c r="AL159">
        <v>1</v>
      </c>
      <c r="AM159" t="s">
        <v>582</v>
      </c>
      <c r="AO159" t="s">
        <v>4043</v>
      </c>
      <c r="AP159">
        <v>1</v>
      </c>
      <c r="AR159" t="s">
        <v>4658</v>
      </c>
      <c r="AS159">
        <v>1</v>
      </c>
      <c r="AT159">
        <v>51</v>
      </c>
      <c r="AV159" t="s">
        <v>4045</v>
      </c>
      <c r="AW159">
        <v>6.4</v>
      </c>
      <c r="AX159">
        <v>-6</v>
      </c>
      <c r="AY159">
        <v>83.5</v>
      </c>
      <c r="AZ159">
        <v>68.5</v>
      </c>
      <c r="BH159">
        <v>83.5</v>
      </c>
      <c r="BI159">
        <v>15</v>
      </c>
      <c r="BJ159">
        <v>68.5</v>
      </c>
      <c r="BK159">
        <v>3.5</v>
      </c>
      <c r="BL159">
        <v>167</v>
      </c>
      <c r="BM159">
        <v>-6</v>
      </c>
      <c r="BN159">
        <v>0</v>
      </c>
      <c r="BP159">
        <v>0</v>
      </c>
      <c r="BR159">
        <v>160</v>
      </c>
      <c r="BS159">
        <v>150</v>
      </c>
      <c r="BT159">
        <v>1765</v>
      </c>
      <c r="BU159" t="s">
        <v>4046</v>
      </c>
      <c r="BV159" t="s">
        <v>4046</v>
      </c>
      <c r="BW159" t="s">
        <v>4048</v>
      </c>
      <c r="BX159" t="s">
        <v>4048</v>
      </c>
      <c r="BY159" t="s">
        <v>4369</v>
      </c>
      <c r="BZ159" t="s">
        <v>4369</v>
      </c>
      <c r="CA159" t="s">
        <v>4370</v>
      </c>
      <c r="CB159" t="s">
        <v>4371</v>
      </c>
      <c r="CC159" t="s">
        <v>4053</v>
      </c>
      <c r="CD159" t="s">
        <v>4372</v>
      </c>
      <c r="CE159" t="s">
        <v>4055</v>
      </c>
      <c r="CF159" t="s">
        <v>4055</v>
      </c>
      <c r="CG159" t="s">
        <v>4056</v>
      </c>
      <c r="CH159" t="s">
        <v>4145</v>
      </c>
      <c r="CI159" t="s">
        <v>4058</v>
      </c>
      <c r="CJ159" t="s">
        <v>4059</v>
      </c>
      <c r="CK159" t="s">
        <v>4060</v>
      </c>
      <c r="CL159" t="s">
        <v>4061</v>
      </c>
      <c r="CM159" t="s">
        <v>4062</v>
      </c>
      <c r="CN159" t="s">
        <v>4055</v>
      </c>
      <c r="CO159" t="s">
        <v>4063</v>
      </c>
      <c r="CP159" t="s">
        <v>4055</v>
      </c>
      <c r="CQ159" t="s">
        <v>4055</v>
      </c>
      <c r="CR159">
        <v>5</v>
      </c>
      <c r="CS159" t="s">
        <v>4055</v>
      </c>
      <c r="CT159" t="s">
        <v>4055</v>
      </c>
      <c r="CU159" t="s">
        <v>4055</v>
      </c>
      <c r="CV159">
        <v>106</v>
      </c>
      <c r="CW159">
        <v>3</v>
      </c>
      <c r="CX159">
        <v>67</v>
      </c>
      <c r="CY159">
        <v>5</v>
      </c>
      <c r="CZ159">
        <v>120</v>
      </c>
      <c r="DA159">
        <v>5</v>
      </c>
      <c r="DB159">
        <v>8280</v>
      </c>
      <c r="DC159">
        <v>240</v>
      </c>
      <c r="DD159">
        <v>274</v>
      </c>
      <c r="DE159">
        <v>1864</v>
      </c>
      <c r="DF159">
        <v>1864</v>
      </c>
      <c r="DG159">
        <v>1876</v>
      </c>
      <c r="DH159" t="s">
        <v>4055</v>
      </c>
      <c r="DI159" t="s">
        <v>4055</v>
      </c>
      <c r="DJ159" t="s">
        <v>4100</v>
      </c>
      <c r="DK159">
        <v>160</v>
      </c>
      <c r="DL159" t="s">
        <v>4101</v>
      </c>
      <c r="DM159">
        <v>67</v>
      </c>
      <c r="DN159">
        <v>0.84</v>
      </c>
      <c r="DO159">
        <v>1</v>
      </c>
      <c r="DP159">
        <v>1768</v>
      </c>
      <c r="DQ159">
        <v>516</v>
      </c>
      <c r="DR159" t="s">
        <v>4100</v>
      </c>
      <c r="DS159">
        <v>150</v>
      </c>
      <c r="DT159" t="s">
        <v>4101</v>
      </c>
      <c r="DU159">
        <v>67</v>
      </c>
      <c r="DV159">
        <v>0.84</v>
      </c>
      <c r="DW159">
        <v>1</v>
      </c>
      <c r="DX159">
        <v>1775</v>
      </c>
      <c r="DY159">
        <v>486</v>
      </c>
      <c r="DZ159" t="s">
        <v>4066</v>
      </c>
      <c r="EA159">
        <v>33</v>
      </c>
      <c r="EB159" t="s">
        <v>4065</v>
      </c>
      <c r="EC159">
        <v>0.4</v>
      </c>
      <c r="ED159">
        <v>1768</v>
      </c>
      <c r="EE159">
        <v>51</v>
      </c>
      <c r="EF159" t="s">
        <v>4066</v>
      </c>
      <c r="EG159">
        <v>33</v>
      </c>
      <c r="EH159" t="s">
        <v>4065</v>
      </c>
      <c r="EI159">
        <v>0.4</v>
      </c>
      <c r="EJ159">
        <v>1775</v>
      </c>
      <c r="EK159">
        <v>51</v>
      </c>
      <c r="EL159" t="s">
        <v>1528</v>
      </c>
      <c r="EM159">
        <v>12</v>
      </c>
      <c r="EN159">
        <v>0.5</v>
      </c>
      <c r="EO159">
        <v>0.96</v>
      </c>
      <c r="EP159">
        <v>1775.56</v>
      </c>
      <c r="EQ159">
        <v>24830.1</v>
      </c>
      <c r="ER159">
        <v>4175.61</v>
      </c>
      <c r="ES159">
        <v>0</v>
      </c>
      <c r="ET159">
        <v>0</v>
      </c>
      <c r="EU159">
        <v>1</v>
      </c>
      <c r="EV159">
        <v>29006</v>
      </c>
      <c r="EW159">
        <v>349</v>
      </c>
      <c r="EX159" t="s">
        <v>4613</v>
      </c>
      <c r="EY159">
        <v>166</v>
      </c>
      <c r="EZ159" t="s">
        <v>4055</v>
      </c>
      <c r="FA159">
        <v>4.8</v>
      </c>
      <c r="FB159">
        <v>1</v>
      </c>
      <c r="FC159">
        <v>1</v>
      </c>
      <c r="FD159">
        <v>1811</v>
      </c>
      <c r="FE159">
        <v>1593</v>
      </c>
      <c r="FF159" t="s">
        <v>4288</v>
      </c>
      <c r="FG159">
        <v>172</v>
      </c>
      <c r="FH159" t="s">
        <v>4055</v>
      </c>
      <c r="FI159">
        <v>4</v>
      </c>
      <c r="FJ159">
        <v>1811</v>
      </c>
      <c r="FK159">
        <v>1567</v>
      </c>
      <c r="FL159" t="s">
        <v>4069</v>
      </c>
      <c r="FM159" t="s">
        <v>4055</v>
      </c>
      <c r="FN159" t="s">
        <v>4055</v>
      </c>
      <c r="FO159" t="s">
        <v>4055</v>
      </c>
      <c r="FP159">
        <v>1811</v>
      </c>
      <c r="FQ159">
        <v>153</v>
      </c>
      <c r="FR159" t="s">
        <v>4090</v>
      </c>
      <c r="FS159">
        <v>176</v>
      </c>
      <c r="FT159" t="s">
        <v>4055</v>
      </c>
      <c r="FU159">
        <v>0.4</v>
      </c>
      <c r="FV159">
        <v>1811</v>
      </c>
      <c r="FW159">
        <v>142</v>
      </c>
      <c r="FZ159" t="s">
        <v>4055</v>
      </c>
      <c r="GA159" t="s">
        <v>4055</v>
      </c>
      <c r="GD159">
        <v>3455</v>
      </c>
      <c r="GE159" t="s">
        <v>4658</v>
      </c>
      <c r="GF159" t="s">
        <v>4055</v>
      </c>
      <c r="GG159" t="s">
        <v>4055</v>
      </c>
      <c r="GH159" t="s">
        <v>4055</v>
      </c>
      <c r="GI159" t="s">
        <v>4071</v>
      </c>
      <c r="GJ159" t="s">
        <v>4055</v>
      </c>
      <c r="GK159" t="s">
        <v>4055</v>
      </c>
      <c r="GL159" t="s">
        <v>4055</v>
      </c>
      <c r="GM159" t="s">
        <v>4055</v>
      </c>
      <c r="GQ159">
        <v>0</v>
      </c>
      <c r="GV159">
        <v>9.199999999999999</v>
      </c>
      <c r="GW159">
        <v>11</v>
      </c>
      <c r="GX159">
        <v>0.5</v>
      </c>
      <c r="GY159">
        <v>146</v>
      </c>
      <c r="GZ159">
        <v>3</v>
      </c>
      <c r="HA159">
        <v>194</v>
      </c>
      <c r="HB159">
        <v>3</v>
      </c>
      <c r="HC159">
        <v>1811</v>
      </c>
      <c r="HD159">
        <v>4</v>
      </c>
      <c r="HE159" t="s">
        <v>4071</v>
      </c>
      <c r="HG159" t="s">
        <v>549</v>
      </c>
      <c r="HL159">
        <v>4</v>
      </c>
      <c r="HM159">
        <v>15</v>
      </c>
      <c r="HN159">
        <v>6</v>
      </c>
      <c r="HO159">
        <v>1</v>
      </c>
      <c r="HP159">
        <v>0</v>
      </c>
      <c r="HQ159">
        <v>0</v>
      </c>
      <c r="HR159">
        <v>1</v>
      </c>
      <c r="HS159">
        <v>1765</v>
      </c>
      <c r="HT159">
        <v>5</v>
      </c>
      <c r="HU159">
        <v>1</v>
      </c>
      <c r="HV159">
        <v>5</v>
      </c>
      <c r="HW159">
        <v>0</v>
      </c>
      <c r="HX159">
        <v>1</v>
      </c>
      <c r="HY159">
        <v>0</v>
      </c>
      <c r="HZ159">
        <v>67</v>
      </c>
      <c r="IA159">
        <v>1768</v>
      </c>
      <c r="IB159">
        <v>1775</v>
      </c>
      <c r="ID159">
        <v>1811</v>
      </c>
      <c r="IE159">
        <v>1811</v>
      </c>
      <c r="IF159">
        <v>160</v>
      </c>
      <c r="IG159">
        <v>150</v>
      </c>
      <c r="IH159">
        <v>194</v>
      </c>
      <c r="II159">
        <v>1</v>
      </c>
      <c r="IJ159">
        <v>5</v>
      </c>
      <c r="IK159">
        <v>0</v>
      </c>
      <c r="IL159">
        <v>0</v>
      </c>
      <c r="IM159">
        <v>0</v>
      </c>
      <c r="IN159">
        <v>270</v>
      </c>
      <c r="IO159">
        <v>0</v>
      </c>
      <c r="IP159">
        <v>180</v>
      </c>
      <c r="IQ159">
        <v>0</v>
      </c>
      <c r="IR159">
        <v>330</v>
      </c>
      <c r="IS159">
        <v>0</v>
      </c>
      <c r="IT159">
        <v>90</v>
      </c>
      <c r="IU159">
        <v>0</v>
      </c>
      <c r="IV159">
        <v>6.4</v>
      </c>
      <c r="IW159">
        <v>-6</v>
      </c>
      <c r="IX159">
        <v>83.5</v>
      </c>
      <c r="IY159">
        <v>68.5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322</v>
      </c>
      <c r="JJ159">
        <v>296</v>
      </c>
      <c r="JK159">
        <v>230</v>
      </c>
      <c r="JL159">
        <v>296</v>
      </c>
      <c r="JM159">
        <v>215</v>
      </c>
      <c r="JN159">
        <v>165</v>
      </c>
      <c r="JO159">
        <v>214</v>
      </c>
      <c r="JP159">
        <v>220</v>
      </c>
      <c r="JQ159">
        <v>260</v>
      </c>
      <c r="JR159">
        <v>340</v>
      </c>
      <c r="JS159">
        <v>280</v>
      </c>
      <c r="JT159">
        <v>0</v>
      </c>
      <c r="JU159">
        <v>0</v>
      </c>
      <c r="JV159">
        <v>335</v>
      </c>
      <c r="JW159">
        <v>337</v>
      </c>
      <c r="JX159">
        <v>335</v>
      </c>
      <c r="JY159">
        <v>310</v>
      </c>
      <c r="JZ159">
        <v>0.5</v>
      </c>
      <c r="KA159">
        <v>0.2</v>
      </c>
      <c r="KB159">
        <v>0.4</v>
      </c>
      <c r="KC159">
        <v>0.42</v>
      </c>
      <c r="KD159">
        <v>0.2</v>
      </c>
      <c r="KE159">
        <v>0.5</v>
      </c>
      <c r="KF159">
        <v>0.18</v>
      </c>
      <c r="KG159">
        <v>0.1</v>
      </c>
      <c r="KH159">
        <v>3.5</v>
      </c>
      <c r="KI159">
        <v>1</v>
      </c>
      <c r="KJ159">
        <v>4.5</v>
      </c>
      <c r="KK159">
        <v>0</v>
      </c>
      <c r="KL159">
        <v>4.5</v>
      </c>
      <c r="KM159">
        <v>0</v>
      </c>
      <c r="KN159">
        <v>1</v>
      </c>
      <c r="KO159">
        <v>0</v>
      </c>
      <c r="KP159">
        <v>0</v>
      </c>
      <c r="KQ159">
        <v>1</v>
      </c>
      <c r="KR159">
        <v>1</v>
      </c>
      <c r="KS159">
        <v>0</v>
      </c>
      <c r="KT159">
        <v>2.5</v>
      </c>
      <c r="KU159">
        <v>0</v>
      </c>
      <c r="KV159">
        <v>0</v>
      </c>
      <c r="KW159">
        <v>1</v>
      </c>
      <c r="KX159">
        <v>1.5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1</v>
      </c>
      <c r="LH159">
        <v>3</v>
      </c>
      <c r="LI159">
        <v>0.5</v>
      </c>
      <c r="LJ159">
        <v>0</v>
      </c>
      <c r="LK159">
        <v>3</v>
      </c>
      <c r="LL159">
        <v>3.5</v>
      </c>
      <c r="LM159">
        <v>4</v>
      </c>
      <c r="LN159">
        <v>0.3</v>
      </c>
      <c r="LO159">
        <v>3</v>
      </c>
      <c r="LP159">
        <v>0</v>
      </c>
      <c r="LQ159">
        <v>0</v>
      </c>
      <c r="LR159">
        <v>0</v>
      </c>
      <c r="LS159">
        <v>1</v>
      </c>
      <c r="LT159">
        <v>0</v>
      </c>
      <c r="LU159">
        <v>0</v>
      </c>
      <c r="LV159">
        <v>0</v>
      </c>
      <c r="LW159">
        <v>1.4</v>
      </c>
      <c r="LX159">
        <v>1.4</v>
      </c>
      <c r="LY159">
        <v>2.1</v>
      </c>
      <c r="LZ159">
        <v>2.1</v>
      </c>
      <c r="MA159">
        <v>0</v>
      </c>
      <c r="MB159">
        <v>3</v>
      </c>
      <c r="MC159">
        <v>0</v>
      </c>
      <c r="MD159">
        <v>4.5</v>
      </c>
      <c r="ME159">
        <v>6</v>
      </c>
      <c r="MF159">
        <v>6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342</v>
      </c>
      <c r="MN159">
        <v>165</v>
      </c>
      <c r="MO159">
        <v>214</v>
      </c>
      <c r="NU159">
        <v>0.15</v>
      </c>
      <c r="NV159">
        <v>0.2</v>
      </c>
      <c r="NW159">
        <v>0.2</v>
      </c>
      <c r="NX159">
        <v>0.2</v>
      </c>
      <c r="NY159">
        <v>0.2</v>
      </c>
      <c r="NZ159">
        <v>0.2</v>
      </c>
      <c r="OE159" t="s">
        <v>4658</v>
      </c>
      <c r="OF159" t="s">
        <v>4656</v>
      </c>
      <c r="OG159" t="s">
        <v>4657</v>
      </c>
      <c r="OH159" t="s">
        <v>4043</v>
      </c>
      <c r="OI159" t="s">
        <v>4658</v>
      </c>
      <c r="OJ159" t="s">
        <v>4655</v>
      </c>
      <c r="OK159">
        <v>61</v>
      </c>
      <c r="OL159">
        <v>61</v>
      </c>
      <c r="OM159" t="s">
        <v>4656</v>
      </c>
      <c r="ON159">
        <v>3</v>
      </c>
      <c r="OO159">
        <v>1768</v>
      </c>
      <c r="OP159">
        <v>61</v>
      </c>
      <c r="OQ159">
        <v>61</v>
      </c>
      <c r="OR159" t="s">
        <v>4657</v>
      </c>
      <c r="OS159">
        <v>3</v>
      </c>
      <c r="OT159">
        <v>1775</v>
      </c>
      <c r="OU159">
        <v>65</v>
      </c>
      <c r="OV159">
        <v>65</v>
      </c>
      <c r="OW159" t="s">
        <v>4043</v>
      </c>
      <c r="OX159">
        <v>2</v>
      </c>
      <c r="OY159">
        <v>29006</v>
      </c>
      <c r="OZ159">
        <v>51</v>
      </c>
      <c r="PA159">
        <v>51</v>
      </c>
      <c r="PB159" t="s">
        <v>4658</v>
      </c>
      <c r="PC159">
        <v>4</v>
      </c>
      <c r="PD159">
        <v>1811</v>
      </c>
      <c r="PF159">
        <v>292</v>
      </c>
      <c r="PG159">
        <v>29</v>
      </c>
      <c r="PH159">
        <v>274</v>
      </c>
      <c r="PI159">
        <v>29</v>
      </c>
      <c r="PJ159">
        <v>84.3</v>
      </c>
      <c r="PK159">
        <v>1931</v>
      </c>
      <c r="PL159">
        <v>879.4</v>
      </c>
      <c r="PM159">
        <v>865</v>
      </c>
      <c r="PN159">
        <v>78.59999999999999</v>
      </c>
      <c r="PP159">
        <v>12</v>
      </c>
      <c r="PQ159">
        <v>2</v>
      </c>
      <c r="PR159">
        <v>2</v>
      </c>
      <c r="PS159">
        <v>6</v>
      </c>
      <c r="PT159">
        <v>194</v>
      </c>
      <c r="PU159">
        <v>11</v>
      </c>
      <c r="PV159" t="s">
        <v>4072</v>
      </c>
      <c r="PW159" t="s">
        <v>4072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-1</v>
      </c>
      <c r="QF159">
        <v>1</v>
      </c>
      <c r="QG159">
        <v>0</v>
      </c>
      <c r="QH159">
        <v>5</v>
      </c>
      <c r="QI159">
        <v>5</v>
      </c>
      <c r="QJ159">
        <v>5</v>
      </c>
      <c r="QK159">
        <v>156</v>
      </c>
      <c r="QL159">
        <v>356</v>
      </c>
      <c r="QM159">
        <v>7.5</v>
      </c>
      <c r="QN159">
        <v>1202.7</v>
      </c>
      <c r="QO159" t="s">
        <v>2341</v>
      </c>
      <c r="QP159" t="s">
        <v>513</v>
      </c>
      <c r="QQ159">
        <v>0</v>
      </c>
      <c r="QR159" t="s">
        <v>540</v>
      </c>
      <c r="QS159">
        <v>30</v>
      </c>
      <c r="QT159">
        <v>40</v>
      </c>
    </row>
    <row r="160" spans="1:462">
      <c r="A160" t="s">
        <v>2353</v>
      </c>
      <c r="B160" t="s">
        <v>2351</v>
      </c>
      <c r="C160" t="s">
        <v>509</v>
      </c>
      <c r="D160" t="s">
        <v>2307</v>
      </c>
      <c r="E160" t="s">
        <v>4036</v>
      </c>
      <c r="H160" t="s">
        <v>604</v>
      </c>
      <c r="I160" t="s">
        <v>605</v>
      </c>
      <c r="J160" t="s">
        <v>628</v>
      </c>
      <c r="K160" t="s">
        <v>606</v>
      </c>
      <c r="L160" t="s">
        <v>2352</v>
      </c>
      <c r="M160" t="s">
        <v>512</v>
      </c>
      <c r="O160" t="s">
        <v>513</v>
      </c>
      <c r="P160" t="s">
        <v>517</v>
      </c>
      <c r="Q160" t="s">
        <v>806</v>
      </c>
      <c r="R160" t="s">
        <v>807</v>
      </c>
      <c r="S160" t="s">
        <v>4091</v>
      </c>
      <c r="T160" t="s">
        <v>520</v>
      </c>
      <c r="U160" t="s">
        <v>521</v>
      </c>
      <c r="V160" t="s">
        <v>2354</v>
      </c>
      <c r="W160" t="s">
        <v>2336</v>
      </c>
      <c r="X160" t="s">
        <v>2355</v>
      </c>
      <c r="Y160" t="s">
        <v>2356</v>
      </c>
      <c r="Z160" t="s">
        <v>541</v>
      </c>
      <c r="AA160" t="s">
        <v>4038</v>
      </c>
      <c r="AB160" t="s">
        <v>4659</v>
      </c>
      <c r="AC160">
        <v>13</v>
      </c>
      <c r="AD160" t="s">
        <v>2350</v>
      </c>
      <c r="AE160">
        <v>14</v>
      </c>
      <c r="AF160">
        <v>4722</v>
      </c>
      <c r="AG160" t="s">
        <v>4660</v>
      </c>
      <c r="AH160">
        <v>1</v>
      </c>
      <c r="AI160" t="s">
        <v>4041</v>
      </c>
      <c r="AK160" t="s">
        <v>4661</v>
      </c>
      <c r="AL160">
        <v>1</v>
      </c>
      <c r="AM160" t="s">
        <v>582</v>
      </c>
      <c r="AO160" t="s">
        <v>4043</v>
      </c>
      <c r="AP160">
        <v>1</v>
      </c>
      <c r="AR160" t="s">
        <v>4662</v>
      </c>
      <c r="AS160">
        <v>1</v>
      </c>
      <c r="AT160">
        <v>51</v>
      </c>
      <c r="AV160" t="s">
        <v>4045</v>
      </c>
      <c r="AW160">
        <v>6.4</v>
      </c>
      <c r="AX160">
        <v>-6</v>
      </c>
      <c r="AY160">
        <v>96</v>
      </c>
      <c r="AZ160">
        <v>87</v>
      </c>
      <c r="BH160">
        <v>96</v>
      </c>
      <c r="BI160">
        <v>9</v>
      </c>
      <c r="BJ160">
        <v>87</v>
      </c>
      <c r="BK160">
        <v>3.5</v>
      </c>
      <c r="BL160">
        <v>192</v>
      </c>
      <c r="BM160">
        <v>-6</v>
      </c>
      <c r="BN160">
        <v>0</v>
      </c>
      <c r="BP160">
        <v>0</v>
      </c>
      <c r="BR160">
        <v>185</v>
      </c>
      <c r="BS160">
        <v>175</v>
      </c>
      <c r="BT160">
        <v>2015</v>
      </c>
      <c r="BU160" t="s">
        <v>4096</v>
      </c>
      <c r="BV160" t="s">
        <v>4096</v>
      </c>
      <c r="BW160" t="s">
        <v>4097</v>
      </c>
      <c r="BX160" t="s">
        <v>4097</v>
      </c>
      <c r="BY160" t="s">
        <v>4050</v>
      </c>
      <c r="BZ160" t="s">
        <v>4050</v>
      </c>
      <c r="CA160" t="s">
        <v>4051</v>
      </c>
      <c r="CB160" t="s">
        <v>4052</v>
      </c>
      <c r="CC160" t="s">
        <v>4120</v>
      </c>
      <c r="CD160" t="s">
        <v>4054</v>
      </c>
      <c r="CE160" t="s">
        <v>4055</v>
      </c>
      <c r="CF160" t="s">
        <v>4055</v>
      </c>
      <c r="CG160" t="s">
        <v>4056</v>
      </c>
      <c r="CI160" t="s">
        <v>4058</v>
      </c>
      <c r="CJ160" t="s">
        <v>4059</v>
      </c>
      <c r="CK160" t="s">
        <v>4060</v>
      </c>
      <c r="CL160" t="s">
        <v>4061</v>
      </c>
      <c r="CM160" t="s">
        <v>4062</v>
      </c>
      <c r="CN160" t="s">
        <v>4055</v>
      </c>
      <c r="CO160" t="s">
        <v>4063</v>
      </c>
      <c r="CP160" t="s">
        <v>4055</v>
      </c>
      <c r="CQ160" t="s">
        <v>4055</v>
      </c>
      <c r="CR160">
        <v>5</v>
      </c>
      <c r="CS160" t="s">
        <v>4055</v>
      </c>
      <c r="CT160" t="s">
        <v>4055</v>
      </c>
      <c r="CU160" t="s">
        <v>4055</v>
      </c>
      <c r="CV160">
        <v>121</v>
      </c>
      <c r="CW160">
        <v>3</v>
      </c>
      <c r="CX160">
        <v>77</v>
      </c>
      <c r="CY160">
        <v>5</v>
      </c>
      <c r="CZ160">
        <v>75</v>
      </c>
      <c r="DA160">
        <v>5</v>
      </c>
      <c r="DB160">
        <v>11020</v>
      </c>
      <c r="DC160">
        <v>330</v>
      </c>
      <c r="DD160">
        <v>315</v>
      </c>
      <c r="DE160">
        <v>2126</v>
      </c>
      <c r="DF160">
        <v>2117</v>
      </c>
      <c r="DG160">
        <v>2138</v>
      </c>
      <c r="DH160" t="s">
        <v>4055</v>
      </c>
      <c r="DI160">
        <v>2158</v>
      </c>
      <c r="DJ160" t="s">
        <v>4100</v>
      </c>
      <c r="DK160">
        <v>185</v>
      </c>
      <c r="DL160" t="s">
        <v>4101</v>
      </c>
      <c r="DM160">
        <v>67</v>
      </c>
      <c r="DN160">
        <v>0.84</v>
      </c>
      <c r="DO160">
        <v>1</v>
      </c>
      <c r="DP160">
        <v>2018</v>
      </c>
      <c r="DQ160">
        <v>682</v>
      </c>
      <c r="DR160" t="s">
        <v>4100</v>
      </c>
      <c r="DS160">
        <v>175</v>
      </c>
      <c r="DT160" t="s">
        <v>4101</v>
      </c>
      <c r="DU160">
        <v>67</v>
      </c>
      <c r="DV160">
        <v>0.84</v>
      </c>
      <c r="DW160">
        <v>1</v>
      </c>
      <c r="DX160">
        <v>2025</v>
      </c>
      <c r="DY160">
        <v>648</v>
      </c>
      <c r="DZ160" t="s">
        <v>4066</v>
      </c>
      <c r="EA160">
        <v>33</v>
      </c>
      <c r="EB160" t="s">
        <v>4065</v>
      </c>
      <c r="EC160">
        <v>0.4</v>
      </c>
      <c r="ED160">
        <v>2018</v>
      </c>
      <c r="EE160">
        <v>59</v>
      </c>
      <c r="EF160" t="s">
        <v>4066</v>
      </c>
      <c r="EG160">
        <v>33</v>
      </c>
      <c r="EH160" t="s">
        <v>4065</v>
      </c>
      <c r="EI160">
        <v>0.4</v>
      </c>
      <c r="EJ160">
        <v>2025</v>
      </c>
      <c r="EK160">
        <v>59</v>
      </c>
      <c r="EL160" t="s">
        <v>1528</v>
      </c>
      <c r="EM160">
        <v>12</v>
      </c>
      <c r="EN160">
        <v>0.5</v>
      </c>
      <c r="EO160">
        <v>0.96</v>
      </c>
      <c r="EP160">
        <v>2025.56</v>
      </c>
      <c r="EQ160">
        <v>32282.36</v>
      </c>
      <c r="ER160">
        <v>2856.93</v>
      </c>
      <c r="ES160">
        <v>0</v>
      </c>
      <c r="ET160">
        <v>0</v>
      </c>
      <c r="EU160">
        <v>1</v>
      </c>
      <c r="EV160">
        <v>35140</v>
      </c>
      <c r="EW160">
        <v>422</v>
      </c>
      <c r="EX160" t="s">
        <v>4613</v>
      </c>
      <c r="EY160">
        <v>192</v>
      </c>
      <c r="EZ160" t="s">
        <v>4055</v>
      </c>
      <c r="FA160">
        <v>4.2</v>
      </c>
      <c r="FB160">
        <v>1</v>
      </c>
      <c r="FC160">
        <v>1</v>
      </c>
      <c r="FD160">
        <v>2060</v>
      </c>
      <c r="FE160">
        <v>1982</v>
      </c>
      <c r="FF160" t="s">
        <v>4288</v>
      </c>
      <c r="FG160">
        <v>204</v>
      </c>
      <c r="FH160" t="s">
        <v>4055</v>
      </c>
      <c r="FI160">
        <v>4.2</v>
      </c>
      <c r="FJ160">
        <v>2060</v>
      </c>
      <c r="FK160">
        <v>2016</v>
      </c>
      <c r="FL160" t="s">
        <v>4069</v>
      </c>
      <c r="FM160" t="s">
        <v>4055</v>
      </c>
      <c r="FN160" t="s">
        <v>4055</v>
      </c>
      <c r="FO160" t="s">
        <v>4055</v>
      </c>
      <c r="FP160">
        <v>2060</v>
      </c>
      <c r="FQ160">
        <v>239</v>
      </c>
      <c r="FR160" t="s">
        <v>4090</v>
      </c>
      <c r="FS160">
        <v>208</v>
      </c>
      <c r="FT160" t="s">
        <v>4055</v>
      </c>
      <c r="FU160">
        <v>0.4</v>
      </c>
      <c r="FV160">
        <v>2060</v>
      </c>
      <c r="FW160">
        <v>191</v>
      </c>
      <c r="FZ160" t="s">
        <v>4055</v>
      </c>
      <c r="GA160" t="s">
        <v>4055</v>
      </c>
      <c r="GD160">
        <v>4428</v>
      </c>
      <c r="GE160" t="s">
        <v>4662</v>
      </c>
      <c r="GF160" t="s">
        <v>4055</v>
      </c>
      <c r="GG160" t="s">
        <v>4055</v>
      </c>
      <c r="GH160" t="s">
        <v>4055</v>
      </c>
      <c r="GI160" t="s">
        <v>4071</v>
      </c>
      <c r="GJ160" t="s">
        <v>4055</v>
      </c>
      <c r="GK160" t="s">
        <v>4055</v>
      </c>
      <c r="GL160" t="s">
        <v>4055</v>
      </c>
      <c r="GM160" t="s">
        <v>4055</v>
      </c>
      <c r="GQ160">
        <v>0</v>
      </c>
      <c r="GV160">
        <v>8.800000000000001</v>
      </c>
      <c r="GW160">
        <v>10.7</v>
      </c>
      <c r="GX160">
        <v>0.5</v>
      </c>
      <c r="GY160">
        <v>172</v>
      </c>
      <c r="GZ160">
        <v>3</v>
      </c>
      <c r="HA160">
        <v>224</v>
      </c>
      <c r="HB160">
        <v>3</v>
      </c>
      <c r="HC160">
        <v>2060</v>
      </c>
      <c r="HD160">
        <v>4</v>
      </c>
      <c r="HE160" t="s">
        <v>4071</v>
      </c>
      <c r="HG160" t="s">
        <v>549</v>
      </c>
      <c r="HL160">
        <v>4</v>
      </c>
      <c r="HM160">
        <v>16</v>
      </c>
      <c r="HN160">
        <v>6</v>
      </c>
      <c r="HO160">
        <v>1</v>
      </c>
      <c r="HP160">
        <v>0</v>
      </c>
      <c r="HQ160">
        <v>0</v>
      </c>
      <c r="HR160">
        <v>3</v>
      </c>
      <c r="HS160">
        <v>2015</v>
      </c>
      <c r="HT160">
        <v>5</v>
      </c>
      <c r="HU160">
        <v>1</v>
      </c>
      <c r="HV160">
        <v>5</v>
      </c>
      <c r="HW160">
        <v>0</v>
      </c>
      <c r="HX160">
        <v>1</v>
      </c>
      <c r="HY160">
        <v>0</v>
      </c>
      <c r="HZ160">
        <v>67</v>
      </c>
      <c r="IA160">
        <v>2018</v>
      </c>
      <c r="IB160">
        <v>2025</v>
      </c>
      <c r="ID160">
        <v>2060</v>
      </c>
      <c r="IE160">
        <v>2060</v>
      </c>
      <c r="IF160">
        <v>185</v>
      </c>
      <c r="IG160">
        <v>175</v>
      </c>
      <c r="IH160">
        <v>224</v>
      </c>
      <c r="II160">
        <v>1</v>
      </c>
      <c r="IJ160">
        <v>5</v>
      </c>
      <c r="IK160">
        <v>0</v>
      </c>
      <c r="IL160">
        <v>0</v>
      </c>
      <c r="IM160">
        <v>0</v>
      </c>
      <c r="IN160">
        <v>270</v>
      </c>
      <c r="IO160">
        <v>0</v>
      </c>
      <c r="IP160">
        <v>180</v>
      </c>
      <c r="IQ160">
        <v>0</v>
      </c>
      <c r="IR160">
        <v>330</v>
      </c>
      <c r="IS160">
        <v>0</v>
      </c>
      <c r="IT160">
        <v>90</v>
      </c>
      <c r="IU160">
        <v>0</v>
      </c>
      <c r="IV160">
        <v>6.4</v>
      </c>
      <c r="IW160">
        <v>-6</v>
      </c>
      <c r="IX160">
        <v>96</v>
      </c>
      <c r="IY160">
        <v>87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404</v>
      </c>
      <c r="JJ160">
        <v>368</v>
      </c>
      <c r="JK160">
        <v>268</v>
      </c>
      <c r="JL160">
        <v>364</v>
      </c>
      <c r="JM160">
        <v>270</v>
      </c>
      <c r="JN160">
        <v>190</v>
      </c>
      <c r="JO160">
        <v>239</v>
      </c>
      <c r="JP160">
        <v>205</v>
      </c>
      <c r="JQ160">
        <v>260</v>
      </c>
      <c r="JR160">
        <v>352</v>
      </c>
      <c r="JS160">
        <v>250</v>
      </c>
      <c r="JT160">
        <v>0</v>
      </c>
      <c r="JU160">
        <v>0</v>
      </c>
      <c r="JV160">
        <v>335</v>
      </c>
      <c r="JW160">
        <v>337</v>
      </c>
      <c r="JX160">
        <v>320</v>
      </c>
      <c r="JY160">
        <v>300</v>
      </c>
      <c r="JZ160">
        <v>0.5</v>
      </c>
      <c r="KA160">
        <v>0.2</v>
      </c>
      <c r="KB160">
        <v>0.4</v>
      </c>
      <c r="KC160">
        <v>0.42</v>
      </c>
      <c r="KD160">
        <v>0.28</v>
      </c>
      <c r="KE160">
        <v>0.5</v>
      </c>
      <c r="KF160">
        <v>0.2</v>
      </c>
      <c r="KG160">
        <v>0.1</v>
      </c>
      <c r="KH160">
        <v>3.5</v>
      </c>
      <c r="KI160">
        <v>1</v>
      </c>
      <c r="KJ160">
        <v>4.5</v>
      </c>
      <c r="KK160">
        <v>0</v>
      </c>
      <c r="KL160">
        <v>4.5</v>
      </c>
      <c r="KM160">
        <v>0</v>
      </c>
      <c r="KN160">
        <v>1.6</v>
      </c>
      <c r="KO160">
        <v>0</v>
      </c>
      <c r="KP160">
        <v>0</v>
      </c>
      <c r="KQ160">
        <v>1</v>
      </c>
      <c r="KR160">
        <v>0.8</v>
      </c>
      <c r="KS160">
        <v>0</v>
      </c>
      <c r="KT160">
        <v>3.2</v>
      </c>
      <c r="KU160">
        <v>0</v>
      </c>
      <c r="KV160">
        <v>0</v>
      </c>
      <c r="KW160">
        <v>1.2</v>
      </c>
      <c r="KX160">
        <v>2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3</v>
      </c>
      <c r="LI160">
        <v>0.5</v>
      </c>
      <c r="LJ160">
        <v>0</v>
      </c>
      <c r="LK160">
        <v>5</v>
      </c>
      <c r="LL160">
        <v>5.5</v>
      </c>
      <c r="LM160">
        <v>6</v>
      </c>
      <c r="LN160">
        <v>0.3</v>
      </c>
      <c r="LO160">
        <v>0.5</v>
      </c>
      <c r="LP160">
        <v>0</v>
      </c>
      <c r="LQ160">
        <v>0</v>
      </c>
      <c r="LR160">
        <v>0</v>
      </c>
      <c r="LS160">
        <v>1</v>
      </c>
      <c r="LT160">
        <v>0</v>
      </c>
      <c r="LU160">
        <v>0</v>
      </c>
      <c r="LV160">
        <v>0</v>
      </c>
      <c r="LW160">
        <v>2</v>
      </c>
      <c r="LX160">
        <v>2</v>
      </c>
      <c r="LY160">
        <v>2.1</v>
      </c>
      <c r="LZ160">
        <v>2.1</v>
      </c>
      <c r="MA160">
        <v>0</v>
      </c>
      <c r="MB160">
        <v>6</v>
      </c>
      <c r="MC160">
        <v>0</v>
      </c>
      <c r="MD160">
        <v>4.5</v>
      </c>
      <c r="ME160">
        <v>9</v>
      </c>
      <c r="MF160">
        <v>9</v>
      </c>
      <c r="MI160">
        <v>0</v>
      </c>
      <c r="MJ160">
        <v>0</v>
      </c>
      <c r="ML160">
        <v>0</v>
      </c>
      <c r="MM160">
        <v>408</v>
      </c>
      <c r="MN160">
        <v>180</v>
      </c>
      <c r="MO160">
        <v>234</v>
      </c>
      <c r="NH160">
        <v>0</v>
      </c>
      <c r="NJ160">
        <v>0</v>
      </c>
      <c r="NK160">
        <v>0</v>
      </c>
      <c r="NM160">
        <v>0</v>
      </c>
      <c r="NU160">
        <v>0.15</v>
      </c>
      <c r="NV160">
        <v>0.2</v>
      </c>
      <c r="NW160">
        <v>0.2</v>
      </c>
      <c r="NX160">
        <v>2</v>
      </c>
      <c r="NY160">
        <v>2</v>
      </c>
      <c r="NZ160">
        <v>2</v>
      </c>
      <c r="OE160" t="s">
        <v>4662</v>
      </c>
      <c r="OF160" t="s">
        <v>4660</v>
      </c>
      <c r="OG160" t="s">
        <v>4661</v>
      </c>
      <c r="OH160" t="s">
        <v>4043</v>
      </c>
      <c r="OI160" t="s">
        <v>4662</v>
      </c>
      <c r="OJ160" t="s">
        <v>4659</v>
      </c>
      <c r="OK160">
        <v>61</v>
      </c>
      <c r="OL160">
        <v>61</v>
      </c>
      <c r="OM160" t="s">
        <v>4660</v>
      </c>
      <c r="ON160">
        <v>3</v>
      </c>
      <c r="OO160">
        <v>2018</v>
      </c>
      <c r="OP160">
        <v>61</v>
      </c>
      <c r="OQ160">
        <v>61</v>
      </c>
      <c r="OR160" t="s">
        <v>4661</v>
      </c>
      <c r="OS160">
        <v>3</v>
      </c>
      <c r="OT160">
        <v>2025</v>
      </c>
      <c r="OU160">
        <v>65</v>
      </c>
      <c r="OV160">
        <v>65</v>
      </c>
      <c r="OW160" t="s">
        <v>4043</v>
      </c>
      <c r="OX160">
        <v>2</v>
      </c>
      <c r="OY160">
        <v>35140</v>
      </c>
      <c r="OZ160">
        <v>51</v>
      </c>
      <c r="PA160">
        <v>51</v>
      </c>
      <c r="PB160" t="s">
        <v>4662</v>
      </c>
      <c r="PC160">
        <v>5</v>
      </c>
      <c r="PD160">
        <v>2060</v>
      </c>
      <c r="PF160">
        <v>338</v>
      </c>
      <c r="PG160">
        <v>29</v>
      </c>
      <c r="PH160">
        <v>320</v>
      </c>
      <c r="PI160">
        <v>29</v>
      </c>
      <c r="PJ160">
        <v>115.9</v>
      </c>
      <c r="PK160">
        <v>2133</v>
      </c>
      <c r="PL160">
        <v>962</v>
      </c>
      <c r="PM160">
        <v>978.5</v>
      </c>
      <c r="PN160">
        <v>92.90000000000001</v>
      </c>
      <c r="PP160">
        <v>12</v>
      </c>
      <c r="PQ160">
        <v>3</v>
      </c>
      <c r="PR160">
        <v>3</v>
      </c>
      <c r="PS160">
        <v>0</v>
      </c>
      <c r="PT160">
        <v>224</v>
      </c>
      <c r="PU160">
        <v>10</v>
      </c>
      <c r="PV160" t="s">
        <v>4072</v>
      </c>
      <c r="PW160" t="s">
        <v>4072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-1</v>
      </c>
      <c r="QF160">
        <v>1</v>
      </c>
      <c r="QG160">
        <v>0</v>
      </c>
      <c r="QH160">
        <v>5</v>
      </c>
      <c r="QI160">
        <v>5</v>
      </c>
      <c r="QJ160">
        <v>5</v>
      </c>
      <c r="QK160">
        <v>197</v>
      </c>
      <c r="QL160">
        <v>438</v>
      </c>
      <c r="QM160">
        <v>7.5</v>
      </c>
      <c r="QN160">
        <v>1282.5</v>
      </c>
      <c r="QO160" t="s">
        <v>2341</v>
      </c>
      <c r="QP160" t="s">
        <v>513</v>
      </c>
      <c r="QQ160">
        <v>0</v>
      </c>
      <c r="QR160" t="s">
        <v>1496</v>
      </c>
      <c r="QS160">
        <v>30</v>
      </c>
      <c r="QT160">
        <v>40</v>
      </c>
    </row>
    <row r="161" spans="1:462">
      <c r="A161" t="s">
        <v>2362</v>
      </c>
      <c r="B161" t="s">
        <v>727</v>
      </c>
      <c r="C161" t="s">
        <v>509</v>
      </c>
      <c r="D161" t="s">
        <v>1239</v>
      </c>
      <c r="E161" t="s">
        <v>4036</v>
      </c>
      <c r="H161" t="s">
        <v>604</v>
      </c>
      <c r="I161" t="s">
        <v>605</v>
      </c>
      <c r="J161" t="s">
        <v>628</v>
      </c>
      <c r="K161" t="s">
        <v>606</v>
      </c>
      <c r="L161" t="s">
        <v>729</v>
      </c>
      <c r="M161" t="s">
        <v>512</v>
      </c>
      <c r="O161" t="s">
        <v>513</v>
      </c>
      <c r="P161" t="s">
        <v>517</v>
      </c>
      <c r="Q161" t="s">
        <v>879</v>
      </c>
      <c r="R161" t="s">
        <v>880</v>
      </c>
      <c r="S161" t="s">
        <v>4091</v>
      </c>
      <c r="T161" t="s">
        <v>633</v>
      </c>
      <c r="U161" t="s">
        <v>634</v>
      </c>
      <c r="V161" t="s">
        <v>2363</v>
      </c>
      <c r="W161" t="s">
        <v>2336</v>
      </c>
      <c r="X161" t="s">
        <v>2364</v>
      </c>
      <c r="Y161" t="s">
        <v>2365</v>
      </c>
      <c r="Z161" t="s">
        <v>541</v>
      </c>
      <c r="AA161" t="s">
        <v>4038</v>
      </c>
      <c r="AB161" t="s">
        <v>4663</v>
      </c>
      <c r="AC161">
        <v>14</v>
      </c>
      <c r="AD161" t="s">
        <v>2360</v>
      </c>
      <c r="AE161">
        <v>10</v>
      </c>
      <c r="AF161">
        <v>6722</v>
      </c>
      <c r="AG161" t="s">
        <v>4664</v>
      </c>
      <c r="AH161">
        <v>1</v>
      </c>
      <c r="AI161" t="s">
        <v>4041</v>
      </c>
      <c r="AK161" t="s">
        <v>4665</v>
      </c>
      <c r="AL161">
        <v>1</v>
      </c>
      <c r="AM161" t="s">
        <v>582</v>
      </c>
      <c r="AO161" t="s">
        <v>4043</v>
      </c>
      <c r="AP161">
        <v>1</v>
      </c>
      <c r="AR161" t="s">
        <v>4666</v>
      </c>
      <c r="AS161">
        <v>1</v>
      </c>
      <c r="AT161">
        <v>51</v>
      </c>
      <c r="AV161" t="s">
        <v>4045</v>
      </c>
      <c r="AW161">
        <v>6.4</v>
      </c>
      <c r="AX161">
        <v>-6</v>
      </c>
      <c r="AY161">
        <v>95.5</v>
      </c>
      <c r="AZ161">
        <v>86.5</v>
      </c>
      <c r="BH161">
        <v>95.5</v>
      </c>
      <c r="BI161">
        <v>9</v>
      </c>
      <c r="BJ161">
        <v>86.5</v>
      </c>
      <c r="BK161">
        <v>3</v>
      </c>
      <c r="BL161">
        <v>191</v>
      </c>
      <c r="BM161">
        <v>-6</v>
      </c>
      <c r="BN161">
        <v>0</v>
      </c>
      <c r="BO161">
        <v>0</v>
      </c>
      <c r="BP161">
        <v>0</v>
      </c>
      <c r="BR161">
        <v>185</v>
      </c>
      <c r="BS161">
        <v>175</v>
      </c>
      <c r="BT161">
        <v>2125</v>
      </c>
      <c r="BU161" t="s">
        <v>4127</v>
      </c>
      <c r="BV161" t="s">
        <v>4127</v>
      </c>
      <c r="BW161" t="s">
        <v>4128</v>
      </c>
      <c r="BX161" t="s">
        <v>4128</v>
      </c>
      <c r="BY161" t="s">
        <v>4173</v>
      </c>
      <c r="BZ161" t="s">
        <v>4173</v>
      </c>
      <c r="CA161" t="s">
        <v>4108</v>
      </c>
      <c r="CB161" t="s">
        <v>4109</v>
      </c>
      <c r="CC161" t="s">
        <v>4053</v>
      </c>
      <c r="CD161" t="s">
        <v>4110</v>
      </c>
      <c r="CE161" t="s">
        <v>4055</v>
      </c>
      <c r="CF161" t="s">
        <v>4055</v>
      </c>
      <c r="CG161" t="s">
        <v>4056</v>
      </c>
      <c r="CI161" t="s">
        <v>4058</v>
      </c>
      <c r="CJ161" t="s">
        <v>4059</v>
      </c>
      <c r="CK161" t="s">
        <v>4060</v>
      </c>
      <c r="CL161" t="s">
        <v>4061</v>
      </c>
      <c r="CM161" t="s">
        <v>4062</v>
      </c>
      <c r="CN161" t="s">
        <v>4055</v>
      </c>
      <c r="CO161" t="s">
        <v>4063</v>
      </c>
      <c r="CP161" t="s">
        <v>4055</v>
      </c>
      <c r="CQ161" t="s">
        <v>4055</v>
      </c>
      <c r="CR161">
        <v>5</v>
      </c>
      <c r="CS161" t="s">
        <v>4055</v>
      </c>
      <c r="CT161" t="s">
        <v>4055</v>
      </c>
      <c r="CU161" t="s">
        <v>4055</v>
      </c>
      <c r="CV161">
        <v>119</v>
      </c>
      <c r="CW161">
        <v>3</v>
      </c>
      <c r="CX161">
        <v>80</v>
      </c>
      <c r="CY161">
        <v>5</v>
      </c>
      <c r="CZ161">
        <v>138</v>
      </c>
      <c r="DA161">
        <v>5</v>
      </c>
      <c r="DB161">
        <v>13610</v>
      </c>
      <c r="DC161">
        <v>400</v>
      </c>
      <c r="DD161">
        <v>322</v>
      </c>
      <c r="DE161">
        <v>2238</v>
      </c>
      <c r="DF161">
        <v>2238</v>
      </c>
      <c r="DG161">
        <v>2252</v>
      </c>
      <c r="DH161" t="s">
        <v>4055</v>
      </c>
      <c r="DI161" t="s">
        <v>4055</v>
      </c>
      <c r="DJ161" t="s">
        <v>4217</v>
      </c>
      <c r="DK161">
        <v>185</v>
      </c>
      <c r="DL161" t="s">
        <v>4065</v>
      </c>
      <c r="DM161">
        <v>67</v>
      </c>
      <c r="DN161">
        <v>1.26</v>
      </c>
      <c r="DO161">
        <v>1</v>
      </c>
      <c r="DP161">
        <v>2129</v>
      </c>
      <c r="DQ161">
        <v>952</v>
      </c>
      <c r="DR161" t="s">
        <v>4217</v>
      </c>
      <c r="DS161">
        <v>175</v>
      </c>
      <c r="DT161" t="s">
        <v>4065</v>
      </c>
      <c r="DU161">
        <v>67</v>
      </c>
      <c r="DV161">
        <v>1.26</v>
      </c>
      <c r="DW161">
        <v>1</v>
      </c>
      <c r="DX161">
        <v>2142</v>
      </c>
      <c r="DY161">
        <v>904</v>
      </c>
      <c r="DZ161" t="s">
        <v>4066</v>
      </c>
      <c r="EA161">
        <v>20</v>
      </c>
      <c r="EB161" t="s">
        <v>4065</v>
      </c>
      <c r="EC161">
        <v>0.8</v>
      </c>
      <c r="ED161">
        <v>2129</v>
      </c>
      <c r="EE161">
        <v>75</v>
      </c>
      <c r="EG161">
        <v>0</v>
      </c>
      <c r="EH161" t="s">
        <v>4065</v>
      </c>
      <c r="EI161">
        <v>0</v>
      </c>
      <c r="EL161" t="s">
        <v>1528</v>
      </c>
      <c r="EM161">
        <v>12</v>
      </c>
      <c r="EN161">
        <v>0.5</v>
      </c>
      <c r="EO161">
        <v>0.96</v>
      </c>
      <c r="EP161">
        <v>2140.84</v>
      </c>
      <c r="EQ161">
        <v>33952.38</v>
      </c>
      <c r="ER161">
        <v>3019.04</v>
      </c>
      <c r="ES161">
        <v>0</v>
      </c>
      <c r="ET161">
        <v>0</v>
      </c>
      <c r="EU161">
        <v>1</v>
      </c>
      <c r="EV161">
        <v>36972</v>
      </c>
      <c r="EW161">
        <v>444</v>
      </c>
      <c r="EX161" t="s">
        <v>4613</v>
      </c>
      <c r="EY161">
        <v>194</v>
      </c>
      <c r="EZ161" t="s">
        <v>4055</v>
      </c>
      <c r="FA161">
        <v>4.2</v>
      </c>
      <c r="FB161">
        <v>1</v>
      </c>
      <c r="FC161">
        <v>1</v>
      </c>
      <c r="FD161">
        <v>2174</v>
      </c>
      <c r="FE161">
        <v>1943</v>
      </c>
      <c r="FF161" t="s">
        <v>4288</v>
      </c>
      <c r="FG161">
        <v>204</v>
      </c>
      <c r="FH161" t="s">
        <v>4055</v>
      </c>
      <c r="FI161">
        <v>3.9</v>
      </c>
      <c r="FJ161">
        <v>2174</v>
      </c>
      <c r="FK161">
        <v>2121</v>
      </c>
      <c r="FL161" t="s">
        <v>4069</v>
      </c>
      <c r="FM161" t="s">
        <v>4055</v>
      </c>
      <c r="FN161" t="s">
        <v>4055</v>
      </c>
      <c r="FO161" t="s">
        <v>4055</v>
      </c>
      <c r="FP161">
        <v>2174</v>
      </c>
      <c r="FQ161">
        <v>243</v>
      </c>
      <c r="FR161" t="s">
        <v>4090</v>
      </c>
      <c r="FS161">
        <v>208</v>
      </c>
      <c r="FT161" t="s">
        <v>4055</v>
      </c>
      <c r="FU161">
        <v>0.4</v>
      </c>
      <c r="FV161">
        <v>2174</v>
      </c>
      <c r="FW161">
        <v>202</v>
      </c>
      <c r="FZ161" t="s">
        <v>4055</v>
      </c>
      <c r="GA161" t="s">
        <v>4055</v>
      </c>
      <c r="GD161">
        <v>4509</v>
      </c>
      <c r="GE161" t="s">
        <v>4666</v>
      </c>
      <c r="GF161" t="s">
        <v>4055</v>
      </c>
      <c r="GG161" t="s">
        <v>4055</v>
      </c>
      <c r="GH161" t="s">
        <v>4055</v>
      </c>
      <c r="GI161" t="s">
        <v>4071</v>
      </c>
      <c r="GJ161" t="s">
        <v>4055</v>
      </c>
      <c r="GK161" t="s">
        <v>4055</v>
      </c>
      <c r="GL161" t="s">
        <v>4055</v>
      </c>
      <c r="GM161" t="s">
        <v>4055</v>
      </c>
      <c r="GQ161">
        <v>0</v>
      </c>
      <c r="GV161">
        <v>8.5</v>
      </c>
      <c r="GW161">
        <v>11</v>
      </c>
      <c r="GX161">
        <v>0.5</v>
      </c>
      <c r="GY161">
        <v>160</v>
      </c>
      <c r="GZ161">
        <v>3</v>
      </c>
      <c r="HA161">
        <v>224</v>
      </c>
      <c r="HB161">
        <v>3</v>
      </c>
      <c r="HC161">
        <v>2174</v>
      </c>
      <c r="HD161">
        <v>4</v>
      </c>
      <c r="HE161" t="s">
        <v>4071</v>
      </c>
      <c r="HG161" t="s">
        <v>549</v>
      </c>
      <c r="HL161">
        <v>4</v>
      </c>
      <c r="HM161">
        <v>17</v>
      </c>
      <c r="HN161">
        <v>6</v>
      </c>
      <c r="HO161">
        <v>1</v>
      </c>
      <c r="HP161">
        <v>0</v>
      </c>
      <c r="HQ161">
        <v>0</v>
      </c>
      <c r="HR161">
        <v>3</v>
      </c>
      <c r="HS161">
        <v>2125</v>
      </c>
      <c r="HT161">
        <v>5</v>
      </c>
      <c r="HU161">
        <v>1</v>
      </c>
      <c r="HV161">
        <v>5</v>
      </c>
      <c r="HW161">
        <v>0</v>
      </c>
      <c r="HX161">
        <v>1</v>
      </c>
      <c r="HY161">
        <v>0</v>
      </c>
      <c r="HZ161">
        <v>67</v>
      </c>
      <c r="IA161">
        <v>2129</v>
      </c>
      <c r="IB161">
        <v>2142</v>
      </c>
      <c r="ID161">
        <v>2174</v>
      </c>
      <c r="IE161">
        <v>2174</v>
      </c>
      <c r="IF161">
        <v>185</v>
      </c>
      <c r="IG161">
        <v>175</v>
      </c>
      <c r="IH161">
        <v>224</v>
      </c>
      <c r="II161">
        <v>1</v>
      </c>
      <c r="IJ161">
        <v>5</v>
      </c>
      <c r="IK161">
        <v>0</v>
      </c>
      <c r="IL161">
        <v>0</v>
      </c>
      <c r="IM161">
        <v>0</v>
      </c>
      <c r="IN161">
        <v>270</v>
      </c>
      <c r="IO161">
        <v>0</v>
      </c>
      <c r="IP161">
        <v>180</v>
      </c>
      <c r="IQ161">
        <v>0</v>
      </c>
      <c r="IR161">
        <v>330</v>
      </c>
      <c r="IS161">
        <v>0</v>
      </c>
      <c r="IT161">
        <v>90</v>
      </c>
      <c r="IU161">
        <v>0</v>
      </c>
      <c r="IV161">
        <v>6.4</v>
      </c>
      <c r="IW161">
        <v>-6</v>
      </c>
      <c r="IX161">
        <v>95.5</v>
      </c>
      <c r="IY161">
        <v>86.5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410</v>
      </c>
      <c r="JJ161">
        <v>377</v>
      </c>
      <c r="JK161">
        <v>275</v>
      </c>
      <c r="JL161">
        <v>375</v>
      </c>
      <c r="JM161">
        <v>260</v>
      </c>
      <c r="JN161">
        <v>195</v>
      </c>
      <c r="JO161">
        <v>234</v>
      </c>
      <c r="JP161">
        <v>199</v>
      </c>
      <c r="JQ161">
        <v>265</v>
      </c>
      <c r="JR161">
        <v>346</v>
      </c>
      <c r="JS161">
        <v>225</v>
      </c>
      <c r="JT161">
        <v>0</v>
      </c>
      <c r="JU161">
        <v>0</v>
      </c>
      <c r="JV161">
        <v>335</v>
      </c>
      <c r="JW161">
        <v>337</v>
      </c>
      <c r="JX161">
        <v>345</v>
      </c>
      <c r="JY161">
        <v>320</v>
      </c>
      <c r="JZ161">
        <v>1.5</v>
      </c>
      <c r="KA161">
        <v>0.2</v>
      </c>
      <c r="KB161">
        <v>0.4</v>
      </c>
      <c r="KC161">
        <v>0.42</v>
      </c>
      <c r="KD161">
        <v>0.28</v>
      </c>
      <c r="KE161">
        <v>0.5</v>
      </c>
      <c r="KF161">
        <v>0.2</v>
      </c>
      <c r="KG161">
        <v>0.1</v>
      </c>
      <c r="KH161">
        <v>3.5</v>
      </c>
      <c r="KI161">
        <v>1</v>
      </c>
      <c r="KJ161">
        <v>5</v>
      </c>
      <c r="KK161">
        <v>0</v>
      </c>
      <c r="KL161">
        <v>5</v>
      </c>
      <c r="KM161">
        <v>0</v>
      </c>
      <c r="KN161">
        <v>1.6</v>
      </c>
      <c r="KO161">
        <v>0</v>
      </c>
      <c r="KP161">
        <v>0</v>
      </c>
      <c r="KQ161">
        <v>1</v>
      </c>
      <c r="KR161">
        <v>0.5</v>
      </c>
      <c r="KS161">
        <v>0</v>
      </c>
      <c r="KT161">
        <v>3.3</v>
      </c>
      <c r="KU161">
        <v>0</v>
      </c>
      <c r="KV161">
        <v>0</v>
      </c>
      <c r="KW161">
        <v>1.4</v>
      </c>
      <c r="KX161">
        <v>2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3</v>
      </c>
      <c r="LI161">
        <v>1.5</v>
      </c>
      <c r="LJ161">
        <v>0</v>
      </c>
      <c r="LK161">
        <v>5</v>
      </c>
      <c r="LL161">
        <v>3</v>
      </c>
      <c r="LM161">
        <v>8</v>
      </c>
      <c r="LN161">
        <v>0.1</v>
      </c>
      <c r="LO161">
        <v>5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1.8</v>
      </c>
      <c r="LX161">
        <v>1.8</v>
      </c>
      <c r="LY161">
        <v>2.1</v>
      </c>
      <c r="LZ161">
        <v>2.1</v>
      </c>
      <c r="MA161">
        <v>0</v>
      </c>
      <c r="MB161">
        <v>11</v>
      </c>
      <c r="MC161">
        <v>0</v>
      </c>
      <c r="MD161">
        <v>4.5</v>
      </c>
      <c r="ME161">
        <v>6</v>
      </c>
      <c r="MF161">
        <v>6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420</v>
      </c>
      <c r="MN161">
        <v>185</v>
      </c>
      <c r="MO161">
        <v>244</v>
      </c>
      <c r="NU161">
        <v>0.15</v>
      </c>
      <c r="NV161">
        <v>0.2</v>
      </c>
      <c r="NW161">
        <v>0.2</v>
      </c>
      <c r="NX161">
        <v>0.2</v>
      </c>
      <c r="NY161">
        <v>0.2</v>
      </c>
      <c r="NZ161">
        <v>0.2</v>
      </c>
      <c r="OE161" t="s">
        <v>4666</v>
      </c>
      <c r="OF161" t="s">
        <v>4664</v>
      </c>
      <c r="OG161" t="s">
        <v>4665</v>
      </c>
      <c r="OH161" t="s">
        <v>4043</v>
      </c>
      <c r="OI161" t="s">
        <v>4666</v>
      </c>
      <c r="OJ161" t="s">
        <v>4663</v>
      </c>
      <c r="OK161">
        <v>61</v>
      </c>
      <c r="OL161">
        <v>61</v>
      </c>
      <c r="OM161" t="s">
        <v>4664</v>
      </c>
      <c r="ON161">
        <v>1</v>
      </c>
      <c r="OO161">
        <v>2129</v>
      </c>
      <c r="OP161">
        <v>61</v>
      </c>
      <c r="OQ161">
        <v>61</v>
      </c>
      <c r="OR161" t="s">
        <v>4665</v>
      </c>
      <c r="OS161">
        <v>1</v>
      </c>
      <c r="OT161">
        <v>2142</v>
      </c>
      <c r="OU161">
        <v>65</v>
      </c>
      <c r="OV161">
        <v>65</v>
      </c>
      <c r="OW161" t="s">
        <v>4043</v>
      </c>
      <c r="OX161">
        <v>2</v>
      </c>
      <c r="OY161">
        <v>36972</v>
      </c>
      <c r="OZ161">
        <v>51</v>
      </c>
      <c r="PA161">
        <v>51</v>
      </c>
      <c r="PB161" t="s">
        <v>4666</v>
      </c>
      <c r="PC161">
        <v>4</v>
      </c>
      <c r="PD161">
        <v>2174</v>
      </c>
      <c r="PF161">
        <v>447</v>
      </c>
      <c r="PG161">
        <v>35</v>
      </c>
      <c r="PH161">
        <v>422</v>
      </c>
      <c r="PI161">
        <v>0</v>
      </c>
      <c r="PJ161">
        <v>111.6</v>
      </c>
      <c r="PK161">
        <v>2087</v>
      </c>
      <c r="PL161">
        <v>893.6</v>
      </c>
      <c r="PM161">
        <v>975.7</v>
      </c>
      <c r="PN161">
        <v>92.90000000000001</v>
      </c>
      <c r="PP161">
        <v>12</v>
      </c>
      <c r="PQ161">
        <v>5</v>
      </c>
      <c r="PR161">
        <v>5</v>
      </c>
      <c r="PS161">
        <v>0</v>
      </c>
      <c r="PT161">
        <v>224</v>
      </c>
      <c r="PU161">
        <v>10</v>
      </c>
      <c r="PV161" t="s">
        <v>4072</v>
      </c>
      <c r="PW161" t="s">
        <v>4072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-1</v>
      </c>
      <c r="QF161">
        <v>1</v>
      </c>
      <c r="QG161">
        <v>0</v>
      </c>
      <c r="QH161">
        <v>5</v>
      </c>
      <c r="QI161">
        <v>5</v>
      </c>
      <c r="QJ161">
        <v>5</v>
      </c>
      <c r="QK161">
        <v>199</v>
      </c>
      <c r="QL161">
        <v>442</v>
      </c>
      <c r="QM161">
        <v>7.5</v>
      </c>
      <c r="QN161">
        <v>1383</v>
      </c>
      <c r="QO161" t="s">
        <v>2341</v>
      </c>
      <c r="QP161" t="s">
        <v>513</v>
      </c>
      <c r="QQ161">
        <v>0</v>
      </c>
      <c r="QR161" t="s">
        <v>892</v>
      </c>
      <c r="QS161">
        <v>30</v>
      </c>
      <c r="QT161">
        <v>40</v>
      </c>
    </row>
    <row r="162" spans="1:462">
      <c r="A162" t="s">
        <v>2371</v>
      </c>
      <c r="B162" t="s">
        <v>629</v>
      </c>
      <c r="C162" t="s">
        <v>509</v>
      </c>
      <c r="D162" t="s">
        <v>2370</v>
      </c>
      <c r="E162" t="s">
        <v>4036</v>
      </c>
      <c r="H162" t="s">
        <v>604</v>
      </c>
      <c r="I162" t="s">
        <v>1115</v>
      </c>
      <c r="J162" t="s">
        <v>628</v>
      </c>
      <c r="K162" t="s">
        <v>606</v>
      </c>
      <c r="L162" t="s">
        <v>711</v>
      </c>
      <c r="M162" t="s">
        <v>512</v>
      </c>
      <c r="O162" t="s">
        <v>513</v>
      </c>
      <c r="P162" t="s">
        <v>517</v>
      </c>
      <c r="Q162" t="s">
        <v>660</v>
      </c>
      <c r="R162" t="s">
        <v>661</v>
      </c>
      <c r="S162" t="s">
        <v>4037</v>
      </c>
      <c r="T162" t="s">
        <v>662</v>
      </c>
      <c r="U162" t="s">
        <v>663</v>
      </c>
      <c r="V162" t="s">
        <v>2372</v>
      </c>
      <c r="W162" t="s">
        <v>2336</v>
      </c>
      <c r="X162" t="s">
        <v>2373</v>
      </c>
      <c r="Y162" t="s">
        <v>2374</v>
      </c>
      <c r="Z162" t="s">
        <v>650</v>
      </c>
      <c r="AA162" t="s">
        <v>582</v>
      </c>
      <c r="AB162" t="s">
        <v>4667</v>
      </c>
      <c r="AC162">
        <v>13</v>
      </c>
      <c r="AD162" t="s">
        <v>2369</v>
      </c>
      <c r="AE162">
        <v>4</v>
      </c>
      <c r="AF162">
        <v>4549</v>
      </c>
      <c r="AG162" t="s">
        <v>4508</v>
      </c>
      <c r="AH162">
        <v>1</v>
      </c>
      <c r="AI162" t="s">
        <v>4041</v>
      </c>
      <c r="AK162" t="s">
        <v>4509</v>
      </c>
      <c r="AL162">
        <v>1</v>
      </c>
      <c r="AM162" t="s">
        <v>582</v>
      </c>
      <c r="AO162" t="s">
        <v>4043</v>
      </c>
      <c r="AP162">
        <v>1</v>
      </c>
      <c r="AR162" t="s">
        <v>4668</v>
      </c>
      <c r="AS162">
        <v>1</v>
      </c>
      <c r="AT162">
        <v>52</v>
      </c>
      <c r="AV162" t="s">
        <v>4045</v>
      </c>
      <c r="AW162">
        <v>6.4</v>
      </c>
      <c r="AX162">
        <v>-6</v>
      </c>
      <c r="AY162">
        <v>100</v>
      </c>
      <c r="AZ162">
        <v>82</v>
      </c>
      <c r="BA162">
        <v>0</v>
      </c>
      <c r="BB162">
        <v>0</v>
      </c>
      <c r="BC162">
        <v>0</v>
      </c>
      <c r="BH162">
        <v>100</v>
      </c>
      <c r="BI162">
        <v>18</v>
      </c>
      <c r="BJ162">
        <v>82</v>
      </c>
      <c r="BK162">
        <v>2.5</v>
      </c>
      <c r="BL162">
        <v>200</v>
      </c>
      <c r="BM162">
        <v>-6</v>
      </c>
      <c r="BN162">
        <v>0</v>
      </c>
      <c r="BP162">
        <v>0</v>
      </c>
      <c r="BR162">
        <v>195</v>
      </c>
      <c r="BS162">
        <v>185</v>
      </c>
      <c r="BT162">
        <v>2055</v>
      </c>
      <c r="BU162" t="s">
        <v>4669</v>
      </c>
      <c r="BV162" t="s">
        <v>4096</v>
      </c>
      <c r="BW162" t="s">
        <v>4097</v>
      </c>
      <c r="BX162" t="s">
        <v>4097</v>
      </c>
      <c r="BY162" t="s">
        <v>4116</v>
      </c>
      <c r="BZ162" t="s">
        <v>4117</v>
      </c>
      <c r="CA162" t="s">
        <v>4118</v>
      </c>
      <c r="CB162" t="s">
        <v>4119</v>
      </c>
      <c r="CC162" t="s">
        <v>4053</v>
      </c>
      <c r="CD162" t="s">
        <v>4121</v>
      </c>
      <c r="CE162" t="s">
        <v>4055</v>
      </c>
      <c r="CF162" t="s">
        <v>4055</v>
      </c>
      <c r="CG162" t="s">
        <v>4056</v>
      </c>
      <c r="CI162" t="s">
        <v>4058</v>
      </c>
      <c r="CJ162" t="s">
        <v>4059</v>
      </c>
      <c r="CK162" t="s">
        <v>4060</v>
      </c>
      <c r="CL162" t="s">
        <v>4061</v>
      </c>
      <c r="CM162" t="s">
        <v>4062</v>
      </c>
      <c r="CN162" t="s">
        <v>4055</v>
      </c>
      <c r="CO162" t="s">
        <v>4063</v>
      </c>
      <c r="CP162" t="s">
        <v>4055</v>
      </c>
      <c r="CQ162" t="s">
        <v>4055</v>
      </c>
      <c r="CR162">
        <v>5</v>
      </c>
      <c r="CS162" t="s">
        <v>4055</v>
      </c>
      <c r="CT162" t="s">
        <v>4055</v>
      </c>
      <c r="CU162" t="s">
        <v>4055</v>
      </c>
      <c r="CV162">
        <v>128</v>
      </c>
      <c r="CW162">
        <v>3</v>
      </c>
      <c r="CX162">
        <v>107</v>
      </c>
      <c r="CY162">
        <v>5</v>
      </c>
      <c r="CZ162">
        <v>145</v>
      </c>
      <c r="DA162">
        <v>5</v>
      </c>
      <c r="DB162">
        <v>11720</v>
      </c>
      <c r="DC162">
        <v>350</v>
      </c>
      <c r="DD162">
        <v>315</v>
      </c>
      <c r="DE162">
        <v>2176</v>
      </c>
      <c r="DF162">
        <v>2176</v>
      </c>
      <c r="DG162">
        <v>2189</v>
      </c>
      <c r="DH162" t="s">
        <v>4055</v>
      </c>
      <c r="DI162" t="s">
        <v>4055</v>
      </c>
      <c r="DJ162" t="s">
        <v>4132</v>
      </c>
      <c r="DK162">
        <v>195</v>
      </c>
      <c r="DL162" t="s">
        <v>4065</v>
      </c>
      <c r="DM162">
        <v>65</v>
      </c>
      <c r="DN162">
        <v>1.1</v>
      </c>
      <c r="DO162">
        <v>1</v>
      </c>
      <c r="DP162">
        <v>2058</v>
      </c>
      <c r="DQ162">
        <v>868</v>
      </c>
      <c r="DR162" t="s">
        <v>4132</v>
      </c>
      <c r="DS162">
        <v>185</v>
      </c>
      <c r="DT162" t="s">
        <v>4065</v>
      </c>
      <c r="DU162">
        <v>65</v>
      </c>
      <c r="DV162">
        <v>1.1</v>
      </c>
      <c r="DW162">
        <v>1</v>
      </c>
      <c r="DX162">
        <v>2070</v>
      </c>
      <c r="DY162">
        <v>828</v>
      </c>
      <c r="DZ162" t="s">
        <v>4066</v>
      </c>
      <c r="EA162">
        <v>20</v>
      </c>
      <c r="EB162" t="s">
        <v>4065</v>
      </c>
      <c r="EC162">
        <v>0.8</v>
      </c>
      <c r="ED162">
        <v>2058</v>
      </c>
      <c r="EE162">
        <v>72</v>
      </c>
      <c r="EG162">
        <v>0</v>
      </c>
      <c r="EH162" t="s">
        <v>4065</v>
      </c>
      <c r="EI162">
        <v>0</v>
      </c>
      <c r="EL162" t="s">
        <v>1528</v>
      </c>
      <c r="EM162">
        <v>12</v>
      </c>
      <c r="EN162">
        <v>0.5</v>
      </c>
      <c r="EO162">
        <v>0.96</v>
      </c>
      <c r="EP162">
        <v>2068.83</v>
      </c>
      <c r="EQ162">
        <v>34265</v>
      </c>
      <c r="ER162">
        <v>5835.55</v>
      </c>
      <c r="ES162">
        <v>0</v>
      </c>
      <c r="ET162">
        <v>0</v>
      </c>
      <c r="EU162">
        <v>1</v>
      </c>
      <c r="EV162">
        <v>40101</v>
      </c>
      <c r="EW162">
        <v>482</v>
      </c>
      <c r="EX162" t="s">
        <v>4613</v>
      </c>
      <c r="EY162">
        <v>212</v>
      </c>
      <c r="EZ162" t="s">
        <v>4055</v>
      </c>
      <c r="FA162">
        <v>4.4</v>
      </c>
      <c r="FB162">
        <v>1</v>
      </c>
      <c r="FC162">
        <v>1</v>
      </c>
      <c r="FD162">
        <v>2102</v>
      </c>
      <c r="FE162">
        <v>2281</v>
      </c>
      <c r="FF162" t="s">
        <v>4288</v>
      </c>
      <c r="FG162">
        <v>222</v>
      </c>
      <c r="FH162" t="s">
        <v>4055</v>
      </c>
      <c r="FI162">
        <v>3.6</v>
      </c>
      <c r="FJ162">
        <v>2102</v>
      </c>
      <c r="FK162">
        <v>2153</v>
      </c>
      <c r="FL162" t="s">
        <v>4069</v>
      </c>
      <c r="FM162" t="s">
        <v>4055</v>
      </c>
      <c r="FN162" t="s">
        <v>4055</v>
      </c>
      <c r="FO162" t="s">
        <v>4055</v>
      </c>
      <c r="FP162">
        <v>2102</v>
      </c>
      <c r="FQ162">
        <v>268</v>
      </c>
      <c r="FR162" t="s">
        <v>4090</v>
      </c>
      <c r="FS162">
        <v>226</v>
      </c>
      <c r="FT162" t="s">
        <v>4055</v>
      </c>
      <c r="FU162">
        <v>0.4</v>
      </c>
      <c r="FV162">
        <v>2102</v>
      </c>
      <c r="FW162">
        <v>212</v>
      </c>
      <c r="FZ162" t="s">
        <v>4055</v>
      </c>
      <c r="GA162" t="s">
        <v>4055</v>
      </c>
      <c r="GD162">
        <v>4914</v>
      </c>
      <c r="GE162" t="s">
        <v>4668</v>
      </c>
      <c r="GF162" t="s">
        <v>4055</v>
      </c>
      <c r="GG162" t="s">
        <v>4055</v>
      </c>
      <c r="GH162" t="s">
        <v>4055</v>
      </c>
      <c r="GI162" t="s">
        <v>4071</v>
      </c>
      <c r="GJ162" t="s">
        <v>4055</v>
      </c>
      <c r="GK162" t="s">
        <v>4055</v>
      </c>
      <c r="GL162" t="s">
        <v>4055</v>
      </c>
      <c r="GM162" t="s">
        <v>4055</v>
      </c>
      <c r="GQ162">
        <v>0</v>
      </c>
      <c r="GV162">
        <v>8.4</v>
      </c>
      <c r="GW162">
        <v>11.5</v>
      </c>
      <c r="GX162">
        <v>0.5</v>
      </c>
      <c r="GY162">
        <v>186</v>
      </c>
      <c r="GZ162">
        <v>3</v>
      </c>
      <c r="HA162">
        <v>242</v>
      </c>
      <c r="HB162">
        <v>3</v>
      </c>
      <c r="HC162">
        <v>2102</v>
      </c>
      <c r="HD162">
        <v>4</v>
      </c>
      <c r="HE162" t="s">
        <v>4071</v>
      </c>
      <c r="HG162" t="s">
        <v>549</v>
      </c>
      <c r="HL162">
        <v>4</v>
      </c>
      <c r="HM162">
        <v>18</v>
      </c>
      <c r="HN162">
        <v>1</v>
      </c>
      <c r="HO162">
        <v>1</v>
      </c>
      <c r="HP162">
        <v>0</v>
      </c>
      <c r="HQ162">
        <v>0</v>
      </c>
      <c r="HR162">
        <v>3</v>
      </c>
      <c r="HS162">
        <v>2055</v>
      </c>
      <c r="HT162">
        <v>5</v>
      </c>
      <c r="HU162">
        <v>1</v>
      </c>
      <c r="HV162">
        <v>5</v>
      </c>
      <c r="HW162">
        <v>0</v>
      </c>
      <c r="HX162">
        <v>1</v>
      </c>
      <c r="HY162">
        <v>0</v>
      </c>
      <c r="HZ162">
        <v>65</v>
      </c>
      <c r="IA162">
        <v>2058</v>
      </c>
      <c r="IB162">
        <v>2070</v>
      </c>
      <c r="ID162">
        <v>2102</v>
      </c>
      <c r="IE162">
        <v>2102</v>
      </c>
      <c r="IF162">
        <v>195</v>
      </c>
      <c r="IG162">
        <v>185</v>
      </c>
      <c r="IH162">
        <v>242</v>
      </c>
      <c r="II162">
        <v>1</v>
      </c>
      <c r="IJ162">
        <v>5</v>
      </c>
      <c r="IK162">
        <v>0</v>
      </c>
      <c r="IL162">
        <v>0</v>
      </c>
      <c r="IM162">
        <v>0</v>
      </c>
      <c r="IN162">
        <v>270</v>
      </c>
      <c r="IO162">
        <v>0</v>
      </c>
      <c r="IP162">
        <v>180</v>
      </c>
      <c r="IQ162">
        <v>0</v>
      </c>
      <c r="IR162">
        <v>330</v>
      </c>
      <c r="IS162">
        <v>0</v>
      </c>
      <c r="IT162">
        <v>90</v>
      </c>
      <c r="IU162">
        <v>0</v>
      </c>
      <c r="IV162">
        <v>6.4</v>
      </c>
      <c r="IW162">
        <v>-6</v>
      </c>
      <c r="IX162">
        <v>100</v>
      </c>
      <c r="IY162">
        <v>82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382</v>
      </c>
      <c r="JJ162">
        <v>352</v>
      </c>
      <c r="JK162">
        <v>258</v>
      </c>
      <c r="JL162">
        <v>348</v>
      </c>
      <c r="JM162">
        <v>258</v>
      </c>
      <c r="JN162">
        <v>190</v>
      </c>
      <c r="JO162">
        <v>252</v>
      </c>
      <c r="JP162">
        <v>200</v>
      </c>
      <c r="JQ162">
        <v>240</v>
      </c>
      <c r="JR162">
        <v>325</v>
      </c>
      <c r="JS162">
        <v>260</v>
      </c>
      <c r="JT162">
        <v>0</v>
      </c>
      <c r="JU162">
        <v>0</v>
      </c>
      <c r="JV162">
        <v>325</v>
      </c>
      <c r="JW162">
        <v>337</v>
      </c>
      <c r="JX162">
        <v>323</v>
      </c>
      <c r="JY162">
        <v>320</v>
      </c>
      <c r="JZ162">
        <v>0.5</v>
      </c>
      <c r="KA162">
        <v>0.21</v>
      </c>
      <c r="KB162">
        <v>0.4</v>
      </c>
      <c r="KC162">
        <v>0.42</v>
      </c>
      <c r="KD162">
        <v>0.28</v>
      </c>
      <c r="KE162">
        <v>0.5</v>
      </c>
      <c r="KF162">
        <v>0.18</v>
      </c>
      <c r="KG162">
        <v>0.11</v>
      </c>
      <c r="KH162">
        <v>3.5</v>
      </c>
      <c r="KI162">
        <v>1</v>
      </c>
      <c r="KJ162">
        <v>4.5</v>
      </c>
      <c r="KK162">
        <v>0</v>
      </c>
      <c r="KL162">
        <v>4.5</v>
      </c>
      <c r="KM162">
        <v>0.5</v>
      </c>
      <c r="KN162">
        <v>1.9</v>
      </c>
      <c r="KO162">
        <v>0</v>
      </c>
      <c r="KP162">
        <v>0</v>
      </c>
      <c r="KQ162">
        <v>1</v>
      </c>
      <c r="KR162">
        <v>1</v>
      </c>
      <c r="KS162">
        <v>0.2</v>
      </c>
      <c r="KT162">
        <v>2.3</v>
      </c>
      <c r="KU162">
        <v>0</v>
      </c>
      <c r="KV162">
        <v>0</v>
      </c>
      <c r="KW162">
        <v>1</v>
      </c>
      <c r="KX162">
        <v>1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3</v>
      </c>
      <c r="LI162">
        <v>0.5</v>
      </c>
      <c r="LJ162">
        <v>0</v>
      </c>
      <c r="LK162">
        <v>4.5</v>
      </c>
      <c r="LL162">
        <v>4.5</v>
      </c>
      <c r="LM162">
        <v>7</v>
      </c>
      <c r="LN162">
        <v>0.4</v>
      </c>
      <c r="LO162">
        <v>3.5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1.2</v>
      </c>
      <c r="LX162">
        <v>1.2</v>
      </c>
      <c r="LY162">
        <v>2</v>
      </c>
      <c r="LZ162">
        <v>2</v>
      </c>
      <c r="MA162">
        <v>0</v>
      </c>
      <c r="MB162">
        <v>2.5</v>
      </c>
      <c r="MC162">
        <v>0</v>
      </c>
      <c r="MD162">
        <v>4.5</v>
      </c>
      <c r="ME162">
        <v>6</v>
      </c>
      <c r="MF162">
        <v>6</v>
      </c>
      <c r="MI162">
        <v>0</v>
      </c>
      <c r="MJ162">
        <v>0</v>
      </c>
      <c r="ML162">
        <v>0</v>
      </c>
      <c r="MM162">
        <v>358</v>
      </c>
      <c r="MN162">
        <v>190</v>
      </c>
      <c r="MO162">
        <v>252</v>
      </c>
      <c r="NU162">
        <v>0.15</v>
      </c>
      <c r="NV162">
        <v>0.2</v>
      </c>
      <c r="NW162">
        <v>0.2</v>
      </c>
      <c r="NX162">
        <v>0.2</v>
      </c>
      <c r="NY162">
        <v>0.2</v>
      </c>
      <c r="NZ162">
        <v>0.2</v>
      </c>
      <c r="OE162" t="s">
        <v>4668</v>
      </c>
      <c r="OF162" t="s">
        <v>4508</v>
      </c>
      <c r="OG162" t="s">
        <v>4509</v>
      </c>
      <c r="OH162" t="s">
        <v>4043</v>
      </c>
      <c r="OI162" t="s">
        <v>4668</v>
      </c>
      <c r="OJ162" t="s">
        <v>4667</v>
      </c>
      <c r="OK162">
        <v>61</v>
      </c>
      <c r="OL162">
        <v>61</v>
      </c>
      <c r="OM162" t="s">
        <v>4508</v>
      </c>
      <c r="ON162">
        <v>1</v>
      </c>
      <c r="OO162">
        <v>2058</v>
      </c>
      <c r="OP162">
        <v>61</v>
      </c>
      <c r="OQ162">
        <v>61</v>
      </c>
      <c r="OR162" t="s">
        <v>4509</v>
      </c>
      <c r="OS162">
        <v>1</v>
      </c>
      <c r="OT162">
        <v>2070</v>
      </c>
      <c r="OU162">
        <v>65</v>
      </c>
      <c r="OV162">
        <v>65</v>
      </c>
      <c r="OW162" t="s">
        <v>4043</v>
      </c>
      <c r="OX162">
        <v>2</v>
      </c>
      <c r="OY162">
        <v>40101</v>
      </c>
      <c r="OZ162">
        <v>51</v>
      </c>
      <c r="PA162">
        <v>52</v>
      </c>
      <c r="PB162" t="s">
        <v>4668</v>
      </c>
      <c r="PC162">
        <v>2</v>
      </c>
      <c r="PD162">
        <v>2102</v>
      </c>
      <c r="PF162">
        <v>422</v>
      </c>
      <c r="PG162">
        <v>35</v>
      </c>
      <c r="PH162">
        <v>400</v>
      </c>
      <c r="PI162">
        <v>0</v>
      </c>
      <c r="PJ162">
        <v>127.6</v>
      </c>
      <c r="PK162">
        <v>2346</v>
      </c>
      <c r="PL162">
        <v>1085</v>
      </c>
      <c r="PM162">
        <v>1024.3</v>
      </c>
      <c r="PN162">
        <v>101</v>
      </c>
      <c r="PP162">
        <v>12</v>
      </c>
      <c r="PQ162">
        <v>3</v>
      </c>
      <c r="PR162">
        <v>3</v>
      </c>
      <c r="PS162">
        <v>0</v>
      </c>
      <c r="PT162">
        <v>242</v>
      </c>
      <c r="PU162">
        <v>10</v>
      </c>
      <c r="PV162" t="s">
        <v>4072</v>
      </c>
      <c r="PW162" t="s">
        <v>4072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-1</v>
      </c>
      <c r="QF162">
        <v>1</v>
      </c>
      <c r="QG162">
        <v>0</v>
      </c>
      <c r="QH162">
        <v>5</v>
      </c>
      <c r="QI162">
        <v>5</v>
      </c>
      <c r="QJ162">
        <v>5</v>
      </c>
      <c r="QK162">
        <v>186</v>
      </c>
      <c r="QL162">
        <v>416</v>
      </c>
      <c r="QM162">
        <v>7.5</v>
      </c>
      <c r="QN162">
        <v>1461.1</v>
      </c>
      <c r="QO162" t="s">
        <v>2341</v>
      </c>
      <c r="QP162" t="s">
        <v>513</v>
      </c>
      <c r="QQ162">
        <v>0</v>
      </c>
      <c r="QR162" t="s">
        <v>649</v>
      </c>
      <c r="QS162">
        <v>30</v>
      </c>
      <c r="QT162">
        <v>40</v>
      </c>
    </row>
    <row r="163" spans="1:462">
      <c r="A163" t="s">
        <v>2381</v>
      </c>
      <c r="B163" t="s">
        <v>727</v>
      </c>
      <c r="C163" t="s">
        <v>509</v>
      </c>
      <c r="D163" t="s">
        <v>2380</v>
      </c>
      <c r="E163" t="s">
        <v>4036</v>
      </c>
      <c r="H163" t="s">
        <v>604</v>
      </c>
      <c r="I163" t="s">
        <v>605</v>
      </c>
      <c r="J163" t="s">
        <v>628</v>
      </c>
      <c r="K163" t="s">
        <v>606</v>
      </c>
      <c r="L163" t="s">
        <v>729</v>
      </c>
      <c r="M163" t="s">
        <v>512</v>
      </c>
      <c r="O163" t="s">
        <v>513</v>
      </c>
      <c r="P163" t="s">
        <v>517</v>
      </c>
      <c r="Q163" t="s">
        <v>1609</v>
      </c>
      <c r="R163" t="s">
        <v>1554</v>
      </c>
      <c r="S163" t="s">
        <v>4170</v>
      </c>
      <c r="T163" t="s">
        <v>1457</v>
      </c>
      <c r="U163" t="s">
        <v>1458</v>
      </c>
      <c r="V163" t="s">
        <v>2382</v>
      </c>
      <c r="W163" t="s">
        <v>2336</v>
      </c>
      <c r="X163" t="s">
        <v>2383</v>
      </c>
      <c r="Y163" t="s">
        <v>2384</v>
      </c>
      <c r="Z163" t="s">
        <v>650</v>
      </c>
      <c r="AA163" t="s">
        <v>4038</v>
      </c>
      <c r="AB163" t="s">
        <v>4670</v>
      </c>
      <c r="AC163">
        <v>14</v>
      </c>
      <c r="AD163" t="s">
        <v>2379</v>
      </c>
      <c r="AE163">
        <v>10</v>
      </c>
      <c r="AF163">
        <v>3092</v>
      </c>
      <c r="AG163" t="s">
        <v>4671</v>
      </c>
      <c r="AH163">
        <v>1</v>
      </c>
      <c r="AI163" t="s">
        <v>4041</v>
      </c>
      <c r="AK163" t="s">
        <v>4672</v>
      </c>
      <c r="AL163">
        <v>1</v>
      </c>
      <c r="AM163" t="s">
        <v>582</v>
      </c>
      <c r="AO163" t="s">
        <v>4043</v>
      </c>
      <c r="AP163">
        <v>1</v>
      </c>
      <c r="AR163" t="s">
        <v>4673</v>
      </c>
      <c r="AS163">
        <v>1</v>
      </c>
      <c r="AT163">
        <v>51</v>
      </c>
      <c r="AV163" t="s">
        <v>4045</v>
      </c>
      <c r="AW163">
        <v>6.4</v>
      </c>
      <c r="AX163">
        <v>-6</v>
      </c>
      <c r="AY163">
        <v>86</v>
      </c>
      <c r="AZ163">
        <v>77</v>
      </c>
      <c r="BH163">
        <v>86</v>
      </c>
      <c r="BI163">
        <v>9</v>
      </c>
      <c r="BJ163">
        <v>77</v>
      </c>
      <c r="BK163">
        <v>3.5</v>
      </c>
      <c r="BL163">
        <v>172</v>
      </c>
      <c r="BM163">
        <v>-6</v>
      </c>
      <c r="BN163">
        <v>0</v>
      </c>
      <c r="BP163">
        <v>0</v>
      </c>
      <c r="BR163">
        <v>165</v>
      </c>
      <c r="BS163">
        <v>155</v>
      </c>
      <c r="BT163">
        <v>1680</v>
      </c>
      <c r="BU163" t="s">
        <v>4355</v>
      </c>
      <c r="BV163" t="s">
        <v>4355</v>
      </c>
      <c r="BW163" t="s">
        <v>4356</v>
      </c>
      <c r="BX163" t="s">
        <v>4356</v>
      </c>
      <c r="BY163" t="s">
        <v>4357</v>
      </c>
      <c r="BZ163" t="s">
        <v>4357</v>
      </c>
      <c r="CA163" t="s">
        <v>4358</v>
      </c>
      <c r="CB163" t="s">
        <v>4359</v>
      </c>
      <c r="CC163" t="s">
        <v>4053</v>
      </c>
      <c r="CD163" t="s">
        <v>4359</v>
      </c>
      <c r="CE163" t="s">
        <v>4407</v>
      </c>
      <c r="CF163" t="s">
        <v>4408</v>
      </c>
      <c r="CG163" t="s">
        <v>4056</v>
      </c>
      <c r="CH163" t="s">
        <v>4145</v>
      </c>
      <c r="CI163" t="s">
        <v>4058</v>
      </c>
      <c r="CJ163" t="s">
        <v>4059</v>
      </c>
      <c r="CK163" t="s">
        <v>4060</v>
      </c>
      <c r="CL163" t="s">
        <v>4061</v>
      </c>
      <c r="CM163" t="s">
        <v>4062</v>
      </c>
      <c r="CN163" t="s">
        <v>4055</v>
      </c>
      <c r="CO163" t="s">
        <v>4063</v>
      </c>
      <c r="CP163" t="s">
        <v>4055</v>
      </c>
      <c r="CQ163" t="s">
        <v>4055</v>
      </c>
      <c r="CR163">
        <v>5</v>
      </c>
      <c r="CS163" t="s">
        <v>4055</v>
      </c>
      <c r="CT163" t="s">
        <v>4055</v>
      </c>
      <c r="CU163" t="s">
        <v>4055</v>
      </c>
      <c r="CV163">
        <v>112</v>
      </c>
      <c r="CW163">
        <v>3</v>
      </c>
      <c r="CX163">
        <v>92</v>
      </c>
      <c r="CY163">
        <v>5</v>
      </c>
      <c r="CZ163">
        <v>120</v>
      </c>
      <c r="DA163">
        <v>5</v>
      </c>
      <c r="DB163">
        <v>7650</v>
      </c>
      <c r="DC163">
        <v>220</v>
      </c>
      <c r="DD163">
        <v>280</v>
      </c>
      <c r="DE163">
        <v>1770</v>
      </c>
      <c r="DF163">
        <v>1770</v>
      </c>
      <c r="DG163">
        <v>1797</v>
      </c>
      <c r="DH163" t="s">
        <v>4055</v>
      </c>
      <c r="DI163" t="s">
        <v>4055</v>
      </c>
      <c r="DJ163" t="s">
        <v>4100</v>
      </c>
      <c r="DK163">
        <v>165</v>
      </c>
      <c r="DL163" t="s">
        <v>4101</v>
      </c>
      <c r="DM163">
        <v>67</v>
      </c>
      <c r="DN163">
        <v>0.84</v>
      </c>
      <c r="DO163">
        <v>1</v>
      </c>
      <c r="DP163">
        <v>1683</v>
      </c>
      <c r="DQ163">
        <v>508</v>
      </c>
      <c r="DR163" t="s">
        <v>4100</v>
      </c>
      <c r="DS163">
        <v>155</v>
      </c>
      <c r="DT163" t="s">
        <v>4101</v>
      </c>
      <c r="DU163">
        <v>67</v>
      </c>
      <c r="DV163">
        <v>0.84</v>
      </c>
      <c r="DW163">
        <v>1</v>
      </c>
      <c r="DX163">
        <v>1690</v>
      </c>
      <c r="DY163">
        <v>478</v>
      </c>
      <c r="DZ163" t="s">
        <v>4066</v>
      </c>
      <c r="EA163">
        <v>33</v>
      </c>
      <c r="EB163" t="s">
        <v>4065</v>
      </c>
      <c r="EC163">
        <v>0.4</v>
      </c>
      <c r="ED163">
        <v>1683</v>
      </c>
      <c r="EE163">
        <v>49</v>
      </c>
      <c r="EF163" t="s">
        <v>4066</v>
      </c>
      <c r="EG163">
        <v>33</v>
      </c>
      <c r="EH163" t="s">
        <v>4065</v>
      </c>
      <c r="EI163">
        <v>0.4</v>
      </c>
      <c r="EJ163">
        <v>1690</v>
      </c>
      <c r="EK163">
        <v>49</v>
      </c>
      <c r="EL163" t="s">
        <v>1528</v>
      </c>
      <c r="EM163">
        <v>12</v>
      </c>
      <c r="EN163">
        <v>0.5</v>
      </c>
      <c r="EO163">
        <v>0.96</v>
      </c>
      <c r="EP163">
        <v>1690.56</v>
      </c>
      <c r="EQ163">
        <v>24301.8</v>
      </c>
      <c r="ER163">
        <v>2385.83</v>
      </c>
      <c r="ES163">
        <v>0</v>
      </c>
      <c r="ET163">
        <v>0</v>
      </c>
      <c r="EU163">
        <v>1</v>
      </c>
      <c r="EV163">
        <v>26688</v>
      </c>
      <c r="EW163">
        <v>321</v>
      </c>
      <c r="EX163" t="s">
        <v>4613</v>
      </c>
      <c r="EY163">
        <v>180</v>
      </c>
      <c r="EZ163" t="s">
        <v>4055</v>
      </c>
      <c r="FA163">
        <v>3.6</v>
      </c>
      <c r="FB163">
        <v>1</v>
      </c>
      <c r="FC163">
        <v>1</v>
      </c>
      <c r="FD163">
        <v>1722</v>
      </c>
      <c r="FE163">
        <v>1339</v>
      </c>
      <c r="FF163" t="s">
        <v>4288</v>
      </c>
      <c r="FG163">
        <v>184</v>
      </c>
      <c r="FH163" t="s">
        <v>4055</v>
      </c>
      <c r="FI163">
        <v>4</v>
      </c>
      <c r="FJ163">
        <v>1722</v>
      </c>
      <c r="FK163">
        <v>1501</v>
      </c>
      <c r="FL163" t="s">
        <v>4069</v>
      </c>
      <c r="FM163" t="s">
        <v>4055</v>
      </c>
      <c r="FN163" t="s">
        <v>4055</v>
      </c>
      <c r="FO163" t="s">
        <v>4055</v>
      </c>
      <c r="FP163">
        <v>1722</v>
      </c>
      <c r="FQ163">
        <v>167</v>
      </c>
      <c r="FR163" t="s">
        <v>4090</v>
      </c>
      <c r="FS163">
        <v>188</v>
      </c>
      <c r="FT163" t="s">
        <v>4055</v>
      </c>
      <c r="FU163">
        <v>0.4</v>
      </c>
      <c r="FV163">
        <v>1722</v>
      </c>
      <c r="FW163">
        <v>145</v>
      </c>
      <c r="FZ163" t="s">
        <v>4055</v>
      </c>
      <c r="GA163" t="s">
        <v>4055</v>
      </c>
      <c r="GD163">
        <v>3152</v>
      </c>
      <c r="GE163" t="s">
        <v>4673</v>
      </c>
      <c r="GF163" t="s">
        <v>4055</v>
      </c>
      <c r="GG163" t="s">
        <v>4055</v>
      </c>
      <c r="GH163" t="s">
        <v>4055</v>
      </c>
      <c r="GI163" t="s">
        <v>4071</v>
      </c>
      <c r="GJ163" t="s">
        <v>4055</v>
      </c>
      <c r="GK163" t="s">
        <v>4055</v>
      </c>
      <c r="GL163" t="s">
        <v>4055</v>
      </c>
      <c r="GM163" t="s">
        <v>4055</v>
      </c>
      <c r="GQ163">
        <v>0</v>
      </c>
      <c r="GV163">
        <v>8</v>
      </c>
      <c r="GW163">
        <v>11</v>
      </c>
      <c r="GX163">
        <v>0.5</v>
      </c>
      <c r="GY163">
        <v>152</v>
      </c>
      <c r="GZ163">
        <v>3</v>
      </c>
      <c r="HA163">
        <v>204</v>
      </c>
      <c r="HB163">
        <v>3</v>
      </c>
      <c r="HC163">
        <v>1722</v>
      </c>
      <c r="HD163">
        <v>4</v>
      </c>
      <c r="HE163" t="s">
        <v>4071</v>
      </c>
      <c r="HG163" t="s">
        <v>549</v>
      </c>
      <c r="HL163">
        <v>4</v>
      </c>
      <c r="HM163">
        <v>14</v>
      </c>
      <c r="HN163">
        <v>1</v>
      </c>
      <c r="HO163">
        <v>1</v>
      </c>
      <c r="HP163">
        <v>0</v>
      </c>
      <c r="HQ163">
        <v>0</v>
      </c>
      <c r="HR163">
        <v>1</v>
      </c>
      <c r="HS163">
        <v>1680</v>
      </c>
      <c r="HT163">
        <v>5</v>
      </c>
      <c r="HU163">
        <v>1</v>
      </c>
      <c r="HV163">
        <v>5</v>
      </c>
      <c r="HW163">
        <v>0</v>
      </c>
      <c r="HX163">
        <v>1</v>
      </c>
      <c r="HY163">
        <v>0</v>
      </c>
      <c r="HZ163">
        <v>67</v>
      </c>
      <c r="IA163">
        <v>1683</v>
      </c>
      <c r="IB163">
        <v>1690</v>
      </c>
      <c r="ID163">
        <v>1722</v>
      </c>
      <c r="IE163">
        <v>1722</v>
      </c>
      <c r="IF163">
        <v>165</v>
      </c>
      <c r="IG163">
        <v>155</v>
      </c>
      <c r="IH163">
        <v>204</v>
      </c>
      <c r="II163">
        <v>0</v>
      </c>
      <c r="IJ163">
        <v>5</v>
      </c>
      <c r="IK163">
        <v>0</v>
      </c>
      <c r="IL163">
        <v>0</v>
      </c>
      <c r="IM163">
        <v>0</v>
      </c>
      <c r="IN163">
        <v>270</v>
      </c>
      <c r="IO163">
        <v>0</v>
      </c>
      <c r="IP163">
        <v>180</v>
      </c>
      <c r="IQ163">
        <v>0</v>
      </c>
      <c r="IR163">
        <v>325</v>
      </c>
      <c r="IS163">
        <v>0</v>
      </c>
      <c r="IT163">
        <v>90</v>
      </c>
      <c r="IU163">
        <v>0</v>
      </c>
      <c r="IV163">
        <v>6.4</v>
      </c>
      <c r="IW163">
        <v>-6</v>
      </c>
      <c r="IX163">
        <v>86</v>
      </c>
      <c r="IY163">
        <v>77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328</v>
      </c>
      <c r="JJ163">
        <v>302</v>
      </c>
      <c r="JK163">
        <v>230</v>
      </c>
      <c r="JL163">
        <v>302</v>
      </c>
      <c r="JM163">
        <v>230</v>
      </c>
      <c r="JN163">
        <v>174</v>
      </c>
      <c r="JO163">
        <v>210</v>
      </c>
      <c r="JP163">
        <v>250</v>
      </c>
      <c r="JQ163">
        <v>290</v>
      </c>
      <c r="JR163">
        <v>368</v>
      </c>
      <c r="JS163">
        <v>280</v>
      </c>
      <c r="JT163">
        <v>0</v>
      </c>
      <c r="JU163">
        <v>0</v>
      </c>
      <c r="JV163">
        <v>335</v>
      </c>
      <c r="JW163">
        <v>337</v>
      </c>
      <c r="JX163">
        <v>366</v>
      </c>
      <c r="JY163">
        <v>345</v>
      </c>
      <c r="JZ163">
        <v>0.5</v>
      </c>
      <c r="KA163">
        <v>0.2</v>
      </c>
      <c r="KB163">
        <v>0.4</v>
      </c>
      <c r="KC163">
        <v>0.42</v>
      </c>
      <c r="KD163">
        <v>0.28</v>
      </c>
      <c r="KE163">
        <v>0.5</v>
      </c>
      <c r="KF163">
        <v>0.17</v>
      </c>
      <c r="KG163">
        <v>0.1</v>
      </c>
      <c r="KH163">
        <v>3.5</v>
      </c>
      <c r="KI163">
        <v>1</v>
      </c>
      <c r="KJ163">
        <v>4.5</v>
      </c>
      <c r="KK163">
        <v>0</v>
      </c>
      <c r="KL163">
        <v>4.5</v>
      </c>
      <c r="KM163">
        <v>0</v>
      </c>
      <c r="KN163">
        <v>1</v>
      </c>
      <c r="KO163">
        <v>2</v>
      </c>
      <c r="KP163">
        <v>0.5</v>
      </c>
      <c r="KQ163">
        <v>0.7</v>
      </c>
      <c r="KR163">
        <v>1</v>
      </c>
      <c r="KS163">
        <v>0</v>
      </c>
      <c r="KT163">
        <v>1.6</v>
      </c>
      <c r="KU163">
        <v>1</v>
      </c>
      <c r="KV163">
        <v>0</v>
      </c>
      <c r="KW163">
        <v>0.8</v>
      </c>
      <c r="KX163">
        <v>2</v>
      </c>
      <c r="KY163">
        <v>1</v>
      </c>
      <c r="KZ163">
        <v>3.3</v>
      </c>
      <c r="LA163">
        <v>2.5</v>
      </c>
      <c r="LB163">
        <v>9</v>
      </c>
      <c r="LC163">
        <v>2.5</v>
      </c>
      <c r="LD163">
        <v>2.5</v>
      </c>
      <c r="LE163">
        <v>2</v>
      </c>
      <c r="LF163">
        <v>0</v>
      </c>
      <c r="LG163">
        <v>0</v>
      </c>
      <c r="LH163">
        <v>0</v>
      </c>
      <c r="LI163">
        <v>0.5</v>
      </c>
      <c r="LJ163">
        <v>0</v>
      </c>
      <c r="LK163">
        <v>6.5</v>
      </c>
      <c r="LL163">
        <v>2</v>
      </c>
      <c r="LM163">
        <v>4</v>
      </c>
      <c r="LN163">
        <v>0.3</v>
      </c>
      <c r="LO163">
        <v>0.5</v>
      </c>
      <c r="LP163">
        <v>0</v>
      </c>
      <c r="LQ163">
        <v>0</v>
      </c>
      <c r="LR163">
        <v>0</v>
      </c>
      <c r="LS163">
        <v>1</v>
      </c>
      <c r="LT163">
        <v>0</v>
      </c>
      <c r="LU163">
        <v>0</v>
      </c>
      <c r="LV163">
        <v>0</v>
      </c>
      <c r="LW163">
        <v>1.4</v>
      </c>
      <c r="LX163">
        <v>1.4</v>
      </c>
      <c r="LY163">
        <v>2.1</v>
      </c>
      <c r="LZ163">
        <v>2.1</v>
      </c>
      <c r="MA163">
        <v>0</v>
      </c>
      <c r="MB163">
        <v>2.5</v>
      </c>
      <c r="MC163">
        <v>0</v>
      </c>
      <c r="MD163">
        <v>4.5</v>
      </c>
      <c r="ME163">
        <v>6</v>
      </c>
      <c r="MF163">
        <v>6</v>
      </c>
      <c r="MI163">
        <v>0</v>
      </c>
      <c r="MJ163">
        <v>0</v>
      </c>
      <c r="ML163">
        <v>0</v>
      </c>
      <c r="MM163">
        <v>326</v>
      </c>
      <c r="MN163">
        <v>160</v>
      </c>
      <c r="MO163">
        <v>214</v>
      </c>
      <c r="NU163">
        <v>0.15</v>
      </c>
      <c r="NV163">
        <v>0.2</v>
      </c>
      <c r="NW163">
        <v>0.2</v>
      </c>
      <c r="NX163">
        <v>2</v>
      </c>
      <c r="NY163">
        <v>2</v>
      </c>
      <c r="NZ163">
        <v>2</v>
      </c>
      <c r="OE163" t="s">
        <v>4673</v>
      </c>
      <c r="OF163" t="s">
        <v>4671</v>
      </c>
      <c r="OG163" t="s">
        <v>4672</v>
      </c>
      <c r="OH163" t="s">
        <v>4043</v>
      </c>
      <c r="OI163" t="s">
        <v>4673</v>
      </c>
      <c r="OJ163" t="s">
        <v>4670</v>
      </c>
      <c r="OK163">
        <v>61</v>
      </c>
      <c r="OL163">
        <v>61</v>
      </c>
      <c r="OM163" t="s">
        <v>4671</v>
      </c>
      <c r="ON163">
        <v>3</v>
      </c>
      <c r="OO163">
        <v>1683</v>
      </c>
      <c r="OP163">
        <v>61</v>
      </c>
      <c r="OQ163">
        <v>61</v>
      </c>
      <c r="OR163" t="s">
        <v>4672</v>
      </c>
      <c r="OS163">
        <v>3</v>
      </c>
      <c r="OT163">
        <v>1690</v>
      </c>
      <c r="OU163">
        <v>65</v>
      </c>
      <c r="OV163">
        <v>65</v>
      </c>
      <c r="OW163" t="s">
        <v>4043</v>
      </c>
      <c r="OX163">
        <v>2</v>
      </c>
      <c r="OY163">
        <v>26688</v>
      </c>
      <c r="OZ163">
        <v>51</v>
      </c>
      <c r="PA163">
        <v>51</v>
      </c>
      <c r="PB163" t="s">
        <v>4673</v>
      </c>
      <c r="PC163">
        <v>3</v>
      </c>
      <c r="PD163">
        <v>1722</v>
      </c>
      <c r="PF163">
        <v>302</v>
      </c>
      <c r="PG163">
        <v>29</v>
      </c>
      <c r="PH163">
        <v>283</v>
      </c>
      <c r="PI163">
        <v>29</v>
      </c>
      <c r="PJ163">
        <v>96.7</v>
      </c>
      <c r="PK163">
        <v>1823</v>
      </c>
      <c r="PL163">
        <v>777.8</v>
      </c>
      <c r="PM163">
        <v>871.6</v>
      </c>
      <c r="PN163">
        <v>84</v>
      </c>
      <c r="PP163">
        <v>12</v>
      </c>
      <c r="PQ163">
        <v>8</v>
      </c>
      <c r="PR163">
        <v>8</v>
      </c>
      <c r="PS163">
        <v>6</v>
      </c>
      <c r="PT163">
        <v>204</v>
      </c>
      <c r="PU163">
        <v>10</v>
      </c>
      <c r="PV163" t="s">
        <v>4072</v>
      </c>
      <c r="PW163" t="s">
        <v>4072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-1</v>
      </c>
      <c r="QF163">
        <v>1</v>
      </c>
      <c r="QG163">
        <v>0</v>
      </c>
      <c r="QH163">
        <v>5</v>
      </c>
      <c r="QI163">
        <v>5</v>
      </c>
      <c r="QJ163">
        <v>5</v>
      </c>
      <c r="QK163">
        <v>159</v>
      </c>
      <c r="QL163">
        <v>362</v>
      </c>
      <c r="QM163">
        <v>7.5</v>
      </c>
      <c r="QN163">
        <v>1123</v>
      </c>
      <c r="QO163" t="s">
        <v>2341</v>
      </c>
      <c r="QP163" t="s">
        <v>513</v>
      </c>
      <c r="QQ163">
        <v>0</v>
      </c>
      <c r="QR163" t="s">
        <v>649</v>
      </c>
      <c r="QS163">
        <v>30</v>
      </c>
      <c r="QT163">
        <v>40</v>
      </c>
    </row>
    <row r="164" spans="1:462">
      <c r="A164" t="s">
        <v>2391</v>
      </c>
      <c r="B164" t="s">
        <v>729</v>
      </c>
      <c r="C164" t="s">
        <v>509</v>
      </c>
      <c r="D164" t="s">
        <v>2307</v>
      </c>
      <c r="E164" t="s">
        <v>4036</v>
      </c>
      <c r="H164" t="s">
        <v>604</v>
      </c>
      <c r="I164" t="s">
        <v>605</v>
      </c>
      <c r="J164" t="s">
        <v>628</v>
      </c>
      <c r="K164" t="s">
        <v>606</v>
      </c>
      <c r="L164" t="s">
        <v>897</v>
      </c>
      <c r="M164" t="s">
        <v>512</v>
      </c>
      <c r="O164" t="s">
        <v>513</v>
      </c>
      <c r="P164" t="s">
        <v>517</v>
      </c>
      <c r="Q164" t="s">
        <v>1617</v>
      </c>
      <c r="R164" t="s">
        <v>1618</v>
      </c>
      <c r="S164" t="s">
        <v>4091</v>
      </c>
      <c r="T164" t="s">
        <v>1482</v>
      </c>
      <c r="U164" t="s">
        <v>1483</v>
      </c>
      <c r="V164" t="s">
        <v>2392</v>
      </c>
      <c r="W164" t="s">
        <v>2336</v>
      </c>
      <c r="X164" t="s">
        <v>2393</v>
      </c>
      <c r="Y164" t="s">
        <v>2394</v>
      </c>
      <c r="Z164" t="s">
        <v>541</v>
      </c>
      <c r="AA164" t="s">
        <v>4038</v>
      </c>
      <c r="AB164" t="s">
        <v>4674</v>
      </c>
      <c r="AC164">
        <v>13</v>
      </c>
      <c r="AD164" t="s">
        <v>2390</v>
      </c>
      <c r="AE164">
        <v>9</v>
      </c>
      <c r="AF164">
        <v>3807</v>
      </c>
      <c r="AG164" t="s">
        <v>4656</v>
      </c>
      <c r="AH164">
        <v>1</v>
      </c>
      <c r="AI164" t="s">
        <v>4041</v>
      </c>
      <c r="AK164" t="s">
        <v>4657</v>
      </c>
      <c r="AL164">
        <v>1</v>
      </c>
      <c r="AM164" t="s">
        <v>582</v>
      </c>
      <c r="AO164" t="s">
        <v>4043</v>
      </c>
      <c r="AP164">
        <v>1</v>
      </c>
      <c r="AR164" t="s">
        <v>4675</v>
      </c>
      <c r="AS164">
        <v>1</v>
      </c>
      <c r="AT164">
        <v>51</v>
      </c>
      <c r="AV164" t="s">
        <v>4045</v>
      </c>
      <c r="AW164">
        <v>6.4</v>
      </c>
      <c r="AX164">
        <v>-6</v>
      </c>
      <c r="AY164">
        <v>83.5</v>
      </c>
      <c r="AZ164">
        <v>74.5</v>
      </c>
      <c r="BH164">
        <v>83.5</v>
      </c>
      <c r="BI164">
        <v>9</v>
      </c>
      <c r="BJ164">
        <v>74.5</v>
      </c>
      <c r="BK164">
        <v>3.5</v>
      </c>
      <c r="BL164">
        <v>167</v>
      </c>
      <c r="BM164">
        <v>-6</v>
      </c>
      <c r="BN164">
        <v>0</v>
      </c>
      <c r="BP164">
        <v>0</v>
      </c>
      <c r="BR164">
        <v>160</v>
      </c>
      <c r="BS164">
        <v>150</v>
      </c>
      <c r="BT164">
        <v>1850</v>
      </c>
      <c r="BU164" t="s">
        <v>4046</v>
      </c>
      <c r="BV164" t="s">
        <v>4047</v>
      </c>
      <c r="BW164" t="s">
        <v>4048</v>
      </c>
      <c r="BX164" t="s">
        <v>4049</v>
      </c>
      <c r="BY164" t="s">
        <v>4413</v>
      </c>
      <c r="BZ164" t="s">
        <v>4413</v>
      </c>
      <c r="CA164" t="s">
        <v>4370</v>
      </c>
      <c r="CB164" t="s">
        <v>4371</v>
      </c>
      <c r="CC164" t="s">
        <v>4053</v>
      </c>
      <c r="CD164" t="s">
        <v>4372</v>
      </c>
      <c r="CE164" t="s">
        <v>4055</v>
      </c>
      <c r="CF164" t="s">
        <v>4055</v>
      </c>
      <c r="CG164" t="s">
        <v>4056</v>
      </c>
      <c r="CH164" t="s">
        <v>4057</v>
      </c>
      <c r="CI164" t="s">
        <v>4058</v>
      </c>
      <c r="CJ164" t="s">
        <v>4059</v>
      </c>
      <c r="CK164" t="s">
        <v>4060</v>
      </c>
      <c r="CL164" t="s">
        <v>4061</v>
      </c>
      <c r="CM164" t="s">
        <v>4062</v>
      </c>
      <c r="CN164" t="s">
        <v>4055</v>
      </c>
      <c r="CO164" t="s">
        <v>4063</v>
      </c>
      <c r="CP164" t="s">
        <v>4055</v>
      </c>
      <c r="CQ164" t="s">
        <v>4055</v>
      </c>
      <c r="CR164">
        <v>5</v>
      </c>
      <c r="CS164" t="s">
        <v>4055</v>
      </c>
      <c r="CT164" t="s">
        <v>4055</v>
      </c>
      <c r="CU164" t="s">
        <v>4055</v>
      </c>
      <c r="CV164">
        <v>109</v>
      </c>
      <c r="CW164">
        <v>3</v>
      </c>
      <c r="CX164">
        <v>65</v>
      </c>
      <c r="CY164">
        <v>5</v>
      </c>
      <c r="CZ164">
        <v>120</v>
      </c>
      <c r="DA164">
        <v>5</v>
      </c>
      <c r="DB164">
        <v>9120</v>
      </c>
      <c r="DC164">
        <v>270</v>
      </c>
      <c r="DD164">
        <v>293</v>
      </c>
      <c r="DE164">
        <v>1953</v>
      </c>
      <c r="DF164">
        <v>1953</v>
      </c>
      <c r="DG164">
        <v>1978</v>
      </c>
      <c r="DH164" t="s">
        <v>4055</v>
      </c>
      <c r="DI164" t="s">
        <v>4055</v>
      </c>
      <c r="DJ164" t="s">
        <v>4100</v>
      </c>
      <c r="DK164">
        <v>160</v>
      </c>
      <c r="DL164" t="s">
        <v>4101</v>
      </c>
      <c r="DM164">
        <v>67</v>
      </c>
      <c r="DN164">
        <v>0.84</v>
      </c>
      <c r="DO164">
        <v>1</v>
      </c>
      <c r="DP164">
        <v>1853</v>
      </c>
      <c r="DQ164">
        <v>541</v>
      </c>
      <c r="DR164" t="s">
        <v>4100</v>
      </c>
      <c r="DS164">
        <v>150</v>
      </c>
      <c r="DT164" t="s">
        <v>4101</v>
      </c>
      <c r="DU164">
        <v>67</v>
      </c>
      <c r="DV164">
        <v>0.84</v>
      </c>
      <c r="DW164">
        <v>1</v>
      </c>
      <c r="DX164">
        <v>1860</v>
      </c>
      <c r="DY164">
        <v>510</v>
      </c>
      <c r="DZ164" t="s">
        <v>4066</v>
      </c>
      <c r="EA164">
        <v>33</v>
      </c>
      <c r="EB164" t="s">
        <v>4065</v>
      </c>
      <c r="EC164">
        <v>0.4</v>
      </c>
      <c r="ED164">
        <v>1853</v>
      </c>
      <c r="EE164">
        <v>54</v>
      </c>
      <c r="EF164" t="s">
        <v>4066</v>
      </c>
      <c r="EG164">
        <v>33</v>
      </c>
      <c r="EH164" t="s">
        <v>4065</v>
      </c>
      <c r="EI164">
        <v>0.4</v>
      </c>
      <c r="EJ164">
        <v>1860</v>
      </c>
      <c r="EK164">
        <v>54</v>
      </c>
      <c r="EL164" t="s">
        <v>1528</v>
      </c>
      <c r="EM164">
        <v>12</v>
      </c>
      <c r="EN164">
        <v>0.5</v>
      </c>
      <c r="EO164">
        <v>0.96</v>
      </c>
      <c r="EP164">
        <v>1860.56</v>
      </c>
      <c r="EQ164">
        <v>26018.77</v>
      </c>
      <c r="ER164">
        <v>2624.89</v>
      </c>
      <c r="ES164">
        <v>0</v>
      </c>
      <c r="ET164">
        <v>0</v>
      </c>
      <c r="EU164">
        <v>1</v>
      </c>
      <c r="EV164">
        <v>28644</v>
      </c>
      <c r="EW164">
        <v>344</v>
      </c>
      <c r="EX164" t="s">
        <v>4613</v>
      </c>
      <c r="EY164">
        <v>178</v>
      </c>
      <c r="EZ164" t="s">
        <v>4055</v>
      </c>
      <c r="FA164">
        <v>4.5</v>
      </c>
      <c r="FB164">
        <v>1</v>
      </c>
      <c r="FC164">
        <v>1</v>
      </c>
      <c r="FD164">
        <v>1897</v>
      </c>
      <c r="FE164">
        <v>1658</v>
      </c>
      <c r="FF164" t="s">
        <v>4288</v>
      </c>
      <c r="FG164">
        <v>182</v>
      </c>
      <c r="FH164" t="s">
        <v>4055</v>
      </c>
      <c r="FI164">
        <v>4.6</v>
      </c>
      <c r="FJ164">
        <v>1897</v>
      </c>
      <c r="FK164">
        <v>1829</v>
      </c>
      <c r="FL164" t="s">
        <v>4069</v>
      </c>
      <c r="FM164" t="s">
        <v>4055</v>
      </c>
      <c r="FN164" t="s">
        <v>4055</v>
      </c>
      <c r="FO164" t="s">
        <v>4055</v>
      </c>
      <c r="FP164">
        <v>1897</v>
      </c>
      <c r="FQ164">
        <v>163</v>
      </c>
      <c r="FR164" t="s">
        <v>4090</v>
      </c>
      <c r="FS164">
        <v>186</v>
      </c>
      <c r="FT164" t="s">
        <v>4055</v>
      </c>
      <c r="FU164">
        <v>0.4</v>
      </c>
      <c r="FV164">
        <v>1897</v>
      </c>
      <c r="FW164">
        <v>158</v>
      </c>
      <c r="FZ164" t="s">
        <v>4055</v>
      </c>
      <c r="GA164" t="s">
        <v>4055</v>
      </c>
      <c r="GD164">
        <v>3808</v>
      </c>
      <c r="GE164" t="s">
        <v>4675</v>
      </c>
      <c r="GF164" t="s">
        <v>4055</v>
      </c>
      <c r="GG164" t="s">
        <v>4055</v>
      </c>
      <c r="GH164" t="s">
        <v>4055</v>
      </c>
      <c r="GI164" t="s">
        <v>4071</v>
      </c>
      <c r="GJ164" t="s">
        <v>4055</v>
      </c>
      <c r="GK164" t="s">
        <v>4055</v>
      </c>
      <c r="GL164" t="s">
        <v>4055</v>
      </c>
      <c r="GM164" t="s">
        <v>4055</v>
      </c>
      <c r="GQ164">
        <v>0</v>
      </c>
      <c r="GV164">
        <v>9.5</v>
      </c>
      <c r="GW164">
        <v>10.7</v>
      </c>
      <c r="GX164">
        <v>0.5</v>
      </c>
      <c r="GY164">
        <v>150</v>
      </c>
      <c r="GZ164">
        <v>3</v>
      </c>
      <c r="HA164">
        <v>202</v>
      </c>
      <c r="HB164">
        <v>3</v>
      </c>
      <c r="HC164">
        <v>1897</v>
      </c>
      <c r="HD164">
        <v>4</v>
      </c>
      <c r="HE164" t="s">
        <v>4071</v>
      </c>
      <c r="HG164" t="s">
        <v>549</v>
      </c>
      <c r="HL164">
        <v>4</v>
      </c>
      <c r="HM164">
        <v>15</v>
      </c>
      <c r="HN164">
        <v>6</v>
      </c>
      <c r="HO164">
        <v>1</v>
      </c>
      <c r="HP164">
        <v>0</v>
      </c>
      <c r="HQ164">
        <v>0</v>
      </c>
      <c r="HR164">
        <v>3</v>
      </c>
      <c r="HS164">
        <v>1850</v>
      </c>
      <c r="HT164">
        <v>5</v>
      </c>
      <c r="HU164">
        <v>1</v>
      </c>
      <c r="HV164">
        <v>5</v>
      </c>
      <c r="HW164">
        <v>0</v>
      </c>
      <c r="HX164">
        <v>1</v>
      </c>
      <c r="HY164">
        <v>0</v>
      </c>
      <c r="HZ164">
        <v>67</v>
      </c>
      <c r="IA164">
        <v>1853</v>
      </c>
      <c r="IB164">
        <v>1860</v>
      </c>
      <c r="ID164">
        <v>1897</v>
      </c>
      <c r="IE164">
        <v>1897</v>
      </c>
      <c r="IF164">
        <v>160</v>
      </c>
      <c r="IG164">
        <v>150</v>
      </c>
      <c r="IH164">
        <v>202</v>
      </c>
      <c r="II164">
        <v>1</v>
      </c>
      <c r="IJ164">
        <v>5</v>
      </c>
      <c r="IK164">
        <v>0</v>
      </c>
      <c r="IL164">
        <v>0</v>
      </c>
      <c r="IM164">
        <v>0</v>
      </c>
      <c r="IN164">
        <v>270</v>
      </c>
      <c r="IO164">
        <v>0</v>
      </c>
      <c r="IP164">
        <v>180</v>
      </c>
      <c r="IQ164">
        <v>0</v>
      </c>
      <c r="IR164">
        <v>330</v>
      </c>
      <c r="IS164">
        <v>0</v>
      </c>
      <c r="IT164">
        <v>90</v>
      </c>
      <c r="IU164">
        <v>0</v>
      </c>
      <c r="IV164">
        <v>6.4</v>
      </c>
      <c r="IW164">
        <v>-6</v>
      </c>
      <c r="IX164">
        <v>83.5</v>
      </c>
      <c r="IY164">
        <v>74.5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354</v>
      </c>
      <c r="JJ164">
        <v>320</v>
      </c>
      <c r="JK164">
        <v>250</v>
      </c>
      <c r="JL164">
        <v>318</v>
      </c>
      <c r="JM164">
        <v>230</v>
      </c>
      <c r="JN164">
        <v>180</v>
      </c>
      <c r="JO164">
        <v>210</v>
      </c>
      <c r="JP164">
        <v>225</v>
      </c>
      <c r="JQ164">
        <v>270</v>
      </c>
      <c r="JR164">
        <v>355</v>
      </c>
      <c r="JS164">
        <v>270</v>
      </c>
      <c r="JT164">
        <v>0</v>
      </c>
      <c r="JU164">
        <v>0</v>
      </c>
      <c r="JV164">
        <v>340</v>
      </c>
      <c r="JW164">
        <v>337</v>
      </c>
      <c r="JX164">
        <v>337</v>
      </c>
      <c r="JY164">
        <v>315</v>
      </c>
      <c r="JZ164">
        <v>1</v>
      </c>
      <c r="KA164">
        <v>0.2</v>
      </c>
      <c r="KB164">
        <v>0.4</v>
      </c>
      <c r="KC164">
        <v>0.42</v>
      </c>
      <c r="KD164">
        <v>0.28</v>
      </c>
      <c r="KE164">
        <v>0.5</v>
      </c>
      <c r="KF164">
        <v>0.18</v>
      </c>
      <c r="KG164">
        <v>0.1</v>
      </c>
      <c r="KH164">
        <v>4.5</v>
      </c>
      <c r="KI164">
        <v>1</v>
      </c>
      <c r="KJ164">
        <v>4.5</v>
      </c>
      <c r="KK164">
        <v>0</v>
      </c>
      <c r="KL164">
        <v>3.5</v>
      </c>
      <c r="KM164">
        <v>1</v>
      </c>
      <c r="KN164">
        <v>1.1</v>
      </c>
      <c r="KO164">
        <v>0</v>
      </c>
      <c r="KP164">
        <v>0</v>
      </c>
      <c r="KQ164">
        <v>1</v>
      </c>
      <c r="KR164">
        <v>1.2</v>
      </c>
      <c r="KS164">
        <v>0</v>
      </c>
      <c r="KT164">
        <v>3</v>
      </c>
      <c r="KU164">
        <v>0</v>
      </c>
      <c r="KV164">
        <v>0</v>
      </c>
      <c r="KW164">
        <v>1.2</v>
      </c>
      <c r="KX164">
        <v>2</v>
      </c>
      <c r="KY164">
        <v>2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1</v>
      </c>
      <c r="LJ164">
        <v>0</v>
      </c>
      <c r="LK164">
        <v>4</v>
      </c>
      <c r="LL164">
        <v>5</v>
      </c>
      <c r="LM164">
        <v>6</v>
      </c>
      <c r="LN164">
        <v>0.3</v>
      </c>
      <c r="LO164">
        <v>0.5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1.4</v>
      </c>
      <c r="LX164">
        <v>1.4</v>
      </c>
      <c r="LY164">
        <v>1.7</v>
      </c>
      <c r="LZ164">
        <v>1.7</v>
      </c>
      <c r="MA164">
        <v>0</v>
      </c>
      <c r="MB164">
        <v>2</v>
      </c>
      <c r="MC164">
        <v>0</v>
      </c>
      <c r="MD164">
        <v>4</v>
      </c>
      <c r="ME164">
        <v>6</v>
      </c>
      <c r="MF164">
        <v>6</v>
      </c>
      <c r="MI164">
        <v>0</v>
      </c>
      <c r="MJ164">
        <v>0</v>
      </c>
      <c r="ML164">
        <v>0</v>
      </c>
      <c r="MM164">
        <v>374</v>
      </c>
      <c r="MN164">
        <v>160</v>
      </c>
      <c r="MO164">
        <v>215</v>
      </c>
      <c r="NU164">
        <v>0.15</v>
      </c>
      <c r="NV164">
        <v>0.2</v>
      </c>
      <c r="NW164">
        <v>0.2</v>
      </c>
      <c r="NX164">
        <v>2</v>
      </c>
      <c r="NY164">
        <v>2</v>
      </c>
      <c r="NZ164">
        <v>2</v>
      </c>
      <c r="OE164" t="s">
        <v>4675</v>
      </c>
      <c r="OF164" t="s">
        <v>4656</v>
      </c>
      <c r="OG164" t="s">
        <v>4657</v>
      </c>
      <c r="OH164" t="s">
        <v>4043</v>
      </c>
      <c r="OI164" t="s">
        <v>4675</v>
      </c>
      <c r="OJ164" t="s">
        <v>4674</v>
      </c>
      <c r="OK164">
        <v>61</v>
      </c>
      <c r="OL164">
        <v>61</v>
      </c>
      <c r="OM164" t="s">
        <v>4656</v>
      </c>
      <c r="ON164">
        <v>3</v>
      </c>
      <c r="OO164">
        <v>1853</v>
      </c>
      <c r="OP164">
        <v>61</v>
      </c>
      <c r="OQ164">
        <v>61</v>
      </c>
      <c r="OR164" t="s">
        <v>4657</v>
      </c>
      <c r="OS164">
        <v>3</v>
      </c>
      <c r="OT164">
        <v>1860</v>
      </c>
      <c r="OU164">
        <v>65</v>
      </c>
      <c r="OV164">
        <v>65</v>
      </c>
      <c r="OW164" t="s">
        <v>4043</v>
      </c>
      <c r="OX164">
        <v>2</v>
      </c>
      <c r="OY164">
        <v>28644</v>
      </c>
      <c r="OZ164">
        <v>51</v>
      </c>
      <c r="PA164">
        <v>51</v>
      </c>
      <c r="PB164" t="s">
        <v>4675</v>
      </c>
      <c r="PC164">
        <v>3</v>
      </c>
      <c r="PD164">
        <v>1897</v>
      </c>
      <c r="PF164">
        <v>292</v>
      </c>
      <c r="PG164">
        <v>29</v>
      </c>
      <c r="PH164">
        <v>274</v>
      </c>
      <c r="PI164">
        <v>29</v>
      </c>
      <c r="PJ164">
        <v>86.09999999999999</v>
      </c>
      <c r="PK164">
        <v>1991</v>
      </c>
      <c r="PL164">
        <v>874.1</v>
      </c>
      <c r="PM164">
        <v>964.4</v>
      </c>
      <c r="PN164">
        <v>83.09999999999999</v>
      </c>
      <c r="PP164">
        <v>12</v>
      </c>
      <c r="PQ164">
        <v>2</v>
      </c>
      <c r="PR164">
        <v>1</v>
      </c>
      <c r="PS164">
        <v>7</v>
      </c>
      <c r="PT164">
        <v>202</v>
      </c>
      <c r="PU164">
        <v>10</v>
      </c>
      <c r="PV164" t="s">
        <v>4072</v>
      </c>
      <c r="PW164" t="s">
        <v>4072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-1</v>
      </c>
      <c r="QF164">
        <v>1</v>
      </c>
      <c r="QG164">
        <v>0</v>
      </c>
      <c r="QH164">
        <v>5</v>
      </c>
      <c r="QI164">
        <v>5</v>
      </c>
      <c r="QJ164">
        <v>5</v>
      </c>
      <c r="QK164">
        <v>173</v>
      </c>
      <c r="QL164">
        <v>390</v>
      </c>
      <c r="QM164">
        <v>7.5</v>
      </c>
      <c r="QN164">
        <v>1202.7</v>
      </c>
      <c r="QO164" t="s">
        <v>2341</v>
      </c>
      <c r="QP164" t="s">
        <v>513</v>
      </c>
      <c r="QQ164">
        <v>0</v>
      </c>
      <c r="QR164" t="s">
        <v>540</v>
      </c>
      <c r="QS164">
        <v>30</v>
      </c>
      <c r="QT164">
        <v>40</v>
      </c>
    </row>
    <row r="165" spans="1:462">
      <c r="A165" t="s">
        <v>2399</v>
      </c>
      <c r="B165" t="s">
        <v>729</v>
      </c>
      <c r="C165" t="s">
        <v>509</v>
      </c>
      <c r="D165" t="s">
        <v>2307</v>
      </c>
      <c r="E165" t="s">
        <v>4036</v>
      </c>
      <c r="H165" t="s">
        <v>604</v>
      </c>
      <c r="I165" t="s">
        <v>605</v>
      </c>
      <c r="J165" t="s">
        <v>628</v>
      </c>
      <c r="K165" t="s">
        <v>606</v>
      </c>
      <c r="L165" t="s">
        <v>897</v>
      </c>
      <c r="M165" t="s">
        <v>512</v>
      </c>
      <c r="O165" t="s">
        <v>513</v>
      </c>
      <c r="P165" t="s">
        <v>517</v>
      </c>
      <c r="Q165" t="s">
        <v>518</v>
      </c>
      <c r="R165" t="s">
        <v>519</v>
      </c>
      <c r="S165" t="s">
        <v>4037</v>
      </c>
      <c r="T165" t="s">
        <v>520</v>
      </c>
      <c r="U165" t="s">
        <v>521</v>
      </c>
      <c r="V165" t="s">
        <v>2392</v>
      </c>
      <c r="W165" t="s">
        <v>2336</v>
      </c>
      <c r="X165" t="s">
        <v>2400</v>
      </c>
      <c r="Y165" t="s">
        <v>2222</v>
      </c>
      <c r="Z165" t="s">
        <v>541</v>
      </c>
      <c r="AA165" t="s">
        <v>4038</v>
      </c>
      <c r="AB165" t="s">
        <v>4606</v>
      </c>
      <c r="AC165">
        <v>11</v>
      </c>
      <c r="AD165" t="s">
        <v>2398</v>
      </c>
      <c r="AE165">
        <v>9</v>
      </c>
      <c r="AF165">
        <v>3763</v>
      </c>
      <c r="AG165" t="s">
        <v>4166</v>
      </c>
      <c r="AH165">
        <v>1</v>
      </c>
      <c r="AI165" t="s">
        <v>4041</v>
      </c>
      <c r="AK165" t="s">
        <v>4167</v>
      </c>
      <c r="AL165">
        <v>1</v>
      </c>
      <c r="AM165" t="s">
        <v>582</v>
      </c>
      <c r="AO165" t="s">
        <v>4043</v>
      </c>
      <c r="AP165">
        <v>1</v>
      </c>
      <c r="AR165" t="s">
        <v>4676</v>
      </c>
      <c r="AS165">
        <v>1</v>
      </c>
      <c r="AT165">
        <v>52</v>
      </c>
      <c r="AV165" t="s">
        <v>4045</v>
      </c>
      <c r="AW165">
        <v>6</v>
      </c>
      <c r="AX165">
        <v>-6</v>
      </c>
      <c r="AY165">
        <v>93</v>
      </c>
      <c r="AZ165">
        <v>84</v>
      </c>
      <c r="BH165">
        <v>93</v>
      </c>
      <c r="BI165">
        <v>9</v>
      </c>
      <c r="BJ165">
        <v>84</v>
      </c>
      <c r="BK165">
        <v>3</v>
      </c>
      <c r="BL165">
        <v>186</v>
      </c>
      <c r="BM165">
        <v>-6</v>
      </c>
      <c r="BN165">
        <v>0</v>
      </c>
      <c r="BP165">
        <v>0</v>
      </c>
      <c r="BR165">
        <v>180</v>
      </c>
      <c r="BS165">
        <v>170</v>
      </c>
      <c r="BT165">
        <v>1845</v>
      </c>
      <c r="BU165" t="s">
        <v>4046</v>
      </c>
      <c r="BV165" t="s">
        <v>4047</v>
      </c>
      <c r="BW165" t="s">
        <v>4048</v>
      </c>
      <c r="BX165" t="s">
        <v>4049</v>
      </c>
      <c r="BY165" t="s">
        <v>4144</v>
      </c>
      <c r="BZ165" t="s">
        <v>4144</v>
      </c>
      <c r="CA165" t="s">
        <v>4051</v>
      </c>
      <c r="CB165" t="s">
        <v>4052</v>
      </c>
      <c r="CC165" t="s">
        <v>4053</v>
      </c>
      <c r="CD165" t="s">
        <v>4054</v>
      </c>
      <c r="CE165" t="s">
        <v>4055</v>
      </c>
      <c r="CF165" t="s">
        <v>4055</v>
      </c>
      <c r="CG165" t="s">
        <v>4056</v>
      </c>
      <c r="CH165" t="s">
        <v>4057</v>
      </c>
      <c r="CI165" t="s">
        <v>4058</v>
      </c>
      <c r="CJ165" t="s">
        <v>4059</v>
      </c>
      <c r="CK165" t="s">
        <v>4060</v>
      </c>
      <c r="CL165" t="s">
        <v>4061</v>
      </c>
      <c r="CM165" t="s">
        <v>4055</v>
      </c>
      <c r="CN165" t="s">
        <v>4062</v>
      </c>
      <c r="CO165" t="s">
        <v>4063</v>
      </c>
      <c r="CP165" t="s">
        <v>4055</v>
      </c>
      <c r="CQ165" t="s">
        <v>4055</v>
      </c>
      <c r="CR165">
        <v>5</v>
      </c>
      <c r="CS165" t="s">
        <v>4055</v>
      </c>
      <c r="CT165" t="s">
        <v>4055</v>
      </c>
      <c r="CU165" t="s">
        <v>4055</v>
      </c>
      <c r="CV165">
        <v>116</v>
      </c>
      <c r="CW165">
        <v>3</v>
      </c>
      <c r="CX165">
        <v>82</v>
      </c>
      <c r="CY165">
        <v>5</v>
      </c>
      <c r="CZ165">
        <v>70</v>
      </c>
      <c r="DA165">
        <v>5</v>
      </c>
      <c r="DB165">
        <v>9240</v>
      </c>
      <c r="DC165">
        <v>270</v>
      </c>
      <c r="DD165">
        <v>298</v>
      </c>
      <c r="DE165">
        <v>1949</v>
      </c>
      <c r="DF165">
        <v>1949</v>
      </c>
      <c r="DG165">
        <v>1964</v>
      </c>
      <c r="DH165" t="s">
        <v>4055</v>
      </c>
      <c r="DI165" t="s">
        <v>4055</v>
      </c>
      <c r="DJ165" t="s">
        <v>4132</v>
      </c>
      <c r="DK165">
        <v>180</v>
      </c>
      <c r="DL165" t="s">
        <v>4065</v>
      </c>
      <c r="DM165">
        <v>65</v>
      </c>
      <c r="DN165">
        <v>1.1</v>
      </c>
      <c r="DO165">
        <v>1</v>
      </c>
      <c r="DP165">
        <v>1848</v>
      </c>
      <c r="DQ165">
        <v>719</v>
      </c>
      <c r="DR165" t="s">
        <v>4132</v>
      </c>
      <c r="DS165">
        <v>170</v>
      </c>
      <c r="DT165" t="s">
        <v>4065</v>
      </c>
      <c r="DU165">
        <v>65</v>
      </c>
      <c r="DV165">
        <v>1.1</v>
      </c>
      <c r="DW165">
        <v>1</v>
      </c>
      <c r="DX165">
        <v>1860</v>
      </c>
      <c r="DY165">
        <v>684</v>
      </c>
      <c r="DZ165" t="s">
        <v>4066</v>
      </c>
      <c r="EA165">
        <v>20</v>
      </c>
      <c r="EB165" t="s">
        <v>4065</v>
      </c>
      <c r="EC165">
        <v>0.8</v>
      </c>
      <c r="ED165">
        <v>1848</v>
      </c>
      <c r="EE165">
        <v>65</v>
      </c>
      <c r="EG165">
        <v>0</v>
      </c>
      <c r="EH165" t="s">
        <v>4065</v>
      </c>
      <c r="EI165">
        <v>0</v>
      </c>
      <c r="EL165" t="s">
        <v>1528</v>
      </c>
      <c r="EM165">
        <v>12</v>
      </c>
      <c r="EN165">
        <v>0.5</v>
      </c>
      <c r="EO165">
        <v>0.96</v>
      </c>
      <c r="EP165">
        <v>1858.83</v>
      </c>
      <c r="EQ165">
        <v>30670.7</v>
      </c>
      <c r="ER165">
        <v>2797.29</v>
      </c>
      <c r="ES165">
        <v>0</v>
      </c>
      <c r="ET165">
        <v>0</v>
      </c>
      <c r="EU165">
        <v>1</v>
      </c>
      <c r="EV165">
        <v>33468</v>
      </c>
      <c r="EW165">
        <v>402</v>
      </c>
      <c r="EX165" t="s">
        <v>4613</v>
      </c>
      <c r="EY165">
        <v>186</v>
      </c>
      <c r="EZ165" t="s">
        <v>4055</v>
      </c>
      <c r="FA165">
        <v>3.5</v>
      </c>
      <c r="FB165">
        <v>1</v>
      </c>
      <c r="FC165">
        <v>1</v>
      </c>
      <c r="FD165">
        <v>1890</v>
      </c>
      <c r="FE165">
        <v>1393</v>
      </c>
      <c r="FF165" t="s">
        <v>4288</v>
      </c>
      <c r="FG165">
        <v>196</v>
      </c>
      <c r="FH165" t="s">
        <v>4055</v>
      </c>
      <c r="FI165">
        <v>4</v>
      </c>
      <c r="FJ165">
        <v>1890</v>
      </c>
      <c r="FK165">
        <v>1826</v>
      </c>
      <c r="FL165" t="s">
        <v>4069</v>
      </c>
      <c r="FM165" t="s">
        <v>4055</v>
      </c>
      <c r="FN165" t="s">
        <v>4055</v>
      </c>
      <c r="FO165" t="s">
        <v>4055</v>
      </c>
      <c r="FP165">
        <v>1890</v>
      </c>
      <c r="FQ165">
        <v>217</v>
      </c>
      <c r="FR165" t="s">
        <v>4090</v>
      </c>
      <c r="FS165">
        <v>200</v>
      </c>
      <c r="FT165" t="s">
        <v>4055</v>
      </c>
      <c r="FU165">
        <v>0.4</v>
      </c>
      <c r="FV165">
        <v>1890</v>
      </c>
      <c r="FW165">
        <v>169</v>
      </c>
      <c r="FZ165" t="s">
        <v>4055</v>
      </c>
      <c r="GA165" t="s">
        <v>4055</v>
      </c>
      <c r="GD165">
        <v>3605</v>
      </c>
      <c r="GE165" t="s">
        <v>4676</v>
      </c>
      <c r="GF165" t="s">
        <v>4055</v>
      </c>
      <c r="GG165" t="s">
        <v>4055</v>
      </c>
      <c r="GH165" t="s">
        <v>4055</v>
      </c>
      <c r="GI165" t="s">
        <v>4071</v>
      </c>
      <c r="GJ165" t="s">
        <v>4055</v>
      </c>
      <c r="GK165" t="s">
        <v>4055</v>
      </c>
      <c r="GL165" t="s">
        <v>4055</v>
      </c>
      <c r="GM165" t="s">
        <v>4055</v>
      </c>
      <c r="GQ165">
        <v>0</v>
      </c>
      <c r="GV165">
        <v>7.9</v>
      </c>
      <c r="GW165">
        <v>10.6</v>
      </c>
      <c r="GX165">
        <v>0.5</v>
      </c>
      <c r="GY165">
        <v>170</v>
      </c>
      <c r="GZ165">
        <v>3</v>
      </c>
      <c r="HA165">
        <v>218</v>
      </c>
      <c r="HB165">
        <v>3</v>
      </c>
      <c r="HC165">
        <v>1890</v>
      </c>
      <c r="HD165">
        <v>4</v>
      </c>
      <c r="HE165" t="s">
        <v>4071</v>
      </c>
      <c r="HG165" t="s">
        <v>549</v>
      </c>
      <c r="HL165">
        <v>4</v>
      </c>
      <c r="HM165">
        <v>16</v>
      </c>
      <c r="HN165">
        <v>6</v>
      </c>
      <c r="HO165">
        <v>1</v>
      </c>
      <c r="HP165">
        <v>0</v>
      </c>
      <c r="HQ165">
        <v>0</v>
      </c>
      <c r="HR165">
        <v>2</v>
      </c>
      <c r="HS165">
        <v>1845</v>
      </c>
      <c r="HT165">
        <v>5</v>
      </c>
      <c r="HU165">
        <v>1</v>
      </c>
      <c r="HV165">
        <v>5</v>
      </c>
      <c r="HW165">
        <v>0</v>
      </c>
      <c r="HX165">
        <v>1</v>
      </c>
      <c r="HY165">
        <v>0</v>
      </c>
      <c r="HZ165">
        <v>65</v>
      </c>
      <c r="IA165">
        <v>1848</v>
      </c>
      <c r="IB165">
        <v>1860</v>
      </c>
      <c r="ID165">
        <v>1890</v>
      </c>
      <c r="IE165">
        <v>1890</v>
      </c>
      <c r="IF165">
        <v>180</v>
      </c>
      <c r="IG165">
        <v>170</v>
      </c>
      <c r="IH165">
        <v>218</v>
      </c>
      <c r="II165">
        <v>1</v>
      </c>
      <c r="IJ165">
        <v>5</v>
      </c>
      <c r="IK165">
        <v>0</v>
      </c>
      <c r="IL165">
        <v>0</v>
      </c>
      <c r="IM165">
        <v>0</v>
      </c>
      <c r="IN165">
        <v>270</v>
      </c>
      <c r="IO165">
        <v>0</v>
      </c>
      <c r="IP165">
        <v>180</v>
      </c>
      <c r="IQ165">
        <v>0</v>
      </c>
      <c r="IR165">
        <v>325</v>
      </c>
      <c r="IS165">
        <v>0</v>
      </c>
      <c r="IT165">
        <v>90</v>
      </c>
      <c r="IU165">
        <v>0</v>
      </c>
      <c r="IV165">
        <v>6.4</v>
      </c>
      <c r="IW165">
        <v>-6</v>
      </c>
      <c r="IX165">
        <v>93</v>
      </c>
      <c r="IY165">
        <v>84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350</v>
      </c>
      <c r="JJ165">
        <v>314</v>
      </c>
      <c r="JK165">
        <v>224</v>
      </c>
      <c r="JL165">
        <v>310</v>
      </c>
      <c r="JM165">
        <v>234</v>
      </c>
      <c r="JN165">
        <v>195</v>
      </c>
      <c r="JO165">
        <v>240</v>
      </c>
      <c r="JP165">
        <v>230</v>
      </c>
      <c r="JQ165">
        <v>260</v>
      </c>
      <c r="JR165">
        <v>330</v>
      </c>
      <c r="JS165">
        <v>270</v>
      </c>
      <c r="JT165">
        <v>0</v>
      </c>
      <c r="JU165">
        <v>0</v>
      </c>
      <c r="JV165">
        <v>305</v>
      </c>
      <c r="JW165">
        <v>307</v>
      </c>
      <c r="JX165">
        <v>325</v>
      </c>
      <c r="JY165">
        <v>310</v>
      </c>
      <c r="JZ165">
        <v>1</v>
      </c>
      <c r="KA165">
        <v>0.2</v>
      </c>
      <c r="KB165">
        <v>0.4</v>
      </c>
      <c r="KC165">
        <v>0.42</v>
      </c>
      <c r="KD165">
        <v>0.28</v>
      </c>
      <c r="KE165">
        <v>0.5</v>
      </c>
      <c r="KF165">
        <v>0.2</v>
      </c>
      <c r="KG165">
        <v>0.11</v>
      </c>
      <c r="KH165">
        <v>3.5</v>
      </c>
      <c r="KI165">
        <v>1</v>
      </c>
      <c r="KJ165">
        <v>5</v>
      </c>
      <c r="KK165">
        <v>0</v>
      </c>
      <c r="KL165">
        <v>7</v>
      </c>
      <c r="KM165">
        <v>1.5</v>
      </c>
      <c r="KN165">
        <v>1.5</v>
      </c>
      <c r="KO165">
        <v>0</v>
      </c>
      <c r="KP165">
        <v>0</v>
      </c>
      <c r="KQ165">
        <v>0.8</v>
      </c>
      <c r="KR165">
        <v>0.3</v>
      </c>
      <c r="KS165">
        <v>0</v>
      </c>
      <c r="KT165">
        <v>2.5</v>
      </c>
      <c r="KU165">
        <v>0</v>
      </c>
      <c r="KV165">
        <v>0</v>
      </c>
      <c r="KW165">
        <v>1.4</v>
      </c>
      <c r="KX165">
        <v>1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3</v>
      </c>
      <c r="LI165">
        <v>1</v>
      </c>
      <c r="LJ165">
        <v>0</v>
      </c>
      <c r="LK165">
        <v>7</v>
      </c>
      <c r="LL165">
        <v>2</v>
      </c>
      <c r="LM165">
        <v>10</v>
      </c>
      <c r="LN165">
        <v>0.5</v>
      </c>
      <c r="LO165">
        <v>3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1.4</v>
      </c>
      <c r="LX165">
        <v>1.4</v>
      </c>
      <c r="LY165">
        <v>2.1</v>
      </c>
      <c r="LZ165">
        <v>2.1</v>
      </c>
      <c r="MA165">
        <v>0</v>
      </c>
      <c r="MB165">
        <v>5</v>
      </c>
      <c r="MC165">
        <v>2</v>
      </c>
      <c r="MD165">
        <v>4.5</v>
      </c>
      <c r="ME165">
        <v>6</v>
      </c>
      <c r="MF165">
        <v>6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358</v>
      </c>
      <c r="MN165">
        <v>175</v>
      </c>
      <c r="MO165">
        <v>228</v>
      </c>
      <c r="NU165">
        <v>0.2</v>
      </c>
      <c r="NV165">
        <v>0.35</v>
      </c>
      <c r="NW165">
        <v>0.35</v>
      </c>
      <c r="NX165">
        <v>2</v>
      </c>
      <c r="NY165">
        <v>2</v>
      </c>
      <c r="NZ165">
        <v>2</v>
      </c>
      <c r="OE165" t="s">
        <v>4676</v>
      </c>
      <c r="OF165" t="s">
        <v>4166</v>
      </c>
      <c r="OG165" t="s">
        <v>4167</v>
      </c>
      <c r="OH165" t="s">
        <v>4043</v>
      </c>
      <c r="OI165" t="s">
        <v>4676</v>
      </c>
      <c r="OJ165" t="s">
        <v>4606</v>
      </c>
      <c r="OK165">
        <v>61</v>
      </c>
      <c r="OL165">
        <v>61</v>
      </c>
      <c r="OM165" t="s">
        <v>4166</v>
      </c>
      <c r="ON165">
        <v>1</v>
      </c>
      <c r="OO165">
        <v>1848</v>
      </c>
      <c r="OP165">
        <v>61</v>
      </c>
      <c r="OQ165">
        <v>61</v>
      </c>
      <c r="OR165" t="s">
        <v>4167</v>
      </c>
      <c r="OS165">
        <v>1</v>
      </c>
      <c r="OT165">
        <v>1860</v>
      </c>
      <c r="OU165">
        <v>65</v>
      </c>
      <c r="OV165">
        <v>65</v>
      </c>
      <c r="OW165" t="s">
        <v>4043</v>
      </c>
      <c r="OX165">
        <v>2</v>
      </c>
      <c r="OY165">
        <v>33468</v>
      </c>
      <c r="OZ165">
        <v>51</v>
      </c>
      <c r="PA165">
        <v>52</v>
      </c>
      <c r="PB165" t="s">
        <v>4676</v>
      </c>
      <c r="PC165">
        <v>6</v>
      </c>
      <c r="PD165">
        <v>1890</v>
      </c>
      <c r="PF165">
        <v>389</v>
      </c>
      <c r="PG165">
        <v>35</v>
      </c>
      <c r="PH165">
        <v>368</v>
      </c>
      <c r="PI165">
        <v>0</v>
      </c>
      <c r="PJ165">
        <v>114.6</v>
      </c>
      <c r="PK165">
        <v>1950</v>
      </c>
      <c r="PL165">
        <v>737.1</v>
      </c>
      <c r="PM165">
        <v>966.2</v>
      </c>
      <c r="PN165">
        <v>89.40000000000001</v>
      </c>
      <c r="PP165">
        <v>12</v>
      </c>
      <c r="PQ165">
        <v>2</v>
      </c>
      <c r="PR165">
        <v>1</v>
      </c>
      <c r="PS165">
        <v>7</v>
      </c>
      <c r="PT165">
        <v>218</v>
      </c>
      <c r="PU165">
        <v>11</v>
      </c>
      <c r="PV165" t="s">
        <v>4072</v>
      </c>
      <c r="PW165" t="s">
        <v>4072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-1</v>
      </c>
      <c r="QF165">
        <v>1</v>
      </c>
      <c r="QG165">
        <v>0</v>
      </c>
      <c r="QH165">
        <v>5</v>
      </c>
      <c r="QI165">
        <v>5</v>
      </c>
      <c r="QJ165">
        <v>5</v>
      </c>
      <c r="QK165">
        <v>170</v>
      </c>
      <c r="QL165">
        <v>384</v>
      </c>
      <c r="QM165">
        <v>7.5</v>
      </c>
      <c r="QN165">
        <v>1282.5</v>
      </c>
      <c r="QO165" t="s">
        <v>2341</v>
      </c>
      <c r="QP165" t="s">
        <v>513</v>
      </c>
      <c r="QQ165">
        <v>0</v>
      </c>
      <c r="QR165" t="s">
        <v>1496</v>
      </c>
      <c r="QS165">
        <v>30</v>
      </c>
      <c r="QT165">
        <v>40</v>
      </c>
    </row>
    <row r="166" spans="1:462">
      <c r="A166" t="s">
        <v>2405</v>
      </c>
      <c r="B166" t="s">
        <v>657</v>
      </c>
      <c r="C166" t="s">
        <v>509</v>
      </c>
      <c r="D166" t="s">
        <v>2064</v>
      </c>
      <c r="E166" t="s">
        <v>4036</v>
      </c>
      <c r="H166" t="s">
        <v>627</v>
      </c>
      <c r="I166" t="s">
        <v>604</v>
      </c>
      <c r="J166" t="s">
        <v>628</v>
      </c>
      <c r="K166" t="s">
        <v>606</v>
      </c>
      <c r="L166" t="s">
        <v>559</v>
      </c>
      <c r="M166" t="s">
        <v>512</v>
      </c>
      <c r="O166" t="s">
        <v>513</v>
      </c>
      <c r="P166" t="s">
        <v>517</v>
      </c>
      <c r="Q166" t="s">
        <v>1102</v>
      </c>
      <c r="R166" t="s">
        <v>1103</v>
      </c>
      <c r="S166" t="s">
        <v>4091</v>
      </c>
      <c r="T166" t="s">
        <v>633</v>
      </c>
      <c r="U166" t="s">
        <v>634</v>
      </c>
      <c r="V166" t="s">
        <v>2406</v>
      </c>
      <c r="W166" t="s">
        <v>2336</v>
      </c>
      <c r="X166" t="s">
        <v>2407</v>
      </c>
      <c r="Y166" t="s">
        <v>2408</v>
      </c>
      <c r="Z166" t="s">
        <v>541</v>
      </c>
      <c r="AA166" t="s">
        <v>4038</v>
      </c>
      <c r="AB166" t="s">
        <v>4677</v>
      </c>
      <c r="AC166">
        <v>10</v>
      </c>
      <c r="AD166" t="s">
        <v>2404</v>
      </c>
      <c r="AE166">
        <v>7</v>
      </c>
      <c r="AF166">
        <v>7250</v>
      </c>
      <c r="AG166" t="s">
        <v>4678</v>
      </c>
      <c r="AH166">
        <v>1</v>
      </c>
      <c r="AI166" t="s">
        <v>4041</v>
      </c>
      <c r="AK166" t="s">
        <v>4679</v>
      </c>
      <c r="AL166">
        <v>1</v>
      </c>
      <c r="AM166" t="s">
        <v>582</v>
      </c>
      <c r="AO166" t="s">
        <v>4043</v>
      </c>
      <c r="AP166">
        <v>1</v>
      </c>
      <c r="AR166" t="s">
        <v>4680</v>
      </c>
      <c r="AS166">
        <v>1</v>
      </c>
      <c r="AT166">
        <v>51</v>
      </c>
      <c r="AV166" t="s">
        <v>4045</v>
      </c>
      <c r="AW166">
        <v>6.4</v>
      </c>
      <c r="AX166">
        <v>-6</v>
      </c>
      <c r="AY166">
        <v>98.5</v>
      </c>
      <c r="AZ166">
        <v>89.5</v>
      </c>
      <c r="BH166">
        <v>98.5</v>
      </c>
      <c r="BI166">
        <v>9</v>
      </c>
      <c r="BJ166">
        <v>89.5</v>
      </c>
      <c r="BK166">
        <v>3.5</v>
      </c>
      <c r="BL166">
        <v>197</v>
      </c>
      <c r="BM166">
        <v>-6</v>
      </c>
      <c r="BN166">
        <v>0</v>
      </c>
      <c r="BP166">
        <v>0</v>
      </c>
      <c r="BR166">
        <v>190</v>
      </c>
      <c r="BS166">
        <v>180</v>
      </c>
      <c r="BT166">
        <v>2165</v>
      </c>
      <c r="BU166" t="s">
        <v>4127</v>
      </c>
      <c r="BV166" t="s">
        <v>4127</v>
      </c>
      <c r="BW166" t="s">
        <v>4128</v>
      </c>
      <c r="BX166" t="s">
        <v>4128</v>
      </c>
      <c r="BY166" t="s">
        <v>4249</v>
      </c>
      <c r="BZ166" t="s">
        <v>4173</v>
      </c>
      <c r="CA166" t="s">
        <v>4108</v>
      </c>
      <c r="CB166" t="s">
        <v>4109</v>
      </c>
      <c r="CC166" t="s">
        <v>4053</v>
      </c>
      <c r="CD166" t="s">
        <v>4110</v>
      </c>
      <c r="CE166" t="s">
        <v>4055</v>
      </c>
      <c r="CF166" t="s">
        <v>4055</v>
      </c>
      <c r="CG166" t="s">
        <v>4056</v>
      </c>
      <c r="CI166" t="s">
        <v>4216</v>
      </c>
      <c r="CJ166" t="s">
        <v>4059</v>
      </c>
      <c r="CK166" t="s">
        <v>4060</v>
      </c>
      <c r="CL166" t="s">
        <v>4061</v>
      </c>
      <c r="CM166" t="s">
        <v>4062</v>
      </c>
      <c r="CN166" t="s">
        <v>4055</v>
      </c>
      <c r="CO166" t="s">
        <v>4063</v>
      </c>
      <c r="CP166" t="s">
        <v>4055</v>
      </c>
      <c r="CQ166" t="s">
        <v>4055</v>
      </c>
      <c r="CR166">
        <v>5</v>
      </c>
      <c r="CS166" t="s">
        <v>4055</v>
      </c>
      <c r="CT166" t="s">
        <v>4055</v>
      </c>
      <c r="CU166" t="s">
        <v>4055</v>
      </c>
      <c r="CV166">
        <v>122</v>
      </c>
      <c r="CW166">
        <v>3</v>
      </c>
      <c r="CX166">
        <v>82</v>
      </c>
      <c r="CY166">
        <v>5</v>
      </c>
      <c r="CZ166">
        <v>143</v>
      </c>
      <c r="DA166">
        <v>5</v>
      </c>
      <c r="DB166">
        <v>14650</v>
      </c>
      <c r="DC166">
        <v>430</v>
      </c>
      <c r="DD166">
        <v>335</v>
      </c>
      <c r="DE166">
        <v>2282</v>
      </c>
      <c r="DF166">
        <v>2282</v>
      </c>
      <c r="DG166">
        <v>2295</v>
      </c>
      <c r="DH166">
        <v>2</v>
      </c>
      <c r="DI166" t="s">
        <v>4055</v>
      </c>
      <c r="DJ166" t="s">
        <v>4217</v>
      </c>
      <c r="DK166">
        <v>190</v>
      </c>
      <c r="DL166" t="s">
        <v>4065</v>
      </c>
      <c r="DM166">
        <v>67</v>
      </c>
      <c r="DN166">
        <v>1.26</v>
      </c>
      <c r="DO166">
        <v>1</v>
      </c>
      <c r="DP166">
        <v>2169</v>
      </c>
      <c r="DQ166">
        <v>996</v>
      </c>
      <c r="DR166" t="s">
        <v>4217</v>
      </c>
      <c r="DS166">
        <v>180</v>
      </c>
      <c r="DT166" t="s">
        <v>4065</v>
      </c>
      <c r="DU166">
        <v>67</v>
      </c>
      <c r="DV166">
        <v>1.26</v>
      </c>
      <c r="DW166">
        <v>1</v>
      </c>
      <c r="DX166">
        <v>2182</v>
      </c>
      <c r="DY166">
        <v>949</v>
      </c>
      <c r="DZ166" t="s">
        <v>4066</v>
      </c>
      <c r="EA166">
        <v>20</v>
      </c>
      <c r="EB166" t="s">
        <v>4065</v>
      </c>
      <c r="EC166">
        <v>0.8</v>
      </c>
      <c r="ED166">
        <v>2169</v>
      </c>
      <c r="EE166">
        <v>76</v>
      </c>
      <c r="EG166">
        <v>0</v>
      </c>
      <c r="EH166" t="s">
        <v>4065</v>
      </c>
      <c r="EI166">
        <v>0</v>
      </c>
      <c r="EL166" t="s">
        <v>1528</v>
      </c>
      <c r="EM166">
        <v>12</v>
      </c>
      <c r="EN166">
        <v>0.5</v>
      </c>
      <c r="EO166">
        <v>0.96</v>
      </c>
      <c r="EP166">
        <v>2180.84</v>
      </c>
      <c r="EQ166">
        <v>35609.03</v>
      </c>
      <c r="ER166">
        <v>3075.29</v>
      </c>
      <c r="ES166">
        <v>0</v>
      </c>
      <c r="ET166">
        <v>0</v>
      </c>
      <c r="EU166">
        <v>1</v>
      </c>
      <c r="EV166">
        <v>38685</v>
      </c>
      <c r="EW166">
        <v>465</v>
      </c>
      <c r="EX166" t="s">
        <v>4613</v>
      </c>
      <c r="EY166">
        <v>196</v>
      </c>
      <c r="EZ166" t="s">
        <v>4055</v>
      </c>
      <c r="FA166">
        <v>4.4</v>
      </c>
      <c r="FB166">
        <v>1</v>
      </c>
      <c r="FC166">
        <v>1</v>
      </c>
      <c r="FD166">
        <v>2216</v>
      </c>
      <c r="FE166">
        <v>2093</v>
      </c>
      <c r="FF166" t="s">
        <v>4288</v>
      </c>
      <c r="FG166">
        <v>212</v>
      </c>
      <c r="FH166" t="s">
        <v>4055</v>
      </c>
      <c r="FI166">
        <v>4.3</v>
      </c>
      <c r="FJ166">
        <v>2216</v>
      </c>
      <c r="FK166">
        <v>2411</v>
      </c>
      <c r="FL166" t="s">
        <v>4069</v>
      </c>
      <c r="FM166" t="s">
        <v>4055</v>
      </c>
      <c r="FN166" t="s">
        <v>4055</v>
      </c>
      <c r="FO166" t="s">
        <v>4055</v>
      </c>
      <c r="FP166">
        <v>2216</v>
      </c>
      <c r="FQ166">
        <v>194</v>
      </c>
      <c r="FR166" t="s">
        <v>4090</v>
      </c>
      <c r="FS166">
        <v>216</v>
      </c>
      <c r="FT166" t="s">
        <v>4055</v>
      </c>
      <c r="FU166">
        <v>0.4</v>
      </c>
      <c r="FV166">
        <v>2216</v>
      </c>
      <c r="FW166">
        <v>214</v>
      </c>
      <c r="FZ166" t="s">
        <v>4055</v>
      </c>
      <c r="GA166" t="s">
        <v>4055</v>
      </c>
      <c r="GD166">
        <v>4912</v>
      </c>
      <c r="GE166" t="s">
        <v>4680</v>
      </c>
      <c r="GF166" t="s">
        <v>4055</v>
      </c>
      <c r="GG166" t="s">
        <v>4055</v>
      </c>
      <c r="GH166" t="s">
        <v>4055</v>
      </c>
      <c r="GI166" t="s">
        <v>4071</v>
      </c>
      <c r="GJ166" t="s">
        <v>4055</v>
      </c>
      <c r="GK166" t="s">
        <v>4055</v>
      </c>
      <c r="GL166" t="s">
        <v>4055</v>
      </c>
      <c r="GM166" t="s">
        <v>4055</v>
      </c>
      <c r="GQ166">
        <v>0</v>
      </c>
      <c r="GV166">
        <v>9.1</v>
      </c>
      <c r="GW166">
        <v>11</v>
      </c>
      <c r="GX166">
        <v>0.5</v>
      </c>
      <c r="GY166">
        <v>172</v>
      </c>
      <c r="GZ166">
        <v>3</v>
      </c>
      <c r="HA166">
        <v>228</v>
      </c>
      <c r="HB166">
        <v>3</v>
      </c>
      <c r="HC166">
        <v>2216</v>
      </c>
      <c r="HD166">
        <v>4</v>
      </c>
      <c r="HE166" t="s">
        <v>4071</v>
      </c>
      <c r="HG166" t="s">
        <v>549</v>
      </c>
      <c r="HL166">
        <v>4</v>
      </c>
      <c r="HM166">
        <v>17</v>
      </c>
      <c r="HN166">
        <v>6</v>
      </c>
      <c r="HO166">
        <v>1</v>
      </c>
      <c r="HP166">
        <v>0</v>
      </c>
      <c r="HQ166">
        <v>0</v>
      </c>
      <c r="HR166">
        <v>2</v>
      </c>
      <c r="HS166">
        <v>2165</v>
      </c>
      <c r="HT166">
        <v>5</v>
      </c>
      <c r="HU166">
        <v>1</v>
      </c>
      <c r="HV166">
        <v>5</v>
      </c>
      <c r="HW166">
        <v>0</v>
      </c>
      <c r="HX166">
        <v>1</v>
      </c>
      <c r="HY166">
        <v>0</v>
      </c>
      <c r="HZ166">
        <v>67</v>
      </c>
      <c r="IA166">
        <v>2169</v>
      </c>
      <c r="IB166">
        <v>2182</v>
      </c>
      <c r="ID166">
        <v>2216</v>
      </c>
      <c r="IE166">
        <v>2216</v>
      </c>
      <c r="IF166">
        <v>190</v>
      </c>
      <c r="IG166">
        <v>180</v>
      </c>
      <c r="IH166">
        <v>228</v>
      </c>
      <c r="II166">
        <v>1</v>
      </c>
      <c r="IJ166">
        <v>5</v>
      </c>
      <c r="IK166">
        <v>0</v>
      </c>
      <c r="IL166">
        <v>0</v>
      </c>
      <c r="IM166">
        <v>0</v>
      </c>
      <c r="IN166">
        <v>270</v>
      </c>
      <c r="IO166">
        <v>0</v>
      </c>
      <c r="IP166">
        <v>180</v>
      </c>
      <c r="IQ166">
        <v>0</v>
      </c>
      <c r="IR166">
        <v>330</v>
      </c>
      <c r="IS166">
        <v>0</v>
      </c>
      <c r="IT166">
        <v>90</v>
      </c>
      <c r="IU166">
        <v>0</v>
      </c>
      <c r="IV166">
        <v>6.4</v>
      </c>
      <c r="IW166">
        <v>-6</v>
      </c>
      <c r="IX166">
        <v>98.5</v>
      </c>
      <c r="IY166">
        <v>89.5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432</v>
      </c>
      <c r="JJ166">
        <v>382</v>
      </c>
      <c r="JK166">
        <v>290</v>
      </c>
      <c r="JL166">
        <v>382</v>
      </c>
      <c r="JM166">
        <v>290</v>
      </c>
      <c r="JN166">
        <v>195</v>
      </c>
      <c r="JO166">
        <v>240</v>
      </c>
      <c r="JP166">
        <v>200</v>
      </c>
      <c r="JQ166">
        <v>255</v>
      </c>
      <c r="JR166">
        <v>350</v>
      </c>
      <c r="JS166">
        <v>230</v>
      </c>
      <c r="JT166">
        <v>0</v>
      </c>
      <c r="JU166">
        <v>0</v>
      </c>
      <c r="JV166">
        <v>335</v>
      </c>
      <c r="JW166">
        <v>337</v>
      </c>
      <c r="JX166">
        <v>310</v>
      </c>
      <c r="JY166">
        <v>290</v>
      </c>
      <c r="JZ166">
        <v>0.5</v>
      </c>
      <c r="KA166">
        <v>0.2</v>
      </c>
      <c r="KB166">
        <v>0.4</v>
      </c>
      <c r="KC166">
        <v>0.42</v>
      </c>
      <c r="KD166">
        <v>0.3</v>
      </c>
      <c r="KE166">
        <v>0.5</v>
      </c>
      <c r="KF166">
        <v>0.21</v>
      </c>
      <c r="KG166">
        <v>0.11</v>
      </c>
      <c r="KH166">
        <v>3.5</v>
      </c>
      <c r="KI166">
        <v>1</v>
      </c>
      <c r="KJ166">
        <v>4.5</v>
      </c>
      <c r="KK166">
        <v>0</v>
      </c>
      <c r="KL166">
        <v>4.5</v>
      </c>
      <c r="KM166">
        <v>0</v>
      </c>
      <c r="KN166">
        <v>1.5</v>
      </c>
      <c r="KO166">
        <v>2</v>
      </c>
      <c r="KP166">
        <v>0</v>
      </c>
      <c r="KQ166">
        <v>1.5</v>
      </c>
      <c r="KR166">
        <v>1.2</v>
      </c>
      <c r="KS166">
        <v>0</v>
      </c>
      <c r="KT166">
        <v>2.7</v>
      </c>
      <c r="KU166">
        <v>0</v>
      </c>
      <c r="KV166">
        <v>0</v>
      </c>
      <c r="KW166">
        <v>0.8</v>
      </c>
      <c r="KX166">
        <v>2</v>
      </c>
      <c r="KY166">
        <v>0</v>
      </c>
      <c r="KZ166">
        <v>3</v>
      </c>
      <c r="LA166">
        <v>1.4</v>
      </c>
      <c r="LB166">
        <v>8</v>
      </c>
      <c r="LC166">
        <v>2.8</v>
      </c>
      <c r="LD166">
        <v>3.5</v>
      </c>
      <c r="LE166">
        <v>1.6</v>
      </c>
      <c r="LF166">
        <v>0</v>
      </c>
      <c r="LG166">
        <v>0</v>
      </c>
      <c r="LH166">
        <v>3</v>
      </c>
      <c r="LI166">
        <v>0.5</v>
      </c>
      <c r="LJ166">
        <v>0</v>
      </c>
      <c r="LK166">
        <v>9</v>
      </c>
      <c r="LL166">
        <v>3</v>
      </c>
      <c r="LM166">
        <v>10</v>
      </c>
      <c r="LN166">
        <v>0.5</v>
      </c>
      <c r="LO166">
        <v>3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2.6</v>
      </c>
      <c r="LX166">
        <v>2.6</v>
      </c>
      <c r="LY166">
        <v>2.1</v>
      </c>
      <c r="LZ166">
        <v>2.1</v>
      </c>
      <c r="MA166">
        <v>0</v>
      </c>
      <c r="MB166">
        <v>0</v>
      </c>
      <c r="MC166">
        <v>0</v>
      </c>
      <c r="MD166">
        <v>4.5</v>
      </c>
      <c r="ME166">
        <v>6</v>
      </c>
      <c r="MF166">
        <v>6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452</v>
      </c>
      <c r="MN166">
        <v>185</v>
      </c>
      <c r="MO166">
        <v>228</v>
      </c>
      <c r="NU166">
        <v>0.15</v>
      </c>
      <c r="NV166">
        <v>0.2</v>
      </c>
      <c r="NW166">
        <v>0.2</v>
      </c>
      <c r="NX166">
        <v>20</v>
      </c>
      <c r="NY166">
        <v>20</v>
      </c>
      <c r="NZ166">
        <v>20</v>
      </c>
      <c r="OE166" t="s">
        <v>4680</v>
      </c>
      <c r="OF166" t="s">
        <v>4678</v>
      </c>
      <c r="OG166" t="s">
        <v>4679</v>
      </c>
      <c r="OH166" t="s">
        <v>4043</v>
      </c>
      <c r="OI166" t="s">
        <v>4680</v>
      </c>
      <c r="OJ166" t="s">
        <v>4677</v>
      </c>
      <c r="OK166">
        <v>61</v>
      </c>
      <c r="OL166">
        <v>61</v>
      </c>
      <c r="OM166" t="s">
        <v>4678</v>
      </c>
      <c r="ON166">
        <v>1</v>
      </c>
      <c r="OO166">
        <v>2169</v>
      </c>
      <c r="OP166">
        <v>61</v>
      </c>
      <c r="OQ166">
        <v>61</v>
      </c>
      <c r="OR166" t="s">
        <v>4679</v>
      </c>
      <c r="OS166">
        <v>1</v>
      </c>
      <c r="OT166">
        <v>2182</v>
      </c>
      <c r="OU166">
        <v>65</v>
      </c>
      <c r="OV166">
        <v>65</v>
      </c>
      <c r="OW166" t="s">
        <v>4043</v>
      </c>
      <c r="OX166">
        <v>2</v>
      </c>
      <c r="OY166">
        <v>38685</v>
      </c>
      <c r="OZ166">
        <v>51</v>
      </c>
      <c r="PA166">
        <v>51</v>
      </c>
      <c r="PB166" t="s">
        <v>4680</v>
      </c>
      <c r="PC166">
        <v>4</v>
      </c>
      <c r="PD166">
        <v>2216</v>
      </c>
      <c r="PF166">
        <v>459</v>
      </c>
      <c r="PG166">
        <v>35</v>
      </c>
      <c r="PH166">
        <v>435</v>
      </c>
      <c r="PI166">
        <v>0</v>
      </c>
      <c r="PJ166">
        <v>87.59999999999999</v>
      </c>
      <c r="PK166">
        <v>2200</v>
      </c>
      <c r="PL166">
        <v>944.4</v>
      </c>
      <c r="PM166">
        <v>1087.8</v>
      </c>
      <c r="PN166">
        <v>96.5</v>
      </c>
      <c r="PP166">
        <v>12</v>
      </c>
      <c r="PQ166">
        <v>5</v>
      </c>
      <c r="PR166">
        <v>5</v>
      </c>
      <c r="PS166">
        <v>0</v>
      </c>
      <c r="PT166">
        <v>228</v>
      </c>
      <c r="PU166">
        <v>8</v>
      </c>
      <c r="PV166" t="s">
        <v>4072</v>
      </c>
      <c r="PW166" t="s">
        <v>4072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-1</v>
      </c>
      <c r="QF166">
        <v>1</v>
      </c>
      <c r="QG166">
        <v>0</v>
      </c>
      <c r="QH166">
        <v>5</v>
      </c>
      <c r="QI166">
        <v>5</v>
      </c>
      <c r="QJ166">
        <v>5</v>
      </c>
      <c r="QK166">
        <v>231</v>
      </c>
      <c r="QL166">
        <v>462</v>
      </c>
      <c r="QM166">
        <v>7.5</v>
      </c>
      <c r="QN166">
        <v>1384.6</v>
      </c>
      <c r="QO166" t="s">
        <v>2341</v>
      </c>
      <c r="QP166" t="s">
        <v>513</v>
      </c>
      <c r="QQ166">
        <v>0</v>
      </c>
      <c r="QR166" t="s">
        <v>1849</v>
      </c>
      <c r="QS166">
        <v>40</v>
      </c>
      <c r="QT166">
        <v>50</v>
      </c>
    </row>
    <row r="167" spans="1:462">
      <c r="A167" t="s">
        <v>2414</v>
      </c>
      <c r="B167" t="s">
        <v>729</v>
      </c>
      <c r="C167" t="s">
        <v>509</v>
      </c>
      <c r="D167" t="s">
        <v>4681</v>
      </c>
      <c r="E167" t="s">
        <v>4036</v>
      </c>
      <c r="H167" t="s">
        <v>604</v>
      </c>
      <c r="I167" t="s">
        <v>896</v>
      </c>
      <c r="J167" t="s">
        <v>628</v>
      </c>
      <c r="K167" t="s">
        <v>606</v>
      </c>
      <c r="L167" t="s">
        <v>897</v>
      </c>
      <c r="M167" t="s">
        <v>512</v>
      </c>
      <c r="O167" t="s">
        <v>513</v>
      </c>
      <c r="P167" t="s">
        <v>517</v>
      </c>
      <c r="Q167" t="s">
        <v>1455</v>
      </c>
      <c r="R167" t="s">
        <v>1456</v>
      </c>
      <c r="S167" t="s">
        <v>4091</v>
      </c>
      <c r="T167" t="s">
        <v>1457</v>
      </c>
      <c r="U167" t="s">
        <v>1458</v>
      </c>
      <c r="V167" t="s">
        <v>2382</v>
      </c>
      <c r="W167" t="s">
        <v>2336</v>
      </c>
      <c r="X167" t="s">
        <v>2415</v>
      </c>
      <c r="Y167" t="s">
        <v>2416</v>
      </c>
      <c r="Z167" t="s">
        <v>650</v>
      </c>
      <c r="AA167" t="s">
        <v>4038</v>
      </c>
      <c r="AB167" t="s">
        <v>4682</v>
      </c>
      <c r="AC167">
        <v>14</v>
      </c>
      <c r="AD167" t="s">
        <v>2413</v>
      </c>
      <c r="AE167">
        <v>9</v>
      </c>
      <c r="AF167">
        <v>3121</v>
      </c>
      <c r="AG167" t="s">
        <v>4683</v>
      </c>
      <c r="AH167">
        <v>1</v>
      </c>
      <c r="AI167" t="s">
        <v>4041</v>
      </c>
      <c r="AK167" t="s">
        <v>4684</v>
      </c>
      <c r="AL167">
        <v>1</v>
      </c>
      <c r="AM167" t="s">
        <v>582</v>
      </c>
      <c r="AO167" t="s">
        <v>4043</v>
      </c>
      <c r="AP167">
        <v>1</v>
      </c>
      <c r="AR167" t="s">
        <v>4685</v>
      </c>
      <c r="AS167">
        <v>1</v>
      </c>
      <c r="AT167">
        <v>51</v>
      </c>
      <c r="AV167" t="s">
        <v>4045</v>
      </c>
      <c r="AW167">
        <v>6.4</v>
      </c>
      <c r="AX167">
        <v>-6</v>
      </c>
      <c r="AY167">
        <v>78.5</v>
      </c>
      <c r="AZ167">
        <v>69.5</v>
      </c>
      <c r="BH167">
        <v>78.5</v>
      </c>
      <c r="BI167">
        <v>9</v>
      </c>
      <c r="BJ167">
        <v>69.5</v>
      </c>
      <c r="BK167">
        <v>3.5</v>
      </c>
      <c r="BL167">
        <v>157</v>
      </c>
      <c r="BM167">
        <v>-6</v>
      </c>
      <c r="BN167">
        <v>0</v>
      </c>
      <c r="BP167">
        <v>0</v>
      </c>
      <c r="BR167">
        <v>150</v>
      </c>
      <c r="BS167">
        <v>140</v>
      </c>
      <c r="BT167">
        <v>1705</v>
      </c>
      <c r="BU167" t="s">
        <v>4355</v>
      </c>
      <c r="BV167" t="s">
        <v>4355</v>
      </c>
      <c r="BW167" t="s">
        <v>4356</v>
      </c>
      <c r="BX167" t="s">
        <v>4356</v>
      </c>
      <c r="BY167" t="s">
        <v>4357</v>
      </c>
      <c r="BZ167" t="s">
        <v>4357</v>
      </c>
      <c r="CA167" t="s">
        <v>4358</v>
      </c>
      <c r="CB167" t="s">
        <v>4359</v>
      </c>
      <c r="CC167" t="s">
        <v>4053</v>
      </c>
      <c r="CD167" t="s">
        <v>4359</v>
      </c>
      <c r="CE167" t="s">
        <v>4360</v>
      </c>
      <c r="CF167" t="s">
        <v>4361</v>
      </c>
      <c r="CG167" t="s">
        <v>4056</v>
      </c>
      <c r="CH167" t="s">
        <v>4145</v>
      </c>
      <c r="CI167" t="s">
        <v>4058</v>
      </c>
      <c r="CJ167" t="s">
        <v>4059</v>
      </c>
      <c r="CK167" t="s">
        <v>4060</v>
      </c>
      <c r="CL167" t="s">
        <v>4061</v>
      </c>
      <c r="CM167" t="s">
        <v>4062</v>
      </c>
      <c r="CN167" t="s">
        <v>4055</v>
      </c>
      <c r="CO167" t="s">
        <v>4063</v>
      </c>
      <c r="CP167" t="s">
        <v>4055</v>
      </c>
      <c r="CQ167" t="s">
        <v>4055</v>
      </c>
      <c r="CR167">
        <v>5</v>
      </c>
      <c r="CS167" t="s">
        <v>4055</v>
      </c>
      <c r="CT167" t="s">
        <v>4055</v>
      </c>
      <c r="CU167" t="s">
        <v>4055</v>
      </c>
      <c r="CV167">
        <v>108</v>
      </c>
      <c r="CW167">
        <v>3</v>
      </c>
      <c r="CX167">
        <v>88</v>
      </c>
      <c r="CY167">
        <v>5</v>
      </c>
      <c r="CZ167">
        <v>112</v>
      </c>
      <c r="DA167">
        <v>5</v>
      </c>
      <c r="DB167">
        <v>7490</v>
      </c>
      <c r="DC167">
        <v>220</v>
      </c>
      <c r="DD167">
        <v>255</v>
      </c>
      <c r="DE167">
        <v>1808</v>
      </c>
      <c r="DF167">
        <v>1808</v>
      </c>
      <c r="DG167">
        <v>1820</v>
      </c>
      <c r="DH167" t="s">
        <v>4055</v>
      </c>
      <c r="DI167" t="s">
        <v>4055</v>
      </c>
      <c r="DJ167" t="s">
        <v>4100</v>
      </c>
      <c r="DK167">
        <v>150</v>
      </c>
      <c r="DL167" t="s">
        <v>4101</v>
      </c>
      <c r="DM167">
        <v>67</v>
      </c>
      <c r="DN167">
        <v>0.84</v>
      </c>
      <c r="DO167">
        <v>1</v>
      </c>
      <c r="DP167">
        <v>1708</v>
      </c>
      <c r="DQ167">
        <v>468</v>
      </c>
      <c r="DR167" t="s">
        <v>4100</v>
      </c>
      <c r="DS167">
        <v>140</v>
      </c>
      <c r="DT167" t="s">
        <v>4101</v>
      </c>
      <c r="DU167">
        <v>67</v>
      </c>
      <c r="DV167">
        <v>0.84</v>
      </c>
      <c r="DW167">
        <v>1</v>
      </c>
      <c r="DX167">
        <v>1715</v>
      </c>
      <c r="DY167">
        <v>439</v>
      </c>
      <c r="DZ167" t="s">
        <v>4066</v>
      </c>
      <c r="EA167">
        <v>33</v>
      </c>
      <c r="EB167" t="s">
        <v>4065</v>
      </c>
      <c r="EC167">
        <v>0.4</v>
      </c>
      <c r="ED167">
        <v>1708</v>
      </c>
      <c r="EE167">
        <v>50</v>
      </c>
      <c r="EF167" t="s">
        <v>4066</v>
      </c>
      <c r="EG167">
        <v>33</v>
      </c>
      <c r="EH167" t="s">
        <v>4065</v>
      </c>
      <c r="EI167">
        <v>0.4</v>
      </c>
      <c r="EJ167">
        <v>1715</v>
      </c>
      <c r="EK167">
        <v>50</v>
      </c>
      <c r="EL167" t="s">
        <v>1528</v>
      </c>
      <c r="EM167">
        <v>12</v>
      </c>
      <c r="EN167">
        <v>0.5</v>
      </c>
      <c r="EO167">
        <v>0.96</v>
      </c>
      <c r="EP167">
        <v>1715.56</v>
      </c>
      <c r="EQ167">
        <v>22650.75</v>
      </c>
      <c r="ER167">
        <v>2420.99</v>
      </c>
      <c r="ES167">
        <v>0</v>
      </c>
      <c r="ET167">
        <v>0</v>
      </c>
      <c r="EU167">
        <v>1</v>
      </c>
      <c r="EV167">
        <v>25072</v>
      </c>
      <c r="EW167">
        <v>301</v>
      </c>
      <c r="EX167" t="s">
        <v>4613</v>
      </c>
      <c r="EY167">
        <v>170</v>
      </c>
      <c r="EZ167" t="s">
        <v>4055</v>
      </c>
      <c r="FA167">
        <v>4.7</v>
      </c>
      <c r="FB167">
        <v>1</v>
      </c>
      <c r="FC167">
        <v>1</v>
      </c>
      <c r="FD167">
        <v>1749</v>
      </c>
      <c r="FE167">
        <v>1544</v>
      </c>
      <c r="FF167" t="s">
        <v>4288</v>
      </c>
      <c r="FG167">
        <v>180</v>
      </c>
      <c r="FH167" t="s">
        <v>4055</v>
      </c>
      <c r="FI167">
        <v>3.4</v>
      </c>
      <c r="FJ167">
        <v>1749</v>
      </c>
      <c r="FK167">
        <v>1218</v>
      </c>
      <c r="FL167" t="s">
        <v>4069</v>
      </c>
      <c r="FM167" t="s">
        <v>4055</v>
      </c>
      <c r="FN167" t="s">
        <v>4055</v>
      </c>
      <c r="FO167" t="s">
        <v>4055</v>
      </c>
      <c r="FP167">
        <v>1749</v>
      </c>
      <c r="FQ167">
        <v>149</v>
      </c>
      <c r="FR167" t="s">
        <v>4090</v>
      </c>
      <c r="FS167">
        <v>184</v>
      </c>
      <c r="FT167" t="s">
        <v>4055</v>
      </c>
      <c r="FU167">
        <v>0.4</v>
      </c>
      <c r="FV167">
        <v>1749</v>
      </c>
      <c r="FW167">
        <v>144</v>
      </c>
      <c r="FZ167" t="s">
        <v>4055</v>
      </c>
      <c r="GA167" t="s">
        <v>4055</v>
      </c>
      <c r="GD167">
        <v>3055</v>
      </c>
      <c r="GE167" t="s">
        <v>4685</v>
      </c>
      <c r="GF167" t="s">
        <v>4055</v>
      </c>
      <c r="GG167" t="s">
        <v>4055</v>
      </c>
      <c r="GH167" t="s">
        <v>4055</v>
      </c>
      <c r="GI167" t="s">
        <v>4071</v>
      </c>
      <c r="GJ167" t="s">
        <v>4055</v>
      </c>
      <c r="GK167" t="s">
        <v>4055</v>
      </c>
      <c r="GL167" t="s">
        <v>4055</v>
      </c>
      <c r="GM167" t="s">
        <v>4055</v>
      </c>
      <c r="GQ167">
        <v>0</v>
      </c>
      <c r="GV167">
        <v>8.5</v>
      </c>
      <c r="GW167">
        <v>11</v>
      </c>
      <c r="GX167">
        <v>0.5</v>
      </c>
      <c r="GY167">
        <v>140</v>
      </c>
      <c r="GZ167">
        <v>3</v>
      </c>
      <c r="HA167">
        <v>194</v>
      </c>
      <c r="HB167">
        <v>3</v>
      </c>
      <c r="HC167">
        <v>1749</v>
      </c>
      <c r="HD167">
        <v>4</v>
      </c>
      <c r="HE167" t="s">
        <v>4071</v>
      </c>
      <c r="HG167" t="s">
        <v>549</v>
      </c>
      <c r="HL167">
        <v>4</v>
      </c>
      <c r="HM167">
        <v>14</v>
      </c>
      <c r="HN167">
        <v>1</v>
      </c>
      <c r="HO167">
        <v>1</v>
      </c>
      <c r="HP167">
        <v>0</v>
      </c>
      <c r="HQ167">
        <v>0</v>
      </c>
      <c r="HR167">
        <v>1</v>
      </c>
      <c r="HS167">
        <v>1705</v>
      </c>
      <c r="HT167">
        <v>5</v>
      </c>
      <c r="HU167">
        <v>1</v>
      </c>
      <c r="HV167">
        <v>5</v>
      </c>
      <c r="HW167">
        <v>0</v>
      </c>
      <c r="HX167">
        <v>1</v>
      </c>
      <c r="HY167">
        <v>0</v>
      </c>
      <c r="HZ167">
        <v>67</v>
      </c>
      <c r="IA167">
        <v>1708</v>
      </c>
      <c r="IB167">
        <v>1715</v>
      </c>
      <c r="ID167">
        <v>1749</v>
      </c>
      <c r="IE167">
        <v>1749</v>
      </c>
      <c r="IF167">
        <v>150</v>
      </c>
      <c r="IG167">
        <v>140</v>
      </c>
      <c r="IH167">
        <v>194</v>
      </c>
      <c r="II167">
        <v>0</v>
      </c>
      <c r="IJ167">
        <v>5</v>
      </c>
      <c r="IK167">
        <v>0</v>
      </c>
      <c r="IL167">
        <v>0</v>
      </c>
      <c r="IM167">
        <v>0</v>
      </c>
      <c r="IN167">
        <v>270</v>
      </c>
      <c r="IO167">
        <v>0</v>
      </c>
      <c r="IP167">
        <v>180</v>
      </c>
      <c r="IQ167">
        <v>0</v>
      </c>
      <c r="IR167">
        <v>330</v>
      </c>
      <c r="IS167">
        <v>0</v>
      </c>
      <c r="IT167">
        <v>90</v>
      </c>
      <c r="IU167">
        <v>0</v>
      </c>
      <c r="IV167">
        <v>6.4</v>
      </c>
      <c r="IW167">
        <v>-6</v>
      </c>
      <c r="IX167">
        <v>78.5</v>
      </c>
      <c r="IY167">
        <v>69.5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316</v>
      </c>
      <c r="JJ167">
        <v>280</v>
      </c>
      <c r="JK167">
        <v>212</v>
      </c>
      <c r="JL167">
        <v>280</v>
      </c>
      <c r="JM167">
        <v>212</v>
      </c>
      <c r="JN167">
        <v>155</v>
      </c>
      <c r="JO167">
        <v>202</v>
      </c>
      <c r="JP167">
        <v>250</v>
      </c>
      <c r="JQ167">
        <v>290</v>
      </c>
      <c r="JR167">
        <v>365</v>
      </c>
      <c r="JS167">
        <v>290</v>
      </c>
      <c r="JT167">
        <v>0</v>
      </c>
      <c r="JU167">
        <v>0</v>
      </c>
      <c r="JV167">
        <v>335</v>
      </c>
      <c r="JW167">
        <v>337</v>
      </c>
      <c r="JX167">
        <v>345</v>
      </c>
      <c r="JY167">
        <v>325</v>
      </c>
      <c r="JZ167">
        <v>0.4</v>
      </c>
      <c r="KA167">
        <v>0.2</v>
      </c>
      <c r="KB167">
        <v>0.4</v>
      </c>
      <c r="KC167">
        <v>0.42</v>
      </c>
      <c r="KD167">
        <v>0.3</v>
      </c>
      <c r="KE167">
        <v>0.5</v>
      </c>
      <c r="KF167">
        <v>0.18</v>
      </c>
      <c r="KG167">
        <v>0.1</v>
      </c>
      <c r="KH167">
        <v>3.5</v>
      </c>
      <c r="KI167">
        <v>1</v>
      </c>
      <c r="KJ167">
        <v>4.5</v>
      </c>
      <c r="KK167">
        <v>0</v>
      </c>
      <c r="KL167">
        <v>4.5</v>
      </c>
      <c r="KM167">
        <v>0</v>
      </c>
      <c r="KN167">
        <v>1</v>
      </c>
      <c r="KO167">
        <v>1</v>
      </c>
      <c r="KP167">
        <v>0.4</v>
      </c>
      <c r="KQ167">
        <v>0.8</v>
      </c>
      <c r="KR167">
        <v>1</v>
      </c>
      <c r="KS167">
        <v>0</v>
      </c>
      <c r="KT167">
        <v>1.8</v>
      </c>
      <c r="KU167">
        <v>1</v>
      </c>
      <c r="KV167">
        <v>0</v>
      </c>
      <c r="KW167">
        <v>0.8</v>
      </c>
      <c r="KX167">
        <v>2</v>
      </c>
      <c r="KY167">
        <v>2</v>
      </c>
      <c r="KZ167">
        <v>4</v>
      </c>
      <c r="LA167">
        <v>2.4</v>
      </c>
      <c r="LB167">
        <v>10</v>
      </c>
      <c r="LC167">
        <v>2.4</v>
      </c>
      <c r="LD167">
        <v>2.3</v>
      </c>
      <c r="LE167">
        <v>2.8</v>
      </c>
      <c r="LF167">
        <v>0</v>
      </c>
      <c r="LG167">
        <v>0</v>
      </c>
      <c r="LH167">
        <v>0</v>
      </c>
      <c r="LI167">
        <v>1.5</v>
      </c>
      <c r="LJ167">
        <v>0</v>
      </c>
      <c r="LK167">
        <v>8</v>
      </c>
      <c r="LL167">
        <v>7</v>
      </c>
      <c r="LM167">
        <v>11</v>
      </c>
      <c r="LN167">
        <v>0.1</v>
      </c>
      <c r="LO167">
        <v>0.1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10</v>
      </c>
      <c r="MC167">
        <v>0</v>
      </c>
      <c r="MD167">
        <v>4.5</v>
      </c>
      <c r="ME167">
        <v>6</v>
      </c>
      <c r="MF167">
        <v>6</v>
      </c>
      <c r="MI167">
        <v>0</v>
      </c>
      <c r="MJ167">
        <v>0</v>
      </c>
      <c r="ML167">
        <v>0</v>
      </c>
      <c r="MM167">
        <v>356</v>
      </c>
      <c r="MN167">
        <v>145</v>
      </c>
      <c r="MO167">
        <v>204</v>
      </c>
      <c r="NU167">
        <v>0.15</v>
      </c>
      <c r="NV167">
        <v>0.2</v>
      </c>
      <c r="NW167">
        <v>0.2</v>
      </c>
      <c r="NX167">
        <v>2</v>
      </c>
      <c r="NY167">
        <v>2</v>
      </c>
      <c r="NZ167">
        <v>2</v>
      </c>
      <c r="OE167" t="s">
        <v>4685</v>
      </c>
      <c r="OF167" t="s">
        <v>4683</v>
      </c>
      <c r="OG167" t="s">
        <v>4684</v>
      </c>
      <c r="OH167" t="s">
        <v>4043</v>
      </c>
      <c r="OI167" t="s">
        <v>4685</v>
      </c>
      <c r="OJ167" t="s">
        <v>4682</v>
      </c>
      <c r="OK167">
        <v>61</v>
      </c>
      <c r="OL167">
        <v>61</v>
      </c>
      <c r="OM167" t="s">
        <v>4683</v>
      </c>
      <c r="ON167">
        <v>3</v>
      </c>
      <c r="OO167">
        <v>1708</v>
      </c>
      <c r="OP167">
        <v>61</v>
      </c>
      <c r="OQ167">
        <v>61</v>
      </c>
      <c r="OR167" t="s">
        <v>4684</v>
      </c>
      <c r="OS167">
        <v>3</v>
      </c>
      <c r="OT167">
        <v>1715</v>
      </c>
      <c r="OU167">
        <v>65</v>
      </c>
      <c r="OV167">
        <v>65</v>
      </c>
      <c r="OW167" t="s">
        <v>4043</v>
      </c>
      <c r="OX167">
        <v>2</v>
      </c>
      <c r="OY167">
        <v>25072</v>
      </c>
      <c r="OZ167">
        <v>51</v>
      </c>
      <c r="PA167">
        <v>51</v>
      </c>
      <c r="PB167" t="s">
        <v>4685</v>
      </c>
      <c r="PC167">
        <v>3</v>
      </c>
      <c r="PD167">
        <v>1749</v>
      </c>
      <c r="PF167">
        <v>274</v>
      </c>
      <c r="PG167">
        <v>29</v>
      </c>
      <c r="PH167">
        <v>256</v>
      </c>
      <c r="PI167">
        <v>29</v>
      </c>
      <c r="PJ167">
        <v>85</v>
      </c>
      <c r="PK167">
        <v>1744</v>
      </c>
      <c r="PL167">
        <v>882.8</v>
      </c>
      <c r="PM167">
        <v>696.4</v>
      </c>
      <c r="PN167">
        <v>82.2</v>
      </c>
      <c r="PP167">
        <v>12</v>
      </c>
      <c r="PQ167">
        <v>8</v>
      </c>
      <c r="PR167">
        <v>8</v>
      </c>
      <c r="PS167">
        <v>6</v>
      </c>
      <c r="PT167">
        <v>194</v>
      </c>
      <c r="PU167">
        <v>7</v>
      </c>
      <c r="PV167" t="s">
        <v>4072</v>
      </c>
      <c r="PW167" t="s">
        <v>4072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-1</v>
      </c>
      <c r="QF167">
        <v>1</v>
      </c>
      <c r="QG167">
        <v>0</v>
      </c>
      <c r="QH167">
        <v>5</v>
      </c>
      <c r="QI167">
        <v>5</v>
      </c>
      <c r="QJ167">
        <v>5</v>
      </c>
      <c r="QK167">
        <v>153</v>
      </c>
      <c r="QL167">
        <v>350</v>
      </c>
      <c r="QM167">
        <v>7.5</v>
      </c>
      <c r="QN167">
        <v>1123</v>
      </c>
      <c r="QO167" t="s">
        <v>2341</v>
      </c>
      <c r="QP167" t="s">
        <v>513</v>
      </c>
      <c r="QQ167">
        <v>0</v>
      </c>
      <c r="QR167" t="s">
        <v>649</v>
      </c>
      <c r="QS167">
        <v>30</v>
      </c>
      <c r="QT167">
        <v>40</v>
      </c>
    </row>
    <row r="168" spans="1:462">
      <c r="A168" t="s">
        <v>2424</v>
      </c>
      <c r="B168" t="s">
        <v>1453</v>
      </c>
      <c r="C168" t="s">
        <v>509</v>
      </c>
      <c r="D168" t="s">
        <v>2422</v>
      </c>
      <c r="E168" t="s">
        <v>4036</v>
      </c>
      <c r="H168" t="s">
        <v>2423</v>
      </c>
      <c r="I168" t="s">
        <v>896</v>
      </c>
      <c r="J168" t="s">
        <v>628</v>
      </c>
      <c r="K168" t="s">
        <v>606</v>
      </c>
      <c r="L168" t="s">
        <v>727</v>
      </c>
      <c r="M168" t="s">
        <v>512</v>
      </c>
      <c r="O168" t="s">
        <v>513</v>
      </c>
      <c r="P168" t="s">
        <v>517</v>
      </c>
      <c r="Q168" t="s">
        <v>1480</v>
      </c>
      <c r="R168" t="s">
        <v>1481</v>
      </c>
      <c r="S168" t="s">
        <v>4091</v>
      </c>
      <c r="T168" t="s">
        <v>1482</v>
      </c>
      <c r="U168" t="s">
        <v>1483</v>
      </c>
      <c r="V168" t="s">
        <v>2425</v>
      </c>
      <c r="W168" t="s">
        <v>2336</v>
      </c>
      <c r="X168" t="s">
        <v>2426</v>
      </c>
      <c r="Y168" t="s">
        <v>2427</v>
      </c>
      <c r="Z168" t="s">
        <v>650</v>
      </c>
      <c r="AA168" t="s">
        <v>3054</v>
      </c>
      <c r="AB168" t="s">
        <v>4686</v>
      </c>
      <c r="AC168">
        <v>14</v>
      </c>
      <c r="AD168" t="s">
        <v>2421</v>
      </c>
      <c r="AE168">
        <v>11</v>
      </c>
      <c r="AF168">
        <v>3399</v>
      </c>
      <c r="AG168" t="s">
        <v>4687</v>
      </c>
      <c r="AH168">
        <v>1</v>
      </c>
      <c r="AI168" t="s">
        <v>4041</v>
      </c>
      <c r="AK168" t="s">
        <v>4688</v>
      </c>
      <c r="AL168">
        <v>1</v>
      </c>
      <c r="AM168" t="s">
        <v>582</v>
      </c>
      <c r="AO168" t="s">
        <v>4043</v>
      </c>
      <c r="AP168">
        <v>1</v>
      </c>
      <c r="AR168" t="s">
        <v>4689</v>
      </c>
      <c r="AS168">
        <v>1</v>
      </c>
      <c r="AT168">
        <v>52</v>
      </c>
      <c r="AV168" t="s">
        <v>4045</v>
      </c>
      <c r="AW168">
        <v>6.4</v>
      </c>
      <c r="AX168">
        <v>-6</v>
      </c>
      <c r="AY168">
        <v>80</v>
      </c>
      <c r="AZ168">
        <v>71</v>
      </c>
      <c r="BH168">
        <v>80</v>
      </c>
      <c r="BI168">
        <v>9</v>
      </c>
      <c r="BJ168">
        <v>71</v>
      </c>
      <c r="BK168">
        <v>2.5</v>
      </c>
      <c r="BL168">
        <v>160</v>
      </c>
      <c r="BM168">
        <v>-6</v>
      </c>
      <c r="BN168">
        <v>0</v>
      </c>
      <c r="BP168">
        <v>0</v>
      </c>
      <c r="BR168">
        <v>155</v>
      </c>
      <c r="BS168">
        <v>145</v>
      </c>
      <c r="BT168">
        <v>1815</v>
      </c>
      <c r="BU168" t="s">
        <v>4047</v>
      </c>
      <c r="BV168" t="s">
        <v>4047</v>
      </c>
      <c r="BW168" t="s">
        <v>4048</v>
      </c>
      <c r="BX168" t="s">
        <v>4049</v>
      </c>
      <c r="BY168" t="s">
        <v>4369</v>
      </c>
      <c r="BZ168" t="s">
        <v>4413</v>
      </c>
      <c r="CA168" t="s">
        <v>4370</v>
      </c>
      <c r="CB168" t="s">
        <v>4371</v>
      </c>
      <c r="CC168" t="s">
        <v>4053</v>
      </c>
      <c r="CD168" t="s">
        <v>4372</v>
      </c>
      <c r="CE168" t="s">
        <v>4055</v>
      </c>
      <c r="CF168" t="s">
        <v>4055</v>
      </c>
      <c r="CG168" t="s">
        <v>4056</v>
      </c>
      <c r="CH168" t="s">
        <v>4145</v>
      </c>
      <c r="CI168" t="s">
        <v>4058</v>
      </c>
      <c r="CJ168" t="s">
        <v>4059</v>
      </c>
      <c r="CK168" t="s">
        <v>4060</v>
      </c>
      <c r="CL168" t="s">
        <v>4061</v>
      </c>
      <c r="CM168" t="s">
        <v>4062</v>
      </c>
      <c r="CN168" t="s">
        <v>4055</v>
      </c>
      <c r="CO168" t="s">
        <v>4063</v>
      </c>
      <c r="CP168" t="s">
        <v>4055</v>
      </c>
      <c r="CQ168" t="s">
        <v>4055</v>
      </c>
      <c r="CR168">
        <v>5</v>
      </c>
      <c r="CS168" t="s">
        <v>4055</v>
      </c>
      <c r="CT168" t="s">
        <v>4055</v>
      </c>
      <c r="CU168" t="s">
        <v>4055</v>
      </c>
      <c r="CV168">
        <v>108</v>
      </c>
      <c r="CW168">
        <v>3</v>
      </c>
      <c r="CX168">
        <v>86</v>
      </c>
      <c r="CY168">
        <v>5</v>
      </c>
      <c r="CZ168">
        <v>122</v>
      </c>
      <c r="DA168">
        <v>5</v>
      </c>
      <c r="DB168">
        <v>8110</v>
      </c>
      <c r="DC168">
        <v>240</v>
      </c>
      <c r="DD168">
        <v>265</v>
      </c>
      <c r="DE168">
        <v>1915</v>
      </c>
      <c r="DF168">
        <v>1915</v>
      </c>
      <c r="DG168">
        <v>1933</v>
      </c>
      <c r="DH168" t="s">
        <v>4055</v>
      </c>
      <c r="DI168" t="s">
        <v>4055</v>
      </c>
      <c r="DJ168" t="s">
        <v>4100</v>
      </c>
      <c r="DK168">
        <v>155</v>
      </c>
      <c r="DL168" t="s">
        <v>4101</v>
      </c>
      <c r="DM168">
        <v>67</v>
      </c>
      <c r="DN168">
        <v>0.84</v>
      </c>
      <c r="DO168">
        <v>1</v>
      </c>
      <c r="DP168">
        <v>1818</v>
      </c>
      <c r="DQ168">
        <v>514</v>
      </c>
      <c r="DR168" t="s">
        <v>4100</v>
      </c>
      <c r="DS168">
        <v>145</v>
      </c>
      <c r="DT168" t="s">
        <v>4101</v>
      </c>
      <c r="DU168">
        <v>67</v>
      </c>
      <c r="DV168">
        <v>0.84</v>
      </c>
      <c r="DW168">
        <v>1</v>
      </c>
      <c r="DX168">
        <v>1825</v>
      </c>
      <c r="DY168">
        <v>484</v>
      </c>
      <c r="DZ168" t="s">
        <v>4066</v>
      </c>
      <c r="EA168">
        <v>33</v>
      </c>
      <c r="EB168" t="s">
        <v>4065</v>
      </c>
      <c r="EC168">
        <v>0.4</v>
      </c>
      <c r="ED168">
        <v>1818</v>
      </c>
      <c r="EE168">
        <v>53</v>
      </c>
      <c r="EF168" t="s">
        <v>4066</v>
      </c>
      <c r="EG168">
        <v>33</v>
      </c>
      <c r="EH168" t="s">
        <v>4065</v>
      </c>
      <c r="EI168">
        <v>0.4</v>
      </c>
      <c r="EJ168">
        <v>1825</v>
      </c>
      <c r="EK168">
        <v>53</v>
      </c>
      <c r="EL168" t="s">
        <v>1528</v>
      </c>
      <c r="EM168">
        <v>12</v>
      </c>
      <c r="EN168">
        <v>0.5</v>
      </c>
      <c r="EO168">
        <v>0.96</v>
      </c>
      <c r="EP168">
        <v>1825.56</v>
      </c>
      <c r="EQ168">
        <v>24530.96</v>
      </c>
      <c r="ER168">
        <v>2575.68</v>
      </c>
      <c r="ES168">
        <v>0</v>
      </c>
      <c r="ET168">
        <v>0</v>
      </c>
      <c r="EU168">
        <v>1</v>
      </c>
      <c r="EV168">
        <v>27107</v>
      </c>
      <c r="EW168">
        <v>326</v>
      </c>
      <c r="EX168" t="s">
        <v>4613</v>
      </c>
      <c r="EY168">
        <v>166</v>
      </c>
      <c r="EZ168" t="s">
        <v>4055</v>
      </c>
      <c r="FA168">
        <v>3.8</v>
      </c>
      <c r="FB168">
        <v>1</v>
      </c>
      <c r="FC168">
        <v>1</v>
      </c>
      <c r="FD168">
        <v>1858</v>
      </c>
      <c r="FE168">
        <v>1276</v>
      </c>
      <c r="FF168" t="s">
        <v>4288</v>
      </c>
      <c r="FG168">
        <v>182</v>
      </c>
      <c r="FH168" t="s">
        <v>4055</v>
      </c>
      <c r="FI168">
        <v>4.2</v>
      </c>
      <c r="FJ168">
        <v>1858</v>
      </c>
      <c r="FK168">
        <v>1628</v>
      </c>
      <c r="FL168" t="s">
        <v>4069</v>
      </c>
      <c r="FM168" t="s">
        <v>4055</v>
      </c>
      <c r="FN168" t="s">
        <v>4055</v>
      </c>
      <c r="FO168" t="s">
        <v>4055</v>
      </c>
      <c r="FP168">
        <v>1858</v>
      </c>
      <c r="FQ168">
        <v>217</v>
      </c>
      <c r="FR168" t="s">
        <v>4090</v>
      </c>
      <c r="FS168">
        <v>186</v>
      </c>
      <c r="FT168" t="s">
        <v>4055</v>
      </c>
      <c r="FU168">
        <v>0.4</v>
      </c>
      <c r="FV168">
        <v>1858</v>
      </c>
      <c r="FW168">
        <v>154</v>
      </c>
      <c r="FZ168" t="s">
        <v>4055</v>
      </c>
      <c r="GA168" t="s">
        <v>4055</v>
      </c>
      <c r="GD168">
        <v>3275</v>
      </c>
      <c r="GE168" t="s">
        <v>4689</v>
      </c>
      <c r="GF168" t="s">
        <v>4055</v>
      </c>
      <c r="GG168" t="s">
        <v>4055</v>
      </c>
      <c r="GH168" t="s">
        <v>4055</v>
      </c>
      <c r="GI168" t="s">
        <v>4071</v>
      </c>
      <c r="GJ168" t="s">
        <v>4055</v>
      </c>
      <c r="GK168" t="s">
        <v>4055</v>
      </c>
      <c r="GL168" t="s">
        <v>4055</v>
      </c>
      <c r="GM168" t="s">
        <v>4055</v>
      </c>
      <c r="GQ168">
        <v>0</v>
      </c>
      <c r="GV168">
        <v>8.4</v>
      </c>
      <c r="GW168">
        <v>11.1</v>
      </c>
      <c r="GX168">
        <v>0.5</v>
      </c>
      <c r="GY168">
        <v>146</v>
      </c>
      <c r="GZ168">
        <v>3</v>
      </c>
      <c r="HA168">
        <v>196</v>
      </c>
      <c r="HB168">
        <v>3</v>
      </c>
      <c r="HC168">
        <v>1858</v>
      </c>
      <c r="HD168">
        <v>4</v>
      </c>
      <c r="HE168" t="s">
        <v>4071</v>
      </c>
      <c r="HG168" t="s">
        <v>549</v>
      </c>
      <c r="HL168">
        <v>4</v>
      </c>
      <c r="HM168">
        <v>15</v>
      </c>
      <c r="HN168">
        <v>1</v>
      </c>
      <c r="HO168">
        <v>1</v>
      </c>
      <c r="HP168">
        <v>0</v>
      </c>
      <c r="HQ168">
        <v>0</v>
      </c>
      <c r="HR168">
        <v>3</v>
      </c>
      <c r="HS168">
        <v>1815</v>
      </c>
      <c r="HT168">
        <v>5</v>
      </c>
      <c r="HU168">
        <v>1</v>
      </c>
      <c r="HV168">
        <v>5</v>
      </c>
      <c r="HW168">
        <v>0</v>
      </c>
      <c r="HX168">
        <v>1</v>
      </c>
      <c r="HY168">
        <v>0</v>
      </c>
      <c r="HZ168">
        <v>67</v>
      </c>
      <c r="IA168">
        <v>1818</v>
      </c>
      <c r="IB168">
        <v>1825</v>
      </c>
      <c r="ID168">
        <v>1858</v>
      </c>
      <c r="IE168">
        <v>1858</v>
      </c>
      <c r="IF168">
        <v>155</v>
      </c>
      <c r="IG168">
        <v>145</v>
      </c>
      <c r="IH168">
        <v>196</v>
      </c>
      <c r="II168">
        <v>1</v>
      </c>
      <c r="IJ168">
        <v>5</v>
      </c>
      <c r="IK168">
        <v>0</v>
      </c>
      <c r="IL168">
        <v>0</v>
      </c>
      <c r="IM168">
        <v>0</v>
      </c>
      <c r="IN168">
        <v>270</v>
      </c>
      <c r="IO168">
        <v>0</v>
      </c>
      <c r="IP168">
        <v>180</v>
      </c>
      <c r="IQ168">
        <v>0</v>
      </c>
      <c r="IR168">
        <v>342</v>
      </c>
      <c r="IS168">
        <v>0</v>
      </c>
      <c r="IT168">
        <v>90</v>
      </c>
      <c r="IU168">
        <v>0</v>
      </c>
      <c r="IV168">
        <v>6.4</v>
      </c>
      <c r="IW168">
        <v>-6</v>
      </c>
      <c r="IX168">
        <v>80</v>
      </c>
      <c r="IY168">
        <v>71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336</v>
      </c>
      <c r="JJ168">
        <v>310</v>
      </c>
      <c r="JK168">
        <v>223</v>
      </c>
      <c r="JL168">
        <v>310</v>
      </c>
      <c r="JM168">
        <v>223</v>
      </c>
      <c r="JN168">
        <v>160</v>
      </c>
      <c r="JO168">
        <v>201</v>
      </c>
      <c r="JP168">
        <v>235</v>
      </c>
      <c r="JQ168">
        <v>275</v>
      </c>
      <c r="JR168">
        <v>360</v>
      </c>
      <c r="JS168">
        <v>280</v>
      </c>
      <c r="JT168">
        <v>0</v>
      </c>
      <c r="JU168">
        <v>0</v>
      </c>
      <c r="JV168">
        <v>335</v>
      </c>
      <c r="JW168">
        <v>337</v>
      </c>
      <c r="JX168">
        <v>355</v>
      </c>
      <c r="JY168">
        <v>330</v>
      </c>
      <c r="JZ168">
        <v>2</v>
      </c>
      <c r="KA168">
        <v>0.2</v>
      </c>
      <c r="KB168">
        <v>0.3</v>
      </c>
      <c r="KC168">
        <v>0.42</v>
      </c>
      <c r="KD168">
        <v>0.4</v>
      </c>
      <c r="KE168">
        <v>0.5</v>
      </c>
      <c r="KF168">
        <v>0.16</v>
      </c>
      <c r="KG168">
        <v>0.08</v>
      </c>
      <c r="KH168">
        <v>3.5</v>
      </c>
      <c r="KI168">
        <v>1</v>
      </c>
      <c r="KJ168">
        <v>4.5</v>
      </c>
      <c r="KK168">
        <v>0</v>
      </c>
      <c r="KL168">
        <v>4.5</v>
      </c>
      <c r="KM168">
        <v>0</v>
      </c>
      <c r="KN168">
        <v>1.1</v>
      </c>
      <c r="KO168">
        <v>0</v>
      </c>
      <c r="KP168">
        <v>0</v>
      </c>
      <c r="KQ168">
        <v>1</v>
      </c>
      <c r="KR168">
        <v>0.8</v>
      </c>
      <c r="KS168">
        <v>0</v>
      </c>
      <c r="KT168">
        <v>1</v>
      </c>
      <c r="KU168">
        <v>0</v>
      </c>
      <c r="KV168">
        <v>0</v>
      </c>
      <c r="KW168">
        <v>1.2</v>
      </c>
      <c r="KX168">
        <v>2</v>
      </c>
      <c r="KY168">
        <v>1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2</v>
      </c>
      <c r="LJ168">
        <v>0</v>
      </c>
      <c r="LK168">
        <v>3</v>
      </c>
      <c r="LL168">
        <v>3.5</v>
      </c>
      <c r="LM168">
        <v>4</v>
      </c>
      <c r="LN168">
        <v>0.5</v>
      </c>
      <c r="LO168">
        <v>0.5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1.4</v>
      </c>
      <c r="LX168">
        <v>1.4</v>
      </c>
      <c r="LY168">
        <v>1.4</v>
      </c>
      <c r="LZ168">
        <v>1.4</v>
      </c>
      <c r="MA168">
        <v>0</v>
      </c>
      <c r="MB168">
        <v>0</v>
      </c>
      <c r="MC168">
        <v>0</v>
      </c>
      <c r="MD168">
        <v>6</v>
      </c>
      <c r="ME168">
        <v>6</v>
      </c>
      <c r="MF168">
        <v>6</v>
      </c>
      <c r="MG168">
        <v>20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374</v>
      </c>
      <c r="MN168">
        <v>150</v>
      </c>
      <c r="MO168">
        <v>202</v>
      </c>
      <c r="NU168">
        <v>0.15</v>
      </c>
      <c r="NV168">
        <v>0.2</v>
      </c>
      <c r="NW168">
        <v>0.2</v>
      </c>
      <c r="NX168">
        <v>4</v>
      </c>
      <c r="NY168">
        <v>4</v>
      </c>
      <c r="NZ168">
        <v>2</v>
      </c>
      <c r="OE168" t="s">
        <v>4689</v>
      </c>
      <c r="OF168" t="s">
        <v>4687</v>
      </c>
      <c r="OG168" t="s">
        <v>4688</v>
      </c>
      <c r="OH168" t="s">
        <v>4043</v>
      </c>
      <c r="OI168" t="s">
        <v>4689</v>
      </c>
      <c r="OJ168" t="s">
        <v>4686</v>
      </c>
      <c r="OK168">
        <v>61</v>
      </c>
      <c r="OL168">
        <v>61</v>
      </c>
      <c r="OM168" t="s">
        <v>4687</v>
      </c>
      <c r="ON168">
        <v>3</v>
      </c>
      <c r="OO168">
        <v>1818</v>
      </c>
      <c r="OP168">
        <v>61</v>
      </c>
      <c r="OQ168">
        <v>61</v>
      </c>
      <c r="OR168" t="s">
        <v>4688</v>
      </c>
      <c r="OS168">
        <v>3</v>
      </c>
      <c r="OT168">
        <v>1825</v>
      </c>
      <c r="OU168">
        <v>65</v>
      </c>
      <c r="OV168">
        <v>65</v>
      </c>
      <c r="OW168" t="s">
        <v>4043</v>
      </c>
      <c r="OX168">
        <v>2</v>
      </c>
      <c r="OY168">
        <v>27107</v>
      </c>
      <c r="OZ168">
        <v>51</v>
      </c>
      <c r="PA168">
        <v>52</v>
      </c>
      <c r="PB168" t="s">
        <v>4689</v>
      </c>
      <c r="PC168">
        <v>3</v>
      </c>
      <c r="PD168">
        <v>1858</v>
      </c>
      <c r="PF168">
        <v>283</v>
      </c>
      <c r="PG168">
        <v>29</v>
      </c>
      <c r="PH168">
        <v>265</v>
      </c>
      <c r="PI168">
        <v>29</v>
      </c>
      <c r="PJ168">
        <v>116.8</v>
      </c>
      <c r="PK168">
        <v>0</v>
      </c>
      <c r="PL168">
        <v>686.8</v>
      </c>
      <c r="PM168">
        <v>876.2</v>
      </c>
      <c r="PN168">
        <v>83.09999999999999</v>
      </c>
      <c r="PP168">
        <v>12</v>
      </c>
      <c r="PQ168">
        <v>2</v>
      </c>
      <c r="PR168">
        <v>1</v>
      </c>
      <c r="PS168">
        <v>6</v>
      </c>
      <c r="PT168">
        <v>196</v>
      </c>
      <c r="PU168">
        <v>7</v>
      </c>
      <c r="PV168" t="s">
        <v>4072</v>
      </c>
      <c r="PW168" t="s">
        <v>4072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-1</v>
      </c>
      <c r="QF168">
        <v>1</v>
      </c>
      <c r="QG168">
        <v>0</v>
      </c>
      <c r="QH168">
        <v>5</v>
      </c>
      <c r="QI168">
        <v>5</v>
      </c>
      <c r="QJ168">
        <v>5</v>
      </c>
      <c r="QK168">
        <v>163</v>
      </c>
      <c r="QL168">
        <v>370</v>
      </c>
      <c r="QM168">
        <v>7.5</v>
      </c>
      <c r="QN168">
        <v>1202.7</v>
      </c>
      <c r="QO168" t="s">
        <v>2341</v>
      </c>
      <c r="QP168" t="s">
        <v>513</v>
      </c>
      <c r="QQ168">
        <v>0</v>
      </c>
      <c r="QR168" t="s">
        <v>649</v>
      </c>
      <c r="QS168">
        <v>30</v>
      </c>
      <c r="QT168">
        <v>40</v>
      </c>
    </row>
    <row r="169" spans="1:462">
      <c r="A169" t="s">
        <v>2434</v>
      </c>
      <c r="B169" t="s">
        <v>727</v>
      </c>
      <c r="C169" t="s">
        <v>509</v>
      </c>
      <c r="D169" t="s">
        <v>2433</v>
      </c>
      <c r="E169" t="s">
        <v>4036</v>
      </c>
      <c r="H169" t="s">
        <v>604</v>
      </c>
      <c r="I169" t="s">
        <v>605</v>
      </c>
      <c r="J169" t="s">
        <v>628</v>
      </c>
      <c r="K169" t="s">
        <v>606</v>
      </c>
      <c r="L169" t="s">
        <v>729</v>
      </c>
      <c r="M169" t="s">
        <v>512</v>
      </c>
      <c r="O169" t="s">
        <v>513</v>
      </c>
      <c r="P169" t="s">
        <v>517</v>
      </c>
      <c r="Q169" t="s">
        <v>1853</v>
      </c>
      <c r="R169" t="s">
        <v>820</v>
      </c>
      <c r="S169" t="s">
        <v>4170</v>
      </c>
      <c r="T169" t="s">
        <v>520</v>
      </c>
      <c r="U169" t="s">
        <v>521</v>
      </c>
      <c r="V169" t="s">
        <v>2435</v>
      </c>
      <c r="W169" t="s">
        <v>2336</v>
      </c>
      <c r="X169" t="s">
        <v>2436</v>
      </c>
      <c r="Y169" t="s">
        <v>2437</v>
      </c>
      <c r="Z169" t="s">
        <v>541</v>
      </c>
      <c r="AA169" t="s">
        <v>4038</v>
      </c>
      <c r="AB169" t="s">
        <v>4690</v>
      </c>
      <c r="AC169">
        <v>15</v>
      </c>
      <c r="AD169" t="s">
        <v>2432</v>
      </c>
      <c r="AE169">
        <v>10</v>
      </c>
      <c r="AF169">
        <v>4453</v>
      </c>
      <c r="AG169" t="s">
        <v>4691</v>
      </c>
      <c r="AH169">
        <v>1</v>
      </c>
      <c r="AI169" t="s">
        <v>4041</v>
      </c>
      <c r="AK169" t="s">
        <v>4692</v>
      </c>
      <c r="AL169">
        <v>1</v>
      </c>
      <c r="AM169" t="s">
        <v>582</v>
      </c>
      <c r="AO169" t="s">
        <v>4043</v>
      </c>
      <c r="AP169">
        <v>1</v>
      </c>
      <c r="AR169" t="s">
        <v>4693</v>
      </c>
      <c r="AS169">
        <v>1</v>
      </c>
      <c r="AT169">
        <v>51</v>
      </c>
      <c r="AV169" t="s">
        <v>4045</v>
      </c>
      <c r="AW169">
        <v>6.4</v>
      </c>
      <c r="AX169">
        <v>-6</v>
      </c>
      <c r="AY169">
        <v>98</v>
      </c>
      <c r="AZ169">
        <v>89</v>
      </c>
      <c r="BH169">
        <v>98</v>
      </c>
      <c r="BI169">
        <v>9</v>
      </c>
      <c r="BJ169">
        <v>89</v>
      </c>
      <c r="BK169">
        <v>3</v>
      </c>
      <c r="BL169">
        <v>196</v>
      </c>
      <c r="BM169">
        <v>-6</v>
      </c>
      <c r="BN169">
        <v>0</v>
      </c>
      <c r="BP169">
        <v>0</v>
      </c>
      <c r="BR169">
        <v>190</v>
      </c>
      <c r="BS169">
        <v>180</v>
      </c>
      <c r="BT169">
        <v>1955</v>
      </c>
      <c r="BU169" t="s">
        <v>4047</v>
      </c>
      <c r="BV169" t="s">
        <v>4096</v>
      </c>
      <c r="BW169" t="s">
        <v>4097</v>
      </c>
      <c r="BX169" t="s">
        <v>4097</v>
      </c>
      <c r="BY169" t="s">
        <v>4050</v>
      </c>
      <c r="BZ169" t="s">
        <v>4050</v>
      </c>
      <c r="CA169" t="s">
        <v>4051</v>
      </c>
      <c r="CB169" t="s">
        <v>4052</v>
      </c>
      <c r="CC169" t="s">
        <v>4053</v>
      </c>
      <c r="CD169" t="s">
        <v>4054</v>
      </c>
      <c r="CE169" t="s">
        <v>4055</v>
      </c>
      <c r="CF169" t="s">
        <v>4055</v>
      </c>
      <c r="CG169" t="s">
        <v>4056</v>
      </c>
      <c r="CH169" t="s">
        <v>4057</v>
      </c>
      <c r="CI169" t="s">
        <v>4058</v>
      </c>
      <c r="CJ169" t="s">
        <v>4059</v>
      </c>
      <c r="CK169" t="s">
        <v>4060</v>
      </c>
      <c r="CL169" t="s">
        <v>4061</v>
      </c>
      <c r="CM169" t="s">
        <v>4062</v>
      </c>
      <c r="CN169" t="s">
        <v>4055</v>
      </c>
      <c r="CO169" t="s">
        <v>4063</v>
      </c>
      <c r="CP169" t="s">
        <v>4055</v>
      </c>
      <c r="CQ169" t="s">
        <v>4055</v>
      </c>
      <c r="CR169">
        <v>5</v>
      </c>
      <c r="CS169" t="s">
        <v>4055</v>
      </c>
      <c r="CT169" t="s">
        <v>4055</v>
      </c>
      <c r="CU169" t="s">
        <v>4055</v>
      </c>
      <c r="CV169">
        <v>123</v>
      </c>
      <c r="CW169">
        <v>3</v>
      </c>
      <c r="CX169">
        <v>75</v>
      </c>
      <c r="CY169">
        <v>5</v>
      </c>
      <c r="CZ169">
        <v>66</v>
      </c>
      <c r="DA169">
        <v>5</v>
      </c>
      <c r="DB169">
        <v>10750</v>
      </c>
      <c r="DC169">
        <v>320</v>
      </c>
      <c r="DD169">
        <v>310</v>
      </c>
      <c r="DE169">
        <v>2054</v>
      </c>
      <c r="DF169">
        <v>2054</v>
      </c>
      <c r="DG169">
        <v>2066</v>
      </c>
      <c r="DH169" t="s">
        <v>4055</v>
      </c>
      <c r="DI169" t="s">
        <v>4055</v>
      </c>
      <c r="DJ169" t="s">
        <v>4100</v>
      </c>
      <c r="DK169">
        <v>190</v>
      </c>
      <c r="DL169" t="s">
        <v>4101</v>
      </c>
      <c r="DM169">
        <v>67</v>
      </c>
      <c r="DN169">
        <v>0.84</v>
      </c>
      <c r="DO169">
        <v>1</v>
      </c>
      <c r="DP169">
        <v>1958</v>
      </c>
      <c r="DQ169">
        <v>679</v>
      </c>
      <c r="DR169" t="s">
        <v>4100</v>
      </c>
      <c r="DS169">
        <v>180</v>
      </c>
      <c r="DT169" t="s">
        <v>4101</v>
      </c>
      <c r="DU169">
        <v>67</v>
      </c>
      <c r="DV169">
        <v>0.84</v>
      </c>
      <c r="DW169">
        <v>1</v>
      </c>
      <c r="DX169">
        <v>1965</v>
      </c>
      <c r="DY169">
        <v>646</v>
      </c>
      <c r="DZ169" t="s">
        <v>4066</v>
      </c>
      <c r="EA169">
        <v>33</v>
      </c>
      <c r="EB169" t="s">
        <v>4065</v>
      </c>
      <c r="EC169">
        <v>0.4</v>
      </c>
      <c r="ED169">
        <v>1958</v>
      </c>
      <c r="EE169">
        <v>57</v>
      </c>
      <c r="EF169" t="s">
        <v>4066</v>
      </c>
      <c r="EG169">
        <v>33</v>
      </c>
      <c r="EH169" t="s">
        <v>4065</v>
      </c>
      <c r="EI169">
        <v>0.4</v>
      </c>
      <c r="EJ169">
        <v>1965</v>
      </c>
      <c r="EK169">
        <v>57</v>
      </c>
      <c r="EL169" t="s">
        <v>1528</v>
      </c>
      <c r="EM169">
        <v>12</v>
      </c>
      <c r="EN169">
        <v>0.5</v>
      </c>
      <c r="EO169">
        <v>0.96</v>
      </c>
      <c r="EP169">
        <v>1965.56</v>
      </c>
      <c r="EQ169">
        <v>31940.35</v>
      </c>
      <c r="ER169">
        <v>2772.55</v>
      </c>
      <c r="ES169">
        <v>0</v>
      </c>
      <c r="ET169">
        <v>0</v>
      </c>
      <c r="EU169">
        <v>1</v>
      </c>
      <c r="EV169">
        <v>34713</v>
      </c>
      <c r="EW169">
        <v>417</v>
      </c>
      <c r="EX169" t="s">
        <v>4613</v>
      </c>
      <c r="EY169">
        <v>196</v>
      </c>
      <c r="EZ169" t="s">
        <v>4055</v>
      </c>
      <c r="FA169">
        <v>4.7</v>
      </c>
      <c r="FB169">
        <v>1</v>
      </c>
      <c r="FC169">
        <v>1</v>
      </c>
      <c r="FD169">
        <v>2000</v>
      </c>
      <c r="FE169">
        <v>2077</v>
      </c>
      <c r="FF169" t="s">
        <v>4288</v>
      </c>
      <c r="FG169">
        <v>204</v>
      </c>
      <c r="FH169" t="s">
        <v>4055</v>
      </c>
      <c r="FI169">
        <v>3.9</v>
      </c>
      <c r="FJ169">
        <v>2000</v>
      </c>
      <c r="FK169">
        <v>1975</v>
      </c>
      <c r="FL169" t="s">
        <v>4069</v>
      </c>
      <c r="FM169" t="s">
        <v>4055</v>
      </c>
      <c r="FN169" t="s">
        <v>4055</v>
      </c>
      <c r="FO169" t="s">
        <v>4055</v>
      </c>
      <c r="FP169">
        <v>2000</v>
      </c>
      <c r="FQ169">
        <v>200</v>
      </c>
      <c r="FR169" t="s">
        <v>4090</v>
      </c>
      <c r="FS169">
        <v>208</v>
      </c>
      <c r="FT169" t="s">
        <v>4055</v>
      </c>
      <c r="FU169">
        <v>0.4</v>
      </c>
      <c r="FV169">
        <v>2000</v>
      </c>
      <c r="FW169">
        <v>186</v>
      </c>
      <c r="FZ169" t="s">
        <v>4055</v>
      </c>
      <c r="GA169" t="s">
        <v>4055</v>
      </c>
      <c r="GD169">
        <v>4438</v>
      </c>
      <c r="GE169" t="s">
        <v>4693</v>
      </c>
      <c r="GF169" t="s">
        <v>4055</v>
      </c>
      <c r="GG169" t="s">
        <v>4055</v>
      </c>
      <c r="GH169" t="s">
        <v>4055</v>
      </c>
      <c r="GI169" t="s">
        <v>4071</v>
      </c>
      <c r="GJ169" t="s">
        <v>4055</v>
      </c>
      <c r="GK169" t="s">
        <v>4055</v>
      </c>
      <c r="GL169" t="s">
        <v>4055</v>
      </c>
      <c r="GM169" t="s">
        <v>4055</v>
      </c>
      <c r="GQ169">
        <v>0</v>
      </c>
      <c r="GV169">
        <v>9</v>
      </c>
      <c r="GW169">
        <v>11.2</v>
      </c>
      <c r="GX169">
        <v>0.5</v>
      </c>
      <c r="GY169">
        <v>174</v>
      </c>
      <c r="GZ169">
        <v>3</v>
      </c>
      <c r="HA169">
        <v>228</v>
      </c>
      <c r="HB169">
        <v>3</v>
      </c>
      <c r="HC169">
        <v>2000</v>
      </c>
      <c r="HD169">
        <v>4</v>
      </c>
      <c r="HE169" t="s">
        <v>4071</v>
      </c>
      <c r="HG169" t="s">
        <v>549</v>
      </c>
      <c r="HL169">
        <v>4</v>
      </c>
      <c r="HM169">
        <v>16</v>
      </c>
      <c r="HN169">
        <v>6</v>
      </c>
      <c r="HO169">
        <v>1</v>
      </c>
      <c r="HP169">
        <v>0</v>
      </c>
      <c r="HQ169">
        <v>0</v>
      </c>
      <c r="HR169">
        <v>3</v>
      </c>
      <c r="HS169">
        <v>1955</v>
      </c>
      <c r="HT169">
        <v>5</v>
      </c>
      <c r="HU169">
        <v>1</v>
      </c>
      <c r="HV169">
        <v>5</v>
      </c>
      <c r="HW169">
        <v>0</v>
      </c>
      <c r="HX169">
        <v>1</v>
      </c>
      <c r="HY169">
        <v>0</v>
      </c>
      <c r="HZ169">
        <v>67</v>
      </c>
      <c r="IA169">
        <v>1958</v>
      </c>
      <c r="IB169">
        <v>1965</v>
      </c>
      <c r="ID169">
        <v>2000</v>
      </c>
      <c r="IE169">
        <v>2000</v>
      </c>
      <c r="IF169">
        <v>190</v>
      </c>
      <c r="IG169">
        <v>180</v>
      </c>
      <c r="IH169">
        <v>228</v>
      </c>
      <c r="II169">
        <v>1</v>
      </c>
      <c r="IJ169">
        <v>5</v>
      </c>
      <c r="IK169">
        <v>0</v>
      </c>
      <c r="IL169">
        <v>0</v>
      </c>
      <c r="IM169">
        <v>0</v>
      </c>
      <c r="IN169">
        <v>270</v>
      </c>
      <c r="IO169">
        <v>0</v>
      </c>
      <c r="IP169">
        <v>180</v>
      </c>
      <c r="IQ169">
        <v>0</v>
      </c>
      <c r="IR169">
        <v>330</v>
      </c>
      <c r="IS169">
        <v>0</v>
      </c>
      <c r="IT169">
        <v>90</v>
      </c>
      <c r="IU169">
        <v>0</v>
      </c>
      <c r="IV169">
        <v>6.4</v>
      </c>
      <c r="IW169">
        <v>-6</v>
      </c>
      <c r="IX169">
        <v>98</v>
      </c>
      <c r="IY169">
        <v>89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388</v>
      </c>
      <c r="JJ169">
        <v>340</v>
      </c>
      <c r="JK169">
        <v>260</v>
      </c>
      <c r="JL169">
        <v>338</v>
      </c>
      <c r="JM169">
        <v>274</v>
      </c>
      <c r="JN169">
        <v>190</v>
      </c>
      <c r="JO169">
        <v>234</v>
      </c>
      <c r="JP169">
        <v>190</v>
      </c>
      <c r="JQ169">
        <v>275</v>
      </c>
      <c r="JR169">
        <v>350</v>
      </c>
      <c r="JS169">
        <v>255</v>
      </c>
      <c r="JT169">
        <v>0</v>
      </c>
      <c r="JU169">
        <v>0</v>
      </c>
      <c r="JV169">
        <v>335</v>
      </c>
      <c r="JW169">
        <v>337</v>
      </c>
      <c r="JX169">
        <v>335</v>
      </c>
      <c r="JY169">
        <v>300</v>
      </c>
      <c r="JZ169">
        <v>1</v>
      </c>
      <c r="KA169">
        <v>0.2</v>
      </c>
      <c r="KB169">
        <v>0.4</v>
      </c>
      <c r="KC169">
        <v>0.42</v>
      </c>
      <c r="KD169">
        <v>0.28</v>
      </c>
      <c r="KE169">
        <v>0.5</v>
      </c>
      <c r="KF169">
        <v>0.18</v>
      </c>
      <c r="KG169">
        <v>0.1</v>
      </c>
      <c r="KH169">
        <v>3.5</v>
      </c>
      <c r="KI169">
        <v>1</v>
      </c>
      <c r="KJ169">
        <v>4.5</v>
      </c>
      <c r="KK169">
        <v>0</v>
      </c>
      <c r="KL169">
        <v>5</v>
      </c>
      <c r="KM169">
        <v>0</v>
      </c>
      <c r="KN169">
        <v>1.5</v>
      </c>
      <c r="KO169">
        <v>0</v>
      </c>
      <c r="KP169">
        <v>0</v>
      </c>
      <c r="KQ169">
        <v>1.5</v>
      </c>
      <c r="KR169">
        <v>1.5</v>
      </c>
      <c r="KS169">
        <v>0</v>
      </c>
      <c r="KT169">
        <v>2.9</v>
      </c>
      <c r="KU169">
        <v>0</v>
      </c>
      <c r="KV169">
        <v>0</v>
      </c>
      <c r="KW169">
        <v>1.2</v>
      </c>
      <c r="KX169">
        <v>2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3</v>
      </c>
      <c r="LI169">
        <v>0.5</v>
      </c>
      <c r="LJ169">
        <v>0</v>
      </c>
      <c r="LK169">
        <v>5</v>
      </c>
      <c r="LL169">
        <v>5</v>
      </c>
      <c r="LM169">
        <v>6</v>
      </c>
      <c r="LN169">
        <v>1</v>
      </c>
      <c r="LO169">
        <v>0.5</v>
      </c>
      <c r="LP169">
        <v>0</v>
      </c>
      <c r="LQ169">
        <v>0</v>
      </c>
      <c r="LR169">
        <v>0</v>
      </c>
      <c r="LS169">
        <v>1</v>
      </c>
      <c r="LT169">
        <v>0</v>
      </c>
      <c r="LU169">
        <v>0</v>
      </c>
      <c r="LV169">
        <v>0</v>
      </c>
      <c r="LW169">
        <v>1.6</v>
      </c>
      <c r="LX169">
        <v>1.6</v>
      </c>
      <c r="LY169">
        <v>2.1</v>
      </c>
      <c r="LZ169">
        <v>2.1</v>
      </c>
      <c r="MA169">
        <v>0</v>
      </c>
      <c r="MB169">
        <v>7.5</v>
      </c>
      <c r="MC169">
        <v>0</v>
      </c>
      <c r="MD169">
        <v>4.5</v>
      </c>
      <c r="ME169">
        <v>6</v>
      </c>
      <c r="MF169">
        <v>6</v>
      </c>
      <c r="MI169">
        <v>0</v>
      </c>
      <c r="MJ169">
        <v>0</v>
      </c>
      <c r="ML169">
        <v>0</v>
      </c>
      <c r="MM169">
        <v>408</v>
      </c>
      <c r="MN169">
        <v>192</v>
      </c>
      <c r="MO169">
        <v>244</v>
      </c>
      <c r="NH169">
        <v>0</v>
      </c>
      <c r="NJ169">
        <v>0</v>
      </c>
      <c r="NK169">
        <v>0</v>
      </c>
      <c r="NM169">
        <v>0</v>
      </c>
      <c r="NU169">
        <v>0.15</v>
      </c>
      <c r="NV169">
        <v>0.2</v>
      </c>
      <c r="NW169">
        <v>0.2</v>
      </c>
      <c r="NX169">
        <v>2</v>
      </c>
      <c r="NY169">
        <v>2</v>
      </c>
      <c r="NZ169">
        <v>2</v>
      </c>
      <c r="OE169" t="s">
        <v>4693</v>
      </c>
      <c r="OF169" t="s">
        <v>4691</v>
      </c>
      <c r="OG169" t="s">
        <v>4692</v>
      </c>
      <c r="OH169" t="s">
        <v>4043</v>
      </c>
      <c r="OI169" t="s">
        <v>4693</v>
      </c>
      <c r="OJ169" t="s">
        <v>4690</v>
      </c>
      <c r="OK169">
        <v>61</v>
      </c>
      <c r="OL169">
        <v>61</v>
      </c>
      <c r="OM169" t="s">
        <v>4691</v>
      </c>
      <c r="ON169">
        <v>3</v>
      </c>
      <c r="OO169">
        <v>1958</v>
      </c>
      <c r="OP169">
        <v>61</v>
      </c>
      <c r="OQ169">
        <v>61</v>
      </c>
      <c r="OR169" t="s">
        <v>4692</v>
      </c>
      <c r="OS169">
        <v>3</v>
      </c>
      <c r="OT169">
        <v>1965</v>
      </c>
      <c r="OU169">
        <v>65</v>
      </c>
      <c r="OV169">
        <v>65</v>
      </c>
      <c r="OW169" t="s">
        <v>4043</v>
      </c>
      <c r="OX169">
        <v>2</v>
      </c>
      <c r="OY169">
        <v>34713</v>
      </c>
      <c r="OZ169">
        <v>51</v>
      </c>
      <c r="PA169">
        <v>51</v>
      </c>
      <c r="PB169" t="s">
        <v>4693</v>
      </c>
      <c r="PC169">
        <v>2</v>
      </c>
      <c r="PD169">
        <v>2000</v>
      </c>
      <c r="PF169">
        <v>347</v>
      </c>
      <c r="PG169">
        <v>29</v>
      </c>
      <c r="PH169">
        <v>329</v>
      </c>
      <c r="PI169">
        <v>29</v>
      </c>
      <c r="PJ169">
        <v>100</v>
      </c>
      <c r="PK169">
        <v>2224</v>
      </c>
      <c r="PL169">
        <v>1038.7</v>
      </c>
      <c r="PM169">
        <v>987.5</v>
      </c>
      <c r="PN169">
        <v>92.90000000000001</v>
      </c>
      <c r="PP169">
        <v>12</v>
      </c>
      <c r="PQ169">
        <v>1</v>
      </c>
      <c r="PR169">
        <v>3</v>
      </c>
      <c r="PS169">
        <v>7</v>
      </c>
      <c r="PT169">
        <v>228</v>
      </c>
      <c r="PU169">
        <v>12</v>
      </c>
      <c r="PV169" t="s">
        <v>4072</v>
      </c>
      <c r="PW169" t="s">
        <v>4072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-1</v>
      </c>
      <c r="QF169">
        <v>1</v>
      </c>
      <c r="QG169">
        <v>0</v>
      </c>
      <c r="QH169">
        <v>5</v>
      </c>
      <c r="QI169">
        <v>5</v>
      </c>
      <c r="QJ169">
        <v>5</v>
      </c>
      <c r="QK169">
        <v>190</v>
      </c>
      <c r="QL169">
        <v>422</v>
      </c>
      <c r="QM169">
        <v>7.5</v>
      </c>
      <c r="QN169">
        <v>1282.5</v>
      </c>
      <c r="QO169" t="s">
        <v>2341</v>
      </c>
      <c r="QP169" t="s">
        <v>513</v>
      </c>
      <c r="QQ169">
        <v>0</v>
      </c>
      <c r="QR169" t="s">
        <v>1496</v>
      </c>
      <c r="QS169">
        <v>30</v>
      </c>
      <c r="QT169">
        <v>40</v>
      </c>
    </row>
    <row r="170" spans="1:462">
      <c r="A170" t="s">
        <v>2442</v>
      </c>
      <c r="B170" t="s">
        <v>559</v>
      </c>
      <c r="C170" t="s">
        <v>509</v>
      </c>
      <c r="D170" t="s">
        <v>3236</v>
      </c>
      <c r="E170" t="s">
        <v>4036</v>
      </c>
      <c r="H170" t="s">
        <v>627</v>
      </c>
      <c r="I170" t="s">
        <v>604</v>
      </c>
      <c r="J170" t="s">
        <v>628</v>
      </c>
      <c r="K170" t="s">
        <v>606</v>
      </c>
      <c r="L170" t="s">
        <v>564</v>
      </c>
      <c r="M170" t="s">
        <v>512</v>
      </c>
      <c r="O170" t="s">
        <v>513</v>
      </c>
      <c r="P170" t="s">
        <v>517</v>
      </c>
      <c r="Q170" t="s">
        <v>1175</v>
      </c>
      <c r="R170" t="s">
        <v>685</v>
      </c>
      <c r="S170" t="s">
        <v>4037</v>
      </c>
      <c r="T170" t="s">
        <v>633</v>
      </c>
      <c r="U170" t="s">
        <v>634</v>
      </c>
      <c r="V170" t="s">
        <v>2443</v>
      </c>
      <c r="W170" t="s">
        <v>2336</v>
      </c>
      <c r="X170" t="s">
        <v>2444</v>
      </c>
      <c r="Y170" t="s">
        <v>2445</v>
      </c>
      <c r="Z170" t="s">
        <v>650</v>
      </c>
      <c r="AA170" t="s">
        <v>4038</v>
      </c>
      <c r="AB170" t="s">
        <v>4694</v>
      </c>
      <c r="AC170">
        <v>12</v>
      </c>
      <c r="AD170" t="s">
        <v>2441</v>
      </c>
      <c r="AE170">
        <v>6</v>
      </c>
      <c r="AF170">
        <v>5034</v>
      </c>
      <c r="AG170" t="s">
        <v>4695</v>
      </c>
      <c r="AH170">
        <v>1</v>
      </c>
      <c r="AI170" t="s">
        <v>4041</v>
      </c>
      <c r="AK170" t="s">
        <v>4696</v>
      </c>
      <c r="AL170">
        <v>1</v>
      </c>
      <c r="AM170" t="s">
        <v>582</v>
      </c>
      <c r="AO170" t="s">
        <v>4043</v>
      </c>
      <c r="AP170">
        <v>1</v>
      </c>
      <c r="AR170" t="s">
        <v>4697</v>
      </c>
      <c r="AS170">
        <v>1</v>
      </c>
      <c r="AT170">
        <v>51</v>
      </c>
      <c r="AV170" t="s">
        <v>4045</v>
      </c>
      <c r="AW170">
        <v>6.4</v>
      </c>
      <c r="AX170">
        <v>-6</v>
      </c>
      <c r="AY170">
        <v>108</v>
      </c>
      <c r="AZ170">
        <v>99</v>
      </c>
      <c r="BH170">
        <v>108</v>
      </c>
      <c r="BI170">
        <v>9</v>
      </c>
      <c r="BJ170">
        <v>99</v>
      </c>
      <c r="BK170">
        <v>3</v>
      </c>
      <c r="BL170">
        <v>216</v>
      </c>
      <c r="BM170">
        <v>-6</v>
      </c>
      <c r="BN170">
        <v>0</v>
      </c>
      <c r="BP170">
        <v>0</v>
      </c>
      <c r="BR170">
        <v>210</v>
      </c>
      <c r="BS170">
        <v>200</v>
      </c>
      <c r="BT170">
        <v>2010</v>
      </c>
      <c r="BU170" t="s">
        <v>4096</v>
      </c>
      <c r="BV170" t="s">
        <v>4096</v>
      </c>
      <c r="BW170" t="s">
        <v>4128</v>
      </c>
      <c r="BX170" t="s">
        <v>4097</v>
      </c>
      <c r="BY170" t="s">
        <v>4107</v>
      </c>
      <c r="BZ170" t="s">
        <v>4173</v>
      </c>
      <c r="CA170" t="s">
        <v>4108</v>
      </c>
      <c r="CB170" t="s">
        <v>4109</v>
      </c>
      <c r="CC170" t="s">
        <v>4120</v>
      </c>
      <c r="CD170" t="s">
        <v>4110</v>
      </c>
      <c r="CE170" t="s">
        <v>4055</v>
      </c>
      <c r="CF170" t="s">
        <v>4055</v>
      </c>
      <c r="CG170" t="s">
        <v>4056</v>
      </c>
      <c r="CI170" t="s">
        <v>4216</v>
      </c>
      <c r="CJ170" t="s">
        <v>4059</v>
      </c>
      <c r="CK170" t="s">
        <v>4060</v>
      </c>
      <c r="CL170" t="s">
        <v>4061</v>
      </c>
      <c r="CM170" t="s">
        <v>4062</v>
      </c>
      <c r="CN170" t="s">
        <v>4055</v>
      </c>
      <c r="CO170" t="s">
        <v>4063</v>
      </c>
      <c r="CP170" t="s">
        <v>4055</v>
      </c>
      <c r="CQ170" t="s">
        <v>4055</v>
      </c>
      <c r="CR170">
        <v>5</v>
      </c>
      <c r="CS170" t="s">
        <v>4055</v>
      </c>
      <c r="CT170" t="s">
        <v>4055</v>
      </c>
      <c r="CU170" t="s">
        <v>4055</v>
      </c>
      <c r="CV170">
        <v>131</v>
      </c>
      <c r="CW170">
        <v>3</v>
      </c>
      <c r="CX170">
        <v>110</v>
      </c>
      <c r="CY170">
        <v>5</v>
      </c>
      <c r="CZ170">
        <v>153</v>
      </c>
      <c r="DA170">
        <v>5</v>
      </c>
      <c r="DB170">
        <v>12740</v>
      </c>
      <c r="DC170">
        <v>380</v>
      </c>
      <c r="DD170">
        <v>339</v>
      </c>
      <c r="DE170">
        <v>2134</v>
      </c>
      <c r="DF170">
        <v>2134</v>
      </c>
      <c r="DG170">
        <v>2148</v>
      </c>
      <c r="DH170">
        <v>2</v>
      </c>
      <c r="DI170" t="s">
        <v>4055</v>
      </c>
      <c r="DJ170" t="s">
        <v>4064</v>
      </c>
      <c r="DK170">
        <v>210</v>
      </c>
      <c r="DL170" t="s">
        <v>4065</v>
      </c>
      <c r="DM170">
        <v>67</v>
      </c>
      <c r="DN170">
        <v>1.2</v>
      </c>
      <c r="DO170">
        <v>1</v>
      </c>
      <c r="DP170">
        <v>2014</v>
      </c>
      <c r="DQ170">
        <v>971</v>
      </c>
      <c r="DR170" t="s">
        <v>4064</v>
      </c>
      <c r="DS170">
        <v>200</v>
      </c>
      <c r="DT170" t="s">
        <v>4065</v>
      </c>
      <c r="DU170">
        <v>67</v>
      </c>
      <c r="DV170">
        <v>1.2</v>
      </c>
      <c r="DW170">
        <v>1</v>
      </c>
      <c r="DX170">
        <v>2026</v>
      </c>
      <c r="DY170">
        <v>930</v>
      </c>
      <c r="DZ170" t="s">
        <v>4066</v>
      </c>
      <c r="EA170">
        <v>20</v>
      </c>
      <c r="EB170" t="s">
        <v>4065</v>
      </c>
      <c r="EC170">
        <v>0.8</v>
      </c>
      <c r="ED170">
        <v>2014</v>
      </c>
      <c r="EE170">
        <v>70</v>
      </c>
      <c r="EG170">
        <v>0</v>
      </c>
      <c r="EH170" t="s">
        <v>4065</v>
      </c>
      <c r="EI170">
        <v>0</v>
      </c>
      <c r="EL170" t="s">
        <v>1528</v>
      </c>
      <c r="EM170">
        <v>12</v>
      </c>
      <c r="EN170">
        <v>0.5</v>
      </c>
      <c r="EO170">
        <v>0.96</v>
      </c>
      <c r="EP170">
        <v>2025.08</v>
      </c>
      <c r="EQ170">
        <v>36071.74</v>
      </c>
      <c r="ER170">
        <v>2856.25</v>
      </c>
      <c r="ES170">
        <v>0</v>
      </c>
      <c r="ET170">
        <v>0</v>
      </c>
      <c r="EU170">
        <v>1</v>
      </c>
      <c r="EV170">
        <v>38928</v>
      </c>
      <c r="EW170">
        <v>468</v>
      </c>
      <c r="EX170" t="s">
        <v>4613</v>
      </c>
      <c r="EY170">
        <v>218</v>
      </c>
      <c r="EZ170" t="s">
        <v>4055</v>
      </c>
      <c r="FA170">
        <v>4.7</v>
      </c>
      <c r="FB170">
        <v>1</v>
      </c>
      <c r="FC170">
        <v>1</v>
      </c>
      <c r="FD170">
        <v>2062</v>
      </c>
      <c r="FE170">
        <v>2446</v>
      </c>
      <c r="FF170" t="s">
        <v>4288</v>
      </c>
      <c r="FG170">
        <v>224</v>
      </c>
      <c r="FH170" t="s">
        <v>4055</v>
      </c>
      <c r="FI170">
        <v>4.5</v>
      </c>
      <c r="FJ170">
        <v>2062</v>
      </c>
      <c r="FK170">
        <v>2398</v>
      </c>
      <c r="FL170" t="s">
        <v>4069</v>
      </c>
      <c r="FM170" t="s">
        <v>4055</v>
      </c>
      <c r="FN170" t="s">
        <v>4055</v>
      </c>
      <c r="FO170" t="s">
        <v>4055</v>
      </c>
      <c r="FP170">
        <v>2062</v>
      </c>
      <c r="FQ170">
        <v>205</v>
      </c>
      <c r="FR170" t="s">
        <v>4090</v>
      </c>
      <c r="FS170">
        <v>228</v>
      </c>
      <c r="FT170" t="s">
        <v>4055</v>
      </c>
      <c r="FU170">
        <v>0.4</v>
      </c>
      <c r="FV170">
        <v>2062</v>
      </c>
      <c r="FW170">
        <v>210</v>
      </c>
      <c r="FZ170" t="s">
        <v>4055</v>
      </c>
      <c r="GA170" t="s">
        <v>4055</v>
      </c>
      <c r="GD170">
        <v>5259</v>
      </c>
      <c r="GE170" t="s">
        <v>4697</v>
      </c>
      <c r="GF170" t="s">
        <v>4055</v>
      </c>
      <c r="GG170" t="s">
        <v>4055</v>
      </c>
      <c r="GH170" t="s">
        <v>4055</v>
      </c>
      <c r="GI170" t="s">
        <v>4071</v>
      </c>
      <c r="GJ170" t="s">
        <v>4055</v>
      </c>
      <c r="GK170" t="s">
        <v>4055</v>
      </c>
      <c r="GL170" t="s">
        <v>4055</v>
      </c>
      <c r="GM170" t="s">
        <v>4055</v>
      </c>
      <c r="GQ170">
        <v>0</v>
      </c>
      <c r="GV170">
        <v>9.6</v>
      </c>
      <c r="GW170">
        <v>11.8</v>
      </c>
      <c r="GX170">
        <v>0.5</v>
      </c>
      <c r="GY170">
        <v>190</v>
      </c>
      <c r="GZ170">
        <v>3</v>
      </c>
      <c r="HA170">
        <v>246</v>
      </c>
      <c r="HB170">
        <v>3</v>
      </c>
      <c r="HC170">
        <v>2062</v>
      </c>
      <c r="HD170">
        <v>4</v>
      </c>
      <c r="HE170" t="s">
        <v>4071</v>
      </c>
      <c r="HG170" t="s">
        <v>549</v>
      </c>
      <c r="HL170">
        <v>4</v>
      </c>
      <c r="HM170">
        <v>17</v>
      </c>
      <c r="HN170">
        <v>1</v>
      </c>
      <c r="HO170">
        <v>1</v>
      </c>
      <c r="HP170">
        <v>0</v>
      </c>
      <c r="HQ170">
        <v>0</v>
      </c>
      <c r="HR170">
        <v>2</v>
      </c>
      <c r="HS170">
        <v>2010</v>
      </c>
      <c r="HT170">
        <v>5</v>
      </c>
      <c r="HU170">
        <v>1</v>
      </c>
      <c r="HV170">
        <v>5</v>
      </c>
      <c r="HW170">
        <v>0</v>
      </c>
      <c r="HX170">
        <v>1</v>
      </c>
      <c r="HY170">
        <v>0</v>
      </c>
      <c r="HZ170">
        <v>67</v>
      </c>
      <c r="IA170">
        <v>2014</v>
      </c>
      <c r="IB170">
        <v>2026</v>
      </c>
      <c r="ID170">
        <v>2062</v>
      </c>
      <c r="IE170">
        <v>2062</v>
      </c>
      <c r="IF170">
        <v>210</v>
      </c>
      <c r="IG170">
        <v>200</v>
      </c>
      <c r="IH170">
        <v>246</v>
      </c>
      <c r="II170">
        <v>1</v>
      </c>
      <c r="IJ170">
        <v>5</v>
      </c>
      <c r="IK170">
        <v>0</v>
      </c>
      <c r="IL170">
        <v>0</v>
      </c>
      <c r="IM170">
        <v>0</v>
      </c>
      <c r="IN170">
        <v>270</v>
      </c>
      <c r="IO170">
        <v>0</v>
      </c>
      <c r="IP170">
        <v>180</v>
      </c>
      <c r="IQ170">
        <v>0</v>
      </c>
      <c r="IR170">
        <v>330</v>
      </c>
      <c r="IS170">
        <v>0</v>
      </c>
      <c r="IT170">
        <v>90</v>
      </c>
      <c r="IU170">
        <v>0</v>
      </c>
      <c r="IV170">
        <v>6.4</v>
      </c>
      <c r="IW170">
        <v>-6</v>
      </c>
      <c r="IX170">
        <v>108</v>
      </c>
      <c r="IY170">
        <v>99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404</v>
      </c>
      <c r="JJ170">
        <v>374</v>
      </c>
      <c r="JK170">
        <v>248</v>
      </c>
      <c r="JL170">
        <v>372</v>
      </c>
      <c r="JM170">
        <v>280</v>
      </c>
      <c r="JN170">
        <v>205</v>
      </c>
      <c r="JO170">
        <v>254</v>
      </c>
      <c r="JP170">
        <v>185</v>
      </c>
      <c r="JQ170">
        <v>245</v>
      </c>
      <c r="JR170">
        <v>340</v>
      </c>
      <c r="JS170">
        <v>245</v>
      </c>
      <c r="JT170">
        <v>0</v>
      </c>
      <c r="JU170">
        <v>0</v>
      </c>
      <c r="JV170">
        <v>335</v>
      </c>
      <c r="JW170">
        <v>337</v>
      </c>
      <c r="JX170">
        <v>320</v>
      </c>
      <c r="JY170">
        <v>300</v>
      </c>
      <c r="JZ170">
        <v>0.5</v>
      </c>
      <c r="KA170">
        <v>0.2</v>
      </c>
      <c r="KB170">
        <v>0.4</v>
      </c>
      <c r="KC170">
        <v>0.42</v>
      </c>
      <c r="KD170">
        <v>0.3</v>
      </c>
      <c r="KE170">
        <v>0.5</v>
      </c>
      <c r="KF170">
        <v>0.2</v>
      </c>
      <c r="KG170">
        <v>0.1</v>
      </c>
      <c r="KH170">
        <v>3.5</v>
      </c>
      <c r="KI170">
        <v>1</v>
      </c>
      <c r="KJ170">
        <v>4.5</v>
      </c>
      <c r="KK170">
        <v>0</v>
      </c>
      <c r="KL170">
        <v>4.5</v>
      </c>
      <c r="KM170">
        <v>0</v>
      </c>
      <c r="KN170">
        <v>1.5</v>
      </c>
      <c r="KO170">
        <v>2</v>
      </c>
      <c r="KP170">
        <v>0</v>
      </c>
      <c r="KQ170">
        <v>1</v>
      </c>
      <c r="KR170">
        <v>1.5</v>
      </c>
      <c r="KS170">
        <v>0</v>
      </c>
      <c r="KT170">
        <v>3.5</v>
      </c>
      <c r="KU170">
        <v>0</v>
      </c>
      <c r="KV170">
        <v>0</v>
      </c>
      <c r="KW170">
        <v>1.2</v>
      </c>
      <c r="KX170">
        <v>2</v>
      </c>
      <c r="KY170">
        <v>1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0.5</v>
      </c>
      <c r="LJ170">
        <v>0</v>
      </c>
      <c r="LK170">
        <v>10</v>
      </c>
      <c r="LL170">
        <v>8</v>
      </c>
      <c r="LM170">
        <v>3</v>
      </c>
      <c r="LN170">
        <v>0.1</v>
      </c>
      <c r="LO170">
        <v>0.1</v>
      </c>
      <c r="LP170">
        <v>0</v>
      </c>
      <c r="LQ170">
        <v>0</v>
      </c>
      <c r="LR170">
        <v>0</v>
      </c>
      <c r="LS170">
        <v>1</v>
      </c>
      <c r="LT170">
        <v>540</v>
      </c>
      <c r="LU170">
        <v>0</v>
      </c>
      <c r="LV170">
        <v>0</v>
      </c>
      <c r="LW170">
        <v>1.8</v>
      </c>
      <c r="LX170">
        <v>1.8</v>
      </c>
      <c r="LY170">
        <v>2.1</v>
      </c>
      <c r="LZ170">
        <v>2.1</v>
      </c>
      <c r="MA170">
        <v>0</v>
      </c>
      <c r="MB170">
        <v>0</v>
      </c>
      <c r="MC170">
        <v>0</v>
      </c>
      <c r="MD170">
        <v>4.5</v>
      </c>
      <c r="ME170">
        <v>6</v>
      </c>
      <c r="MF170">
        <v>6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420</v>
      </c>
      <c r="MN170">
        <v>205</v>
      </c>
      <c r="MO170">
        <v>256</v>
      </c>
      <c r="NU170">
        <v>0.15</v>
      </c>
      <c r="NV170">
        <v>0.2</v>
      </c>
      <c r="NW170">
        <v>0.2</v>
      </c>
      <c r="NX170">
        <v>0.2</v>
      </c>
      <c r="NY170">
        <v>0.2</v>
      </c>
      <c r="NZ170">
        <v>0.2</v>
      </c>
      <c r="OE170" t="s">
        <v>4697</v>
      </c>
      <c r="OF170" t="s">
        <v>4695</v>
      </c>
      <c r="OG170" t="s">
        <v>4696</v>
      </c>
      <c r="OH170" t="s">
        <v>4043</v>
      </c>
      <c r="OI170" t="s">
        <v>4697</v>
      </c>
      <c r="OJ170" t="s">
        <v>4694</v>
      </c>
      <c r="OK170">
        <v>61</v>
      </c>
      <c r="OL170">
        <v>61</v>
      </c>
      <c r="OM170" t="s">
        <v>4695</v>
      </c>
      <c r="ON170">
        <v>2</v>
      </c>
      <c r="OO170">
        <v>2014</v>
      </c>
      <c r="OP170">
        <v>61</v>
      </c>
      <c r="OQ170">
        <v>61</v>
      </c>
      <c r="OR170" t="s">
        <v>4696</v>
      </c>
      <c r="OS170">
        <v>2</v>
      </c>
      <c r="OT170">
        <v>2026</v>
      </c>
      <c r="OU170">
        <v>65</v>
      </c>
      <c r="OV170">
        <v>65</v>
      </c>
      <c r="OW170" t="s">
        <v>4043</v>
      </c>
      <c r="OX170">
        <v>1</v>
      </c>
      <c r="OY170">
        <v>38928</v>
      </c>
      <c r="OZ170">
        <v>51</v>
      </c>
      <c r="PA170">
        <v>51</v>
      </c>
      <c r="PB170" t="s">
        <v>4697</v>
      </c>
      <c r="PC170">
        <v>2</v>
      </c>
      <c r="PD170">
        <v>2062</v>
      </c>
      <c r="PF170">
        <v>482</v>
      </c>
      <c r="PG170">
        <v>35</v>
      </c>
      <c r="PH170">
        <v>459</v>
      </c>
      <c r="PI170">
        <v>0</v>
      </c>
      <c r="PJ170">
        <v>99.2</v>
      </c>
      <c r="PK170">
        <v>2528</v>
      </c>
      <c r="PL170">
        <v>1186.1</v>
      </c>
      <c r="PM170">
        <v>1162.8</v>
      </c>
      <c r="PN170">
        <v>101.9</v>
      </c>
      <c r="PP170">
        <v>12</v>
      </c>
      <c r="PQ170">
        <v>3</v>
      </c>
      <c r="PR170">
        <v>3</v>
      </c>
      <c r="PS170">
        <v>0</v>
      </c>
      <c r="PT170">
        <v>246</v>
      </c>
      <c r="PU170">
        <v>11</v>
      </c>
      <c r="PV170" t="s">
        <v>4072</v>
      </c>
      <c r="PW170" t="s">
        <v>4072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-1</v>
      </c>
      <c r="QF170">
        <v>1</v>
      </c>
      <c r="QG170">
        <v>0</v>
      </c>
      <c r="QH170">
        <v>5</v>
      </c>
      <c r="QI170">
        <v>5</v>
      </c>
      <c r="QJ170">
        <v>5</v>
      </c>
      <c r="QK170">
        <v>220</v>
      </c>
      <c r="QL170">
        <v>434</v>
      </c>
      <c r="QM170">
        <v>7.5</v>
      </c>
      <c r="QN170">
        <v>1383</v>
      </c>
      <c r="QO170" t="s">
        <v>2341</v>
      </c>
      <c r="QP170" t="s">
        <v>513</v>
      </c>
      <c r="QQ170">
        <v>0</v>
      </c>
      <c r="QR170" t="s">
        <v>704</v>
      </c>
      <c r="QS170">
        <v>40</v>
      </c>
      <c r="QT170">
        <v>50</v>
      </c>
    </row>
    <row r="171" spans="1:462">
      <c r="A171" t="s">
        <v>2456</v>
      </c>
      <c r="B171" t="s">
        <v>727</v>
      </c>
      <c r="C171" t="s">
        <v>509</v>
      </c>
      <c r="D171" t="s">
        <v>2455</v>
      </c>
      <c r="E171" t="s">
        <v>4036</v>
      </c>
      <c r="H171" t="s">
        <v>604</v>
      </c>
      <c r="I171" t="s">
        <v>605</v>
      </c>
      <c r="K171" t="s">
        <v>606</v>
      </c>
      <c r="L171" t="s">
        <v>729</v>
      </c>
      <c r="M171" t="s">
        <v>512</v>
      </c>
      <c r="O171" t="s">
        <v>513</v>
      </c>
      <c r="P171" t="s">
        <v>517</v>
      </c>
      <c r="Q171" t="s">
        <v>1544</v>
      </c>
      <c r="R171" t="s">
        <v>1481</v>
      </c>
      <c r="S171" t="s">
        <v>4091</v>
      </c>
      <c r="T171" t="s">
        <v>1457</v>
      </c>
      <c r="U171" t="s">
        <v>1458</v>
      </c>
      <c r="V171" t="s">
        <v>2457</v>
      </c>
      <c r="W171" t="s">
        <v>2336</v>
      </c>
      <c r="X171" t="s">
        <v>2458</v>
      </c>
      <c r="Y171" t="s">
        <v>2459</v>
      </c>
      <c r="Z171" t="s">
        <v>650</v>
      </c>
      <c r="AA171" t="s">
        <v>4038</v>
      </c>
      <c r="AB171" t="s">
        <v>4698</v>
      </c>
      <c r="AC171">
        <v>14</v>
      </c>
      <c r="AD171" t="s">
        <v>2454</v>
      </c>
      <c r="AE171">
        <v>10</v>
      </c>
      <c r="AF171">
        <v>3482</v>
      </c>
      <c r="AG171" t="s">
        <v>4687</v>
      </c>
      <c r="AH171">
        <v>1</v>
      </c>
      <c r="AI171" t="s">
        <v>4041</v>
      </c>
      <c r="AK171" t="s">
        <v>4688</v>
      </c>
      <c r="AL171">
        <v>1</v>
      </c>
      <c r="AM171" t="s">
        <v>582</v>
      </c>
      <c r="AO171" t="s">
        <v>4043</v>
      </c>
      <c r="AP171">
        <v>1</v>
      </c>
      <c r="AR171" t="s">
        <v>4699</v>
      </c>
      <c r="AS171">
        <v>1</v>
      </c>
      <c r="AT171">
        <v>51</v>
      </c>
      <c r="AV171" t="s">
        <v>4045</v>
      </c>
      <c r="AW171">
        <v>6.4</v>
      </c>
      <c r="AX171">
        <v>-6</v>
      </c>
      <c r="AY171">
        <v>80.5</v>
      </c>
      <c r="AZ171">
        <v>71.5</v>
      </c>
      <c r="BH171">
        <v>80.5</v>
      </c>
      <c r="BI171">
        <v>9</v>
      </c>
      <c r="BJ171">
        <v>71.5</v>
      </c>
      <c r="BK171">
        <v>3</v>
      </c>
      <c r="BL171">
        <v>161</v>
      </c>
      <c r="BM171">
        <v>-6</v>
      </c>
      <c r="BN171">
        <v>0</v>
      </c>
      <c r="BP171">
        <v>0</v>
      </c>
      <c r="BR171">
        <v>155</v>
      </c>
      <c r="BS171">
        <v>145</v>
      </c>
      <c r="BT171">
        <v>1740</v>
      </c>
      <c r="BU171" t="s">
        <v>4355</v>
      </c>
      <c r="BV171" t="s">
        <v>4355</v>
      </c>
      <c r="BW171" t="s">
        <v>4356</v>
      </c>
      <c r="BX171" t="s">
        <v>4356</v>
      </c>
      <c r="BY171" t="s">
        <v>4388</v>
      </c>
      <c r="BZ171" t="s">
        <v>4388</v>
      </c>
      <c r="CA171" t="s">
        <v>4358</v>
      </c>
      <c r="CB171" t="s">
        <v>4359</v>
      </c>
      <c r="CC171" t="s">
        <v>4053</v>
      </c>
      <c r="CD171" t="s">
        <v>4359</v>
      </c>
      <c r="CE171" t="s">
        <v>4407</v>
      </c>
      <c r="CF171" t="s">
        <v>4408</v>
      </c>
      <c r="CG171" t="s">
        <v>4056</v>
      </c>
      <c r="CH171" t="s">
        <v>4145</v>
      </c>
      <c r="CI171" t="s">
        <v>4058</v>
      </c>
      <c r="CJ171" t="s">
        <v>4059</v>
      </c>
      <c r="CK171" t="s">
        <v>4060</v>
      </c>
      <c r="CL171" t="s">
        <v>4061</v>
      </c>
      <c r="CM171" t="s">
        <v>4062</v>
      </c>
      <c r="CN171" t="s">
        <v>4055</v>
      </c>
      <c r="CO171" t="s">
        <v>4063</v>
      </c>
      <c r="CP171" t="s">
        <v>4055</v>
      </c>
      <c r="CQ171" t="s">
        <v>4055</v>
      </c>
      <c r="CR171">
        <v>5</v>
      </c>
      <c r="CS171" t="s">
        <v>4055</v>
      </c>
      <c r="CT171" t="s">
        <v>4055</v>
      </c>
      <c r="CU171" t="s">
        <v>4055</v>
      </c>
      <c r="CV171">
        <v>108</v>
      </c>
      <c r="CW171">
        <v>3</v>
      </c>
      <c r="CX171">
        <v>89</v>
      </c>
      <c r="CY171">
        <v>5</v>
      </c>
      <c r="CZ171">
        <v>117</v>
      </c>
      <c r="DA171">
        <v>5</v>
      </c>
      <c r="DB171">
        <v>8130</v>
      </c>
      <c r="DC171">
        <v>240</v>
      </c>
      <c r="DD171">
        <v>270</v>
      </c>
      <c r="DE171">
        <v>1838</v>
      </c>
      <c r="DF171">
        <v>1838</v>
      </c>
      <c r="DG171">
        <v>1856</v>
      </c>
      <c r="DH171" t="s">
        <v>4055</v>
      </c>
      <c r="DI171" t="s">
        <v>4055</v>
      </c>
      <c r="DJ171" t="s">
        <v>4100</v>
      </c>
      <c r="DK171">
        <v>155</v>
      </c>
      <c r="DL171" t="s">
        <v>4101</v>
      </c>
      <c r="DM171">
        <v>67</v>
      </c>
      <c r="DN171">
        <v>0.84</v>
      </c>
      <c r="DO171">
        <v>1</v>
      </c>
      <c r="DP171">
        <v>1743</v>
      </c>
      <c r="DQ171">
        <v>493</v>
      </c>
      <c r="DR171" t="s">
        <v>4100</v>
      </c>
      <c r="DS171">
        <v>145</v>
      </c>
      <c r="DT171" t="s">
        <v>4101</v>
      </c>
      <c r="DU171">
        <v>67</v>
      </c>
      <c r="DV171">
        <v>0.84</v>
      </c>
      <c r="DW171">
        <v>1</v>
      </c>
      <c r="DX171">
        <v>1750</v>
      </c>
      <c r="DY171">
        <v>464</v>
      </c>
      <c r="DZ171" t="s">
        <v>4066</v>
      </c>
      <c r="EA171">
        <v>33</v>
      </c>
      <c r="EB171" t="s">
        <v>4065</v>
      </c>
      <c r="EC171">
        <v>0.4</v>
      </c>
      <c r="ED171">
        <v>1743</v>
      </c>
      <c r="EE171">
        <v>51</v>
      </c>
      <c r="EF171" t="s">
        <v>4066</v>
      </c>
      <c r="EG171">
        <v>33</v>
      </c>
      <c r="EH171" t="s">
        <v>4065</v>
      </c>
      <c r="EI171">
        <v>0.4</v>
      </c>
      <c r="EJ171">
        <v>1750</v>
      </c>
      <c r="EK171">
        <v>51</v>
      </c>
      <c r="EL171" t="s">
        <v>1528</v>
      </c>
      <c r="EM171">
        <v>12</v>
      </c>
      <c r="EN171">
        <v>0.5</v>
      </c>
      <c r="EO171">
        <v>0.96</v>
      </c>
      <c r="EP171">
        <v>1750.56</v>
      </c>
      <c r="EQ171">
        <v>23659.91</v>
      </c>
      <c r="ER171">
        <v>2470.21</v>
      </c>
      <c r="ES171">
        <v>0</v>
      </c>
      <c r="ET171">
        <v>0</v>
      </c>
      <c r="EU171">
        <v>1</v>
      </c>
      <c r="EV171">
        <v>26131</v>
      </c>
      <c r="EW171">
        <v>314</v>
      </c>
      <c r="EX171" t="s">
        <v>4613</v>
      </c>
      <c r="EY171">
        <v>170</v>
      </c>
      <c r="EZ171" t="s">
        <v>4055</v>
      </c>
      <c r="FA171">
        <v>4.2</v>
      </c>
      <c r="FB171">
        <v>1</v>
      </c>
      <c r="FC171">
        <v>1</v>
      </c>
      <c r="FD171">
        <v>1785</v>
      </c>
      <c r="FE171">
        <v>1454</v>
      </c>
      <c r="FF171" t="s">
        <v>4288</v>
      </c>
      <c r="FG171">
        <v>182</v>
      </c>
      <c r="FH171" t="s">
        <v>4055</v>
      </c>
      <c r="FI171">
        <v>4.2</v>
      </c>
      <c r="FJ171">
        <v>1785</v>
      </c>
      <c r="FK171">
        <v>1547</v>
      </c>
      <c r="FL171" t="s">
        <v>4069</v>
      </c>
      <c r="FM171" t="s">
        <v>4055</v>
      </c>
      <c r="FN171" t="s">
        <v>4055</v>
      </c>
      <c r="FO171" t="s">
        <v>4055</v>
      </c>
      <c r="FP171">
        <v>1785</v>
      </c>
      <c r="FQ171">
        <v>125</v>
      </c>
      <c r="FR171" t="s">
        <v>4090</v>
      </c>
      <c r="FS171">
        <v>186</v>
      </c>
      <c r="FT171" t="s">
        <v>4055</v>
      </c>
      <c r="FU171">
        <v>0.4</v>
      </c>
      <c r="FV171">
        <v>1785</v>
      </c>
      <c r="FW171">
        <v>148</v>
      </c>
      <c r="FZ171" t="s">
        <v>4055</v>
      </c>
      <c r="GA171" t="s">
        <v>4055</v>
      </c>
      <c r="GD171">
        <v>3274</v>
      </c>
      <c r="GE171" t="s">
        <v>4699</v>
      </c>
      <c r="GF171" t="s">
        <v>4055</v>
      </c>
      <c r="GG171" t="s">
        <v>4055</v>
      </c>
      <c r="GH171" t="s">
        <v>4055</v>
      </c>
      <c r="GI171" t="s">
        <v>4071</v>
      </c>
      <c r="GJ171" t="s">
        <v>4055</v>
      </c>
      <c r="GK171" t="s">
        <v>4055</v>
      </c>
      <c r="GL171" t="s">
        <v>4055</v>
      </c>
      <c r="GM171" t="s">
        <v>4055</v>
      </c>
      <c r="GQ171">
        <v>0</v>
      </c>
      <c r="GV171">
        <v>8.800000000000001</v>
      </c>
      <c r="GW171">
        <v>10.6</v>
      </c>
      <c r="GX171">
        <v>0.5</v>
      </c>
      <c r="GY171">
        <v>150</v>
      </c>
      <c r="GZ171">
        <v>3</v>
      </c>
      <c r="HA171">
        <v>196</v>
      </c>
      <c r="HB171">
        <v>3</v>
      </c>
      <c r="HC171">
        <v>1785</v>
      </c>
      <c r="HD171">
        <v>4</v>
      </c>
      <c r="HE171" t="s">
        <v>4071</v>
      </c>
      <c r="HG171" t="s">
        <v>549</v>
      </c>
      <c r="HL171">
        <v>4</v>
      </c>
      <c r="HM171">
        <v>14</v>
      </c>
      <c r="HN171">
        <v>1</v>
      </c>
      <c r="HO171">
        <v>1</v>
      </c>
      <c r="HP171">
        <v>0</v>
      </c>
      <c r="HQ171">
        <v>0</v>
      </c>
      <c r="HR171">
        <v>3</v>
      </c>
      <c r="HS171">
        <v>1740</v>
      </c>
      <c r="HT171">
        <v>5</v>
      </c>
      <c r="HU171">
        <v>1</v>
      </c>
      <c r="HV171">
        <v>5</v>
      </c>
      <c r="HW171">
        <v>0</v>
      </c>
      <c r="HX171">
        <v>1</v>
      </c>
      <c r="HY171">
        <v>0</v>
      </c>
      <c r="HZ171">
        <v>67</v>
      </c>
      <c r="IA171">
        <v>1743</v>
      </c>
      <c r="IB171">
        <v>1750</v>
      </c>
      <c r="ID171">
        <v>1785</v>
      </c>
      <c r="IE171">
        <v>1785</v>
      </c>
      <c r="IF171">
        <v>155</v>
      </c>
      <c r="IG171">
        <v>145</v>
      </c>
      <c r="IH171">
        <v>196</v>
      </c>
      <c r="II171">
        <v>0</v>
      </c>
      <c r="IJ171">
        <v>5</v>
      </c>
      <c r="IK171">
        <v>0</v>
      </c>
      <c r="IL171">
        <v>0</v>
      </c>
      <c r="IM171">
        <v>0</v>
      </c>
      <c r="IN171">
        <v>270</v>
      </c>
      <c r="IO171">
        <v>0</v>
      </c>
      <c r="IP171">
        <v>180</v>
      </c>
      <c r="IQ171">
        <v>0</v>
      </c>
      <c r="IR171">
        <v>325</v>
      </c>
      <c r="IS171">
        <v>0</v>
      </c>
      <c r="IT171">
        <v>90</v>
      </c>
      <c r="IU171">
        <v>0</v>
      </c>
      <c r="IV171">
        <v>6.4</v>
      </c>
      <c r="IW171">
        <v>-6</v>
      </c>
      <c r="IX171">
        <v>80.5</v>
      </c>
      <c r="IY171">
        <v>71.5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336</v>
      </c>
      <c r="JJ171">
        <v>310</v>
      </c>
      <c r="JK171">
        <v>220</v>
      </c>
      <c r="JL171">
        <v>300</v>
      </c>
      <c r="JM171">
        <v>220</v>
      </c>
      <c r="JN171">
        <v>160</v>
      </c>
      <c r="JO171">
        <v>206</v>
      </c>
      <c r="JP171">
        <v>235</v>
      </c>
      <c r="JQ171">
        <v>275</v>
      </c>
      <c r="JR171">
        <v>360</v>
      </c>
      <c r="JS171">
        <v>285</v>
      </c>
      <c r="JT171">
        <v>0</v>
      </c>
      <c r="JU171">
        <v>0</v>
      </c>
      <c r="JV171">
        <v>335</v>
      </c>
      <c r="JW171">
        <v>337</v>
      </c>
      <c r="JX171">
        <v>355</v>
      </c>
      <c r="JY171">
        <v>350</v>
      </c>
      <c r="JZ171">
        <v>0.5</v>
      </c>
      <c r="KA171">
        <v>0.2</v>
      </c>
      <c r="KB171">
        <v>0.4</v>
      </c>
      <c r="KC171">
        <v>0.42</v>
      </c>
      <c r="KD171">
        <v>0.28</v>
      </c>
      <c r="KE171">
        <v>0.5</v>
      </c>
      <c r="KF171">
        <v>0.18</v>
      </c>
      <c r="KG171">
        <v>0.08</v>
      </c>
      <c r="KH171">
        <v>3.5</v>
      </c>
      <c r="KI171">
        <v>1</v>
      </c>
      <c r="KJ171">
        <v>4.5</v>
      </c>
      <c r="KK171">
        <v>0</v>
      </c>
      <c r="KL171">
        <v>4.5</v>
      </c>
      <c r="KM171">
        <v>0</v>
      </c>
      <c r="KN171">
        <v>1.2</v>
      </c>
      <c r="KO171">
        <v>2</v>
      </c>
      <c r="KP171">
        <v>1</v>
      </c>
      <c r="KQ171">
        <v>1</v>
      </c>
      <c r="KR171">
        <v>0.8</v>
      </c>
      <c r="KS171">
        <v>0</v>
      </c>
      <c r="KT171">
        <v>1.5</v>
      </c>
      <c r="KU171">
        <v>1</v>
      </c>
      <c r="KV171">
        <v>1.4</v>
      </c>
      <c r="KW171">
        <v>0.8</v>
      </c>
      <c r="KX171">
        <v>2</v>
      </c>
      <c r="KY171">
        <v>1</v>
      </c>
      <c r="KZ171">
        <v>3</v>
      </c>
      <c r="LA171">
        <v>1.6</v>
      </c>
      <c r="LB171">
        <v>9</v>
      </c>
      <c r="LC171">
        <v>2</v>
      </c>
      <c r="LD171">
        <v>3</v>
      </c>
      <c r="LE171">
        <v>2.2</v>
      </c>
      <c r="LF171">
        <v>0</v>
      </c>
      <c r="LG171">
        <v>0</v>
      </c>
      <c r="LH171">
        <v>0</v>
      </c>
      <c r="LI171">
        <v>0.5</v>
      </c>
      <c r="LJ171">
        <v>0</v>
      </c>
      <c r="LK171">
        <v>7</v>
      </c>
      <c r="LL171">
        <v>5</v>
      </c>
      <c r="LM171">
        <v>8</v>
      </c>
      <c r="LN171">
        <v>0.1</v>
      </c>
      <c r="LO171">
        <v>0.1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1.4</v>
      </c>
      <c r="LX171">
        <v>1.4</v>
      </c>
      <c r="LY171">
        <v>2.1</v>
      </c>
      <c r="LZ171">
        <v>2.1</v>
      </c>
      <c r="MA171">
        <v>0</v>
      </c>
      <c r="MB171">
        <v>10</v>
      </c>
      <c r="MC171">
        <v>0</v>
      </c>
      <c r="MD171">
        <v>4.5</v>
      </c>
      <c r="ME171">
        <v>6</v>
      </c>
      <c r="MF171">
        <v>6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374</v>
      </c>
      <c r="MN171">
        <v>150</v>
      </c>
      <c r="MO171">
        <v>196</v>
      </c>
      <c r="NU171">
        <v>0.15</v>
      </c>
      <c r="NV171">
        <v>0.2</v>
      </c>
      <c r="NW171">
        <v>0.2</v>
      </c>
      <c r="NX171">
        <v>0.2</v>
      </c>
      <c r="NY171">
        <v>0.2</v>
      </c>
      <c r="NZ171">
        <v>0.2</v>
      </c>
      <c r="OE171" t="s">
        <v>4699</v>
      </c>
      <c r="OF171" t="s">
        <v>4687</v>
      </c>
      <c r="OG171" t="s">
        <v>4688</v>
      </c>
      <c r="OH171" t="s">
        <v>4043</v>
      </c>
      <c r="OI171" t="s">
        <v>4699</v>
      </c>
      <c r="OJ171" t="s">
        <v>4698</v>
      </c>
      <c r="OK171">
        <v>61</v>
      </c>
      <c r="OL171">
        <v>61</v>
      </c>
      <c r="OM171" t="s">
        <v>4687</v>
      </c>
      <c r="ON171">
        <v>3</v>
      </c>
      <c r="OO171">
        <v>1743</v>
      </c>
      <c r="OP171">
        <v>61</v>
      </c>
      <c r="OQ171">
        <v>61</v>
      </c>
      <c r="OR171" t="s">
        <v>4688</v>
      </c>
      <c r="OS171">
        <v>3</v>
      </c>
      <c r="OT171">
        <v>1750</v>
      </c>
      <c r="OU171">
        <v>65</v>
      </c>
      <c r="OV171">
        <v>65</v>
      </c>
      <c r="OW171" t="s">
        <v>4043</v>
      </c>
      <c r="OX171">
        <v>2</v>
      </c>
      <c r="OY171">
        <v>26131</v>
      </c>
      <c r="OZ171">
        <v>51</v>
      </c>
      <c r="PA171">
        <v>51</v>
      </c>
      <c r="PB171" t="s">
        <v>4699</v>
      </c>
      <c r="PC171">
        <v>4</v>
      </c>
      <c r="PD171">
        <v>1785</v>
      </c>
      <c r="PF171">
        <v>283</v>
      </c>
      <c r="PG171">
        <v>29</v>
      </c>
      <c r="PH171">
        <v>265</v>
      </c>
      <c r="PI171">
        <v>29</v>
      </c>
      <c r="PJ171">
        <v>70.3</v>
      </c>
      <c r="PK171">
        <v>1831</v>
      </c>
      <c r="PL171">
        <v>814.3</v>
      </c>
      <c r="PM171">
        <v>866.8</v>
      </c>
      <c r="PN171">
        <v>83.09999999999999</v>
      </c>
      <c r="PP171">
        <v>12</v>
      </c>
      <c r="PQ171">
        <v>8</v>
      </c>
      <c r="PR171">
        <v>8</v>
      </c>
      <c r="PS171">
        <v>6</v>
      </c>
      <c r="PT171">
        <v>196</v>
      </c>
      <c r="PU171">
        <v>7</v>
      </c>
      <c r="PV171" t="s">
        <v>4072</v>
      </c>
      <c r="PW171" t="s">
        <v>4072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-1</v>
      </c>
      <c r="QF171">
        <v>1</v>
      </c>
      <c r="QG171">
        <v>0</v>
      </c>
      <c r="QH171">
        <v>5</v>
      </c>
      <c r="QI171">
        <v>5</v>
      </c>
      <c r="QJ171">
        <v>5</v>
      </c>
      <c r="QK171">
        <v>162</v>
      </c>
      <c r="QL171">
        <v>370</v>
      </c>
      <c r="QM171">
        <v>7.5</v>
      </c>
      <c r="QN171">
        <v>1123</v>
      </c>
      <c r="QO171" t="s">
        <v>2341</v>
      </c>
      <c r="QP171" t="s">
        <v>513</v>
      </c>
      <c r="QQ171">
        <v>0</v>
      </c>
      <c r="QR171" t="s">
        <v>649</v>
      </c>
      <c r="QS171">
        <v>30</v>
      </c>
      <c r="QT171">
        <v>40</v>
      </c>
    </row>
    <row r="172" spans="1:462">
      <c r="A172" t="s">
        <v>2465</v>
      </c>
      <c r="B172" t="s">
        <v>1960</v>
      </c>
      <c r="C172" t="s">
        <v>509</v>
      </c>
      <c r="D172" t="s">
        <v>2422</v>
      </c>
      <c r="E172" t="s">
        <v>4036</v>
      </c>
      <c r="H172" t="s">
        <v>604</v>
      </c>
      <c r="I172" t="s">
        <v>896</v>
      </c>
      <c r="J172" t="s">
        <v>628</v>
      </c>
      <c r="K172" t="s">
        <v>606</v>
      </c>
      <c r="L172" t="s">
        <v>1453</v>
      </c>
      <c r="M172" t="s">
        <v>512</v>
      </c>
      <c r="O172" t="s">
        <v>513</v>
      </c>
      <c r="P172" t="s">
        <v>517</v>
      </c>
      <c r="Q172" t="s">
        <v>1766</v>
      </c>
      <c r="R172" t="s">
        <v>1767</v>
      </c>
      <c r="S172" t="s">
        <v>4170</v>
      </c>
      <c r="T172" t="s">
        <v>1482</v>
      </c>
      <c r="U172" t="s">
        <v>1483</v>
      </c>
      <c r="V172" t="s">
        <v>2425</v>
      </c>
      <c r="W172" t="s">
        <v>2336</v>
      </c>
      <c r="X172" t="s">
        <v>2466</v>
      </c>
      <c r="Y172" t="s">
        <v>2467</v>
      </c>
      <c r="Z172" t="s">
        <v>541</v>
      </c>
      <c r="AA172" t="s">
        <v>4038</v>
      </c>
      <c r="AB172" t="s">
        <v>4700</v>
      </c>
      <c r="AC172">
        <v>14</v>
      </c>
      <c r="AD172" t="s">
        <v>2464</v>
      </c>
      <c r="AE172">
        <v>12</v>
      </c>
      <c r="AF172">
        <v>3572</v>
      </c>
      <c r="AG172" t="s">
        <v>4375</v>
      </c>
      <c r="AH172">
        <v>1</v>
      </c>
      <c r="AI172" t="s">
        <v>4041</v>
      </c>
      <c r="AK172" t="s">
        <v>4376</v>
      </c>
      <c r="AL172">
        <v>1</v>
      </c>
      <c r="AM172" t="s">
        <v>582</v>
      </c>
      <c r="AO172" t="s">
        <v>4043</v>
      </c>
      <c r="AP172">
        <v>1</v>
      </c>
      <c r="AR172" t="s">
        <v>4701</v>
      </c>
      <c r="AS172">
        <v>1</v>
      </c>
      <c r="AT172">
        <v>51</v>
      </c>
      <c r="AV172" t="s">
        <v>4045</v>
      </c>
      <c r="AW172">
        <v>6.4</v>
      </c>
      <c r="AX172">
        <v>-6</v>
      </c>
      <c r="AY172">
        <v>91</v>
      </c>
      <c r="AZ172">
        <v>82</v>
      </c>
      <c r="BH172">
        <v>91</v>
      </c>
      <c r="BI172">
        <v>9</v>
      </c>
      <c r="BJ172">
        <v>82</v>
      </c>
      <c r="BK172">
        <v>3.5</v>
      </c>
      <c r="BL172">
        <v>182</v>
      </c>
      <c r="BM172">
        <v>-6</v>
      </c>
      <c r="BN172">
        <v>0</v>
      </c>
      <c r="BP172">
        <v>0</v>
      </c>
      <c r="BR172">
        <v>175</v>
      </c>
      <c r="BS172">
        <v>165</v>
      </c>
      <c r="BT172">
        <v>1795</v>
      </c>
      <c r="BU172" t="s">
        <v>4046</v>
      </c>
      <c r="BV172" t="s">
        <v>4046</v>
      </c>
      <c r="BW172" t="s">
        <v>4048</v>
      </c>
      <c r="BX172" t="s">
        <v>4048</v>
      </c>
      <c r="BY172" t="s">
        <v>4413</v>
      </c>
      <c r="BZ172" t="s">
        <v>4413</v>
      </c>
      <c r="CA172" t="s">
        <v>4370</v>
      </c>
      <c r="CB172" t="s">
        <v>4371</v>
      </c>
      <c r="CC172" t="s">
        <v>4053</v>
      </c>
      <c r="CD172" t="s">
        <v>4372</v>
      </c>
      <c r="CE172" t="s">
        <v>4055</v>
      </c>
      <c r="CF172" t="s">
        <v>4055</v>
      </c>
      <c r="CG172" t="s">
        <v>4056</v>
      </c>
      <c r="CH172" t="s">
        <v>4145</v>
      </c>
      <c r="CI172" t="s">
        <v>4058</v>
      </c>
      <c r="CJ172" t="s">
        <v>4059</v>
      </c>
      <c r="CK172" t="s">
        <v>4060</v>
      </c>
      <c r="CL172" t="s">
        <v>4061</v>
      </c>
      <c r="CM172" t="s">
        <v>4062</v>
      </c>
      <c r="CN172" t="s">
        <v>4055</v>
      </c>
      <c r="CO172" t="s">
        <v>4063</v>
      </c>
      <c r="CP172" t="s">
        <v>4055</v>
      </c>
      <c r="CQ172" t="s">
        <v>4055</v>
      </c>
      <c r="CR172">
        <v>5</v>
      </c>
      <c r="CS172" t="s">
        <v>4055</v>
      </c>
      <c r="CT172" t="s">
        <v>4055</v>
      </c>
      <c r="CU172" t="s">
        <v>4055</v>
      </c>
      <c r="CV172">
        <v>114</v>
      </c>
      <c r="CW172">
        <v>3</v>
      </c>
      <c r="CX172">
        <v>74</v>
      </c>
      <c r="CY172">
        <v>5</v>
      </c>
      <c r="CZ172">
        <v>128</v>
      </c>
      <c r="DA172">
        <v>5</v>
      </c>
      <c r="DB172">
        <v>8620</v>
      </c>
      <c r="DC172">
        <v>250</v>
      </c>
      <c r="DD172">
        <v>280</v>
      </c>
      <c r="DE172">
        <v>1888</v>
      </c>
      <c r="DF172">
        <v>1888</v>
      </c>
      <c r="DG172">
        <v>1914</v>
      </c>
      <c r="DH172" t="s">
        <v>4055</v>
      </c>
      <c r="DI172" t="s">
        <v>4055</v>
      </c>
      <c r="DJ172" t="s">
        <v>4100</v>
      </c>
      <c r="DK172">
        <v>175</v>
      </c>
      <c r="DL172" t="s">
        <v>4101</v>
      </c>
      <c r="DM172">
        <v>65</v>
      </c>
      <c r="DN172">
        <v>0.84</v>
      </c>
      <c r="DO172">
        <v>1</v>
      </c>
      <c r="DP172">
        <v>1798</v>
      </c>
      <c r="DQ172">
        <v>575</v>
      </c>
      <c r="DR172" t="s">
        <v>4100</v>
      </c>
      <c r="DS172">
        <v>165</v>
      </c>
      <c r="DT172" t="s">
        <v>4101</v>
      </c>
      <c r="DU172">
        <v>65</v>
      </c>
      <c r="DV172">
        <v>0.84</v>
      </c>
      <c r="DW172">
        <v>1</v>
      </c>
      <c r="DX172">
        <v>1805</v>
      </c>
      <c r="DY172">
        <v>545</v>
      </c>
      <c r="DZ172" t="s">
        <v>4066</v>
      </c>
      <c r="EA172">
        <v>33</v>
      </c>
      <c r="EB172" t="s">
        <v>4065</v>
      </c>
      <c r="EC172">
        <v>0.4</v>
      </c>
      <c r="ED172">
        <v>1798</v>
      </c>
      <c r="EE172">
        <v>52</v>
      </c>
      <c r="EF172" t="s">
        <v>4066</v>
      </c>
      <c r="EG172">
        <v>33</v>
      </c>
      <c r="EH172" t="s">
        <v>4065</v>
      </c>
      <c r="EI172">
        <v>0.4</v>
      </c>
      <c r="EJ172">
        <v>1805</v>
      </c>
      <c r="EK172">
        <v>52</v>
      </c>
      <c r="EL172" t="s">
        <v>1528</v>
      </c>
      <c r="EM172">
        <v>12</v>
      </c>
      <c r="EN172">
        <v>0.5</v>
      </c>
      <c r="EO172">
        <v>0.96</v>
      </c>
      <c r="EP172">
        <v>1805.56</v>
      </c>
      <c r="EQ172">
        <v>27365.52</v>
      </c>
      <c r="ER172">
        <v>2547.55</v>
      </c>
      <c r="ES172">
        <v>0</v>
      </c>
      <c r="ET172">
        <v>0</v>
      </c>
      <c r="EU172">
        <v>1</v>
      </c>
      <c r="EV172">
        <v>29914</v>
      </c>
      <c r="EW172">
        <v>359</v>
      </c>
      <c r="EX172" t="s">
        <v>4613</v>
      </c>
      <c r="EY172">
        <v>186</v>
      </c>
      <c r="EZ172" t="s">
        <v>4055</v>
      </c>
      <c r="FA172">
        <v>4.9</v>
      </c>
      <c r="FB172">
        <v>1</v>
      </c>
      <c r="FC172">
        <v>1</v>
      </c>
      <c r="FD172">
        <v>1838</v>
      </c>
      <c r="FE172">
        <v>1765</v>
      </c>
      <c r="FF172" t="s">
        <v>4288</v>
      </c>
      <c r="FG172">
        <v>194</v>
      </c>
      <c r="FH172" t="s">
        <v>4055</v>
      </c>
      <c r="FI172">
        <v>3</v>
      </c>
      <c r="FJ172">
        <v>1838</v>
      </c>
      <c r="FK172">
        <v>1394</v>
      </c>
      <c r="FL172" t="s">
        <v>4069</v>
      </c>
      <c r="FM172" t="s">
        <v>4055</v>
      </c>
      <c r="FN172" t="s">
        <v>4055</v>
      </c>
      <c r="FO172" t="s">
        <v>4055</v>
      </c>
      <c r="FP172">
        <v>1838</v>
      </c>
      <c r="FQ172">
        <v>136</v>
      </c>
      <c r="FR172" t="s">
        <v>4090</v>
      </c>
      <c r="FS172">
        <v>198</v>
      </c>
      <c r="FT172" t="s">
        <v>4055</v>
      </c>
      <c r="FU172">
        <v>0.4</v>
      </c>
      <c r="FV172">
        <v>1838</v>
      </c>
      <c r="FW172">
        <v>163</v>
      </c>
      <c r="FZ172" t="s">
        <v>4055</v>
      </c>
      <c r="GA172" t="s">
        <v>4055</v>
      </c>
      <c r="GD172">
        <v>3458</v>
      </c>
      <c r="GE172" t="s">
        <v>4701</v>
      </c>
      <c r="GF172" t="s">
        <v>4055</v>
      </c>
      <c r="GG172" t="s">
        <v>4055</v>
      </c>
      <c r="GH172" t="s">
        <v>4055</v>
      </c>
      <c r="GI172" t="s">
        <v>4071</v>
      </c>
      <c r="GJ172" t="s">
        <v>4055</v>
      </c>
      <c r="GK172" t="s">
        <v>4055</v>
      </c>
      <c r="GL172" t="s">
        <v>4055</v>
      </c>
      <c r="GM172" t="s">
        <v>4055</v>
      </c>
      <c r="GQ172">
        <v>0</v>
      </c>
      <c r="GV172">
        <v>8.300000000000001</v>
      </c>
      <c r="GW172">
        <v>10.2</v>
      </c>
      <c r="GX172">
        <v>0.5</v>
      </c>
      <c r="GY172">
        <v>164</v>
      </c>
      <c r="GZ172">
        <v>3</v>
      </c>
      <c r="HA172">
        <v>208</v>
      </c>
      <c r="HB172">
        <v>3</v>
      </c>
      <c r="HC172">
        <v>1838</v>
      </c>
      <c r="HD172">
        <v>4</v>
      </c>
      <c r="HE172" t="s">
        <v>4071</v>
      </c>
      <c r="HG172" t="s">
        <v>549</v>
      </c>
      <c r="HL172">
        <v>4</v>
      </c>
      <c r="HM172">
        <v>15</v>
      </c>
      <c r="HN172">
        <v>6</v>
      </c>
      <c r="HO172">
        <v>1</v>
      </c>
      <c r="HP172">
        <v>0</v>
      </c>
      <c r="HQ172">
        <v>0</v>
      </c>
      <c r="HR172">
        <v>1</v>
      </c>
      <c r="HS172">
        <v>1795</v>
      </c>
      <c r="HT172">
        <v>5</v>
      </c>
      <c r="HU172">
        <v>1</v>
      </c>
      <c r="HV172">
        <v>0</v>
      </c>
      <c r="HW172">
        <v>0</v>
      </c>
      <c r="HX172">
        <v>1</v>
      </c>
      <c r="HY172">
        <v>0</v>
      </c>
      <c r="HZ172">
        <v>65</v>
      </c>
      <c r="IA172">
        <v>1798</v>
      </c>
      <c r="IB172">
        <v>1805</v>
      </c>
      <c r="ID172">
        <v>1838</v>
      </c>
      <c r="IE172">
        <v>1838</v>
      </c>
      <c r="IF172">
        <v>175</v>
      </c>
      <c r="IG172">
        <v>165</v>
      </c>
      <c r="IH172">
        <v>208</v>
      </c>
      <c r="II172">
        <v>1</v>
      </c>
      <c r="IJ172">
        <v>5</v>
      </c>
      <c r="IK172">
        <v>0</v>
      </c>
      <c r="IL172">
        <v>0</v>
      </c>
      <c r="IM172">
        <v>0</v>
      </c>
      <c r="IN172">
        <v>270</v>
      </c>
      <c r="IO172">
        <v>0</v>
      </c>
      <c r="IP172">
        <v>180</v>
      </c>
      <c r="IQ172">
        <v>0</v>
      </c>
      <c r="IR172">
        <v>330</v>
      </c>
      <c r="IS172">
        <v>0</v>
      </c>
      <c r="IT172">
        <v>90</v>
      </c>
      <c r="IU172">
        <v>0</v>
      </c>
      <c r="IV172">
        <v>6.4</v>
      </c>
      <c r="IW172">
        <v>-6</v>
      </c>
      <c r="IX172">
        <v>91</v>
      </c>
      <c r="IY172">
        <v>82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344</v>
      </c>
      <c r="JJ172">
        <v>318</v>
      </c>
      <c r="JK172">
        <v>220</v>
      </c>
      <c r="JL172">
        <v>290</v>
      </c>
      <c r="JM172">
        <v>240</v>
      </c>
      <c r="JN172">
        <v>180</v>
      </c>
      <c r="JO172">
        <v>225</v>
      </c>
      <c r="JP172">
        <v>225</v>
      </c>
      <c r="JQ172">
        <v>275</v>
      </c>
      <c r="JR172">
        <v>340</v>
      </c>
      <c r="JS172">
        <v>270</v>
      </c>
      <c r="JT172">
        <v>0</v>
      </c>
      <c r="JU172">
        <v>0</v>
      </c>
      <c r="JV172">
        <v>335</v>
      </c>
      <c r="JW172">
        <v>337</v>
      </c>
      <c r="JX172">
        <v>330</v>
      </c>
      <c r="JY172">
        <v>325</v>
      </c>
      <c r="JZ172">
        <v>0.5</v>
      </c>
      <c r="KA172">
        <v>0.2</v>
      </c>
      <c r="KB172">
        <v>0.4</v>
      </c>
      <c r="KC172">
        <v>0.42</v>
      </c>
      <c r="KD172">
        <v>0.2</v>
      </c>
      <c r="KE172">
        <v>0.5</v>
      </c>
      <c r="KF172">
        <v>0.17</v>
      </c>
      <c r="KG172">
        <v>0.1</v>
      </c>
      <c r="KH172">
        <v>3.5</v>
      </c>
      <c r="KI172">
        <v>1</v>
      </c>
      <c r="KJ172">
        <v>5</v>
      </c>
      <c r="KK172">
        <v>0</v>
      </c>
      <c r="KL172">
        <v>5</v>
      </c>
      <c r="KM172">
        <v>0</v>
      </c>
      <c r="KN172">
        <v>1.3</v>
      </c>
      <c r="KO172">
        <v>0</v>
      </c>
      <c r="KP172">
        <v>0</v>
      </c>
      <c r="KQ172">
        <v>0.7</v>
      </c>
      <c r="KR172">
        <v>1.5</v>
      </c>
      <c r="KS172">
        <v>0</v>
      </c>
      <c r="KT172">
        <v>2.3</v>
      </c>
      <c r="KU172">
        <v>0</v>
      </c>
      <c r="KV172">
        <v>0</v>
      </c>
      <c r="KW172">
        <v>0.8</v>
      </c>
      <c r="KX172">
        <v>2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3</v>
      </c>
      <c r="LI172">
        <v>0.5</v>
      </c>
      <c r="LJ172">
        <v>0</v>
      </c>
      <c r="LK172">
        <v>4</v>
      </c>
      <c r="LL172">
        <v>5</v>
      </c>
      <c r="LM172">
        <v>6</v>
      </c>
      <c r="LN172">
        <v>0.3</v>
      </c>
      <c r="LO172">
        <v>0.5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1.4</v>
      </c>
      <c r="LX172">
        <v>1.4</v>
      </c>
      <c r="LY172">
        <v>2.1</v>
      </c>
      <c r="LZ172">
        <v>2.1</v>
      </c>
      <c r="MA172">
        <v>0</v>
      </c>
      <c r="MB172">
        <v>0</v>
      </c>
      <c r="MC172">
        <v>0</v>
      </c>
      <c r="MD172">
        <v>4.5</v>
      </c>
      <c r="ME172">
        <v>6</v>
      </c>
      <c r="MF172">
        <v>6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374</v>
      </c>
      <c r="MN172">
        <v>170</v>
      </c>
      <c r="MO172">
        <v>218</v>
      </c>
      <c r="NU172">
        <v>0.15</v>
      </c>
      <c r="NV172">
        <v>0.2</v>
      </c>
      <c r="NW172">
        <v>0.2</v>
      </c>
      <c r="NX172">
        <v>0.2</v>
      </c>
      <c r="NY172">
        <v>0.2</v>
      </c>
      <c r="NZ172">
        <v>0.2</v>
      </c>
      <c r="OE172" t="s">
        <v>4701</v>
      </c>
      <c r="OF172" t="s">
        <v>4375</v>
      </c>
      <c r="OG172" t="s">
        <v>4376</v>
      </c>
      <c r="OH172" t="s">
        <v>4043</v>
      </c>
      <c r="OI172" t="s">
        <v>4701</v>
      </c>
      <c r="OJ172" t="s">
        <v>4700</v>
      </c>
      <c r="OK172">
        <v>61</v>
      </c>
      <c r="OL172">
        <v>61</v>
      </c>
      <c r="OM172" t="s">
        <v>4375</v>
      </c>
      <c r="ON172">
        <v>3</v>
      </c>
      <c r="OO172">
        <v>1798</v>
      </c>
      <c r="OP172">
        <v>61</v>
      </c>
      <c r="OQ172">
        <v>61</v>
      </c>
      <c r="OR172" t="s">
        <v>4376</v>
      </c>
      <c r="OS172">
        <v>3</v>
      </c>
      <c r="OT172">
        <v>1805</v>
      </c>
      <c r="OU172">
        <v>65</v>
      </c>
      <c r="OV172">
        <v>65</v>
      </c>
      <c r="OW172" t="s">
        <v>4043</v>
      </c>
      <c r="OX172">
        <v>2</v>
      </c>
      <c r="OY172">
        <v>29914</v>
      </c>
      <c r="OZ172">
        <v>51</v>
      </c>
      <c r="PA172">
        <v>51</v>
      </c>
      <c r="PB172" t="s">
        <v>4701</v>
      </c>
      <c r="PC172">
        <v>1</v>
      </c>
      <c r="PD172">
        <v>1838</v>
      </c>
      <c r="PF172">
        <v>320</v>
      </c>
      <c r="PG172">
        <v>29</v>
      </c>
      <c r="PH172">
        <v>302</v>
      </c>
      <c r="PI172">
        <v>29</v>
      </c>
      <c r="PJ172">
        <v>73.8</v>
      </c>
      <c r="PK172">
        <v>1916</v>
      </c>
      <c r="PL172">
        <v>960.4</v>
      </c>
      <c r="PM172">
        <v>758.7</v>
      </c>
      <c r="PN172">
        <v>88.5</v>
      </c>
      <c r="PP172">
        <v>12</v>
      </c>
      <c r="PQ172">
        <v>2</v>
      </c>
      <c r="PR172">
        <v>2</v>
      </c>
      <c r="PS172">
        <v>6</v>
      </c>
      <c r="PT172">
        <v>208</v>
      </c>
      <c r="PU172">
        <v>7</v>
      </c>
      <c r="PV172" t="s">
        <v>4072</v>
      </c>
      <c r="PW172" t="s">
        <v>4072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-1</v>
      </c>
      <c r="QF172">
        <v>1</v>
      </c>
      <c r="QG172">
        <v>0</v>
      </c>
      <c r="QH172">
        <v>5</v>
      </c>
      <c r="QI172">
        <v>5</v>
      </c>
      <c r="QJ172">
        <v>5</v>
      </c>
      <c r="QK172">
        <v>167</v>
      </c>
      <c r="QL172">
        <v>378</v>
      </c>
      <c r="QM172">
        <v>7.5</v>
      </c>
      <c r="QN172">
        <v>1202.7</v>
      </c>
      <c r="QO172" t="s">
        <v>2341</v>
      </c>
      <c r="QP172" t="s">
        <v>513</v>
      </c>
      <c r="QQ172">
        <v>0</v>
      </c>
      <c r="QR172" t="s">
        <v>540</v>
      </c>
      <c r="QS172">
        <v>30</v>
      </c>
      <c r="QT172">
        <v>40</v>
      </c>
    </row>
    <row r="173" spans="1:462">
      <c r="A173" t="s">
        <v>2476</v>
      </c>
      <c r="B173" t="s">
        <v>727</v>
      </c>
      <c r="C173" t="s">
        <v>509</v>
      </c>
      <c r="D173" t="s">
        <v>2475</v>
      </c>
      <c r="E173" t="s">
        <v>4036</v>
      </c>
      <c r="H173" t="s">
        <v>604</v>
      </c>
      <c r="I173" t="s">
        <v>605</v>
      </c>
      <c r="K173" t="s">
        <v>606</v>
      </c>
      <c r="L173" t="s">
        <v>729</v>
      </c>
      <c r="M173" t="s">
        <v>512</v>
      </c>
      <c r="O173" t="s">
        <v>513</v>
      </c>
      <c r="P173" t="s">
        <v>517</v>
      </c>
      <c r="Q173" t="s">
        <v>1681</v>
      </c>
      <c r="R173" t="s">
        <v>1682</v>
      </c>
      <c r="S173" t="s">
        <v>4170</v>
      </c>
      <c r="T173" t="s">
        <v>520</v>
      </c>
      <c r="U173" t="s">
        <v>521</v>
      </c>
      <c r="V173" t="s">
        <v>2477</v>
      </c>
      <c r="W173" t="s">
        <v>2336</v>
      </c>
      <c r="X173" t="s">
        <v>2478</v>
      </c>
      <c r="Y173" t="s">
        <v>2479</v>
      </c>
      <c r="Z173" t="s">
        <v>541</v>
      </c>
      <c r="AA173" t="s">
        <v>4038</v>
      </c>
      <c r="AB173" t="s">
        <v>4702</v>
      </c>
      <c r="AC173">
        <v>13</v>
      </c>
      <c r="AD173" t="s">
        <v>2474</v>
      </c>
      <c r="AE173">
        <v>10</v>
      </c>
      <c r="AF173">
        <v>3872</v>
      </c>
      <c r="AG173" t="s">
        <v>4660</v>
      </c>
      <c r="AH173">
        <v>1</v>
      </c>
      <c r="AI173" t="s">
        <v>4041</v>
      </c>
      <c r="AK173" t="s">
        <v>4661</v>
      </c>
      <c r="AL173">
        <v>1</v>
      </c>
      <c r="AM173" t="s">
        <v>582</v>
      </c>
      <c r="AO173" t="s">
        <v>4043</v>
      </c>
      <c r="AP173">
        <v>1</v>
      </c>
      <c r="AR173" t="s">
        <v>4703</v>
      </c>
      <c r="AS173">
        <v>1</v>
      </c>
      <c r="AT173">
        <v>52</v>
      </c>
      <c r="AV173" t="s">
        <v>4045</v>
      </c>
      <c r="AW173">
        <v>6.4</v>
      </c>
      <c r="AX173">
        <v>-6</v>
      </c>
      <c r="AY173">
        <v>95</v>
      </c>
      <c r="AZ173">
        <v>86</v>
      </c>
      <c r="BH173">
        <v>95</v>
      </c>
      <c r="BI173">
        <v>9</v>
      </c>
      <c r="BJ173">
        <v>86</v>
      </c>
      <c r="BK173">
        <v>2.5</v>
      </c>
      <c r="BL173">
        <v>190</v>
      </c>
      <c r="BM173">
        <v>-6</v>
      </c>
      <c r="BN173">
        <v>0</v>
      </c>
      <c r="BP173">
        <v>0</v>
      </c>
      <c r="BR173">
        <v>185</v>
      </c>
      <c r="BS173">
        <v>175</v>
      </c>
      <c r="BT173">
        <v>1900</v>
      </c>
      <c r="BU173" t="s">
        <v>4047</v>
      </c>
      <c r="BV173" t="s">
        <v>4047</v>
      </c>
      <c r="BW173" t="s">
        <v>4097</v>
      </c>
      <c r="BX173" t="s">
        <v>4049</v>
      </c>
      <c r="BY173" t="s">
        <v>4050</v>
      </c>
      <c r="BZ173" t="s">
        <v>4144</v>
      </c>
      <c r="CA173" t="s">
        <v>4051</v>
      </c>
      <c r="CB173" t="s">
        <v>4052</v>
      </c>
      <c r="CC173" t="s">
        <v>4053</v>
      </c>
      <c r="CD173" t="s">
        <v>4054</v>
      </c>
      <c r="CE173" t="s">
        <v>4055</v>
      </c>
      <c r="CF173" t="s">
        <v>4055</v>
      </c>
      <c r="CG173" t="s">
        <v>4056</v>
      </c>
      <c r="CH173" t="s">
        <v>4057</v>
      </c>
      <c r="CI173" t="s">
        <v>4058</v>
      </c>
      <c r="CJ173" t="s">
        <v>4059</v>
      </c>
      <c r="CK173" t="s">
        <v>4060</v>
      </c>
      <c r="CL173" t="s">
        <v>4061</v>
      </c>
      <c r="CM173" t="s">
        <v>4062</v>
      </c>
      <c r="CN173" t="s">
        <v>4055</v>
      </c>
      <c r="CO173" t="s">
        <v>4063</v>
      </c>
      <c r="CP173" t="s">
        <v>4055</v>
      </c>
      <c r="CQ173" t="s">
        <v>4055</v>
      </c>
      <c r="CR173">
        <v>5</v>
      </c>
      <c r="CS173" t="s">
        <v>4055</v>
      </c>
      <c r="CT173" t="s">
        <v>4055</v>
      </c>
      <c r="CU173" t="s">
        <v>4055</v>
      </c>
      <c r="CV173">
        <v>117</v>
      </c>
      <c r="CW173">
        <v>3</v>
      </c>
      <c r="CX173">
        <v>81</v>
      </c>
      <c r="CY173">
        <v>5</v>
      </c>
      <c r="CZ173">
        <v>64</v>
      </c>
      <c r="DA173">
        <v>5</v>
      </c>
      <c r="DB173">
        <v>9640</v>
      </c>
      <c r="DC173">
        <v>280</v>
      </c>
      <c r="DD173">
        <v>305</v>
      </c>
      <c r="DE173">
        <v>2000</v>
      </c>
      <c r="DF173">
        <v>2000</v>
      </c>
      <c r="DG173">
        <v>2028</v>
      </c>
      <c r="DH173" t="s">
        <v>4055</v>
      </c>
      <c r="DI173" t="s">
        <v>4055</v>
      </c>
      <c r="DJ173" t="s">
        <v>4100</v>
      </c>
      <c r="DK173">
        <v>185</v>
      </c>
      <c r="DL173" t="s">
        <v>4101</v>
      </c>
      <c r="DM173">
        <v>67</v>
      </c>
      <c r="DN173">
        <v>0.84</v>
      </c>
      <c r="DO173">
        <v>1</v>
      </c>
      <c r="DP173">
        <v>1903</v>
      </c>
      <c r="DQ173">
        <v>643</v>
      </c>
      <c r="DR173" t="s">
        <v>4100</v>
      </c>
      <c r="DS173">
        <v>175</v>
      </c>
      <c r="DT173" t="s">
        <v>4101</v>
      </c>
      <c r="DU173">
        <v>67</v>
      </c>
      <c r="DV173">
        <v>0.84</v>
      </c>
      <c r="DW173">
        <v>1</v>
      </c>
      <c r="DX173">
        <v>1910</v>
      </c>
      <c r="DY173">
        <v>611</v>
      </c>
      <c r="DZ173" t="s">
        <v>4066</v>
      </c>
      <c r="EA173">
        <v>33</v>
      </c>
      <c r="EB173" t="s">
        <v>4065</v>
      </c>
      <c r="EC173">
        <v>0.4</v>
      </c>
      <c r="ED173">
        <v>1903</v>
      </c>
      <c r="EE173">
        <v>55</v>
      </c>
      <c r="EF173" t="s">
        <v>4066</v>
      </c>
      <c r="EG173">
        <v>33</v>
      </c>
      <c r="EH173" t="s">
        <v>4065</v>
      </c>
      <c r="EI173">
        <v>0.4</v>
      </c>
      <c r="EJ173">
        <v>1910</v>
      </c>
      <c r="EK173">
        <v>55</v>
      </c>
      <c r="EL173" t="s">
        <v>1528</v>
      </c>
      <c r="EM173">
        <v>12</v>
      </c>
      <c r="EN173">
        <v>0.5</v>
      </c>
      <c r="EO173">
        <v>0.96</v>
      </c>
      <c r="EP173">
        <v>1910.56</v>
      </c>
      <c r="EQ173">
        <v>30151.03</v>
      </c>
      <c r="ER173">
        <v>2695.21</v>
      </c>
      <c r="ES173">
        <v>0</v>
      </c>
      <c r="ET173">
        <v>0</v>
      </c>
      <c r="EU173">
        <v>1</v>
      </c>
      <c r="EV173">
        <v>32847</v>
      </c>
      <c r="EW173">
        <v>395</v>
      </c>
      <c r="EX173" t="s">
        <v>4613</v>
      </c>
      <c r="EY173">
        <v>194</v>
      </c>
      <c r="EZ173" t="s">
        <v>4055</v>
      </c>
      <c r="FA173">
        <v>4.3</v>
      </c>
      <c r="FB173">
        <v>1</v>
      </c>
      <c r="FC173">
        <v>1</v>
      </c>
      <c r="FD173">
        <v>1944</v>
      </c>
      <c r="FE173">
        <v>1846</v>
      </c>
      <c r="FF173" t="s">
        <v>4288</v>
      </c>
      <c r="FG173">
        <v>198</v>
      </c>
      <c r="FH173" t="s">
        <v>4055</v>
      </c>
      <c r="FI173">
        <v>4</v>
      </c>
      <c r="FJ173">
        <v>1944</v>
      </c>
      <c r="FK173">
        <v>1851</v>
      </c>
      <c r="FL173" t="s">
        <v>4069</v>
      </c>
      <c r="FM173" t="s">
        <v>4055</v>
      </c>
      <c r="FN173" t="s">
        <v>4055</v>
      </c>
      <c r="FO173" t="s">
        <v>4055</v>
      </c>
      <c r="FP173">
        <v>1944</v>
      </c>
      <c r="FQ173">
        <v>129</v>
      </c>
      <c r="FR173" t="s">
        <v>4090</v>
      </c>
      <c r="FS173">
        <v>202</v>
      </c>
      <c r="FT173" t="s">
        <v>4055</v>
      </c>
      <c r="FU173">
        <v>0.4</v>
      </c>
      <c r="FV173">
        <v>1944</v>
      </c>
      <c r="FW173">
        <v>176</v>
      </c>
      <c r="FZ173" t="s">
        <v>4055</v>
      </c>
      <c r="GA173" t="s">
        <v>4055</v>
      </c>
      <c r="GD173">
        <v>4002</v>
      </c>
      <c r="GE173" t="s">
        <v>4703</v>
      </c>
      <c r="GF173" t="s">
        <v>4055</v>
      </c>
      <c r="GG173" t="s">
        <v>4055</v>
      </c>
      <c r="GH173" t="s">
        <v>4055</v>
      </c>
      <c r="GI173" t="s">
        <v>4071</v>
      </c>
      <c r="GJ173" t="s">
        <v>4055</v>
      </c>
      <c r="GK173" t="s">
        <v>4055</v>
      </c>
      <c r="GL173" t="s">
        <v>4055</v>
      </c>
      <c r="GM173" t="s">
        <v>4055</v>
      </c>
      <c r="GQ173">
        <v>0</v>
      </c>
      <c r="GV173">
        <v>8.699999999999999</v>
      </c>
      <c r="GW173">
        <v>10.7</v>
      </c>
      <c r="GX173">
        <v>0.5</v>
      </c>
      <c r="GY173">
        <v>172</v>
      </c>
      <c r="GZ173">
        <v>3</v>
      </c>
      <c r="HA173">
        <v>218</v>
      </c>
      <c r="HB173">
        <v>3</v>
      </c>
      <c r="HC173">
        <v>1944</v>
      </c>
      <c r="HD173">
        <v>4</v>
      </c>
      <c r="HE173" t="s">
        <v>4071</v>
      </c>
      <c r="HG173" t="s">
        <v>549</v>
      </c>
      <c r="HL173">
        <v>4</v>
      </c>
      <c r="HM173">
        <v>16</v>
      </c>
      <c r="HN173">
        <v>6</v>
      </c>
      <c r="HO173">
        <v>1</v>
      </c>
      <c r="HP173">
        <v>0</v>
      </c>
      <c r="HQ173">
        <v>0</v>
      </c>
      <c r="HR173">
        <v>2</v>
      </c>
      <c r="HS173">
        <v>1900</v>
      </c>
      <c r="HT173">
        <v>5</v>
      </c>
      <c r="HU173">
        <v>1</v>
      </c>
      <c r="HV173">
        <v>5</v>
      </c>
      <c r="HW173">
        <v>0</v>
      </c>
      <c r="HX173">
        <v>1</v>
      </c>
      <c r="HY173">
        <v>0</v>
      </c>
      <c r="HZ173">
        <v>67</v>
      </c>
      <c r="IA173">
        <v>1903</v>
      </c>
      <c r="IB173">
        <v>1910</v>
      </c>
      <c r="ID173">
        <v>1944</v>
      </c>
      <c r="IE173">
        <v>1944</v>
      </c>
      <c r="IF173">
        <v>185</v>
      </c>
      <c r="IG173">
        <v>175</v>
      </c>
      <c r="IH173">
        <v>218</v>
      </c>
      <c r="II173">
        <v>1</v>
      </c>
      <c r="IJ173">
        <v>5</v>
      </c>
      <c r="IK173">
        <v>0</v>
      </c>
      <c r="IL173">
        <v>0</v>
      </c>
      <c r="IM173">
        <v>0</v>
      </c>
      <c r="IN173">
        <v>270</v>
      </c>
      <c r="IO173">
        <v>0</v>
      </c>
      <c r="IP173">
        <v>180</v>
      </c>
      <c r="IQ173">
        <v>0</v>
      </c>
      <c r="IR173">
        <v>325</v>
      </c>
      <c r="IS173">
        <v>0</v>
      </c>
      <c r="IT173">
        <v>90</v>
      </c>
      <c r="IU173">
        <v>0</v>
      </c>
      <c r="IV173">
        <v>6.4</v>
      </c>
      <c r="IW173">
        <v>-6</v>
      </c>
      <c r="IX173">
        <v>95</v>
      </c>
      <c r="IY173">
        <v>86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368</v>
      </c>
      <c r="JJ173">
        <v>342</v>
      </c>
      <c r="JK173">
        <v>256</v>
      </c>
      <c r="JL173">
        <v>342</v>
      </c>
      <c r="JM173">
        <v>250</v>
      </c>
      <c r="JN173">
        <v>190</v>
      </c>
      <c r="JO173">
        <v>230</v>
      </c>
      <c r="JP173">
        <v>220</v>
      </c>
      <c r="JQ173">
        <v>270</v>
      </c>
      <c r="JR173">
        <v>350</v>
      </c>
      <c r="JS173">
        <v>260</v>
      </c>
      <c r="JT173">
        <v>0</v>
      </c>
      <c r="JU173">
        <v>0</v>
      </c>
      <c r="JV173">
        <v>335</v>
      </c>
      <c r="JW173">
        <v>337</v>
      </c>
      <c r="JX173">
        <v>335</v>
      </c>
      <c r="JY173">
        <v>320</v>
      </c>
      <c r="JZ173">
        <v>1</v>
      </c>
      <c r="KA173">
        <v>0.2</v>
      </c>
      <c r="KB173">
        <v>0.42</v>
      </c>
      <c r="KC173">
        <v>0.43</v>
      </c>
      <c r="KD173">
        <v>0.2</v>
      </c>
      <c r="KE173">
        <v>0.5</v>
      </c>
      <c r="KF173">
        <v>0.19</v>
      </c>
      <c r="KG173">
        <v>0.09</v>
      </c>
      <c r="KH173">
        <v>3.5</v>
      </c>
      <c r="KI173">
        <v>1</v>
      </c>
      <c r="KJ173">
        <v>9</v>
      </c>
      <c r="KK173">
        <v>1</v>
      </c>
      <c r="KL173">
        <v>9</v>
      </c>
      <c r="KM173">
        <v>1</v>
      </c>
      <c r="KN173">
        <v>1.5</v>
      </c>
      <c r="KO173">
        <v>0</v>
      </c>
      <c r="KP173">
        <v>0</v>
      </c>
      <c r="KQ173">
        <v>0.8</v>
      </c>
      <c r="KR173">
        <v>1.5</v>
      </c>
      <c r="KS173">
        <v>0</v>
      </c>
      <c r="KT173">
        <v>2.9</v>
      </c>
      <c r="KU173">
        <v>0</v>
      </c>
      <c r="KV173">
        <v>0</v>
      </c>
      <c r="KW173">
        <v>0.8</v>
      </c>
      <c r="KX173">
        <v>1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3</v>
      </c>
      <c r="LI173">
        <v>1</v>
      </c>
      <c r="LJ173">
        <v>0</v>
      </c>
      <c r="LK173">
        <v>7</v>
      </c>
      <c r="LL173">
        <v>2.5</v>
      </c>
      <c r="LM173">
        <v>6</v>
      </c>
      <c r="LN173">
        <v>0.3</v>
      </c>
      <c r="LO173">
        <v>0.5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1.4</v>
      </c>
      <c r="LX173">
        <v>1.4</v>
      </c>
      <c r="LY173">
        <v>2.1</v>
      </c>
      <c r="LZ173">
        <v>2.1</v>
      </c>
      <c r="MA173">
        <v>0</v>
      </c>
      <c r="MB173">
        <v>3</v>
      </c>
      <c r="MC173">
        <v>0</v>
      </c>
      <c r="MD173">
        <v>4.5</v>
      </c>
      <c r="ME173">
        <v>6</v>
      </c>
      <c r="MF173">
        <v>6</v>
      </c>
      <c r="MI173">
        <v>0</v>
      </c>
      <c r="MJ173">
        <v>0</v>
      </c>
      <c r="ML173">
        <v>0</v>
      </c>
      <c r="MM173">
        <v>390</v>
      </c>
      <c r="MN173">
        <v>165</v>
      </c>
      <c r="MO173">
        <v>239</v>
      </c>
      <c r="NU173">
        <v>0.2</v>
      </c>
      <c r="NV173">
        <v>0.4</v>
      </c>
      <c r="NW173">
        <v>0.42</v>
      </c>
      <c r="NX173">
        <v>0.2</v>
      </c>
      <c r="NY173">
        <v>0.2</v>
      </c>
      <c r="NZ173">
        <v>0.2</v>
      </c>
      <c r="OE173" t="s">
        <v>4703</v>
      </c>
      <c r="OF173" t="s">
        <v>4660</v>
      </c>
      <c r="OG173" t="s">
        <v>4661</v>
      </c>
      <c r="OH173" t="s">
        <v>4043</v>
      </c>
      <c r="OI173" t="s">
        <v>4703</v>
      </c>
      <c r="OJ173" t="s">
        <v>4702</v>
      </c>
      <c r="OK173">
        <v>61</v>
      </c>
      <c r="OL173">
        <v>61</v>
      </c>
      <c r="OM173" t="s">
        <v>4660</v>
      </c>
      <c r="ON173">
        <v>3</v>
      </c>
      <c r="OO173">
        <v>1903</v>
      </c>
      <c r="OP173">
        <v>61</v>
      </c>
      <c r="OQ173">
        <v>61</v>
      </c>
      <c r="OR173" t="s">
        <v>4661</v>
      </c>
      <c r="OS173">
        <v>3</v>
      </c>
      <c r="OT173">
        <v>1910</v>
      </c>
      <c r="OU173">
        <v>65</v>
      </c>
      <c r="OV173">
        <v>65</v>
      </c>
      <c r="OW173" t="s">
        <v>4043</v>
      </c>
      <c r="OX173">
        <v>2</v>
      </c>
      <c r="OY173">
        <v>32847</v>
      </c>
      <c r="OZ173">
        <v>51</v>
      </c>
      <c r="PA173">
        <v>52</v>
      </c>
      <c r="PB173" t="s">
        <v>4703</v>
      </c>
      <c r="PC173">
        <v>1</v>
      </c>
      <c r="PD173">
        <v>1944</v>
      </c>
      <c r="PF173">
        <v>338</v>
      </c>
      <c r="PG173">
        <v>29</v>
      </c>
      <c r="PH173">
        <v>320</v>
      </c>
      <c r="PI173">
        <v>29</v>
      </c>
      <c r="PJ173">
        <v>66.3</v>
      </c>
      <c r="PK173">
        <v>2032</v>
      </c>
      <c r="PL173">
        <v>949.7</v>
      </c>
      <c r="PM173">
        <v>952</v>
      </c>
      <c r="PN173">
        <v>90.3</v>
      </c>
      <c r="PP173">
        <v>12</v>
      </c>
      <c r="PQ173">
        <v>1</v>
      </c>
      <c r="PR173">
        <v>1</v>
      </c>
      <c r="PS173">
        <v>7</v>
      </c>
      <c r="PT173">
        <v>218</v>
      </c>
      <c r="PU173">
        <v>10</v>
      </c>
      <c r="PV173" t="s">
        <v>4072</v>
      </c>
      <c r="PW173" t="s">
        <v>4072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-1</v>
      </c>
      <c r="QF173">
        <v>1</v>
      </c>
      <c r="QG173">
        <v>0</v>
      </c>
      <c r="QH173">
        <v>5</v>
      </c>
      <c r="QI173">
        <v>5</v>
      </c>
      <c r="QJ173">
        <v>5</v>
      </c>
      <c r="QK173">
        <v>179</v>
      </c>
      <c r="QL173">
        <v>402</v>
      </c>
      <c r="QM173">
        <v>7.5</v>
      </c>
      <c r="QN173">
        <v>1282.5</v>
      </c>
      <c r="QO173" t="s">
        <v>2341</v>
      </c>
      <c r="QP173" t="s">
        <v>513</v>
      </c>
      <c r="QQ173">
        <v>0</v>
      </c>
      <c r="QR173" t="s">
        <v>1496</v>
      </c>
      <c r="QS173">
        <v>30</v>
      </c>
      <c r="QT173">
        <v>40</v>
      </c>
    </row>
    <row r="174" spans="1:462">
      <c r="A174" t="s">
        <v>2488</v>
      </c>
      <c r="B174" t="s">
        <v>897</v>
      </c>
      <c r="C174" t="s">
        <v>509</v>
      </c>
      <c r="D174" t="s">
        <v>2487</v>
      </c>
      <c r="E174" t="s">
        <v>4036</v>
      </c>
      <c r="H174" t="s">
        <v>605</v>
      </c>
      <c r="I174" t="s">
        <v>896</v>
      </c>
      <c r="J174" t="s">
        <v>628</v>
      </c>
      <c r="K174" t="s">
        <v>606</v>
      </c>
      <c r="L174" t="s">
        <v>657</v>
      </c>
      <c r="M174" t="s">
        <v>512</v>
      </c>
      <c r="O174" t="s">
        <v>513</v>
      </c>
      <c r="P174" t="s">
        <v>517</v>
      </c>
      <c r="Q174" t="s">
        <v>976</v>
      </c>
      <c r="R174" t="s">
        <v>954</v>
      </c>
      <c r="S174" t="s">
        <v>4170</v>
      </c>
      <c r="T174" t="s">
        <v>633</v>
      </c>
      <c r="U174" t="s">
        <v>634</v>
      </c>
      <c r="V174" t="s">
        <v>2443</v>
      </c>
      <c r="W174" t="s">
        <v>2336</v>
      </c>
      <c r="X174" t="s">
        <v>2489</v>
      </c>
      <c r="Y174" t="s">
        <v>2490</v>
      </c>
      <c r="Z174" t="s">
        <v>650</v>
      </c>
      <c r="AA174" t="s">
        <v>4038</v>
      </c>
      <c r="AB174" t="s">
        <v>4704</v>
      </c>
      <c r="AC174">
        <v>14</v>
      </c>
      <c r="AD174" t="s">
        <v>2486</v>
      </c>
      <c r="AE174">
        <v>8</v>
      </c>
      <c r="AF174">
        <v>5437</v>
      </c>
      <c r="AG174" t="s">
        <v>4238</v>
      </c>
      <c r="AH174">
        <v>1</v>
      </c>
      <c r="AI174" t="s">
        <v>4041</v>
      </c>
      <c r="AK174" t="s">
        <v>4239</v>
      </c>
      <c r="AL174">
        <v>1</v>
      </c>
      <c r="AM174" t="s">
        <v>582</v>
      </c>
      <c r="AO174" t="s">
        <v>4043</v>
      </c>
      <c r="AP174">
        <v>1</v>
      </c>
      <c r="AR174" t="s">
        <v>4705</v>
      </c>
      <c r="AS174">
        <v>1</v>
      </c>
      <c r="AT174">
        <v>51</v>
      </c>
      <c r="AV174" t="s">
        <v>4045</v>
      </c>
      <c r="AW174">
        <v>6.4</v>
      </c>
      <c r="AX174">
        <v>-6</v>
      </c>
      <c r="AY174">
        <v>100.5</v>
      </c>
      <c r="AZ174">
        <v>91.5</v>
      </c>
      <c r="BH174">
        <v>100.5</v>
      </c>
      <c r="BI174">
        <v>9</v>
      </c>
      <c r="BJ174">
        <v>91.5</v>
      </c>
      <c r="BK174">
        <v>3</v>
      </c>
      <c r="BL174">
        <v>201</v>
      </c>
      <c r="BM174">
        <v>-6</v>
      </c>
      <c r="BN174">
        <v>0</v>
      </c>
      <c r="BP174">
        <v>0</v>
      </c>
      <c r="BR174">
        <v>195</v>
      </c>
      <c r="BS174">
        <v>185</v>
      </c>
      <c r="BT174">
        <v>2055</v>
      </c>
      <c r="BU174" t="s">
        <v>4096</v>
      </c>
      <c r="BV174" t="s">
        <v>4096</v>
      </c>
      <c r="BW174" t="s">
        <v>4097</v>
      </c>
      <c r="BX174" t="s">
        <v>4097</v>
      </c>
      <c r="BY174" t="s">
        <v>4173</v>
      </c>
      <c r="BZ174" t="s">
        <v>4107</v>
      </c>
      <c r="CA174" t="s">
        <v>4108</v>
      </c>
      <c r="CB174" t="s">
        <v>4109</v>
      </c>
      <c r="CC174" t="s">
        <v>4120</v>
      </c>
      <c r="CD174" t="s">
        <v>4110</v>
      </c>
      <c r="CE174" t="s">
        <v>4055</v>
      </c>
      <c r="CF174" t="s">
        <v>4055</v>
      </c>
      <c r="CG174" t="s">
        <v>4056</v>
      </c>
      <c r="CI174" t="s">
        <v>4216</v>
      </c>
      <c r="CJ174" t="s">
        <v>4059</v>
      </c>
      <c r="CK174" t="s">
        <v>4060</v>
      </c>
      <c r="CL174" t="s">
        <v>4061</v>
      </c>
      <c r="CM174" t="s">
        <v>4062</v>
      </c>
      <c r="CN174" t="s">
        <v>4055</v>
      </c>
      <c r="CO174" t="s">
        <v>4063</v>
      </c>
      <c r="CP174" t="s">
        <v>4055</v>
      </c>
      <c r="CQ174" t="s">
        <v>4055</v>
      </c>
      <c r="CR174">
        <v>5</v>
      </c>
      <c r="CS174" t="s">
        <v>4055</v>
      </c>
      <c r="CT174" t="s">
        <v>4055</v>
      </c>
      <c r="CU174" t="s">
        <v>4055</v>
      </c>
      <c r="CV174">
        <v>127</v>
      </c>
      <c r="CW174">
        <v>3</v>
      </c>
      <c r="CX174">
        <v>98</v>
      </c>
      <c r="CY174">
        <v>5</v>
      </c>
      <c r="CZ174">
        <v>136</v>
      </c>
      <c r="DA174">
        <v>5</v>
      </c>
      <c r="DB174">
        <v>12720</v>
      </c>
      <c r="DC174">
        <v>380</v>
      </c>
      <c r="DD174">
        <v>324</v>
      </c>
      <c r="DE174">
        <v>2172</v>
      </c>
      <c r="DF174">
        <v>2172</v>
      </c>
      <c r="DG174">
        <v>2186</v>
      </c>
      <c r="DH174">
        <v>2</v>
      </c>
      <c r="DI174" t="s">
        <v>4055</v>
      </c>
      <c r="DJ174" t="s">
        <v>4087</v>
      </c>
      <c r="DK174">
        <v>195</v>
      </c>
      <c r="DL174" t="s">
        <v>4065</v>
      </c>
      <c r="DM174">
        <v>65</v>
      </c>
      <c r="DN174">
        <v>1.36</v>
      </c>
      <c r="DO174">
        <v>1</v>
      </c>
      <c r="DP174">
        <v>2059</v>
      </c>
      <c r="DQ174">
        <v>1011</v>
      </c>
      <c r="DR174" t="s">
        <v>4087</v>
      </c>
      <c r="DS174">
        <v>185</v>
      </c>
      <c r="DT174" t="s">
        <v>4065</v>
      </c>
      <c r="DU174">
        <v>65</v>
      </c>
      <c r="DV174">
        <v>1.36</v>
      </c>
      <c r="DW174">
        <v>1</v>
      </c>
      <c r="DX174">
        <v>2073</v>
      </c>
      <c r="DY174">
        <v>966</v>
      </c>
      <c r="DZ174" t="s">
        <v>4066</v>
      </c>
      <c r="EA174">
        <v>20</v>
      </c>
      <c r="EB174" t="s">
        <v>4065</v>
      </c>
      <c r="EC174">
        <v>0.8</v>
      </c>
      <c r="ED174">
        <v>2059</v>
      </c>
      <c r="EE174">
        <v>72</v>
      </c>
      <c r="EG174">
        <v>0</v>
      </c>
      <c r="EH174" t="s">
        <v>4065</v>
      </c>
      <c r="EI174">
        <v>0</v>
      </c>
      <c r="EL174" t="s">
        <v>1528</v>
      </c>
      <c r="EM174">
        <v>12</v>
      </c>
      <c r="EN174">
        <v>0.5</v>
      </c>
      <c r="EO174">
        <v>0.96</v>
      </c>
      <c r="EP174">
        <v>2072.1</v>
      </c>
      <c r="EQ174">
        <v>34481.04</v>
      </c>
      <c r="ER174">
        <v>2922.37</v>
      </c>
      <c r="ES174">
        <v>0</v>
      </c>
      <c r="ET174">
        <v>0</v>
      </c>
      <c r="EU174">
        <v>1</v>
      </c>
      <c r="EV174">
        <v>37404</v>
      </c>
      <c r="EW174">
        <v>449</v>
      </c>
      <c r="EX174" t="s">
        <v>4613</v>
      </c>
      <c r="EY174">
        <v>212</v>
      </c>
      <c r="EZ174" t="s">
        <v>4055</v>
      </c>
      <c r="FA174">
        <v>4.4</v>
      </c>
      <c r="FB174">
        <v>1</v>
      </c>
      <c r="FC174">
        <v>1</v>
      </c>
      <c r="FD174">
        <v>2105</v>
      </c>
      <c r="FE174">
        <v>2228</v>
      </c>
      <c r="FF174" t="s">
        <v>4288</v>
      </c>
      <c r="FG174">
        <v>222</v>
      </c>
      <c r="FH174" t="s">
        <v>4055</v>
      </c>
      <c r="FI174">
        <v>3.6</v>
      </c>
      <c r="FJ174">
        <v>2105</v>
      </c>
      <c r="FK174">
        <v>2147</v>
      </c>
      <c r="FL174" t="s">
        <v>4069</v>
      </c>
      <c r="FM174" t="s">
        <v>4055</v>
      </c>
      <c r="FN174" t="s">
        <v>4055</v>
      </c>
      <c r="FO174" t="s">
        <v>4055</v>
      </c>
      <c r="FP174">
        <v>2105</v>
      </c>
      <c r="FQ174">
        <v>191</v>
      </c>
      <c r="FR174" t="s">
        <v>4090</v>
      </c>
      <c r="FS174">
        <v>226</v>
      </c>
      <c r="FT174" t="s">
        <v>4055</v>
      </c>
      <c r="FU174">
        <v>0.4</v>
      </c>
      <c r="FV174">
        <v>2105</v>
      </c>
      <c r="FW174">
        <v>213</v>
      </c>
      <c r="FZ174" t="s">
        <v>4055</v>
      </c>
      <c r="GA174" t="s">
        <v>4055</v>
      </c>
      <c r="GD174">
        <v>4779</v>
      </c>
      <c r="GE174" t="s">
        <v>4705</v>
      </c>
      <c r="GF174" t="s">
        <v>4055</v>
      </c>
      <c r="GG174" t="s">
        <v>4055</v>
      </c>
      <c r="GH174" t="s">
        <v>4055</v>
      </c>
      <c r="GI174" t="s">
        <v>4071</v>
      </c>
      <c r="GJ174" t="s">
        <v>4055</v>
      </c>
      <c r="GK174" t="s">
        <v>4055</v>
      </c>
      <c r="GL174" t="s">
        <v>4055</v>
      </c>
      <c r="GM174" t="s">
        <v>4055</v>
      </c>
      <c r="GQ174">
        <v>0</v>
      </c>
      <c r="GV174">
        <v>8.4</v>
      </c>
      <c r="GW174">
        <v>11</v>
      </c>
      <c r="GX174">
        <v>0.5</v>
      </c>
      <c r="GY174">
        <v>182</v>
      </c>
      <c r="GZ174">
        <v>3</v>
      </c>
      <c r="HA174">
        <v>238</v>
      </c>
      <c r="HB174">
        <v>3</v>
      </c>
      <c r="HC174">
        <v>2105</v>
      </c>
      <c r="HD174">
        <v>4</v>
      </c>
      <c r="HE174" t="s">
        <v>4071</v>
      </c>
      <c r="HG174" t="s">
        <v>549</v>
      </c>
      <c r="HL174">
        <v>4</v>
      </c>
      <c r="HM174">
        <v>17</v>
      </c>
      <c r="HN174">
        <v>1</v>
      </c>
      <c r="HO174">
        <v>1</v>
      </c>
      <c r="HP174">
        <v>0</v>
      </c>
      <c r="HQ174">
        <v>0</v>
      </c>
      <c r="HR174">
        <v>3</v>
      </c>
      <c r="HS174">
        <v>2055</v>
      </c>
      <c r="HT174">
        <v>5</v>
      </c>
      <c r="HU174">
        <v>1</v>
      </c>
      <c r="HV174">
        <v>5</v>
      </c>
      <c r="HW174">
        <v>0</v>
      </c>
      <c r="HX174">
        <v>1</v>
      </c>
      <c r="HY174">
        <v>0</v>
      </c>
      <c r="HZ174">
        <v>65</v>
      </c>
      <c r="IA174">
        <v>2059</v>
      </c>
      <c r="IB174">
        <v>2073</v>
      </c>
      <c r="ID174">
        <v>2105</v>
      </c>
      <c r="IE174">
        <v>2105</v>
      </c>
      <c r="IF174">
        <v>195</v>
      </c>
      <c r="IG174">
        <v>185</v>
      </c>
      <c r="IH174">
        <v>238</v>
      </c>
      <c r="II174">
        <v>1</v>
      </c>
      <c r="IJ174">
        <v>5</v>
      </c>
      <c r="IK174">
        <v>0</v>
      </c>
      <c r="IL174">
        <v>0</v>
      </c>
      <c r="IM174">
        <v>0</v>
      </c>
      <c r="IN174">
        <v>270</v>
      </c>
      <c r="IO174">
        <v>0</v>
      </c>
      <c r="IP174">
        <v>180</v>
      </c>
      <c r="IQ174">
        <v>0</v>
      </c>
      <c r="IR174">
        <v>330</v>
      </c>
      <c r="IS174">
        <v>0</v>
      </c>
      <c r="IT174">
        <v>90</v>
      </c>
      <c r="IU174">
        <v>0</v>
      </c>
      <c r="IV174">
        <v>6.4</v>
      </c>
      <c r="IW174">
        <v>-6</v>
      </c>
      <c r="IX174">
        <v>100.5</v>
      </c>
      <c r="IY174">
        <v>91.5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398</v>
      </c>
      <c r="JJ174">
        <v>360</v>
      </c>
      <c r="JK174">
        <v>238</v>
      </c>
      <c r="JL174">
        <v>360</v>
      </c>
      <c r="JM174">
        <v>260</v>
      </c>
      <c r="JN174">
        <v>205</v>
      </c>
      <c r="JO174">
        <v>240</v>
      </c>
      <c r="JP174">
        <v>185</v>
      </c>
      <c r="JQ174">
        <v>245</v>
      </c>
      <c r="JR174">
        <v>340</v>
      </c>
      <c r="JS174">
        <v>245</v>
      </c>
      <c r="JT174">
        <v>0</v>
      </c>
      <c r="JU174">
        <v>0</v>
      </c>
      <c r="JV174">
        <v>335</v>
      </c>
      <c r="JW174">
        <v>337</v>
      </c>
      <c r="JX174">
        <v>320</v>
      </c>
      <c r="JY174">
        <v>300</v>
      </c>
      <c r="JZ174">
        <v>0.5</v>
      </c>
      <c r="KA174">
        <v>0.2</v>
      </c>
      <c r="KB174">
        <v>0.4</v>
      </c>
      <c r="KC174">
        <v>0.42</v>
      </c>
      <c r="KD174">
        <v>0.3</v>
      </c>
      <c r="KE174">
        <v>0.5</v>
      </c>
      <c r="KF174">
        <v>0.18</v>
      </c>
      <c r="KG174">
        <v>0.1</v>
      </c>
      <c r="KH174">
        <v>2</v>
      </c>
      <c r="KI174">
        <v>1</v>
      </c>
      <c r="KJ174">
        <v>7</v>
      </c>
      <c r="KK174">
        <v>0</v>
      </c>
      <c r="KL174">
        <v>7</v>
      </c>
      <c r="KM174">
        <v>2</v>
      </c>
      <c r="KN174">
        <v>1</v>
      </c>
      <c r="KO174">
        <v>0</v>
      </c>
      <c r="KP174">
        <v>0</v>
      </c>
      <c r="KQ174">
        <v>1.2</v>
      </c>
      <c r="KR174">
        <v>0.8</v>
      </c>
      <c r="KS174">
        <v>0</v>
      </c>
      <c r="KT174">
        <v>2</v>
      </c>
      <c r="KU174">
        <v>0</v>
      </c>
      <c r="KV174">
        <v>0</v>
      </c>
      <c r="KW174">
        <v>1.2</v>
      </c>
      <c r="KX174">
        <v>2</v>
      </c>
      <c r="KY174">
        <v>1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0.5</v>
      </c>
      <c r="LJ174">
        <v>0</v>
      </c>
      <c r="LK174">
        <v>7</v>
      </c>
      <c r="LL174">
        <v>9</v>
      </c>
      <c r="LM174">
        <v>7</v>
      </c>
      <c r="LN174">
        <v>0.3</v>
      </c>
      <c r="LO174">
        <v>1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2.1</v>
      </c>
      <c r="LX174">
        <v>2.1</v>
      </c>
      <c r="LY174">
        <v>2.8</v>
      </c>
      <c r="LZ174">
        <v>2.8</v>
      </c>
      <c r="MA174">
        <v>0</v>
      </c>
      <c r="MB174">
        <v>7</v>
      </c>
      <c r="MC174">
        <v>0</v>
      </c>
      <c r="MD174">
        <v>4.5</v>
      </c>
      <c r="ME174">
        <v>6</v>
      </c>
      <c r="MF174">
        <v>6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420</v>
      </c>
      <c r="MN174">
        <v>190</v>
      </c>
      <c r="MO174">
        <v>238</v>
      </c>
      <c r="NU174">
        <v>0.15</v>
      </c>
      <c r="NV174">
        <v>0.2</v>
      </c>
      <c r="NW174">
        <v>0.2</v>
      </c>
      <c r="NX174">
        <v>0.2</v>
      </c>
      <c r="NY174">
        <v>0.2</v>
      </c>
      <c r="NZ174">
        <v>0.2</v>
      </c>
      <c r="OE174" t="s">
        <v>4705</v>
      </c>
      <c r="OF174" t="s">
        <v>4238</v>
      </c>
      <c r="OG174" t="s">
        <v>4239</v>
      </c>
      <c r="OH174" t="s">
        <v>4043</v>
      </c>
      <c r="OI174" t="s">
        <v>4705</v>
      </c>
      <c r="OJ174" t="s">
        <v>4704</v>
      </c>
      <c r="OK174">
        <v>61</v>
      </c>
      <c r="OL174">
        <v>61</v>
      </c>
      <c r="OM174" t="s">
        <v>4238</v>
      </c>
      <c r="ON174">
        <v>2</v>
      </c>
      <c r="OO174">
        <v>2059</v>
      </c>
      <c r="OP174">
        <v>61</v>
      </c>
      <c r="OQ174">
        <v>61</v>
      </c>
      <c r="OR174" t="s">
        <v>4239</v>
      </c>
      <c r="OS174">
        <v>2</v>
      </c>
      <c r="OT174">
        <v>2073</v>
      </c>
      <c r="OU174">
        <v>65</v>
      </c>
      <c r="OV174">
        <v>65</v>
      </c>
      <c r="OW174" t="s">
        <v>4043</v>
      </c>
      <c r="OX174">
        <v>1</v>
      </c>
      <c r="OY174">
        <v>37404</v>
      </c>
      <c r="OZ174">
        <v>51</v>
      </c>
      <c r="PA174">
        <v>51</v>
      </c>
      <c r="PB174" t="s">
        <v>4705</v>
      </c>
      <c r="PC174">
        <v>2</v>
      </c>
      <c r="PD174">
        <v>2105</v>
      </c>
      <c r="PF174">
        <v>491</v>
      </c>
      <c r="PG174">
        <v>35</v>
      </c>
      <c r="PH174">
        <v>466</v>
      </c>
      <c r="PI174">
        <v>0</v>
      </c>
      <c r="PJ174">
        <v>90.90000000000001</v>
      </c>
      <c r="PK174">
        <v>2258</v>
      </c>
      <c r="PL174">
        <v>1058.2</v>
      </c>
      <c r="PM174">
        <v>1019.8</v>
      </c>
      <c r="PN174">
        <v>101</v>
      </c>
      <c r="PP174">
        <v>12</v>
      </c>
      <c r="PQ174">
        <v>3</v>
      </c>
      <c r="PR174">
        <v>3</v>
      </c>
      <c r="PS174">
        <v>0</v>
      </c>
      <c r="PT174">
        <v>238</v>
      </c>
      <c r="PU174">
        <v>8</v>
      </c>
      <c r="PV174" t="s">
        <v>4072</v>
      </c>
      <c r="PW174" t="s">
        <v>4072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-1</v>
      </c>
      <c r="QF174">
        <v>1</v>
      </c>
      <c r="QG174">
        <v>0</v>
      </c>
      <c r="QH174">
        <v>5</v>
      </c>
      <c r="QI174">
        <v>5</v>
      </c>
      <c r="QJ174">
        <v>5</v>
      </c>
      <c r="QK174">
        <v>216</v>
      </c>
      <c r="QL174">
        <v>430</v>
      </c>
      <c r="QM174">
        <v>7.5</v>
      </c>
      <c r="QN174">
        <v>1383</v>
      </c>
      <c r="QO174" t="s">
        <v>2341</v>
      </c>
      <c r="QP174" t="s">
        <v>513</v>
      </c>
      <c r="QQ174">
        <v>0</v>
      </c>
      <c r="QR174" t="s">
        <v>2496</v>
      </c>
      <c r="QS174">
        <v>40</v>
      </c>
      <c r="QT174">
        <v>50</v>
      </c>
    </row>
    <row r="175" spans="1:462">
      <c r="A175" t="s">
        <v>2500</v>
      </c>
      <c r="B175" t="s">
        <v>729</v>
      </c>
      <c r="C175" t="s">
        <v>509</v>
      </c>
      <c r="D175" t="s">
        <v>2499</v>
      </c>
      <c r="E175" t="s">
        <v>4036</v>
      </c>
      <c r="H175" t="s">
        <v>604</v>
      </c>
      <c r="I175" t="s">
        <v>605</v>
      </c>
      <c r="K175" t="s">
        <v>606</v>
      </c>
      <c r="L175" t="s">
        <v>897</v>
      </c>
      <c r="M175" t="s">
        <v>512</v>
      </c>
      <c r="O175" t="s">
        <v>513</v>
      </c>
      <c r="P175" t="s">
        <v>517</v>
      </c>
      <c r="Q175" t="s">
        <v>2501</v>
      </c>
      <c r="R175" t="s">
        <v>2502</v>
      </c>
      <c r="S175" t="s">
        <v>4391</v>
      </c>
      <c r="T175" t="s">
        <v>1457</v>
      </c>
      <c r="U175" t="s">
        <v>1458</v>
      </c>
      <c r="V175" t="s">
        <v>2425</v>
      </c>
      <c r="W175" t="s">
        <v>2336</v>
      </c>
      <c r="X175" t="s">
        <v>2503</v>
      </c>
      <c r="Y175" t="s">
        <v>2504</v>
      </c>
      <c r="Z175" t="s">
        <v>541</v>
      </c>
      <c r="AA175" t="s">
        <v>3054</v>
      </c>
      <c r="AB175" t="s">
        <v>4706</v>
      </c>
      <c r="AC175">
        <v>10</v>
      </c>
      <c r="AD175" t="s">
        <v>2498</v>
      </c>
      <c r="AE175">
        <v>9</v>
      </c>
      <c r="AF175">
        <v>3346</v>
      </c>
      <c r="AG175" t="s">
        <v>4656</v>
      </c>
      <c r="AH175">
        <v>1</v>
      </c>
      <c r="AI175" t="s">
        <v>4041</v>
      </c>
      <c r="AK175" t="s">
        <v>4657</v>
      </c>
      <c r="AL175">
        <v>1</v>
      </c>
      <c r="AM175" t="s">
        <v>582</v>
      </c>
      <c r="AO175" t="s">
        <v>4043</v>
      </c>
      <c r="AP175">
        <v>1</v>
      </c>
      <c r="AR175" t="s">
        <v>4707</v>
      </c>
      <c r="AS175">
        <v>1</v>
      </c>
      <c r="AT175">
        <v>51</v>
      </c>
      <c r="AV175" t="s">
        <v>4045</v>
      </c>
      <c r="AW175">
        <v>6.4</v>
      </c>
      <c r="AX175">
        <v>-6</v>
      </c>
      <c r="AY175">
        <v>83</v>
      </c>
      <c r="AZ175">
        <v>74</v>
      </c>
      <c r="BH175">
        <v>83</v>
      </c>
      <c r="BI175">
        <v>9</v>
      </c>
      <c r="BJ175">
        <v>74</v>
      </c>
      <c r="BK175">
        <v>3</v>
      </c>
      <c r="BL175">
        <v>166</v>
      </c>
      <c r="BM175">
        <v>-6</v>
      </c>
      <c r="BN175">
        <v>0</v>
      </c>
      <c r="BP175">
        <v>0</v>
      </c>
      <c r="BR175">
        <v>160</v>
      </c>
      <c r="BS175">
        <v>150</v>
      </c>
      <c r="BT175">
        <v>1800</v>
      </c>
      <c r="BU175" t="s">
        <v>4355</v>
      </c>
      <c r="BV175" t="s">
        <v>4708</v>
      </c>
      <c r="BW175" t="s">
        <v>4356</v>
      </c>
      <c r="BX175" t="s">
        <v>4048</v>
      </c>
      <c r="BY175" t="s">
        <v>4388</v>
      </c>
      <c r="BZ175" t="s">
        <v>4388</v>
      </c>
      <c r="CA175" t="s">
        <v>4358</v>
      </c>
      <c r="CB175" t="s">
        <v>4359</v>
      </c>
      <c r="CC175" t="s">
        <v>4053</v>
      </c>
      <c r="CD175" t="s">
        <v>4359</v>
      </c>
      <c r="CE175" t="s">
        <v>4360</v>
      </c>
      <c r="CF175" t="s">
        <v>4361</v>
      </c>
      <c r="CG175" t="s">
        <v>4056</v>
      </c>
      <c r="CH175" t="s">
        <v>4145</v>
      </c>
      <c r="CI175" t="s">
        <v>4058</v>
      </c>
      <c r="CJ175" t="s">
        <v>4059</v>
      </c>
      <c r="CK175" t="s">
        <v>4060</v>
      </c>
      <c r="CL175" t="s">
        <v>4061</v>
      </c>
      <c r="CM175" t="s">
        <v>4062</v>
      </c>
      <c r="CN175" t="s">
        <v>4055</v>
      </c>
      <c r="CO175" t="s">
        <v>4063</v>
      </c>
      <c r="CP175" t="s">
        <v>4055</v>
      </c>
      <c r="CQ175" t="s">
        <v>4055</v>
      </c>
      <c r="CR175">
        <v>5</v>
      </c>
      <c r="CS175" t="s">
        <v>4055</v>
      </c>
      <c r="CT175" t="s">
        <v>4055</v>
      </c>
      <c r="CU175" t="s">
        <v>4055</v>
      </c>
      <c r="CV175">
        <v>107</v>
      </c>
      <c r="CW175">
        <v>3</v>
      </c>
      <c r="CX175">
        <v>67</v>
      </c>
      <c r="CY175">
        <v>5</v>
      </c>
      <c r="CZ175">
        <v>123</v>
      </c>
      <c r="DA175">
        <v>5</v>
      </c>
      <c r="DB175">
        <v>8200</v>
      </c>
      <c r="DC175">
        <v>240</v>
      </c>
      <c r="DD175">
        <v>281</v>
      </c>
      <c r="DE175">
        <v>1894</v>
      </c>
      <c r="DF175">
        <v>1894</v>
      </c>
      <c r="DG175">
        <v>1920</v>
      </c>
      <c r="DH175" t="s">
        <v>4055</v>
      </c>
      <c r="DI175" t="s">
        <v>4055</v>
      </c>
      <c r="DJ175" t="s">
        <v>4100</v>
      </c>
      <c r="DK175">
        <v>160</v>
      </c>
      <c r="DL175" t="s">
        <v>4101</v>
      </c>
      <c r="DM175">
        <v>67</v>
      </c>
      <c r="DN175">
        <v>0.84</v>
      </c>
      <c r="DO175">
        <v>1</v>
      </c>
      <c r="DP175">
        <v>1803</v>
      </c>
      <c r="DQ175">
        <v>526</v>
      </c>
      <c r="DR175" t="s">
        <v>4100</v>
      </c>
      <c r="DS175">
        <v>150</v>
      </c>
      <c r="DT175" t="s">
        <v>4101</v>
      </c>
      <c r="DU175">
        <v>67</v>
      </c>
      <c r="DV175">
        <v>0.84</v>
      </c>
      <c r="DW175">
        <v>1</v>
      </c>
      <c r="DX175">
        <v>1810</v>
      </c>
      <c r="DY175">
        <v>496</v>
      </c>
      <c r="DZ175" t="s">
        <v>4066</v>
      </c>
      <c r="EA175">
        <v>33</v>
      </c>
      <c r="EB175" t="s">
        <v>4065</v>
      </c>
      <c r="EC175">
        <v>0.4</v>
      </c>
      <c r="ED175">
        <v>1803</v>
      </c>
      <c r="EE175">
        <v>52</v>
      </c>
      <c r="EF175" t="s">
        <v>4066</v>
      </c>
      <c r="EG175">
        <v>33</v>
      </c>
      <c r="EH175" t="s">
        <v>4065</v>
      </c>
      <c r="EI175">
        <v>0.4</v>
      </c>
      <c r="EJ175">
        <v>1810</v>
      </c>
      <c r="EK175">
        <v>52</v>
      </c>
      <c r="EL175" t="s">
        <v>1528</v>
      </c>
      <c r="EM175">
        <v>12</v>
      </c>
      <c r="EN175">
        <v>0.5</v>
      </c>
      <c r="EO175">
        <v>0.96</v>
      </c>
      <c r="EP175">
        <v>1810.56</v>
      </c>
      <c r="EQ175">
        <v>25178.1</v>
      </c>
      <c r="ER175">
        <v>2554.58</v>
      </c>
      <c r="ES175">
        <v>0</v>
      </c>
      <c r="ET175">
        <v>0</v>
      </c>
      <c r="EU175">
        <v>1</v>
      </c>
      <c r="EV175">
        <v>27733</v>
      </c>
      <c r="EW175">
        <v>333</v>
      </c>
      <c r="EX175" t="s">
        <v>4613</v>
      </c>
      <c r="EY175">
        <v>168</v>
      </c>
      <c r="EZ175" t="s">
        <v>4055</v>
      </c>
      <c r="FA175">
        <v>4.8</v>
      </c>
      <c r="FB175">
        <v>1</v>
      </c>
      <c r="FC175">
        <v>1</v>
      </c>
      <c r="FD175">
        <v>1845</v>
      </c>
      <c r="FE175">
        <v>1582</v>
      </c>
      <c r="FF175" t="s">
        <v>4288</v>
      </c>
      <c r="FG175">
        <v>176</v>
      </c>
      <c r="FH175" t="s">
        <v>4055</v>
      </c>
      <c r="FI175">
        <v>3.8</v>
      </c>
      <c r="FJ175">
        <v>1845</v>
      </c>
      <c r="FK175">
        <v>1474</v>
      </c>
      <c r="FL175" t="s">
        <v>4069</v>
      </c>
      <c r="FM175" t="s">
        <v>4055</v>
      </c>
      <c r="FN175" t="s">
        <v>4055</v>
      </c>
      <c r="FO175" t="s">
        <v>4055</v>
      </c>
      <c r="FP175">
        <v>1845</v>
      </c>
      <c r="FQ175">
        <v>183</v>
      </c>
      <c r="FR175" t="s">
        <v>4090</v>
      </c>
      <c r="FS175">
        <v>180</v>
      </c>
      <c r="FT175" t="s">
        <v>4055</v>
      </c>
      <c r="FU175">
        <v>0.4</v>
      </c>
      <c r="FV175">
        <v>1845</v>
      </c>
      <c r="FW175">
        <v>148</v>
      </c>
      <c r="FZ175" t="s">
        <v>4055</v>
      </c>
      <c r="GA175" t="s">
        <v>4055</v>
      </c>
      <c r="GD175">
        <v>3387</v>
      </c>
      <c r="GE175" t="s">
        <v>4707</v>
      </c>
      <c r="GF175" t="s">
        <v>4055</v>
      </c>
      <c r="GG175" t="s">
        <v>4055</v>
      </c>
      <c r="GH175" t="s">
        <v>4055</v>
      </c>
      <c r="GI175" t="s">
        <v>4071</v>
      </c>
      <c r="GJ175" t="s">
        <v>4055</v>
      </c>
      <c r="GK175" t="s">
        <v>4055</v>
      </c>
      <c r="GL175" t="s">
        <v>4055</v>
      </c>
      <c r="GM175" t="s">
        <v>4055</v>
      </c>
      <c r="GQ175">
        <v>0</v>
      </c>
      <c r="GV175">
        <v>9</v>
      </c>
      <c r="GW175">
        <v>10.1</v>
      </c>
      <c r="GX175">
        <v>0.5</v>
      </c>
      <c r="GY175">
        <v>150</v>
      </c>
      <c r="GZ175">
        <v>3</v>
      </c>
      <c r="HA175">
        <v>194</v>
      </c>
      <c r="HB175">
        <v>3</v>
      </c>
      <c r="HC175">
        <v>1845</v>
      </c>
      <c r="HD175">
        <v>4</v>
      </c>
      <c r="HE175" t="s">
        <v>4071</v>
      </c>
      <c r="HG175" t="s">
        <v>549</v>
      </c>
      <c r="HL175">
        <v>4</v>
      </c>
      <c r="HM175">
        <v>14</v>
      </c>
      <c r="HN175">
        <v>6</v>
      </c>
      <c r="HO175">
        <v>1</v>
      </c>
      <c r="HP175">
        <v>0</v>
      </c>
      <c r="HQ175">
        <v>0</v>
      </c>
      <c r="HR175">
        <v>3</v>
      </c>
      <c r="HS175">
        <v>1800</v>
      </c>
      <c r="HT175">
        <v>5</v>
      </c>
      <c r="HU175">
        <v>1</v>
      </c>
      <c r="HV175">
        <v>5</v>
      </c>
      <c r="HW175">
        <v>0</v>
      </c>
      <c r="HX175">
        <v>1</v>
      </c>
      <c r="HY175">
        <v>0</v>
      </c>
      <c r="HZ175">
        <v>67</v>
      </c>
      <c r="IA175">
        <v>1803</v>
      </c>
      <c r="IB175">
        <v>1810</v>
      </c>
      <c r="ID175">
        <v>1845</v>
      </c>
      <c r="IE175">
        <v>1845</v>
      </c>
      <c r="IF175">
        <v>160</v>
      </c>
      <c r="IG175">
        <v>150</v>
      </c>
      <c r="IH175">
        <v>194</v>
      </c>
      <c r="II175">
        <v>0</v>
      </c>
      <c r="IJ175">
        <v>5</v>
      </c>
      <c r="IK175">
        <v>0</v>
      </c>
      <c r="IL175">
        <v>0</v>
      </c>
      <c r="IM175">
        <v>0</v>
      </c>
      <c r="IN175">
        <v>270</v>
      </c>
      <c r="IO175">
        <v>0</v>
      </c>
      <c r="IP175">
        <v>180</v>
      </c>
      <c r="IQ175">
        <v>0</v>
      </c>
      <c r="IR175">
        <v>330</v>
      </c>
      <c r="IS175">
        <v>0</v>
      </c>
      <c r="IT175">
        <v>90</v>
      </c>
      <c r="IU175">
        <v>0</v>
      </c>
      <c r="IV175">
        <v>6.4</v>
      </c>
      <c r="IW175">
        <v>-6</v>
      </c>
      <c r="IX175">
        <v>83</v>
      </c>
      <c r="IY175">
        <v>74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356</v>
      </c>
      <c r="JJ175">
        <v>292</v>
      </c>
      <c r="JK175">
        <v>240</v>
      </c>
      <c r="JL175">
        <v>292</v>
      </c>
      <c r="JM175">
        <v>240</v>
      </c>
      <c r="JN175">
        <v>175</v>
      </c>
      <c r="JO175">
        <v>215</v>
      </c>
      <c r="JP175">
        <v>235</v>
      </c>
      <c r="JQ175">
        <v>275</v>
      </c>
      <c r="JR175">
        <v>364</v>
      </c>
      <c r="JS175">
        <v>275</v>
      </c>
      <c r="JT175">
        <v>0</v>
      </c>
      <c r="JU175">
        <v>0</v>
      </c>
      <c r="JV175">
        <v>335</v>
      </c>
      <c r="JW175">
        <v>337</v>
      </c>
      <c r="JX175">
        <v>350</v>
      </c>
      <c r="JY175">
        <v>342</v>
      </c>
      <c r="JZ175">
        <v>2.5</v>
      </c>
      <c r="KA175">
        <v>0.2</v>
      </c>
      <c r="KB175">
        <v>0.3</v>
      </c>
      <c r="KC175">
        <v>0.42</v>
      </c>
      <c r="KD175">
        <v>0.28</v>
      </c>
      <c r="KE175">
        <v>0.7</v>
      </c>
      <c r="KF175">
        <v>0.18</v>
      </c>
      <c r="KG175">
        <v>0.11</v>
      </c>
      <c r="KH175">
        <v>3.5</v>
      </c>
      <c r="KI175">
        <v>1</v>
      </c>
      <c r="KJ175">
        <v>4.5</v>
      </c>
      <c r="KK175">
        <v>0</v>
      </c>
      <c r="KL175">
        <v>4.5</v>
      </c>
      <c r="KM175">
        <v>0</v>
      </c>
      <c r="KN175">
        <v>1.2</v>
      </c>
      <c r="KO175">
        <v>1</v>
      </c>
      <c r="KP175">
        <v>0.4</v>
      </c>
      <c r="KQ175">
        <v>1</v>
      </c>
      <c r="KR175">
        <v>1</v>
      </c>
      <c r="KS175">
        <v>0</v>
      </c>
      <c r="KT175">
        <v>2.6</v>
      </c>
      <c r="KU175">
        <v>0</v>
      </c>
      <c r="KV175">
        <v>0</v>
      </c>
      <c r="KW175">
        <v>0.8</v>
      </c>
      <c r="KX175">
        <v>2</v>
      </c>
      <c r="KY175">
        <v>2.5</v>
      </c>
      <c r="KZ175">
        <v>4</v>
      </c>
      <c r="LA175">
        <v>2.4</v>
      </c>
      <c r="LB175">
        <v>10</v>
      </c>
      <c r="LC175">
        <v>2.4</v>
      </c>
      <c r="LD175">
        <v>3.5</v>
      </c>
      <c r="LE175">
        <v>2</v>
      </c>
      <c r="LF175">
        <v>0</v>
      </c>
      <c r="LG175">
        <v>0</v>
      </c>
      <c r="LH175">
        <v>3</v>
      </c>
      <c r="LI175">
        <v>0</v>
      </c>
      <c r="LJ175">
        <v>0</v>
      </c>
      <c r="LK175">
        <v>8</v>
      </c>
      <c r="LL175">
        <v>7</v>
      </c>
      <c r="LM175">
        <v>11</v>
      </c>
      <c r="LN175">
        <v>1</v>
      </c>
      <c r="LO175">
        <v>0.1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10</v>
      </c>
      <c r="MC175">
        <v>0</v>
      </c>
      <c r="MD175">
        <v>4.5</v>
      </c>
      <c r="ME175">
        <v>6</v>
      </c>
      <c r="MF175">
        <v>6</v>
      </c>
      <c r="MI175">
        <v>0</v>
      </c>
      <c r="MJ175">
        <v>0</v>
      </c>
      <c r="ML175">
        <v>0</v>
      </c>
      <c r="MM175">
        <v>390</v>
      </c>
      <c r="MN175">
        <v>155</v>
      </c>
      <c r="MO175">
        <v>204</v>
      </c>
      <c r="NU175">
        <v>0.15</v>
      </c>
      <c r="NV175">
        <v>0.2</v>
      </c>
      <c r="NW175">
        <v>0.2</v>
      </c>
      <c r="NX175">
        <v>2</v>
      </c>
      <c r="NY175">
        <v>2</v>
      </c>
      <c r="NZ175">
        <v>2</v>
      </c>
      <c r="OE175" t="s">
        <v>4707</v>
      </c>
      <c r="OF175" t="s">
        <v>4656</v>
      </c>
      <c r="OG175" t="s">
        <v>4657</v>
      </c>
      <c r="OH175" t="s">
        <v>4043</v>
      </c>
      <c r="OI175" t="s">
        <v>4707</v>
      </c>
      <c r="OJ175" t="s">
        <v>4706</v>
      </c>
      <c r="OK175">
        <v>61</v>
      </c>
      <c r="OL175">
        <v>61</v>
      </c>
      <c r="OM175" t="s">
        <v>4656</v>
      </c>
      <c r="ON175">
        <v>3</v>
      </c>
      <c r="OO175">
        <v>1803</v>
      </c>
      <c r="OP175">
        <v>61</v>
      </c>
      <c r="OQ175">
        <v>61</v>
      </c>
      <c r="OR175" t="s">
        <v>4657</v>
      </c>
      <c r="OS175">
        <v>3</v>
      </c>
      <c r="OT175">
        <v>1810</v>
      </c>
      <c r="OU175">
        <v>65</v>
      </c>
      <c r="OV175">
        <v>65</v>
      </c>
      <c r="OW175" t="s">
        <v>4043</v>
      </c>
      <c r="OX175">
        <v>2</v>
      </c>
      <c r="OY175">
        <v>27733</v>
      </c>
      <c r="OZ175">
        <v>51</v>
      </c>
      <c r="PA175">
        <v>51</v>
      </c>
      <c r="PB175" t="s">
        <v>4707</v>
      </c>
      <c r="PC175">
        <v>5</v>
      </c>
      <c r="PD175">
        <v>1845</v>
      </c>
      <c r="PF175">
        <v>292</v>
      </c>
      <c r="PG175">
        <v>29</v>
      </c>
      <c r="PH175">
        <v>274</v>
      </c>
      <c r="PI175">
        <v>29</v>
      </c>
      <c r="PJ175">
        <v>99.3</v>
      </c>
      <c r="PK175">
        <v>1830</v>
      </c>
      <c r="PL175">
        <v>857.5</v>
      </c>
      <c r="PM175">
        <v>799</v>
      </c>
      <c r="PN175">
        <v>80.40000000000001</v>
      </c>
      <c r="PP175">
        <v>12</v>
      </c>
      <c r="PQ175">
        <v>8</v>
      </c>
      <c r="PR175">
        <v>9</v>
      </c>
      <c r="PS175">
        <v>6</v>
      </c>
      <c r="PT175">
        <v>194</v>
      </c>
      <c r="PU175">
        <v>9</v>
      </c>
      <c r="PV175" t="s">
        <v>4072</v>
      </c>
      <c r="PW175" t="s">
        <v>4072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-1</v>
      </c>
      <c r="QF175">
        <v>1</v>
      </c>
      <c r="QG175">
        <v>0</v>
      </c>
      <c r="QH175">
        <v>5</v>
      </c>
      <c r="QI175">
        <v>5</v>
      </c>
      <c r="QJ175">
        <v>5</v>
      </c>
      <c r="QK175">
        <v>173</v>
      </c>
      <c r="QL175">
        <v>390</v>
      </c>
      <c r="QM175">
        <v>7.5</v>
      </c>
      <c r="QN175">
        <v>1123</v>
      </c>
      <c r="QO175" t="s">
        <v>2341</v>
      </c>
      <c r="QP175" t="s">
        <v>513</v>
      </c>
      <c r="QQ175">
        <v>0</v>
      </c>
      <c r="QR175" t="s">
        <v>540</v>
      </c>
      <c r="QS175">
        <v>30</v>
      </c>
      <c r="QT175">
        <v>40</v>
      </c>
    </row>
    <row r="176" spans="1:462">
      <c r="A176" t="s">
        <v>2509</v>
      </c>
      <c r="B176" t="s">
        <v>657</v>
      </c>
      <c r="C176" t="s">
        <v>509</v>
      </c>
      <c r="D176" t="s">
        <v>4169</v>
      </c>
      <c r="E176" t="s">
        <v>4036</v>
      </c>
      <c r="H176" t="s">
        <v>604</v>
      </c>
      <c r="J176" t="s">
        <v>628</v>
      </c>
      <c r="K176" t="s">
        <v>606</v>
      </c>
      <c r="L176" t="s">
        <v>559</v>
      </c>
      <c r="M176" t="s">
        <v>512</v>
      </c>
      <c r="O176" t="s">
        <v>513</v>
      </c>
      <c r="P176" t="s">
        <v>517</v>
      </c>
      <c r="Q176" t="s">
        <v>1718</v>
      </c>
      <c r="R176" t="s">
        <v>610</v>
      </c>
      <c r="S176" t="s">
        <v>4091</v>
      </c>
      <c r="T176" t="s">
        <v>1482</v>
      </c>
      <c r="U176" t="s">
        <v>1483</v>
      </c>
      <c r="V176" t="s">
        <v>2510</v>
      </c>
      <c r="W176" t="s">
        <v>2336</v>
      </c>
      <c r="X176" t="s">
        <v>2511</v>
      </c>
      <c r="Y176" t="s">
        <v>2512</v>
      </c>
      <c r="Z176" t="s">
        <v>541</v>
      </c>
      <c r="AA176" t="s">
        <v>4038</v>
      </c>
      <c r="AB176" t="s">
        <v>4709</v>
      </c>
      <c r="AC176">
        <v>14</v>
      </c>
      <c r="AD176" t="s">
        <v>2507</v>
      </c>
      <c r="AE176">
        <v>7</v>
      </c>
      <c r="AF176">
        <v>4058</v>
      </c>
      <c r="AG176" t="s">
        <v>4710</v>
      </c>
      <c r="AH176">
        <v>1</v>
      </c>
      <c r="AI176" t="s">
        <v>4041</v>
      </c>
      <c r="AK176" t="s">
        <v>4711</v>
      </c>
      <c r="AL176">
        <v>1</v>
      </c>
      <c r="AM176" t="s">
        <v>582</v>
      </c>
      <c r="AO176" t="s">
        <v>4043</v>
      </c>
      <c r="AP176">
        <v>1</v>
      </c>
      <c r="AR176" t="s">
        <v>4712</v>
      </c>
      <c r="AS176">
        <v>1</v>
      </c>
      <c r="AT176">
        <v>51</v>
      </c>
      <c r="AV176" t="s">
        <v>4045</v>
      </c>
      <c r="AW176">
        <v>6.4</v>
      </c>
      <c r="AX176">
        <v>-6</v>
      </c>
      <c r="AY176">
        <v>93.5</v>
      </c>
      <c r="AZ176">
        <v>84.5</v>
      </c>
      <c r="BH176">
        <v>93.5</v>
      </c>
      <c r="BI176">
        <v>9</v>
      </c>
      <c r="BJ176">
        <v>84.5</v>
      </c>
      <c r="BK176">
        <v>3.5</v>
      </c>
      <c r="BL176">
        <v>187</v>
      </c>
      <c r="BM176">
        <v>-6</v>
      </c>
      <c r="BN176">
        <v>0</v>
      </c>
      <c r="BP176">
        <v>0</v>
      </c>
      <c r="BR176">
        <v>180</v>
      </c>
      <c r="BS176">
        <v>170</v>
      </c>
      <c r="BT176">
        <v>1905</v>
      </c>
      <c r="BU176" t="s">
        <v>4047</v>
      </c>
      <c r="BV176" t="s">
        <v>4047</v>
      </c>
      <c r="BW176" t="s">
        <v>4049</v>
      </c>
      <c r="BX176" t="s">
        <v>4049</v>
      </c>
      <c r="BY176" t="s">
        <v>4428</v>
      </c>
      <c r="BZ176" t="s">
        <v>4413</v>
      </c>
      <c r="CA176" t="s">
        <v>4370</v>
      </c>
      <c r="CB176" t="s">
        <v>4371</v>
      </c>
      <c r="CC176" t="s">
        <v>4053</v>
      </c>
      <c r="CD176" t="s">
        <v>4372</v>
      </c>
      <c r="CE176" t="s">
        <v>4055</v>
      </c>
      <c r="CF176" t="s">
        <v>4055</v>
      </c>
      <c r="CG176" t="s">
        <v>4056</v>
      </c>
      <c r="CH176" t="s">
        <v>4057</v>
      </c>
      <c r="CI176" t="s">
        <v>4216</v>
      </c>
      <c r="CJ176" t="s">
        <v>4059</v>
      </c>
      <c r="CK176" t="s">
        <v>4060</v>
      </c>
      <c r="CL176" t="s">
        <v>4061</v>
      </c>
      <c r="CM176" t="s">
        <v>4062</v>
      </c>
      <c r="CN176" t="s">
        <v>4055</v>
      </c>
      <c r="CO176" t="s">
        <v>4063</v>
      </c>
      <c r="CP176" t="s">
        <v>4055</v>
      </c>
      <c r="CQ176" t="s">
        <v>4055</v>
      </c>
      <c r="CR176">
        <v>5</v>
      </c>
      <c r="CS176" t="s">
        <v>4055</v>
      </c>
      <c r="CT176" t="s">
        <v>4055</v>
      </c>
      <c r="CU176" t="s">
        <v>4055</v>
      </c>
      <c r="CV176">
        <v>118</v>
      </c>
      <c r="CW176">
        <v>3</v>
      </c>
      <c r="CX176">
        <v>74</v>
      </c>
      <c r="CY176">
        <v>5</v>
      </c>
      <c r="CZ176">
        <v>136</v>
      </c>
      <c r="DA176">
        <v>5</v>
      </c>
      <c r="DB176">
        <v>9630</v>
      </c>
      <c r="DC176">
        <v>290</v>
      </c>
      <c r="DD176">
        <v>298</v>
      </c>
      <c r="DE176">
        <v>2000</v>
      </c>
      <c r="DF176">
        <v>2000</v>
      </c>
      <c r="DG176">
        <v>2016</v>
      </c>
      <c r="DH176">
        <v>3</v>
      </c>
      <c r="DI176" t="s">
        <v>4055</v>
      </c>
      <c r="DJ176" t="s">
        <v>4100</v>
      </c>
      <c r="DK176">
        <v>180</v>
      </c>
      <c r="DL176" t="s">
        <v>4101</v>
      </c>
      <c r="DM176">
        <v>67</v>
      </c>
      <c r="DN176">
        <v>0.84</v>
      </c>
      <c r="DO176">
        <v>1</v>
      </c>
      <c r="DP176">
        <v>1908</v>
      </c>
      <c r="DQ176">
        <v>628</v>
      </c>
      <c r="DR176" t="s">
        <v>4100</v>
      </c>
      <c r="DS176">
        <v>170</v>
      </c>
      <c r="DT176" t="s">
        <v>4101</v>
      </c>
      <c r="DU176">
        <v>67</v>
      </c>
      <c r="DV176">
        <v>0.84</v>
      </c>
      <c r="DW176">
        <v>1</v>
      </c>
      <c r="DX176">
        <v>1915</v>
      </c>
      <c r="DY176">
        <v>596</v>
      </c>
      <c r="DZ176" t="s">
        <v>4066</v>
      </c>
      <c r="EA176">
        <v>33</v>
      </c>
      <c r="EB176" t="s">
        <v>4065</v>
      </c>
      <c r="EC176">
        <v>0.4</v>
      </c>
      <c r="ED176">
        <v>1908</v>
      </c>
      <c r="EE176">
        <v>55</v>
      </c>
      <c r="EF176" t="s">
        <v>4066</v>
      </c>
      <c r="EG176">
        <v>33</v>
      </c>
      <c r="EH176" t="s">
        <v>4065</v>
      </c>
      <c r="EI176">
        <v>0.4</v>
      </c>
      <c r="EJ176">
        <v>1915</v>
      </c>
      <c r="EK176">
        <v>56</v>
      </c>
      <c r="EL176" t="s">
        <v>1528</v>
      </c>
      <c r="EM176">
        <v>12</v>
      </c>
      <c r="EN176">
        <v>0.5</v>
      </c>
      <c r="EO176">
        <v>0.96</v>
      </c>
      <c r="EP176">
        <v>1915.56</v>
      </c>
      <c r="EQ176">
        <v>29780.97</v>
      </c>
      <c r="ER176">
        <v>2702.24</v>
      </c>
      <c r="ES176">
        <v>0</v>
      </c>
      <c r="ET176">
        <v>0</v>
      </c>
      <c r="EU176">
        <v>1</v>
      </c>
      <c r="EV176">
        <v>32484</v>
      </c>
      <c r="EW176">
        <v>390</v>
      </c>
      <c r="EX176" t="s">
        <v>4613</v>
      </c>
      <c r="EY176">
        <v>184</v>
      </c>
      <c r="EZ176" t="s">
        <v>4055</v>
      </c>
      <c r="FA176">
        <v>4.4</v>
      </c>
      <c r="FB176">
        <v>1</v>
      </c>
      <c r="FC176">
        <v>1</v>
      </c>
      <c r="FD176">
        <v>1949</v>
      </c>
      <c r="FE176">
        <v>1670</v>
      </c>
      <c r="FF176" t="s">
        <v>4288</v>
      </c>
      <c r="FG176">
        <v>194</v>
      </c>
      <c r="FH176" t="s">
        <v>4055</v>
      </c>
      <c r="FI176">
        <v>3.7</v>
      </c>
      <c r="FJ176">
        <v>1949</v>
      </c>
      <c r="FK176">
        <v>1777</v>
      </c>
      <c r="FL176" t="s">
        <v>4069</v>
      </c>
      <c r="FM176" t="s">
        <v>4055</v>
      </c>
      <c r="FN176" t="s">
        <v>4055</v>
      </c>
      <c r="FO176" t="s">
        <v>4055</v>
      </c>
      <c r="FP176">
        <v>1949</v>
      </c>
      <c r="FQ176">
        <v>225</v>
      </c>
      <c r="FR176" t="s">
        <v>4090</v>
      </c>
      <c r="FS176">
        <v>198</v>
      </c>
      <c r="FT176" t="s">
        <v>4055</v>
      </c>
      <c r="FU176">
        <v>0.4</v>
      </c>
      <c r="FV176">
        <v>1949</v>
      </c>
      <c r="FW176">
        <v>172</v>
      </c>
      <c r="FZ176" t="s">
        <v>4055</v>
      </c>
      <c r="GA176" t="s">
        <v>4055</v>
      </c>
      <c r="GD176">
        <v>3844</v>
      </c>
      <c r="GE176" t="s">
        <v>4712</v>
      </c>
      <c r="GF176" t="s">
        <v>4055</v>
      </c>
      <c r="GG176" t="s">
        <v>4055</v>
      </c>
      <c r="GH176" t="s">
        <v>4055</v>
      </c>
      <c r="GI176" t="s">
        <v>4071</v>
      </c>
      <c r="GJ176" t="s">
        <v>4055</v>
      </c>
      <c r="GK176" t="s">
        <v>4055</v>
      </c>
      <c r="GL176" t="s">
        <v>4055</v>
      </c>
      <c r="GM176" t="s">
        <v>4055</v>
      </c>
      <c r="GQ176">
        <v>0</v>
      </c>
      <c r="GV176">
        <v>8.5</v>
      </c>
      <c r="GW176">
        <v>10.3</v>
      </c>
      <c r="GX176">
        <v>0.5</v>
      </c>
      <c r="GY176">
        <v>164</v>
      </c>
      <c r="GZ176">
        <v>3</v>
      </c>
      <c r="HA176">
        <v>216</v>
      </c>
      <c r="HB176">
        <v>3</v>
      </c>
      <c r="HC176">
        <v>1949</v>
      </c>
      <c r="HD176">
        <v>4</v>
      </c>
      <c r="HE176" t="s">
        <v>4071</v>
      </c>
      <c r="HG176" t="s">
        <v>549</v>
      </c>
      <c r="HL176">
        <v>4</v>
      </c>
      <c r="HM176">
        <v>15</v>
      </c>
      <c r="HN176">
        <v>6</v>
      </c>
      <c r="HO176">
        <v>1</v>
      </c>
      <c r="HP176">
        <v>0</v>
      </c>
      <c r="HQ176">
        <v>0</v>
      </c>
      <c r="HR176">
        <v>3</v>
      </c>
      <c r="HS176">
        <v>1905</v>
      </c>
      <c r="HT176">
        <v>5</v>
      </c>
      <c r="HU176">
        <v>1</v>
      </c>
      <c r="HV176">
        <v>5</v>
      </c>
      <c r="HW176">
        <v>0</v>
      </c>
      <c r="HX176">
        <v>1</v>
      </c>
      <c r="HY176">
        <v>0</v>
      </c>
      <c r="HZ176">
        <v>67</v>
      </c>
      <c r="IA176">
        <v>1908</v>
      </c>
      <c r="IB176">
        <v>1915</v>
      </c>
      <c r="ID176">
        <v>1949</v>
      </c>
      <c r="IE176">
        <v>1949</v>
      </c>
      <c r="IF176">
        <v>180</v>
      </c>
      <c r="IG176">
        <v>170</v>
      </c>
      <c r="IH176">
        <v>216</v>
      </c>
      <c r="II176">
        <v>1</v>
      </c>
      <c r="IJ176">
        <v>5</v>
      </c>
      <c r="IK176">
        <v>0</v>
      </c>
      <c r="IL176">
        <v>0</v>
      </c>
      <c r="IM176">
        <v>0</v>
      </c>
      <c r="IN176">
        <v>270</v>
      </c>
      <c r="IO176">
        <v>0</v>
      </c>
      <c r="IP176">
        <v>180</v>
      </c>
      <c r="IQ176">
        <v>0</v>
      </c>
      <c r="IR176">
        <v>325</v>
      </c>
      <c r="IS176">
        <v>0</v>
      </c>
      <c r="IT176">
        <v>90</v>
      </c>
      <c r="IU176">
        <v>0</v>
      </c>
      <c r="IV176">
        <v>6.4</v>
      </c>
      <c r="IW176">
        <v>-6</v>
      </c>
      <c r="IX176">
        <v>93.5</v>
      </c>
      <c r="IY176">
        <v>84.5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384</v>
      </c>
      <c r="JJ176">
        <v>344</v>
      </c>
      <c r="JK176">
        <v>244</v>
      </c>
      <c r="JL176">
        <v>334</v>
      </c>
      <c r="JM176">
        <v>248</v>
      </c>
      <c r="JN176">
        <v>180</v>
      </c>
      <c r="JO176">
        <v>234</v>
      </c>
      <c r="JP176">
        <v>216</v>
      </c>
      <c r="JQ176">
        <v>265</v>
      </c>
      <c r="JR176">
        <v>354</v>
      </c>
      <c r="JS176">
        <v>265</v>
      </c>
      <c r="JT176">
        <v>0</v>
      </c>
      <c r="JU176">
        <v>0</v>
      </c>
      <c r="JV176">
        <v>335</v>
      </c>
      <c r="JW176">
        <v>337</v>
      </c>
      <c r="JX176">
        <v>338</v>
      </c>
      <c r="JY176">
        <v>320</v>
      </c>
      <c r="JZ176">
        <v>1</v>
      </c>
      <c r="KA176">
        <v>0.2</v>
      </c>
      <c r="KB176">
        <v>0.4</v>
      </c>
      <c r="KC176">
        <v>0.42</v>
      </c>
      <c r="KD176">
        <v>0.28</v>
      </c>
      <c r="KE176">
        <v>0.5</v>
      </c>
      <c r="KF176">
        <v>0.18</v>
      </c>
      <c r="KG176">
        <v>0.1</v>
      </c>
      <c r="KH176">
        <v>3.5</v>
      </c>
      <c r="KI176">
        <v>1</v>
      </c>
      <c r="KJ176">
        <v>7</v>
      </c>
      <c r="KK176">
        <v>1.5</v>
      </c>
      <c r="KL176">
        <v>7</v>
      </c>
      <c r="KM176">
        <v>1.5</v>
      </c>
      <c r="KN176">
        <v>1.2</v>
      </c>
      <c r="KO176">
        <v>0</v>
      </c>
      <c r="KP176">
        <v>0</v>
      </c>
      <c r="KQ176">
        <v>1</v>
      </c>
      <c r="KR176">
        <v>0.8</v>
      </c>
      <c r="KS176">
        <v>0</v>
      </c>
      <c r="KT176">
        <v>3</v>
      </c>
      <c r="KU176">
        <v>0</v>
      </c>
      <c r="KV176">
        <v>0</v>
      </c>
      <c r="KW176">
        <v>1.5</v>
      </c>
      <c r="KX176">
        <v>1.5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3</v>
      </c>
      <c r="LI176">
        <v>0.5</v>
      </c>
      <c r="LJ176">
        <v>0</v>
      </c>
      <c r="LK176">
        <v>4</v>
      </c>
      <c r="LL176">
        <v>6</v>
      </c>
      <c r="LM176">
        <v>4</v>
      </c>
      <c r="LN176">
        <v>0.3</v>
      </c>
      <c r="LO176">
        <v>3</v>
      </c>
      <c r="LP176">
        <v>0</v>
      </c>
      <c r="LQ176">
        <v>0</v>
      </c>
      <c r="LR176">
        <v>0</v>
      </c>
      <c r="LS176">
        <v>1</v>
      </c>
      <c r="LT176">
        <v>0</v>
      </c>
      <c r="LU176">
        <v>0</v>
      </c>
      <c r="LV176">
        <v>0</v>
      </c>
      <c r="LW176">
        <v>1.4</v>
      </c>
      <c r="LX176">
        <v>1.4</v>
      </c>
      <c r="LY176">
        <v>2.1</v>
      </c>
      <c r="LZ176">
        <v>2.1</v>
      </c>
      <c r="MA176">
        <v>0</v>
      </c>
      <c r="MB176">
        <v>5</v>
      </c>
      <c r="MC176">
        <v>0</v>
      </c>
      <c r="MD176">
        <v>6.5</v>
      </c>
      <c r="ME176">
        <v>8</v>
      </c>
      <c r="MF176">
        <v>8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390</v>
      </c>
      <c r="MN176">
        <v>175</v>
      </c>
      <c r="MO176">
        <v>226</v>
      </c>
      <c r="NU176">
        <v>0.15</v>
      </c>
      <c r="NV176">
        <v>0.2</v>
      </c>
      <c r="NW176">
        <v>0.2</v>
      </c>
      <c r="NX176">
        <v>2</v>
      </c>
      <c r="NY176">
        <v>2</v>
      </c>
      <c r="NZ176">
        <v>2</v>
      </c>
      <c r="OE176" t="s">
        <v>4712</v>
      </c>
      <c r="OF176" t="s">
        <v>4710</v>
      </c>
      <c r="OG176" t="s">
        <v>4711</v>
      </c>
      <c r="OH176" t="s">
        <v>4043</v>
      </c>
      <c r="OI176" t="s">
        <v>4712</v>
      </c>
      <c r="OJ176" t="s">
        <v>4709</v>
      </c>
      <c r="OK176">
        <v>61</v>
      </c>
      <c r="OL176">
        <v>61</v>
      </c>
      <c r="OM176" t="s">
        <v>4710</v>
      </c>
      <c r="ON176">
        <v>3</v>
      </c>
      <c r="OO176">
        <v>1908</v>
      </c>
      <c r="OP176">
        <v>61</v>
      </c>
      <c r="OQ176">
        <v>61</v>
      </c>
      <c r="OR176" t="s">
        <v>4711</v>
      </c>
      <c r="OS176">
        <v>3</v>
      </c>
      <c r="OT176">
        <v>1915</v>
      </c>
      <c r="OU176">
        <v>65</v>
      </c>
      <c r="OV176">
        <v>65</v>
      </c>
      <c r="OW176" t="s">
        <v>4043</v>
      </c>
      <c r="OX176">
        <v>1</v>
      </c>
      <c r="OY176">
        <v>32484</v>
      </c>
      <c r="OZ176">
        <v>51</v>
      </c>
      <c r="PA176">
        <v>51</v>
      </c>
      <c r="PB176" t="s">
        <v>4712</v>
      </c>
      <c r="PC176">
        <v>2</v>
      </c>
      <c r="PD176">
        <v>1949</v>
      </c>
      <c r="PF176">
        <v>329</v>
      </c>
      <c r="PG176">
        <v>29</v>
      </c>
      <c r="PH176">
        <v>311</v>
      </c>
      <c r="PI176">
        <v>29</v>
      </c>
      <c r="PJ176">
        <v>115.6</v>
      </c>
      <c r="PK176">
        <v>1955</v>
      </c>
      <c r="PL176">
        <v>857</v>
      </c>
      <c r="PM176">
        <v>911.5</v>
      </c>
      <c r="PN176">
        <v>88.5</v>
      </c>
      <c r="PP176">
        <v>12</v>
      </c>
      <c r="PQ176">
        <v>1</v>
      </c>
      <c r="PR176">
        <v>1</v>
      </c>
      <c r="PS176">
        <v>7</v>
      </c>
      <c r="PT176">
        <v>216</v>
      </c>
      <c r="PU176">
        <v>11</v>
      </c>
      <c r="PV176" t="s">
        <v>4072</v>
      </c>
      <c r="PW176" t="s">
        <v>4072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-1</v>
      </c>
      <c r="QF176">
        <v>1</v>
      </c>
      <c r="QG176">
        <v>0</v>
      </c>
      <c r="QH176">
        <v>5</v>
      </c>
      <c r="QI176">
        <v>5</v>
      </c>
      <c r="QJ176">
        <v>5</v>
      </c>
      <c r="QK176">
        <v>212</v>
      </c>
      <c r="QL176">
        <v>414</v>
      </c>
      <c r="QM176">
        <v>7.5</v>
      </c>
      <c r="QN176">
        <v>1202.7</v>
      </c>
      <c r="QO176" t="s">
        <v>2341</v>
      </c>
      <c r="QP176" t="s">
        <v>513</v>
      </c>
      <c r="QQ176">
        <v>0</v>
      </c>
      <c r="QR176" t="s">
        <v>1420</v>
      </c>
      <c r="QS176">
        <v>40</v>
      </c>
      <c r="QT176">
        <v>50</v>
      </c>
    </row>
    <row r="177" spans="1:462">
      <c r="A177" t="s">
        <v>2517</v>
      </c>
      <c r="B177" t="s">
        <v>897</v>
      </c>
      <c r="C177" t="s">
        <v>509</v>
      </c>
      <c r="D177" t="s">
        <v>2099</v>
      </c>
      <c r="E177" t="s">
        <v>4036</v>
      </c>
      <c r="H177" t="s">
        <v>604</v>
      </c>
      <c r="I177" t="s">
        <v>605</v>
      </c>
      <c r="J177" t="s">
        <v>628</v>
      </c>
      <c r="K177" t="s">
        <v>606</v>
      </c>
      <c r="L177" t="s">
        <v>657</v>
      </c>
      <c r="M177" t="s">
        <v>512</v>
      </c>
      <c r="O177" t="s">
        <v>513</v>
      </c>
      <c r="P177" t="s">
        <v>517</v>
      </c>
      <c r="Q177" t="s">
        <v>1811</v>
      </c>
      <c r="R177" t="s">
        <v>1812</v>
      </c>
      <c r="S177" t="s">
        <v>4037</v>
      </c>
      <c r="T177" t="s">
        <v>520</v>
      </c>
      <c r="U177" t="s">
        <v>521</v>
      </c>
      <c r="V177" t="s">
        <v>2518</v>
      </c>
      <c r="W177" t="s">
        <v>2336</v>
      </c>
      <c r="X177" t="s">
        <v>2519</v>
      </c>
      <c r="Y177" t="s">
        <v>2520</v>
      </c>
      <c r="Z177" t="s">
        <v>650</v>
      </c>
      <c r="AA177" t="s">
        <v>4038</v>
      </c>
      <c r="AB177" t="s">
        <v>4713</v>
      </c>
      <c r="AC177">
        <v>13</v>
      </c>
      <c r="AD177" t="s">
        <v>2516</v>
      </c>
      <c r="AE177">
        <v>8</v>
      </c>
      <c r="AF177">
        <v>3365</v>
      </c>
      <c r="AG177" t="s">
        <v>4375</v>
      </c>
      <c r="AH177">
        <v>1</v>
      </c>
      <c r="AI177" t="s">
        <v>4041</v>
      </c>
      <c r="AK177" t="s">
        <v>4376</v>
      </c>
      <c r="AL177">
        <v>1</v>
      </c>
      <c r="AM177" t="s">
        <v>582</v>
      </c>
      <c r="AO177" t="s">
        <v>4043</v>
      </c>
      <c r="AP177">
        <v>1</v>
      </c>
      <c r="AR177" t="s">
        <v>4714</v>
      </c>
      <c r="AS177">
        <v>1</v>
      </c>
      <c r="AT177">
        <v>51</v>
      </c>
      <c r="AV177" t="s">
        <v>4045</v>
      </c>
      <c r="AW177">
        <v>6.4</v>
      </c>
      <c r="AX177">
        <v>-6</v>
      </c>
      <c r="AY177">
        <v>90</v>
      </c>
      <c r="AZ177">
        <v>75</v>
      </c>
      <c r="BH177">
        <v>90</v>
      </c>
      <c r="BI177">
        <v>15</v>
      </c>
      <c r="BJ177">
        <v>75</v>
      </c>
      <c r="BK177">
        <v>2.5</v>
      </c>
      <c r="BL177">
        <v>180</v>
      </c>
      <c r="BM177">
        <v>-6</v>
      </c>
      <c r="BN177">
        <v>0</v>
      </c>
      <c r="BP177">
        <v>0</v>
      </c>
      <c r="BR177">
        <v>175</v>
      </c>
      <c r="BS177">
        <v>165</v>
      </c>
      <c r="BT177">
        <v>1810</v>
      </c>
      <c r="BU177" t="s">
        <v>4046</v>
      </c>
      <c r="BV177" t="s">
        <v>4046</v>
      </c>
      <c r="BW177" t="s">
        <v>4048</v>
      </c>
      <c r="BX177" t="s">
        <v>4048</v>
      </c>
      <c r="BY177" t="s">
        <v>4715</v>
      </c>
      <c r="BZ177" t="s">
        <v>4715</v>
      </c>
      <c r="CA177" t="s">
        <v>4051</v>
      </c>
      <c r="CB177" t="s">
        <v>4052</v>
      </c>
      <c r="CC177" t="s">
        <v>4053</v>
      </c>
      <c r="CD177" t="s">
        <v>4054</v>
      </c>
      <c r="CE177" t="s">
        <v>4055</v>
      </c>
      <c r="CF177" t="s">
        <v>4055</v>
      </c>
      <c r="CG177" t="s">
        <v>4056</v>
      </c>
      <c r="CH177" t="s">
        <v>4145</v>
      </c>
      <c r="CI177" t="s">
        <v>4058</v>
      </c>
      <c r="CJ177" t="s">
        <v>4059</v>
      </c>
      <c r="CK177" t="s">
        <v>4060</v>
      </c>
      <c r="CL177" t="s">
        <v>4061</v>
      </c>
      <c r="CM177" t="s">
        <v>4062</v>
      </c>
      <c r="CN177" t="s">
        <v>4055</v>
      </c>
      <c r="CO177" t="s">
        <v>4063</v>
      </c>
      <c r="CP177" t="s">
        <v>4055</v>
      </c>
      <c r="CQ177" t="s">
        <v>4055</v>
      </c>
      <c r="CR177">
        <v>5</v>
      </c>
      <c r="CS177" t="s">
        <v>4055</v>
      </c>
      <c r="CT177" t="s">
        <v>4055</v>
      </c>
      <c r="CU177" t="s">
        <v>4055</v>
      </c>
      <c r="CV177">
        <v>114</v>
      </c>
      <c r="CW177">
        <v>3</v>
      </c>
      <c r="CX177">
        <v>92</v>
      </c>
      <c r="CY177">
        <v>5</v>
      </c>
      <c r="CZ177">
        <v>123</v>
      </c>
      <c r="DA177">
        <v>5</v>
      </c>
      <c r="DB177">
        <v>8550</v>
      </c>
      <c r="DC177">
        <v>250</v>
      </c>
      <c r="DD177">
        <v>280</v>
      </c>
      <c r="DE177">
        <v>1904</v>
      </c>
      <c r="DF177">
        <v>1904</v>
      </c>
      <c r="DG177">
        <v>1928</v>
      </c>
      <c r="DH177" t="s">
        <v>4055</v>
      </c>
      <c r="DI177" t="s">
        <v>4055</v>
      </c>
      <c r="DJ177" t="s">
        <v>4100</v>
      </c>
      <c r="DK177">
        <v>175</v>
      </c>
      <c r="DL177" t="s">
        <v>4101</v>
      </c>
      <c r="DM177">
        <v>65</v>
      </c>
      <c r="DN177">
        <v>0.84</v>
      </c>
      <c r="DO177">
        <v>1</v>
      </c>
      <c r="DP177">
        <v>1813</v>
      </c>
      <c r="DQ177">
        <v>580</v>
      </c>
      <c r="DR177" t="s">
        <v>4100</v>
      </c>
      <c r="DS177">
        <v>165</v>
      </c>
      <c r="DT177" t="s">
        <v>4101</v>
      </c>
      <c r="DU177">
        <v>65</v>
      </c>
      <c r="DV177">
        <v>0.84</v>
      </c>
      <c r="DW177">
        <v>1</v>
      </c>
      <c r="DX177">
        <v>1820</v>
      </c>
      <c r="DY177">
        <v>550</v>
      </c>
      <c r="DZ177" t="s">
        <v>4066</v>
      </c>
      <c r="EA177">
        <v>33</v>
      </c>
      <c r="EB177" t="s">
        <v>4065</v>
      </c>
      <c r="EC177">
        <v>0.4</v>
      </c>
      <c r="ED177">
        <v>1813</v>
      </c>
      <c r="EE177">
        <v>53</v>
      </c>
      <c r="EF177" t="s">
        <v>4066</v>
      </c>
      <c r="EG177">
        <v>33</v>
      </c>
      <c r="EH177" t="s">
        <v>4065</v>
      </c>
      <c r="EI177">
        <v>0.4</v>
      </c>
      <c r="EJ177">
        <v>1820</v>
      </c>
      <c r="EK177">
        <v>53</v>
      </c>
      <c r="EL177" t="s">
        <v>1528</v>
      </c>
      <c r="EM177">
        <v>12</v>
      </c>
      <c r="EN177">
        <v>0.5</v>
      </c>
      <c r="EO177">
        <v>0.96</v>
      </c>
      <c r="EP177">
        <v>1820.56</v>
      </c>
      <c r="EQ177">
        <v>27308.4</v>
      </c>
      <c r="ER177">
        <v>4281.07</v>
      </c>
      <c r="ES177">
        <v>0</v>
      </c>
      <c r="ET177">
        <v>0</v>
      </c>
      <c r="EU177">
        <v>1</v>
      </c>
      <c r="EV177">
        <v>31590</v>
      </c>
      <c r="EW177">
        <v>380</v>
      </c>
      <c r="EX177" t="s">
        <v>4613</v>
      </c>
      <c r="EY177">
        <v>182</v>
      </c>
      <c r="EZ177" t="s">
        <v>4055</v>
      </c>
      <c r="FA177">
        <v>4.9</v>
      </c>
      <c r="FB177">
        <v>1</v>
      </c>
      <c r="FC177">
        <v>1</v>
      </c>
      <c r="FD177">
        <v>1853</v>
      </c>
      <c r="FE177">
        <v>1952</v>
      </c>
      <c r="FF177" t="s">
        <v>4288</v>
      </c>
      <c r="FG177">
        <v>188</v>
      </c>
      <c r="FH177" t="s">
        <v>4055</v>
      </c>
      <c r="FI177">
        <v>3.1</v>
      </c>
      <c r="FJ177">
        <v>1853</v>
      </c>
      <c r="FK177">
        <v>1290</v>
      </c>
      <c r="FL177" t="s">
        <v>4069</v>
      </c>
      <c r="FM177" t="s">
        <v>4055</v>
      </c>
      <c r="FN177" t="s">
        <v>4055</v>
      </c>
      <c r="FO177" t="s">
        <v>4055</v>
      </c>
      <c r="FP177">
        <v>1853</v>
      </c>
      <c r="FQ177">
        <v>167</v>
      </c>
      <c r="FR177" t="s">
        <v>4090</v>
      </c>
      <c r="FS177">
        <v>192</v>
      </c>
      <c r="FT177" t="s">
        <v>4055</v>
      </c>
      <c r="FU177">
        <v>0.4</v>
      </c>
      <c r="FV177">
        <v>1853</v>
      </c>
      <c r="FW177">
        <v>159</v>
      </c>
      <c r="FZ177" t="s">
        <v>4055</v>
      </c>
      <c r="GA177" t="s">
        <v>4055</v>
      </c>
      <c r="GD177">
        <v>3568</v>
      </c>
      <c r="GE177" t="s">
        <v>4714</v>
      </c>
      <c r="GF177" t="s">
        <v>4055</v>
      </c>
      <c r="GG177" t="s">
        <v>4055</v>
      </c>
      <c r="GH177" t="s">
        <v>4055</v>
      </c>
      <c r="GI177" t="s">
        <v>4071</v>
      </c>
      <c r="GJ177" t="s">
        <v>4055</v>
      </c>
      <c r="GK177" t="s">
        <v>4055</v>
      </c>
      <c r="GL177" t="s">
        <v>4055</v>
      </c>
      <c r="GM177" t="s">
        <v>4055</v>
      </c>
      <c r="GQ177">
        <v>0</v>
      </c>
      <c r="GV177">
        <v>8.4</v>
      </c>
      <c r="GW177">
        <v>10.7</v>
      </c>
      <c r="GX177">
        <v>0.5</v>
      </c>
      <c r="GY177">
        <v>164</v>
      </c>
      <c r="GZ177">
        <v>3</v>
      </c>
      <c r="HA177">
        <v>206</v>
      </c>
      <c r="HB177">
        <v>3</v>
      </c>
      <c r="HC177">
        <v>1853</v>
      </c>
      <c r="HD177">
        <v>4</v>
      </c>
      <c r="HE177" t="s">
        <v>4071</v>
      </c>
      <c r="HG177" t="s">
        <v>549</v>
      </c>
      <c r="HL177">
        <v>4</v>
      </c>
      <c r="HM177">
        <v>16</v>
      </c>
      <c r="HN177">
        <v>1</v>
      </c>
      <c r="HO177">
        <v>1</v>
      </c>
      <c r="HP177">
        <v>0</v>
      </c>
      <c r="HQ177">
        <v>0</v>
      </c>
      <c r="HR177">
        <v>3</v>
      </c>
      <c r="HS177">
        <v>1810</v>
      </c>
      <c r="HT177">
        <v>5</v>
      </c>
      <c r="HU177">
        <v>1</v>
      </c>
      <c r="HV177">
        <v>5</v>
      </c>
      <c r="HW177">
        <v>0</v>
      </c>
      <c r="HX177">
        <v>1</v>
      </c>
      <c r="HY177">
        <v>0</v>
      </c>
      <c r="HZ177">
        <v>65</v>
      </c>
      <c r="IA177">
        <v>1813</v>
      </c>
      <c r="IB177">
        <v>1820</v>
      </c>
      <c r="ID177">
        <v>1853</v>
      </c>
      <c r="IE177">
        <v>1853</v>
      </c>
      <c r="IF177">
        <v>175</v>
      </c>
      <c r="IG177">
        <v>165</v>
      </c>
      <c r="IH177">
        <v>206</v>
      </c>
      <c r="II177">
        <v>1</v>
      </c>
      <c r="IJ177">
        <v>5</v>
      </c>
      <c r="IK177">
        <v>0</v>
      </c>
      <c r="IL177">
        <v>0</v>
      </c>
      <c r="IM177">
        <v>0</v>
      </c>
      <c r="IN177">
        <v>270</v>
      </c>
      <c r="IO177">
        <v>0</v>
      </c>
      <c r="IP177">
        <v>180</v>
      </c>
      <c r="IQ177">
        <v>0</v>
      </c>
      <c r="IR177">
        <v>330</v>
      </c>
      <c r="IS177">
        <v>0</v>
      </c>
      <c r="IT177">
        <v>90</v>
      </c>
      <c r="IU177">
        <v>0</v>
      </c>
      <c r="IV177">
        <v>6.4</v>
      </c>
      <c r="IW177">
        <v>-6</v>
      </c>
      <c r="IX177">
        <v>90</v>
      </c>
      <c r="IY177">
        <v>75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330</v>
      </c>
      <c r="JJ177">
        <v>304</v>
      </c>
      <c r="JK177">
        <v>218</v>
      </c>
      <c r="JL177">
        <v>302</v>
      </c>
      <c r="JM177">
        <v>218</v>
      </c>
      <c r="JN177">
        <v>175</v>
      </c>
      <c r="JO177">
        <v>212</v>
      </c>
      <c r="JP177">
        <v>220</v>
      </c>
      <c r="JQ177">
        <v>275</v>
      </c>
      <c r="JR177">
        <v>335</v>
      </c>
      <c r="JS177">
        <v>280</v>
      </c>
      <c r="JT177">
        <v>0</v>
      </c>
      <c r="JU177">
        <v>0</v>
      </c>
      <c r="JV177">
        <v>308</v>
      </c>
      <c r="JW177">
        <v>312</v>
      </c>
      <c r="JX177">
        <v>325</v>
      </c>
      <c r="JY177">
        <v>300</v>
      </c>
      <c r="JZ177">
        <v>1.5</v>
      </c>
      <c r="KA177">
        <v>0.2</v>
      </c>
      <c r="KB177">
        <v>0.4</v>
      </c>
      <c r="KC177">
        <v>0.42</v>
      </c>
      <c r="KD177">
        <v>0.28</v>
      </c>
      <c r="KE177">
        <v>0.5</v>
      </c>
      <c r="KF177">
        <v>0.16</v>
      </c>
      <c r="KG177">
        <v>0.1</v>
      </c>
      <c r="KH177">
        <v>3.5</v>
      </c>
      <c r="KI177">
        <v>1</v>
      </c>
      <c r="KJ177">
        <v>6</v>
      </c>
      <c r="KK177">
        <v>0</v>
      </c>
      <c r="KL177">
        <v>7</v>
      </c>
      <c r="KM177">
        <v>4</v>
      </c>
      <c r="KN177">
        <v>1.3</v>
      </c>
      <c r="KO177">
        <v>0</v>
      </c>
      <c r="KP177">
        <v>0</v>
      </c>
      <c r="KQ177">
        <v>1</v>
      </c>
      <c r="KR177">
        <v>1.7</v>
      </c>
      <c r="KS177">
        <v>0</v>
      </c>
      <c r="KT177">
        <v>1.4</v>
      </c>
      <c r="KU177">
        <v>0</v>
      </c>
      <c r="KV177">
        <v>0</v>
      </c>
      <c r="KW177">
        <v>1.2</v>
      </c>
      <c r="KX177">
        <v>2</v>
      </c>
      <c r="KY177">
        <v>2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1.5</v>
      </c>
      <c r="LJ177">
        <v>0</v>
      </c>
      <c r="LK177">
        <v>4</v>
      </c>
      <c r="LL177">
        <v>5</v>
      </c>
      <c r="LM177">
        <v>6</v>
      </c>
      <c r="LN177">
        <v>0.3</v>
      </c>
      <c r="LO177">
        <v>0.5</v>
      </c>
      <c r="LP177">
        <v>0</v>
      </c>
      <c r="LQ177">
        <v>0</v>
      </c>
      <c r="LR177">
        <v>0</v>
      </c>
      <c r="LS177">
        <v>1</v>
      </c>
      <c r="LT177">
        <v>0</v>
      </c>
      <c r="LU177">
        <v>0</v>
      </c>
      <c r="LV177">
        <v>0</v>
      </c>
      <c r="LW177">
        <v>1.4</v>
      </c>
      <c r="LX177">
        <v>1.4</v>
      </c>
      <c r="LY177">
        <v>1.7</v>
      </c>
      <c r="LZ177">
        <v>1.7</v>
      </c>
      <c r="MA177">
        <v>0</v>
      </c>
      <c r="MB177">
        <v>2</v>
      </c>
      <c r="MC177">
        <v>0</v>
      </c>
      <c r="MD177">
        <v>4.5</v>
      </c>
      <c r="ME177">
        <v>6</v>
      </c>
      <c r="MF177">
        <v>6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342</v>
      </c>
      <c r="MN177">
        <v>165</v>
      </c>
      <c r="MO177">
        <v>206</v>
      </c>
      <c r="NU177">
        <v>0.15</v>
      </c>
      <c r="NV177">
        <v>0.2</v>
      </c>
      <c r="NW177">
        <v>0.2</v>
      </c>
      <c r="NX177">
        <v>2</v>
      </c>
      <c r="NY177">
        <v>2</v>
      </c>
      <c r="NZ177">
        <v>2</v>
      </c>
      <c r="OE177" t="s">
        <v>4714</v>
      </c>
      <c r="OF177" t="s">
        <v>4375</v>
      </c>
      <c r="OG177" t="s">
        <v>4376</v>
      </c>
      <c r="OH177" t="s">
        <v>4043</v>
      </c>
      <c r="OI177" t="s">
        <v>4714</v>
      </c>
      <c r="OJ177" t="s">
        <v>4713</v>
      </c>
      <c r="OK177">
        <v>61</v>
      </c>
      <c r="OL177">
        <v>61</v>
      </c>
      <c r="OM177" t="s">
        <v>4375</v>
      </c>
      <c r="ON177">
        <v>3</v>
      </c>
      <c r="OO177">
        <v>1813</v>
      </c>
      <c r="OP177">
        <v>61</v>
      </c>
      <c r="OQ177">
        <v>61</v>
      </c>
      <c r="OR177" t="s">
        <v>4376</v>
      </c>
      <c r="OS177">
        <v>3</v>
      </c>
      <c r="OT177">
        <v>1820</v>
      </c>
      <c r="OU177">
        <v>65</v>
      </c>
      <c r="OV177">
        <v>65</v>
      </c>
      <c r="OW177" t="s">
        <v>4043</v>
      </c>
      <c r="OX177">
        <v>2</v>
      </c>
      <c r="OY177">
        <v>31590</v>
      </c>
      <c r="OZ177">
        <v>51</v>
      </c>
      <c r="PA177">
        <v>51</v>
      </c>
      <c r="PB177" t="s">
        <v>4714</v>
      </c>
      <c r="PC177">
        <v>2</v>
      </c>
      <c r="PD177">
        <v>1853</v>
      </c>
      <c r="PF177">
        <v>320</v>
      </c>
      <c r="PG177">
        <v>29</v>
      </c>
      <c r="PH177">
        <v>302</v>
      </c>
      <c r="PI177">
        <v>29</v>
      </c>
      <c r="PJ177">
        <v>90</v>
      </c>
      <c r="PL177">
        <v>1053.4</v>
      </c>
      <c r="PM177">
        <v>695.9</v>
      </c>
      <c r="PN177">
        <v>85.8</v>
      </c>
      <c r="PP177">
        <v>12</v>
      </c>
      <c r="PQ177">
        <v>2</v>
      </c>
      <c r="PR177">
        <v>2</v>
      </c>
      <c r="PS177">
        <v>6</v>
      </c>
      <c r="PT177">
        <v>206</v>
      </c>
      <c r="PU177">
        <v>9</v>
      </c>
      <c r="PV177" t="s">
        <v>4072</v>
      </c>
      <c r="PW177" t="s">
        <v>4072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-1</v>
      </c>
      <c r="QF177">
        <v>1</v>
      </c>
      <c r="QG177">
        <v>0</v>
      </c>
      <c r="QH177">
        <v>5</v>
      </c>
      <c r="QI177">
        <v>5</v>
      </c>
      <c r="QJ177">
        <v>5</v>
      </c>
      <c r="QK177">
        <v>160</v>
      </c>
      <c r="QL177">
        <v>364</v>
      </c>
      <c r="QM177">
        <v>7.5</v>
      </c>
      <c r="QN177">
        <v>1282.5</v>
      </c>
      <c r="QO177" t="s">
        <v>2341</v>
      </c>
      <c r="QP177" t="s">
        <v>513</v>
      </c>
      <c r="QQ177">
        <v>0</v>
      </c>
      <c r="QR177" t="s">
        <v>649</v>
      </c>
      <c r="QS177">
        <v>30</v>
      </c>
      <c r="QT177">
        <v>40</v>
      </c>
    </row>
    <row r="178" spans="1:462">
      <c r="A178" t="s">
        <v>2526</v>
      </c>
      <c r="B178" t="s">
        <v>1960</v>
      </c>
      <c r="C178" t="s">
        <v>509</v>
      </c>
      <c r="D178" t="s">
        <v>2455</v>
      </c>
      <c r="E178" t="s">
        <v>4036</v>
      </c>
      <c r="H178" t="s">
        <v>604</v>
      </c>
      <c r="I178" t="s">
        <v>605</v>
      </c>
      <c r="K178" t="s">
        <v>606</v>
      </c>
      <c r="L178" t="s">
        <v>1453</v>
      </c>
      <c r="M178" t="s">
        <v>512</v>
      </c>
      <c r="O178" t="s">
        <v>513</v>
      </c>
      <c r="P178" t="s">
        <v>517</v>
      </c>
      <c r="Q178" t="s">
        <v>1015</v>
      </c>
      <c r="R178" t="s">
        <v>1016</v>
      </c>
      <c r="S178" t="s">
        <v>4073</v>
      </c>
      <c r="T178" t="s">
        <v>633</v>
      </c>
      <c r="U178" t="s">
        <v>634</v>
      </c>
      <c r="V178" t="s">
        <v>2527</v>
      </c>
      <c r="W178" t="s">
        <v>2336</v>
      </c>
      <c r="X178" t="s">
        <v>2528</v>
      </c>
      <c r="Y178" t="s">
        <v>2529</v>
      </c>
      <c r="Z178" t="s">
        <v>650</v>
      </c>
      <c r="AA178" t="s">
        <v>4038</v>
      </c>
      <c r="AB178" t="s">
        <v>4716</v>
      </c>
      <c r="AC178">
        <v>10</v>
      </c>
      <c r="AD178" t="s">
        <v>2525</v>
      </c>
      <c r="AE178">
        <v>12</v>
      </c>
      <c r="AF178">
        <v>3615</v>
      </c>
      <c r="AG178" t="s">
        <v>4379</v>
      </c>
      <c r="AH178">
        <v>1</v>
      </c>
      <c r="AI178" t="s">
        <v>4041</v>
      </c>
      <c r="AK178" t="s">
        <v>4380</v>
      </c>
      <c r="AL178">
        <v>1</v>
      </c>
      <c r="AM178" t="s">
        <v>582</v>
      </c>
      <c r="AO178" t="s">
        <v>4043</v>
      </c>
      <c r="AP178">
        <v>1</v>
      </c>
      <c r="AR178" t="s">
        <v>4717</v>
      </c>
      <c r="AS178">
        <v>1</v>
      </c>
      <c r="AT178">
        <v>51</v>
      </c>
      <c r="AV178" t="s">
        <v>4045</v>
      </c>
      <c r="AW178">
        <v>6.4</v>
      </c>
      <c r="AX178">
        <v>-6</v>
      </c>
      <c r="AY178">
        <v>98</v>
      </c>
      <c r="AZ178">
        <v>83</v>
      </c>
      <c r="BH178">
        <v>98</v>
      </c>
      <c r="BI178">
        <v>15</v>
      </c>
      <c r="BJ178">
        <v>83</v>
      </c>
      <c r="BK178">
        <v>3</v>
      </c>
      <c r="BL178">
        <v>196</v>
      </c>
      <c r="BM178">
        <v>-6</v>
      </c>
      <c r="BN178">
        <v>0</v>
      </c>
      <c r="BP178">
        <v>0</v>
      </c>
      <c r="BR178">
        <v>190</v>
      </c>
      <c r="BS178">
        <v>180</v>
      </c>
      <c r="BT178">
        <v>1865</v>
      </c>
      <c r="BU178" t="s">
        <v>4046</v>
      </c>
      <c r="BV178" t="s">
        <v>4047</v>
      </c>
      <c r="BW178" t="s">
        <v>4048</v>
      </c>
      <c r="BX178" t="s">
        <v>4049</v>
      </c>
      <c r="BY178" t="s">
        <v>4107</v>
      </c>
      <c r="BZ178" t="s">
        <v>4107</v>
      </c>
      <c r="CA178" t="s">
        <v>4108</v>
      </c>
      <c r="CB178" t="s">
        <v>4109</v>
      </c>
      <c r="CC178" t="s">
        <v>4053</v>
      </c>
      <c r="CD178" t="s">
        <v>4110</v>
      </c>
      <c r="CE178" t="s">
        <v>4055</v>
      </c>
      <c r="CF178" t="s">
        <v>4055</v>
      </c>
      <c r="CG178" t="s">
        <v>4056</v>
      </c>
      <c r="CH178" t="s">
        <v>4057</v>
      </c>
      <c r="CI178" t="s">
        <v>4216</v>
      </c>
      <c r="CJ178" t="s">
        <v>4059</v>
      </c>
      <c r="CK178" t="s">
        <v>4060</v>
      </c>
      <c r="CL178" t="s">
        <v>4061</v>
      </c>
      <c r="CM178" t="s">
        <v>4062</v>
      </c>
      <c r="CN178" t="s">
        <v>4055</v>
      </c>
      <c r="CO178" t="s">
        <v>4063</v>
      </c>
      <c r="CP178" t="s">
        <v>4055</v>
      </c>
      <c r="CQ178" t="s">
        <v>4055</v>
      </c>
      <c r="CR178">
        <v>5</v>
      </c>
      <c r="CS178" t="s">
        <v>4055</v>
      </c>
      <c r="CT178" t="s">
        <v>4055</v>
      </c>
      <c r="CU178" t="s">
        <v>4055</v>
      </c>
      <c r="CV178">
        <v>116</v>
      </c>
      <c r="CW178">
        <v>3</v>
      </c>
      <c r="CX178">
        <v>100</v>
      </c>
      <c r="CY178">
        <v>5</v>
      </c>
      <c r="CZ178">
        <v>126</v>
      </c>
      <c r="DA178">
        <v>5</v>
      </c>
      <c r="DB178">
        <v>9490</v>
      </c>
      <c r="DC178">
        <v>280</v>
      </c>
      <c r="DD178">
        <v>275</v>
      </c>
      <c r="DE178">
        <v>1965</v>
      </c>
      <c r="DF178">
        <v>1965</v>
      </c>
      <c r="DG178">
        <v>1982</v>
      </c>
      <c r="DH178">
        <v>3</v>
      </c>
      <c r="DI178" t="s">
        <v>4055</v>
      </c>
      <c r="DJ178" t="s">
        <v>4100</v>
      </c>
      <c r="DK178">
        <v>190</v>
      </c>
      <c r="DL178" t="s">
        <v>4101</v>
      </c>
      <c r="DM178">
        <v>65</v>
      </c>
      <c r="DN178">
        <v>0.84</v>
      </c>
      <c r="DO178">
        <v>1</v>
      </c>
      <c r="DP178">
        <v>1868</v>
      </c>
      <c r="DQ178">
        <v>648</v>
      </c>
      <c r="DR178" t="s">
        <v>4100</v>
      </c>
      <c r="DS178">
        <v>180</v>
      </c>
      <c r="DT178" t="s">
        <v>4101</v>
      </c>
      <c r="DU178">
        <v>65</v>
      </c>
      <c r="DV178">
        <v>0.84</v>
      </c>
      <c r="DW178">
        <v>1</v>
      </c>
      <c r="DX178">
        <v>1875</v>
      </c>
      <c r="DY178">
        <v>617</v>
      </c>
      <c r="DZ178" t="s">
        <v>4066</v>
      </c>
      <c r="EA178">
        <v>33</v>
      </c>
      <c r="EB178" t="s">
        <v>4065</v>
      </c>
      <c r="EC178">
        <v>0.4</v>
      </c>
      <c r="ED178">
        <v>1868</v>
      </c>
      <c r="EE178">
        <v>54</v>
      </c>
      <c r="EF178" t="s">
        <v>4066</v>
      </c>
      <c r="EG178">
        <v>33</v>
      </c>
      <c r="EH178" t="s">
        <v>4065</v>
      </c>
      <c r="EI178">
        <v>0.4</v>
      </c>
      <c r="EJ178">
        <v>1875</v>
      </c>
      <c r="EK178">
        <v>54</v>
      </c>
      <c r="EL178" t="s">
        <v>1528</v>
      </c>
      <c r="EM178">
        <v>12</v>
      </c>
      <c r="EN178">
        <v>0.5</v>
      </c>
      <c r="EO178">
        <v>0.96</v>
      </c>
      <c r="EP178">
        <v>1875.56</v>
      </c>
      <c r="EQ178">
        <v>30477.85</v>
      </c>
      <c r="ER178">
        <v>4409.98</v>
      </c>
      <c r="ES178">
        <v>0</v>
      </c>
      <c r="ET178">
        <v>0</v>
      </c>
      <c r="EU178">
        <v>1</v>
      </c>
      <c r="EV178">
        <v>34888</v>
      </c>
      <c r="EW178">
        <v>419</v>
      </c>
      <c r="EX178" t="s">
        <v>4613</v>
      </c>
      <c r="EY178">
        <v>192</v>
      </c>
      <c r="EZ178" t="s">
        <v>4055</v>
      </c>
      <c r="FA178">
        <v>5.5</v>
      </c>
      <c r="FB178">
        <v>1</v>
      </c>
      <c r="FC178">
        <v>1</v>
      </c>
      <c r="FD178">
        <v>1910</v>
      </c>
      <c r="FE178">
        <v>2287</v>
      </c>
      <c r="FF178" t="s">
        <v>4288</v>
      </c>
      <c r="FG178">
        <v>198</v>
      </c>
      <c r="FH178" t="s">
        <v>4055</v>
      </c>
      <c r="FI178">
        <v>2.9</v>
      </c>
      <c r="FJ178">
        <v>1910</v>
      </c>
      <c r="FK178">
        <v>1437</v>
      </c>
      <c r="FL178" t="s">
        <v>4069</v>
      </c>
      <c r="FM178" t="s">
        <v>4055</v>
      </c>
      <c r="FN178" t="s">
        <v>4055</v>
      </c>
      <c r="FO178" t="s">
        <v>4055</v>
      </c>
      <c r="FP178">
        <v>1910</v>
      </c>
      <c r="FQ178">
        <v>186</v>
      </c>
      <c r="FR178" t="s">
        <v>4090</v>
      </c>
      <c r="FS178">
        <v>202</v>
      </c>
      <c r="FT178" t="s">
        <v>4055</v>
      </c>
      <c r="FU178">
        <v>0.4</v>
      </c>
      <c r="FV178">
        <v>1910</v>
      </c>
      <c r="FW178">
        <v>172</v>
      </c>
      <c r="FZ178" t="s">
        <v>4055</v>
      </c>
      <c r="GA178" t="s">
        <v>4055</v>
      </c>
      <c r="GD178">
        <v>4082</v>
      </c>
      <c r="GE178" t="s">
        <v>4717</v>
      </c>
      <c r="GF178" t="s">
        <v>4055</v>
      </c>
      <c r="GG178" t="s">
        <v>4055</v>
      </c>
      <c r="GH178" t="s">
        <v>4055</v>
      </c>
      <c r="GI178" t="s">
        <v>4071</v>
      </c>
      <c r="GJ178" t="s">
        <v>4055</v>
      </c>
      <c r="GK178" t="s">
        <v>4055</v>
      </c>
      <c r="GL178" t="s">
        <v>4055</v>
      </c>
      <c r="GM178" t="s">
        <v>4055</v>
      </c>
      <c r="GQ178">
        <v>0</v>
      </c>
      <c r="GV178">
        <v>8.800000000000001</v>
      </c>
      <c r="GW178">
        <v>11.5</v>
      </c>
      <c r="GX178">
        <v>0.5</v>
      </c>
      <c r="GY178">
        <v>180</v>
      </c>
      <c r="GZ178">
        <v>3</v>
      </c>
      <c r="HA178">
        <v>218</v>
      </c>
      <c r="HB178">
        <v>3</v>
      </c>
      <c r="HC178">
        <v>1910</v>
      </c>
      <c r="HD178">
        <v>4</v>
      </c>
      <c r="HE178" t="s">
        <v>4071</v>
      </c>
      <c r="HG178" t="s">
        <v>549</v>
      </c>
      <c r="HL178">
        <v>4</v>
      </c>
      <c r="HM178">
        <v>17</v>
      </c>
      <c r="HN178">
        <v>1</v>
      </c>
      <c r="HO178">
        <v>1</v>
      </c>
      <c r="HP178">
        <v>0</v>
      </c>
      <c r="HQ178">
        <v>0</v>
      </c>
      <c r="HR178">
        <v>3</v>
      </c>
      <c r="HS178">
        <v>1865</v>
      </c>
      <c r="HT178">
        <v>5</v>
      </c>
      <c r="HU178">
        <v>1</v>
      </c>
      <c r="HV178">
        <v>5</v>
      </c>
      <c r="HW178">
        <v>0</v>
      </c>
      <c r="HX178">
        <v>1</v>
      </c>
      <c r="HY178">
        <v>0</v>
      </c>
      <c r="HZ178">
        <v>65</v>
      </c>
      <c r="IA178">
        <v>1868</v>
      </c>
      <c r="IB178">
        <v>1875</v>
      </c>
      <c r="ID178">
        <v>1910</v>
      </c>
      <c r="IE178">
        <v>1910</v>
      </c>
      <c r="IF178">
        <v>190</v>
      </c>
      <c r="IG178">
        <v>180</v>
      </c>
      <c r="IH178">
        <v>218</v>
      </c>
      <c r="II178">
        <v>1</v>
      </c>
      <c r="IJ178">
        <v>5</v>
      </c>
      <c r="IK178">
        <v>0</v>
      </c>
      <c r="IL178">
        <v>0</v>
      </c>
      <c r="IM178">
        <v>0</v>
      </c>
      <c r="IN178">
        <v>270</v>
      </c>
      <c r="IO178">
        <v>0</v>
      </c>
      <c r="IP178">
        <v>180</v>
      </c>
      <c r="IQ178">
        <v>0</v>
      </c>
      <c r="IR178">
        <v>330</v>
      </c>
      <c r="IS178">
        <v>0</v>
      </c>
      <c r="IT178">
        <v>90</v>
      </c>
      <c r="IU178">
        <v>0</v>
      </c>
      <c r="IV178">
        <v>6.4</v>
      </c>
      <c r="IW178">
        <v>-6</v>
      </c>
      <c r="IX178">
        <v>98</v>
      </c>
      <c r="IY178">
        <v>83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338</v>
      </c>
      <c r="JJ178">
        <v>310</v>
      </c>
      <c r="JK178">
        <v>220</v>
      </c>
      <c r="JL178">
        <v>310</v>
      </c>
      <c r="JM178">
        <v>220</v>
      </c>
      <c r="JN178">
        <v>190</v>
      </c>
      <c r="JO178">
        <v>230</v>
      </c>
      <c r="JP178">
        <v>225</v>
      </c>
      <c r="JQ178">
        <v>255</v>
      </c>
      <c r="JR178">
        <v>325</v>
      </c>
      <c r="JS178">
        <v>270</v>
      </c>
      <c r="JT178">
        <v>0</v>
      </c>
      <c r="JU178">
        <v>0</v>
      </c>
      <c r="JV178">
        <v>306</v>
      </c>
      <c r="JW178">
        <v>310</v>
      </c>
      <c r="JX178">
        <v>320</v>
      </c>
      <c r="JY178">
        <v>310</v>
      </c>
      <c r="JZ178">
        <v>0.5</v>
      </c>
      <c r="KA178">
        <v>0.2</v>
      </c>
      <c r="KB178">
        <v>0.4</v>
      </c>
      <c r="KC178">
        <v>0.42</v>
      </c>
      <c r="KD178">
        <v>0.28</v>
      </c>
      <c r="KE178">
        <v>0.5</v>
      </c>
      <c r="KF178">
        <v>0.17</v>
      </c>
      <c r="KG178">
        <v>0.1</v>
      </c>
      <c r="KH178">
        <v>3.5</v>
      </c>
      <c r="KI178">
        <v>1</v>
      </c>
      <c r="KJ178">
        <v>4.5</v>
      </c>
      <c r="KK178">
        <v>0</v>
      </c>
      <c r="KL178">
        <v>4.5</v>
      </c>
      <c r="KM178">
        <v>0</v>
      </c>
      <c r="KN178">
        <v>1</v>
      </c>
      <c r="KO178">
        <v>0</v>
      </c>
      <c r="KP178">
        <v>0</v>
      </c>
      <c r="KQ178">
        <v>0.5</v>
      </c>
      <c r="KR178">
        <v>1.2</v>
      </c>
      <c r="KS178">
        <v>0</v>
      </c>
      <c r="KT178">
        <v>2</v>
      </c>
      <c r="KU178">
        <v>0</v>
      </c>
      <c r="KV178">
        <v>0</v>
      </c>
      <c r="KW178">
        <v>1</v>
      </c>
      <c r="KX178">
        <v>2</v>
      </c>
      <c r="KY178">
        <v>1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0.5</v>
      </c>
      <c r="LJ178">
        <v>0</v>
      </c>
      <c r="LK178">
        <v>4</v>
      </c>
      <c r="LL178">
        <v>5</v>
      </c>
      <c r="LM178">
        <v>6</v>
      </c>
      <c r="LN178">
        <v>0.1</v>
      </c>
      <c r="LO178">
        <v>3</v>
      </c>
      <c r="LP178">
        <v>0</v>
      </c>
      <c r="LQ178">
        <v>0</v>
      </c>
      <c r="LR178">
        <v>0</v>
      </c>
      <c r="LS178">
        <v>1</v>
      </c>
      <c r="LT178">
        <v>0</v>
      </c>
      <c r="LU178">
        <v>0</v>
      </c>
      <c r="LV178">
        <v>0</v>
      </c>
      <c r="LW178">
        <v>1.4</v>
      </c>
      <c r="LX178">
        <v>1.4</v>
      </c>
      <c r="LY178">
        <v>1.7</v>
      </c>
      <c r="LZ178">
        <v>1.7</v>
      </c>
      <c r="MA178">
        <v>0</v>
      </c>
      <c r="MB178">
        <v>4.5</v>
      </c>
      <c r="MC178">
        <v>0</v>
      </c>
      <c r="MD178">
        <v>4.5</v>
      </c>
      <c r="ME178">
        <v>6</v>
      </c>
      <c r="MF178">
        <v>6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408</v>
      </c>
      <c r="MN178">
        <v>180</v>
      </c>
      <c r="MO178">
        <v>216</v>
      </c>
      <c r="NU178">
        <v>0.15</v>
      </c>
      <c r="NV178">
        <v>0.2</v>
      </c>
      <c r="NW178">
        <v>0.2</v>
      </c>
      <c r="NX178">
        <v>2</v>
      </c>
      <c r="NY178">
        <v>2</v>
      </c>
      <c r="NZ178">
        <v>2</v>
      </c>
      <c r="OE178" t="s">
        <v>4717</v>
      </c>
      <c r="OF178" t="s">
        <v>4379</v>
      </c>
      <c r="OG178" t="s">
        <v>4380</v>
      </c>
      <c r="OH178" t="s">
        <v>4043</v>
      </c>
      <c r="OI178" t="s">
        <v>4717</v>
      </c>
      <c r="OJ178" t="s">
        <v>4716</v>
      </c>
      <c r="OK178">
        <v>61</v>
      </c>
      <c r="OL178">
        <v>61</v>
      </c>
      <c r="OM178" t="s">
        <v>4379</v>
      </c>
      <c r="ON178">
        <v>3</v>
      </c>
      <c r="OO178">
        <v>1868</v>
      </c>
      <c r="OP178">
        <v>61</v>
      </c>
      <c r="OQ178">
        <v>61</v>
      </c>
      <c r="OR178" t="s">
        <v>4380</v>
      </c>
      <c r="OS178">
        <v>3</v>
      </c>
      <c r="OT178">
        <v>1875</v>
      </c>
      <c r="OU178">
        <v>65</v>
      </c>
      <c r="OV178">
        <v>65</v>
      </c>
      <c r="OW178" t="s">
        <v>4043</v>
      </c>
      <c r="OX178">
        <v>2</v>
      </c>
      <c r="OY178">
        <v>34888</v>
      </c>
      <c r="OZ178">
        <v>51</v>
      </c>
      <c r="PA178">
        <v>51</v>
      </c>
      <c r="PB178" t="s">
        <v>4717</v>
      </c>
      <c r="PC178">
        <v>4</v>
      </c>
      <c r="PD178">
        <v>1910</v>
      </c>
      <c r="PF178">
        <v>347</v>
      </c>
      <c r="PG178">
        <v>29</v>
      </c>
      <c r="PH178">
        <v>329</v>
      </c>
      <c r="PI178">
        <v>29</v>
      </c>
      <c r="PJ178">
        <v>97.3</v>
      </c>
      <c r="PK178">
        <v>2145</v>
      </c>
      <c r="PL178">
        <v>1197.5</v>
      </c>
      <c r="PM178">
        <v>752.6</v>
      </c>
      <c r="PN178">
        <v>90.3</v>
      </c>
      <c r="PP178">
        <v>12</v>
      </c>
      <c r="PQ178">
        <v>2</v>
      </c>
      <c r="PR178">
        <v>1</v>
      </c>
      <c r="PS178">
        <v>7</v>
      </c>
      <c r="PT178">
        <v>218</v>
      </c>
      <c r="PU178">
        <v>10</v>
      </c>
      <c r="PV178" t="s">
        <v>4072</v>
      </c>
      <c r="PW178" t="s">
        <v>4072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-1</v>
      </c>
      <c r="QF178">
        <v>1</v>
      </c>
      <c r="QG178">
        <v>0</v>
      </c>
      <c r="QH178">
        <v>5</v>
      </c>
      <c r="QI178">
        <v>5</v>
      </c>
      <c r="QJ178">
        <v>5</v>
      </c>
      <c r="QK178">
        <v>187</v>
      </c>
      <c r="QL178">
        <v>372</v>
      </c>
      <c r="QM178">
        <v>7.5</v>
      </c>
      <c r="QN178">
        <v>1379.8</v>
      </c>
      <c r="QO178" t="s">
        <v>2341</v>
      </c>
      <c r="QP178" t="s">
        <v>513</v>
      </c>
      <c r="QQ178">
        <v>0</v>
      </c>
      <c r="QR178" t="s">
        <v>860</v>
      </c>
      <c r="QS178">
        <v>40</v>
      </c>
      <c r="QT178">
        <v>50</v>
      </c>
    </row>
    <row r="179" spans="1:462">
      <c r="A179" t="s">
        <v>2536</v>
      </c>
      <c r="B179" t="s">
        <v>564</v>
      </c>
      <c r="C179" t="s">
        <v>509</v>
      </c>
      <c r="D179" t="s">
        <v>2535</v>
      </c>
      <c r="E179" t="s">
        <v>4036</v>
      </c>
      <c r="H179" t="s">
        <v>604</v>
      </c>
      <c r="I179" t="s">
        <v>605</v>
      </c>
      <c r="J179" t="s">
        <v>628</v>
      </c>
      <c r="K179" t="s">
        <v>606</v>
      </c>
      <c r="L179" t="s">
        <v>629</v>
      </c>
      <c r="M179" t="s">
        <v>512</v>
      </c>
      <c r="O179" t="s">
        <v>513</v>
      </c>
      <c r="P179" t="s">
        <v>517</v>
      </c>
      <c r="Q179" t="s">
        <v>2077</v>
      </c>
      <c r="R179" t="s">
        <v>1812</v>
      </c>
      <c r="S179" t="s">
        <v>4037</v>
      </c>
      <c r="T179" t="s">
        <v>1482</v>
      </c>
      <c r="U179" t="s">
        <v>1483</v>
      </c>
      <c r="V179" t="s">
        <v>2537</v>
      </c>
      <c r="W179" t="s">
        <v>2336</v>
      </c>
      <c r="X179" t="s">
        <v>2538</v>
      </c>
      <c r="Y179" t="s">
        <v>2539</v>
      </c>
      <c r="Z179" t="s">
        <v>650</v>
      </c>
      <c r="AA179" t="s">
        <v>4038</v>
      </c>
      <c r="AB179" t="s">
        <v>4718</v>
      </c>
      <c r="AC179">
        <v>13</v>
      </c>
      <c r="AD179" t="s">
        <v>2534</v>
      </c>
      <c r="AE179">
        <v>5</v>
      </c>
      <c r="AF179">
        <v>3056</v>
      </c>
      <c r="AG179" t="s">
        <v>4093</v>
      </c>
      <c r="AH179">
        <v>1</v>
      </c>
      <c r="AI179" t="s">
        <v>4041</v>
      </c>
      <c r="AK179" t="s">
        <v>4094</v>
      </c>
      <c r="AL179">
        <v>1</v>
      </c>
      <c r="AM179" t="s">
        <v>582</v>
      </c>
      <c r="AO179" t="s">
        <v>4043</v>
      </c>
      <c r="AP179">
        <v>1</v>
      </c>
      <c r="AR179" t="s">
        <v>4719</v>
      </c>
      <c r="AS179">
        <v>1</v>
      </c>
      <c r="AT179">
        <v>52</v>
      </c>
      <c r="AV179" t="s">
        <v>4045</v>
      </c>
      <c r="AW179">
        <v>6.4</v>
      </c>
      <c r="AX179">
        <v>-6</v>
      </c>
      <c r="AY179">
        <v>87.5</v>
      </c>
      <c r="AZ179">
        <v>70</v>
      </c>
      <c r="BH179">
        <v>87.5</v>
      </c>
      <c r="BI179">
        <v>17.5</v>
      </c>
      <c r="BJ179">
        <v>70</v>
      </c>
      <c r="BK179">
        <v>2.5</v>
      </c>
      <c r="BL179">
        <v>175</v>
      </c>
      <c r="BM179">
        <v>-6</v>
      </c>
      <c r="BN179">
        <v>0</v>
      </c>
      <c r="BP179">
        <v>0</v>
      </c>
      <c r="BR179">
        <v>170</v>
      </c>
      <c r="BS179">
        <v>160</v>
      </c>
      <c r="BT179">
        <v>1725</v>
      </c>
      <c r="BU179" t="s">
        <v>4046</v>
      </c>
      <c r="BV179" t="s">
        <v>4046</v>
      </c>
      <c r="BW179" t="s">
        <v>4368</v>
      </c>
      <c r="BX179" t="s">
        <v>4048</v>
      </c>
      <c r="BY179" t="s">
        <v>4369</v>
      </c>
      <c r="BZ179" t="s">
        <v>4369</v>
      </c>
      <c r="CA179" t="s">
        <v>4370</v>
      </c>
      <c r="CB179" t="s">
        <v>4371</v>
      </c>
      <c r="CC179" t="s">
        <v>4053</v>
      </c>
      <c r="CD179" t="s">
        <v>4372</v>
      </c>
      <c r="CE179" t="s">
        <v>4055</v>
      </c>
      <c r="CF179" t="s">
        <v>4055</v>
      </c>
      <c r="CG179" t="s">
        <v>4056</v>
      </c>
      <c r="CH179" t="s">
        <v>4145</v>
      </c>
      <c r="CI179" t="s">
        <v>4058</v>
      </c>
      <c r="CJ179" t="s">
        <v>4059</v>
      </c>
      <c r="CK179" t="s">
        <v>4060</v>
      </c>
      <c r="CL179" t="s">
        <v>4061</v>
      </c>
      <c r="CM179" t="s">
        <v>4062</v>
      </c>
      <c r="CN179" t="s">
        <v>4055</v>
      </c>
      <c r="CO179" t="s">
        <v>4063</v>
      </c>
      <c r="CP179" t="s">
        <v>4055</v>
      </c>
      <c r="CQ179" t="s">
        <v>4055</v>
      </c>
      <c r="CR179">
        <v>5</v>
      </c>
      <c r="CS179" t="s">
        <v>4055</v>
      </c>
      <c r="CT179" t="s">
        <v>4055</v>
      </c>
      <c r="CU179" t="s">
        <v>4055</v>
      </c>
      <c r="CV179">
        <v>114</v>
      </c>
      <c r="CW179">
        <v>3</v>
      </c>
      <c r="CX179">
        <v>89</v>
      </c>
      <c r="CY179">
        <v>5</v>
      </c>
      <c r="CZ179">
        <v>125</v>
      </c>
      <c r="DA179">
        <v>5</v>
      </c>
      <c r="DB179">
        <v>8050</v>
      </c>
      <c r="DC179">
        <v>240</v>
      </c>
      <c r="DD179">
        <v>263</v>
      </c>
      <c r="DE179">
        <v>1822</v>
      </c>
      <c r="DF179">
        <v>1822</v>
      </c>
      <c r="DG179">
        <v>1844</v>
      </c>
      <c r="DH179" t="s">
        <v>4055</v>
      </c>
      <c r="DI179" t="s">
        <v>4055</v>
      </c>
      <c r="DJ179" t="s">
        <v>4100</v>
      </c>
      <c r="DK179">
        <v>170</v>
      </c>
      <c r="DL179" t="s">
        <v>4101</v>
      </c>
      <c r="DM179">
        <v>65</v>
      </c>
      <c r="DN179">
        <v>0.84</v>
      </c>
      <c r="DO179">
        <v>1</v>
      </c>
      <c r="DP179">
        <v>1728</v>
      </c>
      <c r="DQ179">
        <v>537</v>
      </c>
      <c r="DR179" t="s">
        <v>4100</v>
      </c>
      <c r="DS179">
        <v>160</v>
      </c>
      <c r="DT179" t="s">
        <v>4101</v>
      </c>
      <c r="DU179">
        <v>65</v>
      </c>
      <c r="DV179">
        <v>0.84</v>
      </c>
      <c r="DW179">
        <v>1</v>
      </c>
      <c r="DX179">
        <v>1735</v>
      </c>
      <c r="DY179">
        <v>507</v>
      </c>
      <c r="DZ179" t="s">
        <v>4066</v>
      </c>
      <c r="EA179">
        <v>33</v>
      </c>
      <c r="EB179" t="s">
        <v>4065</v>
      </c>
      <c r="EC179">
        <v>0.4</v>
      </c>
      <c r="ED179">
        <v>1728</v>
      </c>
      <c r="EE179">
        <v>50</v>
      </c>
      <c r="EF179" t="s">
        <v>4066</v>
      </c>
      <c r="EG179">
        <v>33</v>
      </c>
      <c r="EH179" t="s">
        <v>4065</v>
      </c>
      <c r="EI179">
        <v>0.4</v>
      </c>
      <c r="EJ179">
        <v>1735</v>
      </c>
      <c r="EK179">
        <v>50</v>
      </c>
      <c r="EL179" t="s">
        <v>1528</v>
      </c>
      <c r="EM179">
        <v>12</v>
      </c>
      <c r="EN179">
        <v>0.5</v>
      </c>
      <c r="EO179">
        <v>0.96</v>
      </c>
      <c r="EP179">
        <v>1735.56</v>
      </c>
      <c r="EQ179">
        <v>25355.45</v>
      </c>
      <c r="ER179">
        <v>4762.17</v>
      </c>
      <c r="ES179">
        <v>0</v>
      </c>
      <c r="ET179">
        <v>0</v>
      </c>
      <c r="EU179">
        <v>1</v>
      </c>
      <c r="EV179">
        <v>30118</v>
      </c>
      <c r="EW179">
        <v>362</v>
      </c>
      <c r="EX179" t="s">
        <v>4613</v>
      </c>
      <c r="EY179">
        <v>172</v>
      </c>
      <c r="EZ179" t="s">
        <v>4055</v>
      </c>
      <c r="FA179">
        <v>3.4</v>
      </c>
      <c r="FB179">
        <v>1</v>
      </c>
      <c r="FC179">
        <v>1</v>
      </c>
      <c r="FD179">
        <v>1768</v>
      </c>
      <c r="FE179">
        <v>1331</v>
      </c>
      <c r="FF179" t="s">
        <v>4288</v>
      </c>
      <c r="FG179">
        <v>182</v>
      </c>
      <c r="FH179" t="s">
        <v>4055</v>
      </c>
      <c r="FI179">
        <v>4.6</v>
      </c>
      <c r="FJ179">
        <v>1768</v>
      </c>
      <c r="FK179">
        <v>1736</v>
      </c>
      <c r="FL179" t="s">
        <v>4069</v>
      </c>
      <c r="FM179" t="s">
        <v>4055</v>
      </c>
      <c r="FN179" t="s">
        <v>4055</v>
      </c>
      <c r="FO179" t="s">
        <v>4055</v>
      </c>
      <c r="FP179">
        <v>1768</v>
      </c>
      <c r="FQ179">
        <v>266</v>
      </c>
      <c r="FR179" t="s">
        <v>4090</v>
      </c>
      <c r="FS179">
        <v>186</v>
      </c>
      <c r="FT179" t="s">
        <v>4055</v>
      </c>
      <c r="FU179">
        <v>0.4</v>
      </c>
      <c r="FV179">
        <v>1768</v>
      </c>
      <c r="FW179">
        <v>147</v>
      </c>
      <c r="FZ179" t="s">
        <v>4055</v>
      </c>
      <c r="GA179" t="s">
        <v>4055</v>
      </c>
      <c r="GD179">
        <v>3480</v>
      </c>
      <c r="GE179" t="s">
        <v>4719</v>
      </c>
      <c r="GF179" t="s">
        <v>4055</v>
      </c>
      <c r="GG179" t="s">
        <v>4055</v>
      </c>
      <c r="GH179" t="s">
        <v>4055</v>
      </c>
      <c r="GI179" t="s">
        <v>4071</v>
      </c>
      <c r="GJ179" t="s">
        <v>4055</v>
      </c>
      <c r="GK179" t="s">
        <v>4055</v>
      </c>
      <c r="GL179" t="s">
        <v>4055</v>
      </c>
      <c r="GM179" t="s">
        <v>4055</v>
      </c>
      <c r="GQ179">
        <v>0</v>
      </c>
      <c r="GV179">
        <v>8.4</v>
      </c>
      <c r="GW179">
        <v>11.2</v>
      </c>
      <c r="GX179">
        <v>0.5</v>
      </c>
      <c r="GY179">
        <v>160</v>
      </c>
      <c r="GZ179">
        <v>3</v>
      </c>
      <c r="HA179">
        <v>210</v>
      </c>
      <c r="HB179">
        <v>3</v>
      </c>
      <c r="HC179">
        <v>1768</v>
      </c>
      <c r="HD179">
        <v>4</v>
      </c>
      <c r="HE179" t="s">
        <v>4071</v>
      </c>
      <c r="HG179" t="s">
        <v>549</v>
      </c>
      <c r="HL179">
        <v>4</v>
      </c>
      <c r="HM179">
        <v>15</v>
      </c>
      <c r="HN179">
        <v>1</v>
      </c>
      <c r="HO179">
        <v>1</v>
      </c>
      <c r="HP179">
        <v>0</v>
      </c>
      <c r="HQ179">
        <v>0</v>
      </c>
      <c r="HR179">
        <v>1</v>
      </c>
      <c r="HS179">
        <v>1725</v>
      </c>
      <c r="HT179">
        <v>5</v>
      </c>
      <c r="HU179">
        <v>1</v>
      </c>
      <c r="HV179">
        <v>0</v>
      </c>
      <c r="HW179">
        <v>0</v>
      </c>
      <c r="HX179">
        <v>1</v>
      </c>
      <c r="HY179">
        <v>0</v>
      </c>
      <c r="HZ179">
        <v>65</v>
      </c>
      <c r="IA179">
        <v>1728</v>
      </c>
      <c r="IB179">
        <v>1735</v>
      </c>
      <c r="ID179">
        <v>1768</v>
      </c>
      <c r="IE179">
        <v>1768</v>
      </c>
      <c r="IF179">
        <v>170</v>
      </c>
      <c r="IG179">
        <v>160</v>
      </c>
      <c r="IH179">
        <v>210</v>
      </c>
      <c r="II179">
        <v>1</v>
      </c>
      <c r="IJ179">
        <v>5</v>
      </c>
      <c r="IK179">
        <v>0</v>
      </c>
      <c r="IL179">
        <v>0</v>
      </c>
      <c r="IM179">
        <v>0</v>
      </c>
      <c r="IN179">
        <v>270</v>
      </c>
      <c r="IO179">
        <v>0</v>
      </c>
      <c r="IP179">
        <v>180</v>
      </c>
      <c r="IQ179">
        <v>0</v>
      </c>
      <c r="IR179">
        <v>330</v>
      </c>
      <c r="IS179">
        <v>0</v>
      </c>
      <c r="IT179">
        <v>90</v>
      </c>
      <c r="IU179">
        <v>0</v>
      </c>
      <c r="IV179">
        <v>6.4</v>
      </c>
      <c r="IW179">
        <v>-6</v>
      </c>
      <c r="IX179">
        <v>87.5</v>
      </c>
      <c r="IY179">
        <v>70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326</v>
      </c>
      <c r="JJ179">
        <v>296</v>
      </c>
      <c r="JK179">
        <v>232</v>
      </c>
      <c r="JL179">
        <v>294</v>
      </c>
      <c r="JM179">
        <v>222</v>
      </c>
      <c r="JN179">
        <v>170</v>
      </c>
      <c r="JO179">
        <v>216</v>
      </c>
      <c r="JP179">
        <v>240</v>
      </c>
      <c r="JQ179">
        <v>280</v>
      </c>
      <c r="JR179">
        <v>340</v>
      </c>
      <c r="JS179">
        <v>290</v>
      </c>
      <c r="JT179">
        <v>0</v>
      </c>
      <c r="JU179">
        <v>0</v>
      </c>
      <c r="JV179">
        <v>335</v>
      </c>
      <c r="JW179">
        <v>337</v>
      </c>
      <c r="JX179">
        <v>330</v>
      </c>
      <c r="JY179">
        <v>325</v>
      </c>
      <c r="JZ179">
        <v>0.5</v>
      </c>
      <c r="KA179">
        <v>0.2</v>
      </c>
      <c r="KB179">
        <v>0.4</v>
      </c>
      <c r="KC179">
        <v>0.42</v>
      </c>
      <c r="KD179">
        <v>0.2</v>
      </c>
      <c r="KE179">
        <v>0.5</v>
      </c>
      <c r="KF179">
        <v>0.18</v>
      </c>
      <c r="KG179">
        <v>0.1</v>
      </c>
      <c r="KH179">
        <v>3.5</v>
      </c>
      <c r="KI179">
        <v>1</v>
      </c>
      <c r="KJ179">
        <v>5</v>
      </c>
      <c r="KK179">
        <v>0</v>
      </c>
      <c r="KL179">
        <v>5</v>
      </c>
      <c r="KM179">
        <v>0</v>
      </c>
      <c r="KN179">
        <v>1</v>
      </c>
      <c r="KO179">
        <v>0</v>
      </c>
      <c r="KP179">
        <v>0</v>
      </c>
      <c r="KQ179">
        <v>0.7</v>
      </c>
      <c r="KR179">
        <v>1.5</v>
      </c>
      <c r="KS179">
        <v>0</v>
      </c>
      <c r="KT179">
        <v>1.8</v>
      </c>
      <c r="KU179">
        <v>0</v>
      </c>
      <c r="KV179">
        <v>0</v>
      </c>
      <c r="KW179">
        <v>0.8</v>
      </c>
      <c r="KX179">
        <v>2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3</v>
      </c>
      <c r="LI179">
        <v>0.5</v>
      </c>
      <c r="LJ179">
        <v>0</v>
      </c>
      <c r="LK179">
        <v>4</v>
      </c>
      <c r="LL179">
        <v>5</v>
      </c>
      <c r="LM179">
        <v>6</v>
      </c>
      <c r="LN179">
        <v>0.3</v>
      </c>
      <c r="LO179">
        <v>0.5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1.4</v>
      </c>
      <c r="LX179">
        <v>1.4</v>
      </c>
      <c r="LY179">
        <v>2.1</v>
      </c>
      <c r="LZ179">
        <v>2.1</v>
      </c>
      <c r="MA179">
        <v>0</v>
      </c>
      <c r="MB179">
        <v>0</v>
      </c>
      <c r="MC179">
        <v>0</v>
      </c>
      <c r="MD179">
        <v>4.5</v>
      </c>
      <c r="ME179">
        <v>6</v>
      </c>
      <c r="MF179">
        <v>6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374</v>
      </c>
      <c r="MN179">
        <v>170</v>
      </c>
      <c r="MO179">
        <v>218</v>
      </c>
      <c r="NU179">
        <v>0.15</v>
      </c>
      <c r="NV179">
        <v>0.2</v>
      </c>
      <c r="NW179">
        <v>0.2</v>
      </c>
      <c r="NX179">
        <v>0.2</v>
      </c>
      <c r="NY179">
        <v>0.2</v>
      </c>
      <c r="NZ179">
        <v>0.2</v>
      </c>
      <c r="OE179" t="s">
        <v>4719</v>
      </c>
      <c r="OF179" t="s">
        <v>4093</v>
      </c>
      <c r="OG179" t="s">
        <v>4094</v>
      </c>
      <c r="OH179" t="s">
        <v>4043</v>
      </c>
      <c r="OI179" t="s">
        <v>4719</v>
      </c>
      <c r="OJ179" t="s">
        <v>4718</v>
      </c>
      <c r="OK179">
        <v>61</v>
      </c>
      <c r="OL179">
        <v>61</v>
      </c>
      <c r="OM179" t="s">
        <v>4093</v>
      </c>
      <c r="ON179">
        <v>3</v>
      </c>
      <c r="OO179">
        <v>1728</v>
      </c>
      <c r="OP179">
        <v>61</v>
      </c>
      <c r="OQ179">
        <v>61</v>
      </c>
      <c r="OR179" t="s">
        <v>4094</v>
      </c>
      <c r="OS179">
        <v>3</v>
      </c>
      <c r="OT179">
        <v>1735</v>
      </c>
      <c r="OU179">
        <v>65</v>
      </c>
      <c r="OV179">
        <v>65</v>
      </c>
      <c r="OW179" t="s">
        <v>4043</v>
      </c>
      <c r="OX179">
        <v>2</v>
      </c>
      <c r="OY179">
        <v>30118</v>
      </c>
      <c r="OZ179">
        <v>51</v>
      </c>
      <c r="PA179">
        <v>52</v>
      </c>
      <c r="PB179" t="s">
        <v>4719</v>
      </c>
      <c r="PC179">
        <v>1</v>
      </c>
      <c r="PD179">
        <v>1768</v>
      </c>
      <c r="PF179">
        <v>311</v>
      </c>
      <c r="PG179">
        <v>29</v>
      </c>
      <c r="PH179">
        <v>292</v>
      </c>
      <c r="PI179">
        <v>29</v>
      </c>
      <c r="PJ179">
        <v>150.5</v>
      </c>
      <c r="PK179">
        <v>1968</v>
      </c>
      <c r="PL179">
        <v>752.9</v>
      </c>
      <c r="PM179">
        <v>981.7</v>
      </c>
      <c r="PN179">
        <v>83.09999999999999</v>
      </c>
      <c r="PP179">
        <v>12</v>
      </c>
      <c r="PQ179">
        <v>2</v>
      </c>
      <c r="PR179">
        <v>2</v>
      </c>
      <c r="PS179">
        <v>6</v>
      </c>
      <c r="PT179">
        <v>210</v>
      </c>
      <c r="PU179">
        <v>14</v>
      </c>
      <c r="PV179" t="s">
        <v>4072</v>
      </c>
      <c r="PW179" t="s">
        <v>4072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-1</v>
      </c>
      <c r="QF179">
        <v>1</v>
      </c>
      <c r="QG179">
        <v>0</v>
      </c>
      <c r="QH179">
        <v>5</v>
      </c>
      <c r="QI179">
        <v>5</v>
      </c>
      <c r="QJ179">
        <v>5</v>
      </c>
      <c r="QK179">
        <v>156</v>
      </c>
      <c r="QL179">
        <v>360</v>
      </c>
      <c r="QM179">
        <v>7.5</v>
      </c>
      <c r="QN179">
        <v>1204.3</v>
      </c>
      <c r="QO179" t="s">
        <v>2341</v>
      </c>
      <c r="QP179" t="s">
        <v>513</v>
      </c>
      <c r="QQ179">
        <v>0</v>
      </c>
      <c r="QR179" t="s">
        <v>649</v>
      </c>
      <c r="QS179">
        <v>30</v>
      </c>
      <c r="QT179">
        <v>40</v>
      </c>
    </row>
    <row r="180" spans="1:462">
      <c r="A180" t="s">
        <v>2545</v>
      </c>
      <c r="B180" t="s">
        <v>629</v>
      </c>
      <c r="C180" t="s">
        <v>509</v>
      </c>
      <c r="D180" t="s">
        <v>2433</v>
      </c>
      <c r="E180" t="s">
        <v>4036</v>
      </c>
      <c r="H180" t="s">
        <v>604</v>
      </c>
      <c r="I180" t="s">
        <v>605</v>
      </c>
      <c r="J180" t="s">
        <v>628</v>
      </c>
      <c r="K180" t="s">
        <v>606</v>
      </c>
      <c r="L180" t="s">
        <v>711</v>
      </c>
      <c r="M180" t="s">
        <v>512</v>
      </c>
      <c r="O180" t="s">
        <v>513</v>
      </c>
      <c r="P180" t="s">
        <v>517</v>
      </c>
      <c r="Q180" t="s">
        <v>1728</v>
      </c>
      <c r="R180" t="s">
        <v>759</v>
      </c>
      <c r="S180" t="s">
        <v>4037</v>
      </c>
      <c r="T180" t="s">
        <v>520</v>
      </c>
      <c r="U180" t="s">
        <v>521</v>
      </c>
      <c r="V180" t="s">
        <v>2546</v>
      </c>
      <c r="W180" t="s">
        <v>2336</v>
      </c>
      <c r="X180" t="s">
        <v>2547</v>
      </c>
      <c r="Y180" t="s">
        <v>2548</v>
      </c>
      <c r="Z180" t="s">
        <v>650</v>
      </c>
      <c r="AA180" t="s">
        <v>4038</v>
      </c>
      <c r="AB180" t="s">
        <v>4720</v>
      </c>
      <c r="AC180">
        <v>13</v>
      </c>
      <c r="AD180" t="s">
        <v>2544</v>
      </c>
      <c r="AE180">
        <v>4</v>
      </c>
      <c r="AF180">
        <v>3829</v>
      </c>
      <c r="AG180" t="s">
        <v>4223</v>
      </c>
      <c r="AH180">
        <v>1</v>
      </c>
      <c r="AI180" t="s">
        <v>4041</v>
      </c>
      <c r="AK180" t="s">
        <v>4224</v>
      </c>
      <c r="AL180">
        <v>1</v>
      </c>
      <c r="AM180" t="s">
        <v>582</v>
      </c>
      <c r="AO180" t="s">
        <v>4043</v>
      </c>
      <c r="AP180">
        <v>1</v>
      </c>
      <c r="AR180" t="s">
        <v>4721</v>
      </c>
      <c r="AS180">
        <v>1</v>
      </c>
      <c r="AT180">
        <v>52</v>
      </c>
      <c r="AV180" t="s">
        <v>4045</v>
      </c>
      <c r="AW180">
        <v>6.4</v>
      </c>
      <c r="AX180">
        <v>-6</v>
      </c>
      <c r="AY180">
        <v>95</v>
      </c>
      <c r="AZ180">
        <v>72.5</v>
      </c>
      <c r="BH180">
        <v>95</v>
      </c>
      <c r="BI180">
        <v>22.5</v>
      </c>
      <c r="BJ180">
        <v>72.5</v>
      </c>
      <c r="BK180">
        <v>2.5</v>
      </c>
      <c r="BL180">
        <v>190</v>
      </c>
      <c r="BM180">
        <v>-6</v>
      </c>
      <c r="BN180">
        <v>0</v>
      </c>
      <c r="BP180">
        <v>0</v>
      </c>
      <c r="BR180">
        <v>185</v>
      </c>
      <c r="BS180">
        <v>175</v>
      </c>
      <c r="BT180">
        <v>1865</v>
      </c>
      <c r="BU180" t="s">
        <v>4046</v>
      </c>
      <c r="BV180" t="s">
        <v>4047</v>
      </c>
      <c r="BW180" t="s">
        <v>4049</v>
      </c>
      <c r="BX180" t="s">
        <v>4049</v>
      </c>
      <c r="BY180" t="s">
        <v>4050</v>
      </c>
      <c r="BZ180" t="s">
        <v>4144</v>
      </c>
      <c r="CA180" t="s">
        <v>4051</v>
      </c>
      <c r="CB180" t="s">
        <v>4052</v>
      </c>
      <c r="CC180" t="s">
        <v>4053</v>
      </c>
      <c r="CD180" t="s">
        <v>4054</v>
      </c>
      <c r="CE180" t="s">
        <v>4055</v>
      </c>
      <c r="CF180" t="s">
        <v>4055</v>
      </c>
      <c r="CG180" t="s">
        <v>4056</v>
      </c>
      <c r="CH180" t="s">
        <v>4057</v>
      </c>
      <c r="CI180" t="s">
        <v>4058</v>
      </c>
      <c r="CJ180" t="s">
        <v>4059</v>
      </c>
      <c r="CK180" t="s">
        <v>4060</v>
      </c>
      <c r="CL180" t="s">
        <v>4061</v>
      </c>
      <c r="CM180" t="s">
        <v>4062</v>
      </c>
      <c r="CN180" t="s">
        <v>4055</v>
      </c>
      <c r="CO180" t="s">
        <v>4063</v>
      </c>
      <c r="CP180" t="s">
        <v>4055</v>
      </c>
      <c r="CQ180" t="s">
        <v>4055</v>
      </c>
      <c r="CR180">
        <v>5</v>
      </c>
      <c r="CS180" t="s">
        <v>4055</v>
      </c>
      <c r="CT180" t="s">
        <v>4055</v>
      </c>
      <c r="CU180" t="s">
        <v>4055</v>
      </c>
      <c r="CV180">
        <v>123</v>
      </c>
      <c r="CW180">
        <v>3</v>
      </c>
      <c r="CX180">
        <v>102</v>
      </c>
      <c r="CY180">
        <v>5</v>
      </c>
      <c r="CZ180">
        <v>142</v>
      </c>
      <c r="DA180">
        <v>5</v>
      </c>
      <c r="DB180">
        <v>10020</v>
      </c>
      <c r="DC180">
        <v>300</v>
      </c>
      <c r="DD180">
        <v>309</v>
      </c>
      <c r="DE180">
        <v>1965</v>
      </c>
      <c r="DF180">
        <v>1965</v>
      </c>
      <c r="DG180">
        <v>1991</v>
      </c>
      <c r="DH180" t="s">
        <v>4055</v>
      </c>
      <c r="DI180" t="s">
        <v>4055</v>
      </c>
      <c r="DJ180" t="s">
        <v>4100</v>
      </c>
      <c r="DK180">
        <v>185</v>
      </c>
      <c r="DL180" t="s">
        <v>4101</v>
      </c>
      <c r="DM180">
        <v>65</v>
      </c>
      <c r="DN180">
        <v>0.84</v>
      </c>
      <c r="DO180">
        <v>1</v>
      </c>
      <c r="DP180">
        <v>1868</v>
      </c>
      <c r="DQ180">
        <v>631</v>
      </c>
      <c r="DR180" t="s">
        <v>4100</v>
      </c>
      <c r="DS180">
        <v>175</v>
      </c>
      <c r="DT180" t="s">
        <v>4101</v>
      </c>
      <c r="DU180">
        <v>65</v>
      </c>
      <c r="DV180">
        <v>0.84</v>
      </c>
      <c r="DW180">
        <v>1</v>
      </c>
      <c r="DX180">
        <v>1875</v>
      </c>
      <c r="DY180">
        <v>600</v>
      </c>
      <c r="DZ180" t="s">
        <v>4066</v>
      </c>
      <c r="EA180">
        <v>33</v>
      </c>
      <c r="EB180" t="s">
        <v>4065</v>
      </c>
      <c r="EC180">
        <v>0.4</v>
      </c>
      <c r="ED180">
        <v>1868</v>
      </c>
      <c r="EE180">
        <v>54</v>
      </c>
      <c r="EF180" t="s">
        <v>4066</v>
      </c>
      <c r="EG180">
        <v>33</v>
      </c>
      <c r="EH180" t="s">
        <v>4065</v>
      </c>
      <c r="EI180">
        <v>0.4</v>
      </c>
      <c r="EJ180">
        <v>1875</v>
      </c>
      <c r="EK180">
        <v>54</v>
      </c>
      <c r="EL180" t="s">
        <v>1528</v>
      </c>
      <c r="EM180">
        <v>12</v>
      </c>
      <c r="EN180">
        <v>0.5</v>
      </c>
      <c r="EO180">
        <v>0.96</v>
      </c>
      <c r="EP180">
        <v>1875.56</v>
      </c>
      <c r="EQ180">
        <v>29598.68</v>
      </c>
      <c r="ER180">
        <v>6614.97</v>
      </c>
      <c r="ES180">
        <v>0</v>
      </c>
      <c r="ET180">
        <v>0</v>
      </c>
      <c r="EU180">
        <v>1</v>
      </c>
      <c r="EV180">
        <v>36214</v>
      </c>
      <c r="EW180">
        <v>435</v>
      </c>
      <c r="EX180" t="s">
        <v>4613</v>
      </c>
      <c r="EY180">
        <v>196</v>
      </c>
      <c r="EZ180" t="s">
        <v>4055</v>
      </c>
      <c r="FA180">
        <v>5.2</v>
      </c>
      <c r="FB180">
        <v>1</v>
      </c>
      <c r="FC180">
        <v>1</v>
      </c>
      <c r="FD180">
        <v>1911</v>
      </c>
      <c r="FE180">
        <v>2175</v>
      </c>
      <c r="FF180" t="s">
        <v>4288</v>
      </c>
      <c r="FG180">
        <v>206</v>
      </c>
      <c r="FH180" t="s">
        <v>4055</v>
      </c>
      <c r="FI180">
        <v>3.7</v>
      </c>
      <c r="FJ180">
        <v>1911</v>
      </c>
      <c r="FK180">
        <v>1833</v>
      </c>
      <c r="FL180" t="s">
        <v>4069</v>
      </c>
      <c r="FM180" t="s">
        <v>4055</v>
      </c>
      <c r="FN180" t="s">
        <v>4055</v>
      </c>
      <c r="FO180" t="s">
        <v>4055</v>
      </c>
      <c r="FP180">
        <v>1911</v>
      </c>
      <c r="FQ180">
        <v>223</v>
      </c>
      <c r="FR180" t="s">
        <v>4090</v>
      </c>
      <c r="FS180">
        <v>210</v>
      </c>
      <c r="FT180" t="s">
        <v>4055</v>
      </c>
      <c r="FU180">
        <v>0.4</v>
      </c>
      <c r="FV180">
        <v>1911</v>
      </c>
      <c r="FW180">
        <v>179</v>
      </c>
      <c r="FZ180" t="s">
        <v>4055</v>
      </c>
      <c r="GA180" t="s">
        <v>4055</v>
      </c>
      <c r="GD180">
        <v>4410</v>
      </c>
      <c r="GE180" t="s">
        <v>4721</v>
      </c>
      <c r="GF180" t="s">
        <v>4055</v>
      </c>
      <c r="GG180" t="s">
        <v>4055</v>
      </c>
      <c r="GH180" t="s">
        <v>4055</v>
      </c>
      <c r="GI180" t="s">
        <v>4071</v>
      </c>
      <c r="GJ180" t="s">
        <v>4055</v>
      </c>
      <c r="GK180" t="s">
        <v>4055</v>
      </c>
      <c r="GL180" t="s">
        <v>4055</v>
      </c>
      <c r="GM180" t="s">
        <v>4055</v>
      </c>
      <c r="GQ180">
        <v>0</v>
      </c>
      <c r="GV180">
        <v>9.300000000000001</v>
      </c>
      <c r="GW180">
        <v>11.5</v>
      </c>
      <c r="GX180">
        <v>0.5</v>
      </c>
      <c r="GY180">
        <v>180</v>
      </c>
      <c r="GZ180">
        <v>3</v>
      </c>
      <c r="HA180">
        <v>228</v>
      </c>
      <c r="HB180">
        <v>3</v>
      </c>
      <c r="HC180">
        <v>1911</v>
      </c>
      <c r="HD180">
        <v>4</v>
      </c>
      <c r="HE180" t="s">
        <v>4071</v>
      </c>
      <c r="HG180" t="s">
        <v>549</v>
      </c>
      <c r="HL180">
        <v>4</v>
      </c>
      <c r="HM180">
        <v>16</v>
      </c>
      <c r="HN180">
        <v>1</v>
      </c>
      <c r="HO180">
        <v>1</v>
      </c>
      <c r="HP180">
        <v>0</v>
      </c>
      <c r="HQ180">
        <v>0</v>
      </c>
      <c r="HR180">
        <v>3</v>
      </c>
      <c r="HS180">
        <v>1865</v>
      </c>
      <c r="HT180">
        <v>5</v>
      </c>
      <c r="HU180">
        <v>1</v>
      </c>
      <c r="HV180">
        <v>5</v>
      </c>
      <c r="HW180">
        <v>0</v>
      </c>
      <c r="HX180">
        <v>1</v>
      </c>
      <c r="HY180">
        <v>0</v>
      </c>
      <c r="HZ180">
        <v>65</v>
      </c>
      <c r="IA180">
        <v>1868</v>
      </c>
      <c r="IB180">
        <v>1875</v>
      </c>
      <c r="ID180">
        <v>1911</v>
      </c>
      <c r="IE180">
        <v>1911</v>
      </c>
      <c r="IF180">
        <v>185</v>
      </c>
      <c r="IG180">
        <v>175</v>
      </c>
      <c r="IH180">
        <v>228</v>
      </c>
      <c r="II180">
        <v>1</v>
      </c>
      <c r="IJ180">
        <v>5</v>
      </c>
      <c r="IK180">
        <v>0</v>
      </c>
      <c r="IL180">
        <v>0</v>
      </c>
      <c r="IM180">
        <v>0</v>
      </c>
      <c r="IN180">
        <v>270</v>
      </c>
      <c r="IO180">
        <v>0</v>
      </c>
      <c r="IP180">
        <v>180</v>
      </c>
      <c r="IQ180">
        <v>0</v>
      </c>
      <c r="IR180">
        <v>330</v>
      </c>
      <c r="IS180">
        <v>0</v>
      </c>
      <c r="IT180">
        <v>90</v>
      </c>
      <c r="IU180">
        <v>0</v>
      </c>
      <c r="IV180">
        <v>6.4</v>
      </c>
      <c r="IW180">
        <v>-6</v>
      </c>
      <c r="IX180">
        <v>95</v>
      </c>
      <c r="IY180">
        <v>72.5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364</v>
      </c>
      <c r="JJ180">
        <v>334</v>
      </c>
      <c r="JK180">
        <v>256</v>
      </c>
      <c r="JL180">
        <v>334</v>
      </c>
      <c r="JM180">
        <v>245</v>
      </c>
      <c r="JN180">
        <v>185</v>
      </c>
      <c r="JO180">
        <v>238</v>
      </c>
      <c r="JP180">
        <v>215</v>
      </c>
      <c r="JQ180">
        <v>256</v>
      </c>
      <c r="JR180">
        <v>340</v>
      </c>
      <c r="JS180">
        <v>280</v>
      </c>
      <c r="JT180">
        <v>0</v>
      </c>
      <c r="JU180">
        <v>0</v>
      </c>
      <c r="JV180">
        <v>335</v>
      </c>
      <c r="JW180">
        <v>337</v>
      </c>
      <c r="JX180">
        <v>0</v>
      </c>
      <c r="JY180">
        <v>0</v>
      </c>
      <c r="JZ180">
        <v>0</v>
      </c>
      <c r="KA180">
        <v>0.2</v>
      </c>
      <c r="KB180">
        <v>0.4</v>
      </c>
      <c r="KC180">
        <v>0.42</v>
      </c>
      <c r="KD180">
        <v>0.28</v>
      </c>
      <c r="KE180">
        <v>0.5</v>
      </c>
      <c r="KF180">
        <v>0.16</v>
      </c>
      <c r="KG180">
        <v>0.1</v>
      </c>
      <c r="KH180">
        <v>3.5</v>
      </c>
      <c r="KI180">
        <v>1</v>
      </c>
      <c r="KJ180">
        <v>4.5</v>
      </c>
      <c r="KK180">
        <v>0</v>
      </c>
      <c r="KL180">
        <v>4.5</v>
      </c>
      <c r="KM180">
        <v>0</v>
      </c>
      <c r="KN180">
        <v>1</v>
      </c>
      <c r="KO180">
        <v>0</v>
      </c>
      <c r="KP180">
        <v>0</v>
      </c>
      <c r="KQ180">
        <v>0.5</v>
      </c>
      <c r="KR180">
        <v>1.2</v>
      </c>
      <c r="KS180">
        <v>0</v>
      </c>
      <c r="KT180">
        <v>1.8</v>
      </c>
      <c r="KU180">
        <v>0</v>
      </c>
      <c r="KV180">
        <v>0</v>
      </c>
      <c r="KW180">
        <v>1</v>
      </c>
      <c r="KX180">
        <v>2</v>
      </c>
      <c r="KY180">
        <v>1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4</v>
      </c>
      <c r="LL180">
        <v>5</v>
      </c>
      <c r="LM180">
        <v>6</v>
      </c>
      <c r="LN180">
        <v>0.1</v>
      </c>
      <c r="LO180">
        <v>3</v>
      </c>
      <c r="LP180">
        <v>0</v>
      </c>
      <c r="LQ180">
        <v>0</v>
      </c>
      <c r="LR180">
        <v>0</v>
      </c>
      <c r="LS180">
        <v>1</v>
      </c>
      <c r="LT180">
        <v>530</v>
      </c>
      <c r="LU180">
        <v>0</v>
      </c>
      <c r="LV180">
        <v>0</v>
      </c>
      <c r="LW180">
        <v>1.4</v>
      </c>
      <c r="LX180">
        <v>1.4</v>
      </c>
      <c r="LY180">
        <v>1.7</v>
      </c>
      <c r="LZ180">
        <v>1.7</v>
      </c>
      <c r="MA180">
        <v>0</v>
      </c>
      <c r="MB180">
        <v>4.5</v>
      </c>
      <c r="MC180">
        <v>0</v>
      </c>
      <c r="MD180">
        <v>4.5</v>
      </c>
      <c r="ME180">
        <v>6</v>
      </c>
      <c r="MF180">
        <v>6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390</v>
      </c>
      <c r="MN180">
        <v>185</v>
      </c>
      <c r="MO180">
        <v>238</v>
      </c>
      <c r="NU180">
        <v>0.15</v>
      </c>
      <c r="NV180">
        <v>0.2</v>
      </c>
      <c r="NW180">
        <v>0.2</v>
      </c>
      <c r="NX180">
        <v>2</v>
      </c>
      <c r="NY180">
        <v>2</v>
      </c>
      <c r="NZ180">
        <v>2</v>
      </c>
      <c r="OE180" t="s">
        <v>4721</v>
      </c>
      <c r="OF180" t="s">
        <v>4223</v>
      </c>
      <c r="OG180" t="s">
        <v>4224</v>
      </c>
      <c r="OH180" t="s">
        <v>4043</v>
      </c>
      <c r="OI180" t="s">
        <v>4721</v>
      </c>
      <c r="OJ180" t="s">
        <v>4720</v>
      </c>
      <c r="OK180">
        <v>61</v>
      </c>
      <c r="OL180">
        <v>61</v>
      </c>
      <c r="OM180" t="s">
        <v>4223</v>
      </c>
      <c r="ON180">
        <v>3</v>
      </c>
      <c r="OO180">
        <v>1868</v>
      </c>
      <c r="OP180">
        <v>61</v>
      </c>
      <c r="OQ180">
        <v>61</v>
      </c>
      <c r="OR180" t="s">
        <v>4224</v>
      </c>
      <c r="OS180">
        <v>3</v>
      </c>
      <c r="OT180">
        <v>1875</v>
      </c>
      <c r="OU180">
        <v>65</v>
      </c>
      <c r="OV180">
        <v>65</v>
      </c>
      <c r="OW180" t="s">
        <v>4043</v>
      </c>
      <c r="OX180">
        <v>2</v>
      </c>
      <c r="OY180">
        <v>36214</v>
      </c>
      <c r="OZ180">
        <v>51</v>
      </c>
      <c r="PA180">
        <v>52</v>
      </c>
      <c r="PB180" t="s">
        <v>4721</v>
      </c>
      <c r="PC180">
        <v>1</v>
      </c>
      <c r="PD180">
        <v>1911</v>
      </c>
      <c r="PF180">
        <v>338</v>
      </c>
      <c r="PG180">
        <v>29</v>
      </c>
      <c r="PH180">
        <v>320</v>
      </c>
      <c r="PI180">
        <v>29</v>
      </c>
      <c r="PJ180">
        <v>116.8</v>
      </c>
      <c r="PK180">
        <v>2321</v>
      </c>
      <c r="PL180">
        <v>1137.9</v>
      </c>
      <c r="PM180">
        <v>959.1</v>
      </c>
      <c r="PN180">
        <v>93.8</v>
      </c>
      <c r="PP180">
        <v>12</v>
      </c>
      <c r="PQ180">
        <v>2</v>
      </c>
      <c r="PR180">
        <v>1</v>
      </c>
      <c r="PS180">
        <v>7</v>
      </c>
      <c r="PT180">
        <v>228</v>
      </c>
      <c r="PU180">
        <v>11</v>
      </c>
      <c r="PV180" t="s">
        <v>4072</v>
      </c>
      <c r="PW180" t="s">
        <v>4072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-1</v>
      </c>
      <c r="QF180">
        <v>1</v>
      </c>
      <c r="QG180">
        <v>0</v>
      </c>
      <c r="QH180">
        <v>5</v>
      </c>
      <c r="QI180">
        <v>5</v>
      </c>
      <c r="QJ180">
        <v>5</v>
      </c>
      <c r="QK180">
        <v>177</v>
      </c>
      <c r="QL180">
        <v>398</v>
      </c>
      <c r="QM180">
        <v>7.5</v>
      </c>
      <c r="QN180">
        <v>1284.1</v>
      </c>
      <c r="QO180" t="s">
        <v>2341</v>
      </c>
      <c r="QP180" t="s">
        <v>513</v>
      </c>
      <c r="QQ180">
        <v>0</v>
      </c>
      <c r="QR180" t="s">
        <v>649</v>
      </c>
      <c r="QS180">
        <v>30</v>
      </c>
      <c r="QT180">
        <v>40</v>
      </c>
    </row>
    <row r="181" spans="1:462">
      <c r="A181" t="s">
        <v>2555</v>
      </c>
      <c r="B181" t="s">
        <v>897</v>
      </c>
      <c r="C181" t="s">
        <v>509</v>
      </c>
      <c r="D181" t="s">
        <v>2554</v>
      </c>
      <c r="E181" t="s">
        <v>4036</v>
      </c>
      <c r="H181" t="s">
        <v>604</v>
      </c>
      <c r="I181" t="s">
        <v>605</v>
      </c>
      <c r="J181" t="s">
        <v>628</v>
      </c>
      <c r="K181" t="s">
        <v>606</v>
      </c>
      <c r="L181" t="s">
        <v>657</v>
      </c>
      <c r="M181" t="s">
        <v>512</v>
      </c>
      <c r="O181" t="s">
        <v>513</v>
      </c>
      <c r="P181" t="s">
        <v>517</v>
      </c>
      <c r="Q181" t="s">
        <v>1059</v>
      </c>
      <c r="R181" t="s">
        <v>1060</v>
      </c>
      <c r="S181" t="s">
        <v>4091</v>
      </c>
      <c r="T181" t="s">
        <v>633</v>
      </c>
      <c r="U181" t="s">
        <v>634</v>
      </c>
      <c r="V181" t="s">
        <v>2556</v>
      </c>
      <c r="W181" t="s">
        <v>2336</v>
      </c>
      <c r="X181" t="s">
        <v>2557</v>
      </c>
      <c r="Y181" t="s">
        <v>2558</v>
      </c>
      <c r="Z181" t="s">
        <v>541</v>
      </c>
      <c r="AA181" t="s">
        <v>4038</v>
      </c>
      <c r="AB181" t="s">
        <v>4722</v>
      </c>
      <c r="AC181">
        <v>13</v>
      </c>
      <c r="AD181" t="s">
        <v>2553</v>
      </c>
      <c r="AE181">
        <v>8</v>
      </c>
      <c r="AF181">
        <v>6955</v>
      </c>
      <c r="AG181" t="s">
        <v>4284</v>
      </c>
      <c r="AH181">
        <v>1</v>
      </c>
      <c r="AI181" t="s">
        <v>4041</v>
      </c>
      <c r="AK181" t="s">
        <v>4285</v>
      </c>
      <c r="AL181">
        <v>1</v>
      </c>
      <c r="AM181" t="s">
        <v>582</v>
      </c>
      <c r="AO181" t="s">
        <v>4043</v>
      </c>
      <c r="AP181">
        <v>1</v>
      </c>
      <c r="AR181" t="s">
        <v>4723</v>
      </c>
      <c r="AS181">
        <v>1</v>
      </c>
      <c r="AT181">
        <v>52</v>
      </c>
      <c r="AV181" t="s">
        <v>4045</v>
      </c>
      <c r="AW181">
        <v>6.4</v>
      </c>
      <c r="AX181">
        <v>-6</v>
      </c>
      <c r="AY181">
        <v>115</v>
      </c>
      <c r="AZ181">
        <v>97</v>
      </c>
      <c r="BH181">
        <v>115</v>
      </c>
      <c r="BI181">
        <v>18</v>
      </c>
      <c r="BJ181">
        <v>97</v>
      </c>
      <c r="BK181">
        <v>2.5</v>
      </c>
      <c r="BL181">
        <v>230</v>
      </c>
      <c r="BM181">
        <v>-6</v>
      </c>
      <c r="BN181">
        <v>0</v>
      </c>
      <c r="BP181">
        <v>0</v>
      </c>
      <c r="BR181">
        <v>225</v>
      </c>
      <c r="BS181">
        <v>215</v>
      </c>
      <c r="BT181">
        <v>2270</v>
      </c>
      <c r="BU181" t="s">
        <v>4079</v>
      </c>
      <c r="BV181" t="s">
        <v>4079</v>
      </c>
      <c r="BW181" t="s">
        <v>4048</v>
      </c>
      <c r="BX181" t="s">
        <v>4081</v>
      </c>
      <c r="BY181" t="s">
        <v>4235</v>
      </c>
      <c r="BZ181" t="s">
        <v>4235</v>
      </c>
      <c r="CA181" t="s">
        <v>4108</v>
      </c>
      <c r="CB181" t="s">
        <v>4109</v>
      </c>
      <c r="CC181" t="s">
        <v>4053</v>
      </c>
      <c r="CD181" t="s">
        <v>4110</v>
      </c>
      <c r="CE181" t="s">
        <v>4055</v>
      </c>
      <c r="CF181" t="s">
        <v>4055</v>
      </c>
      <c r="CG181" t="s">
        <v>4056</v>
      </c>
      <c r="CI181" t="s">
        <v>4058</v>
      </c>
      <c r="CJ181" t="s">
        <v>4059</v>
      </c>
      <c r="CK181" t="s">
        <v>4060</v>
      </c>
      <c r="CL181" t="s">
        <v>4061</v>
      </c>
      <c r="CM181" t="s">
        <v>4062</v>
      </c>
      <c r="CN181" t="s">
        <v>4055</v>
      </c>
      <c r="CO181" t="s">
        <v>4063</v>
      </c>
      <c r="CP181" t="s">
        <v>4055</v>
      </c>
      <c r="CQ181" t="s">
        <v>4055</v>
      </c>
      <c r="CR181">
        <v>5</v>
      </c>
      <c r="CS181" t="s">
        <v>4055</v>
      </c>
      <c r="CT181" t="s">
        <v>4055</v>
      </c>
      <c r="CU181" t="s">
        <v>4055</v>
      </c>
      <c r="CV181">
        <v>152</v>
      </c>
      <c r="CW181">
        <v>3</v>
      </c>
      <c r="CX181">
        <v>95</v>
      </c>
      <c r="CY181">
        <v>5</v>
      </c>
      <c r="CZ181">
        <v>180</v>
      </c>
      <c r="DA181">
        <v>5</v>
      </c>
      <c r="DB181">
        <v>16250</v>
      </c>
      <c r="DC181">
        <v>480</v>
      </c>
      <c r="DD181">
        <v>400</v>
      </c>
      <c r="DE181">
        <v>2392</v>
      </c>
      <c r="DF181">
        <v>2392</v>
      </c>
      <c r="DG181">
        <v>2417</v>
      </c>
      <c r="DH181" t="s">
        <v>4055</v>
      </c>
      <c r="DI181" t="s">
        <v>4055</v>
      </c>
      <c r="DJ181" t="s">
        <v>4217</v>
      </c>
      <c r="DK181">
        <v>225</v>
      </c>
      <c r="DL181" t="s">
        <v>4065</v>
      </c>
      <c r="DM181">
        <v>63</v>
      </c>
      <c r="DN181">
        <v>1.26</v>
      </c>
      <c r="DO181">
        <v>1</v>
      </c>
      <c r="DP181">
        <v>2274</v>
      </c>
      <c r="DQ181">
        <v>1235</v>
      </c>
      <c r="DR181" t="s">
        <v>4217</v>
      </c>
      <c r="DS181">
        <v>215</v>
      </c>
      <c r="DT181" t="s">
        <v>4065</v>
      </c>
      <c r="DU181">
        <v>63</v>
      </c>
      <c r="DV181">
        <v>1.26</v>
      </c>
      <c r="DW181">
        <v>1</v>
      </c>
      <c r="DX181">
        <v>2287</v>
      </c>
      <c r="DY181">
        <v>1187</v>
      </c>
      <c r="DZ181" t="s">
        <v>4066</v>
      </c>
      <c r="EA181">
        <v>20</v>
      </c>
      <c r="EB181" t="s">
        <v>4065</v>
      </c>
      <c r="EC181">
        <v>0.8</v>
      </c>
      <c r="ED181">
        <v>2274</v>
      </c>
      <c r="EE181">
        <v>80</v>
      </c>
      <c r="EG181">
        <v>0</v>
      </c>
      <c r="EH181" t="s">
        <v>4065</v>
      </c>
      <c r="EI181">
        <v>0</v>
      </c>
      <c r="EL181" t="s">
        <v>1528</v>
      </c>
      <c r="EM181">
        <v>12</v>
      </c>
      <c r="EN181">
        <v>0.5</v>
      </c>
      <c r="EO181">
        <v>0.96</v>
      </c>
      <c r="EP181">
        <v>2285.84</v>
      </c>
      <c r="EQ181">
        <v>43216.66</v>
      </c>
      <c r="ER181">
        <v>6445.89</v>
      </c>
      <c r="ES181">
        <v>0</v>
      </c>
      <c r="ET181">
        <v>0</v>
      </c>
      <c r="EU181">
        <v>1</v>
      </c>
      <c r="EV181">
        <v>49663</v>
      </c>
      <c r="EW181">
        <v>596</v>
      </c>
      <c r="EX181" t="s">
        <v>4613</v>
      </c>
      <c r="EY181">
        <v>238</v>
      </c>
      <c r="EZ181" t="s">
        <v>4055</v>
      </c>
      <c r="FA181">
        <v>4.1</v>
      </c>
      <c r="FB181">
        <v>1</v>
      </c>
      <c r="FC181">
        <v>1</v>
      </c>
      <c r="FD181">
        <v>2319</v>
      </c>
      <c r="FE181">
        <v>2472</v>
      </c>
      <c r="FF181" t="s">
        <v>4288</v>
      </c>
      <c r="FG181">
        <v>252</v>
      </c>
      <c r="FH181" t="s">
        <v>4055</v>
      </c>
      <c r="FI181">
        <v>4</v>
      </c>
      <c r="FJ181">
        <v>2319</v>
      </c>
      <c r="FK181">
        <v>2946</v>
      </c>
      <c r="FL181" t="s">
        <v>4069</v>
      </c>
      <c r="FM181" t="s">
        <v>4055</v>
      </c>
      <c r="FN181" t="s">
        <v>4055</v>
      </c>
      <c r="FO181" t="s">
        <v>4055</v>
      </c>
      <c r="FP181">
        <v>2319</v>
      </c>
      <c r="FQ181">
        <v>506</v>
      </c>
      <c r="FR181" t="s">
        <v>4090</v>
      </c>
      <c r="FS181">
        <v>256</v>
      </c>
      <c r="FT181" t="s">
        <v>4055</v>
      </c>
      <c r="FU181">
        <v>0.4</v>
      </c>
      <c r="FV181">
        <v>2319</v>
      </c>
      <c r="FW181">
        <v>265</v>
      </c>
      <c r="FZ181" t="s">
        <v>4055</v>
      </c>
      <c r="GA181" t="s">
        <v>4055</v>
      </c>
      <c r="GD181">
        <v>6189</v>
      </c>
      <c r="GE181" t="s">
        <v>4723</v>
      </c>
      <c r="GF181" t="s">
        <v>4055</v>
      </c>
      <c r="GG181" t="s">
        <v>4055</v>
      </c>
      <c r="GH181" t="s">
        <v>4055</v>
      </c>
      <c r="GI181" t="s">
        <v>4071</v>
      </c>
      <c r="GJ181" t="s">
        <v>4055</v>
      </c>
      <c r="GK181" t="s">
        <v>4055</v>
      </c>
      <c r="GL181" t="s">
        <v>4055</v>
      </c>
      <c r="GM181" t="s">
        <v>4055</v>
      </c>
      <c r="GQ181">
        <v>0</v>
      </c>
      <c r="GV181">
        <v>8.5</v>
      </c>
      <c r="GW181">
        <v>11</v>
      </c>
      <c r="GX181">
        <v>0.5</v>
      </c>
      <c r="GY181">
        <v>212</v>
      </c>
      <c r="GZ181">
        <v>3</v>
      </c>
      <c r="HA181">
        <v>286</v>
      </c>
      <c r="HB181">
        <v>3</v>
      </c>
      <c r="HC181">
        <v>2319</v>
      </c>
      <c r="HD181">
        <v>4</v>
      </c>
      <c r="HE181" t="s">
        <v>4071</v>
      </c>
      <c r="HG181" t="s">
        <v>549</v>
      </c>
      <c r="HL181">
        <v>4</v>
      </c>
      <c r="HM181">
        <v>17</v>
      </c>
      <c r="HN181">
        <v>6</v>
      </c>
      <c r="HO181">
        <v>1</v>
      </c>
      <c r="HP181">
        <v>0</v>
      </c>
      <c r="HQ181">
        <v>0</v>
      </c>
      <c r="HR181">
        <v>3</v>
      </c>
      <c r="HS181">
        <v>2270</v>
      </c>
      <c r="HT181">
        <v>5</v>
      </c>
      <c r="HU181">
        <v>1</v>
      </c>
      <c r="HV181">
        <v>5</v>
      </c>
      <c r="HW181">
        <v>0</v>
      </c>
      <c r="HX181">
        <v>1</v>
      </c>
      <c r="HY181">
        <v>0</v>
      </c>
      <c r="HZ181">
        <v>63</v>
      </c>
      <c r="IA181">
        <v>2274</v>
      </c>
      <c r="IB181">
        <v>2287</v>
      </c>
      <c r="ID181">
        <v>2319</v>
      </c>
      <c r="IE181">
        <v>2319</v>
      </c>
      <c r="IF181">
        <v>225</v>
      </c>
      <c r="IG181">
        <v>215</v>
      </c>
      <c r="IH181">
        <v>286</v>
      </c>
      <c r="II181">
        <v>1</v>
      </c>
      <c r="IJ181">
        <v>5</v>
      </c>
      <c r="IK181">
        <v>0</v>
      </c>
      <c r="IL181">
        <v>0</v>
      </c>
      <c r="IM181">
        <v>0</v>
      </c>
      <c r="IN181">
        <v>270</v>
      </c>
      <c r="IO181">
        <v>0</v>
      </c>
      <c r="IP181">
        <v>180</v>
      </c>
      <c r="IQ181">
        <v>0</v>
      </c>
      <c r="IR181">
        <v>330</v>
      </c>
      <c r="IS181">
        <v>0</v>
      </c>
      <c r="IT181">
        <v>90</v>
      </c>
      <c r="IU181">
        <v>0</v>
      </c>
      <c r="IV181">
        <v>6.4</v>
      </c>
      <c r="IW181">
        <v>-6</v>
      </c>
      <c r="IX181">
        <v>115</v>
      </c>
      <c r="IY181">
        <v>97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500</v>
      </c>
      <c r="JJ181">
        <v>476</v>
      </c>
      <c r="JK181">
        <v>340</v>
      </c>
      <c r="JL181">
        <v>472</v>
      </c>
      <c r="JM181">
        <v>340</v>
      </c>
      <c r="JN181">
        <v>230</v>
      </c>
      <c r="JO181">
        <v>280</v>
      </c>
      <c r="JP181">
        <v>180</v>
      </c>
      <c r="JQ181">
        <v>240</v>
      </c>
      <c r="JR181">
        <v>360</v>
      </c>
      <c r="JS181">
        <v>235</v>
      </c>
      <c r="JT181">
        <v>0</v>
      </c>
      <c r="JU181">
        <v>0</v>
      </c>
      <c r="JV181">
        <v>305</v>
      </c>
      <c r="JW181">
        <v>307</v>
      </c>
      <c r="JX181">
        <v>319</v>
      </c>
      <c r="JY181">
        <v>304</v>
      </c>
      <c r="JZ181">
        <v>0.5</v>
      </c>
      <c r="KA181">
        <v>0.2</v>
      </c>
      <c r="KB181">
        <v>0.45</v>
      </c>
      <c r="KC181">
        <v>0.47</v>
      </c>
      <c r="KD181">
        <v>0.28</v>
      </c>
      <c r="KE181">
        <v>0.7</v>
      </c>
      <c r="KF181">
        <v>0.2</v>
      </c>
      <c r="KG181">
        <v>0.13</v>
      </c>
      <c r="KH181">
        <v>3.5</v>
      </c>
      <c r="KI181">
        <v>1</v>
      </c>
      <c r="KJ181">
        <v>6</v>
      </c>
      <c r="KK181">
        <v>0</v>
      </c>
      <c r="KL181">
        <v>7.5</v>
      </c>
      <c r="KM181">
        <v>0</v>
      </c>
      <c r="KN181">
        <v>1.6</v>
      </c>
      <c r="KO181">
        <v>0</v>
      </c>
      <c r="KP181">
        <v>0</v>
      </c>
      <c r="KQ181">
        <v>1</v>
      </c>
      <c r="KR181">
        <v>0.5</v>
      </c>
      <c r="KS181">
        <v>0</v>
      </c>
      <c r="KT181">
        <v>2.4</v>
      </c>
      <c r="KU181">
        <v>0</v>
      </c>
      <c r="KV181">
        <v>0</v>
      </c>
      <c r="KW181">
        <v>1</v>
      </c>
      <c r="KX181">
        <v>2</v>
      </c>
      <c r="KY181">
        <v>1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8</v>
      </c>
      <c r="LL181">
        <v>13</v>
      </c>
      <c r="LM181">
        <v>9</v>
      </c>
      <c r="LN181">
        <v>0.1</v>
      </c>
      <c r="LO181">
        <v>5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1.8</v>
      </c>
      <c r="LX181">
        <v>1.8</v>
      </c>
      <c r="LY181">
        <v>1.7</v>
      </c>
      <c r="LZ181">
        <v>1.7</v>
      </c>
      <c r="MA181">
        <v>0</v>
      </c>
      <c r="MB181">
        <v>11</v>
      </c>
      <c r="MC181">
        <v>0</v>
      </c>
      <c r="MD181">
        <v>4.5</v>
      </c>
      <c r="ME181">
        <v>6</v>
      </c>
      <c r="MF181">
        <v>6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484</v>
      </c>
      <c r="MN181">
        <v>230</v>
      </c>
      <c r="MO181">
        <v>280</v>
      </c>
      <c r="NU181">
        <v>0.15</v>
      </c>
      <c r="NV181">
        <v>0.26</v>
      </c>
      <c r="NW181">
        <v>0.3</v>
      </c>
      <c r="NX181">
        <v>2</v>
      </c>
      <c r="NY181">
        <v>3.8</v>
      </c>
      <c r="NZ181">
        <v>5.5</v>
      </c>
      <c r="OE181" t="s">
        <v>4723</v>
      </c>
      <c r="OF181" t="s">
        <v>4284</v>
      </c>
      <c r="OG181" t="s">
        <v>4285</v>
      </c>
      <c r="OH181" t="s">
        <v>4043</v>
      </c>
      <c r="OI181" t="s">
        <v>4723</v>
      </c>
      <c r="OJ181" t="s">
        <v>4722</v>
      </c>
      <c r="OK181">
        <v>61</v>
      </c>
      <c r="OL181">
        <v>61</v>
      </c>
      <c r="OM181" t="s">
        <v>4284</v>
      </c>
      <c r="ON181">
        <v>1</v>
      </c>
      <c r="OO181">
        <v>2274</v>
      </c>
      <c r="OP181">
        <v>61</v>
      </c>
      <c r="OQ181">
        <v>61</v>
      </c>
      <c r="OR181" t="s">
        <v>4285</v>
      </c>
      <c r="OS181">
        <v>1</v>
      </c>
      <c r="OT181">
        <v>2287</v>
      </c>
      <c r="OU181">
        <v>65</v>
      </c>
      <c r="OV181">
        <v>65</v>
      </c>
      <c r="OW181" t="s">
        <v>4043</v>
      </c>
      <c r="OX181">
        <v>2</v>
      </c>
      <c r="OY181">
        <v>49663</v>
      </c>
      <c r="OZ181">
        <v>51</v>
      </c>
      <c r="PA181">
        <v>52</v>
      </c>
      <c r="PB181" t="s">
        <v>4723</v>
      </c>
      <c r="PC181">
        <v>1</v>
      </c>
      <c r="PD181">
        <v>2319</v>
      </c>
      <c r="PF181">
        <v>543</v>
      </c>
      <c r="PG181">
        <v>35</v>
      </c>
      <c r="PH181">
        <v>519</v>
      </c>
      <c r="PI181">
        <v>0</v>
      </c>
      <c r="PJ181">
        <v>218.1</v>
      </c>
      <c r="PK181">
        <v>2711</v>
      </c>
      <c r="PL181">
        <v>1065.9</v>
      </c>
      <c r="PM181">
        <v>1270.3</v>
      </c>
      <c r="PN181">
        <v>114.4</v>
      </c>
      <c r="PP181">
        <v>12</v>
      </c>
      <c r="PQ181">
        <v>4</v>
      </c>
      <c r="PR181">
        <v>4</v>
      </c>
      <c r="PS181">
        <v>0</v>
      </c>
      <c r="PT181">
        <v>286</v>
      </c>
      <c r="PU181">
        <v>17</v>
      </c>
      <c r="PV181" t="s">
        <v>4072</v>
      </c>
      <c r="PW181" t="s">
        <v>4072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-1</v>
      </c>
      <c r="QF181">
        <v>1</v>
      </c>
      <c r="QG181">
        <v>0</v>
      </c>
      <c r="QH181">
        <v>5</v>
      </c>
      <c r="QI181">
        <v>5</v>
      </c>
      <c r="QJ181">
        <v>5</v>
      </c>
      <c r="QK181">
        <v>245</v>
      </c>
      <c r="QL181">
        <v>534</v>
      </c>
      <c r="QM181">
        <v>7.5</v>
      </c>
      <c r="QN181">
        <v>1386.2</v>
      </c>
      <c r="QO181" t="s">
        <v>2341</v>
      </c>
      <c r="QP181" t="s">
        <v>513</v>
      </c>
      <c r="QQ181">
        <v>0</v>
      </c>
      <c r="QR181" t="s">
        <v>621</v>
      </c>
      <c r="QS181">
        <v>30</v>
      </c>
      <c r="QT181">
        <v>40</v>
      </c>
    </row>
    <row r="182" spans="1:462">
      <c r="A182" t="s">
        <v>2566</v>
      </c>
      <c r="B182" t="s">
        <v>564</v>
      </c>
      <c r="C182" t="s">
        <v>509</v>
      </c>
      <c r="D182" t="s">
        <v>2565</v>
      </c>
      <c r="E182" t="s">
        <v>4036</v>
      </c>
      <c r="H182" t="s">
        <v>604</v>
      </c>
      <c r="I182" t="s">
        <v>605</v>
      </c>
      <c r="K182" t="s">
        <v>606</v>
      </c>
      <c r="L182" t="s">
        <v>629</v>
      </c>
      <c r="M182" t="s">
        <v>512</v>
      </c>
      <c r="O182" t="s">
        <v>513</v>
      </c>
      <c r="P182" t="s">
        <v>517</v>
      </c>
      <c r="Q182" t="s">
        <v>1670</v>
      </c>
      <c r="R182" t="s">
        <v>1671</v>
      </c>
      <c r="S182" t="s">
        <v>4391</v>
      </c>
      <c r="T182" t="s">
        <v>1482</v>
      </c>
      <c r="U182" t="s">
        <v>1483</v>
      </c>
      <c r="V182" t="s">
        <v>2567</v>
      </c>
      <c r="W182" t="s">
        <v>2336</v>
      </c>
      <c r="X182" t="s">
        <v>2568</v>
      </c>
      <c r="Y182" t="s">
        <v>2569</v>
      </c>
      <c r="Z182" t="s">
        <v>541</v>
      </c>
      <c r="AA182" t="s">
        <v>4038</v>
      </c>
      <c r="AB182" t="s">
        <v>4724</v>
      </c>
      <c r="AC182">
        <v>13</v>
      </c>
      <c r="AD182" t="s">
        <v>2564</v>
      </c>
      <c r="AE182">
        <v>5</v>
      </c>
      <c r="AF182">
        <v>4516</v>
      </c>
      <c r="AG182" t="s">
        <v>4725</v>
      </c>
      <c r="AH182">
        <v>1</v>
      </c>
      <c r="AI182" t="s">
        <v>4041</v>
      </c>
      <c r="AK182" t="s">
        <v>4726</v>
      </c>
      <c r="AL182">
        <v>1</v>
      </c>
      <c r="AM182" t="s">
        <v>582</v>
      </c>
      <c r="AO182" t="s">
        <v>4043</v>
      </c>
      <c r="AP182">
        <v>1</v>
      </c>
      <c r="AR182" t="s">
        <v>4727</v>
      </c>
      <c r="AS182">
        <v>1</v>
      </c>
      <c r="AT182">
        <v>51</v>
      </c>
      <c r="AV182" t="s">
        <v>4078</v>
      </c>
      <c r="AW182">
        <v>6.4</v>
      </c>
      <c r="AX182">
        <v>-6</v>
      </c>
      <c r="AY182">
        <v>87.5</v>
      </c>
      <c r="AZ182">
        <v>69</v>
      </c>
      <c r="BH182">
        <v>87.5</v>
      </c>
      <c r="BI182">
        <v>18.5</v>
      </c>
      <c r="BJ182">
        <v>69</v>
      </c>
      <c r="BK182">
        <v>2.5</v>
      </c>
      <c r="BL182">
        <v>175</v>
      </c>
      <c r="BM182">
        <v>-6</v>
      </c>
      <c r="BN182">
        <v>0</v>
      </c>
      <c r="BP182">
        <v>0</v>
      </c>
      <c r="BR182">
        <v>170</v>
      </c>
      <c r="BS182">
        <v>160</v>
      </c>
      <c r="BT182">
        <v>1955</v>
      </c>
      <c r="BU182" t="s">
        <v>4047</v>
      </c>
      <c r="BV182" t="s">
        <v>4096</v>
      </c>
      <c r="BW182" t="s">
        <v>4097</v>
      </c>
      <c r="BX182" t="s">
        <v>4097</v>
      </c>
      <c r="BY182" t="s">
        <v>4428</v>
      </c>
      <c r="BZ182" t="s">
        <v>4428</v>
      </c>
      <c r="CA182" t="s">
        <v>4370</v>
      </c>
      <c r="CB182" t="s">
        <v>4371</v>
      </c>
      <c r="CC182" t="s">
        <v>4053</v>
      </c>
      <c r="CD182" t="s">
        <v>4372</v>
      </c>
      <c r="CE182" t="s">
        <v>4055</v>
      </c>
      <c r="CF182" t="s">
        <v>4055</v>
      </c>
      <c r="CG182" t="s">
        <v>4056</v>
      </c>
      <c r="CH182" t="s">
        <v>4099</v>
      </c>
      <c r="CI182" t="s">
        <v>4058</v>
      </c>
      <c r="CJ182" t="s">
        <v>4059</v>
      </c>
      <c r="CK182" t="s">
        <v>4060</v>
      </c>
      <c r="CL182" t="s">
        <v>4061</v>
      </c>
      <c r="CM182" t="s">
        <v>4062</v>
      </c>
      <c r="CN182" t="s">
        <v>4055</v>
      </c>
      <c r="CO182" t="s">
        <v>4063</v>
      </c>
      <c r="CP182" t="s">
        <v>4055</v>
      </c>
      <c r="CQ182" t="s">
        <v>4055</v>
      </c>
      <c r="CR182">
        <v>5</v>
      </c>
      <c r="CS182" t="s">
        <v>4055</v>
      </c>
      <c r="CT182" t="s">
        <v>4055</v>
      </c>
      <c r="CU182" t="s">
        <v>4055</v>
      </c>
      <c r="CV182">
        <v>120</v>
      </c>
      <c r="CW182">
        <v>3</v>
      </c>
      <c r="CX182">
        <v>68</v>
      </c>
      <c r="CY182">
        <v>5</v>
      </c>
      <c r="CZ182">
        <v>150</v>
      </c>
      <c r="DA182">
        <v>5</v>
      </c>
      <c r="DB182">
        <v>10460</v>
      </c>
      <c r="DC182">
        <v>310</v>
      </c>
      <c r="DD182">
        <v>331</v>
      </c>
      <c r="DE182">
        <v>2063</v>
      </c>
      <c r="DF182">
        <v>2063</v>
      </c>
      <c r="DG182">
        <v>2085</v>
      </c>
      <c r="DH182" t="s">
        <v>4055</v>
      </c>
      <c r="DI182" t="s">
        <v>4055</v>
      </c>
      <c r="DJ182" t="s">
        <v>4132</v>
      </c>
      <c r="DK182">
        <v>170</v>
      </c>
      <c r="DL182" t="s">
        <v>4065</v>
      </c>
      <c r="DM182">
        <v>63</v>
      </c>
      <c r="DN182">
        <v>1.1</v>
      </c>
      <c r="DO182">
        <v>1</v>
      </c>
      <c r="DP182">
        <v>1958</v>
      </c>
      <c r="DQ182">
        <v>721</v>
      </c>
      <c r="DR182" t="s">
        <v>4132</v>
      </c>
      <c r="DS182">
        <v>160</v>
      </c>
      <c r="DT182" t="s">
        <v>4065</v>
      </c>
      <c r="DU182">
        <v>63</v>
      </c>
      <c r="DV182">
        <v>1.1</v>
      </c>
      <c r="DW182">
        <v>1</v>
      </c>
      <c r="DX182">
        <v>1970</v>
      </c>
      <c r="DY182">
        <v>682</v>
      </c>
      <c r="DZ182" t="s">
        <v>4066</v>
      </c>
      <c r="EA182">
        <v>20</v>
      </c>
      <c r="EB182" t="s">
        <v>4065</v>
      </c>
      <c r="EC182">
        <v>0.8</v>
      </c>
      <c r="ED182">
        <v>1958</v>
      </c>
      <c r="EE182">
        <v>69</v>
      </c>
      <c r="EG182">
        <v>0</v>
      </c>
      <c r="EH182" t="s">
        <v>4065</v>
      </c>
      <c r="EI182">
        <v>0</v>
      </c>
      <c r="EL182" t="s">
        <v>1528</v>
      </c>
      <c r="EM182">
        <v>12</v>
      </c>
      <c r="EN182">
        <v>0.5</v>
      </c>
      <c r="EO182">
        <v>0.96</v>
      </c>
      <c r="EP182">
        <v>1968.83</v>
      </c>
      <c r="EQ182">
        <v>28763.38</v>
      </c>
      <c r="ER182">
        <v>5708.59</v>
      </c>
      <c r="ES182">
        <v>0</v>
      </c>
      <c r="ET182">
        <v>0</v>
      </c>
      <c r="EU182">
        <v>1</v>
      </c>
      <c r="EV182">
        <v>34472</v>
      </c>
      <c r="EW182">
        <v>414</v>
      </c>
      <c r="EX182" t="s">
        <v>4613</v>
      </c>
      <c r="EY182">
        <v>186</v>
      </c>
      <c r="EZ182" t="s">
        <v>4055</v>
      </c>
      <c r="FA182">
        <v>4</v>
      </c>
      <c r="FB182">
        <v>1</v>
      </c>
      <c r="FC182">
        <v>1</v>
      </c>
      <c r="FD182">
        <v>2002</v>
      </c>
      <c r="FE182">
        <v>1606</v>
      </c>
      <c r="FF182" t="s">
        <v>4288</v>
      </c>
      <c r="FG182">
        <v>196</v>
      </c>
      <c r="FH182" t="s">
        <v>4055</v>
      </c>
      <c r="FI182">
        <v>4</v>
      </c>
      <c r="FJ182">
        <v>2002</v>
      </c>
      <c r="FK182">
        <v>2028</v>
      </c>
      <c r="FL182" t="s">
        <v>4069</v>
      </c>
      <c r="FM182" t="s">
        <v>4055</v>
      </c>
      <c r="FN182" t="s">
        <v>4055</v>
      </c>
      <c r="FO182" t="s">
        <v>4055</v>
      </c>
      <c r="FP182">
        <v>2002</v>
      </c>
      <c r="FQ182">
        <v>244</v>
      </c>
      <c r="FR182" t="s">
        <v>4090</v>
      </c>
      <c r="FS182">
        <v>200</v>
      </c>
      <c r="FT182" t="s">
        <v>4055</v>
      </c>
      <c r="FU182">
        <v>0.4</v>
      </c>
      <c r="FV182">
        <v>2002</v>
      </c>
      <c r="FW182">
        <v>179</v>
      </c>
      <c r="FZ182" t="s">
        <v>4055</v>
      </c>
      <c r="GA182" t="s">
        <v>4055</v>
      </c>
      <c r="GD182">
        <v>4057</v>
      </c>
      <c r="GE182" t="s">
        <v>4727</v>
      </c>
      <c r="GF182" t="s">
        <v>4055</v>
      </c>
      <c r="GG182" t="s">
        <v>4055</v>
      </c>
      <c r="GH182" t="s">
        <v>4055</v>
      </c>
      <c r="GI182" t="s">
        <v>4071</v>
      </c>
      <c r="GJ182" t="s">
        <v>4055</v>
      </c>
      <c r="GK182" t="s">
        <v>4055</v>
      </c>
      <c r="GL182" t="s">
        <v>4055</v>
      </c>
      <c r="GM182" t="s">
        <v>4055</v>
      </c>
      <c r="GQ182">
        <v>0</v>
      </c>
      <c r="GV182">
        <v>8.4</v>
      </c>
      <c r="GW182">
        <v>10.9</v>
      </c>
      <c r="GX182">
        <v>0.5</v>
      </c>
      <c r="GY182">
        <v>170</v>
      </c>
      <c r="GZ182">
        <v>3</v>
      </c>
      <c r="HA182">
        <v>218</v>
      </c>
      <c r="HB182">
        <v>3</v>
      </c>
      <c r="HC182">
        <v>2002</v>
      </c>
      <c r="HD182">
        <v>4</v>
      </c>
      <c r="HE182" t="s">
        <v>4071</v>
      </c>
      <c r="HG182" t="s">
        <v>549</v>
      </c>
      <c r="HL182">
        <v>4</v>
      </c>
      <c r="HM182">
        <v>15</v>
      </c>
      <c r="HN182">
        <v>6</v>
      </c>
      <c r="HO182">
        <v>1</v>
      </c>
      <c r="HP182">
        <v>0</v>
      </c>
      <c r="HQ182">
        <v>0</v>
      </c>
      <c r="HR182">
        <v>2</v>
      </c>
      <c r="HS182">
        <v>1955</v>
      </c>
      <c r="HT182">
        <v>5</v>
      </c>
      <c r="HU182">
        <v>1</v>
      </c>
      <c r="HV182">
        <v>5</v>
      </c>
      <c r="HW182">
        <v>0</v>
      </c>
      <c r="HX182">
        <v>1</v>
      </c>
      <c r="HY182">
        <v>0</v>
      </c>
      <c r="HZ182">
        <v>63</v>
      </c>
      <c r="IA182">
        <v>1958</v>
      </c>
      <c r="IB182">
        <v>1970</v>
      </c>
      <c r="ID182">
        <v>2002</v>
      </c>
      <c r="IE182">
        <v>2002</v>
      </c>
      <c r="IF182">
        <v>170</v>
      </c>
      <c r="IG182">
        <v>160</v>
      </c>
      <c r="IH182">
        <v>218</v>
      </c>
      <c r="II182">
        <v>1</v>
      </c>
      <c r="IJ182">
        <v>5</v>
      </c>
      <c r="IK182">
        <v>0</v>
      </c>
      <c r="IL182">
        <v>0</v>
      </c>
      <c r="IM182">
        <v>0</v>
      </c>
      <c r="IN182">
        <v>270</v>
      </c>
      <c r="IO182">
        <v>0</v>
      </c>
      <c r="IP182">
        <v>180</v>
      </c>
      <c r="IQ182">
        <v>0</v>
      </c>
      <c r="IR182">
        <v>325</v>
      </c>
      <c r="IS182">
        <v>0</v>
      </c>
      <c r="IT182">
        <v>90</v>
      </c>
      <c r="IU182">
        <v>0</v>
      </c>
      <c r="IV182">
        <v>6.4</v>
      </c>
      <c r="IW182">
        <v>-6</v>
      </c>
      <c r="IX182">
        <v>87.5</v>
      </c>
      <c r="IY182">
        <v>69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402</v>
      </c>
      <c r="JJ182">
        <v>372</v>
      </c>
      <c r="JK182">
        <v>275</v>
      </c>
      <c r="JL182">
        <v>370</v>
      </c>
      <c r="JM182">
        <v>290</v>
      </c>
      <c r="JN182">
        <v>155</v>
      </c>
      <c r="JO182">
        <v>208</v>
      </c>
      <c r="JP182">
        <v>210</v>
      </c>
      <c r="JQ182">
        <v>265</v>
      </c>
      <c r="JR182">
        <v>375</v>
      </c>
      <c r="JS182">
        <v>250</v>
      </c>
      <c r="JT182">
        <v>0</v>
      </c>
      <c r="JU182">
        <v>0</v>
      </c>
      <c r="JV182">
        <v>335</v>
      </c>
      <c r="JW182">
        <v>337</v>
      </c>
      <c r="JX182">
        <v>352</v>
      </c>
      <c r="JY182">
        <v>320</v>
      </c>
      <c r="JZ182">
        <v>0.5</v>
      </c>
      <c r="KA182">
        <v>0.2</v>
      </c>
      <c r="KB182">
        <v>0.42</v>
      </c>
      <c r="KC182">
        <v>0.43</v>
      </c>
      <c r="KD182">
        <v>0.2</v>
      </c>
      <c r="KE182">
        <v>0.5</v>
      </c>
      <c r="KF182">
        <v>0.19</v>
      </c>
      <c r="KG182">
        <v>0.1</v>
      </c>
      <c r="KH182">
        <v>3.5</v>
      </c>
      <c r="KI182">
        <v>1</v>
      </c>
      <c r="KJ182">
        <v>9</v>
      </c>
      <c r="KK182">
        <v>1</v>
      </c>
      <c r="KL182">
        <v>9</v>
      </c>
      <c r="KM182">
        <v>1</v>
      </c>
      <c r="KN182">
        <v>1.5</v>
      </c>
      <c r="KO182">
        <v>0</v>
      </c>
      <c r="KP182">
        <v>0</v>
      </c>
      <c r="KQ182">
        <v>0.8</v>
      </c>
      <c r="KR182">
        <v>0.8</v>
      </c>
      <c r="KS182">
        <v>0</v>
      </c>
      <c r="KT182">
        <v>3.2</v>
      </c>
      <c r="KU182">
        <v>0</v>
      </c>
      <c r="KV182">
        <v>0</v>
      </c>
      <c r="KW182">
        <v>0.8</v>
      </c>
      <c r="KX182">
        <v>1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3</v>
      </c>
      <c r="LI182">
        <v>1</v>
      </c>
      <c r="LJ182">
        <v>0</v>
      </c>
      <c r="LK182">
        <v>7</v>
      </c>
      <c r="LL182">
        <v>2.5</v>
      </c>
      <c r="LM182">
        <v>6</v>
      </c>
      <c r="LN182">
        <v>0.3</v>
      </c>
      <c r="LO182">
        <v>0.5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1.8</v>
      </c>
      <c r="LX182">
        <v>1.8</v>
      </c>
      <c r="LY182">
        <v>2.1</v>
      </c>
      <c r="LZ182">
        <v>2.1</v>
      </c>
      <c r="MA182">
        <v>0</v>
      </c>
      <c r="MB182">
        <v>3</v>
      </c>
      <c r="MC182">
        <v>0</v>
      </c>
      <c r="MD182">
        <v>4.5</v>
      </c>
      <c r="ME182">
        <v>6</v>
      </c>
      <c r="MF182">
        <v>6</v>
      </c>
      <c r="MI182">
        <v>0</v>
      </c>
      <c r="MJ182">
        <v>0</v>
      </c>
      <c r="ML182">
        <v>0</v>
      </c>
      <c r="MM182">
        <v>390</v>
      </c>
      <c r="MN182">
        <v>195</v>
      </c>
      <c r="MO182">
        <v>230</v>
      </c>
      <c r="NU182">
        <v>0.2</v>
      </c>
      <c r="NV182">
        <v>0.4</v>
      </c>
      <c r="NW182">
        <v>0.42</v>
      </c>
      <c r="NX182">
        <v>0.2</v>
      </c>
      <c r="NY182">
        <v>0.2</v>
      </c>
      <c r="NZ182">
        <v>0.2</v>
      </c>
      <c r="OE182" t="s">
        <v>4727</v>
      </c>
      <c r="OF182" t="s">
        <v>4725</v>
      </c>
      <c r="OG182" t="s">
        <v>4726</v>
      </c>
      <c r="OH182" t="s">
        <v>4043</v>
      </c>
      <c r="OI182" t="s">
        <v>4727</v>
      </c>
      <c r="OJ182" t="s">
        <v>4724</v>
      </c>
      <c r="OK182">
        <v>61</v>
      </c>
      <c r="OL182">
        <v>61</v>
      </c>
      <c r="OM182" t="s">
        <v>4725</v>
      </c>
      <c r="ON182">
        <v>1</v>
      </c>
      <c r="OO182">
        <v>1958</v>
      </c>
      <c r="OP182">
        <v>61</v>
      </c>
      <c r="OQ182">
        <v>61</v>
      </c>
      <c r="OR182" t="s">
        <v>4726</v>
      </c>
      <c r="OS182">
        <v>1</v>
      </c>
      <c r="OT182">
        <v>1970</v>
      </c>
      <c r="OU182">
        <v>65</v>
      </c>
      <c r="OV182">
        <v>65</v>
      </c>
      <c r="OW182" t="s">
        <v>4043</v>
      </c>
      <c r="OX182">
        <v>2</v>
      </c>
      <c r="OY182">
        <v>34472</v>
      </c>
      <c r="OZ182">
        <v>51</v>
      </c>
      <c r="PA182">
        <v>51</v>
      </c>
      <c r="PB182" t="s">
        <v>4727</v>
      </c>
      <c r="PC182">
        <v>1</v>
      </c>
      <c r="PD182">
        <v>2002</v>
      </c>
      <c r="PF182">
        <v>368</v>
      </c>
      <c r="PG182">
        <v>35</v>
      </c>
      <c r="PH182">
        <v>346</v>
      </c>
      <c r="PI182">
        <v>0</v>
      </c>
      <c r="PJ182">
        <v>121.7</v>
      </c>
      <c r="PL182">
        <v>802.2</v>
      </c>
      <c r="PM182">
        <v>1012.9</v>
      </c>
      <c r="PN182">
        <v>89.40000000000001</v>
      </c>
      <c r="PP182">
        <v>12</v>
      </c>
      <c r="PQ182">
        <v>1</v>
      </c>
      <c r="PR182">
        <v>3</v>
      </c>
      <c r="PS182">
        <v>8</v>
      </c>
      <c r="PT182">
        <v>218</v>
      </c>
      <c r="PU182">
        <v>11</v>
      </c>
      <c r="PV182" t="s">
        <v>4072</v>
      </c>
      <c r="PW182" t="s">
        <v>4072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-1</v>
      </c>
      <c r="QF182">
        <v>1</v>
      </c>
      <c r="QG182">
        <v>0</v>
      </c>
      <c r="QH182">
        <v>5</v>
      </c>
      <c r="QI182">
        <v>5</v>
      </c>
      <c r="QJ182">
        <v>5</v>
      </c>
      <c r="QK182">
        <v>195</v>
      </c>
      <c r="QL182">
        <v>436</v>
      </c>
      <c r="QM182">
        <v>7.5</v>
      </c>
      <c r="QN182">
        <v>1205.9</v>
      </c>
      <c r="QO182" t="s">
        <v>2341</v>
      </c>
      <c r="QP182" t="s">
        <v>513</v>
      </c>
      <c r="QQ182">
        <v>0</v>
      </c>
      <c r="QR182" t="s">
        <v>621</v>
      </c>
      <c r="QS182">
        <v>30</v>
      </c>
      <c r="QT182">
        <v>40</v>
      </c>
    </row>
    <row r="183" spans="1:462">
      <c r="A183" t="s">
        <v>2576</v>
      </c>
      <c r="B183" t="s">
        <v>559</v>
      </c>
      <c r="C183" t="s">
        <v>509</v>
      </c>
      <c r="D183" t="s">
        <v>2575</v>
      </c>
      <c r="E183" t="s">
        <v>4036</v>
      </c>
      <c r="H183" t="s">
        <v>604</v>
      </c>
      <c r="I183" t="s">
        <v>605</v>
      </c>
      <c r="J183" t="s">
        <v>628</v>
      </c>
      <c r="K183" t="s">
        <v>606</v>
      </c>
      <c r="L183" t="s">
        <v>564</v>
      </c>
      <c r="M183" t="s">
        <v>512</v>
      </c>
      <c r="O183" t="s">
        <v>513</v>
      </c>
      <c r="P183" t="s">
        <v>517</v>
      </c>
      <c r="Q183" t="s">
        <v>1567</v>
      </c>
      <c r="R183" t="s">
        <v>1568</v>
      </c>
      <c r="S183" t="s">
        <v>4391</v>
      </c>
      <c r="T183" t="s">
        <v>520</v>
      </c>
      <c r="U183" t="s">
        <v>521</v>
      </c>
      <c r="V183" t="s">
        <v>2577</v>
      </c>
      <c r="W183" t="s">
        <v>2336</v>
      </c>
      <c r="X183" t="s">
        <v>2578</v>
      </c>
      <c r="Y183" t="s">
        <v>2579</v>
      </c>
      <c r="Z183" t="s">
        <v>541</v>
      </c>
      <c r="AA183" t="s">
        <v>4038</v>
      </c>
      <c r="AB183" t="s">
        <v>4728</v>
      </c>
      <c r="AC183">
        <v>13</v>
      </c>
      <c r="AD183" t="s">
        <v>2574</v>
      </c>
      <c r="AE183">
        <v>6</v>
      </c>
      <c r="AF183">
        <v>5142</v>
      </c>
      <c r="AG183" t="s">
        <v>4729</v>
      </c>
      <c r="AH183">
        <v>1</v>
      </c>
      <c r="AI183" t="s">
        <v>4041</v>
      </c>
      <c r="AK183" t="s">
        <v>4730</v>
      </c>
      <c r="AL183">
        <v>1</v>
      </c>
      <c r="AM183" t="s">
        <v>582</v>
      </c>
      <c r="AO183" t="s">
        <v>4043</v>
      </c>
      <c r="AP183">
        <v>1</v>
      </c>
      <c r="AR183" t="s">
        <v>4731</v>
      </c>
      <c r="AS183">
        <v>1</v>
      </c>
      <c r="AT183">
        <v>52</v>
      </c>
      <c r="AV183" t="s">
        <v>4078</v>
      </c>
      <c r="AW183">
        <v>6.4</v>
      </c>
      <c r="AX183">
        <v>-6</v>
      </c>
      <c r="AY183">
        <v>92.5</v>
      </c>
      <c r="AZ183">
        <v>62.5</v>
      </c>
      <c r="BH183">
        <v>92.5</v>
      </c>
      <c r="BI183">
        <v>30</v>
      </c>
      <c r="BJ183">
        <v>62.5</v>
      </c>
      <c r="BK183">
        <v>2.5</v>
      </c>
      <c r="BL183">
        <v>185</v>
      </c>
      <c r="BM183">
        <v>-6</v>
      </c>
      <c r="BN183">
        <v>0</v>
      </c>
      <c r="BP183">
        <v>0</v>
      </c>
      <c r="BR183">
        <v>180</v>
      </c>
      <c r="BS183">
        <v>170</v>
      </c>
      <c r="BT183">
        <v>2070</v>
      </c>
      <c r="BU183" t="s">
        <v>4096</v>
      </c>
      <c r="BV183" t="s">
        <v>4127</v>
      </c>
      <c r="BW183" t="s">
        <v>4097</v>
      </c>
      <c r="BX183" t="s">
        <v>4128</v>
      </c>
      <c r="BY183" t="s">
        <v>4098</v>
      </c>
      <c r="BZ183" t="s">
        <v>4098</v>
      </c>
      <c r="CA183" t="s">
        <v>4051</v>
      </c>
      <c r="CB183" t="s">
        <v>4052</v>
      </c>
      <c r="CC183" t="s">
        <v>4053</v>
      </c>
      <c r="CD183" t="s">
        <v>4054</v>
      </c>
      <c r="CE183" t="s">
        <v>4055</v>
      </c>
      <c r="CF183" t="s">
        <v>4055</v>
      </c>
      <c r="CG183" t="s">
        <v>4056</v>
      </c>
      <c r="CI183" t="s">
        <v>4058</v>
      </c>
      <c r="CJ183" t="s">
        <v>4059</v>
      </c>
      <c r="CK183" t="s">
        <v>4060</v>
      </c>
      <c r="CL183" t="s">
        <v>4061</v>
      </c>
      <c r="CM183" t="s">
        <v>4062</v>
      </c>
      <c r="CN183" t="s">
        <v>4055</v>
      </c>
      <c r="CO183" t="s">
        <v>4063</v>
      </c>
      <c r="CP183" t="s">
        <v>4055</v>
      </c>
      <c r="CQ183" t="s">
        <v>4055</v>
      </c>
      <c r="CR183">
        <v>5</v>
      </c>
      <c r="CS183" t="s">
        <v>4055</v>
      </c>
      <c r="CT183" t="s">
        <v>4055</v>
      </c>
      <c r="CU183" t="s">
        <v>4055</v>
      </c>
      <c r="CV183">
        <v>130</v>
      </c>
      <c r="CW183">
        <v>3</v>
      </c>
      <c r="CX183">
        <v>72</v>
      </c>
      <c r="CY183">
        <v>5</v>
      </c>
      <c r="CZ183">
        <v>142</v>
      </c>
      <c r="DA183">
        <v>5</v>
      </c>
      <c r="DB183">
        <v>11900</v>
      </c>
      <c r="DC183">
        <v>350</v>
      </c>
      <c r="DD183">
        <v>330</v>
      </c>
      <c r="DE183">
        <v>2172</v>
      </c>
      <c r="DF183">
        <v>2172</v>
      </c>
      <c r="DG183">
        <v>2207</v>
      </c>
      <c r="DH183" t="s">
        <v>4055</v>
      </c>
      <c r="DI183" t="s">
        <v>4055</v>
      </c>
      <c r="DJ183" t="s">
        <v>4132</v>
      </c>
      <c r="DK183">
        <v>180</v>
      </c>
      <c r="DL183" t="s">
        <v>4065</v>
      </c>
      <c r="DM183">
        <v>63</v>
      </c>
      <c r="DN183">
        <v>1.1</v>
      </c>
      <c r="DO183">
        <v>1</v>
      </c>
      <c r="DP183">
        <v>2073</v>
      </c>
      <c r="DQ183">
        <v>806</v>
      </c>
      <c r="DR183" t="s">
        <v>4132</v>
      </c>
      <c r="DS183">
        <v>170</v>
      </c>
      <c r="DT183" t="s">
        <v>4065</v>
      </c>
      <c r="DU183">
        <v>63</v>
      </c>
      <c r="DV183">
        <v>1.1</v>
      </c>
      <c r="DW183">
        <v>1</v>
      </c>
      <c r="DX183">
        <v>2085</v>
      </c>
      <c r="DY183">
        <v>767</v>
      </c>
      <c r="DZ183" t="s">
        <v>4066</v>
      </c>
      <c r="EA183">
        <v>20</v>
      </c>
      <c r="EB183" t="s">
        <v>4065</v>
      </c>
      <c r="EC183">
        <v>0.8</v>
      </c>
      <c r="ED183">
        <v>2073</v>
      </c>
      <c r="EE183">
        <v>73</v>
      </c>
      <c r="EG183">
        <v>0</v>
      </c>
      <c r="EH183" t="s">
        <v>4065</v>
      </c>
      <c r="EI183">
        <v>0</v>
      </c>
      <c r="EL183" t="s">
        <v>1528</v>
      </c>
      <c r="EM183">
        <v>12</v>
      </c>
      <c r="EN183">
        <v>0.5</v>
      </c>
      <c r="EO183">
        <v>0.96</v>
      </c>
      <c r="EP183">
        <v>2083.83</v>
      </c>
      <c r="EQ183">
        <v>32071.45</v>
      </c>
      <c r="ER183">
        <v>9796.23</v>
      </c>
      <c r="ES183">
        <v>0</v>
      </c>
      <c r="ET183">
        <v>0</v>
      </c>
      <c r="EU183">
        <v>1</v>
      </c>
      <c r="EV183">
        <v>41868</v>
      </c>
      <c r="EW183">
        <v>503</v>
      </c>
      <c r="EX183" t="s">
        <v>4613</v>
      </c>
      <c r="EY183">
        <v>212</v>
      </c>
      <c r="EZ183" t="s">
        <v>4055</v>
      </c>
      <c r="FA183">
        <v>4.5</v>
      </c>
      <c r="FB183">
        <v>1</v>
      </c>
      <c r="FC183">
        <v>1</v>
      </c>
      <c r="FD183">
        <v>2115</v>
      </c>
      <c r="FE183">
        <v>2394</v>
      </c>
      <c r="FF183" t="s">
        <v>4288</v>
      </c>
      <c r="FG183">
        <v>222</v>
      </c>
      <c r="FH183" t="s">
        <v>4055</v>
      </c>
      <c r="FI183">
        <v>3.1</v>
      </c>
      <c r="FJ183">
        <v>2115</v>
      </c>
      <c r="FK183">
        <v>1790</v>
      </c>
      <c r="FL183" t="s">
        <v>4069</v>
      </c>
      <c r="FM183" t="s">
        <v>4055</v>
      </c>
      <c r="FN183" t="s">
        <v>4055</v>
      </c>
      <c r="FO183" t="s">
        <v>4055</v>
      </c>
      <c r="FP183">
        <v>2115</v>
      </c>
      <c r="FQ183">
        <v>204</v>
      </c>
      <c r="FR183" t="s">
        <v>4090</v>
      </c>
      <c r="FS183">
        <v>226</v>
      </c>
      <c r="FT183" t="s">
        <v>4055</v>
      </c>
      <c r="FU183">
        <v>0.4</v>
      </c>
      <c r="FV183">
        <v>2115</v>
      </c>
      <c r="FW183">
        <v>214</v>
      </c>
      <c r="FZ183" t="s">
        <v>4055</v>
      </c>
      <c r="GA183" t="s">
        <v>4055</v>
      </c>
      <c r="GD183">
        <v>4602</v>
      </c>
      <c r="GE183" t="s">
        <v>4731</v>
      </c>
      <c r="GF183" t="s">
        <v>4055</v>
      </c>
      <c r="GG183" t="s">
        <v>4055</v>
      </c>
      <c r="GH183" t="s">
        <v>4055</v>
      </c>
      <c r="GI183" t="s">
        <v>4071</v>
      </c>
      <c r="GJ183" t="s">
        <v>4055</v>
      </c>
      <c r="GK183" t="s">
        <v>4055</v>
      </c>
      <c r="GL183" t="s">
        <v>4055</v>
      </c>
      <c r="GM183" t="s">
        <v>4055</v>
      </c>
      <c r="GQ183">
        <v>0</v>
      </c>
      <c r="GV183">
        <v>8</v>
      </c>
      <c r="GW183">
        <v>10.5</v>
      </c>
      <c r="GX183">
        <v>0.5</v>
      </c>
      <c r="GY183">
        <v>182</v>
      </c>
      <c r="GZ183">
        <v>3</v>
      </c>
      <c r="HA183">
        <v>238</v>
      </c>
      <c r="HB183">
        <v>3</v>
      </c>
      <c r="HC183">
        <v>2115</v>
      </c>
      <c r="HD183">
        <v>4</v>
      </c>
      <c r="HE183" t="s">
        <v>4071</v>
      </c>
      <c r="HG183" t="s">
        <v>549</v>
      </c>
      <c r="HL183">
        <v>4</v>
      </c>
      <c r="HM183">
        <v>16</v>
      </c>
      <c r="HN183">
        <v>6</v>
      </c>
      <c r="HO183">
        <v>1</v>
      </c>
      <c r="HP183">
        <v>0</v>
      </c>
      <c r="HQ183">
        <v>0</v>
      </c>
      <c r="HR183">
        <v>3</v>
      </c>
      <c r="HS183">
        <v>2070</v>
      </c>
      <c r="HT183">
        <v>5</v>
      </c>
      <c r="HU183">
        <v>1</v>
      </c>
      <c r="HV183">
        <v>5</v>
      </c>
      <c r="HW183">
        <v>0</v>
      </c>
      <c r="HX183">
        <v>1</v>
      </c>
      <c r="HY183">
        <v>0</v>
      </c>
      <c r="HZ183">
        <v>63</v>
      </c>
      <c r="IA183">
        <v>2073</v>
      </c>
      <c r="IB183">
        <v>2085</v>
      </c>
      <c r="ID183">
        <v>2115</v>
      </c>
      <c r="IE183">
        <v>2115</v>
      </c>
      <c r="IF183">
        <v>180</v>
      </c>
      <c r="IG183">
        <v>170</v>
      </c>
      <c r="IH183">
        <v>238</v>
      </c>
      <c r="II183">
        <v>1</v>
      </c>
      <c r="IJ183">
        <v>5</v>
      </c>
      <c r="IK183">
        <v>0</v>
      </c>
      <c r="IL183">
        <v>0</v>
      </c>
      <c r="IM183">
        <v>0</v>
      </c>
      <c r="IN183">
        <v>270</v>
      </c>
      <c r="IO183">
        <v>0</v>
      </c>
      <c r="IP183">
        <v>180</v>
      </c>
      <c r="IQ183">
        <v>0</v>
      </c>
      <c r="IR183">
        <v>330</v>
      </c>
      <c r="IS183">
        <v>0</v>
      </c>
      <c r="IT183">
        <v>90</v>
      </c>
      <c r="IU183">
        <v>0</v>
      </c>
      <c r="IV183">
        <v>6.4</v>
      </c>
      <c r="IW183">
        <v>-6</v>
      </c>
      <c r="IX183">
        <v>92.5</v>
      </c>
      <c r="IY183">
        <v>62.5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416</v>
      </c>
      <c r="JJ183">
        <v>390</v>
      </c>
      <c r="JK183">
        <v>284</v>
      </c>
      <c r="JL183">
        <v>376</v>
      </c>
      <c r="JM183">
        <v>282</v>
      </c>
      <c r="JN183">
        <v>200</v>
      </c>
      <c r="JO183">
        <v>248</v>
      </c>
      <c r="JP183">
        <v>200</v>
      </c>
      <c r="JQ183">
        <v>260</v>
      </c>
      <c r="JR183">
        <v>356</v>
      </c>
      <c r="JS183">
        <v>250</v>
      </c>
      <c r="JT183">
        <v>0</v>
      </c>
      <c r="JU183">
        <v>0</v>
      </c>
      <c r="JV183">
        <v>335</v>
      </c>
      <c r="JW183">
        <v>337</v>
      </c>
      <c r="JX183">
        <v>349</v>
      </c>
      <c r="JY183">
        <v>334</v>
      </c>
      <c r="JZ183">
        <v>1</v>
      </c>
      <c r="KA183">
        <v>0.2</v>
      </c>
      <c r="KB183">
        <v>0.4</v>
      </c>
      <c r="KC183">
        <v>0.42</v>
      </c>
      <c r="KD183">
        <v>0.28</v>
      </c>
      <c r="KE183">
        <v>0.5</v>
      </c>
      <c r="KF183">
        <v>0.16</v>
      </c>
      <c r="KG183">
        <v>0.11</v>
      </c>
      <c r="KH183">
        <v>3.5</v>
      </c>
      <c r="KI183">
        <v>1</v>
      </c>
      <c r="KJ183">
        <v>6</v>
      </c>
      <c r="KK183">
        <v>0</v>
      </c>
      <c r="KL183">
        <v>7</v>
      </c>
      <c r="KM183">
        <v>4</v>
      </c>
      <c r="KN183">
        <v>1.6</v>
      </c>
      <c r="KO183">
        <v>0</v>
      </c>
      <c r="KP183">
        <v>0</v>
      </c>
      <c r="KQ183">
        <v>1</v>
      </c>
      <c r="KR183">
        <v>1.2</v>
      </c>
      <c r="KS183">
        <v>0</v>
      </c>
      <c r="KT183">
        <v>1.7</v>
      </c>
      <c r="KU183">
        <v>0</v>
      </c>
      <c r="KV183">
        <v>0</v>
      </c>
      <c r="KW183">
        <v>1.2</v>
      </c>
      <c r="KX183">
        <v>2</v>
      </c>
      <c r="KY183">
        <v>2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1.5</v>
      </c>
      <c r="LJ183">
        <v>0</v>
      </c>
      <c r="LK183">
        <v>4</v>
      </c>
      <c r="LL183">
        <v>5</v>
      </c>
      <c r="LM183">
        <v>6</v>
      </c>
      <c r="LN183">
        <v>0.3</v>
      </c>
      <c r="LO183">
        <v>0.5</v>
      </c>
      <c r="LP183">
        <v>0</v>
      </c>
      <c r="LQ183">
        <v>0</v>
      </c>
      <c r="LR183">
        <v>0</v>
      </c>
      <c r="LS183">
        <v>1</v>
      </c>
      <c r="LT183">
        <v>0</v>
      </c>
      <c r="LU183">
        <v>0</v>
      </c>
      <c r="LV183">
        <v>0</v>
      </c>
      <c r="LW183">
        <v>1.4</v>
      </c>
      <c r="LX183">
        <v>1.4</v>
      </c>
      <c r="LY183">
        <v>1.7</v>
      </c>
      <c r="LZ183">
        <v>1.7</v>
      </c>
      <c r="MA183">
        <v>0</v>
      </c>
      <c r="MB183">
        <v>2</v>
      </c>
      <c r="MC183">
        <v>0</v>
      </c>
      <c r="MD183">
        <v>4.5</v>
      </c>
      <c r="ME183">
        <v>6</v>
      </c>
      <c r="MF183">
        <v>6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358</v>
      </c>
      <c r="MN183">
        <v>175</v>
      </c>
      <c r="MO183">
        <v>248</v>
      </c>
      <c r="NU183">
        <v>0.15</v>
      </c>
      <c r="NV183">
        <v>0.2</v>
      </c>
      <c r="NW183">
        <v>0.2</v>
      </c>
      <c r="NX183">
        <v>2</v>
      </c>
      <c r="NY183">
        <v>3.5</v>
      </c>
      <c r="NZ183">
        <v>4</v>
      </c>
      <c r="OE183" t="s">
        <v>4731</v>
      </c>
      <c r="OF183" t="s">
        <v>4729</v>
      </c>
      <c r="OG183" t="s">
        <v>4730</v>
      </c>
      <c r="OH183" t="s">
        <v>4043</v>
      </c>
      <c r="OI183" t="s">
        <v>4731</v>
      </c>
      <c r="OJ183" t="s">
        <v>4728</v>
      </c>
      <c r="OK183">
        <v>61</v>
      </c>
      <c r="OL183">
        <v>61</v>
      </c>
      <c r="OM183" t="s">
        <v>4729</v>
      </c>
      <c r="ON183">
        <v>1</v>
      </c>
      <c r="OO183">
        <v>2073</v>
      </c>
      <c r="OP183">
        <v>61</v>
      </c>
      <c r="OQ183">
        <v>61</v>
      </c>
      <c r="OR183" t="s">
        <v>4730</v>
      </c>
      <c r="OS183">
        <v>1</v>
      </c>
      <c r="OT183">
        <v>2085</v>
      </c>
      <c r="OU183">
        <v>65</v>
      </c>
      <c r="OV183">
        <v>65</v>
      </c>
      <c r="OW183" t="s">
        <v>4043</v>
      </c>
      <c r="OX183">
        <v>2</v>
      </c>
      <c r="OY183">
        <v>41868</v>
      </c>
      <c r="OZ183">
        <v>51</v>
      </c>
      <c r="PA183">
        <v>52</v>
      </c>
      <c r="PB183" t="s">
        <v>4731</v>
      </c>
      <c r="PC183">
        <v>1</v>
      </c>
      <c r="PD183">
        <v>2115</v>
      </c>
      <c r="PF183">
        <v>389</v>
      </c>
      <c r="PG183">
        <v>35</v>
      </c>
      <c r="PH183">
        <v>368</v>
      </c>
      <c r="PI183">
        <v>0</v>
      </c>
      <c r="PJ183">
        <v>96.5</v>
      </c>
      <c r="PK183">
        <v>2165</v>
      </c>
      <c r="PL183">
        <v>1132</v>
      </c>
      <c r="PM183">
        <v>846.5</v>
      </c>
      <c r="PN183">
        <v>101</v>
      </c>
      <c r="PP183">
        <v>12</v>
      </c>
      <c r="PQ183">
        <v>3</v>
      </c>
      <c r="PR183">
        <v>5</v>
      </c>
      <c r="PS183">
        <v>0</v>
      </c>
      <c r="PT183">
        <v>238</v>
      </c>
      <c r="PU183">
        <v>8</v>
      </c>
      <c r="PV183" t="s">
        <v>4072</v>
      </c>
      <c r="PW183" t="s">
        <v>4072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-1</v>
      </c>
      <c r="QF183">
        <v>1</v>
      </c>
      <c r="QG183">
        <v>0</v>
      </c>
      <c r="QH183">
        <v>5</v>
      </c>
      <c r="QI183">
        <v>5</v>
      </c>
      <c r="QJ183">
        <v>5</v>
      </c>
      <c r="QK183">
        <v>203</v>
      </c>
      <c r="QL183">
        <v>450</v>
      </c>
      <c r="QM183">
        <v>7.5</v>
      </c>
      <c r="QN183">
        <v>1285.7</v>
      </c>
      <c r="QO183" t="s">
        <v>2341</v>
      </c>
      <c r="QP183" t="s">
        <v>513</v>
      </c>
      <c r="QQ183">
        <v>0</v>
      </c>
      <c r="QR183" t="s">
        <v>892</v>
      </c>
      <c r="QS183">
        <v>30</v>
      </c>
      <c r="QT183">
        <v>40</v>
      </c>
    </row>
    <row r="184" spans="1:462">
      <c r="A184" t="s">
        <v>2585</v>
      </c>
      <c r="B184" t="s">
        <v>657</v>
      </c>
      <c r="C184" t="s">
        <v>509</v>
      </c>
      <c r="D184" t="s">
        <v>2584</v>
      </c>
      <c r="E184" t="s">
        <v>4036</v>
      </c>
      <c r="H184" t="s">
        <v>1294</v>
      </c>
      <c r="J184" t="s">
        <v>562</v>
      </c>
      <c r="K184" t="s">
        <v>563</v>
      </c>
      <c r="L184" t="s">
        <v>559</v>
      </c>
      <c r="M184" t="s">
        <v>512</v>
      </c>
      <c r="O184" t="s">
        <v>513</v>
      </c>
      <c r="P184" t="s">
        <v>517</v>
      </c>
      <c r="Q184" t="s">
        <v>631</v>
      </c>
      <c r="R184" t="s">
        <v>632</v>
      </c>
      <c r="S184" t="s">
        <v>4073</v>
      </c>
      <c r="T184" t="s">
        <v>633</v>
      </c>
      <c r="U184" t="s">
        <v>634</v>
      </c>
      <c r="V184" t="s">
        <v>2586</v>
      </c>
      <c r="W184" t="s">
        <v>2336</v>
      </c>
      <c r="X184" t="s">
        <v>2587</v>
      </c>
      <c r="Y184" t="s">
        <v>2588</v>
      </c>
      <c r="Z184" t="s">
        <v>650</v>
      </c>
      <c r="AA184" t="s">
        <v>4038</v>
      </c>
      <c r="AB184" t="s">
        <v>4732</v>
      </c>
      <c r="AC184">
        <v>13</v>
      </c>
      <c r="AD184" t="s">
        <v>2583</v>
      </c>
      <c r="AE184">
        <v>7</v>
      </c>
      <c r="AF184">
        <v>3921</v>
      </c>
      <c r="AG184" t="s">
        <v>4104</v>
      </c>
      <c r="AH184">
        <v>1</v>
      </c>
      <c r="AI184" t="s">
        <v>4041</v>
      </c>
      <c r="AK184" t="s">
        <v>4105</v>
      </c>
      <c r="AL184">
        <v>1</v>
      </c>
      <c r="AM184" t="s">
        <v>582</v>
      </c>
      <c r="AO184" t="s">
        <v>4043</v>
      </c>
      <c r="AP184">
        <v>1</v>
      </c>
      <c r="AR184" t="s">
        <v>4733</v>
      </c>
      <c r="AS184">
        <v>1</v>
      </c>
      <c r="AT184">
        <v>52</v>
      </c>
      <c r="AV184" t="s">
        <v>4045</v>
      </c>
      <c r="AW184">
        <v>6.4</v>
      </c>
      <c r="AX184">
        <v>-6</v>
      </c>
      <c r="AY184">
        <v>100</v>
      </c>
      <c r="AZ184">
        <v>88</v>
      </c>
      <c r="BH184">
        <v>100</v>
      </c>
      <c r="BI184">
        <v>12</v>
      </c>
      <c r="BJ184">
        <v>88</v>
      </c>
      <c r="BK184">
        <v>2.5</v>
      </c>
      <c r="BL184">
        <v>200</v>
      </c>
      <c r="BM184">
        <v>-6</v>
      </c>
      <c r="BN184">
        <v>0</v>
      </c>
      <c r="BP184">
        <v>0</v>
      </c>
      <c r="BR184">
        <v>195</v>
      </c>
      <c r="BS184">
        <v>185</v>
      </c>
      <c r="BT184">
        <v>1875</v>
      </c>
      <c r="BU184" t="s">
        <v>4355</v>
      </c>
      <c r="BV184" t="s">
        <v>4047</v>
      </c>
      <c r="BW184" t="s">
        <v>4049</v>
      </c>
      <c r="BX184" t="s">
        <v>4049</v>
      </c>
      <c r="BY184" t="s">
        <v>4107</v>
      </c>
      <c r="BZ184" t="s">
        <v>4150</v>
      </c>
      <c r="CA184" t="s">
        <v>4108</v>
      </c>
      <c r="CB184" t="s">
        <v>4109</v>
      </c>
      <c r="CC184" t="s">
        <v>4053</v>
      </c>
      <c r="CD184" t="s">
        <v>4110</v>
      </c>
      <c r="CE184" t="s">
        <v>4055</v>
      </c>
      <c r="CF184" t="s">
        <v>4055</v>
      </c>
      <c r="CG184" t="s">
        <v>4056</v>
      </c>
      <c r="CH184" t="s">
        <v>4057</v>
      </c>
      <c r="CI184" t="s">
        <v>4058</v>
      </c>
      <c r="CJ184" t="s">
        <v>4059</v>
      </c>
      <c r="CK184" t="s">
        <v>4060</v>
      </c>
      <c r="CL184" t="s">
        <v>4061</v>
      </c>
      <c r="CM184" t="s">
        <v>4062</v>
      </c>
      <c r="CN184" t="s">
        <v>4055</v>
      </c>
      <c r="CO184" t="s">
        <v>4063</v>
      </c>
      <c r="CP184" t="s">
        <v>4055</v>
      </c>
      <c r="CQ184" t="s">
        <v>4055</v>
      </c>
      <c r="CR184">
        <v>5</v>
      </c>
      <c r="CS184" t="s">
        <v>4055</v>
      </c>
      <c r="CT184" t="s">
        <v>4055</v>
      </c>
      <c r="CU184" t="s">
        <v>4055</v>
      </c>
      <c r="CV184">
        <v>124</v>
      </c>
      <c r="CW184">
        <v>3</v>
      </c>
      <c r="CX184">
        <v>103</v>
      </c>
      <c r="CY184">
        <v>5</v>
      </c>
      <c r="CZ184">
        <v>135</v>
      </c>
      <c r="DA184">
        <v>5</v>
      </c>
      <c r="DB184">
        <v>10400</v>
      </c>
      <c r="DC184">
        <v>310</v>
      </c>
      <c r="DD184">
        <v>301</v>
      </c>
      <c r="DE184">
        <v>1987</v>
      </c>
      <c r="DF184">
        <v>1987</v>
      </c>
      <c r="DG184">
        <v>2007</v>
      </c>
      <c r="DH184" t="s">
        <v>4055</v>
      </c>
      <c r="DI184" t="s">
        <v>4055</v>
      </c>
      <c r="DJ184" t="s">
        <v>4100</v>
      </c>
      <c r="DK184">
        <v>195</v>
      </c>
      <c r="DL184" t="s">
        <v>4101</v>
      </c>
      <c r="DM184">
        <v>65</v>
      </c>
      <c r="DN184">
        <v>0.84</v>
      </c>
      <c r="DO184">
        <v>1</v>
      </c>
      <c r="DP184">
        <v>1878</v>
      </c>
      <c r="DQ184">
        <v>669</v>
      </c>
      <c r="DR184" t="s">
        <v>4100</v>
      </c>
      <c r="DS184">
        <v>185</v>
      </c>
      <c r="DT184" t="s">
        <v>4101</v>
      </c>
      <c r="DU184">
        <v>65</v>
      </c>
      <c r="DV184">
        <v>0.84</v>
      </c>
      <c r="DW184">
        <v>1</v>
      </c>
      <c r="DX184">
        <v>1885</v>
      </c>
      <c r="DY184">
        <v>637</v>
      </c>
      <c r="DZ184" t="s">
        <v>4066</v>
      </c>
      <c r="EA184">
        <v>33</v>
      </c>
      <c r="EB184" t="s">
        <v>4065</v>
      </c>
      <c r="EC184">
        <v>0.4</v>
      </c>
      <c r="ED184">
        <v>1878</v>
      </c>
      <c r="EE184">
        <v>54</v>
      </c>
      <c r="EF184" t="s">
        <v>4066</v>
      </c>
      <c r="EG184">
        <v>33</v>
      </c>
      <c r="EH184" t="s">
        <v>4065</v>
      </c>
      <c r="EI184">
        <v>0.4</v>
      </c>
      <c r="EJ184">
        <v>1885</v>
      </c>
      <c r="EK184">
        <v>55</v>
      </c>
      <c r="EL184" t="s">
        <v>1528</v>
      </c>
      <c r="EM184">
        <v>12</v>
      </c>
      <c r="EN184">
        <v>0.5</v>
      </c>
      <c r="EO184">
        <v>0.96</v>
      </c>
      <c r="EP184">
        <v>1885.56</v>
      </c>
      <c r="EQ184">
        <v>31229.59</v>
      </c>
      <c r="ER184">
        <v>3546.73</v>
      </c>
      <c r="ES184">
        <v>0</v>
      </c>
      <c r="ET184">
        <v>0</v>
      </c>
      <c r="EU184">
        <v>1</v>
      </c>
      <c r="EV184">
        <v>34777</v>
      </c>
      <c r="EW184">
        <v>418</v>
      </c>
      <c r="EX184" t="s">
        <v>4613</v>
      </c>
      <c r="EY184">
        <v>206</v>
      </c>
      <c r="EZ184" t="s">
        <v>4055</v>
      </c>
      <c r="FA184">
        <v>3.6</v>
      </c>
      <c r="FB184">
        <v>1</v>
      </c>
      <c r="FC184">
        <v>1</v>
      </c>
      <c r="FD184">
        <v>1921</v>
      </c>
      <c r="FE184">
        <v>1791</v>
      </c>
      <c r="FF184" t="s">
        <v>4288</v>
      </c>
      <c r="FG184">
        <v>212</v>
      </c>
      <c r="FH184" t="s">
        <v>4055</v>
      </c>
      <c r="FI184">
        <v>5.3</v>
      </c>
      <c r="FJ184">
        <v>1921</v>
      </c>
      <c r="FK184">
        <v>2464</v>
      </c>
      <c r="FL184" t="s">
        <v>4069</v>
      </c>
      <c r="FM184" t="s">
        <v>4055</v>
      </c>
      <c r="FN184" t="s">
        <v>4055</v>
      </c>
      <c r="FO184" t="s">
        <v>4055</v>
      </c>
      <c r="FP184">
        <v>1921</v>
      </c>
      <c r="FQ184">
        <v>205</v>
      </c>
      <c r="FR184" t="s">
        <v>4090</v>
      </c>
      <c r="FS184">
        <v>216</v>
      </c>
      <c r="FT184" t="s">
        <v>4055</v>
      </c>
      <c r="FU184">
        <v>0.4</v>
      </c>
      <c r="FV184">
        <v>1921</v>
      </c>
      <c r="FW184">
        <v>185</v>
      </c>
      <c r="FZ184" t="s">
        <v>4055</v>
      </c>
      <c r="GA184" t="s">
        <v>4055</v>
      </c>
      <c r="GD184">
        <v>4645</v>
      </c>
      <c r="GE184" t="s">
        <v>4733</v>
      </c>
      <c r="GF184" t="s">
        <v>4055</v>
      </c>
      <c r="GG184" t="s">
        <v>4055</v>
      </c>
      <c r="GH184" t="s">
        <v>4055</v>
      </c>
      <c r="GI184" t="s">
        <v>4071</v>
      </c>
      <c r="GJ184" t="s">
        <v>4055</v>
      </c>
      <c r="GK184" t="s">
        <v>4055</v>
      </c>
      <c r="GL184" t="s">
        <v>4055</v>
      </c>
      <c r="GM184" t="s">
        <v>4055</v>
      </c>
      <c r="GQ184">
        <v>0</v>
      </c>
      <c r="GV184">
        <v>9.300000000000001</v>
      </c>
      <c r="GW184">
        <v>11.5</v>
      </c>
      <c r="GX184">
        <v>0.5</v>
      </c>
      <c r="GY184">
        <v>190</v>
      </c>
      <c r="GZ184">
        <v>3</v>
      </c>
      <c r="HA184">
        <v>234</v>
      </c>
      <c r="HB184">
        <v>3</v>
      </c>
      <c r="HC184">
        <v>1921</v>
      </c>
      <c r="HD184">
        <v>4</v>
      </c>
      <c r="HE184" t="s">
        <v>4071</v>
      </c>
      <c r="HG184" t="s">
        <v>549</v>
      </c>
      <c r="HL184">
        <v>4</v>
      </c>
      <c r="HM184">
        <v>17</v>
      </c>
      <c r="HN184">
        <v>1</v>
      </c>
      <c r="HO184">
        <v>1</v>
      </c>
      <c r="HP184">
        <v>0</v>
      </c>
      <c r="HQ184">
        <v>0</v>
      </c>
      <c r="HR184">
        <v>1</v>
      </c>
      <c r="HS184">
        <v>1875</v>
      </c>
      <c r="HT184">
        <v>5</v>
      </c>
      <c r="HU184">
        <v>1</v>
      </c>
      <c r="HV184">
        <v>5</v>
      </c>
      <c r="HW184">
        <v>0</v>
      </c>
      <c r="HX184">
        <v>1</v>
      </c>
      <c r="HY184">
        <v>0</v>
      </c>
      <c r="HZ184">
        <v>65</v>
      </c>
      <c r="IA184">
        <v>1878</v>
      </c>
      <c r="IB184">
        <v>1885</v>
      </c>
      <c r="ID184">
        <v>1921</v>
      </c>
      <c r="IE184">
        <v>1921</v>
      </c>
      <c r="IF184">
        <v>195</v>
      </c>
      <c r="IG184">
        <v>185</v>
      </c>
      <c r="IH184">
        <v>234</v>
      </c>
      <c r="II184">
        <v>1</v>
      </c>
      <c r="IJ184">
        <v>5</v>
      </c>
      <c r="IK184">
        <v>0</v>
      </c>
      <c r="IL184">
        <v>0</v>
      </c>
      <c r="IM184">
        <v>0</v>
      </c>
      <c r="IN184">
        <v>270</v>
      </c>
      <c r="IO184">
        <v>0</v>
      </c>
      <c r="IP184">
        <v>180</v>
      </c>
      <c r="IQ184">
        <v>0</v>
      </c>
      <c r="IR184">
        <v>330</v>
      </c>
      <c r="IS184">
        <v>0</v>
      </c>
      <c r="IT184">
        <v>90</v>
      </c>
      <c r="IU184">
        <v>0</v>
      </c>
      <c r="IV184">
        <v>6.4</v>
      </c>
      <c r="IW184">
        <v>-6</v>
      </c>
      <c r="IX184">
        <v>100</v>
      </c>
      <c r="IY184">
        <v>88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344</v>
      </c>
      <c r="JJ184">
        <v>300</v>
      </c>
      <c r="JK184">
        <v>232</v>
      </c>
      <c r="JL184">
        <v>300</v>
      </c>
      <c r="JM184">
        <v>240</v>
      </c>
      <c r="JN184">
        <v>190</v>
      </c>
      <c r="JO184">
        <v>240</v>
      </c>
      <c r="JP184">
        <v>224</v>
      </c>
      <c r="JQ184">
        <v>262</v>
      </c>
      <c r="JR184">
        <v>330</v>
      </c>
      <c r="JS184">
        <v>280</v>
      </c>
      <c r="JT184">
        <v>0</v>
      </c>
      <c r="JU184">
        <v>0</v>
      </c>
      <c r="JV184">
        <v>300</v>
      </c>
      <c r="JW184">
        <v>292</v>
      </c>
      <c r="JX184">
        <v>296</v>
      </c>
      <c r="JY184">
        <v>290</v>
      </c>
      <c r="JZ184">
        <v>0.5</v>
      </c>
      <c r="KA184">
        <v>0.25</v>
      </c>
      <c r="KB184">
        <v>0.4</v>
      </c>
      <c r="KC184">
        <v>0.42</v>
      </c>
      <c r="KD184">
        <v>0.28</v>
      </c>
      <c r="KE184">
        <v>0.5</v>
      </c>
      <c r="KF184">
        <v>0.17</v>
      </c>
      <c r="KG184">
        <v>0.11</v>
      </c>
      <c r="KH184">
        <v>4</v>
      </c>
      <c r="KI184">
        <v>0.5</v>
      </c>
      <c r="KJ184">
        <v>6</v>
      </c>
      <c r="KK184">
        <v>1.5</v>
      </c>
      <c r="KL184">
        <v>7</v>
      </c>
      <c r="KM184">
        <v>2.5</v>
      </c>
      <c r="KN184">
        <v>1.1</v>
      </c>
      <c r="KO184">
        <v>0</v>
      </c>
      <c r="KP184">
        <v>0</v>
      </c>
      <c r="KQ184">
        <v>1</v>
      </c>
      <c r="KR184">
        <v>0.5</v>
      </c>
      <c r="KS184">
        <v>0.2</v>
      </c>
      <c r="KT184">
        <v>2</v>
      </c>
      <c r="KU184">
        <v>0</v>
      </c>
      <c r="KV184">
        <v>0</v>
      </c>
      <c r="KW184">
        <v>1</v>
      </c>
      <c r="KX184">
        <v>2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3</v>
      </c>
      <c r="LI184">
        <v>0.5</v>
      </c>
      <c r="LJ184">
        <v>0</v>
      </c>
      <c r="LK184">
        <v>4.5</v>
      </c>
      <c r="LL184">
        <v>4.5</v>
      </c>
      <c r="LM184">
        <v>7</v>
      </c>
      <c r="LN184">
        <v>0.4</v>
      </c>
      <c r="LO184">
        <v>3.5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1</v>
      </c>
      <c r="LX184">
        <v>1</v>
      </c>
      <c r="LY184">
        <v>1.8</v>
      </c>
      <c r="LZ184">
        <v>1.8</v>
      </c>
      <c r="MA184">
        <v>0</v>
      </c>
      <c r="MB184">
        <v>2.5</v>
      </c>
      <c r="MC184">
        <v>0</v>
      </c>
      <c r="MD184">
        <v>4.5</v>
      </c>
      <c r="ME184">
        <v>6</v>
      </c>
      <c r="MF184">
        <v>6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358</v>
      </c>
      <c r="MN184">
        <v>215</v>
      </c>
      <c r="MO184">
        <v>254</v>
      </c>
      <c r="NU184">
        <v>0.15</v>
      </c>
      <c r="NV184">
        <v>0.35</v>
      </c>
      <c r="NW184">
        <v>0.35</v>
      </c>
      <c r="NX184">
        <v>2</v>
      </c>
      <c r="NY184">
        <v>4.5</v>
      </c>
      <c r="NZ184">
        <v>4.5</v>
      </c>
      <c r="OE184" t="s">
        <v>4733</v>
      </c>
      <c r="OF184" t="s">
        <v>4104</v>
      </c>
      <c r="OG184" t="s">
        <v>4105</v>
      </c>
      <c r="OH184" t="s">
        <v>4043</v>
      </c>
      <c r="OI184" t="s">
        <v>4733</v>
      </c>
      <c r="OJ184" t="s">
        <v>4732</v>
      </c>
      <c r="OK184">
        <v>61</v>
      </c>
      <c r="OL184">
        <v>61</v>
      </c>
      <c r="OM184" t="s">
        <v>4104</v>
      </c>
      <c r="ON184">
        <v>2</v>
      </c>
      <c r="OO184">
        <v>1878</v>
      </c>
      <c r="OP184">
        <v>61</v>
      </c>
      <c r="OQ184">
        <v>61</v>
      </c>
      <c r="OR184" t="s">
        <v>4105</v>
      </c>
      <c r="OS184">
        <v>2</v>
      </c>
      <c r="OT184">
        <v>1885</v>
      </c>
      <c r="OU184">
        <v>65</v>
      </c>
      <c r="OV184">
        <v>65</v>
      </c>
      <c r="OW184" t="s">
        <v>4043</v>
      </c>
      <c r="OX184">
        <v>2</v>
      </c>
      <c r="OY184">
        <v>34777</v>
      </c>
      <c r="OZ184">
        <v>51</v>
      </c>
      <c r="PA184">
        <v>52</v>
      </c>
      <c r="PB184" t="s">
        <v>4733</v>
      </c>
      <c r="PC184">
        <v>2</v>
      </c>
      <c r="PD184">
        <v>1921</v>
      </c>
      <c r="PF184">
        <v>356</v>
      </c>
      <c r="PG184">
        <v>29</v>
      </c>
      <c r="PH184">
        <v>338</v>
      </c>
      <c r="PI184">
        <v>29</v>
      </c>
      <c r="PJ184">
        <v>106.6</v>
      </c>
      <c r="PK184">
        <v>2402</v>
      </c>
      <c r="PL184">
        <v>932.4</v>
      </c>
      <c r="PM184">
        <v>1282.7</v>
      </c>
      <c r="PN184">
        <v>96.5</v>
      </c>
      <c r="PP184">
        <v>12</v>
      </c>
      <c r="PQ184">
        <v>1</v>
      </c>
      <c r="PR184">
        <v>1</v>
      </c>
      <c r="PS184">
        <v>7</v>
      </c>
      <c r="PT184">
        <v>234</v>
      </c>
      <c r="PU184">
        <v>11</v>
      </c>
      <c r="PV184" t="s">
        <v>4072</v>
      </c>
      <c r="PW184" t="s">
        <v>4072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-1</v>
      </c>
      <c r="QF184">
        <v>1</v>
      </c>
      <c r="QG184">
        <v>0</v>
      </c>
      <c r="QH184">
        <v>5</v>
      </c>
      <c r="QI184">
        <v>5</v>
      </c>
      <c r="QJ184">
        <v>5</v>
      </c>
      <c r="QK184">
        <v>167</v>
      </c>
      <c r="QL184">
        <v>378</v>
      </c>
      <c r="QM184">
        <v>7.5</v>
      </c>
      <c r="QN184">
        <v>1381.4</v>
      </c>
      <c r="QO184" t="s">
        <v>2341</v>
      </c>
      <c r="QP184" t="s">
        <v>513</v>
      </c>
      <c r="QQ184">
        <v>0</v>
      </c>
      <c r="QR184" t="s">
        <v>649</v>
      </c>
      <c r="QS184">
        <v>30</v>
      </c>
      <c r="QT184">
        <v>40</v>
      </c>
    </row>
    <row r="185" spans="1:462">
      <c r="A185" t="s">
        <v>2593</v>
      </c>
      <c r="B185" t="s">
        <v>559</v>
      </c>
      <c r="C185" t="s">
        <v>509</v>
      </c>
      <c r="D185" t="s">
        <v>2584</v>
      </c>
      <c r="E185" t="s">
        <v>4036</v>
      </c>
      <c r="H185" t="s">
        <v>1294</v>
      </c>
      <c r="J185" t="s">
        <v>562</v>
      </c>
      <c r="K185" t="s">
        <v>563</v>
      </c>
      <c r="L185" t="s">
        <v>564</v>
      </c>
      <c r="M185" t="s">
        <v>512</v>
      </c>
      <c r="N185" t="s">
        <v>515</v>
      </c>
      <c r="O185" t="s">
        <v>513</v>
      </c>
      <c r="P185" t="s">
        <v>517</v>
      </c>
      <c r="Q185" t="s">
        <v>2594</v>
      </c>
      <c r="R185" t="s">
        <v>2595</v>
      </c>
      <c r="S185" t="s">
        <v>4391</v>
      </c>
      <c r="T185" t="s">
        <v>520</v>
      </c>
      <c r="U185" t="s">
        <v>521</v>
      </c>
      <c r="V185" t="s">
        <v>1241</v>
      </c>
      <c r="W185" t="s">
        <v>2336</v>
      </c>
      <c r="X185" t="s">
        <v>2596</v>
      </c>
      <c r="Y185" t="s">
        <v>2597</v>
      </c>
      <c r="Z185" t="s">
        <v>541</v>
      </c>
      <c r="AA185" t="s">
        <v>4038</v>
      </c>
      <c r="AB185" t="s">
        <v>4734</v>
      </c>
      <c r="AC185">
        <v>13</v>
      </c>
      <c r="AD185" t="s">
        <v>2592</v>
      </c>
      <c r="AE185">
        <v>6</v>
      </c>
      <c r="AF185">
        <v>7622</v>
      </c>
      <c r="AG185" t="s">
        <v>4735</v>
      </c>
      <c r="AH185">
        <v>1</v>
      </c>
      <c r="AI185" t="s">
        <v>4041</v>
      </c>
      <c r="AK185" t="s">
        <v>4736</v>
      </c>
      <c r="AL185">
        <v>1</v>
      </c>
      <c r="AM185" t="s">
        <v>582</v>
      </c>
      <c r="AO185" t="s">
        <v>4043</v>
      </c>
      <c r="AP185">
        <v>1</v>
      </c>
      <c r="AR185" t="s">
        <v>4737</v>
      </c>
      <c r="AS185">
        <v>1</v>
      </c>
      <c r="AT185">
        <v>52</v>
      </c>
      <c r="AV185" t="s">
        <v>4045</v>
      </c>
      <c r="AW185">
        <v>6.4</v>
      </c>
      <c r="AX185">
        <v>-6</v>
      </c>
      <c r="AY185">
        <v>97.5</v>
      </c>
      <c r="AZ185">
        <v>80</v>
      </c>
      <c r="BH185">
        <v>97.5</v>
      </c>
      <c r="BI185">
        <v>17.5</v>
      </c>
      <c r="BJ185">
        <v>80</v>
      </c>
      <c r="BK185">
        <v>2.5</v>
      </c>
      <c r="BL185">
        <v>195</v>
      </c>
      <c r="BM185">
        <v>-6</v>
      </c>
      <c r="BN185">
        <v>0</v>
      </c>
      <c r="BP185">
        <v>0</v>
      </c>
      <c r="BR185">
        <v>190</v>
      </c>
      <c r="BS185">
        <v>180</v>
      </c>
      <c r="BT185">
        <v>2175</v>
      </c>
      <c r="BU185" t="s">
        <v>4127</v>
      </c>
      <c r="BV185" t="s">
        <v>4127</v>
      </c>
      <c r="BW185" t="s">
        <v>4128</v>
      </c>
      <c r="BX185" t="s">
        <v>4128</v>
      </c>
      <c r="BY185" t="s">
        <v>4460</v>
      </c>
      <c r="BZ185" t="s">
        <v>4738</v>
      </c>
      <c r="CA185" t="s">
        <v>4051</v>
      </c>
      <c r="CB185" t="s">
        <v>4052</v>
      </c>
      <c r="CC185" t="s">
        <v>4053</v>
      </c>
      <c r="CD185" t="s">
        <v>4054</v>
      </c>
      <c r="CE185" t="s">
        <v>4055</v>
      </c>
      <c r="CF185" t="s">
        <v>4055</v>
      </c>
      <c r="CG185" t="s">
        <v>4056</v>
      </c>
      <c r="CI185" t="s">
        <v>4216</v>
      </c>
      <c r="CJ185" t="s">
        <v>4059</v>
      </c>
      <c r="CK185" t="s">
        <v>4060</v>
      </c>
      <c r="CL185" t="s">
        <v>4061</v>
      </c>
      <c r="CM185" t="s">
        <v>4062</v>
      </c>
      <c r="CN185" t="s">
        <v>4055</v>
      </c>
      <c r="CO185" t="s">
        <v>4063</v>
      </c>
      <c r="CP185" t="s">
        <v>4055</v>
      </c>
      <c r="CQ185" t="s">
        <v>4055</v>
      </c>
      <c r="CR185">
        <v>5</v>
      </c>
      <c r="CS185" t="s">
        <v>4055</v>
      </c>
      <c r="CT185" t="s">
        <v>4055</v>
      </c>
      <c r="CU185" t="s">
        <v>4055</v>
      </c>
      <c r="CV185">
        <v>140</v>
      </c>
      <c r="CW185">
        <v>3</v>
      </c>
      <c r="CX185">
        <v>73</v>
      </c>
      <c r="CY185">
        <v>5</v>
      </c>
      <c r="CZ185">
        <v>167</v>
      </c>
      <c r="DA185">
        <v>5</v>
      </c>
      <c r="DB185">
        <v>15820</v>
      </c>
      <c r="DC185">
        <v>470</v>
      </c>
      <c r="DD185">
        <v>370</v>
      </c>
      <c r="DE185">
        <v>2272</v>
      </c>
      <c r="DF185">
        <v>2272</v>
      </c>
      <c r="DG185">
        <v>2295</v>
      </c>
      <c r="DH185">
        <v>3</v>
      </c>
      <c r="DI185" t="s">
        <v>4055</v>
      </c>
      <c r="DJ185" t="s">
        <v>4217</v>
      </c>
      <c r="DK185">
        <v>190</v>
      </c>
      <c r="DL185" t="s">
        <v>4065</v>
      </c>
      <c r="DM185">
        <v>63</v>
      </c>
      <c r="DN185">
        <v>1.26</v>
      </c>
      <c r="DO185">
        <v>1</v>
      </c>
      <c r="DP185">
        <v>2179</v>
      </c>
      <c r="DQ185">
        <v>1000</v>
      </c>
      <c r="DR185" t="s">
        <v>4217</v>
      </c>
      <c r="DS185">
        <v>180</v>
      </c>
      <c r="DT185" t="s">
        <v>4065</v>
      </c>
      <c r="DU185">
        <v>63</v>
      </c>
      <c r="DV185">
        <v>1.26</v>
      </c>
      <c r="DW185">
        <v>1</v>
      </c>
      <c r="DX185">
        <v>2192</v>
      </c>
      <c r="DY185">
        <v>954</v>
      </c>
      <c r="DZ185" t="s">
        <v>4066</v>
      </c>
      <c r="EA185">
        <v>20</v>
      </c>
      <c r="EB185" t="s">
        <v>4065</v>
      </c>
      <c r="EC185">
        <v>0.8</v>
      </c>
      <c r="ED185">
        <v>2179</v>
      </c>
      <c r="EE185">
        <v>76</v>
      </c>
      <c r="EG185">
        <v>0</v>
      </c>
      <c r="EH185" t="s">
        <v>4065</v>
      </c>
      <c r="EI185">
        <v>0</v>
      </c>
      <c r="EL185" t="s">
        <v>1528</v>
      </c>
      <c r="EM185">
        <v>12</v>
      </c>
      <c r="EN185">
        <v>0.5</v>
      </c>
      <c r="EO185">
        <v>0.96</v>
      </c>
      <c r="EP185">
        <v>2190.84</v>
      </c>
      <c r="EQ185">
        <v>35429.99</v>
      </c>
      <c r="ER185">
        <v>6007.07</v>
      </c>
      <c r="ES185">
        <v>0</v>
      </c>
      <c r="ET185">
        <v>0</v>
      </c>
      <c r="EU185">
        <v>1</v>
      </c>
      <c r="EV185">
        <v>41438</v>
      </c>
      <c r="EW185">
        <v>498</v>
      </c>
      <c r="EX185" t="s">
        <v>4613</v>
      </c>
      <c r="EY185">
        <v>226</v>
      </c>
      <c r="EZ185" t="s">
        <v>4055</v>
      </c>
      <c r="FA185">
        <v>4.6</v>
      </c>
      <c r="FB185">
        <v>1</v>
      </c>
      <c r="FC185">
        <v>1</v>
      </c>
      <c r="FD185">
        <v>2226</v>
      </c>
      <c r="FE185">
        <v>2434</v>
      </c>
      <c r="FF185" t="s">
        <v>4288</v>
      </c>
      <c r="FG185">
        <v>248</v>
      </c>
      <c r="FH185" t="s">
        <v>4055</v>
      </c>
      <c r="FI185">
        <v>4.1</v>
      </c>
      <c r="FJ185">
        <v>2226</v>
      </c>
      <c r="FK185">
        <v>2736</v>
      </c>
      <c r="FL185" t="s">
        <v>4069</v>
      </c>
      <c r="FM185" t="s">
        <v>4055</v>
      </c>
      <c r="FN185" t="s">
        <v>4055</v>
      </c>
      <c r="FO185" t="s">
        <v>4055</v>
      </c>
      <c r="FP185">
        <v>2226</v>
      </c>
      <c r="FQ185">
        <v>241</v>
      </c>
      <c r="FR185" t="s">
        <v>4090</v>
      </c>
      <c r="FS185">
        <v>252</v>
      </c>
      <c r="FT185" t="s">
        <v>4055</v>
      </c>
      <c r="FU185">
        <v>0.4</v>
      </c>
      <c r="FV185">
        <v>2226</v>
      </c>
      <c r="FW185">
        <v>251</v>
      </c>
      <c r="FZ185" t="s">
        <v>4055</v>
      </c>
      <c r="GA185" t="s">
        <v>4055</v>
      </c>
      <c r="GD185">
        <v>5662</v>
      </c>
      <c r="GE185" t="s">
        <v>4737</v>
      </c>
      <c r="GF185" t="s">
        <v>4055</v>
      </c>
      <c r="GG185" t="s">
        <v>4055</v>
      </c>
      <c r="GH185" t="s">
        <v>4055</v>
      </c>
      <c r="GI185" t="s">
        <v>4071</v>
      </c>
      <c r="GJ185" t="s">
        <v>4055</v>
      </c>
      <c r="GK185" t="s">
        <v>4055</v>
      </c>
      <c r="GL185" t="s">
        <v>4055</v>
      </c>
      <c r="GM185" t="s">
        <v>4055</v>
      </c>
      <c r="GQ185">
        <v>0</v>
      </c>
      <c r="GV185">
        <v>9.1</v>
      </c>
      <c r="GW185">
        <v>11</v>
      </c>
      <c r="GX185">
        <v>0.5</v>
      </c>
      <c r="GY185">
        <v>194</v>
      </c>
      <c r="GZ185">
        <v>3</v>
      </c>
      <c r="HA185">
        <v>268</v>
      </c>
      <c r="HB185">
        <v>3</v>
      </c>
      <c r="HC185">
        <v>2226</v>
      </c>
      <c r="HD185">
        <v>4</v>
      </c>
      <c r="HE185" t="s">
        <v>4071</v>
      </c>
      <c r="HG185" t="s">
        <v>549</v>
      </c>
      <c r="HL185">
        <v>4</v>
      </c>
      <c r="HM185">
        <v>16</v>
      </c>
      <c r="HN185">
        <v>6</v>
      </c>
      <c r="HO185">
        <v>1</v>
      </c>
      <c r="HP185">
        <v>0</v>
      </c>
      <c r="HQ185">
        <v>0</v>
      </c>
      <c r="HR185">
        <v>3</v>
      </c>
      <c r="HS185">
        <v>2175</v>
      </c>
      <c r="HT185">
        <v>5</v>
      </c>
      <c r="HU185">
        <v>1</v>
      </c>
      <c r="HV185">
        <v>5</v>
      </c>
      <c r="HW185">
        <v>0</v>
      </c>
      <c r="HX185">
        <v>1</v>
      </c>
      <c r="HY185">
        <v>0</v>
      </c>
      <c r="HZ185">
        <v>63</v>
      </c>
      <c r="IA185">
        <v>2179</v>
      </c>
      <c r="IB185">
        <v>2192</v>
      </c>
      <c r="ID185">
        <v>2226</v>
      </c>
      <c r="IE185">
        <v>2226</v>
      </c>
      <c r="IF185">
        <v>190</v>
      </c>
      <c r="IG185">
        <v>180</v>
      </c>
      <c r="IH185">
        <v>268</v>
      </c>
      <c r="II185">
        <v>1</v>
      </c>
      <c r="IJ185">
        <v>5</v>
      </c>
      <c r="IK185">
        <v>0</v>
      </c>
      <c r="IL185">
        <v>0</v>
      </c>
      <c r="IM185">
        <v>0</v>
      </c>
      <c r="IN185">
        <v>270</v>
      </c>
      <c r="IO185">
        <v>0</v>
      </c>
      <c r="IP185">
        <v>180</v>
      </c>
      <c r="IQ185">
        <v>0</v>
      </c>
      <c r="IR185">
        <v>330</v>
      </c>
      <c r="IS185">
        <v>0</v>
      </c>
      <c r="IT185">
        <v>90</v>
      </c>
      <c r="IU185">
        <v>0</v>
      </c>
      <c r="IV185">
        <v>6.4</v>
      </c>
      <c r="IW185">
        <v>-6</v>
      </c>
      <c r="IX185">
        <v>97.5</v>
      </c>
      <c r="IY185">
        <v>80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468</v>
      </c>
      <c r="JJ185">
        <v>438</v>
      </c>
      <c r="JK185">
        <v>318</v>
      </c>
      <c r="JL185">
        <v>436</v>
      </c>
      <c r="JM185">
        <v>315</v>
      </c>
      <c r="JN185">
        <v>200</v>
      </c>
      <c r="JO185">
        <v>235</v>
      </c>
      <c r="JP185">
        <v>195</v>
      </c>
      <c r="JQ185">
        <v>260</v>
      </c>
      <c r="JR185">
        <v>356</v>
      </c>
      <c r="JS185">
        <v>230</v>
      </c>
      <c r="JT185">
        <v>0</v>
      </c>
      <c r="JU185">
        <v>0</v>
      </c>
      <c r="JV185">
        <v>335</v>
      </c>
      <c r="JW185">
        <v>337</v>
      </c>
      <c r="JX185">
        <v>349</v>
      </c>
      <c r="JY185">
        <v>334</v>
      </c>
      <c r="JZ185">
        <v>1</v>
      </c>
      <c r="KA185">
        <v>0.2</v>
      </c>
      <c r="KB185">
        <v>0.4</v>
      </c>
      <c r="KC185">
        <v>0.42</v>
      </c>
      <c r="KD185">
        <v>0.28</v>
      </c>
      <c r="KE185">
        <v>0.5</v>
      </c>
      <c r="KF185">
        <v>0.18</v>
      </c>
      <c r="KG185">
        <v>0.11</v>
      </c>
      <c r="KH185">
        <v>3.5</v>
      </c>
      <c r="KI185">
        <v>1</v>
      </c>
      <c r="KJ185">
        <v>4.5</v>
      </c>
      <c r="KK185">
        <v>0</v>
      </c>
      <c r="KL185">
        <v>4.5</v>
      </c>
      <c r="KM185">
        <v>4</v>
      </c>
      <c r="KN185">
        <v>1.9</v>
      </c>
      <c r="KO185">
        <v>0</v>
      </c>
      <c r="KP185">
        <v>0</v>
      </c>
      <c r="KQ185">
        <v>0.8</v>
      </c>
      <c r="KR185">
        <v>0.8</v>
      </c>
      <c r="KS185">
        <v>0</v>
      </c>
      <c r="KT185">
        <v>3.5</v>
      </c>
      <c r="KU185">
        <v>0</v>
      </c>
      <c r="KV185">
        <v>0</v>
      </c>
      <c r="KW185">
        <v>1.2</v>
      </c>
      <c r="KX185">
        <v>2</v>
      </c>
      <c r="KY185">
        <v>2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1.5</v>
      </c>
      <c r="LJ185">
        <v>0</v>
      </c>
      <c r="LK185">
        <v>5</v>
      </c>
      <c r="LL185">
        <v>10</v>
      </c>
      <c r="LM185">
        <v>8</v>
      </c>
      <c r="LN185">
        <v>0.3</v>
      </c>
      <c r="LO185">
        <v>0.5</v>
      </c>
      <c r="LP185">
        <v>0</v>
      </c>
      <c r="LQ185">
        <v>0</v>
      </c>
      <c r="LR185">
        <v>0</v>
      </c>
      <c r="LS185">
        <v>1</v>
      </c>
      <c r="LT185">
        <v>0</v>
      </c>
      <c r="LU185">
        <v>0</v>
      </c>
      <c r="LV185">
        <v>0</v>
      </c>
      <c r="LW185">
        <v>3.5</v>
      </c>
      <c r="LX185">
        <v>3.5</v>
      </c>
      <c r="LY185">
        <v>1.7</v>
      </c>
      <c r="LZ185">
        <v>1.7</v>
      </c>
      <c r="MA185">
        <v>0</v>
      </c>
      <c r="MB185">
        <v>2</v>
      </c>
      <c r="MC185">
        <v>0</v>
      </c>
      <c r="MD185">
        <v>4.5</v>
      </c>
      <c r="ME185">
        <v>6</v>
      </c>
      <c r="MF185">
        <v>6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358</v>
      </c>
      <c r="MN185">
        <v>190</v>
      </c>
      <c r="MO185">
        <v>268</v>
      </c>
      <c r="NU185">
        <v>0.15</v>
      </c>
      <c r="NV185">
        <v>0.2</v>
      </c>
      <c r="NW185">
        <v>0.2</v>
      </c>
      <c r="NX185">
        <v>2</v>
      </c>
      <c r="NY185">
        <v>2</v>
      </c>
      <c r="NZ185">
        <v>2</v>
      </c>
      <c r="OE185" t="s">
        <v>4737</v>
      </c>
      <c r="OF185" t="s">
        <v>4735</v>
      </c>
      <c r="OG185" t="s">
        <v>4736</v>
      </c>
      <c r="OH185" t="s">
        <v>4043</v>
      </c>
      <c r="OI185" t="s">
        <v>4737</v>
      </c>
      <c r="OJ185" t="s">
        <v>4734</v>
      </c>
      <c r="OK185">
        <v>61</v>
      </c>
      <c r="OL185">
        <v>61</v>
      </c>
      <c r="OM185" t="s">
        <v>4735</v>
      </c>
      <c r="ON185">
        <v>1</v>
      </c>
      <c r="OO185">
        <v>2179</v>
      </c>
      <c r="OP185">
        <v>61</v>
      </c>
      <c r="OQ185">
        <v>61</v>
      </c>
      <c r="OR185" t="s">
        <v>4736</v>
      </c>
      <c r="OS185">
        <v>1</v>
      </c>
      <c r="OT185">
        <v>2192</v>
      </c>
      <c r="OU185">
        <v>65</v>
      </c>
      <c r="OV185">
        <v>65</v>
      </c>
      <c r="OW185" t="s">
        <v>4043</v>
      </c>
      <c r="OX185">
        <v>2</v>
      </c>
      <c r="OY185">
        <v>41438</v>
      </c>
      <c r="OZ185">
        <v>51</v>
      </c>
      <c r="PA185">
        <v>52</v>
      </c>
      <c r="PB185" t="s">
        <v>4737</v>
      </c>
      <c r="PC185">
        <v>1</v>
      </c>
      <c r="PD185">
        <v>2226</v>
      </c>
      <c r="PF185">
        <v>459</v>
      </c>
      <c r="PG185">
        <v>35</v>
      </c>
      <c r="PH185">
        <v>435</v>
      </c>
      <c r="PI185">
        <v>0</v>
      </c>
      <c r="PJ185">
        <v>108.2</v>
      </c>
      <c r="PK185">
        <v>2222</v>
      </c>
      <c r="PL185">
        <v>1093.4</v>
      </c>
      <c r="PM185">
        <v>1228.9</v>
      </c>
      <c r="PN185">
        <v>112.6</v>
      </c>
      <c r="PP185">
        <v>12</v>
      </c>
      <c r="PQ185">
        <v>5</v>
      </c>
      <c r="PR185">
        <v>5</v>
      </c>
      <c r="PS185">
        <v>0</v>
      </c>
      <c r="PT185">
        <v>268</v>
      </c>
      <c r="PU185">
        <v>10</v>
      </c>
      <c r="PV185" t="s">
        <v>4072</v>
      </c>
      <c r="PW185" t="s">
        <v>4072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-1</v>
      </c>
      <c r="QF185">
        <v>1</v>
      </c>
      <c r="QG185">
        <v>0</v>
      </c>
      <c r="QH185">
        <v>5</v>
      </c>
      <c r="QI185">
        <v>5</v>
      </c>
      <c r="QJ185">
        <v>5</v>
      </c>
      <c r="QK185">
        <v>252</v>
      </c>
      <c r="QL185">
        <v>498</v>
      </c>
      <c r="QM185">
        <v>7.5</v>
      </c>
      <c r="QN185">
        <v>1288.9</v>
      </c>
      <c r="QO185" t="s">
        <v>2341</v>
      </c>
      <c r="QP185" t="s">
        <v>513</v>
      </c>
      <c r="QQ185">
        <v>0</v>
      </c>
      <c r="QR185" t="s">
        <v>1849</v>
      </c>
      <c r="QS185">
        <v>40</v>
      </c>
      <c r="QT185">
        <v>50</v>
      </c>
    </row>
    <row r="186" spans="1:462">
      <c r="A186" t="s">
        <v>2606</v>
      </c>
      <c r="B186" t="s">
        <v>564</v>
      </c>
      <c r="C186" t="s">
        <v>509</v>
      </c>
      <c r="D186" t="s">
        <v>2565</v>
      </c>
      <c r="E186" t="s">
        <v>4036</v>
      </c>
      <c r="H186" t="s">
        <v>604</v>
      </c>
      <c r="I186" t="s">
        <v>605</v>
      </c>
      <c r="K186" t="s">
        <v>606</v>
      </c>
      <c r="L186" t="s">
        <v>629</v>
      </c>
      <c r="M186" t="s">
        <v>512</v>
      </c>
      <c r="O186" t="s">
        <v>513</v>
      </c>
      <c r="P186" t="s">
        <v>517</v>
      </c>
      <c r="Q186" t="s">
        <v>939</v>
      </c>
      <c r="R186" t="s">
        <v>759</v>
      </c>
      <c r="S186" t="s">
        <v>4037</v>
      </c>
      <c r="T186" t="s">
        <v>633</v>
      </c>
      <c r="U186" t="s">
        <v>634</v>
      </c>
      <c r="V186" t="s">
        <v>2607</v>
      </c>
      <c r="W186" t="s">
        <v>2336</v>
      </c>
      <c r="X186" t="s">
        <v>2608</v>
      </c>
      <c r="Y186" t="s">
        <v>2609</v>
      </c>
      <c r="Z186" t="s">
        <v>650</v>
      </c>
      <c r="AA186" t="s">
        <v>4038</v>
      </c>
      <c r="AB186" t="s">
        <v>4739</v>
      </c>
      <c r="AC186">
        <v>13</v>
      </c>
      <c r="AD186" t="s">
        <v>2605</v>
      </c>
      <c r="AE186">
        <v>5</v>
      </c>
      <c r="AF186">
        <v>4090</v>
      </c>
      <c r="AG186" t="s">
        <v>4223</v>
      </c>
      <c r="AH186">
        <v>1</v>
      </c>
      <c r="AI186" t="s">
        <v>4041</v>
      </c>
      <c r="AK186" t="s">
        <v>4224</v>
      </c>
      <c r="AL186">
        <v>1</v>
      </c>
      <c r="AM186" t="s">
        <v>582</v>
      </c>
      <c r="AO186" t="s">
        <v>4043</v>
      </c>
      <c r="AP186">
        <v>1</v>
      </c>
      <c r="AR186" t="s">
        <v>4740</v>
      </c>
      <c r="AS186">
        <v>1</v>
      </c>
      <c r="AT186">
        <v>52</v>
      </c>
      <c r="AV186" t="s">
        <v>4045</v>
      </c>
      <c r="AW186">
        <v>6.4</v>
      </c>
      <c r="AX186">
        <v>-6</v>
      </c>
      <c r="AY186">
        <v>95</v>
      </c>
      <c r="AZ186">
        <v>77</v>
      </c>
      <c r="BH186">
        <v>95</v>
      </c>
      <c r="BI186">
        <v>18</v>
      </c>
      <c r="BJ186">
        <v>77</v>
      </c>
      <c r="BK186">
        <v>2.5</v>
      </c>
      <c r="BL186">
        <v>190</v>
      </c>
      <c r="BM186">
        <v>-6</v>
      </c>
      <c r="BN186">
        <v>0</v>
      </c>
      <c r="BP186">
        <v>0</v>
      </c>
      <c r="BR186">
        <v>185</v>
      </c>
      <c r="BS186">
        <v>175</v>
      </c>
      <c r="BT186">
        <v>1945</v>
      </c>
      <c r="BU186" t="s">
        <v>4047</v>
      </c>
      <c r="BV186" t="s">
        <v>4096</v>
      </c>
      <c r="BW186" t="s">
        <v>4049</v>
      </c>
      <c r="BX186" t="s">
        <v>4097</v>
      </c>
      <c r="BY186" t="s">
        <v>4107</v>
      </c>
      <c r="BZ186" t="s">
        <v>4107</v>
      </c>
      <c r="CA186" t="s">
        <v>4108</v>
      </c>
      <c r="CB186" t="s">
        <v>4109</v>
      </c>
      <c r="CC186" t="s">
        <v>4053</v>
      </c>
      <c r="CD186" t="s">
        <v>4110</v>
      </c>
      <c r="CE186" t="s">
        <v>4055</v>
      </c>
      <c r="CF186" t="s">
        <v>4055</v>
      </c>
      <c r="CG186" t="s">
        <v>4056</v>
      </c>
      <c r="CH186" t="s">
        <v>4099</v>
      </c>
      <c r="CI186" t="s">
        <v>4058</v>
      </c>
      <c r="CJ186" t="s">
        <v>4059</v>
      </c>
      <c r="CK186" t="s">
        <v>4060</v>
      </c>
      <c r="CL186" t="s">
        <v>4061</v>
      </c>
      <c r="CM186" t="s">
        <v>4062</v>
      </c>
      <c r="CN186" t="s">
        <v>4055</v>
      </c>
      <c r="CO186" t="s">
        <v>4063</v>
      </c>
      <c r="CP186" t="s">
        <v>4055</v>
      </c>
      <c r="CQ186" t="s">
        <v>4055</v>
      </c>
      <c r="CR186">
        <v>5</v>
      </c>
      <c r="CS186" t="s">
        <v>4055</v>
      </c>
      <c r="CT186" t="s">
        <v>4055</v>
      </c>
      <c r="CU186" t="s">
        <v>4055</v>
      </c>
      <c r="CV186">
        <v>123</v>
      </c>
      <c r="CW186">
        <v>3</v>
      </c>
      <c r="CX186">
        <v>101</v>
      </c>
      <c r="CY186">
        <v>5</v>
      </c>
      <c r="CZ186">
        <v>139</v>
      </c>
      <c r="DA186">
        <v>5</v>
      </c>
      <c r="DB186">
        <v>10460</v>
      </c>
      <c r="DC186">
        <v>310</v>
      </c>
      <c r="DD186">
        <v>305</v>
      </c>
      <c r="DE186">
        <v>2050</v>
      </c>
      <c r="DF186">
        <v>2050</v>
      </c>
      <c r="DG186">
        <v>2073</v>
      </c>
      <c r="DH186" t="s">
        <v>4055</v>
      </c>
      <c r="DI186" t="s">
        <v>4055</v>
      </c>
      <c r="DJ186" t="s">
        <v>4100</v>
      </c>
      <c r="DK186">
        <v>185</v>
      </c>
      <c r="DL186" t="s">
        <v>4101</v>
      </c>
      <c r="DM186">
        <v>65</v>
      </c>
      <c r="DN186">
        <v>0.84</v>
      </c>
      <c r="DO186">
        <v>1</v>
      </c>
      <c r="DP186">
        <v>1948</v>
      </c>
      <c r="DQ186">
        <v>658</v>
      </c>
      <c r="DR186" t="s">
        <v>4100</v>
      </c>
      <c r="DS186">
        <v>175</v>
      </c>
      <c r="DT186" t="s">
        <v>4101</v>
      </c>
      <c r="DU186">
        <v>65</v>
      </c>
      <c r="DV186">
        <v>0.84</v>
      </c>
      <c r="DW186">
        <v>1</v>
      </c>
      <c r="DX186">
        <v>1955</v>
      </c>
      <c r="DY186">
        <v>626</v>
      </c>
      <c r="DZ186" t="s">
        <v>4066</v>
      </c>
      <c r="EA186">
        <v>33</v>
      </c>
      <c r="EB186" t="s">
        <v>4065</v>
      </c>
      <c r="EC186">
        <v>0.4</v>
      </c>
      <c r="ED186">
        <v>1948</v>
      </c>
      <c r="EE186">
        <v>56</v>
      </c>
      <c r="EF186" t="s">
        <v>4066</v>
      </c>
      <c r="EG186">
        <v>33</v>
      </c>
      <c r="EH186" t="s">
        <v>4065</v>
      </c>
      <c r="EI186">
        <v>0.4</v>
      </c>
      <c r="EJ186">
        <v>1955</v>
      </c>
      <c r="EK186">
        <v>57</v>
      </c>
      <c r="EL186" t="s">
        <v>1528</v>
      </c>
      <c r="EM186">
        <v>12</v>
      </c>
      <c r="EN186">
        <v>0.5</v>
      </c>
      <c r="EO186">
        <v>0.96</v>
      </c>
      <c r="EP186">
        <v>1955.56</v>
      </c>
      <c r="EQ186">
        <v>30861.18</v>
      </c>
      <c r="ER186">
        <v>5516.98</v>
      </c>
      <c r="ES186">
        <v>0</v>
      </c>
      <c r="ET186">
        <v>0</v>
      </c>
      <c r="EU186">
        <v>1</v>
      </c>
      <c r="EV186">
        <v>36379</v>
      </c>
      <c r="EW186">
        <v>437</v>
      </c>
      <c r="EX186" t="s">
        <v>4613</v>
      </c>
      <c r="EY186">
        <v>198</v>
      </c>
      <c r="EZ186" t="s">
        <v>4055</v>
      </c>
      <c r="FA186">
        <v>4.4</v>
      </c>
      <c r="FB186">
        <v>1</v>
      </c>
      <c r="FC186">
        <v>1</v>
      </c>
      <c r="FD186">
        <v>1991</v>
      </c>
      <c r="FE186">
        <v>1922</v>
      </c>
      <c r="FF186" t="s">
        <v>4288</v>
      </c>
      <c r="FG186">
        <v>212</v>
      </c>
      <c r="FH186" t="s">
        <v>4055</v>
      </c>
      <c r="FI186">
        <v>4.3</v>
      </c>
      <c r="FJ186">
        <v>1991</v>
      </c>
      <c r="FK186">
        <v>2258</v>
      </c>
      <c r="FL186" t="s">
        <v>4069</v>
      </c>
      <c r="FM186" t="s">
        <v>4055</v>
      </c>
      <c r="FN186" t="s">
        <v>4055</v>
      </c>
      <c r="FO186" t="s">
        <v>4055</v>
      </c>
      <c r="FP186">
        <v>1991</v>
      </c>
      <c r="FQ186">
        <v>156</v>
      </c>
      <c r="FR186" t="s">
        <v>4090</v>
      </c>
      <c r="FS186">
        <v>216</v>
      </c>
      <c r="FT186" t="s">
        <v>4055</v>
      </c>
      <c r="FU186">
        <v>0.4</v>
      </c>
      <c r="FV186">
        <v>1991</v>
      </c>
      <c r="FW186">
        <v>192</v>
      </c>
      <c r="FZ186" t="s">
        <v>4055</v>
      </c>
      <c r="GA186" t="s">
        <v>4055</v>
      </c>
      <c r="GD186">
        <v>4528</v>
      </c>
      <c r="GE186" t="s">
        <v>4740</v>
      </c>
      <c r="GF186" t="s">
        <v>4055</v>
      </c>
      <c r="GG186" t="s">
        <v>4055</v>
      </c>
      <c r="GH186" t="s">
        <v>4055</v>
      </c>
      <c r="GI186" t="s">
        <v>4071</v>
      </c>
      <c r="GJ186" t="s">
        <v>4055</v>
      </c>
      <c r="GK186" t="s">
        <v>4055</v>
      </c>
      <c r="GL186" t="s">
        <v>4055</v>
      </c>
      <c r="GM186" t="s">
        <v>4055</v>
      </c>
      <c r="GQ186">
        <v>0</v>
      </c>
      <c r="GV186">
        <v>9.1</v>
      </c>
      <c r="GW186">
        <v>11.5</v>
      </c>
      <c r="GX186">
        <v>0.5</v>
      </c>
      <c r="GY186">
        <v>172</v>
      </c>
      <c r="GZ186">
        <v>3</v>
      </c>
      <c r="HA186">
        <v>228</v>
      </c>
      <c r="HB186">
        <v>3</v>
      </c>
      <c r="HC186">
        <v>1991</v>
      </c>
      <c r="HD186">
        <v>4</v>
      </c>
      <c r="HE186" t="s">
        <v>4071</v>
      </c>
      <c r="HG186" t="s">
        <v>549</v>
      </c>
      <c r="HL186">
        <v>4</v>
      </c>
      <c r="HM186">
        <v>17</v>
      </c>
      <c r="HN186">
        <v>1</v>
      </c>
      <c r="HO186">
        <v>1</v>
      </c>
      <c r="HP186">
        <v>0</v>
      </c>
      <c r="HQ186">
        <v>0</v>
      </c>
      <c r="HR186">
        <v>3</v>
      </c>
      <c r="HS186">
        <v>1945</v>
      </c>
      <c r="HT186">
        <v>5</v>
      </c>
      <c r="HU186">
        <v>1</v>
      </c>
      <c r="HV186">
        <v>5</v>
      </c>
      <c r="HW186">
        <v>0</v>
      </c>
      <c r="HX186">
        <v>1</v>
      </c>
      <c r="HY186">
        <v>0</v>
      </c>
      <c r="HZ186">
        <v>65</v>
      </c>
      <c r="IA186">
        <v>1948</v>
      </c>
      <c r="IB186">
        <v>1955</v>
      </c>
      <c r="ID186">
        <v>1991</v>
      </c>
      <c r="IE186">
        <v>1991</v>
      </c>
      <c r="IF186">
        <v>185</v>
      </c>
      <c r="IG186">
        <v>175</v>
      </c>
      <c r="IH186">
        <v>228</v>
      </c>
      <c r="II186">
        <v>1</v>
      </c>
      <c r="IJ186">
        <v>5</v>
      </c>
      <c r="IK186">
        <v>0</v>
      </c>
      <c r="IL186">
        <v>0</v>
      </c>
      <c r="IM186">
        <v>0</v>
      </c>
      <c r="IN186">
        <v>270</v>
      </c>
      <c r="IO186">
        <v>0</v>
      </c>
      <c r="IP186">
        <v>180</v>
      </c>
      <c r="IQ186">
        <v>0</v>
      </c>
      <c r="IR186">
        <v>330</v>
      </c>
      <c r="IS186">
        <v>0</v>
      </c>
      <c r="IT186">
        <v>90</v>
      </c>
      <c r="IU186">
        <v>0</v>
      </c>
      <c r="IV186">
        <v>6.4</v>
      </c>
      <c r="IW186">
        <v>-6</v>
      </c>
      <c r="IX186">
        <v>95</v>
      </c>
      <c r="IY186">
        <v>77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360</v>
      </c>
      <c r="JJ186">
        <v>332</v>
      </c>
      <c r="JK186">
        <v>244</v>
      </c>
      <c r="JL186">
        <v>328</v>
      </c>
      <c r="JM186">
        <v>244</v>
      </c>
      <c r="JN186">
        <v>185</v>
      </c>
      <c r="JO186">
        <v>238</v>
      </c>
      <c r="JP186">
        <v>200</v>
      </c>
      <c r="JQ186">
        <v>250</v>
      </c>
      <c r="JR186">
        <v>335</v>
      </c>
      <c r="JS186">
        <v>270</v>
      </c>
      <c r="JT186">
        <v>0</v>
      </c>
      <c r="JU186">
        <v>0</v>
      </c>
      <c r="JV186">
        <v>334</v>
      </c>
      <c r="JW186">
        <v>337</v>
      </c>
      <c r="JX186">
        <v>333</v>
      </c>
      <c r="JY186">
        <v>0</v>
      </c>
      <c r="JZ186">
        <v>0.1</v>
      </c>
      <c r="KA186">
        <v>0.2</v>
      </c>
      <c r="KB186">
        <v>0.4</v>
      </c>
      <c r="KC186">
        <v>0.42</v>
      </c>
      <c r="KD186">
        <v>0.28</v>
      </c>
      <c r="KE186">
        <v>0.5</v>
      </c>
      <c r="KF186">
        <v>0.17</v>
      </c>
      <c r="KG186">
        <v>0.1</v>
      </c>
      <c r="KH186">
        <v>3.5</v>
      </c>
      <c r="KI186">
        <v>1</v>
      </c>
      <c r="KJ186">
        <v>4.5</v>
      </c>
      <c r="KK186">
        <v>0</v>
      </c>
      <c r="KL186">
        <v>4.5</v>
      </c>
      <c r="KM186">
        <v>0</v>
      </c>
      <c r="KN186">
        <v>1.6</v>
      </c>
      <c r="KO186">
        <v>0</v>
      </c>
      <c r="KP186">
        <v>0</v>
      </c>
      <c r="KQ186">
        <v>0.6</v>
      </c>
      <c r="KR186">
        <v>0.8</v>
      </c>
      <c r="KS186">
        <v>0</v>
      </c>
      <c r="KT186">
        <v>2.4</v>
      </c>
      <c r="KU186">
        <v>0</v>
      </c>
      <c r="KV186">
        <v>0</v>
      </c>
      <c r="KW186">
        <v>1</v>
      </c>
      <c r="KX186">
        <v>2</v>
      </c>
      <c r="KY186">
        <v>1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0.5</v>
      </c>
      <c r="LJ186">
        <v>0</v>
      </c>
      <c r="LK186">
        <v>4</v>
      </c>
      <c r="LL186">
        <v>6</v>
      </c>
      <c r="LM186">
        <v>7</v>
      </c>
      <c r="LN186">
        <v>0.1</v>
      </c>
      <c r="LO186">
        <v>0.1</v>
      </c>
      <c r="LP186">
        <v>0</v>
      </c>
      <c r="LQ186">
        <v>0</v>
      </c>
      <c r="LR186">
        <v>0</v>
      </c>
      <c r="LS186">
        <v>1</v>
      </c>
      <c r="LT186">
        <v>0</v>
      </c>
      <c r="LU186">
        <v>0</v>
      </c>
      <c r="LV186">
        <v>0</v>
      </c>
      <c r="LW186">
        <v>1.6</v>
      </c>
      <c r="LX186">
        <v>1.6</v>
      </c>
      <c r="LY186">
        <v>1.7</v>
      </c>
      <c r="LZ186">
        <v>1.7</v>
      </c>
      <c r="MA186">
        <v>0</v>
      </c>
      <c r="MB186">
        <v>4.5</v>
      </c>
      <c r="MC186">
        <v>0</v>
      </c>
      <c r="MD186">
        <v>4.5</v>
      </c>
      <c r="ME186">
        <v>6</v>
      </c>
      <c r="MF186">
        <v>6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390</v>
      </c>
      <c r="MN186">
        <v>180</v>
      </c>
      <c r="MO186">
        <v>238</v>
      </c>
      <c r="NU186">
        <v>0.15</v>
      </c>
      <c r="NV186">
        <v>0.2</v>
      </c>
      <c r="NW186">
        <v>0.2</v>
      </c>
      <c r="NX186">
        <v>2</v>
      </c>
      <c r="NY186">
        <v>2</v>
      </c>
      <c r="NZ186">
        <v>2</v>
      </c>
      <c r="OE186" t="s">
        <v>4740</v>
      </c>
      <c r="OF186" t="s">
        <v>4223</v>
      </c>
      <c r="OG186" t="s">
        <v>4224</v>
      </c>
      <c r="OH186" t="s">
        <v>4043</v>
      </c>
      <c r="OI186" t="s">
        <v>4740</v>
      </c>
      <c r="OJ186" t="s">
        <v>4739</v>
      </c>
      <c r="OK186">
        <v>61</v>
      </c>
      <c r="OL186">
        <v>61</v>
      </c>
      <c r="OM186" t="s">
        <v>4223</v>
      </c>
      <c r="ON186">
        <v>3</v>
      </c>
      <c r="OO186">
        <v>1948</v>
      </c>
      <c r="OP186">
        <v>61</v>
      </c>
      <c r="OQ186">
        <v>61</v>
      </c>
      <c r="OR186" t="s">
        <v>4224</v>
      </c>
      <c r="OS186">
        <v>3</v>
      </c>
      <c r="OT186">
        <v>1955</v>
      </c>
      <c r="OU186">
        <v>65</v>
      </c>
      <c r="OV186">
        <v>65</v>
      </c>
      <c r="OW186" t="s">
        <v>4043</v>
      </c>
      <c r="OX186">
        <v>2</v>
      </c>
      <c r="OY186">
        <v>36379</v>
      </c>
      <c r="OZ186">
        <v>51</v>
      </c>
      <c r="PA186">
        <v>52</v>
      </c>
      <c r="PB186" t="s">
        <v>4740</v>
      </c>
      <c r="PC186">
        <v>3</v>
      </c>
      <c r="PD186">
        <v>1991</v>
      </c>
      <c r="PF186">
        <v>338</v>
      </c>
      <c r="PG186">
        <v>29</v>
      </c>
      <c r="PH186">
        <v>320</v>
      </c>
      <c r="PI186">
        <v>29</v>
      </c>
      <c r="PJ186">
        <v>78.40000000000001</v>
      </c>
      <c r="PK186">
        <v>2285</v>
      </c>
      <c r="PL186">
        <v>965.4</v>
      </c>
      <c r="PM186">
        <v>1134.1</v>
      </c>
      <c r="PN186">
        <v>96.5</v>
      </c>
      <c r="PP186">
        <v>12</v>
      </c>
      <c r="PQ186">
        <v>1</v>
      </c>
      <c r="PR186">
        <v>3</v>
      </c>
      <c r="PS186">
        <v>8</v>
      </c>
      <c r="PT186">
        <v>228</v>
      </c>
      <c r="PU186">
        <v>8</v>
      </c>
      <c r="PV186" t="s">
        <v>4072</v>
      </c>
      <c r="PW186" t="s">
        <v>4072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-1</v>
      </c>
      <c r="QF186">
        <v>1</v>
      </c>
      <c r="QG186">
        <v>0</v>
      </c>
      <c r="QH186">
        <v>5</v>
      </c>
      <c r="QI186">
        <v>5</v>
      </c>
      <c r="QJ186">
        <v>5</v>
      </c>
      <c r="QK186">
        <v>175</v>
      </c>
      <c r="QL186">
        <v>394</v>
      </c>
      <c r="QM186">
        <v>7.5</v>
      </c>
      <c r="QN186">
        <v>1379.8</v>
      </c>
      <c r="QO186" t="s">
        <v>2341</v>
      </c>
      <c r="QP186" t="s">
        <v>513</v>
      </c>
      <c r="QQ186">
        <v>0</v>
      </c>
      <c r="QR186" t="s">
        <v>649</v>
      </c>
      <c r="QS186">
        <v>30</v>
      </c>
      <c r="QT186">
        <v>40</v>
      </c>
    </row>
    <row r="187" spans="1:462">
      <c r="A187" t="s">
        <v>2615</v>
      </c>
      <c r="B187" t="s">
        <v>559</v>
      </c>
      <c r="C187" t="s">
        <v>509</v>
      </c>
      <c r="D187" t="s">
        <v>1444</v>
      </c>
      <c r="E187" t="s">
        <v>4036</v>
      </c>
      <c r="H187" t="s">
        <v>1088</v>
      </c>
      <c r="L187" t="s">
        <v>564</v>
      </c>
      <c r="M187" t="s">
        <v>512</v>
      </c>
      <c r="O187" t="s">
        <v>513</v>
      </c>
      <c r="P187" t="s">
        <v>517</v>
      </c>
      <c r="Q187" t="s">
        <v>2616</v>
      </c>
      <c r="R187" t="s">
        <v>2617</v>
      </c>
      <c r="S187" t="s">
        <v>4391</v>
      </c>
      <c r="T187" t="s">
        <v>520</v>
      </c>
      <c r="U187" t="s">
        <v>521</v>
      </c>
      <c r="V187" t="s">
        <v>1296</v>
      </c>
      <c r="W187" t="s">
        <v>2336</v>
      </c>
      <c r="X187" t="s">
        <v>2618</v>
      </c>
      <c r="Y187" t="s">
        <v>2619</v>
      </c>
      <c r="Z187" t="s">
        <v>541</v>
      </c>
      <c r="AA187" t="s">
        <v>4038</v>
      </c>
      <c r="AB187" t="s">
        <v>4741</v>
      </c>
      <c r="AC187">
        <v>13</v>
      </c>
      <c r="AD187" t="s">
        <v>2614</v>
      </c>
      <c r="AE187">
        <v>6</v>
      </c>
      <c r="AF187">
        <v>6123</v>
      </c>
      <c r="AG187" t="s">
        <v>4529</v>
      </c>
      <c r="AH187">
        <v>1</v>
      </c>
      <c r="AI187" t="s">
        <v>4041</v>
      </c>
      <c r="AK187" t="s">
        <v>4530</v>
      </c>
      <c r="AL187">
        <v>1</v>
      </c>
      <c r="AM187" t="s">
        <v>582</v>
      </c>
      <c r="AO187" t="s">
        <v>4043</v>
      </c>
      <c r="AP187">
        <v>1</v>
      </c>
      <c r="AR187" t="s">
        <v>4742</v>
      </c>
      <c r="AS187">
        <v>1</v>
      </c>
      <c r="AT187">
        <v>52</v>
      </c>
      <c r="AV187" t="s">
        <v>4045</v>
      </c>
      <c r="AW187">
        <v>6.4</v>
      </c>
      <c r="AX187">
        <v>-6</v>
      </c>
      <c r="AY187">
        <v>105</v>
      </c>
      <c r="AZ187">
        <v>87</v>
      </c>
      <c r="BH187">
        <v>105</v>
      </c>
      <c r="BI187">
        <v>18</v>
      </c>
      <c r="BJ187">
        <v>87</v>
      </c>
      <c r="BK187">
        <v>2.5</v>
      </c>
      <c r="BL187">
        <v>210</v>
      </c>
      <c r="BM187">
        <v>-6</v>
      </c>
      <c r="BN187">
        <v>0</v>
      </c>
      <c r="BP187">
        <v>0</v>
      </c>
      <c r="BR187">
        <v>205</v>
      </c>
      <c r="BS187">
        <v>195</v>
      </c>
      <c r="BT187">
        <v>2220</v>
      </c>
      <c r="BU187" t="s">
        <v>4079</v>
      </c>
      <c r="BV187" t="s">
        <v>4079</v>
      </c>
      <c r="BW187" t="s">
        <v>4081</v>
      </c>
      <c r="BX187" t="s">
        <v>4081</v>
      </c>
      <c r="BY187" t="s">
        <v>4738</v>
      </c>
      <c r="BZ187" t="s">
        <v>4738</v>
      </c>
      <c r="CA187" t="s">
        <v>4051</v>
      </c>
      <c r="CB187" t="s">
        <v>4052</v>
      </c>
      <c r="CC187" t="s">
        <v>4053</v>
      </c>
      <c r="CD187" t="s">
        <v>4054</v>
      </c>
      <c r="CE187" t="s">
        <v>4055</v>
      </c>
      <c r="CF187" t="s">
        <v>4055</v>
      </c>
      <c r="CG187" t="s">
        <v>4056</v>
      </c>
      <c r="CI187" t="s">
        <v>4216</v>
      </c>
      <c r="CJ187" t="s">
        <v>4059</v>
      </c>
      <c r="CK187" t="s">
        <v>4060</v>
      </c>
      <c r="CL187" t="s">
        <v>4061</v>
      </c>
      <c r="CM187" t="s">
        <v>4062</v>
      </c>
      <c r="CN187" t="s">
        <v>4055</v>
      </c>
      <c r="CO187" t="s">
        <v>4063</v>
      </c>
      <c r="CP187" t="s">
        <v>4055</v>
      </c>
      <c r="CQ187" t="s">
        <v>4055</v>
      </c>
      <c r="CR187">
        <v>5</v>
      </c>
      <c r="CS187" t="s">
        <v>4055</v>
      </c>
      <c r="CT187" t="s">
        <v>4055</v>
      </c>
      <c r="CU187" t="s">
        <v>4055</v>
      </c>
      <c r="CV187">
        <v>138</v>
      </c>
      <c r="CW187">
        <v>3</v>
      </c>
      <c r="CX187">
        <v>86</v>
      </c>
      <c r="CY187">
        <v>5</v>
      </c>
      <c r="CZ187">
        <v>185</v>
      </c>
      <c r="DA187">
        <v>5</v>
      </c>
      <c r="DB187">
        <v>14460</v>
      </c>
      <c r="DC187">
        <v>430</v>
      </c>
      <c r="DD187">
        <v>385</v>
      </c>
      <c r="DE187">
        <v>2325</v>
      </c>
      <c r="DF187">
        <v>2325</v>
      </c>
      <c r="DG187">
        <v>2338</v>
      </c>
      <c r="DH187">
        <v>3</v>
      </c>
      <c r="DI187" t="s">
        <v>4055</v>
      </c>
      <c r="DJ187" t="s">
        <v>4217</v>
      </c>
      <c r="DK187">
        <v>205</v>
      </c>
      <c r="DL187" t="s">
        <v>4065</v>
      </c>
      <c r="DM187">
        <v>63</v>
      </c>
      <c r="DN187">
        <v>1.26</v>
      </c>
      <c r="DO187">
        <v>1</v>
      </c>
      <c r="DP187">
        <v>2224</v>
      </c>
      <c r="DQ187">
        <v>1101</v>
      </c>
      <c r="DR187" t="s">
        <v>4217</v>
      </c>
      <c r="DS187">
        <v>195</v>
      </c>
      <c r="DT187" t="s">
        <v>4065</v>
      </c>
      <c r="DU187">
        <v>63</v>
      </c>
      <c r="DV187">
        <v>1.26</v>
      </c>
      <c r="DW187">
        <v>1</v>
      </c>
      <c r="DX187">
        <v>2237</v>
      </c>
      <c r="DY187">
        <v>1054</v>
      </c>
      <c r="DZ187" t="s">
        <v>4066</v>
      </c>
      <c r="EA187">
        <v>20</v>
      </c>
      <c r="EB187" t="s">
        <v>4065</v>
      </c>
      <c r="EC187">
        <v>0.8</v>
      </c>
      <c r="ED187">
        <v>2224</v>
      </c>
      <c r="EE187">
        <v>78</v>
      </c>
      <c r="EG187">
        <v>0</v>
      </c>
      <c r="EH187" t="s">
        <v>4065</v>
      </c>
      <c r="EI187">
        <v>0</v>
      </c>
      <c r="EL187" t="s">
        <v>1528</v>
      </c>
      <c r="EM187">
        <v>12</v>
      </c>
      <c r="EN187">
        <v>0.5</v>
      </c>
      <c r="EO187">
        <v>0.96</v>
      </c>
      <c r="EP187">
        <v>2235.84</v>
      </c>
      <c r="EQ187">
        <v>38777.85</v>
      </c>
      <c r="ER187">
        <v>6305.26</v>
      </c>
      <c r="ES187">
        <v>0</v>
      </c>
      <c r="ET187">
        <v>0</v>
      </c>
      <c r="EU187">
        <v>1</v>
      </c>
      <c r="EV187">
        <v>45084</v>
      </c>
      <c r="EW187">
        <v>542</v>
      </c>
      <c r="EX187" t="s">
        <v>4613</v>
      </c>
      <c r="EY187">
        <v>236</v>
      </c>
      <c r="EZ187" t="s">
        <v>4055</v>
      </c>
      <c r="FA187">
        <v>4</v>
      </c>
      <c r="FB187">
        <v>1</v>
      </c>
      <c r="FC187">
        <v>1</v>
      </c>
      <c r="FD187">
        <v>2269</v>
      </c>
      <c r="FE187">
        <v>2488</v>
      </c>
      <c r="FF187" t="s">
        <v>4288</v>
      </c>
      <c r="FG187">
        <v>244</v>
      </c>
      <c r="FH187" t="s">
        <v>4055</v>
      </c>
      <c r="FI187">
        <v>4.1</v>
      </c>
      <c r="FJ187">
        <v>2269</v>
      </c>
      <c r="FK187">
        <v>2607</v>
      </c>
      <c r="FL187" t="s">
        <v>4069</v>
      </c>
      <c r="FM187" t="s">
        <v>4055</v>
      </c>
      <c r="FN187" t="s">
        <v>4055</v>
      </c>
      <c r="FO187" t="s">
        <v>4055</v>
      </c>
      <c r="FP187">
        <v>2269</v>
      </c>
      <c r="FQ187">
        <v>215</v>
      </c>
      <c r="FR187" t="s">
        <v>4090</v>
      </c>
      <c r="FS187">
        <v>248</v>
      </c>
      <c r="FT187" t="s">
        <v>4055</v>
      </c>
      <c r="FU187">
        <v>0.4</v>
      </c>
      <c r="FV187">
        <v>2269</v>
      </c>
      <c r="FW187">
        <v>251</v>
      </c>
      <c r="FZ187" t="s">
        <v>4055</v>
      </c>
      <c r="GA187" t="s">
        <v>4055</v>
      </c>
      <c r="GD187">
        <v>5561</v>
      </c>
      <c r="GE187" t="s">
        <v>4742</v>
      </c>
      <c r="GF187" t="s">
        <v>4055</v>
      </c>
      <c r="GG187" t="s">
        <v>4055</v>
      </c>
      <c r="GH187" t="s">
        <v>4055</v>
      </c>
      <c r="GI187" t="s">
        <v>4071</v>
      </c>
      <c r="GJ187" t="s">
        <v>4055</v>
      </c>
      <c r="GK187" t="s">
        <v>4055</v>
      </c>
      <c r="GL187" t="s">
        <v>4055</v>
      </c>
      <c r="GM187" t="s">
        <v>4055</v>
      </c>
      <c r="GQ187">
        <v>0</v>
      </c>
      <c r="GV187">
        <v>8.5</v>
      </c>
      <c r="GW187">
        <v>11.5</v>
      </c>
      <c r="GX187">
        <v>0.5</v>
      </c>
      <c r="GY187">
        <v>188</v>
      </c>
      <c r="GZ187">
        <v>3</v>
      </c>
      <c r="HA187">
        <v>264</v>
      </c>
      <c r="HB187">
        <v>3</v>
      </c>
      <c r="HC187">
        <v>2269</v>
      </c>
      <c r="HD187">
        <v>4</v>
      </c>
      <c r="HE187" t="s">
        <v>4071</v>
      </c>
      <c r="HG187" t="s">
        <v>549</v>
      </c>
      <c r="HL187">
        <v>4</v>
      </c>
      <c r="HM187">
        <v>16</v>
      </c>
      <c r="HN187">
        <v>6</v>
      </c>
      <c r="HO187">
        <v>1</v>
      </c>
      <c r="HP187">
        <v>0</v>
      </c>
      <c r="HQ187">
        <v>0</v>
      </c>
      <c r="HR187">
        <v>2</v>
      </c>
      <c r="HS187">
        <v>2220</v>
      </c>
      <c r="HT187">
        <v>5</v>
      </c>
      <c r="HU187">
        <v>1</v>
      </c>
      <c r="HV187">
        <v>5</v>
      </c>
      <c r="HW187">
        <v>0</v>
      </c>
      <c r="HX187">
        <v>1</v>
      </c>
      <c r="HY187">
        <v>0</v>
      </c>
      <c r="HZ187">
        <v>63</v>
      </c>
      <c r="IA187">
        <v>2224</v>
      </c>
      <c r="IB187">
        <v>2237</v>
      </c>
      <c r="ID187">
        <v>2269</v>
      </c>
      <c r="IE187">
        <v>2269</v>
      </c>
      <c r="IF187">
        <v>205</v>
      </c>
      <c r="IG187">
        <v>195</v>
      </c>
      <c r="IH187">
        <v>264</v>
      </c>
      <c r="II187">
        <v>1</v>
      </c>
      <c r="IJ187">
        <v>5</v>
      </c>
      <c r="IK187">
        <v>0</v>
      </c>
      <c r="IL187">
        <v>0</v>
      </c>
      <c r="IM187">
        <v>0</v>
      </c>
      <c r="IN187">
        <v>150</v>
      </c>
      <c r="IO187">
        <v>0</v>
      </c>
      <c r="IP187">
        <v>180</v>
      </c>
      <c r="IQ187">
        <v>0</v>
      </c>
      <c r="IR187">
        <v>330</v>
      </c>
      <c r="IS187">
        <v>0</v>
      </c>
      <c r="IT187">
        <v>90</v>
      </c>
      <c r="IU187">
        <v>0</v>
      </c>
      <c r="IV187">
        <v>6.4</v>
      </c>
      <c r="IW187">
        <v>-6</v>
      </c>
      <c r="IX187">
        <v>105</v>
      </c>
      <c r="IY187">
        <v>87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496</v>
      </c>
      <c r="JJ187">
        <v>466</v>
      </c>
      <c r="JK187">
        <v>340</v>
      </c>
      <c r="JL187">
        <v>464</v>
      </c>
      <c r="JM187">
        <v>330</v>
      </c>
      <c r="JN187">
        <v>205</v>
      </c>
      <c r="JO187">
        <v>270</v>
      </c>
      <c r="JP187">
        <v>190</v>
      </c>
      <c r="JQ187">
        <v>240</v>
      </c>
      <c r="JR187">
        <v>385</v>
      </c>
      <c r="JS187">
        <v>230</v>
      </c>
      <c r="JT187">
        <v>0</v>
      </c>
      <c r="JU187">
        <v>0</v>
      </c>
      <c r="JV187">
        <v>335</v>
      </c>
      <c r="JW187">
        <v>337</v>
      </c>
      <c r="JX187">
        <v>310</v>
      </c>
      <c r="JY187">
        <v>290</v>
      </c>
      <c r="JZ187">
        <v>0.5</v>
      </c>
      <c r="KA187">
        <v>0.2</v>
      </c>
      <c r="KB187">
        <v>0.4</v>
      </c>
      <c r="KC187">
        <v>0.42</v>
      </c>
      <c r="KD187">
        <v>0.3</v>
      </c>
      <c r="KE187">
        <v>0.5</v>
      </c>
      <c r="KF187">
        <v>0.21</v>
      </c>
      <c r="KG187">
        <v>0.1</v>
      </c>
      <c r="KH187">
        <v>3.5</v>
      </c>
      <c r="KI187">
        <v>1</v>
      </c>
      <c r="KJ187">
        <v>4.5</v>
      </c>
      <c r="KK187">
        <v>0</v>
      </c>
      <c r="KL187">
        <v>4.5</v>
      </c>
      <c r="KM187">
        <v>0</v>
      </c>
      <c r="KN187">
        <v>1.7</v>
      </c>
      <c r="KO187">
        <v>2</v>
      </c>
      <c r="KP187">
        <v>0</v>
      </c>
      <c r="KQ187">
        <v>1</v>
      </c>
      <c r="KR187">
        <v>1</v>
      </c>
      <c r="KS187">
        <v>0</v>
      </c>
      <c r="KT187">
        <v>3</v>
      </c>
      <c r="KU187">
        <v>0</v>
      </c>
      <c r="KV187">
        <v>0</v>
      </c>
      <c r="KW187">
        <v>0.8</v>
      </c>
      <c r="KX187">
        <v>2</v>
      </c>
      <c r="KY187">
        <v>0</v>
      </c>
      <c r="KZ187">
        <v>3</v>
      </c>
      <c r="LA187">
        <v>1.4</v>
      </c>
      <c r="LB187">
        <v>8</v>
      </c>
      <c r="LC187">
        <v>2.8</v>
      </c>
      <c r="LD187">
        <v>3.5</v>
      </c>
      <c r="LE187">
        <v>1.6</v>
      </c>
      <c r="LF187">
        <v>0</v>
      </c>
      <c r="LG187">
        <v>0</v>
      </c>
      <c r="LH187">
        <v>3</v>
      </c>
      <c r="LI187">
        <v>0.5</v>
      </c>
      <c r="LJ187">
        <v>0</v>
      </c>
      <c r="LK187">
        <v>9</v>
      </c>
      <c r="LL187">
        <v>14</v>
      </c>
      <c r="LM187">
        <v>15</v>
      </c>
      <c r="LN187">
        <v>0.5</v>
      </c>
      <c r="LO187">
        <v>3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2.6</v>
      </c>
      <c r="LX187">
        <v>2.6</v>
      </c>
      <c r="LY187">
        <v>2.1</v>
      </c>
      <c r="LZ187">
        <v>2.1</v>
      </c>
      <c r="MA187">
        <v>0</v>
      </c>
      <c r="MB187">
        <v>4</v>
      </c>
      <c r="MC187">
        <v>0</v>
      </c>
      <c r="MD187">
        <v>4.5</v>
      </c>
      <c r="ME187">
        <v>6</v>
      </c>
      <c r="MF187">
        <v>6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452</v>
      </c>
      <c r="MN187">
        <v>245</v>
      </c>
      <c r="MO187">
        <v>270</v>
      </c>
      <c r="NU187">
        <v>0.15</v>
      </c>
      <c r="NV187">
        <v>0.2</v>
      </c>
      <c r="NW187">
        <v>0.2</v>
      </c>
      <c r="NX187">
        <v>2</v>
      </c>
      <c r="NY187">
        <v>2</v>
      </c>
      <c r="NZ187">
        <v>2</v>
      </c>
      <c r="OE187" t="s">
        <v>4742</v>
      </c>
      <c r="OF187" t="s">
        <v>4529</v>
      </c>
      <c r="OG187" t="s">
        <v>4530</v>
      </c>
      <c r="OH187" t="s">
        <v>4043</v>
      </c>
      <c r="OI187" t="s">
        <v>4742</v>
      </c>
      <c r="OJ187" t="s">
        <v>4741</v>
      </c>
      <c r="OK187">
        <v>61</v>
      </c>
      <c r="OL187">
        <v>61</v>
      </c>
      <c r="OM187" t="s">
        <v>4529</v>
      </c>
      <c r="ON187">
        <v>1</v>
      </c>
      <c r="OO187">
        <v>2224</v>
      </c>
      <c r="OP187">
        <v>61</v>
      </c>
      <c r="OQ187">
        <v>61</v>
      </c>
      <c r="OR187" t="s">
        <v>4530</v>
      </c>
      <c r="OS187">
        <v>1</v>
      </c>
      <c r="OT187">
        <v>2237</v>
      </c>
      <c r="OU187">
        <v>65</v>
      </c>
      <c r="OV187">
        <v>65</v>
      </c>
      <c r="OW187" t="s">
        <v>4043</v>
      </c>
      <c r="OX187">
        <v>2</v>
      </c>
      <c r="OY187">
        <v>45084</v>
      </c>
      <c r="OZ187">
        <v>51</v>
      </c>
      <c r="PA187">
        <v>52</v>
      </c>
      <c r="PB187" t="s">
        <v>4742</v>
      </c>
      <c r="PC187">
        <v>1</v>
      </c>
      <c r="PD187">
        <v>2269</v>
      </c>
      <c r="PF187">
        <v>495</v>
      </c>
      <c r="PG187">
        <v>35</v>
      </c>
      <c r="PH187">
        <v>471</v>
      </c>
      <c r="PI187">
        <v>0</v>
      </c>
      <c r="PJ187">
        <v>94.59999999999999</v>
      </c>
      <c r="PL187">
        <v>1096.3</v>
      </c>
      <c r="PM187">
        <v>1149</v>
      </c>
      <c r="PN187">
        <v>110.8</v>
      </c>
      <c r="PP187">
        <v>12</v>
      </c>
      <c r="PQ187">
        <v>4</v>
      </c>
      <c r="PR187">
        <v>4</v>
      </c>
      <c r="PS187">
        <v>0</v>
      </c>
      <c r="PT187">
        <v>264</v>
      </c>
      <c r="PU187">
        <v>10</v>
      </c>
      <c r="PV187" t="s">
        <v>4072</v>
      </c>
      <c r="PW187" t="s">
        <v>4072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-1</v>
      </c>
      <c r="QF187">
        <v>1</v>
      </c>
      <c r="QG187">
        <v>0</v>
      </c>
      <c r="QH187">
        <v>5</v>
      </c>
      <c r="QI187">
        <v>5</v>
      </c>
      <c r="QJ187">
        <v>5</v>
      </c>
      <c r="QK187">
        <v>266</v>
      </c>
      <c r="QL187">
        <v>526</v>
      </c>
      <c r="QM187">
        <v>7.5</v>
      </c>
      <c r="QN187">
        <v>1288.9</v>
      </c>
      <c r="QO187" t="s">
        <v>2341</v>
      </c>
      <c r="QP187" t="s">
        <v>513</v>
      </c>
      <c r="QQ187">
        <v>0</v>
      </c>
      <c r="QR187" t="s">
        <v>596</v>
      </c>
      <c r="QS187">
        <v>40</v>
      </c>
      <c r="QT187">
        <v>50</v>
      </c>
    </row>
    <row r="188" spans="1:462">
      <c r="A188" t="s">
        <v>2626</v>
      </c>
      <c r="B188" t="s">
        <v>564</v>
      </c>
      <c r="C188" t="s">
        <v>509</v>
      </c>
      <c r="D188" t="s">
        <v>2565</v>
      </c>
      <c r="E188" t="s">
        <v>4036</v>
      </c>
      <c r="H188" t="s">
        <v>604</v>
      </c>
      <c r="I188" t="s">
        <v>605</v>
      </c>
      <c r="K188" t="s">
        <v>606</v>
      </c>
      <c r="L188" t="s">
        <v>629</v>
      </c>
      <c r="M188" t="s">
        <v>512</v>
      </c>
      <c r="O188" t="s">
        <v>513</v>
      </c>
      <c r="P188" t="s">
        <v>517</v>
      </c>
      <c r="Q188" t="s">
        <v>819</v>
      </c>
      <c r="R188" t="s">
        <v>820</v>
      </c>
      <c r="S188" t="s">
        <v>4170</v>
      </c>
      <c r="T188" t="s">
        <v>633</v>
      </c>
      <c r="U188" t="s">
        <v>634</v>
      </c>
      <c r="V188" t="s">
        <v>2567</v>
      </c>
      <c r="W188" t="s">
        <v>2336</v>
      </c>
      <c r="X188" t="s">
        <v>2627</v>
      </c>
      <c r="Y188" t="s">
        <v>2628</v>
      </c>
      <c r="Z188" t="s">
        <v>541</v>
      </c>
      <c r="AA188" t="s">
        <v>4038</v>
      </c>
      <c r="AB188" t="s">
        <v>4743</v>
      </c>
      <c r="AC188">
        <v>13</v>
      </c>
      <c r="AD188" t="s">
        <v>2625</v>
      </c>
      <c r="AE188">
        <v>5</v>
      </c>
      <c r="AF188">
        <v>4330</v>
      </c>
      <c r="AG188" t="s">
        <v>4152</v>
      </c>
      <c r="AH188">
        <v>1</v>
      </c>
      <c r="AI188" t="s">
        <v>4041</v>
      </c>
      <c r="AK188" t="s">
        <v>4153</v>
      </c>
      <c r="AL188">
        <v>1</v>
      </c>
      <c r="AM188" t="s">
        <v>582</v>
      </c>
      <c r="AO188" t="s">
        <v>4043</v>
      </c>
      <c r="AP188">
        <v>1</v>
      </c>
      <c r="AR188" t="s">
        <v>4744</v>
      </c>
      <c r="AS188">
        <v>1</v>
      </c>
      <c r="AT188">
        <v>52</v>
      </c>
      <c r="AV188" t="s">
        <v>4045</v>
      </c>
      <c r="AW188">
        <v>6.4</v>
      </c>
      <c r="AX188">
        <v>-6</v>
      </c>
      <c r="AY188">
        <v>97.5</v>
      </c>
      <c r="AZ188">
        <v>80</v>
      </c>
      <c r="BH188">
        <v>97.5</v>
      </c>
      <c r="BI188">
        <v>17.5</v>
      </c>
      <c r="BJ188">
        <v>80</v>
      </c>
      <c r="BK188">
        <v>2.5</v>
      </c>
      <c r="BL188">
        <v>195</v>
      </c>
      <c r="BM188">
        <v>-6</v>
      </c>
      <c r="BN188">
        <v>0</v>
      </c>
      <c r="BP188">
        <v>0</v>
      </c>
      <c r="BR188">
        <v>190</v>
      </c>
      <c r="BS188">
        <v>180</v>
      </c>
      <c r="BT188">
        <v>2010</v>
      </c>
      <c r="BU188" t="s">
        <v>4096</v>
      </c>
      <c r="BV188" t="s">
        <v>4096</v>
      </c>
      <c r="BW188" t="s">
        <v>4097</v>
      </c>
      <c r="BX188" t="s">
        <v>4097</v>
      </c>
      <c r="BY188" t="s">
        <v>4107</v>
      </c>
      <c r="BZ188" t="s">
        <v>4173</v>
      </c>
      <c r="CA188" t="s">
        <v>4108</v>
      </c>
      <c r="CB188" t="s">
        <v>4109</v>
      </c>
      <c r="CC188" t="s">
        <v>4053</v>
      </c>
      <c r="CD188" t="s">
        <v>4110</v>
      </c>
      <c r="CE188" t="s">
        <v>4055</v>
      </c>
      <c r="CF188" t="s">
        <v>4055</v>
      </c>
      <c r="CG188" t="s">
        <v>4056</v>
      </c>
      <c r="CI188" t="s">
        <v>4058</v>
      </c>
      <c r="CJ188" t="s">
        <v>4059</v>
      </c>
      <c r="CK188" t="s">
        <v>4060</v>
      </c>
      <c r="CL188" t="s">
        <v>4061</v>
      </c>
      <c r="CM188" t="s">
        <v>4062</v>
      </c>
      <c r="CN188" t="s">
        <v>4055</v>
      </c>
      <c r="CO188" t="s">
        <v>4063</v>
      </c>
      <c r="CP188" t="s">
        <v>4055</v>
      </c>
      <c r="CQ188" t="s">
        <v>4055</v>
      </c>
      <c r="CR188">
        <v>5</v>
      </c>
      <c r="CS188" t="s">
        <v>4055</v>
      </c>
      <c r="CT188" t="s">
        <v>4055</v>
      </c>
      <c r="CU188" t="s">
        <v>4055</v>
      </c>
      <c r="CV188">
        <v>126</v>
      </c>
      <c r="CW188">
        <v>3</v>
      </c>
      <c r="CX188">
        <v>82</v>
      </c>
      <c r="CY188">
        <v>5</v>
      </c>
      <c r="CZ188">
        <v>141</v>
      </c>
      <c r="DA188">
        <v>5</v>
      </c>
      <c r="DB188">
        <v>11180</v>
      </c>
      <c r="DC188">
        <v>330</v>
      </c>
      <c r="DD188">
        <v>342</v>
      </c>
      <c r="DE188">
        <v>2124</v>
      </c>
      <c r="DF188">
        <v>2124</v>
      </c>
      <c r="DG188">
        <v>2145</v>
      </c>
      <c r="DH188" t="s">
        <v>4055</v>
      </c>
      <c r="DI188" t="s">
        <v>4055</v>
      </c>
      <c r="DJ188" t="s">
        <v>4132</v>
      </c>
      <c r="DK188">
        <v>190</v>
      </c>
      <c r="DL188" t="s">
        <v>4065</v>
      </c>
      <c r="DM188">
        <v>65</v>
      </c>
      <c r="DN188">
        <v>1.1</v>
      </c>
      <c r="DO188">
        <v>1</v>
      </c>
      <c r="DP188">
        <v>2013</v>
      </c>
      <c r="DQ188">
        <v>827</v>
      </c>
      <c r="DR188" t="s">
        <v>4132</v>
      </c>
      <c r="DS188">
        <v>180</v>
      </c>
      <c r="DT188" t="s">
        <v>4065</v>
      </c>
      <c r="DU188">
        <v>65</v>
      </c>
      <c r="DV188">
        <v>1.1</v>
      </c>
      <c r="DW188">
        <v>1</v>
      </c>
      <c r="DX188">
        <v>2025</v>
      </c>
      <c r="DY188">
        <v>788</v>
      </c>
      <c r="DZ188" t="s">
        <v>4066</v>
      </c>
      <c r="EA188">
        <v>20</v>
      </c>
      <c r="EB188" t="s">
        <v>4065</v>
      </c>
      <c r="EC188">
        <v>0.8</v>
      </c>
      <c r="ED188">
        <v>2013</v>
      </c>
      <c r="EE188">
        <v>70</v>
      </c>
      <c r="EG188">
        <v>0</v>
      </c>
      <c r="EH188" t="s">
        <v>4065</v>
      </c>
      <c r="EI188">
        <v>0</v>
      </c>
      <c r="EL188" t="s">
        <v>1528</v>
      </c>
      <c r="EM188">
        <v>12</v>
      </c>
      <c r="EN188">
        <v>0.5</v>
      </c>
      <c r="EO188">
        <v>0.96</v>
      </c>
      <c r="EP188">
        <v>2023.83</v>
      </c>
      <c r="EQ188">
        <v>32729.13</v>
      </c>
      <c r="ER188">
        <v>5550.4</v>
      </c>
      <c r="ES188">
        <v>0</v>
      </c>
      <c r="ET188">
        <v>0</v>
      </c>
      <c r="EU188">
        <v>1</v>
      </c>
      <c r="EV188">
        <v>38280</v>
      </c>
      <c r="EW188">
        <v>460</v>
      </c>
      <c r="EX188" t="s">
        <v>4613</v>
      </c>
      <c r="EY188">
        <v>200</v>
      </c>
      <c r="EZ188" t="s">
        <v>4055</v>
      </c>
      <c r="FA188">
        <v>4.6</v>
      </c>
      <c r="FB188">
        <v>1</v>
      </c>
      <c r="FC188">
        <v>1</v>
      </c>
      <c r="FD188">
        <v>2059</v>
      </c>
      <c r="FE188">
        <v>1946</v>
      </c>
      <c r="FF188" t="s">
        <v>4288</v>
      </c>
      <c r="FG188">
        <v>212</v>
      </c>
      <c r="FH188" t="s">
        <v>4055</v>
      </c>
      <c r="FI188">
        <v>4</v>
      </c>
      <c r="FJ188">
        <v>2059</v>
      </c>
      <c r="FK188">
        <v>2268</v>
      </c>
      <c r="FL188" t="s">
        <v>4069</v>
      </c>
      <c r="FM188" t="s">
        <v>4055</v>
      </c>
      <c r="FN188" t="s">
        <v>4055</v>
      </c>
      <c r="FO188" t="s">
        <v>4055</v>
      </c>
      <c r="FP188">
        <v>2059</v>
      </c>
      <c r="FQ188">
        <v>292</v>
      </c>
      <c r="FR188" t="s">
        <v>4090</v>
      </c>
      <c r="FS188">
        <v>216</v>
      </c>
      <c r="FT188" t="s">
        <v>4055</v>
      </c>
      <c r="FU188">
        <v>0.4</v>
      </c>
      <c r="FV188">
        <v>2059</v>
      </c>
      <c r="FW188">
        <v>199</v>
      </c>
      <c r="FZ188" t="s">
        <v>4055</v>
      </c>
      <c r="GA188" t="s">
        <v>4055</v>
      </c>
      <c r="GD188">
        <v>4705</v>
      </c>
      <c r="GE188" t="s">
        <v>4744</v>
      </c>
      <c r="GF188" t="s">
        <v>4055</v>
      </c>
      <c r="GG188" t="s">
        <v>4055</v>
      </c>
      <c r="GH188" t="s">
        <v>4055</v>
      </c>
      <c r="GI188" t="s">
        <v>4071</v>
      </c>
      <c r="GJ188" t="s">
        <v>4055</v>
      </c>
      <c r="GK188" t="s">
        <v>4055</v>
      </c>
      <c r="GL188" t="s">
        <v>4055</v>
      </c>
      <c r="GM188" t="s">
        <v>4055</v>
      </c>
      <c r="GQ188">
        <v>0</v>
      </c>
      <c r="GV188">
        <v>9</v>
      </c>
      <c r="GW188">
        <v>11.1</v>
      </c>
      <c r="GX188">
        <v>0.5</v>
      </c>
      <c r="GY188">
        <v>180</v>
      </c>
      <c r="GZ188">
        <v>3</v>
      </c>
      <c r="HA188">
        <v>234</v>
      </c>
      <c r="HB188">
        <v>3</v>
      </c>
      <c r="HC188">
        <v>2059</v>
      </c>
      <c r="HD188">
        <v>4</v>
      </c>
      <c r="HE188" t="s">
        <v>4071</v>
      </c>
      <c r="HG188" t="s">
        <v>549</v>
      </c>
      <c r="HL188">
        <v>4</v>
      </c>
      <c r="HM188">
        <v>17</v>
      </c>
      <c r="HN188">
        <v>6</v>
      </c>
      <c r="HO188">
        <v>1</v>
      </c>
      <c r="HP188">
        <v>0</v>
      </c>
      <c r="HQ188">
        <v>0</v>
      </c>
      <c r="HR188">
        <v>3</v>
      </c>
      <c r="HS188">
        <v>2010</v>
      </c>
      <c r="HT188">
        <v>5</v>
      </c>
      <c r="HU188">
        <v>1</v>
      </c>
      <c r="HV188">
        <v>5</v>
      </c>
      <c r="HW188">
        <v>0</v>
      </c>
      <c r="HX188">
        <v>1</v>
      </c>
      <c r="HY188">
        <v>0</v>
      </c>
      <c r="HZ188">
        <v>65</v>
      </c>
      <c r="IA188">
        <v>2013</v>
      </c>
      <c r="IB188">
        <v>2025</v>
      </c>
      <c r="ID188">
        <v>2059</v>
      </c>
      <c r="IE188">
        <v>2059</v>
      </c>
      <c r="IF188">
        <v>190</v>
      </c>
      <c r="IG188">
        <v>180</v>
      </c>
      <c r="IH188">
        <v>234</v>
      </c>
      <c r="II188">
        <v>1</v>
      </c>
      <c r="IJ188">
        <v>5</v>
      </c>
      <c r="IK188">
        <v>0</v>
      </c>
      <c r="IL188">
        <v>0</v>
      </c>
      <c r="IM188">
        <v>0</v>
      </c>
      <c r="IN188">
        <v>270</v>
      </c>
      <c r="IO188">
        <v>0</v>
      </c>
      <c r="IP188">
        <v>180</v>
      </c>
      <c r="IQ188">
        <v>0</v>
      </c>
      <c r="IR188">
        <v>330</v>
      </c>
      <c r="IS188">
        <v>0</v>
      </c>
      <c r="IT188">
        <v>90</v>
      </c>
      <c r="IU188">
        <v>0</v>
      </c>
      <c r="IV188">
        <v>6.4</v>
      </c>
      <c r="IW188">
        <v>-6</v>
      </c>
      <c r="IX188">
        <v>97.5</v>
      </c>
      <c r="IY188">
        <v>80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380</v>
      </c>
      <c r="JJ188">
        <v>350</v>
      </c>
      <c r="JK188">
        <v>265</v>
      </c>
      <c r="JL188">
        <v>348</v>
      </c>
      <c r="JM188">
        <v>275</v>
      </c>
      <c r="JN188">
        <v>225</v>
      </c>
      <c r="JO188">
        <v>240</v>
      </c>
      <c r="JP188">
        <v>203</v>
      </c>
      <c r="JQ188">
        <v>250</v>
      </c>
      <c r="JR188">
        <v>336</v>
      </c>
      <c r="JS188">
        <v>240</v>
      </c>
      <c r="JT188">
        <v>0</v>
      </c>
      <c r="JU188">
        <v>0</v>
      </c>
      <c r="JV188">
        <v>335</v>
      </c>
      <c r="JW188">
        <v>337</v>
      </c>
      <c r="JX188">
        <v>320</v>
      </c>
      <c r="JY188">
        <v>280</v>
      </c>
      <c r="JZ188">
        <v>1</v>
      </c>
      <c r="KA188">
        <v>0.2</v>
      </c>
      <c r="KB188">
        <v>0.4</v>
      </c>
      <c r="KC188">
        <v>0.42</v>
      </c>
      <c r="KD188">
        <v>0.28</v>
      </c>
      <c r="KE188">
        <v>0.5</v>
      </c>
      <c r="KF188">
        <v>0.18</v>
      </c>
      <c r="KG188">
        <v>0.1</v>
      </c>
      <c r="KH188">
        <v>3.5</v>
      </c>
      <c r="KI188">
        <v>1</v>
      </c>
      <c r="KJ188">
        <v>4.5</v>
      </c>
      <c r="KK188">
        <v>0</v>
      </c>
      <c r="KL188">
        <v>4.5</v>
      </c>
      <c r="KM188">
        <v>0</v>
      </c>
      <c r="KN188">
        <v>1.6</v>
      </c>
      <c r="KO188">
        <v>0</v>
      </c>
      <c r="KP188">
        <v>0</v>
      </c>
      <c r="KQ188">
        <v>0.8</v>
      </c>
      <c r="KR188">
        <v>1</v>
      </c>
      <c r="KS188">
        <v>0</v>
      </c>
      <c r="KT188">
        <v>2</v>
      </c>
      <c r="KU188">
        <v>0</v>
      </c>
      <c r="KV188">
        <v>0</v>
      </c>
      <c r="KW188">
        <v>0.8</v>
      </c>
      <c r="KX188">
        <v>0.8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3</v>
      </c>
      <c r="LI188">
        <v>2</v>
      </c>
      <c r="LJ188">
        <v>0</v>
      </c>
      <c r="LK188">
        <v>4.5</v>
      </c>
      <c r="LL188">
        <v>6</v>
      </c>
      <c r="LM188">
        <v>7.5</v>
      </c>
      <c r="LN188">
        <v>0.1</v>
      </c>
      <c r="LO188">
        <v>0.1</v>
      </c>
      <c r="LP188">
        <v>0</v>
      </c>
      <c r="LQ188">
        <v>0</v>
      </c>
      <c r="LR188">
        <v>0</v>
      </c>
      <c r="LS188">
        <v>1</v>
      </c>
      <c r="LT188">
        <v>0</v>
      </c>
      <c r="LU188">
        <v>0</v>
      </c>
      <c r="LV188">
        <v>0</v>
      </c>
      <c r="LW188">
        <v>2.1</v>
      </c>
      <c r="LX188">
        <v>2.1</v>
      </c>
      <c r="LY188">
        <v>2.1</v>
      </c>
      <c r="LZ188">
        <v>2.1</v>
      </c>
      <c r="MA188">
        <v>0</v>
      </c>
      <c r="MB188">
        <v>3</v>
      </c>
      <c r="MC188">
        <v>1</v>
      </c>
      <c r="MD188">
        <v>4.5</v>
      </c>
      <c r="ME188">
        <v>6</v>
      </c>
      <c r="MF188">
        <v>6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390</v>
      </c>
      <c r="MN188">
        <v>185</v>
      </c>
      <c r="MO188">
        <v>244</v>
      </c>
      <c r="NU188">
        <v>0.15</v>
      </c>
      <c r="NV188">
        <v>0.2</v>
      </c>
      <c r="NW188">
        <v>0.2</v>
      </c>
      <c r="NX188">
        <v>2</v>
      </c>
      <c r="NY188">
        <v>2</v>
      </c>
      <c r="NZ188">
        <v>2</v>
      </c>
      <c r="OE188" t="s">
        <v>4744</v>
      </c>
      <c r="OF188" t="s">
        <v>4152</v>
      </c>
      <c r="OG188" t="s">
        <v>4153</v>
      </c>
      <c r="OH188" t="s">
        <v>4043</v>
      </c>
      <c r="OI188" t="s">
        <v>4744</v>
      </c>
      <c r="OJ188" t="s">
        <v>4743</v>
      </c>
      <c r="OK188">
        <v>61</v>
      </c>
      <c r="OL188">
        <v>61</v>
      </c>
      <c r="OM188" t="s">
        <v>4152</v>
      </c>
      <c r="ON188">
        <v>1</v>
      </c>
      <c r="OO188">
        <v>2013</v>
      </c>
      <c r="OP188">
        <v>61</v>
      </c>
      <c r="OQ188">
        <v>61</v>
      </c>
      <c r="OR188" t="s">
        <v>4153</v>
      </c>
      <c r="OS188">
        <v>1</v>
      </c>
      <c r="OT188">
        <v>2025</v>
      </c>
      <c r="OU188">
        <v>65</v>
      </c>
      <c r="OV188">
        <v>65</v>
      </c>
      <c r="OW188" t="s">
        <v>4043</v>
      </c>
      <c r="OX188">
        <v>2</v>
      </c>
      <c r="OY188">
        <v>38280</v>
      </c>
      <c r="OZ188">
        <v>51</v>
      </c>
      <c r="PA188">
        <v>52</v>
      </c>
      <c r="PB188" t="s">
        <v>4744</v>
      </c>
      <c r="PC188">
        <v>1</v>
      </c>
      <c r="PD188">
        <v>2059</v>
      </c>
      <c r="PF188">
        <v>411</v>
      </c>
      <c r="PG188">
        <v>35</v>
      </c>
      <c r="PH188">
        <v>389</v>
      </c>
      <c r="PI188">
        <v>0</v>
      </c>
      <c r="PJ188">
        <v>141.7</v>
      </c>
      <c r="PK188">
        <v>2308</v>
      </c>
      <c r="PL188">
        <v>945.3</v>
      </c>
      <c r="PM188">
        <v>1101.5</v>
      </c>
      <c r="PN188">
        <v>96.5</v>
      </c>
      <c r="PP188">
        <v>12</v>
      </c>
      <c r="PQ188">
        <v>3</v>
      </c>
      <c r="PR188">
        <v>3</v>
      </c>
      <c r="PS188">
        <v>0</v>
      </c>
      <c r="PT188">
        <v>234</v>
      </c>
      <c r="PU188">
        <v>11</v>
      </c>
      <c r="PV188" t="s">
        <v>4072</v>
      </c>
      <c r="PW188" t="s">
        <v>4072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-1</v>
      </c>
      <c r="QF188">
        <v>1</v>
      </c>
      <c r="QG188">
        <v>0</v>
      </c>
      <c r="QH188">
        <v>5</v>
      </c>
      <c r="QI188">
        <v>5</v>
      </c>
      <c r="QJ188">
        <v>5</v>
      </c>
      <c r="QK188">
        <v>185</v>
      </c>
      <c r="QL188">
        <v>414</v>
      </c>
      <c r="QM188">
        <v>7.5</v>
      </c>
      <c r="QN188">
        <v>1381.4</v>
      </c>
      <c r="QO188" t="s">
        <v>2341</v>
      </c>
      <c r="QP188" t="s">
        <v>513</v>
      </c>
      <c r="QQ188">
        <v>0</v>
      </c>
      <c r="QR188" t="s">
        <v>540</v>
      </c>
      <c r="QS188">
        <v>30</v>
      </c>
      <c r="QT188">
        <v>40</v>
      </c>
    </row>
    <row r="189" spans="1:462">
      <c r="A189" t="s">
        <v>2631</v>
      </c>
      <c r="B189" t="s">
        <v>629</v>
      </c>
      <c r="C189" t="s">
        <v>509</v>
      </c>
      <c r="D189" t="s">
        <v>2370</v>
      </c>
      <c r="E189" t="s">
        <v>4036</v>
      </c>
      <c r="H189" t="s">
        <v>604</v>
      </c>
      <c r="I189" t="s">
        <v>1088</v>
      </c>
      <c r="J189" t="s">
        <v>628</v>
      </c>
      <c r="K189" t="s">
        <v>606</v>
      </c>
      <c r="L189" t="s">
        <v>711</v>
      </c>
      <c r="M189" t="s">
        <v>512</v>
      </c>
      <c r="O189" t="s">
        <v>513</v>
      </c>
      <c r="P189" t="s">
        <v>517</v>
      </c>
      <c r="Q189" t="s">
        <v>742</v>
      </c>
      <c r="R189" t="s">
        <v>743</v>
      </c>
      <c r="S189" t="s">
        <v>4134</v>
      </c>
      <c r="T189" t="s">
        <v>633</v>
      </c>
      <c r="U189" t="s">
        <v>634</v>
      </c>
      <c r="V189" t="s">
        <v>522</v>
      </c>
      <c r="W189" t="s">
        <v>2336</v>
      </c>
      <c r="X189" t="s">
        <v>2632</v>
      </c>
      <c r="Y189" t="s">
        <v>2633</v>
      </c>
      <c r="Z189" t="s">
        <v>650</v>
      </c>
      <c r="AA189" t="s">
        <v>4038</v>
      </c>
      <c r="AB189" t="s">
        <v>4745</v>
      </c>
      <c r="AC189">
        <v>13</v>
      </c>
      <c r="AD189" t="s">
        <v>2630</v>
      </c>
      <c r="AE189">
        <v>4</v>
      </c>
      <c r="AF189">
        <v>3646</v>
      </c>
      <c r="AG189" t="s">
        <v>4147</v>
      </c>
      <c r="AH189">
        <v>1</v>
      </c>
      <c r="AI189" t="s">
        <v>4041</v>
      </c>
      <c r="AK189" t="s">
        <v>4148</v>
      </c>
      <c r="AL189">
        <v>1</v>
      </c>
      <c r="AM189" t="s">
        <v>582</v>
      </c>
      <c r="AO189" t="s">
        <v>4043</v>
      </c>
      <c r="AP189">
        <v>1</v>
      </c>
      <c r="AR189" t="s">
        <v>4746</v>
      </c>
      <c r="AS189">
        <v>1</v>
      </c>
      <c r="AT189">
        <v>52</v>
      </c>
      <c r="AV189" t="s">
        <v>4078</v>
      </c>
      <c r="AW189">
        <v>6.4</v>
      </c>
      <c r="AX189">
        <v>-6</v>
      </c>
      <c r="AY189">
        <v>102.5</v>
      </c>
      <c r="AZ189">
        <v>72.5</v>
      </c>
      <c r="BH189">
        <v>102.5</v>
      </c>
      <c r="BI189">
        <v>30</v>
      </c>
      <c r="BJ189">
        <v>72.5</v>
      </c>
      <c r="BK189">
        <v>2.5</v>
      </c>
      <c r="BL189">
        <v>205</v>
      </c>
      <c r="BM189">
        <v>-6</v>
      </c>
      <c r="BN189">
        <v>0</v>
      </c>
      <c r="BP189">
        <v>0</v>
      </c>
      <c r="BR189">
        <v>200</v>
      </c>
      <c r="BS189">
        <v>190</v>
      </c>
      <c r="BT189">
        <v>1835</v>
      </c>
      <c r="BU189" t="s">
        <v>4046</v>
      </c>
      <c r="BV189" t="s">
        <v>4047</v>
      </c>
      <c r="BW189" t="s">
        <v>4048</v>
      </c>
      <c r="BX189" t="s">
        <v>4049</v>
      </c>
      <c r="BY189" t="s">
        <v>4150</v>
      </c>
      <c r="BZ189" t="s">
        <v>4150</v>
      </c>
      <c r="CA189" t="s">
        <v>4108</v>
      </c>
      <c r="CB189" t="s">
        <v>4109</v>
      </c>
      <c r="CC189" t="s">
        <v>4053</v>
      </c>
      <c r="CD189" t="s">
        <v>4110</v>
      </c>
      <c r="CE189" t="s">
        <v>4055</v>
      </c>
      <c r="CF189" t="s">
        <v>4055</v>
      </c>
      <c r="CG189" t="s">
        <v>4056</v>
      </c>
      <c r="CH189" t="s">
        <v>4145</v>
      </c>
      <c r="CI189" t="s">
        <v>4058</v>
      </c>
      <c r="CJ189" t="s">
        <v>4059</v>
      </c>
      <c r="CK189" t="s">
        <v>4060</v>
      </c>
      <c r="CL189" t="s">
        <v>4061</v>
      </c>
      <c r="CM189" t="s">
        <v>4062</v>
      </c>
      <c r="CN189" t="s">
        <v>4055</v>
      </c>
      <c r="CO189" t="s">
        <v>4063</v>
      </c>
      <c r="CP189" t="s">
        <v>4055</v>
      </c>
      <c r="CQ189" t="s">
        <v>4055</v>
      </c>
      <c r="CR189">
        <v>5</v>
      </c>
      <c r="CS189" t="s">
        <v>4055</v>
      </c>
      <c r="CT189" t="s">
        <v>4055</v>
      </c>
      <c r="CU189" t="s">
        <v>4055</v>
      </c>
      <c r="CV189">
        <v>127</v>
      </c>
      <c r="CW189">
        <v>3</v>
      </c>
      <c r="CX189">
        <v>108</v>
      </c>
      <c r="CY189">
        <v>5</v>
      </c>
      <c r="CZ189">
        <v>130</v>
      </c>
      <c r="DA189">
        <v>5</v>
      </c>
      <c r="DB189">
        <v>10160</v>
      </c>
      <c r="DC189">
        <v>300</v>
      </c>
      <c r="DD189">
        <v>290</v>
      </c>
      <c r="DE189">
        <v>1930</v>
      </c>
      <c r="DF189">
        <v>1930</v>
      </c>
      <c r="DG189">
        <v>1959</v>
      </c>
      <c r="DH189" t="s">
        <v>4055</v>
      </c>
      <c r="DI189" t="s">
        <v>4055</v>
      </c>
      <c r="DJ189" t="s">
        <v>4100</v>
      </c>
      <c r="DK189">
        <v>200</v>
      </c>
      <c r="DL189" t="s">
        <v>4101</v>
      </c>
      <c r="DM189">
        <v>65</v>
      </c>
      <c r="DN189">
        <v>0.84</v>
      </c>
      <c r="DO189">
        <v>1</v>
      </c>
      <c r="DP189">
        <v>1838</v>
      </c>
      <c r="DQ189">
        <v>673</v>
      </c>
      <c r="DR189" t="s">
        <v>4100</v>
      </c>
      <c r="DS189">
        <v>190</v>
      </c>
      <c r="DT189" t="s">
        <v>4101</v>
      </c>
      <c r="DU189">
        <v>65</v>
      </c>
      <c r="DV189">
        <v>0.84</v>
      </c>
      <c r="DW189">
        <v>1</v>
      </c>
      <c r="DX189">
        <v>1845</v>
      </c>
      <c r="DY189">
        <v>640</v>
      </c>
      <c r="DZ189" t="s">
        <v>4066</v>
      </c>
      <c r="EA189">
        <v>33</v>
      </c>
      <c r="EB189" t="s">
        <v>4065</v>
      </c>
      <c r="EC189">
        <v>0.4</v>
      </c>
      <c r="ED189">
        <v>1838</v>
      </c>
      <c r="EE189">
        <v>53</v>
      </c>
      <c r="EF189" t="s">
        <v>4066</v>
      </c>
      <c r="EG189">
        <v>33</v>
      </c>
      <c r="EH189" t="s">
        <v>4065</v>
      </c>
      <c r="EI189">
        <v>0.4</v>
      </c>
      <c r="EJ189">
        <v>1845</v>
      </c>
      <c r="EK189">
        <v>54</v>
      </c>
      <c r="EL189" t="s">
        <v>1528</v>
      </c>
      <c r="EM189">
        <v>12</v>
      </c>
      <c r="EN189">
        <v>0.5</v>
      </c>
      <c r="EO189">
        <v>0.96</v>
      </c>
      <c r="EP189">
        <v>1845.56</v>
      </c>
      <c r="EQ189">
        <v>31288.01</v>
      </c>
      <c r="ER189">
        <v>8679.34</v>
      </c>
      <c r="ES189">
        <v>0</v>
      </c>
      <c r="ET189">
        <v>0</v>
      </c>
      <c r="EU189">
        <v>1</v>
      </c>
      <c r="EV189">
        <v>39968</v>
      </c>
      <c r="EW189">
        <v>480</v>
      </c>
      <c r="EX189" t="s">
        <v>4613</v>
      </c>
      <c r="EY189">
        <v>214</v>
      </c>
      <c r="EZ189" t="s">
        <v>4055</v>
      </c>
      <c r="FA189">
        <v>4.4</v>
      </c>
      <c r="FB189">
        <v>1</v>
      </c>
      <c r="FC189">
        <v>1</v>
      </c>
      <c r="FD189">
        <v>1880</v>
      </c>
      <c r="FE189">
        <v>2066</v>
      </c>
      <c r="FF189" t="s">
        <v>4288</v>
      </c>
      <c r="FG189">
        <v>222</v>
      </c>
      <c r="FH189" t="s">
        <v>4055</v>
      </c>
      <c r="FI189">
        <v>4.1</v>
      </c>
      <c r="FJ189">
        <v>1880</v>
      </c>
      <c r="FK189">
        <v>2180</v>
      </c>
      <c r="FL189" t="s">
        <v>4069</v>
      </c>
      <c r="FM189" t="s">
        <v>4055</v>
      </c>
      <c r="FN189" t="s">
        <v>4055</v>
      </c>
      <c r="FO189" t="s">
        <v>4055</v>
      </c>
      <c r="FP189">
        <v>1880</v>
      </c>
      <c r="FQ189">
        <v>171</v>
      </c>
      <c r="FR189" t="s">
        <v>4090</v>
      </c>
      <c r="FS189">
        <v>226</v>
      </c>
      <c r="FT189" t="s">
        <v>4055</v>
      </c>
      <c r="FU189">
        <v>0.4</v>
      </c>
      <c r="FV189">
        <v>1880</v>
      </c>
      <c r="FW189">
        <v>190</v>
      </c>
      <c r="FZ189" t="s">
        <v>4055</v>
      </c>
      <c r="GA189" t="s">
        <v>4055</v>
      </c>
      <c r="GD189">
        <v>4607</v>
      </c>
      <c r="GE189" t="s">
        <v>4746</v>
      </c>
      <c r="GF189" t="s">
        <v>4055</v>
      </c>
      <c r="GG189" t="s">
        <v>4055</v>
      </c>
      <c r="GH189" t="s">
        <v>4055</v>
      </c>
      <c r="GI189" t="s">
        <v>4071</v>
      </c>
      <c r="GJ189" t="s">
        <v>4055</v>
      </c>
      <c r="GK189" t="s">
        <v>4055</v>
      </c>
      <c r="GL189" t="s">
        <v>4055</v>
      </c>
      <c r="GM189" t="s">
        <v>4055</v>
      </c>
      <c r="GQ189">
        <v>0</v>
      </c>
      <c r="GV189">
        <v>8.9</v>
      </c>
      <c r="GW189">
        <v>11.5</v>
      </c>
      <c r="GX189">
        <v>0.5</v>
      </c>
      <c r="GY189">
        <v>194</v>
      </c>
      <c r="GZ189">
        <v>3</v>
      </c>
      <c r="HA189">
        <v>238</v>
      </c>
      <c r="HB189">
        <v>3</v>
      </c>
      <c r="HC189">
        <v>1880</v>
      </c>
      <c r="HD189">
        <v>4</v>
      </c>
      <c r="HE189" t="s">
        <v>4071</v>
      </c>
      <c r="HG189" t="s">
        <v>549</v>
      </c>
      <c r="HL189">
        <v>4</v>
      </c>
      <c r="HM189">
        <v>17</v>
      </c>
      <c r="HN189">
        <v>1</v>
      </c>
      <c r="HO189">
        <v>1</v>
      </c>
      <c r="HP189">
        <v>0</v>
      </c>
      <c r="HQ189">
        <v>0</v>
      </c>
      <c r="HR189">
        <v>2</v>
      </c>
      <c r="HS189">
        <v>1835</v>
      </c>
      <c r="HT189">
        <v>5</v>
      </c>
      <c r="HU189">
        <v>1</v>
      </c>
      <c r="HV189">
        <v>0</v>
      </c>
      <c r="HW189">
        <v>0</v>
      </c>
      <c r="HX189">
        <v>1</v>
      </c>
      <c r="HY189">
        <v>0</v>
      </c>
      <c r="HZ189">
        <v>65</v>
      </c>
      <c r="IA189">
        <v>1838</v>
      </c>
      <c r="IB189">
        <v>1845</v>
      </c>
      <c r="ID189">
        <v>1880</v>
      </c>
      <c r="IE189">
        <v>1880</v>
      </c>
      <c r="IF189">
        <v>200</v>
      </c>
      <c r="IG189">
        <v>190</v>
      </c>
      <c r="IH189">
        <v>238</v>
      </c>
      <c r="II189">
        <v>1</v>
      </c>
      <c r="IJ189">
        <v>5</v>
      </c>
      <c r="IK189">
        <v>0</v>
      </c>
      <c r="IL189">
        <v>0</v>
      </c>
      <c r="IM189">
        <v>0</v>
      </c>
      <c r="IN189">
        <v>270</v>
      </c>
      <c r="IO189">
        <v>0</v>
      </c>
      <c r="IP189">
        <v>180</v>
      </c>
      <c r="IQ189">
        <v>0</v>
      </c>
      <c r="IR189">
        <v>330</v>
      </c>
      <c r="IS189">
        <v>0</v>
      </c>
      <c r="IT189">
        <v>90</v>
      </c>
      <c r="IU189">
        <v>0</v>
      </c>
      <c r="IV189">
        <v>6.4</v>
      </c>
      <c r="IW189">
        <v>-6</v>
      </c>
      <c r="IX189">
        <v>102.5</v>
      </c>
      <c r="IY189">
        <v>72.5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332</v>
      </c>
      <c r="JJ189">
        <v>318</v>
      </c>
      <c r="JK189">
        <v>230</v>
      </c>
      <c r="JL189">
        <v>310</v>
      </c>
      <c r="JM189">
        <v>230</v>
      </c>
      <c r="JN189">
        <v>200</v>
      </c>
      <c r="JO189">
        <v>254</v>
      </c>
      <c r="JP189">
        <v>225</v>
      </c>
      <c r="JQ189">
        <v>250</v>
      </c>
      <c r="JR189">
        <v>325</v>
      </c>
      <c r="JS189">
        <v>295</v>
      </c>
      <c r="JT189">
        <v>0</v>
      </c>
      <c r="JU189">
        <v>0</v>
      </c>
      <c r="JV189">
        <v>306</v>
      </c>
      <c r="JW189">
        <v>310</v>
      </c>
      <c r="JX189">
        <v>320</v>
      </c>
      <c r="JY189">
        <v>310</v>
      </c>
      <c r="JZ189">
        <v>0.5</v>
      </c>
      <c r="KA189">
        <v>0.2</v>
      </c>
      <c r="KB189">
        <v>0.4</v>
      </c>
      <c r="KC189">
        <v>0.42</v>
      </c>
      <c r="KD189">
        <v>0.28</v>
      </c>
      <c r="KE189">
        <v>0.5</v>
      </c>
      <c r="KF189">
        <v>0.21</v>
      </c>
      <c r="KG189">
        <v>0.11</v>
      </c>
      <c r="KH189">
        <v>3.5</v>
      </c>
      <c r="KI189">
        <v>1</v>
      </c>
      <c r="KJ189">
        <v>4.5</v>
      </c>
      <c r="KK189">
        <v>0</v>
      </c>
      <c r="KL189">
        <v>4.5</v>
      </c>
      <c r="KM189">
        <v>0</v>
      </c>
      <c r="KN189">
        <v>1.2</v>
      </c>
      <c r="KO189">
        <v>0</v>
      </c>
      <c r="KP189">
        <v>0</v>
      </c>
      <c r="KQ189">
        <v>1</v>
      </c>
      <c r="KR189">
        <v>1.2</v>
      </c>
      <c r="KS189">
        <v>0</v>
      </c>
      <c r="KT189">
        <v>3</v>
      </c>
      <c r="KU189">
        <v>0</v>
      </c>
      <c r="KV189">
        <v>0</v>
      </c>
      <c r="KW189">
        <v>1</v>
      </c>
      <c r="KX189">
        <v>2</v>
      </c>
      <c r="KY189">
        <v>1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0.5</v>
      </c>
      <c r="LJ189">
        <v>0</v>
      </c>
      <c r="LK189">
        <v>3</v>
      </c>
      <c r="LL189">
        <v>10</v>
      </c>
      <c r="LM189">
        <v>9</v>
      </c>
      <c r="LN189">
        <v>0.3</v>
      </c>
      <c r="LO189">
        <v>0.5</v>
      </c>
      <c r="LP189">
        <v>0</v>
      </c>
      <c r="LQ189">
        <v>0</v>
      </c>
      <c r="LR189">
        <v>0</v>
      </c>
      <c r="LS189">
        <v>1</v>
      </c>
      <c r="LT189">
        <v>0</v>
      </c>
      <c r="LU189">
        <v>0</v>
      </c>
      <c r="LV189">
        <v>0</v>
      </c>
      <c r="LW189">
        <v>1.4</v>
      </c>
      <c r="LX189">
        <v>1.4</v>
      </c>
      <c r="LY189">
        <v>1.7</v>
      </c>
      <c r="LZ189">
        <v>1.7</v>
      </c>
      <c r="MA189">
        <v>0</v>
      </c>
      <c r="MB189">
        <v>8</v>
      </c>
      <c r="MC189">
        <v>0</v>
      </c>
      <c r="MD189">
        <v>4.5</v>
      </c>
      <c r="ME189">
        <v>6</v>
      </c>
      <c r="MF189">
        <v>6</v>
      </c>
      <c r="MG189">
        <v>20</v>
      </c>
      <c r="MH189">
        <v>20</v>
      </c>
      <c r="MI189">
        <v>0</v>
      </c>
      <c r="MJ189">
        <v>0</v>
      </c>
      <c r="MK189">
        <v>0</v>
      </c>
      <c r="ML189">
        <v>0</v>
      </c>
      <c r="MM189">
        <v>374</v>
      </c>
      <c r="MN189">
        <v>235</v>
      </c>
      <c r="MO189">
        <v>255</v>
      </c>
      <c r="NU189">
        <v>0.2</v>
      </c>
      <c r="NV189">
        <v>0.35</v>
      </c>
      <c r="NW189">
        <v>0.35</v>
      </c>
      <c r="NX189">
        <v>0.2</v>
      </c>
      <c r="NY189">
        <v>0.2</v>
      </c>
      <c r="NZ189">
        <v>0.2</v>
      </c>
      <c r="OE189" t="s">
        <v>4746</v>
      </c>
      <c r="OF189" t="s">
        <v>4147</v>
      </c>
      <c r="OG189" t="s">
        <v>4148</v>
      </c>
      <c r="OH189" t="s">
        <v>4043</v>
      </c>
      <c r="OI189" t="s">
        <v>4746</v>
      </c>
      <c r="OJ189" t="s">
        <v>4745</v>
      </c>
      <c r="OK189">
        <v>61</v>
      </c>
      <c r="OL189">
        <v>61</v>
      </c>
      <c r="OM189" t="s">
        <v>4147</v>
      </c>
      <c r="ON189">
        <v>2</v>
      </c>
      <c r="OO189">
        <v>1838</v>
      </c>
      <c r="OP189">
        <v>61</v>
      </c>
      <c r="OQ189">
        <v>61</v>
      </c>
      <c r="OR189" t="s">
        <v>4148</v>
      </c>
      <c r="OS189">
        <v>2</v>
      </c>
      <c r="OT189">
        <v>1845</v>
      </c>
      <c r="OU189">
        <v>65</v>
      </c>
      <c r="OV189">
        <v>65</v>
      </c>
      <c r="OW189" t="s">
        <v>4043</v>
      </c>
      <c r="OX189">
        <v>2</v>
      </c>
      <c r="OY189">
        <v>39968</v>
      </c>
      <c r="OZ189">
        <v>51</v>
      </c>
      <c r="PA189">
        <v>52</v>
      </c>
      <c r="PB189" t="s">
        <v>4746</v>
      </c>
      <c r="PC189">
        <v>2</v>
      </c>
      <c r="PD189">
        <v>1880</v>
      </c>
      <c r="PF189">
        <v>366</v>
      </c>
      <c r="PG189">
        <v>29</v>
      </c>
      <c r="PH189">
        <v>347</v>
      </c>
      <c r="PI189">
        <v>29</v>
      </c>
      <c r="PJ189">
        <v>90.7</v>
      </c>
      <c r="PK189">
        <v>2456</v>
      </c>
      <c r="PL189">
        <v>1098.7</v>
      </c>
      <c r="PM189">
        <v>1159.7</v>
      </c>
      <c r="PN189">
        <v>101</v>
      </c>
      <c r="PP189">
        <v>12</v>
      </c>
      <c r="PQ189">
        <v>2</v>
      </c>
      <c r="PR189">
        <v>1</v>
      </c>
      <c r="PS189">
        <v>6</v>
      </c>
      <c r="PT189">
        <v>238</v>
      </c>
      <c r="PU189">
        <v>8</v>
      </c>
      <c r="PV189" t="s">
        <v>4072</v>
      </c>
      <c r="PW189" t="s">
        <v>4072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-1</v>
      </c>
      <c r="QF189">
        <v>1</v>
      </c>
      <c r="QG189">
        <v>0</v>
      </c>
      <c r="QH189">
        <v>5</v>
      </c>
      <c r="QI189">
        <v>5</v>
      </c>
      <c r="QJ189">
        <v>5</v>
      </c>
      <c r="QK189">
        <v>160</v>
      </c>
      <c r="QL189">
        <v>366</v>
      </c>
      <c r="QM189">
        <v>7.5</v>
      </c>
      <c r="QN189">
        <v>1381.4</v>
      </c>
      <c r="QO189" t="s">
        <v>2341</v>
      </c>
      <c r="QP189" t="s">
        <v>513</v>
      </c>
      <c r="QQ189">
        <v>0</v>
      </c>
      <c r="QR189" t="s">
        <v>649</v>
      </c>
      <c r="QS189">
        <v>30</v>
      </c>
      <c r="QT189">
        <v>40</v>
      </c>
    </row>
    <row r="190" spans="1:462">
      <c r="A190" t="s">
        <v>2639</v>
      </c>
      <c r="B190" t="s">
        <v>629</v>
      </c>
      <c r="C190" t="s">
        <v>509</v>
      </c>
      <c r="D190" t="s">
        <v>2638</v>
      </c>
      <c r="E190" t="s">
        <v>4036</v>
      </c>
      <c r="H190" t="s">
        <v>604</v>
      </c>
      <c r="I190" t="s">
        <v>605</v>
      </c>
      <c r="J190" t="s">
        <v>628</v>
      </c>
      <c r="K190" t="s">
        <v>606</v>
      </c>
      <c r="L190" t="s">
        <v>711</v>
      </c>
      <c r="M190" t="s">
        <v>512</v>
      </c>
      <c r="O190" t="s">
        <v>513</v>
      </c>
      <c r="P190" t="s">
        <v>517</v>
      </c>
      <c r="Q190" t="s">
        <v>1126</v>
      </c>
      <c r="R190" t="s">
        <v>1127</v>
      </c>
      <c r="S190" t="s">
        <v>4073</v>
      </c>
      <c r="T190" t="s">
        <v>633</v>
      </c>
      <c r="U190" t="s">
        <v>634</v>
      </c>
      <c r="V190" t="s">
        <v>2607</v>
      </c>
      <c r="W190" t="s">
        <v>2336</v>
      </c>
      <c r="X190" t="s">
        <v>2640</v>
      </c>
      <c r="Y190" t="s">
        <v>2641</v>
      </c>
      <c r="Z190" t="s">
        <v>650</v>
      </c>
      <c r="AA190" t="s">
        <v>4038</v>
      </c>
      <c r="AB190" t="s">
        <v>4747</v>
      </c>
      <c r="AC190">
        <v>13</v>
      </c>
      <c r="AD190" t="s">
        <v>2637</v>
      </c>
      <c r="AE190">
        <v>4</v>
      </c>
      <c r="AF190">
        <v>4018</v>
      </c>
      <c r="AG190" t="s">
        <v>4538</v>
      </c>
      <c r="AH190">
        <v>1</v>
      </c>
      <c r="AI190" t="s">
        <v>4041</v>
      </c>
      <c r="AK190" t="s">
        <v>4539</v>
      </c>
      <c r="AL190">
        <v>1</v>
      </c>
      <c r="AM190" t="s">
        <v>582</v>
      </c>
      <c r="AO190" t="s">
        <v>4043</v>
      </c>
      <c r="AP190">
        <v>1</v>
      </c>
      <c r="AR190" t="s">
        <v>4748</v>
      </c>
      <c r="AS190">
        <v>1</v>
      </c>
      <c r="AT190">
        <v>52</v>
      </c>
      <c r="AV190" t="s">
        <v>4078</v>
      </c>
      <c r="AW190">
        <v>6.4</v>
      </c>
      <c r="AX190">
        <v>-6</v>
      </c>
      <c r="AY190">
        <v>102.5</v>
      </c>
      <c r="AZ190">
        <v>72.5</v>
      </c>
      <c r="BH190">
        <v>102.5</v>
      </c>
      <c r="BI190">
        <v>30</v>
      </c>
      <c r="BJ190">
        <v>72.5</v>
      </c>
      <c r="BK190">
        <v>2.5</v>
      </c>
      <c r="BL190">
        <v>205</v>
      </c>
      <c r="BM190">
        <v>-6</v>
      </c>
      <c r="BN190">
        <v>0</v>
      </c>
      <c r="BP190">
        <v>0</v>
      </c>
      <c r="BR190">
        <v>200</v>
      </c>
      <c r="BS190">
        <v>190</v>
      </c>
      <c r="BT190">
        <v>1910</v>
      </c>
      <c r="BU190" t="s">
        <v>4047</v>
      </c>
      <c r="BV190" t="s">
        <v>4047</v>
      </c>
      <c r="BW190" t="s">
        <v>4049</v>
      </c>
      <c r="BX190" t="s">
        <v>4049</v>
      </c>
      <c r="BY190" t="s">
        <v>4107</v>
      </c>
      <c r="BZ190" t="s">
        <v>4107</v>
      </c>
      <c r="CA190" t="s">
        <v>4108</v>
      </c>
      <c r="CB190" t="s">
        <v>4109</v>
      </c>
      <c r="CC190" t="s">
        <v>4053</v>
      </c>
      <c r="CD190" t="s">
        <v>4110</v>
      </c>
      <c r="CE190" t="s">
        <v>4055</v>
      </c>
      <c r="CF190" t="s">
        <v>4055</v>
      </c>
      <c r="CG190" t="s">
        <v>4056</v>
      </c>
      <c r="CH190" t="s">
        <v>4057</v>
      </c>
      <c r="CI190" t="s">
        <v>4058</v>
      </c>
      <c r="CJ190" t="s">
        <v>4059</v>
      </c>
      <c r="CK190" t="s">
        <v>4060</v>
      </c>
      <c r="CL190" t="s">
        <v>4061</v>
      </c>
      <c r="CM190" t="s">
        <v>4062</v>
      </c>
      <c r="CN190" t="s">
        <v>4055</v>
      </c>
      <c r="CO190" t="s">
        <v>4063</v>
      </c>
      <c r="CP190" t="s">
        <v>4055</v>
      </c>
      <c r="CQ190" t="s">
        <v>4055</v>
      </c>
      <c r="CR190">
        <v>5</v>
      </c>
      <c r="CS190" t="s">
        <v>4055</v>
      </c>
      <c r="CT190" t="s">
        <v>4055</v>
      </c>
      <c r="CU190" t="s">
        <v>4055</v>
      </c>
      <c r="CV190">
        <v>131</v>
      </c>
      <c r="CW190">
        <v>3</v>
      </c>
      <c r="CX190">
        <v>108</v>
      </c>
      <c r="CY190">
        <v>5</v>
      </c>
      <c r="CZ190">
        <v>144</v>
      </c>
      <c r="DA190">
        <v>5</v>
      </c>
      <c r="DB190">
        <v>11130</v>
      </c>
      <c r="DC190">
        <v>330</v>
      </c>
      <c r="DD190">
        <v>315</v>
      </c>
      <c r="DE190">
        <v>2025</v>
      </c>
      <c r="DF190">
        <v>2025</v>
      </c>
      <c r="DG190">
        <v>2038</v>
      </c>
      <c r="DH190" t="s">
        <v>4055</v>
      </c>
      <c r="DI190" t="s">
        <v>4055</v>
      </c>
      <c r="DJ190" t="s">
        <v>4132</v>
      </c>
      <c r="DK190">
        <v>200</v>
      </c>
      <c r="DL190" t="s">
        <v>4065</v>
      </c>
      <c r="DM190">
        <v>65</v>
      </c>
      <c r="DN190">
        <v>1.1</v>
      </c>
      <c r="DO190">
        <v>1</v>
      </c>
      <c r="DP190">
        <v>1913</v>
      </c>
      <c r="DQ190">
        <v>828</v>
      </c>
      <c r="DR190" t="s">
        <v>4132</v>
      </c>
      <c r="DS190">
        <v>190</v>
      </c>
      <c r="DT190" t="s">
        <v>4065</v>
      </c>
      <c r="DU190">
        <v>65</v>
      </c>
      <c r="DV190">
        <v>1.1</v>
      </c>
      <c r="DW190">
        <v>1</v>
      </c>
      <c r="DX190">
        <v>1925</v>
      </c>
      <c r="DY190">
        <v>791</v>
      </c>
      <c r="DZ190" t="s">
        <v>4066</v>
      </c>
      <c r="EA190">
        <v>20</v>
      </c>
      <c r="EB190" t="s">
        <v>4065</v>
      </c>
      <c r="EC190">
        <v>0.8</v>
      </c>
      <c r="ED190">
        <v>1913</v>
      </c>
      <c r="EE190">
        <v>67</v>
      </c>
      <c r="EG190">
        <v>0</v>
      </c>
      <c r="EH190" t="s">
        <v>4065</v>
      </c>
      <c r="EI190">
        <v>0</v>
      </c>
      <c r="EL190" t="s">
        <v>1528</v>
      </c>
      <c r="EM190">
        <v>12</v>
      </c>
      <c r="EN190">
        <v>0.5</v>
      </c>
      <c r="EO190">
        <v>0.96</v>
      </c>
      <c r="EP190">
        <v>1923.83</v>
      </c>
      <c r="EQ190">
        <v>32614.93</v>
      </c>
      <c r="ER190">
        <v>9046.23</v>
      </c>
      <c r="ES190">
        <v>0</v>
      </c>
      <c r="ET190">
        <v>0</v>
      </c>
      <c r="EU190">
        <v>1</v>
      </c>
      <c r="EV190">
        <v>41662</v>
      </c>
      <c r="EW190">
        <v>500</v>
      </c>
      <c r="EX190" t="s">
        <v>4613</v>
      </c>
      <c r="EY190">
        <v>218</v>
      </c>
      <c r="EZ190" t="s">
        <v>4055</v>
      </c>
      <c r="FA190">
        <v>4.5</v>
      </c>
      <c r="FB190">
        <v>1</v>
      </c>
      <c r="FC190">
        <v>1</v>
      </c>
      <c r="FD190">
        <v>1959</v>
      </c>
      <c r="FE190">
        <v>2287</v>
      </c>
      <c r="FF190" t="s">
        <v>4288</v>
      </c>
      <c r="FG190">
        <v>224</v>
      </c>
      <c r="FH190" t="s">
        <v>4055</v>
      </c>
      <c r="FI190">
        <v>4.1</v>
      </c>
      <c r="FJ190">
        <v>1959</v>
      </c>
      <c r="FK190">
        <v>2203</v>
      </c>
      <c r="FL190" t="s">
        <v>4069</v>
      </c>
      <c r="FM190" t="s">
        <v>4055</v>
      </c>
      <c r="FN190" t="s">
        <v>4055</v>
      </c>
      <c r="FO190" t="s">
        <v>4055</v>
      </c>
      <c r="FP190">
        <v>1959</v>
      </c>
      <c r="FQ190">
        <v>228</v>
      </c>
      <c r="FR190" t="s">
        <v>4090</v>
      </c>
      <c r="FS190">
        <v>228</v>
      </c>
      <c r="FT190" t="s">
        <v>4055</v>
      </c>
      <c r="FU190">
        <v>0.4</v>
      </c>
      <c r="FV190">
        <v>1959</v>
      </c>
      <c r="FW190">
        <v>200</v>
      </c>
      <c r="FZ190" t="s">
        <v>4055</v>
      </c>
      <c r="GA190" t="s">
        <v>4055</v>
      </c>
      <c r="GD190">
        <v>4918</v>
      </c>
      <c r="GE190" t="s">
        <v>4748</v>
      </c>
      <c r="GF190" t="s">
        <v>4055</v>
      </c>
      <c r="GG190" t="s">
        <v>4055</v>
      </c>
      <c r="GH190" t="s">
        <v>4055</v>
      </c>
      <c r="GI190" t="s">
        <v>4071</v>
      </c>
      <c r="GJ190" t="s">
        <v>4055</v>
      </c>
      <c r="GK190" t="s">
        <v>4055</v>
      </c>
      <c r="GL190" t="s">
        <v>4055</v>
      </c>
      <c r="GM190" t="s">
        <v>4055</v>
      </c>
      <c r="GQ190">
        <v>0</v>
      </c>
      <c r="GV190">
        <v>9</v>
      </c>
      <c r="GW190">
        <v>11.8</v>
      </c>
      <c r="GX190">
        <v>0.5</v>
      </c>
      <c r="GY190">
        <v>196</v>
      </c>
      <c r="GZ190">
        <v>3</v>
      </c>
      <c r="HA190">
        <v>246</v>
      </c>
      <c r="HB190">
        <v>3</v>
      </c>
      <c r="HC190">
        <v>1959</v>
      </c>
      <c r="HD190">
        <v>4</v>
      </c>
      <c r="HE190" t="s">
        <v>4071</v>
      </c>
      <c r="HG190" t="s">
        <v>549</v>
      </c>
      <c r="HL190">
        <v>4</v>
      </c>
      <c r="HM190">
        <v>17</v>
      </c>
      <c r="HN190">
        <v>1</v>
      </c>
      <c r="HO190">
        <v>1</v>
      </c>
      <c r="HP190">
        <v>0</v>
      </c>
      <c r="HQ190">
        <v>0</v>
      </c>
      <c r="HR190">
        <v>2</v>
      </c>
      <c r="HS190">
        <v>1910</v>
      </c>
      <c r="HT190">
        <v>5</v>
      </c>
      <c r="HU190">
        <v>1</v>
      </c>
      <c r="HV190">
        <v>0</v>
      </c>
      <c r="HW190">
        <v>0</v>
      </c>
      <c r="HX190">
        <v>1</v>
      </c>
      <c r="HY190">
        <v>0</v>
      </c>
      <c r="HZ190">
        <v>65</v>
      </c>
      <c r="IA190">
        <v>1913</v>
      </c>
      <c r="IB190">
        <v>1925</v>
      </c>
      <c r="ID190">
        <v>1959</v>
      </c>
      <c r="IE190">
        <v>1959</v>
      </c>
      <c r="IF190">
        <v>200</v>
      </c>
      <c r="IG190">
        <v>190</v>
      </c>
      <c r="IH190">
        <v>246</v>
      </c>
      <c r="II190">
        <v>1</v>
      </c>
      <c r="IJ190">
        <v>5</v>
      </c>
      <c r="IK190">
        <v>0</v>
      </c>
      <c r="IL190">
        <v>0</v>
      </c>
      <c r="IM190">
        <v>0</v>
      </c>
      <c r="IN190">
        <v>270</v>
      </c>
      <c r="IO190">
        <v>0</v>
      </c>
      <c r="IP190">
        <v>180</v>
      </c>
      <c r="IQ190">
        <v>0</v>
      </c>
      <c r="IR190">
        <v>325</v>
      </c>
      <c r="IS190">
        <v>0</v>
      </c>
      <c r="IT190">
        <v>90</v>
      </c>
      <c r="IU190">
        <v>0</v>
      </c>
      <c r="IV190">
        <v>6.4</v>
      </c>
      <c r="IW190">
        <v>-6</v>
      </c>
      <c r="IX190">
        <v>102.5</v>
      </c>
      <c r="IY190">
        <v>72.5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370</v>
      </c>
      <c r="JJ190">
        <v>350</v>
      </c>
      <c r="JK190">
        <v>280</v>
      </c>
      <c r="JL190">
        <v>350</v>
      </c>
      <c r="JM190">
        <v>265</v>
      </c>
      <c r="JN190">
        <v>200</v>
      </c>
      <c r="JO190">
        <v>256</v>
      </c>
      <c r="JP190">
        <v>230</v>
      </c>
      <c r="JQ190">
        <v>265</v>
      </c>
      <c r="JR190">
        <v>325</v>
      </c>
      <c r="JS190">
        <v>260</v>
      </c>
      <c r="JT190">
        <v>0</v>
      </c>
      <c r="JU190">
        <v>0</v>
      </c>
      <c r="JV190">
        <v>310</v>
      </c>
      <c r="JW190">
        <v>312</v>
      </c>
      <c r="JX190">
        <v>0</v>
      </c>
      <c r="JY190">
        <v>0</v>
      </c>
      <c r="JZ190">
        <v>0</v>
      </c>
      <c r="KA190">
        <v>0.2</v>
      </c>
      <c r="KB190">
        <v>0.4</v>
      </c>
      <c r="KC190">
        <v>0.42</v>
      </c>
      <c r="KD190">
        <v>0.28</v>
      </c>
      <c r="KE190">
        <v>0.5</v>
      </c>
      <c r="KF190">
        <v>0.16</v>
      </c>
      <c r="KG190">
        <v>0.1</v>
      </c>
      <c r="KH190">
        <v>3.5</v>
      </c>
      <c r="KI190">
        <v>1</v>
      </c>
      <c r="KJ190">
        <v>5</v>
      </c>
      <c r="KK190">
        <v>1</v>
      </c>
      <c r="KL190">
        <v>5</v>
      </c>
      <c r="KM190">
        <v>1</v>
      </c>
      <c r="KN190">
        <v>1.5</v>
      </c>
      <c r="KO190">
        <v>0</v>
      </c>
      <c r="KP190">
        <v>0</v>
      </c>
      <c r="KQ190">
        <v>0.8</v>
      </c>
      <c r="KR190">
        <v>0.8</v>
      </c>
      <c r="KS190">
        <v>0.2</v>
      </c>
      <c r="KT190">
        <v>2</v>
      </c>
      <c r="KU190">
        <v>0</v>
      </c>
      <c r="KV190">
        <v>0</v>
      </c>
      <c r="KW190">
        <v>1.2</v>
      </c>
      <c r="KX190">
        <v>2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3</v>
      </c>
      <c r="LI190">
        <v>0</v>
      </c>
      <c r="LJ190">
        <v>0</v>
      </c>
      <c r="LK190">
        <v>7</v>
      </c>
      <c r="LL190">
        <v>9</v>
      </c>
      <c r="LM190">
        <v>7</v>
      </c>
      <c r="LN190">
        <v>0.5</v>
      </c>
      <c r="LO190">
        <v>1</v>
      </c>
      <c r="LP190">
        <v>0</v>
      </c>
      <c r="LQ190">
        <v>0</v>
      </c>
      <c r="LR190">
        <v>0</v>
      </c>
      <c r="LS190">
        <v>1</v>
      </c>
      <c r="LT190">
        <v>530</v>
      </c>
      <c r="LU190">
        <v>0</v>
      </c>
      <c r="LV190">
        <v>0</v>
      </c>
      <c r="LW190">
        <v>0.8</v>
      </c>
      <c r="LX190">
        <v>0.8</v>
      </c>
      <c r="LY190">
        <v>0.8</v>
      </c>
      <c r="LZ190">
        <v>0.8</v>
      </c>
      <c r="MA190">
        <v>0</v>
      </c>
      <c r="MB190">
        <v>3</v>
      </c>
      <c r="MC190">
        <v>0</v>
      </c>
      <c r="MD190">
        <v>4.5</v>
      </c>
      <c r="ME190">
        <v>6</v>
      </c>
      <c r="MF190">
        <v>6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374</v>
      </c>
      <c r="MN190">
        <v>195</v>
      </c>
      <c r="MO190">
        <v>256</v>
      </c>
      <c r="NU190">
        <v>0.15</v>
      </c>
      <c r="NV190">
        <v>0.3</v>
      </c>
      <c r="NW190">
        <v>0.3</v>
      </c>
      <c r="NX190">
        <v>2</v>
      </c>
      <c r="NY190">
        <v>2</v>
      </c>
      <c r="NZ190">
        <v>2</v>
      </c>
      <c r="OE190" t="s">
        <v>4748</v>
      </c>
      <c r="OF190" t="s">
        <v>4538</v>
      </c>
      <c r="OG190" t="s">
        <v>4539</v>
      </c>
      <c r="OH190" t="s">
        <v>4043</v>
      </c>
      <c r="OI190" t="s">
        <v>4748</v>
      </c>
      <c r="OJ190" t="s">
        <v>4747</v>
      </c>
      <c r="OK190">
        <v>61</v>
      </c>
      <c r="OL190">
        <v>61</v>
      </c>
      <c r="OM190" t="s">
        <v>4538</v>
      </c>
      <c r="ON190">
        <v>1</v>
      </c>
      <c r="OO190">
        <v>1913</v>
      </c>
      <c r="OP190">
        <v>61</v>
      </c>
      <c r="OQ190">
        <v>61</v>
      </c>
      <c r="OR190" t="s">
        <v>4539</v>
      </c>
      <c r="OS190">
        <v>1</v>
      </c>
      <c r="OT190">
        <v>1925</v>
      </c>
      <c r="OU190">
        <v>65</v>
      </c>
      <c r="OV190">
        <v>65</v>
      </c>
      <c r="OW190" t="s">
        <v>4043</v>
      </c>
      <c r="OX190">
        <v>2</v>
      </c>
      <c r="OY190">
        <v>41662</v>
      </c>
      <c r="OZ190">
        <v>51</v>
      </c>
      <c r="PA190">
        <v>52</v>
      </c>
      <c r="PB190" t="s">
        <v>4748</v>
      </c>
      <c r="PC190">
        <v>1</v>
      </c>
      <c r="PD190">
        <v>1959</v>
      </c>
      <c r="PF190">
        <v>433</v>
      </c>
      <c r="PG190">
        <v>35</v>
      </c>
      <c r="PH190">
        <v>411</v>
      </c>
      <c r="PI190">
        <v>0</v>
      </c>
      <c r="PJ190">
        <v>116.4</v>
      </c>
      <c r="PK190">
        <v>2531</v>
      </c>
      <c r="PL190">
        <v>1167.5</v>
      </c>
      <c r="PM190">
        <v>1124.7</v>
      </c>
      <c r="PN190">
        <v>101.9</v>
      </c>
      <c r="PP190">
        <v>12</v>
      </c>
      <c r="PQ190">
        <v>1</v>
      </c>
      <c r="PR190">
        <v>1</v>
      </c>
      <c r="PS190">
        <v>7</v>
      </c>
      <c r="PT190">
        <v>246</v>
      </c>
      <c r="PU190">
        <v>11</v>
      </c>
      <c r="PV190" t="s">
        <v>4072</v>
      </c>
      <c r="PW190" t="s">
        <v>4072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-1</v>
      </c>
      <c r="QF190">
        <v>1</v>
      </c>
      <c r="QG190">
        <v>0</v>
      </c>
      <c r="QH190">
        <v>5</v>
      </c>
      <c r="QI190">
        <v>5</v>
      </c>
      <c r="QJ190">
        <v>5</v>
      </c>
      <c r="QK190">
        <v>179</v>
      </c>
      <c r="QL190">
        <v>402</v>
      </c>
      <c r="QM190">
        <v>7.5</v>
      </c>
      <c r="QN190">
        <v>1381.4</v>
      </c>
      <c r="QO190" t="s">
        <v>2341</v>
      </c>
      <c r="QP190" t="s">
        <v>513</v>
      </c>
      <c r="QQ190">
        <v>0</v>
      </c>
      <c r="QR190" t="s">
        <v>649</v>
      </c>
      <c r="QS190">
        <v>30</v>
      </c>
      <c r="QT190">
        <v>40</v>
      </c>
    </row>
    <row r="191" spans="1:462">
      <c r="A191" t="s">
        <v>2646</v>
      </c>
      <c r="B191" t="s">
        <v>629</v>
      </c>
      <c r="C191" t="s">
        <v>509</v>
      </c>
      <c r="D191" t="s">
        <v>2638</v>
      </c>
      <c r="E191" t="s">
        <v>4036</v>
      </c>
      <c r="H191" t="s">
        <v>604</v>
      </c>
      <c r="I191" t="s">
        <v>605</v>
      </c>
      <c r="J191" t="s">
        <v>628</v>
      </c>
      <c r="K191" t="s">
        <v>606</v>
      </c>
      <c r="L191" t="s">
        <v>711</v>
      </c>
      <c r="M191" t="s">
        <v>512</v>
      </c>
      <c r="O191" t="s">
        <v>513</v>
      </c>
      <c r="P191" t="s">
        <v>517</v>
      </c>
      <c r="Q191" t="s">
        <v>1152</v>
      </c>
      <c r="R191" t="s">
        <v>661</v>
      </c>
      <c r="S191" t="s">
        <v>4037</v>
      </c>
      <c r="T191" t="s">
        <v>633</v>
      </c>
      <c r="U191" t="s">
        <v>634</v>
      </c>
      <c r="V191" t="s">
        <v>2647</v>
      </c>
      <c r="W191" t="s">
        <v>2336</v>
      </c>
      <c r="X191" t="s">
        <v>2648</v>
      </c>
      <c r="Y191" t="s">
        <v>2649</v>
      </c>
      <c r="Z191" t="s">
        <v>650</v>
      </c>
      <c r="AA191" t="s">
        <v>4038</v>
      </c>
      <c r="AB191" t="s">
        <v>4749</v>
      </c>
      <c r="AC191">
        <v>13</v>
      </c>
      <c r="AD191" t="s">
        <v>2645</v>
      </c>
      <c r="AE191">
        <v>4</v>
      </c>
      <c r="AF191">
        <v>4358</v>
      </c>
      <c r="AG191" t="s">
        <v>4508</v>
      </c>
      <c r="AH191">
        <v>1</v>
      </c>
      <c r="AI191" t="s">
        <v>4041</v>
      </c>
      <c r="AK191" t="s">
        <v>4509</v>
      </c>
      <c r="AL191">
        <v>1</v>
      </c>
      <c r="AM191" t="s">
        <v>582</v>
      </c>
      <c r="AO191" t="s">
        <v>4043</v>
      </c>
      <c r="AP191">
        <v>1</v>
      </c>
      <c r="AR191" t="s">
        <v>4750</v>
      </c>
      <c r="AS191">
        <v>1</v>
      </c>
      <c r="AT191">
        <v>52</v>
      </c>
      <c r="AV191" t="s">
        <v>4078</v>
      </c>
      <c r="AW191">
        <v>6.4</v>
      </c>
      <c r="AX191">
        <v>-6</v>
      </c>
      <c r="AY191">
        <v>100</v>
      </c>
      <c r="AZ191">
        <v>70</v>
      </c>
      <c r="BH191">
        <v>100</v>
      </c>
      <c r="BI191">
        <v>30</v>
      </c>
      <c r="BJ191">
        <v>70</v>
      </c>
      <c r="BK191">
        <v>2.5</v>
      </c>
      <c r="BL191">
        <v>200</v>
      </c>
      <c r="BM191">
        <v>-6</v>
      </c>
      <c r="BN191">
        <v>0</v>
      </c>
      <c r="BP191">
        <v>0</v>
      </c>
      <c r="BR191">
        <v>195</v>
      </c>
      <c r="BS191">
        <v>185</v>
      </c>
      <c r="BT191">
        <v>1980</v>
      </c>
      <c r="BU191" t="s">
        <v>4096</v>
      </c>
      <c r="BV191" t="s">
        <v>4096</v>
      </c>
      <c r="BW191" t="s">
        <v>4097</v>
      </c>
      <c r="BX191" t="s">
        <v>4097</v>
      </c>
      <c r="BY191" t="s">
        <v>4107</v>
      </c>
      <c r="BZ191" t="s">
        <v>4173</v>
      </c>
      <c r="CA191" t="s">
        <v>4108</v>
      </c>
      <c r="CB191" t="s">
        <v>4109</v>
      </c>
      <c r="CC191" t="s">
        <v>4053</v>
      </c>
      <c r="CD191" t="s">
        <v>4110</v>
      </c>
      <c r="CE191" t="s">
        <v>4055</v>
      </c>
      <c r="CF191" t="s">
        <v>4055</v>
      </c>
      <c r="CG191" t="s">
        <v>4056</v>
      </c>
      <c r="CH191" t="s">
        <v>4099</v>
      </c>
      <c r="CI191" t="s">
        <v>4058</v>
      </c>
      <c r="CJ191" t="s">
        <v>4059</v>
      </c>
      <c r="CK191" t="s">
        <v>4060</v>
      </c>
      <c r="CL191" t="s">
        <v>4061</v>
      </c>
      <c r="CM191" t="s">
        <v>4062</v>
      </c>
      <c r="CN191" t="s">
        <v>4055</v>
      </c>
      <c r="CO191" t="s">
        <v>4063</v>
      </c>
      <c r="CP191" t="s">
        <v>4055</v>
      </c>
      <c r="CQ191" t="s">
        <v>4055</v>
      </c>
      <c r="CR191">
        <v>5</v>
      </c>
      <c r="CS191" t="s">
        <v>4055</v>
      </c>
      <c r="CT191" t="s">
        <v>4055</v>
      </c>
      <c r="CU191" t="s">
        <v>4055</v>
      </c>
      <c r="CV191">
        <v>128</v>
      </c>
      <c r="CW191">
        <v>3</v>
      </c>
      <c r="CX191">
        <v>104</v>
      </c>
      <c r="CY191">
        <v>5</v>
      </c>
      <c r="CZ191">
        <v>148</v>
      </c>
      <c r="DA191">
        <v>5</v>
      </c>
      <c r="DB191">
        <v>11170</v>
      </c>
      <c r="DC191">
        <v>330</v>
      </c>
      <c r="DD191">
        <v>310</v>
      </c>
      <c r="DE191">
        <v>2098</v>
      </c>
      <c r="DF191">
        <v>2086</v>
      </c>
      <c r="DG191">
        <v>2110</v>
      </c>
      <c r="DH191" t="s">
        <v>4055</v>
      </c>
      <c r="DI191" t="s">
        <v>4055</v>
      </c>
      <c r="DJ191" t="s">
        <v>4132</v>
      </c>
      <c r="DK191">
        <v>195</v>
      </c>
      <c r="DL191" t="s">
        <v>4065</v>
      </c>
      <c r="DM191">
        <v>65</v>
      </c>
      <c r="DN191">
        <v>1.1</v>
      </c>
      <c r="DO191">
        <v>1</v>
      </c>
      <c r="DP191">
        <v>1983</v>
      </c>
      <c r="DQ191">
        <v>837</v>
      </c>
      <c r="DR191" t="s">
        <v>4132</v>
      </c>
      <c r="DS191">
        <v>185</v>
      </c>
      <c r="DT191" t="s">
        <v>4065</v>
      </c>
      <c r="DU191">
        <v>65</v>
      </c>
      <c r="DV191">
        <v>1.1</v>
      </c>
      <c r="DW191">
        <v>1</v>
      </c>
      <c r="DX191">
        <v>1995</v>
      </c>
      <c r="DY191">
        <v>798</v>
      </c>
      <c r="DZ191" t="s">
        <v>4066</v>
      </c>
      <c r="EA191">
        <v>20</v>
      </c>
      <c r="EB191" t="s">
        <v>4065</v>
      </c>
      <c r="EC191">
        <v>0.8</v>
      </c>
      <c r="ED191">
        <v>1983</v>
      </c>
      <c r="EE191">
        <v>69</v>
      </c>
      <c r="EG191">
        <v>0</v>
      </c>
      <c r="EH191" t="s">
        <v>4065</v>
      </c>
      <c r="EI191">
        <v>0</v>
      </c>
      <c r="EL191" t="s">
        <v>1528</v>
      </c>
      <c r="EM191">
        <v>12</v>
      </c>
      <c r="EN191">
        <v>0.5</v>
      </c>
      <c r="EO191">
        <v>0.96</v>
      </c>
      <c r="EP191">
        <v>1993.83</v>
      </c>
      <c r="EQ191">
        <v>33022.81</v>
      </c>
      <c r="ER191">
        <v>9374.35</v>
      </c>
      <c r="ES191">
        <v>0</v>
      </c>
      <c r="ET191">
        <v>0</v>
      </c>
      <c r="EU191">
        <v>1</v>
      </c>
      <c r="EV191">
        <v>42398</v>
      </c>
      <c r="EW191">
        <v>509</v>
      </c>
      <c r="EX191" t="s">
        <v>4613</v>
      </c>
      <c r="EY191">
        <v>212</v>
      </c>
      <c r="EZ191" t="s">
        <v>4055</v>
      </c>
      <c r="FA191">
        <v>4.4</v>
      </c>
      <c r="FB191">
        <v>1</v>
      </c>
      <c r="FC191">
        <v>1</v>
      </c>
      <c r="FD191">
        <v>2027</v>
      </c>
      <c r="FE191">
        <v>2167</v>
      </c>
      <c r="FF191" t="s">
        <v>4288</v>
      </c>
      <c r="FG191">
        <v>216</v>
      </c>
      <c r="FH191" t="s">
        <v>4055</v>
      </c>
      <c r="FI191">
        <v>3.6</v>
      </c>
      <c r="FJ191">
        <v>2027</v>
      </c>
      <c r="FK191">
        <v>1986</v>
      </c>
      <c r="FL191" t="s">
        <v>4069</v>
      </c>
      <c r="FM191" t="s">
        <v>4055</v>
      </c>
      <c r="FN191" t="s">
        <v>4055</v>
      </c>
      <c r="FO191" t="s">
        <v>4055</v>
      </c>
      <c r="FP191">
        <v>2027</v>
      </c>
      <c r="FQ191">
        <v>245</v>
      </c>
      <c r="FR191" t="s">
        <v>4090</v>
      </c>
      <c r="FS191">
        <v>220</v>
      </c>
      <c r="FT191" t="s">
        <v>4055</v>
      </c>
      <c r="FU191">
        <v>0.4</v>
      </c>
      <c r="FV191">
        <v>2027</v>
      </c>
      <c r="FW191">
        <v>199</v>
      </c>
      <c r="FZ191" t="s">
        <v>4055</v>
      </c>
      <c r="GA191" t="s">
        <v>4055</v>
      </c>
      <c r="GD191">
        <v>4597</v>
      </c>
      <c r="GE191" t="s">
        <v>4750</v>
      </c>
      <c r="GF191" t="s">
        <v>4055</v>
      </c>
      <c r="GG191" t="s">
        <v>4055</v>
      </c>
      <c r="GH191" t="s">
        <v>4055</v>
      </c>
      <c r="GI191" t="s">
        <v>4071</v>
      </c>
      <c r="GJ191" t="s">
        <v>4055</v>
      </c>
      <c r="GK191" t="s">
        <v>4055</v>
      </c>
      <c r="GL191" t="s">
        <v>4055</v>
      </c>
      <c r="GM191" t="s">
        <v>4055</v>
      </c>
      <c r="GQ191">
        <v>0</v>
      </c>
      <c r="GV191">
        <v>8.4</v>
      </c>
      <c r="GW191">
        <v>11</v>
      </c>
      <c r="GX191">
        <v>0.5</v>
      </c>
      <c r="GY191">
        <v>182</v>
      </c>
      <c r="GZ191">
        <v>3</v>
      </c>
      <c r="HA191">
        <v>238</v>
      </c>
      <c r="HB191">
        <v>3</v>
      </c>
      <c r="HC191">
        <v>2027</v>
      </c>
      <c r="HD191">
        <v>4</v>
      </c>
      <c r="HE191" t="s">
        <v>4071</v>
      </c>
      <c r="HG191" t="s">
        <v>549</v>
      </c>
      <c r="HL191">
        <v>4</v>
      </c>
      <c r="HM191">
        <v>17</v>
      </c>
      <c r="HN191">
        <v>1</v>
      </c>
      <c r="HO191">
        <v>1</v>
      </c>
      <c r="HP191">
        <v>0</v>
      </c>
      <c r="HQ191">
        <v>0</v>
      </c>
      <c r="HR191">
        <v>3</v>
      </c>
      <c r="HS191">
        <v>1980</v>
      </c>
      <c r="HT191">
        <v>5</v>
      </c>
      <c r="HU191">
        <v>1</v>
      </c>
      <c r="HV191">
        <v>5</v>
      </c>
      <c r="HW191">
        <v>0</v>
      </c>
      <c r="HX191">
        <v>1</v>
      </c>
      <c r="HY191">
        <v>0</v>
      </c>
      <c r="HZ191">
        <v>65</v>
      </c>
      <c r="IA191">
        <v>1983</v>
      </c>
      <c r="IB191">
        <v>1995</v>
      </c>
      <c r="ID191">
        <v>2027</v>
      </c>
      <c r="IE191">
        <v>2027</v>
      </c>
      <c r="IF191">
        <v>195</v>
      </c>
      <c r="IG191">
        <v>185</v>
      </c>
      <c r="IH191">
        <v>238</v>
      </c>
      <c r="II191">
        <v>1</v>
      </c>
      <c r="IJ191">
        <v>5</v>
      </c>
      <c r="IK191">
        <v>0</v>
      </c>
      <c r="IL191">
        <v>0</v>
      </c>
      <c r="IM191">
        <v>0</v>
      </c>
      <c r="IN191">
        <v>270</v>
      </c>
      <c r="IO191">
        <v>0</v>
      </c>
      <c r="IP191">
        <v>180</v>
      </c>
      <c r="IQ191">
        <v>0</v>
      </c>
      <c r="IR191">
        <v>330</v>
      </c>
      <c r="IS191">
        <v>0</v>
      </c>
      <c r="IT191">
        <v>90</v>
      </c>
      <c r="IU191">
        <v>0</v>
      </c>
      <c r="IV191">
        <v>6.4</v>
      </c>
      <c r="IW191">
        <v>-6</v>
      </c>
      <c r="IX191">
        <v>100</v>
      </c>
      <c r="IY191">
        <v>70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382</v>
      </c>
      <c r="JJ191">
        <v>362</v>
      </c>
      <c r="JK191">
        <v>260</v>
      </c>
      <c r="JL191">
        <v>362</v>
      </c>
      <c r="JM191">
        <v>252</v>
      </c>
      <c r="JN191">
        <v>200</v>
      </c>
      <c r="JO191">
        <v>248</v>
      </c>
      <c r="JP191">
        <v>210</v>
      </c>
      <c r="JQ191">
        <v>252</v>
      </c>
      <c r="JR191">
        <v>340</v>
      </c>
      <c r="JS191">
        <v>260</v>
      </c>
      <c r="JT191">
        <v>0</v>
      </c>
      <c r="JU191">
        <v>0</v>
      </c>
      <c r="JV191">
        <v>335</v>
      </c>
      <c r="JW191">
        <v>337</v>
      </c>
      <c r="JX191">
        <v>320</v>
      </c>
      <c r="JY191">
        <v>300</v>
      </c>
      <c r="JZ191">
        <v>0.5</v>
      </c>
      <c r="KA191">
        <v>0.2</v>
      </c>
      <c r="KB191">
        <v>0.4</v>
      </c>
      <c r="KC191">
        <v>0.42</v>
      </c>
      <c r="KD191">
        <v>0.3</v>
      </c>
      <c r="KE191">
        <v>0.5</v>
      </c>
      <c r="KF191">
        <v>0.18</v>
      </c>
      <c r="KG191">
        <v>0.1</v>
      </c>
      <c r="KH191">
        <v>2</v>
      </c>
      <c r="KI191">
        <v>1</v>
      </c>
      <c r="KJ191">
        <v>4.5</v>
      </c>
      <c r="KK191">
        <v>0</v>
      </c>
      <c r="KL191">
        <v>4.5</v>
      </c>
      <c r="KM191">
        <v>2</v>
      </c>
      <c r="KN191">
        <v>1.4</v>
      </c>
      <c r="KO191">
        <v>0</v>
      </c>
      <c r="KP191">
        <v>0</v>
      </c>
      <c r="KQ191">
        <v>0.8</v>
      </c>
      <c r="KR191">
        <v>0.8</v>
      </c>
      <c r="KS191">
        <v>0</v>
      </c>
      <c r="KT191">
        <v>2.1</v>
      </c>
      <c r="KU191">
        <v>0</v>
      </c>
      <c r="KV191">
        <v>0</v>
      </c>
      <c r="KW191">
        <v>1.2</v>
      </c>
      <c r="KX191">
        <v>2</v>
      </c>
      <c r="KY191">
        <v>1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0.5</v>
      </c>
      <c r="LJ191">
        <v>0</v>
      </c>
      <c r="LK191">
        <v>7</v>
      </c>
      <c r="LL191">
        <v>9</v>
      </c>
      <c r="LM191">
        <v>7</v>
      </c>
      <c r="LN191">
        <v>0.3</v>
      </c>
      <c r="LO191">
        <v>1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2.1</v>
      </c>
      <c r="LX191">
        <v>2.1</v>
      </c>
      <c r="LY191">
        <v>2.8</v>
      </c>
      <c r="LZ191">
        <v>2.8</v>
      </c>
      <c r="MA191">
        <v>0</v>
      </c>
      <c r="MB191">
        <v>7</v>
      </c>
      <c r="MC191">
        <v>0</v>
      </c>
      <c r="MD191">
        <v>4.5</v>
      </c>
      <c r="ME191">
        <v>6</v>
      </c>
      <c r="MF191">
        <v>6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420</v>
      </c>
      <c r="MN191">
        <v>190</v>
      </c>
      <c r="MO191">
        <v>248</v>
      </c>
      <c r="NU191">
        <v>0.15</v>
      </c>
      <c r="NV191">
        <v>0.2</v>
      </c>
      <c r="NW191">
        <v>0.2</v>
      </c>
      <c r="NX191">
        <v>0.2</v>
      </c>
      <c r="NY191">
        <v>0.2</v>
      </c>
      <c r="NZ191">
        <v>0.2</v>
      </c>
      <c r="OE191" t="s">
        <v>4750</v>
      </c>
      <c r="OF191" t="s">
        <v>4508</v>
      </c>
      <c r="OG191" t="s">
        <v>4509</v>
      </c>
      <c r="OH191" t="s">
        <v>4043</v>
      </c>
      <c r="OI191" t="s">
        <v>4750</v>
      </c>
      <c r="OJ191" t="s">
        <v>4749</v>
      </c>
      <c r="OK191">
        <v>61</v>
      </c>
      <c r="OL191">
        <v>61</v>
      </c>
      <c r="OM191" t="s">
        <v>4508</v>
      </c>
      <c r="ON191">
        <v>1</v>
      </c>
      <c r="OO191">
        <v>1983</v>
      </c>
      <c r="OP191">
        <v>61</v>
      </c>
      <c r="OQ191">
        <v>61</v>
      </c>
      <c r="OR191" t="s">
        <v>4509</v>
      </c>
      <c r="OS191">
        <v>1</v>
      </c>
      <c r="OT191">
        <v>1995</v>
      </c>
      <c r="OU191">
        <v>65</v>
      </c>
      <c r="OV191">
        <v>65</v>
      </c>
      <c r="OW191" t="s">
        <v>4043</v>
      </c>
      <c r="OX191">
        <v>2</v>
      </c>
      <c r="OY191">
        <v>42398</v>
      </c>
      <c r="OZ191">
        <v>51</v>
      </c>
      <c r="PA191">
        <v>52</v>
      </c>
      <c r="PB191" t="s">
        <v>4750</v>
      </c>
      <c r="PC191">
        <v>1</v>
      </c>
      <c r="PD191">
        <v>2027</v>
      </c>
      <c r="PF191">
        <v>422</v>
      </c>
      <c r="PG191">
        <v>35</v>
      </c>
      <c r="PH191">
        <v>400</v>
      </c>
      <c r="PI191">
        <v>0</v>
      </c>
      <c r="PJ191">
        <v>120.7</v>
      </c>
      <c r="PK191">
        <v>2257</v>
      </c>
      <c r="PL191">
        <v>1069.2</v>
      </c>
      <c r="PM191">
        <v>979.7</v>
      </c>
      <c r="PN191">
        <v>98.3</v>
      </c>
      <c r="PP191">
        <v>12</v>
      </c>
      <c r="PQ191">
        <v>3</v>
      </c>
      <c r="PR191">
        <v>3</v>
      </c>
      <c r="PS191">
        <v>8</v>
      </c>
      <c r="PT191">
        <v>238</v>
      </c>
      <c r="PU191">
        <v>11</v>
      </c>
      <c r="PV191" t="s">
        <v>4072</v>
      </c>
      <c r="PW191" t="s">
        <v>4072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-1</v>
      </c>
      <c r="QF191">
        <v>1</v>
      </c>
      <c r="QG191">
        <v>0</v>
      </c>
      <c r="QH191">
        <v>5</v>
      </c>
      <c r="QI191">
        <v>5</v>
      </c>
      <c r="QJ191">
        <v>5</v>
      </c>
      <c r="QK191">
        <v>186</v>
      </c>
      <c r="QL191">
        <v>416</v>
      </c>
      <c r="QM191">
        <v>7.5</v>
      </c>
      <c r="QN191">
        <v>1381.4</v>
      </c>
      <c r="QO191" t="s">
        <v>2341</v>
      </c>
      <c r="QP191" t="s">
        <v>513</v>
      </c>
      <c r="QQ191">
        <v>0</v>
      </c>
      <c r="QR191" t="s">
        <v>649</v>
      </c>
      <c r="QS191">
        <v>30</v>
      </c>
      <c r="QT191">
        <v>40</v>
      </c>
    </row>
    <row r="192" spans="1:462">
      <c r="A192" t="s">
        <v>2655</v>
      </c>
      <c r="B192" t="s">
        <v>804</v>
      </c>
      <c r="C192" t="s">
        <v>509</v>
      </c>
      <c r="D192" t="s">
        <v>2307</v>
      </c>
      <c r="E192" t="s">
        <v>4036</v>
      </c>
      <c r="H192" t="s">
        <v>1294</v>
      </c>
      <c r="J192" t="s">
        <v>562</v>
      </c>
      <c r="K192" t="s">
        <v>563</v>
      </c>
      <c r="L192" t="s">
        <v>508</v>
      </c>
      <c r="M192" t="s">
        <v>512</v>
      </c>
      <c r="N192" t="s">
        <v>515</v>
      </c>
      <c r="O192" t="s">
        <v>513</v>
      </c>
      <c r="P192" t="s">
        <v>517</v>
      </c>
      <c r="Q192" t="s">
        <v>758</v>
      </c>
      <c r="R192" t="s">
        <v>759</v>
      </c>
      <c r="S192" t="s">
        <v>4037</v>
      </c>
      <c r="T192" t="s">
        <v>662</v>
      </c>
      <c r="U192" t="s">
        <v>663</v>
      </c>
      <c r="V192" t="s">
        <v>2656</v>
      </c>
      <c r="W192" t="s">
        <v>2657</v>
      </c>
      <c r="X192" t="s">
        <v>2658</v>
      </c>
      <c r="Y192" t="s">
        <v>2659</v>
      </c>
      <c r="Z192" t="s">
        <v>541</v>
      </c>
      <c r="AA192" t="s">
        <v>4038</v>
      </c>
      <c r="AB192" t="s">
        <v>4751</v>
      </c>
      <c r="AC192">
        <v>9</v>
      </c>
      <c r="AD192" t="s">
        <v>2654</v>
      </c>
      <c r="AE192">
        <v>2</v>
      </c>
      <c r="AF192">
        <v>4592</v>
      </c>
      <c r="AG192" t="s">
        <v>4752</v>
      </c>
      <c r="AH192">
        <v>1</v>
      </c>
      <c r="AI192" t="s">
        <v>4041</v>
      </c>
      <c r="AK192" t="s">
        <v>4753</v>
      </c>
      <c r="AL192">
        <v>1</v>
      </c>
      <c r="AM192" t="s">
        <v>582</v>
      </c>
      <c r="AO192" t="s">
        <v>4043</v>
      </c>
      <c r="AP192">
        <v>1</v>
      </c>
      <c r="AR192" t="s">
        <v>4754</v>
      </c>
      <c r="AS192">
        <v>1</v>
      </c>
      <c r="AT192">
        <v>52</v>
      </c>
      <c r="AV192" t="s">
        <v>4078</v>
      </c>
      <c r="AW192">
        <v>6.4</v>
      </c>
      <c r="AX192">
        <v>-6</v>
      </c>
      <c r="AY192">
        <v>95</v>
      </c>
      <c r="AZ192">
        <v>65</v>
      </c>
      <c r="BH192">
        <v>95</v>
      </c>
      <c r="BI192">
        <v>30</v>
      </c>
      <c r="BJ192">
        <v>65</v>
      </c>
      <c r="BK192">
        <v>2.5</v>
      </c>
      <c r="BL192">
        <v>190</v>
      </c>
      <c r="BM192">
        <v>-6</v>
      </c>
      <c r="BN192">
        <v>0</v>
      </c>
      <c r="BP192">
        <v>0</v>
      </c>
      <c r="BR192">
        <v>185</v>
      </c>
      <c r="BS192">
        <v>175</v>
      </c>
      <c r="BT192">
        <v>2025</v>
      </c>
      <c r="BU192" t="s">
        <v>4096</v>
      </c>
      <c r="BV192" t="s">
        <v>4096</v>
      </c>
      <c r="BW192" t="s">
        <v>4097</v>
      </c>
      <c r="BX192" t="s">
        <v>4097</v>
      </c>
      <c r="BY192" t="s">
        <v>4116</v>
      </c>
      <c r="BZ192" t="s">
        <v>4117</v>
      </c>
      <c r="CA192" t="s">
        <v>4118</v>
      </c>
      <c r="CB192" t="s">
        <v>4119</v>
      </c>
      <c r="CC192" t="s">
        <v>4053</v>
      </c>
      <c r="CD192" t="s">
        <v>4121</v>
      </c>
      <c r="CE192" t="s">
        <v>4055</v>
      </c>
      <c r="CF192" t="s">
        <v>4055</v>
      </c>
      <c r="CG192" t="s">
        <v>4056</v>
      </c>
      <c r="CI192" t="s">
        <v>4058</v>
      </c>
      <c r="CJ192" t="s">
        <v>4059</v>
      </c>
      <c r="CK192" t="s">
        <v>4060</v>
      </c>
      <c r="CL192" t="s">
        <v>4061</v>
      </c>
      <c r="CM192" t="s">
        <v>4055</v>
      </c>
      <c r="CN192" t="s">
        <v>4062</v>
      </c>
      <c r="CO192" t="s">
        <v>4063</v>
      </c>
      <c r="CP192" t="s">
        <v>4055</v>
      </c>
      <c r="CQ192" t="s">
        <v>4055</v>
      </c>
      <c r="CR192">
        <v>5</v>
      </c>
      <c r="CS192" t="s">
        <v>4055</v>
      </c>
      <c r="CT192" t="s">
        <v>4055</v>
      </c>
      <c r="CU192" t="s">
        <v>4055</v>
      </c>
      <c r="CV192">
        <v>123</v>
      </c>
      <c r="CW192">
        <v>3</v>
      </c>
      <c r="CX192">
        <v>78</v>
      </c>
      <c r="CY192">
        <v>5</v>
      </c>
      <c r="CZ192">
        <v>136</v>
      </c>
      <c r="DA192">
        <v>5</v>
      </c>
      <c r="DB192">
        <v>11320</v>
      </c>
      <c r="DC192">
        <v>330</v>
      </c>
      <c r="DD192">
        <v>319</v>
      </c>
      <c r="DE192">
        <v>2148</v>
      </c>
      <c r="DF192">
        <v>2148</v>
      </c>
      <c r="DG192">
        <v>2159</v>
      </c>
      <c r="DH192" t="s">
        <v>4055</v>
      </c>
      <c r="DI192" t="s">
        <v>4055</v>
      </c>
      <c r="DJ192" t="s">
        <v>4132</v>
      </c>
      <c r="DK192">
        <v>185</v>
      </c>
      <c r="DL192" t="s">
        <v>4065</v>
      </c>
      <c r="DM192">
        <v>63</v>
      </c>
      <c r="DN192">
        <v>1.1</v>
      </c>
      <c r="DO192">
        <v>1</v>
      </c>
      <c r="DP192">
        <v>2028</v>
      </c>
      <c r="DQ192">
        <v>811</v>
      </c>
      <c r="DR192" t="s">
        <v>4132</v>
      </c>
      <c r="DS192">
        <v>175</v>
      </c>
      <c r="DT192" t="s">
        <v>4065</v>
      </c>
      <c r="DU192">
        <v>63</v>
      </c>
      <c r="DV192">
        <v>1.1</v>
      </c>
      <c r="DW192">
        <v>1</v>
      </c>
      <c r="DX192">
        <v>2040</v>
      </c>
      <c r="DY192">
        <v>773</v>
      </c>
      <c r="DZ192" t="s">
        <v>4066</v>
      </c>
      <c r="EA192">
        <v>20</v>
      </c>
      <c r="EB192" t="s">
        <v>4065</v>
      </c>
      <c r="EC192">
        <v>0.8</v>
      </c>
      <c r="ED192">
        <v>2028</v>
      </c>
      <c r="EE192">
        <v>71</v>
      </c>
      <c r="EG192">
        <v>0</v>
      </c>
      <c r="EH192" t="s">
        <v>4065</v>
      </c>
      <c r="EI192">
        <v>0</v>
      </c>
      <c r="EL192" t="s">
        <v>1528</v>
      </c>
      <c r="EM192">
        <v>12</v>
      </c>
      <c r="EN192">
        <v>0.5</v>
      </c>
      <c r="EO192">
        <v>0.96</v>
      </c>
      <c r="EP192">
        <v>2038.83</v>
      </c>
      <c r="EQ192">
        <v>32175.29</v>
      </c>
      <c r="ER192">
        <v>9585.290000000001</v>
      </c>
      <c r="ES192">
        <v>0</v>
      </c>
      <c r="ET192">
        <v>0</v>
      </c>
      <c r="EU192">
        <v>1</v>
      </c>
      <c r="EV192">
        <v>41761</v>
      </c>
      <c r="EW192">
        <v>502</v>
      </c>
      <c r="EX192" t="s">
        <v>4755</v>
      </c>
      <c r="EY192">
        <v>212</v>
      </c>
      <c r="EZ192" t="s">
        <v>4055</v>
      </c>
      <c r="FA192">
        <v>4.2</v>
      </c>
      <c r="FB192">
        <v>1</v>
      </c>
      <c r="FC192">
        <v>1</v>
      </c>
      <c r="FD192">
        <v>2071</v>
      </c>
      <c r="FE192">
        <v>2129</v>
      </c>
      <c r="FF192" t="s">
        <v>4756</v>
      </c>
      <c r="FG192">
        <v>212</v>
      </c>
      <c r="FH192" t="s">
        <v>4055</v>
      </c>
      <c r="FI192">
        <v>3.7</v>
      </c>
      <c r="FJ192">
        <v>2071</v>
      </c>
      <c r="FK192">
        <v>2064</v>
      </c>
      <c r="FL192" t="s">
        <v>4069</v>
      </c>
      <c r="FM192" t="s">
        <v>4055</v>
      </c>
      <c r="FN192" t="s">
        <v>4055</v>
      </c>
      <c r="FO192" t="s">
        <v>4055</v>
      </c>
      <c r="FP192">
        <v>2071</v>
      </c>
      <c r="FQ192">
        <v>158</v>
      </c>
      <c r="FR192" t="s">
        <v>4090</v>
      </c>
      <c r="FS192">
        <v>216</v>
      </c>
      <c r="FT192" t="s">
        <v>4055</v>
      </c>
      <c r="FU192">
        <v>0.4</v>
      </c>
      <c r="FV192">
        <v>2071</v>
      </c>
      <c r="FW192">
        <v>199</v>
      </c>
      <c r="FX192" t="s">
        <v>4070</v>
      </c>
      <c r="FY192">
        <v>5</v>
      </c>
      <c r="FZ192" t="s">
        <v>4055</v>
      </c>
      <c r="GA192" t="s">
        <v>4055</v>
      </c>
      <c r="GB192">
        <v>2071</v>
      </c>
      <c r="GC192">
        <v>20</v>
      </c>
      <c r="GD192">
        <v>4570</v>
      </c>
      <c r="GE192" t="s">
        <v>4754</v>
      </c>
      <c r="GF192" t="s">
        <v>4055</v>
      </c>
      <c r="GG192" t="s">
        <v>4055</v>
      </c>
      <c r="GH192" t="s">
        <v>4055</v>
      </c>
      <c r="GI192" t="s">
        <v>4071</v>
      </c>
      <c r="GJ192" t="s">
        <v>4055</v>
      </c>
      <c r="GK192" t="s">
        <v>4055</v>
      </c>
      <c r="GL192" t="s">
        <v>4055</v>
      </c>
      <c r="GM192" t="s">
        <v>4055</v>
      </c>
      <c r="GQ192">
        <v>0</v>
      </c>
      <c r="GV192">
        <v>8.300000000000001</v>
      </c>
      <c r="GW192">
        <v>11.3</v>
      </c>
      <c r="GX192">
        <v>0.5</v>
      </c>
      <c r="GY192">
        <v>180</v>
      </c>
      <c r="GZ192">
        <v>3</v>
      </c>
      <c r="HA192">
        <v>230</v>
      </c>
      <c r="HB192">
        <v>3</v>
      </c>
      <c r="HC192">
        <v>2071</v>
      </c>
      <c r="HD192">
        <v>4</v>
      </c>
      <c r="HE192" t="s">
        <v>4071</v>
      </c>
      <c r="HG192" t="s">
        <v>549</v>
      </c>
      <c r="HL192">
        <v>4</v>
      </c>
      <c r="HM192">
        <v>18</v>
      </c>
      <c r="HN192">
        <v>6</v>
      </c>
      <c r="HO192">
        <v>1</v>
      </c>
      <c r="HP192">
        <v>0</v>
      </c>
      <c r="HQ192">
        <v>0</v>
      </c>
      <c r="HR192">
        <v>3</v>
      </c>
      <c r="HS192">
        <v>2025</v>
      </c>
      <c r="HT192">
        <v>5</v>
      </c>
      <c r="HU192">
        <v>1</v>
      </c>
      <c r="HV192">
        <v>0</v>
      </c>
      <c r="HW192">
        <v>0</v>
      </c>
      <c r="HX192">
        <v>1</v>
      </c>
      <c r="HY192">
        <v>0</v>
      </c>
      <c r="HZ192">
        <v>63</v>
      </c>
      <c r="IA192">
        <v>2028</v>
      </c>
      <c r="IB192">
        <v>2040</v>
      </c>
      <c r="ID192">
        <v>2071</v>
      </c>
      <c r="IE192">
        <v>2071</v>
      </c>
      <c r="IF192">
        <v>185</v>
      </c>
      <c r="IG192">
        <v>175</v>
      </c>
      <c r="IH192">
        <v>230</v>
      </c>
      <c r="II192">
        <v>1</v>
      </c>
      <c r="IJ192">
        <v>5</v>
      </c>
      <c r="IK192">
        <v>0</v>
      </c>
      <c r="IL192">
        <v>0</v>
      </c>
      <c r="IM192">
        <v>0</v>
      </c>
      <c r="IN192">
        <v>270</v>
      </c>
      <c r="IO192">
        <v>0</v>
      </c>
      <c r="IP192">
        <v>180</v>
      </c>
      <c r="IQ192">
        <v>0</v>
      </c>
      <c r="IR192">
        <v>325</v>
      </c>
      <c r="IS192">
        <v>0</v>
      </c>
      <c r="IT192">
        <v>90</v>
      </c>
      <c r="IU192">
        <v>0</v>
      </c>
      <c r="IV192">
        <v>6.4</v>
      </c>
      <c r="IW192">
        <v>-6</v>
      </c>
      <c r="IX192">
        <v>95</v>
      </c>
      <c r="IY192">
        <v>65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360</v>
      </c>
      <c r="JJ192">
        <v>330</v>
      </c>
      <c r="JK192">
        <v>250</v>
      </c>
      <c r="JL192">
        <v>328</v>
      </c>
      <c r="JM192">
        <v>265</v>
      </c>
      <c r="JN192">
        <v>185</v>
      </c>
      <c r="JO192">
        <v>240</v>
      </c>
      <c r="JP192">
        <v>200</v>
      </c>
      <c r="JQ192">
        <v>250</v>
      </c>
      <c r="JR192">
        <v>306</v>
      </c>
      <c r="JS192">
        <v>226</v>
      </c>
      <c r="JT192">
        <v>0</v>
      </c>
      <c r="JU192">
        <v>0</v>
      </c>
      <c r="JV192">
        <v>301</v>
      </c>
      <c r="JW192">
        <v>291</v>
      </c>
      <c r="JX192">
        <v>286</v>
      </c>
      <c r="JY192">
        <v>266</v>
      </c>
      <c r="JZ192">
        <v>0.5</v>
      </c>
      <c r="KA192">
        <v>0.2</v>
      </c>
      <c r="KB192">
        <v>0.4</v>
      </c>
      <c r="KC192">
        <v>0.42</v>
      </c>
      <c r="KD192">
        <v>0.28</v>
      </c>
      <c r="KE192">
        <v>0.5</v>
      </c>
      <c r="KF192">
        <v>0.18</v>
      </c>
      <c r="KG192">
        <v>0.1</v>
      </c>
      <c r="KH192">
        <v>3.5</v>
      </c>
      <c r="KI192">
        <v>1</v>
      </c>
      <c r="KJ192">
        <v>4.5</v>
      </c>
      <c r="KK192">
        <v>1</v>
      </c>
      <c r="KL192">
        <v>4.5</v>
      </c>
      <c r="KM192">
        <v>1</v>
      </c>
      <c r="KN192">
        <v>1.6</v>
      </c>
      <c r="KO192">
        <v>0</v>
      </c>
      <c r="KP192">
        <v>0</v>
      </c>
      <c r="KQ192">
        <v>0.8</v>
      </c>
      <c r="KR192">
        <v>0.8</v>
      </c>
      <c r="KS192">
        <v>0.2</v>
      </c>
      <c r="KT192">
        <v>2.1</v>
      </c>
      <c r="KU192">
        <v>0</v>
      </c>
      <c r="KV192">
        <v>0</v>
      </c>
      <c r="KW192">
        <v>1.2</v>
      </c>
      <c r="KX192">
        <v>2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3</v>
      </c>
      <c r="LI192">
        <v>0</v>
      </c>
      <c r="LJ192">
        <v>0</v>
      </c>
      <c r="LK192">
        <v>3</v>
      </c>
      <c r="LL192">
        <v>6</v>
      </c>
      <c r="LM192">
        <v>5</v>
      </c>
      <c r="LN192">
        <v>0.5</v>
      </c>
      <c r="LO192">
        <v>0.3</v>
      </c>
      <c r="LP192">
        <v>0</v>
      </c>
      <c r="LQ192">
        <v>0</v>
      </c>
      <c r="LR192">
        <v>0</v>
      </c>
      <c r="LS192">
        <v>1</v>
      </c>
      <c r="LT192">
        <v>0</v>
      </c>
      <c r="LU192">
        <v>0</v>
      </c>
      <c r="LV192">
        <v>0</v>
      </c>
      <c r="LW192">
        <v>1.5</v>
      </c>
      <c r="LX192">
        <v>1.5</v>
      </c>
      <c r="LY192">
        <v>1.5</v>
      </c>
      <c r="LZ192">
        <v>1.5</v>
      </c>
      <c r="MA192">
        <v>0</v>
      </c>
      <c r="MB192">
        <v>3</v>
      </c>
      <c r="MC192">
        <v>0</v>
      </c>
      <c r="MD192">
        <v>4.5</v>
      </c>
      <c r="ME192">
        <v>6</v>
      </c>
      <c r="MF192">
        <v>6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390</v>
      </c>
      <c r="MN192">
        <v>180</v>
      </c>
      <c r="MO192">
        <v>240</v>
      </c>
      <c r="NU192">
        <v>0.15</v>
      </c>
      <c r="NV192">
        <v>0.3</v>
      </c>
      <c r="NW192">
        <v>0.3</v>
      </c>
      <c r="NX192">
        <v>2</v>
      </c>
      <c r="NY192">
        <v>2</v>
      </c>
      <c r="NZ192">
        <v>2</v>
      </c>
      <c r="OE192" t="s">
        <v>4754</v>
      </c>
      <c r="OF192" t="s">
        <v>4752</v>
      </c>
      <c r="OG192" t="s">
        <v>4753</v>
      </c>
      <c r="OH192" t="s">
        <v>4043</v>
      </c>
      <c r="OI192" t="s">
        <v>4754</v>
      </c>
      <c r="OJ192" t="s">
        <v>4751</v>
      </c>
      <c r="OK192">
        <v>61</v>
      </c>
      <c r="OL192">
        <v>61</v>
      </c>
      <c r="OM192" t="s">
        <v>4752</v>
      </c>
      <c r="ON192">
        <v>1</v>
      </c>
      <c r="OO192">
        <v>2028</v>
      </c>
      <c r="OP192">
        <v>61</v>
      </c>
      <c r="OQ192">
        <v>61</v>
      </c>
      <c r="OR192" t="s">
        <v>4753</v>
      </c>
      <c r="OS192">
        <v>1</v>
      </c>
      <c r="OT192">
        <v>2040</v>
      </c>
      <c r="OU192">
        <v>65</v>
      </c>
      <c r="OV192">
        <v>65</v>
      </c>
      <c r="OW192" t="s">
        <v>4043</v>
      </c>
      <c r="OX192">
        <v>2</v>
      </c>
      <c r="OY192">
        <v>41761</v>
      </c>
      <c r="OZ192">
        <v>51</v>
      </c>
      <c r="PA192">
        <v>52</v>
      </c>
      <c r="PB192" t="s">
        <v>4754</v>
      </c>
      <c r="PC192">
        <v>1</v>
      </c>
      <c r="PD192">
        <v>2071</v>
      </c>
      <c r="PF192">
        <v>400</v>
      </c>
      <c r="PG192">
        <v>35</v>
      </c>
      <c r="PH192">
        <v>379</v>
      </c>
      <c r="PI192">
        <v>0</v>
      </c>
      <c r="PJ192">
        <v>76.2</v>
      </c>
      <c r="PK192">
        <v>2222</v>
      </c>
      <c r="PL192">
        <v>1028.1</v>
      </c>
      <c r="PM192">
        <v>996.4</v>
      </c>
      <c r="PN192">
        <v>96.09999999999999</v>
      </c>
      <c r="PO192">
        <v>9.6</v>
      </c>
      <c r="PP192">
        <v>12</v>
      </c>
      <c r="PQ192">
        <v>3</v>
      </c>
      <c r="PR192">
        <v>3</v>
      </c>
      <c r="PS192">
        <v>0</v>
      </c>
      <c r="PT192">
        <v>230</v>
      </c>
      <c r="PU192">
        <v>9</v>
      </c>
      <c r="PV192" t="s">
        <v>4072</v>
      </c>
      <c r="PW192" t="s">
        <v>4072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-1</v>
      </c>
      <c r="QF192">
        <v>1</v>
      </c>
      <c r="QG192">
        <v>0</v>
      </c>
      <c r="QH192">
        <v>5</v>
      </c>
      <c r="QI192">
        <v>5</v>
      </c>
      <c r="QJ192">
        <v>5</v>
      </c>
      <c r="QK192">
        <v>175</v>
      </c>
      <c r="QL192">
        <v>394</v>
      </c>
      <c r="QM192">
        <v>7.5</v>
      </c>
      <c r="QN192">
        <v>1461.1</v>
      </c>
      <c r="QO192" t="s">
        <v>2662</v>
      </c>
      <c r="QP192" t="s">
        <v>513</v>
      </c>
      <c r="QQ192">
        <v>0</v>
      </c>
      <c r="QR192" t="s">
        <v>540</v>
      </c>
      <c r="QS192">
        <v>30</v>
      </c>
      <c r="QT192">
        <v>40</v>
      </c>
    </row>
    <row r="193" spans="1:462">
      <c r="A193" t="s">
        <v>2664</v>
      </c>
      <c r="B193" t="s">
        <v>804</v>
      </c>
      <c r="C193" t="s">
        <v>509</v>
      </c>
      <c r="D193" t="s">
        <v>1199</v>
      </c>
      <c r="E193" t="s">
        <v>4036</v>
      </c>
      <c r="H193" t="s">
        <v>1088</v>
      </c>
      <c r="L193" t="s">
        <v>508</v>
      </c>
      <c r="M193" t="s">
        <v>512</v>
      </c>
      <c r="N193" t="s">
        <v>515</v>
      </c>
      <c r="O193" t="s">
        <v>513</v>
      </c>
      <c r="P193" t="s">
        <v>517</v>
      </c>
      <c r="Q193" t="s">
        <v>913</v>
      </c>
      <c r="R193" t="s">
        <v>714</v>
      </c>
      <c r="S193" t="s">
        <v>4134</v>
      </c>
      <c r="T193" t="s">
        <v>686</v>
      </c>
      <c r="U193" t="s">
        <v>687</v>
      </c>
      <c r="V193" t="s">
        <v>2372</v>
      </c>
      <c r="W193" t="s">
        <v>2657</v>
      </c>
      <c r="X193" t="s">
        <v>2665</v>
      </c>
      <c r="Y193" t="s">
        <v>2666</v>
      </c>
      <c r="Z193" t="s">
        <v>541</v>
      </c>
      <c r="AA193" t="s">
        <v>4038</v>
      </c>
      <c r="AB193" t="s">
        <v>4757</v>
      </c>
      <c r="AC193">
        <v>9</v>
      </c>
      <c r="AD193" t="s">
        <v>2663</v>
      </c>
      <c r="AE193">
        <v>2</v>
      </c>
      <c r="AF193">
        <v>4774</v>
      </c>
      <c r="AG193" t="s">
        <v>4306</v>
      </c>
      <c r="AH193">
        <v>1</v>
      </c>
      <c r="AI193" t="s">
        <v>4041</v>
      </c>
      <c r="AK193" t="s">
        <v>4307</v>
      </c>
      <c r="AL193">
        <v>1</v>
      </c>
      <c r="AM193" t="s">
        <v>582</v>
      </c>
      <c r="AO193" t="s">
        <v>4043</v>
      </c>
      <c r="AP193">
        <v>1</v>
      </c>
      <c r="AR193" t="s">
        <v>4758</v>
      </c>
      <c r="AS193">
        <v>1</v>
      </c>
      <c r="AT193">
        <v>52</v>
      </c>
      <c r="AV193" t="s">
        <v>4078</v>
      </c>
      <c r="AW193">
        <v>6.4</v>
      </c>
      <c r="AX193">
        <v>-6</v>
      </c>
      <c r="AY193">
        <v>110</v>
      </c>
      <c r="AZ193">
        <v>80</v>
      </c>
      <c r="BH193">
        <v>110</v>
      </c>
      <c r="BI193">
        <v>30</v>
      </c>
      <c r="BJ193">
        <v>80</v>
      </c>
      <c r="BK193">
        <v>2.5</v>
      </c>
      <c r="BL193">
        <v>220</v>
      </c>
      <c r="BM193">
        <v>-6</v>
      </c>
      <c r="BN193">
        <v>0</v>
      </c>
      <c r="BO193">
        <v>0</v>
      </c>
      <c r="BP193">
        <v>0</v>
      </c>
      <c r="BR193">
        <v>215</v>
      </c>
      <c r="BS193">
        <v>205</v>
      </c>
      <c r="BT193">
        <v>2045</v>
      </c>
      <c r="BU193" t="s">
        <v>4096</v>
      </c>
      <c r="BV193" t="s">
        <v>4096</v>
      </c>
      <c r="BW193" t="s">
        <v>4097</v>
      </c>
      <c r="BX193" t="s">
        <v>4097</v>
      </c>
      <c r="BY193" t="s">
        <v>4181</v>
      </c>
      <c r="BZ193" t="s">
        <v>4160</v>
      </c>
      <c r="CA193" t="s">
        <v>4130</v>
      </c>
      <c r="CB193" t="s">
        <v>4131</v>
      </c>
      <c r="CC193" t="s">
        <v>4053</v>
      </c>
      <c r="CD193" t="s">
        <v>4055</v>
      </c>
      <c r="CE193" t="s">
        <v>4055</v>
      </c>
      <c r="CF193" t="s">
        <v>4055</v>
      </c>
      <c r="CG193" t="s">
        <v>4056</v>
      </c>
      <c r="CI193" t="s">
        <v>4086</v>
      </c>
      <c r="CJ193" t="s">
        <v>4059</v>
      </c>
      <c r="CK193" t="s">
        <v>4060</v>
      </c>
      <c r="CL193" t="s">
        <v>4061</v>
      </c>
      <c r="CM193" t="s">
        <v>4055</v>
      </c>
      <c r="CN193" t="s">
        <v>4062</v>
      </c>
      <c r="CO193" t="s">
        <v>4063</v>
      </c>
      <c r="CP193" t="s">
        <v>4055</v>
      </c>
      <c r="CQ193" t="s">
        <v>4055</v>
      </c>
      <c r="CR193">
        <v>5</v>
      </c>
      <c r="CS193" t="s">
        <v>4055</v>
      </c>
      <c r="CT193" t="s">
        <v>4055</v>
      </c>
      <c r="CU193" t="s">
        <v>4055</v>
      </c>
      <c r="CV193">
        <v>132</v>
      </c>
      <c r="CW193">
        <v>3</v>
      </c>
      <c r="CX193">
        <v>93</v>
      </c>
      <c r="CY193">
        <v>5</v>
      </c>
      <c r="CZ193">
        <v>87</v>
      </c>
      <c r="DA193">
        <v>5</v>
      </c>
      <c r="DB193">
        <v>12580</v>
      </c>
      <c r="DC193">
        <v>370</v>
      </c>
      <c r="DD193">
        <v>320</v>
      </c>
      <c r="DE193">
        <v>2173</v>
      </c>
      <c r="DF193">
        <v>2173</v>
      </c>
      <c r="DG193">
        <v>2184</v>
      </c>
      <c r="DH193">
        <v>0</v>
      </c>
      <c r="DI193" t="s">
        <v>4055</v>
      </c>
      <c r="DJ193" t="s">
        <v>4132</v>
      </c>
      <c r="DK193">
        <v>215</v>
      </c>
      <c r="DL193" t="s">
        <v>4065</v>
      </c>
      <c r="DM193">
        <v>63</v>
      </c>
      <c r="DN193">
        <v>1.1</v>
      </c>
      <c r="DO193">
        <v>1</v>
      </c>
      <c r="DP193">
        <v>2048</v>
      </c>
      <c r="DQ193">
        <v>952</v>
      </c>
      <c r="DR193" t="s">
        <v>4132</v>
      </c>
      <c r="DS193">
        <v>205</v>
      </c>
      <c r="DT193" t="s">
        <v>4065</v>
      </c>
      <c r="DU193">
        <v>63</v>
      </c>
      <c r="DV193">
        <v>1.1</v>
      </c>
      <c r="DW193">
        <v>1</v>
      </c>
      <c r="DX193">
        <v>2060</v>
      </c>
      <c r="DY193">
        <v>913</v>
      </c>
      <c r="DZ193" t="s">
        <v>4066</v>
      </c>
      <c r="EA193">
        <v>20</v>
      </c>
      <c r="EB193" t="s">
        <v>4065</v>
      </c>
      <c r="EC193">
        <v>0.8</v>
      </c>
      <c r="ED193">
        <v>2048</v>
      </c>
      <c r="EE193">
        <v>72</v>
      </c>
      <c r="EG193">
        <v>0</v>
      </c>
      <c r="EH193" t="s">
        <v>4065</v>
      </c>
      <c r="EI193">
        <v>0</v>
      </c>
      <c r="EL193" t="s">
        <v>1528</v>
      </c>
      <c r="EM193">
        <v>12</v>
      </c>
      <c r="EN193">
        <v>0.5</v>
      </c>
      <c r="EO193">
        <v>0.96</v>
      </c>
      <c r="EP193">
        <v>2058.83</v>
      </c>
      <c r="EQ193">
        <v>37316.29</v>
      </c>
      <c r="ER193">
        <v>9679.040000000001</v>
      </c>
      <c r="ES193">
        <v>0</v>
      </c>
      <c r="ET193">
        <v>0</v>
      </c>
      <c r="EU193">
        <v>1</v>
      </c>
      <c r="EV193">
        <v>46996</v>
      </c>
      <c r="EW193">
        <v>564</v>
      </c>
      <c r="EX193" t="s">
        <v>4755</v>
      </c>
      <c r="EY193">
        <v>228</v>
      </c>
      <c r="EZ193" t="s">
        <v>4055</v>
      </c>
      <c r="FA193">
        <v>3.5</v>
      </c>
      <c r="FB193">
        <v>1</v>
      </c>
      <c r="FC193">
        <v>1</v>
      </c>
      <c r="FD193">
        <v>2093</v>
      </c>
      <c r="FE193">
        <v>2019</v>
      </c>
      <c r="FF193" t="s">
        <v>4756</v>
      </c>
      <c r="FG193">
        <v>228</v>
      </c>
      <c r="FH193" t="s">
        <v>4055</v>
      </c>
      <c r="FI193">
        <v>4.9</v>
      </c>
      <c r="FJ193">
        <v>2093</v>
      </c>
      <c r="FK193">
        <v>2873</v>
      </c>
      <c r="FL193" t="s">
        <v>4069</v>
      </c>
      <c r="FM193" t="s">
        <v>4055</v>
      </c>
      <c r="FN193" t="s">
        <v>4055</v>
      </c>
      <c r="FO193" t="s">
        <v>4055</v>
      </c>
      <c r="FP193">
        <v>2093</v>
      </c>
      <c r="FQ193">
        <v>167</v>
      </c>
      <c r="FR193" t="s">
        <v>4090</v>
      </c>
      <c r="FS193">
        <v>232</v>
      </c>
      <c r="FT193" t="s">
        <v>4055</v>
      </c>
      <c r="FU193">
        <v>0.4</v>
      </c>
      <c r="FV193">
        <v>2093</v>
      </c>
      <c r="FW193">
        <v>216</v>
      </c>
      <c r="FX193" t="s">
        <v>4070</v>
      </c>
      <c r="FY193">
        <v>5</v>
      </c>
      <c r="FZ193" t="s">
        <v>4055</v>
      </c>
      <c r="GA193" t="s">
        <v>4055</v>
      </c>
      <c r="GB193">
        <v>2093</v>
      </c>
      <c r="GC193">
        <v>21</v>
      </c>
      <c r="GD193">
        <v>5296</v>
      </c>
      <c r="GE193" t="s">
        <v>4758</v>
      </c>
      <c r="GF193" t="s">
        <v>4055</v>
      </c>
      <c r="GG193" t="s">
        <v>4055</v>
      </c>
      <c r="GH193" t="s">
        <v>4055</v>
      </c>
      <c r="GI193" t="s">
        <v>4071</v>
      </c>
      <c r="GJ193" t="s">
        <v>4055</v>
      </c>
      <c r="GK193" t="s">
        <v>4055</v>
      </c>
      <c r="GL193" t="s">
        <v>4055</v>
      </c>
      <c r="GM193" t="s">
        <v>4055</v>
      </c>
      <c r="GQ193">
        <v>0</v>
      </c>
      <c r="GV193">
        <v>8.800000000000001</v>
      </c>
      <c r="GW193">
        <v>11.8</v>
      </c>
      <c r="GX193">
        <v>0.5</v>
      </c>
      <c r="GY193">
        <v>206</v>
      </c>
      <c r="GZ193">
        <v>3</v>
      </c>
      <c r="HA193">
        <v>248</v>
      </c>
      <c r="HB193">
        <v>3</v>
      </c>
      <c r="HC193">
        <v>2093</v>
      </c>
      <c r="HD193">
        <v>4</v>
      </c>
      <c r="HE193" t="s">
        <v>4071</v>
      </c>
      <c r="HG193" t="s">
        <v>549</v>
      </c>
      <c r="HL193">
        <v>4</v>
      </c>
      <c r="HM193">
        <v>19</v>
      </c>
      <c r="HN193">
        <v>6</v>
      </c>
      <c r="HO193">
        <v>1</v>
      </c>
      <c r="HP193">
        <v>0</v>
      </c>
      <c r="HQ193">
        <v>0</v>
      </c>
      <c r="HR193">
        <v>3</v>
      </c>
      <c r="HS193">
        <v>2045</v>
      </c>
      <c r="HT193">
        <v>5</v>
      </c>
      <c r="HU193">
        <v>1</v>
      </c>
      <c r="HV193">
        <v>5</v>
      </c>
      <c r="HW193">
        <v>0</v>
      </c>
      <c r="HX193">
        <v>1</v>
      </c>
      <c r="HY193">
        <v>0</v>
      </c>
      <c r="HZ193">
        <v>63</v>
      </c>
      <c r="IA193">
        <v>2048</v>
      </c>
      <c r="IB193">
        <v>2060</v>
      </c>
      <c r="ID193">
        <v>2093</v>
      </c>
      <c r="IE193">
        <v>2093</v>
      </c>
      <c r="IF193">
        <v>215</v>
      </c>
      <c r="IG193">
        <v>205</v>
      </c>
      <c r="IH193">
        <v>248</v>
      </c>
      <c r="II193">
        <v>1</v>
      </c>
      <c r="IJ193">
        <v>5</v>
      </c>
      <c r="IK193">
        <v>0</v>
      </c>
      <c r="IL193">
        <v>0</v>
      </c>
      <c r="IM193">
        <v>0</v>
      </c>
      <c r="IN193">
        <v>270</v>
      </c>
      <c r="IO193">
        <v>0</v>
      </c>
      <c r="IP193">
        <v>180</v>
      </c>
      <c r="IQ193">
        <v>0</v>
      </c>
      <c r="IR193">
        <v>330</v>
      </c>
      <c r="IS193">
        <v>0</v>
      </c>
      <c r="IT193">
        <v>90</v>
      </c>
      <c r="IU193">
        <v>0</v>
      </c>
      <c r="IV193">
        <v>6.4</v>
      </c>
      <c r="IW193">
        <v>-6</v>
      </c>
      <c r="IX193">
        <v>110</v>
      </c>
      <c r="IY193">
        <v>80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370</v>
      </c>
      <c r="JJ193">
        <v>340</v>
      </c>
      <c r="JK193">
        <v>250</v>
      </c>
      <c r="JL193">
        <v>338</v>
      </c>
      <c r="JM193">
        <v>266</v>
      </c>
      <c r="JN193">
        <v>210</v>
      </c>
      <c r="JO193">
        <v>258</v>
      </c>
      <c r="JP193">
        <v>200</v>
      </c>
      <c r="JQ193">
        <v>260</v>
      </c>
      <c r="JR193">
        <v>296</v>
      </c>
      <c r="JS193">
        <v>240</v>
      </c>
      <c r="JT193">
        <v>0</v>
      </c>
      <c r="JU193">
        <v>0</v>
      </c>
      <c r="JV193">
        <v>296</v>
      </c>
      <c r="JW193">
        <v>291</v>
      </c>
      <c r="JX193">
        <v>286</v>
      </c>
      <c r="JY193">
        <v>266</v>
      </c>
      <c r="JZ193">
        <v>0.5</v>
      </c>
      <c r="KA193">
        <v>0.2</v>
      </c>
      <c r="KB193">
        <v>0.4</v>
      </c>
      <c r="KC193">
        <v>0.42</v>
      </c>
      <c r="KD193">
        <v>0.28</v>
      </c>
      <c r="KE193">
        <v>0.5</v>
      </c>
      <c r="KF193">
        <v>0.18</v>
      </c>
      <c r="KG193">
        <v>0.11</v>
      </c>
      <c r="KH193">
        <v>3.5</v>
      </c>
      <c r="KI193">
        <v>1</v>
      </c>
      <c r="KJ193">
        <v>4.5</v>
      </c>
      <c r="KK193">
        <v>0</v>
      </c>
      <c r="KL193">
        <v>4.5</v>
      </c>
      <c r="KM193">
        <v>0</v>
      </c>
      <c r="KN193">
        <v>1.8</v>
      </c>
      <c r="KO193">
        <v>0</v>
      </c>
      <c r="KP193">
        <v>0</v>
      </c>
      <c r="KQ193">
        <v>0.7</v>
      </c>
      <c r="KR193">
        <v>0.8</v>
      </c>
      <c r="KS193">
        <v>0</v>
      </c>
      <c r="KT193">
        <v>2.1</v>
      </c>
      <c r="KU193">
        <v>0</v>
      </c>
      <c r="KV193">
        <v>0</v>
      </c>
      <c r="KW193">
        <v>0.8</v>
      </c>
      <c r="KX193">
        <v>1.5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3</v>
      </c>
      <c r="LI193">
        <v>0.5</v>
      </c>
      <c r="LJ193">
        <v>0</v>
      </c>
      <c r="LK193">
        <v>7</v>
      </c>
      <c r="LL193">
        <v>4</v>
      </c>
      <c r="LM193">
        <v>7</v>
      </c>
      <c r="LN193">
        <v>0.1</v>
      </c>
      <c r="LO193">
        <v>0.1</v>
      </c>
      <c r="LP193">
        <v>0</v>
      </c>
      <c r="LQ193">
        <v>0</v>
      </c>
      <c r="LR193">
        <v>0</v>
      </c>
      <c r="LS193">
        <v>1</v>
      </c>
      <c r="LT193">
        <v>0</v>
      </c>
      <c r="LU193">
        <v>0</v>
      </c>
      <c r="LV193">
        <v>0</v>
      </c>
      <c r="LW193">
        <v>2.1</v>
      </c>
      <c r="LX193">
        <v>2.1</v>
      </c>
      <c r="LY193">
        <v>2.1</v>
      </c>
      <c r="LZ193">
        <v>2.1</v>
      </c>
      <c r="MA193">
        <v>0</v>
      </c>
      <c r="MB193">
        <v>4.5</v>
      </c>
      <c r="MC193">
        <v>1</v>
      </c>
      <c r="MD193">
        <v>4.5</v>
      </c>
      <c r="ME193">
        <v>6</v>
      </c>
      <c r="MF193">
        <v>6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390</v>
      </c>
      <c r="MN193">
        <v>210</v>
      </c>
      <c r="MO193">
        <v>258</v>
      </c>
      <c r="NU193">
        <v>0.15</v>
      </c>
      <c r="NV193">
        <v>0.2</v>
      </c>
      <c r="NW193">
        <v>0.2</v>
      </c>
      <c r="NX193">
        <v>0.2</v>
      </c>
      <c r="NY193">
        <v>0.2</v>
      </c>
      <c r="NZ193">
        <v>0.2</v>
      </c>
      <c r="OE193" t="s">
        <v>4758</v>
      </c>
      <c r="OF193" t="s">
        <v>4306</v>
      </c>
      <c r="OG193" t="s">
        <v>4307</v>
      </c>
      <c r="OH193" t="s">
        <v>4043</v>
      </c>
      <c r="OI193" t="s">
        <v>4758</v>
      </c>
      <c r="OJ193" t="s">
        <v>4757</v>
      </c>
      <c r="OK193">
        <v>61</v>
      </c>
      <c r="OL193">
        <v>61</v>
      </c>
      <c r="OM193" t="s">
        <v>4306</v>
      </c>
      <c r="ON193">
        <v>1</v>
      </c>
      <c r="OO193">
        <v>2048</v>
      </c>
      <c r="OP193">
        <v>61</v>
      </c>
      <c r="OQ193">
        <v>61</v>
      </c>
      <c r="OR193" t="s">
        <v>4307</v>
      </c>
      <c r="OS193">
        <v>1</v>
      </c>
      <c r="OT193">
        <v>2060</v>
      </c>
      <c r="OU193">
        <v>65</v>
      </c>
      <c r="OV193">
        <v>65</v>
      </c>
      <c r="OW193" t="s">
        <v>4043</v>
      </c>
      <c r="OX193">
        <v>2</v>
      </c>
      <c r="OY193">
        <v>46996</v>
      </c>
      <c r="OZ193">
        <v>51</v>
      </c>
      <c r="PA193">
        <v>52</v>
      </c>
      <c r="PB193" t="s">
        <v>4758</v>
      </c>
      <c r="PC193">
        <v>2</v>
      </c>
      <c r="PD193">
        <v>2093</v>
      </c>
      <c r="PF193">
        <v>465</v>
      </c>
      <c r="PG193">
        <v>35</v>
      </c>
      <c r="PH193">
        <v>443</v>
      </c>
      <c r="PI193">
        <v>0</v>
      </c>
      <c r="PJ193">
        <v>80</v>
      </c>
      <c r="PL193">
        <v>964.5</v>
      </c>
      <c r="PM193">
        <v>1372.9</v>
      </c>
      <c r="PN193">
        <v>103.2</v>
      </c>
      <c r="PO193">
        <v>10.2</v>
      </c>
      <c r="PP193">
        <v>12</v>
      </c>
      <c r="PQ193">
        <v>3</v>
      </c>
      <c r="PR193">
        <v>3</v>
      </c>
      <c r="PS193">
        <v>0</v>
      </c>
      <c r="PT193">
        <v>248</v>
      </c>
      <c r="PU193">
        <v>10</v>
      </c>
      <c r="PV193" t="s">
        <v>4072</v>
      </c>
      <c r="PW193" t="s">
        <v>4072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-1</v>
      </c>
      <c r="QF193">
        <v>1</v>
      </c>
      <c r="QG193">
        <v>0</v>
      </c>
      <c r="QH193">
        <v>5</v>
      </c>
      <c r="QI193">
        <v>5</v>
      </c>
      <c r="QJ193">
        <v>5</v>
      </c>
      <c r="QK193">
        <v>200</v>
      </c>
      <c r="QL193">
        <v>400</v>
      </c>
      <c r="QM193">
        <v>7.5</v>
      </c>
      <c r="QN193">
        <v>1540.9</v>
      </c>
      <c r="QO193" t="s">
        <v>2662</v>
      </c>
      <c r="QP193" t="s">
        <v>513</v>
      </c>
      <c r="QQ193">
        <v>0</v>
      </c>
      <c r="QR193" t="s">
        <v>1343</v>
      </c>
      <c r="QS193">
        <v>40</v>
      </c>
      <c r="QT193">
        <v>50</v>
      </c>
    </row>
    <row r="194" spans="1:462">
      <c r="A194" t="s">
        <v>2670</v>
      </c>
      <c r="B194" t="s">
        <v>711</v>
      </c>
      <c r="C194" t="s">
        <v>509</v>
      </c>
      <c r="D194" t="s">
        <v>2782</v>
      </c>
      <c r="E194" t="s">
        <v>4036</v>
      </c>
      <c r="H194" t="s">
        <v>1135</v>
      </c>
      <c r="J194" t="s">
        <v>562</v>
      </c>
      <c r="K194" t="s">
        <v>563</v>
      </c>
      <c r="L194" t="s">
        <v>804</v>
      </c>
      <c r="M194" t="s">
        <v>512</v>
      </c>
      <c r="N194" t="s">
        <v>515</v>
      </c>
      <c r="O194" t="s">
        <v>513</v>
      </c>
      <c r="P194" t="s">
        <v>517</v>
      </c>
      <c r="Q194" t="s">
        <v>2671</v>
      </c>
      <c r="R194" t="s">
        <v>2672</v>
      </c>
      <c r="S194" t="s">
        <v>4254</v>
      </c>
      <c r="T194" t="s">
        <v>662</v>
      </c>
      <c r="U194" t="s">
        <v>663</v>
      </c>
      <c r="V194" t="s">
        <v>2673</v>
      </c>
      <c r="W194" t="s">
        <v>2657</v>
      </c>
      <c r="X194" t="s">
        <v>2674</v>
      </c>
      <c r="Y194" t="s">
        <v>2675</v>
      </c>
      <c r="Z194" t="s">
        <v>541</v>
      </c>
      <c r="AA194" t="s">
        <v>4038</v>
      </c>
      <c r="AB194" t="s">
        <v>4759</v>
      </c>
      <c r="AC194">
        <v>9</v>
      </c>
      <c r="AD194" t="s">
        <v>2669</v>
      </c>
      <c r="AE194">
        <v>3</v>
      </c>
      <c r="AF194">
        <v>3696</v>
      </c>
      <c r="AG194" t="s">
        <v>4322</v>
      </c>
      <c r="AH194">
        <v>1</v>
      </c>
      <c r="AI194" t="s">
        <v>4041</v>
      </c>
      <c r="AK194" t="s">
        <v>4323</v>
      </c>
      <c r="AL194">
        <v>1</v>
      </c>
      <c r="AM194" t="s">
        <v>582</v>
      </c>
      <c r="AO194" t="s">
        <v>4043</v>
      </c>
      <c r="AP194">
        <v>1</v>
      </c>
      <c r="AR194" t="s">
        <v>4760</v>
      </c>
      <c r="AS194">
        <v>1</v>
      </c>
      <c r="AT194">
        <v>52</v>
      </c>
      <c r="AV194" t="s">
        <v>4078</v>
      </c>
      <c r="AW194">
        <v>6.4</v>
      </c>
      <c r="AX194">
        <v>-6</v>
      </c>
      <c r="AY194">
        <v>100</v>
      </c>
      <c r="AZ194">
        <v>70</v>
      </c>
      <c r="BH194">
        <v>100</v>
      </c>
      <c r="BI194">
        <v>30</v>
      </c>
      <c r="BJ194">
        <v>70</v>
      </c>
      <c r="BK194">
        <v>2.5</v>
      </c>
      <c r="BL194">
        <v>200</v>
      </c>
      <c r="BM194">
        <v>-6</v>
      </c>
      <c r="BN194">
        <v>0</v>
      </c>
      <c r="BO194">
        <v>0</v>
      </c>
      <c r="BP194">
        <v>0</v>
      </c>
      <c r="BR194">
        <v>195</v>
      </c>
      <c r="BS194">
        <v>185</v>
      </c>
      <c r="BT194">
        <v>1855</v>
      </c>
      <c r="BU194" t="s">
        <v>4046</v>
      </c>
      <c r="BV194" t="s">
        <v>4047</v>
      </c>
      <c r="BW194" t="s">
        <v>4048</v>
      </c>
      <c r="BX194" t="s">
        <v>4049</v>
      </c>
      <c r="BY194" t="s">
        <v>4192</v>
      </c>
      <c r="BZ194" t="s">
        <v>4761</v>
      </c>
      <c r="CA194" t="s">
        <v>4118</v>
      </c>
      <c r="CB194" t="s">
        <v>4119</v>
      </c>
      <c r="CC194" t="s">
        <v>4053</v>
      </c>
      <c r="CD194" t="s">
        <v>4121</v>
      </c>
      <c r="CE194" t="s">
        <v>4055</v>
      </c>
      <c r="CF194" t="s">
        <v>4055</v>
      </c>
      <c r="CG194" t="s">
        <v>4056</v>
      </c>
      <c r="CH194" t="s">
        <v>4057</v>
      </c>
      <c r="CI194" t="s">
        <v>4058</v>
      </c>
      <c r="CJ194" t="s">
        <v>4059</v>
      </c>
      <c r="CK194" t="s">
        <v>4060</v>
      </c>
      <c r="CL194" t="s">
        <v>4061</v>
      </c>
      <c r="CM194" t="s">
        <v>4055</v>
      </c>
      <c r="CN194" t="s">
        <v>4062</v>
      </c>
      <c r="CO194" t="s">
        <v>4063</v>
      </c>
      <c r="CP194" t="s">
        <v>4055</v>
      </c>
      <c r="CQ194" t="s">
        <v>4055</v>
      </c>
      <c r="CR194">
        <v>5</v>
      </c>
      <c r="CS194" t="s">
        <v>4055</v>
      </c>
      <c r="CT194" t="s">
        <v>4055</v>
      </c>
      <c r="CU194" t="s">
        <v>4055</v>
      </c>
      <c r="CV194">
        <v>119</v>
      </c>
      <c r="CW194">
        <v>3</v>
      </c>
      <c r="CX194">
        <v>88</v>
      </c>
      <c r="CY194">
        <v>5</v>
      </c>
      <c r="CZ194">
        <v>78</v>
      </c>
      <c r="DA194">
        <v>5</v>
      </c>
      <c r="DB194">
        <v>9910</v>
      </c>
      <c r="DC194">
        <v>290</v>
      </c>
      <c r="DD194">
        <v>300</v>
      </c>
      <c r="DE194">
        <v>1970</v>
      </c>
      <c r="DF194">
        <v>1970</v>
      </c>
      <c r="DG194">
        <v>1981</v>
      </c>
      <c r="DH194" t="s">
        <v>4055</v>
      </c>
      <c r="DI194" t="s">
        <v>4055</v>
      </c>
      <c r="DJ194" t="s">
        <v>4100</v>
      </c>
      <c r="DK194">
        <v>195</v>
      </c>
      <c r="DL194" t="s">
        <v>4101</v>
      </c>
      <c r="DM194">
        <v>63</v>
      </c>
      <c r="DN194">
        <v>0.84</v>
      </c>
      <c r="DO194">
        <v>1</v>
      </c>
      <c r="DP194">
        <v>1858</v>
      </c>
      <c r="DQ194">
        <v>661</v>
      </c>
      <c r="DR194" t="s">
        <v>4100</v>
      </c>
      <c r="DS194">
        <v>185</v>
      </c>
      <c r="DT194" t="s">
        <v>4101</v>
      </c>
      <c r="DU194">
        <v>63</v>
      </c>
      <c r="DV194">
        <v>0.84</v>
      </c>
      <c r="DW194">
        <v>1</v>
      </c>
      <c r="DX194">
        <v>1865</v>
      </c>
      <c r="DY194">
        <v>630</v>
      </c>
      <c r="DZ194" t="s">
        <v>4066</v>
      </c>
      <c r="EA194">
        <v>33</v>
      </c>
      <c r="EB194" t="s">
        <v>4065</v>
      </c>
      <c r="EC194">
        <v>0.4</v>
      </c>
      <c r="ED194">
        <v>1858</v>
      </c>
      <c r="EE194">
        <v>54</v>
      </c>
      <c r="EF194" t="s">
        <v>4066</v>
      </c>
      <c r="EG194">
        <v>33</v>
      </c>
      <c r="EH194" t="s">
        <v>4065</v>
      </c>
      <c r="EI194">
        <v>0.4</v>
      </c>
      <c r="EJ194">
        <v>1865</v>
      </c>
      <c r="EK194">
        <v>54</v>
      </c>
      <c r="EL194" t="s">
        <v>1528</v>
      </c>
      <c r="EM194">
        <v>12</v>
      </c>
      <c r="EN194">
        <v>0.5</v>
      </c>
      <c r="EO194">
        <v>0.96</v>
      </c>
      <c r="EP194">
        <v>1865.56</v>
      </c>
      <c r="EQ194">
        <v>30898.34</v>
      </c>
      <c r="ER194">
        <v>8773.09</v>
      </c>
      <c r="ES194">
        <v>0</v>
      </c>
      <c r="ET194">
        <v>0</v>
      </c>
      <c r="EU194">
        <v>1</v>
      </c>
      <c r="EV194">
        <v>39672</v>
      </c>
      <c r="EW194">
        <v>477</v>
      </c>
      <c r="EX194" t="s">
        <v>4755</v>
      </c>
      <c r="EY194">
        <v>210</v>
      </c>
      <c r="EZ194" t="s">
        <v>4055</v>
      </c>
      <c r="FA194">
        <v>4.2</v>
      </c>
      <c r="FB194">
        <v>1</v>
      </c>
      <c r="FC194">
        <v>1</v>
      </c>
      <c r="FD194">
        <v>1899</v>
      </c>
      <c r="FE194">
        <v>1973</v>
      </c>
      <c r="FF194" t="s">
        <v>4756</v>
      </c>
      <c r="FG194">
        <v>210</v>
      </c>
      <c r="FH194" t="s">
        <v>4055</v>
      </c>
      <c r="FI194">
        <v>3.9</v>
      </c>
      <c r="FJ194">
        <v>1899</v>
      </c>
      <c r="FK194">
        <v>1996</v>
      </c>
      <c r="FL194" t="s">
        <v>4069</v>
      </c>
      <c r="FM194" t="s">
        <v>4055</v>
      </c>
      <c r="FN194" t="s">
        <v>4055</v>
      </c>
      <c r="FO194" t="s">
        <v>4055</v>
      </c>
      <c r="FP194">
        <v>1899</v>
      </c>
      <c r="FQ194">
        <v>168</v>
      </c>
      <c r="FR194" t="s">
        <v>4090</v>
      </c>
      <c r="FS194">
        <v>214</v>
      </c>
      <c r="FT194" t="s">
        <v>4055</v>
      </c>
      <c r="FU194">
        <v>0.4</v>
      </c>
      <c r="FV194">
        <v>1899</v>
      </c>
      <c r="FW194">
        <v>181</v>
      </c>
      <c r="FX194" t="s">
        <v>4070</v>
      </c>
      <c r="FY194">
        <v>5</v>
      </c>
      <c r="FZ194" t="s">
        <v>4055</v>
      </c>
      <c r="GA194" t="s">
        <v>4055</v>
      </c>
      <c r="GB194">
        <v>1899</v>
      </c>
      <c r="GC194">
        <v>19</v>
      </c>
      <c r="GD194">
        <v>4337</v>
      </c>
      <c r="GE194" t="s">
        <v>4760</v>
      </c>
      <c r="GF194" t="s">
        <v>4055</v>
      </c>
      <c r="GG194" t="s">
        <v>4055</v>
      </c>
      <c r="GH194" t="s">
        <v>4055</v>
      </c>
      <c r="GI194" t="s">
        <v>4071</v>
      </c>
      <c r="GJ194" t="s">
        <v>4055</v>
      </c>
      <c r="GK194" t="s">
        <v>4055</v>
      </c>
      <c r="GL194" t="s">
        <v>4055</v>
      </c>
      <c r="GM194" t="s">
        <v>4055</v>
      </c>
      <c r="GQ194">
        <v>0</v>
      </c>
      <c r="GV194">
        <v>8.5</v>
      </c>
      <c r="GW194">
        <v>11.5</v>
      </c>
      <c r="GX194">
        <v>0.5</v>
      </c>
      <c r="GY194">
        <v>190</v>
      </c>
      <c r="GZ194">
        <v>3</v>
      </c>
      <c r="HA194">
        <v>228</v>
      </c>
      <c r="HB194">
        <v>3</v>
      </c>
      <c r="HC194">
        <v>1899</v>
      </c>
      <c r="HD194">
        <v>4</v>
      </c>
      <c r="HE194" t="s">
        <v>4071</v>
      </c>
      <c r="HG194" t="s">
        <v>549</v>
      </c>
      <c r="HL194">
        <v>4</v>
      </c>
      <c r="HM194">
        <v>18</v>
      </c>
      <c r="HN194">
        <v>6</v>
      </c>
      <c r="HO194">
        <v>1</v>
      </c>
      <c r="HP194">
        <v>0</v>
      </c>
      <c r="HQ194">
        <v>0</v>
      </c>
      <c r="HR194">
        <v>1</v>
      </c>
      <c r="HS194">
        <v>1855</v>
      </c>
      <c r="HT194">
        <v>5</v>
      </c>
      <c r="HU194">
        <v>1</v>
      </c>
      <c r="HV194">
        <v>5</v>
      </c>
      <c r="HW194">
        <v>0</v>
      </c>
      <c r="HX194">
        <v>1</v>
      </c>
      <c r="HY194">
        <v>0</v>
      </c>
      <c r="HZ194">
        <v>63</v>
      </c>
      <c r="IA194">
        <v>1858</v>
      </c>
      <c r="IB194">
        <v>1865</v>
      </c>
      <c r="ID194">
        <v>1899</v>
      </c>
      <c r="IE194">
        <v>1899</v>
      </c>
      <c r="IF194">
        <v>195</v>
      </c>
      <c r="IG194">
        <v>185</v>
      </c>
      <c r="IH194">
        <v>228</v>
      </c>
      <c r="II194">
        <v>1</v>
      </c>
      <c r="IJ194">
        <v>5</v>
      </c>
      <c r="IK194">
        <v>0</v>
      </c>
      <c r="IL194">
        <v>0</v>
      </c>
      <c r="IM194">
        <v>0</v>
      </c>
      <c r="IN194">
        <v>270</v>
      </c>
      <c r="IO194">
        <v>0</v>
      </c>
      <c r="IP194">
        <v>180</v>
      </c>
      <c r="IQ194">
        <v>0</v>
      </c>
      <c r="IR194">
        <v>325</v>
      </c>
      <c r="IS194">
        <v>0</v>
      </c>
      <c r="IT194">
        <v>90</v>
      </c>
      <c r="IU194">
        <v>0</v>
      </c>
      <c r="IV194">
        <v>6.4</v>
      </c>
      <c r="IW194">
        <v>-6</v>
      </c>
      <c r="IX194">
        <v>100</v>
      </c>
      <c r="IY194">
        <v>70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312</v>
      </c>
      <c r="JJ194">
        <v>282</v>
      </c>
      <c r="JK194">
        <v>220</v>
      </c>
      <c r="JL194">
        <v>280</v>
      </c>
      <c r="JM194">
        <v>245</v>
      </c>
      <c r="JN194">
        <v>200</v>
      </c>
      <c r="JO194">
        <v>250</v>
      </c>
      <c r="JP194">
        <v>215</v>
      </c>
      <c r="JQ194">
        <v>255</v>
      </c>
      <c r="JR194">
        <v>300</v>
      </c>
      <c r="JS194">
        <v>270</v>
      </c>
      <c r="JT194">
        <v>0</v>
      </c>
      <c r="JU194">
        <v>0</v>
      </c>
      <c r="JV194">
        <v>290</v>
      </c>
      <c r="JW194">
        <v>287</v>
      </c>
      <c r="JX194">
        <v>0</v>
      </c>
      <c r="JY194">
        <v>0</v>
      </c>
      <c r="JZ194">
        <v>0</v>
      </c>
      <c r="KA194">
        <v>0.2</v>
      </c>
      <c r="KB194">
        <v>0.4</v>
      </c>
      <c r="KC194">
        <v>0.42</v>
      </c>
      <c r="KD194">
        <v>0.28</v>
      </c>
      <c r="KE194">
        <v>0.6</v>
      </c>
      <c r="KF194">
        <v>0.17</v>
      </c>
      <c r="KG194">
        <v>0.1</v>
      </c>
      <c r="KH194">
        <v>3.5</v>
      </c>
      <c r="KI194">
        <v>0.5</v>
      </c>
      <c r="KJ194">
        <v>4</v>
      </c>
      <c r="KK194">
        <v>0</v>
      </c>
      <c r="KL194">
        <v>4</v>
      </c>
      <c r="KM194">
        <v>1</v>
      </c>
      <c r="KN194">
        <v>1.3</v>
      </c>
      <c r="KO194">
        <v>0</v>
      </c>
      <c r="KP194">
        <v>0</v>
      </c>
      <c r="KQ194">
        <v>1</v>
      </c>
      <c r="KR194">
        <v>0.8</v>
      </c>
      <c r="KS194">
        <v>0</v>
      </c>
      <c r="KT194">
        <v>2.4</v>
      </c>
      <c r="KU194">
        <v>0</v>
      </c>
      <c r="KV194">
        <v>0</v>
      </c>
      <c r="KW194">
        <v>1.2</v>
      </c>
      <c r="KX194">
        <v>2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3</v>
      </c>
      <c r="LI194">
        <v>0</v>
      </c>
      <c r="LJ194">
        <v>0</v>
      </c>
      <c r="LK194">
        <v>3</v>
      </c>
      <c r="LL194">
        <v>4</v>
      </c>
      <c r="LM194">
        <v>4</v>
      </c>
      <c r="LN194">
        <v>0.5</v>
      </c>
      <c r="LO194">
        <v>1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1.4</v>
      </c>
      <c r="LX194">
        <v>1.4</v>
      </c>
      <c r="LY194">
        <v>2.1</v>
      </c>
      <c r="LZ194">
        <v>2.1</v>
      </c>
      <c r="MA194">
        <v>0</v>
      </c>
      <c r="MB194">
        <v>0</v>
      </c>
      <c r="MC194">
        <v>0</v>
      </c>
      <c r="MD194">
        <v>4.5</v>
      </c>
      <c r="ME194">
        <v>6</v>
      </c>
      <c r="MF194">
        <v>6</v>
      </c>
      <c r="MI194">
        <v>0</v>
      </c>
      <c r="MJ194">
        <v>0</v>
      </c>
      <c r="ML194">
        <v>0</v>
      </c>
      <c r="MM194">
        <v>358</v>
      </c>
      <c r="MN194">
        <v>190</v>
      </c>
      <c r="MO194">
        <v>244</v>
      </c>
      <c r="NU194">
        <v>0.15</v>
      </c>
      <c r="NV194">
        <v>0.2</v>
      </c>
      <c r="NW194">
        <v>0.2</v>
      </c>
      <c r="NX194">
        <v>0.2</v>
      </c>
      <c r="NY194">
        <v>0.2</v>
      </c>
      <c r="NZ194">
        <v>0.2</v>
      </c>
      <c r="OE194" t="s">
        <v>4760</v>
      </c>
      <c r="OF194" t="s">
        <v>4322</v>
      </c>
      <c r="OG194" t="s">
        <v>4323</v>
      </c>
      <c r="OH194" t="s">
        <v>4043</v>
      </c>
      <c r="OI194" t="s">
        <v>4760</v>
      </c>
      <c r="OJ194" t="s">
        <v>4759</v>
      </c>
      <c r="OK194">
        <v>61</v>
      </c>
      <c r="OL194">
        <v>61</v>
      </c>
      <c r="OM194" t="s">
        <v>4322</v>
      </c>
      <c r="ON194">
        <v>3</v>
      </c>
      <c r="OO194">
        <v>1858</v>
      </c>
      <c r="OP194">
        <v>61</v>
      </c>
      <c r="OQ194">
        <v>61</v>
      </c>
      <c r="OR194" t="s">
        <v>4323</v>
      </c>
      <c r="OS194">
        <v>3</v>
      </c>
      <c r="OT194">
        <v>1865</v>
      </c>
      <c r="OU194">
        <v>65</v>
      </c>
      <c r="OV194">
        <v>65</v>
      </c>
      <c r="OW194" t="s">
        <v>4043</v>
      </c>
      <c r="OX194">
        <v>2</v>
      </c>
      <c r="OY194">
        <v>39672</v>
      </c>
      <c r="OZ194">
        <v>51</v>
      </c>
      <c r="PA194">
        <v>52</v>
      </c>
      <c r="PB194" t="s">
        <v>4760</v>
      </c>
      <c r="PC194">
        <v>1</v>
      </c>
      <c r="PD194">
        <v>1899</v>
      </c>
      <c r="PF194">
        <v>356</v>
      </c>
      <c r="PG194">
        <v>29</v>
      </c>
      <c r="PH194">
        <v>338</v>
      </c>
      <c r="PI194">
        <v>29</v>
      </c>
      <c r="PJ194">
        <v>88.59999999999999</v>
      </c>
      <c r="PK194">
        <v>2222</v>
      </c>
      <c r="PL194">
        <v>1038.8</v>
      </c>
      <c r="PM194">
        <v>1051.2</v>
      </c>
      <c r="PN194">
        <v>95.2</v>
      </c>
      <c r="PO194">
        <v>9.9</v>
      </c>
      <c r="PP194">
        <v>12</v>
      </c>
      <c r="PQ194">
        <v>2</v>
      </c>
      <c r="PR194">
        <v>1</v>
      </c>
      <c r="PS194">
        <v>7</v>
      </c>
      <c r="PT194">
        <v>228</v>
      </c>
      <c r="PU194">
        <v>9</v>
      </c>
      <c r="PV194" t="s">
        <v>4072</v>
      </c>
      <c r="PW194" t="s">
        <v>4072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-1</v>
      </c>
      <c r="QF194">
        <v>1</v>
      </c>
      <c r="QG194">
        <v>0</v>
      </c>
      <c r="QH194">
        <v>5</v>
      </c>
      <c r="QI194">
        <v>5</v>
      </c>
      <c r="QJ194">
        <v>5</v>
      </c>
      <c r="QK194">
        <v>150</v>
      </c>
      <c r="QL194">
        <v>346</v>
      </c>
      <c r="QM194">
        <v>7.5</v>
      </c>
      <c r="QN194">
        <v>1459.5</v>
      </c>
      <c r="QO194" t="s">
        <v>2662</v>
      </c>
      <c r="QP194" t="s">
        <v>513</v>
      </c>
      <c r="QQ194">
        <v>0</v>
      </c>
      <c r="QR194" t="s">
        <v>1496</v>
      </c>
      <c r="QS194">
        <v>30</v>
      </c>
      <c r="QT194">
        <v>40</v>
      </c>
    </row>
    <row r="195" spans="1:462">
      <c r="A195" t="s">
        <v>2679</v>
      </c>
      <c r="B195" t="s">
        <v>804</v>
      </c>
      <c r="C195" t="s">
        <v>509</v>
      </c>
      <c r="D195" t="s">
        <v>2782</v>
      </c>
      <c r="E195" t="s">
        <v>4036</v>
      </c>
      <c r="H195" t="s">
        <v>1135</v>
      </c>
      <c r="J195" t="s">
        <v>562</v>
      </c>
      <c r="K195" t="s">
        <v>563</v>
      </c>
      <c r="L195" t="s">
        <v>508</v>
      </c>
      <c r="M195" t="s">
        <v>512</v>
      </c>
      <c r="N195" t="s">
        <v>515</v>
      </c>
      <c r="O195" t="s">
        <v>513</v>
      </c>
      <c r="P195" t="s">
        <v>517</v>
      </c>
      <c r="Q195" t="s">
        <v>2680</v>
      </c>
      <c r="R195" t="s">
        <v>2681</v>
      </c>
      <c r="S195" t="s">
        <v>4762</v>
      </c>
      <c r="T195" t="s">
        <v>686</v>
      </c>
      <c r="U195" t="s">
        <v>687</v>
      </c>
      <c r="V195" t="s">
        <v>2567</v>
      </c>
      <c r="W195" t="s">
        <v>2657</v>
      </c>
      <c r="X195" t="s">
        <v>2682</v>
      </c>
      <c r="Y195" t="s">
        <v>2683</v>
      </c>
      <c r="Z195" t="s">
        <v>541</v>
      </c>
      <c r="AA195" t="s">
        <v>4038</v>
      </c>
      <c r="AB195" t="s">
        <v>4763</v>
      </c>
      <c r="AC195">
        <v>9</v>
      </c>
      <c r="AD195" t="s">
        <v>2678</v>
      </c>
      <c r="AE195">
        <v>2</v>
      </c>
      <c r="AF195">
        <v>4432</v>
      </c>
      <c r="AG195" t="s">
        <v>4764</v>
      </c>
      <c r="AH195">
        <v>1</v>
      </c>
      <c r="AI195" t="s">
        <v>4041</v>
      </c>
      <c r="AK195" t="s">
        <v>4765</v>
      </c>
      <c r="AL195">
        <v>1</v>
      </c>
      <c r="AM195" t="s">
        <v>582</v>
      </c>
      <c r="AO195" t="s">
        <v>4043</v>
      </c>
      <c r="AP195">
        <v>1</v>
      </c>
      <c r="AR195" t="s">
        <v>4766</v>
      </c>
      <c r="AS195">
        <v>1</v>
      </c>
      <c r="AT195">
        <v>52</v>
      </c>
      <c r="AV195" t="s">
        <v>4078</v>
      </c>
      <c r="AW195">
        <v>6.4</v>
      </c>
      <c r="AX195">
        <v>-6</v>
      </c>
      <c r="AY195">
        <v>125</v>
      </c>
      <c r="AZ195">
        <v>95</v>
      </c>
      <c r="BH195">
        <v>125</v>
      </c>
      <c r="BI195">
        <v>30</v>
      </c>
      <c r="BJ195">
        <v>95</v>
      </c>
      <c r="BK195">
        <v>2.5</v>
      </c>
      <c r="BL195">
        <v>250</v>
      </c>
      <c r="BM195">
        <v>-6</v>
      </c>
      <c r="BN195">
        <v>0</v>
      </c>
      <c r="BO195">
        <v>0</v>
      </c>
      <c r="BP195">
        <v>0</v>
      </c>
      <c r="BR195">
        <v>245</v>
      </c>
      <c r="BS195">
        <v>235</v>
      </c>
      <c r="BT195">
        <v>1960</v>
      </c>
      <c r="BU195" t="s">
        <v>4096</v>
      </c>
      <c r="BV195" t="s">
        <v>4096</v>
      </c>
      <c r="BW195" t="s">
        <v>4128</v>
      </c>
      <c r="BX195" t="s">
        <v>4097</v>
      </c>
      <c r="BY195" t="s">
        <v>4160</v>
      </c>
      <c r="BZ195" t="s">
        <v>4160</v>
      </c>
      <c r="CA195" t="s">
        <v>4130</v>
      </c>
      <c r="CB195" t="s">
        <v>4131</v>
      </c>
      <c r="CC195" t="s">
        <v>4053</v>
      </c>
      <c r="CD195" t="s">
        <v>4055</v>
      </c>
      <c r="CE195" t="s">
        <v>4055</v>
      </c>
      <c r="CF195" t="s">
        <v>4055</v>
      </c>
      <c r="CG195" t="s">
        <v>4056</v>
      </c>
      <c r="CH195" t="s">
        <v>4099</v>
      </c>
      <c r="CI195" t="s">
        <v>4086</v>
      </c>
      <c r="CJ195" t="s">
        <v>4059</v>
      </c>
      <c r="CK195" t="s">
        <v>4060</v>
      </c>
      <c r="CL195" t="s">
        <v>4061</v>
      </c>
      <c r="CM195" t="s">
        <v>4055</v>
      </c>
      <c r="CN195" t="s">
        <v>4062</v>
      </c>
      <c r="CO195" t="s">
        <v>4063</v>
      </c>
      <c r="CP195" t="s">
        <v>4055</v>
      </c>
      <c r="CQ195" t="s">
        <v>4055</v>
      </c>
      <c r="CR195">
        <v>5</v>
      </c>
      <c r="CS195" t="s">
        <v>4055</v>
      </c>
      <c r="CT195" t="s">
        <v>4055</v>
      </c>
      <c r="CU195" t="s">
        <v>4055</v>
      </c>
      <c r="CV195">
        <v>146</v>
      </c>
      <c r="CW195">
        <v>3</v>
      </c>
      <c r="CX195">
        <v>102</v>
      </c>
      <c r="CY195">
        <v>5</v>
      </c>
      <c r="CZ195">
        <v>103</v>
      </c>
      <c r="DA195">
        <v>5</v>
      </c>
      <c r="DB195">
        <v>12920</v>
      </c>
      <c r="DC195">
        <v>380</v>
      </c>
      <c r="DD195">
        <v>412</v>
      </c>
      <c r="DE195">
        <v>2085</v>
      </c>
      <c r="DF195">
        <v>2085</v>
      </c>
      <c r="DG195">
        <v>2096</v>
      </c>
      <c r="DH195">
        <v>1</v>
      </c>
      <c r="DI195" t="s">
        <v>4055</v>
      </c>
      <c r="DJ195" t="s">
        <v>4132</v>
      </c>
      <c r="DK195">
        <v>245</v>
      </c>
      <c r="DL195" t="s">
        <v>4065</v>
      </c>
      <c r="DM195">
        <v>63</v>
      </c>
      <c r="DN195">
        <v>1.1</v>
      </c>
      <c r="DO195">
        <v>1</v>
      </c>
      <c r="DP195">
        <v>1963</v>
      </c>
      <c r="DQ195">
        <v>1040</v>
      </c>
      <c r="DR195" t="s">
        <v>4132</v>
      </c>
      <c r="DS195">
        <v>235</v>
      </c>
      <c r="DT195" t="s">
        <v>4065</v>
      </c>
      <c r="DU195">
        <v>63</v>
      </c>
      <c r="DV195">
        <v>1.1</v>
      </c>
      <c r="DW195">
        <v>1</v>
      </c>
      <c r="DX195">
        <v>1975</v>
      </c>
      <c r="DY195">
        <v>1003</v>
      </c>
      <c r="DZ195" t="s">
        <v>4066</v>
      </c>
      <c r="EA195">
        <v>20</v>
      </c>
      <c r="EB195" t="s">
        <v>4065</v>
      </c>
      <c r="EC195">
        <v>0.8</v>
      </c>
      <c r="ED195">
        <v>1963</v>
      </c>
      <c r="EE195">
        <v>69</v>
      </c>
      <c r="EG195">
        <v>0</v>
      </c>
      <c r="EH195" t="s">
        <v>4065</v>
      </c>
      <c r="EI195">
        <v>0</v>
      </c>
      <c r="EL195" t="s">
        <v>1528</v>
      </c>
      <c r="EM195">
        <v>12</v>
      </c>
      <c r="EN195">
        <v>0.5</v>
      </c>
      <c r="EO195">
        <v>0.96</v>
      </c>
      <c r="EP195">
        <v>1973.83</v>
      </c>
      <c r="EQ195">
        <v>40401.83</v>
      </c>
      <c r="ER195">
        <v>9280.6</v>
      </c>
      <c r="ES195">
        <v>0</v>
      </c>
      <c r="ET195">
        <v>0</v>
      </c>
      <c r="EU195">
        <v>1</v>
      </c>
      <c r="EV195">
        <v>49683</v>
      </c>
      <c r="EW195">
        <v>597</v>
      </c>
      <c r="EX195" t="s">
        <v>4755</v>
      </c>
      <c r="EY195">
        <v>266</v>
      </c>
      <c r="EZ195" t="s">
        <v>4055</v>
      </c>
      <c r="FA195">
        <v>4.2</v>
      </c>
      <c r="FB195">
        <v>1</v>
      </c>
      <c r="FC195">
        <v>1</v>
      </c>
      <c r="FD195">
        <v>2008</v>
      </c>
      <c r="FE195">
        <v>2717</v>
      </c>
      <c r="FF195" t="s">
        <v>4756</v>
      </c>
      <c r="FG195">
        <v>266</v>
      </c>
      <c r="FH195" t="s">
        <v>4055</v>
      </c>
      <c r="FI195">
        <v>4.1</v>
      </c>
      <c r="FJ195">
        <v>2008</v>
      </c>
      <c r="FK195">
        <v>2642</v>
      </c>
      <c r="FL195" t="s">
        <v>4069</v>
      </c>
      <c r="FM195" t="s">
        <v>4055</v>
      </c>
      <c r="FN195" t="s">
        <v>4055</v>
      </c>
      <c r="FO195" t="s">
        <v>4055</v>
      </c>
      <c r="FP195">
        <v>2008</v>
      </c>
      <c r="FQ195">
        <v>150</v>
      </c>
      <c r="FR195" t="s">
        <v>4090</v>
      </c>
      <c r="FS195">
        <v>270</v>
      </c>
      <c r="FT195" t="s">
        <v>4055</v>
      </c>
      <c r="FU195">
        <v>0.4</v>
      </c>
      <c r="FV195">
        <v>2008</v>
      </c>
      <c r="FW195">
        <v>241</v>
      </c>
      <c r="FX195" t="s">
        <v>4070</v>
      </c>
      <c r="FY195">
        <v>5</v>
      </c>
      <c r="FZ195" t="s">
        <v>4055</v>
      </c>
      <c r="GA195" t="s">
        <v>4055</v>
      </c>
      <c r="GB195">
        <v>2008</v>
      </c>
      <c r="GC195">
        <v>20</v>
      </c>
      <c r="GD195">
        <v>5770</v>
      </c>
      <c r="GE195" t="s">
        <v>4766</v>
      </c>
      <c r="GF195" t="s">
        <v>4055</v>
      </c>
      <c r="GG195" t="s">
        <v>4055</v>
      </c>
      <c r="GH195" t="s">
        <v>4055</v>
      </c>
      <c r="GI195" t="s">
        <v>4071</v>
      </c>
      <c r="GJ195" t="s">
        <v>4055</v>
      </c>
      <c r="GK195" t="s">
        <v>4055</v>
      </c>
      <c r="GL195" t="s">
        <v>4055</v>
      </c>
      <c r="GM195" t="s">
        <v>4055</v>
      </c>
      <c r="GQ195">
        <v>0</v>
      </c>
      <c r="GV195">
        <v>8.699999999999999</v>
      </c>
      <c r="GW195">
        <v>11.5</v>
      </c>
      <c r="GX195">
        <v>0.5</v>
      </c>
      <c r="GY195">
        <v>236</v>
      </c>
      <c r="GZ195">
        <v>3</v>
      </c>
      <c r="HA195">
        <v>286</v>
      </c>
      <c r="HB195">
        <v>3</v>
      </c>
      <c r="HC195">
        <v>2008</v>
      </c>
      <c r="HD195">
        <v>4</v>
      </c>
      <c r="HE195" t="s">
        <v>4071</v>
      </c>
      <c r="HG195" t="s">
        <v>549</v>
      </c>
      <c r="HL195">
        <v>4</v>
      </c>
      <c r="HM195">
        <v>19</v>
      </c>
      <c r="HN195">
        <v>6</v>
      </c>
      <c r="HO195">
        <v>1</v>
      </c>
      <c r="HP195">
        <v>0</v>
      </c>
      <c r="HQ195">
        <v>0</v>
      </c>
      <c r="HR195">
        <v>3</v>
      </c>
      <c r="HS195">
        <v>1960</v>
      </c>
      <c r="HT195">
        <v>5</v>
      </c>
      <c r="HU195">
        <v>1</v>
      </c>
      <c r="HV195">
        <v>5</v>
      </c>
      <c r="HW195">
        <v>0</v>
      </c>
      <c r="HX195">
        <v>1</v>
      </c>
      <c r="HY195">
        <v>0</v>
      </c>
      <c r="HZ195">
        <v>63</v>
      </c>
      <c r="IA195">
        <v>1963</v>
      </c>
      <c r="IB195">
        <v>1975</v>
      </c>
      <c r="ID195">
        <v>2008</v>
      </c>
      <c r="IE195">
        <v>2008</v>
      </c>
      <c r="IF195">
        <v>245</v>
      </c>
      <c r="IG195">
        <v>235</v>
      </c>
      <c r="IH195">
        <v>286</v>
      </c>
      <c r="II195">
        <v>1</v>
      </c>
      <c r="IJ195">
        <v>5</v>
      </c>
      <c r="IK195">
        <v>0</v>
      </c>
      <c r="IL195">
        <v>0</v>
      </c>
      <c r="IM195">
        <v>0</v>
      </c>
      <c r="IN195">
        <v>270</v>
      </c>
      <c r="IO195">
        <v>0</v>
      </c>
      <c r="IP195">
        <v>180</v>
      </c>
      <c r="IQ195">
        <v>0</v>
      </c>
      <c r="IR195">
        <v>330</v>
      </c>
      <c r="IS195">
        <v>0</v>
      </c>
      <c r="IT195">
        <v>90</v>
      </c>
      <c r="IU195">
        <v>0</v>
      </c>
      <c r="IV195">
        <v>6.4</v>
      </c>
      <c r="IW195">
        <v>-6</v>
      </c>
      <c r="IX195">
        <v>125</v>
      </c>
      <c r="IY195">
        <v>95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372</v>
      </c>
      <c r="JJ195">
        <v>360</v>
      </c>
      <c r="JK195">
        <v>270</v>
      </c>
      <c r="JL195">
        <v>360</v>
      </c>
      <c r="JM195">
        <v>270</v>
      </c>
      <c r="JN195">
        <v>242</v>
      </c>
      <c r="JO195">
        <v>296</v>
      </c>
      <c r="JP195">
        <v>212</v>
      </c>
      <c r="JQ195">
        <v>266</v>
      </c>
      <c r="JR195">
        <v>300</v>
      </c>
      <c r="JS195">
        <v>256</v>
      </c>
      <c r="JT195">
        <v>0</v>
      </c>
      <c r="JU195">
        <v>0</v>
      </c>
      <c r="JV195">
        <v>300</v>
      </c>
      <c r="JW195">
        <v>300</v>
      </c>
      <c r="JX195">
        <v>290</v>
      </c>
      <c r="JY195">
        <v>280</v>
      </c>
      <c r="JZ195">
        <v>0.5</v>
      </c>
      <c r="KA195">
        <v>0.2</v>
      </c>
      <c r="KB195">
        <v>0.4</v>
      </c>
      <c r="KC195">
        <v>0.42</v>
      </c>
      <c r="KD195">
        <v>0.3</v>
      </c>
      <c r="KE195">
        <v>0.5</v>
      </c>
      <c r="KF195">
        <v>0.2</v>
      </c>
      <c r="KG195">
        <v>0.11</v>
      </c>
      <c r="KH195">
        <v>4.5</v>
      </c>
      <c r="KI195">
        <v>1</v>
      </c>
      <c r="KJ195">
        <v>4.5</v>
      </c>
      <c r="KK195">
        <v>0</v>
      </c>
      <c r="KL195">
        <v>4.5</v>
      </c>
      <c r="KM195">
        <v>0</v>
      </c>
      <c r="KN195">
        <v>1.7</v>
      </c>
      <c r="KO195">
        <v>0</v>
      </c>
      <c r="KP195">
        <v>0</v>
      </c>
      <c r="KQ195">
        <v>0.6</v>
      </c>
      <c r="KR195">
        <v>0.8</v>
      </c>
      <c r="KS195">
        <v>0</v>
      </c>
      <c r="KT195">
        <v>1.9</v>
      </c>
      <c r="KU195">
        <v>0</v>
      </c>
      <c r="KV195">
        <v>0</v>
      </c>
      <c r="KW195">
        <v>1.2</v>
      </c>
      <c r="KX195">
        <v>1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3</v>
      </c>
      <c r="LI195">
        <v>0</v>
      </c>
      <c r="LJ195">
        <v>0</v>
      </c>
      <c r="LK195">
        <v>5.5</v>
      </c>
      <c r="LL195">
        <v>7</v>
      </c>
      <c r="LM195">
        <v>9</v>
      </c>
      <c r="LN195">
        <v>0.1</v>
      </c>
      <c r="LO195">
        <v>1</v>
      </c>
      <c r="LP195">
        <v>0</v>
      </c>
      <c r="LQ195">
        <v>0</v>
      </c>
      <c r="LR195">
        <v>0</v>
      </c>
      <c r="LS195">
        <v>1</v>
      </c>
      <c r="LT195">
        <v>0</v>
      </c>
      <c r="LU195">
        <v>0</v>
      </c>
      <c r="LV195">
        <v>0</v>
      </c>
      <c r="LW195">
        <v>2.4</v>
      </c>
      <c r="LX195">
        <v>2.4</v>
      </c>
      <c r="LY195">
        <v>2.8</v>
      </c>
      <c r="LZ195">
        <v>2.8</v>
      </c>
      <c r="MA195">
        <v>0</v>
      </c>
      <c r="MB195">
        <v>4</v>
      </c>
      <c r="MC195">
        <v>0</v>
      </c>
      <c r="MD195">
        <v>4.5</v>
      </c>
      <c r="ME195">
        <v>6</v>
      </c>
      <c r="MF195">
        <v>6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390</v>
      </c>
      <c r="MN195">
        <v>240</v>
      </c>
      <c r="MO195">
        <v>296</v>
      </c>
      <c r="NU195">
        <v>0.15</v>
      </c>
      <c r="NV195">
        <v>0.2</v>
      </c>
      <c r="NW195">
        <v>0.2</v>
      </c>
      <c r="NX195">
        <v>0.2</v>
      </c>
      <c r="NY195">
        <v>0.2</v>
      </c>
      <c r="NZ195">
        <v>0.2</v>
      </c>
      <c r="OE195" t="s">
        <v>4766</v>
      </c>
      <c r="OF195" t="s">
        <v>4764</v>
      </c>
      <c r="OG195" t="s">
        <v>4765</v>
      </c>
      <c r="OH195" t="s">
        <v>4043</v>
      </c>
      <c r="OI195" t="s">
        <v>4766</v>
      </c>
      <c r="OJ195" t="s">
        <v>4763</v>
      </c>
      <c r="OK195">
        <v>61</v>
      </c>
      <c r="OL195">
        <v>61</v>
      </c>
      <c r="OM195" t="s">
        <v>4764</v>
      </c>
      <c r="ON195">
        <v>1</v>
      </c>
      <c r="OO195">
        <v>1963</v>
      </c>
      <c r="OP195">
        <v>61</v>
      </c>
      <c r="OQ195">
        <v>61</v>
      </c>
      <c r="OR195" t="s">
        <v>4765</v>
      </c>
      <c r="OS195">
        <v>1</v>
      </c>
      <c r="OT195">
        <v>1975</v>
      </c>
      <c r="OU195">
        <v>65</v>
      </c>
      <c r="OV195">
        <v>65</v>
      </c>
      <c r="OW195" t="s">
        <v>4043</v>
      </c>
      <c r="OX195">
        <v>2</v>
      </c>
      <c r="OY195">
        <v>49683</v>
      </c>
      <c r="OZ195">
        <v>51</v>
      </c>
      <c r="PA195">
        <v>52</v>
      </c>
      <c r="PB195" t="s">
        <v>4766</v>
      </c>
      <c r="PC195">
        <v>1</v>
      </c>
      <c r="PD195">
        <v>2008</v>
      </c>
      <c r="PF195">
        <v>530</v>
      </c>
      <c r="PG195">
        <v>35</v>
      </c>
      <c r="PH195">
        <v>508</v>
      </c>
      <c r="PI195">
        <v>0</v>
      </c>
      <c r="PJ195">
        <v>74.59999999999999</v>
      </c>
      <c r="PK195">
        <v>2222</v>
      </c>
      <c r="PL195">
        <v>1353.2</v>
      </c>
      <c r="PM195">
        <v>1315.6</v>
      </c>
      <c r="PN195">
        <v>120.2</v>
      </c>
      <c r="PO195">
        <v>10.1</v>
      </c>
      <c r="PP195">
        <v>12</v>
      </c>
      <c r="PQ195">
        <v>1</v>
      </c>
      <c r="PR195">
        <v>3</v>
      </c>
      <c r="PS195">
        <v>8</v>
      </c>
      <c r="PT195">
        <v>286</v>
      </c>
      <c r="PU195">
        <v>10</v>
      </c>
      <c r="PV195" t="s">
        <v>4072</v>
      </c>
      <c r="PW195" t="s">
        <v>4072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-1</v>
      </c>
      <c r="QF195">
        <v>1</v>
      </c>
      <c r="QG195">
        <v>0</v>
      </c>
      <c r="QH195">
        <v>5</v>
      </c>
      <c r="QI195">
        <v>5</v>
      </c>
      <c r="QJ195">
        <v>5</v>
      </c>
      <c r="QK195">
        <v>202</v>
      </c>
      <c r="QL195">
        <v>402</v>
      </c>
      <c r="QM195">
        <v>7.5</v>
      </c>
      <c r="QN195">
        <v>1539.3</v>
      </c>
      <c r="QO195" t="s">
        <v>2662</v>
      </c>
      <c r="QP195" t="s">
        <v>513</v>
      </c>
      <c r="QQ195">
        <v>0</v>
      </c>
      <c r="QR195" t="s">
        <v>1343</v>
      </c>
      <c r="QS195">
        <v>40</v>
      </c>
      <c r="QT195">
        <v>50</v>
      </c>
    </row>
    <row r="196" spans="1:462">
      <c r="A196" t="s">
        <v>2690</v>
      </c>
      <c r="B196" t="s">
        <v>804</v>
      </c>
      <c r="C196" t="s">
        <v>509</v>
      </c>
      <c r="D196" t="s">
        <v>1239</v>
      </c>
      <c r="E196" t="s">
        <v>4036</v>
      </c>
      <c r="H196" t="s">
        <v>1294</v>
      </c>
      <c r="J196" t="s">
        <v>562</v>
      </c>
      <c r="K196" t="s">
        <v>563</v>
      </c>
      <c r="L196" t="s">
        <v>508</v>
      </c>
      <c r="M196" t="s">
        <v>512</v>
      </c>
      <c r="N196" t="s">
        <v>515</v>
      </c>
      <c r="O196" t="s">
        <v>513</v>
      </c>
      <c r="P196" t="s">
        <v>517</v>
      </c>
      <c r="Q196" t="s">
        <v>1075</v>
      </c>
      <c r="R196" t="s">
        <v>1076</v>
      </c>
      <c r="S196" t="s">
        <v>4170</v>
      </c>
      <c r="T196" t="s">
        <v>662</v>
      </c>
      <c r="U196" t="s">
        <v>663</v>
      </c>
      <c r="V196" t="s">
        <v>2691</v>
      </c>
      <c r="W196" t="s">
        <v>2657</v>
      </c>
      <c r="X196" t="s">
        <v>2692</v>
      </c>
      <c r="Y196" t="s">
        <v>2693</v>
      </c>
      <c r="Z196" t="s">
        <v>541</v>
      </c>
      <c r="AA196" t="s">
        <v>582</v>
      </c>
      <c r="AB196" t="s">
        <v>4767</v>
      </c>
      <c r="AC196">
        <v>9</v>
      </c>
      <c r="AD196" t="s">
        <v>2689</v>
      </c>
      <c r="AE196">
        <v>2</v>
      </c>
      <c r="AF196">
        <v>5800</v>
      </c>
      <c r="AG196" t="s">
        <v>4768</v>
      </c>
      <c r="AH196">
        <v>1</v>
      </c>
      <c r="AI196" t="s">
        <v>4041</v>
      </c>
      <c r="AK196" t="s">
        <v>4769</v>
      </c>
      <c r="AL196">
        <v>1</v>
      </c>
      <c r="AM196" t="s">
        <v>582</v>
      </c>
      <c r="AO196" t="s">
        <v>4043</v>
      </c>
      <c r="AP196">
        <v>1</v>
      </c>
      <c r="AR196" t="s">
        <v>4770</v>
      </c>
      <c r="AS196">
        <v>1</v>
      </c>
      <c r="AT196">
        <v>52</v>
      </c>
      <c r="AV196" t="s">
        <v>4078</v>
      </c>
      <c r="AW196">
        <v>6.4</v>
      </c>
      <c r="AX196">
        <v>-6</v>
      </c>
      <c r="AY196">
        <v>102.5</v>
      </c>
      <c r="AZ196">
        <v>72</v>
      </c>
      <c r="BA196">
        <v>0</v>
      </c>
      <c r="BB196">
        <v>0</v>
      </c>
      <c r="BC196">
        <v>0</v>
      </c>
      <c r="BH196">
        <v>102.5</v>
      </c>
      <c r="BI196">
        <v>30.5</v>
      </c>
      <c r="BJ196">
        <v>72</v>
      </c>
      <c r="BK196">
        <v>2.5</v>
      </c>
      <c r="BL196">
        <v>205</v>
      </c>
      <c r="BM196">
        <v>-6</v>
      </c>
      <c r="BN196">
        <v>0</v>
      </c>
      <c r="BO196">
        <v>0</v>
      </c>
      <c r="BP196">
        <v>0</v>
      </c>
      <c r="BR196">
        <v>200</v>
      </c>
      <c r="BS196">
        <v>190</v>
      </c>
      <c r="BT196">
        <v>2160</v>
      </c>
      <c r="BU196" t="s">
        <v>4127</v>
      </c>
      <c r="BV196" t="s">
        <v>4127</v>
      </c>
      <c r="BW196" t="s">
        <v>4128</v>
      </c>
      <c r="BX196" t="s">
        <v>4128</v>
      </c>
      <c r="BY196" t="s">
        <v>4117</v>
      </c>
      <c r="BZ196" t="s">
        <v>4215</v>
      </c>
      <c r="CA196" t="s">
        <v>4118</v>
      </c>
      <c r="CB196" t="s">
        <v>4119</v>
      </c>
      <c r="CC196" t="s">
        <v>4053</v>
      </c>
      <c r="CD196" t="s">
        <v>4121</v>
      </c>
      <c r="CE196" t="s">
        <v>4055</v>
      </c>
      <c r="CF196" t="s">
        <v>4055</v>
      </c>
      <c r="CG196" t="s">
        <v>4056</v>
      </c>
      <c r="CI196" t="s">
        <v>4058</v>
      </c>
      <c r="CJ196" t="s">
        <v>4059</v>
      </c>
      <c r="CK196" t="s">
        <v>4060</v>
      </c>
      <c r="CL196" t="s">
        <v>4061</v>
      </c>
      <c r="CM196" t="s">
        <v>4062</v>
      </c>
      <c r="CN196" t="s">
        <v>4055</v>
      </c>
      <c r="CO196" t="s">
        <v>4063</v>
      </c>
      <c r="CP196" t="s">
        <v>4055</v>
      </c>
      <c r="CQ196" t="s">
        <v>4055</v>
      </c>
      <c r="CR196">
        <v>5</v>
      </c>
      <c r="CS196" t="s">
        <v>4055</v>
      </c>
      <c r="CT196" t="s">
        <v>4055</v>
      </c>
      <c r="CU196" t="s">
        <v>4055</v>
      </c>
      <c r="CV196">
        <v>129</v>
      </c>
      <c r="CW196">
        <v>3</v>
      </c>
      <c r="CX196">
        <v>82</v>
      </c>
      <c r="CY196">
        <v>5</v>
      </c>
      <c r="CZ196">
        <v>152</v>
      </c>
      <c r="DA196">
        <v>5</v>
      </c>
      <c r="DB196">
        <v>13550</v>
      </c>
      <c r="DC196">
        <v>400</v>
      </c>
      <c r="DD196">
        <v>356</v>
      </c>
      <c r="DE196">
        <v>2292</v>
      </c>
      <c r="DF196">
        <v>2292</v>
      </c>
      <c r="DG196">
        <v>2303</v>
      </c>
      <c r="DH196" t="s">
        <v>4055</v>
      </c>
      <c r="DJ196" t="s">
        <v>4217</v>
      </c>
      <c r="DK196">
        <v>200</v>
      </c>
      <c r="DL196" t="s">
        <v>4065</v>
      </c>
      <c r="DM196">
        <v>63</v>
      </c>
      <c r="DN196">
        <v>1.26</v>
      </c>
      <c r="DO196">
        <v>1</v>
      </c>
      <c r="DP196">
        <v>2164</v>
      </c>
      <c r="DQ196">
        <v>1045</v>
      </c>
      <c r="DR196" t="s">
        <v>4217</v>
      </c>
      <c r="DS196">
        <v>190</v>
      </c>
      <c r="DT196" t="s">
        <v>4065</v>
      </c>
      <c r="DU196">
        <v>63</v>
      </c>
      <c r="DV196">
        <v>1.26</v>
      </c>
      <c r="DW196">
        <v>1</v>
      </c>
      <c r="DX196">
        <v>2177</v>
      </c>
      <c r="DY196">
        <v>999</v>
      </c>
      <c r="DZ196" t="s">
        <v>4066</v>
      </c>
      <c r="EA196">
        <v>20</v>
      </c>
      <c r="EB196" t="s">
        <v>4065</v>
      </c>
      <c r="EC196">
        <v>0.8</v>
      </c>
      <c r="ED196">
        <v>2164</v>
      </c>
      <c r="EE196">
        <v>76</v>
      </c>
      <c r="EG196">
        <v>0</v>
      </c>
      <c r="EH196" t="s">
        <v>4065</v>
      </c>
      <c r="EI196">
        <v>0</v>
      </c>
      <c r="EL196" t="s">
        <v>1528</v>
      </c>
      <c r="EM196">
        <v>12</v>
      </c>
      <c r="EN196">
        <v>0.5</v>
      </c>
      <c r="EO196">
        <v>0.96</v>
      </c>
      <c r="EP196">
        <v>2175.84</v>
      </c>
      <c r="EQ196">
        <v>36887.29</v>
      </c>
      <c r="ER196">
        <v>10397.98</v>
      </c>
      <c r="ES196">
        <v>0</v>
      </c>
      <c r="ET196">
        <v>0</v>
      </c>
      <c r="EU196">
        <v>1</v>
      </c>
      <c r="EV196">
        <v>47286</v>
      </c>
      <c r="EW196">
        <v>568</v>
      </c>
      <c r="EX196" t="s">
        <v>4755</v>
      </c>
      <c r="EY196">
        <v>216</v>
      </c>
      <c r="EZ196" t="s">
        <v>4055</v>
      </c>
      <c r="FA196">
        <v>3.8</v>
      </c>
      <c r="FB196">
        <v>1</v>
      </c>
      <c r="FC196">
        <v>1</v>
      </c>
      <c r="FD196">
        <v>2208</v>
      </c>
      <c r="FE196">
        <v>2165</v>
      </c>
      <c r="FF196" t="s">
        <v>4756</v>
      </c>
      <c r="FG196">
        <v>216</v>
      </c>
      <c r="FH196" t="s">
        <v>4055</v>
      </c>
      <c r="FI196">
        <v>4.1</v>
      </c>
      <c r="FJ196">
        <v>2208</v>
      </c>
      <c r="FK196">
        <v>2357</v>
      </c>
      <c r="FL196" t="s">
        <v>4069</v>
      </c>
      <c r="FM196" t="s">
        <v>4055</v>
      </c>
      <c r="FN196" t="s">
        <v>4055</v>
      </c>
      <c r="FO196" t="s">
        <v>4055</v>
      </c>
      <c r="FP196">
        <v>2208</v>
      </c>
      <c r="FQ196">
        <v>297</v>
      </c>
      <c r="FR196" t="s">
        <v>4090</v>
      </c>
      <c r="FS196">
        <v>220</v>
      </c>
      <c r="FT196" t="s">
        <v>4055</v>
      </c>
      <c r="FU196">
        <v>0.4</v>
      </c>
      <c r="FV196">
        <v>2208</v>
      </c>
      <c r="FW196">
        <v>216</v>
      </c>
      <c r="FX196" t="s">
        <v>4070</v>
      </c>
      <c r="FY196">
        <v>5</v>
      </c>
      <c r="FZ196" t="s">
        <v>4055</v>
      </c>
      <c r="GA196" t="s">
        <v>4055</v>
      </c>
      <c r="GB196">
        <v>2208</v>
      </c>
      <c r="GC196">
        <v>21</v>
      </c>
      <c r="GD196">
        <v>5056</v>
      </c>
      <c r="GE196" t="s">
        <v>4770</v>
      </c>
      <c r="GF196" t="s">
        <v>4055</v>
      </c>
      <c r="GG196" t="s">
        <v>4055</v>
      </c>
      <c r="GH196" t="s">
        <v>4055</v>
      </c>
      <c r="GI196" t="s">
        <v>4071</v>
      </c>
      <c r="GJ196" t="s">
        <v>4055</v>
      </c>
      <c r="GK196" t="s">
        <v>4055</v>
      </c>
      <c r="GL196" t="s">
        <v>4055</v>
      </c>
      <c r="GM196" t="s">
        <v>4055</v>
      </c>
      <c r="GQ196">
        <v>0</v>
      </c>
      <c r="GV196">
        <v>8.300000000000001</v>
      </c>
      <c r="GW196">
        <v>11</v>
      </c>
      <c r="GX196">
        <v>0.5</v>
      </c>
      <c r="GY196">
        <v>190</v>
      </c>
      <c r="GZ196">
        <v>3</v>
      </c>
      <c r="HA196">
        <v>244</v>
      </c>
      <c r="HB196">
        <v>3</v>
      </c>
      <c r="HC196">
        <v>2208</v>
      </c>
      <c r="HD196">
        <v>4</v>
      </c>
      <c r="HE196" t="s">
        <v>4071</v>
      </c>
      <c r="HG196" t="s">
        <v>549</v>
      </c>
      <c r="HL196">
        <v>4</v>
      </c>
      <c r="HM196">
        <v>18</v>
      </c>
      <c r="HN196">
        <v>6</v>
      </c>
      <c r="HO196">
        <v>1</v>
      </c>
      <c r="HP196">
        <v>0</v>
      </c>
      <c r="HQ196">
        <v>0</v>
      </c>
      <c r="HR196">
        <v>2</v>
      </c>
      <c r="HS196">
        <v>2160</v>
      </c>
      <c r="HT196">
        <v>5</v>
      </c>
      <c r="HU196">
        <v>1</v>
      </c>
      <c r="HV196">
        <v>0</v>
      </c>
      <c r="HW196">
        <v>0</v>
      </c>
      <c r="HX196">
        <v>1</v>
      </c>
      <c r="HY196">
        <v>0</v>
      </c>
      <c r="HZ196">
        <v>63</v>
      </c>
      <c r="IA196">
        <v>2164</v>
      </c>
      <c r="IB196">
        <v>2177</v>
      </c>
      <c r="ID196">
        <v>2208</v>
      </c>
      <c r="IE196">
        <v>2208</v>
      </c>
      <c r="IF196">
        <v>200</v>
      </c>
      <c r="IG196">
        <v>190</v>
      </c>
      <c r="IH196">
        <v>244</v>
      </c>
      <c r="II196">
        <v>1</v>
      </c>
      <c r="IJ196">
        <v>5</v>
      </c>
      <c r="IK196">
        <v>0</v>
      </c>
      <c r="IL196">
        <v>0</v>
      </c>
      <c r="IM196">
        <v>0</v>
      </c>
      <c r="IN196">
        <v>270</v>
      </c>
      <c r="IO196">
        <v>0</v>
      </c>
      <c r="IP196">
        <v>180</v>
      </c>
      <c r="IQ196">
        <v>0</v>
      </c>
      <c r="IR196">
        <v>330</v>
      </c>
      <c r="IS196">
        <v>0</v>
      </c>
      <c r="IT196">
        <v>90</v>
      </c>
      <c r="IU196">
        <v>0</v>
      </c>
      <c r="IV196">
        <v>6.4</v>
      </c>
      <c r="IW196">
        <v>-6</v>
      </c>
      <c r="IX196">
        <v>102.5</v>
      </c>
      <c r="IY196">
        <v>72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416</v>
      </c>
      <c r="JJ196">
        <v>386</v>
      </c>
      <c r="JK196">
        <v>285</v>
      </c>
      <c r="JL196">
        <v>384</v>
      </c>
      <c r="JM196">
        <v>294</v>
      </c>
      <c r="JN196">
        <v>200</v>
      </c>
      <c r="JO196">
        <v>250</v>
      </c>
      <c r="JP196">
        <v>215</v>
      </c>
      <c r="JQ196">
        <v>255</v>
      </c>
      <c r="JR196">
        <v>316</v>
      </c>
      <c r="JS196">
        <v>215</v>
      </c>
      <c r="JT196">
        <v>0</v>
      </c>
      <c r="JU196">
        <v>0</v>
      </c>
      <c r="JV196">
        <v>280</v>
      </c>
      <c r="JW196">
        <v>322</v>
      </c>
      <c r="JX196">
        <v>290</v>
      </c>
      <c r="JY196">
        <v>280</v>
      </c>
      <c r="JZ196">
        <v>1</v>
      </c>
      <c r="KA196">
        <v>0.2</v>
      </c>
      <c r="KB196">
        <v>0.45</v>
      </c>
      <c r="KC196">
        <v>0.47</v>
      </c>
      <c r="KD196">
        <v>0.3</v>
      </c>
      <c r="KE196">
        <v>0.7</v>
      </c>
      <c r="KF196">
        <v>0.18</v>
      </c>
      <c r="KG196">
        <v>0.11</v>
      </c>
      <c r="KH196">
        <v>6</v>
      </c>
      <c r="KI196">
        <v>1</v>
      </c>
      <c r="KJ196">
        <v>5</v>
      </c>
      <c r="KK196">
        <v>0</v>
      </c>
      <c r="KL196">
        <v>5</v>
      </c>
      <c r="KM196">
        <v>1.5</v>
      </c>
      <c r="KN196">
        <v>1.5</v>
      </c>
      <c r="KO196">
        <v>0</v>
      </c>
      <c r="KP196">
        <v>0</v>
      </c>
      <c r="KQ196">
        <v>0.8</v>
      </c>
      <c r="KR196">
        <v>0.8</v>
      </c>
      <c r="KS196">
        <v>0</v>
      </c>
      <c r="KT196">
        <v>2.5</v>
      </c>
      <c r="KU196">
        <v>0</v>
      </c>
      <c r="KV196">
        <v>0</v>
      </c>
      <c r="KW196">
        <v>1.2</v>
      </c>
      <c r="KX196">
        <v>2</v>
      </c>
      <c r="KY196">
        <v>1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0.5</v>
      </c>
      <c r="LJ196">
        <v>0</v>
      </c>
      <c r="LK196">
        <v>7</v>
      </c>
      <c r="LL196">
        <v>5</v>
      </c>
      <c r="LM196">
        <v>9</v>
      </c>
      <c r="LN196">
        <v>0.1</v>
      </c>
      <c r="LO196">
        <v>3</v>
      </c>
      <c r="LP196">
        <v>0</v>
      </c>
      <c r="LQ196">
        <v>0</v>
      </c>
      <c r="LR196">
        <v>0</v>
      </c>
      <c r="LS196">
        <v>1</v>
      </c>
      <c r="LT196">
        <v>0</v>
      </c>
      <c r="LU196">
        <v>0</v>
      </c>
      <c r="LV196">
        <v>0</v>
      </c>
      <c r="LW196">
        <v>2.1</v>
      </c>
      <c r="LX196">
        <v>2.1</v>
      </c>
      <c r="LY196">
        <v>2.1</v>
      </c>
      <c r="LZ196">
        <v>2.1</v>
      </c>
      <c r="MA196">
        <v>0</v>
      </c>
      <c r="MB196">
        <v>5</v>
      </c>
      <c r="MC196">
        <v>0</v>
      </c>
      <c r="MD196">
        <v>4.5</v>
      </c>
      <c r="ME196">
        <v>6</v>
      </c>
      <c r="MF196">
        <v>6</v>
      </c>
      <c r="MI196">
        <v>0</v>
      </c>
      <c r="MJ196">
        <v>0</v>
      </c>
      <c r="ML196">
        <v>0</v>
      </c>
      <c r="MM196">
        <v>452</v>
      </c>
      <c r="MN196">
        <v>195</v>
      </c>
      <c r="MO196">
        <v>260</v>
      </c>
      <c r="NU196">
        <v>0.15</v>
      </c>
      <c r="NV196">
        <v>0.2</v>
      </c>
      <c r="NW196">
        <v>0.2</v>
      </c>
      <c r="NX196">
        <v>0.2</v>
      </c>
      <c r="NY196">
        <v>0.2</v>
      </c>
      <c r="NZ196">
        <v>0.2</v>
      </c>
      <c r="OE196" t="s">
        <v>4770</v>
      </c>
      <c r="OF196" t="s">
        <v>4768</v>
      </c>
      <c r="OG196" t="s">
        <v>4769</v>
      </c>
      <c r="OH196" t="s">
        <v>4043</v>
      </c>
      <c r="OI196" t="s">
        <v>4770</v>
      </c>
      <c r="OJ196" t="s">
        <v>4767</v>
      </c>
      <c r="OK196">
        <v>61</v>
      </c>
      <c r="OL196">
        <v>61</v>
      </c>
      <c r="OM196" t="s">
        <v>4768</v>
      </c>
      <c r="ON196">
        <v>1</v>
      </c>
      <c r="OO196">
        <v>2164</v>
      </c>
      <c r="OP196">
        <v>61</v>
      </c>
      <c r="OQ196">
        <v>61</v>
      </c>
      <c r="OR196" t="s">
        <v>4769</v>
      </c>
      <c r="OS196">
        <v>1</v>
      </c>
      <c r="OT196">
        <v>2177</v>
      </c>
      <c r="OU196">
        <v>65</v>
      </c>
      <c r="OV196">
        <v>65</v>
      </c>
      <c r="OW196" t="s">
        <v>4043</v>
      </c>
      <c r="OX196">
        <v>2</v>
      </c>
      <c r="OY196">
        <v>47286</v>
      </c>
      <c r="OZ196">
        <v>51</v>
      </c>
      <c r="PA196">
        <v>52</v>
      </c>
      <c r="PB196" t="s">
        <v>4770</v>
      </c>
      <c r="PC196">
        <v>1</v>
      </c>
      <c r="PD196">
        <v>2208</v>
      </c>
      <c r="PF196">
        <v>483</v>
      </c>
      <c r="PG196">
        <v>35</v>
      </c>
      <c r="PH196">
        <v>459</v>
      </c>
      <c r="PI196">
        <v>0</v>
      </c>
      <c r="PJ196">
        <v>134.6</v>
      </c>
      <c r="PK196">
        <v>2222</v>
      </c>
      <c r="PL196">
        <v>980.5</v>
      </c>
      <c r="PM196">
        <v>1067.4</v>
      </c>
      <c r="PN196">
        <v>97.8</v>
      </c>
      <c r="PO196">
        <v>9.6</v>
      </c>
      <c r="PP196">
        <v>12</v>
      </c>
      <c r="PQ196">
        <v>5</v>
      </c>
      <c r="PR196">
        <v>5</v>
      </c>
      <c r="PS196">
        <v>0</v>
      </c>
      <c r="PT196">
        <v>244</v>
      </c>
      <c r="PU196">
        <v>14</v>
      </c>
      <c r="PV196" t="s">
        <v>4072</v>
      </c>
      <c r="PW196" t="s">
        <v>4072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-1</v>
      </c>
      <c r="QF196">
        <v>1</v>
      </c>
      <c r="QG196">
        <v>0</v>
      </c>
      <c r="QH196">
        <v>5</v>
      </c>
      <c r="QI196">
        <v>5</v>
      </c>
      <c r="QJ196">
        <v>5</v>
      </c>
      <c r="QK196">
        <v>203</v>
      </c>
      <c r="QL196">
        <v>450</v>
      </c>
      <c r="QM196">
        <v>7.5</v>
      </c>
      <c r="QN196">
        <v>1464.3</v>
      </c>
      <c r="QO196" t="s">
        <v>2662</v>
      </c>
      <c r="QP196" t="s">
        <v>513</v>
      </c>
      <c r="QQ196">
        <v>0</v>
      </c>
      <c r="QR196" t="s">
        <v>621</v>
      </c>
      <c r="QS196">
        <v>30</v>
      </c>
      <c r="QT196">
        <v>40</v>
      </c>
    </row>
    <row r="197" spans="1:462">
      <c r="A197" t="s">
        <v>2700</v>
      </c>
      <c r="B197" t="s">
        <v>804</v>
      </c>
      <c r="C197" t="s">
        <v>509</v>
      </c>
      <c r="D197" t="s">
        <v>2699</v>
      </c>
      <c r="E197" t="s">
        <v>4036</v>
      </c>
      <c r="H197" t="s">
        <v>1294</v>
      </c>
      <c r="J197" t="s">
        <v>562</v>
      </c>
      <c r="K197" t="s">
        <v>563</v>
      </c>
      <c r="L197" t="s">
        <v>508</v>
      </c>
      <c r="M197" t="s">
        <v>512</v>
      </c>
      <c r="N197" t="s">
        <v>515</v>
      </c>
      <c r="O197" t="s">
        <v>513</v>
      </c>
      <c r="P197" t="s">
        <v>517</v>
      </c>
      <c r="Q197" t="s">
        <v>2701</v>
      </c>
      <c r="R197" t="s">
        <v>2702</v>
      </c>
      <c r="S197" t="s">
        <v>4170</v>
      </c>
      <c r="T197" t="s">
        <v>662</v>
      </c>
      <c r="U197" t="s">
        <v>663</v>
      </c>
      <c r="V197" t="s">
        <v>1241</v>
      </c>
      <c r="W197" t="s">
        <v>2657</v>
      </c>
      <c r="X197" t="s">
        <v>2703</v>
      </c>
      <c r="Y197" t="s">
        <v>2704</v>
      </c>
      <c r="Z197" t="s">
        <v>541</v>
      </c>
      <c r="AA197" t="s">
        <v>582</v>
      </c>
      <c r="AB197" t="s">
        <v>4771</v>
      </c>
      <c r="AC197">
        <v>9</v>
      </c>
      <c r="AD197" t="s">
        <v>2698</v>
      </c>
      <c r="AE197">
        <v>2</v>
      </c>
      <c r="AF197">
        <v>6182</v>
      </c>
      <c r="AG197" t="s">
        <v>4529</v>
      </c>
      <c r="AH197">
        <v>1</v>
      </c>
      <c r="AI197" t="s">
        <v>4041</v>
      </c>
      <c r="AK197" t="s">
        <v>4530</v>
      </c>
      <c r="AL197">
        <v>1</v>
      </c>
      <c r="AM197" t="s">
        <v>582</v>
      </c>
      <c r="AO197" t="s">
        <v>4043</v>
      </c>
      <c r="AP197">
        <v>1</v>
      </c>
      <c r="AR197" t="s">
        <v>4772</v>
      </c>
      <c r="AS197">
        <v>1</v>
      </c>
      <c r="AT197">
        <v>52</v>
      </c>
      <c r="AV197" t="s">
        <v>4078</v>
      </c>
      <c r="AW197">
        <v>6.4</v>
      </c>
      <c r="AX197">
        <v>-6</v>
      </c>
      <c r="AY197">
        <v>105</v>
      </c>
      <c r="AZ197">
        <v>75</v>
      </c>
      <c r="BA197">
        <v>0</v>
      </c>
      <c r="BB197">
        <v>0</v>
      </c>
      <c r="BC197">
        <v>0</v>
      </c>
      <c r="BH197">
        <v>105</v>
      </c>
      <c r="BI197">
        <v>30</v>
      </c>
      <c r="BJ197">
        <v>75</v>
      </c>
      <c r="BK197">
        <v>2.5</v>
      </c>
      <c r="BL197">
        <v>210</v>
      </c>
      <c r="BM197">
        <v>-6</v>
      </c>
      <c r="BN197">
        <v>0</v>
      </c>
      <c r="BO197">
        <v>0</v>
      </c>
      <c r="BP197">
        <v>0</v>
      </c>
      <c r="BR197">
        <v>205</v>
      </c>
      <c r="BS197">
        <v>195</v>
      </c>
      <c r="BT197">
        <v>2190</v>
      </c>
      <c r="BU197" t="s">
        <v>4127</v>
      </c>
      <c r="BV197" t="s">
        <v>4127</v>
      </c>
      <c r="BW197" t="s">
        <v>4128</v>
      </c>
      <c r="BX197" t="s">
        <v>4128</v>
      </c>
      <c r="BY197" t="s">
        <v>4215</v>
      </c>
      <c r="BZ197" t="s">
        <v>4117</v>
      </c>
      <c r="CA197" t="s">
        <v>4118</v>
      </c>
      <c r="CB197" t="s">
        <v>4119</v>
      </c>
      <c r="CC197" t="s">
        <v>4053</v>
      </c>
      <c r="CD197" t="s">
        <v>4121</v>
      </c>
      <c r="CE197" t="s">
        <v>4055</v>
      </c>
      <c r="CF197" t="s">
        <v>4055</v>
      </c>
      <c r="CG197" t="s">
        <v>4056</v>
      </c>
      <c r="CI197" t="s">
        <v>4058</v>
      </c>
      <c r="CJ197" t="s">
        <v>4059</v>
      </c>
      <c r="CK197" t="s">
        <v>4060</v>
      </c>
      <c r="CL197" t="s">
        <v>4061</v>
      </c>
      <c r="CM197" t="s">
        <v>4062</v>
      </c>
      <c r="CN197" t="s">
        <v>4055</v>
      </c>
      <c r="CO197" t="s">
        <v>4063</v>
      </c>
      <c r="CP197" t="s">
        <v>4055</v>
      </c>
      <c r="CQ197" t="s">
        <v>4055</v>
      </c>
      <c r="CR197">
        <v>5</v>
      </c>
      <c r="CS197" t="s">
        <v>4055</v>
      </c>
      <c r="CT197" t="s">
        <v>4055</v>
      </c>
      <c r="CU197" t="s">
        <v>4055</v>
      </c>
      <c r="CV197">
        <v>134</v>
      </c>
      <c r="CW197">
        <v>3</v>
      </c>
      <c r="CX197">
        <v>89</v>
      </c>
      <c r="CY197">
        <v>5</v>
      </c>
      <c r="CZ197">
        <v>158</v>
      </c>
      <c r="DA197">
        <v>5</v>
      </c>
      <c r="DB197">
        <v>14540</v>
      </c>
      <c r="DC197">
        <v>430</v>
      </c>
      <c r="DD197">
        <v>367</v>
      </c>
      <c r="DE197">
        <v>2324</v>
      </c>
      <c r="DF197">
        <v>2324</v>
      </c>
      <c r="DG197">
        <v>2335</v>
      </c>
      <c r="DH197" t="s">
        <v>4055</v>
      </c>
      <c r="DI197" t="s">
        <v>4055</v>
      </c>
      <c r="DJ197" t="s">
        <v>4217</v>
      </c>
      <c r="DK197">
        <v>205</v>
      </c>
      <c r="DL197" t="s">
        <v>4065</v>
      </c>
      <c r="DM197">
        <v>63</v>
      </c>
      <c r="DN197">
        <v>1.26</v>
      </c>
      <c r="DO197">
        <v>1</v>
      </c>
      <c r="DP197">
        <v>2194</v>
      </c>
      <c r="DQ197">
        <v>1086</v>
      </c>
      <c r="DR197" t="s">
        <v>4217</v>
      </c>
      <c r="DS197">
        <v>195</v>
      </c>
      <c r="DT197" t="s">
        <v>4065</v>
      </c>
      <c r="DU197">
        <v>63</v>
      </c>
      <c r="DV197">
        <v>1.26</v>
      </c>
      <c r="DW197">
        <v>1</v>
      </c>
      <c r="DX197">
        <v>2207</v>
      </c>
      <c r="DY197">
        <v>1039</v>
      </c>
      <c r="DZ197" t="s">
        <v>4066</v>
      </c>
      <c r="EA197">
        <v>20</v>
      </c>
      <c r="EB197" t="s">
        <v>4065</v>
      </c>
      <c r="EC197">
        <v>0.8</v>
      </c>
      <c r="ED197">
        <v>2194</v>
      </c>
      <c r="EE197">
        <v>77</v>
      </c>
      <c r="EG197">
        <v>0</v>
      </c>
      <c r="EH197" t="s">
        <v>4065</v>
      </c>
      <c r="EI197">
        <v>0</v>
      </c>
      <c r="EL197" t="s">
        <v>1528</v>
      </c>
      <c r="EM197">
        <v>12</v>
      </c>
      <c r="EN197">
        <v>0.5</v>
      </c>
      <c r="EO197">
        <v>0.96</v>
      </c>
      <c r="EP197">
        <v>2205.84</v>
      </c>
      <c r="EQ197">
        <v>38257.54</v>
      </c>
      <c r="ER197">
        <v>10368.15</v>
      </c>
      <c r="ES197">
        <v>0</v>
      </c>
      <c r="ET197">
        <v>0</v>
      </c>
      <c r="EU197">
        <v>1</v>
      </c>
      <c r="EV197">
        <v>48626</v>
      </c>
      <c r="EW197">
        <v>584</v>
      </c>
      <c r="EX197" t="s">
        <v>4755</v>
      </c>
      <c r="EY197">
        <v>232</v>
      </c>
      <c r="EZ197" t="s">
        <v>4055</v>
      </c>
      <c r="FA197">
        <v>4</v>
      </c>
      <c r="FB197">
        <v>1</v>
      </c>
      <c r="FC197">
        <v>1</v>
      </c>
      <c r="FD197">
        <v>2239</v>
      </c>
      <c r="FE197">
        <v>2563</v>
      </c>
      <c r="FF197" t="s">
        <v>4756</v>
      </c>
      <c r="FG197">
        <v>232</v>
      </c>
      <c r="FH197" t="s">
        <v>4055</v>
      </c>
      <c r="FI197">
        <v>4.2</v>
      </c>
      <c r="FJ197">
        <v>2239</v>
      </c>
      <c r="FK197">
        <v>2550</v>
      </c>
      <c r="FL197" t="s">
        <v>4069</v>
      </c>
      <c r="FM197" t="s">
        <v>4055</v>
      </c>
      <c r="FN197" t="s">
        <v>4055</v>
      </c>
      <c r="FO197" t="s">
        <v>4055</v>
      </c>
      <c r="FP197">
        <v>2239</v>
      </c>
      <c r="FQ197">
        <v>196</v>
      </c>
      <c r="FR197" t="s">
        <v>4090</v>
      </c>
      <c r="FS197">
        <v>236</v>
      </c>
      <c r="FT197" t="s">
        <v>4055</v>
      </c>
      <c r="FU197">
        <v>0.4</v>
      </c>
      <c r="FV197">
        <v>2239</v>
      </c>
      <c r="FW197">
        <v>235</v>
      </c>
      <c r="FX197" t="s">
        <v>4070</v>
      </c>
      <c r="FY197">
        <v>5</v>
      </c>
      <c r="FZ197" t="s">
        <v>4055</v>
      </c>
      <c r="GA197" t="s">
        <v>4055</v>
      </c>
      <c r="GB197">
        <v>2239</v>
      </c>
      <c r="GC197">
        <v>22</v>
      </c>
      <c r="GD197">
        <v>5566</v>
      </c>
      <c r="GE197" t="s">
        <v>4772</v>
      </c>
      <c r="GF197" t="s">
        <v>4055</v>
      </c>
      <c r="GG197" t="s">
        <v>4055</v>
      </c>
      <c r="GH197" t="s">
        <v>4055</v>
      </c>
      <c r="GI197" t="s">
        <v>4071</v>
      </c>
      <c r="GJ197" t="s">
        <v>4055</v>
      </c>
      <c r="GK197" t="s">
        <v>4055</v>
      </c>
      <c r="GL197" t="s">
        <v>4055</v>
      </c>
      <c r="GM197" t="s">
        <v>4055</v>
      </c>
      <c r="GQ197">
        <v>0</v>
      </c>
      <c r="GV197">
        <v>8.6</v>
      </c>
      <c r="GW197">
        <v>11.5</v>
      </c>
      <c r="GX197">
        <v>0.5</v>
      </c>
      <c r="GY197">
        <v>202</v>
      </c>
      <c r="GZ197">
        <v>3</v>
      </c>
      <c r="HA197">
        <v>252</v>
      </c>
      <c r="HB197">
        <v>3</v>
      </c>
      <c r="HC197">
        <v>2239</v>
      </c>
      <c r="HD197">
        <v>4</v>
      </c>
      <c r="HE197" t="s">
        <v>4071</v>
      </c>
      <c r="HG197" t="s">
        <v>549</v>
      </c>
      <c r="HL197">
        <v>4</v>
      </c>
      <c r="HM197">
        <v>18</v>
      </c>
      <c r="HN197">
        <v>6</v>
      </c>
      <c r="HO197">
        <v>1</v>
      </c>
      <c r="HP197">
        <v>0</v>
      </c>
      <c r="HQ197">
        <v>0</v>
      </c>
      <c r="HR197">
        <v>3</v>
      </c>
      <c r="HS197">
        <v>2190</v>
      </c>
      <c r="HT197">
        <v>5</v>
      </c>
      <c r="HU197">
        <v>1</v>
      </c>
      <c r="HV197">
        <v>5</v>
      </c>
      <c r="HW197">
        <v>0</v>
      </c>
      <c r="HX197">
        <v>1</v>
      </c>
      <c r="HY197">
        <v>0</v>
      </c>
      <c r="HZ197">
        <v>63</v>
      </c>
      <c r="IA197">
        <v>2194</v>
      </c>
      <c r="IB197">
        <v>2207</v>
      </c>
      <c r="ID197">
        <v>2239</v>
      </c>
      <c r="IE197">
        <v>2239</v>
      </c>
      <c r="IF197">
        <v>205</v>
      </c>
      <c r="IG197">
        <v>195</v>
      </c>
      <c r="IH197">
        <v>252</v>
      </c>
      <c r="II197">
        <v>1</v>
      </c>
      <c r="IJ197">
        <v>5</v>
      </c>
      <c r="IK197">
        <v>0</v>
      </c>
      <c r="IL197">
        <v>0</v>
      </c>
      <c r="IM197">
        <v>0</v>
      </c>
      <c r="IN197">
        <v>270</v>
      </c>
      <c r="IO197">
        <v>0</v>
      </c>
      <c r="IP197">
        <v>180</v>
      </c>
      <c r="IQ197">
        <v>0</v>
      </c>
      <c r="IR197">
        <v>330</v>
      </c>
      <c r="IS197">
        <v>0</v>
      </c>
      <c r="IT197">
        <v>90</v>
      </c>
      <c r="IU197">
        <v>0</v>
      </c>
      <c r="IV197">
        <v>6.4</v>
      </c>
      <c r="IW197">
        <v>-6</v>
      </c>
      <c r="IX197">
        <v>105</v>
      </c>
      <c r="IY197">
        <v>75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438</v>
      </c>
      <c r="JJ197">
        <v>408</v>
      </c>
      <c r="JK197">
        <v>296</v>
      </c>
      <c r="JL197">
        <v>406</v>
      </c>
      <c r="JM197">
        <v>306</v>
      </c>
      <c r="JN197">
        <v>205</v>
      </c>
      <c r="JO197">
        <v>262</v>
      </c>
      <c r="JP197">
        <v>200</v>
      </c>
      <c r="JQ197">
        <v>245</v>
      </c>
      <c r="JR197">
        <v>323</v>
      </c>
      <c r="JS197">
        <v>250</v>
      </c>
      <c r="JT197">
        <v>0</v>
      </c>
      <c r="JU197">
        <v>0</v>
      </c>
      <c r="JV197">
        <v>318</v>
      </c>
      <c r="JW197">
        <v>308</v>
      </c>
      <c r="JX197">
        <v>303</v>
      </c>
      <c r="JY197">
        <v>283</v>
      </c>
      <c r="JZ197">
        <v>0.5</v>
      </c>
      <c r="KA197">
        <v>0.2</v>
      </c>
      <c r="KB197">
        <v>0.4</v>
      </c>
      <c r="KC197">
        <v>0.42</v>
      </c>
      <c r="KD197">
        <v>0.28</v>
      </c>
      <c r="KE197">
        <v>0.5</v>
      </c>
      <c r="KF197">
        <v>0.19</v>
      </c>
      <c r="KG197">
        <v>0.12</v>
      </c>
      <c r="KH197">
        <v>3.5</v>
      </c>
      <c r="KI197">
        <v>1</v>
      </c>
      <c r="KJ197">
        <v>4.5</v>
      </c>
      <c r="KK197">
        <v>0</v>
      </c>
      <c r="KL197">
        <v>4.5</v>
      </c>
      <c r="KM197">
        <v>0.5</v>
      </c>
      <c r="KN197">
        <v>2</v>
      </c>
      <c r="KO197">
        <v>0</v>
      </c>
      <c r="KP197">
        <v>0</v>
      </c>
      <c r="KQ197">
        <v>1</v>
      </c>
      <c r="KR197">
        <v>1</v>
      </c>
      <c r="KS197">
        <v>0.2</v>
      </c>
      <c r="KT197">
        <v>2.9</v>
      </c>
      <c r="KU197">
        <v>0</v>
      </c>
      <c r="KV197">
        <v>0</v>
      </c>
      <c r="KW197">
        <v>1</v>
      </c>
      <c r="KX197">
        <v>1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3</v>
      </c>
      <c r="LI197">
        <v>0.5</v>
      </c>
      <c r="LJ197">
        <v>0</v>
      </c>
      <c r="LK197">
        <v>6</v>
      </c>
      <c r="LL197">
        <v>7</v>
      </c>
      <c r="LM197">
        <v>9</v>
      </c>
      <c r="LN197">
        <v>0.4</v>
      </c>
      <c r="LO197">
        <v>0.1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1.8</v>
      </c>
      <c r="LX197">
        <v>1.8</v>
      </c>
      <c r="LY197">
        <v>2</v>
      </c>
      <c r="LZ197">
        <v>2</v>
      </c>
      <c r="MA197">
        <v>0</v>
      </c>
      <c r="MB197">
        <v>4</v>
      </c>
      <c r="MC197">
        <v>0</v>
      </c>
      <c r="MD197">
        <v>4.5</v>
      </c>
      <c r="ME197">
        <v>6</v>
      </c>
      <c r="MF197">
        <v>6</v>
      </c>
      <c r="MI197">
        <v>0</v>
      </c>
      <c r="MJ197">
        <v>0</v>
      </c>
      <c r="ML197">
        <v>0</v>
      </c>
      <c r="MM197">
        <v>452</v>
      </c>
      <c r="MN197">
        <v>210</v>
      </c>
      <c r="MO197">
        <v>256</v>
      </c>
      <c r="NU197">
        <v>0.15</v>
      </c>
      <c r="NV197">
        <v>0.2</v>
      </c>
      <c r="NW197">
        <v>0.2</v>
      </c>
      <c r="NX197">
        <v>0.2</v>
      </c>
      <c r="NY197">
        <v>0.2</v>
      </c>
      <c r="NZ197">
        <v>0.2</v>
      </c>
      <c r="OE197" t="s">
        <v>4772</v>
      </c>
      <c r="OF197" t="s">
        <v>4529</v>
      </c>
      <c r="OG197" t="s">
        <v>4530</v>
      </c>
      <c r="OH197" t="s">
        <v>4043</v>
      </c>
      <c r="OI197" t="s">
        <v>4772</v>
      </c>
      <c r="OJ197" t="s">
        <v>4771</v>
      </c>
      <c r="OK197">
        <v>61</v>
      </c>
      <c r="OL197">
        <v>61</v>
      </c>
      <c r="OM197" t="s">
        <v>4529</v>
      </c>
      <c r="ON197">
        <v>1</v>
      </c>
      <c r="OO197">
        <v>2194</v>
      </c>
      <c r="OP197">
        <v>61</v>
      </c>
      <c r="OQ197">
        <v>61</v>
      </c>
      <c r="OR197" t="s">
        <v>4530</v>
      </c>
      <c r="OS197">
        <v>1</v>
      </c>
      <c r="OT197">
        <v>2207</v>
      </c>
      <c r="OU197">
        <v>65</v>
      </c>
      <c r="OV197">
        <v>65</v>
      </c>
      <c r="OW197" t="s">
        <v>4043</v>
      </c>
      <c r="OX197">
        <v>2</v>
      </c>
      <c r="OY197">
        <v>48626</v>
      </c>
      <c r="OZ197">
        <v>51</v>
      </c>
      <c r="PA197">
        <v>52</v>
      </c>
      <c r="PB197" t="s">
        <v>4772</v>
      </c>
      <c r="PC197">
        <v>1</v>
      </c>
      <c r="PD197">
        <v>2239</v>
      </c>
      <c r="PF197">
        <v>495</v>
      </c>
      <c r="PG197">
        <v>35</v>
      </c>
      <c r="PH197">
        <v>471</v>
      </c>
      <c r="PI197">
        <v>0</v>
      </c>
      <c r="PJ197">
        <v>87.59999999999999</v>
      </c>
      <c r="PL197">
        <v>1144.6</v>
      </c>
      <c r="PM197">
        <v>1139</v>
      </c>
      <c r="PN197">
        <v>105</v>
      </c>
      <c r="PO197">
        <v>10</v>
      </c>
      <c r="PP197">
        <v>12</v>
      </c>
      <c r="PQ197">
        <v>5</v>
      </c>
      <c r="PR197">
        <v>5</v>
      </c>
      <c r="PS197">
        <v>0</v>
      </c>
      <c r="PT197">
        <v>252</v>
      </c>
      <c r="PU197">
        <v>10</v>
      </c>
      <c r="PV197" t="s">
        <v>4072</v>
      </c>
      <c r="PW197" t="s">
        <v>4072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-1</v>
      </c>
      <c r="QF197">
        <v>1</v>
      </c>
      <c r="QG197">
        <v>0</v>
      </c>
      <c r="QH197">
        <v>5</v>
      </c>
      <c r="QI197">
        <v>5</v>
      </c>
      <c r="QJ197">
        <v>5</v>
      </c>
      <c r="QK197">
        <v>214</v>
      </c>
      <c r="QL197">
        <v>472</v>
      </c>
      <c r="QM197">
        <v>7.5</v>
      </c>
      <c r="QN197">
        <v>1464.3</v>
      </c>
      <c r="QO197" t="s">
        <v>2662</v>
      </c>
      <c r="QP197" t="s">
        <v>513</v>
      </c>
      <c r="QQ197">
        <v>0</v>
      </c>
      <c r="QR197" t="s">
        <v>621</v>
      </c>
      <c r="QS197">
        <v>30</v>
      </c>
      <c r="QT197">
        <v>40</v>
      </c>
    </row>
    <row r="198" spans="1:462">
      <c r="A198" t="s">
        <v>2710</v>
      </c>
      <c r="B198" t="s">
        <v>804</v>
      </c>
      <c r="C198" t="s">
        <v>509</v>
      </c>
      <c r="D198" t="s">
        <v>1738</v>
      </c>
      <c r="E198" t="s">
        <v>4036</v>
      </c>
      <c r="H198" t="s">
        <v>561</v>
      </c>
      <c r="J198" t="s">
        <v>562</v>
      </c>
      <c r="K198" t="s">
        <v>563</v>
      </c>
      <c r="L198" t="s">
        <v>508</v>
      </c>
      <c r="M198" t="s">
        <v>512</v>
      </c>
      <c r="N198" t="s">
        <v>515</v>
      </c>
      <c r="O198" t="s">
        <v>513</v>
      </c>
      <c r="P198" t="s">
        <v>517</v>
      </c>
      <c r="Q198" t="s">
        <v>1159</v>
      </c>
      <c r="R198" t="s">
        <v>1160</v>
      </c>
      <c r="S198" t="s">
        <v>4170</v>
      </c>
      <c r="T198" t="s">
        <v>662</v>
      </c>
      <c r="U198" t="s">
        <v>663</v>
      </c>
      <c r="V198" t="s">
        <v>1257</v>
      </c>
      <c r="W198" t="s">
        <v>2657</v>
      </c>
      <c r="X198" t="s">
        <v>2711</v>
      </c>
      <c r="Y198" t="s">
        <v>2712</v>
      </c>
      <c r="Z198" t="s">
        <v>541</v>
      </c>
      <c r="AA198" t="s">
        <v>4038</v>
      </c>
      <c r="AB198" t="s">
        <v>4773</v>
      </c>
      <c r="AC198">
        <v>9</v>
      </c>
      <c r="AD198" t="s">
        <v>2709</v>
      </c>
      <c r="AE198">
        <v>2</v>
      </c>
      <c r="AF198">
        <v>7881</v>
      </c>
      <c r="AG198" t="s">
        <v>4774</v>
      </c>
      <c r="AH198">
        <v>1</v>
      </c>
      <c r="AI198" t="s">
        <v>4041</v>
      </c>
      <c r="AK198" t="s">
        <v>4775</v>
      </c>
      <c r="AL198">
        <v>1</v>
      </c>
      <c r="AM198" t="s">
        <v>582</v>
      </c>
      <c r="AO198" t="s">
        <v>4043</v>
      </c>
      <c r="AP198">
        <v>1</v>
      </c>
      <c r="AR198" t="s">
        <v>4776</v>
      </c>
      <c r="AS198">
        <v>1</v>
      </c>
      <c r="AT198">
        <v>52</v>
      </c>
      <c r="AV198" t="s">
        <v>4078</v>
      </c>
      <c r="AW198">
        <v>6.4</v>
      </c>
      <c r="AX198">
        <v>-6</v>
      </c>
      <c r="AY198">
        <v>122.5</v>
      </c>
      <c r="AZ198">
        <v>92</v>
      </c>
      <c r="BH198">
        <v>122.5</v>
      </c>
      <c r="BI198">
        <v>30.5</v>
      </c>
      <c r="BJ198">
        <v>92</v>
      </c>
      <c r="BK198">
        <v>2.5</v>
      </c>
      <c r="BL198">
        <v>245</v>
      </c>
      <c r="BM198">
        <v>-6</v>
      </c>
      <c r="BN198">
        <v>0</v>
      </c>
      <c r="BO198">
        <v>0</v>
      </c>
      <c r="BP198">
        <v>0</v>
      </c>
      <c r="BR198">
        <v>240</v>
      </c>
      <c r="BS198">
        <v>230</v>
      </c>
      <c r="BT198">
        <v>2340</v>
      </c>
      <c r="BU198" t="s">
        <v>4079</v>
      </c>
      <c r="BV198" t="s">
        <v>4080</v>
      </c>
      <c r="BW198" t="s">
        <v>4081</v>
      </c>
      <c r="BX198" t="s">
        <v>4082</v>
      </c>
      <c r="BY198" t="s">
        <v>4265</v>
      </c>
      <c r="BZ198" t="s">
        <v>4214</v>
      </c>
      <c r="CA198" t="s">
        <v>4118</v>
      </c>
      <c r="CB198" t="s">
        <v>4119</v>
      </c>
      <c r="CC198" t="s">
        <v>4053</v>
      </c>
      <c r="CD198" t="s">
        <v>4121</v>
      </c>
      <c r="CE198" t="s">
        <v>4055</v>
      </c>
      <c r="CF198" t="s">
        <v>4055</v>
      </c>
      <c r="CG198" t="s">
        <v>4056</v>
      </c>
      <c r="CI198" t="s">
        <v>4216</v>
      </c>
      <c r="CJ198" t="s">
        <v>4059</v>
      </c>
      <c r="CK198" t="s">
        <v>4060</v>
      </c>
      <c r="CL198" t="s">
        <v>4061</v>
      </c>
      <c r="CM198" t="s">
        <v>4062</v>
      </c>
      <c r="CN198" t="s">
        <v>4055</v>
      </c>
      <c r="CO198" t="s">
        <v>4063</v>
      </c>
      <c r="CP198" t="s">
        <v>4055</v>
      </c>
      <c r="CQ198" t="s">
        <v>4055</v>
      </c>
      <c r="CR198">
        <v>5</v>
      </c>
      <c r="CS198" t="s">
        <v>4055</v>
      </c>
      <c r="CT198" t="s">
        <v>4055</v>
      </c>
      <c r="CU198" t="s">
        <v>4055</v>
      </c>
      <c r="CV198">
        <v>161</v>
      </c>
      <c r="CW198">
        <v>3</v>
      </c>
      <c r="CX198">
        <v>105</v>
      </c>
      <c r="CY198">
        <v>5</v>
      </c>
      <c r="CZ198">
        <v>188</v>
      </c>
      <c r="DA198">
        <v>5</v>
      </c>
      <c r="DB198">
        <v>18020</v>
      </c>
      <c r="DC198">
        <v>540</v>
      </c>
      <c r="DD198">
        <v>429</v>
      </c>
      <c r="DE198">
        <v>2476</v>
      </c>
      <c r="DF198">
        <v>2476</v>
      </c>
      <c r="DG198">
        <v>2487</v>
      </c>
      <c r="DH198">
        <v>3</v>
      </c>
      <c r="DJ198" t="s">
        <v>4217</v>
      </c>
      <c r="DK198">
        <v>240</v>
      </c>
      <c r="DL198" t="s">
        <v>4065</v>
      </c>
      <c r="DM198">
        <v>63</v>
      </c>
      <c r="DN198">
        <v>1.26</v>
      </c>
      <c r="DO198">
        <v>1</v>
      </c>
      <c r="DP198">
        <v>2344</v>
      </c>
      <c r="DQ198">
        <v>1357</v>
      </c>
      <c r="DR198" t="s">
        <v>4217</v>
      </c>
      <c r="DS198">
        <v>230</v>
      </c>
      <c r="DT198" t="s">
        <v>4065</v>
      </c>
      <c r="DU198">
        <v>63</v>
      </c>
      <c r="DV198">
        <v>1.26</v>
      </c>
      <c r="DW198">
        <v>1</v>
      </c>
      <c r="DX198">
        <v>2357</v>
      </c>
      <c r="DY198">
        <v>1308</v>
      </c>
      <c r="DZ198" t="s">
        <v>4066</v>
      </c>
      <c r="EA198">
        <v>20</v>
      </c>
      <c r="EB198" t="s">
        <v>4065</v>
      </c>
      <c r="EC198">
        <v>0.8</v>
      </c>
      <c r="ED198">
        <v>2344</v>
      </c>
      <c r="EE198">
        <v>82</v>
      </c>
      <c r="EG198">
        <v>0</v>
      </c>
      <c r="EH198" t="s">
        <v>4065</v>
      </c>
      <c r="EI198">
        <v>0</v>
      </c>
      <c r="EL198" t="s">
        <v>1528</v>
      </c>
      <c r="EM198">
        <v>12</v>
      </c>
      <c r="EN198">
        <v>0.5</v>
      </c>
      <c r="EO198">
        <v>0.96</v>
      </c>
      <c r="EP198">
        <v>2355.84</v>
      </c>
      <c r="EQ198">
        <v>47300.85</v>
      </c>
      <c r="ER198">
        <v>11255.8</v>
      </c>
      <c r="ES198">
        <v>0</v>
      </c>
      <c r="ET198">
        <v>0</v>
      </c>
      <c r="EU198">
        <v>1</v>
      </c>
      <c r="EV198">
        <v>58557</v>
      </c>
      <c r="EW198">
        <v>703</v>
      </c>
      <c r="EX198" t="s">
        <v>4755</v>
      </c>
      <c r="EY198">
        <v>264</v>
      </c>
      <c r="EZ198" t="s">
        <v>4055</v>
      </c>
      <c r="FA198">
        <v>3.7</v>
      </c>
      <c r="FB198">
        <v>1</v>
      </c>
      <c r="FC198">
        <v>1</v>
      </c>
      <c r="FD198">
        <v>2388</v>
      </c>
      <c r="FE198">
        <v>2686</v>
      </c>
      <c r="FF198" t="s">
        <v>4756</v>
      </c>
      <c r="FG198">
        <v>264</v>
      </c>
      <c r="FH198" t="s">
        <v>4055</v>
      </c>
      <c r="FI198">
        <v>4.2</v>
      </c>
      <c r="FJ198">
        <v>2388</v>
      </c>
      <c r="FK198">
        <v>3342</v>
      </c>
      <c r="FL198" t="s">
        <v>4069</v>
      </c>
      <c r="FM198" t="s">
        <v>4055</v>
      </c>
      <c r="FN198" t="s">
        <v>4055</v>
      </c>
      <c r="FO198" t="s">
        <v>4055</v>
      </c>
      <c r="FP198">
        <v>2388</v>
      </c>
      <c r="FQ198">
        <v>347</v>
      </c>
      <c r="FR198" t="s">
        <v>4090</v>
      </c>
      <c r="FS198">
        <v>268</v>
      </c>
      <c r="FT198" t="s">
        <v>4055</v>
      </c>
      <c r="FU198">
        <v>0.4</v>
      </c>
      <c r="FV198">
        <v>2388</v>
      </c>
      <c r="FW198">
        <v>285</v>
      </c>
      <c r="FX198" t="s">
        <v>4070</v>
      </c>
      <c r="FY198">
        <v>5</v>
      </c>
      <c r="FZ198" t="s">
        <v>4055</v>
      </c>
      <c r="GA198" t="s">
        <v>4055</v>
      </c>
      <c r="GB198">
        <v>2388</v>
      </c>
      <c r="GC198">
        <v>23</v>
      </c>
      <c r="GD198">
        <v>6683</v>
      </c>
      <c r="GE198" t="s">
        <v>4776</v>
      </c>
      <c r="GF198" t="s">
        <v>4055</v>
      </c>
      <c r="GG198" t="s">
        <v>4055</v>
      </c>
      <c r="GH198" t="s">
        <v>4055</v>
      </c>
      <c r="GI198" t="s">
        <v>4071</v>
      </c>
      <c r="GJ198" t="s">
        <v>4055</v>
      </c>
      <c r="GK198" t="s">
        <v>4055</v>
      </c>
      <c r="GL198" t="s">
        <v>4055</v>
      </c>
      <c r="GM198" t="s">
        <v>4055</v>
      </c>
      <c r="GQ198">
        <v>0</v>
      </c>
      <c r="GV198">
        <v>8.300000000000001</v>
      </c>
      <c r="GW198">
        <v>11.5</v>
      </c>
      <c r="GX198">
        <v>0.5</v>
      </c>
      <c r="GY198">
        <v>230</v>
      </c>
      <c r="GZ198">
        <v>3</v>
      </c>
      <c r="HA198">
        <v>294</v>
      </c>
      <c r="HB198">
        <v>3</v>
      </c>
      <c r="HC198">
        <v>2388</v>
      </c>
      <c r="HD198">
        <v>4</v>
      </c>
      <c r="HE198" t="s">
        <v>4071</v>
      </c>
      <c r="HG198" t="s">
        <v>549</v>
      </c>
      <c r="HL198">
        <v>4</v>
      </c>
      <c r="HM198">
        <v>18</v>
      </c>
      <c r="HN198">
        <v>6</v>
      </c>
      <c r="HO198">
        <v>1</v>
      </c>
      <c r="HP198">
        <v>0</v>
      </c>
      <c r="HQ198">
        <v>0</v>
      </c>
      <c r="HR198">
        <v>3</v>
      </c>
      <c r="HS198">
        <v>2340</v>
      </c>
      <c r="HT198">
        <v>5</v>
      </c>
      <c r="HU198">
        <v>1</v>
      </c>
      <c r="HV198">
        <v>5</v>
      </c>
      <c r="HW198">
        <v>0</v>
      </c>
      <c r="HX198">
        <v>1</v>
      </c>
      <c r="HY198">
        <v>0</v>
      </c>
      <c r="HZ198">
        <v>63</v>
      </c>
      <c r="IA198">
        <v>2344</v>
      </c>
      <c r="IB198">
        <v>2357</v>
      </c>
      <c r="ID198">
        <v>2388</v>
      </c>
      <c r="IE198">
        <v>2388</v>
      </c>
      <c r="IF198">
        <v>240</v>
      </c>
      <c r="IG198">
        <v>230</v>
      </c>
      <c r="IH198">
        <v>294</v>
      </c>
      <c r="II198">
        <v>1</v>
      </c>
      <c r="IJ198">
        <v>5</v>
      </c>
      <c r="IK198">
        <v>0</v>
      </c>
      <c r="IL198">
        <v>0</v>
      </c>
      <c r="IM198">
        <v>0</v>
      </c>
      <c r="IN198">
        <v>270</v>
      </c>
      <c r="IO198">
        <v>0</v>
      </c>
      <c r="IP198">
        <v>180</v>
      </c>
      <c r="IQ198">
        <v>0</v>
      </c>
      <c r="IR198">
        <v>330</v>
      </c>
      <c r="IS198">
        <v>0</v>
      </c>
      <c r="IT198">
        <v>90</v>
      </c>
      <c r="IU198">
        <v>0</v>
      </c>
      <c r="IV198">
        <v>6.4</v>
      </c>
      <c r="IW198">
        <v>-6</v>
      </c>
      <c r="IX198">
        <v>122.5</v>
      </c>
      <c r="IY198">
        <v>92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524</v>
      </c>
      <c r="JJ198">
        <v>504</v>
      </c>
      <c r="JK198">
        <v>345</v>
      </c>
      <c r="JL198">
        <v>502</v>
      </c>
      <c r="JM198">
        <v>372</v>
      </c>
      <c r="JN198">
        <v>245</v>
      </c>
      <c r="JO198">
        <v>295</v>
      </c>
      <c r="JP198">
        <v>180</v>
      </c>
      <c r="JQ198">
        <v>245</v>
      </c>
      <c r="JR198">
        <v>345</v>
      </c>
      <c r="JS198">
        <v>200</v>
      </c>
      <c r="JT198">
        <v>0</v>
      </c>
      <c r="JU198">
        <v>0</v>
      </c>
      <c r="JV198">
        <v>305</v>
      </c>
      <c r="JW198">
        <v>307</v>
      </c>
      <c r="JX198">
        <v>330</v>
      </c>
      <c r="JY198">
        <v>290</v>
      </c>
      <c r="JZ198">
        <v>1</v>
      </c>
      <c r="KA198">
        <v>0.2</v>
      </c>
      <c r="KB198">
        <v>0.4</v>
      </c>
      <c r="KC198">
        <v>0.42</v>
      </c>
      <c r="KD198">
        <v>0.28</v>
      </c>
      <c r="KE198">
        <v>0.5</v>
      </c>
      <c r="KF198">
        <v>0.2</v>
      </c>
      <c r="KG198">
        <v>0.11</v>
      </c>
      <c r="KH198">
        <v>3.5</v>
      </c>
      <c r="KI198">
        <v>1</v>
      </c>
      <c r="KJ198">
        <v>4.5</v>
      </c>
      <c r="KK198">
        <v>0</v>
      </c>
      <c r="KL198">
        <v>4.5</v>
      </c>
      <c r="KM198">
        <v>0</v>
      </c>
      <c r="KN198">
        <v>1.9</v>
      </c>
      <c r="KO198">
        <v>0</v>
      </c>
      <c r="KP198">
        <v>0</v>
      </c>
      <c r="KQ198">
        <v>1.5</v>
      </c>
      <c r="KR198">
        <v>1</v>
      </c>
      <c r="KS198">
        <v>0</v>
      </c>
      <c r="KT198">
        <v>3.2</v>
      </c>
      <c r="KU198">
        <v>0</v>
      </c>
      <c r="KV198">
        <v>0</v>
      </c>
      <c r="KW198">
        <v>1</v>
      </c>
      <c r="KX198">
        <v>2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3</v>
      </c>
      <c r="LI198">
        <v>1</v>
      </c>
      <c r="LJ198">
        <v>0</v>
      </c>
      <c r="LK198">
        <v>17</v>
      </c>
      <c r="LL198">
        <v>17</v>
      </c>
      <c r="LM198">
        <v>18</v>
      </c>
      <c r="LN198">
        <v>0.1</v>
      </c>
      <c r="LO198">
        <v>0.5</v>
      </c>
      <c r="LP198">
        <v>0</v>
      </c>
      <c r="LQ198">
        <v>0</v>
      </c>
      <c r="LR198">
        <v>0</v>
      </c>
      <c r="LS198">
        <v>1</v>
      </c>
      <c r="LT198">
        <v>520</v>
      </c>
      <c r="LU198">
        <v>0</v>
      </c>
      <c r="LV198">
        <v>0</v>
      </c>
      <c r="LW198">
        <v>2.8</v>
      </c>
      <c r="LX198">
        <v>2.8</v>
      </c>
      <c r="LY198">
        <v>1.6</v>
      </c>
      <c r="LZ198">
        <v>1.6</v>
      </c>
      <c r="MA198">
        <v>0</v>
      </c>
      <c r="MB198">
        <v>15</v>
      </c>
      <c r="MC198">
        <v>0</v>
      </c>
      <c r="MD198">
        <v>4.5</v>
      </c>
      <c r="ME198">
        <v>6</v>
      </c>
      <c r="MF198">
        <v>6</v>
      </c>
      <c r="MI198">
        <v>0</v>
      </c>
      <c r="MJ198">
        <v>0</v>
      </c>
      <c r="ML198">
        <v>0</v>
      </c>
      <c r="MM198">
        <v>524</v>
      </c>
      <c r="MN198">
        <v>225</v>
      </c>
      <c r="MO198">
        <v>294</v>
      </c>
      <c r="NU198">
        <v>0.15</v>
      </c>
      <c r="NV198">
        <v>0.2</v>
      </c>
      <c r="NW198">
        <v>0.2</v>
      </c>
      <c r="NX198">
        <v>0.2</v>
      </c>
      <c r="NY198">
        <v>0.2</v>
      </c>
      <c r="NZ198">
        <v>0.2</v>
      </c>
      <c r="OE198" t="s">
        <v>4776</v>
      </c>
      <c r="OF198" t="s">
        <v>4774</v>
      </c>
      <c r="OG198" t="s">
        <v>4775</v>
      </c>
      <c r="OH198" t="s">
        <v>4043</v>
      </c>
      <c r="OI198" t="s">
        <v>4776</v>
      </c>
      <c r="OJ198" t="s">
        <v>4773</v>
      </c>
      <c r="OK198">
        <v>61</v>
      </c>
      <c r="OL198">
        <v>61</v>
      </c>
      <c r="OM198" t="s">
        <v>4774</v>
      </c>
      <c r="ON198">
        <v>1</v>
      </c>
      <c r="OO198">
        <v>2344</v>
      </c>
      <c r="OP198">
        <v>61</v>
      </c>
      <c r="OQ198">
        <v>61</v>
      </c>
      <c r="OR198" t="s">
        <v>4775</v>
      </c>
      <c r="OS198">
        <v>1</v>
      </c>
      <c r="OT198">
        <v>2357</v>
      </c>
      <c r="OU198">
        <v>65</v>
      </c>
      <c r="OV198">
        <v>65</v>
      </c>
      <c r="OW198" t="s">
        <v>4043</v>
      </c>
      <c r="OX198">
        <v>2</v>
      </c>
      <c r="OY198">
        <v>58557</v>
      </c>
      <c r="OZ198">
        <v>51</v>
      </c>
      <c r="PA198">
        <v>52</v>
      </c>
      <c r="PB198" t="s">
        <v>4776</v>
      </c>
      <c r="PC198">
        <v>1</v>
      </c>
      <c r="PD198">
        <v>2388</v>
      </c>
      <c r="PF198">
        <v>579</v>
      </c>
      <c r="PG198">
        <v>35</v>
      </c>
      <c r="PH198">
        <v>555</v>
      </c>
      <c r="PI198">
        <v>0</v>
      </c>
      <c r="PJ198">
        <v>145.5</v>
      </c>
      <c r="PL198">
        <v>1124.8</v>
      </c>
      <c r="PM198">
        <v>1399.4</v>
      </c>
      <c r="PN198">
        <v>119.3</v>
      </c>
      <c r="PO198">
        <v>9.6</v>
      </c>
      <c r="PP198">
        <v>12</v>
      </c>
      <c r="PQ198">
        <v>4</v>
      </c>
      <c r="PR198">
        <v>6</v>
      </c>
      <c r="PS198">
        <v>0</v>
      </c>
      <c r="PT198">
        <v>294</v>
      </c>
      <c r="PU198">
        <v>15</v>
      </c>
      <c r="PV198" t="s">
        <v>4072</v>
      </c>
      <c r="PW198" t="s">
        <v>4072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-1</v>
      </c>
      <c r="QF198">
        <v>1</v>
      </c>
      <c r="QG198">
        <v>0</v>
      </c>
      <c r="QH198">
        <v>5</v>
      </c>
      <c r="QI198">
        <v>5</v>
      </c>
      <c r="QJ198">
        <v>5</v>
      </c>
      <c r="QK198">
        <v>280</v>
      </c>
      <c r="QL198">
        <v>554</v>
      </c>
      <c r="QM198">
        <v>9.4</v>
      </c>
      <c r="QN198">
        <v>1465.9</v>
      </c>
      <c r="QO198" t="s">
        <v>2662</v>
      </c>
      <c r="QP198" t="s">
        <v>513</v>
      </c>
      <c r="QQ198">
        <v>0</v>
      </c>
      <c r="QR198" t="s">
        <v>596</v>
      </c>
      <c r="QS198">
        <v>40</v>
      </c>
      <c r="QT198">
        <v>50</v>
      </c>
    </row>
    <row r="199" spans="1:462">
      <c r="A199" t="s">
        <v>2718</v>
      </c>
      <c r="B199" t="s">
        <v>804</v>
      </c>
      <c r="C199" t="s">
        <v>509</v>
      </c>
      <c r="D199" t="s">
        <v>1346</v>
      </c>
      <c r="E199" t="s">
        <v>4036</v>
      </c>
      <c r="H199" t="s">
        <v>511</v>
      </c>
      <c r="J199" t="s">
        <v>562</v>
      </c>
      <c r="L199" t="s">
        <v>508</v>
      </c>
      <c r="M199" t="s">
        <v>512</v>
      </c>
      <c r="N199" t="s">
        <v>515</v>
      </c>
      <c r="O199" t="s">
        <v>513</v>
      </c>
      <c r="P199" t="s">
        <v>517</v>
      </c>
      <c r="Q199" t="s">
        <v>987</v>
      </c>
      <c r="R199" t="s">
        <v>988</v>
      </c>
      <c r="S199" t="s">
        <v>4170</v>
      </c>
      <c r="T199" t="s">
        <v>662</v>
      </c>
      <c r="U199" t="s">
        <v>663</v>
      </c>
      <c r="V199" t="s">
        <v>2719</v>
      </c>
      <c r="W199" t="s">
        <v>2657</v>
      </c>
      <c r="X199" t="s">
        <v>2720</v>
      </c>
      <c r="Y199" t="s">
        <v>2721</v>
      </c>
      <c r="Z199" t="s">
        <v>541</v>
      </c>
      <c r="AA199" t="s">
        <v>582</v>
      </c>
      <c r="AB199" t="s">
        <v>4777</v>
      </c>
      <c r="AC199">
        <v>9</v>
      </c>
      <c r="AD199" t="s">
        <v>2717</v>
      </c>
      <c r="AE199">
        <v>2</v>
      </c>
      <c r="AF199">
        <v>7346</v>
      </c>
      <c r="AG199" t="s">
        <v>4341</v>
      </c>
      <c r="AH199">
        <v>1</v>
      </c>
      <c r="AI199" t="s">
        <v>4041</v>
      </c>
      <c r="AK199" t="s">
        <v>4342</v>
      </c>
      <c r="AL199">
        <v>1</v>
      </c>
      <c r="AM199" t="s">
        <v>582</v>
      </c>
      <c r="AO199" t="s">
        <v>4043</v>
      </c>
      <c r="AP199">
        <v>1</v>
      </c>
      <c r="AR199" t="s">
        <v>4778</v>
      </c>
      <c r="AS199">
        <v>1</v>
      </c>
      <c r="AT199">
        <v>52</v>
      </c>
      <c r="AV199" t="s">
        <v>4078</v>
      </c>
      <c r="AW199">
        <v>6.4</v>
      </c>
      <c r="AX199">
        <v>-6</v>
      </c>
      <c r="AY199">
        <v>112.5</v>
      </c>
      <c r="AZ199">
        <v>82</v>
      </c>
      <c r="BA199">
        <v>0</v>
      </c>
      <c r="BB199">
        <v>0</v>
      </c>
      <c r="BC199">
        <v>0</v>
      </c>
      <c r="BH199">
        <v>112.5</v>
      </c>
      <c r="BI199">
        <v>30.5</v>
      </c>
      <c r="BJ199">
        <v>82</v>
      </c>
      <c r="BK199">
        <v>2.5</v>
      </c>
      <c r="BL199">
        <v>225</v>
      </c>
      <c r="BM199">
        <v>-6</v>
      </c>
      <c r="BN199">
        <v>0</v>
      </c>
      <c r="BO199">
        <v>0</v>
      </c>
      <c r="BP199">
        <v>0</v>
      </c>
      <c r="BR199">
        <v>220</v>
      </c>
      <c r="BS199">
        <v>210</v>
      </c>
      <c r="BT199">
        <v>2265</v>
      </c>
      <c r="BU199" t="s">
        <v>4079</v>
      </c>
      <c r="BV199" t="s">
        <v>4079</v>
      </c>
      <c r="BW199" t="s">
        <v>4081</v>
      </c>
      <c r="BX199" t="s">
        <v>4081</v>
      </c>
      <c r="BY199" t="s">
        <v>4214</v>
      </c>
      <c r="BZ199" t="s">
        <v>4265</v>
      </c>
      <c r="CA199" t="s">
        <v>4118</v>
      </c>
      <c r="CB199" t="s">
        <v>4119</v>
      </c>
      <c r="CC199" t="s">
        <v>4053</v>
      </c>
      <c r="CD199" t="s">
        <v>4121</v>
      </c>
      <c r="CE199" t="s">
        <v>4055</v>
      </c>
      <c r="CF199" t="s">
        <v>4055</v>
      </c>
      <c r="CG199" t="s">
        <v>4056</v>
      </c>
      <c r="CI199" t="s">
        <v>4058</v>
      </c>
      <c r="CJ199" t="s">
        <v>4059</v>
      </c>
      <c r="CK199" t="s">
        <v>4060</v>
      </c>
      <c r="CL199" t="s">
        <v>4061</v>
      </c>
      <c r="CM199" t="s">
        <v>4062</v>
      </c>
      <c r="CN199" t="s">
        <v>4055</v>
      </c>
      <c r="CO199" t="s">
        <v>4063</v>
      </c>
      <c r="CP199" t="s">
        <v>4055</v>
      </c>
      <c r="CQ199" t="s">
        <v>4055</v>
      </c>
      <c r="CR199">
        <v>5</v>
      </c>
      <c r="CS199" t="s">
        <v>4055</v>
      </c>
      <c r="CT199" t="s">
        <v>4055</v>
      </c>
      <c r="CU199" t="s">
        <v>4055</v>
      </c>
      <c r="CV199">
        <v>148</v>
      </c>
      <c r="CW199">
        <v>3</v>
      </c>
      <c r="CX199">
        <v>95</v>
      </c>
      <c r="CY199">
        <v>5</v>
      </c>
      <c r="CZ199">
        <v>176</v>
      </c>
      <c r="DA199">
        <v>5</v>
      </c>
      <c r="DB199">
        <v>16680</v>
      </c>
      <c r="DC199">
        <v>500</v>
      </c>
      <c r="DD199">
        <v>392</v>
      </c>
      <c r="DE199">
        <v>2402</v>
      </c>
      <c r="DF199">
        <v>2402</v>
      </c>
      <c r="DG199">
        <v>2413</v>
      </c>
      <c r="DH199" t="s">
        <v>4055</v>
      </c>
      <c r="DI199" t="s">
        <v>4055</v>
      </c>
      <c r="DJ199" t="s">
        <v>4217</v>
      </c>
      <c r="DK199">
        <v>220</v>
      </c>
      <c r="DL199" t="s">
        <v>4065</v>
      </c>
      <c r="DM199">
        <v>63</v>
      </c>
      <c r="DN199">
        <v>1.26</v>
      </c>
      <c r="DO199">
        <v>1</v>
      </c>
      <c r="DP199">
        <v>2269</v>
      </c>
      <c r="DQ199">
        <v>1205</v>
      </c>
      <c r="DR199" t="s">
        <v>4217</v>
      </c>
      <c r="DS199">
        <v>210</v>
      </c>
      <c r="DT199" t="s">
        <v>4065</v>
      </c>
      <c r="DU199">
        <v>63</v>
      </c>
      <c r="DV199">
        <v>1.26</v>
      </c>
      <c r="DW199">
        <v>1</v>
      </c>
      <c r="DX199">
        <v>2282</v>
      </c>
      <c r="DY199">
        <v>1157</v>
      </c>
      <c r="DZ199" t="s">
        <v>4066</v>
      </c>
      <c r="EA199">
        <v>20</v>
      </c>
      <c r="EB199" t="s">
        <v>4065</v>
      </c>
      <c r="EC199">
        <v>0.8</v>
      </c>
      <c r="ED199">
        <v>2269</v>
      </c>
      <c r="EE199">
        <v>79</v>
      </c>
      <c r="EG199">
        <v>0</v>
      </c>
      <c r="EH199" t="s">
        <v>4065</v>
      </c>
      <c r="EI199">
        <v>0</v>
      </c>
      <c r="EL199" t="s">
        <v>1528</v>
      </c>
      <c r="EM199">
        <v>12</v>
      </c>
      <c r="EN199">
        <v>0.5</v>
      </c>
      <c r="EO199">
        <v>0.96</v>
      </c>
      <c r="EP199">
        <v>2280.84</v>
      </c>
      <c r="EQ199">
        <v>42231.18</v>
      </c>
      <c r="ER199">
        <v>10898.37</v>
      </c>
      <c r="ES199">
        <v>0</v>
      </c>
      <c r="ET199">
        <v>0</v>
      </c>
      <c r="EU199">
        <v>1</v>
      </c>
      <c r="EV199">
        <v>53130</v>
      </c>
      <c r="EW199">
        <v>638</v>
      </c>
      <c r="EX199" t="s">
        <v>4755</v>
      </c>
      <c r="EY199">
        <v>262</v>
      </c>
      <c r="EZ199" t="s">
        <v>4055</v>
      </c>
      <c r="FA199">
        <v>3.9</v>
      </c>
      <c r="FB199">
        <v>1</v>
      </c>
      <c r="FC199">
        <v>1</v>
      </c>
      <c r="FD199">
        <v>2314</v>
      </c>
      <c r="FE199">
        <v>2635</v>
      </c>
      <c r="FF199" t="s">
        <v>4756</v>
      </c>
      <c r="FG199">
        <v>262</v>
      </c>
      <c r="FH199" t="s">
        <v>4055</v>
      </c>
      <c r="FI199">
        <v>4.2</v>
      </c>
      <c r="FJ199">
        <v>2314</v>
      </c>
      <c r="FK199">
        <v>3095</v>
      </c>
      <c r="FL199" t="s">
        <v>4069</v>
      </c>
      <c r="FM199" t="s">
        <v>4055</v>
      </c>
      <c r="FN199" t="s">
        <v>4055</v>
      </c>
      <c r="FO199" t="s">
        <v>4055</v>
      </c>
      <c r="FP199">
        <v>2314</v>
      </c>
      <c r="FQ199">
        <v>222</v>
      </c>
      <c r="FR199" t="s">
        <v>4090</v>
      </c>
      <c r="FS199">
        <v>266</v>
      </c>
      <c r="FT199" t="s">
        <v>4055</v>
      </c>
      <c r="FU199">
        <v>0.4</v>
      </c>
      <c r="FV199">
        <v>2314</v>
      </c>
      <c r="FW199">
        <v>274</v>
      </c>
      <c r="FX199" t="s">
        <v>4070</v>
      </c>
      <c r="FY199">
        <v>5</v>
      </c>
      <c r="FZ199" t="s">
        <v>4055</v>
      </c>
      <c r="GA199" t="s">
        <v>4055</v>
      </c>
      <c r="GB199">
        <v>2314</v>
      </c>
      <c r="GC199">
        <v>23</v>
      </c>
      <c r="GD199">
        <v>6249</v>
      </c>
      <c r="GE199" t="s">
        <v>4778</v>
      </c>
      <c r="GF199" t="s">
        <v>4055</v>
      </c>
      <c r="GG199" t="s">
        <v>4055</v>
      </c>
      <c r="GH199" t="s">
        <v>4055</v>
      </c>
      <c r="GI199" t="s">
        <v>4071</v>
      </c>
      <c r="GJ199" t="s">
        <v>4055</v>
      </c>
      <c r="GK199" t="s">
        <v>4055</v>
      </c>
      <c r="GL199" t="s">
        <v>4055</v>
      </c>
      <c r="GM199" t="s">
        <v>4055</v>
      </c>
      <c r="GQ199">
        <v>0</v>
      </c>
      <c r="GV199">
        <v>8.5</v>
      </c>
      <c r="GW199">
        <v>11</v>
      </c>
      <c r="GX199">
        <v>0.5</v>
      </c>
      <c r="GY199">
        <v>216</v>
      </c>
      <c r="GZ199">
        <v>3</v>
      </c>
      <c r="HA199">
        <v>282</v>
      </c>
      <c r="HB199">
        <v>3</v>
      </c>
      <c r="HC199">
        <v>2314</v>
      </c>
      <c r="HD199">
        <v>4</v>
      </c>
      <c r="HE199" t="s">
        <v>4071</v>
      </c>
      <c r="HG199" t="s">
        <v>549</v>
      </c>
      <c r="HL199">
        <v>4</v>
      </c>
      <c r="HM199">
        <v>18</v>
      </c>
      <c r="HN199">
        <v>6</v>
      </c>
      <c r="HO199">
        <v>1</v>
      </c>
      <c r="HP199">
        <v>0</v>
      </c>
      <c r="HQ199">
        <v>0</v>
      </c>
      <c r="HR199">
        <v>2</v>
      </c>
      <c r="HS199">
        <v>2265</v>
      </c>
      <c r="HT199">
        <v>5</v>
      </c>
      <c r="HU199">
        <v>1</v>
      </c>
      <c r="HV199">
        <v>0</v>
      </c>
      <c r="HW199">
        <v>0</v>
      </c>
      <c r="HX199">
        <v>1</v>
      </c>
      <c r="HY199">
        <v>0</v>
      </c>
      <c r="HZ199">
        <v>63</v>
      </c>
      <c r="IA199">
        <v>2269</v>
      </c>
      <c r="IB199">
        <v>2282</v>
      </c>
      <c r="ID199">
        <v>2314</v>
      </c>
      <c r="IE199">
        <v>2314</v>
      </c>
      <c r="IF199">
        <v>220</v>
      </c>
      <c r="IG199">
        <v>210</v>
      </c>
      <c r="IH199">
        <v>282</v>
      </c>
      <c r="II199">
        <v>1</v>
      </c>
      <c r="IJ199">
        <v>5</v>
      </c>
      <c r="IK199">
        <v>0</v>
      </c>
      <c r="IL199">
        <v>0</v>
      </c>
      <c r="IM199">
        <v>0</v>
      </c>
      <c r="IN199">
        <v>270</v>
      </c>
      <c r="IO199">
        <v>0</v>
      </c>
      <c r="IP199">
        <v>180</v>
      </c>
      <c r="IQ199">
        <v>0</v>
      </c>
      <c r="IR199">
        <v>330</v>
      </c>
      <c r="IS199">
        <v>0</v>
      </c>
      <c r="IT199">
        <v>100</v>
      </c>
      <c r="IU199">
        <v>0</v>
      </c>
      <c r="IV199">
        <v>6.4</v>
      </c>
      <c r="IW199">
        <v>-6</v>
      </c>
      <c r="IX199">
        <v>112.5</v>
      </c>
      <c r="IY199">
        <v>82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484</v>
      </c>
      <c r="JJ199">
        <v>454</v>
      </c>
      <c r="JK199">
        <v>336</v>
      </c>
      <c r="JL199">
        <v>454</v>
      </c>
      <c r="JM199">
        <v>330</v>
      </c>
      <c r="JN199">
        <v>235</v>
      </c>
      <c r="JO199">
        <v>272</v>
      </c>
      <c r="JP199">
        <v>180</v>
      </c>
      <c r="JQ199">
        <v>230</v>
      </c>
      <c r="JR199">
        <v>350</v>
      </c>
      <c r="JS199">
        <v>220</v>
      </c>
      <c r="JT199">
        <v>0</v>
      </c>
      <c r="JU199">
        <v>0</v>
      </c>
      <c r="JV199">
        <v>335</v>
      </c>
      <c r="JW199">
        <v>307</v>
      </c>
      <c r="JX199">
        <v>344</v>
      </c>
      <c r="JY199">
        <v>334</v>
      </c>
      <c r="JZ199">
        <v>1</v>
      </c>
      <c r="KA199">
        <v>0.2</v>
      </c>
      <c r="KB199">
        <v>0.4</v>
      </c>
      <c r="KC199">
        <v>0.42</v>
      </c>
      <c r="KD199">
        <v>0.28</v>
      </c>
      <c r="KE199">
        <v>0.5</v>
      </c>
      <c r="KF199">
        <v>0.18</v>
      </c>
      <c r="KG199">
        <v>0.11</v>
      </c>
      <c r="KH199">
        <v>3.5</v>
      </c>
      <c r="KI199">
        <v>1</v>
      </c>
      <c r="KJ199">
        <v>4.5</v>
      </c>
      <c r="KK199">
        <v>0</v>
      </c>
      <c r="KL199">
        <v>4.5</v>
      </c>
      <c r="KM199">
        <v>0</v>
      </c>
      <c r="KN199">
        <v>1.8</v>
      </c>
      <c r="KO199">
        <v>0</v>
      </c>
      <c r="KP199">
        <v>0</v>
      </c>
      <c r="KQ199">
        <v>1</v>
      </c>
      <c r="KR199">
        <v>0.8</v>
      </c>
      <c r="KS199">
        <v>0</v>
      </c>
      <c r="KT199">
        <v>2.8</v>
      </c>
      <c r="KU199">
        <v>0</v>
      </c>
      <c r="KV199">
        <v>0</v>
      </c>
      <c r="KW199">
        <v>1</v>
      </c>
      <c r="KX199">
        <v>2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3</v>
      </c>
      <c r="LI199">
        <v>1</v>
      </c>
      <c r="LJ199">
        <v>0</v>
      </c>
      <c r="LK199">
        <v>10</v>
      </c>
      <c r="LL199">
        <v>4</v>
      </c>
      <c r="LM199">
        <v>15</v>
      </c>
      <c r="LN199">
        <v>0.1</v>
      </c>
      <c r="LO199">
        <v>0.1</v>
      </c>
      <c r="LP199">
        <v>0</v>
      </c>
      <c r="LQ199">
        <v>0</v>
      </c>
      <c r="LR199">
        <v>0</v>
      </c>
      <c r="LS199">
        <v>1</v>
      </c>
      <c r="LT199">
        <v>0</v>
      </c>
      <c r="LU199">
        <v>0</v>
      </c>
      <c r="LV199">
        <v>0</v>
      </c>
      <c r="LW199">
        <v>2.8</v>
      </c>
      <c r="LX199">
        <v>2.8</v>
      </c>
      <c r="LY199">
        <v>2.8</v>
      </c>
      <c r="LZ199">
        <v>2.8</v>
      </c>
      <c r="MA199">
        <v>0</v>
      </c>
      <c r="MB199">
        <v>12</v>
      </c>
      <c r="MC199">
        <v>0</v>
      </c>
      <c r="MD199">
        <v>4.5</v>
      </c>
      <c r="ME199">
        <v>6</v>
      </c>
      <c r="MF199">
        <v>6</v>
      </c>
      <c r="MG199">
        <v>40</v>
      </c>
      <c r="MH199">
        <v>40</v>
      </c>
      <c r="MI199">
        <v>0</v>
      </c>
      <c r="MJ199">
        <v>0</v>
      </c>
      <c r="ML199">
        <v>0</v>
      </c>
      <c r="MM199">
        <v>516</v>
      </c>
      <c r="MN199">
        <v>215</v>
      </c>
      <c r="MO199">
        <v>272</v>
      </c>
      <c r="NU199">
        <v>0.15</v>
      </c>
      <c r="NV199">
        <v>0.2</v>
      </c>
      <c r="NW199">
        <v>0.2</v>
      </c>
      <c r="NX199">
        <v>0.2</v>
      </c>
      <c r="NY199">
        <v>0.2</v>
      </c>
      <c r="NZ199">
        <v>0.2</v>
      </c>
      <c r="OE199" t="s">
        <v>4778</v>
      </c>
      <c r="OF199" t="s">
        <v>4341</v>
      </c>
      <c r="OG199" t="s">
        <v>4342</v>
      </c>
      <c r="OH199" t="s">
        <v>4043</v>
      </c>
      <c r="OI199" t="s">
        <v>4778</v>
      </c>
      <c r="OJ199" t="s">
        <v>4777</v>
      </c>
      <c r="OK199">
        <v>61</v>
      </c>
      <c r="OL199">
        <v>61</v>
      </c>
      <c r="OM199" t="s">
        <v>4341</v>
      </c>
      <c r="ON199">
        <v>1</v>
      </c>
      <c r="OO199">
        <v>2269</v>
      </c>
      <c r="OP199">
        <v>61</v>
      </c>
      <c r="OQ199">
        <v>61</v>
      </c>
      <c r="OR199" t="s">
        <v>4342</v>
      </c>
      <c r="OS199">
        <v>1</v>
      </c>
      <c r="OT199">
        <v>2282</v>
      </c>
      <c r="OU199">
        <v>65</v>
      </c>
      <c r="OV199">
        <v>65</v>
      </c>
      <c r="OW199" t="s">
        <v>4043</v>
      </c>
      <c r="OX199">
        <v>2</v>
      </c>
      <c r="OY199">
        <v>53130</v>
      </c>
      <c r="OZ199">
        <v>51</v>
      </c>
      <c r="PA199">
        <v>52</v>
      </c>
      <c r="PB199" t="s">
        <v>4778</v>
      </c>
      <c r="PC199">
        <v>1</v>
      </c>
      <c r="PD199">
        <v>2314</v>
      </c>
      <c r="PF199">
        <v>531</v>
      </c>
      <c r="PG199">
        <v>35</v>
      </c>
      <c r="PH199">
        <v>507</v>
      </c>
      <c r="PI199">
        <v>0</v>
      </c>
      <c r="PJ199">
        <v>95.8</v>
      </c>
      <c r="PK199">
        <v>2652</v>
      </c>
      <c r="PL199">
        <v>1138.6</v>
      </c>
      <c r="PM199">
        <v>1337.5</v>
      </c>
      <c r="PN199">
        <v>118.4</v>
      </c>
      <c r="PO199">
        <v>9.9</v>
      </c>
      <c r="PP199">
        <v>12</v>
      </c>
      <c r="PQ199">
        <v>4</v>
      </c>
      <c r="PR199">
        <v>4</v>
      </c>
      <c r="PS199">
        <v>0</v>
      </c>
      <c r="PT199">
        <v>282</v>
      </c>
      <c r="PU199">
        <v>10</v>
      </c>
      <c r="PV199" t="s">
        <v>4072</v>
      </c>
      <c r="PW199" t="s">
        <v>4072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-1</v>
      </c>
      <c r="QF199">
        <v>1</v>
      </c>
      <c r="QG199">
        <v>0</v>
      </c>
      <c r="QH199">
        <v>5</v>
      </c>
      <c r="QI199">
        <v>5</v>
      </c>
      <c r="QJ199">
        <v>5</v>
      </c>
      <c r="QK199">
        <v>234</v>
      </c>
      <c r="QL199">
        <v>514</v>
      </c>
      <c r="QM199">
        <v>9.4</v>
      </c>
      <c r="QN199">
        <v>1465.9</v>
      </c>
      <c r="QO199" t="s">
        <v>2662</v>
      </c>
      <c r="QP199" t="s">
        <v>513</v>
      </c>
      <c r="QQ199">
        <v>0</v>
      </c>
      <c r="QR199" t="s">
        <v>621</v>
      </c>
      <c r="QS199">
        <v>30</v>
      </c>
      <c r="QT199">
        <v>40</v>
      </c>
    </row>
    <row r="200" spans="1:462">
      <c r="A200" t="s">
        <v>2726</v>
      </c>
      <c r="B200" t="s">
        <v>629</v>
      </c>
      <c r="C200" t="s">
        <v>509</v>
      </c>
      <c r="D200" t="s">
        <v>1013</v>
      </c>
      <c r="E200" t="s">
        <v>4036</v>
      </c>
      <c r="H200" t="s">
        <v>1135</v>
      </c>
      <c r="J200" t="s">
        <v>562</v>
      </c>
      <c r="K200" t="s">
        <v>563</v>
      </c>
      <c r="L200" t="s">
        <v>711</v>
      </c>
      <c r="M200" t="s">
        <v>512</v>
      </c>
      <c r="N200" t="s">
        <v>515</v>
      </c>
      <c r="O200" t="s">
        <v>513</v>
      </c>
      <c r="P200" t="s">
        <v>517</v>
      </c>
      <c r="Q200" t="s">
        <v>1117</v>
      </c>
      <c r="R200" t="s">
        <v>714</v>
      </c>
      <c r="S200" t="s">
        <v>4134</v>
      </c>
      <c r="T200" t="s">
        <v>662</v>
      </c>
      <c r="U200" t="s">
        <v>663</v>
      </c>
      <c r="V200" t="s">
        <v>2567</v>
      </c>
      <c r="W200" t="s">
        <v>2657</v>
      </c>
      <c r="X200" t="s">
        <v>2727</v>
      </c>
      <c r="Y200" t="s">
        <v>2728</v>
      </c>
      <c r="Z200" t="s">
        <v>541</v>
      </c>
      <c r="AA200" t="s">
        <v>4038</v>
      </c>
      <c r="AB200" t="s">
        <v>4779</v>
      </c>
      <c r="AC200">
        <v>9</v>
      </c>
      <c r="AD200" t="s">
        <v>2725</v>
      </c>
      <c r="AE200">
        <v>4</v>
      </c>
      <c r="AF200">
        <v>4362</v>
      </c>
      <c r="AG200" t="s">
        <v>4306</v>
      </c>
      <c r="AH200">
        <v>1</v>
      </c>
      <c r="AI200" t="s">
        <v>4041</v>
      </c>
      <c r="AK200" t="s">
        <v>4307</v>
      </c>
      <c r="AL200">
        <v>1</v>
      </c>
      <c r="AM200" t="s">
        <v>582</v>
      </c>
      <c r="AO200" t="s">
        <v>4043</v>
      </c>
      <c r="AP200">
        <v>1</v>
      </c>
      <c r="AR200" t="s">
        <v>4780</v>
      </c>
      <c r="AS200">
        <v>1</v>
      </c>
      <c r="AT200">
        <v>52</v>
      </c>
      <c r="AV200" t="s">
        <v>4078</v>
      </c>
      <c r="AW200">
        <v>6.4</v>
      </c>
      <c r="AX200">
        <v>-6</v>
      </c>
      <c r="AY200">
        <v>110</v>
      </c>
      <c r="AZ200">
        <v>80</v>
      </c>
      <c r="BH200">
        <v>110</v>
      </c>
      <c r="BI200">
        <v>30</v>
      </c>
      <c r="BJ200">
        <v>80</v>
      </c>
      <c r="BK200">
        <v>2.5</v>
      </c>
      <c r="BL200">
        <v>220</v>
      </c>
      <c r="BM200">
        <v>-6</v>
      </c>
      <c r="BN200">
        <v>0</v>
      </c>
      <c r="BO200">
        <v>0</v>
      </c>
      <c r="BP200">
        <v>0</v>
      </c>
      <c r="BR200">
        <v>215</v>
      </c>
      <c r="BS200">
        <v>205</v>
      </c>
      <c r="BT200">
        <v>1970</v>
      </c>
      <c r="BU200" t="s">
        <v>4047</v>
      </c>
      <c r="BV200" t="s">
        <v>4096</v>
      </c>
      <c r="BW200" t="s">
        <v>4049</v>
      </c>
      <c r="BX200" t="s">
        <v>4097</v>
      </c>
      <c r="BY200" t="s">
        <v>4116</v>
      </c>
      <c r="BZ200" t="s">
        <v>4192</v>
      </c>
      <c r="CA200" t="s">
        <v>4118</v>
      </c>
      <c r="CB200" t="s">
        <v>4119</v>
      </c>
      <c r="CC200" t="s">
        <v>4053</v>
      </c>
      <c r="CD200" t="s">
        <v>4121</v>
      </c>
      <c r="CE200" t="s">
        <v>4055</v>
      </c>
      <c r="CF200" t="s">
        <v>4055</v>
      </c>
      <c r="CG200" t="s">
        <v>4056</v>
      </c>
      <c r="CH200" t="s">
        <v>4099</v>
      </c>
      <c r="CI200" t="s">
        <v>4058</v>
      </c>
      <c r="CJ200" t="s">
        <v>4059</v>
      </c>
      <c r="CK200" t="s">
        <v>4060</v>
      </c>
      <c r="CL200" t="s">
        <v>4061</v>
      </c>
      <c r="CM200" t="s">
        <v>4055</v>
      </c>
      <c r="CN200" t="s">
        <v>4062</v>
      </c>
      <c r="CO200" t="s">
        <v>4063</v>
      </c>
      <c r="CP200" t="s">
        <v>4055</v>
      </c>
      <c r="CQ200" t="s">
        <v>4055</v>
      </c>
      <c r="CR200">
        <v>5</v>
      </c>
      <c r="CS200" t="s">
        <v>4055</v>
      </c>
      <c r="CT200" t="s">
        <v>4055</v>
      </c>
      <c r="CU200" t="s">
        <v>4055</v>
      </c>
      <c r="CV200">
        <v>131</v>
      </c>
      <c r="CW200">
        <v>3</v>
      </c>
      <c r="CX200">
        <v>94</v>
      </c>
      <c r="CY200">
        <v>5</v>
      </c>
      <c r="CZ200">
        <v>87</v>
      </c>
      <c r="DA200">
        <v>5</v>
      </c>
      <c r="DB200">
        <v>11880</v>
      </c>
      <c r="DC200">
        <v>350</v>
      </c>
      <c r="DD200">
        <v>321</v>
      </c>
      <c r="DE200">
        <v>2093</v>
      </c>
      <c r="DF200">
        <v>2093</v>
      </c>
      <c r="DG200">
        <v>2104</v>
      </c>
      <c r="DH200" t="s">
        <v>4055</v>
      </c>
      <c r="DI200" t="s">
        <v>4055</v>
      </c>
      <c r="DJ200" t="s">
        <v>4132</v>
      </c>
      <c r="DK200">
        <v>215</v>
      </c>
      <c r="DL200" t="s">
        <v>4065</v>
      </c>
      <c r="DM200">
        <v>63</v>
      </c>
      <c r="DN200">
        <v>1.1</v>
      </c>
      <c r="DO200">
        <v>1</v>
      </c>
      <c r="DP200">
        <v>1973</v>
      </c>
      <c r="DQ200">
        <v>917</v>
      </c>
      <c r="DR200" t="s">
        <v>4132</v>
      </c>
      <c r="DS200">
        <v>205</v>
      </c>
      <c r="DT200" t="s">
        <v>4065</v>
      </c>
      <c r="DU200">
        <v>63</v>
      </c>
      <c r="DV200">
        <v>1.1</v>
      </c>
      <c r="DW200">
        <v>1</v>
      </c>
      <c r="DX200">
        <v>1985</v>
      </c>
      <c r="DY200">
        <v>879</v>
      </c>
      <c r="DZ200" t="s">
        <v>4066</v>
      </c>
      <c r="EA200">
        <v>20</v>
      </c>
      <c r="EB200" t="s">
        <v>4065</v>
      </c>
      <c r="EC200">
        <v>0.8</v>
      </c>
      <c r="ED200">
        <v>1973</v>
      </c>
      <c r="EE200">
        <v>69</v>
      </c>
      <c r="EG200">
        <v>0</v>
      </c>
      <c r="EH200" t="s">
        <v>4065</v>
      </c>
      <c r="EI200">
        <v>0</v>
      </c>
      <c r="EL200" t="s">
        <v>1528</v>
      </c>
      <c r="EM200">
        <v>12</v>
      </c>
      <c r="EN200">
        <v>0.5</v>
      </c>
      <c r="EO200">
        <v>0.96</v>
      </c>
      <c r="EP200">
        <v>1983.83</v>
      </c>
      <c r="EQ200">
        <v>35956.92</v>
      </c>
      <c r="ER200">
        <v>9327.48</v>
      </c>
      <c r="ES200">
        <v>0</v>
      </c>
      <c r="ET200">
        <v>0</v>
      </c>
      <c r="EU200">
        <v>1</v>
      </c>
      <c r="EV200">
        <v>45285</v>
      </c>
      <c r="EW200">
        <v>544</v>
      </c>
      <c r="EX200" t="s">
        <v>4755</v>
      </c>
      <c r="EY200">
        <v>228</v>
      </c>
      <c r="EZ200" t="s">
        <v>4055</v>
      </c>
      <c r="FA200">
        <v>3.5</v>
      </c>
      <c r="FB200">
        <v>1</v>
      </c>
      <c r="FC200">
        <v>1</v>
      </c>
      <c r="FD200">
        <v>2018</v>
      </c>
      <c r="FE200">
        <v>1946</v>
      </c>
      <c r="FF200" t="s">
        <v>4756</v>
      </c>
      <c r="FG200">
        <v>228</v>
      </c>
      <c r="FH200" t="s">
        <v>4055</v>
      </c>
      <c r="FI200">
        <v>4.9</v>
      </c>
      <c r="FJ200">
        <v>2018</v>
      </c>
      <c r="FK200">
        <v>2771</v>
      </c>
      <c r="FL200" t="s">
        <v>4069</v>
      </c>
      <c r="FM200" t="s">
        <v>4055</v>
      </c>
      <c r="FN200" t="s">
        <v>4055</v>
      </c>
      <c r="FO200" t="s">
        <v>4055</v>
      </c>
      <c r="FP200">
        <v>2018</v>
      </c>
      <c r="FQ200">
        <v>161</v>
      </c>
      <c r="FR200" t="s">
        <v>4090</v>
      </c>
      <c r="FS200">
        <v>232</v>
      </c>
      <c r="FT200" t="s">
        <v>4055</v>
      </c>
      <c r="FU200">
        <v>0.4</v>
      </c>
      <c r="FV200">
        <v>2018</v>
      </c>
      <c r="FW200">
        <v>208</v>
      </c>
      <c r="FX200" t="s">
        <v>4070</v>
      </c>
      <c r="FY200">
        <v>5</v>
      </c>
      <c r="FZ200" t="s">
        <v>4055</v>
      </c>
      <c r="GA200" t="s">
        <v>4055</v>
      </c>
      <c r="GB200">
        <v>2018</v>
      </c>
      <c r="GC200">
        <v>21</v>
      </c>
      <c r="GD200">
        <v>5107</v>
      </c>
      <c r="GE200" t="s">
        <v>4780</v>
      </c>
      <c r="GF200" t="s">
        <v>4055</v>
      </c>
      <c r="GG200" t="s">
        <v>4055</v>
      </c>
      <c r="GH200" t="s">
        <v>4055</v>
      </c>
      <c r="GI200" t="s">
        <v>4071</v>
      </c>
      <c r="GJ200" t="s">
        <v>4055</v>
      </c>
      <c r="GK200" t="s">
        <v>4055</v>
      </c>
      <c r="GL200" t="s">
        <v>4055</v>
      </c>
      <c r="GM200" t="s">
        <v>4055</v>
      </c>
      <c r="GQ200">
        <v>0</v>
      </c>
      <c r="GV200">
        <v>8.800000000000001</v>
      </c>
      <c r="GW200">
        <v>11.8</v>
      </c>
      <c r="GX200">
        <v>0.5</v>
      </c>
      <c r="GY200">
        <v>206</v>
      </c>
      <c r="GZ200">
        <v>3</v>
      </c>
      <c r="HA200">
        <v>248</v>
      </c>
      <c r="HB200">
        <v>3</v>
      </c>
      <c r="HC200">
        <v>2018</v>
      </c>
      <c r="HD200">
        <v>4</v>
      </c>
      <c r="HE200" t="s">
        <v>4071</v>
      </c>
      <c r="HG200" t="s">
        <v>549</v>
      </c>
      <c r="HL200">
        <v>4</v>
      </c>
      <c r="HM200">
        <v>18</v>
      </c>
      <c r="HN200">
        <v>6</v>
      </c>
      <c r="HO200">
        <v>1</v>
      </c>
      <c r="HP200">
        <v>0</v>
      </c>
      <c r="HQ200">
        <v>0</v>
      </c>
      <c r="HR200">
        <v>3</v>
      </c>
      <c r="HS200">
        <v>1970</v>
      </c>
      <c r="HT200">
        <v>5</v>
      </c>
      <c r="HU200">
        <v>1</v>
      </c>
      <c r="HV200">
        <v>5</v>
      </c>
      <c r="HW200">
        <v>0</v>
      </c>
      <c r="HX200">
        <v>1</v>
      </c>
      <c r="HY200">
        <v>0</v>
      </c>
      <c r="HZ200">
        <v>63</v>
      </c>
      <c r="IA200">
        <v>1973</v>
      </c>
      <c r="IB200">
        <v>1985</v>
      </c>
      <c r="ID200">
        <v>2018</v>
      </c>
      <c r="IE200">
        <v>2018</v>
      </c>
      <c r="IF200">
        <v>215</v>
      </c>
      <c r="IG200">
        <v>205</v>
      </c>
      <c r="IH200">
        <v>248</v>
      </c>
      <c r="II200">
        <v>1</v>
      </c>
      <c r="IJ200">
        <v>5</v>
      </c>
      <c r="IK200">
        <v>0</v>
      </c>
      <c r="IL200">
        <v>0</v>
      </c>
      <c r="IM200">
        <v>0</v>
      </c>
      <c r="IN200">
        <v>270</v>
      </c>
      <c r="IO200">
        <v>0</v>
      </c>
      <c r="IP200">
        <v>180</v>
      </c>
      <c r="IQ200">
        <v>0</v>
      </c>
      <c r="IR200">
        <v>330</v>
      </c>
      <c r="IS200">
        <v>0</v>
      </c>
      <c r="IT200">
        <v>90</v>
      </c>
      <c r="IU200">
        <v>0</v>
      </c>
      <c r="IV200">
        <v>6.4</v>
      </c>
      <c r="IW200">
        <v>-6</v>
      </c>
      <c r="IX200">
        <v>110</v>
      </c>
      <c r="IY200">
        <v>80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366</v>
      </c>
      <c r="JJ200">
        <v>336</v>
      </c>
      <c r="JK200">
        <v>250</v>
      </c>
      <c r="JL200">
        <v>332</v>
      </c>
      <c r="JM200">
        <v>266</v>
      </c>
      <c r="JN200">
        <v>210</v>
      </c>
      <c r="JO200">
        <v>258</v>
      </c>
      <c r="JP200">
        <v>200</v>
      </c>
      <c r="JQ200">
        <v>260</v>
      </c>
      <c r="JR200">
        <v>306</v>
      </c>
      <c r="JS200">
        <v>260</v>
      </c>
      <c r="JT200">
        <v>0</v>
      </c>
      <c r="JU200">
        <v>0</v>
      </c>
      <c r="JV200">
        <v>301</v>
      </c>
      <c r="JW200">
        <v>291</v>
      </c>
      <c r="JX200">
        <v>286</v>
      </c>
      <c r="JY200">
        <v>266</v>
      </c>
      <c r="JZ200">
        <v>0.5</v>
      </c>
      <c r="KA200">
        <v>0.2</v>
      </c>
      <c r="KB200">
        <v>0.4</v>
      </c>
      <c r="KC200">
        <v>0.42</v>
      </c>
      <c r="KD200">
        <v>0.28</v>
      </c>
      <c r="KE200">
        <v>0.5</v>
      </c>
      <c r="KF200">
        <v>0.18</v>
      </c>
      <c r="KG200">
        <v>0.11</v>
      </c>
      <c r="KH200">
        <v>3.5</v>
      </c>
      <c r="KI200">
        <v>1</v>
      </c>
      <c r="KJ200">
        <v>4.5</v>
      </c>
      <c r="KK200">
        <v>0</v>
      </c>
      <c r="KL200">
        <v>4.5</v>
      </c>
      <c r="KM200">
        <v>0</v>
      </c>
      <c r="KN200">
        <v>1.8</v>
      </c>
      <c r="KO200">
        <v>0</v>
      </c>
      <c r="KP200">
        <v>0</v>
      </c>
      <c r="KQ200">
        <v>0.7</v>
      </c>
      <c r="KR200">
        <v>0.8</v>
      </c>
      <c r="KS200">
        <v>0</v>
      </c>
      <c r="KT200">
        <v>2.1</v>
      </c>
      <c r="KU200">
        <v>0</v>
      </c>
      <c r="KV200">
        <v>0</v>
      </c>
      <c r="KW200">
        <v>0.8</v>
      </c>
      <c r="KX200">
        <v>1.5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3</v>
      </c>
      <c r="LI200">
        <v>0.5</v>
      </c>
      <c r="LJ200">
        <v>0</v>
      </c>
      <c r="LK200">
        <v>7</v>
      </c>
      <c r="LL200">
        <v>4</v>
      </c>
      <c r="LM200">
        <v>7</v>
      </c>
      <c r="LN200">
        <v>0.1</v>
      </c>
      <c r="LO200">
        <v>0.1</v>
      </c>
      <c r="LP200">
        <v>0</v>
      </c>
      <c r="LQ200">
        <v>0</v>
      </c>
      <c r="LR200">
        <v>0</v>
      </c>
      <c r="LS200">
        <v>1</v>
      </c>
      <c r="LT200">
        <v>0</v>
      </c>
      <c r="LU200">
        <v>0</v>
      </c>
      <c r="LV200">
        <v>0</v>
      </c>
      <c r="LW200">
        <v>3.5</v>
      </c>
      <c r="LX200">
        <v>3.5</v>
      </c>
      <c r="LY200">
        <v>2.1</v>
      </c>
      <c r="LZ200">
        <v>2.1</v>
      </c>
      <c r="MA200">
        <v>0</v>
      </c>
      <c r="MB200">
        <v>4.5</v>
      </c>
      <c r="MC200">
        <v>1</v>
      </c>
      <c r="MD200">
        <v>4.5</v>
      </c>
      <c r="ME200">
        <v>6</v>
      </c>
      <c r="MF200">
        <v>6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390</v>
      </c>
      <c r="MN200">
        <v>210</v>
      </c>
      <c r="MO200">
        <v>258</v>
      </c>
      <c r="NU200">
        <v>0.15</v>
      </c>
      <c r="NV200">
        <v>0.2</v>
      </c>
      <c r="NW200">
        <v>0.2</v>
      </c>
      <c r="NX200">
        <v>0.2</v>
      </c>
      <c r="NY200">
        <v>0.2</v>
      </c>
      <c r="NZ200">
        <v>0.2</v>
      </c>
      <c r="OE200" t="s">
        <v>4780</v>
      </c>
      <c r="OF200" t="s">
        <v>4306</v>
      </c>
      <c r="OG200" t="s">
        <v>4307</v>
      </c>
      <c r="OH200" t="s">
        <v>4043</v>
      </c>
      <c r="OI200" t="s">
        <v>4780</v>
      </c>
      <c r="OJ200" t="s">
        <v>4779</v>
      </c>
      <c r="OK200">
        <v>61</v>
      </c>
      <c r="OL200">
        <v>61</v>
      </c>
      <c r="OM200" t="s">
        <v>4306</v>
      </c>
      <c r="ON200">
        <v>1</v>
      </c>
      <c r="OO200">
        <v>1973</v>
      </c>
      <c r="OP200">
        <v>61</v>
      </c>
      <c r="OQ200">
        <v>61</v>
      </c>
      <c r="OR200" t="s">
        <v>4307</v>
      </c>
      <c r="OS200">
        <v>1</v>
      </c>
      <c r="OT200">
        <v>1985</v>
      </c>
      <c r="OU200">
        <v>65</v>
      </c>
      <c r="OV200">
        <v>65</v>
      </c>
      <c r="OW200" t="s">
        <v>4043</v>
      </c>
      <c r="OX200">
        <v>2</v>
      </c>
      <c r="OY200">
        <v>45285</v>
      </c>
      <c r="OZ200">
        <v>51</v>
      </c>
      <c r="PA200">
        <v>52</v>
      </c>
      <c r="PB200" t="s">
        <v>4780</v>
      </c>
      <c r="PC200">
        <v>1</v>
      </c>
      <c r="PD200">
        <v>2018</v>
      </c>
      <c r="PF200">
        <v>465</v>
      </c>
      <c r="PG200">
        <v>35</v>
      </c>
      <c r="PH200">
        <v>443</v>
      </c>
      <c r="PI200">
        <v>0</v>
      </c>
      <c r="PJ200">
        <v>80</v>
      </c>
      <c r="PL200">
        <v>964.5</v>
      </c>
      <c r="PM200">
        <v>1372.9</v>
      </c>
      <c r="PN200">
        <v>103.2</v>
      </c>
      <c r="PO200">
        <v>10.2</v>
      </c>
      <c r="PP200">
        <v>12</v>
      </c>
      <c r="PQ200">
        <v>3</v>
      </c>
      <c r="PR200">
        <v>3</v>
      </c>
      <c r="PS200">
        <v>8</v>
      </c>
      <c r="PT200">
        <v>248</v>
      </c>
      <c r="PU200">
        <v>10</v>
      </c>
      <c r="PV200" t="s">
        <v>4072</v>
      </c>
      <c r="PW200" t="s">
        <v>4072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-1</v>
      </c>
      <c r="QF200">
        <v>1</v>
      </c>
      <c r="QG200">
        <v>0</v>
      </c>
      <c r="QH200">
        <v>5</v>
      </c>
      <c r="QI200">
        <v>5</v>
      </c>
      <c r="QJ200">
        <v>5</v>
      </c>
      <c r="QK200">
        <v>178</v>
      </c>
      <c r="QL200">
        <v>400</v>
      </c>
      <c r="QM200">
        <v>7.5</v>
      </c>
      <c r="QN200">
        <v>1461.1</v>
      </c>
      <c r="QO200" t="s">
        <v>2662</v>
      </c>
      <c r="QP200" t="s">
        <v>513</v>
      </c>
      <c r="QQ200">
        <v>0</v>
      </c>
      <c r="QR200" t="s">
        <v>1496</v>
      </c>
      <c r="QS200">
        <v>30</v>
      </c>
      <c r="QT200">
        <v>40</v>
      </c>
    </row>
    <row r="201" spans="1:462">
      <c r="A201" t="s">
        <v>2733</v>
      </c>
      <c r="B201" t="s">
        <v>629</v>
      </c>
      <c r="C201" t="s">
        <v>509</v>
      </c>
      <c r="D201" t="s">
        <v>1346</v>
      </c>
      <c r="E201" t="s">
        <v>4036</v>
      </c>
      <c r="H201" t="s">
        <v>561</v>
      </c>
      <c r="J201" t="s">
        <v>562</v>
      </c>
      <c r="K201" t="s">
        <v>563</v>
      </c>
      <c r="L201" t="s">
        <v>711</v>
      </c>
      <c r="M201" t="s">
        <v>512</v>
      </c>
      <c r="O201" t="s">
        <v>513</v>
      </c>
      <c r="P201" t="s">
        <v>517</v>
      </c>
      <c r="Q201" t="s">
        <v>866</v>
      </c>
      <c r="R201" t="s">
        <v>867</v>
      </c>
      <c r="S201" t="s">
        <v>4134</v>
      </c>
      <c r="T201" t="s">
        <v>570</v>
      </c>
      <c r="U201" t="s">
        <v>571</v>
      </c>
      <c r="V201" t="s">
        <v>1309</v>
      </c>
      <c r="W201" t="s">
        <v>2657</v>
      </c>
      <c r="X201" t="s">
        <v>2734</v>
      </c>
      <c r="Y201" t="s">
        <v>2735</v>
      </c>
      <c r="Z201" t="s">
        <v>541</v>
      </c>
      <c r="AA201" t="s">
        <v>4038</v>
      </c>
      <c r="AB201" t="s">
        <v>4781</v>
      </c>
      <c r="AC201">
        <v>9</v>
      </c>
      <c r="AD201" t="s">
        <v>2732</v>
      </c>
      <c r="AE201">
        <v>4</v>
      </c>
      <c r="AF201">
        <v>5685</v>
      </c>
      <c r="AG201" t="s">
        <v>4335</v>
      </c>
      <c r="AH201">
        <v>1</v>
      </c>
      <c r="AI201" t="s">
        <v>4041</v>
      </c>
      <c r="AK201" t="s">
        <v>4336</v>
      </c>
      <c r="AL201">
        <v>1</v>
      </c>
      <c r="AM201" t="s">
        <v>582</v>
      </c>
      <c r="AO201" t="s">
        <v>4043</v>
      </c>
      <c r="AP201">
        <v>1</v>
      </c>
      <c r="AR201" t="s">
        <v>4782</v>
      </c>
      <c r="AS201">
        <v>1</v>
      </c>
      <c r="AT201">
        <v>52</v>
      </c>
      <c r="AV201" t="s">
        <v>4078</v>
      </c>
      <c r="AW201">
        <v>6.4</v>
      </c>
      <c r="AX201">
        <v>-6</v>
      </c>
      <c r="AY201">
        <v>112.5</v>
      </c>
      <c r="AZ201">
        <v>83</v>
      </c>
      <c r="BH201">
        <v>112.5</v>
      </c>
      <c r="BI201">
        <v>29.5</v>
      </c>
      <c r="BJ201">
        <v>83</v>
      </c>
      <c r="BK201">
        <v>2.5</v>
      </c>
      <c r="BL201">
        <v>225</v>
      </c>
      <c r="BM201">
        <v>-6</v>
      </c>
      <c r="BN201">
        <v>0</v>
      </c>
      <c r="BO201">
        <v>0</v>
      </c>
      <c r="BP201">
        <v>0</v>
      </c>
      <c r="BR201">
        <v>220</v>
      </c>
      <c r="BS201">
        <v>210</v>
      </c>
      <c r="BT201">
        <v>2155</v>
      </c>
      <c r="BU201" t="s">
        <v>4127</v>
      </c>
      <c r="BV201" t="s">
        <v>4127</v>
      </c>
      <c r="BW201" t="s">
        <v>4128</v>
      </c>
      <c r="BX201" t="s">
        <v>4128</v>
      </c>
      <c r="BY201" t="s">
        <v>4139</v>
      </c>
      <c r="BZ201" t="s">
        <v>4164</v>
      </c>
      <c r="CA201" t="s">
        <v>4084</v>
      </c>
      <c r="CB201" t="s">
        <v>4085</v>
      </c>
      <c r="CC201" t="s">
        <v>4053</v>
      </c>
      <c r="CD201" t="s">
        <v>4055</v>
      </c>
      <c r="CE201" t="s">
        <v>4055</v>
      </c>
      <c r="CF201" t="s">
        <v>4055</v>
      </c>
      <c r="CG201" t="s">
        <v>4056</v>
      </c>
      <c r="CI201" t="s">
        <v>4086</v>
      </c>
      <c r="CJ201" t="s">
        <v>4059</v>
      </c>
      <c r="CK201" t="s">
        <v>4060</v>
      </c>
      <c r="CL201" t="s">
        <v>4061</v>
      </c>
      <c r="CM201" t="s">
        <v>4055</v>
      </c>
      <c r="CN201" t="s">
        <v>4062</v>
      </c>
      <c r="CO201" t="s">
        <v>4063</v>
      </c>
      <c r="CP201" t="s">
        <v>4055</v>
      </c>
      <c r="CQ201" t="s">
        <v>4055</v>
      </c>
      <c r="CR201">
        <v>5</v>
      </c>
      <c r="CS201" t="s">
        <v>4055</v>
      </c>
      <c r="CT201" t="s">
        <v>4055</v>
      </c>
      <c r="CU201" t="s">
        <v>4055</v>
      </c>
      <c r="CV201">
        <v>136</v>
      </c>
      <c r="CW201">
        <v>3</v>
      </c>
      <c r="CX201">
        <v>101</v>
      </c>
      <c r="CY201">
        <v>5</v>
      </c>
      <c r="CZ201">
        <v>154</v>
      </c>
      <c r="DA201">
        <v>5</v>
      </c>
      <c r="DB201">
        <v>14040</v>
      </c>
      <c r="DC201">
        <v>420</v>
      </c>
      <c r="DD201">
        <v>342</v>
      </c>
      <c r="DE201">
        <v>2278</v>
      </c>
      <c r="DF201">
        <v>2278</v>
      </c>
      <c r="DG201">
        <v>2295</v>
      </c>
      <c r="DH201">
        <v>2</v>
      </c>
      <c r="DI201" t="s">
        <v>4055</v>
      </c>
      <c r="DJ201" t="s">
        <v>4132</v>
      </c>
      <c r="DK201">
        <v>220</v>
      </c>
      <c r="DL201" t="s">
        <v>4065</v>
      </c>
      <c r="DM201">
        <v>63</v>
      </c>
      <c r="DN201">
        <v>1.1</v>
      </c>
      <c r="DO201">
        <v>1</v>
      </c>
      <c r="DP201">
        <v>2158</v>
      </c>
      <c r="DQ201">
        <v>1027</v>
      </c>
      <c r="DR201" t="s">
        <v>4132</v>
      </c>
      <c r="DS201">
        <v>210</v>
      </c>
      <c r="DT201" t="s">
        <v>4065</v>
      </c>
      <c r="DU201">
        <v>63</v>
      </c>
      <c r="DV201">
        <v>1.1</v>
      </c>
      <c r="DW201">
        <v>1</v>
      </c>
      <c r="DX201">
        <v>2170</v>
      </c>
      <c r="DY201">
        <v>985</v>
      </c>
      <c r="DZ201" t="s">
        <v>4066</v>
      </c>
      <c r="EA201">
        <v>20</v>
      </c>
      <c r="EB201" t="s">
        <v>4065</v>
      </c>
      <c r="EC201">
        <v>0.8</v>
      </c>
      <c r="ED201">
        <v>2158</v>
      </c>
      <c r="EE201">
        <v>76</v>
      </c>
      <c r="EG201">
        <v>0</v>
      </c>
      <c r="EH201" t="s">
        <v>4065</v>
      </c>
      <c r="EI201">
        <v>0</v>
      </c>
      <c r="EL201" t="s">
        <v>1528</v>
      </c>
      <c r="EM201">
        <v>12</v>
      </c>
      <c r="EN201">
        <v>0.5</v>
      </c>
      <c r="EO201">
        <v>0.96</v>
      </c>
      <c r="EP201">
        <v>2168.83</v>
      </c>
      <c r="EQ201">
        <v>40157.24</v>
      </c>
      <c r="ER201">
        <v>10024.75</v>
      </c>
      <c r="ES201">
        <v>0</v>
      </c>
      <c r="ET201">
        <v>0</v>
      </c>
      <c r="EU201">
        <v>1</v>
      </c>
      <c r="EV201">
        <v>50182</v>
      </c>
      <c r="EW201">
        <v>603</v>
      </c>
      <c r="EX201" t="s">
        <v>4755</v>
      </c>
      <c r="EY201">
        <v>238</v>
      </c>
      <c r="EZ201" t="s">
        <v>4055</v>
      </c>
      <c r="FA201">
        <v>4.6</v>
      </c>
      <c r="FB201">
        <v>1</v>
      </c>
      <c r="FC201">
        <v>1</v>
      </c>
      <c r="FD201">
        <v>2203</v>
      </c>
      <c r="FE201">
        <v>2720</v>
      </c>
      <c r="FF201" t="s">
        <v>4756</v>
      </c>
      <c r="FG201">
        <v>238</v>
      </c>
      <c r="FH201" t="s">
        <v>4055</v>
      </c>
      <c r="FI201">
        <v>3.8</v>
      </c>
      <c r="FJ201">
        <v>2203</v>
      </c>
      <c r="FK201">
        <v>2495</v>
      </c>
      <c r="FL201" t="s">
        <v>4069</v>
      </c>
      <c r="FM201" t="s">
        <v>4055</v>
      </c>
      <c r="FN201" t="s">
        <v>4055</v>
      </c>
      <c r="FO201" t="s">
        <v>4055</v>
      </c>
      <c r="FP201">
        <v>2203</v>
      </c>
      <c r="FQ201">
        <v>187</v>
      </c>
      <c r="FR201" t="s">
        <v>4090</v>
      </c>
      <c r="FS201">
        <v>242</v>
      </c>
      <c r="FT201" t="s">
        <v>4055</v>
      </c>
      <c r="FU201">
        <v>0.4</v>
      </c>
      <c r="FV201">
        <v>2203</v>
      </c>
      <c r="FW201">
        <v>237</v>
      </c>
      <c r="FX201" t="s">
        <v>4070</v>
      </c>
      <c r="FY201">
        <v>5</v>
      </c>
      <c r="FZ201" t="s">
        <v>4055</v>
      </c>
      <c r="GA201" t="s">
        <v>4055</v>
      </c>
      <c r="GB201">
        <v>2203</v>
      </c>
      <c r="GC201">
        <v>22</v>
      </c>
      <c r="GD201">
        <v>5661</v>
      </c>
      <c r="GE201" t="s">
        <v>4782</v>
      </c>
      <c r="GF201" t="s">
        <v>4055</v>
      </c>
      <c r="GG201" t="s">
        <v>4055</v>
      </c>
      <c r="GH201" t="s">
        <v>4055</v>
      </c>
      <c r="GI201" t="s">
        <v>4071</v>
      </c>
      <c r="GJ201" t="s">
        <v>4055</v>
      </c>
      <c r="GK201" t="s">
        <v>4055</v>
      </c>
      <c r="GL201" t="s">
        <v>4055</v>
      </c>
      <c r="GM201" t="s">
        <v>4055</v>
      </c>
      <c r="GQ201">
        <v>0</v>
      </c>
      <c r="GV201">
        <v>8.800000000000001</v>
      </c>
      <c r="GW201">
        <v>11</v>
      </c>
      <c r="GX201">
        <v>0.5</v>
      </c>
      <c r="GY201">
        <v>212</v>
      </c>
      <c r="GZ201">
        <v>3</v>
      </c>
      <c r="HA201">
        <v>258</v>
      </c>
      <c r="HB201">
        <v>3</v>
      </c>
      <c r="HC201">
        <v>2203</v>
      </c>
      <c r="HD201">
        <v>4</v>
      </c>
      <c r="HE201" t="s">
        <v>4071</v>
      </c>
      <c r="HG201" t="s">
        <v>549</v>
      </c>
      <c r="HL201">
        <v>4</v>
      </c>
      <c r="HM201">
        <v>20</v>
      </c>
      <c r="HN201">
        <v>6</v>
      </c>
      <c r="HO201">
        <v>1</v>
      </c>
      <c r="HP201">
        <v>0</v>
      </c>
      <c r="HQ201">
        <v>0</v>
      </c>
      <c r="HR201">
        <v>2</v>
      </c>
      <c r="HS201">
        <v>2155</v>
      </c>
      <c r="HT201">
        <v>5</v>
      </c>
      <c r="HU201">
        <v>1</v>
      </c>
      <c r="HV201">
        <v>5</v>
      </c>
      <c r="HW201">
        <v>0</v>
      </c>
      <c r="HX201">
        <v>1</v>
      </c>
      <c r="HY201">
        <v>0</v>
      </c>
      <c r="HZ201">
        <v>63</v>
      </c>
      <c r="IA201">
        <v>2158</v>
      </c>
      <c r="IB201">
        <v>2170</v>
      </c>
      <c r="ID201">
        <v>2203</v>
      </c>
      <c r="IE201">
        <v>2203</v>
      </c>
      <c r="IF201">
        <v>220</v>
      </c>
      <c r="IG201">
        <v>210</v>
      </c>
      <c r="IH201">
        <v>258</v>
      </c>
      <c r="II201">
        <v>1</v>
      </c>
      <c r="IJ201">
        <v>5</v>
      </c>
      <c r="IK201">
        <v>0</v>
      </c>
      <c r="IL201">
        <v>0</v>
      </c>
      <c r="IM201">
        <v>0</v>
      </c>
      <c r="IN201">
        <v>270</v>
      </c>
      <c r="IO201">
        <v>0</v>
      </c>
      <c r="IP201">
        <v>180</v>
      </c>
      <c r="IQ201">
        <v>0</v>
      </c>
      <c r="IR201">
        <v>330</v>
      </c>
      <c r="IS201">
        <v>0</v>
      </c>
      <c r="IT201">
        <v>90</v>
      </c>
      <c r="IU201">
        <v>0</v>
      </c>
      <c r="IV201">
        <v>6.4</v>
      </c>
      <c r="IW201">
        <v>-6</v>
      </c>
      <c r="IX201">
        <v>112.5</v>
      </c>
      <c r="IY201">
        <v>83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388</v>
      </c>
      <c r="JJ201">
        <v>358</v>
      </c>
      <c r="JK201">
        <v>260</v>
      </c>
      <c r="JL201">
        <v>354</v>
      </c>
      <c r="JM201">
        <v>270</v>
      </c>
      <c r="JN201">
        <v>215</v>
      </c>
      <c r="JO201">
        <v>272</v>
      </c>
      <c r="JP201">
        <v>190</v>
      </c>
      <c r="JQ201">
        <v>250</v>
      </c>
      <c r="JR201">
        <v>295</v>
      </c>
      <c r="JS201">
        <v>215</v>
      </c>
      <c r="JT201">
        <v>0</v>
      </c>
      <c r="JU201">
        <v>0</v>
      </c>
      <c r="JV201">
        <v>290</v>
      </c>
      <c r="JW201">
        <v>280</v>
      </c>
      <c r="JX201">
        <v>275</v>
      </c>
      <c r="JY201">
        <v>255</v>
      </c>
      <c r="JZ201">
        <v>0.5</v>
      </c>
      <c r="KA201">
        <v>0.2</v>
      </c>
      <c r="KB201">
        <v>0.4</v>
      </c>
      <c r="KC201">
        <v>0.42</v>
      </c>
      <c r="KD201">
        <v>0.28</v>
      </c>
      <c r="KE201">
        <v>0.5</v>
      </c>
      <c r="KF201">
        <v>0.18</v>
      </c>
      <c r="KG201">
        <v>0.11</v>
      </c>
      <c r="KH201">
        <v>3.5</v>
      </c>
      <c r="KI201">
        <v>1</v>
      </c>
      <c r="KJ201">
        <v>4.5</v>
      </c>
      <c r="KK201">
        <v>0</v>
      </c>
      <c r="KL201">
        <v>4.5</v>
      </c>
      <c r="KM201">
        <v>0</v>
      </c>
      <c r="KN201">
        <v>1.8</v>
      </c>
      <c r="KO201">
        <v>0</v>
      </c>
      <c r="KP201">
        <v>0</v>
      </c>
      <c r="KQ201">
        <v>0.8</v>
      </c>
      <c r="KR201">
        <v>0.8</v>
      </c>
      <c r="KS201">
        <v>0</v>
      </c>
      <c r="KT201">
        <v>3.5</v>
      </c>
      <c r="KU201">
        <v>0</v>
      </c>
      <c r="KV201">
        <v>0</v>
      </c>
      <c r="KW201">
        <v>1.2</v>
      </c>
      <c r="KX201">
        <v>2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3</v>
      </c>
      <c r="LI201">
        <v>0.5</v>
      </c>
      <c r="LJ201">
        <v>0</v>
      </c>
      <c r="LK201">
        <v>8</v>
      </c>
      <c r="LL201">
        <v>4</v>
      </c>
      <c r="LM201">
        <v>9</v>
      </c>
      <c r="LN201">
        <v>1</v>
      </c>
      <c r="LO201">
        <v>3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1.8</v>
      </c>
      <c r="LX201">
        <v>1.8</v>
      </c>
      <c r="LY201">
        <v>2.1</v>
      </c>
      <c r="LZ201">
        <v>2.1</v>
      </c>
      <c r="MA201">
        <v>0</v>
      </c>
      <c r="MB201">
        <v>2.5</v>
      </c>
      <c r="MC201">
        <v>0</v>
      </c>
      <c r="MD201">
        <v>4.5</v>
      </c>
      <c r="ME201">
        <v>6</v>
      </c>
      <c r="MF201">
        <v>6</v>
      </c>
      <c r="MI201">
        <v>0</v>
      </c>
      <c r="MJ201">
        <v>0</v>
      </c>
      <c r="ML201">
        <v>0</v>
      </c>
      <c r="MM201">
        <v>420</v>
      </c>
      <c r="MN201">
        <v>215</v>
      </c>
      <c r="MO201">
        <v>272</v>
      </c>
      <c r="NU201">
        <v>0.15</v>
      </c>
      <c r="NV201">
        <v>0.25</v>
      </c>
      <c r="NW201">
        <v>0.3</v>
      </c>
      <c r="NX201">
        <v>0.2</v>
      </c>
      <c r="NY201">
        <v>0.2</v>
      </c>
      <c r="NZ201">
        <v>0.2</v>
      </c>
      <c r="OE201" t="s">
        <v>4782</v>
      </c>
      <c r="OF201" t="s">
        <v>4335</v>
      </c>
      <c r="OG201" t="s">
        <v>4336</v>
      </c>
      <c r="OH201" t="s">
        <v>4043</v>
      </c>
      <c r="OI201" t="s">
        <v>4782</v>
      </c>
      <c r="OJ201" t="s">
        <v>4781</v>
      </c>
      <c r="OK201">
        <v>61</v>
      </c>
      <c r="OL201">
        <v>61</v>
      </c>
      <c r="OM201" t="s">
        <v>4335</v>
      </c>
      <c r="ON201">
        <v>1</v>
      </c>
      <c r="OO201">
        <v>2158</v>
      </c>
      <c r="OP201">
        <v>61</v>
      </c>
      <c r="OQ201">
        <v>61</v>
      </c>
      <c r="OR201" t="s">
        <v>4336</v>
      </c>
      <c r="OS201">
        <v>1</v>
      </c>
      <c r="OT201">
        <v>2170</v>
      </c>
      <c r="OU201">
        <v>65</v>
      </c>
      <c r="OV201">
        <v>65</v>
      </c>
      <c r="OW201" t="s">
        <v>4043</v>
      </c>
      <c r="OX201">
        <v>2</v>
      </c>
      <c r="OY201">
        <v>50182</v>
      </c>
      <c r="OZ201">
        <v>51</v>
      </c>
      <c r="PA201">
        <v>52</v>
      </c>
      <c r="PB201" t="s">
        <v>4782</v>
      </c>
      <c r="PC201">
        <v>1</v>
      </c>
      <c r="PD201">
        <v>2203</v>
      </c>
      <c r="PF201">
        <v>476</v>
      </c>
      <c r="PG201">
        <v>35</v>
      </c>
      <c r="PH201">
        <v>454</v>
      </c>
      <c r="PI201">
        <v>0</v>
      </c>
      <c r="PJ201">
        <v>84.7</v>
      </c>
      <c r="PL201">
        <v>1234.9</v>
      </c>
      <c r="PM201">
        <v>1132.5</v>
      </c>
      <c r="PN201">
        <v>107.7</v>
      </c>
      <c r="PO201">
        <v>10.2</v>
      </c>
      <c r="PP201">
        <v>12</v>
      </c>
      <c r="PQ201">
        <v>5</v>
      </c>
      <c r="PR201">
        <v>5</v>
      </c>
      <c r="PS201">
        <v>0</v>
      </c>
      <c r="PT201">
        <v>258</v>
      </c>
      <c r="PU201">
        <v>10</v>
      </c>
      <c r="PV201" t="s">
        <v>4072</v>
      </c>
      <c r="PW201" t="s">
        <v>4072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-1</v>
      </c>
      <c r="QF201">
        <v>1</v>
      </c>
      <c r="QG201">
        <v>0</v>
      </c>
      <c r="QH201">
        <v>5</v>
      </c>
      <c r="QI201">
        <v>5</v>
      </c>
      <c r="QJ201">
        <v>5</v>
      </c>
      <c r="QK201">
        <v>209</v>
      </c>
      <c r="QL201">
        <v>418</v>
      </c>
      <c r="QM201">
        <v>7.5</v>
      </c>
      <c r="QN201">
        <v>1623.8</v>
      </c>
      <c r="QO201" t="s">
        <v>2662</v>
      </c>
      <c r="QP201" t="s">
        <v>513</v>
      </c>
      <c r="QQ201">
        <v>0</v>
      </c>
      <c r="QR201" t="s">
        <v>596</v>
      </c>
      <c r="QS201">
        <v>40</v>
      </c>
      <c r="QT201">
        <v>50</v>
      </c>
    </row>
    <row r="202" spans="1:462">
      <c r="A202" t="s">
        <v>2741</v>
      </c>
      <c r="B202" t="s">
        <v>804</v>
      </c>
      <c r="C202" t="s">
        <v>509</v>
      </c>
      <c r="D202" t="s">
        <v>2740</v>
      </c>
      <c r="E202" t="s">
        <v>4036</v>
      </c>
      <c r="H202" t="s">
        <v>1088</v>
      </c>
      <c r="L202" t="s">
        <v>508</v>
      </c>
      <c r="M202" t="s">
        <v>512</v>
      </c>
      <c r="N202" t="s">
        <v>515</v>
      </c>
      <c r="O202" t="s">
        <v>513</v>
      </c>
      <c r="P202" t="s">
        <v>517</v>
      </c>
      <c r="Q202" t="s">
        <v>518</v>
      </c>
      <c r="R202" t="s">
        <v>519</v>
      </c>
      <c r="S202" t="s">
        <v>4037</v>
      </c>
      <c r="T202" t="s">
        <v>520</v>
      </c>
      <c r="U202" t="s">
        <v>521</v>
      </c>
      <c r="V202" t="s">
        <v>522</v>
      </c>
      <c r="W202" t="s">
        <v>2742</v>
      </c>
      <c r="X202" t="s">
        <v>2743</v>
      </c>
      <c r="Y202" t="s">
        <v>2744</v>
      </c>
      <c r="Z202" t="s">
        <v>541</v>
      </c>
      <c r="AA202" t="s">
        <v>4038</v>
      </c>
      <c r="AB202" t="s">
        <v>4783</v>
      </c>
      <c r="AC202">
        <v>9</v>
      </c>
      <c r="AD202" t="s">
        <v>2739</v>
      </c>
      <c r="AE202">
        <v>2</v>
      </c>
      <c r="AF202">
        <v>3647</v>
      </c>
      <c r="AG202" t="s">
        <v>4784</v>
      </c>
      <c r="AH202">
        <v>1</v>
      </c>
      <c r="AI202" t="s">
        <v>4041</v>
      </c>
      <c r="AK202" t="s">
        <v>4785</v>
      </c>
      <c r="AL202">
        <v>1</v>
      </c>
      <c r="AM202" t="s">
        <v>582</v>
      </c>
      <c r="AO202" t="s">
        <v>4043</v>
      </c>
      <c r="AP202">
        <v>1</v>
      </c>
      <c r="AR202" t="s">
        <v>4786</v>
      </c>
      <c r="AS202">
        <v>1</v>
      </c>
      <c r="AT202">
        <v>51</v>
      </c>
      <c r="AV202" t="s">
        <v>4045</v>
      </c>
      <c r="AW202">
        <v>6.4</v>
      </c>
      <c r="AX202">
        <v>-6</v>
      </c>
      <c r="AY202">
        <v>90.5</v>
      </c>
      <c r="AZ202">
        <v>81.5</v>
      </c>
      <c r="BH202">
        <v>90.5</v>
      </c>
      <c r="BI202">
        <v>9</v>
      </c>
      <c r="BJ202">
        <v>81.5</v>
      </c>
      <c r="BK202">
        <v>3</v>
      </c>
      <c r="BL202">
        <v>181</v>
      </c>
      <c r="BM202">
        <v>-6</v>
      </c>
      <c r="BN202">
        <v>0</v>
      </c>
      <c r="BP202">
        <v>0</v>
      </c>
      <c r="BR202">
        <v>175</v>
      </c>
      <c r="BS202">
        <v>165</v>
      </c>
      <c r="BT202">
        <v>1840</v>
      </c>
      <c r="BU202" t="s">
        <v>4046</v>
      </c>
      <c r="BV202" t="s">
        <v>4047</v>
      </c>
      <c r="BW202" t="s">
        <v>4048</v>
      </c>
      <c r="BX202" t="s">
        <v>4049</v>
      </c>
      <c r="BY202" t="s">
        <v>4144</v>
      </c>
      <c r="BZ202" t="s">
        <v>4050</v>
      </c>
      <c r="CA202" t="s">
        <v>4051</v>
      </c>
      <c r="CB202" t="s">
        <v>4052</v>
      </c>
      <c r="CC202" t="s">
        <v>4053</v>
      </c>
      <c r="CD202" t="s">
        <v>4054</v>
      </c>
      <c r="CE202" t="s">
        <v>4055</v>
      </c>
      <c r="CF202" t="s">
        <v>4055</v>
      </c>
      <c r="CG202" t="s">
        <v>4056</v>
      </c>
      <c r="CH202" t="s">
        <v>4057</v>
      </c>
      <c r="CI202" t="s">
        <v>4058</v>
      </c>
      <c r="CJ202" t="s">
        <v>4059</v>
      </c>
      <c r="CK202" t="s">
        <v>4060</v>
      </c>
      <c r="CL202" t="s">
        <v>4061</v>
      </c>
      <c r="CM202" t="s">
        <v>4055</v>
      </c>
      <c r="CN202" t="s">
        <v>4062</v>
      </c>
      <c r="CO202" t="s">
        <v>4063</v>
      </c>
      <c r="CP202" t="s">
        <v>4055</v>
      </c>
      <c r="CQ202" t="s">
        <v>4055</v>
      </c>
      <c r="CR202">
        <v>5</v>
      </c>
      <c r="CS202" t="s">
        <v>4055</v>
      </c>
      <c r="CT202" t="s">
        <v>4055</v>
      </c>
      <c r="CU202" t="s">
        <v>4055</v>
      </c>
      <c r="CV202">
        <v>113</v>
      </c>
      <c r="CW202">
        <v>3</v>
      </c>
      <c r="CX202">
        <v>76</v>
      </c>
      <c r="CY202">
        <v>5</v>
      </c>
      <c r="CZ202">
        <v>138</v>
      </c>
      <c r="DA202">
        <v>5</v>
      </c>
      <c r="DB202">
        <v>9350</v>
      </c>
      <c r="DC202">
        <v>140</v>
      </c>
      <c r="DD202">
        <v>320</v>
      </c>
      <c r="DE202">
        <v>1942</v>
      </c>
      <c r="DF202">
        <v>1942</v>
      </c>
      <c r="DG202">
        <v>1970</v>
      </c>
      <c r="DH202" t="s">
        <v>4055</v>
      </c>
      <c r="DI202" t="s">
        <v>4055</v>
      </c>
      <c r="DJ202" t="s">
        <v>4064</v>
      </c>
      <c r="DK202">
        <v>175</v>
      </c>
      <c r="DL202" t="s">
        <v>4065</v>
      </c>
      <c r="DM202">
        <v>65</v>
      </c>
      <c r="DN202">
        <v>1.2</v>
      </c>
      <c r="DO202">
        <v>1</v>
      </c>
      <c r="DP202">
        <v>1844</v>
      </c>
      <c r="DQ202">
        <v>741</v>
      </c>
      <c r="DR202" t="s">
        <v>4064</v>
      </c>
      <c r="DS202">
        <v>165</v>
      </c>
      <c r="DT202" t="s">
        <v>4065</v>
      </c>
      <c r="DU202">
        <v>65</v>
      </c>
      <c r="DV202">
        <v>1.2</v>
      </c>
      <c r="DW202">
        <v>1</v>
      </c>
      <c r="DX202">
        <v>1856</v>
      </c>
      <c r="DY202">
        <v>703</v>
      </c>
      <c r="DZ202" t="s">
        <v>4066</v>
      </c>
      <c r="EA202">
        <v>20</v>
      </c>
      <c r="EB202" t="s">
        <v>4065</v>
      </c>
      <c r="EC202">
        <v>0.8</v>
      </c>
      <c r="ED202">
        <v>1844</v>
      </c>
      <c r="EE202">
        <v>65</v>
      </c>
      <c r="EG202">
        <v>0</v>
      </c>
      <c r="EH202" t="s">
        <v>4065</v>
      </c>
      <c r="EI202">
        <v>0</v>
      </c>
      <c r="EL202" t="s">
        <v>1528</v>
      </c>
      <c r="EM202">
        <v>12</v>
      </c>
      <c r="EN202">
        <v>0.5</v>
      </c>
      <c r="EO202">
        <v>0.96</v>
      </c>
      <c r="EP202">
        <v>1855.08</v>
      </c>
      <c r="EQ202">
        <v>27971.13</v>
      </c>
      <c r="ER202">
        <v>2617.19</v>
      </c>
      <c r="ES202">
        <v>0</v>
      </c>
      <c r="ET202">
        <v>0</v>
      </c>
      <c r="EU202">
        <v>1</v>
      </c>
      <c r="EV202">
        <v>30589</v>
      </c>
      <c r="EW202">
        <v>368</v>
      </c>
      <c r="EX202" t="s">
        <v>4787</v>
      </c>
      <c r="EY202">
        <v>194</v>
      </c>
      <c r="EZ202" t="s">
        <v>4055</v>
      </c>
      <c r="FA202">
        <v>6.3</v>
      </c>
      <c r="FB202">
        <v>1</v>
      </c>
      <c r="FC202">
        <v>1</v>
      </c>
      <c r="FD202">
        <v>1888</v>
      </c>
      <c r="FE202">
        <v>2785</v>
      </c>
      <c r="FF202" t="s">
        <v>4756</v>
      </c>
      <c r="FG202">
        <v>194</v>
      </c>
      <c r="FH202" t="s">
        <v>4055</v>
      </c>
      <c r="FI202">
        <v>1.6</v>
      </c>
      <c r="FJ202">
        <v>1888</v>
      </c>
      <c r="FK202">
        <v>682</v>
      </c>
      <c r="FL202" t="s">
        <v>4069</v>
      </c>
      <c r="FM202" t="s">
        <v>4055</v>
      </c>
      <c r="FN202" t="s">
        <v>4055</v>
      </c>
      <c r="FO202" t="s">
        <v>4055</v>
      </c>
      <c r="FP202">
        <v>1888</v>
      </c>
      <c r="FQ202">
        <v>166</v>
      </c>
      <c r="FR202" t="s">
        <v>4090</v>
      </c>
      <c r="FS202">
        <v>198</v>
      </c>
      <c r="FT202" t="s">
        <v>4055</v>
      </c>
      <c r="FU202">
        <v>0.4</v>
      </c>
      <c r="FV202">
        <v>1888</v>
      </c>
      <c r="FW202">
        <v>166</v>
      </c>
      <c r="FX202" t="s">
        <v>4070</v>
      </c>
      <c r="FY202">
        <v>5</v>
      </c>
      <c r="FZ202" t="s">
        <v>4055</v>
      </c>
      <c r="GA202" t="s">
        <v>4055</v>
      </c>
      <c r="GB202">
        <v>1888</v>
      </c>
      <c r="GC202">
        <v>18</v>
      </c>
      <c r="GD202">
        <v>3817</v>
      </c>
      <c r="GE202" t="s">
        <v>4786</v>
      </c>
      <c r="GF202" t="s">
        <v>4788</v>
      </c>
      <c r="GG202" t="s">
        <v>4055</v>
      </c>
      <c r="GH202" t="s">
        <v>4055</v>
      </c>
      <c r="GI202" t="s">
        <v>4071</v>
      </c>
      <c r="GJ202" t="s">
        <v>4055</v>
      </c>
      <c r="GK202" t="s">
        <v>4055</v>
      </c>
      <c r="GL202" t="s">
        <v>4055</v>
      </c>
      <c r="GM202" t="s">
        <v>4055</v>
      </c>
      <c r="GN202">
        <v>-75</v>
      </c>
      <c r="GQ202">
        <v>0</v>
      </c>
      <c r="GV202">
        <v>8.300000000000001</v>
      </c>
      <c r="GW202">
        <v>11</v>
      </c>
      <c r="GX202">
        <v>0.5</v>
      </c>
      <c r="GY202">
        <v>160</v>
      </c>
      <c r="GZ202">
        <v>3</v>
      </c>
      <c r="HA202">
        <v>214</v>
      </c>
      <c r="HB202">
        <v>3</v>
      </c>
      <c r="HC202">
        <v>1888</v>
      </c>
      <c r="HD202">
        <v>4</v>
      </c>
      <c r="HE202" t="s">
        <v>4071</v>
      </c>
      <c r="HG202" t="s">
        <v>549</v>
      </c>
      <c r="HL202">
        <v>4</v>
      </c>
      <c r="HM202">
        <v>16</v>
      </c>
      <c r="HN202">
        <v>6</v>
      </c>
      <c r="HO202">
        <v>1</v>
      </c>
      <c r="HP202">
        <v>0</v>
      </c>
      <c r="HQ202">
        <v>0</v>
      </c>
      <c r="HR202">
        <v>3</v>
      </c>
      <c r="HS202">
        <v>1840</v>
      </c>
      <c r="HT202">
        <v>5</v>
      </c>
      <c r="HU202">
        <v>1</v>
      </c>
      <c r="HV202">
        <v>5</v>
      </c>
      <c r="HW202">
        <v>0</v>
      </c>
      <c r="HX202">
        <v>1</v>
      </c>
      <c r="HY202">
        <v>0</v>
      </c>
      <c r="HZ202">
        <v>65</v>
      </c>
      <c r="IA202">
        <v>1844</v>
      </c>
      <c r="IB202">
        <v>1856</v>
      </c>
      <c r="ID202">
        <v>1888</v>
      </c>
      <c r="IE202">
        <v>1888</v>
      </c>
      <c r="IF202">
        <v>175</v>
      </c>
      <c r="IG202">
        <v>165</v>
      </c>
      <c r="IH202">
        <v>214</v>
      </c>
      <c r="II202">
        <v>1</v>
      </c>
      <c r="IJ202">
        <v>5</v>
      </c>
      <c r="IK202">
        <v>0</v>
      </c>
      <c r="IL202">
        <v>0</v>
      </c>
      <c r="IM202">
        <v>0</v>
      </c>
      <c r="IN202">
        <v>270</v>
      </c>
      <c r="IO202">
        <v>0</v>
      </c>
      <c r="IP202">
        <v>180</v>
      </c>
      <c r="IQ202">
        <v>0</v>
      </c>
      <c r="IR202">
        <v>325</v>
      </c>
      <c r="IS202">
        <v>0</v>
      </c>
      <c r="IT202">
        <v>90</v>
      </c>
      <c r="IU202">
        <v>0</v>
      </c>
      <c r="IV202">
        <v>6.4</v>
      </c>
      <c r="IW202">
        <v>-6</v>
      </c>
      <c r="IX202">
        <v>90.5</v>
      </c>
      <c r="IY202">
        <v>81.5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362</v>
      </c>
      <c r="JJ202">
        <v>332</v>
      </c>
      <c r="JK202">
        <v>234</v>
      </c>
      <c r="JL202">
        <v>328</v>
      </c>
      <c r="JM202">
        <v>250</v>
      </c>
      <c r="JN202">
        <v>185</v>
      </c>
      <c r="JO202">
        <v>224</v>
      </c>
      <c r="JP202">
        <v>200</v>
      </c>
      <c r="JQ202">
        <v>250</v>
      </c>
      <c r="JR202">
        <v>330</v>
      </c>
      <c r="JS202">
        <v>275</v>
      </c>
      <c r="JT202">
        <v>0</v>
      </c>
      <c r="JU202">
        <v>0</v>
      </c>
      <c r="JV202">
        <v>305</v>
      </c>
      <c r="JW202">
        <v>307</v>
      </c>
      <c r="JX202">
        <v>300</v>
      </c>
      <c r="JY202">
        <v>0</v>
      </c>
      <c r="JZ202">
        <v>3</v>
      </c>
      <c r="KA202">
        <v>0.2</v>
      </c>
      <c r="KB202">
        <v>0.4</v>
      </c>
      <c r="KC202">
        <v>0.42</v>
      </c>
      <c r="KD202">
        <v>0.28</v>
      </c>
      <c r="KE202">
        <v>0.5</v>
      </c>
      <c r="KF202">
        <v>0.2</v>
      </c>
      <c r="KG202">
        <v>0.1</v>
      </c>
      <c r="KH202">
        <v>3.5</v>
      </c>
      <c r="KI202">
        <v>1</v>
      </c>
      <c r="KJ202">
        <v>4.5</v>
      </c>
      <c r="KK202">
        <v>0</v>
      </c>
      <c r="KL202">
        <v>4.5</v>
      </c>
      <c r="KM202">
        <v>1</v>
      </c>
      <c r="KN202">
        <v>1.5</v>
      </c>
      <c r="KO202">
        <v>0</v>
      </c>
      <c r="KP202">
        <v>0</v>
      </c>
      <c r="KQ202">
        <v>1.2</v>
      </c>
      <c r="KR202">
        <v>1</v>
      </c>
      <c r="KS202">
        <v>0</v>
      </c>
      <c r="KT202">
        <v>3</v>
      </c>
      <c r="KU202">
        <v>0</v>
      </c>
      <c r="KV202">
        <v>0</v>
      </c>
      <c r="KW202">
        <v>1.2</v>
      </c>
      <c r="KX202">
        <v>2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3</v>
      </c>
      <c r="LI202">
        <v>0</v>
      </c>
      <c r="LJ202">
        <v>0</v>
      </c>
      <c r="LK202">
        <v>7</v>
      </c>
      <c r="LL202">
        <v>9</v>
      </c>
      <c r="LM202">
        <v>9</v>
      </c>
      <c r="LN202">
        <v>1</v>
      </c>
      <c r="LO202">
        <v>0.5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1.4</v>
      </c>
      <c r="LX202">
        <v>1.4</v>
      </c>
      <c r="LY202">
        <v>2.1</v>
      </c>
      <c r="LZ202">
        <v>2.1</v>
      </c>
      <c r="MA202">
        <v>0</v>
      </c>
      <c r="MB202">
        <v>0</v>
      </c>
      <c r="MC202">
        <v>0</v>
      </c>
      <c r="MD202">
        <v>4.5</v>
      </c>
      <c r="ME202">
        <v>6</v>
      </c>
      <c r="MF202">
        <v>6</v>
      </c>
      <c r="MI202">
        <v>0</v>
      </c>
      <c r="MJ202">
        <v>0</v>
      </c>
      <c r="MM202">
        <v>390</v>
      </c>
      <c r="MN202">
        <v>175</v>
      </c>
      <c r="MO202">
        <v>224</v>
      </c>
      <c r="NU202">
        <v>0.15</v>
      </c>
      <c r="NV202">
        <v>0.2</v>
      </c>
      <c r="NW202">
        <v>0.2</v>
      </c>
      <c r="NX202">
        <v>0.2</v>
      </c>
      <c r="NY202">
        <v>0.2</v>
      </c>
      <c r="NZ202">
        <v>0.2</v>
      </c>
      <c r="OE202" t="s">
        <v>4786</v>
      </c>
      <c r="OF202" t="s">
        <v>4784</v>
      </c>
      <c r="OG202" t="s">
        <v>4785</v>
      </c>
      <c r="OH202" t="s">
        <v>4043</v>
      </c>
      <c r="OI202" t="s">
        <v>4786</v>
      </c>
      <c r="OJ202" t="s">
        <v>4783</v>
      </c>
      <c r="OK202">
        <v>61</v>
      </c>
      <c r="OL202">
        <v>61</v>
      </c>
      <c r="OM202" t="s">
        <v>4784</v>
      </c>
      <c r="ON202">
        <v>1</v>
      </c>
      <c r="OO202">
        <v>1844</v>
      </c>
      <c r="OP202">
        <v>61</v>
      </c>
      <c r="OQ202">
        <v>61</v>
      </c>
      <c r="OR202" t="s">
        <v>4785</v>
      </c>
      <c r="OS202">
        <v>1</v>
      </c>
      <c r="OT202">
        <v>1856</v>
      </c>
      <c r="OU202">
        <v>65</v>
      </c>
      <c r="OV202">
        <v>65</v>
      </c>
      <c r="OW202" t="s">
        <v>4043</v>
      </c>
      <c r="OX202">
        <v>1</v>
      </c>
      <c r="OY202">
        <v>30589</v>
      </c>
      <c r="OZ202">
        <v>51</v>
      </c>
      <c r="PA202">
        <v>51</v>
      </c>
      <c r="PB202" t="s">
        <v>4786</v>
      </c>
      <c r="PC202">
        <v>1</v>
      </c>
      <c r="PD202">
        <v>1888</v>
      </c>
      <c r="PF202">
        <v>402</v>
      </c>
      <c r="PG202">
        <v>35</v>
      </c>
      <c r="PH202">
        <v>379</v>
      </c>
      <c r="PI202">
        <v>0</v>
      </c>
      <c r="PJ202">
        <v>87.90000000000001</v>
      </c>
      <c r="PK202">
        <v>2222</v>
      </c>
      <c r="PL202">
        <v>1474.9</v>
      </c>
      <c r="PM202">
        <v>361.2</v>
      </c>
      <c r="PN202">
        <v>88</v>
      </c>
      <c r="PO202">
        <v>9.6</v>
      </c>
      <c r="PP202">
        <v>12</v>
      </c>
      <c r="PQ202">
        <v>2</v>
      </c>
      <c r="PR202">
        <v>1</v>
      </c>
      <c r="PS202">
        <v>7</v>
      </c>
      <c r="PT202">
        <v>214</v>
      </c>
      <c r="PU202">
        <v>10</v>
      </c>
      <c r="PV202" t="s">
        <v>4072</v>
      </c>
      <c r="PW202" t="s">
        <v>4072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-1</v>
      </c>
      <c r="QF202">
        <v>1</v>
      </c>
      <c r="QG202">
        <v>0</v>
      </c>
      <c r="QH202">
        <v>5</v>
      </c>
      <c r="QI202">
        <v>5</v>
      </c>
      <c r="QJ202">
        <v>5</v>
      </c>
      <c r="QK202">
        <v>176</v>
      </c>
      <c r="QL202">
        <v>396</v>
      </c>
      <c r="QM202">
        <v>7.5</v>
      </c>
      <c r="QN202">
        <v>1284.1</v>
      </c>
      <c r="QO202" t="s">
        <v>2662</v>
      </c>
      <c r="QP202" t="s">
        <v>513</v>
      </c>
      <c r="QQ202">
        <v>0</v>
      </c>
      <c r="QR202" t="s">
        <v>540</v>
      </c>
      <c r="QS202">
        <v>30</v>
      </c>
      <c r="QT202">
        <v>40</v>
      </c>
    </row>
    <row r="203" spans="1:462">
      <c r="A203" t="s">
        <v>2749</v>
      </c>
      <c r="B203" t="s">
        <v>804</v>
      </c>
      <c r="C203" t="s">
        <v>509</v>
      </c>
      <c r="D203" t="s">
        <v>2748</v>
      </c>
      <c r="E203" t="s">
        <v>4036</v>
      </c>
      <c r="H203" t="s">
        <v>1115</v>
      </c>
      <c r="J203" t="s">
        <v>562</v>
      </c>
      <c r="K203" t="s">
        <v>563</v>
      </c>
      <c r="L203" t="s">
        <v>508</v>
      </c>
      <c r="M203" t="s">
        <v>512</v>
      </c>
      <c r="N203" t="s">
        <v>515</v>
      </c>
      <c r="O203" t="s">
        <v>513</v>
      </c>
      <c r="P203" t="s">
        <v>517</v>
      </c>
      <c r="Q203" t="s">
        <v>1201</v>
      </c>
      <c r="R203" t="s">
        <v>807</v>
      </c>
      <c r="S203" t="s">
        <v>4091</v>
      </c>
      <c r="T203" t="s">
        <v>633</v>
      </c>
      <c r="U203" t="s">
        <v>634</v>
      </c>
      <c r="V203" t="s">
        <v>1283</v>
      </c>
      <c r="W203" t="s">
        <v>2657</v>
      </c>
      <c r="X203" t="s">
        <v>2750</v>
      </c>
      <c r="Y203" t="s">
        <v>2751</v>
      </c>
      <c r="Z203" t="s">
        <v>541</v>
      </c>
      <c r="AA203" t="s">
        <v>4038</v>
      </c>
      <c r="AB203" t="s">
        <v>4789</v>
      </c>
      <c r="AC203">
        <v>9</v>
      </c>
      <c r="AD203" t="s">
        <v>2747</v>
      </c>
      <c r="AE203">
        <v>2</v>
      </c>
      <c r="AF203">
        <v>5242</v>
      </c>
      <c r="AG203" t="s">
        <v>4040</v>
      </c>
      <c r="AH203">
        <v>1</v>
      </c>
      <c r="AI203" t="s">
        <v>4041</v>
      </c>
      <c r="AK203" t="s">
        <v>4042</v>
      </c>
      <c r="AL203">
        <v>1</v>
      </c>
      <c r="AM203" t="s">
        <v>582</v>
      </c>
      <c r="AO203" t="s">
        <v>4043</v>
      </c>
      <c r="AP203">
        <v>1</v>
      </c>
      <c r="AR203" t="s">
        <v>4790</v>
      </c>
      <c r="AS203">
        <v>1</v>
      </c>
      <c r="AT203">
        <v>52</v>
      </c>
      <c r="AV203" t="s">
        <v>4045</v>
      </c>
      <c r="AW203">
        <v>6.4</v>
      </c>
      <c r="AX203">
        <v>-6</v>
      </c>
      <c r="AY203">
        <v>92.5</v>
      </c>
      <c r="AZ203">
        <v>84</v>
      </c>
      <c r="BH203">
        <v>92.5</v>
      </c>
      <c r="BI203">
        <v>8.5</v>
      </c>
      <c r="BJ203">
        <v>84</v>
      </c>
      <c r="BK203">
        <v>2.5</v>
      </c>
      <c r="BL203">
        <v>185</v>
      </c>
      <c r="BM203">
        <v>-6</v>
      </c>
      <c r="BN203">
        <v>0</v>
      </c>
      <c r="BP203">
        <v>0</v>
      </c>
      <c r="BR203">
        <v>180</v>
      </c>
      <c r="BS203">
        <v>170</v>
      </c>
      <c r="BT203">
        <v>2075</v>
      </c>
      <c r="BU203" t="s">
        <v>4096</v>
      </c>
      <c r="BV203" t="s">
        <v>4127</v>
      </c>
      <c r="BW203" t="s">
        <v>4097</v>
      </c>
      <c r="BX203" t="s">
        <v>4128</v>
      </c>
      <c r="BY203" t="s">
        <v>4107</v>
      </c>
      <c r="BZ203" t="s">
        <v>4173</v>
      </c>
      <c r="CA203" t="s">
        <v>4108</v>
      </c>
      <c r="CB203" t="s">
        <v>4109</v>
      </c>
      <c r="CC203" t="s">
        <v>4053</v>
      </c>
      <c r="CD203" t="s">
        <v>4110</v>
      </c>
      <c r="CE203" t="s">
        <v>4055</v>
      </c>
      <c r="CF203" t="s">
        <v>4055</v>
      </c>
      <c r="CG203" t="s">
        <v>4056</v>
      </c>
      <c r="CI203" t="s">
        <v>4058</v>
      </c>
      <c r="CJ203" t="s">
        <v>4059</v>
      </c>
      <c r="CK203" t="s">
        <v>4060</v>
      </c>
      <c r="CL203" t="s">
        <v>4061</v>
      </c>
      <c r="CM203" t="s">
        <v>4062</v>
      </c>
      <c r="CN203" t="s">
        <v>4055</v>
      </c>
      <c r="CO203" t="s">
        <v>4063</v>
      </c>
      <c r="CP203" t="s">
        <v>4055</v>
      </c>
      <c r="CQ203" t="s">
        <v>4055</v>
      </c>
      <c r="CR203">
        <v>5</v>
      </c>
      <c r="CS203" t="s">
        <v>4055</v>
      </c>
      <c r="CT203" t="s">
        <v>4055</v>
      </c>
      <c r="CU203" t="s">
        <v>4055</v>
      </c>
      <c r="CV203">
        <v>124</v>
      </c>
      <c r="CW203">
        <v>3</v>
      </c>
      <c r="CX203">
        <v>76</v>
      </c>
      <c r="CY203">
        <v>5</v>
      </c>
      <c r="CZ203">
        <v>145</v>
      </c>
      <c r="DA203">
        <v>5</v>
      </c>
      <c r="DB203">
        <v>12030</v>
      </c>
      <c r="DC203">
        <v>360</v>
      </c>
      <c r="DD203">
        <v>330</v>
      </c>
      <c r="DE203">
        <v>2201</v>
      </c>
      <c r="DF203">
        <v>2201</v>
      </c>
      <c r="DG203">
        <v>2212</v>
      </c>
      <c r="DH203" t="s">
        <v>4055</v>
      </c>
      <c r="DI203" t="s">
        <v>4055</v>
      </c>
      <c r="DJ203" t="s">
        <v>4064</v>
      </c>
      <c r="DK203">
        <v>180</v>
      </c>
      <c r="DL203" t="s">
        <v>4065</v>
      </c>
      <c r="DM203">
        <v>63</v>
      </c>
      <c r="DN203">
        <v>1.2</v>
      </c>
      <c r="DO203">
        <v>1</v>
      </c>
      <c r="DP203">
        <v>2079</v>
      </c>
      <c r="DQ203">
        <v>859</v>
      </c>
      <c r="DR203" t="s">
        <v>4064</v>
      </c>
      <c r="DS203">
        <v>170</v>
      </c>
      <c r="DT203" t="s">
        <v>4065</v>
      </c>
      <c r="DU203">
        <v>63</v>
      </c>
      <c r="DV203">
        <v>1.2</v>
      </c>
      <c r="DW203">
        <v>1</v>
      </c>
      <c r="DX203">
        <v>2091</v>
      </c>
      <c r="DY203">
        <v>815</v>
      </c>
      <c r="DZ203" t="s">
        <v>4066</v>
      </c>
      <c r="EA203">
        <v>20</v>
      </c>
      <c r="EB203" t="s">
        <v>4065</v>
      </c>
      <c r="EC203">
        <v>0.8</v>
      </c>
      <c r="ED203">
        <v>2079</v>
      </c>
      <c r="EE203">
        <v>73</v>
      </c>
      <c r="EG203">
        <v>0</v>
      </c>
      <c r="EH203" t="s">
        <v>4065</v>
      </c>
      <c r="EI203">
        <v>0</v>
      </c>
      <c r="EL203" t="s">
        <v>1528</v>
      </c>
      <c r="EM203">
        <v>12</v>
      </c>
      <c r="EN203">
        <v>0.5</v>
      </c>
      <c r="EO203">
        <v>0.96</v>
      </c>
      <c r="EP203">
        <v>2090.08</v>
      </c>
      <c r="EQ203">
        <v>32167.64</v>
      </c>
      <c r="ER203">
        <v>2783.9</v>
      </c>
      <c r="ES203">
        <v>0</v>
      </c>
      <c r="ET203">
        <v>0</v>
      </c>
      <c r="EU203">
        <v>1</v>
      </c>
      <c r="EV203">
        <v>34952</v>
      </c>
      <c r="EW203">
        <v>420</v>
      </c>
      <c r="EX203" t="s">
        <v>4755</v>
      </c>
      <c r="EY203">
        <v>216</v>
      </c>
      <c r="EZ203" t="s">
        <v>4055</v>
      </c>
      <c r="FA203">
        <v>4.3</v>
      </c>
      <c r="FB203">
        <v>1</v>
      </c>
      <c r="FC203">
        <v>1</v>
      </c>
      <c r="FD203">
        <v>2123</v>
      </c>
      <c r="FE203">
        <v>2183</v>
      </c>
      <c r="FF203" t="s">
        <v>4756</v>
      </c>
      <c r="FG203">
        <v>216</v>
      </c>
      <c r="FH203" t="s">
        <v>4055</v>
      </c>
      <c r="FI203">
        <v>3.6</v>
      </c>
      <c r="FJ203">
        <v>2123</v>
      </c>
      <c r="FK203">
        <v>2049</v>
      </c>
      <c r="FL203" t="s">
        <v>4069</v>
      </c>
      <c r="FM203" t="s">
        <v>4055</v>
      </c>
      <c r="FN203" t="s">
        <v>4055</v>
      </c>
      <c r="FO203" t="s">
        <v>4055</v>
      </c>
      <c r="FP203">
        <v>2123</v>
      </c>
      <c r="FQ203">
        <v>158</v>
      </c>
      <c r="FR203" t="s">
        <v>4090</v>
      </c>
      <c r="FS203">
        <v>220</v>
      </c>
      <c r="FT203" t="s">
        <v>4055</v>
      </c>
      <c r="FU203">
        <v>0.4</v>
      </c>
      <c r="FV203">
        <v>2123</v>
      </c>
      <c r="FW203">
        <v>208</v>
      </c>
      <c r="FX203" t="s">
        <v>4070</v>
      </c>
      <c r="FY203">
        <v>5</v>
      </c>
      <c r="FZ203" t="s">
        <v>4055</v>
      </c>
      <c r="GA203" t="s">
        <v>4055</v>
      </c>
      <c r="GB203">
        <v>2123</v>
      </c>
      <c r="GC203">
        <v>20</v>
      </c>
      <c r="GD203">
        <v>4618</v>
      </c>
      <c r="GE203" t="s">
        <v>4790</v>
      </c>
      <c r="GF203" t="s">
        <v>4055</v>
      </c>
      <c r="GG203" t="s">
        <v>4055</v>
      </c>
      <c r="GH203" t="s">
        <v>4055</v>
      </c>
      <c r="GI203" t="s">
        <v>4071</v>
      </c>
      <c r="GJ203" t="s">
        <v>4055</v>
      </c>
      <c r="GK203" t="s">
        <v>4055</v>
      </c>
      <c r="GL203" t="s">
        <v>4055</v>
      </c>
      <c r="GM203" t="s">
        <v>4055</v>
      </c>
      <c r="GQ203">
        <v>0</v>
      </c>
      <c r="GV203">
        <v>8.300000000000001</v>
      </c>
      <c r="GW203">
        <v>11</v>
      </c>
      <c r="GX203">
        <v>0.5</v>
      </c>
      <c r="GY203">
        <v>174</v>
      </c>
      <c r="GZ203">
        <v>3</v>
      </c>
      <c r="HA203">
        <v>234</v>
      </c>
      <c r="HB203">
        <v>3</v>
      </c>
      <c r="HC203">
        <v>2123</v>
      </c>
      <c r="HD203">
        <v>4</v>
      </c>
      <c r="HE203" t="s">
        <v>4071</v>
      </c>
      <c r="HG203" t="s">
        <v>549</v>
      </c>
      <c r="HL203">
        <v>4</v>
      </c>
      <c r="HM203">
        <v>17</v>
      </c>
      <c r="HN203">
        <v>6</v>
      </c>
      <c r="HO203">
        <v>1</v>
      </c>
      <c r="HP203">
        <v>0</v>
      </c>
      <c r="HQ203">
        <v>0</v>
      </c>
      <c r="HR203">
        <v>3</v>
      </c>
      <c r="HS203">
        <v>2075</v>
      </c>
      <c r="HT203">
        <v>5</v>
      </c>
      <c r="HU203">
        <v>1</v>
      </c>
      <c r="HV203">
        <v>5</v>
      </c>
      <c r="HW203">
        <v>0</v>
      </c>
      <c r="HX203">
        <v>1</v>
      </c>
      <c r="HY203">
        <v>0</v>
      </c>
      <c r="HZ203">
        <v>63</v>
      </c>
      <c r="IA203">
        <v>2079</v>
      </c>
      <c r="IB203">
        <v>2091</v>
      </c>
      <c r="ID203">
        <v>2123</v>
      </c>
      <c r="IE203">
        <v>2123</v>
      </c>
      <c r="IF203">
        <v>180</v>
      </c>
      <c r="IG203">
        <v>170</v>
      </c>
      <c r="IH203">
        <v>234</v>
      </c>
      <c r="II203">
        <v>1</v>
      </c>
      <c r="IJ203">
        <v>5</v>
      </c>
      <c r="IK203">
        <v>0</v>
      </c>
      <c r="IL203">
        <v>0</v>
      </c>
      <c r="IM203">
        <v>0</v>
      </c>
      <c r="IN203">
        <v>270</v>
      </c>
      <c r="IO203">
        <v>0</v>
      </c>
      <c r="IP203">
        <v>180</v>
      </c>
      <c r="IQ203">
        <v>0</v>
      </c>
      <c r="IR203">
        <v>330</v>
      </c>
      <c r="IS203">
        <v>0</v>
      </c>
      <c r="IT203">
        <v>90</v>
      </c>
      <c r="IU203">
        <v>0</v>
      </c>
      <c r="IV203">
        <v>6.4</v>
      </c>
      <c r="IW203">
        <v>-6</v>
      </c>
      <c r="IX203">
        <v>92.5</v>
      </c>
      <c r="IY203">
        <v>84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394</v>
      </c>
      <c r="JJ203">
        <v>364</v>
      </c>
      <c r="JK203">
        <v>266</v>
      </c>
      <c r="JL203">
        <v>360</v>
      </c>
      <c r="JM203">
        <v>266</v>
      </c>
      <c r="JN203">
        <v>175</v>
      </c>
      <c r="JO203">
        <v>244</v>
      </c>
      <c r="JP203">
        <v>200</v>
      </c>
      <c r="JQ203">
        <v>250</v>
      </c>
      <c r="JR203">
        <v>333</v>
      </c>
      <c r="JS203">
        <v>253</v>
      </c>
      <c r="JT203">
        <v>0</v>
      </c>
      <c r="JU203">
        <v>0</v>
      </c>
      <c r="JV203">
        <v>328</v>
      </c>
      <c r="JW203">
        <v>318</v>
      </c>
      <c r="JX203">
        <v>313</v>
      </c>
      <c r="JY203">
        <v>293</v>
      </c>
      <c r="JZ203">
        <v>1</v>
      </c>
      <c r="KA203">
        <v>0.2</v>
      </c>
      <c r="KB203">
        <v>0.4</v>
      </c>
      <c r="KC203">
        <v>0.42</v>
      </c>
      <c r="KD203">
        <v>0.28</v>
      </c>
      <c r="KE203">
        <v>0.5</v>
      </c>
      <c r="KF203">
        <v>0.19</v>
      </c>
      <c r="KG203">
        <v>0.12</v>
      </c>
      <c r="KH203">
        <v>3.5</v>
      </c>
      <c r="KI203">
        <v>1</v>
      </c>
      <c r="KJ203">
        <v>4.5</v>
      </c>
      <c r="KK203">
        <v>0</v>
      </c>
      <c r="KL203">
        <v>4.5</v>
      </c>
      <c r="KM203">
        <v>0</v>
      </c>
      <c r="KN203">
        <v>1.8</v>
      </c>
      <c r="KO203">
        <v>0</v>
      </c>
      <c r="KP203">
        <v>0</v>
      </c>
      <c r="KQ203">
        <v>0.5</v>
      </c>
      <c r="KR203">
        <v>1.2</v>
      </c>
      <c r="KS203">
        <v>0</v>
      </c>
      <c r="KT203">
        <v>2</v>
      </c>
      <c r="KU203">
        <v>0</v>
      </c>
      <c r="KV203">
        <v>0</v>
      </c>
      <c r="KW203">
        <v>1</v>
      </c>
      <c r="KX203">
        <v>2</v>
      </c>
      <c r="KY203">
        <v>1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0.5</v>
      </c>
      <c r="LJ203">
        <v>0</v>
      </c>
      <c r="LK203">
        <v>4</v>
      </c>
      <c r="LL203">
        <v>5</v>
      </c>
      <c r="LM203">
        <v>6</v>
      </c>
      <c r="LN203">
        <v>0.1</v>
      </c>
      <c r="LO203">
        <v>3</v>
      </c>
      <c r="LP203">
        <v>0</v>
      </c>
      <c r="LQ203">
        <v>0</v>
      </c>
      <c r="LR203">
        <v>0</v>
      </c>
      <c r="LS203">
        <v>1</v>
      </c>
      <c r="LT203">
        <v>0</v>
      </c>
      <c r="LU203">
        <v>0</v>
      </c>
      <c r="LV203">
        <v>0</v>
      </c>
      <c r="LW203">
        <v>1.4</v>
      </c>
      <c r="LX203">
        <v>1.4</v>
      </c>
      <c r="LY203">
        <v>1.7</v>
      </c>
      <c r="LZ203">
        <v>1.7</v>
      </c>
      <c r="MA203">
        <v>0</v>
      </c>
      <c r="MB203">
        <v>4.5</v>
      </c>
      <c r="MC203">
        <v>0</v>
      </c>
      <c r="MD203">
        <v>4.5</v>
      </c>
      <c r="ME203">
        <v>6</v>
      </c>
      <c r="MF203">
        <v>6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420</v>
      </c>
      <c r="MN203">
        <v>175</v>
      </c>
      <c r="MO203">
        <v>244</v>
      </c>
      <c r="NU203">
        <v>0.15</v>
      </c>
      <c r="NV203">
        <v>0.2</v>
      </c>
      <c r="NW203">
        <v>0.2</v>
      </c>
      <c r="NX203">
        <v>2</v>
      </c>
      <c r="NY203">
        <v>2</v>
      </c>
      <c r="NZ203">
        <v>2</v>
      </c>
      <c r="OE203" t="s">
        <v>4790</v>
      </c>
      <c r="OF203" t="s">
        <v>4040</v>
      </c>
      <c r="OG203" t="s">
        <v>4042</v>
      </c>
      <c r="OH203" t="s">
        <v>4043</v>
      </c>
      <c r="OI203" t="s">
        <v>4790</v>
      </c>
      <c r="OJ203" t="s">
        <v>4789</v>
      </c>
      <c r="OK203">
        <v>61</v>
      </c>
      <c r="OL203">
        <v>61</v>
      </c>
      <c r="OM203" t="s">
        <v>4040</v>
      </c>
      <c r="ON203">
        <v>2</v>
      </c>
      <c r="OO203">
        <v>2079</v>
      </c>
      <c r="OP203">
        <v>61</v>
      </c>
      <c r="OQ203">
        <v>61</v>
      </c>
      <c r="OR203" t="s">
        <v>4042</v>
      </c>
      <c r="OS203">
        <v>2</v>
      </c>
      <c r="OT203">
        <v>2091</v>
      </c>
      <c r="OU203">
        <v>65</v>
      </c>
      <c r="OV203">
        <v>65</v>
      </c>
      <c r="OW203" t="s">
        <v>4043</v>
      </c>
      <c r="OX203">
        <v>1</v>
      </c>
      <c r="OY203">
        <v>34952</v>
      </c>
      <c r="OZ203">
        <v>51</v>
      </c>
      <c r="PA203">
        <v>52</v>
      </c>
      <c r="PB203" t="s">
        <v>4790</v>
      </c>
      <c r="PC203">
        <v>1</v>
      </c>
      <c r="PD203">
        <v>2123</v>
      </c>
      <c r="PF203">
        <v>413</v>
      </c>
      <c r="PG203">
        <v>35</v>
      </c>
      <c r="PH203">
        <v>390</v>
      </c>
      <c r="PI203">
        <v>0</v>
      </c>
      <c r="PJ203">
        <v>74.2</v>
      </c>
      <c r="PL203">
        <v>1028.1</v>
      </c>
      <c r="PM203">
        <v>965.3</v>
      </c>
      <c r="PN203">
        <v>97.8</v>
      </c>
      <c r="PO203">
        <v>9.6</v>
      </c>
      <c r="PP203">
        <v>12</v>
      </c>
      <c r="PQ203">
        <v>3</v>
      </c>
      <c r="PR203">
        <v>5</v>
      </c>
      <c r="PS203">
        <v>0</v>
      </c>
      <c r="PT203">
        <v>234</v>
      </c>
      <c r="PU203">
        <v>9</v>
      </c>
      <c r="PV203" t="s">
        <v>4072</v>
      </c>
      <c r="PW203" t="s">
        <v>4072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-1</v>
      </c>
      <c r="QF203">
        <v>1</v>
      </c>
      <c r="QG203">
        <v>0</v>
      </c>
      <c r="QH203">
        <v>5</v>
      </c>
      <c r="QI203">
        <v>5</v>
      </c>
      <c r="QJ203">
        <v>5</v>
      </c>
      <c r="QK203">
        <v>192</v>
      </c>
      <c r="QL203">
        <v>428</v>
      </c>
      <c r="QM203">
        <v>7.5</v>
      </c>
      <c r="QN203">
        <v>1384.6</v>
      </c>
      <c r="QO203" t="s">
        <v>2662</v>
      </c>
      <c r="QP203" t="s">
        <v>513</v>
      </c>
      <c r="QQ203">
        <v>0</v>
      </c>
      <c r="QR203" t="s">
        <v>621</v>
      </c>
      <c r="QS203">
        <v>30</v>
      </c>
      <c r="QT203">
        <v>40</v>
      </c>
    </row>
    <row r="204" spans="1:462">
      <c r="A204" t="s">
        <v>2757</v>
      </c>
      <c r="B204" t="s">
        <v>711</v>
      </c>
      <c r="C204" t="s">
        <v>509</v>
      </c>
      <c r="D204" t="s">
        <v>1738</v>
      </c>
      <c r="E204" t="s">
        <v>4036</v>
      </c>
      <c r="H204" t="s">
        <v>511</v>
      </c>
      <c r="J204" t="s">
        <v>562</v>
      </c>
      <c r="L204" t="s">
        <v>804</v>
      </c>
      <c r="M204" t="s">
        <v>512</v>
      </c>
      <c r="O204" t="s">
        <v>513</v>
      </c>
      <c r="P204" t="s">
        <v>517</v>
      </c>
      <c r="Q204" t="s">
        <v>1137</v>
      </c>
      <c r="R204" t="s">
        <v>1138</v>
      </c>
      <c r="S204" t="s">
        <v>4254</v>
      </c>
      <c r="T204" t="s">
        <v>662</v>
      </c>
      <c r="U204" t="s">
        <v>663</v>
      </c>
      <c r="V204" t="s">
        <v>2546</v>
      </c>
      <c r="W204" t="s">
        <v>2657</v>
      </c>
      <c r="X204" t="s">
        <v>2758</v>
      </c>
      <c r="Y204" t="s">
        <v>2759</v>
      </c>
      <c r="Z204" t="s">
        <v>650</v>
      </c>
      <c r="AA204" t="s">
        <v>582</v>
      </c>
      <c r="AB204" t="s">
        <v>4791</v>
      </c>
      <c r="AC204">
        <v>9</v>
      </c>
      <c r="AD204" t="s">
        <v>2756</v>
      </c>
      <c r="AE204">
        <v>3</v>
      </c>
      <c r="AF204">
        <v>3915</v>
      </c>
      <c r="AG204" t="s">
        <v>4306</v>
      </c>
      <c r="AH204">
        <v>1</v>
      </c>
      <c r="AI204" t="s">
        <v>4041</v>
      </c>
      <c r="AK204" t="s">
        <v>4307</v>
      </c>
      <c r="AL204">
        <v>1</v>
      </c>
      <c r="AM204" t="s">
        <v>582</v>
      </c>
      <c r="AO204" t="s">
        <v>4043</v>
      </c>
      <c r="AP204">
        <v>1</v>
      </c>
      <c r="AR204" t="s">
        <v>4792</v>
      </c>
      <c r="AS204">
        <v>1</v>
      </c>
      <c r="AT204">
        <v>52</v>
      </c>
      <c r="AV204" t="s">
        <v>4078</v>
      </c>
      <c r="AW204">
        <v>6.4</v>
      </c>
      <c r="AX204">
        <v>-6</v>
      </c>
      <c r="AY204">
        <v>110</v>
      </c>
      <c r="AZ204">
        <v>80</v>
      </c>
      <c r="BA204">
        <v>0</v>
      </c>
      <c r="BB204">
        <v>0</v>
      </c>
      <c r="BC204">
        <v>0</v>
      </c>
      <c r="BH204">
        <v>110</v>
      </c>
      <c r="BI204">
        <v>30</v>
      </c>
      <c r="BJ204">
        <v>80</v>
      </c>
      <c r="BK204">
        <v>2.5</v>
      </c>
      <c r="BL204">
        <v>220</v>
      </c>
      <c r="BM204">
        <v>-6</v>
      </c>
      <c r="BN204">
        <v>0</v>
      </c>
      <c r="BO204">
        <v>0</v>
      </c>
      <c r="BP204">
        <v>0</v>
      </c>
      <c r="BR204">
        <v>215</v>
      </c>
      <c r="BS204">
        <v>205</v>
      </c>
      <c r="BT204">
        <v>1895</v>
      </c>
      <c r="BU204" t="s">
        <v>4047</v>
      </c>
      <c r="BV204" t="s">
        <v>4047</v>
      </c>
      <c r="BW204" t="s">
        <v>4049</v>
      </c>
      <c r="BX204" t="s">
        <v>4049</v>
      </c>
      <c r="BY204" t="s">
        <v>4192</v>
      </c>
      <c r="BZ204" t="s">
        <v>4116</v>
      </c>
      <c r="CA204" t="s">
        <v>4118</v>
      </c>
      <c r="CB204" t="s">
        <v>4119</v>
      </c>
      <c r="CC204" t="s">
        <v>4053</v>
      </c>
      <c r="CD204" t="s">
        <v>4121</v>
      </c>
      <c r="CE204" t="s">
        <v>4055</v>
      </c>
      <c r="CF204" t="s">
        <v>4055</v>
      </c>
      <c r="CG204" t="s">
        <v>4056</v>
      </c>
      <c r="CH204" t="s">
        <v>4057</v>
      </c>
      <c r="CI204" t="s">
        <v>4058</v>
      </c>
      <c r="CJ204" t="s">
        <v>4059</v>
      </c>
      <c r="CK204" t="s">
        <v>4060</v>
      </c>
      <c r="CL204" t="s">
        <v>4061</v>
      </c>
      <c r="CM204" t="s">
        <v>4062</v>
      </c>
      <c r="CN204" t="s">
        <v>4055</v>
      </c>
      <c r="CO204" t="s">
        <v>4063</v>
      </c>
      <c r="CP204" t="s">
        <v>4055</v>
      </c>
      <c r="CQ204" t="s">
        <v>4055</v>
      </c>
      <c r="CR204">
        <v>5</v>
      </c>
      <c r="CS204" t="s">
        <v>4055</v>
      </c>
      <c r="CT204" t="s">
        <v>4055</v>
      </c>
      <c r="CU204" t="s">
        <v>4055</v>
      </c>
      <c r="CV204">
        <v>131</v>
      </c>
      <c r="CW204">
        <v>3</v>
      </c>
      <c r="CX204">
        <v>111</v>
      </c>
      <c r="CY204">
        <v>5</v>
      </c>
      <c r="CZ204">
        <v>141</v>
      </c>
      <c r="DA204">
        <v>5</v>
      </c>
      <c r="DB204">
        <v>10820</v>
      </c>
      <c r="DC204">
        <v>320</v>
      </c>
      <c r="DD204">
        <v>335</v>
      </c>
      <c r="DE204">
        <v>2018</v>
      </c>
      <c r="DF204">
        <v>2018</v>
      </c>
      <c r="DG204">
        <v>2029</v>
      </c>
      <c r="DH204" t="s">
        <v>4055</v>
      </c>
      <c r="DI204" t="s">
        <v>4055</v>
      </c>
      <c r="DJ204" t="s">
        <v>4132</v>
      </c>
      <c r="DK204">
        <v>215</v>
      </c>
      <c r="DL204" t="s">
        <v>4065</v>
      </c>
      <c r="DM204">
        <v>63</v>
      </c>
      <c r="DN204">
        <v>1.1</v>
      </c>
      <c r="DO204">
        <v>1</v>
      </c>
      <c r="DP204">
        <v>1898</v>
      </c>
      <c r="DQ204">
        <v>883</v>
      </c>
      <c r="DR204" t="s">
        <v>4132</v>
      </c>
      <c r="DS204">
        <v>205</v>
      </c>
      <c r="DT204" t="s">
        <v>4065</v>
      </c>
      <c r="DU204">
        <v>63</v>
      </c>
      <c r="DV204">
        <v>1.1</v>
      </c>
      <c r="DW204">
        <v>1</v>
      </c>
      <c r="DX204">
        <v>1910</v>
      </c>
      <c r="DY204">
        <v>846</v>
      </c>
      <c r="DZ204" t="s">
        <v>4066</v>
      </c>
      <c r="EA204">
        <v>20</v>
      </c>
      <c r="EB204" t="s">
        <v>4065</v>
      </c>
      <c r="EC204">
        <v>0.8</v>
      </c>
      <c r="ED204">
        <v>1898</v>
      </c>
      <c r="EE204">
        <v>66</v>
      </c>
      <c r="EG204">
        <v>0</v>
      </c>
      <c r="EH204" t="s">
        <v>4065</v>
      </c>
      <c r="EI204">
        <v>0</v>
      </c>
      <c r="EL204" t="s">
        <v>1528</v>
      </c>
      <c r="EM204">
        <v>12</v>
      </c>
      <c r="EN204">
        <v>0.5</v>
      </c>
      <c r="EO204">
        <v>0.96</v>
      </c>
      <c r="EP204">
        <v>1908.83</v>
      </c>
      <c r="EQ204">
        <v>34597.54</v>
      </c>
      <c r="ER204">
        <v>8975.91</v>
      </c>
      <c r="ES204">
        <v>0</v>
      </c>
      <c r="ET204">
        <v>0</v>
      </c>
      <c r="EU204">
        <v>1</v>
      </c>
      <c r="EV204">
        <v>43574</v>
      </c>
      <c r="EW204">
        <v>523</v>
      </c>
      <c r="EX204" t="s">
        <v>4755</v>
      </c>
      <c r="EY204">
        <v>228</v>
      </c>
      <c r="EZ204" t="s">
        <v>4055</v>
      </c>
      <c r="FA204">
        <v>4.1</v>
      </c>
      <c r="FB204">
        <v>1</v>
      </c>
      <c r="FC204">
        <v>1</v>
      </c>
      <c r="FD204">
        <v>1941</v>
      </c>
      <c r="FE204">
        <v>2112</v>
      </c>
      <c r="FF204" t="s">
        <v>4756</v>
      </c>
      <c r="FG204">
        <v>228</v>
      </c>
      <c r="FH204" t="s">
        <v>4055</v>
      </c>
      <c r="FI204">
        <v>3.8</v>
      </c>
      <c r="FJ204">
        <v>1941</v>
      </c>
      <c r="FK204">
        <v>2076</v>
      </c>
      <c r="FL204" t="s">
        <v>4069</v>
      </c>
      <c r="FM204" t="s">
        <v>4055</v>
      </c>
      <c r="FN204" t="s">
        <v>4055</v>
      </c>
      <c r="FO204" t="s">
        <v>4055</v>
      </c>
      <c r="FP204">
        <v>1941</v>
      </c>
      <c r="FQ204">
        <v>171</v>
      </c>
      <c r="FR204" t="s">
        <v>4090</v>
      </c>
      <c r="FS204">
        <v>232</v>
      </c>
      <c r="FT204" t="s">
        <v>4055</v>
      </c>
      <c r="FU204">
        <v>0.4</v>
      </c>
      <c r="FV204">
        <v>1941</v>
      </c>
      <c r="FW204">
        <v>200</v>
      </c>
      <c r="FX204" t="s">
        <v>4070</v>
      </c>
      <c r="FY204">
        <v>5</v>
      </c>
      <c r="FZ204" t="s">
        <v>4055</v>
      </c>
      <c r="GA204" t="s">
        <v>4055</v>
      </c>
      <c r="GB204">
        <v>1941</v>
      </c>
      <c r="GC204">
        <v>19</v>
      </c>
      <c r="GD204">
        <v>4578</v>
      </c>
      <c r="GE204" t="s">
        <v>4792</v>
      </c>
      <c r="GF204" t="s">
        <v>4055</v>
      </c>
      <c r="GG204" t="s">
        <v>4055</v>
      </c>
      <c r="GH204" t="s">
        <v>4055</v>
      </c>
      <c r="GI204" t="s">
        <v>4071</v>
      </c>
      <c r="GJ204" t="s">
        <v>4055</v>
      </c>
      <c r="GK204" t="s">
        <v>4055</v>
      </c>
      <c r="GL204" t="s">
        <v>4055</v>
      </c>
      <c r="GM204" t="s">
        <v>4055</v>
      </c>
      <c r="GQ204">
        <v>0</v>
      </c>
      <c r="GV204">
        <v>8.300000000000001</v>
      </c>
      <c r="GW204">
        <v>11</v>
      </c>
      <c r="GX204">
        <v>0.5</v>
      </c>
      <c r="GY204">
        <v>206</v>
      </c>
      <c r="GZ204">
        <v>3</v>
      </c>
      <c r="HA204">
        <v>248</v>
      </c>
      <c r="HB204">
        <v>3</v>
      </c>
      <c r="HC204">
        <v>1941</v>
      </c>
      <c r="HD204">
        <v>4</v>
      </c>
      <c r="HE204" t="s">
        <v>4071</v>
      </c>
      <c r="HG204" t="s">
        <v>549</v>
      </c>
      <c r="HL204">
        <v>4</v>
      </c>
      <c r="HM204">
        <v>18</v>
      </c>
      <c r="HN204">
        <v>1</v>
      </c>
      <c r="HO204">
        <v>1</v>
      </c>
      <c r="HP204">
        <v>0</v>
      </c>
      <c r="HQ204">
        <v>0</v>
      </c>
      <c r="HR204">
        <v>3</v>
      </c>
      <c r="HS204">
        <v>1895</v>
      </c>
      <c r="HT204">
        <v>5</v>
      </c>
      <c r="HU204">
        <v>1</v>
      </c>
      <c r="HV204">
        <v>5</v>
      </c>
      <c r="HW204">
        <v>0</v>
      </c>
      <c r="HX204">
        <v>1</v>
      </c>
      <c r="HY204">
        <v>0</v>
      </c>
      <c r="HZ204">
        <v>63</v>
      </c>
      <c r="IA204">
        <v>1898</v>
      </c>
      <c r="IB204">
        <v>1910</v>
      </c>
      <c r="ID204">
        <v>1941</v>
      </c>
      <c r="IE204">
        <v>1941</v>
      </c>
      <c r="IF204">
        <v>215</v>
      </c>
      <c r="IG204">
        <v>205</v>
      </c>
      <c r="IH204">
        <v>248</v>
      </c>
      <c r="II204">
        <v>1</v>
      </c>
      <c r="IJ204">
        <v>5</v>
      </c>
      <c r="IK204">
        <v>0</v>
      </c>
      <c r="IL204">
        <v>0</v>
      </c>
      <c r="IM204">
        <v>0</v>
      </c>
      <c r="IN204">
        <v>270</v>
      </c>
      <c r="IO204">
        <v>0</v>
      </c>
      <c r="IP204">
        <v>180</v>
      </c>
      <c r="IQ204">
        <v>0</v>
      </c>
      <c r="IR204">
        <v>330</v>
      </c>
      <c r="IS204">
        <v>0</v>
      </c>
      <c r="IT204">
        <v>90</v>
      </c>
      <c r="IU204">
        <v>0</v>
      </c>
      <c r="IV204">
        <v>6.4</v>
      </c>
      <c r="IW204">
        <v>-6</v>
      </c>
      <c r="IX204">
        <v>110</v>
      </c>
      <c r="IY204">
        <v>80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348</v>
      </c>
      <c r="JJ204">
        <v>328</v>
      </c>
      <c r="JK204">
        <v>240</v>
      </c>
      <c r="JL204">
        <v>328</v>
      </c>
      <c r="JM204">
        <v>240</v>
      </c>
      <c r="JN204">
        <v>215</v>
      </c>
      <c r="JO204">
        <v>264</v>
      </c>
      <c r="JP204">
        <v>235</v>
      </c>
      <c r="JQ204">
        <v>268</v>
      </c>
      <c r="JR204">
        <v>318</v>
      </c>
      <c r="JS204">
        <v>290</v>
      </c>
      <c r="JT204">
        <v>0</v>
      </c>
      <c r="JU204">
        <v>0</v>
      </c>
      <c r="JV204">
        <v>310</v>
      </c>
      <c r="JW204">
        <v>311</v>
      </c>
      <c r="JX204">
        <v>300</v>
      </c>
      <c r="JY204">
        <v>0</v>
      </c>
      <c r="JZ204">
        <v>0.5</v>
      </c>
      <c r="KA204">
        <v>0.21</v>
      </c>
      <c r="KB204">
        <v>0.4</v>
      </c>
      <c r="KC204">
        <v>0.42</v>
      </c>
      <c r="KD204">
        <v>0.28</v>
      </c>
      <c r="KE204">
        <v>0.5</v>
      </c>
      <c r="KF204">
        <v>0.22</v>
      </c>
      <c r="KG204">
        <v>0.11</v>
      </c>
      <c r="KH204">
        <v>3.5</v>
      </c>
      <c r="KI204">
        <v>1</v>
      </c>
      <c r="KJ204">
        <v>4.5</v>
      </c>
      <c r="KK204">
        <v>0</v>
      </c>
      <c r="KL204">
        <v>4.5</v>
      </c>
      <c r="KM204">
        <v>0.5</v>
      </c>
      <c r="KN204">
        <v>1.4</v>
      </c>
      <c r="KO204">
        <v>0</v>
      </c>
      <c r="KP204">
        <v>0</v>
      </c>
      <c r="KQ204">
        <v>0.7</v>
      </c>
      <c r="KR204">
        <v>0.7</v>
      </c>
      <c r="KS204">
        <v>0.2</v>
      </c>
      <c r="KT204">
        <v>2.1</v>
      </c>
      <c r="KU204">
        <v>0</v>
      </c>
      <c r="KV204">
        <v>0</v>
      </c>
      <c r="KW204">
        <v>1</v>
      </c>
      <c r="KX204">
        <v>2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3</v>
      </c>
      <c r="LI204">
        <v>0</v>
      </c>
      <c r="LJ204">
        <v>0</v>
      </c>
      <c r="LK204">
        <v>4.5</v>
      </c>
      <c r="LL204">
        <v>4.5</v>
      </c>
      <c r="LM204">
        <v>7</v>
      </c>
      <c r="LN204">
        <v>0.4</v>
      </c>
      <c r="LO204">
        <v>3.5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1.6</v>
      </c>
      <c r="LX204">
        <v>1.6</v>
      </c>
      <c r="LY204">
        <v>1.8</v>
      </c>
      <c r="LZ204">
        <v>1.8</v>
      </c>
      <c r="MA204">
        <v>0</v>
      </c>
      <c r="MB204">
        <v>2.5</v>
      </c>
      <c r="MC204">
        <v>0</v>
      </c>
      <c r="MD204">
        <v>4.5</v>
      </c>
      <c r="ME204">
        <v>6</v>
      </c>
      <c r="MF204">
        <v>6</v>
      </c>
      <c r="MI204">
        <v>0</v>
      </c>
      <c r="MJ204">
        <v>0</v>
      </c>
      <c r="ML204">
        <v>0</v>
      </c>
      <c r="MM204">
        <v>390</v>
      </c>
      <c r="MN204">
        <v>210</v>
      </c>
      <c r="MO204">
        <v>264</v>
      </c>
      <c r="NU204">
        <v>0.15</v>
      </c>
      <c r="NV204">
        <v>0.2</v>
      </c>
      <c r="NW204">
        <v>0.2</v>
      </c>
      <c r="NX204">
        <v>0.2</v>
      </c>
      <c r="NY204">
        <v>0.2</v>
      </c>
      <c r="NZ204">
        <v>0.2</v>
      </c>
      <c r="OE204" t="s">
        <v>4792</v>
      </c>
      <c r="OF204" t="s">
        <v>4306</v>
      </c>
      <c r="OG204" t="s">
        <v>4307</v>
      </c>
      <c r="OH204" t="s">
        <v>4043</v>
      </c>
      <c r="OI204" t="s">
        <v>4792</v>
      </c>
      <c r="OJ204" t="s">
        <v>4791</v>
      </c>
      <c r="OK204">
        <v>61</v>
      </c>
      <c r="OL204">
        <v>61</v>
      </c>
      <c r="OM204" t="s">
        <v>4306</v>
      </c>
      <c r="ON204">
        <v>1</v>
      </c>
      <c r="OO204">
        <v>1898</v>
      </c>
      <c r="OP204">
        <v>61</v>
      </c>
      <c r="OQ204">
        <v>61</v>
      </c>
      <c r="OR204" t="s">
        <v>4307</v>
      </c>
      <c r="OS204">
        <v>1</v>
      </c>
      <c r="OT204">
        <v>1910</v>
      </c>
      <c r="OU204">
        <v>65</v>
      </c>
      <c r="OV204">
        <v>65</v>
      </c>
      <c r="OW204" t="s">
        <v>4043</v>
      </c>
      <c r="OX204">
        <v>2</v>
      </c>
      <c r="OY204">
        <v>43574</v>
      </c>
      <c r="OZ204">
        <v>51</v>
      </c>
      <c r="PA204">
        <v>52</v>
      </c>
      <c r="PB204" t="s">
        <v>4792</v>
      </c>
      <c r="PC204">
        <v>1</v>
      </c>
      <c r="PD204">
        <v>1941</v>
      </c>
      <c r="PF204">
        <v>465</v>
      </c>
      <c r="PG204">
        <v>35</v>
      </c>
      <c r="PH204">
        <v>443</v>
      </c>
      <c r="PI204">
        <v>0</v>
      </c>
      <c r="PJ204">
        <v>88.3</v>
      </c>
      <c r="PL204">
        <v>1087.9</v>
      </c>
      <c r="PM204">
        <v>1069.6</v>
      </c>
      <c r="PN204">
        <v>103.2</v>
      </c>
      <c r="PO204">
        <v>9.6</v>
      </c>
      <c r="PP204">
        <v>12</v>
      </c>
      <c r="PQ204">
        <v>1</v>
      </c>
      <c r="PR204">
        <v>1</v>
      </c>
      <c r="PS204">
        <v>7</v>
      </c>
      <c r="PT204">
        <v>248</v>
      </c>
      <c r="PU204">
        <v>10</v>
      </c>
      <c r="PV204" t="s">
        <v>4072</v>
      </c>
      <c r="PW204" t="s">
        <v>4072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-1</v>
      </c>
      <c r="QF204">
        <v>1</v>
      </c>
      <c r="QG204">
        <v>0</v>
      </c>
      <c r="QH204">
        <v>5</v>
      </c>
      <c r="QI204">
        <v>5</v>
      </c>
      <c r="QJ204">
        <v>5</v>
      </c>
      <c r="QK204">
        <v>169</v>
      </c>
      <c r="QL204">
        <v>382</v>
      </c>
      <c r="QM204">
        <v>7.5</v>
      </c>
      <c r="QN204">
        <v>1461.1</v>
      </c>
      <c r="QO204" t="s">
        <v>2662</v>
      </c>
      <c r="QP204" t="s">
        <v>513</v>
      </c>
      <c r="QQ204">
        <v>0</v>
      </c>
      <c r="QR204" t="s">
        <v>649</v>
      </c>
      <c r="QS204">
        <v>30</v>
      </c>
      <c r="QT204">
        <v>40</v>
      </c>
    </row>
    <row r="205" spans="1:462">
      <c r="A205" t="s">
        <v>2766</v>
      </c>
      <c r="B205" t="s">
        <v>804</v>
      </c>
      <c r="C205" t="s">
        <v>509</v>
      </c>
      <c r="D205" t="s">
        <v>2765</v>
      </c>
      <c r="E205" t="s">
        <v>4036</v>
      </c>
      <c r="H205" t="s">
        <v>1115</v>
      </c>
      <c r="J205" t="s">
        <v>562</v>
      </c>
      <c r="K205" t="s">
        <v>563</v>
      </c>
      <c r="L205" t="s">
        <v>508</v>
      </c>
      <c r="M205" t="s">
        <v>512</v>
      </c>
      <c r="N205" t="s">
        <v>515</v>
      </c>
      <c r="O205" t="s">
        <v>513</v>
      </c>
      <c r="P205" t="s">
        <v>517</v>
      </c>
      <c r="Q205" t="s">
        <v>2767</v>
      </c>
      <c r="R205" t="s">
        <v>867</v>
      </c>
      <c r="S205" t="s">
        <v>4134</v>
      </c>
      <c r="T205" t="s">
        <v>686</v>
      </c>
      <c r="U205" t="s">
        <v>687</v>
      </c>
      <c r="V205" t="s">
        <v>2577</v>
      </c>
      <c r="W205" t="s">
        <v>2657</v>
      </c>
      <c r="X205" t="s">
        <v>2768</v>
      </c>
      <c r="Y205" t="s">
        <v>2769</v>
      </c>
      <c r="Z205" t="s">
        <v>541</v>
      </c>
      <c r="AA205" t="s">
        <v>4038</v>
      </c>
      <c r="AB205" t="s">
        <v>4793</v>
      </c>
      <c r="AC205">
        <v>9</v>
      </c>
      <c r="AD205" t="s">
        <v>2764</v>
      </c>
      <c r="AE205">
        <v>2</v>
      </c>
      <c r="AF205">
        <v>5132</v>
      </c>
      <c r="AG205" t="s">
        <v>4794</v>
      </c>
      <c r="AH205">
        <v>1</v>
      </c>
      <c r="AI205" t="s">
        <v>4041</v>
      </c>
      <c r="AK205" t="s">
        <v>4795</v>
      </c>
      <c r="AL205">
        <v>1</v>
      </c>
      <c r="AM205" t="s">
        <v>582</v>
      </c>
      <c r="AO205" t="s">
        <v>4043</v>
      </c>
      <c r="AP205">
        <v>1</v>
      </c>
      <c r="AR205" t="s">
        <v>4796</v>
      </c>
      <c r="AS205">
        <v>1</v>
      </c>
      <c r="AT205">
        <v>52</v>
      </c>
      <c r="AV205" t="s">
        <v>4045</v>
      </c>
      <c r="AW205">
        <v>6.4</v>
      </c>
      <c r="AX205">
        <v>-6</v>
      </c>
      <c r="AY205">
        <v>112.5</v>
      </c>
      <c r="AZ205">
        <v>100.5</v>
      </c>
      <c r="BH205">
        <v>112.5</v>
      </c>
      <c r="BI205">
        <v>12</v>
      </c>
      <c r="BJ205">
        <v>100.5</v>
      </c>
      <c r="BK205">
        <v>2.5</v>
      </c>
      <c r="BL205">
        <v>225</v>
      </c>
      <c r="BM205">
        <v>-6</v>
      </c>
      <c r="BN205">
        <v>0</v>
      </c>
      <c r="BP205">
        <v>0</v>
      </c>
      <c r="BR205">
        <v>220</v>
      </c>
      <c r="BS205">
        <v>210</v>
      </c>
      <c r="BT205">
        <v>2080</v>
      </c>
      <c r="BU205" t="s">
        <v>4096</v>
      </c>
      <c r="BV205" t="s">
        <v>4127</v>
      </c>
      <c r="BW205" t="s">
        <v>4097</v>
      </c>
      <c r="BX205" t="s">
        <v>4128</v>
      </c>
      <c r="BY205" t="s">
        <v>4160</v>
      </c>
      <c r="BZ205" t="s">
        <v>4129</v>
      </c>
      <c r="CA205" t="s">
        <v>4130</v>
      </c>
      <c r="CB205" t="s">
        <v>4131</v>
      </c>
      <c r="CC205" t="s">
        <v>4053</v>
      </c>
      <c r="CD205" t="s">
        <v>4055</v>
      </c>
      <c r="CE205" t="s">
        <v>4055</v>
      </c>
      <c r="CF205" t="s">
        <v>4055</v>
      </c>
      <c r="CG205" t="s">
        <v>4056</v>
      </c>
      <c r="CI205" t="s">
        <v>4086</v>
      </c>
      <c r="CJ205" t="s">
        <v>4059</v>
      </c>
      <c r="CK205" t="s">
        <v>4060</v>
      </c>
      <c r="CL205" t="s">
        <v>4061</v>
      </c>
      <c r="CM205" t="s">
        <v>4055</v>
      </c>
      <c r="CN205" t="s">
        <v>4062</v>
      </c>
      <c r="CO205" t="s">
        <v>4063</v>
      </c>
      <c r="CP205" t="s">
        <v>4055</v>
      </c>
      <c r="CQ205" t="s">
        <v>4055</v>
      </c>
      <c r="CR205">
        <v>5</v>
      </c>
      <c r="CS205" t="s">
        <v>4055</v>
      </c>
      <c r="CT205" t="s">
        <v>4055</v>
      </c>
      <c r="CU205" t="s">
        <v>4055</v>
      </c>
      <c r="CV205">
        <v>139</v>
      </c>
      <c r="CW205">
        <v>3</v>
      </c>
      <c r="CX205">
        <v>96</v>
      </c>
      <c r="CY205">
        <v>5</v>
      </c>
      <c r="CZ205">
        <v>147</v>
      </c>
      <c r="DA205">
        <v>5</v>
      </c>
      <c r="DB205">
        <v>13420</v>
      </c>
      <c r="DC205">
        <v>400</v>
      </c>
      <c r="DD205">
        <v>335</v>
      </c>
      <c r="DE205">
        <v>2207</v>
      </c>
      <c r="DF205">
        <v>2207</v>
      </c>
      <c r="DG205">
        <v>2218</v>
      </c>
      <c r="DH205">
        <v>1</v>
      </c>
      <c r="DI205" t="s">
        <v>4055</v>
      </c>
      <c r="DJ205" t="s">
        <v>4064</v>
      </c>
      <c r="DK205">
        <v>220</v>
      </c>
      <c r="DL205" t="s">
        <v>4065</v>
      </c>
      <c r="DM205">
        <v>63</v>
      </c>
      <c r="DN205">
        <v>1.2</v>
      </c>
      <c r="DO205">
        <v>1</v>
      </c>
      <c r="DP205">
        <v>2084</v>
      </c>
      <c r="DQ205">
        <v>1052</v>
      </c>
      <c r="DR205" t="s">
        <v>4064</v>
      </c>
      <c r="DS205">
        <v>210</v>
      </c>
      <c r="DT205" t="s">
        <v>4065</v>
      </c>
      <c r="DU205">
        <v>63</v>
      </c>
      <c r="DV205">
        <v>1.2</v>
      </c>
      <c r="DW205">
        <v>1</v>
      </c>
      <c r="DX205">
        <v>2096</v>
      </c>
      <c r="DY205">
        <v>1010</v>
      </c>
      <c r="DZ205" t="s">
        <v>4066</v>
      </c>
      <c r="EA205">
        <v>20</v>
      </c>
      <c r="EB205" t="s">
        <v>4065</v>
      </c>
      <c r="EC205">
        <v>0.8</v>
      </c>
      <c r="ED205">
        <v>2084</v>
      </c>
      <c r="EE205">
        <v>73</v>
      </c>
      <c r="EG205">
        <v>0</v>
      </c>
      <c r="EH205" t="s">
        <v>4065</v>
      </c>
      <c r="EI205">
        <v>0</v>
      </c>
      <c r="EL205" t="s">
        <v>1528</v>
      </c>
      <c r="EM205">
        <v>12</v>
      </c>
      <c r="EN205">
        <v>0.5</v>
      </c>
      <c r="EO205">
        <v>0.96</v>
      </c>
      <c r="EP205">
        <v>2095.08</v>
      </c>
      <c r="EQ205">
        <v>38791.72</v>
      </c>
      <c r="ER205">
        <v>3939.58</v>
      </c>
      <c r="ES205">
        <v>0</v>
      </c>
      <c r="ET205">
        <v>0</v>
      </c>
      <c r="EU205">
        <v>1</v>
      </c>
      <c r="EV205">
        <v>42732</v>
      </c>
      <c r="EW205">
        <v>513</v>
      </c>
      <c r="EX205" t="s">
        <v>4755</v>
      </c>
      <c r="EY205">
        <v>242</v>
      </c>
      <c r="EZ205" t="s">
        <v>4055</v>
      </c>
      <c r="FA205">
        <v>4.4</v>
      </c>
      <c r="FB205">
        <v>1</v>
      </c>
      <c r="FC205">
        <v>1</v>
      </c>
      <c r="FD205">
        <v>2130</v>
      </c>
      <c r="FE205">
        <v>2641</v>
      </c>
      <c r="FF205" t="s">
        <v>4756</v>
      </c>
      <c r="FG205">
        <v>242</v>
      </c>
      <c r="FH205" t="s">
        <v>4055</v>
      </c>
      <c r="FI205">
        <v>4.2</v>
      </c>
      <c r="FJ205">
        <v>2130</v>
      </c>
      <c r="FK205">
        <v>2550</v>
      </c>
      <c r="FL205" t="s">
        <v>4069</v>
      </c>
      <c r="FM205" t="s">
        <v>4055</v>
      </c>
      <c r="FN205" t="s">
        <v>4055</v>
      </c>
      <c r="FO205" t="s">
        <v>4055</v>
      </c>
      <c r="FP205">
        <v>2130</v>
      </c>
      <c r="FQ205">
        <v>187</v>
      </c>
      <c r="FR205" t="s">
        <v>4090</v>
      </c>
      <c r="FS205">
        <v>246</v>
      </c>
      <c r="FT205" t="s">
        <v>4055</v>
      </c>
      <c r="FU205">
        <v>0.4</v>
      </c>
      <c r="FV205">
        <v>2130</v>
      </c>
      <c r="FW205">
        <v>233</v>
      </c>
      <c r="FX205" t="s">
        <v>4070</v>
      </c>
      <c r="FY205">
        <v>5</v>
      </c>
      <c r="FZ205" t="s">
        <v>4055</v>
      </c>
      <c r="GA205" t="s">
        <v>4055</v>
      </c>
      <c r="GB205">
        <v>2130</v>
      </c>
      <c r="GC205">
        <v>22</v>
      </c>
      <c r="GD205">
        <v>5633</v>
      </c>
      <c r="GE205" t="s">
        <v>4796</v>
      </c>
      <c r="GF205" t="s">
        <v>4055</v>
      </c>
      <c r="GG205" t="s">
        <v>4055</v>
      </c>
      <c r="GH205" t="s">
        <v>4055</v>
      </c>
      <c r="GI205" t="s">
        <v>4071</v>
      </c>
      <c r="GJ205" t="s">
        <v>4055</v>
      </c>
      <c r="GK205" t="s">
        <v>4055</v>
      </c>
      <c r="GL205" t="s">
        <v>4055</v>
      </c>
      <c r="GM205" t="s">
        <v>4055</v>
      </c>
      <c r="GQ205">
        <v>0</v>
      </c>
      <c r="GV205">
        <v>9</v>
      </c>
      <c r="GW205">
        <v>11.5</v>
      </c>
      <c r="GX205">
        <v>0.5</v>
      </c>
      <c r="GY205">
        <v>216</v>
      </c>
      <c r="GZ205">
        <v>3</v>
      </c>
      <c r="HA205">
        <v>262</v>
      </c>
      <c r="HB205">
        <v>3</v>
      </c>
      <c r="HC205">
        <v>2130</v>
      </c>
      <c r="HD205">
        <v>4</v>
      </c>
      <c r="HE205" t="s">
        <v>4071</v>
      </c>
      <c r="HG205" t="s">
        <v>549</v>
      </c>
      <c r="HL205">
        <v>4</v>
      </c>
      <c r="HM205">
        <v>19</v>
      </c>
      <c r="HN205">
        <v>6</v>
      </c>
      <c r="HO205">
        <v>1</v>
      </c>
      <c r="HP205">
        <v>0</v>
      </c>
      <c r="HQ205">
        <v>0</v>
      </c>
      <c r="HR205">
        <v>2</v>
      </c>
      <c r="HS205">
        <v>2080</v>
      </c>
      <c r="HT205">
        <v>5</v>
      </c>
      <c r="HU205">
        <v>1</v>
      </c>
      <c r="HV205">
        <v>5</v>
      </c>
      <c r="HW205">
        <v>0</v>
      </c>
      <c r="HX205">
        <v>1</v>
      </c>
      <c r="HY205">
        <v>0</v>
      </c>
      <c r="HZ205">
        <v>63</v>
      </c>
      <c r="IA205">
        <v>2084</v>
      </c>
      <c r="IB205">
        <v>2096</v>
      </c>
      <c r="ID205">
        <v>2130</v>
      </c>
      <c r="IE205">
        <v>2130</v>
      </c>
      <c r="IF205">
        <v>220</v>
      </c>
      <c r="IG205">
        <v>210</v>
      </c>
      <c r="IH205">
        <v>262</v>
      </c>
      <c r="II205">
        <v>1</v>
      </c>
      <c r="IJ205">
        <v>5</v>
      </c>
      <c r="IK205">
        <v>0</v>
      </c>
      <c r="IL205">
        <v>0</v>
      </c>
      <c r="IM205">
        <v>0</v>
      </c>
      <c r="IN205">
        <v>270</v>
      </c>
      <c r="IO205">
        <v>0</v>
      </c>
      <c r="IP205">
        <v>180</v>
      </c>
      <c r="IQ205">
        <v>0</v>
      </c>
      <c r="IR205">
        <v>330</v>
      </c>
      <c r="IS205">
        <v>0</v>
      </c>
      <c r="IT205">
        <v>90</v>
      </c>
      <c r="IU205">
        <v>0</v>
      </c>
      <c r="IV205">
        <v>6.4</v>
      </c>
      <c r="IW205">
        <v>-6</v>
      </c>
      <c r="IX205">
        <v>112.5</v>
      </c>
      <c r="IY205">
        <v>100.5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380</v>
      </c>
      <c r="JJ205">
        <v>350</v>
      </c>
      <c r="JK205">
        <v>252</v>
      </c>
      <c r="JL205">
        <v>346</v>
      </c>
      <c r="JM205">
        <v>252</v>
      </c>
      <c r="JN205">
        <v>215</v>
      </c>
      <c r="JO205">
        <v>272</v>
      </c>
      <c r="JP205">
        <v>200</v>
      </c>
      <c r="JQ205">
        <v>250</v>
      </c>
      <c r="JR205">
        <v>295</v>
      </c>
      <c r="JS205">
        <v>230</v>
      </c>
      <c r="JT205">
        <v>0</v>
      </c>
      <c r="JU205">
        <v>0</v>
      </c>
      <c r="JV205">
        <v>290</v>
      </c>
      <c r="JW205">
        <v>280</v>
      </c>
      <c r="JX205">
        <v>275</v>
      </c>
      <c r="JY205">
        <v>255</v>
      </c>
      <c r="JZ205">
        <v>0.5</v>
      </c>
      <c r="KA205">
        <v>0.2</v>
      </c>
      <c r="KB205">
        <v>0.4</v>
      </c>
      <c r="KC205">
        <v>0.42</v>
      </c>
      <c r="KD205">
        <v>0.28</v>
      </c>
      <c r="KE205">
        <v>0.5</v>
      </c>
      <c r="KF205">
        <v>0.2</v>
      </c>
      <c r="KG205">
        <v>0.11</v>
      </c>
      <c r="KH205">
        <v>3.5</v>
      </c>
      <c r="KI205">
        <v>1</v>
      </c>
      <c r="KJ205">
        <v>4.5</v>
      </c>
      <c r="KK205">
        <v>0</v>
      </c>
      <c r="KL205">
        <v>4.5</v>
      </c>
      <c r="KM205">
        <v>0</v>
      </c>
      <c r="KN205">
        <v>1.8</v>
      </c>
      <c r="KO205">
        <v>0</v>
      </c>
      <c r="KP205">
        <v>0</v>
      </c>
      <c r="KQ205">
        <v>1</v>
      </c>
      <c r="KR205">
        <v>0.8</v>
      </c>
      <c r="KS205">
        <v>0</v>
      </c>
      <c r="KT205">
        <v>2.7</v>
      </c>
      <c r="KU205">
        <v>0</v>
      </c>
      <c r="KV205">
        <v>0</v>
      </c>
      <c r="KW205">
        <v>1.2</v>
      </c>
      <c r="KX205">
        <v>2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3</v>
      </c>
      <c r="LI205">
        <v>0.5</v>
      </c>
      <c r="LJ205">
        <v>0</v>
      </c>
      <c r="LK205">
        <v>8</v>
      </c>
      <c r="LL205">
        <v>4</v>
      </c>
      <c r="LM205">
        <v>9</v>
      </c>
      <c r="LN205">
        <v>1</v>
      </c>
      <c r="LO205">
        <v>0.1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1.8</v>
      </c>
      <c r="LX205">
        <v>1.8</v>
      </c>
      <c r="LY205">
        <v>2.1</v>
      </c>
      <c r="LZ205">
        <v>2.1</v>
      </c>
      <c r="MA205">
        <v>0</v>
      </c>
      <c r="MB205">
        <v>2.5</v>
      </c>
      <c r="MC205">
        <v>0</v>
      </c>
      <c r="MD205">
        <v>4.5</v>
      </c>
      <c r="ME205">
        <v>6</v>
      </c>
      <c r="MF205">
        <v>6</v>
      </c>
      <c r="MI205">
        <v>0</v>
      </c>
      <c r="MJ205">
        <v>0</v>
      </c>
      <c r="ML205">
        <v>0</v>
      </c>
      <c r="MM205">
        <v>390</v>
      </c>
      <c r="MN205">
        <v>215</v>
      </c>
      <c r="MO205">
        <v>272</v>
      </c>
      <c r="NU205">
        <v>0.15</v>
      </c>
      <c r="NV205">
        <v>0.25</v>
      </c>
      <c r="NW205">
        <v>0.3</v>
      </c>
      <c r="NX205">
        <v>0.2</v>
      </c>
      <c r="NY205">
        <v>0.2</v>
      </c>
      <c r="NZ205">
        <v>0.2</v>
      </c>
      <c r="OE205" t="s">
        <v>4796</v>
      </c>
      <c r="OF205" t="s">
        <v>4794</v>
      </c>
      <c r="OG205" t="s">
        <v>4795</v>
      </c>
      <c r="OH205" t="s">
        <v>4043</v>
      </c>
      <c r="OI205" t="s">
        <v>4796</v>
      </c>
      <c r="OJ205" t="s">
        <v>4793</v>
      </c>
      <c r="OK205">
        <v>61</v>
      </c>
      <c r="OL205">
        <v>61</v>
      </c>
      <c r="OM205" t="s">
        <v>4794</v>
      </c>
      <c r="ON205">
        <v>1</v>
      </c>
      <c r="OO205">
        <v>2084</v>
      </c>
      <c r="OP205">
        <v>61</v>
      </c>
      <c r="OQ205">
        <v>61</v>
      </c>
      <c r="OR205" t="s">
        <v>4795</v>
      </c>
      <c r="OS205">
        <v>1</v>
      </c>
      <c r="OT205">
        <v>2096</v>
      </c>
      <c r="OU205">
        <v>65</v>
      </c>
      <c r="OV205">
        <v>65</v>
      </c>
      <c r="OW205" t="s">
        <v>4043</v>
      </c>
      <c r="OX205">
        <v>1</v>
      </c>
      <c r="OY205">
        <v>42732</v>
      </c>
      <c r="OZ205">
        <v>51</v>
      </c>
      <c r="PA205">
        <v>52</v>
      </c>
      <c r="PB205" t="s">
        <v>4796</v>
      </c>
      <c r="PC205">
        <v>1</v>
      </c>
      <c r="PD205">
        <v>2130</v>
      </c>
      <c r="PF205">
        <v>505</v>
      </c>
      <c r="PG205">
        <v>35</v>
      </c>
      <c r="PH205">
        <v>482</v>
      </c>
      <c r="PI205">
        <v>0</v>
      </c>
      <c r="PJ205">
        <v>87.59999999999999</v>
      </c>
      <c r="PL205">
        <v>1239.7</v>
      </c>
      <c r="PM205">
        <v>1197</v>
      </c>
      <c r="PN205">
        <v>109.5</v>
      </c>
      <c r="PO205">
        <v>10.5</v>
      </c>
      <c r="PP205">
        <v>12</v>
      </c>
      <c r="PQ205">
        <v>3</v>
      </c>
      <c r="PR205">
        <v>5</v>
      </c>
      <c r="PS205">
        <v>0</v>
      </c>
      <c r="PT205">
        <v>262</v>
      </c>
      <c r="PU205">
        <v>10</v>
      </c>
      <c r="PV205" t="s">
        <v>4072</v>
      </c>
      <c r="PW205" t="s">
        <v>4072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-1</v>
      </c>
      <c r="QF205">
        <v>1</v>
      </c>
      <c r="QG205">
        <v>0</v>
      </c>
      <c r="QH205">
        <v>5</v>
      </c>
      <c r="QI205">
        <v>5</v>
      </c>
      <c r="QJ205">
        <v>5</v>
      </c>
      <c r="QK205">
        <v>206</v>
      </c>
      <c r="QL205">
        <v>410</v>
      </c>
      <c r="QM205">
        <v>7.5</v>
      </c>
      <c r="QN205">
        <v>1544.1</v>
      </c>
      <c r="QO205" t="s">
        <v>2662</v>
      </c>
      <c r="QP205" t="s">
        <v>513</v>
      </c>
      <c r="QQ205">
        <v>0</v>
      </c>
      <c r="QR205" t="s">
        <v>596</v>
      </c>
      <c r="QS205">
        <v>40</v>
      </c>
      <c r="QT205">
        <v>50</v>
      </c>
    </row>
    <row r="206" spans="1:462">
      <c r="A206" t="s">
        <v>2775</v>
      </c>
      <c r="B206" t="s">
        <v>629</v>
      </c>
      <c r="C206" t="s">
        <v>509</v>
      </c>
      <c r="D206" t="s">
        <v>1738</v>
      </c>
      <c r="E206" t="s">
        <v>4036</v>
      </c>
      <c r="H206" t="s">
        <v>1088</v>
      </c>
      <c r="L206" t="s">
        <v>711</v>
      </c>
      <c r="M206" t="s">
        <v>512</v>
      </c>
      <c r="O206" t="s">
        <v>513</v>
      </c>
      <c r="P206" t="s">
        <v>517</v>
      </c>
      <c r="Q206" t="s">
        <v>926</v>
      </c>
      <c r="R206" t="s">
        <v>927</v>
      </c>
      <c r="S206" t="s">
        <v>4073</v>
      </c>
      <c r="T206" t="s">
        <v>570</v>
      </c>
      <c r="U206" t="s">
        <v>571</v>
      </c>
      <c r="V206" t="s">
        <v>1241</v>
      </c>
      <c r="W206" t="s">
        <v>2657</v>
      </c>
      <c r="X206" t="s">
        <v>2776</v>
      </c>
      <c r="Y206" t="s">
        <v>2777</v>
      </c>
      <c r="Z206" t="s">
        <v>541</v>
      </c>
      <c r="AA206" t="s">
        <v>4038</v>
      </c>
      <c r="AB206" t="s">
        <v>4797</v>
      </c>
      <c r="AC206">
        <v>9</v>
      </c>
      <c r="AD206" t="s">
        <v>2774</v>
      </c>
      <c r="AE206">
        <v>4</v>
      </c>
      <c r="AF206">
        <v>6247</v>
      </c>
      <c r="AG206" t="s">
        <v>4341</v>
      </c>
      <c r="AH206">
        <v>1</v>
      </c>
      <c r="AI206" t="s">
        <v>4041</v>
      </c>
      <c r="AK206" t="s">
        <v>4342</v>
      </c>
      <c r="AL206">
        <v>1</v>
      </c>
      <c r="AM206" t="s">
        <v>582</v>
      </c>
      <c r="AO206" t="s">
        <v>4043</v>
      </c>
      <c r="AP206">
        <v>1</v>
      </c>
      <c r="AR206" t="s">
        <v>4798</v>
      </c>
      <c r="AS206">
        <v>1</v>
      </c>
      <c r="AT206">
        <v>52</v>
      </c>
      <c r="AV206" t="s">
        <v>4078</v>
      </c>
      <c r="AW206">
        <v>6.4</v>
      </c>
      <c r="AX206">
        <v>-6</v>
      </c>
      <c r="AY206">
        <v>112.5</v>
      </c>
      <c r="AZ206">
        <v>82.5</v>
      </c>
      <c r="BH206">
        <v>112.5</v>
      </c>
      <c r="BI206">
        <v>30</v>
      </c>
      <c r="BJ206">
        <v>82.5</v>
      </c>
      <c r="BK206">
        <v>2.5</v>
      </c>
      <c r="BL206">
        <v>225</v>
      </c>
      <c r="BM206">
        <v>-6</v>
      </c>
      <c r="BN206">
        <v>0</v>
      </c>
      <c r="BO206">
        <v>0</v>
      </c>
      <c r="BP206">
        <v>0</v>
      </c>
      <c r="BR206">
        <v>220</v>
      </c>
      <c r="BS206">
        <v>210</v>
      </c>
      <c r="BT206">
        <v>2230</v>
      </c>
      <c r="BU206" t="s">
        <v>4079</v>
      </c>
      <c r="BV206" t="s">
        <v>4079</v>
      </c>
      <c r="BW206" t="s">
        <v>4081</v>
      </c>
      <c r="BX206" t="s">
        <v>4081</v>
      </c>
      <c r="BY206" t="s">
        <v>4164</v>
      </c>
      <c r="BZ206" t="s">
        <v>4199</v>
      </c>
      <c r="CA206" t="s">
        <v>4084</v>
      </c>
      <c r="CB206" t="s">
        <v>4085</v>
      </c>
      <c r="CC206" t="s">
        <v>4053</v>
      </c>
      <c r="CD206" t="s">
        <v>4055</v>
      </c>
      <c r="CE206" t="s">
        <v>4055</v>
      </c>
      <c r="CF206" t="s">
        <v>4055</v>
      </c>
      <c r="CG206" t="s">
        <v>4056</v>
      </c>
      <c r="CI206" t="s">
        <v>4086</v>
      </c>
      <c r="CJ206" t="s">
        <v>4059</v>
      </c>
      <c r="CK206" t="s">
        <v>4060</v>
      </c>
      <c r="CL206" t="s">
        <v>4061</v>
      </c>
      <c r="CM206" t="s">
        <v>4055</v>
      </c>
      <c r="CN206" t="s">
        <v>4062</v>
      </c>
      <c r="CO206" t="s">
        <v>4063</v>
      </c>
      <c r="CP206" t="s">
        <v>4055</v>
      </c>
      <c r="CQ206" t="s">
        <v>4055</v>
      </c>
      <c r="CR206">
        <v>5</v>
      </c>
      <c r="CS206" t="s">
        <v>4055</v>
      </c>
      <c r="CT206" t="s">
        <v>4055</v>
      </c>
      <c r="CU206" t="s">
        <v>4055</v>
      </c>
      <c r="CV206">
        <v>140</v>
      </c>
      <c r="CW206">
        <v>3</v>
      </c>
      <c r="CX206">
        <v>92</v>
      </c>
      <c r="CY206">
        <v>5</v>
      </c>
      <c r="CZ206">
        <v>162</v>
      </c>
      <c r="DA206">
        <v>5</v>
      </c>
      <c r="DB206">
        <v>15240</v>
      </c>
      <c r="DC206">
        <v>450</v>
      </c>
      <c r="DD206">
        <v>375</v>
      </c>
      <c r="DE206">
        <v>2355</v>
      </c>
      <c r="DF206">
        <v>2355</v>
      </c>
      <c r="DG206">
        <v>2377</v>
      </c>
      <c r="DH206">
        <v>1</v>
      </c>
      <c r="DI206" t="s">
        <v>4055</v>
      </c>
      <c r="DJ206" t="s">
        <v>4217</v>
      </c>
      <c r="DK206">
        <v>220</v>
      </c>
      <c r="DL206" t="s">
        <v>4065</v>
      </c>
      <c r="DM206">
        <v>63</v>
      </c>
      <c r="DN206">
        <v>1.26</v>
      </c>
      <c r="DO206">
        <v>1</v>
      </c>
      <c r="DP206">
        <v>2234</v>
      </c>
      <c r="DQ206">
        <v>1186</v>
      </c>
      <c r="DR206" t="s">
        <v>4217</v>
      </c>
      <c r="DS206">
        <v>210</v>
      </c>
      <c r="DT206" t="s">
        <v>4065</v>
      </c>
      <c r="DU206">
        <v>63</v>
      </c>
      <c r="DV206">
        <v>1.26</v>
      </c>
      <c r="DW206">
        <v>1</v>
      </c>
      <c r="DX206">
        <v>2247</v>
      </c>
      <c r="DY206">
        <v>1139</v>
      </c>
      <c r="DZ206" t="s">
        <v>4066</v>
      </c>
      <c r="EA206">
        <v>20</v>
      </c>
      <c r="EB206" t="s">
        <v>4065</v>
      </c>
      <c r="EC206">
        <v>0.8</v>
      </c>
      <c r="ED206">
        <v>2234</v>
      </c>
      <c r="EE206">
        <v>78</v>
      </c>
      <c r="EG206">
        <v>0</v>
      </c>
      <c r="EH206" t="s">
        <v>4065</v>
      </c>
      <c r="EI206">
        <v>0</v>
      </c>
      <c r="EL206" t="s">
        <v>1528</v>
      </c>
      <c r="EM206">
        <v>12</v>
      </c>
      <c r="EN206">
        <v>0.5</v>
      </c>
      <c r="EO206">
        <v>0.96</v>
      </c>
      <c r="EP206">
        <v>2245.84</v>
      </c>
      <c r="EQ206">
        <v>41583.13</v>
      </c>
      <c r="ER206">
        <v>10555.65</v>
      </c>
      <c r="ES206">
        <v>0</v>
      </c>
      <c r="ET206">
        <v>0</v>
      </c>
      <c r="EU206">
        <v>1</v>
      </c>
      <c r="EV206">
        <v>52139</v>
      </c>
      <c r="EW206">
        <v>626</v>
      </c>
      <c r="EX206" t="s">
        <v>4755</v>
      </c>
      <c r="EY206">
        <v>248</v>
      </c>
      <c r="EZ206" t="s">
        <v>4055</v>
      </c>
      <c r="FA206">
        <v>4.5</v>
      </c>
      <c r="FB206">
        <v>1</v>
      </c>
      <c r="FC206">
        <v>1</v>
      </c>
      <c r="FD206">
        <v>2279</v>
      </c>
      <c r="FE206">
        <v>2922</v>
      </c>
      <c r="FF206" t="s">
        <v>4756</v>
      </c>
      <c r="FG206">
        <v>248</v>
      </c>
      <c r="FH206" t="s">
        <v>4055</v>
      </c>
      <c r="FI206">
        <v>3.6</v>
      </c>
      <c r="FJ206">
        <v>2279</v>
      </c>
      <c r="FK206">
        <v>2541</v>
      </c>
      <c r="FL206" t="s">
        <v>4069</v>
      </c>
      <c r="FM206" t="s">
        <v>4055</v>
      </c>
      <c r="FN206" t="s">
        <v>4055</v>
      </c>
      <c r="FO206" t="s">
        <v>4055</v>
      </c>
      <c r="FP206">
        <v>2279</v>
      </c>
      <c r="FQ206">
        <v>214</v>
      </c>
      <c r="FR206" t="s">
        <v>4090</v>
      </c>
      <c r="FS206">
        <v>252</v>
      </c>
      <c r="FT206" t="s">
        <v>4055</v>
      </c>
      <c r="FU206">
        <v>0.4</v>
      </c>
      <c r="FV206">
        <v>2279</v>
      </c>
      <c r="FW206">
        <v>255</v>
      </c>
      <c r="FX206" t="s">
        <v>4070</v>
      </c>
      <c r="FY206">
        <v>5</v>
      </c>
      <c r="FZ206" t="s">
        <v>4055</v>
      </c>
      <c r="GA206" t="s">
        <v>4055</v>
      </c>
      <c r="GB206">
        <v>2279</v>
      </c>
      <c r="GC206">
        <v>23</v>
      </c>
      <c r="GD206">
        <v>5955</v>
      </c>
      <c r="GE206" t="s">
        <v>4798</v>
      </c>
      <c r="GF206" t="s">
        <v>4055</v>
      </c>
      <c r="GG206" t="s">
        <v>4055</v>
      </c>
      <c r="GH206" t="s">
        <v>4055</v>
      </c>
      <c r="GI206" t="s">
        <v>4071</v>
      </c>
      <c r="GJ206" t="s">
        <v>4055</v>
      </c>
      <c r="GK206" t="s">
        <v>4055</v>
      </c>
      <c r="GL206" t="s">
        <v>4055</v>
      </c>
      <c r="GM206" t="s">
        <v>4055</v>
      </c>
      <c r="GQ206">
        <v>0</v>
      </c>
      <c r="GV206">
        <v>8.5</v>
      </c>
      <c r="GW206">
        <v>11.5</v>
      </c>
      <c r="GX206">
        <v>0.5</v>
      </c>
      <c r="GY206">
        <v>216</v>
      </c>
      <c r="GZ206">
        <v>3</v>
      </c>
      <c r="HA206">
        <v>268</v>
      </c>
      <c r="HB206">
        <v>3</v>
      </c>
      <c r="HC206">
        <v>2279</v>
      </c>
      <c r="HD206">
        <v>4</v>
      </c>
      <c r="HE206" t="s">
        <v>4071</v>
      </c>
      <c r="HG206" t="s">
        <v>549</v>
      </c>
      <c r="HL206">
        <v>4</v>
      </c>
      <c r="HM206">
        <v>20</v>
      </c>
      <c r="HN206">
        <v>6</v>
      </c>
      <c r="HO206">
        <v>1</v>
      </c>
      <c r="HP206">
        <v>0</v>
      </c>
      <c r="HQ206">
        <v>0</v>
      </c>
      <c r="HR206">
        <v>3</v>
      </c>
      <c r="HS206">
        <v>2230</v>
      </c>
      <c r="HT206">
        <v>5</v>
      </c>
      <c r="HU206">
        <v>1</v>
      </c>
      <c r="HV206">
        <v>5</v>
      </c>
      <c r="HW206">
        <v>0</v>
      </c>
      <c r="HX206">
        <v>1</v>
      </c>
      <c r="HY206">
        <v>0</v>
      </c>
      <c r="HZ206">
        <v>63</v>
      </c>
      <c r="IA206">
        <v>2234</v>
      </c>
      <c r="IB206">
        <v>2247</v>
      </c>
      <c r="ID206">
        <v>2279</v>
      </c>
      <c r="IE206">
        <v>2279</v>
      </c>
      <c r="IF206">
        <v>220</v>
      </c>
      <c r="IG206">
        <v>210</v>
      </c>
      <c r="IH206">
        <v>268</v>
      </c>
      <c r="II206">
        <v>1</v>
      </c>
      <c r="IJ206">
        <v>5</v>
      </c>
      <c r="IK206">
        <v>0</v>
      </c>
      <c r="IL206">
        <v>0</v>
      </c>
      <c r="IM206">
        <v>0</v>
      </c>
      <c r="IN206">
        <v>270</v>
      </c>
      <c r="IO206">
        <v>0</v>
      </c>
      <c r="IP206">
        <v>180</v>
      </c>
      <c r="IQ206">
        <v>0</v>
      </c>
      <c r="IR206">
        <v>330</v>
      </c>
      <c r="IS206">
        <v>0</v>
      </c>
      <c r="IT206">
        <v>90</v>
      </c>
      <c r="IU206">
        <v>0</v>
      </c>
      <c r="IV206">
        <v>6.4</v>
      </c>
      <c r="IW206">
        <v>-6</v>
      </c>
      <c r="IX206">
        <v>112.5</v>
      </c>
      <c r="IY206">
        <v>82.5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418</v>
      </c>
      <c r="JJ206">
        <v>388</v>
      </c>
      <c r="JK206">
        <v>280</v>
      </c>
      <c r="JL206">
        <v>388</v>
      </c>
      <c r="JM206">
        <v>320</v>
      </c>
      <c r="JN206">
        <v>220</v>
      </c>
      <c r="JO206">
        <v>278</v>
      </c>
      <c r="JP206">
        <v>200</v>
      </c>
      <c r="JQ206">
        <v>240</v>
      </c>
      <c r="JR206">
        <v>300</v>
      </c>
      <c r="JS206">
        <v>230</v>
      </c>
      <c r="JT206">
        <v>0</v>
      </c>
      <c r="JU206">
        <v>0</v>
      </c>
      <c r="JV206">
        <v>300</v>
      </c>
      <c r="JW206">
        <v>310</v>
      </c>
      <c r="JX206">
        <v>290</v>
      </c>
      <c r="JY206">
        <v>250</v>
      </c>
      <c r="JZ206">
        <v>0.5</v>
      </c>
      <c r="KA206">
        <v>0.2</v>
      </c>
      <c r="KB206">
        <v>0.4</v>
      </c>
      <c r="KC206">
        <v>0.42</v>
      </c>
      <c r="KD206">
        <v>0.3</v>
      </c>
      <c r="KE206">
        <v>0.5</v>
      </c>
      <c r="KF206">
        <v>0.2</v>
      </c>
      <c r="KG206">
        <v>0.12</v>
      </c>
      <c r="KH206">
        <v>4.5</v>
      </c>
      <c r="KI206">
        <v>1</v>
      </c>
      <c r="KJ206">
        <v>4.5</v>
      </c>
      <c r="KK206">
        <v>0</v>
      </c>
      <c r="KL206">
        <v>4.5</v>
      </c>
      <c r="KM206">
        <v>0</v>
      </c>
      <c r="KN206">
        <v>2</v>
      </c>
      <c r="KO206">
        <v>0</v>
      </c>
      <c r="KP206">
        <v>0</v>
      </c>
      <c r="KQ206">
        <v>0.5</v>
      </c>
      <c r="KR206">
        <v>1</v>
      </c>
      <c r="KS206">
        <v>0</v>
      </c>
      <c r="KT206">
        <v>3</v>
      </c>
      <c r="KU206">
        <v>0</v>
      </c>
      <c r="KV206">
        <v>0</v>
      </c>
      <c r="KW206">
        <v>1.2</v>
      </c>
      <c r="KX206">
        <v>1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3</v>
      </c>
      <c r="LI206">
        <v>0.5</v>
      </c>
      <c r="LJ206">
        <v>0</v>
      </c>
      <c r="LK206">
        <v>5.5</v>
      </c>
      <c r="LL206">
        <v>7</v>
      </c>
      <c r="LM206">
        <v>9</v>
      </c>
      <c r="LN206">
        <v>0.1</v>
      </c>
      <c r="LO206">
        <v>1</v>
      </c>
      <c r="LP206">
        <v>0</v>
      </c>
      <c r="LQ206">
        <v>0</v>
      </c>
      <c r="LR206">
        <v>0</v>
      </c>
      <c r="LS206">
        <v>1</v>
      </c>
      <c r="LT206">
        <v>0</v>
      </c>
      <c r="LU206">
        <v>0</v>
      </c>
      <c r="LV206">
        <v>0</v>
      </c>
      <c r="LW206">
        <v>2.4</v>
      </c>
      <c r="LX206">
        <v>2.4</v>
      </c>
      <c r="LY206">
        <v>2.8</v>
      </c>
      <c r="LZ206">
        <v>2.8</v>
      </c>
      <c r="MA206">
        <v>0</v>
      </c>
      <c r="MB206">
        <v>4</v>
      </c>
      <c r="MC206">
        <v>0</v>
      </c>
      <c r="MD206">
        <v>4.5</v>
      </c>
      <c r="ME206">
        <v>6</v>
      </c>
      <c r="MF206">
        <v>6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452</v>
      </c>
      <c r="MN206">
        <v>205</v>
      </c>
      <c r="MO206">
        <v>266</v>
      </c>
      <c r="NU206">
        <v>0.15</v>
      </c>
      <c r="NV206">
        <v>0.2</v>
      </c>
      <c r="NW206">
        <v>0.2</v>
      </c>
      <c r="NX206">
        <v>0.2</v>
      </c>
      <c r="NY206">
        <v>0.2</v>
      </c>
      <c r="NZ206">
        <v>0.2</v>
      </c>
      <c r="OE206" t="s">
        <v>4798</v>
      </c>
      <c r="OF206" t="s">
        <v>4341</v>
      </c>
      <c r="OG206" t="s">
        <v>4342</v>
      </c>
      <c r="OH206" t="s">
        <v>4043</v>
      </c>
      <c r="OI206" t="s">
        <v>4798</v>
      </c>
      <c r="OJ206" t="s">
        <v>4797</v>
      </c>
      <c r="OK206">
        <v>61</v>
      </c>
      <c r="OL206">
        <v>61</v>
      </c>
      <c r="OM206" t="s">
        <v>4341</v>
      </c>
      <c r="ON206">
        <v>1</v>
      </c>
      <c r="OO206">
        <v>2234</v>
      </c>
      <c r="OP206">
        <v>61</v>
      </c>
      <c r="OQ206">
        <v>61</v>
      </c>
      <c r="OR206" t="s">
        <v>4342</v>
      </c>
      <c r="OS206">
        <v>1</v>
      </c>
      <c r="OT206">
        <v>2247</v>
      </c>
      <c r="OU206">
        <v>65</v>
      </c>
      <c r="OV206">
        <v>65</v>
      </c>
      <c r="OW206" t="s">
        <v>4043</v>
      </c>
      <c r="OX206">
        <v>2</v>
      </c>
      <c r="OY206">
        <v>52139</v>
      </c>
      <c r="OZ206">
        <v>51</v>
      </c>
      <c r="PA206">
        <v>52</v>
      </c>
      <c r="PB206" t="s">
        <v>4798</v>
      </c>
      <c r="PC206">
        <v>2</v>
      </c>
      <c r="PD206">
        <v>2279</v>
      </c>
      <c r="PF206">
        <v>531</v>
      </c>
      <c r="PG206">
        <v>35</v>
      </c>
      <c r="PH206">
        <v>507</v>
      </c>
      <c r="PI206">
        <v>0</v>
      </c>
      <c r="PJ206">
        <v>94</v>
      </c>
      <c r="PK206">
        <v>2633</v>
      </c>
      <c r="PL206">
        <v>1282</v>
      </c>
      <c r="PM206">
        <v>1114.9</v>
      </c>
      <c r="PN206">
        <v>112.1</v>
      </c>
      <c r="PO206">
        <v>9.9</v>
      </c>
      <c r="PP206">
        <v>12</v>
      </c>
      <c r="PQ206">
        <v>4</v>
      </c>
      <c r="PR206">
        <v>4</v>
      </c>
      <c r="PS206">
        <v>0</v>
      </c>
      <c r="PT206">
        <v>268</v>
      </c>
      <c r="PU206">
        <v>10</v>
      </c>
      <c r="PV206" t="s">
        <v>4072</v>
      </c>
      <c r="PW206" t="s">
        <v>4072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-1</v>
      </c>
      <c r="QF206">
        <v>1</v>
      </c>
      <c r="QG206">
        <v>0</v>
      </c>
      <c r="QH206">
        <v>5</v>
      </c>
      <c r="QI206">
        <v>5</v>
      </c>
      <c r="QJ206">
        <v>5</v>
      </c>
      <c r="QK206">
        <v>225</v>
      </c>
      <c r="QL206">
        <v>448</v>
      </c>
      <c r="QM206">
        <v>7.5</v>
      </c>
      <c r="QN206">
        <v>1623.8</v>
      </c>
      <c r="QO206" t="s">
        <v>2662</v>
      </c>
      <c r="QP206" t="s">
        <v>513</v>
      </c>
      <c r="QQ206">
        <v>0</v>
      </c>
      <c r="QR206" t="s">
        <v>596</v>
      </c>
      <c r="QS206">
        <v>40</v>
      </c>
      <c r="QT206">
        <v>50</v>
      </c>
    </row>
    <row r="207" spans="1:462">
      <c r="A207" t="s">
        <v>2783</v>
      </c>
      <c r="B207" t="s">
        <v>804</v>
      </c>
      <c r="C207" t="s">
        <v>509</v>
      </c>
      <c r="D207" t="s">
        <v>2782</v>
      </c>
      <c r="E207" t="s">
        <v>4036</v>
      </c>
      <c r="H207" t="s">
        <v>561</v>
      </c>
      <c r="J207" t="s">
        <v>562</v>
      </c>
      <c r="K207" t="s">
        <v>563</v>
      </c>
      <c r="L207" t="s">
        <v>508</v>
      </c>
      <c r="M207" t="s">
        <v>512</v>
      </c>
      <c r="N207" t="s">
        <v>515</v>
      </c>
      <c r="O207" t="s">
        <v>513</v>
      </c>
      <c r="P207" t="s">
        <v>517</v>
      </c>
      <c r="Q207" t="s">
        <v>1853</v>
      </c>
      <c r="R207" t="s">
        <v>820</v>
      </c>
      <c r="S207" t="s">
        <v>4170</v>
      </c>
      <c r="T207" t="s">
        <v>520</v>
      </c>
      <c r="U207" t="s">
        <v>521</v>
      </c>
      <c r="V207" t="s">
        <v>2656</v>
      </c>
      <c r="W207" t="s">
        <v>2657</v>
      </c>
      <c r="X207" t="s">
        <v>2784</v>
      </c>
      <c r="Y207" t="s">
        <v>2785</v>
      </c>
      <c r="Z207" t="s">
        <v>541</v>
      </c>
      <c r="AA207" t="s">
        <v>4038</v>
      </c>
      <c r="AB207" t="s">
        <v>4799</v>
      </c>
      <c r="AC207">
        <v>9</v>
      </c>
      <c r="AD207" t="s">
        <v>2781</v>
      </c>
      <c r="AE207">
        <v>2</v>
      </c>
      <c r="AF207">
        <v>4568</v>
      </c>
      <c r="AG207" t="s">
        <v>4729</v>
      </c>
      <c r="AH207">
        <v>1</v>
      </c>
      <c r="AI207" t="s">
        <v>4041</v>
      </c>
      <c r="AK207" t="s">
        <v>4730</v>
      </c>
      <c r="AL207">
        <v>1</v>
      </c>
      <c r="AM207" t="s">
        <v>582</v>
      </c>
      <c r="AO207" t="s">
        <v>4043</v>
      </c>
      <c r="AP207">
        <v>1</v>
      </c>
      <c r="AR207" t="s">
        <v>4800</v>
      </c>
      <c r="AS207">
        <v>1</v>
      </c>
      <c r="AT207">
        <v>52</v>
      </c>
      <c r="AV207" t="s">
        <v>4078</v>
      </c>
      <c r="AW207">
        <v>6.4</v>
      </c>
      <c r="AX207">
        <v>-6</v>
      </c>
      <c r="AY207">
        <v>92.5</v>
      </c>
      <c r="AZ207">
        <v>63</v>
      </c>
      <c r="BH207">
        <v>92.5</v>
      </c>
      <c r="BI207">
        <v>29.5</v>
      </c>
      <c r="BJ207">
        <v>63</v>
      </c>
      <c r="BK207">
        <v>2.5</v>
      </c>
      <c r="BL207">
        <v>185</v>
      </c>
      <c r="BM207">
        <v>-6</v>
      </c>
      <c r="BN207">
        <v>0</v>
      </c>
      <c r="BO207">
        <v>0</v>
      </c>
      <c r="BP207">
        <v>0</v>
      </c>
      <c r="BR207">
        <v>180</v>
      </c>
      <c r="BS207">
        <v>170</v>
      </c>
      <c r="BT207">
        <v>1920</v>
      </c>
      <c r="BU207" t="s">
        <v>4047</v>
      </c>
      <c r="BV207" t="s">
        <v>4047</v>
      </c>
      <c r="BW207" t="s">
        <v>4097</v>
      </c>
      <c r="BX207" t="s">
        <v>4049</v>
      </c>
      <c r="BY207" t="s">
        <v>4050</v>
      </c>
      <c r="BZ207" t="s">
        <v>4050</v>
      </c>
      <c r="CA207" t="s">
        <v>4051</v>
      </c>
      <c r="CB207" t="s">
        <v>4052</v>
      </c>
      <c r="CC207" t="s">
        <v>4053</v>
      </c>
      <c r="CD207" t="s">
        <v>4054</v>
      </c>
      <c r="CE207" t="s">
        <v>4055</v>
      </c>
      <c r="CF207" t="s">
        <v>4055</v>
      </c>
      <c r="CG207" t="s">
        <v>4056</v>
      </c>
      <c r="CH207" t="s">
        <v>4057</v>
      </c>
      <c r="CI207" t="s">
        <v>4058</v>
      </c>
      <c r="CJ207" t="s">
        <v>4059</v>
      </c>
      <c r="CK207" t="s">
        <v>4060</v>
      </c>
      <c r="CL207" t="s">
        <v>4061</v>
      </c>
      <c r="CM207" t="s">
        <v>4062</v>
      </c>
      <c r="CN207" t="s">
        <v>4055</v>
      </c>
      <c r="CO207" t="s">
        <v>4063</v>
      </c>
      <c r="CP207" t="s">
        <v>4055</v>
      </c>
      <c r="CQ207" t="s">
        <v>4055</v>
      </c>
      <c r="CR207">
        <v>5</v>
      </c>
      <c r="CS207" t="s">
        <v>4055</v>
      </c>
      <c r="CT207" t="s">
        <v>4055</v>
      </c>
      <c r="CU207" t="s">
        <v>4055</v>
      </c>
      <c r="CV207">
        <v>122</v>
      </c>
      <c r="CW207">
        <v>3</v>
      </c>
      <c r="CX207">
        <v>75</v>
      </c>
      <c r="CY207">
        <v>5</v>
      </c>
      <c r="CZ207">
        <v>136</v>
      </c>
      <c r="DA207">
        <v>5</v>
      </c>
      <c r="DB207">
        <v>10830</v>
      </c>
      <c r="DC207">
        <v>320</v>
      </c>
      <c r="DD207">
        <v>327</v>
      </c>
      <c r="DE207">
        <v>2044</v>
      </c>
      <c r="DF207">
        <v>2044</v>
      </c>
      <c r="DG207">
        <v>2055</v>
      </c>
      <c r="DH207" t="s">
        <v>4055</v>
      </c>
      <c r="DJ207" t="s">
        <v>4132</v>
      </c>
      <c r="DK207">
        <v>180</v>
      </c>
      <c r="DL207" t="s">
        <v>4065</v>
      </c>
      <c r="DM207">
        <v>63</v>
      </c>
      <c r="DN207">
        <v>1.1</v>
      </c>
      <c r="DO207">
        <v>1</v>
      </c>
      <c r="DP207">
        <v>1923</v>
      </c>
      <c r="DQ207">
        <v>748</v>
      </c>
      <c r="DR207" t="s">
        <v>4132</v>
      </c>
      <c r="DS207">
        <v>170</v>
      </c>
      <c r="DT207" t="s">
        <v>4065</v>
      </c>
      <c r="DU207">
        <v>63</v>
      </c>
      <c r="DV207">
        <v>1.1</v>
      </c>
      <c r="DW207">
        <v>1</v>
      </c>
      <c r="DX207">
        <v>1935</v>
      </c>
      <c r="DY207">
        <v>712</v>
      </c>
      <c r="DZ207" t="s">
        <v>4066</v>
      </c>
      <c r="EA207">
        <v>20</v>
      </c>
      <c r="EB207" t="s">
        <v>4065</v>
      </c>
      <c r="EC207">
        <v>0.8</v>
      </c>
      <c r="ED207">
        <v>1923</v>
      </c>
      <c r="EE207">
        <v>67</v>
      </c>
      <c r="EG207">
        <v>0</v>
      </c>
      <c r="EH207" t="s">
        <v>4065</v>
      </c>
      <c r="EI207">
        <v>0</v>
      </c>
      <c r="EL207" t="s">
        <v>1528</v>
      </c>
      <c r="EM207">
        <v>12</v>
      </c>
      <c r="EN207">
        <v>0.5</v>
      </c>
      <c r="EO207">
        <v>0.96</v>
      </c>
      <c r="EP207">
        <v>1933.83</v>
      </c>
      <c r="EQ207">
        <v>29762.85</v>
      </c>
      <c r="ER207">
        <v>8941.549999999999</v>
      </c>
      <c r="ES207">
        <v>0</v>
      </c>
      <c r="ET207">
        <v>0</v>
      </c>
      <c r="EU207">
        <v>1</v>
      </c>
      <c r="EV207">
        <v>38705</v>
      </c>
      <c r="EW207">
        <v>465</v>
      </c>
      <c r="EX207" t="s">
        <v>4755</v>
      </c>
      <c r="EY207">
        <v>204</v>
      </c>
      <c r="EZ207" t="s">
        <v>4055</v>
      </c>
      <c r="FA207">
        <v>4.3</v>
      </c>
      <c r="FB207">
        <v>1</v>
      </c>
      <c r="FC207">
        <v>1</v>
      </c>
      <c r="FD207">
        <v>1966</v>
      </c>
      <c r="FE207">
        <v>2027</v>
      </c>
      <c r="FF207" t="s">
        <v>4756</v>
      </c>
      <c r="FG207">
        <v>204</v>
      </c>
      <c r="FH207" t="s">
        <v>4055</v>
      </c>
      <c r="FI207">
        <v>3.6</v>
      </c>
      <c r="FJ207">
        <v>1966</v>
      </c>
      <c r="FK207">
        <v>1855</v>
      </c>
      <c r="FL207" t="s">
        <v>4069</v>
      </c>
      <c r="FM207" t="s">
        <v>4055</v>
      </c>
      <c r="FN207" t="s">
        <v>4055</v>
      </c>
      <c r="FO207" t="s">
        <v>4055</v>
      </c>
      <c r="FP207">
        <v>1966</v>
      </c>
      <c r="FQ207">
        <v>180</v>
      </c>
      <c r="FR207" t="s">
        <v>4090</v>
      </c>
      <c r="FS207">
        <v>208</v>
      </c>
      <c r="FT207" t="s">
        <v>4055</v>
      </c>
      <c r="FU207">
        <v>0.4</v>
      </c>
      <c r="FV207">
        <v>1966</v>
      </c>
      <c r="FW207">
        <v>182</v>
      </c>
      <c r="FX207" t="s">
        <v>4070</v>
      </c>
      <c r="FY207">
        <v>5</v>
      </c>
      <c r="FZ207" t="s">
        <v>4055</v>
      </c>
      <c r="GA207" t="s">
        <v>4055</v>
      </c>
      <c r="GB207">
        <v>1966</v>
      </c>
      <c r="GC207">
        <v>19</v>
      </c>
      <c r="GD207">
        <v>4263</v>
      </c>
      <c r="GE207" t="s">
        <v>4800</v>
      </c>
      <c r="GF207" t="s">
        <v>4055</v>
      </c>
      <c r="GG207" t="s">
        <v>4055</v>
      </c>
      <c r="GH207" t="s">
        <v>4055</v>
      </c>
      <c r="GI207" t="s">
        <v>4071</v>
      </c>
      <c r="GJ207" t="s">
        <v>4055</v>
      </c>
      <c r="GK207" t="s">
        <v>4055</v>
      </c>
      <c r="GL207" t="s">
        <v>4055</v>
      </c>
      <c r="GM207" t="s">
        <v>4055</v>
      </c>
      <c r="GQ207">
        <v>0</v>
      </c>
      <c r="GV207">
        <v>8.300000000000001</v>
      </c>
      <c r="GW207">
        <v>11.5</v>
      </c>
      <c r="GX207">
        <v>0.5</v>
      </c>
      <c r="GY207">
        <v>172</v>
      </c>
      <c r="GZ207">
        <v>3</v>
      </c>
      <c r="HA207">
        <v>224</v>
      </c>
      <c r="HB207">
        <v>3</v>
      </c>
      <c r="HC207">
        <v>1966</v>
      </c>
      <c r="HD207">
        <v>4</v>
      </c>
      <c r="HE207" t="s">
        <v>4071</v>
      </c>
      <c r="HG207" t="s">
        <v>549</v>
      </c>
      <c r="HL207">
        <v>4</v>
      </c>
      <c r="HM207">
        <v>16</v>
      </c>
      <c r="HN207">
        <v>6</v>
      </c>
      <c r="HO207">
        <v>1</v>
      </c>
      <c r="HP207">
        <v>0</v>
      </c>
      <c r="HQ207">
        <v>0</v>
      </c>
      <c r="HR207">
        <v>3</v>
      </c>
      <c r="HS207">
        <v>1920</v>
      </c>
      <c r="HT207">
        <v>5</v>
      </c>
      <c r="HU207">
        <v>1</v>
      </c>
      <c r="HV207">
        <v>5</v>
      </c>
      <c r="HW207">
        <v>0</v>
      </c>
      <c r="HX207">
        <v>1</v>
      </c>
      <c r="HY207">
        <v>0</v>
      </c>
      <c r="HZ207">
        <v>63</v>
      </c>
      <c r="IA207">
        <v>1923</v>
      </c>
      <c r="IB207">
        <v>1935</v>
      </c>
      <c r="ID207">
        <v>1966</v>
      </c>
      <c r="IE207">
        <v>1966</v>
      </c>
      <c r="IF207">
        <v>180</v>
      </c>
      <c r="IG207">
        <v>170</v>
      </c>
      <c r="IH207">
        <v>224</v>
      </c>
      <c r="II207">
        <v>1</v>
      </c>
      <c r="IJ207">
        <v>5</v>
      </c>
      <c r="IK207">
        <v>0</v>
      </c>
      <c r="IL207">
        <v>0</v>
      </c>
      <c r="IM207">
        <v>0</v>
      </c>
      <c r="IN207">
        <v>270</v>
      </c>
      <c r="IO207">
        <v>0</v>
      </c>
      <c r="IP207">
        <v>180</v>
      </c>
      <c r="IQ207">
        <v>0</v>
      </c>
      <c r="IR207">
        <v>320</v>
      </c>
      <c r="IS207">
        <v>0</v>
      </c>
      <c r="IT207">
        <v>90</v>
      </c>
      <c r="IU207">
        <v>0</v>
      </c>
      <c r="IV207">
        <v>6.4</v>
      </c>
      <c r="IW207">
        <v>-6</v>
      </c>
      <c r="IX207">
        <v>92.5</v>
      </c>
      <c r="IY207">
        <v>63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380</v>
      </c>
      <c r="JJ207">
        <v>350</v>
      </c>
      <c r="JK207">
        <v>260</v>
      </c>
      <c r="JL207">
        <v>348</v>
      </c>
      <c r="JM207">
        <v>275</v>
      </c>
      <c r="JN207">
        <v>195</v>
      </c>
      <c r="JO207">
        <v>242</v>
      </c>
      <c r="JP207">
        <v>210</v>
      </c>
      <c r="JQ207">
        <v>270</v>
      </c>
      <c r="JR207">
        <v>355</v>
      </c>
      <c r="JS207">
        <v>240</v>
      </c>
      <c r="JT207">
        <v>0</v>
      </c>
      <c r="JU207">
        <v>0</v>
      </c>
      <c r="JV207">
        <v>335</v>
      </c>
      <c r="JW207">
        <v>337</v>
      </c>
      <c r="JX207">
        <v>330</v>
      </c>
      <c r="JY207">
        <v>310</v>
      </c>
      <c r="JZ207">
        <v>0.5</v>
      </c>
      <c r="KA207">
        <v>0.2</v>
      </c>
      <c r="KB207">
        <v>0.4</v>
      </c>
      <c r="KC207">
        <v>0.42</v>
      </c>
      <c r="KD207">
        <v>0.28</v>
      </c>
      <c r="KE207">
        <v>0.5</v>
      </c>
      <c r="KF207">
        <v>0.19</v>
      </c>
      <c r="KG207">
        <v>0.11</v>
      </c>
      <c r="KH207">
        <v>3.5</v>
      </c>
      <c r="KI207">
        <v>1</v>
      </c>
      <c r="KJ207">
        <v>4.5</v>
      </c>
      <c r="KK207">
        <v>0</v>
      </c>
      <c r="KL207">
        <v>4.5</v>
      </c>
      <c r="KM207">
        <v>0</v>
      </c>
      <c r="KN207">
        <v>1.4</v>
      </c>
      <c r="KO207">
        <v>0</v>
      </c>
      <c r="KP207">
        <v>0</v>
      </c>
      <c r="KQ207">
        <v>0.8</v>
      </c>
      <c r="KR207">
        <v>0.8</v>
      </c>
      <c r="KS207">
        <v>0</v>
      </c>
      <c r="KT207">
        <v>1.6</v>
      </c>
      <c r="KU207">
        <v>0</v>
      </c>
      <c r="KV207">
        <v>0</v>
      </c>
      <c r="KW207">
        <v>1</v>
      </c>
      <c r="KX207">
        <v>2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3</v>
      </c>
      <c r="LI207">
        <v>0.5</v>
      </c>
      <c r="LJ207">
        <v>0</v>
      </c>
      <c r="LK207">
        <v>3.5</v>
      </c>
      <c r="LL207">
        <v>4</v>
      </c>
      <c r="LM207">
        <v>5</v>
      </c>
      <c r="LN207">
        <v>0.5</v>
      </c>
      <c r="LO207">
        <v>1</v>
      </c>
      <c r="LP207">
        <v>0</v>
      </c>
      <c r="LQ207">
        <v>0</v>
      </c>
      <c r="LR207">
        <v>0</v>
      </c>
      <c r="LS207">
        <v>1</v>
      </c>
      <c r="LT207">
        <v>0</v>
      </c>
      <c r="LU207">
        <v>0</v>
      </c>
      <c r="LV207">
        <v>0</v>
      </c>
      <c r="LW207">
        <v>1.8</v>
      </c>
      <c r="LX207">
        <v>1.8</v>
      </c>
      <c r="LY207">
        <v>2.1</v>
      </c>
      <c r="LZ207">
        <v>2.1</v>
      </c>
      <c r="MA207">
        <v>0</v>
      </c>
      <c r="MB207">
        <v>8</v>
      </c>
      <c r="MC207">
        <v>0</v>
      </c>
      <c r="MD207">
        <v>4.5</v>
      </c>
      <c r="ME207">
        <v>7</v>
      </c>
      <c r="MF207">
        <v>7</v>
      </c>
      <c r="MI207">
        <v>0</v>
      </c>
      <c r="MJ207">
        <v>0</v>
      </c>
      <c r="ML207">
        <v>0</v>
      </c>
      <c r="MM207">
        <v>390</v>
      </c>
      <c r="MN207">
        <v>175</v>
      </c>
      <c r="MO207">
        <v>234</v>
      </c>
      <c r="NH207">
        <v>0</v>
      </c>
      <c r="NJ207">
        <v>0</v>
      </c>
      <c r="NK207">
        <v>0</v>
      </c>
      <c r="NM207">
        <v>0</v>
      </c>
      <c r="NU207">
        <v>0.15</v>
      </c>
      <c r="NV207">
        <v>0.2</v>
      </c>
      <c r="NW207">
        <v>0.2</v>
      </c>
      <c r="NX207">
        <v>2</v>
      </c>
      <c r="NY207">
        <v>2</v>
      </c>
      <c r="NZ207">
        <v>2</v>
      </c>
      <c r="OE207" t="s">
        <v>4800</v>
      </c>
      <c r="OF207" t="s">
        <v>4729</v>
      </c>
      <c r="OG207" t="s">
        <v>4730</v>
      </c>
      <c r="OH207" t="s">
        <v>4043</v>
      </c>
      <c r="OI207" t="s">
        <v>4800</v>
      </c>
      <c r="OJ207" t="s">
        <v>4799</v>
      </c>
      <c r="OK207">
        <v>61</v>
      </c>
      <c r="OL207">
        <v>61</v>
      </c>
      <c r="OM207" t="s">
        <v>4729</v>
      </c>
      <c r="ON207">
        <v>1</v>
      </c>
      <c r="OO207">
        <v>1923</v>
      </c>
      <c r="OP207">
        <v>61</v>
      </c>
      <c r="OQ207">
        <v>61</v>
      </c>
      <c r="OR207" t="s">
        <v>4730</v>
      </c>
      <c r="OS207">
        <v>1</v>
      </c>
      <c r="OT207">
        <v>1935</v>
      </c>
      <c r="OU207">
        <v>65</v>
      </c>
      <c r="OV207">
        <v>65</v>
      </c>
      <c r="OW207" t="s">
        <v>4043</v>
      </c>
      <c r="OX207">
        <v>2</v>
      </c>
      <c r="OY207">
        <v>38705</v>
      </c>
      <c r="OZ207">
        <v>51</v>
      </c>
      <c r="PA207">
        <v>52</v>
      </c>
      <c r="PB207" t="s">
        <v>4800</v>
      </c>
      <c r="PC207">
        <v>1</v>
      </c>
      <c r="PD207">
        <v>1966</v>
      </c>
      <c r="PF207">
        <v>389</v>
      </c>
      <c r="PG207">
        <v>35</v>
      </c>
      <c r="PH207">
        <v>368</v>
      </c>
      <c r="PI207">
        <v>0</v>
      </c>
      <c r="PJ207">
        <v>91.7</v>
      </c>
      <c r="PL207">
        <v>1031.2</v>
      </c>
      <c r="PM207">
        <v>943.6</v>
      </c>
      <c r="PN207">
        <v>92.5</v>
      </c>
      <c r="PO207">
        <v>9.6</v>
      </c>
      <c r="PP207">
        <v>12</v>
      </c>
      <c r="PQ207">
        <v>1</v>
      </c>
      <c r="PR207">
        <v>1</v>
      </c>
      <c r="PS207">
        <v>7</v>
      </c>
      <c r="PT207">
        <v>224</v>
      </c>
      <c r="PU207">
        <v>10</v>
      </c>
      <c r="PV207" t="s">
        <v>4072</v>
      </c>
      <c r="PW207" t="s">
        <v>4072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-1</v>
      </c>
      <c r="QF207">
        <v>1</v>
      </c>
      <c r="QG207">
        <v>0</v>
      </c>
      <c r="QH207">
        <v>5</v>
      </c>
      <c r="QI207">
        <v>5</v>
      </c>
      <c r="QJ207">
        <v>5</v>
      </c>
      <c r="QK207">
        <v>185</v>
      </c>
      <c r="QL207">
        <v>414</v>
      </c>
      <c r="QM207">
        <v>7.5</v>
      </c>
      <c r="QN207">
        <v>1285.7</v>
      </c>
      <c r="QO207" t="s">
        <v>2662</v>
      </c>
      <c r="QP207" t="s">
        <v>513</v>
      </c>
      <c r="QQ207">
        <v>0</v>
      </c>
      <c r="QR207" t="s">
        <v>621</v>
      </c>
      <c r="QS207">
        <v>30</v>
      </c>
      <c r="QT207">
        <v>40</v>
      </c>
    </row>
    <row r="208" spans="1:462">
      <c r="A208" t="s">
        <v>2791</v>
      </c>
      <c r="B208" t="s">
        <v>629</v>
      </c>
      <c r="C208" t="s">
        <v>509</v>
      </c>
      <c r="D208" t="s">
        <v>3096</v>
      </c>
      <c r="E208" t="s">
        <v>4036</v>
      </c>
      <c r="H208" t="s">
        <v>1135</v>
      </c>
      <c r="J208" t="s">
        <v>562</v>
      </c>
      <c r="K208" t="s">
        <v>563</v>
      </c>
      <c r="L208" t="s">
        <v>711</v>
      </c>
      <c r="M208" t="s">
        <v>512</v>
      </c>
      <c r="N208" t="s">
        <v>515</v>
      </c>
      <c r="O208" t="s">
        <v>513</v>
      </c>
      <c r="P208" t="s">
        <v>517</v>
      </c>
      <c r="Q208" t="s">
        <v>742</v>
      </c>
      <c r="R208" t="s">
        <v>743</v>
      </c>
      <c r="S208" t="s">
        <v>4134</v>
      </c>
      <c r="T208" t="s">
        <v>633</v>
      </c>
      <c r="U208" t="s">
        <v>634</v>
      </c>
      <c r="V208" t="s">
        <v>522</v>
      </c>
      <c r="W208" t="s">
        <v>2657</v>
      </c>
      <c r="X208" t="s">
        <v>2792</v>
      </c>
      <c r="Y208" t="s">
        <v>2793</v>
      </c>
      <c r="Z208" t="s">
        <v>650</v>
      </c>
      <c r="AA208" t="s">
        <v>4038</v>
      </c>
      <c r="AB208" t="s">
        <v>4801</v>
      </c>
      <c r="AC208">
        <v>9</v>
      </c>
      <c r="AD208" t="s">
        <v>2789</v>
      </c>
      <c r="AE208">
        <v>4</v>
      </c>
      <c r="AF208">
        <v>3562</v>
      </c>
      <c r="AG208" t="s">
        <v>4322</v>
      </c>
      <c r="AH208">
        <v>1</v>
      </c>
      <c r="AI208" t="s">
        <v>4041</v>
      </c>
      <c r="AK208" t="s">
        <v>4323</v>
      </c>
      <c r="AL208">
        <v>1</v>
      </c>
      <c r="AM208" t="s">
        <v>582</v>
      </c>
      <c r="AO208" t="s">
        <v>4043</v>
      </c>
      <c r="AP208">
        <v>1</v>
      </c>
      <c r="AR208" t="s">
        <v>4802</v>
      </c>
      <c r="AS208">
        <v>1</v>
      </c>
      <c r="AT208">
        <v>52</v>
      </c>
      <c r="AV208" t="s">
        <v>4078</v>
      </c>
      <c r="AW208">
        <v>6.4</v>
      </c>
      <c r="AX208">
        <v>-6</v>
      </c>
      <c r="AY208">
        <v>100</v>
      </c>
      <c r="AZ208">
        <v>69</v>
      </c>
      <c r="BH208">
        <v>100</v>
      </c>
      <c r="BI208">
        <v>31</v>
      </c>
      <c r="BJ208">
        <v>69</v>
      </c>
      <c r="BK208">
        <v>2.5</v>
      </c>
      <c r="BL208">
        <v>200</v>
      </c>
      <c r="BM208">
        <v>-6</v>
      </c>
      <c r="BN208">
        <v>0</v>
      </c>
      <c r="BP208">
        <v>0</v>
      </c>
      <c r="BR208">
        <v>195</v>
      </c>
      <c r="BS208">
        <v>185</v>
      </c>
      <c r="BT208">
        <v>1845</v>
      </c>
      <c r="BU208" t="s">
        <v>4047</v>
      </c>
      <c r="BV208" t="s">
        <v>4047</v>
      </c>
      <c r="BW208" t="s">
        <v>4097</v>
      </c>
      <c r="BX208" t="s">
        <v>4049</v>
      </c>
      <c r="BY208" t="s">
        <v>4150</v>
      </c>
      <c r="BZ208" t="s">
        <v>4150</v>
      </c>
      <c r="CA208" t="s">
        <v>4108</v>
      </c>
      <c r="CB208" t="s">
        <v>4109</v>
      </c>
      <c r="CC208" t="s">
        <v>4053</v>
      </c>
      <c r="CD208" t="s">
        <v>4110</v>
      </c>
      <c r="CE208" t="s">
        <v>4055</v>
      </c>
      <c r="CF208" t="s">
        <v>4055</v>
      </c>
      <c r="CG208" t="s">
        <v>4056</v>
      </c>
      <c r="CH208" t="s">
        <v>4057</v>
      </c>
      <c r="CI208" t="s">
        <v>4058</v>
      </c>
      <c r="CJ208" t="s">
        <v>4059</v>
      </c>
      <c r="CK208" t="s">
        <v>4060</v>
      </c>
      <c r="CL208" t="s">
        <v>4061</v>
      </c>
      <c r="CM208" t="s">
        <v>4062</v>
      </c>
      <c r="CN208" t="s">
        <v>4055</v>
      </c>
      <c r="CO208" t="s">
        <v>4063</v>
      </c>
      <c r="CP208" t="s">
        <v>4055</v>
      </c>
      <c r="CQ208" t="s">
        <v>4055</v>
      </c>
      <c r="CR208">
        <v>5</v>
      </c>
      <c r="CS208" t="s">
        <v>4055</v>
      </c>
      <c r="CT208" t="s">
        <v>4055</v>
      </c>
      <c r="CU208" t="s">
        <v>4055</v>
      </c>
      <c r="CV208">
        <v>126</v>
      </c>
      <c r="CW208">
        <v>3</v>
      </c>
      <c r="CX208">
        <v>105</v>
      </c>
      <c r="CY208">
        <v>5</v>
      </c>
      <c r="CZ208">
        <v>131</v>
      </c>
      <c r="DA208">
        <v>5</v>
      </c>
      <c r="DB208">
        <v>9850</v>
      </c>
      <c r="DC208">
        <v>290</v>
      </c>
      <c r="DD208">
        <v>290</v>
      </c>
      <c r="DE208">
        <v>1960</v>
      </c>
      <c r="DF208">
        <v>1960</v>
      </c>
      <c r="DG208">
        <v>1971</v>
      </c>
      <c r="DH208" t="s">
        <v>4055</v>
      </c>
      <c r="DI208" t="s">
        <v>4055</v>
      </c>
      <c r="DJ208" t="s">
        <v>4100</v>
      </c>
      <c r="DK208">
        <v>195</v>
      </c>
      <c r="DL208" t="s">
        <v>4101</v>
      </c>
      <c r="DM208">
        <v>63</v>
      </c>
      <c r="DN208">
        <v>0.84</v>
      </c>
      <c r="DO208">
        <v>1</v>
      </c>
      <c r="DP208">
        <v>1848</v>
      </c>
      <c r="DQ208">
        <v>658</v>
      </c>
      <c r="DR208" t="s">
        <v>4100</v>
      </c>
      <c r="DS208">
        <v>185</v>
      </c>
      <c r="DT208" t="s">
        <v>4101</v>
      </c>
      <c r="DU208">
        <v>63</v>
      </c>
      <c r="DV208">
        <v>0.84</v>
      </c>
      <c r="DW208">
        <v>1</v>
      </c>
      <c r="DX208">
        <v>1855</v>
      </c>
      <c r="DY208">
        <v>627</v>
      </c>
      <c r="DZ208" t="s">
        <v>4066</v>
      </c>
      <c r="EA208">
        <v>33</v>
      </c>
      <c r="EB208" t="s">
        <v>4065</v>
      </c>
      <c r="EC208">
        <v>0.4</v>
      </c>
      <c r="ED208">
        <v>1848</v>
      </c>
      <c r="EE208">
        <v>54</v>
      </c>
      <c r="EF208" t="s">
        <v>4066</v>
      </c>
      <c r="EG208">
        <v>33</v>
      </c>
      <c r="EH208" t="s">
        <v>4065</v>
      </c>
      <c r="EI208">
        <v>0.4</v>
      </c>
      <c r="EJ208">
        <v>1855</v>
      </c>
      <c r="EK208">
        <v>54</v>
      </c>
      <c r="EL208" t="s">
        <v>1528</v>
      </c>
      <c r="EM208">
        <v>12</v>
      </c>
      <c r="EN208">
        <v>0.5</v>
      </c>
      <c r="EO208">
        <v>0.96</v>
      </c>
      <c r="EP208">
        <v>1855.56</v>
      </c>
      <c r="EQ208">
        <v>30732.71</v>
      </c>
      <c r="ER208">
        <v>9017.09</v>
      </c>
      <c r="ES208">
        <v>0</v>
      </c>
      <c r="ET208">
        <v>0</v>
      </c>
      <c r="EU208">
        <v>1</v>
      </c>
      <c r="EV208">
        <v>39750</v>
      </c>
      <c r="EW208">
        <v>477</v>
      </c>
      <c r="EX208" t="s">
        <v>4755</v>
      </c>
      <c r="EY208">
        <v>216</v>
      </c>
      <c r="EZ208" t="s">
        <v>4055</v>
      </c>
      <c r="FA208">
        <v>4.2</v>
      </c>
      <c r="FB208">
        <v>1</v>
      </c>
      <c r="FC208">
        <v>1</v>
      </c>
      <c r="FD208">
        <v>1889</v>
      </c>
      <c r="FE208">
        <v>2003</v>
      </c>
      <c r="FF208" t="s">
        <v>4756</v>
      </c>
      <c r="FG208">
        <v>216</v>
      </c>
      <c r="FH208" t="s">
        <v>4055</v>
      </c>
      <c r="FI208">
        <v>3.9</v>
      </c>
      <c r="FJ208">
        <v>1889</v>
      </c>
      <c r="FK208">
        <v>2037</v>
      </c>
      <c r="FL208" t="s">
        <v>4069</v>
      </c>
      <c r="FM208" t="s">
        <v>4055</v>
      </c>
      <c r="FN208" t="s">
        <v>4055</v>
      </c>
      <c r="FO208" t="s">
        <v>4055</v>
      </c>
      <c r="FP208">
        <v>1889</v>
      </c>
      <c r="FQ208">
        <v>172</v>
      </c>
      <c r="FR208" t="s">
        <v>4090</v>
      </c>
      <c r="FS208">
        <v>220</v>
      </c>
      <c r="FT208" t="s">
        <v>4055</v>
      </c>
      <c r="FU208">
        <v>0.4</v>
      </c>
      <c r="FV208">
        <v>1889</v>
      </c>
      <c r="FW208">
        <v>185</v>
      </c>
      <c r="FX208" t="s">
        <v>4070</v>
      </c>
      <c r="FY208">
        <v>5</v>
      </c>
      <c r="FZ208" t="s">
        <v>4055</v>
      </c>
      <c r="GA208" t="s">
        <v>4055</v>
      </c>
      <c r="GB208">
        <v>1889</v>
      </c>
      <c r="GC208">
        <v>19</v>
      </c>
      <c r="GD208">
        <v>4416</v>
      </c>
      <c r="GE208" t="s">
        <v>4802</v>
      </c>
      <c r="GF208" t="s">
        <v>4055</v>
      </c>
      <c r="GG208" t="s">
        <v>4055</v>
      </c>
      <c r="GH208" t="s">
        <v>4055</v>
      </c>
      <c r="GI208" t="s">
        <v>4071</v>
      </c>
      <c r="GJ208" t="s">
        <v>4055</v>
      </c>
      <c r="GK208" t="s">
        <v>4055</v>
      </c>
      <c r="GL208" t="s">
        <v>4055</v>
      </c>
      <c r="GM208" t="s">
        <v>4055</v>
      </c>
      <c r="GQ208">
        <v>0</v>
      </c>
      <c r="GV208">
        <v>8.5</v>
      </c>
      <c r="GW208">
        <v>11.5</v>
      </c>
      <c r="GX208">
        <v>0.5</v>
      </c>
      <c r="GY208">
        <v>190</v>
      </c>
      <c r="GZ208">
        <v>3</v>
      </c>
      <c r="HA208">
        <v>234</v>
      </c>
      <c r="HB208">
        <v>3</v>
      </c>
      <c r="HC208">
        <v>1889</v>
      </c>
      <c r="HD208">
        <v>4</v>
      </c>
      <c r="HE208" t="s">
        <v>4071</v>
      </c>
      <c r="HG208" t="s">
        <v>549</v>
      </c>
      <c r="HL208">
        <v>4</v>
      </c>
      <c r="HM208">
        <v>17</v>
      </c>
      <c r="HN208">
        <v>1</v>
      </c>
      <c r="HO208">
        <v>1</v>
      </c>
      <c r="HP208">
        <v>0</v>
      </c>
      <c r="HQ208">
        <v>0</v>
      </c>
      <c r="HR208">
        <v>2</v>
      </c>
      <c r="HS208">
        <v>1845</v>
      </c>
      <c r="HT208">
        <v>5</v>
      </c>
      <c r="HU208">
        <v>1</v>
      </c>
      <c r="HV208">
        <v>5</v>
      </c>
      <c r="HW208">
        <v>0</v>
      </c>
      <c r="HX208">
        <v>1</v>
      </c>
      <c r="HY208">
        <v>0</v>
      </c>
      <c r="HZ208">
        <v>63</v>
      </c>
      <c r="IA208">
        <v>1848</v>
      </c>
      <c r="IB208">
        <v>1855</v>
      </c>
      <c r="ID208">
        <v>1889</v>
      </c>
      <c r="IE208">
        <v>1889</v>
      </c>
      <c r="IF208">
        <v>195</v>
      </c>
      <c r="IG208">
        <v>185</v>
      </c>
      <c r="IH208">
        <v>234</v>
      </c>
      <c r="II208">
        <v>1</v>
      </c>
      <c r="IJ208">
        <v>5</v>
      </c>
      <c r="IK208">
        <v>0</v>
      </c>
      <c r="IL208">
        <v>0</v>
      </c>
      <c r="IM208">
        <v>0</v>
      </c>
      <c r="IN208">
        <v>270</v>
      </c>
      <c r="IO208">
        <v>0</v>
      </c>
      <c r="IP208">
        <v>180</v>
      </c>
      <c r="IQ208">
        <v>0</v>
      </c>
      <c r="IR208">
        <v>330</v>
      </c>
      <c r="IS208">
        <v>0</v>
      </c>
      <c r="IT208">
        <v>90</v>
      </c>
      <c r="IU208">
        <v>0</v>
      </c>
      <c r="IV208">
        <v>6.4</v>
      </c>
      <c r="IW208">
        <v>-6</v>
      </c>
      <c r="IX208">
        <v>100</v>
      </c>
      <c r="IY208">
        <v>69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330</v>
      </c>
      <c r="JJ208">
        <v>310</v>
      </c>
      <c r="JK208">
        <v>230</v>
      </c>
      <c r="JL208">
        <v>298</v>
      </c>
      <c r="JM208">
        <v>225</v>
      </c>
      <c r="JN208">
        <v>195</v>
      </c>
      <c r="JO208">
        <v>240</v>
      </c>
      <c r="JP208">
        <v>230</v>
      </c>
      <c r="JQ208">
        <v>265</v>
      </c>
      <c r="JR208">
        <v>330</v>
      </c>
      <c r="JS208">
        <v>290</v>
      </c>
      <c r="JT208">
        <v>0</v>
      </c>
      <c r="JU208">
        <v>0</v>
      </c>
      <c r="JV208">
        <v>315</v>
      </c>
      <c r="JW208">
        <v>320</v>
      </c>
      <c r="JX208">
        <v>305</v>
      </c>
      <c r="JY208">
        <v>0</v>
      </c>
      <c r="JZ208">
        <v>0.5</v>
      </c>
      <c r="KA208">
        <v>0.2</v>
      </c>
      <c r="KB208">
        <v>0.4</v>
      </c>
      <c r="KC208">
        <v>0.42</v>
      </c>
      <c r="KD208">
        <v>0.3</v>
      </c>
      <c r="KE208">
        <v>0.5</v>
      </c>
      <c r="KF208">
        <v>0.21</v>
      </c>
      <c r="KG208">
        <v>0.11</v>
      </c>
      <c r="KH208">
        <v>4.5</v>
      </c>
      <c r="KI208">
        <v>1</v>
      </c>
      <c r="KJ208">
        <v>4.5</v>
      </c>
      <c r="KK208">
        <v>0</v>
      </c>
      <c r="KL208">
        <v>4.5</v>
      </c>
      <c r="KM208">
        <v>0</v>
      </c>
      <c r="KN208">
        <v>1.3</v>
      </c>
      <c r="KO208">
        <v>0</v>
      </c>
      <c r="KP208">
        <v>0</v>
      </c>
      <c r="KQ208">
        <v>0.5</v>
      </c>
      <c r="KR208">
        <v>0.5</v>
      </c>
      <c r="KS208">
        <v>0</v>
      </c>
      <c r="KT208">
        <v>3</v>
      </c>
      <c r="KU208">
        <v>0</v>
      </c>
      <c r="KV208">
        <v>0</v>
      </c>
      <c r="KW208">
        <v>1.2</v>
      </c>
      <c r="KX208">
        <v>1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3</v>
      </c>
      <c r="LI208">
        <v>0</v>
      </c>
      <c r="LJ208">
        <v>0</v>
      </c>
      <c r="LK208">
        <v>4.5</v>
      </c>
      <c r="LL208">
        <v>6</v>
      </c>
      <c r="LM208">
        <v>7.5</v>
      </c>
      <c r="LN208">
        <v>0.1</v>
      </c>
      <c r="LO208">
        <v>0.1</v>
      </c>
      <c r="LP208">
        <v>0</v>
      </c>
      <c r="LQ208">
        <v>0</v>
      </c>
      <c r="LR208">
        <v>0</v>
      </c>
      <c r="LS208">
        <v>1</v>
      </c>
      <c r="LT208">
        <v>500</v>
      </c>
      <c r="LU208">
        <v>0</v>
      </c>
      <c r="LV208">
        <v>0</v>
      </c>
      <c r="LW208">
        <v>1.5</v>
      </c>
      <c r="LX208">
        <v>1.5</v>
      </c>
      <c r="LY208">
        <v>1.5</v>
      </c>
      <c r="LZ208">
        <v>1.5</v>
      </c>
      <c r="MA208">
        <v>0</v>
      </c>
      <c r="MB208">
        <v>4</v>
      </c>
      <c r="MC208">
        <v>0</v>
      </c>
      <c r="MD208">
        <v>4.5</v>
      </c>
      <c r="ME208">
        <v>6</v>
      </c>
      <c r="MF208">
        <v>6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358</v>
      </c>
      <c r="MN208">
        <v>190</v>
      </c>
      <c r="MO208">
        <v>240</v>
      </c>
      <c r="NU208">
        <v>0.15</v>
      </c>
      <c r="NV208">
        <v>0.2</v>
      </c>
      <c r="NW208">
        <v>0.2</v>
      </c>
      <c r="NX208">
        <v>0.2</v>
      </c>
      <c r="NY208">
        <v>0.2</v>
      </c>
      <c r="NZ208">
        <v>0.2</v>
      </c>
      <c r="OE208" t="s">
        <v>4802</v>
      </c>
      <c r="OF208" t="s">
        <v>4322</v>
      </c>
      <c r="OG208" t="s">
        <v>4323</v>
      </c>
      <c r="OH208" t="s">
        <v>4043</v>
      </c>
      <c r="OI208" t="s">
        <v>4802</v>
      </c>
      <c r="OJ208" t="s">
        <v>4801</v>
      </c>
      <c r="OK208">
        <v>61</v>
      </c>
      <c r="OL208">
        <v>61</v>
      </c>
      <c r="OM208" t="s">
        <v>4322</v>
      </c>
      <c r="ON208">
        <v>3</v>
      </c>
      <c r="OO208">
        <v>1848</v>
      </c>
      <c r="OP208">
        <v>61</v>
      </c>
      <c r="OQ208">
        <v>61</v>
      </c>
      <c r="OR208" t="s">
        <v>4323</v>
      </c>
      <c r="OS208">
        <v>3</v>
      </c>
      <c r="OT208">
        <v>1855</v>
      </c>
      <c r="OU208">
        <v>65</v>
      </c>
      <c r="OV208">
        <v>65</v>
      </c>
      <c r="OW208" t="s">
        <v>4043</v>
      </c>
      <c r="OX208">
        <v>2</v>
      </c>
      <c r="OY208">
        <v>39750</v>
      </c>
      <c r="OZ208">
        <v>51</v>
      </c>
      <c r="PA208">
        <v>52</v>
      </c>
      <c r="PB208" t="s">
        <v>4802</v>
      </c>
      <c r="PC208">
        <v>1</v>
      </c>
      <c r="PD208">
        <v>1889</v>
      </c>
      <c r="PF208">
        <v>356</v>
      </c>
      <c r="PG208">
        <v>29</v>
      </c>
      <c r="PH208">
        <v>338</v>
      </c>
      <c r="PI208">
        <v>29</v>
      </c>
      <c r="PJ208">
        <v>91.3</v>
      </c>
      <c r="PL208">
        <v>1060.1</v>
      </c>
      <c r="PM208">
        <v>1078.4</v>
      </c>
      <c r="PN208">
        <v>97.8</v>
      </c>
      <c r="PO208">
        <v>9.9</v>
      </c>
      <c r="PP208">
        <v>12</v>
      </c>
      <c r="PQ208">
        <v>2</v>
      </c>
      <c r="PR208">
        <v>1</v>
      </c>
      <c r="PS208">
        <v>7</v>
      </c>
      <c r="PT208">
        <v>234</v>
      </c>
      <c r="PU208">
        <v>9</v>
      </c>
      <c r="PV208" t="s">
        <v>4072</v>
      </c>
      <c r="PW208" t="s">
        <v>4072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-1</v>
      </c>
      <c r="QF208">
        <v>1</v>
      </c>
      <c r="QG208">
        <v>0</v>
      </c>
      <c r="QH208">
        <v>5</v>
      </c>
      <c r="QI208">
        <v>5</v>
      </c>
      <c r="QJ208">
        <v>5</v>
      </c>
      <c r="QK208">
        <v>160</v>
      </c>
      <c r="QL208">
        <v>364</v>
      </c>
      <c r="QM208">
        <v>7.5</v>
      </c>
      <c r="QN208">
        <v>1381.4</v>
      </c>
      <c r="QO208" t="s">
        <v>2662</v>
      </c>
      <c r="QP208" t="s">
        <v>513</v>
      </c>
      <c r="QQ208">
        <v>0</v>
      </c>
      <c r="QR208" t="s">
        <v>649</v>
      </c>
      <c r="QS208">
        <v>30</v>
      </c>
      <c r="QT208">
        <v>40</v>
      </c>
    </row>
    <row r="209" spans="1:462">
      <c r="A209" t="s">
        <v>2799</v>
      </c>
      <c r="B209" t="s">
        <v>629</v>
      </c>
      <c r="C209" t="s">
        <v>509</v>
      </c>
      <c r="D209" t="s">
        <v>1738</v>
      </c>
      <c r="E209" t="s">
        <v>4036</v>
      </c>
      <c r="H209" t="s">
        <v>511</v>
      </c>
      <c r="J209" t="s">
        <v>562</v>
      </c>
      <c r="L209" t="s">
        <v>711</v>
      </c>
      <c r="M209" t="s">
        <v>512</v>
      </c>
      <c r="O209" t="s">
        <v>513</v>
      </c>
      <c r="P209" t="s">
        <v>517</v>
      </c>
      <c r="Q209" t="s">
        <v>660</v>
      </c>
      <c r="R209" t="s">
        <v>661</v>
      </c>
      <c r="S209" t="s">
        <v>4037</v>
      </c>
      <c r="T209" t="s">
        <v>662</v>
      </c>
      <c r="U209" t="s">
        <v>663</v>
      </c>
      <c r="V209" t="s">
        <v>2372</v>
      </c>
      <c r="W209" t="s">
        <v>2657</v>
      </c>
      <c r="X209" t="s">
        <v>2800</v>
      </c>
      <c r="Y209" t="s">
        <v>2801</v>
      </c>
      <c r="Z209" t="s">
        <v>541</v>
      </c>
      <c r="AA209" t="s">
        <v>582</v>
      </c>
      <c r="AB209" t="s">
        <v>4803</v>
      </c>
      <c r="AC209">
        <v>9</v>
      </c>
      <c r="AD209" t="s">
        <v>2798</v>
      </c>
      <c r="AE209">
        <v>4</v>
      </c>
      <c r="AF209">
        <v>4633</v>
      </c>
      <c r="AG209" t="s">
        <v>4316</v>
      </c>
      <c r="AH209">
        <v>1</v>
      </c>
      <c r="AI209" t="s">
        <v>4041</v>
      </c>
      <c r="AK209" t="s">
        <v>4317</v>
      </c>
      <c r="AL209">
        <v>1</v>
      </c>
      <c r="AM209" t="s">
        <v>582</v>
      </c>
      <c r="AO209" t="s">
        <v>4043</v>
      </c>
      <c r="AP209">
        <v>1</v>
      </c>
      <c r="AR209" t="s">
        <v>4804</v>
      </c>
      <c r="AS209">
        <v>1</v>
      </c>
      <c r="AT209">
        <v>52</v>
      </c>
      <c r="AV209" t="s">
        <v>4078</v>
      </c>
      <c r="AW209">
        <v>6.4</v>
      </c>
      <c r="AX209">
        <v>-6</v>
      </c>
      <c r="AY209">
        <v>100</v>
      </c>
      <c r="AZ209">
        <v>70</v>
      </c>
      <c r="BA209">
        <v>0</v>
      </c>
      <c r="BB209">
        <v>0</v>
      </c>
      <c r="BC209">
        <v>0</v>
      </c>
      <c r="BH209">
        <v>100</v>
      </c>
      <c r="BI209">
        <v>30</v>
      </c>
      <c r="BJ209">
        <v>70</v>
      </c>
      <c r="BK209">
        <v>2.5</v>
      </c>
      <c r="BL209">
        <v>200</v>
      </c>
      <c r="BM209">
        <v>-6</v>
      </c>
      <c r="BN209">
        <v>0</v>
      </c>
      <c r="BO209">
        <v>0</v>
      </c>
      <c r="BP209">
        <v>0</v>
      </c>
      <c r="BR209">
        <v>195</v>
      </c>
      <c r="BS209">
        <v>185</v>
      </c>
      <c r="BT209">
        <v>2065</v>
      </c>
      <c r="BU209" t="s">
        <v>4096</v>
      </c>
      <c r="BV209" t="s">
        <v>4127</v>
      </c>
      <c r="BW209" t="s">
        <v>4097</v>
      </c>
      <c r="BX209" t="s">
        <v>4128</v>
      </c>
      <c r="BY209" t="s">
        <v>4116</v>
      </c>
      <c r="BZ209" t="s">
        <v>4117</v>
      </c>
      <c r="CA209" t="s">
        <v>4118</v>
      </c>
      <c r="CB209" t="s">
        <v>4119</v>
      </c>
      <c r="CC209" t="s">
        <v>4053</v>
      </c>
      <c r="CD209" t="s">
        <v>4121</v>
      </c>
      <c r="CE209" t="s">
        <v>4055</v>
      </c>
      <c r="CF209" t="s">
        <v>4055</v>
      </c>
      <c r="CG209" t="s">
        <v>4056</v>
      </c>
      <c r="CI209" t="s">
        <v>4058</v>
      </c>
      <c r="CJ209" t="s">
        <v>4059</v>
      </c>
      <c r="CK209" t="s">
        <v>4060</v>
      </c>
      <c r="CL209" t="s">
        <v>4061</v>
      </c>
      <c r="CM209" t="s">
        <v>4055</v>
      </c>
      <c r="CN209" t="s">
        <v>4062</v>
      </c>
      <c r="CO209" t="s">
        <v>4063</v>
      </c>
      <c r="CP209" t="s">
        <v>4055</v>
      </c>
      <c r="CQ209" t="s">
        <v>4055</v>
      </c>
      <c r="CR209">
        <v>5</v>
      </c>
      <c r="CS209" t="s">
        <v>4055</v>
      </c>
      <c r="CT209" t="s">
        <v>4055</v>
      </c>
      <c r="CU209" t="s">
        <v>4055</v>
      </c>
      <c r="CV209">
        <v>129</v>
      </c>
      <c r="CW209">
        <v>3</v>
      </c>
      <c r="CX209">
        <v>80</v>
      </c>
      <c r="CY209">
        <v>5</v>
      </c>
      <c r="CZ209">
        <v>146</v>
      </c>
      <c r="DA209">
        <v>5</v>
      </c>
      <c r="DB209">
        <v>11740</v>
      </c>
      <c r="DC209">
        <v>350</v>
      </c>
      <c r="DD209">
        <v>330</v>
      </c>
      <c r="DE209">
        <v>2187</v>
      </c>
      <c r="DF209">
        <v>2187</v>
      </c>
      <c r="DG209">
        <v>2198</v>
      </c>
      <c r="DH209" t="s">
        <v>4055</v>
      </c>
      <c r="DI209" t="s">
        <v>4055</v>
      </c>
      <c r="DJ209" t="s">
        <v>4132</v>
      </c>
      <c r="DK209">
        <v>195</v>
      </c>
      <c r="DL209" t="s">
        <v>4065</v>
      </c>
      <c r="DM209">
        <v>63</v>
      </c>
      <c r="DN209">
        <v>1.1</v>
      </c>
      <c r="DO209">
        <v>1</v>
      </c>
      <c r="DP209">
        <v>2068</v>
      </c>
      <c r="DQ209">
        <v>873</v>
      </c>
      <c r="DR209" t="s">
        <v>4132</v>
      </c>
      <c r="DS209">
        <v>185</v>
      </c>
      <c r="DT209" t="s">
        <v>4065</v>
      </c>
      <c r="DU209">
        <v>63</v>
      </c>
      <c r="DV209">
        <v>1.1</v>
      </c>
      <c r="DW209">
        <v>1</v>
      </c>
      <c r="DX209">
        <v>2080</v>
      </c>
      <c r="DY209">
        <v>832</v>
      </c>
      <c r="DZ209" t="s">
        <v>4066</v>
      </c>
      <c r="EA209">
        <v>20</v>
      </c>
      <c r="EB209" t="s">
        <v>4065</v>
      </c>
      <c r="EC209">
        <v>0.8</v>
      </c>
      <c r="ED209">
        <v>2068</v>
      </c>
      <c r="EE209">
        <v>72</v>
      </c>
      <c r="EG209">
        <v>0</v>
      </c>
      <c r="EH209" t="s">
        <v>4065</v>
      </c>
      <c r="EI209">
        <v>0</v>
      </c>
      <c r="EL209" t="s">
        <v>1528</v>
      </c>
      <c r="EM209">
        <v>12</v>
      </c>
      <c r="EN209">
        <v>0.5</v>
      </c>
      <c r="EO209">
        <v>0.96</v>
      </c>
      <c r="EP209">
        <v>2078.83</v>
      </c>
      <c r="EQ209">
        <v>34430.62</v>
      </c>
      <c r="ER209">
        <v>9772.790000000001</v>
      </c>
      <c r="ES209">
        <v>0</v>
      </c>
      <c r="ET209">
        <v>0</v>
      </c>
      <c r="EU209">
        <v>1</v>
      </c>
      <c r="EV209">
        <v>44204</v>
      </c>
      <c r="EW209">
        <v>531</v>
      </c>
      <c r="EX209" t="s">
        <v>4755</v>
      </c>
      <c r="EY209">
        <v>216</v>
      </c>
      <c r="EZ209" t="s">
        <v>4055</v>
      </c>
      <c r="FA209">
        <v>4.3</v>
      </c>
      <c r="FB209">
        <v>1</v>
      </c>
      <c r="FC209">
        <v>1</v>
      </c>
      <c r="FD209">
        <v>2111</v>
      </c>
      <c r="FE209">
        <v>2220</v>
      </c>
      <c r="FF209" t="s">
        <v>4756</v>
      </c>
      <c r="FG209">
        <v>216</v>
      </c>
      <c r="FH209" t="s">
        <v>4055</v>
      </c>
      <c r="FI209">
        <v>3.6</v>
      </c>
      <c r="FJ209">
        <v>2111</v>
      </c>
      <c r="FK209">
        <v>2112</v>
      </c>
      <c r="FL209" t="s">
        <v>4069</v>
      </c>
      <c r="FM209" t="s">
        <v>4055</v>
      </c>
      <c r="FN209" t="s">
        <v>4055</v>
      </c>
      <c r="FO209" t="s">
        <v>4055</v>
      </c>
      <c r="FP209">
        <v>2111</v>
      </c>
      <c r="FQ209">
        <v>237</v>
      </c>
      <c r="FR209" t="s">
        <v>4090</v>
      </c>
      <c r="FS209">
        <v>220</v>
      </c>
      <c r="FT209" t="s">
        <v>4055</v>
      </c>
      <c r="FU209">
        <v>0.4</v>
      </c>
      <c r="FV209">
        <v>2111</v>
      </c>
      <c r="FW209">
        <v>206</v>
      </c>
      <c r="FX209" t="s">
        <v>4070</v>
      </c>
      <c r="FY209">
        <v>5</v>
      </c>
      <c r="FZ209" t="s">
        <v>4055</v>
      </c>
      <c r="GA209" t="s">
        <v>4055</v>
      </c>
      <c r="GB209">
        <v>2111</v>
      </c>
      <c r="GC209">
        <v>20</v>
      </c>
      <c r="GD209">
        <v>4795</v>
      </c>
      <c r="GE209" t="s">
        <v>4804</v>
      </c>
      <c r="GF209" t="s">
        <v>4055</v>
      </c>
      <c r="GG209" t="s">
        <v>4055</v>
      </c>
      <c r="GH209" t="s">
        <v>4055</v>
      </c>
      <c r="GI209" t="s">
        <v>4071</v>
      </c>
      <c r="GJ209" t="s">
        <v>4055</v>
      </c>
      <c r="GK209" t="s">
        <v>4055</v>
      </c>
      <c r="GL209" t="s">
        <v>4055</v>
      </c>
      <c r="GM209" t="s">
        <v>4055</v>
      </c>
      <c r="GQ209">
        <v>0</v>
      </c>
      <c r="GV209">
        <v>8.300000000000001</v>
      </c>
      <c r="GW209">
        <v>11</v>
      </c>
      <c r="GX209">
        <v>0.5</v>
      </c>
      <c r="GY209">
        <v>186</v>
      </c>
      <c r="GZ209">
        <v>3</v>
      </c>
      <c r="HA209">
        <v>240</v>
      </c>
      <c r="HB209">
        <v>3</v>
      </c>
      <c r="HC209">
        <v>2111</v>
      </c>
      <c r="HD209">
        <v>4</v>
      </c>
      <c r="HE209" t="s">
        <v>4071</v>
      </c>
      <c r="HG209" t="s">
        <v>549</v>
      </c>
      <c r="HL209">
        <v>4</v>
      </c>
      <c r="HM209">
        <v>18</v>
      </c>
      <c r="HN209">
        <v>6</v>
      </c>
      <c r="HO209">
        <v>1</v>
      </c>
      <c r="HP209">
        <v>0</v>
      </c>
      <c r="HQ209">
        <v>0</v>
      </c>
      <c r="HR209">
        <v>3</v>
      </c>
      <c r="HS209">
        <v>2065</v>
      </c>
      <c r="HT209">
        <v>5</v>
      </c>
      <c r="HU209">
        <v>1</v>
      </c>
      <c r="HV209">
        <v>5</v>
      </c>
      <c r="HW209">
        <v>0</v>
      </c>
      <c r="HX209">
        <v>1</v>
      </c>
      <c r="HY209">
        <v>0</v>
      </c>
      <c r="HZ209">
        <v>63</v>
      </c>
      <c r="IA209">
        <v>2068</v>
      </c>
      <c r="IB209">
        <v>2080</v>
      </c>
      <c r="ID209">
        <v>2111</v>
      </c>
      <c r="IE209">
        <v>2111</v>
      </c>
      <c r="IF209">
        <v>195</v>
      </c>
      <c r="IG209">
        <v>185</v>
      </c>
      <c r="IH209">
        <v>240</v>
      </c>
      <c r="II209">
        <v>1</v>
      </c>
      <c r="IJ209">
        <v>5</v>
      </c>
      <c r="IK209">
        <v>0</v>
      </c>
      <c r="IL209">
        <v>0</v>
      </c>
      <c r="IM209">
        <v>0</v>
      </c>
      <c r="IN209">
        <v>270</v>
      </c>
      <c r="IO209">
        <v>0</v>
      </c>
      <c r="IP209">
        <v>180</v>
      </c>
      <c r="IQ209">
        <v>0</v>
      </c>
      <c r="IR209">
        <v>330</v>
      </c>
      <c r="IS209">
        <v>0</v>
      </c>
      <c r="IT209">
        <v>90</v>
      </c>
      <c r="IU209">
        <v>0</v>
      </c>
      <c r="IV209">
        <v>6.4</v>
      </c>
      <c r="IW209">
        <v>-6</v>
      </c>
      <c r="IX209">
        <v>100</v>
      </c>
      <c r="IY209">
        <v>70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378</v>
      </c>
      <c r="JJ209">
        <v>348</v>
      </c>
      <c r="JK209">
        <v>256</v>
      </c>
      <c r="JL209">
        <v>344</v>
      </c>
      <c r="JM209">
        <v>256</v>
      </c>
      <c r="JN209">
        <v>190</v>
      </c>
      <c r="JO209">
        <v>250</v>
      </c>
      <c r="JP209">
        <v>200</v>
      </c>
      <c r="JQ209">
        <v>250</v>
      </c>
      <c r="JR209">
        <v>310</v>
      </c>
      <c r="JS209">
        <v>245</v>
      </c>
      <c r="JT209">
        <v>0</v>
      </c>
      <c r="JU209">
        <v>0</v>
      </c>
      <c r="JV209">
        <v>305</v>
      </c>
      <c r="JW209">
        <v>295</v>
      </c>
      <c r="JX209">
        <v>290</v>
      </c>
      <c r="JY209">
        <v>270</v>
      </c>
      <c r="JZ209">
        <v>0.5</v>
      </c>
      <c r="KA209">
        <v>0.2</v>
      </c>
      <c r="KB209">
        <v>0.4</v>
      </c>
      <c r="KC209">
        <v>0.42</v>
      </c>
      <c r="KD209">
        <v>0.28</v>
      </c>
      <c r="KE209">
        <v>0.5</v>
      </c>
      <c r="KF209">
        <v>0.19</v>
      </c>
      <c r="KG209">
        <v>0.1</v>
      </c>
      <c r="KH209">
        <v>3.5</v>
      </c>
      <c r="KI209">
        <v>1</v>
      </c>
      <c r="KJ209">
        <v>4.5</v>
      </c>
      <c r="KK209">
        <v>0</v>
      </c>
      <c r="KL209">
        <v>4.5</v>
      </c>
      <c r="KM209">
        <v>0.5</v>
      </c>
      <c r="KN209">
        <v>1.8</v>
      </c>
      <c r="KO209">
        <v>0</v>
      </c>
      <c r="KP209">
        <v>0</v>
      </c>
      <c r="KQ209">
        <v>0.8</v>
      </c>
      <c r="KR209">
        <v>0.5</v>
      </c>
      <c r="KS209">
        <v>0.2</v>
      </c>
      <c r="KT209">
        <v>2</v>
      </c>
      <c r="KU209">
        <v>0</v>
      </c>
      <c r="KV209">
        <v>0</v>
      </c>
      <c r="KW209">
        <v>1</v>
      </c>
      <c r="KX209">
        <v>1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3</v>
      </c>
      <c r="LI209">
        <v>0.5</v>
      </c>
      <c r="LJ209">
        <v>0</v>
      </c>
      <c r="LK209">
        <v>4.5</v>
      </c>
      <c r="LL209">
        <v>4.5</v>
      </c>
      <c r="LM209">
        <v>8</v>
      </c>
      <c r="LN209">
        <v>0.1</v>
      </c>
      <c r="LO209">
        <v>0.1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1.2</v>
      </c>
      <c r="LX209">
        <v>1.2</v>
      </c>
      <c r="LY209">
        <v>2</v>
      </c>
      <c r="LZ209">
        <v>2</v>
      </c>
      <c r="MA209">
        <v>0</v>
      </c>
      <c r="MB209">
        <v>2.5</v>
      </c>
      <c r="MC209">
        <v>0</v>
      </c>
      <c r="MD209">
        <v>4.5</v>
      </c>
      <c r="ME209">
        <v>6</v>
      </c>
      <c r="MF209">
        <v>6</v>
      </c>
      <c r="MI209">
        <v>0</v>
      </c>
      <c r="MJ209">
        <v>0</v>
      </c>
      <c r="ML209">
        <v>0</v>
      </c>
      <c r="MM209">
        <v>420</v>
      </c>
      <c r="MN209">
        <v>190</v>
      </c>
      <c r="MO209">
        <v>250</v>
      </c>
      <c r="NU209">
        <v>0.15</v>
      </c>
      <c r="NV209">
        <v>0.2</v>
      </c>
      <c r="NW209">
        <v>0.2</v>
      </c>
      <c r="NX209">
        <v>0.2</v>
      </c>
      <c r="NY209">
        <v>0.2</v>
      </c>
      <c r="NZ209">
        <v>0.2</v>
      </c>
      <c r="OE209" t="s">
        <v>4804</v>
      </c>
      <c r="OF209" t="s">
        <v>4316</v>
      </c>
      <c r="OG209" t="s">
        <v>4317</v>
      </c>
      <c r="OH209" t="s">
        <v>4043</v>
      </c>
      <c r="OI209" t="s">
        <v>4804</v>
      </c>
      <c r="OJ209" t="s">
        <v>4803</v>
      </c>
      <c r="OK209">
        <v>61</v>
      </c>
      <c r="OL209">
        <v>61</v>
      </c>
      <c r="OM209" t="s">
        <v>4316</v>
      </c>
      <c r="ON209">
        <v>1</v>
      </c>
      <c r="OO209">
        <v>2068</v>
      </c>
      <c r="OP209">
        <v>61</v>
      </c>
      <c r="OQ209">
        <v>61</v>
      </c>
      <c r="OR209" t="s">
        <v>4317</v>
      </c>
      <c r="OS209">
        <v>1</v>
      </c>
      <c r="OT209">
        <v>2080</v>
      </c>
      <c r="OU209">
        <v>65</v>
      </c>
      <c r="OV209">
        <v>65</v>
      </c>
      <c r="OW209" t="s">
        <v>4043</v>
      </c>
      <c r="OX209">
        <v>2</v>
      </c>
      <c r="OY209">
        <v>44204</v>
      </c>
      <c r="OZ209">
        <v>51</v>
      </c>
      <c r="PA209">
        <v>52</v>
      </c>
      <c r="PB209" t="s">
        <v>4804</v>
      </c>
      <c r="PC209">
        <v>1</v>
      </c>
      <c r="PD209">
        <v>2111</v>
      </c>
      <c r="PF209">
        <v>422</v>
      </c>
      <c r="PG209">
        <v>35</v>
      </c>
      <c r="PH209">
        <v>400</v>
      </c>
      <c r="PI209">
        <v>0</v>
      </c>
      <c r="PJ209">
        <v>112.5</v>
      </c>
      <c r="PK209">
        <v>2268</v>
      </c>
      <c r="PL209">
        <v>1051.7</v>
      </c>
      <c r="PM209">
        <v>1000.4</v>
      </c>
      <c r="PN209">
        <v>97.8</v>
      </c>
      <c r="PO209">
        <v>9.6</v>
      </c>
      <c r="PP209">
        <v>12</v>
      </c>
      <c r="PQ209">
        <v>3</v>
      </c>
      <c r="PR209">
        <v>5</v>
      </c>
      <c r="PS209">
        <v>0</v>
      </c>
      <c r="PT209">
        <v>240</v>
      </c>
      <c r="PU209">
        <v>12</v>
      </c>
      <c r="PV209" t="s">
        <v>4072</v>
      </c>
      <c r="PW209" t="s">
        <v>4072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-1</v>
      </c>
      <c r="QF209">
        <v>1</v>
      </c>
      <c r="QG209">
        <v>0</v>
      </c>
      <c r="QH209">
        <v>5</v>
      </c>
      <c r="QI209">
        <v>5</v>
      </c>
      <c r="QJ209">
        <v>5</v>
      </c>
      <c r="QK209">
        <v>184</v>
      </c>
      <c r="QL209">
        <v>412</v>
      </c>
      <c r="QM209">
        <v>7.5</v>
      </c>
      <c r="QN209">
        <v>1461.1</v>
      </c>
      <c r="QO209" t="s">
        <v>2662</v>
      </c>
      <c r="QP209" t="s">
        <v>513</v>
      </c>
      <c r="QQ209">
        <v>0</v>
      </c>
      <c r="QR209" t="s">
        <v>540</v>
      </c>
      <c r="QS209">
        <v>30</v>
      </c>
      <c r="QT209">
        <v>40</v>
      </c>
    </row>
    <row r="210" spans="1:462">
      <c r="A210" t="s">
        <v>2806</v>
      </c>
      <c r="B210" t="s">
        <v>711</v>
      </c>
      <c r="C210" t="s">
        <v>509</v>
      </c>
      <c r="D210" t="s">
        <v>2805</v>
      </c>
      <c r="E210" t="s">
        <v>4036</v>
      </c>
      <c r="H210" t="s">
        <v>561</v>
      </c>
      <c r="J210" t="s">
        <v>562</v>
      </c>
      <c r="K210" t="s">
        <v>563</v>
      </c>
      <c r="L210" t="s">
        <v>804</v>
      </c>
      <c r="M210" t="s">
        <v>512</v>
      </c>
      <c r="N210" t="s">
        <v>515</v>
      </c>
      <c r="O210" t="s">
        <v>513</v>
      </c>
      <c r="P210" t="s">
        <v>517</v>
      </c>
      <c r="Q210" t="s">
        <v>2807</v>
      </c>
      <c r="R210" t="s">
        <v>2808</v>
      </c>
      <c r="S210" t="s">
        <v>4073</v>
      </c>
      <c r="T210" t="s">
        <v>686</v>
      </c>
      <c r="U210" t="s">
        <v>687</v>
      </c>
      <c r="V210" t="s">
        <v>2809</v>
      </c>
      <c r="W210" t="s">
        <v>2657</v>
      </c>
      <c r="X210" t="s">
        <v>2810</v>
      </c>
      <c r="Y210" t="s">
        <v>2811</v>
      </c>
      <c r="Z210" t="s">
        <v>541</v>
      </c>
      <c r="AA210" t="s">
        <v>4038</v>
      </c>
      <c r="AB210" t="s">
        <v>4805</v>
      </c>
      <c r="AC210">
        <v>9</v>
      </c>
      <c r="AD210" t="s">
        <v>2804</v>
      </c>
      <c r="AE210">
        <v>3</v>
      </c>
      <c r="AF210">
        <v>5949</v>
      </c>
      <c r="AG210" t="s">
        <v>4294</v>
      </c>
      <c r="AH210">
        <v>1</v>
      </c>
      <c r="AI210" t="s">
        <v>4041</v>
      </c>
      <c r="AK210" t="s">
        <v>4295</v>
      </c>
      <c r="AL210">
        <v>1</v>
      </c>
      <c r="AM210" t="s">
        <v>582</v>
      </c>
      <c r="AO210" t="s">
        <v>4043</v>
      </c>
      <c r="AP210">
        <v>1</v>
      </c>
      <c r="AR210" t="s">
        <v>4806</v>
      </c>
      <c r="AS210">
        <v>1</v>
      </c>
      <c r="AT210">
        <v>52</v>
      </c>
      <c r="AV210" t="s">
        <v>4078</v>
      </c>
      <c r="AW210">
        <v>6.4</v>
      </c>
      <c r="AX210">
        <v>-6</v>
      </c>
      <c r="AY210">
        <v>117.5</v>
      </c>
      <c r="AZ210">
        <v>87</v>
      </c>
      <c r="BH210">
        <v>117.5</v>
      </c>
      <c r="BI210">
        <v>30.5</v>
      </c>
      <c r="BJ210">
        <v>87</v>
      </c>
      <c r="BK210">
        <v>2.5</v>
      </c>
      <c r="BL210">
        <v>235</v>
      </c>
      <c r="BM210">
        <v>-6</v>
      </c>
      <c r="BN210">
        <v>0</v>
      </c>
      <c r="BP210">
        <v>0</v>
      </c>
      <c r="BR210">
        <v>230</v>
      </c>
      <c r="BS210">
        <v>220</v>
      </c>
      <c r="BT210">
        <v>2180</v>
      </c>
      <c r="BU210" t="s">
        <v>4127</v>
      </c>
      <c r="BV210" t="s">
        <v>4127</v>
      </c>
      <c r="BW210" t="s">
        <v>4128</v>
      </c>
      <c r="BX210" t="s">
        <v>4128</v>
      </c>
      <c r="BY210" t="s">
        <v>4221</v>
      </c>
      <c r="BZ210" t="s">
        <v>4129</v>
      </c>
      <c r="CA210" t="s">
        <v>4130</v>
      </c>
      <c r="CB210" t="s">
        <v>4131</v>
      </c>
      <c r="CC210" t="s">
        <v>4053</v>
      </c>
      <c r="CD210" t="s">
        <v>4055</v>
      </c>
      <c r="CE210" t="s">
        <v>4055</v>
      </c>
      <c r="CF210" t="s">
        <v>4055</v>
      </c>
      <c r="CG210" t="s">
        <v>4056</v>
      </c>
      <c r="CI210" t="s">
        <v>4086</v>
      </c>
      <c r="CJ210" t="s">
        <v>4059</v>
      </c>
      <c r="CK210" t="s">
        <v>4060</v>
      </c>
      <c r="CL210" t="s">
        <v>4061</v>
      </c>
      <c r="CM210" t="s">
        <v>4055</v>
      </c>
      <c r="CN210" t="s">
        <v>4062</v>
      </c>
      <c r="CO210" t="s">
        <v>4063</v>
      </c>
      <c r="CP210" t="s">
        <v>4055</v>
      </c>
      <c r="CQ210" t="s">
        <v>4055</v>
      </c>
      <c r="CR210">
        <v>5</v>
      </c>
      <c r="CS210" t="s">
        <v>4055</v>
      </c>
      <c r="CT210" t="s">
        <v>4055</v>
      </c>
      <c r="CU210" t="s">
        <v>4055</v>
      </c>
      <c r="CV210">
        <v>143</v>
      </c>
      <c r="CW210">
        <v>3</v>
      </c>
      <c r="CX210">
        <v>98</v>
      </c>
      <c r="CY210">
        <v>5</v>
      </c>
      <c r="CZ210">
        <v>163</v>
      </c>
      <c r="DA210">
        <v>5</v>
      </c>
      <c r="DB210">
        <v>15060</v>
      </c>
      <c r="DC210">
        <v>450</v>
      </c>
      <c r="DD210">
        <v>372</v>
      </c>
      <c r="DE210">
        <v>2311</v>
      </c>
      <c r="DF210">
        <v>2311</v>
      </c>
      <c r="DG210">
        <v>2322</v>
      </c>
      <c r="DH210">
        <v>2</v>
      </c>
      <c r="DI210" t="s">
        <v>4055</v>
      </c>
      <c r="DJ210" t="s">
        <v>4217</v>
      </c>
      <c r="DK210">
        <v>230</v>
      </c>
      <c r="DL210" t="s">
        <v>4065</v>
      </c>
      <c r="DM210">
        <v>63</v>
      </c>
      <c r="DN210">
        <v>1.26</v>
      </c>
      <c r="DO210">
        <v>1</v>
      </c>
      <c r="DP210">
        <v>2184</v>
      </c>
      <c r="DQ210">
        <v>1212</v>
      </c>
      <c r="DR210" t="s">
        <v>4217</v>
      </c>
      <c r="DS210">
        <v>220</v>
      </c>
      <c r="DT210" t="s">
        <v>4065</v>
      </c>
      <c r="DU210">
        <v>63</v>
      </c>
      <c r="DV210">
        <v>1.26</v>
      </c>
      <c r="DW210">
        <v>1</v>
      </c>
      <c r="DX210">
        <v>2197</v>
      </c>
      <c r="DY210">
        <v>1167</v>
      </c>
      <c r="DZ210" t="s">
        <v>4066</v>
      </c>
      <c r="EA210">
        <v>20</v>
      </c>
      <c r="EB210" t="s">
        <v>4065</v>
      </c>
      <c r="EC210">
        <v>0.8</v>
      </c>
      <c r="ED210">
        <v>2184</v>
      </c>
      <c r="EE210">
        <v>76</v>
      </c>
      <c r="EG210">
        <v>0</v>
      </c>
      <c r="EH210" t="s">
        <v>4065</v>
      </c>
      <c r="EI210">
        <v>0</v>
      </c>
      <c r="EL210" t="s">
        <v>1528</v>
      </c>
      <c r="EM210">
        <v>12</v>
      </c>
      <c r="EN210">
        <v>0.5</v>
      </c>
      <c r="EO210">
        <v>0.96</v>
      </c>
      <c r="EP210">
        <v>2195.84</v>
      </c>
      <c r="EQ210">
        <v>42372.85</v>
      </c>
      <c r="ER210">
        <v>10493.3</v>
      </c>
      <c r="ES210">
        <v>0</v>
      </c>
      <c r="ET210">
        <v>0</v>
      </c>
      <c r="EU210">
        <v>1</v>
      </c>
      <c r="EV210">
        <v>52867</v>
      </c>
      <c r="EW210">
        <v>635</v>
      </c>
      <c r="EX210" t="s">
        <v>4755</v>
      </c>
      <c r="EY210">
        <v>250</v>
      </c>
      <c r="EZ210" t="s">
        <v>4055</v>
      </c>
      <c r="FA210">
        <v>4.1</v>
      </c>
      <c r="FB210">
        <v>1</v>
      </c>
      <c r="FC210">
        <v>1</v>
      </c>
      <c r="FD210">
        <v>2229</v>
      </c>
      <c r="FE210">
        <v>2814</v>
      </c>
      <c r="FF210" t="s">
        <v>4756</v>
      </c>
      <c r="FG210">
        <v>250</v>
      </c>
      <c r="FH210" t="s">
        <v>4055</v>
      </c>
      <c r="FI210">
        <v>4.1</v>
      </c>
      <c r="FJ210">
        <v>2229</v>
      </c>
      <c r="FK210">
        <v>2683</v>
      </c>
      <c r="FL210" t="s">
        <v>4069</v>
      </c>
      <c r="FM210" t="s">
        <v>4055</v>
      </c>
      <c r="FN210" t="s">
        <v>4055</v>
      </c>
      <c r="FO210" t="s">
        <v>4055</v>
      </c>
      <c r="FP210">
        <v>2229</v>
      </c>
      <c r="FQ210">
        <v>247</v>
      </c>
      <c r="FR210" t="s">
        <v>4090</v>
      </c>
      <c r="FS210">
        <v>254</v>
      </c>
      <c r="FT210" t="s">
        <v>4055</v>
      </c>
      <c r="FU210">
        <v>0.4</v>
      </c>
      <c r="FV210">
        <v>2229</v>
      </c>
      <c r="FW210">
        <v>248</v>
      </c>
      <c r="FX210" t="s">
        <v>4070</v>
      </c>
      <c r="FY210">
        <v>5</v>
      </c>
      <c r="FZ210" t="s">
        <v>4055</v>
      </c>
      <c r="GA210" t="s">
        <v>4055</v>
      </c>
      <c r="GB210">
        <v>2229</v>
      </c>
      <c r="GC210">
        <v>22</v>
      </c>
      <c r="GD210">
        <v>6014</v>
      </c>
      <c r="GE210" t="s">
        <v>4806</v>
      </c>
      <c r="GF210" t="s">
        <v>4055</v>
      </c>
      <c r="GG210" t="s">
        <v>4055</v>
      </c>
      <c r="GH210" t="s">
        <v>4055</v>
      </c>
      <c r="GI210" t="s">
        <v>4071</v>
      </c>
      <c r="GJ210" t="s">
        <v>4055</v>
      </c>
      <c r="GK210" t="s">
        <v>4055</v>
      </c>
      <c r="GL210" t="s">
        <v>4055</v>
      </c>
      <c r="GM210" t="s">
        <v>4055</v>
      </c>
      <c r="GQ210">
        <v>0</v>
      </c>
      <c r="GV210">
        <v>8.6</v>
      </c>
      <c r="GW210">
        <v>11.5</v>
      </c>
      <c r="GX210">
        <v>0.5</v>
      </c>
      <c r="GY210">
        <v>218</v>
      </c>
      <c r="GZ210">
        <v>3</v>
      </c>
      <c r="HA210">
        <v>274</v>
      </c>
      <c r="HB210">
        <v>3</v>
      </c>
      <c r="HC210">
        <v>2229</v>
      </c>
      <c r="HD210">
        <v>4</v>
      </c>
      <c r="HE210" t="s">
        <v>4071</v>
      </c>
      <c r="HG210" t="s">
        <v>549</v>
      </c>
      <c r="HL210">
        <v>4</v>
      </c>
      <c r="HM210">
        <v>19</v>
      </c>
      <c r="HN210">
        <v>6</v>
      </c>
      <c r="HO210">
        <v>1</v>
      </c>
      <c r="HP210">
        <v>0</v>
      </c>
      <c r="HQ210">
        <v>0</v>
      </c>
      <c r="HR210">
        <v>1</v>
      </c>
      <c r="HS210">
        <v>2180</v>
      </c>
      <c r="HT210">
        <v>5</v>
      </c>
      <c r="HU210">
        <v>1</v>
      </c>
      <c r="HV210">
        <v>0</v>
      </c>
      <c r="HW210">
        <v>0</v>
      </c>
      <c r="HX210">
        <v>1</v>
      </c>
      <c r="HY210">
        <v>0</v>
      </c>
      <c r="HZ210">
        <v>63</v>
      </c>
      <c r="IA210">
        <v>2184</v>
      </c>
      <c r="IB210">
        <v>2197</v>
      </c>
      <c r="ID210">
        <v>2229</v>
      </c>
      <c r="IE210">
        <v>2229</v>
      </c>
      <c r="IF210">
        <v>230</v>
      </c>
      <c r="IG210">
        <v>220</v>
      </c>
      <c r="IH210">
        <v>274</v>
      </c>
      <c r="II210">
        <v>1</v>
      </c>
      <c r="IJ210">
        <v>5</v>
      </c>
      <c r="IK210">
        <v>0</v>
      </c>
      <c r="IL210">
        <v>0</v>
      </c>
      <c r="IM210">
        <v>0</v>
      </c>
      <c r="IN210">
        <v>270</v>
      </c>
      <c r="IO210">
        <v>0</v>
      </c>
      <c r="IP210">
        <v>180</v>
      </c>
      <c r="IQ210">
        <v>0</v>
      </c>
      <c r="IR210">
        <v>330</v>
      </c>
      <c r="IS210">
        <v>0</v>
      </c>
      <c r="IT210">
        <v>90</v>
      </c>
      <c r="IU210">
        <v>0</v>
      </c>
      <c r="IV210">
        <v>6.4</v>
      </c>
      <c r="IW210">
        <v>-6</v>
      </c>
      <c r="IX210">
        <v>117.5</v>
      </c>
      <c r="IY210">
        <v>87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430</v>
      </c>
      <c r="JJ210">
        <v>400</v>
      </c>
      <c r="JK210">
        <v>295</v>
      </c>
      <c r="JL210">
        <v>398</v>
      </c>
      <c r="JM210">
        <v>295</v>
      </c>
      <c r="JN210">
        <v>215</v>
      </c>
      <c r="JO210">
        <v>284</v>
      </c>
      <c r="JP210">
        <v>180</v>
      </c>
      <c r="JQ210">
        <v>230</v>
      </c>
      <c r="JR210">
        <v>318</v>
      </c>
      <c r="JS210">
        <v>224</v>
      </c>
      <c r="JT210">
        <v>0</v>
      </c>
      <c r="JU210">
        <v>0</v>
      </c>
      <c r="JV210">
        <v>318</v>
      </c>
      <c r="JW210">
        <v>310</v>
      </c>
      <c r="JX210">
        <v>310</v>
      </c>
      <c r="JY210">
        <v>275</v>
      </c>
      <c r="JZ210">
        <v>0.5</v>
      </c>
      <c r="KA210">
        <v>0.2</v>
      </c>
      <c r="KB210">
        <v>0.4</v>
      </c>
      <c r="KC210">
        <v>0.42</v>
      </c>
      <c r="KD210">
        <v>0.3</v>
      </c>
      <c r="KE210">
        <v>0.5</v>
      </c>
      <c r="KF210">
        <v>0.19</v>
      </c>
      <c r="KG210">
        <v>0.11</v>
      </c>
      <c r="KH210">
        <v>3.5</v>
      </c>
      <c r="KI210">
        <v>1</v>
      </c>
      <c r="KJ210">
        <v>4.5</v>
      </c>
      <c r="KK210">
        <v>0</v>
      </c>
      <c r="KL210">
        <v>4.5</v>
      </c>
      <c r="KM210">
        <v>0.5</v>
      </c>
      <c r="KN210">
        <v>1.8</v>
      </c>
      <c r="KO210">
        <v>0</v>
      </c>
      <c r="KP210">
        <v>0</v>
      </c>
      <c r="KQ210">
        <v>0.8</v>
      </c>
      <c r="KR210">
        <v>1</v>
      </c>
      <c r="KS210">
        <v>0</v>
      </c>
      <c r="KT210">
        <v>3.9</v>
      </c>
      <c r="KU210">
        <v>0</v>
      </c>
      <c r="KV210">
        <v>0</v>
      </c>
      <c r="KW210">
        <v>1.6</v>
      </c>
      <c r="KX210">
        <v>2</v>
      </c>
      <c r="KY210">
        <v>1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3</v>
      </c>
      <c r="LI210">
        <v>0.5</v>
      </c>
      <c r="LJ210">
        <v>0</v>
      </c>
      <c r="LK210">
        <v>10</v>
      </c>
      <c r="LL210">
        <v>5</v>
      </c>
      <c r="LM210">
        <v>8</v>
      </c>
      <c r="LN210">
        <v>3</v>
      </c>
      <c r="LO210">
        <v>3</v>
      </c>
      <c r="LP210">
        <v>0</v>
      </c>
      <c r="LQ210">
        <v>0</v>
      </c>
      <c r="LR210">
        <v>0</v>
      </c>
      <c r="LS210">
        <v>1</v>
      </c>
      <c r="LT210">
        <v>0</v>
      </c>
      <c r="LU210">
        <v>0</v>
      </c>
      <c r="LV210">
        <v>0</v>
      </c>
      <c r="LW210">
        <v>1.8</v>
      </c>
      <c r="LX210">
        <v>1.8</v>
      </c>
      <c r="LY210">
        <v>2.1</v>
      </c>
      <c r="LZ210">
        <v>2.1</v>
      </c>
      <c r="MA210">
        <v>0</v>
      </c>
      <c r="MB210">
        <v>10</v>
      </c>
      <c r="MC210">
        <v>0</v>
      </c>
      <c r="MD210">
        <v>4.5</v>
      </c>
      <c r="ME210">
        <v>6</v>
      </c>
      <c r="MF210">
        <v>6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420</v>
      </c>
      <c r="MN210">
        <v>215</v>
      </c>
      <c r="MO210">
        <v>284</v>
      </c>
      <c r="NU210">
        <v>0.15</v>
      </c>
      <c r="NV210">
        <v>0.2</v>
      </c>
      <c r="NW210">
        <v>0.2</v>
      </c>
      <c r="NX210">
        <v>0.2</v>
      </c>
      <c r="NY210">
        <v>0.2</v>
      </c>
      <c r="NZ210">
        <v>0.2</v>
      </c>
      <c r="OE210" t="s">
        <v>4806</v>
      </c>
      <c r="OF210" t="s">
        <v>4294</v>
      </c>
      <c r="OG210" t="s">
        <v>4295</v>
      </c>
      <c r="OH210" t="s">
        <v>4043</v>
      </c>
      <c r="OI210" t="s">
        <v>4806</v>
      </c>
      <c r="OJ210" t="s">
        <v>4805</v>
      </c>
      <c r="OK210">
        <v>61</v>
      </c>
      <c r="OL210">
        <v>61</v>
      </c>
      <c r="OM210" t="s">
        <v>4294</v>
      </c>
      <c r="ON210">
        <v>1</v>
      </c>
      <c r="OO210">
        <v>2184</v>
      </c>
      <c r="OP210">
        <v>61</v>
      </c>
      <c r="OQ210">
        <v>61</v>
      </c>
      <c r="OR210" t="s">
        <v>4295</v>
      </c>
      <c r="OS210">
        <v>1</v>
      </c>
      <c r="OT210">
        <v>2197</v>
      </c>
      <c r="OU210">
        <v>65</v>
      </c>
      <c r="OV210">
        <v>65</v>
      </c>
      <c r="OW210" t="s">
        <v>4043</v>
      </c>
      <c r="OX210">
        <v>2</v>
      </c>
      <c r="OY210">
        <v>52867</v>
      </c>
      <c r="OZ210">
        <v>51</v>
      </c>
      <c r="PA210">
        <v>52</v>
      </c>
      <c r="PB210" t="s">
        <v>4806</v>
      </c>
      <c r="PC210">
        <v>1</v>
      </c>
      <c r="PD210">
        <v>2229</v>
      </c>
      <c r="PF210">
        <v>555</v>
      </c>
      <c r="PG210">
        <v>35</v>
      </c>
      <c r="PH210">
        <v>531</v>
      </c>
      <c r="PI210">
        <v>0</v>
      </c>
      <c r="PJ210">
        <v>111</v>
      </c>
      <c r="PK210">
        <v>2712</v>
      </c>
      <c r="PL210">
        <v>1262.3</v>
      </c>
      <c r="PM210">
        <v>1203.9</v>
      </c>
      <c r="PN210">
        <v>111.3</v>
      </c>
      <c r="PO210">
        <v>10</v>
      </c>
      <c r="PP210">
        <v>12</v>
      </c>
      <c r="PQ210">
        <v>5</v>
      </c>
      <c r="PR210">
        <v>5</v>
      </c>
      <c r="PS210">
        <v>0</v>
      </c>
      <c r="PT210">
        <v>274</v>
      </c>
      <c r="PU210">
        <v>12</v>
      </c>
      <c r="PV210" t="s">
        <v>4072</v>
      </c>
      <c r="PW210" t="s">
        <v>4072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-1</v>
      </c>
      <c r="QF210">
        <v>1</v>
      </c>
      <c r="QG210">
        <v>0</v>
      </c>
      <c r="QH210">
        <v>5</v>
      </c>
      <c r="QI210">
        <v>5</v>
      </c>
      <c r="QJ210">
        <v>5</v>
      </c>
      <c r="QK210">
        <v>232</v>
      </c>
      <c r="QL210">
        <v>460</v>
      </c>
      <c r="QM210">
        <v>7.5</v>
      </c>
      <c r="QN210">
        <v>1544.1</v>
      </c>
      <c r="QO210" t="s">
        <v>2662</v>
      </c>
      <c r="QP210" t="s">
        <v>513</v>
      </c>
      <c r="QQ210">
        <v>0</v>
      </c>
      <c r="QR210" t="s">
        <v>596</v>
      </c>
      <c r="QS210">
        <v>40</v>
      </c>
      <c r="QT210">
        <v>50</v>
      </c>
    </row>
    <row r="211" spans="1:462">
      <c r="A211" t="s">
        <v>2818</v>
      </c>
      <c r="B211" t="s">
        <v>629</v>
      </c>
      <c r="C211" t="s">
        <v>509</v>
      </c>
      <c r="D211" t="s">
        <v>2817</v>
      </c>
      <c r="E211" t="s">
        <v>4036</v>
      </c>
      <c r="H211" t="s">
        <v>1294</v>
      </c>
      <c r="J211" t="s">
        <v>562</v>
      </c>
      <c r="K211" t="s">
        <v>563</v>
      </c>
      <c r="L211" t="s">
        <v>711</v>
      </c>
      <c r="M211" t="s">
        <v>512</v>
      </c>
      <c r="O211" t="s">
        <v>513</v>
      </c>
      <c r="P211" t="s">
        <v>517</v>
      </c>
      <c r="Q211" t="s">
        <v>568</v>
      </c>
      <c r="R211" t="s">
        <v>569</v>
      </c>
      <c r="S211" t="s">
        <v>4073</v>
      </c>
      <c r="T211" t="s">
        <v>570</v>
      </c>
      <c r="U211" t="s">
        <v>571</v>
      </c>
      <c r="V211" t="s">
        <v>2556</v>
      </c>
      <c r="W211" t="s">
        <v>2657</v>
      </c>
      <c r="X211" t="s">
        <v>2819</v>
      </c>
      <c r="Y211" t="s">
        <v>2820</v>
      </c>
      <c r="Z211" t="s">
        <v>541</v>
      </c>
      <c r="AA211" t="s">
        <v>4038</v>
      </c>
      <c r="AB211" t="s">
        <v>4807</v>
      </c>
      <c r="AC211">
        <v>9</v>
      </c>
      <c r="AD211" t="s">
        <v>2816</v>
      </c>
      <c r="AE211">
        <v>4</v>
      </c>
      <c r="AF211">
        <v>6912</v>
      </c>
      <c r="AG211" t="s">
        <v>4260</v>
      </c>
      <c r="AH211">
        <v>1</v>
      </c>
      <c r="AI211" t="s">
        <v>4041</v>
      </c>
      <c r="AK211" t="s">
        <v>4261</v>
      </c>
      <c r="AL211">
        <v>1</v>
      </c>
      <c r="AM211" t="s">
        <v>582</v>
      </c>
      <c r="AO211" t="s">
        <v>4043</v>
      </c>
      <c r="AP211">
        <v>1</v>
      </c>
      <c r="AR211" t="s">
        <v>4808</v>
      </c>
      <c r="AS211">
        <v>1</v>
      </c>
      <c r="AT211">
        <v>52</v>
      </c>
      <c r="AV211" t="s">
        <v>4078</v>
      </c>
      <c r="AW211">
        <v>6.4</v>
      </c>
      <c r="AX211">
        <v>-6</v>
      </c>
      <c r="AY211">
        <v>127.5</v>
      </c>
      <c r="AZ211">
        <v>97.5</v>
      </c>
      <c r="BH211">
        <v>127.5</v>
      </c>
      <c r="BI211">
        <v>30</v>
      </c>
      <c r="BJ211">
        <v>97.5</v>
      </c>
      <c r="BK211">
        <v>2.5</v>
      </c>
      <c r="BL211">
        <v>255</v>
      </c>
      <c r="BM211">
        <v>-6</v>
      </c>
      <c r="BN211">
        <v>0</v>
      </c>
      <c r="BO211">
        <v>0</v>
      </c>
      <c r="BP211">
        <v>0</v>
      </c>
      <c r="BR211">
        <v>250</v>
      </c>
      <c r="BS211">
        <v>240</v>
      </c>
      <c r="BT211">
        <v>2325</v>
      </c>
      <c r="BU211" t="s">
        <v>4079</v>
      </c>
      <c r="BV211" t="s">
        <v>4080</v>
      </c>
      <c r="BW211" t="s">
        <v>4081</v>
      </c>
      <c r="BX211" t="s">
        <v>4082</v>
      </c>
      <c r="BY211" t="s">
        <v>4083</v>
      </c>
      <c r="BZ211" t="s">
        <v>4199</v>
      </c>
      <c r="CA211" t="s">
        <v>4084</v>
      </c>
      <c r="CB211" t="s">
        <v>4085</v>
      </c>
      <c r="CC211" t="s">
        <v>4053</v>
      </c>
      <c r="CD211" t="s">
        <v>4055</v>
      </c>
      <c r="CE211" t="s">
        <v>4055</v>
      </c>
      <c r="CF211" t="s">
        <v>4055</v>
      </c>
      <c r="CG211" t="s">
        <v>4056</v>
      </c>
      <c r="CI211" t="s">
        <v>4086</v>
      </c>
      <c r="CJ211" t="s">
        <v>4059</v>
      </c>
      <c r="CK211" t="s">
        <v>4060</v>
      </c>
      <c r="CL211" t="s">
        <v>4061</v>
      </c>
      <c r="CM211" t="s">
        <v>4055</v>
      </c>
      <c r="CN211" t="s">
        <v>4062</v>
      </c>
      <c r="CO211" t="s">
        <v>4063</v>
      </c>
      <c r="CP211" t="s">
        <v>4055</v>
      </c>
      <c r="CQ211" t="s">
        <v>4055</v>
      </c>
      <c r="CR211">
        <v>5</v>
      </c>
      <c r="CS211" t="s">
        <v>4055</v>
      </c>
      <c r="CT211" t="s">
        <v>4055</v>
      </c>
      <c r="CU211" t="s">
        <v>4055</v>
      </c>
      <c r="CV211">
        <v>154</v>
      </c>
      <c r="CW211">
        <v>3</v>
      </c>
      <c r="CX211">
        <v>111</v>
      </c>
      <c r="CY211">
        <v>5</v>
      </c>
      <c r="CZ211">
        <v>183</v>
      </c>
      <c r="DA211">
        <v>5</v>
      </c>
      <c r="DB211">
        <v>17410</v>
      </c>
      <c r="DC211">
        <v>520</v>
      </c>
      <c r="DD211">
        <v>415</v>
      </c>
      <c r="DE211">
        <v>2446</v>
      </c>
      <c r="DF211">
        <v>2446</v>
      </c>
      <c r="DG211">
        <v>2471</v>
      </c>
      <c r="DH211">
        <v>1</v>
      </c>
      <c r="DI211" t="s">
        <v>4055</v>
      </c>
      <c r="DJ211" t="s">
        <v>4217</v>
      </c>
      <c r="DK211">
        <v>250</v>
      </c>
      <c r="DL211" t="s">
        <v>4065</v>
      </c>
      <c r="DM211">
        <v>63</v>
      </c>
      <c r="DN211">
        <v>1.26</v>
      </c>
      <c r="DO211">
        <v>1</v>
      </c>
      <c r="DP211">
        <v>2329</v>
      </c>
      <c r="DQ211">
        <v>1407</v>
      </c>
      <c r="DR211" t="s">
        <v>4217</v>
      </c>
      <c r="DS211">
        <v>240</v>
      </c>
      <c r="DT211" t="s">
        <v>4065</v>
      </c>
      <c r="DU211">
        <v>63</v>
      </c>
      <c r="DV211">
        <v>1.26</v>
      </c>
      <c r="DW211">
        <v>1</v>
      </c>
      <c r="DX211">
        <v>2342</v>
      </c>
      <c r="DY211">
        <v>1356</v>
      </c>
      <c r="DZ211" t="s">
        <v>4066</v>
      </c>
      <c r="EA211">
        <v>20</v>
      </c>
      <c r="EB211" t="s">
        <v>4065</v>
      </c>
      <c r="EC211">
        <v>0.8</v>
      </c>
      <c r="ED211">
        <v>2329</v>
      </c>
      <c r="EE211">
        <v>82</v>
      </c>
      <c r="EG211">
        <v>0</v>
      </c>
      <c r="EH211" t="s">
        <v>4065</v>
      </c>
      <c r="EI211">
        <v>0</v>
      </c>
      <c r="EL211" t="s">
        <v>1528</v>
      </c>
      <c r="EM211">
        <v>12</v>
      </c>
      <c r="EN211">
        <v>0.5</v>
      </c>
      <c r="EO211">
        <v>0.96</v>
      </c>
      <c r="EP211">
        <v>2340.84</v>
      </c>
      <c r="EQ211">
        <v>48828.46</v>
      </c>
      <c r="ER211">
        <v>11000.96</v>
      </c>
      <c r="ES211">
        <v>0</v>
      </c>
      <c r="ET211">
        <v>0</v>
      </c>
      <c r="EU211">
        <v>1</v>
      </c>
      <c r="EV211">
        <v>59830</v>
      </c>
      <c r="EW211">
        <v>718</v>
      </c>
      <c r="EX211" t="s">
        <v>4755</v>
      </c>
      <c r="EY211">
        <v>178</v>
      </c>
      <c r="EZ211" t="s">
        <v>4055</v>
      </c>
      <c r="FA211">
        <v>3.9</v>
      </c>
      <c r="FB211">
        <v>1</v>
      </c>
      <c r="FC211">
        <v>1</v>
      </c>
      <c r="FD211">
        <v>2374</v>
      </c>
      <c r="FE211">
        <v>2852</v>
      </c>
      <c r="FF211" t="s">
        <v>4756</v>
      </c>
      <c r="FG211">
        <v>278</v>
      </c>
      <c r="FH211" t="s">
        <v>4055</v>
      </c>
      <c r="FI211">
        <v>4.2</v>
      </c>
      <c r="FJ211">
        <v>2374</v>
      </c>
      <c r="FK211">
        <v>3540</v>
      </c>
      <c r="FL211" t="s">
        <v>4069</v>
      </c>
      <c r="FM211" t="s">
        <v>4055</v>
      </c>
      <c r="FN211" t="s">
        <v>4055</v>
      </c>
      <c r="FO211" t="s">
        <v>4055</v>
      </c>
      <c r="FP211">
        <v>2374</v>
      </c>
      <c r="FQ211">
        <v>215</v>
      </c>
      <c r="FR211" t="s">
        <v>4090</v>
      </c>
      <c r="FS211">
        <v>182</v>
      </c>
      <c r="FT211" t="s">
        <v>4055</v>
      </c>
      <c r="FU211">
        <v>0.4</v>
      </c>
      <c r="FV211">
        <v>2374</v>
      </c>
      <c r="FW211">
        <v>298</v>
      </c>
      <c r="FX211" t="s">
        <v>4070</v>
      </c>
      <c r="FY211">
        <v>5</v>
      </c>
      <c r="FZ211" t="s">
        <v>4055</v>
      </c>
      <c r="GA211" t="s">
        <v>4055</v>
      </c>
      <c r="GB211">
        <v>2374</v>
      </c>
      <c r="GC211">
        <v>24</v>
      </c>
      <c r="GD211">
        <v>6929</v>
      </c>
      <c r="GE211" t="s">
        <v>4808</v>
      </c>
      <c r="GF211" t="s">
        <v>4055</v>
      </c>
      <c r="GG211" t="s">
        <v>4055</v>
      </c>
      <c r="GH211" t="s">
        <v>4055</v>
      </c>
      <c r="GI211" t="s">
        <v>4071</v>
      </c>
      <c r="GJ211" t="s">
        <v>4055</v>
      </c>
      <c r="GK211" t="s">
        <v>4055</v>
      </c>
      <c r="GL211" t="s">
        <v>4055</v>
      </c>
      <c r="GM211" t="s">
        <v>4055</v>
      </c>
      <c r="GQ211">
        <v>0</v>
      </c>
      <c r="GV211">
        <v>8.5</v>
      </c>
      <c r="GW211">
        <v>11.5</v>
      </c>
      <c r="GX211">
        <v>0.5</v>
      </c>
      <c r="GY211">
        <v>240</v>
      </c>
      <c r="GZ211">
        <v>3</v>
      </c>
      <c r="HA211">
        <v>298</v>
      </c>
      <c r="HB211">
        <v>3</v>
      </c>
      <c r="HC211">
        <v>2374</v>
      </c>
      <c r="HD211">
        <v>4</v>
      </c>
      <c r="HE211" t="s">
        <v>4071</v>
      </c>
      <c r="HG211" t="s">
        <v>549</v>
      </c>
      <c r="HL211">
        <v>4</v>
      </c>
      <c r="HM211">
        <v>20</v>
      </c>
      <c r="HN211">
        <v>6</v>
      </c>
      <c r="HO211">
        <v>1</v>
      </c>
      <c r="HP211">
        <v>0</v>
      </c>
      <c r="HQ211">
        <v>0</v>
      </c>
      <c r="HR211">
        <v>1</v>
      </c>
      <c r="HS211">
        <v>2325</v>
      </c>
      <c r="HT211">
        <v>5</v>
      </c>
      <c r="HU211">
        <v>1</v>
      </c>
      <c r="HV211">
        <v>3</v>
      </c>
      <c r="HW211">
        <v>0</v>
      </c>
      <c r="HX211">
        <v>1</v>
      </c>
      <c r="HY211">
        <v>0</v>
      </c>
      <c r="HZ211">
        <v>63</v>
      </c>
      <c r="IA211">
        <v>2329</v>
      </c>
      <c r="IB211">
        <v>2342</v>
      </c>
      <c r="ID211">
        <v>2374</v>
      </c>
      <c r="IE211">
        <v>2374</v>
      </c>
      <c r="IF211">
        <v>250</v>
      </c>
      <c r="IG211">
        <v>240</v>
      </c>
      <c r="IH211">
        <v>298</v>
      </c>
      <c r="II211">
        <v>1</v>
      </c>
      <c r="IJ211">
        <v>5</v>
      </c>
      <c r="IK211">
        <v>0</v>
      </c>
      <c r="IL211">
        <v>0</v>
      </c>
      <c r="IM211">
        <v>0</v>
      </c>
      <c r="IN211">
        <v>270</v>
      </c>
      <c r="IO211">
        <v>0</v>
      </c>
      <c r="IP211">
        <v>180</v>
      </c>
      <c r="IQ211">
        <v>0</v>
      </c>
      <c r="IR211">
        <v>330</v>
      </c>
      <c r="IS211">
        <v>0</v>
      </c>
      <c r="IT211">
        <v>90</v>
      </c>
      <c r="IU211">
        <v>0</v>
      </c>
      <c r="IV211">
        <v>6.4</v>
      </c>
      <c r="IW211">
        <v>-6</v>
      </c>
      <c r="IX211">
        <v>127.5</v>
      </c>
      <c r="IY211">
        <v>97.5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476</v>
      </c>
      <c r="JJ211">
        <v>446</v>
      </c>
      <c r="JK211">
        <v>326</v>
      </c>
      <c r="JL211">
        <v>444</v>
      </c>
      <c r="JM211">
        <v>350</v>
      </c>
      <c r="JN211">
        <v>250</v>
      </c>
      <c r="JO211">
        <v>308</v>
      </c>
      <c r="JP211">
        <v>205</v>
      </c>
      <c r="JQ211">
        <v>235</v>
      </c>
      <c r="JR211">
        <v>324</v>
      </c>
      <c r="JS211">
        <v>224</v>
      </c>
      <c r="JT211">
        <v>0</v>
      </c>
      <c r="JU211">
        <v>0</v>
      </c>
      <c r="JV211">
        <v>320</v>
      </c>
      <c r="JW211">
        <v>310</v>
      </c>
      <c r="JX211">
        <v>0</v>
      </c>
      <c r="JY211">
        <v>0</v>
      </c>
      <c r="JZ211">
        <v>0</v>
      </c>
      <c r="KA211">
        <v>0.2</v>
      </c>
      <c r="KB211">
        <v>0.4</v>
      </c>
      <c r="KC211">
        <v>0.42</v>
      </c>
      <c r="KD211">
        <v>0.3</v>
      </c>
      <c r="KE211">
        <v>0.5</v>
      </c>
      <c r="KF211">
        <v>0.18</v>
      </c>
      <c r="KG211">
        <v>0.12</v>
      </c>
      <c r="KH211">
        <v>3.5</v>
      </c>
      <c r="KI211">
        <v>1</v>
      </c>
      <c r="KJ211">
        <v>4.5</v>
      </c>
      <c r="KK211">
        <v>0</v>
      </c>
      <c r="KL211">
        <v>4.5</v>
      </c>
      <c r="KM211">
        <v>0.5</v>
      </c>
      <c r="KN211">
        <v>2.5</v>
      </c>
      <c r="KO211">
        <v>1</v>
      </c>
      <c r="KP211">
        <v>0</v>
      </c>
      <c r="KQ211">
        <v>0.4</v>
      </c>
      <c r="KR211">
        <v>0.5</v>
      </c>
      <c r="KS211">
        <v>0</v>
      </c>
      <c r="KT211">
        <v>3.8</v>
      </c>
      <c r="KU211">
        <v>0</v>
      </c>
      <c r="KV211">
        <v>0</v>
      </c>
      <c r="KW211">
        <v>1.6</v>
      </c>
      <c r="KX211">
        <v>2</v>
      </c>
      <c r="KY211">
        <v>1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3</v>
      </c>
      <c r="LI211">
        <v>0</v>
      </c>
      <c r="LJ211">
        <v>0</v>
      </c>
      <c r="LK211">
        <v>8</v>
      </c>
      <c r="LL211">
        <v>15</v>
      </c>
      <c r="LM211">
        <v>15</v>
      </c>
      <c r="LN211">
        <v>1</v>
      </c>
      <c r="LO211">
        <v>3</v>
      </c>
      <c r="LP211">
        <v>0</v>
      </c>
      <c r="LQ211">
        <v>0</v>
      </c>
      <c r="LR211">
        <v>0</v>
      </c>
      <c r="LS211">
        <v>1</v>
      </c>
      <c r="LT211">
        <v>0</v>
      </c>
      <c r="LU211">
        <v>0</v>
      </c>
      <c r="LV211">
        <v>0</v>
      </c>
      <c r="LW211">
        <v>2.3</v>
      </c>
      <c r="LX211">
        <v>2.3</v>
      </c>
      <c r="LY211">
        <v>2.3</v>
      </c>
      <c r="LZ211">
        <v>2.3</v>
      </c>
      <c r="MA211">
        <v>0</v>
      </c>
      <c r="MB211">
        <v>5</v>
      </c>
      <c r="MC211">
        <v>0</v>
      </c>
      <c r="MD211">
        <v>4.5</v>
      </c>
      <c r="ME211">
        <v>6</v>
      </c>
      <c r="MF211">
        <v>6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484</v>
      </c>
      <c r="MN211">
        <v>240</v>
      </c>
      <c r="MO211">
        <v>308</v>
      </c>
      <c r="NU211">
        <v>0.15</v>
      </c>
      <c r="NV211">
        <v>0.2</v>
      </c>
      <c r="NW211">
        <v>0.2</v>
      </c>
      <c r="NX211">
        <v>0.2</v>
      </c>
      <c r="NY211">
        <v>0.2</v>
      </c>
      <c r="NZ211">
        <v>0.2</v>
      </c>
      <c r="OE211" t="s">
        <v>4808</v>
      </c>
      <c r="OF211" t="s">
        <v>4260</v>
      </c>
      <c r="OG211" t="s">
        <v>4261</v>
      </c>
      <c r="OH211" t="s">
        <v>4043</v>
      </c>
      <c r="OI211" t="s">
        <v>4808</v>
      </c>
      <c r="OJ211" t="s">
        <v>4807</v>
      </c>
      <c r="OK211">
        <v>61</v>
      </c>
      <c r="OL211">
        <v>61</v>
      </c>
      <c r="OM211" t="s">
        <v>4260</v>
      </c>
      <c r="ON211">
        <v>1</v>
      </c>
      <c r="OO211">
        <v>2329</v>
      </c>
      <c r="OP211">
        <v>61</v>
      </c>
      <c r="OQ211">
        <v>61</v>
      </c>
      <c r="OR211" t="s">
        <v>4261</v>
      </c>
      <c r="OS211">
        <v>1</v>
      </c>
      <c r="OT211">
        <v>2342</v>
      </c>
      <c r="OU211">
        <v>65</v>
      </c>
      <c r="OV211">
        <v>65</v>
      </c>
      <c r="OW211" t="s">
        <v>4043</v>
      </c>
      <c r="OX211">
        <v>2</v>
      </c>
      <c r="OY211">
        <v>59830</v>
      </c>
      <c r="OZ211">
        <v>51</v>
      </c>
      <c r="PA211">
        <v>52</v>
      </c>
      <c r="PB211" t="s">
        <v>4808</v>
      </c>
      <c r="PC211">
        <v>1</v>
      </c>
      <c r="PD211">
        <v>2374</v>
      </c>
      <c r="PF211">
        <v>604</v>
      </c>
      <c r="PG211">
        <v>35</v>
      </c>
      <c r="PH211">
        <v>579</v>
      </c>
      <c r="PI211">
        <v>0</v>
      </c>
      <c r="PJ211">
        <v>90.7</v>
      </c>
      <c r="PL211">
        <v>1201.4</v>
      </c>
      <c r="PM211">
        <v>1491.3</v>
      </c>
      <c r="PN211">
        <v>125.6</v>
      </c>
      <c r="PO211">
        <v>9.9</v>
      </c>
      <c r="PP211">
        <v>12</v>
      </c>
      <c r="PQ211">
        <v>4</v>
      </c>
      <c r="PR211">
        <v>6</v>
      </c>
      <c r="PS211">
        <v>0</v>
      </c>
      <c r="PT211">
        <v>298</v>
      </c>
      <c r="PU211">
        <v>10</v>
      </c>
      <c r="PV211" t="s">
        <v>4072</v>
      </c>
      <c r="PW211" t="s">
        <v>4072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-1</v>
      </c>
      <c r="QF211">
        <v>1</v>
      </c>
      <c r="QG211">
        <v>0</v>
      </c>
      <c r="QH211">
        <v>5</v>
      </c>
      <c r="QI211">
        <v>5</v>
      </c>
      <c r="QJ211">
        <v>5</v>
      </c>
      <c r="QK211">
        <v>254</v>
      </c>
      <c r="QL211">
        <v>506</v>
      </c>
      <c r="QM211">
        <v>9.4</v>
      </c>
      <c r="QN211">
        <v>1625.4</v>
      </c>
      <c r="QO211" t="s">
        <v>2662</v>
      </c>
      <c r="QP211" t="s">
        <v>513</v>
      </c>
      <c r="QQ211">
        <v>0</v>
      </c>
      <c r="QR211" t="s">
        <v>596</v>
      </c>
      <c r="QS211">
        <v>40</v>
      </c>
      <c r="QT211">
        <v>50</v>
      </c>
    </row>
    <row r="212" spans="1:462">
      <c r="A212" t="s">
        <v>2829</v>
      </c>
      <c r="B212" t="s">
        <v>804</v>
      </c>
      <c r="C212" t="s">
        <v>509</v>
      </c>
      <c r="D212" t="s">
        <v>2828</v>
      </c>
      <c r="E212" t="s">
        <v>4036</v>
      </c>
      <c r="H212" t="s">
        <v>1088</v>
      </c>
      <c r="L212" t="s">
        <v>508</v>
      </c>
      <c r="M212" t="s">
        <v>512</v>
      </c>
      <c r="N212" t="s">
        <v>515</v>
      </c>
      <c r="O212" t="s">
        <v>513</v>
      </c>
      <c r="P212" t="s">
        <v>517</v>
      </c>
      <c r="Q212" t="s">
        <v>1152</v>
      </c>
      <c r="R212" t="s">
        <v>661</v>
      </c>
      <c r="S212" t="s">
        <v>4037</v>
      </c>
      <c r="T212" t="s">
        <v>633</v>
      </c>
      <c r="U212" t="s">
        <v>634</v>
      </c>
      <c r="V212" t="s">
        <v>2647</v>
      </c>
      <c r="W212" t="s">
        <v>2657</v>
      </c>
      <c r="X212" t="s">
        <v>2830</v>
      </c>
      <c r="Y212" t="s">
        <v>2831</v>
      </c>
      <c r="Z212" t="s">
        <v>541</v>
      </c>
      <c r="AA212" t="s">
        <v>4038</v>
      </c>
      <c r="AB212" t="s">
        <v>4809</v>
      </c>
      <c r="AC212">
        <v>9</v>
      </c>
      <c r="AD212" t="s">
        <v>2827</v>
      </c>
      <c r="AE212">
        <v>2</v>
      </c>
      <c r="AF212">
        <v>4506</v>
      </c>
      <c r="AG212" t="s">
        <v>4810</v>
      </c>
      <c r="AH212">
        <v>1</v>
      </c>
      <c r="AI212" t="s">
        <v>4041</v>
      </c>
      <c r="AK212" t="s">
        <v>4811</v>
      </c>
      <c r="AL212">
        <v>1</v>
      </c>
      <c r="AM212" t="s">
        <v>582</v>
      </c>
      <c r="AO212" t="s">
        <v>4043</v>
      </c>
      <c r="AP212">
        <v>1</v>
      </c>
      <c r="AR212" t="s">
        <v>4812</v>
      </c>
      <c r="AS212">
        <v>1</v>
      </c>
      <c r="AT212">
        <v>52</v>
      </c>
      <c r="AV212" t="s">
        <v>4078</v>
      </c>
      <c r="AW212">
        <v>6.4</v>
      </c>
      <c r="AX212">
        <v>-6</v>
      </c>
      <c r="AY212">
        <v>97.5</v>
      </c>
      <c r="AZ212">
        <v>67.5</v>
      </c>
      <c r="BH212">
        <v>97.5</v>
      </c>
      <c r="BI212">
        <v>30</v>
      </c>
      <c r="BJ212">
        <v>67.5</v>
      </c>
      <c r="BK212">
        <v>2.5</v>
      </c>
      <c r="BL212">
        <v>195</v>
      </c>
      <c r="BM212">
        <v>-6</v>
      </c>
      <c r="BN212">
        <v>0</v>
      </c>
      <c r="BP212">
        <v>0</v>
      </c>
      <c r="BR212">
        <v>190</v>
      </c>
      <c r="BS212">
        <v>180</v>
      </c>
      <c r="BT212">
        <v>1985</v>
      </c>
      <c r="BU212" t="s">
        <v>4096</v>
      </c>
      <c r="BV212" t="s">
        <v>4096</v>
      </c>
      <c r="BW212" t="s">
        <v>4097</v>
      </c>
      <c r="BX212" t="s">
        <v>4097</v>
      </c>
      <c r="BY212" t="s">
        <v>4107</v>
      </c>
      <c r="BZ212" t="s">
        <v>4173</v>
      </c>
      <c r="CA212" t="s">
        <v>4108</v>
      </c>
      <c r="CB212" t="s">
        <v>4109</v>
      </c>
      <c r="CC212" t="s">
        <v>4053</v>
      </c>
      <c r="CD212" t="s">
        <v>4110</v>
      </c>
      <c r="CE212" t="s">
        <v>4055</v>
      </c>
      <c r="CF212" t="s">
        <v>4055</v>
      </c>
      <c r="CG212" t="s">
        <v>4056</v>
      </c>
      <c r="CH212" t="s">
        <v>4099</v>
      </c>
      <c r="CI212" t="s">
        <v>4058</v>
      </c>
      <c r="CJ212" t="s">
        <v>4059</v>
      </c>
      <c r="CK212" t="s">
        <v>4060</v>
      </c>
      <c r="CL212" t="s">
        <v>4061</v>
      </c>
      <c r="CM212" t="s">
        <v>4055</v>
      </c>
      <c r="CN212" t="s">
        <v>4062</v>
      </c>
      <c r="CO212" t="s">
        <v>4063</v>
      </c>
      <c r="CP212" t="s">
        <v>4055</v>
      </c>
      <c r="CQ212" t="s">
        <v>4055</v>
      </c>
      <c r="CR212">
        <v>5</v>
      </c>
      <c r="CS212" t="s">
        <v>4055</v>
      </c>
      <c r="CT212" t="s">
        <v>4055</v>
      </c>
      <c r="CU212" t="s">
        <v>4055</v>
      </c>
      <c r="CV212">
        <v>124</v>
      </c>
      <c r="CW212">
        <v>3</v>
      </c>
      <c r="CX212">
        <v>75</v>
      </c>
      <c r="CY212">
        <v>5</v>
      </c>
      <c r="CZ212">
        <v>143</v>
      </c>
      <c r="DA212">
        <v>5</v>
      </c>
      <c r="DB212">
        <v>11300</v>
      </c>
      <c r="DC212">
        <v>330</v>
      </c>
      <c r="DD212">
        <v>327</v>
      </c>
      <c r="DE212">
        <v>2107</v>
      </c>
      <c r="DF212">
        <v>2107</v>
      </c>
      <c r="DG212">
        <v>2118</v>
      </c>
      <c r="DH212" t="s">
        <v>4055</v>
      </c>
      <c r="DI212" t="s">
        <v>4055</v>
      </c>
      <c r="DJ212" t="s">
        <v>4064</v>
      </c>
      <c r="DK212">
        <v>190</v>
      </c>
      <c r="DL212" t="s">
        <v>4065</v>
      </c>
      <c r="DM212">
        <v>63</v>
      </c>
      <c r="DN212">
        <v>1.2</v>
      </c>
      <c r="DO212">
        <v>1</v>
      </c>
      <c r="DP212">
        <v>1989</v>
      </c>
      <c r="DQ212">
        <v>867</v>
      </c>
      <c r="DR212" t="s">
        <v>4064</v>
      </c>
      <c r="DS212">
        <v>180</v>
      </c>
      <c r="DT212" t="s">
        <v>4065</v>
      </c>
      <c r="DU212">
        <v>63</v>
      </c>
      <c r="DV212">
        <v>1.2</v>
      </c>
      <c r="DW212">
        <v>1</v>
      </c>
      <c r="DX212">
        <v>2001</v>
      </c>
      <c r="DY212">
        <v>826</v>
      </c>
      <c r="DZ212" t="s">
        <v>4066</v>
      </c>
      <c r="EA212">
        <v>20</v>
      </c>
      <c r="EB212" t="s">
        <v>4065</v>
      </c>
      <c r="EC212">
        <v>0.8</v>
      </c>
      <c r="ED212">
        <v>1989</v>
      </c>
      <c r="EE212">
        <v>70</v>
      </c>
      <c r="EG212">
        <v>0</v>
      </c>
      <c r="EH212" t="s">
        <v>4065</v>
      </c>
      <c r="EI212">
        <v>0</v>
      </c>
      <c r="EL212" t="s">
        <v>1528</v>
      </c>
      <c r="EM212">
        <v>12</v>
      </c>
      <c r="EN212">
        <v>0.5</v>
      </c>
      <c r="EO212">
        <v>0.96</v>
      </c>
      <c r="EP212">
        <v>2000.08</v>
      </c>
      <c r="EQ212">
        <v>32345.04</v>
      </c>
      <c r="ER212">
        <v>9403.65</v>
      </c>
      <c r="ES212">
        <v>0</v>
      </c>
      <c r="ET212">
        <v>0</v>
      </c>
      <c r="EU212">
        <v>1</v>
      </c>
      <c r="EV212">
        <v>41749</v>
      </c>
      <c r="EW212">
        <v>501</v>
      </c>
      <c r="EX212" t="s">
        <v>4755</v>
      </c>
      <c r="EY212">
        <v>216</v>
      </c>
      <c r="EZ212" t="s">
        <v>4055</v>
      </c>
      <c r="FA212">
        <v>4.1</v>
      </c>
      <c r="FB212">
        <v>1</v>
      </c>
      <c r="FC212">
        <v>1</v>
      </c>
      <c r="FD212">
        <v>2033</v>
      </c>
      <c r="FE212">
        <v>2058</v>
      </c>
      <c r="FF212" t="s">
        <v>4756</v>
      </c>
      <c r="FG212">
        <v>216</v>
      </c>
      <c r="FH212" t="s">
        <v>4055</v>
      </c>
      <c r="FI212">
        <v>3.8</v>
      </c>
      <c r="FJ212">
        <v>2033</v>
      </c>
      <c r="FK212">
        <v>2108</v>
      </c>
      <c r="FL212" t="s">
        <v>4069</v>
      </c>
      <c r="FM212" t="s">
        <v>4055</v>
      </c>
      <c r="FN212" t="s">
        <v>4055</v>
      </c>
      <c r="FO212" t="s">
        <v>4055</v>
      </c>
      <c r="FP212">
        <v>2033</v>
      </c>
      <c r="FQ212">
        <v>139</v>
      </c>
      <c r="FR212" t="s">
        <v>4090</v>
      </c>
      <c r="FS212">
        <v>220</v>
      </c>
      <c r="FT212" t="s">
        <v>4055</v>
      </c>
      <c r="FU212">
        <v>0.4</v>
      </c>
      <c r="FV212">
        <v>2033</v>
      </c>
      <c r="FW212">
        <v>199</v>
      </c>
      <c r="FX212" t="s">
        <v>4070</v>
      </c>
      <c r="FY212">
        <v>5</v>
      </c>
      <c r="FZ212" t="s">
        <v>4055</v>
      </c>
      <c r="GA212" t="s">
        <v>4055</v>
      </c>
      <c r="GB212">
        <v>2033</v>
      </c>
      <c r="GC212">
        <v>20</v>
      </c>
      <c r="GD212">
        <v>4524</v>
      </c>
      <c r="GE212" t="s">
        <v>4812</v>
      </c>
      <c r="GF212" t="s">
        <v>4055</v>
      </c>
      <c r="GG212" t="s">
        <v>4055</v>
      </c>
      <c r="GH212" t="s">
        <v>4055</v>
      </c>
      <c r="GI212" t="s">
        <v>4071</v>
      </c>
      <c r="GJ212" t="s">
        <v>4055</v>
      </c>
      <c r="GK212" t="s">
        <v>4055</v>
      </c>
      <c r="GL212" t="s">
        <v>4055</v>
      </c>
      <c r="GM212" t="s">
        <v>4055</v>
      </c>
      <c r="GQ212">
        <v>0</v>
      </c>
      <c r="GV212">
        <v>8.300000000000001</v>
      </c>
      <c r="GW212">
        <v>11</v>
      </c>
      <c r="GX212">
        <v>0.5</v>
      </c>
      <c r="GY212">
        <v>190</v>
      </c>
      <c r="GZ212">
        <v>3</v>
      </c>
      <c r="HA212">
        <v>234</v>
      </c>
      <c r="HB212">
        <v>3</v>
      </c>
      <c r="HC212">
        <v>2033</v>
      </c>
      <c r="HD212">
        <v>4</v>
      </c>
      <c r="HE212" t="s">
        <v>4071</v>
      </c>
      <c r="HG212" t="s">
        <v>549</v>
      </c>
      <c r="HL212">
        <v>4</v>
      </c>
      <c r="HM212">
        <v>17</v>
      </c>
      <c r="HN212">
        <v>6</v>
      </c>
      <c r="HO212">
        <v>1</v>
      </c>
      <c r="HP212">
        <v>0</v>
      </c>
      <c r="HQ212">
        <v>0</v>
      </c>
      <c r="HR212">
        <v>2</v>
      </c>
      <c r="HS212">
        <v>1985</v>
      </c>
      <c r="HT212">
        <v>5</v>
      </c>
      <c r="HU212">
        <v>1</v>
      </c>
      <c r="HV212">
        <v>0</v>
      </c>
      <c r="HW212">
        <v>0</v>
      </c>
      <c r="HX212">
        <v>1</v>
      </c>
      <c r="HY212">
        <v>0</v>
      </c>
      <c r="HZ212">
        <v>63</v>
      </c>
      <c r="IA212">
        <v>1989</v>
      </c>
      <c r="IB212">
        <v>2001</v>
      </c>
      <c r="ID212">
        <v>2033</v>
      </c>
      <c r="IE212">
        <v>2033</v>
      </c>
      <c r="IF212">
        <v>190</v>
      </c>
      <c r="IG212">
        <v>180</v>
      </c>
      <c r="IH212">
        <v>234</v>
      </c>
      <c r="II212">
        <v>1</v>
      </c>
      <c r="IJ212">
        <v>5</v>
      </c>
      <c r="IK212">
        <v>0</v>
      </c>
      <c r="IL212">
        <v>0</v>
      </c>
      <c r="IM212">
        <v>0</v>
      </c>
      <c r="IN212">
        <v>270</v>
      </c>
      <c r="IO212">
        <v>0</v>
      </c>
      <c r="IP212">
        <v>180</v>
      </c>
      <c r="IQ212">
        <v>0</v>
      </c>
      <c r="IR212">
        <v>325</v>
      </c>
      <c r="IS212">
        <v>0</v>
      </c>
      <c r="IT212">
        <v>90</v>
      </c>
      <c r="IU212">
        <v>0</v>
      </c>
      <c r="IV212">
        <v>6.4</v>
      </c>
      <c r="IW212">
        <v>-6</v>
      </c>
      <c r="IX212">
        <v>97.5</v>
      </c>
      <c r="IY212">
        <v>67.5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380</v>
      </c>
      <c r="JJ212">
        <v>350</v>
      </c>
      <c r="JK212">
        <v>260</v>
      </c>
      <c r="JL212">
        <v>348</v>
      </c>
      <c r="JM212">
        <v>260</v>
      </c>
      <c r="JN212">
        <v>190</v>
      </c>
      <c r="JO212">
        <v>244</v>
      </c>
      <c r="JP212">
        <v>230</v>
      </c>
      <c r="JQ212">
        <v>250</v>
      </c>
      <c r="JR212">
        <v>322</v>
      </c>
      <c r="JS212">
        <v>260</v>
      </c>
      <c r="JT212">
        <v>0</v>
      </c>
      <c r="JU212">
        <v>0</v>
      </c>
      <c r="JV212">
        <v>310</v>
      </c>
      <c r="JW212">
        <v>312</v>
      </c>
      <c r="JX212">
        <v>317</v>
      </c>
      <c r="JY212">
        <v>310</v>
      </c>
      <c r="JZ212">
        <v>1</v>
      </c>
      <c r="KA212">
        <v>0.2</v>
      </c>
      <c r="KB212">
        <v>0.4</v>
      </c>
      <c r="KC212">
        <v>0.42</v>
      </c>
      <c r="KD212">
        <v>0.28</v>
      </c>
      <c r="KE212">
        <v>0.5</v>
      </c>
      <c r="KF212">
        <v>0.18</v>
      </c>
      <c r="KG212">
        <v>0.11</v>
      </c>
      <c r="KH212">
        <v>3.5</v>
      </c>
      <c r="KI212">
        <v>1</v>
      </c>
      <c r="KJ212">
        <v>5</v>
      </c>
      <c r="KK212">
        <v>1</v>
      </c>
      <c r="KL212">
        <v>5</v>
      </c>
      <c r="KM212">
        <v>1</v>
      </c>
      <c r="KN212">
        <v>1.6</v>
      </c>
      <c r="KO212">
        <v>0</v>
      </c>
      <c r="KP212">
        <v>0</v>
      </c>
      <c r="KQ212">
        <v>1.2</v>
      </c>
      <c r="KR212">
        <v>0.8</v>
      </c>
      <c r="KS212">
        <v>0.2</v>
      </c>
      <c r="KT212">
        <v>2</v>
      </c>
      <c r="KU212">
        <v>0</v>
      </c>
      <c r="KV212">
        <v>0</v>
      </c>
      <c r="KW212">
        <v>1.2</v>
      </c>
      <c r="KX212">
        <v>2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3</v>
      </c>
      <c r="LI212">
        <v>1</v>
      </c>
      <c r="LJ212">
        <v>0</v>
      </c>
      <c r="LK212">
        <v>3</v>
      </c>
      <c r="LL212">
        <v>6</v>
      </c>
      <c r="LM212">
        <v>5</v>
      </c>
      <c r="LN212">
        <v>0.5</v>
      </c>
      <c r="LO212">
        <v>0.3</v>
      </c>
      <c r="LP212">
        <v>0</v>
      </c>
      <c r="LQ212">
        <v>0</v>
      </c>
      <c r="LR212">
        <v>0</v>
      </c>
      <c r="LS212">
        <v>1</v>
      </c>
      <c r="LT212">
        <v>0</v>
      </c>
      <c r="LU212">
        <v>0</v>
      </c>
      <c r="LV212">
        <v>0</v>
      </c>
      <c r="LW212">
        <v>1.5</v>
      </c>
      <c r="LX212">
        <v>1.5</v>
      </c>
      <c r="LY212">
        <v>1.5</v>
      </c>
      <c r="LZ212">
        <v>1.5</v>
      </c>
      <c r="MA212">
        <v>0</v>
      </c>
      <c r="MB212">
        <v>3</v>
      </c>
      <c r="MC212">
        <v>0</v>
      </c>
      <c r="MD212">
        <v>4.5</v>
      </c>
      <c r="ME212">
        <v>6</v>
      </c>
      <c r="MF212">
        <v>6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390</v>
      </c>
      <c r="MN212">
        <v>200</v>
      </c>
      <c r="MO212">
        <v>252</v>
      </c>
      <c r="NU212">
        <v>0.15</v>
      </c>
      <c r="NV212">
        <v>0.3</v>
      </c>
      <c r="NW212">
        <v>0.3</v>
      </c>
      <c r="NX212">
        <v>2</v>
      </c>
      <c r="NY212">
        <v>2</v>
      </c>
      <c r="NZ212">
        <v>2</v>
      </c>
      <c r="OE212" t="s">
        <v>4812</v>
      </c>
      <c r="OF212" t="s">
        <v>4810</v>
      </c>
      <c r="OG212" t="s">
        <v>4811</v>
      </c>
      <c r="OH212" t="s">
        <v>4043</v>
      </c>
      <c r="OI212" t="s">
        <v>4812</v>
      </c>
      <c r="OJ212" t="s">
        <v>4809</v>
      </c>
      <c r="OK212">
        <v>61</v>
      </c>
      <c r="OL212">
        <v>61</v>
      </c>
      <c r="OM212" t="s">
        <v>4810</v>
      </c>
      <c r="ON212">
        <v>2</v>
      </c>
      <c r="OO212">
        <v>1989</v>
      </c>
      <c r="OP212">
        <v>61</v>
      </c>
      <c r="OQ212">
        <v>61</v>
      </c>
      <c r="OR212" t="s">
        <v>4811</v>
      </c>
      <c r="OS212">
        <v>2</v>
      </c>
      <c r="OT212">
        <v>2001</v>
      </c>
      <c r="OU212">
        <v>65</v>
      </c>
      <c r="OV212">
        <v>65</v>
      </c>
      <c r="OW212" t="s">
        <v>4043</v>
      </c>
      <c r="OX212">
        <v>1</v>
      </c>
      <c r="OY212">
        <v>41749</v>
      </c>
      <c r="OZ212">
        <v>51</v>
      </c>
      <c r="PA212">
        <v>52</v>
      </c>
      <c r="PB212" t="s">
        <v>4812</v>
      </c>
      <c r="PC212">
        <v>1</v>
      </c>
      <c r="PD212">
        <v>2033</v>
      </c>
      <c r="PF212">
        <v>436</v>
      </c>
      <c r="PG212">
        <v>35</v>
      </c>
      <c r="PH212">
        <v>413</v>
      </c>
      <c r="PI212">
        <v>0</v>
      </c>
      <c r="PJ212">
        <v>68.5</v>
      </c>
      <c r="PL212">
        <v>1012.4</v>
      </c>
      <c r="PM212">
        <v>1036.9</v>
      </c>
      <c r="PN212">
        <v>97.8</v>
      </c>
      <c r="PO212">
        <v>9.6</v>
      </c>
      <c r="PP212">
        <v>12</v>
      </c>
      <c r="PQ212">
        <v>3</v>
      </c>
      <c r="PR212">
        <v>3</v>
      </c>
      <c r="PS212">
        <v>8</v>
      </c>
      <c r="PT212">
        <v>234</v>
      </c>
      <c r="PU212">
        <v>9</v>
      </c>
      <c r="PV212" t="s">
        <v>4072</v>
      </c>
      <c r="PW212" t="s">
        <v>4072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-1</v>
      </c>
      <c r="QF212">
        <v>1</v>
      </c>
      <c r="QG212">
        <v>0</v>
      </c>
      <c r="QH212">
        <v>5</v>
      </c>
      <c r="QI212">
        <v>5</v>
      </c>
      <c r="QJ212">
        <v>5</v>
      </c>
      <c r="QK212">
        <v>185</v>
      </c>
      <c r="QL212">
        <v>414</v>
      </c>
      <c r="QM212">
        <v>7.5</v>
      </c>
      <c r="QN212">
        <v>1381.4</v>
      </c>
      <c r="QO212" t="s">
        <v>2662</v>
      </c>
      <c r="QP212" t="s">
        <v>513</v>
      </c>
      <c r="QQ212">
        <v>0</v>
      </c>
      <c r="QR212" t="s">
        <v>540</v>
      </c>
      <c r="QS212">
        <v>30</v>
      </c>
      <c r="QT212">
        <v>40</v>
      </c>
    </row>
    <row r="213" spans="1:462">
      <c r="A213" t="s">
        <v>2836</v>
      </c>
      <c r="B213" t="s">
        <v>711</v>
      </c>
      <c r="C213" t="s">
        <v>509</v>
      </c>
      <c r="D213" t="s">
        <v>1987</v>
      </c>
      <c r="E213" t="s">
        <v>4036</v>
      </c>
      <c r="H213" t="s">
        <v>1088</v>
      </c>
      <c r="L213" t="s">
        <v>804</v>
      </c>
      <c r="M213" t="s">
        <v>512</v>
      </c>
      <c r="O213" t="s">
        <v>513</v>
      </c>
      <c r="P213" t="s">
        <v>517</v>
      </c>
      <c r="Q213" t="s">
        <v>953</v>
      </c>
      <c r="R213" t="s">
        <v>954</v>
      </c>
      <c r="S213" t="s">
        <v>4170</v>
      </c>
      <c r="T213" t="s">
        <v>662</v>
      </c>
      <c r="U213" t="s">
        <v>663</v>
      </c>
      <c r="V213" t="s">
        <v>2577</v>
      </c>
      <c r="W213" t="s">
        <v>2657</v>
      </c>
      <c r="X213" t="s">
        <v>2837</v>
      </c>
      <c r="Y213" t="s">
        <v>2838</v>
      </c>
      <c r="Z213" t="s">
        <v>541</v>
      </c>
      <c r="AA213" t="s">
        <v>4038</v>
      </c>
      <c r="AB213" t="s">
        <v>4813</v>
      </c>
      <c r="AC213">
        <v>9</v>
      </c>
      <c r="AD213" t="s">
        <v>2835</v>
      </c>
      <c r="AE213">
        <v>3</v>
      </c>
      <c r="AF213">
        <v>5464</v>
      </c>
      <c r="AG213" t="s">
        <v>4814</v>
      </c>
      <c r="AH213">
        <v>1</v>
      </c>
      <c r="AI213" t="s">
        <v>4041</v>
      </c>
      <c r="AK213" t="s">
        <v>4815</v>
      </c>
      <c r="AL213">
        <v>1</v>
      </c>
      <c r="AM213" t="s">
        <v>582</v>
      </c>
      <c r="AO213" t="s">
        <v>4043</v>
      </c>
      <c r="AP213">
        <v>1</v>
      </c>
      <c r="AR213" t="s">
        <v>4816</v>
      </c>
      <c r="AS213">
        <v>1</v>
      </c>
      <c r="AT213">
        <v>52</v>
      </c>
      <c r="AV213" t="s">
        <v>4078</v>
      </c>
      <c r="AW213">
        <v>6.4</v>
      </c>
      <c r="AX213">
        <v>-6</v>
      </c>
      <c r="AY213">
        <v>97.5</v>
      </c>
      <c r="AZ213">
        <v>67.5</v>
      </c>
      <c r="BH213">
        <v>97.5</v>
      </c>
      <c r="BI213">
        <v>30</v>
      </c>
      <c r="BJ213">
        <v>67.5</v>
      </c>
      <c r="BK213">
        <v>2.5</v>
      </c>
      <c r="BL213">
        <v>195</v>
      </c>
      <c r="BM213">
        <v>-6</v>
      </c>
      <c r="BN213">
        <v>0</v>
      </c>
      <c r="BO213">
        <v>0</v>
      </c>
      <c r="BP213">
        <v>0</v>
      </c>
      <c r="BR213">
        <v>190</v>
      </c>
      <c r="BS213">
        <v>180</v>
      </c>
      <c r="BT213">
        <v>2120</v>
      </c>
      <c r="BU213" t="s">
        <v>4127</v>
      </c>
      <c r="BV213" t="s">
        <v>4127</v>
      </c>
      <c r="BW213" t="s">
        <v>4128</v>
      </c>
      <c r="BX213" t="s">
        <v>4128</v>
      </c>
      <c r="BY213" t="s">
        <v>4117</v>
      </c>
      <c r="BZ213" t="s">
        <v>4116</v>
      </c>
      <c r="CA213" t="s">
        <v>4118</v>
      </c>
      <c r="CB213" t="s">
        <v>4119</v>
      </c>
      <c r="CC213" t="s">
        <v>4053</v>
      </c>
      <c r="CD213" t="s">
        <v>4121</v>
      </c>
      <c r="CE213" t="s">
        <v>4055</v>
      </c>
      <c r="CF213" t="s">
        <v>4055</v>
      </c>
      <c r="CG213" t="s">
        <v>4056</v>
      </c>
      <c r="CI213" t="s">
        <v>4058</v>
      </c>
      <c r="CJ213" t="s">
        <v>4059</v>
      </c>
      <c r="CK213" t="s">
        <v>4060</v>
      </c>
      <c r="CL213" t="s">
        <v>4061</v>
      </c>
      <c r="CM213" t="s">
        <v>4062</v>
      </c>
      <c r="CN213" t="s">
        <v>4055</v>
      </c>
      <c r="CO213" t="s">
        <v>4063</v>
      </c>
      <c r="CP213" t="s">
        <v>4055</v>
      </c>
      <c r="CQ213" t="s">
        <v>4055</v>
      </c>
      <c r="CR213">
        <v>5</v>
      </c>
      <c r="CS213" t="s">
        <v>4055</v>
      </c>
      <c r="CT213" t="s">
        <v>4055</v>
      </c>
      <c r="CU213" t="s">
        <v>4055</v>
      </c>
      <c r="CV213">
        <v>124</v>
      </c>
      <c r="CW213">
        <v>3</v>
      </c>
      <c r="CX213">
        <v>84</v>
      </c>
      <c r="CY213">
        <v>5</v>
      </c>
      <c r="CZ213">
        <v>153</v>
      </c>
      <c r="DA213">
        <v>5</v>
      </c>
      <c r="DB213">
        <v>12670</v>
      </c>
      <c r="DC213">
        <v>380</v>
      </c>
      <c r="DD213">
        <v>345</v>
      </c>
      <c r="DE213">
        <v>2247</v>
      </c>
      <c r="DF213">
        <v>2247</v>
      </c>
      <c r="DG213">
        <v>2258</v>
      </c>
      <c r="DH213" t="s">
        <v>4055</v>
      </c>
      <c r="DI213" t="s">
        <v>4055</v>
      </c>
      <c r="DJ213" t="s">
        <v>4132</v>
      </c>
      <c r="DK213">
        <v>190</v>
      </c>
      <c r="DL213" t="s">
        <v>4065</v>
      </c>
      <c r="DM213">
        <v>63</v>
      </c>
      <c r="DN213">
        <v>1.1</v>
      </c>
      <c r="DO213">
        <v>1</v>
      </c>
      <c r="DP213">
        <v>2123</v>
      </c>
      <c r="DQ213">
        <v>873</v>
      </c>
      <c r="DR213" t="s">
        <v>4132</v>
      </c>
      <c r="DS213">
        <v>180</v>
      </c>
      <c r="DT213" t="s">
        <v>4065</v>
      </c>
      <c r="DU213">
        <v>63</v>
      </c>
      <c r="DV213">
        <v>1.1</v>
      </c>
      <c r="DW213">
        <v>1</v>
      </c>
      <c r="DX213">
        <v>2135</v>
      </c>
      <c r="DY213">
        <v>831</v>
      </c>
      <c r="DZ213" t="s">
        <v>4066</v>
      </c>
      <c r="EA213">
        <v>20</v>
      </c>
      <c r="EB213" t="s">
        <v>4065</v>
      </c>
      <c r="EC213">
        <v>0.8</v>
      </c>
      <c r="ED213">
        <v>2123</v>
      </c>
      <c r="EE213">
        <v>74</v>
      </c>
      <c r="EG213">
        <v>0</v>
      </c>
      <c r="EH213" t="s">
        <v>4065</v>
      </c>
      <c r="EI213">
        <v>0</v>
      </c>
      <c r="EL213" t="s">
        <v>1528</v>
      </c>
      <c r="EM213">
        <v>12</v>
      </c>
      <c r="EN213">
        <v>0.5</v>
      </c>
      <c r="EO213">
        <v>0.96</v>
      </c>
      <c r="EP213">
        <v>2133.83</v>
      </c>
      <c r="EQ213">
        <v>34508.03</v>
      </c>
      <c r="ER213">
        <v>10030.6</v>
      </c>
      <c r="ES213">
        <v>0</v>
      </c>
      <c r="ET213">
        <v>0</v>
      </c>
      <c r="EU213">
        <v>1</v>
      </c>
      <c r="EV213">
        <v>44539</v>
      </c>
      <c r="EW213">
        <v>535</v>
      </c>
      <c r="EX213" t="s">
        <v>4755</v>
      </c>
      <c r="EY213">
        <v>216</v>
      </c>
      <c r="EZ213" t="s">
        <v>4055</v>
      </c>
      <c r="FA213">
        <v>4.3</v>
      </c>
      <c r="FB213">
        <v>1</v>
      </c>
      <c r="FC213">
        <v>1</v>
      </c>
      <c r="FD213">
        <v>2166</v>
      </c>
      <c r="FE213">
        <v>2425</v>
      </c>
      <c r="FF213" t="s">
        <v>4756</v>
      </c>
      <c r="FG213">
        <v>216</v>
      </c>
      <c r="FH213" t="s">
        <v>4055</v>
      </c>
      <c r="FI213">
        <v>3.6</v>
      </c>
      <c r="FJ213">
        <v>2166</v>
      </c>
      <c r="FK213">
        <v>2080</v>
      </c>
      <c r="FL213" t="s">
        <v>4069</v>
      </c>
      <c r="FM213" t="s">
        <v>4055</v>
      </c>
      <c r="FN213" t="s">
        <v>4055</v>
      </c>
      <c r="FO213" t="s">
        <v>4055</v>
      </c>
      <c r="FP213">
        <v>2166</v>
      </c>
      <c r="FQ213">
        <v>149</v>
      </c>
      <c r="FR213" t="s">
        <v>4090</v>
      </c>
      <c r="FS213">
        <v>220</v>
      </c>
      <c r="FT213" t="s">
        <v>4055</v>
      </c>
      <c r="FU213">
        <v>0.4</v>
      </c>
      <c r="FV213">
        <v>2166</v>
      </c>
      <c r="FW213">
        <v>212</v>
      </c>
      <c r="FX213" t="s">
        <v>4070</v>
      </c>
      <c r="FY213">
        <v>5</v>
      </c>
      <c r="FZ213" t="s">
        <v>4055</v>
      </c>
      <c r="GA213" t="s">
        <v>4055</v>
      </c>
      <c r="GB213">
        <v>2166</v>
      </c>
      <c r="GC213">
        <v>21</v>
      </c>
      <c r="GD213">
        <v>4887</v>
      </c>
      <c r="GE213" t="s">
        <v>4816</v>
      </c>
      <c r="GF213" t="s">
        <v>4055</v>
      </c>
      <c r="GG213" t="s">
        <v>4055</v>
      </c>
      <c r="GH213" t="s">
        <v>4055</v>
      </c>
      <c r="GI213" t="s">
        <v>4071</v>
      </c>
      <c r="GJ213" t="s">
        <v>4055</v>
      </c>
      <c r="GK213" t="s">
        <v>4055</v>
      </c>
      <c r="GL213" t="s">
        <v>4055</v>
      </c>
      <c r="GM213" t="s">
        <v>4055</v>
      </c>
      <c r="GQ213">
        <v>0</v>
      </c>
      <c r="GV213">
        <v>8.300000000000001</v>
      </c>
      <c r="GW213">
        <v>11</v>
      </c>
      <c r="GX213">
        <v>0.5</v>
      </c>
      <c r="GY213">
        <v>190</v>
      </c>
      <c r="GZ213">
        <v>3</v>
      </c>
      <c r="HA213">
        <v>234</v>
      </c>
      <c r="HB213">
        <v>3</v>
      </c>
      <c r="HC213">
        <v>2166</v>
      </c>
      <c r="HD213">
        <v>4</v>
      </c>
      <c r="HE213" t="s">
        <v>4071</v>
      </c>
      <c r="HG213" t="s">
        <v>549</v>
      </c>
      <c r="HL213">
        <v>4</v>
      </c>
      <c r="HM213">
        <v>18</v>
      </c>
      <c r="HN213">
        <v>6</v>
      </c>
      <c r="HO213">
        <v>1</v>
      </c>
      <c r="HP213">
        <v>0</v>
      </c>
      <c r="HQ213">
        <v>0</v>
      </c>
      <c r="HR213">
        <v>3</v>
      </c>
      <c r="HS213">
        <v>2120</v>
      </c>
      <c r="HT213">
        <v>5</v>
      </c>
      <c r="HU213">
        <v>1</v>
      </c>
      <c r="HV213">
        <v>5</v>
      </c>
      <c r="HW213">
        <v>0</v>
      </c>
      <c r="HX213">
        <v>1</v>
      </c>
      <c r="HY213">
        <v>0</v>
      </c>
      <c r="HZ213">
        <v>63</v>
      </c>
      <c r="IA213">
        <v>2123</v>
      </c>
      <c r="IB213">
        <v>2135</v>
      </c>
      <c r="ID213">
        <v>2166</v>
      </c>
      <c r="IE213">
        <v>2166</v>
      </c>
      <c r="IF213">
        <v>190</v>
      </c>
      <c r="IG213">
        <v>180</v>
      </c>
      <c r="IH213">
        <v>234</v>
      </c>
      <c r="II213">
        <v>1</v>
      </c>
      <c r="IJ213">
        <v>5</v>
      </c>
      <c r="IK213">
        <v>0</v>
      </c>
      <c r="IL213">
        <v>0</v>
      </c>
      <c r="IM213">
        <v>0</v>
      </c>
      <c r="IN213">
        <v>270</v>
      </c>
      <c r="IO213">
        <v>0</v>
      </c>
      <c r="IP213">
        <v>180</v>
      </c>
      <c r="IQ213">
        <v>0</v>
      </c>
      <c r="IR213">
        <v>330</v>
      </c>
      <c r="IS213">
        <v>0</v>
      </c>
      <c r="IT213">
        <v>90</v>
      </c>
      <c r="IU213">
        <v>0</v>
      </c>
      <c r="IV213">
        <v>6.4</v>
      </c>
      <c r="IW213">
        <v>-6</v>
      </c>
      <c r="IX213">
        <v>97.5</v>
      </c>
      <c r="IY213">
        <v>67.5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402</v>
      </c>
      <c r="JJ213">
        <v>372</v>
      </c>
      <c r="JK213">
        <v>280</v>
      </c>
      <c r="JL213">
        <v>372</v>
      </c>
      <c r="JM213">
        <v>280</v>
      </c>
      <c r="JN213">
        <v>185</v>
      </c>
      <c r="JO213">
        <v>244</v>
      </c>
      <c r="JP213">
        <v>195</v>
      </c>
      <c r="JQ213">
        <v>242</v>
      </c>
      <c r="JR213">
        <v>329</v>
      </c>
      <c r="JS213">
        <v>242</v>
      </c>
      <c r="JT213">
        <v>0</v>
      </c>
      <c r="JU213">
        <v>0</v>
      </c>
      <c r="JV213">
        <v>328</v>
      </c>
      <c r="JW213">
        <v>334</v>
      </c>
      <c r="JX213">
        <v>325</v>
      </c>
      <c r="JY213">
        <v>290</v>
      </c>
      <c r="JZ213">
        <v>0.5</v>
      </c>
      <c r="KA213">
        <v>0.2</v>
      </c>
      <c r="KB213">
        <v>0.4</v>
      </c>
      <c r="KC213">
        <v>0.42</v>
      </c>
      <c r="KD213">
        <v>0.28</v>
      </c>
      <c r="KE213">
        <v>0.5</v>
      </c>
      <c r="KF213">
        <v>0.18</v>
      </c>
      <c r="KG213">
        <v>0.11</v>
      </c>
      <c r="KH213">
        <v>3.5</v>
      </c>
      <c r="KI213">
        <v>1</v>
      </c>
      <c r="KJ213">
        <v>4.5</v>
      </c>
      <c r="KK213">
        <v>0</v>
      </c>
      <c r="KL213">
        <v>4.5</v>
      </c>
      <c r="KM213">
        <v>0</v>
      </c>
      <c r="KN213">
        <v>1.5</v>
      </c>
      <c r="KO213">
        <v>0</v>
      </c>
      <c r="KP213">
        <v>0</v>
      </c>
      <c r="KQ213">
        <v>0.8</v>
      </c>
      <c r="KR213">
        <v>0.8</v>
      </c>
      <c r="KS213">
        <v>0</v>
      </c>
      <c r="KT213">
        <v>2.2</v>
      </c>
      <c r="KU213">
        <v>0</v>
      </c>
      <c r="KV213">
        <v>0</v>
      </c>
      <c r="KW213">
        <v>0.8</v>
      </c>
      <c r="KX213">
        <v>1.5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3</v>
      </c>
      <c r="LI213">
        <v>0.5</v>
      </c>
      <c r="LJ213">
        <v>0</v>
      </c>
      <c r="LK213">
        <v>8</v>
      </c>
      <c r="LL213">
        <v>4</v>
      </c>
      <c r="LM213">
        <v>7.5</v>
      </c>
      <c r="LN213">
        <v>0.1</v>
      </c>
      <c r="LO213">
        <v>0.1</v>
      </c>
      <c r="LP213">
        <v>0</v>
      </c>
      <c r="LQ213">
        <v>0</v>
      </c>
      <c r="LR213">
        <v>0</v>
      </c>
      <c r="LS213">
        <v>1</v>
      </c>
      <c r="LT213">
        <v>0</v>
      </c>
      <c r="LU213">
        <v>0</v>
      </c>
      <c r="LV213">
        <v>0</v>
      </c>
      <c r="LW213">
        <v>2.5</v>
      </c>
      <c r="LX213">
        <v>2.5</v>
      </c>
      <c r="LY213">
        <v>2.1</v>
      </c>
      <c r="LZ213">
        <v>2.1</v>
      </c>
      <c r="MA213">
        <v>0</v>
      </c>
      <c r="MB213">
        <v>4.5</v>
      </c>
      <c r="MC213">
        <v>1</v>
      </c>
      <c r="MD213">
        <v>4.5</v>
      </c>
      <c r="ME213">
        <v>6</v>
      </c>
      <c r="MF213">
        <v>6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420</v>
      </c>
      <c r="MN213">
        <v>185</v>
      </c>
      <c r="MO213">
        <v>244</v>
      </c>
      <c r="NU213">
        <v>0.15</v>
      </c>
      <c r="NV213">
        <v>0.2</v>
      </c>
      <c r="NW213">
        <v>0.2</v>
      </c>
      <c r="NX213">
        <v>0.2</v>
      </c>
      <c r="NY213">
        <v>0.2</v>
      </c>
      <c r="NZ213">
        <v>0.2</v>
      </c>
      <c r="OE213" t="s">
        <v>4816</v>
      </c>
      <c r="OF213" t="s">
        <v>4814</v>
      </c>
      <c r="OG213" t="s">
        <v>4815</v>
      </c>
      <c r="OH213" t="s">
        <v>4043</v>
      </c>
      <c r="OI213" t="s">
        <v>4816</v>
      </c>
      <c r="OJ213" t="s">
        <v>4813</v>
      </c>
      <c r="OK213">
        <v>61</v>
      </c>
      <c r="OL213">
        <v>61</v>
      </c>
      <c r="OM213" t="s">
        <v>4814</v>
      </c>
      <c r="ON213">
        <v>1</v>
      </c>
      <c r="OO213">
        <v>2123</v>
      </c>
      <c r="OP213">
        <v>61</v>
      </c>
      <c r="OQ213">
        <v>61</v>
      </c>
      <c r="OR213" t="s">
        <v>4815</v>
      </c>
      <c r="OS213">
        <v>1</v>
      </c>
      <c r="OT213">
        <v>2135</v>
      </c>
      <c r="OU213">
        <v>65</v>
      </c>
      <c r="OV213">
        <v>65</v>
      </c>
      <c r="OW213" t="s">
        <v>4043</v>
      </c>
      <c r="OX213">
        <v>2</v>
      </c>
      <c r="OY213">
        <v>44539</v>
      </c>
      <c r="OZ213">
        <v>51</v>
      </c>
      <c r="PA213">
        <v>52</v>
      </c>
      <c r="PB213" t="s">
        <v>4816</v>
      </c>
      <c r="PC213">
        <v>1</v>
      </c>
      <c r="PD213">
        <v>2166</v>
      </c>
      <c r="PF213">
        <v>411</v>
      </c>
      <c r="PG213">
        <v>35</v>
      </c>
      <c r="PH213">
        <v>389</v>
      </c>
      <c r="PI213">
        <v>0</v>
      </c>
      <c r="PJ213">
        <v>68.7</v>
      </c>
      <c r="PL213">
        <v>1119.6</v>
      </c>
      <c r="PM213">
        <v>960.1</v>
      </c>
      <c r="PN213">
        <v>97.8</v>
      </c>
      <c r="PO213">
        <v>9.6</v>
      </c>
      <c r="PP213">
        <v>12</v>
      </c>
      <c r="PQ213">
        <v>5</v>
      </c>
      <c r="PR213">
        <v>5</v>
      </c>
      <c r="PS213">
        <v>0</v>
      </c>
      <c r="PT213">
        <v>234</v>
      </c>
      <c r="PU213">
        <v>9</v>
      </c>
      <c r="PV213" t="s">
        <v>4072</v>
      </c>
      <c r="PW213" t="s">
        <v>4072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-1</v>
      </c>
      <c r="QF213">
        <v>1</v>
      </c>
      <c r="QG213">
        <v>0</v>
      </c>
      <c r="QH213">
        <v>5</v>
      </c>
      <c r="QI213">
        <v>5</v>
      </c>
      <c r="QJ213">
        <v>5</v>
      </c>
      <c r="QK213">
        <v>196</v>
      </c>
      <c r="QL213">
        <v>436</v>
      </c>
      <c r="QM213">
        <v>7.5</v>
      </c>
      <c r="QN213">
        <v>1464.3</v>
      </c>
      <c r="QO213" t="s">
        <v>2662</v>
      </c>
      <c r="QP213" t="s">
        <v>513</v>
      </c>
      <c r="QQ213">
        <v>0</v>
      </c>
      <c r="QR213" t="s">
        <v>621</v>
      </c>
      <c r="QS213">
        <v>30</v>
      </c>
      <c r="QT213">
        <v>40</v>
      </c>
    </row>
    <row r="214" spans="1:462">
      <c r="A214" t="s">
        <v>2842</v>
      </c>
      <c r="B214" t="s">
        <v>711</v>
      </c>
      <c r="C214" t="s">
        <v>509</v>
      </c>
      <c r="D214" t="s">
        <v>2817</v>
      </c>
      <c r="E214" t="s">
        <v>4036</v>
      </c>
      <c r="L214" t="s">
        <v>804</v>
      </c>
      <c r="M214" t="s">
        <v>512</v>
      </c>
      <c r="O214" t="s">
        <v>513</v>
      </c>
      <c r="P214" t="s">
        <v>517</v>
      </c>
      <c r="Q214" t="s">
        <v>1042</v>
      </c>
      <c r="R214" t="s">
        <v>1043</v>
      </c>
      <c r="S214" t="s">
        <v>4037</v>
      </c>
      <c r="T214" t="s">
        <v>686</v>
      </c>
      <c r="U214" t="s">
        <v>687</v>
      </c>
      <c r="V214" t="s">
        <v>1296</v>
      </c>
      <c r="W214" t="s">
        <v>2657</v>
      </c>
      <c r="X214" t="s">
        <v>2843</v>
      </c>
      <c r="Y214" t="s">
        <v>2844</v>
      </c>
      <c r="Z214" t="s">
        <v>541</v>
      </c>
      <c r="AA214" t="s">
        <v>4038</v>
      </c>
      <c r="AB214" t="s">
        <v>4817</v>
      </c>
      <c r="AC214">
        <v>9</v>
      </c>
      <c r="AD214" t="s">
        <v>2841</v>
      </c>
      <c r="AE214">
        <v>3</v>
      </c>
      <c r="AF214">
        <v>6206</v>
      </c>
      <c r="AG214" t="s">
        <v>4818</v>
      </c>
      <c r="AH214">
        <v>1</v>
      </c>
      <c r="AI214" t="s">
        <v>4041</v>
      </c>
      <c r="AK214" t="s">
        <v>4819</v>
      </c>
      <c r="AL214">
        <v>1</v>
      </c>
      <c r="AM214" t="s">
        <v>582</v>
      </c>
      <c r="AO214" t="s">
        <v>4043</v>
      </c>
      <c r="AP214">
        <v>1</v>
      </c>
      <c r="AR214" t="s">
        <v>4820</v>
      </c>
      <c r="AS214">
        <v>1</v>
      </c>
      <c r="AT214">
        <v>52</v>
      </c>
      <c r="AV214" t="s">
        <v>4078</v>
      </c>
      <c r="AW214">
        <v>6.4</v>
      </c>
      <c r="AX214">
        <v>-6</v>
      </c>
      <c r="AY214">
        <v>110</v>
      </c>
      <c r="AZ214">
        <v>80</v>
      </c>
      <c r="BH214">
        <v>110</v>
      </c>
      <c r="BI214">
        <v>30</v>
      </c>
      <c r="BJ214">
        <v>80</v>
      </c>
      <c r="BK214">
        <v>2.5</v>
      </c>
      <c r="BL214">
        <v>220</v>
      </c>
      <c r="BM214">
        <v>-6</v>
      </c>
      <c r="BN214">
        <v>0</v>
      </c>
      <c r="BO214">
        <v>0</v>
      </c>
      <c r="BP214">
        <v>0</v>
      </c>
      <c r="BR214">
        <v>215</v>
      </c>
      <c r="BS214">
        <v>205</v>
      </c>
      <c r="BT214">
        <v>2225</v>
      </c>
      <c r="BU214" t="s">
        <v>4079</v>
      </c>
      <c r="BV214" t="s">
        <v>4079</v>
      </c>
      <c r="BW214" t="s">
        <v>4081</v>
      </c>
      <c r="BX214" t="s">
        <v>4081</v>
      </c>
      <c r="BY214" t="s">
        <v>4221</v>
      </c>
      <c r="BZ214" t="s">
        <v>4129</v>
      </c>
      <c r="CA214" t="s">
        <v>4130</v>
      </c>
      <c r="CB214" t="s">
        <v>4131</v>
      </c>
      <c r="CC214" t="s">
        <v>4053</v>
      </c>
      <c r="CD214" t="s">
        <v>4055</v>
      </c>
      <c r="CE214" t="s">
        <v>4055</v>
      </c>
      <c r="CF214" t="s">
        <v>4055</v>
      </c>
      <c r="CG214" t="s">
        <v>4056</v>
      </c>
      <c r="CI214" t="s">
        <v>4086</v>
      </c>
      <c r="CJ214" t="s">
        <v>4059</v>
      </c>
      <c r="CK214" t="s">
        <v>4060</v>
      </c>
      <c r="CL214" t="s">
        <v>4061</v>
      </c>
      <c r="CM214" t="s">
        <v>4055</v>
      </c>
      <c r="CN214" t="s">
        <v>4062</v>
      </c>
      <c r="CO214" t="s">
        <v>4063</v>
      </c>
      <c r="CP214" t="s">
        <v>4055</v>
      </c>
      <c r="CQ214" t="s">
        <v>4055</v>
      </c>
      <c r="CR214">
        <v>5</v>
      </c>
      <c r="CS214" t="s">
        <v>4055</v>
      </c>
      <c r="CT214" t="s">
        <v>4055</v>
      </c>
      <c r="CU214" t="s">
        <v>4055</v>
      </c>
      <c r="CV214">
        <v>143</v>
      </c>
      <c r="CW214">
        <v>3</v>
      </c>
      <c r="CX214">
        <v>92</v>
      </c>
      <c r="CY214">
        <v>5</v>
      </c>
      <c r="CZ214">
        <v>161</v>
      </c>
      <c r="DA214">
        <v>5</v>
      </c>
      <c r="DB214">
        <v>15190</v>
      </c>
      <c r="DC214">
        <v>450</v>
      </c>
      <c r="DD214">
        <v>370</v>
      </c>
      <c r="DE214">
        <v>2360</v>
      </c>
      <c r="DF214">
        <v>2360</v>
      </c>
      <c r="DG214">
        <v>2371</v>
      </c>
      <c r="DH214">
        <v>1</v>
      </c>
      <c r="DI214" t="s">
        <v>4055</v>
      </c>
      <c r="DJ214" t="s">
        <v>4217</v>
      </c>
      <c r="DK214">
        <v>215</v>
      </c>
      <c r="DL214" t="s">
        <v>4065</v>
      </c>
      <c r="DM214">
        <v>63</v>
      </c>
      <c r="DN214">
        <v>1.26</v>
      </c>
      <c r="DO214">
        <v>1</v>
      </c>
      <c r="DP214">
        <v>2229</v>
      </c>
      <c r="DQ214">
        <v>1157</v>
      </c>
      <c r="DR214" t="s">
        <v>4217</v>
      </c>
      <c r="DS214">
        <v>205</v>
      </c>
      <c r="DT214" t="s">
        <v>4065</v>
      </c>
      <c r="DU214">
        <v>63</v>
      </c>
      <c r="DV214">
        <v>1.26</v>
      </c>
      <c r="DW214">
        <v>1</v>
      </c>
      <c r="DX214">
        <v>2242</v>
      </c>
      <c r="DY214">
        <v>1110</v>
      </c>
      <c r="DZ214" t="s">
        <v>4066</v>
      </c>
      <c r="EA214">
        <v>20</v>
      </c>
      <c r="EB214" t="s">
        <v>4065</v>
      </c>
      <c r="EC214">
        <v>0.8</v>
      </c>
      <c r="ED214">
        <v>2229</v>
      </c>
      <c r="EE214">
        <v>78</v>
      </c>
      <c r="EG214">
        <v>0</v>
      </c>
      <c r="EH214" t="s">
        <v>4065</v>
      </c>
      <c r="EI214">
        <v>0</v>
      </c>
      <c r="EL214" t="s">
        <v>1528</v>
      </c>
      <c r="EM214">
        <v>12</v>
      </c>
      <c r="EN214">
        <v>0.5</v>
      </c>
      <c r="EO214">
        <v>0.96</v>
      </c>
      <c r="EP214">
        <v>2240.84</v>
      </c>
      <c r="EQ214">
        <v>40615.23</v>
      </c>
      <c r="ER214">
        <v>10532.21</v>
      </c>
      <c r="ES214">
        <v>0</v>
      </c>
      <c r="ET214">
        <v>0</v>
      </c>
      <c r="EU214">
        <v>1</v>
      </c>
      <c r="EV214">
        <v>51148</v>
      </c>
      <c r="EW214">
        <v>614</v>
      </c>
      <c r="EX214" t="s">
        <v>4755</v>
      </c>
      <c r="EY214">
        <v>246</v>
      </c>
      <c r="EZ214" t="s">
        <v>4055</v>
      </c>
      <c r="FA214">
        <v>4</v>
      </c>
      <c r="FB214">
        <v>1</v>
      </c>
      <c r="FC214">
        <v>1</v>
      </c>
      <c r="FD214">
        <v>2274</v>
      </c>
      <c r="FE214">
        <v>2700</v>
      </c>
      <c r="FF214" t="s">
        <v>4756</v>
      </c>
      <c r="FG214">
        <v>246</v>
      </c>
      <c r="FH214" t="s">
        <v>4055</v>
      </c>
      <c r="FI214">
        <v>4.1</v>
      </c>
      <c r="FJ214">
        <v>2274</v>
      </c>
      <c r="FK214">
        <v>2795</v>
      </c>
      <c r="FL214" t="s">
        <v>4069</v>
      </c>
      <c r="FM214" t="s">
        <v>4055</v>
      </c>
      <c r="FN214" t="s">
        <v>4055</v>
      </c>
      <c r="FO214" t="s">
        <v>4055</v>
      </c>
      <c r="FP214">
        <v>2274</v>
      </c>
      <c r="FQ214">
        <v>254</v>
      </c>
      <c r="FR214" t="s">
        <v>4090</v>
      </c>
      <c r="FS214">
        <v>250</v>
      </c>
      <c r="FT214" t="s">
        <v>4055</v>
      </c>
      <c r="FU214">
        <v>0.4</v>
      </c>
      <c r="FV214">
        <v>2274</v>
      </c>
      <c r="FW214">
        <v>253</v>
      </c>
      <c r="FX214" t="s">
        <v>4070</v>
      </c>
      <c r="FY214">
        <v>5</v>
      </c>
      <c r="FZ214" t="s">
        <v>4055</v>
      </c>
      <c r="GA214" t="s">
        <v>4055</v>
      </c>
      <c r="GB214">
        <v>2274</v>
      </c>
      <c r="GC214">
        <v>23</v>
      </c>
      <c r="GD214">
        <v>6025</v>
      </c>
      <c r="GE214" t="s">
        <v>4820</v>
      </c>
      <c r="GF214" t="s">
        <v>4055</v>
      </c>
      <c r="GG214" t="s">
        <v>4055</v>
      </c>
      <c r="GH214" t="s">
        <v>4055</v>
      </c>
      <c r="GI214" t="s">
        <v>4071</v>
      </c>
      <c r="GJ214" t="s">
        <v>4055</v>
      </c>
      <c r="GK214" t="s">
        <v>4055</v>
      </c>
      <c r="GL214" t="s">
        <v>4055</v>
      </c>
      <c r="GM214" t="s">
        <v>4055</v>
      </c>
      <c r="GQ214">
        <v>0</v>
      </c>
      <c r="GV214">
        <v>8.5</v>
      </c>
      <c r="GW214">
        <v>11.2</v>
      </c>
      <c r="GX214">
        <v>0.5</v>
      </c>
      <c r="GY214">
        <v>212</v>
      </c>
      <c r="GZ214">
        <v>3</v>
      </c>
      <c r="HA214">
        <v>270</v>
      </c>
      <c r="HB214">
        <v>3</v>
      </c>
      <c r="HC214">
        <v>2274</v>
      </c>
      <c r="HD214">
        <v>4</v>
      </c>
      <c r="HE214" t="s">
        <v>4071</v>
      </c>
      <c r="HG214" t="s">
        <v>549</v>
      </c>
      <c r="HL214">
        <v>4</v>
      </c>
      <c r="HM214">
        <v>19</v>
      </c>
      <c r="HN214">
        <v>6</v>
      </c>
      <c r="HO214">
        <v>1</v>
      </c>
      <c r="HP214">
        <v>0</v>
      </c>
      <c r="HQ214">
        <v>0</v>
      </c>
      <c r="HR214">
        <v>2</v>
      </c>
      <c r="HS214">
        <v>2225</v>
      </c>
      <c r="HT214">
        <v>5</v>
      </c>
      <c r="HU214">
        <v>1</v>
      </c>
      <c r="HV214">
        <v>5</v>
      </c>
      <c r="HW214">
        <v>0</v>
      </c>
      <c r="HX214">
        <v>1</v>
      </c>
      <c r="HY214">
        <v>0</v>
      </c>
      <c r="HZ214">
        <v>63</v>
      </c>
      <c r="IA214">
        <v>2229</v>
      </c>
      <c r="IB214">
        <v>2242</v>
      </c>
      <c r="ID214">
        <v>2274</v>
      </c>
      <c r="IE214">
        <v>2274</v>
      </c>
      <c r="IF214">
        <v>215</v>
      </c>
      <c r="IG214">
        <v>205</v>
      </c>
      <c r="IH214">
        <v>270</v>
      </c>
      <c r="II214">
        <v>1</v>
      </c>
      <c r="IJ214">
        <v>5</v>
      </c>
      <c r="IK214">
        <v>0</v>
      </c>
      <c r="IL214">
        <v>0</v>
      </c>
      <c r="IM214">
        <v>0</v>
      </c>
      <c r="IN214">
        <v>270</v>
      </c>
      <c r="IO214">
        <v>0</v>
      </c>
      <c r="IP214">
        <v>180</v>
      </c>
      <c r="IQ214">
        <v>0</v>
      </c>
      <c r="IR214">
        <v>330</v>
      </c>
      <c r="IS214">
        <v>0</v>
      </c>
      <c r="IT214">
        <v>90</v>
      </c>
      <c r="IU214">
        <v>0</v>
      </c>
      <c r="IV214">
        <v>6.4</v>
      </c>
      <c r="IW214">
        <v>-6</v>
      </c>
      <c r="IX214">
        <v>110</v>
      </c>
      <c r="IY214">
        <v>80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430</v>
      </c>
      <c r="JJ214">
        <v>400</v>
      </c>
      <c r="JK214">
        <v>286</v>
      </c>
      <c r="JL214">
        <v>396</v>
      </c>
      <c r="JM214">
        <v>286</v>
      </c>
      <c r="JN214">
        <v>210</v>
      </c>
      <c r="JO214">
        <v>280</v>
      </c>
      <c r="JP214">
        <v>185</v>
      </c>
      <c r="JQ214">
        <v>235</v>
      </c>
      <c r="JR214">
        <v>320</v>
      </c>
      <c r="JS214">
        <v>240</v>
      </c>
      <c r="JT214">
        <v>0</v>
      </c>
      <c r="JU214">
        <v>0</v>
      </c>
      <c r="JV214">
        <v>315</v>
      </c>
      <c r="JW214">
        <v>305</v>
      </c>
      <c r="JX214">
        <v>300</v>
      </c>
      <c r="JY214">
        <v>280</v>
      </c>
      <c r="JZ214">
        <v>0.5</v>
      </c>
      <c r="KA214">
        <v>0.2</v>
      </c>
      <c r="KB214">
        <v>0.4</v>
      </c>
      <c r="KC214">
        <v>0.42</v>
      </c>
      <c r="KD214">
        <v>0.28</v>
      </c>
      <c r="KE214">
        <v>0.5</v>
      </c>
      <c r="KF214">
        <v>0.2</v>
      </c>
      <c r="KG214">
        <v>0.12</v>
      </c>
      <c r="KH214">
        <v>3.5</v>
      </c>
      <c r="KI214">
        <v>1</v>
      </c>
      <c r="KJ214">
        <v>4.5</v>
      </c>
      <c r="KK214">
        <v>0</v>
      </c>
      <c r="KL214">
        <v>4.5</v>
      </c>
      <c r="KM214">
        <v>0</v>
      </c>
      <c r="KN214">
        <v>2.1</v>
      </c>
      <c r="KO214">
        <v>0</v>
      </c>
      <c r="KP214">
        <v>0</v>
      </c>
      <c r="KQ214">
        <v>1</v>
      </c>
      <c r="KR214">
        <v>0.8</v>
      </c>
      <c r="KS214">
        <v>0</v>
      </c>
      <c r="KT214">
        <v>3</v>
      </c>
      <c r="KU214">
        <v>0</v>
      </c>
      <c r="KV214">
        <v>0</v>
      </c>
      <c r="KW214">
        <v>1.2</v>
      </c>
      <c r="KX214">
        <v>2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3</v>
      </c>
      <c r="LI214">
        <v>0.5</v>
      </c>
      <c r="LJ214">
        <v>0</v>
      </c>
      <c r="LK214">
        <v>8</v>
      </c>
      <c r="LL214">
        <v>4</v>
      </c>
      <c r="LM214">
        <v>9</v>
      </c>
      <c r="LN214">
        <v>1</v>
      </c>
      <c r="LO214">
        <v>3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1.8</v>
      </c>
      <c r="LX214">
        <v>1.8</v>
      </c>
      <c r="LY214">
        <v>2.1</v>
      </c>
      <c r="LZ214">
        <v>2.1</v>
      </c>
      <c r="MA214">
        <v>0</v>
      </c>
      <c r="MB214">
        <v>2.5</v>
      </c>
      <c r="MC214">
        <v>0</v>
      </c>
      <c r="MD214">
        <v>4.5</v>
      </c>
      <c r="ME214">
        <v>6</v>
      </c>
      <c r="MF214">
        <v>6</v>
      </c>
      <c r="MI214">
        <v>0</v>
      </c>
      <c r="MJ214">
        <v>0</v>
      </c>
      <c r="ML214">
        <v>0</v>
      </c>
      <c r="MM214">
        <v>452</v>
      </c>
      <c r="MN214">
        <v>210</v>
      </c>
      <c r="MO214">
        <v>280</v>
      </c>
      <c r="NU214">
        <v>0.15</v>
      </c>
      <c r="NV214">
        <v>0.25</v>
      </c>
      <c r="NW214">
        <v>0.3</v>
      </c>
      <c r="NX214">
        <v>0.2</v>
      </c>
      <c r="NY214">
        <v>0.2</v>
      </c>
      <c r="NZ214">
        <v>0.2</v>
      </c>
      <c r="OE214" t="s">
        <v>4820</v>
      </c>
      <c r="OF214" t="s">
        <v>4818</v>
      </c>
      <c r="OG214" t="s">
        <v>4819</v>
      </c>
      <c r="OH214" t="s">
        <v>4043</v>
      </c>
      <c r="OI214" t="s">
        <v>4820</v>
      </c>
      <c r="OJ214" t="s">
        <v>4817</v>
      </c>
      <c r="OK214">
        <v>61</v>
      </c>
      <c r="OL214">
        <v>61</v>
      </c>
      <c r="OM214" t="s">
        <v>4818</v>
      </c>
      <c r="ON214">
        <v>1</v>
      </c>
      <c r="OO214">
        <v>2229</v>
      </c>
      <c r="OP214">
        <v>61</v>
      </c>
      <c r="OQ214">
        <v>61</v>
      </c>
      <c r="OR214" t="s">
        <v>4819</v>
      </c>
      <c r="OS214">
        <v>1</v>
      </c>
      <c r="OT214">
        <v>2242</v>
      </c>
      <c r="OU214">
        <v>65</v>
      </c>
      <c r="OV214">
        <v>65</v>
      </c>
      <c r="OW214" t="s">
        <v>4043</v>
      </c>
      <c r="OX214">
        <v>2</v>
      </c>
      <c r="OY214">
        <v>51148</v>
      </c>
      <c r="OZ214">
        <v>51</v>
      </c>
      <c r="PA214">
        <v>52</v>
      </c>
      <c r="PB214" t="s">
        <v>4820</v>
      </c>
      <c r="PC214">
        <v>1</v>
      </c>
      <c r="PD214">
        <v>2274</v>
      </c>
      <c r="PF214">
        <v>519</v>
      </c>
      <c r="PG214">
        <v>35</v>
      </c>
      <c r="PH214">
        <v>495</v>
      </c>
      <c r="PI214">
        <v>0</v>
      </c>
      <c r="PJ214">
        <v>111.9</v>
      </c>
      <c r="PK214">
        <v>2636</v>
      </c>
      <c r="PL214">
        <v>1187.4</v>
      </c>
      <c r="PM214">
        <v>1229.3</v>
      </c>
      <c r="PN214">
        <v>111.3</v>
      </c>
      <c r="PO214">
        <v>9.9</v>
      </c>
      <c r="PP214">
        <v>12</v>
      </c>
      <c r="PQ214">
        <v>4</v>
      </c>
      <c r="PR214">
        <v>4</v>
      </c>
      <c r="PS214">
        <v>0</v>
      </c>
      <c r="PT214">
        <v>270</v>
      </c>
      <c r="PU214">
        <v>12</v>
      </c>
      <c r="PV214" t="s">
        <v>4072</v>
      </c>
      <c r="PW214" t="s">
        <v>4072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-1</v>
      </c>
      <c r="QF214">
        <v>1</v>
      </c>
      <c r="QG214">
        <v>0</v>
      </c>
      <c r="QH214">
        <v>5</v>
      </c>
      <c r="QI214">
        <v>5</v>
      </c>
      <c r="QJ214">
        <v>5</v>
      </c>
      <c r="QK214">
        <v>231</v>
      </c>
      <c r="QL214">
        <v>460</v>
      </c>
      <c r="QM214">
        <v>7.5</v>
      </c>
      <c r="QN214">
        <v>1544.1</v>
      </c>
      <c r="QO214" t="s">
        <v>2662</v>
      </c>
      <c r="QP214" t="s">
        <v>513</v>
      </c>
      <c r="QQ214">
        <v>0</v>
      </c>
      <c r="QR214" t="s">
        <v>596</v>
      </c>
      <c r="QS214">
        <v>40</v>
      </c>
      <c r="QT214">
        <v>50</v>
      </c>
    </row>
    <row r="215" spans="1:462">
      <c r="A215" t="s">
        <v>2850</v>
      </c>
      <c r="B215" t="s">
        <v>564</v>
      </c>
      <c r="C215" t="s">
        <v>509</v>
      </c>
      <c r="D215" t="s">
        <v>2849</v>
      </c>
      <c r="E215" t="s">
        <v>4036</v>
      </c>
      <c r="H215" t="s">
        <v>561</v>
      </c>
      <c r="J215" t="s">
        <v>562</v>
      </c>
      <c r="K215" t="s">
        <v>563</v>
      </c>
      <c r="L215" t="s">
        <v>629</v>
      </c>
      <c r="M215" t="s">
        <v>512</v>
      </c>
      <c r="O215" t="s">
        <v>513</v>
      </c>
      <c r="P215" t="s">
        <v>517</v>
      </c>
      <c r="Q215" t="s">
        <v>2851</v>
      </c>
      <c r="R215" t="s">
        <v>2852</v>
      </c>
      <c r="S215" t="s">
        <v>4134</v>
      </c>
      <c r="T215" t="s">
        <v>570</v>
      </c>
      <c r="U215" t="s">
        <v>571</v>
      </c>
      <c r="V215" t="s">
        <v>2853</v>
      </c>
      <c r="W215" t="s">
        <v>2657</v>
      </c>
      <c r="X215" t="s">
        <v>2854</v>
      </c>
      <c r="Y215" t="s">
        <v>2855</v>
      </c>
      <c r="Z215" t="s">
        <v>541</v>
      </c>
      <c r="AA215" t="s">
        <v>4038</v>
      </c>
      <c r="AB215" t="s">
        <v>4821</v>
      </c>
      <c r="AC215">
        <v>9</v>
      </c>
      <c r="AD215" t="s">
        <v>2848</v>
      </c>
      <c r="AE215">
        <v>5</v>
      </c>
      <c r="AF215">
        <v>6233</v>
      </c>
      <c r="AG215" t="s">
        <v>4260</v>
      </c>
      <c r="AH215">
        <v>1</v>
      </c>
      <c r="AI215" t="s">
        <v>4041</v>
      </c>
      <c r="AK215" t="s">
        <v>4261</v>
      </c>
      <c r="AL215">
        <v>1</v>
      </c>
      <c r="AM215" t="s">
        <v>582</v>
      </c>
      <c r="AO215" t="s">
        <v>4043</v>
      </c>
      <c r="AP215">
        <v>1</v>
      </c>
      <c r="AR215" t="s">
        <v>4822</v>
      </c>
      <c r="AS215">
        <v>1</v>
      </c>
      <c r="AT215">
        <v>52</v>
      </c>
      <c r="AV215" t="s">
        <v>4078</v>
      </c>
      <c r="AW215">
        <v>6.4</v>
      </c>
      <c r="AX215">
        <v>-6</v>
      </c>
      <c r="AY215">
        <v>127.5</v>
      </c>
      <c r="AZ215">
        <v>97</v>
      </c>
      <c r="BH215">
        <v>127.5</v>
      </c>
      <c r="BI215">
        <v>30.5</v>
      </c>
      <c r="BJ215">
        <v>97</v>
      </c>
      <c r="BK215">
        <v>2.5</v>
      </c>
      <c r="BL215">
        <v>255</v>
      </c>
      <c r="BM215">
        <v>-6</v>
      </c>
      <c r="BN215">
        <v>0</v>
      </c>
      <c r="BO215">
        <v>0</v>
      </c>
      <c r="BP215">
        <v>0</v>
      </c>
      <c r="BR215">
        <v>250</v>
      </c>
      <c r="BS215">
        <v>240</v>
      </c>
      <c r="BT215">
        <v>2235</v>
      </c>
      <c r="BU215" t="s">
        <v>4079</v>
      </c>
      <c r="BV215" t="s">
        <v>4079</v>
      </c>
      <c r="BW215" t="s">
        <v>4081</v>
      </c>
      <c r="BX215" t="s">
        <v>4081</v>
      </c>
      <c r="BY215" t="s">
        <v>4199</v>
      </c>
      <c r="BZ215" t="s">
        <v>4164</v>
      </c>
      <c r="CA215" t="s">
        <v>4084</v>
      </c>
      <c r="CB215" t="s">
        <v>4085</v>
      </c>
      <c r="CC215" t="s">
        <v>4053</v>
      </c>
      <c r="CD215" t="s">
        <v>4055</v>
      </c>
      <c r="CE215" t="s">
        <v>4055</v>
      </c>
      <c r="CF215" t="s">
        <v>4055</v>
      </c>
      <c r="CG215" t="s">
        <v>4056</v>
      </c>
      <c r="CI215" t="s">
        <v>4086</v>
      </c>
      <c r="CJ215" t="s">
        <v>4059</v>
      </c>
      <c r="CK215" t="s">
        <v>4060</v>
      </c>
      <c r="CL215" t="s">
        <v>4061</v>
      </c>
      <c r="CM215" t="s">
        <v>4055</v>
      </c>
      <c r="CN215" t="s">
        <v>4062</v>
      </c>
      <c r="CO215" t="s">
        <v>4063</v>
      </c>
      <c r="CP215" t="s">
        <v>4055</v>
      </c>
      <c r="CQ215" t="s">
        <v>4055</v>
      </c>
      <c r="CR215">
        <v>5</v>
      </c>
      <c r="CS215" t="s">
        <v>4055</v>
      </c>
      <c r="CT215" t="s">
        <v>4055</v>
      </c>
      <c r="CU215" t="s">
        <v>4055</v>
      </c>
      <c r="CV215">
        <v>151</v>
      </c>
      <c r="CW215">
        <v>3</v>
      </c>
      <c r="CX215">
        <v>109</v>
      </c>
      <c r="CY215">
        <v>5</v>
      </c>
      <c r="CZ215">
        <v>171</v>
      </c>
      <c r="DA215">
        <v>5</v>
      </c>
      <c r="DB215">
        <v>16010</v>
      </c>
      <c r="DC215">
        <v>480</v>
      </c>
      <c r="DD215">
        <v>377</v>
      </c>
      <c r="DE215">
        <v>2360</v>
      </c>
      <c r="DF215">
        <v>2360</v>
      </c>
      <c r="DG215">
        <v>2381</v>
      </c>
      <c r="DH215">
        <v>2</v>
      </c>
      <c r="DI215" t="s">
        <v>4055</v>
      </c>
      <c r="DJ215" t="s">
        <v>4217</v>
      </c>
      <c r="DK215">
        <v>250</v>
      </c>
      <c r="DL215" t="s">
        <v>4065</v>
      </c>
      <c r="DM215">
        <v>63</v>
      </c>
      <c r="DN215">
        <v>1.26</v>
      </c>
      <c r="DO215">
        <v>1</v>
      </c>
      <c r="DP215">
        <v>2239</v>
      </c>
      <c r="DQ215">
        <v>1352</v>
      </c>
      <c r="DR215" t="s">
        <v>4217</v>
      </c>
      <c r="DS215">
        <v>240</v>
      </c>
      <c r="DT215" t="s">
        <v>4065</v>
      </c>
      <c r="DU215">
        <v>63</v>
      </c>
      <c r="DV215">
        <v>1.26</v>
      </c>
      <c r="DW215">
        <v>1</v>
      </c>
      <c r="DX215">
        <v>2252</v>
      </c>
      <c r="DY215">
        <v>1304</v>
      </c>
      <c r="DZ215" t="s">
        <v>4066</v>
      </c>
      <c r="EA215">
        <v>20</v>
      </c>
      <c r="EB215" t="s">
        <v>4065</v>
      </c>
      <c r="EC215">
        <v>0.8</v>
      </c>
      <c r="ED215">
        <v>2239</v>
      </c>
      <c r="EE215">
        <v>78</v>
      </c>
      <c r="EG215">
        <v>0</v>
      </c>
      <c r="EH215" t="s">
        <v>4065</v>
      </c>
      <c r="EI215">
        <v>0</v>
      </c>
      <c r="EL215" t="s">
        <v>1528</v>
      </c>
      <c r="EM215">
        <v>12</v>
      </c>
      <c r="EN215">
        <v>0.5</v>
      </c>
      <c r="EO215">
        <v>0.96</v>
      </c>
      <c r="EP215">
        <v>2250.84</v>
      </c>
      <c r="EQ215">
        <v>46951.12</v>
      </c>
      <c r="ER215">
        <v>10755.4</v>
      </c>
      <c r="ES215">
        <v>0</v>
      </c>
      <c r="ET215">
        <v>0</v>
      </c>
      <c r="EU215">
        <v>1</v>
      </c>
      <c r="EV215">
        <v>57707</v>
      </c>
      <c r="EW215">
        <v>693</v>
      </c>
      <c r="EX215" t="s">
        <v>4755</v>
      </c>
      <c r="EY215">
        <v>272</v>
      </c>
      <c r="EZ215" t="s">
        <v>4055</v>
      </c>
      <c r="FA215">
        <v>3.8</v>
      </c>
      <c r="FB215">
        <v>1</v>
      </c>
      <c r="FC215">
        <v>1</v>
      </c>
      <c r="FD215">
        <v>2283</v>
      </c>
      <c r="FE215">
        <v>2817</v>
      </c>
      <c r="FF215" t="s">
        <v>4756</v>
      </c>
      <c r="FG215">
        <v>272</v>
      </c>
      <c r="FH215" t="s">
        <v>4055</v>
      </c>
      <c r="FI215">
        <v>4.1</v>
      </c>
      <c r="FJ215">
        <v>2283</v>
      </c>
      <c r="FK215">
        <v>3041</v>
      </c>
      <c r="FL215" t="s">
        <v>4069</v>
      </c>
      <c r="FM215" t="s">
        <v>4055</v>
      </c>
      <c r="FN215" t="s">
        <v>4055</v>
      </c>
      <c r="FO215" t="s">
        <v>4055</v>
      </c>
      <c r="FP215">
        <v>2283</v>
      </c>
      <c r="FQ215">
        <v>185</v>
      </c>
      <c r="FR215" t="s">
        <v>4090</v>
      </c>
      <c r="FS215">
        <v>276</v>
      </c>
      <c r="FT215" t="s">
        <v>4055</v>
      </c>
      <c r="FU215">
        <v>0.4</v>
      </c>
      <c r="FV215">
        <v>2283</v>
      </c>
      <c r="FW215">
        <v>281</v>
      </c>
      <c r="FX215" t="s">
        <v>4070</v>
      </c>
      <c r="FY215">
        <v>5</v>
      </c>
      <c r="FZ215" t="s">
        <v>4055</v>
      </c>
      <c r="GA215" t="s">
        <v>4055</v>
      </c>
      <c r="GB215">
        <v>2283</v>
      </c>
      <c r="GC215">
        <v>22</v>
      </c>
      <c r="GD215">
        <v>6346</v>
      </c>
      <c r="GE215" t="s">
        <v>4822</v>
      </c>
      <c r="GF215" t="s">
        <v>4055</v>
      </c>
      <c r="GG215" t="s">
        <v>4055</v>
      </c>
      <c r="GH215" t="s">
        <v>4055</v>
      </c>
      <c r="GI215" t="s">
        <v>4071</v>
      </c>
      <c r="GJ215" t="s">
        <v>4055</v>
      </c>
      <c r="GK215" t="s">
        <v>4055</v>
      </c>
      <c r="GL215" t="s">
        <v>4055</v>
      </c>
      <c r="GM215" t="s">
        <v>4055</v>
      </c>
      <c r="GQ215">
        <v>0</v>
      </c>
      <c r="GV215">
        <v>8.300000000000001</v>
      </c>
      <c r="GW215">
        <v>11.5</v>
      </c>
      <c r="GX215">
        <v>0.5</v>
      </c>
      <c r="GY215">
        <v>236</v>
      </c>
      <c r="GZ215">
        <v>3</v>
      </c>
      <c r="HA215">
        <v>292</v>
      </c>
      <c r="HB215">
        <v>3</v>
      </c>
      <c r="HC215">
        <v>2283</v>
      </c>
      <c r="HD215">
        <v>4</v>
      </c>
      <c r="HE215" t="s">
        <v>4071</v>
      </c>
      <c r="HG215" t="s">
        <v>549</v>
      </c>
      <c r="HL215">
        <v>4</v>
      </c>
      <c r="HM215">
        <v>20</v>
      </c>
      <c r="HN215">
        <v>6</v>
      </c>
      <c r="HO215">
        <v>1</v>
      </c>
      <c r="HP215">
        <v>0</v>
      </c>
      <c r="HQ215">
        <v>0</v>
      </c>
      <c r="HR215">
        <v>1</v>
      </c>
      <c r="HS215">
        <v>2235</v>
      </c>
      <c r="HT215">
        <v>5</v>
      </c>
      <c r="HU215">
        <v>1</v>
      </c>
      <c r="HV215">
        <v>3</v>
      </c>
      <c r="HW215">
        <v>0</v>
      </c>
      <c r="HX215">
        <v>1</v>
      </c>
      <c r="HY215">
        <v>0</v>
      </c>
      <c r="HZ215">
        <v>63</v>
      </c>
      <c r="IA215">
        <v>2239</v>
      </c>
      <c r="IB215">
        <v>2252</v>
      </c>
      <c r="ID215">
        <v>2283</v>
      </c>
      <c r="IE215">
        <v>2283</v>
      </c>
      <c r="IF215">
        <v>250</v>
      </c>
      <c r="IG215">
        <v>240</v>
      </c>
      <c r="IH215">
        <v>292</v>
      </c>
      <c r="II215">
        <v>1</v>
      </c>
      <c r="IJ215">
        <v>5</v>
      </c>
      <c r="IK215">
        <v>0</v>
      </c>
      <c r="IL215">
        <v>0</v>
      </c>
      <c r="IM215">
        <v>0</v>
      </c>
      <c r="IN215">
        <v>270</v>
      </c>
      <c r="IO215">
        <v>0</v>
      </c>
      <c r="IP215">
        <v>180</v>
      </c>
      <c r="IQ215">
        <v>0</v>
      </c>
      <c r="IR215">
        <v>330</v>
      </c>
      <c r="IS215">
        <v>0</v>
      </c>
      <c r="IT215">
        <v>90</v>
      </c>
      <c r="IU215">
        <v>0</v>
      </c>
      <c r="IV215">
        <v>6.4</v>
      </c>
      <c r="IW215">
        <v>-6</v>
      </c>
      <c r="IX215">
        <v>127.5</v>
      </c>
      <c r="IY215">
        <v>97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438</v>
      </c>
      <c r="JJ215">
        <v>408</v>
      </c>
      <c r="JK215">
        <v>290</v>
      </c>
      <c r="JL215">
        <v>408</v>
      </c>
      <c r="JM215">
        <v>300</v>
      </c>
      <c r="JN215">
        <v>245</v>
      </c>
      <c r="JO215">
        <v>302</v>
      </c>
      <c r="JP215">
        <v>190</v>
      </c>
      <c r="JQ215">
        <v>230</v>
      </c>
      <c r="JR215">
        <v>315</v>
      </c>
      <c r="JS215">
        <v>305</v>
      </c>
      <c r="JT215">
        <v>0</v>
      </c>
      <c r="JU215">
        <v>0</v>
      </c>
      <c r="JV215">
        <v>320</v>
      </c>
      <c r="JW215">
        <v>310</v>
      </c>
      <c r="JX215">
        <v>0</v>
      </c>
      <c r="JY215">
        <v>0</v>
      </c>
      <c r="JZ215">
        <v>0</v>
      </c>
      <c r="KA215">
        <v>0.2</v>
      </c>
      <c r="KB215">
        <v>0.4</v>
      </c>
      <c r="KC215">
        <v>0.42</v>
      </c>
      <c r="KD215">
        <v>0.3</v>
      </c>
      <c r="KE215">
        <v>0.5</v>
      </c>
      <c r="KF215">
        <v>0.22</v>
      </c>
      <c r="KG215">
        <v>0.12</v>
      </c>
      <c r="KH215">
        <v>3.5</v>
      </c>
      <c r="KI215">
        <v>1</v>
      </c>
      <c r="KJ215">
        <v>4.5</v>
      </c>
      <c r="KK215">
        <v>0</v>
      </c>
      <c r="KL215">
        <v>4.5</v>
      </c>
      <c r="KM215">
        <v>0.5</v>
      </c>
      <c r="KN215">
        <v>2.1</v>
      </c>
      <c r="KO215">
        <v>1</v>
      </c>
      <c r="KP215">
        <v>0</v>
      </c>
      <c r="KQ215">
        <v>0.8</v>
      </c>
      <c r="KR215">
        <v>0.8</v>
      </c>
      <c r="KS215">
        <v>0</v>
      </c>
      <c r="KT215">
        <v>2.8</v>
      </c>
      <c r="KU215">
        <v>0</v>
      </c>
      <c r="KV215">
        <v>0</v>
      </c>
      <c r="KW215">
        <v>1.6</v>
      </c>
      <c r="KX215">
        <v>2</v>
      </c>
      <c r="KY215">
        <v>1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3</v>
      </c>
      <c r="LI215">
        <v>0</v>
      </c>
      <c r="LJ215">
        <v>0</v>
      </c>
      <c r="LK215">
        <v>11</v>
      </c>
      <c r="LL215">
        <v>9</v>
      </c>
      <c r="LM215">
        <v>13</v>
      </c>
      <c r="LN215">
        <v>3</v>
      </c>
      <c r="LO215">
        <v>3</v>
      </c>
      <c r="LP215">
        <v>0</v>
      </c>
      <c r="LQ215">
        <v>0</v>
      </c>
      <c r="LR215">
        <v>0</v>
      </c>
      <c r="LS215">
        <v>1</v>
      </c>
      <c r="LT215">
        <v>0</v>
      </c>
      <c r="LU215">
        <v>0</v>
      </c>
      <c r="LV215">
        <v>0</v>
      </c>
      <c r="LW215">
        <v>1.8</v>
      </c>
      <c r="LX215">
        <v>1.8</v>
      </c>
      <c r="LY215">
        <v>2.1</v>
      </c>
      <c r="LZ215">
        <v>2.1</v>
      </c>
      <c r="MA215">
        <v>0</v>
      </c>
      <c r="MB215">
        <v>7</v>
      </c>
      <c r="MC215">
        <v>0</v>
      </c>
      <c r="MD215">
        <v>4.5</v>
      </c>
      <c r="ME215">
        <v>6</v>
      </c>
      <c r="MF215">
        <v>6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452</v>
      </c>
      <c r="MN215">
        <v>235</v>
      </c>
      <c r="MO215">
        <v>302</v>
      </c>
      <c r="NU215">
        <v>0.15</v>
      </c>
      <c r="NV215">
        <v>0.2</v>
      </c>
      <c r="NW215">
        <v>0.2</v>
      </c>
      <c r="NX215">
        <v>0.2</v>
      </c>
      <c r="NY215">
        <v>0.2</v>
      </c>
      <c r="NZ215">
        <v>0.2</v>
      </c>
      <c r="OE215" t="s">
        <v>4822</v>
      </c>
      <c r="OF215" t="s">
        <v>4260</v>
      </c>
      <c r="OG215" t="s">
        <v>4261</v>
      </c>
      <c r="OH215" t="s">
        <v>4043</v>
      </c>
      <c r="OI215" t="s">
        <v>4822</v>
      </c>
      <c r="OJ215" t="s">
        <v>4821</v>
      </c>
      <c r="OK215">
        <v>61</v>
      </c>
      <c r="OL215">
        <v>61</v>
      </c>
      <c r="OM215" t="s">
        <v>4260</v>
      </c>
      <c r="ON215">
        <v>1</v>
      </c>
      <c r="OO215">
        <v>2239</v>
      </c>
      <c r="OP215">
        <v>61</v>
      </c>
      <c r="OQ215">
        <v>61</v>
      </c>
      <c r="OR215" t="s">
        <v>4261</v>
      </c>
      <c r="OS215">
        <v>1</v>
      </c>
      <c r="OT215">
        <v>2252</v>
      </c>
      <c r="OU215">
        <v>65</v>
      </c>
      <c r="OV215">
        <v>65</v>
      </c>
      <c r="OW215" t="s">
        <v>4043</v>
      </c>
      <c r="OX215">
        <v>2</v>
      </c>
      <c r="OY215">
        <v>57707</v>
      </c>
      <c r="OZ215">
        <v>51</v>
      </c>
      <c r="PA215">
        <v>52</v>
      </c>
      <c r="PB215" t="s">
        <v>4822</v>
      </c>
      <c r="PC215">
        <v>1</v>
      </c>
      <c r="PD215">
        <v>2283</v>
      </c>
      <c r="PF215">
        <v>604</v>
      </c>
      <c r="PG215">
        <v>35</v>
      </c>
      <c r="PH215">
        <v>579</v>
      </c>
      <c r="PI215">
        <v>0</v>
      </c>
      <c r="PJ215">
        <v>80.90000000000001</v>
      </c>
      <c r="PK215">
        <v>2759</v>
      </c>
      <c r="PL215">
        <v>1233.8</v>
      </c>
      <c r="PM215">
        <v>1331.9</v>
      </c>
      <c r="PN215">
        <v>122.9</v>
      </c>
      <c r="PO215">
        <v>9.6</v>
      </c>
      <c r="PP215">
        <v>12</v>
      </c>
      <c r="PQ215">
        <v>4</v>
      </c>
      <c r="PR215">
        <v>4</v>
      </c>
      <c r="PS215">
        <v>0</v>
      </c>
      <c r="PT215">
        <v>292</v>
      </c>
      <c r="PU215">
        <v>10</v>
      </c>
      <c r="PV215" t="s">
        <v>4072</v>
      </c>
      <c r="PW215" t="s">
        <v>4072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-1</v>
      </c>
      <c r="QF215">
        <v>1</v>
      </c>
      <c r="QG215">
        <v>0</v>
      </c>
      <c r="QH215">
        <v>5</v>
      </c>
      <c r="QI215">
        <v>5</v>
      </c>
      <c r="QJ215">
        <v>5</v>
      </c>
      <c r="QK215">
        <v>234</v>
      </c>
      <c r="QL215">
        <v>468</v>
      </c>
      <c r="QM215">
        <v>9.4</v>
      </c>
      <c r="QN215">
        <v>1623.8</v>
      </c>
      <c r="QO215" t="s">
        <v>2662</v>
      </c>
      <c r="QP215" t="s">
        <v>513</v>
      </c>
      <c r="QQ215">
        <v>0</v>
      </c>
      <c r="QR215" t="s">
        <v>596</v>
      </c>
      <c r="QS215">
        <v>40</v>
      </c>
      <c r="QT215">
        <v>50</v>
      </c>
    </row>
    <row r="216" spans="1:462">
      <c r="A216" t="s">
        <v>2860</v>
      </c>
      <c r="B216" t="s">
        <v>711</v>
      </c>
      <c r="C216" t="s">
        <v>509</v>
      </c>
      <c r="D216" t="s">
        <v>803</v>
      </c>
      <c r="E216" t="s">
        <v>4036</v>
      </c>
      <c r="H216" t="s">
        <v>1088</v>
      </c>
      <c r="J216" t="s">
        <v>562</v>
      </c>
      <c r="K216" t="s">
        <v>563</v>
      </c>
      <c r="L216" t="s">
        <v>804</v>
      </c>
      <c r="M216" t="s">
        <v>512</v>
      </c>
      <c r="O216" t="s">
        <v>513</v>
      </c>
      <c r="P216" t="s">
        <v>517</v>
      </c>
      <c r="Q216" t="s">
        <v>1126</v>
      </c>
      <c r="R216" t="s">
        <v>1127</v>
      </c>
      <c r="S216" t="s">
        <v>4073</v>
      </c>
      <c r="T216" t="s">
        <v>633</v>
      </c>
      <c r="U216" t="s">
        <v>634</v>
      </c>
      <c r="V216" t="s">
        <v>2607</v>
      </c>
      <c r="W216" t="s">
        <v>2657</v>
      </c>
      <c r="X216" t="s">
        <v>2861</v>
      </c>
      <c r="Y216" t="s">
        <v>2862</v>
      </c>
      <c r="Z216" t="s">
        <v>541</v>
      </c>
      <c r="AA216" t="s">
        <v>4038</v>
      </c>
      <c r="AB216" t="s">
        <v>4823</v>
      </c>
      <c r="AC216">
        <v>9</v>
      </c>
      <c r="AD216" t="s">
        <v>2859</v>
      </c>
      <c r="AE216">
        <v>3</v>
      </c>
      <c r="AF216">
        <v>4126</v>
      </c>
      <c r="AG216" t="s">
        <v>4316</v>
      </c>
      <c r="AH216">
        <v>1</v>
      </c>
      <c r="AI216" t="s">
        <v>4041</v>
      </c>
      <c r="AK216" t="s">
        <v>4317</v>
      </c>
      <c r="AL216">
        <v>1</v>
      </c>
      <c r="AM216" t="s">
        <v>582</v>
      </c>
      <c r="AO216" t="s">
        <v>4043</v>
      </c>
      <c r="AP216">
        <v>1</v>
      </c>
      <c r="AR216" t="s">
        <v>4824</v>
      </c>
      <c r="AS216">
        <v>1</v>
      </c>
      <c r="AT216">
        <v>52</v>
      </c>
      <c r="AV216" t="s">
        <v>4078</v>
      </c>
      <c r="AW216">
        <v>6.4</v>
      </c>
      <c r="AX216">
        <v>-6</v>
      </c>
      <c r="AY216">
        <v>100</v>
      </c>
      <c r="AZ216">
        <v>76</v>
      </c>
      <c r="BH216">
        <v>100</v>
      </c>
      <c r="BI216">
        <v>24</v>
      </c>
      <c r="BJ216">
        <v>76</v>
      </c>
      <c r="BK216">
        <v>2.5</v>
      </c>
      <c r="BL216">
        <v>200</v>
      </c>
      <c r="BM216">
        <v>-6</v>
      </c>
      <c r="BN216">
        <v>0</v>
      </c>
      <c r="BO216">
        <v>0</v>
      </c>
      <c r="BP216">
        <v>0</v>
      </c>
      <c r="BR216">
        <v>195</v>
      </c>
      <c r="BS216">
        <v>185</v>
      </c>
      <c r="BT216">
        <v>1905</v>
      </c>
      <c r="BU216" t="s">
        <v>4047</v>
      </c>
      <c r="BV216" t="s">
        <v>4047</v>
      </c>
      <c r="BW216" t="s">
        <v>4049</v>
      </c>
      <c r="BX216" t="s">
        <v>4049</v>
      </c>
      <c r="BY216" t="s">
        <v>4107</v>
      </c>
      <c r="BZ216" t="s">
        <v>4150</v>
      </c>
      <c r="CA216" t="s">
        <v>4108</v>
      </c>
      <c r="CB216" t="s">
        <v>4109</v>
      </c>
      <c r="CC216" t="s">
        <v>4053</v>
      </c>
      <c r="CD216" t="s">
        <v>4110</v>
      </c>
      <c r="CE216" t="s">
        <v>4055</v>
      </c>
      <c r="CF216" t="s">
        <v>4055</v>
      </c>
      <c r="CG216" t="s">
        <v>4056</v>
      </c>
      <c r="CH216" t="s">
        <v>4057</v>
      </c>
      <c r="CI216" t="s">
        <v>4058</v>
      </c>
      <c r="CJ216" t="s">
        <v>4059</v>
      </c>
      <c r="CK216" t="s">
        <v>4060</v>
      </c>
      <c r="CL216" t="s">
        <v>4061</v>
      </c>
      <c r="CM216" t="s">
        <v>4055</v>
      </c>
      <c r="CN216" t="s">
        <v>4062</v>
      </c>
      <c r="CO216" t="s">
        <v>4063</v>
      </c>
      <c r="CP216" t="s">
        <v>4055</v>
      </c>
      <c r="CQ216" t="s">
        <v>4055</v>
      </c>
      <c r="CR216">
        <v>5</v>
      </c>
      <c r="CS216" t="s">
        <v>4055</v>
      </c>
      <c r="CT216" t="s">
        <v>4055</v>
      </c>
      <c r="CU216" t="s">
        <v>4055</v>
      </c>
      <c r="CV216">
        <v>122</v>
      </c>
      <c r="CW216">
        <v>3</v>
      </c>
      <c r="CX216">
        <v>86</v>
      </c>
      <c r="CY216">
        <v>5</v>
      </c>
      <c r="CZ216">
        <v>138</v>
      </c>
      <c r="DA216">
        <v>5</v>
      </c>
      <c r="DB216">
        <v>10520</v>
      </c>
      <c r="DC216">
        <v>310</v>
      </c>
      <c r="DD216">
        <v>310</v>
      </c>
      <c r="DE216">
        <v>2013</v>
      </c>
      <c r="DF216">
        <v>2013</v>
      </c>
      <c r="DG216">
        <v>2038</v>
      </c>
      <c r="DH216" t="s">
        <v>4055</v>
      </c>
      <c r="DI216" t="s">
        <v>4055</v>
      </c>
      <c r="DJ216" t="s">
        <v>4132</v>
      </c>
      <c r="DK216">
        <v>195</v>
      </c>
      <c r="DL216" t="s">
        <v>4065</v>
      </c>
      <c r="DM216">
        <v>63</v>
      </c>
      <c r="DN216">
        <v>1.1</v>
      </c>
      <c r="DO216">
        <v>1</v>
      </c>
      <c r="DP216">
        <v>1908</v>
      </c>
      <c r="DQ216">
        <v>805</v>
      </c>
      <c r="DR216" t="s">
        <v>4132</v>
      </c>
      <c r="DS216">
        <v>185</v>
      </c>
      <c r="DT216" t="s">
        <v>4065</v>
      </c>
      <c r="DU216">
        <v>63</v>
      </c>
      <c r="DV216">
        <v>1.1</v>
      </c>
      <c r="DW216">
        <v>1</v>
      </c>
      <c r="DX216">
        <v>1920</v>
      </c>
      <c r="DY216">
        <v>768</v>
      </c>
      <c r="DZ216" t="s">
        <v>4066</v>
      </c>
      <c r="EA216">
        <v>20</v>
      </c>
      <c r="EB216" t="s">
        <v>4065</v>
      </c>
      <c r="EC216">
        <v>0.8</v>
      </c>
      <c r="ED216">
        <v>1908</v>
      </c>
      <c r="EE216">
        <v>67</v>
      </c>
      <c r="EG216">
        <v>0</v>
      </c>
      <c r="EH216" t="s">
        <v>4065</v>
      </c>
      <c r="EI216">
        <v>0</v>
      </c>
      <c r="EL216" t="s">
        <v>1528</v>
      </c>
      <c r="EM216">
        <v>12</v>
      </c>
      <c r="EN216">
        <v>0.5</v>
      </c>
      <c r="EO216">
        <v>0.96</v>
      </c>
      <c r="EP216">
        <v>1918.83</v>
      </c>
      <c r="EQ216">
        <v>31780.62</v>
      </c>
      <c r="ER216">
        <v>7218.23</v>
      </c>
      <c r="ES216">
        <v>0</v>
      </c>
      <c r="ET216">
        <v>0</v>
      </c>
      <c r="EU216">
        <v>1</v>
      </c>
      <c r="EV216">
        <v>38999</v>
      </c>
      <c r="EW216">
        <v>468</v>
      </c>
      <c r="EX216" t="s">
        <v>4755</v>
      </c>
      <c r="EY216">
        <v>212</v>
      </c>
      <c r="EZ216" t="s">
        <v>4055</v>
      </c>
      <c r="FA216">
        <v>4.2</v>
      </c>
      <c r="FB216">
        <v>1</v>
      </c>
      <c r="FC216">
        <v>1</v>
      </c>
      <c r="FD216">
        <v>1951</v>
      </c>
      <c r="FE216">
        <v>1977</v>
      </c>
      <c r="FF216" t="s">
        <v>4756</v>
      </c>
      <c r="FG216">
        <v>212</v>
      </c>
      <c r="FH216" t="s">
        <v>4055</v>
      </c>
      <c r="FI216">
        <v>3.7</v>
      </c>
      <c r="FJ216">
        <v>1951</v>
      </c>
      <c r="FK216">
        <v>1949</v>
      </c>
      <c r="FL216" t="s">
        <v>4069</v>
      </c>
      <c r="FM216" t="s">
        <v>4055</v>
      </c>
      <c r="FN216" t="s">
        <v>4055</v>
      </c>
      <c r="FO216" t="s">
        <v>4055</v>
      </c>
      <c r="FP216">
        <v>1951</v>
      </c>
      <c r="FQ216">
        <v>145</v>
      </c>
      <c r="FR216" t="s">
        <v>4090</v>
      </c>
      <c r="FS216">
        <v>216</v>
      </c>
      <c r="FT216" t="s">
        <v>4055</v>
      </c>
      <c r="FU216">
        <v>0.4</v>
      </c>
      <c r="FV216">
        <v>1951</v>
      </c>
      <c r="FW216">
        <v>187</v>
      </c>
      <c r="FX216" t="s">
        <v>4070</v>
      </c>
      <c r="FY216">
        <v>5</v>
      </c>
      <c r="FZ216" t="s">
        <v>4055</v>
      </c>
      <c r="GA216" t="s">
        <v>4055</v>
      </c>
      <c r="GB216">
        <v>1951</v>
      </c>
      <c r="GC216">
        <v>19</v>
      </c>
      <c r="GD216">
        <v>4277</v>
      </c>
      <c r="GE216" t="s">
        <v>4824</v>
      </c>
      <c r="GF216" t="s">
        <v>4055</v>
      </c>
      <c r="GG216" t="s">
        <v>4055</v>
      </c>
      <c r="GH216" t="s">
        <v>4055</v>
      </c>
      <c r="GI216" t="s">
        <v>4071</v>
      </c>
      <c r="GJ216" t="s">
        <v>4055</v>
      </c>
      <c r="GK216" t="s">
        <v>4055</v>
      </c>
      <c r="GL216" t="s">
        <v>4055</v>
      </c>
      <c r="GM216" t="s">
        <v>4055</v>
      </c>
      <c r="GQ216">
        <v>0</v>
      </c>
      <c r="GV216">
        <v>8.300000000000001</v>
      </c>
      <c r="GW216">
        <v>11</v>
      </c>
      <c r="GX216">
        <v>0.5</v>
      </c>
      <c r="GY216">
        <v>184</v>
      </c>
      <c r="GZ216">
        <v>3</v>
      </c>
      <c r="HA216">
        <v>230</v>
      </c>
      <c r="HB216">
        <v>3</v>
      </c>
      <c r="HC216">
        <v>1951</v>
      </c>
      <c r="HD216">
        <v>4</v>
      </c>
      <c r="HE216" t="s">
        <v>4071</v>
      </c>
      <c r="HG216" t="s">
        <v>549</v>
      </c>
      <c r="HL216">
        <v>4</v>
      </c>
      <c r="HM216">
        <v>17</v>
      </c>
      <c r="HN216">
        <v>6</v>
      </c>
      <c r="HO216">
        <v>1</v>
      </c>
      <c r="HP216">
        <v>0</v>
      </c>
      <c r="HQ216">
        <v>0</v>
      </c>
      <c r="HR216">
        <v>2</v>
      </c>
      <c r="HS216">
        <v>1905</v>
      </c>
      <c r="HT216">
        <v>5</v>
      </c>
      <c r="HU216">
        <v>1</v>
      </c>
      <c r="HV216">
        <v>0</v>
      </c>
      <c r="HW216">
        <v>0</v>
      </c>
      <c r="HX216">
        <v>1</v>
      </c>
      <c r="HY216">
        <v>0</v>
      </c>
      <c r="HZ216">
        <v>63</v>
      </c>
      <c r="IA216">
        <v>1908</v>
      </c>
      <c r="IB216">
        <v>1920</v>
      </c>
      <c r="ID216">
        <v>1951</v>
      </c>
      <c r="IE216">
        <v>1951</v>
      </c>
      <c r="IF216">
        <v>195</v>
      </c>
      <c r="IG216">
        <v>185</v>
      </c>
      <c r="IH216">
        <v>230</v>
      </c>
      <c r="II216">
        <v>1</v>
      </c>
      <c r="IJ216">
        <v>5</v>
      </c>
      <c r="IK216">
        <v>0</v>
      </c>
      <c r="IL216">
        <v>0</v>
      </c>
      <c r="IM216">
        <v>0</v>
      </c>
      <c r="IN216">
        <v>270</v>
      </c>
      <c r="IO216">
        <v>0</v>
      </c>
      <c r="IP216">
        <v>180</v>
      </c>
      <c r="IQ216">
        <v>0</v>
      </c>
      <c r="IR216">
        <v>325</v>
      </c>
      <c r="IS216">
        <v>0</v>
      </c>
      <c r="IT216">
        <v>90</v>
      </c>
      <c r="IU216">
        <v>0</v>
      </c>
      <c r="IV216">
        <v>6.4</v>
      </c>
      <c r="IW216">
        <v>-6</v>
      </c>
      <c r="IX216">
        <v>100</v>
      </c>
      <c r="IY216">
        <v>76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360</v>
      </c>
      <c r="JJ216">
        <v>330</v>
      </c>
      <c r="JK216">
        <v>250</v>
      </c>
      <c r="JL216">
        <v>328</v>
      </c>
      <c r="JM216">
        <v>250</v>
      </c>
      <c r="JN216">
        <v>195</v>
      </c>
      <c r="JO216">
        <v>244</v>
      </c>
      <c r="JP216">
        <v>230</v>
      </c>
      <c r="JQ216">
        <v>260</v>
      </c>
      <c r="JR216">
        <v>322</v>
      </c>
      <c r="JS216">
        <v>260</v>
      </c>
      <c r="JT216">
        <v>0</v>
      </c>
      <c r="JU216">
        <v>0</v>
      </c>
      <c r="JV216">
        <v>310</v>
      </c>
      <c r="JW216">
        <v>312</v>
      </c>
      <c r="JX216">
        <v>317</v>
      </c>
      <c r="JY216">
        <v>310</v>
      </c>
      <c r="JZ216">
        <v>1</v>
      </c>
      <c r="KA216">
        <v>0.2</v>
      </c>
      <c r="KB216">
        <v>0.4</v>
      </c>
      <c r="KC216">
        <v>0.42</v>
      </c>
      <c r="KD216">
        <v>0.28</v>
      </c>
      <c r="KE216">
        <v>0.5</v>
      </c>
      <c r="KF216">
        <v>0.17</v>
      </c>
      <c r="KG216">
        <v>0.1</v>
      </c>
      <c r="KH216">
        <v>3.5</v>
      </c>
      <c r="KI216">
        <v>1</v>
      </c>
      <c r="KJ216">
        <v>5</v>
      </c>
      <c r="KK216">
        <v>1</v>
      </c>
      <c r="KL216">
        <v>5</v>
      </c>
      <c r="KM216">
        <v>1</v>
      </c>
      <c r="KN216">
        <v>1.6</v>
      </c>
      <c r="KO216">
        <v>0</v>
      </c>
      <c r="KP216">
        <v>0</v>
      </c>
      <c r="KQ216">
        <v>1.2</v>
      </c>
      <c r="KR216">
        <v>0.8</v>
      </c>
      <c r="KS216">
        <v>0.2</v>
      </c>
      <c r="KT216">
        <v>2</v>
      </c>
      <c r="KU216">
        <v>0</v>
      </c>
      <c r="KV216">
        <v>0</v>
      </c>
      <c r="KW216">
        <v>1.2</v>
      </c>
      <c r="KX216">
        <v>2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3</v>
      </c>
      <c r="LI216">
        <v>1</v>
      </c>
      <c r="LJ216">
        <v>0</v>
      </c>
      <c r="LK216">
        <v>3</v>
      </c>
      <c r="LL216">
        <v>6</v>
      </c>
      <c r="LM216">
        <v>5</v>
      </c>
      <c r="LN216">
        <v>0.5</v>
      </c>
      <c r="LO216">
        <v>0.3</v>
      </c>
      <c r="LP216">
        <v>0</v>
      </c>
      <c r="LQ216">
        <v>0</v>
      </c>
      <c r="LR216">
        <v>0</v>
      </c>
      <c r="LS216">
        <v>1</v>
      </c>
      <c r="LT216">
        <v>0</v>
      </c>
      <c r="LU216">
        <v>0</v>
      </c>
      <c r="LV216">
        <v>0</v>
      </c>
      <c r="LW216">
        <v>1.5</v>
      </c>
      <c r="LX216">
        <v>1.5</v>
      </c>
      <c r="LY216">
        <v>1.5</v>
      </c>
      <c r="LZ216">
        <v>1.5</v>
      </c>
      <c r="MA216">
        <v>0</v>
      </c>
      <c r="MB216">
        <v>3</v>
      </c>
      <c r="MC216">
        <v>0</v>
      </c>
      <c r="MD216">
        <v>4.5</v>
      </c>
      <c r="ME216">
        <v>6</v>
      </c>
      <c r="MF216">
        <v>6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390</v>
      </c>
      <c r="MN216">
        <v>200</v>
      </c>
      <c r="MO216">
        <v>252</v>
      </c>
      <c r="NU216">
        <v>0.15</v>
      </c>
      <c r="NV216">
        <v>0.3</v>
      </c>
      <c r="NW216">
        <v>0.3</v>
      </c>
      <c r="NX216">
        <v>2</v>
      </c>
      <c r="NY216">
        <v>2</v>
      </c>
      <c r="NZ216">
        <v>2</v>
      </c>
      <c r="OE216" t="s">
        <v>4824</v>
      </c>
      <c r="OF216" t="s">
        <v>4316</v>
      </c>
      <c r="OG216" t="s">
        <v>4317</v>
      </c>
      <c r="OH216" t="s">
        <v>4043</v>
      </c>
      <c r="OI216" t="s">
        <v>4824</v>
      </c>
      <c r="OJ216" t="s">
        <v>4823</v>
      </c>
      <c r="OK216">
        <v>61</v>
      </c>
      <c r="OL216">
        <v>61</v>
      </c>
      <c r="OM216" t="s">
        <v>4316</v>
      </c>
      <c r="ON216">
        <v>1</v>
      </c>
      <c r="OO216">
        <v>1908</v>
      </c>
      <c r="OP216">
        <v>61</v>
      </c>
      <c r="OQ216">
        <v>61</v>
      </c>
      <c r="OR216" t="s">
        <v>4317</v>
      </c>
      <c r="OS216">
        <v>1</v>
      </c>
      <c r="OT216">
        <v>1920</v>
      </c>
      <c r="OU216">
        <v>65</v>
      </c>
      <c r="OV216">
        <v>65</v>
      </c>
      <c r="OW216" t="s">
        <v>4043</v>
      </c>
      <c r="OX216">
        <v>2</v>
      </c>
      <c r="OY216">
        <v>38999</v>
      </c>
      <c r="OZ216">
        <v>51</v>
      </c>
      <c r="PA216">
        <v>52</v>
      </c>
      <c r="PB216" t="s">
        <v>4824</v>
      </c>
      <c r="PC216">
        <v>1</v>
      </c>
      <c r="PD216">
        <v>1951</v>
      </c>
      <c r="PF216">
        <v>422</v>
      </c>
      <c r="PG216">
        <v>35</v>
      </c>
      <c r="PH216">
        <v>400</v>
      </c>
      <c r="PI216">
        <v>0</v>
      </c>
      <c r="PJ216">
        <v>74.3</v>
      </c>
      <c r="PL216">
        <v>1013.4</v>
      </c>
      <c r="PM216">
        <v>999.1</v>
      </c>
      <c r="PN216">
        <v>96.09999999999999</v>
      </c>
      <c r="PO216">
        <v>9.6</v>
      </c>
      <c r="PP216">
        <v>12</v>
      </c>
      <c r="PQ216">
        <v>1</v>
      </c>
      <c r="PR216">
        <v>1</v>
      </c>
      <c r="PS216">
        <v>7</v>
      </c>
      <c r="PT216">
        <v>230</v>
      </c>
      <c r="PU216">
        <v>9</v>
      </c>
      <c r="PV216" t="s">
        <v>4072</v>
      </c>
      <c r="PW216" t="s">
        <v>4072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-1</v>
      </c>
      <c r="QF216">
        <v>1</v>
      </c>
      <c r="QG216">
        <v>0</v>
      </c>
      <c r="QH216">
        <v>5</v>
      </c>
      <c r="QI216">
        <v>5</v>
      </c>
      <c r="QJ216">
        <v>5</v>
      </c>
      <c r="QK216">
        <v>175</v>
      </c>
      <c r="QL216">
        <v>394</v>
      </c>
      <c r="QM216">
        <v>7.5</v>
      </c>
      <c r="QN216">
        <v>1381.4</v>
      </c>
      <c r="QO216" t="s">
        <v>2662</v>
      </c>
      <c r="QP216" t="s">
        <v>513</v>
      </c>
      <c r="QQ216">
        <v>0</v>
      </c>
      <c r="QR216" t="s">
        <v>540</v>
      </c>
      <c r="QS216">
        <v>30</v>
      </c>
      <c r="QT216">
        <v>40</v>
      </c>
    </row>
    <row r="217" spans="1:462">
      <c r="A217" t="s">
        <v>2866</v>
      </c>
      <c r="B217" t="s">
        <v>804</v>
      </c>
      <c r="C217" t="s">
        <v>509</v>
      </c>
      <c r="D217" t="s">
        <v>1932</v>
      </c>
      <c r="E217" t="s">
        <v>4036</v>
      </c>
      <c r="H217" t="s">
        <v>1135</v>
      </c>
      <c r="J217" t="s">
        <v>562</v>
      </c>
      <c r="K217" t="s">
        <v>563</v>
      </c>
      <c r="L217" t="s">
        <v>508</v>
      </c>
      <c r="M217" t="s">
        <v>512</v>
      </c>
      <c r="N217" t="s">
        <v>515</v>
      </c>
      <c r="O217" t="s">
        <v>513</v>
      </c>
      <c r="P217" t="s">
        <v>517</v>
      </c>
      <c r="Q217" t="s">
        <v>1187</v>
      </c>
      <c r="R217" t="s">
        <v>1103</v>
      </c>
      <c r="S217" t="s">
        <v>4091</v>
      </c>
      <c r="T217" t="s">
        <v>662</v>
      </c>
      <c r="U217" t="s">
        <v>663</v>
      </c>
      <c r="V217" t="s">
        <v>2809</v>
      </c>
      <c r="W217" t="s">
        <v>2657</v>
      </c>
      <c r="X217" t="s">
        <v>2867</v>
      </c>
      <c r="Y217" t="s">
        <v>2868</v>
      </c>
      <c r="Z217" t="s">
        <v>541</v>
      </c>
      <c r="AA217" t="s">
        <v>4038</v>
      </c>
      <c r="AB217" t="s">
        <v>4825</v>
      </c>
      <c r="AC217">
        <v>9</v>
      </c>
      <c r="AD217" t="s">
        <v>2865</v>
      </c>
      <c r="AE217">
        <v>2</v>
      </c>
      <c r="AF217">
        <v>6175</v>
      </c>
      <c r="AG217" t="s">
        <v>4826</v>
      </c>
      <c r="AH217">
        <v>1</v>
      </c>
      <c r="AI217" t="s">
        <v>4041</v>
      </c>
      <c r="AK217" t="s">
        <v>4827</v>
      </c>
      <c r="AL217">
        <v>1</v>
      </c>
      <c r="AM217" t="s">
        <v>582</v>
      </c>
      <c r="AO217" t="s">
        <v>4043</v>
      </c>
      <c r="AP217">
        <v>1</v>
      </c>
      <c r="AR217" t="s">
        <v>4828</v>
      </c>
      <c r="AS217">
        <v>1</v>
      </c>
      <c r="AT217">
        <v>52</v>
      </c>
      <c r="AV217" t="s">
        <v>4045</v>
      </c>
      <c r="AW217">
        <v>6.4</v>
      </c>
      <c r="AX217">
        <v>-6</v>
      </c>
      <c r="AY217">
        <v>100</v>
      </c>
      <c r="AZ217">
        <v>82</v>
      </c>
      <c r="BH217">
        <v>100</v>
      </c>
      <c r="BI217">
        <v>18</v>
      </c>
      <c r="BJ217">
        <v>82</v>
      </c>
      <c r="BK217">
        <v>2.5</v>
      </c>
      <c r="BL217">
        <v>200</v>
      </c>
      <c r="BM217">
        <v>-6</v>
      </c>
      <c r="BN217">
        <v>0</v>
      </c>
      <c r="BP217">
        <v>0</v>
      </c>
      <c r="BR217">
        <v>195</v>
      </c>
      <c r="BS217">
        <v>185</v>
      </c>
      <c r="BT217">
        <v>2230</v>
      </c>
      <c r="BU217" t="s">
        <v>4127</v>
      </c>
      <c r="BV217" t="s">
        <v>4079</v>
      </c>
      <c r="BW217" t="s">
        <v>4128</v>
      </c>
      <c r="BX217" t="s">
        <v>4081</v>
      </c>
      <c r="BY217" t="s">
        <v>4215</v>
      </c>
      <c r="BZ217" t="s">
        <v>4214</v>
      </c>
      <c r="CA217" t="s">
        <v>4118</v>
      </c>
      <c r="CB217" t="s">
        <v>4119</v>
      </c>
      <c r="CC217" t="s">
        <v>4053</v>
      </c>
      <c r="CD217" t="s">
        <v>4121</v>
      </c>
      <c r="CE217" t="s">
        <v>4055</v>
      </c>
      <c r="CF217" t="s">
        <v>4055</v>
      </c>
      <c r="CG217" t="s">
        <v>4056</v>
      </c>
      <c r="CI217" t="s">
        <v>4058</v>
      </c>
      <c r="CJ217" t="s">
        <v>4059</v>
      </c>
      <c r="CK217" t="s">
        <v>4060</v>
      </c>
      <c r="CL217" t="s">
        <v>4061</v>
      </c>
      <c r="CM217" t="s">
        <v>4062</v>
      </c>
      <c r="CN217" t="s">
        <v>4055</v>
      </c>
      <c r="CO217" t="s">
        <v>4063</v>
      </c>
      <c r="CP217" t="s">
        <v>4055</v>
      </c>
      <c r="CQ217" t="s">
        <v>4055</v>
      </c>
      <c r="CR217">
        <v>5</v>
      </c>
      <c r="CS217" t="s">
        <v>4055</v>
      </c>
      <c r="CT217" t="s">
        <v>4055</v>
      </c>
      <c r="CU217" t="s">
        <v>4055</v>
      </c>
      <c r="CV217">
        <v>135</v>
      </c>
      <c r="CW217">
        <v>3</v>
      </c>
      <c r="CX217">
        <v>88</v>
      </c>
      <c r="CY217">
        <v>5</v>
      </c>
      <c r="CZ217">
        <v>161</v>
      </c>
      <c r="DA217">
        <v>5</v>
      </c>
      <c r="DB217">
        <v>14330</v>
      </c>
      <c r="DC217">
        <v>420</v>
      </c>
      <c r="DD217">
        <v>370</v>
      </c>
      <c r="DE217">
        <v>2363</v>
      </c>
      <c r="DF217">
        <v>2363</v>
      </c>
      <c r="DG217">
        <v>2374</v>
      </c>
      <c r="DH217" t="s">
        <v>4055</v>
      </c>
      <c r="DI217" t="s">
        <v>4055</v>
      </c>
      <c r="DJ217" t="s">
        <v>4087</v>
      </c>
      <c r="DK217">
        <v>195</v>
      </c>
      <c r="DL217" t="s">
        <v>4065</v>
      </c>
      <c r="DM217">
        <v>63</v>
      </c>
      <c r="DN217">
        <v>1.36</v>
      </c>
      <c r="DO217">
        <v>1</v>
      </c>
      <c r="DP217">
        <v>2234</v>
      </c>
      <c r="DQ217">
        <v>1097</v>
      </c>
      <c r="DR217" t="s">
        <v>4087</v>
      </c>
      <c r="DS217">
        <v>185</v>
      </c>
      <c r="DT217" t="s">
        <v>4065</v>
      </c>
      <c r="DU217">
        <v>63</v>
      </c>
      <c r="DV217">
        <v>1.36</v>
      </c>
      <c r="DW217">
        <v>1</v>
      </c>
      <c r="DX217">
        <v>2248</v>
      </c>
      <c r="DY217">
        <v>1048</v>
      </c>
      <c r="DZ217" t="s">
        <v>4066</v>
      </c>
      <c r="EA217">
        <v>20</v>
      </c>
      <c r="EB217" t="s">
        <v>4065</v>
      </c>
      <c r="EC217">
        <v>0.8</v>
      </c>
      <c r="ED217">
        <v>2234</v>
      </c>
      <c r="EE217">
        <v>78</v>
      </c>
      <c r="EG217">
        <v>0</v>
      </c>
      <c r="EH217" t="s">
        <v>4065</v>
      </c>
      <c r="EI217">
        <v>0</v>
      </c>
      <c r="EL217" t="s">
        <v>1528</v>
      </c>
      <c r="EM217">
        <v>12</v>
      </c>
      <c r="EN217">
        <v>0.5</v>
      </c>
      <c r="EO217">
        <v>0.96</v>
      </c>
      <c r="EP217">
        <v>2247.1</v>
      </c>
      <c r="EQ217">
        <v>37217.59</v>
      </c>
      <c r="ER217">
        <v>6336.93</v>
      </c>
      <c r="ES217">
        <v>0</v>
      </c>
      <c r="ET217">
        <v>0</v>
      </c>
      <c r="EU217">
        <v>1</v>
      </c>
      <c r="EV217">
        <v>43555</v>
      </c>
      <c r="EW217">
        <v>523</v>
      </c>
      <c r="EX217" t="s">
        <v>4755</v>
      </c>
      <c r="EY217">
        <v>236</v>
      </c>
      <c r="EZ217" t="s">
        <v>4055</v>
      </c>
      <c r="FA217">
        <v>3.7</v>
      </c>
      <c r="FB217">
        <v>1</v>
      </c>
      <c r="FC217">
        <v>1</v>
      </c>
      <c r="FD217">
        <v>2280</v>
      </c>
      <c r="FE217">
        <v>2090</v>
      </c>
      <c r="FF217" t="s">
        <v>4756</v>
      </c>
      <c r="FG217">
        <v>236</v>
      </c>
      <c r="FH217" t="s">
        <v>4055</v>
      </c>
      <c r="FI217">
        <v>4.2</v>
      </c>
      <c r="FJ217">
        <v>2280</v>
      </c>
      <c r="FK217">
        <v>2841</v>
      </c>
      <c r="FL217" t="s">
        <v>4069</v>
      </c>
      <c r="FM217" t="s">
        <v>4055</v>
      </c>
      <c r="FN217" t="s">
        <v>4055</v>
      </c>
      <c r="FO217" t="s">
        <v>4055</v>
      </c>
      <c r="FP217">
        <v>2280</v>
      </c>
      <c r="FQ217">
        <v>209</v>
      </c>
      <c r="FR217" t="s">
        <v>4090</v>
      </c>
      <c r="FS217">
        <v>240</v>
      </c>
      <c r="FT217" t="s">
        <v>4055</v>
      </c>
      <c r="FU217">
        <v>0.4</v>
      </c>
      <c r="FV217">
        <v>2280</v>
      </c>
      <c r="FW217">
        <v>244</v>
      </c>
      <c r="FX217" t="s">
        <v>4070</v>
      </c>
      <c r="FY217">
        <v>5</v>
      </c>
      <c r="FZ217" t="s">
        <v>4055</v>
      </c>
      <c r="GA217" t="s">
        <v>4055</v>
      </c>
      <c r="GB217">
        <v>2280</v>
      </c>
      <c r="GC217">
        <v>22</v>
      </c>
      <c r="GD217">
        <v>5406</v>
      </c>
      <c r="GE217" t="s">
        <v>4828</v>
      </c>
      <c r="GF217" t="s">
        <v>4055</v>
      </c>
      <c r="GG217" t="s">
        <v>4055</v>
      </c>
      <c r="GH217" t="s">
        <v>4055</v>
      </c>
      <c r="GI217" t="s">
        <v>4071</v>
      </c>
      <c r="GJ217" t="s">
        <v>4055</v>
      </c>
      <c r="GK217" t="s">
        <v>4055</v>
      </c>
      <c r="GL217" t="s">
        <v>4055</v>
      </c>
      <c r="GM217" t="s">
        <v>4055</v>
      </c>
      <c r="GQ217">
        <v>0</v>
      </c>
      <c r="GV217">
        <v>8.300000000000001</v>
      </c>
      <c r="GW217">
        <v>11</v>
      </c>
      <c r="GX217">
        <v>0.5</v>
      </c>
      <c r="GY217">
        <v>188</v>
      </c>
      <c r="GZ217">
        <v>3</v>
      </c>
      <c r="HA217">
        <v>256</v>
      </c>
      <c r="HB217">
        <v>3</v>
      </c>
      <c r="HC217">
        <v>2280</v>
      </c>
      <c r="HD217">
        <v>4</v>
      </c>
      <c r="HE217" t="s">
        <v>4071</v>
      </c>
      <c r="HG217" t="s">
        <v>549</v>
      </c>
      <c r="HL217">
        <v>4</v>
      </c>
      <c r="HM217">
        <v>18</v>
      </c>
      <c r="HN217">
        <v>6</v>
      </c>
      <c r="HO217">
        <v>1</v>
      </c>
      <c r="HP217">
        <v>0</v>
      </c>
      <c r="HQ217">
        <v>0</v>
      </c>
      <c r="HR217">
        <v>3</v>
      </c>
      <c r="HS217">
        <v>2230</v>
      </c>
      <c r="HT217">
        <v>5</v>
      </c>
      <c r="HU217">
        <v>1</v>
      </c>
      <c r="HV217">
        <v>5</v>
      </c>
      <c r="HW217">
        <v>0</v>
      </c>
      <c r="HX217">
        <v>1</v>
      </c>
      <c r="HY217">
        <v>0</v>
      </c>
      <c r="HZ217">
        <v>63</v>
      </c>
      <c r="IA217">
        <v>2234</v>
      </c>
      <c r="IB217">
        <v>2248</v>
      </c>
      <c r="ID217">
        <v>2280</v>
      </c>
      <c r="IE217">
        <v>2280</v>
      </c>
      <c r="IF217">
        <v>195</v>
      </c>
      <c r="IG217">
        <v>185</v>
      </c>
      <c r="IH217">
        <v>256</v>
      </c>
      <c r="II217">
        <v>1</v>
      </c>
      <c r="IJ217">
        <v>5</v>
      </c>
      <c r="IK217">
        <v>0</v>
      </c>
      <c r="IL217">
        <v>0</v>
      </c>
      <c r="IM217">
        <v>0</v>
      </c>
      <c r="IN217">
        <v>270</v>
      </c>
      <c r="IO217">
        <v>0</v>
      </c>
      <c r="IP217">
        <v>180</v>
      </c>
      <c r="IQ217">
        <v>0</v>
      </c>
      <c r="IR217">
        <v>330</v>
      </c>
      <c r="IS217">
        <v>0</v>
      </c>
      <c r="IT217">
        <v>90</v>
      </c>
      <c r="IU217">
        <v>0</v>
      </c>
      <c r="IV217">
        <v>6.4</v>
      </c>
      <c r="IW217">
        <v>-6</v>
      </c>
      <c r="IX217">
        <v>100</v>
      </c>
      <c r="IY217">
        <v>82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436</v>
      </c>
      <c r="JJ217">
        <v>406</v>
      </c>
      <c r="JK217">
        <v>300</v>
      </c>
      <c r="JL217">
        <v>404</v>
      </c>
      <c r="JM217">
        <v>320</v>
      </c>
      <c r="JN217">
        <v>195</v>
      </c>
      <c r="JO217">
        <v>266</v>
      </c>
      <c r="JP217">
        <v>215</v>
      </c>
      <c r="JQ217">
        <v>250</v>
      </c>
      <c r="JR217">
        <v>340</v>
      </c>
      <c r="JS217">
        <v>230</v>
      </c>
      <c r="JT217">
        <v>0</v>
      </c>
      <c r="JU217">
        <v>0</v>
      </c>
      <c r="JV217">
        <v>335</v>
      </c>
      <c r="JW217">
        <v>337</v>
      </c>
      <c r="JX217">
        <v>0</v>
      </c>
      <c r="JY217">
        <v>0</v>
      </c>
      <c r="JZ217">
        <v>0</v>
      </c>
      <c r="KA217">
        <v>0.2</v>
      </c>
      <c r="KB217">
        <v>0.4</v>
      </c>
      <c r="KC217">
        <v>0.42</v>
      </c>
      <c r="KD217">
        <v>0.28</v>
      </c>
      <c r="KE217">
        <v>0.5</v>
      </c>
      <c r="KF217">
        <v>0.21</v>
      </c>
      <c r="KG217">
        <v>0.11</v>
      </c>
      <c r="KH217">
        <v>3.5</v>
      </c>
      <c r="KI217">
        <v>1</v>
      </c>
      <c r="KJ217">
        <v>4.5</v>
      </c>
      <c r="KK217">
        <v>0</v>
      </c>
      <c r="KL217">
        <v>4.5</v>
      </c>
      <c r="KM217">
        <v>0</v>
      </c>
      <c r="KN217">
        <v>2.4</v>
      </c>
      <c r="KO217">
        <v>0</v>
      </c>
      <c r="KP217">
        <v>0</v>
      </c>
      <c r="KQ217">
        <v>0.8</v>
      </c>
      <c r="KR217">
        <v>0.8</v>
      </c>
      <c r="KS217">
        <v>0</v>
      </c>
      <c r="KT217">
        <v>3.5</v>
      </c>
      <c r="KU217">
        <v>0</v>
      </c>
      <c r="KV217">
        <v>0</v>
      </c>
      <c r="KW217">
        <v>1</v>
      </c>
      <c r="KX217">
        <v>2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3</v>
      </c>
      <c r="LI217">
        <v>0</v>
      </c>
      <c r="LJ217">
        <v>0</v>
      </c>
      <c r="LK217">
        <v>8</v>
      </c>
      <c r="LL217">
        <v>15</v>
      </c>
      <c r="LM217">
        <v>11</v>
      </c>
      <c r="LN217">
        <v>0.1</v>
      </c>
      <c r="LO217">
        <v>1</v>
      </c>
      <c r="LP217">
        <v>0</v>
      </c>
      <c r="LQ217">
        <v>0</v>
      </c>
      <c r="LR217">
        <v>0</v>
      </c>
      <c r="LS217">
        <v>1</v>
      </c>
      <c r="LT217">
        <v>0</v>
      </c>
      <c r="LU217">
        <v>0</v>
      </c>
      <c r="LV217">
        <v>0</v>
      </c>
      <c r="LW217">
        <v>2.6</v>
      </c>
      <c r="LX217">
        <v>2.6</v>
      </c>
      <c r="LY217">
        <v>2.1</v>
      </c>
      <c r="LZ217">
        <v>2.1</v>
      </c>
      <c r="MA217">
        <v>0</v>
      </c>
      <c r="MB217">
        <v>12</v>
      </c>
      <c r="MC217">
        <v>0</v>
      </c>
      <c r="MD217">
        <v>4.5</v>
      </c>
      <c r="ME217">
        <v>6</v>
      </c>
      <c r="MF217">
        <v>6</v>
      </c>
      <c r="MI217">
        <v>0</v>
      </c>
      <c r="MJ217">
        <v>0</v>
      </c>
      <c r="ML217">
        <v>0</v>
      </c>
      <c r="MM217">
        <v>516</v>
      </c>
      <c r="MN217">
        <v>190</v>
      </c>
      <c r="MO217">
        <v>266</v>
      </c>
      <c r="NU217">
        <v>0.15</v>
      </c>
      <c r="NV217">
        <v>0.2</v>
      </c>
      <c r="NW217">
        <v>0.2</v>
      </c>
      <c r="NX217">
        <v>0.2</v>
      </c>
      <c r="NY217">
        <v>0.2</v>
      </c>
      <c r="NZ217">
        <v>0.2</v>
      </c>
      <c r="OE217" t="s">
        <v>4828</v>
      </c>
      <c r="OF217" t="s">
        <v>4826</v>
      </c>
      <c r="OG217" t="s">
        <v>4827</v>
      </c>
      <c r="OH217" t="s">
        <v>4043</v>
      </c>
      <c r="OI217" t="s">
        <v>4828</v>
      </c>
      <c r="OJ217" t="s">
        <v>4825</v>
      </c>
      <c r="OK217">
        <v>61</v>
      </c>
      <c r="OL217">
        <v>61</v>
      </c>
      <c r="OM217" t="s">
        <v>4826</v>
      </c>
      <c r="ON217">
        <v>2</v>
      </c>
      <c r="OO217">
        <v>2234</v>
      </c>
      <c r="OP217">
        <v>61</v>
      </c>
      <c r="OQ217">
        <v>61</v>
      </c>
      <c r="OR217" t="s">
        <v>4827</v>
      </c>
      <c r="OS217">
        <v>2</v>
      </c>
      <c r="OT217">
        <v>2248</v>
      </c>
      <c r="OU217">
        <v>65</v>
      </c>
      <c r="OV217">
        <v>65</v>
      </c>
      <c r="OW217" t="s">
        <v>4043</v>
      </c>
      <c r="OX217">
        <v>1</v>
      </c>
      <c r="OY217">
        <v>43555</v>
      </c>
      <c r="OZ217">
        <v>51</v>
      </c>
      <c r="PA217">
        <v>52</v>
      </c>
      <c r="PB217" t="s">
        <v>4828</v>
      </c>
      <c r="PC217">
        <v>2</v>
      </c>
      <c r="PD217">
        <v>2280</v>
      </c>
      <c r="PF217">
        <v>491</v>
      </c>
      <c r="PG217">
        <v>35</v>
      </c>
      <c r="PH217">
        <v>466</v>
      </c>
      <c r="PI217">
        <v>0</v>
      </c>
      <c r="PJ217">
        <v>91.59999999999999</v>
      </c>
      <c r="PK217">
        <v>2380</v>
      </c>
      <c r="PL217">
        <v>916.7</v>
      </c>
      <c r="PM217">
        <v>1246.2</v>
      </c>
      <c r="PN217">
        <v>106.8</v>
      </c>
      <c r="PO217">
        <v>9.6</v>
      </c>
      <c r="PP217">
        <v>12</v>
      </c>
      <c r="PQ217">
        <v>4</v>
      </c>
      <c r="PR217">
        <v>4</v>
      </c>
      <c r="PS217">
        <v>0</v>
      </c>
      <c r="PT217">
        <v>256</v>
      </c>
      <c r="PU217">
        <v>10</v>
      </c>
      <c r="PV217" t="s">
        <v>4072</v>
      </c>
      <c r="PW217" t="s">
        <v>4072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-1</v>
      </c>
      <c r="QF217">
        <v>1</v>
      </c>
      <c r="QG217">
        <v>0</v>
      </c>
      <c r="QH217">
        <v>5</v>
      </c>
      <c r="QI217">
        <v>5</v>
      </c>
      <c r="QJ217">
        <v>5</v>
      </c>
      <c r="QK217">
        <v>213</v>
      </c>
      <c r="QL217">
        <v>470</v>
      </c>
      <c r="QM217">
        <v>7.5</v>
      </c>
      <c r="QN217">
        <v>1464.3</v>
      </c>
      <c r="QO217" t="s">
        <v>2662</v>
      </c>
      <c r="QP217" t="s">
        <v>513</v>
      </c>
      <c r="QQ217">
        <v>0</v>
      </c>
      <c r="QR217" t="s">
        <v>621</v>
      </c>
      <c r="QS217">
        <v>30</v>
      </c>
      <c r="QT217">
        <v>40</v>
      </c>
    </row>
    <row r="218" spans="1:462">
      <c r="A218" t="s">
        <v>2874</v>
      </c>
      <c r="B218" t="s">
        <v>711</v>
      </c>
      <c r="C218" t="s">
        <v>509</v>
      </c>
      <c r="D218" t="s">
        <v>803</v>
      </c>
      <c r="E218" t="s">
        <v>4036</v>
      </c>
      <c r="H218" t="s">
        <v>1294</v>
      </c>
      <c r="J218" t="s">
        <v>562</v>
      </c>
      <c r="K218" t="s">
        <v>563</v>
      </c>
      <c r="L218" t="s">
        <v>804</v>
      </c>
      <c r="M218" t="s">
        <v>512</v>
      </c>
      <c r="N218" t="s">
        <v>515</v>
      </c>
      <c r="O218" t="s">
        <v>513</v>
      </c>
      <c r="P218" t="s">
        <v>517</v>
      </c>
      <c r="Q218" t="s">
        <v>2875</v>
      </c>
      <c r="R218" t="s">
        <v>2876</v>
      </c>
      <c r="S218" t="s">
        <v>4254</v>
      </c>
      <c r="T218" t="s">
        <v>686</v>
      </c>
      <c r="U218" t="s">
        <v>687</v>
      </c>
      <c r="V218" t="s">
        <v>1309</v>
      </c>
      <c r="W218" t="s">
        <v>2657</v>
      </c>
      <c r="X218" t="s">
        <v>2877</v>
      </c>
      <c r="Y218" t="s">
        <v>2878</v>
      </c>
      <c r="Z218" t="s">
        <v>541</v>
      </c>
      <c r="AA218" t="s">
        <v>4038</v>
      </c>
      <c r="AB218" t="s">
        <v>4829</v>
      </c>
      <c r="AC218">
        <v>9</v>
      </c>
      <c r="AD218" t="s">
        <v>2872</v>
      </c>
      <c r="AE218">
        <v>3</v>
      </c>
      <c r="AF218">
        <v>5039</v>
      </c>
      <c r="AG218" t="s">
        <v>4830</v>
      </c>
      <c r="AH218">
        <v>1</v>
      </c>
      <c r="AI218" t="s">
        <v>4041</v>
      </c>
      <c r="AK218" t="s">
        <v>4831</v>
      </c>
      <c r="AL218">
        <v>1</v>
      </c>
      <c r="AM218" t="s">
        <v>582</v>
      </c>
      <c r="AO218" t="s">
        <v>4043</v>
      </c>
      <c r="AP218">
        <v>1</v>
      </c>
      <c r="AR218" t="s">
        <v>4832</v>
      </c>
      <c r="AS218">
        <v>1</v>
      </c>
      <c r="AT218">
        <v>52</v>
      </c>
      <c r="AV218" t="s">
        <v>4078</v>
      </c>
      <c r="AW218">
        <v>6.4</v>
      </c>
      <c r="AX218">
        <v>-6</v>
      </c>
      <c r="AY218">
        <v>122.5</v>
      </c>
      <c r="AZ218">
        <v>93</v>
      </c>
      <c r="BH218">
        <v>122.5</v>
      </c>
      <c r="BI218">
        <v>29.5</v>
      </c>
      <c r="BJ218">
        <v>93</v>
      </c>
      <c r="BK218">
        <v>2.5</v>
      </c>
      <c r="BL218">
        <v>245</v>
      </c>
      <c r="BM218">
        <v>-6</v>
      </c>
      <c r="BN218">
        <v>0</v>
      </c>
      <c r="BO218">
        <v>0</v>
      </c>
      <c r="BP218">
        <v>0</v>
      </c>
      <c r="BR218">
        <v>240</v>
      </c>
      <c r="BS218">
        <v>230</v>
      </c>
      <c r="BT218">
        <v>2040</v>
      </c>
      <c r="BU218" t="s">
        <v>4096</v>
      </c>
      <c r="BV218" t="s">
        <v>4096</v>
      </c>
      <c r="BW218" t="s">
        <v>4128</v>
      </c>
      <c r="BX218" t="s">
        <v>4097</v>
      </c>
      <c r="BY218" t="s">
        <v>4129</v>
      </c>
      <c r="BZ218" t="s">
        <v>4160</v>
      </c>
      <c r="CA218" t="s">
        <v>4130</v>
      </c>
      <c r="CB218" t="s">
        <v>4131</v>
      </c>
      <c r="CC218" t="s">
        <v>4053</v>
      </c>
      <c r="CD218" t="s">
        <v>4055</v>
      </c>
      <c r="CE218" t="s">
        <v>4055</v>
      </c>
      <c r="CF218" t="s">
        <v>4055</v>
      </c>
      <c r="CG218" t="s">
        <v>4056</v>
      </c>
      <c r="CI218" t="s">
        <v>4086</v>
      </c>
      <c r="CJ218" t="s">
        <v>4059</v>
      </c>
      <c r="CK218" t="s">
        <v>4060</v>
      </c>
      <c r="CL218" t="s">
        <v>4061</v>
      </c>
      <c r="CM218" t="s">
        <v>4055</v>
      </c>
      <c r="CN218" t="s">
        <v>4062</v>
      </c>
      <c r="CO218" t="s">
        <v>4063</v>
      </c>
      <c r="CP218" t="s">
        <v>4055</v>
      </c>
      <c r="CQ218" t="s">
        <v>4055</v>
      </c>
      <c r="CR218">
        <v>5</v>
      </c>
      <c r="CS218" t="s">
        <v>4055</v>
      </c>
      <c r="CT218" t="s">
        <v>4055</v>
      </c>
      <c r="CU218" t="s">
        <v>4055</v>
      </c>
      <c r="CV218">
        <v>145</v>
      </c>
      <c r="CW218">
        <v>3</v>
      </c>
      <c r="CX218">
        <v>107</v>
      </c>
      <c r="CY218">
        <v>5</v>
      </c>
      <c r="CZ218">
        <v>97</v>
      </c>
      <c r="DA218">
        <v>5</v>
      </c>
      <c r="DB218">
        <v>13680</v>
      </c>
      <c r="DC218">
        <v>410</v>
      </c>
      <c r="DD218">
        <v>360</v>
      </c>
      <c r="DE218">
        <v>2167</v>
      </c>
      <c r="DF218">
        <v>2167</v>
      </c>
      <c r="DG218">
        <v>2178</v>
      </c>
      <c r="DH218">
        <v>1</v>
      </c>
      <c r="DI218" t="s">
        <v>4055</v>
      </c>
      <c r="DJ218" t="s">
        <v>4132</v>
      </c>
      <c r="DK218">
        <v>240</v>
      </c>
      <c r="DL218" t="s">
        <v>4065</v>
      </c>
      <c r="DM218">
        <v>63</v>
      </c>
      <c r="DN218">
        <v>1.1</v>
      </c>
      <c r="DO218">
        <v>1</v>
      </c>
      <c r="DP218">
        <v>2043</v>
      </c>
      <c r="DQ218">
        <v>1060</v>
      </c>
      <c r="DR218" t="s">
        <v>4132</v>
      </c>
      <c r="DS218">
        <v>230</v>
      </c>
      <c r="DT218" t="s">
        <v>4065</v>
      </c>
      <c r="DU218">
        <v>63</v>
      </c>
      <c r="DV218">
        <v>1.1</v>
      </c>
      <c r="DW218">
        <v>1</v>
      </c>
      <c r="DX218">
        <v>2055</v>
      </c>
      <c r="DY218">
        <v>1021</v>
      </c>
      <c r="DZ218" t="s">
        <v>4066</v>
      </c>
      <c r="EA218">
        <v>20</v>
      </c>
      <c r="EB218" t="s">
        <v>4065</v>
      </c>
      <c r="EC218">
        <v>0.8</v>
      </c>
      <c r="ED218">
        <v>2043</v>
      </c>
      <c r="EE218">
        <v>72</v>
      </c>
      <c r="EG218">
        <v>0</v>
      </c>
      <c r="EH218" t="s">
        <v>4065</v>
      </c>
      <c r="EI218">
        <v>0</v>
      </c>
      <c r="EL218" t="s">
        <v>1528</v>
      </c>
      <c r="EM218">
        <v>12</v>
      </c>
      <c r="EN218">
        <v>0.5</v>
      </c>
      <c r="EO218">
        <v>0.96</v>
      </c>
      <c r="EP218">
        <v>2053.83</v>
      </c>
      <c r="EQ218">
        <v>41237.06</v>
      </c>
      <c r="ER218">
        <v>9494.68</v>
      </c>
      <c r="ES218">
        <v>0</v>
      </c>
      <c r="ET218">
        <v>0</v>
      </c>
      <c r="EU218">
        <v>1</v>
      </c>
      <c r="EV218">
        <v>50732</v>
      </c>
      <c r="EW218">
        <v>609</v>
      </c>
      <c r="EX218" t="s">
        <v>4755</v>
      </c>
      <c r="EY218">
        <v>258</v>
      </c>
      <c r="EZ218" t="s">
        <v>4055</v>
      </c>
      <c r="FA218">
        <v>4.6</v>
      </c>
      <c r="FB218">
        <v>1</v>
      </c>
      <c r="FC218">
        <v>1</v>
      </c>
      <c r="FD218">
        <v>2088</v>
      </c>
      <c r="FE218">
        <v>2857</v>
      </c>
      <c r="FF218" t="s">
        <v>4756</v>
      </c>
      <c r="FG218">
        <v>258</v>
      </c>
      <c r="FH218" t="s">
        <v>4055</v>
      </c>
      <c r="FI218">
        <v>3.7</v>
      </c>
      <c r="FJ218">
        <v>2088</v>
      </c>
      <c r="FK218">
        <v>2571</v>
      </c>
      <c r="FL218" t="s">
        <v>4069</v>
      </c>
      <c r="FM218" t="s">
        <v>4055</v>
      </c>
      <c r="FN218" t="s">
        <v>4055</v>
      </c>
      <c r="FO218" t="s">
        <v>4055</v>
      </c>
      <c r="FP218">
        <v>2088</v>
      </c>
      <c r="FQ218">
        <v>180</v>
      </c>
      <c r="FR218" t="s">
        <v>4090</v>
      </c>
      <c r="FS218">
        <v>262</v>
      </c>
      <c r="FT218" t="s">
        <v>4055</v>
      </c>
      <c r="FU218">
        <v>0.4</v>
      </c>
      <c r="FV218">
        <v>2088</v>
      </c>
      <c r="FW218">
        <v>243</v>
      </c>
      <c r="FX218" t="s">
        <v>4070</v>
      </c>
      <c r="FY218">
        <v>5</v>
      </c>
      <c r="FZ218" t="s">
        <v>4055</v>
      </c>
      <c r="GA218" t="s">
        <v>4055</v>
      </c>
      <c r="GB218">
        <v>2088</v>
      </c>
      <c r="GC218">
        <v>21</v>
      </c>
      <c r="GD218">
        <v>5872</v>
      </c>
      <c r="GE218" t="s">
        <v>4832</v>
      </c>
      <c r="GF218" t="s">
        <v>4055</v>
      </c>
      <c r="GG218" t="s">
        <v>4055</v>
      </c>
      <c r="GH218" t="s">
        <v>4055</v>
      </c>
      <c r="GI218" t="s">
        <v>4071</v>
      </c>
      <c r="GJ218" t="s">
        <v>4055</v>
      </c>
      <c r="GK218" t="s">
        <v>4055</v>
      </c>
      <c r="GL218" t="s">
        <v>4055</v>
      </c>
      <c r="GM218" t="s">
        <v>4055</v>
      </c>
      <c r="GQ218">
        <v>0</v>
      </c>
      <c r="GV218">
        <v>8.699999999999999</v>
      </c>
      <c r="GW218">
        <v>11.5</v>
      </c>
      <c r="GX218">
        <v>0.5</v>
      </c>
      <c r="GY218">
        <v>232</v>
      </c>
      <c r="GZ218">
        <v>3</v>
      </c>
      <c r="HA218">
        <v>278</v>
      </c>
      <c r="HB218">
        <v>3</v>
      </c>
      <c r="HC218">
        <v>2088</v>
      </c>
      <c r="HD218">
        <v>4</v>
      </c>
      <c r="HE218" t="s">
        <v>4071</v>
      </c>
      <c r="HG218" t="s">
        <v>549</v>
      </c>
      <c r="HL218">
        <v>4</v>
      </c>
      <c r="HM218">
        <v>19</v>
      </c>
      <c r="HN218">
        <v>6</v>
      </c>
      <c r="HO218">
        <v>1</v>
      </c>
      <c r="HP218">
        <v>0</v>
      </c>
      <c r="HQ218">
        <v>0</v>
      </c>
      <c r="HR218">
        <v>3</v>
      </c>
      <c r="HS218">
        <v>2040</v>
      </c>
      <c r="HT218">
        <v>5</v>
      </c>
      <c r="HU218">
        <v>1</v>
      </c>
      <c r="HV218">
        <v>5</v>
      </c>
      <c r="HW218">
        <v>0</v>
      </c>
      <c r="HX218">
        <v>1</v>
      </c>
      <c r="HY218">
        <v>0</v>
      </c>
      <c r="HZ218">
        <v>63</v>
      </c>
      <c r="IA218">
        <v>2043</v>
      </c>
      <c r="IB218">
        <v>2055</v>
      </c>
      <c r="ID218">
        <v>2088</v>
      </c>
      <c r="IE218">
        <v>2088</v>
      </c>
      <c r="IF218">
        <v>240</v>
      </c>
      <c r="IG218">
        <v>230</v>
      </c>
      <c r="IH218">
        <v>278</v>
      </c>
      <c r="II218">
        <v>1</v>
      </c>
      <c r="IJ218">
        <v>5</v>
      </c>
      <c r="IK218">
        <v>0</v>
      </c>
      <c r="IL218">
        <v>0</v>
      </c>
      <c r="IM218">
        <v>0</v>
      </c>
      <c r="IN218">
        <v>270</v>
      </c>
      <c r="IO218">
        <v>0</v>
      </c>
      <c r="IP218">
        <v>180</v>
      </c>
      <c r="IQ218">
        <v>0</v>
      </c>
      <c r="IR218">
        <v>330</v>
      </c>
      <c r="IS218">
        <v>0</v>
      </c>
      <c r="IT218">
        <v>90</v>
      </c>
      <c r="IU218">
        <v>0</v>
      </c>
      <c r="IV218">
        <v>6.4</v>
      </c>
      <c r="IW218">
        <v>-6</v>
      </c>
      <c r="IX218">
        <v>122.5</v>
      </c>
      <c r="IY218">
        <v>93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396</v>
      </c>
      <c r="JJ218">
        <v>366</v>
      </c>
      <c r="JK218">
        <v>270</v>
      </c>
      <c r="JL218">
        <v>364</v>
      </c>
      <c r="JM218">
        <v>285</v>
      </c>
      <c r="JN218">
        <v>240</v>
      </c>
      <c r="JO218">
        <v>288</v>
      </c>
      <c r="JP218">
        <v>190</v>
      </c>
      <c r="JQ218">
        <v>245</v>
      </c>
      <c r="JR218">
        <v>310</v>
      </c>
      <c r="JS218">
        <v>260</v>
      </c>
      <c r="JT218">
        <v>0</v>
      </c>
      <c r="JU218">
        <v>0</v>
      </c>
      <c r="JV218">
        <v>300</v>
      </c>
      <c r="JW218">
        <v>310</v>
      </c>
      <c r="JX218">
        <v>300</v>
      </c>
      <c r="JY218">
        <v>280</v>
      </c>
      <c r="JZ218">
        <v>1</v>
      </c>
      <c r="KA218">
        <v>0.2</v>
      </c>
      <c r="KB218">
        <v>0.4</v>
      </c>
      <c r="KC218">
        <v>0.42</v>
      </c>
      <c r="KD218">
        <v>0.3</v>
      </c>
      <c r="KE218">
        <v>0.5</v>
      </c>
      <c r="KF218">
        <v>0.2</v>
      </c>
      <c r="KG218">
        <v>0.11</v>
      </c>
      <c r="KH218">
        <v>4.5</v>
      </c>
      <c r="KI218">
        <v>1</v>
      </c>
      <c r="KJ218">
        <v>4.5</v>
      </c>
      <c r="KK218">
        <v>0</v>
      </c>
      <c r="KL218">
        <v>4.5</v>
      </c>
      <c r="KM218">
        <v>0</v>
      </c>
      <c r="KN218">
        <v>1.7</v>
      </c>
      <c r="KO218">
        <v>0</v>
      </c>
      <c r="KP218">
        <v>0</v>
      </c>
      <c r="KQ218">
        <v>0.5</v>
      </c>
      <c r="KR218">
        <v>1</v>
      </c>
      <c r="KS218">
        <v>0</v>
      </c>
      <c r="KT218">
        <v>2</v>
      </c>
      <c r="KU218">
        <v>0</v>
      </c>
      <c r="KV218">
        <v>0</v>
      </c>
      <c r="KW218">
        <v>1.2</v>
      </c>
      <c r="KX218">
        <v>1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3</v>
      </c>
      <c r="LI218">
        <v>1</v>
      </c>
      <c r="LJ218">
        <v>0</v>
      </c>
      <c r="LK218">
        <v>5.5</v>
      </c>
      <c r="LL218">
        <v>7</v>
      </c>
      <c r="LM218">
        <v>9</v>
      </c>
      <c r="LN218">
        <v>0.1</v>
      </c>
      <c r="LO218">
        <v>1</v>
      </c>
      <c r="LP218">
        <v>0</v>
      </c>
      <c r="LQ218">
        <v>0</v>
      </c>
      <c r="LR218">
        <v>0</v>
      </c>
      <c r="LS218">
        <v>1</v>
      </c>
      <c r="LT218">
        <v>0</v>
      </c>
      <c r="LU218">
        <v>0</v>
      </c>
      <c r="LV218">
        <v>0</v>
      </c>
      <c r="LW218">
        <v>2.4</v>
      </c>
      <c r="LX218">
        <v>2.4</v>
      </c>
      <c r="LY218">
        <v>2.8</v>
      </c>
      <c r="LZ218">
        <v>2.8</v>
      </c>
      <c r="MA218">
        <v>0</v>
      </c>
      <c r="MB218">
        <v>4</v>
      </c>
      <c r="MC218">
        <v>0</v>
      </c>
      <c r="MD218">
        <v>4.5</v>
      </c>
      <c r="ME218">
        <v>6</v>
      </c>
      <c r="MF218">
        <v>6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420</v>
      </c>
      <c r="MN218">
        <v>235</v>
      </c>
      <c r="MO218">
        <v>288</v>
      </c>
      <c r="NU218">
        <v>0.15</v>
      </c>
      <c r="NV218">
        <v>0.2</v>
      </c>
      <c r="NW218">
        <v>0.2</v>
      </c>
      <c r="NX218">
        <v>0.2</v>
      </c>
      <c r="NY218">
        <v>0.2</v>
      </c>
      <c r="NZ218">
        <v>0.2</v>
      </c>
      <c r="OE218" t="s">
        <v>4832</v>
      </c>
      <c r="OF218" t="s">
        <v>4830</v>
      </c>
      <c r="OG218" t="s">
        <v>4831</v>
      </c>
      <c r="OH218" t="s">
        <v>4043</v>
      </c>
      <c r="OI218" t="s">
        <v>4832</v>
      </c>
      <c r="OJ218" t="s">
        <v>4829</v>
      </c>
      <c r="OK218">
        <v>61</v>
      </c>
      <c r="OL218">
        <v>61</v>
      </c>
      <c r="OM218" t="s">
        <v>4830</v>
      </c>
      <c r="ON218">
        <v>1</v>
      </c>
      <c r="OO218">
        <v>2043</v>
      </c>
      <c r="OP218">
        <v>61</v>
      </c>
      <c r="OQ218">
        <v>61</v>
      </c>
      <c r="OR218" t="s">
        <v>4831</v>
      </c>
      <c r="OS218">
        <v>1</v>
      </c>
      <c r="OT218">
        <v>2055</v>
      </c>
      <c r="OU218">
        <v>65</v>
      </c>
      <c r="OV218">
        <v>65</v>
      </c>
      <c r="OW218" t="s">
        <v>4043</v>
      </c>
      <c r="OX218">
        <v>2</v>
      </c>
      <c r="OY218">
        <v>50732</v>
      </c>
      <c r="OZ218">
        <v>51</v>
      </c>
      <c r="PA218">
        <v>52</v>
      </c>
      <c r="PB218" t="s">
        <v>4832</v>
      </c>
      <c r="PC218">
        <v>1</v>
      </c>
      <c r="PD218">
        <v>2088</v>
      </c>
      <c r="PF218">
        <v>519</v>
      </c>
      <c r="PG218">
        <v>35</v>
      </c>
      <c r="PH218">
        <v>497</v>
      </c>
      <c r="PI218">
        <v>0</v>
      </c>
      <c r="PJ218">
        <v>86.3</v>
      </c>
      <c r="PK218">
        <v>2781</v>
      </c>
      <c r="PL218">
        <v>1368.1</v>
      </c>
      <c r="PM218">
        <v>1231.5</v>
      </c>
      <c r="PN218">
        <v>116.6</v>
      </c>
      <c r="PO218">
        <v>10.1</v>
      </c>
      <c r="PP218">
        <v>12</v>
      </c>
      <c r="PQ218">
        <v>3</v>
      </c>
      <c r="PR218">
        <v>3</v>
      </c>
      <c r="PS218">
        <v>0</v>
      </c>
      <c r="PT218">
        <v>278</v>
      </c>
      <c r="PU218">
        <v>10</v>
      </c>
      <c r="PV218" t="s">
        <v>4072</v>
      </c>
      <c r="PW218" t="s">
        <v>4072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-1</v>
      </c>
      <c r="QF218">
        <v>1</v>
      </c>
      <c r="QG218">
        <v>0</v>
      </c>
      <c r="QH218">
        <v>5</v>
      </c>
      <c r="QI218">
        <v>5</v>
      </c>
      <c r="QJ218">
        <v>5</v>
      </c>
      <c r="QK218">
        <v>214</v>
      </c>
      <c r="QL218">
        <v>426</v>
      </c>
      <c r="QM218">
        <v>7.5</v>
      </c>
      <c r="QN218">
        <v>1540.9</v>
      </c>
      <c r="QO218" t="s">
        <v>2662</v>
      </c>
      <c r="QP218" t="s">
        <v>513</v>
      </c>
      <c r="QQ218">
        <v>0</v>
      </c>
      <c r="QR218" t="s">
        <v>1343</v>
      </c>
      <c r="QS218">
        <v>40</v>
      </c>
      <c r="QT218">
        <v>50</v>
      </c>
    </row>
    <row r="219" spans="1:462">
      <c r="A219" t="s">
        <v>2882</v>
      </c>
      <c r="B219" t="s">
        <v>804</v>
      </c>
      <c r="C219" t="s">
        <v>509</v>
      </c>
      <c r="D219" t="s">
        <v>951</v>
      </c>
      <c r="E219" t="s">
        <v>4036</v>
      </c>
      <c r="H219" t="s">
        <v>1135</v>
      </c>
      <c r="J219" t="s">
        <v>562</v>
      </c>
      <c r="K219" t="s">
        <v>563</v>
      </c>
      <c r="L219" t="s">
        <v>508</v>
      </c>
      <c r="M219" t="s">
        <v>512</v>
      </c>
      <c r="N219" t="s">
        <v>515</v>
      </c>
      <c r="O219" t="s">
        <v>513</v>
      </c>
      <c r="P219" t="s">
        <v>517</v>
      </c>
      <c r="Q219" t="s">
        <v>2231</v>
      </c>
      <c r="R219" t="s">
        <v>1138</v>
      </c>
      <c r="S219" t="s">
        <v>4254</v>
      </c>
      <c r="T219" t="s">
        <v>570</v>
      </c>
      <c r="U219" t="s">
        <v>571</v>
      </c>
      <c r="V219" t="s">
        <v>2656</v>
      </c>
      <c r="W219" t="s">
        <v>2657</v>
      </c>
      <c r="X219" t="s">
        <v>2883</v>
      </c>
      <c r="Y219" t="s">
        <v>2884</v>
      </c>
      <c r="Z219" t="s">
        <v>650</v>
      </c>
      <c r="AA219" t="s">
        <v>4038</v>
      </c>
      <c r="AB219" t="s">
        <v>4833</v>
      </c>
      <c r="AC219">
        <v>9</v>
      </c>
      <c r="AD219" t="s">
        <v>2881</v>
      </c>
      <c r="AE219">
        <v>2</v>
      </c>
      <c r="AF219">
        <v>4634</v>
      </c>
      <c r="AG219" t="s">
        <v>4306</v>
      </c>
      <c r="AH219">
        <v>1</v>
      </c>
      <c r="AI219" t="s">
        <v>4041</v>
      </c>
      <c r="AK219" t="s">
        <v>4307</v>
      </c>
      <c r="AL219">
        <v>1</v>
      </c>
      <c r="AM219" t="s">
        <v>582</v>
      </c>
      <c r="AO219" t="s">
        <v>4043</v>
      </c>
      <c r="AP219">
        <v>1</v>
      </c>
      <c r="AR219" t="s">
        <v>4834</v>
      </c>
      <c r="AS219">
        <v>1</v>
      </c>
      <c r="AT219">
        <v>52</v>
      </c>
      <c r="AV219" t="s">
        <v>4078</v>
      </c>
      <c r="AW219">
        <v>6.4</v>
      </c>
      <c r="AX219">
        <v>-6</v>
      </c>
      <c r="AY219">
        <v>110</v>
      </c>
      <c r="AZ219">
        <v>80</v>
      </c>
      <c r="BH219">
        <v>110</v>
      </c>
      <c r="BI219">
        <v>30</v>
      </c>
      <c r="BJ219">
        <v>80</v>
      </c>
      <c r="BK219">
        <v>2.5</v>
      </c>
      <c r="BL219">
        <v>220</v>
      </c>
      <c r="BM219">
        <v>-6</v>
      </c>
      <c r="BN219">
        <v>0</v>
      </c>
      <c r="BP219">
        <v>0</v>
      </c>
      <c r="BR219">
        <v>215</v>
      </c>
      <c r="BS219">
        <v>205</v>
      </c>
      <c r="BT219">
        <v>2055</v>
      </c>
      <c r="BU219" t="s">
        <v>4096</v>
      </c>
      <c r="BV219" t="s">
        <v>4096</v>
      </c>
      <c r="BW219" t="s">
        <v>4097</v>
      </c>
      <c r="BX219" t="s">
        <v>4097</v>
      </c>
      <c r="BY219" t="s">
        <v>4618</v>
      </c>
      <c r="BZ219" t="s">
        <v>4139</v>
      </c>
      <c r="CA219" t="s">
        <v>4084</v>
      </c>
      <c r="CB219" t="s">
        <v>4085</v>
      </c>
      <c r="CC219" t="s">
        <v>4053</v>
      </c>
      <c r="CD219" t="s">
        <v>4055</v>
      </c>
      <c r="CE219" t="s">
        <v>4055</v>
      </c>
      <c r="CF219" t="s">
        <v>4055</v>
      </c>
      <c r="CG219" t="s">
        <v>4056</v>
      </c>
      <c r="CI219" t="s">
        <v>4086</v>
      </c>
      <c r="CJ219" t="s">
        <v>4059</v>
      </c>
      <c r="CK219" t="s">
        <v>4060</v>
      </c>
      <c r="CL219" t="s">
        <v>4061</v>
      </c>
      <c r="CM219" t="s">
        <v>4062</v>
      </c>
      <c r="CN219" t="s">
        <v>4055</v>
      </c>
      <c r="CO219" t="s">
        <v>4063</v>
      </c>
      <c r="CP219" t="s">
        <v>4055</v>
      </c>
      <c r="CQ219" t="s">
        <v>4055</v>
      </c>
      <c r="CR219">
        <v>5</v>
      </c>
      <c r="CS219" t="s">
        <v>4055</v>
      </c>
      <c r="CT219" t="s">
        <v>4055</v>
      </c>
      <c r="CU219" t="s">
        <v>4055</v>
      </c>
      <c r="CV219">
        <v>136</v>
      </c>
      <c r="CW219">
        <v>3</v>
      </c>
      <c r="CX219">
        <v>113</v>
      </c>
      <c r="CY219">
        <v>5</v>
      </c>
      <c r="CZ219">
        <v>144</v>
      </c>
      <c r="DA219">
        <v>5</v>
      </c>
      <c r="DB219">
        <v>12340</v>
      </c>
      <c r="DC219">
        <v>370</v>
      </c>
      <c r="DD219">
        <v>310</v>
      </c>
      <c r="DE219">
        <v>2180</v>
      </c>
      <c r="DF219">
        <v>2180</v>
      </c>
      <c r="DG219">
        <v>2191</v>
      </c>
      <c r="DH219">
        <v>1</v>
      </c>
      <c r="DI219" t="s">
        <v>4055</v>
      </c>
      <c r="DJ219" t="s">
        <v>4132</v>
      </c>
      <c r="DK219">
        <v>215</v>
      </c>
      <c r="DL219" t="s">
        <v>4065</v>
      </c>
      <c r="DM219">
        <v>63</v>
      </c>
      <c r="DN219">
        <v>1.1</v>
      </c>
      <c r="DO219">
        <v>1</v>
      </c>
      <c r="DP219">
        <v>2058</v>
      </c>
      <c r="DQ219">
        <v>957</v>
      </c>
      <c r="DR219" t="s">
        <v>4132</v>
      </c>
      <c r="DS219">
        <v>205</v>
      </c>
      <c r="DT219" t="s">
        <v>4065</v>
      </c>
      <c r="DU219">
        <v>63</v>
      </c>
      <c r="DV219">
        <v>1.1</v>
      </c>
      <c r="DW219">
        <v>1</v>
      </c>
      <c r="DX219">
        <v>2070</v>
      </c>
      <c r="DY219">
        <v>917</v>
      </c>
      <c r="DZ219" t="s">
        <v>4066</v>
      </c>
      <c r="EA219">
        <v>20</v>
      </c>
      <c r="EB219" t="s">
        <v>4065</v>
      </c>
      <c r="EC219">
        <v>0.8</v>
      </c>
      <c r="ED219">
        <v>2058</v>
      </c>
      <c r="EE219">
        <v>72</v>
      </c>
      <c r="EG219">
        <v>0</v>
      </c>
      <c r="EH219" t="s">
        <v>4065</v>
      </c>
      <c r="EI219">
        <v>0</v>
      </c>
      <c r="EL219" t="s">
        <v>1528</v>
      </c>
      <c r="EM219">
        <v>12</v>
      </c>
      <c r="EN219">
        <v>0.5</v>
      </c>
      <c r="EO219">
        <v>0.96</v>
      </c>
      <c r="EP219">
        <v>2068.83</v>
      </c>
      <c r="EQ219">
        <v>37497.54</v>
      </c>
      <c r="ER219">
        <v>9725.91</v>
      </c>
      <c r="ES219">
        <v>0</v>
      </c>
      <c r="ET219">
        <v>0</v>
      </c>
      <c r="EU219">
        <v>1</v>
      </c>
      <c r="EV219">
        <v>47224</v>
      </c>
      <c r="EW219">
        <v>567</v>
      </c>
      <c r="EX219" t="s">
        <v>4755</v>
      </c>
      <c r="EY219">
        <v>232</v>
      </c>
      <c r="EZ219" t="s">
        <v>4055</v>
      </c>
      <c r="FA219">
        <v>4</v>
      </c>
      <c r="FB219">
        <v>1</v>
      </c>
      <c r="FC219">
        <v>1</v>
      </c>
      <c r="FD219">
        <v>2102</v>
      </c>
      <c r="FE219">
        <v>2254</v>
      </c>
      <c r="FF219" t="s">
        <v>4756</v>
      </c>
      <c r="FG219">
        <v>232</v>
      </c>
      <c r="FH219" t="s">
        <v>4055</v>
      </c>
      <c r="FI219">
        <v>4.1</v>
      </c>
      <c r="FJ219">
        <v>2102</v>
      </c>
      <c r="FK219">
        <v>2475</v>
      </c>
      <c r="FL219" t="s">
        <v>4069</v>
      </c>
      <c r="FM219" t="s">
        <v>4055</v>
      </c>
      <c r="FN219" t="s">
        <v>4055</v>
      </c>
      <c r="FO219" t="s">
        <v>4055</v>
      </c>
      <c r="FP219">
        <v>2102</v>
      </c>
      <c r="FQ219">
        <v>219</v>
      </c>
      <c r="FR219" t="s">
        <v>4090</v>
      </c>
      <c r="FS219">
        <v>236</v>
      </c>
      <c r="FT219" t="s">
        <v>4055</v>
      </c>
      <c r="FU219">
        <v>0.4</v>
      </c>
      <c r="FV219">
        <v>2102</v>
      </c>
      <c r="FW219">
        <v>221</v>
      </c>
      <c r="FX219" t="s">
        <v>4070</v>
      </c>
      <c r="FY219">
        <v>5</v>
      </c>
      <c r="FZ219" t="s">
        <v>4055</v>
      </c>
      <c r="GA219" t="s">
        <v>4055</v>
      </c>
      <c r="GB219">
        <v>2102</v>
      </c>
      <c r="GC219">
        <v>21</v>
      </c>
      <c r="GD219">
        <v>5190</v>
      </c>
      <c r="GE219" t="s">
        <v>4834</v>
      </c>
      <c r="GF219" t="s">
        <v>4055</v>
      </c>
      <c r="GG219" t="s">
        <v>4055</v>
      </c>
      <c r="GH219" t="s">
        <v>4055</v>
      </c>
      <c r="GI219" t="s">
        <v>4071</v>
      </c>
      <c r="GJ219" t="s">
        <v>4055</v>
      </c>
      <c r="GK219" t="s">
        <v>4055</v>
      </c>
      <c r="GL219" t="s">
        <v>4055</v>
      </c>
      <c r="GM219" t="s">
        <v>4055</v>
      </c>
      <c r="GQ219">
        <v>0</v>
      </c>
      <c r="GV219">
        <v>8.5</v>
      </c>
      <c r="GW219">
        <v>11.5</v>
      </c>
      <c r="GX219">
        <v>0.5</v>
      </c>
      <c r="GY219">
        <v>206</v>
      </c>
      <c r="GZ219">
        <v>3</v>
      </c>
      <c r="HA219">
        <v>252</v>
      </c>
      <c r="HB219">
        <v>3</v>
      </c>
      <c r="HC219">
        <v>2102</v>
      </c>
      <c r="HD219">
        <v>4</v>
      </c>
      <c r="HE219" t="s">
        <v>4071</v>
      </c>
      <c r="HG219" t="s">
        <v>549</v>
      </c>
      <c r="HL219">
        <v>4</v>
      </c>
      <c r="HM219">
        <v>20</v>
      </c>
      <c r="HN219">
        <v>1</v>
      </c>
      <c r="HO219">
        <v>1</v>
      </c>
      <c r="HP219">
        <v>0</v>
      </c>
      <c r="HQ219">
        <v>0</v>
      </c>
      <c r="HR219">
        <v>1</v>
      </c>
      <c r="HS219">
        <v>2055</v>
      </c>
      <c r="HT219">
        <v>5</v>
      </c>
      <c r="HU219">
        <v>1</v>
      </c>
      <c r="HV219">
        <v>0</v>
      </c>
      <c r="HW219">
        <v>0</v>
      </c>
      <c r="HX219">
        <v>1</v>
      </c>
      <c r="HY219">
        <v>0</v>
      </c>
      <c r="HZ219">
        <v>63</v>
      </c>
      <c r="IA219">
        <v>2058</v>
      </c>
      <c r="IB219">
        <v>2070</v>
      </c>
      <c r="ID219">
        <v>2102</v>
      </c>
      <c r="IE219">
        <v>2102</v>
      </c>
      <c r="IF219">
        <v>215</v>
      </c>
      <c r="IG219">
        <v>205</v>
      </c>
      <c r="IH219">
        <v>252</v>
      </c>
      <c r="II219">
        <v>1</v>
      </c>
      <c r="IJ219">
        <v>5</v>
      </c>
      <c r="IK219">
        <v>0</v>
      </c>
      <c r="IL219">
        <v>0</v>
      </c>
      <c r="IM219">
        <v>0</v>
      </c>
      <c r="IN219">
        <v>270</v>
      </c>
      <c r="IO219">
        <v>0</v>
      </c>
      <c r="IP219">
        <v>180</v>
      </c>
      <c r="IQ219">
        <v>0</v>
      </c>
      <c r="IR219">
        <v>330</v>
      </c>
      <c r="IS219">
        <v>0</v>
      </c>
      <c r="IT219">
        <v>90</v>
      </c>
      <c r="IU219">
        <v>0</v>
      </c>
      <c r="IV219">
        <v>6.4</v>
      </c>
      <c r="IW219">
        <v>-6</v>
      </c>
      <c r="IX219">
        <v>110</v>
      </c>
      <c r="IY219">
        <v>80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350</v>
      </c>
      <c r="JJ219">
        <v>330</v>
      </c>
      <c r="JK219">
        <v>247</v>
      </c>
      <c r="JL219">
        <v>318</v>
      </c>
      <c r="JM219">
        <v>255</v>
      </c>
      <c r="JN219">
        <v>210</v>
      </c>
      <c r="JO219">
        <v>257</v>
      </c>
      <c r="JP219">
        <v>220</v>
      </c>
      <c r="JQ219">
        <v>260</v>
      </c>
      <c r="JR219">
        <v>300</v>
      </c>
      <c r="JS219">
        <v>255</v>
      </c>
      <c r="JT219">
        <v>0</v>
      </c>
      <c r="JU219">
        <v>0</v>
      </c>
      <c r="JV219">
        <v>300</v>
      </c>
      <c r="JW219">
        <v>310</v>
      </c>
      <c r="JX219">
        <v>0</v>
      </c>
      <c r="JY219">
        <v>0</v>
      </c>
      <c r="JZ219">
        <v>0</v>
      </c>
      <c r="KA219">
        <v>0.2</v>
      </c>
      <c r="KB219">
        <v>0.4</v>
      </c>
      <c r="KC219">
        <v>0.42</v>
      </c>
      <c r="KD219">
        <v>0.3</v>
      </c>
      <c r="KE219">
        <v>0.5</v>
      </c>
      <c r="KF219">
        <v>0.17</v>
      </c>
      <c r="KG219">
        <v>0.1</v>
      </c>
      <c r="KH219">
        <v>3.5</v>
      </c>
      <c r="KI219">
        <v>1</v>
      </c>
      <c r="KJ219">
        <v>4.5</v>
      </c>
      <c r="KK219">
        <v>0</v>
      </c>
      <c r="KL219">
        <v>4.5</v>
      </c>
      <c r="KM219">
        <v>0.5</v>
      </c>
      <c r="KN219">
        <v>2.6</v>
      </c>
      <c r="KO219">
        <v>0</v>
      </c>
      <c r="KP219">
        <v>0</v>
      </c>
      <c r="KQ219">
        <v>0.8</v>
      </c>
      <c r="KR219">
        <v>0.8</v>
      </c>
      <c r="KS219">
        <v>0</v>
      </c>
      <c r="KT219">
        <v>2.5</v>
      </c>
      <c r="KU219">
        <v>0</v>
      </c>
      <c r="KV219">
        <v>0</v>
      </c>
      <c r="KW219">
        <v>1.6</v>
      </c>
      <c r="KX219">
        <v>2</v>
      </c>
      <c r="KY219">
        <v>1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3</v>
      </c>
      <c r="LI219">
        <v>0</v>
      </c>
      <c r="LJ219">
        <v>0</v>
      </c>
      <c r="LK219">
        <v>11</v>
      </c>
      <c r="LL219">
        <v>5</v>
      </c>
      <c r="LM219">
        <v>11</v>
      </c>
      <c r="LN219">
        <v>3</v>
      </c>
      <c r="LO219">
        <v>1</v>
      </c>
      <c r="LP219">
        <v>0</v>
      </c>
      <c r="LQ219">
        <v>0</v>
      </c>
      <c r="LR219">
        <v>0</v>
      </c>
      <c r="LS219">
        <v>1</v>
      </c>
      <c r="LT219">
        <v>0</v>
      </c>
      <c r="LU219">
        <v>0</v>
      </c>
      <c r="LV219">
        <v>0</v>
      </c>
      <c r="LW219">
        <v>1.8</v>
      </c>
      <c r="LX219">
        <v>1.8</v>
      </c>
      <c r="LY219">
        <v>2.1</v>
      </c>
      <c r="LZ219">
        <v>2.1</v>
      </c>
      <c r="MA219">
        <v>0</v>
      </c>
      <c r="MB219">
        <v>12</v>
      </c>
      <c r="MC219">
        <v>0</v>
      </c>
      <c r="MD219">
        <v>4.5</v>
      </c>
      <c r="ME219">
        <v>6</v>
      </c>
      <c r="MF219">
        <v>6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420</v>
      </c>
      <c r="MN219">
        <v>210</v>
      </c>
      <c r="MO219">
        <v>262</v>
      </c>
      <c r="NU219">
        <v>0.15</v>
      </c>
      <c r="NV219">
        <v>0.2</v>
      </c>
      <c r="NW219">
        <v>0.2</v>
      </c>
      <c r="NX219">
        <v>0.2</v>
      </c>
      <c r="NY219">
        <v>0.2</v>
      </c>
      <c r="NZ219">
        <v>0.2</v>
      </c>
      <c r="OE219" t="s">
        <v>4834</v>
      </c>
      <c r="OF219" t="s">
        <v>4306</v>
      </c>
      <c r="OG219" t="s">
        <v>4307</v>
      </c>
      <c r="OH219" t="s">
        <v>4043</v>
      </c>
      <c r="OI219" t="s">
        <v>4834</v>
      </c>
      <c r="OJ219" t="s">
        <v>4833</v>
      </c>
      <c r="OK219">
        <v>61</v>
      </c>
      <c r="OL219">
        <v>61</v>
      </c>
      <c r="OM219" t="s">
        <v>4306</v>
      </c>
      <c r="ON219">
        <v>1</v>
      </c>
      <c r="OO219">
        <v>2058</v>
      </c>
      <c r="OP219">
        <v>61</v>
      </c>
      <c r="OQ219">
        <v>61</v>
      </c>
      <c r="OR219" t="s">
        <v>4307</v>
      </c>
      <c r="OS219">
        <v>1</v>
      </c>
      <c r="OT219">
        <v>2070</v>
      </c>
      <c r="OU219">
        <v>65</v>
      </c>
      <c r="OV219">
        <v>65</v>
      </c>
      <c r="OW219" t="s">
        <v>4043</v>
      </c>
      <c r="OX219">
        <v>2</v>
      </c>
      <c r="OY219">
        <v>47224</v>
      </c>
      <c r="OZ219">
        <v>51</v>
      </c>
      <c r="PA219">
        <v>52</v>
      </c>
      <c r="PB219" t="s">
        <v>4834</v>
      </c>
      <c r="PC219">
        <v>1</v>
      </c>
      <c r="PD219">
        <v>2102</v>
      </c>
      <c r="PF219">
        <v>465</v>
      </c>
      <c r="PG219">
        <v>35</v>
      </c>
      <c r="PH219">
        <v>443</v>
      </c>
      <c r="PI219">
        <v>0</v>
      </c>
      <c r="PJ219">
        <v>104.1</v>
      </c>
      <c r="PK219">
        <v>2222</v>
      </c>
      <c r="PL219">
        <v>1072.2</v>
      </c>
      <c r="PM219">
        <v>1177.5</v>
      </c>
      <c r="PN219">
        <v>105</v>
      </c>
      <c r="PO219">
        <v>9.9</v>
      </c>
      <c r="PP219">
        <v>12</v>
      </c>
      <c r="PQ219">
        <v>3</v>
      </c>
      <c r="PR219">
        <v>3</v>
      </c>
      <c r="PS219">
        <v>0</v>
      </c>
      <c r="PT219">
        <v>252</v>
      </c>
      <c r="PU219">
        <v>10</v>
      </c>
      <c r="PV219" t="s">
        <v>4072</v>
      </c>
      <c r="PW219" t="s">
        <v>4072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-1</v>
      </c>
      <c r="QF219">
        <v>1</v>
      </c>
      <c r="QG219">
        <v>0</v>
      </c>
      <c r="QH219">
        <v>5</v>
      </c>
      <c r="QI219">
        <v>5</v>
      </c>
      <c r="QJ219">
        <v>5</v>
      </c>
      <c r="QK219">
        <v>190</v>
      </c>
      <c r="QL219">
        <v>380</v>
      </c>
      <c r="QM219">
        <v>7.5</v>
      </c>
      <c r="QN219">
        <v>1623.8</v>
      </c>
      <c r="QO219" t="s">
        <v>2662</v>
      </c>
      <c r="QP219" t="s">
        <v>513</v>
      </c>
      <c r="QQ219">
        <v>0</v>
      </c>
      <c r="QR219" t="s">
        <v>704</v>
      </c>
      <c r="QS219">
        <v>40</v>
      </c>
      <c r="QT219">
        <v>50</v>
      </c>
    </row>
    <row r="220" spans="1:462">
      <c r="A220" t="s">
        <v>2891</v>
      </c>
      <c r="B220" t="s">
        <v>804</v>
      </c>
      <c r="C220" t="s">
        <v>509</v>
      </c>
      <c r="D220" t="s">
        <v>2699</v>
      </c>
      <c r="E220" t="s">
        <v>4036</v>
      </c>
      <c r="H220" t="s">
        <v>1088</v>
      </c>
      <c r="L220" t="s">
        <v>508</v>
      </c>
      <c r="M220" t="s">
        <v>512</v>
      </c>
      <c r="N220" t="s">
        <v>515</v>
      </c>
      <c r="O220" t="s">
        <v>513</v>
      </c>
      <c r="P220" t="s">
        <v>517</v>
      </c>
      <c r="Q220" t="s">
        <v>1059</v>
      </c>
      <c r="R220" t="s">
        <v>1060</v>
      </c>
      <c r="S220" t="s">
        <v>4091</v>
      </c>
      <c r="T220" t="s">
        <v>633</v>
      </c>
      <c r="U220" t="s">
        <v>634</v>
      </c>
      <c r="V220" t="s">
        <v>2556</v>
      </c>
      <c r="W220" t="s">
        <v>2657</v>
      </c>
      <c r="X220" t="s">
        <v>2892</v>
      </c>
      <c r="Y220" t="s">
        <v>2893</v>
      </c>
      <c r="Z220" t="s">
        <v>541</v>
      </c>
      <c r="AA220" t="s">
        <v>4038</v>
      </c>
      <c r="AB220" t="s">
        <v>4835</v>
      </c>
      <c r="AC220">
        <v>9</v>
      </c>
      <c r="AD220" t="s">
        <v>2890</v>
      </c>
      <c r="AE220">
        <v>2</v>
      </c>
      <c r="AF220">
        <v>7338</v>
      </c>
      <c r="AG220" t="s">
        <v>4341</v>
      </c>
      <c r="AH220">
        <v>1</v>
      </c>
      <c r="AI220" t="s">
        <v>4041</v>
      </c>
      <c r="AK220" t="s">
        <v>4342</v>
      </c>
      <c r="AL220">
        <v>1</v>
      </c>
      <c r="AM220" t="s">
        <v>582</v>
      </c>
      <c r="AO220" t="s">
        <v>4043</v>
      </c>
      <c r="AP220">
        <v>1</v>
      </c>
      <c r="AR220" t="s">
        <v>4836</v>
      </c>
      <c r="AS220">
        <v>1</v>
      </c>
      <c r="AT220">
        <v>52</v>
      </c>
      <c r="AV220" t="s">
        <v>4078</v>
      </c>
      <c r="AW220">
        <v>6.4</v>
      </c>
      <c r="AX220">
        <v>-6</v>
      </c>
      <c r="AY220">
        <v>112.5</v>
      </c>
      <c r="AZ220">
        <v>82.5</v>
      </c>
      <c r="BH220">
        <v>112.5</v>
      </c>
      <c r="BI220">
        <v>30</v>
      </c>
      <c r="BJ220">
        <v>82.5</v>
      </c>
      <c r="BK220">
        <v>2.5</v>
      </c>
      <c r="BL220">
        <v>225</v>
      </c>
      <c r="BM220">
        <v>-6</v>
      </c>
      <c r="BN220">
        <v>0</v>
      </c>
      <c r="BO220">
        <v>0</v>
      </c>
      <c r="BP220">
        <v>0</v>
      </c>
      <c r="BR220">
        <v>220</v>
      </c>
      <c r="BS220">
        <v>210</v>
      </c>
      <c r="BT220">
        <v>2270</v>
      </c>
      <c r="BU220" t="s">
        <v>4079</v>
      </c>
      <c r="BV220" t="s">
        <v>4079</v>
      </c>
      <c r="BW220" t="s">
        <v>4081</v>
      </c>
      <c r="BX220" t="s">
        <v>4081</v>
      </c>
      <c r="BY220" t="s">
        <v>4235</v>
      </c>
      <c r="BZ220" t="s">
        <v>4235</v>
      </c>
      <c r="CA220" t="s">
        <v>4108</v>
      </c>
      <c r="CB220" t="s">
        <v>4109</v>
      </c>
      <c r="CC220" t="s">
        <v>4053</v>
      </c>
      <c r="CD220" t="s">
        <v>4110</v>
      </c>
      <c r="CE220" t="s">
        <v>4055</v>
      </c>
      <c r="CF220" t="s">
        <v>4055</v>
      </c>
      <c r="CG220" t="s">
        <v>4056</v>
      </c>
      <c r="CI220" t="s">
        <v>4216</v>
      </c>
      <c r="CJ220" t="s">
        <v>4059</v>
      </c>
      <c r="CK220" t="s">
        <v>4060</v>
      </c>
      <c r="CL220" t="s">
        <v>4061</v>
      </c>
      <c r="CM220" t="s">
        <v>4062</v>
      </c>
      <c r="CN220" t="s">
        <v>4055</v>
      </c>
      <c r="CO220" t="s">
        <v>4063</v>
      </c>
      <c r="CP220" t="s">
        <v>4055</v>
      </c>
      <c r="CQ220" t="s">
        <v>4055</v>
      </c>
      <c r="CR220">
        <v>5</v>
      </c>
      <c r="CS220" t="s">
        <v>4055</v>
      </c>
      <c r="CT220" t="s">
        <v>4055</v>
      </c>
      <c r="CU220" t="s">
        <v>4055</v>
      </c>
      <c r="CV220">
        <v>146</v>
      </c>
      <c r="CW220">
        <v>3</v>
      </c>
      <c r="CX220">
        <v>94</v>
      </c>
      <c r="CY220">
        <v>5</v>
      </c>
      <c r="CZ220">
        <v>181</v>
      </c>
      <c r="DA220">
        <v>5</v>
      </c>
      <c r="DB220">
        <v>16740</v>
      </c>
      <c r="DC220">
        <v>500</v>
      </c>
      <c r="DD220">
        <v>402</v>
      </c>
      <c r="DE220">
        <v>2407</v>
      </c>
      <c r="DF220">
        <v>2407</v>
      </c>
      <c r="DG220">
        <v>2418</v>
      </c>
      <c r="DH220">
        <v>1</v>
      </c>
      <c r="DI220" t="s">
        <v>4055</v>
      </c>
      <c r="DJ220" t="s">
        <v>4217</v>
      </c>
      <c r="DK220">
        <v>220</v>
      </c>
      <c r="DL220" t="s">
        <v>4065</v>
      </c>
      <c r="DM220">
        <v>63</v>
      </c>
      <c r="DN220">
        <v>1.26</v>
      </c>
      <c r="DO220">
        <v>1</v>
      </c>
      <c r="DP220">
        <v>2274</v>
      </c>
      <c r="DQ220">
        <v>1207</v>
      </c>
      <c r="DR220" t="s">
        <v>4217</v>
      </c>
      <c r="DS220">
        <v>210</v>
      </c>
      <c r="DT220" t="s">
        <v>4065</v>
      </c>
      <c r="DU220">
        <v>63</v>
      </c>
      <c r="DV220">
        <v>1.26</v>
      </c>
      <c r="DW220">
        <v>1</v>
      </c>
      <c r="DX220">
        <v>2287</v>
      </c>
      <c r="DY220">
        <v>1160</v>
      </c>
      <c r="DZ220" t="s">
        <v>4066</v>
      </c>
      <c r="EA220">
        <v>20</v>
      </c>
      <c r="EB220" t="s">
        <v>4065</v>
      </c>
      <c r="EC220">
        <v>0.8</v>
      </c>
      <c r="ED220">
        <v>2274</v>
      </c>
      <c r="EE220">
        <v>80</v>
      </c>
      <c r="EG220">
        <v>0</v>
      </c>
      <c r="EH220" t="s">
        <v>4065</v>
      </c>
      <c r="EI220">
        <v>0</v>
      </c>
      <c r="EL220" t="s">
        <v>1528</v>
      </c>
      <c r="EM220">
        <v>12</v>
      </c>
      <c r="EN220">
        <v>0.5</v>
      </c>
      <c r="EO220">
        <v>0.96</v>
      </c>
      <c r="EP220">
        <v>2285.84</v>
      </c>
      <c r="EQ220">
        <v>42323.76</v>
      </c>
      <c r="ER220">
        <v>10743.15</v>
      </c>
      <c r="ES220">
        <v>0</v>
      </c>
      <c r="ET220">
        <v>0</v>
      </c>
      <c r="EU220">
        <v>1</v>
      </c>
      <c r="EV220">
        <v>53067</v>
      </c>
      <c r="EW220">
        <v>637</v>
      </c>
      <c r="EX220" t="s">
        <v>4755</v>
      </c>
      <c r="EY220">
        <v>250</v>
      </c>
      <c r="EZ220" t="s">
        <v>4055</v>
      </c>
      <c r="FA220">
        <v>3.9</v>
      </c>
      <c r="FB220">
        <v>1</v>
      </c>
      <c r="FC220">
        <v>1</v>
      </c>
      <c r="FD220">
        <v>2319</v>
      </c>
      <c r="FE220">
        <v>2769</v>
      </c>
      <c r="FF220" t="s">
        <v>4756</v>
      </c>
      <c r="FG220">
        <v>250</v>
      </c>
      <c r="FH220" t="s">
        <v>4055</v>
      </c>
      <c r="FI220">
        <v>4.3</v>
      </c>
      <c r="FJ220">
        <v>2319</v>
      </c>
      <c r="FK220">
        <v>2947</v>
      </c>
      <c r="FL220" t="s">
        <v>4069</v>
      </c>
      <c r="FM220" t="s">
        <v>4055</v>
      </c>
      <c r="FN220" t="s">
        <v>4055</v>
      </c>
      <c r="FO220" t="s">
        <v>4055</v>
      </c>
      <c r="FP220">
        <v>2319</v>
      </c>
      <c r="FQ220">
        <v>309</v>
      </c>
      <c r="FR220" t="s">
        <v>4090</v>
      </c>
      <c r="FS220">
        <v>254</v>
      </c>
      <c r="FT220" t="s">
        <v>4055</v>
      </c>
      <c r="FU220">
        <v>0.4</v>
      </c>
      <c r="FV220">
        <v>2319</v>
      </c>
      <c r="FW220">
        <v>262</v>
      </c>
      <c r="FX220" t="s">
        <v>4070</v>
      </c>
      <c r="FY220">
        <v>5</v>
      </c>
      <c r="FZ220" t="s">
        <v>4055</v>
      </c>
      <c r="GA220" t="s">
        <v>4055</v>
      </c>
      <c r="GB220">
        <v>2319</v>
      </c>
      <c r="GC220">
        <v>23</v>
      </c>
      <c r="GD220">
        <v>6310</v>
      </c>
      <c r="GE220" t="s">
        <v>4836</v>
      </c>
      <c r="GF220" t="s">
        <v>4055</v>
      </c>
      <c r="GG220" t="s">
        <v>4055</v>
      </c>
      <c r="GH220" t="s">
        <v>4055</v>
      </c>
      <c r="GI220" t="s">
        <v>4071</v>
      </c>
      <c r="GJ220" t="s">
        <v>4055</v>
      </c>
      <c r="GK220" t="s">
        <v>4055</v>
      </c>
      <c r="GL220" t="s">
        <v>4055</v>
      </c>
      <c r="GM220" t="s">
        <v>4055</v>
      </c>
      <c r="GQ220">
        <v>0</v>
      </c>
      <c r="GV220">
        <v>8.6</v>
      </c>
      <c r="GW220">
        <v>11.5</v>
      </c>
      <c r="GX220">
        <v>0.5</v>
      </c>
      <c r="GY220">
        <v>218</v>
      </c>
      <c r="GZ220">
        <v>3</v>
      </c>
      <c r="HA220">
        <v>278</v>
      </c>
      <c r="HB220">
        <v>3</v>
      </c>
      <c r="HC220">
        <v>2319</v>
      </c>
      <c r="HD220">
        <v>4</v>
      </c>
      <c r="HE220" t="s">
        <v>4071</v>
      </c>
      <c r="HG220" t="s">
        <v>549</v>
      </c>
      <c r="HL220">
        <v>4</v>
      </c>
      <c r="HM220">
        <v>17</v>
      </c>
      <c r="HN220">
        <v>6</v>
      </c>
      <c r="HO220">
        <v>1</v>
      </c>
      <c r="HP220">
        <v>0</v>
      </c>
      <c r="HQ220">
        <v>0</v>
      </c>
      <c r="HR220">
        <v>3</v>
      </c>
      <c r="HS220">
        <v>2270</v>
      </c>
      <c r="HT220">
        <v>5</v>
      </c>
      <c r="HU220">
        <v>1</v>
      </c>
      <c r="HV220">
        <v>5</v>
      </c>
      <c r="HW220">
        <v>0</v>
      </c>
      <c r="HX220">
        <v>1</v>
      </c>
      <c r="HY220">
        <v>0</v>
      </c>
      <c r="HZ220">
        <v>63</v>
      </c>
      <c r="IA220">
        <v>2274</v>
      </c>
      <c r="IB220">
        <v>2287</v>
      </c>
      <c r="ID220">
        <v>2319</v>
      </c>
      <c r="IE220">
        <v>2319</v>
      </c>
      <c r="IF220">
        <v>220</v>
      </c>
      <c r="IG220">
        <v>210</v>
      </c>
      <c r="IH220">
        <v>278</v>
      </c>
      <c r="II220">
        <v>1</v>
      </c>
      <c r="IJ220">
        <v>5</v>
      </c>
      <c r="IK220">
        <v>0</v>
      </c>
      <c r="IL220">
        <v>0</v>
      </c>
      <c r="IM220">
        <v>0</v>
      </c>
      <c r="IN220">
        <v>270</v>
      </c>
      <c r="IO220">
        <v>0</v>
      </c>
      <c r="IP220">
        <v>180</v>
      </c>
      <c r="IQ220">
        <v>0</v>
      </c>
      <c r="IR220">
        <v>330</v>
      </c>
      <c r="IS220">
        <v>0</v>
      </c>
      <c r="IT220">
        <v>90</v>
      </c>
      <c r="IU220">
        <v>0</v>
      </c>
      <c r="IV220">
        <v>6.4</v>
      </c>
      <c r="IW220">
        <v>-6</v>
      </c>
      <c r="IX220">
        <v>112.5</v>
      </c>
      <c r="IY220">
        <v>82.5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504</v>
      </c>
      <c r="JJ220">
        <v>474</v>
      </c>
      <c r="JK220">
        <v>350</v>
      </c>
      <c r="JL220">
        <v>472</v>
      </c>
      <c r="JM220">
        <v>360</v>
      </c>
      <c r="JN220">
        <v>220</v>
      </c>
      <c r="JO220">
        <v>284</v>
      </c>
      <c r="JP220">
        <v>200</v>
      </c>
      <c r="JQ220">
        <v>250</v>
      </c>
      <c r="JR220">
        <v>333</v>
      </c>
      <c r="JS220">
        <v>253</v>
      </c>
      <c r="JT220">
        <v>0</v>
      </c>
      <c r="JU220">
        <v>0</v>
      </c>
      <c r="JV220">
        <v>328</v>
      </c>
      <c r="JW220">
        <v>318</v>
      </c>
      <c r="JX220">
        <v>313</v>
      </c>
      <c r="JY220">
        <v>293</v>
      </c>
      <c r="JZ220">
        <v>1</v>
      </c>
      <c r="KA220">
        <v>0.2</v>
      </c>
      <c r="KB220">
        <v>0.4</v>
      </c>
      <c r="KC220">
        <v>0.42</v>
      </c>
      <c r="KD220">
        <v>0.28</v>
      </c>
      <c r="KE220">
        <v>0.5</v>
      </c>
      <c r="KF220">
        <v>0.2</v>
      </c>
      <c r="KG220">
        <v>0.12</v>
      </c>
      <c r="KH220">
        <v>3.5</v>
      </c>
      <c r="KI220">
        <v>1</v>
      </c>
      <c r="KJ220">
        <v>4.5</v>
      </c>
      <c r="KK220">
        <v>0</v>
      </c>
      <c r="KL220">
        <v>4.5</v>
      </c>
      <c r="KM220">
        <v>0</v>
      </c>
      <c r="KN220">
        <v>1.8</v>
      </c>
      <c r="KO220">
        <v>0</v>
      </c>
      <c r="KP220">
        <v>0</v>
      </c>
      <c r="KQ220">
        <v>1</v>
      </c>
      <c r="KR220">
        <v>1</v>
      </c>
      <c r="KS220">
        <v>0</v>
      </c>
      <c r="KT220">
        <v>2.5</v>
      </c>
      <c r="KU220">
        <v>0</v>
      </c>
      <c r="KV220">
        <v>0</v>
      </c>
      <c r="KW220">
        <v>1</v>
      </c>
      <c r="KX220">
        <v>2</v>
      </c>
      <c r="KY220">
        <v>1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0.5</v>
      </c>
      <c r="LJ220">
        <v>0</v>
      </c>
      <c r="LK220">
        <v>8</v>
      </c>
      <c r="LL220">
        <v>13</v>
      </c>
      <c r="LM220">
        <v>14</v>
      </c>
      <c r="LN220">
        <v>0.1</v>
      </c>
      <c r="LO220">
        <v>5</v>
      </c>
      <c r="LP220">
        <v>0</v>
      </c>
      <c r="LQ220">
        <v>0</v>
      </c>
      <c r="LR220">
        <v>0</v>
      </c>
      <c r="LS220">
        <v>1</v>
      </c>
      <c r="LT220">
        <v>0</v>
      </c>
      <c r="LU220">
        <v>0</v>
      </c>
      <c r="LV220">
        <v>0</v>
      </c>
      <c r="LW220">
        <v>1.4</v>
      </c>
      <c r="LX220">
        <v>1.4</v>
      </c>
      <c r="LY220">
        <v>1.7</v>
      </c>
      <c r="LZ220">
        <v>1.7</v>
      </c>
      <c r="MA220">
        <v>0</v>
      </c>
      <c r="MB220">
        <v>8</v>
      </c>
      <c r="MC220">
        <v>0</v>
      </c>
      <c r="MD220">
        <v>4.5</v>
      </c>
      <c r="ME220">
        <v>6</v>
      </c>
      <c r="MF220">
        <v>6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504</v>
      </c>
      <c r="MN220">
        <v>220</v>
      </c>
      <c r="MO220">
        <v>284</v>
      </c>
      <c r="NU220">
        <v>0.15</v>
      </c>
      <c r="NV220">
        <v>0.2</v>
      </c>
      <c r="NW220">
        <v>0.2</v>
      </c>
      <c r="NX220">
        <v>2</v>
      </c>
      <c r="NY220">
        <v>2</v>
      </c>
      <c r="NZ220">
        <v>2</v>
      </c>
      <c r="OE220" t="s">
        <v>4836</v>
      </c>
      <c r="OF220" t="s">
        <v>4341</v>
      </c>
      <c r="OG220" t="s">
        <v>4342</v>
      </c>
      <c r="OH220" t="s">
        <v>4043</v>
      </c>
      <c r="OI220" t="s">
        <v>4836</v>
      </c>
      <c r="OJ220" t="s">
        <v>4835</v>
      </c>
      <c r="OK220">
        <v>61</v>
      </c>
      <c r="OL220">
        <v>61</v>
      </c>
      <c r="OM220" t="s">
        <v>4341</v>
      </c>
      <c r="ON220">
        <v>1</v>
      </c>
      <c r="OO220">
        <v>2274</v>
      </c>
      <c r="OP220">
        <v>61</v>
      </c>
      <c r="OQ220">
        <v>61</v>
      </c>
      <c r="OR220" t="s">
        <v>4342</v>
      </c>
      <c r="OS220">
        <v>1</v>
      </c>
      <c r="OT220">
        <v>2287</v>
      </c>
      <c r="OU220">
        <v>65</v>
      </c>
      <c r="OV220">
        <v>65</v>
      </c>
      <c r="OW220" t="s">
        <v>4043</v>
      </c>
      <c r="OX220">
        <v>2</v>
      </c>
      <c r="OY220">
        <v>53067</v>
      </c>
      <c r="OZ220">
        <v>51</v>
      </c>
      <c r="PA220">
        <v>52</v>
      </c>
      <c r="PB220" t="s">
        <v>4836</v>
      </c>
      <c r="PC220">
        <v>1</v>
      </c>
      <c r="PD220">
        <v>2319</v>
      </c>
      <c r="PF220">
        <v>531</v>
      </c>
      <c r="PG220">
        <v>35</v>
      </c>
      <c r="PH220">
        <v>507</v>
      </c>
      <c r="PI220">
        <v>0</v>
      </c>
      <c r="PJ220">
        <v>133.3</v>
      </c>
      <c r="PL220">
        <v>1194.1</v>
      </c>
      <c r="PM220">
        <v>1270.6</v>
      </c>
      <c r="PN220">
        <v>113</v>
      </c>
      <c r="PO220">
        <v>10</v>
      </c>
      <c r="PP220">
        <v>12</v>
      </c>
      <c r="PQ220">
        <v>4</v>
      </c>
      <c r="PR220">
        <v>4</v>
      </c>
      <c r="PS220">
        <v>0</v>
      </c>
      <c r="PT220">
        <v>278</v>
      </c>
      <c r="PU220">
        <v>14</v>
      </c>
      <c r="PV220" t="s">
        <v>4072</v>
      </c>
      <c r="PW220" t="s">
        <v>4072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-1</v>
      </c>
      <c r="QF220">
        <v>1</v>
      </c>
      <c r="QG220">
        <v>0</v>
      </c>
      <c r="QH220">
        <v>5</v>
      </c>
      <c r="QI220">
        <v>5</v>
      </c>
      <c r="QJ220">
        <v>5</v>
      </c>
      <c r="QK220">
        <v>268</v>
      </c>
      <c r="QL220">
        <v>534</v>
      </c>
      <c r="QM220">
        <v>9.4</v>
      </c>
      <c r="QN220">
        <v>1386.2</v>
      </c>
      <c r="QO220" t="s">
        <v>2662</v>
      </c>
      <c r="QP220" t="s">
        <v>513</v>
      </c>
      <c r="QQ220">
        <v>0</v>
      </c>
      <c r="QR220" t="s">
        <v>596</v>
      </c>
      <c r="QS220">
        <v>40</v>
      </c>
      <c r="QT220">
        <v>50</v>
      </c>
    </row>
    <row r="221" spans="1:462">
      <c r="A221" t="s">
        <v>2901</v>
      </c>
      <c r="B221" t="s">
        <v>629</v>
      </c>
      <c r="C221" t="s">
        <v>509</v>
      </c>
      <c r="D221" t="s">
        <v>1738</v>
      </c>
      <c r="E221" t="s">
        <v>4036</v>
      </c>
      <c r="H221" t="s">
        <v>511</v>
      </c>
      <c r="J221" t="s">
        <v>562</v>
      </c>
      <c r="L221" t="s">
        <v>711</v>
      </c>
      <c r="M221" t="s">
        <v>512</v>
      </c>
      <c r="O221" t="s">
        <v>513</v>
      </c>
      <c r="P221" t="s">
        <v>517</v>
      </c>
      <c r="Q221" t="s">
        <v>899</v>
      </c>
      <c r="R221" t="s">
        <v>743</v>
      </c>
      <c r="S221" t="s">
        <v>4134</v>
      </c>
      <c r="T221" t="s">
        <v>662</v>
      </c>
      <c r="U221" t="s">
        <v>663</v>
      </c>
      <c r="V221" t="s">
        <v>2586</v>
      </c>
      <c r="W221" t="s">
        <v>2657</v>
      </c>
      <c r="X221" t="s">
        <v>2902</v>
      </c>
      <c r="Y221" t="s">
        <v>2903</v>
      </c>
      <c r="Z221" t="s">
        <v>650</v>
      </c>
      <c r="AA221" t="s">
        <v>4038</v>
      </c>
      <c r="AB221" t="s">
        <v>4837</v>
      </c>
      <c r="AC221">
        <v>9</v>
      </c>
      <c r="AD221" t="s">
        <v>2900</v>
      </c>
      <c r="AE221">
        <v>4</v>
      </c>
      <c r="AF221">
        <v>3895</v>
      </c>
      <c r="AG221" t="s">
        <v>4322</v>
      </c>
      <c r="AH221">
        <v>1</v>
      </c>
      <c r="AI221" t="s">
        <v>4041</v>
      </c>
      <c r="AK221" t="s">
        <v>4323</v>
      </c>
      <c r="AL221">
        <v>1</v>
      </c>
      <c r="AM221" t="s">
        <v>582</v>
      </c>
      <c r="AO221" t="s">
        <v>4043</v>
      </c>
      <c r="AP221">
        <v>1</v>
      </c>
      <c r="AR221" t="s">
        <v>4838</v>
      </c>
      <c r="AS221">
        <v>1</v>
      </c>
      <c r="AT221">
        <v>52</v>
      </c>
      <c r="AV221" t="s">
        <v>4078</v>
      </c>
      <c r="AW221">
        <v>6.4</v>
      </c>
      <c r="AX221">
        <v>-6</v>
      </c>
      <c r="AY221">
        <v>100</v>
      </c>
      <c r="AZ221">
        <v>70</v>
      </c>
      <c r="BH221">
        <v>100</v>
      </c>
      <c r="BI221">
        <v>30</v>
      </c>
      <c r="BJ221">
        <v>70</v>
      </c>
      <c r="BK221">
        <v>2.5</v>
      </c>
      <c r="BL221">
        <v>200</v>
      </c>
      <c r="BM221">
        <v>-6</v>
      </c>
      <c r="BN221">
        <v>0</v>
      </c>
      <c r="BO221">
        <v>0</v>
      </c>
      <c r="BP221">
        <v>0</v>
      </c>
      <c r="BR221">
        <v>195</v>
      </c>
      <c r="BS221">
        <v>185</v>
      </c>
      <c r="BT221">
        <v>1920</v>
      </c>
      <c r="BU221" t="s">
        <v>4047</v>
      </c>
      <c r="BV221" t="s">
        <v>4047</v>
      </c>
      <c r="BW221" t="s">
        <v>4097</v>
      </c>
      <c r="BX221" t="s">
        <v>4049</v>
      </c>
      <c r="BY221" t="s">
        <v>4192</v>
      </c>
      <c r="BZ221" t="s">
        <v>4192</v>
      </c>
      <c r="CA221" t="s">
        <v>4118</v>
      </c>
      <c r="CB221" t="s">
        <v>4119</v>
      </c>
      <c r="CC221" t="s">
        <v>4053</v>
      </c>
      <c r="CD221" t="s">
        <v>4121</v>
      </c>
      <c r="CE221" t="s">
        <v>4055</v>
      </c>
      <c r="CF221" t="s">
        <v>4055</v>
      </c>
      <c r="CG221" t="s">
        <v>4056</v>
      </c>
      <c r="CH221" t="s">
        <v>4057</v>
      </c>
      <c r="CI221" t="s">
        <v>4058</v>
      </c>
      <c r="CJ221" t="s">
        <v>4059</v>
      </c>
      <c r="CK221" t="s">
        <v>4060</v>
      </c>
      <c r="CL221" t="s">
        <v>4061</v>
      </c>
      <c r="CM221" t="s">
        <v>4062</v>
      </c>
      <c r="CN221" t="s">
        <v>4055</v>
      </c>
      <c r="CO221" t="s">
        <v>4063</v>
      </c>
      <c r="CP221" t="s">
        <v>4055</v>
      </c>
      <c r="CQ221" t="s">
        <v>4055</v>
      </c>
      <c r="CR221">
        <v>5</v>
      </c>
      <c r="CS221" t="s">
        <v>4055</v>
      </c>
      <c r="CT221" t="s">
        <v>4055</v>
      </c>
      <c r="CU221" t="s">
        <v>4055</v>
      </c>
      <c r="CV221">
        <v>122</v>
      </c>
      <c r="CW221">
        <v>3</v>
      </c>
      <c r="CX221">
        <v>102</v>
      </c>
      <c r="CY221">
        <v>5</v>
      </c>
      <c r="CZ221">
        <v>135</v>
      </c>
      <c r="DA221">
        <v>5</v>
      </c>
      <c r="DB221">
        <v>10230</v>
      </c>
      <c r="DC221">
        <v>300</v>
      </c>
      <c r="DD221">
        <v>296</v>
      </c>
      <c r="DE221">
        <v>2040</v>
      </c>
      <c r="DF221">
        <v>2040</v>
      </c>
      <c r="DG221">
        <v>2051</v>
      </c>
      <c r="DH221" t="s">
        <v>4055</v>
      </c>
      <c r="DI221" t="s">
        <v>4055</v>
      </c>
      <c r="DJ221" t="s">
        <v>4100</v>
      </c>
      <c r="DK221">
        <v>195</v>
      </c>
      <c r="DL221" t="s">
        <v>4101</v>
      </c>
      <c r="DM221">
        <v>63</v>
      </c>
      <c r="DN221">
        <v>0.84</v>
      </c>
      <c r="DO221">
        <v>1</v>
      </c>
      <c r="DP221">
        <v>1923</v>
      </c>
      <c r="DQ221">
        <v>685</v>
      </c>
      <c r="DR221" t="s">
        <v>4100</v>
      </c>
      <c r="DS221">
        <v>185</v>
      </c>
      <c r="DT221" t="s">
        <v>4101</v>
      </c>
      <c r="DU221">
        <v>63</v>
      </c>
      <c r="DV221">
        <v>0.84</v>
      </c>
      <c r="DW221">
        <v>1</v>
      </c>
      <c r="DX221">
        <v>1930</v>
      </c>
      <c r="DY221">
        <v>652</v>
      </c>
      <c r="DZ221" t="s">
        <v>4066</v>
      </c>
      <c r="EA221">
        <v>33</v>
      </c>
      <c r="EB221" t="s">
        <v>4065</v>
      </c>
      <c r="EC221">
        <v>0.4</v>
      </c>
      <c r="ED221">
        <v>1923</v>
      </c>
      <c r="EE221">
        <v>56</v>
      </c>
      <c r="EF221" t="s">
        <v>4066</v>
      </c>
      <c r="EG221">
        <v>33</v>
      </c>
      <c r="EH221" t="s">
        <v>4065</v>
      </c>
      <c r="EI221">
        <v>0.4</v>
      </c>
      <c r="EJ221">
        <v>1930</v>
      </c>
      <c r="EK221">
        <v>56</v>
      </c>
      <c r="EL221" t="s">
        <v>1528</v>
      </c>
      <c r="EM221">
        <v>12</v>
      </c>
      <c r="EN221">
        <v>0.5</v>
      </c>
      <c r="EO221">
        <v>0.96</v>
      </c>
      <c r="EP221">
        <v>1930.56</v>
      </c>
      <c r="EQ221">
        <v>31974.9</v>
      </c>
      <c r="ER221">
        <v>9077.77</v>
      </c>
      <c r="ES221">
        <v>0</v>
      </c>
      <c r="ET221">
        <v>0</v>
      </c>
      <c r="EU221">
        <v>1</v>
      </c>
      <c r="EV221">
        <v>41053</v>
      </c>
      <c r="EW221">
        <v>493</v>
      </c>
      <c r="EX221" t="s">
        <v>4755</v>
      </c>
      <c r="EY221">
        <v>216</v>
      </c>
      <c r="EZ221" t="s">
        <v>4055</v>
      </c>
      <c r="FA221">
        <v>4.1</v>
      </c>
      <c r="FB221">
        <v>1</v>
      </c>
      <c r="FC221">
        <v>1</v>
      </c>
      <c r="FD221">
        <v>1963</v>
      </c>
      <c r="FE221">
        <v>2041</v>
      </c>
      <c r="FF221" t="s">
        <v>4756</v>
      </c>
      <c r="FG221">
        <v>216</v>
      </c>
      <c r="FH221" t="s">
        <v>4055</v>
      </c>
      <c r="FI221">
        <v>3.8</v>
      </c>
      <c r="FJ221">
        <v>1963</v>
      </c>
      <c r="FK221">
        <v>1989</v>
      </c>
      <c r="FL221" t="s">
        <v>4069</v>
      </c>
      <c r="FM221" t="s">
        <v>4055</v>
      </c>
      <c r="FN221" t="s">
        <v>4055</v>
      </c>
      <c r="FO221" t="s">
        <v>4055</v>
      </c>
      <c r="FP221">
        <v>1963</v>
      </c>
      <c r="FQ221">
        <v>150</v>
      </c>
      <c r="FR221" t="s">
        <v>4090</v>
      </c>
      <c r="FS221">
        <v>220</v>
      </c>
      <c r="FT221" t="s">
        <v>4055</v>
      </c>
      <c r="FU221">
        <v>0.4</v>
      </c>
      <c r="FV221">
        <v>1963</v>
      </c>
      <c r="FW221">
        <v>192</v>
      </c>
      <c r="FX221" t="s">
        <v>4070</v>
      </c>
      <c r="FY221">
        <v>5</v>
      </c>
      <c r="FZ221" t="s">
        <v>4055</v>
      </c>
      <c r="GA221" t="s">
        <v>4055</v>
      </c>
      <c r="GB221">
        <v>1963</v>
      </c>
      <c r="GC221">
        <v>19</v>
      </c>
      <c r="GD221">
        <v>4391</v>
      </c>
      <c r="GE221" t="s">
        <v>4838</v>
      </c>
      <c r="GF221" t="s">
        <v>4055</v>
      </c>
      <c r="GG221" t="s">
        <v>4055</v>
      </c>
      <c r="GH221" t="s">
        <v>4055</v>
      </c>
      <c r="GI221" t="s">
        <v>4071</v>
      </c>
      <c r="GJ221" t="s">
        <v>4055</v>
      </c>
      <c r="GK221" t="s">
        <v>4055</v>
      </c>
      <c r="GL221" t="s">
        <v>4055</v>
      </c>
      <c r="GM221" t="s">
        <v>4055</v>
      </c>
      <c r="GQ221">
        <v>0</v>
      </c>
      <c r="GV221">
        <v>8.300000000000001</v>
      </c>
      <c r="GW221">
        <v>11.3</v>
      </c>
      <c r="GX221">
        <v>0.5</v>
      </c>
      <c r="GY221">
        <v>192</v>
      </c>
      <c r="GZ221">
        <v>3</v>
      </c>
      <c r="HA221">
        <v>232</v>
      </c>
      <c r="HB221">
        <v>3</v>
      </c>
      <c r="HC221">
        <v>1963</v>
      </c>
      <c r="HD221">
        <v>4</v>
      </c>
      <c r="HE221" t="s">
        <v>4071</v>
      </c>
      <c r="HG221" t="s">
        <v>549</v>
      </c>
      <c r="HL221">
        <v>4</v>
      </c>
      <c r="HM221">
        <v>18</v>
      </c>
      <c r="HN221">
        <v>1</v>
      </c>
      <c r="HO221">
        <v>1</v>
      </c>
      <c r="HP221">
        <v>0</v>
      </c>
      <c r="HQ221">
        <v>0</v>
      </c>
      <c r="HR221">
        <v>3</v>
      </c>
      <c r="HS221">
        <v>1920</v>
      </c>
      <c r="HT221">
        <v>5</v>
      </c>
      <c r="HU221">
        <v>1</v>
      </c>
      <c r="HV221">
        <v>5</v>
      </c>
      <c r="HW221">
        <v>0</v>
      </c>
      <c r="HX221">
        <v>1</v>
      </c>
      <c r="HY221">
        <v>0</v>
      </c>
      <c r="HZ221">
        <v>63</v>
      </c>
      <c r="IA221">
        <v>1923</v>
      </c>
      <c r="IB221">
        <v>1930</v>
      </c>
      <c r="ID221">
        <v>1963</v>
      </c>
      <c r="IE221">
        <v>1963</v>
      </c>
      <c r="IF221">
        <v>195</v>
      </c>
      <c r="IG221">
        <v>185</v>
      </c>
      <c r="IH221">
        <v>232</v>
      </c>
      <c r="II221">
        <v>1</v>
      </c>
      <c r="IJ221">
        <v>5</v>
      </c>
      <c r="IK221">
        <v>0</v>
      </c>
      <c r="IL221">
        <v>0</v>
      </c>
      <c r="IM221">
        <v>0</v>
      </c>
      <c r="IN221">
        <v>270</v>
      </c>
      <c r="IO221">
        <v>0</v>
      </c>
      <c r="IP221">
        <v>180</v>
      </c>
      <c r="IQ221">
        <v>0</v>
      </c>
      <c r="IR221">
        <v>330</v>
      </c>
      <c r="IS221">
        <v>0</v>
      </c>
      <c r="IT221">
        <v>90</v>
      </c>
      <c r="IU221">
        <v>0</v>
      </c>
      <c r="IV221">
        <v>6.4</v>
      </c>
      <c r="IW221">
        <v>-6</v>
      </c>
      <c r="IX221">
        <v>100</v>
      </c>
      <c r="IY221">
        <v>70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322</v>
      </c>
      <c r="JJ221">
        <v>302</v>
      </c>
      <c r="JK221">
        <v>233</v>
      </c>
      <c r="JL221">
        <v>302</v>
      </c>
      <c r="JM221">
        <v>233</v>
      </c>
      <c r="JN221">
        <v>195</v>
      </c>
      <c r="JO221">
        <v>242</v>
      </c>
      <c r="JP221">
        <v>224</v>
      </c>
      <c r="JQ221">
        <v>264</v>
      </c>
      <c r="JR221">
        <v>316</v>
      </c>
      <c r="JS221">
        <v>280</v>
      </c>
      <c r="JT221">
        <v>0</v>
      </c>
      <c r="JU221">
        <v>0</v>
      </c>
      <c r="JV221">
        <v>310</v>
      </c>
      <c r="JW221">
        <v>311</v>
      </c>
      <c r="JX221">
        <v>305</v>
      </c>
      <c r="JY221">
        <v>0</v>
      </c>
      <c r="JZ221">
        <v>0.5</v>
      </c>
      <c r="KA221">
        <v>0.2</v>
      </c>
      <c r="KB221">
        <v>0.4</v>
      </c>
      <c r="KC221">
        <v>0.42</v>
      </c>
      <c r="KD221">
        <v>0.3</v>
      </c>
      <c r="KE221">
        <v>0.5</v>
      </c>
      <c r="KF221">
        <v>0.24</v>
      </c>
      <c r="KG221">
        <v>0.11</v>
      </c>
      <c r="KH221">
        <v>4.5</v>
      </c>
      <c r="KI221">
        <v>1</v>
      </c>
      <c r="KJ221">
        <v>4.5</v>
      </c>
      <c r="KK221">
        <v>0</v>
      </c>
      <c r="KL221">
        <v>4.5</v>
      </c>
      <c r="KM221">
        <v>0</v>
      </c>
      <c r="KN221">
        <v>1.7</v>
      </c>
      <c r="KO221">
        <v>0</v>
      </c>
      <c r="KP221">
        <v>0</v>
      </c>
      <c r="KQ221">
        <v>0.8</v>
      </c>
      <c r="KR221">
        <v>0.8</v>
      </c>
      <c r="KS221">
        <v>0</v>
      </c>
      <c r="KT221">
        <v>2.3</v>
      </c>
      <c r="KU221">
        <v>0</v>
      </c>
      <c r="KV221">
        <v>0</v>
      </c>
      <c r="KW221">
        <v>1.2</v>
      </c>
      <c r="KX221">
        <v>1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3</v>
      </c>
      <c r="LI221">
        <v>0</v>
      </c>
      <c r="LJ221">
        <v>0</v>
      </c>
      <c r="LK221">
        <v>4.5</v>
      </c>
      <c r="LL221">
        <v>6</v>
      </c>
      <c r="LM221">
        <v>7.5</v>
      </c>
      <c r="LN221">
        <v>0.1</v>
      </c>
      <c r="LO221">
        <v>0.1</v>
      </c>
      <c r="LP221">
        <v>0</v>
      </c>
      <c r="LQ221">
        <v>0</v>
      </c>
      <c r="LR221">
        <v>0</v>
      </c>
      <c r="LS221">
        <v>1</v>
      </c>
      <c r="LT221">
        <v>0</v>
      </c>
      <c r="LU221">
        <v>0</v>
      </c>
      <c r="LV221">
        <v>0</v>
      </c>
      <c r="LW221">
        <v>1.5</v>
      </c>
      <c r="LX221">
        <v>1.5</v>
      </c>
      <c r="LY221">
        <v>1.5</v>
      </c>
      <c r="LZ221">
        <v>1.5</v>
      </c>
      <c r="MA221">
        <v>0</v>
      </c>
      <c r="MB221">
        <v>4</v>
      </c>
      <c r="MC221">
        <v>0</v>
      </c>
      <c r="MD221">
        <v>4.5</v>
      </c>
      <c r="ME221">
        <v>6</v>
      </c>
      <c r="MF221">
        <v>6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358</v>
      </c>
      <c r="MN221">
        <v>190</v>
      </c>
      <c r="MO221">
        <v>242</v>
      </c>
      <c r="NU221">
        <v>0.15</v>
      </c>
      <c r="NV221">
        <v>0.2</v>
      </c>
      <c r="NW221">
        <v>0.2</v>
      </c>
      <c r="NX221">
        <v>0.2</v>
      </c>
      <c r="NY221">
        <v>0.2</v>
      </c>
      <c r="NZ221">
        <v>0.2</v>
      </c>
      <c r="OE221" t="s">
        <v>4838</v>
      </c>
      <c r="OF221" t="s">
        <v>4322</v>
      </c>
      <c r="OG221" t="s">
        <v>4323</v>
      </c>
      <c r="OH221" t="s">
        <v>4043</v>
      </c>
      <c r="OI221" t="s">
        <v>4838</v>
      </c>
      <c r="OJ221" t="s">
        <v>4837</v>
      </c>
      <c r="OK221">
        <v>61</v>
      </c>
      <c r="OL221">
        <v>61</v>
      </c>
      <c r="OM221" t="s">
        <v>4322</v>
      </c>
      <c r="ON221">
        <v>3</v>
      </c>
      <c r="OO221">
        <v>1923</v>
      </c>
      <c r="OP221">
        <v>61</v>
      </c>
      <c r="OQ221">
        <v>61</v>
      </c>
      <c r="OR221" t="s">
        <v>4323</v>
      </c>
      <c r="OS221">
        <v>3</v>
      </c>
      <c r="OT221">
        <v>1930</v>
      </c>
      <c r="OU221">
        <v>65</v>
      </c>
      <c r="OV221">
        <v>65</v>
      </c>
      <c r="OW221" t="s">
        <v>4043</v>
      </c>
      <c r="OX221">
        <v>2</v>
      </c>
      <c r="OY221">
        <v>41053</v>
      </c>
      <c r="OZ221">
        <v>51</v>
      </c>
      <c r="PA221">
        <v>52</v>
      </c>
      <c r="PB221" t="s">
        <v>4838</v>
      </c>
      <c r="PC221">
        <v>1</v>
      </c>
      <c r="PD221">
        <v>1963</v>
      </c>
      <c r="PF221">
        <v>356</v>
      </c>
      <c r="PG221">
        <v>29</v>
      </c>
      <c r="PH221">
        <v>338</v>
      </c>
      <c r="PI221">
        <v>29</v>
      </c>
      <c r="PJ221">
        <v>76.5</v>
      </c>
      <c r="PL221">
        <v>1039.7</v>
      </c>
      <c r="PM221">
        <v>1013.3</v>
      </c>
      <c r="PN221">
        <v>97.8</v>
      </c>
      <c r="PO221">
        <v>9.6</v>
      </c>
      <c r="PP221">
        <v>12</v>
      </c>
      <c r="PQ221">
        <v>1</v>
      </c>
      <c r="PR221">
        <v>1</v>
      </c>
      <c r="PS221">
        <v>7</v>
      </c>
      <c r="PT221">
        <v>232</v>
      </c>
      <c r="PU221">
        <v>8</v>
      </c>
      <c r="PV221" t="s">
        <v>4072</v>
      </c>
      <c r="PW221" t="s">
        <v>4072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-1</v>
      </c>
      <c r="QF221">
        <v>1</v>
      </c>
      <c r="QG221">
        <v>0</v>
      </c>
      <c r="QH221">
        <v>5</v>
      </c>
      <c r="QI221">
        <v>5</v>
      </c>
      <c r="QJ221">
        <v>5</v>
      </c>
      <c r="QK221">
        <v>161</v>
      </c>
      <c r="QL221">
        <v>366</v>
      </c>
      <c r="QM221">
        <v>7.5</v>
      </c>
      <c r="QN221">
        <v>1461.1</v>
      </c>
      <c r="QO221" t="s">
        <v>2662</v>
      </c>
      <c r="QP221" t="s">
        <v>513</v>
      </c>
      <c r="QQ221">
        <v>0</v>
      </c>
      <c r="QR221" t="s">
        <v>649</v>
      </c>
      <c r="QS221">
        <v>30</v>
      </c>
      <c r="QT221">
        <v>40</v>
      </c>
    </row>
    <row r="222" spans="1:462">
      <c r="A222" t="s">
        <v>2909</v>
      </c>
      <c r="B222" t="s">
        <v>629</v>
      </c>
      <c r="C222" t="s">
        <v>509</v>
      </c>
      <c r="D222" t="s">
        <v>1738</v>
      </c>
      <c r="E222" t="s">
        <v>4036</v>
      </c>
      <c r="H222" t="s">
        <v>511</v>
      </c>
      <c r="J222" t="s">
        <v>562</v>
      </c>
      <c r="L222" t="s">
        <v>711</v>
      </c>
      <c r="M222" t="s">
        <v>512</v>
      </c>
      <c r="O222" t="s">
        <v>513</v>
      </c>
      <c r="P222" t="s">
        <v>517</v>
      </c>
      <c r="Q222" t="s">
        <v>964</v>
      </c>
      <c r="R222" t="s">
        <v>965</v>
      </c>
      <c r="S222" t="s">
        <v>4073</v>
      </c>
      <c r="T222" t="s">
        <v>686</v>
      </c>
      <c r="U222" t="s">
        <v>687</v>
      </c>
      <c r="V222" t="s">
        <v>1283</v>
      </c>
      <c r="W222" t="s">
        <v>2657</v>
      </c>
      <c r="X222" t="s">
        <v>2910</v>
      </c>
      <c r="Y222" t="s">
        <v>2911</v>
      </c>
      <c r="Z222" t="s">
        <v>541</v>
      </c>
      <c r="AA222" t="s">
        <v>4038</v>
      </c>
      <c r="AB222" t="s">
        <v>4839</v>
      </c>
      <c r="AC222">
        <v>9</v>
      </c>
      <c r="AD222" t="s">
        <v>2908</v>
      </c>
      <c r="AE222">
        <v>4</v>
      </c>
      <c r="AF222">
        <v>5056</v>
      </c>
      <c r="AG222" t="s">
        <v>4123</v>
      </c>
      <c r="AH222">
        <v>1</v>
      </c>
      <c r="AI222" t="s">
        <v>4041</v>
      </c>
      <c r="AK222" t="s">
        <v>4124</v>
      </c>
      <c r="AL222">
        <v>1</v>
      </c>
      <c r="AM222" t="s">
        <v>582</v>
      </c>
      <c r="AO222" t="s">
        <v>4043</v>
      </c>
      <c r="AP222">
        <v>1</v>
      </c>
      <c r="AR222" t="s">
        <v>4840</v>
      </c>
      <c r="AS222">
        <v>1</v>
      </c>
      <c r="AT222">
        <v>52</v>
      </c>
      <c r="AV222" t="s">
        <v>4078</v>
      </c>
      <c r="AW222">
        <v>6.4</v>
      </c>
      <c r="AX222">
        <v>-6</v>
      </c>
      <c r="AY222">
        <v>105</v>
      </c>
      <c r="AZ222">
        <v>75</v>
      </c>
      <c r="BH222">
        <v>105</v>
      </c>
      <c r="BI222">
        <v>30</v>
      </c>
      <c r="BJ222">
        <v>75</v>
      </c>
      <c r="BK222">
        <v>2.5</v>
      </c>
      <c r="BL222">
        <v>210</v>
      </c>
      <c r="BM222">
        <v>-6</v>
      </c>
      <c r="BN222">
        <v>0</v>
      </c>
      <c r="BO222">
        <v>0</v>
      </c>
      <c r="BP222">
        <v>0</v>
      </c>
      <c r="BR222">
        <v>205</v>
      </c>
      <c r="BS222">
        <v>195</v>
      </c>
      <c r="BT222">
        <v>2085</v>
      </c>
      <c r="BU222" t="s">
        <v>4127</v>
      </c>
      <c r="BV222" t="s">
        <v>4127</v>
      </c>
      <c r="BW222" t="s">
        <v>4128</v>
      </c>
      <c r="BX222" t="s">
        <v>4128</v>
      </c>
      <c r="BY222" t="s">
        <v>4160</v>
      </c>
      <c r="BZ222" t="s">
        <v>4160</v>
      </c>
      <c r="CA222" t="s">
        <v>4130</v>
      </c>
      <c r="CB222" t="s">
        <v>4131</v>
      </c>
      <c r="CC222" t="s">
        <v>4053</v>
      </c>
      <c r="CD222" t="s">
        <v>4055</v>
      </c>
      <c r="CE222" t="s">
        <v>4055</v>
      </c>
      <c r="CF222" t="s">
        <v>4055</v>
      </c>
      <c r="CG222" t="s">
        <v>4056</v>
      </c>
      <c r="CI222" t="s">
        <v>4086</v>
      </c>
      <c r="CJ222" t="s">
        <v>4059</v>
      </c>
      <c r="CK222" t="s">
        <v>4060</v>
      </c>
      <c r="CL222" t="s">
        <v>4061</v>
      </c>
      <c r="CM222" t="s">
        <v>4055</v>
      </c>
      <c r="CN222" t="s">
        <v>4062</v>
      </c>
      <c r="CO222" t="s">
        <v>4063</v>
      </c>
      <c r="CP222" t="s">
        <v>4055</v>
      </c>
      <c r="CQ222" t="s">
        <v>4055</v>
      </c>
      <c r="CR222">
        <v>5</v>
      </c>
      <c r="CS222" t="s">
        <v>4055</v>
      </c>
      <c r="CT222" t="s">
        <v>4055</v>
      </c>
      <c r="CU222" t="s">
        <v>4055</v>
      </c>
      <c r="CV222">
        <v>129</v>
      </c>
      <c r="CW222">
        <v>3</v>
      </c>
      <c r="CX222">
        <v>86</v>
      </c>
      <c r="CY222">
        <v>5</v>
      </c>
      <c r="CZ222">
        <v>147</v>
      </c>
      <c r="DA222">
        <v>5</v>
      </c>
      <c r="DB222">
        <v>12680</v>
      </c>
      <c r="DC222">
        <v>380</v>
      </c>
      <c r="DD222">
        <v>325</v>
      </c>
      <c r="DE222">
        <v>2222</v>
      </c>
      <c r="DF222">
        <v>2200</v>
      </c>
      <c r="DG222">
        <v>2233</v>
      </c>
      <c r="DH222">
        <v>1</v>
      </c>
      <c r="DI222" t="s">
        <v>4055</v>
      </c>
      <c r="DJ222" t="s">
        <v>4132</v>
      </c>
      <c r="DK222">
        <v>205</v>
      </c>
      <c r="DL222" t="s">
        <v>4065</v>
      </c>
      <c r="DM222">
        <v>67</v>
      </c>
      <c r="DN222">
        <v>1.1</v>
      </c>
      <c r="DO222">
        <v>1</v>
      </c>
      <c r="DP222">
        <v>2088</v>
      </c>
      <c r="DQ222">
        <v>925</v>
      </c>
      <c r="DR222" t="s">
        <v>4132</v>
      </c>
      <c r="DS222">
        <v>195</v>
      </c>
      <c r="DT222" t="s">
        <v>4065</v>
      </c>
      <c r="DU222">
        <v>67</v>
      </c>
      <c r="DV222">
        <v>1.1</v>
      </c>
      <c r="DW222">
        <v>1</v>
      </c>
      <c r="DX222">
        <v>2100</v>
      </c>
      <c r="DY222">
        <v>886</v>
      </c>
      <c r="DZ222" t="s">
        <v>4066</v>
      </c>
      <c r="EA222">
        <v>20</v>
      </c>
      <c r="EB222" t="s">
        <v>4065</v>
      </c>
      <c r="EC222">
        <v>0.8</v>
      </c>
      <c r="ED222">
        <v>2088</v>
      </c>
      <c r="EE222">
        <v>73</v>
      </c>
      <c r="EG222">
        <v>0</v>
      </c>
      <c r="EH222" t="s">
        <v>4065</v>
      </c>
      <c r="EI222">
        <v>0</v>
      </c>
      <c r="EL222" t="s">
        <v>1528</v>
      </c>
      <c r="EM222">
        <v>12</v>
      </c>
      <c r="EN222">
        <v>0.5</v>
      </c>
      <c r="EO222">
        <v>0.96</v>
      </c>
      <c r="EP222">
        <v>2098.83</v>
      </c>
      <c r="EQ222">
        <v>36401.58</v>
      </c>
      <c r="ER222">
        <v>9866.540000000001</v>
      </c>
      <c r="ES222">
        <v>0</v>
      </c>
      <c r="ET222">
        <v>0</v>
      </c>
      <c r="EU222">
        <v>1</v>
      </c>
      <c r="EV222">
        <v>46269</v>
      </c>
      <c r="EW222">
        <v>556</v>
      </c>
      <c r="EX222" t="s">
        <v>4755</v>
      </c>
      <c r="EY222">
        <v>224</v>
      </c>
      <c r="EZ222" t="s">
        <v>4055</v>
      </c>
      <c r="FA222">
        <v>4.1</v>
      </c>
      <c r="FB222">
        <v>1</v>
      </c>
      <c r="FC222">
        <v>1</v>
      </c>
      <c r="FD222">
        <v>2133</v>
      </c>
      <c r="FE222">
        <v>2303</v>
      </c>
      <c r="FF222" t="s">
        <v>4756</v>
      </c>
      <c r="FG222">
        <v>224</v>
      </c>
      <c r="FH222" t="s">
        <v>4055</v>
      </c>
      <c r="FI222">
        <v>4.2</v>
      </c>
      <c r="FJ222">
        <v>2133</v>
      </c>
      <c r="FK222">
        <v>2450</v>
      </c>
      <c r="FL222" t="s">
        <v>4069</v>
      </c>
      <c r="FM222" t="s">
        <v>4055</v>
      </c>
      <c r="FN222" t="s">
        <v>4055</v>
      </c>
      <c r="FO222" t="s">
        <v>4055</v>
      </c>
      <c r="FP222">
        <v>2133</v>
      </c>
      <c r="FQ222">
        <v>187</v>
      </c>
      <c r="FR222" t="s">
        <v>4090</v>
      </c>
      <c r="FS222">
        <v>228</v>
      </c>
      <c r="FT222" t="s">
        <v>4055</v>
      </c>
      <c r="FU222">
        <v>0.4</v>
      </c>
      <c r="FV222">
        <v>2133</v>
      </c>
      <c r="FW222">
        <v>216</v>
      </c>
      <c r="FX222" t="s">
        <v>4070</v>
      </c>
      <c r="FY222">
        <v>5</v>
      </c>
      <c r="FZ222" t="s">
        <v>4055</v>
      </c>
      <c r="GA222" t="s">
        <v>4055</v>
      </c>
      <c r="GB222">
        <v>2133</v>
      </c>
      <c r="GC222">
        <v>22</v>
      </c>
      <c r="GD222">
        <v>5178</v>
      </c>
      <c r="GE222" t="s">
        <v>4840</v>
      </c>
      <c r="GF222" t="s">
        <v>4055</v>
      </c>
      <c r="GG222" t="s">
        <v>4055</v>
      </c>
      <c r="GH222" t="s">
        <v>4055</v>
      </c>
      <c r="GI222" t="s">
        <v>4071</v>
      </c>
      <c r="GJ222" t="s">
        <v>4055</v>
      </c>
      <c r="GK222" t="s">
        <v>4055</v>
      </c>
      <c r="GL222" t="s">
        <v>4055</v>
      </c>
      <c r="GM222" t="s">
        <v>4055</v>
      </c>
      <c r="GQ222">
        <v>0</v>
      </c>
      <c r="GV222">
        <v>8.699999999999999</v>
      </c>
      <c r="GW222">
        <v>11.3</v>
      </c>
      <c r="GX222">
        <v>0.5</v>
      </c>
      <c r="GY222">
        <v>194</v>
      </c>
      <c r="GZ222">
        <v>3</v>
      </c>
      <c r="HA222">
        <v>244</v>
      </c>
      <c r="HB222">
        <v>3</v>
      </c>
      <c r="HC222">
        <v>2133</v>
      </c>
      <c r="HD222">
        <v>4</v>
      </c>
      <c r="HE222" t="s">
        <v>4071</v>
      </c>
      <c r="HG222" t="s">
        <v>549</v>
      </c>
      <c r="HL222">
        <v>4</v>
      </c>
      <c r="HM222">
        <v>19</v>
      </c>
      <c r="HN222">
        <v>6</v>
      </c>
      <c r="HO222">
        <v>1</v>
      </c>
      <c r="HP222">
        <v>0</v>
      </c>
      <c r="HQ222">
        <v>0</v>
      </c>
      <c r="HR222">
        <v>2</v>
      </c>
      <c r="HS222">
        <v>2085</v>
      </c>
      <c r="HT222">
        <v>5</v>
      </c>
      <c r="HU222">
        <v>1</v>
      </c>
      <c r="HV222">
        <v>5</v>
      </c>
      <c r="HW222">
        <v>0</v>
      </c>
      <c r="HX222">
        <v>1</v>
      </c>
      <c r="HY222">
        <v>0</v>
      </c>
      <c r="HZ222">
        <v>67</v>
      </c>
      <c r="IA222">
        <v>2088</v>
      </c>
      <c r="IB222">
        <v>2100</v>
      </c>
      <c r="ID222">
        <v>2133</v>
      </c>
      <c r="IE222">
        <v>2133</v>
      </c>
      <c r="IF222">
        <v>205</v>
      </c>
      <c r="IG222">
        <v>195</v>
      </c>
      <c r="IH222">
        <v>244</v>
      </c>
      <c r="II222">
        <v>1</v>
      </c>
      <c r="IJ222">
        <v>5</v>
      </c>
      <c r="IK222">
        <v>0</v>
      </c>
      <c r="IL222">
        <v>0</v>
      </c>
      <c r="IM222">
        <v>0</v>
      </c>
      <c r="IN222">
        <v>270</v>
      </c>
      <c r="IO222">
        <v>0</v>
      </c>
      <c r="IP222">
        <v>180</v>
      </c>
      <c r="IQ222">
        <v>0</v>
      </c>
      <c r="IR222">
        <v>330</v>
      </c>
      <c r="IS222">
        <v>0</v>
      </c>
      <c r="IT222">
        <v>90</v>
      </c>
      <c r="IU222">
        <v>0</v>
      </c>
      <c r="IV222">
        <v>6.4</v>
      </c>
      <c r="IW222">
        <v>-6</v>
      </c>
      <c r="IX222">
        <v>105</v>
      </c>
      <c r="IY222">
        <v>75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378</v>
      </c>
      <c r="JJ222">
        <v>348</v>
      </c>
      <c r="JK222">
        <v>260</v>
      </c>
      <c r="JL222">
        <v>348</v>
      </c>
      <c r="JM222">
        <v>270</v>
      </c>
      <c r="JN222">
        <v>205</v>
      </c>
      <c r="JO222">
        <v>254</v>
      </c>
      <c r="JP222">
        <v>205</v>
      </c>
      <c r="JQ222">
        <v>235</v>
      </c>
      <c r="JR222">
        <v>298</v>
      </c>
      <c r="JS222">
        <v>244</v>
      </c>
      <c r="JT222">
        <v>0</v>
      </c>
      <c r="JU222">
        <v>0</v>
      </c>
      <c r="JV222">
        <v>280</v>
      </c>
      <c r="JW222">
        <v>278</v>
      </c>
      <c r="JX222">
        <v>282</v>
      </c>
      <c r="JY222">
        <v>260</v>
      </c>
      <c r="JZ222">
        <v>0.5</v>
      </c>
      <c r="KA222">
        <v>0.2</v>
      </c>
      <c r="KB222">
        <v>0.4</v>
      </c>
      <c r="KC222">
        <v>0.42</v>
      </c>
      <c r="KD222">
        <v>0.28</v>
      </c>
      <c r="KE222">
        <v>0.5</v>
      </c>
      <c r="KF222">
        <v>0.19</v>
      </c>
      <c r="KG222">
        <v>0.11</v>
      </c>
      <c r="KH222">
        <v>3.5</v>
      </c>
      <c r="KI222">
        <v>1</v>
      </c>
      <c r="KJ222">
        <v>4.5</v>
      </c>
      <c r="KK222">
        <v>0</v>
      </c>
      <c r="KL222">
        <v>4.5</v>
      </c>
      <c r="KM222">
        <v>0</v>
      </c>
      <c r="KN222">
        <v>2</v>
      </c>
      <c r="KO222">
        <v>0</v>
      </c>
      <c r="KP222">
        <v>0</v>
      </c>
      <c r="KQ222">
        <v>0.8</v>
      </c>
      <c r="KR222">
        <v>0.8</v>
      </c>
      <c r="KS222">
        <v>0</v>
      </c>
      <c r="KT222">
        <v>2.5</v>
      </c>
      <c r="KU222">
        <v>0</v>
      </c>
      <c r="KV222">
        <v>0</v>
      </c>
      <c r="KW222">
        <v>1.2</v>
      </c>
      <c r="KX222">
        <v>2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3</v>
      </c>
      <c r="LI222">
        <v>0.5</v>
      </c>
      <c r="LJ222">
        <v>0</v>
      </c>
      <c r="LK222">
        <v>8</v>
      </c>
      <c r="LL222">
        <v>4</v>
      </c>
      <c r="LM222">
        <v>9</v>
      </c>
      <c r="LN222">
        <v>1</v>
      </c>
      <c r="LO222">
        <v>3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1.8</v>
      </c>
      <c r="LX222">
        <v>1.8</v>
      </c>
      <c r="LY222">
        <v>2.1</v>
      </c>
      <c r="LZ222">
        <v>2.1</v>
      </c>
      <c r="MA222">
        <v>0</v>
      </c>
      <c r="MB222">
        <v>2.5</v>
      </c>
      <c r="MC222">
        <v>0</v>
      </c>
      <c r="MD222">
        <v>4.5</v>
      </c>
      <c r="ME222">
        <v>6</v>
      </c>
      <c r="MF222">
        <v>6</v>
      </c>
      <c r="MI222">
        <v>0</v>
      </c>
      <c r="MJ222">
        <v>0</v>
      </c>
      <c r="ML222">
        <v>0</v>
      </c>
      <c r="MM222">
        <v>390</v>
      </c>
      <c r="MN222">
        <v>200</v>
      </c>
      <c r="MO222">
        <v>254</v>
      </c>
      <c r="NU222">
        <v>0.15</v>
      </c>
      <c r="NV222">
        <v>0.25</v>
      </c>
      <c r="NW222">
        <v>0.3</v>
      </c>
      <c r="NX222">
        <v>0.2</v>
      </c>
      <c r="NY222">
        <v>0.2</v>
      </c>
      <c r="NZ222">
        <v>0.2</v>
      </c>
      <c r="OE222" t="s">
        <v>4840</v>
      </c>
      <c r="OF222" t="s">
        <v>4123</v>
      </c>
      <c r="OG222" t="s">
        <v>4124</v>
      </c>
      <c r="OH222" t="s">
        <v>4043</v>
      </c>
      <c r="OI222" t="s">
        <v>4840</v>
      </c>
      <c r="OJ222" t="s">
        <v>4839</v>
      </c>
      <c r="OK222">
        <v>61</v>
      </c>
      <c r="OL222">
        <v>61</v>
      </c>
      <c r="OM222" t="s">
        <v>4123</v>
      </c>
      <c r="ON222">
        <v>1</v>
      </c>
      <c r="OO222">
        <v>2088</v>
      </c>
      <c r="OP222">
        <v>61</v>
      </c>
      <c r="OQ222">
        <v>61</v>
      </c>
      <c r="OR222" t="s">
        <v>4124</v>
      </c>
      <c r="OS222">
        <v>1</v>
      </c>
      <c r="OT222">
        <v>2100</v>
      </c>
      <c r="OU222">
        <v>65</v>
      </c>
      <c r="OV222">
        <v>65</v>
      </c>
      <c r="OW222" t="s">
        <v>4043</v>
      </c>
      <c r="OX222">
        <v>2</v>
      </c>
      <c r="OY222">
        <v>46269</v>
      </c>
      <c r="OZ222">
        <v>51</v>
      </c>
      <c r="PA222">
        <v>52</v>
      </c>
      <c r="PB222" t="s">
        <v>4840</v>
      </c>
      <c r="PC222">
        <v>1</v>
      </c>
      <c r="PD222">
        <v>2133</v>
      </c>
      <c r="PF222">
        <v>443</v>
      </c>
      <c r="PG222">
        <v>35</v>
      </c>
      <c r="PH222">
        <v>422</v>
      </c>
      <c r="PI222">
        <v>0</v>
      </c>
      <c r="PJ222">
        <v>87.59999999999999</v>
      </c>
      <c r="PL222">
        <v>1079.5</v>
      </c>
      <c r="PM222">
        <v>1148.5</v>
      </c>
      <c r="PN222">
        <v>101.4</v>
      </c>
      <c r="PO222">
        <v>10.1</v>
      </c>
      <c r="PP222">
        <v>12</v>
      </c>
      <c r="PQ222">
        <v>3</v>
      </c>
      <c r="PR222">
        <v>5</v>
      </c>
      <c r="PS222">
        <v>0</v>
      </c>
      <c r="PT222">
        <v>244</v>
      </c>
      <c r="PU222">
        <v>10</v>
      </c>
      <c r="PV222" t="s">
        <v>4072</v>
      </c>
      <c r="PW222" t="s">
        <v>4072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-1</v>
      </c>
      <c r="QF222">
        <v>1</v>
      </c>
      <c r="QG222">
        <v>0</v>
      </c>
      <c r="QH222">
        <v>5</v>
      </c>
      <c r="QI222">
        <v>5</v>
      </c>
      <c r="QJ222">
        <v>5</v>
      </c>
      <c r="QK222">
        <v>205</v>
      </c>
      <c r="QL222">
        <v>408</v>
      </c>
      <c r="QM222">
        <v>7.5</v>
      </c>
      <c r="QN222">
        <v>1544.1</v>
      </c>
      <c r="QO222" t="s">
        <v>2662</v>
      </c>
      <c r="QP222" t="s">
        <v>513</v>
      </c>
      <c r="QQ222">
        <v>0</v>
      </c>
      <c r="QR222" t="s">
        <v>596</v>
      </c>
      <c r="QS222">
        <v>40</v>
      </c>
      <c r="QT222">
        <v>50</v>
      </c>
    </row>
    <row r="223" spans="1:462">
      <c r="A223" t="s">
        <v>2917</v>
      </c>
      <c r="B223" t="s">
        <v>804</v>
      </c>
      <c r="C223" t="s">
        <v>509</v>
      </c>
      <c r="D223" t="s">
        <v>2916</v>
      </c>
      <c r="E223" t="s">
        <v>4036</v>
      </c>
      <c r="H223" t="s">
        <v>511</v>
      </c>
      <c r="J223" t="s">
        <v>562</v>
      </c>
      <c r="L223" t="s">
        <v>508</v>
      </c>
      <c r="M223" t="s">
        <v>512</v>
      </c>
      <c r="N223" t="s">
        <v>515</v>
      </c>
      <c r="O223" t="s">
        <v>513</v>
      </c>
      <c r="P223" t="s">
        <v>517</v>
      </c>
      <c r="Q223" t="s">
        <v>2918</v>
      </c>
      <c r="R223" t="s">
        <v>2808</v>
      </c>
      <c r="S223" t="s">
        <v>4073</v>
      </c>
      <c r="T223" t="s">
        <v>570</v>
      </c>
      <c r="U223" t="s">
        <v>571</v>
      </c>
      <c r="V223" t="s">
        <v>1296</v>
      </c>
      <c r="W223" t="s">
        <v>2657</v>
      </c>
      <c r="X223" t="s">
        <v>2919</v>
      </c>
      <c r="Y223" t="s">
        <v>2920</v>
      </c>
      <c r="Z223" t="s">
        <v>541</v>
      </c>
      <c r="AA223" t="s">
        <v>4038</v>
      </c>
      <c r="AB223" t="s">
        <v>4841</v>
      </c>
      <c r="AC223">
        <v>9</v>
      </c>
      <c r="AD223" t="s">
        <v>2915</v>
      </c>
      <c r="AE223">
        <v>2</v>
      </c>
      <c r="AF223">
        <v>6333</v>
      </c>
      <c r="AG223" t="s">
        <v>4294</v>
      </c>
      <c r="AH223">
        <v>1</v>
      </c>
      <c r="AI223" t="s">
        <v>4041</v>
      </c>
      <c r="AK223" t="s">
        <v>4295</v>
      </c>
      <c r="AL223">
        <v>1</v>
      </c>
      <c r="AM223" t="s">
        <v>582</v>
      </c>
      <c r="AO223" t="s">
        <v>4043</v>
      </c>
      <c r="AP223">
        <v>1</v>
      </c>
      <c r="AR223" t="s">
        <v>4842</v>
      </c>
      <c r="AS223">
        <v>1</v>
      </c>
      <c r="AT223">
        <v>52</v>
      </c>
      <c r="AV223" t="s">
        <v>4078</v>
      </c>
      <c r="AW223">
        <v>6.4</v>
      </c>
      <c r="AX223">
        <v>-6</v>
      </c>
      <c r="AY223">
        <v>117.5</v>
      </c>
      <c r="AZ223">
        <v>87</v>
      </c>
      <c r="BH223">
        <v>117.5</v>
      </c>
      <c r="BI223">
        <v>30.5</v>
      </c>
      <c r="BJ223">
        <v>87</v>
      </c>
      <c r="BK223">
        <v>2.5</v>
      </c>
      <c r="BL223">
        <v>235</v>
      </c>
      <c r="BM223">
        <v>-6</v>
      </c>
      <c r="BN223">
        <v>0</v>
      </c>
      <c r="BO223">
        <v>0</v>
      </c>
      <c r="BP223">
        <v>0</v>
      </c>
      <c r="BR223">
        <v>230</v>
      </c>
      <c r="BS223">
        <v>220</v>
      </c>
      <c r="BT223">
        <v>2260</v>
      </c>
      <c r="BU223" t="s">
        <v>4079</v>
      </c>
      <c r="BV223" t="s">
        <v>4079</v>
      </c>
      <c r="BW223" t="s">
        <v>4081</v>
      </c>
      <c r="BX223" t="s">
        <v>4081</v>
      </c>
      <c r="BY223" t="s">
        <v>4199</v>
      </c>
      <c r="BZ223" t="s">
        <v>4164</v>
      </c>
      <c r="CA223" t="s">
        <v>4084</v>
      </c>
      <c r="CB223" t="s">
        <v>4085</v>
      </c>
      <c r="CC223" t="s">
        <v>4053</v>
      </c>
      <c r="CD223" t="s">
        <v>4055</v>
      </c>
      <c r="CE223" t="s">
        <v>4055</v>
      </c>
      <c r="CF223" t="s">
        <v>4055</v>
      </c>
      <c r="CG223" t="s">
        <v>4056</v>
      </c>
      <c r="CI223" t="s">
        <v>4086</v>
      </c>
      <c r="CJ223" t="s">
        <v>4059</v>
      </c>
      <c r="CK223" t="s">
        <v>4060</v>
      </c>
      <c r="CL223" t="s">
        <v>4061</v>
      </c>
      <c r="CM223" t="s">
        <v>4055</v>
      </c>
      <c r="CN223" t="s">
        <v>4062</v>
      </c>
      <c r="CO223" t="s">
        <v>4063</v>
      </c>
      <c r="CP223" t="s">
        <v>4055</v>
      </c>
      <c r="CQ223" t="s">
        <v>4055</v>
      </c>
      <c r="CR223">
        <v>5</v>
      </c>
      <c r="CS223" t="s">
        <v>4055</v>
      </c>
      <c r="CT223" t="s">
        <v>4055</v>
      </c>
      <c r="CU223" t="s">
        <v>4055</v>
      </c>
      <c r="CV223">
        <v>144</v>
      </c>
      <c r="CW223">
        <v>3</v>
      </c>
      <c r="CX223">
        <v>99</v>
      </c>
      <c r="CY223">
        <v>5</v>
      </c>
      <c r="CZ223">
        <v>165</v>
      </c>
      <c r="DA223">
        <v>5</v>
      </c>
      <c r="DB223">
        <v>15770</v>
      </c>
      <c r="DC223">
        <v>470</v>
      </c>
      <c r="DD223">
        <v>382</v>
      </c>
      <c r="DE223">
        <v>2395</v>
      </c>
      <c r="DF223">
        <v>2395</v>
      </c>
      <c r="DG223">
        <v>2406</v>
      </c>
      <c r="DH223">
        <v>1</v>
      </c>
      <c r="DI223" t="s">
        <v>4055</v>
      </c>
      <c r="DJ223" t="s">
        <v>4217</v>
      </c>
      <c r="DK223">
        <v>230</v>
      </c>
      <c r="DL223" t="s">
        <v>4065</v>
      </c>
      <c r="DM223">
        <v>63</v>
      </c>
      <c r="DN223">
        <v>1.26</v>
      </c>
      <c r="DO223">
        <v>1</v>
      </c>
      <c r="DP223">
        <v>2264</v>
      </c>
      <c r="DQ223">
        <v>1257</v>
      </c>
      <c r="DR223" t="s">
        <v>4217</v>
      </c>
      <c r="DS223">
        <v>220</v>
      </c>
      <c r="DT223" t="s">
        <v>4065</v>
      </c>
      <c r="DU223">
        <v>63</v>
      </c>
      <c r="DV223">
        <v>1.26</v>
      </c>
      <c r="DW223">
        <v>1</v>
      </c>
      <c r="DX223">
        <v>2277</v>
      </c>
      <c r="DY223">
        <v>1209</v>
      </c>
      <c r="DZ223" t="s">
        <v>4066</v>
      </c>
      <c r="EA223">
        <v>20</v>
      </c>
      <c r="EB223" t="s">
        <v>4065</v>
      </c>
      <c r="EC223">
        <v>0.8</v>
      </c>
      <c r="ED223">
        <v>2264</v>
      </c>
      <c r="EE223">
        <v>79</v>
      </c>
      <c r="EG223">
        <v>0</v>
      </c>
      <c r="EH223" t="s">
        <v>4065</v>
      </c>
      <c r="EI223">
        <v>0</v>
      </c>
      <c r="EL223" t="s">
        <v>1528</v>
      </c>
      <c r="EM223">
        <v>12</v>
      </c>
      <c r="EN223">
        <v>0.5</v>
      </c>
      <c r="EO223">
        <v>0.96</v>
      </c>
      <c r="EP223">
        <v>2275.84</v>
      </c>
      <c r="EQ223">
        <v>43916.6</v>
      </c>
      <c r="ER223">
        <v>10874.55</v>
      </c>
      <c r="ES223">
        <v>0</v>
      </c>
      <c r="ET223">
        <v>0</v>
      </c>
      <c r="EU223">
        <v>1</v>
      </c>
      <c r="EV223">
        <v>54792</v>
      </c>
      <c r="EW223">
        <v>658</v>
      </c>
      <c r="EX223" t="s">
        <v>4755</v>
      </c>
      <c r="EY223">
        <v>250</v>
      </c>
      <c r="EZ223" t="s">
        <v>4055</v>
      </c>
      <c r="FA223">
        <v>3.9</v>
      </c>
      <c r="FB223">
        <v>1</v>
      </c>
      <c r="FC223">
        <v>1</v>
      </c>
      <c r="FD223">
        <v>2309</v>
      </c>
      <c r="FE223">
        <v>2757</v>
      </c>
      <c r="FF223" t="s">
        <v>4756</v>
      </c>
      <c r="FG223">
        <v>250</v>
      </c>
      <c r="FH223" t="s">
        <v>4055</v>
      </c>
      <c r="FI223">
        <v>4.3</v>
      </c>
      <c r="FJ223">
        <v>2309</v>
      </c>
      <c r="FK223">
        <v>2934</v>
      </c>
      <c r="FL223" t="s">
        <v>4069</v>
      </c>
      <c r="FM223" t="s">
        <v>4055</v>
      </c>
      <c r="FN223" t="s">
        <v>4055</v>
      </c>
      <c r="FO223" t="s">
        <v>4055</v>
      </c>
      <c r="FP223">
        <v>2309</v>
      </c>
      <c r="FQ223">
        <v>256</v>
      </c>
      <c r="FR223" t="s">
        <v>4090</v>
      </c>
      <c r="FS223">
        <v>254</v>
      </c>
      <c r="FT223" t="s">
        <v>4055</v>
      </c>
      <c r="FU223">
        <v>0.4</v>
      </c>
      <c r="FV223">
        <v>2309</v>
      </c>
      <c r="FW223">
        <v>261</v>
      </c>
      <c r="FX223" t="s">
        <v>4070</v>
      </c>
      <c r="FY223">
        <v>5</v>
      </c>
      <c r="FZ223" t="s">
        <v>4055</v>
      </c>
      <c r="GA223" t="s">
        <v>4055</v>
      </c>
      <c r="GB223">
        <v>2309</v>
      </c>
      <c r="GC223">
        <v>23</v>
      </c>
      <c r="GD223">
        <v>6231</v>
      </c>
      <c r="GE223" t="s">
        <v>4842</v>
      </c>
      <c r="GF223" t="s">
        <v>4055</v>
      </c>
      <c r="GG223" t="s">
        <v>4055</v>
      </c>
      <c r="GH223" t="s">
        <v>4055</v>
      </c>
      <c r="GI223" t="s">
        <v>4071</v>
      </c>
      <c r="GJ223" t="s">
        <v>4055</v>
      </c>
      <c r="GK223" t="s">
        <v>4055</v>
      </c>
      <c r="GL223" t="s">
        <v>4055</v>
      </c>
      <c r="GM223" t="s">
        <v>4055</v>
      </c>
      <c r="GQ223">
        <v>0</v>
      </c>
      <c r="GV223">
        <v>8.6</v>
      </c>
      <c r="GW223">
        <v>11.5</v>
      </c>
      <c r="GX223">
        <v>0.5</v>
      </c>
      <c r="GY223">
        <v>218</v>
      </c>
      <c r="GZ223">
        <v>3</v>
      </c>
      <c r="HA223">
        <v>274</v>
      </c>
      <c r="HB223">
        <v>3</v>
      </c>
      <c r="HC223">
        <v>2309</v>
      </c>
      <c r="HD223">
        <v>4</v>
      </c>
      <c r="HE223" t="s">
        <v>4071</v>
      </c>
      <c r="HG223" t="s">
        <v>549</v>
      </c>
      <c r="HL223">
        <v>4</v>
      </c>
      <c r="HM223">
        <v>20</v>
      </c>
      <c r="HN223">
        <v>6</v>
      </c>
      <c r="HO223">
        <v>1</v>
      </c>
      <c r="HP223">
        <v>0</v>
      </c>
      <c r="HQ223">
        <v>0</v>
      </c>
      <c r="HR223">
        <v>3</v>
      </c>
      <c r="HS223">
        <v>2260</v>
      </c>
      <c r="HT223">
        <v>5</v>
      </c>
      <c r="HU223">
        <v>1</v>
      </c>
      <c r="HV223">
        <v>5</v>
      </c>
      <c r="HW223">
        <v>0</v>
      </c>
      <c r="HX223">
        <v>1</v>
      </c>
      <c r="HY223">
        <v>0</v>
      </c>
      <c r="HZ223">
        <v>63</v>
      </c>
      <c r="IA223">
        <v>2264</v>
      </c>
      <c r="IB223">
        <v>2277</v>
      </c>
      <c r="ID223">
        <v>2309</v>
      </c>
      <c r="IE223">
        <v>2309</v>
      </c>
      <c r="IF223">
        <v>230</v>
      </c>
      <c r="IG223">
        <v>220</v>
      </c>
      <c r="IH223">
        <v>274</v>
      </c>
      <c r="II223">
        <v>1</v>
      </c>
      <c r="IJ223">
        <v>5</v>
      </c>
      <c r="IK223">
        <v>0</v>
      </c>
      <c r="IL223">
        <v>0</v>
      </c>
      <c r="IM223">
        <v>0</v>
      </c>
      <c r="IN223">
        <v>270</v>
      </c>
      <c r="IO223">
        <v>0</v>
      </c>
      <c r="IP223">
        <v>180</v>
      </c>
      <c r="IQ223">
        <v>0</v>
      </c>
      <c r="IR223">
        <v>330</v>
      </c>
      <c r="IS223">
        <v>0</v>
      </c>
      <c r="IT223">
        <v>90</v>
      </c>
      <c r="IU223">
        <v>0</v>
      </c>
      <c r="IV223">
        <v>6.4</v>
      </c>
      <c r="IW223">
        <v>-6</v>
      </c>
      <c r="IX223">
        <v>117.5</v>
      </c>
      <c r="IY223">
        <v>87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434</v>
      </c>
      <c r="JJ223">
        <v>404</v>
      </c>
      <c r="JK223">
        <v>295</v>
      </c>
      <c r="JL223">
        <v>404</v>
      </c>
      <c r="JM223">
        <v>315</v>
      </c>
      <c r="JN223">
        <v>225</v>
      </c>
      <c r="JO223">
        <v>284</v>
      </c>
      <c r="JP223">
        <v>215</v>
      </c>
      <c r="JQ223">
        <v>250</v>
      </c>
      <c r="JR223">
        <v>304</v>
      </c>
      <c r="JS223">
        <v>230</v>
      </c>
      <c r="JT223">
        <v>0</v>
      </c>
      <c r="JU223">
        <v>0</v>
      </c>
      <c r="JV223">
        <v>300</v>
      </c>
      <c r="JW223">
        <v>310</v>
      </c>
      <c r="JX223">
        <v>0</v>
      </c>
      <c r="JY223">
        <v>0</v>
      </c>
      <c r="JZ223">
        <v>0</v>
      </c>
      <c r="KA223">
        <v>0.2</v>
      </c>
      <c r="KB223">
        <v>0.4</v>
      </c>
      <c r="KC223">
        <v>0.42</v>
      </c>
      <c r="KD223">
        <v>0.3</v>
      </c>
      <c r="KE223">
        <v>0.5</v>
      </c>
      <c r="KF223">
        <v>0.2</v>
      </c>
      <c r="KG223">
        <v>0.12</v>
      </c>
      <c r="KH223">
        <v>4.5</v>
      </c>
      <c r="KI223">
        <v>1</v>
      </c>
      <c r="KJ223">
        <v>4.5</v>
      </c>
      <c r="KK223">
        <v>0</v>
      </c>
      <c r="KL223">
        <v>4.5</v>
      </c>
      <c r="KM223">
        <v>0</v>
      </c>
      <c r="KN223">
        <v>2</v>
      </c>
      <c r="KO223">
        <v>0</v>
      </c>
      <c r="KP223">
        <v>0</v>
      </c>
      <c r="KQ223">
        <v>0.5</v>
      </c>
      <c r="KR223">
        <v>1</v>
      </c>
      <c r="KS223">
        <v>0</v>
      </c>
      <c r="KT223">
        <v>3</v>
      </c>
      <c r="KU223">
        <v>0</v>
      </c>
      <c r="KV223">
        <v>0</v>
      </c>
      <c r="KW223">
        <v>1.2</v>
      </c>
      <c r="KX223">
        <v>1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3</v>
      </c>
      <c r="LI223">
        <v>0</v>
      </c>
      <c r="LJ223">
        <v>0</v>
      </c>
      <c r="LK223">
        <v>5.5</v>
      </c>
      <c r="LL223">
        <v>7</v>
      </c>
      <c r="LM223">
        <v>9</v>
      </c>
      <c r="LN223">
        <v>0.1</v>
      </c>
      <c r="LO223">
        <v>1</v>
      </c>
      <c r="LP223">
        <v>0</v>
      </c>
      <c r="LQ223">
        <v>0</v>
      </c>
      <c r="LR223">
        <v>0</v>
      </c>
      <c r="LS223">
        <v>1</v>
      </c>
      <c r="LT223">
        <v>0</v>
      </c>
      <c r="LU223">
        <v>0</v>
      </c>
      <c r="LV223">
        <v>0</v>
      </c>
      <c r="LW223">
        <v>2.4</v>
      </c>
      <c r="LX223">
        <v>2.4</v>
      </c>
      <c r="LY223">
        <v>2.8</v>
      </c>
      <c r="LZ223">
        <v>2.8</v>
      </c>
      <c r="MA223">
        <v>0</v>
      </c>
      <c r="MB223">
        <v>4</v>
      </c>
      <c r="MC223">
        <v>0</v>
      </c>
      <c r="MD223">
        <v>4.5</v>
      </c>
      <c r="ME223">
        <v>6</v>
      </c>
      <c r="MF223">
        <v>6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452</v>
      </c>
      <c r="MN223">
        <v>220</v>
      </c>
      <c r="MO223">
        <v>284</v>
      </c>
      <c r="NU223">
        <v>0.15</v>
      </c>
      <c r="NV223">
        <v>0.2</v>
      </c>
      <c r="NW223">
        <v>0.2</v>
      </c>
      <c r="NX223">
        <v>0.2</v>
      </c>
      <c r="NY223">
        <v>0.2</v>
      </c>
      <c r="NZ223">
        <v>0.2</v>
      </c>
      <c r="OE223" t="s">
        <v>4842</v>
      </c>
      <c r="OF223" t="s">
        <v>4294</v>
      </c>
      <c r="OG223" t="s">
        <v>4295</v>
      </c>
      <c r="OH223" t="s">
        <v>4043</v>
      </c>
      <c r="OI223" t="s">
        <v>4842</v>
      </c>
      <c r="OJ223" t="s">
        <v>4841</v>
      </c>
      <c r="OK223">
        <v>61</v>
      </c>
      <c r="OL223">
        <v>61</v>
      </c>
      <c r="OM223" t="s">
        <v>4294</v>
      </c>
      <c r="ON223">
        <v>1</v>
      </c>
      <c r="OO223">
        <v>2264</v>
      </c>
      <c r="OP223">
        <v>61</v>
      </c>
      <c r="OQ223">
        <v>61</v>
      </c>
      <c r="OR223" t="s">
        <v>4295</v>
      </c>
      <c r="OS223">
        <v>1</v>
      </c>
      <c r="OT223">
        <v>2277</v>
      </c>
      <c r="OU223">
        <v>65</v>
      </c>
      <c r="OV223">
        <v>65</v>
      </c>
      <c r="OW223" t="s">
        <v>4043</v>
      </c>
      <c r="OX223">
        <v>2</v>
      </c>
      <c r="OY223">
        <v>54792</v>
      </c>
      <c r="OZ223">
        <v>51</v>
      </c>
      <c r="PA223">
        <v>52</v>
      </c>
      <c r="PB223" t="s">
        <v>4842</v>
      </c>
      <c r="PC223">
        <v>1</v>
      </c>
      <c r="PD223">
        <v>2309</v>
      </c>
      <c r="PF223">
        <v>555</v>
      </c>
      <c r="PG223">
        <v>35</v>
      </c>
      <c r="PH223">
        <v>531</v>
      </c>
      <c r="PI223">
        <v>0</v>
      </c>
      <c r="PJ223">
        <v>110.8</v>
      </c>
      <c r="PK223">
        <v>2692</v>
      </c>
      <c r="PL223">
        <v>1194.1</v>
      </c>
      <c r="PM223">
        <v>1270.6</v>
      </c>
      <c r="PN223">
        <v>113</v>
      </c>
      <c r="PO223">
        <v>10</v>
      </c>
      <c r="PP223">
        <v>12</v>
      </c>
      <c r="PQ223">
        <v>4</v>
      </c>
      <c r="PR223">
        <v>4</v>
      </c>
      <c r="PS223">
        <v>0</v>
      </c>
      <c r="PT223">
        <v>274</v>
      </c>
      <c r="PU223">
        <v>12</v>
      </c>
      <c r="PV223" t="s">
        <v>4072</v>
      </c>
      <c r="PW223" t="s">
        <v>4072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-1</v>
      </c>
      <c r="QF223">
        <v>1</v>
      </c>
      <c r="QG223">
        <v>0</v>
      </c>
      <c r="QH223">
        <v>5</v>
      </c>
      <c r="QI223">
        <v>5</v>
      </c>
      <c r="QJ223">
        <v>5</v>
      </c>
      <c r="QK223">
        <v>233</v>
      </c>
      <c r="QL223">
        <v>464</v>
      </c>
      <c r="QM223">
        <v>7.5</v>
      </c>
      <c r="QN223">
        <v>1623.8</v>
      </c>
      <c r="QO223" t="s">
        <v>2662</v>
      </c>
      <c r="QP223" t="s">
        <v>513</v>
      </c>
      <c r="QQ223">
        <v>0</v>
      </c>
      <c r="QR223" t="s">
        <v>596</v>
      </c>
      <c r="QS223">
        <v>40</v>
      </c>
      <c r="QT223">
        <v>50</v>
      </c>
    </row>
    <row r="224" spans="1:462">
      <c r="A224" t="s">
        <v>2925</v>
      </c>
      <c r="B224" t="s">
        <v>804</v>
      </c>
      <c r="C224" t="s">
        <v>509</v>
      </c>
      <c r="D224" t="s">
        <v>895</v>
      </c>
      <c r="E224" t="s">
        <v>4036</v>
      </c>
      <c r="H224" t="s">
        <v>1135</v>
      </c>
      <c r="J224" t="s">
        <v>562</v>
      </c>
      <c r="K224" t="s">
        <v>563</v>
      </c>
      <c r="L224" t="s">
        <v>508</v>
      </c>
      <c r="M224" t="s">
        <v>512</v>
      </c>
      <c r="N224" t="s">
        <v>515</v>
      </c>
      <c r="O224" t="s">
        <v>513</v>
      </c>
      <c r="P224" t="s">
        <v>517</v>
      </c>
      <c r="Q224" t="s">
        <v>1644</v>
      </c>
      <c r="R224" t="s">
        <v>1043</v>
      </c>
      <c r="S224" t="s">
        <v>4037</v>
      </c>
      <c r="T224" t="s">
        <v>662</v>
      </c>
      <c r="U224" t="s">
        <v>663</v>
      </c>
      <c r="V224" t="s">
        <v>1241</v>
      </c>
      <c r="W224" t="s">
        <v>2657</v>
      </c>
      <c r="X224" t="s">
        <v>2926</v>
      </c>
      <c r="Y224" t="s">
        <v>2927</v>
      </c>
      <c r="Z224" t="s">
        <v>541</v>
      </c>
      <c r="AA224" t="s">
        <v>4038</v>
      </c>
      <c r="AB224" t="s">
        <v>4843</v>
      </c>
      <c r="AC224">
        <v>9</v>
      </c>
      <c r="AD224" t="s">
        <v>2924</v>
      </c>
      <c r="AE224">
        <v>2</v>
      </c>
      <c r="AF224">
        <v>6048</v>
      </c>
      <c r="AG224" t="s">
        <v>4844</v>
      </c>
      <c r="AH224">
        <v>1</v>
      </c>
      <c r="AI224" t="s">
        <v>4041</v>
      </c>
      <c r="AK224" t="s">
        <v>4845</v>
      </c>
      <c r="AL224">
        <v>1</v>
      </c>
      <c r="AM224" t="s">
        <v>582</v>
      </c>
      <c r="AO224" t="s">
        <v>4043</v>
      </c>
      <c r="AP224">
        <v>1</v>
      </c>
      <c r="AR224" t="s">
        <v>4846</v>
      </c>
      <c r="AS224">
        <v>1</v>
      </c>
      <c r="AT224">
        <v>52</v>
      </c>
      <c r="AV224" t="s">
        <v>4078</v>
      </c>
      <c r="AW224">
        <v>6.4</v>
      </c>
      <c r="AX224">
        <v>-6</v>
      </c>
      <c r="AY224">
        <v>112.5</v>
      </c>
      <c r="AZ224">
        <v>88.5</v>
      </c>
      <c r="BH224">
        <v>112.5</v>
      </c>
      <c r="BI224">
        <v>24</v>
      </c>
      <c r="BJ224">
        <v>88.5</v>
      </c>
      <c r="BK224">
        <v>2.5</v>
      </c>
      <c r="BL224">
        <v>225</v>
      </c>
      <c r="BM224">
        <v>-6</v>
      </c>
      <c r="BN224">
        <v>0</v>
      </c>
      <c r="BP224">
        <v>0</v>
      </c>
      <c r="BR224">
        <v>220</v>
      </c>
      <c r="BS224">
        <v>210</v>
      </c>
      <c r="BT224">
        <v>2150</v>
      </c>
      <c r="BU224" t="s">
        <v>4127</v>
      </c>
      <c r="BV224" t="s">
        <v>4127</v>
      </c>
      <c r="BW224" t="s">
        <v>4128</v>
      </c>
      <c r="BX224" t="s">
        <v>4128</v>
      </c>
      <c r="BY224" t="s">
        <v>4215</v>
      </c>
      <c r="BZ224" t="s">
        <v>4214</v>
      </c>
      <c r="CA224" t="s">
        <v>4118</v>
      </c>
      <c r="CB224" t="s">
        <v>4119</v>
      </c>
      <c r="CC224" t="s">
        <v>4053</v>
      </c>
      <c r="CD224" t="s">
        <v>4121</v>
      </c>
      <c r="CE224" t="s">
        <v>4055</v>
      </c>
      <c r="CF224" t="s">
        <v>4055</v>
      </c>
      <c r="CG224" t="s">
        <v>4056</v>
      </c>
      <c r="CI224" t="s">
        <v>4058</v>
      </c>
      <c r="CJ224" t="s">
        <v>4059</v>
      </c>
      <c r="CK224" t="s">
        <v>4060</v>
      </c>
      <c r="CL224" t="s">
        <v>4061</v>
      </c>
      <c r="CM224" t="s">
        <v>4055</v>
      </c>
      <c r="CN224" t="s">
        <v>4062</v>
      </c>
      <c r="CO224" t="s">
        <v>4063</v>
      </c>
      <c r="CP224" t="s">
        <v>4055</v>
      </c>
      <c r="CQ224" t="s">
        <v>4055</v>
      </c>
      <c r="CR224">
        <v>5</v>
      </c>
      <c r="CS224" t="s">
        <v>4055</v>
      </c>
      <c r="CT224" t="s">
        <v>4055</v>
      </c>
      <c r="CU224" t="s">
        <v>4055</v>
      </c>
      <c r="CV224">
        <v>141</v>
      </c>
      <c r="CW224">
        <v>3</v>
      </c>
      <c r="CX224">
        <v>90</v>
      </c>
      <c r="CY224">
        <v>5</v>
      </c>
      <c r="CZ224">
        <v>170</v>
      </c>
      <c r="DA224">
        <v>5</v>
      </c>
      <c r="DB224">
        <v>14820</v>
      </c>
      <c r="DC224">
        <v>440</v>
      </c>
      <c r="DD224">
        <v>368</v>
      </c>
      <c r="DE224">
        <v>2281</v>
      </c>
      <c r="DF224">
        <v>2281</v>
      </c>
      <c r="DG224">
        <v>2292</v>
      </c>
      <c r="DH224" t="s">
        <v>4055</v>
      </c>
      <c r="DI224" t="s">
        <v>4055</v>
      </c>
      <c r="DJ224" t="s">
        <v>4087</v>
      </c>
      <c r="DK224">
        <v>220</v>
      </c>
      <c r="DL224" t="s">
        <v>4065</v>
      </c>
      <c r="DM224">
        <v>63</v>
      </c>
      <c r="DN224">
        <v>1.36</v>
      </c>
      <c r="DO224">
        <v>1</v>
      </c>
      <c r="DP224">
        <v>2154</v>
      </c>
      <c r="DQ224">
        <v>1193</v>
      </c>
      <c r="DR224" t="s">
        <v>4087</v>
      </c>
      <c r="DS224">
        <v>210</v>
      </c>
      <c r="DT224" t="s">
        <v>4065</v>
      </c>
      <c r="DU224">
        <v>63</v>
      </c>
      <c r="DV224">
        <v>1.36</v>
      </c>
      <c r="DW224">
        <v>1</v>
      </c>
      <c r="DX224">
        <v>2168</v>
      </c>
      <c r="DY224">
        <v>1147</v>
      </c>
      <c r="DZ224" t="s">
        <v>4066</v>
      </c>
      <c r="EA224">
        <v>20</v>
      </c>
      <c r="EB224" t="s">
        <v>4065</v>
      </c>
      <c r="EC224">
        <v>0.8</v>
      </c>
      <c r="ED224">
        <v>2154</v>
      </c>
      <c r="EE224">
        <v>75</v>
      </c>
      <c r="EG224">
        <v>0</v>
      </c>
      <c r="EH224" t="s">
        <v>4065</v>
      </c>
      <c r="EI224">
        <v>0</v>
      </c>
      <c r="EL224" t="s">
        <v>1528</v>
      </c>
      <c r="EM224">
        <v>12</v>
      </c>
      <c r="EN224">
        <v>0.5</v>
      </c>
      <c r="EO224">
        <v>0.96</v>
      </c>
      <c r="EP224">
        <v>2167.1</v>
      </c>
      <c r="EQ224">
        <v>40125.21</v>
      </c>
      <c r="ER224">
        <v>8149.24</v>
      </c>
      <c r="ES224">
        <v>0</v>
      </c>
      <c r="ET224">
        <v>0</v>
      </c>
      <c r="EU224">
        <v>1</v>
      </c>
      <c r="EV224">
        <v>48275</v>
      </c>
      <c r="EW224">
        <v>580</v>
      </c>
      <c r="EX224" t="s">
        <v>4755</v>
      </c>
      <c r="EY224">
        <v>248</v>
      </c>
      <c r="EZ224" t="s">
        <v>4055</v>
      </c>
      <c r="FA224">
        <v>4.5</v>
      </c>
      <c r="FB224">
        <v>1</v>
      </c>
      <c r="FC224">
        <v>1</v>
      </c>
      <c r="FD224">
        <v>2200</v>
      </c>
      <c r="FE224">
        <v>2594</v>
      </c>
      <c r="FF224" t="s">
        <v>4756</v>
      </c>
      <c r="FG224">
        <v>248</v>
      </c>
      <c r="FH224" t="s">
        <v>4055</v>
      </c>
      <c r="FI224">
        <v>3.6</v>
      </c>
      <c r="FJ224">
        <v>2200</v>
      </c>
      <c r="FK224">
        <v>2661</v>
      </c>
      <c r="FL224" t="s">
        <v>4069</v>
      </c>
      <c r="FM224" t="s">
        <v>4055</v>
      </c>
      <c r="FN224" t="s">
        <v>4055</v>
      </c>
      <c r="FO224" t="s">
        <v>4055</v>
      </c>
      <c r="FP224">
        <v>2200</v>
      </c>
      <c r="FQ224">
        <v>249</v>
      </c>
      <c r="FR224" t="s">
        <v>4090</v>
      </c>
      <c r="FS224">
        <v>252</v>
      </c>
      <c r="FT224" t="s">
        <v>4055</v>
      </c>
      <c r="FU224">
        <v>0.4</v>
      </c>
      <c r="FV224">
        <v>2200</v>
      </c>
      <c r="FW224">
        <v>247</v>
      </c>
      <c r="FX224" t="s">
        <v>4070</v>
      </c>
      <c r="FY224">
        <v>5</v>
      </c>
      <c r="FZ224" t="s">
        <v>4055</v>
      </c>
      <c r="GA224" t="s">
        <v>4055</v>
      </c>
      <c r="GB224">
        <v>2200</v>
      </c>
      <c r="GC224">
        <v>22</v>
      </c>
      <c r="GD224">
        <v>5773</v>
      </c>
      <c r="GE224" t="s">
        <v>4846</v>
      </c>
      <c r="GF224" t="s">
        <v>4055</v>
      </c>
      <c r="GG224" t="s">
        <v>4055</v>
      </c>
      <c r="GH224" t="s">
        <v>4055</v>
      </c>
      <c r="GI224" t="s">
        <v>4071</v>
      </c>
      <c r="GJ224" t="s">
        <v>4055</v>
      </c>
      <c r="GK224" t="s">
        <v>4055</v>
      </c>
      <c r="GL224" t="s">
        <v>4055</v>
      </c>
      <c r="GM224" t="s">
        <v>4055</v>
      </c>
      <c r="GQ224">
        <v>0</v>
      </c>
      <c r="GV224">
        <v>8.5</v>
      </c>
      <c r="GW224">
        <v>11</v>
      </c>
      <c r="GX224">
        <v>0.5</v>
      </c>
      <c r="GY224">
        <v>212</v>
      </c>
      <c r="GZ224">
        <v>3</v>
      </c>
      <c r="HA224">
        <v>272</v>
      </c>
      <c r="HB224">
        <v>3</v>
      </c>
      <c r="HC224">
        <v>2200</v>
      </c>
      <c r="HD224">
        <v>4</v>
      </c>
      <c r="HE224" t="s">
        <v>4071</v>
      </c>
      <c r="HG224" t="s">
        <v>549</v>
      </c>
      <c r="HL224">
        <v>4</v>
      </c>
      <c r="HM224">
        <v>18</v>
      </c>
      <c r="HN224">
        <v>6</v>
      </c>
      <c r="HO224">
        <v>1</v>
      </c>
      <c r="HP224">
        <v>0</v>
      </c>
      <c r="HQ224">
        <v>0</v>
      </c>
      <c r="HR224">
        <v>3</v>
      </c>
      <c r="HS224">
        <v>2150</v>
      </c>
      <c r="HT224">
        <v>5</v>
      </c>
      <c r="HU224">
        <v>1</v>
      </c>
      <c r="HV224">
        <v>5</v>
      </c>
      <c r="HW224">
        <v>0</v>
      </c>
      <c r="HX224">
        <v>1</v>
      </c>
      <c r="HY224">
        <v>0</v>
      </c>
      <c r="HZ224">
        <v>63</v>
      </c>
      <c r="IA224">
        <v>2154</v>
      </c>
      <c r="IB224">
        <v>2168</v>
      </c>
      <c r="ID224">
        <v>2200</v>
      </c>
      <c r="IE224">
        <v>2200</v>
      </c>
      <c r="IF224">
        <v>220</v>
      </c>
      <c r="IG224">
        <v>210</v>
      </c>
      <c r="IH224">
        <v>272</v>
      </c>
      <c r="II224">
        <v>1</v>
      </c>
      <c r="IJ224">
        <v>5</v>
      </c>
      <c r="IK224">
        <v>0</v>
      </c>
      <c r="IL224">
        <v>0</v>
      </c>
      <c r="IM224">
        <v>0</v>
      </c>
      <c r="IN224">
        <v>270</v>
      </c>
      <c r="IO224">
        <v>0</v>
      </c>
      <c r="IP224">
        <v>180</v>
      </c>
      <c r="IQ224">
        <v>0</v>
      </c>
      <c r="IR224">
        <v>330</v>
      </c>
      <c r="IS224">
        <v>0</v>
      </c>
      <c r="IT224">
        <v>90</v>
      </c>
      <c r="IU224">
        <v>0</v>
      </c>
      <c r="IV224">
        <v>6.4</v>
      </c>
      <c r="IW224">
        <v>-6</v>
      </c>
      <c r="IX224">
        <v>112.5</v>
      </c>
      <c r="IY224">
        <v>88.5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440</v>
      </c>
      <c r="JJ224">
        <v>410</v>
      </c>
      <c r="JK224">
        <v>297</v>
      </c>
      <c r="JL224">
        <v>408</v>
      </c>
      <c r="JM224">
        <v>327</v>
      </c>
      <c r="JN224">
        <v>225</v>
      </c>
      <c r="JO224">
        <v>274</v>
      </c>
      <c r="JP224">
        <v>210</v>
      </c>
      <c r="JQ224">
        <v>250</v>
      </c>
      <c r="JR224">
        <v>345</v>
      </c>
      <c r="JS224">
        <v>265</v>
      </c>
      <c r="JT224">
        <v>0</v>
      </c>
      <c r="JU224">
        <v>0</v>
      </c>
      <c r="JV224">
        <v>320</v>
      </c>
      <c r="JW224">
        <v>310</v>
      </c>
      <c r="JX224">
        <v>310</v>
      </c>
      <c r="JY224">
        <v>285</v>
      </c>
      <c r="JZ224">
        <v>0.5</v>
      </c>
      <c r="KA224">
        <v>0.2</v>
      </c>
      <c r="KB224">
        <v>0.4</v>
      </c>
      <c r="KC224">
        <v>0.42</v>
      </c>
      <c r="KD224">
        <v>0.3</v>
      </c>
      <c r="KE224">
        <v>0.5</v>
      </c>
      <c r="KF224">
        <v>0.22</v>
      </c>
      <c r="KG224">
        <v>0.11</v>
      </c>
      <c r="KH224">
        <v>3.5</v>
      </c>
      <c r="KI224">
        <v>1</v>
      </c>
      <c r="KJ224">
        <v>4.5</v>
      </c>
      <c r="KK224">
        <v>0</v>
      </c>
      <c r="KL224">
        <v>4.5</v>
      </c>
      <c r="KM224">
        <v>0.5</v>
      </c>
      <c r="KN224">
        <v>2.3</v>
      </c>
      <c r="KO224">
        <v>0</v>
      </c>
      <c r="KP224">
        <v>0</v>
      </c>
      <c r="KQ224">
        <v>0.5</v>
      </c>
      <c r="KR224">
        <v>0.5</v>
      </c>
      <c r="KS224">
        <v>0</v>
      </c>
      <c r="KT224">
        <v>3.7</v>
      </c>
      <c r="KU224">
        <v>0</v>
      </c>
      <c r="KV224">
        <v>0</v>
      </c>
      <c r="KW224">
        <v>1.6</v>
      </c>
      <c r="KX224">
        <v>2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3</v>
      </c>
      <c r="LI224">
        <v>0.5</v>
      </c>
      <c r="LJ224">
        <v>0</v>
      </c>
      <c r="LK224">
        <v>10</v>
      </c>
      <c r="LL224">
        <v>6</v>
      </c>
      <c r="LM224">
        <v>11</v>
      </c>
      <c r="LN224">
        <v>0.1</v>
      </c>
      <c r="LO224">
        <v>1</v>
      </c>
      <c r="LP224">
        <v>0</v>
      </c>
      <c r="LQ224">
        <v>0</v>
      </c>
      <c r="LR224">
        <v>0</v>
      </c>
      <c r="LS224">
        <v>1</v>
      </c>
      <c r="LT224">
        <v>0</v>
      </c>
      <c r="LU224">
        <v>0</v>
      </c>
      <c r="LV224">
        <v>0</v>
      </c>
      <c r="LW224">
        <v>1.8</v>
      </c>
      <c r="LX224">
        <v>1.8</v>
      </c>
      <c r="LY224">
        <v>2.1</v>
      </c>
      <c r="LZ224">
        <v>2.1</v>
      </c>
      <c r="MA224">
        <v>0</v>
      </c>
      <c r="MB224">
        <v>5</v>
      </c>
      <c r="MC224">
        <v>0</v>
      </c>
      <c r="MD224">
        <v>4.5</v>
      </c>
      <c r="ME224">
        <v>6</v>
      </c>
      <c r="MF224">
        <v>6</v>
      </c>
      <c r="MI224">
        <v>0</v>
      </c>
      <c r="MJ224">
        <v>0</v>
      </c>
      <c r="ML224">
        <v>0</v>
      </c>
      <c r="MM224">
        <v>484</v>
      </c>
      <c r="MN224">
        <v>210</v>
      </c>
      <c r="MO224">
        <v>274</v>
      </c>
      <c r="NU224">
        <v>0.15</v>
      </c>
      <c r="NV224">
        <v>0.2</v>
      </c>
      <c r="NW224">
        <v>0.2</v>
      </c>
      <c r="NX224">
        <v>0.2</v>
      </c>
      <c r="NY224">
        <v>0.2</v>
      </c>
      <c r="NZ224">
        <v>0.2</v>
      </c>
      <c r="OE224" t="s">
        <v>4846</v>
      </c>
      <c r="OF224" t="s">
        <v>4844</v>
      </c>
      <c r="OG224" t="s">
        <v>4845</v>
      </c>
      <c r="OH224" t="s">
        <v>4043</v>
      </c>
      <c r="OI224" t="s">
        <v>4846</v>
      </c>
      <c r="OJ224" t="s">
        <v>4843</v>
      </c>
      <c r="OK224">
        <v>61</v>
      </c>
      <c r="OL224">
        <v>61</v>
      </c>
      <c r="OM224" t="s">
        <v>4844</v>
      </c>
      <c r="ON224">
        <v>1</v>
      </c>
      <c r="OO224">
        <v>2154</v>
      </c>
      <c r="OP224">
        <v>61</v>
      </c>
      <c r="OQ224">
        <v>61</v>
      </c>
      <c r="OR224" t="s">
        <v>4845</v>
      </c>
      <c r="OS224">
        <v>1</v>
      </c>
      <c r="OT224">
        <v>2168</v>
      </c>
      <c r="OU224">
        <v>65</v>
      </c>
      <c r="OV224">
        <v>65</v>
      </c>
      <c r="OW224" t="s">
        <v>4043</v>
      </c>
      <c r="OX224">
        <v>1</v>
      </c>
      <c r="OY224">
        <v>48275</v>
      </c>
      <c r="OZ224">
        <v>51</v>
      </c>
      <c r="PA224">
        <v>52</v>
      </c>
      <c r="PB224" t="s">
        <v>4846</v>
      </c>
      <c r="PC224">
        <v>1</v>
      </c>
      <c r="PD224">
        <v>2200</v>
      </c>
      <c r="PF224">
        <v>554</v>
      </c>
      <c r="PG224">
        <v>35</v>
      </c>
      <c r="PH224">
        <v>529</v>
      </c>
      <c r="PI224">
        <v>0</v>
      </c>
      <c r="PJ224">
        <v>113.4</v>
      </c>
      <c r="PK224">
        <v>2642</v>
      </c>
      <c r="PL224">
        <v>1179.2</v>
      </c>
      <c r="PM224">
        <v>1209.4</v>
      </c>
      <c r="PN224">
        <v>112.1</v>
      </c>
      <c r="PO224">
        <v>9.9</v>
      </c>
      <c r="PP224">
        <v>12</v>
      </c>
      <c r="PQ224">
        <v>5</v>
      </c>
      <c r="PR224">
        <v>5</v>
      </c>
      <c r="PS224">
        <v>0</v>
      </c>
      <c r="PT224">
        <v>272</v>
      </c>
      <c r="PU224">
        <v>12</v>
      </c>
      <c r="PV224" t="s">
        <v>4072</v>
      </c>
      <c r="PW224" t="s">
        <v>4072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-1</v>
      </c>
      <c r="QF224">
        <v>1</v>
      </c>
      <c r="QG224">
        <v>0</v>
      </c>
      <c r="QH224">
        <v>5</v>
      </c>
      <c r="QI224">
        <v>5</v>
      </c>
      <c r="QJ224">
        <v>5</v>
      </c>
      <c r="QK224">
        <v>215</v>
      </c>
      <c r="QL224">
        <v>474</v>
      </c>
      <c r="QM224">
        <v>7.5</v>
      </c>
      <c r="QN224">
        <v>1464.3</v>
      </c>
      <c r="QO224" t="s">
        <v>2662</v>
      </c>
      <c r="QP224" t="s">
        <v>513</v>
      </c>
      <c r="QQ224">
        <v>0</v>
      </c>
      <c r="QR224" t="s">
        <v>621</v>
      </c>
      <c r="QS224">
        <v>30</v>
      </c>
      <c r="QT224">
        <v>40</v>
      </c>
    </row>
    <row r="225" spans="1:462">
      <c r="A225" t="s">
        <v>2933</v>
      </c>
      <c r="B225" t="s">
        <v>804</v>
      </c>
      <c r="C225" t="s">
        <v>509</v>
      </c>
      <c r="D225" t="s">
        <v>2932</v>
      </c>
      <c r="E225" t="s">
        <v>4036</v>
      </c>
      <c r="H225" t="s">
        <v>561</v>
      </c>
      <c r="J225" t="s">
        <v>562</v>
      </c>
      <c r="K225" t="s">
        <v>563</v>
      </c>
      <c r="L225" t="s">
        <v>508</v>
      </c>
      <c r="M225" t="s">
        <v>512</v>
      </c>
      <c r="N225" t="s">
        <v>515</v>
      </c>
      <c r="O225" t="s">
        <v>513</v>
      </c>
      <c r="P225" t="s">
        <v>517</v>
      </c>
      <c r="Q225" t="s">
        <v>2934</v>
      </c>
      <c r="R225" t="s">
        <v>1327</v>
      </c>
      <c r="S225" t="s">
        <v>4073</v>
      </c>
      <c r="T225" t="s">
        <v>686</v>
      </c>
      <c r="U225" t="s">
        <v>687</v>
      </c>
      <c r="V225" t="s">
        <v>1309</v>
      </c>
      <c r="W225" t="s">
        <v>2657</v>
      </c>
      <c r="X225" t="s">
        <v>2935</v>
      </c>
      <c r="Y225" t="s">
        <v>2936</v>
      </c>
      <c r="Z225" t="s">
        <v>541</v>
      </c>
      <c r="AA225" t="s">
        <v>582</v>
      </c>
      <c r="AB225" t="s">
        <v>4847</v>
      </c>
      <c r="AC225">
        <v>9</v>
      </c>
      <c r="AD225" t="s">
        <v>2931</v>
      </c>
      <c r="AE225">
        <v>2</v>
      </c>
      <c r="AF225">
        <v>5418</v>
      </c>
      <c r="AG225" t="s">
        <v>4312</v>
      </c>
      <c r="AH225">
        <v>1</v>
      </c>
      <c r="AI225" t="s">
        <v>4041</v>
      </c>
      <c r="AK225" t="s">
        <v>4313</v>
      </c>
      <c r="AL225">
        <v>1</v>
      </c>
      <c r="AM225" t="s">
        <v>582</v>
      </c>
      <c r="AO225" t="s">
        <v>4043</v>
      </c>
      <c r="AP225">
        <v>1</v>
      </c>
      <c r="AR225" t="s">
        <v>4848</v>
      </c>
      <c r="AS225">
        <v>1</v>
      </c>
      <c r="AT225">
        <v>52</v>
      </c>
      <c r="AV225" t="s">
        <v>4078</v>
      </c>
      <c r="AW225">
        <v>6.4</v>
      </c>
      <c r="AX225">
        <v>-6</v>
      </c>
      <c r="AY225">
        <v>107.5</v>
      </c>
      <c r="AZ225">
        <v>78</v>
      </c>
      <c r="BA225">
        <v>0</v>
      </c>
      <c r="BB225">
        <v>0</v>
      </c>
      <c r="BC225">
        <v>0</v>
      </c>
      <c r="BH225">
        <v>107.5</v>
      </c>
      <c r="BI225">
        <v>29.5</v>
      </c>
      <c r="BJ225">
        <v>78</v>
      </c>
      <c r="BK225">
        <v>2.5</v>
      </c>
      <c r="BL225">
        <v>215</v>
      </c>
      <c r="BM225">
        <v>-6</v>
      </c>
      <c r="BN225">
        <v>0</v>
      </c>
      <c r="BP225">
        <v>0</v>
      </c>
      <c r="BR225">
        <v>210</v>
      </c>
      <c r="BS225">
        <v>200</v>
      </c>
      <c r="BT225">
        <v>2130</v>
      </c>
      <c r="BU225" t="s">
        <v>4127</v>
      </c>
      <c r="BV225" t="s">
        <v>4127</v>
      </c>
      <c r="BW225" t="s">
        <v>4128</v>
      </c>
      <c r="BX225" t="s">
        <v>4128</v>
      </c>
      <c r="BY225" t="s">
        <v>4129</v>
      </c>
      <c r="BZ225" t="s">
        <v>4160</v>
      </c>
      <c r="CA225" t="s">
        <v>4130</v>
      </c>
      <c r="CB225" t="s">
        <v>4131</v>
      </c>
      <c r="CC225" t="s">
        <v>4053</v>
      </c>
      <c r="CD225" t="s">
        <v>4055</v>
      </c>
      <c r="CE225" t="s">
        <v>4055</v>
      </c>
      <c r="CF225" t="s">
        <v>4055</v>
      </c>
      <c r="CG225" t="s">
        <v>4056</v>
      </c>
      <c r="CI225" t="s">
        <v>4086</v>
      </c>
      <c r="CJ225" t="s">
        <v>4059</v>
      </c>
      <c r="CK225" t="s">
        <v>4060</v>
      </c>
      <c r="CL225" t="s">
        <v>4061</v>
      </c>
      <c r="CM225" t="s">
        <v>4055</v>
      </c>
      <c r="CN225" t="s">
        <v>4062</v>
      </c>
      <c r="CO225" t="s">
        <v>4063</v>
      </c>
      <c r="CP225" t="s">
        <v>4055</v>
      </c>
      <c r="CQ225" t="s">
        <v>4055</v>
      </c>
      <c r="CR225">
        <v>5</v>
      </c>
      <c r="CS225" t="s">
        <v>4055</v>
      </c>
      <c r="CT225" t="s">
        <v>4055</v>
      </c>
      <c r="CU225" t="s">
        <v>4055</v>
      </c>
      <c r="CV225">
        <v>134</v>
      </c>
      <c r="CW225">
        <v>3</v>
      </c>
      <c r="CX225">
        <v>95</v>
      </c>
      <c r="CY225">
        <v>5</v>
      </c>
      <c r="CZ225">
        <v>156</v>
      </c>
      <c r="DA225">
        <v>5</v>
      </c>
      <c r="DB225">
        <v>13380</v>
      </c>
      <c r="DC225">
        <v>400</v>
      </c>
      <c r="DD225">
        <v>350</v>
      </c>
      <c r="DE225">
        <v>2257</v>
      </c>
      <c r="DF225">
        <v>2257</v>
      </c>
      <c r="DG225">
        <v>2269</v>
      </c>
      <c r="DH225">
        <v>2</v>
      </c>
      <c r="DI225" t="s">
        <v>4055</v>
      </c>
      <c r="DJ225" t="s">
        <v>4132</v>
      </c>
      <c r="DK225">
        <v>210</v>
      </c>
      <c r="DL225" t="s">
        <v>4065</v>
      </c>
      <c r="DM225">
        <v>63</v>
      </c>
      <c r="DN225">
        <v>1.1</v>
      </c>
      <c r="DO225">
        <v>1</v>
      </c>
      <c r="DP225">
        <v>2133</v>
      </c>
      <c r="DQ225">
        <v>968</v>
      </c>
      <c r="DR225" t="s">
        <v>4132</v>
      </c>
      <c r="DS225">
        <v>200</v>
      </c>
      <c r="DT225" t="s">
        <v>4065</v>
      </c>
      <c r="DU225">
        <v>63</v>
      </c>
      <c r="DV225">
        <v>1.1</v>
      </c>
      <c r="DW225">
        <v>1</v>
      </c>
      <c r="DX225">
        <v>2145</v>
      </c>
      <c r="DY225">
        <v>929</v>
      </c>
      <c r="DZ225" t="s">
        <v>4066</v>
      </c>
      <c r="EA225">
        <v>20</v>
      </c>
      <c r="EB225" t="s">
        <v>4065</v>
      </c>
      <c r="EC225">
        <v>0.8</v>
      </c>
      <c r="ED225">
        <v>2133</v>
      </c>
      <c r="EE225">
        <v>75</v>
      </c>
      <c r="EG225">
        <v>0</v>
      </c>
      <c r="EH225" t="s">
        <v>4065</v>
      </c>
      <c r="EI225">
        <v>0</v>
      </c>
      <c r="EL225" t="s">
        <v>1528</v>
      </c>
      <c r="EM225">
        <v>12</v>
      </c>
      <c r="EN225">
        <v>0.5</v>
      </c>
      <c r="EO225">
        <v>0.96</v>
      </c>
      <c r="EP225">
        <v>2143.83</v>
      </c>
      <c r="EQ225">
        <v>38019.49</v>
      </c>
      <c r="ER225">
        <v>9909.52</v>
      </c>
      <c r="ES225">
        <v>0</v>
      </c>
      <c r="ET225">
        <v>0</v>
      </c>
      <c r="EU225">
        <v>1</v>
      </c>
      <c r="EV225">
        <v>47930</v>
      </c>
      <c r="EW225">
        <v>576</v>
      </c>
      <c r="EX225" t="s">
        <v>4755</v>
      </c>
      <c r="EY225">
        <v>232</v>
      </c>
      <c r="EZ225" t="s">
        <v>4055</v>
      </c>
      <c r="FA225">
        <v>4</v>
      </c>
      <c r="FB225">
        <v>1</v>
      </c>
      <c r="FC225">
        <v>1</v>
      </c>
      <c r="FD225">
        <v>2177</v>
      </c>
      <c r="FE225">
        <v>2492</v>
      </c>
      <c r="FF225" t="s">
        <v>4756</v>
      </c>
      <c r="FG225">
        <v>232</v>
      </c>
      <c r="FH225" t="s">
        <v>4055</v>
      </c>
      <c r="FI225">
        <v>4.2</v>
      </c>
      <c r="FJ225">
        <v>2177</v>
      </c>
      <c r="FK225">
        <v>2480</v>
      </c>
      <c r="FL225" t="s">
        <v>4069</v>
      </c>
      <c r="FM225" t="s">
        <v>4055</v>
      </c>
      <c r="FN225" t="s">
        <v>4055</v>
      </c>
      <c r="FO225" t="s">
        <v>4055</v>
      </c>
      <c r="FP225">
        <v>2177</v>
      </c>
      <c r="FQ225">
        <v>191</v>
      </c>
      <c r="FR225" t="s">
        <v>4090</v>
      </c>
      <c r="FS225">
        <v>236</v>
      </c>
      <c r="FT225" t="s">
        <v>4055</v>
      </c>
      <c r="FU225">
        <v>0.4</v>
      </c>
      <c r="FV225">
        <v>2177</v>
      </c>
      <c r="FW225">
        <v>229</v>
      </c>
      <c r="FX225" t="s">
        <v>4070</v>
      </c>
      <c r="FY225">
        <v>5</v>
      </c>
      <c r="FZ225" t="s">
        <v>4055</v>
      </c>
      <c r="GA225" t="s">
        <v>4055</v>
      </c>
      <c r="GB225">
        <v>2177</v>
      </c>
      <c r="GC225">
        <v>22</v>
      </c>
      <c r="GD225">
        <v>5414</v>
      </c>
      <c r="GE225" t="s">
        <v>4848</v>
      </c>
      <c r="GF225" t="s">
        <v>4055</v>
      </c>
      <c r="GG225" t="s">
        <v>4055</v>
      </c>
      <c r="GH225" t="s">
        <v>4055</v>
      </c>
      <c r="GI225" t="s">
        <v>4071</v>
      </c>
      <c r="GJ225" t="s">
        <v>4055</v>
      </c>
      <c r="GK225" t="s">
        <v>4055</v>
      </c>
      <c r="GL225" t="s">
        <v>4055</v>
      </c>
      <c r="GM225" t="s">
        <v>4055</v>
      </c>
      <c r="GQ225">
        <v>0</v>
      </c>
      <c r="GV225">
        <v>8.6</v>
      </c>
      <c r="GW225">
        <v>11.5</v>
      </c>
      <c r="GX225">
        <v>0.5</v>
      </c>
      <c r="GY225">
        <v>202</v>
      </c>
      <c r="GZ225">
        <v>3</v>
      </c>
      <c r="HA225">
        <v>252</v>
      </c>
      <c r="HB225">
        <v>3</v>
      </c>
      <c r="HC225">
        <v>2177</v>
      </c>
      <c r="HD225">
        <v>4</v>
      </c>
      <c r="HE225" t="s">
        <v>4071</v>
      </c>
      <c r="HG225" t="s">
        <v>549</v>
      </c>
      <c r="HL225">
        <v>4</v>
      </c>
      <c r="HM225">
        <v>19</v>
      </c>
      <c r="HN225">
        <v>6</v>
      </c>
      <c r="HO225">
        <v>1</v>
      </c>
      <c r="HP225">
        <v>0</v>
      </c>
      <c r="HQ225">
        <v>0</v>
      </c>
      <c r="HR225">
        <v>3</v>
      </c>
      <c r="HS225">
        <v>2130</v>
      </c>
      <c r="HT225">
        <v>5</v>
      </c>
      <c r="HU225">
        <v>1</v>
      </c>
      <c r="HV225">
        <v>5</v>
      </c>
      <c r="HW225">
        <v>0</v>
      </c>
      <c r="HX225">
        <v>1</v>
      </c>
      <c r="HY225">
        <v>0</v>
      </c>
      <c r="HZ225">
        <v>63</v>
      </c>
      <c r="IA225">
        <v>2133</v>
      </c>
      <c r="IB225">
        <v>2145</v>
      </c>
      <c r="ID225">
        <v>2177</v>
      </c>
      <c r="IE225">
        <v>2177</v>
      </c>
      <c r="IF225">
        <v>210</v>
      </c>
      <c r="IG225">
        <v>200</v>
      </c>
      <c r="IH225">
        <v>252</v>
      </c>
      <c r="II225">
        <v>1</v>
      </c>
      <c r="IJ225">
        <v>5</v>
      </c>
      <c r="IK225">
        <v>0</v>
      </c>
      <c r="IL225">
        <v>0</v>
      </c>
      <c r="IM225">
        <v>0</v>
      </c>
      <c r="IN225">
        <v>270</v>
      </c>
      <c r="IO225">
        <v>0</v>
      </c>
      <c r="IP225">
        <v>180</v>
      </c>
      <c r="IQ225">
        <v>0</v>
      </c>
      <c r="IR225">
        <v>330</v>
      </c>
      <c r="IS225">
        <v>0</v>
      </c>
      <c r="IT225">
        <v>90</v>
      </c>
      <c r="IU225">
        <v>0</v>
      </c>
      <c r="IV225">
        <v>6.4</v>
      </c>
      <c r="IW225">
        <v>-6</v>
      </c>
      <c r="IX225">
        <v>107.5</v>
      </c>
      <c r="IY225">
        <v>78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404</v>
      </c>
      <c r="JJ225">
        <v>374</v>
      </c>
      <c r="JK225">
        <v>270</v>
      </c>
      <c r="JL225">
        <v>370</v>
      </c>
      <c r="JM225">
        <v>285</v>
      </c>
      <c r="JN225">
        <v>205</v>
      </c>
      <c r="JO225">
        <v>262</v>
      </c>
      <c r="JP225">
        <v>200</v>
      </c>
      <c r="JQ225">
        <v>250</v>
      </c>
      <c r="JR225">
        <v>305</v>
      </c>
      <c r="JS225">
        <v>250</v>
      </c>
      <c r="JT225">
        <v>0</v>
      </c>
      <c r="JU225">
        <v>0</v>
      </c>
      <c r="JV225">
        <v>300</v>
      </c>
      <c r="JW225">
        <v>305</v>
      </c>
      <c r="JX225">
        <v>303</v>
      </c>
      <c r="JY225">
        <v>283</v>
      </c>
      <c r="JZ225">
        <v>0.5</v>
      </c>
      <c r="KA225">
        <v>0.2</v>
      </c>
      <c r="KB225">
        <v>0.4</v>
      </c>
      <c r="KC225">
        <v>0.42</v>
      </c>
      <c r="KD225">
        <v>0.28</v>
      </c>
      <c r="KE225">
        <v>0.5</v>
      </c>
      <c r="KF225">
        <v>0.18</v>
      </c>
      <c r="KG225">
        <v>0.11</v>
      </c>
      <c r="KH225">
        <v>3.5</v>
      </c>
      <c r="KI225">
        <v>1</v>
      </c>
      <c r="KJ225">
        <v>4.5</v>
      </c>
      <c r="KK225">
        <v>0</v>
      </c>
      <c r="KL225">
        <v>4.5</v>
      </c>
      <c r="KM225">
        <v>0.5</v>
      </c>
      <c r="KN225">
        <v>1.6</v>
      </c>
      <c r="KO225">
        <v>0</v>
      </c>
      <c r="KP225">
        <v>0</v>
      </c>
      <c r="KQ225">
        <v>1</v>
      </c>
      <c r="KR225">
        <v>1</v>
      </c>
      <c r="KS225">
        <v>0.2</v>
      </c>
      <c r="KT225">
        <v>2.3</v>
      </c>
      <c r="KU225">
        <v>0</v>
      </c>
      <c r="KV225">
        <v>0</v>
      </c>
      <c r="KW225">
        <v>1</v>
      </c>
      <c r="KX225">
        <v>1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3</v>
      </c>
      <c r="LI225">
        <v>0.5</v>
      </c>
      <c r="LJ225">
        <v>0</v>
      </c>
      <c r="LK225">
        <v>6</v>
      </c>
      <c r="LL225">
        <v>4.5</v>
      </c>
      <c r="LM225">
        <v>9.5</v>
      </c>
      <c r="LN225">
        <v>0.4</v>
      </c>
      <c r="LO225">
        <v>0.1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1.8</v>
      </c>
      <c r="LX225">
        <v>1.8</v>
      </c>
      <c r="LY225">
        <v>2</v>
      </c>
      <c r="LZ225">
        <v>2</v>
      </c>
      <c r="MA225">
        <v>0</v>
      </c>
      <c r="MB225">
        <v>4</v>
      </c>
      <c r="MC225">
        <v>0</v>
      </c>
      <c r="MD225">
        <v>4.5</v>
      </c>
      <c r="ME225">
        <v>6</v>
      </c>
      <c r="MF225">
        <v>6</v>
      </c>
      <c r="MI225">
        <v>0</v>
      </c>
      <c r="MJ225">
        <v>0</v>
      </c>
      <c r="ML225">
        <v>0</v>
      </c>
      <c r="MM225">
        <v>452</v>
      </c>
      <c r="MN225">
        <v>210</v>
      </c>
      <c r="MO225">
        <v>262</v>
      </c>
      <c r="NU225">
        <v>0.15</v>
      </c>
      <c r="NV225">
        <v>0.2</v>
      </c>
      <c r="NW225">
        <v>0.2</v>
      </c>
      <c r="NX225">
        <v>0.2</v>
      </c>
      <c r="NY225">
        <v>0.2</v>
      </c>
      <c r="NZ225">
        <v>0.2</v>
      </c>
      <c r="OE225" t="s">
        <v>4848</v>
      </c>
      <c r="OF225" t="s">
        <v>4312</v>
      </c>
      <c r="OG225" t="s">
        <v>4313</v>
      </c>
      <c r="OH225" t="s">
        <v>4043</v>
      </c>
      <c r="OI225" t="s">
        <v>4848</v>
      </c>
      <c r="OJ225" t="s">
        <v>4847</v>
      </c>
      <c r="OK225">
        <v>61</v>
      </c>
      <c r="OL225">
        <v>61</v>
      </c>
      <c r="OM225" t="s">
        <v>4312</v>
      </c>
      <c r="ON225">
        <v>1</v>
      </c>
      <c r="OO225">
        <v>2133</v>
      </c>
      <c r="OP225">
        <v>61</v>
      </c>
      <c r="OQ225">
        <v>61</v>
      </c>
      <c r="OR225" t="s">
        <v>4313</v>
      </c>
      <c r="OS225">
        <v>1</v>
      </c>
      <c r="OT225">
        <v>2145</v>
      </c>
      <c r="OU225">
        <v>65</v>
      </c>
      <c r="OV225">
        <v>65</v>
      </c>
      <c r="OW225" t="s">
        <v>4043</v>
      </c>
      <c r="OX225">
        <v>2</v>
      </c>
      <c r="OY225">
        <v>47930</v>
      </c>
      <c r="OZ225">
        <v>51</v>
      </c>
      <c r="PA225">
        <v>52</v>
      </c>
      <c r="PB225" t="s">
        <v>4848</v>
      </c>
      <c r="PC225">
        <v>1</v>
      </c>
      <c r="PD225">
        <v>2177</v>
      </c>
      <c r="PF225">
        <v>454</v>
      </c>
      <c r="PG225">
        <v>35</v>
      </c>
      <c r="PH225">
        <v>433</v>
      </c>
      <c r="PI225">
        <v>0</v>
      </c>
      <c r="PJ225">
        <v>87.59999999999999</v>
      </c>
      <c r="PL225">
        <v>1144.6</v>
      </c>
      <c r="PM225">
        <v>1139</v>
      </c>
      <c r="PN225">
        <v>105</v>
      </c>
      <c r="PO225">
        <v>10</v>
      </c>
      <c r="PP225">
        <v>12</v>
      </c>
      <c r="PQ225">
        <v>5</v>
      </c>
      <c r="PR225">
        <v>5</v>
      </c>
      <c r="PS225">
        <v>0</v>
      </c>
      <c r="PT225">
        <v>252</v>
      </c>
      <c r="PU225">
        <v>10</v>
      </c>
      <c r="PV225" t="s">
        <v>4072</v>
      </c>
      <c r="PW225" t="s">
        <v>4072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-1</v>
      </c>
      <c r="QF225">
        <v>1</v>
      </c>
      <c r="QG225">
        <v>0</v>
      </c>
      <c r="QH225">
        <v>5</v>
      </c>
      <c r="QI225">
        <v>5</v>
      </c>
      <c r="QJ225">
        <v>5</v>
      </c>
      <c r="QK225">
        <v>217</v>
      </c>
      <c r="QL225">
        <v>434</v>
      </c>
      <c r="QM225">
        <v>7.5</v>
      </c>
      <c r="QN225">
        <v>1544.1</v>
      </c>
      <c r="QO225" t="s">
        <v>2662</v>
      </c>
      <c r="QP225" t="s">
        <v>513</v>
      </c>
      <c r="QQ225">
        <v>0</v>
      </c>
      <c r="QR225" t="s">
        <v>596</v>
      </c>
      <c r="QS225">
        <v>40</v>
      </c>
      <c r="QT225">
        <v>50</v>
      </c>
    </row>
    <row r="226" spans="1:462">
      <c r="A226" t="s">
        <v>2942</v>
      </c>
      <c r="B226" t="s">
        <v>804</v>
      </c>
      <c r="C226" t="s">
        <v>509</v>
      </c>
      <c r="D226" t="s">
        <v>1239</v>
      </c>
      <c r="E226" t="s">
        <v>4036</v>
      </c>
      <c r="H226" t="s">
        <v>1135</v>
      </c>
      <c r="J226" t="s">
        <v>562</v>
      </c>
      <c r="K226" t="s">
        <v>563</v>
      </c>
      <c r="L226" t="s">
        <v>508</v>
      </c>
      <c r="M226" t="s">
        <v>512</v>
      </c>
      <c r="N226" t="s">
        <v>515</v>
      </c>
      <c r="O226" t="s">
        <v>513</v>
      </c>
      <c r="P226" t="s">
        <v>517</v>
      </c>
      <c r="Q226" t="s">
        <v>2943</v>
      </c>
      <c r="R226" t="s">
        <v>2944</v>
      </c>
      <c r="S226" t="s">
        <v>4073</v>
      </c>
      <c r="T226" t="s">
        <v>570</v>
      </c>
      <c r="U226" t="s">
        <v>571</v>
      </c>
      <c r="V226" t="s">
        <v>1270</v>
      </c>
      <c r="W226" t="s">
        <v>2657</v>
      </c>
      <c r="X226" t="s">
        <v>2945</v>
      </c>
      <c r="Y226" t="s">
        <v>2946</v>
      </c>
      <c r="Z226" t="s">
        <v>541</v>
      </c>
      <c r="AA226" t="s">
        <v>4038</v>
      </c>
      <c r="AB226" t="s">
        <v>4849</v>
      </c>
      <c r="AC226">
        <v>9</v>
      </c>
      <c r="AD226" t="s">
        <v>2941</v>
      </c>
      <c r="AE226">
        <v>2</v>
      </c>
      <c r="AF226">
        <v>6915</v>
      </c>
      <c r="AG226" t="s">
        <v>4774</v>
      </c>
      <c r="AH226">
        <v>1</v>
      </c>
      <c r="AI226" t="s">
        <v>4041</v>
      </c>
      <c r="AK226" t="s">
        <v>4775</v>
      </c>
      <c r="AL226">
        <v>1</v>
      </c>
      <c r="AM226" t="s">
        <v>582</v>
      </c>
      <c r="AO226" t="s">
        <v>4043</v>
      </c>
      <c r="AP226">
        <v>1</v>
      </c>
      <c r="AR226" t="s">
        <v>4850</v>
      </c>
      <c r="AS226">
        <v>1</v>
      </c>
      <c r="AT226">
        <v>52</v>
      </c>
      <c r="AV226" t="s">
        <v>4078</v>
      </c>
      <c r="AW226">
        <v>6.4</v>
      </c>
      <c r="AX226">
        <v>-6</v>
      </c>
      <c r="AY226">
        <v>122.5</v>
      </c>
      <c r="AZ226">
        <v>92.5</v>
      </c>
      <c r="BH226">
        <v>122.5</v>
      </c>
      <c r="BI226">
        <v>30</v>
      </c>
      <c r="BJ226">
        <v>92.5</v>
      </c>
      <c r="BK226">
        <v>2.5</v>
      </c>
      <c r="BL226">
        <v>245</v>
      </c>
      <c r="BM226">
        <v>-6</v>
      </c>
      <c r="BN226">
        <v>0</v>
      </c>
      <c r="BO226">
        <v>0</v>
      </c>
      <c r="BP226">
        <v>0</v>
      </c>
      <c r="BR226">
        <v>240</v>
      </c>
      <c r="BS226">
        <v>230</v>
      </c>
      <c r="BT226">
        <v>2295</v>
      </c>
      <c r="BU226" t="s">
        <v>4079</v>
      </c>
      <c r="BV226" t="s">
        <v>4080</v>
      </c>
      <c r="BW226" t="s">
        <v>4081</v>
      </c>
      <c r="BX226" t="s">
        <v>4082</v>
      </c>
      <c r="BY226" t="s">
        <v>4199</v>
      </c>
      <c r="BZ226" t="s">
        <v>4083</v>
      </c>
      <c r="CA226" t="s">
        <v>4084</v>
      </c>
      <c r="CB226" t="s">
        <v>4085</v>
      </c>
      <c r="CC226" t="s">
        <v>4053</v>
      </c>
      <c r="CD226" t="s">
        <v>4055</v>
      </c>
      <c r="CE226" t="s">
        <v>4055</v>
      </c>
      <c r="CF226" t="s">
        <v>4055</v>
      </c>
      <c r="CG226" t="s">
        <v>4056</v>
      </c>
      <c r="CI226" t="s">
        <v>4086</v>
      </c>
      <c r="CJ226" t="s">
        <v>4059</v>
      </c>
      <c r="CK226" t="s">
        <v>4060</v>
      </c>
      <c r="CL226" t="s">
        <v>4061</v>
      </c>
      <c r="CM226" t="s">
        <v>4055</v>
      </c>
      <c r="CN226" t="s">
        <v>4062</v>
      </c>
      <c r="CO226" t="s">
        <v>4063</v>
      </c>
      <c r="CP226" t="s">
        <v>4055</v>
      </c>
      <c r="CQ226" t="s">
        <v>4055</v>
      </c>
      <c r="CR226">
        <v>5</v>
      </c>
      <c r="CS226" t="s">
        <v>4055</v>
      </c>
      <c r="CT226" t="s">
        <v>4055</v>
      </c>
      <c r="CU226" t="s">
        <v>4055</v>
      </c>
      <c r="CV226">
        <v>148</v>
      </c>
      <c r="CW226">
        <v>3</v>
      </c>
      <c r="CX226">
        <v>102</v>
      </c>
      <c r="CY226">
        <v>5</v>
      </c>
      <c r="CZ226">
        <v>175</v>
      </c>
      <c r="DA226">
        <v>5</v>
      </c>
      <c r="DB226">
        <v>16910</v>
      </c>
      <c r="DC226">
        <v>500</v>
      </c>
      <c r="DD226">
        <v>398</v>
      </c>
      <c r="DE226">
        <v>2432</v>
      </c>
      <c r="DF226">
        <v>2432</v>
      </c>
      <c r="DG226">
        <v>2443</v>
      </c>
      <c r="DH226">
        <v>1</v>
      </c>
      <c r="DI226" t="s">
        <v>4055</v>
      </c>
      <c r="DJ226" t="s">
        <v>4217</v>
      </c>
      <c r="DK226">
        <v>240</v>
      </c>
      <c r="DL226" t="s">
        <v>4065</v>
      </c>
      <c r="DM226">
        <v>63</v>
      </c>
      <c r="DN226">
        <v>1.26</v>
      </c>
      <c r="DO226">
        <v>1</v>
      </c>
      <c r="DP226">
        <v>2299</v>
      </c>
      <c r="DQ226">
        <v>1331</v>
      </c>
      <c r="DR226" t="s">
        <v>4217</v>
      </c>
      <c r="DS226">
        <v>230</v>
      </c>
      <c r="DT226" t="s">
        <v>4065</v>
      </c>
      <c r="DU226">
        <v>63</v>
      </c>
      <c r="DV226">
        <v>1.26</v>
      </c>
      <c r="DW226">
        <v>1</v>
      </c>
      <c r="DX226">
        <v>2312</v>
      </c>
      <c r="DY226">
        <v>1283</v>
      </c>
      <c r="DZ226" t="s">
        <v>4066</v>
      </c>
      <c r="EA226">
        <v>20</v>
      </c>
      <c r="EB226" t="s">
        <v>4065</v>
      </c>
      <c r="EC226">
        <v>0.8</v>
      </c>
      <c r="ED226">
        <v>2299</v>
      </c>
      <c r="EE226">
        <v>80</v>
      </c>
      <c r="EG226">
        <v>0</v>
      </c>
      <c r="EH226" t="s">
        <v>4065</v>
      </c>
      <c r="EI226">
        <v>0</v>
      </c>
      <c r="EL226" t="s">
        <v>1528</v>
      </c>
      <c r="EM226">
        <v>12</v>
      </c>
      <c r="EN226">
        <v>0.5</v>
      </c>
      <c r="EO226">
        <v>0.96</v>
      </c>
      <c r="EP226">
        <v>2310.84</v>
      </c>
      <c r="EQ226">
        <v>46397.33</v>
      </c>
      <c r="ER226">
        <v>10860.34</v>
      </c>
      <c r="ES226">
        <v>0</v>
      </c>
      <c r="ET226">
        <v>0</v>
      </c>
      <c r="EU226">
        <v>1</v>
      </c>
      <c r="EV226">
        <v>57258</v>
      </c>
      <c r="EW226">
        <v>688</v>
      </c>
      <c r="EX226" t="s">
        <v>4755</v>
      </c>
      <c r="EY226">
        <v>266</v>
      </c>
      <c r="EZ226" t="s">
        <v>4055</v>
      </c>
      <c r="FA226">
        <v>4.2</v>
      </c>
      <c r="FB226">
        <v>1</v>
      </c>
      <c r="FC226">
        <v>1</v>
      </c>
      <c r="FD226">
        <v>2345</v>
      </c>
      <c r="FE226">
        <v>3127</v>
      </c>
      <c r="FF226" t="s">
        <v>4756</v>
      </c>
      <c r="FG226">
        <v>266</v>
      </c>
      <c r="FH226" t="s">
        <v>4055</v>
      </c>
      <c r="FI226">
        <v>4.1</v>
      </c>
      <c r="FJ226">
        <v>2345</v>
      </c>
      <c r="FK226">
        <v>3012</v>
      </c>
      <c r="FL226" t="s">
        <v>4069</v>
      </c>
      <c r="FM226" t="s">
        <v>4055</v>
      </c>
      <c r="FN226" t="s">
        <v>4055</v>
      </c>
      <c r="FO226" t="s">
        <v>4055</v>
      </c>
      <c r="FP226">
        <v>2345</v>
      </c>
      <c r="FQ226">
        <v>162</v>
      </c>
      <c r="FR226" t="s">
        <v>4090</v>
      </c>
      <c r="FS226">
        <v>270</v>
      </c>
      <c r="FT226" t="s">
        <v>4055</v>
      </c>
      <c r="FU226">
        <v>0.4</v>
      </c>
      <c r="FV226">
        <v>2345</v>
      </c>
      <c r="FW226">
        <v>282</v>
      </c>
      <c r="FX226" t="s">
        <v>4070</v>
      </c>
      <c r="FY226">
        <v>5</v>
      </c>
      <c r="FZ226" t="s">
        <v>4055</v>
      </c>
      <c r="GA226" t="s">
        <v>4055</v>
      </c>
      <c r="GB226">
        <v>2345</v>
      </c>
      <c r="GC226">
        <v>24</v>
      </c>
      <c r="GD226">
        <v>6607</v>
      </c>
      <c r="GE226" t="s">
        <v>4850</v>
      </c>
      <c r="GF226" t="s">
        <v>4055</v>
      </c>
      <c r="GG226" t="s">
        <v>4055</v>
      </c>
      <c r="GH226" t="s">
        <v>4055</v>
      </c>
      <c r="GI226" t="s">
        <v>4071</v>
      </c>
      <c r="GJ226" t="s">
        <v>4055</v>
      </c>
      <c r="GK226" t="s">
        <v>4055</v>
      </c>
      <c r="GL226" t="s">
        <v>4055</v>
      </c>
      <c r="GM226" t="s">
        <v>4055</v>
      </c>
      <c r="GQ226">
        <v>0</v>
      </c>
      <c r="GV226">
        <v>8.699999999999999</v>
      </c>
      <c r="GW226">
        <v>11.5</v>
      </c>
      <c r="GX226">
        <v>0.5</v>
      </c>
      <c r="GY226">
        <v>230</v>
      </c>
      <c r="GZ226">
        <v>3</v>
      </c>
      <c r="HA226">
        <v>286</v>
      </c>
      <c r="HB226">
        <v>3</v>
      </c>
      <c r="HC226">
        <v>2345</v>
      </c>
      <c r="HD226">
        <v>4</v>
      </c>
      <c r="HE226" t="s">
        <v>4071</v>
      </c>
      <c r="HG226" t="s">
        <v>549</v>
      </c>
      <c r="HL226">
        <v>4</v>
      </c>
      <c r="HM226">
        <v>20</v>
      </c>
      <c r="HN226">
        <v>6</v>
      </c>
      <c r="HO226">
        <v>1</v>
      </c>
      <c r="HP226">
        <v>0</v>
      </c>
      <c r="HQ226">
        <v>0</v>
      </c>
      <c r="HR226">
        <v>2</v>
      </c>
      <c r="HS226">
        <v>2295</v>
      </c>
      <c r="HT226">
        <v>5</v>
      </c>
      <c r="HU226">
        <v>1</v>
      </c>
      <c r="HV226">
        <v>5</v>
      </c>
      <c r="HW226">
        <v>0</v>
      </c>
      <c r="HX226">
        <v>1</v>
      </c>
      <c r="HY226">
        <v>0</v>
      </c>
      <c r="HZ226">
        <v>63</v>
      </c>
      <c r="IA226">
        <v>2299</v>
      </c>
      <c r="IB226">
        <v>2312</v>
      </c>
      <c r="ID226">
        <v>2345</v>
      </c>
      <c r="IE226">
        <v>2345</v>
      </c>
      <c r="IF226">
        <v>240</v>
      </c>
      <c r="IG226">
        <v>230</v>
      </c>
      <c r="IH226">
        <v>286</v>
      </c>
      <c r="II226">
        <v>1</v>
      </c>
      <c r="IJ226">
        <v>10</v>
      </c>
      <c r="IK226">
        <v>0</v>
      </c>
      <c r="IL226">
        <v>0</v>
      </c>
      <c r="IM226">
        <v>0</v>
      </c>
      <c r="IN226">
        <v>270</v>
      </c>
      <c r="IO226">
        <v>0</v>
      </c>
      <c r="IP226">
        <v>180</v>
      </c>
      <c r="IQ226">
        <v>0</v>
      </c>
      <c r="IR226">
        <v>330</v>
      </c>
      <c r="IS226">
        <v>0</v>
      </c>
      <c r="IT226">
        <v>90</v>
      </c>
      <c r="IU226">
        <v>0</v>
      </c>
      <c r="IV226">
        <v>6.4</v>
      </c>
      <c r="IW226">
        <v>-6</v>
      </c>
      <c r="IX226">
        <v>122.5</v>
      </c>
      <c r="IY226">
        <v>92.5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458</v>
      </c>
      <c r="JJ226">
        <v>428</v>
      </c>
      <c r="JK226">
        <v>307</v>
      </c>
      <c r="JL226">
        <v>426</v>
      </c>
      <c r="JM226">
        <v>327</v>
      </c>
      <c r="JN226">
        <v>235</v>
      </c>
      <c r="JO226">
        <v>302</v>
      </c>
      <c r="JP226">
        <v>230</v>
      </c>
      <c r="JQ226">
        <v>265</v>
      </c>
      <c r="JR226">
        <v>330</v>
      </c>
      <c r="JS226">
        <v>245</v>
      </c>
      <c r="JT226">
        <v>0</v>
      </c>
      <c r="JU226">
        <v>0</v>
      </c>
      <c r="JV226">
        <v>300</v>
      </c>
      <c r="JW226">
        <v>290</v>
      </c>
      <c r="JX226">
        <v>0</v>
      </c>
      <c r="JY226">
        <v>0</v>
      </c>
      <c r="JZ226">
        <v>0</v>
      </c>
      <c r="KA226">
        <v>0.2</v>
      </c>
      <c r="KB226">
        <v>0.4</v>
      </c>
      <c r="KC226">
        <v>0.42</v>
      </c>
      <c r="KD226">
        <v>0.3</v>
      </c>
      <c r="KE226">
        <v>0.5</v>
      </c>
      <c r="KF226">
        <v>0.21</v>
      </c>
      <c r="KG226">
        <v>0.12</v>
      </c>
      <c r="KH226">
        <v>3.5</v>
      </c>
      <c r="KI226">
        <v>1</v>
      </c>
      <c r="KJ226">
        <v>4.5</v>
      </c>
      <c r="KK226">
        <v>0</v>
      </c>
      <c r="KL226">
        <v>4.5</v>
      </c>
      <c r="KM226">
        <v>0</v>
      </c>
      <c r="KN226">
        <v>2</v>
      </c>
      <c r="KO226">
        <v>0</v>
      </c>
      <c r="KP226">
        <v>0</v>
      </c>
      <c r="KQ226">
        <v>0.7</v>
      </c>
      <c r="KR226">
        <v>0.9</v>
      </c>
      <c r="KS226">
        <v>0</v>
      </c>
      <c r="KT226">
        <v>3.5</v>
      </c>
      <c r="KU226">
        <v>0</v>
      </c>
      <c r="KV226">
        <v>0</v>
      </c>
      <c r="KW226">
        <v>0.7</v>
      </c>
      <c r="KX226">
        <v>1.5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3</v>
      </c>
      <c r="LI226">
        <v>0</v>
      </c>
      <c r="LJ226">
        <v>0</v>
      </c>
      <c r="LK226">
        <v>7</v>
      </c>
      <c r="LL226">
        <v>10</v>
      </c>
      <c r="LM226">
        <v>11</v>
      </c>
      <c r="LN226">
        <v>0.3</v>
      </c>
      <c r="LO226">
        <v>1</v>
      </c>
      <c r="LP226">
        <v>0</v>
      </c>
      <c r="LQ226">
        <v>0</v>
      </c>
      <c r="LR226">
        <v>0</v>
      </c>
      <c r="LS226">
        <v>1</v>
      </c>
      <c r="LT226">
        <v>0</v>
      </c>
      <c r="LU226">
        <v>0</v>
      </c>
      <c r="LV226">
        <v>0</v>
      </c>
      <c r="LW226">
        <v>2.1</v>
      </c>
      <c r="LX226">
        <v>2.1</v>
      </c>
      <c r="LY226">
        <v>2.8</v>
      </c>
      <c r="LZ226">
        <v>2.8</v>
      </c>
      <c r="MA226">
        <v>0</v>
      </c>
      <c r="MB226">
        <v>6</v>
      </c>
      <c r="MC226">
        <v>0</v>
      </c>
      <c r="MD226">
        <v>4.5</v>
      </c>
      <c r="ME226">
        <v>6</v>
      </c>
      <c r="MF226">
        <v>6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484</v>
      </c>
      <c r="MN226">
        <v>230</v>
      </c>
      <c r="MO226">
        <v>302</v>
      </c>
      <c r="NU226">
        <v>0.15</v>
      </c>
      <c r="NV226">
        <v>0.2</v>
      </c>
      <c r="NW226">
        <v>0.2</v>
      </c>
      <c r="NX226">
        <v>0.2</v>
      </c>
      <c r="NY226">
        <v>0.2</v>
      </c>
      <c r="NZ226">
        <v>0.2</v>
      </c>
      <c r="OE226" t="s">
        <v>4850</v>
      </c>
      <c r="OF226" t="s">
        <v>4774</v>
      </c>
      <c r="OG226" t="s">
        <v>4775</v>
      </c>
      <c r="OH226" t="s">
        <v>4043</v>
      </c>
      <c r="OI226" t="s">
        <v>4850</v>
      </c>
      <c r="OJ226" t="s">
        <v>4849</v>
      </c>
      <c r="OK226">
        <v>61</v>
      </c>
      <c r="OL226">
        <v>61</v>
      </c>
      <c r="OM226" t="s">
        <v>4774</v>
      </c>
      <c r="ON226">
        <v>1</v>
      </c>
      <c r="OO226">
        <v>2299</v>
      </c>
      <c r="OP226">
        <v>61</v>
      </c>
      <c r="OQ226">
        <v>61</v>
      </c>
      <c r="OR226" t="s">
        <v>4775</v>
      </c>
      <c r="OS226">
        <v>1</v>
      </c>
      <c r="OT226">
        <v>2312</v>
      </c>
      <c r="OU226">
        <v>65</v>
      </c>
      <c r="OV226">
        <v>65</v>
      </c>
      <c r="OW226" t="s">
        <v>4043</v>
      </c>
      <c r="OX226">
        <v>2</v>
      </c>
      <c r="OY226">
        <v>57258</v>
      </c>
      <c r="OZ226">
        <v>51</v>
      </c>
      <c r="PA226">
        <v>52</v>
      </c>
      <c r="PB226" t="s">
        <v>4850</v>
      </c>
      <c r="PC226">
        <v>1</v>
      </c>
      <c r="PD226">
        <v>2345</v>
      </c>
      <c r="PF226">
        <v>579</v>
      </c>
      <c r="PG226">
        <v>35</v>
      </c>
      <c r="PH226">
        <v>555</v>
      </c>
      <c r="PI226">
        <v>0</v>
      </c>
      <c r="PJ226">
        <v>68.90000000000001</v>
      </c>
      <c r="PK226">
        <v>2222</v>
      </c>
      <c r="PL226">
        <v>1333.5</v>
      </c>
      <c r="PM226">
        <v>1284.3</v>
      </c>
      <c r="PN226">
        <v>120.2</v>
      </c>
      <c r="PO226">
        <v>10.1</v>
      </c>
      <c r="PP226">
        <v>12</v>
      </c>
      <c r="PQ226">
        <v>4</v>
      </c>
      <c r="PR226">
        <v>6</v>
      </c>
      <c r="PS226">
        <v>0</v>
      </c>
      <c r="PT226">
        <v>286</v>
      </c>
      <c r="PU226">
        <v>10</v>
      </c>
      <c r="PV226" t="s">
        <v>4072</v>
      </c>
      <c r="PW226" t="s">
        <v>4072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-1</v>
      </c>
      <c r="QF226">
        <v>1</v>
      </c>
      <c r="QG226">
        <v>0</v>
      </c>
      <c r="QH226">
        <v>5</v>
      </c>
      <c r="QI226">
        <v>5</v>
      </c>
      <c r="QJ226">
        <v>5</v>
      </c>
      <c r="QK226">
        <v>245</v>
      </c>
      <c r="QL226">
        <v>488</v>
      </c>
      <c r="QM226">
        <v>9.4</v>
      </c>
      <c r="QN226">
        <v>1623.8</v>
      </c>
      <c r="QO226" t="s">
        <v>2662</v>
      </c>
      <c r="QP226" t="s">
        <v>513</v>
      </c>
      <c r="QQ226">
        <v>0</v>
      </c>
      <c r="QR226" t="s">
        <v>596</v>
      </c>
      <c r="QS226">
        <v>40</v>
      </c>
      <c r="QT226">
        <v>50</v>
      </c>
    </row>
    <row r="227" spans="1:462">
      <c r="A227" t="s">
        <v>2952</v>
      </c>
      <c r="B227" t="s">
        <v>564</v>
      </c>
      <c r="C227" t="s">
        <v>509</v>
      </c>
      <c r="D227" t="s">
        <v>4851</v>
      </c>
      <c r="E227" t="s">
        <v>4036</v>
      </c>
      <c r="H227" t="s">
        <v>1294</v>
      </c>
      <c r="J227" t="s">
        <v>562</v>
      </c>
      <c r="K227" t="s">
        <v>563</v>
      </c>
      <c r="L227" t="s">
        <v>629</v>
      </c>
      <c r="M227" t="s">
        <v>512</v>
      </c>
      <c r="O227" t="s">
        <v>513</v>
      </c>
      <c r="P227" t="s">
        <v>517</v>
      </c>
      <c r="Q227" t="s">
        <v>1231</v>
      </c>
      <c r="R227" t="s">
        <v>1127</v>
      </c>
      <c r="S227" t="s">
        <v>4073</v>
      </c>
      <c r="T227" t="s">
        <v>662</v>
      </c>
      <c r="U227" t="s">
        <v>663</v>
      </c>
      <c r="V227" t="s">
        <v>2656</v>
      </c>
      <c r="W227" t="s">
        <v>2657</v>
      </c>
      <c r="X227" t="s">
        <v>2953</v>
      </c>
      <c r="Y227" t="s">
        <v>2954</v>
      </c>
      <c r="Z227" t="s">
        <v>541</v>
      </c>
      <c r="AA227" t="s">
        <v>4038</v>
      </c>
      <c r="AB227" t="s">
        <v>4852</v>
      </c>
      <c r="AC227">
        <v>9</v>
      </c>
      <c r="AD227" t="s">
        <v>2951</v>
      </c>
      <c r="AE227">
        <v>5</v>
      </c>
      <c r="AF227">
        <v>4332</v>
      </c>
      <c r="AG227" t="s">
        <v>4316</v>
      </c>
      <c r="AH227">
        <v>1</v>
      </c>
      <c r="AI227" t="s">
        <v>4041</v>
      </c>
      <c r="AK227" t="s">
        <v>4317</v>
      </c>
      <c r="AL227">
        <v>1</v>
      </c>
      <c r="AM227" t="s">
        <v>582</v>
      </c>
      <c r="AO227" t="s">
        <v>4043</v>
      </c>
      <c r="AP227">
        <v>1</v>
      </c>
      <c r="AR227" t="s">
        <v>4853</v>
      </c>
      <c r="AS227">
        <v>1</v>
      </c>
      <c r="AT227">
        <v>52</v>
      </c>
      <c r="AV227" t="s">
        <v>4078</v>
      </c>
      <c r="AW227">
        <v>6.4</v>
      </c>
      <c r="AX227">
        <v>-6</v>
      </c>
      <c r="AY227">
        <v>100</v>
      </c>
      <c r="AZ227">
        <v>70</v>
      </c>
      <c r="BH227">
        <v>100</v>
      </c>
      <c r="BI227">
        <v>30</v>
      </c>
      <c r="BJ227">
        <v>70</v>
      </c>
      <c r="BK227">
        <v>2.5</v>
      </c>
      <c r="BL227">
        <v>200</v>
      </c>
      <c r="BM227">
        <v>-6</v>
      </c>
      <c r="BN227">
        <v>0</v>
      </c>
      <c r="BO227">
        <v>0</v>
      </c>
      <c r="BP227">
        <v>0</v>
      </c>
      <c r="BR227">
        <v>195</v>
      </c>
      <c r="BS227">
        <v>185</v>
      </c>
      <c r="BT227">
        <v>1985</v>
      </c>
      <c r="BU227" t="s">
        <v>4047</v>
      </c>
      <c r="BV227" t="s">
        <v>4096</v>
      </c>
      <c r="BW227" t="s">
        <v>4049</v>
      </c>
      <c r="BX227" t="s">
        <v>4097</v>
      </c>
      <c r="BY227" t="s">
        <v>4116</v>
      </c>
      <c r="BZ227" t="s">
        <v>4192</v>
      </c>
      <c r="CA227" t="s">
        <v>4118</v>
      </c>
      <c r="CB227" t="s">
        <v>4119</v>
      </c>
      <c r="CC227" t="s">
        <v>4053</v>
      </c>
      <c r="CD227" t="s">
        <v>4121</v>
      </c>
      <c r="CE227" t="s">
        <v>4055</v>
      </c>
      <c r="CF227" t="s">
        <v>4055</v>
      </c>
      <c r="CG227" t="s">
        <v>4056</v>
      </c>
      <c r="CH227" t="s">
        <v>4099</v>
      </c>
      <c r="CI227" t="s">
        <v>4058</v>
      </c>
      <c r="CJ227" t="s">
        <v>4059</v>
      </c>
      <c r="CK227" t="s">
        <v>4060</v>
      </c>
      <c r="CL227" t="s">
        <v>4061</v>
      </c>
      <c r="CM227" t="s">
        <v>4055</v>
      </c>
      <c r="CN227" t="s">
        <v>4062</v>
      </c>
      <c r="CO227" t="s">
        <v>4063</v>
      </c>
      <c r="CP227" t="s">
        <v>4055</v>
      </c>
      <c r="CQ227" t="s">
        <v>4055</v>
      </c>
      <c r="CR227">
        <v>5</v>
      </c>
      <c r="CS227" t="s">
        <v>4055</v>
      </c>
      <c r="CT227" t="s">
        <v>4055</v>
      </c>
      <c r="CU227" t="s">
        <v>4055</v>
      </c>
      <c r="CV227">
        <v>121</v>
      </c>
      <c r="CW227">
        <v>3</v>
      </c>
      <c r="CX227">
        <v>86</v>
      </c>
      <c r="CY227">
        <v>5</v>
      </c>
      <c r="CZ227">
        <v>141</v>
      </c>
      <c r="DA227">
        <v>5</v>
      </c>
      <c r="DB227">
        <v>11260</v>
      </c>
      <c r="DC227">
        <v>330</v>
      </c>
      <c r="DD227">
        <v>318</v>
      </c>
      <c r="DE227">
        <v>2107</v>
      </c>
      <c r="DF227">
        <v>2107</v>
      </c>
      <c r="DG227">
        <v>2118</v>
      </c>
      <c r="DH227" t="s">
        <v>4055</v>
      </c>
      <c r="DI227" t="s">
        <v>4055</v>
      </c>
      <c r="DJ227" t="s">
        <v>4132</v>
      </c>
      <c r="DK227">
        <v>195</v>
      </c>
      <c r="DL227" t="s">
        <v>4065</v>
      </c>
      <c r="DM227">
        <v>63</v>
      </c>
      <c r="DN227">
        <v>1.1</v>
      </c>
      <c r="DO227">
        <v>1</v>
      </c>
      <c r="DP227">
        <v>1988</v>
      </c>
      <c r="DQ227">
        <v>839</v>
      </c>
      <c r="DR227" t="s">
        <v>4132</v>
      </c>
      <c r="DS227">
        <v>185</v>
      </c>
      <c r="DT227" t="s">
        <v>4065</v>
      </c>
      <c r="DU227">
        <v>63</v>
      </c>
      <c r="DV227">
        <v>1.1</v>
      </c>
      <c r="DW227">
        <v>1</v>
      </c>
      <c r="DX227">
        <v>2000</v>
      </c>
      <c r="DY227">
        <v>800</v>
      </c>
      <c r="DZ227" t="s">
        <v>4066</v>
      </c>
      <c r="EA227">
        <v>20</v>
      </c>
      <c r="EB227" t="s">
        <v>4065</v>
      </c>
      <c r="EC227">
        <v>0.8</v>
      </c>
      <c r="ED227">
        <v>1988</v>
      </c>
      <c r="EE227">
        <v>70</v>
      </c>
      <c r="EG227">
        <v>0</v>
      </c>
      <c r="EH227" t="s">
        <v>4065</v>
      </c>
      <c r="EI227">
        <v>0</v>
      </c>
      <c r="EL227" t="s">
        <v>1528</v>
      </c>
      <c r="EM227">
        <v>12</v>
      </c>
      <c r="EN227">
        <v>0.5</v>
      </c>
      <c r="EO227">
        <v>0.96</v>
      </c>
      <c r="EP227">
        <v>1998.83</v>
      </c>
      <c r="EQ227">
        <v>33105.62</v>
      </c>
      <c r="ER227">
        <v>9397.790000000001</v>
      </c>
      <c r="ES227">
        <v>0</v>
      </c>
      <c r="ET227">
        <v>0</v>
      </c>
      <c r="EU227">
        <v>1</v>
      </c>
      <c r="EV227">
        <v>42504</v>
      </c>
      <c r="EW227">
        <v>511</v>
      </c>
      <c r="EX227" t="s">
        <v>4755</v>
      </c>
      <c r="EY227">
        <v>216</v>
      </c>
      <c r="EZ227" t="s">
        <v>4055</v>
      </c>
      <c r="FA227">
        <v>4.2</v>
      </c>
      <c r="FB227">
        <v>1</v>
      </c>
      <c r="FC227">
        <v>1</v>
      </c>
      <c r="FD227">
        <v>2033</v>
      </c>
      <c r="FE227">
        <v>2053</v>
      </c>
      <c r="FF227" t="s">
        <v>4756</v>
      </c>
      <c r="FG227">
        <v>216</v>
      </c>
      <c r="FH227" t="s">
        <v>4055</v>
      </c>
      <c r="FI227">
        <v>4.2</v>
      </c>
      <c r="FJ227">
        <v>2033</v>
      </c>
      <c r="FK227">
        <v>2328</v>
      </c>
      <c r="FL227" t="s">
        <v>4069</v>
      </c>
      <c r="FM227" t="s">
        <v>4055</v>
      </c>
      <c r="FN227" t="s">
        <v>4055</v>
      </c>
      <c r="FO227" t="s">
        <v>4055</v>
      </c>
      <c r="FP227">
        <v>2033</v>
      </c>
      <c r="FQ227">
        <v>98</v>
      </c>
      <c r="FR227" t="s">
        <v>4090</v>
      </c>
      <c r="FS227">
        <v>220</v>
      </c>
      <c r="FT227" t="s">
        <v>4055</v>
      </c>
      <c r="FU227">
        <v>0.4</v>
      </c>
      <c r="FV227">
        <v>2033</v>
      </c>
      <c r="FW227">
        <v>199</v>
      </c>
      <c r="FX227" t="s">
        <v>4070</v>
      </c>
      <c r="FY227">
        <v>5</v>
      </c>
      <c r="FZ227" t="s">
        <v>4055</v>
      </c>
      <c r="GA227" t="s">
        <v>4055</v>
      </c>
      <c r="GB227">
        <v>2033</v>
      </c>
      <c r="GC227">
        <v>21</v>
      </c>
      <c r="GD227">
        <v>4699</v>
      </c>
      <c r="GE227" t="s">
        <v>4853</v>
      </c>
      <c r="GF227" t="s">
        <v>4055</v>
      </c>
      <c r="GG227" t="s">
        <v>4055</v>
      </c>
      <c r="GH227" t="s">
        <v>4055</v>
      </c>
      <c r="GI227" t="s">
        <v>4071</v>
      </c>
      <c r="GJ227" t="s">
        <v>4055</v>
      </c>
      <c r="GK227" t="s">
        <v>4055</v>
      </c>
      <c r="GL227" t="s">
        <v>4055</v>
      </c>
      <c r="GM227" t="s">
        <v>4055</v>
      </c>
      <c r="GQ227">
        <v>0</v>
      </c>
      <c r="GV227">
        <v>8.800000000000001</v>
      </c>
      <c r="GW227">
        <v>11</v>
      </c>
      <c r="GX227">
        <v>0.5</v>
      </c>
      <c r="GY227">
        <v>190</v>
      </c>
      <c r="GZ227">
        <v>3</v>
      </c>
      <c r="HA227">
        <v>230</v>
      </c>
      <c r="HB227">
        <v>3</v>
      </c>
      <c r="HC227">
        <v>2033</v>
      </c>
      <c r="HD227">
        <v>4</v>
      </c>
      <c r="HE227" t="s">
        <v>4071</v>
      </c>
      <c r="HG227" t="s">
        <v>549</v>
      </c>
      <c r="HL227">
        <v>4</v>
      </c>
      <c r="HM227">
        <v>18</v>
      </c>
      <c r="HN227">
        <v>6</v>
      </c>
      <c r="HO227">
        <v>1</v>
      </c>
      <c r="HP227">
        <v>0</v>
      </c>
      <c r="HQ227">
        <v>0</v>
      </c>
      <c r="HR227">
        <v>3</v>
      </c>
      <c r="HS227">
        <v>1985</v>
      </c>
      <c r="HT227">
        <v>5</v>
      </c>
      <c r="HU227">
        <v>1</v>
      </c>
      <c r="HV227">
        <v>0</v>
      </c>
      <c r="HW227">
        <v>0</v>
      </c>
      <c r="HX227">
        <v>1</v>
      </c>
      <c r="HY227">
        <v>0</v>
      </c>
      <c r="HZ227">
        <v>63</v>
      </c>
      <c r="IA227">
        <v>1988</v>
      </c>
      <c r="IB227">
        <v>2000</v>
      </c>
      <c r="ID227">
        <v>2033</v>
      </c>
      <c r="IE227">
        <v>2033</v>
      </c>
      <c r="IF227">
        <v>195</v>
      </c>
      <c r="IG227">
        <v>185</v>
      </c>
      <c r="IH227">
        <v>230</v>
      </c>
      <c r="II227">
        <v>1</v>
      </c>
      <c r="IJ227">
        <v>5</v>
      </c>
      <c r="IK227">
        <v>0</v>
      </c>
      <c r="IL227">
        <v>0</v>
      </c>
      <c r="IM227">
        <v>0</v>
      </c>
      <c r="IN227">
        <v>270</v>
      </c>
      <c r="IO227">
        <v>0</v>
      </c>
      <c r="IP227">
        <v>180</v>
      </c>
      <c r="IQ227">
        <v>0</v>
      </c>
      <c r="IR227">
        <v>325</v>
      </c>
      <c r="IS227">
        <v>0</v>
      </c>
      <c r="IT227">
        <v>90</v>
      </c>
      <c r="IU227">
        <v>0</v>
      </c>
      <c r="IV227">
        <v>6.4</v>
      </c>
      <c r="IW227">
        <v>-6</v>
      </c>
      <c r="IX227">
        <v>100</v>
      </c>
      <c r="IY227">
        <v>70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360</v>
      </c>
      <c r="JJ227">
        <v>340</v>
      </c>
      <c r="JK227">
        <v>252</v>
      </c>
      <c r="JL227">
        <v>340</v>
      </c>
      <c r="JM227">
        <v>252</v>
      </c>
      <c r="JN227">
        <v>195</v>
      </c>
      <c r="JO227">
        <v>244</v>
      </c>
      <c r="JP227">
        <v>220</v>
      </c>
      <c r="JQ227">
        <v>250</v>
      </c>
      <c r="JR227">
        <v>316</v>
      </c>
      <c r="JS227">
        <v>255</v>
      </c>
      <c r="JT227">
        <v>0</v>
      </c>
      <c r="JU227">
        <v>0</v>
      </c>
      <c r="JV227">
        <v>290</v>
      </c>
      <c r="JW227">
        <v>292</v>
      </c>
      <c r="JX227">
        <v>280</v>
      </c>
      <c r="JY227">
        <v>270</v>
      </c>
      <c r="JZ227">
        <v>0.5</v>
      </c>
      <c r="KA227">
        <v>0.2</v>
      </c>
      <c r="KB227">
        <v>0.4</v>
      </c>
      <c r="KC227">
        <v>0.42</v>
      </c>
      <c r="KD227">
        <v>0.28</v>
      </c>
      <c r="KE227">
        <v>0.8</v>
      </c>
      <c r="KF227">
        <v>0.18</v>
      </c>
      <c r="KG227">
        <v>0.1</v>
      </c>
      <c r="KH227">
        <v>3.5</v>
      </c>
      <c r="KI227">
        <v>1</v>
      </c>
      <c r="KJ227">
        <v>4.5</v>
      </c>
      <c r="KK227">
        <v>1</v>
      </c>
      <c r="KL227">
        <v>4.5</v>
      </c>
      <c r="KM227">
        <v>1</v>
      </c>
      <c r="KN227">
        <v>1.6</v>
      </c>
      <c r="KO227">
        <v>0</v>
      </c>
      <c r="KP227">
        <v>0</v>
      </c>
      <c r="KQ227">
        <v>0.8</v>
      </c>
      <c r="KR227">
        <v>1.2</v>
      </c>
      <c r="KS227">
        <v>0.2</v>
      </c>
      <c r="KT227">
        <v>2.3</v>
      </c>
      <c r="KU227">
        <v>0</v>
      </c>
      <c r="KV227">
        <v>0</v>
      </c>
      <c r="KW227">
        <v>1.2</v>
      </c>
      <c r="KX227">
        <v>2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3</v>
      </c>
      <c r="LI227">
        <v>0</v>
      </c>
      <c r="LJ227">
        <v>0</v>
      </c>
      <c r="LK227">
        <v>3</v>
      </c>
      <c r="LL227">
        <v>6</v>
      </c>
      <c r="LM227">
        <v>5</v>
      </c>
      <c r="LN227">
        <v>0.5</v>
      </c>
      <c r="LO227">
        <v>0.3</v>
      </c>
      <c r="LP227">
        <v>0</v>
      </c>
      <c r="LQ227">
        <v>0</v>
      </c>
      <c r="LR227">
        <v>0</v>
      </c>
      <c r="LS227">
        <v>1</v>
      </c>
      <c r="LT227">
        <v>0</v>
      </c>
      <c r="LU227">
        <v>0</v>
      </c>
      <c r="LV227">
        <v>0</v>
      </c>
      <c r="LW227">
        <v>1.5</v>
      </c>
      <c r="LX227">
        <v>1.5</v>
      </c>
      <c r="LY227">
        <v>1.5</v>
      </c>
      <c r="LZ227">
        <v>1.5</v>
      </c>
      <c r="MA227">
        <v>0</v>
      </c>
      <c r="MB227">
        <v>3</v>
      </c>
      <c r="MC227">
        <v>0</v>
      </c>
      <c r="MD227">
        <v>4.5</v>
      </c>
      <c r="ME227">
        <v>6</v>
      </c>
      <c r="MF227">
        <v>6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390</v>
      </c>
      <c r="MN227">
        <v>190</v>
      </c>
      <c r="MO227">
        <v>244</v>
      </c>
      <c r="NU227">
        <v>0.15</v>
      </c>
      <c r="NV227">
        <v>0.3</v>
      </c>
      <c r="NW227">
        <v>0.3</v>
      </c>
      <c r="NX227">
        <v>2</v>
      </c>
      <c r="NY227">
        <v>2</v>
      </c>
      <c r="NZ227">
        <v>2</v>
      </c>
      <c r="OE227" t="s">
        <v>4853</v>
      </c>
      <c r="OF227" t="s">
        <v>4316</v>
      </c>
      <c r="OG227" t="s">
        <v>4317</v>
      </c>
      <c r="OH227" t="s">
        <v>4043</v>
      </c>
      <c r="OI227" t="s">
        <v>4853</v>
      </c>
      <c r="OJ227" t="s">
        <v>4852</v>
      </c>
      <c r="OK227">
        <v>61</v>
      </c>
      <c r="OL227">
        <v>61</v>
      </c>
      <c r="OM227" t="s">
        <v>4316</v>
      </c>
      <c r="ON227">
        <v>1</v>
      </c>
      <c r="OO227">
        <v>1988</v>
      </c>
      <c r="OP227">
        <v>61</v>
      </c>
      <c r="OQ227">
        <v>61</v>
      </c>
      <c r="OR227" t="s">
        <v>4317</v>
      </c>
      <c r="OS227">
        <v>1</v>
      </c>
      <c r="OT227">
        <v>2000</v>
      </c>
      <c r="OU227">
        <v>65</v>
      </c>
      <c r="OV227">
        <v>65</v>
      </c>
      <c r="OW227" t="s">
        <v>4043</v>
      </c>
      <c r="OX227">
        <v>2</v>
      </c>
      <c r="OY227">
        <v>42504</v>
      </c>
      <c r="OZ227">
        <v>51</v>
      </c>
      <c r="PA227">
        <v>52</v>
      </c>
      <c r="PB227" t="s">
        <v>4853</v>
      </c>
      <c r="PC227">
        <v>2</v>
      </c>
      <c r="PD227">
        <v>2033</v>
      </c>
      <c r="PF227">
        <v>422</v>
      </c>
      <c r="PG227">
        <v>35</v>
      </c>
      <c r="PH227">
        <v>400</v>
      </c>
      <c r="PI227">
        <v>0</v>
      </c>
      <c r="PJ227">
        <v>48.1</v>
      </c>
      <c r="PK227">
        <v>2319</v>
      </c>
      <c r="PL227">
        <v>1009.6</v>
      </c>
      <c r="PM227">
        <v>1145.2</v>
      </c>
      <c r="PN227">
        <v>97.8</v>
      </c>
      <c r="PO227">
        <v>10.2</v>
      </c>
      <c r="PP227">
        <v>12</v>
      </c>
      <c r="PQ227">
        <v>3</v>
      </c>
      <c r="PR227">
        <v>3</v>
      </c>
      <c r="PS227">
        <v>8</v>
      </c>
      <c r="PT227">
        <v>230</v>
      </c>
      <c r="PU227">
        <v>7</v>
      </c>
      <c r="PV227" t="s">
        <v>4072</v>
      </c>
      <c r="PW227" t="s">
        <v>4072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-1</v>
      </c>
      <c r="QF227">
        <v>1</v>
      </c>
      <c r="QG227">
        <v>0</v>
      </c>
      <c r="QH227">
        <v>5</v>
      </c>
      <c r="QI227">
        <v>5</v>
      </c>
      <c r="QJ227">
        <v>5</v>
      </c>
      <c r="QK227">
        <v>175</v>
      </c>
      <c r="QL227">
        <v>394</v>
      </c>
      <c r="QM227">
        <v>7.5</v>
      </c>
      <c r="QN227">
        <v>1461.1</v>
      </c>
      <c r="QO227" t="s">
        <v>2662</v>
      </c>
      <c r="QP227" t="s">
        <v>513</v>
      </c>
      <c r="QQ227">
        <v>0</v>
      </c>
      <c r="QR227" t="s">
        <v>540</v>
      </c>
      <c r="QS227">
        <v>30</v>
      </c>
      <c r="QT227">
        <v>40</v>
      </c>
    </row>
    <row r="228" spans="1:462">
      <c r="A228" t="s">
        <v>2959</v>
      </c>
      <c r="B228" t="s">
        <v>804</v>
      </c>
      <c r="C228" t="s">
        <v>509</v>
      </c>
      <c r="D228" t="s">
        <v>2958</v>
      </c>
      <c r="E228" t="s">
        <v>4036</v>
      </c>
      <c r="H228" t="s">
        <v>1088</v>
      </c>
      <c r="L228" t="s">
        <v>508</v>
      </c>
      <c r="M228" t="s">
        <v>512</v>
      </c>
      <c r="N228" t="s">
        <v>515</v>
      </c>
      <c r="O228" t="s">
        <v>513</v>
      </c>
      <c r="P228" t="s">
        <v>517</v>
      </c>
      <c r="Q228" t="s">
        <v>849</v>
      </c>
      <c r="R228" t="s">
        <v>743</v>
      </c>
      <c r="S228" t="s">
        <v>4134</v>
      </c>
      <c r="T228" t="s">
        <v>686</v>
      </c>
      <c r="U228" t="s">
        <v>687</v>
      </c>
      <c r="V228" t="s">
        <v>1354</v>
      </c>
      <c r="W228" t="s">
        <v>2657</v>
      </c>
      <c r="X228" t="s">
        <v>2960</v>
      </c>
      <c r="Y228" t="s">
        <v>2961</v>
      </c>
      <c r="Z228" t="s">
        <v>650</v>
      </c>
      <c r="AA228" t="s">
        <v>4038</v>
      </c>
      <c r="AB228" t="s">
        <v>4854</v>
      </c>
      <c r="AC228">
        <v>9</v>
      </c>
      <c r="AD228" t="s">
        <v>2957</v>
      </c>
      <c r="AE228">
        <v>2</v>
      </c>
      <c r="AF228">
        <v>3881</v>
      </c>
      <c r="AG228" t="s">
        <v>4322</v>
      </c>
      <c r="AH228">
        <v>1</v>
      </c>
      <c r="AI228" t="s">
        <v>4041</v>
      </c>
      <c r="AK228" t="s">
        <v>4323</v>
      </c>
      <c r="AL228">
        <v>1</v>
      </c>
      <c r="AM228" t="s">
        <v>582</v>
      </c>
      <c r="AO228" t="s">
        <v>4043</v>
      </c>
      <c r="AP228">
        <v>1</v>
      </c>
      <c r="AR228" t="s">
        <v>4855</v>
      </c>
      <c r="AS228">
        <v>1</v>
      </c>
      <c r="AT228">
        <v>52</v>
      </c>
      <c r="AV228" t="s">
        <v>4078</v>
      </c>
      <c r="AW228">
        <v>6.4</v>
      </c>
      <c r="AX228">
        <v>-6</v>
      </c>
      <c r="AY228">
        <v>100</v>
      </c>
      <c r="AZ228">
        <v>64</v>
      </c>
      <c r="BH228">
        <v>100</v>
      </c>
      <c r="BI228">
        <v>36</v>
      </c>
      <c r="BJ228">
        <v>64</v>
      </c>
      <c r="BK228">
        <v>2.5</v>
      </c>
      <c r="BL228">
        <v>200</v>
      </c>
      <c r="BM228">
        <v>-6</v>
      </c>
      <c r="BN228">
        <v>0</v>
      </c>
      <c r="BP228">
        <v>0</v>
      </c>
      <c r="BR228">
        <v>195</v>
      </c>
      <c r="BS228">
        <v>185</v>
      </c>
      <c r="BT228">
        <v>2000</v>
      </c>
      <c r="BU228" t="s">
        <v>4096</v>
      </c>
      <c r="BV228" t="s">
        <v>4096</v>
      </c>
      <c r="BW228" t="s">
        <v>4097</v>
      </c>
      <c r="BX228" t="s">
        <v>4097</v>
      </c>
      <c r="BY228" t="s">
        <v>4181</v>
      </c>
      <c r="BZ228" t="s">
        <v>4181</v>
      </c>
      <c r="CA228" t="s">
        <v>4130</v>
      </c>
      <c r="CB228" t="s">
        <v>4131</v>
      </c>
      <c r="CC228" t="s">
        <v>4053</v>
      </c>
      <c r="CD228" t="s">
        <v>4055</v>
      </c>
      <c r="CE228" t="s">
        <v>4055</v>
      </c>
      <c r="CF228" t="s">
        <v>4055</v>
      </c>
      <c r="CG228" t="s">
        <v>4056</v>
      </c>
      <c r="CH228" t="s">
        <v>4099</v>
      </c>
      <c r="CI228" t="s">
        <v>4086</v>
      </c>
      <c r="CJ228" t="s">
        <v>4059</v>
      </c>
      <c r="CK228" t="s">
        <v>4060</v>
      </c>
      <c r="CL228" t="s">
        <v>4061</v>
      </c>
      <c r="CM228" t="s">
        <v>4062</v>
      </c>
      <c r="CN228" t="s">
        <v>4055</v>
      </c>
      <c r="CO228" t="s">
        <v>4063</v>
      </c>
      <c r="CP228" t="s">
        <v>4055</v>
      </c>
      <c r="CQ228" t="s">
        <v>4055</v>
      </c>
      <c r="CR228">
        <v>5</v>
      </c>
      <c r="CS228" t="s">
        <v>4055</v>
      </c>
      <c r="CT228" t="s">
        <v>4055</v>
      </c>
      <c r="CU228" t="s">
        <v>4055</v>
      </c>
      <c r="CV228">
        <v>122</v>
      </c>
      <c r="CW228">
        <v>3</v>
      </c>
      <c r="CX228">
        <v>102</v>
      </c>
      <c r="CY228">
        <v>5</v>
      </c>
      <c r="CZ228">
        <v>131</v>
      </c>
      <c r="DA228">
        <v>5</v>
      </c>
      <c r="DB228">
        <v>10600</v>
      </c>
      <c r="DC228">
        <v>310</v>
      </c>
      <c r="DD228">
        <v>295</v>
      </c>
      <c r="DE228">
        <v>2118</v>
      </c>
      <c r="DF228">
        <v>2118</v>
      </c>
      <c r="DG228">
        <v>2129</v>
      </c>
      <c r="DH228">
        <v>1</v>
      </c>
      <c r="DI228" t="s">
        <v>4055</v>
      </c>
      <c r="DJ228" t="s">
        <v>4100</v>
      </c>
      <c r="DK228">
        <v>195</v>
      </c>
      <c r="DL228" t="s">
        <v>4101</v>
      </c>
      <c r="DM228">
        <v>63</v>
      </c>
      <c r="DN228">
        <v>0.84</v>
      </c>
      <c r="DO228">
        <v>1</v>
      </c>
      <c r="DP228">
        <v>2003</v>
      </c>
      <c r="DQ228">
        <v>713</v>
      </c>
      <c r="DR228" t="s">
        <v>4100</v>
      </c>
      <c r="DS228">
        <v>185</v>
      </c>
      <c r="DT228" t="s">
        <v>4101</v>
      </c>
      <c r="DU228">
        <v>63</v>
      </c>
      <c r="DV228">
        <v>0.84</v>
      </c>
      <c r="DW228">
        <v>1</v>
      </c>
      <c r="DX228">
        <v>2010</v>
      </c>
      <c r="DY228">
        <v>679</v>
      </c>
      <c r="DZ228" t="s">
        <v>4066</v>
      </c>
      <c r="EA228">
        <v>33</v>
      </c>
      <c r="EB228" t="s">
        <v>4065</v>
      </c>
      <c r="EC228">
        <v>0.4</v>
      </c>
      <c r="ED228">
        <v>2003</v>
      </c>
      <c r="EE228">
        <v>58</v>
      </c>
      <c r="EF228" t="s">
        <v>4066</v>
      </c>
      <c r="EG228">
        <v>33</v>
      </c>
      <c r="EH228" t="s">
        <v>4065</v>
      </c>
      <c r="EI228">
        <v>0.4</v>
      </c>
      <c r="EJ228">
        <v>2010</v>
      </c>
      <c r="EK228">
        <v>58</v>
      </c>
      <c r="EL228" t="s">
        <v>1528</v>
      </c>
      <c r="EM228">
        <v>12</v>
      </c>
      <c r="EN228">
        <v>0.5</v>
      </c>
      <c r="EO228">
        <v>0.96</v>
      </c>
      <c r="EP228">
        <v>2010.56</v>
      </c>
      <c r="EQ228">
        <v>33299.9</v>
      </c>
      <c r="ER228">
        <v>11343.33</v>
      </c>
      <c r="ES228">
        <v>0</v>
      </c>
      <c r="ET228">
        <v>0</v>
      </c>
      <c r="EU228">
        <v>1</v>
      </c>
      <c r="EV228">
        <v>44644</v>
      </c>
      <c r="EW228">
        <v>536</v>
      </c>
      <c r="EX228" t="s">
        <v>4755</v>
      </c>
      <c r="EY228">
        <v>216</v>
      </c>
      <c r="EZ228" t="s">
        <v>4055</v>
      </c>
      <c r="FA228">
        <v>4.5</v>
      </c>
      <c r="FB228">
        <v>1</v>
      </c>
      <c r="FC228">
        <v>1</v>
      </c>
      <c r="FD228">
        <v>2044</v>
      </c>
      <c r="FE228">
        <v>2340</v>
      </c>
      <c r="FF228" t="s">
        <v>4756</v>
      </c>
      <c r="FG228">
        <v>216</v>
      </c>
      <c r="FH228" t="s">
        <v>4055</v>
      </c>
      <c r="FI228">
        <v>3.6</v>
      </c>
      <c r="FJ228">
        <v>2044</v>
      </c>
      <c r="FK228">
        <v>1951</v>
      </c>
      <c r="FL228" t="s">
        <v>4069</v>
      </c>
      <c r="FM228" t="s">
        <v>4055</v>
      </c>
      <c r="FN228" t="s">
        <v>4055</v>
      </c>
      <c r="FO228" t="s">
        <v>4055</v>
      </c>
      <c r="FP228">
        <v>2044</v>
      </c>
      <c r="FQ228">
        <v>159</v>
      </c>
      <c r="FR228" t="s">
        <v>4090</v>
      </c>
      <c r="FS228">
        <v>220</v>
      </c>
      <c r="FT228" t="s">
        <v>4055</v>
      </c>
      <c r="FU228">
        <v>0.4</v>
      </c>
      <c r="FV228">
        <v>2044</v>
      </c>
      <c r="FW228">
        <v>200</v>
      </c>
      <c r="FX228" t="s">
        <v>4070</v>
      </c>
      <c r="FY228">
        <v>5</v>
      </c>
      <c r="FZ228" t="s">
        <v>4055</v>
      </c>
      <c r="GA228" t="s">
        <v>4055</v>
      </c>
      <c r="GB228">
        <v>2044</v>
      </c>
      <c r="GC228">
        <v>20</v>
      </c>
      <c r="GD228">
        <v>4670</v>
      </c>
      <c r="GE228" t="s">
        <v>4855</v>
      </c>
      <c r="GF228" t="s">
        <v>4055</v>
      </c>
      <c r="GG228" t="s">
        <v>4055</v>
      </c>
      <c r="GH228" t="s">
        <v>4055</v>
      </c>
      <c r="GI228" t="s">
        <v>4071</v>
      </c>
      <c r="GJ228" t="s">
        <v>4055</v>
      </c>
      <c r="GK228" t="s">
        <v>4055</v>
      </c>
      <c r="GL228" t="s">
        <v>4055</v>
      </c>
      <c r="GM228" t="s">
        <v>4055</v>
      </c>
      <c r="GQ228">
        <v>0</v>
      </c>
      <c r="GV228">
        <v>8.5</v>
      </c>
      <c r="GW228">
        <v>11.5</v>
      </c>
      <c r="GX228">
        <v>0.5</v>
      </c>
      <c r="GY228">
        <v>192</v>
      </c>
      <c r="GZ228">
        <v>3</v>
      </c>
      <c r="HA228">
        <v>232</v>
      </c>
      <c r="HB228">
        <v>3</v>
      </c>
      <c r="HC228">
        <v>2044</v>
      </c>
      <c r="HD228">
        <v>4</v>
      </c>
      <c r="HE228" t="s">
        <v>4071</v>
      </c>
      <c r="HG228" t="s">
        <v>549</v>
      </c>
      <c r="HL228">
        <v>4</v>
      </c>
      <c r="HM228">
        <v>19</v>
      </c>
      <c r="HN228">
        <v>1</v>
      </c>
      <c r="HO228">
        <v>1</v>
      </c>
      <c r="HP228">
        <v>0</v>
      </c>
      <c r="HQ228">
        <v>0</v>
      </c>
      <c r="HR228">
        <v>2</v>
      </c>
      <c r="HS228">
        <v>2000</v>
      </c>
      <c r="HT228">
        <v>5</v>
      </c>
      <c r="HU228">
        <v>1</v>
      </c>
      <c r="HV228">
        <v>5</v>
      </c>
      <c r="HW228">
        <v>0</v>
      </c>
      <c r="HX228">
        <v>1</v>
      </c>
      <c r="HY228">
        <v>0</v>
      </c>
      <c r="HZ228">
        <v>63</v>
      </c>
      <c r="IA228">
        <v>2003</v>
      </c>
      <c r="IB228">
        <v>2010</v>
      </c>
      <c r="ID228">
        <v>2044</v>
      </c>
      <c r="IE228">
        <v>2044</v>
      </c>
      <c r="IF228">
        <v>195</v>
      </c>
      <c r="IG228">
        <v>185</v>
      </c>
      <c r="IH228">
        <v>232</v>
      </c>
      <c r="II228">
        <v>1</v>
      </c>
      <c r="IJ228">
        <v>5</v>
      </c>
      <c r="IK228">
        <v>0</v>
      </c>
      <c r="IL228">
        <v>0</v>
      </c>
      <c r="IM228">
        <v>0</v>
      </c>
      <c r="IN228">
        <v>270</v>
      </c>
      <c r="IO228">
        <v>0</v>
      </c>
      <c r="IP228">
        <v>180</v>
      </c>
      <c r="IQ228">
        <v>0</v>
      </c>
      <c r="IR228">
        <v>330</v>
      </c>
      <c r="IS228">
        <v>0</v>
      </c>
      <c r="IT228">
        <v>90</v>
      </c>
      <c r="IU228">
        <v>0</v>
      </c>
      <c r="IV228">
        <v>6.4</v>
      </c>
      <c r="IW228">
        <v>-6</v>
      </c>
      <c r="IX228">
        <v>100</v>
      </c>
      <c r="IY228">
        <v>64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334</v>
      </c>
      <c r="JJ228">
        <v>312</v>
      </c>
      <c r="JK228">
        <v>230</v>
      </c>
      <c r="JL228">
        <v>304</v>
      </c>
      <c r="JM228">
        <v>230</v>
      </c>
      <c r="JN228">
        <v>195</v>
      </c>
      <c r="JO228">
        <v>242</v>
      </c>
      <c r="JP228">
        <v>224</v>
      </c>
      <c r="JQ228">
        <v>264</v>
      </c>
      <c r="JR228">
        <v>300</v>
      </c>
      <c r="JS228">
        <v>290</v>
      </c>
      <c r="JT228">
        <v>0</v>
      </c>
      <c r="JU228">
        <v>0</v>
      </c>
      <c r="JV228">
        <v>290</v>
      </c>
      <c r="JW228">
        <v>311</v>
      </c>
      <c r="JX228">
        <v>0</v>
      </c>
      <c r="JY228">
        <v>0</v>
      </c>
      <c r="JZ228">
        <v>0</v>
      </c>
      <c r="KA228">
        <v>0.2</v>
      </c>
      <c r="KB228">
        <v>0.4</v>
      </c>
      <c r="KC228">
        <v>0.42</v>
      </c>
      <c r="KD228">
        <v>0.3</v>
      </c>
      <c r="KE228">
        <v>0.5</v>
      </c>
      <c r="KF228">
        <v>0.24</v>
      </c>
      <c r="KG228">
        <v>0.11</v>
      </c>
      <c r="KH228">
        <v>4.5</v>
      </c>
      <c r="KI228">
        <v>1</v>
      </c>
      <c r="KJ228">
        <v>4.5</v>
      </c>
      <c r="KK228">
        <v>0</v>
      </c>
      <c r="KL228">
        <v>4.5</v>
      </c>
      <c r="KM228">
        <v>0</v>
      </c>
      <c r="KN228">
        <v>1.5</v>
      </c>
      <c r="KO228">
        <v>0</v>
      </c>
      <c r="KP228">
        <v>0</v>
      </c>
      <c r="KQ228">
        <v>0.8</v>
      </c>
      <c r="KR228">
        <v>0.8</v>
      </c>
      <c r="KS228">
        <v>0</v>
      </c>
      <c r="KT228">
        <v>2.1</v>
      </c>
      <c r="KU228">
        <v>0</v>
      </c>
      <c r="KV228">
        <v>0</v>
      </c>
      <c r="KW228">
        <v>1.2</v>
      </c>
      <c r="KX228">
        <v>1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3</v>
      </c>
      <c r="LI228">
        <v>0</v>
      </c>
      <c r="LJ228">
        <v>0</v>
      </c>
      <c r="LK228">
        <v>4.5</v>
      </c>
      <c r="LL228">
        <v>6</v>
      </c>
      <c r="LM228">
        <v>7.5</v>
      </c>
      <c r="LN228">
        <v>0.1</v>
      </c>
      <c r="LO228">
        <v>0.1</v>
      </c>
      <c r="LP228">
        <v>0</v>
      </c>
      <c r="LQ228">
        <v>0</v>
      </c>
      <c r="LR228">
        <v>0</v>
      </c>
      <c r="LS228">
        <v>1</v>
      </c>
      <c r="LT228">
        <v>0</v>
      </c>
      <c r="LU228">
        <v>0</v>
      </c>
      <c r="LV228">
        <v>0</v>
      </c>
      <c r="LW228">
        <v>1.5</v>
      </c>
      <c r="LX228">
        <v>1.5</v>
      </c>
      <c r="LY228">
        <v>1.5</v>
      </c>
      <c r="LZ228">
        <v>1.5</v>
      </c>
      <c r="MA228">
        <v>0</v>
      </c>
      <c r="MB228">
        <v>4</v>
      </c>
      <c r="MC228">
        <v>0</v>
      </c>
      <c r="MD228">
        <v>4.5</v>
      </c>
      <c r="ME228">
        <v>6</v>
      </c>
      <c r="MF228">
        <v>6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358</v>
      </c>
      <c r="MN228">
        <v>190</v>
      </c>
      <c r="MO228">
        <v>242</v>
      </c>
      <c r="NU228">
        <v>0.15</v>
      </c>
      <c r="NV228">
        <v>0.2</v>
      </c>
      <c r="NW228">
        <v>0.2</v>
      </c>
      <c r="NX228">
        <v>0.2</v>
      </c>
      <c r="NY228">
        <v>0.2</v>
      </c>
      <c r="NZ228">
        <v>0.2</v>
      </c>
      <c r="OE228" t="s">
        <v>4855</v>
      </c>
      <c r="OF228" t="s">
        <v>4322</v>
      </c>
      <c r="OG228" t="s">
        <v>4323</v>
      </c>
      <c r="OH228" t="s">
        <v>4043</v>
      </c>
      <c r="OI228" t="s">
        <v>4855</v>
      </c>
      <c r="OJ228" t="s">
        <v>4854</v>
      </c>
      <c r="OK228">
        <v>61</v>
      </c>
      <c r="OL228">
        <v>61</v>
      </c>
      <c r="OM228" t="s">
        <v>4322</v>
      </c>
      <c r="ON228">
        <v>3</v>
      </c>
      <c r="OO228">
        <v>2003</v>
      </c>
      <c r="OP228">
        <v>61</v>
      </c>
      <c r="OQ228">
        <v>61</v>
      </c>
      <c r="OR228" t="s">
        <v>4323</v>
      </c>
      <c r="OS228">
        <v>3</v>
      </c>
      <c r="OT228">
        <v>2010</v>
      </c>
      <c r="OU228">
        <v>65</v>
      </c>
      <c r="OV228">
        <v>65</v>
      </c>
      <c r="OW228" t="s">
        <v>4043</v>
      </c>
      <c r="OX228">
        <v>2</v>
      </c>
      <c r="OY228">
        <v>44644</v>
      </c>
      <c r="OZ228">
        <v>51</v>
      </c>
      <c r="PA228">
        <v>52</v>
      </c>
      <c r="PB228" t="s">
        <v>4855</v>
      </c>
      <c r="PC228">
        <v>1</v>
      </c>
      <c r="PD228">
        <v>2044</v>
      </c>
      <c r="PF228">
        <v>356</v>
      </c>
      <c r="PG228">
        <v>29</v>
      </c>
      <c r="PH228">
        <v>338</v>
      </c>
      <c r="PI228">
        <v>29</v>
      </c>
      <c r="PJ228">
        <v>77.7</v>
      </c>
      <c r="PK228">
        <v>2278</v>
      </c>
      <c r="PL228">
        <v>1144.7</v>
      </c>
      <c r="PM228">
        <v>954.3</v>
      </c>
      <c r="PN228">
        <v>97.8</v>
      </c>
      <c r="PO228">
        <v>9.9</v>
      </c>
      <c r="PP228">
        <v>12</v>
      </c>
      <c r="PQ228">
        <v>3</v>
      </c>
      <c r="PR228">
        <v>3</v>
      </c>
      <c r="PS228">
        <v>8</v>
      </c>
      <c r="PT228">
        <v>232</v>
      </c>
      <c r="PU228">
        <v>8</v>
      </c>
      <c r="PV228" t="s">
        <v>4072</v>
      </c>
      <c r="PW228" t="s">
        <v>4072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-1</v>
      </c>
      <c r="QF228">
        <v>1</v>
      </c>
      <c r="QG228">
        <v>0</v>
      </c>
      <c r="QH228">
        <v>5</v>
      </c>
      <c r="QI228">
        <v>5</v>
      </c>
      <c r="QJ228">
        <v>5</v>
      </c>
      <c r="QK228">
        <v>183</v>
      </c>
      <c r="QL228">
        <v>364</v>
      </c>
      <c r="QM228">
        <v>7.5</v>
      </c>
      <c r="QN228">
        <v>1540.9</v>
      </c>
      <c r="QO228" t="s">
        <v>2662</v>
      </c>
      <c r="QP228" t="s">
        <v>513</v>
      </c>
      <c r="QQ228">
        <v>0</v>
      </c>
      <c r="QR228" t="s">
        <v>860</v>
      </c>
      <c r="QS228">
        <v>40</v>
      </c>
      <c r="QT228">
        <v>50</v>
      </c>
    </row>
    <row r="229" spans="1:462">
      <c r="A229" t="s">
        <v>2965</v>
      </c>
      <c r="B229" t="s">
        <v>804</v>
      </c>
      <c r="C229" t="s">
        <v>509</v>
      </c>
      <c r="D229" t="s">
        <v>1057</v>
      </c>
      <c r="E229" t="s">
        <v>4036</v>
      </c>
      <c r="H229" t="s">
        <v>1294</v>
      </c>
      <c r="J229" t="s">
        <v>562</v>
      </c>
      <c r="K229" t="s">
        <v>563</v>
      </c>
      <c r="L229" t="s">
        <v>508</v>
      </c>
      <c r="M229" t="s">
        <v>512</v>
      </c>
      <c r="N229" t="s">
        <v>515</v>
      </c>
      <c r="O229" t="s">
        <v>513</v>
      </c>
      <c r="P229" t="s">
        <v>517</v>
      </c>
      <c r="Q229" t="s">
        <v>1326</v>
      </c>
      <c r="R229" t="s">
        <v>1327</v>
      </c>
      <c r="S229" t="s">
        <v>4073</v>
      </c>
      <c r="T229" t="s">
        <v>570</v>
      </c>
      <c r="U229" t="s">
        <v>571</v>
      </c>
      <c r="V229" t="s">
        <v>1309</v>
      </c>
      <c r="W229" t="s">
        <v>2657</v>
      </c>
      <c r="X229" t="s">
        <v>2966</v>
      </c>
      <c r="Y229" t="s">
        <v>2967</v>
      </c>
      <c r="Z229" t="s">
        <v>541</v>
      </c>
      <c r="AA229" t="s">
        <v>4038</v>
      </c>
      <c r="AB229" t="s">
        <v>4856</v>
      </c>
      <c r="AC229">
        <v>9</v>
      </c>
      <c r="AD229" t="s">
        <v>2964</v>
      </c>
      <c r="AE229">
        <v>2</v>
      </c>
      <c r="AF229">
        <v>6044</v>
      </c>
      <c r="AG229" t="s">
        <v>4312</v>
      </c>
      <c r="AH229">
        <v>1</v>
      </c>
      <c r="AI229" t="s">
        <v>4041</v>
      </c>
      <c r="AK229" t="s">
        <v>4313</v>
      </c>
      <c r="AL229">
        <v>1</v>
      </c>
      <c r="AM229" t="s">
        <v>582</v>
      </c>
      <c r="AO229" t="s">
        <v>4043</v>
      </c>
      <c r="AP229">
        <v>1</v>
      </c>
      <c r="AR229" t="s">
        <v>4857</v>
      </c>
      <c r="AS229">
        <v>1</v>
      </c>
      <c r="AT229">
        <v>52</v>
      </c>
      <c r="AV229" t="s">
        <v>4078</v>
      </c>
      <c r="AW229">
        <v>6.4</v>
      </c>
      <c r="AX229">
        <v>-6</v>
      </c>
      <c r="AY229">
        <v>107.5</v>
      </c>
      <c r="AZ229">
        <v>78</v>
      </c>
      <c r="BH229">
        <v>107.5</v>
      </c>
      <c r="BI229">
        <v>29.5</v>
      </c>
      <c r="BJ229">
        <v>78</v>
      </c>
      <c r="BK229">
        <v>2.5</v>
      </c>
      <c r="BL229">
        <v>215</v>
      </c>
      <c r="BM229">
        <v>-6</v>
      </c>
      <c r="BN229">
        <v>0</v>
      </c>
      <c r="BO229">
        <v>0</v>
      </c>
      <c r="BP229">
        <v>0</v>
      </c>
      <c r="BR229">
        <v>210</v>
      </c>
      <c r="BS229">
        <v>200</v>
      </c>
      <c r="BT229">
        <v>2205</v>
      </c>
      <c r="BU229" t="s">
        <v>4127</v>
      </c>
      <c r="BV229" t="s">
        <v>4079</v>
      </c>
      <c r="BW229" t="s">
        <v>4128</v>
      </c>
      <c r="BX229" t="s">
        <v>4081</v>
      </c>
      <c r="BY229" t="s">
        <v>4164</v>
      </c>
      <c r="BZ229" t="s">
        <v>4164</v>
      </c>
      <c r="CA229" t="s">
        <v>4084</v>
      </c>
      <c r="CB229" t="s">
        <v>4085</v>
      </c>
      <c r="CC229" t="s">
        <v>4053</v>
      </c>
      <c r="CD229" t="s">
        <v>4055</v>
      </c>
      <c r="CE229" t="s">
        <v>4055</v>
      </c>
      <c r="CF229" t="s">
        <v>4055</v>
      </c>
      <c r="CG229" t="s">
        <v>4056</v>
      </c>
      <c r="CI229" t="s">
        <v>4086</v>
      </c>
      <c r="CJ229" t="s">
        <v>4059</v>
      </c>
      <c r="CK229" t="s">
        <v>4060</v>
      </c>
      <c r="CL229" t="s">
        <v>4061</v>
      </c>
      <c r="CM229" t="s">
        <v>4055</v>
      </c>
      <c r="CN229" t="s">
        <v>4062</v>
      </c>
      <c r="CO229" t="s">
        <v>4063</v>
      </c>
      <c r="CP229" t="s">
        <v>4055</v>
      </c>
      <c r="CQ229" t="s">
        <v>4055</v>
      </c>
      <c r="CR229">
        <v>5</v>
      </c>
      <c r="CS229" t="s">
        <v>4055</v>
      </c>
      <c r="CT229" t="s">
        <v>4055</v>
      </c>
      <c r="CU229" t="s">
        <v>4055</v>
      </c>
      <c r="CV229">
        <v>135</v>
      </c>
      <c r="CW229">
        <v>3</v>
      </c>
      <c r="CX229">
        <v>90</v>
      </c>
      <c r="CY229">
        <v>5</v>
      </c>
      <c r="CZ229">
        <v>156</v>
      </c>
      <c r="DA229">
        <v>5</v>
      </c>
      <c r="DB229">
        <v>14370</v>
      </c>
      <c r="DC229">
        <v>430</v>
      </c>
      <c r="DD229">
        <v>363</v>
      </c>
      <c r="DE229">
        <v>2334</v>
      </c>
      <c r="DF229">
        <v>2334</v>
      </c>
      <c r="DG229">
        <v>2345</v>
      </c>
      <c r="DH229">
        <v>2</v>
      </c>
      <c r="DI229" t="s">
        <v>4055</v>
      </c>
      <c r="DJ229" t="s">
        <v>4132</v>
      </c>
      <c r="DK229">
        <v>210</v>
      </c>
      <c r="DL229" t="s">
        <v>4065</v>
      </c>
      <c r="DM229">
        <v>63</v>
      </c>
      <c r="DN229">
        <v>1.1</v>
      </c>
      <c r="DO229">
        <v>1</v>
      </c>
      <c r="DP229">
        <v>2208</v>
      </c>
      <c r="DQ229">
        <v>1002</v>
      </c>
      <c r="DR229" t="s">
        <v>4132</v>
      </c>
      <c r="DS229">
        <v>200</v>
      </c>
      <c r="DT229" t="s">
        <v>4065</v>
      </c>
      <c r="DU229">
        <v>63</v>
      </c>
      <c r="DV229">
        <v>1.1</v>
      </c>
      <c r="DW229">
        <v>1</v>
      </c>
      <c r="DX229">
        <v>2220</v>
      </c>
      <c r="DY229">
        <v>961</v>
      </c>
      <c r="DZ229" t="s">
        <v>4066</v>
      </c>
      <c r="EA229">
        <v>20</v>
      </c>
      <c r="EB229" t="s">
        <v>4065</v>
      </c>
      <c r="EC229">
        <v>0.8</v>
      </c>
      <c r="ED229">
        <v>2208</v>
      </c>
      <c r="EE229">
        <v>77</v>
      </c>
      <c r="EG229">
        <v>0</v>
      </c>
      <c r="EH229" t="s">
        <v>4065</v>
      </c>
      <c r="EI229">
        <v>0</v>
      </c>
      <c r="EL229" t="s">
        <v>1528</v>
      </c>
      <c r="EM229">
        <v>12</v>
      </c>
      <c r="EN229">
        <v>0.5</v>
      </c>
      <c r="EO229">
        <v>0.96</v>
      </c>
      <c r="EP229">
        <v>2218.83</v>
      </c>
      <c r="EQ229">
        <v>39349.56</v>
      </c>
      <c r="ER229">
        <v>10255.22</v>
      </c>
      <c r="ES229">
        <v>0</v>
      </c>
      <c r="ET229">
        <v>0</v>
      </c>
      <c r="EU229">
        <v>1</v>
      </c>
      <c r="EV229">
        <v>49605</v>
      </c>
      <c r="EW229">
        <v>596</v>
      </c>
      <c r="EX229" t="s">
        <v>4755</v>
      </c>
      <c r="EY229">
        <v>238</v>
      </c>
      <c r="EZ229" t="s">
        <v>4055</v>
      </c>
      <c r="FA229">
        <v>4</v>
      </c>
      <c r="FB229">
        <v>1</v>
      </c>
      <c r="FC229">
        <v>1</v>
      </c>
      <c r="FD229">
        <v>2252</v>
      </c>
      <c r="FE229">
        <v>2606</v>
      </c>
      <c r="FF229" t="s">
        <v>4756</v>
      </c>
      <c r="FG229">
        <v>238</v>
      </c>
      <c r="FH229" t="s">
        <v>4055</v>
      </c>
      <c r="FI229">
        <v>4.2</v>
      </c>
      <c r="FJ229">
        <v>2252</v>
      </c>
      <c r="FK229">
        <v>2608</v>
      </c>
      <c r="FL229" t="s">
        <v>4069</v>
      </c>
      <c r="FM229" t="s">
        <v>4055</v>
      </c>
      <c r="FN229" t="s">
        <v>4055</v>
      </c>
      <c r="FO229" t="s">
        <v>4055</v>
      </c>
      <c r="FP229">
        <v>2252</v>
      </c>
      <c r="FQ229">
        <v>203</v>
      </c>
      <c r="FR229" t="s">
        <v>4090</v>
      </c>
      <c r="FS229">
        <v>242</v>
      </c>
      <c r="FT229" t="s">
        <v>4055</v>
      </c>
      <c r="FU229">
        <v>0.4</v>
      </c>
      <c r="FV229">
        <v>2252</v>
      </c>
      <c r="FW229">
        <v>243</v>
      </c>
      <c r="FX229" t="s">
        <v>4070</v>
      </c>
      <c r="FY229">
        <v>5</v>
      </c>
      <c r="FZ229" t="s">
        <v>4055</v>
      </c>
      <c r="GA229" t="s">
        <v>4055</v>
      </c>
      <c r="GB229">
        <v>2252</v>
      </c>
      <c r="GC229">
        <v>23</v>
      </c>
      <c r="GD229">
        <v>5683</v>
      </c>
      <c r="GE229" t="s">
        <v>4857</v>
      </c>
      <c r="GF229" t="s">
        <v>4055</v>
      </c>
      <c r="GG229" t="s">
        <v>4055</v>
      </c>
      <c r="GH229" t="s">
        <v>4055</v>
      </c>
      <c r="GI229" t="s">
        <v>4071</v>
      </c>
      <c r="GJ229" t="s">
        <v>4055</v>
      </c>
      <c r="GK229" t="s">
        <v>4055</v>
      </c>
      <c r="GL229" t="s">
        <v>4055</v>
      </c>
      <c r="GM229" t="s">
        <v>4055</v>
      </c>
      <c r="GQ229">
        <v>0</v>
      </c>
      <c r="GV229">
        <v>8.6</v>
      </c>
      <c r="GW229">
        <v>11.5</v>
      </c>
      <c r="GX229">
        <v>0.5</v>
      </c>
      <c r="GY229">
        <v>202</v>
      </c>
      <c r="GZ229">
        <v>3</v>
      </c>
      <c r="HA229">
        <v>258</v>
      </c>
      <c r="HB229">
        <v>3</v>
      </c>
      <c r="HC229">
        <v>2252</v>
      </c>
      <c r="HD229">
        <v>4</v>
      </c>
      <c r="HE229" t="s">
        <v>4071</v>
      </c>
      <c r="HG229" t="s">
        <v>549</v>
      </c>
      <c r="HL229">
        <v>4</v>
      </c>
      <c r="HM229">
        <v>20</v>
      </c>
      <c r="HN229">
        <v>6</v>
      </c>
      <c r="HO229">
        <v>1</v>
      </c>
      <c r="HP229">
        <v>0</v>
      </c>
      <c r="HQ229">
        <v>0</v>
      </c>
      <c r="HR229">
        <v>2</v>
      </c>
      <c r="HS229">
        <v>2205</v>
      </c>
      <c r="HT229">
        <v>5</v>
      </c>
      <c r="HU229">
        <v>1</v>
      </c>
      <c r="HV229">
        <v>5</v>
      </c>
      <c r="HW229">
        <v>0</v>
      </c>
      <c r="HX229">
        <v>1</v>
      </c>
      <c r="HY229">
        <v>0</v>
      </c>
      <c r="HZ229">
        <v>63</v>
      </c>
      <c r="IA229">
        <v>2208</v>
      </c>
      <c r="IB229">
        <v>2220</v>
      </c>
      <c r="ID229">
        <v>2252</v>
      </c>
      <c r="IE229">
        <v>2252</v>
      </c>
      <c r="IF229">
        <v>210</v>
      </c>
      <c r="IG229">
        <v>200</v>
      </c>
      <c r="IH229">
        <v>258</v>
      </c>
      <c r="II229">
        <v>1</v>
      </c>
      <c r="IJ229">
        <v>10</v>
      </c>
      <c r="IK229">
        <v>0</v>
      </c>
      <c r="IL229">
        <v>0</v>
      </c>
      <c r="IM229">
        <v>0</v>
      </c>
      <c r="IN229">
        <v>270</v>
      </c>
      <c r="IO229">
        <v>0</v>
      </c>
      <c r="IP229">
        <v>180</v>
      </c>
      <c r="IQ229">
        <v>0</v>
      </c>
      <c r="IR229">
        <v>330</v>
      </c>
      <c r="IS229">
        <v>0</v>
      </c>
      <c r="IT229">
        <v>90</v>
      </c>
      <c r="IU229">
        <v>0</v>
      </c>
      <c r="IV229">
        <v>6.4</v>
      </c>
      <c r="IW229">
        <v>-6</v>
      </c>
      <c r="IX229">
        <v>107.5</v>
      </c>
      <c r="IY229">
        <v>78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410</v>
      </c>
      <c r="JJ229">
        <v>380</v>
      </c>
      <c r="JK229">
        <v>275</v>
      </c>
      <c r="JL229">
        <v>378</v>
      </c>
      <c r="JM229">
        <v>295</v>
      </c>
      <c r="JN229">
        <v>215</v>
      </c>
      <c r="JO229">
        <v>265</v>
      </c>
      <c r="JP229">
        <v>205</v>
      </c>
      <c r="JQ229">
        <v>245</v>
      </c>
      <c r="JR229">
        <v>310</v>
      </c>
      <c r="JS229">
        <v>245</v>
      </c>
      <c r="JT229">
        <v>0</v>
      </c>
      <c r="JU229">
        <v>0</v>
      </c>
      <c r="JV229">
        <v>300</v>
      </c>
      <c r="JW229">
        <v>290</v>
      </c>
      <c r="JX229">
        <v>290</v>
      </c>
      <c r="JY229">
        <v>260</v>
      </c>
      <c r="JZ229">
        <v>0.5</v>
      </c>
      <c r="KA229">
        <v>0.2</v>
      </c>
      <c r="KB229">
        <v>0.4</v>
      </c>
      <c r="KC229">
        <v>0.42</v>
      </c>
      <c r="KD229">
        <v>0.3</v>
      </c>
      <c r="KE229">
        <v>0.5</v>
      </c>
      <c r="KF229">
        <v>0.18</v>
      </c>
      <c r="KG229">
        <v>0.12</v>
      </c>
      <c r="KH229">
        <v>3.5</v>
      </c>
      <c r="KI229">
        <v>1</v>
      </c>
      <c r="KJ229">
        <v>4.5</v>
      </c>
      <c r="KK229">
        <v>0</v>
      </c>
      <c r="KL229">
        <v>4.5</v>
      </c>
      <c r="KM229">
        <v>0</v>
      </c>
      <c r="KN229">
        <v>1.3</v>
      </c>
      <c r="KO229">
        <v>0</v>
      </c>
      <c r="KP229">
        <v>0</v>
      </c>
      <c r="KQ229">
        <v>0.7</v>
      </c>
      <c r="KR229">
        <v>0.9</v>
      </c>
      <c r="KS229">
        <v>0</v>
      </c>
      <c r="KT229">
        <v>2.5</v>
      </c>
      <c r="KU229">
        <v>0</v>
      </c>
      <c r="KV229">
        <v>0</v>
      </c>
      <c r="KW229">
        <v>0.7</v>
      </c>
      <c r="KX229">
        <v>1.5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3</v>
      </c>
      <c r="LI229">
        <v>2.5</v>
      </c>
      <c r="LJ229">
        <v>0</v>
      </c>
      <c r="LK229">
        <v>7</v>
      </c>
      <c r="LL229">
        <v>7</v>
      </c>
      <c r="LM229">
        <v>8</v>
      </c>
      <c r="LN229">
        <v>0.5</v>
      </c>
      <c r="LO229">
        <v>1</v>
      </c>
      <c r="LP229">
        <v>0</v>
      </c>
      <c r="LQ229">
        <v>0</v>
      </c>
      <c r="LR229">
        <v>0</v>
      </c>
      <c r="LS229">
        <v>1</v>
      </c>
      <c r="LT229">
        <v>0</v>
      </c>
      <c r="LU229">
        <v>0</v>
      </c>
      <c r="LV229">
        <v>0</v>
      </c>
      <c r="LW229">
        <v>2.1</v>
      </c>
      <c r="LX229">
        <v>2.1</v>
      </c>
      <c r="LY229">
        <v>2.8</v>
      </c>
      <c r="LZ229">
        <v>2.8</v>
      </c>
      <c r="MA229">
        <v>0</v>
      </c>
      <c r="MB229">
        <v>6</v>
      </c>
      <c r="MC229">
        <v>0</v>
      </c>
      <c r="MD229">
        <v>4.5</v>
      </c>
      <c r="ME229">
        <v>6</v>
      </c>
      <c r="MF229">
        <v>6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420</v>
      </c>
      <c r="MN229">
        <v>205</v>
      </c>
      <c r="MO229">
        <v>262</v>
      </c>
      <c r="NU229">
        <v>0.15</v>
      </c>
      <c r="NV229">
        <v>0.2</v>
      </c>
      <c r="NW229">
        <v>0.2</v>
      </c>
      <c r="NX229">
        <v>0.2</v>
      </c>
      <c r="NY229">
        <v>0.2</v>
      </c>
      <c r="NZ229">
        <v>0.2</v>
      </c>
      <c r="OE229" t="s">
        <v>4857</v>
      </c>
      <c r="OF229" t="s">
        <v>4312</v>
      </c>
      <c r="OG229" t="s">
        <v>4313</v>
      </c>
      <c r="OH229" t="s">
        <v>4043</v>
      </c>
      <c r="OI229" t="s">
        <v>4857</v>
      </c>
      <c r="OJ229" t="s">
        <v>4856</v>
      </c>
      <c r="OK229">
        <v>61</v>
      </c>
      <c r="OL229">
        <v>61</v>
      </c>
      <c r="OM229" t="s">
        <v>4312</v>
      </c>
      <c r="ON229">
        <v>1</v>
      </c>
      <c r="OO229">
        <v>2208</v>
      </c>
      <c r="OP229">
        <v>61</v>
      </c>
      <c r="OQ229">
        <v>61</v>
      </c>
      <c r="OR229" t="s">
        <v>4313</v>
      </c>
      <c r="OS229">
        <v>1</v>
      </c>
      <c r="OT229">
        <v>2220</v>
      </c>
      <c r="OU229">
        <v>65</v>
      </c>
      <c r="OV229">
        <v>65</v>
      </c>
      <c r="OW229" t="s">
        <v>4043</v>
      </c>
      <c r="OX229">
        <v>2</v>
      </c>
      <c r="OY229">
        <v>49605</v>
      </c>
      <c r="OZ229">
        <v>51</v>
      </c>
      <c r="PA229">
        <v>52</v>
      </c>
      <c r="PB229" t="s">
        <v>4857</v>
      </c>
      <c r="PC229">
        <v>1</v>
      </c>
      <c r="PD229">
        <v>2252</v>
      </c>
      <c r="PF229">
        <v>454</v>
      </c>
      <c r="PG229">
        <v>35</v>
      </c>
      <c r="PH229">
        <v>433</v>
      </c>
      <c r="PI229">
        <v>0</v>
      </c>
      <c r="PJ229">
        <v>90.3</v>
      </c>
      <c r="PL229">
        <v>1157.3</v>
      </c>
      <c r="PM229">
        <v>1158.3</v>
      </c>
      <c r="PN229">
        <v>107.7</v>
      </c>
      <c r="PO229">
        <v>10</v>
      </c>
      <c r="PP229">
        <v>12</v>
      </c>
      <c r="PQ229">
        <v>5</v>
      </c>
      <c r="PR229">
        <v>4</v>
      </c>
      <c r="PS229">
        <v>0</v>
      </c>
      <c r="PT229">
        <v>258</v>
      </c>
      <c r="PU229">
        <v>10</v>
      </c>
      <c r="PV229" t="s">
        <v>4072</v>
      </c>
      <c r="PW229" t="s">
        <v>4072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-1</v>
      </c>
      <c r="QF229">
        <v>1</v>
      </c>
      <c r="QG229">
        <v>0</v>
      </c>
      <c r="QH229">
        <v>5</v>
      </c>
      <c r="QI229">
        <v>5</v>
      </c>
      <c r="QJ229">
        <v>5</v>
      </c>
      <c r="QK229">
        <v>221</v>
      </c>
      <c r="QL229">
        <v>440</v>
      </c>
      <c r="QM229">
        <v>7.5</v>
      </c>
      <c r="QN229">
        <v>1623.8</v>
      </c>
      <c r="QO229" t="s">
        <v>2662</v>
      </c>
      <c r="QP229" t="s">
        <v>513</v>
      </c>
      <c r="QQ229">
        <v>0</v>
      </c>
      <c r="QR229" t="s">
        <v>596</v>
      </c>
      <c r="QS229">
        <v>40</v>
      </c>
      <c r="QT229">
        <v>50</v>
      </c>
    </row>
    <row r="230" spans="1:462">
      <c r="A230" t="s">
        <v>2972</v>
      </c>
      <c r="B230" t="s">
        <v>804</v>
      </c>
      <c r="C230" t="s">
        <v>509</v>
      </c>
      <c r="D230" t="s">
        <v>2323</v>
      </c>
      <c r="E230" t="s">
        <v>4036</v>
      </c>
      <c r="H230" t="s">
        <v>1294</v>
      </c>
      <c r="J230" t="s">
        <v>562</v>
      </c>
      <c r="K230" t="s">
        <v>563</v>
      </c>
      <c r="L230" t="s">
        <v>508</v>
      </c>
      <c r="M230" t="s">
        <v>512</v>
      </c>
      <c r="N230" t="s">
        <v>515</v>
      </c>
      <c r="O230" t="s">
        <v>513</v>
      </c>
      <c r="P230" t="s">
        <v>517</v>
      </c>
      <c r="Q230" t="s">
        <v>1211</v>
      </c>
      <c r="R230" t="s">
        <v>965</v>
      </c>
      <c r="S230" t="s">
        <v>4073</v>
      </c>
      <c r="T230" t="s">
        <v>662</v>
      </c>
      <c r="U230" t="s">
        <v>663</v>
      </c>
      <c r="V230" t="s">
        <v>2647</v>
      </c>
      <c r="W230" t="s">
        <v>2657</v>
      </c>
      <c r="X230" t="s">
        <v>2973</v>
      </c>
      <c r="Y230" t="s">
        <v>2974</v>
      </c>
      <c r="Z230" t="s">
        <v>541</v>
      </c>
      <c r="AA230" t="s">
        <v>4038</v>
      </c>
      <c r="AB230" t="s">
        <v>4858</v>
      </c>
      <c r="AC230">
        <v>9</v>
      </c>
      <c r="AD230" t="s">
        <v>2971</v>
      </c>
      <c r="AE230">
        <v>2</v>
      </c>
      <c r="AF230">
        <v>5065</v>
      </c>
      <c r="AG230" t="s">
        <v>4859</v>
      </c>
      <c r="AH230">
        <v>1</v>
      </c>
      <c r="AI230" t="s">
        <v>4041</v>
      </c>
      <c r="AK230" t="s">
        <v>4860</v>
      </c>
      <c r="AL230">
        <v>1</v>
      </c>
      <c r="AM230" t="s">
        <v>582</v>
      </c>
      <c r="AO230" t="s">
        <v>4043</v>
      </c>
      <c r="AP230">
        <v>1</v>
      </c>
      <c r="AR230" t="s">
        <v>4861</v>
      </c>
      <c r="AS230">
        <v>1</v>
      </c>
      <c r="AT230">
        <v>52</v>
      </c>
      <c r="AV230" t="s">
        <v>4078</v>
      </c>
      <c r="AW230">
        <v>6.4</v>
      </c>
      <c r="AX230">
        <v>-6</v>
      </c>
      <c r="AY230">
        <v>105</v>
      </c>
      <c r="AZ230">
        <v>75</v>
      </c>
      <c r="BB230" t="s">
        <v>4055</v>
      </c>
      <c r="BC230" t="s">
        <v>4055</v>
      </c>
      <c r="BH230">
        <v>105</v>
      </c>
      <c r="BI230">
        <v>30</v>
      </c>
      <c r="BJ230">
        <v>75</v>
      </c>
      <c r="BK230">
        <v>2.5</v>
      </c>
      <c r="BL230">
        <v>210</v>
      </c>
      <c r="BM230">
        <v>-6</v>
      </c>
      <c r="BN230">
        <v>0</v>
      </c>
      <c r="BP230">
        <v>0</v>
      </c>
      <c r="BR230">
        <v>205</v>
      </c>
      <c r="BS230">
        <v>195</v>
      </c>
      <c r="BT230">
        <v>2020</v>
      </c>
      <c r="BU230" t="s">
        <v>4096</v>
      </c>
      <c r="BV230" t="s">
        <v>4096</v>
      </c>
      <c r="BW230" t="s">
        <v>4097</v>
      </c>
      <c r="BX230" t="s">
        <v>4097</v>
      </c>
      <c r="BY230" t="s">
        <v>4116</v>
      </c>
      <c r="BZ230" t="s">
        <v>4117</v>
      </c>
      <c r="CA230" t="s">
        <v>4118</v>
      </c>
      <c r="CB230" t="s">
        <v>4119</v>
      </c>
      <c r="CC230" t="s">
        <v>4053</v>
      </c>
      <c r="CD230" t="s">
        <v>4121</v>
      </c>
      <c r="CE230" t="s">
        <v>4055</v>
      </c>
      <c r="CF230" t="s">
        <v>4055</v>
      </c>
      <c r="CG230" t="s">
        <v>4056</v>
      </c>
      <c r="CI230" t="s">
        <v>4058</v>
      </c>
      <c r="CJ230" t="s">
        <v>4059</v>
      </c>
      <c r="CK230" t="s">
        <v>4060</v>
      </c>
      <c r="CL230" t="s">
        <v>4061</v>
      </c>
      <c r="CM230" t="s">
        <v>4055</v>
      </c>
      <c r="CN230" t="s">
        <v>4062</v>
      </c>
      <c r="CO230" t="s">
        <v>4063</v>
      </c>
      <c r="CP230" t="s">
        <v>4055</v>
      </c>
      <c r="CQ230" t="s">
        <v>4055</v>
      </c>
      <c r="CR230">
        <v>5</v>
      </c>
      <c r="CS230" t="s">
        <v>4055</v>
      </c>
      <c r="CT230" t="s">
        <v>4055</v>
      </c>
      <c r="CU230" t="s">
        <v>4055</v>
      </c>
      <c r="CV230">
        <v>131</v>
      </c>
      <c r="CW230">
        <v>3</v>
      </c>
      <c r="CX230">
        <v>87</v>
      </c>
      <c r="CY230">
        <v>5</v>
      </c>
      <c r="CZ230">
        <v>148</v>
      </c>
      <c r="DA230">
        <v>5</v>
      </c>
      <c r="DB230">
        <v>12410</v>
      </c>
      <c r="DC230">
        <v>370</v>
      </c>
      <c r="DD230">
        <v>339</v>
      </c>
      <c r="DE230">
        <v>2146</v>
      </c>
      <c r="DF230">
        <v>2146</v>
      </c>
      <c r="DG230">
        <v>2157</v>
      </c>
      <c r="DH230" t="s">
        <v>4055</v>
      </c>
      <c r="DI230" t="s">
        <v>4055</v>
      </c>
      <c r="DJ230" t="s">
        <v>4064</v>
      </c>
      <c r="DK230">
        <v>205</v>
      </c>
      <c r="DL230" t="s">
        <v>4065</v>
      </c>
      <c r="DM230">
        <v>63</v>
      </c>
      <c r="DN230">
        <v>1.2</v>
      </c>
      <c r="DO230">
        <v>1</v>
      </c>
      <c r="DP230">
        <v>2024</v>
      </c>
      <c r="DQ230">
        <v>953</v>
      </c>
      <c r="DR230" t="s">
        <v>4064</v>
      </c>
      <c r="DS230">
        <v>195</v>
      </c>
      <c r="DT230" t="s">
        <v>4065</v>
      </c>
      <c r="DU230">
        <v>63</v>
      </c>
      <c r="DV230">
        <v>1.2</v>
      </c>
      <c r="DW230">
        <v>1</v>
      </c>
      <c r="DX230">
        <v>2036</v>
      </c>
      <c r="DY230">
        <v>912</v>
      </c>
      <c r="DZ230" t="s">
        <v>4066</v>
      </c>
      <c r="EA230">
        <v>20</v>
      </c>
      <c r="EB230" t="s">
        <v>4065</v>
      </c>
      <c r="EC230">
        <v>0.8</v>
      </c>
      <c r="ED230">
        <v>2024</v>
      </c>
      <c r="EE230">
        <v>71</v>
      </c>
      <c r="EG230">
        <v>0</v>
      </c>
      <c r="EH230" t="s">
        <v>4065</v>
      </c>
      <c r="EI230">
        <v>0</v>
      </c>
      <c r="EL230" t="s">
        <v>1528</v>
      </c>
      <c r="EM230">
        <v>12</v>
      </c>
      <c r="EN230">
        <v>0.5</v>
      </c>
      <c r="EO230">
        <v>0.96</v>
      </c>
      <c r="EP230">
        <v>2035.08</v>
      </c>
      <c r="EQ230">
        <v>35295.92</v>
      </c>
      <c r="ER230">
        <v>9567.709999999999</v>
      </c>
      <c r="ES230">
        <v>0</v>
      </c>
      <c r="ET230">
        <v>0</v>
      </c>
      <c r="EU230">
        <v>1</v>
      </c>
      <c r="EV230">
        <v>44864</v>
      </c>
      <c r="EW230">
        <v>539</v>
      </c>
      <c r="EX230" t="s">
        <v>4755</v>
      </c>
      <c r="EY230">
        <v>228</v>
      </c>
      <c r="EZ230" t="s">
        <v>4055</v>
      </c>
      <c r="FA230">
        <v>3.7</v>
      </c>
      <c r="FB230">
        <v>1</v>
      </c>
      <c r="FC230">
        <v>1</v>
      </c>
      <c r="FD230">
        <v>2068</v>
      </c>
      <c r="FE230">
        <v>2139</v>
      </c>
      <c r="FF230" t="s">
        <v>4756</v>
      </c>
      <c r="FG230">
        <v>228</v>
      </c>
      <c r="FH230" t="s">
        <v>4055</v>
      </c>
      <c r="FI230">
        <v>4.2</v>
      </c>
      <c r="FJ230">
        <v>2068</v>
      </c>
      <c r="FK230">
        <v>2306</v>
      </c>
      <c r="FL230" t="s">
        <v>4069</v>
      </c>
      <c r="FM230" t="s">
        <v>4055</v>
      </c>
      <c r="FN230" t="s">
        <v>4055</v>
      </c>
      <c r="FO230" t="s">
        <v>4055</v>
      </c>
      <c r="FP230">
        <v>2068</v>
      </c>
      <c r="FQ230">
        <v>185</v>
      </c>
      <c r="FR230" t="s">
        <v>4090</v>
      </c>
      <c r="FS230">
        <v>232</v>
      </c>
      <c r="FT230" t="s">
        <v>4055</v>
      </c>
      <c r="FU230">
        <v>0.4</v>
      </c>
      <c r="FV230">
        <v>2068</v>
      </c>
      <c r="FW230">
        <v>213</v>
      </c>
      <c r="FX230" t="s">
        <v>4070</v>
      </c>
      <c r="FY230">
        <v>5</v>
      </c>
      <c r="FZ230" t="s">
        <v>4055</v>
      </c>
      <c r="GA230" t="s">
        <v>4055</v>
      </c>
      <c r="GB230">
        <v>2068</v>
      </c>
      <c r="GC230">
        <v>20</v>
      </c>
      <c r="GD230">
        <v>4863</v>
      </c>
      <c r="GE230" t="s">
        <v>4861</v>
      </c>
      <c r="GF230" t="s">
        <v>4055</v>
      </c>
      <c r="GG230" t="s">
        <v>4055</v>
      </c>
      <c r="GH230" t="s">
        <v>4055</v>
      </c>
      <c r="GI230" t="s">
        <v>4071</v>
      </c>
      <c r="GJ230" t="s">
        <v>4055</v>
      </c>
      <c r="GK230" t="s">
        <v>4055</v>
      </c>
      <c r="GL230" t="s">
        <v>4055</v>
      </c>
      <c r="GM230" t="s">
        <v>4055</v>
      </c>
      <c r="GQ230">
        <v>0</v>
      </c>
      <c r="GV230">
        <v>8.300000000000001</v>
      </c>
      <c r="GW230">
        <v>11</v>
      </c>
      <c r="GX230">
        <v>0.5</v>
      </c>
      <c r="GY230">
        <v>194</v>
      </c>
      <c r="GZ230">
        <v>3</v>
      </c>
      <c r="HA230">
        <v>248</v>
      </c>
      <c r="HB230">
        <v>3</v>
      </c>
      <c r="HC230">
        <v>2068</v>
      </c>
      <c r="HD230">
        <v>4</v>
      </c>
      <c r="HE230" t="s">
        <v>4071</v>
      </c>
      <c r="HG230" t="s">
        <v>549</v>
      </c>
      <c r="HL230">
        <v>4</v>
      </c>
      <c r="HM230">
        <v>18</v>
      </c>
      <c r="HN230">
        <v>6</v>
      </c>
      <c r="HO230">
        <v>1</v>
      </c>
      <c r="HP230">
        <v>0</v>
      </c>
      <c r="HQ230">
        <v>0</v>
      </c>
      <c r="HR230">
        <v>3</v>
      </c>
      <c r="HS230">
        <v>2020</v>
      </c>
      <c r="HT230">
        <v>5</v>
      </c>
      <c r="HU230">
        <v>1</v>
      </c>
      <c r="HV230">
        <v>3</v>
      </c>
      <c r="HW230">
        <v>0</v>
      </c>
      <c r="HX230">
        <v>1</v>
      </c>
      <c r="HY230">
        <v>0</v>
      </c>
      <c r="HZ230">
        <v>63</v>
      </c>
      <c r="IA230">
        <v>2024</v>
      </c>
      <c r="IB230">
        <v>2036</v>
      </c>
      <c r="ID230">
        <v>2068</v>
      </c>
      <c r="IE230">
        <v>2068</v>
      </c>
      <c r="IF230">
        <v>205</v>
      </c>
      <c r="IG230">
        <v>195</v>
      </c>
      <c r="IH230">
        <v>248</v>
      </c>
      <c r="II230">
        <v>1</v>
      </c>
      <c r="IJ230">
        <v>5</v>
      </c>
      <c r="IK230">
        <v>0</v>
      </c>
      <c r="IL230">
        <v>0</v>
      </c>
      <c r="IM230">
        <v>0</v>
      </c>
      <c r="IN230">
        <v>270</v>
      </c>
      <c r="IO230">
        <v>0</v>
      </c>
      <c r="IP230">
        <v>180</v>
      </c>
      <c r="IQ230">
        <v>0</v>
      </c>
      <c r="IR230">
        <v>330</v>
      </c>
      <c r="IS230">
        <v>0</v>
      </c>
      <c r="IT230">
        <v>90</v>
      </c>
      <c r="IU230">
        <v>0</v>
      </c>
      <c r="IV230">
        <v>6.4</v>
      </c>
      <c r="IW230">
        <v>-6</v>
      </c>
      <c r="IX230">
        <v>105</v>
      </c>
      <c r="IY230">
        <v>75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382</v>
      </c>
      <c r="JJ230">
        <v>352</v>
      </c>
      <c r="JK230">
        <v>260</v>
      </c>
      <c r="JL230">
        <v>350</v>
      </c>
      <c r="JM230">
        <v>270</v>
      </c>
      <c r="JN230">
        <v>195</v>
      </c>
      <c r="JO230">
        <v>258</v>
      </c>
      <c r="JP230">
        <v>228</v>
      </c>
      <c r="JQ230">
        <v>265</v>
      </c>
      <c r="JR230">
        <v>325</v>
      </c>
      <c r="JS230">
        <v>275</v>
      </c>
      <c r="JT230">
        <v>0</v>
      </c>
      <c r="JU230">
        <v>0</v>
      </c>
      <c r="JV230">
        <v>310</v>
      </c>
      <c r="JW230">
        <v>315</v>
      </c>
      <c r="JX230">
        <v>310</v>
      </c>
      <c r="JY230">
        <v>305</v>
      </c>
      <c r="JZ230">
        <v>1</v>
      </c>
      <c r="KA230">
        <v>0.25</v>
      </c>
      <c r="KB230">
        <v>0.4</v>
      </c>
      <c r="KC230">
        <v>0.42</v>
      </c>
      <c r="KD230">
        <v>0.28</v>
      </c>
      <c r="KE230">
        <v>0.5</v>
      </c>
      <c r="KF230">
        <v>0.2</v>
      </c>
      <c r="KG230">
        <v>0.1</v>
      </c>
      <c r="KH230">
        <v>3.5</v>
      </c>
      <c r="KI230">
        <v>1</v>
      </c>
      <c r="KJ230">
        <v>4.5</v>
      </c>
      <c r="KK230">
        <v>0.5</v>
      </c>
      <c r="KL230">
        <v>4.5</v>
      </c>
      <c r="KM230">
        <v>0.5</v>
      </c>
      <c r="KN230">
        <v>1.6</v>
      </c>
      <c r="KO230">
        <v>0</v>
      </c>
      <c r="KP230">
        <v>0</v>
      </c>
      <c r="KQ230">
        <v>1</v>
      </c>
      <c r="KR230">
        <v>0.8</v>
      </c>
      <c r="KS230">
        <v>0</v>
      </c>
      <c r="KT230">
        <v>3</v>
      </c>
      <c r="KU230">
        <v>0</v>
      </c>
      <c r="KV230">
        <v>0</v>
      </c>
      <c r="KW230">
        <v>0.8</v>
      </c>
      <c r="KX230">
        <v>2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2</v>
      </c>
      <c r="LI230">
        <v>1</v>
      </c>
      <c r="LJ230">
        <v>0</v>
      </c>
      <c r="LK230">
        <v>5</v>
      </c>
      <c r="LL230">
        <v>5</v>
      </c>
      <c r="LM230">
        <v>8</v>
      </c>
      <c r="LN230">
        <v>0.5</v>
      </c>
      <c r="LO230">
        <v>5</v>
      </c>
      <c r="LP230">
        <v>0</v>
      </c>
      <c r="LQ230">
        <v>0</v>
      </c>
      <c r="LR230">
        <v>0</v>
      </c>
      <c r="LS230">
        <v>1</v>
      </c>
      <c r="LT230">
        <v>0</v>
      </c>
      <c r="LU230">
        <v>0</v>
      </c>
      <c r="LV230">
        <v>0</v>
      </c>
      <c r="LW230">
        <v>1.7</v>
      </c>
      <c r="LX230">
        <v>1.7</v>
      </c>
      <c r="LY230">
        <v>2.1</v>
      </c>
      <c r="LZ230">
        <v>2.1</v>
      </c>
      <c r="MA230">
        <v>0</v>
      </c>
      <c r="MB230">
        <v>8</v>
      </c>
      <c r="MC230">
        <v>0</v>
      </c>
      <c r="MD230">
        <v>4.5</v>
      </c>
      <c r="ME230">
        <v>6</v>
      </c>
      <c r="MF230">
        <v>6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420</v>
      </c>
      <c r="MN230">
        <v>190</v>
      </c>
      <c r="MO230">
        <v>258</v>
      </c>
      <c r="NU230">
        <v>0.15</v>
      </c>
      <c r="NV230">
        <v>0.2</v>
      </c>
      <c r="NW230">
        <v>0.2</v>
      </c>
      <c r="NX230">
        <v>0.2</v>
      </c>
      <c r="NY230">
        <v>0.2</v>
      </c>
      <c r="NZ230">
        <v>0.2</v>
      </c>
      <c r="OE230" t="s">
        <v>4861</v>
      </c>
      <c r="OF230" t="s">
        <v>4859</v>
      </c>
      <c r="OG230" t="s">
        <v>4860</v>
      </c>
      <c r="OH230" t="s">
        <v>4043</v>
      </c>
      <c r="OI230" t="s">
        <v>4861</v>
      </c>
      <c r="OJ230" t="s">
        <v>4858</v>
      </c>
      <c r="OK230">
        <v>61</v>
      </c>
      <c r="OL230">
        <v>61</v>
      </c>
      <c r="OM230" t="s">
        <v>4859</v>
      </c>
      <c r="ON230">
        <v>1</v>
      </c>
      <c r="OO230">
        <v>2024</v>
      </c>
      <c r="OP230">
        <v>61</v>
      </c>
      <c r="OQ230">
        <v>61</v>
      </c>
      <c r="OR230" t="s">
        <v>4860</v>
      </c>
      <c r="OS230">
        <v>1</v>
      </c>
      <c r="OT230">
        <v>2036</v>
      </c>
      <c r="OU230">
        <v>65</v>
      </c>
      <c r="OV230">
        <v>65</v>
      </c>
      <c r="OW230" t="s">
        <v>4043</v>
      </c>
      <c r="OX230">
        <v>2</v>
      </c>
      <c r="OY230">
        <v>44864</v>
      </c>
      <c r="OZ230">
        <v>51</v>
      </c>
      <c r="PA230">
        <v>52</v>
      </c>
      <c r="PB230" t="s">
        <v>4861</v>
      </c>
      <c r="PC230">
        <v>1</v>
      </c>
      <c r="PD230">
        <v>2068</v>
      </c>
      <c r="PF230">
        <v>471</v>
      </c>
      <c r="PG230">
        <v>35</v>
      </c>
      <c r="PH230">
        <v>448</v>
      </c>
      <c r="PI230">
        <v>0</v>
      </c>
      <c r="PJ230">
        <v>89.40000000000001</v>
      </c>
      <c r="PK230">
        <v>2222</v>
      </c>
      <c r="PL230">
        <v>1034.5</v>
      </c>
      <c r="PM230">
        <v>1114.9</v>
      </c>
      <c r="PN230">
        <v>103.2</v>
      </c>
      <c r="PO230">
        <v>9.6</v>
      </c>
      <c r="PP230">
        <v>12</v>
      </c>
      <c r="PQ230">
        <v>3</v>
      </c>
      <c r="PR230">
        <v>3</v>
      </c>
      <c r="PS230">
        <v>0</v>
      </c>
      <c r="PT230">
        <v>248</v>
      </c>
      <c r="PU230">
        <v>10</v>
      </c>
      <c r="PV230" t="s">
        <v>4072</v>
      </c>
      <c r="PW230" t="s">
        <v>4072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-1</v>
      </c>
      <c r="QF230">
        <v>1</v>
      </c>
      <c r="QG230">
        <v>0</v>
      </c>
      <c r="QH230">
        <v>5</v>
      </c>
      <c r="QI230">
        <v>5</v>
      </c>
      <c r="QJ230">
        <v>5</v>
      </c>
      <c r="QK230">
        <v>186</v>
      </c>
      <c r="QL230">
        <v>416</v>
      </c>
      <c r="QM230">
        <v>7.5</v>
      </c>
      <c r="QN230">
        <v>1464.3</v>
      </c>
      <c r="QO230" t="s">
        <v>2662</v>
      </c>
      <c r="QP230" t="s">
        <v>513</v>
      </c>
      <c r="QQ230">
        <v>0</v>
      </c>
      <c r="QR230" t="s">
        <v>621</v>
      </c>
      <c r="QS230">
        <v>30</v>
      </c>
      <c r="QT230">
        <v>40</v>
      </c>
    </row>
    <row r="231" spans="1:462">
      <c r="A231" t="s">
        <v>2979</v>
      </c>
      <c r="B231" t="s">
        <v>711</v>
      </c>
      <c r="C231" t="s">
        <v>509</v>
      </c>
      <c r="D231" t="s">
        <v>1150</v>
      </c>
      <c r="E231" t="s">
        <v>4036</v>
      </c>
      <c r="H231" t="s">
        <v>1294</v>
      </c>
      <c r="J231" t="s">
        <v>562</v>
      </c>
      <c r="K231" t="s">
        <v>563</v>
      </c>
      <c r="L231" t="s">
        <v>804</v>
      </c>
      <c r="M231" t="s">
        <v>512</v>
      </c>
      <c r="N231" t="s">
        <v>515</v>
      </c>
      <c r="O231" t="s">
        <v>513</v>
      </c>
      <c r="P231" t="s">
        <v>517</v>
      </c>
      <c r="Q231" t="s">
        <v>2980</v>
      </c>
      <c r="R231" t="s">
        <v>1138</v>
      </c>
      <c r="S231" t="s">
        <v>4254</v>
      </c>
      <c r="T231" t="s">
        <v>686</v>
      </c>
      <c r="U231" t="s">
        <v>687</v>
      </c>
      <c r="V231" t="s">
        <v>2607</v>
      </c>
      <c r="W231" t="s">
        <v>2657</v>
      </c>
      <c r="X231" t="s">
        <v>2981</v>
      </c>
      <c r="Y231" t="s">
        <v>2982</v>
      </c>
      <c r="Z231" t="s">
        <v>650</v>
      </c>
      <c r="AA231" t="s">
        <v>582</v>
      </c>
      <c r="AB231" t="s">
        <v>4862</v>
      </c>
      <c r="AC231">
        <v>9</v>
      </c>
      <c r="AD231" t="s">
        <v>2978</v>
      </c>
      <c r="AE231">
        <v>3</v>
      </c>
      <c r="AF231">
        <v>4104</v>
      </c>
      <c r="AG231" t="s">
        <v>4863</v>
      </c>
      <c r="AH231">
        <v>1</v>
      </c>
      <c r="AI231" t="s">
        <v>4041</v>
      </c>
      <c r="AK231" t="s">
        <v>4864</v>
      </c>
      <c r="AL231">
        <v>1</v>
      </c>
      <c r="AM231" t="s">
        <v>582</v>
      </c>
      <c r="AO231" t="s">
        <v>4043</v>
      </c>
      <c r="AP231">
        <v>1</v>
      </c>
      <c r="AR231" t="s">
        <v>4865</v>
      </c>
      <c r="AS231">
        <v>1</v>
      </c>
      <c r="AT231">
        <v>52</v>
      </c>
      <c r="AV231" t="s">
        <v>4078</v>
      </c>
      <c r="AW231">
        <v>6.4</v>
      </c>
      <c r="AX231">
        <v>-6</v>
      </c>
      <c r="AY231">
        <v>107.5</v>
      </c>
      <c r="AZ231">
        <v>77.5</v>
      </c>
      <c r="BA231">
        <v>0</v>
      </c>
      <c r="BB231">
        <v>0</v>
      </c>
      <c r="BC231">
        <v>0</v>
      </c>
      <c r="BH231">
        <v>107.5</v>
      </c>
      <c r="BI231">
        <v>30</v>
      </c>
      <c r="BJ231">
        <v>77.5</v>
      </c>
      <c r="BK231">
        <v>2.5</v>
      </c>
      <c r="BL231">
        <v>215</v>
      </c>
      <c r="BM231">
        <v>-6</v>
      </c>
      <c r="BN231">
        <v>0</v>
      </c>
      <c r="BO231">
        <v>0</v>
      </c>
      <c r="BP231">
        <v>0</v>
      </c>
      <c r="BR231">
        <v>210</v>
      </c>
      <c r="BS231">
        <v>200</v>
      </c>
      <c r="BT231">
        <v>1975</v>
      </c>
      <c r="BU231" t="s">
        <v>4096</v>
      </c>
      <c r="BV231" t="s">
        <v>4096</v>
      </c>
      <c r="BW231" t="s">
        <v>4097</v>
      </c>
      <c r="BX231" t="s">
        <v>4097</v>
      </c>
      <c r="BY231" t="s">
        <v>4181</v>
      </c>
      <c r="BZ231" t="s">
        <v>4160</v>
      </c>
      <c r="CA231" t="s">
        <v>4130</v>
      </c>
      <c r="CB231" t="s">
        <v>4131</v>
      </c>
      <c r="CC231" t="s">
        <v>4053</v>
      </c>
      <c r="CD231" t="s">
        <v>4055</v>
      </c>
      <c r="CE231" t="s">
        <v>4055</v>
      </c>
      <c r="CF231" t="s">
        <v>4055</v>
      </c>
      <c r="CG231" t="s">
        <v>4056</v>
      </c>
      <c r="CH231" t="s">
        <v>4099</v>
      </c>
      <c r="CI231" t="s">
        <v>4086</v>
      </c>
      <c r="CJ231" t="s">
        <v>4059</v>
      </c>
      <c r="CK231" t="s">
        <v>4060</v>
      </c>
      <c r="CL231" t="s">
        <v>4061</v>
      </c>
      <c r="CM231" t="s">
        <v>4062</v>
      </c>
      <c r="CN231" t="s">
        <v>4055</v>
      </c>
      <c r="CO231" t="s">
        <v>4063</v>
      </c>
      <c r="CP231" t="s">
        <v>4055</v>
      </c>
      <c r="CQ231" t="s">
        <v>4055</v>
      </c>
      <c r="CR231">
        <v>5</v>
      </c>
      <c r="CS231" t="s">
        <v>4055</v>
      </c>
      <c r="CT231" t="s">
        <v>4055</v>
      </c>
      <c r="CU231" t="s">
        <v>4055</v>
      </c>
      <c r="CV231">
        <v>132</v>
      </c>
      <c r="CW231">
        <v>3</v>
      </c>
      <c r="CX231">
        <v>110</v>
      </c>
      <c r="CY231">
        <v>5</v>
      </c>
      <c r="CZ231">
        <v>141</v>
      </c>
      <c r="DA231">
        <v>5</v>
      </c>
      <c r="DB231">
        <v>11610</v>
      </c>
      <c r="DC231">
        <v>340</v>
      </c>
      <c r="DD231">
        <v>315</v>
      </c>
      <c r="DE231">
        <v>2100</v>
      </c>
      <c r="DF231">
        <v>2100</v>
      </c>
      <c r="DG231">
        <v>2112</v>
      </c>
      <c r="DH231" t="s">
        <v>4055</v>
      </c>
      <c r="DI231" t="s">
        <v>4055</v>
      </c>
      <c r="DJ231" t="s">
        <v>4132</v>
      </c>
      <c r="DK231">
        <v>210</v>
      </c>
      <c r="DL231" t="s">
        <v>4065</v>
      </c>
      <c r="DM231">
        <v>61</v>
      </c>
      <c r="DN231">
        <v>1.1</v>
      </c>
      <c r="DO231">
        <v>1</v>
      </c>
      <c r="DP231">
        <v>1978</v>
      </c>
      <c r="DQ231">
        <v>898</v>
      </c>
      <c r="DR231" t="s">
        <v>4132</v>
      </c>
      <c r="DS231">
        <v>200</v>
      </c>
      <c r="DT231" t="s">
        <v>4065</v>
      </c>
      <c r="DU231">
        <v>61</v>
      </c>
      <c r="DV231">
        <v>1.1</v>
      </c>
      <c r="DW231">
        <v>1</v>
      </c>
      <c r="DX231">
        <v>1990</v>
      </c>
      <c r="DY231">
        <v>862</v>
      </c>
      <c r="DZ231" t="s">
        <v>4066</v>
      </c>
      <c r="EA231">
        <v>20</v>
      </c>
      <c r="EB231" t="s">
        <v>4065</v>
      </c>
      <c r="EC231">
        <v>0.8</v>
      </c>
      <c r="ED231">
        <v>1978</v>
      </c>
      <c r="EE231">
        <v>69</v>
      </c>
      <c r="EG231">
        <v>0</v>
      </c>
      <c r="EH231" t="s">
        <v>4065</v>
      </c>
      <c r="EI231">
        <v>0</v>
      </c>
      <c r="EL231" t="s">
        <v>1528</v>
      </c>
      <c r="EM231">
        <v>12</v>
      </c>
      <c r="EN231">
        <v>0.5</v>
      </c>
      <c r="EO231">
        <v>0.96</v>
      </c>
      <c r="EP231">
        <v>1988.83</v>
      </c>
      <c r="EQ231">
        <v>35270.66</v>
      </c>
      <c r="ER231">
        <v>9350.91</v>
      </c>
      <c r="ES231">
        <v>0</v>
      </c>
      <c r="ET231">
        <v>0</v>
      </c>
      <c r="EU231">
        <v>1</v>
      </c>
      <c r="EV231">
        <v>44622</v>
      </c>
      <c r="EW231">
        <v>536</v>
      </c>
      <c r="EX231" t="s">
        <v>4755</v>
      </c>
      <c r="EY231">
        <v>228</v>
      </c>
      <c r="EZ231" t="s">
        <v>4055</v>
      </c>
      <c r="FA231">
        <v>4</v>
      </c>
      <c r="FB231">
        <v>1</v>
      </c>
      <c r="FC231">
        <v>1</v>
      </c>
      <c r="FD231">
        <v>2024</v>
      </c>
      <c r="FE231">
        <v>2195</v>
      </c>
      <c r="FF231" t="s">
        <v>4756</v>
      </c>
      <c r="FG231">
        <v>228</v>
      </c>
      <c r="FH231" t="s">
        <v>4055</v>
      </c>
      <c r="FI231">
        <v>4.6</v>
      </c>
      <c r="FJ231">
        <v>2024</v>
      </c>
      <c r="FK231">
        <v>2503</v>
      </c>
      <c r="FL231" t="s">
        <v>4069</v>
      </c>
      <c r="FM231" t="s">
        <v>4055</v>
      </c>
      <c r="FN231" t="s">
        <v>4055</v>
      </c>
      <c r="FO231" t="s">
        <v>4055</v>
      </c>
      <c r="FP231">
        <v>2024</v>
      </c>
      <c r="FQ231">
        <v>206</v>
      </c>
      <c r="FR231" t="s">
        <v>4090</v>
      </c>
      <c r="FS231">
        <v>232</v>
      </c>
      <c r="FT231" t="s">
        <v>4055</v>
      </c>
      <c r="FU231">
        <v>0.4</v>
      </c>
      <c r="FV231">
        <v>2024</v>
      </c>
      <c r="FW231">
        <v>209</v>
      </c>
      <c r="FX231" t="s">
        <v>4070</v>
      </c>
      <c r="FY231">
        <v>5</v>
      </c>
      <c r="FZ231" t="s">
        <v>4055</v>
      </c>
      <c r="GA231" t="s">
        <v>4055</v>
      </c>
      <c r="GB231">
        <v>2024</v>
      </c>
      <c r="GC231">
        <v>21</v>
      </c>
      <c r="GD231">
        <v>5134</v>
      </c>
      <c r="GE231" t="s">
        <v>4865</v>
      </c>
      <c r="GF231" t="s">
        <v>4055</v>
      </c>
      <c r="GG231" t="s">
        <v>4055</v>
      </c>
      <c r="GH231" t="s">
        <v>4055</v>
      </c>
      <c r="GI231" t="s">
        <v>4071</v>
      </c>
      <c r="GJ231" t="s">
        <v>4055</v>
      </c>
      <c r="GK231" t="s">
        <v>4055</v>
      </c>
      <c r="GL231" t="s">
        <v>4055</v>
      </c>
      <c r="GM231" t="s">
        <v>4055</v>
      </c>
      <c r="GQ231">
        <v>0</v>
      </c>
      <c r="GV231">
        <v>9</v>
      </c>
      <c r="GW231">
        <v>11.5</v>
      </c>
      <c r="GX231">
        <v>0.5</v>
      </c>
      <c r="GY231">
        <v>206</v>
      </c>
      <c r="GZ231">
        <v>3</v>
      </c>
      <c r="HA231">
        <v>248</v>
      </c>
      <c r="HB231">
        <v>3</v>
      </c>
      <c r="HC231">
        <v>2024</v>
      </c>
      <c r="HD231">
        <v>4</v>
      </c>
      <c r="HE231" t="s">
        <v>4071</v>
      </c>
      <c r="HG231" t="s">
        <v>549</v>
      </c>
      <c r="HL231">
        <v>4</v>
      </c>
      <c r="HM231">
        <v>19</v>
      </c>
      <c r="HN231">
        <v>1</v>
      </c>
      <c r="HO231">
        <v>1</v>
      </c>
      <c r="HP231">
        <v>0</v>
      </c>
      <c r="HQ231">
        <v>0</v>
      </c>
      <c r="HR231">
        <v>1</v>
      </c>
      <c r="HS231">
        <v>1975</v>
      </c>
      <c r="HT231">
        <v>5</v>
      </c>
      <c r="HU231">
        <v>1</v>
      </c>
      <c r="HV231">
        <v>5</v>
      </c>
      <c r="HW231">
        <v>0</v>
      </c>
      <c r="HX231">
        <v>1</v>
      </c>
      <c r="HY231">
        <v>0</v>
      </c>
      <c r="HZ231">
        <v>61</v>
      </c>
      <c r="IA231">
        <v>1978</v>
      </c>
      <c r="IB231">
        <v>1990</v>
      </c>
      <c r="ID231">
        <v>2024</v>
      </c>
      <c r="IE231">
        <v>2024</v>
      </c>
      <c r="IF231">
        <v>210</v>
      </c>
      <c r="IG231">
        <v>200</v>
      </c>
      <c r="IH231">
        <v>248</v>
      </c>
      <c r="II231">
        <v>1</v>
      </c>
      <c r="IJ231">
        <v>5</v>
      </c>
      <c r="IK231">
        <v>0</v>
      </c>
      <c r="IL231">
        <v>0</v>
      </c>
      <c r="IM231">
        <v>0</v>
      </c>
      <c r="IN231">
        <v>270</v>
      </c>
      <c r="IO231">
        <v>0</v>
      </c>
      <c r="IP231">
        <v>180</v>
      </c>
      <c r="IQ231">
        <v>0</v>
      </c>
      <c r="IR231">
        <v>330</v>
      </c>
      <c r="IS231">
        <v>0</v>
      </c>
      <c r="IT231">
        <v>90</v>
      </c>
      <c r="IU231">
        <v>0</v>
      </c>
      <c r="IV231">
        <v>6.4</v>
      </c>
      <c r="IW231">
        <v>-6</v>
      </c>
      <c r="IX231">
        <v>107.5</v>
      </c>
      <c r="IY231">
        <v>77.5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346</v>
      </c>
      <c r="JJ231">
        <v>316</v>
      </c>
      <c r="JK231">
        <v>240</v>
      </c>
      <c r="JL231">
        <v>314</v>
      </c>
      <c r="JM231">
        <v>254</v>
      </c>
      <c r="JN231">
        <v>210</v>
      </c>
      <c r="JO231">
        <v>258</v>
      </c>
      <c r="JP231">
        <v>228</v>
      </c>
      <c r="JQ231">
        <v>260</v>
      </c>
      <c r="JR231">
        <v>303</v>
      </c>
      <c r="JS231">
        <v>280</v>
      </c>
      <c r="JT231">
        <v>0</v>
      </c>
      <c r="JU231">
        <v>0</v>
      </c>
      <c r="JV231">
        <v>300</v>
      </c>
      <c r="JW231">
        <v>311</v>
      </c>
      <c r="JX231">
        <v>296</v>
      </c>
      <c r="JY231">
        <v>0</v>
      </c>
      <c r="JZ231">
        <v>0.5</v>
      </c>
      <c r="KA231">
        <v>0.21</v>
      </c>
      <c r="KB231">
        <v>0.4</v>
      </c>
      <c r="KC231">
        <v>0.42</v>
      </c>
      <c r="KD231">
        <v>0.28</v>
      </c>
      <c r="KE231">
        <v>0.5</v>
      </c>
      <c r="KF231">
        <v>0.2</v>
      </c>
      <c r="KG231">
        <v>0.11</v>
      </c>
      <c r="KH231">
        <v>3.5</v>
      </c>
      <c r="KI231">
        <v>1</v>
      </c>
      <c r="KJ231">
        <v>4.5</v>
      </c>
      <c r="KK231">
        <v>0</v>
      </c>
      <c r="KL231">
        <v>4.5</v>
      </c>
      <c r="KM231">
        <v>0.5</v>
      </c>
      <c r="KN231">
        <v>1.4</v>
      </c>
      <c r="KO231">
        <v>0</v>
      </c>
      <c r="KP231">
        <v>0</v>
      </c>
      <c r="KQ231">
        <v>0.7</v>
      </c>
      <c r="KR231">
        <v>0.7</v>
      </c>
      <c r="KS231">
        <v>0.2</v>
      </c>
      <c r="KT231">
        <v>2.1</v>
      </c>
      <c r="KU231">
        <v>0</v>
      </c>
      <c r="KV231">
        <v>0</v>
      </c>
      <c r="KW231">
        <v>1</v>
      </c>
      <c r="KX231">
        <v>2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3</v>
      </c>
      <c r="LI231">
        <v>0</v>
      </c>
      <c r="LJ231">
        <v>0</v>
      </c>
      <c r="LK231">
        <v>4.5</v>
      </c>
      <c r="LL231">
        <v>4.5</v>
      </c>
      <c r="LM231">
        <v>7</v>
      </c>
      <c r="LN231">
        <v>0.4</v>
      </c>
      <c r="LO231">
        <v>3.5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1.6</v>
      </c>
      <c r="LX231">
        <v>1.6</v>
      </c>
      <c r="LY231">
        <v>1.8</v>
      </c>
      <c r="LZ231">
        <v>1.8</v>
      </c>
      <c r="MA231">
        <v>0</v>
      </c>
      <c r="MB231">
        <v>2.5</v>
      </c>
      <c r="MC231">
        <v>0</v>
      </c>
      <c r="MD231">
        <v>4.5</v>
      </c>
      <c r="ME231">
        <v>6</v>
      </c>
      <c r="MF231">
        <v>6</v>
      </c>
      <c r="MI231">
        <v>0</v>
      </c>
      <c r="MJ231">
        <v>0</v>
      </c>
      <c r="ML231">
        <v>0</v>
      </c>
      <c r="MM231">
        <v>390</v>
      </c>
      <c r="MN231">
        <v>210</v>
      </c>
      <c r="MO231">
        <v>258</v>
      </c>
      <c r="NU231">
        <v>0.15</v>
      </c>
      <c r="NV231">
        <v>0.2</v>
      </c>
      <c r="NW231">
        <v>0.2</v>
      </c>
      <c r="NX231">
        <v>0.2</v>
      </c>
      <c r="NY231">
        <v>0.2</v>
      </c>
      <c r="NZ231">
        <v>0.2</v>
      </c>
      <c r="OE231" t="s">
        <v>4865</v>
      </c>
      <c r="OF231" t="s">
        <v>4863</v>
      </c>
      <c r="OG231" t="s">
        <v>4864</v>
      </c>
      <c r="OH231" t="s">
        <v>4043</v>
      </c>
      <c r="OI231" t="s">
        <v>4865</v>
      </c>
      <c r="OJ231" t="s">
        <v>4862</v>
      </c>
      <c r="OK231">
        <v>61</v>
      </c>
      <c r="OL231">
        <v>61</v>
      </c>
      <c r="OM231" t="s">
        <v>4863</v>
      </c>
      <c r="ON231">
        <v>1</v>
      </c>
      <c r="OO231">
        <v>1978</v>
      </c>
      <c r="OP231">
        <v>61</v>
      </c>
      <c r="OQ231">
        <v>61</v>
      </c>
      <c r="OR231" t="s">
        <v>4864</v>
      </c>
      <c r="OS231">
        <v>1</v>
      </c>
      <c r="OT231">
        <v>1990</v>
      </c>
      <c r="OU231">
        <v>65</v>
      </c>
      <c r="OV231">
        <v>65</v>
      </c>
      <c r="OW231" t="s">
        <v>4043</v>
      </c>
      <c r="OX231">
        <v>2</v>
      </c>
      <c r="OY231">
        <v>44622</v>
      </c>
      <c r="OZ231">
        <v>51</v>
      </c>
      <c r="PA231">
        <v>52</v>
      </c>
      <c r="PB231" t="s">
        <v>4865</v>
      </c>
      <c r="PC231">
        <v>1</v>
      </c>
      <c r="PD231">
        <v>2024</v>
      </c>
      <c r="PF231">
        <v>454</v>
      </c>
      <c r="PG231">
        <v>35</v>
      </c>
      <c r="PH231">
        <v>433</v>
      </c>
      <c r="PI231">
        <v>0</v>
      </c>
      <c r="PJ231">
        <v>101.9</v>
      </c>
      <c r="PL231">
        <v>1084.4</v>
      </c>
      <c r="PM231">
        <v>1236.6</v>
      </c>
      <c r="PN231">
        <v>103.2</v>
      </c>
      <c r="PO231">
        <v>10.5</v>
      </c>
      <c r="PP231">
        <v>12</v>
      </c>
      <c r="PQ231">
        <v>3</v>
      </c>
      <c r="PR231">
        <v>3</v>
      </c>
      <c r="PS231">
        <v>8</v>
      </c>
      <c r="PT231">
        <v>248</v>
      </c>
      <c r="PU231">
        <v>10</v>
      </c>
      <c r="PV231" t="s">
        <v>4072</v>
      </c>
      <c r="PW231" t="s">
        <v>4072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-1</v>
      </c>
      <c r="QF231">
        <v>1</v>
      </c>
      <c r="QG231">
        <v>0</v>
      </c>
      <c r="QH231">
        <v>5</v>
      </c>
      <c r="QI231">
        <v>5</v>
      </c>
      <c r="QJ231">
        <v>5</v>
      </c>
      <c r="QK231">
        <v>189</v>
      </c>
      <c r="QL231">
        <v>376</v>
      </c>
      <c r="QM231">
        <v>7.5</v>
      </c>
      <c r="QN231">
        <v>1540.9</v>
      </c>
      <c r="QO231" t="s">
        <v>2662</v>
      </c>
      <c r="QP231" t="s">
        <v>513</v>
      </c>
      <c r="QQ231">
        <v>0</v>
      </c>
      <c r="QR231" t="s">
        <v>860</v>
      </c>
      <c r="QS231">
        <v>40</v>
      </c>
      <c r="QT231">
        <v>50</v>
      </c>
    </row>
    <row r="232" spans="1:462">
      <c r="A232" t="s">
        <v>2987</v>
      </c>
      <c r="B232" t="s">
        <v>804</v>
      </c>
      <c r="C232" t="s">
        <v>509</v>
      </c>
      <c r="D232" t="s">
        <v>2782</v>
      </c>
      <c r="E232" t="s">
        <v>4036</v>
      </c>
      <c r="H232" t="s">
        <v>1294</v>
      </c>
      <c r="J232" t="s">
        <v>562</v>
      </c>
      <c r="K232" t="s">
        <v>563</v>
      </c>
      <c r="L232" t="s">
        <v>508</v>
      </c>
      <c r="M232" t="s">
        <v>512</v>
      </c>
      <c r="N232" t="s">
        <v>515</v>
      </c>
      <c r="O232" t="s">
        <v>513</v>
      </c>
      <c r="P232" t="s">
        <v>517</v>
      </c>
      <c r="Q232" t="s">
        <v>2066</v>
      </c>
      <c r="R232" t="s">
        <v>1043</v>
      </c>
      <c r="S232" t="s">
        <v>4037</v>
      </c>
      <c r="T232" t="s">
        <v>570</v>
      </c>
      <c r="U232" t="s">
        <v>571</v>
      </c>
      <c r="V232" t="s">
        <v>2809</v>
      </c>
      <c r="W232" t="s">
        <v>2657</v>
      </c>
      <c r="X232" t="s">
        <v>2988</v>
      </c>
      <c r="Y232" t="s">
        <v>2989</v>
      </c>
      <c r="Z232" t="s">
        <v>541</v>
      </c>
      <c r="AA232" t="s">
        <v>4038</v>
      </c>
      <c r="AB232" t="s">
        <v>4866</v>
      </c>
      <c r="AC232">
        <v>9</v>
      </c>
      <c r="AD232" t="s">
        <v>2986</v>
      </c>
      <c r="AE232">
        <v>2</v>
      </c>
      <c r="AF232">
        <v>6776</v>
      </c>
      <c r="AG232" t="s">
        <v>4341</v>
      </c>
      <c r="AH232">
        <v>1</v>
      </c>
      <c r="AI232" t="s">
        <v>4041</v>
      </c>
      <c r="AK232" t="s">
        <v>4342</v>
      </c>
      <c r="AL232">
        <v>1</v>
      </c>
      <c r="AM232" t="s">
        <v>582</v>
      </c>
      <c r="AO232" t="s">
        <v>4043</v>
      </c>
      <c r="AP232">
        <v>1</v>
      </c>
      <c r="AR232" t="s">
        <v>4867</v>
      </c>
      <c r="AS232">
        <v>1</v>
      </c>
      <c r="AT232">
        <v>52</v>
      </c>
      <c r="AV232" t="s">
        <v>4078</v>
      </c>
      <c r="AW232">
        <v>6.4</v>
      </c>
      <c r="AX232">
        <v>-6</v>
      </c>
      <c r="AY232">
        <v>112.5</v>
      </c>
      <c r="AZ232">
        <v>82.5</v>
      </c>
      <c r="BH232">
        <v>112.5</v>
      </c>
      <c r="BI232">
        <v>30</v>
      </c>
      <c r="BJ232">
        <v>82.5</v>
      </c>
      <c r="BK232">
        <v>2.5</v>
      </c>
      <c r="BL232">
        <v>225</v>
      </c>
      <c r="BM232">
        <v>-6</v>
      </c>
      <c r="BN232">
        <v>0</v>
      </c>
      <c r="BO232">
        <v>0</v>
      </c>
      <c r="BP232">
        <v>0</v>
      </c>
      <c r="BR232">
        <v>220</v>
      </c>
      <c r="BS232">
        <v>210</v>
      </c>
      <c r="BT232">
        <v>2305</v>
      </c>
      <c r="BU232" t="s">
        <v>4079</v>
      </c>
      <c r="BV232" t="s">
        <v>4080</v>
      </c>
      <c r="BW232" t="s">
        <v>4081</v>
      </c>
      <c r="BX232" t="s">
        <v>4082</v>
      </c>
      <c r="BY232" t="s">
        <v>4199</v>
      </c>
      <c r="BZ232" t="s">
        <v>4083</v>
      </c>
      <c r="CA232" t="s">
        <v>4084</v>
      </c>
      <c r="CB232" t="s">
        <v>4085</v>
      </c>
      <c r="CC232" t="s">
        <v>4053</v>
      </c>
      <c r="CD232" t="s">
        <v>4055</v>
      </c>
      <c r="CE232" t="s">
        <v>4055</v>
      </c>
      <c r="CF232" t="s">
        <v>4055</v>
      </c>
      <c r="CG232" t="s">
        <v>4056</v>
      </c>
      <c r="CI232" t="s">
        <v>4086</v>
      </c>
      <c r="CJ232" t="s">
        <v>4059</v>
      </c>
      <c r="CK232" t="s">
        <v>4060</v>
      </c>
      <c r="CL232" t="s">
        <v>4061</v>
      </c>
      <c r="CM232" t="s">
        <v>4055</v>
      </c>
      <c r="CN232" t="s">
        <v>4062</v>
      </c>
      <c r="CO232" t="s">
        <v>4063</v>
      </c>
      <c r="CP232" t="s">
        <v>4055</v>
      </c>
      <c r="CQ232" t="s">
        <v>4055</v>
      </c>
      <c r="CR232">
        <v>5</v>
      </c>
      <c r="CS232" t="s">
        <v>4055</v>
      </c>
      <c r="CT232" t="s">
        <v>4055</v>
      </c>
      <c r="CU232" t="s">
        <v>4055</v>
      </c>
      <c r="CV232">
        <v>140</v>
      </c>
      <c r="CW232">
        <v>3</v>
      </c>
      <c r="CX232">
        <v>95</v>
      </c>
      <c r="CY232">
        <v>5</v>
      </c>
      <c r="CZ232">
        <v>169</v>
      </c>
      <c r="DA232">
        <v>5</v>
      </c>
      <c r="DB232">
        <v>16170</v>
      </c>
      <c r="DC232">
        <v>480</v>
      </c>
      <c r="DD232">
        <v>377</v>
      </c>
      <c r="DE232">
        <v>2443</v>
      </c>
      <c r="DF232">
        <v>2443</v>
      </c>
      <c r="DG232">
        <v>2454</v>
      </c>
      <c r="DH232">
        <v>1</v>
      </c>
      <c r="DI232" t="s">
        <v>4055</v>
      </c>
      <c r="DJ232" t="s">
        <v>4217</v>
      </c>
      <c r="DK232">
        <v>220</v>
      </c>
      <c r="DL232" t="s">
        <v>4065</v>
      </c>
      <c r="DM232">
        <v>63</v>
      </c>
      <c r="DN232">
        <v>1.26</v>
      </c>
      <c r="DO232">
        <v>1</v>
      </c>
      <c r="DP232">
        <v>2309</v>
      </c>
      <c r="DQ232">
        <v>1226</v>
      </c>
      <c r="DR232" t="s">
        <v>4217</v>
      </c>
      <c r="DS232">
        <v>210</v>
      </c>
      <c r="DT232" t="s">
        <v>4065</v>
      </c>
      <c r="DU232">
        <v>63</v>
      </c>
      <c r="DV232">
        <v>1.26</v>
      </c>
      <c r="DW232">
        <v>1</v>
      </c>
      <c r="DX232">
        <v>2322</v>
      </c>
      <c r="DY232">
        <v>1177</v>
      </c>
      <c r="DZ232" t="s">
        <v>4066</v>
      </c>
      <c r="EA232">
        <v>20</v>
      </c>
      <c r="EB232" t="s">
        <v>4065</v>
      </c>
      <c r="EC232">
        <v>0.8</v>
      </c>
      <c r="ED232">
        <v>2309</v>
      </c>
      <c r="EE232">
        <v>81</v>
      </c>
      <c r="EG232">
        <v>0</v>
      </c>
      <c r="EH232" t="s">
        <v>4065</v>
      </c>
      <c r="EI232">
        <v>0</v>
      </c>
      <c r="EL232" t="s">
        <v>1528</v>
      </c>
      <c r="EM232">
        <v>12</v>
      </c>
      <c r="EN232">
        <v>0.5</v>
      </c>
      <c r="EO232">
        <v>0.96</v>
      </c>
      <c r="EP232">
        <v>2320.84</v>
      </c>
      <c r="EQ232">
        <v>42971.8</v>
      </c>
      <c r="ER232">
        <v>10907.21</v>
      </c>
      <c r="ES232">
        <v>0</v>
      </c>
      <c r="ET232">
        <v>0</v>
      </c>
      <c r="EU232">
        <v>1</v>
      </c>
      <c r="EV232">
        <v>53880</v>
      </c>
      <c r="EW232">
        <v>647</v>
      </c>
      <c r="EX232" t="s">
        <v>4755</v>
      </c>
      <c r="EY232">
        <v>252</v>
      </c>
      <c r="EZ232" t="s">
        <v>4055</v>
      </c>
      <c r="FA232">
        <v>4.5</v>
      </c>
      <c r="FB232">
        <v>1</v>
      </c>
      <c r="FC232">
        <v>1</v>
      </c>
      <c r="FD232">
        <v>2354</v>
      </c>
      <c r="FE232">
        <v>3059</v>
      </c>
      <c r="FF232" t="s">
        <v>4756</v>
      </c>
      <c r="FG232">
        <v>252</v>
      </c>
      <c r="FH232" t="s">
        <v>4055</v>
      </c>
      <c r="FI232">
        <v>3.6</v>
      </c>
      <c r="FJ232">
        <v>2354</v>
      </c>
      <c r="FK232">
        <v>2679</v>
      </c>
      <c r="FL232" t="s">
        <v>4069</v>
      </c>
      <c r="FM232" t="s">
        <v>4055</v>
      </c>
      <c r="FN232" t="s">
        <v>4055</v>
      </c>
      <c r="FO232" t="s">
        <v>4055</v>
      </c>
      <c r="FP232">
        <v>2354</v>
      </c>
      <c r="FQ232">
        <v>228</v>
      </c>
      <c r="FR232" t="s">
        <v>4090</v>
      </c>
      <c r="FS232">
        <v>256</v>
      </c>
      <c r="FT232" t="s">
        <v>4055</v>
      </c>
      <c r="FU232">
        <v>0.4</v>
      </c>
      <c r="FV232">
        <v>2354</v>
      </c>
      <c r="FW232">
        <v>268</v>
      </c>
      <c r="FX232" t="s">
        <v>4070</v>
      </c>
      <c r="FY232">
        <v>5</v>
      </c>
      <c r="FZ232" t="s">
        <v>4055</v>
      </c>
      <c r="GA232" t="s">
        <v>4055</v>
      </c>
      <c r="GB232">
        <v>2354</v>
      </c>
      <c r="GC232">
        <v>23</v>
      </c>
      <c r="GD232">
        <v>6257</v>
      </c>
      <c r="GE232" t="s">
        <v>4867</v>
      </c>
      <c r="GF232" t="s">
        <v>4055</v>
      </c>
      <c r="GG232" t="s">
        <v>4055</v>
      </c>
      <c r="GH232" t="s">
        <v>4055</v>
      </c>
      <c r="GI232" t="s">
        <v>4071</v>
      </c>
      <c r="GJ232" t="s">
        <v>4055</v>
      </c>
      <c r="GK232" t="s">
        <v>4055</v>
      </c>
      <c r="GL232" t="s">
        <v>4055</v>
      </c>
      <c r="GM232" t="s">
        <v>4055</v>
      </c>
      <c r="GQ232">
        <v>0</v>
      </c>
      <c r="GV232">
        <v>8.5</v>
      </c>
      <c r="GW232">
        <v>11.5</v>
      </c>
      <c r="GX232">
        <v>0.5</v>
      </c>
      <c r="GY232">
        <v>212</v>
      </c>
      <c r="GZ232">
        <v>3</v>
      </c>
      <c r="HA232">
        <v>272</v>
      </c>
      <c r="HB232">
        <v>3</v>
      </c>
      <c r="HC232">
        <v>2354</v>
      </c>
      <c r="HD232">
        <v>4</v>
      </c>
      <c r="HE232" t="s">
        <v>4071</v>
      </c>
      <c r="HG232" t="s">
        <v>549</v>
      </c>
      <c r="HL232">
        <v>4</v>
      </c>
      <c r="HM232">
        <v>20</v>
      </c>
      <c r="HN232">
        <v>6</v>
      </c>
      <c r="HO232">
        <v>1</v>
      </c>
      <c r="HP232">
        <v>0</v>
      </c>
      <c r="HQ232">
        <v>0</v>
      </c>
      <c r="HR232">
        <v>3</v>
      </c>
      <c r="HS232">
        <v>2305</v>
      </c>
      <c r="HT232">
        <v>5</v>
      </c>
      <c r="HU232">
        <v>1</v>
      </c>
      <c r="HV232">
        <v>3</v>
      </c>
      <c r="HW232">
        <v>0</v>
      </c>
      <c r="HX232">
        <v>1</v>
      </c>
      <c r="HY232">
        <v>0</v>
      </c>
      <c r="HZ232">
        <v>63</v>
      </c>
      <c r="IA232">
        <v>2309</v>
      </c>
      <c r="IB232">
        <v>2322</v>
      </c>
      <c r="ID232">
        <v>2354</v>
      </c>
      <c r="IE232">
        <v>2354</v>
      </c>
      <c r="IF232">
        <v>220</v>
      </c>
      <c r="IG232">
        <v>210</v>
      </c>
      <c r="IH232">
        <v>272</v>
      </c>
      <c r="II232">
        <v>1</v>
      </c>
      <c r="IJ232">
        <v>5</v>
      </c>
      <c r="IK232">
        <v>0</v>
      </c>
      <c r="IL232">
        <v>0</v>
      </c>
      <c r="IM232">
        <v>0</v>
      </c>
      <c r="IN232">
        <v>270</v>
      </c>
      <c r="IO232">
        <v>0</v>
      </c>
      <c r="IP232">
        <v>180</v>
      </c>
      <c r="IQ232">
        <v>0</v>
      </c>
      <c r="IR232">
        <v>330</v>
      </c>
      <c r="IS232">
        <v>0</v>
      </c>
      <c r="IT232">
        <v>90</v>
      </c>
      <c r="IU232">
        <v>0</v>
      </c>
      <c r="IV232">
        <v>6.4</v>
      </c>
      <c r="IW232">
        <v>-6</v>
      </c>
      <c r="IX232">
        <v>112.5</v>
      </c>
      <c r="IY232">
        <v>82.5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448</v>
      </c>
      <c r="JJ232">
        <v>418</v>
      </c>
      <c r="JK232">
        <v>304</v>
      </c>
      <c r="JL232">
        <v>416</v>
      </c>
      <c r="JM232">
        <v>323</v>
      </c>
      <c r="JN232">
        <v>215</v>
      </c>
      <c r="JO232">
        <v>278</v>
      </c>
      <c r="JP232">
        <v>180</v>
      </c>
      <c r="JQ232">
        <v>220</v>
      </c>
      <c r="JR232">
        <v>330</v>
      </c>
      <c r="JS232">
        <v>230</v>
      </c>
      <c r="JT232">
        <v>0</v>
      </c>
      <c r="JU232">
        <v>0</v>
      </c>
      <c r="JV232">
        <v>300</v>
      </c>
      <c r="JW232">
        <v>295</v>
      </c>
      <c r="JX232">
        <v>290</v>
      </c>
      <c r="JY232">
        <v>270</v>
      </c>
      <c r="JZ232">
        <v>0.5</v>
      </c>
      <c r="KA232">
        <v>0.2</v>
      </c>
      <c r="KB232">
        <v>0.4</v>
      </c>
      <c r="KC232">
        <v>0.42</v>
      </c>
      <c r="KD232">
        <v>0.28</v>
      </c>
      <c r="KE232">
        <v>0.5</v>
      </c>
      <c r="KF232">
        <v>0.19</v>
      </c>
      <c r="KG232">
        <v>0.13</v>
      </c>
      <c r="KH232">
        <v>3.5</v>
      </c>
      <c r="KI232">
        <v>1</v>
      </c>
      <c r="KJ232">
        <v>4.5</v>
      </c>
      <c r="KK232">
        <v>0</v>
      </c>
      <c r="KL232">
        <v>4.5</v>
      </c>
      <c r="KM232">
        <v>0.5</v>
      </c>
      <c r="KN232">
        <v>2</v>
      </c>
      <c r="KO232">
        <v>0</v>
      </c>
      <c r="KP232">
        <v>0</v>
      </c>
      <c r="KQ232">
        <v>0.5</v>
      </c>
      <c r="KR232">
        <v>0.5</v>
      </c>
      <c r="KS232">
        <v>0</v>
      </c>
      <c r="KT232">
        <v>3.1</v>
      </c>
      <c r="KU232">
        <v>0</v>
      </c>
      <c r="KV232">
        <v>0</v>
      </c>
      <c r="KW232">
        <v>1.6</v>
      </c>
      <c r="KX232">
        <v>2</v>
      </c>
      <c r="KY232">
        <v>1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3</v>
      </c>
      <c r="LI232">
        <v>0.5</v>
      </c>
      <c r="LJ232">
        <v>0</v>
      </c>
      <c r="LK232">
        <v>10</v>
      </c>
      <c r="LL232">
        <v>7</v>
      </c>
      <c r="LM232">
        <v>11</v>
      </c>
      <c r="LN232">
        <v>0.1</v>
      </c>
      <c r="LO232">
        <v>3</v>
      </c>
      <c r="LP232">
        <v>0</v>
      </c>
      <c r="LQ232">
        <v>0</v>
      </c>
      <c r="LR232">
        <v>0</v>
      </c>
      <c r="LS232">
        <v>1</v>
      </c>
      <c r="LT232">
        <v>0</v>
      </c>
      <c r="LU232">
        <v>0</v>
      </c>
      <c r="LV232">
        <v>0</v>
      </c>
      <c r="LW232">
        <v>2.2</v>
      </c>
      <c r="LX232">
        <v>2.2</v>
      </c>
      <c r="LY232">
        <v>2.1</v>
      </c>
      <c r="LZ232">
        <v>2.1</v>
      </c>
      <c r="MA232">
        <v>0</v>
      </c>
      <c r="MB232">
        <v>5</v>
      </c>
      <c r="MC232">
        <v>0</v>
      </c>
      <c r="MD232">
        <v>4.5</v>
      </c>
      <c r="ME232">
        <v>6</v>
      </c>
      <c r="MF232">
        <v>6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484</v>
      </c>
      <c r="MN232">
        <v>220</v>
      </c>
      <c r="MO232">
        <v>274</v>
      </c>
      <c r="NU232">
        <v>0.15</v>
      </c>
      <c r="NV232">
        <v>0.2</v>
      </c>
      <c r="NW232">
        <v>0.2</v>
      </c>
      <c r="NX232">
        <v>0.2</v>
      </c>
      <c r="NY232">
        <v>0.2</v>
      </c>
      <c r="NZ232">
        <v>0.2</v>
      </c>
      <c r="OE232" t="s">
        <v>4867</v>
      </c>
      <c r="OF232" t="s">
        <v>4341</v>
      </c>
      <c r="OG232" t="s">
        <v>4342</v>
      </c>
      <c r="OH232" t="s">
        <v>4043</v>
      </c>
      <c r="OI232" t="s">
        <v>4867</v>
      </c>
      <c r="OJ232" t="s">
        <v>4866</v>
      </c>
      <c r="OK232">
        <v>61</v>
      </c>
      <c r="OL232">
        <v>61</v>
      </c>
      <c r="OM232" t="s">
        <v>4341</v>
      </c>
      <c r="ON232">
        <v>1</v>
      </c>
      <c r="OO232">
        <v>2309</v>
      </c>
      <c r="OP232">
        <v>61</v>
      </c>
      <c r="OQ232">
        <v>61</v>
      </c>
      <c r="OR232" t="s">
        <v>4342</v>
      </c>
      <c r="OS232">
        <v>1</v>
      </c>
      <c r="OT232">
        <v>2322</v>
      </c>
      <c r="OU232">
        <v>65</v>
      </c>
      <c r="OV232">
        <v>65</v>
      </c>
      <c r="OW232" t="s">
        <v>4043</v>
      </c>
      <c r="OX232">
        <v>2</v>
      </c>
      <c r="OY232">
        <v>53880</v>
      </c>
      <c r="OZ232">
        <v>51</v>
      </c>
      <c r="PA232">
        <v>52</v>
      </c>
      <c r="PB232" t="s">
        <v>4867</v>
      </c>
      <c r="PC232">
        <v>1</v>
      </c>
      <c r="PD232">
        <v>2354</v>
      </c>
      <c r="PF232">
        <v>531</v>
      </c>
      <c r="PG232">
        <v>35</v>
      </c>
      <c r="PH232">
        <v>507</v>
      </c>
      <c r="PI232">
        <v>0</v>
      </c>
      <c r="PJ232">
        <v>96.8</v>
      </c>
      <c r="PL232">
        <v>1299.3</v>
      </c>
      <c r="PM232">
        <v>1137.9</v>
      </c>
      <c r="PN232">
        <v>113.9</v>
      </c>
      <c r="PO232">
        <v>9.9</v>
      </c>
      <c r="PP232">
        <v>12</v>
      </c>
      <c r="PQ232">
        <v>4</v>
      </c>
      <c r="PR232">
        <v>6</v>
      </c>
      <c r="PS232">
        <v>0</v>
      </c>
      <c r="PT232">
        <v>272</v>
      </c>
      <c r="PU232">
        <v>10</v>
      </c>
      <c r="PV232" t="s">
        <v>4072</v>
      </c>
      <c r="PW232" t="s">
        <v>4072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-1</v>
      </c>
      <c r="QF232">
        <v>1</v>
      </c>
      <c r="QG232">
        <v>0</v>
      </c>
      <c r="QH232">
        <v>5</v>
      </c>
      <c r="QI232">
        <v>5</v>
      </c>
      <c r="QJ232">
        <v>5</v>
      </c>
      <c r="QK232">
        <v>242</v>
      </c>
      <c r="QL232">
        <v>478</v>
      </c>
      <c r="QM232">
        <v>7.5</v>
      </c>
      <c r="QN232">
        <v>1623.8</v>
      </c>
      <c r="QO232" t="s">
        <v>2662</v>
      </c>
      <c r="QP232" t="s">
        <v>513</v>
      </c>
      <c r="QQ232">
        <v>0</v>
      </c>
      <c r="QR232" t="s">
        <v>596</v>
      </c>
      <c r="QS232">
        <v>40</v>
      </c>
      <c r="QT232">
        <v>50</v>
      </c>
    </row>
    <row r="233" spans="1:462">
      <c r="A233" t="s">
        <v>2995</v>
      </c>
      <c r="B233" t="s">
        <v>711</v>
      </c>
      <c r="C233" t="s">
        <v>509</v>
      </c>
      <c r="D233" t="s">
        <v>2994</v>
      </c>
      <c r="E233" t="s">
        <v>4036</v>
      </c>
      <c r="H233" t="s">
        <v>1135</v>
      </c>
      <c r="J233" t="s">
        <v>562</v>
      </c>
      <c r="K233" t="s">
        <v>563</v>
      </c>
      <c r="L233" t="s">
        <v>804</v>
      </c>
      <c r="M233" t="s">
        <v>512</v>
      </c>
      <c r="O233" t="s">
        <v>513</v>
      </c>
      <c r="P233" t="s">
        <v>517</v>
      </c>
      <c r="Q233" t="s">
        <v>1028</v>
      </c>
      <c r="R233" t="s">
        <v>1029</v>
      </c>
      <c r="S233" t="s">
        <v>4134</v>
      </c>
      <c r="T233" t="s">
        <v>662</v>
      </c>
      <c r="U233" t="s">
        <v>663</v>
      </c>
      <c r="V233" t="s">
        <v>2607</v>
      </c>
      <c r="W233" t="s">
        <v>2657</v>
      </c>
      <c r="X233" t="s">
        <v>2996</v>
      </c>
      <c r="Y233" t="s">
        <v>2997</v>
      </c>
      <c r="Z233" t="s">
        <v>650</v>
      </c>
      <c r="AA233" t="s">
        <v>582</v>
      </c>
      <c r="AB233" t="s">
        <v>4868</v>
      </c>
      <c r="AC233">
        <v>9</v>
      </c>
      <c r="AD233" t="s">
        <v>2993</v>
      </c>
      <c r="AE233">
        <v>3</v>
      </c>
      <c r="AF233">
        <v>4053</v>
      </c>
      <c r="AG233" t="s">
        <v>4299</v>
      </c>
      <c r="AH233">
        <v>1</v>
      </c>
      <c r="AI233" t="s">
        <v>4041</v>
      </c>
      <c r="AK233" t="s">
        <v>4300</v>
      </c>
      <c r="AL233">
        <v>1</v>
      </c>
      <c r="AM233" t="s">
        <v>582</v>
      </c>
      <c r="AO233" t="s">
        <v>4043</v>
      </c>
      <c r="AP233">
        <v>1</v>
      </c>
      <c r="AR233" t="s">
        <v>4869</v>
      </c>
      <c r="AS233">
        <v>1</v>
      </c>
      <c r="AT233">
        <v>52</v>
      </c>
      <c r="AV233" t="s">
        <v>4045</v>
      </c>
      <c r="AW233">
        <v>6.4</v>
      </c>
      <c r="AX233">
        <v>-6</v>
      </c>
      <c r="AY233">
        <v>105</v>
      </c>
      <c r="AZ233">
        <v>87</v>
      </c>
      <c r="BA233">
        <v>0</v>
      </c>
      <c r="BB233">
        <v>0</v>
      </c>
      <c r="BC233">
        <v>0</v>
      </c>
      <c r="BH233">
        <v>105</v>
      </c>
      <c r="BI233">
        <v>18</v>
      </c>
      <c r="BJ233">
        <v>87</v>
      </c>
      <c r="BK233">
        <v>2.5</v>
      </c>
      <c r="BL233">
        <v>210</v>
      </c>
      <c r="BM233">
        <v>-6</v>
      </c>
      <c r="BN233">
        <v>0</v>
      </c>
      <c r="BO233">
        <v>0</v>
      </c>
      <c r="BP233">
        <v>0</v>
      </c>
      <c r="BR233">
        <v>205</v>
      </c>
      <c r="BS233">
        <v>195</v>
      </c>
      <c r="BT233">
        <v>1945</v>
      </c>
      <c r="BU233" t="s">
        <v>4047</v>
      </c>
      <c r="BV233" t="s">
        <v>4096</v>
      </c>
      <c r="BW233" t="s">
        <v>4049</v>
      </c>
      <c r="BX233" t="s">
        <v>4097</v>
      </c>
      <c r="BY233" t="s">
        <v>4192</v>
      </c>
      <c r="BZ233" t="s">
        <v>4116</v>
      </c>
      <c r="CA233" t="s">
        <v>4118</v>
      </c>
      <c r="CB233" t="s">
        <v>4119</v>
      </c>
      <c r="CC233" t="s">
        <v>4053</v>
      </c>
      <c r="CD233" t="s">
        <v>4121</v>
      </c>
      <c r="CE233" t="s">
        <v>4055</v>
      </c>
      <c r="CF233" t="s">
        <v>4055</v>
      </c>
      <c r="CG233" t="s">
        <v>4056</v>
      </c>
      <c r="CH233" t="s">
        <v>4099</v>
      </c>
      <c r="CI233" t="s">
        <v>4058</v>
      </c>
      <c r="CJ233" t="s">
        <v>4059</v>
      </c>
      <c r="CK233" t="s">
        <v>4060</v>
      </c>
      <c r="CL233" t="s">
        <v>4061</v>
      </c>
      <c r="CM233" t="s">
        <v>4062</v>
      </c>
      <c r="CN233" t="s">
        <v>4055</v>
      </c>
      <c r="CO233" t="s">
        <v>4063</v>
      </c>
      <c r="CP233" t="s">
        <v>4055</v>
      </c>
      <c r="CQ233" t="s">
        <v>4055</v>
      </c>
      <c r="CR233">
        <v>5</v>
      </c>
      <c r="CS233" t="s">
        <v>4055</v>
      </c>
      <c r="CT233" t="s">
        <v>4055</v>
      </c>
      <c r="CU233" t="s">
        <v>4055</v>
      </c>
      <c r="CV233">
        <v>130</v>
      </c>
      <c r="CW233">
        <v>3</v>
      </c>
      <c r="CX233">
        <v>108</v>
      </c>
      <c r="CY233">
        <v>5</v>
      </c>
      <c r="CZ233">
        <v>139</v>
      </c>
      <c r="DA233">
        <v>5</v>
      </c>
      <c r="DB233">
        <v>11020</v>
      </c>
      <c r="DC233">
        <v>330</v>
      </c>
      <c r="DD233">
        <v>316</v>
      </c>
      <c r="DE233">
        <v>2068</v>
      </c>
      <c r="DF233">
        <v>2068</v>
      </c>
      <c r="DG233">
        <v>2079</v>
      </c>
      <c r="DH233" t="s">
        <v>4055</v>
      </c>
      <c r="DI233" t="s">
        <v>4055</v>
      </c>
      <c r="DJ233" t="s">
        <v>4132</v>
      </c>
      <c r="DK233">
        <v>205</v>
      </c>
      <c r="DL233" t="s">
        <v>4065</v>
      </c>
      <c r="DM233">
        <v>63</v>
      </c>
      <c r="DN233">
        <v>1.1</v>
      </c>
      <c r="DO233">
        <v>1</v>
      </c>
      <c r="DP233">
        <v>1948</v>
      </c>
      <c r="DQ233">
        <v>863</v>
      </c>
      <c r="DR233" t="s">
        <v>4132</v>
      </c>
      <c r="DS233">
        <v>195</v>
      </c>
      <c r="DT233" t="s">
        <v>4065</v>
      </c>
      <c r="DU233">
        <v>63</v>
      </c>
      <c r="DV233">
        <v>1.1</v>
      </c>
      <c r="DW233">
        <v>1</v>
      </c>
      <c r="DX233">
        <v>1960</v>
      </c>
      <c r="DY233">
        <v>827</v>
      </c>
      <c r="DZ233" t="s">
        <v>4066</v>
      </c>
      <c r="EA233">
        <v>20</v>
      </c>
      <c r="EB233" t="s">
        <v>4065</v>
      </c>
      <c r="EC233">
        <v>0.8</v>
      </c>
      <c r="ED233">
        <v>1948</v>
      </c>
      <c r="EE233">
        <v>68</v>
      </c>
      <c r="EG233">
        <v>0</v>
      </c>
      <c r="EH233" t="s">
        <v>4065</v>
      </c>
      <c r="EI233">
        <v>0</v>
      </c>
      <c r="EL233" t="s">
        <v>1528</v>
      </c>
      <c r="EM233">
        <v>12</v>
      </c>
      <c r="EN233">
        <v>0.5</v>
      </c>
      <c r="EO233">
        <v>0.96</v>
      </c>
      <c r="EP233">
        <v>1958.83</v>
      </c>
      <c r="EQ233">
        <v>33973.46</v>
      </c>
      <c r="ER233">
        <v>5526.17</v>
      </c>
      <c r="ES233">
        <v>0</v>
      </c>
      <c r="ET233">
        <v>0</v>
      </c>
      <c r="EU233">
        <v>1</v>
      </c>
      <c r="EV233">
        <v>39500</v>
      </c>
      <c r="EW233">
        <v>474</v>
      </c>
      <c r="EX233" t="s">
        <v>4755</v>
      </c>
      <c r="EY233">
        <v>224</v>
      </c>
      <c r="EZ233" t="s">
        <v>4055</v>
      </c>
      <c r="FA233">
        <v>4.3</v>
      </c>
      <c r="FB233">
        <v>1</v>
      </c>
      <c r="FC233">
        <v>1</v>
      </c>
      <c r="FD233">
        <v>1992</v>
      </c>
      <c r="FE233">
        <v>2240</v>
      </c>
      <c r="FF233" t="s">
        <v>4756</v>
      </c>
      <c r="FG233">
        <v>224</v>
      </c>
      <c r="FH233" t="s">
        <v>4055</v>
      </c>
      <c r="FI233">
        <v>3.8</v>
      </c>
      <c r="FJ233">
        <v>1992</v>
      </c>
      <c r="FK233">
        <v>2079</v>
      </c>
      <c r="FL233" t="s">
        <v>4069</v>
      </c>
      <c r="FM233" t="s">
        <v>4055</v>
      </c>
      <c r="FN233" t="s">
        <v>4055</v>
      </c>
      <c r="FO233" t="s">
        <v>4055</v>
      </c>
      <c r="FP233">
        <v>1992</v>
      </c>
      <c r="FQ233">
        <v>189</v>
      </c>
      <c r="FR233" t="s">
        <v>4090</v>
      </c>
      <c r="FS233">
        <v>228</v>
      </c>
      <c r="FT233" t="s">
        <v>4055</v>
      </c>
      <c r="FU233">
        <v>0.4</v>
      </c>
      <c r="FV233">
        <v>1992</v>
      </c>
      <c r="FW233">
        <v>202</v>
      </c>
      <c r="FX233" t="s">
        <v>4070</v>
      </c>
      <c r="FY233">
        <v>5</v>
      </c>
      <c r="FZ233" t="s">
        <v>4055</v>
      </c>
      <c r="GA233" t="s">
        <v>4055</v>
      </c>
      <c r="GB233">
        <v>1992</v>
      </c>
      <c r="GC233">
        <v>20</v>
      </c>
      <c r="GD233">
        <v>4730</v>
      </c>
      <c r="GE233" t="s">
        <v>4869</v>
      </c>
      <c r="GF233" t="s">
        <v>4055</v>
      </c>
      <c r="GG233" t="s">
        <v>4055</v>
      </c>
      <c r="GH233" t="s">
        <v>4055</v>
      </c>
      <c r="GI233" t="s">
        <v>4071</v>
      </c>
      <c r="GJ233" t="s">
        <v>4055</v>
      </c>
      <c r="GK233" t="s">
        <v>4055</v>
      </c>
      <c r="GL233" t="s">
        <v>4055</v>
      </c>
      <c r="GM233" t="s">
        <v>4055</v>
      </c>
      <c r="GQ233">
        <v>0</v>
      </c>
      <c r="GV233">
        <v>8.5</v>
      </c>
      <c r="GW233">
        <v>11.5</v>
      </c>
      <c r="GX233">
        <v>0.5</v>
      </c>
      <c r="GY233">
        <v>196</v>
      </c>
      <c r="GZ233">
        <v>3</v>
      </c>
      <c r="HA233">
        <v>244</v>
      </c>
      <c r="HB233">
        <v>3</v>
      </c>
      <c r="HC233">
        <v>1992</v>
      </c>
      <c r="HD233">
        <v>4</v>
      </c>
      <c r="HE233" t="s">
        <v>4071</v>
      </c>
      <c r="HG233" t="s">
        <v>549</v>
      </c>
      <c r="HL233">
        <v>4</v>
      </c>
      <c r="HM233">
        <v>18</v>
      </c>
      <c r="HN233">
        <v>1</v>
      </c>
      <c r="HO233">
        <v>1</v>
      </c>
      <c r="HP233">
        <v>0</v>
      </c>
      <c r="HQ233">
        <v>0</v>
      </c>
      <c r="HR233">
        <v>1</v>
      </c>
      <c r="HS233">
        <v>1945</v>
      </c>
      <c r="HT233">
        <v>5</v>
      </c>
      <c r="HU233">
        <v>1</v>
      </c>
      <c r="HV233">
        <v>5</v>
      </c>
      <c r="HW233">
        <v>0</v>
      </c>
      <c r="HX233">
        <v>1</v>
      </c>
      <c r="HY233">
        <v>0</v>
      </c>
      <c r="HZ233">
        <v>63</v>
      </c>
      <c r="IA233">
        <v>1948</v>
      </c>
      <c r="IB233">
        <v>1960</v>
      </c>
      <c r="ID233">
        <v>1992</v>
      </c>
      <c r="IE233">
        <v>1992</v>
      </c>
      <c r="IF233">
        <v>205</v>
      </c>
      <c r="IG233">
        <v>195</v>
      </c>
      <c r="IH233">
        <v>244</v>
      </c>
      <c r="II233">
        <v>1</v>
      </c>
      <c r="IJ233">
        <v>5</v>
      </c>
      <c r="IK233">
        <v>0</v>
      </c>
      <c r="IL233">
        <v>0</v>
      </c>
      <c r="IM233">
        <v>0</v>
      </c>
      <c r="IN233">
        <v>270</v>
      </c>
      <c r="IO233">
        <v>0</v>
      </c>
      <c r="IP233">
        <v>180</v>
      </c>
      <c r="IQ233">
        <v>0</v>
      </c>
      <c r="IR233">
        <v>330</v>
      </c>
      <c r="IS233">
        <v>0</v>
      </c>
      <c r="IT233">
        <v>90</v>
      </c>
      <c r="IU233">
        <v>0</v>
      </c>
      <c r="IV233">
        <v>6.4</v>
      </c>
      <c r="IW233">
        <v>-6</v>
      </c>
      <c r="IX233">
        <v>105</v>
      </c>
      <c r="IY233">
        <v>87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346</v>
      </c>
      <c r="JJ233">
        <v>316</v>
      </c>
      <c r="JK233">
        <v>247</v>
      </c>
      <c r="JL233">
        <v>336</v>
      </c>
      <c r="JM233">
        <v>247</v>
      </c>
      <c r="JN233">
        <v>200</v>
      </c>
      <c r="JO233">
        <v>254</v>
      </c>
      <c r="JP233">
        <v>215</v>
      </c>
      <c r="JQ233">
        <v>250</v>
      </c>
      <c r="JR233">
        <v>312</v>
      </c>
      <c r="JS233">
        <v>280</v>
      </c>
      <c r="JT233">
        <v>0</v>
      </c>
      <c r="JU233">
        <v>0</v>
      </c>
      <c r="JV233">
        <v>300</v>
      </c>
      <c r="JW233">
        <v>260</v>
      </c>
      <c r="JX233">
        <v>0</v>
      </c>
      <c r="JY233">
        <v>0</v>
      </c>
      <c r="JZ233">
        <v>0</v>
      </c>
      <c r="KA233">
        <v>0.2</v>
      </c>
      <c r="KB233">
        <v>0.4</v>
      </c>
      <c r="KC233">
        <v>0.42</v>
      </c>
      <c r="KD233">
        <v>0.28</v>
      </c>
      <c r="KE233">
        <v>0.5</v>
      </c>
      <c r="KF233">
        <v>0.2</v>
      </c>
      <c r="KG233">
        <v>0.1</v>
      </c>
      <c r="KH233">
        <v>3.5</v>
      </c>
      <c r="KI233">
        <v>1</v>
      </c>
      <c r="KJ233">
        <v>4.5</v>
      </c>
      <c r="KK233">
        <v>0</v>
      </c>
      <c r="KL233">
        <v>4.5</v>
      </c>
      <c r="KM233">
        <v>0.5</v>
      </c>
      <c r="KN233">
        <v>1.5</v>
      </c>
      <c r="KO233">
        <v>0</v>
      </c>
      <c r="KP233">
        <v>0</v>
      </c>
      <c r="KQ233">
        <v>0.7</v>
      </c>
      <c r="KR233">
        <v>1.2</v>
      </c>
      <c r="KS233">
        <v>0.2</v>
      </c>
      <c r="KT233">
        <v>3</v>
      </c>
      <c r="KU233">
        <v>0</v>
      </c>
      <c r="KV233">
        <v>0</v>
      </c>
      <c r="KW233">
        <v>1</v>
      </c>
      <c r="KX233">
        <v>2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3</v>
      </c>
      <c r="LI233">
        <v>0</v>
      </c>
      <c r="LJ233">
        <v>0</v>
      </c>
      <c r="LK233">
        <v>4.5</v>
      </c>
      <c r="LL233">
        <v>4.5</v>
      </c>
      <c r="LM233">
        <v>7</v>
      </c>
      <c r="LN233">
        <v>0.4</v>
      </c>
      <c r="LO233">
        <v>3.5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1.2</v>
      </c>
      <c r="LX233">
        <v>1.2</v>
      </c>
      <c r="LY233">
        <v>2</v>
      </c>
      <c r="LZ233">
        <v>2</v>
      </c>
      <c r="MA233">
        <v>0</v>
      </c>
      <c r="MB233">
        <v>2.5</v>
      </c>
      <c r="MC233">
        <v>0</v>
      </c>
      <c r="MD233">
        <v>4.5</v>
      </c>
      <c r="ME233">
        <v>6</v>
      </c>
      <c r="MF233">
        <v>6</v>
      </c>
      <c r="MI233">
        <v>0</v>
      </c>
      <c r="MJ233">
        <v>0</v>
      </c>
      <c r="ML233">
        <v>0</v>
      </c>
      <c r="MM233">
        <v>390</v>
      </c>
      <c r="MN233">
        <v>200</v>
      </c>
      <c r="MO233">
        <v>254</v>
      </c>
      <c r="NU233">
        <v>0.15</v>
      </c>
      <c r="NV233">
        <v>0.2</v>
      </c>
      <c r="NW233">
        <v>0.2</v>
      </c>
      <c r="NX233">
        <v>0.2</v>
      </c>
      <c r="NY233">
        <v>0.2</v>
      </c>
      <c r="NZ233">
        <v>0.2</v>
      </c>
      <c r="OE233" t="s">
        <v>4869</v>
      </c>
      <c r="OF233" t="s">
        <v>4299</v>
      </c>
      <c r="OG233" t="s">
        <v>4300</v>
      </c>
      <c r="OH233" t="s">
        <v>4043</v>
      </c>
      <c r="OI233" t="s">
        <v>4869</v>
      </c>
      <c r="OJ233" t="s">
        <v>4868</v>
      </c>
      <c r="OK233">
        <v>61</v>
      </c>
      <c r="OL233">
        <v>61</v>
      </c>
      <c r="OM233" t="s">
        <v>4299</v>
      </c>
      <c r="ON233">
        <v>1</v>
      </c>
      <c r="OO233">
        <v>1948</v>
      </c>
      <c r="OP233">
        <v>61</v>
      </c>
      <c r="OQ233">
        <v>61</v>
      </c>
      <c r="OR233" t="s">
        <v>4300</v>
      </c>
      <c r="OS233">
        <v>1</v>
      </c>
      <c r="OT233">
        <v>1960</v>
      </c>
      <c r="OU233">
        <v>65</v>
      </c>
      <c r="OV233">
        <v>65</v>
      </c>
      <c r="OW233" t="s">
        <v>4043</v>
      </c>
      <c r="OX233">
        <v>2</v>
      </c>
      <c r="OY233">
        <v>39500</v>
      </c>
      <c r="OZ233">
        <v>51</v>
      </c>
      <c r="PA233">
        <v>52</v>
      </c>
      <c r="PB233" t="s">
        <v>4869</v>
      </c>
      <c r="PC233">
        <v>1</v>
      </c>
      <c r="PD233">
        <v>1992</v>
      </c>
      <c r="PF233">
        <v>443</v>
      </c>
      <c r="PG233">
        <v>35</v>
      </c>
      <c r="PH233">
        <v>422</v>
      </c>
      <c r="PI233">
        <v>0</v>
      </c>
      <c r="PJ233">
        <v>95</v>
      </c>
      <c r="PK233">
        <v>2222</v>
      </c>
      <c r="PL233">
        <v>1124.6</v>
      </c>
      <c r="PM233">
        <v>1043.5</v>
      </c>
      <c r="PN233">
        <v>101.4</v>
      </c>
      <c r="PO233">
        <v>9.9</v>
      </c>
      <c r="PP233">
        <v>12</v>
      </c>
      <c r="PQ233">
        <v>1</v>
      </c>
      <c r="PR233">
        <v>3</v>
      </c>
      <c r="PS233">
        <v>8</v>
      </c>
      <c r="PT233">
        <v>244</v>
      </c>
      <c r="PU233">
        <v>10</v>
      </c>
      <c r="PV233" t="s">
        <v>4072</v>
      </c>
      <c r="PW233" t="s">
        <v>4072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-1</v>
      </c>
      <c r="QF233">
        <v>1</v>
      </c>
      <c r="QG233">
        <v>0</v>
      </c>
      <c r="QH233">
        <v>5</v>
      </c>
      <c r="QI233">
        <v>5</v>
      </c>
      <c r="QJ233">
        <v>5</v>
      </c>
      <c r="QK233">
        <v>167</v>
      </c>
      <c r="QL233">
        <v>380</v>
      </c>
      <c r="QM233">
        <v>7.5</v>
      </c>
      <c r="QN233">
        <v>1461.1</v>
      </c>
      <c r="QO233" t="s">
        <v>2662</v>
      </c>
      <c r="QP233" t="s">
        <v>513</v>
      </c>
      <c r="QQ233">
        <v>0</v>
      </c>
      <c r="QR233" t="s">
        <v>649</v>
      </c>
      <c r="QS233">
        <v>30</v>
      </c>
      <c r="QT233">
        <v>40</v>
      </c>
    </row>
    <row r="234" spans="1:462">
      <c r="A234" t="s">
        <v>3002</v>
      </c>
      <c r="B234" t="s">
        <v>804</v>
      </c>
      <c r="C234" t="s">
        <v>509</v>
      </c>
      <c r="D234" t="s">
        <v>1057</v>
      </c>
      <c r="E234" t="s">
        <v>4036</v>
      </c>
      <c r="H234" t="s">
        <v>511</v>
      </c>
      <c r="J234" t="s">
        <v>562</v>
      </c>
      <c r="L234" t="s">
        <v>508</v>
      </c>
      <c r="M234" t="s">
        <v>512</v>
      </c>
      <c r="N234" t="s">
        <v>515</v>
      </c>
      <c r="O234" t="s">
        <v>513</v>
      </c>
      <c r="P234" t="s">
        <v>517</v>
      </c>
      <c r="Q234" t="s">
        <v>1002</v>
      </c>
      <c r="R234" t="s">
        <v>1003</v>
      </c>
      <c r="S234" t="s">
        <v>4037</v>
      </c>
      <c r="T234" t="s">
        <v>686</v>
      </c>
      <c r="U234" t="s">
        <v>687</v>
      </c>
      <c r="V234" t="s">
        <v>2691</v>
      </c>
      <c r="W234" t="s">
        <v>2657</v>
      </c>
      <c r="X234" t="s">
        <v>3003</v>
      </c>
      <c r="Y234" t="s">
        <v>3004</v>
      </c>
      <c r="Z234" t="s">
        <v>541</v>
      </c>
      <c r="AA234" t="s">
        <v>4038</v>
      </c>
      <c r="AB234" t="s">
        <v>4870</v>
      </c>
      <c r="AC234">
        <v>9</v>
      </c>
      <c r="AD234" t="s">
        <v>3001</v>
      </c>
      <c r="AE234">
        <v>2</v>
      </c>
      <c r="AF234">
        <v>6061</v>
      </c>
      <c r="AG234" t="s">
        <v>4871</v>
      </c>
      <c r="AH234">
        <v>1</v>
      </c>
      <c r="AI234" t="s">
        <v>4041</v>
      </c>
      <c r="AK234" t="s">
        <v>4872</v>
      </c>
      <c r="AL234">
        <v>1</v>
      </c>
      <c r="AM234" t="s">
        <v>582</v>
      </c>
      <c r="AO234" t="s">
        <v>4043</v>
      </c>
      <c r="AP234">
        <v>1</v>
      </c>
      <c r="AR234" t="s">
        <v>4873</v>
      </c>
      <c r="AS234">
        <v>1</v>
      </c>
      <c r="AT234">
        <v>52</v>
      </c>
      <c r="AV234" t="s">
        <v>4078</v>
      </c>
      <c r="AW234">
        <v>6.4</v>
      </c>
      <c r="AX234">
        <v>-6</v>
      </c>
      <c r="AY234">
        <v>107.5</v>
      </c>
      <c r="AZ234">
        <v>78</v>
      </c>
      <c r="BH234">
        <v>107.5</v>
      </c>
      <c r="BI234">
        <v>29.5</v>
      </c>
      <c r="BJ234">
        <v>78</v>
      </c>
      <c r="BK234">
        <v>2.5</v>
      </c>
      <c r="BL234">
        <v>215</v>
      </c>
      <c r="BM234">
        <v>-6</v>
      </c>
      <c r="BN234">
        <v>0</v>
      </c>
      <c r="BO234">
        <v>0</v>
      </c>
      <c r="BP234">
        <v>0</v>
      </c>
      <c r="BR234">
        <v>210</v>
      </c>
      <c r="BS234">
        <v>200</v>
      </c>
      <c r="BT234">
        <v>2200</v>
      </c>
      <c r="BU234" t="s">
        <v>4127</v>
      </c>
      <c r="BV234" t="s">
        <v>4079</v>
      </c>
      <c r="BW234" t="s">
        <v>4128</v>
      </c>
      <c r="BX234" t="s">
        <v>4081</v>
      </c>
      <c r="BY234" t="s">
        <v>4221</v>
      </c>
      <c r="BZ234" t="s">
        <v>4129</v>
      </c>
      <c r="CA234" t="s">
        <v>4130</v>
      </c>
      <c r="CB234" t="s">
        <v>4131</v>
      </c>
      <c r="CC234" t="s">
        <v>4053</v>
      </c>
      <c r="CD234" t="s">
        <v>4055</v>
      </c>
      <c r="CE234" t="s">
        <v>4055</v>
      </c>
      <c r="CF234" t="s">
        <v>4055</v>
      </c>
      <c r="CG234" t="s">
        <v>4056</v>
      </c>
      <c r="CI234" t="s">
        <v>4086</v>
      </c>
      <c r="CJ234" t="s">
        <v>4059</v>
      </c>
      <c r="CK234" t="s">
        <v>4060</v>
      </c>
      <c r="CL234" t="s">
        <v>4061</v>
      </c>
      <c r="CM234" t="s">
        <v>4055</v>
      </c>
      <c r="CN234" t="s">
        <v>4062</v>
      </c>
      <c r="CO234" t="s">
        <v>4063</v>
      </c>
      <c r="CP234" t="s">
        <v>4055</v>
      </c>
      <c r="CQ234" t="s">
        <v>4055</v>
      </c>
      <c r="CR234">
        <v>5</v>
      </c>
      <c r="CS234" t="s">
        <v>4055</v>
      </c>
      <c r="CT234" t="s">
        <v>4055</v>
      </c>
      <c r="CU234" t="s">
        <v>4055</v>
      </c>
      <c r="CV234">
        <v>135</v>
      </c>
      <c r="CW234">
        <v>3</v>
      </c>
      <c r="CX234">
        <v>89</v>
      </c>
      <c r="CY234">
        <v>5</v>
      </c>
      <c r="CZ234">
        <v>162</v>
      </c>
      <c r="DA234">
        <v>5</v>
      </c>
      <c r="DB234">
        <v>14710</v>
      </c>
      <c r="DC234">
        <v>440</v>
      </c>
      <c r="DD234">
        <v>362</v>
      </c>
      <c r="DE234">
        <v>2332</v>
      </c>
      <c r="DF234">
        <v>2332</v>
      </c>
      <c r="DG234">
        <v>2343</v>
      </c>
      <c r="DH234">
        <v>1</v>
      </c>
      <c r="DI234" t="s">
        <v>4055</v>
      </c>
      <c r="DJ234" t="s">
        <v>4217</v>
      </c>
      <c r="DK234">
        <v>210</v>
      </c>
      <c r="DL234" t="s">
        <v>4065</v>
      </c>
      <c r="DM234">
        <v>63</v>
      </c>
      <c r="DN234">
        <v>1.26</v>
      </c>
      <c r="DO234">
        <v>1</v>
      </c>
      <c r="DP234">
        <v>2204</v>
      </c>
      <c r="DQ234">
        <v>1117</v>
      </c>
      <c r="DR234" t="s">
        <v>4217</v>
      </c>
      <c r="DS234">
        <v>200</v>
      </c>
      <c r="DT234" t="s">
        <v>4065</v>
      </c>
      <c r="DU234">
        <v>63</v>
      </c>
      <c r="DV234">
        <v>1.26</v>
      </c>
      <c r="DW234">
        <v>1</v>
      </c>
      <c r="DX234">
        <v>2217</v>
      </c>
      <c r="DY234">
        <v>1071</v>
      </c>
      <c r="DZ234" t="s">
        <v>4066</v>
      </c>
      <c r="EA234">
        <v>20</v>
      </c>
      <c r="EB234" t="s">
        <v>4065</v>
      </c>
      <c r="EC234">
        <v>0.8</v>
      </c>
      <c r="ED234">
        <v>2204</v>
      </c>
      <c r="EE234">
        <v>77</v>
      </c>
      <c r="EG234">
        <v>0</v>
      </c>
      <c r="EH234" t="s">
        <v>4065</v>
      </c>
      <c r="EI234">
        <v>0</v>
      </c>
      <c r="EL234" t="s">
        <v>1528</v>
      </c>
      <c r="EM234">
        <v>12</v>
      </c>
      <c r="EN234">
        <v>0.5</v>
      </c>
      <c r="EO234">
        <v>0.96</v>
      </c>
      <c r="EP234">
        <v>2215.84</v>
      </c>
      <c r="EQ234">
        <v>39296.54</v>
      </c>
      <c r="ER234">
        <v>10241.44</v>
      </c>
      <c r="ES234">
        <v>0</v>
      </c>
      <c r="ET234">
        <v>0</v>
      </c>
      <c r="EU234">
        <v>1</v>
      </c>
      <c r="EV234">
        <v>49538</v>
      </c>
      <c r="EW234">
        <v>595</v>
      </c>
      <c r="EX234" t="s">
        <v>4755</v>
      </c>
      <c r="EY234">
        <v>238</v>
      </c>
      <c r="EZ234" t="s">
        <v>4055</v>
      </c>
      <c r="FA234">
        <v>4.6</v>
      </c>
      <c r="FB234">
        <v>1</v>
      </c>
      <c r="FC234">
        <v>1</v>
      </c>
      <c r="FD234">
        <v>2250</v>
      </c>
      <c r="FE234">
        <v>2779</v>
      </c>
      <c r="FF234" t="s">
        <v>4756</v>
      </c>
      <c r="FG234">
        <v>238</v>
      </c>
      <c r="FH234" t="s">
        <v>4055</v>
      </c>
      <c r="FI234">
        <v>3.8</v>
      </c>
      <c r="FJ234">
        <v>2250</v>
      </c>
      <c r="FK234">
        <v>2548</v>
      </c>
      <c r="FL234" t="s">
        <v>4069</v>
      </c>
      <c r="FM234" t="s">
        <v>4055</v>
      </c>
      <c r="FN234" t="s">
        <v>4055</v>
      </c>
      <c r="FO234" t="s">
        <v>4055</v>
      </c>
      <c r="FP234">
        <v>2250</v>
      </c>
      <c r="FQ234">
        <v>191</v>
      </c>
      <c r="FR234" t="s">
        <v>4090</v>
      </c>
      <c r="FS234">
        <v>242</v>
      </c>
      <c r="FT234" t="s">
        <v>4055</v>
      </c>
      <c r="FU234">
        <v>0.4</v>
      </c>
      <c r="FV234">
        <v>2250</v>
      </c>
      <c r="FW234">
        <v>242</v>
      </c>
      <c r="FX234" t="s">
        <v>4070</v>
      </c>
      <c r="FY234">
        <v>5</v>
      </c>
      <c r="FZ234" t="s">
        <v>4055</v>
      </c>
      <c r="GA234" t="s">
        <v>4055</v>
      </c>
      <c r="GB234">
        <v>2250</v>
      </c>
      <c r="GC234">
        <v>23</v>
      </c>
      <c r="GD234">
        <v>5783</v>
      </c>
      <c r="GE234" t="s">
        <v>4873</v>
      </c>
      <c r="GF234" t="s">
        <v>4055</v>
      </c>
      <c r="GG234" t="s">
        <v>4055</v>
      </c>
      <c r="GH234" t="s">
        <v>4055</v>
      </c>
      <c r="GI234" t="s">
        <v>4071</v>
      </c>
      <c r="GJ234" t="s">
        <v>4055</v>
      </c>
      <c r="GK234" t="s">
        <v>4055</v>
      </c>
      <c r="GL234" t="s">
        <v>4055</v>
      </c>
      <c r="GM234" t="s">
        <v>4055</v>
      </c>
      <c r="GQ234">
        <v>0</v>
      </c>
      <c r="GV234">
        <v>8.800000000000001</v>
      </c>
      <c r="GW234">
        <v>11</v>
      </c>
      <c r="GX234">
        <v>0.5</v>
      </c>
      <c r="GY234">
        <v>212</v>
      </c>
      <c r="GZ234">
        <v>3</v>
      </c>
      <c r="HA234">
        <v>258</v>
      </c>
      <c r="HB234">
        <v>3</v>
      </c>
      <c r="HC234">
        <v>2250</v>
      </c>
      <c r="HD234">
        <v>4</v>
      </c>
      <c r="HE234" t="s">
        <v>4071</v>
      </c>
      <c r="HG234" t="s">
        <v>549</v>
      </c>
      <c r="HL234">
        <v>4</v>
      </c>
      <c r="HM234">
        <v>19</v>
      </c>
      <c r="HN234">
        <v>6</v>
      </c>
      <c r="HO234">
        <v>1</v>
      </c>
      <c r="HP234">
        <v>0</v>
      </c>
      <c r="HQ234">
        <v>0</v>
      </c>
      <c r="HR234">
        <v>3</v>
      </c>
      <c r="HS234">
        <v>2200</v>
      </c>
      <c r="HT234">
        <v>5</v>
      </c>
      <c r="HU234">
        <v>1</v>
      </c>
      <c r="HV234">
        <v>5</v>
      </c>
      <c r="HW234">
        <v>0</v>
      </c>
      <c r="HX234">
        <v>1</v>
      </c>
      <c r="HY234">
        <v>0</v>
      </c>
      <c r="HZ234">
        <v>63</v>
      </c>
      <c r="IA234">
        <v>2204</v>
      </c>
      <c r="IB234">
        <v>2217</v>
      </c>
      <c r="ID234">
        <v>2250</v>
      </c>
      <c r="IE234">
        <v>2250</v>
      </c>
      <c r="IF234">
        <v>210</v>
      </c>
      <c r="IG234">
        <v>200</v>
      </c>
      <c r="IH234">
        <v>258</v>
      </c>
      <c r="II234">
        <v>1</v>
      </c>
      <c r="IJ234">
        <v>5</v>
      </c>
      <c r="IK234">
        <v>0</v>
      </c>
      <c r="IL234">
        <v>0</v>
      </c>
      <c r="IM234">
        <v>0</v>
      </c>
      <c r="IN234">
        <v>270</v>
      </c>
      <c r="IO234">
        <v>0</v>
      </c>
      <c r="IP234">
        <v>180</v>
      </c>
      <c r="IQ234">
        <v>0</v>
      </c>
      <c r="IR234">
        <v>330</v>
      </c>
      <c r="IS234">
        <v>0</v>
      </c>
      <c r="IT234">
        <v>90</v>
      </c>
      <c r="IU234">
        <v>0</v>
      </c>
      <c r="IV234">
        <v>6.4</v>
      </c>
      <c r="IW234">
        <v>-6</v>
      </c>
      <c r="IX234">
        <v>107.5</v>
      </c>
      <c r="IY234">
        <v>78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428</v>
      </c>
      <c r="JJ234">
        <v>398</v>
      </c>
      <c r="JK234">
        <v>290</v>
      </c>
      <c r="JL234">
        <v>398</v>
      </c>
      <c r="JM234">
        <v>290</v>
      </c>
      <c r="JN234">
        <v>210</v>
      </c>
      <c r="JO234">
        <v>268</v>
      </c>
      <c r="JP234">
        <v>180</v>
      </c>
      <c r="JQ234">
        <v>225</v>
      </c>
      <c r="JR234">
        <v>320</v>
      </c>
      <c r="JS234">
        <v>240</v>
      </c>
      <c r="JT234">
        <v>0</v>
      </c>
      <c r="JU234">
        <v>0</v>
      </c>
      <c r="JV234">
        <v>315</v>
      </c>
      <c r="JW234">
        <v>310</v>
      </c>
      <c r="JX234">
        <v>290</v>
      </c>
      <c r="JY234">
        <v>280</v>
      </c>
      <c r="JZ234">
        <v>0.5</v>
      </c>
      <c r="KA234">
        <v>0.2</v>
      </c>
      <c r="KB234">
        <v>0.4</v>
      </c>
      <c r="KC234">
        <v>0.42</v>
      </c>
      <c r="KD234">
        <v>0.3</v>
      </c>
      <c r="KE234">
        <v>0.5</v>
      </c>
      <c r="KF234">
        <v>0.2</v>
      </c>
      <c r="KG234">
        <v>0.11</v>
      </c>
      <c r="KH234">
        <v>4.5</v>
      </c>
      <c r="KI234">
        <v>1</v>
      </c>
      <c r="KJ234">
        <v>4.5</v>
      </c>
      <c r="KK234">
        <v>0</v>
      </c>
      <c r="KL234">
        <v>4.5</v>
      </c>
      <c r="KM234">
        <v>0</v>
      </c>
      <c r="KN234">
        <v>1.9</v>
      </c>
      <c r="KO234">
        <v>0</v>
      </c>
      <c r="KP234">
        <v>0</v>
      </c>
      <c r="KQ234">
        <v>0.7</v>
      </c>
      <c r="KR234">
        <v>0.7</v>
      </c>
      <c r="KS234">
        <v>0</v>
      </c>
      <c r="KT234">
        <v>2.8</v>
      </c>
      <c r="KU234">
        <v>0</v>
      </c>
      <c r="KV234">
        <v>0</v>
      </c>
      <c r="KW234">
        <v>1</v>
      </c>
      <c r="KX234">
        <v>1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3</v>
      </c>
      <c r="LI234">
        <v>0.5</v>
      </c>
      <c r="LJ234">
        <v>0</v>
      </c>
      <c r="LK234">
        <v>4</v>
      </c>
      <c r="LL234">
        <v>7</v>
      </c>
      <c r="LM234">
        <v>9</v>
      </c>
      <c r="LN234">
        <v>0.1</v>
      </c>
      <c r="LO234">
        <v>3</v>
      </c>
      <c r="LP234">
        <v>0</v>
      </c>
      <c r="LQ234">
        <v>0</v>
      </c>
      <c r="LR234">
        <v>0</v>
      </c>
      <c r="LS234">
        <v>1</v>
      </c>
      <c r="LT234">
        <v>0</v>
      </c>
      <c r="LU234">
        <v>0</v>
      </c>
      <c r="LV234">
        <v>0</v>
      </c>
      <c r="LW234">
        <v>2.1</v>
      </c>
      <c r="LX234">
        <v>2.1</v>
      </c>
      <c r="LY234">
        <v>2.1</v>
      </c>
      <c r="LZ234">
        <v>2.1</v>
      </c>
      <c r="MA234">
        <v>0</v>
      </c>
      <c r="MB234">
        <v>4</v>
      </c>
      <c r="MC234">
        <v>0</v>
      </c>
      <c r="MD234">
        <v>4.5</v>
      </c>
      <c r="ME234">
        <v>6</v>
      </c>
      <c r="MF234">
        <v>6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452</v>
      </c>
      <c r="MN234">
        <v>205</v>
      </c>
      <c r="MO234">
        <v>268</v>
      </c>
      <c r="NU234">
        <v>0.15</v>
      </c>
      <c r="NV234">
        <v>0.2</v>
      </c>
      <c r="NW234">
        <v>0.2</v>
      </c>
      <c r="NX234">
        <v>0.2</v>
      </c>
      <c r="NY234">
        <v>0.2</v>
      </c>
      <c r="NZ234">
        <v>0.2</v>
      </c>
      <c r="OE234" t="s">
        <v>4873</v>
      </c>
      <c r="OF234" t="s">
        <v>4871</v>
      </c>
      <c r="OG234" t="s">
        <v>4872</v>
      </c>
      <c r="OH234" t="s">
        <v>4043</v>
      </c>
      <c r="OI234" t="s">
        <v>4873</v>
      </c>
      <c r="OJ234" t="s">
        <v>4870</v>
      </c>
      <c r="OK234">
        <v>61</v>
      </c>
      <c r="OL234">
        <v>61</v>
      </c>
      <c r="OM234" t="s">
        <v>4871</v>
      </c>
      <c r="ON234">
        <v>1</v>
      </c>
      <c r="OO234">
        <v>2204</v>
      </c>
      <c r="OP234">
        <v>61</v>
      </c>
      <c r="OQ234">
        <v>61</v>
      </c>
      <c r="OR234" t="s">
        <v>4872</v>
      </c>
      <c r="OS234">
        <v>1</v>
      </c>
      <c r="OT234">
        <v>2217</v>
      </c>
      <c r="OU234">
        <v>65</v>
      </c>
      <c r="OV234">
        <v>65</v>
      </c>
      <c r="OW234" t="s">
        <v>4043</v>
      </c>
      <c r="OX234">
        <v>2</v>
      </c>
      <c r="OY234">
        <v>49538</v>
      </c>
      <c r="OZ234">
        <v>51</v>
      </c>
      <c r="PA234">
        <v>52</v>
      </c>
      <c r="PB234" t="s">
        <v>4873</v>
      </c>
      <c r="PC234">
        <v>1</v>
      </c>
      <c r="PD234">
        <v>2250</v>
      </c>
      <c r="PF234">
        <v>507</v>
      </c>
      <c r="PG234">
        <v>35</v>
      </c>
      <c r="PH234">
        <v>483</v>
      </c>
      <c r="PI234">
        <v>0</v>
      </c>
      <c r="PJ234">
        <v>84.7</v>
      </c>
      <c r="PL234">
        <v>1234.9</v>
      </c>
      <c r="PM234">
        <v>1132.5</v>
      </c>
      <c r="PN234">
        <v>107.7</v>
      </c>
      <c r="PO234">
        <v>10.2</v>
      </c>
      <c r="PP234">
        <v>12</v>
      </c>
      <c r="PQ234">
        <v>5</v>
      </c>
      <c r="PR234">
        <v>4</v>
      </c>
      <c r="PS234">
        <v>0</v>
      </c>
      <c r="PT234">
        <v>258</v>
      </c>
      <c r="PU234">
        <v>10</v>
      </c>
      <c r="PV234" t="s">
        <v>4072</v>
      </c>
      <c r="PW234" t="s">
        <v>4072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-1</v>
      </c>
      <c r="QF234">
        <v>1</v>
      </c>
      <c r="QG234">
        <v>0</v>
      </c>
      <c r="QH234">
        <v>5</v>
      </c>
      <c r="QI234">
        <v>5</v>
      </c>
      <c r="QJ234">
        <v>5</v>
      </c>
      <c r="QK234">
        <v>230</v>
      </c>
      <c r="QL234">
        <v>458</v>
      </c>
      <c r="QM234">
        <v>7.5</v>
      </c>
      <c r="QN234">
        <v>1544.1</v>
      </c>
      <c r="QO234" t="s">
        <v>2662</v>
      </c>
      <c r="QP234" t="s">
        <v>513</v>
      </c>
      <c r="QQ234">
        <v>0</v>
      </c>
      <c r="QR234" t="s">
        <v>596</v>
      </c>
      <c r="QS234">
        <v>40</v>
      </c>
      <c r="QT234">
        <v>50</v>
      </c>
    </row>
    <row r="235" spans="1:462">
      <c r="A235" t="s">
        <v>3009</v>
      </c>
      <c r="B235" t="s">
        <v>804</v>
      </c>
      <c r="C235" t="s">
        <v>509</v>
      </c>
      <c r="D235" t="s">
        <v>2782</v>
      </c>
      <c r="E235" t="s">
        <v>4036</v>
      </c>
      <c r="H235" t="s">
        <v>561</v>
      </c>
      <c r="J235" t="s">
        <v>562</v>
      </c>
      <c r="K235" t="s">
        <v>563</v>
      </c>
      <c r="L235" t="s">
        <v>508</v>
      </c>
      <c r="M235" t="s">
        <v>512</v>
      </c>
      <c r="N235" t="s">
        <v>515</v>
      </c>
      <c r="O235" t="s">
        <v>513</v>
      </c>
      <c r="P235" t="s">
        <v>517</v>
      </c>
      <c r="Q235" t="s">
        <v>3010</v>
      </c>
      <c r="R235" t="s">
        <v>3011</v>
      </c>
      <c r="S235" t="s">
        <v>4037</v>
      </c>
      <c r="T235" t="s">
        <v>570</v>
      </c>
      <c r="U235" t="s">
        <v>571</v>
      </c>
      <c r="V235" t="s">
        <v>3012</v>
      </c>
      <c r="W235" t="s">
        <v>2657</v>
      </c>
      <c r="X235" t="s">
        <v>3013</v>
      </c>
      <c r="Y235" t="s">
        <v>3014</v>
      </c>
      <c r="Z235" t="s">
        <v>541</v>
      </c>
      <c r="AA235" t="s">
        <v>4038</v>
      </c>
      <c r="AB235" t="s">
        <v>4874</v>
      </c>
      <c r="AC235">
        <v>9</v>
      </c>
      <c r="AD235" t="s">
        <v>3008</v>
      </c>
      <c r="AE235">
        <v>2</v>
      </c>
      <c r="AF235">
        <v>7168</v>
      </c>
      <c r="AG235" t="s">
        <v>4290</v>
      </c>
      <c r="AH235">
        <v>1</v>
      </c>
      <c r="AI235" t="s">
        <v>4041</v>
      </c>
      <c r="AK235" t="s">
        <v>4291</v>
      </c>
      <c r="AL235">
        <v>1</v>
      </c>
      <c r="AM235" t="s">
        <v>582</v>
      </c>
      <c r="AO235" t="s">
        <v>4043</v>
      </c>
      <c r="AP235">
        <v>1</v>
      </c>
      <c r="AR235" t="s">
        <v>4875</v>
      </c>
      <c r="AS235">
        <v>1</v>
      </c>
      <c r="AT235">
        <v>52</v>
      </c>
      <c r="AV235" t="s">
        <v>4078</v>
      </c>
      <c r="AW235">
        <v>6.4</v>
      </c>
      <c r="AX235">
        <v>-6</v>
      </c>
      <c r="AY235">
        <v>120</v>
      </c>
      <c r="AZ235">
        <v>90</v>
      </c>
      <c r="BH235">
        <v>120</v>
      </c>
      <c r="BI235">
        <v>30</v>
      </c>
      <c r="BJ235">
        <v>90</v>
      </c>
      <c r="BK235">
        <v>2.5</v>
      </c>
      <c r="BL235">
        <v>240</v>
      </c>
      <c r="BM235">
        <v>-6</v>
      </c>
      <c r="BN235">
        <v>0</v>
      </c>
      <c r="BO235">
        <v>0</v>
      </c>
      <c r="BP235">
        <v>0</v>
      </c>
      <c r="BR235">
        <v>235</v>
      </c>
      <c r="BS235">
        <v>225</v>
      </c>
      <c r="BT235">
        <v>2370</v>
      </c>
      <c r="BU235" t="s">
        <v>4080</v>
      </c>
      <c r="BV235" t="s">
        <v>4263</v>
      </c>
      <c r="BW235" t="s">
        <v>4082</v>
      </c>
      <c r="BX235" t="s">
        <v>4264</v>
      </c>
      <c r="BY235" t="s">
        <v>4083</v>
      </c>
      <c r="BZ235" t="s">
        <v>4083</v>
      </c>
      <c r="CA235" t="s">
        <v>4084</v>
      </c>
      <c r="CB235" t="s">
        <v>4085</v>
      </c>
      <c r="CC235" t="s">
        <v>4053</v>
      </c>
      <c r="CD235" t="s">
        <v>4055</v>
      </c>
      <c r="CE235" t="s">
        <v>4055</v>
      </c>
      <c r="CF235" t="s">
        <v>4055</v>
      </c>
      <c r="CG235" t="s">
        <v>4056</v>
      </c>
      <c r="CI235" t="s">
        <v>4086</v>
      </c>
      <c r="CJ235" t="s">
        <v>4059</v>
      </c>
      <c r="CK235" t="s">
        <v>4060</v>
      </c>
      <c r="CL235" t="s">
        <v>4061</v>
      </c>
      <c r="CM235" t="s">
        <v>4055</v>
      </c>
      <c r="CN235" t="s">
        <v>4062</v>
      </c>
      <c r="CO235" t="s">
        <v>4063</v>
      </c>
      <c r="CP235" t="s">
        <v>4055</v>
      </c>
      <c r="CQ235" t="s">
        <v>4055</v>
      </c>
      <c r="CR235">
        <v>5</v>
      </c>
      <c r="CS235" t="s">
        <v>4055</v>
      </c>
      <c r="CT235" t="s">
        <v>4055</v>
      </c>
      <c r="CU235" t="s">
        <v>4055</v>
      </c>
      <c r="CV235">
        <v>153</v>
      </c>
      <c r="CW235">
        <v>3</v>
      </c>
      <c r="CX235">
        <v>103</v>
      </c>
      <c r="CY235">
        <v>5</v>
      </c>
      <c r="CZ235">
        <v>179</v>
      </c>
      <c r="DA235">
        <v>5</v>
      </c>
      <c r="DB235">
        <v>17530</v>
      </c>
      <c r="DC235">
        <v>520</v>
      </c>
      <c r="DD235">
        <v>408</v>
      </c>
      <c r="DE235">
        <v>2510</v>
      </c>
      <c r="DF235">
        <v>2510</v>
      </c>
      <c r="DG235">
        <v>2521</v>
      </c>
      <c r="DH235">
        <v>2</v>
      </c>
      <c r="DI235" t="s">
        <v>4055</v>
      </c>
      <c r="DJ235" t="s">
        <v>4217</v>
      </c>
      <c r="DK235">
        <v>235</v>
      </c>
      <c r="DL235" t="s">
        <v>4065</v>
      </c>
      <c r="DM235">
        <v>63</v>
      </c>
      <c r="DN235">
        <v>1.26</v>
      </c>
      <c r="DO235">
        <v>1</v>
      </c>
      <c r="DP235">
        <v>2374</v>
      </c>
      <c r="DQ235">
        <v>1346</v>
      </c>
      <c r="DR235" t="s">
        <v>4217</v>
      </c>
      <c r="DS235">
        <v>225</v>
      </c>
      <c r="DT235" t="s">
        <v>4065</v>
      </c>
      <c r="DU235">
        <v>63</v>
      </c>
      <c r="DV235">
        <v>1.26</v>
      </c>
      <c r="DW235">
        <v>1</v>
      </c>
      <c r="DX235">
        <v>2387</v>
      </c>
      <c r="DY235">
        <v>1296</v>
      </c>
      <c r="DZ235" t="s">
        <v>4066</v>
      </c>
      <c r="EA235">
        <v>20</v>
      </c>
      <c r="EB235" t="s">
        <v>4065</v>
      </c>
      <c r="EC235">
        <v>0.8</v>
      </c>
      <c r="ED235">
        <v>2374</v>
      </c>
      <c r="EE235">
        <v>83</v>
      </c>
      <c r="EG235">
        <v>0</v>
      </c>
      <c r="EH235" t="s">
        <v>4065</v>
      </c>
      <c r="EI235">
        <v>0</v>
      </c>
      <c r="EL235" t="s">
        <v>1528</v>
      </c>
      <c r="EM235">
        <v>12</v>
      </c>
      <c r="EN235">
        <v>0.5</v>
      </c>
      <c r="EO235">
        <v>0.96</v>
      </c>
      <c r="EP235">
        <v>2385.84</v>
      </c>
      <c r="EQ235">
        <v>46971.23</v>
      </c>
      <c r="ER235">
        <v>11211.9</v>
      </c>
      <c r="ES235">
        <v>0</v>
      </c>
      <c r="ET235">
        <v>0</v>
      </c>
      <c r="EU235">
        <v>1</v>
      </c>
      <c r="EV235">
        <v>58184</v>
      </c>
      <c r="EW235">
        <v>699</v>
      </c>
      <c r="EX235" t="s">
        <v>4755</v>
      </c>
      <c r="EY235">
        <v>272</v>
      </c>
      <c r="EZ235" t="s">
        <v>4055</v>
      </c>
      <c r="FA235">
        <v>4.2</v>
      </c>
      <c r="FB235">
        <v>1</v>
      </c>
      <c r="FC235">
        <v>1</v>
      </c>
      <c r="FD235">
        <v>2420</v>
      </c>
      <c r="FE235">
        <v>3318</v>
      </c>
      <c r="FF235" t="s">
        <v>4756</v>
      </c>
      <c r="FG235">
        <v>272</v>
      </c>
      <c r="FH235" t="s">
        <v>4055</v>
      </c>
      <c r="FI235">
        <v>4.1</v>
      </c>
      <c r="FJ235">
        <v>2420</v>
      </c>
      <c r="FK235">
        <v>3108</v>
      </c>
      <c r="FL235" t="s">
        <v>4069</v>
      </c>
      <c r="FM235" t="s">
        <v>4055</v>
      </c>
      <c r="FN235" t="s">
        <v>4055</v>
      </c>
      <c r="FO235" t="s">
        <v>4055</v>
      </c>
      <c r="FP235">
        <v>2420</v>
      </c>
      <c r="FQ235">
        <v>184</v>
      </c>
      <c r="FR235" t="s">
        <v>4090</v>
      </c>
      <c r="FS235">
        <v>276</v>
      </c>
      <c r="FT235" t="s">
        <v>4055</v>
      </c>
      <c r="FU235">
        <v>0.4</v>
      </c>
      <c r="FV235">
        <v>2420</v>
      </c>
      <c r="FW235">
        <v>297</v>
      </c>
      <c r="FX235" t="s">
        <v>4070</v>
      </c>
      <c r="FY235">
        <v>5</v>
      </c>
      <c r="FZ235" t="s">
        <v>4055</v>
      </c>
      <c r="GA235" t="s">
        <v>4055</v>
      </c>
      <c r="GB235">
        <v>2420</v>
      </c>
      <c r="GC235">
        <v>24</v>
      </c>
      <c r="GD235">
        <v>6931</v>
      </c>
      <c r="GE235" t="s">
        <v>4875</v>
      </c>
      <c r="GF235" t="s">
        <v>4055</v>
      </c>
      <c r="GG235" t="s">
        <v>4055</v>
      </c>
      <c r="GH235" t="s">
        <v>4055</v>
      </c>
      <c r="GI235" t="s">
        <v>4071</v>
      </c>
      <c r="GJ235" t="s">
        <v>4055</v>
      </c>
      <c r="GK235" t="s">
        <v>4055</v>
      </c>
      <c r="GL235" t="s">
        <v>4055</v>
      </c>
      <c r="GM235" t="s">
        <v>4055</v>
      </c>
      <c r="GQ235">
        <v>0</v>
      </c>
      <c r="GV235">
        <v>8.699999999999999</v>
      </c>
      <c r="GW235">
        <v>11.5</v>
      </c>
      <c r="GX235">
        <v>0.5</v>
      </c>
      <c r="GY235">
        <v>236</v>
      </c>
      <c r="GZ235">
        <v>3</v>
      </c>
      <c r="HA235">
        <v>292</v>
      </c>
      <c r="HB235">
        <v>3</v>
      </c>
      <c r="HC235">
        <v>2420</v>
      </c>
      <c r="HD235">
        <v>4</v>
      </c>
      <c r="HE235" t="s">
        <v>4071</v>
      </c>
      <c r="HG235" t="s">
        <v>549</v>
      </c>
      <c r="HL235">
        <v>4</v>
      </c>
      <c r="HM235">
        <v>20</v>
      </c>
      <c r="HN235">
        <v>6</v>
      </c>
      <c r="HO235">
        <v>1</v>
      </c>
      <c r="HP235">
        <v>0</v>
      </c>
      <c r="HQ235">
        <v>0</v>
      </c>
      <c r="HR235">
        <v>2</v>
      </c>
      <c r="HS235">
        <v>2370</v>
      </c>
      <c r="HT235">
        <v>5</v>
      </c>
      <c r="HU235">
        <v>1</v>
      </c>
      <c r="HV235">
        <v>5</v>
      </c>
      <c r="HW235">
        <v>0</v>
      </c>
      <c r="HX235">
        <v>1</v>
      </c>
      <c r="HY235">
        <v>0</v>
      </c>
      <c r="HZ235">
        <v>63</v>
      </c>
      <c r="IA235">
        <v>2374</v>
      </c>
      <c r="IB235">
        <v>2387</v>
      </c>
      <c r="ID235">
        <v>2420</v>
      </c>
      <c r="IE235">
        <v>2420</v>
      </c>
      <c r="IF235">
        <v>235</v>
      </c>
      <c r="IG235">
        <v>225</v>
      </c>
      <c r="IH235">
        <v>292</v>
      </c>
      <c r="II235">
        <v>1</v>
      </c>
      <c r="IJ235">
        <v>5</v>
      </c>
      <c r="IK235">
        <v>0</v>
      </c>
      <c r="IL235">
        <v>0</v>
      </c>
      <c r="IM235">
        <v>0</v>
      </c>
      <c r="IN235">
        <v>270</v>
      </c>
      <c r="IO235">
        <v>0</v>
      </c>
      <c r="IP235">
        <v>180</v>
      </c>
      <c r="IQ235">
        <v>0</v>
      </c>
      <c r="IR235">
        <v>330</v>
      </c>
      <c r="IS235">
        <v>0</v>
      </c>
      <c r="IT235">
        <v>90</v>
      </c>
      <c r="IU235">
        <v>0</v>
      </c>
      <c r="IV235">
        <v>6.4</v>
      </c>
      <c r="IW235">
        <v>-6</v>
      </c>
      <c r="IX235">
        <v>120</v>
      </c>
      <c r="IY235">
        <v>90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482</v>
      </c>
      <c r="JJ235">
        <v>452</v>
      </c>
      <c r="JK235">
        <v>320</v>
      </c>
      <c r="JL235">
        <v>448</v>
      </c>
      <c r="JM235">
        <v>335</v>
      </c>
      <c r="JN235">
        <v>235</v>
      </c>
      <c r="JO235">
        <v>290</v>
      </c>
      <c r="JP235">
        <v>150</v>
      </c>
      <c r="JQ235">
        <v>220</v>
      </c>
      <c r="JR235">
        <v>320</v>
      </c>
      <c r="JS235">
        <v>225</v>
      </c>
      <c r="JT235">
        <v>0</v>
      </c>
      <c r="JU235">
        <v>0</v>
      </c>
      <c r="JV235">
        <v>300</v>
      </c>
      <c r="JW235">
        <v>290</v>
      </c>
      <c r="JX235">
        <v>298</v>
      </c>
      <c r="JY235">
        <v>290</v>
      </c>
      <c r="JZ235">
        <v>0.5</v>
      </c>
      <c r="KA235">
        <v>0.2</v>
      </c>
      <c r="KB235">
        <v>0.4</v>
      </c>
      <c r="KC235">
        <v>0.42</v>
      </c>
      <c r="KD235">
        <v>0.28</v>
      </c>
      <c r="KE235">
        <v>0.5</v>
      </c>
      <c r="KF235">
        <v>0.19</v>
      </c>
      <c r="KG235">
        <v>0.12</v>
      </c>
      <c r="KH235">
        <v>4.5</v>
      </c>
      <c r="KI235">
        <v>1</v>
      </c>
      <c r="KJ235">
        <v>4.5</v>
      </c>
      <c r="KK235">
        <v>0</v>
      </c>
      <c r="KL235">
        <v>4.5</v>
      </c>
      <c r="KM235">
        <v>0</v>
      </c>
      <c r="KN235">
        <v>2.1</v>
      </c>
      <c r="KO235">
        <v>0</v>
      </c>
      <c r="KP235">
        <v>0</v>
      </c>
      <c r="KQ235">
        <v>1.5</v>
      </c>
      <c r="KR235">
        <v>0.8</v>
      </c>
      <c r="KS235">
        <v>0</v>
      </c>
      <c r="KT235">
        <v>3</v>
      </c>
      <c r="KU235">
        <v>0</v>
      </c>
      <c r="KV235">
        <v>0</v>
      </c>
      <c r="KW235">
        <v>1.2</v>
      </c>
      <c r="KX235">
        <v>1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3</v>
      </c>
      <c r="LI235">
        <v>0.5</v>
      </c>
      <c r="LJ235">
        <v>0</v>
      </c>
      <c r="LK235">
        <v>8</v>
      </c>
      <c r="LL235">
        <v>10</v>
      </c>
      <c r="LM235">
        <v>11</v>
      </c>
      <c r="LN235">
        <v>3</v>
      </c>
      <c r="LO235">
        <v>3</v>
      </c>
      <c r="LP235">
        <v>0</v>
      </c>
      <c r="LQ235">
        <v>0</v>
      </c>
      <c r="LR235">
        <v>0</v>
      </c>
      <c r="LS235">
        <v>1</v>
      </c>
      <c r="LT235">
        <v>0</v>
      </c>
      <c r="LU235">
        <v>0</v>
      </c>
      <c r="LV235">
        <v>0</v>
      </c>
      <c r="LW235">
        <v>1.8</v>
      </c>
      <c r="LX235">
        <v>1.8</v>
      </c>
      <c r="LY235">
        <v>2.1</v>
      </c>
      <c r="LZ235">
        <v>2.1</v>
      </c>
      <c r="MA235">
        <v>0</v>
      </c>
      <c r="MB235">
        <v>8</v>
      </c>
      <c r="MC235">
        <v>0</v>
      </c>
      <c r="MD235">
        <v>3.5</v>
      </c>
      <c r="ME235">
        <v>4.5</v>
      </c>
      <c r="MF235">
        <v>4.5</v>
      </c>
      <c r="MG235">
        <v>20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484</v>
      </c>
      <c r="MN235">
        <v>220</v>
      </c>
      <c r="MO235">
        <v>302</v>
      </c>
      <c r="NU235">
        <v>0.15</v>
      </c>
      <c r="NV235">
        <v>0.2</v>
      </c>
      <c r="NW235">
        <v>0.2</v>
      </c>
      <c r="NX235">
        <v>0.2</v>
      </c>
      <c r="NY235">
        <v>0.2</v>
      </c>
      <c r="NZ235">
        <v>0.2</v>
      </c>
      <c r="OE235" t="s">
        <v>4875</v>
      </c>
      <c r="OF235" t="s">
        <v>4290</v>
      </c>
      <c r="OG235" t="s">
        <v>4291</v>
      </c>
      <c r="OH235" t="s">
        <v>4043</v>
      </c>
      <c r="OI235" t="s">
        <v>4875</v>
      </c>
      <c r="OJ235" t="s">
        <v>4874</v>
      </c>
      <c r="OK235">
        <v>61</v>
      </c>
      <c r="OL235">
        <v>61</v>
      </c>
      <c r="OM235" t="s">
        <v>4290</v>
      </c>
      <c r="ON235">
        <v>1</v>
      </c>
      <c r="OO235">
        <v>2374</v>
      </c>
      <c r="OP235">
        <v>61</v>
      </c>
      <c r="OQ235">
        <v>61</v>
      </c>
      <c r="OR235" t="s">
        <v>4291</v>
      </c>
      <c r="OS235">
        <v>1</v>
      </c>
      <c r="OT235">
        <v>2387</v>
      </c>
      <c r="OU235">
        <v>65</v>
      </c>
      <c r="OV235">
        <v>65</v>
      </c>
      <c r="OW235" t="s">
        <v>4043</v>
      </c>
      <c r="OX235">
        <v>2</v>
      </c>
      <c r="OY235">
        <v>58184</v>
      </c>
      <c r="OZ235">
        <v>51</v>
      </c>
      <c r="PA235">
        <v>52</v>
      </c>
      <c r="PB235" t="s">
        <v>4875</v>
      </c>
      <c r="PC235">
        <v>1</v>
      </c>
      <c r="PD235">
        <v>2420</v>
      </c>
      <c r="PF235">
        <v>567</v>
      </c>
      <c r="PG235">
        <v>35</v>
      </c>
      <c r="PH235">
        <v>543</v>
      </c>
      <c r="PI235">
        <v>0</v>
      </c>
      <c r="PJ235">
        <v>76</v>
      </c>
      <c r="PL235">
        <v>1371.2</v>
      </c>
      <c r="PM235">
        <v>1284.3</v>
      </c>
      <c r="PN235">
        <v>122.9</v>
      </c>
      <c r="PO235">
        <v>10.1</v>
      </c>
      <c r="PP235">
        <v>12</v>
      </c>
      <c r="PQ235">
        <v>6</v>
      </c>
      <c r="PR235">
        <v>7</v>
      </c>
      <c r="PS235">
        <v>0</v>
      </c>
      <c r="PT235">
        <v>292</v>
      </c>
      <c r="PU235">
        <v>10</v>
      </c>
      <c r="PV235" t="s">
        <v>4072</v>
      </c>
      <c r="PW235" t="s">
        <v>4072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-1</v>
      </c>
      <c r="QF235">
        <v>1</v>
      </c>
      <c r="QG235">
        <v>0</v>
      </c>
      <c r="QH235">
        <v>5</v>
      </c>
      <c r="QI235">
        <v>5</v>
      </c>
      <c r="QJ235">
        <v>5</v>
      </c>
      <c r="QK235">
        <v>257</v>
      </c>
      <c r="QL235">
        <v>512</v>
      </c>
      <c r="QM235">
        <v>9.4</v>
      </c>
      <c r="QN235">
        <v>1623.8</v>
      </c>
      <c r="QO235" t="s">
        <v>2662</v>
      </c>
      <c r="QP235" t="s">
        <v>513</v>
      </c>
      <c r="QQ235">
        <v>0</v>
      </c>
      <c r="QR235" t="s">
        <v>596</v>
      </c>
      <c r="QS235">
        <v>40</v>
      </c>
      <c r="QT235">
        <v>50</v>
      </c>
    </row>
    <row r="236" spans="1:462">
      <c r="A236" t="s">
        <v>3019</v>
      </c>
      <c r="B236" t="s">
        <v>804</v>
      </c>
      <c r="C236" t="s">
        <v>509</v>
      </c>
      <c r="D236" t="s">
        <v>2307</v>
      </c>
      <c r="E236" t="s">
        <v>4036</v>
      </c>
      <c r="H236" t="s">
        <v>1115</v>
      </c>
      <c r="J236" t="s">
        <v>562</v>
      </c>
      <c r="K236" t="s">
        <v>563</v>
      </c>
      <c r="L236" t="s">
        <v>508</v>
      </c>
      <c r="M236" t="s">
        <v>512</v>
      </c>
      <c r="N236" t="s">
        <v>515</v>
      </c>
      <c r="O236" t="s">
        <v>513</v>
      </c>
      <c r="P236" t="s">
        <v>517</v>
      </c>
      <c r="Q236" t="s">
        <v>3020</v>
      </c>
      <c r="R236" t="s">
        <v>1327</v>
      </c>
      <c r="S236" t="s">
        <v>4073</v>
      </c>
      <c r="T236" t="s">
        <v>662</v>
      </c>
      <c r="U236" t="s">
        <v>663</v>
      </c>
      <c r="V236" t="s">
        <v>2577</v>
      </c>
      <c r="W236" t="s">
        <v>2657</v>
      </c>
      <c r="X236" t="s">
        <v>3021</v>
      </c>
      <c r="Y236" t="s">
        <v>3022</v>
      </c>
      <c r="Z236" t="s">
        <v>541</v>
      </c>
      <c r="AA236" t="s">
        <v>582</v>
      </c>
      <c r="AB236" t="s">
        <v>4876</v>
      </c>
      <c r="AC236">
        <v>9</v>
      </c>
      <c r="AD236" t="s">
        <v>3018</v>
      </c>
      <c r="AE236">
        <v>2</v>
      </c>
      <c r="AF236">
        <v>5343</v>
      </c>
      <c r="AG236" t="s">
        <v>4306</v>
      </c>
      <c r="AH236">
        <v>1</v>
      </c>
      <c r="AI236" t="s">
        <v>4041</v>
      </c>
      <c r="AK236" t="s">
        <v>4307</v>
      </c>
      <c r="AL236">
        <v>1</v>
      </c>
      <c r="AM236" t="s">
        <v>582</v>
      </c>
      <c r="AO236" t="s">
        <v>4043</v>
      </c>
      <c r="AP236">
        <v>1</v>
      </c>
      <c r="AR236" t="s">
        <v>4877</v>
      </c>
      <c r="AS236">
        <v>1</v>
      </c>
      <c r="AT236">
        <v>52</v>
      </c>
      <c r="AV236" t="s">
        <v>4078</v>
      </c>
      <c r="AW236">
        <v>6.4</v>
      </c>
      <c r="AX236">
        <v>-6</v>
      </c>
      <c r="AY236">
        <v>110</v>
      </c>
      <c r="AZ236">
        <v>80</v>
      </c>
      <c r="BA236">
        <v>0</v>
      </c>
      <c r="BB236">
        <v>0</v>
      </c>
      <c r="BC236">
        <v>0</v>
      </c>
      <c r="BH236">
        <v>110</v>
      </c>
      <c r="BI236">
        <v>30</v>
      </c>
      <c r="BJ236">
        <v>80</v>
      </c>
      <c r="BK236">
        <v>2.5</v>
      </c>
      <c r="BL236">
        <v>220</v>
      </c>
      <c r="BM236">
        <v>-6</v>
      </c>
      <c r="BN236">
        <v>0</v>
      </c>
      <c r="BP236">
        <v>0</v>
      </c>
      <c r="BR236">
        <v>215</v>
      </c>
      <c r="BS236">
        <v>205</v>
      </c>
      <c r="BT236">
        <v>2055</v>
      </c>
      <c r="BU236" t="s">
        <v>4096</v>
      </c>
      <c r="BV236" t="s">
        <v>4096</v>
      </c>
      <c r="BW236" t="s">
        <v>4097</v>
      </c>
      <c r="BX236" t="s">
        <v>4097</v>
      </c>
      <c r="BY236" t="s">
        <v>4117</v>
      </c>
      <c r="BZ236" t="s">
        <v>4215</v>
      </c>
      <c r="CA236" t="s">
        <v>4118</v>
      </c>
      <c r="CB236" t="s">
        <v>4119</v>
      </c>
      <c r="CC236" t="s">
        <v>4053</v>
      </c>
      <c r="CD236" t="s">
        <v>4121</v>
      </c>
      <c r="CE236" t="s">
        <v>4055</v>
      </c>
      <c r="CF236" t="s">
        <v>4055</v>
      </c>
      <c r="CG236" t="s">
        <v>4056</v>
      </c>
      <c r="CI236" t="s">
        <v>4058</v>
      </c>
      <c r="CJ236" t="s">
        <v>4059</v>
      </c>
      <c r="CK236" t="s">
        <v>4060</v>
      </c>
      <c r="CL236" t="s">
        <v>4061</v>
      </c>
      <c r="CM236" t="s">
        <v>4055</v>
      </c>
      <c r="CN236" t="s">
        <v>4062</v>
      </c>
      <c r="CO236" t="s">
        <v>4063</v>
      </c>
      <c r="CP236" t="s">
        <v>4055</v>
      </c>
      <c r="CQ236" t="s">
        <v>4055</v>
      </c>
      <c r="CR236">
        <v>5</v>
      </c>
      <c r="CS236" t="s">
        <v>4055</v>
      </c>
      <c r="CT236" t="s">
        <v>4055</v>
      </c>
      <c r="CU236" t="s">
        <v>4055</v>
      </c>
      <c r="CV236">
        <v>136</v>
      </c>
      <c r="CW236">
        <v>3</v>
      </c>
      <c r="CX236">
        <v>90</v>
      </c>
      <c r="CY236">
        <v>5</v>
      </c>
      <c r="CZ236">
        <v>152</v>
      </c>
      <c r="DA236">
        <v>5</v>
      </c>
      <c r="DB236">
        <v>13110</v>
      </c>
      <c r="DC236">
        <v>390</v>
      </c>
      <c r="DD236">
        <v>355</v>
      </c>
      <c r="DE236">
        <v>2180</v>
      </c>
      <c r="DF236">
        <v>2180</v>
      </c>
      <c r="DG236">
        <v>2191</v>
      </c>
      <c r="DH236" t="s">
        <v>4055</v>
      </c>
      <c r="DI236" t="s">
        <v>4055</v>
      </c>
      <c r="DJ236" t="s">
        <v>4132</v>
      </c>
      <c r="DK236">
        <v>215</v>
      </c>
      <c r="DL236" t="s">
        <v>4065</v>
      </c>
      <c r="DM236">
        <v>63</v>
      </c>
      <c r="DN236">
        <v>1.1</v>
      </c>
      <c r="DO236">
        <v>1</v>
      </c>
      <c r="DP236">
        <v>2058</v>
      </c>
      <c r="DQ236">
        <v>957</v>
      </c>
      <c r="DR236" t="s">
        <v>4132</v>
      </c>
      <c r="DS236">
        <v>205</v>
      </c>
      <c r="DT236" t="s">
        <v>4065</v>
      </c>
      <c r="DU236">
        <v>63</v>
      </c>
      <c r="DV236">
        <v>1.1</v>
      </c>
      <c r="DW236">
        <v>1</v>
      </c>
      <c r="DX236">
        <v>2070</v>
      </c>
      <c r="DY236">
        <v>917</v>
      </c>
      <c r="DZ236" t="s">
        <v>4066</v>
      </c>
      <c r="EA236">
        <v>20</v>
      </c>
      <c r="EB236" t="s">
        <v>4065</v>
      </c>
      <c r="EC236">
        <v>0.8</v>
      </c>
      <c r="ED236">
        <v>2058</v>
      </c>
      <c r="EE236">
        <v>72</v>
      </c>
      <c r="EG236">
        <v>0</v>
      </c>
      <c r="EH236" t="s">
        <v>4065</v>
      </c>
      <c r="EI236">
        <v>0</v>
      </c>
      <c r="EL236" t="s">
        <v>1528</v>
      </c>
      <c r="EM236">
        <v>12</v>
      </c>
      <c r="EN236">
        <v>0.5</v>
      </c>
      <c r="EO236">
        <v>0.96</v>
      </c>
      <c r="EP236">
        <v>2068.83</v>
      </c>
      <c r="EQ236">
        <v>37497.54</v>
      </c>
      <c r="ER236">
        <v>9725.91</v>
      </c>
      <c r="ES236">
        <v>0</v>
      </c>
      <c r="ET236">
        <v>0</v>
      </c>
      <c r="EU236">
        <v>1</v>
      </c>
      <c r="EV236">
        <v>47224</v>
      </c>
      <c r="EW236">
        <v>567</v>
      </c>
      <c r="EX236" t="s">
        <v>4755</v>
      </c>
      <c r="EY236">
        <v>236</v>
      </c>
      <c r="EZ236" t="s">
        <v>4055</v>
      </c>
      <c r="FA236">
        <v>4</v>
      </c>
      <c r="FB236">
        <v>1</v>
      </c>
      <c r="FC236">
        <v>1</v>
      </c>
      <c r="FD236">
        <v>2102</v>
      </c>
      <c r="FE236">
        <v>2353</v>
      </c>
      <c r="FF236" t="s">
        <v>4756</v>
      </c>
      <c r="FG236">
        <v>236</v>
      </c>
      <c r="FH236" t="s">
        <v>4055</v>
      </c>
      <c r="FI236">
        <v>4.2</v>
      </c>
      <c r="FJ236">
        <v>2102</v>
      </c>
      <c r="FK236">
        <v>2467</v>
      </c>
      <c r="FL236" t="s">
        <v>4069</v>
      </c>
      <c r="FM236" t="s">
        <v>4055</v>
      </c>
      <c r="FN236" t="s">
        <v>4055</v>
      </c>
      <c r="FO236" t="s">
        <v>4055</v>
      </c>
      <c r="FP236">
        <v>2102</v>
      </c>
      <c r="FQ236">
        <v>188</v>
      </c>
      <c r="FR236" t="s">
        <v>4090</v>
      </c>
      <c r="FS236">
        <v>240</v>
      </c>
      <c r="FT236" t="s">
        <v>4055</v>
      </c>
      <c r="FU236">
        <v>0.4</v>
      </c>
      <c r="FV236">
        <v>2102</v>
      </c>
      <c r="FW236">
        <v>224</v>
      </c>
      <c r="FX236" t="s">
        <v>4070</v>
      </c>
      <c r="FY236">
        <v>5</v>
      </c>
      <c r="FZ236" t="s">
        <v>4055</v>
      </c>
      <c r="GA236" t="s">
        <v>4055</v>
      </c>
      <c r="GB236">
        <v>2102</v>
      </c>
      <c r="GC236">
        <v>21</v>
      </c>
      <c r="GD236">
        <v>5253</v>
      </c>
      <c r="GE236" t="s">
        <v>4877</v>
      </c>
      <c r="GF236" t="s">
        <v>4055</v>
      </c>
      <c r="GG236" t="s">
        <v>4055</v>
      </c>
      <c r="GH236" t="s">
        <v>4055</v>
      </c>
      <c r="GI236" t="s">
        <v>4071</v>
      </c>
      <c r="GJ236" t="s">
        <v>4055</v>
      </c>
      <c r="GK236" t="s">
        <v>4055</v>
      </c>
      <c r="GL236" t="s">
        <v>4055</v>
      </c>
      <c r="GM236" t="s">
        <v>4055</v>
      </c>
      <c r="GQ236">
        <v>0</v>
      </c>
      <c r="GV236">
        <v>8.6</v>
      </c>
      <c r="GW236">
        <v>11.3</v>
      </c>
      <c r="GX236">
        <v>0.5</v>
      </c>
      <c r="GY236">
        <v>202</v>
      </c>
      <c r="GZ236">
        <v>3</v>
      </c>
      <c r="HA236">
        <v>256</v>
      </c>
      <c r="HB236">
        <v>3</v>
      </c>
      <c r="HC236">
        <v>2102</v>
      </c>
      <c r="HD236">
        <v>4</v>
      </c>
      <c r="HE236" t="s">
        <v>4071</v>
      </c>
      <c r="HG236" t="s">
        <v>549</v>
      </c>
      <c r="HL236">
        <v>4</v>
      </c>
      <c r="HM236">
        <v>18</v>
      </c>
      <c r="HN236">
        <v>6</v>
      </c>
      <c r="HO236">
        <v>1</v>
      </c>
      <c r="HP236">
        <v>0</v>
      </c>
      <c r="HQ236">
        <v>0</v>
      </c>
      <c r="HR236">
        <v>3</v>
      </c>
      <c r="HS236">
        <v>2055</v>
      </c>
      <c r="HT236">
        <v>5</v>
      </c>
      <c r="HU236">
        <v>1</v>
      </c>
      <c r="HV236">
        <v>5</v>
      </c>
      <c r="HW236">
        <v>0</v>
      </c>
      <c r="HX236">
        <v>1</v>
      </c>
      <c r="HY236">
        <v>0</v>
      </c>
      <c r="HZ236">
        <v>63</v>
      </c>
      <c r="IA236">
        <v>2058</v>
      </c>
      <c r="IB236">
        <v>2070</v>
      </c>
      <c r="ID236">
        <v>2102</v>
      </c>
      <c r="IE236">
        <v>2102</v>
      </c>
      <c r="IF236">
        <v>215</v>
      </c>
      <c r="IG236">
        <v>205</v>
      </c>
      <c r="IH236">
        <v>256</v>
      </c>
      <c r="II236">
        <v>1</v>
      </c>
      <c r="IJ236">
        <v>5</v>
      </c>
      <c r="IK236">
        <v>0</v>
      </c>
      <c r="IL236">
        <v>0</v>
      </c>
      <c r="IM236">
        <v>0</v>
      </c>
      <c r="IN236">
        <v>270</v>
      </c>
      <c r="IO236">
        <v>0</v>
      </c>
      <c r="IP236">
        <v>180</v>
      </c>
      <c r="IQ236">
        <v>0</v>
      </c>
      <c r="IR236">
        <v>330</v>
      </c>
      <c r="IS236">
        <v>0</v>
      </c>
      <c r="IT236">
        <v>90</v>
      </c>
      <c r="IU236">
        <v>0</v>
      </c>
      <c r="IV236">
        <v>6.4</v>
      </c>
      <c r="IW236">
        <v>-6</v>
      </c>
      <c r="IX236">
        <v>110</v>
      </c>
      <c r="IY236">
        <v>80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406</v>
      </c>
      <c r="JJ236">
        <v>376</v>
      </c>
      <c r="JK236">
        <v>272</v>
      </c>
      <c r="JL236">
        <v>372</v>
      </c>
      <c r="JM236">
        <v>272</v>
      </c>
      <c r="JN236">
        <v>210</v>
      </c>
      <c r="JO236">
        <v>266</v>
      </c>
      <c r="JP236">
        <v>200</v>
      </c>
      <c r="JQ236">
        <v>250</v>
      </c>
      <c r="JR236">
        <v>323</v>
      </c>
      <c r="JS236">
        <v>250</v>
      </c>
      <c r="JT236">
        <v>0</v>
      </c>
      <c r="JU236">
        <v>0</v>
      </c>
      <c r="JV236">
        <v>318</v>
      </c>
      <c r="JW236">
        <v>308</v>
      </c>
      <c r="JX236">
        <v>303</v>
      </c>
      <c r="JY236">
        <v>283</v>
      </c>
      <c r="JZ236">
        <v>0.5</v>
      </c>
      <c r="KA236">
        <v>0.2</v>
      </c>
      <c r="KB236">
        <v>0.4</v>
      </c>
      <c r="KC236">
        <v>0.42</v>
      </c>
      <c r="KD236">
        <v>0.28</v>
      </c>
      <c r="KE236">
        <v>0.5</v>
      </c>
      <c r="KF236">
        <v>0.19</v>
      </c>
      <c r="KG236">
        <v>0.11</v>
      </c>
      <c r="KH236">
        <v>3.5</v>
      </c>
      <c r="KI236">
        <v>1</v>
      </c>
      <c r="KJ236">
        <v>4.5</v>
      </c>
      <c r="KK236">
        <v>0</v>
      </c>
      <c r="KL236">
        <v>4.5</v>
      </c>
      <c r="KM236">
        <v>0.5</v>
      </c>
      <c r="KN236">
        <v>1.9</v>
      </c>
      <c r="KO236">
        <v>0</v>
      </c>
      <c r="KP236">
        <v>0</v>
      </c>
      <c r="KQ236">
        <v>1</v>
      </c>
      <c r="KR236">
        <v>1</v>
      </c>
      <c r="KS236">
        <v>0.2</v>
      </c>
      <c r="KT236">
        <v>2.3</v>
      </c>
      <c r="KU236">
        <v>0</v>
      </c>
      <c r="KV236">
        <v>0</v>
      </c>
      <c r="KW236">
        <v>1</v>
      </c>
      <c r="KX236">
        <v>1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3</v>
      </c>
      <c r="LI236">
        <v>0.5</v>
      </c>
      <c r="LJ236">
        <v>0</v>
      </c>
      <c r="LK236">
        <v>6</v>
      </c>
      <c r="LL236">
        <v>4.5</v>
      </c>
      <c r="LM236">
        <v>9.5</v>
      </c>
      <c r="LN236">
        <v>0.4</v>
      </c>
      <c r="LO236">
        <v>0.1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1.8</v>
      </c>
      <c r="LX236">
        <v>1.8</v>
      </c>
      <c r="LY236">
        <v>2</v>
      </c>
      <c r="LZ236">
        <v>2</v>
      </c>
      <c r="MA236">
        <v>0</v>
      </c>
      <c r="MB236">
        <v>4</v>
      </c>
      <c r="MC236">
        <v>0</v>
      </c>
      <c r="MD236">
        <v>4.5</v>
      </c>
      <c r="ME236">
        <v>6</v>
      </c>
      <c r="MF236">
        <v>6</v>
      </c>
      <c r="MI236">
        <v>0</v>
      </c>
      <c r="MJ236">
        <v>0</v>
      </c>
      <c r="ML236">
        <v>0</v>
      </c>
      <c r="MM236">
        <v>452</v>
      </c>
      <c r="MN236">
        <v>210</v>
      </c>
      <c r="MO236">
        <v>256</v>
      </c>
      <c r="NU236">
        <v>0.15</v>
      </c>
      <c r="NV236">
        <v>0.2</v>
      </c>
      <c r="NW236">
        <v>0.2</v>
      </c>
      <c r="NX236">
        <v>0.2</v>
      </c>
      <c r="NY236">
        <v>0.2</v>
      </c>
      <c r="NZ236">
        <v>0.2</v>
      </c>
      <c r="OE236" t="s">
        <v>4877</v>
      </c>
      <c r="OF236" t="s">
        <v>4306</v>
      </c>
      <c r="OG236" t="s">
        <v>4307</v>
      </c>
      <c r="OH236" t="s">
        <v>4043</v>
      </c>
      <c r="OI236" t="s">
        <v>4877</v>
      </c>
      <c r="OJ236" t="s">
        <v>4876</v>
      </c>
      <c r="OK236">
        <v>61</v>
      </c>
      <c r="OL236">
        <v>61</v>
      </c>
      <c r="OM236" t="s">
        <v>4306</v>
      </c>
      <c r="ON236">
        <v>1</v>
      </c>
      <c r="OO236">
        <v>2058</v>
      </c>
      <c r="OP236">
        <v>61</v>
      </c>
      <c r="OQ236">
        <v>61</v>
      </c>
      <c r="OR236" t="s">
        <v>4307</v>
      </c>
      <c r="OS236">
        <v>1</v>
      </c>
      <c r="OT236">
        <v>2070</v>
      </c>
      <c r="OU236">
        <v>65</v>
      </c>
      <c r="OV236">
        <v>65</v>
      </c>
      <c r="OW236" t="s">
        <v>4043</v>
      </c>
      <c r="OX236">
        <v>2</v>
      </c>
      <c r="OY236">
        <v>47224</v>
      </c>
      <c r="OZ236">
        <v>51</v>
      </c>
      <c r="PA236">
        <v>52</v>
      </c>
      <c r="PB236" t="s">
        <v>4877</v>
      </c>
      <c r="PC236">
        <v>1</v>
      </c>
      <c r="PD236">
        <v>2102</v>
      </c>
      <c r="PF236">
        <v>465</v>
      </c>
      <c r="PG236">
        <v>35</v>
      </c>
      <c r="PH236">
        <v>443</v>
      </c>
      <c r="PI236">
        <v>0</v>
      </c>
      <c r="PJ236">
        <v>89.40000000000001</v>
      </c>
      <c r="PK236">
        <v>2492</v>
      </c>
      <c r="PL236">
        <v>1119.3</v>
      </c>
      <c r="PM236">
        <v>1173.6</v>
      </c>
      <c r="PN236">
        <v>106.8</v>
      </c>
      <c r="PO236">
        <v>10</v>
      </c>
      <c r="PP236">
        <v>12</v>
      </c>
      <c r="PQ236">
        <v>3</v>
      </c>
      <c r="PR236">
        <v>3</v>
      </c>
      <c r="PS236">
        <v>0</v>
      </c>
      <c r="PT236">
        <v>256</v>
      </c>
      <c r="PU236">
        <v>10</v>
      </c>
      <c r="PV236" t="s">
        <v>4072</v>
      </c>
      <c r="PW236" t="s">
        <v>4072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-1</v>
      </c>
      <c r="QF236">
        <v>1</v>
      </c>
      <c r="QG236">
        <v>0</v>
      </c>
      <c r="QH236">
        <v>5</v>
      </c>
      <c r="QI236">
        <v>5</v>
      </c>
      <c r="QJ236">
        <v>5</v>
      </c>
      <c r="QK236">
        <v>198</v>
      </c>
      <c r="QL236">
        <v>440</v>
      </c>
      <c r="QM236">
        <v>7.5</v>
      </c>
      <c r="QN236">
        <v>1461.1</v>
      </c>
      <c r="QO236" t="s">
        <v>2662</v>
      </c>
      <c r="QP236" t="s">
        <v>513</v>
      </c>
      <c r="QQ236">
        <v>0</v>
      </c>
      <c r="QR236" t="s">
        <v>621</v>
      </c>
      <c r="QS236">
        <v>30</v>
      </c>
      <c r="QT236">
        <v>40</v>
      </c>
    </row>
    <row r="237" spans="1:462">
      <c r="A237" t="s">
        <v>3027</v>
      </c>
      <c r="B237" t="s">
        <v>804</v>
      </c>
      <c r="C237" t="s">
        <v>509</v>
      </c>
      <c r="D237" t="s">
        <v>1268</v>
      </c>
      <c r="E237" t="s">
        <v>4036</v>
      </c>
      <c r="H237" t="s">
        <v>1135</v>
      </c>
      <c r="J237" t="s">
        <v>562</v>
      </c>
      <c r="K237" t="s">
        <v>563</v>
      </c>
      <c r="L237" t="s">
        <v>508</v>
      </c>
      <c r="M237" t="s">
        <v>512</v>
      </c>
      <c r="N237" t="s">
        <v>515</v>
      </c>
      <c r="O237" t="s">
        <v>513</v>
      </c>
      <c r="P237" t="s">
        <v>517</v>
      </c>
      <c r="Q237" t="s">
        <v>1090</v>
      </c>
      <c r="R237" t="s">
        <v>1091</v>
      </c>
      <c r="S237" t="s">
        <v>4037</v>
      </c>
      <c r="T237" t="s">
        <v>686</v>
      </c>
      <c r="U237" t="s">
        <v>687</v>
      </c>
      <c r="V237" t="s">
        <v>1270</v>
      </c>
      <c r="W237" t="s">
        <v>2657</v>
      </c>
      <c r="X237" t="s">
        <v>3028</v>
      </c>
      <c r="Y237" t="s">
        <v>3029</v>
      </c>
      <c r="Z237" t="s">
        <v>541</v>
      </c>
      <c r="AA237" t="s">
        <v>4038</v>
      </c>
      <c r="AB237" t="s">
        <v>4878</v>
      </c>
      <c r="AC237">
        <v>9</v>
      </c>
      <c r="AD237" t="s">
        <v>3026</v>
      </c>
      <c r="AE237">
        <v>2</v>
      </c>
      <c r="AF237">
        <v>6874</v>
      </c>
      <c r="AG237" t="s">
        <v>4284</v>
      </c>
      <c r="AH237">
        <v>1</v>
      </c>
      <c r="AI237" t="s">
        <v>4041</v>
      </c>
      <c r="AK237" t="s">
        <v>4285</v>
      </c>
      <c r="AL237">
        <v>1</v>
      </c>
      <c r="AM237" t="s">
        <v>582</v>
      </c>
      <c r="AO237" t="s">
        <v>4043</v>
      </c>
      <c r="AP237">
        <v>1</v>
      </c>
      <c r="AR237" t="s">
        <v>4879</v>
      </c>
      <c r="AS237">
        <v>1</v>
      </c>
      <c r="AT237">
        <v>52</v>
      </c>
      <c r="AV237" t="s">
        <v>4078</v>
      </c>
      <c r="AW237">
        <v>6.4</v>
      </c>
      <c r="AX237">
        <v>-6</v>
      </c>
      <c r="AY237">
        <v>115</v>
      </c>
      <c r="AZ237">
        <v>85</v>
      </c>
      <c r="BH237">
        <v>115</v>
      </c>
      <c r="BI237">
        <v>30</v>
      </c>
      <c r="BJ237">
        <v>85</v>
      </c>
      <c r="BK237">
        <v>2.5</v>
      </c>
      <c r="BL237">
        <v>230</v>
      </c>
      <c r="BM237">
        <v>-6</v>
      </c>
      <c r="BN237">
        <v>0</v>
      </c>
      <c r="BO237">
        <v>0</v>
      </c>
      <c r="BP237">
        <v>0</v>
      </c>
      <c r="BR237">
        <v>225</v>
      </c>
      <c r="BS237">
        <v>215</v>
      </c>
      <c r="BT237">
        <v>2265</v>
      </c>
      <c r="BU237" t="s">
        <v>4079</v>
      </c>
      <c r="BV237" t="s">
        <v>4079</v>
      </c>
      <c r="BW237" t="s">
        <v>4081</v>
      </c>
      <c r="BX237" t="s">
        <v>4081</v>
      </c>
      <c r="BY237" t="s">
        <v>4297</v>
      </c>
      <c r="BZ237" t="s">
        <v>4221</v>
      </c>
      <c r="CA237" t="s">
        <v>4130</v>
      </c>
      <c r="CB237" t="s">
        <v>4131</v>
      </c>
      <c r="CC237" t="s">
        <v>4053</v>
      </c>
      <c r="CD237" t="s">
        <v>4055</v>
      </c>
      <c r="CE237" t="s">
        <v>4055</v>
      </c>
      <c r="CF237" t="s">
        <v>4055</v>
      </c>
      <c r="CG237" t="s">
        <v>4056</v>
      </c>
      <c r="CI237" t="s">
        <v>4086</v>
      </c>
      <c r="CJ237" t="s">
        <v>4059</v>
      </c>
      <c r="CK237" t="s">
        <v>4060</v>
      </c>
      <c r="CL237" t="s">
        <v>4061</v>
      </c>
      <c r="CM237" t="s">
        <v>4055</v>
      </c>
      <c r="CN237" t="s">
        <v>4062</v>
      </c>
      <c r="CO237" t="s">
        <v>4063</v>
      </c>
      <c r="CP237" t="s">
        <v>4055</v>
      </c>
      <c r="CQ237" t="s">
        <v>4055</v>
      </c>
      <c r="CR237">
        <v>5</v>
      </c>
      <c r="CS237" t="s">
        <v>4055</v>
      </c>
      <c r="CT237" t="s">
        <v>4055</v>
      </c>
      <c r="CU237" t="s">
        <v>4055</v>
      </c>
      <c r="CV237">
        <v>146</v>
      </c>
      <c r="CW237">
        <v>3</v>
      </c>
      <c r="CX237">
        <v>98</v>
      </c>
      <c r="CY237">
        <v>5</v>
      </c>
      <c r="CZ237">
        <v>173</v>
      </c>
      <c r="DA237">
        <v>5</v>
      </c>
      <c r="DB237">
        <v>16320</v>
      </c>
      <c r="DC237">
        <v>480</v>
      </c>
      <c r="DD237">
        <v>390</v>
      </c>
      <c r="DE237">
        <v>2397</v>
      </c>
      <c r="DF237">
        <v>2397</v>
      </c>
      <c r="DG237">
        <v>2408</v>
      </c>
      <c r="DH237">
        <v>1</v>
      </c>
      <c r="DI237" t="s">
        <v>4055</v>
      </c>
      <c r="DJ237" t="s">
        <v>4217</v>
      </c>
      <c r="DK237">
        <v>225</v>
      </c>
      <c r="DL237" t="s">
        <v>4065</v>
      </c>
      <c r="DM237">
        <v>63</v>
      </c>
      <c r="DN237">
        <v>1.26</v>
      </c>
      <c r="DO237">
        <v>1</v>
      </c>
      <c r="DP237">
        <v>2269</v>
      </c>
      <c r="DQ237">
        <v>1232</v>
      </c>
      <c r="DR237" t="s">
        <v>4217</v>
      </c>
      <c r="DS237">
        <v>215</v>
      </c>
      <c r="DT237" t="s">
        <v>4065</v>
      </c>
      <c r="DU237">
        <v>63</v>
      </c>
      <c r="DV237">
        <v>1.26</v>
      </c>
      <c r="DW237">
        <v>1</v>
      </c>
      <c r="DX237">
        <v>2282</v>
      </c>
      <c r="DY237">
        <v>1184</v>
      </c>
      <c r="DZ237" t="s">
        <v>4066</v>
      </c>
      <c r="EA237">
        <v>20</v>
      </c>
      <c r="EB237" t="s">
        <v>4065</v>
      </c>
      <c r="EC237">
        <v>0.8</v>
      </c>
      <c r="ED237">
        <v>2269</v>
      </c>
      <c r="EE237">
        <v>79</v>
      </c>
      <c r="EG237">
        <v>0</v>
      </c>
      <c r="EH237" t="s">
        <v>4065</v>
      </c>
      <c r="EI237">
        <v>0</v>
      </c>
      <c r="EL237" t="s">
        <v>1528</v>
      </c>
      <c r="EM237">
        <v>12</v>
      </c>
      <c r="EN237">
        <v>0.5</v>
      </c>
      <c r="EO237">
        <v>0.96</v>
      </c>
      <c r="EP237">
        <v>2280.84</v>
      </c>
      <c r="EQ237">
        <v>43122.13</v>
      </c>
      <c r="ER237">
        <v>10719.71</v>
      </c>
      <c r="ES237">
        <v>0</v>
      </c>
      <c r="ET237">
        <v>0</v>
      </c>
      <c r="EU237">
        <v>1</v>
      </c>
      <c r="EV237">
        <v>53842</v>
      </c>
      <c r="EW237">
        <v>647</v>
      </c>
      <c r="EX237" t="s">
        <v>4755</v>
      </c>
      <c r="EY237">
        <v>250</v>
      </c>
      <c r="EZ237" t="s">
        <v>4055</v>
      </c>
      <c r="FA237">
        <v>3.6</v>
      </c>
      <c r="FB237">
        <v>1</v>
      </c>
      <c r="FC237">
        <v>1</v>
      </c>
      <c r="FD237">
        <v>2314</v>
      </c>
      <c r="FE237">
        <v>2614</v>
      </c>
      <c r="FF237" t="s">
        <v>4756</v>
      </c>
      <c r="FG237">
        <v>250</v>
      </c>
      <c r="FH237" t="s">
        <v>4055</v>
      </c>
      <c r="FI237">
        <v>4.6</v>
      </c>
      <c r="FJ237">
        <v>2314</v>
      </c>
      <c r="FK237">
        <v>3095</v>
      </c>
      <c r="FL237" t="s">
        <v>4069</v>
      </c>
      <c r="FM237" t="s">
        <v>4055</v>
      </c>
      <c r="FN237" t="s">
        <v>4055</v>
      </c>
      <c r="FO237" t="s">
        <v>4055</v>
      </c>
      <c r="FP237">
        <v>2314</v>
      </c>
      <c r="FQ237">
        <v>308</v>
      </c>
      <c r="FR237" t="s">
        <v>4090</v>
      </c>
      <c r="FS237">
        <v>254</v>
      </c>
      <c r="FT237" t="s">
        <v>4055</v>
      </c>
      <c r="FU237">
        <v>0.4</v>
      </c>
      <c r="FV237">
        <v>2314</v>
      </c>
      <c r="FW237">
        <v>258</v>
      </c>
      <c r="FX237" t="s">
        <v>4070</v>
      </c>
      <c r="FY237">
        <v>5</v>
      </c>
      <c r="FZ237" t="s">
        <v>4055</v>
      </c>
      <c r="GA237" t="s">
        <v>4055</v>
      </c>
      <c r="GB237">
        <v>2314</v>
      </c>
      <c r="GC237">
        <v>23</v>
      </c>
      <c r="GD237">
        <v>6298</v>
      </c>
      <c r="GE237" t="s">
        <v>4879</v>
      </c>
      <c r="GF237" t="s">
        <v>4055</v>
      </c>
      <c r="GG237" t="s">
        <v>4055</v>
      </c>
      <c r="GH237" t="s">
        <v>4055</v>
      </c>
      <c r="GI237" t="s">
        <v>4071</v>
      </c>
      <c r="GJ237" t="s">
        <v>4055</v>
      </c>
      <c r="GK237" t="s">
        <v>4055</v>
      </c>
      <c r="GL237" t="s">
        <v>4055</v>
      </c>
      <c r="GM237" t="s">
        <v>4055</v>
      </c>
      <c r="GQ237">
        <v>0</v>
      </c>
      <c r="GV237">
        <v>8.6</v>
      </c>
      <c r="GW237">
        <v>11.5</v>
      </c>
      <c r="GX237">
        <v>0.5</v>
      </c>
      <c r="GY237">
        <v>218</v>
      </c>
      <c r="GZ237">
        <v>3</v>
      </c>
      <c r="HA237">
        <v>278</v>
      </c>
      <c r="HB237">
        <v>3</v>
      </c>
      <c r="HC237">
        <v>2314</v>
      </c>
      <c r="HD237">
        <v>4</v>
      </c>
      <c r="HE237" t="s">
        <v>4071</v>
      </c>
      <c r="HG237" t="s">
        <v>549</v>
      </c>
      <c r="HL237">
        <v>4</v>
      </c>
      <c r="HM237">
        <v>19</v>
      </c>
      <c r="HN237">
        <v>6</v>
      </c>
      <c r="HO237">
        <v>1</v>
      </c>
      <c r="HP237">
        <v>0</v>
      </c>
      <c r="HQ237">
        <v>0</v>
      </c>
      <c r="HR237">
        <v>3</v>
      </c>
      <c r="HS237">
        <v>2265</v>
      </c>
      <c r="HT237">
        <v>5</v>
      </c>
      <c r="HU237">
        <v>1</v>
      </c>
      <c r="HV237">
        <v>5</v>
      </c>
      <c r="HW237">
        <v>0</v>
      </c>
      <c r="HX237">
        <v>1</v>
      </c>
      <c r="HY237">
        <v>0</v>
      </c>
      <c r="HZ237">
        <v>63</v>
      </c>
      <c r="IA237">
        <v>2269</v>
      </c>
      <c r="IB237">
        <v>2282</v>
      </c>
      <c r="ID237">
        <v>2314</v>
      </c>
      <c r="IE237">
        <v>2314</v>
      </c>
      <c r="IF237">
        <v>225</v>
      </c>
      <c r="IG237">
        <v>215</v>
      </c>
      <c r="IH237">
        <v>278</v>
      </c>
      <c r="II237">
        <v>1</v>
      </c>
      <c r="IJ237">
        <v>10</v>
      </c>
      <c r="IK237">
        <v>0</v>
      </c>
      <c r="IL237">
        <v>0</v>
      </c>
      <c r="IM237">
        <v>0</v>
      </c>
      <c r="IN237">
        <v>270</v>
      </c>
      <c r="IO237">
        <v>0</v>
      </c>
      <c r="IP237">
        <v>180</v>
      </c>
      <c r="IQ237">
        <v>0</v>
      </c>
      <c r="IR237">
        <v>330</v>
      </c>
      <c r="IS237">
        <v>0</v>
      </c>
      <c r="IT237">
        <v>90</v>
      </c>
      <c r="IU237">
        <v>0</v>
      </c>
      <c r="IV237">
        <v>6.4</v>
      </c>
      <c r="IW237">
        <v>-6</v>
      </c>
      <c r="IX237">
        <v>115</v>
      </c>
      <c r="IY237">
        <v>85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464</v>
      </c>
      <c r="JJ237">
        <v>434</v>
      </c>
      <c r="JK237">
        <v>335</v>
      </c>
      <c r="JL237">
        <v>432</v>
      </c>
      <c r="JM237">
        <v>330</v>
      </c>
      <c r="JN237">
        <v>220</v>
      </c>
      <c r="JO237">
        <v>284</v>
      </c>
      <c r="JP237">
        <v>185</v>
      </c>
      <c r="JQ237">
        <v>220</v>
      </c>
      <c r="JR237">
        <v>320</v>
      </c>
      <c r="JS237">
        <v>205</v>
      </c>
      <c r="JT237">
        <v>0</v>
      </c>
      <c r="JU237">
        <v>0</v>
      </c>
      <c r="JV237">
        <v>320</v>
      </c>
      <c r="JW237">
        <v>310</v>
      </c>
      <c r="JX237">
        <v>0</v>
      </c>
      <c r="JY237">
        <v>0</v>
      </c>
      <c r="JZ237">
        <v>0</v>
      </c>
      <c r="KA237">
        <v>0.2</v>
      </c>
      <c r="KB237">
        <v>0.4</v>
      </c>
      <c r="KC237">
        <v>0.42</v>
      </c>
      <c r="KD237">
        <v>0.3</v>
      </c>
      <c r="KE237">
        <v>0.5</v>
      </c>
      <c r="KF237">
        <v>0.18</v>
      </c>
      <c r="KG237">
        <v>0.12</v>
      </c>
      <c r="KH237">
        <v>3.5</v>
      </c>
      <c r="KI237">
        <v>1</v>
      </c>
      <c r="KJ237">
        <v>4.5</v>
      </c>
      <c r="KK237">
        <v>0</v>
      </c>
      <c r="KL237">
        <v>4.5</v>
      </c>
      <c r="KM237">
        <v>0</v>
      </c>
      <c r="KN237">
        <v>2</v>
      </c>
      <c r="KO237">
        <v>0</v>
      </c>
      <c r="KP237">
        <v>0</v>
      </c>
      <c r="KQ237">
        <v>0.5</v>
      </c>
      <c r="KR237">
        <v>0.8</v>
      </c>
      <c r="KS237">
        <v>0</v>
      </c>
      <c r="KT237">
        <v>3.2</v>
      </c>
      <c r="KU237">
        <v>0</v>
      </c>
      <c r="KV237">
        <v>0</v>
      </c>
      <c r="KW237">
        <v>1.6</v>
      </c>
      <c r="KX237">
        <v>2</v>
      </c>
      <c r="KY237">
        <v>1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3</v>
      </c>
      <c r="LI237">
        <v>0</v>
      </c>
      <c r="LJ237">
        <v>0</v>
      </c>
      <c r="LK237">
        <v>11</v>
      </c>
      <c r="LL237">
        <v>11</v>
      </c>
      <c r="LM237">
        <v>11</v>
      </c>
      <c r="LN237">
        <v>3</v>
      </c>
      <c r="LO237">
        <v>1</v>
      </c>
      <c r="LP237">
        <v>0</v>
      </c>
      <c r="LQ237">
        <v>0</v>
      </c>
      <c r="LR237">
        <v>0</v>
      </c>
      <c r="LS237">
        <v>1</v>
      </c>
      <c r="LT237">
        <v>530</v>
      </c>
      <c r="LU237">
        <v>0</v>
      </c>
      <c r="LV237">
        <v>0</v>
      </c>
      <c r="LW237">
        <v>2.5</v>
      </c>
      <c r="LX237">
        <v>2.5</v>
      </c>
      <c r="LY237">
        <v>2.1</v>
      </c>
      <c r="LZ237">
        <v>2.1</v>
      </c>
      <c r="MA237">
        <v>0</v>
      </c>
      <c r="MB237">
        <v>12</v>
      </c>
      <c r="MC237">
        <v>0</v>
      </c>
      <c r="MD237">
        <v>4.5</v>
      </c>
      <c r="ME237">
        <v>6</v>
      </c>
      <c r="MF237">
        <v>6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484</v>
      </c>
      <c r="MN237">
        <v>220</v>
      </c>
      <c r="MO237">
        <v>284</v>
      </c>
      <c r="NU237">
        <v>0.15</v>
      </c>
      <c r="NV237">
        <v>0.2</v>
      </c>
      <c r="NW237">
        <v>0.2</v>
      </c>
      <c r="NX237">
        <v>0.2</v>
      </c>
      <c r="NY237">
        <v>0.2</v>
      </c>
      <c r="NZ237">
        <v>0.2</v>
      </c>
      <c r="OE237" t="s">
        <v>4879</v>
      </c>
      <c r="OF237" t="s">
        <v>4284</v>
      </c>
      <c r="OG237" t="s">
        <v>4285</v>
      </c>
      <c r="OH237" t="s">
        <v>4043</v>
      </c>
      <c r="OI237" t="s">
        <v>4879</v>
      </c>
      <c r="OJ237" t="s">
        <v>4878</v>
      </c>
      <c r="OK237">
        <v>61</v>
      </c>
      <c r="OL237">
        <v>61</v>
      </c>
      <c r="OM237" t="s">
        <v>4284</v>
      </c>
      <c r="ON237">
        <v>1</v>
      </c>
      <c r="OO237">
        <v>2269</v>
      </c>
      <c r="OP237">
        <v>61</v>
      </c>
      <c r="OQ237">
        <v>61</v>
      </c>
      <c r="OR237" t="s">
        <v>4285</v>
      </c>
      <c r="OS237">
        <v>1</v>
      </c>
      <c r="OT237">
        <v>2282</v>
      </c>
      <c r="OU237">
        <v>65</v>
      </c>
      <c r="OV237">
        <v>65</v>
      </c>
      <c r="OW237" t="s">
        <v>4043</v>
      </c>
      <c r="OX237">
        <v>2</v>
      </c>
      <c r="OY237">
        <v>53842</v>
      </c>
      <c r="OZ237">
        <v>51</v>
      </c>
      <c r="PA237">
        <v>52</v>
      </c>
      <c r="PB237" t="s">
        <v>4879</v>
      </c>
      <c r="PC237">
        <v>1</v>
      </c>
      <c r="PD237">
        <v>2314</v>
      </c>
      <c r="PF237">
        <v>543</v>
      </c>
      <c r="PG237">
        <v>35</v>
      </c>
      <c r="PH237">
        <v>519</v>
      </c>
      <c r="PI237">
        <v>0</v>
      </c>
      <c r="PJ237">
        <v>132.9</v>
      </c>
      <c r="PK237">
        <v>2681</v>
      </c>
      <c r="PL237">
        <v>1129.6</v>
      </c>
      <c r="PM237">
        <v>1337.5</v>
      </c>
      <c r="PN237">
        <v>111.3</v>
      </c>
      <c r="PO237">
        <v>10</v>
      </c>
      <c r="PP237">
        <v>12</v>
      </c>
      <c r="PQ237">
        <v>4</v>
      </c>
      <c r="PR237">
        <v>4</v>
      </c>
      <c r="PS237">
        <v>0</v>
      </c>
      <c r="PT237">
        <v>278</v>
      </c>
      <c r="PU237">
        <v>14</v>
      </c>
      <c r="PV237" t="s">
        <v>4072</v>
      </c>
      <c r="PW237" t="s">
        <v>4072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-1</v>
      </c>
      <c r="QF237">
        <v>1</v>
      </c>
      <c r="QG237">
        <v>0</v>
      </c>
      <c r="QH237">
        <v>5</v>
      </c>
      <c r="QI237">
        <v>5</v>
      </c>
      <c r="QJ237">
        <v>5</v>
      </c>
      <c r="QK237">
        <v>248</v>
      </c>
      <c r="QL237">
        <v>494</v>
      </c>
      <c r="QM237">
        <v>9.4</v>
      </c>
      <c r="QN237">
        <v>1544.1</v>
      </c>
      <c r="QO237" t="s">
        <v>2662</v>
      </c>
      <c r="QP237" t="s">
        <v>513</v>
      </c>
      <c r="QQ237">
        <v>0</v>
      </c>
      <c r="QR237" t="s">
        <v>596</v>
      </c>
      <c r="QS237">
        <v>40</v>
      </c>
      <c r="QT237">
        <v>50</v>
      </c>
    </row>
    <row r="238" spans="1:462">
      <c r="A238" t="s">
        <v>3038</v>
      </c>
      <c r="B238" t="s">
        <v>804</v>
      </c>
      <c r="C238" t="s">
        <v>509</v>
      </c>
      <c r="D238" t="s">
        <v>3037</v>
      </c>
      <c r="E238" t="s">
        <v>4036</v>
      </c>
      <c r="H238" t="s">
        <v>511</v>
      </c>
      <c r="J238" t="s">
        <v>562</v>
      </c>
      <c r="L238" t="s">
        <v>508</v>
      </c>
      <c r="M238" t="s">
        <v>512</v>
      </c>
      <c r="N238" t="s">
        <v>515</v>
      </c>
      <c r="O238" t="s">
        <v>513</v>
      </c>
      <c r="P238" t="s">
        <v>567</v>
      </c>
      <c r="Q238" t="s">
        <v>518</v>
      </c>
      <c r="R238" t="s">
        <v>519</v>
      </c>
      <c r="S238" t="s">
        <v>4037</v>
      </c>
      <c r="T238" t="s">
        <v>520</v>
      </c>
      <c r="U238" t="s">
        <v>521</v>
      </c>
      <c r="V238" t="s">
        <v>1619</v>
      </c>
      <c r="W238" t="s">
        <v>3039</v>
      </c>
      <c r="X238" t="s">
        <v>3040</v>
      </c>
      <c r="Y238" t="s">
        <v>3040</v>
      </c>
      <c r="Z238" t="s">
        <v>541</v>
      </c>
      <c r="AA238" t="s">
        <v>4038</v>
      </c>
      <c r="AB238" t="s">
        <v>4880</v>
      </c>
      <c r="AC238">
        <v>9</v>
      </c>
      <c r="AD238" t="s">
        <v>3036</v>
      </c>
      <c r="AE238">
        <v>2</v>
      </c>
      <c r="AF238">
        <v>3462</v>
      </c>
      <c r="AG238" t="s">
        <v>4500</v>
      </c>
      <c r="AH238">
        <v>1</v>
      </c>
      <c r="AI238" t="s">
        <v>4041</v>
      </c>
      <c r="AK238" t="s">
        <v>4501</v>
      </c>
      <c r="AL238">
        <v>1</v>
      </c>
      <c r="AM238" t="s">
        <v>582</v>
      </c>
      <c r="AO238" t="s">
        <v>4043</v>
      </c>
      <c r="AP238">
        <v>1</v>
      </c>
      <c r="AR238" t="s">
        <v>4881</v>
      </c>
      <c r="AS238">
        <v>1</v>
      </c>
      <c r="AT238">
        <v>52</v>
      </c>
      <c r="AV238" t="s">
        <v>4045</v>
      </c>
      <c r="AW238">
        <v>6.4</v>
      </c>
      <c r="AX238">
        <v>-6</v>
      </c>
      <c r="AY238">
        <v>98.5</v>
      </c>
      <c r="AZ238">
        <v>89.5</v>
      </c>
      <c r="BH238">
        <v>98.5</v>
      </c>
      <c r="BI238">
        <v>9</v>
      </c>
      <c r="BJ238">
        <v>89.5</v>
      </c>
      <c r="BK238">
        <v>3.5</v>
      </c>
      <c r="BL238">
        <v>197</v>
      </c>
      <c r="BM238">
        <v>-6</v>
      </c>
      <c r="BN238">
        <v>0</v>
      </c>
      <c r="BP238">
        <v>0</v>
      </c>
      <c r="BR238">
        <v>190</v>
      </c>
      <c r="BS238">
        <v>180</v>
      </c>
      <c r="BT238">
        <v>1855</v>
      </c>
      <c r="BU238" t="s">
        <v>4046</v>
      </c>
      <c r="BV238" t="s">
        <v>4047</v>
      </c>
      <c r="BW238" t="s">
        <v>4048</v>
      </c>
      <c r="BX238" t="s">
        <v>4049</v>
      </c>
      <c r="BY238" t="s">
        <v>4050</v>
      </c>
      <c r="BZ238" t="s">
        <v>4050</v>
      </c>
      <c r="CA238" t="s">
        <v>4051</v>
      </c>
      <c r="CB238" t="s">
        <v>4052</v>
      </c>
      <c r="CC238" t="s">
        <v>4053</v>
      </c>
      <c r="CD238" t="s">
        <v>4054</v>
      </c>
      <c r="CE238" t="s">
        <v>4055</v>
      </c>
      <c r="CF238" t="s">
        <v>4055</v>
      </c>
      <c r="CG238" t="s">
        <v>4056</v>
      </c>
      <c r="CH238" t="s">
        <v>4057</v>
      </c>
      <c r="CI238" t="s">
        <v>4058</v>
      </c>
      <c r="CJ238" t="s">
        <v>4610</v>
      </c>
      <c r="CK238" t="s">
        <v>4611</v>
      </c>
      <c r="CL238" t="s">
        <v>4612</v>
      </c>
      <c r="CM238" t="s">
        <v>4055</v>
      </c>
      <c r="CN238" t="s">
        <v>4062</v>
      </c>
      <c r="CO238" t="s">
        <v>4063</v>
      </c>
      <c r="CP238" t="s">
        <v>4055</v>
      </c>
      <c r="CQ238" t="s">
        <v>4055</v>
      </c>
      <c r="CR238">
        <v>5</v>
      </c>
      <c r="CS238" t="s">
        <v>4055</v>
      </c>
      <c r="CT238" t="s">
        <v>4055</v>
      </c>
      <c r="CU238" t="s">
        <v>4055</v>
      </c>
      <c r="CV238">
        <v>114</v>
      </c>
      <c r="CW238">
        <v>3</v>
      </c>
      <c r="CX238">
        <v>84</v>
      </c>
      <c r="CY238">
        <v>5</v>
      </c>
      <c r="CZ238">
        <v>153</v>
      </c>
      <c r="DA238">
        <v>5</v>
      </c>
      <c r="DB238">
        <v>8510</v>
      </c>
      <c r="DC238">
        <v>140</v>
      </c>
      <c r="DD238">
        <v>326</v>
      </c>
      <c r="DE238">
        <v>1965</v>
      </c>
      <c r="DF238">
        <v>1965</v>
      </c>
      <c r="DG238">
        <v>1975</v>
      </c>
      <c r="DH238" t="s">
        <v>4055</v>
      </c>
      <c r="DI238" t="s">
        <v>4055</v>
      </c>
      <c r="DJ238" t="s">
        <v>4100</v>
      </c>
      <c r="DK238">
        <v>190</v>
      </c>
      <c r="DL238" t="s">
        <v>4065</v>
      </c>
      <c r="DM238">
        <v>63</v>
      </c>
      <c r="DN238">
        <v>0.84</v>
      </c>
      <c r="DO238">
        <v>1</v>
      </c>
      <c r="DP238">
        <v>1858</v>
      </c>
      <c r="DQ238">
        <v>645</v>
      </c>
      <c r="DR238" t="s">
        <v>4100</v>
      </c>
      <c r="DS238">
        <v>180</v>
      </c>
      <c r="DT238" t="s">
        <v>4065</v>
      </c>
      <c r="DU238">
        <v>63</v>
      </c>
      <c r="DV238">
        <v>0.84</v>
      </c>
      <c r="DW238">
        <v>1</v>
      </c>
      <c r="DX238">
        <v>1865</v>
      </c>
      <c r="DY238">
        <v>614</v>
      </c>
      <c r="DZ238" t="s">
        <v>4066</v>
      </c>
      <c r="EA238">
        <v>33</v>
      </c>
      <c r="EB238" t="s">
        <v>4065</v>
      </c>
      <c r="EC238">
        <v>0.4</v>
      </c>
      <c r="ED238">
        <v>1858</v>
      </c>
      <c r="EE238">
        <v>54</v>
      </c>
      <c r="EF238" t="s">
        <v>4066</v>
      </c>
      <c r="EG238">
        <v>33</v>
      </c>
      <c r="EH238" t="s">
        <v>4065</v>
      </c>
      <c r="EI238">
        <v>0.4</v>
      </c>
      <c r="EJ238">
        <v>1865</v>
      </c>
      <c r="EK238">
        <v>54</v>
      </c>
      <c r="EL238" t="s">
        <v>1528</v>
      </c>
      <c r="EM238">
        <v>12</v>
      </c>
      <c r="EN238">
        <v>0.5</v>
      </c>
      <c r="EO238">
        <v>0.96</v>
      </c>
      <c r="EP238">
        <v>1865.56</v>
      </c>
      <c r="EQ238">
        <v>30461.1</v>
      </c>
      <c r="ER238">
        <v>2631.93</v>
      </c>
      <c r="ES238">
        <v>0</v>
      </c>
      <c r="ET238">
        <v>0</v>
      </c>
      <c r="EU238">
        <v>1</v>
      </c>
      <c r="EV238">
        <v>33094</v>
      </c>
      <c r="EW238">
        <v>398</v>
      </c>
      <c r="EX238" t="s">
        <v>4088</v>
      </c>
      <c r="EY238">
        <v>204</v>
      </c>
      <c r="EZ238" t="s">
        <v>4055</v>
      </c>
      <c r="FA238">
        <v>5</v>
      </c>
      <c r="FB238">
        <v>1</v>
      </c>
      <c r="FC238">
        <v>1</v>
      </c>
      <c r="FD238">
        <v>1893</v>
      </c>
      <c r="FE238">
        <v>2597</v>
      </c>
      <c r="FF238" t="s">
        <v>4089</v>
      </c>
      <c r="FG238">
        <v>204</v>
      </c>
      <c r="FH238" t="s">
        <v>4055</v>
      </c>
      <c r="FI238">
        <v>1.1</v>
      </c>
      <c r="FJ238">
        <v>1893</v>
      </c>
      <c r="FK238">
        <v>574</v>
      </c>
      <c r="FL238" t="s">
        <v>4069</v>
      </c>
      <c r="FM238" t="s">
        <v>4055</v>
      </c>
      <c r="FN238" t="s">
        <v>4055</v>
      </c>
      <c r="FO238" t="s">
        <v>4055</v>
      </c>
      <c r="FP238">
        <v>1893</v>
      </c>
      <c r="FQ238">
        <v>95</v>
      </c>
      <c r="FR238" t="s">
        <v>4055</v>
      </c>
      <c r="FT238" t="s">
        <v>4055</v>
      </c>
      <c r="FU238">
        <v>0.4</v>
      </c>
      <c r="FV238">
        <v>1893</v>
      </c>
      <c r="FW238">
        <v>0</v>
      </c>
      <c r="FX238" t="s">
        <v>4070</v>
      </c>
      <c r="FY238">
        <v>5</v>
      </c>
      <c r="FZ238" t="s">
        <v>4055</v>
      </c>
      <c r="GA238" t="s">
        <v>4055</v>
      </c>
      <c r="GB238">
        <v>1893</v>
      </c>
      <c r="GC238">
        <v>14</v>
      </c>
      <c r="GD238">
        <v>3280</v>
      </c>
      <c r="GE238" t="s">
        <v>4881</v>
      </c>
      <c r="GF238" t="s">
        <v>4055</v>
      </c>
      <c r="GG238" t="s">
        <v>4055</v>
      </c>
      <c r="GH238" t="s">
        <v>4055</v>
      </c>
      <c r="GI238" t="s">
        <v>4071</v>
      </c>
      <c r="GJ238" t="s">
        <v>4055</v>
      </c>
      <c r="GK238" t="s">
        <v>4055</v>
      </c>
      <c r="GL238" t="s">
        <v>4055</v>
      </c>
      <c r="GM238" t="s">
        <v>4055</v>
      </c>
      <c r="GQ238">
        <v>0</v>
      </c>
      <c r="GV238">
        <v>6.5</v>
      </c>
      <c r="GW238">
        <v>9.300000000000001</v>
      </c>
      <c r="GX238">
        <v>0.5</v>
      </c>
      <c r="GY238">
        <v>170</v>
      </c>
      <c r="GZ238">
        <v>3</v>
      </c>
      <c r="HA238">
        <v>220</v>
      </c>
      <c r="HB238">
        <v>3</v>
      </c>
      <c r="HC238">
        <v>1893</v>
      </c>
      <c r="HD238">
        <v>4</v>
      </c>
      <c r="HE238" t="s">
        <v>4071</v>
      </c>
      <c r="HG238" t="s">
        <v>549</v>
      </c>
      <c r="HL238">
        <v>4</v>
      </c>
      <c r="HM238">
        <v>16</v>
      </c>
      <c r="HN238">
        <v>6</v>
      </c>
      <c r="HO238">
        <v>1</v>
      </c>
      <c r="HP238">
        <v>0</v>
      </c>
      <c r="HQ238">
        <v>0</v>
      </c>
      <c r="HR238">
        <v>3</v>
      </c>
      <c r="HS238">
        <v>1855</v>
      </c>
      <c r="HT238">
        <v>5</v>
      </c>
      <c r="HU238">
        <v>1</v>
      </c>
      <c r="HV238">
        <v>5</v>
      </c>
      <c r="HW238">
        <v>0</v>
      </c>
      <c r="HX238">
        <v>1</v>
      </c>
      <c r="HY238">
        <v>0</v>
      </c>
      <c r="HZ238">
        <v>63</v>
      </c>
      <c r="IA238">
        <v>1858</v>
      </c>
      <c r="IB238">
        <v>1865</v>
      </c>
      <c r="ID238">
        <v>1893</v>
      </c>
      <c r="IE238">
        <v>1893</v>
      </c>
      <c r="IF238">
        <v>190</v>
      </c>
      <c r="IG238">
        <v>180</v>
      </c>
      <c r="IH238">
        <v>220</v>
      </c>
      <c r="II238">
        <v>1</v>
      </c>
      <c r="IJ238">
        <v>5</v>
      </c>
      <c r="IK238">
        <v>0</v>
      </c>
      <c r="IL238">
        <v>0</v>
      </c>
      <c r="IM238">
        <v>0</v>
      </c>
      <c r="IN238">
        <v>270</v>
      </c>
      <c r="IO238">
        <v>0</v>
      </c>
      <c r="IP238">
        <v>180</v>
      </c>
      <c r="IQ238">
        <v>0</v>
      </c>
      <c r="IR238">
        <v>325</v>
      </c>
      <c r="IS238">
        <v>0</v>
      </c>
      <c r="IT238">
        <v>90</v>
      </c>
      <c r="IU238">
        <v>0</v>
      </c>
      <c r="IV238">
        <v>6.4</v>
      </c>
      <c r="IW238">
        <v>-6</v>
      </c>
      <c r="IX238">
        <v>98.5</v>
      </c>
      <c r="IY238">
        <v>89.5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370</v>
      </c>
      <c r="JJ238">
        <v>330</v>
      </c>
      <c r="JK238">
        <v>234</v>
      </c>
      <c r="JL238">
        <v>326</v>
      </c>
      <c r="JM238">
        <v>250</v>
      </c>
      <c r="JN238">
        <v>180</v>
      </c>
      <c r="JO238">
        <v>230</v>
      </c>
      <c r="JP238">
        <v>240</v>
      </c>
      <c r="JQ238">
        <v>280</v>
      </c>
      <c r="JR238">
        <v>358</v>
      </c>
      <c r="JS238">
        <v>275</v>
      </c>
      <c r="JT238">
        <v>0</v>
      </c>
      <c r="JU238">
        <v>0</v>
      </c>
      <c r="JV238">
        <v>305</v>
      </c>
      <c r="JW238">
        <v>307</v>
      </c>
      <c r="JX238">
        <v>352</v>
      </c>
      <c r="JY238">
        <v>0</v>
      </c>
      <c r="JZ238">
        <v>3</v>
      </c>
      <c r="KA238">
        <v>0.2</v>
      </c>
      <c r="KB238">
        <v>0.4</v>
      </c>
      <c r="KC238">
        <v>0.42</v>
      </c>
      <c r="KD238">
        <v>0.28</v>
      </c>
      <c r="KE238">
        <v>0.5</v>
      </c>
      <c r="KF238">
        <v>0.2</v>
      </c>
      <c r="KG238">
        <v>0.1</v>
      </c>
      <c r="KH238">
        <v>3.5</v>
      </c>
      <c r="KI238">
        <v>1</v>
      </c>
      <c r="KJ238">
        <v>4.5</v>
      </c>
      <c r="KK238">
        <v>0</v>
      </c>
      <c r="KL238">
        <v>4.5</v>
      </c>
      <c r="KM238">
        <v>1</v>
      </c>
      <c r="KN238">
        <v>1.3</v>
      </c>
      <c r="KO238">
        <v>0</v>
      </c>
      <c r="KP238">
        <v>0</v>
      </c>
      <c r="KQ238">
        <v>1.2</v>
      </c>
      <c r="KR238">
        <v>1.5</v>
      </c>
      <c r="KS238">
        <v>0</v>
      </c>
      <c r="KT238">
        <v>2.1</v>
      </c>
      <c r="KU238">
        <v>0</v>
      </c>
      <c r="KV238">
        <v>0</v>
      </c>
      <c r="KW238">
        <v>1.2</v>
      </c>
      <c r="KX238">
        <v>2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3</v>
      </c>
      <c r="LI238">
        <v>0</v>
      </c>
      <c r="LJ238">
        <v>0</v>
      </c>
      <c r="LK238">
        <v>7</v>
      </c>
      <c r="LL238">
        <v>9</v>
      </c>
      <c r="LM238">
        <v>9</v>
      </c>
      <c r="LN238">
        <v>1</v>
      </c>
      <c r="LO238">
        <v>0.5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1.4</v>
      </c>
      <c r="LX238">
        <v>1.4</v>
      </c>
      <c r="LY238">
        <v>2.1</v>
      </c>
      <c r="LZ238">
        <v>2.1</v>
      </c>
      <c r="MA238">
        <v>0</v>
      </c>
      <c r="MB238">
        <v>0</v>
      </c>
      <c r="MC238">
        <v>0</v>
      </c>
      <c r="MD238">
        <v>4.5</v>
      </c>
      <c r="ME238">
        <v>6</v>
      </c>
      <c r="MF238">
        <v>6</v>
      </c>
      <c r="MN238">
        <v>185</v>
      </c>
      <c r="MO238">
        <v>230</v>
      </c>
      <c r="NU238">
        <v>0.15</v>
      </c>
      <c r="NV238">
        <v>0.2</v>
      </c>
      <c r="NW238">
        <v>0.2</v>
      </c>
      <c r="NX238">
        <v>0.2</v>
      </c>
      <c r="NY238">
        <v>0.2</v>
      </c>
      <c r="NZ238">
        <v>0.2</v>
      </c>
      <c r="OE238" t="s">
        <v>4881</v>
      </c>
      <c r="OF238" t="s">
        <v>4500</v>
      </c>
      <c r="OG238" t="s">
        <v>4501</v>
      </c>
      <c r="OH238" t="s">
        <v>4043</v>
      </c>
      <c r="OI238" t="s">
        <v>4881</v>
      </c>
      <c r="OJ238" t="s">
        <v>4880</v>
      </c>
      <c r="OK238">
        <v>61</v>
      </c>
      <c r="OL238">
        <v>61</v>
      </c>
      <c r="OM238" t="s">
        <v>4500</v>
      </c>
      <c r="ON238">
        <v>1</v>
      </c>
      <c r="OO238">
        <v>1858</v>
      </c>
      <c r="OP238">
        <v>61</v>
      </c>
      <c r="OQ238">
        <v>61</v>
      </c>
      <c r="OR238" t="s">
        <v>4501</v>
      </c>
      <c r="OS238">
        <v>1</v>
      </c>
      <c r="OT238">
        <v>1865</v>
      </c>
      <c r="OU238">
        <v>65</v>
      </c>
      <c r="OV238">
        <v>65</v>
      </c>
      <c r="OW238" t="s">
        <v>4043</v>
      </c>
      <c r="OX238">
        <v>1</v>
      </c>
      <c r="OY238">
        <v>33094</v>
      </c>
      <c r="OZ238">
        <v>51</v>
      </c>
      <c r="PA238">
        <v>52</v>
      </c>
      <c r="PB238" t="s">
        <v>4881</v>
      </c>
      <c r="PC238">
        <v>1</v>
      </c>
      <c r="PD238">
        <v>1893</v>
      </c>
      <c r="PF238">
        <v>347</v>
      </c>
      <c r="PG238">
        <v>29</v>
      </c>
      <c r="PH238">
        <v>329</v>
      </c>
      <c r="PI238">
        <v>29</v>
      </c>
      <c r="PJ238">
        <v>50.3</v>
      </c>
      <c r="PL238">
        <v>1372</v>
      </c>
      <c r="PM238">
        <v>303.3</v>
      </c>
      <c r="PO238">
        <v>7.6</v>
      </c>
      <c r="PP238">
        <v>12</v>
      </c>
      <c r="PQ238">
        <v>2</v>
      </c>
      <c r="PR238">
        <v>1</v>
      </c>
      <c r="PS238">
        <v>7</v>
      </c>
      <c r="PT238">
        <v>220</v>
      </c>
      <c r="PU238">
        <v>8</v>
      </c>
      <c r="PV238" t="s">
        <v>4882</v>
      </c>
      <c r="PW238" t="s">
        <v>4882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-1</v>
      </c>
      <c r="QF238">
        <v>1</v>
      </c>
      <c r="QG238">
        <v>0</v>
      </c>
      <c r="QH238">
        <v>5</v>
      </c>
      <c r="QI238">
        <v>5</v>
      </c>
      <c r="QJ238">
        <v>5</v>
      </c>
      <c r="QK238">
        <v>179</v>
      </c>
      <c r="QL238">
        <v>404</v>
      </c>
      <c r="QM238">
        <v>7.5</v>
      </c>
      <c r="QN238">
        <v>1284.1</v>
      </c>
      <c r="QO238" t="s">
        <v>3044</v>
      </c>
      <c r="QP238" t="s">
        <v>513</v>
      </c>
      <c r="QQ238">
        <v>0</v>
      </c>
      <c r="QR238" t="s">
        <v>540</v>
      </c>
    </row>
    <row r="239" spans="1:462">
      <c r="A239" t="s">
        <v>3047</v>
      </c>
      <c r="B239" t="s">
        <v>657</v>
      </c>
      <c r="C239" t="s">
        <v>509</v>
      </c>
      <c r="D239" t="s">
        <v>2323</v>
      </c>
      <c r="E239" t="s">
        <v>4036</v>
      </c>
      <c r="H239" t="s">
        <v>604</v>
      </c>
      <c r="I239" t="s">
        <v>605</v>
      </c>
      <c r="J239" t="s">
        <v>628</v>
      </c>
      <c r="K239" t="s">
        <v>606</v>
      </c>
      <c r="L239" t="s">
        <v>559</v>
      </c>
      <c r="M239" t="s">
        <v>512</v>
      </c>
      <c r="O239" t="s">
        <v>513</v>
      </c>
      <c r="P239" t="s">
        <v>517</v>
      </c>
      <c r="Q239" t="s">
        <v>1117</v>
      </c>
      <c r="R239" t="s">
        <v>714</v>
      </c>
      <c r="S239" t="s">
        <v>4134</v>
      </c>
      <c r="T239" t="s">
        <v>662</v>
      </c>
      <c r="U239" t="s">
        <v>663</v>
      </c>
      <c r="V239" t="s">
        <v>2567</v>
      </c>
      <c r="W239" t="s">
        <v>3048</v>
      </c>
      <c r="X239" t="s">
        <v>3049</v>
      </c>
      <c r="Y239" t="s">
        <v>3050</v>
      </c>
      <c r="Z239" t="s">
        <v>650</v>
      </c>
      <c r="AA239" t="s">
        <v>582</v>
      </c>
      <c r="AB239" t="s">
        <v>4883</v>
      </c>
      <c r="AC239">
        <v>13</v>
      </c>
      <c r="AD239" t="s">
        <v>3045</v>
      </c>
      <c r="AE239">
        <v>7</v>
      </c>
      <c r="AF239">
        <v>4286</v>
      </c>
      <c r="AG239" t="s">
        <v>4306</v>
      </c>
      <c r="AH239">
        <v>1</v>
      </c>
      <c r="AI239" t="s">
        <v>4041</v>
      </c>
      <c r="AK239" t="s">
        <v>4307</v>
      </c>
      <c r="AL239">
        <v>1</v>
      </c>
      <c r="AM239" t="s">
        <v>582</v>
      </c>
      <c r="AO239" t="s">
        <v>4043</v>
      </c>
      <c r="AP239">
        <v>1</v>
      </c>
      <c r="AR239" t="s">
        <v>4884</v>
      </c>
      <c r="AS239">
        <v>1</v>
      </c>
      <c r="AT239">
        <v>51</v>
      </c>
      <c r="AV239" t="s">
        <v>4078</v>
      </c>
      <c r="AW239">
        <v>6.4</v>
      </c>
      <c r="AX239">
        <v>-6</v>
      </c>
      <c r="AY239">
        <v>111</v>
      </c>
      <c r="AZ239">
        <v>92</v>
      </c>
      <c r="BA239">
        <v>0</v>
      </c>
      <c r="BB239">
        <v>0</v>
      </c>
      <c r="BC239">
        <v>0</v>
      </c>
      <c r="BH239">
        <v>111</v>
      </c>
      <c r="BI239">
        <v>19</v>
      </c>
      <c r="BJ239">
        <v>92</v>
      </c>
      <c r="BK239">
        <v>3.5</v>
      </c>
      <c r="BL239">
        <v>222</v>
      </c>
      <c r="BM239">
        <v>-6</v>
      </c>
      <c r="BN239">
        <v>0</v>
      </c>
      <c r="BP239">
        <v>0</v>
      </c>
      <c r="BR239">
        <v>215</v>
      </c>
      <c r="BS239">
        <v>205</v>
      </c>
      <c r="BT239">
        <v>1960</v>
      </c>
      <c r="BU239" t="s">
        <v>4047</v>
      </c>
      <c r="BV239" t="s">
        <v>4096</v>
      </c>
      <c r="BW239" t="s">
        <v>4049</v>
      </c>
      <c r="BX239" t="s">
        <v>4097</v>
      </c>
      <c r="BY239" t="s">
        <v>4116</v>
      </c>
      <c r="BZ239" t="s">
        <v>4116</v>
      </c>
      <c r="CA239" t="s">
        <v>4118</v>
      </c>
      <c r="CB239" t="s">
        <v>4119</v>
      </c>
      <c r="CC239" t="s">
        <v>4053</v>
      </c>
      <c r="CD239" t="s">
        <v>4121</v>
      </c>
      <c r="CE239" t="s">
        <v>4055</v>
      </c>
      <c r="CF239" t="s">
        <v>4055</v>
      </c>
      <c r="CG239" t="s">
        <v>4056</v>
      </c>
      <c r="CH239" t="s">
        <v>4099</v>
      </c>
      <c r="CI239" t="s">
        <v>4058</v>
      </c>
      <c r="CJ239" t="s">
        <v>4059</v>
      </c>
      <c r="CK239" t="s">
        <v>4060</v>
      </c>
      <c r="CL239" t="s">
        <v>4061</v>
      </c>
      <c r="CM239" t="s">
        <v>4062</v>
      </c>
      <c r="CN239" t="s">
        <v>4055</v>
      </c>
      <c r="CO239" t="s">
        <v>4063</v>
      </c>
      <c r="CP239" t="s">
        <v>4055</v>
      </c>
      <c r="CQ239" t="s">
        <v>4055</v>
      </c>
      <c r="CR239">
        <v>5</v>
      </c>
      <c r="CS239" t="s">
        <v>4055</v>
      </c>
      <c r="CT239" t="s">
        <v>4055</v>
      </c>
      <c r="CU239" t="s">
        <v>4055</v>
      </c>
      <c r="CV239">
        <v>135</v>
      </c>
      <c r="CW239">
        <v>3</v>
      </c>
      <c r="CX239">
        <v>113</v>
      </c>
      <c r="CY239">
        <v>5</v>
      </c>
      <c r="CZ239">
        <v>135</v>
      </c>
      <c r="DA239">
        <v>5</v>
      </c>
      <c r="DB239">
        <v>11770</v>
      </c>
      <c r="DC239">
        <v>350</v>
      </c>
      <c r="DD239">
        <v>324</v>
      </c>
      <c r="DE239">
        <v>2089</v>
      </c>
      <c r="DF239">
        <v>2089</v>
      </c>
      <c r="DG239">
        <v>2101</v>
      </c>
      <c r="DH239" t="s">
        <v>4055</v>
      </c>
      <c r="DI239" t="s">
        <v>4055</v>
      </c>
      <c r="DJ239" t="s">
        <v>4132</v>
      </c>
      <c r="DK239">
        <v>215</v>
      </c>
      <c r="DL239" t="s">
        <v>4065</v>
      </c>
      <c r="DM239">
        <v>63</v>
      </c>
      <c r="DN239">
        <v>1.1</v>
      </c>
      <c r="DO239">
        <v>1</v>
      </c>
      <c r="DP239">
        <v>1963</v>
      </c>
      <c r="DQ239">
        <v>913</v>
      </c>
      <c r="DR239" t="s">
        <v>4132</v>
      </c>
      <c r="DS239">
        <v>205</v>
      </c>
      <c r="DT239" t="s">
        <v>4065</v>
      </c>
      <c r="DU239">
        <v>63</v>
      </c>
      <c r="DV239">
        <v>1.1</v>
      </c>
      <c r="DW239">
        <v>1</v>
      </c>
      <c r="DX239">
        <v>1975</v>
      </c>
      <c r="DY239">
        <v>875</v>
      </c>
      <c r="DZ239" t="s">
        <v>4066</v>
      </c>
      <c r="EA239">
        <v>20</v>
      </c>
      <c r="EB239" t="s">
        <v>4065</v>
      </c>
      <c r="EC239">
        <v>0.8</v>
      </c>
      <c r="ED239">
        <v>1963</v>
      </c>
      <c r="EE239">
        <v>69</v>
      </c>
      <c r="EG239">
        <v>0</v>
      </c>
      <c r="EH239" t="s">
        <v>4065</v>
      </c>
      <c r="EI239">
        <v>0</v>
      </c>
      <c r="EL239" t="s">
        <v>1528</v>
      </c>
      <c r="EM239">
        <v>12</v>
      </c>
      <c r="EN239">
        <v>0.5</v>
      </c>
      <c r="EO239">
        <v>0.96</v>
      </c>
      <c r="EP239">
        <v>1973.83</v>
      </c>
      <c r="EQ239">
        <v>36084.08</v>
      </c>
      <c r="ER239">
        <v>5877.71</v>
      </c>
      <c r="ES239">
        <v>0</v>
      </c>
      <c r="ET239">
        <v>0</v>
      </c>
      <c r="EU239">
        <v>1</v>
      </c>
      <c r="EV239">
        <v>41962</v>
      </c>
      <c r="EW239">
        <v>504</v>
      </c>
      <c r="EX239" t="s">
        <v>4287</v>
      </c>
      <c r="EY239">
        <v>234</v>
      </c>
      <c r="EZ239" t="s">
        <v>4055</v>
      </c>
      <c r="FA239">
        <v>3.9</v>
      </c>
      <c r="FB239">
        <v>1</v>
      </c>
      <c r="FC239">
        <v>1</v>
      </c>
      <c r="FD239">
        <v>2009</v>
      </c>
      <c r="FE239">
        <v>2364</v>
      </c>
      <c r="FF239" t="s">
        <v>4288</v>
      </c>
      <c r="FG239">
        <v>234</v>
      </c>
      <c r="FH239" t="s">
        <v>4055</v>
      </c>
      <c r="FI239">
        <v>4.7</v>
      </c>
      <c r="FJ239">
        <v>2009</v>
      </c>
      <c r="FK239">
        <v>2347</v>
      </c>
      <c r="FL239" t="s">
        <v>4069</v>
      </c>
      <c r="FM239" t="s">
        <v>4055</v>
      </c>
      <c r="FN239" t="s">
        <v>4055</v>
      </c>
      <c r="FO239" t="s">
        <v>4055</v>
      </c>
      <c r="FP239">
        <v>2009</v>
      </c>
      <c r="FQ239">
        <v>178</v>
      </c>
      <c r="FR239" t="s">
        <v>4090</v>
      </c>
      <c r="FS239">
        <v>238</v>
      </c>
      <c r="FT239" t="s">
        <v>4055</v>
      </c>
      <c r="FU239">
        <v>0.4</v>
      </c>
      <c r="FV239">
        <v>2009</v>
      </c>
      <c r="FW239">
        <v>213</v>
      </c>
      <c r="FX239" t="s">
        <v>4070</v>
      </c>
      <c r="FY239">
        <v>5</v>
      </c>
      <c r="FZ239" t="s">
        <v>4055</v>
      </c>
      <c r="GA239" t="s">
        <v>4055</v>
      </c>
      <c r="GB239">
        <v>2009</v>
      </c>
      <c r="GC239">
        <v>21</v>
      </c>
      <c r="GD239">
        <v>5123</v>
      </c>
      <c r="GE239" t="s">
        <v>4884</v>
      </c>
      <c r="GF239" t="s">
        <v>4055</v>
      </c>
      <c r="GG239" t="s">
        <v>4055</v>
      </c>
      <c r="GH239" t="s">
        <v>4055</v>
      </c>
      <c r="GI239" t="s">
        <v>4071</v>
      </c>
      <c r="GJ239" t="s">
        <v>4055</v>
      </c>
      <c r="GK239" t="s">
        <v>4055</v>
      </c>
      <c r="GL239" t="s">
        <v>4055</v>
      </c>
      <c r="GM239" t="s">
        <v>4055</v>
      </c>
      <c r="GQ239">
        <v>0</v>
      </c>
      <c r="GV239">
        <v>9</v>
      </c>
      <c r="GW239">
        <v>11.5</v>
      </c>
      <c r="GX239">
        <v>0.5</v>
      </c>
      <c r="GY239">
        <v>200</v>
      </c>
      <c r="GZ239">
        <v>3</v>
      </c>
      <c r="HA239">
        <v>254</v>
      </c>
      <c r="HB239">
        <v>3</v>
      </c>
      <c r="HC239">
        <v>2009</v>
      </c>
      <c r="HD239">
        <v>4</v>
      </c>
      <c r="HE239" t="s">
        <v>4071</v>
      </c>
      <c r="HG239" t="s">
        <v>549</v>
      </c>
      <c r="HL239">
        <v>4</v>
      </c>
      <c r="HM239">
        <v>18</v>
      </c>
      <c r="HN239">
        <v>1</v>
      </c>
      <c r="HO239">
        <v>1</v>
      </c>
      <c r="HP239">
        <v>0</v>
      </c>
      <c r="HQ239">
        <v>0</v>
      </c>
      <c r="HR239">
        <v>1</v>
      </c>
      <c r="HS239">
        <v>1960</v>
      </c>
      <c r="HT239">
        <v>5</v>
      </c>
      <c r="HU239">
        <v>1</v>
      </c>
      <c r="HV239">
        <v>5</v>
      </c>
      <c r="HW239">
        <v>0</v>
      </c>
      <c r="HX239">
        <v>1</v>
      </c>
      <c r="HY239">
        <v>0</v>
      </c>
      <c r="HZ239">
        <v>63</v>
      </c>
      <c r="IA239">
        <v>1963</v>
      </c>
      <c r="IB239">
        <v>1975</v>
      </c>
      <c r="ID239">
        <v>2009</v>
      </c>
      <c r="IE239">
        <v>2009</v>
      </c>
      <c r="IF239">
        <v>215</v>
      </c>
      <c r="IG239">
        <v>205</v>
      </c>
      <c r="IH239">
        <v>254</v>
      </c>
      <c r="II239">
        <v>1</v>
      </c>
      <c r="IJ239">
        <v>5</v>
      </c>
      <c r="IK239">
        <v>0</v>
      </c>
      <c r="IL239">
        <v>0</v>
      </c>
      <c r="IM239">
        <v>0</v>
      </c>
      <c r="IN239">
        <v>270</v>
      </c>
      <c r="IO239">
        <v>0</v>
      </c>
      <c r="IP239">
        <v>180</v>
      </c>
      <c r="IQ239">
        <v>0</v>
      </c>
      <c r="IR239">
        <v>330</v>
      </c>
      <c r="IS239">
        <v>0</v>
      </c>
      <c r="IT239">
        <v>90</v>
      </c>
      <c r="IU239">
        <v>0</v>
      </c>
      <c r="IV239">
        <v>6.4</v>
      </c>
      <c r="IW239">
        <v>-6</v>
      </c>
      <c r="IX239">
        <v>111</v>
      </c>
      <c r="IY239">
        <v>92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358</v>
      </c>
      <c r="JJ239">
        <v>328</v>
      </c>
      <c r="JK239">
        <v>252</v>
      </c>
      <c r="JL239">
        <v>328</v>
      </c>
      <c r="JM239">
        <v>245</v>
      </c>
      <c r="JN239">
        <v>215</v>
      </c>
      <c r="JO239">
        <v>264</v>
      </c>
      <c r="JP239">
        <v>240</v>
      </c>
      <c r="JQ239">
        <v>260</v>
      </c>
      <c r="JR239">
        <v>315</v>
      </c>
      <c r="JS239">
        <v>290</v>
      </c>
      <c r="JT239">
        <v>0</v>
      </c>
      <c r="JU239">
        <v>0</v>
      </c>
      <c r="JV239">
        <v>300</v>
      </c>
      <c r="JW239">
        <v>311</v>
      </c>
      <c r="JX239">
        <v>296</v>
      </c>
      <c r="JY239">
        <v>0</v>
      </c>
      <c r="JZ239">
        <v>0.5</v>
      </c>
      <c r="KA239">
        <v>0.21</v>
      </c>
      <c r="KB239">
        <v>0.4</v>
      </c>
      <c r="KC239">
        <v>0.42</v>
      </c>
      <c r="KD239">
        <v>0.28</v>
      </c>
      <c r="KE239">
        <v>0.5</v>
      </c>
      <c r="KF239">
        <v>0.2</v>
      </c>
      <c r="KG239">
        <v>0.11</v>
      </c>
      <c r="KH239">
        <v>3.5</v>
      </c>
      <c r="KI239">
        <v>1</v>
      </c>
      <c r="KJ239">
        <v>4.5</v>
      </c>
      <c r="KK239">
        <v>0</v>
      </c>
      <c r="KL239">
        <v>4.5</v>
      </c>
      <c r="KM239">
        <v>0.5</v>
      </c>
      <c r="KN239">
        <v>1.5</v>
      </c>
      <c r="KO239">
        <v>0</v>
      </c>
      <c r="KP239">
        <v>0</v>
      </c>
      <c r="KQ239">
        <v>0.7</v>
      </c>
      <c r="KR239">
        <v>1</v>
      </c>
      <c r="KS239">
        <v>0.2</v>
      </c>
      <c r="KT239">
        <v>2.2</v>
      </c>
      <c r="KU239">
        <v>0</v>
      </c>
      <c r="KV239">
        <v>0</v>
      </c>
      <c r="KW239">
        <v>1</v>
      </c>
      <c r="KX239">
        <v>2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3</v>
      </c>
      <c r="LI239">
        <v>0</v>
      </c>
      <c r="LJ239">
        <v>0</v>
      </c>
      <c r="LK239">
        <v>4.5</v>
      </c>
      <c r="LL239">
        <v>4.5</v>
      </c>
      <c r="LM239">
        <v>7</v>
      </c>
      <c r="LN239">
        <v>0.4</v>
      </c>
      <c r="LO239">
        <v>3.5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1.2</v>
      </c>
      <c r="LX239">
        <v>1.2</v>
      </c>
      <c r="LY239">
        <v>2</v>
      </c>
      <c r="LZ239">
        <v>2</v>
      </c>
      <c r="MA239">
        <v>0</v>
      </c>
      <c r="MB239">
        <v>2.5</v>
      </c>
      <c r="MC239">
        <v>0</v>
      </c>
      <c r="MD239">
        <v>4.5</v>
      </c>
      <c r="ME239">
        <v>6</v>
      </c>
      <c r="MF239">
        <v>6</v>
      </c>
      <c r="MI239">
        <v>0</v>
      </c>
      <c r="MJ239">
        <v>0</v>
      </c>
      <c r="ML239">
        <v>0</v>
      </c>
      <c r="MM239">
        <v>390</v>
      </c>
      <c r="MN239">
        <v>210</v>
      </c>
      <c r="MO239">
        <v>264</v>
      </c>
      <c r="NU239">
        <v>0.15</v>
      </c>
      <c r="NV239">
        <v>0.2</v>
      </c>
      <c r="NW239">
        <v>0.2</v>
      </c>
      <c r="NX239">
        <v>0.2</v>
      </c>
      <c r="NY239">
        <v>0.2</v>
      </c>
      <c r="NZ239">
        <v>0.2</v>
      </c>
      <c r="OE239" t="s">
        <v>4884</v>
      </c>
      <c r="OF239" t="s">
        <v>4306</v>
      </c>
      <c r="OG239" t="s">
        <v>4307</v>
      </c>
      <c r="OH239" t="s">
        <v>4043</v>
      </c>
      <c r="OI239" t="s">
        <v>4884</v>
      </c>
      <c r="OJ239" t="s">
        <v>4883</v>
      </c>
      <c r="OK239">
        <v>61</v>
      </c>
      <c r="OL239">
        <v>61</v>
      </c>
      <c r="OM239" t="s">
        <v>4306</v>
      </c>
      <c r="ON239">
        <v>1</v>
      </c>
      <c r="OO239">
        <v>1963</v>
      </c>
      <c r="OP239">
        <v>61</v>
      </c>
      <c r="OQ239">
        <v>61</v>
      </c>
      <c r="OR239" t="s">
        <v>4307</v>
      </c>
      <c r="OS239">
        <v>1</v>
      </c>
      <c r="OT239">
        <v>1975</v>
      </c>
      <c r="OU239">
        <v>65</v>
      </c>
      <c r="OV239">
        <v>65</v>
      </c>
      <c r="OW239" t="s">
        <v>4043</v>
      </c>
      <c r="OX239">
        <v>2</v>
      </c>
      <c r="OY239">
        <v>41962</v>
      </c>
      <c r="OZ239">
        <v>51</v>
      </c>
      <c r="PA239">
        <v>51</v>
      </c>
      <c r="PB239" t="s">
        <v>4884</v>
      </c>
      <c r="PC239">
        <v>2</v>
      </c>
      <c r="PD239">
        <v>2009</v>
      </c>
      <c r="PF239">
        <v>465</v>
      </c>
      <c r="PG239">
        <v>35</v>
      </c>
      <c r="PH239">
        <v>443</v>
      </c>
      <c r="PI239">
        <v>0</v>
      </c>
      <c r="PJ239">
        <v>88.40000000000001</v>
      </c>
      <c r="PK239">
        <v>2535</v>
      </c>
      <c r="PL239">
        <v>1176.8</v>
      </c>
      <c r="PM239">
        <v>1168</v>
      </c>
      <c r="PN239">
        <v>105.9</v>
      </c>
      <c r="PO239">
        <v>10.5</v>
      </c>
      <c r="PP239">
        <v>12</v>
      </c>
      <c r="PQ239">
        <v>1</v>
      </c>
      <c r="PR239">
        <v>3</v>
      </c>
      <c r="PS239">
        <v>8</v>
      </c>
      <c r="PT239">
        <v>254</v>
      </c>
      <c r="PU239">
        <v>10</v>
      </c>
      <c r="PV239" t="s">
        <v>4072</v>
      </c>
      <c r="PW239" t="s">
        <v>4072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-1</v>
      </c>
      <c r="QF239">
        <v>1</v>
      </c>
      <c r="QG239">
        <v>0</v>
      </c>
      <c r="QH239">
        <v>5</v>
      </c>
      <c r="QI239">
        <v>5</v>
      </c>
      <c r="QJ239">
        <v>5</v>
      </c>
      <c r="QK239">
        <v>174</v>
      </c>
      <c r="QL239">
        <v>392</v>
      </c>
      <c r="QM239">
        <v>7.5</v>
      </c>
      <c r="QN239">
        <v>1461.1</v>
      </c>
      <c r="QO239" t="s">
        <v>3054</v>
      </c>
      <c r="QP239" t="s">
        <v>513</v>
      </c>
      <c r="QQ239">
        <v>0</v>
      </c>
      <c r="QR239" t="s">
        <v>649</v>
      </c>
      <c r="QS239">
        <v>30</v>
      </c>
      <c r="QT239">
        <v>40</v>
      </c>
    </row>
    <row r="240" spans="1:462">
      <c r="A240" t="s">
        <v>3057</v>
      </c>
      <c r="B240" t="s">
        <v>629</v>
      </c>
      <c r="C240" t="s">
        <v>509</v>
      </c>
      <c r="D240" t="s">
        <v>3056</v>
      </c>
      <c r="E240" t="s">
        <v>4036</v>
      </c>
      <c r="H240" t="s">
        <v>511</v>
      </c>
      <c r="J240" t="s">
        <v>562</v>
      </c>
      <c r="K240" t="s">
        <v>563</v>
      </c>
      <c r="L240" t="s">
        <v>711</v>
      </c>
      <c r="M240" t="s">
        <v>512</v>
      </c>
      <c r="O240" t="s">
        <v>513</v>
      </c>
      <c r="P240" t="s">
        <v>517</v>
      </c>
      <c r="Q240" t="s">
        <v>1644</v>
      </c>
      <c r="R240" t="s">
        <v>1043</v>
      </c>
      <c r="S240" t="s">
        <v>4037</v>
      </c>
      <c r="T240" t="s">
        <v>662</v>
      </c>
      <c r="U240" t="s">
        <v>663</v>
      </c>
      <c r="V240" t="s">
        <v>1241</v>
      </c>
      <c r="W240" t="s">
        <v>3058</v>
      </c>
      <c r="X240" t="s">
        <v>3059</v>
      </c>
      <c r="Y240" t="s">
        <v>3060</v>
      </c>
      <c r="Z240" t="s">
        <v>650</v>
      </c>
      <c r="AA240" t="s">
        <v>4038</v>
      </c>
      <c r="AB240" t="s">
        <v>4885</v>
      </c>
      <c r="AC240">
        <v>13</v>
      </c>
      <c r="AD240" t="s">
        <v>3055</v>
      </c>
      <c r="AE240">
        <v>4</v>
      </c>
      <c r="AF240">
        <v>6390</v>
      </c>
      <c r="AG240" t="s">
        <v>4886</v>
      </c>
      <c r="AH240">
        <v>1</v>
      </c>
      <c r="AI240" t="s">
        <v>4041</v>
      </c>
      <c r="AK240" t="s">
        <v>4887</v>
      </c>
      <c r="AL240">
        <v>1</v>
      </c>
      <c r="AM240" t="s">
        <v>582</v>
      </c>
      <c r="AO240" t="s">
        <v>4043</v>
      </c>
      <c r="AP240">
        <v>1</v>
      </c>
      <c r="AR240" t="s">
        <v>4888</v>
      </c>
      <c r="AS240">
        <v>1</v>
      </c>
      <c r="AT240">
        <v>51</v>
      </c>
      <c r="AV240" t="s">
        <v>4078</v>
      </c>
      <c r="AW240">
        <v>6.4</v>
      </c>
      <c r="AX240">
        <v>-6</v>
      </c>
      <c r="AY240">
        <v>111</v>
      </c>
      <c r="AZ240">
        <v>88</v>
      </c>
      <c r="BH240">
        <v>111</v>
      </c>
      <c r="BI240">
        <v>23</v>
      </c>
      <c r="BJ240">
        <v>88</v>
      </c>
      <c r="BK240">
        <v>3.5</v>
      </c>
      <c r="BL240">
        <v>222</v>
      </c>
      <c r="BM240">
        <v>-6</v>
      </c>
      <c r="BN240">
        <v>0</v>
      </c>
      <c r="BP240">
        <v>0</v>
      </c>
      <c r="BR240">
        <v>215</v>
      </c>
      <c r="BS240">
        <v>205</v>
      </c>
      <c r="BT240">
        <v>2150</v>
      </c>
      <c r="BU240" t="s">
        <v>4127</v>
      </c>
      <c r="BV240" t="s">
        <v>4127</v>
      </c>
      <c r="BW240" t="s">
        <v>4128</v>
      </c>
      <c r="BX240" t="s">
        <v>4128</v>
      </c>
      <c r="BY240" t="s">
        <v>4215</v>
      </c>
      <c r="BZ240" t="s">
        <v>4215</v>
      </c>
      <c r="CA240" t="s">
        <v>4118</v>
      </c>
      <c r="CB240" t="s">
        <v>4119</v>
      </c>
      <c r="CC240" t="s">
        <v>4053</v>
      </c>
      <c r="CD240" t="s">
        <v>4121</v>
      </c>
      <c r="CE240" t="s">
        <v>4055</v>
      </c>
      <c r="CF240" t="s">
        <v>4055</v>
      </c>
      <c r="CG240" t="s">
        <v>4056</v>
      </c>
      <c r="CI240" t="s">
        <v>4058</v>
      </c>
      <c r="CJ240" t="s">
        <v>4059</v>
      </c>
      <c r="CK240" t="s">
        <v>4060</v>
      </c>
      <c r="CL240" t="s">
        <v>4061</v>
      </c>
      <c r="CM240" t="s">
        <v>4062</v>
      </c>
      <c r="CN240" t="s">
        <v>4055</v>
      </c>
      <c r="CO240" t="s">
        <v>4063</v>
      </c>
      <c r="CP240" t="s">
        <v>4055</v>
      </c>
      <c r="CQ240" t="s">
        <v>4055</v>
      </c>
      <c r="CR240">
        <v>5</v>
      </c>
      <c r="CS240" t="s">
        <v>4055</v>
      </c>
      <c r="CT240" t="s">
        <v>4055</v>
      </c>
      <c r="CU240" t="s">
        <v>4055</v>
      </c>
      <c r="CV240">
        <v>143</v>
      </c>
      <c r="CW240">
        <v>3</v>
      </c>
      <c r="CX240">
        <v>118</v>
      </c>
      <c r="CY240">
        <v>5</v>
      </c>
      <c r="CZ240">
        <v>160</v>
      </c>
      <c r="DA240">
        <v>5</v>
      </c>
      <c r="DB240">
        <v>15550</v>
      </c>
      <c r="DC240">
        <v>450</v>
      </c>
      <c r="DD240">
        <v>375</v>
      </c>
      <c r="DE240">
        <v>2281</v>
      </c>
      <c r="DF240">
        <v>2281</v>
      </c>
      <c r="DG240">
        <v>2293</v>
      </c>
      <c r="DH240" t="s">
        <v>4055</v>
      </c>
      <c r="DI240" t="s">
        <v>4055</v>
      </c>
      <c r="DJ240" t="s">
        <v>4087</v>
      </c>
      <c r="DK240">
        <v>215</v>
      </c>
      <c r="DL240" t="s">
        <v>4065</v>
      </c>
      <c r="DM240">
        <v>63</v>
      </c>
      <c r="DN240">
        <v>1.36</v>
      </c>
      <c r="DO240">
        <v>1</v>
      </c>
      <c r="DP240">
        <v>2154</v>
      </c>
      <c r="DQ240">
        <v>1165</v>
      </c>
      <c r="DR240" t="s">
        <v>4087</v>
      </c>
      <c r="DS240">
        <v>205</v>
      </c>
      <c r="DT240" t="s">
        <v>4065</v>
      </c>
      <c r="DU240">
        <v>63</v>
      </c>
      <c r="DV240">
        <v>1.36</v>
      </c>
      <c r="DW240">
        <v>1</v>
      </c>
      <c r="DX240">
        <v>2168</v>
      </c>
      <c r="DY240">
        <v>1119</v>
      </c>
      <c r="DZ240" t="s">
        <v>4066</v>
      </c>
      <c r="EA240">
        <v>20</v>
      </c>
      <c r="EB240" t="s">
        <v>4065</v>
      </c>
      <c r="EC240">
        <v>0.8</v>
      </c>
      <c r="ED240">
        <v>2154</v>
      </c>
      <c r="EE240">
        <v>75</v>
      </c>
      <c r="EG240">
        <v>0</v>
      </c>
      <c r="EH240" t="s">
        <v>4065</v>
      </c>
      <c r="EI240">
        <v>0</v>
      </c>
      <c r="EL240" t="s">
        <v>1528</v>
      </c>
      <c r="EM240">
        <v>12</v>
      </c>
      <c r="EN240">
        <v>0.5</v>
      </c>
      <c r="EO240">
        <v>0.96</v>
      </c>
      <c r="EP240">
        <v>2167.1</v>
      </c>
      <c r="EQ240">
        <v>39617.3</v>
      </c>
      <c r="ER240">
        <v>7809.69</v>
      </c>
      <c r="ES240">
        <v>0</v>
      </c>
      <c r="ET240">
        <v>0</v>
      </c>
      <c r="EU240">
        <v>1</v>
      </c>
      <c r="EV240">
        <v>47427</v>
      </c>
      <c r="EW240">
        <v>570</v>
      </c>
      <c r="EX240" t="s">
        <v>4287</v>
      </c>
      <c r="EY240">
        <v>246</v>
      </c>
      <c r="EZ240" t="s">
        <v>4055</v>
      </c>
      <c r="FA240">
        <v>5.8</v>
      </c>
      <c r="FB240">
        <v>1</v>
      </c>
      <c r="FC240">
        <v>1</v>
      </c>
      <c r="FD240">
        <v>2205</v>
      </c>
      <c r="FE240">
        <v>3274</v>
      </c>
      <c r="FF240" t="s">
        <v>4288</v>
      </c>
      <c r="FG240">
        <v>246</v>
      </c>
      <c r="FH240" t="s">
        <v>4055</v>
      </c>
      <c r="FI240">
        <v>3.8</v>
      </c>
      <c r="FJ240">
        <v>2205</v>
      </c>
      <c r="FK240">
        <v>2423</v>
      </c>
      <c r="FL240" t="s">
        <v>4069</v>
      </c>
      <c r="FM240" t="s">
        <v>4055</v>
      </c>
      <c r="FN240" t="s">
        <v>4055</v>
      </c>
      <c r="FO240" t="s">
        <v>4055</v>
      </c>
      <c r="FP240">
        <v>2205</v>
      </c>
      <c r="FQ240">
        <v>254</v>
      </c>
      <c r="FR240" t="s">
        <v>4090</v>
      </c>
      <c r="FS240">
        <v>250</v>
      </c>
      <c r="FT240" t="s">
        <v>4055</v>
      </c>
      <c r="FU240">
        <v>0.4</v>
      </c>
      <c r="FV240">
        <v>2205</v>
      </c>
      <c r="FW240">
        <v>245</v>
      </c>
      <c r="FX240" t="s">
        <v>4070</v>
      </c>
      <c r="FY240">
        <v>5</v>
      </c>
      <c r="FZ240" t="s">
        <v>4055</v>
      </c>
      <c r="GA240" t="s">
        <v>4055</v>
      </c>
      <c r="GB240">
        <v>2205</v>
      </c>
      <c r="GC240">
        <v>26</v>
      </c>
      <c r="GD240">
        <v>6222</v>
      </c>
      <c r="GE240" t="s">
        <v>4888</v>
      </c>
      <c r="GF240" t="s">
        <v>4055</v>
      </c>
      <c r="GG240" t="s">
        <v>4055</v>
      </c>
      <c r="GH240" t="s">
        <v>4055</v>
      </c>
      <c r="GI240" t="s">
        <v>4071</v>
      </c>
      <c r="GJ240" t="s">
        <v>4055</v>
      </c>
      <c r="GK240" t="s">
        <v>4055</v>
      </c>
      <c r="GL240" t="s">
        <v>4055</v>
      </c>
      <c r="GM240" t="s">
        <v>4055</v>
      </c>
      <c r="GQ240">
        <v>0</v>
      </c>
      <c r="GV240">
        <v>10</v>
      </c>
      <c r="GW240">
        <v>11.5</v>
      </c>
      <c r="GX240">
        <v>0.5</v>
      </c>
      <c r="GY240">
        <v>206</v>
      </c>
      <c r="GZ240">
        <v>3</v>
      </c>
      <c r="HA240">
        <v>270</v>
      </c>
      <c r="HB240">
        <v>3</v>
      </c>
      <c r="HC240">
        <v>2205</v>
      </c>
      <c r="HD240">
        <v>4</v>
      </c>
      <c r="HE240" t="s">
        <v>4071</v>
      </c>
      <c r="HG240" t="s">
        <v>549</v>
      </c>
      <c r="HL240">
        <v>4</v>
      </c>
      <c r="HM240">
        <v>18</v>
      </c>
      <c r="HN240">
        <v>1</v>
      </c>
      <c r="HO240">
        <v>1</v>
      </c>
      <c r="HP240">
        <v>0</v>
      </c>
      <c r="HQ240">
        <v>0</v>
      </c>
      <c r="HR240">
        <v>3</v>
      </c>
      <c r="HS240">
        <v>2150</v>
      </c>
      <c r="HT240">
        <v>5</v>
      </c>
      <c r="HU240">
        <v>1</v>
      </c>
      <c r="HV240">
        <v>0</v>
      </c>
      <c r="HW240">
        <v>0</v>
      </c>
      <c r="HX240">
        <v>1</v>
      </c>
      <c r="HY240">
        <v>0</v>
      </c>
      <c r="HZ240">
        <v>63</v>
      </c>
      <c r="IA240">
        <v>2154</v>
      </c>
      <c r="IB240">
        <v>2168</v>
      </c>
      <c r="ID240">
        <v>2205</v>
      </c>
      <c r="IE240">
        <v>2205</v>
      </c>
      <c r="IF240">
        <v>215</v>
      </c>
      <c r="IG240">
        <v>205</v>
      </c>
      <c r="IH240">
        <v>270</v>
      </c>
      <c r="II240">
        <v>1</v>
      </c>
      <c r="IJ240">
        <v>5</v>
      </c>
      <c r="IK240">
        <v>0</v>
      </c>
      <c r="IL240">
        <v>0</v>
      </c>
      <c r="IM240">
        <v>0</v>
      </c>
      <c r="IN240">
        <v>270</v>
      </c>
      <c r="IO240">
        <v>0</v>
      </c>
      <c r="IP240">
        <v>180</v>
      </c>
      <c r="IQ240">
        <v>0</v>
      </c>
      <c r="IR240">
        <v>330</v>
      </c>
      <c r="IS240">
        <v>0</v>
      </c>
      <c r="IT240">
        <v>90</v>
      </c>
      <c r="IU240">
        <v>0</v>
      </c>
      <c r="IV240">
        <v>6.4</v>
      </c>
      <c r="IW240">
        <v>-6</v>
      </c>
      <c r="IX240">
        <v>111</v>
      </c>
      <c r="IY240">
        <v>88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442</v>
      </c>
      <c r="JJ240">
        <v>412</v>
      </c>
      <c r="JK240">
        <v>300</v>
      </c>
      <c r="JL240">
        <v>410</v>
      </c>
      <c r="JM240">
        <v>300</v>
      </c>
      <c r="JN240">
        <v>225</v>
      </c>
      <c r="JO240">
        <v>274</v>
      </c>
      <c r="JP240">
        <v>200</v>
      </c>
      <c r="JQ240">
        <v>250</v>
      </c>
      <c r="JR240">
        <v>356</v>
      </c>
      <c r="JS240">
        <v>280</v>
      </c>
      <c r="JT240">
        <v>0</v>
      </c>
      <c r="JU240">
        <v>0</v>
      </c>
      <c r="JV240">
        <v>320</v>
      </c>
      <c r="JW240">
        <v>310</v>
      </c>
      <c r="JX240">
        <v>310</v>
      </c>
      <c r="JY240">
        <v>285</v>
      </c>
      <c r="JZ240">
        <v>0.5</v>
      </c>
      <c r="KA240">
        <v>0.2</v>
      </c>
      <c r="KB240">
        <v>0.4</v>
      </c>
      <c r="KC240">
        <v>0.42</v>
      </c>
      <c r="KD240">
        <v>0.3</v>
      </c>
      <c r="KE240">
        <v>0.5</v>
      </c>
      <c r="KF240">
        <v>0.16</v>
      </c>
      <c r="KG240">
        <v>0.11</v>
      </c>
      <c r="KH240">
        <v>3.5</v>
      </c>
      <c r="KI240">
        <v>1</v>
      </c>
      <c r="KJ240">
        <v>4.5</v>
      </c>
      <c r="KK240">
        <v>0</v>
      </c>
      <c r="KL240">
        <v>4.5</v>
      </c>
      <c r="KM240">
        <v>0.5</v>
      </c>
      <c r="KN240">
        <v>2.1</v>
      </c>
      <c r="KO240">
        <v>0</v>
      </c>
      <c r="KP240">
        <v>0</v>
      </c>
      <c r="KQ240">
        <v>0.5</v>
      </c>
      <c r="KR240">
        <v>0.5</v>
      </c>
      <c r="KS240">
        <v>0</v>
      </c>
      <c r="KT240">
        <v>2</v>
      </c>
      <c r="KU240">
        <v>0</v>
      </c>
      <c r="KV240">
        <v>0</v>
      </c>
      <c r="KW240">
        <v>1.6</v>
      </c>
      <c r="KX240">
        <v>2</v>
      </c>
      <c r="KY240">
        <v>1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3</v>
      </c>
      <c r="LI240">
        <v>0.5</v>
      </c>
      <c r="LJ240">
        <v>0</v>
      </c>
      <c r="LK240">
        <v>10</v>
      </c>
      <c r="LL240">
        <v>6</v>
      </c>
      <c r="LM240">
        <v>11</v>
      </c>
      <c r="LN240">
        <v>0.1</v>
      </c>
      <c r="LO240">
        <v>3</v>
      </c>
      <c r="LP240">
        <v>0</v>
      </c>
      <c r="LQ240">
        <v>0</v>
      </c>
      <c r="LR240">
        <v>0</v>
      </c>
      <c r="LS240">
        <v>1</v>
      </c>
      <c r="LT240">
        <v>0</v>
      </c>
      <c r="LU240">
        <v>0</v>
      </c>
      <c r="LV240">
        <v>0</v>
      </c>
      <c r="LW240">
        <v>1.8</v>
      </c>
      <c r="LX240">
        <v>1.8</v>
      </c>
      <c r="LY240">
        <v>2.1</v>
      </c>
      <c r="LZ240">
        <v>2.1</v>
      </c>
      <c r="MA240">
        <v>0</v>
      </c>
      <c r="MB240">
        <v>5</v>
      </c>
      <c r="MC240">
        <v>0</v>
      </c>
      <c r="MD240">
        <v>4.5</v>
      </c>
      <c r="ME240">
        <v>6</v>
      </c>
      <c r="MF240">
        <v>6</v>
      </c>
      <c r="MG240">
        <v>0</v>
      </c>
      <c r="MH240">
        <v>0</v>
      </c>
      <c r="MI240">
        <v>0</v>
      </c>
      <c r="MJ240">
        <v>0</v>
      </c>
      <c r="MK240">
        <v>0</v>
      </c>
      <c r="MM240">
        <v>452</v>
      </c>
      <c r="MN240">
        <v>210</v>
      </c>
      <c r="MO240">
        <v>274</v>
      </c>
      <c r="NU240">
        <v>0.15</v>
      </c>
      <c r="NV240">
        <v>0.2</v>
      </c>
      <c r="NW240">
        <v>0.2</v>
      </c>
      <c r="NX240">
        <v>0.2</v>
      </c>
      <c r="NY240">
        <v>0.2</v>
      </c>
      <c r="NZ240">
        <v>0.2</v>
      </c>
      <c r="OE240" t="s">
        <v>4888</v>
      </c>
      <c r="OF240" t="s">
        <v>4886</v>
      </c>
      <c r="OG240" t="s">
        <v>4887</v>
      </c>
      <c r="OH240" t="s">
        <v>4043</v>
      </c>
      <c r="OI240" t="s">
        <v>4888</v>
      </c>
      <c r="OJ240" t="s">
        <v>4885</v>
      </c>
      <c r="OK240">
        <v>61</v>
      </c>
      <c r="OL240">
        <v>61</v>
      </c>
      <c r="OM240" t="s">
        <v>4886</v>
      </c>
      <c r="ON240">
        <v>2</v>
      </c>
      <c r="OO240">
        <v>2154</v>
      </c>
      <c r="OP240">
        <v>61</v>
      </c>
      <c r="OQ240">
        <v>61</v>
      </c>
      <c r="OR240" t="s">
        <v>4887</v>
      </c>
      <c r="OS240">
        <v>2</v>
      </c>
      <c r="OT240">
        <v>2168</v>
      </c>
      <c r="OU240">
        <v>65</v>
      </c>
      <c r="OV240">
        <v>65</v>
      </c>
      <c r="OW240" t="s">
        <v>4043</v>
      </c>
      <c r="OX240">
        <v>1</v>
      </c>
      <c r="OY240">
        <v>47427</v>
      </c>
      <c r="OZ240">
        <v>51</v>
      </c>
      <c r="PA240">
        <v>51</v>
      </c>
      <c r="PB240" t="s">
        <v>4888</v>
      </c>
      <c r="PC240">
        <v>1</v>
      </c>
      <c r="PD240">
        <v>2205</v>
      </c>
      <c r="PF240">
        <v>541</v>
      </c>
      <c r="PG240">
        <v>35</v>
      </c>
      <c r="PH240">
        <v>516</v>
      </c>
      <c r="PI240">
        <v>0</v>
      </c>
      <c r="PJ240">
        <v>115.2</v>
      </c>
      <c r="PK240">
        <v>2785</v>
      </c>
      <c r="PL240">
        <v>1485</v>
      </c>
      <c r="PM240">
        <v>1099</v>
      </c>
      <c r="PN240">
        <v>111.3</v>
      </c>
      <c r="PO240">
        <v>11.6</v>
      </c>
      <c r="PP240">
        <v>12</v>
      </c>
      <c r="PQ240">
        <v>5</v>
      </c>
      <c r="PR240">
        <v>5</v>
      </c>
      <c r="PS240">
        <v>0</v>
      </c>
      <c r="PT240">
        <v>270</v>
      </c>
      <c r="PU240">
        <v>12</v>
      </c>
      <c r="PV240" t="s">
        <v>4072</v>
      </c>
      <c r="PW240" t="s">
        <v>4072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-1</v>
      </c>
      <c r="QF240">
        <v>1</v>
      </c>
      <c r="QG240">
        <v>0</v>
      </c>
      <c r="QH240">
        <v>5</v>
      </c>
      <c r="QI240">
        <v>5</v>
      </c>
      <c r="QJ240">
        <v>5</v>
      </c>
      <c r="QK240">
        <v>215</v>
      </c>
      <c r="QL240">
        <v>476</v>
      </c>
      <c r="QM240">
        <v>7.5</v>
      </c>
      <c r="QN240">
        <v>1465.9</v>
      </c>
      <c r="QO240" t="s">
        <v>3054</v>
      </c>
      <c r="QP240" t="s">
        <v>513</v>
      </c>
      <c r="QQ240">
        <v>0</v>
      </c>
      <c r="QR240" t="s">
        <v>677</v>
      </c>
      <c r="QS240">
        <v>30</v>
      </c>
      <c r="QT240">
        <v>40</v>
      </c>
    </row>
    <row r="241" spans="1:462">
      <c r="A241" t="s">
        <v>3071</v>
      </c>
      <c r="B241" t="s">
        <v>629</v>
      </c>
      <c r="C241" t="s">
        <v>509</v>
      </c>
      <c r="D241" t="s">
        <v>3070</v>
      </c>
      <c r="E241" t="s">
        <v>4036</v>
      </c>
      <c r="H241" t="s">
        <v>561</v>
      </c>
      <c r="J241" t="s">
        <v>562</v>
      </c>
      <c r="K241" t="s">
        <v>563</v>
      </c>
      <c r="L241" t="s">
        <v>711</v>
      </c>
      <c r="M241" t="s">
        <v>512</v>
      </c>
      <c r="O241" t="s">
        <v>513</v>
      </c>
      <c r="P241" t="s">
        <v>517</v>
      </c>
      <c r="Q241" t="s">
        <v>1075</v>
      </c>
      <c r="R241" t="s">
        <v>1076</v>
      </c>
      <c r="S241" t="s">
        <v>4170</v>
      </c>
      <c r="T241" t="s">
        <v>662</v>
      </c>
      <c r="U241" t="s">
        <v>663</v>
      </c>
      <c r="V241" t="s">
        <v>2691</v>
      </c>
      <c r="W241" t="s">
        <v>3058</v>
      </c>
      <c r="X241" t="s">
        <v>3072</v>
      </c>
      <c r="Y241" t="s">
        <v>3073</v>
      </c>
      <c r="Z241" t="s">
        <v>541</v>
      </c>
      <c r="AA241" t="s">
        <v>582</v>
      </c>
      <c r="AB241" t="s">
        <v>4889</v>
      </c>
      <c r="AC241">
        <v>13</v>
      </c>
      <c r="AD241" t="s">
        <v>3069</v>
      </c>
      <c r="AE241">
        <v>4</v>
      </c>
      <c r="AF241">
        <v>5543</v>
      </c>
      <c r="AG241" t="s">
        <v>4890</v>
      </c>
      <c r="AH241">
        <v>1</v>
      </c>
      <c r="AI241" t="s">
        <v>4041</v>
      </c>
      <c r="AK241" t="s">
        <v>4891</v>
      </c>
      <c r="AL241">
        <v>1</v>
      </c>
      <c r="AM241" t="s">
        <v>582</v>
      </c>
      <c r="AO241" t="s">
        <v>4043</v>
      </c>
      <c r="AP241">
        <v>1</v>
      </c>
      <c r="AR241" t="s">
        <v>4892</v>
      </c>
      <c r="AS241">
        <v>1</v>
      </c>
      <c r="AT241">
        <v>51</v>
      </c>
      <c r="AV241" t="s">
        <v>4078</v>
      </c>
      <c r="AW241">
        <v>6.4</v>
      </c>
      <c r="AX241">
        <v>-6</v>
      </c>
      <c r="AY241">
        <v>102.5</v>
      </c>
      <c r="AZ241">
        <v>81</v>
      </c>
      <c r="BA241">
        <v>0</v>
      </c>
      <c r="BB241">
        <v>0</v>
      </c>
      <c r="BC241">
        <v>0</v>
      </c>
      <c r="BH241">
        <v>102.5</v>
      </c>
      <c r="BI241">
        <v>21.5</v>
      </c>
      <c r="BJ241">
        <v>81</v>
      </c>
      <c r="BK241">
        <v>2.5</v>
      </c>
      <c r="BL241">
        <v>205</v>
      </c>
      <c r="BM241">
        <v>-6</v>
      </c>
      <c r="BN241">
        <v>0</v>
      </c>
      <c r="BP241">
        <v>0</v>
      </c>
      <c r="BR241">
        <v>200</v>
      </c>
      <c r="BS241">
        <v>190</v>
      </c>
      <c r="BT241">
        <v>2145</v>
      </c>
      <c r="BU241" t="s">
        <v>4127</v>
      </c>
      <c r="BV241" t="s">
        <v>4127</v>
      </c>
      <c r="BW241" t="s">
        <v>4128</v>
      </c>
      <c r="BX241" t="s">
        <v>4128</v>
      </c>
      <c r="BY241" t="s">
        <v>4215</v>
      </c>
      <c r="BZ241" t="s">
        <v>4117</v>
      </c>
      <c r="CA241" t="s">
        <v>4118</v>
      </c>
      <c r="CB241" t="s">
        <v>4119</v>
      </c>
      <c r="CC241" t="s">
        <v>4053</v>
      </c>
      <c r="CD241" t="s">
        <v>4121</v>
      </c>
      <c r="CE241" t="s">
        <v>4055</v>
      </c>
      <c r="CF241" t="s">
        <v>4055</v>
      </c>
      <c r="CG241" t="s">
        <v>4056</v>
      </c>
      <c r="CI241" t="s">
        <v>4058</v>
      </c>
      <c r="CJ241" t="s">
        <v>4059</v>
      </c>
      <c r="CK241" t="s">
        <v>4060</v>
      </c>
      <c r="CL241" t="s">
        <v>4061</v>
      </c>
      <c r="CM241" t="s">
        <v>4062</v>
      </c>
      <c r="CN241" t="s">
        <v>4055</v>
      </c>
      <c r="CO241" t="s">
        <v>4063</v>
      </c>
      <c r="CP241" t="s">
        <v>4055</v>
      </c>
      <c r="CQ241" t="s">
        <v>4055</v>
      </c>
      <c r="CR241">
        <v>5</v>
      </c>
      <c r="CS241" t="s">
        <v>4055</v>
      </c>
      <c r="CT241" t="s">
        <v>4055</v>
      </c>
      <c r="CU241" t="s">
        <v>4055</v>
      </c>
      <c r="CV241">
        <v>132</v>
      </c>
      <c r="CW241">
        <v>3</v>
      </c>
      <c r="CX241">
        <v>84</v>
      </c>
      <c r="CY241">
        <v>5</v>
      </c>
      <c r="CZ241">
        <v>74</v>
      </c>
      <c r="DA241">
        <v>5</v>
      </c>
      <c r="DB241">
        <v>13630</v>
      </c>
      <c r="DC241">
        <v>400</v>
      </c>
      <c r="DD241">
        <v>360</v>
      </c>
      <c r="DE241">
        <v>2274</v>
      </c>
      <c r="DF241">
        <v>2274</v>
      </c>
      <c r="DG241">
        <v>2286</v>
      </c>
      <c r="DH241" t="s">
        <v>4055</v>
      </c>
      <c r="DJ241" t="s">
        <v>4087</v>
      </c>
      <c r="DK241">
        <v>200</v>
      </c>
      <c r="DL241" t="s">
        <v>4065</v>
      </c>
      <c r="DM241">
        <v>63</v>
      </c>
      <c r="DN241">
        <v>1.36</v>
      </c>
      <c r="DO241">
        <v>1</v>
      </c>
      <c r="DP241">
        <v>2149</v>
      </c>
      <c r="DQ241">
        <v>1083</v>
      </c>
      <c r="DR241" t="s">
        <v>4087</v>
      </c>
      <c r="DS241">
        <v>190</v>
      </c>
      <c r="DT241" t="s">
        <v>4065</v>
      </c>
      <c r="DU241">
        <v>63</v>
      </c>
      <c r="DV241">
        <v>1.36</v>
      </c>
      <c r="DW241">
        <v>1</v>
      </c>
      <c r="DX241">
        <v>2163</v>
      </c>
      <c r="DY241">
        <v>1034</v>
      </c>
      <c r="DZ241" t="s">
        <v>4066</v>
      </c>
      <c r="EA241">
        <v>20</v>
      </c>
      <c r="EB241" t="s">
        <v>4065</v>
      </c>
      <c r="EC241">
        <v>0.8</v>
      </c>
      <c r="ED241">
        <v>2149</v>
      </c>
      <c r="EE241">
        <v>75</v>
      </c>
      <c r="EG241">
        <v>0</v>
      </c>
      <c r="EH241" t="s">
        <v>4065</v>
      </c>
      <c r="EI241">
        <v>0</v>
      </c>
      <c r="EL241" t="s">
        <v>1528</v>
      </c>
      <c r="EM241">
        <v>12</v>
      </c>
      <c r="EN241">
        <v>0.5</v>
      </c>
      <c r="EO241">
        <v>0.96</v>
      </c>
      <c r="EP241">
        <v>2162.1</v>
      </c>
      <c r="EQ241">
        <v>36654.35</v>
      </c>
      <c r="ER241">
        <v>7283.57</v>
      </c>
      <c r="ES241">
        <v>0</v>
      </c>
      <c r="ET241">
        <v>0</v>
      </c>
      <c r="EU241">
        <v>1</v>
      </c>
      <c r="EV241">
        <v>43938</v>
      </c>
      <c r="EW241">
        <v>528</v>
      </c>
      <c r="EX241" t="s">
        <v>4287</v>
      </c>
      <c r="EY241">
        <v>228</v>
      </c>
      <c r="EZ241" t="s">
        <v>4055</v>
      </c>
      <c r="FA241">
        <v>4.8</v>
      </c>
      <c r="FB241">
        <v>1</v>
      </c>
      <c r="FC241">
        <v>1</v>
      </c>
      <c r="FD241">
        <v>2198</v>
      </c>
      <c r="FE241">
        <v>2673</v>
      </c>
      <c r="FF241" t="s">
        <v>4288</v>
      </c>
      <c r="FG241">
        <v>228</v>
      </c>
      <c r="FH241" t="s">
        <v>4055</v>
      </c>
      <c r="FI241">
        <v>4.1</v>
      </c>
      <c r="FJ241">
        <v>2198</v>
      </c>
      <c r="FK241">
        <v>2211</v>
      </c>
      <c r="FL241" t="s">
        <v>4069</v>
      </c>
      <c r="FM241" t="s">
        <v>4055</v>
      </c>
      <c r="FN241" t="s">
        <v>4055</v>
      </c>
      <c r="FO241" t="s">
        <v>4055</v>
      </c>
      <c r="FP241">
        <v>2198</v>
      </c>
      <c r="FQ241">
        <v>230</v>
      </c>
      <c r="FR241" t="s">
        <v>4090</v>
      </c>
      <c r="FS241">
        <v>232</v>
      </c>
      <c r="FT241" t="s">
        <v>4055</v>
      </c>
      <c r="FU241">
        <v>0.4</v>
      </c>
      <c r="FV241">
        <v>2198</v>
      </c>
      <c r="FW241">
        <v>227</v>
      </c>
      <c r="FX241" t="s">
        <v>4070</v>
      </c>
      <c r="FY241">
        <v>5</v>
      </c>
      <c r="FZ241" t="s">
        <v>4055</v>
      </c>
      <c r="GA241" t="s">
        <v>4055</v>
      </c>
      <c r="GB241">
        <v>2198</v>
      </c>
      <c r="GC241">
        <v>24</v>
      </c>
      <c r="GD241">
        <v>5365</v>
      </c>
      <c r="GE241" t="s">
        <v>4892</v>
      </c>
      <c r="GF241" t="s">
        <v>4055</v>
      </c>
      <c r="GG241" t="s">
        <v>4055</v>
      </c>
      <c r="GH241" t="s">
        <v>4055</v>
      </c>
      <c r="GI241" t="s">
        <v>4071</v>
      </c>
      <c r="GJ241" t="s">
        <v>4055</v>
      </c>
      <c r="GK241" t="s">
        <v>4055</v>
      </c>
      <c r="GL241" t="s">
        <v>4055</v>
      </c>
      <c r="GM241" t="s">
        <v>4055</v>
      </c>
      <c r="GQ241">
        <v>0</v>
      </c>
      <c r="GV241">
        <v>9.300000000000001</v>
      </c>
      <c r="GW241">
        <v>11</v>
      </c>
      <c r="GX241">
        <v>0.5</v>
      </c>
      <c r="GY241">
        <v>176</v>
      </c>
      <c r="GZ241">
        <v>3</v>
      </c>
      <c r="HA241">
        <v>250</v>
      </c>
      <c r="HB241">
        <v>3</v>
      </c>
      <c r="HC241">
        <v>2198</v>
      </c>
      <c r="HD241">
        <v>4</v>
      </c>
      <c r="HE241" t="s">
        <v>4071</v>
      </c>
      <c r="HG241" t="s">
        <v>549</v>
      </c>
      <c r="HL241">
        <v>4</v>
      </c>
      <c r="HM241">
        <v>18</v>
      </c>
      <c r="HN241">
        <v>6</v>
      </c>
      <c r="HO241">
        <v>1</v>
      </c>
      <c r="HP241">
        <v>0</v>
      </c>
      <c r="HQ241">
        <v>0</v>
      </c>
      <c r="HR241">
        <v>2</v>
      </c>
      <c r="HS241">
        <v>2145</v>
      </c>
      <c r="HT241">
        <v>5</v>
      </c>
      <c r="HU241">
        <v>1</v>
      </c>
      <c r="HV241">
        <v>0</v>
      </c>
      <c r="HW241">
        <v>0</v>
      </c>
      <c r="HX241">
        <v>1</v>
      </c>
      <c r="HY241">
        <v>0</v>
      </c>
      <c r="HZ241">
        <v>63</v>
      </c>
      <c r="IA241">
        <v>2149</v>
      </c>
      <c r="IB241">
        <v>2163</v>
      </c>
      <c r="ID241">
        <v>2198</v>
      </c>
      <c r="IE241">
        <v>2198</v>
      </c>
      <c r="IF241">
        <v>200</v>
      </c>
      <c r="IG241">
        <v>190</v>
      </c>
      <c r="IH241">
        <v>250</v>
      </c>
      <c r="II241">
        <v>1</v>
      </c>
      <c r="IJ241">
        <v>5</v>
      </c>
      <c r="IK241">
        <v>0</v>
      </c>
      <c r="IL241">
        <v>0</v>
      </c>
      <c r="IM241">
        <v>0</v>
      </c>
      <c r="IN241">
        <v>270</v>
      </c>
      <c r="IO241">
        <v>0</v>
      </c>
      <c r="IP241">
        <v>180</v>
      </c>
      <c r="IQ241">
        <v>0</v>
      </c>
      <c r="IR241">
        <v>330</v>
      </c>
      <c r="IS241">
        <v>0</v>
      </c>
      <c r="IT241">
        <v>90</v>
      </c>
      <c r="IU241">
        <v>0</v>
      </c>
      <c r="IV241">
        <v>6.4</v>
      </c>
      <c r="IW241">
        <v>-6</v>
      </c>
      <c r="IX241">
        <v>102.5</v>
      </c>
      <c r="IY241">
        <v>81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426</v>
      </c>
      <c r="JJ241">
        <v>396</v>
      </c>
      <c r="JK241">
        <v>282</v>
      </c>
      <c r="JL241">
        <v>396</v>
      </c>
      <c r="JM241">
        <v>305</v>
      </c>
      <c r="JN241">
        <v>210</v>
      </c>
      <c r="JO241">
        <v>260</v>
      </c>
      <c r="JP241">
        <v>190</v>
      </c>
      <c r="JQ241">
        <v>240</v>
      </c>
      <c r="JR241">
        <v>315</v>
      </c>
      <c r="JS241">
        <v>215</v>
      </c>
      <c r="JT241">
        <v>0</v>
      </c>
      <c r="JU241">
        <v>0</v>
      </c>
      <c r="JV241">
        <v>280</v>
      </c>
      <c r="JW241">
        <v>322</v>
      </c>
      <c r="JX241">
        <v>290</v>
      </c>
      <c r="JY241">
        <v>280</v>
      </c>
      <c r="JZ241">
        <v>0.5</v>
      </c>
      <c r="KA241">
        <v>0.2</v>
      </c>
      <c r="KB241">
        <v>0.45</v>
      </c>
      <c r="KC241">
        <v>0.47</v>
      </c>
      <c r="KD241">
        <v>0.3</v>
      </c>
      <c r="KE241">
        <v>0.7</v>
      </c>
      <c r="KF241">
        <v>0.17</v>
      </c>
      <c r="KG241">
        <v>0.11</v>
      </c>
      <c r="KH241">
        <v>6</v>
      </c>
      <c r="KI241">
        <v>1</v>
      </c>
      <c r="KJ241">
        <v>5</v>
      </c>
      <c r="KK241">
        <v>0</v>
      </c>
      <c r="KL241">
        <v>5</v>
      </c>
      <c r="KM241">
        <v>1.5</v>
      </c>
      <c r="KN241">
        <v>1.5</v>
      </c>
      <c r="KO241">
        <v>0</v>
      </c>
      <c r="KP241">
        <v>0</v>
      </c>
      <c r="KQ241">
        <v>1</v>
      </c>
      <c r="KR241">
        <v>0.8</v>
      </c>
      <c r="KS241">
        <v>0</v>
      </c>
      <c r="KT241">
        <v>3.2</v>
      </c>
      <c r="KU241">
        <v>0</v>
      </c>
      <c r="KV241">
        <v>0</v>
      </c>
      <c r="KW241">
        <v>1.6</v>
      </c>
      <c r="KX241">
        <v>2</v>
      </c>
      <c r="KY241">
        <v>1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0.5</v>
      </c>
      <c r="LJ241">
        <v>0</v>
      </c>
      <c r="LK241">
        <v>7</v>
      </c>
      <c r="LL241">
        <v>5</v>
      </c>
      <c r="LM241">
        <v>9</v>
      </c>
      <c r="LN241">
        <v>0.1</v>
      </c>
      <c r="LO241">
        <v>3</v>
      </c>
      <c r="LP241">
        <v>0</v>
      </c>
      <c r="LQ241">
        <v>0</v>
      </c>
      <c r="LR241">
        <v>0</v>
      </c>
      <c r="LS241">
        <v>1</v>
      </c>
      <c r="LT241">
        <v>0</v>
      </c>
      <c r="LU241">
        <v>0</v>
      </c>
      <c r="LV241">
        <v>0</v>
      </c>
      <c r="LW241">
        <v>2.8</v>
      </c>
      <c r="LX241">
        <v>2.8</v>
      </c>
      <c r="LY241">
        <v>2.1</v>
      </c>
      <c r="LZ241">
        <v>2.1</v>
      </c>
      <c r="MA241">
        <v>0</v>
      </c>
      <c r="MB241">
        <v>5</v>
      </c>
      <c r="MC241">
        <v>0</v>
      </c>
      <c r="MD241">
        <v>4.5</v>
      </c>
      <c r="ME241">
        <v>6</v>
      </c>
      <c r="MF241">
        <v>6</v>
      </c>
      <c r="MM241">
        <v>440</v>
      </c>
      <c r="MN241">
        <v>195</v>
      </c>
      <c r="MO241">
        <v>260</v>
      </c>
      <c r="NU241">
        <v>0.15</v>
      </c>
      <c r="NV241">
        <v>0.2</v>
      </c>
      <c r="NW241">
        <v>0.2</v>
      </c>
      <c r="NX241">
        <v>0.2</v>
      </c>
      <c r="NY241">
        <v>0.2</v>
      </c>
      <c r="NZ241">
        <v>0.2</v>
      </c>
      <c r="OE241" t="s">
        <v>4892</v>
      </c>
      <c r="OF241" t="s">
        <v>4890</v>
      </c>
      <c r="OG241" t="s">
        <v>4891</v>
      </c>
      <c r="OH241" t="s">
        <v>4043</v>
      </c>
      <c r="OI241" t="s">
        <v>4892</v>
      </c>
      <c r="OJ241" t="s">
        <v>4889</v>
      </c>
      <c r="OK241">
        <v>61</v>
      </c>
      <c r="OL241">
        <v>61</v>
      </c>
      <c r="OM241" t="s">
        <v>4890</v>
      </c>
      <c r="ON241">
        <v>2</v>
      </c>
      <c r="OO241">
        <v>2149</v>
      </c>
      <c r="OP241">
        <v>61</v>
      </c>
      <c r="OQ241">
        <v>61</v>
      </c>
      <c r="OR241" t="s">
        <v>4891</v>
      </c>
      <c r="OS241">
        <v>2</v>
      </c>
      <c r="OT241">
        <v>2163</v>
      </c>
      <c r="OU241">
        <v>65</v>
      </c>
      <c r="OV241">
        <v>65</v>
      </c>
      <c r="OW241" t="s">
        <v>4043</v>
      </c>
      <c r="OX241">
        <v>1</v>
      </c>
      <c r="OY241">
        <v>43938</v>
      </c>
      <c r="OZ241">
        <v>51</v>
      </c>
      <c r="PA241">
        <v>51</v>
      </c>
      <c r="PB241" t="s">
        <v>4892</v>
      </c>
      <c r="PC241">
        <v>2</v>
      </c>
      <c r="PD241">
        <v>2198</v>
      </c>
      <c r="PF241">
        <v>504</v>
      </c>
      <c r="PG241">
        <v>35</v>
      </c>
      <c r="PH241">
        <v>478</v>
      </c>
      <c r="PI241">
        <v>0</v>
      </c>
      <c r="PJ241">
        <v>104.6</v>
      </c>
      <c r="PK241">
        <v>2430</v>
      </c>
      <c r="PL241">
        <v>1216</v>
      </c>
      <c r="PM241">
        <v>1006.1</v>
      </c>
      <c r="PN241">
        <v>103.2</v>
      </c>
      <c r="PO241">
        <v>10.8</v>
      </c>
      <c r="PP241">
        <v>12</v>
      </c>
      <c r="PQ241">
        <v>5</v>
      </c>
      <c r="PR241">
        <v>5</v>
      </c>
      <c r="PS241">
        <v>0</v>
      </c>
      <c r="PT241">
        <v>250</v>
      </c>
      <c r="PU241">
        <v>11</v>
      </c>
      <c r="PV241" t="s">
        <v>4072</v>
      </c>
      <c r="PW241" t="s">
        <v>4072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-1</v>
      </c>
      <c r="QF241">
        <v>1</v>
      </c>
      <c r="QG241">
        <v>0</v>
      </c>
      <c r="QH241">
        <v>5</v>
      </c>
      <c r="QI241">
        <v>5</v>
      </c>
      <c r="QJ241">
        <v>5</v>
      </c>
      <c r="QK241">
        <v>207</v>
      </c>
      <c r="QL241">
        <v>460</v>
      </c>
      <c r="QM241">
        <v>7.5</v>
      </c>
      <c r="QN241">
        <v>1461.1</v>
      </c>
      <c r="QO241" t="s">
        <v>3054</v>
      </c>
      <c r="QP241" t="s">
        <v>513</v>
      </c>
      <c r="QQ241">
        <v>0</v>
      </c>
      <c r="QR241" t="s">
        <v>1496</v>
      </c>
      <c r="QS241">
        <v>30</v>
      </c>
      <c r="QT241">
        <v>40</v>
      </c>
    </row>
    <row r="242" spans="1:462">
      <c r="A242" t="s">
        <v>3077</v>
      </c>
      <c r="B242" t="s">
        <v>559</v>
      </c>
      <c r="C242" t="s">
        <v>509</v>
      </c>
      <c r="D242" t="s">
        <v>2828</v>
      </c>
      <c r="E242" t="s">
        <v>4036</v>
      </c>
      <c r="H242" t="s">
        <v>604</v>
      </c>
      <c r="I242" t="s">
        <v>605</v>
      </c>
      <c r="J242" t="s">
        <v>628</v>
      </c>
      <c r="K242" t="s">
        <v>606</v>
      </c>
      <c r="L242" t="s">
        <v>564</v>
      </c>
      <c r="M242" t="s">
        <v>512</v>
      </c>
      <c r="O242" t="s">
        <v>513</v>
      </c>
      <c r="P242" t="s">
        <v>517</v>
      </c>
      <c r="Q242" t="s">
        <v>3020</v>
      </c>
      <c r="R242" t="s">
        <v>1327</v>
      </c>
      <c r="S242" t="s">
        <v>4073</v>
      </c>
      <c r="T242" t="s">
        <v>662</v>
      </c>
      <c r="U242" t="s">
        <v>663</v>
      </c>
      <c r="V242" t="s">
        <v>2577</v>
      </c>
      <c r="W242" t="s">
        <v>3048</v>
      </c>
      <c r="X242" t="s">
        <v>3078</v>
      </c>
      <c r="Y242" t="s">
        <v>3079</v>
      </c>
      <c r="Z242" t="s">
        <v>650</v>
      </c>
      <c r="AA242" t="s">
        <v>582</v>
      </c>
      <c r="AB242" t="s">
        <v>4893</v>
      </c>
      <c r="AC242">
        <v>13</v>
      </c>
      <c r="AD242" t="s">
        <v>3076</v>
      </c>
      <c r="AE242">
        <v>6</v>
      </c>
      <c r="AF242">
        <v>5851</v>
      </c>
      <c r="AG242" t="s">
        <v>4894</v>
      </c>
      <c r="AH242">
        <v>1</v>
      </c>
      <c r="AI242" t="s">
        <v>4041</v>
      </c>
      <c r="AK242" t="s">
        <v>4895</v>
      </c>
      <c r="AL242">
        <v>1</v>
      </c>
      <c r="AM242" t="s">
        <v>582</v>
      </c>
      <c r="AO242" t="s">
        <v>4043</v>
      </c>
      <c r="AP242">
        <v>1</v>
      </c>
      <c r="AR242" t="s">
        <v>4896</v>
      </c>
      <c r="AS242">
        <v>1</v>
      </c>
      <c r="AT242">
        <v>52</v>
      </c>
      <c r="AV242" t="s">
        <v>4045</v>
      </c>
      <c r="AW242">
        <v>6.4</v>
      </c>
      <c r="AX242">
        <v>-6</v>
      </c>
      <c r="AY242">
        <v>116</v>
      </c>
      <c r="AZ242">
        <v>107</v>
      </c>
      <c r="BA242">
        <v>0</v>
      </c>
      <c r="BB242">
        <v>0</v>
      </c>
      <c r="BC242">
        <v>0</v>
      </c>
      <c r="BH242">
        <v>116</v>
      </c>
      <c r="BI242">
        <v>9</v>
      </c>
      <c r="BJ242">
        <v>107</v>
      </c>
      <c r="BK242">
        <v>3.5</v>
      </c>
      <c r="BL242">
        <v>232</v>
      </c>
      <c r="BM242">
        <v>-6</v>
      </c>
      <c r="BN242">
        <v>0</v>
      </c>
      <c r="BP242">
        <v>0</v>
      </c>
      <c r="BR242">
        <v>225</v>
      </c>
      <c r="BS242">
        <v>215</v>
      </c>
      <c r="BT242">
        <v>2045</v>
      </c>
      <c r="BU242" t="s">
        <v>4096</v>
      </c>
      <c r="BV242" t="s">
        <v>4096</v>
      </c>
      <c r="BW242" t="s">
        <v>4049</v>
      </c>
      <c r="BX242" t="s">
        <v>4097</v>
      </c>
      <c r="BY242" t="s">
        <v>4117</v>
      </c>
      <c r="BZ242" t="s">
        <v>4116</v>
      </c>
      <c r="CA242" t="s">
        <v>4118</v>
      </c>
      <c r="CB242" t="s">
        <v>4119</v>
      </c>
      <c r="CC242" t="s">
        <v>4053</v>
      </c>
      <c r="CD242" t="s">
        <v>4121</v>
      </c>
      <c r="CE242" t="s">
        <v>4055</v>
      </c>
      <c r="CF242" t="s">
        <v>4055</v>
      </c>
      <c r="CG242" t="s">
        <v>4056</v>
      </c>
      <c r="CI242" t="s">
        <v>4058</v>
      </c>
      <c r="CJ242" t="s">
        <v>4059</v>
      </c>
      <c r="CK242" t="s">
        <v>4060</v>
      </c>
      <c r="CL242" t="s">
        <v>4061</v>
      </c>
      <c r="CM242" t="s">
        <v>4062</v>
      </c>
      <c r="CN242" t="s">
        <v>4055</v>
      </c>
      <c r="CO242" t="s">
        <v>4063</v>
      </c>
      <c r="CP242" t="s">
        <v>4055</v>
      </c>
      <c r="CQ242" t="s">
        <v>4055</v>
      </c>
      <c r="CR242">
        <v>5</v>
      </c>
      <c r="CS242" t="s">
        <v>4055</v>
      </c>
      <c r="CT242" t="s">
        <v>4055</v>
      </c>
      <c r="CU242" t="s">
        <v>4055</v>
      </c>
      <c r="CV242">
        <v>139</v>
      </c>
      <c r="CW242">
        <v>3</v>
      </c>
      <c r="CX242">
        <v>116</v>
      </c>
      <c r="CY242">
        <v>5</v>
      </c>
      <c r="CZ242">
        <v>144</v>
      </c>
      <c r="DA242">
        <v>5</v>
      </c>
      <c r="DB242">
        <v>14040</v>
      </c>
      <c r="DC242">
        <v>420</v>
      </c>
      <c r="DD242">
        <v>340</v>
      </c>
      <c r="DE242">
        <v>2167</v>
      </c>
      <c r="DF242">
        <v>2167</v>
      </c>
      <c r="DG242">
        <v>2180</v>
      </c>
      <c r="DH242" t="s">
        <v>4055</v>
      </c>
      <c r="DI242" t="s">
        <v>4055</v>
      </c>
      <c r="DJ242" t="s">
        <v>4132</v>
      </c>
      <c r="DK242">
        <v>225</v>
      </c>
      <c r="DL242" t="s">
        <v>4065</v>
      </c>
      <c r="DM242">
        <v>63</v>
      </c>
      <c r="DN242">
        <v>1.1</v>
      </c>
      <c r="DO242">
        <v>1</v>
      </c>
      <c r="DP242">
        <v>2048</v>
      </c>
      <c r="DQ242">
        <v>997</v>
      </c>
      <c r="DR242" t="s">
        <v>4132</v>
      </c>
      <c r="DS242">
        <v>215</v>
      </c>
      <c r="DT242" t="s">
        <v>4065</v>
      </c>
      <c r="DU242">
        <v>63</v>
      </c>
      <c r="DV242">
        <v>1.1</v>
      </c>
      <c r="DW242">
        <v>1</v>
      </c>
      <c r="DX242">
        <v>2060</v>
      </c>
      <c r="DY242">
        <v>958</v>
      </c>
      <c r="DZ242" t="s">
        <v>4066</v>
      </c>
      <c r="EA242">
        <v>20</v>
      </c>
      <c r="EB242" t="s">
        <v>4065</v>
      </c>
      <c r="EC242">
        <v>0.8</v>
      </c>
      <c r="ED242">
        <v>2048</v>
      </c>
      <c r="EE242">
        <v>72</v>
      </c>
      <c r="EG242">
        <v>0</v>
      </c>
      <c r="EH242" t="s">
        <v>4065</v>
      </c>
      <c r="EI242">
        <v>0</v>
      </c>
      <c r="EL242" t="s">
        <v>1528</v>
      </c>
      <c r="EM242">
        <v>12</v>
      </c>
      <c r="EN242">
        <v>0.5</v>
      </c>
      <c r="EO242">
        <v>0.96</v>
      </c>
      <c r="EP242">
        <v>2058.83</v>
      </c>
      <c r="EQ242">
        <v>39246.45</v>
      </c>
      <c r="ER242">
        <v>2903.71</v>
      </c>
      <c r="ES242">
        <v>0</v>
      </c>
      <c r="ET242">
        <v>0</v>
      </c>
      <c r="EU242">
        <v>1</v>
      </c>
      <c r="EV242">
        <v>42151</v>
      </c>
      <c r="EW242">
        <v>506</v>
      </c>
      <c r="EX242" t="s">
        <v>4287</v>
      </c>
      <c r="EY242">
        <v>240</v>
      </c>
      <c r="EZ242" t="s">
        <v>4055</v>
      </c>
      <c r="FA242">
        <v>4.8</v>
      </c>
      <c r="FB242">
        <v>1</v>
      </c>
      <c r="FC242">
        <v>1</v>
      </c>
      <c r="FD242">
        <v>2095</v>
      </c>
      <c r="FE242">
        <v>2637</v>
      </c>
      <c r="FF242" t="s">
        <v>4288</v>
      </c>
      <c r="FG242">
        <v>240</v>
      </c>
      <c r="FH242" t="s">
        <v>4055</v>
      </c>
      <c r="FI242">
        <v>4.3</v>
      </c>
      <c r="FJ242">
        <v>2095</v>
      </c>
      <c r="FK242">
        <v>2575</v>
      </c>
      <c r="FL242" t="s">
        <v>4069</v>
      </c>
      <c r="FM242" t="s">
        <v>4055</v>
      </c>
      <c r="FN242" t="s">
        <v>4055</v>
      </c>
      <c r="FO242" t="s">
        <v>4055</v>
      </c>
      <c r="FP242">
        <v>2095</v>
      </c>
      <c r="FQ242">
        <v>188</v>
      </c>
      <c r="FR242" t="s">
        <v>4090</v>
      </c>
      <c r="FS242">
        <v>244</v>
      </c>
      <c r="FT242" t="s">
        <v>4055</v>
      </c>
      <c r="FU242">
        <v>0.4</v>
      </c>
      <c r="FV242">
        <v>2095</v>
      </c>
      <c r="FW242">
        <v>228</v>
      </c>
      <c r="FX242" t="s">
        <v>4070</v>
      </c>
      <c r="FY242">
        <v>5</v>
      </c>
      <c r="FZ242" t="s">
        <v>4055</v>
      </c>
      <c r="GA242" t="s">
        <v>4055</v>
      </c>
      <c r="GB242">
        <v>2095</v>
      </c>
      <c r="GC242">
        <v>23</v>
      </c>
      <c r="GD242">
        <v>5651</v>
      </c>
      <c r="GE242" t="s">
        <v>4896</v>
      </c>
      <c r="GF242" t="s">
        <v>4055</v>
      </c>
      <c r="GG242" t="s">
        <v>4055</v>
      </c>
      <c r="GH242" t="s">
        <v>4055</v>
      </c>
      <c r="GI242" t="s">
        <v>4071</v>
      </c>
      <c r="GJ242" t="s">
        <v>4055</v>
      </c>
      <c r="GK242" t="s">
        <v>4055</v>
      </c>
      <c r="GL242" t="s">
        <v>4055</v>
      </c>
      <c r="GM242" t="s">
        <v>4055</v>
      </c>
      <c r="GQ242">
        <v>0</v>
      </c>
      <c r="GV242">
        <v>9.5</v>
      </c>
      <c r="GW242">
        <v>11.7</v>
      </c>
      <c r="GX242">
        <v>0.5</v>
      </c>
      <c r="GY242">
        <v>212</v>
      </c>
      <c r="GZ242">
        <v>3</v>
      </c>
      <c r="HA242">
        <v>260</v>
      </c>
      <c r="HB242">
        <v>3</v>
      </c>
      <c r="HC242">
        <v>2095</v>
      </c>
      <c r="HD242">
        <v>4</v>
      </c>
      <c r="HE242" t="s">
        <v>4071</v>
      </c>
      <c r="HG242" t="s">
        <v>549</v>
      </c>
      <c r="HL242">
        <v>4</v>
      </c>
      <c r="HM242">
        <v>18</v>
      </c>
      <c r="HN242">
        <v>1</v>
      </c>
      <c r="HO242">
        <v>1</v>
      </c>
      <c r="HP242">
        <v>0</v>
      </c>
      <c r="HQ242">
        <v>0</v>
      </c>
      <c r="HR242">
        <v>1</v>
      </c>
      <c r="HS242">
        <v>2045</v>
      </c>
      <c r="HT242">
        <v>5</v>
      </c>
      <c r="HU242">
        <v>1</v>
      </c>
      <c r="HV242">
        <v>5</v>
      </c>
      <c r="HW242">
        <v>0</v>
      </c>
      <c r="HX242">
        <v>1</v>
      </c>
      <c r="HY242">
        <v>0</v>
      </c>
      <c r="HZ242">
        <v>63</v>
      </c>
      <c r="IA242">
        <v>2048</v>
      </c>
      <c r="IB242">
        <v>2060</v>
      </c>
      <c r="ID242">
        <v>2095</v>
      </c>
      <c r="IE242">
        <v>2095</v>
      </c>
      <c r="IF242">
        <v>225</v>
      </c>
      <c r="IG242">
        <v>215</v>
      </c>
      <c r="IH242">
        <v>260</v>
      </c>
      <c r="II242">
        <v>1</v>
      </c>
      <c r="IJ242">
        <v>5</v>
      </c>
      <c r="IK242">
        <v>0</v>
      </c>
      <c r="IL242">
        <v>0</v>
      </c>
      <c r="IM242">
        <v>0</v>
      </c>
      <c r="IN242">
        <v>270</v>
      </c>
      <c r="IO242">
        <v>0</v>
      </c>
      <c r="IP242">
        <v>180</v>
      </c>
      <c r="IQ242">
        <v>0</v>
      </c>
      <c r="IR242">
        <v>330</v>
      </c>
      <c r="IS242">
        <v>0</v>
      </c>
      <c r="IT242">
        <v>90</v>
      </c>
      <c r="IU242">
        <v>0</v>
      </c>
      <c r="IV242">
        <v>6.4</v>
      </c>
      <c r="IW242">
        <v>-6</v>
      </c>
      <c r="IX242">
        <v>116</v>
      </c>
      <c r="IY242">
        <v>107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398</v>
      </c>
      <c r="JJ242">
        <v>368</v>
      </c>
      <c r="JK242">
        <v>280</v>
      </c>
      <c r="JL242">
        <v>366</v>
      </c>
      <c r="JM242">
        <v>274</v>
      </c>
      <c r="JN242">
        <v>210</v>
      </c>
      <c r="JO242">
        <v>260</v>
      </c>
      <c r="JP242">
        <v>205</v>
      </c>
      <c r="JQ242">
        <v>250</v>
      </c>
      <c r="JR242">
        <v>330</v>
      </c>
      <c r="JS242">
        <v>260</v>
      </c>
      <c r="JT242">
        <v>0</v>
      </c>
      <c r="JU242">
        <v>0</v>
      </c>
      <c r="JV242">
        <v>300</v>
      </c>
      <c r="JW242">
        <v>311</v>
      </c>
      <c r="JX242">
        <v>296</v>
      </c>
      <c r="JY242">
        <v>0</v>
      </c>
      <c r="JZ242">
        <v>0.5</v>
      </c>
      <c r="KA242">
        <v>0.21</v>
      </c>
      <c r="KB242">
        <v>0.4</v>
      </c>
      <c r="KC242">
        <v>0.42</v>
      </c>
      <c r="KD242">
        <v>0.28</v>
      </c>
      <c r="KE242">
        <v>0.5</v>
      </c>
      <c r="KF242">
        <v>0.17</v>
      </c>
      <c r="KG242">
        <v>0.11</v>
      </c>
      <c r="KH242">
        <v>3.5</v>
      </c>
      <c r="KI242">
        <v>1</v>
      </c>
      <c r="KJ242">
        <v>4.5</v>
      </c>
      <c r="KK242">
        <v>0</v>
      </c>
      <c r="KL242">
        <v>4.5</v>
      </c>
      <c r="KM242">
        <v>0.5</v>
      </c>
      <c r="KN242">
        <v>1.9</v>
      </c>
      <c r="KO242">
        <v>0</v>
      </c>
      <c r="KP242">
        <v>0</v>
      </c>
      <c r="KQ242">
        <v>0.7</v>
      </c>
      <c r="KR242">
        <v>1</v>
      </c>
      <c r="KS242">
        <v>0.2</v>
      </c>
      <c r="KT242">
        <v>2.7</v>
      </c>
      <c r="KU242">
        <v>0</v>
      </c>
      <c r="KV242">
        <v>0</v>
      </c>
      <c r="KW242">
        <v>1</v>
      </c>
      <c r="KX242">
        <v>2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3</v>
      </c>
      <c r="LI242">
        <v>0</v>
      </c>
      <c r="LJ242">
        <v>0</v>
      </c>
      <c r="LK242">
        <v>4.5</v>
      </c>
      <c r="LL242">
        <v>7</v>
      </c>
      <c r="LM242">
        <v>7</v>
      </c>
      <c r="LN242">
        <v>0.4</v>
      </c>
      <c r="LO242">
        <v>3.5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1.2</v>
      </c>
      <c r="LX242">
        <v>1.2</v>
      </c>
      <c r="LY242">
        <v>2</v>
      </c>
      <c r="LZ242">
        <v>2</v>
      </c>
      <c r="MA242">
        <v>0</v>
      </c>
      <c r="MB242">
        <v>4</v>
      </c>
      <c r="MC242">
        <v>0</v>
      </c>
      <c r="MD242">
        <v>4.5</v>
      </c>
      <c r="ME242">
        <v>6</v>
      </c>
      <c r="MF242">
        <v>6</v>
      </c>
      <c r="MI242">
        <v>0</v>
      </c>
      <c r="MJ242">
        <v>0</v>
      </c>
      <c r="ML242">
        <v>0</v>
      </c>
      <c r="MM242">
        <v>390</v>
      </c>
      <c r="MN242">
        <v>220</v>
      </c>
      <c r="MO242">
        <v>274</v>
      </c>
      <c r="NU242">
        <v>0.15</v>
      </c>
      <c r="NV242">
        <v>0.2</v>
      </c>
      <c r="NW242">
        <v>0.2</v>
      </c>
      <c r="NX242">
        <v>0.2</v>
      </c>
      <c r="NY242">
        <v>0.2</v>
      </c>
      <c r="NZ242">
        <v>0.2</v>
      </c>
      <c r="OE242" t="s">
        <v>4896</v>
      </c>
      <c r="OF242" t="s">
        <v>4894</v>
      </c>
      <c r="OG242" t="s">
        <v>4895</v>
      </c>
      <c r="OH242" t="s">
        <v>4043</v>
      </c>
      <c r="OI242" t="s">
        <v>4896</v>
      </c>
      <c r="OJ242" t="s">
        <v>4893</v>
      </c>
      <c r="OK242">
        <v>61</v>
      </c>
      <c r="OL242">
        <v>61</v>
      </c>
      <c r="OM242" t="s">
        <v>4894</v>
      </c>
      <c r="ON242">
        <v>1</v>
      </c>
      <c r="OO242">
        <v>2048</v>
      </c>
      <c r="OP242">
        <v>61</v>
      </c>
      <c r="OQ242">
        <v>61</v>
      </c>
      <c r="OR242" t="s">
        <v>4895</v>
      </c>
      <c r="OS242">
        <v>1</v>
      </c>
      <c r="OT242">
        <v>2060</v>
      </c>
      <c r="OU242">
        <v>65</v>
      </c>
      <c r="OV242">
        <v>65</v>
      </c>
      <c r="OW242" t="s">
        <v>4043</v>
      </c>
      <c r="OX242">
        <v>1</v>
      </c>
      <c r="OY242">
        <v>42151</v>
      </c>
      <c r="OZ242">
        <v>51</v>
      </c>
      <c r="PA242">
        <v>52</v>
      </c>
      <c r="PB242" t="s">
        <v>4896</v>
      </c>
      <c r="PC242">
        <v>3</v>
      </c>
      <c r="PD242">
        <v>2095</v>
      </c>
      <c r="PF242">
        <v>487</v>
      </c>
      <c r="PG242">
        <v>35</v>
      </c>
      <c r="PH242">
        <v>465</v>
      </c>
      <c r="PI242">
        <v>0</v>
      </c>
      <c r="PJ242">
        <v>89.5</v>
      </c>
      <c r="PK242">
        <v>2709</v>
      </c>
      <c r="PL242">
        <v>1258.7</v>
      </c>
      <c r="PM242">
        <v>1228.9</v>
      </c>
      <c r="PN242">
        <v>108.6</v>
      </c>
      <c r="PO242">
        <v>11</v>
      </c>
      <c r="PP242">
        <v>12</v>
      </c>
      <c r="PQ242">
        <v>3</v>
      </c>
      <c r="PR242">
        <v>3</v>
      </c>
      <c r="PS242">
        <v>0</v>
      </c>
      <c r="PT242">
        <v>260</v>
      </c>
      <c r="PU242">
        <v>10</v>
      </c>
      <c r="PV242" t="s">
        <v>4072</v>
      </c>
      <c r="PW242" t="s">
        <v>4072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-1</v>
      </c>
      <c r="QF242">
        <v>1</v>
      </c>
      <c r="QG242">
        <v>0</v>
      </c>
      <c r="QH242">
        <v>5</v>
      </c>
      <c r="QI242">
        <v>5</v>
      </c>
      <c r="QJ242">
        <v>5</v>
      </c>
      <c r="QK242">
        <v>194</v>
      </c>
      <c r="QL242">
        <v>432</v>
      </c>
      <c r="QM242">
        <v>7.5</v>
      </c>
      <c r="QN242">
        <v>1465.9</v>
      </c>
      <c r="QO242" t="s">
        <v>3054</v>
      </c>
      <c r="QP242" t="s">
        <v>513</v>
      </c>
      <c r="QQ242">
        <v>0</v>
      </c>
      <c r="QR242" t="s">
        <v>3084</v>
      </c>
      <c r="QS242">
        <v>30</v>
      </c>
      <c r="QT242">
        <v>40</v>
      </c>
    </row>
    <row r="243" spans="1:462">
      <c r="A243" t="s">
        <v>3088</v>
      </c>
      <c r="B243" t="s">
        <v>729</v>
      </c>
      <c r="C243" t="s">
        <v>509</v>
      </c>
      <c r="D243" t="s">
        <v>3087</v>
      </c>
      <c r="E243" t="s">
        <v>4036</v>
      </c>
      <c r="H243" t="s">
        <v>605</v>
      </c>
      <c r="I243" t="s">
        <v>896</v>
      </c>
      <c r="J243" t="s">
        <v>628</v>
      </c>
      <c r="K243" t="s">
        <v>606</v>
      </c>
      <c r="L243" t="s">
        <v>897</v>
      </c>
      <c r="M243" t="s">
        <v>512</v>
      </c>
      <c r="O243" t="s">
        <v>513</v>
      </c>
      <c r="P243" t="s">
        <v>517</v>
      </c>
      <c r="Q243" t="s">
        <v>2918</v>
      </c>
      <c r="R243" t="s">
        <v>2808</v>
      </c>
      <c r="S243" t="s">
        <v>4073</v>
      </c>
      <c r="T243" t="s">
        <v>570</v>
      </c>
      <c r="U243" t="s">
        <v>571</v>
      </c>
      <c r="V243" t="s">
        <v>1296</v>
      </c>
      <c r="W243" t="s">
        <v>3058</v>
      </c>
      <c r="X243" t="s">
        <v>3089</v>
      </c>
      <c r="Y243" t="s">
        <v>3090</v>
      </c>
      <c r="Z243" t="s">
        <v>650</v>
      </c>
      <c r="AA243" t="s">
        <v>4038</v>
      </c>
      <c r="AB243" t="s">
        <v>4897</v>
      </c>
      <c r="AC243">
        <v>13</v>
      </c>
      <c r="AD243" t="s">
        <v>3086</v>
      </c>
      <c r="AE243">
        <v>9</v>
      </c>
      <c r="AF243">
        <v>6843</v>
      </c>
      <c r="AG243" t="s">
        <v>4898</v>
      </c>
      <c r="AH243">
        <v>1</v>
      </c>
      <c r="AI243" t="s">
        <v>4041</v>
      </c>
      <c r="AK243" t="s">
        <v>4899</v>
      </c>
      <c r="AL243">
        <v>1</v>
      </c>
      <c r="AM243" t="s">
        <v>582</v>
      </c>
      <c r="AO243" t="s">
        <v>4043</v>
      </c>
      <c r="AP243">
        <v>1</v>
      </c>
      <c r="AR243" t="s">
        <v>4900</v>
      </c>
      <c r="AS243">
        <v>1</v>
      </c>
      <c r="AT243">
        <v>51</v>
      </c>
      <c r="AV243" t="s">
        <v>4045</v>
      </c>
      <c r="AW243">
        <v>6.4</v>
      </c>
      <c r="AX243">
        <v>-6</v>
      </c>
      <c r="AY243">
        <v>121</v>
      </c>
      <c r="AZ243">
        <v>112</v>
      </c>
      <c r="BH243">
        <v>121</v>
      </c>
      <c r="BI243">
        <v>9</v>
      </c>
      <c r="BJ243">
        <v>112</v>
      </c>
      <c r="BK243">
        <v>3.5</v>
      </c>
      <c r="BL243">
        <v>242</v>
      </c>
      <c r="BM243">
        <v>-6</v>
      </c>
      <c r="BN243">
        <v>0</v>
      </c>
      <c r="BP243">
        <v>0</v>
      </c>
      <c r="BR243">
        <v>235</v>
      </c>
      <c r="BS243">
        <v>225</v>
      </c>
      <c r="BT243">
        <v>2255</v>
      </c>
      <c r="BU243" t="s">
        <v>4079</v>
      </c>
      <c r="BV243" t="s">
        <v>4079</v>
      </c>
      <c r="BW243" t="s">
        <v>4097</v>
      </c>
      <c r="BX243" t="s">
        <v>4081</v>
      </c>
      <c r="BY243" t="s">
        <v>4164</v>
      </c>
      <c r="BZ243" t="s">
        <v>4164</v>
      </c>
      <c r="CA243" t="s">
        <v>4084</v>
      </c>
      <c r="CB243" t="s">
        <v>4085</v>
      </c>
      <c r="CC243" t="s">
        <v>4053</v>
      </c>
      <c r="CD243" t="s">
        <v>4055</v>
      </c>
      <c r="CE243" t="s">
        <v>4055</v>
      </c>
      <c r="CF243" t="s">
        <v>4055</v>
      </c>
      <c r="CG243" t="s">
        <v>4056</v>
      </c>
      <c r="CI243" t="s">
        <v>4086</v>
      </c>
      <c r="CJ243" t="s">
        <v>4059</v>
      </c>
      <c r="CK243" t="s">
        <v>4060</v>
      </c>
      <c r="CL243" t="s">
        <v>4061</v>
      </c>
      <c r="CM243" t="s">
        <v>4062</v>
      </c>
      <c r="CN243" t="s">
        <v>4055</v>
      </c>
      <c r="CO243" t="s">
        <v>4063</v>
      </c>
      <c r="CP243" t="s">
        <v>4055</v>
      </c>
      <c r="CQ243" t="s">
        <v>4055</v>
      </c>
      <c r="CR243">
        <v>5</v>
      </c>
      <c r="CS243" t="s">
        <v>4055</v>
      </c>
      <c r="CT243" t="s">
        <v>4055</v>
      </c>
      <c r="CU243" t="s">
        <v>4055</v>
      </c>
      <c r="CV243">
        <v>146</v>
      </c>
      <c r="CW243">
        <v>3</v>
      </c>
      <c r="CX243">
        <v>126</v>
      </c>
      <c r="CY243">
        <v>5</v>
      </c>
      <c r="CZ243">
        <v>162</v>
      </c>
      <c r="DA243">
        <v>5</v>
      </c>
      <c r="DB243">
        <v>16750</v>
      </c>
      <c r="DC243">
        <v>500</v>
      </c>
      <c r="DD243">
        <v>370</v>
      </c>
      <c r="DE243">
        <v>2382</v>
      </c>
      <c r="DF243">
        <v>2382</v>
      </c>
      <c r="DG243">
        <v>2406</v>
      </c>
      <c r="DH243">
        <v>1</v>
      </c>
      <c r="DI243" t="s">
        <v>4055</v>
      </c>
      <c r="DJ243" t="s">
        <v>4087</v>
      </c>
      <c r="DK243">
        <v>235</v>
      </c>
      <c r="DL243" t="s">
        <v>4065</v>
      </c>
      <c r="DM243">
        <v>65</v>
      </c>
      <c r="DN243">
        <v>1.36</v>
      </c>
      <c r="DO243">
        <v>1</v>
      </c>
      <c r="DP243">
        <v>2259</v>
      </c>
      <c r="DQ243">
        <v>1337</v>
      </c>
      <c r="DR243" t="s">
        <v>4087</v>
      </c>
      <c r="DS243">
        <v>225</v>
      </c>
      <c r="DT243" t="s">
        <v>4065</v>
      </c>
      <c r="DU243">
        <v>65</v>
      </c>
      <c r="DV243">
        <v>1.36</v>
      </c>
      <c r="DW243">
        <v>1</v>
      </c>
      <c r="DX243">
        <v>2273</v>
      </c>
      <c r="DY243">
        <v>1289</v>
      </c>
      <c r="DZ243" t="s">
        <v>4066</v>
      </c>
      <c r="EA243">
        <v>20</v>
      </c>
      <c r="EB243" t="s">
        <v>4065</v>
      </c>
      <c r="EC243">
        <v>0.8</v>
      </c>
      <c r="ED243">
        <v>2259</v>
      </c>
      <c r="EE243">
        <v>79</v>
      </c>
      <c r="EG243">
        <v>0</v>
      </c>
      <c r="EH243" t="s">
        <v>4065</v>
      </c>
      <c r="EI243">
        <v>0</v>
      </c>
      <c r="EL243" t="s">
        <v>1528</v>
      </c>
      <c r="EM243">
        <v>12</v>
      </c>
      <c r="EN243">
        <v>0.5</v>
      </c>
      <c r="EO243">
        <v>0.96</v>
      </c>
      <c r="EP243">
        <v>2272.1</v>
      </c>
      <c r="EQ243">
        <v>45086.98</v>
      </c>
      <c r="ER243">
        <v>3203.62</v>
      </c>
      <c r="ES243">
        <v>0</v>
      </c>
      <c r="ET243">
        <v>0</v>
      </c>
      <c r="EU243">
        <v>1</v>
      </c>
      <c r="EV243">
        <v>48291</v>
      </c>
      <c r="EW243">
        <v>580</v>
      </c>
      <c r="EX243" t="s">
        <v>4287</v>
      </c>
      <c r="EY243">
        <v>250</v>
      </c>
      <c r="EZ243" t="s">
        <v>4055</v>
      </c>
      <c r="FA243">
        <v>5</v>
      </c>
      <c r="FB243">
        <v>1</v>
      </c>
      <c r="FC243">
        <v>1</v>
      </c>
      <c r="FD243">
        <v>2308</v>
      </c>
      <c r="FE243">
        <v>3545</v>
      </c>
      <c r="FF243" t="s">
        <v>4288</v>
      </c>
      <c r="FG243">
        <v>250</v>
      </c>
      <c r="FH243" t="s">
        <v>4055</v>
      </c>
      <c r="FI243">
        <v>3.8</v>
      </c>
      <c r="FJ243">
        <v>2308</v>
      </c>
      <c r="FK243">
        <v>2536</v>
      </c>
      <c r="FL243" t="s">
        <v>4069</v>
      </c>
      <c r="FM243" t="s">
        <v>4055</v>
      </c>
      <c r="FN243" t="s">
        <v>4055</v>
      </c>
      <c r="FO243" t="s">
        <v>4055</v>
      </c>
      <c r="FP243">
        <v>2308</v>
      </c>
      <c r="FQ243">
        <v>254</v>
      </c>
      <c r="FR243" t="s">
        <v>4090</v>
      </c>
      <c r="FS243">
        <v>254</v>
      </c>
      <c r="FT243" t="s">
        <v>4055</v>
      </c>
      <c r="FU243">
        <v>0.4</v>
      </c>
      <c r="FV243">
        <v>2308</v>
      </c>
      <c r="FW243">
        <v>261</v>
      </c>
      <c r="FX243" t="s">
        <v>4070</v>
      </c>
      <c r="FY243">
        <v>5</v>
      </c>
      <c r="FZ243" t="s">
        <v>4055</v>
      </c>
      <c r="GA243" t="s">
        <v>4055</v>
      </c>
      <c r="GB243">
        <v>2308</v>
      </c>
      <c r="GC243">
        <v>25</v>
      </c>
      <c r="GD243">
        <v>6621</v>
      </c>
      <c r="GE243" t="s">
        <v>4900</v>
      </c>
      <c r="GF243" t="s">
        <v>4055</v>
      </c>
      <c r="GG243" t="s">
        <v>4055</v>
      </c>
      <c r="GH243" t="s">
        <v>4055</v>
      </c>
      <c r="GI243" t="s">
        <v>4071</v>
      </c>
      <c r="GJ243" t="s">
        <v>4055</v>
      </c>
      <c r="GK243" t="s">
        <v>4055</v>
      </c>
      <c r="GL243" t="s">
        <v>4055</v>
      </c>
      <c r="GM243" t="s">
        <v>4055</v>
      </c>
      <c r="GQ243">
        <v>0</v>
      </c>
      <c r="GV243">
        <v>9.199999999999999</v>
      </c>
      <c r="GW243">
        <v>11.8</v>
      </c>
      <c r="GX243">
        <v>0.5</v>
      </c>
      <c r="GY243">
        <v>216</v>
      </c>
      <c r="GZ243">
        <v>3</v>
      </c>
      <c r="HA243">
        <v>276</v>
      </c>
      <c r="HB243">
        <v>3</v>
      </c>
      <c r="HC243">
        <v>2308</v>
      </c>
      <c r="HD243">
        <v>4</v>
      </c>
      <c r="HE243" t="s">
        <v>4071</v>
      </c>
      <c r="HG243" t="s">
        <v>549</v>
      </c>
      <c r="HL243">
        <v>4</v>
      </c>
      <c r="HM243">
        <v>20</v>
      </c>
      <c r="HN243">
        <v>1</v>
      </c>
      <c r="HO243">
        <v>1</v>
      </c>
      <c r="HP243">
        <v>0</v>
      </c>
      <c r="HQ243">
        <v>0</v>
      </c>
      <c r="HR243">
        <v>1</v>
      </c>
      <c r="HS243">
        <v>2255</v>
      </c>
      <c r="HT243">
        <v>5</v>
      </c>
      <c r="HU243">
        <v>1</v>
      </c>
      <c r="HV243">
        <v>0</v>
      </c>
      <c r="HW243">
        <v>0</v>
      </c>
      <c r="HX243">
        <v>1</v>
      </c>
      <c r="HY243">
        <v>0</v>
      </c>
      <c r="HZ243">
        <v>65</v>
      </c>
      <c r="IA243">
        <v>2259</v>
      </c>
      <c r="IB243">
        <v>2273</v>
      </c>
      <c r="ID243">
        <v>2308</v>
      </c>
      <c r="IE243">
        <v>2308</v>
      </c>
      <c r="IF243">
        <v>235</v>
      </c>
      <c r="IG243">
        <v>225</v>
      </c>
      <c r="IH243">
        <v>276</v>
      </c>
      <c r="II243">
        <v>1</v>
      </c>
      <c r="IJ243">
        <v>5</v>
      </c>
      <c r="IK243">
        <v>0</v>
      </c>
      <c r="IL243">
        <v>0</v>
      </c>
      <c r="IM243">
        <v>0</v>
      </c>
      <c r="IN243">
        <v>270</v>
      </c>
      <c r="IO243">
        <v>0</v>
      </c>
      <c r="IP243">
        <v>180</v>
      </c>
      <c r="IQ243">
        <v>0</v>
      </c>
      <c r="IR243">
        <v>330</v>
      </c>
      <c r="IS243">
        <v>0</v>
      </c>
      <c r="IT243">
        <v>90</v>
      </c>
      <c r="IU243">
        <v>0</v>
      </c>
      <c r="IV243">
        <v>6.4</v>
      </c>
      <c r="IW243">
        <v>-6</v>
      </c>
      <c r="IX243">
        <v>121</v>
      </c>
      <c r="IY243">
        <v>112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436</v>
      </c>
      <c r="JJ243">
        <v>406</v>
      </c>
      <c r="JK243">
        <v>300</v>
      </c>
      <c r="JL243">
        <v>402</v>
      </c>
      <c r="JM243">
        <v>310</v>
      </c>
      <c r="JN243">
        <v>235</v>
      </c>
      <c r="JO243">
        <v>280</v>
      </c>
      <c r="JP243">
        <v>180</v>
      </c>
      <c r="JQ243">
        <v>230</v>
      </c>
      <c r="JR243">
        <v>320</v>
      </c>
      <c r="JS243">
        <v>224</v>
      </c>
      <c r="JT243">
        <v>0</v>
      </c>
      <c r="JU243">
        <v>0</v>
      </c>
      <c r="JV243">
        <v>320</v>
      </c>
      <c r="JW243">
        <v>310</v>
      </c>
      <c r="JX243">
        <v>310</v>
      </c>
      <c r="JY243">
        <v>275</v>
      </c>
      <c r="JZ243">
        <v>0.5</v>
      </c>
      <c r="KA243">
        <v>0.2</v>
      </c>
      <c r="KB243">
        <v>0.4</v>
      </c>
      <c r="KC243">
        <v>0.42</v>
      </c>
      <c r="KD243">
        <v>0.3</v>
      </c>
      <c r="KE243">
        <v>0.5</v>
      </c>
      <c r="KF243">
        <v>0.18</v>
      </c>
      <c r="KG243">
        <v>0.1</v>
      </c>
      <c r="KH243">
        <v>3.5</v>
      </c>
      <c r="KI243">
        <v>1</v>
      </c>
      <c r="KJ243">
        <v>4.5</v>
      </c>
      <c r="KK243">
        <v>0</v>
      </c>
      <c r="KL243">
        <v>4.5</v>
      </c>
      <c r="KM243">
        <v>0.5</v>
      </c>
      <c r="KN243">
        <v>2.6</v>
      </c>
      <c r="KO243">
        <v>0</v>
      </c>
      <c r="KP243">
        <v>0</v>
      </c>
      <c r="KQ243">
        <v>0.8</v>
      </c>
      <c r="KR243">
        <v>1</v>
      </c>
      <c r="KS243">
        <v>0</v>
      </c>
      <c r="KT243">
        <v>2.5</v>
      </c>
      <c r="KU243">
        <v>0</v>
      </c>
      <c r="KV243">
        <v>0</v>
      </c>
      <c r="KW243">
        <v>1.6</v>
      </c>
      <c r="KX243">
        <v>2</v>
      </c>
      <c r="KY243">
        <v>1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3</v>
      </c>
      <c r="LI243">
        <v>0.5</v>
      </c>
      <c r="LJ243">
        <v>0</v>
      </c>
      <c r="LK243">
        <v>11</v>
      </c>
      <c r="LL243">
        <v>5</v>
      </c>
      <c r="LM243">
        <v>11</v>
      </c>
      <c r="LN243">
        <v>3</v>
      </c>
      <c r="LO243">
        <v>3</v>
      </c>
      <c r="LP243">
        <v>0</v>
      </c>
      <c r="LQ243">
        <v>0</v>
      </c>
      <c r="LR243">
        <v>0</v>
      </c>
      <c r="LS243">
        <v>1</v>
      </c>
      <c r="LT243">
        <v>0</v>
      </c>
      <c r="LU243">
        <v>0</v>
      </c>
      <c r="LV243">
        <v>0</v>
      </c>
      <c r="LW243">
        <v>1.8</v>
      </c>
      <c r="LX243">
        <v>1.8</v>
      </c>
      <c r="LY243">
        <v>2.1</v>
      </c>
      <c r="LZ243">
        <v>2.1</v>
      </c>
      <c r="MA243">
        <v>0</v>
      </c>
      <c r="MB243">
        <v>12</v>
      </c>
      <c r="MC243">
        <v>0</v>
      </c>
      <c r="MD243">
        <v>4.5</v>
      </c>
      <c r="ME243">
        <v>6</v>
      </c>
      <c r="MF243">
        <v>6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420</v>
      </c>
      <c r="MN243">
        <v>230</v>
      </c>
      <c r="MO243">
        <v>286</v>
      </c>
      <c r="NU243">
        <v>0.15</v>
      </c>
      <c r="NV243">
        <v>0.2</v>
      </c>
      <c r="NW243">
        <v>0.2</v>
      </c>
      <c r="NX243">
        <v>0.2</v>
      </c>
      <c r="NY243">
        <v>0.2</v>
      </c>
      <c r="NZ243">
        <v>0.2</v>
      </c>
      <c r="OE243" t="s">
        <v>4900</v>
      </c>
      <c r="OF243" t="s">
        <v>4898</v>
      </c>
      <c r="OG243" t="s">
        <v>4899</v>
      </c>
      <c r="OH243" t="s">
        <v>4043</v>
      </c>
      <c r="OI243" t="s">
        <v>4900</v>
      </c>
      <c r="OJ243" t="s">
        <v>4897</v>
      </c>
      <c r="OK243">
        <v>61</v>
      </c>
      <c r="OL243">
        <v>61</v>
      </c>
      <c r="OM243" t="s">
        <v>4898</v>
      </c>
      <c r="ON243">
        <v>2</v>
      </c>
      <c r="OO243">
        <v>2259</v>
      </c>
      <c r="OP243">
        <v>61</v>
      </c>
      <c r="OQ243">
        <v>61</v>
      </c>
      <c r="OR243" t="s">
        <v>4899</v>
      </c>
      <c r="OS243">
        <v>2</v>
      </c>
      <c r="OT243">
        <v>2273</v>
      </c>
      <c r="OU243">
        <v>65</v>
      </c>
      <c r="OV243">
        <v>65</v>
      </c>
      <c r="OW243" t="s">
        <v>4043</v>
      </c>
      <c r="OX243">
        <v>2</v>
      </c>
      <c r="OY243">
        <v>48291</v>
      </c>
      <c r="OZ243">
        <v>51</v>
      </c>
      <c r="PA243">
        <v>51</v>
      </c>
      <c r="PB243" t="s">
        <v>4900</v>
      </c>
      <c r="PC243">
        <v>3</v>
      </c>
      <c r="PD243">
        <v>2308</v>
      </c>
      <c r="PF243">
        <v>592</v>
      </c>
      <c r="PG243">
        <v>35</v>
      </c>
      <c r="PH243">
        <v>567</v>
      </c>
      <c r="PI243">
        <v>0</v>
      </c>
      <c r="PJ243">
        <v>110</v>
      </c>
      <c r="PK243">
        <v>2834</v>
      </c>
      <c r="PL243">
        <v>1536</v>
      </c>
      <c r="PM243">
        <v>1098.8</v>
      </c>
      <c r="PN243">
        <v>113</v>
      </c>
      <c r="PO243">
        <v>10.7</v>
      </c>
      <c r="PP243">
        <v>12</v>
      </c>
      <c r="PQ243">
        <v>4</v>
      </c>
      <c r="PR243">
        <v>4</v>
      </c>
      <c r="PS243">
        <v>0</v>
      </c>
      <c r="PT243">
        <v>276</v>
      </c>
      <c r="PU243">
        <v>13</v>
      </c>
      <c r="PV243" t="s">
        <v>4072</v>
      </c>
      <c r="PW243" t="s">
        <v>4072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-1</v>
      </c>
      <c r="QF243">
        <v>1</v>
      </c>
      <c r="QG243">
        <v>0</v>
      </c>
      <c r="QH243">
        <v>5</v>
      </c>
      <c r="QI243">
        <v>5</v>
      </c>
      <c r="QJ243">
        <v>5</v>
      </c>
      <c r="QK243">
        <v>233</v>
      </c>
      <c r="QL243">
        <v>466</v>
      </c>
      <c r="QM243">
        <v>7.5</v>
      </c>
      <c r="QN243">
        <v>1625.4</v>
      </c>
      <c r="QO243" t="s">
        <v>3054</v>
      </c>
      <c r="QP243" t="s">
        <v>513</v>
      </c>
      <c r="QQ243">
        <v>0</v>
      </c>
      <c r="QR243" t="s">
        <v>704</v>
      </c>
      <c r="QS243">
        <v>40</v>
      </c>
      <c r="QT243">
        <v>50</v>
      </c>
    </row>
    <row r="244" spans="1:462">
      <c r="A244" t="s">
        <v>3097</v>
      </c>
      <c r="B244" t="s">
        <v>657</v>
      </c>
      <c r="C244" t="s">
        <v>509</v>
      </c>
      <c r="D244" t="s">
        <v>3096</v>
      </c>
      <c r="E244" t="s">
        <v>4036</v>
      </c>
      <c r="H244" t="s">
        <v>604</v>
      </c>
      <c r="I244" t="s">
        <v>605</v>
      </c>
      <c r="J244" t="s">
        <v>628</v>
      </c>
      <c r="K244" t="s">
        <v>606</v>
      </c>
      <c r="L244" t="s">
        <v>559</v>
      </c>
      <c r="M244" t="s">
        <v>512</v>
      </c>
      <c r="O244" t="s">
        <v>513</v>
      </c>
      <c r="P244" t="s">
        <v>517</v>
      </c>
      <c r="Q244" t="s">
        <v>1455</v>
      </c>
      <c r="R244" t="s">
        <v>1456</v>
      </c>
      <c r="S244" t="s">
        <v>4091</v>
      </c>
      <c r="T244" t="s">
        <v>1457</v>
      </c>
      <c r="U244" t="s">
        <v>1458</v>
      </c>
      <c r="V244" t="s">
        <v>3098</v>
      </c>
      <c r="W244" t="s">
        <v>3048</v>
      </c>
      <c r="X244" t="s">
        <v>3099</v>
      </c>
      <c r="Y244" t="s">
        <v>3100</v>
      </c>
      <c r="Z244" t="s">
        <v>541</v>
      </c>
      <c r="AA244" t="s">
        <v>4038</v>
      </c>
      <c r="AB244" t="s">
        <v>4901</v>
      </c>
      <c r="AC244">
        <v>14</v>
      </c>
      <c r="AD244" t="s">
        <v>3095</v>
      </c>
      <c r="AE244">
        <v>7</v>
      </c>
      <c r="AF244">
        <v>3027</v>
      </c>
      <c r="AG244" t="s">
        <v>4902</v>
      </c>
      <c r="AH244">
        <v>1</v>
      </c>
      <c r="AI244" t="s">
        <v>4041</v>
      </c>
      <c r="AK244" t="s">
        <v>4903</v>
      </c>
      <c r="AL244">
        <v>1</v>
      </c>
      <c r="AM244" t="s">
        <v>582</v>
      </c>
      <c r="AO244" t="s">
        <v>4353</v>
      </c>
      <c r="AP244">
        <v>1</v>
      </c>
      <c r="AR244" t="s">
        <v>4904</v>
      </c>
      <c r="AS244">
        <v>1</v>
      </c>
      <c r="AT244">
        <v>51</v>
      </c>
      <c r="AV244" t="s">
        <v>4045</v>
      </c>
      <c r="AW244">
        <v>6.4</v>
      </c>
      <c r="AX244">
        <v>-6</v>
      </c>
      <c r="AY244">
        <v>76</v>
      </c>
      <c r="AZ244">
        <v>61</v>
      </c>
      <c r="BH244">
        <v>76</v>
      </c>
      <c r="BI244">
        <v>15</v>
      </c>
      <c r="BJ244">
        <v>61</v>
      </c>
      <c r="BK244">
        <v>3.5</v>
      </c>
      <c r="BL244">
        <v>152</v>
      </c>
      <c r="BM244">
        <v>-6</v>
      </c>
      <c r="BN244">
        <v>0</v>
      </c>
      <c r="BP244">
        <v>0</v>
      </c>
      <c r="BR244">
        <v>145</v>
      </c>
      <c r="BS244">
        <v>135</v>
      </c>
      <c r="BT244">
        <v>1700</v>
      </c>
      <c r="BU244" t="s">
        <v>4355</v>
      </c>
      <c r="BV244" t="s">
        <v>4355</v>
      </c>
      <c r="BW244" t="s">
        <v>4356</v>
      </c>
      <c r="BX244" t="s">
        <v>4356</v>
      </c>
      <c r="BY244" t="s">
        <v>4357</v>
      </c>
      <c r="BZ244" t="s">
        <v>4357</v>
      </c>
      <c r="CA244" t="s">
        <v>4358</v>
      </c>
      <c r="CB244" t="s">
        <v>4359</v>
      </c>
      <c r="CC244" t="s">
        <v>4053</v>
      </c>
      <c r="CD244" t="s">
        <v>4359</v>
      </c>
      <c r="CE244" t="s">
        <v>4360</v>
      </c>
      <c r="CF244" t="s">
        <v>4361</v>
      </c>
      <c r="CG244" t="s">
        <v>4056</v>
      </c>
      <c r="CH244" t="s">
        <v>4145</v>
      </c>
      <c r="CI244" t="s">
        <v>4058</v>
      </c>
      <c r="CJ244" t="s">
        <v>4059</v>
      </c>
      <c r="CK244" t="s">
        <v>4060</v>
      </c>
      <c r="CL244" t="s">
        <v>4061</v>
      </c>
      <c r="CM244" t="s">
        <v>4062</v>
      </c>
      <c r="CN244" t="s">
        <v>4055</v>
      </c>
      <c r="CO244" t="s">
        <v>4063</v>
      </c>
      <c r="CP244" t="s">
        <v>4055</v>
      </c>
      <c r="CQ244" t="s">
        <v>4055</v>
      </c>
      <c r="CR244">
        <v>5</v>
      </c>
      <c r="CS244" t="s">
        <v>4055</v>
      </c>
      <c r="CT244" t="s">
        <v>4055</v>
      </c>
      <c r="CU244" t="s">
        <v>4055</v>
      </c>
      <c r="CV244">
        <v>102</v>
      </c>
      <c r="CW244">
        <v>3</v>
      </c>
      <c r="CX244">
        <v>58</v>
      </c>
      <c r="CY244">
        <v>5</v>
      </c>
      <c r="CZ244">
        <v>114</v>
      </c>
      <c r="DA244">
        <v>5</v>
      </c>
      <c r="DB244">
        <v>7390</v>
      </c>
      <c r="DC244">
        <v>220</v>
      </c>
      <c r="DD244">
        <v>270</v>
      </c>
      <c r="DE244">
        <v>1794</v>
      </c>
      <c r="DF244">
        <v>1794</v>
      </c>
      <c r="DG244">
        <v>1807</v>
      </c>
      <c r="DH244" t="s">
        <v>4055</v>
      </c>
      <c r="DI244" t="s">
        <v>4055</v>
      </c>
      <c r="DJ244" t="s">
        <v>4100</v>
      </c>
      <c r="DK244">
        <v>145</v>
      </c>
      <c r="DL244" t="s">
        <v>4101</v>
      </c>
      <c r="DM244">
        <v>61</v>
      </c>
      <c r="DN244">
        <v>0.84</v>
      </c>
      <c r="DO244">
        <v>1</v>
      </c>
      <c r="DP244">
        <v>1703</v>
      </c>
      <c r="DQ244">
        <v>451</v>
      </c>
      <c r="DR244" t="s">
        <v>4100</v>
      </c>
      <c r="DS244">
        <v>135</v>
      </c>
      <c r="DT244" t="s">
        <v>4101</v>
      </c>
      <c r="DU244">
        <v>61</v>
      </c>
      <c r="DV244">
        <v>0.84</v>
      </c>
      <c r="DW244">
        <v>1</v>
      </c>
      <c r="DX244">
        <v>1710</v>
      </c>
      <c r="DY244">
        <v>422</v>
      </c>
      <c r="DZ244" t="s">
        <v>4066</v>
      </c>
      <c r="EA244">
        <v>33</v>
      </c>
      <c r="EB244" t="s">
        <v>4065</v>
      </c>
      <c r="EC244">
        <v>0.4</v>
      </c>
      <c r="ED244">
        <v>1703</v>
      </c>
      <c r="EE244">
        <v>49</v>
      </c>
      <c r="EF244" t="s">
        <v>4066</v>
      </c>
      <c r="EG244">
        <v>33</v>
      </c>
      <c r="EH244" t="s">
        <v>4065</v>
      </c>
      <c r="EI244">
        <v>0.4</v>
      </c>
      <c r="EJ244">
        <v>1710</v>
      </c>
      <c r="EK244">
        <v>50</v>
      </c>
      <c r="EL244" t="s">
        <v>4362</v>
      </c>
      <c r="EM244">
        <v>12</v>
      </c>
      <c r="EN244">
        <v>0.5</v>
      </c>
      <c r="EO244">
        <v>0.77</v>
      </c>
      <c r="EP244">
        <v>1710.56</v>
      </c>
      <c r="EQ244">
        <v>21916.55</v>
      </c>
      <c r="ER244">
        <v>4020.46</v>
      </c>
      <c r="ES244">
        <v>0</v>
      </c>
      <c r="ET244">
        <v>0</v>
      </c>
      <c r="EU244">
        <v>1</v>
      </c>
      <c r="EV244">
        <v>25938</v>
      </c>
      <c r="EW244">
        <v>260</v>
      </c>
      <c r="EX244" t="s">
        <v>4287</v>
      </c>
      <c r="EY244">
        <v>160</v>
      </c>
      <c r="EZ244" t="s">
        <v>4055</v>
      </c>
      <c r="FA244">
        <v>4.8</v>
      </c>
      <c r="FB244">
        <v>1</v>
      </c>
      <c r="FC244">
        <v>1</v>
      </c>
      <c r="FD244">
        <v>1744</v>
      </c>
      <c r="FE244">
        <v>1518</v>
      </c>
      <c r="FF244" t="s">
        <v>4288</v>
      </c>
      <c r="FG244">
        <v>160</v>
      </c>
      <c r="FH244" t="s">
        <v>4055</v>
      </c>
      <c r="FI244">
        <v>3.8</v>
      </c>
      <c r="FJ244">
        <v>1744</v>
      </c>
      <c r="FK244">
        <v>1268</v>
      </c>
      <c r="FL244" t="s">
        <v>4069</v>
      </c>
      <c r="FM244" t="s">
        <v>4055</v>
      </c>
      <c r="FN244" t="s">
        <v>4055</v>
      </c>
      <c r="FO244" t="s">
        <v>4055</v>
      </c>
      <c r="FP244">
        <v>1744</v>
      </c>
      <c r="FQ244">
        <v>194</v>
      </c>
      <c r="FR244" t="s">
        <v>4090</v>
      </c>
      <c r="FS244">
        <v>164</v>
      </c>
      <c r="FT244" t="s">
        <v>4055</v>
      </c>
      <c r="FU244">
        <v>0.4</v>
      </c>
      <c r="FV244">
        <v>1744</v>
      </c>
      <c r="FW244">
        <v>127</v>
      </c>
      <c r="FX244" t="s">
        <v>4070</v>
      </c>
      <c r="FY244">
        <v>5</v>
      </c>
      <c r="FZ244" t="s">
        <v>4055</v>
      </c>
      <c r="GA244" t="s">
        <v>4055</v>
      </c>
      <c r="GB244">
        <v>1744</v>
      </c>
      <c r="GC244">
        <v>18</v>
      </c>
      <c r="GD244">
        <v>3125</v>
      </c>
      <c r="GE244" t="s">
        <v>4904</v>
      </c>
      <c r="GF244" t="s">
        <v>4055</v>
      </c>
      <c r="GG244" t="s">
        <v>4055</v>
      </c>
      <c r="GH244" t="s">
        <v>4055</v>
      </c>
      <c r="GI244" t="s">
        <v>4071</v>
      </c>
      <c r="GJ244" t="s">
        <v>4055</v>
      </c>
      <c r="GK244" t="s">
        <v>4055</v>
      </c>
      <c r="GL244" t="s">
        <v>4055</v>
      </c>
      <c r="GM244" t="s">
        <v>4055</v>
      </c>
      <c r="GQ244">
        <v>0</v>
      </c>
      <c r="GV244">
        <v>9</v>
      </c>
      <c r="GW244">
        <v>10.7</v>
      </c>
      <c r="GX244">
        <v>0.5</v>
      </c>
      <c r="GY244">
        <v>142</v>
      </c>
      <c r="GZ244">
        <v>3</v>
      </c>
      <c r="HA244">
        <v>184</v>
      </c>
      <c r="HB244">
        <v>3</v>
      </c>
      <c r="HC244">
        <v>1744</v>
      </c>
      <c r="HD244">
        <v>4</v>
      </c>
      <c r="HE244" t="s">
        <v>4071</v>
      </c>
      <c r="HG244" t="s">
        <v>549</v>
      </c>
      <c r="HL244">
        <v>4</v>
      </c>
      <c r="HM244">
        <v>14</v>
      </c>
      <c r="HN244">
        <v>6</v>
      </c>
      <c r="HO244">
        <v>1</v>
      </c>
      <c r="HP244">
        <v>0</v>
      </c>
      <c r="HQ244">
        <v>0</v>
      </c>
      <c r="HR244">
        <v>2</v>
      </c>
      <c r="HS244">
        <v>1700</v>
      </c>
      <c r="HT244">
        <v>5</v>
      </c>
      <c r="HU244">
        <v>1</v>
      </c>
      <c r="HV244">
        <v>5</v>
      </c>
      <c r="HW244">
        <v>0</v>
      </c>
      <c r="HX244">
        <v>1</v>
      </c>
      <c r="HY244">
        <v>0</v>
      </c>
      <c r="HZ244">
        <v>61</v>
      </c>
      <c r="IA244">
        <v>1703</v>
      </c>
      <c r="IB244">
        <v>1710</v>
      </c>
      <c r="ID244">
        <v>1744</v>
      </c>
      <c r="IE244">
        <v>1744</v>
      </c>
      <c r="IF244">
        <v>145</v>
      </c>
      <c r="IG244">
        <v>135</v>
      </c>
      <c r="IH244">
        <v>184</v>
      </c>
      <c r="II244">
        <v>0</v>
      </c>
      <c r="IJ244">
        <v>5</v>
      </c>
      <c r="IK244">
        <v>0</v>
      </c>
      <c r="IL244">
        <v>2</v>
      </c>
      <c r="IM244">
        <v>0</v>
      </c>
      <c r="IN244">
        <v>270</v>
      </c>
      <c r="IO244">
        <v>0</v>
      </c>
      <c r="IP244">
        <v>180</v>
      </c>
      <c r="IQ244">
        <v>0</v>
      </c>
      <c r="IR244">
        <v>330</v>
      </c>
      <c r="IS244">
        <v>0</v>
      </c>
      <c r="IT244">
        <v>100</v>
      </c>
      <c r="IU244">
        <v>0</v>
      </c>
      <c r="IV244">
        <v>6.4</v>
      </c>
      <c r="IW244">
        <v>-6</v>
      </c>
      <c r="IX244">
        <v>76</v>
      </c>
      <c r="IY244">
        <v>61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322</v>
      </c>
      <c r="JJ244">
        <v>292</v>
      </c>
      <c r="JK244">
        <v>225</v>
      </c>
      <c r="JL244">
        <v>288</v>
      </c>
      <c r="JM244">
        <v>225</v>
      </c>
      <c r="JN244">
        <v>150</v>
      </c>
      <c r="JO244">
        <v>202</v>
      </c>
      <c r="JP244">
        <v>240</v>
      </c>
      <c r="JQ244">
        <v>290</v>
      </c>
      <c r="JR244">
        <v>352</v>
      </c>
      <c r="JS244">
        <v>280</v>
      </c>
      <c r="JT244">
        <v>0</v>
      </c>
      <c r="JU244">
        <v>0</v>
      </c>
      <c r="JV244">
        <v>335</v>
      </c>
      <c r="JW244">
        <v>337</v>
      </c>
      <c r="JX244">
        <v>346</v>
      </c>
      <c r="JY244">
        <v>310</v>
      </c>
      <c r="JZ244">
        <v>0.5</v>
      </c>
      <c r="KA244">
        <v>0.2</v>
      </c>
      <c r="KB244">
        <v>0.4</v>
      </c>
      <c r="KC244">
        <v>0.42</v>
      </c>
      <c r="KD244">
        <v>0.3</v>
      </c>
      <c r="KE244">
        <v>0.5</v>
      </c>
      <c r="KF244">
        <v>0.18</v>
      </c>
      <c r="KG244">
        <v>0.1</v>
      </c>
      <c r="KH244">
        <v>3.5</v>
      </c>
      <c r="KI244">
        <v>1</v>
      </c>
      <c r="KJ244">
        <v>4.5</v>
      </c>
      <c r="KK244">
        <v>0</v>
      </c>
      <c r="KL244">
        <v>4.5</v>
      </c>
      <c r="KM244">
        <v>0</v>
      </c>
      <c r="KN244">
        <v>1.3</v>
      </c>
      <c r="KO244">
        <v>1</v>
      </c>
      <c r="KP244">
        <v>0.5</v>
      </c>
      <c r="KQ244">
        <v>0.7</v>
      </c>
      <c r="KR244">
        <v>1</v>
      </c>
      <c r="KS244">
        <v>0</v>
      </c>
      <c r="KT244">
        <v>1.3</v>
      </c>
      <c r="KU244">
        <v>0</v>
      </c>
      <c r="KV244">
        <v>0</v>
      </c>
      <c r="KW244">
        <v>1.2</v>
      </c>
      <c r="KX244">
        <v>2</v>
      </c>
      <c r="KY244">
        <v>0</v>
      </c>
      <c r="KZ244">
        <v>3.5</v>
      </c>
      <c r="LA244">
        <v>2</v>
      </c>
      <c r="LB244">
        <v>10</v>
      </c>
      <c r="LC244">
        <v>3</v>
      </c>
      <c r="LD244">
        <v>3.5</v>
      </c>
      <c r="LE244">
        <v>2</v>
      </c>
      <c r="LF244">
        <v>0</v>
      </c>
      <c r="LG244">
        <v>0</v>
      </c>
      <c r="LH244">
        <v>3</v>
      </c>
      <c r="LI244">
        <v>0.5</v>
      </c>
      <c r="LJ244">
        <v>0.1</v>
      </c>
      <c r="LK244">
        <v>6</v>
      </c>
      <c r="LL244">
        <v>4</v>
      </c>
      <c r="LM244">
        <v>10</v>
      </c>
      <c r="LN244">
        <v>0.1</v>
      </c>
      <c r="LO244">
        <v>0.1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10</v>
      </c>
      <c r="MC244">
        <v>0</v>
      </c>
      <c r="MD244">
        <v>4.5</v>
      </c>
      <c r="ME244">
        <v>6</v>
      </c>
      <c r="MF244">
        <v>6</v>
      </c>
      <c r="MI244">
        <v>0</v>
      </c>
      <c r="MJ244">
        <v>0</v>
      </c>
      <c r="ML244">
        <v>0</v>
      </c>
      <c r="MM244">
        <v>326</v>
      </c>
      <c r="MN244">
        <v>140</v>
      </c>
      <c r="MO244">
        <v>182</v>
      </c>
      <c r="NU244">
        <v>0.15</v>
      </c>
      <c r="NV244">
        <v>0.25</v>
      </c>
      <c r="NW244">
        <v>0.3</v>
      </c>
      <c r="NX244">
        <v>2</v>
      </c>
      <c r="NY244">
        <v>2</v>
      </c>
      <c r="NZ244">
        <v>2</v>
      </c>
      <c r="OE244" t="s">
        <v>4904</v>
      </c>
      <c r="OF244" t="s">
        <v>4902</v>
      </c>
      <c r="OG244" t="s">
        <v>4903</v>
      </c>
      <c r="OH244" t="s">
        <v>4353</v>
      </c>
      <c r="OI244" t="s">
        <v>4904</v>
      </c>
      <c r="OJ244" t="s">
        <v>4901</v>
      </c>
      <c r="OK244">
        <v>61</v>
      </c>
      <c r="OL244">
        <v>61</v>
      </c>
      <c r="OM244" t="s">
        <v>4902</v>
      </c>
      <c r="ON244">
        <v>3</v>
      </c>
      <c r="OO244">
        <v>1703</v>
      </c>
      <c r="OP244">
        <v>61</v>
      </c>
      <c r="OQ244">
        <v>61</v>
      </c>
      <c r="OR244" t="s">
        <v>4903</v>
      </c>
      <c r="OS244">
        <v>3</v>
      </c>
      <c r="OT244">
        <v>1710</v>
      </c>
      <c r="OU244">
        <v>65</v>
      </c>
      <c r="OV244">
        <v>65</v>
      </c>
      <c r="OW244" t="s">
        <v>4353</v>
      </c>
      <c r="OX244">
        <v>1</v>
      </c>
      <c r="OY244">
        <v>25938</v>
      </c>
      <c r="OZ244">
        <v>51</v>
      </c>
      <c r="PA244">
        <v>51</v>
      </c>
      <c r="PB244" t="s">
        <v>4904</v>
      </c>
      <c r="PC244">
        <v>3</v>
      </c>
      <c r="PD244">
        <v>1744</v>
      </c>
      <c r="PF244">
        <v>265</v>
      </c>
      <c r="PG244">
        <v>29</v>
      </c>
      <c r="PH244">
        <v>247</v>
      </c>
      <c r="PI244">
        <v>29</v>
      </c>
      <c r="PJ244">
        <v>111.3</v>
      </c>
      <c r="PL244">
        <v>870.5</v>
      </c>
      <c r="PM244">
        <v>727</v>
      </c>
      <c r="PN244">
        <v>72.8</v>
      </c>
      <c r="PO244">
        <v>10.5</v>
      </c>
      <c r="PP244">
        <v>10</v>
      </c>
      <c r="PQ244">
        <v>8</v>
      </c>
      <c r="PR244">
        <v>8</v>
      </c>
      <c r="PS244">
        <v>6</v>
      </c>
      <c r="PT244">
        <v>184</v>
      </c>
      <c r="PU244">
        <v>12</v>
      </c>
      <c r="PV244" t="s">
        <v>4072</v>
      </c>
      <c r="PW244" t="s">
        <v>4072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-1</v>
      </c>
      <c r="QF244">
        <v>1</v>
      </c>
      <c r="QG244">
        <v>0</v>
      </c>
      <c r="QH244">
        <v>5</v>
      </c>
      <c r="QI244">
        <v>5</v>
      </c>
      <c r="QJ244">
        <v>5</v>
      </c>
      <c r="QK244">
        <v>153</v>
      </c>
      <c r="QL244">
        <v>352</v>
      </c>
      <c r="QM244">
        <v>7.5</v>
      </c>
      <c r="QN244">
        <v>1123</v>
      </c>
      <c r="QO244" t="s">
        <v>3054</v>
      </c>
      <c r="QP244" t="s">
        <v>513</v>
      </c>
      <c r="QQ244">
        <v>0</v>
      </c>
      <c r="QR244" t="s">
        <v>540</v>
      </c>
      <c r="QS244">
        <v>30</v>
      </c>
      <c r="QT244">
        <v>40</v>
      </c>
    </row>
    <row r="245" spans="1:462">
      <c r="A245" t="s">
        <v>3105</v>
      </c>
      <c r="B245" t="s">
        <v>727</v>
      </c>
      <c r="C245" t="s">
        <v>509</v>
      </c>
      <c r="D245" t="s">
        <v>2575</v>
      </c>
      <c r="E245" t="s">
        <v>4036</v>
      </c>
      <c r="H245" t="s">
        <v>605</v>
      </c>
      <c r="I245" t="s">
        <v>896</v>
      </c>
      <c r="J245" t="s">
        <v>628</v>
      </c>
      <c r="K245" t="s">
        <v>606</v>
      </c>
      <c r="L245" t="s">
        <v>729</v>
      </c>
      <c r="M245" t="s">
        <v>512</v>
      </c>
      <c r="O245" t="s">
        <v>513</v>
      </c>
      <c r="P245" t="s">
        <v>517</v>
      </c>
      <c r="Q245" t="s">
        <v>1480</v>
      </c>
      <c r="R245" t="s">
        <v>1481</v>
      </c>
      <c r="S245" t="s">
        <v>4091</v>
      </c>
      <c r="T245" t="s">
        <v>1482</v>
      </c>
      <c r="U245" t="s">
        <v>1483</v>
      </c>
      <c r="V245" t="s">
        <v>2425</v>
      </c>
      <c r="W245" t="s">
        <v>3048</v>
      </c>
      <c r="X245" t="s">
        <v>3106</v>
      </c>
      <c r="Y245" t="s">
        <v>3107</v>
      </c>
      <c r="Z245" t="s">
        <v>541</v>
      </c>
      <c r="AA245" t="s">
        <v>3054</v>
      </c>
      <c r="AB245" t="s">
        <v>4905</v>
      </c>
      <c r="AC245">
        <v>13</v>
      </c>
      <c r="AD245" t="s">
        <v>3104</v>
      </c>
      <c r="AE245">
        <v>10</v>
      </c>
      <c r="AF245">
        <v>3456</v>
      </c>
      <c r="AG245" t="s">
        <v>4492</v>
      </c>
      <c r="AH245">
        <v>1</v>
      </c>
      <c r="AI245" t="s">
        <v>4041</v>
      </c>
      <c r="AK245" t="s">
        <v>4493</v>
      </c>
      <c r="AL245">
        <v>1</v>
      </c>
      <c r="AM245" t="s">
        <v>582</v>
      </c>
      <c r="AO245" t="s">
        <v>4353</v>
      </c>
      <c r="AP245">
        <v>1</v>
      </c>
      <c r="AR245" t="s">
        <v>4906</v>
      </c>
      <c r="AS245">
        <v>1</v>
      </c>
      <c r="AT245">
        <v>51</v>
      </c>
      <c r="AV245" t="s">
        <v>4045</v>
      </c>
      <c r="AW245">
        <v>6.4</v>
      </c>
      <c r="AX245">
        <v>-6</v>
      </c>
      <c r="AY245">
        <v>81</v>
      </c>
      <c r="AZ245">
        <v>72</v>
      </c>
      <c r="BH245">
        <v>81</v>
      </c>
      <c r="BI245">
        <v>9</v>
      </c>
      <c r="BJ245">
        <v>72</v>
      </c>
      <c r="BK245">
        <v>3.5</v>
      </c>
      <c r="BL245">
        <v>162</v>
      </c>
      <c r="BM245">
        <v>-6</v>
      </c>
      <c r="BN245">
        <v>0</v>
      </c>
      <c r="BP245">
        <v>0</v>
      </c>
      <c r="BR245">
        <v>155</v>
      </c>
      <c r="BS245">
        <v>145</v>
      </c>
      <c r="BT245">
        <v>1805</v>
      </c>
      <c r="BU245" t="s">
        <v>4046</v>
      </c>
      <c r="BV245" t="s">
        <v>4046</v>
      </c>
      <c r="BW245" t="s">
        <v>4048</v>
      </c>
      <c r="BX245" t="s">
        <v>4048</v>
      </c>
      <c r="BY245" t="s">
        <v>4369</v>
      </c>
      <c r="BZ245" t="s">
        <v>4413</v>
      </c>
      <c r="CA245" t="s">
        <v>4370</v>
      </c>
      <c r="CB245" t="s">
        <v>4371</v>
      </c>
      <c r="CC245" t="s">
        <v>4053</v>
      </c>
      <c r="CD245" t="s">
        <v>4372</v>
      </c>
      <c r="CE245" t="s">
        <v>4055</v>
      </c>
      <c r="CF245" t="s">
        <v>4055</v>
      </c>
      <c r="CG245" t="s">
        <v>4056</v>
      </c>
      <c r="CH245" t="s">
        <v>4145</v>
      </c>
      <c r="CI245" t="s">
        <v>4058</v>
      </c>
      <c r="CJ245" t="s">
        <v>4059</v>
      </c>
      <c r="CK245" t="s">
        <v>4060</v>
      </c>
      <c r="CL245" t="s">
        <v>4061</v>
      </c>
      <c r="CM245" t="s">
        <v>4062</v>
      </c>
      <c r="CN245" t="s">
        <v>4055</v>
      </c>
      <c r="CO245" t="s">
        <v>4063</v>
      </c>
      <c r="CP245" t="s">
        <v>4055</v>
      </c>
      <c r="CQ245" t="s">
        <v>4055</v>
      </c>
      <c r="CR245">
        <v>5</v>
      </c>
      <c r="CS245" t="s">
        <v>4055</v>
      </c>
      <c r="CT245" t="s">
        <v>4055</v>
      </c>
      <c r="CU245" t="s">
        <v>4055</v>
      </c>
      <c r="CV245">
        <v>107</v>
      </c>
      <c r="CW245">
        <v>3</v>
      </c>
      <c r="CX245">
        <v>65</v>
      </c>
      <c r="CY245">
        <v>5</v>
      </c>
      <c r="CZ245">
        <v>114</v>
      </c>
      <c r="DA245">
        <v>5</v>
      </c>
      <c r="DB245">
        <v>8580</v>
      </c>
      <c r="DC245">
        <v>250</v>
      </c>
      <c r="DD245">
        <v>280</v>
      </c>
      <c r="DE245">
        <v>1910</v>
      </c>
      <c r="DF245">
        <v>1910</v>
      </c>
      <c r="DG245">
        <v>1922</v>
      </c>
      <c r="DH245" t="s">
        <v>4055</v>
      </c>
      <c r="DI245" t="s">
        <v>4055</v>
      </c>
      <c r="DJ245" t="s">
        <v>4100</v>
      </c>
      <c r="DK245">
        <v>155</v>
      </c>
      <c r="DL245" t="s">
        <v>4101</v>
      </c>
      <c r="DM245">
        <v>63</v>
      </c>
      <c r="DN245">
        <v>0.84</v>
      </c>
      <c r="DO245">
        <v>1</v>
      </c>
      <c r="DP245">
        <v>1808</v>
      </c>
      <c r="DQ245">
        <v>512</v>
      </c>
      <c r="DR245" t="s">
        <v>4100</v>
      </c>
      <c r="DS245">
        <v>145</v>
      </c>
      <c r="DT245" t="s">
        <v>4101</v>
      </c>
      <c r="DU245">
        <v>63</v>
      </c>
      <c r="DV245">
        <v>0.84</v>
      </c>
      <c r="DW245">
        <v>1</v>
      </c>
      <c r="DX245">
        <v>1815</v>
      </c>
      <c r="DY245">
        <v>481</v>
      </c>
      <c r="DZ245" t="s">
        <v>4066</v>
      </c>
      <c r="EA245">
        <v>33</v>
      </c>
      <c r="EB245" t="s">
        <v>4065</v>
      </c>
      <c r="EC245">
        <v>0.4</v>
      </c>
      <c r="ED245">
        <v>1808</v>
      </c>
      <c r="EE245">
        <v>52</v>
      </c>
      <c r="EF245" t="s">
        <v>4066</v>
      </c>
      <c r="EG245">
        <v>33</v>
      </c>
      <c r="EH245" t="s">
        <v>4065</v>
      </c>
      <c r="EI245">
        <v>0.4</v>
      </c>
      <c r="EJ245">
        <v>1815</v>
      </c>
      <c r="EK245">
        <v>53</v>
      </c>
      <c r="EL245" t="s">
        <v>4362</v>
      </c>
      <c r="EM245">
        <v>12</v>
      </c>
      <c r="EN245">
        <v>0.5</v>
      </c>
      <c r="EO245">
        <v>0.77</v>
      </c>
      <c r="EP245">
        <v>1815.56</v>
      </c>
      <c r="EQ245">
        <v>24680.27</v>
      </c>
      <c r="ER245">
        <v>2559.93</v>
      </c>
      <c r="ES245">
        <v>0</v>
      </c>
      <c r="ET245">
        <v>0</v>
      </c>
      <c r="EU245">
        <v>1</v>
      </c>
      <c r="EV245">
        <v>27241</v>
      </c>
      <c r="EW245">
        <v>273</v>
      </c>
      <c r="EX245" t="s">
        <v>4287</v>
      </c>
      <c r="EY245">
        <v>172</v>
      </c>
      <c r="EZ245" t="s">
        <v>4055</v>
      </c>
      <c r="FA245">
        <v>5.1</v>
      </c>
      <c r="FB245">
        <v>1</v>
      </c>
      <c r="FC245">
        <v>1</v>
      </c>
      <c r="FD245">
        <v>1851</v>
      </c>
      <c r="FE245">
        <v>1811</v>
      </c>
      <c r="FF245" t="s">
        <v>4288</v>
      </c>
      <c r="FG245">
        <v>172</v>
      </c>
      <c r="FH245" t="s">
        <v>4055</v>
      </c>
      <c r="FI245">
        <v>4.2</v>
      </c>
      <c r="FJ245">
        <v>1851</v>
      </c>
      <c r="FK245">
        <v>1558</v>
      </c>
      <c r="FL245" t="s">
        <v>4069</v>
      </c>
      <c r="FM245" t="s">
        <v>4055</v>
      </c>
      <c r="FN245" t="s">
        <v>4055</v>
      </c>
      <c r="FO245" t="s">
        <v>4055</v>
      </c>
      <c r="FP245">
        <v>1851</v>
      </c>
      <c r="FQ245">
        <v>216</v>
      </c>
      <c r="FR245" t="s">
        <v>4090</v>
      </c>
      <c r="FS245">
        <v>176</v>
      </c>
      <c r="FT245" t="s">
        <v>4055</v>
      </c>
      <c r="FU245">
        <v>0.4</v>
      </c>
      <c r="FV245">
        <v>1851</v>
      </c>
      <c r="FW245">
        <v>145</v>
      </c>
      <c r="FX245" t="s">
        <v>4070</v>
      </c>
      <c r="FY245">
        <v>5</v>
      </c>
      <c r="FZ245" t="s">
        <v>4055</v>
      </c>
      <c r="GA245" t="s">
        <v>4055</v>
      </c>
      <c r="GB245">
        <v>1851</v>
      </c>
      <c r="GC245">
        <v>21</v>
      </c>
      <c r="GD245">
        <v>3751</v>
      </c>
      <c r="GE245" t="s">
        <v>4906</v>
      </c>
      <c r="GF245" t="s">
        <v>4055</v>
      </c>
      <c r="GG245" t="s">
        <v>4055</v>
      </c>
      <c r="GH245" t="s">
        <v>4055</v>
      </c>
      <c r="GI245" t="s">
        <v>4071</v>
      </c>
      <c r="GJ245" t="s">
        <v>4055</v>
      </c>
      <c r="GK245" t="s">
        <v>4055</v>
      </c>
      <c r="GL245" t="s">
        <v>4055</v>
      </c>
      <c r="GM245" t="s">
        <v>4055</v>
      </c>
      <c r="GQ245">
        <v>0</v>
      </c>
      <c r="GV245">
        <v>9.699999999999999</v>
      </c>
      <c r="GW245">
        <v>11.2</v>
      </c>
      <c r="GX245">
        <v>0.5</v>
      </c>
      <c r="GY245">
        <v>150</v>
      </c>
      <c r="GZ245">
        <v>3</v>
      </c>
      <c r="HA245">
        <v>198</v>
      </c>
      <c r="HB245">
        <v>3</v>
      </c>
      <c r="HC245">
        <v>1851</v>
      </c>
      <c r="HD245">
        <v>4</v>
      </c>
      <c r="HE245" t="s">
        <v>4071</v>
      </c>
      <c r="HG245" t="s">
        <v>549</v>
      </c>
      <c r="HL245">
        <v>4</v>
      </c>
      <c r="HM245">
        <v>15</v>
      </c>
      <c r="HN245">
        <v>6</v>
      </c>
      <c r="HO245">
        <v>1</v>
      </c>
      <c r="HP245">
        <v>0</v>
      </c>
      <c r="HQ245">
        <v>0</v>
      </c>
      <c r="HR245">
        <v>3</v>
      </c>
      <c r="HS245">
        <v>1805</v>
      </c>
      <c r="HT245">
        <v>5</v>
      </c>
      <c r="HU245">
        <v>1</v>
      </c>
      <c r="HV245">
        <v>5</v>
      </c>
      <c r="HW245">
        <v>0</v>
      </c>
      <c r="HX245">
        <v>1</v>
      </c>
      <c r="HY245">
        <v>0</v>
      </c>
      <c r="HZ245">
        <v>63</v>
      </c>
      <c r="IA245">
        <v>1808</v>
      </c>
      <c r="IB245">
        <v>1815</v>
      </c>
      <c r="ID245">
        <v>1851</v>
      </c>
      <c r="IE245">
        <v>1851</v>
      </c>
      <c r="IF245">
        <v>155</v>
      </c>
      <c r="IG245">
        <v>145</v>
      </c>
      <c r="IH245">
        <v>198</v>
      </c>
      <c r="II245">
        <v>1</v>
      </c>
      <c r="IJ245">
        <v>5</v>
      </c>
      <c r="IK245">
        <v>0</v>
      </c>
      <c r="IL245">
        <v>2</v>
      </c>
      <c r="IM245">
        <v>0</v>
      </c>
      <c r="IN245">
        <v>270</v>
      </c>
      <c r="IO245">
        <v>0</v>
      </c>
      <c r="IP245">
        <v>180</v>
      </c>
      <c r="IQ245">
        <v>0</v>
      </c>
      <c r="IR245">
        <v>330</v>
      </c>
      <c r="IS245">
        <v>0</v>
      </c>
      <c r="IT245">
        <v>90</v>
      </c>
      <c r="IU245">
        <v>0</v>
      </c>
      <c r="IV245">
        <v>6.4</v>
      </c>
      <c r="IW245">
        <v>-6</v>
      </c>
      <c r="IX245">
        <v>81</v>
      </c>
      <c r="IY245">
        <v>72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336</v>
      </c>
      <c r="JJ245">
        <v>286</v>
      </c>
      <c r="JK245">
        <v>216</v>
      </c>
      <c r="JL245">
        <v>286</v>
      </c>
      <c r="JM245">
        <v>248</v>
      </c>
      <c r="JN245">
        <v>155</v>
      </c>
      <c r="JO245">
        <v>208</v>
      </c>
      <c r="JP245">
        <v>220</v>
      </c>
      <c r="JQ245">
        <v>270</v>
      </c>
      <c r="JR245">
        <v>345</v>
      </c>
      <c r="JS245">
        <v>275</v>
      </c>
      <c r="JT245">
        <v>0</v>
      </c>
      <c r="JU245">
        <v>0</v>
      </c>
      <c r="JV245">
        <v>335</v>
      </c>
      <c r="JW245">
        <v>337</v>
      </c>
      <c r="JX245">
        <v>340</v>
      </c>
      <c r="JY245">
        <v>320</v>
      </c>
      <c r="JZ245">
        <v>1</v>
      </c>
      <c r="KA245">
        <v>0.2</v>
      </c>
      <c r="KB245">
        <v>0.4</v>
      </c>
      <c r="KC245">
        <v>0.42</v>
      </c>
      <c r="KD245">
        <v>0.28</v>
      </c>
      <c r="KE245">
        <v>0.5</v>
      </c>
      <c r="KF245">
        <v>0.2</v>
      </c>
      <c r="KG245">
        <v>0.1</v>
      </c>
      <c r="KH245">
        <v>3.5</v>
      </c>
      <c r="KI245">
        <v>1</v>
      </c>
      <c r="KJ245">
        <v>4.5</v>
      </c>
      <c r="KK245">
        <v>0</v>
      </c>
      <c r="KL245">
        <v>4.5</v>
      </c>
      <c r="KM245">
        <v>0</v>
      </c>
      <c r="KN245">
        <v>1.4</v>
      </c>
      <c r="KO245">
        <v>0</v>
      </c>
      <c r="KP245">
        <v>0</v>
      </c>
      <c r="KQ245">
        <v>1</v>
      </c>
      <c r="KR245">
        <v>1</v>
      </c>
      <c r="KS245">
        <v>0</v>
      </c>
      <c r="KT245">
        <v>2.2</v>
      </c>
      <c r="KU245">
        <v>0</v>
      </c>
      <c r="KV245">
        <v>0</v>
      </c>
      <c r="KW245">
        <v>1.2</v>
      </c>
      <c r="KX245">
        <v>2.5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2.5</v>
      </c>
      <c r="LI245">
        <v>0.5</v>
      </c>
      <c r="LJ245">
        <v>0</v>
      </c>
      <c r="LK245">
        <v>4</v>
      </c>
      <c r="LL245">
        <v>4.5</v>
      </c>
      <c r="LM245">
        <v>6</v>
      </c>
      <c r="LN245">
        <v>0.5</v>
      </c>
      <c r="LO245">
        <v>0.5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1.4</v>
      </c>
      <c r="LX245">
        <v>1.4</v>
      </c>
      <c r="LY245">
        <v>2.1</v>
      </c>
      <c r="LZ245">
        <v>2.1</v>
      </c>
      <c r="MA245">
        <v>0</v>
      </c>
      <c r="MB245">
        <v>0</v>
      </c>
      <c r="MC245">
        <v>0</v>
      </c>
      <c r="MD245">
        <v>4.5</v>
      </c>
      <c r="ME245">
        <v>6</v>
      </c>
      <c r="MF245">
        <v>6</v>
      </c>
      <c r="MI245">
        <v>0</v>
      </c>
      <c r="MJ245">
        <v>0</v>
      </c>
      <c r="ML245">
        <v>0</v>
      </c>
      <c r="MM245">
        <v>356</v>
      </c>
      <c r="MN245">
        <v>150</v>
      </c>
      <c r="MO245">
        <v>208</v>
      </c>
      <c r="NU245">
        <v>0.15</v>
      </c>
      <c r="NV245">
        <v>0.2</v>
      </c>
      <c r="NW245">
        <v>0.2</v>
      </c>
      <c r="NX245">
        <v>0.2</v>
      </c>
      <c r="NY245">
        <v>0.2</v>
      </c>
      <c r="NZ245">
        <v>0.2</v>
      </c>
      <c r="OE245" t="s">
        <v>4906</v>
      </c>
      <c r="OF245" t="s">
        <v>4492</v>
      </c>
      <c r="OG245" t="s">
        <v>4493</v>
      </c>
      <c r="OH245" t="s">
        <v>4353</v>
      </c>
      <c r="OI245" t="s">
        <v>4906</v>
      </c>
      <c r="OJ245" t="s">
        <v>4905</v>
      </c>
      <c r="OK245">
        <v>61</v>
      </c>
      <c r="OL245">
        <v>61</v>
      </c>
      <c r="OM245" t="s">
        <v>4492</v>
      </c>
      <c r="ON245">
        <v>3</v>
      </c>
      <c r="OO245">
        <v>1808</v>
      </c>
      <c r="OP245">
        <v>61</v>
      </c>
      <c r="OQ245">
        <v>61</v>
      </c>
      <c r="OR245" t="s">
        <v>4493</v>
      </c>
      <c r="OS245">
        <v>3</v>
      </c>
      <c r="OT245">
        <v>1815</v>
      </c>
      <c r="OU245">
        <v>65</v>
      </c>
      <c r="OV245">
        <v>65</v>
      </c>
      <c r="OW245" t="s">
        <v>4353</v>
      </c>
      <c r="OX245">
        <v>1</v>
      </c>
      <c r="OY245">
        <v>27241</v>
      </c>
      <c r="OZ245">
        <v>51</v>
      </c>
      <c r="PA245">
        <v>51</v>
      </c>
      <c r="PB245" t="s">
        <v>4906</v>
      </c>
      <c r="PC245">
        <v>3</v>
      </c>
      <c r="PD245">
        <v>1851</v>
      </c>
      <c r="PF245">
        <v>283</v>
      </c>
      <c r="PG245">
        <v>29</v>
      </c>
      <c r="PH245">
        <v>265</v>
      </c>
      <c r="PI245">
        <v>29</v>
      </c>
      <c r="PJ245">
        <v>116.9</v>
      </c>
      <c r="PK245">
        <v>2012</v>
      </c>
      <c r="PL245">
        <v>978.5</v>
      </c>
      <c r="PM245">
        <v>841.7</v>
      </c>
      <c r="PN245">
        <v>78.2</v>
      </c>
      <c r="PO245">
        <v>11.3</v>
      </c>
      <c r="PP245">
        <v>10</v>
      </c>
      <c r="PQ245">
        <v>2</v>
      </c>
      <c r="PR245">
        <v>2</v>
      </c>
      <c r="PS245">
        <v>6</v>
      </c>
      <c r="PT245">
        <v>198</v>
      </c>
      <c r="PU245">
        <v>13</v>
      </c>
      <c r="PV245" t="s">
        <v>4072</v>
      </c>
      <c r="PW245" t="s">
        <v>4072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-1</v>
      </c>
      <c r="QF245">
        <v>1</v>
      </c>
      <c r="QG245">
        <v>0</v>
      </c>
      <c r="QH245">
        <v>5</v>
      </c>
      <c r="QI245">
        <v>5</v>
      </c>
      <c r="QJ245">
        <v>5</v>
      </c>
      <c r="QK245">
        <v>164</v>
      </c>
      <c r="QL245">
        <v>372</v>
      </c>
      <c r="QM245">
        <v>7.5</v>
      </c>
      <c r="QN245">
        <v>1204.3</v>
      </c>
      <c r="QO245" t="s">
        <v>3054</v>
      </c>
      <c r="QP245" t="s">
        <v>513</v>
      </c>
      <c r="QQ245">
        <v>0</v>
      </c>
      <c r="QR245" t="s">
        <v>540</v>
      </c>
      <c r="QS245">
        <v>30</v>
      </c>
      <c r="QT245">
        <v>40</v>
      </c>
    </row>
    <row r="246" spans="1:462">
      <c r="A246" t="s">
        <v>3112</v>
      </c>
      <c r="B246" t="s">
        <v>657</v>
      </c>
      <c r="C246" t="s">
        <v>509</v>
      </c>
      <c r="D246" t="s">
        <v>3201</v>
      </c>
      <c r="E246" t="s">
        <v>4036</v>
      </c>
      <c r="H246" t="s">
        <v>604</v>
      </c>
      <c r="I246" t="s">
        <v>605</v>
      </c>
      <c r="J246" t="s">
        <v>628</v>
      </c>
      <c r="K246" t="s">
        <v>606</v>
      </c>
      <c r="L246" t="s">
        <v>559</v>
      </c>
      <c r="M246" t="s">
        <v>512</v>
      </c>
      <c r="O246" t="s">
        <v>513</v>
      </c>
      <c r="P246" t="s">
        <v>517</v>
      </c>
      <c r="Q246" t="s">
        <v>518</v>
      </c>
      <c r="R246" t="s">
        <v>519</v>
      </c>
      <c r="S246" t="s">
        <v>4037</v>
      </c>
      <c r="T246" t="s">
        <v>520</v>
      </c>
      <c r="U246" t="s">
        <v>521</v>
      </c>
      <c r="V246" t="s">
        <v>522</v>
      </c>
      <c r="W246" t="s">
        <v>3048</v>
      </c>
      <c r="X246" t="s">
        <v>3113</v>
      </c>
      <c r="Y246" t="s">
        <v>3114</v>
      </c>
      <c r="Z246" t="s">
        <v>650</v>
      </c>
      <c r="AA246" t="s">
        <v>4038</v>
      </c>
      <c r="AB246" t="s">
        <v>4907</v>
      </c>
      <c r="AC246">
        <v>15</v>
      </c>
      <c r="AD246" t="s">
        <v>3111</v>
      </c>
      <c r="AE246">
        <v>7</v>
      </c>
      <c r="AF246">
        <v>3585</v>
      </c>
      <c r="AG246" t="s">
        <v>4729</v>
      </c>
      <c r="AH246">
        <v>1</v>
      </c>
      <c r="AI246" t="s">
        <v>4041</v>
      </c>
      <c r="AK246" t="s">
        <v>4730</v>
      </c>
      <c r="AL246">
        <v>1</v>
      </c>
      <c r="AM246" t="s">
        <v>582</v>
      </c>
      <c r="AO246" t="s">
        <v>4426</v>
      </c>
      <c r="AP246">
        <v>1</v>
      </c>
      <c r="AR246" t="s">
        <v>4908</v>
      </c>
      <c r="AS246">
        <v>1</v>
      </c>
      <c r="AT246">
        <v>51</v>
      </c>
      <c r="AV246" t="s">
        <v>4045</v>
      </c>
      <c r="AW246">
        <v>6.4</v>
      </c>
      <c r="AX246">
        <v>-6</v>
      </c>
      <c r="AY246">
        <v>93.5</v>
      </c>
      <c r="AZ246">
        <v>84.5</v>
      </c>
      <c r="BH246">
        <v>93.5</v>
      </c>
      <c r="BI246">
        <v>9</v>
      </c>
      <c r="BJ246">
        <v>84.5</v>
      </c>
      <c r="BK246">
        <v>3.5</v>
      </c>
      <c r="BL246">
        <v>187</v>
      </c>
      <c r="BM246">
        <v>-6</v>
      </c>
      <c r="BN246">
        <v>0</v>
      </c>
      <c r="BP246">
        <v>0</v>
      </c>
      <c r="BR246">
        <v>180</v>
      </c>
      <c r="BS246">
        <v>170</v>
      </c>
      <c r="BT246">
        <v>1835</v>
      </c>
      <c r="BU246" t="s">
        <v>4046</v>
      </c>
      <c r="BV246" t="s">
        <v>4047</v>
      </c>
      <c r="BW246" t="s">
        <v>4048</v>
      </c>
      <c r="BX246" t="s">
        <v>4049</v>
      </c>
      <c r="BY246" t="s">
        <v>4144</v>
      </c>
      <c r="BZ246" t="s">
        <v>4144</v>
      </c>
      <c r="CA246" t="s">
        <v>4051</v>
      </c>
      <c r="CB246" t="s">
        <v>4052</v>
      </c>
      <c r="CC246" t="s">
        <v>4053</v>
      </c>
      <c r="CD246" t="s">
        <v>4054</v>
      </c>
      <c r="CE246" t="s">
        <v>4055</v>
      </c>
      <c r="CF246" t="s">
        <v>4055</v>
      </c>
      <c r="CG246" t="s">
        <v>4056</v>
      </c>
      <c r="CH246" t="s">
        <v>4145</v>
      </c>
      <c r="CI246" t="s">
        <v>4058</v>
      </c>
      <c r="CJ246" t="s">
        <v>4059</v>
      </c>
      <c r="CK246" t="s">
        <v>4060</v>
      </c>
      <c r="CL246" t="s">
        <v>4061</v>
      </c>
      <c r="CM246" t="s">
        <v>4062</v>
      </c>
      <c r="CN246" t="s">
        <v>4055</v>
      </c>
      <c r="CO246" t="s">
        <v>4063</v>
      </c>
      <c r="CP246" t="s">
        <v>4055</v>
      </c>
      <c r="CQ246" t="s">
        <v>4055</v>
      </c>
      <c r="CR246">
        <v>5</v>
      </c>
      <c r="CS246" t="s">
        <v>4055</v>
      </c>
      <c r="CT246" t="s">
        <v>4055</v>
      </c>
      <c r="CU246" t="s">
        <v>4055</v>
      </c>
      <c r="CV246">
        <v>122</v>
      </c>
      <c r="CW246">
        <v>3</v>
      </c>
      <c r="CX246">
        <v>99</v>
      </c>
      <c r="CY246">
        <v>5</v>
      </c>
      <c r="CZ246">
        <v>129</v>
      </c>
      <c r="DA246">
        <v>5</v>
      </c>
      <c r="DB246">
        <v>9840</v>
      </c>
      <c r="DC246">
        <v>290</v>
      </c>
      <c r="DD246">
        <v>300</v>
      </c>
      <c r="DE246">
        <v>1948</v>
      </c>
      <c r="DF246">
        <v>1948</v>
      </c>
      <c r="DG246">
        <v>1960</v>
      </c>
      <c r="DH246" t="s">
        <v>4055</v>
      </c>
      <c r="DI246" t="s">
        <v>4055</v>
      </c>
      <c r="DJ246" t="s">
        <v>4132</v>
      </c>
      <c r="DK246">
        <v>180</v>
      </c>
      <c r="DL246" t="s">
        <v>4065</v>
      </c>
      <c r="DM246">
        <v>63</v>
      </c>
      <c r="DN246">
        <v>1.1</v>
      </c>
      <c r="DO246">
        <v>1</v>
      </c>
      <c r="DP246">
        <v>1838</v>
      </c>
      <c r="DQ246">
        <v>715</v>
      </c>
      <c r="DR246" t="s">
        <v>4132</v>
      </c>
      <c r="DS246">
        <v>170</v>
      </c>
      <c r="DT246" t="s">
        <v>4065</v>
      </c>
      <c r="DU246">
        <v>63</v>
      </c>
      <c r="DV246">
        <v>1.1</v>
      </c>
      <c r="DW246">
        <v>1</v>
      </c>
      <c r="DX246">
        <v>1850</v>
      </c>
      <c r="DY246">
        <v>681</v>
      </c>
      <c r="DZ246" t="s">
        <v>4066</v>
      </c>
      <c r="EA246">
        <v>20</v>
      </c>
      <c r="EB246" t="s">
        <v>4065</v>
      </c>
      <c r="EC246">
        <v>0.8</v>
      </c>
      <c r="ED246">
        <v>1838</v>
      </c>
      <c r="EE246">
        <v>64</v>
      </c>
      <c r="EG246">
        <v>0</v>
      </c>
      <c r="EH246" t="s">
        <v>4065</v>
      </c>
      <c r="EI246">
        <v>0</v>
      </c>
      <c r="EL246" t="s">
        <v>4429</v>
      </c>
      <c r="EM246">
        <v>12</v>
      </c>
      <c r="EN246">
        <v>0.5</v>
      </c>
      <c r="EO246">
        <v>0.9</v>
      </c>
      <c r="EP246">
        <v>1848.83</v>
      </c>
      <c r="EQ246">
        <v>28743.53</v>
      </c>
      <c r="ER246">
        <v>2607.87</v>
      </c>
      <c r="ES246">
        <v>0</v>
      </c>
      <c r="ET246">
        <v>0</v>
      </c>
      <c r="EU246">
        <v>1</v>
      </c>
      <c r="EV246">
        <v>31352</v>
      </c>
      <c r="EW246">
        <v>377</v>
      </c>
      <c r="EX246" t="s">
        <v>4287</v>
      </c>
      <c r="EY246">
        <v>196</v>
      </c>
      <c r="EZ246" t="s">
        <v>4055</v>
      </c>
      <c r="FA246">
        <v>4.8</v>
      </c>
      <c r="FB246">
        <v>1</v>
      </c>
      <c r="FC246">
        <v>1</v>
      </c>
      <c r="FD246">
        <v>1886</v>
      </c>
      <c r="FE246">
        <v>2111</v>
      </c>
      <c r="FF246" t="s">
        <v>4288</v>
      </c>
      <c r="FG246">
        <v>196</v>
      </c>
      <c r="FH246" t="s">
        <v>4055</v>
      </c>
      <c r="FI246">
        <v>4.8</v>
      </c>
      <c r="FJ246">
        <v>1886</v>
      </c>
      <c r="FK246">
        <v>1936</v>
      </c>
      <c r="FL246" t="s">
        <v>4069</v>
      </c>
      <c r="FM246" t="s">
        <v>4055</v>
      </c>
      <c r="FN246" t="s">
        <v>4055</v>
      </c>
      <c r="FO246" t="s">
        <v>4055</v>
      </c>
      <c r="FP246">
        <v>1886</v>
      </c>
      <c r="FQ246">
        <v>180</v>
      </c>
      <c r="FR246" t="s">
        <v>4090</v>
      </c>
      <c r="FS246">
        <v>200</v>
      </c>
      <c r="FT246" t="s">
        <v>4055</v>
      </c>
      <c r="FU246">
        <v>0.4</v>
      </c>
      <c r="FV246">
        <v>1886</v>
      </c>
      <c r="FW246">
        <v>168</v>
      </c>
      <c r="FX246" t="s">
        <v>4070</v>
      </c>
      <c r="FY246">
        <v>5</v>
      </c>
      <c r="FZ246" t="s">
        <v>4055</v>
      </c>
      <c r="GA246" t="s">
        <v>4055</v>
      </c>
      <c r="GB246">
        <v>1886</v>
      </c>
      <c r="GC246">
        <v>22</v>
      </c>
      <c r="GD246">
        <v>4417</v>
      </c>
      <c r="GE246" t="s">
        <v>4908</v>
      </c>
      <c r="GF246" t="s">
        <v>4055</v>
      </c>
      <c r="GG246" t="s">
        <v>4055</v>
      </c>
      <c r="GH246" t="s">
        <v>4055</v>
      </c>
      <c r="GI246" t="s">
        <v>4071</v>
      </c>
      <c r="GJ246" t="s">
        <v>4055</v>
      </c>
      <c r="GK246" t="s">
        <v>4055</v>
      </c>
      <c r="GL246" t="s">
        <v>4055</v>
      </c>
      <c r="GM246" t="s">
        <v>4055</v>
      </c>
      <c r="GQ246">
        <v>0</v>
      </c>
      <c r="GV246">
        <v>10</v>
      </c>
      <c r="GW246">
        <v>11.8</v>
      </c>
      <c r="GX246">
        <v>0.5</v>
      </c>
      <c r="GY246">
        <v>170</v>
      </c>
      <c r="GZ246">
        <v>3</v>
      </c>
      <c r="HA246">
        <v>220</v>
      </c>
      <c r="HB246">
        <v>3</v>
      </c>
      <c r="HC246">
        <v>1886</v>
      </c>
      <c r="HD246">
        <v>4</v>
      </c>
      <c r="HE246" t="s">
        <v>4071</v>
      </c>
      <c r="HG246" t="s">
        <v>549</v>
      </c>
      <c r="HL246">
        <v>4</v>
      </c>
      <c r="HM246">
        <v>16</v>
      </c>
      <c r="HN246">
        <v>1</v>
      </c>
      <c r="HO246">
        <v>1</v>
      </c>
      <c r="HP246">
        <v>0</v>
      </c>
      <c r="HQ246">
        <v>0</v>
      </c>
      <c r="HR246">
        <v>3</v>
      </c>
      <c r="HS246">
        <v>1835</v>
      </c>
      <c r="HT246">
        <v>5</v>
      </c>
      <c r="HU246">
        <v>1</v>
      </c>
      <c r="HV246">
        <v>5</v>
      </c>
      <c r="HW246">
        <v>0</v>
      </c>
      <c r="HX246">
        <v>1</v>
      </c>
      <c r="HY246">
        <v>0</v>
      </c>
      <c r="HZ246">
        <v>63</v>
      </c>
      <c r="IA246">
        <v>1838</v>
      </c>
      <c r="IB246">
        <v>1850</v>
      </c>
      <c r="ID246">
        <v>1886</v>
      </c>
      <c r="IE246">
        <v>1886</v>
      </c>
      <c r="IF246">
        <v>180</v>
      </c>
      <c r="IG246">
        <v>170</v>
      </c>
      <c r="IH246">
        <v>220</v>
      </c>
      <c r="II246">
        <v>1</v>
      </c>
      <c r="IJ246">
        <v>5</v>
      </c>
      <c r="IK246">
        <v>0</v>
      </c>
      <c r="IL246">
        <v>1</v>
      </c>
      <c r="IM246">
        <v>0</v>
      </c>
      <c r="IN246">
        <v>270</v>
      </c>
      <c r="IO246">
        <v>0</v>
      </c>
      <c r="IP246">
        <v>180</v>
      </c>
      <c r="IQ246">
        <v>0</v>
      </c>
      <c r="IR246">
        <v>310</v>
      </c>
      <c r="IS246">
        <v>0</v>
      </c>
      <c r="IT246">
        <v>90</v>
      </c>
      <c r="IU246">
        <v>0</v>
      </c>
      <c r="IV246">
        <v>6.4</v>
      </c>
      <c r="IW246">
        <v>-6</v>
      </c>
      <c r="IX246">
        <v>93.5</v>
      </c>
      <c r="IY246">
        <v>84.5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346</v>
      </c>
      <c r="JJ246">
        <v>316</v>
      </c>
      <c r="JK246">
        <v>240</v>
      </c>
      <c r="JL246">
        <v>312</v>
      </c>
      <c r="JM246">
        <v>240</v>
      </c>
      <c r="JN246">
        <v>190</v>
      </c>
      <c r="JO246">
        <v>234</v>
      </c>
      <c r="JP246">
        <v>240</v>
      </c>
      <c r="JQ246">
        <v>270</v>
      </c>
      <c r="JR246">
        <v>345</v>
      </c>
      <c r="JS246">
        <v>280</v>
      </c>
      <c r="JT246">
        <v>0</v>
      </c>
      <c r="JU246">
        <v>0</v>
      </c>
      <c r="JV246">
        <v>305</v>
      </c>
      <c r="JW246">
        <v>300</v>
      </c>
      <c r="JX246">
        <v>320</v>
      </c>
      <c r="JY246">
        <v>300</v>
      </c>
      <c r="JZ246">
        <v>1</v>
      </c>
      <c r="KA246">
        <v>0.2</v>
      </c>
      <c r="KB246">
        <v>0.4</v>
      </c>
      <c r="KC246">
        <v>0.42</v>
      </c>
      <c r="KD246">
        <v>0.28</v>
      </c>
      <c r="KE246">
        <v>0.5</v>
      </c>
      <c r="KF246">
        <v>0.16</v>
      </c>
      <c r="KG246">
        <v>0.1</v>
      </c>
      <c r="KH246">
        <v>3.5</v>
      </c>
      <c r="KI246">
        <v>1</v>
      </c>
      <c r="KJ246">
        <v>4.5</v>
      </c>
      <c r="KK246">
        <v>0</v>
      </c>
      <c r="KL246">
        <v>4.5</v>
      </c>
      <c r="KM246">
        <v>0</v>
      </c>
      <c r="KN246">
        <v>1.5</v>
      </c>
      <c r="KO246">
        <v>0</v>
      </c>
      <c r="KP246">
        <v>0</v>
      </c>
      <c r="KQ246">
        <v>0.8</v>
      </c>
      <c r="KR246">
        <v>0.7</v>
      </c>
      <c r="KS246">
        <v>0</v>
      </c>
      <c r="KT246">
        <v>1.5</v>
      </c>
      <c r="KU246">
        <v>0</v>
      </c>
      <c r="KV246">
        <v>0</v>
      </c>
      <c r="KW246">
        <v>1.5</v>
      </c>
      <c r="KX246">
        <v>2</v>
      </c>
      <c r="KY246">
        <v>1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3</v>
      </c>
      <c r="LI246">
        <v>1</v>
      </c>
      <c r="LJ246">
        <v>0</v>
      </c>
      <c r="LK246">
        <v>3</v>
      </c>
      <c r="LL246">
        <v>4</v>
      </c>
      <c r="LM246">
        <v>6</v>
      </c>
      <c r="LN246">
        <v>0.5</v>
      </c>
      <c r="LO246">
        <v>1</v>
      </c>
      <c r="LP246">
        <v>0</v>
      </c>
      <c r="LQ246">
        <v>0</v>
      </c>
      <c r="LR246">
        <v>0</v>
      </c>
      <c r="LS246">
        <v>1</v>
      </c>
      <c r="LT246">
        <v>0</v>
      </c>
      <c r="LU246">
        <v>0</v>
      </c>
      <c r="LV246">
        <v>0</v>
      </c>
      <c r="LW246">
        <v>1.5</v>
      </c>
      <c r="LX246">
        <v>1.5</v>
      </c>
      <c r="LY246">
        <v>2</v>
      </c>
      <c r="LZ246">
        <v>2</v>
      </c>
      <c r="MA246">
        <v>0</v>
      </c>
      <c r="MB246">
        <v>3</v>
      </c>
      <c r="MC246">
        <v>0</v>
      </c>
      <c r="MD246">
        <v>4</v>
      </c>
      <c r="ME246">
        <v>6</v>
      </c>
      <c r="MF246">
        <v>6</v>
      </c>
      <c r="MI246">
        <v>0</v>
      </c>
      <c r="MJ246">
        <v>0</v>
      </c>
      <c r="ML246">
        <v>0</v>
      </c>
      <c r="MM246">
        <v>358</v>
      </c>
      <c r="MN246">
        <v>190</v>
      </c>
      <c r="MO246">
        <v>230</v>
      </c>
      <c r="NU246">
        <v>0.15</v>
      </c>
      <c r="NV246">
        <v>0.2</v>
      </c>
      <c r="NW246">
        <v>0.2</v>
      </c>
      <c r="NX246">
        <v>0.2</v>
      </c>
      <c r="NY246">
        <v>0.2</v>
      </c>
      <c r="NZ246">
        <v>0.2</v>
      </c>
      <c r="OE246" t="s">
        <v>4908</v>
      </c>
      <c r="OF246" t="s">
        <v>4729</v>
      </c>
      <c r="OG246" t="s">
        <v>4730</v>
      </c>
      <c r="OH246" t="s">
        <v>4426</v>
      </c>
      <c r="OI246" t="s">
        <v>4908</v>
      </c>
      <c r="OJ246" t="s">
        <v>4907</v>
      </c>
      <c r="OK246">
        <v>61</v>
      </c>
      <c r="OL246">
        <v>61</v>
      </c>
      <c r="OM246" t="s">
        <v>4729</v>
      </c>
      <c r="ON246">
        <v>1</v>
      </c>
      <c r="OO246">
        <v>1838</v>
      </c>
      <c r="OP246">
        <v>61</v>
      </c>
      <c r="OQ246">
        <v>61</v>
      </c>
      <c r="OR246" t="s">
        <v>4730</v>
      </c>
      <c r="OS246">
        <v>1</v>
      </c>
      <c r="OT246">
        <v>1850</v>
      </c>
      <c r="OU246">
        <v>65</v>
      </c>
      <c r="OV246">
        <v>65</v>
      </c>
      <c r="OW246" t="s">
        <v>4426</v>
      </c>
      <c r="OX246">
        <v>2</v>
      </c>
      <c r="OY246">
        <v>31352</v>
      </c>
      <c r="OZ246">
        <v>51</v>
      </c>
      <c r="PA246">
        <v>51</v>
      </c>
      <c r="PB246" t="s">
        <v>4908</v>
      </c>
      <c r="PC246">
        <v>4</v>
      </c>
      <c r="PD246">
        <v>1886</v>
      </c>
      <c r="PF246">
        <v>389</v>
      </c>
      <c r="PG246">
        <v>35</v>
      </c>
      <c r="PH246">
        <v>368</v>
      </c>
      <c r="PI246">
        <v>0</v>
      </c>
      <c r="PJ246">
        <v>95.59999999999999</v>
      </c>
      <c r="PK246">
        <v>2333</v>
      </c>
      <c r="PL246">
        <v>1119.1</v>
      </c>
      <c r="PM246">
        <v>1026.6</v>
      </c>
      <c r="PN246">
        <v>88.90000000000001</v>
      </c>
      <c r="PO246">
        <v>11.6</v>
      </c>
      <c r="PP246">
        <v>12</v>
      </c>
      <c r="PQ246">
        <v>2</v>
      </c>
      <c r="PR246">
        <v>1</v>
      </c>
      <c r="PS246">
        <v>6</v>
      </c>
      <c r="PT246">
        <v>220</v>
      </c>
      <c r="PU246">
        <v>12</v>
      </c>
      <c r="PV246" t="s">
        <v>4072</v>
      </c>
      <c r="PW246" t="s">
        <v>4072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-1</v>
      </c>
      <c r="QF246">
        <v>1</v>
      </c>
      <c r="QG246">
        <v>0</v>
      </c>
      <c r="QH246">
        <v>5</v>
      </c>
      <c r="QI246">
        <v>5</v>
      </c>
      <c r="QJ246">
        <v>5</v>
      </c>
      <c r="QK246">
        <v>167</v>
      </c>
      <c r="QL246">
        <v>380</v>
      </c>
      <c r="QM246">
        <v>7.5</v>
      </c>
      <c r="QN246">
        <v>1284.1</v>
      </c>
      <c r="QO246" t="s">
        <v>3054</v>
      </c>
      <c r="QP246" t="s">
        <v>513</v>
      </c>
      <c r="QQ246">
        <v>0</v>
      </c>
      <c r="QR246" t="s">
        <v>649</v>
      </c>
      <c r="QS246">
        <v>30</v>
      </c>
      <c r="QT246">
        <v>40</v>
      </c>
    </row>
    <row r="247" spans="1:462">
      <c r="A247" t="s">
        <v>3122</v>
      </c>
      <c r="B247" t="s">
        <v>559</v>
      </c>
      <c r="C247" t="s">
        <v>509</v>
      </c>
      <c r="D247" t="s">
        <v>2142</v>
      </c>
      <c r="E247" t="s">
        <v>4036</v>
      </c>
      <c r="H247" t="s">
        <v>604</v>
      </c>
      <c r="I247" t="s">
        <v>605</v>
      </c>
      <c r="J247" t="s">
        <v>628</v>
      </c>
      <c r="K247" t="s">
        <v>606</v>
      </c>
      <c r="L247" t="s">
        <v>564</v>
      </c>
      <c r="M247" t="s">
        <v>512</v>
      </c>
      <c r="O247" t="s">
        <v>513</v>
      </c>
      <c r="P247" t="s">
        <v>517</v>
      </c>
      <c r="Q247" t="s">
        <v>879</v>
      </c>
      <c r="R247" t="s">
        <v>880</v>
      </c>
      <c r="S247" t="s">
        <v>4091</v>
      </c>
      <c r="T247" t="s">
        <v>633</v>
      </c>
      <c r="U247" t="s">
        <v>634</v>
      </c>
      <c r="V247" t="s">
        <v>3123</v>
      </c>
      <c r="W247" t="s">
        <v>3058</v>
      </c>
      <c r="X247" t="s">
        <v>3124</v>
      </c>
      <c r="Y247" t="s">
        <v>3125</v>
      </c>
      <c r="Z247" t="s">
        <v>541</v>
      </c>
      <c r="AA247" t="s">
        <v>4038</v>
      </c>
      <c r="AB247" t="s">
        <v>4909</v>
      </c>
      <c r="AC247">
        <v>14</v>
      </c>
      <c r="AD247" t="s">
        <v>3121</v>
      </c>
      <c r="AE247">
        <v>6</v>
      </c>
      <c r="AF247">
        <v>5160</v>
      </c>
      <c r="AG247" t="s">
        <v>4910</v>
      </c>
      <c r="AH247">
        <v>1</v>
      </c>
      <c r="AI247" t="s">
        <v>4041</v>
      </c>
      <c r="AK247" t="s">
        <v>4911</v>
      </c>
      <c r="AL247">
        <v>1</v>
      </c>
      <c r="AM247" t="s">
        <v>582</v>
      </c>
      <c r="AO247" t="s">
        <v>4043</v>
      </c>
      <c r="AP247">
        <v>1</v>
      </c>
      <c r="AR247" t="s">
        <v>4912</v>
      </c>
      <c r="AS247">
        <v>1</v>
      </c>
      <c r="AT247">
        <v>51</v>
      </c>
      <c r="AV247" t="s">
        <v>4078</v>
      </c>
      <c r="AW247">
        <v>6.4</v>
      </c>
      <c r="AX247">
        <v>-6</v>
      </c>
      <c r="AY247">
        <v>101</v>
      </c>
      <c r="AZ247">
        <v>70.5</v>
      </c>
      <c r="BH247">
        <v>101</v>
      </c>
      <c r="BI247">
        <v>30.5</v>
      </c>
      <c r="BJ247">
        <v>70.5</v>
      </c>
      <c r="BK247">
        <v>3.5</v>
      </c>
      <c r="BL247">
        <v>202</v>
      </c>
      <c r="BM247">
        <v>-6</v>
      </c>
      <c r="BN247">
        <v>0</v>
      </c>
      <c r="BP247">
        <v>0</v>
      </c>
      <c r="BR247">
        <v>195</v>
      </c>
      <c r="BS247">
        <v>185</v>
      </c>
      <c r="BT247">
        <v>2115</v>
      </c>
      <c r="BU247" t="s">
        <v>4127</v>
      </c>
      <c r="BV247" t="s">
        <v>4127</v>
      </c>
      <c r="BW247" t="s">
        <v>4128</v>
      </c>
      <c r="BX247" t="s">
        <v>4128</v>
      </c>
      <c r="BY247" t="s">
        <v>4173</v>
      </c>
      <c r="BZ247" t="s">
        <v>4249</v>
      </c>
      <c r="CA247" t="s">
        <v>4108</v>
      </c>
      <c r="CB247" t="s">
        <v>4109</v>
      </c>
      <c r="CC247" t="s">
        <v>4053</v>
      </c>
      <c r="CD247" t="s">
        <v>4110</v>
      </c>
      <c r="CE247" t="s">
        <v>4055</v>
      </c>
      <c r="CF247" t="s">
        <v>4055</v>
      </c>
      <c r="CG247" t="s">
        <v>4056</v>
      </c>
      <c r="CI247" t="s">
        <v>4058</v>
      </c>
      <c r="CJ247" t="s">
        <v>4059</v>
      </c>
      <c r="CK247" t="s">
        <v>4060</v>
      </c>
      <c r="CL247" t="s">
        <v>4061</v>
      </c>
      <c r="CM247" t="s">
        <v>4062</v>
      </c>
      <c r="CN247" t="s">
        <v>4055</v>
      </c>
      <c r="CO247" t="s">
        <v>4063</v>
      </c>
      <c r="CP247" t="s">
        <v>4055</v>
      </c>
      <c r="CQ247" t="s">
        <v>4055</v>
      </c>
      <c r="CR247">
        <v>5</v>
      </c>
      <c r="CS247" t="s">
        <v>4055</v>
      </c>
      <c r="CT247" t="s">
        <v>4055</v>
      </c>
      <c r="CU247" t="s">
        <v>4055</v>
      </c>
      <c r="CV247">
        <v>130</v>
      </c>
      <c r="CW247">
        <v>3</v>
      </c>
      <c r="CX247">
        <v>75</v>
      </c>
      <c r="CY247">
        <v>5</v>
      </c>
      <c r="CZ247">
        <v>66</v>
      </c>
      <c r="DA247">
        <v>5</v>
      </c>
      <c r="DB247">
        <v>13040</v>
      </c>
      <c r="DC247">
        <v>390</v>
      </c>
      <c r="DD247">
        <v>330</v>
      </c>
      <c r="DE247">
        <v>2232</v>
      </c>
      <c r="DF247">
        <v>2232</v>
      </c>
      <c r="DG247">
        <v>2244</v>
      </c>
      <c r="DH247" t="s">
        <v>4055</v>
      </c>
      <c r="DI247" t="s">
        <v>4055</v>
      </c>
      <c r="DJ247" t="s">
        <v>4217</v>
      </c>
      <c r="DK247">
        <v>195</v>
      </c>
      <c r="DL247" t="s">
        <v>4065</v>
      </c>
      <c r="DM247">
        <v>63</v>
      </c>
      <c r="DN247">
        <v>1.26</v>
      </c>
      <c r="DO247">
        <v>1</v>
      </c>
      <c r="DP247">
        <v>2119</v>
      </c>
      <c r="DQ247">
        <v>998</v>
      </c>
      <c r="DR247" t="s">
        <v>4217</v>
      </c>
      <c r="DS247">
        <v>185</v>
      </c>
      <c r="DT247" t="s">
        <v>4065</v>
      </c>
      <c r="DU247">
        <v>63</v>
      </c>
      <c r="DV247">
        <v>1.26</v>
      </c>
      <c r="DW247">
        <v>1</v>
      </c>
      <c r="DX247">
        <v>2132</v>
      </c>
      <c r="DY247">
        <v>953</v>
      </c>
      <c r="DZ247" t="s">
        <v>4066</v>
      </c>
      <c r="EA247">
        <v>20</v>
      </c>
      <c r="EB247" t="s">
        <v>4065</v>
      </c>
      <c r="EC247">
        <v>0.8</v>
      </c>
      <c r="ED247">
        <v>2119</v>
      </c>
      <c r="EE247">
        <v>74</v>
      </c>
      <c r="EG247">
        <v>0</v>
      </c>
      <c r="EH247" t="s">
        <v>4065</v>
      </c>
      <c r="EI247">
        <v>0</v>
      </c>
      <c r="EL247" t="s">
        <v>1528</v>
      </c>
      <c r="EM247">
        <v>12</v>
      </c>
      <c r="EN247">
        <v>0.5</v>
      </c>
      <c r="EO247">
        <v>0.96</v>
      </c>
      <c r="EP247">
        <v>2130.84</v>
      </c>
      <c r="EQ247">
        <v>35624.98</v>
      </c>
      <c r="ER247">
        <v>10183.53</v>
      </c>
      <c r="ES247">
        <v>0</v>
      </c>
      <c r="ET247">
        <v>0</v>
      </c>
      <c r="EU247">
        <v>1</v>
      </c>
      <c r="EV247">
        <v>45809</v>
      </c>
      <c r="EW247">
        <v>550</v>
      </c>
      <c r="EX247" t="s">
        <v>4287</v>
      </c>
      <c r="EY247">
        <v>220</v>
      </c>
      <c r="EZ247" t="s">
        <v>4055</v>
      </c>
      <c r="FA247">
        <v>5.2</v>
      </c>
      <c r="FB247">
        <v>1</v>
      </c>
      <c r="FC247">
        <v>1</v>
      </c>
      <c r="FD247">
        <v>2167</v>
      </c>
      <c r="FE247">
        <v>2615</v>
      </c>
      <c r="FF247" t="s">
        <v>4288</v>
      </c>
      <c r="FG247">
        <v>220</v>
      </c>
      <c r="FH247" t="s">
        <v>4055</v>
      </c>
      <c r="FI247">
        <v>3.9</v>
      </c>
      <c r="FJ247">
        <v>2167</v>
      </c>
      <c r="FK247">
        <v>2130</v>
      </c>
      <c r="FL247" t="s">
        <v>4069</v>
      </c>
      <c r="FM247" t="s">
        <v>4055</v>
      </c>
      <c r="FN247" t="s">
        <v>4055</v>
      </c>
      <c r="FO247" t="s">
        <v>4055</v>
      </c>
      <c r="FP247">
        <v>2167</v>
      </c>
      <c r="FQ247">
        <v>317</v>
      </c>
      <c r="FR247" t="s">
        <v>4090</v>
      </c>
      <c r="FS247">
        <v>224</v>
      </c>
      <c r="FT247" t="s">
        <v>4055</v>
      </c>
      <c r="FU247">
        <v>0.4</v>
      </c>
      <c r="FV247">
        <v>2167</v>
      </c>
      <c r="FW247">
        <v>216</v>
      </c>
      <c r="FX247" t="s">
        <v>4070</v>
      </c>
      <c r="FY247">
        <v>5</v>
      </c>
      <c r="FZ247" t="s">
        <v>4055</v>
      </c>
      <c r="GA247" t="s">
        <v>4055</v>
      </c>
      <c r="GB247">
        <v>2167</v>
      </c>
      <c r="GC247">
        <v>24</v>
      </c>
      <c r="GD247">
        <v>5302</v>
      </c>
      <c r="GE247" t="s">
        <v>4912</v>
      </c>
      <c r="GF247" t="s">
        <v>4055</v>
      </c>
      <c r="GG247" t="s">
        <v>4055</v>
      </c>
      <c r="GH247" t="s">
        <v>4055</v>
      </c>
      <c r="GI247" t="s">
        <v>4071</v>
      </c>
      <c r="GJ247" t="s">
        <v>4055</v>
      </c>
      <c r="GK247" t="s">
        <v>4055</v>
      </c>
      <c r="GL247" t="s">
        <v>4055</v>
      </c>
      <c r="GM247" t="s">
        <v>4055</v>
      </c>
      <c r="GQ247">
        <v>0</v>
      </c>
      <c r="GV247">
        <v>9.5</v>
      </c>
      <c r="GW247">
        <v>10.6</v>
      </c>
      <c r="GX247">
        <v>0.5</v>
      </c>
      <c r="GY247">
        <v>180</v>
      </c>
      <c r="GZ247">
        <v>3</v>
      </c>
      <c r="HA247">
        <v>244</v>
      </c>
      <c r="HB247">
        <v>3</v>
      </c>
      <c r="HC247">
        <v>2167</v>
      </c>
      <c r="HD247">
        <v>4</v>
      </c>
      <c r="HE247" t="s">
        <v>4071</v>
      </c>
      <c r="HG247" t="s">
        <v>549</v>
      </c>
      <c r="HL247">
        <v>4</v>
      </c>
      <c r="HM247">
        <v>17</v>
      </c>
      <c r="HN247">
        <v>6</v>
      </c>
      <c r="HO247">
        <v>1</v>
      </c>
      <c r="HP247">
        <v>0</v>
      </c>
      <c r="HQ247">
        <v>0</v>
      </c>
      <c r="HR247">
        <v>2</v>
      </c>
      <c r="HS247">
        <v>2115</v>
      </c>
      <c r="HT247">
        <v>5</v>
      </c>
      <c r="HU247">
        <v>1</v>
      </c>
      <c r="HV247">
        <v>5</v>
      </c>
      <c r="HW247">
        <v>0</v>
      </c>
      <c r="HX247">
        <v>1</v>
      </c>
      <c r="HY247">
        <v>0</v>
      </c>
      <c r="HZ247">
        <v>63</v>
      </c>
      <c r="IA247">
        <v>2119</v>
      </c>
      <c r="IB247">
        <v>2132</v>
      </c>
      <c r="ID247">
        <v>2167</v>
      </c>
      <c r="IE247">
        <v>2167</v>
      </c>
      <c r="IF247">
        <v>195</v>
      </c>
      <c r="IG247">
        <v>185</v>
      </c>
      <c r="IH247">
        <v>244</v>
      </c>
      <c r="II247">
        <v>1</v>
      </c>
      <c r="IJ247">
        <v>5</v>
      </c>
      <c r="IK247">
        <v>0</v>
      </c>
      <c r="IL247">
        <v>0</v>
      </c>
      <c r="IM247">
        <v>0</v>
      </c>
      <c r="IN247">
        <v>180</v>
      </c>
      <c r="IO247">
        <v>0</v>
      </c>
      <c r="IP247">
        <v>180</v>
      </c>
      <c r="IQ247">
        <v>0</v>
      </c>
      <c r="IR247">
        <v>330</v>
      </c>
      <c r="IS247">
        <v>0</v>
      </c>
      <c r="IT247">
        <v>90</v>
      </c>
      <c r="IU247">
        <v>0</v>
      </c>
      <c r="IV247">
        <v>6.4</v>
      </c>
      <c r="IW247">
        <v>-6</v>
      </c>
      <c r="IX247">
        <v>101</v>
      </c>
      <c r="IY247">
        <v>70.5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420</v>
      </c>
      <c r="JJ247">
        <v>392</v>
      </c>
      <c r="JK247">
        <v>276</v>
      </c>
      <c r="JL247">
        <v>390</v>
      </c>
      <c r="JM247">
        <v>300</v>
      </c>
      <c r="JN247">
        <v>205</v>
      </c>
      <c r="JO247">
        <v>254</v>
      </c>
      <c r="JP247">
        <v>185</v>
      </c>
      <c r="JQ247">
        <v>240</v>
      </c>
      <c r="JR247">
        <v>335</v>
      </c>
      <c r="JS247">
        <v>230</v>
      </c>
      <c r="JT247">
        <v>0</v>
      </c>
      <c r="JU247">
        <v>0</v>
      </c>
      <c r="JV247">
        <v>335</v>
      </c>
      <c r="JW247">
        <v>337</v>
      </c>
      <c r="JX247">
        <v>330</v>
      </c>
      <c r="JY247">
        <v>300</v>
      </c>
      <c r="JZ247">
        <v>0.5</v>
      </c>
      <c r="KA247">
        <v>0.2</v>
      </c>
      <c r="KB247">
        <v>0.4</v>
      </c>
      <c r="KC247">
        <v>0.42</v>
      </c>
      <c r="KD247">
        <v>0.3</v>
      </c>
      <c r="KE247">
        <v>0.5</v>
      </c>
      <c r="KF247">
        <v>0.17</v>
      </c>
      <c r="KG247">
        <v>0.1</v>
      </c>
      <c r="KH247">
        <v>3.5</v>
      </c>
      <c r="KI247">
        <v>1</v>
      </c>
      <c r="KJ247">
        <v>4.5</v>
      </c>
      <c r="KK247">
        <v>0</v>
      </c>
      <c r="KL247">
        <v>4.5</v>
      </c>
      <c r="KM247">
        <v>1</v>
      </c>
      <c r="KN247">
        <v>1.5</v>
      </c>
      <c r="KO247">
        <v>0</v>
      </c>
      <c r="KP247">
        <v>0</v>
      </c>
      <c r="KQ247">
        <v>1</v>
      </c>
      <c r="KR247">
        <v>0.8</v>
      </c>
      <c r="KS247">
        <v>0</v>
      </c>
      <c r="KT247">
        <v>2.9</v>
      </c>
      <c r="KU247">
        <v>0</v>
      </c>
      <c r="KV247">
        <v>0</v>
      </c>
      <c r="KW247">
        <v>1.2</v>
      </c>
      <c r="KX247">
        <v>2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3</v>
      </c>
      <c r="LI247">
        <v>0.5</v>
      </c>
      <c r="LJ247">
        <v>0</v>
      </c>
      <c r="LK247">
        <v>6</v>
      </c>
      <c r="LL247">
        <v>5</v>
      </c>
      <c r="LM247">
        <v>10</v>
      </c>
      <c r="LN247">
        <v>1</v>
      </c>
      <c r="LO247">
        <v>1</v>
      </c>
      <c r="LP247">
        <v>0</v>
      </c>
      <c r="LQ247">
        <v>0</v>
      </c>
      <c r="LR247">
        <v>0</v>
      </c>
      <c r="LS247">
        <v>1</v>
      </c>
      <c r="LT247">
        <v>0</v>
      </c>
      <c r="LU247">
        <v>0</v>
      </c>
      <c r="LV247">
        <v>0</v>
      </c>
      <c r="LW247">
        <v>2.1</v>
      </c>
      <c r="LX247">
        <v>2.1</v>
      </c>
      <c r="LY247">
        <v>2.1</v>
      </c>
      <c r="LZ247">
        <v>2.1</v>
      </c>
      <c r="MA247">
        <v>0</v>
      </c>
      <c r="MB247">
        <v>3</v>
      </c>
      <c r="MC247">
        <v>0</v>
      </c>
      <c r="MD247">
        <v>4.5</v>
      </c>
      <c r="ME247">
        <v>6</v>
      </c>
      <c r="MF247">
        <v>6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452</v>
      </c>
      <c r="MN247">
        <v>210</v>
      </c>
      <c r="MO247">
        <v>250</v>
      </c>
      <c r="NU247">
        <v>0.15</v>
      </c>
      <c r="NV247">
        <v>0.2</v>
      </c>
      <c r="NW247">
        <v>0.2</v>
      </c>
      <c r="NX247">
        <v>0.3</v>
      </c>
      <c r="NY247">
        <v>0.3</v>
      </c>
      <c r="NZ247">
        <v>0.3</v>
      </c>
      <c r="OE247" t="s">
        <v>4912</v>
      </c>
      <c r="OF247" t="s">
        <v>4910</v>
      </c>
      <c r="OG247" t="s">
        <v>4911</v>
      </c>
      <c r="OH247" t="s">
        <v>4043</v>
      </c>
      <c r="OI247" t="s">
        <v>4912</v>
      </c>
      <c r="OJ247" t="s">
        <v>4909</v>
      </c>
      <c r="OK247">
        <v>61</v>
      </c>
      <c r="OL247">
        <v>61</v>
      </c>
      <c r="OM247" t="s">
        <v>4910</v>
      </c>
      <c r="ON247">
        <v>1</v>
      </c>
      <c r="OO247">
        <v>2119</v>
      </c>
      <c r="OP247">
        <v>61</v>
      </c>
      <c r="OQ247">
        <v>61</v>
      </c>
      <c r="OR247" t="s">
        <v>4911</v>
      </c>
      <c r="OS247">
        <v>1</v>
      </c>
      <c r="OT247">
        <v>2132</v>
      </c>
      <c r="OU247">
        <v>65</v>
      </c>
      <c r="OV247">
        <v>65</v>
      </c>
      <c r="OW247" t="s">
        <v>4043</v>
      </c>
      <c r="OX247">
        <v>2</v>
      </c>
      <c r="OY247">
        <v>45809</v>
      </c>
      <c r="OZ247">
        <v>51</v>
      </c>
      <c r="PA247">
        <v>51</v>
      </c>
      <c r="PB247" t="s">
        <v>4912</v>
      </c>
      <c r="PC247">
        <v>3</v>
      </c>
      <c r="PD247">
        <v>2167</v>
      </c>
      <c r="PF247">
        <v>471</v>
      </c>
      <c r="PG247">
        <v>35</v>
      </c>
      <c r="PH247">
        <v>447</v>
      </c>
      <c r="PI247">
        <v>0</v>
      </c>
      <c r="PJ247">
        <v>146.4</v>
      </c>
      <c r="PK247">
        <v>2468</v>
      </c>
      <c r="PL247">
        <v>1206.6</v>
      </c>
      <c r="PM247">
        <v>982.7</v>
      </c>
      <c r="PN247">
        <v>99.59999999999999</v>
      </c>
      <c r="PO247">
        <v>11</v>
      </c>
      <c r="PP247">
        <v>12</v>
      </c>
      <c r="PQ247">
        <v>5</v>
      </c>
      <c r="PR247">
        <v>5</v>
      </c>
      <c r="PS247">
        <v>0</v>
      </c>
      <c r="PT247">
        <v>244</v>
      </c>
      <c r="PU247">
        <v>12</v>
      </c>
      <c r="PV247" t="s">
        <v>4072</v>
      </c>
      <c r="PW247" t="s">
        <v>4072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-1</v>
      </c>
      <c r="QF247">
        <v>1</v>
      </c>
      <c r="QG247">
        <v>0</v>
      </c>
      <c r="QH247">
        <v>5</v>
      </c>
      <c r="QI247">
        <v>5</v>
      </c>
      <c r="QJ247">
        <v>5</v>
      </c>
      <c r="QK247">
        <v>203</v>
      </c>
      <c r="QL247">
        <v>452</v>
      </c>
      <c r="QM247">
        <v>7.5</v>
      </c>
      <c r="QN247">
        <v>1379.8</v>
      </c>
      <c r="QO247" t="s">
        <v>3054</v>
      </c>
      <c r="QP247" t="s">
        <v>513</v>
      </c>
      <c r="QQ247">
        <v>0</v>
      </c>
      <c r="QR247" t="s">
        <v>1496</v>
      </c>
      <c r="QS247">
        <v>30</v>
      </c>
      <c r="QT247">
        <v>40</v>
      </c>
    </row>
    <row r="248" spans="1:462">
      <c r="A248" t="s">
        <v>3130</v>
      </c>
      <c r="B248" t="s">
        <v>629</v>
      </c>
      <c r="C248" t="s">
        <v>509</v>
      </c>
      <c r="D248" t="s">
        <v>3129</v>
      </c>
      <c r="E248" t="s">
        <v>4036</v>
      </c>
      <c r="H248" t="s">
        <v>604</v>
      </c>
      <c r="J248" t="s">
        <v>628</v>
      </c>
      <c r="K248" t="s">
        <v>606</v>
      </c>
      <c r="L248" t="s">
        <v>711</v>
      </c>
      <c r="M248" t="s">
        <v>512</v>
      </c>
      <c r="O248" t="s">
        <v>513</v>
      </c>
      <c r="P248" t="s">
        <v>517</v>
      </c>
      <c r="Q248" t="s">
        <v>1159</v>
      </c>
      <c r="R248" t="s">
        <v>1160</v>
      </c>
      <c r="S248" t="s">
        <v>4170</v>
      </c>
      <c r="T248" t="s">
        <v>662</v>
      </c>
      <c r="U248" t="s">
        <v>663</v>
      </c>
      <c r="V248" t="s">
        <v>1257</v>
      </c>
      <c r="W248" t="s">
        <v>3058</v>
      </c>
      <c r="X248" t="s">
        <v>3131</v>
      </c>
      <c r="Y248" t="s">
        <v>3132</v>
      </c>
      <c r="Z248" t="s">
        <v>541</v>
      </c>
      <c r="AA248" t="s">
        <v>4038</v>
      </c>
      <c r="AB248" t="s">
        <v>4913</v>
      </c>
      <c r="AC248">
        <v>12</v>
      </c>
      <c r="AD248" t="s">
        <v>3128</v>
      </c>
      <c r="AE248">
        <v>4</v>
      </c>
      <c r="AF248">
        <v>8622</v>
      </c>
      <c r="AG248" t="s">
        <v>4914</v>
      </c>
      <c r="AH248">
        <v>1</v>
      </c>
      <c r="AI248" t="s">
        <v>4041</v>
      </c>
      <c r="AK248" t="s">
        <v>4915</v>
      </c>
      <c r="AL248">
        <v>1</v>
      </c>
      <c r="AM248" t="s">
        <v>582</v>
      </c>
      <c r="AO248" t="s">
        <v>4043</v>
      </c>
      <c r="AP248">
        <v>1</v>
      </c>
      <c r="AR248" t="s">
        <v>4916</v>
      </c>
      <c r="AS248">
        <v>1</v>
      </c>
      <c r="AT248">
        <v>51</v>
      </c>
      <c r="AV248" t="s">
        <v>4045</v>
      </c>
      <c r="AW248">
        <v>6.4</v>
      </c>
      <c r="AX248">
        <v>-6</v>
      </c>
      <c r="AY248">
        <v>118.5</v>
      </c>
      <c r="AZ248">
        <v>109.5</v>
      </c>
      <c r="BH248">
        <v>118.5</v>
      </c>
      <c r="BI248">
        <v>9</v>
      </c>
      <c r="BJ248">
        <v>109.5</v>
      </c>
      <c r="BK248">
        <v>3.5</v>
      </c>
      <c r="BL248">
        <v>237</v>
      </c>
      <c r="BM248">
        <v>-6</v>
      </c>
      <c r="BN248">
        <v>0</v>
      </c>
      <c r="BP248">
        <v>0</v>
      </c>
      <c r="BR248">
        <v>230</v>
      </c>
      <c r="BS248">
        <v>220</v>
      </c>
      <c r="BT248">
        <v>2345</v>
      </c>
      <c r="BU248" t="s">
        <v>4079</v>
      </c>
      <c r="BV248" t="s">
        <v>4080</v>
      </c>
      <c r="BW248" t="s">
        <v>4081</v>
      </c>
      <c r="BX248" t="s">
        <v>4082</v>
      </c>
      <c r="BY248" t="s">
        <v>4265</v>
      </c>
      <c r="BZ248" t="s">
        <v>4265</v>
      </c>
      <c r="CA248" t="s">
        <v>4118</v>
      </c>
      <c r="CB248" t="s">
        <v>4119</v>
      </c>
      <c r="CC248" t="s">
        <v>4053</v>
      </c>
      <c r="CD248" t="s">
        <v>4121</v>
      </c>
      <c r="CE248" t="s">
        <v>4055</v>
      </c>
      <c r="CF248" t="s">
        <v>4055</v>
      </c>
      <c r="CG248" t="s">
        <v>4056</v>
      </c>
      <c r="CI248" t="s">
        <v>4216</v>
      </c>
      <c r="CJ248" t="s">
        <v>4059</v>
      </c>
      <c r="CK248" t="s">
        <v>4060</v>
      </c>
      <c r="CL248" t="s">
        <v>4061</v>
      </c>
      <c r="CM248" t="s">
        <v>4062</v>
      </c>
      <c r="CN248" t="s">
        <v>4055</v>
      </c>
      <c r="CO248" t="s">
        <v>4063</v>
      </c>
      <c r="CP248" t="s">
        <v>4055</v>
      </c>
      <c r="CQ248" t="s">
        <v>4055</v>
      </c>
      <c r="CR248">
        <v>5</v>
      </c>
      <c r="CS248" t="s">
        <v>4055</v>
      </c>
      <c r="CT248" t="s">
        <v>4055</v>
      </c>
      <c r="CU248" t="s">
        <v>4055</v>
      </c>
      <c r="CV248">
        <v>148</v>
      </c>
      <c r="CW248">
        <v>3</v>
      </c>
      <c r="CX248">
        <v>101</v>
      </c>
      <c r="CY248">
        <v>5</v>
      </c>
      <c r="CZ248">
        <v>178</v>
      </c>
      <c r="DA248">
        <v>5</v>
      </c>
      <c r="DB248">
        <v>18900</v>
      </c>
      <c r="DC248">
        <v>570</v>
      </c>
      <c r="DD248">
        <v>404</v>
      </c>
      <c r="DE248">
        <v>2472</v>
      </c>
      <c r="DF248">
        <v>2472</v>
      </c>
      <c r="DG248">
        <v>2486</v>
      </c>
      <c r="DH248">
        <v>3</v>
      </c>
      <c r="DI248">
        <v>2570</v>
      </c>
      <c r="DJ248" t="s">
        <v>4087</v>
      </c>
      <c r="DK248">
        <v>230</v>
      </c>
      <c r="DL248" t="s">
        <v>4065</v>
      </c>
      <c r="DM248">
        <v>63</v>
      </c>
      <c r="DN248">
        <v>1.36</v>
      </c>
      <c r="DO248">
        <v>1</v>
      </c>
      <c r="DP248">
        <v>2349</v>
      </c>
      <c r="DQ248">
        <v>1360</v>
      </c>
      <c r="DR248" t="s">
        <v>4087</v>
      </c>
      <c r="DS248">
        <v>220</v>
      </c>
      <c r="DT248" t="s">
        <v>4065</v>
      </c>
      <c r="DU248">
        <v>63</v>
      </c>
      <c r="DV248">
        <v>1.36</v>
      </c>
      <c r="DW248">
        <v>1</v>
      </c>
      <c r="DX248">
        <v>2363</v>
      </c>
      <c r="DY248">
        <v>1309</v>
      </c>
      <c r="DZ248" t="s">
        <v>4066</v>
      </c>
      <c r="EA248">
        <v>20</v>
      </c>
      <c r="EB248" t="s">
        <v>4065</v>
      </c>
      <c r="EC248">
        <v>0.8</v>
      </c>
      <c r="ED248">
        <v>2349</v>
      </c>
      <c r="EE248">
        <v>82</v>
      </c>
      <c r="EG248">
        <v>0</v>
      </c>
      <c r="EH248" t="s">
        <v>4065</v>
      </c>
      <c r="EI248">
        <v>0</v>
      </c>
      <c r="EL248" t="s">
        <v>1528</v>
      </c>
      <c r="EM248">
        <v>12</v>
      </c>
      <c r="EN248">
        <v>0.5</v>
      </c>
      <c r="EO248">
        <v>0.96</v>
      </c>
      <c r="EP248">
        <v>2362.1</v>
      </c>
      <c r="EQ248">
        <v>45950.23</v>
      </c>
      <c r="ER248">
        <v>3330.19</v>
      </c>
      <c r="ES248">
        <v>0</v>
      </c>
      <c r="ET248">
        <v>0</v>
      </c>
      <c r="EU248">
        <v>1</v>
      </c>
      <c r="EV248">
        <v>49281</v>
      </c>
      <c r="EW248">
        <v>592</v>
      </c>
      <c r="EX248" t="s">
        <v>4287</v>
      </c>
      <c r="EY248">
        <v>258</v>
      </c>
      <c r="EZ248" t="s">
        <v>4055</v>
      </c>
      <c r="FA248">
        <v>5.5</v>
      </c>
      <c r="FB248">
        <v>1</v>
      </c>
      <c r="FC248">
        <v>1</v>
      </c>
      <c r="FD248">
        <v>2398</v>
      </c>
      <c r="FE248">
        <v>3772</v>
      </c>
      <c r="FF248" t="s">
        <v>4288</v>
      </c>
      <c r="FG248">
        <v>258</v>
      </c>
      <c r="FH248" t="s">
        <v>4055</v>
      </c>
      <c r="FI248">
        <v>3.6</v>
      </c>
      <c r="FJ248">
        <v>2398</v>
      </c>
      <c r="FK248">
        <v>2576</v>
      </c>
      <c r="FL248" t="s">
        <v>4069</v>
      </c>
      <c r="FM248" t="s">
        <v>4055</v>
      </c>
      <c r="FN248" t="s">
        <v>4055</v>
      </c>
      <c r="FO248" t="s">
        <v>4055</v>
      </c>
      <c r="FP248">
        <v>2398</v>
      </c>
      <c r="FQ248">
        <v>275</v>
      </c>
      <c r="FR248" t="s">
        <v>4090</v>
      </c>
      <c r="FS248">
        <v>262</v>
      </c>
      <c r="FT248" t="s">
        <v>4055</v>
      </c>
      <c r="FU248">
        <v>0.4</v>
      </c>
      <c r="FV248">
        <v>2398</v>
      </c>
      <c r="FW248">
        <v>280</v>
      </c>
      <c r="FX248" t="s">
        <v>4070</v>
      </c>
      <c r="FY248">
        <v>5</v>
      </c>
      <c r="FZ248" t="s">
        <v>4055</v>
      </c>
      <c r="GA248" t="s">
        <v>4055</v>
      </c>
      <c r="GB248">
        <v>2398</v>
      </c>
      <c r="GC248">
        <v>26</v>
      </c>
      <c r="GD248">
        <v>6929</v>
      </c>
      <c r="GE248" t="s">
        <v>4916</v>
      </c>
      <c r="GF248" t="s">
        <v>4055</v>
      </c>
      <c r="GG248" t="s">
        <v>4055</v>
      </c>
      <c r="GH248" t="s">
        <v>4055</v>
      </c>
      <c r="GI248" t="s">
        <v>4071</v>
      </c>
      <c r="GJ248" t="s">
        <v>4055</v>
      </c>
      <c r="GK248" t="s">
        <v>4055</v>
      </c>
      <c r="GL248" t="s">
        <v>4055</v>
      </c>
      <c r="GM248" t="s">
        <v>4055</v>
      </c>
      <c r="GQ248">
        <v>0</v>
      </c>
      <c r="GV248">
        <v>9.5</v>
      </c>
      <c r="GW248">
        <v>11.5</v>
      </c>
      <c r="GX248">
        <v>0.5</v>
      </c>
      <c r="GY248">
        <v>222</v>
      </c>
      <c r="GZ248">
        <v>3</v>
      </c>
      <c r="HA248">
        <v>284</v>
      </c>
      <c r="HB248">
        <v>3</v>
      </c>
      <c r="HC248">
        <v>2398</v>
      </c>
      <c r="HD248">
        <v>4</v>
      </c>
      <c r="HE248" t="s">
        <v>4071</v>
      </c>
      <c r="HG248" t="s">
        <v>549</v>
      </c>
      <c r="HL248">
        <v>4</v>
      </c>
      <c r="HM248">
        <v>18</v>
      </c>
      <c r="HN248">
        <v>6</v>
      </c>
      <c r="HO248">
        <v>1</v>
      </c>
      <c r="HP248">
        <v>0</v>
      </c>
      <c r="HQ248">
        <v>0</v>
      </c>
      <c r="HR248">
        <v>3</v>
      </c>
      <c r="HS248">
        <v>2345</v>
      </c>
      <c r="HT248">
        <v>5</v>
      </c>
      <c r="HU248">
        <v>1</v>
      </c>
      <c r="HV248">
        <v>5</v>
      </c>
      <c r="HW248">
        <v>0</v>
      </c>
      <c r="HX248">
        <v>1</v>
      </c>
      <c r="HY248">
        <v>0</v>
      </c>
      <c r="HZ248">
        <v>63</v>
      </c>
      <c r="IA248">
        <v>2349</v>
      </c>
      <c r="IB248">
        <v>2363</v>
      </c>
      <c r="ID248">
        <v>2398</v>
      </c>
      <c r="IE248">
        <v>2398</v>
      </c>
      <c r="IF248">
        <v>230</v>
      </c>
      <c r="IG248">
        <v>220</v>
      </c>
      <c r="IH248">
        <v>284</v>
      </c>
      <c r="II248">
        <v>1</v>
      </c>
      <c r="IJ248">
        <v>5</v>
      </c>
      <c r="IK248">
        <v>0</v>
      </c>
      <c r="IL248">
        <v>0</v>
      </c>
      <c r="IM248">
        <v>0</v>
      </c>
      <c r="IN248">
        <v>270</v>
      </c>
      <c r="IO248">
        <v>0</v>
      </c>
      <c r="IP248">
        <v>180</v>
      </c>
      <c r="IQ248">
        <v>0</v>
      </c>
      <c r="IR248">
        <v>330</v>
      </c>
      <c r="IS248">
        <v>0</v>
      </c>
      <c r="IT248">
        <v>90</v>
      </c>
      <c r="IU248">
        <v>0</v>
      </c>
      <c r="IV248">
        <v>6.4</v>
      </c>
      <c r="IW248">
        <v>-6</v>
      </c>
      <c r="IX248">
        <v>118.5</v>
      </c>
      <c r="IY248">
        <v>109.5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522</v>
      </c>
      <c r="JJ248">
        <v>502</v>
      </c>
      <c r="JK248">
        <v>364</v>
      </c>
      <c r="JL248">
        <v>500</v>
      </c>
      <c r="JM248">
        <v>372</v>
      </c>
      <c r="JN248">
        <v>245</v>
      </c>
      <c r="JO248">
        <v>295</v>
      </c>
      <c r="JP248">
        <v>180</v>
      </c>
      <c r="JQ248">
        <v>245</v>
      </c>
      <c r="JR248">
        <v>345</v>
      </c>
      <c r="JS248">
        <v>200</v>
      </c>
      <c r="JT248">
        <v>0</v>
      </c>
      <c r="JU248">
        <v>0</v>
      </c>
      <c r="JV248">
        <v>305</v>
      </c>
      <c r="JW248">
        <v>307</v>
      </c>
      <c r="JX248">
        <v>330</v>
      </c>
      <c r="JY248">
        <v>290</v>
      </c>
      <c r="JZ248">
        <v>1</v>
      </c>
      <c r="KA248">
        <v>0.2</v>
      </c>
      <c r="KB248">
        <v>0.4</v>
      </c>
      <c r="KC248">
        <v>0.42</v>
      </c>
      <c r="KD248">
        <v>0.28</v>
      </c>
      <c r="KE248">
        <v>0.5</v>
      </c>
      <c r="KF248">
        <v>0.18</v>
      </c>
      <c r="KG248">
        <v>0.11</v>
      </c>
      <c r="KH248">
        <v>3.5</v>
      </c>
      <c r="KI248">
        <v>1</v>
      </c>
      <c r="KJ248">
        <v>4.5</v>
      </c>
      <c r="KK248">
        <v>0</v>
      </c>
      <c r="KL248">
        <v>4.5</v>
      </c>
      <c r="KM248">
        <v>0</v>
      </c>
      <c r="KN248">
        <v>2.3</v>
      </c>
      <c r="KO248">
        <v>0</v>
      </c>
      <c r="KP248">
        <v>0</v>
      </c>
      <c r="KQ248">
        <v>0.8</v>
      </c>
      <c r="KR248">
        <v>1.2</v>
      </c>
      <c r="KS248">
        <v>0</v>
      </c>
      <c r="KT248">
        <v>3.5</v>
      </c>
      <c r="KU248">
        <v>0</v>
      </c>
      <c r="KV248">
        <v>0</v>
      </c>
      <c r="KW248">
        <v>1</v>
      </c>
      <c r="KX248">
        <v>2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3</v>
      </c>
      <c r="LI248">
        <v>1</v>
      </c>
      <c r="LJ248">
        <v>0</v>
      </c>
      <c r="LK248">
        <v>18</v>
      </c>
      <c r="LL248">
        <v>13</v>
      </c>
      <c r="LM248">
        <v>19</v>
      </c>
      <c r="LN248">
        <v>0.1</v>
      </c>
      <c r="LO248">
        <v>5</v>
      </c>
      <c r="LP248">
        <v>0</v>
      </c>
      <c r="LQ248">
        <v>0</v>
      </c>
      <c r="LR248">
        <v>0</v>
      </c>
      <c r="LS248">
        <v>1</v>
      </c>
      <c r="LT248">
        <v>520</v>
      </c>
      <c r="LU248">
        <v>0</v>
      </c>
      <c r="LV248">
        <v>0</v>
      </c>
      <c r="LW248">
        <v>2.8</v>
      </c>
      <c r="LX248">
        <v>2.8</v>
      </c>
      <c r="LY248">
        <v>2.8</v>
      </c>
      <c r="LZ248">
        <v>2.8</v>
      </c>
      <c r="MA248">
        <v>0</v>
      </c>
      <c r="MB248">
        <v>8.5</v>
      </c>
      <c r="MC248">
        <v>0</v>
      </c>
      <c r="MD248">
        <v>4.5</v>
      </c>
      <c r="ME248">
        <v>6</v>
      </c>
      <c r="MF248">
        <v>6</v>
      </c>
      <c r="MN248">
        <v>225</v>
      </c>
      <c r="MO248">
        <v>294</v>
      </c>
      <c r="NU248">
        <v>0.15</v>
      </c>
      <c r="NV248">
        <v>0.2</v>
      </c>
      <c r="NW248">
        <v>0.2</v>
      </c>
      <c r="NX248">
        <v>0.2</v>
      </c>
      <c r="NY248">
        <v>0.2</v>
      </c>
      <c r="NZ248">
        <v>0.2</v>
      </c>
      <c r="OE248" t="s">
        <v>4916</v>
      </c>
      <c r="OF248" t="s">
        <v>4914</v>
      </c>
      <c r="OG248" t="s">
        <v>4915</v>
      </c>
      <c r="OH248" t="s">
        <v>4043</v>
      </c>
      <c r="OI248" t="s">
        <v>4916</v>
      </c>
      <c r="OJ248" t="s">
        <v>4913</v>
      </c>
      <c r="OK248">
        <v>61</v>
      </c>
      <c r="OL248">
        <v>61</v>
      </c>
      <c r="OM248" t="s">
        <v>4914</v>
      </c>
      <c r="ON248">
        <v>1</v>
      </c>
      <c r="OO248">
        <v>2349</v>
      </c>
      <c r="OP248">
        <v>61</v>
      </c>
      <c r="OQ248">
        <v>61</v>
      </c>
      <c r="OR248" t="s">
        <v>4915</v>
      </c>
      <c r="OS248">
        <v>1</v>
      </c>
      <c r="OT248">
        <v>2363</v>
      </c>
      <c r="OU248">
        <v>65</v>
      </c>
      <c r="OV248">
        <v>65</v>
      </c>
      <c r="OW248" t="s">
        <v>4043</v>
      </c>
      <c r="OX248">
        <v>1</v>
      </c>
      <c r="OY248">
        <v>49281</v>
      </c>
      <c r="OZ248">
        <v>51</v>
      </c>
      <c r="PA248">
        <v>51</v>
      </c>
      <c r="PB248" t="s">
        <v>4916</v>
      </c>
      <c r="PC248">
        <v>2</v>
      </c>
      <c r="PD248">
        <v>2398</v>
      </c>
      <c r="PF248">
        <v>579</v>
      </c>
      <c r="PG248">
        <v>35</v>
      </c>
      <c r="PH248">
        <v>554</v>
      </c>
      <c r="PI248">
        <v>0</v>
      </c>
      <c r="PJ248">
        <v>114.7</v>
      </c>
      <c r="PK248">
        <v>2840</v>
      </c>
      <c r="PL248">
        <v>1573</v>
      </c>
      <c r="PM248">
        <v>1074.1</v>
      </c>
      <c r="PN248">
        <v>116.6</v>
      </c>
      <c r="PO248">
        <v>11</v>
      </c>
      <c r="PP248">
        <v>12</v>
      </c>
      <c r="PQ248">
        <v>6</v>
      </c>
      <c r="PR248">
        <v>6</v>
      </c>
      <c r="PS248">
        <v>0</v>
      </c>
      <c r="PT248">
        <v>284</v>
      </c>
      <c r="PU248">
        <v>13</v>
      </c>
      <c r="PV248" t="s">
        <v>4072</v>
      </c>
      <c r="PW248" t="s">
        <v>4072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-1</v>
      </c>
      <c r="QF248">
        <v>1</v>
      </c>
      <c r="QG248">
        <v>0</v>
      </c>
      <c r="QH248">
        <v>5</v>
      </c>
      <c r="QI248">
        <v>5</v>
      </c>
      <c r="QJ248">
        <v>5</v>
      </c>
      <c r="QK248">
        <v>279</v>
      </c>
      <c r="QL248">
        <v>552</v>
      </c>
      <c r="QM248">
        <v>9.4</v>
      </c>
      <c r="QN248">
        <v>1465.9</v>
      </c>
      <c r="QO248" t="s">
        <v>3054</v>
      </c>
      <c r="QP248" t="s">
        <v>513</v>
      </c>
      <c r="QQ248">
        <v>0</v>
      </c>
      <c r="QR248" t="s">
        <v>1849</v>
      </c>
    </row>
    <row r="249" spans="1:462">
      <c r="A249" t="s">
        <v>3139</v>
      </c>
      <c r="B249" t="s">
        <v>729</v>
      </c>
      <c r="C249" t="s">
        <v>509</v>
      </c>
      <c r="D249" t="s">
        <v>2554</v>
      </c>
      <c r="E249" t="s">
        <v>4036</v>
      </c>
      <c r="H249" t="s">
        <v>604</v>
      </c>
      <c r="I249" t="s">
        <v>605</v>
      </c>
      <c r="J249" t="s">
        <v>628</v>
      </c>
      <c r="K249" t="s">
        <v>606</v>
      </c>
      <c r="L249" t="s">
        <v>897</v>
      </c>
      <c r="M249" t="s">
        <v>512</v>
      </c>
      <c r="O249" t="s">
        <v>513</v>
      </c>
      <c r="P249" t="s">
        <v>517</v>
      </c>
      <c r="Q249" t="s">
        <v>684</v>
      </c>
      <c r="R249" t="s">
        <v>685</v>
      </c>
      <c r="S249" t="s">
        <v>4037</v>
      </c>
      <c r="T249" t="s">
        <v>686</v>
      </c>
      <c r="U249" t="s">
        <v>687</v>
      </c>
      <c r="V249" t="s">
        <v>3140</v>
      </c>
      <c r="W249" t="s">
        <v>3058</v>
      </c>
      <c r="X249" t="s">
        <v>3141</v>
      </c>
      <c r="Y249" t="s">
        <v>3142</v>
      </c>
      <c r="Z249" t="s">
        <v>541</v>
      </c>
      <c r="AA249" t="s">
        <v>4038</v>
      </c>
      <c r="AB249" t="s">
        <v>4917</v>
      </c>
      <c r="AC249">
        <v>13</v>
      </c>
      <c r="AD249" t="s">
        <v>3138</v>
      </c>
      <c r="AE249">
        <v>9</v>
      </c>
      <c r="AF249">
        <v>5296</v>
      </c>
      <c r="AG249" t="s">
        <v>4918</v>
      </c>
      <c r="AH249">
        <v>1</v>
      </c>
      <c r="AI249" t="s">
        <v>4041</v>
      </c>
      <c r="AK249" t="s">
        <v>4919</v>
      </c>
      <c r="AL249">
        <v>1</v>
      </c>
      <c r="AM249" t="s">
        <v>582</v>
      </c>
      <c r="AO249" t="s">
        <v>4043</v>
      </c>
      <c r="AP249">
        <v>1</v>
      </c>
      <c r="AR249" t="s">
        <v>4920</v>
      </c>
      <c r="AS249">
        <v>1</v>
      </c>
      <c r="AT249">
        <v>51</v>
      </c>
      <c r="AV249" t="s">
        <v>4045</v>
      </c>
      <c r="AW249">
        <v>6.4</v>
      </c>
      <c r="AX249">
        <v>-6</v>
      </c>
      <c r="AY249">
        <v>103</v>
      </c>
      <c r="AZ249">
        <v>88</v>
      </c>
      <c r="BH249">
        <v>103</v>
      </c>
      <c r="BI249">
        <v>15</v>
      </c>
      <c r="BJ249">
        <v>88</v>
      </c>
      <c r="BK249">
        <v>3</v>
      </c>
      <c r="BL249">
        <v>206</v>
      </c>
      <c r="BM249">
        <v>-6</v>
      </c>
      <c r="BN249">
        <v>0</v>
      </c>
      <c r="BP249">
        <v>0</v>
      </c>
      <c r="BR249">
        <v>200</v>
      </c>
      <c r="BS249">
        <v>190</v>
      </c>
      <c r="BT249">
        <v>2170</v>
      </c>
      <c r="BU249" t="s">
        <v>4127</v>
      </c>
      <c r="BV249" t="s">
        <v>4127</v>
      </c>
      <c r="BW249" t="s">
        <v>4128</v>
      </c>
      <c r="BX249" t="s">
        <v>4128</v>
      </c>
      <c r="BY249" t="s">
        <v>4129</v>
      </c>
      <c r="BZ249" t="s">
        <v>4129</v>
      </c>
      <c r="CA249" t="s">
        <v>4130</v>
      </c>
      <c r="CB249" t="s">
        <v>4131</v>
      </c>
      <c r="CC249" t="s">
        <v>4053</v>
      </c>
      <c r="CD249" t="s">
        <v>4055</v>
      </c>
      <c r="CE249" t="s">
        <v>4055</v>
      </c>
      <c r="CF249" t="s">
        <v>4055</v>
      </c>
      <c r="CG249" t="s">
        <v>4056</v>
      </c>
      <c r="CI249" t="s">
        <v>4086</v>
      </c>
      <c r="CJ249" t="s">
        <v>4059</v>
      </c>
      <c r="CK249" t="s">
        <v>4060</v>
      </c>
      <c r="CL249" t="s">
        <v>4061</v>
      </c>
      <c r="CM249" t="s">
        <v>4055</v>
      </c>
      <c r="CN249" t="s">
        <v>4062</v>
      </c>
      <c r="CO249" t="s">
        <v>4063</v>
      </c>
      <c r="CP249" t="s">
        <v>4055</v>
      </c>
      <c r="CQ249" t="s">
        <v>4055</v>
      </c>
      <c r="CR249">
        <v>5</v>
      </c>
      <c r="CS249" t="s">
        <v>4055</v>
      </c>
      <c r="CT249">
        <v>15</v>
      </c>
      <c r="CU249" t="s">
        <v>4055</v>
      </c>
      <c r="CV249">
        <v>129</v>
      </c>
      <c r="CW249">
        <v>3</v>
      </c>
      <c r="CX249">
        <v>84</v>
      </c>
      <c r="CY249">
        <v>5</v>
      </c>
      <c r="CZ249">
        <v>71</v>
      </c>
      <c r="DA249">
        <v>5</v>
      </c>
      <c r="DB249">
        <v>13220</v>
      </c>
      <c r="DC249">
        <v>390</v>
      </c>
      <c r="DD249">
        <v>350</v>
      </c>
      <c r="DE249">
        <v>2292</v>
      </c>
      <c r="DF249">
        <v>2292</v>
      </c>
      <c r="DG249">
        <v>2302</v>
      </c>
      <c r="DH249">
        <v>3</v>
      </c>
      <c r="DI249" t="s">
        <v>4055</v>
      </c>
      <c r="DJ249" t="s">
        <v>4132</v>
      </c>
      <c r="DK249">
        <v>200</v>
      </c>
      <c r="DL249" t="s">
        <v>4065</v>
      </c>
      <c r="DM249">
        <v>63</v>
      </c>
      <c r="DN249">
        <v>1.1</v>
      </c>
      <c r="DO249">
        <v>1</v>
      </c>
      <c r="DP249">
        <v>2173</v>
      </c>
      <c r="DQ249">
        <v>941</v>
      </c>
      <c r="DR249" t="s">
        <v>4132</v>
      </c>
      <c r="DS249">
        <v>190</v>
      </c>
      <c r="DT249" t="s">
        <v>4065</v>
      </c>
      <c r="DU249">
        <v>63</v>
      </c>
      <c r="DV249">
        <v>1.1</v>
      </c>
      <c r="DW249">
        <v>1</v>
      </c>
      <c r="DX249">
        <v>2185</v>
      </c>
      <c r="DY249">
        <v>898</v>
      </c>
      <c r="DZ249" t="s">
        <v>4066</v>
      </c>
      <c r="EA249">
        <v>20</v>
      </c>
      <c r="EB249" t="s">
        <v>4065</v>
      </c>
      <c r="EC249">
        <v>0.8</v>
      </c>
      <c r="ED249">
        <v>2173</v>
      </c>
      <c r="EE249">
        <v>76</v>
      </c>
      <c r="EG249">
        <v>0</v>
      </c>
      <c r="EH249" t="s">
        <v>4065</v>
      </c>
      <c r="EI249">
        <v>0</v>
      </c>
      <c r="EL249" t="s">
        <v>1528</v>
      </c>
      <c r="EM249">
        <v>12</v>
      </c>
      <c r="EN249">
        <v>0.5</v>
      </c>
      <c r="EO249">
        <v>0.96</v>
      </c>
      <c r="EP249">
        <v>2183.83</v>
      </c>
      <c r="EQ249">
        <v>37193.35</v>
      </c>
      <c r="ER249">
        <v>5132.49</v>
      </c>
      <c r="ES249">
        <v>0</v>
      </c>
      <c r="ET249">
        <v>0</v>
      </c>
      <c r="EU249">
        <v>1</v>
      </c>
      <c r="EV249">
        <v>42326</v>
      </c>
      <c r="EW249">
        <v>508</v>
      </c>
      <c r="EX249" t="s">
        <v>4287</v>
      </c>
      <c r="EY249">
        <v>218</v>
      </c>
      <c r="EZ249" t="s">
        <v>4055</v>
      </c>
      <c r="FA249">
        <v>5.2</v>
      </c>
      <c r="FB249">
        <v>1</v>
      </c>
      <c r="FC249">
        <v>1</v>
      </c>
      <c r="FD249">
        <v>2220</v>
      </c>
      <c r="FE249">
        <v>2864</v>
      </c>
      <c r="FF249" t="s">
        <v>4288</v>
      </c>
      <c r="FG249">
        <v>218</v>
      </c>
      <c r="FH249" t="s">
        <v>4055</v>
      </c>
      <c r="FI249">
        <v>3.9</v>
      </c>
      <c r="FJ249">
        <v>2220</v>
      </c>
      <c r="FK249">
        <v>2155</v>
      </c>
      <c r="FL249" t="s">
        <v>4069</v>
      </c>
      <c r="FM249" t="s">
        <v>4055</v>
      </c>
      <c r="FN249" t="s">
        <v>4055</v>
      </c>
      <c r="FO249" t="s">
        <v>4055</v>
      </c>
      <c r="FP249">
        <v>2220</v>
      </c>
      <c r="FQ249">
        <v>237</v>
      </c>
      <c r="FR249" t="s">
        <v>4090</v>
      </c>
      <c r="FS249">
        <v>222</v>
      </c>
      <c r="FT249" t="s">
        <v>4055</v>
      </c>
      <c r="FU249">
        <v>0.4</v>
      </c>
      <c r="FV249">
        <v>2220</v>
      </c>
      <c r="FW249">
        <v>219</v>
      </c>
      <c r="FX249" t="s">
        <v>4070</v>
      </c>
      <c r="FY249">
        <v>5</v>
      </c>
      <c r="FZ249" t="s">
        <v>4055</v>
      </c>
      <c r="GA249" t="s">
        <v>4055</v>
      </c>
      <c r="GB249">
        <v>2220</v>
      </c>
      <c r="GC249">
        <v>24</v>
      </c>
      <c r="GD249">
        <v>5499</v>
      </c>
      <c r="GE249" t="s">
        <v>4920</v>
      </c>
      <c r="GF249" t="s">
        <v>4055</v>
      </c>
      <c r="GG249" t="s">
        <v>4055</v>
      </c>
      <c r="GH249" t="s">
        <v>4055</v>
      </c>
      <c r="GI249" t="s">
        <v>4071</v>
      </c>
      <c r="GJ249" t="s">
        <v>4055</v>
      </c>
      <c r="GK249" t="s">
        <v>4055</v>
      </c>
      <c r="GL249" t="s">
        <v>4055</v>
      </c>
      <c r="GM249" t="s">
        <v>4055</v>
      </c>
      <c r="GQ249">
        <v>0</v>
      </c>
      <c r="GV249">
        <v>9.5</v>
      </c>
      <c r="GW249">
        <v>11.2</v>
      </c>
      <c r="GX249">
        <v>0.5</v>
      </c>
      <c r="GY249">
        <v>192</v>
      </c>
      <c r="GZ249">
        <v>3</v>
      </c>
      <c r="HA249">
        <v>242</v>
      </c>
      <c r="HB249">
        <v>3</v>
      </c>
      <c r="HC249">
        <v>2220</v>
      </c>
      <c r="HD249">
        <v>4</v>
      </c>
      <c r="HE249" t="s">
        <v>4071</v>
      </c>
      <c r="HG249" t="s">
        <v>549</v>
      </c>
      <c r="HL249">
        <v>4</v>
      </c>
      <c r="HM249">
        <v>19</v>
      </c>
      <c r="HN249">
        <v>6</v>
      </c>
      <c r="HO249">
        <v>1</v>
      </c>
      <c r="HP249">
        <v>0</v>
      </c>
      <c r="HQ249">
        <v>2</v>
      </c>
      <c r="HR249">
        <v>2</v>
      </c>
      <c r="HS249">
        <v>2170</v>
      </c>
      <c r="HT249">
        <v>4.5</v>
      </c>
      <c r="HU249">
        <v>1</v>
      </c>
      <c r="HV249">
        <v>5</v>
      </c>
      <c r="HW249">
        <v>0</v>
      </c>
      <c r="HX249">
        <v>1</v>
      </c>
      <c r="HY249">
        <v>0</v>
      </c>
      <c r="HZ249">
        <v>63</v>
      </c>
      <c r="IA249">
        <v>2173</v>
      </c>
      <c r="IB249">
        <v>2185</v>
      </c>
      <c r="ID249">
        <v>2220</v>
      </c>
      <c r="IE249">
        <v>2220</v>
      </c>
      <c r="IF249">
        <v>200</v>
      </c>
      <c r="IG249">
        <v>190</v>
      </c>
      <c r="IH249">
        <v>242</v>
      </c>
      <c r="II249">
        <v>1</v>
      </c>
      <c r="IJ249">
        <v>5</v>
      </c>
      <c r="IK249">
        <v>0</v>
      </c>
      <c r="IL249">
        <v>0</v>
      </c>
      <c r="IM249">
        <v>0</v>
      </c>
      <c r="IN249">
        <v>270</v>
      </c>
      <c r="IO249">
        <v>0</v>
      </c>
      <c r="IP249">
        <v>180</v>
      </c>
      <c r="IQ249">
        <v>0</v>
      </c>
      <c r="IR249">
        <v>330</v>
      </c>
      <c r="IS249">
        <v>0</v>
      </c>
      <c r="IT249">
        <v>90</v>
      </c>
      <c r="IU249">
        <v>0</v>
      </c>
      <c r="IV249">
        <v>6.4</v>
      </c>
      <c r="IW249">
        <v>-6</v>
      </c>
      <c r="IX249">
        <v>103</v>
      </c>
      <c r="IY249">
        <v>88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404</v>
      </c>
      <c r="JJ249">
        <v>374</v>
      </c>
      <c r="JK249">
        <v>272</v>
      </c>
      <c r="JL249">
        <v>372</v>
      </c>
      <c r="JM249">
        <v>304</v>
      </c>
      <c r="JN249">
        <v>210</v>
      </c>
      <c r="JO249">
        <v>244</v>
      </c>
      <c r="JP249">
        <v>230</v>
      </c>
      <c r="JQ249">
        <v>252</v>
      </c>
      <c r="JR249">
        <v>305</v>
      </c>
      <c r="JS249">
        <v>244</v>
      </c>
      <c r="JT249">
        <v>0</v>
      </c>
      <c r="JU249">
        <v>0</v>
      </c>
      <c r="JV249">
        <v>300</v>
      </c>
      <c r="JW249">
        <v>290</v>
      </c>
      <c r="JX249">
        <v>298</v>
      </c>
      <c r="JY249">
        <v>290</v>
      </c>
      <c r="JZ249">
        <v>0.5</v>
      </c>
      <c r="KA249">
        <v>0.2</v>
      </c>
      <c r="KB249">
        <v>0.4</v>
      </c>
      <c r="KC249">
        <v>0.42</v>
      </c>
      <c r="KD249">
        <v>0.28</v>
      </c>
      <c r="KE249">
        <v>0.5</v>
      </c>
      <c r="KF249">
        <v>0.17</v>
      </c>
      <c r="KG249">
        <v>0.11</v>
      </c>
      <c r="KH249">
        <v>3.5</v>
      </c>
      <c r="KI249">
        <v>1</v>
      </c>
      <c r="KJ249">
        <v>4.5</v>
      </c>
      <c r="KK249">
        <v>0</v>
      </c>
      <c r="KL249">
        <v>4.5</v>
      </c>
      <c r="KM249">
        <v>0</v>
      </c>
      <c r="KN249">
        <v>1.2</v>
      </c>
      <c r="KO249">
        <v>0</v>
      </c>
      <c r="KP249">
        <v>0</v>
      </c>
      <c r="KQ249">
        <v>1</v>
      </c>
      <c r="KR249">
        <v>0.8</v>
      </c>
      <c r="KS249">
        <v>0</v>
      </c>
      <c r="KT249">
        <v>1.8</v>
      </c>
      <c r="KU249">
        <v>0</v>
      </c>
      <c r="KV249">
        <v>0</v>
      </c>
      <c r="KW249">
        <v>1.2</v>
      </c>
      <c r="KX249">
        <v>2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3</v>
      </c>
      <c r="LI249">
        <v>0.5</v>
      </c>
      <c r="LJ249">
        <v>0</v>
      </c>
      <c r="LK249">
        <v>8</v>
      </c>
      <c r="LL249">
        <v>4</v>
      </c>
      <c r="LM249">
        <v>9</v>
      </c>
      <c r="LN249">
        <v>1</v>
      </c>
      <c r="LO249">
        <v>3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2.5</v>
      </c>
      <c r="LX249">
        <v>2.5</v>
      </c>
      <c r="LY249">
        <v>2.1</v>
      </c>
      <c r="LZ249">
        <v>2.1</v>
      </c>
      <c r="MA249">
        <v>0</v>
      </c>
      <c r="MB249">
        <v>2.5</v>
      </c>
      <c r="MC249">
        <v>0</v>
      </c>
      <c r="MD249">
        <v>4.5</v>
      </c>
      <c r="ME249">
        <v>6</v>
      </c>
      <c r="MF249">
        <v>6</v>
      </c>
      <c r="MI249">
        <v>0</v>
      </c>
      <c r="MJ249">
        <v>0</v>
      </c>
      <c r="ML249">
        <v>0</v>
      </c>
      <c r="MM249">
        <v>440</v>
      </c>
      <c r="MN249">
        <v>195</v>
      </c>
      <c r="MO249">
        <v>252</v>
      </c>
      <c r="NU249">
        <v>0.15</v>
      </c>
      <c r="NV249">
        <v>0.25</v>
      </c>
      <c r="NW249">
        <v>0.3</v>
      </c>
      <c r="NX249">
        <v>0.2</v>
      </c>
      <c r="NY249">
        <v>0.2</v>
      </c>
      <c r="NZ249">
        <v>0.2</v>
      </c>
      <c r="OE249" t="s">
        <v>4920</v>
      </c>
      <c r="OF249" t="s">
        <v>4918</v>
      </c>
      <c r="OG249" t="s">
        <v>4919</v>
      </c>
      <c r="OH249" t="s">
        <v>4043</v>
      </c>
      <c r="OI249" t="s">
        <v>4920</v>
      </c>
      <c r="OJ249" t="s">
        <v>4917</v>
      </c>
      <c r="OK249">
        <v>61</v>
      </c>
      <c r="OL249">
        <v>61</v>
      </c>
      <c r="OM249" t="s">
        <v>4918</v>
      </c>
      <c r="ON249">
        <v>1</v>
      </c>
      <c r="OO249">
        <v>2173</v>
      </c>
      <c r="OP249">
        <v>61</v>
      </c>
      <c r="OQ249">
        <v>61</v>
      </c>
      <c r="OR249" t="s">
        <v>4919</v>
      </c>
      <c r="OS249">
        <v>1</v>
      </c>
      <c r="OT249">
        <v>2185</v>
      </c>
      <c r="OU249">
        <v>65</v>
      </c>
      <c r="OV249">
        <v>65</v>
      </c>
      <c r="OW249" t="s">
        <v>4043</v>
      </c>
      <c r="OX249">
        <v>2</v>
      </c>
      <c r="OY249">
        <v>42326</v>
      </c>
      <c r="OZ249">
        <v>51</v>
      </c>
      <c r="PA249">
        <v>51</v>
      </c>
      <c r="PB249" t="s">
        <v>4920</v>
      </c>
      <c r="PC249">
        <v>2</v>
      </c>
      <c r="PD249">
        <v>2220</v>
      </c>
      <c r="PF249">
        <v>433</v>
      </c>
      <c r="PG249">
        <v>35</v>
      </c>
      <c r="PH249">
        <v>411</v>
      </c>
      <c r="PI249">
        <v>0</v>
      </c>
      <c r="PJ249">
        <v>106.6</v>
      </c>
      <c r="PL249">
        <v>1290</v>
      </c>
      <c r="PM249">
        <v>970.9</v>
      </c>
      <c r="PN249">
        <v>98.7</v>
      </c>
      <c r="PO249">
        <v>11</v>
      </c>
      <c r="PP249">
        <v>12</v>
      </c>
      <c r="PQ249">
        <v>5</v>
      </c>
      <c r="PR249">
        <v>5</v>
      </c>
      <c r="PS249">
        <v>0</v>
      </c>
      <c r="PT249">
        <v>242</v>
      </c>
      <c r="PU249">
        <v>12</v>
      </c>
      <c r="PV249" t="s">
        <v>4072</v>
      </c>
      <c r="PW249" t="s">
        <v>4072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-1</v>
      </c>
      <c r="QF249">
        <v>1</v>
      </c>
      <c r="QG249">
        <v>0</v>
      </c>
      <c r="QH249">
        <v>5</v>
      </c>
      <c r="QI249">
        <v>5</v>
      </c>
      <c r="QJ249">
        <v>5</v>
      </c>
      <c r="QK249">
        <v>218</v>
      </c>
      <c r="QL249">
        <v>434</v>
      </c>
      <c r="QM249">
        <v>7.5</v>
      </c>
      <c r="QN249">
        <v>1539.3</v>
      </c>
      <c r="QO249" t="s">
        <v>3054</v>
      </c>
      <c r="QP249" t="s">
        <v>513</v>
      </c>
      <c r="QQ249">
        <v>0</v>
      </c>
      <c r="QR249" t="s">
        <v>1343</v>
      </c>
      <c r="QS249">
        <v>40</v>
      </c>
      <c r="QT249">
        <v>50</v>
      </c>
    </row>
    <row r="250" spans="1:462">
      <c r="A250" t="s">
        <v>3147</v>
      </c>
      <c r="B250" t="s">
        <v>629</v>
      </c>
      <c r="C250" t="s">
        <v>509</v>
      </c>
      <c r="D250" t="s">
        <v>3146</v>
      </c>
      <c r="E250" t="s">
        <v>4036</v>
      </c>
      <c r="H250" t="s">
        <v>1088</v>
      </c>
      <c r="J250" t="s">
        <v>562</v>
      </c>
      <c r="K250" t="s">
        <v>563</v>
      </c>
      <c r="L250" t="s">
        <v>711</v>
      </c>
      <c r="M250" t="s">
        <v>512</v>
      </c>
      <c r="O250" t="s">
        <v>513</v>
      </c>
      <c r="P250" t="s">
        <v>517</v>
      </c>
      <c r="Q250" t="s">
        <v>3010</v>
      </c>
      <c r="R250" t="s">
        <v>3011</v>
      </c>
      <c r="S250" t="s">
        <v>4037</v>
      </c>
      <c r="T250" t="s">
        <v>570</v>
      </c>
      <c r="U250" t="s">
        <v>571</v>
      </c>
      <c r="V250" t="s">
        <v>3012</v>
      </c>
      <c r="W250" t="s">
        <v>3058</v>
      </c>
      <c r="X250" t="s">
        <v>3148</v>
      </c>
      <c r="Y250" t="s">
        <v>3149</v>
      </c>
      <c r="Z250" t="s">
        <v>650</v>
      </c>
      <c r="AA250" t="s">
        <v>4038</v>
      </c>
      <c r="AB250" t="s">
        <v>4921</v>
      </c>
      <c r="AC250">
        <v>15</v>
      </c>
      <c r="AD250" t="s">
        <v>3145</v>
      </c>
      <c r="AE250">
        <v>4</v>
      </c>
      <c r="AF250">
        <v>7970</v>
      </c>
      <c r="AG250" t="s">
        <v>4196</v>
      </c>
      <c r="AH250">
        <v>1</v>
      </c>
      <c r="AI250" t="s">
        <v>4041</v>
      </c>
      <c r="AK250" t="s">
        <v>4197</v>
      </c>
      <c r="AL250">
        <v>1</v>
      </c>
      <c r="AM250" t="s">
        <v>582</v>
      </c>
      <c r="AO250" t="s">
        <v>4043</v>
      </c>
      <c r="AP250">
        <v>1</v>
      </c>
      <c r="AR250" t="s">
        <v>4922</v>
      </c>
      <c r="AS250">
        <v>1</v>
      </c>
      <c r="AT250">
        <v>51</v>
      </c>
      <c r="AV250" t="s">
        <v>4078</v>
      </c>
      <c r="AW250">
        <v>6.4</v>
      </c>
      <c r="AX250">
        <v>-12</v>
      </c>
      <c r="AY250">
        <v>118</v>
      </c>
      <c r="AZ250">
        <v>97</v>
      </c>
      <c r="BH250">
        <v>118</v>
      </c>
      <c r="BI250">
        <v>21</v>
      </c>
      <c r="BJ250">
        <v>97</v>
      </c>
      <c r="BK250">
        <v>3</v>
      </c>
      <c r="BL250">
        <v>236</v>
      </c>
      <c r="BM250">
        <v>-12</v>
      </c>
      <c r="BN250">
        <v>0</v>
      </c>
      <c r="BP250">
        <v>0</v>
      </c>
      <c r="BR250">
        <v>230</v>
      </c>
      <c r="BS250">
        <v>220</v>
      </c>
      <c r="BT250">
        <v>2370</v>
      </c>
      <c r="BU250" t="s">
        <v>4263</v>
      </c>
      <c r="BV250" t="s">
        <v>4263</v>
      </c>
      <c r="BW250" t="s">
        <v>4128</v>
      </c>
      <c r="BX250" t="s">
        <v>4264</v>
      </c>
      <c r="BY250" t="s">
        <v>4083</v>
      </c>
      <c r="BZ250" t="s">
        <v>4083</v>
      </c>
      <c r="CA250" t="s">
        <v>4084</v>
      </c>
      <c r="CB250" t="s">
        <v>4085</v>
      </c>
      <c r="CC250" t="s">
        <v>4053</v>
      </c>
      <c r="CD250" t="s">
        <v>4055</v>
      </c>
      <c r="CE250" t="s">
        <v>4055</v>
      </c>
      <c r="CF250" t="s">
        <v>4055</v>
      </c>
      <c r="CG250" t="s">
        <v>4056</v>
      </c>
      <c r="CI250" t="s">
        <v>4086</v>
      </c>
      <c r="CJ250" t="s">
        <v>4059</v>
      </c>
      <c r="CK250" t="s">
        <v>4060</v>
      </c>
      <c r="CL250" t="s">
        <v>4061</v>
      </c>
      <c r="CM250" t="s">
        <v>4062</v>
      </c>
      <c r="CN250" t="s">
        <v>4055</v>
      </c>
      <c r="CO250" t="s">
        <v>4063</v>
      </c>
      <c r="CP250" t="s">
        <v>4055</v>
      </c>
      <c r="CQ250" t="s">
        <v>4055</v>
      </c>
      <c r="CR250">
        <v>5</v>
      </c>
      <c r="CS250" t="s">
        <v>4055</v>
      </c>
      <c r="CT250" t="s">
        <v>4055</v>
      </c>
      <c r="CU250" t="s">
        <v>4055</v>
      </c>
      <c r="CV250">
        <v>150</v>
      </c>
      <c r="CW250">
        <v>3</v>
      </c>
      <c r="CX250">
        <v>125</v>
      </c>
      <c r="CY250">
        <v>5</v>
      </c>
      <c r="CZ250">
        <v>175</v>
      </c>
      <c r="DA250">
        <v>5</v>
      </c>
      <c r="DB250">
        <v>18460</v>
      </c>
      <c r="DC250">
        <v>550</v>
      </c>
      <c r="DD250">
        <v>394</v>
      </c>
      <c r="DE250">
        <v>2500</v>
      </c>
      <c r="DF250">
        <v>2500</v>
      </c>
      <c r="DG250">
        <v>2520</v>
      </c>
      <c r="DH250">
        <v>3</v>
      </c>
      <c r="DI250" t="s">
        <v>4055</v>
      </c>
      <c r="DJ250" t="s">
        <v>4087</v>
      </c>
      <c r="DK250">
        <v>230</v>
      </c>
      <c r="DL250" t="s">
        <v>4065</v>
      </c>
      <c r="DM250">
        <v>65</v>
      </c>
      <c r="DN250">
        <v>1.36</v>
      </c>
      <c r="DO250">
        <v>1</v>
      </c>
      <c r="DP250">
        <v>2374</v>
      </c>
      <c r="DQ250">
        <v>1375</v>
      </c>
      <c r="DR250" t="s">
        <v>4087</v>
      </c>
      <c r="DS250">
        <v>220</v>
      </c>
      <c r="DT250" t="s">
        <v>4065</v>
      </c>
      <c r="DU250">
        <v>65</v>
      </c>
      <c r="DV250">
        <v>1.36</v>
      </c>
      <c r="DW250">
        <v>1</v>
      </c>
      <c r="DX250">
        <v>2388</v>
      </c>
      <c r="DY250">
        <v>1323</v>
      </c>
      <c r="DZ250" t="s">
        <v>4066</v>
      </c>
      <c r="EA250">
        <v>20</v>
      </c>
      <c r="EB250" t="s">
        <v>4065</v>
      </c>
      <c r="EC250">
        <v>0.8</v>
      </c>
      <c r="ED250">
        <v>2374</v>
      </c>
      <c r="EE250">
        <v>83</v>
      </c>
      <c r="EG250">
        <v>0</v>
      </c>
      <c r="EH250" t="s">
        <v>4065</v>
      </c>
      <c r="EI250">
        <v>0</v>
      </c>
      <c r="EL250" t="s">
        <v>1528</v>
      </c>
      <c r="EM250">
        <v>12</v>
      </c>
      <c r="EN250">
        <v>0.5</v>
      </c>
      <c r="EO250">
        <v>0.96</v>
      </c>
      <c r="EP250">
        <v>2387.1</v>
      </c>
      <c r="EQ250">
        <v>48487.97</v>
      </c>
      <c r="ER250">
        <v>7852.46</v>
      </c>
      <c r="ES250">
        <v>0</v>
      </c>
      <c r="ET250">
        <v>0</v>
      </c>
      <c r="EU250">
        <v>1</v>
      </c>
      <c r="EV250">
        <v>56341</v>
      </c>
      <c r="EW250">
        <v>677</v>
      </c>
      <c r="EX250" t="s">
        <v>4287</v>
      </c>
      <c r="EY250">
        <v>258</v>
      </c>
      <c r="EZ250" t="s">
        <v>4055</v>
      </c>
      <c r="FA250">
        <v>5</v>
      </c>
      <c r="FB250">
        <v>1</v>
      </c>
      <c r="FC250">
        <v>1</v>
      </c>
      <c r="FD250">
        <v>2422</v>
      </c>
      <c r="FE250">
        <v>3869</v>
      </c>
      <c r="FF250" t="s">
        <v>4288</v>
      </c>
      <c r="FG250">
        <v>258</v>
      </c>
      <c r="FH250" t="s">
        <v>4055</v>
      </c>
      <c r="FI250">
        <v>3.6</v>
      </c>
      <c r="FJ250">
        <v>2422</v>
      </c>
      <c r="FK250">
        <v>2499</v>
      </c>
      <c r="FL250" t="s">
        <v>4069</v>
      </c>
      <c r="FM250" t="s">
        <v>4055</v>
      </c>
      <c r="FN250" t="s">
        <v>4055</v>
      </c>
      <c r="FO250" t="s">
        <v>4055</v>
      </c>
      <c r="FP250">
        <v>2422</v>
      </c>
      <c r="FQ250">
        <v>349</v>
      </c>
      <c r="FR250" t="s">
        <v>4090</v>
      </c>
      <c r="FS250">
        <v>262</v>
      </c>
      <c r="FT250" t="s">
        <v>4055</v>
      </c>
      <c r="FU250">
        <v>0.4</v>
      </c>
      <c r="FV250">
        <v>2422</v>
      </c>
      <c r="FW250">
        <v>282</v>
      </c>
      <c r="FX250" t="s">
        <v>4070</v>
      </c>
      <c r="FY250">
        <v>5</v>
      </c>
      <c r="FZ250" t="s">
        <v>4055</v>
      </c>
      <c r="GA250" t="s">
        <v>4055</v>
      </c>
      <c r="GB250">
        <v>2422</v>
      </c>
      <c r="GC250">
        <v>25</v>
      </c>
      <c r="GD250">
        <v>7024</v>
      </c>
      <c r="GE250" t="s">
        <v>4922</v>
      </c>
      <c r="GF250" t="s">
        <v>4055</v>
      </c>
      <c r="GG250" t="s">
        <v>4055</v>
      </c>
      <c r="GH250" t="s">
        <v>4055</v>
      </c>
      <c r="GI250" t="s">
        <v>4071</v>
      </c>
      <c r="GJ250" t="s">
        <v>4055</v>
      </c>
      <c r="GK250" t="s">
        <v>4055</v>
      </c>
      <c r="GL250" t="s">
        <v>4055</v>
      </c>
      <c r="GM250" t="s">
        <v>4055</v>
      </c>
      <c r="GQ250">
        <v>0</v>
      </c>
      <c r="GV250">
        <v>9</v>
      </c>
      <c r="GW250">
        <v>12</v>
      </c>
      <c r="GX250">
        <v>0.5</v>
      </c>
      <c r="GY250">
        <v>220</v>
      </c>
      <c r="GZ250">
        <v>3</v>
      </c>
      <c r="HA250">
        <v>286</v>
      </c>
      <c r="HB250">
        <v>3</v>
      </c>
      <c r="HC250">
        <v>2422</v>
      </c>
      <c r="HD250">
        <v>4</v>
      </c>
      <c r="HE250" t="s">
        <v>4071</v>
      </c>
      <c r="HG250" t="s">
        <v>549</v>
      </c>
      <c r="HL250">
        <v>4</v>
      </c>
      <c r="HM250">
        <v>20</v>
      </c>
      <c r="HN250">
        <v>2</v>
      </c>
      <c r="HO250">
        <v>1</v>
      </c>
      <c r="HP250">
        <v>0</v>
      </c>
      <c r="HQ250">
        <v>0</v>
      </c>
      <c r="HR250">
        <v>2</v>
      </c>
      <c r="HS250">
        <v>2370</v>
      </c>
      <c r="HT250">
        <v>5</v>
      </c>
      <c r="HU250">
        <v>1</v>
      </c>
      <c r="HV250">
        <v>5</v>
      </c>
      <c r="HW250">
        <v>0</v>
      </c>
      <c r="HX250">
        <v>1</v>
      </c>
      <c r="HY250">
        <v>0</v>
      </c>
      <c r="HZ250">
        <v>65</v>
      </c>
      <c r="IA250">
        <v>2374</v>
      </c>
      <c r="IB250">
        <v>2388</v>
      </c>
      <c r="ID250">
        <v>2422</v>
      </c>
      <c r="IE250">
        <v>2422</v>
      </c>
      <c r="IF250">
        <v>230</v>
      </c>
      <c r="IG250">
        <v>220</v>
      </c>
      <c r="IH250">
        <v>286</v>
      </c>
      <c r="II250">
        <v>1</v>
      </c>
      <c r="IJ250">
        <v>5</v>
      </c>
      <c r="IK250">
        <v>0</v>
      </c>
      <c r="IL250">
        <v>0</v>
      </c>
      <c r="IM250">
        <v>0</v>
      </c>
      <c r="IN250">
        <v>270</v>
      </c>
      <c r="IO250">
        <v>0</v>
      </c>
      <c r="IP250">
        <v>180</v>
      </c>
      <c r="IQ250">
        <v>0</v>
      </c>
      <c r="IR250">
        <v>330</v>
      </c>
      <c r="IS250">
        <v>0</v>
      </c>
      <c r="IT250">
        <v>90</v>
      </c>
      <c r="IU250">
        <v>0</v>
      </c>
      <c r="IV250">
        <v>6.4</v>
      </c>
      <c r="IW250">
        <v>-12</v>
      </c>
      <c r="IX250">
        <v>118</v>
      </c>
      <c r="IY250">
        <v>97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468</v>
      </c>
      <c r="JJ250">
        <v>438</v>
      </c>
      <c r="JK250">
        <v>340</v>
      </c>
      <c r="JL250">
        <v>434</v>
      </c>
      <c r="JM250">
        <v>320</v>
      </c>
      <c r="JN250">
        <v>230</v>
      </c>
      <c r="JO250">
        <v>300</v>
      </c>
      <c r="JP250">
        <v>170</v>
      </c>
      <c r="JQ250">
        <v>190</v>
      </c>
      <c r="JR250">
        <v>311</v>
      </c>
      <c r="JS250">
        <v>245</v>
      </c>
      <c r="JT250">
        <v>0</v>
      </c>
      <c r="JU250">
        <v>0</v>
      </c>
      <c r="JV250">
        <v>300</v>
      </c>
      <c r="JW250">
        <v>290</v>
      </c>
      <c r="JX250">
        <v>298</v>
      </c>
      <c r="JY250">
        <v>290</v>
      </c>
      <c r="JZ250">
        <v>0.5</v>
      </c>
      <c r="KA250">
        <v>0.2</v>
      </c>
      <c r="KB250">
        <v>0.4</v>
      </c>
      <c r="KC250">
        <v>0.42</v>
      </c>
      <c r="KD250">
        <v>0.28</v>
      </c>
      <c r="KE250">
        <v>0.5</v>
      </c>
      <c r="KF250">
        <v>0.18</v>
      </c>
      <c r="KG250">
        <v>0.11</v>
      </c>
      <c r="KH250">
        <v>4.5</v>
      </c>
      <c r="KI250">
        <v>1</v>
      </c>
      <c r="KJ250">
        <v>4.5</v>
      </c>
      <c r="KK250">
        <v>0</v>
      </c>
      <c r="KL250">
        <v>4.5</v>
      </c>
      <c r="KM250">
        <v>0</v>
      </c>
      <c r="KN250">
        <v>3</v>
      </c>
      <c r="KO250">
        <v>0</v>
      </c>
      <c r="KP250">
        <v>0</v>
      </c>
      <c r="KQ250">
        <v>0.5</v>
      </c>
      <c r="KR250">
        <v>0.5</v>
      </c>
      <c r="KS250">
        <v>0</v>
      </c>
      <c r="KT250">
        <v>2.5</v>
      </c>
      <c r="KU250">
        <v>0</v>
      </c>
      <c r="KV250">
        <v>0</v>
      </c>
      <c r="KW250">
        <v>1.2</v>
      </c>
      <c r="KX250">
        <v>1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3</v>
      </c>
      <c r="LI250">
        <v>0.5</v>
      </c>
      <c r="LJ250">
        <v>0</v>
      </c>
      <c r="LK250">
        <v>15</v>
      </c>
      <c r="LL250">
        <v>8</v>
      </c>
      <c r="LM250">
        <v>7</v>
      </c>
      <c r="LN250">
        <v>3</v>
      </c>
      <c r="LO250">
        <v>3</v>
      </c>
      <c r="LP250">
        <v>0</v>
      </c>
      <c r="LQ250">
        <v>0</v>
      </c>
      <c r="LR250">
        <v>0</v>
      </c>
      <c r="LS250">
        <v>1</v>
      </c>
      <c r="LT250">
        <v>0</v>
      </c>
      <c r="LU250">
        <v>0</v>
      </c>
      <c r="LV250">
        <v>0</v>
      </c>
      <c r="LW250">
        <v>1.8</v>
      </c>
      <c r="LX250">
        <v>1.8</v>
      </c>
      <c r="LY250">
        <v>2.1</v>
      </c>
      <c r="LZ250">
        <v>2.1</v>
      </c>
      <c r="MA250">
        <v>0</v>
      </c>
      <c r="MB250">
        <v>1.5</v>
      </c>
      <c r="MC250">
        <v>0</v>
      </c>
      <c r="MD250">
        <v>3.5</v>
      </c>
      <c r="ME250">
        <v>4.5</v>
      </c>
      <c r="MF250">
        <v>4.5</v>
      </c>
      <c r="MG250">
        <v>20</v>
      </c>
      <c r="MH250">
        <v>0</v>
      </c>
      <c r="MI250">
        <v>0</v>
      </c>
      <c r="MJ250">
        <v>0</v>
      </c>
      <c r="MK250">
        <v>0</v>
      </c>
      <c r="MN250">
        <v>230</v>
      </c>
      <c r="MO250">
        <v>300</v>
      </c>
      <c r="NU250">
        <v>0.15</v>
      </c>
      <c r="NV250">
        <v>0.2</v>
      </c>
      <c r="NW250">
        <v>0.2</v>
      </c>
      <c r="NX250">
        <v>0.2</v>
      </c>
      <c r="NY250">
        <v>0.2</v>
      </c>
      <c r="NZ250">
        <v>0.2</v>
      </c>
      <c r="OE250" t="s">
        <v>4922</v>
      </c>
      <c r="OF250" t="s">
        <v>4196</v>
      </c>
      <c r="OG250" t="s">
        <v>4197</v>
      </c>
      <c r="OH250" t="s">
        <v>4043</v>
      </c>
      <c r="OI250" t="s">
        <v>4922</v>
      </c>
      <c r="OJ250" t="s">
        <v>4921</v>
      </c>
      <c r="OK250">
        <v>61</v>
      </c>
      <c r="OL250">
        <v>61</v>
      </c>
      <c r="OM250" t="s">
        <v>4196</v>
      </c>
      <c r="ON250">
        <v>2</v>
      </c>
      <c r="OO250">
        <v>2374</v>
      </c>
      <c r="OP250">
        <v>61</v>
      </c>
      <c r="OQ250">
        <v>61</v>
      </c>
      <c r="OR250" t="s">
        <v>4197</v>
      </c>
      <c r="OS250">
        <v>2</v>
      </c>
      <c r="OT250">
        <v>2388</v>
      </c>
      <c r="OU250">
        <v>65</v>
      </c>
      <c r="OV250">
        <v>65</v>
      </c>
      <c r="OW250" t="s">
        <v>4043</v>
      </c>
      <c r="OX250">
        <v>1</v>
      </c>
      <c r="OY250">
        <v>56341</v>
      </c>
      <c r="OZ250">
        <v>51</v>
      </c>
      <c r="PA250">
        <v>51</v>
      </c>
      <c r="PB250" t="s">
        <v>4922</v>
      </c>
      <c r="PC250">
        <v>2</v>
      </c>
      <c r="PD250">
        <v>2422</v>
      </c>
      <c r="PF250">
        <v>579</v>
      </c>
      <c r="PG250">
        <v>35</v>
      </c>
      <c r="PH250">
        <v>554</v>
      </c>
      <c r="PI250">
        <v>0</v>
      </c>
      <c r="PJ250">
        <v>143.9</v>
      </c>
      <c r="PK250">
        <v>2894</v>
      </c>
      <c r="PL250">
        <v>1597.5</v>
      </c>
      <c r="PM250">
        <v>1031.9</v>
      </c>
      <c r="PN250">
        <v>116.6</v>
      </c>
      <c r="PO250">
        <v>10.5</v>
      </c>
      <c r="PP250">
        <v>12</v>
      </c>
      <c r="PQ250">
        <v>6</v>
      </c>
      <c r="PR250">
        <v>7</v>
      </c>
      <c r="PS250">
        <v>0</v>
      </c>
      <c r="PT250">
        <v>286</v>
      </c>
      <c r="PU250">
        <v>14</v>
      </c>
      <c r="PV250" t="s">
        <v>4072</v>
      </c>
      <c r="PW250" t="s">
        <v>4072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-1</v>
      </c>
      <c r="QF250">
        <v>1</v>
      </c>
      <c r="QG250">
        <v>0</v>
      </c>
      <c r="QH250">
        <v>5</v>
      </c>
      <c r="QI250">
        <v>5</v>
      </c>
      <c r="QJ250">
        <v>5</v>
      </c>
      <c r="QK250">
        <v>255</v>
      </c>
      <c r="QL250">
        <v>508</v>
      </c>
      <c r="QM250">
        <v>7.5</v>
      </c>
      <c r="QN250">
        <v>1625.4</v>
      </c>
      <c r="QO250" t="s">
        <v>3054</v>
      </c>
      <c r="QP250" t="s">
        <v>513</v>
      </c>
      <c r="QQ250">
        <v>0</v>
      </c>
      <c r="QR250" t="s">
        <v>704</v>
      </c>
    </row>
    <row r="251" spans="1:462">
      <c r="A251" t="s">
        <v>3158</v>
      </c>
      <c r="B251" t="s">
        <v>559</v>
      </c>
      <c r="C251" t="s">
        <v>509</v>
      </c>
      <c r="D251" t="s">
        <v>4923</v>
      </c>
      <c r="E251" t="s">
        <v>4036</v>
      </c>
      <c r="H251" t="s">
        <v>604</v>
      </c>
      <c r="I251" t="s">
        <v>605</v>
      </c>
      <c r="J251" t="s">
        <v>628</v>
      </c>
      <c r="K251" t="s">
        <v>606</v>
      </c>
      <c r="L251" t="s">
        <v>564</v>
      </c>
      <c r="M251" t="s">
        <v>512</v>
      </c>
      <c r="O251" t="s">
        <v>513</v>
      </c>
      <c r="P251" t="s">
        <v>517</v>
      </c>
      <c r="Q251" t="s">
        <v>1544</v>
      </c>
      <c r="R251" t="s">
        <v>1481</v>
      </c>
      <c r="S251" t="s">
        <v>4091</v>
      </c>
      <c r="T251" t="s">
        <v>1457</v>
      </c>
      <c r="U251" t="s">
        <v>1458</v>
      </c>
      <c r="V251" t="s">
        <v>2457</v>
      </c>
      <c r="W251" t="s">
        <v>3048</v>
      </c>
      <c r="X251" t="s">
        <v>3159</v>
      </c>
      <c r="Y251" t="s">
        <v>3160</v>
      </c>
      <c r="Z251" t="s">
        <v>541</v>
      </c>
      <c r="AA251" t="s">
        <v>3054</v>
      </c>
      <c r="AB251" t="s">
        <v>4924</v>
      </c>
      <c r="AC251">
        <v>14</v>
      </c>
      <c r="AD251" t="s">
        <v>3156</v>
      </c>
      <c r="AE251">
        <v>6</v>
      </c>
      <c r="AF251">
        <v>3273</v>
      </c>
      <c r="AG251" t="s">
        <v>4492</v>
      </c>
      <c r="AH251">
        <v>1</v>
      </c>
      <c r="AI251" t="s">
        <v>4041</v>
      </c>
      <c r="AK251" t="s">
        <v>4493</v>
      </c>
      <c r="AL251">
        <v>1</v>
      </c>
      <c r="AM251" t="s">
        <v>582</v>
      </c>
      <c r="AO251" t="s">
        <v>4353</v>
      </c>
      <c r="AP251">
        <v>1</v>
      </c>
      <c r="AR251" t="s">
        <v>4925</v>
      </c>
      <c r="AS251">
        <v>1</v>
      </c>
      <c r="AT251">
        <v>51</v>
      </c>
      <c r="AV251" t="s">
        <v>4045</v>
      </c>
      <c r="AW251">
        <v>6.4</v>
      </c>
      <c r="AX251">
        <v>-6</v>
      </c>
      <c r="AY251">
        <v>81</v>
      </c>
      <c r="AZ251">
        <v>72</v>
      </c>
      <c r="BH251">
        <v>81</v>
      </c>
      <c r="BI251">
        <v>9</v>
      </c>
      <c r="BJ251">
        <v>72</v>
      </c>
      <c r="BK251">
        <v>3.5</v>
      </c>
      <c r="BL251">
        <v>162</v>
      </c>
      <c r="BM251">
        <v>-6</v>
      </c>
      <c r="BN251">
        <v>0</v>
      </c>
      <c r="BP251">
        <v>0</v>
      </c>
      <c r="BR251">
        <v>155</v>
      </c>
      <c r="BS251">
        <v>145</v>
      </c>
      <c r="BT251">
        <v>1730</v>
      </c>
      <c r="BU251" t="s">
        <v>4355</v>
      </c>
      <c r="BV251" t="s">
        <v>4355</v>
      </c>
      <c r="BW251" t="s">
        <v>4356</v>
      </c>
      <c r="BX251" t="s">
        <v>4356</v>
      </c>
      <c r="BY251" t="s">
        <v>4388</v>
      </c>
      <c r="BZ251" t="s">
        <v>4388</v>
      </c>
      <c r="CA251" t="s">
        <v>4358</v>
      </c>
      <c r="CB251" t="s">
        <v>4359</v>
      </c>
      <c r="CC251" t="s">
        <v>4053</v>
      </c>
      <c r="CD251" t="s">
        <v>4359</v>
      </c>
      <c r="CE251" t="s">
        <v>4407</v>
      </c>
      <c r="CF251" t="s">
        <v>4408</v>
      </c>
      <c r="CG251" t="s">
        <v>4056</v>
      </c>
      <c r="CH251" t="s">
        <v>4145</v>
      </c>
      <c r="CI251" t="s">
        <v>4058</v>
      </c>
      <c r="CJ251" t="s">
        <v>4059</v>
      </c>
      <c r="CK251" t="s">
        <v>4060</v>
      </c>
      <c r="CL251" t="s">
        <v>4061</v>
      </c>
      <c r="CM251" t="s">
        <v>4062</v>
      </c>
      <c r="CN251" t="s">
        <v>4055</v>
      </c>
      <c r="CO251" t="s">
        <v>4063</v>
      </c>
      <c r="CP251" t="s">
        <v>4055</v>
      </c>
      <c r="CQ251" t="s">
        <v>4055</v>
      </c>
      <c r="CR251">
        <v>5</v>
      </c>
      <c r="CS251" t="s">
        <v>4055</v>
      </c>
      <c r="CT251" t="s">
        <v>4055</v>
      </c>
      <c r="CU251" t="s">
        <v>4055</v>
      </c>
      <c r="CV251">
        <v>107</v>
      </c>
      <c r="CW251">
        <v>3</v>
      </c>
      <c r="CX251">
        <v>65</v>
      </c>
      <c r="CY251">
        <v>5</v>
      </c>
      <c r="CZ251">
        <v>114</v>
      </c>
      <c r="DA251">
        <v>5</v>
      </c>
      <c r="DB251">
        <v>8040</v>
      </c>
      <c r="DC251">
        <v>240</v>
      </c>
      <c r="DD251">
        <v>273</v>
      </c>
      <c r="DE251">
        <v>1832</v>
      </c>
      <c r="DF251">
        <v>1832</v>
      </c>
      <c r="DG251">
        <v>1844</v>
      </c>
      <c r="DH251" t="s">
        <v>4055</v>
      </c>
      <c r="DI251" t="s">
        <v>4055</v>
      </c>
      <c r="DJ251" t="s">
        <v>4100</v>
      </c>
      <c r="DK251">
        <v>155</v>
      </c>
      <c r="DL251" t="s">
        <v>4101</v>
      </c>
      <c r="DM251">
        <v>63</v>
      </c>
      <c r="DN251">
        <v>0.84</v>
      </c>
      <c r="DO251">
        <v>1</v>
      </c>
      <c r="DP251">
        <v>1733</v>
      </c>
      <c r="DQ251">
        <v>490</v>
      </c>
      <c r="DR251" t="s">
        <v>4100</v>
      </c>
      <c r="DS251">
        <v>145</v>
      </c>
      <c r="DT251" t="s">
        <v>4101</v>
      </c>
      <c r="DU251">
        <v>63</v>
      </c>
      <c r="DV251">
        <v>0.84</v>
      </c>
      <c r="DW251">
        <v>1</v>
      </c>
      <c r="DX251">
        <v>1740</v>
      </c>
      <c r="DY251">
        <v>461</v>
      </c>
      <c r="DZ251" t="s">
        <v>4066</v>
      </c>
      <c r="EA251">
        <v>33</v>
      </c>
      <c r="EB251" t="s">
        <v>4065</v>
      </c>
      <c r="EC251">
        <v>0.4</v>
      </c>
      <c r="ED251">
        <v>1733</v>
      </c>
      <c r="EE251">
        <v>50</v>
      </c>
      <c r="EF251" t="s">
        <v>4066</v>
      </c>
      <c r="EG251">
        <v>33</v>
      </c>
      <c r="EH251" t="s">
        <v>4065</v>
      </c>
      <c r="EI251">
        <v>0.4</v>
      </c>
      <c r="EJ251">
        <v>1740</v>
      </c>
      <c r="EK251">
        <v>50</v>
      </c>
      <c r="EL251" t="s">
        <v>4362</v>
      </c>
      <c r="EM251">
        <v>12</v>
      </c>
      <c r="EN251">
        <v>0.5</v>
      </c>
      <c r="EO251">
        <v>0.77</v>
      </c>
      <c r="EP251">
        <v>1740.56</v>
      </c>
      <c r="EQ251">
        <v>23660.74</v>
      </c>
      <c r="ER251">
        <v>2454.47</v>
      </c>
      <c r="ES251">
        <v>0</v>
      </c>
      <c r="ET251">
        <v>0</v>
      </c>
      <c r="EU251">
        <v>1</v>
      </c>
      <c r="EV251">
        <v>26116</v>
      </c>
      <c r="EW251">
        <v>262</v>
      </c>
      <c r="EX251" t="s">
        <v>4287</v>
      </c>
      <c r="EY251">
        <v>172</v>
      </c>
      <c r="EZ251" t="s">
        <v>4055</v>
      </c>
      <c r="FA251">
        <v>4.8</v>
      </c>
      <c r="FB251">
        <v>1</v>
      </c>
      <c r="FC251">
        <v>1</v>
      </c>
      <c r="FD251">
        <v>1775</v>
      </c>
      <c r="FE251">
        <v>1671</v>
      </c>
      <c r="FF251" t="s">
        <v>4288</v>
      </c>
      <c r="FG251">
        <v>172</v>
      </c>
      <c r="FH251" t="s">
        <v>4055</v>
      </c>
      <c r="FI251">
        <v>4.2</v>
      </c>
      <c r="FJ251">
        <v>1775</v>
      </c>
      <c r="FK251">
        <v>1458</v>
      </c>
      <c r="FL251" t="s">
        <v>4069</v>
      </c>
      <c r="FM251" t="s">
        <v>4055</v>
      </c>
      <c r="FN251" t="s">
        <v>4055</v>
      </c>
      <c r="FO251" t="s">
        <v>4055</v>
      </c>
      <c r="FP251">
        <v>1775</v>
      </c>
      <c r="FQ251">
        <v>165</v>
      </c>
      <c r="FR251" t="s">
        <v>4090</v>
      </c>
      <c r="FS251">
        <v>176</v>
      </c>
      <c r="FT251" t="s">
        <v>4055</v>
      </c>
      <c r="FU251">
        <v>0.4</v>
      </c>
      <c r="FV251">
        <v>1775</v>
      </c>
      <c r="FW251">
        <v>139</v>
      </c>
      <c r="FX251" t="s">
        <v>4070</v>
      </c>
      <c r="FY251">
        <v>5</v>
      </c>
      <c r="FZ251" t="s">
        <v>4055</v>
      </c>
      <c r="GA251" t="s">
        <v>4055</v>
      </c>
      <c r="GB251">
        <v>1775</v>
      </c>
      <c r="GC251">
        <v>19</v>
      </c>
      <c r="GD251">
        <v>3452</v>
      </c>
      <c r="GE251" t="s">
        <v>4925</v>
      </c>
      <c r="GF251" t="s">
        <v>4055</v>
      </c>
      <c r="GG251" t="s">
        <v>4055</v>
      </c>
      <c r="GH251" t="s">
        <v>4055</v>
      </c>
      <c r="GI251" t="s">
        <v>4071</v>
      </c>
      <c r="GJ251" t="s">
        <v>4055</v>
      </c>
      <c r="GK251" t="s">
        <v>4055</v>
      </c>
      <c r="GL251" t="s">
        <v>4055</v>
      </c>
      <c r="GM251" t="s">
        <v>4055</v>
      </c>
      <c r="GQ251">
        <v>0</v>
      </c>
      <c r="GV251">
        <v>9.4</v>
      </c>
      <c r="GW251">
        <v>10.9</v>
      </c>
      <c r="GX251">
        <v>0.5</v>
      </c>
      <c r="GY251">
        <v>144</v>
      </c>
      <c r="GZ251">
        <v>3</v>
      </c>
      <c r="HA251">
        <v>194</v>
      </c>
      <c r="HB251">
        <v>3</v>
      </c>
      <c r="HC251">
        <v>1775</v>
      </c>
      <c r="HD251">
        <v>4</v>
      </c>
      <c r="HE251" t="s">
        <v>4071</v>
      </c>
      <c r="HG251" t="s">
        <v>549</v>
      </c>
      <c r="HL251">
        <v>4</v>
      </c>
      <c r="HM251">
        <v>14</v>
      </c>
      <c r="HN251">
        <v>6</v>
      </c>
      <c r="HO251">
        <v>1</v>
      </c>
      <c r="HP251">
        <v>0</v>
      </c>
      <c r="HQ251">
        <v>0</v>
      </c>
      <c r="HR251">
        <v>3</v>
      </c>
      <c r="HS251">
        <v>1730</v>
      </c>
      <c r="HT251">
        <v>5</v>
      </c>
      <c r="HU251">
        <v>1</v>
      </c>
      <c r="HV251">
        <v>0</v>
      </c>
      <c r="HW251">
        <v>0</v>
      </c>
      <c r="HX251">
        <v>1</v>
      </c>
      <c r="HY251">
        <v>0</v>
      </c>
      <c r="HZ251">
        <v>63</v>
      </c>
      <c r="IA251">
        <v>1733</v>
      </c>
      <c r="IB251">
        <v>1740</v>
      </c>
      <c r="ID251">
        <v>1775</v>
      </c>
      <c r="IE251">
        <v>1775</v>
      </c>
      <c r="IF251">
        <v>155</v>
      </c>
      <c r="IG251">
        <v>145</v>
      </c>
      <c r="IH251">
        <v>194</v>
      </c>
      <c r="II251">
        <v>0</v>
      </c>
      <c r="IJ251">
        <v>5</v>
      </c>
      <c r="IK251">
        <v>0</v>
      </c>
      <c r="IL251">
        <v>2</v>
      </c>
      <c r="IM251">
        <v>0</v>
      </c>
      <c r="IN251">
        <v>270</v>
      </c>
      <c r="IO251">
        <v>0</v>
      </c>
      <c r="IP251">
        <v>180</v>
      </c>
      <c r="IQ251">
        <v>0</v>
      </c>
      <c r="IR251">
        <v>330</v>
      </c>
      <c r="IS251">
        <v>0</v>
      </c>
      <c r="IT251">
        <v>90</v>
      </c>
      <c r="IU251">
        <v>0</v>
      </c>
      <c r="IV251">
        <v>6.4</v>
      </c>
      <c r="IW251">
        <v>-6</v>
      </c>
      <c r="IX251">
        <v>81</v>
      </c>
      <c r="IY251">
        <v>72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342</v>
      </c>
      <c r="JJ251">
        <v>312</v>
      </c>
      <c r="JK251">
        <v>230</v>
      </c>
      <c r="JL251">
        <v>312</v>
      </c>
      <c r="JM251">
        <v>255</v>
      </c>
      <c r="JN251">
        <v>165</v>
      </c>
      <c r="JO251">
        <v>210</v>
      </c>
      <c r="JP251">
        <v>240</v>
      </c>
      <c r="JQ251">
        <v>280</v>
      </c>
      <c r="JR251">
        <v>360</v>
      </c>
      <c r="JS251">
        <v>280</v>
      </c>
      <c r="JT251">
        <v>0</v>
      </c>
      <c r="JU251">
        <v>0</v>
      </c>
      <c r="JV251">
        <v>335</v>
      </c>
      <c r="JW251">
        <v>337</v>
      </c>
      <c r="JX251">
        <v>354</v>
      </c>
      <c r="JY251">
        <v>338</v>
      </c>
      <c r="JZ251">
        <v>1</v>
      </c>
      <c r="KA251">
        <v>0.2</v>
      </c>
      <c r="KB251">
        <v>0.4</v>
      </c>
      <c r="KC251">
        <v>0.42</v>
      </c>
      <c r="KD251">
        <v>0.3</v>
      </c>
      <c r="KE251">
        <v>0.5</v>
      </c>
      <c r="KF251">
        <v>0.19</v>
      </c>
      <c r="KG251">
        <v>0.1</v>
      </c>
      <c r="KH251">
        <v>3.5</v>
      </c>
      <c r="KI251">
        <v>1</v>
      </c>
      <c r="KJ251">
        <v>4.5</v>
      </c>
      <c r="KK251">
        <v>0</v>
      </c>
      <c r="KL251">
        <v>4.5</v>
      </c>
      <c r="KM251">
        <v>0</v>
      </c>
      <c r="KN251">
        <v>1.4</v>
      </c>
      <c r="KO251">
        <v>1</v>
      </c>
      <c r="KP251">
        <v>0.8</v>
      </c>
      <c r="KQ251">
        <v>0.8</v>
      </c>
      <c r="KR251">
        <v>2</v>
      </c>
      <c r="KS251">
        <v>0</v>
      </c>
      <c r="KT251">
        <v>3.2</v>
      </c>
      <c r="KU251">
        <v>0</v>
      </c>
      <c r="KV251">
        <v>0</v>
      </c>
      <c r="KW251">
        <v>1.2</v>
      </c>
      <c r="KX251">
        <v>2</v>
      </c>
      <c r="KY251">
        <v>0</v>
      </c>
      <c r="KZ251">
        <v>3.5</v>
      </c>
      <c r="LA251">
        <v>2</v>
      </c>
      <c r="LB251">
        <v>9</v>
      </c>
      <c r="LC251">
        <v>4</v>
      </c>
      <c r="LD251">
        <v>3.3</v>
      </c>
      <c r="LE251">
        <v>3.5</v>
      </c>
      <c r="LF251">
        <v>0</v>
      </c>
      <c r="LG251">
        <v>0</v>
      </c>
      <c r="LH251">
        <v>3</v>
      </c>
      <c r="LI251">
        <v>2</v>
      </c>
      <c r="LJ251">
        <v>1</v>
      </c>
      <c r="LK251">
        <v>8</v>
      </c>
      <c r="LL251">
        <v>10</v>
      </c>
      <c r="LM251">
        <v>5</v>
      </c>
      <c r="LN251">
        <v>0.1</v>
      </c>
      <c r="LO251">
        <v>0.1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2</v>
      </c>
      <c r="MC251">
        <v>0</v>
      </c>
      <c r="MD251">
        <v>4.5</v>
      </c>
      <c r="ME251">
        <v>6</v>
      </c>
      <c r="MF251">
        <v>6</v>
      </c>
      <c r="MI251">
        <v>0</v>
      </c>
      <c r="MJ251">
        <v>0</v>
      </c>
      <c r="ML251">
        <v>0</v>
      </c>
      <c r="MM251">
        <v>358</v>
      </c>
      <c r="MN251">
        <v>150</v>
      </c>
      <c r="MO251">
        <v>204</v>
      </c>
      <c r="NU251">
        <v>0.15</v>
      </c>
      <c r="NV251">
        <v>0.2</v>
      </c>
      <c r="NW251">
        <v>0.2</v>
      </c>
      <c r="NX251">
        <v>2</v>
      </c>
      <c r="NY251">
        <v>2</v>
      </c>
      <c r="NZ251">
        <v>2</v>
      </c>
      <c r="OE251" t="s">
        <v>4925</v>
      </c>
      <c r="OF251" t="s">
        <v>4492</v>
      </c>
      <c r="OG251" t="s">
        <v>4493</v>
      </c>
      <c r="OH251" t="s">
        <v>4353</v>
      </c>
      <c r="OI251" t="s">
        <v>4925</v>
      </c>
      <c r="OJ251" t="s">
        <v>4924</v>
      </c>
      <c r="OK251">
        <v>61</v>
      </c>
      <c r="OL251">
        <v>61</v>
      </c>
      <c r="OM251" t="s">
        <v>4492</v>
      </c>
      <c r="ON251">
        <v>3</v>
      </c>
      <c r="OO251">
        <v>1733</v>
      </c>
      <c r="OP251">
        <v>61</v>
      </c>
      <c r="OQ251">
        <v>61</v>
      </c>
      <c r="OR251" t="s">
        <v>4493</v>
      </c>
      <c r="OS251">
        <v>3</v>
      </c>
      <c r="OT251">
        <v>1740</v>
      </c>
      <c r="OU251">
        <v>65</v>
      </c>
      <c r="OV251">
        <v>65</v>
      </c>
      <c r="OW251" t="s">
        <v>4353</v>
      </c>
      <c r="OX251">
        <v>1</v>
      </c>
      <c r="OY251">
        <v>26116</v>
      </c>
      <c r="OZ251">
        <v>51</v>
      </c>
      <c r="PA251">
        <v>51</v>
      </c>
      <c r="PB251" t="s">
        <v>4925</v>
      </c>
      <c r="PC251">
        <v>2</v>
      </c>
      <c r="PD251">
        <v>1775</v>
      </c>
      <c r="PF251">
        <v>283</v>
      </c>
      <c r="PG251">
        <v>29</v>
      </c>
      <c r="PH251">
        <v>265</v>
      </c>
      <c r="PI251">
        <v>29</v>
      </c>
      <c r="PJ251">
        <v>92.90000000000001</v>
      </c>
      <c r="PK251">
        <v>1958</v>
      </c>
      <c r="PL251">
        <v>941.2</v>
      </c>
      <c r="PM251">
        <v>821.5</v>
      </c>
      <c r="PN251">
        <v>78.2</v>
      </c>
      <c r="PO251">
        <v>10.9</v>
      </c>
      <c r="PP251">
        <v>10</v>
      </c>
      <c r="PQ251">
        <v>8</v>
      </c>
      <c r="PR251">
        <v>8</v>
      </c>
      <c r="PS251">
        <v>6</v>
      </c>
      <c r="PT251">
        <v>194</v>
      </c>
      <c r="PU251">
        <v>11</v>
      </c>
      <c r="PV251" t="s">
        <v>4072</v>
      </c>
      <c r="PW251" t="s">
        <v>4072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-1</v>
      </c>
      <c r="QF251">
        <v>1</v>
      </c>
      <c r="QG251">
        <v>0</v>
      </c>
      <c r="QH251">
        <v>5</v>
      </c>
      <c r="QI251">
        <v>5</v>
      </c>
      <c r="QJ251">
        <v>5</v>
      </c>
      <c r="QK251">
        <v>163</v>
      </c>
      <c r="QL251">
        <v>372</v>
      </c>
      <c r="QM251">
        <v>7.5</v>
      </c>
      <c r="QN251">
        <v>1123</v>
      </c>
      <c r="QO251" t="s">
        <v>3054</v>
      </c>
      <c r="QP251" t="s">
        <v>513</v>
      </c>
      <c r="QQ251">
        <v>0</v>
      </c>
      <c r="QR251" t="s">
        <v>540</v>
      </c>
      <c r="QS251">
        <v>30</v>
      </c>
      <c r="QT251">
        <v>40</v>
      </c>
    </row>
    <row r="252" spans="1:462">
      <c r="A252" t="s">
        <v>3164</v>
      </c>
      <c r="B252" t="s">
        <v>657</v>
      </c>
      <c r="C252" t="s">
        <v>509</v>
      </c>
      <c r="D252" t="s">
        <v>2370</v>
      </c>
      <c r="E252" t="s">
        <v>4036</v>
      </c>
      <c r="H252" t="s">
        <v>627</v>
      </c>
      <c r="I252" t="s">
        <v>604</v>
      </c>
      <c r="J252" t="s">
        <v>628</v>
      </c>
      <c r="K252" t="s">
        <v>606</v>
      </c>
      <c r="L252" t="s">
        <v>559</v>
      </c>
      <c r="M252" t="s">
        <v>512</v>
      </c>
      <c r="O252" t="s">
        <v>513</v>
      </c>
      <c r="P252" t="s">
        <v>517</v>
      </c>
      <c r="Q252" t="s">
        <v>1617</v>
      </c>
      <c r="R252" t="s">
        <v>1618</v>
      </c>
      <c r="S252" t="s">
        <v>4091</v>
      </c>
      <c r="T252" t="s">
        <v>1482</v>
      </c>
      <c r="U252" t="s">
        <v>1483</v>
      </c>
      <c r="V252" t="s">
        <v>2392</v>
      </c>
      <c r="W252" t="s">
        <v>3048</v>
      </c>
      <c r="X252" t="s">
        <v>3165</v>
      </c>
      <c r="Y252" t="s">
        <v>3166</v>
      </c>
      <c r="Z252" t="s">
        <v>541</v>
      </c>
      <c r="AA252" t="s">
        <v>3054</v>
      </c>
      <c r="AB252" t="s">
        <v>4926</v>
      </c>
      <c r="AC252">
        <v>13</v>
      </c>
      <c r="AD252" t="s">
        <v>3163</v>
      </c>
      <c r="AE252">
        <v>7</v>
      </c>
      <c r="AF252">
        <v>3506</v>
      </c>
      <c r="AG252" t="s">
        <v>4927</v>
      </c>
      <c r="AH252">
        <v>1</v>
      </c>
      <c r="AI252" t="s">
        <v>4041</v>
      </c>
      <c r="AK252" t="s">
        <v>4928</v>
      </c>
      <c r="AL252">
        <v>1</v>
      </c>
      <c r="AM252" t="s">
        <v>582</v>
      </c>
      <c r="AO252" t="s">
        <v>4353</v>
      </c>
      <c r="AP252">
        <v>1</v>
      </c>
      <c r="AR252" t="s">
        <v>4929</v>
      </c>
      <c r="AS252">
        <v>1</v>
      </c>
      <c r="AT252">
        <v>51</v>
      </c>
      <c r="AV252" t="s">
        <v>4045</v>
      </c>
      <c r="AW252">
        <v>6.4</v>
      </c>
      <c r="AX252">
        <v>-6</v>
      </c>
      <c r="AY252">
        <v>88</v>
      </c>
      <c r="AZ252">
        <v>79</v>
      </c>
      <c r="BH252">
        <v>88</v>
      </c>
      <c r="BI252">
        <v>9</v>
      </c>
      <c r="BJ252">
        <v>79</v>
      </c>
      <c r="BK252">
        <v>3</v>
      </c>
      <c r="BL252">
        <v>176</v>
      </c>
      <c r="BM252">
        <v>-6</v>
      </c>
      <c r="BN252">
        <v>0</v>
      </c>
      <c r="BP252">
        <v>0</v>
      </c>
      <c r="BR252">
        <v>170</v>
      </c>
      <c r="BS252">
        <v>160</v>
      </c>
      <c r="BT252">
        <v>1845</v>
      </c>
      <c r="BU252" t="s">
        <v>4046</v>
      </c>
      <c r="BV252" t="s">
        <v>4047</v>
      </c>
      <c r="BW252" t="s">
        <v>4048</v>
      </c>
      <c r="BX252" t="s">
        <v>4049</v>
      </c>
      <c r="BY252" t="s">
        <v>4413</v>
      </c>
      <c r="BZ252" t="s">
        <v>4413</v>
      </c>
      <c r="CA252" t="s">
        <v>4370</v>
      </c>
      <c r="CB252" t="s">
        <v>4371</v>
      </c>
      <c r="CC252" t="s">
        <v>4053</v>
      </c>
      <c r="CD252" t="s">
        <v>4372</v>
      </c>
      <c r="CE252" t="s">
        <v>4055</v>
      </c>
      <c r="CF252" t="s">
        <v>4055</v>
      </c>
      <c r="CG252" t="s">
        <v>4056</v>
      </c>
      <c r="CH252" t="s">
        <v>4057</v>
      </c>
      <c r="CI252" t="s">
        <v>4058</v>
      </c>
      <c r="CJ252" t="s">
        <v>4059</v>
      </c>
      <c r="CK252" t="s">
        <v>4060</v>
      </c>
      <c r="CL252" t="s">
        <v>4061</v>
      </c>
      <c r="CM252" t="s">
        <v>4062</v>
      </c>
      <c r="CN252" t="s">
        <v>4055</v>
      </c>
      <c r="CO252" t="s">
        <v>4063</v>
      </c>
      <c r="CP252" t="s">
        <v>4055</v>
      </c>
      <c r="CQ252" t="s">
        <v>4055</v>
      </c>
      <c r="CR252">
        <v>5</v>
      </c>
      <c r="CS252" t="s">
        <v>4055</v>
      </c>
      <c r="CT252" t="s">
        <v>4055</v>
      </c>
      <c r="CU252" t="s">
        <v>4055</v>
      </c>
      <c r="CV252">
        <v>110</v>
      </c>
      <c r="CW252">
        <v>3</v>
      </c>
      <c r="CX252">
        <v>71</v>
      </c>
      <c r="CY252">
        <v>5</v>
      </c>
      <c r="CZ252">
        <v>123</v>
      </c>
      <c r="DA252">
        <v>5</v>
      </c>
      <c r="DB252">
        <v>9000</v>
      </c>
      <c r="DC252">
        <v>270</v>
      </c>
      <c r="DD252">
        <v>295</v>
      </c>
      <c r="DE252">
        <v>1953</v>
      </c>
      <c r="DF252">
        <v>1953</v>
      </c>
      <c r="DG252">
        <v>1966</v>
      </c>
      <c r="DH252" t="s">
        <v>4055</v>
      </c>
      <c r="DI252" t="s">
        <v>4055</v>
      </c>
      <c r="DJ252" t="s">
        <v>4100</v>
      </c>
      <c r="DK252">
        <v>170</v>
      </c>
      <c r="DL252" t="s">
        <v>4101</v>
      </c>
      <c r="DM252">
        <v>63</v>
      </c>
      <c r="DN252">
        <v>0.84</v>
      </c>
      <c r="DO252">
        <v>1</v>
      </c>
      <c r="DP252">
        <v>1848</v>
      </c>
      <c r="DQ252">
        <v>575</v>
      </c>
      <c r="DR252" t="s">
        <v>4100</v>
      </c>
      <c r="DS252">
        <v>160</v>
      </c>
      <c r="DT252" t="s">
        <v>4101</v>
      </c>
      <c r="DU252">
        <v>63</v>
      </c>
      <c r="DV252">
        <v>0.84</v>
      </c>
      <c r="DW252">
        <v>1</v>
      </c>
      <c r="DX252">
        <v>1855</v>
      </c>
      <c r="DY252">
        <v>542</v>
      </c>
      <c r="DZ252" t="s">
        <v>4066</v>
      </c>
      <c r="EA252">
        <v>33</v>
      </c>
      <c r="EB252" t="s">
        <v>4065</v>
      </c>
      <c r="EC252">
        <v>0.4</v>
      </c>
      <c r="ED252">
        <v>1848</v>
      </c>
      <c r="EE252">
        <v>54</v>
      </c>
      <c r="EF252" t="s">
        <v>4066</v>
      </c>
      <c r="EG252">
        <v>33</v>
      </c>
      <c r="EH252" t="s">
        <v>4065</v>
      </c>
      <c r="EI252">
        <v>0.4</v>
      </c>
      <c r="EJ252">
        <v>1855</v>
      </c>
      <c r="EK252">
        <v>54</v>
      </c>
      <c r="EL252" t="s">
        <v>4362</v>
      </c>
      <c r="EM252">
        <v>12</v>
      </c>
      <c r="EN252">
        <v>0.5</v>
      </c>
      <c r="EO252">
        <v>0.77</v>
      </c>
      <c r="EP252">
        <v>1855.56</v>
      </c>
      <c r="EQ252">
        <v>27253.54</v>
      </c>
      <c r="ER252">
        <v>2616.18</v>
      </c>
      <c r="ES252">
        <v>0</v>
      </c>
      <c r="ET252">
        <v>0</v>
      </c>
      <c r="EU252">
        <v>1</v>
      </c>
      <c r="EV252">
        <v>29870</v>
      </c>
      <c r="EW252">
        <v>299</v>
      </c>
      <c r="EX252" t="s">
        <v>4287</v>
      </c>
      <c r="EY252">
        <v>184</v>
      </c>
      <c r="EZ252" t="s">
        <v>4055</v>
      </c>
      <c r="FA252">
        <v>5.8</v>
      </c>
      <c r="FB252">
        <v>1</v>
      </c>
      <c r="FC252">
        <v>1</v>
      </c>
      <c r="FD252">
        <v>1891</v>
      </c>
      <c r="FE252">
        <v>2245</v>
      </c>
      <c r="FF252" t="s">
        <v>4288</v>
      </c>
      <c r="FG252">
        <v>184</v>
      </c>
      <c r="FH252" t="s">
        <v>4055</v>
      </c>
      <c r="FI252">
        <v>3.3</v>
      </c>
      <c r="FJ252">
        <v>1891</v>
      </c>
      <c r="FK252">
        <v>1376</v>
      </c>
      <c r="FL252" t="s">
        <v>4069</v>
      </c>
      <c r="FM252" t="s">
        <v>4055</v>
      </c>
      <c r="FN252" t="s">
        <v>4055</v>
      </c>
      <c r="FO252" t="s">
        <v>4055</v>
      </c>
      <c r="FP252">
        <v>1891</v>
      </c>
      <c r="FQ252">
        <v>164</v>
      </c>
      <c r="FR252" t="s">
        <v>4090</v>
      </c>
      <c r="FS252">
        <v>188</v>
      </c>
      <c r="FT252" t="s">
        <v>4055</v>
      </c>
      <c r="FU252">
        <v>0.4</v>
      </c>
      <c r="FV252">
        <v>1891</v>
      </c>
      <c r="FW252">
        <v>158</v>
      </c>
      <c r="FX252" t="s">
        <v>4070</v>
      </c>
      <c r="FY252">
        <v>5</v>
      </c>
      <c r="FZ252" t="s">
        <v>4055</v>
      </c>
      <c r="GA252" t="s">
        <v>4055</v>
      </c>
      <c r="GB252">
        <v>1891</v>
      </c>
      <c r="GC252">
        <v>21</v>
      </c>
      <c r="GD252">
        <v>3964</v>
      </c>
      <c r="GE252" t="s">
        <v>4929</v>
      </c>
      <c r="GF252" t="s">
        <v>4055</v>
      </c>
      <c r="GG252" t="s">
        <v>4055</v>
      </c>
      <c r="GH252" t="s">
        <v>4055</v>
      </c>
      <c r="GI252" t="s">
        <v>4071</v>
      </c>
      <c r="GJ252" t="s">
        <v>4055</v>
      </c>
      <c r="GK252" t="s">
        <v>4055</v>
      </c>
      <c r="GL252" t="s">
        <v>4055</v>
      </c>
      <c r="GM252" t="s">
        <v>4055</v>
      </c>
      <c r="GQ252">
        <v>0</v>
      </c>
      <c r="GV252">
        <v>9.5</v>
      </c>
      <c r="GW252">
        <v>11.5</v>
      </c>
      <c r="GX252">
        <v>0.5</v>
      </c>
      <c r="GY252">
        <v>156</v>
      </c>
      <c r="GZ252">
        <v>3</v>
      </c>
      <c r="HA252">
        <v>204</v>
      </c>
      <c r="HB252">
        <v>3</v>
      </c>
      <c r="HC252">
        <v>1891</v>
      </c>
      <c r="HD252">
        <v>4</v>
      </c>
      <c r="HE252" t="s">
        <v>4071</v>
      </c>
      <c r="HG252" t="s">
        <v>549</v>
      </c>
      <c r="HL252">
        <v>4</v>
      </c>
      <c r="HM252">
        <v>15</v>
      </c>
      <c r="HN252">
        <v>6</v>
      </c>
      <c r="HO252">
        <v>1</v>
      </c>
      <c r="HP252">
        <v>0</v>
      </c>
      <c r="HQ252">
        <v>0</v>
      </c>
      <c r="HR252">
        <v>3</v>
      </c>
      <c r="HS252">
        <v>1845</v>
      </c>
      <c r="HT252">
        <v>5</v>
      </c>
      <c r="HU252">
        <v>1</v>
      </c>
      <c r="HV252">
        <v>5</v>
      </c>
      <c r="HW252">
        <v>0</v>
      </c>
      <c r="HX252">
        <v>1</v>
      </c>
      <c r="HY252">
        <v>0</v>
      </c>
      <c r="HZ252">
        <v>63</v>
      </c>
      <c r="IA252">
        <v>1848</v>
      </c>
      <c r="IB252">
        <v>1855</v>
      </c>
      <c r="ID252">
        <v>1891</v>
      </c>
      <c r="IE252">
        <v>1891</v>
      </c>
      <c r="IF252">
        <v>170</v>
      </c>
      <c r="IG252">
        <v>160</v>
      </c>
      <c r="IH252">
        <v>204</v>
      </c>
      <c r="II252">
        <v>1</v>
      </c>
      <c r="IJ252">
        <v>5</v>
      </c>
      <c r="IK252">
        <v>0</v>
      </c>
      <c r="IL252">
        <v>2</v>
      </c>
      <c r="IM252">
        <v>0</v>
      </c>
      <c r="IN252">
        <v>270</v>
      </c>
      <c r="IO252">
        <v>0</v>
      </c>
      <c r="IP252">
        <v>180</v>
      </c>
      <c r="IQ252">
        <v>0</v>
      </c>
      <c r="IR252">
        <v>330</v>
      </c>
      <c r="IS252">
        <v>0</v>
      </c>
      <c r="IT252">
        <v>90</v>
      </c>
      <c r="IU252">
        <v>0</v>
      </c>
      <c r="IV252">
        <v>6.4</v>
      </c>
      <c r="IW252">
        <v>-6</v>
      </c>
      <c r="IX252">
        <v>88</v>
      </c>
      <c r="IY252">
        <v>79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360</v>
      </c>
      <c r="JJ252">
        <v>332</v>
      </c>
      <c r="JK252">
        <v>230</v>
      </c>
      <c r="JL252">
        <v>330</v>
      </c>
      <c r="JM252">
        <v>240</v>
      </c>
      <c r="JN252">
        <v>170</v>
      </c>
      <c r="JO252">
        <v>214</v>
      </c>
      <c r="JP252">
        <v>220</v>
      </c>
      <c r="JQ252">
        <v>276</v>
      </c>
      <c r="JR252">
        <v>355</v>
      </c>
      <c r="JS252">
        <v>280</v>
      </c>
      <c r="JT252">
        <v>0</v>
      </c>
      <c r="JU252">
        <v>0</v>
      </c>
      <c r="JV252">
        <v>340</v>
      </c>
      <c r="JW252">
        <v>337</v>
      </c>
      <c r="JX252">
        <v>340</v>
      </c>
      <c r="JY252">
        <v>310</v>
      </c>
      <c r="JZ252">
        <v>1</v>
      </c>
      <c r="KA252">
        <v>0.2</v>
      </c>
      <c r="KB252">
        <v>0.4</v>
      </c>
      <c r="KC252">
        <v>0.42</v>
      </c>
      <c r="KD252">
        <v>0.28</v>
      </c>
      <c r="KE252">
        <v>0.5</v>
      </c>
      <c r="KF252">
        <v>0.19</v>
      </c>
      <c r="KG252">
        <v>0.1</v>
      </c>
      <c r="KH252">
        <v>3.5</v>
      </c>
      <c r="KI252">
        <v>1</v>
      </c>
      <c r="KJ252">
        <v>4.5</v>
      </c>
      <c r="KK252">
        <v>0</v>
      </c>
      <c r="KL252">
        <v>4.5</v>
      </c>
      <c r="KM252">
        <v>0</v>
      </c>
      <c r="KN252">
        <v>1.4</v>
      </c>
      <c r="KO252">
        <v>0</v>
      </c>
      <c r="KP252">
        <v>0</v>
      </c>
      <c r="KQ252">
        <v>1</v>
      </c>
      <c r="KR252">
        <v>1</v>
      </c>
      <c r="KS252">
        <v>0</v>
      </c>
      <c r="KT252">
        <v>2.1</v>
      </c>
      <c r="KU252">
        <v>0</v>
      </c>
      <c r="KV252">
        <v>0</v>
      </c>
      <c r="KW252">
        <v>1.2</v>
      </c>
      <c r="KX252">
        <v>2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3</v>
      </c>
      <c r="LI252">
        <v>2</v>
      </c>
      <c r="LJ252">
        <v>0</v>
      </c>
      <c r="LK252">
        <v>5</v>
      </c>
      <c r="LL252">
        <v>7</v>
      </c>
      <c r="LM252">
        <v>6</v>
      </c>
      <c r="LN252">
        <v>0.3</v>
      </c>
      <c r="LO252">
        <v>0.5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1.4</v>
      </c>
      <c r="LX252">
        <v>1.4</v>
      </c>
      <c r="LY252">
        <v>2.1</v>
      </c>
      <c r="LZ252">
        <v>2.1</v>
      </c>
      <c r="MA252">
        <v>0</v>
      </c>
      <c r="MB252">
        <v>0</v>
      </c>
      <c r="MC252">
        <v>0</v>
      </c>
      <c r="MD252">
        <v>4.5</v>
      </c>
      <c r="ME252">
        <v>6</v>
      </c>
      <c r="MF252">
        <v>6</v>
      </c>
      <c r="MI252">
        <v>0</v>
      </c>
      <c r="MJ252">
        <v>0</v>
      </c>
      <c r="ML252">
        <v>0</v>
      </c>
      <c r="MM252">
        <v>358</v>
      </c>
      <c r="MN252">
        <v>165</v>
      </c>
      <c r="MO252">
        <v>214</v>
      </c>
      <c r="NU252">
        <v>0.15</v>
      </c>
      <c r="NV252">
        <v>0.2</v>
      </c>
      <c r="NW252">
        <v>0.2</v>
      </c>
      <c r="NX252">
        <v>0.2</v>
      </c>
      <c r="NY252">
        <v>0.2</v>
      </c>
      <c r="NZ252">
        <v>0.2</v>
      </c>
      <c r="OE252" t="s">
        <v>4929</v>
      </c>
      <c r="OF252" t="s">
        <v>4927</v>
      </c>
      <c r="OG252" t="s">
        <v>4928</v>
      </c>
      <c r="OH252" t="s">
        <v>4353</v>
      </c>
      <c r="OI252" t="s">
        <v>4929</v>
      </c>
      <c r="OJ252" t="s">
        <v>4926</v>
      </c>
      <c r="OK252">
        <v>61</v>
      </c>
      <c r="OL252">
        <v>61</v>
      </c>
      <c r="OM252" t="s">
        <v>4927</v>
      </c>
      <c r="ON252">
        <v>3</v>
      </c>
      <c r="OO252">
        <v>1848</v>
      </c>
      <c r="OP252">
        <v>61</v>
      </c>
      <c r="OQ252">
        <v>61</v>
      </c>
      <c r="OR252" t="s">
        <v>4928</v>
      </c>
      <c r="OS252">
        <v>3</v>
      </c>
      <c r="OT252">
        <v>1855</v>
      </c>
      <c r="OU252">
        <v>65</v>
      </c>
      <c r="OV252">
        <v>65</v>
      </c>
      <c r="OW252" t="s">
        <v>4353</v>
      </c>
      <c r="OX252">
        <v>1</v>
      </c>
      <c r="OY252">
        <v>29870</v>
      </c>
      <c r="OZ252">
        <v>51</v>
      </c>
      <c r="PA252">
        <v>51</v>
      </c>
      <c r="PB252" t="s">
        <v>4929</v>
      </c>
      <c r="PC252">
        <v>2</v>
      </c>
      <c r="PD252">
        <v>1891</v>
      </c>
      <c r="PF252">
        <v>311</v>
      </c>
      <c r="PG252">
        <v>29</v>
      </c>
      <c r="PH252">
        <v>292</v>
      </c>
      <c r="PI252">
        <v>29</v>
      </c>
      <c r="PJ252">
        <v>86.5</v>
      </c>
      <c r="PK252">
        <v>2074</v>
      </c>
      <c r="PL252">
        <v>1187.4</v>
      </c>
      <c r="PM252">
        <v>727.6</v>
      </c>
      <c r="PN252">
        <v>83.59999999999999</v>
      </c>
      <c r="PO252">
        <v>11</v>
      </c>
      <c r="PP252">
        <v>10</v>
      </c>
      <c r="PQ252">
        <v>2</v>
      </c>
      <c r="PR252">
        <v>1</v>
      </c>
      <c r="PS252">
        <v>7</v>
      </c>
      <c r="PT252">
        <v>204</v>
      </c>
      <c r="PU252">
        <v>10</v>
      </c>
      <c r="PV252" t="s">
        <v>4072</v>
      </c>
      <c r="PW252" t="s">
        <v>4072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-1</v>
      </c>
      <c r="QF252">
        <v>1</v>
      </c>
      <c r="QG252">
        <v>0</v>
      </c>
      <c r="QH252">
        <v>5</v>
      </c>
      <c r="QI252">
        <v>5</v>
      </c>
      <c r="QJ252">
        <v>5</v>
      </c>
      <c r="QK252">
        <v>173</v>
      </c>
      <c r="QL252">
        <v>394</v>
      </c>
      <c r="QM252">
        <v>7.5</v>
      </c>
      <c r="QN252">
        <v>1204.3</v>
      </c>
      <c r="QO252" t="s">
        <v>3054</v>
      </c>
      <c r="QP252" t="s">
        <v>513</v>
      </c>
      <c r="QQ252">
        <v>0</v>
      </c>
      <c r="QR252" t="s">
        <v>540</v>
      </c>
      <c r="QS252">
        <v>30</v>
      </c>
      <c r="QT252">
        <v>40</v>
      </c>
    </row>
    <row r="253" spans="1:462">
      <c r="A253" t="s">
        <v>3170</v>
      </c>
      <c r="B253" t="s">
        <v>727</v>
      </c>
      <c r="C253" t="s">
        <v>509</v>
      </c>
      <c r="D253" t="s">
        <v>2828</v>
      </c>
      <c r="E253" t="s">
        <v>4036</v>
      </c>
      <c r="H253" t="s">
        <v>604</v>
      </c>
      <c r="I253" t="s">
        <v>605</v>
      </c>
      <c r="J253" t="s">
        <v>628</v>
      </c>
      <c r="K253" t="s">
        <v>606</v>
      </c>
      <c r="L253" t="s">
        <v>729</v>
      </c>
      <c r="M253" t="s">
        <v>512</v>
      </c>
      <c r="O253" t="s">
        <v>513</v>
      </c>
      <c r="P253" t="s">
        <v>517</v>
      </c>
      <c r="Q253" t="s">
        <v>806</v>
      </c>
      <c r="R253" t="s">
        <v>807</v>
      </c>
      <c r="S253" t="s">
        <v>4091</v>
      </c>
      <c r="T253" t="s">
        <v>520</v>
      </c>
      <c r="U253" t="s">
        <v>521</v>
      </c>
      <c r="V253" t="s">
        <v>2354</v>
      </c>
      <c r="W253" t="s">
        <v>3058</v>
      </c>
      <c r="X253" t="s">
        <v>3171</v>
      </c>
      <c r="Y253" t="s">
        <v>3172</v>
      </c>
      <c r="Z253" t="s">
        <v>541</v>
      </c>
      <c r="AA253" t="s">
        <v>4038</v>
      </c>
      <c r="AB253" t="s">
        <v>4930</v>
      </c>
      <c r="AC253">
        <v>13</v>
      </c>
      <c r="AD253" t="s">
        <v>3169</v>
      </c>
      <c r="AE253">
        <v>10</v>
      </c>
      <c r="AF253">
        <v>4523</v>
      </c>
      <c r="AG253" t="s">
        <v>4752</v>
      </c>
      <c r="AH253">
        <v>1</v>
      </c>
      <c r="AI253" t="s">
        <v>4041</v>
      </c>
      <c r="AK253" t="s">
        <v>4753</v>
      </c>
      <c r="AL253">
        <v>1</v>
      </c>
      <c r="AM253" t="s">
        <v>582</v>
      </c>
      <c r="AO253" t="s">
        <v>4426</v>
      </c>
      <c r="AP253">
        <v>1</v>
      </c>
      <c r="AR253" t="s">
        <v>4931</v>
      </c>
      <c r="AS253">
        <v>1</v>
      </c>
      <c r="AT253">
        <v>51</v>
      </c>
      <c r="AV253" t="s">
        <v>4078</v>
      </c>
      <c r="AW253">
        <v>6.4</v>
      </c>
      <c r="AX253">
        <v>-6</v>
      </c>
      <c r="AY253">
        <v>96</v>
      </c>
      <c r="AZ253">
        <v>67</v>
      </c>
      <c r="BH253">
        <v>96</v>
      </c>
      <c r="BI253">
        <v>29</v>
      </c>
      <c r="BJ253">
        <v>67</v>
      </c>
      <c r="BK253">
        <v>3.5</v>
      </c>
      <c r="BL253">
        <v>192</v>
      </c>
      <c r="BM253">
        <v>-6</v>
      </c>
      <c r="BN253">
        <v>0</v>
      </c>
      <c r="BP253">
        <v>0</v>
      </c>
      <c r="BR253">
        <v>185</v>
      </c>
      <c r="BS253">
        <v>175</v>
      </c>
      <c r="BT253">
        <v>2010</v>
      </c>
      <c r="BU253" t="s">
        <v>4096</v>
      </c>
      <c r="BV253" t="s">
        <v>4096</v>
      </c>
      <c r="BW253" t="s">
        <v>4097</v>
      </c>
      <c r="BX253" t="s">
        <v>4097</v>
      </c>
      <c r="BY253" t="s">
        <v>4098</v>
      </c>
      <c r="BZ253" t="s">
        <v>4050</v>
      </c>
      <c r="CA253" t="s">
        <v>4051</v>
      </c>
      <c r="CB253" t="s">
        <v>4052</v>
      </c>
      <c r="CC253" t="s">
        <v>4053</v>
      </c>
      <c r="CD253" t="s">
        <v>4054</v>
      </c>
      <c r="CE253" t="s">
        <v>4055</v>
      </c>
      <c r="CF253" t="s">
        <v>4055</v>
      </c>
      <c r="CG253" t="s">
        <v>4056</v>
      </c>
      <c r="CI253" t="s">
        <v>4058</v>
      </c>
      <c r="CJ253" t="s">
        <v>4059</v>
      </c>
      <c r="CK253" t="s">
        <v>4060</v>
      </c>
      <c r="CL253" t="s">
        <v>4061</v>
      </c>
      <c r="CM253" t="s">
        <v>4062</v>
      </c>
      <c r="CN253" t="s">
        <v>4055</v>
      </c>
      <c r="CO253" t="s">
        <v>4063</v>
      </c>
      <c r="CP253" t="s">
        <v>4055</v>
      </c>
      <c r="CQ253" t="s">
        <v>4055</v>
      </c>
      <c r="CR253">
        <v>5</v>
      </c>
      <c r="CS253" t="s">
        <v>4055</v>
      </c>
      <c r="CT253" t="s">
        <v>4055</v>
      </c>
      <c r="CU253" t="s">
        <v>4055</v>
      </c>
      <c r="CV253">
        <v>125</v>
      </c>
      <c r="CW253">
        <v>3</v>
      </c>
      <c r="CX253">
        <v>75</v>
      </c>
      <c r="CY253">
        <v>5</v>
      </c>
      <c r="CZ253">
        <v>143</v>
      </c>
      <c r="DA253">
        <v>5</v>
      </c>
      <c r="DB253">
        <v>11250</v>
      </c>
      <c r="DC253">
        <v>330</v>
      </c>
      <c r="DD253">
        <v>327</v>
      </c>
      <c r="DE253">
        <v>2118</v>
      </c>
      <c r="DF253">
        <v>2118</v>
      </c>
      <c r="DG253">
        <v>2132</v>
      </c>
      <c r="DH253" t="s">
        <v>4055</v>
      </c>
      <c r="DI253">
        <v>2136</v>
      </c>
      <c r="DJ253" t="s">
        <v>4132</v>
      </c>
      <c r="DK253">
        <v>185</v>
      </c>
      <c r="DL253" t="s">
        <v>4065</v>
      </c>
      <c r="DM253">
        <v>63</v>
      </c>
      <c r="DN253">
        <v>1.1</v>
      </c>
      <c r="DO253">
        <v>1</v>
      </c>
      <c r="DP253">
        <v>2013</v>
      </c>
      <c r="DQ253">
        <v>805</v>
      </c>
      <c r="DR253" t="s">
        <v>4132</v>
      </c>
      <c r="DS253">
        <v>175</v>
      </c>
      <c r="DT253" t="s">
        <v>4065</v>
      </c>
      <c r="DU253">
        <v>63</v>
      </c>
      <c r="DV253">
        <v>1.1</v>
      </c>
      <c r="DW253">
        <v>1</v>
      </c>
      <c r="DX253">
        <v>2025</v>
      </c>
      <c r="DY253">
        <v>767</v>
      </c>
      <c r="DZ253" t="s">
        <v>4066</v>
      </c>
      <c r="EA253">
        <v>20</v>
      </c>
      <c r="EB253" t="s">
        <v>4065</v>
      </c>
      <c r="EC253">
        <v>0.8</v>
      </c>
      <c r="ED253">
        <v>2013</v>
      </c>
      <c r="EE253">
        <v>70</v>
      </c>
      <c r="EG253">
        <v>0</v>
      </c>
      <c r="EH253" t="s">
        <v>4065</v>
      </c>
      <c r="EI253">
        <v>0</v>
      </c>
      <c r="EL253" t="s">
        <v>4429</v>
      </c>
      <c r="EM253">
        <v>12</v>
      </c>
      <c r="EN253">
        <v>0.5</v>
      </c>
      <c r="EO253">
        <v>0.9</v>
      </c>
      <c r="EP253">
        <v>2023.83</v>
      </c>
      <c r="EQ253">
        <v>32254.79</v>
      </c>
      <c r="ER253">
        <v>9196.1</v>
      </c>
      <c r="ES253">
        <v>0</v>
      </c>
      <c r="ET253">
        <v>0</v>
      </c>
      <c r="EU253">
        <v>1</v>
      </c>
      <c r="EV253">
        <v>41451</v>
      </c>
      <c r="EW253">
        <v>498</v>
      </c>
      <c r="EX253" t="s">
        <v>4287</v>
      </c>
      <c r="EY253">
        <v>212</v>
      </c>
      <c r="EZ253" t="s">
        <v>4055</v>
      </c>
      <c r="FA253">
        <v>5.7</v>
      </c>
      <c r="FB253">
        <v>1</v>
      </c>
      <c r="FC253">
        <v>1</v>
      </c>
      <c r="FD253">
        <v>2059</v>
      </c>
      <c r="FE253">
        <v>2572</v>
      </c>
      <c r="FF253" t="s">
        <v>4288</v>
      </c>
      <c r="FG253">
        <v>212</v>
      </c>
      <c r="FH253" t="s">
        <v>4055</v>
      </c>
      <c r="FI253">
        <v>3.2</v>
      </c>
      <c r="FJ253">
        <v>2059</v>
      </c>
      <c r="FK253">
        <v>1611</v>
      </c>
      <c r="FL253" t="s">
        <v>4069</v>
      </c>
      <c r="FM253" t="s">
        <v>4055</v>
      </c>
      <c r="FN253" t="s">
        <v>4055</v>
      </c>
      <c r="FO253" t="s">
        <v>4055</v>
      </c>
      <c r="FP253">
        <v>2059</v>
      </c>
      <c r="FQ253">
        <v>184</v>
      </c>
      <c r="FR253" t="s">
        <v>4090</v>
      </c>
      <c r="FS253">
        <v>216</v>
      </c>
      <c r="FT253" t="s">
        <v>4055</v>
      </c>
      <c r="FU253">
        <v>0.4</v>
      </c>
      <c r="FV253">
        <v>2059</v>
      </c>
      <c r="FW253">
        <v>198</v>
      </c>
      <c r="FX253" t="s">
        <v>4070</v>
      </c>
      <c r="FY253">
        <v>5</v>
      </c>
      <c r="FZ253" t="s">
        <v>4055</v>
      </c>
      <c r="GA253" t="s">
        <v>4055</v>
      </c>
      <c r="GB253">
        <v>2059</v>
      </c>
      <c r="GC253">
        <v>22</v>
      </c>
      <c r="GD253">
        <v>4587</v>
      </c>
      <c r="GE253" t="s">
        <v>4931</v>
      </c>
      <c r="GF253" t="s">
        <v>4055</v>
      </c>
      <c r="GG253" t="s">
        <v>4055</v>
      </c>
      <c r="GH253" t="s">
        <v>4055</v>
      </c>
      <c r="GI253" t="s">
        <v>4071</v>
      </c>
      <c r="GJ253" t="s">
        <v>4055</v>
      </c>
      <c r="GK253" t="s">
        <v>4055</v>
      </c>
      <c r="GL253" t="s">
        <v>4055</v>
      </c>
      <c r="GM253" t="s">
        <v>4055</v>
      </c>
      <c r="GQ253">
        <v>0</v>
      </c>
      <c r="GV253">
        <v>9.300000000000001</v>
      </c>
      <c r="GW253">
        <v>10.3</v>
      </c>
      <c r="GX253">
        <v>0.5</v>
      </c>
      <c r="GY253">
        <v>170</v>
      </c>
      <c r="GZ253">
        <v>3</v>
      </c>
      <c r="HA253">
        <v>232</v>
      </c>
      <c r="HB253">
        <v>3</v>
      </c>
      <c r="HC253">
        <v>2059</v>
      </c>
      <c r="HD253">
        <v>4</v>
      </c>
      <c r="HE253" t="s">
        <v>4071</v>
      </c>
      <c r="HG253" t="s">
        <v>549</v>
      </c>
      <c r="HL253">
        <v>4</v>
      </c>
      <c r="HM253">
        <v>16</v>
      </c>
      <c r="HN253">
        <v>6</v>
      </c>
      <c r="HO253">
        <v>1</v>
      </c>
      <c r="HP253">
        <v>0</v>
      </c>
      <c r="HQ253">
        <v>0</v>
      </c>
      <c r="HR253">
        <v>2</v>
      </c>
      <c r="HS253">
        <v>2010</v>
      </c>
      <c r="HT253">
        <v>5</v>
      </c>
      <c r="HU253">
        <v>1</v>
      </c>
      <c r="HV253">
        <v>5</v>
      </c>
      <c r="HW253">
        <v>0</v>
      </c>
      <c r="HX253">
        <v>1</v>
      </c>
      <c r="HY253">
        <v>0</v>
      </c>
      <c r="HZ253">
        <v>63</v>
      </c>
      <c r="IA253">
        <v>2013</v>
      </c>
      <c r="IB253">
        <v>2025</v>
      </c>
      <c r="ID253">
        <v>2059</v>
      </c>
      <c r="IE253">
        <v>2059</v>
      </c>
      <c r="IF253">
        <v>185</v>
      </c>
      <c r="IG253">
        <v>175</v>
      </c>
      <c r="IH253">
        <v>232</v>
      </c>
      <c r="II253">
        <v>1</v>
      </c>
      <c r="IJ253">
        <v>5</v>
      </c>
      <c r="IK253">
        <v>0</v>
      </c>
      <c r="IL253">
        <v>1</v>
      </c>
      <c r="IM253">
        <v>0</v>
      </c>
      <c r="IN253">
        <v>0</v>
      </c>
      <c r="IO253">
        <v>0</v>
      </c>
      <c r="IP253">
        <v>180</v>
      </c>
      <c r="IQ253">
        <v>0</v>
      </c>
      <c r="IR253">
        <v>330</v>
      </c>
      <c r="IS253">
        <v>0</v>
      </c>
      <c r="IT253">
        <v>90</v>
      </c>
      <c r="IU253">
        <v>0</v>
      </c>
      <c r="IV253">
        <v>6.4</v>
      </c>
      <c r="IW253">
        <v>-6</v>
      </c>
      <c r="IX253">
        <v>96</v>
      </c>
      <c r="IY253">
        <v>67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410</v>
      </c>
      <c r="JJ253">
        <v>382</v>
      </c>
      <c r="JK253">
        <v>260</v>
      </c>
      <c r="JL253">
        <v>380</v>
      </c>
      <c r="JM253">
        <v>280</v>
      </c>
      <c r="JN253">
        <v>185</v>
      </c>
      <c r="JO253">
        <v>240</v>
      </c>
      <c r="JP253">
        <v>215</v>
      </c>
      <c r="JQ253">
        <v>260</v>
      </c>
      <c r="JR253">
        <v>332</v>
      </c>
      <c r="JS253">
        <v>250</v>
      </c>
      <c r="JT253">
        <v>0</v>
      </c>
      <c r="JU253">
        <v>0</v>
      </c>
      <c r="JV253">
        <v>310</v>
      </c>
      <c r="JW253">
        <v>312</v>
      </c>
      <c r="JX253">
        <v>324</v>
      </c>
      <c r="JY253">
        <v>300</v>
      </c>
      <c r="JZ253">
        <v>1</v>
      </c>
      <c r="KA253">
        <v>0.2</v>
      </c>
      <c r="KB253">
        <v>0.4</v>
      </c>
      <c r="KC253">
        <v>0.42</v>
      </c>
      <c r="KD253">
        <v>0.28</v>
      </c>
      <c r="KE253">
        <v>0.5</v>
      </c>
      <c r="KF253">
        <v>0.17</v>
      </c>
      <c r="KG253">
        <v>0.1</v>
      </c>
      <c r="KH253">
        <v>3.5</v>
      </c>
      <c r="KI253">
        <v>1</v>
      </c>
      <c r="KJ253">
        <v>4.5</v>
      </c>
      <c r="KK253">
        <v>1</v>
      </c>
      <c r="KL253">
        <v>4.5</v>
      </c>
      <c r="KM253">
        <v>0</v>
      </c>
      <c r="KN253">
        <v>1.7</v>
      </c>
      <c r="KO253">
        <v>0</v>
      </c>
      <c r="KP253">
        <v>0</v>
      </c>
      <c r="KQ253">
        <v>1</v>
      </c>
      <c r="KR253">
        <v>1.2</v>
      </c>
      <c r="KS253">
        <v>0.2</v>
      </c>
      <c r="KT253">
        <v>2.7</v>
      </c>
      <c r="KU253">
        <v>0</v>
      </c>
      <c r="KV253">
        <v>0</v>
      </c>
      <c r="KW253">
        <v>1.2</v>
      </c>
      <c r="KX253">
        <v>2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3</v>
      </c>
      <c r="LI253">
        <v>0.5</v>
      </c>
      <c r="LJ253">
        <v>0</v>
      </c>
      <c r="LK253">
        <v>6</v>
      </c>
      <c r="LL253">
        <v>5.5</v>
      </c>
      <c r="LM253">
        <v>6.5</v>
      </c>
      <c r="LN253">
        <v>0.5</v>
      </c>
      <c r="LO253">
        <v>0.3</v>
      </c>
      <c r="LP253">
        <v>0</v>
      </c>
      <c r="LQ253">
        <v>0</v>
      </c>
      <c r="LR253">
        <v>0</v>
      </c>
      <c r="LS253">
        <v>1</v>
      </c>
      <c r="LT253">
        <v>0</v>
      </c>
      <c r="LU253">
        <v>0</v>
      </c>
      <c r="LV253">
        <v>0</v>
      </c>
      <c r="LW253">
        <v>1.6</v>
      </c>
      <c r="LX253">
        <v>1.6</v>
      </c>
      <c r="LY253">
        <v>2.2</v>
      </c>
      <c r="LZ253">
        <v>2.2</v>
      </c>
      <c r="MA253">
        <v>0</v>
      </c>
      <c r="MB253">
        <v>4</v>
      </c>
      <c r="MC253">
        <v>0</v>
      </c>
      <c r="MD253">
        <v>6.5</v>
      </c>
      <c r="ME253">
        <v>8</v>
      </c>
      <c r="MF253">
        <v>8</v>
      </c>
      <c r="MI253">
        <v>0</v>
      </c>
      <c r="MJ253">
        <v>0</v>
      </c>
      <c r="ML253">
        <v>0</v>
      </c>
      <c r="MM253">
        <v>440</v>
      </c>
      <c r="MN253">
        <v>180</v>
      </c>
      <c r="MO253">
        <v>242</v>
      </c>
      <c r="NU253">
        <v>0.15</v>
      </c>
      <c r="NV253">
        <v>0.2</v>
      </c>
      <c r="NW253">
        <v>0.2</v>
      </c>
      <c r="NX253">
        <v>2</v>
      </c>
      <c r="NY253">
        <v>2</v>
      </c>
      <c r="NZ253">
        <v>2</v>
      </c>
      <c r="OE253" t="s">
        <v>4931</v>
      </c>
      <c r="OF253" t="s">
        <v>4752</v>
      </c>
      <c r="OG253" t="s">
        <v>4753</v>
      </c>
      <c r="OH253" t="s">
        <v>4426</v>
      </c>
      <c r="OI253" t="s">
        <v>4931</v>
      </c>
      <c r="OJ253" t="s">
        <v>4930</v>
      </c>
      <c r="OK253">
        <v>61</v>
      </c>
      <c r="OL253">
        <v>61</v>
      </c>
      <c r="OM253" t="s">
        <v>4752</v>
      </c>
      <c r="ON253">
        <v>1</v>
      </c>
      <c r="OO253">
        <v>2013</v>
      </c>
      <c r="OP253">
        <v>61</v>
      </c>
      <c r="OQ253">
        <v>61</v>
      </c>
      <c r="OR253" t="s">
        <v>4753</v>
      </c>
      <c r="OS253">
        <v>1</v>
      </c>
      <c r="OT253">
        <v>2025</v>
      </c>
      <c r="OU253">
        <v>65</v>
      </c>
      <c r="OV253">
        <v>65</v>
      </c>
      <c r="OW253" t="s">
        <v>4426</v>
      </c>
      <c r="OX253">
        <v>1</v>
      </c>
      <c r="OY253">
        <v>41451</v>
      </c>
      <c r="OZ253">
        <v>51</v>
      </c>
      <c r="PA253">
        <v>51</v>
      </c>
      <c r="PB253" t="s">
        <v>4931</v>
      </c>
      <c r="PC253">
        <v>3</v>
      </c>
      <c r="PD253">
        <v>2059</v>
      </c>
      <c r="PF253">
        <v>400</v>
      </c>
      <c r="PG253">
        <v>35</v>
      </c>
      <c r="PH253">
        <v>379</v>
      </c>
      <c r="PI253">
        <v>0</v>
      </c>
      <c r="PJ253">
        <v>89.40000000000001</v>
      </c>
      <c r="PK253">
        <v>2203</v>
      </c>
      <c r="PL253">
        <v>1249.2</v>
      </c>
      <c r="PM253">
        <v>782.3</v>
      </c>
      <c r="PN253">
        <v>96.09999999999999</v>
      </c>
      <c r="PO253">
        <v>10.8</v>
      </c>
      <c r="PP253">
        <v>12</v>
      </c>
      <c r="PQ253">
        <v>3</v>
      </c>
      <c r="PR253">
        <v>3</v>
      </c>
      <c r="PS253">
        <v>0</v>
      </c>
      <c r="PT253">
        <v>232</v>
      </c>
      <c r="PU253">
        <v>10</v>
      </c>
      <c r="PV253" t="s">
        <v>4072</v>
      </c>
      <c r="PW253" t="s">
        <v>4072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-1</v>
      </c>
      <c r="QF253">
        <v>1</v>
      </c>
      <c r="QG253">
        <v>0</v>
      </c>
      <c r="QH253">
        <v>5</v>
      </c>
      <c r="QI253">
        <v>5</v>
      </c>
      <c r="QJ253">
        <v>5</v>
      </c>
      <c r="QK253">
        <v>197</v>
      </c>
      <c r="QL253">
        <v>442</v>
      </c>
      <c r="QM253">
        <v>7.5</v>
      </c>
      <c r="QN253">
        <v>1284.1</v>
      </c>
      <c r="QO253" t="s">
        <v>3054</v>
      </c>
      <c r="QP253" t="s">
        <v>513</v>
      </c>
      <c r="QQ253">
        <v>0</v>
      </c>
      <c r="QR253" t="s">
        <v>540</v>
      </c>
      <c r="QS253">
        <v>30</v>
      </c>
      <c r="QT253">
        <v>40</v>
      </c>
    </row>
    <row r="254" spans="1:462">
      <c r="A254" t="s">
        <v>3177</v>
      </c>
      <c r="B254" t="s">
        <v>564</v>
      </c>
      <c r="C254" t="s">
        <v>509</v>
      </c>
      <c r="D254" t="s">
        <v>3176</v>
      </c>
      <c r="E254" t="s">
        <v>4036</v>
      </c>
      <c r="H254" t="s">
        <v>604</v>
      </c>
      <c r="J254" t="s">
        <v>628</v>
      </c>
      <c r="K254" t="s">
        <v>606</v>
      </c>
      <c r="L254" t="s">
        <v>629</v>
      </c>
      <c r="M254" t="s">
        <v>512</v>
      </c>
      <c r="O254" t="s">
        <v>513</v>
      </c>
      <c r="P254" t="s">
        <v>517</v>
      </c>
      <c r="Q254" t="s">
        <v>1201</v>
      </c>
      <c r="R254" t="s">
        <v>807</v>
      </c>
      <c r="S254" t="s">
        <v>4091</v>
      </c>
      <c r="T254" t="s">
        <v>633</v>
      </c>
      <c r="U254" t="s">
        <v>634</v>
      </c>
      <c r="V254" t="s">
        <v>1283</v>
      </c>
      <c r="W254" t="s">
        <v>3058</v>
      </c>
      <c r="X254" t="s">
        <v>3178</v>
      </c>
      <c r="Y254" t="s">
        <v>3179</v>
      </c>
      <c r="Z254" t="s">
        <v>541</v>
      </c>
      <c r="AA254" t="s">
        <v>4038</v>
      </c>
      <c r="AB254" t="s">
        <v>4932</v>
      </c>
      <c r="AC254">
        <v>12</v>
      </c>
      <c r="AD254" t="s">
        <v>3175</v>
      </c>
      <c r="AE254">
        <v>5</v>
      </c>
      <c r="AF254">
        <v>4992</v>
      </c>
      <c r="AG254" t="s">
        <v>4933</v>
      </c>
      <c r="AH254">
        <v>1</v>
      </c>
      <c r="AI254" t="s">
        <v>4041</v>
      </c>
      <c r="AK254" t="s">
        <v>4934</v>
      </c>
      <c r="AL254">
        <v>1</v>
      </c>
      <c r="AM254" t="s">
        <v>582</v>
      </c>
      <c r="AO254" t="s">
        <v>4426</v>
      </c>
      <c r="AP254">
        <v>1</v>
      </c>
      <c r="AR254" t="s">
        <v>4935</v>
      </c>
      <c r="AS254">
        <v>1</v>
      </c>
      <c r="AT254">
        <v>51</v>
      </c>
      <c r="AV254" t="s">
        <v>4078</v>
      </c>
      <c r="AW254">
        <v>6.4</v>
      </c>
      <c r="AX254">
        <v>-6</v>
      </c>
      <c r="AY254">
        <v>91</v>
      </c>
      <c r="AZ254">
        <v>65</v>
      </c>
      <c r="BH254">
        <v>91</v>
      </c>
      <c r="BI254">
        <v>26</v>
      </c>
      <c r="BJ254">
        <v>65</v>
      </c>
      <c r="BK254">
        <v>3.5</v>
      </c>
      <c r="BL254">
        <v>182</v>
      </c>
      <c r="BM254">
        <v>-6</v>
      </c>
      <c r="BN254">
        <v>0</v>
      </c>
      <c r="BP254">
        <v>0</v>
      </c>
      <c r="BR254">
        <v>175</v>
      </c>
      <c r="BS254">
        <v>165</v>
      </c>
      <c r="BT254">
        <v>2095</v>
      </c>
      <c r="BU254" t="s">
        <v>4127</v>
      </c>
      <c r="BV254" t="s">
        <v>4127</v>
      </c>
      <c r="BW254" t="s">
        <v>4128</v>
      </c>
      <c r="BX254" t="s">
        <v>4128</v>
      </c>
      <c r="BY254" t="s">
        <v>4173</v>
      </c>
      <c r="BZ254" t="s">
        <v>4173</v>
      </c>
      <c r="CA254" t="s">
        <v>4108</v>
      </c>
      <c r="CB254" t="s">
        <v>4109</v>
      </c>
      <c r="CC254" t="s">
        <v>4053</v>
      </c>
      <c r="CD254" t="s">
        <v>4110</v>
      </c>
      <c r="CE254" t="s">
        <v>4055</v>
      </c>
      <c r="CF254" t="s">
        <v>4055</v>
      </c>
      <c r="CG254" t="s">
        <v>4056</v>
      </c>
      <c r="CI254" t="s">
        <v>4058</v>
      </c>
      <c r="CJ254" t="s">
        <v>4059</v>
      </c>
      <c r="CK254" t="s">
        <v>4060</v>
      </c>
      <c r="CL254" t="s">
        <v>4061</v>
      </c>
      <c r="CM254" t="s">
        <v>4062</v>
      </c>
      <c r="CN254" t="s">
        <v>4055</v>
      </c>
      <c r="CO254" t="s">
        <v>4063</v>
      </c>
      <c r="CP254" t="s">
        <v>4055</v>
      </c>
      <c r="CQ254" t="s">
        <v>4055</v>
      </c>
      <c r="CR254">
        <v>5</v>
      </c>
      <c r="CS254" t="s">
        <v>4055</v>
      </c>
      <c r="CT254" t="s">
        <v>4055</v>
      </c>
      <c r="CU254" t="s">
        <v>4055</v>
      </c>
      <c r="CV254">
        <v>123</v>
      </c>
      <c r="CW254">
        <v>3</v>
      </c>
      <c r="CX254">
        <v>73</v>
      </c>
      <c r="CY254">
        <v>5</v>
      </c>
      <c r="CZ254">
        <v>143</v>
      </c>
      <c r="DA254">
        <v>5</v>
      </c>
      <c r="DB254">
        <v>12070</v>
      </c>
      <c r="DC254">
        <v>200</v>
      </c>
      <c r="DD254">
        <v>332</v>
      </c>
      <c r="DE254">
        <v>2202</v>
      </c>
      <c r="DF254">
        <v>2202</v>
      </c>
      <c r="DG254">
        <v>2214</v>
      </c>
      <c r="DH254" t="s">
        <v>4055</v>
      </c>
      <c r="DI254" t="s">
        <v>4055</v>
      </c>
      <c r="DJ254" t="s">
        <v>4064</v>
      </c>
      <c r="DK254">
        <v>175</v>
      </c>
      <c r="DL254" t="s">
        <v>4065</v>
      </c>
      <c r="DM254">
        <v>61</v>
      </c>
      <c r="DN254">
        <v>1.2</v>
      </c>
      <c r="DO254">
        <v>1</v>
      </c>
      <c r="DP254">
        <v>2099</v>
      </c>
      <c r="DQ254">
        <v>844</v>
      </c>
      <c r="DR254" t="s">
        <v>4064</v>
      </c>
      <c r="DS254">
        <v>165</v>
      </c>
      <c r="DT254" t="s">
        <v>4065</v>
      </c>
      <c r="DU254">
        <v>61</v>
      </c>
      <c r="DV254">
        <v>1.2</v>
      </c>
      <c r="DW254">
        <v>1</v>
      </c>
      <c r="DX254">
        <v>2111</v>
      </c>
      <c r="DY254">
        <v>800</v>
      </c>
      <c r="DZ254" t="s">
        <v>4066</v>
      </c>
      <c r="EA254">
        <v>20</v>
      </c>
      <c r="EB254" t="s">
        <v>4065</v>
      </c>
      <c r="EC254">
        <v>0.8</v>
      </c>
      <c r="ED254">
        <v>2099</v>
      </c>
      <c r="EE254">
        <v>73</v>
      </c>
      <c r="EG254">
        <v>0</v>
      </c>
      <c r="EH254" t="s">
        <v>4065</v>
      </c>
      <c r="EI254">
        <v>0</v>
      </c>
      <c r="EL254" t="s">
        <v>4429</v>
      </c>
      <c r="EM254">
        <v>12</v>
      </c>
      <c r="EN254">
        <v>0.5</v>
      </c>
      <c r="EO254">
        <v>0.9</v>
      </c>
      <c r="EP254">
        <v>2110.08</v>
      </c>
      <c r="EQ254">
        <v>31980.9</v>
      </c>
      <c r="ER254">
        <v>8595.17</v>
      </c>
      <c r="ES254">
        <v>0</v>
      </c>
      <c r="ET254">
        <v>0</v>
      </c>
      <c r="EU254">
        <v>1</v>
      </c>
      <c r="EV254">
        <v>40577</v>
      </c>
      <c r="EW254">
        <v>487</v>
      </c>
      <c r="EX254" t="s">
        <v>4287</v>
      </c>
      <c r="EY254">
        <v>212</v>
      </c>
      <c r="EZ254" t="s">
        <v>4055</v>
      </c>
      <c r="FA254">
        <v>4</v>
      </c>
      <c r="FB254">
        <v>1</v>
      </c>
      <c r="FC254">
        <v>1</v>
      </c>
      <c r="FD254">
        <v>2145</v>
      </c>
      <c r="FE254">
        <v>2080</v>
      </c>
      <c r="FF254" t="s">
        <v>4288</v>
      </c>
      <c r="FG254">
        <v>212</v>
      </c>
      <c r="FH254" t="s">
        <v>4055</v>
      </c>
      <c r="FI254">
        <v>4.8</v>
      </c>
      <c r="FJ254">
        <v>2145</v>
      </c>
      <c r="FK254">
        <v>2383</v>
      </c>
      <c r="FL254" t="s">
        <v>4069</v>
      </c>
      <c r="FM254" t="s">
        <v>4055</v>
      </c>
      <c r="FN254" t="s">
        <v>4055</v>
      </c>
      <c r="FO254" t="s">
        <v>4055</v>
      </c>
      <c r="FP254">
        <v>2145</v>
      </c>
      <c r="FQ254">
        <v>174</v>
      </c>
      <c r="FR254" t="s">
        <v>4090</v>
      </c>
      <c r="FS254">
        <v>216</v>
      </c>
      <c r="FT254" t="s">
        <v>4055</v>
      </c>
      <c r="FU254">
        <v>0.4</v>
      </c>
      <c r="FV254">
        <v>2145</v>
      </c>
      <c r="FW254">
        <v>206</v>
      </c>
      <c r="FX254" t="s">
        <v>4070</v>
      </c>
      <c r="FY254">
        <v>5</v>
      </c>
      <c r="FZ254" t="s">
        <v>4055</v>
      </c>
      <c r="GA254" t="s">
        <v>4055</v>
      </c>
      <c r="GB254">
        <v>2145</v>
      </c>
      <c r="GC254">
        <v>23</v>
      </c>
      <c r="GD254">
        <v>4866</v>
      </c>
      <c r="GE254" t="s">
        <v>4935</v>
      </c>
      <c r="GF254" t="s">
        <v>4055</v>
      </c>
      <c r="GG254" t="s">
        <v>4055</v>
      </c>
      <c r="GH254" t="s">
        <v>4055</v>
      </c>
      <c r="GI254" t="s">
        <v>4071</v>
      </c>
      <c r="GJ254" t="s">
        <v>4055</v>
      </c>
      <c r="GK254" t="s">
        <v>4055</v>
      </c>
      <c r="GL254" t="s">
        <v>4055</v>
      </c>
      <c r="GM254" t="s">
        <v>4055</v>
      </c>
      <c r="GQ254">
        <v>0</v>
      </c>
      <c r="GV254">
        <v>9.199999999999999</v>
      </c>
      <c r="GW254">
        <v>11.1</v>
      </c>
      <c r="GX254">
        <v>0.5</v>
      </c>
      <c r="GY254">
        <v>166</v>
      </c>
      <c r="GZ254">
        <v>3</v>
      </c>
      <c r="HA254">
        <v>232</v>
      </c>
      <c r="HB254">
        <v>3</v>
      </c>
      <c r="HC254">
        <v>2145</v>
      </c>
      <c r="HD254">
        <v>4</v>
      </c>
      <c r="HE254" t="s">
        <v>4071</v>
      </c>
      <c r="HG254" t="s">
        <v>549</v>
      </c>
      <c r="HL254">
        <v>4</v>
      </c>
      <c r="HM254">
        <v>17</v>
      </c>
      <c r="HN254">
        <v>6</v>
      </c>
      <c r="HO254">
        <v>1</v>
      </c>
      <c r="HP254">
        <v>0</v>
      </c>
      <c r="HQ254">
        <v>0</v>
      </c>
      <c r="HR254">
        <v>3</v>
      </c>
      <c r="HS254">
        <v>2095</v>
      </c>
      <c r="HT254">
        <v>5</v>
      </c>
      <c r="HU254">
        <v>1</v>
      </c>
      <c r="HV254">
        <v>5</v>
      </c>
      <c r="HW254">
        <v>0</v>
      </c>
      <c r="HX254">
        <v>1</v>
      </c>
      <c r="HY254">
        <v>0</v>
      </c>
      <c r="HZ254">
        <v>61</v>
      </c>
      <c r="IA254">
        <v>2099</v>
      </c>
      <c r="IB254">
        <v>2111</v>
      </c>
      <c r="ID254">
        <v>2145</v>
      </c>
      <c r="IE254">
        <v>2145</v>
      </c>
      <c r="IF254">
        <v>175</v>
      </c>
      <c r="IG254">
        <v>165</v>
      </c>
      <c r="IH254">
        <v>232</v>
      </c>
      <c r="II254">
        <v>1</v>
      </c>
      <c r="IJ254">
        <v>5</v>
      </c>
      <c r="IK254">
        <v>0</v>
      </c>
      <c r="IL254">
        <v>1</v>
      </c>
      <c r="IM254">
        <v>0</v>
      </c>
      <c r="IN254">
        <v>270</v>
      </c>
      <c r="IO254">
        <v>0</v>
      </c>
      <c r="IP254">
        <v>180</v>
      </c>
      <c r="IQ254">
        <v>0</v>
      </c>
      <c r="IR254">
        <v>330</v>
      </c>
      <c r="IS254">
        <v>0</v>
      </c>
      <c r="IT254">
        <v>90</v>
      </c>
      <c r="IU254">
        <v>0</v>
      </c>
      <c r="IV254">
        <v>6.4</v>
      </c>
      <c r="IW254">
        <v>-6</v>
      </c>
      <c r="IX254">
        <v>91</v>
      </c>
      <c r="IY254">
        <v>65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408</v>
      </c>
      <c r="JJ254">
        <v>378</v>
      </c>
      <c r="JK254">
        <v>268</v>
      </c>
      <c r="JL254">
        <v>376</v>
      </c>
      <c r="JM254">
        <v>300</v>
      </c>
      <c r="JN254">
        <v>170</v>
      </c>
      <c r="JO254">
        <v>242</v>
      </c>
      <c r="JP254">
        <v>175</v>
      </c>
      <c r="JQ254">
        <v>240</v>
      </c>
      <c r="JR254">
        <v>335</v>
      </c>
      <c r="JS254">
        <v>245</v>
      </c>
      <c r="JT254">
        <v>0</v>
      </c>
      <c r="JU254">
        <v>0</v>
      </c>
      <c r="JV254">
        <v>332</v>
      </c>
      <c r="JW254">
        <v>337</v>
      </c>
      <c r="JX254">
        <v>330</v>
      </c>
      <c r="JY254">
        <v>300</v>
      </c>
      <c r="JZ254">
        <v>0.5</v>
      </c>
      <c r="KA254">
        <v>0.2</v>
      </c>
      <c r="KB254">
        <v>0.4</v>
      </c>
      <c r="KC254">
        <v>0.42</v>
      </c>
      <c r="KD254">
        <v>0.28</v>
      </c>
      <c r="KE254">
        <v>0.5</v>
      </c>
      <c r="KF254">
        <v>0.16</v>
      </c>
      <c r="KG254">
        <v>0.1</v>
      </c>
      <c r="KH254">
        <v>3.5</v>
      </c>
      <c r="KI254">
        <v>1</v>
      </c>
      <c r="KJ254">
        <v>4.5</v>
      </c>
      <c r="KK254">
        <v>0</v>
      </c>
      <c r="KL254">
        <v>4.5</v>
      </c>
      <c r="KM254">
        <v>0</v>
      </c>
      <c r="KN254">
        <v>1.5</v>
      </c>
      <c r="KO254">
        <v>0</v>
      </c>
      <c r="KP254">
        <v>0</v>
      </c>
      <c r="KQ254">
        <v>0.7</v>
      </c>
      <c r="KR254">
        <v>1.5</v>
      </c>
      <c r="KS254">
        <v>0</v>
      </c>
      <c r="KT254">
        <v>2.4</v>
      </c>
      <c r="KU254">
        <v>0</v>
      </c>
      <c r="KV254">
        <v>0</v>
      </c>
      <c r="KW254">
        <v>0</v>
      </c>
      <c r="KX254">
        <v>0.8</v>
      </c>
      <c r="KY254">
        <v>1.5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3</v>
      </c>
      <c r="LI254">
        <v>0.5</v>
      </c>
      <c r="LJ254">
        <v>0</v>
      </c>
      <c r="LK254">
        <v>4.5</v>
      </c>
      <c r="LL254">
        <v>6</v>
      </c>
      <c r="LM254">
        <v>7.5</v>
      </c>
      <c r="LN254">
        <v>0.1</v>
      </c>
      <c r="LO254">
        <v>0.1</v>
      </c>
      <c r="LP254">
        <v>0</v>
      </c>
      <c r="LQ254">
        <v>0</v>
      </c>
      <c r="LR254">
        <v>0</v>
      </c>
      <c r="LS254">
        <v>1</v>
      </c>
      <c r="LT254">
        <v>0</v>
      </c>
      <c r="LU254">
        <v>0</v>
      </c>
      <c r="LV254">
        <v>0</v>
      </c>
      <c r="LW254">
        <v>2.1</v>
      </c>
      <c r="LX254">
        <v>2.1</v>
      </c>
      <c r="LY254">
        <v>2.1</v>
      </c>
      <c r="LZ254">
        <v>2.1</v>
      </c>
      <c r="MA254">
        <v>0</v>
      </c>
      <c r="MB254">
        <v>3</v>
      </c>
      <c r="MC254">
        <v>1</v>
      </c>
      <c r="MD254">
        <v>4.5</v>
      </c>
      <c r="ME254">
        <v>6</v>
      </c>
      <c r="MF254">
        <v>6</v>
      </c>
      <c r="MG254">
        <v>0</v>
      </c>
      <c r="MH254">
        <v>0</v>
      </c>
      <c r="MI254">
        <v>0</v>
      </c>
      <c r="MJ254">
        <v>0</v>
      </c>
      <c r="MK254">
        <v>0</v>
      </c>
      <c r="MM254">
        <v>440</v>
      </c>
      <c r="MN254">
        <v>170</v>
      </c>
      <c r="MO254">
        <v>242</v>
      </c>
      <c r="NU254">
        <v>0.15</v>
      </c>
      <c r="NV254">
        <v>0.2</v>
      </c>
      <c r="NW254">
        <v>0.2</v>
      </c>
      <c r="NX254">
        <v>0.2</v>
      </c>
      <c r="NY254">
        <v>0.2</v>
      </c>
      <c r="NZ254">
        <v>0.2</v>
      </c>
      <c r="OE254" t="s">
        <v>4935</v>
      </c>
      <c r="OF254" t="s">
        <v>4933</v>
      </c>
      <c r="OG254" t="s">
        <v>4934</v>
      </c>
      <c r="OH254" t="s">
        <v>4426</v>
      </c>
      <c r="OI254" t="s">
        <v>4935</v>
      </c>
      <c r="OJ254" t="s">
        <v>4932</v>
      </c>
      <c r="OK254">
        <v>61</v>
      </c>
      <c r="OL254">
        <v>61</v>
      </c>
      <c r="OM254" t="s">
        <v>4933</v>
      </c>
      <c r="ON254">
        <v>2</v>
      </c>
      <c r="OO254">
        <v>2099</v>
      </c>
      <c r="OP254">
        <v>61</v>
      </c>
      <c r="OQ254">
        <v>61</v>
      </c>
      <c r="OR254" t="s">
        <v>4934</v>
      </c>
      <c r="OS254">
        <v>2</v>
      </c>
      <c r="OT254">
        <v>2111</v>
      </c>
      <c r="OU254">
        <v>65</v>
      </c>
      <c r="OV254">
        <v>65</v>
      </c>
      <c r="OW254" t="s">
        <v>4426</v>
      </c>
      <c r="OX254">
        <v>1</v>
      </c>
      <c r="OY254">
        <v>40577</v>
      </c>
      <c r="OZ254">
        <v>51</v>
      </c>
      <c r="PA254">
        <v>51</v>
      </c>
      <c r="PB254" t="s">
        <v>4935</v>
      </c>
      <c r="PC254">
        <v>2</v>
      </c>
      <c r="PD254">
        <v>2145</v>
      </c>
      <c r="PF254">
        <v>402</v>
      </c>
      <c r="PG254">
        <v>35</v>
      </c>
      <c r="PH254">
        <v>379</v>
      </c>
      <c r="PI254">
        <v>0</v>
      </c>
      <c r="PJ254">
        <v>80.90000000000001</v>
      </c>
      <c r="PK254">
        <v>2240</v>
      </c>
      <c r="PL254">
        <v>969.8</v>
      </c>
      <c r="PM254">
        <v>1111.1</v>
      </c>
      <c r="PN254">
        <v>96.09999999999999</v>
      </c>
      <c r="PO254">
        <v>10.7</v>
      </c>
      <c r="PP254">
        <v>12</v>
      </c>
      <c r="PQ254">
        <v>5</v>
      </c>
      <c r="PR254">
        <v>5</v>
      </c>
      <c r="PS254">
        <v>0</v>
      </c>
      <c r="PT254">
        <v>232</v>
      </c>
      <c r="PU254">
        <v>10</v>
      </c>
      <c r="PV254" t="s">
        <v>4072</v>
      </c>
      <c r="PW254" t="s">
        <v>4072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-1</v>
      </c>
      <c r="QF254">
        <v>1</v>
      </c>
      <c r="QG254">
        <v>0</v>
      </c>
      <c r="QH254">
        <v>5</v>
      </c>
      <c r="QI254">
        <v>5</v>
      </c>
      <c r="QJ254">
        <v>5</v>
      </c>
      <c r="QK254">
        <v>198</v>
      </c>
      <c r="QL254">
        <v>442</v>
      </c>
      <c r="QM254">
        <v>7.5</v>
      </c>
      <c r="QN254">
        <v>1379.8</v>
      </c>
      <c r="QO254" t="s">
        <v>3054</v>
      </c>
      <c r="QP254" t="s">
        <v>513</v>
      </c>
      <c r="QQ254">
        <v>0</v>
      </c>
      <c r="QR254" t="s">
        <v>540</v>
      </c>
    </row>
    <row r="255" spans="1:462">
      <c r="A255" t="s">
        <v>3184</v>
      </c>
      <c r="B255" t="s">
        <v>559</v>
      </c>
      <c r="C255" t="s">
        <v>509</v>
      </c>
      <c r="D255" t="s">
        <v>3129</v>
      </c>
      <c r="E255" t="s">
        <v>4036</v>
      </c>
      <c r="H255" t="s">
        <v>604</v>
      </c>
      <c r="J255" t="s">
        <v>628</v>
      </c>
      <c r="K255" t="s">
        <v>606</v>
      </c>
      <c r="L255" t="s">
        <v>564</v>
      </c>
      <c r="M255" t="s">
        <v>512</v>
      </c>
      <c r="O255" t="s">
        <v>513</v>
      </c>
      <c r="P255" t="s">
        <v>517</v>
      </c>
      <c r="Q255" t="s">
        <v>835</v>
      </c>
      <c r="R255" t="s">
        <v>685</v>
      </c>
      <c r="S255" t="s">
        <v>4037</v>
      </c>
      <c r="T255" t="s">
        <v>662</v>
      </c>
      <c r="U255" t="s">
        <v>663</v>
      </c>
      <c r="V255" t="s">
        <v>2577</v>
      </c>
      <c r="W255" t="s">
        <v>3058</v>
      </c>
      <c r="X255" t="s">
        <v>3185</v>
      </c>
      <c r="Y255" t="s">
        <v>3186</v>
      </c>
      <c r="Z255" t="s">
        <v>541</v>
      </c>
      <c r="AA255" t="s">
        <v>582</v>
      </c>
      <c r="AB255" t="s">
        <v>4936</v>
      </c>
      <c r="AC255">
        <v>14</v>
      </c>
      <c r="AD255" t="s">
        <v>3183</v>
      </c>
      <c r="AE255">
        <v>6</v>
      </c>
      <c r="AF255">
        <v>5178</v>
      </c>
      <c r="AG255" t="s">
        <v>4937</v>
      </c>
      <c r="AH255">
        <v>1</v>
      </c>
      <c r="AI255" t="s">
        <v>4041</v>
      </c>
      <c r="AK255" t="s">
        <v>4938</v>
      </c>
      <c r="AL255">
        <v>1</v>
      </c>
      <c r="AM255" t="s">
        <v>582</v>
      </c>
      <c r="AO255" t="s">
        <v>4043</v>
      </c>
      <c r="AP255">
        <v>1</v>
      </c>
      <c r="AR255" t="s">
        <v>4939</v>
      </c>
      <c r="AS255">
        <v>1</v>
      </c>
      <c r="AT255">
        <v>51</v>
      </c>
      <c r="AV255" t="s">
        <v>4045</v>
      </c>
      <c r="AW255">
        <v>6.4</v>
      </c>
      <c r="AX255">
        <v>-6</v>
      </c>
      <c r="AY255">
        <v>103.5</v>
      </c>
      <c r="AZ255">
        <v>94.5</v>
      </c>
      <c r="BA255">
        <v>0</v>
      </c>
      <c r="BB255">
        <v>0</v>
      </c>
      <c r="BC255">
        <v>0</v>
      </c>
      <c r="BH255">
        <v>103.5</v>
      </c>
      <c r="BI255">
        <v>9</v>
      </c>
      <c r="BJ255">
        <v>94.5</v>
      </c>
      <c r="BK255">
        <v>3.5</v>
      </c>
      <c r="BL255">
        <v>207</v>
      </c>
      <c r="BM255">
        <v>-6</v>
      </c>
      <c r="BN255">
        <v>0</v>
      </c>
      <c r="BP255">
        <v>0</v>
      </c>
      <c r="BR255">
        <v>200</v>
      </c>
      <c r="BS255">
        <v>190</v>
      </c>
      <c r="BT255">
        <v>2065</v>
      </c>
      <c r="BU255" t="s">
        <v>4127</v>
      </c>
      <c r="BV255" t="s">
        <v>4127</v>
      </c>
      <c r="BW255" t="s">
        <v>4128</v>
      </c>
      <c r="BX255" t="s">
        <v>4128</v>
      </c>
      <c r="BY255" t="s">
        <v>4117</v>
      </c>
      <c r="BZ255" t="s">
        <v>4117</v>
      </c>
      <c r="CA255" t="s">
        <v>4118</v>
      </c>
      <c r="CB255" t="s">
        <v>4119</v>
      </c>
      <c r="CC255" t="s">
        <v>4053</v>
      </c>
      <c r="CD255" t="s">
        <v>4121</v>
      </c>
      <c r="CE255" t="s">
        <v>4055</v>
      </c>
      <c r="CF255" t="s">
        <v>4055</v>
      </c>
      <c r="CG255" t="s">
        <v>4056</v>
      </c>
      <c r="CI255" t="s">
        <v>4058</v>
      </c>
      <c r="CJ255" t="s">
        <v>4059</v>
      </c>
      <c r="CK255" t="s">
        <v>4060</v>
      </c>
      <c r="CL255" t="s">
        <v>4061</v>
      </c>
      <c r="CM255" t="s">
        <v>4055</v>
      </c>
      <c r="CN255" t="s">
        <v>4062</v>
      </c>
      <c r="CO255" t="s">
        <v>4063</v>
      </c>
      <c r="CP255" t="s">
        <v>4055</v>
      </c>
      <c r="CQ255" t="s">
        <v>4055</v>
      </c>
      <c r="CR255">
        <v>5</v>
      </c>
      <c r="CS255" t="s">
        <v>4055</v>
      </c>
      <c r="CT255">
        <v>15</v>
      </c>
      <c r="CU255" t="s">
        <v>4055</v>
      </c>
      <c r="CV255">
        <v>130</v>
      </c>
      <c r="CW255">
        <v>3</v>
      </c>
      <c r="CX255">
        <v>85</v>
      </c>
      <c r="CY255">
        <v>5</v>
      </c>
      <c r="CZ255">
        <v>70</v>
      </c>
      <c r="DA255">
        <v>5</v>
      </c>
      <c r="DB255">
        <v>13260</v>
      </c>
      <c r="DC255">
        <v>390</v>
      </c>
      <c r="DD255">
        <v>350</v>
      </c>
      <c r="DE255">
        <v>2192</v>
      </c>
      <c r="DF255">
        <v>2192</v>
      </c>
      <c r="DG255">
        <v>2214</v>
      </c>
      <c r="DH255" t="s">
        <v>4055</v>
      </c>
      <c r="DJ255" t="s">
        <v>4064</v>
      </c>
      <c r="DK255">
        <v>200</v>
      </c>
      <c r="DL255" t="s">
        <v>4065</v>
      </c>
      <c r="DM255">
        <v>63</v>
      </c>
      <c r="DN255">
        <v>1.2</v>
      </c>
      <c r="DO255">
        <v>1</v>
      </c>
      <c r="DP255">
        <v>2069</v>
      </c>
      <c r="DQ255">
        <v>950</v>
      </c>
      <c r="DR255" t="s">
        <v>4064</v>
      </c>
      <c r="DS255">
        <v>190</v>
      </c>
      <c r="DT255" t="s">
        <v>4065</v>
      </c>
      <c r="DU255">
        <v>63</v>
      </c>
      <c r="DV255">
        <v>1.2</v>
      </c>
      <c r="DW255">
        <v>1</v>
      </c>
      <c r="DX255">
        <v>2081</v>
      </c>
      <c r="DY255">
        <v>907</v>
      </c>
      <c r="DZ255" t="s">
        <v>4066</v>
      </c>
      <c r="EA255">
        <v>20</v>
      </c>
      <c r="EB255" t="s">
        <v>4065</v>
      </c>
      <c r="EC255">
        <v>0.8</v>
      </c>
      <c r="ED255">
        <v>2069</v>
      </c>
      <c r="EE255">
        <v>72</v>
      </c>
      <c r="EG255">
        <v>0</v>
      </c>
      <c r="EH255" t="s">
        <v>4065</v>
      </c>
      <c r="EI255">
        <v>0</v>
      </c>
      <c r="EL255" t="s">
        <v>1528</v>
      </c>
      <c r="EM255">
        <v>12</v>
      </c>
      <c r="EN255">
        <v>0.5</v>
      </c>
      <c r="EO255">
        <v>0.96</v>
      </c>
      <c r="EP255">
        <v>2080.08</v>
      </c>
      <c r="EQ255">
        <v>35588.87</v>
      </c>
      <c r="ER255">
        <v>2933.59</v>
      </c>
      <c r="ES255">
        <v>0</v>
      </c>
      <c r="ET255">
        <v>0</v>
      </c>
      <c r="EU255">
        <v>1</v>
      </c>
      <c r="EV255">
        <v>38523</v>
      </c>
      <c r="EW255">
        <v>463</v>
      </c>
      <c r="EX255" t="s">
        <v>4287</v>
      </c>
      <c r="EY255">
        <v>224</v>
      </c>
      <c r="EZ255" t="s">
        <v>4055</v>
      </c>
      <c r="FA255">
        <v>5.5</v>
      </c>
      <c r="FB255">
        <v>1</v>
      </c>
      <c r="FC255">
        <v>1</v>
      </c>
      <c r="FD255">
        <v>2118</v>
      </c>
      <c r="FE255">
        <v>3037</v>
      </c>
      <c r="FF255" t="s">
        <v>4288</v>
      </c>
      <c r="FG255">
        <v>224</v>
      </c>
      <c r="FH255" t="s">
        <v>4055</v>
      </c>
      <c r="FI255">
        <v>4.1</v>
      </c>
      <c r="FJ255">
        <v>2118</v>
      </c>
      <c r="FK255">
        <v>2202</v>
      </c>
      <c r="FL255" t="s">
        <v>4069</v>
      </c>
      <c r="FM255" t="s">
        <v>4055</v>
      </c>
      <c r="FN255" t="s">
        <v>4055</v>
      </c>
      <c r="FO255" t="s">
        <v>4055</v>
      </c>
      <c r="FP255">
        <v>2118</v>
      </c>
      <c r="FQ255">
        <v>202</v>
      </c>
      <c r="FR255" t="s">
        <v>4090</v>
      </c>
      <c r="FS255">
        <v>228</v>
      </c>
      <c r="FT255" t="s">
        <v>4055</v>
      </c>
      <c r="FU255">
        <v>0.4</v>
      </c>
      <c r="FV255">
        <v>2118</v>
      </c>
      <c r="FW255">
        <v>215</v>
      </c>
      <c r="FX255" t="s">
        <v>4070</v>
      </c>
      <c r="FY255">
        <v>5</v>
      </c>
      <c r="FZ255" t="s">
        <v>4055</v>
      </c>
      <c r="GA255" t="s">
        <v>4055</v>
      </c>
      <c r="GB255">
        <v>2118</v>
      </c>
      <c r="GC255">
        <v>25</v>
      </c>
      <c r="GD255">
        <v>5681</v>
      </c>
      <c r="GE255" t="s">
        <v>4939</v>
      </c>
      <c r="GF255" t="s">
        <v>4055</v>
      </c>
      <c r="GG255" t="s">
        <v>4055</v>
      </c>
      <c r="GH255" t="s">
        <v>4055</v>
      </c>
      <c r="GI255" t="s">
        <v>4071</v>
      </c>
      <c r="GJ255" t="s">
        <v>4055</v>
      </c>
      <c r="GK255" t="s">
        <v>4055</v>
      </c>
      <c r="GL255" t="s">
        <v>4055</v>
      </c>
      <c r="GM255" t="s">
        <v>4055</v>
      </c>
      <c r="GQ255">
        <v>0</v>
      </c>
      <c r="GV255">
        <v>10</v>
      </c>
      <c r="GW255">
        <v>11.8</v>
      </c>
      <c r="GX255">
        <v>0.5</v>
      </c>
      <c r="GY255">
        <v>202</v>
      </c>
      <c r="GZ255">
        <v>3</v>
      </c>
      <c r="HA255">
        <v>242</v>
      </c>
      <c r="HB255">
        <v>3</v>
      </c>
      <c r="HC255">
        <v>2118</v>
      </c>
      <c r="HD255">
        <v>4</v>
      </c>
      <c r="HE255" t="s">
        <v>4071</v>
      </c>
      <c r="HG255" t="s">
        <v>549</v>
      </c>
      <c r="HL255">
        <v>4</v>
      </c>
      <c r="HM255">
        <v>18</v>
      </c>
      <c r="HN255">
        <v>6</v>
      </c>
      <c r="HO255">
        <v>1</v>
      </c>
      <c r="HP255">
        <v>0</v>
      </c>
      <c r="HQ255">
        <v>2</v>
      </c>
      <c r="HR255">
        <v>2</v>
      </c>
      <c r="HS255">
        <v>2065</v>
      </c>
      <c r="HT255">
        <v>5</v>
      </c>
      <c r="HU255">
        <v>1</v>
      </c>
      <c r="HV255">
        <v>0</v>
      </c>
      <c r="HW255">
        <v>0</v>
      </c>
      <c r="HX255">
        <v>1</v>
      </c>
      <c r="HY255">
        <v>0</v>
      </c>
      <c r="HZ255">
        <v>63</v>
      </c>
      <c r="IA255">
        <v>2069</v>
      </c>
      <c r="IB255">
        <v>2081</v>
      </c>
      <c r="ID255">
        <v>2118</v>
      </c>
      <c r="IE255">
        <v>2118</v>
      </c>
      <c r="IF255">
        <v>200</v>
      </c>
      <c r="IG255">
        <v>190</v>
      </c>
      <c r="IH255">
        <v>242</v>
      </c>
      <c r="II255">
        <v>1</v>
      </c>
      <c r="IJ255">
        <v>5</v>
      </c>
      <c r="IK255">
        <v>0</v>
      </c>
      <c r="IL255">
        <v>0</v>
      </c>
      <c r="IM255">
        <v>0</v>
      </c>
      <c r="IN255">
        <v>270</v>
      </c>
      <c r="IO255">
        <v>0</v>
      </c>
      <c r="IP255">
        <v>180</v>
      </c>
      <c r="IQ255">
        <v>0</v>
      </c>
      <c r="IR255">
        <v>330</v>
      </c>
      <c r="IS255">
        <v>0</v>
      </c>
      <c r="IT255">
        <v>90</v>
      </c>
      <c r="IU255">
        <v>0</v>
      </c>
      <c r="IV255">
        <v>6.4</v>
      </c>
      <c r="IW255">
        <v>-6</v>
      </c>
      <c r="IX255">
        <v>103.5</v>
      </c>
      <c r="IY255">
        <v>94.5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392</v>
      </c>
      <c r="JJ255">
        <v>362</v>
      </c>
      <c r="JK255">
        <v>296</v>
      </c>
      <c r="JL255">
        <v>360</v>
      </c>
      <c r="JM255">
        <v>296</v>
      </c>
      <c r="JN255">
        <v>210</v>
      </c>
      <c r="JO255">
        <v>260</v>
      </c>
      <c r="JP255">
        <v>240</v>
      </c>
      <c r="JQ255">
        <v>255</v>
      </c>
      <c r="JR255">
        <v>325</v>
      </c>
      <c r="JS255">
        <v>235</v>
      </c>
      <c r="JT255">
        <v>0</v>
      </c>
      <c r="JU255">
        <v>0</v>
      </c>
      <c r="JV255">
        <v>295</v>
      </c>
      <c r="JW255">
        <v>337</v>
      </c>
      <c r="JX255">
        <v>305</v>
      </c>
      <c r="JY255">
        <v>295</v>
      </c>
      <c r="JZ255">
        <v>0.5</v>
      </c>
      <c r="KA255">
        <v>0.2</v>
      </c>
      <c r="KB255">
        <v>0.45</v>
      </c>
      <c r="KC255">
        <v>0.47</v>
      </c>
      <c r="KD255">
        <v>0.3</v>
      </c>
      <c r="KE255">
        <v>0.7</v>
      </c>
      <c r="KF255">
        <v>0.16</v>
      </c>
      <c r="KG255">
        <v>0.11</v>
      </c>
      <c r="KH255">
        <v>6</v>
      </c>
      <c r="KI255">
        <v>1</v>
      </c>
      <c r="KJ255">
        <v>5</v>
      </c>
      <c r="KK255">
        <v>0</v>
      </c>
      <c r="KL255">
        <v>5</v>
      </c>
      <c r="KM255">
        <v>1.5</v>
      </c>
      <c r="KN255">
        <v>1.7</v>
      </c>
      <c r="KO255">
        <v>0</v>
      </c>
      <c r="KP255">
        <v>0</v>
      </c>
      <c r="KQ255">
        <v>1</v>
      </c>
      <c r="KR255">
        <v>0.8</v>
      </c>
      <c r="KS255">
        <v>0</v>
      </c>
      <c r="KT255">
        <v>2.8</v>
      </c>
      <c r="KU255">
        <v>0</v>
      </c>
      <c r="KV255">
        <v>0</v>
      </c>
      <c r="KW255">
        <v>1.6</v>
      </c>
      <c r="KX255">
        <v>2</v>
      </c>
      <c r="KY255">
        <v>1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0.5</v>
      </c>
      <c r="LJ255">
        <v>0</v>
      </c>
      <c r="LK255">
        <v>10</v>
      </c>
      <c r="LL255">
        <v>2</v>
      </c>
      <c r="LM255">
        <v>9</v>
      </c>
      <c r="LN255">
        <v>0.5</v>
      </c>
      <c r="LO255">
        <v>5</v>
      </c>
      <c r="LP255">
        <v>0</v>
      </c>
      <c r="LQ255">
        <v>0</v>
      </c>
      <c r="LR255">
        <v>0</v>
      </c>
      <c r="LS255">
        <v>1</v>
      </c>
      <c r="LT255">
        <v>0</v>
      </c>
      <c r="LU255">
        <v>0</v>
      </c>
      <c r="LV255">
        <v>0</v>
      </c>
      <c r="LW255">
        <v>2.8</v>
      </c>
      <c r="LX255">
        <v>2.8</v>
      </c>
      <c r="LY255">
        <v>2.1</v>
      </c>
      <c r="LZ255">
        <v>2.1</v>
      </c>
      <c r="MA255">
        <v>0</v>
      </c>
      <c r="MB255">
        <v>12</v>
      </c>
      <c r="MC255">
        <v>0</v>
      </c>
      <c r="MD255">
        <v>4.5</v>
      </c>
      <c r="ME255">
        <v>6</v>
      </c>
      <c r="MF255">
        <v>6</v>
      </c>
      <c r="MI255">
        <v>0</v>
      </c>
      <c r="MJ255">
        <v>0</v>
      </c>
      <c r="MM255">
        <v>440</v>
      </c>
      <c r="MN255">
        <v>195</v>
      </c>
      <c r="MO255">
        <v>252</v>
      </c>
      <c r="NU255">
        <v>0.15</v>
      </c>
      <c r="NV255">
        <v>0.2</v>
      </c>
      <c r="NW255">
        <v>0.2</v>
      </c>
      <c r="NX255">
        <v>0.2</v>
      </c>
      <c r="NY255">
        <v>0.2</v>
      </c>
      <c r="NZ255">
        <v>0.2</v>
      </c>
      <c r="OE255" t="s">
        <v>4939</v>
      </c>
      <c r="OF255" t="s">
        <v>4937</v>
      </c>
      <c r="OG255" t="s">
        <v>4938</v>
      </c>
      <c r="OH255" t="s">
        <v>4043</v>
      </c>
      <c r="OI255" t="s">
        <v>4939</v>
      </c>
      <c r="OJ255" t="s">
        <v>4936</v>
      </c>
      <c r="OK255">
        <v>61</v>
      </c>
      <c r="OL255">
        <v>61</v>
      </c>
      <c r="OM255" t="s">
        <v>4937</v>
      </c>
      <c r="ON255">
        <v>1</v>
      </c>
      <c r="OO255">
        <v>2069</v>
      </c>
      <c r="OP255">
        <v>61</v>
      </c>
      <c r="OQ255">
        <v>61</v>
      </c>
      <c r="OR255" t="s">
        <v>4938</v>
      </c>
      <c r="OS255">
        <v>1</v>
      </c>
      <c r="OT255">
        <v>2081</v>
      </c>
      <c r="OU255">
        <v>65</v>
      </c>
      <c r="OV255">
        <v>65</v>
      </c>
      <c r="OW255" t="s">
        <v>4043</v>
      </c>
      <c r="OX255">
        <v>1</v>
      </c>
      <c r="OY255">
        <v>38523</v>
      </c>
      <c r="OZ255">
        <v>51</v>
      </c>
      <c r="PA255">
        <v>51</v>
      </c>
      <c r="PB255" t="s">
        <v>4939</v>
      </c>
      <c r="PC255">
        <v>2</v>
      </c>
      <c r="PD255">
        <v>2118</v>
      </c>
      <c r="PF255">
        <v>459</v>
      </c>
      <c r="PG255">
        <v>35</v>
      </c>
      <c r="PH255">
        <v>436</v>
      </c>
      <c r="PI255">
        <v>0</v>
      </c>
      <c r="PJ255">
        <v>95.59999999999999</v>
      </c>
      <c r="PK255">
        <v>2688</v>
      </c>
      <c r="PL255">
        <v>1433.9</v>
      </c>
      <c r="PM255">
        <v>1039.5</v>
      </c>
      <c r="PN255">
        <v>101.4</v>
      </c>
      <c r="PO255">
        <v>11.6</v>
      </c>
      <c r="PP255">
        <v>12</v>
      </c>
      <c r="PQ255">
        <v>3</v>
      </c>
      <c r="PR255">
        <v>5</v>
      </c>
      <c r="PS255">
        <v>0</v>
      </c>
      <c r="PT255">
        <v>242</v>
      </c>
      <c r="PU255">
        <v>9</v>
      </c>
      <c r="PV255" t="s">
        <v>4072</v>
      </c>
      <c r="PW255" t="s">
        <v>4072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-1</v>
      </c>
      <c r="QF255">
        <v>1</v>
      </c>
      <c r="QG255">
        <v>0</v>
      </c>
      <c r="QH255">
        <v>5</v>
      </c>
      <c r="QI255">
        <v>5</v>
      </c>
      <c r="QJ255">
        <v>5</v>
      </c>
      <c r="QK255">
        <v>190</v>
      </c>
      <c r="QL255">
        <v>426</v>
      </c>
      <c r="QM255">
        <v>7.5</v>
      </c>
      <c r="QN255">
        <v>1459.5</v>
      </c>
      <c r="QO255" t="s">
        <v>3054</v>
      </c>
      <c r="QP255" t="s">
        <v>513</v>
      </c>
      <c r="QQ255">
        <v>0</v>
      </c>
      <c r="QR255" t="s">
        <v>1496</v>
      </c>
      <c r="QS255">
        <v>30</v>
      </c>
      <c r="QT255">
        <v>40</v>
      </c>
    </row>
    <row r="256" spans="1:462">
      <c r="A256" t="s">
        <v>3193</v>
      </c>
      <c r="B256" t="s">
        <v>897</v>
      </c>
      <c r="C256" t="s">
        <v>509</v>
      </c>
      <c r="D256" t="s">
        <v>2370</v>
      </c>
      <c r="E256" t="s">
        <v>4036</v>
      </c>
      <c r="H256" t="s">
        <v>604</v>
      </c>
      <c r="J256" t="s">
        <v>628</v>
      </c>
      <c r="K256" t="s">
        <v>606</v>
      </c>
      <c r="L256" t="s">
        <v>657</v>
      </c>
      <c r="M256" t="s">
        <v>512</v>
      </c>
      <c r="O256" t="s">
        <v>513</v>
      </c>
      <c r="P256" t="s">
        <v>517</v>
      </c>
      <c r="Q256" t="s">
        <v>774</v>
      </c>
      <c r="R256" t="s">
        <v>661</v>
      </c>
      <c r="S256" t="s">
        <v>4037</v>
      </c>
      <c r="T256" t="s">
        <v>686</v>
      </c>
      <c r="U256" t="s">
        <v>687</v>
      </c>
      <c r="V256" t="s">
        <v>2443</v>
      </c>
      <c r="W256" t="s">
        <v>3048</v>
      </c>
      <c r="X256" t="s">
        <v>3194</v>
      </c>
      <c r="Y256" t="s">
        <v>3195</v>
      </c>
      <c r="Z256" t="s">
        <v>650</v>
      </c>
      <c r="AA256" t="s">
        <v>4038</v>
      </c>
      <c r="AB256" t="s">
        <v>4940</v>
      </c>
      <c r="AC256">
        <v>13</v>
      </c>
      <c r="AD256" t="s">
        <v>3192</v>
      </c>
      <c r="AE256">
        <v>8</v>
      </c>
      <c r="AF256">
        <v>4916</v>
      </c>
      <c r="AG256" t="s">
        <v>4500</v>
      </c>
      <c r="AH256">
        <v>1</v>
      </c>
      <c r="AI256" t="s">
        <v>4041</v>
      </c>
      <c r="AK256" t="s">
        <v>4501</v>
      </c>
      <c r="AL256">
        <v>1</v>
      </c>
      <c r="AM256" t="s">
        <v>582</v>
      </c>
      <c r="AO256" t="s">
        <v>4353</v>
      </c>
      <c r="AP256">
        <v>1</v>
      </c>
      <c r="AR256" t="s">
        <v>4941</v>
      </c>
      <c r="AS256">
        <v>1</v>
      </c>
      <c r="AT256">
        <v>51</v>
      </c>
      <c r="AV256" t="s">
        <v>4078</v>
      </c>
      <c r="AW256">
        <v>6.4</v>
      </c>
      <c r="AX256">
        <v>-6</v>
      </c>
      <c r="AY256">
        <v>98</v>
      </c>
      <c r="AZ256">
        <v>70</v>
      </c>
      <c r="BH256">
        <v>98</v>
      </c>
      <c r="BI256">
        <v>28</v>
      </c>
      <c r="BJ256">
        <v>70</v>
      </c>
      <c r="BK256">
        <v>3</v>
      </c>
      <c r="BL256">
        <v>196</v>
      </c>
      <c r="BM256">
        <v>-6</v>
      </c>
      <c r="BN256">
        <v>0</v>
      </c>
      <c r="BP256">
        <v>0</v>
      </c>
      <c r="BR256">
        <v>190</v>
      </c>
      <c r="BS256">
        <v>180</v>
      </c>
      <c r="BT256">
        <v>2140</v>
      </c>
      <c r="BU256" t="s">
        <v>4127</v>
      </c>
      <c r="BV256" t="s">
        <v>4127</v>
      </c>
      <c r="BW256" t="s">
        <v>4128</v>
      </c>
      <c r="BX256" t="s">
        <v>4128</v>
      </c>
      <c r="BY256" t="s">
        <v>4160</v>
      </c>
      <c r="BZ256" t="s">
        <v>4160</v>
      </c>
      <c r="CA256" t="s">
        <v>4130</v>
      </c>
      <c r="CB256" t="s">
        <v>4131</v>
      </c>
      <c r="CC256" t="s">
        <v>4053</v>
      </c>
      <c r="CD256" t="s">
        <v>4055</v>
      </c>
      <c r="CE256" t="s">
        <v>4055</v>
      </c>
      <c r="CF256" t="s">
        <v>4055</v>
      </c>
      <c r="CG256" t="s">
        <v>4056</v>
      </c>
      <c r="CI256" t="s">
        <v>4086</v>
      </c>
      <c r="CJ256" t="s">
        <v>4059</v>
      </c>
      <c r="CK256" t="s">
        <v>4060</v>
      </c>
      <c r="CL256" t="s">
        <v>4061</v>
      </c>
      <c r="CM256" t="s">
        <v>4062</v>
      </c>
      <c r="CN256" t="s">
        <v>4055</v>
      </c>
      <c r="CO256" t="s">
        <v>4063</v>
      </c>
      <c r="CP256" t="s">
        <v>4055</v>
      </c>
      <c r="CQ256" t="s">
        <v>4055</v>
      </c>
      <c r="CR256">
        <v>5</v>
      </c>
      <c r="CS256" t="s">
        <v>4055</v>
      </c>
      <c r="CT256" t="s">
        <v>4055</v>
      </c>
      <c r="CU256" t="s">
        <v>4055</v>
      </c>
      <c r="CV256">
        <v>126</v>
      </c>
      <c r="CW256">
        <v>3</v>
      </c>
      <c r="CX256">
        <v>108</v>
      </c>
      <c r="CY256">
        <v>5</v>
      </c>
      <c r="CZ256">
        <v>142</v>
      </c>
      <c r="DA256">
        <v>5</v>
      </c>
      <c r="DB256">
        <v>12280</v>
      </c>
      <c r="DC256">
        <v>360</v>
      </c>
      <c r="DD256">
        <v>330</v>
      </c>
      <c r="DE256">
        <v>2258</v>
      </c>
      <c r="DF256">
        <v>2258</v>
      </c>
      <c r="DG256">
        <v>2270</v>
      </c>
      <c r="DH256">
        <v>1</v>
      </c>
      <c r="DI256" t="s">
        <v>4055</v>
      </c>
      <c r="DJ256" t="s">
        <v>4100</v>
      </c>
      <c r="DK256">
        <v>190</v>
      </c>
      <c r="DL256" t="s">
        <v>4101</v>
      </c>
      <c r="DM256">
        <v>63</v>
      </c>
      <c r="DN256">
        <v>0.84</v>
      </c>
      <c r="DO256">
        <v>1</v>
      </c>
      <c r="DP256">
        <v>2143</v>
      </c>
      <c r="DQ256">
        <v>744</v>
      </c>
      <c r="DR256" t="s">
        <v>4100</v>
      </c>
      <c r="DS256">
        <v>180</v>
      </c>
      <c r="DT256" t="s">
        <v>4101</v>
      </c>
      <c r="DU256">
        <v>63</v>
      </c>
      <c r="DV256">
        <v>0.84</v>
      </c>
      <c r="DW256">
        <v>1</v>
      </c>
      <c r="DX256">
        <v>2150</v>
      </c>
      <c r="DY256">
        <v>707</v>
      </c>
      <c r="DZ256" t="s">
        <v>4066</v>
      </c>
      <c r="EA256">
        <v>33</v>
      </c>
      <c r="EB256" t="s">
        <v>4065</v>
      </c>
      <c r="EC256">
        <v>0.4</v>
      </c>
      <c r="ED256">
        <v>2143</v>
      </c>
      <c r="EE256">
        <v>62</v>
      </c>
      <c r="EF256" t="s">
        <v>4066</v>
      </c>
      <c r="EG256">
        <v>33</v>
      </c>
      <c r="EH256" t="s">
        <v>4065</v>
      </c>
      <c r="EI256">
        <v>0.4</v>
      </c>
      <c r="EJ256">
        <v>2150</v>
      </c>
      <c r="EK256">
        <v>62</v>
      </c>
      <c r="EL256" t="s">
        <v>4362</v>
      </c>
      <c r="EM256">
        <v>12</v>
      </c>
      <c r="EN256">
        <v>0.5</v>
      </c>
      <c r="EO256">
        <v>0.77</v>
      </c>
      <c r="EP256">
        <v>2150.56</v>
      </c>
      <c r="EQ256">
        <v>34946.6</v>
      </c>
      <c r="ER256">
        <v>9429.870000000001</v>
      </c>
      <c r="ES256">
        <v>0</v>
      </c>
      <c r="ET256">
        <v>0</v>
      </c>
      <c r="EU256">
        <v>1</v>
      </c>
      <c r="EV256">
        <v>44377</v>
      </c>
      <c r="EW256">
        <v>444</v>
      </c>
      <c r="EX256" t="s">
        <v>4287</v>
      </c>
      <c r="EY256">
        <v>212</v>
      </c>
      <c r="EZ256" t="s">
        <v>4055</v>
      </c>
      <c r="FA256">
        <v>4.9</v>
      </c>
      <c r="FB256">
        <v>1</v>
      </c>
      <c r="FC256">
        <v>1</v>
      </c>
      <c r="FD256">
        <v>2185</v>
      </c>
      <c r="FE256">
        <v>2650</v>
      </c>
      <c r="FF256" t="s">
        <v>4288</v>
      </c>
      <c r="FG256">
        <v>212</v>
      </c>
      <c r="FH256" t="s">
        <v>4055</v>
      </c>
      <c r="FI256">
        <v>4</v>
      </c>
      <c r="FJ256">
        <v>2185</v>
      </c>
      <c r="FK256">
        <v>2229</v>
      </c>
      <c r="FL256" t="s">
        <v>4069</v>
      </c>
      <c r="FM256" t="s">
        <v>4055</v>
      </c>
      <c r="FN256" t="s">
        <v>4055</v>
      </c>
      <c r="FO256" t="s">
        <v>4055</v>
      </c>
      <c r="FP256">
        <v>2185</v>
      </c>
      <c r="FQ256">
        <v>229</v>
      </c>
      <c r="FR256" t="s">
        <v>4090</v>
      </c>
      <c r="FS256">
        <v>216</v>
      </c>
      <c r="FT256" t="s">
        <v>4055</v>
      </c>
      <c r="FU256">
        <v>0.4</v>
      </c>
      <c r="FV256">
        <v>2185</v>
      </c>
      <c r="FW256">
        <v>210</v>
      </c>
      <c r="FX256" t="s">
        <v>4070</v>
      </c>
      <c r="FY256">
        <v>5</v>
      </c>
      <c r="FZ256" t="s">
        <v>4055</v>
      </c>
      <c r="GA256" t="s">
        <v>4055</v>
      </c>
      <c r="GB256">
        <v>2185</v>
      </c>
      <c r="GC256">
        <v>24</v>
      </c>
      <c r="GD256">
        <v>5342</v>
      </c>
      <c r="GE256" t="s">
        <v>4941</v>
      </c>
      <c r="GF256" t="s">
        <v>4055</v>
      </c>
      <c r="GG256" t="s">
        <v>4055</v>
      </c>
      <c r="GH256" t="s">
        <v>4055</v>
      </c>
      <c r="GI256" t="s">
        <v>4071</v>
      </c>
      <c r="GJ256" t="s">
        <v>4055</v>
      </c>
      <c r="GK256" t="s">
        <v>4055</v>
      </c>
      <c r="GL256" t="s">
        <v>4055</v>
      </c>
      <c r="GM256" t="s">
        <v>4055</v>
      </c>
      <c r="GQ256">
        <v>0</v>
      </c>
      <c r="GV256">
        <v>9.300000000000001</v>
      </c>
      <c r="GW256">
        <v>11.6</v>
      </c>
      <c r="GX256">
        <v>0.5</v>
      </c>
      <c r="GY256">
        <v>186</v>
      </c>
      <c r="GZ256">
        <v>3</v>
      </c>
      <c r="HA256">
        <v>236</v>
      </c>
      <c r="HB256">
        <v>3</v>
      </c>
      <c r="HC256">
        <v>2185</v>
      </c>
      <c r="HD256">
        <v>4</v>
      </c>
      <c r="HE256" t="s">
        <v>4071</v>
      </c>
      <c r="HG256" t="s">
        <v>549</v>
      </c>
      <c r="HL256">
        <v>4</v>
      </c>
      <c r="HM256">
        <v>19</v>
      </c>
      <c r="HN256">
        <v>1</v>
      </c>
      <c r="HO256">
        <v>1</v>
      </c>
      <c r="HP256">
        <v>0</v>
      </c>
      <c r="HQ256">
        <v>0</v>
      </c>
      <c r="HR256">
        <v>2</v>
      </c>
      <c r="HS256">
        <v>2140</v>
      </c>
      <c r="HT256">
        <v>4.5</v>
      </c>
      <c r="HU256">
        <v>1</v>
      </c>
      <c r="HV256">
        <v>5</v>
      </c>
      <c r="HW256">
        <v>0</v>
      </c>
      <c r="HX256">
        <v>1</v>
      </c>
      <c r="HY256">
        <v>0</v>
      </c>
      <c r="HZ256">
        <v>63</v>
      </c>
      <c r="IA256">
        <v>2143</v>
      </c>
      <c r="IB256">
        <v>2150</v>
      </c>
      <c r="ID256">
        <v>2185</v>
      </c>
      <c r="IE256">
        <v>2185</v>
      </c>
      <c r="IF256">
        <v>190</v>
      </c>
      <c r="IG256">
        <v>180</v>
      </c>
      <c r="IH256">
        <v>236</v>
      </c>
      <c r="II256">
        <v>1</v>
      </c>
      <c r="IJ256">
        <v>5</v>
      </c>
      <c r="IK256">
        <v>0</v>
      </c>
      <c r="IL256">
        <v>2</v>
      </c>
      <c r="IM256">
        <v>0</v>
      </c>
      <c r="IN256">
        <v>270</v>
      </c>
      <c r="IO256">
        <v>0</v>
      </c>
      <c r="IP256">
        <v>180</v>
      </c>
      <c r="IQ256">
        <v>0</v>
      </c>
      <c r="IR256">
        <v>330</v>
      </c>
      <c r="IS256">
        <v>0</v>
      </c>
      <c r="IT256">
        <v>90</v>
      </c>
      <c r="IU256">
        <v>0</v>
      </c>
      <c r="IV256">
        <v>6.4</v>
      </c>
      <c r="IW256">
        <v>-6</v>
      </c>
      <c r="IX256">
        <v>98</v>
      </c>
      <c r="IY256">
        <v>70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384</v>
      </c>
      <c r="JJ256">
        <v>344</v>
      </c>
      <c r="JK256">
        <v>250</v>
      </c>
      <c r="JL256">
        <v>340</v>
      </c>
      <c r="JM256">
        <v>295</v>
      </c>
      <c r="JN256">
        <v>195</v>
      </c>
      <c r="JO256">
        <v>240</v>
      </c>
      <c r="JP256">
        <v>195</v>
      </c>
      <c r="JQ256">
        <v>230</v>
      </c>
      <c r="JR256">
        <v>310</v>
      </c>
      <c r="JS256">
        <v>215</v>
      </c>
      <c r="JT256">
        <v>0</v>
      </c>
      <c r="JU256">
        <v>0</v>
      </c>
      <c r="JV256">
        <v>310</v>
      </c>
      <c r="JW256">
        <v>310</v>
      </c>
      <c r="JX256">
        <v>300</v>
      </c>
      <c r="JY256">
        <v>260</v>
      </c>
      <c r="JZ256">
        <v>0.5</v>
      </c>
      <c r="KA256">
        <v>0.2</v>
      </c>
      <c r="KB256">
        <v>0.4</v>
      </c>
      <c r="KC256">
        <v>0.42</v>
      </c>
      <c r="KD256">
        <v>0.3</v>
      </c>
      <c r="KE256">
        <v>0.5</v>
      </c>
      <c r="KF256">
        <v>0.19</v>
      </c>
      <c r="KG256">
        <v>0.1</v>
      </c>
      <c r="KH256">
        <v>4.5</v>
      </c>
      <c r="KI256">
        <v>1</v>
      </c>
      <c r="KJ256">
        <v>4.5</v>
      </c>
      <c r="KK256">
        <v>0</v>
      </c>
      <c r="KL256">
        <v>4.5</v>
      </c>
      <c r="KM256">
        <v>0</v>
      </c>
      <c r="KN256">
        <v>2</v>
      </c>
      <c r="KO256">
        <v>0</v>
      </c>
      <c r="KP256">
        <v>0</v>
      </c>
      <c r="KQ256">
        <v>0.5</v>
      </c>
      <c r="KR256">
        <v>0.5</v>
      </c>
      <c r="KS256">
        <v>0</v>
      </c>
      <c r="KT256">
        <v>2</v>
      </c>
      <c r="KU256">
        <v>0</v>
      </c>
      <c r="KV256">
        <v>0</v>
      </c>
      <c r="KW256">
        <v>1.2</v>
      </c>
      <c r="KX256">
        <v>1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3</v>
      </c>
      <c r="LI256">
        <v>0.5</v>
      </c>
      <c r="LJ256">
        <v>0</v>
      </c>
      <c r="LK256">
        <v>4.5</v>
      </c>
      <c r="LL256">
        <v>6</v>
      </c>
      <c r="LM256">
        <v>7.5</v>
      </c>
      <c r="LN256">
        <v>0.1</v>
      </c>
      <c r="LO256">
        <v>0.1</v>
      </c>
      <c r="LP256">
        <v>0</v>
      </c>
      <c r="LQ256">
        <v>0</v>
      </c>
      <c r="LR256">
        <v>0</v>
      </c>
      <c r="LS256">
        <v>1</v>
      </c>
      <c r="LT256">
        <v>0</v>
      </c>
      <c r="LU256">
        <v>0</v>
      </c>
      <c r="LV256">
        <v>0</v>
      </c>
      <c r="LW256">
        <v>2.1</v>
      </c>
      <c r="LX256">
        <v>2.1</v>
      </c>
      <c r="LY256">
        <v>2.8</v>
      </c>
      <c r="LZ256">
        <v>2.8</v>
      </c>
      <c r="MA256">
        <v>0</v>
      </c>
      <c r="MB256">
        <v>4</v>
      </c>
      <c r="MC256">
        <v>0</v>
      </c>
      <c r="MD256">
        <v>4.5</v>
      </c>
      <c r="ME256">
        <v>6</v>
      </c>
      <c r="MF256">
        <v>6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390</v>
      </c>
      <c r="MN256">
        <v>185</v>
      </c>
      <c r="MO256">
        <v>246</v>
      </c>
      <c r="NU256">
        <v>0.15</v>
      </c>
      <c r="NV256">
        <v>0.2</v>
      </c>
      <c r="NW256">
        <v>0.2</v>
      </c>
      <c r="NX256">
        <v>0.2</v>
      </c>
      <c r="NY256">
        <v>0.2</v>
      </c>
      <c r="NZ256">
        <v>0.2</v>
      </c>
      <c r="OE256" t="s">
        <v>4941</v>
      </c>
      <c r="OF256" t="s">
        <v>4500</v>
      </c>
      <c r="OG256" t="s">
        <v>4501</v>
      </c>
      <c r="OH256" t="s">
        <v>4353</v>
      </c>
      <c r="OI256" t="s">
        <v>4941</v>
      </c>
      <c r="OJ256" t="s">
        <v>4940</v>
      </c>
      <c r="OK256">
        <v>61</v>
      </c>
      <c r="OL256">
        <v>61</v>
      </c>
      <c r="OM256" t="s">
        <v>4500</v>
      </c>
      <c r="ON256">
        <v>3</v>
      </c>
      <c r="OO256">
        <v>2143</v>
      </c>
      <c r="OP256">
        <v>61</v>
      </c>
      <c r="OQ256">
        <v>61</v>
      </c>
      <c r="OR256" t="s">
        <v>4501</v>
      </c>
      <c r="OS256">
        <v>3</v>
      </c>
      <c r="OT256">
        <v>2150</v>
      </c>
      <c r="OU256">
        <v>65</v>
      </c>
      <c r="OV256">
        <v>65</v>
      </c>
      <c r="OW256" t="s">
        <v>4353</v>
      </c>
      <c r="OX256">
        <v>1</v>
      </c>
      <c r="OY256">
        <v>44377</v>
      </c>
      <c r="OZ256">
        <v>51</v>
      </c>
      <c r="PA256">
        <v>51</v>
      </c>
      <c r="PB256" t="s">
        <v>4941</v>
      </c>
      <c r="PC256">
        <v>3</v>
      </c>
      <c r="PD256">
        <v>2185</v>
      </c>
      <c r="PF256">
        <v>347</v>
      </c>
      <c r="PG256">
        <v>29</v>
      </c>
      <c r="PH256">
        <v>329</v>
      </c>
      <c r="PI256">
        <v>29</v>
      </c>
      <c r="PJ256">
        <v>104.7</v>
      </c>
      <c r="PK256">
        <v>2421</v>
      </c>
      <c r="PL256">
        <v>1212.6</v>
      </c>
      <c r="PM256">
        <v>1020.3</v>
      </c>
      <c r="PN256">
        <v>96.09999999999999</v>
      </c>
      <c r="PO256">
        <v>10.8</v>
      </c>
      <c r="PP256">
        <v>10</v>
      </c>
      <c r="PQ256">
        <v>5</v>
      </c>
      <c r="PR256">
        <v>5</v>
      </c>
      <c r="PS256">
        <v>0</v>
      </c>
      <c r="PT256">
        <v>236</v>
      </c>
      <c r="PU256">
        <v>12</v>
      </c>
      <c r="PV256" t="s">
        <v>4072</v>
      </c>
      <c r="PW256" t="s">
        <v>4072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-1</v>
      </c>
      <c r="QF256">
        <v>1</v>
      </c>
      <c r="QG256">
        <v>0</v>
      </c>
      <c r="QH256">
        <v>5</v>
      </c>
      <c r="QI256">
        <v>5</v>
      </c>
      <c r="QJ256">
        <v>5</v>
      </c>
      <c r="QK256">
        <v>210</v>
      </c>
      <c r="QL256">
        <v>414</v>
      </c>
      <c r="QM256">
        <v>7.5</v>
      </c>
      <c r="QN256">
        <v>1539.3</v>
      </c>
      <c r="QO256" t="s">
        <v>3054</v>
      </c>
      <c r="QP256" t="s">
        <v>513</v>
      </c>
      <c r="QQ256">
        <v>0</v>
      </c>
      <c r="QR256" t="s">
        <v>860</v>
      </c>
      <c r="QS256">
        <v>40</v>
      </c>
      <c r="QT256">
        <v>50</v>
      </c>
    </row>
    <row r="257" spans="1:462">
      <c r="A257" t="s">
        <v>3202</v>
      </c>
      <c r="B257" t="s">
        <v>897</v>
      </c>
      <c r="C257" t="s">
        <v>509</v>
      </c>
      <c r="D257" t="s">
        <v>3201</v>
      </c>
      <c r="E257" t="s">
        <v>4036</v>
      </c>
      <c r="H257" t="s">
        <v>604</v>
      </c>
      <c r="I257" t="s">
        <v>605</v>
      </c>
      <c r="J257" t="s">
        <v>628</v>
      </c>
      <c r="K257" t="s">
        <v>606</v>
      </c>
      <c r="L257" t="s">
        <v>657</v>
      </c>
      <c r="M257" t="s">
        <v>512</v>
      </c>
      <c r="O257" t="s">
        <v>513</v>
      </c>
      <c r="P257" t="s">
        <v>517</v>
      </c>
      <c r="Q257" t="s">
        <v>713</v>
      </c>
      <c r="R257" t="s">
        <v>714</v>
      </c>
      <c r="S257" t="s">
        <v>4134</v>
      </c>
      <c r="T257" t="s">
        <v>570</v>
      </c>
      <c r="U257" t="s">
        <v>571</v>
      </c>
      <c r="V257" t="s">
        <v>1367</v>
      </c>
      <c r="W257" t="s">
        <v>3058</v>
      </c>
      <c r="X257" t="s">
        <v>3203</v>
      </c>
      <c r="Y257" t="s">
        <v>3204</v>
      </c>
      <c r="Z257" t="s">
        <v>650</v>
      </c>
      <c r="AA257" t="s">
        <v>4038</v>
      </c>
      <c r="AB257" t="s">
        <v>4942</v>
      </c>
      <c r="AC257">
        <v>10</v>
      </c>
      <c r="AD257" t="s">
        <v>3200</v>
      </c>
      <c r="AE257">
        <v>8</v>
      </c>
      <c r="AF257">
        <v>4511</v>
      </c>
      <c r="AG257" t="s">
        <v>4306</v>
      </c>
      <c r="AH257">
        <v>1</v>
      </c>
      <c r="AI257" t="s">
        <v>4041</v>
      </c>
      <c r="AK257" t="s">
        <v>4307</v>
      </c>
      <c r="AL257">
        <v>1</v>
      </c>
      <c r="AM257" t="s">
        <v>582</v>
      </c>
      <c r="AO257" t="s">
        <v>4043</v>
      </c>
      <c r="AP257">
        <v>1</v>
      </c>
      <c r="AR257" t="s">
        <v>4943</v>
      </c>
      <c r="AS257">
        <v>1</v>
      </c>
      <c r="AT257">
        <v>51</v>
      </c>
      <c r="AV257" t="s">
        <v>4078</v>
      </c>
      <c r="AW257">
        <v>6.4</v>
      </c>
      <c r="AX257">
        <v>-6</v>
      </c>
      <c r="AY257">
        <v>111</v>
      </c>
      <c r="AZ257">
        <v>88</v>
      </c>
      <c r="BH257">
        <v>111</v>
      </c>
      <c r="BI257">
        <v>23</v>
      </c>
      <c r="BJ257">
        <v>88</v>
      </c>
      <c r="BK257">
        <v>3.5</v>
      </c>
      <c r="BL257">
        <v>222</v>
      </c>
      <c r="BM257">
        <v>-6</v>
      </c>
      <c r="BN257">
        <v>0</v>
      </c>
      <c r="BP257">
        <v>0</v>
      </c>
      <c r="BR257">
        <v>215</v>
      </c>
      <c r="BS257">
        <v>205</v>
      </c>
      <c r="BT257">
        <v>2120</v>
      </c>
      <c r="BU257" t="s">
        <v>4127</v>
      </c>
      <c r="BV257" t="s">
        <v>4127</v>
      </c>
      <c r="BW257" t="s">
        <v>4128</v>
      </c>
      <c r="BX257" t="s">
        <v>4128</v>
      </c>
      <c r="BY257" t="s">
        <v>4139</v>
      </c>
      <c r="BZ257" t="s">
        <v>4139</v>
      </c>
      <c r="CA257" t="s">
        <v>4084</v>
      </c>
      <c r="CB257" t="s">
        <v>4085</v>
      </c>
      <c r="CC257" t="s">
        <v>4053</v>
      </c>
      <c r="CD257" t="s">
        <v>4055</v>
      </c>
      <c r="CE257" t="s">
        <v>4055</v>
      </c>
      <c r="CF257" t="s">
        <v>4055</v>
      </c>
      <c r="CG257" t="s">
        <v>4056</v>
      </c>
      <c r="CI257" t="s">
        <v>4086</v>
      </c>
      <c r="CJ257" t="s">
        <v>4059</v>
      </c>
      <c r="CK257" t="s">
        <v>4060</v>
      </c>
      <c r="CL257" t="s">
        <v>4061</v>
      </c>
      <c r="CM257" t="s">
        <v>4062</v>
      </c>
      <c r="CN257" t="s">
        <v>4055</v>
      </c>
      <c r="CO257" t="s">
        <v>4063</v>
      </c>
      <c r="CP257" t="s">
        <v>4055</v>
      </c>
      <c r="CQ257" t="s">
        <v>4055</v>
      </c>
      <c r="CR257">
        <v>5</v>
      </c>
      <c r="CS257" t="s">
        <v>4055</v>
      </c>
      <c r="CT257" t="s">
        <v>4055</v>
      </c>
      <c r="CU257" t="s">
        <v>4055</v>
      </c>
      <c r="CV257">
        <v>135</v>
      </c>
      <c r="CW257">
        <v>3</v>
      </c>
      <c r="CX257">
        <v>118</v>
      </c>
      <c r="CY257">
        <v>5</v>
      </c>
      <c r="CZ257">
        <v>140</v>
      </c>
      <c r="DA257">
        <v>5</v>
      </c>
      <c r="DB257">
        <v>12640</v>
      </c>
      <c r="DC257">
        <v>370</v>
      </c>
      <c r="DD257">
        <v>328</v>
      </c>
      <c r="DE257">
        <v>2249</v>
      </c>
      <c r="DF257">
        <v>2249</v>
      </c>
      <c r="DG257">
        <v>2261</v>
      </c>
      <c r="DH257">
        <v>1</v>
      </c>
      <c r="DI257" t="s">
        <v>4055</v>
      </c>
      <c r="DJ257" t="s">
        <v>4132</v>
      </c>
      <c r="DK257">
        <v>215</v>
      </c>
      <c r="DL257" t="s">
        <v>4065</v>
      </c>
      <c r="DM257">
        <v>63</v>
      </c>
      <c r="DN257">
        <v>1.1</v>
      </c>
      <c r="DO257">
        <v>1</v>
      </c>
      <c r="DP257">
        <v>2123</v>
      </c>
      <c r="DQ257">
        <v>987</v>
      </c>
      <c r="DR257" t="s">
        <v>4132</v>
      </c>
      <c r="DS257">
        <v>205</v>
      </c>
      <c r="DT257" t="s">
        <v>4065</v>
      </c>
      <c r="DU257">
        <v>63</v>
      </c>
      <c r="DV257">
        <v>1.1</v>
      </c>
      <c r="DW257">
        <v>1</v>
      </c>
      <c r="DX257">
        <v>2135</v>
      </c>
      <c r="DY257">
        <v>946</v>
      </c>
      <c r="DZ257" t="s">
        <v>4066</v>
      </c>
      <c r="EA257">
        <v>20</v>
      </c>
      <c r="EB257" t="s">
        <v>4065</v>
      </c>
      <c r="EC257">
        <v>0.8</v>
      </c>
      <c r="ED257">
        <v>2123</v>
      </c>
      <c r="EE257">
        <v>74</v>
      </c>
      <c r="EG257">
        <v>0</v>
      </c>
      <c r="EH257" t="s">
        <v>4065</v>
      </c>
      <c r="EI257">
        <v>0</v>
      </c>
      <c r="EL257" t="s">
        <v>1528</v>
      </c>
      <c r="EM257">
        <v>12</v>
      </c>
      <c r="EN257">
        <v>0.5</v>
      </c>
      <c r="EO257">
        <v>0.96</v>
      </c>
      <c r="EP257">
        <v>2133.83</v>
      </c>
      <c r="EQ257">
        <v>39009.08</v>
      </c>
      <c r="ER257">
        <v>7690.13</v>
      </c>
      <c r="ES257">
        <v>0</v>
      </c>
      <c r="ET257">
        <v>0</v>
      </c>
      <c r="EU257">
        <v>1</v>
      </c>
      <c r="EV257">
        <v>46700</v>
      </c>
      <c r="EW257">
        <v>561</v>
      </c>
      <c r="EX257" t="s">
        <v>4287</v>
      </c>
      <c r="EY257">
        <v>234</v>
      </c>
      <c r="EZ257" t="s">
        <v>4055</v>
      </c>
      <c r="FA257">
        <v>3.9</v>
      </c>
      <c r="FB257">
        <v>1</v>
      </c>
      <c r="FC257">
        <v>1</v>
      </c>
      <c r="FD257">
        <v>2169</v>
      </c>
      <c r="FE257">
        <v>2394</v>
      </c>
      <c r="FF257" t="s">
        <v>4288</v>
      </c>
      <c r="FG257">
        <v>234</v>
      </c>
      <c r="FH257" t="s">
        <v>4055</v>
      </c>
      <c r="FI257">
        <v>4.7</v>
      </c>
      <c r="FJ257">
        <v>2169</v>
      </c>
      <c r="FK257">
        <v>2759</v>
      </c>
      <c r="FL257" t="s">
        <v>4069</v>
      </c>
      <c r="FM257" t="s">
        <v>4055</v>
      </c>
      <c r="FN257" t="s">
        <v>4055</v>
      </c>
      <c r="FO257" t="s">
        <v>4055</v>
      </c>
      <c r="FP257">
        <v>2169</v>
      </c>
      <c r="FQ257">
        <v>148</v>
      </c>
      <c r="FR257" t="s">
        <v>4090</v>
      </c>
      <c r="FS257">
        <v>238</v>
      </c>
      <c r="FT257" t="s">
        <v>4055</v>
      </c>
      <c r="FU257">
        <v>0.4</v>
      </c>
      <c r="FV257">
        <v>2169</v>
      </c>
      <c r="FW257">
        <v>230</v>
      </c>
      <c r="FX257" t="s">
        <v>4070</v>
      </c>
      <c r="FY257">
        <v>5</v>
      </c>
      <c r="FZ257" t="s">
        <v>4055</v>
      </c>
      <c r="GA257" t="s">
        <v>4055</v>
      </c>
      <c r="GB257">
        <v>2169</v>
      </c>
      <c r="GC257">
        <v>23</v>
      </c>
      <c r="GD257">
        <v>5554</v>
      </c>
      <c r="GE257" t="s">
        <v>4943</v>
      </c>
      <c r="GF257" t="s">
        <v>4055</v>
      </c>
      <c r="GG257" t="s">
        <v>4055</v>
      </c>
      <c r="GH257" t="s">
        <v>4055</v>
      </c>
      <c r="GI257" t="s">
        <v>4071</v>
      </c>
      <c r="GJ257" t="s">
        <v>4055</v>
      </c>
      <c r="GK257" t="s">
        <v>4055</v>
      </c>
      <c r="GL257" t="s">
        <v>4055</v>
      </c>
      <c r="GM257" t="s">
        <v>4055</v>
      </c>
      <c r="GQ257">
        <v>0</v>
      </c>
      <c r="GV257">
        <v>9</v>
      </c>
      <c r="GW257">
        <v>12</v>
      </c>
      <c r="GX257">
        <v>0.5</v>
      </c>
      <c r="GY257">
        <v>200</v>
      </c>
      <c r="GZ257">
        <v>3</v>
      </c>
      <c r="HA257">
        <v>254</v>
      </c>
      <c r="HB257">
        <v>3</v>
      </c>
      <c r="HC257">
        <v>2169</v>
      </c>
      <c r="HD257">
        <v>4</v>
      </c>
      <c r="HE257" t="s">
        <v>4071</v>
      </c>
      <c r="HG257" t="s">
        <v>549</v>
      </c>
      <c r="HL257">
        <v>4</v>
      </c>
      <c r="HM257">
        <v>20</v>
      </c>
      <c r="HN257">
        <v>1</v>
      </c>
      <c r="HO257">
        <v>1</v>
      </c>
      <c r="HP257">
        <v>0</v>
      </c>
      <c r="HQ257">
        <v>0</v>
      </c>
      <c r="HR257">
        <v>2</v>
      </c>
      <c r="HS257">
        <v>2120</v>
      </c>
      <c r="HT257">
        <v>5</v>
      </c>
      <c r="HU257">
        <v>1</v>
      </c>
      <c r="HV257">
        <v>5</v>
      </c>
      <c r="HW257">
        <v>0</v>
      </c>
      <c r="HX257">
        <v>1</v>
      </c>
      <c r="HY257">
        <v>0</v>
      </c>
      <c r="HZ257">
        <v>63</v>
      </c>
      <c r="IA257">
        <v>2123</v>
      </c>
      <c r="IB257">
        <v>2135</v>
      </c>
      <c r="ID257">
        <v>2169</v>
      </c>
      <c r="IE257">
        <v>2169</v>
      </c>
      <c r="IF257">
        <v>215</v>
      </c>
      <c r="IG257">
        <v>205</v>
      </c>
      <c r="IH257">
        <v>254</v>
      </c>
      <c r="II257">
        <v>1</v>
      </c>
      <c r="IJ257">
        <v>5</v>
      </c>
      <c r="IK257">
        <v>0</v>
      </c>
      <c r="IL257">
        <v>0</v>
      </c>
      <c r="IM257">
        <v>0</v>
      </c>
      <c r="IN257">
        <v>270</v>
      </c>
      <c r="IO257">
        <v>0</v>
      </c>
      <c r="IP257">
        <v>180</v>
      </c>
      <c r="IQ257">
        <v>0</v>
      </c>
      <c r="IR257">
        <v>330</v>
      </c>
      <c r="IS257">
        <v>0</v>
      </c>
      <c r="IT257">
        <v>90</v>
      </c>
      <c r="IU257">
        <v>0</v>
      </c>
      <c r="IV257">
        <v>6.4</v>
      </c>
      <c r="IW257">
        <v>-6</v>
      </c>
      <c r="IX257">
        <v>111</v>
      </c>
      <c r="IY257">
        <v>88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366</v>
      </c>
      <c r="JJ257">
        <v>336</v>
      </c>
      <c r="JK257">
        <v>253</v>
      </c>
      <c r="JL257">
        <v>334</v>
      </c>
      <c r="JM257">
        <v>285</v>
      </c>
      <c r="JN257">
        <v>215</v>
      </c>
      <c r="JO257">
        <v>264</v>
      </c>
      <c r="JP257">
        <v>210</v>
      </c>
      <c r="JQ257">
        <v>230</v>
      </c>
      <c r="JR257">
        <v>305</v>
      </c>
      <c r="JS257">
        <v>244</v>
      </c>
      <c r="JT257">
        <v>0</v>
      </c>
      <c r="JU257">
        <v>0</v>
      </c>
      <c r="JV257">
        <v>300</v>
      </c>
      <c r="JW257">
        <v>290</v>
      </c>
      <c r="JX257">
        <v>298</v>
      </c>
      <c r="JY257">
        <v>290</v>
      </c>
      <c r="JZ257">
        <v>0.5</v>
      </c>
      <c r="KA257">
        <v>0.2</v>
      </c>
      <c r="KB257">
        <v>0.4</v>
      </c>
      <c r="KC257">
        <v>0.42</v>
      </c>
      <c r="KD257">
        <v>0.28</v>
      </c>
      <c r="KE257">
        <v>0.5</v>
      </c>
      <c r="KF257">
        <v>0.17</v>
      </c>
      <c r="KG257">
        <v>0.11</v>
      </c>
      <c r="KH257">
        <v>3.5</v>
      </c>
      <c r="KI257">
        <v>1</v>
      </c>
      <c r="KJ257">
        <v>4.5</v>
      </c>
      <c r="KK257">
        <v>0</v>
      </c>
      <c r="KL257">
        <v>4.5</v>
      </c>
      <c r="KM257">
        <v>0</v>
      </c>
      <c r="KN257">
        <v>1.8</v>
      </c>
      <c r="KO257">
        <v>0</v>
      </c>
      <c r="KP257">
        <v>0</v>
      </c>
      <c r="KQ257">
        <v>1</v>
      </c>
      <c r="KR257">
        <v>0.8</v>
      </c>
      <c r="KS257">
        <v>0</v>
      </c>
      <c r="KT257">
        <v>3</v>
      </c>
      <c r="KU257">
        <v>0</v>
      </c>
      <c r="KV257">
        <v>0</v>
      </c>
      <c r="KW257">
        <v>1.2</v>
      </c>
      <c r="KX257">
        <v>2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3</v>
      </c>
      <c r="LI257">
        <v>0.5</v>
      </c>
      <c r="LJ257">
        <v>0</v>
      </c>
      <c r="LK257">
        <v>8</v>
      </c>
      <c r="LL257">
        <v>4</v>
      </c>
      <c r="LM257">
        <v>9</v>
      </c>
      <c r="LN257">
        <v>1</v>
      </c>
      <c r="LO257">
        <v>3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1.8</v>
      </c>
      <c r="LX257">
        <v>1.8</v>
      </c>
      <c r="LY257">
        <v>2.1</v>
      </c>
      <c r="LZ257">
        <v>2.1</v>
      </c>
      <c r="MA257">
        <v>0</v>
      </c>
      <c r="MB257">
        <v>2.5</v>
      </c>
      <c r="MC257">
        <v>0</v>
      </c>
      <c r="MD257">
        <v>4.5</v>
      </c>
      <c r="ME257">
        <v>6</v>
      </c>
      <c r="MF257">
        <v>6</v>
      </c>
      <c r="MI257">
        <v>0</v>
      </c>
      <c r="MJ257">
        <v>0</v>
      </c>
      <c r="ML257">
        <v>0</v>
      </c>
      <c r="MM257">
        <v>390</v>
      </c>
      <c r="MN257">
        <v>210</v>
      </c>
      <c r="MO257">
        <v>264</v>
      </c>
      <c r="NU257">
        <v>0.15</v>
      </c>
      <c r="NV257">
        <v>0.25</v>
      </c>
      <c r="NW257">
        <v>0.3</v>
      </c>
      <c r="NX257">
        <v>0.2</v>
      </c>
      <c r="NY257">
        <v>0.2</v>
      </c>
      <c r="NZ257">
        <v>0.2</v>
      </c>
      <c r="OE257" t="s">
        <v>4943</v>
      </c>
      <c r="OF257" t="s">
        <v>4306</v>
      </c>
      <c r="OG257" t="s">
        <v>4307</v>
      </c>
      <c r="OH257" t="s">
        <v>4043</v>
      </c>
      <c r="OI257" t="s">
        <v>4943</v>
      </c>
      <c r="OJ257" t="s">
        <v>4942</v>
      </c>
      <c r="OK257">
        <v>61</v>
      </c>
      <c r="OL257">
        <v>61</v>
      </c>
      <c r="OM257" t="s">
        <v>4306</v>
      </c>
      <c r="ON257">
        <v>1</v>
      </c>
      <c r="OO257">
        <v>2123</v>
      </c>
      <c r="OP257">
        <v>61</v>
      </c>
      <c r="OQ257">
        <v>61</v>
      </c>
      <c r="OR257" t="s">
        <v>4307</v>
      </c>
      <c r="OS257">
        <v>1</v>
      </c>
      <c r="OT257">
        <v>2135</v>
      </c>
      <c r="OU257">
        <v>65</v>
      </c>
      <c r="OV257">
        <v>65</v>
      </c>
      <c r="OW257" t="s">
        <v>4043</v>
      </c>
      <c r="OX257">
        <v>2</v>
      </c>
      <c r="OY257">
        <v>46700</v>
      </c>
      <c r="OZ257">
        <v>51</v>
      </c>
      <c r="PA257">
        <v>51</v>
      </c>
      <c r="PB257" t="s">
        <v>4943</v>
      </c>
      <c r="PC257">
        <v>3</v>
      </c>
      <c r="PD257">
        <v>2169</v>
      </c>
      <c r="PF257">
        <v>465</v>
      </c>
      <c r="PG257">
        <v>35</v>
      </c>
      <c r="PH257">
        <v>443</v>
      </c>
      <c r="PI257">
        <v>0</v>
      </c>
      <c r="PJ257">
        <v>68.09999999999999</v>
      </c>
      <c r="PK257">
        <v>2530</v>
      </c>
      <c r="PL257">
        <v>1103.9</v>
      </c>
      <c r="PM257">
        <v>1272.2</v>
      </c>
      <c r="PN257">
        <v>105.9</v>
      </c>
      <c r="PO257">
        <v>10.5</v>
      </c>
      <c r="PP257">
        <v>12</v>
      </c>
      <c r="PQ257">
        <v>5</v>
      </c>
      <c r="PR257">
        <v>5</v>
      </c>
      <c r="PS257">
        <v>0</v>
      </c>
      <c r="PT257">
        <v>254</v>
      </c>
      <c r="PU257">
        <v>10</v>
      </c>
      <c r="PV257" t="s">
        <v>4072</v>
      </c>
      <c r="PW257" t="s">
        <v>4072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-1</v>
      </c>
      <c r="QF257">
        <v>1</v>
      </c>
      <c r="QG257">
        <v>0</v>
      </c>
      <c r="QH257">
        <v>5</v>
      </c>
      <c r="QI257">
        <v>5</v>
      </c>
      <c r="QJ257">
        <v>5</v>
      </c>
      <c r="QK257">
        <v>199</v>
      </c>
      <c r="QL257">
        <v>396</v>
      </c>
      <c r="QM257">
        <v>7.5</v>
      </c>
      <c r="QN257">
        <v>1620.6</v>
      </c>
      <c r="QO257" t="s">
        <v>3054</v>
      </c>
      <c r="QP257" t="s">
        <v>513</v>
      </c>
      <c r="QQ257">
        <v>0</v>
      </c>
      <c r="QR257" t="s">
        <v>860</v>
      </c>
      <c r="QS257">
        <v>40</v>
      </c>
      <c r="QT257">
        <v>50</v>
      </c>
    </row>
    <row r="258" spans="1:462">
      <c r="A258" t="s">
        <v>3212</v>
      </c>
      <c r="B258" t="s">
        <v>729</v>
      </c>
      <c r="C258" t="s">
        <v>509</v>
      </c>
      <c r="D258" t="s">
        <v>4923</v>
      </c>
      <c r="E258" t="s">
        <v>4036</v>
      </c>
      <c r="H258" t="s">
        <v>604</v>
      </c>
      <c r="I258" t="s">
        <v>605</v>
      </c>
      <c r="J258" t="s">
        <v>628</v>
      </c>
      <c r="K258" t="s">
        <v>606</v>
      </c>
      <c r="L258" t="s">
        <v>897</v>
      </c>
      <c r="M258" t="s">
        <v>512</v>
      </c>
      <c r="O258" t="s">
        <v>513</v>
      </c>
      <c r="P258" t="s">
        <v>517</v>
      </c>
      <c r="Q258" t="s">
        <v>1609</v>
      </c>
      <c r="R258" t="s">
        <v>1554</v>
      </c>
      <c r="S258" t="s">
        <v>4170</v>
      </c>
      <c r="T258" t="s">
        <v>1457</v>
      </c>
      <c r="U258" t="s">
        <v>1458</v>
      </c>
      <c r="V258" t="s">
        <v>2382</v>
      </c>
      <c r="W258" t="s">
        <v>3048</v>
      </c>
      <c r="X258" t="s">
        <v>3213</v>
      </c>
      <c r="Y258" t="s">
        <v>3214</v>
      </c>
      <c r="Z258" t="s">
        <v>541</v>
      </c>
      <c r="AA258" t="s">
        <v>4038</v>
      </c>
      <c r="AB258" t="s">
        <v>4944</v>
      </c>
      <c r="AC258">
        <v>15</v>
      </c>
      <c r="AD258" t="s">
        <v>3211</v>
      </c>
      <c r="AE258">
        <v>9</v>
      </c>
      <c r="AF258">
        <v>3118</v>
      </c>
      <c r="AG258" t="s">
        <v>4945</v>
      </c>
      <c r="AH258">
        <v>1</v>
      </c>
      <c r="AI258" t="s">
        <v>4041</v>
      </c>
      <c r="AK258" t="s">
        <v>4946</v>
      </c>
      <c r="AL258">
        <v>1</v>
      </c>
      <c r="AM258" t="s">
        <v>582</v>
      </c>
      <c r="AO258" t="s">
        <v>4353</v>
      </c>
      <c r="AP258">
        <v>1</v>
      </c>
      <c r="AR258" t="s">
        <v>4947</v>
      </c>
      <c r="AS258">
        <v>1</v>
      </c>
      <c r="AT258">
        <v>51</v>
      </c>
      <c r="AV258" t="s">
        <v>4045</v>
      </c>
      <c r="AW258">
        <v>6.4</v>
      </c>
      <c r="AX258">
        <v>-6</v>
      </c>
      <c r="AY258">
        <v>83</v>
      </c>
      <c r="AZ258">
        <v>68</v>
      </c>
      <c r="BH258">
        <v>83</v>
      </c>
      <c r="BI258">
        <v>15</v>
      </c>
      <c r="BJ258">
        <v>68</v>
      </c>
      <c r="BK258">
        <v>3</v>
      </c>
      <c r="BL258">
        <v>166</v>
      </c>
      <c r="BM258">
        <v>-6</v>
      </c>
      <c r="BN258">
        <v>0</v>
      </c>
      <c r="BP258">
        <v>0</v>
      </c>
      <c r="BR258">
        <v>160</v>
      </c>
      <c r="BS258">
        <v>150</v>
      </c>
      <c r="BT258">
        <v>1675</v>
      </c>
      <c r="BU258" t="s">
        <v>4355</v>
      </c>
      <c r="BV258" t="s">
        <v>4355</v>
      </c>
      <c r="BW258" t="s">
        <v>4356</v>
      </c>
      <c r="BX258" t="s">
        <v>4356</v>
      </c>
      <c r="BY258" t="s">
        <v>4357</v>
      </c>
      <c r="BZ258" t="s">
        <v>4357</v>
      </c>
      <c r="CA258" t="s">
        <v>4358</v>
      </c>
      <c r="CB258" t="s">
        <v>4359</v>
      </c>
      <c r="CC258" t="s">
        <v>4053</v>
      </c>
      <c r="CD258" t="s">
        <v>4359</v>
      </c>
      <c r="CE258" t="s">
        <v>4407</v>
      </c>
      <c r="CF258" t="s">
        <v>4408</v>
      </c>
      <c r="CG258" t="s">
        <v>4056</v>
      </c>
      <c r="CH258" t="s">
        <v>4145</v>
      </c>
      <c r="CI258" t="s">
        <v>4058</v>
      </c>
      <c r="CJ258" t="s">
        <v>4059</v>
      </c>
      <c r="CK258" t="s">
        <v>4060</v>
      </c>
      <c r="CL258" t="s">
        <v>4061</v>
      </c>
      <c r="CM258" t="s">
        <v>4062</v>
      </c>
      <c r="CN258" t="s">
        <v>4055</v>
      </c>
      <c r="CO258" t="s">
        <v>4063</v>
      </c>
      <c r="CP258" t="s">
        <v>4055</v>
      </c>
      <c r="CQ258" t="s">
        <v>4055</v>
      </c>
      <c r="CR258">
        <v>5</v>
      </c>
      <c r="CS258" t="s">
        <v>4055</v>
      </c>
      <c r="CT258" t="s">
        <v>4055</v>
      </c>
      <c r="CU258" t="s">
        <v>4055</v>
      </c>
      <c r="CV258">
        <v>105</v>
      </c>
      <c r="CW258">
        <v>3</v>
      </c>
      <c r="CX258">
        <v>66</v>
      </c>
      <c r="CY258">
        <v>5</v>
      </c>
      <c r="CZ258">
        <v>122</v>
      </c>
      <c r="DA258">
        <v>5</v>
      </c>
      <c r="DB258">
        <v>7790</v>
      </c>
      <c r="DC258">
        <v>150</v>
      </c>
      <c r="DD258">
        <v>279</v>
      </c>
      <c r="DE258">
        <v>1776</v>
      </c>
      <c r="DF258">
        <v>1776</v>
      </c>
      <c r="DG258">
        <v>1788</v>
      </c>
      <c r="DH258" t="s">
        <v>4055</v>
      </c>
      <c r="DI258" t="s">
        <v>4055</v>
      </c>
      <c r="DJ258" t="s">
        <v>4100</v>
      </c>
      <c r="DK258">
        <v>160</v>
      </c>
      <c r="DL258" t="s">
        <v>4101</v>
      </c>
      <c r="DM258">
        <v>61</v>
      </c>
      <c r="DN258">
        <v>0.84</v>
      </c>
      <c r="DO258">
        <v>1</v>
      </c>
      <c r="DP258">
        <v>1678</v>
      </c>
      <c r="DQ258">
        <v>490</v>
      </c>
      <c r="DR258" t="s">
        <v>4100</v>
      </c>
      <c r="DS258">
        <v>150</v>
      </c>
      <c r="DT258" t="s">
        <v>4101</v>
      </c>
      <c r="DU258">
        <v>61</v>
      </c>
      <c r="DV258">
        <v>0.84</v>
      </c>
      <c r="DW258">
        <v>1</v>
      </c>
      <c r="DX258">
        <v>1685</v>
      </c>
      <c r="DY258">
        <v>462</v>
      </c>
      <c r="DZ258" t="s">
        <v>4066</v>
      </c>
      <c r="EA258">
        <v>33</v>
      </c>
      <c r="EB258" t="s">
        <v>4065</v>
      </c>
      <c r="EC258">
        <v>0.4</v>
      </c>
      <c r="ED258">
        <v>1678</v>
      </c>
      <c r="EE258">
        <v>49</v>
      </c>
      <c r="EF258" t="s">
        <v>4066</v>
      </c>
      <c r="EG258">
        <v>33</v>
      </c>
      <c r="EH258" t="s">
        <v>4065</v>
      </c>
      <c r="EI258">
        <v>0.4</v>
      </c>
      <c r="EJ258">
        <v>1685</v>
      </c>
      <c r="EK258">
        <v>49</v>
      </c>
      <c r="EL258" t="s">
        <v>4362</v>
      </c>
      <c r="EM258">
        <v>12</v>
      </c>
      <c r="EN258">
        <v>0.5</v>
      </c>
      <c r="EO258">
        <v>0.77</v>
      </c>
      <c r="EP258">
        <v>1685.56</v>
      </c>
      <c r="EQ258">
        <v>23439.82</v>
      </c>
      <c r="ER258">
        <v>3961.87</v>
      </c>
      <c r="ES258">
        <v>0</v>
      </c>
      <c r="ET258">
        <v>0</v>
      </c>
      <c r="EU258">
        <v>1</v>
      </c>
      <c r="EV258">
        <v>27402</v>
      </c>
      <c r="EW258">
        <v>275</v>
      </c>
      <c r="EX258" t="s">
        <v>4287</v>
      </c>
      <c r="EY258">
        <v>180</v>
      </c>
      <c r="EZ258" t="s">
        <v>4055</v>
      </c>
      <c r="FA258">
        <v>4.4</v>
      </c>
      <c r="FB258">
        <v>1</v>
      </c>
      <c r="FC258">
        <v>1</v>
      </c>
      <c r="FD258">
        <v>1719</v>
      </c>
      <c r="FE258">
        <v>1646</v>
      </c>
      <c r="FF258" t="s">
        <v>4288</v>
      </c>
      <c r="FG258">
        <v>180</v>
      </c>
      <c r="FH258" t="s">
        <v>4055</v>
      </c>
      <c r="FI258">
        <v>4.2</v>
      </c>
      <c r="FJ258">
        <v>1719</v>
      </c>
      <c r="FK258">
        <v>1445</v>
      </c>
      <c r="FL258" t="s">
        <v>4069</v>
      </c>
      <c r="FM258" t="s">
        <v>4055</v>
      </c>
      <c r="FN258" t="s">
        <v>4055</v>
      </c>
      <c r="FO258" t="s">
        <v>4055</v>
      </c>
      <c r="FP258">
        <v>1719</v>
      </c>
      <c r="FQ258">
        <v>92</v>
      </c>
      <c r="FR258" t="s">
        <v>4090</v>
      </c>
      <c r="FS258">
        <v>184</v>
      </c>
      <c r="FT258" t="s">
        <v>4055</v>
      </c>
      <c r="FU258">
        <v>0.4</v>
      </c>
      <c r="FV258">
        <v>1719</v>
      </c>
      <c r="FW258">
        <v>141</v>
      </c>
      <c r="FX258" t="s">
        <v>4070</v>
      </c>
      <c r="FY258">
        <v>5</v>
      </c>
      <c r="FZ258" t="s">
        <v>4055</v>
      </c>
      <c r="GA258" t="s">
        <v>4055</v>
      </c>
      <c r="GB258">
        <v>1719</v>
      </c>
      <c r="GC258">
        <v>18</v>
      </c>
      <c r="GD258">
        <v>3342</v>
      </c>
      <c r="GE258" t="s">
        <v>4947</v>
      </c>
      <c r="GF258" t="s">
        <v>4055</v>
      </c>
      <c r="GG258" t="s">
        <v>4055</v>
      </c>
      <c r="GH258" t="s">
        <v>4055</v>
      </c>
      <c r="GI258" t="s">
        <v>4071</v>
      </c>
      <c r="GJ258" t="s">
        <v>4055</v>
      </c>
      <c r="GK258" t="s">
        <v>4055</v>
      </c>
      <c r="GL258" t="s">
        <v>4055</v>
      </c>
      <c r="GM258" t="s">
        <v>4055</v>
      </c>
      <c r="GQ258">
        <v>0</v>
      </c>
      <c r="GV258">
        <v>9</v>
      </c>
      <c r="GW258">
        <v>11</v>
      </c>
      <c r="GX258">
        <v>0.5</v>
      </c>
      <c r="GY258">
        <v>154</v>
      </c>
      <c r="GZ258">
        <v>3</v>
      </c>
      <c r="HA258">
        <v>194</v>
      </c>
      <c r="HB258">
        <v>3</v>
      </c>
      <c r="HC258">
        <v>1719</v>
      </c>
      <c r="HD258">
        <v>4</v>
      </c>
      <c r="HE258" t="s">
        <v>4071</v>
      </c>
      <c r="HG258" t="s">
        <v>549</v>
      </c>
      <c r="HL258">
        <v>4</v>
      </c>
      <c r="HM258">
        <v>14</v>
      </c>
      <c r="HN258">
        <v>6</v>
      </c>
      <c r="HO258">
        <v>1</v>
      </c>
      <c r="HP258">
        <v>0</v>
      </c>
      <c r="HQ258">
        <v>0</v>
      </c>
      <c r="HR258">
        <v>3</v>
      </c>
      <c r="HS258">
        <v>1675</v>
      </c>
      <c r="HT258">
        <v>5</v>
      </c>
      <c r="HU258">
        <v>1</v>
      </c>
      <c r="HV258">
        <v>0</v>
      </c>
      <c r="HW258">
        <v>0</v>
      </c>
      <c r="HX258">
        <v>1</v>
      </c>
      <c r="HY258">
        <v>0</v>
      </c>
      <c r="HZ258">
        <v>61</v>
      </c>
      <c r="IA258">
        <v>1678</v>
      </c>
      <c r="IB258">
        <v>1685</v>
      </c>
      <c r="ID258">
        <v>1719</v>
      </c>
      <c r="IE258">
        <v>1719</v>
      </c>
      <c r="IF258">
        <v>160</v>
      </c>
      <c r="IG258">
        <v>150</v>
      </c>
      <c r="IH258">
        <v>194</v>
      </c>
      <c r="II258">
        <v>0</v>
      </c>
      <c r="IJ258">
        <v>5</v>
      </c>
      <c r="IK258">
        <v>0</v>
      </c>
      <c r="IL258">
        <v>2</v>
      </c>
      <c r="IM258">
        <v>0</v>
      </c>
      <c r="IN258">
        <v>270</v>
      </c>
      <c r="IO258">
        <v>0</v>
      </c>
      <c r="IP258">
        <v>180</v>
      </c>
      <c r="IQ258">
        <v>0</v>
      </c>
      <c r="IR258">
        <v>330</v>
      </c>
      <c r="IS258">
        <v>0</v>
      </c>
      <c r="IT258">
        <v>90</v>
      </c>
      <c r="IU258">
        <v>0</v>
      </c>
      <c r="IV258">
        <v>6.4</v>
      </c>
      <c r="IW258">
        <v>-6</v>
      </c>
      <c r="IX258">
        <v>83</v>
      </c>
      <c r="IY258">
        <v>68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326</v>
      </c>
      <c r="JJ258">
        <v>288</v>
      </c>
      <c r="JK258">
        <v>215</v>
      </c>
      <c r="JL258">
        <v>288</v>
      </c>
      <c r="JM258">
        <v>215</v>
      </c>
      <c r="JN258">
        <v>160</v>
      </c>
      <c r="JO258">
        <v>208</v>
      </c>
      <c r="JP258">
        <v>240</v>
      </c>
      <c r="JQ258">
        <v>300</v>
      </c>
      <c r="JR258">
        <v>356</v>
      </c>
      <c r="JS258">
        <v>270</v>
      </c>
      <c r="JT258">
        <v>0</v>
      </c>
      <c r="JU258">
        <v>0</v>
      </c>
      <c r="JV258">
        <v>335</v>
      </c>
      <c r="JW258">
        <v>337</v>
      </c>
      <c r="JX258">
        <v>349</v>
      </c>
      <c r="JY258">
        <v>334</v>
      </c>
      <c r="JZ258">
        <v>2.5</v>
      </c>
      <c r="KA258">
        <v>0.2</v>
      </c>
      <c r="KB258">
        <v>0.4</v>
      </c>
      <c r="KC258">
        <v>0.42</v>
      </c>
      <c r="KD258">
        <v>0.28</v>
      </c>
      <c r="KE258">
        <v>0.5</v>
      </c>
      <c r="KF258">
        <v>0.18</v>
      </c>
      <c r="KG258">
        <v>0.11</v>
      </c>
      <c r="KH258">
        <v>3.5</v>
      </c>
      <c r="KI258">
        <v>1</v>
      </c>
      <c r="KJ258">
        <v>4.5</v>
      </c>
      <c r="KK258">
        <v>0</v>
      </c>
      <c r="KL258">
        <v>4.5</v>
      </c>
      <c r="KM258">
        <v>0</v>
      </c>
      <c r="KN258">
        <v>1</v>
      </c>
      <c r="KO258">
        <v>1</v>
      </c>
      <c r="KP258">
        <v>0.7</v>
      </c>
      <c r="KQ258">
        <v>0.8</v>
      </c>
      <c r="KR258">
        <v>1</v>
      </c>
      <c r="KS258">
        <v>0</v>
      </c>
      <c r="KT258">
        <v>2.2</v>
      </c>
      <c r="KU258">
        <v>0</v>
      </c>
      <c r="KV258">
        <v>0.9</v>
      </c>
      <c r="KW258">
        <v>1.2</v>
      </c>
      <c r="KX258">
        <v>2</v>
      </c>
      <c r="KY258">
        <v>0</v>
      </c>
      <c r="KZ258">
        <v>3.5</v>
      </c>
      <c r="LA258">
        <v>2</v>
      </c>
      <c r="LB258">
        <v>9</v>
      </c>
      <c r="LC258">
        <v>3.2</v>
      </c>
      <c r="LD258">
        <v>3.6</v>
      </c>
      <c r="LE258">
        <v>2</v>
      </c>
      <c r="LF258">
        <v>0</v>
      </c>
      <c r="LG258">
        <v>0</v>
      </c>
      <c r="LH258">
        <v>3</v>
      </c>
      <c r="LI258">
        <v>2</v>
      </c>
      <c r="LJ258">
        <v>1</v>
      </c>
      <c r="LK258">
        <v>8</v>
      </c>
      <c r="LL258">
        <v>7</v>
      </c>
      <c r="LM258">
        <v>12</v>
      </c>
      <c r="LN258">
        <v>0.1</v>
      </c>
      <c r="LO258">
        <v>0.1</v>
      </c>
      <c r="LP258">
        <v>0</v>
      </c>
      <c r="LQ258">
        <v>0</v>
      </c>
      <c r="LR258">
        <v>0</v>
      </c>
      <c r="LS258">
        <v>1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6.5</v>
      </c>
      <c r="MC258">
        <v>0</v>
      </c>
      <c r="MD258">
        <v>4.5</v>
      </c>
      <c r="ME258">
        <v>6</v>
      </c>
      <c r="MF258">
        <v>6</v>
      </c>
      <c r="MI258">
        <v>0</v>
      </c>
      <c r="MJ258">
        <v>0</v>
      </c>
      <c r="ML258">
        <v>0</v>
      </c>
      <c r="MM258">
        <v>342</v>
      </c>
      <c r="MN258">
        <v>155</v>
      </c>
      <c r="MO258">
        <v>208</v>
      </c>
      <c r="NU258">
        <v>0.15</v>
      </c>
      <c r="NV258">
        <v>0.2</v>
      </c>
      <c r="NW258">
        <v>0.2</v>
      </c>
      <c r="NX258">
        <v>2</v>
      </c>
      <c r="NY258">
        <v>2</v>
      </c>
      <c r="NZ258">
        <v>2</v>
      </c>
      <c r="OE258" t="s">
        <v>4947</v>
      </c>
      <c r="OF258" t="s">
        <v>4945</v>
      </c>
      <c r="OG258" t="s">
        <v>4946</v>
      </c>
      <c r="OH258" t="s">
        <v>4353</v>
      </c>
      <c r="OI258" t="s">
        <v>4947</v>
      </c>
      <c r="OJ258" t="s">
        <v>4944</v>
      </c>
      <c r="OK258">
        <v>61</v>
      </c>
      <c r="OL258">
        <v>61</v>
      </c>
      <c r="OM258" t="s">
        <v>4945</v>
      </c>
      <c r="ON258">
        <v>3</v>
      </c>
      <c r="OO258">
        <v>1678</v>
      </c>
      <c r="OP258">
        <v>61</v>
      </c>
      <c r="OQ258">
        <v>61</v>
      </c>
      <c r="OR258" t="s">
        <v>4946</v>
      </c>
      <c r="OS258">
        <v>3</v>
      </c>
      <c r="OT258">
        <v>1685</v>
      </c>
      <c r="OU258">
        <v>65</v>
      </c>
      <c r="OV258">
        <v>65</v>
      </c>
      <c r="OW258" t="s">
        <v>4353</v>
      </c>
      <c r="OX258">
        <v>1</v>
      </c>
      <c r="OY258">
        <v>27402</v>
      </c>
      <c r="OZ258">
        <v>51</v>
      </c>
      <c r="PA258">
        <v>51</v>
      </c>
      <c r="PB258" t="s">
        <v>4947</v>
      </c>
      <c r="PC258">
        <v>2</v>
      </c>
      <c r="PD258">
        <v>1719</v>
      </c>
      <c r="PF258">
        <v>292</v>
      </c>
      <c r="PG258">
        <v>29</v>
      </c>
      <c r="PH258">
        <v>274</v>
      </c>
      <c r="PI258">
        <v>29</v>
      </c>
      <c r="PJ258">
        <v>53.4</v>
      </c>
      <c r="PK258">
        <v>1945</v>
      </c>
      <c r="PL258">
        <v>957.5</v>
      </c>
      <c r="PM258">
        <v>840.4</v>
      </c>
      <c r="PN258">
        <v>81.8</v>
      </c>
      <c r="PO258">
        <v>10.5</v>
      </c>
      <c r="PP258">
        <v>10</v>
      </c>
      <c r="PQ258">
        <v>8</v>
      </c>
      <c r="PR258">
        <v>8</v>
      </c>
      <c r="PS258">
        <v>6</v>
      </c>
      <c r="PT258">
        <v>194</v>
      </c>
      <c r="PU258">
        <v>7</v>
      </c>
      <c r="PV258" t="s">
        <v>4072</v>
      </c>
      <c r="PW258" t="s">
        <v>4072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-1</v>
      </c>
      <c r="QF258">
        <v>1</v>
      </c>
      <c r="QG258">
        <v>0</v>
      </c>
      <c r="QH258">
        <v>5</v>
      </c>
      <c r="QI258">
        <v>5</v>
      </c>
      <c r="QJ258">
        <v>5</v>
      </c>
      <c r="QK258">
        <v>158</v>
      </c>
      <c r="QL258">
        <v>360</v>
      </c>
      <c r="QM258">
        <v>7.5</v>
      </c>
      <c r="QN258">
        <v>1123</v>
      </c>
      <c r="QO258" t="s">
        <v>3054</v>
      </c>
      <c r="QP258" t="s">
        <v>513</v>
      </c>
      <c r="QQ258">
        <v>0</v>
      </c>
      <c r="QR258" t="s">
        <v>540</v>
      </c>
      <c r="QS258">
        <v>30</v>
      </c>
      <c r="QT258">
        <v>40</v>
      </c>
    </row>
    <row r="259" spans="1:462">
      <c r="A259" t="s">
        <v>3218</v>
      </c>
      <c r="B259" t="s">
        <v>657</v>
      </c>
      <c r="C259" t="s">
        <v>509</v>
      </c>
      <c r="D259" t="s">
        <v>4178</v>
      </c>
      <c r="E259" t="s">
        <v>4036</v>
      </c>
      <c r="H259" t="s">
        <v>604</v>
      </c>
      <c r="J259" t="s">
        <v>628</v>
      </c>
      <c r="K259" t="s">
        <v>606</v>
      </c>
      <c r="L259" t="s">
        <v>559</v>
      </c>
      <c r="M259" t="s">
        <v>512</v>
      </c>
      <c r="O259" t="s">
        <v>513</v>
      </c>
      <c r="P259" t="s">
        <v>517</v>
      </c>
      <c r="Q259" t="s">
        <v>1670</v>
      </c>
      <c r="R259" t="s">
        <v>1671</v>
      </c>
      <c r="S259" t="s">
        <v>4391</v>
      </c>
      <c r="T259" t="s">
        <v>1482</v>
      </c>
      <c r="U259" t="s">
        <v>1483</v>
      </c>
      <c r="V259" t="s">
        <v>3219</v>
      </c>
      <c r="W259" t="s">
        <v>3058</v>
      </c>
      <c r="X259" t="s">
        <v>3220</v>
      </c>
      <c r="Y259" t="s">
        <v>3221</v>
      </c>
      <c r="Z259" t="s">
        <v>541</v>
      </c>
      <c r="AA259" t="s">
        <v>3054</v>
      </c>
      <c r="AB259" t="s">
        <v>4948</v>
      </c>
      <c r="AC259">
        <v>15</v>
      </c>
      <c r="AD259" t="s">
        <v>3217</v>
      </c>
      <c r="AE259">
        <v>7</v>
      </c>
      <c r="AF259">
        <v>4610</v>
      </c>
      <c r="AG259" t="s">
        <v>4927</v>
      </c>
      <c r="AH259">
        <v>1</v>
      </c>
      <c r="AI259" t="s">
        <v>4041</v>
      </c>
      <c r="AK259" t="s">
        <v>4928</v>
      </c>
      <c r="AL259">
        <v>1</v>
      </c>
      <c r="AM259" t="s">
        <v>582</v>
      </c>
      <c r="AO259" t="s">
        <v>4426</v>
      </c>
      <c r="AP259">
        <v>1</v>
      </c>
      <c r="AR259" t="s">
        <v>4949</v>
      </c>
      <c r="AS259">
        <v>1</v>
      </c>
      <c r="AT259">
        <v>51</v>
      </c>
      <c r="AV259" t="s">
        <v>4045</v>
      </c>
      <c r="AW259">
        <v>6.4</v>
      </c>
      <c r="AX259">
        <v>-6</v>
      </c>
      <c r="AY259">
        <v>88</v>
      </c>
      <c r="AZ259">
        <v>70</v>
      </c>
      <c r="BH259">
        <v>88</v>
      </c>
      <c r="BI259">
        <v>18</v>
      </c>
      <c r="BJ259">
        <v>70</v>
      </c>
      <c r="BK259">
        <v>3</v>
      </c>
      <c r="BL259">
        <v>176</v>
      </c>
      <c r="BM259">
        <v>-6</v>
      </c>
      <c r="BN259">
        <v>0</v>
      </c>
      <c r="BP259">
        <v>0</v>
      </c>
      <c r="BR259">
        <v>170</v>
      </c>
      <c r="BS259">
        <v>160</v>
      </c>
      <c r="BT259">
        <v>1945</v>
      </c>
      <c r="BU259" t="s">
        <v>4096</v>
      </c>
      <c r="BV259" t="s">
        <v>4096</v>
      </c>
      <c r="BW259" t="s">
        <v>4097</v>
      </c>
      <c r="BX259" t="s">
        <v>4097</v>
      </c>
      <c r="BY259" t="s">
        <v>4428</v>
      </c>
      <c r="BZ259" t="s">
        <v>4428</v>
      </c>
      <c r="CA259" t="s">
        <v>4370</v>
      </c>
      <c r="CB259" t="s">
        <v>4371</v>
      </c>
      <c r="CC259" t="s">
        <v>4053</v>
      </c>
      <c r="CD259" t="s">
        <v>4372</v>
      </c>
      <c r="CE259" t="s">
        <v>4055</v>
      </c>
      <c r="CF259" t="s">
        <v>4055</v>
      </c>
      <c r="CG259" t="s">
        <v>4056</v>
      </c>
      <c r="CH259" t="s">
        <v>4057</v>
      </c>
      <c r="CI259" t="s">
        <v>4058</v>
      </c>
      <c r="CJ259" t="s">
        <v>4059</v>
      </c>
      <c r="CK259" t="s">
        <v>4060</v>
      </c>
      <c r="CL259" t="s">
        <v>4061</v>
      </c>
      <c r="CM259" t="s">
        <v>4062</v>
      </c>
      <c r="CN259" t="s">
        <v>4055</v>
      </c>
      <c r="CO259" t="s">
        <v>4063</v>
      </c>
      <c r="CP259" t="s">
        <v>4055</v>
      </c>
      <c r="CQ259" t="s">
        <v>4055</v>
      </c>
      <c r="CR259">
        <v>5</v>
      </c>
      <c r="CS259" t="s">
        <v>4055</v>
      </c>
      <c r="CT259" t="s">
        <v>4055</v>
      </c>
      <c r="CU259" t="s">
        <v>4055</v>
      </c>
      <c r="CV259">
        <v>119</v>
      </c>
      <c r="CW259">
        <v>3</v>
      </c>
      <c r="CX259">
        <v>72</v>
      </c>
      <c r="CY259">
        <v>5</v>
      </c>
      <c r="CZ259">
        <v>151</v>
      </c>
      <c r="DA259">
        <v>5</v>
      </c>
      <c r="DB259">
        <v>10420</v>
      </c>
      <c r="DC259">
        <v>310</v>
      </c>
      <c r="DD259">
        <v>325</v>
      </c>
      <c r="DE259">
        <v>2065</v>
      </c>
      <c r="DF259">
        <v>2045</v>
      </c>
      <c r="DG259">
        <v>2068</v>
      </c>
      <c r="DH259" t="s">
        <v>4055</v>
      </c>
      <c r="DI259" t="s">
        <v>4055</v>
      </c>
      <c r="DJ259" t="s">
        <v>4100</v>
      </c>
      <c r="DK259">
        <v>170</v>
      </c>
      <c r="DL259" t="s">
        <v>4101</v>
      </c>
      <c r="DM259">
        <v>63</v>
      </c>
      <c r="DN259">
        <v>0.84</v>
      </c>
      <c r="DO259">
        <v>1</v>
      </c>
      <c r="DP259">
        <v>1948</v>
      </c>
      <c r="DQ259">
        <v>606</v>
      </c>
      <c r="DR259" t="s">
        <v>4100</v>
      </c>
      <c r="DS259">
        <v>160</v>
      </c>
      <c r="DT259" t="s">
        <v>4101</v>
      </c>
      <c r="DU259">
        <v>63</v>
      </c>
      <c r="DV259">
        <v>0.84</v>
      </c>
      <c r="DW259">
        <v>1</v>
      </c>
      <c r="DX259">
        <v>1955</v>
      </c>
      <c r="DY259">
        <v>571</v>
      </c>
      <c r="DZ259" t="s">
        <v>4066</v>
      </c>
      <c r="EA259">
        <v>33</v>
      </c>
      <c r="EB259" t="s">
        <v>4065</v>
      </c>
      <c r="EC259">
        <v>0.4</v>
      </c>
      <c r="ED259">
        <v>1948</v>
      </c>
      <c r="EE259">
        <v>56</v>
      </c>
      <c r="EF259" t="s">
        <v>4066</v>
      </c>
      <c r="EG259">
        <v>33</v>
      </c>
      <c r="EH259" t="s">
        <v>4065</v>
      </c>
      <c r="EI259">
        <v>0.4</v>
      </c>
      <c r="EJ259">
        <v>1955</v>
      </c>
      <c r="EK259">
        <v>57</v>
      </c>
      <c r="EL259" t="s">
        <v>4429</v>
      </c>
      <c r="EM259">
        <v>12</v>
      </c>
      <c r="EN259">
        <v>0.5</v>
      </c>
      <c r="EO259">
        <v>0.9</v>
      </c>
      <c r="EP259">
        <v>1955.56</v>
      </c>
      <c r="EQ259">
        <v>28722.29</v>
      </c>
      <c r="ER259">
        <v>5515.92</v>
      </c>
      <c r="ES259">
        <v>0</v>
      </c>
      <c r="ET259">
        <v>0</v>
      </c>
      <c r="EU259">
        <v>1</v>
      </c>
      <c r="EV259">
        <v>34239</v>
      </c>
      <c r="EW259">
        <v>411</v>
      </c>
      <c r="EX259" t="s">
        <v>4287</v>
      </c>
      <c r="EY259">
        <v>202</v>
      </c>
      <c r="EZ259" t="s">
        <v>4055</v>
      </c>
      <c r="FA259">
        <v>5</v>
      </c>
      <c r="FB259">
        <v>1</v>
      </c>
      <c r="FC259">
        <v>1</v>
      </c>
      <c r="FD259">
        <v>1990</v>
      </c>
      <c r="FE259">
        <v>2324</v>
      </c>
      <c r="FF259" t="s">
        <v>4288</v>
      </c>
      <c r="FG259">
        <v>202</v>
      </c>
      <c r="FH259" t="s">
        <v>4055</v>
      </c>
      <c r="FI259">
        <v>3.6</v>
      </c>
      <c r="FJ259">
        <v>1990</v>
      </c>
      <c r="FK259">
        <v>1433</v>
      </c>
      <c r="FL259" t="s">
        <v>4069</v>
      </c>
      <c r="FM259" t="s">
        <v>4055</v>
      </c>
      <c r="FN259" t="s">
        <v>4055</v>
      </c>
      <c r="FO259" t="s">
        <v>4055</v>
      </c>
      <c r="FP259">
        <v>1990</v>
      </c>
      <c r="FQ259">
        <v>147</v>
      </c>
      <c r="FR259" t="s">
        <v>4090</v>
      </c>
      <c r="FS259">
        <v>206</v>
      </c>
      <c r="FT259" t="s">
        <v>4055</v>
      </c>
      <c r="FU259">
        <v>0.4</v>
      </c>
      <c r="FV259">
        <v>1990</v>
      </c>
      <c r="FW259">
        <v>182</v>
      </c>
      <c r="FX259" t="s">
        <v>4070</v>
      </c>
      <c r="FY259">
        <v>5</v>
      </c>
      <c r="FZ259" t="s">
        <v>4055</v>
      </c>
      <c r="GA259" t="s">
        <v>4055</v>
      </c>
      <c r="GB259">
        <v>1990</v>
      </c>
      <c r="GC259">
        <v>21</v>
      </c>
      <c r="GD259">
        <v>4107</v>
      </c>
      <c r="GE259" t="s">
        <v>4949</v>
      </c>
      <c r="GF259" t="s">
        <v>4055</v>
      </c>
      <c r="GG259" t="s">
        <v>4055</v>
      </c>
      <c r="GH259" t="s">
        <v>4055</v>
      </c>
      <c r="GI259" t="s">
        <v>4071</v>
      </c>
      <c r="GJ259" t="s">
        <v>4055</v>
      </c>
      <c r="GK259" t="s">
        <v>4055</v>
      </c>
      <c r="GL259" t="s">
        <v>4055</v>
      </c>
      <c r="GM259" t="s">
        <v>4055</v>
      </c>
      <c r="GQ259">
        <v>0</v>
      </c>
      <c r="GV259">
        <v>9</v>
      </c>
      <c r="GW259">
        <v>10.5</v>
      </c>
      <c r="GX259">
        <v>0.5</v>
      </c>
      <c r="GY259">
        <v>160</v>
      </c>
      <c r="GZ259">
        <v>3</v>
      </c>
      <c r="HA259">
        <v>220</v>
      </c>
      <c r="HB259">
        <v>3</v>
      </c>
      <c r="HC259">
        <v>1990</v>
      </c>
      <c r="HD259">
        <v>4</v>
      </c>
      <c r="HE259" t="s">
        <v>4071</v>
      </c>
      <c r="HG259" t="s">
        <v>549</v>
      </c>
      <c r="HL259">
        <v>4</v>
      </c>
      <c r="HM259">
        <v>15</v>
      </c>
      <c r="HN259">
        <v>6</v>
      </c>
      <c r="HO259">
        <v>1</v>
      </c>
      <c r="HP259">
        <v>0</v>
      </c>
      <c r="HQ259">
        <v>0</v>
      </c>
      <c r="HR259">
        <v>3</v>
      </c>
      <c r="HS259">
        <v>1945</v>
      </c>
      <c r="HT259">
        <v>5</v>
      </c>
      <c r="HU259">
        <v>1</v>
      </c>
      <c r="HV259">
        <v>5</v>
      </c>
      <c r="HW259">
        <v>0</v>
      </c>
      <c r="HX259">
        <v>1</v>
      </c>
      <c r="HY259">
        <v>0</v>
      </c>
      <c r="HZ259">
        <v>63</v>
      </c>
      <c r="IA259">
        <v>1948</v>
      </c>
      <c r="IB259">
        <v>1955</v>
      </c>
      <c r="ID259">
        <v>1990</v>
      </c>
      <c r="IE259">
        <v>1990</v>
      </c>
      <c r="IF259">
        <v>170</v>
      </c>
      <c r="IG259">
        <v>160</v>
      </c>
      <c r="IH259">
        <v>220</v>
      </c>
      <c r="II259">
        <v>1</v>
      </c>
      <c r="IJ259">
        <v>5</v>
      </c>
      <c r="IK259">
        <v>0</v>
      </c>
      <c r="IL259">
        <v>1</v>
      </c>
      <c r="IM259">
        <v>0</v>
      </c>
      <c r="IN259">
        <v>270</v>
      </c>
      <c r="IO259">
        <v>0</v>
      </c>
      <c r="IP259">
        <v>180</v>
      </c>
      <c r="IQ259">
        <v>0</v>
      </c>
      <c r="IR259">
        <v>330</v>
      </c>
      <c r="IS259">
        <v>0</v>
      </c>
      <c r="IT259">
        <v>90</v>
      </c>
      <c r="IU259">
        <v>0</v>
      </c>
      <c r="IV259">
        <v>6.4</v>
      </c>
      <c r="IW259">
        <v>-6</v>
      </c>
      <c r="IX259">
        <v>88</v>
      </c>
      <c r="IY259">
        <v>70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408</v>
      </c>
      <c r="JJ259">
        <v>378</v>
      </c>
      <c r="JK259">
        <v>280</v>
      </c>
      <c r="JL259">
        <v>374</v>
      </c>
      <c r="JM259">
        <v>295</v>
      </c>
      <c r="JN259">
        <v>175</v>
      </c>
      <c r="JO259">
        <v>234</v>
      </c>
      <c r="JP259">
        <v>205</v>
      </c>
      <c r="JQ259">
        <v>265</v>
      </c>
      <c r="JR259">
        <v>370</v>
      </c>
      <c r="JS259">
        <v>250</v>
      </c>
      <c r="JT259">
        <v>0</v>
      </c>
      <c r="JU259">
        <v>0</v>
      </c>
      <c r="JV259">
        <v>335</v>
      </c>
      <c r="JW259">
        <v>337</v>
      </c>
      <c r="JX259">
        <v>340</v>
      </c>
      <c r="JY259">
        <v>310</v>
      </c>
      <c r="JZ259">
        <v>1.5</v>
      </c>
      <c r="KA259">
        <v>0.2</v>
      </c>
      <c r="KB259">
        <v>0.4</v>
      </c>
      <c r="KC259">
        <v>0.42</v>
      </c>
      <c r="KD259">
        <v>0.28</v>
      </c>
      <c r="KE259">
        <v>0.5</v>
      </c>
      <c r="KF259">
        <v>0.17</v>
      </c>
      <c r="KG259">
        <v>0.1</v>
      </c>
      <c r="KH259">
        <v>3.5</v>
      </c>
      <c r="KI259">
        <v>1</v>
      </c>
      <c r="KJ259">
        <v>6.5</v>
      </c>
      <c r="KK259">
        <v>0</v>
      </c>
      <c r="KL259">
        <v>6.5</v>
      </c>
      <c r="KM259">
        <v>0</v>
      </c>
      <c r="KN259">
        <v>1.2</v>
      </c>
      <c r="KO259">
        <v>0</v>
      </c>
      <c r="KP259">
        <v>0</v>
      </c>
      <c r="KQ259">
        <v>0.7</v>
      </c>
      <c r="KR259">
        <v>0.8</v>
      </c>
      <c r="KS259">
        <v>0</v>
      </c>
      <c r="KT259">
        <v>2.4</v>
      </c>
      <c r="KU259">
        <v>0</v>
      </c>
      <c r="KV259">
        <v>0</v>
      </c>
      <c r="KW259">
        <v>1.2</v>
      </c>
      <c r="KX259">
        <v>2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3</v>
      </c>
      <c r="LI259">
        <v>0.5</v>
      </c>
      <c r="LJ259">
        <v>0</v>
      </c>
      <c r="LK259">
        <v>6</v>
      </c>
      <c r="LL259">
        <v>12</v>
      </c>
      <c r="LM259">
        <v>9</v>
      </c>
      <c r="LN259">
        <v>1</v>
      </c>
      <c r="LO259">
        <v>1</v>
      </c>
      <c r="LP259">
        <v>0</v>
      </c>
      <c r="LQ259">
        <v>0</v>
      </c>
      <c r="LR259">
        <v>0</v>
      </c>
      <c r="LS259">
        <v>1</v>
      </c>
      <c r="LT259">
        <v>0</v>
      </c>
      <c r="LU259">
        <v>0</v>
      </c>
      <c r="LV259">
        <v>0</v>
      </c>
      <c r="LW259">
        <v>2.1</v>
      </c>
      <c r="LX259">
        <v>2.1</v>
      </c>
      <c r="LY259">
        <v>2.1</v>
      </c>
      <c r="LZ259">
        <v>2.1</v>
      </c>
      <c r="MA259">
        <v>0</v>
      </c>
      <c r="MB259">
        <v>8</v>
      </c>
      <c r="MC259">
        <v>0</v>
      </c>
      <c r="MD259">
        <v>10</v>
      </c>
      <c r="ME259">
        <v>10</v>
      </c>
      <c r="MF259">
        <v>10</v>
      </c>
      <c r="MG259">
        <v>20</v>
      </c>
      <c r="MH259">
        <v>20</v>
      </c>
      <c r="MI259">
        <v>0</v>
      </c>
      <c r="MJ259">
        <v>0</v>
      </c>
      <c r="ML259">
        <v>0</v>
      </c>
      <c r="MM259">
        <v>390</v>
      </c>
      <c r="MN259">
        <v>170</v>
      </c>
      <c r="MO259">
        <v>228</v>
      </c>
      <c r="NU259">
        <v>0.15</v>
      </c>
      <c r="NV259">
        <v>0.2</v>
      </c>
      <c r="NW259">
        <v>0.2</v>
      </c>
      <c r="NX259">
        <v>0.2</v>
      </c>
      <c r="NY259">
        <v>0.2</v>
      </c>
      <c r="NZ259">
        <v>0.2</v>
      </c>
      <c r="OE259" t="s">
        <v>4949</v>
      </c>
      <c r="OF259" t="s">
        <v>4927</v>
      </c>
      <c r="OG259" t="s">
        <v>4928</v>
      </c>
      <c r="OH259" t="s">
        <v>4426</v>
      </c>
      <c r="OI259" t="s">
        <v>4949</v>
      </c>
      <c r="OJ259" t="s">
        <v>4948</v>
      </c>
      <c r="OK259">
        <v>61</v>
      </c>
      <c r="OL259">
        <v>61</v>
      </c>
      <c r="OM259" t="s">
        <v>4927</v>
      </c>
      <c r="ON259">
        <v>3</v>
      </c>
      <c r="OO259">
        <v>1948</v>
      </c>
      <c r="OP259">
        <v>61</v>
      </c>
      <c r="OQ259">
        <v>61</v>
      </c>
      <c r="OR259" t="s">
        <v>4928</v>
      </c>
      <c r="OS259">
        <v>3</v>
      </c>
      <c r="OT259">
        <v>1955</v>
      </c>
      <c r="OU259">
        <v>65</v>
      </c>
      <c r="OV259">
        <v>65</v>
      </c>
      <c r="OW259" t="s">
        <v>4426</v>
      </c>
      <c r="OX259">
        <v>1</v>
      </c>
      <c r="OY259">
        <v>34239</v>
      </c>
      <c r="OZ259">
        <v>51</v>
      </c>
      <c r="PA259">
        <v>51</v>
      </c>
      <c r="PB259" t="s">
        <v>4949</v>
      </c>
      <c r="PC259">
        <v>1</v>
      </c>
      <c r="PD259">
        <v>1990</v>
      </c>
      <c r="PF259">
        <v>311</v>
      </c>
      <c r="PG259">
        <v>29</v>
      </c>
      <c r="PH259">
        <v>292</v>
      </c>
      <c r="PI259">
        <v>29</v>
      </c>
      <c r="PJ259">
        <v>73.7</v>
      </c>
      <c r="PK259">
        <v>2047</v>
      </c>
      <c r="PL259">
        <v>1167.9</v>
      </c>
      <c r="PM259">
        <v>720.1</v>
      </c>
      <c r="PN259">
        <v>91.59999999999999</v>
      </c>
      <c r="PO259">
        <v>10.5</v>
      </c>
      <c r="PP259">
        <v>12</v>
      </c>
      <c r="PQ259">
        <v>1</v>
      </c>
      <c r="PR259">
        <v>3</v>
      </c>
      <c r="PS259">
        <v>7</v>
      </c>
      <c r="PT259">
        <v>220</v>
      </c>
      <c r="PU259">
        <v>9</v>
      </c>
      <c r="PV259" t="s">
        <v>4072</v>
      </c>
      <c r="PW259" t="s">
        <v>4072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-1</v>
      </c>
      <c r="QF259">
        <v>1</v>
      </c>
      <c r="QG259">
        <v>0</v>
      </c>
      <c r="QH259">
        <v>5</v>
      </c>
      <c r="QI259">
        <v>5</v>
      </c>
      <c r="QJ259">
        <v>5</v>
      </c>
      <c r="QK259">
        <v>199</v>
      </c>
      <c r="QL259">
        <v>442</v>
      </c>
      <c r="QM259">
        <v>7.5</v>
      </c>
      <c r="QN259">
        <v>1205.9</v>
      </c>
      <c r="QO259" t="s">
        <v>3054</v>
      </c>
      <c r="QP259" t="s">
        <v>513</v>
      </c>
      <c r="QQ259">
        <v>0</v>
      </c>
      <c r="QR259" t="s">
        <v>621</v>
      </c>
      <c r="QS259">
        <v>30</v>
      </c>
      <c r="QT259">
        <v>40</v>
      </c>
    </row>
    <row r="260" spans="1:462">
      <c r="A260" t="s">
        <v>3229</v>
      </c>
      <c r="B260" t="s">
        <v>657</v>
      </c>
      <c r="C260" t="s">
        <v>509</v>
      </c>
      <c r="D260" t="s">
        <v>2323</v>
      </c>
      <c r="E260" t="s">
        <v>4036</v>
      </c>
      <c r="H260" t="s">
        <v>604</v>
      </c>
      <c r="I260" t="s">
        <v>605</v>
      </c>
      <c r="J260" t="s">
        <v>628</v>
      </c>
      <c r="K260" t="s">
        <v>606</v>
      </c>
      <c r="L260" t="s">
        <v>559</v>
      </c>
      <c r="M260" t="s">
        <v>512</v>
      </c>
      <c r="O260" t="s">
        <v>513</v>
      </c>
      <c r="P260" t="s">
        <v>517</v>
      </c>
      <c r="Q260" t="s">
        <v>1681</v>
      </c>
      <c r="R260" t="s">
        <v>1682</v>
      </c>
      <c r="S260" t="s">
        <v>4170</v>
      </c>
      <c r="T260" t="s">
        <v>520</v>
      </c>
      <c r="U260" t="s">
        <v>521</v>
      </c>
      <c r="V260" t="s">
        <v>2477</v>
      </c>
      <c r="W260" t="s">
        <v>3048</v>
      </c>
      <c r="X260" t="s">
        <v>3230</v>
      </c>
      <c r="Y260" t="s">
        <v>3231</v>
      </c>
      <c r="Z260" t="s">
        <v>541</v>
      </c>
      <c r="AA260" t="s">
        <v>4038</v>
      </c>
      <c r="AB260" t="s">
        <v>4950</v>
      </c>
      <c r="AC260">
        <v>10</v>
      </c>
      <c r="AD260" t="s">
        <v>3228</v>
      </c>
      <c r="AE260">
        <v>7</v>
      </c>
      <c r="AF260">
        <v>3922</v>
      </c>
      <c r="AG260" t="s">
        <v>4951</v>
      </c>
      <c r="AH260">
        <v>1</v>
      </c>
      <c r="AI260" t="s">
        <v>4041</v>
      </c>
      <c r="AK260" t="s">
        <v>4952</v>
      </c>
      <c r="AL260">
        <v>1</v>
      </c>
      <c r="AM260" t="s">
        <v>582</v>
      </c>
      <c r="AO260" t="s">
        <v>4353</v>
      </c>
      <c r="AP260">
        <v>1</v>
      </c>
      <c r="AR260" t="s">
        <v>4953</v>
      </c>
      <c r="AS260">
        <v>1</v>
      </c>
      <c r="AT260">
        <v>51</v>
      </c>
      <c r="AV260" t="s">
        <v>4078</v>
      </c>
      <c r="AW260">
        <v>6.4</v>
      </c>
      <c r="AX260">
        <v>-6</v>
      </c>
      <c r="AY260">
        <v>93</v>
      </c>
      <c r="AZ260">
        <v>68</v>
      </c>
      <c r="BH260">
        <v>93</v>
      </c>
      <c r="BI260">
        <v>25</v>
      </c>
      <c r="BJ260">
        <v>68</v>
      </c>
      <c r="BK260">
        <v>3</v>
      </c>
      <c r="BL260">
        <v>186</v>
      </c>
      <c r="BM260">
        <v>-6</v>
      </c>
      <c r="BN260">
        <v>0</v>
      </c>
      <c r="BP260">
        <v>0</v>
      </c>
      <c r="BR260">
        <v>180</v>
      </c>
      <c r="BS260">
        <v>170</v>
      </c>
      <c r="BT260">
        <v>1900</v>
      </c>
      <c r="BU260" t="s">
        <v>4047</v>
      </c>
      <c r="BV260" t="s">
        <v>4047</v>
      </c>
      <c r="BW260" t="s">
        <v>4049</v>
      </c>
      <c r="BX260" t="s">
        <v>4049</v>
      </c>
      <c r="BY260" t="s">
        <v>4050</v>
      </c>
      <c r="BZ260" t="s">
        <v>4050</v>
      </c>
      <c r="CA260" t="s">
        <v>4051</v>
      </c>
      <c r="CB260" t="s">
        <v>4052</v>
      </c>
      <c r="CC260" t="s">
        <v>4053</v>
      </c>
      <c r="CD260" t="s">
        <v>4054</v>
      </c>
      <c r="CE260" t="s">
        <v>4055</v>
      </c>
      <c r="CF260" t="s">
        <v>4055</v>
      </c>
      <c r="CG260" t="s">
        <v>4056</v>
      </c>
      <c r="CH260" t="s">
        <v>4057</v>
      </c>
      <c r="CI260" t="s">
        <v>4058</v>
      </c>
      <c r="CJ260" t="s">
        <v>4059</v>
      </c>
      <c r="CK260" t="s">
        <v>4060</v>
      </c>
      <c r="CL260" t="s">
        <v>4061</v>
      </c>
      <c r="CM260" t="s">
        <v>4062</v>
      </c>
      <c r="CN260" t="s">
        <v>4055</v>
      </c>
      <c r="CO260" t="s">
        <v>4063</v>
      </c>
      <c r="CP260" t="s">
        <v>4055</v>
      </c>
      <c r="CQ260" t="s">
        <v>4055</v>
      </c>
      <c r="CR260">
        <v>5</v>
      </c>
      <c r="CS260" t="s">
        <v>4055</v>
      </c>
      <c r="CT260" t="s">
        <v>4055</v>
      </c>
      <c r="CU260" t="s">
        <v>4055</v>
      </c>
      <c r="CV260">
        <v>121</v>
      </c>
      <c r="CW260">
        <v>3</v>
      </c>
      <c r="CX260">
        <v>79</v>
      </c>
      <c r="CY260">
        <v>5</v>
      </c>
      <c r="CZ260">
        <v>138</v>
      </c>
      <c r="DA260">
        <v>5</v>
      </c>
      <c r="DB260">
        <v>10160</v>
      </c>
      <c r="DC260">
        <v>300</v>
      </c>
      <c r="DD260">
        <v>316</v>
      </c>
      <c r="DE260">
        <v>2007</v>
      </c>
      <c r="DF260">
        <v>2007</v>
      </c>
      <c r="DG260">
        <v>2020</v>
      </c>
      <c r="DH260" t="s">
        <v>4055</v>
      </c>
      <c r="DJ260" t="s">
        <v>4100</v>
      </c>
      <c r="DK260">
        <v>180</v>
      </c>
      <c r="DL260" t="s">
        <v>4101</v>
      </c>
      <c r="DM260">
        <v>63</v>
      </c>
      <c r="DN260">
        <v>0.84</v>
      </c>
      <c r="DO260">
        <v>1</v>
      </c>
      <c r="DP260">
        <v>1903</v>
      </c>
      <c r="DQ260">
        <v>626</v>
      </c>
      <c r="DR260" t="s">
        <v>4100</v>
      </c>
      <c r="DS260">
        <v>170</v>
      </c>
      <c r="DT260" t="s">
        <v>4101</v>
      </c>
      <c r="DU260">
        <v>63</v>
      </c>
      <c r="DV260">
        <v>0.84</v>
      </c>
      <c r="DW260">
        <v>1</v>
      </c>
      <c r="DX260">
        <v>1910</v>
      </c>
      <c r="DY260">
        <v>594</v>
      </c>
      <c r="DZ260" t="s">
        <v>4066</v>
      </c>
      <c r="EA260">
        <v>33</v>
      </c>
      <c r="EB260" t="s">
        <v>4065</v>
      </c>
      <c r="EC260">
        <v>0.4</v>
      </c>
      <c r="ED260">
        <v>1903</v>
      </c>
      <c r="EE260">
        <v>55</v>
      </c>
      <c r="EF260" t="s">
        <v>4066</v>
      </c>
      <c r="EG260">
        <v>33</v>
      </c>
      <c r="EH260" t="s">
        <v>4065</v>
      </c>
      <c r="EI260">
        <v>0.4</v>
      </c>
      <c r="EJ260">
        <v>1910</v>
      </c>
      <c r="EK260">
        <v>55</v>
      </c>
      <c r="EL260" t="s">
        <v>4362</v>
      </c>
      <c r="EM260">
        <v>12</v>
      </c>
      <c r="EN260">
        <v>0.5</v>
      </c>
      <c r="EO260">
        <v>0.77</v>
      </c>
      <c r="EP260">
        <v>1910.56</v>
      </c>
      <c r="EQ260">
        <v>29553.98</v>
      </c>
      <c r="ER260">
        <v>7482.02</v>
      </c>
      <c r="ES260">
        <v>0</v>
      </c>
      <c r="ET260">
        <v>0</v>
      </c>
      <c r="EU260">
        <v>1</v>
      </c>
      <c r="EV260">
        <v>37036</v>
      </c>
      <c r="EW260">
        <v>371</v>
      </c>
      <c r="EX260" t="s">
        <v>4287</v>
      </c>
      <c r="EY260">
        <v>196</v>
      </c>
      <c r="EZ260" t="s">
        <v>4055</v>
      </c>
      <c r="FA260">
        <v>5.2</v>
      </c>
      <c r="FB260">
        <v>1</v>
      </c>
      <c r="FC260">
        <v>1</v>
      </c>
      <c r="FD260">
        <v>1947</v>
      </c>
      <c r="FE260">
        <v>2234</v>
      </c>
      <c r="FF260" t="s">
        <v>4288</v>
      </c>
      <c r="FG260">
        <v>196</v>
      </c>
      <c r="FH260" t="s">
        <v>4055</v>
      </c>
      <c r="FI260">
        <v>4.4</v>
      </c>
      <c r="FJ260">
        <v>1947</v>
      </c>
      <c r="FK260">
        <v>1866</v>
      </c>
      <c r="FL260" t="s">
        <v>4069</v>
      </c>
      <c r="FM260" t="s">
        <v>4055</v>
      </c>
      <c r="FN260" t="s">
        <v>4055</v>
      </c>
      <c r="FO260" t="s">
        <v>4055</v>
      </c>
      <c r="FP260">
        <v>1947</v>
      </c>
      <c r="FQ260">
        <v>235</v>
      </c>
      <c r="FR260" t="s">
        <v>4090</v>
      </c>
      <c r="FS260">
        <v>200</v>
      </c>
      <c r="FT260" t="s">
        <v>4055</v>
      </c>
      <c r="FU260">
        <v>0.4</v>
      </c>
      <c r="FV260">
        <v>1947</v>
      </c>
      <c r="FW260">
        <v>173</v>
      </c>
      <c r="FX260" t="s">
        <v>4070</v>
      </c>
      <c r="FY260">
        <v>5</v>
      </c>
      <c r="FZ260" t="s">
        <v>4055</v>
      </c>
      <c r="GA260" t="s">
        <v>4055</v>
      </c>
      <c r="GB260">
        <v>1947</v>
      </c>
      <c r="GC260">
        <v>23</v>
      </c>
      <c r="GD260">
        <v>4531</v>
      </c>
      <c r="GE260" t="s">
        <v>4953</v>
      </c>
      <c r="GF260" t="s">
        <v>4055</v>
      </c>
      <c r="GG260" t="s">
        <v>4055</v>
      </c>
      <c r="GH260" t="s">
        <v>4055</v>
      </c>
      <c r="GI260" t="s">
        <v>4071</v>
      </c>
      <c r="GJ260" t="s">
        <v>4055</v>
      </c>
      <c r="GK260" t="s">
        <v>4055</v>
      </c>
      <c r="GL260" t="s">
        <v>4055</v>
      </c>
      <c r="GM260" t="s">
        <v>4055</v>
      </c>
      <c r="GQ260">
        <v>0</v>
      </c>
      <c r="GV260">
        <v>10</v>
      </c>
      <c r="GW260">
        <v>11.5</v>
      </c>
      <c r="GX260">
        <v>0.5</v>
      </c>
      <c r="GY260">
        <v>162</v>
      </c>
      <c r="GZ260">
        <v>3</v>
      </c>
      <c r="HA260">
        <v>222</v>
      </c>
      <c r="HB260">
        <v>3</v>
      </c>
      <c r="HC260">
        <v>1947</v>
      </c>
      <c r="HD260">
        <v>4</v>
      </c>
      <c r="HE260" t="s">
        <v>4071</v>
      </c>
      <c r="HG260" t="s">
        <v>549</v>
      </c>
      <c r="HL260">
        <v>4</v>
      </c>
      <c r="HM260">
        <v>16</v>
      </c>
      <c r="HN260">
        <v>6</v>
      </c>
      <c r="HO260">
        <v>1</v>
      </c>
      <c r="HP260">
        <v>0</v>
      </c>
      <c r="HQ260">
        <v>0</v>
      </c>
      <c r="HR260">
        <v>3</v>
      </c>
      <c r="HS260">
        <v>1900</v>
      </c>
      <c r="HT260">
        <v>5</v>
      </c>
      <c r="HU260">
        <v>1</v>
      </c>
      <c r="HV260">
        <v>5</v>
      </c>
      <c r="HW260">
        <v>0</v>
      </c>
      <c r="HX260">
        <v>1</v>
      </c>
      <c r="HY260">
        <v>0</v>
      </c>
      <c r="HZ260">
        <v>63</v>
      </c>
      <c r="IA260">
        <v>1903</v>
      </c>
      <c r="IB260">
        <v>1910</v>
      </c>
      <c r="ID260">
        <v>1947</v>
      </c>
      <c r="IE260">
        <v>1947</v>
      </c>
      <c r="IF260">
        <v>180</v>
      </c>
      <c r="IG260">
        <v>170</v>
      </c>
      <c r="IH260">
        <v>222</v>
      </c>
      <c r="II260">
        <v>1</v>
      </c>
      <c r="IJ260">
        <v>5</v>
      </c>
      <c r="IK260">
        <v>0</v>
      </c>
      <c r="IL260">
        <v>2</v>
      </c>
      <c r="IM260">
        <v>0</v>
      </c>
      <c r="IN260">
        <v>0</v>
      </c>
      <c r="IO260">
        <v>0</v>
      </c>
      <c r="IP260">
        <v>180</v>
      </c>
      <c r="IQ260">
        <v>0</v>
      </c>
      <c r="IR260">
        <v>330</v>
      </c>
      <c r="IS260">
        <v>0</v>
      </c>
      <c r="IT260">
        <v>90</v>
      </c>
      <c r="IU260">
        <v>0</v>
      </c>
      <c r="IV260">
        <v>6.4</v>
      </c>
      <c r="IW260">
        <v>-6</v>
      </c>
      <c r="IX260">
        <v>93</v>
      </c>
      <c r="IY260">
        <v>68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368</v>
      </c>
      <c r="JJ260">
        <v>338</v>
      </c>
      <c r="JK260">
        <v>245</v>
      </c>
      <c r="JL260">
        <v>334</v>
      </c>
      <c r="JM260">
        <v>255</v>
      </c>
      <c r="JN260">
        <v>190</v>
      </c>
      <c r="JO260">
        <v>230</v>
      </c>
      <c r="JP260">
        <v>205</v>
      </c>
      <c r="JQ260">
        <v>280</v>
      </c>
      <c r="JR260">
        <v>340</v>
      </c>
      <c r="JS260">
        <v>240</v>
      </c>
      <c r="JT260">
        <v>0</v>
      </c>
      <c r="JU260">
        <v>0</v>
      </c>
      <c r="JV260">
        <v>335</v>
      </c>
      <c r="JW260">
        <v>337</v>
      </c>
      <c r="JX260">
        <v>320</v>
      </c>
      <c r="JY260">
        <v>310</v>
      </c>
      <c r="JZ260">
        <v>0.5</v>
      </c>
      <c r="KA260">
        <v>0.2</v>
      </c>
      <c r="KB260">
        <v>0.4</v>
      </c>
      <c r="KC260">
        <v>0.42</v>
      </c>
      <c r="KD260">
        <v>0.28</v>
      </c>
      <c r="KE260">
        <v>0.5</v>
      </c>
      <c r="KF260">
        <v>0.17</v>
      </c>
      <c r="KG260">
        <v>0.1</v>
      </c>
      <c r="KH260">
        <v>3.5</v>
      </c>
      <c r="KI260">
        <v>1</v>
      </c>
      <c r="KJ260">
        <v>4.5</v>
      </c>
      <c r="KK260">
        <v>1</v>
      </c>
      <c r="KL260">
        <v>4.5</v>
      </c>
      <c r="KM260">
        <v>0</v>
      </c>
      <c r="KN260">
        <v>1.6</v>
      </c>
      <c r="KO260">
        <v>0</v>
      </c>
      <c r="KP260">
        <v>0</v>
      </c>
      <c r="KQ260">
        <v>0.8</v>
      </c>
      <c r="KR260">
        <v>1</v>
      </c>
      <c r="KS260">
        <v>0</v>
      </c>
      <c r="KT260">
        <v>2.5</v>
      </c>
      <c r="KU260">
        <v>0</v>
      </c>
      <c r="KV260">
        <v>0</v>
      </c>
      <c r="KW260">
        <v>0.8</v>
      </c>
      <c r="KX260">
        <v>1</v>
      </c>
      <c r="KY260">
        <v>1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3</v>
      </c>
      <c r="LI260">
        <v>0.5</v>
      </c>
      <c r="LJ260">
        <v>0</v>
      </c>
      <c r="LK260">
        <v>7</v>
      </c>
      <c r="LL260">
        <v>2</v>
      </c>
      <c r="LM260">
        <v>10</v>
      </c>
      <c r="LN260">
        <v>0.1</v>
      </c>
      <c r="LO260">
        <v>0.1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1.4</v>
      </c>
      <c r="LX260">
        <v>1.4</v>
      </c>
      <c r="LY260">
        <v>1.4</v>
      </c>
      <c r="LZ260">
        <v>1.4</v>
      </c>
      <c r="MA260">
        <v>0</v>
      </c>
      <c r="MB260">
        <v>5</v>
      </c>
      <c r="MC260">
        <v>0</v>
      </c>
      <c r="MD260">
        <v>4.5</v>
      </c>
      <c r="ME260">
        <v>6</v>
      </c>
      <c r="MF260">
        <v>6</v>
      </c>
      <c r="MI260">
        <v>0</v>
      </c>
      <c r="MJ260">
        <v>0</v>
      </c>
      <c r="ML260">
        <v>0</v>
      </c>
      <c r="MM260">
        <v>390</v>
      </c>
      <c r="MN260">
        <v>175</v>
      </c>
      <c r="MO260">
        <v>232</v>
      </c>
      <c r="NU260">
        <v>0.15</v>
      </c>
      <c r="NV260">
        <v>0.2</v>
      </c>
      <c r="NW260">
        <v>0.2</v>
      </c>
      <c r="NX260">
        <v>0.2</v>
      </c>
      <c r="NY260">
        <v>0.2</v>
      </c>
      <c r="NZ260">
        <v>0.2</v>
      </c>
      <c r="OE260" t="s">
        <v>4953</v>
      </c>
      <c r="OF260" t="s">
        <v>4951</v>
      </c>
      <c r="OG260" t="s">
        <v>4952</v>
      </c>
      <c r="OH260" t="s">
        <v>4353</v>
      </c>
      <c r="OI260" t="s">
        <v>4953</v>
      </c>
      <c r="OJ260" t="s">
        <v>4950</v>
      </c>
      <c r="OK260">
        <v>61</v>
      </c>
      <c r="OL260">
        <v>61</v>
      </c>
      <c r="OM260" t="s">
        <v>4951</v>
      </c>
      <c r="ON260">
        <v>3</v>
      </c>
      <c r="OO260">
        <v>1903</v>
      </c>
      <c r="OP260">
        <v>61</v>
      </c>
      <c r="OQ260">
        <v>61</v>
      </c>
      <c r="OR260" t="s">
        <v>4952</v>
      </c>
      <c r="OS260">
        <v>3</v>
      </c>
      <c r="OT260">
        <v>1910</v>
      </c>
      <c r="OU260">
        <v>65</v>
      </c>
      <c r="OV260">
        <v>65</v>
      </c>
      <c r="OW260" t="s">
        <v>4353</v>
      </c>
      <c r="OX260">
        <v>1</v>
      </c>
      <c r="OY260">
        <v>37036</v>
      </c>
      <c r="OZ260">
        <v>51</v>
      </c>
      <c r="PA260">
        <v>51</v>
      </c>
      <c r="PB260" t="s">
        <v>4953</v>
      </c>
      <c r="PC260">
        <v>3</v>
      </c>
      <c r="PD260">
        <v>1947</v>
      </c>
      <c r="PF260">
        <v>329</v>
      </c>
      <c r="PG260">
        <v>29</v>
      </c>
      <c r="PH260">
        <v>311</v>
      </c>
      <c r="PI260">
        <v>29</v>
      </c>
      <c r="PJ260">
        <v>120.6</v>
      </c>
      <c r="PK260">
        <v>2310</v>
      </c>
      <c r="PL260">
        <v>1147.2</v>
      </c>
      <c r="PM260">
        <v>958.6</v>
      </c>
      <c r="PN260">
        <v>88.90000000000001</v>
      </c>
      <c r="PO260">
        <v>11.6</v>
      </c>
      <c r="PP260">
        <v>10</v>
      </c>
      <c r="PQ260">
        <v>1</v>
      </c>
      <c r="PR260">
        <v>1</v>
      </c>
      <c r="PS260">
        <v>7</v>
      </c>
      <c r="PT260">
        <v>222</v>
      </c>
      <c r="PU260">
        <v>13</v>
      </c>
      <c r="PV260" t="s">
        <v>4072</v>
      </c>
      <c r="PW260" t="s">
        <v>4072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-1</v>
      </c>
      <c r="QF260">
        <v>1</v>
      </c>
      <c r="QG260">
        <v>0</v>
      </c>
      <c r="QH260">
        <v>5</v>
      </c>
      <c r="QI260">
        <v>5</v>
      </c>
      <c r="QJ260">
        <v>5</v>
      </c>
      <c r="QK260">
        <v>179</v>
      </c>
      <c r="QL260">
        <v>402</v>
      </c>
      <c r="QM260">
        <v>7.5</v>
      </c>
      <c r="QN260">
        <v>1284.1</v>
      </c>
      <c r="QO260" t="s">
        <v>3054</v>
      </c>
      <c r="QP260" t="s">
        <v>513</v>
      </c>
      <c r="QQ260">
        <v>0</v>
      </c>
      <c r="QR260" t="s">
        <v>540</v>
      </c>
      <c r="QS260">
        <v>30</v>
      </c>
      <c r="QT260">
        <v>40</v>
      </c>
    </row>
    <row r="261" spans="1:462">
      <c r="A261" t="s">
        <v>3237</v>
      </c>
      <c r="B261" t="s">
        <v>559</v>
      </c>
      <c r="C261" t="s">
        <v>509</v>
      </c>
      <c r="D261" t="s">
        <v>3236</v>
      </c>
      <c r="E261" t="s">
        <v>4036</v>
      </c>
      <c r="H261" t="s">
        <v>627</v>
      </c>
      <c r="I261" t="s">
        <v>604</v>
      </c>
      <c r="J261" t="s">
        <v>628</v>
      </c>
      <c r="K261" t="s">
        <v>606</v>
      </c>
      <c r="L261" t="s">
        <v>564</v>
      </c>
      <c r="M261" t="s">
        <v>512</v>
      </c>
      <c r="O261" t="s">
        <v>513</v>
      </c>
      <c r="P261" t="s">
        <v>517</v>
      </c>
      <c r="Q261" t="s">
        <v>1126</v>
      </c>
      <c r="R261" t="s">
        <v>1127</v>
      </c>
      <c r="S261" t="s">
        <v>4073</v>
      </c>
      <c r="T261" t="s">
        <v>633</v>
      </c>
      <c r="U261" t="s">
        <v>634</v>
      </c>
      <c r="V261" t="s">
        <v>2510</v>
      </c>
      <c r="W261" t="s">
        <v>3048</v>
      </c>
      <c r="X261" t="s">
        <v>3238</v>
      </c>
      <c r="Y261" t="s">
        <v>3239</v>
      </c>
      <c r="Z261" t="s">
        <v>650</v>
      </c>
      <c r="AA261" t="s">
        <v>4038</v>
      </c>
      <c r="AB261" t="s">
        <v>4954</v>
      </c>
      <c r="AC261">
        <v>13</v>
      </c>
      <c r="AD261" t="s">
        <v>3235</v>
      </c>
      <c r="AE261">
        <v>6</v>
      </c>
      <c r="AF261">
        <v>4306</v>
      </c>
      <c r="AG261" t="s">
        <v>4955</v>
      </c>
      <c r="AH261">
        <v>1</v>
      </c>
      <c r="AI261" t="s">
        <v>4041</v>
      </c>
      <c r="AK261" t="s">
        <v>4956</v>
      </c>
      <c r="AL261">
        <v>1</v>
      </c>
      <c r="AM261" t="s">
        <v>582</v>
      </c>
      <c r="AO261" t="s">
        <v>4426</v>
      </c>
      <c r="AP261">
        <v>1</v>
      </c>
      <c r="AR261" t="s">
        <v>4957</v>
      </c>
      <c r="AS261">
        <v>1</v>
      </c>
      <c r="AT261">
        <v>51</v>
      </c>
      <c r="AV261" t="s">
        <v>4045</v>
      </c>
      <c r="AW261">
        <v>6.4</v>
      </c>
      <c r="AX261">
        <v>-6</v>
      </c>
      <c r="AY261">
        <v>103</v>
      </c>
      <c r="AZ261">
        <v>94</v>
      </c>
      <c r="BH261">
        <v>103</v>
      </c>
      <c r="BI261">
        <v>9</v>
      </c>
      <c r="BJ261">
        <v>94</v>
      </c>
      <c r="BK261">
        <v>3</v>
      </c>
      <c r="BL261">
        <v>206</v>
      </c>
      <c r="BM261">
        <v>-6</v>
      </c>
      <c r="BN261">
        <v>0</v>
      </c>
      <c r="BP261">
        <v>0</v>
      </c>
      <c r="BR261">
        <v>200</v>
      </c>
      <c r="BS261">
        <v>190</v>
      </c>
      <c r="BT261">
        <v>1910</v>
      </c>
      <c r="BU261" t="s">
        <v>4047</v>
      </c>
      <c r="BV261" t="s">
        <v>4047</v>
      </c>
      <c r="BW261" t="s">
        <v>4049</v>
      </c>
      <c r="BX261" t="s">
        <v>4049</v>
      </c>
      <c r="BY261" t="s">
        <v>4150</v>
      </c>
      <c r="BZ261" t="s">
        <v>4150</v>
      </c>
      <c r="CA261" t="s">
        <v>4108</v>
      </c>
      <c r="CB261" t="s">
        <v>4109</v>
      </c>
      <c r="CC261" t="s">
        <v>4053</v>
      </c>
      <c r="CD261" t="s">
        <v>4110</v>
      </c>
      <c r="CE261" t="s">
        <v>4055</v>
      </c>
      <c r="CF261" t="s">
        <v>4055</v>
      </c>
      <c r="CG261" t="s">
        <v>4056</v>
      </c>
      <c r="CH261" t="s">
        <v>4057</v>
      </c>
      <c r="CI261" t="s">
        <v>4058</v>
      </c>
      <c r="CJ261" t="s">
        <v>4059</v>
      </c>
      <c r="CK261" t="s">
        <v>4060</v>
      </c>
      <c r="CL261" t="s">
        <v>4061</v>
      </c>
      <c r="CM261" t="s">
        <v>4062</v>
      </c>
      <c r="CN261" t="s">
        <v>4055</v>
      </c>
      <c r="CO261" t="s">
        <v>4063</v>
      </c>
      <c r="CP261" t="s">
        <v>4055</v>
      </c>
      <c r="CQ261" t="s">
        <v>4055</v>
      </c>
      <c r="CR261">
        <v>5</v>
      </c>
      <c r="CS261" t="s">
        <v>4055</v>
      </c>
      <c r="CT261" t="s">
        <v>4055</v>
      </c>
      <c r="CU261" t="s">
        <v>4055</v>
      </c>
      <c r="CV261">
        <v>133</v>
      </c>
      <c r="CW261">
        <v>3</v>
      </c>
      <c r="CX261">
        <v>108</v>
      </c>
      <c r="CY261">
        <v>5</v>
      </c>
      <c r="CZ261">
        <v>138</v>
      </c>
      <c r="DA261">
        <v>5</v>
      </c>
      <c r="DB261">
        <v>11390</v>
      </c>
      <c r="DC261">
        <v>340</v>
      </c>
      <c r="DD261">
        <v>310</v>
      </c>
      <c r="DE261">
        <v>2017</v>
      </c>
      <c r="DF261">
        <v>2017</v>
      </c>
      <c r="DG261">
        <v>2038</v>
      </c>
      <c r="DH261" t="s">
        <v>4055</v>
      </c>
      <c r="DI261" t="s">
        <v>4055</v>
      </c>
      <c r="DJ261" t="s">
        <v>4100</v>
      </c>
      <c r="DK261">
        <v>200</v>
      </c>
      <c r="DL261" t="s">
        <v>4101</v>
      </c>
      <c r="DM261">
        <v>61</v>
      </c>
      <c r="DN261">
        <v>0.84</v>
      </c>
      <c r="DO261">
        <v>1</v>
      </c>
      <c r="DP261">
        <v>1913</v>
      </c>
      <c r="DQ261">
        <v>700</v>
      </c>
      <c r="DR261" t="s">
        <v>4100</v>
      </c>
      <c r="DS261">
        <v>190</v>
      </c>
      <c r="DT261" t="s">
        <v>4101</v>
      </c>
      <c r="DU261">
        <v>61</v>
      </c>
      <c r="DV261">
        <v>0.84</v>
      </c>
      <c r="DW261">
        <v>1</v>
      </c>
      <c r="DX261">
        <v>1920</v>
      </c>
      <c r="DY261">
        <v>666</v>
      </c>
      <c r="DZ261" t="s">
        <v>4066</v>
      </c>
      <c r="EA261">
        <v>33</v>
      </c>
      <c r="EB261" t="s">
        <v>4065</v>
      </c>
      <c r="EC261">
        <v>0.4</v>
      </c>
      <c r="ED261">
        <v>1913</v>
      </c>
      <c r="EE261">
        <v>55</v>
      </c>
      <c r="EF261" t="s">
        <v>4066</v>
      </c>
      <c r="EG261">
        <v>33</v>
      </c>
      <c r="EH261" t="s">
        <v>4065</v>
      </c>
      <c r="EI261">
        <v>0.4</v>
      </c>
      <c r="EJ261">
        <v>1920</v>
      </c>
      <c r="EK261">
        <v>56</v>
      </c>
      <c r="EL261" t="s">
        <v>4429</v>
      </c>
      <c r="EM261">
        <v>12</v>
      </c>
      <c r="EN261">
        <v>0.5</v>
      </c>
      <c r="EO261">
        <v>0.9</v>
      </c>
      <c r="EP261">
        <v>1920.56</v>
      </c>
      <c r="EQ261">
        <v>32709.54</v>
      </c>
      <c r="ER261">
        <v>2708.74</v>
      </c>
      <c r="ES261">
        <v>0</v>
      </c>
      <c r="ET261">
        <v>0</v>
      </c>
      <c r="EU261">
        <v>1</v>
      </c>
      <c r="EV261">
        <v>35419</v>
      </c>
      <c r="EW261">
        <v>426</v>
      </c>
      <c r="EX261" t="s">
        <v>4287</v>
      </c>
      <c r="EY261">
        <v>220</v>
      </c>
      <c r="EZ261" t="s">
        <v>4055</v>
      </c>
      <c r="FA261">
        <v>5.4</v>
      </c>
      <c r="FB261">
        <v>1</v>
      </c>
      <c r="FC261">
        <v>1</v>
      </c>
      <c r="FD261">
        <v>1958</v>
      </c>
      <c r="FE261">
        <v>2723</v>
      </c>
      <c r="FF261" t="s">
        <v>4288</v>
      </c>
      <c r="FG261">
        <v>220</v>
      </c>
      <c r="FH261" t="s">
        <v>4055</v>
      </c>
      <c r="FI261">
        <v>4</v>
      </c>
      <c r="FJ261">
        <v>1958</v>
      </c>
      <c r="FK261">
        <v>2003</v>
      </c>
      <c r="FL261" t="s">
        <v>4069</v>
      </c>
      <c r="FM261" t="s">
        <v>4055</v>
      </c>
      <c r="FN261" t="s">
        <v>4055</v>
      </c>
      <c r="FO261" t="s">
        <v>4055</v>
      </c>
      <c r="FP261">
        <v>1958</v>
      </c>
      <c r="FQ261">
        <v>229</v>
      </c>
      <c r="FR261" t="s">
        <v>4090</v>
      </c>
      <c r="FS261">
        <v>224</v>
      </c>
      <c r="FT261" t="s">
        <v>4055</v>
      </c>
      <c r="FU261">
        <v>0.4</v>
      </c>
      <c r="FV261">
        <v>1958</v>
      </c>
      <c r="FW261">
        <v>195</v>
      </c>
      <c r="FX261" t="s">
        <v>4070</v>
      </c>
      <c r="FY261">
        <v>5</v>
      </c>
      <c r="FZ261" t="s">
        <v>4055</v>
      </c>
      <c r="GA261" t="s">
        <v>4055</v>
      </c>
      <c r="GB261">
        <v>1958</v>
      </c>
      <c r="GC261">
        <v>22</v>
      </c>
      <c r="GD261">
        <v>5172</v>
      </c>
      <c r="GE261" t="s">
        <v>4957</v>
      </c>
      <c r="GF261" t="s">
        <v>4055</v>
      </c>
      <c r="GG261" t="s">
        <v>4055</v>
      </c>
      <c r="GH261" t="s">
        <v>4055</v>
      </c>
      <c r="GI261" t="s">
        <v>4071</v>
      </c>
      <c r="GJ261" t="s">
        <v>4055</v>
      </c>
      <c r="GK261" t="s">
        <v>4055</v>
      </c>
      <c r="GL261" t="s">
        <v>4055</v>
      </c>
      <c r="GM261" t="s">
        <v>4055</v>
      </c>
      <c r="GQ261">
        <v>0</v>
      </c>
      <c r="GV261">
        <v>9.800000000000001</v>
      </c>
      <c r="GW261">
        <v>11.8</v>
      </c>
      <c r="GX261">
        <v>0.5</v>
      </c>
      <c r="GY261">
        <v>200</v>
      </c>
      <c r="GZ261">
        <v>3</v>
      </c>
      <c r="HA261">
        <v>242</v>
      </c>
      <c r="HB261">
        <v>3</v>
      </c>
      <c r="HC261">
        <v>1958</v>
      </c>
      <c r="HD261">
        <v>4</v>
      </c>
      <c r="HE261" t="s">
        <v>4071</v>
      </c>
      <c r="HG261" t="s">
        <v>549</v>
      </c>
      <c r="HL261">
        <v>4</v>
      </c>
      <c r="HM261">
        <v>17</v>
      </c>
      <c r="HN261">
        <v>1</v>
      </c>
      <c r="HO261">
        <v>1</v>
      </c>
      <c r="HP261">
        <v>0</v>
      </c>
      <c r="HQ261">
        <v>0</v>
      </c>
      <c r="HR261">
        <v>2</v>
      </c>
      <c r="HS261">
        <v>1910</v>
      </c>
      <c r="HT261">
        <v>5</v>
      </c>
      <c r="HU261">
        <v>1</v>
      </c>
      <c r="HV261">
        <v>0</v>
      </c>
      <c r="HW261">
        <v>0</v>
      </c>
      <c r="HX261">
        <v>1</v>
      </c>
      <c r="HY261">
        <v>0</v>
      </c>
      <c r="HZ261">
        <v>61</v>
      </c>
      <c r="IA261">
        <v>1913</v>
      </c>
      <c r="IB261">
        <v>1920</v>
      </c>
      <c r="ID261">
        <v>1958</v>
      </c>
      <c r="IE261">
        <v>1958</v>
      </c>
      <c r="IF261">
        <v>200</v>
      </c>
      <c r="IG261">
        <v>190</v>
      </c>
      <c r="IH261">
        <v>242</v>
      </c>
      <c r="II261">
        <v>1</v>
      </c>
      <c r="IJ261">
        <v>5</v>
      </c>
      <c r="IK261">
        <v>0</v>
      </c>
      <c r="IL261">
        <v>1</v>
      </c>
      <c r="IM261">
        <v>0</v>
      </c>
      <c r="IN261">
        <v>270</v>
      </c>
      <c r="IO261">
        <v>0</v>
      </c>
      <c r="IP261">
        <v>180</v>
      </c>
      <c r="IQ261">
        <v>0</v>
      </c>
      <c r="IR261">
        <v>325</v>
      </c>
      <c r="IS261">
        <v>0</v>
      </c>
      <c r="IT261">
        <v>90</v>
      </c>
      <c r="IU261">
        <v>0</v>
      </c>
      <c r="IV261">
        <v>6.4</v>
      </c>
      <c r="IW261">
        <v>-6</v>
      </c>
      <c r="IX261">
        <v>103</v>
      </c>
      <c r="IY261">
        <v>94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360</v>
      </c>
      <c r="JJ261">
        <v>320</v>
      </c>
      <c r="JK261">
        <v>238</v>
      </c>
      <c r="JL261">
        <v>318</v>
      </c>
      <c r="JM261">
        <v>260</v>
      </c>
      <c r="JN261">
        <v>205</v>
      </c>
      <c r="JO261">
        <v>230</v>
      </c>
      <c r="JP261">
        <v>230</v>
      </c>
      <c r="JQ261">
        <v>265</v>
      </c>
      <c r="JR261">
        <v>325</v>
      </c>
      <c r="JS261">
        <v>260</v>
      </c>
      <c r="JT261">
        <v>0</v>
      </c>
      <c r="JU261">
        <v>0</v>
      </c>
      <c r="JV261">
        <v>310</v>
      </c>
      <c r="JW261">
        <v>312</v>
      </c>
      <c r="JX261">
        <v>317</v>
      </c>
      <c r="JY261">
        <v>310</v>
      </c>
      <c r="JZ261">
        <v>1</v>
      </c>
      <c r="KA261">
        <v>0.2</v>
      </c>
      <c r="KB261">
        <v>0.4</v>
      </c>
      <c r="KC261">
        <v>0.42</v>
      </c>
      <c r="KD261">
        <v>0.28</v>
      </c>
      <c r="KE261">
        <v>0.5</v>
      </c>
      <c r="KF261">
        <v>0.16</v>
      </c>
      <c r="KG261">
        <v>0.1</v>
      </c>
      <c r="KH261">
        <v>3.5</v>
      </c>
      <c r="KI261">
        <v>1</v>
      </c>
      <c r="KJ261">
        <v>5</v>
      </c>
      <c r="KK261">
        <v>1</v>
      </c>
      <c r="KL261">
        <v>5</v>
      </c>
      <c r="KM261">
        <v>1</v>
      </c>
      <c r="KN261">
        <v>1.5</v>
      </c>
      <c r="KO261">
        <v>0</v>
      </c>
      <c r="KP261">
        <v>0</v>
      </c>
      <c r="KQ261">
        <v>1.2</v>
      </c>
      <c r="KR261">
        <v>0.8</v>
      </c>
      <c r="KS261">
        <v>0.2</v>
      </c>
      <c r="KT261">
        <v>2.5</v>
      </c>
      <c r="KU261">
        <v>0</v>
      </c>
      <c r="KV261">
        <v>0</v>
      </c>
      <c r="KW261">
        <v>1.2</v>
      </c>
      <c r="KX261">
        <v>2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3</v>
      </c>
      <c r="LI261">
        <v>1</v>
      </c>
      <c r="LJ261">
        <v>0</v>
      </c>
      <c r="LK261">
        <v>3</v>
      </c>
      <c r="LL261">
        <v>6</v>
      </c>
      <c r="LM261">
        <v>5</v>
      </c>
      <c r="LN261">
        <v>0.5</v>
      </c>
      <c r="LO261">
        <v>0.3</v>
      </c>
      <c r="LP261">
        <v>0</v>
      </c>
      <c r="LQ261">
        <v>0</v>
      </c>
      <c r="LR261">
        <v>0</v>
      </c>
      <c r="LS261">
        <v>1</v>
      </c>
      <c r="LT261">
        <v>0</v>
      </c>
      <c r="LU261">
        <v>0</v>
      </c>
      <c r="LV261">
        <v>0</v>
      </c>
      <c r="LW261">
        <v>1.8</v>
      </c>
      <c r="LX261">
        <v>1.8</v>
      </c>
      <c r="LY261">
        <v>1.8</v>
      </c>
      <c r="LZ261">
        <v>1.8</v>
      </c>
      <c r="MA261">
        <v>0</v>
      </c>
      <c r="MB261">
        <v>3</v>
      </c>
      <c r="MC261">
        <v>0</v>
      </c>
      <c r="MD261">
        <v>4.5</v>
      </c>
      <c r="ME261">
        <v>6</v>
      </c>
      <c r="MF261">
        <v>6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374</v>
      </c>
      <c r="MN261">
        <v>230</v>
      </c>
      <c r="MO261">
        <v>257</v>
      </c>
      <c r="NU261">
        <v>0.15</v>
      </c>
      <c r="NV261">
        <v>0.3</v>
      </c>
      <c r="NW261">
        <v>0.3</v>
      </c>
      <c r="NX261">
        <v>2</v>
      </c>
      <c r="NY261">
        <v>2</v>
      </c>
      <c r="NZ261">
        <v>2</v>
      </c>
      <c r="OE261" t="s">
        <v>4957</v>
      </c>
      <c r="OF261" t="s">
        <v>4955</v>
      </c>
      <c r="OG261" t="s">
        <v>4956</v>
      </c>
      <c r="OH261" t="s">
        <v>4426</v>
      </c>
      <c r="OI261" t="s">
        <v>4957</v>
      </c>
      <c r="OJ261" t="s">
        <v>4954</v>
      </c>
      <c r="OK261">
        <v>61</v>
      </c>
      <c r="OL261">
        <v>61</v>
      </c>
      <c r="OM261" t="s">
        <v>4955</v>
      </c>
      <c r="ON261">
        <v>3</v>
      </c>
      <c r="OO261">
        <v>1913</v>
      </c>
      <c r="OP261">
        <v>61</v>
      </c>
      <c r="OQ261">
        <v>61</v>
      </c>
      <c r="OR261" t="s">
        <v>4956</v>
      </c>
      <c r="OS261">
        <v>3</v>
      </c>
      <c r="OT261">
        <v>1920</v>
      </c>
      <c r="OU261">
        <v>65</v>
      </c>
      <c r="OV261">
        <v>65</v>
      </c>
      <c r="OW261" t="s">
        <v>4426</v>
      </c>
      <c r="OX261">
        <v>1</v>
      </c>
      <c r="OY261">
        <v>35419</v>
      </c>
      <c r="OZ261">
        <v>51</v>
      </c>
      <c r="PA261">
        <v>51</v>
      </c>
      <c r="PB261" t="s">
        <v>4957</v>
      </c>
      <c r="PC261">
        <v>3</v>
      </c>
      <c r="PD261">
        <v>1958</v>
      </c>
      <c r="PF261">
        <v>366</v>
      </c>
      <c r="PG261">
        <v>29</v>
      </c>
      <c r="PH261">
        <v>347</v>
      </c>
      <c r="PI261">
        <v>29</v>
      </c>
      <c r="PJ261">
        <v>117</v>
      </c>
      <c r="PL261">
        <v>1390.8</v>
      </c>
      <c r="PM261">
        <v>1023</v>
      </c>
      <c r="PN261">
        <v>99.59999999999999</v>
      </c>
      <c r="PO261">
        <v>11.4</v>
      </c>
      <c r="PP261">
        <v>12</v>
      </c>
      <c r="PQ261">
        <v>1</v>
      </c>
      <c r="PR261">
        <v>1</v>
      </c>
      <c r="PS261">
        <v>7</v>
      </c>
      <c r="PT261">
        <v>242</v>
      </c>
      <c r="PU261">
        <v>11</v>
      </c>
      <c r="PV261" t="s">
        <v>4072</v>
      </c>
      <c r="PW261" t="s">
        <v>4072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-1</v>
      </c>
      <c r="QF261">
        <v>1</v>
      </c>
      <c r="QG261">
        <v>0</v>
      </c>
      <c r="QH261">
        <v>5</v>
      </c>
      <c r="QI261">
        <v>5</v>
      </c>
      <c r="QJ261">
        <v>5</v>
      </c>
      <c r="QK261">
        <v>171</v>
      </c>
      <c r="QL261">
        <v>392</v>
      </c>
      <c r="QM261">
        <v>7.5</v>
      </c>
      <c r="QN261">
        <v>1379.8</v>
      </c>
      <c r="QO261" t="s">
        <v>3054</v>
      </c>
      <c r="QP261" t="s">
        <v>513</v>
      </c>
      <c r="QQ261">
        <v>0</v>
      </c>
      <c r="QR261" t="s">
        <v>649</v>
      </c>
      <c r="QS261">
        <v>30</v>
      </c>
      <c r="QT261">
        <v>40</v>
      </c>
    </row>
    <row r="262" spans="1:462">
      <c r="A262" t="s">
        <v>3245</v>
      </c>
      <c r="B262" t="s">
        <v>559</v>
      </c>
      <c r="C262" t="s">
        <v>509</v>
      </c>
      <c r="D262" t="s">
        <v>4155</v>
      </c>
      <c r="E262" t="s">
        <v>4036</v>
      </c>
      <c r="H262" t="s">
        <v>604</v>
      </c>
      <c r="J262" t="s">
        <v>628</v>
      </c>
      <c r="K262" t="s">
        <v>606</v>
      </c>
      <c r="L262" t="s">
        <v>564</v>
      </c>
      <c r="M262" t="s">
        <v>512</v>
      </c>
      <c r="O262" t="s">
        <v>513</v>
      </c>
      <c r="P262" t="s">
        <v>517</v>
      </c>
      <c r="Q262" t="s">
        <v>1028</v>
      </c>
      <c r="R262" t="s">
        <v>1029</v>
      </c>
      <c r="S262" t="s">
        <v>4134</v>
      </c>
      <c r="T262" t="s">
        <v>662</v>
      </c>
      <c r="U262" t="s">
        <v>663</v>
      </c>
      <c r="V262" t="s">
        <v>2607</v>
      </c>
      <c r="W262" t="s">
        <v>3048</v>
      </c>
      <c r="X262" t="s">
        <v>3246</v>
      </c>
      <c r="Y262" t="s">
        <v>3247</v>
      </c>
      <c r="Z262" t="s">
        <v>650</v>
      </c>
      <c r="AA262" t="s">
        <v>582</v>
      </c>
      <c r="AB262" t="s">
        <v>4958</v>
      </c>
      <c r="AC262">
        <v>10</v>
      </c>
      <c r="AD262" t="s">
        <v>3244</v>
      </c>
      <c r="AE262">
        <v>6</v>
      </c>
      <c r="AF262">
        <v>4200</v>
      </c>
      <c r="AG262" t="s">
        <v>4647</v>
      </c>
      <c r="AH262">
        <v>1</v>
      </c>
      <c r="AI262" t="s">
        <v>4041</v>
      </c>
      <c r="AK262" t="s">
        <v>4648</v>
      </c>
      <c r="AL262">
        <v>1</v>
      </c>
      <c r="AM262" t="s">
        <v>582</v>
      </c>
      <c r="AO262" t="s">
        <v>4426</v>
      </c>
      <c r="AP262">
        <v>1</v>
      </c>
      <c r="AR262" t="s">
        <v>4959</v>
      </c>
      <c r="AS262">
        <v>1</v>
      </c>
      <c r="AT262">
        <v>51</v>
      </c>
      <c r="AV262" t="s">
        <v>4078</v>
      </c>
      <c r="AW262">
        <v>6.4</v>
      </c>
      <c r="AX262">
        <v>-6</v>
      </c>
      <c r="AY262">
        <v>103.5</v>
      </c>
      <c r="AZ262">
        <v>94.5</v>
      </c>
      <c r="BA262">
        <v>0</v>
      </c>
      <c r="BB262">
        <v>0</v>
      </c>
      <c r="BC262">
        <v>0</v>
      </c>
      <c r="BH262">
        <v>103.5</v>
      </c>
      <c r="BI262">
        <v>9</v>
      </c>
      <c r="BJ262">
        <v>94.5</v>
      </c>
      <c r="BK262">
        <v>3.5</v>
      </c>
      <c r="BL262">
        <v>207</v>
      </c>
      <c r="BM262">
        <v>-6</v>
      </c>
      <c r="BN262">
        <v>0</v>
      </c>
      <c r="BP262">
        <v>0</v>
      </c>
      <c r="BR262">
        <v>200</v>
      </c>
      <c r="BS262">
        <v>190</v>
      </c>
      <c r="BT262">
        <v>1950</v>
      </c>
      <c r="BU262" t="s">
        <v>4047</v>
      </c>
      <c r="BV262" t="s">
        <v>4096</v>
      </c>
      <c r="BW262" t="s">
        <v>4049</v>
      </c>
      <c r="BX262" t="s">
        <v>4097</v>
      </c>
      <c r="BY262" t="s">
        <v>4192</v>
      </c>
      <c r="BZ262" t="s">
        <v>4192</v>
      </c>
      <c r="CA262" t="s">
        <v>4118</v>
      </c>
      <c r="CB262" t="s">
        <v>4119</v>
      </c>
      <c r="CC262" t="s">
        <v>4120</v>
      </c>
      <c r="CD262" t="s">
        <v>4121</v>
      </c>
      <c r="CE262" t="s">
        <v>4055</v>
      </c>
      <c r="CF262" t="s">
        <v>4055</v>
      </c>
      <c r="CG262" t="s">
        <v>4056</v>
      </c>
      <c r="CH262" t="s">
        <v>4099</v>
      </c>
      <c r="CI262" t="s">
        <v>4058</v>
      </c>
      <c r="CJ262" t="s">
        <v>4059</v>
      </c>
      <c r="CK262" t="s">
        <v>4060</v>
      </c>
      <c r="CL262" t="s">
        <v>4061</v>
      </c>
      <c r="CM262" t="s">
        <v>4062</v>
      </c>
      <c r="CN262" t="s">
        <v>4055</v>
      </c>
      <c r="CO262" t="s">
        <v>4063</v>
      </c>
      <c r="CP262" t="s">
        <v>4055</v>
      </c>
      <c r="CQ262" t="s">
        <v>4055</v>
      </c>
      <c r="CR262">
        <v>5</v>
      </c>
      <c r="CS262" t="s">
        <v>4055</v>
      </c>
      <c r="CT262" t="s">
        <v>4055</v>
      </c>
      <c r="CU262" t="s">
        <v>4055</v>
      </c>
      <c r="CV262">
        <v>127</v>
      </c>
      <c r="CW262">
        <v>3</v>
      </c>
      <c r="CX262">
        <v>108</v>
      </c>
      <c r="CY262">
        <v>5</v>
      </c>
      <c r="CZ262">
        <v>131</v>
      </c>
      <c r="DA262">
        <v>5</v>
      </c>
      <c r="DB262">
        <v>11400</v>
      </c>
      <c r="DC262">
        <v>340</v>
      </c>
      <c r="DD262">
        <v>315</v>
      </c>
      <c r="DE262">
        <v>2064</v>
      </c>
      <c r="DF262">
        <v>2064</v>
      </c>
      <c r="DG262">
        <v>2076</v>
      </c>
      <c r="DH262" t="s">
        <v>4055</v>
      </c>
      <c r="DI262" t="s">
        <v>4055</v>
      </c>
      <c r="DJ262" t="s">
        <v>4100</v>
      </c>
      <c r="DK262">
        <v>200</v>
      </c>
      <c r="DL262" t="s">
        <v>4101</v>
      </c>
      <c r="DM262">
        <v>63</v>
      </c>
      <c r="DN262">
        <v>0.84</v>
      </c>
      <c r="DO262">
        <v>1</v>
      </c>
      <c r="DP262">
        <v>1953</v>
      </c>
      <c r="DQ262">
        <v>715</v>
      </c>
      <c r="DR262" t="s">
        <v>4100</v>
      </c>
      <c r="DS262">
        <v>190</v>
      </c>
      <c r="DT262" t="s">
        <v>4101</v>
      </c>
      <c r="DU262">
        <v>63</v>
      </c>
      <c r="DV262">
        <v>0.84</v>
      </c>
      <c r="DW262">
        <v>1</v>
      </c>
      <c r="DX262">
        <v>1960</v>
      </c>
      <c r="DY262">
        <v>680</v>
      </c>
      <c r="DZ262" t="s">
        <v>4066</v>
      </c>
      <c r="EA262">
        <v>33</v>
      </c>
      <c r="EB262" t="s">
        <v>4065</v>
      </c>
      <c r="EC262">
        <v>0.4</v>
      </c>
      <c r="ED262">
        <v>1953</v>
      </c>
      <c r="EE262">
        <v>57</v>
      </c>
      <c r="EF262" t="s">
        <v>4066</v>
      </c>
      <c r="EG262">
        <v>33</v>
      </c>
      <c r="EH262" t="s">
        <v>4065</v>
      </c>
      <c r="EI262">
        <v>0.4</v>
      </c>
      <c r="EJ262">
        <v>1960</v>
      </c>
      <c r="EK262">
        <v>57</v>
      </c>
      <c r="EL262" t="s">
        <v>4429</v>
      </c>
      <c r="EM262">
        <v>12</v>
      </c>
      <c r="EN262">
        <v>0.5</v>
      </c>
      <c r="EO262">
        <v>0.9</v>
      </c>
      <c r="EP262">
        <v>1960.56</v>
      </c>
      <c r="EQ262">
        <v>33543.96</v>
      </c>
      <c r="ER262">
        <v>2764.99</v>
      </c>
      <c r="ES262">
        <v>0</v>
      </c>
      <c r="ET262">
        <v>0</v>
      </c>
      <c r="EU262">
        <v>1</v>
      </c>
      <c r="EV262">
        <v>36309</v>
      </c>
      <c r="EW262">
        <v>436</v>
      </c>
      <c r="EX262" t="s">
        <v>4287</v>
      </c>
      <c r="EY262">
        <v>216</v>
      </c>
      <c r="EZ262" t="s">
        <v>4055</v>
      </c>
      <c r="FA262">
        <v>4.6</v>
      </c>
      <c r="FB262">
        <v>1</v>
      </c>
      <c r="FC262">
        <v>1</v>
      </c>
      <c r="FD262">
        <v>1998</v>
      </c>
      <c r="FE262">
        <v>2188</v>
      </c>
      <c r="FF262" t="s">
        <v>4288</v>
      </c>
      <c r="FG262">
        <v>216</v>
      </c>
      <c r="FH262" t="s">
        <v>4055</v>
      </c>
      <c r="FI262">
        <v>5</v>
      </c>
      <c r="FJ262">
        <v>1998</v>
      </c>
      <c r="FK262">
        <v>2584</v>
      </c>
      <c r="FL262" t="s">
        <v>4069</v>
      </c>
      <c r="FM262" t="s">
        <v>4055</v>
      </c>
      <c r="FN262" t="s">
        <v>4055</v>
      </c>
      <c r="FO262" t="s">
        <v>4055</v>
      </c>
      <c r="FP262">
        <v>1998</v>
      </c>
      <c r="FQ262">
        <v>261</v>
      </c>
      <c r="FR262" t="s">
        <v>4090</v>
      </c>
      <c r="FS262">
        <v>220</v>
      </c>
      <c r="FT262" t="s">
        <v>4055</v>
      </c>
      <c r="FU262">
        <v>0.4</v>
      </c>
      <c r="FV262">
        <v>1998</v>
      </c>
      <c r="FW262">
        <v>195</v>
      </c>
      <c r="FX262" t="s">
        <v>4070</v>
      </c>
      <c r="FY262">
        <v>5</v>
      </c>
      <c r="FZ262" t="s">
        <v>4055</v>
      </c>
      <c r="GA262" t="s">
        <v>4055</v>
      </c>
      <c r="GB262">
        <v>1998</v>
      </c>
      <c r="GC262">
        <v>23</v>
      </c>
      <c r="GD262">
        <v>5251</v>
      </c>
      <c r="GE262" t="s">
        <v>4959</v>
      </c>
      <c r="GF262" t="s">
        <v>4055</v>
      </c>
      <c r="GG262" t="s">
        <v>4055</v>
      </c>
      <c r="GH262" t="s">
        <v>4055</v>
      </c>
      <c r="GI262" t="s">
        <v>4071</v>
      </c>
      <c r="GJ262" t="s">
        <v>4055</v>
      </c>
      <c r="GK262" t="s">
        <v>4055</v>
      </c>
      <c r="GL262" t="s">
        <v>4055</v>
      </c>
      <c r="GM262" t="s">
        <v>4055</v>
      </c>
      <c r="GQ262">
        <v>0</v>
      </c>
      <c r="GV262">
        <v>10</v>
      </c>
      <c r="GW262">
        <v>12</v>
      </c>
      <c r="GX262">
        <v>0.5</v>
      </c>
      <c r="GY262">
        <v>196</v>
      </c>
      <c r="GZ262">
        <v>3</v>
      </c>
      <c r="HA262">
        <v>236</v>
      </c>
      <c r="HB262">
        <v>3</v>
      </c>
      <c r="HC262">
        <v>1998</v>
      </c>
      <c r="HD262">
        <v>4</v>
      </c>
      <c r="HE262" t="s">
        <v>4071</v>
      </c>
      <c r="HG262" t="s">
        <v>549</v>
      </c>
      <c r="HL262">
        <v>4</v>
      </c>
      <c r="HM262">
        <v>18</v>
      </c>
      <c r="HN262">
        <v>1</v>
      </c>
      <c r="HO262">
        <v>1</v>
      </c>
      <c r="HP262">
        <v>0</v>
      </c>
      <c r="HQ262">
        <v>0</v>
      </c>
      <c r="HR262">
        <v>1</v>
      </c>
      <c r="HS262">
        <v>1950</v>
      </c>
      <c r="HT262">
        <v>5</v>
      </c>
      <c r="HU262">
        <v>1</v>
      </c>
      <c r="HV262">
        <v>5</v>
      </c>
      <c r="HW262">
        <v>0</v>
      </c>
      <c r="HX262">
        <v>1</v>
      </c>
      <c r="HY262">
        <v>0</v>
      </c>
      <c r="HZ262">
        <v>63</v>
      </c>
      <c r="IA262">
        <v>1953</v>
      </c>
      <c r="IB262">
        <v>1960</v>
      </c>
      <c r="ID262">
        <v>1998</v>
      </c>
      <c r="IE262">
        <v>1998</v>
      </c>
      <c r="IF262">
        <v>200</v>
      </c>
      <c r="IG262">
        <v>190</v>
      </c>
      <c r="IH262">
        <v>236</v>
      </c>
      <c r="II262">
        <v>1</v>
      </c>
      <c r="IJ262">
        <v>5</v>
      </c>
      <c r="IK262">
        <v>0</v>
      </c>
      <c r="IL262">
        <v>1</v>
      </c>
      <c r="IM262">
        <v>0</v>
      </c>
      <c r="IN262">
        <v>270</v>
      </c>
      <c r="IO262">
        <v>0</v>
      </c>
      <c r="IP262">
        <v>180</v>
      </c>
      <c r="IQ262">
        <v>0</v>
      </c>
      <c r="IR262">
        <v>330</v>
      </c>
      <c r="IS262">
        <v>0</v>
      </c>
      <c r="IT262">
        <v>90</v>
      </c>
      <c r="IU262">
        <v>0</v>
      </c>
      <c r="IV262">
        <v>6.4</v>
      </c>
      <c r="IW262">
        <v>-6</v>
      </c>
      <c r="IX262">
        <v>103.5</v>
      </c>
      <c r="IY262">
        <v>94.5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344</v>
      </c>
      <c r="JJ262">
        <v>314</v>
      </c>
      <c r="JK262">
        <v>220</v>
      </c>
      <c r="JL262">
        <v>310</v>
      </c>
      <c r="JM262">
        <v>270</v>
      </c>
      <c r="JN262">
        <v>205</v>
      </c>
      <c r="JO262">
        <v>242</v>
      </c>
      <c r="JP262">
        <v>190</v>
      </c>
      <c r="JQ262">
        <v>265</v>
      </c>
      <c r="JR262">
        <v>306</v>
      </c>
      <c r="JS262">
        <v>250</v>
      </c>
      <c r="JT262">
        <v>0</v>
      </c>
      <c r="JU262">
        <v>0</v>
      </c>
      <c r="JV262">
        <v>300</v>
      </c>
      <c r="JW262">
        <v>260</v>
      </c>
      <c r="JX262">
        <v>296</v>
      </c>
      <c r="JY262">
        <v>284</v>
      </c>
      <c r="JZ262">
        <v>0.5</v>
      </c>
      <c r="KA262">
        <v>0.21</v>
      </c>
      <c r="KB262">
        <v>0.4</v>
      </c>
      <c r="KC262">
        <v>0.42</v>
      </c>
      <c r="KD262">
        <v>0.28</v>
      </c>
      <c r="KE262">
        <v>0.5</v>
      </c>
      <c r="KF262">
        <v>0.18</v>
      </c>
      <c r="KG262">
        <v>0.1</v>
      </c>
      <c r="KH262">
        <v>3.5</v>
      </c>
      <c r="KI262">
        <v>1</v>
      </c>
      <c r="KJ262">
        <v>4.5</v>
      </c>
      <c r="KK262">
        <v>0</v>
      </c>
      <c r="KL262">
        <v>4.5</v>
      </c>
      <c r="KM262">
        <v>0.5</v>
      </c>
      <c r="KN262">
        <v>1.2</v>
      </c>
      <c r="KO262">
        <v>0</v>
      </c>
      <c r="KP262">
        <v>0</v>
      </c>
      <c r="KQ262">
        <v>0.7</v>
      </c>
      <c r="KR262">
        <v>1.5</v>
      </c>
      <c r="KS262">
        <v>0.2</v>
      </c>
      <c r="KT262">
        <v>2</v>
      </c>
      <c r="KU262">
        <v>0</v>
      </c>
      <c r="KV262">
        <v>0</v>
      </c>
      <c r="KW262">
        <v>1</v>
      </c>
      <c r="KX262">
        <v>2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3</v>
      </c>
      <c r="LI262">
        <v>0.5</v>
      </c>
      <c r="LJ262">
        <v>0</v>
      </c>
      <c r="LK262">
        <v>4.5</v>
      </c>
      <c r="LL262">
        <v>4.5</v>
      </c>
      <c r="LM262">
        <v>7</v>
      </c>
      <c r="LN262">
        <v>0.4</v>
      </c>
      <c r="LO262">
        <v>3.5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1.2</v>
      </c>
      <c r="LX262">
        <v>1.2</v>
      </c>
      <c r="LY262">
        <v>2</v>
      </c>
      <c r="LZ262">
        <v>2</v>
      </c>
      <c r="MA262">
        <v>0</v>
      </c>
      <c r="MB262">
        <v>2.5</v>
      </c>
      <c r="MC262">
        <v>0</v>
      </c>
      <c r="MD262">
        <v>4.5</v>
      </c>
      <c r="ME262">
        <v>6</v>
      </c>
      <c r="MF262">
        <v>6</v>
      </c>
      <c r="MI262">
        <v>0</v>
      </c>
      <c r="MJ262">
        <v>0</v>
      </c>
      <c r="ML262">
        <v>0</v>
      </c>
      <c r="MM262">
        <v>358</v>
      </c>
      <c r="MN262">
        <v>190</v>
      </c>
      <c r="MO262">
        <v>246</v>
      </c>
      <c r="NU262">
        <v>0.15</v>
      </c>
      <c r="NV262">
        <v>0.2</v>
      </c>
      <c r="NW262">
        <v>0.2</v>
      </c>
      <c r="NX262">
        <v>0.2</v>
      </c>
      <c r="NY262">
        <v>0.2</v>
      </c>
      <c r="NZ262">
        <v>0.2</v>
      </c>
      <c r="OE262" t="s">
        <v>4959</v>
      </c>
      <c r="OF262" t="s">
        <v>4647</v>
      </c>
      <c r="OG262" t="s">
        <v>4648</v>
      </c>
      <c r="OH262" t="s">
        <v>4426</v>
      </c>
      <c r="OI262" t="s">
        <v>4959</v>
      </c>
      <c r="OJ262" t="s">
        <v>4958</v>
      </c>
      <c r="OK262">
        <v>61</v>
      </c>
      <c r="OL262">
        <v>61</v>
      </c>
      <c r="OM262" t="s">
        <v>4647</v>
      </c>
      <c r="ON262">
        <v>3</v>
      </c>
      <c r="OO262">
        <v>1953</v>
      </c>
      <c r="OP262">
        <v>61</v>
      </c>
      <c r="OQ262">
        <v>61</v>
      </c>
      <c r="OR262" t="s">
        <v>4648</v>
      </c>
      <c r="OS262">
        <v>3</v>
      </c>
      <c r="OT262">
        <v>1960</v>
      </c>
      <c r="OU262">
        <v>65</v>
      </c>
      <c r="OV262">
        <v>65</v>
      </c>
      <c r="OW262" t="s">
        <v>4426</v>
      </c>
      <c r="OX262">
        <v>1</v>
      </c>
      <c r="OY262">
        <v>36309</v>
      </c>
      <c r="OZ262">
        <v>51</v>
      </c>
      <c r="PA262">
        <v>51</v>
      </c>
      <c r="PB262" t="s">
        <v>4959</v>
      </c>
      <c r="PC262">
        <v>4</v>
      </c>
      <c r="PD262">
        <v>1998</v>
      </c>
      <c r="PF262">
        <v>366</v>
      </c>
      <c r="PG262">
        <v>29</v>
      </c>
      <c r="PH262">
        <v>347</v>
      </c>
      <c r="PI262">
        <v>29</v>
      </c>
      <c r="PJ262">
        <v>130.4</v>
      </c>
      <c r="PK262">
        <v>2618</v>
      </c>
      <c r="PL262">
        <v>1095.3</v>
      </c>
      <c r="PM262">
        <v>1293.3</v>
      </c>
      <c r="PN262">
        <v>97.8</v>
      </c>
      <c r="PO262">
        <v>11.6</v>
      </c>
      <c r="PP262">
        <v>12</v>
      </c>
      <c r="PQ262">
        <v>1</v>
      </c>
      <c r="PR262">
        <v>3</v>
      </c>
      <c r="PS262">
        <v>8</v>
      </c>
      <c r="PT262">
        <v>236</v>
      </c>
      <c r="PU262">
        <v>10</v>
      </c>
      <c r="PV262" t="s">
        <v>4072</v>
      </c>
      <c r="PW262" t="s">
        <v>4072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-1</v>
      </c>
      <c r="QF262">
        <v>1</v>
      </c>
      <c r="QG262">
        <v>0</v>
      </c>
      <c r="QH262">
        <v>5</v>
      </c>
      <c r="QI262">
        <v>5</v>
      </c>
      <c r="QJ262">
        <v>5</v>
      </c>
      <c r="QK262">
        <v>164</v>
      </c>
      <c r="QL262">
        <v>374</v>
      </c>
      <c r="QM262">
        <v>7.5</v>
      </c>
      <c r="QN262">
        <v>1459.5</v>
      </c>
      <c r="QO262" t="s">
        <v>3054</v>
      </c>
      <c r="QP262" t="s">
        <v>513</v>
      </c>
      <c r="QQ262">
        <v>0</v>
      </c>
      <c r="QR262" t="s">
        <v>649</v>
      </c>
      <c r="QS262">
        <v>30</v>
      </c>
      <c r="QT262">
        <v>40</v>
      </c>
    </row>
    <row r="263" spans="1:462">
      <c r="A263" t="s">
        <v>3252</v>
      </c>
      <c r="B263" t="s">
        <v>657</v>
      </c>
      <c r="C263" t="s">
        <v>509</v>
      </c>
      <c r="D263" t="s">
        <v>2565</v>
      </c>
      <c r="E263" t="s">
        <v>4036</v>
      </c>
      <c r="H263" t="s">
        <v>604</v>
      </c>
      <c r="I263" t="s">
        <v>605</v>
      </c>
      <c r="K263" t="s">
        <v>606</v>
      </c>
      <c r="L263" t="s">
        <v>559</v>
      </c>
      <c r="M263" t="s">
        <v>512</v>
      </c>
      <c r="O263" t="s">
        <v>513</v>
      </c>
      <c r="P263" t="s">
        <v>517</v>
      </c>
      <c r="Q263" t="s">
        <v>849</v>
      </c>
      <c r="R263" t="s">
        <v>743</v>
      </c>
      <c r="S263" t="s">
        <v>4134</v>
      </c>
      <c r="T263" t="s">
        <v>686</v>
      </c>
      <c r="U263" t="s">
        <v>687</v>
      </c>
      <c r="V263" t="s">
        <v>1354</v>
      </c>
      <c r="W263" t="s">
        <v>3048</v>
      </c>
      <c r="X263" t="s">
        <v>3253</v>
      </c>
      <c r="Y263" t="s">
        <v>3254</v>
      </c>
      <c r="Z263" t="s">
        <v>650</v>
      </c>
      <c r="AA263" t="s">
        <v>4038</v>
      </c>
      <c r="AB263" t="s">
        <v>4960</v>
      </c>
      <c r="AC263">
        <v>13</v>
      </c>
      <c r="AD263" t="s">
        <v>3251</v>
      </c>
      <c r="AE263">
        <v>7</v>
      </c>
      <c r="AF263">
        <v>4010</v>
      </c>
      <c r="AG263" t="s">
        <v>4322</v>
      </c>
      <c r="AH263">
        <v>1</v>
      </c>
      <c r="AI263" t="s">
        <v>4041</v>
      </c>
      <c r="AK263" t="s">
        <v>4323</v>
      </c>
      <c r="AL263">
        <v>1</v>
      </c>
      <c r="AM263" t="s">
        <v>582</v>
      </c>
      <c r="AO263" t="s">
        <v>4353</v>
      </c>
      <c r="AP263">
        <v>1</v>
      </c>
      <c r="AR263" t="s">
        <v>4961</v>
      </c>
      <c r="AS263">
        <v>1</v>
      </c>
      <c r="AT263">
        <v>51</v>
      </c>
      <c r="AV263" t="s">
        <v>4078</v>
      </c>
      <c r="AW263">
        <v>6.4</v>
      </c>
      <c r="AX263">
        <v>-6</v>
      </c>
      <c r="AY263">
        <v>101</v>
      </c>
      <c r="AZ263">
        <v>81</v>
      </c>
      <c r="BH263">
        <v>101</v>
      </c>
      <c r="BI263">
        <v>20</v>
      </c>
      <c r="BJ263">
        <v>81</v>
      </c>
      <c r="BK263">
        <v>3.5</v>
      </c>
      <c r="BL263">
        <v>202</v>
      </c>
      <c r="BM263">
        <v>-6</v>
      </c>
      <c r="BN263">
        <v>0</v>
      </c>
      <c r="BP263">
        <v>0</v>
      </c>
      <c r="BR263">
        <v>195</v>
      </c>
      <c r="BS263">
        <v>185</v>
      </c>
      <c r="BT263">
        <v>1995</v>
      </c>
      <c r="BU263" t="s">
        <v>4096</v>
      </c>
      <c r="BV263" t="s">
        <v>4096</v>
      </c>
      <c r="BW263" t="s">
        <v>4097</v>
      </c>
      <c r="BX263" t="s">
        <v>4097</v>
      </c>
      <c r="BY263" t="s">
        <v>4181</v>
      </c>
      <c r="BZ263" t="s">
        <v>4181</v>
      </c>
      <c r="CA263" t="s">
        <v>4130</v>
      </c>
      <c r="CB263" t="s">
        <v>4131</v>
      </c>
      <c r="CC263" t="s">
        <v>4053</v>
      </c>
      <c r="CD263" t="s">
        <v>4055</v>
      </c>
      <c r="CE263" t="s">
        <v>4055</v>
      </c>
      <c r="CF263" t="s">
        <v>4055</v>
      </c>
      <c r="CG263" t="s">
        <v>4056</v>
      </c>
      <c r="CH263" t="s">
        <v>4099</v>
      </c>
      <c r="CI263" t="s">
        <v>4086</v>
      </c>
      <c r="CJ263" t="s">
        <v>4059</v>
      </c>
      <c r="CK263" t="s">
        <v>4060</v>
      </c>
      <c r="CL263" t="s">
        <v>4061</v>
      </c>
      <c r="CM263" t="s">
        <v>4062</v>
      </c>
      <c r="CN263" t="s">
        <v>4055</v>
      </c>
      <c r="CO263" t="s">
        <v>4063</v>
      </c>
      <c r="CP263" t="s">
        <v>4055</v>
      </c>
      <c r="CQ263" t="s">
        <v>4055</v>
      </c>
      <c r="CR263">
        <v>5</v>
      </c>
      <c r="CS263" t="s">
        <v>4055</v>
      </c>
      <c r="CT263" t="s">
        <v>4055</v>
      </c>
      <c r="CU263" t="s">
        <v>4055</v>
      </c>
      <c r="CV263">
        <v>126</v>
      </c>
      <c r="CW263">
        <v>3</v>
      </c>
      <c r="CX263">
        <v>105</v>
      </c>
      <c r="CY263">
        <v>5</v>
      </c>
      <c r="CZ263">
        <v>132</v>
      </c>
      <c r="DA263">
        <v>5</v>
      </c>
      <c r="DB263">
        <v>10850</v>
      </c>
      <c r="DC263">
        <v>320</v>
      </c>
      <c r="DD263">
        <v>285</v>
      </c>
      <c r="DE263">
        <v>2105</v>
      </c>
      <c r="DF263">
        <v>2105</v>
      </c>
      <c r="DG263">
        <v>2124</v>
      </c>
      <c r="DH263">
        <v>2</v>
      </c>
      <c r="DI263" t="s">
        <v>4055</v>
      </c>
      <c r="DJ263" t="s">
        <v>4100</v>
      </c>
      <c r="DK263">
        <v>195</v>
      </c>
      <c r="DL263" t="s">
        <v>4101</v>
      </c>
      <c r="DM263">
        <v>63</v>
      </c>
      <c r="DN263">
        <v>0.84</v>
      </c>
      <c r="DO263">
        <v>1</v>
      </c>
      <c r="DP263">
        <v>1998</v>
      </c>
      <c r="DQ263">
        <v>711</v>
      </c>
      <c r="DR263" t="s">
        <v>4100</v>
      </c>
      <c r="DS263">
        <v>185</v>
      </c>
      <c r="DT263" t="s">
        <v>4101</v>
      </c>
      <c r="DU263">
        <v>63</v>
      </c>
      <c r="DV263">
        <v>0.84</v>
      </c>
      <c r="DW263">
        <v>1</v>
      </c>
      <c r="DX263">
        <v>2005</v>
      </c>
      <c r="DY263">
        <v>678</v>
      </c>
      <c r="DZ263" t="s">
        <v>4066</v>
      </c>
      <c r="EA263">
        <v>33</v>
      </c>
      <c r="EB263" t="s">
        <v>4065</v>
      </c>
      <c r="EC263">
        <v>0.4</v>
      </c>
      <c r="ED263">
        <v>1998</v>
      </c>
      <c r="EE263">
        <v>58</v>
      </c>
      <c r="EF263" t="s">
        <v>4066</v>
      </c>
      <c r="EG263">
        <v>33</v>
      </c>
      <c r="EH263" t="s">
        <v>4065</v>
      </c>
      <c r="EI263">
        <v>0.4</v>
      </c>
      <c r="EJ263">
        <v>2005</v>
      </c>
      <c r="EK263">
        <v>58</v>
      </c>
      <c r="EL263" t="s">
        <v>4362</v>
      </c>
      <c r="EM263">
        <v>12</v>
      </c>
      <c r="EN263">
        <v>0.5</v>
      </c>
      <c r="EO263">
        <v>0.77</v>
      </c>
      <c r="EP263">
        <v>2005.56</v>
      </c>
      <c r="EQ263">
        <v>33530.46</v>
      </c>
      <c r="ER263">
        <v>6282.49</v>
      </c>
      <c r="ES263">
        <v>0</v>
      </c>
      <c r="ET263">
        <v>0</v>
      </c>
      <c r="EU263">
        <v>1</v>
      </c>
      <c r="EV263">
        <v>39813</v>
      </c>
      <c r="EW263">
        <v>399</v>
      </c>
      <c r="EX263" t="s">
        <v>4287</v>
      </c>
      <c r="EY263">
        <v>212</v>
      </c>
      <c r="EZ263" t="s">
        <v>4055</v>
      </c>
      <c r="FA263">
        <v>4.6</v>
      </c>
      <c r="FB263">
        <v>1</v>
      </c>
      <c r="FC263">
        <v>1</v>
      </c>
      <c r="FD263">
        <v>2039</v>
      </c>
      <c r="FE263">
        <v>2456</v>
      </c>
      <c r="FF263" t="s">
        <v>4288</v>
      </c>
      <c r="FG263">
        <v>212</v>
      </c>
      <c r="FH263" t="s">
        <v>4055</v>
      </c>
      <c r="FI263">
        <v>4</v>
      </c>
      <c r="FJ263">
        <v>2039</v>
      </c>
      <c r="FK263">
        <v>2093</v>
      </c>
      <c r="FL263" t="s">
        <v>4069</v>
      </c>
      <c r="FM263" t="s">
        <v>4055</v>
      </c>
      <c r="FN263" t="s">
        <v>4055</v>
      </c>
      <c r="FO263" t="s">
        <v>4055</v>
      </c>
      <c r="FP263">
        <v>2039</v>
      </c>
      <c r="FQ263">
        <v>168</v>
      </c>
      <c r="FR263" t="s">
        <v>4090</v>
      </c>
      <c r="FS263">
        <v>216</v>
      </c>
      <c r="FT263" t="s">
        <v>4055</v>
      </c>
      <c r="FU263">
        <v>0.4</v>
      </c>
      <c r="FV263">
        <v>2039</v>
      </c>
      <c r="FW263">
        <v>196</v>
      </c>
      <c r="FX263" t="s">
        <v>4070</v>
      </c>
      <c r="FY263">
        <v>5</v>
      </c>
      <c r="FZ263" t="s">
        <v>4055</v>
      </c>
      <c r="GA263" t="s">
        <v>4055</v>
      </c>
      <c r="GB263">
        <v>2039</v>
      </c>
      <c r="GC263">
        <v>21</v>
      </c>
      <c r="GD263">
        <v>4934</v>
      </c>
      <c r="GE263" t="s">
        <v>4961</v>
      </c>
      <c r="GF263" t="s">
        <v>4055</v>
      </c>
      <c r="GG263" t="s">
        <v>4055</v>
      </c>
      <c r="GH263" t="s">
        <v>4055</v>
      </c>
      <c r="GI263" t="s">
        <v>4071</v>
      </c>
      <c r="GJ263" t="s">
        <v>4055</v>
      </c>
      <c r="GK263" t="s">
        <v>4055</v>
      </c>
      <c r="GL263" t="s">
        <v>4055</v>
      </c>
      <c r="GM263" t="s">
        <v>4055</v>
      </c>
      <c r="GQ263">
        <v>0</v>
      </c>
      <c r="GV263">
        <v>9</v>
      </c>
      <c r="GW263">
        <v>12</v>
      </c>
      <c r="GX263">
        <v>0.5</v>
      </c>
      <c r="GY263">
        <v>180</v>
      </c>
      <c r="GZ263">
        <v>3</v>
      </c>
      <c r="HA263">
        <v>232</v>
      </c>
      <c r="HB263">
        <v>3</v>
      </c>
      <c r="HC263">
        <v>2039</v>
      </c>
      <c r="HD263">
        <v>4</v>
      </c>
      <c r="HE263" t="s">
        <v>4071</v>
      </c>
      <c r="HG263" t="s">
        <v>549</v>
      </c>
      <c r="HL263">
        <v>4</v>
      </c>
      <c r="HM263">
        <v>19</v>
      </c>
      <c r="HN263">
        <v>1</v>
      </c>
      <c r="HO263">
        <v>1</v>
      </c>
      <c r="HP263">
        <v>0</v>
      </c>
      <c r="HQ263">
        <v>0</v>
      </c>
      <c r="HR263">
        <v>2</v>
      </c>
      <c r="HS263">
        <v>1995</v>
      </c>
      <c r="HT263">
        <v>5</v>
      </c>
      <c r="HU263">
        <v>1</v>
      </c>
      <c r="HV263">
        <v>5</v>
      </c>
      <c r="HW263">
        <v>0</v>
      </c>
      <c r="HX263">
        <v>1</v>
      </c>
      <c r="HY263">
        <v>0</v>
      </c>
      <c r="HZ263">
        <v>63</v>
      </c>
      <c r="IA263">
        <v>1998</v>
      </c>
      <c r="IB263">
        <v>2005</v>
      </c>
      <c r="ID263">
        <v>2039</v>
      </c>
      <c r="IE263">
        <v>2039</v>
      </c>
      <c r="IF263">
        <v>195</v>
      </c>
      <c r="IG263">
        <v>185</v>
      </c>
      <c r="IH263">
        <v>232</v>
      </c>
      <c r="II263">
        <v>1</v>
      </c>
      <c r="IJ263">
        <v>5</v>
      </c>
      <c r="IK263">
        <v>0</v>
      </c>
      <c r="IL263">
        <v>2</v>
      </c>
      <c r="IM263">
        <v>0</v>
      </c>
      <c r="IN263">
        <v>110</v>
      </c>
      <c r="IO263">
        <v>0</v>
      </c>
      <c r="IP263">
        <v>180</v>
      </c>
      <c r="IQ263">
        <v>0</v>
      </c>
      <c r="IR263">
        <v>330</v>
      </c>
      <c r="IS263">
        <v>0</v>
      </c>
      <c r="IT263">
        <v>90</v>
      </c>
      <c r="IU263">
        <v>0</v>
      </c>
      <c r="IV263">
        <v>6.4</v>
      </c>
      <c r="IW263">
        <v>-6</v>
      </c>
      <c r="IX263">
        <v>101</v>
      </c>
      <c r="IY263">
        <v>81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330</v>
      </c>
      <c r="JJ263">
        <v>300</v>
      </c>
      <c r="JK263">
        <v>242</v>
      </c>
      <c r="JL263">
        <v>296</v>
      </c>
      <c r="JM263">
        <v>242</v>
      </c>
      <c r="JN263">
        <v>200</v>
      </c>
      <c r="JO263">
        <v>242</v>
      </c>
      <c r="JP263">
        <v>200</v>
      </c>
      <c r="JQ263">
        <v>240</v>
      </c>
      <c r="JR263">
        <v>300</v>
      </c>
      <c r="JS263">
        <v>265</v>
      </c>
      <c r="JT263">
        <v>0</v>
      </c>
      <c r="JU263">
        <v>0</v>
      </c>
      <c r="JV263">
        <v>290</v>
      </c>
      <c r="JW263">
        <v>337</v>
      </c>
      <c r="JX263">
        <v>275</v>
      </c>
      <c r="JY263">
        <v>0</v>
      </c>
      <c r="JZ263">
        <v>1</v>
      </c>
      <c r="KA263">
        <v>0.2</v>
      </c>
      <c r="KB263">
        <v>0.4</v>
      </c>
      <c r="KC263">
        <v>0.42</v>
      </c>
      <c r="KD263">
        <v>0.3</v>
      </c>
      <c r="KE263">
        <v>0.5</v>
      </c>
      <c r="KF263">
        <v>0.21</v>
      </c>
      <c r="KG263">
        <v>0.1</v>
      </c>
      <c r="KH263">
        <v>3</v>
      </c>
      <c r="KI263">
        <v>1</v>
      </c>
      <c r="KJ263">
        <v>4.5</v>
      </c>
      <c r="KK263">
        <v>0</v>
      </c>
      <c r="KL263">
        <v>4.5</v>
      </c>
      <c r="KM263">
        <v>0</v>
      </c>
      <c r="KN263">
        <v>2</v>
      </c>
      <c r="KO263">
        <v>0</v>
      </c>
      <c r="KP263">
        <v>0</v>
      </c>
      <c r="KQ263">
        <v>0.5</v>
      </c>
      <c r="KR263">
        <v>0.5</v>
      </c>
      <c r="KS263">
        <v>0</v>
      </c>
      <c r="KT263">
        <v>1.8</v>
      </c>
      <c r="KU263">
        <v>0</v>
      </c>
      <c r="KV263">
        <v>0</v>
      </c>
      <c r="KW263">
        <v>1.2</v>
      </c>
      <c r="KX263">
        <v>1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3</v>
      </c>
      <c r="LI263">
        <v>0.5</v>
      </c>
      <c r="LJ263">
        <v>0</v>
      </c>
      <c r="LK263">
        <v>4.5</v>
      </c>
      <c r="LL263">
        <v>6</v>
      </c>
      <c r="LM263">
        <v>7.5</v>
      </c>
      <c r="LN263">
        <v>0.1</v>
      </c>
      <c r="LO263">
        <v>0.1</v>
      </c>
      <c r="LP263">
        <v>0</v>
      </c>
      <c r="LQ263">
        <v>0</v>
      </c>
      <c r="LR263">
        <v>0</v>
      </c>
      <c r="LS263">
        <v>1</v>
      </c>
      <c r="LT263">
        <v>0</v>
      </c>
      <c r="LU263">
        <v>0</v>
      </c>
      <c r="LV263">
        <v>0</v>
      </c>
      <c r="LW263">
        <v>2.1</v>
      </c>
      <c r="LX263">
        <v>2.1</v>
      </c>
      <c r="LY263">
        <v>2.8</v>
      </c>
      <c r="LZ263">
        <v>2.8</v>
      </c>
      <c r="MA263">
        <v>0</v>
      </c>
      <c r="MB263">
        <v>4</v>
      </c>
      <c r="MC263">
        <v>0</v>
      </c>
      <c r="MD263">
        <v>4.5</v>
      </c>
      <c r="ME263">
        <v>6</v>
      </c>
      <c r="MF263">
        <v>6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358</v>
      </c>
      <c r="MN263">
        <v>190</v>
      </c>
      <c r="MO263">
        <v>242</v>
      </c>
      <c r="NU263">
        <v>0.15</v>
      </c>
      <c r="NV263">
        <v>0.2</v>
      </c>
      <c r="NW263">
        <v>0.2</v>
      </c>
      <c r="NX263">
        <v>0.2</v>
      </c>
      <c r="NY263">
        <v>0.2</v>
      </c>
      <c r="NZ263">
        <v>0.2</v>
      </c>
      <c r="OE263" t="s">
        <v>4961</v>
      </c>
      <c r="OF263" t="s">
        <v>4322</v>
      </c>
      <c r="OG263" t="s">
        <v>4323</v>
      </c>
      <c r="OH263" t="s">
        <v>4353</v>
      </c>
      <c r="OI263" t="s">
        <v>4961</v>
      </c>
      <c r="OJ263" t="s">
        <v>4960</v>
      </c>
      <c r="OK263">
        <v>61</v>
      </c>
      <c r="OL263">
        <v>61</v>
      </c>
      <c r="OM263" t="s">
        <v>4322</v>
      </c>
      <c r="ON263">
        <v>3</v>
      </c>
      <c r="OO263">
        <v>1998</v>
      </c>
      <c r="OP263">
        <v>61</v>
      </c>
      <c r="OQ263">
        <v>61</v>
      </c>
      <c r="OR263" t="s">
        <v>4323</v>
      </c>
      <c r="OS263">
        <v>3</v>
      </c>
      <c r="OT263">
        <v>2005</v>
      </c>
      <c r="OU263">
        <v>65</v>
      </c>
      <c r="OV263">
        <v>65</v>
      </c>
      <c r="OW263" t="s">
        <v>4353</v>
      </c>
      <c r="OX263">
        <v>1</v>
      </c>
      <c r="OY263">
        <v>39813</v>
      </c>
      <c r="OZ263">
        <v>51</v>
      </c>
      <c r="PA263">
        <v>51</v>
      </c>
      <c r="PB263" t="s">
        <v>4961</v>
      </c>
      <c r="PC263">
        <v>2</v>
      </c>
      <c r="PD263">
        <v>2039</v>
      </c>
      <c r="PF263">
        <v>356</v>
      </c>
      <c r="PG263">
        <v>29</v>
      </c>
      <c r="PH263">
        <v>338</v>
      </c>
      <c r="PI263">
        <v>29</v>
      </c>
      <c r="PJ263">
        <v>82.40000000000001</v>
      </c>
      <c r="PK263">
        <v>2401</v>
      </c>
      <c r="PL263">
        <v>1204.5</v>
      </c>
      <c r="PM263">
        <v>1026.3</v>
      </c>
      <c r="PN263">
        <v>96.09999999999999</v>
      </c>
      <c r="PO263">
        <v>10.5</v>
      </c>
      <c r="PP263">
        <v>10</v>
      </c>
      <c r="PQ263">
        <v>3</v>
      </c>
      <c r="PR263">
        <v>3</v>
      </c>
      <c r="PS263">
        <v>8</v>
      </c>
      <c r="PT263">
        <v>232</v>
      </c>
      <c r="PU263">
        <v>10</v>
      </c>
      <c r="PV263" t="s">
        <v>4072</v>
      </c>
      <c r="PW263" t="s">
        <v>4072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-1</v>
      </c>
      <c r="QF263">
        <v>1</v>
      </c>
      <c r="QG263">
        <v>0</v>
      </c>
      <c r="QH263">
        <v>5</v>
      </c>
      <c r="QI263">
        <v>5</v>
      </c>
      <c r="QJ263">
        <v>5</v>
      </c>
      <c r="QK263">
        <v>181</v>
      </c>
      <c r="QL263">
        <v>360</v>
      </c>
      <c r="QM263">
        <v>7.5</v>
      </c>
      <c r="QN263">
        <v>1540.9</v>
      </c>
      <c r="QO263" t="s">
        <v>3054</v>
      </c>
      <c r="QP263" t="s">
        <v>513</v>
      </c>
      <c r="QQ263">
        <v>0</v>
      </c>
      <c r="QR263" t="s">
        <v>860</v>
      </c>
      <c r="QS263">
        <v>40</v>
      </c>
      <c r="QT263">
        <v>50</v>
      </c>
    </row>
    <row r="264" spans="1:462">
      <c r="A264" t="s">
        <v>3260</v>
      </c>
      <c r="B264" t="s">
        <v>559</v>
      </c>
      <c r="C264" t="s">
        <v>509</v>
      </c>
      <c r="D264" t="s">
        <v>3259</v>
      </c>
      <c r="E264" t="s">
        <v>4036</v>
      </c>
      <c r="H264" t="s">
        <v>604</v>
      </c>
      <c r="I264" t="s">
        <v>896</v>
      </c>
      <c r="J264" t="s">
        <v>628</v>
      </c>
      <c r="K264" t="s">
        <v>606</v>
      </c>
      <c r="L264" t="s">
        <v>564</v>
      </c>
      <c r="M264" t="s">
        <v>512</v>
      </c>
      <c r="O264" t="s">
        <v>513</v>
      </c>
      <c r="P264" t="s">
        <v>517</v>
      </c>
      <c r="Q264" t="s">
        <v>1326</v>
      </c>
      <c r="R264" t="s">
        <v>1327</v>
      </c>
      <c r="S264" t="s">
        <v>4073</v>
      </c>
      <c r="T264" t="s">
        <v>570</v>
      </c>
      <c r="U264" t="s">
        <v>571</v>
      </c>
      <c r="V264" t="s">
        <v>1309</v>
      </c>
      <c r="W264" t="s">
        <v>3058</v>
      </c>
      <c r="X264" t="s">
        <v>3261</v>
      </c>
      <c r="Y264" t="s">
        <v>3262</v>
      </c>
      <c r="Z264" t="s">
        <v>541</v>
      </c>
      <c r="AA264" t="s">
        <v>4038</v>
      </c>
      <c r="AB264" t="s">
        <v>4962</v>
      </c>
      <c r="AC264">
        <v>13</v>
      </c>
      <c r="AD264" t="s">
        <v>3258</v>
      </c>
      <c r="AE264">
        <v>6</v>
      </c>
      <c r="AF264">
        <v>5875</v>
      </c>
      <c r="AG264" t="s">
        <v>4306</v>
      </c>
      <c r="AH264">
        <v>1</v>
      </c>
      <c r="AI264" t="s">
        <v>4041</v>
      </c>
      <c r="AK264" t="s">
        <v>4307</v>
      </c>
      <c r="AL264">
        <v>1</v>
      </c>
      <c r="AM264" t="s">
        <v>582</v>
      </c>
      <c r="AO264" t="s">
        <v>4043</v>
      </c>
      <c r="AP264">
        <v>1</v>
      </c>
      <c r="AR264" t="s">
        <v>4963</v>
      </c>
      <c r="AS264">
        <v>1</v>
      </c>
      <c r="AT264">
        <v>52</v>
      </c>
      <c r="AV264" t="s">
        <v>4045</v>
      </c>
      <c r="AW264">
        <v>6.4</v>
      </c>
      <c r="AX264">
        <v>-6</v>
      </c>
      <c r="AY264">
        <v>110</v>
      </c>
      <c r="AZ264">
        <v>92</v>
      </c>
      <c r="BH264">
        <v>110</v>
      </c>
      <c r="BI264">
        <v>18</v>
      </c>
      <c r="BJ264">
        <v>92</v>
      </c>
      <c r="BK264">
        <v>2.5</v>
      </c>
      <c r="BL264">
        <v>220</v>
      </c>
      <c r="BM264">
        <v>-6</v>
      </c>
      <c r="BN264">
        <v>0</v>
      </c>
      <c r="BP264">
        <v>0</v>
      </c>
      <c r="BR264">
        <v>215</v>
      </c>
      <c r="BS264">
        <v>205</v>
      </c>
      <c r="BT264">
        <v>2200</v>
      </c>
      <c r="BU264" t="s">
        <v>4127</v>
      </c>
      <c r="BV264" t="s">
        <v>4079</v>
      </c>
      <c r="BW264" t="s">
        <v>4128</v>
      </c>
      <c r="BX264" t="s">
        <v>4081</v>
      </c>
      <c r="BY264" t="s">
        <v>4164</v>
      </c>
      <c r="BZ264" t="s">
        <v>4139</v>
      </c>
      <c r="CA264" t="s">
        <v>4084</v>
      </c>
      <c r="CB264" t="s">
        <v>4085</v>
      </c>
      <c r="CC264" t="s">
        <v>4053</v>
      </c>
      <c r="CD264" t="s">
        <v>4055</v>
      </c>
      <c r="CE264" t="s">
        <v>4055</v>
      </c>
      <c r="CF264" t="s">
        <v>4055</v>
      </c>
      <c r="CG264" t="s">
        <v>4056</v>
      </c>
      <c r="CI264" t="s">
        <v>4086</v>
      </c>
      <c r="CJ264" t="s">
        <v>4059</v>
      </c>
      <c r="CK264" t="s">
        <v>4060</v>
      </c>
      <c r="CL264" t="s">
        <v>4061</v>
      </c>
      <c r="CM264" t="s">
        <v>4055</v>
      </c>
      <c r="CN264" t="s">
        <v>4062</v>
      </c>
      <c r="CO264" t="s">
        <v>4063</v>
      </c>
      <c r="CP264" t="s">
        <v>4055</v>
      </c>
      <c r="CQ264" t="s">
        <v>4055</v>
      </c>
      <c r="CR264">
        <v>5</v>
      </c>
      <c r="CS264" t="s">
        <v>4055</v>
      </c>
      <c r="CT264" t="s">
        <v>4055</v>
      </c>
      <c r="CU264" t="s">
        <v>4055</v>
      </c>
      <c r="CV264">
        <v>135</v>
      </c>
      <c r="CW264">
        <v>3</v>
      </c>
      <c r="CX264">
        <v>93</v>
      </c>
      <c r="CY264">
        <v>5</v>
      </c>
      <c r="CZ264">
        <v>162</v>
      </c>
      <c r="DA264">
        <v>5</v>
      </c>
      <c r="DB264">
        <v>14500</v>
      </c>
      <c r="DC264">
        <v>430</v>
      </c>
      <c r="DD264">
        <v>370</v>
      </c>
      <c r="DE264">
        <v>2327</v>
      </c>
      <c r="DF264">
        <v>2327</v>
      </c>
      <c r="DG264">
        <v>2339</v>
      </c>
      <c r="DH264">
        <v>1</v>
      </c>
      <c r="DI264" t="s">
        <v>4055</v>
      </c>
      <c r="DJ264" t="s">
        <v>4132</v>
      </c>
      <c r="DK264">
        <v>215</v>
      </c>
      <c r="DL264" t="s">
        <v>4065</v>
      </c>
      <c r="DM264">
        <v>63</v>
      </c>
      <c r="DN264">
        <v>1.1</v>
      </c>
      <c r="DO264">
        <v>1</v>
      </c>
      <c r="DP264">
        <v>2203</v>
      </c>
      <c r="DQ264">
        <v>1024</v>
      </c>
      <c r="DR264" t="s">
        <v>4132</v>
      </c>
      <c r="DS264">
        <v>205</v>
      </c>
      <c r="DT264" t="s">
        <v>4065</v>
      </c>
      <c r="DU264">
        <v>63</v>
      </c>
      <c r="DV264">
        <v>1.1</v>
      </c>
      <c r="DW264">
        <v>1</v>
      </c>
      <c r="DX264">
        <v>2215</v>
      </c>
      <c r="DY264">
        <v>981</v>
      </c>
      <c r="DZ264" t="s">
        <v>4066</v>
      </c>
      <c r="EA264">
        <v>20</v>
      </c>
      <c r="EB264" t="s">
        <v>4065</v>
      </c>
      <c r="EC264">
        <v>0.8</v>
      </c>
      <c r="ED264">
        <v>2203</v>
      </c>
      <c r="EE264">
        <v>77</v>
      </c>
      <c r="EG264">
        <v>0</v>
      </c>
      <c r="EH264" t="s">
        <v>4065</v>
      </c>
      <c r="EI264">
        <v>0</v>
      </c>
      <c r="EL264" t="s">
        <v>1528</v>
      </c>
      <c r="EM264">
        <v>12</v>
      </c>
      <c r="EN264">
        <v>0.5</v>
      </c>
      <c r="EO264">
        <v>0.96</v>
      </c>
      <c r="EP264">
        <v>2213.83</v>
      </c>
      <c r="EQ264">
        <v>40125.67</v>
      </c>
      <c r="ER264">
        <v>6243.36</v>
      </c>
      <c r="ES264">
        <v>0</v>
      </c>
      <c r="ET264">
        <v>0</v>
      </c>
      <c r="EU264">
        <v>1</v>
      </c>
      <c r="EV264">
        <v>46370</v>
      </c>
      <c r="EW264">
        <v>557</v>
      </c>
      <c r="EX264" t="s">
        <v>4287</v>
      </c>
      <c r="EY264">
        <v>240</v>
      </c>
      <c r="EZ264" t="s">
        <v>4055</v>
      </c>
      <c r="FA264">
        <v>3.9</v>
      </c>
      <c r="FB264">
        <v>1</v>
      </c>
      <c r="FC264">
        <v>1</v>
      </c>
      <c r="FD264">
        <v>2249</v>
      </c>
      <c r="FE264">
        <v>2705</v>
      </c>
      <c r="FF264" t="s">
        <v>4288</v>
      </c>
      <c r="FG264">
        <v>240</v>
      </c>
      <c r="FH264" t="s">
        <v>4055</v>
      </c>
      <c r="FI264">
        <v>4.7</v>
      </c>
      <c r="FJ264">
        <v>2249</v>
      </c>
      <c r="FK264">
        <v>2884</v>
      </c>
      <c r="FL264" t="s">
        <v>4069</v>
      </c>
      <c r="FM264" t="s">
        <v>4055</v>
      </c>
      <c r="FN264" t="s">
        <v>4055</v>
      </c>
      <c r="FO264" t="s">
        <v>4055</v>
      </c>
      <c r="FP264">
        <v>2249</v>
      </c>
      <c r="FQ264">
        <v>120</v>
      </c>
      <c r="FR264" t="s">
        <v>4090</v>
      </c>
      <c r="FS264">
        <v>244</v>
      </c>
      <c r="FT264" t="s">
        <v>4055</v>
      </c>
      <c r="FU264">
        <v>0.4</v>
      </c>
      <c r="FV264">
        <v>2249</v>
      </c>
      <c r="FW264">
        <v>244</v>
      </c>
      <c r="FX264" t="s">
        <v>4070</v>
      </c>
      <c r="FY264">
        <v>5</v>
      </c>
      <c r="FZ264" t="s">
        <v>4055</v>
      </c>
      <c r="GA264" t="s">
        <v>4055</v>
      </c>
      <c r="GB264">
        <v>2249</v>
      </c>
      <c r="GC264">
        <v>24</v>
      </c>
      <c r="GD264">
        <v>5977</v>
      </c>
      <c r="GE264" t="s">
        <v>4963</v>
      </c>
      <c r="GF264" t="s">
        <v>4055</v>
      </c>
      <c r="GG264" t="s">
        <v>4055</v>
      </c>
      <c r="GH264" t="s">
        <v>4055</v>
      </c>
      <c r="GI264" t="s">
        <v>4071</v>
      </c>
      <c r="GJ264" t="s">
        <v>4055</v>
      </c>
      <c r="GK264" t="s">
        <v>4055</v>
      </c>
      <c r="GL264" t="s">
        <v>4055</v>
      </c>
      <c r="GM264" t="s">
        <v>4055</v>
      </c>
      <c r="GQ264">
        <v>0</v>
      </c>
      <c r="GV264">
        <v>9</v>
      </c>
      <c r="GW264">
        <v>11.8</v>
      </c>
      <c r="GX264">
        <v>0.5</v>
      </c>
      <c r="GY264">
        <v>214</v>
      </c>
      <c r="GZ264">
        <v>3</v>
      </c>
      <c r="HA264">
        <v>254</v>
      </c>
      <c r="HB264">
        <v>3</v>
      </c>
      <c r="HC264">
        <v>2249</v>
      </c>
      <c r="HD264">
        <v>4</v>
      </c>
      <c r="HE264" t="s">
        <v>4071</v>
      </c>
      <c r="HG264" t="s">
        <v>549</v>
      </c>
      <c r="HL264">
        <v>4</v>
      </c>
      <c r="HM264">
        <v>20</v>
      </c>
      <c r="HN264">
        <v>6</v>
      </c>
      <c r="HO264">
        <v>1</v>
      </c>
      <c r="HP264">
        <v>0</v>
      </c>
      <c r="HQ264">
        <v>0</v>
      </c>
      <c r="HR264">
        <v>2</v>
      </c>
      <c r="HS264">
        <v>2200</v>
      </c>
      <c r="HT264">
        <v>5</v>
      </c>
      <c r="HU264">
        <v>1</v>
      </c>
      <c r="HV264">
        <v>5</v>
      </c>
      <c r="HW264">
        <v>0</v>
      </c>
      <c r="HX264">
        <v>1</v>
      </c>
      <c r="HY264">
        <v>0</v>
      </c>
      <c r="HZ264">
        <v>63</v>
      </c>
      <c r="IA264">
        <v>2203</v>
      </c>
      <c r="IB264">
        <v>2215</v>
      </c>
      <c r="ID264">
        <v>2249</v>
      </c>
      <c r="IE264">
        <v>2249</v>
      </c>
      <c r="IF264">
        <v>215</v>
      </c>
      <c r="IG264">
        <v>205</v>
      </c>
      <c r="IH264">
        <v>254</v>
      </c>
      <c r="II264">
        <v>1</v>
      </c>
      <c r="IJ264">
        <v>10</v>
      </c>
      <c r="IK264">
        <v>0</v>
      </c>
      <c r="IL264">
        <v>0</v>
      </c>
      <c r="IM264">
        <v>0</v>
      </c>
      <c r="IN264">
        <v>270</v>
      </c>
      <c r="IO264">
        <v>0</v>
      </c>
      <c r="IP264">
        <v>180</v>
      </c>
      <c r="IQ264">
        <v>0</v>
      </c>
      <c r="IR264">
        <v>330</v>
      </c>
      <c r="IS264">
        <v>0</v>
      </c>
      <c r="IT264">
        <v>90</v>
      </c>
      <c r="IU264">
        <v>0</v>
      </c>
      <c r="IV264">
        <v>6.4</v>
      </c>
      <c r="IW264">
        <v>-6</v>
      </c>
      <c r="IX264">
        <v>110</v>
      </c>
      <c r="IY264">
        <v>92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406</v>
      </c>
      <c r="JJ264">
        <v>376</v>
      </c>
      <c r="JK264">
        <v>285</v>
      </c>
      <c r="JL264">
        <v>374</v>
      </c>
      <c r="JM264">
        <v>310</v>
      </c>
      <c r="JN264">
        <v>215</v>
      </c>
      <c r="JO264">
        <v>265</v>
      </c>
      <c r="JP264">
        <v>210</v>
      </c>
      <c r="JQ264">
        <v>245</v>
      </c>
      <c r="JR264">
        <v>310</v>
      </c>
      <c r="JS264">
        <v>245</v>
      </c>
      <c r="JT264">
        <v>0</v>
      </c>
      <c r="JU264">
        <v>0</v>
      </c>
      <c r="JV264">
        <v>300</v>
      </c>
      <c r="JW264">
        <v>290</v>
      </c>
      <c r="JX264">
        <v>290</v>
      </c>
      <c r="JY264">
        <v>260</v>
      </c>
      <c r="JZ264">
        <v>0.5</v>
      </c>
      <c r="KA264">
        <v>0.2</v>
      </c>
      <c r="KB264">
        <v>0.4</v>
      </c>
      <c r="KC264">
        <v>0.42</v>
      </c>
      <c r="KD264">
        <v>0.3</v>
      </c>
      <c r="KE264">
        <v>0.5</v>
      </c>
      <c r="KF264">
        <v>0.18</v>
      </c>
      <c r="KG264">
        <v>0.12</v>
      </c>
      <c r="KH264">
        <v>3.5</v>
      </c>
      <c r="KI264">
        <v>1</v>
      </c>
      <c r="KJ264">
        <v>4.5</v>
      </c>
      <c r="KK264">
        <v>0</v>
      </c>
      <c r="KL264">
        <v>4.5</v>
      </c>
      <c r="KM264">
        <v>0</v>
      </c>
      <c r="KN264">
        <v>2</v>
      </c>
      <c r="KO264">
        <v>0</v>
      </c>
      <c r="KP264">
        <v>0</v>
      </c>
      <c r="KQ264">
        <v>0.7</v>
      </c>
      <c r="KR264">
        <v>0.9</v>
      </c>
      <c r="KS264">
        <v>0</v>
      </c>
      <c r="KT264">
        <v>3.5</v>
      </c>
      <c r="KU264">
        <v>0</v>
      </c>
      <c r="KV264">
        <v>0</v>
      </c>
      <c r="KW264">
        <v>0.7</v>
      </c>
      <c r="KX264">
        <v>1.5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3</v>
      </c>
      <c r="LI264">
        <v>2.5</v>
      </c>
      <c r="LJ264">
        <v>0</v>
      </c>
      <c r="LK264">
        <v>7</v>
      </c>
      <c r="LL264">
        <v>7</v>
      </c>
      <c r="LM264">
        <v>8</v>
      </c>
      <c r="LN264">
        <v>0.5</v>
      </c>
      <c r="LO264">
        <v>1</v>
      </c>
      <c r="LP264">
        <v>0</v>
      </c>
      <c r="LQ264">
        <v>0</v>
      </c>
      <c r="LR264">
        <v>0</v>
      </c>
      <c r="LS264">
        <v>1</v>
      </c>
      <c r="LT264">
        <v>0</v>
      </c>
      <c r="LU264">
        <v>0</v>
      </c>
      <c r="LV264">
        <v>0</v>
      </c>
      <c r="LW264">
        <v>2.1</v>
      </c>
      <c r="LX264">
        <v>2.1</v>
      </c>
      <c r="LY264">
        <v>2.8</v>
      </c>
      <c r="LZ264">
        <v>2.8</v>
      </c>
      <c r="MA264">
        <v>0</v>
      </c>
      <c r="MB264">
        <v>6</v>
      </c>
      <c r="MC264">
        <v>0</v>
      </c>
      <c r="MD264">
        <v>4.5</v>
      </c>
      <c r="ME264">
        <v>6</v>
      </c>
      <c r="MF264">
        <v>6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420</v>
      </c>
      <c r="MN264">
        <v>210</v>
      </c>
      <c r="MO264">
        <v>265</v>
      </c>
      <c r="NU264">
        <v>0.15</v>
      </c>
      <c r="NV264">
        <v>0.2</v>
      </c>
      <c r="NW264">
        <v>0.2</v>
      </c>
      <c r="NX264">
        <v>0.2</v>
      </c>
      <c r="NY264">
        <v>0.2</v>
      </c>
      <c r="NZ264">
        <v>0.2</v>
      </c>
      <c r="OE264" t="s">
        <v>4963</v>
      </c>
      <c r="OF264" t="s">
        <v>4306</v>
      </c>
      <c r="OG264" t="s">
        <v>4307</v>
      </c>
      <c r="OH264" t="s">
        <v>4043</v>
      </c>
      <c r="OI264" t="s">
        <v>4963</v>
      </c>
      <c r="OJ264" t="s">
        <v>4962</v>
      </c>
      <c r="OK264">
        <v>61</v>
      </c>
      <c r="OL264">
        <v>61</v>
      </c>
      <c r="OM264" t="s">
        <v>4306</v>
      </c>
      <c r="ON264">
        <v>1</v>
      </c>
      <c r="OO264">
        <v>2203</v>
      </c>
      <c r="OP264">
        <v>61</v>
      </c>
      <c r="OQ264">
        <v>61</v>
      </c>
      <c r="OR264" t="s">
        <v>4307</v>
      </c>
      <c r="OS264">
        <v>1</v>
      </c>
      <c r="OT264">
        <v>2215</v>
      </c>
      <c r="OU264">
        <v>65</v>
      </c>
      <c r="OV264">
        <v>65</v>
      </c>
      <c r="OW264" t="s">
        <v>4043</v>
      </c>
      <c r="OX264">
        <v>2</v>
      </c>
      <c r="OY264">
        <v>46370</v>
      </c>
      <c r="OZ264">
        <v>51</v>
      </c>
      <c r="PA264">
        <v>52</v>
      </c>
      <c r="PB264" t="s">
        <v>4963</v>
      </c>
      <c r="PC264">
        <v>5</v>
      </c>
      <c r="PD264">
        <v>2249</v>
      </c>
      <c r="PF264">
        <v>465</v>
      </c>
      <c r="PG264">
        <v>35</v>
      </c>
      <c r="PH264">
        <v>443</v>
      </c>
      <c r="PI264">
        <v>0</v>
      </c>
      <c r="PJ264">
        <v>53.5</v>
      </c>
      <c r="PK264">
        <v>2685</v>
      </c>
      <c r="PL264">
        <v>1202.7</v>
      </c>
      <c r="PM264">
        <v>1282.3</v>
      </c>
      <c r="PN264">
        <v>108.6</v>
      </c>
      <c r="PO264">
        <v>10.5</v>
      </c>
      <c r="PP264">
        <v>12</v>
      </c>
      <c r="PQ264">
        <v>5</v>
      </c>
      <c r="PR264">
        <v>4</v>
      </c>
      <c r="PS264">
        <v>0</v>
      </c>
      <c r="PT264">
        <v>254</v>
      </c>
      <c r="PU264">
        <v>7</v>
      </c>
      <c r="PV264" t="s">
        <v>4072</v>
      </c>
      <c r="PW264" t="s">
        <v>4072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-1</v>
      </c>
      <c r="QF264">
        <v>1</v>
      </c>
      <c r="QG264">
        <v>0</v>
      </c>
      <c r="QH264">
        <v>5</v>
      </c>
      <c r="QI264">
        <v>5</v>
      </c>
      <c r="QJ264">
        <v>5</v>
      </c>
      <c r="QK264">
        <v>219</v>
      </c>
      <c r="QL264">
        <v>436</v>
      </c>
      <c r="QM264">
        <v>7.5</v>
      </c>
      <c r="QN264">
        <v>1623.8</v>
      </c>
      <c r="QO264" t="s">
        <v>3054</v>
      </c>
      <c r="QP264" t="s">
        <v>513</v>
      </c>
      <c r="QQ264">
        <v>0</v>
      </c>
      <c r="QR264" t="s">
        <v>596</v>
      </c>
      <c r="QS264">
        <v>40</v>
      </c>
      <c r="QT264">
        <v>50</v>
      </c>
    </row>
    <row r="265" spans="1:462">
      <c r="A265" t="s">
        <v>3267</v>
      </c>
      <c r="B265" t="s">
        <v>657</v>
      </c>
      <c r="C265" t="s">
        <v>509</v>
      </c>
      <c r="D265" t="s">
        <v>4155</v>
      </c>
      <c r="E265" t="s">
        <v>4036</v>
      </c>
      <c r="H265" t="s">
        <v>604</v>
      </c>
      <c r="J265" t="s">
        <v>628</v>
      </c>
      <c r="K265" t="s">
        <v>606</v>
      </c>
      <c r="L265" t="s">
        <v>559</v>
      </c>
      <c r="M265" t="s">
        <v>512</v>
      </c>
      <c r="O265" t="s">
        <v>513</v>
      </c>
      <c r="P265" t="s">
        <v>517</v>
      </c>
      <c r="Q265" t="s">
        <v>1718</v>
      </c>
      <c r="R265" t="s">
        <v>610</v>
      </c>
      <c r="S265" t="s">
        <v>4091</v>
      </c>
      <c r="T265" t="s">
        <v>1482</v>
      </c>
      <c r="U265" t="s">
        <v>1483</v>
      </c>
      <c r="V265" t="s">
        <v>2510</v>
      </c>
      <c r="W265" t="s">
        <v>3048</v>
      </c>
      <c r="X265" t="s">
        <v>3268</v>
      </c>
      <c r="Y265" t="s">
        <v>3269</v>
      </c>
      <c r="Z265" t="s">
        <v>541</v>
      </c>
      <c r="AA265" t="s">
        <v>3054</v>
      </c>
      <c r="AB265" t="s">
        <v>4964</v>
      </c>
      <c r="AC265">
        <v>14</v>
      </c>
      <c r="AD265" t="s">
        <v>3266</v>
      </c>
      <c r="AE265">
        <v>7</v>
      </c>
      <c r="AF265">
        <v>3671</v>
      </c>
      <c r="AG265" t="s">
        <v>4965</v>
      </c>
      <c r="AH265">
        <v>1</v>
      </c>
      <c r="AI265" t="s">
        <v>4041</v>
      </c>
      <c r="AK265" t="s">
        <v>4966</v>
      </c>
      <c r="AL265">
        <v>1</v>
      </c>
      <c r="AM265" t="s">
        <v>582</v>
      </c>
      <c r="AO265" t="s">
        <v>4426</v>
      </c>
      <c r="AP265">
        <v>1</v>
      </c>
      <c r="AR265" t="s">
        <v>4967</v>
      </c>
      <c r="AS265">
        <v>1</v>
      </c>
      <c r="AT265">
        <v>51</v>
      </c>
      <c r="AV265" t="s">
        <v>4045</v>
      </c>
      <c r="AW265">
        <v>6.4</v>
      </c>
      <c r="AX265">
        <v>-6</v>
      </c>
      <c r="AY265">
        <v>91</v>
      </c>
      <c r="AZ265">
        <v>82</v>
      </c>
      <c r="BH265">
        <v>91</v>
      </c>
      <c r="BI265">
        <v>9</v>
      </c>
      <c r="BJ265">
        <v>82</v>
      </c>
      <c r="BK265">
        <v>3.5</v>
      </c>
      <c r="BL265">
        <v>182</v>
      </c>
      <c r="BM265">
        <v>-6</v>
      </c>
      <c r="BN265">
        <v>0</v>
      </c>
      <c r="BP265">
        <v>0</v>
      </c>
      <c r="BR265">
        <v>175</v>
      </c>
      <c r="BS265">
        <v>165</v>
      </c>
      <c r="BT265">
        <v>1885</v>
      </c>
      <c r="BU265" t="s">
        <v>4047</v>
      </c>
      <c r="BV265" t="s">
        <v>4047</v>
      </c>
      <c r="BW265" t="s">
        <v>4049</v>
      </c>
      <c r="BX265" t="s">
        <v>4049</v>
      </c>
      <c r="BY265" t="s">
        <v>4428</v>
      </c>
      <c r="BZ265" t="s">
        <v>4428</v>
      </c>
      <c r="CA265" t="s">
        <v>4370</v>
      </c>
      <c r="CB265" t="s">
        <v>4371</v>
      </c>
      <c r="CC265" t="s">
        <v>4053</v>
      </c>
      <c r="CD265" t="s">
        <v>4372</v>
      </c>
      <c r="CE265" t="s">
        <v>4055</v>
      </c>
      <c r="CF265" t="s">
        <v>4055</v>
      </c>
      <c r="CG265" t="s">
        <v>4056</v>
      </c>
      <c r="CH265" t="s">
        <v>4057</v>
      </c>
      <c r="CI265" t="s">
        <v>4058</v>
      </c>
      <c r="CJ265" t="s">
        <v>4059</v>
      </c>
      <c r="CK265" t="s">
        <v>4060</v>
      </c>
      <c r="CL265" t="s">
        <v>4061</v>
      </c>
      <c r="CM265" t="s">
        <v>4062</v>
      </c>
      <c r="CN265" t="s">
        <v>4055</v>
      </c>
      <c r="CO265" t="s">
        <v>4063</v>
      </c>
      <c r="CP265" t="s">
        <v>4055</v>
      </c>
      <c r="CQ265" t="s">
        <v>4055</v>
      </c>
      <c r="CR265">
        <v>5</v>
      </c>
      <c r="CS265" t="s">
        <v>4055</v>
      </c>
      <c r="CT265" t="s">
        <v>4055</v>
      </c>
      <c r="CU265" t="s">
        <v>4055</v>
      </c>
      <c r="CV265">
        <v>118</v>
      </c>
      <c r="CW265">
        <v>3</v>
      </c>
      <c r="CX265">
        <v>78</v>
      </c>
      <c r="CY265">
        <v>5</v>
      </c>
      <c r="CZ265">
        <v>65</v>
      </c>
      <c r="DA265">
        <v>5</v>
      </c>
      <c r="DB265">
        <v>9510</v>
      </c>
      <c r="DC265">
        <v>280</v>
      </c>
      <c r="DD265">
        <v>315</v>
      </c>
      <c r="DE265">
        <v>1982</v>
      </c>
      <c r="DF265">
        <v>1982</v>
      </c>
      <c r="DG265">
        <v>2006</v>
      </c>
      <c r="DH265" t="s">
        <v>4055</v>
      </c>
      <c r="DI265" t="s">
        <v>4055</v>
      </c>
      <c r="DJ265" t="s">
        <v>4100</v>
      </c>
      <c r="DK265">
        <v>175</v>
      </c>
      <c r="DL265" t="s">
        <v>4101</v>
      </c>
      <c r="DM265">
        <v>61</v>
      </c>
      <c r="DN265">
        <v>0.84</v>
      </c>
      <c r="DO265">
        <v>1</v>
      </c>
      <c r="DP265">
        <v>1888</v>
      </c>
      <c r="DQ265">
        <v>604</v>
      </c>
      <c r="DR265" t="s">
        <v>4100</v>
      </c>
      <c r="DS265">
        <v>165</v>
      </c>
      <c r="DT265" t="s">
        <v>4101</v>
      </c>
      <c r="DU265">
        <v>61</v>
      </c>
      <c r="DV265">
        <v>0.84</v>
      </c>
      <c r="DW265">
        <v>1</v>
      </c>
      <c r="DX265">
        <v>1895</v>
      </c>
      <c r="DY265">
        <v>572</v>
      </c>
      <c r="DZ265" t="s">
        <v>4066</v>
      </c>
      <c r="EA265">
        <v>33</v>
      </c>
      <c r="EB265" t="s">
        <v>4065</v>
      </c>
      <c r="EC265">
        <v>0.4</v>
      </c>
      <c r="ED265">
        <v>1888</v>
      </c>
      <c r="EE265">
        <v>55</v>
      </c>
      <c r="EF265" t="s">
        <v>4066</v>
      </c>
      <c r="EG265">
        <v>33</v>
      </c>
      <c r="EH265" t="s">
        <v>4065</v>
      </c>
      <c r="EI265">
        <v>0.4</v>
      </c>
      <c r="EJ265">
        <v>1895</v>
      </c>
      <c r="EK265">
        <v>55</v>
      </c>
      <c r="EL265" t="s">
        <v>4429</v>
      </c>
      <c r="EM265">
        <v>12</v>
      </c>
      <c r="EN265">
        <v>0.5</v>
      </c>
      <c r="EO265">
        <v>0.9</v>
      </c>
      <c r="EP265">
        <v>1895.56</v>
      </c>
      <c r="EQ265">
        <v>28729.58</v>
      </c>
      <c r="ER265">
        <v>2673.58</v>
      </c>
      <c r="ES265">
        <v>0</v>
      </c>
      <c r="ET265">
        <v>0</v>
      </c>
      <c r="EU265">
        <v>1</v>
      </c>
      <c r="EV265">
        <v>31404</v>
      </c>
      <c r="EW265">
        <v>377</v>
      </c>
      <c r="EX265" t="s">
        <v>4287</v>
      </c>
      <c r="EY265">
        <v>196</v>
      </c>
      <c r="EZ265" t="s">
        <v>4055</v>
      </c>
      <c r="FA265">
        <v>4</v>
      </c>
      <c r="FB265">
        <v>1</v>
      </c>
      <c r="FC265">
        <v>1</v>
      </c>
      <c r="FD265">
        <v>1930</v>
      </c>
      <c r="FE265">
        <v>1863</v>
      </c>
      <c r="FF265" t="s">
        <v>4288</v>
      </c>
      <c r="FG265">
        <v>196</v>
      </c>
      <c r="FH265" t="s">
        <v>4055</v>
      </c>
      <c r="FI265">
        <v>4.6</v>
      </c>
      <c r="FJ265">
        <v>1930</v>
      </c>
      <c r="FK265">
        <v>1915</v>
      </c>
      <c r="FL265" t="s">
        <v>4069</v>
      </c>
      <c r="FM265" t="s">
        <v>4055</v>
      </c>
      <c r="FN265" t="s">
        <v>4055</v>
      </c>
      <c r="FO265" t="s">
        <v>4055</v>
      </c>
      <c r="FP265">
        <v>1930</v>
      </c>
      <c r="FQ265">
        <v>198</v>
      </c>
      <c r="FR265" t="s">
        <v>4090</v>
      </c>
      <c r="FS265">
        <v>200</v>
      </c>
      <c r="FT265" t="s">
        <v>4055</v>
      </c>
      <c r="FU265">
        <v>0.4</v>
      </c>
      <c r="FV265">
        <v>1930</v>
      </c>
      <c r="FW265">
        <v>174</v>
      </c>
      <c r="FX265" t="s">
        <v>4070</v>
      </c>
      <c r="FY265">
        <v>5</v>
      </c>
      <c r="FZ265" t="s">
        <v>4055</v>
      </c>
      <c r="GA265" t="s">
        <v>4055</v>
      </c>
      <c r="GB265">
        <v>1930</v>
      </c>
      <c r="GC265">
        <v>20</v>
      </c>
      <c r="GD265">
        <v>4170</v>
      </c>
      <c r="GE265" t="s">
        <v>4967</v>
      </c>
      <c r="GF265" t="s">
        <v>4055</v>
      </c>
      <c r="GG265" t="s">
        <v>4055</v>
      </c>
      <c r="GH265" t="s">
        <v>4055</v>
      </c>
      <c r="GI265" t="s">
        <v>4071</v>
      </c>
      <c r="GJ265" t="s">
        <v>4055</v>
      </c>
      <c r="GK265" t="s">
        <v>4055</v>
      </c>
      <c r="GL265" t="s">
        <v>4055</v>
      </c>
      <c r="GM265" t="s">
        <v>4055</v>
      </c>
      <c r="GQ265">
        <v>0</v>
      </c>
      <c r="GV265">
        <v>9</v>
      </c>
      <c r="GW265">
        <v>11</v>
      </c>
      <c r="GX265">
        <v>0.5</v>
      </c>
      <c r="GY265">
        <v>174</v>
      </c>
      <c r="GZ265">
        <v>3</v>
      </c>
      <c r="HA265">
        <v>218</v>
      </c>
      <c r="HB265">
        <v>3</v>
      </c>
      <c r="HC265">
        <v>1930</v>
      </c>
      <c r="HD265">
        <v>4</v>
      </c>
      <c r="HE265" t="s">
        <v>4071</v>
      </c>
      <c r="HG265" t="s">
        <v>549</v>
      </c>
      <c r="HL265">
        <v>4</v>
      </c>
      <c r="HM265">
        <v>15</v>
      </c>
      <c r="HN265">
        <v>6</v>
      </c>
      <c r="HO265">
        <v>1</v>
      </c>
      <c r="HP265">
        <v>0</v>
      </c>
      <c r="HQ265">
        <v>0</v>
      </c>
      <c r="HR265">
        <v>2</v>
      </c>
      <c r="HS265">
        <v>1885</v>
      </c>
      <c r="HT265">
        <v>5</v>
      </c>
      <c r="HU265">
        <v>1</v>
      </c>
      <c r="HV265">
        <v>5</v>
      </c>
      <c r="HW265">
        <v>0</v>
      </c>
      <c r="HX265">
        <v>1</v>
      </c>
      <c r="HY265">
        <v>0</v>
      </c>
      <c r="HZ265">
        <v>61</v>
      </c>
      <c r="IA265">
        <v>1888</v>
      </c>
      <c r="IB265">
        <v>1895</v>
      </c>
      <c r="ID265">
        <v>1930</v>
      </c>
      <c r="IE265">
        <v>1930</v>
      </c>
      <c r="IF265">
        <v>175</v>
      </c>
      <c r="IG265">
        <v>165</v>
      </c>
      <c r="IH265">
        <v>218</v>
      </c>
      <c r="II265">
        <v>1</v>
      </c>
      <c r="IJ265">
        <v>5</v>
      </c>
      <c r="IK265">
        <v>0</v>
      </c>
      <c r="IL265">
        <v>1</v>
      </c>
      <c r="IM265">
        <v>0</v>
      </c>
      <c r="IN265">
        <v>270</v>
      </c>
      <c r="IO265">
        <v>0</v>
      </c>
      <c r="IP265">
        <v>180</v>
      </c>
      <c r="IQ265">
        <v>0</v>
      </c>
      <c r="IR265">
        <v>330</v>
      </c>
      <c r="IS265">
        <v>0</v>
      </c>
      <c r="IT265">
        <v>90</v>
      </c>
      <c r="IU265">
        <v>0</v>
      </c>
      <c r="IV265">
        <v>6.4</v>
      </c>
      <c r="IW265">
        <v>-6</v>
      </c>
      <c r="IX265">
        <v>91</v>
      </c>
      <c r="IY265">
        <v>82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386</v>
      </c>
      <c r="JJ265">
        <v>356</v>
      </c>
      <c r="JK265">
        <v>258</v>
      </c>
      <c r="JL265">
        <v>354</v>
      </c>
      <c r="JM265">
        <v>272</v>
      </c>
      <c r="JN265">
        <v>185</v>
      </c>
      <c r="JO265">
        <v>235</v>
      </c>
      <c r="JP265">
        <v>215</v>
      </c>
      <c r="JQ265">
        <v>265</v>
      </c>
      <c r="JR265">
        <v>350</v>
      </c>
      <c r="JS265">
        <v>250</v>
      </c>
      <c r="JT265">
        <v>0</v>
      </c>
      <c r="JU265">
        <v>0</v>
      </c>
      <c r="JV265">
        <v>335</v>
      </c>
      <c r="JW265">
        <v>337</v>
      </c>
      <c r="JX265">
        <v>346</v>
      </c>
      <c r="JY265">
        <v>318</v>
      </c>
      <c r="JZ265">
        <v>0.5</v>
      </c>
      <c r="KA265">
        <v>0.2</v>
      </c>
      <c r="KB265">
        <v>0.4</v>
      </c>
      <c r="KC265">
        <v>0.42</v>
      </c>
      <c r="KD265">
        <v>0.28</v>
      </c>
      <c r="KE265">
        <v>0.5</v>
      </c>
      <c r="KF265">
        <v>0.17</v>
      </c>
      <c r="KG265">
        <v>0.1</v>
      </c>
      <c r="KH265">
        <v>3.5</v>
      </c>
      <c r="KI265">
        <v>1</v>
      </c>
      <c r="KJ265">
        <v>4.5</v>
      </c>
      <c r="KK265">
        <v>0</v>
      </c>
      <c r="KL265">
        <v>4.5</v>
      </c>
      <c r="KM265">
        <v>0</v>
      </c>
      <c r="KN265">
        <v>1.5</v>
      </c>
      <c r="KO265">
        <v>0</v>
      </c>
      <c r="KP265">
        <v>0</v>
      </c>
      <c r="KQ265">
        <v>0.8</v>
      </c>
      <c r="KR265">
        <v>1</v>
      </c>
      <c r="KS265">
        <v>0</v>
      </c>
      <c r="KT265">
        <v>1.8</v>
      </c>
      <c r="KU265">
        <v>0</v>
      </c>
      <c r="KV265">
        <v>0</v>
      </c>
      <c r="KW265">
        <v>1.2</v>
      </c>
      <c r="KX265">
        <v>2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3</v>
      </c>
      <c r="LI265">
        <v>0.5</v>
      </c>
      <c r="LJ265">
        <v>0</v>
      </c>
      <c r="LK265">
        <v>7</v>
      </c>
      <c r="LL265">
        <v>7</v>
      </c>
      <c r="LM265">
        <v>8</v>
      </c>
      <c r="LN265">
        <v>0.1</v>
      </c>
      <c r="LO265">
        <v>0.1</v>
      </c>
      <c r="LP265">
        <v>0</v>
      </c>
      <c r="LQ265">
        <v>0</v>
      </c>
      <c r="LR265">
        <v>0</v>
      </c>
      <c r="LS265">
        <v>1</v>
      </c>
      <c r="LT265">
        <v>0</v>
      </c>
      <c r="LU265">
        <v>0</v>
      </c>
      <c r="LV265">
        <v>0</v>
      </c>
      <c r="LW265">
        <v>2.5</v>
      </c>
      <c r="LX265">
        <v>2.5</v>
      </c>
      <c r="LY265">
        <v>1.8</v>
      </c>
      <c r="LZ265">
        <v>1.8</v>
      </c>
      <c r="MA265">
        <v>0</v>
      </c>
      <c r="MB265">
        <v>8.5</v>
      </c>
      <c r="MC265">
        <v>0</v>
      </c>
      <c r="MD265">
        <v>3.5</v>
      </c>
      <c r="ME265">
        <v>4.5</v>
      </c>
      <c r="MF265">
        <v>4.5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390</v>
      </c>
      <c r="MN265">
        <v>175</v>
      </c>
      <c r="MO265">
        <v>228</v>
      </c>
      <c r="NU265">
        <v>0.15</v>
      </c>
      <c r="NV265">
        <v>0.2</v>
      </c>
      <c r="NW265">
        <v>0.2</v>
      </c>
      <c r="NX265">
        <v>0.2</v>
      </c>
      <c r="NY265">
        <v>0.2</v>
      </c>
      <c r="NZ265">
        <v>0.2</v>
      </c>
      <c r="OE265" t="s">
        <v>4967</v>
      </c>
      <c r="OF265" t="s">
        <v>4965</v>
      </c>
      <c r="OG265" t="s">
        <v>4966</v>
      </c>
      <c r="OH265" t="s">
        <v>4426</v>
      </c>
      <c r="OI265" t="s">
        <v>4967</v>
      </c>
      <c r="OJ265" t="s">
        <v>4964</v>
      </c>
      <c r="OK265">
        <v>61</v>
      </c>
      <c r="OL265">
        <v>61</v>
      </c>
      <c r="OM265" t="s">
        <v>4965</v>
      </c>
      <c r="ON265">
        <v>3</v>
      </c>
      <c r="OO265">
        <v>1888</v>
      </c>
      <c r="OP265">
        <v>61</v>
      </c>
      <c r="OQ265">
        <v>61</v>
      </c>
      <c r="OR265" t="s">
        <v>4966</v>
      </c>
      <c r="OS265">
        <v>3</v>
      </c>
      <c r="OT265">
        <v>1895</v>
      </c>
      <c r="OU265">
        <v>65</v>
      </c>
      <c r="OV265">
        <v>65</v>
      </c>
      <c r="OW265" t="s">
        <v>4426</v>
      </c>
      <c r="OX265">
        <v>1</v>
      </c>
      <c r="OY265">
        <v>31404</v>
      </c>
      <c r="OZ265">
        <v>51</v>
      </c>
      <c r="PA265">
        <v>51</v>
      </c>
      <c r="PB265" t="s">
        <v>4967</v>
      </c>
      <c r="PC265">
        <v>2</v>
      </c>
      <c r="PD265">
        <v>1930</v>
      </c>
      <c r="PF265">
        <v>320</v>
      </c>
      <c r="PG265">
        <v>29</v>
      </c>
      <c r="PH265">
        <v>302</v>
      </c>
      <c r="PI265">
        <v>29</v>
      </c>
      <c r="PJ265">
        <v>102.4</v>
      </c>
      <c r="PL265">
        <v>965.2</v>
      </c>
      <c r="PM265">
        <v>992</v>
      </c>
      <c r="PN265">
        <v>90.3</v>
      </c>
      <c r="PO265">
        <v>10.5</v>
      </c>
      <c r="PP265">
        <v>12</v>
      </c>
      <c r="PQ265">
        <v>1</v>
      </c>
      <c r="PR265">
        <v>1</v>
      </c>
      <c r="PS265">
        <v>7</v>
      </c>
      <c r="PT265">
        <v>218</v>
      </c>
      <c r="PU265">
        <v>11</v>
      </c>
      <c r="PV265" t="s">
        <v>4072</v>
      </c>
      <c r="PW265" t="s">
        <v>4072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-1</v>
      </c>
      <c r="QF265">
        <v>1</v>
      </c>
      <c r="QG265">
        <v>0</v>
      </c>
      <c r="QH265">
        <v>5</v>
      </c>
      <c r="QI265">
        <v>5</v>
      </c>
      <c r="QJ265">
        <v>5</v>
      </c>
      <c r="QK265">
        <v>186</v>
      </c>
      <c r="QL265">
        <v>420</v>
      </c>
      <c r="QM265">
        <v>7.5</v>
      </c>
      <c r="QN265">
        <v>1202.7</v>
      </c>
      <c r="QO265" t="s">
        <v>3054</v>
      </c>
      <c r="QP265" t="s">
        <v>513</v>
      </c>
      <c r="QQ265">
        <v>0</v>
      </c>
      <c r="QR265" t="s">
        <v>1496</v>
      </c>
      <c r="QS265">
        <v>30</v>
      </c>
      <c r="QT265">
        <v>40</v>
      </c>
    </row>
    <row r="266" spans="1:462">
      <c r="A266" t="s">
        <v>3273</v>
      </c>
      <c r="B266" t="s">
        <v>559</v>
      </c>
      <c r="C266" t="s">
        <v>509</v>
      </c>
      <c r="D266" t="s">
        <v>4968</v>
      </c>
      <c r="E266" t="s">
        <v>4036</v>
      </c>
      <c r="H266" t="s">
        <v>604</v>
      </c>
      <c r="J266" t="s">
        <v>628</v>
      </c>
      <c r="K266" t="s">
        <v>606</v>
      </c>
      <c r="L266" t="s">
        <v>564</v>
      </c>
      <c r="M266" t="s">
        <v>512</v>
      </c>
      <c r="O266" t="s">
        <v>513</v>
      </c>
      <c r="P266" t="s">
        <v>517</v>
      </c>
      <c r="Q266" t="s">
        <v>1811</v>
      </c>
      <c r="R266" t="s">
        <v>1812</v>
      </c>
      <c r="S266" t="s">
        <v>4037</v>
      </c>
      <c r="T266" t="s">
        <v>520</v>
      </c>
      <c r="U266" t="s">
        <v>521</v>
      </c>
      <c r="V266" t="s">
        <v>3274</v>
      </c>
      <c r="W266" t="s">
        <v>3048</v>
      </c>
      <c r="X266" t="s">
        <v>3275</v>
      </c>
      <c r="Y266" t="s">
        <v>3276</v>
      </c>
      <c r="Z266" t="s">
        <v>650</v>
      </c>
      <c r="AA266" t="s">
        <v>4038</v>
      </c>
      <c r="AB266" t="s">
        <v>4969</v>
      </c>
      <c r="AC266">
        <v>14</v>
      </c>
      <c r="AD266" t="s">
        <v>3272</v>
      </c>
      <c r="AE266">
        <v>6</v>
      </c>
      <c r="AF266">
        <v>3533</v>
      </c>
      <c r="AG266" t="s">
        <v>4927</v>
      </c>
      <c r="AH266">
        <v>1</v>
      </c>
      <c r="AI266" t="s">
        <v>4041</v>
      </c>
      <c r="AK266" t="s">
        <v>4928</v>
      </c>
      <c r="AL266">
        <v>1</v>
      </c>
      <c r="AM266" t="s">
        <v>582</v>
      </c>
      <c r="AO266" t="s">
        <v>4426</v>
      </c>
      <c r="AP266">
        <v>1</v>
      </c>
      <c r="AR266" t="s">
        <v>4970</v>
      </c>
      <c r="AS266">
        <v>1</v>
      </c>
      <c r="AT266">
        <v>51</v>
      </c>
      <c r="AV266" t="s">
        <v>4045</v>
      </c>
      <c r="AW266">
        <v>6.4</v>
      </c>
      <c r="AX266">
        <v>-6</v>
      </c>
      <c r="AY266">
        <v>88</v>
      </c>
      <c r="AZ266">
        <v>73</v>
      </c>
      <c r="BH266">
        <v>88</v>
      </c>
      <c r="BI266">
        <v>15</v>
      </c>
      <c r="BJ266">
        <v>73</v>
      </c>
      <c r="BK266">
        <v>3</v>
      </c>
      <c r="BL266">
        <v>176</v>
      </c>
      <c r="BM266">
        <v>-6</v>
      </c>
      <c r="BN266">
        <v>0</v>
      </c>
      <c r="BP266">
        <v>0</v>
      </c>
      <c r="BR266">
        <v>170</v>
      </c>
      <c r="BS266">
        <v>160</v>
      </c>
      <c r="BT266">
        <v>1810</v>
      </c>
      <c r="BU266" t="s">
        <v>4046</v>
      </c>
      <c r="BV266" t="s">
        <v>4046</v>
      </c>
      <c r="BW266" t="s">
        <v>4048</v>
      </c>
      <c r="BX266" t="s">
        <v>4048</v>
      </c>
      <c r="BY266" t="s">
        <v>4144</v>
      </c>
      <c r="BZ266" t="s">
        <v>4144</v>
      </c>
      <c r="CA266" t="s">
        <v>4051</v>
      </c>
      <c r="CB266" t="s">
        <v>4052</v>
      </c>
      <c r="CC266" t="s">
        <v>4053</v>
      </c>
      <c r="CD266" t="s">
        <v>4054</v>
      </c>
      <c r="CE266" t="s">
        <v>4055</v>
      </c>
      <c r="CF266" t="s">
        <v>4055</v>
      </c>
      <c r="CG266" t="s">
        <v>4056</v>
      </c>
      <c r="CH266" t="s">
        <v>4145</v>
      </c>
      <c r="CI266" t="s">
        <v>4058</v>
      </c>
      <c r="CJ266" t="s">
        <v>4059</v>
      </c>
      <c r="CK266" t="s">
        <v>4060</v>
      </c>
      <c r="CL266" t="s">
        <v>4061</v>
      </c>
      <c r="CM266" t="s">
        <v>4062</v>
      </c>
      <c r="CN266" t="s">
        <v>4055</v>
      </c>
      <c r="CO266" t="s">
        <v>4063</v>
      </c>
      <c r="CP266" t="s">
        <v>4055</v>
      </c>
      <c r="CQ266" t="s">
        <v>4055</v>
      </c>
      <c r="CR266">
        <v>5</v>
      </c>
      <c r="CS266" t="s">
        <v>4055</v>
      </c>
      <c r="CT266" t="s">
        <v>4055</v>
      </c>
      <c r="CU266" t="s">
        <v>4055</v>
      </c>
      <c r="CV266">
        <v>112</v>
      </c>
      <c r="CW266">
        <v>3</v>
      </c>
      <c r="CX266">
        <v>95</v>
      </c>
      <c r="CY266">
        <v>5</v>
      </c>
      <c r="CZ266">
        <v>125</v>
      </c>
      <c r="DA266">
        <v>5</v>
      </c>
      <c r="DB266">
        <v>9090</v>
      </c>
      <c r="DC266">
        <v>160</v>
      </c>
      <c r="DD266">
        <v>289</v>
      </c>
      <c r="DE266">
        <v>1910</v>
      </c>
      <c r="DF266">
        <v>1910</v>
      </c>
      <c r="DG266">
        <v>1922</v>
      </c>
      <c r="DH266" t="s">
        <v>4055</v>
      </c>
      <c r="DI266" t="s">
        <v>4055</v>
      </c>
      <c r="DJ266" t="s">
        <v>4100</v>
      </c>
      <c r="DK266">
        <v>170</v>
      </c>
      <c r="DL266" t="s">
        <v>4101</v>
      </c>
      <c r="DM266">
        <v>63</v>
      </c>
      <c r="DN266">
        <v>0.84</v>
      </c>
      <c r="DO266">
        <v>1</v>
      </c>
      <c r="DP266">
        <v>1813</v>
      </c>
      <c r="DQ266">
        <v>564</v>
      </c>
      <c r="DR266" t="s">
        <v>4100</v>
      </c>
      <c r="DS266">
        <v>160</v>
      </c>
      <c r="DT266" t="s">
        <v>4101</v>
      </c>
      <c r="DU266">
        <v>63</v>
      </c>
      <c r="DV266">
        <v>0.84</v>
      </c>
      <c r="DW266">
        <v>1</v>
      </c>
      <c r="DX266">
        <v>1820</v>
      </c>
      <c r="DY266">
        <v>531</v>
      </c>
      <c r="DZ266" t="s">
        <v>4066</v>
      </c>
      <c r="EA266">
        <v>33</v>
      </c>
      <c r="EB266" t="s">
        <v>4065</v>
      </c>
      <c r="EC266">
        <v>0.4</v>
      </c>
      <c r="ED266">
        <v>1813</v>
      </c>
      <c r="EE266">
        <v>53</v>
      </c>
      <c r="EF266" t="s">
        <v>4066</v>
      </c>
      <c r="EG266">
        <v>33</v>
      </c>
      <c r="EH266" t="s">
        <v>4065</v>
      </c>
      <c r="EI266">
        <v>0.4</v>
      </c>
      <c r="EJ266">
        <v>1820</v>
      </c>
      <c r="EK266">
        <v>53</v>
      </c>
      <c r="EL266" t="s">
        <v>4429</v>
      </c>
      <c r="EM266">
        <v>12</v>
      </c>
      <c r="EN266">
        <v>0.5</v>
      </c>
      <c r="EO266">
        <v>0.9</v>
      </c>
      <c r="EP266">
        <v>1820.56</v>
      </c>
      <c r="EQ266">
        <v>26739.48</v>
      </c>
      <c r="ER266">
        <v>4280.19</v>
      </c>
      <c r="ES266">
        <v>0</v>
      </c>
      <c r="ET266">
        <v>0</v>
      </c>
      <c r="EU266">
        <v>1</v>
      </c>
      <c r="EV266">
        <v>31020</v>
      </c>
      <c r="EW266">
        <v>373</v>
      </c>
      <c r="EX266" t="s">
        <v>4287</v>
      </c>
      <c r="EY266">
        <v>184</v>
      </c>
      <c r="EZ266" t="s">
        <v>4055</v>
      </c>
      <c r="FA266">
        <v>5.5</v>
      </c>
      <c r="FB266">
        <v>1</v>
      </c>
      <c r="FC266">
        <v>1</v>
      </c>
      <c r="FD266">
        <v>1857</v>
      </c>
      <c r="FE266">
        <v>2210</v>
      </c>
      <c r="FF266" t="s">
        <v>4288</v>
      </c>
      <c r="FG266">
        <v>184</v>
      </c>
      <c r="FH266" t="s">
        <v>4055</v>
      </c>
      <c r="FI266">
        <v>3.6</v>
      </c>
      <c r="FJ266">
        <v>1857</v>
      </c>
      <c r="FK266">
        <v>1410</v>
      </c>
      <c r="FL266" t="s">
        <v>4069</v>
      </c>
      <c r="FM266" t="s">
        <v>4055</v>
      </c>
      <c r="FN266" t="s">
        <v>4055</v>
      </c>
      <c r="FO266" t="s">
        <v>4055</v>
      </c>
      <c r="FP266">
        <v>1857</v>
      </c>
      <c r="FQ266">
        <v>182</v>
      </c>
      <c r="FR266" t="s">
        <v>4090</v>
      </c>
      <c r="FS266">
        <v>188</v>
      </c>
      <c r="FT266" t="s">
        <v>4055</v>
      </c>
      <c r="FU266">
        <v>0.4</v>
      </c>
      <c r="FV266">
        <v>1857</v>
      </c>
      <c r="FW266">
        <v>155</v>
      </c>
      <c r="FX266" t="s">
        <v>4070</v>
      </c>
      <c r="FY266">
        <v>5</v>
      </c>
      <c r="FZ266" t="s">
        <v>4055</v>
      </c>
      <c r="GA266" t="s">
        <v>4055</v>
      </c>
      <c r="GB266">
        <v>1857</v>
      </c>
      <c r="GC266">
        <v>20</v>
      </c>
      <c r="GD266">
        <v>3977</v>
      </c>
      <c r="GE266" t="s">
        <v>4970</v>
      </c>
      <c r="GF266" t="s">
        <v>4055</v>
      </c>
      <c r="GG266" t="s">
        <v>4055</v>
      </c>
      <c r="GH266" t="s">
        <v>4055</v>
      </c>
      <c r="GI266" t="s">
        <v>4071</v>
      </c>
      <c r="GJ266" t="s">
        <v>4055</v>
      </c>
      <c r="GK266" t="s">
        <v>4055</v>
      </c>
      <c r="GL266" t="s">
        <v>4055</v>
      </c>
      <c r="GM266" t="s">
        <v>4055</v>
      </c>
      <c r="GQ266">
        <v>0</v>
      </c>
      <c r="GV266">
        <v>9.5</v>
      </c>
      <c r="GW266">
        <v>12</v>
      </c>
      <c r="GX266">
        <v>0.5</v>
      </c>
      <c r="GY266">
        <v>160</v>
      </c>
      <c r="GZ266">
        <v>3</v>
      </c>
      <c r="HA266">
        <v>204</v>
      </c>
      <c r="HB266">
        <v>3</v>
      </c>
      <c r="HC266">
        <v>1857</v>
      </c>
      <c r="HD266">
        <v>4</v>
      </c>
      <c r="HE266" t="s">
        <v>4071</v>
      </c>
      <c r="HG266" t="s">
        <v>549</v>
      </c>
      <c r="HL266">
        <v>4</v>
      </c>
      <c r="HM266">
        <v>16</v>
      </c>
      <c r="HN266">
        <v>1</v>
      </c>
      <c r="HO266">
        <v>1</v>
      </c>
      <c r="HP266">
        <v>0</v>
      </c>
      <c r="HQ266">
        <v>0</v>
      </c>
      <c r="HR266">
        <v>3</v>
      </c>
      <c r="HS266">
        <v>1810</v>
      </c>
      <c r="HT266">
        <v>5.5</v>
      </c>
      <c r="HU266">
        <v>1</v>
      </c>
      <c r="HV266">
        <v>5</v>
      </c>
      <c r="HW266">
        <v>0</v>
      </c>
      <c r="HX266">
        <v>1</v>
      </c>
      <c r="HY266">
        <v>0</v>
      </c>
      <c r="HZ266">
        <v>63</v>
      </c>
      <c r="IA266">
        <v>1813</v>
      </c>
      <c r="IB266">
        <v>1820</v>
      </c>
      <c r="ID266">
        <v>1857</v>
      </c>
      <c r="IE266">
        <v>1857</v>
      </c>
      <c r="IF266">
        <v>170</v>
      </c>
      <c r="IG266">
        <v>160</v>
      </c>
      <c r="IH266">
        <v>204</v>
      </c>
      <c r="II266">
        <v>1</v>
      </c>
      <c r="IJ266">
        <v>5</v>
      </c>
      <c r="IK266">
        <v>0</v>
      </c>
      <c r="IL266">
        <v>1</v>
      </c>
      <c r="IM266">
        <v>0</v>
      </c>
      <c r="IN266">
        <v>270</v>
      </c>
      <c r="IO266">
        <v>0</v>
      </c>
      <c r="IP266">
        <v>180</v>
      </c>
      <c r="IQ266">
        <v>0</v>
      </c>
      <c r="IR266">
        <v>330</v>
      </c>
      <c r="IS266">
        <v>0</v>
      </c>
      <c r="IT266">
        <v>90</v>
      </c>
      <c r="IU266">
        <v>0</v>
      </c>
      <c r="IV266">
        <v>6.4</v>
      </c>
      <c r="IW266">
        <v>-6</v>
      </c>
      <c r="IX266">
        <v>88</v>
      </c>
      <c r="IY266">
        <v>73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328</v>
      </c>
      <c r="JJ266">
        <v>288</v>
      </c>
      <c r="JK266">
        <v>200</v>
      </c>
      <c r="JL266">
        <v>287</v>
      </c>
      <c r="JM266">
        <v>220</v>
      </c>
      <c r="JN266">
        <v>190</v>
      </c>
      <c r="JO266">
        <v>204</v>
      </c>
      <c r="JP266">
        <v>210</v>
      </c>
      <c r="JQ266">
        <v>290</v>
      </c>
      <c r="JR266">
        <v>340</v>
      </c>
      <c r="JS266">
        <v>260</v>
      </c>
      <c r="JT266">
        <v>0</v>
      </c>
      <c r="JU266">
        <v>0</v>
      </c>
      <c r="JV266">
        <v>335</v>
      </c>
      <c r="JW266">
        <v>332</v>
      </c>
      <c r="JX266">
        <v>325</v>
      </c>
      <c r="JY266">
        <v>290</v>
      </c>
      <c r="JZ266">
        <v>1</v>
      </c>
      <c r="KA266">
        <v>0.2</v>
      </c>
      <c r="KB266">
        <v>0.4</v>
      </c>
      <c r="KC266">
        <v>0.42</v>
      </c>
      <c r="KD266">
        <v>0.28</v>
      </c>
      <c r="KE266">
        <v>0.5</v>
      </c>
      <c r="KF266">
        <v>0.15</v>
      </c>
      <c r="KG266">
        <v>0.11</v>
      </c>
      <c r="KH266">
        <v>3.5</v>
      </c>
      <c r="KI266">
        <v>1</v>
      </c>
      <c r="KJ266">
        <v>5</v>
      </c>
      <c r="KK266">
        <v>0</v>
      </c>
      <c r="KL266">
        <v>5</v>
      </c>
      <c r="KM266">
        <v>0</v>
      </c>
      <c r="KN266">
        <v>1.3</v>
      </c>
      <c r="KO266">
        <v>0</v>
      </c>
      <c r="KP266">
        <v>0</v>
      </c>
      <c r="KQ266">
        <v>0.8</v>
      </c>
      <c r="KR266">
        <v>1.5</v>
      </c>
      <c r="KS266">
        <v>0</v>
      </c>
      <c r="KT266">
        <v>2.5</v>
      </c>
      <c r="KU266">
        <v>0</v>
      </c>
      <c r="KV266">
        <v>0</v>
      </c>
      <c r="KW266">
        <v>1.2</v>
      </c>
      <c r="KX266">
        <v>2</v>
      </c>
      <c r="KY266">
        <v>2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3</v>
      </c>
      <c r="LI266">
        <v>1</v>
      </c>
      <c r="LJ266">
        <v>0</v>
      </c>
      <c r="LK266">
        <v>5</v>
      </c>
      <c r="LL266">
        <v>7</v>
      </c>
      <c r="LM266">
        <v>6</v>
      </c>
      <c r="LN266">
        <v>0.3</v>
      </c>
      <c r="LO266">
        <v>0.5</v>
      </c>
      <c r="LP266">
        <v>0</v>
      </c>
      <c r="LQ266">
        <v>0</v>
      </c>
      <c r="LR266">
        <v>0</v>
      </c>
      <c r="LS266">
        <v>1</v>
      </c>
      <c r="LT266">
        <v>0</v>
      </c>
      <c r="LU266">
        <v>0</v>
      </c>
      <c r="LV266">
        <v>0</v>
      </c>
      <c r="LW266">
        <v>1.4</v>
      </c>
      <c r="LX266">
        <v>1.4</v>
      </c>
      <c r="LY266">
        <v>2.1</v>
      </c>
      <c r="LZ266">
        <v>2.1</v>
      </c>
      <c r="MA266">
        <v>0</v>
      </c>
      <c r="MB266">
        <v>4</v>
      </c>
      <c r="MC266">
        <v>0</v>
      </c>
      <c r="MD266">
        <v>4.5</v>
      </c>
      <c r="ME266">
        <v>6</v>
      </c>
      <c r="MF266">
        <v>6</v>
      </c>
      <c r="MI266">
        <v>0</v>
      </c>
      <c r="MJ266">
        <v>0</v>
      </c>
      <c r="ML266">
        <v>0</v>
      </c>
      <c r="MM266">
        <v>358</v>
      </c>
      <c r="MN266">
        <v>185</v>
      </c>
      <c r="MO266">
        <v>229</v>
      </c>
      <c r="NU266">
        <v>0.15</v>
      </c>
      <c r="NV266">
        <v>0.2</v>
      </c>
      <c r="NW266">
        <v>0.2</v>
      </c>
      <c r="NX266">
        <v>0.2</v>
      </c>
      <c r="NY266">
        <v>0.2</v>
      </c>
      <c r="NZ266">
        <v>0.2</v>
      </c>
      <c r="OE266" t="s">
        <v>4970</v>
      </c>
      <c r="OF266" t="s">
        <v>4927</v>
      </c>
      <c r="OG266" t="s">
        <v>4928</v>
      </c>
      <c r="OH266" t="s">
        <v>4426</v>
      </c>
      <c r="OI266" t="s">
        <v>4970</v>
      </c>
      <c r="OJ266" t="s">
        <v>4969</v>
      </c>
      <c r="OK266">
        <v>61</v>
      </c>
      <c r="OL266">
        <v>61</v>
      </c>
      <c r="OM266" t="s">
        <v>4927</v>
      </c>
      <c r="ON266">
        <v>3</v>
      </c>
      <c r="OO266">
        <v>1813</v>
      </c>
      <c r="OP266">
        <v>61</v>
      </c>
      <c r="OQ266">
        <v>61</v>
      </c>
      <c r="OR266" t="s">
        <v>4928</v>
      </c>
      <c r="OS266">
        <v>3</v>
      </c>
      <c r="OT266">
        <v>1820</v>
      </c>
      <c r="OU266">
        <v>65</v>
      </c>
      <c r="OV266">
        <v>65</v>
      </c>
      <c r="OW266" t="s">
        <v>4426</v>
      </c>
      <c r="OX266">
        <v>1</v>
      </c>
      <c r="OY266">
        <v>31020</v>
      </c>
      <c r="OZ266">
        <v>51</v>
      </c>
      <c r="PA266">
        <v>51</v>
      </c>
      <c r="PB266" t="s">
        <v>4970</v>
      </c>
      <c r="PC266">
        <v>2</v>
      </c>
      <c r="PD266">
        <v>1857</v>
      </c>
      <c r="PF266">
        <v>311</v>
      </c>
      <c r="PG266">
        <v>29</v>
      </c>
      <c r="PH266">
        <v>292</v>
      </c>
      <c r="PI266">
        <v>29</v>
      </c>
      <c r="PJ266">
        <v>98.09999999999999</v>
      </c>
      <c r="PL266">
        <v>1189.9</v>
      </c>
      <c r="PM266">
        <v>759.1</v>
      </c>
      <c r="PN266">
        <v>83.59999999999999</v>
      </c>
      <c r="PO266">
        <v>11</v>
      </c>
      <c r="PP266">
        <v>12</v>
      </c>
      <c r="PQ266">
        <v>2</v>
      </c>
      <c r="PR266">
        <v>2</v>
      </c>
      <c r="PS266">
        <v>6</v>
      </c>
      <c r="PT266">
        <v>204</v>
      </c>
      <c r="PU266">
        <v>10</v>
      </c>
      <c r="PV266" t="s">
        <v>4072</v>
      </c>
      <c r="PW266" t="s">
        <v>4072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-1</v>
      </c>
      <c r="QF266">
        <v>1</v>
      </c>
      <c r="QG266">
        <v>0</v>
      </c>
      <c r="QH266">
        <v>5</v>
      </c>
      <c r="QI266">
        <v>5</v>
      </c>
      <c r="QJ266">
        <v>5</v>
      </c>
      <c r="QK266">
        <v>160</v>
      </c>
      <c r="QL266">
        <v>364</v>
      </c>
      <c r="QM266">
        <v>7.5</v>
      </c>
      <c r="QN266">
        <v>1284.1</v>
      </c>
      <c r="QO266" t="s">
        <v>3054</v>
      </c>
      <c r="QP266" t="s">
        <v>513</v>
      </c>
      <c r="QQ266">
        <v>0</v>
      </c>
      <c r="QR266" t="s">
        <v>649</v>
      </c>
      <c r="QS266">
        <v>30</v>
      </c>
      <c r="QT266">
        <v>40</v>
      </c>
    </row>
    <row r="267" spans="1:462">
      <c r="A267" t="s">
        <v>3284</v>
      </c>
      <c r="B267" t="s">
        <v>629</v>
      </c>
      <c r="C267" t="s">
        <v>509</v>
      </c>
      <c r="D267" t="s">
        <v>4971</v>
      </c>
      <c r="E267" t="s">
        <v>4036</v>
      </c>
      <c r="H267" t="s">
        <v>604</v>
      </c>
      <c r="J267" t="s">
        <v>628</v>
      </c>
      <c r="K267" t="s">
        <v>606</v>
      </c>
      <c r="L267" t="s">
        <v>711</v>
      </c>
      <c r="M267" t="s">
        <v>512</v>
      </c>
      <c r="O267" t="s">
        <v>513</v>
      </c>
      <c r="P267" t="s">
        <v>517</v>
      </c>
      <c r="Q267" t="s">
        <v>1152</v>
      </c>
      <c r="R267" t="s">
        <v>661</v>
      </c>
      <c r="S267" t="s">
        <v>4037</v>
      </c>
      <c r="T267" t="s">
        <v>633</v>
      </c>
      <c r="U267" t="s">
        <v>634</v>
      </c>
      <c r="V267" t="s">
        <v>2647</v>
      </c>
      <c r="W267" t="s">
        <v>3048</v>
      </c>
      <c r="X267" t="s">
        <v>3285</v>
      </c>
      <c r="Y267" t="s">
        <v>3286</v>
      </c>
      <c r="Z267" t="s">
        <v>650</v>
      </c>
      <c r="AA267" t="s">
        <v>4038</v>
      </c>
      <c r="AB267" t="s">
        <v>4972</v>
      </c>
      <c r="AC267">
        <v>13</v>
      </c>
      <c r="AD267" t="s">
        <v>3282</v>
      </c>
      <c r="AE267">
        <v>4</v>
      </c>
      <c r="AF267">
        <v>4706</v>
      </c>
      <c r="AG267" t="s">
        <v>4810</v>
      </c>
      <c r="AH267">
        <v>1</v>
      </c>
      <c r="AI267" t="s">
        <v>4041</v>
      </c>
      <c r="AK267" t="s">
        <v>4811</v>
      </c>
      <c r="AL267">
        <v>1</v>
      </c>
      <c r="AM267" t="s">
        <v>582</v>
      </c>
      <c r="AO267" t="s">
        <v>4426</v>
      </c>
      <c r="AP267">
        <v>1</v>
      </c>
      <c r="AR267" t="s">
        <v>4973</v>
      </c>
      <c r="AS267">
        <v>1</v>
      </c>
      <c r="AT267">
        <v>51</v>
      </c>
      <c r="AV267" t="s">
        <v>4078</v>
      </c>
      <c r="AW267">
        <v>6.4</v>
      </c>
      <c r="AX267">
        <v>-6</v>
      </c>
      <c r="AY267">
        <v>98</v>
      </c>
      <c r="AZ267">
        <v>64</v>
      </c>
      <c r="BH267">
        <v>98</v>
      </c>
      <c r="BI267">
        <v>34</v>
      </c>
      <c r="BJ267">
        <v>64</v>
      </c>
      <c r="BK267">
        <v>3</v>
      </c>
      <c r="BL267">
        <v>196</v>
      </c>
      <c r="BM267">
        <v>-6</v>
      </c>
      <c r="BN267">
        <v>0</v>
      </c>
      <c r="BP267">
        <v>0</v>
      </c>
      <c r="BR267">
        <v>190</v>
      </c>
      <c r="BS267">
        <v>180</v>
      </c>
      <c r="BT267">
        <v>1980</v>
      </c>
      <c r="BU267" t="s">
        <v>4096</v>
      </c>
      <c r="BV267" t="s">
        <v>4096</v>
      </c>
      <c r="BW267" t="s">
        <v>4097</v>
      </c>
      <c r="BX267" t="s">
        <v>4097</v>
      </c>
      <c r="BY267" t="s">
        <v>4107</v>
      </c>
      <c r="BZ267" t="s">
        <v>4107</v>
      </c>
      <c r="CA267" t="s">
        <v>4108</v>
      </c>
      <c r="CB267" t="s">
        <v>4109</v>
      </c>
      <c r="CC267" t="s">
        <v>4053</v>
      </c>
      <c r="CD267" t="s">
        <v>4110</v>
      </c>
      <c r="CE267" t="s">
        <v>4055</v>
      </c>
      <c r="CF267" t="s">
        <v>4055</v>
      </c>
      <c r="CG267" t="s">
        <v>4056</v>
      </c>
      <c r="CH267" t="s">
        <v>4099</v>
      </c>
      <c r="CI267" t="s">
        <v>4058</v>
      </c>
      <c r="CJ267" t="s">
        <v>4059</v>
      </c>
      <c r="CK267" t="s">
        <v>4060</v>
      </c>
      <c r="CL267" t="s">
        <v>4061</v>
      </c>
      <c r="CM267" t="s">
        <v>4062</v>
      </c>
      <c r="CN267" t="s">
        <v>4055</v>
      </c>
      <c r="CO267" t="s">
        <v>4063</v>
      </c>
      <c r="CP267" t="s">
        <v>4055</v>
      </c>
      <c r="CQ267" t="s">
        <v>4055</v>
      </c>
      <c r="CR267">
        <v>5</v>
      </c>
      <c r="CS267" t="s">
        <v>4055</v>
      </c>
      <c r="CT267" t="s">
        <v>4055</v>
      </c>
      <c r="CU267" t="s">
        <v>4055</v>
      </c>
      <c r="CV267">
        <v>123</v>
      </c>
      <c r="CW267">
        <v>3</v>
      </c>
      <c r="CX267">
        <v>105</v>
      </c>
      <c r="CY267">
        <v>5</v>
      </c>
      <c r="CZ267">
        <v>133</v>
      </c>
      <c r="DA267">
        <v>5</v>
      </c>
      <c r="DB267">
        <v>11970</v>
      </c>
      <c r="DC267">
        <v>220</v>
      </c>
      <c r="DD267">
        <v>330</v>
      </c>
      <c r="DE267">
        <v>2087</v>
      </c>
      <c r="DF267">
        <v>2087</v>
      </c>
      <c r="DG267">
        <v>2110</v>
      </c>
      <c r="DH267" t="s">
        <v>4055</v>
      </c>
      <c r="DI267" t="s">
        <v>4055</v>
      </c>
      <c r="DJ267" t="s">
        <v>4064</v>
      </c>
      <c r="DK267">
        <v>190</v>
      </c>
      <c r="DL267" t="s">
        <v>4065</v>
      </c>
      <c r="DM267">
        <v>63</v>
      </c>
      <c r="DN267">
        <v>1.2</v>
      </c>
      <c r="DO267">
        <v>1</v>
      </c>
      <c r="DP267">
        <v>1984</v>
      </c>
      <c r="DQ267">
        <v>865</v>
      </c>
      <c r="DR267" t="s">
        <v>4064</v>
      </c>
      <c r="DS267">
        <v>180</v>
      </c>
      <c r="DT267" t="s">
        <v>4065</v>
      </c>
      <c r="DU267">
        <v>63</v>
      </c>
      <c r="DV267">
        <v>1.2</v>
      </c>
      <c r="DW267">
        <v>1</v>
      </c>
      <c r="DX267">
        <v>1996</v>
      </c>
      <c r="DY267">
        <v>824</v>
      </c>
      <c r="DZ267" t="s">
        <v>4066</v>
      </c>
      <c r="EA267">
        <v>20</v>
      </c>
      <c r="EB267" t="s">
        <v>4065</v>
      </c>
      <c r="EC267">
        <v>0.8</v>
      </c>
      <c r="ED267">
        <v>1984</v>
      </c>
      <c r="EE267">
        <v>69</v>
      </c>
      <c r="EG267">
        <v>0</v>
      </c>
      <c r="EH267" t="s">
        <v>4065</v>
      </c>
      <c r="EI267">
        <v>0</v>
      </c>
      <c r="EL267" t="s">
        <v>4429</v>
      </c>
      <c r="EM267">
        <v>12</v>
      </c>
      <c r="EN267">
        <v>0.5</v>
      </c>
      <c r="EO267">
        <v>0.9</v>
      </c>
      <c r="EP267">
        <v>1995.08</v>
      </c>
      <c r="EQ267">
        <v>32420.05</v>
      </c>
      <c r="ER267">
        <v>10628.9</v>
      </c>
      <c r="ES267">
        <v>0</v>
      </c>
      <c r="ET267">
        <v>0</v>
      </c>
      <c r="EU267">
        <v>1</v>
      </c>
      <c r="EV267">
        <v>43049</v>
      </c>
      <c r="EW267">
        <v>517</v>
      </c>
      <c r="EX267" t="s">
        <v>4287</v>
      </c>
      <c r="EY267">
        <v>216</v>
      </c>
      <c r="EZ267" t="s">
        <v>4055</v>
      </c>
      <c r="FA267">
        <v>3.9</v>
      </c>
      <c r="FB267">
        <v>1</v>
      </c>
      <c r="FC267">
        <v>1</v>
      </c>
      <c r="FD267">
        <v>2030</v>
      </c>
      <c r="FE267">
        <v>2201</v>
      </c>
      <c r="FF267" t="s">
        <v>4288</v>
      </c>
      <c r="FG267">
        <v>216</v>
      </c>
      <c r="FH267" t="s">
        <v>4055</v>
      </c>
      <c r="FI267">
        <v>5</v>
      </c>
      <c r="FJ267">
        <v>2030</v>
      </c>
      <c r="FK267">
        <v>2357</v>
      </c>
      <c r="FL267" t="s">
        <v>4069</v>
      </c>
      <c r="FM267" t="s">
        <v>4055</v>
      </c>
      <c r="FN267" t="s">
        <v>4055</v>
      </c>
      <c r="FO267" t="s">
        <v>4055</v>
      </c>
      <c r="FP267">
        <v>2030</v>
      </c>
      <c r="FQ267">
        <v>208</v>
      </c>
      <c r="FR267" t="s">
        <v>4090</v>
      </c>
      <c r="FS267">
        <v>220</v>
      </c>
      <c r="FT267" t="s">
        <v>4055</v>
      </c>
      <c r="FU267">
        <v>0.4</v>
      </c>
      <c r="FV267">
        <v>2030</v>
      </c>
      <c r="FW267">
        <v>199</v>
      </c>
      <c r="FX267" t="s">
        <v>4070</v>
      </c>
      <c r="FY267">
        <v>5</v>
      </c>
      <c r="FZ267" t="s">
        <v>4055</v>
      </c>
      <c r="GA267" t="s">
        <v>4055</v>
      </c>
      <c r="GB267">
        <v>2030</v>
      </c>
      <c r="GC267">
        <v>22</v>
      </c>
      <c r="GD267">
        <v>4987</v>
      </c>
      <c r="GE267" t="s">
        <v>4973</v>
      </c>
      <c r="GF267" t="s">
        <v>4055</v>
      </c>
      <c r="GG267" t="s">
        <v>4055</v>
      </c>
      <c r="GH267" t="s">
        <v>4055</v>
      </c>
      <c r="GI267" t="s">
        <v>4071</v>
      </c>
      <c r="GJ267" t="s">
        <v>4055</v>
      </c>
      <c r="GK267" t="s">
        <v>4055</v>
      </c>
      <c r="GL267" t="s">
        <v>4055</v>
      </c>
      <c r="GM267" t="s">
        <v>4055</v>
      </c>
      <c r="GQ267">
        <v>0</v>
      </c>
      <c r="GV267">
        <v>9.300000000000001</v>
      </c>
      <c r="GW267">
        <v>12</v>
      </c>
      <c r="GX267">
        <v>0.5</v>
      </c>
      <c r="GY267">
        <v>152</v>
      </c>
      <c r="GZ267">
        <v>3</v>
      </c>
      <c r="HA267">
        <v>236</v>
      </c>
      <c r="HB267">
        <v>3</v>
      </c>
      <c r="HC267">
        <v>2030</v>
      </c>
      <c r="HD267">
        <v>4</v>
      </c>
      <c r="HE267" t="s">
        <v>4071</v>
      </c>
      <c r="HG267" t="s">
        <v>549</v>
      </c>
      <c r="HL267">
        <v>4</v>
      </c>
      <c r="HM267">
        <v>17</v>
      </c>
      <c r="HN267">
        <v>1</v>
      </c>
      <c r="HO267">
        <v>1</v>
      </c>
      <c r="HP267">
        <v>0</v>
      </c>
      <c r="HQ267">
        <v>0</v>
      </c>
      <c r="HR267">
        <v>2</v>
      </c>
      <c r="HS267">
        <v>1980</v>
      </c>
      <c r="HT267">
        <v>5</v>
      </c>
      <c r="HU267">
        <v>1</v>
      </c>
      <c r="HV267">
        <v>0</v>
      </c>
      <c r="HW267">
        <v>0</v>
      </c>
      <c r="HX267">
        <v>1</v>
      </c>
      <c r="HY267">
        <v>0</v>
      </c>
      <c r="HZ267">
        <v>63</v>
      </c>
      <c r="IA267">
        <v>1984</v>
      </c>
      <c r="IB267">
        <v>1996</v>
      </c>
      <c r="ID267">
        <v>2030</v>
      </c>
      <c r="IE267">
        <v>2030</v>
      </c>
      <c r="IF267">
        <v>190</v>
      </c>
      <c r="IG267">
        <v>180</v>
      </c>
      <c r="IH267">
        <v>236</v>
      </c>
      <c r="II267">
        <v>1</v>
      </c>
      <c r="IJ267">
        <v>5</v>
      </c>
      <c r="IK267">
        <v>0</v>
      </c>
      <c r="IL267">
        <v>1</v>
      </c>
      <c r="IM267">
        <v>0</v>
      </c>
      <c r="IN267">
        <v>270</v>
      </c>
      <c r="IO267">
        <v>0</v>
      </c>
      <c r="IP267">
        <v>180</v>
      </c>
      <c r="IQ267">
        <v>0</v>
      </c>
      <c r="IR267">
        <v>325</v>
      </c>
      <c r="IS267">
        <v>0</v>
      </c>
      <c r="IT267">
        <v>90</v>
      </c>
      <c r="IU267">
        <v>0</v>
      </c>
      <c r="IV267">
        <v>6.4</v>
      </c>
      <c r="IW267">
        <v>-6</v>
      </c>
      <c r="IX267">
        <v>98</v>
      </c>
      <c r="IY267">
        <v>64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386</v>
      </c>
      <c r="JJ267">
        <v>356</v>
      </c>
      <c r="JK267">
        <v>250</v>
      </c>
      <c r="JL267">
        <v>352</v>
      </c>
      <c r="JM267">
        <v>280</v>
      </c>
      <c r="JN267">
        <v>200</v>
      </c>
      <c r="JO267">
        <v>230</v>
      </c>
      <c r="JP267">
        <v>205</v>
      </c>
      <c r="JQ267">
        <v>245</v>
      </c>
      <c r="JR267">
        <v>338</v>
      </c>
      <c r="JS267">
        <v>246</v>
      </c>
      <c r="JT267">
        <v>0</v>
      </c>
      <c r="JU267">
        <v>0</v>
      </c>
      <c r="JV267">
        <v>335</v>
      </c>
      <c r="JW267">
        <v>337</v>
      </c>
      <c r="JX267">
        <v>330</v>
      </c>
      <c r="JY267">
        <v>310</v>
      </c>
      <c r="JZ267">
        <v>1</v>
      </c>
      <c r="KA267">
        <v>0.2</v>
      </c>
      <c r="KB267">
        <v>0.4</v>
      </c>
      <c r="KC267">
        <v>0.42</v>
      </c>
      <c r="KD267">
        <v>0.28</v>
      </c>
      <c r="KE267">
        <v>0.5</v>
      </c>
      <c r="KF267">
        <v>0.15</v>
      </c>
      <c r="KG267">
        <v>0.1</v>
      </c>
      <c r="KH267">
        <v>3.5</v>
      </c>
      <c r="KI267">
        <v>1</v>
      </c>
      <c r="KJ267">
        <v>5</v>
      </c>
      <c r="KK267">
        <v>1</v>
      </c>
      <c r="KL267">
        <v>5</v>
      </c>
      <c r="KM267">
        <v>1</v>
      </c>
      <c r="KN267">
        <v>1.2</v>
      </c>
      <c r="KO267">
        <v>0</v>
      </c>
      <c r="KP267">
        <v>0</v>
      </c>
      <c r="KQ267">
        <v>1.2</v>
      </c>
      <c r="KR267">
        <v>0.5</v>
      </c>
      <c r="KS267">
        <v>0</v>
      </c>
      <c r="KT267">
        <v>1.6</v>
      </c>
      <c r="KU267">
        <v>0</v>
      </c>
      <c r="KV267">
        <v>0</v>
      </c>
      <c r="KW267">
        <v>1.2</v>
      </c>
      <c r="KX267">
        <v>2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3</v>
      </c>
      <c r="LI267">
        <v>1</v>
      </c>
      <c r="LJ267">
        <v>0</v>
      </c>
      <c r="LK267">
        <v>3</v>
      </c>
      <c r="LL267">
        <v>6</v>
      </c>
      <c r="LM267">
        <v>5</v>
      </c>
      <c r="LN267">
        <v>0.5</v>
      </c>
      <c r="LO267">
        <v>0.3</v>
      </c>
      <c r="LP267">
        <v>0</v>
      </c>
      <c r="LQ267">
        <v>0</v>
      </c>
      <c r="LR267">
        <v>0</v>
      </c>
      <c r="LS267">
        <v>1</v>
      </c>
      <c r="LT267">
        <v>0</v>
      </c>
      <c r="LU267">
        <v>0</v>
      </c>
      <c r="LV267">
        <v>0</v>
      </c>
      <c r="LW267">
        <v>1.8</v>
      </c>
      <c r="LX267">
        <v>1.8</v>
      </c>
      <c r="LY267">
        <v>2.1</v>
      </c>
      <c r="LZ267">
        <v>2.1</v>
      </c>
      <c r="MA267">
        <v>0</v>
      </c>
      <c r="MB267">
        <v>3</v>
      </c>
      <c r="MC267">
        <v>1</v>
      </c>
      <c r="MD267">
        <v>4.5</v>
      </c>
      <c r="ME267">
        <v>6</v>
      </c>
      <c r="MF267">
        <v>6</v>
      </c>
      <c r="MG267">
        <v>0</v>
      </c>
      <c r="MH267">
        <v>0</v>
      </c>
      <c r="MI267">
        <v>0</v>
      </c>
      <c r="MJ267">
        <v>0</v>
      </c>
      <c r="MK267">
        <v>0</v>
      </c>
      <c r="MN267">
        <v>185</v>
      </c>
      <c r="MO267">
        <v>234</v>
      </c>
      <c r="NU267">
        <v>0.15</v>
      </c>
      <c r="NV267">
        <v>0.2</v>
      </c>
      <c r="NW267">
        <v>0.2</v>
      </c>
      <c r="NX267">
        <v>0.2</v>
      </c>
      <c r="NY267">
        <v>0.2</v>
      </c>
      <c r="NZ267">
        <v>0.2</v>
      </c>
      <c r="OE267" t="s">
        <v>4973</v>
      </c>
      <c r="OF267" t="s">
        <v>4810</v>
      </c>
      <c r="OG267" t="s">
        <v>4811</v>
      </c>
      <c r="OH267" t="s">
        <v>4426</v>
      </c>
      <c r="OI267" t="s">
        <v>4973</v>
      </c>
      <c r="OJ267" t="s">
        <v>4972</v>
      </c>
      <c r="OK267">
        <v>61</v>
      </c>
      <c r="OL267">
        <v>61</v>
      </c>
      <c r="OM267" t="s">
        <v>4810</v>
      </c>
      <c r="ON267">
        <v>2</v>
      </c>
      <c r="OO267">
        <v>1984</v>
      </c>
      <c r="OP267">
        <v>61</v>
      </c>
      <c r="OQ267">
        <v>61</v>
      </c>
      <c r="OR267" t="s">
        <v>4811</v>
      </c>
      <c r="OS267">
        <v>2</v>
      </c>
      <c r="OT267">
        <v>1996</v>
      </c>
      <c r="OU267">
        <v>65</v>
      </c>
      <c r="OV267">
        <v>65</v>
      </c>
      <c r="OW267" t="s">
        <v>4426</v>
      </c>
      <c r="OX267">
        <v>1</v>
      </c>
      <c r="OY267">
        <v>43049</v>
      </c>
      <c r="OZ267">
        <v>51</v>
      </c>
      <c r="PA267">
        <v>51</v>
      </c>
      <c r="PB267" t="s">
        <v>4973</v>
      </c>
      <c r="PC267">
        <v>2</v>
      </c>
      <c r="PD267">
        <v>2030</v>
      </c>
      <c r="PF267">
        <v>436</v>
      </c>
      <c r="PG267">
        <v>35</v>
      </c>
      <c r="PH267">
        <v>413</v>
      </c>
      <c r="PI267">
        <v>0</v>
      </c>
      <c r="PJ267">
        <v>102.3</v>
      </c>
      <c r="PL267">
        <v>1084.4</v>
      </c>
      <c r="PM267">
        <v>1160.9</v>
      </c>
      <c r="PN267">
        <v>97.8</v>
      </c>
      <c r="PO267">
        <v>10.8</v>
      </c>
      <c r="PP267">
        <v>12</v>
      </c>
      <c r="PQ267">
        <v>3</v>
      </c>
      <c r="PR267">
        <v>3</v>
      </c>
      <c r="PS267">
        <v>8</v>
      </c>
      <c r="PT267">
        <v>236</v>
      </c>
      <c r="PU267">
        <v>10</v>
      </c>
      <c r="PV267" t="s">
        <v>4072</v>
      </c>
      <c r="PW267" t="s">
        <v>4072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-1</v>
      </c>
      <c r="QF267">
        <v>1</v>
      </c>
      <c r="QG267">
        <v>0</v>
      </c>
      <c r="QH267">
        <v>5</v>
      </c>
      <c r="QI267">
        <v>5</v>
      </c>
      <c r="QJ267">
        <v>5</v>
      </c>
      <c r="QK267">
        <v>185</v>
      </c>
      <c r="QL267">
        <v>416</v>
      </c>
      <c r="QM267">
        <v>7.5</v>
      </c>
      <c r="QN267">
        <v>1379.8</v>
      </c>
      <c r="QO267" t="s">
        <v>3054</v>
      </c>
      <c r="QP267" t="s">
        <v>513</v>
      </c>
      <c r="QQ267">
        <v>0</v>
      </c>
      <c r="QR267" t="s">
        <v>649</v>
      </c>
    </row>
    <row r="268" spans="1:462">
      <c r="A268" t="s">
        <v>3291</v>
      </c>
      <c r="B268" t="s">
        <v>897</v>
      </c>
      <c r="C268" t="s">
        <v>509</v>
      </c>
      <c r="D268" t="s">
        <v>2554</v>
      </c>
      <c r="E268" t="s">
        <v>4036</v>
      </c>
      <c r="H268" t="s">
        <v>604</v>
      </c>
      <c r="I268" t="s">
        <v>605</v>
      </c>
      <c r="J268" t="s">
        <v>628</v>
      </c>
      <c r="K268" t="s">
        <v>606</v>
      </c>
      <c r="L268" t="s">
        <v>657</v>
      </c>
      <c r="M268" t="s">
        <v>512</v>
      </c>
      <c r="O268" t="s">
        <v>513</v>
      </c>
      <c r="P268" t="s">
        <v>517</v>
      </c>
      <c r="Q268" t="s">
        <v>953</v>
      </c>
      <c r="R268" t="s">
        <v>954</v>
      </c>
      <c r="S268" t="s">
        <v>4170</v>
      </c>
      <c r="T268" t="s">
        <v>662</v>
      </c>
      <c r="U268" t="s">
        <v>663</v>
      </c>
      <c r="V268" t="s">
        <v>2577</v>
      </c>
      <c r="W268" t="s">
        <v>3058</v>
      </c>
      <c r="X268" t="s">
        <v>3292</v>
      </c>
      <c r="Y268" t="s">
        <v>3293</v>
      </c>
      <c r="Z268" t="s">
        <v>541</v>
      </c>
      <c r="AA268" t="s">
        <v>4038</v>
      </c>
      <c r="AB268" t="s">
        <v>4974</v>
      </c>
      <c r="AC268">
        <v>13</v>
      </c>
      <c r="AD268" t="s">
        <v>3290</v>
      </c>
      <c r="AE268">
        <v>8</v>
      </c>
      <c r="AF268">
        <v>5174</v>
      </c>
      <c r="AG268" t="s">
        <v>4316</v>
      </c>
      <c r="AH268">
        <v>1</v>
      </c>
      <c r="AI268" t="s">
        <v>4041</v>
      </c>
      <c r="AK268" t="s">
        <v>4317</v>
      </c>
      <c r="AL268">
        <v>1</v>
      </c>
      <c r="AM268" t="s">
        <v>582</v>
      </c>
      <c r="AO268" t="s">
        <v>4043</v>
      </c>
      <c r="AP268">
        <v>1</v>
      </c>
      <c r="AR268" t="s">
        <v>4975</v>
      </c>
      <c r="AS268">
        <v>1</v>
      </c>
      <c r="AT268">
        <v>51</v>
      </c>
      <c r="AV268" t="s">
        <v>4078</v>
      </c>
      <c r="AW268">
        <v>6.4</v>
      </c>
      <c r="AX268">
        <v>-6</v>
      </c>
      <c r="AY268">
        <v>101</v>
      </c>
      <c r="AZ268">
        <v>70</v>
      </c>
      <c r="BH268">
        <v>101</v>
      </c>
      <c r="BI268">
        <v>31</v>
      </c>
      <c r="BJ268">
        <v>70</v>
      </c>
      <c r="BK268">
        <v>3.5</v>
      </c>
      <c r="BL268">
        <v>202</v>
      </c>
      <c r="BM268">
        <v>-6</v>
      </c>
      <c r="BN268">
        <v>0</v>
      </c>
      <c r="BP268">
        <v>0</v>
      </c>
      <c r="BR268">
        <v>195</v>
      </c>
      <c r="BS268">
        <v>185</v>
      </c>
      <c r="BT268">
        <v>2115</v>
      </c>
      <c r="BU268" t="s">
        <v>4127</v>
      </c>
      <c r="BV268" t="s">
        <v>4127</v>
      </c>
      <c r="BW268" t="s">
        <v>4128</v>
      </c>
      <c r="BX268" t="s">
        <v>4128</v>
      </c>
      <c r="BY268" t="s">
        <v>4117</v>
      </c>
      <c r="BZ268" t="s">
        <v>4215</v>
      </c>
      <c r="CA268" t="s">
        <v>4118</v>
      </c>
      <c r="CB268" t="s">
        <v>4119</v>
      </c>
      <c r="CC268" t="s">
        <v>4053</v>
      </c>
      <c r="CD268" t="s">
        <v>4121</v>
      </c>
      <c r="CE268" t="s">
        <v>4055</v>
      </c>
      <c r="CF268" t="s">
        <v>4055</v>
      </c>
      <c r="CG268" t="s">
        <v>4056</v>
      </c>
      <c r="CI268" t="s">
        <v>4058</v>
      </c>
      <c r="CJ268" t="s">
        <v>4059</v>
      </c>
      <c r="CK268" t="s">
        <v>4060</v>
      </c>
      <c r="CL268" t="s">
        <v>4061</v>
      </c>
      <c r="CM268" t="s">
        <v>4062</v>
      </c>
      <c r="CN268" t="s">
        <v>4055</v>
      </c>
      <c r="CO268" t="s">
        <v>4063</v>
      </c>
      <c r="CP268" t="s">
        <v>4055</v>
      </c>
      <c r="CQ268" t="s">
        <v>4055</v>
      </c>
      <c r="CR268">
        <v>5</v>
      </c>
      <c r="CS268" t="s">
        <v>4055</v>
      </c>
      <c r="CT268" t="s">
        <v>4055</v>
      </c>
      <c r="CU268" t="s">
        <v>4055</v>
      </c>
      <c r="CV268">
        <v>132</v>
      </c>
      <c r="CW268">
        <v>3</v>
      </c>
      <c r="CX268">
        <v>83</v>
      </c>
      <c r="CY268">
        <v>5</v>
      </c>
      <c r="CZ268">
        <v>77</v>
      </c>
      <c r="DA268">
        <v>5</v>
      </c>
      <c r="DB268">
        <v>12890</v>
      </c>
      <c r="DC268">
        <v>380</v>
      </c>
      <c r="DD268">
        <v>340</v>
      </c>
      <c r="DE268">
        <v>2236</v>
      </c>
      <c r="DF268">
        <v>2236</v>
      </c>
      <c r="DG268">
        <v>2248</v>
      </c>
      <c r="DH268" t="s">
        <v>4055</v>
      </c>
      <c r="DI268" t="s">
        <v>4055</v>
      </c>
      <c r="DJ268" t="s">
        <v>4132</v>
      </c>
      <c r="DK268">
        <v>195</v>
      </c>
      <c r="DL268" t="s">
        <v>4065</v>
      </c>
      <c r="DM268">
        <v>63</v>
      </c>
      <c r="DN268">
        <v>1.1</v>
      </c>
      <c r="DO268">
        <v>1</v>
      </c>
      <c r="DP268">
        <v>2118</v>
      </c>
      <c r="DQ268">
        <v>894</v>
      </c>
      <c r="DR268" t="s">
        <v>4132</v>
      </c>
      <c r="DS268">
        <v>185</v>
      </c>
      <c r="DT268" t="s">
        <v>4065</v>
      </c>
      <c r="DU268">
        <v>63</v>
      </c>
      <c r="DV268">
        <v>1.1</v>
      </c>
      <c r="DW268">
        <v>1</v>
      </c>
      <c r="DX268">
        <v>2130</v>
      </c>
      <c r="DY268">
        <v>852</v>
      </c>
      <c r="DZ268" t="s">
        <v>4066</v>
      </c>
      <c r="EA268">
        <v>20</v>
      </c>
      <c r="EB268" t="s">
        <v>4065</v>
      </c>
      <c r="EC268">
        <v>0.8</v>
      </c>
      <c r="ED268">
        <v>2118</v>
      </c>
      <c r="EE268">
        <v>74</v>
      </c>
      <c r="EG268">
        <v>0</v>
      </c>
      <c r="EH268" t="s">
        <v>4065</v>
      </c>
      <c r="EI268">
        <v>0</v>
      </c>
      <c r="EL268" t="s">
        <v>1528</v>
      </c>
      <c r="EM268">
        <v>12</v>
      </c>
      <c r="EN268">
        <v>0.5</v>
      </c>
      <c r="EO268">
        <v>0.96</v>
      </c>
      <c r="EP268">
        <v>2128.83</v>
      </c>
      <c r="EQ268">
        <v>35591.38</v>
      </c>
      <c r="ER268">
        <v>10340.74</v>
      </c>
      <c r="ES268">
        <v>0</v>
      </c>
      <c r="ET268">
        <v>0</v>
      </c>
      <c r="EU268">
        <v>1</v>
      </c>
      <c r="EV268">
        <v>45933</v>
      </c>
      <c r="EW268">
        <v>552</v>
      </c>
      <c r="EX268" t="s">
        <v>4287</v>
      </c>
      <c r="EY268">
        <v>220</v>
      </c>
      <c r="EZ268" t="s">
        <v>4055</v>
      </c>
      <c r="FA268">
        <v>5.2</v>
      </c>
      <c r="FB268">
        <v>1</v>
      </c>
      <c r="FC268">
        <v>1</v>
      </c>
      <c r="FD268">
        <v>2165</v>
      </c>
      <c r="FE268">
        <v>2724</v>
      </c>
      <c r="FF268" t="s">
        <v>4288</v>
      </c>
      <c r="FG268">
        <v>220</v>
      </c>
      <c r="FH268" t="s">
        <v>4055</v>
      </c>
      <c r="FI268">
        <v>3.9</v>
      </c>
      <c r="FJ268">
        <v>2165</v>
      </c>
      <c r="FK268">
        <v>2128</v>
      </c>
      <c r="FL268" t="s">
        <v>4069</v>
      </c>
      <c r="FM268" t="s">
        <v>4055</v>
      </c>
      <c r="FN268" t="s">
        <v>4055</v>
      </c>
      <c r="FO268" t="s">
        <v>4055</v>
      </c>
      <c r="FP268">
        <v>2165</v>
      </c>
      <c r="FQ268">
        <v>246</v>
      </c>
      <c r="FR268" t="s">
        <v>4090</v>
      </c>
      <c r="FS268">
        <v>224</v>
      </c>
      <c r="FT268" t="s">
        <v>4055</v>
      </c>
      <c r="FU268">
        <v>0.4</v>
      </c>
      <c r="FV268">
        <v>2165</v>
      </c>
      <c r="FW268">
        <v>216</v>
      </c>
      <c r="FX268" t="s">
        <v>4070</v>
      </c>
      <c r="FY268">
        <v>5</v>
      </c>
      <c r="FZ268" t="s">
        <v>4055</v>
      </c>
      <c r="GA268" t="s">
        <v>4055</v>
      </c>
      <c r="GB268">
        <v>2165</v>
      </c>
      <c r="GC268">
        <v>24</v>
      </c>
      <c r="GD268">
        <v>5338</v>
      </c>
      <c r="GE268" t="s">
        <v>4975</v>
      </c>
      <c r="GF268" t="s">
        <v>4055</v>
      </c>
      <c r="GG268" t="s">
        <v>4055</v>
      </c>
      <c r="GH268" t="s">
        <v>4055</v>
      </c>
      <c r="GI268" t="s">
        <v>4071</v>
      </c>
      <c r="GJ268" t="s">
        <v>4055</v>
      </c>
      <c r="GK268" t="s">
        <v>4055</v>
      </c>
      <c r="GL268" t="s">
        <v>4055</v>
      </c>
      <c r="GM268" t="s">
        <v>4055</v>
      </c>
      <c r="GQ268">
        <v>0</v>
      </c>
      <c r="GV268">
        <v>9.5</v>
      </c>
      <c r="GW268">
        <v>10.5</v>
      </c>
      <c r="GX268">
        <v>0.5</v>
      </c>
      <c r="GY268">
        <v>180</v>
      </c>
      <c r="GZ268">
        <v>3</v>
      </c>
      <c r="HA268">
        <v>246</v>
      </c>
      <c r="HB268">
        <v>3</v>
      </c>
      <c r="HC268">
        <v>2165</v>
      </c>
      <c r="HD268">
        <v>4</v>
      </c>
      <c r="HE268" t="s">
        <v>4071</v>
      </c>
      <c r="HG268" t="s">
        <v>549</v>
      </c>
      <c r="HL268">
        <v>4</v>
      </c>
      <c r="HM268">
        <v>18</v>
      </c>
      <c r="HN268">
        <v>6</v>
      </c>
      <c r="HO268">
        <v>1</v>
      </c>
      <c r="HP268">
        <v>0</v>
      </c>
      <c r="HQ268">
        <v>0</v>
      </c>
      <c r="HR268">
        <v>3</v>
      </c>
      <c r="HS268">
        <v>2115</v>
      </c>
      <c r="HT268">
        <v>5</v>
      </c>
      <c r="HU268">
        <v>1</v>
      </c>
      <c r="HV268">
        <v>5</v>
      </c>
      <c r="HW268">
        <v>0</v>
      </c>
      <c r="HX268">
        <v>1</v>
      </c>
      <c r="HY268">
        <v>0</v>
      </c>
      <c r="HZ268">
        <v>63</v>
      </c>
      <c r="IA268">
        <v>2118</v>
      </c>
      <c r="IB268">
        <v>2130</v>
      </c>
      <c r="ID268">
        <v>2165</v>
      </c>
      <c r="IE268">
        <v>2165</v>
      </c>
      <c r="IF268">
        <v>195</v>
      </c>
      <c r="IG268">
        <v>185</v>
      </c>
      <c r="IH268">
        <v>246</v>
      </c>
      <c r="II268">
        <v>1</v>
      </c>
      <c r="IJ268">
        <v>5</v>
      </c>
      <c r="IK268">
        <v>0</v>
      </c>
      <c r="IL268">
        <v>0</v>
      </c>
      <c r="IM268">
        <v>0</v>
      </c>
      <c r="IN268">
        <v>270</v>
      </c>
      <c r="IO268">
        <v>0</v>
      </c>
      <c r="IP268">
        <v>180</v>
      </c>
      <c r="IQ268">
        <v>0</v>
      </c>
      <c r="IR268">
        <v>330</v>
      </c>
      <c r="IS268">
        <v>0</v>
      </c>
      <c r="IT268">
        <v>90</v>
      </c>
      <c r="IU268">
        <v>0</v>
      </c>
      <c r="IV268">
        <v>6.4</v>
      </c>
      <c r="IW268">
        <v>-6</v>
      </c>
      <c r="IX268">
        <v>101</v>
      </c>
      <c r="IY268">
        <v>70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406</v>
      </c>
      <c r="JJ268">
        <v>376</v>
      </c>
      <c r="JK268">
        <v>275</v>
      </c>
      <c r="JL268">
        <v>370</v>
      </c>
      <c r="JM268">
        <v>290</v>
      </c>
      <c r="JN268">
        <v>195</v>
      </c>
      <c r="JO268">
        <v>248</v>
      </c>
      <c r="JP268">
        <v>195</v>
      </c>
      <c r="JQ268">
        <v>242</v>
      </c>
      <c r="JR268">
        <v>328</v>
      </c>
      <c r="JS268">
        <v>242</v>
      </c>
      <c r="JT268">
        <v>0</v>
      </c>
      <c r="JU268">
        <v>0</v>
      </c>
      <c r="JV268">
        <v>328</v>
      </c>
      <c r="JW268">
        <v>334</v>
      </c>
      <c r="JX268">
        <v>325</v>
      </c>
      <c r="JY268">
        <v>290</v>
      </c>
      <c r="JZ268">
        <v>0.5</v>
      </c>
      <c r="KA268">
        <v>0.2</v>
      </c>
      <c r="KB268">
        <v>0.4</v>
      </c>
      <c r="KC268">
        <v>0.42</v>
      </c>
      <c r="KD268">
        <v>0.28</v>
      </c>
      <c r="KE268">
        <v>0.5</v>
      </c>
      <c r="KF268">
        <v>0.16</v>
      </c>
      <c r="KG268">
        <v>0.1</v>
      </c>
      <c r="KH268">
        <v>3.5</v>
      </c>
      <c r="KI268">
        <v>1</v>
      </c>
      <c r="KJ268">
        <v>4.5</v>
      </c>
      <c r="KK268">
        <v>0</v>
      </c>
      <c r="KL268">
        <v>4.5</v>
      </c>
      <c r="KM268">
        <v>0</v>
      </c>
      <c r="KN268">
        <v>2.1</v>
      </c>
      <c r="KO268">
        <v>0</v>
      </c>
      <c r="KP268">
        <v>0</v>
      </c>
      <c r="KQ268">
        <v>0.7</v>
      </c>
      <c r="KR268">
        <v>0.8</v>
      </c>
      <c r="KS268">
        <v>0</v>
      </c>
      <c r="KT268">
        <v>2.1</v>
      </c>
      <c r="KU268">
        <v>0</v>
      </c>
      <c r="KV268">
        <v>0</v>
      </c>
      <c r="KW268">
        <v>0.8</v>
      </c>
      <c r="KX268">
        <v>1.5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3</v>
      </c>
      <c r="LI268">
        <v>0.5</v>
      </c>
      <c r="LJ268">
        <v>0</v>
      </c>
      <c r="LK268">
        <v>8</v>
      </c>
      <c r="LL268">
        <v>4</v>
      </c>
      <c r="LM268">
        <v>7.5</v>
      </c>
      <c r="LN268">
        <v>0.1</v>
      </c>
      <c r="LO268">
        <v>0.1</v>
      </c>
      <c r="LP268">
        <v>0</v>
      </c>
      <c r="LQ268">
        <v>0</v>
      </c>
      <c r="LR268">
        <v>0</v>
      </c>
      <c r="LS268">
        <v>1</v>
      </c>
      <c r="LT268">
        <v>0</v>
      </c>
      <c r="LU268">
        <v>0</v>
      </c>
      <c r="LV268">
        <v>0</v>
      </c>
      <c r="LW268">
        <v>3.5</v>
      </c>
      <c r="LX268">
        <v>3.5</v>
      </c>
      <c r="LY268">
        <v>2.1</v>
      </c>
      <c r="LZ268">
        <v>2.1</v>
      </c>
      <c r="MA268">
        <v>0</v>
      </c>
      <c r="MB268">
        <v>4.5</v>
      </c>
      <c r="MC268">
        <v>1</v>
      </c>
      <c r="MD268">
        <v>4.5</v>
      </c>
      <c r="ME268">
        <v>6</v>
      </c>
      <c r="MF268">
        <v>6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420</v>
      </c>
      <c r="MN268">
        <v>190</v>
      </c>
      <c r="MO268">
        <v>246</v>
      </c>
      <c r="NU268">
        <v>0.15</v>
      </c>
      <c r="NV268">
        <v>0.2</v>
      </c>
      <c r="NW268">
        <v>0.2</v>
      </c>
      <c r="NX268">
        <v>0.2</v>
      </c>
      <c r="NY268">
        <v>0.2</v>
      </c>
      <c r="NZ268">
        <v>0.2</v>
      </c>
      <c r="OE268" t="s">
        <v>4975</v>
      </c>
      <c r="OF268" t="s">
        <v>4316</v>
      </c>
      <c r="OG268" t="s">
        <v>4317</v>
      </c>
      <c r="OH268" t="s">
        <v>4043</v>
      </c>
      <c r="OI268" t="s">
        <v>4975</v>
      </c>
      <c r="OJ268" t="s">
        <v>4974</v>
      </c>
      <c r="OK268">
        <v>61</v>
      </c>
      <c r="OL268">
        <v>61</v>
      </c>
      <c r="OM268" t="s">
        <v>4316</v>
      </c>
      <c r="ON268">
        <v>1</v>
      </c>
      <c r="OO268">
        <v>2118</v>
      </c>
      <c r="OP268">
        <v>61</v>
      </c>
      <c r="OQ268">
        <v>61</v>
      </c>
      <c r="OR268" t="s">
        <v>4317</v>
      </c>
      <c r="OS268">
        <v>1</v>
      </c>
      <c r="OT268">
        <v>2130</v>
      </c>
      <c r="OU268">
        <v>65</v>
      </c>
      <c r="OV268">
        <v>65</v>
      </c>
      <c r="OW268" t="s">
        <v>4043</v>
      </c>
      <c r="OX268">
        <v>2</v>
      </c>
      <c r="OY268">
        <v>45933</v>
      </c>
      <c r="OZ268">
        <v>51</v>
      </c>
      <c r="PA268">
        <v>51</v>
      </c>
      <c r="PB268" t="s">
        <v>4975</v>
      </c>
      <c r="PC268">
        <v>3</v>
      </c>
      <c r="PD268">
        <v>2165</v>
      </c>
      <c r="PF268">
        <v>422</v>
      </c>
      <c r="PG268">
        <v>35</v>
      </c>
      <c r="PH268">
        <v>400</v>
      </c>
      <c r="PI268">
        <v>0</v>
      </c>
      <c r="PJ268">
        <v>113.7</v>
      </c>
      <c r="PK268">
        <v>2457</v>
      </c>
      <c r="PL268">
        <v>1258.2</v>
      </c>
      <c r="PM268">
        <v>982.7</v>
      </c>
      <c r="PN268">
        <v>99.59999999999999</v>
      </c>
      <c r="PO268">
        <v>11</v>
      </c>
      <c r="PP268">
        <v>12</v>
      </c>
      <c r="PQ268">
        <v>5</v>
      </c>
      <c r="PR268">
        <v>5</v>
      </c>
      <c r="PS268">
        <v>0</v>
      </c>
      <c r="PT268">
        <v>246</v>
      </c>
      <c r="PU268">
        <v>13</v>
      </c>
      <c r="PV268" t="s">
        <v>4072</v>
      </c>
      <c r="PW268" t="s">
        <v>4072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-1</v>
      </c>
      <c r="QF268">
        <v>1</v>
      </c>
      <c r="QG268">
        <v>0</v>
      </c>
      <c r="QH268">
        <v>5</v>
      </c>
      <c r="QI268">
        <v>5</v>
      </c>
      <c r="QJ268">
        <v>5</v>
      </c>
      <c r="QK268">
        <v>197</v>
      </c>
      <c r="QL268">
        <v>440</v>
      </c>
      <c r="QM268">
        <v>7.5</v>
      </c>
      <c r="QN268">
        <v>1459.5</v>
      </c>
      <c r="QO268" t="s">
        <v>3054</v>
      </c>
      <c r="QP268" t="s">
        <v>513</v>
      </c>
      <c r="QQ268">
        <v>0</v>
      </c>
      <c r="QR268" t="s">
        <v>1496</v>
      </c>
      <c r="QS268">
        <v>30</v>
      </c>
      <c r="QT268">
        <v>40</v>
      </c>
    </row>
    <row r="269" spans="1:462">
      <c r="A269" t="s">
        <v>3297</v>
      </c>
      <c r="B269" t="s">
        <v>729</v>
      </c>
      <c r="C269" t="s">
        <v>509</v>
      </c>
      <c r="D269" t="s">
        <v>2370</v>
      </c>
      <c r="E269" t="s">
        <v>4036</v>
      </c>
      <c r="H269" t="s">
        <v>604</v>
      </c>
      <c r="J269" t="s">
        <v>628</v>
      </c>
      <c r="K269" t="s">
        <v>606</v>
      </c>
      <c r="L269" t="s">
        <v>897</v>
      </c>
      <c r="M269" t="s">
        <v>512</v>
      </c>
      <c r="O269" t="s">
        <v>513</v>
      </c>
      <c r="P269" t="s">
        <v>517</v>
      </c>
      <c r="Q269" t="s">
        <v>964</v>
      </c>
      <c r="R269" t="s">
        <v>965</v>
      </c>
      <c r="S269" t="s">
        <v>4073</v>
      </c>
      <c r="T269" t="s">
        <v>686</v>
      </c>
      <c r="U269" t="s">
        <v>687</v>
      </c>
      <c r="V269" t="s">
        <v>1283</v>
      </c>
      <c r="W269" t="s">
        <v>3058</v>
      </c>
      <c r="X269" t="s">
        <v>3298</v>
      </c>
      <c r="Y269" t="s">
        <v>3299</v>
      </c>
      <c r="Z269" t="s">
        <v>650</v>
      </c>
      <c r="AA269" t="s">
        <v>4038</v>
      </c>
      <c r="AB269" t="s">
        <v>4976</v>
      </c>
      <c r="AC269">
        <v>13</v>
      </c>
      <c r="AD269" t="s">
        <v>3296</v>
      </c>
      <c r="AE269">
        <v>9</v>
      </c>
      <c r="AF269">
        <v>4848</v>
      </c>
      <c r="AG269" t="s">
        <v>4312</v>
      </c>
      <c r="AH269">
        <v>1</v>
      </c>
      <c r="AI269" t="s">
        <v>4041</v>
      </c>
      <c r="AK269" t="s">
        <v>4313</v>
      </c>
      <c r="AL269">
        <v>1</v>
      </c>
      <c r="AM269" t="s">
        <v>582</v>
      </c>
      <c r="AO269" t="s">
        <v>4043</v>
      </c>
      <c r="AP269">
        <v>1</v>
      </c>
      <c r="AR269" t="s">
        <v>4977</v>
      </c>
      <c r="AS269">
        <v>1</v>
      </c>
      <c r="AT269">
        <v>51</v>
      </c>
      <c r="AV269" t="s">
        <v>4078</v>
      </c>
      <c r="AW269">
        <v>6.4</v>
      </c>
      <c r="AX269">
        <v>-6</v>
      </c>
      <c r="AY269">
        <v>108.5</v>
      </c>
      <c r="AZ269">
        <v>86</v>
      </c>
      <c r="BH269">
        <v>108.5</v>
      </c>
      <c r="BI269">
        <v>22.5</v>
      </c>
      <c r="BJ269">
        <v>86</v>
      </c>
      <c r="BK269">
        <v>3.5</v>
      </c>
      <c r="BL269">
        <v>217</v>
      </c>
      <c r="BM269">
        <v>-6</v>
      </c>
      <c r="BN269">
        <v>0</v>
      </c>
      <c r="BP269">
        <v>0</v>
      </c>
      <c r="BR269">
        <v>210</v>
      </c>
      <c r="BS269">
        <v>200</v>
      </c>
      <c r="BT269">
        <v>2085</v>
      </c>
      <c r="BU269" t="s">
        <v>4096</v>
      </c>
      <c r="BV269" t="s">
        <v>4127</v>
      </c>
      <c r="BW269" t="s">
        <v>4128</v>
      </c>
      <c r="BX269" t="s">
        <v>4128</v>
      </c>
      <c r="BY269" t="s">
        <v>4129</v>
      </c>
      <c r="BZ269" t="s">
        <v>4129</v>
      </c>
      <c r="CA269" t="s">
        <v>4130</v>
      </c>
      <c r="CB269" t="s">
        <v>4131</v>
      </c>
      <c r="CC269" t="s">
        <v>4053</v>
      </c>
      <c r="CD269" t="s">
        <v>4055</v>
      </c>
      <c r="CE269" t="s">
        <v>4055</v>
      </c>
      <c r="CF269" t="s">
        <v>4055</v>
      </c>
      <c r="CG269" t="s">
        <v>4056</v>
      </c>
      <c r="CI269" t="s">
        <v>4086</v>
      </c>
      <c r="CJ269" t="s">
        <v>4059</v>
      </c>
      <c r="CK269" t="s">
        <v>4060</v>
      </c>
      <c r="CL269" t="s">
        <v>4061</v>
      </c>
      <c r="CM269" t="s">
        <v>4062</v>
      </c>
      <c r="CN269" t="s">
        <v>4055</v>
      </c>
      <c r="CO269" t="s">
        <v>4063</v>
      </c>
      <c r="CP269" t="s">
        <v>4055</v>
      </c>
      <c r="CQ269" t="s">
        <v>4055</v>
      </c>
      <c r="CR269">
        <v>5</v>
      </c>
      <c r="CS269" t="s">
        <v>4055</v>
      </c>
      <c r="CT269" t="s">
        <v>4055</v>
      </c>
      <c r="CU269" t="s">
        <v>4055</v>
      </c>
      <c r="CV269">
        <v>132</v>
      </c>
      <c r="CW269">
        <v>3</v>
      </c>
      <c r="CX269">
        <v>120</v>
      </c>
      <c r="CY269">
        <v>5</v>
      </c>
      <c r="CZ269">
        <v>145</v>
      </c>
      <c r="DA269">
        <v>5</v>
      </c>
      <c r="DB269">
        <v>12960</v>
      </c>
      <c r="DC269">
        <v>380</v>
      </c>
      <c r="DD269">
        <v>334</v>
      </c>
      <c r="DE269">
        <v>2216</v>
      </c>
      <c r="DF269">
        <v>2216</v>
      </c>
      <c r="DG269">
        <v>2228</v>
      </c>
      <c r="DH269">
        <v>1</v>
      </c>
      <c r="DI269" t="s">
        <v>4055</v>
      </c>
      <c r="DJ269" t="s">
        <v>4132</v>
      </c>
      <c r="DK269">
        <v>210</v>
      </c>
      <c r="DL269" t="s">
        <v>4065</v>
      </c>
      <c r="DM269">
        <v>63</v>
      </c>
      <c r="DN269">
        <v>1.1</v>
      </c>
      <c r="DO269">
        <v>1</v>
      </c>
      <c r="DP269">
        <v>2088</v>
      </c>
      <c r="DQ269">
        <v>948</v>
      </c>
      <c r="DR269" t="s">
        <v>4132</v>
      </c>
      <c r="DS269">
        <v>200</v>
      </c>
      <c r="DT269" t="s">
        <v>4065</v>
      </c>
      <c r="DU269">
        <v>63</v>
      </c>
      <c r="DV269">
        <v>1.1</v>
      </c>
      <c r="DW269">
        <v>1</v>
      </c>
      <c r="DX269">
        <v>2100</v>
      </c>
      <c r="DY269">
        <v>909</v>
      </c>
      <c r="DZ269" t="s">
        <v>4066</v>
      </c>
      <c r="EA269">
        <v>20</v>
      </c>
      <c r="EB269" t="s">
        <v>4065</v>
      </c>
      <c r="EC269">
        <v>0.8</v>
      </c>
      <c r="ED269">
        <v>2088</v>
      </c>
      <c r="EE269">
        <v>73</v>
      </c>
      <c r="EG269">
        <v>0</v>
      </c>
      <c r="EH269" t="s">
        <v>4065</v>
      </c>
      <c r="EI269">
        <v>0</v>
      </c>
      <c r="EL269" t="s">
        <v>1528</v>
      </c>
      <c r="EM269">
        <v>12</v>
      </c>
      <c r="EN269">
        <v>0.5</v>
      </c>
      <c r="EO269">
        <v>0.96</v>
      </c>
      <c r="EP269">
        <v>2098.83</v>
      </c>
      <c r="EQ269">
        <v>37549.38</v>
      </c>
      <c r="ER269">
        <v>7399.9</v>
      </c>
      <c r="ES269">
        <v>0</v>
      </c>
      <c r="ET269">
        <v>0</v>
      </c>
      <c r="EU269">
        <v>1</v>
      </c>
      <c r="EV269">
        <v>44950</v>
      </c>
      <c r="EW269">
        <v>540</v>
      </c>
      <c r="EX269" t="s">
        <v>4287</v>
      </c>
      <c r="EY269">
        <v>228</v>
      </c>
      <c r="EZ269" t="s">
        <v>4055</v>
      </c>
      <c r="FA269">
        <v>4.4</v>
      </c>
      <c r="FB269">
        <v>1</v>
      </c>
      <c r="FC269">
        <v>1</v>
      </c>
      <c r="FD269">
        <v>2135</v>
      </c>
      <c r="FE269">
        <v>2702</v>
      </c>
      <c r="FF269" t="s">
        <v>4288</v>
      </c>
      <c r="FG269">
        <v>228</v>
      </c>
      <c r="FH269" t="s">
        <v>4055</v>
      </c>
      <c r="FI269">
        <v>4.7</v>
      </c>
      <c r="FJ269">
        <v>2135</v>
      </c>
      <c r="FK269">
        <v>2521</v>
      </c>
      <c r="FL269" t="s">
        <v>4069</v>
      </c>
      <c r="FM269" t="s">
        <v>4055</v>
      </c>
      <c r="FN269" t="s">
        <v>4055</v>
      </c>
      <c r="FO269" t="s">
        <v>4055</v>
      </c>
      <c r="FP269">
        <v>2135</v>
      </c>
      <c r="FQ269">
        <v>169</v>
      </c>
      <c r="FR269" t="s">
        <v>4090</v>
      </c>
      <c r="FS269">
        <v>232</v>
      </c>
      <c r="FT269" t="s">
        <v>4055</v>
      </c>
      <c r="FU269">
        <v>0.4</v>
      </c>
      <c r="FV269">
        <v>2135</v>
      </c>
      <c r="FW269">
        <v>220</v>
      </c>
      <c r="FX269" t="s">
        <v>4070</v>
      </c>
      <c r="FY269">
        <v>5</v>
      </c>
      <c r="FZ269" t="s">
        <v>4055</v>
      </c>
      <c r="GA269" t="s">
        <v>4055</v>
      </c>
      <c r="GB269">
        <v>2135</v>
      </c>
      <c r="GC269">
        <v>23</v>
      </c>
      <c r="GD269">
        <v>5635</v>
      </c>
      <c r="GE269" t="s">
        <v>4977</v>
      </c>
      <c r="GF269" t="s">
        <v>4055</v>
      </c>
      <c r="GG269" t="s">
        <v>4055</v>
      </c>
      <c r="GH269" t="s">
        <v>4055</v>
      </c>
      <c r="GI269" t="s">
        <v>4071</v>
      </c>
      <c r="GJ269" t="s">
        <v>4055</v>
      </c>
      <c r="GK269" t="s">
        <v>4055</v>
      </c>
      <c r="GL269" t="s">
        <v>4055</v>
      </c>
      <c r="GM269" t="s">
        <v>4055</v>
      </c>
      <c r="GQ269">
        <v>0</v>
      </c>
      <c r="GV269">
        <v>9.5</v>
      </c>
      <c r="GW269">
        <v>12</v>
      </c>
      <c r="GX269">
        <v>0.5</v>
      </c>
      <c r="GY269">
        <v>192</v>
      </c>
      <c r="GZ269">
        <v>3</v>
      </c>
      <c r="HA269">
        <v>248</v>
      </c>
      <c r="HB269">
        <v>3</v>
      </c>
      <c r="HC269">
        <v>2135</v>
      </c>
      <c r="HD269">
        <v>4</v>
      </c>
      <c r="HE269" t="s">
        <v>4071</v>
      </c>
      <c r="HG269" t="s">
        <v>549</v>
      </c>
      <c r="HL269">
        <v>4</v>
      </c>
      <c r="HM269">
        <v>19</v>
      </c>
      <c r="HN269">
        <v>1</v>
      </c>
      <c r="HO269">
        <v>1</v>
      </c>
      <c r="HP269">
        <v>0</v>
      </c>
      <c r="HQ269">
        <v>0</v>
      </c>
      <c r="HR269">
        <v>2</v>
      </c>
      <c r="HS269">
        <v>2085</v>
      </c>
      <c r="HT269">
        <v>5</v>
      </c>
      <c r="HU269">
        <v>1</v>
      </c>
      <c r="HV269">
        <v>5</v>
      </c>
      <c r="HW269">
        <v>0</v>
      </c>
      <c r="HX269">
        <v>1</v>
      </c>
      <c r="HY269">
        <v>0</v>
      </c>
      <c r="HZ269">
        <v>63</v>
      </c>
      <c r="IA269">
        <v>2088</v>
      </c>
      <c r="IB269">
        <v>2100</v>
      </c>
      <c r="ID269">
        <v>2135</v>
      </c>
      <c r="IE269">
        <v>2135</v>
      </c>
      <c r="IF269">
        <v>210</v>
      </c>
      <c r="IG269">
        <v>200</v>
      </c>
      <c r="IH269">
        <v>248</v>
      </c>
      <c r="II269">
        <v>1</v>
      </c>
      <c r="IJ269">
        <v>5</v>
      </c>
      <c r="IK269">
        <v>0</v>
      </c>
      <c r="IL269">
        <v>0</v>
      </c>
      <c r="IM269">
        <v>0</v>
      </c>
      <c r="IN269">
        <v>270</v>
      </c>
      <c r="IO269">
        <v>0</v>
      </c>
      <c r="IP269">
        <v>180</v>
      </c>
      <c r="IQ269">
        <v>0</v>
      </c>
      <c r="IR269">
        <v>330</v>
      </c>
      <c r="IS269">
        <v>0</v>
      </c>
      <c r="IT269">
        <v>90</v>
      </c>
      <c r="IU269">
        <v>0</v>
      </c>
      <c r="IV269">
        <v>6.4</v>
      </c>
      <c r="IW269">
        <v>-6</v>
      </c>
      <c r="IX269">
        <v>108.5</v>
      </c>
      <c r="IY269">
        <v>86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388</v>
      </c>
      <c r="JJ269">
        <v>358</v>
      </c>
      <c r="JK269">
        <v>268</v>
      </c>
      <c r="JL269">
        <v>356</v>
      </c>
      <c r="JM269">
        <v>280</v>
      </c>
      <c r="JN269">
        <v>215</v>
      </c>
      <c r="JO269">
        <v>264</v>
      </c>
      <c r="JP269">
        <v>215</v>
      </c>
      <c r="JQ269">
        <v>240</v>
      </c>
      <c r="JR269">
        <v>305</v>
      </c>
      <c r="JS269">
        <v>244</v>
      </c>
      <c r="JT269">
        <v>0</v>
      </c>
      <c r="JU269">
        <v>0</v>
      </c>
      <c r="JV269">
        <v>300</v>
      </c>
      <c r="JW269">
        <v>290</v>
      </c>
      <c r="JX269">
        <v>298</v>
      </c>
      <c r="JY269">
        <v>290</v>
      </c>
      <c r="JZ269">
        <v>0.5</v>
      </c>
      <c r="KA269">
        <v>0.2</v>
      </c>
      <c r="KB269">
        <v>0.4</v>
      </c>
      <c r="KC269">
        <v>0.42</v>
      </c>
      <c r="KD269">
        <v>0.28</v>
      </c>
      <c r="KE269">
        <v>0.5</v>
      </c>
      <c r="KF269">
        <v>0.17</v>
      </c>
      <c r="KG269">
        <v>0.11</v>
      </c>
      <c r="KH269">
        <v>3.5</v>
      </c>
      <c r="KI269">
        <v>1</v>
      </c>
      <c r="KJ269">
        <v>4.5</v>
      </c>
      <c r="KK269">
        <v>0</v>
      </c>
      <c r="KL269">
        <v>4.5</v>
      </c>
      <c r="KM269">
        <v>0</v>
      </c>
      <c r="KN269">
        <v>2</v>
      </c>
      <c r="KO269">
        <v>0</v>
      </c>
      <c r="KP269">
        <v>0</v>
      </c>
      <c r="KQ269">
        <v>0.5</v>
      </c>
      <c r="KR269">
        <v>0.5</v>
      </c>
      <c r="KS269">
        <v>0</v>
      </c>
      <c r="KT269">
        <v>4.2</v>
      </c>
      <c r="KU269">
        <v>0</v>
      </c>
      <c r="KV269">
        <v>0</v>
      </c>
      <c r="KW269">
        <v>1.2</v>
      </c>
      <c r="KX269">
        <v>2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3</v>
      </c>
      <c r="LI269">
        <v>0.5</v>
      </c>
      <c r="LJ269">
        <v>0</v>
      </c>
      <c r="LK269">
        <v>8</v>
      </c>
      <c r="LL269">
        <v>4</v>
      </c>
      <c r="LM269">
        <v>9</v>
      </c>
      <c r="LN269">
        <v>1</v>
      </c>
      <c r="LO269">
        <v>3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1.8</v>
      </c>
      <c r="LX269">
        <v>1.8</v>
      </c>
      <c r="LY269">
        <v>2.1</v>
      </c>
      <c r="LZ269">
        <v>2.1</v>
      </c>
      <c r="MA269">
        <v>0</v>
      </c>
      <c r="MB269">
        <v>2.5</v>
      </c>
      <c r="MC269">
        <v>0</v>
      </c>
      <c r="MD269">
        <v>4.5</v>
      </c>
      <c r="ME269">
        <v>6</v>
      </c>
      <c r="MF269">
        <v>6</v>
      </c>
      <c r="MI269">
        <v>0</v>
      </c>
      <c r="MJ269">
        <v>0</v>
      </c>
      <c r="ML269">
        <v>0</v>
      </c>
      <c r="MM269">
        <v>420</v>
      </c>
      <c r="MN269">
        <v>210</v>
      </c>
      <c r="MO269">
        <v>264</v>
      </c>
      <c r="NU269">
        <v>0.15</v>
      </c>
      <c r="NV269">
        <v>0.25</v>
      </c>
      <c r="NW269">
        <v>0.3</v>
      </c>
      <c r="NX269">
        <v>0.2</v>
      </c>
      <c r="NY269">
        <v>0.2</v>
      </c>
      <c r="NZ269">
        <v>0.2</v>
      </c>
      <c r="OE269" t="s">
        <v>4977</v>
      </c>
      <c r="OF269" t="s">
        <v>4312</v>
      </c>
      <c r="OG269" t="s">
        <v>4313</v>
      </c>
      <c r="OH269" t="s">
        <v>4043</v>
      </c>
      <c r="OI269" t="s">
        <v>4977</v>
      </c>
      <c r="OJ269" t="s">
        <v>4976</v>
      </c>
      <c r="OK269">
        <v>61</v>
      </c>
      <c r="OL269">
        <v>61</v>
      </c>
      <c r="OM269" t="s">
        <v>4312</v>
      </c>
      <c r="ON269">
        <v>1</v>
      </c>
      <c r="OO269">
        <v>2088</v>
      </c>
      <c r="OP269">
        <v>61</v>
      </c>
      <c r="OQ269">
        <v>61</v>
      </c>
      <c r="OR269" t="s">
        <v>4313</v>
      </c>
      <c r="OS269">
        <v>1</v>
      </c>
      <c r="OT269">
        <v>2100</v>
      </c>
      <c r="OU269">
        <v>65</v>
      </c>
      <c r="OV269">
        <v>65</v>
      </c>
      <c r="OW269" t="s">
        <v>4043</v>
      </c>
      <c r="OX269">
        <v>2</v>
      </c>
      <c r="OY269">
        <v>44950</v>
      </c>
      <c r="OZ269">
        <v>51</v>
      </c>
      <c r="PA269">
        <v>51</v>
      </c>
      <c r="PB269" t="s">
        <v>4977</v>
      </c>
      <c r="PC269">
        <v>2</v>
      </c>
      <c r="PD269">
        <v>2135</v>
      </c>
      <c r="PF269">
        <v>454</v>
      </c>
      <c r="PG269">
        <v>35</v>
      </c>
      <c r="PH269">
        <v>433</v>
      </c>
      <c r="PI269">
        <v>0</v>
      </c>
      <c r="PJ269">
        <v>79.3</v>
      </c>
      <c r="PK269">
        <v>2606</v>
      </c>
      <c r="PL269">
        <v>1265.4</v>
      </c>
      <c r="PM269">
        <v>1180.6</v>
      </c>
      <c r="PN269">
        <v>103.2</v>
      </c>
      <c r="PO269">
        <v>11</v>
      </c>
      <c r="PP269">
        <v>12</v>
      </c>
      <c r="PQ269">
        <v>3</v>
      </c>
      <c r="PR269">
        <v>5</v>
      </c>
      <c r="PS269">
        <v>0</v>
      </c>
      <c r="PT269">
        <v>248</v>
      </c>
      <c r="PU269">
        <v>10</v>
      </c>
      <c r="PV269" t="s">
        <v>4072</v>
      </c>
      <c r="PW269" t="s">
        <v>4072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-1</v>
      </c>
      <c r="QF269">
        <v>1</v>
      </c>
      <c r="QG269">
        <v>0</v>
      </c>
      <c r="QH269">
        <v>5</v>
      </c>
      <c r="QI269">
        <v>5</v>
      </c>
      <c r="QJ269">
        <v>5</v>
      </c>
      <c r="QK269">
        <v>211</v>
      </c>
      <c r="QL269">
        <v>418</v>
      </c>
      <c r="QM269">
        <v>7.5</v>
      </c>
      <c r="QN269">
        <v>1540.9</v>
      </c>
      <c r="QO269" t="s">
        <v>3054</v>
      </c>
      <c r="QP269" t="s">
        <v>513</v>
      </c>
      <c r="QQ269">
        <v>0</v>
      </c>
      <c r="QR269" t="s">
        <v>860</v>
      </c>
      <c r="QS269">
        <v>40</v>
      </c>
      <c r="QT269">
        <v>50</v>
      </c>
    </row>
    <row r="270" spans="1:462">
      <c r="A270" t="s">
        <v>3304</v>
      </c>
      <c r="B270" t="s">
        <v>564</v>
      </c>
      <c r="C270" t="s">
        <v>509</v>
      </c>
      <c r="D270" t="s">
        <v>2064</v>
      </c>
      <c r="E270" t="s">
        <v>4036</v>
      </c>
      <c r="H270" t="s">
        <v>627</v>
      </c>
      <c r="I270" t="s">
        <v>604</v>
      </c>
      <c r="J270" t="s">
        <v>628</v>
      </c>
      <c r="K270" t="s">
        <v>606</v>
      </c>
      <c r="L270" t="s">
        <v>629</v>
      </c>
      <c r="M270" t="s">
        <v>512</v>
      </c>
      <c r="O270" t="s">
        <v>513</v>
      </c>
      <c r="P270" t="s">
        <v>517</v>
      </c>
      <c r="Q270" t="s">
        <v>3305</v>
      </c>
      <c r="R270" t="s">
        <v>1091</v>
      </c>
      <c r="S270" t="s">
        <v>4037</v>
      </c>
      <c r="T270" t="s">
        <v>570</v>
      </c>
      <c r="U270" t="s">
        <v>571</v>
      </c>
      <c r="V270" t="s">
        <v>1270</v>
      </c>
      <c r="W270" t="s">
        <v>3058</v>
      </c>
      <c r="X270" t="s">
        <v>3306</v>
      </c>
      <c r="Y270" t="s">
        <v>3307</v>
      </c>
      <c r="Z270" t="s">
        <v>650</v>
      </c>
      <c r="AA270" t="s">
        <v>4038</v>
      </c>
      <c r="AB270" t="s">
        <v>4978</v>
      </c>
      <c r="AC270">
        <v>13</v>
      </c>
      <c r="AD270" t="s">
        <v>3303</v>
      </c>
      <c r="AE270">
        <v>5</v>
      </c>
      <c r="AF270">
        <v>6712</v>
      </c>
      <c r="AG270" t="s">
        <v>4979</v>
      </c>
      <c r="AH270">
        <v>1</v>
      </c>
      <c r="AI270" t="s">
        <v>4041</v>
      </c>
      <c r="AK270" t="s">
        <v>4980</v>
      </c>
      <c r="AL270">
        <v>1</v>
      </c>
      <c r="AM270" t="s">
        <v>582</v>
      </c>
      <c r="AO270" t="s">
        <v>4043</v>
      </c>
      <c r="AP270">
        <v>1</v>
      </c>
      <c r="AR270" t="s">
        <v>4981</v>
      </c>
      <c r="AS270">
        <v>1</v>
      </c>
      <c r="AT270">
        <v>52</v>
      </c>
      <c r="AV270" t="s">
        <v>4045</v>
      </c>
      <c r="AW270">
        <v>6.4</v>
      </c>
      <c r="AX270">
        <v>-6</v>
      </c>
      <c r="AY270">
        <v>115</v>
      </c>
      <c r="AZ270">
        <v>97</v>
      </c>
      <c r="BH270">
        <v>115</v>
      </c>
      <c r="BI270">
        <v>18</v>
      </c>
      <c r="BJ270">
        <v>97</v>
      </c>
      <c r="BK270">
        <v>2.5</v>
      </c>
      <c r="BL270">
        <v>230</v>
      </c>
      <c r="BM270">
        <v>-6</v>
      </c>
      <c r="BN270">
        <v>0</v>
      </c>
      <c r="BP270">
        <v>0</v>
      </c>
      <c r="BR270">
        <v>225</v>
      </c>
      <c r="BS270">
        <v>215</v>
      </c>
      <c r="BT270">
        <v>2335</v>
      </c>
      <c r="BU270" t="s">
        <v>4080</v>
      </c>
      <c r="BV270" t="s">
        <v>4080</v>
      </c>
      <c r="BW270" t="s">
        <v>4082</v>
      </c>
      <c r="BX270" t="s">
        <v>4082</v>
      </c>
      <c r="BY270" t="s">
        <v>4199</v>
      </c>
      <c r="BZ270" t="s">
        <v>4199</v>
      </c>
      <c r="CA270" t="s">
        <v>4084</v>
      </c>
      <c r="CB270" t="s">
        <v>4085</v>
      </c>
      <c r="CC270" t="s">
        <v>4053</v>
      </c>
      <c r="CD270" t="s">
        <v>4055</v>
      </c>
      <c r="CE270" t="s">
        <v>4055</v>
      </c>
      <c r="CF270" t="s">
        <v>4055</v>
      </c>
      <c r="CG270" t="s">
        <v>4056</v>
      </c>
      <c r="CI270" t="s">
        <v>4086</v>
      </c>
      <c r="CJ270" t="s">
        <v>4059</v>
      </c>
      <c r="CK270" t="s">
        <v>4060</v>
      </c>
      <c r="CL270" t="s">
        <v>4061</v>
      </c>
      <c r="CM270" t="s">
        <v>4062</v>
      </c>
      <c r="CN270" t="s">
        <v>4055</v>
      </c>
      <c r="CO270" t="s">
        <v>4063</v>
      </c>
      <c r="CP270" t="s">
        <v>4055</v>
      </c>
      <c r="CQ270" t="s">
        <v>4055</v>
      </c>
      <c r="CR270">
        <v>5</v>
      </c>
      <c r="CS270" t="s">
        <v>4055</v>
      </c>
      <c r="CT270" t="s">
        <v>4055</v>
      </c>
      <c r="CU270" t="s">
        <v>4055</v>
      </c>
      <c r="CV270">
        <v>147</v>
      </c>
      <c r="CW270">
        <v>3</v>
      </c>
      <c r="CX270">
        <v>120</v>
      </c>
      <c r="CY270">
        <v>5</v>
      </c>
      <c r="CZ270">
        <v>161</v>
      </c>
      <c r="DA270">
        <v>5</v>
      </c>
      <c r="DB270">
        <v>16980</v>
      </c>
      <c r="DC270">
        <v>500</v>
      </c>
      <c r="DD270">
        <v>390</v>
      </c>
      <c r="DE270">
        <v>2468</v>
      </c>
      <c r="DF270">
        <v>2468</v>
      </c>
      <c r="DG270">
        <v>2481</v>
      </c>
      <c r="DH270">
        <v>3</v>
      </c>
      <c r="DI270" t="s">
        <v>4055</v>
      </c>
      <c r="DJ270" t="s">
        <v>4087</v>
      </c>
      <c r="DK270">
        <v>225</v>
      </c>
      <c r="DL270" t="s">
        <v>4065</v>
      </c>
      <c r="DM270">
        <v>63</v>
      </c>
      <c r="DN270">
        <v>1.36</v>
      </c>
      <c r="DO270">
        <v>1</v>
      </c>
      <c r="DP270">
        <v>2339</v>
      </c>
      <c r="DQ270">
        <v>1326</v>
      </c>
      <c r="DR270" t="s">
        <v>4087</v>
      </c>
      <c r="DS270">
        <v>215</v>
      </c>
      <c r="DT270" t="s">
        <v>4065</v>
      </c>
      <c r="DU270">
        <v>63</v>
      </c>
      <c r="DV270">
        <v>1.36</v>
      </c>
      <c r="DW270">
        <v>1</v>
      </c>
      <c r="DX270">
        <v>2353</v>
      </c>
      <c r="DY270">
        <v>1273</v>
      </c>
      <c r="DZ270" t="s">
        <v>4066</v>
      </c>
      <c r="EA270">
        <v>20</v>
      </c>
      <c r="EB270" t="s">
        <v>4065</v>
      </c>
      <c r="EC270">
        <v>0.8</v>
      </c>
      <c r="ED270">
        <v>2339</v>
      </c>
      <c r="EE270">
        <v>82</v>
      </c>
      <c r="EG270">
        <v>0</v>
      </c>
      <c r="EH270" t="s">
        <v>4065</v>
      </c>
      <c r="EI270">
        <v>0</v>
      </c>
      <c r="EL270" t="s">
        <v>1528</v>
      </c>
      <c r="EM270">
        <v>12</v>
      </c>
      <c r="EN270">
        <v>0.5</v>
      </c>
      <c r="EO270">
        <v>0.96</v>
      </c>
      <c r="EP270">
        <v>2352.1</v>
      </c>
      <c r="EQ270">
        <v>44469.39</v>
      </c>
      <c r="ER270">
        <v>6632.25</v>
      </c>
      <c r="ES270">
        <v>0</v>
      </c>
      <c r="ET270">
        <v>0</v>
      </c>
      <c r="EU270">
        <v>1</v>
      </c>
      <c r="EV270">
        <v>51102</v>
      </c>
      <c r="EW270">
        <v>614</v>
      </c>
      <c r="EX270" t="s">
        <v>4287</v>
      </c>
      <c r="EY270">
        <v>250</v>
      </c>
      <c r="EZ270" t="s">
        <v>4055</v>
      </c>
      <c r="FA270">
        <v>4.2</v>
      </c>
      <c r="FB270">
        <v>1</v>
      </c>
      <c r="FC270">
        <v>1</v>
      </c>
      <c r="FD270">
        <v>2388</v>
      </c>
      <c r="FE270">
        <v>3225</v>
      </c>
      <c r="FF270" t="s">
        <v>4288</v>
      </c>
      <c r="FG270">
        <v>250</v>
      </c>
      <c r="FH270" t="s">
        <v>4055</v>
      </c>
      <c r="FI270">
        <v>4.6</v>
      </c>
      <c r="FJ270">
        <v>2388</v>
      </c>
      <c r="FK270">
        <v>3121</v>
      </c>
      <c r="FL270" t="s">
        <v>4069</v>
      </c>
      <c r="FM270" t="s">
        <v>4055</v>
      </c>
      <c r="FN270" t="s">
        <v>4055</v>
      </c>
      <c r="FO270" t="s">
        <v>4055</v>
      </c>
      <c r="FP270">
        <v>2388</v>
      </c>
      <c r="FQ270">
        <v>330</v>
      </c>
      <c r="FR270" t="s">
        <v>4090</v>
      </c>
      <c r="FS270">
        <v>254</v>
      </c>
      <c r="FT270" t="s">
        <v>4055</v>
      </c>
      <c r="FU270">
        <v>0.4</v>
      </c>
      <c r="FV270">
        <v>2388</v>
      </c>
      <c r="FW270">
        <v>270</v>
      </c>
      <c r="FX270" t="s">
        <v>4070</v>
      </c>
      <c r="FY270">
        <v>5</v>
      </c>
      <c r="FZ270" t="s">
        <v>4055</v>
      </c>
      <c r="GA270" t="s">
        <v>4055</v>
      </c>
      <c r="GB270">
        <v>2388</v>
      </c>
      <c r="GC270">
        <v>26</v>
      </c>
      <c r="GD270">
        <v>6972</v>
      </c>
      <c r="GE270" t="s">
        <v>4981</v>
      </c>
      <c r="GF270" t="s">
        <v>4055</v>
      </c>
      <c r="GG270" t="s">
        <v>4055</v>
      </c>
      <c r="GH270" t="s">
        <v>4055</v>
      </c>
      <c r="GI270" t="s">
        <v>4071</v>
      </c>
      <c r="GJ270" t="s">
        <v>4055</v>
      </c>
      <c r="GK270" t="s">
        <v>4055</v>
      </c>
      <c r="GL270" t="s">
        <v>4055</v>
      </c>
      <c r="GM270" t="s">
        <v>4055</v>
      </c>
      <c r="GQ270">
        <v>0</v>
      </c>
      <c r="GV270">
        <v>9.199999999999999</v>
      </c>
      <c r="GW270">
        <v>11.8</v>
      </c>
      <c r="GX270">
        <v>0.5</v>
      </c>
      <c r="GY270">
        <v>216</v>
      </c>
      <c r="GZ270">
        <v>3</v>
      </c>
      <c r="HA270">
        <v>280</v>
      </c>
      <c r="HB270">
        <v>3</v>
      </c>
      <c r="HC270">
        <v>2388</v>
      </c>
      <c r="HD270">
        <v>4</v>
      </c>
      <c r="HE270" t="s">
        <v>4071</v>
      </c>
      <c r="HG270" t="s">
        <v>549</v>
      </c>
      <c r="HL270">
        <v>4</v>
      </c>
      <c r="HM270">
        <v>20</v>
      </c>
      <c r="HN270">
        <v>2</v>
      </c>
      <c r="HO270">
        <v>1</v>
      </c>
      <c r="HP270">
        <v>0</v>
      </c>
      <c r="HQ270">
        <v>0</v>
      </c>
      <c r="HR270">
        <v>2</v>
      </c>
      <c r="HS270">
        <v>2335</v>
      </c>
      <c r="HT270">
        <v>5</v>
      </c>
      <c r="HU270">
        <v>1</v>
      </c>
      <c r="HV270">
        <v>5</v>
      </c>
      <c r="HW270">
        <v>0</v>
      </c>
      <c r="HX270">
        <v>1</v>
      </c>
      <c r="HY270">
        <v>0</v>
      </c>
      <c r="HZ270">
        <v>63</v>
      </c>
      <c r="IA270">
        <v>2339</v>
      </c>
      <c r="IB270">
        <v>2353</v>
      </c>
      <c r="ID270">
        <v>2388</v>
      </c>
      <c r="IE270">
        <v>2388</v>
      </c>
      <c r="IF270">
        <v>225</v>
      </c>
      <c r="IG270">
        <v>215</v>
      </c>
      <c r="IH270">
        <v>280</v>
      </c>
      <c r="II270">
        <v>1</v>
      </c>
      <c r="IJ270">
        <v>5</v>
      </c>
      <c r="IK270">
        <v>0</v>
      </c>
      <c r="IL270">
        <v>0</v>
      </c>
      <c r="IM270">
        <v>0</v>
      </c>
      <c r="IN270">
        <v>270</v>
      </c>
      <c r="IO270">
        <v>0</v>
      </c>
      <c r="IP270">
        <v>180</v>
      </c>
      <c r="IQ270">
        <v>0</v>
      </c>
      <c r="IR270">
        <v>330</v>
      </c>
      <c r="IS270">
        <v>0</v>
      </c>
      <c r="IT270">
        <v>90</v>
      </c>
      <c r="IU270">
        <v>0</v>
      </c>
      <c r="IV270">
        <v>6.4</v>
      </c>
      <c r="IW270">
        <v>-6</v>
      </c>
      <c r="IX270">
        <v>115</v>
      </c>
      <c r="IY270">
        <v>97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452</v>
      </c>
      <c r="JJ270">
        <v>422</v>
      </c>
      <c r="JK270">
        <v>320</v>
      </c>
      <c r="JL270">
        <v>418</v>
      </c>
      <c r="JM270">
        <v>320</v>
      </c>
      <c r="JN270">
        <v>220</v>
      </c>
      <c r="JO270">
        <v>286</v>
      </c>
      <c r="JP270">
        <v>170</v>
      </c>
      <c r="JQ270">
        <v>220</v>
      </c>
      <c r="JR270">
        <v>340</v>
      </c>
      <c r="JS270">
        <v>245</v>
      </c>
      <c r="JT270">
        <v>0</v>
      </c>
      <c r="JU270">
        <v>0</v>
      </c>
      <c r="JV270">
        <v>300</v>
      </c>
      <c r="JW270">
        <v>290</v>
      </c>
      <c r="JX270">
        <v>298</v>
      </c>
      <c r="JY270">
        <v>290</v>
      </c>
      <c r="JZ270">
        <v>0.5</v>
      </c>
      <c r="KA270">
        <v>0.2</v>
      </c>
      <c r="KB270">
        <v>0.4</v>
      </c>
      <c r="KC270">
        <v>0.42</v>
      </c>
      <c r="KD270">
        <v>0.28</v>
      </c>
      <c r="KE270">
        <v>0.5</v>
      </c>
      <c r="KF270">
        <v>0.18</v>
      </c>
      <c r="KG270">
        <v>0.11</v>
      </c>
      <c r="KH270">
        <v>4.5</v>
      </c>
      <c r="KI270">
        <v>1</v>
      </c>
      <c r="KJ270">
        <v>4.5</v>
      </c>
      <c r="KK270">
        <v>0</v>
      </c>
      <c r="KL270">
        <v>4.5</v>
      </c>
      <c r="KM270">
        <v>0</v>
      </c>
      <c r="KN270">
        <v>3</v>
      </c>
      <c r="KO270">
        <v>0</v>
      </c>
      <c r="KP270">
        <v>0</v>
      </c>
      <c r="KQ270">
        <v>0.5</v>
      </c>
      <c r="KR270">
        <v>0.5</v>
      </c>
      <c r="KS270">
        <v>0</v>
      </c>
      <c r="KT270">
        <v>2.5</v>
      </c>
      <c r="KU270">
        <v>0</v>
      </c>
      <c r="KV270">
        <v>0</v>
      </c>
      <c r="KW270">
        <v>1.2</v>
      </c>
      <c r="KX270">
        <v>1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3</v>
      </c>
      <c r="LI270">
        <v>0.5</v>
      </c>
      <c r="LJ270">
        <v>0</v>
      </c>
      <c r="LK270">
        <v>8</v>
      </c>
      <c r="LL270">
        <v>10</v>
      </c>
      <c r="LM270">
        <v>11</v>
      </c>
      <c r="LN270">
        <v>3</v>
      </c>
      <c r="LO270">
        <v>3</v>
      </c>
      <c r="LP270">
        <v>0</v>
      </c>
      <c r="LQ270">
        <v>0</v>
      </c>
      <c r="LR270">
        <v>0</v>
      </c>
      <c r="LS270">
        <v>1</v>
      </c>
      <c r="LT270">
        <v>0</v>
      </c>
      <c r="LU270">
        <v>0</v>
      </c>
      <c r="LV270">
        <v>0</v>
      </c>
      <c r="LW270">
        <v>1.8</v>
      </c>
      <c r="LX270">
        <v>1.8</v>
      </c>
      <c r="LY270">
        <v>2.1</v>
      </c>
      <c r="LZ270">
        <v>2.1</v>
      </c>
      <c r="MA270">
        <v>0</v>
      </c>
      <c r="MB270">
        <v>8</v>
      </c>
      <c r="MC270">
        <v>0</v>
      </c>
      <c r="MD270">
        <v>3.5</v>
      </c>
      <c r="ME270">
        <v>4.5</v>
      </c>
      <c r="MF270">
        <v>4.5</v>
      </c>
      <c r="MG270">
        <v>20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484</v>
      </c>
      <c r="MN270">
        <v>215</v>
      </c>
      <c r="MO270">
        <v>286</v>
      </c>
      <c r="NU270">
        <v>0.15</v>
      </c>
      <c r="NV270">
        <v>0.2</v>
      </c>
      <c r="NW270">
        <v>0.2</v>
      </c>
      <c r="NX270">
        <v>0.2</v>
      </c>
      <c r="NY270">
        <v>0.2</v>
      </c>
      <c r="NZ270">
        <v>0.2</v>
      </c>
      <c r="OE270" t="s">
        <v>4981</v>
      </c>
      <c r="OF270" t="s">
        <v>4979</v>
      </c>
      <c r="OG270" t="s">
        <v>4980</v>
      </c>
      <c r="OH270" t="s">
        <v>4043</v>
      </c>
      <c r="OI270" t="s">
        <v>4981</v>
      </c>
      <c r="OJ270" t="s">
        <v>4978</v>
      </c>
      <c r="OK270">
        <v>61</v>
      </c>
      <c r="OL270">
        <v>61</v>
      </c>
      <c r="OM270" t="s">
        <v>4979</v>
      </c>
      <c r="ON270">
        <v>1</v>
      </c>
      <c r="OO270">
        <v>2339</v>
      </c>
      <c r="OP270">
        <v>61</v>
      </c>
      <c r="OQ270">
        <v>61</v>
      </c>
      <c r="OR270" t="s">
        <v>4980</v>
      </c>
      <c r="OS270">
        <v>1</v>
      </c>
      <c r="OT270">
        <v>2353</v>
      </c>
      <c r="OU270">
        <v>65</v>
      </c>
      <c r="OV270">
        <v>65</v>
      </c>
      <c r="OW270" t="s">
        <v>4043</v>
      </c>
      <c r="OX270">
        <v>2</v>
      </c>
      <c r="OY270">
        <v>51102</v>
      </c>
      <c r="OZ270">
        <v>51</v>
      </c>
      <c r="PA270">
        <v>52</v>
      </c>
      <c r="PB270" t="s">
        <v>4981</v>
      </c>
      <c r="PC270">
        <v>2</v>
      </c>
      <c r="PD270">
        <v>2388</v>
      </c>
      <c r="PF270">
        <v>567</v>
      </c>
      <c r="PG270">
        <v>35</v>
      </c>
      <c r="PH270">
        <v>541</v>
      </c>
      <c r="PI270">
        <v>0</v>
      </c>
      <c r="PJ270">
        <v>138.3</v>
      </c>
      <c r="PK270">
        <v>2928</v>
      </c>
      <c r="PL270">
        <v>1350.4</v>
      </c>
      <c r="PM270">
        <v>1307</v>
      </c>
      <c r="PN270">
        <v>113</v>
      </c>
      <c r="PO270">
        <v>10.7</v>
      </c>
      <c r="PP270">
        <v>12</v>
      </c>
      <c r="PQ270">
        <v>4</v>
      </c>
      <c r="PR270">
        <v>6</v>
      </c>
      <c r="PS270">
        <v>0</v>
      </c>
      <c r="PT270">
        <v>280</v>
      </c>
      <c r="PU270">
        <v>15</v>
      </c>
      <c r="PV270" t="s">
        <v>4072</v>
      </c>
      <c r="PW270" t="s">
        <v>4072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-1</v>
      </c>
      <c r="QF270">
        <v>1</v>
      </c>
      <c r="QG270">
        <v>0</v>
      </c>
      <c r="QH270">
        <v>5</v>
      </c>
      <c r="QI270">
        <v>5</v>
      </c>
      <c r="QJ270">
        <v>5</v>
      </c>
      <c r="QK270">
        <v>243</v>
      </c>
      <c r="QL270">
        <v>482</v>
      </c>
      <c r="QM270">
        <v>7.5</v>
      </c>
      <c r="QN270">
        <v>1623.8</v>
      </c>
      <c r="QO270" t="s">
        <v>3054</v>
      </c>
      <c r="QP270" t="s">
        <v>513</v>
      </c>
      <c r="QQ270">
        <v>0</v>
      </c>
      <c r="QR270" t="s">
        <v>704</v>
      </c>
      <c r="QS270">
        <v>40</v>
      </c>
      <c r="QT270">
        <v>50</v>
      </c>
    </row>
    <row r="271" spans="1:462">
      <c r="A271" t="s">
        <v>3313</v>
      </c>
      <c r="B271" t="s">
        <v>564</v>
      </c>
      <c r="C271" t="s">
        <v>509</v>
      </c>
      <c r="D271" t="s">
        <v>4155</v>
      </c>
      <c r="E271" t="s">
        <v>4036</v>
      </c>
      <c r="H271" t="s">
        <v>604</v>
      </c>
      <c r="J271" t="s">
        <v>628</v>
      </c>
      <c r="K271" t="s">
        <v>606</v>
      </c>
      <c r="L271" t="s">
        <v>629</v>
      </c>
      <c r="M271" t="s">
        <v>512</v>
      </c>
      <c r="O271" t="s">
        <v>513</v>
      </c>
      <c r="P271" t="s">
        <v>517</v>
      </c>
      <c r="Q271" t="s">
        <v>1553</v>
      </c>
      <c r="R271" t="s">
        <v>1554</v>
      </c>
      <c r="S271" t="s">
        <v>4170</v>
      </c>
      <c r="T271" t="s">
        <v>1482</v>
      </c>
      <c r="U271" t="s">
        <v>1483</v>
      </c>
      <c r="V271" t="s">
        <v>3314</v>
      </c>
      <c r="W271" t="s">
        <v>3048</v>
      </c>
      <c r="X271" t="s">
        <v>3315</v>
      </c>
      <c r="Y271" t="s">
        <v>3316</v>
      </c>
      <c r="Z271" t="s">
        <v>541</v>
      </c>
      <c r="AA271" t="s">
        <v>3054</v>
      </c>
      <c r="AB271" t="s">
        <v>4982</v>
      </c>
      <c r="AC271">
        <v>13</v>
      </c>
      <c r="AD271" t="s">
        <v>3312</v>
      </c>
      <c r="AE271">
        <v>5</v>
      </c>
      <c r="AF271">
        <v>3419</v>
      </c>
      <c r="AG271" t="s">
        <v>4455</v>
      </c>
      <c r="AH271">
        <v>1</v>
      </c>
      <c r="AI271" t="s">
        <v>4041</v>
      </c>
      <c r="AK271" t="s">
        <v>4456</v>
      </c>
      <c r="AL271">
        <v>1</v>
      </c>
      <c r="AM271" t="s">
        <v>582</v>
      </c>
      <c r="AO271" t="s">
        <v>4426</v>
      </c>
      <c r="AP271">
        <v>1</v>
      </c>
      <c r="AR271" t="s">
        <v>4983</v>
      </c>
      <c r="AS271">
        <v>1</v>
      </c>
      <c r="AT271">
        <v>51</v>
      </c>
      <c r="AV271" t="s">
        <v>4078</v>
      </c>
      <c r="AW271">
        <v>6.4</v>
      </c>
      <c r="AX271">
        <v>-6</v>
      </c>
      <c r="AY271">
        <v>83.5</v>
      </c>
      <c r="AZ271">
        <v>61</v>
      </c>
      <c r="BH271">
        <v>83.5</v>
      </c>
      <c r="BI271">
        <v>22.5</v>
      </c>
      <c r="BJ271">
        <v>61</v>
      </c>
      <c r="BK271">
        <v>3.5</v>
      </c>
      <c r="BL271">
        <v>167</v>
      </c>
      <c r="BM271">
        <v>-6</v>
      </c>
      <c r="BN271">
        <v>0</v>
      </c>
      <c r="BP271">
        <v>0</v>
      </c>
      <c r="BR271">
        <v>160</v>
      </c>
      <c r="BS271">
        <v>150</v>
      </c>
      <c r="BT271">
        <v>1750</v>
      </c>
      <c r="BU271" t="s">
        <v>4355</v>
      </c>
      <c r="BV271" t="s">
        <v>4046</v>
      </c>
      <c r="BW271" t="s">
        <v>4368</v>
      </c>
      <c r="BX271" t="s">
        <v>4048</v>
      </c>
      <c r="BY271" t="s">
        <v>4369</v>
      </c>
      <c r="BZ271" t="s">
        <v>4369</v>
      </c>
      <c r="CA271" t="s">
        <v>4370</v>
      </c>
      <c r="CB271" t="s">
        <v>4371</v>
      </c>
      <c r="CC271" t="s">
        <v>4053</v>
      </c>
      <c r="CD271" t="s">
        <v>4372</v>
      </c>
      <c r="CE271" t="s">
        <v>4055</v>
      </c>
      <c r="CF271" t="s">
        <v>4055</v>
      </c>
      <c r="CG271" t="s">
        <v>4056</v>
      </c>
      <c r="CH271" t="s">
        <v>4145</v>
      </c>
      <c r="CI271" t="s">
        <v>4058</v>
      </c>
      <c r="CJ271" t="s">
        <v>4059</v>
      </c>
      <c r="CK271" t="s">
        <v>4060</v>
      </c>
      <c r="CL271" t="s">
        <v>4061</v>
      </c>
      <c r="CM271" t="s">
        <v>4062</v>
      </c>
      <c r="CN271" t="s">
        <v>4055</v>
      </c>
      <c r="CO271" t="s">
        <v>4063</v>
      </c>
      <c r="CP271" t="s">
        <v>4055</v>
      </c>
      <c r="CQ271" t="s">
        <v>4055</v>
      </c>
      <c r="CR271">
        <v>5</v>
      </c>
      <c r="CS271" t="s">
        <v>4055</v>
      </c>
      <c r="CT271" t="s">
        <v>4055</v>
      </c>
      <c r="CU271" t="s">
        <v>4055</v>
      </c>
      <c r="CV271">
        <v>110</v>
      </c>
      <c r="CW271">
        <v>3</v>
      </c>
      <c r="CX271">
        <v>66</v>
      </c>
      <c r="CY271">
        <v>5</v>
      </c>
      <c r="CZ271">
        <v>119</v>
      </c>
      <c r="DA271">
        <v>5</v>
      </c>
      <c r="DB271">
        <v>8620</v>
      </c>
      <c r="DC271">
        <v>250</v>
      </c>
      <c r="DD271">
        <v>280</v>
      </c>
      <c r="DE271">
        <v>1845</v>
      </c>
      <c r="DF271">
        <v>1845</v>
      </c>
      <c r="DG271">
        <v>1866</v>
      </c>
      <c r="DH271" t="s">
        <v>4055</v>
      </c>
      <c r="DI271" t="s">
        <v>4055</v>
      </c>
      <c r="DJ271" t="s">
        <v>4100</v>
      </c>
      <c r="DK271">
        <v>160</v>
      </c>
      <c r="DL271" t="s">
        <v>4101</v>
      </c>
      <c r="DM271">
        <v>63</v>
      </c>
      <c r="DN271">
        <v>0.84</v>
      </c>
      <c r="DO271">
        <v>1</v>
      </c>
      <c r="DP271">
        <v>1753</v>
      </c>
      <c r="DQ271">
        <v>512</v>
      </c>
      <c r="DR271" t="s">
        <v>4100</v>
      </c>
      <c r="DS271">
        <v>150</v>
      </c>
      <c r="DT271" t="s">
        <v>4101</v>
      </c>
      <c r="DU271">
        <v>63</v>
      </c>
      <c r="DV271">
        <v>0.84</v>
      </c>
      <c r="DW271">
        <v>1</v>
      </c>
      <c r="DX271">
        <v>1760</v>
      </c>
      <c r="DY271">
        <v>482</v>
      </c>
      <c r="DZ271" t="s">
        <v>4066</v>
      </c>
      <c r="EA271">
        <v>33</v>
      </c>
      <c r="EB271" t="s">
        <v>4065</v>
      </c>
      <c r="EC271">
        <v>0.4</v>
      </c>
      <c r="ED271">
        <v>1753</v>
      </c>
      <c r="EE271">
        <v>51</v>
      </c>
      <c r="EF271" t="s">
        <v>4066</v>
      </c>
      <c r="EG271">
        <v>33</v>
      </c>
      <c r="EH271" t="s">
        <v>4065</v>
      </c>
      <c r="EI271">
        <v>0.4</v>
      </c>
      <c r="EJ271">
        <v>1760</v>
      </c>
      <c r="EK271">
        <v>51</v>
      </c>
      <c r="EL271" t="s">
        <v>4429</v>
      </c>
      <c r="EM271">
        <v>12</v>
      </c>
      <c r="EN271">
        <v>0.5</v>
      </c>
      <c r="EO271">
        <v>0.9</v>
      </c>
      <c r="EP271">
        <v>1760.56</v>
      </c>
      <c r="EQ271">
        <v>24620.33</v>
      </c>
      <c r="ER271">
        <v>6209.35</v>
      </c>
      <c r="ES271">
        <v>0</v>
      </c>
      <c r="ET271">
        <v>0</v>
      </c>
      <c r="EU271">
        <v>1</v>
      </c>
      <c r="EV271">
        <v>30830</v>
      </c>
      <c r="EW271">
        <v>370</v>
      </c>
      <c r="EX271" t="s">
        <v>4287</v>
      </c>
      <c r="EY271">
        <v>180</v>
      </c>
      <c r="EZ271" t="s">
        <v>4055</v>
      </c>
      <c r="FA271">
        <v>5.8</v>
      </c>
      <c r="FB271">
        <v>1</v>
      </c>
      <c r="FC271">
        <v>1</v>
      </c>
      <c r="FD271">
        <v>1797</v>
      </c>
      <c r="FE271">
        <v>2134</v>
      </c>
      <c r="FF271" t="s">
        <v>4288</v>
      </c>
      <c r="FG271">
        <v>180</v>
      </c>
      <c r="FH271" t="s">
        <v>4055</v>
      </c>
      <c r="FI271">
        <v>3.3</v>
      </c>
      <c r="FJ271">
        <v>1797</v>
      </c>
      <c r="FK271">
        <v>1309</v>
      </c>
      <c r="FL271" t="s">
        <v>4069</v>
      </c>
      <c r="FM271" t="s">
        <v>4055</v>
      </c>
      <c r="FN271" t="s">
        <v>4055</v>
      </c>
      <c r="FO271" t="s">
        <v>4055</v>
      </c>
      <c r="FP271">
        <v>1797</v>
      </c>
      <c r="FQ271">
        <v>117</v>
      </c>
      <c r="FR271" t="s">
        <v>4090</v>
      </c>
      <c r="FS271">
        <v>184</v>
      </c>
      <c r="FT271" t="s">
        <v>4055</v>
      </c>
      <c r="FU271">
        <v>0.4</v>
      </c>
      <c r="FV271">
        <v>1797</v>
      </c>
      <c r="FW271">
        <v>149</v>
      </c>
      <c r="FX271" t="s">
        <v>4070</v>
      </c>
      <c r="FY271">
        <v>5</v>
      </c>
      <c r="FZ271" t="s">
        <v>4055</v>
      </c>
      <c r="GA271" t="s">
        <v>4055</v>
      </c>
      <c r="GB271">
        <v>1797</v>
      </c>
      <c r="GC271">
        <v>20</v>
      </c>
      <c r="GD271">
        <v>3729</v>
      </c>
      <c r="GE271" t="s">
        <v>4983</v>
      </c>
      <c r="GF271" t="s">
        <v>4055</v>
      </c>
      <c r="GG271" t="s">
        <v>4055</v>
      </c>
      <c r="GH271" t="s">
        <v>4055</v>
      </c>
      <c r="GI271" t="s">
        <v>4071</v>
      </c>
      <c r="GJ271" t="s">
        <v>4055</v>
      </c>
      <c r="GK271" t="s">
        <v>4055</v>
      </c>
      <c r="GL271" t="s">
        <v>4055</v>
      </c>
      <c r="GM271" t="s">
        <v>4055</v>
      </c>
      <c r="GQ271">
        <v>0</v>
      </c>
      <c r="GV271">
        <v>9.5</v>
      </c>
      <c r="GW271">
        <v>11.5</v>
      </c>
      <c r="GX271">
        <v>0.5</v>
      </c>
      <c r="GY271">
        <v>156</v>
      </c>
      <c r="GZ271">
        <v>3</v>
      </c>
      <c r="HA271">
        <v>200</v>
      </c>
      <c r="HB271">
        <v>3</v>
      </c>
      <c r="HC271">
        <v>1797</v>
      </c>
      <c r="HD271">
        <v>4</v>
      </c>
      <c r="HE271" t="s">
        <v>4071</v>
      </c>
      <c r="HG271" t="s">
        <v>549</v>
      </c>
      <c r="HL271">
        <v>4</v>
      </c>
      <c r="HM271">
        <v>15</v>
      </c>
      <c r="HN271">
        <v>6</v>
      </c>
      <c r="HO271">
        <v>1</v>
      </c>
      <c r="HP271">
        <v>0</v>
      </c>
      <c r="HQ271">
        <v>0</v>
      </c>
      <c r="HR271">
        <v>3</v>
      </c>
      <c r="HS271">
        <v>1750</v>
      </c>
      <c r="HT271">
        <v>5</v>
      </c>
      <c r="HU271">
        <v>1</v>
      </c>
      <c r="HV271">
        <v>5</v>
      </c>
      <c r="HW271">
        <v>0</v>
      </c>
      <c r="HX271">
        <v>1</v>
      </c>
      <c r="HY271">
        <v>0</v>
      </c>
      <c r="HZ271">
        <v>63</v>
      </c>
      <c r="IA271">
        <v>1753</v>
      </c>
      <c r="IB271">
        <v>1760</v>
      </c>
      <c r="ID271">
        <v>1797</v>
      </c>
      <c r="IE271">
        <v>1797</v>
      </c>
      <c r="IF271">
        <v>160</v>
      </c>
      <c r="IG271">
        <v>150</v>
      </c>
      <c r="IH271">
        <v>200</v>
      </c>
      <c r="II271">
        <v>1</v>
      </c>
      <c r="IJ271">
        <v>5</v>
      </c>
      <c r="IK271">
        <v>0</v>
      </c>
      <c r="IL271">
        <v>1</v>
      </c>
      <c r="IM271">
        <v>0</v>
      </c>
      <c r="IN271">
        <v>270</v>
      </c>
      <c r="IO271">
        <v>0</v>
      </c>
      <c r="IP271">
        <v>180</v>
      </c>
      <c r="IQ271">
        <v>0</v>
      </c>
      <c r="IR271">
        <v>330</v>
      </c>
      <c r="IS271">
        <v>0</v>
      </c>
      <c r="IT271">
        <v>90</v>
      </c>
      <c r="IU271">
        <v>0</v>
      </c>
      <c r="IV271">
        <v>6.4</v>
      </c>
      <c r="IW271">
        <v>-6</v>
      </c>
      <c r="IX271">
        <v>83.5</v>
      </c>
      <c r="IY271">
        <v>61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326</v>
      </c>
      <c r="JJ271">
        <v>296</v>
      </c>
      <c r="JK271">
        <v>226</v>
      </c>
      <c r="JL271">
        <v>210</v>
      </c>
      <c r="JM271">
        <v>226</v>
      </c>
      <c r="JN271">
        <v>150</v>
      </c>
      <c r="JO271">
        <v>210</v>
      </c>
      <c r="JP271">
        <v>220</v>
      </c>
      <c r="JQ271">
        <v>265</v>
      </c>
      <c r="JR271">
        <v>345</v>
      </c>
      <c r="JS271">
        <v>280</v>
      </c>
      <c r="JT271">
        <v>0</v>
      </c>
      <c r="JU271">
        <v>0</v>
      </c>
      <c r="JV271">
        <v>335</v>
      </c>
      <c r="JW271">
        <v>337</v>
      </c>
      <c r="JX271">
        <v>340</v>
      </c>
      <c r="JY271">
        <v>310</v>
      </c>
      <c r="JZ271">
        <v>1.5</v>
      </c>
      <c r="KA271">
        <v>0.2</v>
      </c>
      <c r="KB271">
        <v>0.4</v>
      </c>
      <c r="KC271">
        <v>0.42</v>
      </c>
      <c r="KD271">
        <v>0.28</v>
      </c>
      <c r="KE271">
        <v>0.5</v>
      </c>
      <c r="KF271">
        <v>0.17</v>
      </c>
      <c r="KG271">
        <v>0.1</v>
      </c>
      <c r="KH271">
        <v>3.5</v>
      </c>
      <c r="KI271">
        <v>1</v>
      </c>
      <c r="KJ271">
        <v>6.5</v>
      </c>
      <c r="KK271">
        <v>0</v>
      </c>
      <c r="KL271">
        <v>6.5</v>
      </c>
      <c r="KM271">
        <v>0</v>
      </c>
      <c r="KN271">
        <v>1.3</v>
      </c>
      <c r="KO271">
        <v>0</v>
      </c>
      <c r="KP271">
        <v>0</v>
      </c>
      <c r="KQ271">
        <v>0.7</v>
      </c>
      <c r="KR271">
        <v>0.8</v>
      </c>
      <c r="KS271">
        <v>0</v>
      </c>
      <c r="KT271">
        <v>2</v>
      </c>
      <c r="KU271">
        <v>0</v>
      </c>
      <c r="KV271">
        <v>0</v>
      </c>
      <c r="KW271">
        <v>1.2</v>
      </c>
      <c r="KX271">
        <v>2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3</v>
      </c>
      <c r="LI271">
        <v>0.5</v>
      </c>
      <c r="LJ271">
        <v>0</v>
      </c>
      <c r="LK271">
        <v>6</v>
      </c>
      <c r="LL271">
        <v>12</v>
      </c>
      <c r="LM271">
        <v>9</v>
      </c>
      <c r="LN271">
        <v>1</v>
      </c>
      <c r="LO271">
        <v>1</v>
      </c>
      <c r="LP271">
        <v>0</v>
      </c>
      <c r="LQ271">
        <v>0</v>
      </c>
      <c r="LR271">
        <v>0</v>
      </c>
      <c r="LS271">
        <v>1</v>
      </c>
      <c r="LT271">
        <v>0</v>
      </c>
      <c r="LU271">
        <v>0</v>
      </c>
      <c r="LV271">
        <v>0</v>
      </c>
      <c r="LW271">
        <v>2.1</v>
      </c>
      <c r="LX271">
        <v>2.1</v>
      </c>
      <c r="LY271">
        <v>2.1</v>
      </c>
      <c r="LZ271">
        <v>2.1</v>
      </c>
      <c r="MA271">
        <v>0</v>
      </c>
      <c r="MB271">
        <v>8</v>
      </c>
      <c r="MC271">
        <v>0</v>
      </c>
      <c r="MD271">
        <v>10</v>
      </c>
      <c r="ME271">
        <v>10</v>
      </c>
      <c r="MF271">
        <v>10</v>
      </c>
      <c r="MG271">
        <v>20</v>
      </c>
      <c r="MH271">
        <v>20</v>
      </c>
      <c r="MI271">
        <v>0</v>
      </c>
      <c r="MJ271">
        <v>0</v>
      </c>
      <c r="ML271">
        <v>0</v>
      </c>
      <c r="MM271">
        <v>342</v>
      </c>
      <c r="MN271">
        <v>170</v>
      </c>
      <c r="MO271">
        <v>220</v>
      </c>
      <c r="NU271">
        <v>0.15</v>
      </c>
      <c r="NV271">
        <v>0.2</v>
      </c>
      <c r="NW271">
        <v>0.2</v>
      </c>
      <c r="NX271">
        <v>0.2</v>
      </c>
      <c r="NY271">
        <v>0.2</v>
      </c>
      <c r="NZ271">
        <v>0.2</v>
      </c>
      <c r="OE271" t="s">
        <v>4983</v>
      </c>
      <c r="OF271" t="s">
        <v>4455</v>
      </c>
      <c r="OG271" t="s">
        <v>4456</v>
      </c>
      <c r="OH271" t="s">
        <v>4426</v>
      </c>
      <c r="OI271" t="s">
        <v>4983</v>
      </c>
      <c r="OJ271" t="s">
        <v>4982</v>
      </c>
      <c r="OK271">
        <v>61</v>
      </c>
      <c r="OL271">
        <v>61</v>
      </c>
      <c r="OM271" t="s">
        <v>4455</v>
      </c>
      <c r="ON271">
        <v>3</v>
      </c>
      <c r="OO271">
        <v>1753</v>
      </c>
      <c r="OP271">
        <v>61</v>
      </c>
      <c r="OQ271">
        <v>61</v>
      </c>
      <c r="OR271" t="s">
        <v>4456</v>
      </c>
      <c r="OS271">
        <v>3</v>
      </c>
      <c r="OT271">
        <v>1760</v>
      </c>
      <c r="OU271">
        <v>65</v>
      </c>
      <c r="OV271">
        <v>65</v>
      </c>
      <c r="OW271" t="s">
        <v>4426</v>
      </c>
      <c r="OX271">
        <v>1</v>
      </c>
      <c r="OY271">
        <v>30830</v>
      </c>
      <c r="OZ271">
        <v>51</v>
      </c>
      <c r="PA271">
        <v>51</v>
      </c>
      <c r="PB271" t="s">
        <v>4983</v>
      </c>
      <c r="PC271">
        <v>2</v>
      </c>
      <c r="PD271">
        <v>1797</v>
      </c>
      <c r="PF271">
        <v>292</v>
      </c>
      <c r="PG271">
        <v>29</v>
      </c>
      <c r="PH271">
        <v>274</v>
      </c>
      <c r="PI271">
        <v>29</v>
      </c>
      <c r="PJ271">
        <v>65</v>
      </c>
      <c r="PK271">
        <v>2049</v>
      </c>
      <c r="PL271">
        <v>1187.4</v>
      </c>
      <c r="PM271">
        <v>728.5</v>
      </c>
      <c r="PN271">
        <v>82.7</v>
      </c>
      <c r="PO271">
        <v>11</v>
      </c>
      <c r="PP271">
        <v>12</v>
      </c>
      <c r="PQ271">
        <v>2</v>
      </c>
      <c r="PR271">
        <v>2</v>
      </c>
      <c r="PS271">
        <v>6</v>
      </c>
      <c r="PT271">
        <v>200</v>
      </c>
      <c r="PU271">
        <v>10</v>
      </c>
      <c r="PV271" t="s">
        <v>4072</v>
      </c>
      <c r="PW271" t="s">
        <v>4072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-1</v>
      </c>
      <c r="QF271">
        <v>1</v>
      </c>
      <c r="QG271">
        <v>0</v>
      </c>
      <c r="QH271">
        <v>5</v>
      </c>
      <c r="QI271">
        <v>5</v>
      </c>
      <c r="QJ271">
        <v>5</v>
      </c>
      <c r="QK271">
        <v>157</v>
      </c>
      <c r="QL271">
        <v>360</v>
      </c>
      <c r="QM271">
        <v>7.5</v>
      </c>
      <c r="QN271">
        <v>1204.3</v>
      </c>
      <c r="QO271" t="s">
        <v>3054</v>
      </c>
      <c r="QP271" t="s">
        <v>513</v>
      </c>
      <c r="QQ271">
        <v>0</v>
      </c>
      <c r="QR271" t="s">
        <v>540</v>
      </c>
      <c r="QS271">
        <v>30</v>
      </c>
      <c r="QT271">
        <v>40</v>
      </c>
    </row>
    <row r="272" spans="1:462">
      <c r="A272" t="s">
        <v>3323</v>
      </c>
      <c r="B272" t="s">
        <v>897</v>
      </c>
      <c r="C272" t="s">
        <v>509</v>
      </c>
      <c r="D272" t="s">
        <v>2565</v>
      </c>
      <c r="E272" t="s">
        <v>4036</v>
      </c>
      <c r="H272" t="s">
        <v>604</v>
      </c>
      <c r="I272" t="s">
        <v>605</v>
      </c>
      <c r="K272" t="s">
        <v>606</v>
      </c>
      <c r="L272" t="s">
        <v>657</v>
      </c>
      <c r="M272" t="s">
        <v>512</v>
      </c>
      <c r="O272" t="s">
        <v>513</v>
      </c>
      <c r="P272" t="s">
        <v>517</v>
      </c>
      <c r="Q272" t="s">
        <v>1853</v>
      </c>
      <c r="R272" t="s">
        <v>820</v>
      </c>
      <c r="S272" t="s">
        <v>4170</v>
      </c>
      <c r="T272" t="s">
        <v>520</v>
      </c>
      <c r="U272" t="s">
        <v>521</v>
      </c>
      <c r="V272" t="s">
        <v>2435</v>
      </c>
      <c r="W272" t="s">
        <v>3048</v>
      </c>
      <c r="X272" t="s">
        <v>3324</v>
      </c>
      <c r="Y272" t="s">
        <v>3325</v>
      </c>
      <c r="Z272" t="s">
        <v>541</v>
      </c>
      <c r="AA272" t="s">
        <v>4038</v>
      </c>
      <c r="AB272" t="s">
        <v>4984</v>
      </c>
      <c r="AC272">
        <v>14</v>
      </c>
      <c r="AD272" t="s">
        <v>3322</v>
      </c>
      <c r="AE272">
        <v>8</v>
      </c>
      <c r="AF272">
        <v>4041</v>
      </c>
      <c r="AG272" t="s">
        <v>4500</v>
      </c>
      <c r="AH272">
        <v>1</v>
      </c>
      <c r="AI272" t="s">
        <v>4041</v>
      </c>
      <c r="AK272" t="s">
        <v>4501</v>
      </c>
      <c r="AL272">
        <v>1</v>
      </c>
      <c r="AM272" t="s">
        <v>582</v>
      </c>
      <c r="AO272" t="s">
        <v>4353</v>
      </c>
      <c r="AP272">
        <v>1</v>
      </c>
      <c r="AR272" t="s">
        <v>4985</v>
      </c>
      <c r="AS272">
        <v>1</v>
      </c>
      <c r="AT272">
        <v>51</v>
      </c>
      <c r="AV272" t="s">
        <v>4078</v>
      </c>
      <c r="AW272">
        <v>6.4</v>
      </c>
      <c r="AX272">
        <v>-6</v>
      </c>
      <c r="AY272">
        <v>98</v>
      </c>
      <c r="AZ272">
        <v>73</v>
      </c>
      <c r="BH272">
        <v>98</v>
      </c>
      <c r="BI272">
        <v>25</v>
      </c>
      <c r="BJ272">
        <v>73</v>
      </c>
      <c r="BK272">
        <v>3</v>
      </c>
      <c r="BL272">
        <v>196</v>
      </c>
      <c r="BM272">
        <v>-6</v>
      </c>
      <c r="BN272">
        <v>0</v>
      </c>
      <c r="BP272">
        <v>0</v>
      </c>
      <c r="BR272">
        <v>190</v>
      </c>
      <c r="BS272">
        <v>180</v>
      </c>
      <c r="BT272">
        <v>1945</v>
      </c>
      <c r="BU272" t="s">
        <v>4047</v>
      </c>
      <c r="BV272" t="s">
        <v>4096</v>
      </c>
      <c r="BW272" t="s">
        <v>4097</v>
      </c>
      <c r="BX272" t="s">
        <v>4097</v>
      </c>
      <c r="BY272" t="s">
        <v>4050</v>
      </c>
      <c r="BZ272" t="s">
        <v>4050</v>
      </c>
      <c r="CA272" t="s">
        <v>4051</v>
      </c>
      <c r="CB272" t="s">
        <v>4052</v>
      </c>
      <c r="CC272" t="s">
        <v>4053</v>
      </c>
      <c r="CD272" t="s">
        <v>4054</v>
      </c>
      <c r="CE272" t="s">
        <v>4055</v>
      </c>
      <c r="CF272" t="s">
        <v>4055</v>
      </c>
      <c r="CG272" t="s">
        <v>4056</v>
      </c>
      <c r="CH272" t="s">
        <v>4057</v>
      </c>
      <c r="CI272" t="s">
        <v>4058</v>
      </c>
      <c r="CJ272" t="s">
        <v>4059</v>
      </c>
      <c r="CK272" t="s">
        <v>4060</v>
      </c>
      <c r="CL272" t="s">
        <v>4061</v>
      </c>
      <c r="CM272" t="s">
        <v>4062</v>
      </c>
      <c r="CN272" t="s">
        <v>4055</v>
      </c>
      <c r="CO272" t="s">
        <v>4063</v>
      </c>
      <c r="CP272" t="s">
        <v>4055</v>
      </c>
      <c r="CQ272" t="s">
        <v>4055</v>
      </c>
      <c r="CR272">
        <v>5</v>
      </c>
      <c r="CS272" t="s">
        <v>4055</v>
      </c>
      <c r="CT272" t="s">
        <v>4055</v>
      </c>
      <c r="CU272" t="s">
        <v>4055</v>
      </c>
      <c r="CV272">
        <v>127</v>
      </c>
      <c r="CW272">
        <v>3</v>
      </c>
      <c r="CX272">
        <v>81</v>
      </c>
      <c r="CY272">
        <v>5</v>
      </c>
      <c r="CZ272">
        <v>152</v>
      </c>
      <c r="DA272">
        <v>5</v>
      </c>
      <c r="DB272">
        <v>10490</v>
      </c>
      <c r="DC272">
        <v>310</v>
      </c>
      <c r="DD272">
        <v>330</v>
      </c>
      <c r="DE272">
        <v>2045</v>
      </c>
      <c r="DF272">
        <v>2045</v>
      </c>
      <c r="DG272">
        <v>2057</v>
      </c>
      <c r="DH272" t="s">
        <v>4055</v>
      </c>
      <c r="DJ272" t="s">
        <v>4100</v>
      </c>
      <c r="DK272">
        <v>190</v>
      </c>
      <c r="DL272" t="s">
        <v>4101</v>
      </c>
      <c r="DM272">
        <v>63</v>
      </c>
      <c r="DN272">
        <v>0.84</v>
      </c>
      <c r="DO272">
        <v>1</v>
      </c>
      <c r="DP272">
        <v>1948</v>
      </c>
      <c r="DQ272">
        <v>676</v>
      </c>
      <c r="DR272" t="s">
        <v>4100</v>
      </c>
      <c r="DS272">
        <v>180</v>
      </c>
      <c r="DT272" t="s">
        <v>4101</v>
      </c>
      <c r="DU272">
        <v>63</v>
      </c>
      <c r="DV272">
        <v>0.84</v>
      </c>
      <c r="DW272">
        <v>1</v>
      </c>
      <c r="DX272">
        <v>1955</v>
      </c>
      <c r="DY272">
        <v>643</v>
      </c>
      <c r="DZ272" t="s">
        <v>4066</v>
      </c>
      <c r="EA272">
        <v>33</v>
      </c>
      <c r="EB272" t="s">
        <v>4065</v>
      </c>
      <c r="EC272">
        <v>0.4</v>
      </c>
      <c r="ED272">
        <v>1948</v>
      </c>
      <c r="EE272">
        <v>56</v>
      </c>
      <c r="EF272" t="s">
        <v>4066</v>
      </c>
      <c r="EG272">
        <v>33</v>
      </c>
      <c r="EH272" t="s">
        <v>4065</v>
      </c>
      <c r="EI272">
        <v>0.4</v>
      </c>
      <c r="EJ272">
        <v>1955</v>
      </c>
      <c r="EK272">
        <v>57</v>
      </c>
      <c r="EL272" t="s">
        <v>4362</v>
      </c>
      <c r="EM272">
        <v>12</v>
      </c>
      <c r="EN272">
        <v>0.5</v>
      </c>
      <c r="EO272">
        <v>0.77</v>
      </c>
      <c r="EP272">
        <v>1955.56</v>
      </c>
      <c r="EQ272">
        <v>31777.85</v>
      </c>
      <c r="ER272">
        <v>7657.8</v>
      </c>
      <c r="ES272">
        <v>0</v>
      </c>
      <c r="ET272">
        <v>0</v>
      </c>
      <c r="EU272">
        <v>1</v>
      </c>
      <c r="EV272">
        <v>39436</v>
      </c>
      <c r="EW272">
        <v>395</v>
      </c>
      <c r="EX272" t="s">
        <v>4287</v>
      </c>
      <c r="EY272">
        <v>208</v>
      </c>
      <c r="EZ272" t="s">
        <v>4055</v>
      </c>
      <c r="FA272">
        <v>4.8</v>
      </c>
      <c r="FB272">
        <v>1</v>
      </c>
      <c r="FC272">
        <v>1</v>
      </c>
      <c r="FD272">
        <v>1991</v>
      </c>
      <c r="FE272">
        <v>2244</v>
      </c>
      <c r="FF272" t="s">
        <v>4288</v>
      </c>
      <c r="FG272">
        <v>208</v>
      </c>
      <c r="FH272" t="s">
        <v>4055</v>
      </c>
      <c r="FI272">
        <v>4.3</v>
      </c>
      <c r="FJ272">
        <v>1991</v>
      </c>
      <c r="FK272">
        <v>1954</v>
      </c>
      <c r="FL272" t="s">
        <v>4069</v>
      </c>
      <c r="FM272" t="s">
        <v>4055</v>
      </c>
      <c r="FN272" t="s">
        <v>4055</v>
      </c>
      <c r="FO272" t="s">
        <v>4055</v>
      </c>
      <c r="FP272">
        <v>1991</v>
      </c>
      <c r="FQ272">
        <v>207</v>
      </c>
      <c r="FR272" t="s">
        <v>4090</v>
      </c>
      <c r="FS272">
        <v>212</v>
      </c>
      <c r="FT272" t="s">
        <v>4055</v>
      </c>
      <c r="FU272">
        <v>0.4</v>
      </c>
      <c r="FV272">
        <v>1991</v>
      </c>
      <c r="FW272">
        <v>188</v>
      </c>
      <c r="FX272" t="s">
        <v>4070</v>
      </c>
      <c r="FY272">
        <v>5</v>
      </c>
      <c r="FZ272" t="s">
        <v>4055</v>
      </c>
      <c r="GA272" t="s">
        <v>4055</v>
      </c>
      <c r="GB272">
        <v>1991</v>
      </c>
      <c r="GC272">
        <v>22</v>
      </c>
      <c r="GD272">
        <v>4615</v>
      </c>
      <c r="GE272" t="s">
        <v>4985</v>
      </c>
      <c r="GF272" t="s">
        <v>4055</v>
      </c>
      <c r="GG272" t="s">
        <v>4055</v>
      </c>
      <c r="GH272" t="s">
        <v>4055</v>
      </c>
      <c r="GI272" t="s">
        <v>4071</v>
      </c>
      <c r="GJ272" t="s">
        <v>4055</v>
      </c>
      <c r="GK272" t="s">
        <v>4055</v>
      </c>
      <c r="GL272" t="s">
        <v>4055</v>
      </c>
      <c r="GM272" t="s">
        <v>4055</v>
      </c>
      <c r="GQ272">
        <v>0</v>
      </c>
      <c r="GV272">
        <v>9.5</v>
      </c>
      <c r="GW272">
        <v>10.8</v>
      </c>
      <c r="GX272">
        <v>0.5</v>
      </c>
      <c r="GY272">
        <v>170</v>
      </c>
      <c r="GZ272">
        <v>3</v>
      </c>
      <c r="HA272">
        <v>234</v>
      </c>
      <c r="HB272">
        <v>3</v>
      </c>
      <c r="HC272">
        <v>1991</v>
      </c>
      <c r="HD272">
        <v>4</v>
      </c>
      <c r="HE272" t="s">
        <v>4071</v>
      </c>
      <c r="HG272" t="s">
        <v>549</v>
      </c>
      <c r="HL272">
        <v>4</v>
      </c>
      <c r="HM272">
        <v>16</v>
      </c>
      <c r="HN272">
        <v>6</v>
      </c>
      <c r="HO272">
        <v>1</v>
      </c>
      <c r="HP272">
        <v>0</v>
      </c>
      <c r="HQ272">
        <v>0</v>
      </c>
      <c r="HR272">
        <v>3</v>
      </c>
      <c r="HS272">
        <v>1945</v>
      </c>
      <c r="HT272">
        <v>5</v>
      </c>
      <c r="HU272">
        <v>1</v>
      </c>
      <c r="HV272">
        <v>5</v>
      </c>
      <c r="HW272">
        <v>0</v>
      </c>
      <c r="HX272">
        <v>1</v>
      </c>
      <c r="HY272">
        <v>0</v>
      </c>
      <c r="HZ272">
        <v>63</v>
      </c>
      <c r="IA272">
        <v>1948</v>
      </c>
      <c r="IB272">
        <v>1955</v>
      </c>
      <c r="ID272">
        <v>1991</v>
      </c>
      <c r="IE272">
        <v>1991</v>
      </c>
      <c r="IF272">
        <v>190</v>
      </c>
      <c r="IG272">
        <v>180</v>
      </c>
      <c r="IH272">
        <v>234</v>
      </c>
      <c r="II272">
        <v>1</v>
      </c>
      <c r="IJ272">
        <v>5</v>
      </c>
      <c r="IK272">
        <v>0</v>
      </c>
      <c r="IL272">
        <v>2</v>
      </c>
      <c r="IM272">
        <v>0</v>
      </c>
      <c r="IN272">
        <v>270</v>
      </c>
      <c r="IO272">
        <v>0</v>
      </c>
      <c r="IP272">
        <v>180</v>
      </c>
      <c r="IQ272">
        <v>0</v>
      </c>
      <c r="IR272">
        <v>320</v>
      </c>
      <c r="IS272">
        <v>0</v>
      </c>
      <c r="IT272">
        <v>90</v>
      </c>
      <c r="IU272">
        <v>0</v>
      </c>
      <c r="IV272">
        <v>6.4</v>
      </c>
      <c r="IW272">
        <v>-6</v>
      </c>
      <c r="IX272">
        <v>98</v>
      </c>
      <c r="IY272">
        <v>73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394</v>
      </c>
      <c r="JJ272">
        <v>354</v>
      </c>
      <c r="JK272">
        <v>270</v>
      </c>
      <c r="JL272">
        <v>350</v>
      </c>
      <c r="JM272">
        <v>300</v>
      </c>
      <c r="JN272">
        <v>195</v>
      </c>
      <c r="JO272">
        <v>242</v>
      </c>
      <c r="JP272">
        <v>210</v>
      </c>
      <c r="JQ272">
        <v>270</v>
      </c>
      <c r="JR272">
        <v>355</v>
      </c>
      <c r="JS272">
        <v>260</v>
      </c>
      <c r="JT272">
        <v>0</v>
      </c>
      <c r="JU272">
        <v>0</v>
      </c>
      <c r="JV272">
        <v>335</v>
      </c>
      <c r="JW272">
        <v>337</v>
      </c>
      <c r="JX272">
        <v>330</v>
      </c>
      <c r="JY272">
        <v>310</v>
      </c>
      <c r="JZ272">
        <v>0.5</v>
      </c>
      <c r="KA272">
        <v>0.2</v>
      </c>
      <c r="KB272">
        <v>0.4</v>
      </c>
      <c r="KC272">
        <v>0.42</v>
      </c>
      <c r="KD272">
        <v>0.28</v>
      </c>
      <c r="KE272">
        <v>0.5</v>
      </c>
      <c r="KF272">
        <v>0.17</v>
      </c>
      <c r="KG272">
        <v>0.1</v>
      </c>
      <c r="KH272">
        <v>3.5</v>
      </c>
      <c r="KI272">
        <v>1</v>
      </c>
      <c r="KJ272">
        <v>4.5</v>
      </c>
      <c r="KK272">
        <v>0</v>
      </c>
      <c r="KL272">
        <v>4.5</v>
      </c>
      <c r="KM272">
        <v>0</v>
      </c>
      <c r="KN272">
        <v>1</v>
      </c>
      <c r="KO272">
        <v>0</v>
      </c>
      <c r="KP272">
        <v>0</v>
      </c>
      <c r="KQ272">
        <v>0.8</v>
      </c>
      <c r="KR272">
        <v>0.8</v>
      </c>
      <c r="KS272">
        <v>0</v>
      </c>
      <c r="KT272">
        <v>2</v>
      </c>
      <c r="KU272">
        <v>0</v>
      </c>
      <c r="KV272">
        <v>0</v>
      </c>
      <c r="KW272">
        <v>1</v>
      </c>
      <c r="KX272">
        <v>2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3</v>
      </c>
      <c r="LI272">
        <v>0.5</v>
      </c>
      <c r="LJ272">
        <v>0</v>
      </c>
      <c r="LK272">
        <v>3.5</v>
      </c>
      <c r="LL272">
        <v>4</v>
      </c>
      <c r="LM272">
        <v>5</v>
      </c>
      <c r="LN272">
        <v>0.5</v>
      </c>
      <c r="LO272">
        <v>1</v>
      </c>
      <c r="LP272">
        <v>0</v>
      </c>
      <c r="LQ272">
        <v>0</v>
      </c>
      <c r="LR272">
        <v>0</v>
      </c>
      <c r="LS272">
        <v>1</v>
      </c>
      <c r="LT272">
        <v>0</v>
      </c>
      <c r="LU272">
        <v>0</v>
      </c>
      <c r="LV272">
        <v>0</v>
      </c>
      <c r="LW272">
        <v>1.8</v>
      </c>
      <c r="LX272">
        <v>1.8</v>
      </c>
      <c r="LY272">
        <v>2.1</v>
      </c>
      <c r="LZ272">
        <v>2.1</v>
      </c>
      <c r="MA272">
        <v>0</v>
      </c>
      <c r="MB272">
        <v>8</v>
      </c>
      <c r="MC272">
        <v>0</v>
      </c>
      <c r="MD272">
        <v>4.5</v>
      </c>
      <c r="ME272">
        <v>7</v>
      </c>
      <c r="MF272">
        <v>7</v>
      </c>
      <c r="MI272">
        <v>0</v>
      </c>
      <c r="MJ272">
        <v>0</v>
      </c>
      <c r="ML272">
        <v>0</v>
      </c>
      <c r="MM272">
        <v>390</v>
      </c>
      <c r="MN272">
        <v>186</v>
      </c>
      <c r="MO272">
        <v>234</v>
      </c>
      <c r="NH272">
        <v>0</v>
      </c>
      <c r="NJ272">
        <v>0</v>
      </c>
      <c r="NK272">
        <v>0</v>
      </c>
      <c r="NM272">
        <v>0</v>
      </c>
      <c r="NU272">
        <v>0.15</v>
      </c>
      <c r="NV272">
        <v>0.2</v>
      </c>
      <c r="NW272">
        <v>0.2</v>
      </c>
      <c r="NX272">
        <v>2</v>
      </c>
      <c r="NY272">
        <v>2</v>
      </c>
      <c r="NZ272">
        <v>2</v>
      </c>
      <c r="OE272" t="s">
        <v>4985</v>
      </c>
      <c r="OF272" t="s">
        <v>4500</v>
      </c>
      <c r="OG272" t="s">
        <v>4501</v>
      </c>
      <c r="OH272" t="s">
        <v>4353</v>
      </c>
      <c r="OI272" t="s">
        <v>4985</v>
      </c>
      <c r="OJ272" t="s">
        <v>4984</v>
      </c>
      <c r="OK272">
        <v>61</v>
      </c>
      <c r="OL272">
        <v>61</v>
      </c>
      <c r="OM272" t="s">
        <v>4500</v>
      </c>
      <c r="ON272">
        <v>3</v>
      </c>
      <c r="OO272">
        <v>1948</v>
      </c>
      <c r="OP272">
        <v>61</v>
      </c>
      <c r="OQ272">
        <v>61</v>
      </c>
      <c r="OR272" t="s">
        <v>4501</v>
      </c>
      <c r="OS272">
        <v>3</v>
      </c>
      <c r="OT272">
        <v>1955</v>
      </c>
      <c r="OU272">
        <v>65</v>
      </c>
      <c r="OV272">
        <v>65</v>
      </c>
      <c r="OW272" t="s">
        <v>4353</v>
      </c>
      <c r="OX272">
        <v>1</v>
      </c>
      <c r="OY272">
        <v>39436</v>
      </c>
      <c r="OZ272">
        <v>51</v>
      </c>
      <c r="PA272">
        <v>51</v>
      </c>
      <c r="PB272" t="s">
        <v>4985</v>
      </c>
      <c r="PC272">
        <v>2</v>
      </c>
      <c r="PD272">
        <v>1991</v>
      </c>
      <c r="PF272">
        <v>347</v>
      </c>
      <c r="PG272">
        <v>29</v>
      </c>
      <c r="PH272">
        <v>329</v>
      </c>
      <c r="PI272">
        <v>29</v>
      </c>
      <c r="PJ272">
        <v>104.2</v>
      </c>
      <c r="PK272">
        <v>2303</v>
      </c>
      <c r="PL272">
        <v>1127.3</v>
      </c>
      <c r="PM272">
        <v>981.5</v>
      </c>
      <c r="PN272">
        <v>94.3</v>
      </c>
      <c r="PO272">
        <v>11</v>
      </c>
      <c r="PP272">
        <v>10</v>
      </c>
      <c r="PQ272">
        <v>1</v>
      </c>
      <c r="PR272">
        <v>3</v>
      </c>
      <c r="PS272">
        <v>7</v>
      </c>
      <c r="PT272">
        <v>234</v>
      </c>
      <c r="PU272">
        <v>13</v>
      </c>
      <c r="PV272" t="s">
        <v>4072</v>
      </c>
      <c r="PW272" t="s">
        <v>4072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-1</v>
      </c>
      <c r="QF272">
        <v>1</v>
      </c>
      <c r="QG272">
        <v>0</v>
      </c>
      <c r="QH272">
        <v>5</v>
      </c>
      <c r="QI272">
        <v>5</v>
      </c>
      <c r="QJ272">
        <v>5</v>
      </c>
      <c r="QK272">
        <v>190</v>
      </c>
      <c r="QL272">
        <v>428</v>
      </c>
      <c r="QM272">
        <v>7.5</v>
      </c>
      <c r="QN272">
        <v>1282.5</v>
      </c>
      <c r="QO272" t="s">
        <v>3054</v>
      </c>
      <c r="QP272" t="s">
        <v>513</v>
      </c>
      <c r="QQ272">
        <v>0</v>
      </c>
      <c r="QR272" t="s">
        <v>540</v>
      </c>
      <c r="QS272">
        <v>30</v>
      </c>
      <c r="QT272">
        <v>40</v>
      </c>
    </row>
    <row r="273" spans="1:462">
      <c r="A273" t="s">
        <v>3330</v>
      </c>
      <c r="B273" t="s">
        <v>657</v>
      </c>
      <c r="C273" t="s">
        <v>509</v>
      </c>
      <c r="D273" t="s">
        <v>2455</v>
      </c>
      <c r="E273" t="s">
        <v>4036</v>
      </c>
      <c r="H273" t="s">
        <v>604</v>
      </c>
      <c r="I273" t="s">
        <v>605</v>
      </c>
      <c r="K273" t="s">
        <v>606</v>
      </c>
      <c r="L273" t="s">
        <v>559</v>
      </c>
      <c r="M273" t="s">
        <v>512</v>
      </c>
      <c r="O273" t="s">
        <v>513</v>
      </c>
      <c r="P273" t="s">
        <v>517</v>
      </c>
      <c r="Q273" t="s">
        <v>939</v>
      </c>
      <c r="R273" t="s">
        <v>759</v>
      </c>
      <c r="S273" t="s">
        <v>4037</v>
      </c>
      <c r="T273" t="s">
        <v>633</v>
      </c>
      <c r="U273" t="s">
        <v>634</v>
      </c>
      <c r="V273" t="s">
        <v>2607</v>
      </c>
      <c r="W273" t="s">
        <v>3048</v>
      </c>
      <c r="X273" t="s">
        <v>3331</v>
      </c>
      <c r="Y273" t="s">
        <v>3332</v>
      </c>
      <c r="Z273" t="s">
        <v>650</v>
      </c>
      <c r="AA273" t="s">
        <v>4038</v>
      </c>
      <c r="AB273" t="s">
        <v>4986</v>
      </c>
      <c r="AC273">
        <v>14</v>
      </c>
      <c r="AD273" t="s">
        <v>3329</v>
      </c>
      <c r="AE273">
        <v>7</v>
      </c>
      <c r="AF273">
        <v>4161</v>
      </c>
      <c r="AG273" t="s">
        <v>4500</v>
      </c>
      <c r="AH273">
        <v>1</v>
      </c>
      <c r="AI273" t="s">
        <v>4041</v>
      </c>
      <c r="AK273" t="s">
        <v>4501</v>
      </c>
      <c r="AL273">
        <v>1</v>
      </c>
      <c r="AM273" t="s">
        <v>582</v>
      </c>
      <c r="AO273" t="s">
        <v>4353</v>
      </c>
      <c r="AP273">
        <v>1</v>
      </c>
      <c r="AR273" t="s">
        <v>4987</v>
      </c>
      <c r="AS273">
        <v>1</v>
      </c>
      <c r="AT273">
        <v>51</v>
      </c>
      <c r="AV273" t="s">
        <v>4045</v>
      </c>
      <c r="AW273">
        <v>6.4</v>
      </c>
      <c r="AX273">
        <v>-6</v>
      </c>
      <c r="AY273">
        <v>98</v>
      </c>
      <c r="AZ273">
        <v>83</v>
      </c>
      <c r="BH273">
        <v>98</v>
      </c>
      <c r="BI273">
        <v>15</v>
      </c>
      <c r="BJ273">
        <v>83</v>
      </c>
      <c r="BK273">
        <v>3</v>
      </c>
      <c r="BL273">
        <v>196</v>
      </c>
      <c r="BM273">
        <v>-6</v>
      </c>
      <c r="BN273">
        <v>0</v>
      </c>
      <c r="BP273">
        <v>0</v>
      </c>
      <c r="BR273">
        <v>190</v>
      </c>
      <c r="BS273">
        <v>180</v>
      </c>
      <c r="BT273">
        <v>1950</v>
      </c>
      <c r="BU273" t="s">
        <v>4047</v>
      </c>
      <c r="BV273" t="s">
        <v>4096</v>
      </c>
      <c r="BW273" t="s">
        <v>4049</v>
      </c>
      <c r="BX273" t="s">
        <v>4097</v>
      </c>
      <c r="BY273" t="s">
        <v>4107</v>
      </c>
      <c r="BZ273" t="s">
        <v>4150</v>
      </c>
      <c r="CA273" t="s">
        <v>4108</v>
      </c>
      <c r="CB273" t="s">
        <v>4109</v>
      </c>
      <c r="CC273" t="s">
        <v>4053</v>
      </c>
      <c r="CD273" t="s">
        <v>4110</v>
      </c>
      <c r="CE273" t="s">
        <v>4055</v>
      </c>
      <c r="CF273" t="s">
        <v>4055</v>
      </c>
      <c r="CG273" t="s">
        <v>4056</v>
      </c>
      <c r="CH273" t="s">
        <v>4099</v>
      </c>
      <c r="CI273" t="s">
        <v>4058</v>
      </c>
      <c r="CJ273" t="s">
        <v>4059</v>
      </c>
      <c r="CK273" t="s">
        <v>4060</v>
      </c>
      <c r="CL273" t="s">
        <v>4061</v>
      </c>
      <c r="CM273" t="s">
        <v>4062</v>
      </c>
      <c r="CN273" t="s">
        <v>4055</v>
      </c>
      <c r="CO273" t="s">
        <v>4063</v>
      </c>
      <c r="CP273" t="s">
        <v>4055</v>
      </c>
      <c r="CQ273" t="s">
        <v>4055</v>
      </c>
      <c r="CR273">
        <v>5</v>
      </c>
      <c r="CS273" t="s">
        <v>4055</v>
      </c>
      <c r="CT273" t="s">
        <v>4055</v>
      </c>
      <c r="CU273" t="s">
        <v>4055</v>
      </c>
      <c r="CV273">
        <v>126</v>
      </c>
      <c r="CW273">
        <v>3</v>
      </c>
      <c r="CX273">
        <v>100</v>
      </c>
      <c r="CY273">
        <v>5</v>
      </c>
      <c r="CZ273">
        <v>133</v>
      </c>
      <c r="DA273">
        <v>5</v>
      </c>
      <c r="DB273">
        <v>10660</v>
      </c>
      <c r="DC273">
        <v>310</v>
      </c>
      <c r="DD273">
        <v>310</v>
      </c>
      <c r="DE273">
        <v>2048</v>
      </c>
      <c r="DF273">
        <v>2048</v>
      </c>
      <c r="DG273">
        <v>2073</v>
      </c>
      <c r="DH273" t="s">
        <v>4055</v>
      </c>
      <c r="DI273" t="s">
        <v>4055</v>
      </c>
      <c r="DJ273" t="s">
        <v>4100</v>
      </c>
      <c r="DK273">
        <v>190</v>
      </c>
      <c r="DL273" t="s">
        <v>4101</v>
      </c>
      <c r="DM273">
        <v>63</v>
      </c>
      <c r="DN273">
        <v>0.84</v>
      </c>
      <c r="DO273">
        <v>1</v>
      </c>
      <c r="DP273">
        <v>1953</v>
      </c>
      <c r="DQ273">
        <v>678</v>
      </c>
      <c r="DR273" t="s">
        <v>4100</v>
      </c>
      <c r="DS273">
        <v>180</v>
      </c>
      <c r="DT273" t="s">
        <v>4101</v>
      </c>
      <c r="DU273">
        <v>63</v>
      </c>
      <c r="DV273">
        <v>0.84</v>
      </c>
      <c r="DW273">
        <v>1</v>
      </c>
      <c r="DX273">
        <v>1960</v>
      </c>
      <c r="DY273">
        <v>645</v>
      </c>
      <c r="DZ273" t="s">
        <v>4066</v>
      </c>
      <c r="EA273">
        <v>33</v>
      </c>
      <c r="EB273" t="s">
        <v>4065</v>
      </c>
      <c r="EC273">
        <v>0.4</v>
      </c>
      <c r="ED273">
        <v>1953</v>
      </c>
      <c r="EE273">
        <v>57</v>
      </c>
      <c r="EF273" t="s">
        <v>4066</v>
      </c>
      <c r="EG273">
        <v>33</v>
      </c>
      <c r="EH273" t="s">
        <v>4065</v>
      </c>
      <c r="EI273">
        <v>0.4</v>
      </c>
      <c r="EJ273">
        <v>1960</v>
      </c>
      <c r="EK273">
        <v>57</v>
      </c>
      <c r="EL273" t="s">
        <v>4362</v>
      </c>
      <c r="EM273">
        <v>12</v>
      </c>
      <c r="EN273">
        <v>0.5</v>
      </c>
      <c r="EO273">
        <v>0.77</v>
      </c>
      <c r="EP273">
        <v>1960.56</v>
      </c>
      <c r="EQ273">
        <v>31859.1</v>
      </c>
      <c r="ER273">
        <v>4606.4</v>
      </c>
      <c r="ES273">
        <v>0</v>
      </c>
      <c r="ET273">
        <v>0</v>
      </c>
      <c r="EU273">
        <v>1</v>
      </c>
      <c r="EV273">
        <v>36466</v>
      </c>
      <c r="EW273">
        <v>365</v>
      </c>
      <c r="EX273" t="s">
        <v>4287</v>
      </c>
      <c r="EY273">
        <v>202</v>
      </c>
      <c r="EZ273" t="s">
        <v>4055</v>
      </c>
      <c r="FA273">
        <v>4.5</v>
      </c>
      <c r="FB273">
        <v>1</v>
      </c>
      <c r="FC273">
        <v>1</v>
      </c>
      <c r="FD273">
        <v>1996</v>
      </c>
      <c r="FE273">
        <v>2101</v>
      </c>
      <c r="FF273" t="s">
        <v>4288</v>
      </c>
      <c r="FG273">
        <v>202</v>
      </c>
      <c r="FH273" t="s">
        <v>4055</v>
      </c>
      <c r="FI273">
        <v>4.6</v>
      </c>
      <c r="FJ273">
        <v>1996</v>
      </c>
      <c r="FK273">
        <v>2109</v>
      </c>
      <c r="FL273" t="s">
        <v>4069</v>
      </c>
      <c r="FM273" t="s">
        <v>4055</v>
      </c>
      <c r="FN273" t="s">
        <v>4055</v>
      </c>
      <c r="FO273" t="s">
        <v>4055</v>
      </c>
      <c r="FP273">
        <v>1996</v>
      </c>
      <c r="FQ273">
        <v>281</v>
      </c>
      <c r="FR273" t="s">
        <v>4090</v>
      </c>
      <c r="FS273">
        <v>206</v>
      </c>
      <c r="FT273" t="s">
        <v>4055</v>
      </c>
      <c r="FU273">
        <v>0.4</v>
      </c>
      <c r="FV273">
        <v>1996</v>
      </c>
      <c r="FW273">
        <v>183</v>
      </c>
      <c r="FX273" t="s">
        <v>4070</v>
      </c>
      <c r="FY273">
        <v>5</v>
      </c>
      <c r="FZ273" t="s">
        <v>4055</v>
      </c>
      <c r="GA273" t="s">
        <v>4055</v>
      </c>
      <c r="GB273">
        <v>1996</v>
      </c>
      <c r="GC273">
        <v>22</v>
      </c>
      <c r="GD273">
        <v>4696</v>
      </c>
      <c r="GE273" t="s">
        <v>4987</v>
      </c>
      <c r="GF273" t="s">
        <v>4055</v>
      </c>
      <c r="GG273" t="s">
        <v>4055</v>
      </c>
      <c r="GH273" t="s">
        <v>4055</v>
      </c>
      <c r="GI273" t="s">
        <v>4071</v>
      </c>
      <c r="GJ273" t="s">
        <v>4055</v>
      </c>
      <c r="GK273" t="s">
        <v>4055</v>
      </c>
      <c r="GL273" t="s">
        <v>4055</v>
      </c>
      <c r="GM273" t="s">
        <v>4055</v>
      </c>
      <c r="GQ273">
        <v>0</v>
      </c>
      <c r="GV273">
        <v>9.5</v>
      </c>
      <c r="GW273">
        <v>11.5</v>
      </c>
      <c r="GX273">
        <v>0.5</v>
      </c>
      <c r="GY273">
        <v>180</v>
      </c>
      <c r="GZ273">
        <v>3</v>
      </c>
      <c r="HA273">
        <v>228</v>
      </c>
      <c r="HB273">
        <v>3</v>
      </c>
      <c r="HC273">
        <v>1996</v>
      </c>
      <c r="HD273">
        <v>4</v>
      </c>
      <c r="HE273" t="s">
        <v>4071</v>
      </c>
      <c r="HG273" t="s">
        <v>549</v>
      </c>
      <c r="HL273">
        <v>4</v>
      </c>
      <c r="HM273">
        <v>17</v>
      </c>
      <c r="HN273">
        <v>1</v>
      </c>
      <c r="HO273">
        <v>1</v>
      </c>
      <c r="HP273">
        <v>0</v>
      </c>
      <c r="HQ273">
        <v>0</v>
      </c>
      <c r="HR273">
        <v>3</v>
      </c>
      <c r="HS273">
        <v>1950</v>
      </c>
      <c r="HT273">
        <v>5</v>
      </c>
      <c r="HU273">
        <v>1</v>
      </c>
      <c r="HV273">
        <v>0</v>
      </c>
      <c r="HW273">
        <v>0</v>
      </c>
      <c r="HX273">
        <v>1</v>
      </c>
      <c r="HY273">
        <v>0</v>
      </c>
      <c r="HZ273">
        <v>63</v>
      </c>
      <c r="IA273">
        <v>1953</v>
      </c>
      <c r="IB273">
        <v>1960</v>
      </c>
      <c r="ID273">
        <v>1996</v>
      </c>
      <c r="IE273">
        <v>1996</v>
      </c>
      <c r="IF273">
        <v>190</v>
      </c>
      <c r="IG273">
        <v>180</v>
      </c>
      <c r="IH273">
        <v>228</v>
      </c>
      <c r="II273">
        <v>1</v>
      </c>
      <c r="IJ273">
        <v>5</v>
      </c>
      <c r="IK273">
        <v>0</v>
      </c>
      <c r="IL273">
        <v>2</v>
      </c>
      <c r="IM273">
        <v>0</v>
      </c>
      <c r="IN273">
        <v>270</v>
      </c>
      <c r="IO273">
        <v>0</v>
      </c>
      <c r="IP273">
        <v>180</v>
      </c>
      <c r="IQ273">
        <v>0</v>
      </c>
      <c r="IR273">
        <v>325</v>
      </c>
      <c r="IS273">
        <v>0</v>
      </c>
      <c r="IT273">
        <v>90</v>
      </c>
      <c r="IU273">
        <v>0</v>
      </c>
      <c r="IV273">
        <v>6.4</v>
      </c>
      <c r="IW273">
        <v>-6</v>
      </c>
      <c r="IX273">
        <v>98</v>
      </c>
      <c r="IY273">
        <v>83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362</v>
      </c>
      <c r="JJ273">
        <v>332</v>
      </c>
      <c r="JK273">
        <v>260</v>
      </c>
      <c r="JL273">
        <v>328</v>
      </c>
      <c r="JM273">
        <v>270</v>
      </c>
      <c r="JN273">
        <v>185</v>
      </c>
      <c r="JO273">
        <v>230</v>
      </c>
      <c r="JP273">
        <v>200</v>
      </c>
      <c r="JQ273">
        <v>255</v>
      </c>
      <c r="JR273">
        <v>330</v>
      </c>
      <c r="JS273">
        <v>235</v>
      </c>
      <c r="JT273">
        <v>0</v>
      </c>
      <c r="JU273">
        <v>0</v>
      </c>
      <c r="JV273">
        <v>330</v>
      </c>
      <c r="JW273">
        <v>330</v>
      </c>
      <c r="JX273">
        <v>320</v>
      </c>
      <c r="JY273">
        <v>310</v>
      </c>
      <c r="JZ273">
        <v>1</v>
      </c>
      <c r="KA273">
        <v>0.2</v>
      </c>
      <c r="KB273">
        <v>0.4</v>
      </c>
      <c r="KC273">
        <v>0.42</v>
      </c>
      <c r="KD273">
        <v>0.28</v>
      </c>
      <c r="KE273">
        <v>0.5</v>
      </c>
      <c r="KF273">
        <v>0.15</v>
      </c>
      <c r="KG273">
        <v>0.09</v>
      </c>
      <c r="KH273">
        <v>3.5</v>
      </c>
      <c r="KI273">
        <v>1</v>
      </c>
      <c r="KJ273">
        <v>5</v>
      </c>
      <c r="KK273">
        <v>1</v>
      </c>
      <c r="KL273">
        <v>5</v>
      </c>
      <c r="KM273">
        <v>1</v>
      </c>
      <c r="KN273">
        <v>1.5</v>
      </c>
      <c r="KO273">
        <v>0</v>
      </c>
      <c r="KP273">
        <v>0</v>
      </c>
      <c r="KQ273">
        <v>0.8</v>
      </c>
      <c r="KR273">
        <v>1.2</v>
      </c>
      <c r="KS273">
        <v>0</v>
      </c>
      <c r="KT273">
        <v>1.8</v>
      </c>
      <c r="KU273">
        <v>0</v>
      </c>
      <c r="KV273">
        <v>0</v>
      </c>
      <c r="KW273">
        <v>1.2</v>
      </c>
      <c r="KX273">
        <v>2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3</v>
      </c>
      <c r="LI273">
        <v>1</v>
      </c>
      <c r="LJ273">
        <v>0</v>
      </c>
      <c r="LK273">
        <v>3</v>
      </c>
      <c r="LL273">
        <v>6</v>
      </c>
      <c r="LM273">
        <v>5</v>
      </c>
      <c r="LN273">
        <v>0.5</v>
      </c>
      <c r="LO273">
        <v>0.3</v>
      </c>
      <c r="LP273">
        <v>0</v>
      </c>
      <c r="LQ273">
        <v>0</v>
      </c>
      <c r="LR273">
        <v>0</v>
      </c>
      <c r="LS273">
        <v>1</v>
      </c>
      <c r="LT273">
        <v>0</v>
      </c>
      <c r="LU273">
        <v>0</v>
      </c>
      <c r="LV273">
        <v>0</v>
      </c>
      <c r="LW273">
        <v>1.3</v>
      </c>
      <c r="LX273">
        <v>1.3</v>
      </c>
      <c r="LY273">
        <v>1.9</v>
      </c>
      <c r="LZ273">
        <v>1.9</v>
      </c>
      <c r="MA273">
        <v>0</v>
      </c>
      <c r="MB273">
        <v>3</v>
      </c>
      <c r="MC273">
        <v>0</v>
      </c>
      <c r="MD273">
        <v>4.5</v>
      </c>
      <c r="ME273">
        <v>6</v>
      </c>
      <c r="MF273">
        <v>6</v>
      </c>
      <c r="MI273">
        <v>0</v>
      </c>
      <c r="MJ273">
        <v>0</v>
      </c>
      <c r="ML273">
        <v>0</v>
      </c>
      <c r="MM273">
        <v>390</v>
      </c>
      <c r="MN273">
        <v>225</v>
      </c>
      <c r="MO273">
        <v>248</v>
      </c>
      <c r="NU273">
        <v>0.15</v>
      </c>
      <c r="NV273">
        <v>0.3</v>
      </c>
      <c r="NW273">
        <v>0.3</v>
      </c>
      <c r="NX273">
        <v>0.2</v>
      </c>
      <c r="NY273">
        <v>0.2</v>
      </c>
      <c r="NZ273">
        <v>0.2</v>
      </c>
      <c r="OE273" t="s">
        <v>4987</v>
      </c>
      <c r="OF273" t="s">
        <v>4500</v>
      </c>
      <c r="OG273" t="s">
        <v>4501</v>
      </c>
      <c r="OH273" t="s">
        <v>4353</v>
      </c>
      <c r="OI273" t="s">
        <v>4987</v>
      </c>
      <c r="OJ273" t="s">
        <v>4986</v>
      </c>
      <c r="OK273">
        <v>61</v>
      </c>
      <c r="OL273">
        <v>61</v>
      </c>
      <c r="OM273" t="s">
        <v>4500</v>
      </c>
      <c r="ON273">
        <v>3</v>
      </c>
      <c r="OO273">
        <v>1953</v>
      </c>
      <c r="OP273">
        <v>61</v>
      </c>
      <c r="OQ273">
        <v>61</v>
      </c>
      <c r="OR273" t="s">
        <v>4501</v>
      </c>
      <c r="OS273">
        <v>3</v>
      </c>
      <c r="OT273">
        <v>1960</v>
      </c>
      <c r="OU273">
        <v>65</v>
      </c>
      <c r="OV273">
        <v>65</v>
      </c>
      <c r="OW273" t="s">
        <v>4353</v>
      </c>
      <c r="OX273">
        <v>1</v>
      </c>
      <c r="OY273">
        <v>36466</v>
      </c>
      <c r="OZ273">
        <v>51</v>
      </c>
      <c r="PA273">
        <v>51</v>
      </c>
      <c r="PB273" t="s">
        <v>4987</v>
      </c>
      <c r="PC273">
        <v>1</v>
      </c>
      <c r="PD273">
        <v>1996</v>
      </c>
      <c r="PF273">
        <v>347</v>
      </c>
      <c r="PG273">
        <v>29</v>
      </c>
      <c r="PH273">
        <v>329</v>
      </c>
      <c r="PI273">
        <v>29</v>
      </c>
      <c r="PJ273">
        <v>141</v>
      </c>
      <c r="PK273">
        <v>2350</v>
      </c>
      <c r="PL273">
        <v>1052.4</v>
      </c>
      <c r="PM273">
        <v>1056.6</v>
      </c>
      <c r="PN273">
        <v>91.59999999999999</v>
      </c>
      <c r="PO273">
        <v>11</v>
      </c>
      <c r="PP273">
        <v>10</v>
      </c>
      <c r="PQ273">
        <v>1</v>
      </c>
      <c r="PR273">
        <v>3</v>
      </c>
      <c r="PS273">
        <v>8</v>
      </c>
      <c r="PT273">
        <v>228</v>
      </c>
      <c r="PU273">
        <v>13</v>
      </c>
      <c r="PV273" t="s">
        <v>4072</v>
      </c>
      <c r="PW273" t="s">
        <v>4072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-1</v>
      </c>
      <c r="QF273">
        <v>1</v>
      </c>
      <c r="QG273">
        <v>0</v>
      </c>
      <c r="QH273">
        <v>5</v>
      </c>
      <c r="QI273">
        <v>5</v>
      </c>
      <c r="QJ273">
        <v>5</v>
      </c>
      <c r="QK273">
        <v>173</v>
      </c>
      <c r="QL273">
        <v>392</v>
      </c>
      <c r="QM273">
        <v>7.5</v>
      </c>
      <c r="QN273">
        <v>1379.8</v>
      </c>
      <c r="QO273" t="s">
        <v>3054</v>
      </c>
      <c r="QP273" t="s">
        <v>513</v>
      </c>
      <c r="QQ273">
        <v>0</v>
      </c>
      <c r="QR273" t="s">
        <v>649</v>
      </c>
      <c r="QS273">
        <v>30</v>
      </c>
      <c r="QT273">
        <v>40</v>
      </c>
    </row>
    <row r="274" spans="1:462">
      <c r="A274" t="s">
        <v>3338</v>
      </c>
      <c r="B274" t="s">
        <v>657</v>
      </c>
      <c r="C274" t="s">
        <v>509</v>
      </c>
      <c r="D274" t="s">
        <v>1150</v>
      </c>
      <c r="E274" t="s">
        <v>4036</v>
      </c>
      <c r="H274" t="s">
        <v>604</v>
      </c>
      <c r="I274" t="s">
        <v>605</v>
      </c>
      <c r="J274" t="s">
        <v>628</v>
      </c>
      <c r="K274" t="s">
        <v>606</v>
      </c>
      <c r="L274" t="s">
        <v>559</v>
      </c>
      <c r="M274" t="s">
        <v>512</v>
      </c>
      <c r="O274" t="s">
        <v>513</v>
      </c>
      <c r="P274" t="s">
        <v>517</v>
      </c>
      <c r="Q274" t="s">
        <v>987</v>
      </c>
      <c r="R274" t="s">
        <v>988</v>
      </c>
      <c r="S274" t="s">
        <v>4170</v>
      </c>
      <c r="T274" t="s">
        <v>662</v>
      </c>
      <c r="U274" t="s">
        <v>663</v>
      </c>
      <c r="V274" t="s">
        <v>2719</v>
      </c>
      <c r="W274" t="s">
        <v>3058</v>
      </c>
      <c r="X274" t="s">
        <v>3339</v>
      </c>
      <c r="Y274" t="s">
        <v>3340</v>
      </c>
      <c r="Z274" t="s">
        <v>541</v>
      </c>
      <c r="AA274" t="s">
        <v>582</v>
      </c>
      <c r="AB274" t="s">
        <v>4988</v>
      </c>
      <c r="AC274">
        <v>14</v>
      </c>
      <c r="AD274" t="s">
        <v>3337</v>
      </c>
      <c r="AE274">
        <v>7</v>
      </c>
      <c r="AF274">
        <v>7489</v>
      </c>
      <c r="AG274" t="s">
        <v>4818</v>
      </c>
      <c r="AH274">
        <v>1</v>
      </c>
      <c r="AI274" t="s">
        <v>4041</v>
      </c>
      <c r="AK274" t="s">
        <v>4819</v>
      </c>
      <c r="AL274">
        <v>1</v>
      </c>
      <c r="AM274" t="s">
        <v>582</v>
      </c>
      <c r="AO274" t="s">
        <v>4043</v>
      </c>
      <c r="AP274">
        <v>1</v>
      </c>
      <c r="AR274" t="s">
        <v>4989</v>
      </c>
      <c r="AS274">
        <v>1</v>
      </c>
      <c r="AT274">
        <v>51</v>
      </c>
      <c r="AV274" t="s">
        <v>4078</v>
      </c>
      <c r="AW274">
        <v>6.4</v>
      </c>
      <c r="AX274">
        <v>-6</v>
      </c>
      <c r="AY274">
        <v>111</v>
      </c>
      <c r="AZ274">
        <v>76</v>
      </c>
      <c r="BA274">
        <v>0</v>
      </c>
      <c r="BB274">
        <v>0</v>
      </c>
      <c r="BC274">
        <v>0</v>
      </c>
      <c r="BH274">
        <v>111</v>
      </c>
      <c r="BI274">
        <v>35</v>
      </c>
      <c r="BJ274">
        <v>76</v>
      </c>
      <c r="BK274">
        <v>3.5</v>
      </c>
      <c r="BL274">
        <v>222</v>
      </c>
      <c r="BM274">
        <v>-6</v>
      </c>
      <c r="BN274">
        <v>0</v>
      </c>
      <c r="BO274">
        <v>0</v>
      </c>
      <c r="BP274">
        <v>0</v>
      </c>
      <c r="BR274">
        <v>215</v>
      </c>
      <c r="BS274">
        <v>205</v>
      </c>
      <c r="BT274">
        <v>2270</v>
      </c>
      <c r="BU274" t="s">
        <v>4079</v>
      </c>
      <c r="BV274" t="s">
        <v>4079</v>
      </c>
      <c r="BW274" t="s">
        <v>4081</v>
      </c>
      <c r="BX274" t="s">
        <v>4081</v>
      </c>
      <c r="BY274" t="s">
        <v>4214</v>
      </c>
      <c r="BZ274" t="s">
        <v>4214</v>
      </c>
      <c r="CA274" t="s">
        <v>4118</v>
      </c>
      <c r="CB274" t="s">
        <v>4119</v>
      </c>
      <c r="CC274" t="s">
        <v>4053</v>
      </c>
      <c r="CD274" t="s">
        <v>4121</v>
      </c>
      <c r="CE274" t="s">
        <v>4055</v>
      </c>
      <c r="CF274" t="s">
        <v>4055</v>
      </c>
      <c r="CG274" t="s">
        <v>4056</v>
      </c>
      <c r="CI274" t="s">
        <v>4058</v>
      </c>
      <c r="CJ274" t="s">
        <v>4059</v>
      </c>
      <c r="CK274" t="s">
        <v>4060</v>
      </c>
      <c r="CL274" t="s">
        <v>4061</v>
      </c>
      <c r="CM274" t="s">
        <v>4062</v>
      </c>
      <c r="CN274" t="s">
        <v>4055</v>
      </c>
      <c r="CO274" t="s">
        <v>4063</v>
      </c>
      <c r="CP274" t="s">
        <v>4055</v>
      </c>
      <c r="CQ274" t="s">
        <v>4055</v>
      </c>
      <c r="CR274">
        <v>5</v>
      </c>
      <c r="CS274" t="s">
        <v>4055</v>
      </c>
      <c r="CT274" t="s">
        <v>4055</v>
      </c>
      <c r="CU274" t="s">
        <v>4055</v>
      </c>
      <c r="CV274">
        <v>140</v>
      </c>
      <c r="CW274">
        <v>3</v>
      </c>
      <c r="CX274">
        <v>95</v>
      </c>
      <c r="CY274">
        <v>5</v>
      </c>
      <c r="CZ274">
        <v>163</v>
      </c>
      <c r="DA274">
        <v>5</v>
      </c>
      <c r="DB274">
        <v>16980</v>
      </c>
      <c r="DC274">
        <v>500</v>
      </c>
      <c r="DD274">
        <v>380</v>
      </c>
      <c r="DE274">
        <v>2400</v>
      </c>
      <c r="DF274">
        <v>2400</v>
      </c>
      <c r="DG274">
        <v>2406</v>
      </c>
      <c r="DH274" t="s">
        <v>4055</v>
      </c>
      <c r="DI274" t="s">
        <v>4055</v>
      </c>
      <c r="DJ274" t="s">
        <v>4217</v>
      </c>
      <c r="DK274">
        <v>215</v>
      </c>
      <c r="DL274" t="s">
        <v>4065</v>
      </c>
      <c r="DM274">
        <v>63</v>
      </c>
      <c r="DN274">
        <v>1.26</v>
      </c>
      <c r="DO274">
        <v>1</v>
      </c>
      <c r="DP274">
        <v>2274</v>
      </c>
      <c r="DQ274">
        <v>1180</v>
      </c>
      <c r="DR274" t="s">
        <v>4217</v>
      </c>
      <c r="DS274">
        <v>205</v>
      </c>
      <c r="DT274" t="s">
        <v>4065</v>
      </c>
      <c r="DU274">
        <v>63</v>
      </c>
      <c r="DV274">
        <v>1.26</v>
      </c>
      <c r="DW274">
        <v>1</v>
      </c>
      <c r="DX274">
        <v>2287</v>
      </c>
      <c r="DY274">
        <v>1132</v>
      </c>
      <c r="DZ274" t="s">
        <v>4066</v>
      </c>
      <c r="EA274">
        <v>20</v>
      </c>
      <c r="EB274" t="s">
        <v>4065</v>
      </c>
      <c r="EC274">
        <v>0.8</v>
      </c>
      <c r="ED274">
        <v>2274</v>
      </c>
      <c r="EE274">
        <v>80</v>
      </c>
      <c r="EG274">
        <v>0</v>
      </c>
      <c r="EH274" t="s">
        <v>4065</v>
      </c>
      <c r="EI274">
        <v>0</v>
      </c>
      <c r="EL274" t="s">
        <v>1528</v>
      </c>
      <c r="EM274">
        <v>12</v>
      </c>
      <c r="EN274">
        <v>0.5</v>
      </c>
      <c r="EO274">
        <v>0.96</v>
      </c>
      <c r="EP274">
        <v>2285.84</v>
      </c>
      <c r="EQ274">
        <v>41788.01</v>
      </c>
      <c r="ER274">
        <v>12533.67</v>
      </c>
      <c r="ES274">
        <v>0</v>
      </c>
      <c r="ET274">
        <v>0</v>
      </c>
      <c r="EU274">
        <v>1</v>
      </c>
      <c r="EV274">
        <v>54322</v>
      </c>
      <c r="EW274">
        <v>652</v>
      </c>
      <c r="EX274" t="s">
        <v>4287</v>
      </c>
      <c r="EY274">
        <v>246</v>
      </c>
      <c r="EZ274" t="s">
        <v>4055</v>
      </c>
      <c r="FA274">
        <v>5.5</v>
      </c>
      <c r="FB274">
        <v>1</v>
      </c>
      <c r="FC274">
        <v>1</v>
      </c>
      <c r="FD274">
        <v>2324</v>
      </c>
      <c r="FE274">
        <v>3427</v>
      </c>
      <c r="FF274" t="s">
        <v>4288</v>
      </c>
      <c r="FG274">
        <v>246</v>
      </c>
      <c r="FH274" t="s">
        <v>4055</v>
      </c>
      <c r="FI274">
        <v>4.1</v>
      </c>
      <c r="FJ274">
        <v>2324</v>
      </c>
      <c r="FK274">
        <v>2570</v>
      </c>
      <c r="FL274" t="s">
        <v>4069</v>
      </c>
      <c r="FM274" t="s">
        <v>4055</v>
      </c>
      <c r="FN274" t="s">
        <v>4055</v>
      </c>
      <c r="FO274" t="s">
        <v>4055</v>
      </c>
      <c r="FP274">
        <v>2324</v>
      </c>
      <c r="FQ274">
        <v>161</v>
      </c>
      <c r="FR274" t="s">
        <v>4090</v>
      </c>
      <c r="FS274">
        <v>250</v>
      </c>
      <c r="FT274" t="s">
        <v>4055</v>
      </c>
      <c r="FU274">
        <v>0.4</v>
      </c>
      <c r="FV274">
        <v>2324</v>
      </c>
      <c r="FW274">
        <v>259</v>
      </c>
      <c r="FX274" t="s">
        <v>4070</v>
      </c>
      <c r="FY274">
        <v>5</v>
      </c>
      <c r="FZ274" t="s">
        <v>4055</v>
      </c>
      <c r="GA274" t="s">
        <v>4055</v>
      </c>
      <c r="GB274">
        <v>2324</v>
      </c>
      <c r="GC274">
        <v>27</v>
      </c>
      <c r="GD274">
        <v>6444</v>
      </c>
      <c r="GE274" t="s">
        <v>4989</v>
      </c>
      <c r="GF274" t="s">
        <v>4055</v>
      </c>
      <c r="GG274" t="s">
        <v>4055</v>
      </c>
      <c r="GH274" t="s">
        <v>4055</v>
      </c>
      <c r="GI274" t="s">
        <v>4071</v>
      </c>
      <c r="GJ274" t="s">
        <v>4055</v>
      </c>
      <c r="GK274" t="s">
        <v>4055</v>
      </c>
      <c r="GL274" t="s">
        <v>4055</v>
      </c>
      <c r="GM274" t="s">
        <v>4055</v>
      </c>
      <c r="GQ274">
        <v>0</v>
      </c>
      <c r="GV274">
        <v>10</v>
      </c>
      <c r="GW274">
        <v>11</v>
      </c>
      <c r="GX274">
        <v>0.5</v>
      </c>
      <c r="GY274">
        <v>206</v>
      </c>
      <c r="GZ274">
        <v>3</v>
      </c>
      <c r="HA274">
        <v>264</v>
      </c>
      <c r="HB274">
        <v>3</v>
      </c>
      <c r="HC274">
        <v>2324</v>
      </c>
      <c r="HD274">
        <v>4</v>
      </c>
      <c r="HE274" t="s">
        <v>4071</v>
      </c>
      <c r="HG274" t="s">
        <v>549</v>
      </c>
      <c r="HL274">
        <v>4</v>
      </c>
      <c r="HM274">
        <v>18</v>
      </c>
      <c r="HN274">
        <v>6</v>
      </c>
      <c r="HO274">
        <v>1</v>
      </c>
      <c r="HP274">
        <v>0</v>
      </c>
      <c r="HQ274">
        <v>0</v>
      </c>
      <c r="HR274">
        <v>2</v>
      </c>
      <c r="HS274">
        <v>2270</v>
      </c>
      <c r="HT274">
        <v>5</v>
      </c>
      <c r="HU274">
        <v>1</v>
      </c>
      <c r="HV274">
        <v>0</v>
      </c>
      <c r="HW274">
        <v>0</v>
      </c>
      <c r="HX274">
        <v>1</v>
      </c>
      <c r="HY274">
        <v>0</v>
      </c>
      <c r="HZ274">
        <v>63</v>
      </c>
      <c r="IA274">
        <v>2274</v>
      </c>
      <c r="IB274">
        <v>2287</v>
      </c>
      <c r="ID274">
        <v>2324</v>
      </c>
      <c r="IE274">
        <v>2324</v>
      </c>
      <c r="IF274">
        <v>215</v>
      </c>
      <c r="IG274">
        <v>205</v>
      </c>
      <c r="IH274">
        <v>264</v>
      </c>
      <c r="II274">
        <v>1</v>
      </c>
      <c r="IJ274">
        <v>5</v>
      </c>
      <c r="IK274">
        <v>0</v>
      </c>
      <c r="IL274">
        <v>0</v>
      </c>
      <c r="IM274">
        <v>0</v>
      </c>
      <c r="IN274">
        <v>270</v>
      </c>
      <c r="IO274">
        <v>0</v>
      </c>
      <c r="IP274">
        <v>180</v>
      </c>
      <c r="IQ274">
        <v>0</v>
      </c>
      <c r="IR274">
        <v>330</v>
      </c>
      <c r="IS274">
        <v>0</v>
      </c>
      <c r="IT274">
        <v>100</v>
      </c>
      <c r="IU274">
        <v>0</v>
      </c>
      <c r="IV274">
        <v>6.4</v>
      </c>
      <c r="IW274">
        <v>-6</v>
      </c>
      <c r="IX274">
        <v>111</v>
      </c>
      <c r="IY274">
        <v>76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476</v>
      </c>
      <c r="JJ274">
        <v>448</v>
      </c>
      <c r="JK274">
        <v>300</v>
      </c>
      <c r="JL274">
        <v>448</v>
      </c>
      <c r="JM274">
        <v>350</v>
      </c>
      <c r="JN274">
        <v>225</v>
      </c>
      <c r="JO274">
        <v>275</v>
      </c>
      <c r="JP274">
        <v>180</v>
      </c>
      <c r="JQ274">
        <v>220</v>
      </c>
      <c r="JR274">
        <v>349</v>
      </c>
      <c r="JS274">
        <v>220</v>
      </c>
      <c r="JT274">
        <v>0</v>
      </c>
      <c r="JU274">
        <v>0</v>
      </c>
      <c r="JV274">
        <v>335</v>
      </c>
      <c r="JW274">
        <v>307</v>
      </c>
      <c r="JX274">
        <v>344</v>
      </c>
      <c r="JY274">
        <v>334</v>
      </c>
      <c r="JZ274">
        <v>1</v>
      </c>
      <c r="KA274">
        <v>0.2</v>
      </c>
      <c r="KB274">
        <v>0.4</v>
      </c>
      <c r="KC274">
        <v>0.42</v>
      </c>
      <c r="KD274">
        <v>0.28</v>
      </c>
      <c r="KE274">
        <v>0.5</v>
      </c>
      <c r="KF274">
        <v>0.18</v>
      </c>
      <c r="KG274">
        <v>0.12</v>
      </c>
      <c r="KH274">
        <v>3.5</v>
      </c>
      <c r="KI274">
        <v>1</v>
      </c>
      <c r="KJ274">
        <v>5.5</v>
      </c>
      <c r="KK274">
        <v>0</v>
      </c>
      <c r="KL274">
        <v>5.5</v>
      </c>
      <c r="KM274">
        <v>0</v>
      </c>
      <c r="KN274">
        <v>2</v>
      </c>
      <c r="KO274">
        <v>0</v>
      </c>
      <c r="KP274">
        <v>0</v>
      </c>
      <c r="KQ274">
        <v>1.5</v>
      </c>
      <c r="KR274">
        <v>1</v>
      </c>
      <c r="KS274">
        <v>0</v>
      </c>
      <c r="KT274">
        <v>3</v>
      </c>
      <c r="KU274">
        <v>0</v>
      </c>
      <c r="KV274">
        <v>0</v>
      </c>
      <c r="KW274">
        <v>1</v>
      </c>
      <c r="KX274">
        <v>2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3</v>
      </c>
      <c r="LI274">
        <v>1</v>
      </c>
      <c r="LJ274">
        <v>0</v>
      </c>
      <c r="LK274">
        <v>10</v>
      </c>
      <c r="LL274">
        <v>4</v>
      </c>
      <c r="LM274">
        <v>15</v>
      </c>
      <c r="LN274">
        <v>0.1</v>
      </c>
      <c r="LO274">
        <v>0.1</v>
      </c>
      <c r="LP274">
        <v>0</v>
      </c>
      <c r="LQ274">
        <v>0</v>
      </c>
      <c r="LR274">
        <v>0</v>
      </c>
      <c r="LS274">
        <v>1</v>
      </c>
      <c r="LT274">
        <v>0</v>
      </c>
      <c r="LU274">
        <v>0</v>
      </c>
      <c r="LV274">
        <v>0</v>
      </c>
      <c r="LW274">
        <v>2.8</v>
      </c>
      <c r="LX274">
        <v>2.8</v>
      </c>
      <c r="LY274">
        <v>2.8</v>
      </c>
      <c r="LZ274">
        <v>2.8</v>
      </c>
      <c r="MA274">
        <v>0</v>
      </c>
      <c r="MB274">
        <v>12</v>
      </c>
      <c r="MC274">
        <v>0</v>
      </c>
      <c r="MD274">
        <v>4.5</v>
      </c>
      <c r="ME274">
        <v>6</v>
      </c>
      <c r="MF274">
        <v>6</v>
      </c>
      <c r="MG274">
        <v>40</v>
      </c>
      <c r="MH274">
        <v>40</v>
      </c>
      <c r="MI274">
        <v>0</v>
      </c>
      <c r="MJ274">
        <v>0</v>
      </c>
      <c r="ML274">
        <v>0</v>
      </c>
      <c r="MM274">
        <v>484</v>
      </c>
      <c r="MN274">
        <v>210</v>
      </c>
      <c r="MO274">
        <v>262</v>
      </c>
      <c r="NU274">
        <v>0.15</v>
      </c>
      <c r="NV274">
        <v>0.2</v>
      </c>
      <c r="NW274">
        <v>0.2</v>
      </c>
      <c r="NX274">
        <v>0.2</v>
      </c>
      <c r="NY274">
        <v>0.2</v>
      </c>
      <c r="NZ274">
        <v>0.2</v>
      </c>
      <c r="OE274" t="s">
        <v>4989</v>
      </c>
      <c r="OF274" t="s">
        <v>4818</v>
      </c>
      <c r="OG274" t="s">
        <v>4819</v>
      </c>
      <c r="OH274" t="s">
        <v>4043</v>
      </c>
      <c r="OI274" t="s">
        <v>4989</v>
      </c>
      <c r="OJ274" t="s">
        <v>4988</v>
      </c>
      <c r="OK274">
        <v>61</v>
      </c>
      <c r="OL274">
        <v>61</v>
      </c>
      <c r="OM274" t="s">
        <v>4818</v>
      </c>
      <c r="ON274">
        <v>1</v>
      </c>
      <c r="OO274">
        <v>2274</v>
      </c>
      <c r="OP274">
        <v>61</v>
      </c>
      <c r="OQ274">
        <v>61</v>
      </c>
      <c r="OR274" t="s">
        <v>4819</v>
      </c>
      <c r="OS274">
        <v>1</v>
      </c>
      <c r="OT274">
        <v>2287</v>
      </c>
      <c r="OU274">
        <v>65</v>
      </c>
      <c r="OV274">
        <v>65</v>
      </c>
      <c r="OW274" t="s">
        <v>4043</v>
      </c>
      <c r="OX274">
        <v>2</v>
      </c>
      <c r="OY274">
        <v>54322</v>
      </c>
      <c r="OZ274">
        <v>51</v>
      </c>
      <c r="PA274">
        <v>51</v>
      </c>
      <c r="PB274" t="s">
        <v>4989</v>
      </c>
      <c r="PC274">
        <v>3</v>
      </c>
      <c r="PD274">
        <v>2324</v>
      </c>
      <c r="PF274">
        <v>519</v>
      </c>
      <c r="PG274">
        <v>35</v>
      </c>
      <c r="PH274">
        <v>495</v>
      </c>
      <c r="PI274">
        <v>0</v>
      </c>
      <c r="PJ274">
        <v>69.2</v>
      </c>
      <c r="PK274">
        <v>2776</v>
      </c>
      <c r="PL274">
        <v>1474.4</v>
      </c>
      <c r="PM274">
        <v>1105.7</v>
      </c>
      <c r="PN274">
        <v>111.3</v>
      </c>
      <c r="PO274">
        <v>11.6</v>
      </c>
      <c r="PP274">
        <v>12</v>
      </c>
      <c r="PQ274">
        <v>4</v>
      </c>
      <c r="PR274">
        <v>4</v>
      </c>
      <c r="PS274">
        <v>0</v>
      </c>
      <c r="PT274">
        <v>264</v>
      </c>
      <c r="PU274">
        <v>9</v>
      </c>
      <c r="PV274" t="s">
        <v>4072</v>
      </c>
      <c r="PW274" t="s">
        <v>4072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-1</v>
      </c>
      <c r="QF274">
        <v>1</v>
      </c>
      <c r="QG274">
        <v>0</v>
      </c>
      <c r="QH274">
        <v>5</v>
      </c>
      <c r="QI274">
        <v>5</v>
      </c>
      <c r="QJ274">
        <v>5</v>
      </c>
      <c r="QK274">
        <v>233</v>
      </c>
      <c r="QL274">
        <v>510</v>
      </c>
      <c r="QM274">
        <v>9.4</v>
      </c>
      <c r="QN274">
        <v>1465.9</v>
      </c>
      <c r="QO274" t="s">
        <v>3054</v>
      </c>
      <c r="QP274" t="s">
        <v>513</v>
      </c>
      <c r="QQ274">
        <v>0</v>
      </c>
      <c r="QR274" t="s">
        <v>892</v>
      </c>
      <c r="QS274">
        <v>30</v>
      </c>
      <c r="QT274">
        <v>40</v>
      </c>
    </row>
    <row r="275" spans="1:462">
      <c r="A275" t="s">
        <v>3346</v>
      </c>
      <c r="B275" t="s">
        <v>559</v>
      </c>
      <c r="C275" t="s">
        <v>509</v>
      </c>
      <c r="D275" t="s">
        <v>2343</v>
      </c>
      <c r="E275" t="s">
        <v>4036</v>
      </c>
      <c r="H275" t="s">
        <v>604</v>
      </c>
      <c r="I275" t="s">
        <v>605</v>
      </c>
      <c r="J275" t="s">
        <v>628</v>
      </c>
      <c r="K275" t="s">
        <v>606</v>
      </c>
      <c r="L275" t="s">
        <v>564</v>
      </c>
      <c r="M275" t="s">
        <v>512</v>
      </c>
      <c r="O275" t="s">
        <v>513</v>
      </c>
      <c r="P275" t="s">
        <v>517</v>
      </c>
      <c r="Q275" t="s">
        <v>1002</v>
      </c>
      <c r="R275" t="s">
        <v>1003</v>
      </c>
      <c r="S275" t="s">
        <v>4037</v>
      </c>
      <c r="T275" t="s">
        <v>686</v>
      </c>
      <c r="U275" t="s">
        <v>687</v>
      </c>
      <c r="V275" t="s">
        <v>2691</v>
      </c>
      <c r="W275" t="s">
        <v>3058</v>
      </c>
      <c r="X275" t="s">
        <v>3347</v>
      </c>
      <c r="Y275" t="s">
        <v>3348</v>
      </c>
      <c r="Z275" t="s">
        <v>541</v>
      </c>
      <c r="AA275" t="s">
        <v>4038</v>
      </c>
      <c r="AB275" t="s">
        <v>4990</v>
      </c>
      <c r="AC275">
        <v>13</v>
      </c>
      <c r="AD275" t="s">
        <v>3345</v>
      </c>
      <c r="AE275">
        <v>6</v>
      </c>
      <c r="AF275">
        <v>5278</v>
      </c>
      <c r="AG275" t="s">
        <v>4871</v>
      </c>
      <c r="AH275">
        <v>1</v>
      </c>
      <c r="AI275" t="s">
        <v>4041</v>
      </c>
      <c r="AK275" t="s">
        <v>4872</v>
      </c>
      <c r="AL275">
        <v>1</v>
      </c>
      <c r="AM275" t="s">
        <v>582</v>
      </c>
      <c r="AO275" t="s">
        <v>4043</v>
      </c>
      <c r="AP275">
        <v>1</v>
      </c>
      <c r="AR275" t="s">
        <v>4991</v>
      </c>
      <c r="AS275">
        <v>1</v>
      </c>
      <c r="AT275">
        <v>51</v>
      </c>
      <c r="AV275" t="s">
        <v>4078</v>
      </c>
      <c r="AW275">
        <v>6.4</v>
      </c>
      <c r="AX275">
        <v>-6</v>
      </c>
      <c r="AY275">
        <v>108</v>
      </c>
      <c r="AZ275">
        <v>83</v>
      </c>
      <c r="BH275">
        <v>108</v>
      </c>
      <c r="BI275">
        <v>25</v>
      </c>
      <c r="BJ275">
        <v>83</v>
      </c>
      <c r="BK275">
        <v>3</v>
      </c>
      <c r="BL275">
        <v>216</v>
      </c>
      <c r="BM275">
        <v>-6</v>
      </c>
      <c r="BN275">
        <v>0</v>
      </c>
      <c r="BP275">
        <v>0</v>
      </c>
      <c r="BR275">
        <v>210</v>
      </c>
      <c r="BS275">
        <v>200</v>
      </c>
      <c r="BT275">
        <v>2200</v>
      </c>
      <c r="BU275" t="s">
        <v>4127</v>
      </c>
      <c r="BV275" t="s">
        <v>4079</v>
      </c>
      <c r="BW275" t="s">
        <v>4128</v>
      </c>
      <c r="BX275" t="s">
        <v>4081</v>
      </c>
      <c r="BY275" t="s">
        <v>4221</v>
      </c>
      <c r="BZ275" t="s">
        <v>4221</v>
      </c>
      <c r="CA275" t="s">
        <v>4130</v>
      </c>
      <c r="CB275" t="s">
        <v>4131</v>
      </c>
      <c r="CC275" t="s">
        <v>4053</v>
      </c>
      <c r="CD275" t="s">
        <v>4055</v>
      </c>
      <c r="CE275" t="s">
        <v>4055</v>
      </c>
      <c r="CF275" t="s">
        <v>4055</v>
      </c>
      <c r="CG275" t="s">
        <v>4056</v>
      </c>
      <c r="CI275" t="s">
        <v>4086</v>
      </c>
      <c r="CJ275" t="s">
        <v>4059</v>
      </c>
      <c r="CK275" t="s">
        <v>4060</v>
      </c>
      <c r="CL275" t="s">
        <v>4061</v>
      </c>
      <c r="CM275" t="s">
        <v>4055</v>
      </c>
      <c r="CN275" t="s">
        <v>4062</v>
      </c>
      <c r="CO275" t="s">
        <v>4063</v>
      </c>
      <c r="CP275" t="s">
        <v>4055</v>
      </c>
      <c r="CQ275" t="s">
        <v>4055</v>
      </c>
      <c r="CR275">
        <v>5</v>
      </c>
      <c r="CS275" t="s">
        <v>4055</v>
      </c>
      <c r="CT275">
        <v>15</v>
      </c>
      <c r="CU275" t="s">
        <v>4055</v>
      </c>
      <c r="CV275">
        <v>136</v>
      </c>
      <c r="CW275">
        <v>3</v>
      </c>
      <c r="CX275">
        <v>91</v>
      </c>
      <c r="CY275">
        <v>5</v>
      </c>
      <c r="CZ275">
        <v>84</v>
      </c>
      <c r="DA275">
        <v>5</v>
      </c>
      <c r="DB275">
        <v>13910</v>
      </c>
      <c r="DC275">
        <v>410</v>
      </c>
      <c r="DD275">
        <v>370</v>
      </c>
      <c r="DE275">
        <v>2330</v>
      </c>
      <c r="DF275">
        <v>2330</v>
      </c>
      <c r="DG275">
        <v>2340</v>
      </c>
      <c r="DH275">
        <v>3</v>
      </c>
      <c r="DI275" t="s">
        <v>4055</v>
      </c>
      <c r="DJ275" t="s">
        <v>4217</v>
      </c>
      <c r="DK275">
        <v>210</v>
      </c>
      <c r="DL275" t="s">
        <v>4065</v>
      </c>
      <c r="DM275">
        <v>63</v>
      </c>
      <c r="DN275">
        <v>1.26</v>
      </c>
      <c r="DO275">
        <v>1</v>
      </c>
      <c r="DP275">
        <v>2204</v>
      </c>
      <c r="DQ275">
        <v>1117</v>
      </c>
      <c r="DR275" t="s">
        <v>4217</v>
      </c>
      <c r="DS275">
        <v>200</v>
      </c>
      <c r="DT275" t="s">
        <v>4065</v>
      </c>
      <c r="DU275">
        <v>63</v>
      </c>
      <c r="DV275">
        <v>1.26</v>
      </c>
      <c r="DW275">
        <v>1</v>
      </c>
      <c r="DX275">
        <v>2217</v>
      </c>
      <c r="DY275">
        <v>1071</v>
      </c>
      <c r="DZ275" t="s">
        <v>4066</v>
      </c>
      <c r="EA275">
        <v>20</v>
      </c>
      <c r="EB275" t="s">
        <v>4065</v>
      </c>
      <c r="EC275">
        <v>0.8</v>
      </c>
      <c r="ED275">
        <v>2204</v>
      </c>
      <c r="EE275">
        <v>77</v>
      </c>
      <c r="EG275">
        <v>0</v>
      </c>
      <c r="EH275" t="s">
        <v>4065</v>
      </c>
      <c r="EI275">
        <v>0</v>
      </c>
      <c r="EL275" t="s">
        <v>1528</v>
      </c>
      <c r="EM275">
        <v>12</v>
      </c>
      <c r="EN275">
        <v>0.5</v>
      </c>
      <c r="EO275">
        <v>0.96</v>
      </c>
      <c r="EP275">
        <v>2215.84</v>
      </c>
      <c r="EQ275">
        <v>39469.65</v>
      </c>
      <c r="ER275">
        <v>8679.190000000001</v>
      </c>
      <c r="ES275">
        <v>0</v>
      </c>
      <c r="ET275">
        <v>0</v>
      </c>
      <c r="EU275">
        <v>1</v>
      </c>
      <c r="EV275">
        <v>48149</v>
      </c>
      <c r="EW275">
        <v>578</v>
      </c>
      <c r="EX275" t="s">
        <v>4287</v>
      </c>
      <c r="EY275">
        <v>236</v>
      </c>
      <c r="EZ275" t="s">
        <v>4055</v>
      </c>
      <c r="FA275">
        <v>5</v>
      </c>
      <c r="FB275">
        <v>1</v>
      </c>
      <c r="FC275">
        <v>1</v>
      </c>
      <c r="FD275">
        <v>2252</v>
      </c>
      <c r="FE275">
        <v>2904</v>
      </c>
      <c r="FF275" t="s">
        <v>4288</v>
      </c>
      <c r="FG275">
        <v>236</v>
      </c>
      <c r="FH275" t="s">
        <v>4055</v>
      </c>
      <c r="FI275">
        <v>4.1</v>
      </c>
      <c r="FJ275">
        <v>2252</v>
      </c>
      <c r="FK275">
        <v>2395</v>
      </c>
      <c r="FL275" t="s">
        <v>4069</v>
      </c>
      <c r="FM275" t="s">
        <v>4055</v>
      </c>
      <c r="FN275" t="s">
        <v>4055</v>
      </c>
      <c r="FO275" t="s">
        <v>4055</v>
      </c>
      <c r="FP275">
        <v>2252</v>
      </c>
      <c r="FQ275">
        <v>216</v>
      </c>
      <c r="FR275" t="s">
        <v>4090</v>
      </c>
      <c r="FS275">
        <v>240</v>
      </c>
      <c r="FT275" t="s">
        <v>4055</v>
      </c>
      <c r="FU275">
        <v>0.4</v>
      </c>
      <c r="FV275">
        <v>2252</v>
      </c>
      <c r="FW275">
        <v>241</v>
      </c>
      <c r="FX275" t="s">
        <v>4070</v>
      </c>
      <c r="FY275">
        <v>5</v>
      </c>
      <c r="FZ275" t="s">
        <v>4055</v>
      </c>
      <c r="GA275" t="s">
        <v>4055</v>
      </c>
      <c r="GB275">
        <v>2252</v>
      </c>
      <c r="GC275">
        <v>25</v>
      </c>
      <c r="GD275">
        <v>5781</v>
      </c>
      <c r="GE275" t="s">
        <v>4991</v>
      </c>
      <c r="GF275" t="s">
        <v>4055</v>
      </c>
      <c r="GG275" t="s">
        <v>4055</v>
      </c>
      <c r="GH275" t="s">
        <v>4055</v>
      </c>
      <c r="GI275" t="s">
        <v>4071</v>
      </c>
      <c r="GJ275" t="s">
        <v>4055</v>
      </c>
      <c r="GK275" t="s">
        <v>4055</v>
      </c>
      <c r="GL275" t="s">
        <v>4055</v>
      </c>
      <c r="GM275" t="s">
        <v>4055</v>
      </c>
      <c r="GQ275">
        <v>0</v>
      </c>
      <c r="GV275">
        <v>9.5</v>
      </c>
      <c r="GW275">
        <v>11.2</v>
      </c>
      <c r="GX275">
        <v>0.5</v>
      </c>
      <c r="GY275">
        <v>176</v>
      </c>
      <c r="GZ275">
        <v>3</v>
      </c>
      <c r="HA275">
        <v>256</v>
      </c>
      <c r="HB275">
        <v>3</v>
      </c>
      <c r="HC275">
        <v>2252</v>
      </c>
      <c r="HD275">
        <v>4</v>
      </c>
      <c r="HE275" t="s">
        <v>4071</v>
      </c>
      <c r="HG275" t="s">
        <v>549</v>
      </c>
      <c r="HL275">
        <v>4</v>
      </c>
      <c r="HM275">
        <v>19</v>
      </c>
      <c r="HN275">
        <v>6</v>
      </c>
      <c r="HO275">
        <v>1</v>
      </c>
      <c r="HP275">
        <v>0</v>
      </c>
      <c r="HQ275">
        <v>2</v>
      </c>
      <c r="HR275">
        <v>3</v>
      </c>
      <c r="HS275">
        <v>2200</v>
      </c>
      <c r="HT275">
        <v>5</v>
      </c>
      <c r="HU275">
        <v>1</v>
      </c>
      <c r="HV275">
        <v>5</v>
      </c>
      <c r="HW275">
        <v>0</v>
      </c>
      <c r="HX275">
        <v>1</v>
      </c>
      <c r="HY275">
        <v>0</v>
      </c>
      <c r="HZ275">
        <v>63</v>
      </c>
      <c r="IA275">
        <v>2204</v>
      </c>
      <c r="IB275">
        <v>2217</v>
      </c>
      <c r="ID275">
        <v>2252</v>
      </c>
      <c r="IE275">
        <v>2252</v>
      </c>
      <c r="IF275">
        <v>210</v>
      </c>
      <c r="IG275">
        <v>200</v>
      </c>
      <c r="IH275">
        <v>256</v>
      </c>
      <c r="II275">
        <v>1</v>
      </c>
      <c r="IJ275">
        <v>5</v>
      </c>
      <c r="IK275">
        <v>0</v>
      </c>
      <c r="IL275">
        <v>0</v>
      </c>
      <c r="IM275">
        <v>0</v>
      </c>
      <c r="IN275">
        <v>270</v>
      </c>
      <c r="IO275">
        <v>0</v>
      </c>
      <c r="IP275">
        <v>180</v>
      </c>
      <c r="IQ275">
        <v>0</v>
      </c>
      <c r="IR275">
        <v>330</v>
      </c>
      <c r="IS275">
        <v>0</v>
      </c>
      <c r="IT275">
        <v>90</v>
      </c>
      <c r="IU275">
        <v>0</v>
      </c>
      <c r="IV275">
        <v>6.4</v>
      </c>
      <c r="IW275">
        <v>-6</v>
      </c>
      <c r="IX275">
        <v>108</v>
      </c>
      <c r="IY275">
        <v>83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432</v>
      </c>
      <c r="JJ275">
        <v>402</v>
      </c>
      <c r="JK275">
        <v>280</v>
      </c>
      <c r="JL275">
        <v>400</v>
      </c>
      <c r="JM275">
        <v>320</v>
      </c>
      <c r="JN275">
        <v>210</v>
      </c>
      <c r="JO275">
        <v>266</v>
      </c>
      <c r="JP275">
        <v>240</v>
      </c>
      <c r="JQ275">
        <v>270</v>
      </c>
      <c r="JR275">
        <v>320</v>
      </c>
      <c r="JS275">
        <v>260</v>
      </c>
      <c r="JT275">
        <v>0</v>
      </c>
      <c r="JU275">
        <v>0</v>
      </c>
      <c r="JV275">
        <v>315</v>
      </c>
      <c r="JW275">
        <v>310</v>
      </c>
      <c r="JX275">
        <v>290</v>
      </c>
      <c r="JY275">
        <v>280</v>
      </c>
      <c r="JZ275">
        <v>0.5</v>
      </c>
      <c r="KA275">
        <v>0.2</v>
      </c>
      <c r="KB275">
        <v>0.4</v>
      </c>
      <c r="KC275">
        <v>0.42</v>
      </c>
      <c r="KD275">
        <v>0.3</v>
      </c>
      <c r="KE275">
        <v>0.5</v>
      </c>
      <c r="KF275">
        <v>0.2</v>
      </c>
      <c r="KG275">
        <v>0.12</v>
      </c>
      <c r="KH275">
        <v>4.5</v>
      </c>
      <c r="KI275">
        <v>1</v>
      </c>
      <c r="KJ275">
        <v>4.5</v>
      </c>
      <c r="KK275">
        <v>0</v>
      </c>
      <c r="KL275">
        <v>4.5</v>
      </c>
      <c r="KM275">
        <v>0</v>
      </c>
      <c r="KN275">
        <v>2.4</v>
      </c>
      <c r="KO275">
        <v>0</v>
      </c>
      <c r="KP275">
        <v>0</v>
      </c>
      <c r="KQ275">
        <v>0.5</v>
      </c>
      <c r="KR275">
        <v>1</v>
      </c>
      <c r="KS275">
        <v>0</v>
      </c>
      <c r="KT275">
        <v>3.3</v>
      </c>
      <c r="KU275">
        <v>0</v>
      </c>
      <c r="KV275">
        <v>0</v>
      </c>
      <c r="KW275">
        <v>1.2</v>
      </c>
      <c r="KX275">
        <v>1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3</v>
      </c>
      <c r="LI275">
        <v>0.5</v>
      </c>
      <c r="LJ275">
        <v>0</v>
      </c>
      <c r="LK275">
        <v>5.5</v>
      </c>
      <c r="LL275">
        <v>7</v>
      </c>
      <c r="LM275">
        <v>9</v>
      </c>
      <c r="LN275">
        <v>0.1</v>
      </c>
      <c r="LO275">
        <v>1</v>
      </c>
      <c r="LP275">
        <v>0</v>
      </c>
      <c r="LQ275">
        <v>0</v>
      </c>
      <c r="LR275">
        <v>0</v>
      </c>
      <c r="LS275">
        <v>1</v>
      </c>
      <c r="LT275">
        <v>0</v>
      </c>
      <c r="LU275">
        <v>0</v>
      </c>
      <c r="LV275">
        <v>0</v>
      </c>
      <c r="LW275">
        <v>2.4</v>
      </c>
      <c r="LX275">
        <v>2.4</v>
      </c>
      <c r="LY275">
        <v>2.8</v>
      </c>
      <c r="LZ275">
        <v>2.8</v>
      </c>
      <c r="MA275">
        <v>0</v>
      </c>
      <c r="MB275">
        <v>4</v>
      </c>
      <c r="MC275">
        <v>0</v>
      </c>
      <c r="MD275">
        <v>4.5</v>
      </c>
      <c r="ME275">
        <v>6</v>
      </c>
      <c r="MF275">
        <v>6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452</v>
      </c>
      <c r="MN275">
        <v>205</v>
      </c>
      <c r="MO275">
        <v>266</v>
      </c>
      <c r="NU275">
        <v>0.15</v>
      </c>
      <c r="NV275">
        <v>0.2</v>
      </c>
      <c r="NW275">
        <v>0.2</v>
      </c>
      <c r="NX275">
        <v>0.2</v>
      </c>
      <c r="NY275">
        <v>0.2</v>
      </c>
      <c r="NZ275">
        <v>0.2</v>
      </c>
      <c r="OE275" t="s">
        <v>4991</v>
      </c>
      <c r="OF275" t="s">
        <v>4871</v>
      </c>
      <c r="OG275" t="s">
        <v>4872</v>
      </c>
      <c r="OH275" t="s">
        <v>4043</v>
      </c>
      <c r="OI275" t="s">
        <v>4991</v>
      </c>
      <c r="OJ275" t="s">
        <v>4990</v>
      </c>
      <c r="OK275">
        <v>61</v>
      </c>
      <c r="OL275">
        <v>61</v>
      </c>
      <c r="OM275" t="s">
        <v>4871</v>
      </c>
      <c r="ON275">
        <v>1</v>
      </c>
      <c r="OO275">
        <v>2204</v>
      </c>
      <c r="OP275">
        <v>61</v>
      </c>
      <c r="OQ275">
        <v>61</v>
      </c>
      <c r="OR275" t="s">
        <v>4872</v>
      </c>
      <c r="OS275">
        <v>1</v>
      </c>
      <c r="OT275">
        <v>2217</v>
      </c>
      <c r="OU275">
        <v>65</v>
      </c>
      <c r="OV275">
        <v>65</v>
      </c>
      <c r="OW275" t="s">
        <v>4043</v>
      </c>
      <c r="OX275">
        <v>2</v>
      </c>
      <c r="OY275">
        <v>48149</v>
      </c>
      <c r="OZ275">
        <v>51</v>
      </c>
      <c r="PA275">
        <v>51</v>
      </c>
      <c r="PB275" t="s">
        <v>4991</v>
      </c>
      <c r="PC275">
        <v>1</v>
      </c>
      <c r="PD275">
        <v>2252</v>
      </c>
      <c r="PF275">
        <v>507</v>
      </c>
      <c r="PG275">
        <v>35</v>
      </c>
      <c r="PH275">
        <v>483</v>
      </c>
      <c r="PI275">
        <v>0</v>
      </c>
      <c r="PJ275">
        <v>96</v>
      </c>
      <c r="PK275">
        <v>2563</v>
      </c>
      <c r="PL275">
        <v>1289.5</v>
      </c>
      <c r="PM275">
        <v>1063.5</v>
      </c>
      <c r="PN275">
        <v>106.8</v>
      </c>
      <c r="PO275">
        <v>11</v>
      </c>
      <c r="PP275">
        <v>12</v>
      </c>
      <c r="PQ275">
        <v>5</v>
      </c>
      <c r="PR275">
        <v>4</v>
      </c>
      <c r="PS275">
        <v>0</v>
      </c>
      <c r="PT275">
        <v>256</v>
      </c>
      <c r="PU275">
        <v>10</v>
      </c>
      <c r="PV275" t="s">
        <v>4072</v>
      </c>
      <c r="PW275" t="s">
        <v>4072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-1</v>
      </c>
      <c r="QF275">
        <v>1</v>
      </c>
      <c r="QG275">
        <v>0</v>
      </c>
      <c r="QH275">
        <v>5</v>
      </c>
      <c r="QI275">
        <v>5</v>
      </c>
      <c r="QJ275">
        <v>5</v>
      </c>
      <c r="QK275">
        <v>232</v>
      </c>
      <c r="QL275">
        <v>462</v>
      </c>
      <c r="QM275">
        <v>7.5</v>
      </c>
      <c r="QN275">
        <v>1539.3</v>
      </c>
      <c r="QO275" t="s">
        <v>3054</v>
      </c>
      <c r="QP275" t="s">
        <v>513</v>
      </c>
      <c r="QQ275">
        <v>0</v>
      </c>
      <c r="QR275" t="s">
        <v>1343</v>
      </c>
      <c r="QS275">
        <v>40</v>
      </c>
      <c r="QT275">
        <v>50</v>
      </c>
    </row>
    <row r="276" spans="1:462">
      <c r="A276" t="s">
        <v>3354</v>
      </c>
      <c r="B276" t="s">
        <v>564</v>
      </c>
      <c r="C276" t="s">
        <v>509</v>
      </c>
      <c r="D276" t="s">
        <v>2828</v>
      </c>
      <c r="E276" t="s">
        <v>4036</v>
      </c>
      <c r="H276" t="s">
        <v>604</v>
      </c>
      <c r="I276" t="s">
        <v>605</v>
      </c>
      <c r="J276" t="s">
        <v>628</v>
      </c>
      <c r="K276" t="s">
        <v>606</v>
      </c>
      <c r="L276" t="s">
        <v>629</v>
      </c>
      <c r="M276" t="s">
        <v>512</v>
      </c>
      <c r="O276" t="s">
        <v>513</v>
      </c>
      <c r="P276" t="s">
        <v>517</v>
      </c>
      <c r="Q276" t="s">
        <v>1795</v>
      </c>
      <c r="R276" t="s">
        <v>1796</v>
      </c>
      <c r="S276" t="s">
        <v>4037</v>
      </c>
      <c r="T276" t="s">
        <v>1482</v>
      </c>
      <c r="U276" t="s">
        <v>1483</v>
      </c>
      <c r="V276" t="s">
        <v>3098</v>
      </c>
      <c r="W276" t="s">
        <v>3048</v>
      </c>
      <c r="X276" t="s">
        <v>3355</v>
      </c>
      <c r="Y276" t="s">
        <v>3356</v>
      </c>
      <c r="Z276" t="s">
        <v>650</v>
      </c>
      <c r="AA276" t="s">
        <v>3054</v>
      </c>
      <c r="AB276" t="s">
        <v>4992</v>
      </c>
      <c r="AC276">
        <v>13</v>
      </c>
      <c r="AD276" t="s">
        <v>3352</v>
      </c>
      <c r="AE276">
        <v>5</v>
      </c>
      <c r="AF276">
        <v>3074</v>
      </c>
      <c r="AG276" t="s">
        <v>4496</v>
      </c>
      <c r="AH276">
        <v>1</v>
      </c>
      <c r="AI276" t="s">
        <v>4041</v>
      </c>
      <c r="AK276" t="s">
        <v>4497</v>
      </c>
      <c r="AL276">
        <v>1</v>
      </c>
      <c r="AM276" t="s">
        <v>582</v>
      </c>
      <c r="AO276" t="s">
        <v>4353</v>
      </c>
      <c r="AP276">
        <v>1</v>
      </c>
      <c r="AR276" t="s">
        <v>4993</v>
      </c>
      <c r="AS276">
        <v>1</v>
      </c>
      <c r="AT276">
        <v>51</v>
      </c>
      <c r="AV276" t="s">
        <v>4045</v>
      </c>
      <c r="AW276">
        <v>6.4</v>
      </c>
      <c r="AX276">
        <v>-6</v>
      </c>
      <c r="AY276">
        <v>85</v>
      </c>
      <c r="AZ276">
        <v>68</v>
      </c>
      <c r="BH276">
        <v>85</v>
      </c>
      <c r="BI276">
        <v>17</v>
      </c>
      <c r="BJ276">
        <v>68</v>
      </c>
      <c r="BK276">
        <v>2.5</v>
      </c>
      <c r="BL276">
        <v>170</v>
      </c>
      <c r="BM276">
        <v>-6</v>
      </c>
      <c r="BN276">
        <v>0</v>
      </c>
      <c r="BP276">
        <v>0</v>
      </c>
      <c r="BR276">
        <v>165</v>
      </c>
      <c r="BS276">
        <v>155</v>
      </c>
      <c r="BT276">
        <v>1690</v>
      </c>
      <c r="BU276" t="s">
        <v>4355</v>
      </c>
      <c r="BW276" t="s">
        <v>4368</v>
      </c>
      <c r="BY276" t="s">
        <v>4369</v>
      </c>
      <c r="BZ276" t="s">
        <v>4369</v>
      </c>
      <c r="CA276" t="s">
        <v>4370</v>
      </c>
      <c r="CB276" t="s">
        <v>4371</v>
      </c>
      <c r="CC276" t="s">
        <v>4053</v>
      </c>
      <c r="CD276" t="s">
        <v>4372</v>
      </c>
      <c r="CE276" t="s">
        <v>4055</v>
      </c>
      <c r="CF276" t="s">
        <v>4055</v>
      </c>
      <c r="CG276" t="s">
        <v>4056</v>
      </c>
      <c r="CH276" t="s">
        <v>4145</v>
      </c>
      <c r="CI276" t="s">
        <v>4058</v>
      </c>
      <c r="CJ276" t="s">
        <v>4059</v>
      </c>
      <c r="CK276" t="s">
        <v>4060</v>
      </c>
      <c r="CL276" t="s">
        <v>4061</v>
      </c>
      <c r="CM276" t="s">
        <v>4062</v>
      </c>
      <c r="CN276" t="s">
        <v>4055</v>
      </c>
      <c r="CO276" t="s">
        <v>4063</v>
      </c>
      <c r="CP276" t="s">
        <v>4055</v>
      </c>
      <c r="CQ276" t="s">
        <v>4055</v>
      </c>
      <c r="CR276">
        <v>5</v>
      </c>
      <c r="CS276" t="s">
        <v>4055</v>
      </c>
      <c r="CT276" t="s">
        <v>4055</v>
      </c>
      <c r="CU276" t="s">
        <v>4055</v>
      </c>
      <c r="CV276">
        <v>115</v>
      </c>
      <c r="CW276">
        <v>3</v>
      </c>
      <c r="CX276">
        <v>87</v>
      </c>
      <c r="CY276">
        <v>5</v>
      </c>
      <c r="CZ276">
        <v>115</v>
      </c>
      <c r="DA276">
        <v>5</v>
      </c>
      <c r="DB276">
        <v>8140</v>
      </c>
      <c r="DC276">
        <v>240</v>
      </c>
      <c r="DD276">
        <v>260</v>
      </c>
      <c r="DE276">
        <v>1788</v>
      </c>
      <c r="DF276">
        <v>1788</v>
      </c>
      <c r="DG276">
        <v>1811</v>
      </c>
      <c r="DH276" t="s">
        <v>4055</v>
      </c>
      <c r="DI276" t="s">
        <v>4055</v>
      </c>
      <c r="DJ276" t="s">
        <v>4100</v>
      </c>
      <c r="DK276">
        <v>165</v>
      </c>
      <c r="DL276" t="s">
        <v>4101</v>
      </c>
      <c r="DM276">
        <v>63</v>
      </c>
      <c r="DN276">
        <v>0.84</v>
      </c>
      <c r="DO276">
        <v>1</v>
      </c>
      <c r="DP276">
        <v>1693</v>
      </c>
      <c r="DQ276">
        <v>511</v>
      </c>
      <c r="DR276" t="s">
        <v>4100</v>
      </c>
      <c r="DS276">
        <v>155</v>
      </c>
      <c r="DT276" t="s">
        <v>4101</v>
      </c>
      <c r="DU276">
        <v>63</v>
      </c>
      <c r="DV276">
        <v>0.84</v>
      </c>
      <c r="DW276">
        <v>1</v>
      </c>
      <c r="DX276">
        <v>1700</v>
      </c>
      <c r="DY276">
        <v>481</v>
      </c>
      <c r="DZ276" t="s">
        <v>4066</v>
      </c>
      <c r="EA276">
        <v>33</v>
      </c>
      <c r="EB276" t="s">
        <v>4065</v>
      </c>
      <c r="EC276">
        <v>0.4</v>
      </c>
      <c r="ED276">
        <v>1693</v>
      </c>
      <c r="EE276">
        <v>49</v>
      </c>
      <c r="EF276" t="s">
        <v>4066</v>
      </c>
      <c r="EG276">
        <v>33</v>
      </c>
      <c r="EH276" t="s">
        <v>4065</v>
      </c>
      <c r="EI276">
        <v>0.4</v>
      </c>
      <c r="EJ276">
        <v>1700</v>
      </c>
      <c r="EK276">
        <v>49</v>
      </c>
      <c r="EL276" t="s">
        <v>4362</v>
      </c>
      <c r="EM276">
        <v>12</v>
      </c>
      <c r="EN276">
        <v>0.5</v>
      </c>
      <c r="EO276">
        <v>0.77</v>
      </c>
      <c r="EP276">
        <v>1700.56</v>
      </c>
      <c r="EQ276">
        <v>24179.84</v>
      </c>
      <c r="ER276">
        <v>4529.96</v>
      </c>
      <c r="ES276">
        <v>0</v>
      </c>
      <c r="ET276">
        <v>0</v>
      </c>
      <c r="EU276">
        <v>1</v>
      </c>
      <c r="EV276">
        <v>28710</v>
      </c>
      <c r="EW276">
        <v>288</v>
      </c>
      <c r="EX276" t="s">
        <v>4287</v>
      </c>
      <c r="EY276">
        <v>190</v>
      </c>
      <c r="EZ276" t="s">
        <v>4055</v>
      </c>
      <c r="FA276">
        <v>5.8</v>
      </c>
      <c r="FB276">
        <v>1</v>
      </c>
      <c r="FC276">
        <v>1</v>
      </c>
      <c r="FD276">
        <v>1736</v>
      </c>
      <c r="FE276">
        <v>2065</v>
      </c>
      <c r="FF276" t="s">
        <v>4288</v>
      </c>
      <c r="FG276">
        <v>190</v>
      </c>
      <c r="FH276" t="s">
        <v>4055</v>
      </c>
      <c r="FI276">
        <v>3.3</v>
      </c>
      <c r="FJ276">
        <v>1736</v>
      </c>
      <c r="FK276">
        <v>1313</v>
      </c>
      <c r="FL276" t="s">
        <v>4069</v>
      </c>
      <c r="FM276" t="s">
        <v>4055</v>
      </c>
      <c r="FN276" t="s">
        <v>4055</v>
      </c>
      <c r="FO276" t="s">
        <v>4055</v>
      </c>
      <c r="FP276">
        <v>1736</v>
      </c>
      <c r="FQ276">
        <v>140</v>
      </c>
      <c r="FR276" t="s">
        <v>4090</v>
      </c>
      <c r="FS276">
        <v>194</v>
      </c>
      <c r="FT276" t="s">
        <v>4055</v>
      </c>
      <c r="FU276">
        <v>0.4</v>
      </c>
      <c r="FV276">
        <v>1736</v>
      </c>
      <c r="FW276">
        <v>150</v>
      </c>
      <c r="FX276" t="s">
        <v>4070</v>
      </c>
      <c r="FY276">
        <v>5</v>
      </c>
      <c r="FZ276" t="s">
        <v>4055</v>
      </c>
      <c r="GA276" t="s">
        <v>4055</v>
      </c>
      <c r="GB276">
        <v>1736</v>
      </c>
      <c r="GC276">
        <v>19</v>
      </c>
      <c r="GD276">
        <v>3687</v>
      </c>
      <c r="GE276" t="s">
        <v>4993</v>
      </c>
      <c r="GF276" t="s">
        <v>4055</v>
      </c>
      <c r="GG276" t="s">
        <v>4055</v>
      </c>
      <c r="GH276" t="s">
        <v>4055</v>
      </c>
      <c r="GI276" t="s">
        <v>4071</v>
      </c>
      <c r="GJ276" t="s">
        <v>4055</v>
      </c>
      <c r="GK276" t="s">
        <v>4055</v>
      </c>
      <c r="GL276" t="s">
        <v>4055</v>
      </c>
      <c r="GM276" t="s">
        <v>4055</v>
      </c>
      <c r="GQ276">
        <v>0</v>
      </c>
      <c r="GV276">
        <v>9.5</v>
      </c>
      <c r="GW276">
        <v>11.5</v>
      </c>
      <c r="GX276">
        <v>0.5</v>
      </c>
      <c r="GY276">
        <v>160</v>
      </c>
      <c r="GZ276">
        <v>3</v>
      </c>
      <c r="HA276">
        <v>206</v>
      </c>
      <c r="HB276">
        <v>3</v>
      </c>
      <c r="HC276">
        <v>1736</v>
      </c>
      <c r="HD276">
        <v>4</v>
      </c>
      <c r="HE276" t="s">
        <v>4071</v>
      </c>
      <c r="HG276" t="s">
        <v>549</v>
      </c>
      <c r="HL276">
        <v>4</v>
      </c>
      <c r="HM276">
        <v>15</v>
      </c>
      <c r="HN276">
        <v>1</v>
      </c>
      <c r="HO276">
        <v>1</v>
      </c>
      <c r="HP276">
        <v>0</v>
      </c>
      <c r="HQ276">
        <v>0</v>
      </c>
      <c r="HR276">
        <v>3</v>
      </c>
      <c r="HS276">
        <v>1690</v>
      </c>
      <c r="HT276">
        <v>5</v>
      </c>
      <c r="HU276">
        <v>1</v>
      </c>
      <c r="HV276">
        <v>5</v>
      </c>
      <c r="HW276">
        <v>0</v>
      </c>
      <c r="HX276">
        <v>1</v>
      </c>
      <c r="HY276">
        <v>0</v>
      </c>
      <c r="HZ276">
        <v>63</v>
      </c>
      <c r="IA276">
        <v>1693</v>
      </c>
      <c r="IB276">
        <v>1700</v>
      </c>
      <c r="ID276">
        <v>1736</v>
      </c>
      <c r="IE276">
        <v>1736</v>
      </c>
      <c r="IF276">
        <v>165</v>
      </c>
      <c r="IG276">
        <v>155</v>
      </c>
      <c r="IH276">
        <v>206</v>
      </c>
      <c r="II276">
        <v>1</v>
      </c>
      <c r="IJ276">
        <v>5</v>
      </c>
      <c r="IK276">
        <v>0</v>
      </c>
      <c r="IL276">
        <v>2</v>
      </c>
      <c r="IM276">
        <v>0</v>
      </c>
      <c r="IN276">
        <v>270</v>
      </c>
      <c r="IO276">
        <v>0</v>
      </c>
      <c r="IP276">
        <v>180</v>
      </c>
      <c r="IQ276">
        <v>0</v>
      </c>
      <c r="IR276">
        <v>330</v>
      </c>
      <c r="IS276">
        <v>0</v>
      </c>
      <c r="IT276">
        <v>90</v>
      </c>
      <c r="IU276">
        <v>0</v>
      </c>
      <c r="IV276">
        <v>6.4</v>
      </c>
      <c r="IW276">
        <v>-6</v>
      </c>
      <c r="IX276">
        <v>85</v>
      </c>
      <c r="IY276">
        <v>68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302</v>
      </c>
      <c r="JJ276">
        <v>274</v>
      </c>
      <c r="JK276">
        <v>214</v>
      </c>
      <c r="JL276">
        <v>270</v>
      </c>
      <c r="JM276">
        <v>214</v>
      </c>
      <c r="JN276">
        <v>165</v>
      </c>
      <c r="JO276">
        <v>216</v>
      </c>
      <c r="JP276">
        <v>230</v>
      </c>
      <c r="JQ276">
        <v>275</v>
      </c>
      <c r="JR276">
        <v>340</v>
      </c>
      <c r="JS276">
        <v>280</v>
      </c>
      <c r="JT276">
        <v>0</v>
      </c>
      <c r="JU276">
        <v>0</v>
      </c>
      <c r="JV276">
        <v>335</v>
      </c>
      <c r="JW276">
        <v>337</v>
      </c>
      <c r="JX276">
        <v>330</v>
      </c>
      <c r="JY276">
        <v>0</v>
      </c>
      <c r="JZ276">
        <v>1</v>
      </c>
      <c r="KA276">
        <v>0.2</v>
      </c>
      <c r="KB276">
        <v>0.4</v>
      </c>
      <c r="KC276">
        <v>0.42</v>
      </c>
      <c r="KD276">
        <v>0.28</v>
      </c>
      <c r="KE276">
        <v>0.5</v>
      </c>
      <c r="KF276">
        <v>0.17</v>
      </c>
      <c r="KG276">
        <v>0.1</v>
      </c>
      <c r="KH276">
        <v>3.5</v>
      </c>
      <c r="KI276">
        <v>1</v>
      </c>
      <c r="KJ276">
        <v>6.5</v>
      </c>
      <c r="KK276">
        <v>0</v>
      </c>
      <c r="KL276">
        <v>6.5</v>
      </c>
      <c r="KM276">
        <v>0</v>
      </c>
      <c r="KN276">
        <v>1.3</v>
      </c>
      <c r="KO276">
        <v>0</v>
      </c>
      <c r="KP276">
        <v>0</v>
      </c>
      <c r="KQ276">
        <v>0.7</v>
      </c>
      <c r="KR276">
        <v>0.8</v>
      </c>
      <c r="KS276">
        <v>0</v>
      </c>
      <c r="KT276">
        <v>1.5</v>
      </c>
      <c r="KU276">
        <v>0</v>
      </c>
      <c r="KV276">
        <v>0</v>
      </c>
      <c r="KW276">
        <v>1.2</v>
      </c>
      <c r="KX276">
        <v>2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3</v>
      </c>
      <c r="LI276">
        <v>0.5</v>
      </c>
      <c r="LJ276">
        <v>0</v>
      </c>
      <c r="LK276">
        <v>6</v>
      </c>
      <c r="LL276">
        <v>12</v>
      </c>
      <c r="LM276">
        <v>9</v>
      </c>
      <c r="LN276">
        <v>1</v>
      </c>
      <c r="LO276">
        <v>1</v>
      </c>
      <c r="LP276">
        <v>0</v>
      </c>
      <c r="LQ276">
        <v>0</v>
      </c>
      <c r="LR276">
        <v>0</v>
      </c>
      <c r="LS276">
        <v>1</v>
      </c>
      <c r="LT276">
        <v>0</v>
      </c>
      <c r="LU276">
        <v>0</v>
      </c>
      <c r="LV276">
        <v>0</v>
      </c>
      <c r="LW276">
        <v>2.1</v>
      </c>
      <c r="LX276">
        <v>2.1</v>
      </c>
      <c r="LY276">
        <v>2.1</v>
      </c>
      <c r="LZ276">
        <v>2.1</v>
      </c>
      <c r="MA276">
        <v>0</v>
      </c>
      <c r="MB276">
        <v>8</v>
      </c>
      <c r="MC276">
        <v>0</v>
      </c>
      <c r="MD276">
        <v>10</v>
      </c>
      <c r="ME276">
        <v>10</v>
      </c>
      <c r="MF276">
        <v>10</v>
      </c>
      <c r="MG276">
        <v>20</v>
      </c>
      <c r="MH276">
        <v>20</v>
      </c>
      <c r="MI276">
        <v>0</v>
      </c>
      <c r="MJ276">
        <v>0</v>
      </c>
      <c r="ML276">
        <v>0</v>
      </c>
      <c r="MM276">
        <v>326</v>
      </c>
      <c r="MN276">
        <v>160</v>
      </c>
      <c r="MO276">
        <v>216</v>
      </c>
      <c r="NU276">
        <v>0.15</v>
      </c>
      <c r="NV276">
        <v>0.2</v>
      </c>
      <c r="NW276">
        <v>0.2</v>
      </c>
      <c r="NX276">
        <v>0.2</v>
      </c>
      <c r="NY276">
        <v>0.2</v>
      </c>
      <c r="NZ276">
        <v>0.2</v>
      </c>
      <c r="OE276" t="s">
        <v>4993</v>
      </c>
      <c r="OF276" t="s">
        <v>4496</v>
      </c>
      <c r="OG276" t="s">
        <v>4497</v>
      </c>
      <c r="OH276" t="s">
        <v>4353</v>
      </c>
      <c r="OI276" t="s">
        <v>4993</v>
      </c>
      <c r="OJ276" t="s">
        <v>4992</v>
      </c>
      <c r="OK276">
        <v>61</v>
      </c>
      <c r="OL276">
        <v>61</v>
      </c>
      <c r="OM276" t="s">
        <v>4496</v>
      </c>
      <c r="ON276">
        <v>3</v>
      </c>
      <c r="OO276">
        <v>1693</v>
      </c>
      <c r="OP276">
        <v>61</v>
      </c>
      <c r="OQ276">
        <v>61</v>
      </c>
      <c r="OR276" t="s">
        <v>4497</v>
      </c>
      <c r="OS276">
        <v>3</v>
      </c>
      <c r="OT276">
        <v>1700</v>
      </c>
      <c r="OU276">
        <v>65</v>
      </c>
      <c r="OV276">
        <v>65</v>
      </c>
      <c r="OW276" t="s">
        <v>4353</v>
      </c>
      <c r="OX276">
        <v>1</v>
      </c>
      <c r="OY276">
        <v>28710</v>
      </c>
      <c r="OZ276">
        <v>51</v>
      </c>
      <c r="PA276">
        <v>51</v>
      </c>
      <c r="PB276" t="s">
        <v>4993</v>
      </c>
      <c r="PC276">
        <v>2</v>
      </c>
      <c r="PD276">
        <v>1736</v>
      </c>
      <c r="PF276">
        <v>302</v>
      </c>
      <c r="PG276">
        <v>29</v>
      </c>
      <c r="PH276">
        <v>283</v>
      </c>
      <c r="PI276">
        <v>29</v>
      </c>
      <c r="PJ276">
        <v>80.7</v>
      </c>
      <c r="PL276">
        <v>1189.5</v>
      </c>
      <c r="PM276">
        <v>756.3</v>
      </c>
      <c r="PN276">
        <v>86.2</v>
      </c>
      <c r="PO276">
        <v>11</v>
      </c>
      <c r="PP276">
        <v>10</v>
      </c>
      <c r="PQ276">
        <v>2</v>
      </c>
      <c r="PR276" t="s">
        <v>4465</v>
      </c>
      <c r="PS276">
        <v>6</v>
      </c>
      <c r="PT276">
        <v>206</v>
      </c>
      <c r="PU276">
        <v>8</v>
      </c>
      <c r="PV276" t="s">
        <v>4072</v>
      </c>
      <c r="PW276" t="s">
        <v>4072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-1</v>
      </c>
      <c r="QF276">
        <v>1</v>
      </c>
      <c r="QG276">
        <v>0</v>
      </c>
      <c r="QH276">
        <v>5</v>
      </c>
      <c r="QI276">
        <v>5</v>
      </c>
      <c r="QJ276">
        <v>5</v>
      </c>
      <c r="QK276">
        <v>146</v>
      </c>
      <c r="QL276">
        <v>336</v>
      </c>
      <c r="QM276">
        <v>7.5</v>
      </c>
      <c r="QN276">
        <v>1204.3</v>
      </c>
      <c r="QO276" t="s">
        <v>3054</v>
      </c>
      <c r="QP276" t="s">
        <v>513</v>
      </c>
      <c r="QQ276">
        <v>0</v>
      </c>
      <c r="QR276" t="s">
        <v>649</v>
      </c>
      <c r="QS276">
        <v>30</v>
      </c>
      <c r="QT276">
        <v>40</v>
      </c>
    </row>
    <row r="277" spans="1:462">
      <c r="A277" t="s">
        <v>3363</v>
      </c>
      <c r="B277" t="s">
        <v>559</v>
      </c>
      <c r="C277" t="s">
        <v>509</v>
      </c>
      <c r="D277" t="s">
        <v>2805</v>
      </c>
      <c r="E277" t="s">
        <v>4036</v>
      </c>
      <c r="H277" t="s">
        <v>604</v>
      </c>
      <c r="I277" t="s">
        <v>605</v>
      </c>
      <c r="J277" t="s">
        <v>628</v>
      </c>
      <c r="K277" t="s">
        <v>606</v>
      </c>
      <c r="L277" t="s">
        <v>564</v>
      </c>
      <c r="M277" t="s">
        <v>512</v>
      </c>
      <c r="O277" t="s">
        <v>513</v>
      </c>
      <c r="P277" t="s">
        <v>517</v>
      </c>
      <c r="Q277" t="s">
        <v>609</v>
      </c>
      <c r="R277" t="s">
        <v>610</v>
      </c>
      <c r="S277" t="s">
        <v>4091</v>
      </c>
      <c r="T277" t="s">
        <v>520</v>
      </c>
      <c r="U277" t="s">
        <v>521</v>
      </c>
      <c r="V277" t="s">
        <v>2656</v>
      </c>
      <c r="W277" t="s">
        <v>3058</v>
      </c>
      <c r="X277" t="s">
        <v>3364</v>
      </c>
      <c r="Y277" t="s">
        <v>3365</v>
      </c>
      <c r="Z277" t="s">
        <v>541</v>
      </c>
      <c r="AA277" t="s">
        <v>4038</v>
      </c>
      <c r="AB277" t="s">
        <v>4994</v>
      </c>
      <c r="AC277">
        <v>10</v>
      </c>
      <c r="AD277" t="s">
        <v>3362</v>
      </c>
      <c r="AE277">
        <v>6</v>
      </c>
      <c r="AF277">
        <v>4472</v>
      </c>
      <c r="AG277" t="s">
        <v>4525</v>
      </c>
      <c r="AH277">
        <v>1</v>
      </c>
      <c r="AI277" t="s">
        <v>4041</v>
      </c>
      <c r="AK277" t="s">
        <v>4526</v>
      </c>
      <c r="AL277">
        <v>1</v>
      </c>
      <c r="AM277" t="s">
        <v>582</v>
      </c>
      <c r="AO277" t="s">
        <v>4043</v>
      </c>
      <c r="AP277">
        <v>1</v>
      </c>
      <c r="AR277" t="s">
        <v>4995</v>
      </c>
      <c r="AS277">
        <v>1</v>
      </c>
      <c r="AT277">
        <v>51</v>
      </c>
      <c r="AV277" t="s">
        <v>4045</v>
      </c>
      <c r="AW277">
        <v>6.4</v>
      </c>
      <c r="AX277">
        <v>-6</v>
      </c>
      <c r="AY277">
        <v>91</v>
      </c>
      <c r="AZ277">
        <v>82</v>
      </c>
      <c r="BH277">
        <v>91</v>
      </c>
      <c r="BI277">
        <v>9</v>
      </c>
      <c r="BJ277">
        <v>82</v>
      </c>
      <c r="BK277">
        <v>3.5</v>
      </c>
      <c r="BL277">
        <v>182</v>
      </c>
      <c r="BM277">
        <v>-6</v>
      </c>
      <c r="BN277">
        <v>0</v>
      </c>
      <c r="BP277">
        <v>0</v>
      </c>
      <c r="BR277">
        <v>175</v>
      </c>
      <c r="BS277">
        <v>165</v>
      </c>
      <c r="BT277">
        <v>1960</v>
      </c>
      <c r="BU277" t="s">
        <v>4047</v>
      </c>
      <c r="BV277" t="s">
        <v>4096</v>
      </c>
      <c r="BW277" t="s">
        <v>4097</v>
      </c>
      <c r="BX277" t="s">
        <v>4097</v>
      </c>
      <c r="BY277" t="s">
        <v>4050</v>
      </c>
      <c r="BZ277" t="s">
        <v>4050</v>
      </c>
      <c r="CA277" t="s">
        <v>4051</v>
      </c>
      <c r="CB277" t="s">
        <v>4052</v>
      </c>
      <c r="CC277" t="s">
        <v>4053</v>
      </c>
      <c r="CD277" t="s">
        <v>4054</v>
      </c>
      <c r="CE277" t="s">
        <v>4055</v>
      </c>
      <c r="CF277" t="s">
        <v>4055</v>
      </c>
      <c r="CG277" t="s">
        <v>4056</v>
      </c>
      <c r="CH277" t="s">
        <v>4099</v>
      </c>
      <c r="CI277" t="s">
        <v>4058</v>
      </c>
      <c r="CJ277" t="s">
        <v>4059</v>
      </c>
      <c r="CK277" t="s">
        <v>4060</v>
      </c>
      <c r="CL277" t="s">
        <v>4061</v>
      </c>
      <c r="CM277" t="s">
        <v>4062</v>
      </c>
      <c r="CN277" t="s">
        <v>4055</v>
      </c>
      <c r="CO277" t="s">
        <v>4063</v>
      </c>
      <c r="CP277" t="s">
        <v>4055</v>
      </c>
      <c r="CQ277" t="s">
        <v>4055</v>
      </c>
      <c r="CR277">
        <v>5</v>
      </c>
      <c r="CS277" t="s">
        <v>4055</v>
      </c>
      <c r="CT277" t="s">
        <v>4055</v>
      </c>
      <c r="CU277" t="s">
        <v>4055</v>
      </c>
      <c r="CV277">
        <v>115</v>
      </c>
      <c r="CW277">
        <v>3</v>
      </c>
      <c r="CX277">
        <v>68</v>
      </c>
      <c r="CY277">
        <v>5</v>
      </c>
      <c r="CZ277">
        <v>135</v>
      </c>
      <c r="DA277">
        <v>5</v>
      </c>
      <c r="DB277">
        <v>10570</v>
      </c>
      <c r="DC277">
        <v>310</v>
      </c>
      <c r="DD277">
        <v>311</v>
      </c>
      <c r="DE277">
        <v>2070</v>
      </c>
      <c r="DF277">
        <v>2070</v>
      </c>
      <c r="DG277">
        <v>2082</v>
      </c>
      <c r="DH277" t="s">
        <v>4055</v>
      </c>
      <c r="DI277">
        <v>2152</v>
      </c>
      <c r="DJ277" t="s">
        <v>4100</v>
      </c>
      <c r="DK277">
        <v>175</v>
      </c>
      <c r="DL277" t="s">
        <v>4101</v>
      </c>
      <c r="DM277">
        <v>63</v>
      </c>
      <c r="DN277">
        <v>0.84</v>
      </c>
      <c r="DO277">
        <v>1</v>
      </c>
      <c r="DP277">
        <v>1963</v>
      </c>
      <c r="DQ277">
        <v>628</v>
      </c>
      <c r="DR277" t="s">
        <v>4100</v>
      </c>
      <c r="DS277">
        <v>165</v>
      </c>
      <c r="DT277" t="s">
        <v>4101</v>
      </c>
      <c r="DU277">
        <v>63</v>
      </c>
      <c r="DV277">
        <v>0.84</v>
      </c>
      <c r="DW277">
        <v>1</v>
      </c>
      <c r="DX277">
        <v>1970</v>
      </c>
      <c r="DY277">
        <v>595</v>
      </c>
      <c r="DZ277" t="s">
        <v>4066</v>
      </c>
      <c r="EA277">
        <v>33</v>
      </c>
      <c r="EB277" t="s">
        <v>4065</v>
      </c>
      <c r="EC277">
        <v>0.4</v>
      </c>
      <c r="ED277">
        <v>1963</v>
      </c>
      <c r="EE277">
        <v>57</v>
      </c>
      <c r="EF277" t="s">
        <v>4066</v>
      </c>
      <c r="EG277">
        <v>33</v>
      </c>
      <c r="EH277" t="s">
        <v>4065</v>
      </c>
      <c r="EI277">
        <v>0.4</v>
      </c>
      <c r="EJ277">
        <v>1970</v>
      </c>
      <c r="EK277">
        <v>57</v>
      </c>
      <c r="EL277" t="s">
        <v>1528</v>
      </c>
      <c r="EM277">
        <v>12</v>
      </c>
      <c r="EN277">
        <v>0.5</v>
      </c>
      <c r="EO277">
        <v>0.96</v>
      </c>
      <c r="EP277">
        <v>1970.56</v>
      </c>
      <c r="EQ277">
        <v>29866.3</v>
      </c>
      <c r="ER277">
        <v>2779.58</v>
      </c>
      <c r="ES277">
        <v>0</v>
      </c>
      <c r="ET277">
        <v>0</v>
      </c>
      <c r="EU277">
        <v>1</v>
      </c>
      <c r="EV277">
        <v>32646</v>
      </c>
      <c r="EW277">
        <v>392</v>
      </c>
      <c r="EX277" t="s">
        <v>4287</v>
      </c>
      <c r="EY277">
        <v>202</v>
      </c>
      <c r="EZ277" t="s">
        <v>4055</v>
      </c>
      <c r="FA277">
        <v>5.4</v>
      </c>
      <c r="FB277">
        <v>1</v>
      </c>
      <c r="FC277">
        <v>1</v>
      </c>
      <c r="FD277">
        <v>2008</v>
      </c>
      <c r="FE277">
        <v>2328</v>
      </c>
      <c r="FF277" t="s">
        <v>4288</v>
      </c>
      <c r="FG277">
        <v>202</v>
      </c>
      <c r="FH277" t="s">
        <v>4055</v>
      </c>
      <c r="FI277">
        <v>3.9</v>
      </c>
      <c r="FJ277">
        <v>2008</v>
      </c>
      <c r="FK277">
        <v>1753</v>
      </c>
      <c r="FL277" t="s">
        <v>4069</v>
      </c>
      <c r="FM277" t="s">
        <v>4055</v>
      </c>
      <c r="FN277" t="s">
        <v>4055</v>
      </c>
      <c r="FO277" t="s">
        <v>4055</v>
      </c>
      <c r="FP277">
        <v>2008</v>
      </c>
      <c r="FQ277">
        <v>77</v>
      </c>
      <c r="FR277" t="s">
        <v>4090</v>
      </c>
      <c r="FS277">
        <v>206</v>
      </c>
      <c r="FT277" t="s">
        <v>4055</v>
      </c>
      <c r="FU277">
        <v>0.4</v>
      </c>
      <c r="FV277">
        <v>2008</v>
      </c>
      <c r="FW277">
        <v>184</v>
      </c>
      <c r="FX277" t="s">
        <v>4070</v>
      </c>
      <c r="FY277">
        <v>5</v>
      </c>
      <c r="FZ277" t="s">
        <v>4055</v>
      </c>
      <c r="GA277" t="s">
        <v>4055</v>
      </c>
      <c r="GB277">
        <v>2008</v>
      </c>
      <c r="GC277">
        <v>23</v>
      </c>
      <c r="GD277">
        <v>4365</v>
      </c>
      <c r="GE277" t="s">
        <v>4995</v>
      </c>
      <c r="GF277" t="s">
        <v>4055</v>
      </c>
      <c r="GG277" t="s">
        <v>4055</v>
      </c>
      <c r="GH277" t="s">
        <v>4055</v>
      </c>
      <c r="GI277" t="s">
        <v>4071</v>
      </c>
      <c r="GJ277" t="s">
        <v>4055</v>
      </c>
      <c r="GK277" t="s">
        <v>4055</v>
      </c>
      <c r="GL277" t="s">
        <v>4055</v>
      </c>
      <c r="GM277" t="s">
        <v>4055</v>
      </c>
      <c r="GQ277">
        <v>0</v>
      </c>
      <c r="GV277">
        <v>9.699999999999999</v>
      </c>
      <c r="GW277">
        <v>10.5</v>
      </c>
      <c r="GX277">
        <v>0.5</v>
      </c>
      <c r="GY277">
        <v>168</v>
      </c>
      <c r="GZ277">
        <v>3</v>
      </c>
      <c r="HA277">
        <v>214</v>
      </c>
      <c r="HB277">
        <v>3</v>
      </c>
      <c r="HC277">
        <v>2008</v>
      </c>
      <c r="HD277">
        <v>4</v>
      </c>
      <c r="HE277" t="s">
        <v>4071</v>
      </c>
      <c r="HG277" t="s">
        <v>549</v>
      </c>
      <c r="HL277">
        <v>4</v>
      </c>
      <c r="HM277">
        <v>16</v>
      </c>
      <c r="HN277">
        <v>6</v>
      </c>
      <c r="HO277">
        <v>1</v>
      </c>
      <c r="HP277">
        <v>0</v>
      </c>
      <c r="HQ277">
        <v>0</v>
      </c>
      <c r="HR277">
        <v>3</v>
      </c>
      <c r="HS277">
        <v>1960</v>
      </c>
      <c r="HT277">
        <v>5</v>
      </c>
      <c r="HU277">
        <v>1</v>
      </c>
      <c r="HV277">
        <v>5</v>
      </c>
      <c r="HW277">
        <v>0</v>
      </c>
      <c r="HX277">
        <v>1</v>
      </c>
      <c r="HY277">
        <v>0</v>
      </c>
      <c r="HZ277">
        <v>63</v>
      </c>
      <c r="IA277">
        <v>1963</v>
      </c>
      <c r="IB277">
        <v>1970</v>
      </c>
      <c r="ID277">
        <v>2008</v>
      </c>
      <c r="IE277">
        <v>2008</v>
      </c>
      <c r="IF277">
        <v>175</v>
      </c>
      <c r="IG277">
        <v>165</v>
      </c>
      <c r="IH277">
        <v>214</v>
      </c>
      <c r="II277">
        <v>1</v>
      </c>
      <c r="IJ277">
        <v>5</v>
      </c>
      <c r="IK277">
        <v>0</v>
      </c>
      <c r="IL277">
        <v>0</v>
      </c>
      <c r="IM277">
        <v>0</v>
      </c>
      <c r="IN277">
        <v>270</v>
      </c>
      <c r="IO277">
        <v>0</v>
      </c>
      <c r="IP277">
        <v>180</v>
      </c>
      <c r="IQ277">
        <v>0</v>
      </c>
      <c r="IR277">
        <v>330</v>
      </c>
      <c r="IS277">
        <v>0</v>
      </c>
      <c r="IT277">
        <v>90</v>
      </c>
      <c r="IU277">
        <v>0</v>
      </c>
      <c r="IV277">
        <v>6.4</v>
      </c>
      <c r="IW277">
        <v>-6</v>
      </c>
      <c r="IX277">
        <v>91</v>
      </c>
      <c r="IY277">
        <v>82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382</v>
      </c>
      <c r="JJ277">
        <v>346</v>
      </c>
      <c r="JK277">
        <v>240</v>
      </c>
      <c r="JL277">
        <v>342</v>
      </c>
      <c r="JM277">
        <v>270</v>
      </c>
      <c r="JN277">
        <v>180</v>
      </c>
      <c r="JO277">
        <v>214</v>
      </c>
      <c r="JP277">
        <v>215</v>
      </c>
      <c r="JQ277">
        <v>258</v>
      </c>
      <c r="JR277">
        <v>344</v>
      </c>
      <c r="JS277">
        <v>246</v>
      </c>
      <c r="JT277">
        <v>0</v>
      </c>
      <c r="JU277">
        <v>0</v>
      </c>
      <c r="JV277">
        <v>335</v>
      </c>
      <c r="JW277">
        <v>337</v>
      </c>
      <c r="JX277">
        <v>340</v>
      </c>
      <c r="JY277">
        <v>300</v>
      </c>
      <c r="JZ277">
        <v>0.5</v>
      </c>
      <c r="KA277">
        <v>0.2</v>
      </c>
      <c r="KB277">
        <v>0.4</v>
      </c>
      <c r="KC277">
        <v>0.42</v>
      </c>
      <c r="KD277">
        <v>0.28</v>
      </c>
      <c r="KE277">
        <v>0.5</v>
      </c>
      <c r="KF277">
        <v>0.18</v>
      </c>
      <c r="KG277">
        <v>0.1</v>
      </c>
      <c r="KH277">
        <v>3.5</v>
      </c>
      <c r="KI277">
        <v>1</v>
      </c>
      <c r="KJ277">
        <v>4.5</v>
      </c>
      <c r="KK277">
        <v>0</v>
      </c>
      <c r="KL277">
        <v>4.5</v>
      </c>
      <c r="KM277">
        <v>0</v>
      </c>
      <c r="KN277">
        <v>1.8</v>
      </c>
      <c r="KO277">
        <v>0</v>
      </c>
      <c r="KP277">
        <v>0</v>
      </c>
      <c r="KQ277">
        <v>1</v>
      </c>
      <c r="KR277">
        <v>0.8</v>
      </c>
      <c r="KS277">
        <v>0</v>
      </c>
      <c r="KT277">
        <v>2.9</v>
      </c>
      <c r="KU277">
        <v>0</v>
      </c>
      <c r="KV277">
        <v>0</v>
      </c>
      <c r="KW277">
        <v>0.8</v>
      </c>
      <c r="KX277">
        <v>1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3</v>
      </c>
      <c r="LI277">
        <v>0.5</v>
      </c>
      <c r="LJ277">
        <v>0</v>
      </c>
      <c r="LK277">
        <v>4.5</v>
      </c>
      <c r="LL277">
        <v>6</v>
      </c>
      <c r="LM277">
        <v>6</v>
      </c>
      <c r="LN277">
        <v>1</v>
      </c>
      <c r="LO277">
        <v>0.5</v>
      </c>
      <c r="LP277">
        <v>0</v>
      </c>
      <c r="LQ277">
        <v>0</v>
      </c>
      <c r="LR277">
        <v>0</v>
      </c>
      <c r="LS277">
        <v>1</v>
      </c>
      <c r="LT277">
        <v>0</v>
      </c>
      <c r="LU277">
        <v>0</v>
      </c>
      <c r="LV277">
        <v>0</v>
      </c>
      <c r="LW277">
        <v>2.2</v>
      </c>
      <c r="LX277">
        <v>2.2</v>
      </c>
      <c r="LY277">
        <v>2.1</v>
      </c>
      <c r="LZ277">
        <v>2.1</v>
      </c>
      <c r="MA277">
        <v>0</v>
      </c>
      <c r="MB277">
        <v>4</v>
      </c>
      <c r="MC277">
        <v>0</v>
      </c>
      <c r="MD277">
        <v>4.5</v>
      </c>
      <c r="ME277">
        <v>6</v>
      </c>
      <c r="MF277">
        <v>6</v>
      </c>
      <c r="MI277">
        <v>0</v>
      </c>
      <c r="MJ277">
        <v>0</v>
      </c>
      <c r="ML277">
        <v>0</v>
      </c>
      <c r="MM277">
        <v>390</v>
      </c>
      <c r="MN277">
        <v>170</v>
      </c>
      <c r="MO277">
        <v>224</v>
      </c>
      <c r="NH277">
        <v>0</v>
      </c>
      <c r="NJ277">
        <v>0</v>
      </c>
      <c r="NK277">
        <v>0</v>
      </c>
      <c r="NM277">
        <v>0</v>
      </c>
      <c r="NU277">
        <v>0.15</v>
      </c>
      <c r="NV277">
        <v>0.2</v>
      </c>
      <c r="NW277">
        <v>0.2</v>
      </c>
      <c r="NX277">
        <v>2</v>
      </c>
      <c r="NY277">
        <v>2</v>
      </c>
      <c r="NZ277">
        <v>2</v>
      </c>
      <c r="OE277" t="s">
        <v>4995</v>
      </c>
      <c r="OF277" t="s">
        <v>4525</v>
      </c>
      <c r="OG277" t="s">
        <v>4526</v>
      </c>
      <c r="OH277" t="s">
        <v>4043</v>
      </c>
      <c r="OI277" t="s">
        <v>4995</v>
      </c>
      <c r="OJ277" t="s">
        <v>4994</v>
      </c>
      <c r="OK277">
        <v>61</v>
      </c>
      <c r="OL277">
        <v>61</v>
      </c>
      <c r="OM277" t="s">
        <v>4525</v>
      </c>
      <c r="ON277">
        <v>3</v>
      </c>
      <c r="OO277">
        <v>1963</v>
      </c>
      <c r="OP277">
        <v>61</v>
      </c>
      <c r="OQ277">
        <v>61</v>
      </c>
      <c r="OR277" t="s">
        <v>4526</v>
      </c>
      <c r="OS277">
        <v>3</v>
      </c>
      <c r="OT277">
        <v>1970</v>
      </c>
      <c r="OU277">
        <v>65</v>
      </c>
      <c r="OV277">
        <v>65</v>
      </c>
      <c r="OW277" t="s">
        <v>4043</v>
      </c>
      <c r="OX277">
        <v>2</v>
      </c>
      <c r="OY277">
        <v>32646</v>
      </c>
      <c r="OZ277">
        <v>51</v>
      </c>
      <c r="PA277">
        <v>51</v>
      </c>
      <c r="PB277" t="s">
        <v>4995</v>
      </c>
      <c r="PC277">
        <v>4</v>
      </c>
      <c r="PD277">
        <v>2008</v>
      </c>
      <c r="PF277">
        <v>320</v>
      </c>
      <c r="PG277">
        <v>29</v>
      </c>
      <c r="PH277">
        <v>302</v>
      </c>
      <c r="PI277">
        <v>29</v>
      </c>
      <c r="PJ277">
        <v>38.4</v>
      </c>
      <c r="PK277">
        <v>2165</v>
      </c>
      <c r="PL277">
        <v>1159.2</v>
      </c>
      <c r="PM277">
        <v>873.1</v>
      </c>
      <c r="PN277">
        <v>91.59999999999999</v>
      </c>
      <c r="PO277">
        <v>11.3</v>
      </c>
      <c r="PP277">
        <v>12</v>
      </c>
      <c r="PQ277">
        <v>1</v>
      </c>
      <c r="PR277">
        <v>3</v>
      </c>
      <c r="PS277">
        <v>8</v>
      </c>
      <c r="PT277">
        <v>214</v>
      </c>
      <c r="PU277">
        <v>6</v>
      </c>
      <c r="PV277" t="s">
        <v>4072</v>
      </c>
      <c r="PW277" t="s">
        <v>4072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-1</v>
      </c>
      <c r="QF277">
        <v>1</v>
      </c>
      <c r="QG277">
        <v>0</v>
      </c>
      <c r="QH277">
        <v>5</v>
      </c>
      <c r="QI277">
        <v>5</v>
      </c>
      <c r="QJ277">
        <v>5</v>
      </c>
      <c r="QK277">
        <v>186</v>
      </c>
      <c r="QL277">
        <v>416</v>
      </c>
      <c r="QM277">
        <v>7.5</v>
      </c>
      <c r="QN277">
        <v>1282.5</v>
      </c>
      <c r="QO277" t="s">
        <v>3054</v>
      </c>
      <c r="QP277" t="s">
        <v>513</v>
      </c>
      <c r="QQ277">
        <v>0</v>
      </c>
      <c r="QR277" t="s">
        <v>540</v>
      </c>
      <c r="QS277">
        <v>30</v>
      </c>
      <c r="QT277">
        <v>40</v>
      </c>
    </row>
    <row r="278" spans="1:462">
      <c r="A278" t="s">
        <v>3370</v>
      </c>
      <c r="B278" t="s">
        <v>657</v>
      </c>
      <c r="C278" t="s">
        <v>509</v>
      </c>
      <c r="D278" t="s">
        <v>2455</v>
      </c>
      <c r="E278" t="s">
        <v>4036</v>
      </c>
      <c r="H278" t="s">
        <v>604</v>
      </c>
      <c r="I278" t="s">
        <v>605</v>
      </c>
      <c r="K278" t="s">
        <v>606</v>
      </c>
      <c r="L278" t="s">
        <v>559</v>
      </c>
      <c r="M278" t="s">
        <v>512</v>
      </c>
      <c r="O278" t="s">
        <v>513</v>
      </c>
      <c r="P278" t="s">
        <v>517</v>
      </c>
      <c r="Q278" t="s">
        <v>631</v>
      </c>
      <c r="R278" t="s">
        <v>632</v>
      </c>
      <c r="S278" t="s">
        <v>4073</v>
      </c>
      <c r="T278" t="s">
        <v>633</v>
      </c>
      <c r="U278" t="s">
        <v>634</v>
      </c>
      <c r="V278" t="s">
        <v>2392</v>
      </c>
      <c r="W278" t="s">
        <v>3048</v>
      </c>
      <c r="X278" t="s">
        <v>3371</v>
      </c>
      <c r="Y278" t="s">
        <v>3372</v>
      </c>
      <c r="Z278" t="s">
        <v>650</v>
      </c>
      <c r="AA278" t="s">
        <v>4038</v>
      </c>
      <c r="AB278" t="s">
        <v>4996</v>
      </c>
      <c r="AC278">
        <v>14</v>
      </c>
      <c r="AD278" t="s">
        <v>3369</v>
      </c>
      <c r="AE278">
        <v>7</v>
      </c>
      <c r="AF278">
        <v>3994</v>
      </c>
      <c r="AG278" t="s">
        <v>4322</v>
      </c>
      <c r="AH278">
        <v>1</v>
      </c>
      <c r="AI278" t="s">
        <v>4041</v>
      </c>
      <c r="AK278" t="s">
        <v>4323</v>
      </c>
      <c r="AL278">
        <v>1</v>
      </c>
      <c r="AM278" t="s">
        <v>582</v>
      </c>
      <c r="AO278" t="s">
        <v>4353</v>
      </c>
      <c r="AP278">
        <v>1</v>
      </c>
      <c r="AR278" t="s">
        <v>4997</v>
      </c>
      <c r="AS278">
        <v>1</v>
      </c>
      <c r="AT278">
        <v>51</v>
      </c>
      <c r="AV278" t="s">
        <v>4045</v>
      </c>
      <c r="AW278">
        <v>6.4</v>
      </c>
      <c r="AX278">
        <v>-6</v>
      </c>
      <c r="AY278">
        <v>101</v>
      </c>
      <c r="AZ278">
        <v>89</v>
      </c>
      <c r="BH278">
        <v>101</v>
      </c>
      <c r="BI278">
        <v>12</v>
      </c>
      <c r="BJ278">
        <v>89</v>
      </c>
      <c r="BK278">
        <v>3.5</v>
      </c>
      <c r="BL278">
        <v>202</v>
      </c>
      <c r="BM278">
        <v>-6</v>
      </c>
      <c r="BN278">
        <v>0</v>
      </c>
      <c r="BP278">
        <v>0</v>
      </c>
      <c r="BR278">
        <v>195</v>
      </c>
      <c r="BS278">
        <v>185</v>
      </c>
      <c r="BT278">
        <v>1885</v>
      </c>
      <c r="BU278" t="s">
        <v>4047</v>
      </c>
      <c r="BV278" t="s">
        <v>4047</v>
      </c>
      <c r="BW278" t="s">
        <v>4049</v>
      </c>
      <c r="BX278" t="s">
        <v>4049</v>
      </c>
      <c r="BY278" t="s">
        <v>4150</v>
      </c>
      <c r="BZ278" t="s">
        <v>4150</v>
      </c>
      <c r="CA278" t="s">
        <v>4108</v>
      </c>
      <c r="CB278" t="s">
        <v>4109</v>
      </c>
      <c r="CC278" t="s">
        <v>4053</v>
      </c>
      <c r="CD278" t="s">
        <v>4110</v>
      </c>
      <c r="CE278" t="s">
        <v>4055</v>
      </c>
      <c r="CF278" t="s">
        <v>4055</v>
      </c>
      <c r="CG278" t="s">
        <v>4056</v>
      </c>
      <c r="CH278" t="s">
        <v>4057</v>
      </c>
      <c r="CI278" t="s">
        <v>4058</v>
      </c>
      <c r="CJ278" t="s">
        <v>4059</v>
      </c>
      <c r="CK278" t="s">
        <v>4060</v>
      </c>
      <c r="CL278" t="s">
        <v>4061</v>
      </c>
      <c r="CM278" t="s">
        <v>4062</v>
      </c>
      <c r="CN278" t="s">
        <v>4055</v>
      </c>
      <c r="CO278" t="s">
        <v>4063</v>
      </c>
      <c r="CP278" t="s">
        <v>4055</v>
      </c>
      <c r="CQ278" t="s">
        <v>4055</v>
      </c>
      <c r="CR278">
        <v>5</v>
      </c>
      <c r="CS278">
        <v>15</v>
      </c>
      <c r="CT278" t="s">
        <v>4055</v>
      </c>
      <c r="CU278" t="s">
        <v>4055</v>
      </c>
      <c r="CV278">
        <v>123</v>
      </c>
      <c r="CW278">
        <v>3</v>
      </c>
      <c r="CX278">
        <v>102</v>
      </c>
      <c r="CY278">
        <v>5</v>
      </c>
      <c r="CZ278">
        <v>134</v>
      </c>
      <c r="DA278">
        <v>5</v>
      </c>
      <c r="DB278">
        <v>10290</v>
      </c>
      <c r="DC278">
        <v>300</v>
      </c>
      <c r="DD278">
        <v>304</v>
      </c>
      <c r="DE278">
        <v>1995</v>
      </c>
      <c r="DF278">
        <v>1995</v>
      </c>
      <c r="DG278">
        <v>2007</v>
      </c>
      <c r="DH278" t="s">
        <v>4055</v>
      </c>
      <c r="DI278" t="s">
        <v>4055</v>
      </c>
      <c r="DJ278" t="s">
        <v>4100</v>
      </c>
      <c r="DK278">
        <v>195</v>
      </c>
      <c r="DL278" t="s">
        <v>4101</v>
      </c>
      <c r="DM278">
        <v>63</v>
      </c>
      <c r="DN278">
        <v>0.84</v>
      </c>
      <c r="DO278">
        <v>1</v>
      </c>
      <c r="DP278">
        <v>1888</v>
      </c>
      <c r="DQ278">
        <v>672</v>
      </c>
      <c r="DR278" t="s">
        <v>4100</v>
      </c>
      <c r="DS278">
        <v>185</v>
      </c>
      <c r="DT278" t="s">
        <v>4101</v>
      </c>
      <c r="DU278">
        <v>63</v>
      </c>
      <c r="DV278">
        <v>0.84</v>
      </c>
      <c r="DW278">
        <v>1</v>
      </c>
      <c r="DX278">
        <v>1895</v>
      </c>
      <c r="DY278">
        <v>641</v>
      </c>
      <c r="DZ278" t="s">
        <v>4066</v>
      </c>
      <c r="EA278">
        <v>33</v>
      </c>
      <c r="EB278" t="s">
        <v>4065</v>
      </c>
      <c r="EC278">
        <v>0.4</v>
      </c>
      <c r="ED278">
        <v>1888</v>
      </c>
      <c r="EE278">
        <v>55</v>
      </c>
      <c r="EF278" t="s">
        <v>4066</v>
      </c>
      <c r="EG278">
        <v>33</v>
      </c>
      <c r="EH278" t="s">
        <v>4065</v>
      </c>
      <c r="EI278">
        <v>0.4</v>
      </c>
      <c r="EJ278">
        <v>1895</v>
      </c>
      <c r="EK278">
        <v>55</v>
      </c>
      <c r="EL278" t="s">
        <v>4362</v>
      </c>
      <c r="EM278">
        <v>12</v>
      </c>
      <c r="EN278">
        <v>0.5</v>
      </c>
      <c r="EO278">
        <v>0.77</v>
      </c>
      <c r="EP278">
        <v>1895.56</v>
      </c>
      <c r="EQ278">
        <v>31691.39</v>
      </c>
      <c r="ER278">
        <v>3563.25</v>
      </c>
      <c r="ES278">
        <v>0</v>
      </c>
      <c r="ET278">
        <v>0</v>
      </c>
      <c r="EU278">
        <v>1</v>
      </c>
      <c r="EV278">
        <v>35255</v>
      </c>
      <c r="EW278">
        <v>353</v>
      </c>
      <c r="EX278" t="s">
        <v>4287</v>
      </c>
      <c r="EY278">
        <v>206</v>
      </c>
      <c r="EZ278" t="s">
        <v>4055</v>
      </c>
      <c r="FA278">
        <v>5</v>
      </c>
      <c r="FB278">
        <v>1</v>
      </c>
      <c r="FC278">
        <v>1</v>
      </c>
      <c r="FD278">
        <v>1930</v>
      </c>
      <c r="FE278">
        <v>2210</v>
      </c>
      <c r="FF278" t="s">
        <v>4288</v>
      </c>
      <c r="FG278">
        <v>206</v>
      </c>
      <c r="FH278" t="s">
        <v>4055</v>
      </c>
      <c r="FI278">
        <v>4</v>
      </c>
      <c r="FJ278">
        <v>1930</v>
      </c>
      <c r="FK278">
        <v>1886</v>
      </c>
      <c r="FL278" t="s">
        <v>4069</v>
      </c>
      <c r="FM278" t="s">
        <v>4055</v>
      </c>
      <c r="FN278" t="s">
        <v>4055</v>
      </c>
      <c r="FO278" t="s">
        <v>4055</v>
      </c>
      <c r="FP278">
        <v>1930</v>
      </c>
      <c r="FQ278">
        <v>221</v>
      </c>
      <c r="FR278" t="s">
        <v>4090</v>
      </c>
      <c r="FS278">
        <v>210</v>
      </c>
      <c r="FT278" t="s">
        <v>4055</v>
      </c>
      <c r="FU278">
        <v>0.4</v>
      </c>
      <c r="FV278">
        <v>1930</v>
      </c>
      <c r="FW278">
        <v>180</v>
      </c>
      <c r="FX278" t="s">
        <v>4070</v>
      </c>
      <c r="FY278">
        <v>5</v>
      </c>
      <c r="FZ278" t="s">
        <v>4055</v>
      </c>
      <c r="GA278" t="s">
        <v>4055</v>
      </c>
      <c r="GB278">
        <v>1930</v>
      </c>
      <c r="GC278">
        <v>21</v>
      </c>
      <c r="GD278">
        <v>4518</v>
      </c>
      <c r="GE278" t="s">
        <v>4997</v>
      </c>
      <c r="GF278" t="s">
        <v>4055</v>
      </c>
      <c r="GG278" t="s">
        <v>4055</v>
      </c>
      <c r="GH278" t="s">
        <v>4055</v>
      </c>
      <c r="GI278" t="s">
        <v>4071</v>
      </c>
      <c r="GJ278" t="s">
        <v>4055</v>
      </c>
      <c r="GK278" t="s">
        <v>4055</v>
      </c>
      <c r="GL278" t="s">
        <v>4055</v>
      </c>
      <c r="GM278" t="s">
        <v>4055</v>
      </c>
      <c r="GQ278">
        <v>0</v>
      </c>
      <c r="GV278">
        <v>9.4</v>
      </c>
      <c r="GW278">
        <v>11.5</v>
      </c>
      <c r="GX278">
        <v>0.5</v>
      </c>
      <c r="GY278">
        <v>186</v>
      </c>
      <c r="GZ278">
        <v>3</v>
      </c>
      <c r="HA278">
        <v>228</v>
      </c>
      <c r="HB278">
        <v>3</v>
      </c>
      <c r="HC278">
        <v>1930</v>
      </c>
      <c r="HD278">
        <v>4</v>
      </c>
      <c r="HE278" t="s">
        <v>4071</v>
      </c>
      <c r="HG278" t="s">
        <v>549</v>
      </c>
      <c r="HL278">
        <v>4</v>
      </c>
      <c r="HM278">
        <v>17</v>
      </c>
      <c r="HN278">
        <v>1</v>
      </c>
      <c r="HO278">
        <v>1</v>
      </c>
      <c r="HP278">
        <v>0</v>
      </c>
      <c r="HQ278">
        <v>0</v>
      </c>
      <c r="HR278">
        <v>1</v>
      </c>
      <c r="HS278">
        <v>1885</v>
      </c>
      <c r="HT278">
        <v>5</v>
      </c>
      <c r="HU278">
        <v>1</v>
      </c>
      <c r="HV278">
        <v>5</v>
      </c>
      <c r="HW278">
        <v>0</v>
      </c>
      <c r="HX278">
        <v>1</v>
      </c>
      <c r="HY278">
        <v>0</v>
      </c>
      <c r="HZ278">
        <v>63</v>
      </c>
      <c r="IA278">
        <v>1888</v>
      </c>
      <c r="IB278">
        <v>1895</v>
      </c>
      <c r="ID278">
        <v>1930</v>
      </c>
      <c r="IE278">
        <v>1930</v>
      </c>
      <c r="IF278">
        <v>195</v>
      </c>
      <c r="IG278">
        <v>185</v>
      </c>
      <c r="IH278">
        <v>228</v>
      </c>
      <c r="II278">
        <v>1</v>
      </c>
      <c r="IJ278">
        <v>5</v>
      </c>
      <c r="IK278">
        <v>0</v>
      </c>
      <c r="IL278">
        <v>2</v>
      </c>
      <c r="IM278">
        <v>0</v>
      </c>
      <c r="IN278">
        <v>270</v>
      </c>
      <c r="IO278">
        <v>0</v>
      </c>
      <c r="IP278">
        <v>180</v>
      </c>
      <c r="IQ278">
        <v>0</v>
      </c>
      <c r="IR278">
        <v>330</v>
      </c>
      <c r="IS278">
        <v>0</v>
      </c>
      <c r="IT278">
        <v>90</v>
      </c>
      <c r="IU278">
        <v>0</v>
      </c>
      <c r="IV278">
        <v>6.4</v>
      </c>
      <c r="IW278">
        <v>-6</v>
      </c>
      <c r="IX278">
        <v>101</v>
      </c>
      <c r="IY278">
        <v>89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342</v>
      </c>
      <c r="JJ278">
        <v>312</v>
      </c>
      <c r="JK278">
        <v>230</v>
      </c>
      <c r="JL278">
        <v>310</v>
      </c>
      <c r="JM278">
        <v>255</v>
      </c>
      <c r="JN278">
        <v>205</v>
      </c>
      <c r="JO278">
        <v>242</v>
      </c>
      <c r="JP278">
        <v>205</v>
      </c>
      <c r="JQ278">
        <v>265</v>
      </c>
      <c r="JR278">
        <v>336</v>
      </c>
      <c r="JS278">
        <v>280</v>
      </c>
      <c r="JT278">
        <v>0</v>
      </c>
      <c r="JU278">
        <v>0</v>
      </c>
      <c r="JV278">
        <v>300</v>
      </c>
      <c r="JW278">
        <v>292</v>
      </c>
      <c r="JX278">
        <v>296</v>
      </c>
      <c r="JY278">
        <v>290</v>
      </c>
      <c r="JZ278">
        <v>0.5</v>
      </c>
      <c r="KA278">
        <v>0.25</v>
      </c>
      <c r="KB278">
        <v>0.4</v>
      </c>
      <c r="KC278">
        <v>0.42</v>
      </c>
      <c r="KD278">
        <v>0.28</v>
      </c>
      <c r="KE278">
        <v>0.5</v>
      </c>
      <c r="KF278">
        <v>0.21</v>
      </c>
      <c r="KG278">
        <v>0.1</v>
      </c>
      <c r="KH278">
        <v>4.5</v>
      </c>
      <c r="KI278">
        <v>0</v>
      </c>
      <c r="KJ278">
        <v>4.5</v>
      </c>
      <c r="KK278">
        <v>0.5</v>
      </c>
      <c r="KL278">
        <v>4.5</v>
      </c>
      <c r="KM278">
        <v>0.5</v>
      </c>
      <c r="KN278">
        <v>1.7</v>
      </c>
      <c r="KO278">
        <v>0</v>
      </c>
      <c r="KP278">
        <v>0</v>
      </c>
      <c r="KQ278">
        <v>0.7</v>
      </c>
      <c r="KR278">
        <v>1.2</v>
      </c>
      <c r="KS278">
        <v>0.2</v>
      </c>
      <c r="KT278">
        <v>2.8</v>
      </c>
      <c r="KU278">
        <v>0</v>
      </c>
      <c r="KV278">
        <v>0</v>
      </c>
      <c r="KW278">
        <v>1</v>
      </c>
      <c r="KX278">
        <v>2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3</v>
      </c>
      <c r="LI278">
        <v>0.5</v>
      </c>
      <c r="LJ278">
        <v>0</v>
      </c>
      <c r="LK278">
        <v>4.5</v>
      </c>
      <c r="LL278">
        <v>4.5</v>
      </c>
      <c r="LM278">
        <v>7</v>
      </c>
      <c r="LN278">
        <v>0.4</v>
      </c>
      <c r="LO278">
        <v>3.5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1.2</v>
      </c>
      <c r="LX278">
        <v>1.2</v>
      </c>
      <c r="LY278">
        <v>1.8</v>
      </c>
      <c r="LZ278">
        <v>1.8</v>
      </c>
      <c r="MA278">
        <v>0</v>
      </c>
      <c r="MB278">
        <v>2.5</v>
      </c>
      <c r="MC278">
        <v>0</v>
      </c>
      <c r="MD278">
        <v>4.5</v>
      </c>
      <c r="ME278">
        <v>6</v>
      </c>
      <c r="MF278">
        <v>6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388</v>
      </c>
      <c r="MN278">
        <v>235</v>
      </c>
      <c r="MO278">
        <v>245</v>
      </c>
      <c r="NU278">
        <v>0.2</v>
      </c>
      <c r="NV278">
        <v>0.4</v>
      </c>
      <c r="NW278">
        <v>0.4</v>
      </c>
      <c r="NX278">
        <v>2</v>
      </c>
      <c r="NY278">
        <v>2</v>
      </c>
      <c r="NZ278">
        <v>2</v>
      </c>
      <c r="OE278" t="s">
        <v>4997</v>
      </c>
      <c r="OF278" t="s">
        <v>4322</v>
      </c>
      <c r="OG278" t="s">
        <v>4323</v>
      </c>
      <c r="OH278" t="s">
        <v>4353</v>
      </c>
      <c r="OI278" t="s">
        <v>4997</v>
      </c>
      <c r="OJ278" t="s">
        <v>4996</v>
      </c>
      <c r="OK278">
        <v>61</v>
      </c>
      <c r="OL278">
        <v>61</v>
      </c>
      <c r="OM278" t="s">
        <v>4322</v>
      </c>
      <c r="ON278">
        <v>3</v>
      </c>
      <c r="OO278">
        <v>1888</v>
      </c>
      <c r="OP278">
        <v>61</v>
      </c>
      <c r="OQ278">
        <v>61</v>
      </c>
      <c r="OR278" t="s">
        <v>4323</v>
      </c>
      <c r="OS278">
        <v>3</v>
      </c>
      <c r="OT278">
        <v>1895</v>
      </c>
      <c r="OU278">
        <v>65</v>
      </c>
      <c r="OV278">
        <v>65</v>
      </c>
      <c r="OW278" t="s">
        <v>4353</v>
      </c>
      <c r="OX278">
        <v>1</v>
      </c>
      <c r="OY278">
        <v>35255</v>
      </c>
      <c r="OZ278">
        <v>51</v>
      </c>
      <c r="PA278">
        <v>51</v>
      </c>
      <c r="PB278" t="s">
        <v>4997</v>
      </c>
      <c r="PC278">
        <v>4</v>
      </c>
      <c r="PD278">
        <v>1930</v>
      </c>
      <c r="PF278">
        <v>356</v>
      </c>
      <c r="PG278">
        <v>29</v>
      </c>
      <c r="PH278">
        <v>338</v>
      </c>
      <c r="PI278">
        <v>29</v>
      </c>
      <c r="PJ278">
        <v>114.6</v>
      </c>
      <c r="PK278">
        <v>2351</v>
      </c>
      <c r="PL278">
        <v>1144.9</v>
      </c>
      <c r="PM278">
        <v>977.2</v>
      </c>
      <c r="PN278">
        <v>93.40000000000001</v>
      </c>
      <c r="PO278">
        <v>10.9</v>
      </c>
      <c r="PP278">
        <v>10</v>
      </c>
      <c r="PQ278">
        <v>1</v>
      </c>
      <c r="PR278">
        <v>1</v>
      </c>
      <c r="PS278">
        <v>7</v>
      </c>
      <c r="PT278">
        <v>228</v>
      </c>
      <c r="PU278">
        <v>11</v>
      </c>
      <c r="PV278" t="s">
        <v>4072</v>
      </c>
      <c r="PW278" t="s">
        <v>4072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-1</v>
      </c>
      <c r="QF278">
        <v>1</v>
      </c>
      <c r="QG278">
        <v>0</v>
      </c>
      <c r="QH278">
        <v>5</v>
      </c>
      <c r="QI278">
        <v>5</v>
      </c>
      <c r="QJ278">
        <v>5</v>
      </c>
      <c r="QK278">
        <v>164</v>
      </c>
      <c r="QL278">
        <v>376</v>
      </c>
      <c r="QM278">
        <v>7.5</v>
      </c>
      <c r="QN278">
        <v>1379.8</v>
      </c>
      <c r="QO278" t="s">
        <v>3054</v>
      </c>
      <c r="QP278" t="s">
        <v>513</v>
      </c>
      <c r="QQ278">
        <v>0</v>
      </c>
      <c r="QR278" t="s">
        <v>649</v>
      </c>
      <c r="QS278">
        <v>30</v>
      </c>
      <c r="QT278">
        <v>40</v>
      </c>
    </row>
    <row r="279" spans="1:462">
      <c r="A279" t="s">
        <v>3379</v>
      </c>
      <c r="B279" t="s">
        <v>564</v>
      </c>
      <c r="C279" t="s">
        <v>509</v>
      </c>
      <c r="D279" t="s">
        <v>3378</v>
      </c>
      <c r="E279" t="s">
        <v>4036</v>
      </c>
      <c r="J279" t="s">
        <v>628</v>
      </c>
      <c r="K279" t="s">
        <v>606</v>
      </c>
      <c r="L279" t="s">
        <v>629</v>
      </c>
      <c r="M279" t="s">
        <v>512</v>
      </c>
      <c r="O279" t="s">
        <v>513</v>
      </c>
      <c r="P279" t="s">
        <v>517</v>
      </c>
      <c r="Q279" t="s">
        <v>1187</v>
      </c>
      <c r="R279" t="s">
        <v>1103</v>
      </c>
      <c r="S279" t="s">
        <v>4091</v>
      </c>
      <c r="T279" t="s">
        <v>662</v>
      </c>
      <c r="U279" t="s">
        <v>663</v>
      </c>
      <c r="V279" t="s">
        <v>2809</v>
      </c>
      <c r="W279" t="s">
        <v>3048</v>
      </c>
      <c r="X279" t="s">
        <v>3380</v>
      </c>
      <c r="Y279" t="s">
        <v>3381</v>
      </c>
      <c r="Z279" t="s">
        <v>541</v>
      </c>
      <c r="AA279" t="s">
        <v>4038</v>
      </c>
      <c r="AB279" t="s">
        <v>4998</v>
      </c>
      <c r="AC279">
        <v>14</v>
      </c>
      <c r="AD279" t="s">
        <v>3377</v>
      </c>
      <c r="AE279">
        <v>5</v>
      </c>
      <c r="AF279">
        <v>6088</v>
      </c>
      <c r="AG279" t="s">
        <v>4826</v>
      </c>
      <c r="AH279">
        <v>1</v>
      </c>
      <c r="AI279" t="s">
        <v>4041</v>
      </c>
      <c r="AK279" t="s">
        <v>4827</v>
      </c>
      <c r="AL279">
        <v>1</v>
      </c>
      <c r="AM279" t="s">
        <v>582</v>
      </c>
      <c r="AO279" t="s">
        <v>4043</v>
      </c>
      <c r="AP279">
        <v>1</v>
      </c>
      <c r="AR279" t="s">
        <v>4999</v>
      </c>
      <c r="AS279">
        <v>1</v>
      </c>
      <c r="AT279">
        <v>51</v>
      </c>
      <c r="AV279" t="s">
        <v>4078</v>
      </c>
      <c r="AW279">
        <v>6.4</v>
      </c>
      <c r="AX279">
        <v>-6</v>
      </c>
      <c r="AY279">
        <v>101</v>
      </c>
      <c r="AZ279">
        <v>83</v>
      </c>
      <c r="BH279">
        <v>101</v>
      </c>
      <c r="BI279">
        <v>18</v>
      </c>
      <c r="BJ279">
        <v>83</v>
      </c>
      <c r="BK279">
        <v>3.5</v>
      </c>
      <c r="BL279">
        <v>202</v>
      </c>
      <c r="BM279">
        <v>-6</v>
      </c>
      <c r="BN279">
        <v>0</v>
      </c>
      <c r="BP279">
        <v>0</v>
      </c>
      <c r="BR279">
        <v>195</v>
      </c>
      <c r="BS279">
        <v>185</v>
      </c>
      <c r="BT279">
        <v>2235</v>
      </c>
      <c r="BU279" t="s">
        <v>4079</v>
      </c>
      <c r="BV279" t="s">
        <v>4079</v>
      </c>
      <c r="BW279" t="s">
        <v>4081</v>
      </c>
      <c r="BX279" t="s">
        <v>4081</v>
      </c>
      <c r="BY279" t="s">
        <v>4215</v>
      </c>
      <c r="BZ279" t="s">
        <v>4215</v>
      </c>
      <c r="CA279" t="s">
        <v>4118</v>
      </c>
      <c r="CB279" t="s">
        <v>4119</v>
      </c>
      <c r="CC279" t="s">
        <v>4053</v>
      </c>
      <c r="CD279" t="s">
        <v>4121</v>
      </c>
      <c r="CE279" t="s">
        <v>4055</v>
      </c>
      <c r="CF279" t="s">
        <v>4055</v>
      </c>
      <c r="CG279" t="s">
        <v>4056</v>
      </c>
      <c r="CI279" t="s">
        <v>4058</v>
      </c>
      <c r="CJ279" t="s">
        <v>4059</v>
      </c>
      <c r="CK279" t="s">
        <v>4060</v>
      </c>
      <c r="CL279" t="s">
        <v>4061</v>
      </c>
      <c r="CM279" t="s">
        <v>4062</v>
      </c>
      <c r="CN279" t="s">
        <v>4055</v>
      </c>
      <c r="CO279" t="s">
        <v>4063</v>
      </c>
      <c r="CP279" t="s">
        <v>4055</v>
      </c>
      <c r="CQ279" t="s">
        <v>4055</v>
      </c>
      <c r="CR279">
        <v>5</v>
      </c>
      <c r="CS279" t="s">
        <v>4055</v>
      </c>
      <c r="CT279" t="s">
        <v>4055</v>
      </c>
      <c r="CU279" t="s">
        <v>4055</v>
      </c>
      <c r="CV279">
        <v>135</v>
      </c>
      <c r="CW279">
        <v>3</v>
      </c>
      <c r="CX279">
        <v>80</v>
      </c>
      <c r="CY279">
        <v>5</v>
      </c>
      <c r="CZ279">
        <v>71</v>
      </c>
      <c r="DA279">
        <v>5</v>
      </c>
      <c r="DB279">
        <v>14860</v>
      </c>
      <c r="DC279">
        <v>270</v>
      </c>
      <c r="DD279">
        <v>342</v>
      </c>
      <c r="DE279">
        <v>2362</v>
      </c>
      <c r="DF279">
        <v>2362</v>
      </c>
      <c r="DG279">
        <v>2368</v>
      </c>
      <c r="DH279" t="s">
        <v>4055</v>
      </c>
      <c r="DI279" t="s">
        <v>4055</v>
      </c>
      <c r="DJ279" t="s">
        <v>4087</v>
      </c>
      <c r="DK279">
        <v>195</v>
      </c>
      <c r="DL279" t="s">
        <v>4065</v>
      </c>
      <c r="DM279">
        <v>63</v>
      </c>
      <c r="DN279">
        <v>1.36</v>
      </c>
      <c r="DO279">
        <v>1</v>
      </c>
      <c r="DP279">
        <v>2239</v>
      </c>
      <c r="DQ279">
        <v>1099</v>
      </c>
      <c r="DR279" t="s">
        <v>4087</v>
      </c>
      <c r="DS279">
        <v>185</v>
      </c>
      <c r="DT279" t="s">
        <v>4065</v>
      </c>
      <c r="DU279">
        <v>63</v>
      </c>
      <c r="DV279">
        <v>1.36</v>
      </c>
      <c r="DW279">
        <v>1</v>
      </c>
      <c r="DX279">
        <v>2253</v>
      </c>
      <c r="DY279">
        <v>1050</v>
      </c>
      <c r="DZ279" t="s">
        <v>4066</v>
      </c>
      <c r="EA279">
        <v>20</v>
      </c>
      <c r="EB279" t="s">
        <v>4065</v>
      </c>
      <c r="EC279">
        <v>0.8</v>
      </c>
      <c r="ED279">
        <v>2239</v>
      </c>
      <c r="EE279">
        <v>78</v>
      </c>
      <c r="EG279">
        <v>0</v>
      </c>
      <c r="EH279" t="s">
        <v>4065</v>
      </c>
      <c r="EI279">
        <v>0</v>
      </c>
      <c r="EL279" t="s">
        <v>1528</v>
      </c>
      <c r="EM279">
        <v>12</v>
      </c>
      <c r="EN279">
        <v>0.5</v>
      </c>
      <c r="EO279">
        <v>0.96</v>
      </c>
      <c r="EP279">
        <v>2252.1</v>
      </c>
      <c r="EQ279">
        <v>37652.3</v>
      </c>
      <c r="ER279">
        <v>6351</v>
      </c>
      <c r="ES279">
        <v>0</v>
      </c>
      <c r="ET279">
        <v>0</v>
      </c>
      <c r="EU279">
        <v>1</v>
      </c>
      <c r="EV279">
        <v>44004</v>
      </c>
      <c r="EW279">
        <v>529</v>
      </c>
      <c r="EX279" t="s">
        <v>4287</v>
      </c>
      <c r="EY279">
        <v>230</v>
      </c>
      <c r="EZ279" t="s">
        <v>4055</v>
      </c>
      <c r="FA279">
        <v>5.7</v>
      </c>
      <c r="FB279">
        <v>1</v>
      </c>
      <c r="FC279">
        <v>1</v>
      </c>
      <c r="FD279">
        <v>2289</v>
      </c>
      <c r="FE279">
        <v>3233</v>
      </c>
      <c r="FF279" t="s">
        <v>4288</v>
      </c>
      <c r="FG279">
        <v>230</v>
      </c>
      <c r="FH279" t="s">
        <v>4055</v>
      </c>
      <c r="FI279">
        <v>3.6</v>
      </c>
      <c r="FJ279">
        <v>2289</v>
      </c>
      <c r="FK279">
        <v>2331</v>
      </c>
      <c r="FL279" t="s">
        <v>4069</v>
      </c>
      <c r="FM279" t="s">
        <v>4055</v>
      </c>
      <c r="FN279" t="s">
        <v>4055</v>
      </c>
      <c r="FO279" t="s">
        <v>4055</v>
      </c>
      <c r="FP279">
        <v>2289</v>
      </c>
      <c r="FQ279">
        <v>186</v>
      </c>
      <c r="FR279" t="s">
        <v>4090</v>
      </c>
      <c r="FS279">
        <v>234</v>
      </c>
      <c r="FT279" t="s">
        <v>4055</v>
      </c>
      <c r="FU279">
        <v>0.4</v>
      </c>
      <c r="FV279">
        <v>2289</v>
      </c>
      <c r="FW279">
        <v>238</v>
      </c>
      <c r="FX279" t="s">
        <v>4070</v>
      </c>
      <c r="FY279">
        <v>5</v>
      </c>
      <c r="FZ279" t="s">
        <v>4055</v>
      </c>
      <c r="GA279" t="s">
        <v>4055</v>
      </c>
      <c r="GB279">
        <v>2289</v>
      </c>
      <c r="GC279">
        <v>26</v>
      </c>
      <c r="GD279">
        <v>6014</v>
      </c>
      <c r="GE279" t="s">
        <v>4999</v>
      </c>
      <c r="GF279" t="s">
        <v>4055</v>
      </c>
      <c r="GG279" t="s">
        <v>4055</v>
      </c>
      <c r="GH279" t="s">
        <v>4055</v>
      </c>
      <c r="GI279" t="s">
        <v>4071</v>
      </c>
      <c r="GJ279" t="s">
        <v>4055</v>
      </c>
      <c r="GK279" t="s">
        <v>4055</v>
      </c>
      <c r="GL279" t="s">
        <v>4055</v>
      </c>
      <c r="GM279" t="s">
        <v>4055</v>
      </c>
      <c r="GQ279">
        <v>0</v>
      </c>
      <c r="GV279">
        <v>9.699999999999999</v>
      </c>
      <c r="GW279">
        <v>11.5</v>
      </c>
      <c r="GX279">
        <v>0.5</v>
      </c>
      <c r="GY279">
        <v>198</v>
      </c>
      <c r="GZ279">
        <v>3</v>
      </c>
      <c r="HA279">
        <v>250</v>
      </c>
      <c r="HB279">
        <v>3</v>
      </c>
      <c r="HC279">
        <v>2289</v>
      </c>
      <c r="HD279">
        <v>4</v>
      </c>
      <c r="HE279" t="s">
        <v>4071</v>
      </c>
      <c r="HG279" t="s">
        <v>549</v>
      </c>
      <c r="HL279">
        <v>4</v>
      </c>
      <c r="HM279">
        <v>18</v>
      </c>
      <c r="HN279">
        <v>6</v>
      </c>
      <c r="HO279">
        <v>1</v>
      </c>
      <c r="HP279">
        <v>0</v>
      </c>
      <c r="HQ279">
        <v>0</v>
      </c>
      <c r="HR279">
        <v>3</v>
      </c>
      <c r="HS279">
        <v>2235</v>
      </c>
      <c r="HT279">
        <v>5</v>
      </c>
      <c r="HU279">
        <v>1</v>
      </c>
      <c r="HV279">
        <v>0</v>
      </c>
      <c r="HW279">
        <v>0</v>
      </c>
      <c r="HX279">
        <v>1</v>
      </c>
      <c r="HY279">
        <v>0</v>
      </c>
      <c r="HZ279">
        <v>63</v>
      </c>
      <c r="IA279">
        <v>2239</v>
      </c>
      <c r="IB279">
        <v>2253</v>
      </c>
      <c r="ID279">
        <v>2289</v>
      </c>
      <c r="IE279">
        <v>2289</v>
      </c>
      <c r="IF279">
        <v>195</v>
      </c>
      <c r="IG279">
        <v>185</v>
      </c>
      <c r="IH279">
        <v>250</v>
      </c>
      <c r="II279">
        <v>1</v>
      </c>
      <c r="IJ279">
        <v>5</v>
      </c>
      <c r="IK279">
        <v>0</v>
      </c>
      <c r="IL279">
        <v>0</v>
      </c>
      <c r="IM279">
        <v>0</v>
      </c>
      <c r="IN279">
        <v>90</v>
      </c>
      <c r="IO279">
        <v>0</v>
      </c>
      <c r="IP279">
        <v>180</v>
      </c>
      <c r="IQ279">
        <v>0</v>
      </c>
      <c r="IR279">
        <v>330</v>
      </c>
      <c r="IS279">
        <v>0</v>
      </c>
      <c r="IT279">
        <v>90</v>
      </c>
      <c r="IU279">
        <v>0</v>
      </c>
      <c r="IV279">
        <v>6.4</v>
      </c>
      <c r="IW279">
        <v>-6</v>
      </c>
      <c r="IX279">
        <v>101</v>
      </c>
      <c r="IY279">
        <v>83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438</v>
      </c>
      <c r="JJ279">
        <v>398</v>
      </c>
      <c r="JK279">
        <v>300</v>
      </c>
      <c r="JL279">
        <v>396</v>
      </c>
      <c r="JM279">
        <v>310</v>
      </c>
      <c r="JN279">
        <v>210</v>
      </c>
      <c r="JO279">
        <v>260</v>
      </c>
      <c r="JP279">
        <v>180</v>
      </c>
      <c r="JQ279">
        <v>220</v>
      </c>
      <c r="JR279">
        <v>330</v>
      </c>
      <c r="JS279">
        <v>200</v>
      </c>
      <c r="JT279">
        <v>0</v>
      </c>
      <c r="JU279">
        <v>0</v>
      </c>
      <c r="JV279">
        <v>330</v>
      </c>
      <c r="JW279">
        <v>332</v>
      </c>
      <c r="JX279">
        <v>326</v>
      </c>
      <c r="JY279">
        <v>280</v>
      </c>
      <c r="JZ279">
        <v>0.5</v>
      </c>
      <c r="KA279">
        <v>0.2</v>
      </c>
      <c r="KB279">
        <v>0.4</v>
      </c>
      <c r="KC279">
        <v>0.42</v>
      </c>
      <c r="KD279">
        <v>0.3</v>
      </c>
      <c r="KE279">
        <v>0.5</v>
      </c>
      <c r="KF279">
        <v>0.17</v>
      </c>
      <c r="KG279">
        <v>0.1</v>
      </c>
      <c r="KH279">
        <v>3.5</v>
      </c>
      <c r="KI279">
        <v>1</v>
      </c>
      <c r="KJ279">
        <v>4.5</v>
      </c>
      <c r="KK279">
        <v>0</v>
      </c>
      <c r="KL279">
        <v>4.5</v>
      </c>
      <c r="KM279">
        <v>0</v>
      </c>
      <c r="KN279">
        <v>2</v>
      </c>
      <c r="KO279">
        <v>0</v>
      </c>
      <c r="KP279">
        <v>0</v>
      </c>
      <c r="KQ279">
        <v>0.8</v>
      </c>
      <c r="KR279">
        <v>1.5</v>
      </c>
      <c r="KS279">
        <v>0</v>
      </c>
      <c r="KT279">
        <v>3</v>
      </c>
      <c r="KU279">
        <v>0</v>
      </c>
      <c r="KV279">
        <v>0</v>
      </c>
      <c r="KW279">
        <v>1.2</v>
      </c>
      <c r="KX279">
        <v>2</v>
      </c>
      <c r="KY279">
        <v>0</v>
      </c>
      <c r="KZ279">
        <v>3</v>
      </c>
      <c r="LA279">
        <v>1.4</v>
      </c>
      <c r="LB279">
        <v>8</v>
      </c>
      <c r="LC279">
        <v>2.8</v>
      </c>
      <c r="LD279">
        <v>3.5</v>
      </c>
      <c r="LE279">
        <v>1.6</v>
      </c>
      <c r="LF279">
        <v>0</v>
      </c>
      <c r="LG279">
        <v>0</v>
      </c>
      <c r="LH279">
        <v>3</v>
      </c>
      <c r="LI279">
        <v>0.5</v>
      </c>
      <c r="LJ279">
        <v>0</v>
      </c>
      <c r="LK279">
        <v>7</v>
      </c>
      <c r="LL279">
        <v>11</v>
      </c>
      <c r="LM279">
        <v>14</v>
      </c>
      <c r="LN279">
        <v>0.1</v>
      </c>
      <c r="LO279">
        <v>0.5</v>
      </c>
      <c r="LP279">
        <v>0</v>
      </c>
      <c r="LQ279">
        <v>0</v>
      </c>
      <c r="LR279">
        <v>0</v>
      </c>
      <c r="LS279">
        <v>1</v>
      </c>
      <c r="LT279">
        <v>520</v>
      </c>
      <c r="LU279">
        <v>0</v>
      </c>
      <c r="LV279">
        <v>0</v>
      </c>
      <c r="LW279">
        <v>3</v>
      </c>
      <c r="LX279">
        <v>3</v>
      </c>
      <c r="LY279">
        <v>2.1</v>
      </c>
      <c r="LZ279">
        <v>2.1</v>
      </c>
      <c r="MA279">
        <v>0</v>
      </c>
      <c r="MB279">
        <v>9</v>
      </c>
      <c r="MC279">
        <v>0</v>
      </c>
      <c r="MD279">
        <v>4.5</v>
      </c>
      <c r="ME279">
        <v>6</v>
      </c>
      <c r="MF279">
        <v>6</v>
      </c>
      <c r="MM279">
        <v>474</v>
      </c>
      <c r="MN279">
        <v>195</v>
      </c>
      <c r="MO279">
        <v>250</v>
      </c>
      <c r="NU279">
        <v>0.15</v>
      </c>
      <c r="NV279">
        <v>0.2</v>
      </c>
      <c r="NW279">
        <v>0.2</v>
      </c>
      <c r="NX279">
        <v>0.2</v>
      </c>
      <c r="NY279">
        <v>0.2</v>
      </c>
      <c r="NZ279">
        <v>0.2</v>
      </c>
      <c r="OE279" t="s">
        <v>4999</v>
      </c>
      <c r="OF279" t="s">
        <v>4826</v>
      </c>
      <c r="OG279" t="s">
        <v>4827</v>
      </c>
      <c r="OH279" t="s">
        <v>4043</v>
      </c>
      <c r="OI279" t="s">
        <v>4999</v>
      </c>
      <c r="OJ279" t="s">
        <v>4998</v>
      </c>
      <c r="OK279">
        <v>61</v>
      </c>
      <c r="OL279">
        <v>61</v>
      </c>
      <c r="OM279" t="s">
        <v>4826</v>
      </c>
      <c r="ON279">
        <v>2</v>
      </c>
      <c r="OO279">
        <v>2239</v>
      </c>
      <c r="OP279">
        <v>61</v>
      </c>
      <c r="OQ279">
        <v>61</v>
      </c>
      <c r="OR279" t="s">
        <v>4827</v>
      </c>
      <c r="OS279">
        <v>2</v>
      </c>
      <c r="OT279">
        <v>2253</v>
      </c>
      <c r="OU279">
        <v>65</v>
      </c>
      <c r="OV279">
        <v>65</v>
      </c>
      <c r="OW279" t="s">
        <v>4043</v>
      </c>
      <c r="OX279">
        <v>1</v>
      </c>
      <c r="OY279">
        <v>44004</v>
      </c>
      <c r="OZ279">
        <v>51</v>
      </c>
      <c r="PA279">
        <v>51</v>
      </c>
      <c r="PB279" t="s">
        <v>4999</v>
      </c>
      <c r="PC279">
        <v>2</v>
      </c>
      <c r="PD279">
        <v>2289</v>
      </c>
      <c r="PF279">
        <v>491</v>
      </c>
      <c r="PG279">
        <v>35</v>
      </c>
      <c r="PH279">
        <v>466</v>
      </c>
      <c r="PI279">
        <v>0</v>
      </c>
      <c r="PJ279">
        <v>81.3</v>
      </c>
      <c r="PK279">
        <v>2600</v>
      </c>
      <c r="PL279">
        <v>1412.5</v>
      </c>
      <c r="PM279">
        <v>1018.3</v>
      </c>
      <c r="PN279">
        <v>104.1</v>
      </c>
      <c r="PO279">
        <v>11.3</v>
      </c>
      <c r="PP279">
        <v>12</v>
      </c>
      <c r="PQ279">
        <v>4</v>
      </c>
      <c r="PR279">
        <v>4</v>
      </c>
      <c r="PS279">
        <v>0</v>
      </c>
      <c r="PT279">
        <v>250</v>
      </c>
      <c r="PU279">
        <v>10</v>
      </c>
      <c r="PV279" t="s">
        <v>4072</v>
      </c>
      <c r="PW279" t="s">
        <v>4072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-1</v>
      </c>
      <c r="QF279">
        <v>1</v>
      </c>
      <c r="QG279">
        <v>0</v>
      </c>
      <c r="QH279">
        <v>5</v>
      </c>
      <c r="QI279">
        <v>5</v>
      </c>
      <c r="QJ279">
        <v>5</v>
      </c>
      <c r="QK279">
        <v>213</v>
      </c>
      <c r="QL279">
        <v>472</v>
      </c>
      <c r="QM279">
        <v>9.4</v>
      </c>
      <c r="QN279">
        <v>1459.5</v>
      </c>
      <c r="QO279" t="s">
        <v>3054</v>
      </c>
      <c r="QP279" t="s">
        <v>513</v>
      </c>
      <c r="QQ279">
        <v>0</v>
      </c>
      <c r="QR279" t="s">
        <v>1496</v>
      </c>
    </row>
    <row r="280" spans="1:462">
      <c r="A280" t="s">
        <v>3389</v>
      </c>
      <c r="B280" t="s">
        <v>559</v>
      </c>
      <c r="C280" t="s">
        <v>509</v>
      </c>
      <c r="D280" t="s">
        <v>4169</v>
      </c>
      <c r="E280" t="s">
        <v>4036</v>
      </c>
      <c r="H280" t="s">
        <v>604</v>
      </c>
      <c r="J280" t="s">
        <v>628</v>
      </c>
      <c r="K280" t="s">
        <v>606</v>
      </c>
      <c r="L280" t="s">
        <v>564</v>
      </c>
      <c r="M280" t="s">
        <v>512</v>
      </c>
      <c r="O280" t="s">
        <v>513</v>
      </c>
      <c r="P280" t="s">
        <v>517</v>
      </c>
      <c r="Q280" t="s">
        <v>1728</v>
      </c>
      <c r="R280" t="s">
        <v>759</v>
      </c>
      <c r="S280" t="s">
        <v>4037</v>
      </c>
      <c r="T280" t="s">
        <v>520</v>
      </c>
      <c r="U280" t="s">
        <v>521</v>
      </c>
      <c r="V280" t="s">
        <v>3390</v>
      </c>
      <c r="W280" t="s">
        <v>3048</v>
      </c>
      <c r="X280" t="s">
        <v>3391</v>
      </c>
      <c r="Y280" t="s">
        <v>3392</v>
      </c>
      <c r="Z280" t="s">
        <v>650</v>
      </c>
      <c r="AA280" t="s">
        <v>4038</v>
      </c>
      <c r="AB280" t="s">
        <v>5000</v>
      </c>
      <c r="AC280">
        <v>14</v>
      </c>
      <c r="AD280" t="s">
        <v>3388</v>
      </c>
      <c r="AE280">
        <v>6</v>
      </c>
      <c r="AF280">
        <v>4058</v>
      </c>
      <c r="AG280" t="s">
        <v>4500</v>
      </c>
      <c r="AH280">
        <v>1</v>
      </c>
      <c r="AI280" t="s">
        <v>4041</v>
      </c>
      <c r="AK280" t="s">
        <v>4501</v>
      </c>
      <c r="AL280">
        <v>1</v>
      </c>
      <c r="AM280" t="s">
        <v>582</v>
      </c>
      <c r="AO280" t="s">
        <v>4426</v>
      </c>
      <c r="AP280">
        <v>1</v>
      </c>
      <c r="AR280" t="s">
        <v>5001</v>
      </c>
      <c r="AS280">
        <v>1</v>
      </c>
      <c r="AT280">
        <v>51</v>
      </c>
      <c r="AV280" t="s">
        <v>4045</v>
      </c>
      <c r="AW280">
        <v>6.4</v>
      </c>
      <c r="AX280">
        <v>-6</v>
      </c>
      <c r="AY280">
        <v>98</v>
      </c>
      <c r="AZ280">
        <v>89</v>
      </c>
      <c r="BH280">
        <v>98</v>
      </c>
      <c r="BI280">
        <v>9</v>
      </c>
      <c r="BJ280">
        <v>89</v>
      </c>
      <c r="BK280">
        <v>3</v>
      </c>
      <c r="BL280">
        <v>196</v>
      </c>
      <c r="BM280">
        <v>-6</v>
      </c>
      <c r="BN280">
        <v>0</v>
      </c>
      <c r="BP280">
        <v>0</v>
      </c>
      <c r="BR280">
        <v>190</v>
      </c>
      <c r="BS280">
        <v>180</v>
      </c>
      <c r="BT280">
        <v>1870</v>
      </c>
      <c r="BU280" t="s">
        <v>4047</v>
      </c>
      <c r="BV280" t="s">
        <v>4047</v>
      </c>
      <c r="BW280" t="s">
        <v>4049</v>
      </c>
      <c r="BX280" t="s">
        <v>4049</v>
      </c>
      <c r="BY280" t="s">
        <v>4144</v>
      </c>
      <c r="BZ280" t="s">
        <v>4050</v>
      </c>
      <c r="CA280" t="s">
        <v>4051</v>
      </c>
      <c r="CB280" t="s">
        <v>4052</v>
      </c>
      <c r="CC280" t="s">
        <v>4053</v>
      </c>
      <c r="CD280" t="s">
        <v>4054</v>
      </c>
      <c r="CE280" t="s">
        <v>4055</v>
      </c>
      <c r="CF280" t="s">
        <v>4055</v>
      </c>
      <c r="CG280" t="s">
        <v>4056</v>
      </c>
      <c r="CH280" t="s">
        <v>4057</v>
      </c>
      <c r="CI280" t="s">
        <v>4058</v>
      </c>
      <c r="CJ280" t="s">
        <v>4059</v>
      </c>
      <c r="CK280" t="s">
        <v>4060</v>
      </c>
      <c r="CL280" t="s">
        <v>4061</v>
      </c>
      <c r="CM280" t="s">
        <v>4062</v>
      </c>
      <c r="CN280" t="s">
        <v>4055</v>
      </c>
      <c r="CO280" t="s">
        <v>4063</v>
      </c>
      <c r="CP280" t="s">
        <v>4055</v>
      </c>
      <c r="CQ280" t="s">
        <v>4055</v>
      </c>
      <c r="CR280">
        <v>5</v>
      </c>
      <c r="CS280" t="s">
        <v>4055</v>
      </c>
      <c r="CT280" t="s">
        <v>4055</v>
      </c>
      <c r="CU280" t="s">
        <v>4055</v>
      </c>
      <c r="CV280">
        <v>126</v>
      </c>
      <c r="CW280">
        <v>3</v>
      </c>
      <c r="CX280">
        <v>103</v>
      </c>
      <c r="CY280">
        <v>5</v>
      </c>
      <c r="CZ280">
        <v>140</v>
      </c>
      <c r="DA280">
        <v>5</v>
      </c>
      <c r="DB280">
        <v>10350</v>
      </c>
      <c r="DC280">
        <v>310</v>
      </c>
      <c r="DD280">
        <v>315</v>
      </c>
      <c r="DE280">
        <v>1967</v>
      </c>
      <c r="DF280">
        <v>1967</v>
      </c>
      <c r="DG280">
        <v>1994</v>
      </c>
      <c r="DH280" t="s">
        <v>4055</v>
      </c>
      <c r="DI280" t="s">
        <v>4055</v>
      </c>
      <c r="DJ280" t="s">
        <v>4100</v>
      </c>
      <c r="DK280">
        <v>190</v>
      </c>
      <c r="DL280" t="s">
        <v>4101</v>
      </c>
      <c r="DM280">
        <v>63</v>
      </c>
      <c r="DN280">
        <v>0.84</v>
      </c>
      <c r="DO280">
        <v>1</v>
      </c>
      <c r="DP280">
        <v>1873</v>
      </c>
      <c r="DQ280">
        <v>650</v>
      </c>
      <c r="DR280" t="s">
        <v>4100</v>
      </c>
      <c r="DS280">
        <v>180</v>
      </c>
      <c r="DT280" t="s">
        <v>4101</v>
      </c>
      <c r="DU280">
        <v>63</v>
      </c>
      <c r="DV280">
        <v>0.84</v>
      </c>
      <c r="DW280">
        <v>1</v>
      </c>
      <c r="DX280">
        <v>1880</v>
      </c>
      <c r="DY280">
        <v>619</v>
      </c>
      <c r="DZ280" t="s">
        <v>4066</v>
      </c>
      <c r="EA280">
        <v>33</v>
      </c>
      <c r="EB280" t="s">
        <v>4065</v>
      </c>
      <c r="EC280">
        <v>0.4</v>
      </c>
      <c r="ED280">
        <v>1873</v>
      </c>
      <c r="EE280">
        <v>54</v>
      </c>
      <c r="EF280" t="s">
        <v>4066</v>
      </c>
      <c r="EG280">
        <v>33</v>
      </c>
      <c r="EH280" t="s">
        <v>4065</v>
      </c>
      <c r="EI280">
        <v>0.4</v>
      </c>
      <c r="EJ280">
        <v>1880</v>
      </c>
      <c r="EK280">
        <v>55</v>
      </c>
      <c r="EL280" t="s">
        <v>4429</v>
      </c>
      <c r="EM280">
        <v>12</v>
      </c>
      <c r="EN280">
        <v>0.5</v>
      </c>
      <c r="EO280">
        <v>0.9</v>
      </c>
      <c r="EP280">
        <v>1880.56</v>
      </c>
      <c r="EQ280">
        <v>30559.1</v>
      </c>
      <c r="ER280">
        <v>2652.49</v>
      </c>
      <c r="ES280">
        <v>0</v>
      </c>
      <c r="ET280">
        <v>0</v>
      </c>
      <c r="EU280">
        <v>1</v>
      </c>
      <c r="EV280">
        <v>33212</v>
      </c>
      <c r="EW280">
        <v>399</v>
      </c>
      <c r="EX280" t="s">
        <v>4287</v>
      </c>
      <c r="EY280">
        <v>202</v>
      </c>
      <c r="EZ280" t="s">
        <v>4055</v>
      </c>
      <c r="FA280">
        <v>4.5</v>
      </c>
      <c r="FB280">
        <v>1</v>
      </c>
      <c r="FC280">
        <v>1</v>
      </c>
      <c r="FD280">
        <v>1917</v>
      </c>
      <c r="FE280">
        <v>2053</v>
      </c>
      <c r="FF280" t="s">
        <v>4288</v>
      </c>
      <c r="FG280">
        <v>202</v>
      </c>
      <c r="FH280" t="s">
        <v>4055</v>
      </c>
      <c r="FI280">
        <v>4.6</v>
      </c>
      <c r="FJ280">
        <v>1917</v>
      </c>
      <c r="FK280">
        <v>2026</v>
      </c>
      <c r="FL280" t="s">
        <v>4069</v>
      </c>
      <c r="FM280" t="s">
        <v>4055</v>
      </c>
      <c r="FN280" t="s">
        <v>4055</v>
      </c>
      <c r="FO280" t="s">
        <v>4055</v>
      </c>
      <c r="FP280">
        <v>1917</v>
      </c>
      <c r="FQ280">
        <v>236</v>
      </c>
      <c r="FR280" t="s">
        <v>4090</v>
      </c>
      <c r="FS280">
        <v>206</v>
      </c>
      <c r="FT280" t="s">
        <v>4055</v>
      </c>
      <c r="FU280">
        <v>0.4</v>
      </c>
      <c r="FV280">
        <v>1917</v>
      </c>
      <c r="FW280">
        <v>176</v>
      </c>
      <c r="FX280" t="s">
        <v>4070</v>
      </c>
      <c r="FY280">
        <v>5</v>
      </c>
      <c r="FZ280" t="s">
        <v>4055</v>
      </c>
      <c r="GA280" t="s">
        <v>4055</v>
      </c>
      <c r="GB280">
        <v>1917</v>
      </c>
      <c r="GC280">
        <v>21</v>
      </c>
      <c r="GD280">
        <v>4512</v>
      </c>
      <c r="GE280" t="s">
        <v>5001</v>
      </c>
      <c r="GF280" t="s">
        <v>4055</v>
      </c>
      <c r="GG280" t="s">
        <v>4055</v>
      </c>
      <c r="GH280" t="s">
        <v>4055</v>
      </c>
      <c r="GI280" t="s">
        <v>4071</v>
      </c>
      <c r="GJ280" t="s">
        <v>4055</v>
      </c>
      <c r="GK280" t="s">
        <v>4055</v>
      </c>
      <c r="GL280" t="s">
        <v>4055</v>
      </c>
      <c r="GM280" t="s">
        <v>4055</v>
      </c>
      <c r="GQ280">
        <v>0</v>
      </c>
      <c r="GV280">
        <v>9.5</v>
      </c>
      <c r="GW280">
        <v>11.5</v>
      </c>
      <c r="GX280">
        <v>0.5</v>
      </c>
      <c r="GY280">
        <v>180</v>
      </c>
      <c r="GZ280">
        <v>3</v>
      </c>
      <c r="HA280">
        <v>228</v>
      </c>
      <c r="HB280">
        <v>3</v>
      </c>
      <c r="HC280">
        <v>1917</v>
      </c>
      <c r="HD280">
        <v>4</v>
      </c>
      <c r="HE280" t="s">
        <v>4071</v>
      </c>
      <c r="HG280" t="s">
        <v>549</v>
      </c>
      <c r="HL280">
        <v>4</v>
      </c>
      <c r="HM280">
        <v>16</v>
      </c>
      <c r="HN280">
        <v>1</v>
      </c>
      <c r="HO280">
        <v>1</v>
      </c>
      <c r="HP280">
        <v>0</v>
      </c>
      <c r="HQ280">
        <v>0</v>
      </c>
      <c r="HR280">
        <v>3</v>
      </c>
      <c r="HS280">
        <v>1870</v>
      </c>
      <c r="HT280">
        <v>5</v>
      </c>
      <c r="HU280">
        <v>1</v>
      </c>
      <c r="HV280">
        <v>0</v>
      </c>
      <c r="HW280">
        <v>0</v>
      </c>
      <c r="HX280">
        <v>1</v>
      </c>
      <c r="HY280">
        <v>0</v>
      </c>
      <c r="HZ280">
        <v>63</v>
      </c>
      <c r="IA280">
        <v>1873</v>
      </c>
      <c r="IB280">
        <v>1880</v>
      </c>
      <c r="ID280">
        <v>1917</v>
      </c>
      <c r="IE280">
        <v>1917</v>
      </c>
      <c r="IF280">
        <v>190</v>
      </c>
      <c r="IG280">
        <v>180</v>
      </c>
      <c r="IH280">
        <v>228</v>
      </c>
      <c r="II280">
        <v>1</v>
      </c>
      <c r="IJ280">
        <v>5</v>
      </c>
      <c r="IK280">
        <v>0</v>
      </c>
      <c r="IL280">
        <v>1</v>
      </c>
      <c r="IM280">
        <v>0</v>
      </c>
      <c r="IN280">
        <v>270</v>
      </c>
      <c r="IO280">
        <v>0</v>
      </c>
      <c r="IP280">
        <v>180</v>
      </c>
      <c r="IQ280">
        <v>0</v>
      </c>
      <c r="IR280">
        <v>325</v>
      </c>
      <c r="IS280">
        <v>0</v>
      </c>
      <c r="IT280">
        <v>90</v>
      </c>
      <c r="IU280">
        <v>0</v>
      </c>
      <c r="IV280">
        <v>6.4</v>
      </c>
      <c r="IW280">
        <v>-6</v>
      </c>
      <c r="IX280">
        <v>98</v>
      </c>
      <c r="IY280">
        <v>89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364</v>
      </c>
      <c r="JJ280">
        <v>330</v>
      </c>
      <c r="JK280">
        <v>260</v>
      </c>
      <c r="JL280">
        <v>328</v>
      </c>
      <c r="JM280">
        <v>270</v>
      </c>
      <c r="JN280">
        <v>185</v>
      </c>
      <c r="JO280">
        <v>230</v>
      </c>
      <c r="JP280">
        <v>215</v>
      </c>
      <c r="JQ280">
        <v>250</v>
      </c>
      <c r="JR280">
        <v>338</v>
      </c>
      <c r="JS280">
        <v>235</v>
      </c>
      <c r="JT280">
        <v>0</v>
      </c>
      <c r="JU280">
        <v>0</v>
      </c>
      <c r="JV280">
        <v>335</v>
      </c>
      <c r="JW280">
        <v>337</v>
      </c>
      <c r="JX280">
        <v>330</v>
      </c>
      <c r="JY280">
        <v>310</v>
      </c>
      <c r="JZ280">
        <v>0.5</v>
      </c>
      <c r="KA280">
        <v>0.2</v>
      </c>
      <c r="KB280">
        <v>0.4</v>
      </c>
      <c r="KC280">
        <v>0.42</v>
      </c>
      <c r="KD280">
        <v>0.28</v>
      </c>
      <c r="KE280">
        <v>0.5</v>
      </c>
      <c r="KF280">
        <v>0.16</v>
      </c>
      <c r="KG280">
        <v>0.09</v>
      </c>
      <c r="KH280">
        <v>3.5</v>
      </c>
      <c r="KI280">
        <v>1</v>
      </c>
      <c r="KJ280">
        <v>5</v>
      </c>
      <c r="KK280">
        <v>1</v>
      </c>
      <c r="KL280">
        <v>5</v>
      </c>
      <c r="KM280">
        <v>1</v>
      </c>
      <c r="KN280">
        <v>2</v>
      </c>
      <c r="KO280">
        <v>0</v>
      </c>
      <c r="KP280">
        <v>0</v>
      </c>
      <c r="KQ280">
        <v>0.8</v>
      </c>
      <c r="KR280">
        <v>0.8</v>
      </c>
      <c r="KS280">
        <v>0</v>
      </c>
      <c r="KT280">
        <v>2</v>
      </c>
      <c r="KU280">
        <v>0</v>
      </c>
      <c r="KV280">
        <v>0</v>
      </c>
      <c r="KW280">
        <v>1</v>
      </c>
      <c r="KX280">
        <v>1.8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3</v>
      </c>
      <c r="LI280">
        <v>1</v>
      </c>
      <c r="LJ280">
        <v>0</v>
      </c>
      <c r="LK280">
        <v>3</v>
      </c>
      <c r="LL280">
        <v>6</v>
      </c>
      <c r="LM280">
        <v>5</v>
      </c>
      <c r="LN280">
        <v>0.1</v>
      </c>
      <c r="LO280">
        <v>0.1</v>
      </c>
      <c r="LP280">
        <v>0</v>
      </c>
      <c r="LQ280">
        <v>0</v>
      </c>
      <c r="LR280">
        <v>0</v>
      </c>
      <c r="LS280">
        <v>1</v>
      </c>
      <c r="LT280">
        <v>0</v>
      </c>
      <c r="LU280">
        <v>0</v>
      </c>
      <c r="LV280">
        <v>0</v>
      </c>
      <c r="LW280">
        <v>1.6</v>
      </c>
      <c r="LX280">
        <v>1.6</v>
      </c>
      <c r="LY280">
        <v>1.9</v>
      </c>
      <c r="LZ280">
        <v>1.9</v>
      </c>
      <c r="MA280">
        <v>0</v>
      </c>
      <c r="MB280">
        <v>3</v>
      </c>
      <c r="MC280">
        <v>0</v>
      </c>
      <c r="MD280">
        <v>7.5</v>
      </c>
      <c r="ME280">
        <v>8</v>
      </c>
      <c r="MF280">
        <v>8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390</v>
      </c>
      <c r="MN280">
        <v>190</v>
      </c>
      <c r="MO280">
        <v>232</v>
      </c>
      <c r="NU280">
        <v>0.15</v>
      </c>
      <c r="NV280">
        <v>0.3</v>
      </c>
      <c r="NW280">
        <v>0.3</v>
      </c>
      <c r="NX280">
        <v>2</v>
      </c>
      <c r="NY280">
        <v>2</v>
      </c>
      <c r="NZ280">
        <v>2</v>
      </c>
      <c r="OE280" t="s">
        <v>5001</v>
      </c>
      <c r="OF280" t="s">
        <v>4500</v>
      </c>
      <c r="OG280" t="s">
        <v>4501</v>
      </c>
      <c r="OH280" t="s">
        <v>4426</v>
      </c>
      <c r="OI280" t="s">
        <v>5001</v>
      </c>
      <c r="OJ280" t="s">
        <v>5000</v>
      </c>
      <c r="OK280">
        <v>61</v>
      </c>
      <c r="OL280">
        <v>61</v>
      </c>
      <c r="OM280" t="s">
        <v>4500</v>
      </c>
      <c r="ON280">
        <v>3</v>
      </c>
      <c r="OO280">
        <v>1873</v>
      </c>
      <c r="OP280">
        <v>61</v>
      </c>
      <c r="OQ280">
        <v>61</v>
      </c>
      <c r="OR280" t="s">
        <v>4501</v>
      </c>
      <c r="OS280">
        <v>3</v>
      </c>
      <c r="OT280">
        <v>1880</v>
      </c>
      <c r="OU280">
        <v>65</v>
      </c>
      <c r="OV280">
        <v>65</v>
      </c>
      <c r="OW280" t="s">
        <v>4426</v>
      </c>
      <c r="OX280">
        <v>1</v>
      </c>
      <c r="OY280">
        <v>33212</v>
      </c>
      <c r="OZ280">
        <v>51</v>
      </c>
      <c r="PA280">
        <v>51</v>
      </c>
      <c r="PB280" t="s">
        <v>5001</v>
      </c>
      <c r="PC280">
        <v>2</v>
      </c>
      <c r="PD280">
        <v>1917</v>
      </c>
      <c r="PF280">
        <v>347</v>
      </c>
      <c r="PG280">
        <v>29</v>
      </c>
      <c r="PH280">
        <v>329</v>
      </c>
      <c r="PI280">
        <v>29</v>
      </c>
      <c r="PJ280">
        <v>123</v>
      </c>
      <c r="PL280">
        <v>1071.2</v>
      </c>
      <c r="PM280">
        <v>1056.6</v>
      </c>
      <c r="PN280">
        <v>91.59999999999999</v>
      </c>
      <c r="PO280">
        <v>11</v>
      </c>
      <c r="PP280">
        <v>12</v>
      </c>
      <c r="PQ280">
        <v>1</v>
      </c>
      <c r="PR280">
        <v>1</v>
      </c>
      <c r="PS280">
        <v>7</v>
      </c>
      <c r="PT280">
        <v>228</v>
      </c>
      <c r="PU280">
        <v>13</v>
      </c>
      <c r="PV280" t="s">
        <v>4072</v>
      </c>
      <c r="PW280" t="s">
        <v>4072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-1</v>
      </c>
      <c r="QF280">
        <v>1</v>
      </c>
      <c r="QG280">
        <v>0</v>
      </c>
      <c r="QH280">
        <v>5</v>
      </c>
      <c r="QI280">
        <v>5</v>
      </c>
      <c r="QJ280">
        <v>5</v>
      </c>
      <c r="QK280">
        <v>179</v>
      </c>
      <c r="QL280">
        <v>398</v>
      </c>
      <c r="QM280">
        <v>7.5</v>
      </c>
      <c r="QN280">
        <v>1282.5</v>
      </c>
      <c r="QO280" t="s">
        <v>3054</v>
      </c>
      <c r="QP280" t="s">
        <v>513</v>
      </c>
      <c r="QQ280">
        <v>0</v>
      </c>
      <c r="QR280" t="s">
        <v>649</v>
      </c>
      <c r="QS280">
        <v>30</v>
      </c>
      <c r="QT280">
        <v>40</v>
      </c>
    </row>
    <row r="281" spans="1:462">
      <c r="A281" t="s">
        <v>3398</v>
      </c>
      <c r="B281" t="s">
        <v>564</v>
      </c>
      <c r="C281" t="s">
        <v>509</v>
      </c>
      <c r="D281" t="s">
        <v>4169</v>
      </c>
      <c r="E281" t="s">
        <v>4036</v>
      </c>
      <c r="H281" t="s">
        <v>604</v>
      </c>
      <c r="J281" t="s">
        <v>628</v>
      </c>
      <c r="K281" t="s">
        <v>606</v>
      </c>
      <c r="L281" t="s">
        <v>629</v>
      </c>
      <c r="M281" t="s">
        <v>512</v>
      </c>
      <c r="O281" t="s">
        <v>513</v>
      </c>
      <c r="P281" t="s">
        <v>517</v>
      </c>
      <c r="Q281" t="s">
        <v>742</v>
      </c>
      <c r="R281" t="s">
        <v>743</v>
      </c>
      <c r="S281" t="s">
        <v>4134</v>
      </c>
      <c r="T281" t="s">
        <v>633</v>
      </c>
      <c r="U281" t="s">
        <v>634</v>
      </c>
      <c r="V281" t="s">
        <v>2392</v>
      </c>
      <c r="W281" t="s">
        <v>3048</v>
      </c>
      <c r="X281" t="s">
        <v>3399</v>
      </c>
      <c r="Y281" t="s">
        <v>3400</v>
      </c>
      <c r="Z281" t="s">
        <v>650</v>
      </c>
      <c r="AA281" t="s">
        <v>4038</v>
      </c>
      <c r="AB281" t="s">
        <v>5002</v>
      </c>
      <c r="AC281">
        <v>14</v>
      </c>
      <c r="AD281" t="s">
        <v>3397</v>
      </c>
      <c r="AE281">
        <v>5</v>
      </c>
      <c r="AF281">
        <v>3834</v>
      </c>
      <c r="AG281" t="s">
        <v>4647</v>
      </c>
      <c r="AH281">
        <v>1</v>
      </c>
      <c r="AI281" t="s">
        <v>4041</v>
      </c>
      <c r="AK281" t="s">
        <v>4648</v>
      </c>
      <c r="AL281">
        <v>1</v>
      </c>
      <c r="AM281" t="s">
        <v>582</v>
      </c>
      <c r="AO281" t="s">
        <v>4426</v>
      </c>
      <c r="AP281">
        <v>1</v>
      </c>
      <c r="AR281" t="s">
        <v>5003</v>
      </c>
      <c r="AS281">
        <v>1</v>
      </c>
      <c r="AT281">
        <v>51</v>
      </c>
      <c r="AV281" t="s">
        <v>4045</v>
      </c>
      <c r="AW281">
        <v>6.4</v>
      </c>
      <c r="AX281">
        <v>-6</v>
      </c>
      <c r="AY281">
        <v>103</v>
      </c>
      <c r="AZ281">
        <v>94</v>
      </c>
      <c r="BH281">
        <v>103</v>
      </c>
      <c r="BI281">
        <v>9</v>
      </c>
      <c r="BJ281">
        <v>94</v>
      </c>
      <c r="BK281">
        <v>3</v>
      </c>
      <c r="BL281">
        <v>206</v>
      </c>
      <c r="BM281">
        <v>-6</v>
      </c>
      <c r="BN281">
        <v>0</v>
      </c>
      <c r="BP281">
        <v>0</v>
      </c>
      <c r="BR281">
        <v>200</v>
      </c>
      <c r="BS281">
        <v>190</v>
      </c>
      <c r="BT281">
        <v>1845</v>
      </c>
      <c r="BU281" t="s">
        <v>4046</v>
      </c>
      <c r="BV281" t="s">
        <v>4047</v>
      </c>
      <c r="BW281" t="s">
        <v>4048</v>
      </c>
      <c r="BX281" t="s">
        <v>4049</v>
      </c>
      <c r="BY281" t="s">
        <v>4150</v>
      </c>
      <c r="BZ281" t="s">
        <v>4150</v>
      </c>
      <c r="CA281" t="s">
        <v>4108</v>
      </c>
      <c r="CB281" t="s">
        <v>4109</v>
      </c>
      <c r="CC281" t="s">
        <v>4053</v>
      </c>
      <c r="CD281" t="s">
        <v>4110</v>
      </c>
      <c r="CE281" t="s">
        <v>4055</v>
      </c>
      <c r="CF281" t="s">
        <v>4055</v>
      </c>
      <c r="CG281" t="s">
        <v>4056</v>
      </c>
      <c r="CH281" t="s">
        <v>4057</v>
      </c>
      <c r="CI281" t="s">
        <v>4058</v>
      </c>
      <c r="CJ281" t="s">
        <v>4059</v>
      </c>
      <c r="CK281" t="s">
        <v>4060</v>
      </c>
      <c r="CL281" t="s">
        <v>4061</v>
      </c>
      <c r="CM281" t="s">
        <v>4062</v>
      </c>
      <c r="CN281" t="s">
        <v>4055</v>
      </c>
      <c r="CO281" t="s">
        <v>4063</v>
      </c>
      <c r="CP281" t="s">
        <v>4055</v>
      </c>
      <c r="CQ281" t="s">
        <v>4055</v>
      </c>
      <c r="CR281">
        <v>5</v>
      </c>
      <c r="CS281" t="s">
        <v>4055</v>
      </c>
      <c r="CT281" t="s">
        <v>4055</v>
      </c>
      <c r="CU281" t="s">
        <v>4055</v>
      </c>
      <c r="CV281">
        <v>127</v>
      </c>
      <c r="CW281">
        <v>3</v>
      </c>
      <c r="CX281">
        <v>105</v>
      </c>
      <c r="CY281">
        <v>5</v>
      </c>
      <c r="CZ281">
        <v>122</v>
      </c>
      <c r="DA281">
        <v>5</v>
      </c>
      <c r="DB281">
        <v>10240</v>
      </c>
      <c r="DC281">
        <v>220</v>
      </c>
      <c r="DD281">
        <v>298</v>
      </c>
      <c r="DE281">
        <v>1946</v>
      </c>
      <c r="DF281">
        <v>1946</v>
      </c>
      <c r="DG281">
        <v>1966</v>
      </c>
      <c r="DH281" t="s">
        <v>4055</v>
      </c>
      <c r="DI281" t="s">
        <v>4055</v>
      </c>
      <c r="DJ281" t="s">
        <v>4100</v>
      </c>
      <c r="DK281">
        <v>200</v>
      </c>
      <c r="DL281" t="s">
        <v>4101</v>
      </c>
      <c r="DM281">
        <v>63</v>
      </c>
      <c r="DN281">
        <v>0.84</v>
      </c>
      <c r="DO281">
        <v>1</v>
      </c>
      <c r="DP281">
        <v>1848</v>
      </c>
      <c r="DQ281">
        <v>676</v>
      </c>
      <c r="DR281" t="s">
        <v>4100</v>
      </c>
      <c r="DS281">
        <v>190</v>
      </c>
      <c r="DT281" t="s">
        <v>4101</v>
      </c>
      <c r="DU281">
        <v>63</v>
      </c>
      <c r="DV281">
        <v>0.84</v>
      </c>
      <c r="DW281">
        <v>1</v>
      </c>
      <c r="DX281">
        <v>1855</v>
      </c>
      <c r="DY281">
        <v>644</v>
      </c>
      <c r="DZ281" t="s">
        <v>4066</v>
      </c>
      <c r="EA281">
        <v>33</v>
      </c>
      <c r="EB281" t="s">
        <v>4065</v>
      </c>
      <c r="EC281">
        <v>0.4</v>
      </c>
      <c r="ED281">
        <v>1848</v>
      </c>
      <c r="EE281">
        <v>54</v>
      </c>
      <c r="EF281" t="s">
        <v>4066</v>
      </c>
      <c r="EG281">
        <v>33</v>
      </c>
      <c r="EH281" t="s">
        <v>4065</v>
      </c>
      <c r="EI281">
        <v>0.4</v>
      </c>
      <c r="EJ281">
        <v>1855</v>
      </c>
      <c r="EK281">
        <v>54</v>
      </c>
      <c r="EL281" t="s">
        <v>4429</v>
      </c>
      <c r="EM281">
        <v>12</v>
      </c>
      <c r="EN281">
        <v>0.5</v>
      </c>
      <c r="EO281">
        <v>0.9</v>
      </c>
      <c r="EP281">
        <v>1855.56</v>
      </c>
      <c r="EQ281">
        <v>31602.51</v>
      </c>
      <c r="ER281">
        <v>2617.33</v>
      </c>
      <c r="ES281">
        <v>0</v>
      </c>
      <c r="ET281">
        <v>0</v>
      </c>
      <c r="EU281">
        <v>1</v>
      </c>
      <c r="EV281">
        <v>34220</v>
      </c>
      <c r="EW281">
        <v>411</v>
      </c>
      <c r="EX281" t="s">
        <v>4287</v>
      </c>
      <c r="EY281">
        <v>216</v>
      </c>
      <c r="EZ281" t="s">
        <v>4055</v>
      </c>
      <c r="FA281">
        <v>5.3</v>
      </c>
      <c r="FB281">
        <v>1</v>
      </c>
      <c r="FC281">
        <v>1</v>
      </c>
      <c r="FD281">
        <v>1891</v>
      </c>
      <c r="FE281">
        <v>2329</v>
      </c>
      <c r="FF281" t="s">
        <v>4288</v>
      </c>
      <c r="FG281">
        <v>216</v>
      </c>
      <c r="FH281" t="s">
        <v>4055</v>
      </c>
      <c r="FI281">
        <v>3.5</v>
      </c>
      <c r="FJ281">
        <v>1891</v>
      </c>
      <c r="FK281">
        <v>1847</v>
      </c>
      <c r="FL281" t="s">
        <v>4069</v>
      </c>
      <c r="FM281" t="s">
        <v>4055</v>
      </c>
      <c r="FN281" t="s">
        <v>4055</v>
      </c>
      <c r="FO281" t="s">
        <v>4055</v>
      </c>
      <c r="FP281">
        <v>1891</v>
      </c>
      <c r="FQ281">
        <v>179</v>
      </c>
      <c r="FR281" t="s">
        <v>4090</v>
      </c>
      <c r="FS281">
        <v>220</v>
      </c>
      <c r="FT281" t="s">
        <v>4055</v>
      </c>
      <c r="FU281">
        <v>0.4</v>
      </c>
      <c r="FV281">
        <v>1891</v>
      </c>
      <c r="FW281">
        <v>185</v>
      </c>
      <c r="FX281" t="s">
        <v>4070</v>
      </c>
      <c r="FY281">
        <v>5</v>
      </c>
      <c r="FZ281" t="s">
        <v>4055</v>
      </c>
      <c r="GA281" t="s">
        <v>4055</v>
      </c>
      <c r="GB281">
        <v>1891</v>
      </c>
      <c r="GC281">
        <v>20</v>
      </c>
      <c r="GD281">
        <v>4560</v>
      </c>
      <c r="GE281" t="s">
        <v>5003</v>
      </c>
      <c r="GF281" t="s">
        <v>4055</v>
      </c>
      <c r="GG281" t="s">
        <v>4055</v>
      </c>
      <c r="GH281" t="s">
        <v>4055</v>
      </c>
      <c r="GI281" t="s">
        <v>4071</v>
      </c>
      <c r="GJ281" t="s">
        <v>4055</v>
      </c>
      <c r="GK281" t="s">
        <v>4055</v>
      </c>
      <c r="GL281" t="s">
        <v>4055</v>
      </c>
      <c r="GM281" t="s">
        <v>4055</v>
      </c>
      <c r="GQ281">
        <v>0</v>
      </c>
      <c r="GV281">
        <v>9.199999999999999</v>
      </c>
      <c r="GW281">
        <v>11.7</v>
      </c>
      <c r="GX281">
        <v>0.5</v>
      </c>
      <c r="GY281">
        <v>190</v>
      </c>
      <c r="GZ281">
        <v>3</v>
      </c>
      <c r="HA281">
        <v>234</v>
      </c>
      <c r="HB281">
        <v>3</v>
      </c>
      <c r="HC281">
        <v>1891</v>
      </c>
      <c r="HD281">
        <v>4</v>
      </c>
      <c r="HE281" t="s">
        <v>4071</v>
      </c>
      <c r="HG281" t="s">
        <v>549</v>
      </c>
      <c r="HL281">
        <v>4</v>
      </c>
      <c r="HM281">
        <v>17</v>
      </c>
      <c r="HN281">
        <v>1</v>
      </c>
      <c r="HO281">
        <v>1</v>
      </c>
      <c r="HP281">
        <v>0</v>
      </c>
      <c r="HQ281">
        <v>0</v>
      </c>
      <c r="HR281">
        <v>2</v>
      </c>
      <c r="HS281">
        <v>1845</v>
      </c>
      <c r="HT281">
        <v>5</v>
      </c>
      <c r="HU281">
        <v>1</v>
      </c>
      <c r="HV281">
        <v>0</v>
      </c>
      <c r="HW281">
        <v>0</v>
      </c>
      <c r="HX281">
        <v>1</v>
      </c>
      <c r="HY281">
        <v>0</v>
      </c>
      <c r="HZ281">
        <v>63</v>
      </c>
      <c r="IA281">
        <v>1848</v>
      </c>
      <c r="IB281">
        <v>1855</v>
      </c>
      <c r="ID281">
        <v>1891</v>
      </c>
      <c r="IE281">
        <v>1891</v>
      </c>
      <c r="IF281">
        <v>200</v>
      </c>
      <c r="IG281">
        <v>190</v>
      </c>
      <c r="IH281">
        <v>234</v>
      </c>
      <c r="II281">
        <v>1</v>
      </c>
      <c r="IJ281">
        <v>5</v>
      </c>
      <c r="IK281">
        <v>0</v>
      </c>
      <c r="IL281">
        <v>1</v>
      </c>
      <c r="IM281">
        <v>0</v>
      </c>
      <c r="IN281">
        <v>270</v>
      </c>
      <c r="IO281">
        <v>0</v>
      </c>
      <c r="IP281">
        <v>180</v>
      </c>
      <c r="IQ281">
        <v>0</v>
      </c>
      <c r="IR281">
        <v>330</v>
      </c>
      <c r="IS281">
        <v>0</v>
      </c>
      <c r="IT281">
        <v>90</v>
      </c>
      <c r="IU281">
        <v>0</v>
      </c>
      <c r="IV281">
        <v>6.4</v>
      </c>
      <c r="IW281">
        <v>-6</v>
      </c>
      <c r="IX281">
        <v>103</v>
      </c>
      <c r="IY281">
        <v>94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326</v>
      </c>
      <c r="JJ281">
        <v>296</v>
      </c>
      <c r="JK281">
        <v>224</v>
      </c>
      <c r="JL281">
        <v>294</v>
      </c>
      <c r="JM281">
        <v>255</v>
      </c>
      <c r="JN281">
        <v>200</v>
      </c>
      <c r="JO281">
        <v>244</v>
      </c>
      <c r="JP281">
        <v>225</v>
      </c>
      <c r="JQ281">
        <v>270</v>
      </c>
      <c r="JR281">
        <v>330</v>
      </c>
      <c r="JS281">
        <v>275</v>
      </c>
      <c r="JT281">
        <v>0</v>
      </c>
      <c r="JU281">
        <v>0</v>
      </c>
      <c r="JV281">
        <v>306</v>
      </c>
      <c r="JW281">
        <v>310</v>
      </c>
      <c r="JX281">
        <v>325</v>
      </c>
      <c r="JY281">
        <v>310</v>
      </c>
      <c r="JZ281">
        <v>0.5</v>
      </c>
      <c r="KA281">
        <v>0.2</v>
      </c>
      <c r="KB281">
        <v>0.4</v>
      </c>
      <c r="KC281">
        <v>0.42</v>
      </c>
      <c r="KD281">
        <v>0.28</v>
      </c>
      <c r="KE281">
        <v>0.5</v>
      </c>
      <c r="KF281">
        <v>0.19</v>
      </c>
      <c r="KG281">
        <v>0.1</v>
      </c>
      <c r="KH281">
        <v>3.5</v>
      </c>
      <c r="KI281">
        <v>1</v>
      </c>
      <c r="KJ281">
        <v>4.5</v>
      </c>
      <c r="KK281">
        <v>0</v>
      </c>
      <c r="KL281">
        <v>4.5</v>
      </c>
      <c r="KM281">
        <v>0</v>
      </c>
      <c r="KN281">
        <v>1</v>
      </c>
      <c r="KO281">
        <v>0</v>
      </c>
      <c r="KP281">
        <v>0</v>
      </c>
      <c r="KQ281">
        <v>0.7</v>
      </c>
      <c r="KR281">
        <v>1.2</v>
      </c>
      <c r="KS281">
        <v>0</v>
      </c>
      <c r="KT281">
        <v>2.7</v>
      </c>
      <c r="KU281">
        <v>0</v>
      </c>
      <c r="KV281">
        <v>0</v>
      </c>
      <c r="KW281">
        <v>1</v>
      </c>
      <c r="KX281">
        <v>2</v>
      </c>
      <c r="KY281">
        <v>1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0.5</v>
      </c>
      <c r="LJ281">
        <v>0</v>
      </c>
      <c r="LK281">
        <v>4</v>
      </c>
      <c r="LL281">
        <v>5</v>
      </c>
      <c r="LM281">
        <v>6</v>
      </c>
      <c r="LN281">
        <v>0.3</v>
      </c>
      <c r="LO281">
        <v>0.5</v>
      </c>
      <c r="LP281">
        <v>0</v>
      </c>
      <c r="LQ281">
        <v>0</v>
      </c>
      <c r="LR281">
        <v>0</v>
      </c>
      <c r="LS281">
        <v>1</v>
      </c>
      <c r="LT281">
        <v>0</v>
      </c>
      <c r="LU281">
        <v>0</v>
      </c>
      <c r="LV281">
        <v>0</v>
      </c>
      <c r="LW281">
        <v>1.4</v>
      </c>
      <c r="LX281">
        <v>1.4</v>
      </c>
      <c r="LY281">
        <v>1.7</v>
      </c>
      <c r="LZ281">
        <v>1.7</v>
      </c>
      <c r="MA281">
        <v>0</v>
      </c>
      <c r="MB281">
        <v>4.5</v>
      </c>
      <c r="MC281">
        <v>0</v>
      </c>
      <c r="MD281">
        <v>4.5</v>
      </c>
      <c r="ME281">
        <v>6</v>
      </c>
      <c r="MF281">
        <v>6</v>
      </c>
      <c r="MG281">
        <v>20</v>
      </c>
      <c r="MH281">
        <v>20</v>
      </c>
      <c r="MI281">
        <v>0</v>
      </c>
      <c r="MJ281">
        <v>0</v>
      </c>
      <c r="MK281">
        <v>0</v>
      </c>
      <c r="ML281">
        <v>0</v>
      </c>
      <c r="MM281">
        <v>374</v>
      </c>
      <c r="MN281">
        <v>235</v>
      </c>
      <c r="MO281">
        <v>255</v>
      </c>
      <c r="NU281">
        <v>0.2</v>
      </c>
      <c r="NV281">
        <v>0.35</v>
      </c>
      <c r="NW281">
        <v>0.35</v>
      </c>
      <c r="NX281">
        <v>0.2</v>
      </c>
      <c r="NY281">
        <v>0.2</v>
      </c>
      <c r="NZ281">
        <v>0.2</v>
      </c>
      <c r="OE281" t="s">
        <v>5003</v>
      </c>
      <c r="OF281" t="s">
        <v>4647</v>
      </c>
      <c r="OG281" t="s">
        <v>4648</v>
      </c>
      <c r="OH281" t="s">
        <v>4426</v>
      </c>
      <c r="OI281" t="s">
        <v>5003</v>
      </c>
      <c r="OJ281" t="s">
        <v>5002</v>
      </c>
      <c r="OK281">
        <v>61</v>
      </c>
      <c r="OL281">
        <v>61</v>
      </c>
      <c r="OM281" t="s">
        <v>4647</v>
      </c>
      <c r="ON281">
        <v>3</v>
      </c>
      <c r="OO281">
        <v>1848</v>
      </c>
      <c r="OP281">
        <v>61</v>
      </c>
      <c r="OQ281">
        <v>61</v>
      </c>
      <c r="OR281" t="s">
        <v>4648</v>
      </c>
      <c r="OS281">
        <v>3</v>
      </c>
      <c r="OT281">
        <v>1855</v>
      </c>
      <c r="OU281">
        <v>65</v>
      </c>
      <c r="OV281">
        <v>65</v>
      </c>
      <c r="OW281" t="s">
        <v>4426</v>
      </c>
      <c r="OX281">
        <v>1</v>
      </c>
      <c r="OY281">
        <v>34220</v>
      </c>
      <c r="OZ281">
        <v>51</v>
      </c>
      <c r="PA281">
        <v>51</v>
      </c>
      <c r="PB281" t="s">
        <v>5003</v>
      </c>
      <c r="PC281">
        <v>3</v>
      </c>
      <c r="PD281">
        <v>1891</v>
      </c>
      <c r="PF281">
        <v>366</v>
      </c>
      <c r="PG281">
        <v>29</v>
      </c>
      <c r="PH281">
        <v>347</v>
      </c>
      <c r="PI281">
        <v>29</v>
      </c>
      <c r="PJ281">
        <v>94.40000000000001</v>
      </c>
      <c r="PK281">
        <v>2398</v>
      </c>
      <c r="PL281">
        <v>1231.4</v>
      </c>
      <c r="PM281">
        <v>976.8</v>
      </c>
      <c r="PN281">
        <v>97.8</v>
      </c>
      <c r="PO281">
        <v>10.7</v>
      </c>
      <c r="PP281">
        <v>12</v>
      </c>
      <c r="PQ281">
        <v>2</v>
      </c>
      <c r="PR281">
        <v>1</v>
      </c>
      <c r="PS281">
        <v>7</v>
      </c>
      <c r="PT281">
        <v>234</v>
      </c>
      <c r="PU281">
        <v>9</v>
      </c>
      <c r="PV281" t="s">
        <v>4072</v>
      </c>
      <c r="PW281" t="s">
        <v>4072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-1</v>
      </c>
      <c r="QF281">
        <v>1</v>
      </c>
      <c r="QG281">
        <v>0</v>
      </c>
      <c r="QH281">
        <v>5</v>
      </c>
      <c r="QI281">
        <v>5</v>
      </c>
      <c r="QJ281">
        <v>5</v>
      </c>
      <c r="QK281">
        <v>156</v>
      </c>
      <c r="QL281">
        <v>360</v>
      </c>
      <c r="QM281">
        <v>7.5</v>
      </c>
      <c r="QN281">
        <v>1379.8</v>
      </c>
      <c r="QO281" t="s">
        <v>3054</v>
      </c>
      <c r="QP281" t="s">
        <v>513</v>
      </c>
      <c r="QQ281">
        <v>0</v>
      </c>
      <c r="QR281" t="s">
        <v>649</v>
      </c>
      <c r="QS281">
        <v>30</v>
      </c>
      <c r="QT281">
        <v>40</v>
      </c>
    </row>
    <row r="282" spans="1:462">
      <c r="A282" t="s">
        <v>3406</v>
      </c>
      <c r="B282" t="s">
        <v>559</v>
      </c>
      <c r="C282" t="s">
        <v>509</v>
      </c>
      <c r="D282" t="s">
        <v>2323</v>
      </c>
      <c r="E282" t="s">
        <v>4036</v>
      </c>
      <c r="H282" t="s">
        <v>604</v>
      </c>
      <c r="I282" t="s">
        <v>605</v>
      </c>
      <c r="J282" t="s">
        <v>628</v>
      </c>
      <c r="K282" t="s">
        <v>606</v>
      </c>
      <c r="L282" t="s">
        <v>564</v>
      </c>
      <c r="M282" t="s">
        <v>512</v>
      </c>
      <c r="O282" t="s">
        <v>513</v>
      </c>
      <c r="P282" t="s">
        <v>517</v>
      </c>
      <c r="Q282" t="s">
        <v>758</v>
      </c>
      <c r="R282" t="s">
        <v>759</v>
      </c>
      <c r="S282" t="s">
        <v>4037</v>
      </c>
      <c r="T282" t="s">
        <v>662</v>
      </c>
      <c r="U282" t="s">
        <v>663</v>
      </c>
      <c r="V282" t="s">
        <v>2656</v>
      </c>
      <c r="W282" t="s">
        <v>3058</v>
      </c>
      <c r="X282" t="s">
        <v>3407</v>
      </c>
      <c r="Y282" t="s">
        <v>3408</v>
      </c>
      <c r="Z282" t="s">
        <v>650</v>
      </c>
      <c r="AA282" t="s">
        <v>4038</v>
      </c>
      <c r="AB282" t="s">
        <v>5004</v>
      </c>
      <c r="AC282">
        <v>13</v>
      </c>
      <c r="AD282" t="s">
        <v>3405</v>
      </c>
      <c r="AE282">
        <v>6</v>
      </c>
      <c r="AF282">
        <v>4566</v>
      </c>
      <c r="AG282" t="s">
        <v>4752</v>
      </c>
      <c r="AH282">
        <v>1</v>
      </c>
      <c r="AI282" t="s">
        <v>4041</v>
      </c>
      <c r="AK282" t="s">
        <v>4753</v>
      </c>
      <c r="AL282">
        <v>1</v>
      </c>
      <c r="AM282" t="s">
        <v>582</v>
      </c>
      <c r="AO282" t="s">
        <v>4043</v>
      </c>
      <c r="AP282">
        <v>1</v>
      </c>
      <c r="AR282" t="s">
        <v>5005</v>
      </c>
      <c r="AS282">
        <v>1</v>
      </c>
      <c r="AT282">
        <v>51</v>
      </c>
      <c r="AV282" t="s">
        <v>4078</v>
      </c>
      <c r="AW282">
        <v>6.4</v>
      </c>
      <c r="AX282">
        <v>-6</v>
      </c>
      <c r="AY282">
        <v>96</v>
      </c>
      <c r="AZ282">
        <v>66</v>
      </c>
      <c r="BH282">
        <v>96</v>
      </c>
      <c r="BI282">
        <v>30</v>
      </c>
      <c r="BJ282">
        <v>66</v>
      </c>
      <c r="BK282">
        <v>3.5</v>
      </c>
      <c r="BL282">
        <v>192</v>
      </c>
      <c r="BM282">
        <v>-6</v>
      </c>
      <c r="BN282">
        <v>0</v>
      </c>
      <c r="BP282">
        <v>0</v>
      </c>
      <c r="BR282">
        <v>185</v>
      </c>
      <c r="BS282">
        <v>175</v>
      </c>
      <c r="BT282">
        <v>2015</v>
      </c>
      <c r="BU282" t="s">
        <v>4096</v>
      </c>
      <c r="BV282" t="s">
        <v>4096</v>
      </c>
      <c r="BW282" t="s">
        <v>4097</v>
      </c>
      <c r="BX282" t="s">
        <v>4097</v>
      </c>
      <c r="BY282" t="s">
        <v>4116</v>
      </c>
      <c r="BZ282" t="s">
        <v>4116</v>
      </c>
      <c r="CA282" t="s">
        <v>4118</v>
      </c>
      <c r="CB282" t="s">
        <v>4119</v>
      </c>
      <c r="CC282" t="s">
        <v>4053</v>
      </c>
      <c r="CD282" t="s">
        <v>4121</v>
      </c>
      <c r="CE282" t="s">
        <v>4055</v>
      </c>
      <c r="CF282" t="s">
        <v>4055</v>
      </c>
      <c r="CG282" t="s">
        <v>4056</v>
      </c>
      <c r="CI282" t="s">
        <v>4058</v>
      </c>
      <c r="CJ282" t="s">
        <v>4059</v>
      </c>
      <c r="CK282" t="s">
        <v>4060</v>
      </c>
      <c r="CL282" t="s">
        <v>4061</v>
      </c>
      <c r="CM282" t="s">
        <v>4062</v>
      </c>
      <c r="CN282" t="s">
        <v>4055</v>
      </c>
      <c r="CO282" t="s">
        <v>4063</v>
      </c>
      <c r="CP282" t="s">
        <v>4055</v>
      </c>
      <c r="CQ282" t="s">
        <v>4055</v>
      </c>
      <c r="CR282">
        <v>5</v>
      </c>
      <c r="CS282" t="s">
        <v>4055</v>
      </c>
      <c r="CT282" t="s">
        <v>4055</v>
      </c>
      <c r="CU282" t="s">
        <v>4055</v>
      </c>
      <c r="CV282">
        <v>124</v>
      </c>
      <c r="CW282">
        <v>3</v>
      </c>
      <c r="CX282">
        <v>101</v>
      </c>
      <c r="CY282">
        <v>5</v>
      </c>
      <c r="CZ282">
        <v>139</v>
      </c>
      <c r="DA282">
        <v>5</v>
      </c>
      <c r="DB282">
        <v>11510</v>
      </c>
      <c r="DC282">
        <v>340</v>
      </c>
      <c r="DD282">
        <v>324</v>
      </c>
      <c r="DE282">
        <v>2139</v>
      </c>
      <c r="DF282">
        <v>2139</v>
      </c>
      <c r="DG282">
        <v>2151</v>
      </c>
      <c r="DH282" t="s">
        <v>4055</v>
      </c>
      <c r="DI282" t="s">
        <v>4055</v>
      </c>
      <c r="DJ282" t="s">
        <v>4132</v>
      </c>
      <c r="DK282">
        <v>185</v>
      </c>
      <c r="DL282" t="s">
        <v>4065</v>
      </c>
      <c r="DM282">
        <v>63</v>
      </c>
      <c r="DN282">
        <v>1.1</v>
      </c>
      <c r="DO282">
        <v>1</v>
      </c>
      <c r="DP282">
        <v>2018</v>
      </c>
      <c r="DQ282">
        <v>807</v>
      </c>
      <c r="DR282" t="s">
        <v>4132</v>
      </c>
      <c r="DS282">
        <v>175</v>
      </c>
      <c r="DT282" t="s">
        <v>4065</v>
      </c>
      <c r="DU282">
        <v>63</v>
      </c>
      <c r="DV282">
        <v>1.1</v>
      </c>
      <c r="DW282">
        <v>1</v>
      </c>
      <c r="DX282">
        <v>2030</v>
      </c>
      <c r="DY282">
        <v>769</v>
      </c>
      <c r="DZ282" t="s">
        <v>4066</v>
      </c>
      <c r="EA282">
        <v>20</v>
      </c>
      <c r="EB282" t="s">
        <v>4065</v>
      </c>
      <c r="EC282">
        <v>0.8</v>
      </c>
      <c r="ED282">
        <v>2018</v>
      </c>
      <c r="EE282">
        <v>71</v>
      </c>
      <c r="EG282">
        <v>0</v>
      </c>
      <c r="EH282" t="s">
        <v>4065</v>
      </c>
      <c r="EI282">
        <v>0</v>
      </c>
      <c r="EL282" t="s">
        <v>1528</v>
      </c>
      <c r="EM282">
        <v>12</v>
      </c>
      <c r="EN282">
        <v>0.5</v>
      </c>
      <c r="EO282">
        <v>0.96</v>
      </c>
      <c r="EP282">
        <v>2028.83</v>
      </c>
      <c r="EQ282">
        <v>32334.48</v>
      </c>
      <c r="ER282">
        <v>9538.41</v>
      </c>
      <c r="ES282">
        <v>0</v>
      </c>
      <c r="ET282">
        <v>0</v>
      </c>
      <c r="EU282">
        <v>1</v>
      </c>
      <c r="EV282">
        <v>41873</v>
      </c>
      <c r="EW282">
        <v>503</v>
      </c>
      <c r="EX282" t="s">
        <v>4287</v>
      </c>
      <c r="EY282">
        <v>208</v>
      </c>
      <c r="EZ282" t="s">
        <v>4055</v>
      </c>
      <c r="FA282">
        <v>4.8</v>
      </c>
      <c r="FB282">
        <v>1</v>
      </c>
      <c r="FC282">
        <v>1</v>
      </c>
      <c r="FD282">
        <v>2065</v>
      </c>
      <c r="FE282">
        <v>2328</v>
      </c>
      <c r="FF282" t="s">
        <v>4288</v>
      </c>
      <c r="FG282">
        <v>208</v>
      </c>
      <c r="FH282" t="s">
        <v>4055</v>
      </c>
      <c r="FI282">
        <v>4.3</v>
      </c>
      <c r="FJ282">
        <v>2065</v>
      </c>
      <c r="FK282">
        <v>2027</v>
      </c>
      <c r="FL282" t="s">
        <v>4069</v>
      </c>
      <c r="FM282" t="s">
        <v>4055</v>
      </c>
      <c r="FN282" t="s">
        <v>4055</v>
      </c>
      <c r="FO282" t="s">
        <v>4055</v>
      </c>
      <c r="FP282">
        <v>2065</v>
      </c>
      <c r="FQ282">
        <v>215</v>
      </c>
      <c r="FR282" t="s">
        <v>4090</v>
      </c>
      <c r="FS282">
        <v>212</v>
      </c>
      <c r="FT282" t="s">
        <v>4055</v>
      </c>
      <c r="FU282">
        <v>0.4</v>
      </c>
      <c r="FV282">
        <v>2065</v>
      </c>
      <c r="FW282">
        <v>195</v>
      </c>
      <c r="FX282" t="s">
        <v>4070</v>
      </c>
      <c r="FY282">
        <v>5</v>
      </c>
      <c r="FZ282" t="s">
        <v>4055</v>
      </c>
      <c r="GA282" t="s">
        <v>4055</v>
      </c>
      <c r="GB282">
        <v>2065</v>
      </c>
      <c r="GC282">
        <v>23</v>
      </c>
      <c r="GD282">
        <v>4788</v>
      </c>
      <c r="GE282" t="s">
        <v>5005</v>
      </c>
      <c r="GF282" t="s">
        <v>4055</v>
      </c>
      <c r="GG282" t="s">
        <v>4055</v>
      </c>
      <c r="GH282" t="s">
        <v>4055</v>
      </c>
      <c r="GI282" t="s">
        <v>4071</v>
      </c>
      <c r="GJ282" t="s">
        <v>4055</v>
      </c>
      <c r="GK282" t="s">
        <v>4055</v>
      </c>
      <c r="GL282" t="s">
        <v>4055</v>
      </c>
      <c r="GM282" t="s">
        <v>4055</v>
      </c>
      <c r="GQ282">
        <v>0</v>
      </c>
      <c r="GV282">
        <v>9.5</v>
      </c>
      <c r="GW282">
        <v>10.8</v>
      </c>
      <c r="GX282">
        <v>0.5</v>
      </c>
      <c r="GY282">
        <v>170</v>
      </c>
      <c r="GZ282">
        <v>3</v>
      </c>
      <c r="HA282">
        <v>234</v>
      </c>
      <c r="HB282">
        <v>3</v>
      </c>
      <c r="HC282">
        <v>2065</v>
      </c>
      <c r="HD282">
        <v>4</v>
      </c>
      <c r="HE282" t="s">
        <v>4071</v>
      </c>
      <c r="HG282" t="s">
        <v>549</v>
      </c>
      <c r="HL282">
        <v>4</v>
      </c>
      <c r="HM282">
        <v>18</v>
      </c>
      <c r="HN282">
        <v>1</v>
      </c>
      <c r="HO282">
        <v>1</v>
      </c>
      <c r="HP282">
        <v>0</v>
      </c>
      <c r="HQ282">
        <v>0</v>
      </c>
      <c r="HR282">
        <v>3</v>
      </c>
      <c r="HS282">
        <v>2015</v>
      </c>
      <c r="HT282">
        <v>5</v>
      </c>
      <c r="HU282">
        <v>1</v>
      </c>
      <c r="HV282">
        <v>0</v>
      </c>
      <c r="HW282">
        <v>0</v>
      </c>
      <c r="HX282">
        <v>1</v>
      </c>
      <c r="HY282">
        <v>0</v>
      </c>
      <c r="HZ282">
        <v>63</v>
      </c>
      <c r="IA282">
        <v>2018</v>
      </c>
      <c r="IB282">
        <v>2030</v>
      </c>
      <c r="ID282">
        <v>2065</v>
      </c>
      <c r="IE282">
        <v>2065</v>
      </c>
      <c r="IF282">
        <v>185</v>
      </c>
      <c r="IG282">
        <v>175</v>
      </c>
      <c r="IH282">
        <v>234</v>
      </c>
      <c r="II282">
        <v>1</v>
      </c>
      <c r="IJ282">
        <v>5</v>
      </c>
      <c r="IK282">
        <v>0</v>
      </c>
      <c r="IL282">
        <v>0</v>
      </c>
      <c r="IM282">
        <v>0</v>
      </c>
      <c r="IN282">
        <v>270</v>
      </c>
      <c r="IO282">
        <v>0</v>
      </c>
      <c r="IP282">
        <v>180</v>
      </c>
      <c r="IQ282">
        <v>0</v>
      </c>
      <c r="IR282">
        <v>325</v>
      </c>
      <c r="IS282">
        <v>0</v>
      </c>
      <c r="IT282">
        <v>90</v>
      </c>
      <c r="IU282">
        <v>0</v>
      </c>
      <c r="IV282">
        <v>6.4</v>
      </c>
      <c r="IW282">
        <v>-6</v>
      </c>
      <c r="IX282">
        <v>96</v>
      </c>
      <c r="IY282">
        <v>66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368</v>
      </c>
      <c r="JJ282">
        <v>338</v>
      </c>
      <c r="JK282">
        <v>260</v>
      </c>
      <c r="JL282">
        <v>336</v>
      </c>
      <c r="JM282">
        <v>272</v>
      </c>
      <c r="JN282">
        <v>180</v>
      </c>
      <c r="JO282">
        <v>240</v>
      </c>
      <c r="JP282">
        <v>200</v>
      </c>
      <c r="JQ282">
        <v>250</v>
      </c>
      <c r="JR282">
        <v>325</v>
      </c>
      <c r="JS282">
        <v>230</v>
      </c>
      <c r="JT282">
        <v>0</v>
      </c>
      <c r="JU282">
        <v>0</v>
      </c>
      <c r="JV282">
        <v>320</v>
      </c>
      <c r="JW282">
        <v>315</v>
      </c>
      <c r="JX282">
        <v>300</v>
      </c>
      <c r="JY282">
        <v>270</v>
      </c>
      <c r="JZ282">
        <v>1</v>
      </c>
      <c r="KA282">
        <v>0.22</v>
      </c>
      <c r="KB282">
        <v>0.4</v>
      </c>
      <c r="KC282">
        <v>0.42</v>
      </c>
      <c r="KD282">
        <v>0.28</v>
      </c>
      <c r="KE282">
        <v>0.5</v>
      </c>
      <c r="KF282">
        <v>0.17</v>
      </c>
      <c r="KG282">
        <v>0.09</v>
      </c>
      <c r="KH282">
        <v>3.5</v>
      </c>
      <c r="KI282">
        <v>1</v>
      </c>
      <c r="KJ282">
        <v>5</v>
      </c>
      <c r="KK282">
        <v>1</v>
      </c>
      <c r="KL282">
        <v>5</v>
      </c>
      <c r="KM282">
        <v>1</v>
      </c>
      <c r="KN282">
        <v>1.4</v>
      </c>
      <c r="KO282">
        <v>0</v>
      </c>
      <c r="KP282">
        <v>0</v>
      </c>
      <c r="KQ282">
        <v>0.8</v>
      </c>
      <c r="KR282">
        <v>1.2</v>
      </c>
      <c r="KS282">
        <v>0</v>
      </c>
      <c r="KT282">
        <v>1.8</v>
      </c>
      <c r="KU282">
        <v>0</v>
      </c>
      <c r="KV282">
        <v>0</v>
      </c>
      <c r="KW282">
        <v>1.2</v>
      </c>
      <c r="KX282">
        <v>2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3</v>
      </c>
      <c r="LI282">
        <v>1</v>
      </c>
      <c r="LJ282">
        <v>0</v>
      </c>
      <c r="LK282">
        <v>3</v>
      </c>
      <c r="LL282">
        <v>6</v>
      </c>
      <c r="LM282">
        <v>5</v>
      </c>
      <c r="LN282">
        <v>0.5</v>
      </c>
      <c r="LO282">
        <v>0.3</v>
      </c>
      <c r="LP282">
        <v>0</v>
      </c>
      <c r="LQ282">
        <v>0</v>
      </c>
      <c r="LR282">
        <v>0</v>
      </c>
      <c r="LS282">
        <v>1</v>
      </c>
      <c r="LT282">
        <v>0</v>
      </c>
      <c r="LU282">
        <v>0</v>
      </c>
      <c r="LV282">
        <v>0</v>
      </c>
      <c r="LW282">
        <v>1.3</v>
      </c>
      <c r="LX282">
        <v>1.3</v>
      </c>
      <c r="LY282">
        <v>1.4</v>
      </c>
      <c r="LZ282">
        <v>1.4</v>
      </c>
      <c r="MA282">
        <v>0</v>
      </c>
      <c r="MB282">
        <v>3</v>
      </c>
      <c r="MC282">
        <v>0</v>
      </c>
      <c r="MD282">
        <v>4.5</v>
      </c>
      <c r="ME282">
        <v>6</v>
      </c>
      <c r="MF282">
        <v>6</v>
      </c>
      <c r="MI282">
        <v>0</v>
      </c>
      <c r="MJ282">
        <v>0</v>
      </c>
      <c r="ML282">
        <v>0</v>
      </c>
      <c r="MM282">
        <v>390</v>
      </c>
      <c r="MN282">
        <v>180</v>
      </c>
      <c r="MO282">
        <v>244</v>
      </c>
      <c r="NU282">
        <v>0.15</v>
      </c>
      <c r="NV282">
        <v>0.3</v>
      </c>
      <c r="NW282">
        <v>0.3</v>
      </c>
      <c r="NX282">
        <v>0.2</v>
      </c>
      <c r="NY282">
        <v>0.2</v>
      </c>
      <c r="NZ282">
        <v>0.2</v>
      </c>
      <c r="OE282" t="s">
        <v>5005</v>
      </c>
      <c r="OF282" t="s">
        <v>4752</v>
      </c>
      <c r="OG282" t="s">
        <v>4753</v>
      </c>
      <c r="OH282" t="s">
        <v>4043</v>
      </c>
      <c r="OI282" t="s">
        <v>5005</v>
      </c>
      <c r="OJ282" t="s">
        <v>5004</v>
      </c>
      <c r="OK282">
        <v>61</v>
      </c>
      <c r="OL282">
        <v>61</v>
      </c>
      <c r="OM282" t="s">
        <v>4752</v>
      </c>
      <c r="ON282">
        <v>1</v>
      </c>
      <c r="OO282">
        <v>2018</v>
      </c>
      <c r="OP282">
        <v>61</v>
      </c>
      <c r="OQ282">
        <v>61</v>
      </c>
      <c r="OR282" t="s">
        <v>4753</v>
      </c>
      <c r="OS282">
        <v>1</v>
      </c>
      <c r="OT282">
        <v>2030</v>
      </c>
      <c r="OU282">
        <v>65</v>
      </c>
      <c r="OV282">
        <v>65</v>
      </c>
      <c r="OW282" t="s">
        <v>4043</v>
      </c>
      <c r="OX282">
        <v>2</v>
      </c>
      <c r="OY282">
        <v>41873</v>
      </c>
      <c r="OZ282">
        <v>51</v>
      </c>
      <c r="PA282">
        <v>51</v>
      </c>
      <c r="PB282" t="s">
        <v>5005</v>
      </c>
      <c r="PC282">
        <v>2</v>
      </c>
      <c r="PD282">
        <v>2065</v>
      </c>
      <c r="PF282">
        <v>400</v>
      </c>
      <c r="PG282">
        <v>35</v>
      </c>
      <c r="PH282">
        <v>379</v>
      </c>
      <c r="PI282">
        <v>0</v>
      </c>
      <c r="PJ282">
        <v>104.2</v>
      </c>
      <c r="PK282">
        <v>2322</v>
      </c>
      <c r="PL282">
        <v>1127.3</v>
      </c>
      <c r="PM282">
        <v>981.5</v>
      </c>
      <c r="PN282">
        <v>94.3</v>
      </c>
      <c r="PO282">
        <v>11</v>
      </c>
      <c r="PP282">
        <v>12</v>
      </c>
      <c r="PQ282">
        <v>3</v>
      </c>
      <c r="PR282">
        <v>3</v>
      </c>
      <c r="PS282">
        <v>0</v>
      </c>
      <c r="PT282">
        <v>234</v>
      </c>
      <c r="PU282">
        <v>13</v>
      </c>
      <c r="PV282" t="s">
        <v>4072</v>
      </c>
      <c r="PW282" t="s">
        <v>4072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-1</v>
      </c>
      <c r="QF282">
        <v>1</v>
      </c>
      <c r="QG282">
        <v>0</v>
      </c>
      <c r="QH282">
        <v>5</v>
      </c>
      <c r="QI282">
        <v>5</v>
      </c>
      <c r="QJ282">
        <v>5</v>
      </c>
      <c r="QK282">
        <v>177</v>
      </c>
      <c r="QL282">
        <v>400</v>
      </c>
      <c r="QM282">
        <v>7.5</v>
      </c>
      <c r="QN282">
        <v>1461.1</v>
      </c>
      <c r="QO282" t="s">
        <v>3054</v>
      </c>
      <c r="QP282" t="s">
        <v>513</v>
      </c>
      <c r="QQ282">
        <v>0</v>
      </c>
      <c r="QR282" t="s">
        <v>649</v>
      </c>
      <c r="QS282">
        <v>30</v>
      </c>
      <c r="QT282">
        <v>40</v>
      </c>
    </row>
    <row r="283" spans="1:462">
      <c r="A283" t="s">
        <v>3413</v>
      </c>
      <c r="B283" t="s">
        <v>657</v>
      </c>
      <c r="C283" t="s">
        <v>509</v>
      </c>
      <c r="D283" t="s">
        <v>951</v>
      </c>
      <c r="E283" t="s">
        <v>4036</v>
      </c>
      <c r="H283" t="s">
        <v>1294</v>
      </c>
      <c r="J283" t="s">
        <v>562</v>
      </c>
      <c r="K283" t="s">
        <v>563</v>
      </c>
      <c r="L283" t="s">
        <v>559</v>
      </c>
      <c r="M283" t="s">
        <v>512</v>
      </c>
      <c r="N283" t="s">
        <v>515</v>
      </c>
      <c r="O283" t="s">
        <v>513</v>
      </c>
      <c r="P283" t="s">
        <v>517</v>
      </c>
      <c r="Q283" t="s">
        <v>1567</v>
      </c>
      <c r="R283" t="s">
        <v>1568</v>
      </c>
      <c r="S283" t="s">
        <v>4391</v>
      </c>
      <c r="T283" t="s">
        <v>520</v>
      </c>
      <c r="U283" t="s">
        <v>521</v>
      </c>
      <c r="V283" t="s">
        <v>2577</v>
      </c>
      <c r="W283" t="s">
        <v>3058</v>
      </c>
      <c r="X283" t="s">
        <v>3414</v>
      </c>
      <c r="Y283" t="s">
        <v>3415</v>
      </c>
      <c r="Z283" t="s">
        <v>541</v>
      </c>
      <c r="AA283" t="s">
        <v>4038</v>
      </c>
      <c r="AB283" t="s">
        <v>5006</v>
      </c>
      <c r="AC283">
        <v>13</v>
      </c>
      <c r="AD283" t="s">
        <v>3412</v>
      </c>
      <c r="AE283">
        <v>7</v>
      </c>
      <c r="AF283">
        <v>6194</v>
      </c>
      <c r="AG283" t="s">
        <v>5007</v>
      </c>
      <c r="AH283">
        <v>1</v>
      </c>
      <c r="AI283" t="s">
        <v>4041</v>
      </c>
      <c r="AK283" t="s">
        <v>5008</v>
      </c>
      <c r="AL283">
        <v>1</v>
      </c>
      <c r="AM283" t="s">
        <v>582</v>
      </c>
      <c r="AO283" t="s">
        <v>4043</v>
      </c>
      <c r="AP283">
        <v>1</v>
      </c>
      <c r="AR283" t="s">
        <v>5009</v>
      </c>
      <c r="AS283">
        <v>1</v>
      </c>
      <c r="AT283">
        <v>52</v>
      </c>
      <c r="AV283" t="s">
        <v>4045</v>
      </c>
      <c r="AW283">
        <v>6.4</v>
      </c>
      <c r="AX283">
        <v>-6</v>
      </c>
      <c r="AY283">
        <v>90</v>
      </c>
      <c r="AZ283">
        <v>72</v>
      </c>
      <c r="BH283">
        <v>90</v>
      </c>
      <c r="BI283">
        <v>18</v>
      </c>
      <c r="BJ283">
        <v>72</v>
      </c>
      <c r="BK283">
        <v>2.5</v>
      </c>
      <c r="BL283">
        <v>180</v>
      </c>
      <c r="BM283">
        <v>-6</v>
      </c>
      <c r="BN283">
        <v>0</v>
      </c>
      <c r="BP283">
        <v>0</v>
      </c>
      <c r="BR283">
        <v>175</v>
      </c>
      <c r="BS283">
        <v>165</v>
      </c>
      <c r="BT283">
        <v>2080</v>
      </c>
      <c r="BU283" t="s">
        <v>4096</v>
      </c>
      <c r="BV283" t="s">
        <v>4127</v>
      </c>
      <c r="BW283" t="s">
        <v>4097</v>
      </c>
      <c r="BX283" t="s">
        <v>4128</v>
      </c>
      <c r="BY283" t="s">
        <v>4098</v>
      </c>
      <c r="BZ283" t="s">
        <v>4050</v>
      </c>
      <c r="CA283" t="s">
        <v>4051</v>
      </c>
      <c r="CB283" t="s">
        <v>4052</v>
      </c>
      <c r="CC283" t="s">
        <v>4053</v>
      </c>
      <c r="CD283" t="s">
        <v>4054</v>
      </c>
      <c r="CE283" t="s">
        <v>4055</v>
      </c>
      <c r="CF283" t="s">
        <v>4055</v>
      </c>
      <c r="CG283" t="s">
        <v>4056</v>
      </c>
      <c r="CI283" t="s">
        <v>4058</v>
      </c>
      <c r="CJ283" t="s">
        <v>4059</v>
      </c>
      <c r="CK283" t="s">
        <v>4060</v>
      </c>
      <c r="CL283" t="s">
        <v>4061</v>
      </c>
      <c r="CM283" t="s">
        <v>4062</v>
      </c>
      <c r="CN283" t="s">
        <v>4055</v>
      </c>
      <c r="CO283" t="s">
        <v>4063</v>
      </c>
      <c r="CP283" t="s">
        <v>4055</v>
      </c>
      <c r="CQ283" t="s">
        <v>4055</v>
      </c>
      <c r="CR283">
        <v>5</v>
      </c>
      <c r="CS283" t="s">
        <v>4055</v>
      </c>
      <c r="CT283" t="s">
        <v>4055</v>
      </c>
      <c r="CU283" t="s">
        <v>4055</v>
      </c>
      <c r="CV283">
        <v>125</v>
      </c>
      <c r="CW283">
        <v>3</v>
      </c>
      <c r="CX283">
        <v>71</v>
      </c>
      <c r="CY283">
        <v>5</v>
      </c>
      <c r="CZ283">
        <v>151</v>
      </c>
      <c r="DA283">
        <v>5</v>
      </c>
      <c r="DB283">
        <v>13120</v>
      </c>
      <c r="DC283">
        <v>390</v>
      </c>
      <c r="DD283">
        <v>320</v>
      </c>
      <c r="DE283">
        <v>2190</v>
      </c>
      <c r="DF283">
        <v>2190</v>
      </c>
      <c r="DG283">
        <v>2202</v>
      </c>
      <c r="DH283" t="s">
        <v>4055</v>
      </c>
      <c r="DI283" t="s">
        <v>4055</v>
      </c>
      <c r="DJ283" t="s">
        <v>4132</v>
      </c>
      <c r="DK283">
        <v>175</v>
      </c>
      <c r="DL283" t="s">
        <v>4065</v>
      </c>
      <c r="DM283">
        <v>63</v>
      </c>
      <c r="DN283">
        <v>1.1</v>
      </c>
      <c r="DO283">
        <v>1</v>
      </c>
      <c r="DP283">
        <v>2083</v>
      </c>
      <c r="DQ283">
        <v>789</v>
      </c>
      <c r="DR283" t="s">
        <v>4132</v>
      </c>
      <c r="DS283">
        <v>165</v>
      </c>
      <c r="DT283" t="s">
        <v>4065</v>
      </c>
      <c r="DU283">
        <v>63</v>
      </c>
      <c r="DV283">
        <v>1.1</v>
      </c>
      <c r="DW283">
        <v>1</v>
      </c>
      <c r="DX283">
        <v>2095</v>
      </c>
      <c r="DY283">
        <v>748</v>
      </c>
      <c r="DZ283" t="s">
        <v>4066</v>
      </c>
      <c r="EA283">
        <v>20</v>
      </c>
      <c r="EB283" t="s">
        <v>4065</v>
      </c>
      <c r="EC283">
        <v>0.8</v>
      </c>
      <c r="ED283">
        <v>2083</v>
      </c>
      <c r="EE283">
        <v>73</v>
      </c>
      <c r="EG283">
        <v>0</v>
      </c>
      <c r="EH283" t="s">
        <v>4065</v>
      </c>
      <c r="EI283">
        <v>0</v>
      </c>
      <c r="EL283" t="s">
        <v>1528</v>
      </c>
      <c r="EM283">
        <v>12</v>
      </c>
      <c r="EN283">
        <v>0.5</v>
      </c>
      <c r="EO283">
        <v>0.96</v>
      </c>
      <c r="EP283">
        <v>2093.83</v>
      </c>
      <c r="EQ283">
        <v>31407.45</v>
      </c>
      <c r="ER283">
        <v>5905.86</v>
      </c>
      <c r="ES283">
        <v>0</v>
      </c>
      <c r="ET283">
        <v>0</v>
      </c>
      <c r="EU283">
        <v>1</v>
      </c>
      <c r="EV283">
        <v>37314</v>
      </c>
      <c r="EW283">
        <v>448</v>
      </c>
      <c r="EX283" t="s">
        <v>4287</v>
      </c>
      <c r="EY283">
        <v>216</v>
      </c>
      <c r="EZ283" t="s">
        <v>4055</v>
      </c>
      <c r="FA283">
        <v>5.7</v>
      </c>
      <c r="FB283">
        <v>1</v>
      </c>
      <c r="FC283">
        <v>1</v>
      </c>
      <c r="FD283">
        <v>2130</v>
      </c>
      <c r="FE283">
        <v>2721</v>
      </c>
      <c r="FF283" t="s">
        <v>4288</v>
      </c>
      <c r="FG283">
        <v>216</v>
      </c>
      <c r="FH283" t="s">
        <v>4055</v>
      </c>
      <c r="FI283">
        <v>3.2</v>
      </c>
      <c r="FJ283">
        <v>2130</v>
      </c>
      <c r="FK283">
        <v>1670</v>
      </c>
      <c r="FL283" t="s">
        <v>4069</v>
      </c>
      <c r="FM283" t="s">
        <v>4055</v>
      </c>
      <c r="FN283" t="s">
        <v>4055</v>
      </c>
      <c r="FO283" t="s">
        <v>4055</v>
      </c>
      <c r="FP283">
        <v>2130</v>
      </c>
      <c r="FQ283">
        <v>237</v>
      </c>
      <c r="FR283" t="s">
        <v>4090</v>
      </c>
      <c r="FS283">
        <v>220</v>
      </c>
      <c r="FT283" t="s">
        <v>4055</v>
      </c>
      <c r="FU283">
        <v>0.4</v>
      </c>
      <c r="FV283">
        <v>2130</v>
      </c>
      <c r="FW283">
        <v>208</v>
      </c>
      <c r="FX283" t="s">
        <v>4070</v>
      </c>
      <c r="FY283">
        <v>5</v>
      </c>
      <c r="FZ283" t="s">
        <v>4055</v>
      </c>
      <c r="GA283" t="s">
        <v>4055</v>
      </c>
      <c r="GB283">
        <v>2130</v>
      </c>
      <c r="GC283">
        <v>23</v>
      </c>
      <c r="GD283">
        <v>4859</v>
      </c>
      <c r="GE283" t="s">
        <v>5009</v>
      </c>
      <c r="GF283" t="s">
        <v>4055</v>
      </c>
      <c r="GG283" t="s">
        <v>4055</v>
      </c>
      <c r="GH283" t="s">
        <v>4055</v>
      </c>
      <c r="GI283" t="s">
        <v>4071</v>
      </c>
      <c r="GJ283" t="s">
        <v>4055</v>
      </c>
      <c r="GK283" t="s">
        <v>4055</v>
      </c>
      <c r="GL283" t="s">
        <v>4055</v>
      </c>
      <c r="GM283" t="s">
        <v>4055</v>
      </c>
      <c r="GQ283">
        <v>0</v>
      </c>
      <c r="GV283">
        <v>9.300000000000001</v>
      </c>
      <c r="GW283">
        <v>10.8</v>
      </c>
      <c r="GX283">
        <v>0.5</v>
      </c>
      <c r="GY283">
        <v>170</v>
      </c>
      <c r="GZ283">
        <v>3</v>
      </c>
      <c r="HA283">
        <v>236</v>
      </c>
      <c r="HB283">
        <v>3</v>
      </c>
      <c r="HC283">
        <v>2130</v>
      </c>
      <c r="HD283">
        <v>4</v>
      </c>
      <c r="HE283" t="s">
        <v>4071</v>
      </c>
      <c r="HG283" t="s">
        <v>549</v>
      </c>
      <c r="HL283">
        <v>4</v>
      </c>
      <c r="HM283">
        <v>16</v>
      </c>
      <c r="HN283">
        <v>6</v>
      </c>
      <c r="HO283">
        <v>1</v>
      </c>
      <c r="HP283">
        <v>0</v>
      </c>
      <c r="HQ283">
        <v>0</v>
      </c>
      <c r="HR283">
        <v>3</v>
      </c>
      <c r="HS283">
        <v>2080</v>
      </c>
      <c r="HT283">
        <v>5</v>
      </c>
      <c r="HU283">
        <v>1</v>
      </c>
      <c r="HV283">
        <v>5</v>
      </c>
      <c r="HW283">
        <v>0</v>
      </c>
      <c r="HX283">
        <v>1</v>
      </c>
      <c r="HY283">
        <v>0</v>
      </c>
      <c r="HZ283">
        <v>63</v>
      </c>
      <c r="IA283">
        <v>2083</v>
      </c>
      <c r="IB283">
        <v>2095</v>
      </c>
      <c r="ID283">
        <v>2130</v>
      </c>
      <c r="IE283">
        <v>2130</v>
      </c>
      <c r="IF283">
        <v>175</v>
      </c>
      <c r="IG283">
        <v>165</v>
      </c>
      <c r="IH283">
        <v>236</v>
      </c>
      <c r="II283">
        <v>1</v>
      </c>
      <c r="IJ283">
        <v>5</v>
      </c>
      <c r="IK283">
        <v>0</v>
      </c>
      <c r="IL283">
        <v>0</v>
      </c>
      <c r="IM283">
        <v>0</v>
      </c>
      <c r="IN283">
        <v>180</v>
      </c>
      <c r="IO283">
        <v>0</v>
      </c>
      <c r="IP283">
        <v>180</v>
      </c>
      <c r="IQ283">
        <v>0</v>
      </c>
      <c r="IR283">
        <v>330</v>
      </c>
      <c r="IS283">
        <v>0</v>
      </c>
      <c r="IT283">
        <v>90</v>
      </c>
      <c r="IU283">
        <v>0</v>
      </c>
      <c r="IV283">
        <v>6.4</v>
      </c>
      <c r="IW283">
        <v>-6</v>
      </c>
      <c r="IX283">
        <v>90</v>
      </c>
      <c r="IY283">
        <v>72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412</v>
      </c>
      <c r="JJ283">
        <v>382</v>
      </c>
      <c r="JK283">
        <v>304</v>
      </c>
      <c r="JL283">
        <v>380</v>
      </c>
      <c r="JM283">
        <v>284</v>
      </c>
      <c r="JN283">
        <v>180</v>
      </c>
      <c r="JO283">
        <v>242</v>
      </c>
      <c r="JP283">
        <v>205</v>
      </c>
      <c r="JQ283">
        <v>265</v>
      </c>
      <c r="JR283">
        <v>375</v>
      </c>
      <c r="JS283">
        <v>260</v>
      </c>
      <c r="JT283">
        <v>0</v>
      </c>
      <c r="JU283">
        <v>0</v>
      </c>
      <c r="JV283">
        <v>335</v>
      </c>
      <c r="JW283">
        <v>337</v>
      </c>
      <c r="JX283">
        <v>330</v>
      </c>
      <c r="JY283">
        <v>300</v>
      </c>
      <c r="JZ283">
        <v>0.5</v>
      </c>
      <c r="KA283">
        <v>0.2</v>
      </c>
      <c r="KB283">
        <v>0.4</v>
      </c>
      <c r="KC283">
        <v>0.42</v>
      </c>
      <c r="KD283">
        <v>0.3</v>
      </c>
      <c r="KE283">
        <v>0.5</v>
      </c>
      <c r="KF283">
        <v>0.24</v>
      </c>
      <c r="KG283">
        <v>0.11</v>
      </c>
      <c r="KH283">
        <v>3.5</v>
      </c>
      <c r="KI283">
        <v>1</v>
      </c>
      <c r="KJ283">
        <v>4.5</v>
      </c>
      <c r="KK283">
        <v>0</v>
      </c>
      <c r="KL283">
        <v>4.5</v>
      </c>
      <c r="KM283">
        <v>0</v>
      </c>
      <c r="KN283">
        <v>1.4</v>
      </c>
      <c r="KO283">
        <v>0</v>
      </c>
      <c r="KP283">
        <v>0</v>
      </c>
      <c r="KQ283">
        <v>1</v>
      </c>
      <c r="KR283">
        <v>0.8</v>
      </c>
      <c r="KS283">
        <v>0</v>
      </c>
      <c r="KT283">
        <v>2</v>
      </c>
      <c r="KU283">
        <v>0</v>
      </c>
      <c r="KV283">
        <v>0</v>
      </c>
      <c r="KW283">
        <v>1.2</v>
      </c>
      <c r="KX283">
        <v>2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3</v>
      </c>
      <c r="LI283">
        <v>0.5</v>
      </c>
      <c r="LJ283">
        <v>0</v>
      </c>
      <c r="LK283">
        <v>6</v>
      </c>
      <c r="LL283">
        <v>5</v>
      </c>
      <c r="LM283">
        <v>10</v>
      </c>
      <c r="LN283">
        <v>1</v>
      </c>
      <c r="LO283">
        <v>1</v>
      </c>
      <c r="LP283">
        <v>0</v>
      </c>
      <c r="LQ283">
        <v>0</v>
      </c>
      <c r="LR283">
        <v>0</v>
      </c>
      <c r="LS283">
        <v>1</v>
      </c>
      <c r="LT283">
        <v>0</v>
      </c>
      <c r="LU283">
        <v>0</v>
      </c>
      <c r="LV283">
        <v>0</v>
      </c>
      <c r="LW283">
        <v>2.1</v>
      </c>
      <c r="LX283">
        <v>2.1</v>
      </c>
      <c r="LY283">
        <v>2.1</v>
      </c>
      <c r="LZ283">
        <v>2.1</v>
      </c>
      <c r="MA283">
        <v>0</v>
      </c>
      <c r="MB283">
        <v>3</v>
      </c>
      <c r="MC283">
        <v>0</v>
      </c>
      <c r="MD283">
        <v>4.5</v>
      </c>
      <c r="ME283">
        <v>6</v>
      </c>
      <c r="MF283">
        <v>6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452</v>
      </c>
      <c r="MN283">
        <v>175</v>
      </c>
      <c r="MO283">
        <v>244</v>
      </c>
      <c r="NU283">
        <v>0.15</v>
      </c>
      <c r="NV283">
        <v>0.2</v>
      </c>
      <c r="NW283">
        <v>0.2</v>
      </c>
      <c r="NX283">
        <v>2</v>
      </c>
      <c r="NY283">
        <v>2</v>
      </c>
      <c r="NZ283">
        <v>2</v>
      </c>
      <c r="OE283" t="s">
        <v>5009</v>
      </c>
      <c r="OF283" t="s">
        <v>5007</v>
      </c>
      <c r="OG283" t="s">
        <v>5008</v>
      </c>
      <c r="OH283" t="s">
        <v>4043</v>
      </c>
      <c r="OI283" t="s">
        <v>5009</v>
      </c>
      <c r="OJ283" t="s">
        <v>5006</v>
      </c>
      <c r="OK283">
        <v>61</v>
      </c>
      <c r="OL283">
        <v>61</v>
      </c>
      <c r="OM283" t="s">
        <v>5007</v>
      </c>
      <c r="ON283">
        <v>1</v>
      </c>
      <c r="OO283">
        <v>2083</v>
      </c>
      <c r="OP283">
        <v>61</v>
      </c>
      <c r="OQ283">
        <v>61</v>
      </c>
      <c r="OR283" t="s">
        <v>5008</v>
      </c>
      <c r="OS283">
        <v>1</v>
      </c>
      <c r="OT283">
        <v>2095</v>
      </c>
      <c r="OU283">
        <v>65</v>
      </c>
      <c r="OV283">
        <v>65</v>
      </c>
      <c r="OW283" t="s">
        <v>4043</v>
      </c>
      <c r="OX283">
        <v>2</v>
      </c>
      <c r="OY283">
        <v>37314</v>
      </c>
      <c r="OZ283">
        <v>51</v>
      </c>
      <c r="PA283">
        <v>52</v>
      </c>
      <c r="PB283" t="s">
        <v>5009</v>
      </c>
      <c r="PC283">
        <v>2</v>
      </c>
      <c r="PD283">
        <v>2130</v>
      </c>
      <c r="PF283">
        <v>379</v>
      </c>
      <c r="PG283">
        <v>35</v>
      </c>
      <c r="PH283">
        <v>357</v>
      </c>
      <c r="PI283">
        <v>0</v>
      </c>
      <c r="PJ283">
        <v>111.2</v>
      </c>
      <c r="PK283">
        <v>2293</v>
      </c>
      <c r="PL283">
        <v>1277.4</v>
      </c>
      <c r="PM283">
        <v>784</v>
      </c>
      <c r="PN283">
        <v>97.8</v>
      </c>
      <c r="PO283">
        <v>10.8</v>
      </c>
      <c r="PP283">
        <v>12</v>
      </c>
      <c r="PQ283">
        <v>3</v>
      </c>
      <c r="PR283">
        <v>5</v>
      </c>
      <c r="PS283">
        <v>0</v>
      </c>
      <c r="PT283">
        <v>236</v>
      </c>
      <c r="PU283">
        <v>10</v>
      </c>
      <c r="PV283" t="s">
        <v>4072</v>
      </c>
      <c r="PW283" t="s">
        <v>4072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-1</v>
      </c>
      <c r="QF283">
        <v>1</v>
      </c>
      <c r="QG283">
        <v>0</v>
      </c>
      <c r="QH283">
        <v>5</v>
      </c>
      <c r="QI283">
        <v>5</v>
      </c>
      <c r="QJ283">
        <v>5</v>
      </c>
      <c r="QK283">
        <v>201</v>
      </c>
      <c r="QL283">
        <v>446</v>
      </c>
      <c r="QM283">
        <v>7.5</v>
      </c>
      <c r="QN283">
        <v>1285.7</v>
      </c>
      <c r="QO283" t="s">
        <v>3054</v>
      </c>
      <c r="QP283" t="s">
        <v>513</v>
      </c>
      <c r="QQ283">
        <v>0</v>
      </c>
      <c r="QR283" t="s">
        <v>621</v>
      </c>
      <c r="QS283">
        <v>30</v>
      </c>
      <c r="QT283">
        <v>40</v>
      </c>
    </row>
    <row r="284" spans="1:462">
      <c r="A284" t="s">
        <v>3421</v>
      </c>
      <c r="B284" t="s">
        <v>564</v>
      </c>
      <c r="C284" t="s">
        <v>509</v>
      </c>
      <c r="D284" t="s">
        <v>2370</v>
      </c>
      <c r="E284" t="s">
        <v>4036</v>
      </c>
      <c r="H284" t="s">
        <v>627</v>
      </c>
      <c r="I284" t="s">
        <v>604</v>
      </c>
      <c r="J284" t="s">
        <v>628</v>
      </c>
      <c r="K284" t="s">
        <v>606</v>
      </c>
      <c r="L284" t="s">
        <v>629</v>
      </c>
      <c r="M284" t="s">
        <v>512</v>
      </c>
      <c r="O284" t="s">
        <v>513</v>
      </c>
      <c r="P284" t="s">
        <v>517</v>
      </c>
      <c r="Q284" t="s">
        <v>819</v>
      </c>
      <c r="R284" t="s">
        <v>820</v>
      </c>
      <c r="S284" t="s">
        <v>4170</v>
      </c>
      <c r="T284" t="s">
        <v>633</v>
      </c>
      <c r="U284" t="s">
        <v>634</v>
      </c>
      <c r="V284" t="s">
        <v>2567</v>
      </c>
      <c r="W284" t="s">
        <v>3058</v>
      </c>
      <c r="X284" t="s">
        <v>3422</v>
      </c>
      <c r="Y284" t="s">
        <v>3423</v>
      </c>
      <c r="Z284" t="s">
        <v>541</v>
      </c>
      <c r="AA284" t="s">
        <v>4038</v>
      </c>
      <c r="AB284" t="s">
        <v>5010</v>
      </c>
      <c r="AC284">
        <v>13</v>
      </c>
      <c r="AD284" t="s">
        <v>3420</v>
      </c>
      <c r="AE284">
        <v>5</v>
      </c>
      <c r="AF284">
        <v>4574</v>
      </c>
      <c r="AG284" t="s">
        <v>4729</v>
      </c>
      <c r="AH284">
        <v>1</v>
      </c>
      <c r="AI284" t="s">
        <v>4041</v>
      </c>
      <c r="AK284" t="s">
        <v>4730</v>
      </c>
      <c r="AL284">
        <v>1</v>
      </c>
      <c r="AM284" t="s">
        <v>582</v>
      </c>
      <c r="AO284" t="s">
        <v>4426</v>
      </c>
      <c r="AP284">
        <v>1</v>
      </c>
      <c r="AR284" t="s">
        <v>5011</v>
      </c>
      <c r="AS284">
        <v>1</v>
      </c>
      <c r="AT284">
        <v>51</v>
      </c>
      <c r="AV284" t="s">
        <v>4078</v>
      </c>
      <c r="AW284">
        <v>6.4</v>
      </c>
      <c r="AX284">
        <v>-6</v>
      </c>
      <c r="AY284">
        <v>93</v>
      </c>
      <c r="AZ284">
        <v>62</v>
      </c>
      <c r="BH284">
        <v>93</v>
      </c>
      <c r="BI284">
        <v>31</v>
      </c>
      <c r="BJ284">
        <v>62</v>
      </c>
      <c r="BK284">
        <v>3</v>
      </c>
      <c r="BL284">
        <v>186</v>
      </c>
      <c r="BM284">
        <v>-6</v>
      </c>
      <c r="BN284">
        <v>0</v>
      </c>
      <c r="BP284">
        <v>0</v>
      </c>
      <c r="BR284">
        <v>180</v>
      </c>
      <c r="BS284">
        <v>170</v>
      </c>
      <c r="BT284">
        <v>2005</v>
      </c>
      <c r="BU284" t="s">
        <v>4096</v>
      </c>
      <c r="BV284" t="s">
        <v>4096</v>
      </c>
      <c r="BW284" t="s">
        <v>4097</v>
      </c>
      <c r="BX284" t="s">
        <v>4097</v>
      </c>
      <c r="BY284" t="s">
        <v>4107</v>
      </c>
      <c r="BZ284" t="s">
        <v>4173</v>
      </c>
      <c r="CA284" t="s">
        <v>4108</v>
      </c>
      <c r="CB284" t="s">
        <v>4109</v>
      </c>
      <c r="CC284" t="s">
        <v>4053</v>
      </c>
      <c r="CD284" t="s">
        <v>4110</v>
      </c>
      <c r="CE284" t="s">
        <v>4055</v>
      </c>
      <c r="CF284" t="s">
        <v>4055</v>
      </c>
      <c r="CG284" t="s">
        <v>4056</v>
      </c>
      <c r="CI284" t="s">
        <v>4058</v>
      </c>
      <c r="CJ284" t="s">
        <v>4059</v>
      </c>
      <c r="CK284" t="s">
        <v>4060</v>
      </c>
      <c r="CL284" t="s">
        <v>4061</v>
      </c>
      <c r="CM284" t="s">
        <v>4062</v>
      </c>
      <c r="CN284" t="s">
        <v>4055</v>
      </c>
      <c r="CO284" t="s">
        <v>4063</v>
      </c>
      <c r="CP284" t="s">
        <v>4055</v>
      </c>
      <c r="CQ284" t="s">
        <v>4055</v>
      </c>
      <c r="CR284">
        <v>5</v>
      </c>
      <c r="CS284" t="s">
        <v>4055</v>
      </c>
      <c r="CT284" t="s">
        <v>4055</v>
      </c>
      <c r="CU284" t="s">
        <v>4055</v>
      </c>
      <c r="CV284">
        <v>124</v>
      </c>
      <c r="CW284">
        <v>3</v>
      </c>
      <c r="CX284">
        <v>75</v>
      </c>
      <c r="CY284">
        <v>5</v>
      </c>
      <c r="CZ284">
        <v>144</v>
      </c>
      <c r="DA284">
        <v>5</v>
      </c>
      <c r="DB284">
        <v>11360</v>
      </c>
      <c r="DC284">
        <v>340</v>
      </c>
      <c r="DD284">
        <v>330</v>
      </c>
      <c r="DE284">
        <v>2119</v>
      </c>
      <c r="DF284">
        <v>2119</v>
      </c>
      <c r="DG284">
        <v>2138</v>
      </c>
      <c r="DH284" t="s">
        <v>4055</v>
      </c>
      <c r="DI284" t="s">
        <v>4055</v>
      </c>
      <c r="DJ284" t="s">
        <v>4132</v>
      </c>
      <c r="DK284">
        <v>180</v>
      </c>
      <c r="DL284" t="s">
        <v>4065</v>
      </c>
      <c r="DM284">
        <v>63</v>
      </c>
      <c r="DN284">
        <v>1.1</v>
      </c>
      <c r="DO284">
        <v>1</v>
      </c>
      <c r="DP284">
        <v>2008</v>
      </c>
      <c r="DQ284">
        <v>781</v>
      </c>
      <c r="DR284" t="s">
        <v>4132</v>
      </c>
      <c r="DS284">
        <v>170</v>
      </c>
      <c r="DT284" t="s">
        <v>4065</v>
      </c>
      <c r="DU284">
        <v>63</v>
      </c>
      <c r="DV284">
        <v>1.1</v>
      </c>
      <c r="DW284">
        <v>1</v>
      </c>
      <c r="DX284">
        <v>2020</v>
      </c>
      <c r="DY284">
        <v>743</v>
      </c>
      <c r="DZ284" t="s">
        <v>4066</v>
      </c>
      <c r="EA284">
        <v>20</v>
      </c>
      <c r="EB284" t="s">
        <v>4065</v>
      </c>
      <c r="EC284">
        <v>0.8</v>
      </c>
      <c r="ED284">
        <v>2008</v>
      </c>
      <c r="EE284">
        <v>70</v>
      </c>
      <c r="EG284">
        <v>0</v>
      </c>
      <c r="EH284" t="s">
        <v>4065</v>
      </c>
      <c r="EI284">
        <v>0</v>
      </c>
      <c r="EL284" t="s">
        <v>4429</v>
      </c>
      <c r="EM284">
        <v>12</v>
      </c>
      <c r="EN284">
        <v>0.5</v>
      </c>
      <c r="EO284">
        <v>0.9</v>
      </c>
      <c r="EP284">
        <v>2018.83</v>
      </c>
      <c r="EQ284">
        <v>31228.78</v>
      </c>
      <c r="ER284">
        <v>9806.1</v>
      </c>
      <c r="ES284">
        <v>0</v>
      </c>
      <c r="ET284">
        <v>0</v>
      </c>
      <c r="EU284">
        <v>1</v>
      </c>
      <c r="EV284">
        <v>41035</v>
      </c>
      <c r="EW284">
        <v>493</v>
      </c>
      <c r="EX284" t="s">
        <v>4287</v>
      </c>
      <c r="EY284">
        <v>212</v>
      </c>
      <c r="EZ284" t="s">
        <v>4055</v>
      </c>
      <c r="FA284">
        <v>5.1</v>
      </c>
      <c r="FB284">
        <v>1</v>
      </c>
      <c r="FC284">
        <v>1</v>
      </c>
      <c r="FD284">
        <v>2055</v>
      </c>
      <c r="FE284">
        <v>2497</v>
      </c>
      <c r="FF284" t="s">
        <v>4288</v>
      </c>
      <c r="FG284">
        <v>212</v>
      </c>
      <c r="FH284" t="s">
        <v>4055</v>
      </c>
      <c r="FI284">
        <v>4</v>
      </c>
      <c r="FJ284">
        <v>2055</v>
      </c>
      <c r="FK284">
        <v>1868</v>
      </c>
      <c r="FL284" t="s">
        <v>4069</v>
      </c>
      <c r="FM284" t="s">
        <v>4055</v>
      </c>
      <c r="FN284" t="s">
        <v>4055</v>
      </c>
      <c r="FO284" t="s">
        <v>4055</v>
      </c>
      <c r="FP284">
        <v>2055</v>
      </c>
      <c r="FQ284">
        <v>114</v>
      </c>
      <c r="FR284" t="s">
        <v>4090</v>
      </c>
      <c r="FS284">
        <v>216</v>
      </c>
      <c r="FT284" t="s">
        <v>4055</v>
      </c>
      <c r="FU284">
        <v>0.4</v>
      </c>
      <c r="FV284">
        <v>2055</v>
      </c>
      <c r="FW284">
        <v>197</v>
      </c>
      <c r="FX284" t="s">
        <v>4070</v>
      </c>
      <c r="FY284">
        <v>5</v>
      </c>
      <c r="FZ284" t="s">
        <v>4055</v>
      </c>
      <c r="GA284" t="s">
        <v>4055</v>
      </c>
      <c r="GB284">
        <v>2055</v>
      </c>
      <c r="GC284">
        <v>23</v>
      </c>
      <c r="GD284">
        <v>4699</v>
      </c>
      <c r="GE284" t="s">
        <v>5011</v>
      </c>
      <c r="GF284" t="s">
        <v>4055</v>
      </c>
      <c r="GG284" t="s">
        <v>4055</v>
      </c>
      <c r="GH284" t="s">
        <v>4055</v>
      </c>
      <c r="GI284" t="s">
        <v>4071</v>
      </c>
      <c r="GJ284" t="s">
        <v>4055</v>
      </c>
      <c r="GK284" t="s">
        <v>4055</v>
      </c>
      <c r="GL284" t="s">
        <v>4055</v>
      </c>
      <c r="GM284" t="s">
        <v>4055</v>
      </c>
      <c r="GQ284">
        <v>0</v>
      </c>
      <c r="GV284">
        <v>9.5</v>
      </c>
      <c r="GW284">
        <v>10.5</v>
      </c>
      <c r="GX284">
        <v>0.5</v>
      </c>
      <c r="GY284">
        <v>172</v>
      </c>
      <c r="GZ284">
        <v>3</v>
      </c>
      <c r="HA284">
        <v>230</v>
      </c>
      <c r="HB284">
        <v>3</v>
      </c>
      <c r="HC284">
        <v>2055</v>
      </c>
      <c r="HD284">
        <v>4</v>
      </c>
      <c r="HE284" t="s">
        <v>4071</v>
      </c>
      <c r="HG284" t="s">
        <v>549</v>
      </c>
      <c r="HL284">
        <v>4</v>
      </c>
      <c r="HM284">
        <v>17</v>
      </c>
      <c r="HN284">
        <v>6</v>
      </c>
      <c r="HO284">
        <v>1</v>
      </c>
      <c r="HP284">
        <v>0</v>
      </c>
      <c r="HQ284">
        <v>0</v>
      </c>
      <c r="HR284">
        <v>3</v>
      </c>
      <c r="HS284">
        <v>2005</v>
      </c>
      <c r="HT284">
        <v>5</v>
      </c>
      <c r="HU284">
        <v>1</v>
      </c>
      <c r="HV284">
        <v>5</v>
      </c>
      <c r="HW284">
        <v>0</v>
      </c>
      <c r="HX284">
        <v>1</v>
      </c>
      <c r="HY284">
        <v>0</v>
      </c>
      <c r="HZ284">
        <v>63</v>
      </c>
      <c r="IA284">
        <v>2008</v>
      </c>
      <c r="IB284">
        <v>2020</v>
      </c>
      <c r="ID284">
        <v>2055</v>
      </c>
      <c r="IE284">
        <v>2055</v>
      </c>
      <c r="IF284">
        <v>180</v>
      </c>
      <c r="IG284">
        <v>170</v>
      </c>
      <c r="IH284">
        <v>230</v>
      </c>
      <c r="II284">
        <v>1</v>
      </c>
      <c r="IJ284">
        <v>5</v>
      </c>
      <c r="IK284">
        <v>0</v>
      </c>
      <c r="IL284">
        <v>1</v>
      </c>
      <c r="IM284">
        <v>0</v>
      </c>
      <c r="IN284">
        <v>270</v>
      </c>
      <c r="IO284">
        <v>0</v>
      </c>
      <c r="IP284">
        <v>180</v>
      </c>
      <c r="IQ284">
        <v>0</v>
      </c>
      <c r="IR284">
        <v>330</v>
      </c>
      <c r="IS284">
        <v>0</v>
      </c>
      <c r="IT284">
        <v>90</v>
      </c>
      <c r="IU284">
        <v>0</v>
      </c>
      <c r="IV284">
        <v>6.4</v>
      </c>
      <c r="IW284">
        <v>-6</v>
      </c>
      <c r="IX284">
        <v>93</v>
      </c>
      <c r="IY284">
        <v>62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386</v>
      </c>
      <c r="JJ284">
        <v>360</v>
      </c>
      <c r="JK284">
        <v>272</v>
      </c>
      <c r="JL284">
        <v>358</v>
      </c>
      <c r="JM284">
        <v>280</v>
      </c>
      <c r="JN284">
        <v>190</v>
      </c>
      <c r="JO284">
        <v>218</v>
      </c>
      <c r="JP284">
        <v>203</v>
      </c>
      <c r="JQ284">
        <v>250</v>
      </c>
      <c r="JR284">
        <v>336</v>
      </c>
      <c r="JS284">
        <v>240</v>
      </c>
      <c r="JT284">
        <v>0</v>
      </c>
      <c r="JU284">
        <v>0</v>
      </c>
      <c r="JV284">
        <v>335</v>
      </c>
      <c r="JW284">
        <v>337</v>
      </c>
      <c r="JX284">
        <v>320</v>
      </c>
      <c r="JY284">
        <v>300</v>
      </c>
      <c r="JZ284">
        <v>1</v>
      </c>
      <c r="KA284">
        <v>0.2</v>
      </c>
      <c r="KB284">
        <v>0.4</v>
      </c>
      <c r="KC284">
        <v>0.42</v>
      </c>
      <c r="KD284">
        <v>0.28</v>
      </c>
      <c r="KE284">
        <v>0.5</v>
      </c>
      <c r="KF284">
        <v>0.18</v>
      </c>
      <c r="KG284">
        <v>0.11</v>
      </c>
      <c r="KH284">
        <v>3.5</v>
      </c>
      <c r="KI284">
        <v>1</v>
      </c>
      <c r="KJ284">
        <v>4.5</v>
      </c>
      <c r="KK284">
        <v>0</v>
      </c>
      <c r="KL284">
        <v>4.5</v>
      </c>
      <c r="KM284">
        <v>0</v>
      </c>
      <c r="KN284">
        <v>1.5</v>
      </c>
      <c r="KO284">
        <v>0</v>
      </c>
      <c r="KP284">
        <v>0</v>
      </c>
      <c r="KQ284">
        <v>0.8</v>
      </c>
      <c r="KR284">
        <v>1</v>
      </c>
      <c r="KS284">
        <v>0</v>
      </c>
      <c r="KT284">
        <v>2</v>
      </c>
      <c r="KU284">
        <v>0</v>
      </c>
      <c r="KV284">
        <v>0</v>
      </c>
      <c r="KW284">
        <v>0.8</v>
      </c>
      <c r="KX284">
        <v>0.8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3</v>
      </c>
      <c r="LI284">
        <v>3</v>
      </c>
      <c r="LJ284">
        <v>0</v>
      </c>
      <c r="LK284">
        <v>4.5</v>
      </c>
      <c r="LL284">
        <v>6</v>
      </c>
      <c r="LM284">
        <v>7.5</v>
      </c>
      <c r="LN284">
        <v>0.1</v>
      </c>
      <c r="LO284">
        <v>0.1</v>
      </c>
      <c r="LP284">
        <v>0</v>
      </c>
      <c r="LQ284">
        <v>0</v>
      </c>
      <c r="LR284">
        <v>0</v>
      </c>
      <c r="LS284">
        <v>1</v>
      </c>
      <c r="LT284">
        <v>0</v>
      </c>
      <c r="LU284">
        <v>0</v>
      </c>
      <c r="LV284">
        <v>0</v>
      </c>
      <c r="LW284">
        <v>2.1</v>
      </c>
      <c r="LX284">
        <v>2.1</v>
      </c>
      <c r="LY284">
        <v>2.1</v>
      </c>
      <c r="LZ284">
        <v>2.1</v>
      </c>
      <c r="MA284">
        <v>0</v>
      </c>
      <c r="MB284">
        <v>3</v>
      </c>
      <c r="MC284">
        <v>1</v>
      </c>
      <c r="MD284">
        <v>4.5</v>
      </c>
      <c r="ME284">
        <v>6</v>
      </c>
      <c r="MF284">
        <v>6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420</v>
      </c>
      <c r="MN284">
        <v>175</v>
      </c>
      <c r="MO284">
        <v>228</v>
      </c>
      <c r="NU284">
        <v>0.15</v>
      </c>
      <c r="NV284">
        <v>0.2</v>
      </c>
      <c r="NW284">
        <v>0.2</v>
      </c>
      <c r="NX284">
        <v>2</v>
      </c>
      <c r="NY284">
        <v>2</v>
      </c>
      <c r="NZ284">
        <v>2</v>
      </c>
      <c r="OE284" t="s">
        <v>5011</v>
      </c>
      <c r="OF284" t="s">
        <v>4729</v>
      </c>
      <c r="OG284" t="s">
        <v>4730</v>
      </c>
      <c r="OH284" t="s">
        <v>4426</v>
      </c>
      <c r="OI284" t="s">
        <v>5011</v>
      </c>
      <c r="OJ284" t="s">
        <v>5010</v>
      </c>
      <c r="OK284">
        <v>61</v>
      </c>
      <c r="OL284">
        <v>61</v>
      </c>
      <c r="OM284" t="s">
        <v>4729</v>
      </c>
      <c r="ON284">
        <v>1</v>
      </c>
      <c r="OO284">
        <v>2008</v>
      </c>
      <c r="OP284">
        <v>61</v>
      </c>
      <c r="OQ284">
        <v>61</v>
      </c>
      <c r="OR284" t="s">
        <v>4730</v>
      </c>
      <c r="OS284">
        <v>1</v>
      </c>
      <c r="OT284">
        <v>2020</v>
      </c>
      <c r="OU284">
        <v>65</v>
      </c>
      <c r="OV284">
        <v>65</v>
      </c>
      <c r="OW284" t="s">
        <v>4426</v>
      </c>
      <c r="OX284">
        <v>2</v>
      </c>
      <c r="OY284">
        <v>41035</v>
      </c>
      <c r="OZ284">
        <v>51</v>
      </c>
      <c r="PA284">
        <v>51</v>
      </c>
      <c r="PB284" t="s">
        <v>5011</v>
      </c>
      <c r="PC284">
        <v>2</v>
      </c>
      <c r="PD284">
        <v>2055</v>
      </c>
      <c r="PF284">
        <v>389</v>
      </c>
      <c r="PG284">
        <v>35</v>
      </c>
      <c r="PH284">
        <v>368</v>
      </c>
      <c r="PI284">
        <v>0</v>
      </c>
      <c r="PJ284">
        <v>55.5</v>
      </c>
      <c r="PL284">
        <v>1215.1</v>
      </c>
      <c r="PM284">
        <v>908.8</v>
      </c>
      <c r="PN284">
        <v>96.09999999999999</v>
      </c>
      <c r="PO284">
        <v>11</v>
      </c>
      <c r="PP284">
        <v>12</v>
      </c>
      <c r="PQ284">
        <v>3</v>
      </c>
      <c r="PR284">
        <v>3</v>
      </c>
      <c r="PS284">
        <v>0</v>
      </c>
      <c r="PT284">
        <v>230</v>
      </c>
      <c r="PU284">
        <v>9</v>
      </c>
      <c r="PV284" t="s">
        <v>4072</v>
      </c>
      <c r="PW284" t="s">
        <v>4072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-1</v>
      </c>
      <c r="QF284">
        <v>1</v>
      </c>
      <c r="QG284">
        <v>0</v>
      </c>
      <c r="QH284">
        <v>5</v>
      </c>
      <c r="QI284">
        <v>5</v>
      </c>
      <c r="QJ284">
        <v>5</v>
      </c>
      <c r="QK284">
        <v>185</v>
      </c>
      <c r="QL284">
        <v>420</v>
      </c>
      <c r="QM284">
        <v>7.5</v>
      </c>
      <c r="QN284">
        <v>1379.8</v>
      </c>
      <c r="QO284" t="s">
        <v>3054</v>
      </c>
      <c r="QP284" t="s">
        <v>513</v>
      </c>
      <c r="QQ284">
        <v>0</v>
      </c>
      <c r="QR284" t="s">
        <v>540</v>
      </c>
      <c r="QS284">
        <v>30</v>
      </c>
      <c r="QT284">
        <v>40</v>
      </c>
    </row>
    <row r="285" spans="1:462">
      <c r="A285" t="s">
        <v>3428</v>
      </c>
      <c r="B285" t="s">
        <v>727</v>
      </c>
      <c r="C285" t="s">
        <v>509</v>
      </c>
      <c r="D285" t="s">
        <v>4923</v>
      </c>
      <c r="E285" t="s">
        <v>4036</v>
      </c>
      <c r="H285" t="s">
        <v>605</v>
      </c>
      <c r="I285" t="s">
        <v>604</v>
      </c>
      <c r="J285" t="s">
        <v>628</v>
      </c>
      <c r="K285" t="s">
        <v>606</v>
      </c>
      <c r="L285" t="s">
        <v>729</v>
      </c>
      <c r="M285" t="s">
        <v>512</v>
      </c>
      <c r="O285" t="s">
        <v>513</v>
      </c>
      <c r="P285" t="s">
        <v>517</v>
      </c>
      <c r="Q285" t="s">
        <v>899</v>
      </c>
      <c r="R285" t="s">
        <v>743</v>
      </c>
      <c r="S285" t="s">
        <v>4134</v>
      </c>
      <c r="T285" t="s">
        <v>662</v>
      </c>
      <c r="U285" t="s">
        <v>663</v>
      </c>
      <c r="V285" t="s">
        <v>2586</v>
      </c>
      <c r="W285" t="s">
        <v>3048</v>
      </c>
      <c r="X285" t="s">
        <v>3429</v>
      </c>
      <c r="Y285" t="s">
        <v>3430</v>
      </c>
      <c r="Z285" t="s">
        <v>650</v>
      </c>
      <c r="AA285" t="s">
        <v>4038</v>
      </c>
      <c r="AB285" t="s">
        <v>5012</v>
      </c>
      <c r="AC285">
        <v>13</v>
      </c>
      <c r="AD285" t="s">
        <v>3426</v>
      </c>
      <c r="AE285">
        <v>10</v>
      </c>
      <c r="AF285">
        <v>3840</v>
      </c>
      <c r="AG285" t="s">
        <v>4322</v>
      </c>
      <c r="AH285">
        <v>1</v>
      </c>
      <c r="AI285" t="s">
        <v>4041</v>
      </c>
      <c r="AK285" t="s">
        <v>4323</v>
      </c>
      <c r="AL285">
        <v>1</v>
      </c>
      <c r="AM285" t="s">
        <v>582</v>
      </c>
      <c r="AO285" t="s">
        <v>4353</v>
      </c>
      <c r="AP285">
        <v>1</v>
      </c>
      <c r="AR285" t="s">
        <v>5013</v>
      </c>
      <c r="AS285">
        <v>1</v>
      </c>
      <c r="AT285">
        <v>51</v>
      </c>
      <c r="AV285" t="s">
        <v>4045</v>
      </c>
      <c r="AW285">
        <v>6.4</v>
      </c>
      <c r="AX285">
        <v>-6</v>
      </c>
      <c r="AY285">
        <v>101</v>
      </c>
      <c r="AZ285">
        <v>92</v>
      </c>
      <c r="BH285">
        <v>101</v>
      </c>
      <c r="BI285">
        <v>9</v>
      </c>
      <c r="BJ285">
        <v>92</v>
      </c>
      <c r="BK285">
        <v>3.5</v>
      </c>
      <c r="BL285">
        <v>202</v>
      </c>
      <c r="BM285">
        <v>-6</v>
      </c>
      <c r="BN285">
        <v>0</v>
      </c>
      <c r="BP285">
        <v>0</v>
      </c>
      <c r="BR285">
        <v>195</v>
      </c>
      <c r="BS285">
        <v>185</v>
      </c>
      <c r="BT285">
        <v>1920</v>
      </c>
      <c r="BU285" t="s">
        <v>4047</v>
      </c>
      <c r="BV285" t="s">
        <v>4047</v>
      </c>
      <c r="BW285" t="s">
        <v>4097</v>
      </c>
      <c r="BX285" t="s">
        <v>4049</v>
      </c>
      <c r="BY285" t="s">
        <v>4192</v>
      </c>
      <c r="BZ285" t="s">
        <v>4192</v>
      </c>
      <c r="CA285" t="s">
        <v>4118</v>
      </c>
      <c r="CB285" t="s">
        <v>4119</v>
      </c>
      <c r="CC285" t="s">
        <v>4053</v>
      </c>
      <c r="CD285" t="s">
        <v>4121</v>
      </c>
      <c r="CE285" t="s">
        <v>4055</v>
      </c>
      <c r="CF285" t="s">
        <v>4055</v>
      </c>
      <c r="CG285" t="s">
        <v>4056</v>
      </c>
      <c r="CH285" t="s">
        <v>4057</v>
      </c>
      <c r="CI285" t="s">
        <v>4058</v>
      </c>
      <c r="CJ285" t="s">
        <v>4059</v>
      </c>
      <c r="CK285" t="s">
        <v>4060</v>
      </c>
      <c r="CL285" t="s">
        <v>4061</v>
      </c>
      <c r="CM285" t="s">
        <v>4062</v>
      </c>
      <c r="CN285" t="s">
        <v>4055</v>
      </c>
      <c r="CO285" t="s">
        <v>4063</v>
      </c>
      <c r="CP285" t="s">
        <v>4055</v>
      </c>
      <c r="CQ285" t="s">
        <v>4055</v>
      </c>
      <c r="CR285">
        <v>5</v>
      </c>
      <c r="CS285" t="s">
        <v>4055</v>
      </c>
      <c r="CT285" t="s">
        <v>4055</v>
      </c>
      <c r="CU285" t="s">
        <v>4055</v>
      </c>
      <c r="CV285">
        <v>123</v>
      </c>
      <c r="CW285">
        <v>3</v>
      </c>
      <c r="CX285">
        <v>106</v>
      </c>
      <c r="CY285">
        <v>5</v>
      </c>
      <c r="CZ285">
        <v>130</v>
      </c>
      <c r="DA285">
        <v>5</v>
      </c>
      <c r="DB285">
        <v>10430</v>
      </c>
      <c r="DC285">
        <v>330</v>
      </c>
      <c r="DD285">
        <v>280</v>
      </c>
      <c r="DE285">
        <v>2032</v>
      </c>
      <c r="DF285">
        <v>2032</v>
      </c>
      <c r="DG285">
        <v>2045</v>
      </c>
      <c r="DH285" t="s">
        <v>4055</v>
      </c>
      <c r="DI285" t="s">
        <v>4055</v>
      </c>
      <c r="DJ285" t="s">
        <v>4100</v>
      </c>
      <c r="DK285">
        <v>195</v>
      </c>
      <c r="DL285" t="s">
        <v>4101</v>
      </c>
      <c r="DM285">
        <v>63</v>
      </c>
      <c r="DN285">
        <v>0.84</v>
      </c>
      <c r="DO285">
        <v>1</v>
      </c>
      <c r="DP285">
        <v>1923</v>
      </c>
      <c r="DQ285">
        <v>685</v>
      </c>
      <c r="DR285" t="s">
        <v>4100</v>
      </c>
      <c r="DS285">
        <v>185</v>
      </c>
      <c r="DT285" t="s">
        <v>4101</v>
      </c>
      <c r="DU285">
        <v>63</v>
      </c>
      <c r="DV285">
        <v>0.84</v>
      </c>
      <c r="DW285">
        <v>1</v>
      </c>
      <c r="DX285">
        <v>1930</v>
      </c>
      <c r="DY285">
        <v>652</v>
      </c>
      <c r="DZ285" t="s">
        <v>4066</v>
      </c>
      <c r="EA285">
        <v>33</v>
      </c>
      <c r="EB285" t="s">
        <v>4065</v>
      </c>
      <c r="EC285">
        <v>0.4</v>
      </c>
      <c r="ED285">
        <v>1923</v>
      </c>
      <c r="EE285">
        <v>56</v>
      </c>
      <c r="EF285" t="s">
        <v>4066</v>
      </c>
      <c r="EG285">
        <v>33</v>
      </c>
      <c r="EH285" t="s">
        <v>4065</v>
      </c>
      <c r="EI285">
        <v>0.4</v>
      </c>
      <c r="EJ285">
        <v>1930</v>
      </c>
      <c r="EK285">
        <v>56</v>
      </c>
      <c r="EL285" t="s">
        <v>4362</v>
      </c>
      <c r="EM285">
        <v>12</v>
      </c>
      <c r="EN285">
        <v>0.5</v>
      </c>
      <c r="EO285">
        <v>0.77</v>
      </c>
      <c r="EP285">
        <v>1930.56</v>
      </c>
      <c r="EQ285">
        <v>32276.55</v>
      </c>
      <c r="ER285">
        <v>2721.65</v>
      </c>
      <c r="ES285">
        <v>0</v>
      </c>
      <c r="ET285">
        <v>0</v>
      </c>
      <c r="EU285">
        <v>1</v>
      </c>
      <c r="EV285">
        <v>34999</v>
      </c>
      <c r="EW285">
        <v>350</v>
      </c>
      <c r="EX285" t="s">
        <v>4287</v>
      </c>
      <c r="EY285">
        <v>212</v>
      </c>
      <c r="EZ285" t="s">
        <v>4055</v>
      </c>
      <c r="FA285">
        <v>4.9</v>
      </c>
      <c r="FB285">
        <v>1</v>
      </c>
      <c r="FC285">
        <v>1</v>
      </c>
      <c r="FD285">
        <v>1965</v>
      </c>
      <c r="FE285">
        <v>2433</v>
      </c>
      <c r="FF285" t="s">
        <v>4288</v>
      </c>
      <c r="FG285">
        <v>212</v>
      </c>
      <c r="FH285" t="s">
        <v>4055</v>
      </c>
      <c r="FI285">
        <v>4</v>
      </c>
      <c r="FJ285">
        <v>1965</v>
      </c>
      <c r="FK285">
        <v>2005</v>
      </c>
      <c r="FL285" t="s">
        <v>4069</v>
      </c>
      <c r="FM285" t="s">
        <v>4055</v>
      </c>
      <c r="FN285" t="s">
        <v>4055</v>
      </c>
      <c r="FO285" t="s">
        <v>4055</v>
      </c>
      <c r="FP285">
        <v>1965</v>
      </c>
      <c r="FQ285">
        <v>142</v>
      </c>
      <c r="FR285" t="s">
        <v>4090</v>
      </c>
      <c r="FS285">
        <v>216</v>
      </c>
      <c r="FT285" t="s">
        <v>4055</v>
      </c>
      <c r="FU285">
        <v>0.4</v>
      </c>
      <c r="FV285">
        <v>1965</v>
      </c>
      <c r="FW285">
        <v>189</v>
      </c>
      <c r="FX285" t="s">
        <v>4070</v>
      </c>
      <c r="FY285">
        <v>5</v>
      </c>
      <c r="FZ285" t="s">
        <v>4055</v>
      </c>
      <c r="GA285" t="s">
        <v>4055</v>
      </c>
      <c r="GB285">
        <v>1965</v>
      </c>
      <c r="GC285">
        <v>21</v>
      </c>
      <c r="GD285">
        <v>4790</v>
      </c>
      <c r="GE285" t="s">
        <v>5013</v>
      </c>
      <c r="GF285" t="s">
        <v>4055</v>
      </c>
      <c r="GG285" t="s">
        <v>4055</v>
      </c>
      <c r="GH285" t="s">
        <v>4055</v>
      </c>
      <c r="GI285" t="s">
        <v>4071</v>
      </c>
      <c r="GJ285" t="s">
        <v>4055</v>
      </c>
      <c r="GK285" t="s">
        <v>4055</v>
      </c>
      <c r="GL285" t="s">
        <v>4055</v>
      </c>
      <c r="GM285" t="s">
        <v>4055</v>
      </c>
      <c r="GQ285">
        <v>0</v>
      </c>
      <c r="GV285">
        <v>9.300000000000001</v>
      </c>
      <c r="GW285">
        <v>11.9</v>
      </c>
      <c r="GX285">
        <v>0.5</v>
      </c>
      <c r="GY285">
        <v>186</v>
      </c>
      <c r="GZ285">
        <v>3</v>
      </c>
      <c r="HA285">
        <v>230</v>
      </c>
      <c r="HB285">
        <v>3</v>
      </c>
      <c r="HC285">
        <v>1965</v>
      </c>
      <c r="HD285">
        <v>4</v>
      </c>
      <c r="HE285" t="s">
        <v>4071</v>
      </c>
      <c r="HG285" t="s">
        <v>549</v>
      </c>
      <c r="HL285">
        <v>4</v>
      </c>
      <c r="HM285">
        <v>18</v>
      </c>
      <c r="HN285">
        <v>1</v>
      </c>
      <c r="HO285">
        <v>1</v>
      </c>
      <c r="HP285">
        <v>0</v>
      </c>
      <c r="HQ285">
        <v>0</v>
      </c>
      <c r="HR285">
        <v>2</v>
      </c>
      <c r="HS285">
        <v>1920</v>
      </c>
      <c r="HT285">
        <v>5</v>
      </c>
      <c r="HU285">
        <v>1</v>
      </c>
      <c r="HV285">
        <v>5</v>
      </c>
      <c r="HW285">
        <v>0</v>
      </c>
      <c r="HX285">
        <v>1</v>
      </c>
      <c r="HY285">
        <v>0</v>
      </c>
      <c r="HZ285">
        <v>63</v>
      </c>
      <c r="IA285">
        <v>1923</v>
      </c>
      <c r="IB285">
        <v>1930</v>
      </c>
      <c r="ID285">
        <v>1965</v>
      </c>
      <c r="IE285">
        <v>1965</v>
      </c>
      <c r="IF285">
        <v>195</v>
      </c>
      <c r="IG285">
        <v>185</v>
      </c>
      <c r="IH285">
        <v>230</v>
      </c>
      <c r="II285">
        <v>1</v>
      </c>
      <c r="IJ285">
        <v>5</v>
      </c>
      <c r="IK285">
        <v>0</v>
      </c>
      <c r="IL285">
        <v>2</v>
      </c>
      <c r="IM285">
        <v>0</v>
      </c>
      <c r="IN285">
        <v>270</v>
      </c>
      <c r="IO285">
        <v>0</v>
      </c>
      <c r="IP285">
        <v>180</v>
      </c>
      <c r="IQ285">
        <v>0</v>
      </c>
      <c r="IR285">
        <v>330</v>
      </c>
      <c r="IS285">
        <v>0</v>
      </c>
      <c r="IT285">
        <v>90</v>
      </c>
      <c r="IU285">
        <v>0</v>
      </c>
      <c r="IV285">
        <v>6.4</v>
      </c>
      <c r="IW285">
        <v>-6</v>
      </c>
      <c r="IX285">
        <v>101</v>
      </c>
      <c r="IY285">
        <v>92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326</v>
      </c>
      <c r="JJ285">
        <v>296</v>
      </c>
      <c r="JK285">
        <v>230</v>
      </c>
      <c r="JL285">
        <v>296</v>
      </c>
      <c r="JM285">
        <v>225</v>
      </c>
      <c r="JN285">
        <v>195</v>
      </c>
      <c r="JO285">
        <v>240</v>
      </c>
      <c r="JP285">
        <v>220</v>
      </c>
      <c r="JQ285">
        <v>255</v>
      </c>
      <c r="JR285">
        <v>313</v>
      </c>
      <c r="JS285">
        <v>300</v>
      </c>
      <c r="JT285">
        <v>0</v>
      </c>
      <c r="JU285">
        <v>0</v>
      </c>
      <c r="JV285">
        <v>310</v>
      </c>
      <c r="JW285">
        <v>311</v>
      </c>
      <c r="JX285">
        <v>305</v>
      </c>
      <c r="JY285">
        <v>0</v>
      </c>
      <c r="JZ285">
        <v>0.5</v>
      </c>
      <c r="KA285">
        <v>0.2</v>
      </c>
      <c r="KB285">
        <v>0.4</v>
      </c>
      <c r="KC285">
        <v>0.42</v>
      </c>
      <c r="KD285">
        <v>0.3</v>
      </c>
      <c r="KE285">
        <v>0.5</v>
      </c>
      <c r="KF285">
        <v>0.21</v>
      </c>
      <c r="KG285">
        <v>0.11</v>
      </c>
      <c r="KH285">
        <v>4.5</v>
      </c>
      <c r="KI285">
        <v>1</v>
      </c>
      <c r="KJ285">
        <v>4.5</v>
      </c>
      <c r="KK285">
        <v>0</v>
      </c>
      <c r="KL285">
        <v>4.5</v>
      </c>
      <c r="KM285">
        <v>0</v>
      </c>
      <c r="KN285">
        <v>1.5</v>
      </c>
      <c r="KO285">
        <v>0</v>
      </c>
      <c r="KP285">
        <v>0</v>
      </c>
      <c r="KQ285">
        <v>0.5</v>
      </c>
      <c r="KR285">
        <v>0.5</v>
      </c>
      <c r="KS285">
        <v>0</v>
      </c>
      <c r="KT285">
        <v>2.2</v>
      </c>
      <c r="KU285">
        <v>0</v>
      </c>
      <c r="KV285">
        <v>0</v>
      </c>
      <c r="KW285">
        <v>1.2</v>
      </c>
      <c r="KX285">
        <v>1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3</v>
      </c>
      <c r="LI285">
        <v>0</v>
      </c>
      <c r="LJ285">
        <v>0</v>
      </c>
      <c r="LK285">
        <v>4.5</v>
      </c>
      <c r="LL285">
        <v>6</v>
      </c>
      <c r="LM285">
        <v>7.5</v>
      </c>
      <c r="LN285">
        <v>0.1</v>
      </c>
      <c r="LO285">
        <v>0.1</v>
      </c>
      <c r="LP285">
        <v>0</v>
      </c>
      <c r="LQ285">
        <v>0</v>
      </c>
      <c r="LR285">
        <v>0</v>
      </c>
      <c r="LS285">
        <v>1</v>
      </c>
      <c r="LT285">
        <v>0</v>
      </c>
      <c r="LU285">
        <v>0</v>
      </c>
      <c r="LV285">
        <v>0</v>
      </c>
      <c r="LW285">
        <v>1.5</v>
      </c>
      <c r="LX285">
        <v>1.5</v>
      </c>
      <c r="LY285">
        <v>1.5</v>
      </c>
      <c r="LZ285">
        <v>1.5</v>
      </c>
      <c r="MA285">
        <v>0</v>
      </c>
      <c r="MB285">
        <v>4</v>
      </c>
      <c r="MC285">
        <v>0</v>
      </c>
      <c r="MD285">
        <v>4.5</v>
      </c>
      <c r="ME285">
        <v>6</v>
      </c>
      <c r="MF285">
        <v>6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358</v>
      </c>
      <c r="MN285">
        <v>190</v>
      </c>
      <c r="MO285">
        <v>240</v>
      </c>
      <c r="NU285">
        <v>0.15</v>
      </c>
      <c r="NV285">
        <v>0.2</v>
      </c>
      <c r="NW285">
        <v>0.2</v>
      </c>
      <c r="NX285">
        <v>0.2</v>
      </c>
      <c r="NY285">
        <v>0.2</v>
      </c>
      <c r="NZ285">
        <v>0.2</v>
      </c>
      <c r="OE285" t="s">
        <v>5013</v>
      </c>
      <c r="OF285" t="s">
        <v>4322</v>
      </c>
      <c r="OG285" t="s">
        <v>4323</v>
      </c>
      <c r="OH285" t="s">
        <v>4353</v>
      </c>
      <c r="OI285" t="s">
        <v>5013</v>
      </c>
      <c r="OJ285" t="s">
        <v>5012</v>
      </c>
      <c r="OK285">
        <v>61</v>
      </c>
      <c r="OL285">
        <v>61</v>
      </c>
      <c r="OM285" t="s">
        <v>4322</v>
      </c>
      <c r="ON285">
        <v>3</v>
      </c>
      <c r="OO285">
        <v>1923</v>
      </c>
      <c r="OP285">
        <v>61</v>
      </c>
      <c r="OQ285">
        <v>61</v>
      </c>
      <c r="OR285" t="s">
        <v>4323</v>
      </c>
      <c r="OS285">
        <v>3</v>
      </c>
      <c r="OT285">
        <v>1930</v>
      </c>
      <c r="OU285">
        <v>65</v>
      </c>
      <c r="OV285">
        <v>65</v>
      </c>
      <c r="OW285" t="s">
        <v>4353</v>
      </c>
      <c r="OX285">
        <v>1</v>
      </c>
      <c r="OY285">
        <v>34999</v>
      </c>
      <c r="OZ285">
        <v>51</v>
      </c>
      <c r="PA285">
        <v>51</v>
      </c>
      <c r="PB285" t="s">
        <v>5013</v>
      </c>
      <c r="PC285">
        <v>3</v>
      </c>
      <c r="PD285">
        <v>1965</v>
      </c>
      <c r="PF285">
        <v>356</v>
      </c>
      <c r="PG285">
        <v>29</v>
      </c>
      <c r="PH285">
        <v>338</v>
      </c>
      <c r="PI285">
        <v>29</v>
      </c>
      <c r="PJ285">
        <v>72.3</v>
      </c>
      <c r="PK285">
        <v>2428</v>
      </c>
      <c r="PL285">
        <v>1238.4</v>
      </c>
      <c r="PM285">
        <v>1020.3</v>
      </c>
      <c r="PN285">
        <v>96.09999999999999</v>
      </c>
      <c r="PO285">
        <v>10.8</v>
      </c>
      <c r="PP285">
        <v>10</v>
      </c>
      <c r="PQ285">
        <v>1</v>
      </c>
      <c r="PR285">
        <v>1</v>
      </c>
      <c r="PS285">
        <v>7</v>
      </c>
      <c r="PT285">
        <v>230</v>
      </c>
      <c r="PU285">
        <v>9</v>
      </c>
      <c r="PV285" t="s">
        <v>4072</v>
      </c>
      <c r="PW285" t="s">
        <v>4072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-1</v>
      </c>
      <c r="QF285">
        <v>1</v>
      </c>
      <c r="QG285">
        <v>0</v>
      </c>
      <c r="QH285">
        <v>5</v>
      </c>
      <c r="QI285">
        <v>5</v>
      </c>
      <c r="QJ285">
        <v>5</v>
      </c>
      <c r="QK285">
        <v>157</v>
      </c>
      <c r="QL285">
        <v>360</v>
      </c>
      <c r="QM285">
        <v>7.5</v>
      </c>
      <c r="QN285">
        <v>1461.1</v>
      </c>
      <c r="QO285" t="s">
        <v>3054</v>
      </c>
      <c r="QP285" t="s">
        <v>513</v>
      </c>
      <c r="QQ285">
        <v>0</v>
      </c>
      <c r="QR285" t="s">
        <v>649</v>
      </c>
      <c r="QS285">
        <v>30</v>
      </c>
      <c r="QT285">
        <v>40</v>
      </c>
    </row>
    <row r="286" spans="1:462">
      <c r="A286" t="s">
        <v>3435</v>
      </c>
      <c r="B286" t="s">
        <v>564</v>
      </c>
      <c r="C286" t="s">
        <v>509</v>
      </c>
      <c r="D286" t="s">
        <v>3353</v>
      </c>
      <c r="E286" t="s">
        <v>4036</v>
      </c>
      <c r="H286" t="s">
        <v>605</v>
      </c>
      <c r="I286" t="s">
        <v>604</v>
      </c>
      <c r="J286" t="s">
        <v>628</v>
      </c>
      <c r="K286" t="s">
        <v>606</v>
      </c>
      <c r="L286" t="s">
        <v>629</v>
      </c>
      <c r="M286" t="s">
        <v>512</v>
      </c>
      <c r="O286" t="s">
        <v>513</v>
      </c>
      <c r="P286" t="s">
        <v>517</v>
      </c>
      <c r="Q286" t="s">
        <v>3436</v>
      </c>
      <c r="R286" t="s">
        <v>3437</v>
      </c>
      <c r="S286" t="s">
        <v>5014</v>
      </c>
      <c r="T286" t="s">
        <v>520</v>
      </c>
      <c r="U286" t="s">
        <v>521</v>
      </c>
      <c r="V286" t="s">
        <v>2406</v>
      </c>
      <c r="W286" t="s">
        <v>3058</v>
      </c>
      <c r="X286" t="s">
        <v>3438</v>
      </c>
      <c r="Y286" t="s">
        <v>3439</v>
      </c>
      <c r="Z286" t="s">
        <v>541</v>
      </c>
      <c r="AA286" t="s">
        <v>4038</v>
      </c>
      <c r="AB286" t="s">
        <v>5015</v>
      </c>
      <c r="AC286">
        <v>13</v>
      </c>
      <c r="AD286" t="s">
        <v>3434</v>
      </c>
      <c r="AE286">
        <v>5</v>
      </c>
      <c r="AF286">
        <v>6423</v>
      </c>
      <c r="AG286" t="s">
        <v>5016</v>
      </c>
      <c r="AH286">
        <v>1</v>
      </c>
      <c r="AI286" t="s">
        <v>4041</v>
      </c>
      <c r="AK286" t="s">
        <v>5017</v>
      </c>
      <c r="AL286">
        <v>1</v>
      </c>
      <c r="AM286" t="s">
        <v>582</v>
      </c>
      <c r="AO286" t="s">
        <v>4043</v>
      </c>
      <c r="AP286">
        <v>1</v>
      </c>
      <c r="AR286" t="s">
        <v>5018</v>
      </c>
      <c r="AS286">
        <v>1</v>
      </c>
      <c r="AT286">
        <v>52</v>
      </c>
      <c r="AV286" t="s">
        <v>4045</v>
      </c>
      <c r="AW286">
        <v>6.4</v>
      </c>
      <c r="AX286">
        <v>-6</v>
      </c>
      <c r="AY286">
        <v>92.5</v>
      </c>
      <c r="AZ286">
        <v>80.5</v>
      </c>
      <c r="BH286">
        <v>92.5</v>
      </c>
      <c r="BI286">
        <v>12</v>
      </c>
      <c r="BJ286">
        <v>80.5</v>
      </c>
      <c r="BK286">
        <v>2.5</v>
      </c>
      <c r="BL286">
        <v>185</v>
      </c>
      <c r="BM286">
        <v>-6</v>
      </c>
      <c r="BN286">
        <v>0</v>
      </c>
      <c r="BP286">
        <v>0</v>
      </c>
      <c r="BR286">
        <v>180</v>
      </c>
      <c r="BS286">
        <v>170</v>
      </c>
      <c r="BT286">
        <v>2170</v>
      </c>
      <c r="BU286" t="s">
        <v>4127</v>
      </c>
      <c r="BV286" t="s">
        <v>4127</v>
      </c>
      <c r="BW286" t="s">
        <v>4128</v>
      </c>
      <c r="BX286" t="s">
        <v>4128</v>
      </c>
      <c r="BY286" t="s">
        <v>4460</v>
      </c>
      <c r="BZ286" t="s">
        <v>4460</v>
      </c>
      <c r="CA286" t="s">
        <v>4051</v>
      </c>
      <c r="CB286" t="s">
        <v>4052</v>
      </c>
      <c r="CC286" t="s">
        <v>4053</v>
      </c>
      <c r="CD286" t="s">
        <v>4054</v>
      </c>
      <c r="CE286" t="s">
        <v>4055</v>
      </c>
      <c r="CF286" t="s">
        <v>4055</v>
      </c>
      <c r="CG286" t="s">
        <v>4056</v>
      </c>
      <c r="CI286" t="s">
        <v>4216</v>
      </c>
      <c r="CJ286" t="s">
        <v>4059</v>
      </c>
      <c r="CK286" t="s">
        <v>4060</v>
      </c>
      <c r="CL286" t="s">
        <v>4061</v>
      </c>
      <c r="CM286" t="s">
        <v>4062</v>
      </c>
      <c r="CN286" t="s">
        <v>4055</v>
      </c>
      <c r="CO286" t="s">
        <v>4063</v>
      </c>
      <c r="CP286" t="s">
        <v>4055</v>
      </c>
      <c r="CQ286" t="s">
        <v>4055</v>
      </c>
      <c r="CR286">
        <v>5</v>
      </c>
      <c r="CS286" t="s">
        <v>4055</v>
      </c>
      <c r="CT286" t="s">
        <v>4055</v>
      </c>
      <c r="CU286" t="s">
        <v>4055</v>
      </c>
      <c r="CV286">
        <v>122</v>
      </c>
      <c r="CW286">
        <v>3</v>
      </c>
      <c r="CX286">
        <v>75</v>
      </c>
      <c r="CY286">
        <v>5</v>
      </c>
      <c r="CZ286">
        <v>153</v>
      </c>
      <c r="DA286">
        <v>5</v>
      </c>
      <c r="DB286">
        <v>13870</v>
      </c>
      <c r="DC286">
        <v>410</v>
      </c>
      <c r="DD286">
        <v>360</v>
      </c>
      <c r="DE286">
        <v>2285</v>
      </c>
      <c r="DF286">
        <v>2285</v>
      </c>
      <c r="DG286">
        <v>2312</v>
      </c>
      <c r="DH286">
        <v>0</v>
      </c>
      <c r="DI286" t="s">
        <v>4055</v>
      </c>
      <c r="DJ286" t="s">
        <v>4087</v>
      </c>
      <c r="DK286">
        <v>180</v>
      </c>
      <c r="DL286" t="s">
        <v>4065</v>
      </c>
      <c r="DM286">
        <v>63</v>
      </c>
      <c r="DN286">
        <v>1.36</v>
      </c>
      <c r="DO286">
        <v>1</v>
      </c>
      <c r="DP286">
        <v>2174</v>
      </c>
      <c r="DQ286">
        <v>985</v>
      </c>
      <c r="DR286" t="s">
        <v>4087</v>
      </c>
      <c r="DS286">
        <v>170</v>
      </c>
      <c r="DT286" t="s">
        <v>4065</v>
      </c>
      <c r="DU286">
        <v>63</v>
      </c>
      <c r="DV286">
        <v>1.36</v>
      </c>
      <c r="DW286">
        <v>1</v>
      </c>
      <c r="DX286">
        <v>2188</v>
      </c>
      <c r="DY286">
        <v>936</v>
      </c>
      <c r="DZ286" t="s">
        <v>4066</v>
      </c>
      <c r="EA286">
        <v>20</v>
      </c>
      <c r="EB286" t="s">
        <v>4065</v>
      </c>
      <c r="EC286">
        <v>0.8</v>
      </c>
      <c r="ED286">
        <v>2174</v>
      </c>
      <c r="EE286">
        <v>76</v>
      </c>
      <c r="EG286">
        <v>0</v>
      </c>
      <c r="EH286" t="s">
        <v>4065</v>
      </c>
      <c r="EI286">
        <v>0</v>
      </c>
      <c r="EL286" t="s">
        <v>1528</v>
      </c>
      <c r="EM286">
        <v>12</v>
      </c>
      <c r="EN286">
        <v>0.5</v>
      </c>
      <c r="EO286">
        <v>0.96</v>
      </c>
      <c r="EP286">
        <v>2187.1</v>
      </c>
      <c r="EQ286">
        <v>33660.84</v>
      </c>
      <c r="ER286">
        <v>4112.12</v>
      </c>
      <c r="ES286">
        <v>0</v>
      </c>
      <c r="ET286">
        <v>0</v>
      </c>
      <c r="EU286">
        <v>1</v>
      </c>
      <c r="EV286">
        <v>37773</v>
      </c>
      <c r="EW286">
        <v>454</v>
      </c>
      <c r="EX286" t="s">
        <v>4287</v>
      </c>
      <c r="EY286">
        <v>208</v>
      </c>
      <c r="EZ286" t="s">
        <v>4055</v>
      </c>
      <c r="FA286">
        <v>5.3</v>
      </c>
      <c r="FB286">
        <v>1</v>
      </c>
      <c r="FC286">
        <v>1</v>
      </c>
      <c r="FD286">
        <v>2223</v>
      </c>
      <c r="FE286">
        <v>2620</v>
      </c>
      <c r="FF286" t="s">
        <v>4288</v>
      </c>
      <c r="FG286">
        <v>208</v>
      </c>
      <c r="FH286" t="s">
        <v>4055</v>
      </c>
      <c r="FI286">
        <v>3.8</v>
      </c>
      <c r="FJ286">
        <v>2223</v>
      </c>
      <c r="FK286">
        <v>1988</v>
      </c>
      <c r="FL286" t="s">
        <v>4069</v>
      </c>
      <c r="FM286" t="s">
        <v>4055</v>
      </c>
      <c r="FN286" t="s">
        <v>4055</v>
      </c>
      <c r="FO286" t="s">
        <v>4055</v>
      </c>
      <c r="FP286">
        <v>2223</v>
      </c>
      <c r="FQ286">
        <v>154</v>
      </c>
      <c r="FR286" t="s">
        <v>4090</v>
      </c>
      <c r="FS286">
        <v>212</v>
      </c>
      <c r="FT286" t="s">
        <v>4055</v>
      </c>
      <c r="FU286">
        <v>0.4</v>
      </c>
      <c r="FV286">
        <v>2223</v>
      </c>
      <c r="FW286">
        <v>210</v>
      </c>
      <c r="FX286" t="s">
        <v>4070</v>
      </c>
      <c r="FY286">
        <v>5</v>
      </c>
      <c r="FZ286" t="s">
        <v>4055</v>
      </c>
      <c r="GA286" t="s">
        <v>4055</v>
      </c>
      <c r="GB286">
        <v>2223</v>
      </c>
      <c r="GC286">
        <v>24</v>
      </c>
      <c r="GD286">
        <v>4996</v>
      </c>
      <c r="GE286" t="s">
        <v>5018</v>
      </c>
      <c r="GF286" t="s">
        <v>4055</v>
      </c>
      <c r="GG286" t="s">
        <v>4055</v>
      </c>
      <c r="GH286" t="s">
        <v>4055</v>
      </c>
      <c r="GI286" t="s">
        <v>4071</v>
      </c>
      <c r="GJ286" t="s">
        <v>4055</v>
      </c>
      <c r="GK286" t="s">
        <v>4055</v>
      </c>
      <c r="GL286" t="s">
        <v>4055</v>
      </c>
      <c r="GM286" t="s">
        <v>4055</v>
      </c>
      <c r="GQ286">
        <v>0</v>
      </c>
      <c r="GV286">
        <v>9.5</v>
      </c>
      <c r="GW286">
        <v>11.3</v>
      </c>
      <c r="GX286">
        <v>0.5</v>
      </c>
      <c r="GY286">
        <v>170</v>
      </c>
      <c r="GZ286">
        <v>3</v>
      </c>
      <c r="HA286">
        <v>226</v>
      </c>
      <c r="HB286">
        <v>3</v>
      </c>
      <c r="HC286">
        <v>2223</v>
      </c>
      <c r="HD286">
        <v>4</v>
      </c>
      <c r="HE286" t="s">
        <v>4071</v>
      </c>
      <c r="HG286" t="s">
        <v>549</v>
      </c>
      <c r="HL286">
        <v>4</v>
      </c>
      <c r="HM286">
        <v>16</v>
      </c>
      <c r="HN286">
        <v>6</v>
      </c>
      <c r="HO286">
        <v>1</v>
      </c>
      <c r="HP286">
        <v>0</v>
      </c>
      <c r="HQ286">
        <v>0</v>
      </c>
      <c r="HR286">
        <v>2</v>
      </c>
      <c r="HS286">
        <v>2170</v>
      </c>
      <c r="HT286">
        <v>5</v>
      </c>
      <c r="HU286">
        <v>1</v>
      </c>
      <c r="HV286">
        <v>5</v>
      </c>
      <c r="HW286">
        <v>0</v>
      </c>
      <c r="HX286">
        <v>1</v>
      </c>
      <c r="HY286">
        <v>0</v>
      </c>
      <c r="HZ286">
        <v>63</v>
      </c>
      <c r="IA286">
        <v>2174</v>
      </c>
      <c r="IB286">
        <v>2188</v>
      </c>
      <c r="ID286">
        <v>2223</v>
      </c>
      <c r="IE286">
        <v>2223</v>
      </c>
      <c r="IF286">
        <v>180</v>
      </c>
      <c r="IG286">
        <v>170</v>
      </c>
      <c r="IH286">
        <v>226</v>
      </c>
      <c r="II286">
        <v>1</v>
      </c>
      <c r="IJ286">
        <v>5</v>
      </c>
      <c r="IK286">
        <v>0</v>
      </c>
      <c r="IL286">
        <v>0</v>
      </c>
      <c r="IM286">
        <v>0</v>
      </c>
      <c r="IN286">
        <v>180</v>
      </c>
      <c r="IO286">
        <v>0</v>
      </c>
      <c r="IP286">
        <v>180</v>
      </c>
      <c r="IQ286">
        <v>0</v>
      </c>
      <c r="IR286">
        <v>330</v>
      </c>
      <c r="IS286">
        <v>0</v>
      </c>
      <c r="IT286">
        <v>90</v>
      </c>
      <c r="IU286">
        <v>0</v>
      </c>
      <c r="IV286">
        <v>6.4</v>
      </c>
      <c r="IW286">
        <v>-6</v>
      </c>
      <c r="IX286">
        <v>92.5</v>
      </c>
      <c r="IY286">
        <v>80.5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456</v>
      </c>
      <c r="JJ286">
        <v>426</v>
      </c>
      <c r="JK286">
        <v>310</v>
      </c>
      <c r="JL286">
        <v>424</v>
      </c>
      <c r="JM286">
        <v>310</v>
      </c>
      <c r="JN286">
        <v>180</v>
      </c>
      <c r="JO286">
        <v>244</v>
      </c>
      <c r="JP286">
        <v>185</v>
      </c>
      <c r="JQ286">
        <v>230</v>
      </c>
      <c r="JR286">
        <v>335</v>
      </c>
      <c r="JS286">
        <v>230</v>
      </c>
      <c r="JT286">
        <v>0</v>
      </c>
      <c r="JU286">
        <v>0</v>
      </c>
      <c r="JV286">
        <v>335</v>
      </c>
      <c r="JW286">
        <v>337</v>
      </c>
      <c r="JX286">
        <v>330</v>
      </c>
      <c r="JY286">
        <v>300</v>
      </c>
      <c r="JZ286">
        <v>0.5</v>
      </c>
      <c r="KA286">
        <v>0.2</v>
      </c>
      <c r="KB286">
        <v>0.4</v>
      </c>
      <c r="KC286">
        <v>0.42</v>
      </c>
      <c r="KD286">
        <v>0.3</v>
      </c>
      <c r="KE286">
        <v>0.5</v>
      </c>
      <c r="KF286">
        <v>0.18</v>
      </c>
      <c r="KG286">
        <v>0.13</v>
      </c>
      <c r="KH286">
        <v>3.5</v>
      </c>
      <c r="KI286">
        <v>1</v>
      </c>
      <c r="KJ286">
        <v>4.5</v>
      </c>
      <c r="KK286">
        <v>0</v>
      </c>
      <c r="KL286">
        <v>4.5</v>
      </c>
      <c r="KM286">
        <v>0</v>
      </c>
      <c r="KN286">
        <v>1.4</v>
      </c>
      <c r="KO286">
        <v>0</v>
      </c>
      <c r="KP286">
        <v>0</v>
      </c>
      <c r="KQ286">
        <v>1</v>
      </c>
      <c r="KR286">
        <v>0.8</v>
      </c>
      <c r="KS286">
        <v>0</v>
      </c>
      <c r="KT286">
        <v>2.6</v>
      </c>
      <c r="KU286">
        <v>0</v>
      </c>
      <c r="KV286">
        <v>0</v>
      </c>
      <c r="KW286">
        <v>1.2</v>
      </c>
      <c r="KX286">
        <v>2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3</v>
      </c>
      <c r="LI286">
        <v>0.5</v>
      </c>
      <c r="LJ286">
        <v>0</v>
      </c>
      <c r="LK286">
        <v>3</v>
      </c>
      <c r="LL286">
        <v>7</v>
      </c>
      <c r="LM286">
        <v>10</v>
      </c>
      <c r="LN286">
        <v>0.1</v>
      </c>
      <c r="LO286">
        <v>1</v>
      </c>
      <c r="LP286">
        <v>0</v>
      </c>
      <c r="LQ286">
        <v>0</v>
      </c>
      <c r="LR286">
        <v>0</v>
      </c>
      <c r="LS286">
        <v>1</v>
      </c>
      <c r="LT286">
        <v>0</v>
      </c>
      <c r="LU286">
        <v>0</v>
      </c>
      <c r="LV286">
        <v>0</v>
      </c>
      <c r="LW286">
        <v>2.1</v>
      </c>
      <c r="LX286">
        <v>2.1</v>
      </c>
      <c r="LY286">
        <v>2.1</v>
      </c>
      <c r="LZ286">
        <v>2.1</v>
      </c>
      <c r="MA286">
        <v>0</v>
      </c>
      <c r="MB286">
        <v>5</v>
      </c>
      <c r="MC286">
        <v>0</v>
      </c>
      <c r="MD286">
        <v>4.5</v>
      </c>
      <c r="ME286">
        <v>6</v>
      </c>
      <c r="MF286">
        <v>6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452</v>
      </c>
      <c r="MN286">
        <v>194</v>
      </c>
      <c r="MO286">
        <v>250</v>
      </c>
      <c r="NU286">
        <v>0.15</v>
      </c>
      <c r="NV286">
        <v>0.2</v>
      </c>
      <c r="NW286">
        <v>0.2</v>
      </c>
      <c r="NX286">
        <v>0.3</v>
      </c>
      <c r="NY286">
        <v>0.4</v>
      </c>
      <c r="NZ286">
        <v>0.4</v>
      </c>
      <c r="OE286" t="s">
        <v>5018</v>
      </c>
      <c r="OF286" t="s">
        <v>5016</v>
      </c>
      <c r="OG286" t="s">
        <v>5017</v>
      </c>
      <c r="OH286" t="s">
        <v>4043</v>
      </c>
      <c r="OI286" t="s">
        <v>5018</v>
      </c>
      <c r="OJ286" t="s">
        <v>5015</v>
      </c>
      <c r="OK286">
        <v>61</v>
      </c>
      <c r="OL286">
        <v>61</v>
      </c>
      <c r="OM286" t="s">
        <v>5016</v>
      </c>
      <c r="ON286">
        <v>1</v>
      </c>
      <c r="OO286">
        <v>2174</v>
      </c>
      <c r="OP286">
        <v>61</v>
      </c>
      <c r="OQ286">
        <v>61</v>
      </c>
      <c r="OR286" t="s">
        <v>5017</v>
      </c>
      <c r="OS286">
        <v>1</v>
      </c>
      <c r="OT286">
        <v>2188</v>
      </c>
      <c r="OU286">
        <v>65</v>
      </c>
      <c r="OV286">
        <v>65</v>
      </c>
      <c r="OW286" t="s">
        <v>4043</v>
      </c>
      <c r="OX286">
        <v>1</v>
      </c>
      <c r="OY286">
        <v>37773</v>
      </c>
      <c r="OZ286">
        <v>51</v>
      </c>
      <c r="PA286">
        <v>52</v>
      </c>
      <c r="PB286" t="s">
        <v>5018</v>
      </c>
      <c r="PC286">
        <v>2</v>
      </c>
      <c r="PD286">
        <v>2223</v>
      </c>
      <c r="PF286">
        <v>453</v>
      </c>
      <c r="PG286">
        <v>35</v>
      </c>
      <c r="PH286">
        <v>428</v>
      </c>
      <c r="PI286">
        <v>0</v>
      </c>
      <c r="PJ286">
        <v>69.09999999999999</v>
      </c>
      <c r="PK286">
        <v>2233</v>
      </c>
      <c r="PL286">
        <v>1178.5</v>
      </c>
      <c r="PM286">
        <v>894.4</v>
      </c>
      <c r="PN286">
        <v>94.3</v>
      </c>
      <c r="PO286">
        <v>11</v>
      </c>
      <c r="PP286">
        <v>12</v>
      </c>
      <c r="PQ286">
        <v>5</v>
      </c>
      <c r="PR286">
        <v>5</v>
      </c>
      <c r="PS286">
        <v>0</v>
      </c>
      <c r="PT286">
        <v>226</v>
      </c>
      <c r="PU286">
        <v>9</v>
      </c>
      <c r="PV286" t="s">
        <v>4072</v>
      </c>
      <c r="PW286" t="s">
        <v>4072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-1</v>
      </c>
      <c r="QF286">
        <v>1</v>
      </c>
      <c r="QG286">
        <v>0</v>
      </c>
      <c r="QH286">
        <v>5</v>
      </c>
      <c r="QI286">
        <v>5</v>
      </c>
      <c r="QJ286">
        <v>5</v>
      </c>
      <c r="QK286">
        <v>244</v>
      </c>
      <c r="QL286">
        <v>486</v>
      </c>
      <c r="QM286">
        <v>7.5</v>
      </c>
      <c r="QN286">
        <v>1288.9</v>
      </c>
      <c r="QO286" t="s">
        <v>3054</v>
      </c>
      <c r="QP286" t="s">
        <v>513</v>
      </c>
      <c r="QQ286">
        <v>0</v>
      </c>
      <c r="QR286" t="s">
        <v>1849</v>
      </c>
      <c r="QS286">
        <v>40</v>
      </c>
      <c r="QT286">
        <v>50</v>
      </c>
    </row>
    <row r="287" spans="1:462">
      <c r="A287" t="s">
        <v>3446</v>
      </c>
      <c r="B287" t="s">
        <v>564</v>
      </c>
      <c r="C287" t="s">
        <v>509</v>
      </c>
      <c r="D287" t="s">
        <v>3445</v>
      </c>
      <c r="E287" t="s">
        <v>4036</v>
      </c>
      <c r="H287" t="s">
        <v>2423</v>
      </c>
      <c r="I287" t="s">
        <v>605</v>
      </c>
      <c r="J287" t="s">
        <v>628</v>
      </c>
      <c r="K287" t="s">
        <v>606</v>
      </c>
      <c r="L287" t="s">
        <v>629</v>
      </c>
      <c r="M287" t="s">
        <v>512</v>
      </c>
      <c r="O287" t="s">
        <v>513</v>
      </c>
      <c r="P287" t="s">
        <v>517</v>
      </c>
      <c r="Q287" t="s">
        <v>1015</v>
      </c>
      <c r="R287" t="s">
        <v>1016</v>
      </c>
      <c r="S287" t="s">
        <v>4073</v>
      </c>
      <c r="T287" t="s">
        <v>633</v>
      </c>
      <c r="U287" t="s">
        <v>634</v>
      </c>
      <c r="V287" t="s">
        <v>2527</v>
      </c>
      <c r="W287" t="s">
        <v>3048</v>
      </c>
      <c r="X287" t="s">
        <v>3447</v>
      </c>
      <c r="Y287" t="s">
        <v>3448</v>
      </c>
      <c r="Z287" t="s">
        <v>650</v>
      </c>
      <c r="AA287" t="s">
        <v>4038</v>
      </c>
      <c r="AB287" t="s">
        <v>5019</v>
      </c>
      <c r="AC287">
        <v>13</v>
      </c>
      <c r="AD287" t="s">
        <v>3444</v>
      </c>
      <c r="AE287">
        <v>5</v>
      </c>
      <c r="AF287">
        <v>3635</v>
      </c>
      <c r="AG287" t="s">
        <v>5020</v>
      </c>
      <c r="AH287">
        <v>1</v>
      </c>
      <c r="AI287" t="s">
        <v>4041</v>
      </c>
      <c r="AK287" t="s">
        <v>5021</v>
      </c>
      <c r="AL287">
        <v>1</v>
      </c>
      <c r="AM287" t="s">
        <v>582</v>
      </c>
      <c r="AO287" t="s">
        <v>4353</v>
      </c>
      <c r="AP287">
        <v>1</v>
      </c>
      <c r="AR287" t="s">
        <v>5022</v>
      </c>
      <c r="AS287">
        <v>1</v>
      </c>
      <c r="AT287">
        <v>52</v>
      </c>
      <c r="AV287" t="s">
        <v>4045</v>
      </c>
      <c r="AW287">
        <v>6.4</v>
      </c>
      <c r="AX287">
        <v>-6</v>
      </c>
      <c r="AY287">
        <v>95</v>
      </c>
      <c r="AZ287">
        <v>86</v>
      </c>
      <c r="BH287">
        <v>95</v>
      </c>
      <c r="BI287">
        <v>9</v>
      </c>
      <c r="BJ287">
        <v>86</v>
      </c>
      <c r="BK287">
        <v>2.5</v>
      </c>
      <c r="BL287">
        <v>190</v>
      </c>
      <c r="BM287">
        <v>-6</v>
      </c>
      <c r="BN287">
        <v>0</v>
      </c>
      <c r="BP287">
        <v>0</v>
      </c>
      <c r="BR287">
        <v>185</v>
      </c>
      <c r="BS287">
        <v>175</v>
      </c>
      <c r="BT287">
        <v>1855</v>
      </c>
      <c r="BU287" t="s">
        <v>4046</v>
      </c>
      <c r="BV287" t="s">
        <v>4047</v>
      </c>
      <c r="BW287" t="s">
        <v>4048</v>
      </c>
      <c r="BX287" t="s">
        <v>4049</v>
      </c>
      <c r="BY287" t="s">
        <v>4150</v>
      </c>
      <c r="BZ287" t="s">
        <v>4150</v>
      </c>
      <c r="CA287" t="s">
        <v>4108</v>
      </c>
      <c r="CB287" t="s">
        <v>4109</v>
      </c>
      <c r="CC287" t="s">
        <v>4053</v>
      </c>
      <c r="CD287" t="s">
        <v>4110</v>
      </c>
      <c r="CE287" t="s">
        <v>4055</v>
      </c>
      <c r="CF287" t="s">
        <v>4055</v>
      </c>
      <c r="CG287" t="s">
        <v>4056</v>
      </c>
      <c r="CH287" t="s">
        <v>4057</v>
      </c>
      <c r="CI287" t="s">
        <v>4058</v>
      </c>
      <c r="CJ287" t="s">
        <v>4059</v>
      </c>
      <c r="CK287" t="s">
        <v>4060</v>
      </c>
      <c r="CL287" t="s">
        <v>4061</v>
      </c>
      <c r="CM287" t="s">
        <v>4062</v>
      </c>
      <c r="CN287" t="s">
        <v>4055</v>
      </c>
      <c r="CO287" t="s">
        <v>4063</v>
      </c>
      <c r="CP287" t="s">
        <v>4055</v>
      </c>
      <c r="CQ287" t="s">
        <v>4055</v>
      </c>
      <c r="CR287">
        <v>5</v>
      </c>
      <c r="CS287" t="s">
        <v>4055</v>
      </c>
      <c r="CT287" t="s">
        <v>4055</v>
      </c>
      <c r="CU287" t="s">
        <v>4055</v>
      </c>
      <c r="CV287">
        <v>117</v>
      </c>
      <c r="CW287">
        <v>3</v>
      </c>
      <c r="CX287">
        <v>98</v>
      </c>
      <c r="CY287">
        <v>5</v>
      </c>
      <c r="CZ287">
        <v>124</v>
      </c>
      <c r="DA287">
        <v>5</v>
      </c>
      <c r="DB287">
        <v>9490</v>
      </c>
      <c r="DC287">
        <v>280</v>
      </c>
      <c r="DD287">
        <v>294</v>
      </c>
      <c r="DE287">
        <v>1965</v>
      </c>
      <c r="DF287">
        <v>1960</v>
      </c>
      <c r="DG287">
        <v>1977</v>
      </c>
      <c r="DH287" t="s">
        <v>4055</v>
      </c>
      <c r="DI287" t="s">
        <v>4055</v>
      </c>
      <c r="DJ287" t="s">
        <v>4100</v>
      </c>
      <c r="DK287">
        <v>185</v>
      </c>
      <c r="DL287" t="s">
        <v>4101</v>
      </c>
      <c r="DM287">
        <v>63</v>
      </c>
      <c r="DN287">
        <v>0.84</v>
      </c>
      <c r="DO287">
        <v>1</v>
      </c>
      <c r="DP287">
        <v>1858</v>
      </c>
      <c r="DQ287">
        <v>628</v>
      </c>
      <c r="DR287" t="s">
        <v>4100</v>
      </c>
      <c r="DS287">
        <v>175</v>
      </c>
      <c r="DT287" t="s">
        <v>4101</v>
      </c>
      <c r="DU287">
        <v>63</v>
      </c>
      <c r="DV287">
        <v>0.84</v>
      </c>
      <c r="DW287">
        <v>1</v>
      </c>
      <c r="DX287">
        <v>1865</v>
      </c>
      <c r="DY287">
        <v>597</v>
      </c>
      <c r="DZ287" t="s">
        <v>4066</v>
      </c>
      <c r="EA287">
        <v>33</v>
      </c>
      <c r="EB287" t="s">
        <v>4065</v>
      </c>
      <c r="EC287">
        <v>0.4</v>
      </c>
      <c r="ED287">
        <v>1858</v>
      </c>
      <c r="EE287">
        <v>54</v>
      </c>
      <c r="EF287" t="s">
        <v>4066</v>
      </c>
      <c r="EG287">
        <v>33</v>
      </c>
      <c r="EH287" t="s">
        <v>4065</v>
      </c>
      <c r="EI287">
        <v>0.4</v>
      </c>
      <c r="EJ287">
        <v>1865</v>
      </c>
      <c r="EK287">
        <v>54</v>
      </c>
      <c r="EL287" t="s">
        <v>4362</v>
      </c>
      <c r="EM287">
        <v>12</v>
      </c>
      <c r="EN287">
        <v>0.5</v>
      </c>
      <c r="EO287">
        <v>0.77</v>
      </c>
      <c r="EP287">
        <v>1865.56</v>
      </c>
      <c r="EQ287">
        <v>29440.87</v>
      </c>
      <c r="ER287">
        <v>2630.25</v>
      </c>
      <c r="ES287">
        <v>0</v>
      </c>
      <c r="ET287">
        <v>0</v>
      </c>
      <c r="EU287">
        <v>1</v>
      </c>
      <c r="EV287">
        <v>32072</v>
      </c>
      <c r="EW287">
        <v>321</v>
      </c>
      <c r="EX287" t="s">
        <v>4287</v>
      </c>
      <c r="EY287">
        <v>196</v>
      </c>
      <c r="EZ287" t="s">
        <v>4055</v>
      </c>
      <c r="FA287">
        <v>4</v>
      </c>
      <c r="FB287">
        <v>1</v>
      </c>
      <c r="FC287">
        <v>1</v>
      </c>
      <c r="FD287">
        <v>1899</v>
      </c>
      <c r="FE287">
        <v>1849</v>
      </c>
      <c r="FF287" t="s">
        <v>4288</v>
      </c>
      <c r="FG287">
        <v>196</v>
      </c>
      <c r="FH287" t="s">
        <v>4055</v>
      </c>
      <c r="FI287">
        <v>4.6</v>
      </c>
      <c r="FJ287">
        <v>1899</v>
      </c>
      <c r="FK287">
        <v>2008</v>
      </c>
      <c r="FL287" t="s">
        <v>4069</v>
      </c>
      <c r="FM287" t="s">
        <v>4055</v>
      </c>
      <c r="FN287" t="s">
        <v>4055</v>
      </c>
      <c r="FO287" t="s">
        <v>4055</v>
      </c>
      <c r="FP287">
        <v>1899</v>
      </c>
      <c r="FQ287">
        <v>148</v>
      </c>
      <c r="FR287" t="s">
        <v>4090</v>
      </c>
      <c r="FS287">
        <v>200</v>
      </c>
      <c r="FT287" t="s">
        <v>4055</v>
      </c>
      <c r="FU287">
        <v>0.4</v>
      </c>
      <c r="FV287">
        <v>1899</v>
      </c>
      <c r="FW287">
        <v>167</v>
      </c>
      <c r="FX287" t="s">
        <v>4070</v>
      </c>
      <c r="FY287">
        <v>5</v>
      </c>
      <c r="FZ287" t="s">
        <v>4055</v>
      </c>
      <c r="GA287" t="s">
        <v>4055</v>
      </c>
      <c r="GB287">
        <v>1899</v>
      </c>
      <c r="GC287">
        <v>20</v>
      </c>
      <c r="GD287">
        <v>4192</v>
      </c>
      <c r="GE287" t="s">
        <v>5022</v>
      </c>
      <c r="GF287" t="s">
        <v>4055</v>
      </c>
      <c r="GG287" t="s">
        <v>4055</v>
      </c>
      <c r="GH287" t="s">
        <v>4055</v>
      </c>
      <c r="GI287" t="s">
        <v>4071</v>
      </c>
      <c r="GJ287" t="s">
        <v>4055</v>
      </c>
      <c r="GK287" t="s">
        <v>4055</v>
      </c>
      <c r="GL287" t="s">
        <v>4055</v>
      </c>
      <c r="GM287" t="s">
        <v>4055</v>
      </c>
      <c r="GQ287">
        <v>0</v>
      </c>
      <c r="GV287">
        <v>9</v>
      </c>
      <c r="GW287">
        <v>11.8</v>
      </c>
      <c r="GX287">
        <v>0.5</v>
      </c>
      <c r="GY287">
        <v>178</v>
      </c>
      <c r="GZ287">
        <v>3</v>
      </c>
      <c r="HA287">
        <v>214</v>
      </c>
      <c r="HB287">
        <v>3</v>
      </c>
      <c r="HC287">
        <v>1899</v>
      </c>
      <c r="HD287">
        <v>4</v>
      </c>
      <c r="HE287" t="s">
        <v>4071</v>
      </c>
      <c r="HG287" t="s">
        <v>549</v>
      </c>
      <c r="HL287">
        <v>4</v>
      </c>
      <c r="HM287">
        <v>17</v>
      </c>
      <c r="HN287">
        <v>1</v>
      </c>
      <c r="HO287">
        <v>1</v>
      </c>
      <c r="HP287">
        <v>0</v>
      </c>
      <c r="HQ287">
        <v>0</v>
      </c>
      <c r="HR287">
        <v>3</v>
      </c>
      <c r="HS287">
        <v>1855</v>
      </c>
      <c r="HT287">
        <v>5</v>
      </c>
      <c r="HU287">
        <v>1</v>
      </c>
      <c r="HV287">
        <v>5</v>
      </c>
      <c r="HW287">
        <v>0</v>
      </c>
      <c r="HX287">
        <v>1</v>
      </c>
      <c r="HY287">
        <v>0</v>
      </c>
      <c r="HZ287">
        <v>63</v>
      </c>
      <c r="IA287">
        <v>1858</v>
      </c>
      <c r="IB287">
        <v>1865</v>
      </c>
      <c r="ID287">
        <v>1899</v>
      </c>
      <c r="IE287">
        <v>1899</v>
      </c>
      <c r="IF287">
        <v>185</v>
      </c>
      <c r="IG287">
        <v>175</v>
      </c>
      <c r="IH287">
        <v>214</v>
      </c>
      <c r="II287">
        <v>1</v>
      </c>
      <c r="IJ287">
        <v>5</v>
      </c>
      <c r="IK287">
        <v>0</v>
      </c>
      <c r="IL287">
        <v>2</v>
      </c>
      <c r="IM287">
        <v>0</v>
      </c>
      <c r="IN287">
        <v>270</v>
      </c>
      <c r="IO287">
        <v>0</v>
      </c>
      <c r="IP287">
        <v>180</v>
      </c>
      <c r="IQ287">
        <v>0</v>
      </c>
      <c r="IR287">
        <v>330</v>
      </c>
      <c r="IS287">
        <v>0</v>
      </c>
      <c r="IT287">
        <v>90</v>
      </c>
      <c r="IU287">
        <v>0</v>
      </c>
      <c r="IV287">
        <v>6.4</v>
      </c>
      <c r="IW287">
        <v>-6</v>
      </c>
      <c r="IX287">
        <v>95</v>
      </c>
      <c r="IY287">
        <v>86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326</v>
      </c>
      <c r="JJ287">
        <v>306</v>
      </c>
      <c r="JK287">
        <v>224</v>
      </c>
      <c r="JL287">
        <v>306</v>
      </c>
      <c r="JM287">
        <v>224</v>
      </c>
      <c r="JN287">
        <v>190</v>
      </c>
      <c r="JO287">
        <v>235</v>
      </c>
      <c r="JP287">
        <v>220</v>
      </c>
      <c r="JQ287">
        <v>270</v>
      </c>
      <c r="JR287">
        <v>325</v>
      </c>
      <c r="JS287">
        <v>280</v>
      </c>
      <c r="JT287">
        <v>0</v>
      </c>
      <c r="JU287">
        <v>0</v>
      </c>
      <c r="JV287">
        <v>306</v>
      </c>
      <c r="JW287">
        <v>310</v>
      </c>
      <c r="JX287">
        <v>320</v>
      </c>
      <c r="JY287">
        <v>310</v>
      </c>
      <c r="JZ287">
        <v>0.5</v>
      </c>
      <c r="KA287">
        <v>0.2</v>
      </c>
      <c r="KB287">
        <v>0.4</v>
      </c>
      <c r="KC287">
        <v>0.43</v>
      </c>
      <c r="KD287">
        <v>0.28</v>
      </c>
      <c r="KE287">
        <v>0.5</v>
      </c>
      <c r="KF287">
        <v>0.19</v>
      </c>
      <c r="KG287">
        <v>0.1</v>
      </c>
      <c r="KH287">
        <v>3.5</v>
      </c>
      <c r="KI287">
        <v>1</v>
      </c>
      <c r="KJ287">
        <v>4.5</v>
      </c>
      <c r="KK287">
        <v>0</v>
      </c>
      <c r="KL287">
        <v>5</v>
      </c>
      <c r="KM287">
        <v>0</v>
      </c>
      <c r="KN287">
        <v>1.4</v>
      </c>
      <c r="KO287">
        <v>0</v>
      </c>
      <c r="KP287">
        <v>0</v>
      </c>
      <c r="KQ287">
        <v>0.6</v>
      </c>
      <c r="KR287">
        <v>0.6</v>
      </c>
      <c r="KS287">
        <v>0</v>
      </c>
      <c r="KT287">
        <v>2.4</v>
      </c>
      <c r="KU287">
        <v>0</v>
      </c>
      <c r="KV287">
        <v>0</v>
      </c>
      <c r="KW287">
        <v>1</v>
      </c>
      <c r="KX287">
        <v>2</v>
      </c>
      <c r="KY287">
        <v>1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0.5</v>
      </c>
      <c r="LJ287">
        <v>0</v>
      </c>
      <c r="LK287">
        <v>4</v>
      </c>
      <c r="LL287">
        <v>5</v>
      </c>
      <c r="LM287">
        <v>6</v>
      </c>
      <c r="LN287">
        <v>0.1</v>
      </c>
      <c r="LO287">
        <v>3</v>
      </c>
      <c r="LP287">
        <v>0</v>
      </c>
      <c r="LQ287">
        <v>0</v>
      </c>
      <c r="LR287">
        <v>0</v>
      </c>
      <c r="LS287">
        <v>1</v>
      </c>
      <c r="LT287">
        <v>0</v>
      </c>
      <c r="LU287">
        <v>0</v>
      </c>
      <c r="LV287">
        <v>0</v>
      </c>
      <c r="LW287">
        <v>1.8</v>
      </c>
      <c r="LX287">
        <v>1.8</v>
      </c>
      <c r="LY287">
        <v>1.8</v>
      </c>
      <c r="LZ287">
        <v>1.8</v>
      </c>
      <c r="MA287">
        <v>0</v>
      </c>
      <c r="MB287">
        <v>4</v>
      </c>
      <c r="MC287">
        <v>0</v>
      </c>
      <c r="MD287">
        <v>4.5</v>
      </c>
      <c r="ME287">
        <v>6</v>
      </c>
      <c r="MF287">
        <v>6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408</v>
      </c>
      <c r="MN287">
        <v>180</v>
      </c>
      <c r="MO287">
        <v>228</v>
      </c>
      <c r="NU287">
        <v>0.15</v>
      </c>
      <c r="NV287">
        <v>0.2</v>
      </c>
      <c r="NW287">
        <v>0.2</v>
      </c>
      <c r="NX287">
        <v>2</v>
      </c>
      <c r="NY287">
        <v>2</v>
      </c>
      <c r="NZ287">
        <v>2</v>
      </c>
      <c r="OE287" t="s">
        <v>5022</v>
      </c>
      <c r="OF287" t="s">
        <v>5020</v>
      </c>
      <c r="OG287" t="s">
        <v>5021</v>
      </c>
      <c r="OH287" t="s">
        <v>4353</v>
      </c>
      <c r="OI287" t="s">
        <v>5022</v>
      </c>
      <c r="OJ287" t="s">
        <v>5019</v>
      </c>
      <c r="OK287">
        <v>61</v>
      </c>
      <c r="OL287">
        <v>61</v>
      </c>
      <c r="OM287" t="s">
        <v>5020</v>
      </c>
      <c r="ON287">
        <v>3</v>
      </c>
      <c r="OO287">
        <v>1858</v>
      </c>
      <c r="OP287">
        <v>61</v>
      </c>
      <c r="OQ287">
        <v>61</v>
      </c>
      <c r="OR287" t="s">
        <v>5021</v>
      </c>
      <c r="OS287">
        <v>3</v>
      </c>
      <c r="OT287">
        <v>1865</v>
      </c>
      <c r="OU287">
        <v>65</v>
      </c>
      <c r="OV287">
        <v>65</v>
      </c>
      <c r="OW287" t="s">
        <v>4353</v>
      </c>
      <c r="OX287">
        <v>1</v>
      </c>
      <c r="OY287">
        <v>32072</v>
      </c>
      <c r="OZ287">
        <v>51</v>
      </c>
      <c r="PA287">
        <v>52</v>
      </c>
      <c r="PB287" t="s">
        <v>5022</v>
      </c>
      <c r="PC287">
        <v>2</v>
      </c>
      <c r="PD287">
        <v>1899</v>
      </c>
      <c r="PF287">
        <v>338</v>
      </c>
      <c r="PG287">
        <v>29</v>
      </c>
      <c r="PH287">
        <v>320</v>
      </c>
      <c r="PI287">
        <v>29</v>
      </c>
      <c r="PJ287">
        <v>77.8</v>
      </c>
      <c r="PK287">
        <v>2190</v>
      </c>
      <c r="PL287">
        <v>973.7</v>
      </c>
      <c r="PM287">
        <v>1057.5</v>
      </c>
      <c r="PN287">
        <v>88</v>
      </c>
      <c r="PO287">
        <v>10.5</v>
      </c>
      <c r="PP287">
        <v>10</v>
      </c>
      <c r="PQ287">
        <v>2</v>
      </c>
      <c r="PR287">
        <v>1</v>
      </c>
      <c r="PS287">
        <v>7</v>
      </c>
      <c r="PT287">
        <v>214</v>
      </c>
      <c r="PU287">
        <v>9</v>
      </c>
      <c r="PV287" t="s">
        <v>4072</v>
      </c>
      <c r="PW287" t="s">
        <v>4072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-1</v>
      </c>
      <c r="QF287">
        <v>1</v>
      </c>
      <c r="QG287">
        <v>0</v>
      </c>
      <c r="QH287">
        <v>5</v>
      </c>
      <c r="QI287">
        <v>5</v>
      </c>
      <c r="QJ287">
        <v>5</v>
      </c>
      <c r="QK287">
        <v>157</v>
      </c>
      <c r="QL287">
        <v>360</v>
      </c>
      <c r="QM287">
        <v>7.5</v>
      </c>
      <c r="QN287">
        <v>1381.4</v>
      </c>
      <c r="QO287" t="s">
        <v>3054</v>
      </c>
      <c r="QP287" t="s">
        <v>513</v>
      </c>
      <c r="QQ287">
        <v>0</v>
      </c>
      <c r="QR287" t="s">
        <v>649</v>
      </c>
      <c r="QS287">
        <v>30</v>
      </c>
      <c r="QT287">
        <v>40</v>
      </c>
    </row>
    <row r="288" spans="1:462">
      <c r="A288" t="s">
        <v>3454</v>
      </c>
      <c r="B288" t="s">
        <v>729</v>
      </c>
      <c r="C288" t="s">
        <v>509</v>
      </c>
      <c r="D288" t="s">
        <v>5023</v>
      </c>
      <c r="E288" t="s">
        <v>4036</v>
      </c>
      <c r="H288" t="s">
        <v>605</v>
      </c>
      <c r="J288" t="s">
        <v>628</v>
      </c>
      <c r="K288" t="s">
        <v>606</v>
      </c>
      <c r="L288" t="s">
        <v>897</v>
      </c>
      <c r="M288" t="s">
        <v>512</v>
      </c>
      <c r="O288" t="s">
        <v>513</v>
      </c>
      <c r="P288" t="s">
        <v>517</v>
      </c>
      <c r="Q288" t="s">
        <v>1231</v>
      </c>
      <c r="R288" t="s">
        <v>1127</v>
      </c>
      <c r="S288" t="s">
        <v>4073</v>
      </c>
      <c r="T288" t="s">
        <v>662</v>
      </c>
      <c r="U288" t="s">
        <v>663</v>
      </c>
      <c r="V288" t="s">
        <v>2656</v>
      </c>
      <c r="W288" t="s">
        <v>3058</v>
      </c>
      <c r="X288" t="s">
        <v>3455</v>
      </c>
      <c r="Y288" t="s">
        <v>3456</v>
      </c>
      <c r="Z288" t="s">
        <v>650</v>
      </c>
      <c r="AA288" t="s">
        <v>4038</v>
      </c>
      <c r="AB288" t="s">
        <v>5024</v>
      </c>
      <c r="AC288">
        <v>13</v>
      </c>
      <c r="AD288" t="s">
        <v>3453</v>
      </c>
      <c r="AE288">
        <v>9</v>
      </c>
      <c r="AF288">
        <v>4508</v>
      </c>
      <c r="AG288" t="s">
        <v>4299</v>
      </c>
      <c r="AH288">
        <v>1</v>
      </c>
      <c r="AI288" t="s">
        <v>4041</v>
      </c>
      <c r="AK288" t="s">
        <v>4300</v>
      </c>
      <c r="AL288">
        <v>1</v>
      </c>
      <c r="AM288" t="s">
        <v>582</v>
      </c>
      <c r="AO288" t="s">
        <v>4043</v>
      </c>
      <c r="AP288">
        <v>1</v>
      </c>
      <c r="AR288" t="s">
        <v>5025</v>
      </c>
      <c r="AS288">
        <v>1</v>
      </c>
      <c r="AT288">
        <v>51</v>
      </c>
      <c r="AV288" t="s">
        <v>4045</v>
      </c>
      <c r="AW288">
        <v>6.4</v>
      </c>
      <c r="AX288">
        <v>-6</v>
      </c>
      <c r="AY288">
        <v>106</v>
      </c>
      <c r="AZ288">
        <v>88</v>
      </c>
      <c r="BH288">
        <v>106</v>
      </c>
      <c r="BI288">
        <v>18</v>
      </c>
      <c r="BJ288">
        <v>88</v>
      </c>
      <c r="BK288">
        <v>3.5</v>
      </c>
      <c r="BL288">
        <v>212</v>
      </c>
      <c r="BM288">
        <v>-6</v>
      </c>
      <c r="BN288">
        <v>0</v>
      </c>
      <c r="BO288">
        <v>0</v>
      </c>
      <c r="BP288">
        <v>0</v>
      </c>
      <c r="BR288">
        <v>205</v>
      </c>
      <c r="BS288">
        <v>195</v>
      </c>
      <c r="BT288">
        <v>1985</v>
      </c>
      <c r="BU288" t="s">
        <v>4047</v>
      </c>
      <c r="BV288" t="s">
        <v>4096</v>
      </c>
      <c r="BW288" t="s">
        <v>4049</v>
      </c>
      <c r="BX288" t="s">
        <v>4097</v>
      </c>
      <c r="BY288" t="s">
        <v>4116</v>
      </c>
      <c r="BZ288" t="s">
        <v>4117</v>
      </c>
      <c r="CA288" t="s">
        <v>4118</v>
      </c>
      <c r="CB288" t="s">
        <v>4119</v>
      </c>
      <c r="CC288" t="s">
        <v>4053</v>
      </c>
      <c r="CD288" t="s">
        <v>4121</v>
      </c>
      <c r="CE288" t="s">
        <v>4055</v>
      </c>
      <c r="CF288" t="s">
        <v>4055</v>
      </c>
      <c r="CG288" t="s">
        <v>4056</v>
      </c>
      <c r="CH288" t="s">
        <v>4099</v>
      </c>
      <c r="CI288" t="s">
        <v>4058</v>
      </c>
      <c r="CJ288" t="s">
        <v>4059</v>
      </c>
      <c r="CK288" t="s">
        <v>4060</v>
      </c>
      <c r="CL288" t="s">
        <v>4061</v>
      </c>
      <c r="CM288" t="s">
        <v>4062</v>
      </c>
      <c r="CN288" t="s">
        <v>4055</v>
      </c>
      <c r="CO288" t="s">
        <v>4063</v>
      </c>
      <c r="CP288" t="s">
        <v>4055</v>
      </c>
      <c r="CQ288" t="s">
        <v>4055</v>
      </c>
      <c r="CR288">
        <v>5</v>
      </c>
      <c r="CS288" t="s">
        <v>4055</v>
      </c>
      <c r="CT288" t="s">
        <v>4055</v>
      </c>
      <c r="CU288" t="s">
        <v>4055</v>
      </c>
      <c r="CV288">
        <v>130</v>
      </c>
      <c r="CW288">
        <v>3</v>
      </c>
      <c r="CX288">
        <v>106</v>
      </c>
      <c r="CY288">
        <v>5</v>
      </c>
      <c r="CZ288">
        <v>137</v>
      </c>
      <c r="DA288">
        <v>5</v>
      </c>
      <c r="DB288">
        <v>11770</v>
      </c>
      <c r="DC288">
        <v>350</v>
      </c>
      <c r="DD288">
        <v>305</v>
      </c>
      <c r="DE288">
        <v>2106</v>
      </c>
      <c r="DF288">
        <v>2106</v>
      </c>
      <c r="DG288">
        <v>2118</v>
      </c>
      <c r="DH288" t="s">
        <v>4055</v>
      </c>
      <c r="DI288" t="s">
        <v>4055</v>
      </c>
      <c r="DJ288" t="s">
        <v>4132</v>
      </c>
      <c r="DK288">
        <v>205</v>
      </c>
      <c r="DL288" t="s">
        <v>4065</v>
      </c>
      <c r="DM288">
        <v>63</v>
      </c>
      <c r="DN288">
        <v>1.1</v>
      </c>
      <c r="DO288">
        <v>1</v>
      </c>
      <c r="DP288">
        <v>1988</v>
      </c>
      <c r="DQ288">
        <v>881</v>
      </c>
      <c r="DR288" t="s">
        <v>4132</v>
      </c>
      <c r="DS288">
        <v>195</v>
      </c>
      <c r="DT288" t="s">
        <v>4065</v>
      </c>
      <c r="DU288">
        <v>63</v>
      </c>
      <c r="DV288">
        <v>1.1</v>
      </c>
      <c r="DW288">
        <v>1</v>
      </c>
      <c r="DX288">
        <v>2000</v>
      </c>
      <c r="DY288">
        <v>844</v>
      </c>
      <c r="DZ288" t="s">
        <v>4066</v>
      </c>
      <c r="EA288">
        <v>20</v>
      </c>
      <c r="EB288" t="s">
        <v>4065</v>
      </c>
      <c r="EC288">
        <v>0.8</v>
      </c>
      <c r="ED288">
        <v>1988</v>
      </c>
      <c r="EE288">
        <v>70</v>
      </c>
      <c r="EG288">
        <v>0</v>
      </c>
      <c r="EH288" t="s">
        <v>4065</v>
      </c>
      <c r="EI288">
        <v>0</v>
      </c>
      <c r="EL288" t="s">
        <v>1528</v>
      </c>
      <c r="EM288">
        <v>12</v>
      </c>
      <c r="EN288">
        <v>0.5</v>
      </c>
      <c r="EO288">
        <v>0.96</v>
      </c>
      <c r="EP288">
        <v>1998.83</v>
      </c>
      <c r="EQ288">
        <v>34979.53</v>
      </c>
      <c r="ER288">
        <v>5638.67</v>
      </c>
      <c r="ES288">
        <v>0</v>
      </c>
      <c r="ET288">
        <v>0</v>
      </c>
      <c r="EU288">
        <v>1</v>
      </c>
      <c r="EV288">
        <v>40619</v>
      </c>
      <c r="EW288">
        <v>488</v>
      </c>
      <c r="EX288" t="s">
        <v>4287</v>
      </c>
      <c r="EY288">
        <v>220</v>
      </c>
      <c r="EZ288" t="s">
        <v>4055</v>
      </c>
      <c r="FA288">
        <v>4.6</v>
      </c>
      <c r="FB288">
        <v>1</v>
      </c>
      <c r="FC288">
        <v>1</v>
      </c>
      <c r="FD288">
        <v>2034</v>
      </c>
      <c r="FE288">
        <v>2449</v>
      </c>
      <c r="FF288" t="s">
        <v>4288</v>
      </c>
      <c r="FG288">
        <v>220</v>
      </c>
      <c r="FH288" t="s">
        <v>4055</v>
      </c>
      <c r="FI288">
        <v>4</v>
      </c>
      <c r="FJ288">
        <v>2034</v>
      </c>
      <c r="FK288">
        <v>2081</v>
      </c>
      <c r="FL288" t="s">
        <v>4069</v>
      </c>
      <c r="FM288" t="s">
        <v>4055</v>
      </c>
      <c r="FN288" t="s">
        <v>4055</v>
      </c>
      <c r="FO288" t="s">
        <v>4055</v>
      </c>
      <c r="FP288">
        <v>2034</v>
      </c>
      <c r="FQ288">
        <v>225</v>
      </c>
      <c r="FR288" t="s">
        <v>4090</v>
      </c>
      <c r="FS288">
        <v>224</v>
      </c>
      <c r="FT288" t="s">
        <v>4055</v>
      </c>
      <c r="FU288">
        <v>0.4</v>
      </c>
      <c r="FV288">
        <v>2034</v>
      </c>
      <c r="FW288">
        <v>203</v>
      </c>
      <c r="FX288" t="s">
        <v>4070</v>
      </c>
      <c r="FY288">
        <v>5</v>
      </c>
      <c r="FZ288" t="s">
        <v>4055</v>
      </c>
      <c r="GA288" t="s">
        <v>4055</v>
      </c>
      <c r="GB288">
        <v>2034</v>
      </c>
      <c r="GC288">
        <v>21</v>
      </c>
      <c r="GD288">
        <v>4979</v>
      </c>
      <c r="GE288" t="s">
        <v>5025</v>
      </c>
      <c r="GF288" t="s">
        <v>4055</v>
      </c>
      <c r="GG288" t="s">
        <v>4055</v>
      </c>
      <c r="GH288" t="s">
        <v>4055</v>
      </c>
      <c r="GI288" t="s">
        <v>4071</v>
      </c>
      <c r="GJ288" t="s">
        <v>4055</v>
      </c>
      <c r="GK288" t="s">
        <v>4055</v>
      </c>
      <c r="GL288" t="s">
        <v>4055</v>
      </c>
      <c r="GM288" t="s">
        <v>4055</v>
      </c>
      <c r="GQ288">
        <v>0</v>
      </c>
      <c r="GV288">
        <v>9</v>
      </c>
      <c r="GW288">
        <v>11</v>
      </c>
      <c r="GX288">
        <v>0.5</v>
      </c>
      <c r="GY288">
        <v>200</v>
      </c>
      <c r="GZ288">
        <v>3</v>
      </c>
      <c r="HA288">
        <v>242</v>
      </c>
      <c r="HB288">
        <v>3</v>
      </c>
      <c r="HC288">
        <v>2034</v>
      </c>
      <c r="HD288">
        <v>4</v>
      </c>
      <c r="HE288" t="s">
        <v>4071</v>
      </c>
      <c r="HG288" t="s">
        <v>549</v>
      </c>
      <c r="HL288">
        <v>4</v>
      </c>
      <c r="HM288">
        <v>18</v>
      </c>
      <c r="HN288">
        <v>1</v>
      </c>
      <c r="HO288">
        <v>1</v>
      </c>
      <c r="HP288">
        <v>0</v>
      </c>
      <c r="HQ288">
        <v>0</v>
      </c>
      <c r="HR288">
        <v>2</v>
      </c>
      <c r="HS288">
        <v>1985</v>
      </c>
      <c r="HT288">
        <v>5</v>
      </c>
      <c r="HU288">
        <v>1</v>
      </c>
      <c r="HV288">
        <v>0</v>
      </c>
      <c r="HW288">
        <v>0</v>
      </c>
      <c r="HX288">
        <v>1</v>
      </c>
      <c r="HY288">
        <v>0</v>
      </c>
      <c r="HZ288">
        <v>63</v>
      </c>
      <c r="IA288">
        <v>1988</v>
      </c>
      <c r="IB288">
        <v>2000</v>
      </c>
      <c r="ID288">
        <v>2034</v>
      </c>
      <c r="IE288">
        <v>2034</v>
      </c>
      <c r="IF288">
        <v>205</v>
      </c>
      <c r="IG288">
        <v>195</v>
      </c>
      <c r="IH288">
        <v>242</v>
      </c>
      <c r="II288">
        <v>1</v>
      </c>
      <c r="IJ288">
        <v>5</v>
      </c>
      <c r="IK288">
        <v>0</v>
      </c>
      <c r="IL288">
        <v>0</v>
      </c>
      <c r="IM288">
        <v>0</v>
      </c>
      <c r="IN288">
        <v>270</v>
      </c>
      <c r="IO288">
        <v>0</v>
      </c>
      <c r="IP288">
        <v>180</v>
      </c>
      <c r="IQ288">
        <v>0</v>
      </c>
      <c r="IR288">
        <v>325</v>
      </c>
      <c r="IS288">
        <v>0</v>
      </c>
      <c r="IT288">
        <v>90</v>
      </c>
      <c r="IU288">
        <v>0</v>
      </c>
      <c r="IV288">
        <v>6.4</v>
      </c>
      <c r="IW288">
        <v>-6</v>
      </c>
      <c r="IX288">
        <v>106</v>
      </c>
      <c r="IY288">
        <v>88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362</v>
      </c>
      <c r="JJ288">
        <v>332</v>
      </c>
      <c r="JK288">
        <v>330</v>
      </c>
      <c r="JL288">
        <v>330</v>
      </c>
      <c r="JM288">
        <v>250</v>
      </c>
      <c r="JN288">
        <v>205</v>
      </c>
      <c r="JO288">
        <v>232</v>
      </c>
      <c r="JP288">
        <v>230</v>
      </c>
      <c r="JQ288">
        <v>250</v>
      </c>
      <c r="JR288">
        <v>322</v>
      </c>
      <c r="JS288">
        <v>260</v>
      </c>
      <c r="JT288">
        <v>0</v>
      </c>
      <c r="JU288">
        <v>0</v>
      </c>
      <c r="JV288">
        <v>310</v>
      </c>
      <c r="JW288">
        <v>312</v>
      </c>
      <c r="JX288">
        <v>317</v>
      </c>
      <c r="JY288">
        <v>290</v>
      </c>
      <c r="JZ288">
        <v>1</v>
      </c>
      <c r="KA288">
        <v>0.2</v>
      </c>
      <c r="KB288">
        <v>0.4</v>
      </c>
      <c r="KC288">
        <v>0.5</v>
      </c>
      <c r="KD288">
        <v>0.28</v>
      </c>
      <c r="KE288">
        <v>0.8</v>
      </c>
      <c r="KF288">
        <v>0.16</v>
      </c>
      <c r="KG288">
        <v>0.1</v>
      </c>
      <c r="KH288">
        <v>3.5</v>
      </c>
      <c r="KI288">
        <v>1</v>
      </c>
      <c r="KJ288">
        <v>9</v>
      </c>
      <c r="KK288">
        <v>1</v>
      </c>
      <c r="KL288">
        <v>11</v>
      </c>
      <c r="KM288">
        <v>3</v>
      </c>
      <c r="KN288">
        <v>1.6</v>
      </c>
      <c r="KO288">
        <v>0</v>
      </c>
      <c r="KP288">
        <v>0</v>
      </c>
      <c r="KQ288">
        <v>1.2</v>
      </c>
      <c r="KR288">
        <v>0.8</v>
      </c>
      <c r="KS288">
        <v>0.2</v>
      </c>
      <c r="KT288">
        <v>2</v>
      </c>
      <c r="KU288">
        <v>0</v>
      </c>
      <c r="KV288">
        <v>0</v>
      </c>
      <c r="KW288">
        <v>1.2</v>
      </c>
      <c r="KX288">
        <v>2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3</v>
      </c>
      <c r="LI288">
        <v>5</v>
      </c>
      <c r="LJ288">
        <v>0</v>
      </c>
      <c r="LK288">
        <v>3</v>
      </c>
      <c r="LL288">
        <v>6</v>
      </c>
      <c r="LM288">
        <v>5</v>
      </c>
      <c r="LN288">
        <v>0.5</v>
      </c>
      <c r="LO288">
        <v>0.3</v>
      </c>
      <c r="LP288">
        <v>0</v>
      </c>
      <c r="LQ288">
        <v>0</v>
      </c>
      <c r="LR288">
        <v>0</v>
      </c>
      <c r="LS288">
        <v>1</v>
      </c>
      <c r="LT288">
        <v>0</v>
      </c>
      <c r="LU288">
        <v>0</v>
      </c>
      <c r="LV288">
        <v>0</v>
      </c>
      <c r="LW288">
        <v>1.5</v>
      </c>
      <c r="LX288">
        <v>1.5</v>
      </c>
      <c r="LY288">
        <v>1.5</v>
      </c>
      <c r="LZ288">
        <v>1.5</v>
      </c>
      <c r="MA288">
        <v>0</v>
      </c>
      <c r="MB288">
        <v>3</v>
      </c>
      <c r="MC288">
        <v>0</v>
      </c>
      <c r="MD288">
        <v>4.5</v>
      </c>
      <c r="ME288">
        <v>6</v>
      </c>
      <c r="MF288">
        <v>6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420</v>
      </c>
      <c r="MN288">
        <v>200</v>
      </c>
      <c r="MO288">
        <v>252</v>
      </c>
      <c r="NU288">
        <v>0.15</v>
      </c>
      <c r="NV288">
        <v>0.3</v>
      </c>
      <c r="NW288">
        <v>0.3</v>
      </c>
      <c r="NX288">
        <v>2</v>
      </c>
      <c r="NY288">
        <v>2</v>
      </c>
      <c r="NZ288">
        <v>2</v>
      </c>
      <c r="OE288" t="s">
        <v>5025</v>
      </c>
      <c r="OF288" t="s">
        <v>4299</v>
      </c>
      <c r="OG288" t="s">
        <v>4300</v>
      </c>
      <c r="OH288" t="s">
        <v>4043</v>
      </c>
      <c r="OI288" t="s">
        <v>5025</v>
      </c>
      <c r="OJ288" t="s">
        <v>5024</v>
      </c>
      <c r="OK288">
        <v>61</v>
      </c>
      <c r="OL288">
        <v>61</v>
      </c>
      <c r="OM288" t="s">
        <v>4299</v>
      </c>
      <c r="ON288">
        <v>1</v>
      </c>
      <c r="OO288">
        <v>1988</v>
      </c>
      <c r="OP288">
        <v>61</v>
      </c>
      <c r="OQ288">
        <v>61</v>
      </c>
      <c r="OR288" t="s">
        <v>4300</v>
      </c>
      <c r="OS288">
        <v>1</v>
      </c>
      <c r="OT288">
        <v>2000</v>
      </c>
      <c r="OU288">
        <v>65</v>
      </c>
      <c r="OV288">
        <v>65</v>
      </c>
      <c r="OW288" t="s">
        <v>4043</v>
      </c>
      <c r="OX288">
        <v>2</v>
      </c>
      <c r="OY288">
        <v>40619</v>
      </c>
      <c r="OZ288">
        <v>51</v>
      </c>
      <c r="PA288">
        <v>51</v>
      </c>
      <c r="PB288" t="s">
        <v>5025</v>
      </c>
      <c r="PC288">
        <v>2</v>
      </c>
      <c r="PD288">
        <v>2034</v>
      </c>
      <c r="PF288">
        <v>443</v>
      </c>
      <c r="PG288">
        <v>35</v>
      </c>
      <c r="PH288">
        <v>422</v>
      </c>
      <c r="PI288">
        <v>0</v>
      </c>
      <c r="PJ288">
        <v>110.5</v>
      </c>
      <c r="PK288">
        <v>2455</v>
      </c>
      <c r="PL288">
        <v>1204</v>
      </c>
      <c r="PM288">
        <v>1023</v>
      </c>
      <c r="PN288">
        <v>99.59999999999999</v>
      </c>
      <c r="PO288">
        <v>10.5</v>
      </c>
      <c r="PP288">
        <v>12</v>
      </c>
      <c r="PQ288">
        <v>3</v>
      </c>
      <c r="PR288">
        <v>3</v>
      </c>
      <c r="PS288">
        <v>8</v>
      </c>
      <c r="PT288">
        <v>242</v>
      </c>
      <c r="PU288">
        <v>11</v>
      </c>
      <c r="PV288" t="s">
        <v>4072</v>
      </c>
      <c r="PW288" t="s">
        <v>4072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-1</v>
      </c>
      <c r="QF288">
        <v>1</v>
      </c>
      <c r="QG288">
        <v>0</v>
      </c>
      <c r="QH288">
        <v>5</v>
      </c>
      <c r="QI288">
        <v>5</v>
      </c>
      <c r="QJ288">
        <v>5</v>
      </c>
      <c r="QK288">
        <v>175</v>
      </c>
      <c r="QL288">
        <v>396</v>
      </c>
      <c r="QM288">
        <v>7.5</v>
      </c>
      <c r="QN288">
        <v>1461.1</v>
      </c>
      <c r="QO288" t="s">
        <v>3054</v>
      </c>
      <c r="QP288" t="s">
        <v>513</v>
      </c>
      <c r="QQ288">
        <v>0</v>
      </c>
      <c r="QR288" t="s">
        <v>649</v>
      </c>
      <c r="QS288">
        <v>30</v>
      </c>
      <c r="QT288">
        <v>40</v>
      </c>
    </row>
    <row r="289" spans="1:462">
      <c r="A289" t="s">
        <v>3461</v>
      </c>
      <c r="B289" t="s">
        <v>564</v>
      </c>
      <c r="C289" t="s">
        <v>509</v>
      </c>
      <c r="D289" t="s">
        <v>2828</v>
      </c>
      <c r="E289" t="s">
        <v>4036</v>
      </c>
      <c r="H289" t="s">
        <v>604</v>
      </c>
      <c r="I289" t="s">
        <v>605</v>
      </c>
      <c r="J289" t="s">
        <v>628</v>
      </c>
      <c r="K289" t="s">
        <v>606</v>
      </c>
      <c r="L289" t="s">
        <v>629</v>
      </c>
      <c r="M289" t="s">
        <v>512</v>
      </c>
      <c r="O289" t="s">
        <v>513</v>
      </c>
      <c r="P289" t="s">
        <v>517</v>
      </c>
      <c r="Q289" t="s">
        <v>1102</v>
      </c>
      <c r="R289" t="s">
        <v>1103</v>
      </c>
      <c r="S289" t="s">
        <v>4091</v>
      </c>
      <c r="T289" t="s">
        <v>633</v>
      </c>
      <c r="U289" t="s">
        <v>634</v>
      </c>
      <c r="V289" t="s">
        <v>2406</v>
      </c>
      <c r="W289" t="s">
        <v>3462</v>
      </c>
      <c r="X289" t="s">
        <v>3463</v>
      </c>
      <c r="Y289" t="s">
        <v>3464</v>
      </c>
      <c r="Z289" t="s">
        <v>541</v>
      </c>
      <c r="AA289" t="s">
        <v>4038</v>
      </c>
      <c r="AB289" t="s">
        <v>5026</v>
      </c>
      <c r="AC289">
        <v>13</v>
      </c>
      <c r="AD289" t="s">
        <v>3460</v>
      </c>
      <c r="AE289">
        <v>5</v>
      </c>
      <c r="AF289">
        <v>6211</v>
      </c>
      <c r="AG289" t="s">
        <v>4890</v>
      </c>
      <c r="AH289">
        <v>1</v>
      </c>
      <c r="AI289" t="s">
        <v>4041</v>
      </c>
      <c r="AK289" t="s">
        <v>4891</v>
      </c>
      <c r="AL289">
        <v>1</v>
      </c>
      <c r="AM289" t="s">
        <v>582</v>
      </c>
      <c r="AO289" t="s">
        <v>4043</v>
      </c>
      <c r="AP289">
        <v>1</v>
      </c>
      <c r="AR289" t="s">
        <v>5027</v>
      </c>
      <c r="AS289">
        <v>1</v>
      </c>
      <c r="AT289">
        <v>52</v>
      </c>
      <c r="AV289" t="s">
        <v>4078</v>
      </c>
      <c r="AW289">
        <v>6.4</v>
      </c>
      <c r="AX289">
        <v>-6</v>
      </c>
      <c r="AY289">
        <v>102.5</v>
      </c>
      <c r="AZ289">
        <v>72.5</v>
      </c>
      <c r="BH289">
        <v>102.5</v>
      </c>
      <c r="BI289">
        <v>30</v>
      </c>
      <c r="BJ289">
        <v>72.5</v>
      </c>
      <c r="BK289">
        <v>2.5</v>
      </c>
      <c r="BL289">
        <v>205</v>
      </c>
      <c r="BM289">
        <v>-6</v>
      </c>
      <c r="BN289">
        <v>0</v>
      </c>
      <c r="BP289">
        <v>0</v>
      </c>
      <c r="BR289">
        <v>200</v>
      </c>
      <c r="BS289">
        <v>190</v>
      </c>
      <c r="BT289">
        <v>2145</v>
      </c>
      <c r="BU289" t="s">
        <v>4127</v>
      </c>
      <c r="BV289" t="s">
        <v>4127</v>
      </c>
      <c r="BW289" t="s">
        <v>4128</v>
      </c>
      <c r="BX289" t="s">
        <v>4128</v>
      </c>
      <c r="BY289" t="s">
        <v>4249</v>
      </c>
      <c r="BZ289" t="s">
        <v>4249</v>
      </c>
      <c r="CA289" t="s">
        <v>4108</v>
      </c>
      <c r="CB289" t="s">
        <v>4109</v>
      </c>
      <c r="CC289" t="s">
        <v>4053</v>
      </c>
      <c r="CD289" t="s">
        <v>4110</v>
      </c>
      <c r="CE289" t="s">
        <v>4055</v>
      </c>
      <c r="CF289" t="s">
        <v>4055</v>
      </c>
      <c r="CG289" t="s">
        <v>4056</v>
      </c>
      <c r="CI289" t="s">
        <v>4058</v>
      </c>
      <c r="CJ289" t="s">
        <v>4059</v>
      </c>
      <c r="CK289" t="s">
        <v>4060</v>
      </c>
      <c r="CL289" t="s">
        <v>4061</v>
      </c>
      <c r="CM289" t="s">
        <v>4062</v>
      </c>
      <c r="CN289" t="s">
        <v>4055</v>
      </c>
      <c r="CO289" t="s">
        <v>4063</v>
      </c>
      <c r="CP289" t="s">
        <v>4055</v>
      </c>
      <c r="CQ289" t="s">
        <v>4055</v>
      </c>
      <c r="CR289">
        <v>5</v>
      </c>
      <c r="CS289" t="s">
        <v>4055</v>
      </c>
      <c r="CT289" t="s">
        <v>4055</v>
      </c>
      <c r="CU289" t="s">
        <v>4055</v>
      </c>
      <c r="CV289">
        <v>135</v>
      </c>
      <c r="CW289">
        <v>3</v>
      </c>
      <c r="CX289">
        <v>85</v>
      </c>
      <c r="CY289">
        <v>5</v>
      </c>
      <c r="CZ289">
        <v>156</v>
      </c>
      <c r="DA289">
        <v>5</v>
      </c>
      <c r="DB289">
        <v>14580</v>
      </c>
      <c r="DC289">
        <v>430</v>
      </c>
      <c r="DD289">
        <v>362</v>
      </c>
      <c r="DE289">
        <v>2274</v>
      </c>
      <c r="DF289">
        <v>2274</v>
      </c>
      <c r="DG289">
        <v>2287</v>
      </c>
      <c r="DH289" t="s">
        <v>4055</v>
      </c>
      <c r="DI289" t="s">
        <v>4055</v>
      </c>
      <c r="DJ289" t="s">
        <v>4087</v>
      </c>
      <c r="DK289">
        <v>200</v>
      </c>
      <c r="DL289" t="s">
        <v>4065</v>
      </c>
      <c r="DM289">
        <v>63</v>
      </c>
      <c r="DN289">
        <v>1.36</v>
      </c>
      <c r="DO289">
        <v>1</v>
      </c>
      <c r="DP289">
        <v>2149</v>
      </c>
      <c r="DQ289">
        <v>1083</v>
      </c>
      <c r="DR289" t="s">
        <v>4087</v>
      </c>
      <c r="DS289">
        <v>190</v>
      </c>
      <c r="DT289" t="s">
        <v>4065</v>
      </c>
      <c r="DU289">
        <v>63</v>
      </c>
      <c r="DV289">
        <v>1.36</v>
      </c>
      <c r="DW289">
        <v>1</v>
      </c>
      <c r="DX289">
        <v>2163</v>
      </c>
      <c r="DY289">
        <v>1034</v>
      </c>
      <c r="DZ289" t="s">
        <v>4066</v>
      </c>
      <c r="EA289">
        <v>20</v>
      </c>
      <c r="EB289" t="s">
        <v>4065</v>
      </c>
      <c r="EC289">
        <v>0.8</v>
      </c>
      <c r="ED289">
        <v>2149</v>
      </c>
      <c r="EE289">
        <v>75</v>
      </c>
      <c r="EG289">
        <v>0</v>
      </c>
      <c r="EH289" t="s">
        <v>4065</v>
      </c>
      <c r="EI289">
        <v>0</v>
      </c>
      <c r="EL289" t="s">
        <v>1528</v>
      </c>
      <c r="EM289">
        <v>12</v>
      </c>
      <c r="EN289">
        <v>0.5</v>
      </c>
      <c r="EO289">
        <v>0.96</v>
      </c>
      <c r="EP289">
        <v>2162.1</v>
      </c>
      <c r="EQ289">
        <v>36654.35</v>
      </c>
      <c r="ER289">
        <v>10163.12</v>
      </c>
      <c r="ES289">
        <v>0</v>
      </c>
      <c r="ET289">
        <v>0</v>
      </c>
      <c r="EU289">
        <v>1</v>
      </c>
      <c r="EV289">
        <v>46818</v>
      </c>
      <c r="EW289">
        <v>562</v>
      </c>
      <c r="EX289" t="s">
        <v>4287</v>
      </c>
      <c r="EY289">
        <v>230</v>
      </c>
      <c r="EZ289" t="s">
        <v>4055</v>
      </c>
      <c r="FA289">
        <v>4.5</v>
      </c>
      <c r="FB289">
        <v>1</v>
      </c>
      <c r="FC289">
        <v>1</v>
      </c>
      <c r="FD289">
        <v>2198</v>
      </c>
      <c r="FE289">
        <v>2583</v>
      </c>
      <c r="FF289" t="s">
        <v>4288</v>
      </c>
      <c r="FG289">
        <v>230</v>
      </c>
      <c r="FH289" t="s">
        <v>4055</v>
      </c>
      <c r="FI289">
        <v>4.6</v>
      </c>
      <c r="FJ289">
        <v>2198</v>
      </c>
      <c r="FK289">
        <v>2596</v>
      </c>
      <c r="FL289" t="s">
        <v>4069</v>
      </c>
      <c r="FM289" t="s">
        <v>4055</v>
      </c>
      <c r="FN289" t="s">
        <v>4055</v>
      </c>
      <c r="FO289" t="s">
        <v>4055</v>
      </c>
      <c r="FP289">
        <v>2198</v>
      </c>
      <c r="FQ289">
        <v>176</v>
      </c>
      <c r="FR289" t="s">
        <v>4090</v>
      </c>
      <c r="FS289">
        <v>234</v>
      </c>
      <c r="FT289" t="s">
        <v>4055</v>
      </c>
      <c r="FU289">
        <v>0.4</v>
      </c>
      <c r="FV289">
        <v>2198</v>
      </c>
      <c r="FW289">
        <v>229</v>
      </c>
      <c r="FX289" t="s">
        <v>4070</v>
      </c>
      <c r="FY289">
        <v>5</v>
      </c>
      <c r="FZ289" t="s">
        <v>4055</v>
      </c>
      <c r="GA289" t="s">
        <v>4055</v>
      </c>
      <c r="GB289">
        <v>2198</v>
      </c>
      <c r="GC289">
        <v>24</v>
      </c>
      <c r="GD289">
        <v>5608</v>
      </c>
      <c r="GE289" t="s">
        <v>5027</v>
      </c>
      <c r="GF289" t="s">
        <v>4055</v>
      </c>
      <c r="GG289" t="s">
        <v>4055</v>
      </c>
      <c r="GH289" t="s">
        <v>4055</v>
      </c>
      <c r="GI289" t="s">
        <v>4071</v>
      </c>
      <c r="GJ289" t="s">
        <v>4055</v>
      </c>
      <c r="GK289" t="s">
        <v>4055</v>
      </c>
      <c r="GL289" t="s">
        <v>4055</v>
      </c>
      <c r="GM289" t="s">
        <v>4055</v>
      </c>
      <c r="GQ289">
        <v>0</v>
      </c>
      <c r="GV289">
        <v>9.5</v>
      </c>
      <c r="GW289">
        <v>11.5</v>
      </c>
      <c r="GX289">
        <v>0.5</v>
      </c>
      <c r="GY289">
        <v>188</v>
      </c>
      <c r="GZ289">
        <v>3</v>
      </c>
      <c r="HA289">
        <v>250</v>
      </c>
      <c r="HB289">
        <v>3</v>
      </c>
      <c r="HC289">
        <v>2198</v>
      </c>
      <c r="HD289">
        <v>4</v>
      </c>
      <c r="HE289" t="s">
        <v>4071</v>
      </c>
      <c r="HG289" t="s">
        <v>549</v>
      </c>
      <c r="HL289">
        <v>4</v>
      </c>
      <c r="HM289">
        <v>17</v>
      </c>
      <c r="HN289">
        <v>6</v>
      </c>
      <c r="HO289">
        <v>1</v>
      </c>
      <c r="HP289">
        <v>0</v>
      </c>
      <c r="HQ289">
        <v>0</v>
      </c>
      <c r="HR289">
        <v>3</v>
      </c>
      <c r="HS289">
        <v>2145</v>
      </c>
      <c r="HT289">
        <v>5</v>
      </c>
      <c r="HU289">
        <v>1</v>
      </c>
      <c r="HV289">
        <v>5</v>
      </c>
      <c r="HW289">
        <v>0</v>
      </c>
      <c r="HX289">
        <v>1</v>
      </c>
      <c r="HY289">
        <v>0</v>
      </c>
      <c r="HZ289">
        <v>63</v>
      </c>
      <c r="IA289">
        <v>2149</v>
      </c>
      <c r="IB289">
        <v>2163</v>
      </c>
      <c r="ID289">
        <v>2198</v>
      </c>
      <c r="IE289">
        <v>2198</v>
      </c>
      <c r="IF289">
        <v>200</v>
      </c>
      <c r="IG289">
        <v>190</v>
      </c>
      <c r="IH289">
        <v>250</v>
      </c>
      <c r="II289">
        <v>1</v>
      </c>
      <c r="IJ289">
        <v>5</v>
      </c>
      <c r="IK289">
        <v>0</v>
      </c>
      <c r="IL289">
        <v>0</v>
      </c>
      <c r="IM289">
        <v>0</v>
      </c>
      <c r="IN289">
        <v>270</v>
      </c>
      <c r="IO289">
        <v>0</v>
      </c>
      <c r="IP289">
        <v>180</v>
      </c>
      <c r="IQ289">
        <v>0</v>
      </c>
      <c r="IR289">
        <v>330</v>
      </c>
      <c r="IS289">
        <v>0</v>
      </c>
      <c r="IT289">
        <v>90</v>
      </c>
      <c r="IU289">
        <v>0</v>
      </c>
      <c r="IV289">
        <v>6.4</v>
      </c>
      <c r="IW289">
        <v>-6</v>
      </c>
      <c r="IX289">
        <v>102.5</v>
      </c>
      <c r="IY289">
        <v>72.5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440</v>
      </c>
      <c r="JJ289">
        <v>410</v>
      </c>
      <c r="JK289">
        <v>297</v>
      </c>
      <c r="JL289">
        <v>408</v>
      </c>
      <c r="JM289">
        <v>307</v>
      </c>
      <c r="JN289">
        <v>200</v>
      </c>
      <c r="JO289">
        <v>260</v>
      </c>
      <c r="JP289">
        <v>215</v>
      </c>
      <c r="JQ289">
        <v>240</v>
      </c>
      <c r="JR289">
        <v>345</v>
      </c>
      <c r="JS289">
        <v>230</v>
      </c>
      <c r="JT289">
        <v>0</v>
      </c>
      <c r="JU289">
        <v>0</v>
      </c>
      <c r="JV289">
        <v>335</v>
      </c>
      <c r="JW289">
        <v>337</v>
      </c>
      <c r="JX289">
        <v>310</v>
      </c>
      <c r="JY289">
        <v>290</v>
      </c>
      <c r="JZ289">
        <v>0.5</v>
      </c>
      <c r="KA289">
        <v>0.2</v>
      </c>
      <c r="KB289">
        <v>0.4</v>
      </c>
      <c r="KC289">
        <v>0.42</v>
      </c>
      <c r="KD289">
        <v>0.28</v>
      </c>
      <c r="KE289">
        <v>0.5</v>
      </c>
      <c r="KF289">
        <v>0.17</v>
      </c>
      <c r="KG289">
        <v>0.1</v>
      </c>
      <c r="KH289">
        <v>3.5</v>
      </c>
      <c r="KI289">
        <v>1</v>
      </c>
      <c r="KJ289">
        <v>4.5</v>
      </c>
      <c r="KK289">
        <v>0</v>
      </c>
      <c r="KL289">
        <v>4.5</v>
      </c>
      <c r="KM289">
        <v>0</v>
      </c>
      <c r="KN289">
        <v>2.2</v>
      </c>
      <c r="KO289">
        <v>0</v>
      </c>
      <c r="KP289">
        <v>0</v>
      </c>
      <c r="KQ289">
        <v>0.8</v>
      </c>
      <c r="KR289">
        <v>1.2</v>
      </c>
      <c r="KS289">
        <v>0</v>
      </c>
      <c r="KT289">
        <v>3.2</v>
      </c>
      <c r="KU289">
        <v>0</v>
      </c>
      <c r="KV289">
        <v>0</v>
      </c>
      <c r="KW289">
        <v>1</v>
      </c>
      <c r="KX289">
        <v>2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3</v>
      </c>
      <c r="LI289">
        <v>0.5</v>
      </c>
      <c r="LJ289">
        <v>0</v>
      </c>
      <c r="LK289">
        <v>8</v>
      </c>
      <c r="LL289">
        <v>15</v>
      </c>
      <c r="LM289">
        <v>11</v>
      </c>
      <c r="LN289">
        <v>0.1</v>
      </c>
      <c r="LO289">
        <v>1</v>
      </c>
      <c r="LP289">
        <v>0</v>
      </c>
      <c r="LQ289">
        <v>0</v>
      </c>
      <c r="LR289">
        <v>0</v>
      </c>
      <c r="LS289">
        <v>1</v>
      </c>
      <c r="LT289">
        <v>0</v>
      </c>
      <c r="LU289">
        <v>0</v>
      </c>
      <c r="LV289">
        <v>0</v>
      </c>
      <c r="LW289">
        <v>2.6</v>
      </c>
      <c r="LX289">
        <v>2.6</v>
      </c>
      <c r="LY289">
        <v>2.1</v>
      </c>
      <c r="LZ289">
        <v>2.1</v>
      </c>
      <c r="MA289">
        <v>0</v>
      </c>
      <c r="MB289">
        <v>12</v>
      </c>
      <c r="MC289">
        <v>0</v>
      </c>
      <c r="MD289">
        <v>4.5</v>
      </c>
      <c r="ME289">
        <v>6</v>
      </c>
      <c r="MF289">
        <v>6</v>
      </c>
      <c r="MI289">
        <v>0</v>
      </c>
      <c r="MJ289">
        <v>0</v>
      </c>
      <c r="ML289">
        <v>0</v>
      </c>
      <c r="MM289">
        <v>516</v>
      </c>
      <c r="MN289">
        <v>195</v>
      </c>
      <c r="MO289">
        <v>260</v>
      </c>
      <c r="NU289">
        <v>0.15</v>
      </c>
      <c r="NV289">
        <v>0.2</v>
      </c>
      <c r="NW289">
        <v>0.2</v>
      </c>
      <c r="NX289">
        <v>0.2</v>
      </c>
      <c r="NY289">
        <v>0.2</v>
      </c>
      <c r="NZ289">
        <v>0.2</v>
      </c>
      <c r="OE289" t="s">
        <v>5027</v>
      </c>
      <c r="OF289" t="s">
        <v>4890</v>
      </c>
      <c r="OG289" t="s">
        <v>4891</v>
      </c>
      <c r="OH289" t="s">
        <v>4043</v>
      </c>
      <c r="OI289" t="s">
        <v>5027</v>
      </c>
      <c r="OJ289" t="s">
        <v>5026</v>
      </c>
      <c r="OK289">
        <v>61</v>
      </c>
      <c r="OL289">
        <v>61</v>
      </c>
      <c r="OM289" t="s">
        <v>4890</v>
      </c>
      <c r="ON289">
        <v>2</v>
      </c>
      <c r="OO289">
        <v>2149</v>
      </c>
      <c r="OP289">
        <v>61</v>
      </c>
      <c r="OQ289">
        <v>61</v>
      </c>
      <c r="OR289" t="s">
        <v>4891</v>
      </c>
      <c r="OS289">
        <v>2</v>
      </c>
      <c r="OT289">
        <v>2163</v>
      </c>
      <c r="OU289">
        <v>65</v>
      </c>
      <c r="OV289">
        <v>65</v>
      </c>
      <c r="OW289" t="s">
        <v>4043</v>
      </c>
      <c r="OX289">
        <v>1</v>
      </c>
      <c r="OY289">
        <v>46818</v>
      </c>
      <c r="OZ289">
        <v>51</v>
      </c>
      <c r="PA289">
        <v>52</v>
      </c>
      <c r="PB289" t="s">
        <v>5027</v>
      </c>
      <c r="PC289">
        <v>2</v>
      </c>
      <c r="PD289">
        <v>2198</v>
      </c>
      <c r="PF289">
        <v>504</v>
      </c>
      <c r="PG289">
        <v>35</v>
      </c>
      <c r="PH289">
        <v>478</v>
      </c>
      <c r="PI289">
        <v>0</v>
      </c>
      <c r="PJ289">
        <v>80.2</v>
      </c>
      <c r="PK289">
        <v>2551</v>
      </c>
      <c r="PL289">
        <v>1175.2</v>
      </c>
      <c r="PM289">
        <v>1181.1</v>
      </c>
      <c r="PN289">
        <v>104.1</v>
      </c>
      <c r="PO289">
        <v>11</v>
      </c>
      <c r="PP289">
        <v>12</v>
      </c>
      <c r="PQ289">
        <v>5</v>
      </c>
      <c r="PR289">
        <v>5</v>
      </c>
      <c r="PS289">
        <v>0</v>
      </c>
      <c r="PT289">
        <v>250</v>
      </c>
      <c r="PU289">
        <v>10</v>
      </c>
      <c r="PV289" t="s">
        <v>4072</v>
      </c>
      <c r="PW289" t="s">
        <v>4072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-1</v>
      </c>
      <c r="QF289">
        <v>1</v>
      </c>
      <c r="QG289">
        <v>0</v>
      </c>
      <c r="QH289">
        <v>5</v>
      </c>
      <c r="QI289">
        <v>5</v>
      </c>
      <c r="QJ289">
        <v>5</v>
      </c>
      <c r="QK289">
        <v>215</v>
      </c>
      <c r="QL289">
        <v>474</v>
      </c>
      <c r="QM289">
        <v>7.5</v>
      </c>
      <c r="QN289">
        <v>1386.2</v>
      </c>
      <c r="QO289" t="s">
        <v>3054</v>
      </c>
      <c r="QP289" t="s">
        <v>513</v>
      </c>
      <c r="QQ289">
        <v>0</v>
      </c>
      <c r="QR289" t="s">
        <v>621</v>
      </c>
      <c r="QS289">
        <v>30</v>
      </c>
      <c r="QT289">
        <v>40</v>
      </c>
    </row>
    <row r="290" spans="1:462">
      <c r="A290" t="s">
        <v>3468</v>
      </c>
      <c r="B290" t="s">
        <v>559</v>
      </c>
      <c r="C290" t="s">
        <v>509</v>
      </c>
      <c r="D290" t="s">
        <v>2828</v>
      </c>
      <c r="E290" t="s">
        <v>4036</v>
      </c>
      <c r="H290" t="s">
        <v>604</v>
      </c>
      <c r="I290" t="s">
        <v>605</v>
      </c>
      <c r="J290" t="s">
        <v>628</v>
      </c>
      <c r="K290" t="s">
        <v>606</v>
      </c>
      <c r="L290" t="s">
        <v>564</v>
      </c>
      <c r="M290" t="s">
        <v>512</v>
      </c>
      <c r="O290" t="s">
        <v>513</v>
      </c>
      <c r="P290" t="s">
        <v>517</v>
      </c>
      <c r="Q290" t="s">
        <v>660</v>
      </c>
      <c r="R290" t="s">
        <v>661</v>
      </c>
      <c r="S290" t="s">
        <v>4037</v>
      </c>
      <c r="T290" t="s">
        <v>662</v>
      </c>
      <c r="U290" t="s">
        <v>663</v>
      </c>
      <c r="V290" t="s">
        <v>2372</v>
      </c>
      <c r="W290" t="s">
        <v>3058</v>
      </c>
      <c r="X290" t="s">
        <v>3469</v>
      </c>
      <c r="Y290" t="s">
        <v>3470</v>
      </c>
      <c r="Z290" t="s">
        <v>650</v>
      </c>
      <c r="AA290" t="s">
        <v>4038</v>
      </c>
      <c r="AB290" t="s">
        <v>5028</v>
      </c>
      <c r="AC290">
        <v>13</v>
      </c>
      <c r="AD290" t="s">
        <v>3467</v>
      </c>
      <c r="AE290">
        <v>6</v>
      </c>
      <c r="AF290">
        <v>4668</v>
      </c>
      <c r="AG290" t="s">
        <v>4814</v>
      </c>
      <c r="AH290">
        <v>1</v>
      </c>
      <c r="AI290" t="s">
        <v>4041</v>
      </c>
      <c r="AK290" t="s">
        <v>4815</v>
      </c>
      <c r="AL290">
        <v>1</v>
      </c>
      <c r="AM290" t="s">
        <v>582</v>
      </c>
      <c r="AO290" t="s">
        <v>4043</v>
      </c>
      <c r="AP290">
        <v>1</v>
      </c>
      <c r="AR290" t="s">
        <v>5029</v>
      </c>
      <c r="AS290">
        <v>1</v>
      </c>
      <c r="AT290">
        <v>51</v>
      </c>
      <c r="AV290" t="s">
        <v>4078</v>
      </c>
      <c r="AW290">
        <v>6.4</v>
      </c>
      <c r="AX290">
        <v>-6</v>
      </c>
      <c r="AY290">
        <v>98.5</v>
      </c>
      <c r="AZ290">
        <v>76</v>
      </c>
      <c r="BH290">
        <v>98.5</v>
      </c>
      <c r="BI290">
        <v>22.5</v>
      </c>
      <c r="BJ290">
        <v>76</v>
      </c>
      <c r="BK290">
        <v>3.5</v>
      </c>
      <c r="BL290">
        <v>197</v>
      </c>
      <c r="BM290">
        <v>-6</v>
      </c>
      <c r="BN290">
        <v>0</v>
      </c>
      <c r="BP290">
        <v>0</v>
      </c>
      <c r="BR290">
        <v>190</v>
      </c>
      <c r="BS290">
        <v>180</v>
      </c>
      <c r="BT290">
        <v>2055</v>
      </c>
      <c r="BU290" t="s">
        <v>4096</v>
      </c>
      <c r="BV290" t="s">
        <v>4096</v>
      </c>
      <c r="BW290" t="s">
        <v>4097</v>
      </c>
      <c r="BX290" t="s">
        <v>4097</v>
      </c>
      <c r="BY290" t="s">
        <v>4116</v>
      </c>
      <c r="BZ290" t="s">
        <v>4116</v>
      </c>
      <c r="CA290" t="s">
        <v>4118</v>
      </c>
      <c r="CB290" t="s">
        <v>4119</v>
      </c>
      <c r="CC290" t="s">
        <v>4053</v>
      </c>
      <c r="CD290" t="s">
        <v>4121</v>
      </c>
      <c r="CE290" t="s">
        <v>4055</v>
      </c>
      <c r="CF290" t="s">
        <v>4055</v>
      </c>
      <c r="CG290" t="s">
        <v>4056</v>
      </c>
      <c r="CI290" t="s">
        <v>4058</v>
      </c>
      <c r="CJ290" t="s">
        <v>4059</v>
      </c>
      <c r="CK290" t="s">
        <v>4060</v>
      </c>
      <c r="CL290" t="s">
        <v>4061</v>
      </c>
      <c r="CM290" t="s">
        <v>4062</v>
      </c>
      <c r="CN290" t="s">
        <v>4055</v>
      </c>
      <c r="CO290" t="s">
        <v>4063</v>
      </c>
      <c r="CP290" t="s">
        <v>4055</v>
      </c>
      <c r="CQ290" t="s">
        <v>4055</v>
      </c>
      <c r="CR290">
        <v>5</v>
      </c>
      <c r="CS290" t="s">
        <v>4055</v>
      </c>
      <c r="CT290" t="s">
        <v>4055</v>
      </c>
      <c r="CU290" t="s">
        <v>4055</v>
      </c>
      <c r="CV290">
        <v>124</v>
      </c>
      <c r="CW290">
        <v>3</v>
      </c>
      <c r="CX290">
        <v>105</v>
      </c>
      <c r="CY290">
        <v>5</v>
      </c>
      <c r="CZ290">
        <v>141</v>
      </c>
      <c r="DA290">
        <v>5</v>
      </c>
      <c r="DB290">
        <v>11850</v>
      </c>
      <c r="DC290">
        <v>350</v>
      </c>
      <c r="DD290">
        <v>327</v>
      </c>
      <c r="DE290">
        <v>2179</v>
      </c>
      <c r="DF290">
        <v>2179</v>
      </c>
      <c r="DG290">
        <v>2192</v>
      </c>
      <c r="DH290" t="s">
        <v>4055</v>
      </c>
      <c r="DI290" t="s">
        <v>4055</v>
      </c>
      <c r="DJ290" t="s">
        <v>4132</v>
      </c>
      <c r="DK290">
        <v>190</v>
      </c>
      <c r="DL290" t="s">
        <v>4065</v>
      </c>
      <c r="DM290">
        <v>63</v>
      </c>
      <c r="DN290">
        <v>1.1</v>
      </c>
      <c r="DO290">
        <v>1</v>
      </c>
      <c r="DP290">
        <v>2058</v>
      </c>
      <c r="DQ290">
        <v>846</v>
      </c>
      <c r="DR290" t="s">
        <v>4132</v>
      </c>
      <c r="DS290">
        <v>180</v>
      </c>
      <c r="DT290" t="s">
        <v>4065</v>
      </c>
      <c r="DU290">
        <v>63</v>
      </c>
      <c r="DV290">
        <v>1.1</v>
      </c>
      <c r="DW290">
        <v>1</v>
      </c>
      <c r="DX290">
        <v>2070</v>
      </c>
      <c r="DY290">
        <v>805</v>
      </c>
      <c r="DZ290" t="s">
        <v>4066</v>
      </c>
      <c r="EA290">
        <v>20</v>
      </c>
      <c r="EB290" t="s">
        <v>4065</v>
      </c>
      <c r="EC290">
        <v>0.8</v>
      </c>
      <c r="ED290">
        <v>2058</v>
      </c>
      <c r="EE290">
        <v>72</v>
      </c>
      <c r="EG290">
        <v>0</v>
      </c>
      <c r="EH290" t="s">
        <v>4065</v>
      </c>
      <c r="EI290">
        <v>0</v>
      </c>
      <c r="EL290" t="s">
        <v>1528</v>
      </c>
      <c r="EM290">
        <v>12</v>
      </c>
      <c r="EN290">
        <v>0.5</v>
      </c>
      <c r="EO290">
        <v>0.96</v>
      </c>
      <c r="EP290">
        <v>2068.83</v>
      </c>
      <c r="EQ290">
        <v>33780.11</v>
      </c>
      <c r="ER290">
        <v>7294.44</v>
      </c>
      <c r="ES290">
        <v>0</v>
      </c>
      <c r="ET290">
        <v>0</v>
      </c>
      <c r="EU290">
        <v>1</v>
      </c>
      <c r="EV290">
        <v>41075</v>
      </c>
      <c r="EW290">
        <v>493</v>
      </c>
      <c r="EX290" t="s">
        <v>4287</v>
      </c>
      <c r="EY290">
        <v>212</v>
      </c>
      <c r="EZ290" t="s">
        <v>4055</v>
      </c>
      <c r="FA290">
        <v>5.2</v>
      </c>
      <c r="FB290">
        <v>1</v>
      </c>
      <c r="FC290">
        <v>1</v>
      </c>
      <c r="FD290">
        <v>2105</v>
      </c>
      <c r="FE290">
        <v>2615</v>
      </c>
      <c r="FF290" t="s">
        <v>4288</v>
      </c>
      <c r="FG290">
        <v>212</v>
      </c>
      <c r="FH290" t="s">
        <v>4055</v>
      </c>
      <c r="FI290">
        <v>3.7</v>
      </c>
      <c r="FJ290">
        <v>2105</v>
      </c>
      <c r="FK290">
        <v>1901</v>
      </c>
      <c r="FL290" t="s">
        <v>4069</v>
      </c>
      <c r="FM290" t="s">
        <v>4055</v>
      </c>
      <c r="FN290" t="s">
        <v>4055</v>
      </c>
      <c r="FO290" t="s">
        <v>4055</v>
      </c>
      <c r="FP290">
        <v>2105</v>
      </c>
      <c r="FQ290">
        <v>225</v>
      </c>
      <c r="FR290" t="s">
        <v>4090</v>
      </c>
      <c r="FS290">
        <v>216</v>
      </c>
      <c r="FT290" t="s">
        <v>4055</v>
      </c>
      <c r="FU290">
        <v>0.4</v>
      </c>
      <c r="FV290">
        <v>2105</v>
      </c>
      <c r="FW290">
        <v>202</v>
      </c>
      <c r="FX290" t="s">
        <v>4070</v>
      </c>
      <c r="FY290">
        <v>5</v>
      </c>
      <c r="FZ290" t="s">
        <v>4055</v>
      </c>
      <c r="GA290" t="s">
        <v>4055</v>
      </c>
      <c r="GB290">
        <v>2105</v>
      </c>
      <c r="GC290">
        <v>23</v>
      </c>
      <c r="GD290">
        <v>4966</v>
      </c>
      <c r="GE290" t="s">
        <v>5029</v>
      </c>
      <c r="GF290" t="s">
        <v>4055</v>
      </c>
      <c r="GG290" t="s">
        <v>4055</v>
      </c>
      <c r="GH290" t="s">
        <v>4055</v>
      </c>
      <c r="GI290" t="s">
        <v>4071</v>
      </c>
      <c r="GJ290" t="s">
        <v>4055</v>
      </c>
      <c r="GK290" t="s">
        <v>4055</v>
      </c>
      <c r="GL290" t="s">
        <v>4055</v>
      </c>
      <c r="GM290" t="s">
        <v>4055</v>
      </c>
      <c r="GQ290">
        <v>0</v>
      </c>
      <c r="GV290">
        <v>9.300000000000001</v>
      </c>
      <c r="GW290">
        <v>11.5</v>
      </c>
      <c r="GX290">
        <v>0.5</v>
      </c>
      <c r="GY290">
        <v>180</v>
      </c>
      <c r="GZ290">
        <v>3</v>
      </c>
      <c r="HA290">
        <v>234</v>
      </c>
      <c r="HB290">
        <v>3</v>
      </c>
      <c r="HC290">
        <v>2105</v>
      </c>
      <c r="HD290">
        <v>4</v>
      </c>
      <c r="HE290" t="s">
        <v>4071</v>
      </c>
      <c r="HG290" t="s">
        <v>549</v>
      </c>
      <c r="HL290">
        <v>4</v>
      </c>
      <c r="HM290">
        <v>18</v>
      </c>
      <c r="HN290">
        <v>1</v>
      </c>
      <c r="HO290">
        <v>1</v>
      </c>
      <c r="HP290">
        <v>0</v>
      </c>
      <c r="HQ290">
        <v>0</v>
      </c>
      <c r="HR290">
        <v>3</v>
      </c>
      <c r="HS290">
        <v>2055</v>
      </c>
      <c r="HT290">
        <v>5</v>
      </c>
      <c r="HU290">
        <v>1</v>
      </c>
      <c r="HV290">
        <v>5</v>
      </c>
      <c r="HW290">
        <v>0</v>
      </c>
      <c r="HX290">
        <v>1</v>
      </c>
      <c r="HY290">
        <v>0</v>
      </c>
      <c r="HZ290">
        <v>63</v>
      </c>
      <c r="IA290">
        <v>2058</v>
      </c>
      <c r="IB290">
        <v>2070</v>
      </c>
      <c r="ID290">
        <v>2105</v>
      </c>
      <c r="IE290">
        <v>2105</v>
      </c>
      <c r="IF290">
        <v>190</v>
      </c>
      <c r="IG290">
        <v>180</v>
      </c>
      <c r="IH290">
        <v>234</v>
      </c>
      <c r="II290">
        <v>1</v>
      </c>
      <c r="IJ290">
        <v>5</v>
      </c>
      <c r="IK290">
        <v>0</v>
      </c>
      <c r="IL290">
        <v>0</v>
      </c>
      <c r="IM290">
        <v>0</v>
      </c>
      <c r="IN290">
        <v>270</v>
      </c>
      <c r="IO290">
        <v>0</v>
      </c>
      <c r="IP290">
        <v>180</v>
      </c>
      <c r="IQ290">
        <v>0</v>
      </c>
      <c r="IR290">
        <v>330</v>
      </c>
      <c r="IS290">
        <v>0</v>
      </c>
      <c r="IT290">
        <v>90</v>
      </c>
      <c r="IU290">
        <v>0</v>
      </c>
      <c r="IV290">
        <v>6.4</v>
      </c>
      <c r="IW290">
        <v>-6</v>
      </c>
      <c r="IX290">
        <v>98.5</v>
      </c>
      <c r="IY290">
        <v>76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378</v>
      </c>
      <c r="JJ290">
        <v>348</v>
      </c>
      <c r="JK290">
        <v>276</v>
      </c>
      <c r="JL290">
        <v>344</v>
      </c>
      <c r="JM290">
        <v>276</v>
      </c>
      <c r="JN290">
        <v>185</v>
      </c>
      <c r="JO290">
        <v>244</v>
      </c>
      <c r="JP290">
        <v>195</v>
      </c>
      <c r="JQ290">
        <v>242</v>
      </c>
      <c r="JR290">
        <v>328</v>
      </c>
      <c r="JS290">
        <v>242</v>
      </c>
      <c r="JT290">
        <v>0</v>
      </c>
      <c r="JU290">
        <v>0</v>
      </c>
      <c r="JV290">
        <v>328</v>
      </c>
      <c r="JW290">
        <v>334</v>
      </c>
      <c r="JX290">
        <v>325</v>
      </c>
      <c r="JY290">
        <v>290</v>
      </c>
      <c r="JZ290">
        <v>0.5</v>
      </c>
      <c r="KA290">
        <v>0.2</v>
      </c>
      <c r="KB290">
        <v>0.4</v>
      </c>
      <c r="KC290">
        <v>0.42</v>
      </c>
      <c r="KD290">
        <v>0.28</v>
      </c>
      <c r="KE290">
        <v>0.5</v>
      </c>
      <c r="KF290">
        <v>0.18</v>
      </c>
      <c r="KG290">
        <v>0.1</v>
      </c>
      <c r="KH290">
        <v>3.5</v>
      </c>
      <c r="KI290">
        <v>1</v>
      </c>
      <c r="KJ290">
        <v>4.5</v>
      </c>
      <c r="KK290">
        <v>0</v>
      </c>
      <c r="KL290">
        <v>4.5</v>
      </c>
      <c r="KM290">
        <v>0</v>
      </c>
      <c r="KN290">
        <v>1.8</v>
      </c>
      <c r="KO290">
        <v>0</v>
      </c>
      <c r="KP290">
        <v>0</v>
      </c>
      <c r="KQ290">
        <v>0.7</v>
      </c>
      <c r="KR290">
        <v>0.8</v>
      </c>
      <c r="KS290">
        <v>0</v>
      </c>
      <c r="KT290">
        <v>2.1</v>
      </c>
      <c r="KU290">
        <v>0</v>
      </c>
      <c r="KV290">
        <v>0</v>
      </c>
      <c r="KW290">
        <v>0.8</v>
      </c>
      <c r="KX290">
        <v>1.5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3</v>
      </c>
      <c r="LI290">
        <v>0.5</v>
      </c>
      <c r="LJ290">
        <v>0</v>
      </c>
      <c r="LK290">
        <v>7</v>
      </c>
      <c r="LL290">
        <v>4</v>
      </c>
      <c r="LM290">
        <v>9</v>
      </c>
      <c r="LN290">
        <v>0.1</v>
      </c>
      <c r="LO290">
        <v>3</v>
      </c>
      <c r="LP290">
        <v>0</v>
      </c>
      <c r="LQ290">
        <v>0</v>
      </c>
      <c r="LR290">
        <v>0</v>
      </c>
      <c r="LS290">
        <v>1</v>
      </c>
      <c r="LT290">
        <v>0</v>
      </c>
      <c r="LU290">
        <v>0</v>
      </c>
      <c r="LV290">
        <v>0</v>
      </c>
      <c r="LW290">
        <v>1.9</v>
      </c>
      <c r="LX290">
        <v>1.9</v>
      </c>
      <c r="LY290">
        <v>1.9</v>
      </c>
      <c r="LZ290">
        <v>1.9</v>
      </c>
      <c r="MA290">
        <v>0</v>
      </c>
      <c r="MB290">
        <v>4.5</v>
      </c>
      <c r="MC290">
        <v>1</v>
      </c>
      <c r="MD290">
        <v>4.5</v>
      </c>
      <c r="ME290">
        <v>6</v>
      </c>
      <c r="MF290">
        <v>6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390</v>
      </c>
      <c r="MN290">
        <v>185</v>
      </c>
      <c r="MO290">
        <v>244</v>
      </c>
      <c r="NU290">
        <v>0.15</v>
      </c>
      <c r="NV290">
        <v>0.2</v>
      </c>
      <c r="NW290">
        <v>0.2</v>
      </c>
      <c r="NX290">
        <v>0.2</v>
      </c>
      <c r="NY290">
        <v>0.2</v>
      </c>
      <c r="NZ290">
        <v>0.2</v>
      </c>
      <c r="OE290" t="s">
        <v>5029</v>
      </c>
      <c r="OF290" t="s">
        <v>4814</v>
      </c>
      <c r="OG290" t="s">
        <v>4815</v>
      </c>
      <c r="OH290" t="s">
        <v>4043</v>
      </c>
      <c r="OI290" t="s">
        <v>5029</v>
      </c>
      <c r="OJ290" t="s">
        <v>5028</v>
      </c>
      <c r="OK290">
        <v>61</v>
      </c>
      <c r="OL290">
        <v>61</v>
      </c>
      <c r="OM290" t="s">
        <v>4814</v>
      </c>
      <c r="ON290">
        <v>1</v>
      </c>
      <c r="OO290">
        <v>2058</v>
      </c>
      <c r="OP290">
        <v>61</v>
      </c>
      <c r="OQ290">
        <v>61</v>
      </c>
      <c r="OR290" t="s">
        <v>4815</v>
      </c>
      <c r="OS290">
        <v>1</v>
      </c>
      <c r="OT290">
        <v>2070</v>
      </c>
      <c r="OU290">
        <v>65</v>
      </c>
      <c r="OV290">
        <v>65</v>
      </c>
      <c r="OW290" t="s">
        <v>4043</v>
      </c>
      <c r="OX290">
        <v>1</v>
      </c>
      <c r="OY290">
        <v>41075</v>
      </c>
      <c r="OZ290">
        <v>51</v>
      </c>
      <c r="PA290">
        <v>51</v>
      </c>
      <c r="PB290" t="s">
        <v>5029</v>
      </c>
      <c r="PC290">
        <v>3</v>
      </c>
      <c r="PD290">
        <v>2105</v>
      </c>
      <c r="PF290">
        <v>411</v>
      </c>
      <c r="PG290">
        <v>35</v>
      </c>
      <c r="PH290">
        <v>389</v>
      </c>
      <c r="PI290">
        <v>0</v>
      </c>
      <c r="PJ290">
        <v>107</v>
      </c>
      <c r="PK290">
        <v>2368</v>
      </c>
      <c r="PL290">
        <v>1242.5</v>
      </c>
      <c r="PM290">
        <v>903.1</v>
      </c>
      <c r="PN290">
        <v>96.09999999999999</v>
      </c>
      <c r="PO290">
        <v>10.8</v>
      </c>
      <c r="PP290">
        <v>12</v>
      </c>
      <c r="PQ290">
        <v>3</v>
      </c>
      <c r="PR290">
        <v>3</v>
      </c>
      <c r="PS290">
        <v>0</v>
      </c>
      <c r="PT290">
        <v>234</v>
      </c>
      <c r="PU290">
        <v>11</v>
      </c>
      <c r="PV290" t="s">
        <v>4072</v>
      </c>
      <c r="PW290" t="s">
        <v>4072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-1</v>
      </c>
      <c r="QF290">
        <v>1</v>
      </c>
      <c r="QG290">
        <v>0</v>
      </c>
      <c r="QH290">
        <v>5</v>
      </c>
      <c r="QI290">
        <v>5</v>
      </c>
      <c r="QJ290">
        <v>5</v>
      </c>
      <c r="QK290">
        <v>184</v>
      </c>
      <c r="QL290">
        <v>412</v>
      </c>
      <c r="QM290">
        <v>7.5</v>
      </c>
      <c r="QN290">
        <v>1461.1</v>
      </c>
      <c r="QO290" t="s">
        <v>3054</v>
      </c>
      <c r="QP290" t="s">
        <v>513</v>
      </c>
      <c r="QQ290">
        <v>0</v>
      </c>
      <c r="QR290" t="s">
        <v>649</v>
      </c>
      <c r="QS290">
        <v>30</v>
      </c>
      <c r="QT290">
        <v>40</v>
      </c>
    </row>
    <row r="291" spans="1:462">
      <c r="A291" t="s">
        <v>3476</v>
      </c>
      <c r="B291" t="s">
        <v>508</v>
      </c>
      <c r="C291" t="s">
        <v>509</v>
      </c>
      <c r="D291" t="s">
        <v>3475</v>
      </c>
      <c r="E291" t="s">
        <v>4036</v>
      </c>
      <c r="H291" t="s">
        <v>1088</v>
      </c>
      <c r="J291" t="s">
        <v>562</v>
      </c>
      <c r="M291" t="s">
        <v>512</v>
      </c>
      <c r="N291" t="s">
        <v>515</v>
      </c>
      <c r="O291" t="s">
        <v>513</v>
      </c>
      <c r="P291" t="s">
        <v>567</v>
      </c>
      <c r="Q291" t="s">
        <v>518</v>
      </c>
      <c r="R291" t="s">
        <v>519</v>
      </c>
      <c r="S291" t="s">
        <v>4037</v>
      </c>
      <c r="T291" t="s">
        <v>520</v>
      </c>
      <c r="U291" t="s">
        <v>521</v>
      </c>
      <c r="V291" t="s">
        <v>1980</v>
      </c>
      <c r="W291" t="s">
        <v>3477</v>
      </c>
      <c r="X291" t="s">
        <v>3478</v>
      </c>
      <c r="Y291" t="s">
        <v>3479</v>
      </c>
      <c r="Z291" t="s">
        <v>541</v>
      </c>
      <c r="AA291" t="s">
        <v>4038</v>
      </c>
      <c r="AB291" t="s">
        <v>5030</v>
      </c>
      <c r="AC291">
        <v>9</v>
      </c>
      <c r="AD291" t="s">
        <v>3474</v>
      </c>
      <c r="AE291">
        <v>1</v>
      </c>
      <c r="AF291">
        <v>4060</v>
      </c>
      <c r="AG291" t="s">
        <v>4525</v>
      </c>
      <c r="AH291">
        <v>1</v>
      </c>
      <c r="AI291" t="s">
        <v>4041</v>
      </c>
      <c r="AK291" t="s">
        <v>4526</v>
      </c>
      <c r="AL291">
        <v>1</v>
      </c>
      <c r="AM291" t="s">
        <v>582</v>
      </c>
      <c r="AO291" t="s">
        <v>4426</v>
      </c>
      <c r="AP291">
        <v>1</v>
      </c>
      <c r="AR291" t="s">
        <v>5031</v>
      </c>
      <c r="AS291">
        <v>1</v>
      </c>
      <c r="AT291">
        <v>52</v>
      </c>
      <c r="AV291" t="s">
        <v>4078</v>
      </c>
      <c r="AW291">
        <v>6.4</v>
      </c>
      <c r="AX291">
        <v>-6</v>
      </c>
      <c r="AY291">
        <v>90.5</v>
      </c>
      <c r="AZ291">
        <v>55</v>
      </c>
      <c r="BH291">
        <v>90.5</v>
      </c>
      <c r="BI291">
        <v>35.5</v>
      </c>
      <c r="BJ291">
        <v>55</v>
      </c>
      <c r="BK291">
        <v>3</v>
      </c>
      <c r="BL291">
        <v>181</v>
      </c>
      <c r="BM291">
        <v>-6</v>
      </c>
      <c r="BN291">
        <v>0</v>
      </c>
      <c r="BP291">
        <v>0</v>
      </c>
      <c r="BR291">
        <v>175</v>
      </c>
      <c r="BS291">
        <v>165</v>
      </c>
      <c r="BT291">
        <v>1850</v>
      </c>
      <c r="BU291" t="s">
        <v>4046</v>
      </c>
      <c r="BV291" t="s">
        <v>4047</v>
      </c>
      <c r="BW291" t="s">
        <v>4048</v>
      </c>
      <c r="BX291" t="s">
        <v>4049</v>
      </c>
      <c r="BY291" t="s">
        <v>4144</v>
      </c>
      <c r="BZ291" t="s">
        <v>4144</v>
      </c>
      <c r="CA291" t="s">
        <v>4051</v>
      </c>
      <c r="CB291" t="s">
        <v>4052</v>
      </c>
      <c r="CC291" t="s">
        <v>4053</v>
      </c>
      <c r="CD291" t="s">
        <v>4054</v>
      </c>
      <c r="CE291" t="s">
        <v>4055</v>
      </c>
      <c r="CF291" t="s">
        <v>4055</v>
      </c>
      <c r="CG291" t="s">
        <v>4056</v>
      </c>
      <c r="CH291" t="s">
        <v>4057</v>
      </c>
      <c r="CI291" t="s">
        <v>4216</v>
      </c>
      <c r="CJ291" t="s">
        <v>4610</v>
      </c>
      <c r="CK291" t="s">
        <v>4611</v>
      </c>
      <c r="CL291" t="s">
        <v>4612</v>
      </c>
      <c r="CM291" t="s">
        <v>4055</v>
      </c>
      <c r="CN291" t="s">
        <v>4062</v>
      </c>
      <c r="CO291" t="s">
        <v>4063</v>
      </c>
      <c r="CP291" t="s">
        <v>4055</v>
      </c>
      <c r="CQ291" t="s">
        <v>4055</v>
      </c>
      <c r="CR291">
        <v>5</v>
      </c>
      <c r="CS291" t="s">
        <v>4055</v>
      </c>
      <c r="CT291">
        <v>15</v>
      </c>
      <c r="CU291" t="s">
        <v>4055</v>
      </c>
      <c r="CV291">
        <v>105</v>
      </c>
      <c r="CW291">
        <v>3</v>
      </c>
      <c r="CX291">
        <v>70</v>
      </c>
      <c r="CY291">
        <v>5</v>
      </c>
      <c r="CZ291">
        <v>65</v>
      </c>
      <c r="DA291">
        <v>5</v>
      </c>
      <c r="DB291">
        <v>9160</v>
      </c>
      <c r="DC291">
        <v>190</v>
      </c>
      <c r="DD291">
        <v>300</v>
      </c>
      <c r="DE291">
        <v>1952</v>
      </c>
      <c r="DF291">
        <v>1952</v>
      </c>
      <c r="DG291">
        <v>1962</v>
      </c>
      <c r="DH291">
        <v>0</v>
      </c>
      <c r="DI291" t="s">
        <v>4055</v>
      </c>
      <c r="DJ291" t="s">
        <v>4100</v>
      </c>
      <c r="DK291">
        <v>175</v>
      </c>
      <c r="DL291" t="s">
        <v>4065</v>
      </c>
      <c r="DM291">
        <v>63</v>
      </c>
      <c r="DN291">
        <v>0.84</v>
      </c>
      <c r="DO291">
        <v>1</v>
      </c>
      <c r="DP291">
        <v>1853</v>
      </c>
      <c r="DQ291">
        <v>593</v>
      </c>
      <c r="DR291" t="s">
        <v>4100</v>
      </c>
      <c r="DS291">
        <v>165</v>
      </c>
      <c r="DT291" t="s">
        <v>4065</v>
      </c>
      <c r="DU291">
        <v>63</v>
      </c>
      <c r="DV291">
        <v>0.84</v>
      </c>
      <c r="DW291">
        <v>1</v>
      </c>
      <c r="DX291">
        <v>1860</v>
      </c>
      <c r="DY291">
        <v>562</v>
      </c>
      <c r="DZ291" t="s">
        <v>4066</v>
      </c>
      <c r="EA291">
        <v>33</v>
      </c>
      <c r="EB291" t="s">
        <v>4065</v>
      </c>
      <c r="EC291">
        <v>0.4</v>
      </c>
      <c r="ED291">
        <v>1853</v>
      </c>
      <c r="EE291">
        <v>54</v>
      </c>
      <c r="EF291" t="s">
        <v>4066</v>
      </c>
      <c r="EG291">
        <v>33</v>
      </c>
      <c r="EH291" t="s">
        <v>4065</v>
      </c>
      <c r="EI291">
        <v>0.4</v>
      </c>
      <c r="EJ291">
        <v>1860</v>
      </c>
      <c r="EK291">
        <v>54</v>
      </c>
      <c r="EL291" t="s">
        <v>4429</v>
      </c>
      <c r="EM291">
        <v>12</v>
      </c>
      <c r="EN291">
        <v>0.5</v>
      </c>
      <c r="EO291">
        <v>0.9</v>
      </c>
      <c r="EP291">
        <v>1860.56</v>
      </c>
      <c r="EQ291">
        <v>28053.76</v>
      </c>
      <c r="ER291">
        <v>10351.66</v>
      </c>
      <c r="ES291">
        <v>0</v>
      </c>
      <c r="ET291">
        <v>0</v>
      </c>
      <c r="EU291">
        <v>1</v>
      </c>
      <c r="EV291">
        <v>38406</v>
      </c>
      <c r="EW291">
        <v>461</v>
      </c>
      <c r="EX291" t="s">
        <v>4088</v>
      </c>
      <c r="EY291">
        <v>192</v>
      </c>
      <c r="EZ291" t="s">
        <v>4055</v>
      </c>
      <c r="FA291">
        <v>6.3</v>
      </c>
      <c r="FB291">
        <v>1</v>
      </c>
      <c r="FC291">
        <v>1</v>
      </c>
      <c r="FD291">
        <v>1891</v>
      </c>
      <c r="FE291">
        <v>2694</v>
      </c>
      <c r="FF291" t="s">
        <v>4089</v>
      </c>
      <c r="FG291">
        <v>192</v>
      </c>
      <c r="FH291" t="s">
        <v>4055</v>
      </c>
      <c r="FI291">
        <v>1.1</v>
      </c>
      <c r="FJ291">
        <v>1891</v>
      </c>
      <c r="FK291">
        <v>395</v>
      </c>
      <c r="FL291" t="s">
        <v>4069</v>
      </c>
      <c r="FM291" t="s">
        <v>4055</v>
      </c>
      <c r="FN291" t="s">
        <v>4055</v>
      </c>
      <c r="FO291" t="s">
        <v>4055</v>
      </c>
      <c r="FP291">
        <v>1891</v>
      </c>
      <c r="FQ291">
        <v>101</v>
      </c>
      <c r="FR291" t="s">
        <v>4090</v>
      </c>
      <c r="FS291">
        <v>196</v>
      </c>
      <c r="FT291" t="s">
        <v>4055</v>
      </c>
      <c r="FU291">
        <v>0.4</v>
      </c>
      <c r="FV291">
        <v>1891</v>
      </c>
      <c r="FW291">
        <v>165</v>
      </c>
      <c r="FX291" t="s">
        <v>4070</v>
      </c>
      <c r="FY291">
        <v>5</v>
      </c>
      <c r="FZ291" t="s">
        <v>4055</v>
      </c>
      <c r="GA291" t="s">
        <v>4055</v>
      </c>
      <c r="GB291">
        <v>1891</v>
      </c>
      <c r="GC291">
        <v>17</v>
      </c>
      <c r="GD291">
        <v>3372</v>
      </c>
      <c r="GE291" t="s">
        <v>5031</v>
      </c>
      <c r="GF291" t="s">
        <v>4055</v>
      </c>
      <c r="GG291" t="s">
        <v>4055</v>
      </c>
      <c r="GH291" t="s">
        <v>4055</v>
      </c>
      <c r="GI291" t="s">
        <v>4071</v>
      </c>
      <c r="GJ291" t="s">
        <v>4055</v>
      </c>
      <c r="GK291" t="s">
        <v>4055</v>
      </c>
      <c r="GL291" t="s">
        <v>4055</v>
      </c>
      <c r="GM291" t="s">
        <v>4055</v>
      </c>
      <c r="GQ291">
        <v>0</v>
      </c>
      <c r="GV291">
        <v>7.8</v>
      </c>
      <c r="GW291">
        <v>8.5</v>
      </c>
      <c r="GX291">
        <v>0.5</v>
      </c>
      <c r="GY291">
        <v>162</v>
      </c>
      <c r="GZ291">
        <v>3</v>
      </c>
      <c r="HA291">
        <v>210</v>
      </c>
      <c r="HB291">
        <v>3</v>
      </c>
      <c r="HC291">
        <v>1891</v>
      </c>
      <c r="HD291">
        <v>4</v>
      </c>
      <c r="HE291" t="s">
        <v>4071</v>
      </c>
      <c r="HG291" t="s">
        <v>549</v>
      </c>
      <c r="HL291">
        <v>4</v>
      </c>
      <c r="HM291">
        <v>16</v>
      </c>
      <c r="HN291">
        <v>6</v>
      </c>
      <c r="HO291">
        <v>1</v>
      </c>
      <c r="HP291">
        <v>0</v>
      </c>
      <c r="HQ291">
        <v>2</v>
      </c>
      <c r="HR291">
        <v>1</v>
      </c>
      <c r="HS291">
        <v>1850</v>
      </c>
      <c r="HT291">
        <v>5</v>
      </c>
      <c r="HU291">
        <v>1</v>
      </c>
      <c r="HV291">
        <v>5</v>
      </c>
      <c r="HW291">
        <v>0</v>
      </c>
      <c r="HX291">
        <v>1</v>
      </c>
      <c r="HY291">
        <v>0</v>
      </c>
      <c r="HZ291">
        <v>63</v>
      </c>
      <c r="IA291">
        <v>1853</v>
      </c>
      <c r="IB291">
        <v>1860</v>
      </c>
      <c r="ID291">
        <v>1891</v>
      </c>
      <c r="IE291">
        <v>1891</v>
      </c>
      <c r="IF291">
        <v>175</v>
      </c>
      <c r="IG291">
        <v>165</v>
      </c>
      <c r="IH291">
        <v>210</v>
      </c>
      <c r="II291">
        <v>1</v>
      </c>
      <c r="IJ291">
        <v>5</v>
      </c>
      <c r="IK291">
        <v>0</v>
      </c>
      <c r="IL291">
        <v>1</v>
      </c>
      <c r="IM291">
        <v>0</v>
      </c>
      <c r="IN291">
        <v>270</v>
      </c>
      <c r="IO291">
        <v>0</v>
      </c>
      <c r="IP291">
        <v>180</v>
      </c>
      <c r="IQ291">
        <v>0</v>
      </c>
      <c r="IR291">
        <v>325</v>
      </c>
      <c r="IS291">
        <v>0</v>
      </c>
      <c r="IT291">
        <v>90</v>
      </c>
      <c r="IU291">
        <v>0</v>
      </c>
      <c r="IV291">
        <v>6.4</v>
      </c>
      <c r="IW291">
        <v>-6</v>
      </c>
      <c r="IX291">
        <v>90.5</v>
      </c>
      <c r="IY291">
        <v>55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352</v>
      </c>
      <c r="JJ291">
        <v>322</v>
      </c>
      <c r="JK291">
        <v>250</v>
      </c>
      <c r="JL291">
        <v>322</v>
      </c>
      <c r="JM291">
        <v>250</v>
      </c>
      <c r="JN291">
        <v>170</v>
      </c>
      <c r="JO291">
        <v>222</v>
      </c>
      <c r="JP291">
        <v>190</v>
      </c>
      <c r="JQ291">
        <v>225</v>
      </c>
      <c r="JR291">
        <v>336</v>
      </c>
      <c r="JS291">
        <v>270</v>
      </c>
      <c r="JT291">
        <v>0</v>
      </c>
      <c r="JU291">
        <v>0</v>
      </c>
      <c r="JV291">
        <v>305</v>
      </c>
      <c r="JW291">
        <v>307</v>
      </c>
      <c r="JX291">
        <v>0</v>
      </c>
      <c r="JY291">
        <v>0</v>
      </c>
      <c r="JZ291">
        <v>0</v>
      </c>
      <c r="KA291">
        <v>0.2</v>
      </c>
      <c r="KB291">
        <v>0.4</v>
      </c>
      <c r="KC291">
        <v>0.42</v>
      </c>
      <c r="KD291">
        <v>0.28</v>
      </c>
      <c r="KE291">
        <v>0.5</v>
      </c>
      <c r="KF291">
        <v>0.2</v>
      </c>
      <c r="KG291">
        <v>0.1</v>
      </c>
      <c r="KH291">
        <v>3.5</v>
      </c>
      <c r="KI291">
        <v>1</v>
      </c>
      <c r="KJ291">
        <v>4.5</v>
      </c>
      <c r="KK291">
        <v>0</v>
      </c>
      <c r="KL291">
        <v>4.5</v>
      </c>
      <c r="KM291">
        <v>1</v>
      </c>
      <c r="KN291">
        <v>1.2</v>
      </c>
      <c r="KO291">
        <v>0</v>
      </c>
      <c r="KP291">
        <v>0</v>
      </c>
      <c r="KQ291">
        <v>1</v>
      </c>
      <c r="KR291">
        <v>1.5</v>
      </c>
      <c r="KS291">
        <v>0</v>
      </c>
      <c r="KT291">
        <v>1.8</v>
      </c>
      <c r="KU291">
        <v>0</v>
      </c>
      <c r="KV291">
        <v>0</v>
      </c>
      <c r="KW291">
        <v>1.2</v>
      </c>
      <c r="KX291">
        <v>2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3</v>
      </c>
      <c r="LI291">
        <v>0</v>
      </c>
      <c r="LJ291">
        <v>0</v>
      </c>
      <c r="LK291">
        <v>3</v>
      </c>
      <c r="LL291">
        <v>4</v>
      </c>
      <c r="LM291">
        <v>4</v>
      </c>
      <c r="LN291">
        <v>1</v>
      </c>
      <c r="LO291">
        <v>0.5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1.4</v>
      </c>
      <c r="LX291">
        <v>1.4</v>
      </c>
      <c r="LY291">
        <v>2.1</v>
      </c>
      <c r="LZ291">
        <v>2.1</v>
      </c>
      <c r="MA291">
        <v>0</v>
      </c>
      <c r="MB291">
        <v>0</v>
      </c>
      <c r="MC291">
        <v>0</v>
      </c>
      <c r="MD291">
        <v>4.5</v>
      </c>
      <c r="ME291">
        <v>6</v>
      </c>
      <c r="MF291">
        <v>6</v>
      </c>
      <c r="MN291">
        <v>170</v>
      </c>
      <c r="MO291">
        <v>220</v>
      </c>
      <c r="NU291">
        <v>0.15</v>
      </c>
      <c r="NV291">
        <v>0.2</v>
      </c>
      <c r="NW291">
        <v>0.2</v>
      </c>
      <c r="NX291">
        <v>0.2</v>
      </c>
      <c r="NY291">
        <v>0.2</v>
      </c>
      <c r="NZ291">
        <v>0.2</v>
      </c>
      <c r="OE291" t="s">
        <v>5031</v>
      </c>
      <c r="OF291" t="s">
        <v>4525</v>
      </c>
      <c r="OG291" t="s">
        <v>4526</v>
      </c>
      <c r="OH291" t="s">
        <v>4426</v>
      </c>
      <c r="OI291" t="s">
        <v>5031</v>
      </c>
      <c r="OJ291" t="s">
        <v>5030</v>
      </c>
      <c r="OK291">
        <v>61</v>
      </c>
      <c r="OL291">
        <v>61</v>
      </c>
      <c r="OM291" t="s">
        <v>4525</v>
      </c>
      <c r="ON291">
        <v>1</v>
      </c>
      <c r="OO291">
        <v>1853</v>
      </c>
      <c r="OP291">
        <v>61</v>
      </c>
      <c r="OQ291">
        <v>61</v>
      </c>
      <c r="OR291" t="s">
        <v>4526</v>
      </c>
      <c r="OS291">
        <v>1</v>
      </c>
      <c r="OT291">
        <v>1860</v>
      </c>
      <c r="OU291">
        <v>65</v>
      </c>
      <c r="OV291">
        <v>65</v>
      </c>
      <c r="OW291" t="s">
        <v>4426</v>
      </c>
      <c r="OX291">
        <v>1</v>
      </c>
      <c r="OY291">
        <v>38406</v>
      </c>
      <c r="OZ291">
        <v>51</v>
      </c>
      <c r="PA291">
        <v>52</v>
      </c>
      <c r="PB291" t="s">
        <v>5031</v>
      </c>
      <c r="PC291">
        <v>1</v>
      </c>
      <c r="PD291">
        <v>1891</v>
      </c>
      <c r="PF291">
        <v>320</v>
      </c>
      <c r="PG291">
        <v>29</v>
      </c>
      <c r="PH291">
        <v>302</v>
      </c>
      <c r="PI291">
        <v>29</v>
      </c>
      <c r="PJ291">
        <v>53.2</v>
      </c>
      <c r="PL291">
        <v>1424.9</v>
      </c>
      <c r="PM291">
        <v>208.7</v>
      </c>
      <c r="PN291">
        <v>87.09999999999999</v>
      </c>
      <c r="PO291">
        <v>9.1</v>
      </c>
      <c r="PP291">
        <v>12</v>
      </c>
      <c r="PQ291">
        <v>2</v>
      </c>
      <c r="PR291">
        <v>1</v>
      </c>
      <c r="PS291">
        <v>7</v>
      </c>
      <c r="PT291">
        <v>210</v>
      </c>
      <c r="PU291">
        <v>9</v>
      </c>
      <c r="PV291" t="s">
        <v>4882</v>
      </c>
      <c r="PW291" t="s">
        <v>4882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-1</v>
      </c>
      <c r="QF291">
        <v>1</v>
      </c>
      <c r="QG291">
        <v>0</v>
      </c>
      <c r="QH291">
        <v>5</v>
      </c>
      <c r="QI291">
        <v>5</v>
      </c>
      <c r="QJ291">
        <v>5</v>
      </c>
      <c r="QK291">
        <v>191</v>
      </c>
      <c r="QL291">
        <v>382</v>
      </c>
      <c r="QM291">
        <v>7.5</v>
      </c>
      <c r="QN291">
        <v>1282.5</v>
      </c>
      <c r="QO291" t="s">
        <v>3483</v>
      </c>
      <c r="QP291" t="s">
        <v>513</v>
      </c>
      <c r="QQ291">
        <v>0</v>
      </c>
      <c r="QR291" t="s">
        <v>1343</v>
      </c>
    </row>
    <row r="292" spans="1:462">
      <c r="A292" t="s">
        <v>3485</v>
      </c>
      <c r="B292" t="s">
        <v>508</v>
      </c>
      <c r="C292" t="s">
        <v>509</v>
      </c>
      <c r="D292" t="s">
        <v>2056</v>
      </c>
      <c r="E292" t="s">
        <v>4036</v>
      </c>
      <c r="H292" t="s">
        <v>1115</v>
      </c>
      <c r="J292" t="s">
        <v>562</v>
      </c>
      <c r="K292" t="s">
        <v>563</v>
      </c>
      <c r="M292" t="s">
        <v>512</v>
      </c>
      <c r="N292" t="s">
        <v>515</v>
      </c>
      <c r="O292" t="s">
        <v>513</v>
      </c>
      <c r="P292" t="s">
        <v>567</v>
      </c>
      <c r="Q292" t="s">
        <v>899</v>
      </c>
      <c r="R292" t="s">
        <v>743</v>
      </c>
      <c r="S292" t="s">
        <v>4134</v>
      </c>
      <c r="T292" t="s">
        <v>662</v>
      </c>
      <c r="U292" t="s">
        <v>663</v>
      </c>
      <c r="V292" t="s">
        <v>900</v>
      </c>
      <c r="W292" t="s">
        <v>573</v>
      </c>
      <c r="X292" t="s">
        <v>3486</v>
      </c>
      <c r="Y292" t="s">
        <v>3487</v>
      </c>
      <c r="Z292" t="s">
        <v>650</v>
      </c>
      <c r="AA292" t="s">
        <v>4038</v>
      </c>
      <c r="AB292" t="s">
        <v>5032</v>
      </c>
      <c r="AC292">
        <v>9</v>
      </c>
      <c r="AD292" t="s">
        <v>3484</v>
      </c>
      <c r="AE292">
        <v>1</v>
      </c>
      <c r="AF292">
        <v>3733</v>
      </c>
      <c r="AG292" t="s">
        <v>4147</v>
      </c>
      <c r="AH292">
        <v>1</v>
      </c>
      <c r="AI292" t="s">
        <v>4041</v>
      </c>
      <c r="AK292" t="s">
        <v>4148</v>
      </c>
      <c r="AL292">
        <v>1</v>
      </c>
      <c r="AM292" t="s">
        <v>582</v>
      </c>
      <c r="AO292" t="s">
        <v>4043</v>
      </c>
      <c r="AP292">
        <v>1</v>
      </c>
      <c r="AR292" t="s">
        <v>5033</v>
      </c>
      <c r="AS292">
        <v>1</v>
      </c>
      <c r="AT292">
        <v>51</v>
      </c>
      <c r="AV292" t="s">
        <v>4078</v>
      </c>
      <c r="AW292">
        <v>6.4</v>
      </c>
      <c r="AX292">
        <v>-6</v>
      </c>
      <c r="AY292">
        <v>102.5</v>
      </c>
      <c r="AZ292">
        <v>70</v>
      </c>
      <c r="BH292">
        <v>102.5</v>
      </c>
      <c r="BI292">
        <v>32.5</v>
      </c>
      <c r="BJ292">
        <v>70</v>
      </c>
      <c r="BK292">
        <v>2.5</v>
      </c>
      <c r="BL292">
        <v>205</v>
      </c>
      <c r="BM292">
        <v>-6</v>
      </c>
      <c r="BN292">
        <v>0</v>
      </c>
      <c r="BP292">
        <v>0</v>
      </c>
      <c r="BR292">
        <v>200</v>
      </c>
      <c r="BS292">
        <v>190</v>
      </c>
      <c r="BT292">
        <v>1925</v>
      </c>
      <c r="BU292" t="s">
        <v>4047</v>
      </c>
      <c r="BV292" t="s">
        <v>4047</v>
      </c>
      <c r="BW292" t="s">
        <v>4049</v>
      </c>
      <c r="BX292" t="s">
        <v>4049</v>
      </c>
      <c r="BY292" t="s">
        <v>4192</v>
      </c>
      <c r="BZ292" t="s">
        <v>4192</v>
      </c>
      <c r="CA292" t="s">
        <v>4118</v>
      </c>
      <c r="CB292" t="s">
        <v>4119</v>
      </c>
      <c r="CC292" t="s">
        <v>4053</v>
      </c>
      <c r="CD292" t="s">
        <v>4121</v>
      </c>
      <c r="CE292" t="s">
        <v>4055</v>
      </c>
      <c r="CF292" t="s">
        <v>4055</v>
      </c>
      <c r="CG292" t="s">
        <v>4056</v>
      </c>
      <c r="CH292" t="s">
        <v>4057</v>
      </c>
      <c r="CI292" t="s">
        <v>4058</v>
      </c>
      <c r="CJ292" t="s">
        <v>4059</v>
      </c>
      <c r="CK292" t="s">
        <v>4060</v>
      </c>
      <c r="CL292" t="s">
        <v>4061</v>
      </c>
      <c r="CM292" t="s">
        <v>4062</v>
      </c>
      <c r="CN292" t="s">
        <v>4055</v>
      </c>
      <c r="CO292" t="s">
        <v>4063</v>
      </c>
      <c r="CP292" t="s">
        <v>4055</v>
      </c>
      <c r="CQ292" t="s">
        <v>4055</v>
      </c>
      <c r="CR292">
        <v>5</v>
      </c>
      <c r="CS292" t="s">
        <v>4055</v>
      </c>
      <c r="CT292" t="s">
        <v>4055</v>
      </c>
      <c r="CU292" t="s">
        <v>4055</v>
      </c>
      <c r="CV292">
        <v>125</v>
      </c>
      <c r="CW292">
        <v>3</v>
      </c>
      <c r="CX292">
        <v>107</v>
      </c>
      <c r="CY292">
        <v>5</v>
      </c>
      <c r="CZ292">
        <v>134</v>
      </c>
      <c r="DA292">
        <v>5</v>
      </c>
      <c r="DB292">
        <v>9080</v>
      </c>
      <c r="DC292">
        <v>270</v>
      </c>
      <c r="DD292">
        <v>285</v>
      </c>
      <c r="DE292">
        <v>2035</v>
      </c>
      <c r="DF292">
        <v>2035</v>
      </c>
      <c r="DG292">
        <v>2044</v>
      </c>
      <c r="DH292" t="s">
        <v>4055</v>
      </c>
      <c r="DI292" t="s">
        <v>4055</v>
      </c>
      <c r="DJ292" t="s">
        <v>4100</v>
      </c>
      <c r="DK292">
        <v>200</v>
      </c>
      <c r="DL292" t="s">
        <v>4101</v>
      </c>
      <c r="DM292">
        <v>65</v>
      </c>
      <c r="DN292">
        <v>0.84</v>
      </c>
      <c r="DO292">
        <v>1</v>
      </c>
      <c r="DP292">
        <v>1928</v>
      </c>
      <c r="DQ292">
        <v>706</v>
      </c>
      <c r="DR292" t="s">
        <v>4100</v>
      </c>
      <c r="DS292">
        <v>190</v>
      </c>
      <c r="DT292" t="s">
        <v>4101</v>
      </c>
      <c r="DU292">
        <v>65</v>
      </c>
      <c r="DV292">
        <v>0.84</v>
      </c>
      <c r="DW292">
        <v>1</v>
      </c>
      <c r="DX292">
        <v>1935</v>
      </c>
      <c r="DY292">
        <v>671</v>
      </c>
      <c r="DZ292" t="s">
        <v>4066</v>
      </c>
      <c r="EA292">
        <v>33</v>
      </c>
      <c r="EB292" t="s">
        <v>4065</v>
      </c>
      <c r="EC292">
        <v>0.4</v>
      </c>
      <c r="ED292">
        <v>1928</v>
      </c>
      <c r="EE292">
        <v>56</v>
      </c>
      <c r="EF292" t="s">
        <v>4066</v>
      </c>
      <c r="EG292">
        <v>33</v>
      </c>
      <c r="EH292" t="s">
        <v>4065</v>
      </c>
      <c r="EI292">
        <v>0.4</v>
      </c>
      <c r="EJ292">
        <v>1935</v>
      </c>
      <c r="EK292">
        <v>56</v>
      </c>
      <c r="EL292" t="s">
        <v>1528</v>
      </c>
      <c r="EM292">
        <v>12</v>
      </c>
      <c r="EN292">
        <v>0.5</v>
      </c>
      <c r="EO292">
        <v>0.96</v>
      </c>
      <c r="EP292">
        <v>1935.56</v>
      </c>
      <c r="EQ292">
        <v>32813.79</v>
      </c>
      <c r="ER292">
        <v>9859.65</v>
      </c>
      <c r="ES292">
        <v>0</v>
      </c>
      <c r="ET292">
        <v>0</v>
      </c>
      <c r="EU292">
        <v>1</v>
      </c>
      <c r="EV292">
        <v>42674</v>
      </c>
      <c r="EW292">
        <v>513</v>
      </c>
      <c r="EX292" t="s">
        <v>4088</v>
      </c>
      <c r="EY292">
        <v>222</v>
      </c>
      <c r="EZ292" t="s">
        <v>4055</v>
      </c>
      <c r="FA292">
        <v>5.7</v>
      </c>
      <c r="FB292">
        <v>1</v>
      </c>
      <c r="FC292">
        <v>1</v>
      </c>
      <c r="FD292">
        <v>1966</v>
      </c>
      <c r="FE292">
        <v>2388</v>
      </c>
      <c r="FF292" t="s">
        <v>4089</v>
      </c>
      <c r="FG292">
        <v>222</v>
      </c>
      <c r="FH292" t="s">
        <v>4055</v>
      </c>
      <c r="FI292">
        <v>1.4</v>
      </c>
      <c r="FJ292">
        <v>1966</v>
      </c>
      <c r="FK292">
        <v>613</v>
      </c>
      <c r="FL292" t="s">
        <v>4069</v>
      </c>
      <c r="FM292" t="s">
        <v>4055</v>
      </c>
      <c r="FN292" t="s">
        <v>4055</v>
      </c>
      <c r="FO292" t="s">
        <v>4055</v>
      </c>
      <c r="FP292">
        <v>1966</v>
      </c>
      <c r="FQ292">
        <v>130</v>
      </c>
      <c r="FR292" t="s">
        <v>4090</v>
      </c>
      <c r="FS292">
        <v>226</v>
      </c>
      <c r="FT292" t="s">
        <v>4055</v>
      </c>
      <c r="FU292">
        <v>0.4</v>
      </c>
      <c r="FV292">
        <v>1966</v>
      </c>
      <c r="FW292">
        <v>198</v>
      </c>
      <c r="FX292" t="s">
        <v>4070</v>
      </c>
      <c r="FY292">
        <v>5</v>
      </c>
      <c r="FZ292" t="s">
        <v>4055</v>
      </c>
      <c r="GA292" t="s">
        <v>4055</v>
      </c>
      <c r="GB292">
        <v>1966</v>
      </c>
      <c r="GC292">
        <v>15</v>
      </c>
      <c r="GD292">
        <v>3344</v>
      </c>
      <c r="GE292" t="s">
        <v>5033</v>
      </c>
      <c r="GF292" t="s">
        <v>4055</v>
      </c>
      <c r="GG292" t="s">
        <v>4055</v>
      </c>
      <c r="GH292" t="s">
        <v>4055</v>
      </c>
      <c r="GI292" t="s">
        <v>4071</v>
      </c>
      <c r="GJ292" t="s">
        <v>4055</v>
      </c>
      <c r="GK292" t="s">
        <v>4055</v>
      </c>
      <c r="GL292" t="s">
        <v>4055</v>
      </c>
      <c r="GM292" t="s">
        <v>4055</v>
      </c>
      <c r="GQ292">
        <v>0</v>
      </c>
      <c r="GV292">
        <v>7.5</v>
      </c>
      <c r="GW292">
        <v>7.3</v>
      </c>
      <c r="GX292">
        <v>0.5</v>
      </c>
      <c r="GY292">
        <v>180</v>
      </c>
      <c r="GZ292">
        <v>3</v>
      </c>
      <c r="HA292">
        <v>242</v>
      </c>
      <c r="HB292">
        <v>3</v>
      </c>
      <c r="HC292">
        <v>1966</v>
      </c>
      <c r="HD292">
        <v>4</v>
      </c>
      <c r="HE292" t="s">
        <v>4071</v>
      </c>
      <c r="HG292" t="s">
        <v>549</v>
      </c>
      <c r="HL292">
        <v>4</v>
      </c>
      <c r="HM292">
        <v>18</v>
      </c>
      <c r="HN292">
        <v>1</v>
      </c>
      <c r="HO292">
        <v>1</v>
      </c>
      <c r="HP292">
        <v>0</v>
      </c>
      <c r="HQ292">
        <v>0</v>
      </c>
      <c r="HR292">
        <v>3</v>
      </c>
      <c r="HS292">
        <v>1925</v>
      </c>
      <c r="HT292">
        <v>5</v>
      </c>
      <c r="HU292">
        <v>1</v>
      </c>
      <c r="HV292">
        <v>3</v>
      </c>
      <c r="HW292">
        <v>0</v>
      </c>
      <c r="HX292">
        <v>1</v>
      </c>
      <c r="HY292">
        <v>0</v>
      </c>
      <c r="HZ292">
        <v>65</v>
      </c>
      <c r="IA292">
        <v>1928</v>
      </c>
      <c r="IB292">
        <v>1935</v>
      </c>
      <c r="ID292">
        <v>1966</v>
      </c>
      <c r="IE292">
        <v>1966</v>
      </c>
      <c r="IF292">
        <v>200</v>
      </c>
      <c r="IG292">
        <v>190</v>
      </c>
      <c r="IH292">
        <v>242</v>
      </c>
      <c r="II292">
        <v>1</v>
      </c>
      <c r="IJ292">
        <v>10</v>
      </c>
      <c r="IK292">
        <v>0</v>
      </c>
      <c r="IL292">
        <v>0</v>
      </c>
      <c r="IM292">
        <v>0</v>
      </c>
      <c r="IN292">
        <v>270</v>
      </c>
      <c r="IO292">
        <v>0</v>
      </c>
      <c r="IP292">
        <v>180</v>
      </c>
      <c r="IQ292">
        <v>0</v>
      </c>
      <c r="IR292">
        <v>330</v>
      </c>
      <c r="IS292">
        <v>0</v>
      </c>
      <c r="IT292">
        <v>90</v>
      </c>
      <c r="IU292">
        <v>0</v>
      </c>
      <c r="IV292">
        <v>6.4</v>
      </c>
      <c r="IW292">
        <v>-6</v>
      </c>
      <c r="IX292">
        <v>102.5</v>
      </c>
      <c r="IY292">
        <v>70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338</v>
      </c>
      <c r="JJ292">
        <v>310</v>
      </c>
      <c r="JK292">
        <v>230</v>
      </c>
      <c r="JL292">
        <v>310</v>
      </c>
      <c r="JM292">
        <v>230</v>
      </c>
      <c r="JN292">
        <v>210</v>
      </c>
      <c r="JO292">
        <v>250</v>
      </c>
      <c r="JP292">
        <v>215</v>
      </c>
      <c r="JQ292">
        <v>255</v>
      </c>
      <c r="JR292">
        <v>320</v>
      </c>
      <c r="JS292">
        <v>286</v>
      </c>
      <c r="JT292">
        <v>0</v>
      </c>
      <c r="JU292">
        <v>0</v>
      </c>
      <c r="JV292">
        <v>320</v>
      </c>
      <c r="JW292">
        <v>320</v>
      </c>
      <c r="JX292">
        <v>315</v>
      </c>
      <c r="JY292">
        <v>300</v>
      </c>
      <c r="JZ292">
        <v>1</v>
      </c>
      <c r="KA292">
        <v>0.2</v>
      </c>
      <c r="KB292">
        <v>0.42</v>
      </c>
      <c r="KC292">
        <v>0.44</v>
      </c>
      <c r="KD292">
        <v>0.28</v>
      </c>
      <c r="KE292">
        <v>0.5</v>
      </c>
      <c r="KF292">
        <v>0.23</v>
      </c>
      <c r="KG292">
        <v>0.1</v>
      </c>
      <c r="KH292">
        <v>3.5</v>
      </c>
      <c r="KI292">
        <v>1</v>
      </c>
      <c r="KJ292">
        <v>5</v>
      </c>
      <c r="KK292">
        <v>0</v>
      </c>
      <c r="KL292">
        <v>5</v>
      </c>
      <c r="KM292">
        <v>1.5</v>
      </c>
      <c r="KN292">
        <v>1.5</v>
      </c>
      <c r="KO292">
        <v>0</v>
      </c>
      <c r="KP292">
        <v>0</v>
      </c>
      <c r="KQ292">
        <v>1</v>
      </c>
      <c r="KR292">
        <v>0.7</v>
      </c>
      <c r="KS292">
        <v>0</v>
      </c>
      <c r="KT292">
        <v>2.3</v>
      </c>
      <c r="KU292">
        <v>0</v>
      </c>
      <c r="KV292">
        <v>0</v>
      </c>
      <c r="KW292">
        <v>1.2</v>
      </c>
      <c r="KX292">
        <v>2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3</v>
      </c>
      <c r="LI292">
        <v>1</v>
      </c>
      <c r="LJ292">
        <v>0</v>
      </c>
      <c r="LK292">
        <v>6</v>
      </c>
      <c r="LL292">
        <v>7.5</v>
      </c>
      <c r="LM292">
        <v>8</v>
      </c>
      <c r="LN292">
        <v>0.5</v>
      </c>
      <c r="LO292">
        <v>3</v>
      </c>
      <c r="LP292">
        <v>0</v>
      </c>
      <c r="LQ292">
        <v>0</v>
      </c>
      <c r="LR292">
        <v>0</v>
      </c>
      <c r="LS292">
        <v>1</v>
      </c>
      <c r="LT292">
        <v>0</v>
      </c>
      <c r="LU292">
        <v>0</v>
      </c>
      <c r="LV292">
        <v>0</v>
      </c>
      <c r="LW292">
        <v>1.8</v>
      </c>
      <c r="LX292">
        <v>1.8</v>
      </c>
      <c r="LY292">
        <v>2.1</v>
      </c>
      <c r="LZ292">
        <v>2.1</v>
      </c>
      <c r="MA292">
        <v>0</v>
      </c>
      <c r="MB292">
        <v>15</v>
      </c>
      <c r="MC292">
        <v>1</v>
      </c>
      <c r="MD292">
        <v>4.5</v>
      </c>
      <c r="ME292">
        <v>6</v>
      </c>
      <c r="MF292">
        <v>6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358</v>
      </c>
      <c r="MN292">
        <v>195</v>
      </c>
      <c r="MO292">
        <v>250</v>
      </c>
      <c r="NU292">
        <v>0.15</v>
      </c>
      <c r="NV292">
        <v>0.2</v>
      </c>
      <c r="NW292">
        <v>0.2</v>
      </c>
      <c r="NX292">
        <v>20</v>
      </c>
      <c r="NY292">
        <v>20</v>
      </c>
      <c r="NZ292">
        <v>20</v>
      </c>
      <c r="OE292" t="s">
        <v>5033</v>
      </c>
      <c r="OF292" t="s">
        <v>4147</v>
      </c>
      <c r="OG292" t="s">
        <v>4148</v>
      </c>
      <c r="OH292" t="s">
        <v>4043</v>
      </c>
      <c r="OI292" t="s">
        <v>5033</v>
      </c>
      <c r="OJ292" t="s">
        <v>5032</v>
      </c>
      <c r="OK292">
        <v>61</v>
      </c>
      <c r="OL292">
        <v>61</v>
      </c>
      <c r="OM292" t="s">
        <v>4147</v>
      </c>
      <c r="ON292">
        <v>2</v>
      </c>
      <c r="OO292">
        <v>1928</v>
      </c>
      <c r="OP292">
        <v>61</v>
      </c>
      <c r="OQ292">
        <v>61</v>
      </c>
      <c r="OR292" t="s">
        <v>4148</v>
      </c>
      <c r="OS292">
        <v>2</v>
      </c>
      <c r="OT292">
        <v>1935</v>
      </c>
      <c r="OU292">
        <v>65</v>
      </c>
      <c r="OV292">
        <v>65</v>
      </c>
      <c r="OW292" t="s">
        <v>4043</v>
      </c>
      <c r="OX292">
        <v>2</v>
      </c>
      <c r="OY292">
        <v>42674</v>
      </c>
      <c r="OZ292">
        <v>51</v>
      </c>
      <c r="PA292">
        <v>51</v>
      </c>
      <c r="PB292" t="s">
        <v>5033</v>
      </c>
      <c r="PC292">
        <v>1</v>
      </c>
      <c r="PD292">
        <v>1966</v>
      </c>
      <c r="PF292">
        <v>366</v>
      </c>
      <c r="PG292">
        <v>29</v>
      </c>
      <c r="PH292">
        <v>347</v>
      </c>
      <c r="PI292">
        <v>29</v>
      </c>
      <c r="PJ292">
        <v>65.90000000000001</v>
      </c>
      <c r="PK292">
        <v>1738</v>
      </c>
      <c r="PL292">
        <v>1214.4</v>
      </c>
      <c r="PM292">
        <v>312</v>
      </c>
      <c r="PN292">
        <v>100.5</v>
      </c>
      <c r="PO292">
        <v>7.8</v>
      </c>
      <c r="PP292">
        <v>12</v>
      </c>
      <c r="PQ292">
        <v>1</v>
      </c>
      <c r="PR292">
        <v>1</v>
      </c>
      <c r="PS292">
        <v>7</v>
      </c>
      <c r="PT292">
        <v>242</v>
      </c>
      <c r="PU292">
        <v>10</v>
      </c>
      <c r="PV292" t="s">
        <v>4072</v>
      </c>
      <c r="PW292" t="s">
        <v>4072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-1</v>
      </c>
      <c r="QF292">
        <v>1</v>
      </c>
      <c r="QG292">
        <v>0</v>
      </c>
      <c r="QH292">
        <v>5</v>
      </c>
      <c r="QI292">
        <v>5</v>
      </c>
      <c r="QJ292">
        <v>5</v>
      </c>
      <c r="QK292">
        <v>164</v>
      </c>
      <c r="QL292">
        <v>372</v>
      </c>
      <c r="QM292">
        <v>7.5</v>
      </c>
      <c r="QN292">
        <v>1459.5</v>
      </c>
      <c r="QO292" t="s">
        <v>3491</v>
      </c>
      <c r="QP292" t="s">
        <v>513</v>
      </c>
      <c r="QQ292">
        <v>0</v>
      </c>
      <c r="QR292" t="s">
        <v>649</v>
      </c>
      <c r="QS292">
        <v>30</v>
      </c>
      <c r="QT292">
        <v>40</v>
      </c>
    </row>
    <row r="293" spans="1:462">
      <c r="A293" t="s">
        <v>3493</v>
      </c>
      <c r="B293" t="s">
        <v>804</v>
      </c>
      <c r="C293" t="s">
        <v>509</v>
      </c>
      <c r="D293" t="s">
        <v>2748</v>
      </c>
      <c r="E293" t="s">
        <v>4036</v>
      </c>
      <c r="H293" t="s">
        <v>1135</v>
      </c>
      <c r="J293" t="s">
        <v>562</v>
      </c>
      <c r="K293" t="s">
        <v>563</v>
      </c>
      <c r="L293" t="s">
        <v>508</v>
      </c>
      <c r="M293" t="s">
        <v>512</v>
      </c>
      <c r="N293" t="s">
        <v>515</v>
      </c>
      <c r="O293" t="s">
        <v>513</v>
      </c>
      <c r="P293" t="s">
        <v>567</v>
      </c>
      <c r="Q293" t="s">
        <v>1480</v>
      </c>
      <c r="R293" t="s">
        <v>1481</v>
      </c>
      <c r="S293" t="s">
        <v>4091</v>
      </c>
      <c r="T293" t="s">
        <v>1482</v>
      </c>
      <c r="U293" t="s">
        <v>1483</v>
      </c>
      <c r="V293" t="s">
        <v>1484</v>
      </c>
      <c r="W293" t="s">
        <v>1460</v>
      </c>
      <c r="X293" t="s">
        <v>1485</v>
      </c>
      <c r="Y293" t="s">
        <v>3494</v>
      </c>
      <c r="Z293" t="s">
        <v>541</v>
      </c>
      <c r="AA293" t="s">
        <v>4038</v>
      </c>
      <c r="AB293" t="s">
        <v>5034</v>
      </c>
      <c r="AC293">
        <v>13</v>
      </c>
      <c r="AD293" t="s">
        <v>3492</v>
      </c>
      <c r="AE293">
        <v>2</v>
      </c>
      <c r="AF293">
        <v>3395</v>
      </c>
      <c r="AG293" t="s">
        <v>4488</v>
      </c>
      <c r="AH293">
        <v>1</v>
      </c>
      <c r="AI293" t="s">
        <v>4041</v>
      </c>
      <c r="AK293" t="s">
        <v>4489</v>
      </c>
      <c r="AL293">
        <v>1</v>
      </c>
      <c r="AM293" t="s">
        <v>582</v>
      </c>
      <c r="AO293" t="s">
        <v>4353</v>
      </c>
      <c r="AP293">
        <v>1</v>
      </c>
      <c r="AR293" t="s">
        <v>5035</v>
      </c>
      <c r="AS293">
        <v>1</v>
      </c>
      <c r="AT293">
        <v>51</v>
      </c>
      <c r="AV293" t="s">
        <v>4045</v>
      </c>
      <c r="AW293">
        <v>6.4</v>
      </c>
      <c r="AX293">
        <v>-6</v>
      </c>
      <c r="AY293">
        <v>78.5</v>
      </c>
      <c r="AZ293">
        <v>66.5</v>
      </c>
      <c r="BH293">
        <v>78.5</v>
      </c>
      <c r="BI293">
        <v>12</v>
      </c>
      <c r="BJ293">
        <v>66.5</v>
      </c>
      <c r="BK293">
        <v>3.5</v>
      </c>
      <c r="BL293">
        <v>157</v>
      </c>
      <c r="BM293">
        <v>-6</v>
      </c>
      <c r="BN293">
        <v>0</v>
      </c>
      <c r="BP293">
        <v>0</v>
      </c>
      <c r="BR293">
        <v>150</v>
      </c>
      <c r="BS293">
        <v>140</v>
      </c>
      <c r="BT293">
        <v>1825</v>
      </c>
      <c r="BU293" t="s">
        <v>4355</v>
      </c>
      <c r="BV293" t="s">
        <v>4047</v>
      </c>
      <c r="BW293" t="s">
        <v>4368</v>
      </c>
      <c r="BX293" t="s">
        <v>4049</v>
      </c>
      <c r="BY293" t="s">
        <v>4369</v>
      </c>
      <c r="BZ293" t="s">
        <v>4369</v>
      </c>
      <c r="CA293" t="s">
        <v>4370</v>
      </c>
      <c r="CB293" t="s">
        <v>4371</v>
      </c>
      <c r="CC293" t="s">
        <v>4053</v>
      </c>
      <c r="CD293" t="s">
        <v>4372</v>
      </c>
      <c r="CG293" t="s">
        <v>4056</v>
      </c>
      <c r="CH293" t="s">
        <v>4145</v>
      </c>
      <c r="CI293" t="s">
        <v>4058</v>
      </c>
      <c r="CJ293" t="s">
        <v>4059</v>
      </c>
      <c r="CK293" t="s">
        <v>4060</v>
      </c>
      <c r="CL293" t="s">
        <v>4061</v>
      </c>
      <c r="CM293" t="s">
        <v>4062</v>
      </c>
      <c r="CN293" t="s">
        <v>4055</v>
      </c>
      <c r="CO293" t="s">
        <v>4063</v>
      </c>
      <c r="CP293" t="s">
        <v>4055</v>
      </c>
      <c r="CQ293" t="s">
        <v>4055</v>
      </c>
      <c r="CR293">
        <v>5</v>
      </c>
      <c r="CS293" t="s">
        <v>4055</v>
      </c>
      <c r="CT293" t="s">
        <v>4055</v>
      </c>
      <c r="CU293" t="s">
        <v>4055</v>
      </c>
      <c r="CV293">
        <v>99</v>
      </c>
      <c r="CW293">
        <v>3</v>
      </c>
      <c r="CX293">
        <v>61</v>
      </c>
      <c r="CY293">
        <v>5</v>
      </c>
      <c r="CZ293">
        <v>55</v>
      </c>
      <c r="DA293">
        <v>5</v>
      </c>
      <c r="DB293">
        <v>7170</v>
      </c>
      <c r="DC293">
        <v>210</v>
      </c>
      <c r="DD293">
        <v>283</v>
      </c>
      <c r="DE293">
        <v>1903</v>
      </c>
      <c r="DF293">
        <v>1903</v>
      </c>
      <c r="DG293">
        <v>1923</v>
      </c>
      <c r="DH293" t="s">
        <v>4055</v>
      </c>
      <c r="DJ293" t="s">
        <v>4100</v>
      </c>
      <c r="DK293">
        <v>150</v>
      </c>
      <c r="DL293" t="s">
        <v>4101</v>
      </c>
      <c r="DM293">
        <v>63</v>
      </c>
      <c r="DN293">
        <v>0.84</v>
      </c>
      <c r="DO293">
        <v>1</v>
      </c>
      <c r="DP293">
        <v>1828</v>
      </c>
      <c r="DQ293">
        <v>501</v>
      </c>
      <c r="DR293" t="s">
        <v>4100</v>
      </c>
      <c r="DS293">
        <v>140</v>
      </c>
      <c r="DT293" t="s">
        <v>4101</v>
      </c>
      <c r="DU293">
        <v>63</v>
      </c>
      <c r="DV293">
        <v>0.84</v>
      </c>
      <c r="DW293">
        <v>1</v>
      </c>
      <c r="DX293">
        <v>1835</v>
      </c>
      <c r="DY293">
        <v>470</v>
      </c>
      <c r="DZ293" t="s">
        <v>4066</v>
      </c>
      <c r="EA293">
        <v>33</v>
      </c>
      <c r="EB293" t="s">
        <v>4065</v>
      </c>
      <c r="EC293">
        <v>0.4</v>
      </c>
      <c r="ED293">
        <v>1828</v>
      </c>
      <c r="EE293">
        <v>53</v>
      </c>
      <c r="EF293" t="s">
        <v>4066</v>
      </c>
      <c r="EG293">
        <v>33</v>
      </c>
      <c r="EH293" t="s">
        <v>4065</v>
      </c>
      <c r="EI293">
        <v>0.4</v>
      </c>
      <c r="EJ293">
        <v>1835</v>
      </c>
      <c r="EK293">
        <v>53</v>
      </c>
      <c r="EL293" t="s">
        <v>4362</v>
      </c>
      <c r="EM293">
        <v>12</v>
      </c>
      <c r="EN293">
        <v>0.5</v>
      </c>
      <c r="EO293">
        <v>0.77</v>
      </c>
      <c r="EP293">
        <v>1835.56</v>
      </c>
      <c r="EQ293">
        <v>24235.13</v>
      </c>
      <c r="ER293">
        <v>3450.75</v>
      </c>
      <c r="ES293">
        <v>0</v>
      </c>
      <c r="ET293">
        <v>0</v>
      </c>
      <c r="EU293">
        <v>1</v>
      </c>
      <c r="EV293">
        <v>27686</v>
      </c>
      <c r="EW293">
        <v>277</v>
      </c>
      <c r="EX293" t="s">
        <v>4363</v>
      </c>
      <c r="EY293">
        <v>174</v>
      </c>
      <c r="EZ293" t="s">
        <v>4055</v>
      </c>
      <c r="FA293">
        <v>3.3</v>
      </c>
      <c r="FB293">
        <v>1</v>
      </c>
      <c r="FC293">
        <v>1</v>
      </c>
      <c r="FD293">
        <v>1858</v>
      </c>
      <c r="FE293">
        <v>1683</v>
      </c>
      <c r="FF293" t="s">
        <v>4089</v>
      </c>
      <c r="FG293">
        <v>174</v>
      </c>
      <c r="FH293" t="s">
        <v>4055</v>
      </c>
      <c r="FI293">
        <v>1.6</v>
      </c>
      <c r="FJ293">
        <v>1858</v>
      </c>
      <c r="FK293">
        <v>498</v>
      </c>
      <c r="FL293" t="s">
        <v>4069</v>
      </c>
      <c r="FM293" t="s">
        <v>4055</v>
      </c>
      <c r="FN293" t="s">
        <v>4055</v>
      </c>
      <c r="FO293" t="s">
        <v>4055</v>
      </c>
      <c r="FP293">
        <v>1858</v>
      </c>
      <c r="FQ293">
        <v>75</v>
      </c>
      <c r="FR293" t="s">
        <v>4090</v>
      </c>
      <c r="FS293">
        <v>178</v>
      </c>
      <c r="FT293" t="s">
        <v>4055</v>
      </c>
      <c r="FU293">
        <v>0.4</v>
      </c>
      <c r="FV293">
        <v>1858</v>
      </c>
      <c r="FW293">
        <v>147</v>
      </c>
      <c r="FX293" t="s">
        <v>4070</v>
      </c>
      <c r="FY293">
        <v>10</v>
      </c>
      <c r="FZ293" t="s">
        <v>4055</v>
      </c>
      <c r="GA293" t="s">
        <v>4055</v>
      </c>
      <c r="GB293">
        <v>1858</v>
      </c>
      <c r="GC293">
        <v>15</v>
      </c>
      <c r="GD293">
        <v>2418</v>
      </c>
      <c r="GE293" t="s">
        <v>5035</v>
      </c>
      <c r="GF293" t="s">
        <v>4055</v>
      </c>
      <c r="GG293" t="s">
        <v>4055</v>
      </c>
      <c r="GH293" t="s">
        <v>4055</v>
      </c>
      <c r="GI293" t="s">
        <v>4071</v>
      </c>
      <c r="GJ293" t="s">
        <v>4055</v>
      </c>
      <c r="GK293" t="s">
        <v>4055</v>
      </c>
      <c r="GL293" t="s">
        <v>4055</v>
      </c>
      <c r="GM293" t="s">
        <v>4055</v>
      </c>
      <c r="GQ293">
        <v>0</v>
      </c>
      <c r="GV293">
        <v>5.3</v>
      </c>
      <c r="GW293">
        <v>8</v>
      </c>
      <c r="GX293">
        <v>0.5</v>
      </c>
      <c r="GY293">
        <v>136</v>
      </c>
      <c r="GZ293">
        <v>3</v>
      </c>
      <c r="HA293">
        <v>186</v>
      </c>
      <c r="HB293">
        <v>3</v>
      </c>
      <c r="HC293">
        <v>1858</v>
      </c>
      <c r="HD293">
        <v>4</v>
      </c>
      <c r="HE293" t="s">
        <v>4071</v>
      </c>
      <c r="HG293" t="s">
        <v>549</v>
      </c>
      <c r="HL293">
        <v>4</v>
      </c>
      <c r="HM293">
        <v>15</v>
      </c>
      <c r="HN293">
        <v>6</v>
      </c>
      <c r="HO293">
        <v>1</v>
      </c>
      <c r="HP293">
        <v>0</v>
      </c>
      <c r="HQ293">
        <v>0</v>
      </c>
      <c r="HR293">
        <v>3</v>
      </c>
      <c r="HS293">
        <v>1825</v>
      </c>
      <c r="HT293">
        <v>5</v>
      </c>
      <c r="HU293">
        <v>1</v>
      </c>
      <c r="HV293">
        <v>3</v>
      </c>
      <c r="HW293">
        <v>0</v>
      </c>
      <c r="HX293">
        <v>1</v>
      </c>
      <c r="HY293">
        <v>0</v>
      </c>
      <c r="HZ293">
        <v>63</v>
      </c>
      <c r="IA293">
        <v>1828</v>
      </c>
      <c r="IB293">
        <v>1835</v>
      </c>
      <c r="ID293">
        <v>1858</v>
      </c>
      <c r="IE293">
        <v>1858</v>
      </c>
      <c r="IF293">
        <v>150</v>
      </c>
      <c r="IG293">
        <v>140</v>
      </c>
      <c r="IH293">
        <v>186</v>
      </c>
      <c r="II293">
        <v>1</v>
      </c>
      <c r="IJ293">
        <v>5</v>
      </c>
      <c r="IK293">
        <v>0</v>
      </c>
      <c r="IL293">
        <v>2</v>
      </c>
      <c r="IM293">
        <v>0</v>
      </c>
      <c r="IN293">
        <v>270</v>
      </c>
      <c r="IO293">
        <v>0</v>
      </c>
      <c r="IP293">
        <v>180</v>
      </c>
      <c r="IQ293">
        <v>0</v>
      </c>
      <c r="IR293">
        <v>330</v>
      </c>
      <c r="IS293">
        <v>0</v>
      </c>
      <c r="IT293">
        <v>90</v>
      </c>
      <c r="IU293">
        <v>0</v>
      </c>
      <c r="IV293">
        <v>6.4</v>
      </c>
      <c r="IW293">
        <v>-6</v>
      </c>
      <c r="IX293">
        <v>78.5</v>
      </c>
      <c r="IY293">
        <v>66.5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344</v>
      </c>
      <c r="JJ293">
        <v>314</v>
      </c>
      <c r="JK293">
        <v>245</v>
      </c>
      <c r="JL293">
        <v>304</v>
      </c>
      <c r="JM293">
        <v>235</v>
      </c>
      <c r="JN293">
        <v>150</v>
      </c>
      <c r="JO293">
        <v>196</v>
      </c>
      <c r="JP293">
        <v>215</v>
      </c>
      <c r="JQ293">
        <v>270</v>
      </c>
      <c r="JR293">
        <v>350</v>
      </c>
      <c r="JS293">
        <v>270</v>
      </c>
      <c r="JV293">
        <v>335</v>
      </c>
      <c r="JW293">
        <v>337</v>
      </c>
      <c r="JX293">
        <v>340</v>
      </c>
      <c r="JY293">
        <v>320</v>
      </c>
      <c r="JZ293">
        <v>1</v>
      </c>
      <c r="KA293">
        <v>0.2</v>
      </c>
      <c r="KB293">
        <v>0.4</v>
      </c>
      <c r="KC293">
        <v>0.42</v>
      </c>
      <c r="KD293">
        <v>0.28</v>
      </c>
      <c r="KE293">
        <v>0.5</v>
      </c>
      <c r="KF293">
        <v>0.2</v>
      </c>
      <c r="KG293">
        <v>0.1</v>
      </c>
      <c r="KH293">
        <v>3.5</v>
      </c>
      <c r="KI293">
        <v>1</v>
      </c>
      <c r="KJ293">
        <v>5</v>
      </c>
      <c r="KK293">
        <v>0</v>
      </c>
      <c r="KL293">
        <v>5</v>
      </c>
      <c r="KM293">
        <v>0</v>
      </c>
      <c r="KN293">
        <v>1.2</v>
      </c>
      <c r="KO293">
        <v>2</v>
      </c>
      <c r="KP293">
        <v>1</v>
      </c>
      <c r="KQ293">
        <v>0.8</v>
      </c>
      <c r="KR293">
        <v>1</v>
      </c>
      <c r="KS293">
        <v>0</v>
      </c>
      <c r="KT293">
        <v>2.1</v>
      </c>
      <c r="KU293">
        <v>1.5</v>
      </c>
      <c r="KV293">
        <v>1.4</v>
      </c>
      <c r="KW293">
        <v>0.8</v>
      </c>
      <c r="KX293">
        <v>2</v>
      </c>
      <c r="KY293">
        <v>1</v>
      </c>
      <c r="KZ293">
        <v>3</v>
      </c>
      <c r="LA293">
        <v>1.4</v>
      </c>
      <c r="LB293">
        <v>8</v>
      </c>
      <c r="LC293">
        <v>2.8</v>
      </c>
      <c r="LD293">
        <v>3.5</v>
      </c>
      <c r="LE293">
        <v>1.6</v>
      </c>
      <c r="LF293">
        <v>0</v>
      </c>
      <c r="LG293">
        <v>0</v>
      </c>
      <c r="LH293">
        <v>3</v>
      </c>
      <c r="LI293">
        <v>1</v>
      </c>
      <c r="LJ293">
        <v>1</v>
      </c>
      <c r="LK293">
        <v>3</v>
      </c>
      <c r="LL293">
        <v>6</v>
      </c>
      <c r="LM293">
        <v>3</v>
      </c>
      <c r="LN293">
        <v>0.4</v>
      </c>
      <c r="LO293">
        <v>0.1</v>
      </c>
      <c r="LP293">
        <v>0</v>
      </c>
      <c r="LQ293">
        <v>0</v>
      </c>
      <c r="LR293">
        <v>0</v>
      </c>
      <c r="LS293">
        <v>1</v>
      </c>
      <c r="LT293">
        <v>0</v>
      </c>
      <c r="LU293">
        <v>0</v>
      </c>
      <c r="LV293">
        <v>0</v>
      </c>
      <c r="LW293">
        <v>1.4</v>
      </c>
      <c r="LX293">
        <v>1.4</v>
      </c>
      <c r="LY293">
        <v>2.1</v>
      </c>
      <c r="LZ293">
        <v>2.1</v>
      </c>
      <c r="MA293">
        <v>0</v>
      </c>
      <c r="MB293">
        <v>4</v>
      </c>
      <c r="MC293">
        <v>0</v>
      </c>
      <c r="MD293">
        <v>4.5</v>
      </c>
      <c r="ME293">
        <v>6</v>
      </c>
      <c r="MF293">
        <v>6</v>
      </c>
      <c r="MI293">
        <v>0</v>
      </c>
      <c r="MJ293">
        <v>0</v>
      </c>
      <c r="ML293">
        <v>0</v>
      </c>
      <c r="MM293">
        <v>326</v>
      </c>
      <c r="MN293">
        <v>145</v>
      </c>
      <c r="MO293">
        <v>196</v>
      </c>
      <c r="NU293">
        <v>0.15</v>
      </c>
      <c r="NV293">
        <v>0.2</v>
      </c>
      <c r="NW293">
        <v>0.2</v>
      </c>
      <c r="NX293">
        <v>20</v>
      </c>
      <c r="NY293">
        <v>20</v>
      </c>
      <c r="NZ293">
        <v>20</v>
      </c>
      <c r="OE293" t="s">
        <v>5035</v>
      </c>
      <c r="OF293" t="s">
        <v>4488</v>
      </c>
      <c r="OG293" t="s">
        <v>4489</v>
      </c>
      <c r="OH293" t="s">
        <v>4353</v>
      </c>
      <c r="OI293" t="s">
        <v>5035</v>
      </c>
      <c r="OJ293" t="s">
        <v>5034</v>
      </c>
      <c r="OK293">
        <v>61</v>
      </c>
      <c r="OL293">
        <v>61</v>
      </c>
      <c r="OM293" t="s">
        <v>4488</v>
      </c>
      <c r="ON293">
        <v>3</v>
      </c>
      <c r="OO293">
        <v>1828</v>
      </c>
      <c r="OP293">
        <v>61</v>
      </c>
      <c r="OQ293">
        <v>61</v>
      </c>
      <c r="OR293" t="s">
        <v>4489</v>
      </c>
      <c r="OS293">
        <v>3</v>
      </c>
      <c r="OT293">
        <v>1835</v>
      </c>
      <c r="OU293">
        <v>65</v>
      </c>
      <c r="OV293">
        <v>65</v>
      </c>
      <c r="OW293" t="s">
        <v>4353</v>
      </c>
      <c r="OX293">
        <v>1</v>
      </c>
      <c r="OY293">
        <v>27686</v>
      </c>
      <c r="OZ293">
        <v>51</v>
      </c>
      <c r="PA293">
        <v>51</v>
      </c>
      <c r="PB293" t="s">
        <v>5035</v>
      </c>
      <c r="PC293">
        <v>1</v>
      </c>
      <c r="PD293">
        <v>1858</v>
      </c>
      <c r="PF293">
        <v>274</v>
      </c>
      <c r="PG293">
        <v>29</v>
      </c>
      <c r="PH293">
        <v>256</v>
      </c>
      <c r="PI293">
        <v>29</v>
      </c>
      <c r="PJ293">
        <v>40.2</v>
      </c>
      <c r="PK293">
        <v>1293</v>
      </c>
      <c r="PL293">
        <v>905.9</v>
      </c>
      <c r="PM293">
        <v>267.8</v>
      </c>
      <c r="PN293">
        <v>79.09999999999999</v>
      </c>
      <c r="PO293">
        <v>8.1</v>
      </c>
      <c r="PP293">
        <v>10</v>
      </c>
      <c r="PQ293">
        <v>2</v>
      </c>
      <c r="PR293">
        <v>1</v>
      </c>
      <c r="PS293">
        <v>6</v>
      </c>
      <c r="PT293">
        <v>186</v>
      </c>
      <c r="PU293">
        <v>6</v>
      </c>
      <c r="PV293" t="s">
        <v>4072</v>
      </c>
      <c r="PW293" t="s">
        <v>4072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-1</v>
      </c>
      <c r="QF293">
        <v>1</v>
      </c>
      <c r="QG293">
        <v>0</v>
      </c>
      <c r="QH293">
        <v>5</v>
      </c>
      <c r="QI293">
        <v>5</v>
      </c>
      <c r="QJ293">
        <v>5</v>
      </c>
      <c r="QK293">
        <v>166</v>
      </c>
      <c r="QL293">
        <v>378</v>
      </c>
      <c r="QM293">
        <v>7.5</v>
      </c>
      <c r="QN293">
        <v>1202.7</v>
      </c>
      <c r="QO293" t="s">
        <v>3491</v>
      </c>
      <c r="QP293" t="s">
        <v>513</v>
      </c>
      <c r="QQ293">
        <v>0</v>
      </c>
      <c r="QR293" t="s">
        <v>1496</v>
      </c>
      <c r="QS293">
        <v>30</v>
      </c>
      <c r="QT293">
        <v>40</v>
      </c>
    </row>
    <row r="294" spans="1:462">
      <c r="A294" t="s">
        <v>3508</v>
      </c>
      <c r="B294" t="s">
        <v>804</v>
      </c>
      <c r="C294" t="s">
        <v>509</v>
      </c>
      <c r="D294" t="s">
        <v>2099</v>
      </c>
      <c r="E294" t="s">
        <v>4036</v>
      </c>
      <c r="H294" t="s">
        <v>561</v>
      </c>
      <c r="J294" t="s">
        <v>562</v>
      </c>
      <c r="K294" t="s">
        <v>563</v>
      </c>
      <c r="L294" t="s">
        <v>508</v>
      </c>
      <c r="M294" t="s">
        <v>512</v>
      </c>
      <c r="N294" t="s">
        <v>515</v>
      </c>
      <c r="O294" t="s">
        <v>513</v>
      </c>
      <c r="P294" t="s">
        <v>567</v>
      </c>
      <c r="Q294" t="s">
        <v>631</v>
      </c>
      <c r="R294" t="s">
        <v>632</v>
      </c>
      <c r="S294" t="s">
        <v>4073</v>
      </c>
      <c r="T294" t="s">
        <v>633</v>
      </c>
      <c r="U294" t="s">
        <v>634</v>
      </c>
      <c r="V294" t="s">
        <v>744</v>
      </c>
      <c r="W294" t="s">
        <v>1460</v>
      </c>
      <c r="X294" t="s">
        <v>3509</v>
      </c>
      <c r="Y294" t="s">
        <v>3510</v>
      </c>
      <c r="Z294" t="s">
        <v>650</v>
      </c>
      <c r="AA294" t="s">
        <v>4038</v>
      </c>
      <c r="AB294" t="s">
        <v>5036</v>
      </c>
      <c r="AC294">
        <v>9</v>
      </c>
      <c r="AD294" t="s">
        <v>3507</v>
      </c>
      <c r="AE294">
        <v>2</v>
      </c>
      <c r="AF294">
        <v>3645</v>
      </c>
      <c r="AG294" t="s">
        <v>5037</v>
      </c>
      <c r="AH294">
        <v>1</v>
      </c>
      <c r="AI294" t="s">
        <v>4041</v>
      </c>
      <c r="AK294" t="s">
        <v>5038</v>
      </c>
      <c r="AL294">
        <v>1</v>
      </c>
      <c r="AM294" t="s">
        <v>582</v>
      </c>
      <c r="AO294" t="s">
        <v>4426</v>
      </c>
      <c r="AP294">
        <v>1</v>
      </c>
      <c r="AR294" t="s">
        <v>5039</v>
      </c>
      <c r="AS294">
        <v>1</v>
      </c>
      <c r="AT294">
        <v>51</v>
      </c>
      <c r="AV294" t="s">
        <v>4045</v>
      </c>
      <c r="AW294">
        <v>6.4</v>
      </c>
      <c r="AX294">
        <v>-12</v>
      </c>
      <c r="AY294">
        <v>97.5</v>
      </c>
      <c r="AZ294">
        <v>85</v>
      </c>
      <c r="BH294">
        <v>97.5</v>
      </c>
      <c r="BI294">
        <v>12.5</v>
      </c>
      <c r="BJ294">
        <v>85</v>
      </c>
      <c r="BK294">
        <v>2.5</v>
      </c>
      <c r="BL294">
        <v>195</v>
      </c>
      <c r="BM294">
        <v>-12</v>
      </c>
      <c r="BN294">
        <v>0</v>
      </c>
      <c r="BP294">
        <v>0</v>
      </c>
      <c r="BR294">
        <v>190</v>
      </c>
      <c r="BS294">
        <v>180</v>
      </c>
      <c r="BT294">
        <v>1890</v>
      </c>
      <c r="BU294" t="s">
        <v>4047</v>
      </c>
      <c r="BV294" t="s">
        <v>4047</v>
      </c>
      <c r="BW294" t="s">
        <v>4049</v>
      </c>
      <c r="BX294" t="s">
        <v>4049</v>
      </c>
      <c r="BY294" t="s">
        <v>4150</v>
      </c>
      <c r="BZ294" t="s">
        <v>4107</v>
      </c>
      <c r="CA294" t="s">
        <v>4108</v>
      </c>
      <c r="CB294" t="s">
        <v>4109</v>
      </c>
      <c r="CC294" t="s">
        <v>4053</v>
      </c>
      <c r="CD294" t="s">
        <v>4110</v>
      </c>
      <c r="CE294" t="s">
        <v>4055</v>
      </c>
      <c r="CF294" t="s">
        <v>4055</v>
      </c>
      <c r="CG294" t="s">
        <v>4056</v>
      </c>
      <c r="CH294" t="s">
        <v>4057</v>
      </c>
      <c r="CI294" t="s">
        <v>4058</v>
      </c>
      <c r="CJ294" t="s">
        <v>4059</v>
      </c>
      <c r="CK294" t="s">
        <v>4060</v>
      </c>
      <c r="CL294" t="s">
        <v>4061</v>
      </c>
      <c r="CM294" t="s">
        <v>4062</v>
      </c>
      <c r="CN294" t="s">
        <v>4055</v>
      </c>
      <c r="CO294" t="s">
        <v>4063</v>
      </c>
      <c r="CP294" t="s">
        <v>4055</v>
      </c>
      <c r="CQ294" t="s">
        <v>4055</v>
      </c>
      <c r="CR294">
        <v>5</v>
      </c>
      <c r="CS294" t="s">
        <v>4055</v>
      </c>
      <c r="CT294" t="s">
        <v>4055</v>
      </c>
      <c r="CU294" t="s">
        <v>4055</v>
      </c>
      <c r="CV294">
        <v>125</v>
      </c>
      <c r="CW294">
        <v>3</v>
      </c>
      <c r="CX294">
        <v>106</v>
      </c>
      <c r="CY294">
        <v>5</v>
      </c>
      <c r="CZ294">
        <v>142</v>
      </c>
      <c r="DA294">
        <v>5</v>
      </c>
      <c r="DB294">
        <v>8950</v>
      </c>
      <c r="DC294">
        <v>260</v>
      </c>
      <c r="DD294">
        <v>318</v>
      </c>
      <c r="DE294">
        <v>1997</v>
      </c>
      <c r="DF294">
        <v>1997</v>
      </c>
      <c r="DG294">
        <v>2007</v>
      </c>
      <c r="DH294" t="s">
        <v>4055</v>
      </c>
      <c r="DI294" t="s">
        <v>4055</v>
      </c>
      <c r="DJ294" t="s">
        <v>4132</v>
      </c>
      <c r="DK294">
        <v>190</v>
      </c>
      <c r="DL294" t="s">
        <v>4065</v>
      </c>
      <c r="DM294">
        <v>59</v>
      </c>
      <c r="DN294">
        <v>1.1</v>
      </c>
      <c r="DO294">
        <v>1</v>
      </c>
      <c r="DP294">
        <v>1893</v>
      </c>
      <c r="DQ294">
        <v>778</v>
      </c>
      <c r="DR294" t="s">
        <v>4132</v>
      </c>
      <c r="DS294">
        <v>180</v>
      </c>
      <c r="DT294" t="s">
        <v>4065</v>
      </c>
      <c r="DU294">
        <v>59</v>
      </c>
      <c r="DV294">
        <v>1.1</v>
      </c>
      <c r="DW294">
        <v>1</v>
      </c>
      <c r="DX294">
        <v>1905</v>
      </c>
      <c r="DY294">
        <v>741</v>
      </c>
      <c r="DZ294" t="s">
        <v>4066</v>
      </c>
      <c r="EA294">
        <v>20</v>
      </c>
      <c r="EB294" t="s">
        <v>4065</v>
      </c>
      <c r="EC294">
        <v>0.8</v>
      </c>
      <c r="ED294">
        <v>1893</v>
      </c>
      <c r="EE294">
        <v>66</v>
      </c>
      <c r="EG294">
        <v>0</v>
      </c>
      <c r="EH294" t="s">
        <v>4065</v>
      </c>
      <c r="EI294">
        <v>0</v>
      </c>
      <c r="EL294" t="s">
        <v>4429</v>
      </c>
      <c r="EM294">
        <v>12</v>
      </c>
      <c r="EN294">
        <v>0.5</v>
      </c>
      <c r="EO294">
        <v>0.9</v>
      </c>
      <c r="EP294">
        <v>1903.83</v>
      </c>
      <c r="EQ294">
        <v>32573.34</v>
      </c>
      <c r="ER294">
        <v>3729.46</v>
      </c>
      <c r="ES294">
        <v>0</v>
      </c>
      <c r="ET294">
        <v>0</v>
      </c>
      <c r="EU294">
        <v>1</v>
      </c>
      <c r="EV294">
        <v>36303</v>
      </c>
      <c r="EW294">
        <v>436</v>
      </c>
      <c r="EX294" t="s">
        <v>4363</v>
      </c>
      <c r="EY294">
        <v>210</v>
      </c>
      <c r="EZ294" t="s">
        <v>4055</v>
      </c>
      <c r="FA294">
        <v>4.5</v>
      </c>
      <c r="FB294">
        <v>1</v>
      </c>
      <c r="FC294">
        <v>1</v>
      </c>
      <c r="FD294">
        <v>1930</v>
      </c>
      <c r="FE294">
        <v>2347</v>
      </c>
      <c r="FF294" t="s">
        <v>4089</v>
      </c>
      <c r="FG294">
        <v>210</v>
      </c>
      <c r="FH294" t="s">
        <v>4055</v>
      </c>
      <c r="FI294">
        <v>1.6</v>
      </c>
      <c r="FJ294">
        <v>1930</v>
      </c>
      <c r="FK294">
        <v>542</v>
      </c>
      <c r="FL294" t="s">
        <v>4069</v>
      </c>
      <c r="FM294" t="s">
        <v>4055</v>
      </c>
      <c r="FN294" t="s">
        <v>4055</v>
      </c>
      <c r="FO294" t="s">
        <v>4055</v>
      </c>
      <c r="FP294">
        <v>1930</v>
      </c>
      <c r="FQ294">
        <v>192</v>
      </c>
      <c r="FR294" t="s">
        <v>4090</v>
      </c>
      <c r="FS294">
        <v>214</v>
      </c>
      <c r="FT294" t="s">
        <v>4055</v>
      </c>
      <c r="FU294">
        <v>0.4</v>
      </c>
      <c r="FV294">
        <v>1930</v>
      </c>
      <c r="FW294">
        <v>184</v>
      </c>
      <c r="FX294" t="s">
        <v>4070</v>
      </c>
      <c r="FY294">
        <v>5</v>
      </c>
      <c r="FZ294" t="s">
        <v>4055</v>
      </c>
      <c r="GA294" t="s">
        <v>4055</v>
      </c>
      <c r="GB294">
        <v>1930</v>
      </c>
      <c r="GC294">
        <v>15</v>
      </c>
      <c r="GD294">
        <v>3280</v>
      </c>
      <c r="GE294" t="s">
        <v>5039</v>
      </c>
      <c r="GF294" t="s">
        <v>4055</v>
      </c>
      <c r="GG294" t="s">
        <v>4055</v>
      </c>
      <c r="GH294" t="s">
        <v>4055</v>
      </c>
      <c r="GI294" t="s">
        <v>4071</v>
      </c>
      <c r="GJ294" t="s">
        <v>4055</v>
      </c>
      <c r="GK294" t="s">
        <v>4055</v>
      </c>
      <c r="GL294" t="s">
        <v>4055</v>
      </c>
      <c r="GM294" t="s">
        <v>4055</v>
      </c>
      <c r="GQ294">
        <v>0</v>
      </c>
      <c r="GV294">
        <v>6.5</v>
      </c>
      <c r="GW294">
        <v>9</v>
      </c>
      <c r="GX294">
        <v>0.5</v>
      </c>
      <c r="GY294">
        <v>184</v>
      </c>
      <c r="GZ294">
        <v>3</v>
      </c>
      <c r="HA294">
        <v>238</v>
      </c>
      <c r="HB294">
        <v>3</v>
      </c>
      <c r="HC294">
        <v>1930</v>
      </c>
      <c r="HD294">
        <v>4</v>
      </c>
      <c r="HE294" t="s">
        <v>4071</v>
      </c>
      <c r="HG294" t="s">
        <v>549</v>
      </c>
      <c r="HL294">
        <v>4</v>
      </c>
      <c r="HM294">
        <v>17</v>
      </c>
      <c r="HN294">
        <v>1</v>
      </c>
      <c r="HO294">
        <v>1</v>
      </c>
      <c r="HP294">
        <v>0</v>
      </c>
      <c r="HQ294">
        <v>0</v>
      </c>
      <c r="HR294">
        <v>1</v>
      </c>
      <c r="HS294">
        <v>1890</v>
      </c>
      <c r="HT294">
        <v>5</v>
      </c>
      <c r="HU294">
        <v>1</v>
      </c>
      <c r="HV294">
        <v>3</v>
      </c>
      <c r="HW294">
        <v>0</v>
      </c>
      <c r="HX294">
        <v>1</v>
      </c>
      <c r="HY294">
        <v>0</v>
      </c>
      <c r="HZ294">
        <v>59</v>
      </c>
      <c r="IA294">
        <v>1893</v>
      </c>
      <c r="IB294">
        <v>1905</v>
      </c>
      <c r="ID294">
        <v>1930</v>
      </c>
      <c r="IE294">
        <v>1930</v>
      </c>
      <c r="IF294">
        <v>190</v>
      </c>
      <c r="IG294">
        <v>180</v>
      </c>
      <c r="IH294">
        <v>238</v>
      </c>
      <c r="II294">
        <v>1</v>
      </c>
      <c r="IJ294">
        <v>5</v>
      </c>
      <c r="IK294">
        <v>0</v>
      </c>
      <c r="IL294">
        <v>1</v>
      </c>
      <c r="IM294">
        <v>0</v>
      </c>
      <c r="IN294">
        <v>270</v>
      </c>
      <c r="IO294">
        <v>0</v>
      </c>
      <c r="IP294">
        <v>180</v>
      </c>
      <c r="IQ294">
        <v>0</v>
      </c>
      <c r="IR294">
        <v>330</v>
      </c>
      <c r="IS294">
        <v>0</v>
      </c>
      <c r="IT294">
        <v>90</v>
      </c>
      <c r="IU294">
        <v>0</v>
      </c>
      <c r="IV294">
        <v>6.4</v>
      </c>
      <c r="IW294">
        <v>-12</v>
      </c>
      <c r="IX294">
        <v>97.5</v>
      </c>
      <c r="IY294">
        <v>85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356</v>
      </c>
      <c r="JJ294">
        <v>326</v>
      </c>
      <c r="JK294">
        <v>245</v>
      </c>
      <c r="JL294">
        <v>324</v>
      </c>
      <c r="JM294">
        <v>250</v>
      </c>
      <c r="JN294">
        <v>195</v>
      </c>
      <c r="JO294">
        <v>240</v>
      </c>
      <c r="JP294">
        <v>235</v>
      </c>
      <c r="JQ294">
        <v>270</v>
      </c>
      <c r="JR294">
        <v>334</v>
      </c>
      <c r="JS294">
        <v>245</v>
      </c>
      <c r="JT294">
        <v>0</v>
      </c>
      <c r="JU294">
        <v>0</v>
      </c>
      <c r="JV294">
        <v>334</v>
      </c>
      <c r="JW294">
        <v>337</v>
      </c>
      <c r="JX294">
        <v>328</v>
      </c>
      <c r="JY294">
        <v>305</v>
      </c>
      <c r="JZ294">
        <v>2.5</v>
      </c>
      <c r="KA294">
        <v>0.2</v>
      </c>
      <c r="KB294">
        <v>0.4</v>
      </c>
      <c r="KC294">
        <v>0.42</v>
      </c>
      <c r="KD294">
        <v>0.28</v>
      </c>
      <c r="KE294">
        <v>0.5</v>
      </c>
      <c r="KF294">
        <v>0.21</v>
      </c>
      <c r="KG294">
        <v>0.1</v>
      </c>
      <c r="KH294">
        <v>3.5</v>
      </c>
      <c r="KI294">
        <v>1</v>
      </c>
      <c r="KJ294">
        <v>4.5</v>
      </c>
      <c r="KK294">
        <v>0.5</v>
      </c>
      <c r="KL294">
        <v>4.5</v>
      </c>
      <c r="KM294">
        <v>0.5</v>
      </c>
      <c r="KN294">
        <v>1.6</v>
      </c>
      <c r="KO294">
        <v>0</v>
      </c>
      <c r="KP294">
        <v>0</v>
      </c>
      <c r="KQ294">
        <v>0.6</v>
      </c>
      <c r="KR294">
        <v>1</v>
      </c>
      <c r="KS294">
        <v>0.2</v>
      </c>
      <c r="KT294">
        <v>2.8</v>
      </c>
      <c r="KU294">
        <v>0</v>
      </c>
      <c r="KV294">
        <v>0</v>
      </c>
      <c r="KW294">
        <v>1</v>
      </c>
      <c r="KX294">
        <v>2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3</v>
      </c>
      <c r="LI294">
        <v>1</v>
      </c>
      <c r="LJ294">
        <v>0</v>
      </c>
      <c r="LK294">
        <v>6</v>
      </c>
      <c r="LL294">
        <v>7</v>
      </c>
      <c r="LM294">
        <v>9</v>
      </c>
      <c r="LN294">
        <v>0.3</v>
      </c>
      <c r="LO294">
        <v>1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1.7</v>
      </c>
      <c r="LX294">
        <v>1.7</v>
      </c>
      <c r="LY294">
        <v>2</v>
      </c>
      <c r="LZ294">
        <v>2</v>
      </c>
      <c r="MA294">
        <v>0</v>
      </c>
      <c r="MB294">
        <v>6</v>
      </c>
      <c r="MC294">
        <v>0</v>
      </c>
      <c r="MD294">
        <v>4.5</v>
      </c>
      <c r="ME294">
        <v>6</v>
      </c>
      <c r="MF294">
        <v>6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390</v>
      </c>
      <c r="MN294">
        <v>185</v>
      </c>
      <c r="MO294">
        <v>244</v>
      </c>
      <c r="NU294">
        <v>0.15</v>
      </c>
      <c r="NV294">
        <v>0.2</v>
      </c>
      <c r="NW294">
        <v>0.2</v>
      </c>
      <c r="NX294">
        <v>0.2</v>
      </c>
      <c r="NY294">
        <v>0.2</v>
      </c>
      <c r="NZ294">
        <v>0.2</v>
      </c>
      <c r="OE294" t="s">
        <v>5039</v>
      </c>
      <c r="OF294" t="s">
        <v>5037</v>
      </c>
      <c r="OG294" t="s">
        <v>5038</v>
      </c>
      <c r="OH294" t="s">
        <v>4426</v>
      </c>
      <c r="OI294" t="s">
        <v>5039</v>
      </c>
      <c r="OJ294" t="s">
        <v>5036</v>
      </c>
      <c r="OK294">
        <v>61</v>
      </c>
      <c r="OL294">
        <v>61</v>
      </c>
      <c r="OM294" t="s">
        <v>5037</v>
      </c>
      <c r="ON294">
        <v>1</v>
      </c>
      <c r="OO294">
        <v>1893</v>
      </c>
      <c r="OP294">
        <v>61</v>
      </c>
      <c r="OQ294">
        <v>61</v>
      </c>
      <c r="OR294" t="s">
        <v>5038</v>
      </c>
      <c r="OS294">
        <v>1</v>
      </c>
      <c r="OT294">
        <v>1905</v>
      </c>
      <c r="OU294">
        <v>65</v>
      </c>
      <c r="OV294">
        <v>65</v>
      </c>
      <c r="OW294" t="s">
        <v>4426</v>
      </c>
      <c r="OX294">
        <v>2</v>
      </c>
      <c r="OY294">
        <v>36303</v>
      </c>
      <c r="OZ294">
        <v>51</v>
      </c>
      <c r="PA294">
        <v>51</v>
      </c>
      <c r="PB294" t="s">
        <v>5039</v>
      </c>
      <c r="PC294">
        <v>1</v>
      </c>
      <c r="PD294">
        <v>1930</v>
      </c>
      <c r="PF294">
        <v>411</v>
      </c>
      <c r="PG294">
        <v>35</v>
      </c>
      <c r="PH294">
        <v>389</v>
      </c>
      <c r="PI294">
        <v>0</v>
      </c>
      <c r="PJ294">
        <v>99.40000000000001</v>
      </c>
      <c r="PK294">
        <v>2222</v>
      </c>
      <c r="PL294">
        <v>1216.2</v>
      </c>
      <c r="PM294">
        <v>280.9</v>
      </c>
      <c r="PN294">
        <v>95.2</v>
      </c>
      <c r="PO294">
        <v>7.6</v>
      </c>
      <c r="PP294">
        <v>12</v>
      </c>
      <c r="PQ294">
        <v>1</v>
      </c>
      <c r="PR294">
        <v>1</v>
      </c>
      <c r="PS294">
        <v>7</v>
      </c>
      <c r="PT294">
        <v>238</v>
      </c>
      <c r="PU294">
        <v>14</v>
      </c>
      <c r="PV294" t="s">
        <v>4072</v>
      </c>
      <c r="PW294" t="s">
        <v>4072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-1</v>
      </c>
      <c r="QF294">
        <v>1</v>
      </c>
      <c r="QG294">
        <v>0</v>
      </c>
      <c r="QH294">
        <v>5</v>
      </c>
      <c r="QI294">
        <v>5</v>
      </c>
      <c r="QJ294">
        <v>5</v>
      </c>
      <c r="QK294">
        <v>173</v>
      </c>
      <c r="QL294">
        <v>390</v>
      </c>
      <c r="QM294">
        <v>7.5</v>
      </c>
      <c r="QN294">
        <v>1379.8</v>
      </c>
      <c r="QO294" t="s">
        <v>3491</v>
      </c>
      <c r="QP294" t="s">
        <v>513</v>
      </c>
      <c r="QQ294">
        <v>0</v>
      </c>
      <c r="QR294" t="s">
        <v>649</v>
      </c>
      <c r="QS294">
        <v>30</v>
      </c>
      <c r="QT294">
        <v>40</v>
      </c>
    </row>
    <row r="295" spans="1:462">
      <c r="A295" t="s">
        <v>3500</v>
      </c>
      <c r="B295" t="s">
        <v>629</v>
      </c>
      <c r="C295" t="s">
        <v>509</v>
      </c>
      <c r="D295" t="s">
        <v>1150</v>
      </c>
      <c r="E295" t="s">
        <v>4036</v>
      </c>
      <c r="H295" t="s">
        <v>3499</v>
      </c>
      <c r="L295" t="s">
        <v>711</v>
      </c>
      <c r="M295" t="s">
        <v>512</v>
      </c>
      <c r="N295" t="s">
        <v>515</v>
      </c>
      <c r="O295" t="s">
        <v>513</v>
      </c>
      <c r="P295" t="s">
        <v>567</v>
      </c>
      <c r="Q295" t="s">
        <v>742</v>
      </c>
      <c r="R295" t="s">
        <v>743</v>
      </c>
      <c r="S295" t="s">
        <v>4134</v>
      </c>
      <c r="T295" t="s">
        <v>633</v>
      </c>
      <c r="U295" t="s">
        <v>634</v>
      </c>
      <c r="V295" t="s">
        <v>744</v>
      </c>
      <c r="W295" t="s">
        <v>1460</v>
      </c>
      <c r="X295" t="s">
        <v>1740</v>
      </c>
      <c r="Y295" t="s">
        <v>3501</v>
      </c>
      <c r="Z295" t="s">
        <v>541</v>
      </c>
      <c r="AA295" t="s">
        <v>4038</v>
      </c>
      <c r="AB295" t="s">
        <v>5040</v>
      </c>
      <c r="AC295">
        <v>9</v>
      </c>
      <c r="AD295" t="s">
        <v>3497</v>
      </c>
      <c r="AE295">
        <v>4</v>
      </c>
      <c r="AF295">
        <v>3877</v>
      </c>
      <c r="AG295" t="s">
        <v>5041</v>
      </c>
      <c r="AH295">
        <v>1</v>
      </c>
      <c r="AI295" t="s">
        <v>4041</v>
      </c>
      <c r="AK295" t="s">
        <v>5042</v>
      </c>
      <c r="AL295">
        <v>1</v>
      </c>
      <c r="AM295" t="s">
        <v>582</v>
      </c>
      <c r="AO295" t="s">
        <v>4043</v>
      </c>
      <c r="AP295">
        <v>1</v>
      </c>
      <c r="AR295" t="s">
        <v>5043</v>
      </c>
      <c r="AS295">
        <v>1</v>
      </c>
      <c r="AT295">
        <v>51</v>
      </c>
      <c r="AV295" t="s">
        <v>4078</v>
      </c>
      <c r="AW295">
        <v>6.4</v>
      </c>
      <c r="AX295">
        <v>-6</v>
      </c>
      <c r="AY295">
        <v>101</v>
      </c>
      <c r="AZ295">
        <v>72</v>
      </c>
      <c r="BH295">
        <v>101</v>
      </c>
      <c r="BI295">
        <v>29</v>
      </c>
      <c r="BJ295">
        <v>72</v>
      </c>
      <c r="BK295">
        <v>3.5</v>
      </c>
      <c r="BL295">
        <v>202</v>
      </c>
      <c r="BM295">
        <v>-6</v>
      </c>
      <c r="BN295">
        <v>0</v>
      </c>
      <c r="BO295">
        <v>0</v>
      </c>
      <c r="BP295">
        <v>0</v>
      </c>
      <c r="BR295">
        <v>195</v>
      </c>
      <c r="BS295">
        <v>185</v>
      </c>
      <c r="BT295">
        <v>1855</v>
      </c>
      <c r="BU295" t="s">
        <v>4046</v>
      </c>
      <c r="BV295" t="s">
        <v>4047</v>
      </c>
      <c r="BW295" t="s">
        <v>4048</v>
      </c>
      <c r="BX295" t="s">
        <v>4049</v>
      </c>
      <c r="BY295" t="s">
        <v>4150</v>
      </c>
      <c r="BZ295" t="s">
        <v>4107</v>
      </c>
      <c r="CA295" t="s">
        <v>4108</v>
      </c>
      <c r="CB295" t="s">
        <v>4109</v>
      </c>
      <c r="CC295" t="s">
        <v>4053</v>
      </c>
      <c r="CD295" t="s">
        <v>4110</v>
      </c>
      <c r="CE295" t="s">
        <v>4055</v>
      </c>
      <c r="CF295" t="s">
        <v>4055</v>
      </c>
      <c r="CG295" t="s">
        <v>4056</v>
      </c>
      <c r="CH295" t="s">
        <v>4057</v>
      </c>
      <c r="CI295" t="s">
        <v>4216</v>
      </c>
      <c r="CJ295" t="s">
        <v>4059</v>
      </c>
      <c r="CK295" t="s">
        <v>4060</v>
      </c>
      <c r="CL295" t="s">
        <v>4061</v>
      </c>
      <c r="CM295" t="s">
        <v>4055</v>
      </c>
      <c r="CN295" t="s">
        <v>4062</v>
      </c>
      <c r="CO295" t="s">
        <v>4063</v>
      </c>
      <c r="CP295" t="s">
        <v>4055</v>
      </c>
      <c r="CQ295" t="s">
        <v>4055</v>
      </c>
      <c r="CR295">
        <v>5</v>
      </c>
      <c r="CS295" t="s">
        <v>4055</v>
      </c>
      <c r="CT295">
        <v>15</v>
      </c>
      <c r="CU295" t="s">
        <v>4055</v>
      </c>
      <c r="CV295">
        <v>122</v>
      </c>
      <c r="CW295">
        <v>3</v>
      </c>
      <c r="CX295">
        <v>83</v>
      </c>
      <c r="CY295">
        <v>5</v>
      </c>
      <c r="CZ295">
        <v>74</v>
      </c>
      <c r="DA295">
        <v>5</v>
      </c>
      <c r="DB295">
        <v>8770</v>
      </c>
      <c r="DC295">
        <v>260</v>
      </c>
      <c r="DD295">
        <v>312</v>
      </c>
      <c r="DE295">
        <v>1954</v>
      </c>
      <c r="DF295">
        <v>1954</v>
      </c>
      <c r="DG295">
        <v>1964</v>
      </c>
      <c r="DH295">
        <v>3</v>
      </c>
      <c r="DI295" t="s">
        <v>4055</v>
      </c>
      <c r="DJ295" t="s">
        <v>4100</v>
      </c>
      <c r="DK295">
        <v>195</v>
      </c>
      <c r="DL295" t="s">
        <v>4101</v>
      </c>
      <c r="DM295">
        <v>59</v>
      </c>
      <c r="DN295">
        <v>0.84</v>
      </c>
      <c r="DO295">
        <v>1</v>
      </c>
      <c r="DP295">
        <v>1858</v>
      </c>
      <c r="DQ295">
        <v>661</v>
      </c>
      <c r="DR295" t="s">
        <v>4100</v>
      </c>
      <c r="DS295">
        <v>185</v>
      </c>
      <c r="DT295" t="s">
        <v>4101</v>
      </c>
      <c r="DU295">
        <v>59</v>
      </c>
      <c r="DV295">
        <v>0.84</v>
      </c>
      <c r="DW295">
        <v>1</v>
      </c>
      <c r="DX295">
        <v>1865</v>
      </c>
      <c r="DY295">
        <v>630</v>
      </c>
      <c r="DZ295" t="s">
        <v>4066</v>
      </c>
      <c r="EA295">
        <v>33</v>
      </c>
      <c r="EB295" t="s">
        <v>4065</v>
      </c>
      <c r="EC295">
        <v>0.4</v>
      </c>
      <c r="ED295">
        <v>1858</v>
      </c>
      <c r="EE295">
        <v>54</v>
      </c>
      <c r="EF295" t="s">
        <v>4066</v>
      </c>
      <c r="EG295">
        <v>33</v>
      </c>
      <c r="EH295" t="s">
        <v>4065</v>
      </c>
      <c r="EI295">
        <v>0.4</v>
      </c>
      <c r="EJ295">
        <v>1865</v>
      </c>
      <c r="EK295">
        <v>54</v>
      </c>
      <c r="EL295" t="s">
        <v>1528</v>
      </c>
      <c r="EM295">
        <v>12</v>
      </c>
      <c r="EN295">
        <v>0.5</v>
      </c>
      <c r="EO295">
        <v>0.96</v>
      </c>
      <c r="EP295">
        <v>1865.56</v>
      </c>
      <c r="EQ295">
        <v>31189.83</v>
      </c>
      <c r="ER295">
        <v>8480.65</v>
      </c>
      <c r="ES295">
        <v>0</v>
      </c>
      <c r="ET295">
        <v>0</v>
      </c>
      <c r="EU295">
        <v>1</v>
      </c>
      <c r="EV295">
        <v>39671</v>
      </c>
      <c r="EW295">
        <v>477</v>
      </c>
      <c r="EX295" t="s">
        <v>4363</v>
      </c>
      <c r="EY295">
        <v>210</v>
      </c>
      <c r="EZ295" t="s">
        <v>4055</v>
      </c>
      <c r="FA295">
        <v>4.5</v>
      </c>
      <c r="FB295">
        <v>1</v>
      </c>
      <c r="FC295">
        <v>1</v>
      </c>
      <c r="FD295">
        <v>1893</v>
      </c>
      <c r="FE295">
        <v>2050</v>
      </c>
      <c r="FF295" t="s">
        <v>4089</v>
      </c>
      <c r="FG295">
        <v>210</v>
      </c>
      <c r="FH295" t="s">
        <v>4055</v>
      </c>
      <c r="FI295">
        <v>1.6</v>
      </c>
      <c r="FJ295">
        <v>1893</v>
      </c>
      <c r="FK295">
        <v>639</v>
      </c>
      <c r="FL295" t="s">
        <v>4069</v>
      </c>
      <c r="FM295" t="s">
        <v>4055</v>
      </c>
      <c r="FN295" t="s">
        <v>4055</v>
      </c>
      <c r="FO295" t="s">
        <v>4055</v>
      </c>
      <c r="FP295">
        <v>1893</v>
      </c>
      <c r="FQ295">
        <v>128</v>
      </c>
      <c r="FR295" t="s">
        <v>4090</v>
      </c>
      <c r="FS295">
        <v>214</v>
      </c>
      <c r="FT295" t="s">
        <v>4055</v>
      </c>
      <c r="FU295">
        <v>0.4</v>
      </c>
      <c r="FV295">
        <v>1893</v>
      </c>
      <c r="FW295">
        <v>180</v>
      </c>
      <c r="FX295" t="s">
        <v>4070</v>
      </c>
      <c r="FY295">
        <v>5</v>
      </c>
      <c r="FZ295" t="s">
        <v>4055</v>
      </c>
      <c r="GA295" t="s">
        <v>4055</v>
      </c>
      <c r="GB295">
        <v>1893</v>
      </c>
      <c r="GC295">
        <v>14</v>
      </c>
      <c r="GD295">
        <v>3011</v>
      </c>
      <c r="GE295" t="s">
        <v>5043</v>
      </c>
      <c r="GF295" t="s">
        <v>4055</v>
      </c>
      <c r="GG295" t="s">
        <v>4055</v>
      </c>
      <c r="GH295" t="s">
        <v>4055</v>
      </c>
      <c r="GI295" t="s">
        <v>4071</v>
      </c>
      <c r="GJ295" t="s">
        <v>4055</v>
      </c>
      <c r="GK295" t="s">
        <v>4055</v>
      </c>
      <c r="GL295" t="s">
        <v>4055</v>
      </c>
      <c r="GM295" t="s">
        <v>4055</v>
      </c>
      <c r="GQ295">
        <v>0</v>
      </c>
      <c r="GV295">
        <v>6.5</v>
      </c>
      <c r="GW295">
        <v>8.699999999999999</v>
      </c>
      <c r="GX295">
        <v>0.5</v>
      </c>
      <c r="GY295">
        <v>184</v>
      </c>
      <c r="GZ295">
        <v>3</v>
      </c>
      <c r="HA295">
        <v>230</v>
      </c>
      <c r="HB295">
        <v>3</v>
      </c>
      <c r="HC295">
        <v>1893</v>
      </c>
      <c r="HD295">
        <v>4</v>
      </c>
      <c r="HE295" t="s">
        <v>4071</v>
      </c>
      <c r="HG295" t="s">
        <v>549</v>
      </c>
      <c r="HL295">
        <v>4</v>
      </c>
      <c r="HM295">
        <v>17</v>
      </c>
      <c r="HN295">
        <v>6</v>
      </c>
      <c r="HO295">
        <v>1</v>
      </c>
      <c r="HP295">
        <v>0</v>
      </c>
      <c r="HQ295">
        <v>2</v>
      </c>
      <c r="HR295">
        <v>1</v>
      </c>
      <c r="HS295">
        <v>1855</v>
      </c>
      <c r="HT295">
        <v>5</v>
      </c>
      <c r="HU295">
        <v>1</v>
      </c>
      <c r="HV295">
        <v>3</v>
      </c>
      <c r="HW295">
        <v>0</v>
      </c>
      <c r="HX295">
        <v>1</v>
      </c>
      <c r="HY295">
        <v>0</v>
      </c>
      <c r="HZ295">
        <v>59</v>
      </c>
      <c r="IA295">
        <v>1858</v>
      </c>
      <c r="IB295">
        <v>1865</v>
      </c>
      <c r="ID295">
        <v>1893</v>
      </c>
      <c r="IE295">
        <v>1893</v>
      </c>
      <c r="IF295">
        <v>195</v>
      </c>
      <c r="IG295">
        <v>185</v>
      </c>
      <c r="IH295">
        <v>230</v>
      </c>
      <c r="II295">
        <v>1</v>
      </c>
      <c r="IJ295">
        <v>5</v>
      </c>
      <c r="IK295">
        <v>0</v>
      </c>
      <c r="IL295">
        <v>0</v>
      </c>
      <c r="IM295">
        <v>0</v>
      </c>
      <c r="IN295">
        <v>270</v>
      </c>
      <c r="IO295">
        <v>0</v>
      </c>
      <c r="IP295">
        <v>180</v>
      </c>
      <c r="IQ295">
        <v>0</v>
      </c>
      <c r="IR295">
        <v>325</v>
      </c>
      <c r="IS295">
        <v>0</v>
      </c>
      <c r="IT295">
        <v>90</v>
      </c>
      <c r="IU295">
        <v>0</v>
      </c>
      <c r="IV295">
        <v>6.4</v>
      </c>
      <c r="IW295">
        <v>-6</v>
      </c>
      <c r="IX295">
        <v>101</v>
      </c>
      <c r="IY295">
        <v>72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342</v>
      </c>
      <c r="JJ295">
        <v>308</v>
      </c>
      <c r="JK295">
        <v>224</v>
      </c>
      <c r="JL295">
        <v>308</v>
      </c>
      <c r="JM295">
        <v>234</v>
      </c>
      <c r="JN295">
        <v>195</v>
      </c>
      <c r="JO295">
        <v>240</v>
      </c>
      <c r="JP295">
        <v>230</v>
      </c>
      <c r="JQ295">
        <v>252</v>
      </c>
      <c r="JR295">
        <v>325</v>
      </c>
      <c r="JS295">
        <v>270</v>
      </c>
      <c r="JT295">
        <v>0</v>
      </c>
      <c r="JU295">
        <v>0</v>
      </c>
      <c r="JV295">
        <v>300</v>
      </c>
      <c r="JW295">
        <v>307</v>
      </c>
      <c r="JX295">
        <v>0</v>
      </c>
      <c r="JY295">
        <v>0</v>
      </c>
      <c r="JZ295">
        <v>0</v>
      </c>
      <c r="KA295">
        <v>0.2</v>
      </c>
      <c r="KB295">
        <v>0.4</v>
      </c>
      <c r="KC295">
        <v>0.42</v>
      </c>
      <c r="KD295">
        <v>0.28</v>
      </c>
      <c r="KE295">
        <v>0.6</v>
      </c>
      <c r="KF295">
        <v>0.18</v>
      </c>
      <c r="KG295">
        <v>0.1</v>
      </c>
      <c r="KH295">
        <v>3.5</v>
      </c>
      <c r="KI295">
        <v>0.5</v>
      </c>
      <c r="KJ295">
        <v>4</v>
      </c>
      <c r="KK295">
        <v>0</v>
      </c>
      <c r="KL295">
        <v>4</v>
      </c>
      <c r="KM295">
        <v>1</v>
      </c>
      <c r="KN295">
        <v>1.4</v>
      </c>
      <c r="KO295">
        <v>0</v>
      </c>
      <c r="KP295">
        <v>0</v>
      </c>
      <c r="KQ295">
        <v>1</v>
      </c>
      <c r="KR295">
        <v>0.8</v>
      </c>
      <c r="KS295">
        <v>0</v>
      </c>
      <c r="KT295">
        <v>2.5</v>
      </c>
      <c r="KU295">
        <v>0</v>
      </c>
      <c r="KV295">
        <v>0</v>
      </c>
      <c r="KW295">
        <v>1.2</v>
      </c>
      <c r="KX295">
        <v>2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3</v>
      </c>
      <c r="LI295">
        <v>0</v>
      </c>
      <c r="LJ295">
        <v>0</v>
      </c>
      <c r="LK295">
        <v>3</v>
      </c>
      <c r="LL295">
        <v>4</v>
      </c>
      <c r="LM295">
        <v>4</v>
      </c>
      <c r="LN295">
        <v>0.5</v>
      </c>
      <c r="LO295">
        <v>1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1.4</v>
      </c>
      <c r="LX295">
        <v>1.4</v>
      </c>
      <c r="LY295">
        <v>2.1</v>
      </c>
      <c r="LZ295">
        <v>2.1</v>
      </c>
      <c r="MA295">
        <v>0</v>
      </c>
      <c r="MB295">
        <v>0</v>
      </c>
      <c r="MC295">
        <v>0</v>
      </c>
      <c r="MD295">
        <v>4.5</v>
      </c>
      <c r="ME295">
        <v>6</v>
      </c>
      <c r="MF295">
        <v>6</v>
      </c>
      <c r="MI295">
        <v>0</v>
      </c>
      <c r="MJ295">
        <v>0</v>
      </c>
      <c r="ML295">
        <v>0</v>
      </c>
      <c r="MM295">
        <v>390</v>
      </c>
      <c r="MN295">
        <v>195</v>
      </c>
      <c r="MO295">
        <v>240</v>
      </c>
      <c r="NU295">
        <v>0.15</v>
      </c>
      <c r="NV295">
        <v>0.2</v>
      </c>
      <c r="NW295">
        <v>0.2</v>
      </c>
      <c r="NX295">
        <v>0.2</v>
      </c>
      <c r="NY295">
        <v>0.2</v>
      </c>
      <c r="NZ295">
        <v>0.2</v>
      </c>
      <c r="OE295" t="s">
        <v>5043</v>
      </c>
      <c r="OF295" t="s">
        <v>5041</v>
      </c>
      <c r="OG295" t="s">
        <v>5042</v>
      </c>
      <c r="OH295" t="s">
        <v>4043</v>
      </c>
      <c r="OI295" t="s">
        <v>5043</v>
      </c>
      <c r="OJ295" t="s">
        <v>5040</v>
      </c>
      <c r="OK295">
        <v>61</v>
      </c>
      <c r="OL295">
        <v>61</v>
      </c>
      <c r="OM295" t="s">
        <v>5041</v>
      </c>
      <c r="ON295">
        <v>1</v>
      </c>
      <c r="OO295">
        <v>1858</v>
      </c>
      <c r="OP295">
        <v>61</v>
      </c>
      <c r="OQ295">
        <v>61</v>
      </c>
      <c r="OR295" t="s">
        <v>5042</v>
      </c>
      <c r="OS295">
        <v>1</v>
      </c>
      <c r="OT295">
        <v>1865</v>
      </c>
      <c r="OU295">
        <v>65</v>
      </c>
      <c r="OV295">
        <v>65</v>
      </c>
      <c r="OW295" t="s">
        <v>4043</v>
      </c>
      <c r="OX295">
        <v>2</v>
      </c>
      <c r="OY295">
        <v>39671</v>
      </c>
      <c r="OZ295">
        <v>51</v>
      </c>
      <c r="PA295">
        <v>51</v>
      </c>
      <c r="PB295" t="s">
        <v>5043</v>
      </c>
      <c r="PC295">
        <v>1</v>
      </c>
      <c r="PD295">
        <v>1893</v>
      </c>
      <c r="PF295">
        <v>356</v>
      </c>
      <c r="PG295">
        <v>29</v>
      </c>
      <c r="PH295">
        <v>338</v>
      </c>
      <c r="PI295">
        <v>29</v>
      </c>
      <c r="PJ295">
        <v>67.7</v>
      </c>
      <c r="PK295">
        <v>1564</v>
      </c>
      <c r="PL295">
        <v>1083.1</v>
      </c>
      <c r="PM295">
        <v>337.4</v>
      </c>
      <c r="PN295">
        <v>95.2</v>
      </c>
      <c r="PO295">
        <v>7.6</v>
      </c>
      <c r="PP295">
        <v>12</v>
      </c>
      <c r="PQ295">
        <v>2</v>
      </c>
      <c r="PR295">
        <v>1</v>
      </c>
      <c r="PS295">
        <v>7</v>
      </c>
      <c r="PT295">
        <v>230</v>
      </c>
      <c r="PU295">
        <v>10</v>
      </c>
      <c r="PV295" t="s">
        <v>4072</v>
      </c>
      <c r="PW295" t="s">
        <v>4072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-1</v>
      </c>
      <c r="QF295">
        <v>1</v>
      </c>
      <c r="QG295">
        <v>0</v>
      </c>
      <c r="QH295">
        <v>5</v>
      </c>
      <c r="QI295">
        <v>5</v>
      </c>
      <c r="QJ295">
        <v>5</v>
      </c>
      <c r="QK295">
        <v>189</v>
      </c>
      <c r="QL295">
        <v>372</v>
      </c>
      <c r="QM295">
        <v>7.5</v>
      </c>
      <c r="QN295">
        <v>1378.2</v>
      </c>
      <c r="QO295" t="s">
        <v>3491</v>
      </c>
      <c r="QP295" t="s">
        <v>513</v>
      </c>
      <c r="QQ295">
        <v>0</v>
      </c>
      <c r="QR295" t="s">
        <v>1343</v>
      </c>
      <c r="QS295">
        <v>40</v>
      </c>
      <c r="QT295">
        <v>50</v>
      </c>
    </row>
    <row r="296" spans="1:462">
      <c r="A296" t="s">
        <v>3514</v>
      </c>
      <c r="B296" t="s">
        <v>804</v>
      </c>
      <c r="C296" t="s">
        <v>509</v>
      </c>
      <c r="D296" t="s">
        <v>2252</v>
      </c>
      <c r="E296" t="s">
        <v>4036</v>
      </c>
      <c r="H296" t="s">
        <v>561</v>
      </c>
      <c r="J296" t="s">
        <v>562</v>
      </c>
      <c r="K296" t="s">
        <v>563</v>
      </c>
      <c r="L296" t="s">
        <v>508</v>
      </c>
      <c r="M296" t="s">
        <v>512</v>
      </c>
      <c r="N296" t="s">
        <v>515</v>
      </c>
      <c r="O296" t="s">
        <v>513</v>
      </c>
      <c r="P296" t="s">
        <v>567</v>
      </c>
      <c r="Q296" t="s">
        <v>1617</v>
      </c>
      <c r="R296" t="s">
        <v>1618</v>
      </c>
      <c r="S296" t="s">
        <v>4091</v>
      </c>
      <c r="T296" t="s">
        <v>1482</v>
      </c>
      <c r="U296" t="s">
        <v>1483</v>
      </c>
      <c r="V296" t="s">
        <v>1905</v>
      </c>
      <c r="W296" t="s">
        <v>1880</v>
      </c>
      <c r="X296" t="s">
        <v>1906</v>
      </c>
      <c r="Y296" t="s">
        <v>3515</v>
      </c>
      <c r="Z296" t="s">
        <v>541</v>
      </c>
      <c r="AA296" t="s">
        <v>4038</v>
      </c>
      <c r="AB296" t="s">
        <v>5044</v>
      </c>
      <c r="AC296">
        <v>9</v>
      </c>
      <c r="AD296" t="s">
        <v>3513</v>
      </c>
      <c r="AE296">
        <v>2</v>
      </c>
      <c r="AF296">
        <v>3307</v>
      </c>
      <c r="AG296" t="s">
        <v>4492</v>
      </c>
      <c r="AH296">
        <v>1</v>
      </c>
      <c r="AI296" t="s">
        <v>4041</v>
      </c>
      <c r="AK296" t="s">
        <v>4493</v>
      </c>
      <c r="AL296">
        <v>1</v>
      </c>
      <c r="AM296" t="s">
        <v>582</v>
      </c>
      <c r="AO296" t="s">
        <v>4353</v>
      </c>
      <c r="AP296">
        <v>1</v>
      </c>
      <c r="AR296" t="s">
        <v>5045</v>
      </c>
      <c r="AS296">
        <v>1</v>
      </c>
      <c r="AT296">
        <v>51</v>
      </c>
      <c r="AV296" t="s">
        <v>4045</v>
      </c>
      <c r="AW296">
        <v>6.4</v>
      </c>
      <c r="AX296">
        <v>-6</v>
      </c>
      <c r="AY296">
        <v>80</v>
      </c>
      <c r="AZ296">
        <v>72</v>
      </c>
      <c r="BH296">
        <v>80</v>
      </c>
      <c r="BI296">
        <v>8</v>
      </c>
      <c r="BJ296">
        <v>72</v>
      </c>
      <c r="BK296">
        <v>2.5</v>
      </c>
      <c r="BL296">
        <v>160</v>
      </c>
      <c r="BM296">
        <v>-6</v>
      </c>
      <c r="BN296">
        <v>0</v>
      </c>
      <c r="BO296">
        <v>0</v>
      </c>
      <c r="BP296">
        <v>0</v>
      </c>
      <c r="BR296">
        <v>155</v>
      </c>
      <c r="BS296">
        <v>145</v>
      </c>
      <c r="BT296">
        <v>1875</v>
      </c>
      <c r="BU296" t="s">
        <v>4047</v>
      </c>
      <c r="BV296" t="s">
        <v>4047</v>
      </c>
      <c r="BW296" t="s">
        <v>4049</v>
      </c>
      <c r="BX296" t="s">
        <v>4049</v>
      </c>
      <c r="BY296" t="s">
        <v>4413</v>
      </c>
      <c r="BZ296" t="s">
        <v>4413</v>
      </c>
      <c r="CA296" t="s">
        <v>4370</v>
      </c>
      <c r="CB296" t="s">
        <v>4371</v>
      </c>
      <c r="CC296" t="s">
        <v>4053</v>
      </c>
      <c r="CD296" t="s">
        <v>4372</v>
      </c>
      <c r="CE296" t="s">
        <v>4055</v>
      </c>
      <c r="CF296" t="s">
        <v>4055</v>
      </c>
      <c r="CG296" t="s">
        <v>4056</v>
      </c>
      <c r="CH296" t="s">
        <v>4057</v>
      </c>
      <c r="CI296" t="s">
        <v>4058</v>
      </c>
      <c r="CJ296" t="s">
        <v>4059</v>
      </c>
      <c r="CK296" t="s">
        <v>4060</v>
      </c>
      <c r="CL296" t="s">
        <v>4061</v>
      </c>
      <c r="CM296" t="s">
        <v>4062</v>
      </c>
      <c r="CN296" t="s">
        <v>4055</v>
      </c>
      <c r="CO296" t="s">
        <v>4063</v>
      </c>
      <c r="CP296" t="s">
        <v>4055</v>
      </c>
      <c r="CQ296" t="s">
        <v>4055</v>
      </c>
      <c r="CR296">
        <v>5</v>
      </c>
      <c r="CS296" t="s">
        <v>4055</v>
      </c>
      <c r="CT296" t="s">
        <v>4055</v>
      </c>
      <c r="CU296" t="s">
        <v>4055</v>
      </c>
      <c r="CV296">
        <v>102</v>
      </c>
      <c r="CW296">
        <v>3</v>
      </c>
      <c r="CX296">
        <v>62</v>
      </c>
      <c r="CY296">
        <v>5</v>
      </c>
      <c r="CZ296">
        <v>54</v>
      </c>
      <c r="DA296">
        <v>5</v>
      </c>
      <c r="DB296">
        <v>7200</v>
      </c>
      <c r="DC296">
        <v>210</v>
      </c>
      <c r="DD296">
        <v>285</v>
      </c>
      <c r="DE296">
        <v>1964</v>
      </c>
      <c r="DF296">
        <v>1964</v>
      </c>
      <c r="DG296">
        <v>1972</v>
      </c>
      <c r="DH296" t="s">
        <v>4055</v>
      </c>
      <c r="DI296" t="s">
        <v>4055</v>
      </c>
      <c r="DJ296" t="s">
        <v>4100</v>
      </c>
      <c r="DK296">
        <v>155</v>
      </c>
      <c r="DL296" t="s">
        <v>4101</v>
      </c>
      <c r="DM296">
        <v>63</v>
      </c>
      <c r="DN296">
        <v>0.84</v>
      </c>
      <c r="DO296">
        <v>1</v>
      </c>
      <c r="DP296">
        <v>1878</v>
      </c>
      <c r="DQ296">
        <v>531</v>
      </c>
      <c r="DR296" t="s">
        <v>4100</v>
      </c>
      <c r="DS296">
        <v>145</v>
      </c>
      <c r="DT296" t="s">
        <v>4101</v>
      </c>
      <c r="DU296">
        <v>63</v>
      </c>
      <c r="DV296">
        <v>0.84</v>
      </c>
      <c r="DW296">
        <v>1</v>
      </c>
      <c r="DX296">
        <v>1885</v>
      </c>
      <c r="DY296">
        <v>500</v>
      </c>
      <c r="DZ296" t="s">
        <v>4066</v>
      </c>
      <c r="EA296">
        <v>33</v>
      </c>
      <c r="EB296" t="s">
        <v>4065</v>
      </c>
      <c r="EC296">
        <v>0.4</v>
      </c>
      <c r="ED296">
        <v>1878</v>
      </c>
      <c r="EE296">
        <v>54</v>
      </c>
      <c r="EF296" t="s">
        <v>4066</v>
      </c>
      <c r="EG296">
        <v>33</v>
      </c>
      <c r="EH296" t="s">
        <v>4065</v>
      </c>
      <c r="EI296">
        <v>0.4</v>
      </c>
      <c r="EJ296">
        <v>1885</v>
      </c>
      <c r="EK296">
        <v>55</v>
      </c>
      <c r="EL296" t="s">
        <v>4362</v>
      </c>
      <c r="EM296">
        <v>12</v>
      </c>
      <c r="EN296">
        <v>0.5</v>
      </c>
      <c r="EO296">
        <v>0.77</v>
      </c>
      <c r="EP296">
        <v>1885.56</v>
      </c>
      <c r="EQ296">
        <v>25337.21</v>
      </c>
      <c r="ER296">
        <v>2363</v>
      </c>
      <c r="ES296">
        <v>0</v>
      </c>
      <c r="ET296">
        <v>0</v>
      </c>
      <c r="EU296">
        <v>1</v>
      </c>
      <c r="EV296">
        <v>27701</v>
      </c>
      <c r="EW296">
        <v>278</v>
      </c>
      <c r="EX296" t="s">
        <v>4363</v>
      </c>
      <c r="EY296">
        <v>172</v>
      </c>
      <c r="EZ296" t="s">
        <v>4055</v>
      </c>
      <c r="FA296">
        <v>4</v>
      </c>
      <c r="FB296">
        <v>1</v>
      </c>
      <c r="FC296">
        <v>1</v>
      </c>
      <c r="FD296">
        <v>1908</v>
      </c>
      <c r="FE296">
        <v>1871</v>
      </c>
      <c r="FF296" t="s">
        <v>4089</v>
      </c>
      <c r="FG296">
        <v>172</v>
      </c>
      <c r="FH296" t="s">
        <v>4055</v>
      </c>
      <c r="FI296">
        <v>1.1</v>
      </c>
      <c r="FJ296">
        <v>1908</v>
      </c>
      <c r="FK296">
        <v>345</v>
      </c>
      <c r="FL296" t="s">
        <v>4069</v>
      </c>
      <c r="FM296" t="s">
        <v>4055</v>
      </c>
      <c r="FN296" t="s">
        <v>4055</v>
      </c>
      <c r="FO296" t="s">
        <v>4055</v>
      </c>
      <c r="FP296">
        <v>1908</v>
      </c>
      <c r="FQ296">
        <v>91</v>
      </c>
      <c r="FR296" t="s">
        <v>4090</v>
      </c>
      <c r="FS296">
        <v>176</v>
      </c>
      <c r="FT296" t="s">
        <v>4055</v>
      </c>
      <c r="FU296">
        <v>0.4</v>
      </c>
      <c r="FV296">
        <v>1908</v>
      </c>
      <c r="FW296">
        <v>149</v>
      </c>
      <c r="FX296" t="s">
        <v>4070</v>
      </c>
      <c r="FY296">
        <v>10</v>
      </c>
      <c r="FZ296" t="s">
        <v>4055</v>
      </c>
      <c r="GA296" t="s">
        <v>4055</v>
      </c>
      <c r="GB296">
        <v>1908</v>
      </c>
      <c r="GC296">
        <v>15</v>
      </c>
      <c r="GD296">
        <v>2471</v>
      </c>
      <c r="GE296" t="s">
        <v>5045</v>
      </c>
      <c r="GF296" t="s">
        <v>4055</v>
      </c>
      <c r="GG296" t="s">
        <v>4055</v>
      </c>
      <c r="GH296" t="s">
        <v>4055</v>
      </c>
      <c r="GI296" t="s">
        <v>4071</v>
      </c>
      <c r="GJ296" t="s">
        <v>4055</v>
      </c>
      <c r="GK296" t="s">
        <v>4055</v>
      </c>
      <c r="GL296" t="s">
        <v>4055</v>
      </c>
      <c r="GM296" t="s">
        <v>4055</v>
      </c>
      <c r="GQ296">
        <v>0</v>
      </c>
      <c r="GV296">
        <v>5.5</v>
      </c>
      <c r="GW296">
        <v>7.7</v>
      </c>
      <c r="GX296">
        <v>0.5</v>
      </c>
      <c r="GY296">
        <v>132</v>
      </c>
      <c r="GZ296">
        <v>3</v>
      </c>
      <c r="HA296">
        <v>192</v>
      </c>
      <c r="HB296">
        <v>3</v>
      </c>
      <c r="HC296">
        <v>1908</v>
      </c>
      <c r="HD296">
        <v>4</v>
      </c>
      <c r="HE296" t="s">
        <v>4071</v>
      </c>
      <c r="HG296" t="s">
        <v>549</v>
      </c>
      <c r="HL296">
        <v>4</v>
      </c>
      <c r="HM296">
        <v>15</v>
      </c>
      <c r="HN296">
        <v>6</v>
      </c>
      <c r="HO296">
        <v>1</v>
      </c>
      <c r="HP296">
        <v>0</v>
      </c>
      <c r="HQ296">
        <v>0</v>
      </c>
      <c r="HR296">
        <v>1</v>
      </c>
      <c r="HS296">
        <v>1875</v>
      </c>
      <c r="HT296">
        <v>5</v>
      </c>
      <c r="HU296">
        <v>1</v>
      </c>
      <c r="HV296">
        <v>5</v>
      </c>
      <c r="HW296">
        <v>0</v>
      </c>
      <c r="HX296">
        <v>1</v>
      </c>
      <c r="HY296">
        <v>0</v>
      </c>
      <c r="HZ296">
        <v>63</v>
      </c>
      <c r="IA296">
        <v>1878</v>
      </c>
      <c r="IB296">
        <v>1885</v>
      </c>
      <c r="ID296">
        <v>1908</v>
      </c>
      <c r="IE296">
        <v>1908</v>
      </c>
      <c r="IF296">
        <v>155</v>
      </c>
      <c r="IG296">
        <v>145</v>
      </c>
      <c r="IH296">
        <v>192</v>
      </c>
      <c r="II296">
        <v>1</v>
      </c>
      <c r="IJ296">
        <v>5</v>
      </c>
      <c r="IK296">
        <v>0</v>
      </c>
      <c r="IL296">
        <v>2</v>
      </c>
      <c r="IM296">
        <v>0</v>
      </c>
      <c r="IN296">
        <v>270</v>
      </c>
      <c r="IO296">
        <v>0</v>
      </c>
      <c r="IP296">
        <v>180</v>
      </c>
      <c r="IQ296">
        <v>0</v>
      </c>
      <c r="IR296">
        <v>310</v>
      </c>
      <c r="IS296">
        <v>0</v>
      </c>
      <c r="IT296">
        <v>90</v>
      </c>
      <c r="IU296">
        <v>0</v>
      </c>
      <c r="IV296">
        <v>6.4</v>
      </c>
      <c r="IW296">
        <v>-6</v>
      </c>
      <c r="IX296">
        <v>80</v>
      </c>
      <c r="IY296">
        <v>72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356</v>
      </c>
      <c r="JJ296">
        <v>326</v>
      </c>
      <c r="JK296">
        <v>240</v>
      </c>
      <c r="JL296">
        <v>324</v>
      </c>
      <c r="JM296">
        <v>245</v>
      </c>
      <c r="JN296">
        <v>150</v>
      </c>
      <c r="JO296">
        <v>204</v>
      </c>
      <c r="JP296">
        <v>210</v>
      </c>
      <c r="JQ296">
        <v>260</v>
      </c>
      <c r="JR296">
        <v>355</v>
      </c>
      <c r="JS296">
        <v>260</v>
      </c>
      <c r="JT296">
        <v>0</v>
      </c>
      <c r="JU296">
        <v>0</v>
      </c>
      <c r="JV296">
        <v>335</v>
      </c>
      <c r="JW296">
        <v>337</v>
      </c>
      <c r="JX296">
        <v>350</v>
      </c>
      <c r="JY296">
        <v>338</v>
      </c>
      <c r="JZ296">
        <v>1.5</v>
      </c>
      <c r="KA296">
        <v>0.2</v>
      </c>
      <c r="KB296">
        <v>0.42</v>
      </c>
      <c r="KC296">
        <v>0.43</v>
      </c>
      <c r="KD296">
        <v>0.2</v>
      </c>
      <c r="KE296">
        <v>0.5</v>
      </c>
      <c r="KF296">
        <v>0.2</v>
      </c>
      <c r="KG296">
        <v>0.1</v>
      </c>
      <c r="KH296">
        <v>6</v>
      </c>
      <c r="KI296">
        <v>1</v>
      </c>
      <c r="KJ296">
        <v>5.5</v>
      </c>
      <c r="KK296">
        <v>2.5</v>
      </c>
      <c r="KL296">
        <v>4.5</v>
      </c>
      <c r="KM296">
        <v>0</v>
      </c>
      <c r="KN296">
        <v>1.1</v>
      </c>
      <c r="KO296">
        <v>0</v>
      </c>
      <c r="KP296">
        <v>0</v>
      </c>
      <c r="KQ296">
        <v>1</v>
      </c>
      <c r="KR296">
        <v>1.2</v>
      </c>
      <c r="KS296">
        <v>0</v>
      </c>
      <c r="KT296">
        <v>2.3</v>
      </c>
      <c r="KU296">
        <v>0</v>
      </c>
      <c r="KV296">
        <v>0</v>
      </c>
      <c r="KW296">
        <v>1.2</v>
      </c>
      <c r="KX296">
        <v>2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3</v>
      </c>
      <c r="LI296">
        <v>1</v>
      </c>
      <c r="LJ296">
        <v>0</v>
      </c>
      <c r="LK296">
        <v>3</v>
      </c>
      <c r="LL296">
        <v>10</v>
      </c>
      <c r="LM296">
        <v>4</v>
      </c>
      <c r="LN296">
        <v>1</v>
      </c>
      <c r="LO296">
        <v>3</v>
      </c>
      <c r="LP296">
        <v>0</v>
      </c>
      <c r="LQ296">
        <v>0</v>
      </c>
      <c r="LR296">
        <v>0</v>
      </c>
      <c r="LS296">
        <v>1</v>
      </c>
      <c r="LT296">
        <v>0</v>
      </c>
      <c r="LU296">
        <v>0</v>
      </c>
      <c r="LV296">
        <v>0</v>
      </c>
      <c r="LW296">
        <v>1.4</v>
      </c>
      <c r="LX296">
        <v>1.4</v>
      </c>
      <c r="LY296">
        <v>2.1</v>
      </c>
      <c r="LZ296">
        <v>2.1</v>
      </c>
      <c r="MA296">
        <v>0</v>
      </c>
      <c r="MB296">
        <v>10</v>
      </c>
      <c r="MC296">
        <v>0</v>
      </c>
      <c r="MD296">
        <v>4.5</v>
      </c>
      <c r="ME296">
        <v>6</v>
      </c>
      <c r="MF296">
        <v>6</v>
      </c>
      <c r="MI296">
        <v>0</v>
      </c>
      <c r="MJ296">
        <v>0</v>
      </c>
      <c r="ML296">
        <v>0</v>
      </c>
      <c r="MM296">
        <v>358</v>
      </c>
      <c r="MN296">
        <v>175</v>
      </c>
      <c r="MO296">
        <v>202</v>
      </c>
      <c r="NU296">
        <v>0.15</v>
      </c>
      <c r="NV296">
        <v>0.2</v>
      </c>
      <c r="NW296">
        <v>0.2</v>
      </c>
      <c r="NX296">
        <v>2</v>
      </c>
      <c r="NY296">
        <v>2</v>
      </c>
      <c r="NZ296">
        <v>2</v>
      </c>
      <c r="OE296" t="s">
        <v>5045</v>
      </c>
      <c r="OF296" t="s">
        <v>4492</v>
      </c>
      <c r="OG296" t="s">
        <v>4493</v>
      </c>
      <c r="OH296" t="s">
        <v>4353</v>
      </c>
      <c r="OI296" t="s">
        <v>5045</v>
      </c>
      <c r="OJ296" t="s">
        <v>5044</v>
      </c>
      <c r="OK296">
        <v>61</v>
      </c>
      <c r="OL296">
        <v>61</v>
      </c>
      <c r="OM296" t="s">
        <v>4492</v>
      </c>
      <c r="ON296">
        <v>3</v>
      </c>
      <c r="OO296">
        <v>1878</v>
      </c>
      <c r="OP296">
        <v>61</v>
      </c>
      <c r="OQ296">
        <v>61</v>
      </c>
      <c r="OR296" t="s">
        <v>4493</v>
      </c>
      <c r="OS296">
        <v>3</v>
      </c>
      <c r="OT296">
        <v>1885</v>
      </c>
      <c r="OU296">
        <v>65</v>
      </c>
      <c r="OV296">
        <v>65</v>
      </c>
      <c r="OW296" t="s">
        <v>4353</v>
      </c>
      <c r="OX296">
        <v>1</v>
      </c>
      <c r="OY296">
        <v>27701</v>
      </c>
      <c r="OZ296">
        <v>51</v>
      </c>
      <c r="PA296">
        <v>51</v>
      </c>
      <c r="PB296" t="s">
        <v>5045</v>
      </c>
      <c r="PC296">
        <v>1</v>
      </c>
      <c r="PD296">
        <v>1908</v>
      </c>
      <c r="PF296">
        <v>283</v>
      </c>
      <c r="PG296">
        <v>29</v>
      </c>
      <c r="PH296">
        <v>265</v>
      </c>
      <c r="PI296">
        <v>29</v>
      </c>
      <c r="PJ296">
        <v>47.8</v>
      </c>
      <c r="PK296">
        <v>1293</v>
      </c>
      <c r="PL296">
        <v>980.6</v>
      </c>
      <c r="PM296">
        <v>180.6</v>
      </c>
      <c r="PN296">
        <v>78.2</v>
      </c>
      <c r="PO296">
        <v>8.1</v>
      </c>
      <c r="PP296">
        <v>10</v>
      </c>
      <c r="PQ296">
        <v>1</v>
      </c>
      <c r="PR296">
        <v>1</v>
      </c>
      <c r="PS296">
        <v>7</v>
      </c>
      <c r="PT296">
        <v>192</v>
      </c>
      <c r="PU296">
        <v>10</v>
      </c>
      <c r="PV296" t="s">
        <v>4072</v>
      </c>
      <c r="PW296" t="s">
        <v>4072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-1</v>
      </c>
      <c r="QF296">
        <v>1</v>
      </c>
      <c r="QG296">
        <v>0</v>
      </c>
      <c r="QH296">
        <v>5</v>
      </c>
      <c r="QI296">
        <v>5</v>
      </c>
      <c r="QJ296">
        <v>5</v>
      </c>
      <c r="QK296">
        <v>173</v>
      </c>
      <c r="QL296">
        <v>390</v>
      </c>
      <c r="QM296">
        <v>7.5</v>
      </c>
      <c r="QN296">
        <v>1202.7</v>
      </c>
      <c r="QO296" t="s">
        <v>3491</v>
      </c>
      <c r="QP296" t="s">
        <v>513</v>
      </c>
      <c r="QQ296">
        <v>0</v>
      </c>
      <c r="QR296" t="s">
        <v>1496</v>
      </c>
      <c r="QS296">
        <v>30</v>
      </c>
      <c r="QT296">
        <v>40</v>
      </c>
    </row>
    <row r="297" spans="1:462">
      <c r="A297" t="s">
        <v>3521</v>
      </c>
      <c r="B297" t="s">
        <v>508</v>
      </c>
      <c r="C297" t="s">
        <v>509</v>
      </c>
      <c r="D297" t="s">
        <v>3520</v>
      </c>
      <c r="E297" t="s">
        <v>4036</v>
      </c>
      <c r="H297" t="s">
        <v>1088</v>
      </c>
      <c r="M297" t="s">
        <v>512</v>
      </c>
      <c r="N297" t="s">
        <v>515</v>
      </c>
      <c r="O297" t="s">
        <v>513</v>
      </c>
      <c r="P297" t="s">
        <v>567</v>
      </c>
      <c r="Q297" t="s">
        <v>1480</v>
      </c>
      <c r="R297" t="s">
        <v>1481</v>
      </c>
      <c r="S297" t="s">
        <v>4091</v>
      </c>
      <c r="T297" t="s">
        <v>1482</v>
      </c>
      <c r="U297" t="s">
        <v>1483</v>
      </c>
      <c r="V297" t="s">
        <v>1971</v>
      </c>
      <c r="W297" t="s">
        <v>1880</v>
      </c>
      <c r="X297" t="s">
        <v>3522</v>
      </c>
      <c r="Y297" t="s">
        <v>3523</v>
      </c>
      <c r="Z297" t="s">
        <v>541</v>
      </c>
      <c r="AA297" t="s">
        <v>4038</v>
      </c>
      <c r="AB297" t="s">
        <v>5046</v>
      </c>
      <c r="AC297">
        <v>9</v>
      </c>
      <c r="AD297" t="s">
        <v>3519</v>
      </c>
      <c r="AE297">
        <v>1</v>
      </c>
      <c r="AF297">
        <v>3324</v>
      </c>
      <c r="AG297" t="s">
        <v>4521</v>
      </c>
      <c r="AH297">
        <v>1</v>
      </c>
      <c r="AI297" t="s">
        <v>4041</v>
      </c>
      <c r="AK297" t="s">
        <v>4522</v>
      </c>
      <c r="AL297">
        <v>1</v>
      </c>
      <c r="AM297" t="s">
        <v>582</v>
      </c>
      <c r="AO297" t="s">
        <v>4426</v>
      </c>
      <c r="AP297">
        <v>1</v>
      </c>
      <c r="AR297" t="s">
        <v>5047</v>
      </c>
      <c r="AS297">
        <v>1</v>
      </c>
      <c r="AT297">
        <v>51</v>
      </c>
      <c r="AV297" t="s">
        <v>4045</v>
      </c>
      <c r="AW297">
        <v>6.4</v>
      </c>
      <c r="AX297">
        <v>-6</v>
      </c>
      <c r="AY297">
        <v>75</v>
      </c>
      <c r="AZ297">
        <v>66</v>
      </c>
      <c r="BH297">
        <v>75</v>
      </c>
      <c r="BI297">
        <v>9</v>
      </c>
      <c r="BJ297">
        <v>66</v>
      </c>
      <c r="BK297">
        <v>2.5</v>
      </c>
      <c r="BL297">
        <v>150</v>
      </c>
      <c r="BM297">
        <v>-6</v>
      </c>
      <c r="BN297">
        <v>0</v>
      </c>
      <c r="BP297">
        <v>0</v>
      </c>
      <c r="BR297">
        <v>145</v>
      </c>
      <c r="BS297">
        <v>135</v>
      </c>
      <c r="BT297">
        <v>1825</v>
      </c>
      <c r="BU297" t="s">
        <v>4046</v>
      </c>
      <c r="BV297" t="s">
        <v>4047</v>
      </c>
      <c r="BW297" t="s">
        <v>4048</v>
      </c>
      <c r="BX297" t="s">
        <v>4049</v>
      </c>
      <c r="BY297" t="s">
        <v>4413</v>
      </c>
      <c r="BZ297" t="s">
        <v>4413</v>
      </c>
      <c r="CA297" t="s">
        <v>4370</v>
      </c>
      <c r="CB297" t="s">
        <v>4371</v>
      </c>
      <c r="CC297" t="s">
        <v>4053</v>
      </c>
      <c r="CD297" t="s">
        <v>4372</v>
      </c>
      <c r="CE297" t="s">
        <v>4055</v>
      </c>
      <c r="CF297" t="s">
        <v>4055</v>
      </c>
      <c r="CG297" t="s">
        <v>4056</v>
      </c>
      <c r="CH297" t="s">
        <v>4145</v>
      </c>
      <c r="CI297" t="s">
        <v>4216</v>
      </c>
      <c r="CJ297" t="s">
        <v>4059</v>
      </c>
      <c r="CK297" t="s">
        <v>4060</v>
      </c>
      <c r="CL297" t="s">
        <v>4061</v>
      </c>
      <c r="CM297" t="s">
        <v>4062</v>
      </c>
      <c r="CN297" t="s">
        <v>4055</v>
      </c>
      <c r="CO297" t="s">
        <v>4063</v>
      </c>
      <c r="CP297" t="s">
        <v>4055</v>
      </c>
      <c r="CQ297" t="s">
        <v>4055</v>
      </c>
      <c r="CR297">
        <v>5</v>
      </c>
      <c r="CS297" t="s">
        <v>4055</v>
      </c>
      <c r="CT297" t="s">
        <v>4055</v>
      </c>
      <c r="CU297" t="s">
        <v>4055</v>
      </c>
      <c r="CV297">
        <v>97</v>
      </c>
      <c r="CW297">
        <v>3</v>
      </c>
      <c r="CX297">
        <v>61</v>
      </c>
      <c r="CY297">
        <v>5</v>
      </c>
      <c r="CZ297">
        <v>55</v>
      </c>
      <c r="DA297">
        <v>5</v>
      </c>
      <c r="DB297">
        <v>7030</v>
      </c>
      <c r="DC297">
        <v>210</v>
      </c>
      <c r="DD297">
        <v>272</v>
      </c>
      <c r="DE297">
        <v>1914</v>
      </c>
      <c r="DF297">
        <v>1914</v>
      </c>
      <c r="DG297">
        <v>1924</v>
      </c>
      <c r="DH297">
        <v>3</v>
      </c>
      <c r="DI297" t="s">
        <v>4055</v>
      </c>
      <c r="DJ297" t="s">
        <v>4100</v>
      </c>
      <c r="DK297">
        <v>145</v>
      </c>
      <c r="DL297" t="s">
        <v>4065</v>
      </c>
      <c r="DM297">
        <v>63</v>
      </c>
      <c r="DN297">
        <v>0.84</v>
      </c>
      <c r="DO297">
        <v>1</v>
      </c>
      <c r="DP297">
        <v>1828</v>
      </c>
      <c r="DQ297">
        <v>484</v>
      </c>
      <c r="DR297" t="s">
        <v>4100</v>
      </c>
      <c r="DS297">
        <v>135</v>
      </c>
      <c r="DT297" t="s">
        <v>4065</v>
      </c>
      <c r="DU297">
        <v>63</v>
      </c>
      <c r="DV297">
        <v>0.84</v>
      </c>
      <c r="DW297">
        <v>1</v>
      </c>
      <c r="DX297">
        <v>1835</v>
      </c>
      <c r="DY297">
        <v>453</v>
      </c>
      <c r="DZ297" t="s">
        <v>4066</v>
      </c>
      <c r="EA297">
        <v>33</v>
      </c>
      <c r="EB297" t="s">
        <v>4065</v>
      </c>
      <c r="EC297">
        <v>0.4</v>
      </c>
      <c r="ED297">
        <v>1828</v>
      </c>
      <c r="EE297">
        <v>53</v>
      </c>
      <c r="EF297" t="s">
        <v>4066</v>
      </c>
      <c r="EG297">
        <v>33</v>
      </c>
      <c r="EH297" t="s">
        <v>4065</v>
      </c>
      <c r="EI297">
        <v>0.4</v>
      </c>
      <c r="EJ297">
        <v>1835</v>
      </c>
      <c r="EK297">
        <v>53</v>
      </c>
      <c r="EL297" t="s">
        <v>4429</v>
      </c>
      <c r="EM297">
        <v>12</v>
      </c>
      <c r="EN297">
        <v>0.5</v>
      </c>
      <c r="EO297">
        <v>0.9</v>
      </c>
      <c r="EP297">
        <v>1835.56</v>
      </c>
      <c r="EQ297">
        <v>23231.31</v>
      </c>
      <c r="ER297">
        <v>2589.21</v>
      </c>
      <c r="ES297">
        <v>0</v>
      </c>
      <c r="ET297">
        <v>0</v>
      </c>
      <c r="EU297">
        <v>1</v>
      </c>
      <c r="EV297">
        <v>25821</v>
      </c>
      <c r="EW297">
        <v>310</v>
      </c>
      <c r="EX297" t="s">
        <v>4363</v>
      </c>
      <c r="EY297">
        <v>160</v>
      </c>
      <c r="EZ297" t="s">
        <v>4055</v>
      </c>
      <c r="FA297">
        <v>4.3</v>
      </c>
      <c r="FB297">
        <v>1</v>
      </c>
      <c r="FC297">
        <v>1</v>
      </c>
      <c r="FD297">
        <v>1860</v>
      </c>
      <c r="FE297">
        <v>1757</v>
      </c>
      <c r="FF297" t="s">
        <v>4089</v>
      </c>
      <c r="FG297">
        <v>160</v>
      </c>
      <c r="FH297" t="s">
        <v>4055</v>
      </c>
      <c r="FI297">
        <v>1.1</v>
      </c>
      <c r="FJ297">
        <v>1860</v>
      </c>
      <c r="FK297">
        <v>325</v>
      </c>
      <c r="FL297" t="s">
        <v>4069</v>
      </c>
      <c r="FM297" t="s">
        <v>4055</v>
      </c>
      <c r="FN297" t="s">
        <v>4055</v>
      </c>
      <c r="FO297" t="s">
        <v>4055</v>
      </c>
      <c r="FP297">
        <v>1860</v>
      </c>
      <c r="FQ297">
        <v>116</v>
      </c>
      <c r="FR297" t="s">
        <v>4090</v>
      </c>
      <c r="FS297">
        <v>164</v>
      </c>
      <c r="FT297" t="s">
        <v>4055</v>
      </c>
      <c r="FU297">
        <v>0.4</v>
      </c>
      <c r="FV297">
        <v>1860</v>
      </c>
      <c r="FW297">
        <v>135</v>
      </c>
      <c r="FX297" t="s">
        <v>4070</v>
      </c>
      <c r="FY297">
        <v>10</v>
      </c>
      <c r="FZ297" t="s">
        <v>4055</v>
      </c>
      <c r="GA297" t="s">
        <v>4055</v>
      </c>
      <c r="GB297">
        <v>1860</v>
      </c>
      <c r="GC297">
        <v>15</v>
      </c>
      <c r="GD297">
        <v>2348</v>
      </c>
      <c r="GE297" t="s">
        <v>5047</v>
      </c>
      <c r="GF297" t="s">
        <v>4055</v>
      </c>
      <c r="GG297" t="s">
        <v>4055</v>
      </c>
      <c r="GH297" t="s">
        <v>4055</v>
      </c>
      <c r="GI297" t="s">
        <v>4071</v>
      </c>
      <c r="GJ297" t="s">
        <v>4055</v>
      </c>
      <c r="GK297" t="s">
        <v>4055</v>
      </c>
      <c r="GL297" t="s">
        <v>4055</v>
      </c>
      <c r="GM297" t="s">
        <v>4055</v>
      </c>
      <c r="GQ297">
        <v>0</v>
      </c>
      <c r="GV297">
        <v>5.8</v>
      </c>
      <c r="GW297">
        <v>8.199999999999999</v>
      </c>
      <c r="GX297">
        <v>0.5</v>
      </c>
      <c r="GY297">
        <v>134</v>
      </c>
      <c r="GZ297">
        <v>3</v>
      </c>
      <c r="HA297">
        <v>178</v>
      </c>
      <c r="HB297">
        <v>3</v>
      </c>
      <c r="HC297">
        <v>1860</v>
      </c>
      <c r="HD297">
        <v>4</v>
      </c>
      <c r="HE297" t="s">
        <v>4071</v>
      </c>
      <c r="HG297" t="s">
        <v>549</v>
      </c>
      <c r="HL297">
        <v>4</v>
      </c>
      <c r="HM297">
        <v>15</v>
      </c>
      <c r="HN297">
        <v>6</v>
      </c>
      <c r="HO297">
        <v>1</v>
      </c>
      <c r="HP297">
        <v>0</v>
      </c>
      <c r="HQ297">
        <v>0</v>
      </c>
      <c r="HR297">
        <v>1</v>
      </c>
      <c r="HS297">
        <v>1825</v>
      </c>
      <c r="HT297">
        <v>5</v>
      </c>
      <c r="HU297">
        <v>1</v>
      </c>
      <c r="HV297">
        <v>5</v>
      </c>
      <c r="HW297">
        <v>0</v>
      </c>
      <c r="HX297">
        <v>1</v>
      </c>
      <c r="HY297">
        <v>0</v>
      </c>
      <c r="HZ297">
        <v>63</v>
      </c>
      <c r="IA297">
        <v>1828</v>
      </c>
      <c r="IB297">
        <v>1835</v>
      </c>
      <c r="ID297">
        <v>1860</v>
      </c>
      <c r="IE297">
        <v>1860</v>
      </c>
      <c r="IF297">
        <v>145</v>
      </c>
      <c r="IG297">
        <v>135</v>
      </c>
      <c r="IH297">
        <v>178</v>
      </c>
      <c r="II297">
        <v>1</v>
      </c>
      <c r="IJ297">
        <v>5</v>
      </c>
      <c r="IK297">
        <v>0</v>
      </c>
      <c r="IL297">
        <v>1</v>
      </c>
      <c r="IM297">
        <v>0</v>
      </c>
      <c r="IN297">
        <v>270</v>
      </c>
      <c r="IO297">
        <v>0</v>
      </c>
      <c r="IP297">
        <v>180</v>
      </c>
      <c r="IQ297">
        <v>0</v>
      </c>
      <c r="IR297">
        <v>310</v>
      </c>
      <c r="IS297">
        <v>0</v>
      </c>
      <c r="IT297">
        <v>90</v>
      </c>
      <c r="IU297">
        <v>0</v>
      </c>
      <c r="IV297">
        <v>6.4</v>
      </c>
      <c r="IW297">
        <v>-6</v>
      </c>
      <c r="IX297">
        <v>75</v>
      </c>
      <c r="IY297">
        <v>66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342</v>
      </c>
      <c r="JJ297">
        <v>312</v>
      </c>
      <c r="JK297">
        <v>222</v>
      </c>
      <c r="JL297">
        <v>312</v>
      </c>
      <c r="JM297">
        <v>235</v>
      </c>
      <c r="JN297">
        <v>145</v>
      </c>
      <c r="JO297">
        <v>194</v>
      </c>
      <c r="JP297">
        <v>210</v>
      </c>
      <c r="JQ297">
        <v>270</v>
      </c>
      <c r="JR297">
        <v>344</v>
      </c>
      <c r="JS297">
        <v>256</v>
      </c>
      <c r="JT297">
        <v>0</v>
      </c>
      <c r="JU297">
        <v>0</v>
      </c>
      <c r="JV297">
        <v>335</v>
      </c>
      <c r="JW297">
        <v>337</v>
      </c>
      <c r="JX297">
        <v>330</v>
      </c>
      <c r="JY297">
        <v>320</v>
      </c>
      <c r="JZ297">
        <v>2.5</v>
      </c>
      <c r="KA297">
        <v>0.2</v>
      </c>
      <c r="KB297">
        <v>0.4</v>
      </c>
      <c r="KC297">
        <v>0.42</v>
      </c>
      <c r="KD297">
        <v>0.28</v>
      </c>
      <c r="KE297">
        <v>0.5</v>
      </c>
      <c r="KF297">
        <v>0.2</v>
      </c>
      <c r="KG297">
        <v>0.09</v>
      </c>
      <c r="KH297">
        <v>6</v>
      </c>
      <c r="KI297">
        <v>1.5</v>
      </c>
      <c r="KJ297">
        <v>4.5</v>
      </c>
      <c r="KK297">
        <v>0</v>
      </c>
      <c r="KL297">
        <v>4.5</v>
      </c>
      <c r="KM297">
        <v>1</v>
      </c>
      <c r="KN297">
        <v>1</v>
      </c>
      <c r="KO297">
        <v>0</v>
      </c>
      <c r="KP297">
        <v>0</v>
      </c>
      <c r="KQ297">
        <v>1</v>
      </c>
      <c r="KR297">
        <v>1.5</v>
      </c>
      <c r="KS297">
        <v>0</v>
      </c>
      <c r="KT297">
        <v>2</v>
      </c>
      <c r="KU297">
        <v>0</v>
      </c>
      <c r="KV297">
        <v>0</v>
      </c>
      <c r="KW297">
        <v>1.2</v>
      </c>
      <c r="KX297">
        <v>2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3.5</v>
      </c>
      <c r="LI297">
        <v>1.5</v>
      </c>
      <c r="LJ297">
        <v>0</v>
      </c>
      <c r="LK297">
        <v>4</v>
      </c>
      <c r="LL297">
        <v>6</v>
      </c>
      <c r="LM297">
        <v>6</v>
      </c>
      <c r="LN297">
        <v>0.1</v>
      </c>
      <c r="LO297">
        <v>1.5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1.4</v>
      </c>
      <c r="LX297">
        <v>1.4</v>
      </c>
      <c r="LY297">
        <v>2.1</v>
      </c>
      <c r="LZ297">
        <v>2.1</v>
      </c>
      <c r="MA297">
        <v>0</v>
      </c>
      <c r="MB297">
        <v>0</v>
      </c>
      <c r="MC297">
        <v>0</v>
      </c>
      <c r="MD297">
        <v>4.5</v>
      </c>
      <c r="ME297">
        <v>6</v>
      </c>
      <c r="MF297">
        <v>6</v>
      </c>
      <c r="MI297">
        <v>0</v>
      </c>
      <c r="MJ297">
        <v>0</v>
      </c>
      <c r="ML297">
        <v>0</v>
      </c>
      <c r="MM297">
        <v>358</v>
      </c>
      <c r="MN297">
        <v>140</v>
      </c>
      <c r="MO297">
        <v>188</v>
      </c>
      <c r="NU297">
        <v>0.15</v>
      </c>
      <c r="NV297">
        <v>0.2</v>
      </c>
      <c r="NW297">
        <v>0.2</v>
      </c>
      <c r="NX297">
        <v>2</v>
      </c>
      <c r="NY297">
        <v>2</v>
      </c>
      <c r="NZ297">
        <v>2</v>
      </c>
      <c r="OE297" t="s">
        <v>5047</v>
      </c>
      <c r="OF297" t="s">
        <v>4521</v>
      </c>
      <c r="OG297" t="s">
        <v>4522</v>
      </c>
      <c r="OH297" t="s">
        <v>4426</v>
      </c>
      <c r="OI297" t="s">
        <v>5047</v>
      </c>
      <c r="OJ297" t="s">
        <v>5046</v>
      </c>
      <c r="OK297">
        <v>61</v>
      </c>
      <c r="OL297">
        <v>61</v>
      </c>
      <c r="OM297" t="s">
        <v>4521</v>
      </c>
      <c r="ON297">
        <v>2</v>
      </c>
      <c r="OO297">
        <v>1828</v>
      </c>
      <c r="OP297">
        <v>61</v>
      </c>
      <c r="OQ297">
        <v>61</v>
      </c>
      <c r="OR297" t="s">
        <v>4522</v>
      </c>
      <c r="OS297">
        <v>2</v>
      </c>
      <c r="OT297">
        <v>1835</v>
      </c>
      <c r="OU297">
        <v>65</v>
      </c>
      <c r="OV297">
        <v>65</v>
      </c>
      <c r="OW297" t="s">
        <v>4426</v>
      </c>
      <c r="OX297">
        <v>1</v>
      </c>
      <c r="OY297">
        <v>25821</v>
      </c>
      <c r="OZ297">
        <v>51</v>
      </c>
      <c r="PA297">
        <v>51</v>
      </c>
      <c r="PB297" t="s">
        <v>5047</v>
      </c>
      <c r="PC297">
        <v>1</v>
      </c>
      <c r="PD297">
        <v>1860</v>
      </c>
      <c r="PF297">
        <v>265</v>
      </c>
      <c r="PG297">
        <v>29</v>
      </c>
      <c r="PH297">
        <v>247</v>
      </c>
      <c r="PI297">
        <v>29</v>
      </c>
      <c r="PJ297">
        <v>62.1</v>
      </c>
      <c r="PK297">
        <v>2222</v>
      </c>
      <c r="PL297">
        <v>944.4</v>
      </c>
      <c r="PM297">
        <v>174.6</v>
      </c>
      <c r="PN297">
        <v>72.8</v>
      </c>
      <c r="PO297">
        <v>7.9</v>
      </c>
      <c r="PP297">
        <v>12</v>
      </c>
      <c r="PQ297">
        <v>2</v>
      </c>
      <c r="PR297">
        <v>1</v>
      </c>
      <c r="PS297">
        <v>6</v>
      </c>
      <c r="PT297">
        <v>178</v>
      </c>
      <c r="PU297">
        <v>9</v>
      </c>
      <c r="PV297" t="s">
        <v>4072</v>
      </c>
      <c r="PW297" t="s">
        <v>4072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-1</v>
      </c>
      <c r="QF297">
        <v>1</v>
      </c>
      <c r="QG297">
        <v>0</v>
      </c>
      <c r="QH297">
        <v>5</v>
      </c>
      <c r="QI297">
        <v>5</v>
      </c>
      <c r="QJ297">
        <v>5</v>
      </c>
      <c r="QK297">
        <v>188</v>
      </c>
      <c r="QL297">
        <v>374</v>
      </c>
      <c r="QM297">
        <v>7.5</v>
      </c>
      <c r="QN297">
        <v>1202.7</v>
      </c>
      <c r="QO297" t="s">
        <v>3491</v>
      </c>
      <c r="QP297" t="s">
        <v>513</v>
      </c>
      <c r="QQ297">
        <v>0</v>
      </c>
      <c r="QR297" t="s">
        <v>1343</v>
      </c>
      <c r="QS297">
        <v>40</v>
      </c>
      <c r="QT297">
        <v>50</v>
      </c>
    </row>
    <row r="298" spans="1:462">
      <c r="A298" t="s">
        <v>3527</v>
      </c>
      <c r="B298" t="s">
        <v>508</v>
      </c>
      <c r="C298" t="s">
        <v>509</v>
      </c>
      <c r="D298" t="s">
        <v>2994</v>
      </c>
      <c r="E298" t="s">
        <v>4036</v>
      </c>
      <c r="M298" t="s">
        <v>512</v>
      </c>
      <c r="N298" t="s">
        <v>515</v>
      </c>
      <c r="O298" t="s">
        <v>513</v>
      </c>
      <c r="P298" t="s">
        <v>567</v>
      </c>
      <c r="Q298" t="s">
        <v>518</v>
      </c>
      <c r="R298" t="s">
        <v>519</v>
      </c>
      <c r="S298" t="s">
        <v>4037</v>
      </c>
      <c r="T298" t="s">
        <v>520</v>
      </c>
      <c r="U298" t="s">
        <v>521</v>
      </c>
      <c r="V298" t="s">
        <v>1980</v>
      </c>
      <c r="W298" t="s">
        <v>3528</v>
      </c>
      <c r="X298" t="s">
        <v>1981</v>
      </c>
      <c r="Y298" t="s">
        <v>3529</v>
      </c>
      <c r="Z298" t="s">
        <v>541</v>
      </c>
      <c r="AA298" t="s">
        <v>4038</v>
      </c>
      <c r="AB298" t="s">
        <v>5048</v>
      </c>
      <c r="AC298">
        <v>9</v>
      </c>
      <c r="AD298" t="s">
        <v>3526</v>
      </c>
      <c r="AE298">
        <v>1</v>
      </c>
      <c r="AF298">
        <v>3884</v>
      </c>
      <c r="AG298" t="s">
        <v>4525</v>
      </c>
      <c r="AH298">
        <v>1</v>
      </c>
      <c r="AI298" t="s">
        <v>4041</v>
      </c>
      <c r="AK298" t="s">
        <v>4526</v>
      </c>
      <c r="AL298">
        <v>1</v>
      </c>
      <c r="AM298" t="s">
        <v>582</v>
      </c>
      <c r="AO298" t="s">
        <v>4353</v>
      </c>
      <c r="AP298">
        <v>1</v>
      </c>
      <c r="AR298" t="s">
        <v>5049</v>
      </c>
      <c r="AS298">
        <v>1</v>
      </c>
      <c r="AT298">
        <v>51</v>
      </c>
      <c r="AV298" t="s">
        <v>4078</v>
      </c>
      <c r="AW298">
        <v>6.4</v>
      </c>
      <c r="AX298">
        <v>-6</v>
      </c>
      <c r="AY298">
        <v>90.5</v>
      </c>
      <c r="AZ298">
        <v>55</v>
      </c>
      <c r="BH298">
        <v>90.5</v>
      </c>
      <c r="BI298">
        <v>35.5</v>
      </c>
      <c r="BJ298">
        <v>55</v>
      </c>
      <c r="BK298">
        <v>3</v>
      </c>
      <c r="BL298">
        <v>181</v>
      </c>
      <c r="BM298">
        <v>-6</v>
      </c>
      <c r="BN298">
        <v>0</v>
      </c>
      <c r="BO298">
        <v>0</v>
      </c>
      <c r="BP298">
        <v>0</v>
      </c>
      <c r="BR298">
        <v>175</v>
      </c>
      <c r="BS298">
        <v>165</v>
      </c>
      <c r="BT298">
        <v>1850</v>
      </c>
      <c r="BU298" t="s">
        <v>4046</v>
      </c>
      <c r="BV298" t="s">
        <v>4047</v>
      </c>
      <c r="BW298" t="s">
        <v>4048</v>
      </c>
      <c r="BX298" t="s">
        <v>4049</v>
      </c>
      <c r="BY298" t="s">
        <v>4144</v>
      </c>
      <c r="BZ298" t="s">
        <v>4144</v>
      </c>
      <c r="CA298" t="s">
        <v>4051</v>
      </c>
      <c r="CB298" t="s">
        <v>4052</v>
      </c>
      <c r="CC298" t="s">
        <v>4053</v>
      </c>
      <c r="CD298" t="s">
        <v>4054</v>
      </c>
      <c r="CE298" t="s">
        <v>4055</v>
      </c>
      <c r="CF298" t="s">
        <v>4055</v>
      </c>
      <c r="CG298" t="s">
        <v>4056</v>
      </c>
      <c r="CH298" t="s">
        <v>4057</v>
      </c>
      <c r="CI298" t="s">
        <v>4058</v>
      </c>
      <c r="CJ298" t="s">
        <v>4059</v>
      </c>
      <c r="CK298" t="s">
        <v>4060</v>
      </c>
      <c r="CL298" t="s">
        <v>4061</v>
      </c>
      <c r="CM298" t="s">
        <v>4055</v>
      </c>
      <c r="CN298" t="s">
        <v>4062</v>
      </c>
      <c r="CO298" t="s">
        <v>4063</v>
      </c>
      <c r="CP298" t="s">
        <v>4055</v>
      </c>
      <c r="CQ298" t="s">
        <v>4055</v>
      </c>
      <c r="CR298">
        <v>5</v>
      </c>
      <c r="CS298" t="s">
        <v>4055</v>
      </c>
      <c r="CT298">
        <v>15</v>
      </c>
      <c r="CU298" t="s">
        <v>4055</v>
      </c>
      <c r="CV298">
        <v>112</v>
      </c>
      <c r="CW298">
        <v>3</v>
      </c>
      <c r="CX298">
        <v>77</v>
      </c>
      <c r="CY298">
        <v>5</v>
      </c>
      <c r="CZ298">
        <v>65</v>
      </c>
      <c r="DA298">
        <v>5</v>
      </c>
      <c r="DB298">
        <v>8540</v>
      </c>
      <c r="DC298">
        <v>250</v>
      </c>
      <c r="DD298">
        <v>300</v>
      </c>
      <c r="DE298">
        <v>1952</v>
      </c>
      <c r="DF298">
        <v>1952</v>
      </c>
      <c r="DG298">
        <v>1962</v>
      </c>
      <c r="DH298" t="s">
        <v>4055</v>
      </c>
      <c r="DI298" t="s">
        <v>4055</v>
      </c>
      <c r="DJ298" t="s">
        <v>4100</v>
      </c>
      <c r="DK298">
        <v>175</v>
      </c>
      <c r="DL298" t="s">
        <v>4101</v>
      </c>
      <c r="DM298">
        <v>63</v>
      </c>
      <c r="DN298">
        <v>0.84</v>
      </c>
      <c r="DO298">
        <v>1</v>
      </c>
      <c r="DP298">
        <v>1853</v>
      </c>
      <c r="DQ298">
        <v>593</v>
      </c>
      <c r="DR298" t="s">
        <v>4100</v>
      </c>
      <c r="DS298">
        <v>165</v>
      </c>
      <c r="DT298" t="s">
        <v>4101</v>
      </c>
      <c r="DU298">
        <v>63</v>
      </c>
      <c r="DV298">
        <v>0.84</v>
      </c>
      <c r="DW298">
        <v>1</v>
      </c>
      <c r="DX298">
        <v>1860</v>
      </c>
      <c r="DY298">
        <v>562</v>
      </c>
      <c r="DZ298" t="s">
        <v>4066</v>
      </c>
      <c r="EA298">
        <v>33</v>
      </c>
      <c r="EB298" t="s">
        <v>4065</v>
      </c>
      <c r="EC298">
        <v>0.4</v>
      </c>
      <c r="ED298">
        <v>1853</v>
      </c>
      <c r="EE298">
        <v>54</v>
      </c>
      <c r="EF298" t="s">
        <v>4066</v>
      </c>
      <c r="EG298">
        <v>33</v>
      </c>
      <c r="EH298" t="s">
        <v>4065</v>
      </c>
      <c r="EI298">
        <v>0.4</v>
      </c>
      <c r="EJ298">
        <v>1860</v>
      </c>
      <c r="EK298">
        <v>54</v>
      </c>
      <c r="EL298" t="s">
        <v>4362</v>
      </c>
      <c r="EM298">
        <v>12</v>
      </c>
      <c r="EN298">
        <v>0.5</v>
      </c>
      <c r="EO298">
        <v>0.77</v>
      </c>
      <c r="EP298">
        <v>1860.56</v>
      </c>
      <c r="EQ298">
        <v>28053.76</v>
      </c>
      <c r="ER298">
        <v>10347.13</v>
      </c>
      <c r="ES298">
        <v>0</v>
      </c>
      <c r="ET298">
        <v>0</v>
      </c>
      <c r="EU298">
        <v>1</v>
      </c>
      <c r="EV298">
        <v>38401</v>
      </c>
      <c r="EW298">
        <v>385</v>
      </c>
      <c r="EX298" t="s">
        <v>4363</v>
      </c>
      <c r="EY298">
        <v>192</v>
      </c>
      <c r="EZ298" t="s">
        <v>4055</v>
      </c>
      <c r="FA298">
        <v>5.5</v>
      </c>
      <c r="FB298">
        <v>1</v>
      </c>
      <c r="FC298">
        <v>1</v>
      </c>
      <c r="FD298">
        <v>1888</v>
      </c>
      <c r="FE298">
        <v>2317</v>
      </c>
      <c r="FF298" t="s">
        <v>4089</v>
      </c>
      <c r="FG298">
        <v>192</v>
      </c>
      <c r="FH298" t="s">
        <v>4055</v>
      </c>
      <c r="FI298">
        <v>1.1</v>
      </c>
      <c r="FJ298">
        <v>1888</v>
      </c>
      <c r="FK298">
        <v>402</v>
      </c>
      <c r="FL298" t="s">
        <v>4069</v>
      </c>
      <c r="FM298" t="s">
        <v>4055</v>
      </c>
      <c r="FN298" t="s">
        <v>4055</v>
      </c>
      <c r="FO298" t="s">
        <v>4055</v>
      </c>
      <c r="FP298">
        <v>1888</v>
      </c>
      <c r="FQ298">
        <v>106</v>
      </c>
      <c r="FR298" t="s">
        <v>4090</v>
      </c>
      <c r="FS298">
        <v>196</v>
      </c>
      <c r="FT298" t="s">
        <v>4055</v>
      </c>
      <c r="FU298">
        <v>0.4</v>
      </c>
      <c r="FV298">
        <v>1888</v>
      </c>
      <c r="FW298">
        <v>164</v>
      </c>
      <c r="FX298" t="s">
        <v>4070</v>
      </c>
      <c r="FY298">
        <v>5</v>
      </c>
      <c r="FZ298" t="s">
        <v>4055</v>
      </c>
      <c r="GA298" t="s">
        <v>4055</v>
      </c>
      <c r="GB298">
        <v>1888</v>
      </c>
      <c r="GC298">
        <v>15</v>
      </c>
      <c r="GD298">
        <v>3004</v>
      </c>
      <c r="GE298" t="s">
        <v>5049</v>
      </c>
      <c r="GF298" t="s">
        <v>4055</v>
      </c>
      <c r="GG298" t="s">
        <v>4055</v>
      </c>
      <c r="GH298" t="s">
        <v>4055</v>
      </c>
      <c r="GI298" t="s">
        <v>4071</v>
      </c>
      <c r="GJ298" t="s">
        <v>4055</v>
      </c>
      <c r="GK298" t="s">
        <v>4055</v>
      </c>
      <c r="GL298" t="s">
        <v>4055</v>
      </c>
      <c r="GM298" t="s">
        <v>4055</v>
      </c>
      <c r="GQ298">
        <v>0</v>
      </c>
      <c r="GV298">
        <v>7</v>
      </c>
      <c r="GW298">
        <v>8.5</v>
      </c>
      <c r="GX298">
        <v>0.5</v>
      </c>
      <c r="GY298">
        <v>166</v>
      </c>
      <c r="GZ298">
        <v>3</v>
      </c>
      <c r="HA298">
        <v>210</v>
      </c>
      <c r="HB298">
        <v>3</v>
      </c>
      <c r="HC298">
        <v>1888</v>
      </c>
      <c r="HD298">
        <v>4</v>
      </c>
      <c r="HE298" t="s">
        <v>4071</v>
      </c>
      <c r="HG298" t="s">
        <v>549</v>
      </c>
      <c r="HL298">
        <v>4</v>
      </c>
      <c r="HM298">
        <v>16</v>
      </c>
      <c r="HN298">
        <v>6</v>
      </c>
      <c r="HO298">
        <v>1</v>
      </c>
      <c r="HP298">
        <v>0</v>
      </c>
      <c r="HQ298">
        <v>2</v>
      </c>
      <c r="HR298">
        <v>1</v>
      </c>
      <c r="HS298">
        <v>1850</v>
      </c>
      <c r="HT298">
        <v>5</v>
      </c>
      <c r="HU298">
        <v>1</v>
      </c>
      <c r="HV298">
        <v>5</v>
      </c>
      <c r="HW298">
        <v>0</v>
      </c>
      <c r="HX298">
        <v>1</v>
      </c>
      <c r="HY298">
        <v>0</v>
      </c>
      <c r="HZ298">
        <v>63</v>
      </c>
      <c r="IA298">
        <v>1853</v>
      </c>
      <c r="IB298">
        <v>1860</v>
      </c>
      <c r="ID298">
        <v>1888</v>
      </c>
      <c r="IE298">
        <v>1888</v>
      </c>
      <c r="IF298">
        <v>175</v>
      </c>
      <c r="IG298">
        <v>165</v>
      </c>
      <c r="IH298">
        <v>210</v>
      </c>
      <c r="II298">
        <v>1</v>
      </c>
      <c r="IJ298">
        <v>5</v>
      </c>
      <c r="IK298">
        <v>0</v>
      </c>
      <c r="IL298">
        <v>2</v>
      </c>
      <c r="IM298">
        <v>0</v>
      </c>
      <c r="IN298">
        <v>270</v>
      </c>
      <c r="IO298">
        <v>0</v>
      </c>
      <c r="IP298">
        <v>180</v>
      </c>
      <c r="IQ298">
        <v>0</v>
      </c>
      <c r="IR298">
        <v>325</v>
      </c>
      <c r="IS298">
        <v>0</v>
      </c>
      <c r="IT298">
        <v>90</v>
      </c>
      <c r="IU298">
        <v>0</v>
      </c>
      <c r="IV298">
        <v>6.4</v>
      </c>
      <c r="IW298">
        <v>-6</v>
      </c>
      <c r="IX298">
        <v>90.5</v>
      </c>
      <c r="IY298">
        <v>55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352</v>
      </c>
      <c r="JJ298">
        <v>322</v>
      </c>
      <c r="JK298">
        <v>230</v>
      </c>
      <c r="JL298">
        <v>322</v>
      </c>
      <c r="JM298">
        <v>250</v>
      </c>
      <c r="JN298">
        <v>170</v>
      </c>
      <c r="JO298">
        <v>222</v>
      </c>
      <c r="JP298">
        <v>180</v>
      </c>
      <c r="JQ298">
        <v>215</v>
      </c>
      <c r="JR298">
        <v>336</v>
      </c>
      <c r="JS298">
        <v>270</v>
      </c>
      <c r="JT298">
        <v>0</v>
      </c>
      <c r="JU298">
        <v>0</v>
      </c>
      <c r="JV298">
        <v>305</v>
      </c>
      <c r="JW298">
        <v>307</v>
      </c>
      <c r="JX298">
        <v>0</v>
      </c>
      <c r="JY298">
        <v>0</v>
      </c>
      <c r="JZ298">
        <v>0</v>
      </c>
      <c r="KA298">
        <v>0.2</v>
      </c>
      <c r="KB298">
        <v>0.4</v>
      </c>
      <c r="KC298">
        <v>0.42</v>
      </c>
      <c r="KD298">
        <v>0.2</v>
      </c>
      <c r="KE298">
        <v>0.5</v>
      </c>
      <c r="KF298">
        <v>0.2</v>
      </c>
      <c r="KG298">
        <v>0.1</v>
      </c>
      <c r="KH298">
        <v>6</v>
      </c>
      <c r="KI298">
        <v>1</v>
      </c>
      <c r="KJ298">
        <v>4.5</v>
      </c>
      <c r="KK298">
        <v>0</v>
      </c>
      <c r="KL298">
        <v>4.5</v>
      </c>
      <c r="KM298">
        <v>1</v>
      </c>
      <c r="KN298">
        <v>1.2</v>
      </c>
      <c r="KO298">
        <v>0</v>
      </c>
      <c r="KP298">
        <v>0</v>
      </c>
      <c r="KQ298">
        <v>1</v>
      </c>
      <c r="KR298">
        <v>1.5</v>
      </c>
      <c r="KS298">
        <v>0</v>
      </c>
      <c r="KT298">
        <v>1.8</v>
      </c>
      <c r="KU298">
        <v>0</v>
      </c>
      <c r="KV298">
        <v>0</v>
      </c>
      <c r="KW298">
        <v>1.2</v>
      </c>
      <c r="KX298">
        <v>2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3</v>
      </c>
      <c r="LI298">
        <v>0</v>
      </c>
      <c r="LJ298">
        <v>0</v>
      </c>
      <c r="LK298">
        <v>3</v>
      </c>
      <c r="LL298">
        <v>4</v>
      </c>
      <c r="LM298">
        <v>4</v>
      </c>
      <c r="LN298">
        <v>1</v>
      </c>
      <c r="LO298">
        <v>0.5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1.4</v>
      </c>
      <c r="LX298">
        <v>1.4</v>
      </c>
      <c r="LY298">
        <v>2.1</v>
      </c>
      <c r="LZ298">
        <v>2.1</v>
      </c>
      <c r="MA298">
        <v>0</v>
      </c>
      <c r="MB298">
        <v>0</v>
      </c>
      <c r="MC298">
        <v>0</v>
      </c>
      <c r="MD298">
        <v>7.5</v>
      </c>
      <c r="ME298">
        <v>8</v>
      </c>
      <c r="MF298">
        <v>8</v>
      </c>
      <c r="MI298">
        <v>0</v>
      </c>
      <c r="MJ298">
        <v>0</v>
      </c>
      <c r="ML298">
        <v>0</v>
      </c>
      <c r="MM298">
        <v>358</v>
      </c>
      <c r="MN298">
        <v>180</v>
      </c>
      <c r="MO298">
        <v>227</v>
      </c>
      <c r="NU298">
        <v>0.15</v>
      </c>
      <c r="NV298">
        <v>0.2</v>
      </c>
      <c r="NW298">
        <v>0.2</v>
      </c>
      <c r="NX298">
        <v>3</v>
      </c>
      <c r="NY298">
        <v>3</v>
      </c>
      <c r="NZ298">
        <v>3</v>
      </c>
      <c r="OE298" t="s">
        <v>5049</v>
      </c>
      <c r="OF298" t="s">
        <v>4525</v>
      </c>
      <c r="OG298" t="s">
        <v>4526</v>
      </c>
      <c r="OH298" t="s">
        <v>4353</v>
      </c>
      <c r="OI298" t="s">
        <v>5049</v>
      </c>
      <c r="OJ298" t="s">
        <v>5048</v>
      </c>
      <c r="OK298">
        <v>61</v>
      </c>
      <c r="OL298">
        <v>61</v>
      </c>
      <c r="OM298" t="s">
        <v>4525</v>
      </c>
      <c r="ON298">
        <v>3</v>
      </c>
      <c r="OO298">
        <v>1853</v>
      </c>
      <c r="OP298">
        <v>61</v>
      </c>
      <c r="OQ298">
        <v>61</v>
      </c>
      <c r="OR298" t="s">
        <v>4526</v>
      </c>
      <c r="OS298">
        <v>3</v>
      </c>
      <c r="OT298">
        <v>1860</v>
      </c>
      <c r="OU298">
        <v>65</v>
      </c>
      <c r="OV298">
        <v>65</v>
      </c>
      <c r="OW298" t="s">
        <v>4353</v>
      </c>
      <c r="OX298">
        <v>1</v>
      </c>
      <c r="OY298">
        <v>38401</v>
      </c>
      <c r="OZ298">
        <v>51</v>
      </c>
      <c r="PA298">
        <v>51</v>
      </c>
      <c r="PB298" t="s">
        <v>5049</v>
      </c>
      <c r="PC298">
        <v>1</v>
      </c>
      <c r="PD298">
        <v>1888</v>
      </c>
      <c r="PF298">
        <v>320</v>
      </c>
      <c r="PG298">
        <v>29</v>
      </c>
      <c r="PH298">
        <v>302</v>
      </c>
      <c r="PI298">
        <v>29</v>
      </c>
      <c r="PJ298">
        <v>56.3</v>
      </c>
      <c r="PL298">
        <v>1227.1</v>
      </c>
      <c r="PM298">
        <v>212.8</v>
      </c>
      <c r="PN298">
        <v>87.09999999999999</v>
      </c>
      <c r="PO298">
        <v>8.1</v>
      </c>
      <c r="PP298">
        <v>10</v>
      </c>
      <c r="PQ298">
        <v>2</v>
      </c>
      <c r="PR298">
        <v>1</v>
      </c>
      <c r="PS298">
        <v>7</v>
      </c>
      <c r="PT298">
        <v>210</v>
      </c>
      <c r="PU298">
        <v>9</v>
      </c>
      <c r="PV298" t="s">
        <v>4072</v>
      </c>
      <c r="PW298" t="s">
        <v>4072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-1</v>
      </c>
      <c r="QF298">
        <v>1</v>
      </c>
      <c r="QG298">
        <v>0</v>
      </c>
      <c r="QH298">
        <v>5</v>
      </c>
      <c r="QI298">
        <v>5</v>
      </c>
      <c r="QJ298">
        <v>5</v>
      </c>
      <c r="QK298">
        <v>171</v>
      </c>
      <c r="QL298">
        <v>386</v>
      </c>
      <c r="QM298">
        <v>7.5</v>
      </c>
      <c r="QN298">
        <v>1282.5</v>
      </c>
      <c r="QO298" t="s">
        <v>3491</v>
      </c>
      <c r="QP298" t="s">
        <v>513</v>
      </c>
      <c r="QQ298">
        <v>0</v>
      </c>
      <c r="QR298" t="s">
        <v>1496</v>
      </c>
      <c r="QS298">
        <v>30</v>
      </c>
      <c r="QT298">
        <v>40</v>
      </c>
    </row>
    <row r="299" spans="1:462">
      <c r="A299" t="s">
        <v>3517</v>
      </c>
      <c r="B299" t="s">
        <v>804</v>
      </c>
      <c r="C299" t="s">
        <v>509</v>
      </c>
      <c r="D299" t="s">
        <v>1738</v>
      </c>
      <c r="E299" t="s">
        <v>4036</v>
      </c>
      <c r="H299" t="s">
        <v>1088</v>
      </c>
      <c r="L299" t="s">
        <v>508</v>
      </c>
      <c r="M299" t="s">
        <v>512</v>
      </c>
      <c r="N299" t="s">
        <v>515</v>
      </c>
      <c r="O299" t="s">
        <v>513</v>
      </c>
      <c r="P299" t="s">
        <v>567</v>
      </c>
      <c r="Q299" t="s">
        <v>806</v>
      </c>
      <c r="R299" t="s">
        <v>807</v>
      </c>
      <c r="S299" t="s">
        <v>4091</v>
      </c>
      <c r="T299" t="s">
        <v>520</v>
      </c>
      <c r="U299" t="s">
        <v>521</v>
      </c>
      <c r="V299" t="s">
        <v>2033</v>
      </c>
      <c r="W299" t="s">
        <v>1880</v>
      </c>
      <c r="X299" t="s">
        <v>2034</v>
      </c>
      <c r="Y299" t="s">
        <v>3518</v>
      </c>
      <c r="Z299" t="s">
        <v>541</v>
      </c>
      <c r="AA299" t="s">
        <v>4038</v>
      </c>
      <c r="AB299" t="s">
        <v>5050</v>
      </c>
      <c r="AC299">
        <v>9</v>
      </c>
      <c r="AD299" t="s">
        <v>3516</v>
      </c>
      <c r="AE299">
        <v>2</v>
      </c>
      <c r="AF299">
        <v>4505</v>
      </c>
      <c r="AG299" t="s">
        <v>4496</v>
      </c>
      <c r="AH299">
        <v>1</v>
      </c>
      <c r="AI299" t="s">
        <v>4041</v>
      </c>
      <c r="AK299" t="s">
        <v>4497</v>
      </c>
      <c r="AL299">
        <v>1</v>
      </c>
      <c r="AM299" t="s">
        <v>582</v>
      </c>
      <c r="AO299" t="s">
        <v>4353</v>
      </c>
      <c r="AP299">
        <v>1</v>
      </c>
      <c r="AR299" t="s">
        <v>5051</v>
      </c>
      <c r="AS299">
        <v>1</v>
      </c>
      <c r="AT299">
        <v>51</v>
      </c>
      <c r="AV299" t="s">
        <v>4045</v>
      </c>
      <c r="AW299">
        <v>6.4</v>
      </c>
      <c r="AX299">
        <v>-12</v>
      </c>
      <c r="AY299">
        <v>85</v>
      </c>
      <c r="AZ299">
        <v>76</v>
      </c>
      <c r="BH299">
        <v>85</v>
      </c>
      <c r="BI299">
        <v>9</v>
      </c>
      <c r="BJ299">
        <v>76</v>
      </c>
      <c r="BK299">
        <v>2.5</v>
      </c>
      <c r="BL299">
        <v>170</v>
      </c>
      <c r="BM299">
        <v>-12</v>
      </c>
      <c r="BN299">
        <v>0</v>
      </c>
      <c r="BO299">
        <v>0</v>
      </c>
      <c r="BP299">
        <v>0</v>
      </c>
      <c r="BR299">
        <v>165</v>
      </c>
      <c r="BS299">
        <v>155</v>
      </c>
      <c r="BT299">
        <v>2020</v>
      </c>
      <c r="BU299" t="s">
        <v>4096</v>
      </c>
      <c r="BV299" t="s">
        <v>4096</v>
      </c>
      <c r="BW299" t="s">
        <v>4097</v>
      </c>
      <c r="BX299" t="s">
        <v>4097</v>
      </c>
      <c r="BY299" t="s">
        <v>4098</v>
      </c>
      <c r="BZ299" t="s">
        <v>4098</v>
      </c>
      <c r="CA299" t="s">
        <v>4051</v>
      </c>
      <c r="CB299" t="s">
        <v>4052</v>
      </c>
      <c r="CC299" t="s">
        <v>4053</v>
      </c>
      <c r="CD299" t="s">
        <v>4054</v>
      </c>
      <c r="CE299" t="s">
        <v>4055</v>
      </c>
      <c r="CF299" t="s">
        <v>4055</v>
      </c>
      <c r="CG299" t="s">
        <v>4056</v>
      </c>
      <c r="CH299" t="s">
        <v>4099</v>
      </c>
      <c r="CI299" t="s">
        <v>4058</v>
      </c>
      <c r="CJ299" t="s">
        <v>4059</v>
      </c>
      <c r="CK299" t="s">
        <v>4060</v>
      </c>
      <c r="CL299" t="s">
        <v>4061</v>
      </c>
      <c r="CM299" t="s">
        <v>4062</v>
      </c>
      <c r="CN299" t="s">
        <v>4055</v>
      </c>
      <c r="CO299" t="s">
        <v>4063</v>
      </c>
      <c r="CP299" t="s">
        <v>4055</v>
      </c>
      <c r="CQ299" t="s">
        <v>4055</v>
      </c>
      <c r="CR299">
        <v>5</v>
      </c>
      <c r="CS299" t="s">
        <v>4055</v>
      </c>
      <c r="CT299" t="s">
        <v>4055</v>
      </c>
      <c r="CU299" t="s">
        <v>4055</v>
      </c>
      <c r="CV299">
        <v>112</v>
      </c>
      <c r="CW299">
        <v>3</v>
      </c>
      <c r="CX299">
        <v>69</v>
      </c>
      <c r="CY299">
        <v>5</v>
      </c>
      <c r="CZ299">
        <v>64</v>
      </c>
      <c r="DA299">
        <v>5</v>
      </c>
      <c r="DB299">
        <v>8950</v>
      </c>
      <c r="DC299">
        <v>260</v>
      </c>
      <c r="DD299">
        <v>320</v>
      </c>
      <c r="DE299">
        <v>2105</v>
      </c>
      <c r="DF299">
        <v>2105</v>
      </c>
      <c r="DG299">
        <v>2130</v>
      </c>
      <c r="DH299" t="s">
        <v>4055</v>
      </c>
      <c r="DI299" t="s">
        <v>4055</v>
      </c>
      <c r="DJ299" t="s">
        <v>4100</v>
      </c>
      <c r="DK299">
        <v>165</v>
      </c>
      <c r="DL299" t="s">
        <v>4101</v>
      </c>
      <c r="DM299">
        <v>63</v>
      </c>
      <c r="DN299">
        <v>0.84</v>
      </c>
      <c r="DO299">
        <v>1</v>
      </c>
      <c r="DP299">
        <v>2023</v>
      </c>
      <c r="DQ299">
        <v>611</v>
      </c>
      <c r="DR299" t="s">
        <v>4100</v>
      </c>
      <c r="DS299">
        <v>155</v>
      </c>
      <c r="DT299" t="s">
        <v>4101</v>
      </c>
      <c r="DU299">
        <v>63</v>
      </c>
      <c r="DV299">
        <v>0.84</v>
      </c>
      <c r="DW299">
        <v>1</v>
      </c>
      <c r="DX299">
        <v>2030</v>
      </c>
      <c r="DY299">
        <v>574</v>
      </c>
      <c r="DZ299" t="s">
        <v>4066</v>
      </c>
      <c r="EA299">
        <v>33</v>
      </c>
      <c r="EB299" t="s">
        <v>4065</v>
      </c>
      <c r="EC299">
        <v>0.4</v>
      </c>
      <c r="ED299">
        <v>2023</v>
      </c>
      <c r="EE299">
        <v>59</v>
      </c>
      <c r="EF299" t="s">
        <v>4066</v>
      </c>
      <c r="EG299">
        <v>33</v>
      </c>
      <c r="EH299" t="s">
        <v>4065</v>
      </c>
      <c r="EI299">
        <v>0.4</v>
      </c>
      <c r="EJ299">
        <v>2030</v>
      </c>
      <c r="EK299">
        <v>59</v>
      </c>
      <c r="EL299" t="s">
        <v>4362</v>
      </c>
      <c r="EM299">
        <v>12</v>
      </c>
      <c r="EN299">
        <v>0.5</v>
      </c>
      <c r="EO299">
        <v>0.77</v>
      </c>
      <c r="EP299">
        <v>2030.56</v>
      </c>
      <c r="EQ299">
        <v>30775.68</v>
      </c>
      <c r="ER299">
        <v>2862.28</v>
      </c>
      <c r="ES299">
        <v>0</v>
      </c>
      <c r="ET299">
        <v>0</v>
      </c>
      <c r="EU299">
        <v>1</v>
      </c>
      <c r="EV299">
        <v>33638</v>
      </c>
      <c r="EW299">
        <v>337</v>
      </c>
      <c r="EX299" t="s">
        <v>4363</v>
      </c>
      <c r="EY299">
        <v>194</v>
      </c>
      <c r="EZ299" t="s">
        <v>4055</v>
      </c>
      <c r="FA299">
        <v>4.5</v>
      </c>
      <c r="FB299">
        <v>1</v>
      </c>
      <c r="FC299">
        <v>1</v>
      </c>
      <c r="FD299">
        <v>2055</v>
      </c>
      <c r="FE299">
        <v>2052</v>
      </c>
      <c r="FF299" t="s">
        <v>4089</v>
      </c>
      <c r="FG299">
        <v>194</v>
      </c>
      <c r="FH299" t="s">
        <v>4055</v>
      </c>
      <c r="FI299">
        <v>1.1</v>
      </c>
      <c r="FJ299">
        <v>2055</v>
      </c>
      <c r="FK299">
        <v>450</v>
      </c>
      <c r="FL299" t="s">
        <v>4069</v>
      </c>
      <c r="FM299" t="s">
        <v>4055</v>
      </c>
      <c r="FN299" t="s">
        <v>4055</v>
      </c>
      <c r="FO299" t="s">
        <v>4055</v>
      </c>
      <c r="FP299">
        <v>2055</v>
      </c>
      <c r="FQ299">
        <v>104</v>
      </c>
      <c r="FR299" t="s">
        <v>4090</v>
      </c>
      <c r="FS299">
        <v>198</v>
      </c>
      <c r="FT299" t="s">
        <v>4055</v>
      </c>
      <c r="FU299">
        <v>0.4</v>
      </c>
      <c r="FV299">
        <v>2055</v>
      </c>
      <c r="FW299">
        <v>181</v>
      </c>
      <c r="FX299" t="s">
        <v>4070</v>
      </c>
      <c r="FY299">
        <v>5</v>
      </c>
      <c r="FZ299" t="s">
        <v>4055</v>
      </c>
      <c r="GA299" t="s">
        <v>4055</v>
      </c>
      <c r="GB299">
        <v>2055</v>
      </c>
      <c r="GC299">
        <v>14</v>
      </c>
      <c r="GD299">
        <v>2801</v>
      </c>
      <c r="GE299" t="s">
        <v>5051</v>
      </c>
      <c r="GF299" t="s">
        <v>4055</v>
      </c>
      <c r="GG299" t="s">
        <v>4055</v>
      </c>
      <c r="GH299" t="s">
        <v>4055</v>
      </c>
      <c r="GI299" t="s">
        <v>4071</v>
      </c>
      <c r="GJ299" t="s">
        <v>4055</v>
      </c>
      <c r="GK299" t="s">
        <v>4055</v>
      </c>
      <c r="GL299" t="s">
        <v>4055</v>
      </c>
      <c r="GM299" t="s">
        <v>4055</v>
      </c>
      <c r="GQ299">
        <v>0</v>
      </c>
      <c r="GV299">
        <v>6</v>
      </c>
      <c r="GW299">
        <v>7.7</v>
      </c>
      <c r="GX299">
        <v>0.5</v>
      </c>
      <c r="GY299">
        <v>152</v>
      </c>
      <c r="GZ299">
        <v>3</v>
      </c>
      <c r="HA299">
        <v>212</v>
      </c>
      <c r="HB299">
        <v>3</v>
      </c>
      <c r="HC299">
        <v>2055</v>
      </c>
      <c r="HD299">
        <v>4</v>
      </c>
      <c r="HE299" t="s">
        <v>4071</v>
      </c>
      <c r="HG299" t="s">
        <v>549</v>
      </c>
      <c r="HL299">
        <v>4</v>
      </c>
      <c r="HM299">
        <v>16</v>
      </c>
      <c r="HN299">
        <v>6</v>
      </c>
      <c r="HO299">
        <v>1</v>
      </c>
      <c r="HP299">
        <v>0</v>
      </c>
      <c r="HQ299">
        <v>0</v>
      </c>
      <c r="HR299">
        <v>1</v>
      </c>
      <c r="HS299">
        <v>2020</v>
      </c>
      <c r="HT299">
        <v>5.5</v>
      </c>
      <c r="HU299">
        <v>1</v>
      </c>
      <c r="HV299">
        <v>5</v>
      </c>
      <c r="HW299">
        <v>0</v>
      </c>
      <c r="HX299">
        <v>1</v>
      </c>
      <c r="HY299">
        <v>0</v>
      </c>
      <c r="HZ299">
        <v>63</v>
      </c>
      <c r="IA299">
        <v>2023</v>
      </c>
      <c r="IB299">
        <v>2030</v>
      </c>
      <c r="ID299">
        <v>2055</v>
      </c>
      <c r="IE299">
        <v>2055</v>
      </c>
      <c r="IF299">
        <v>165</v>
      </c>
      <c r="IG299">
        <v>155</v>
      </c>
      <c r="IH299">
        <v>212</v>
      </c>
      <c r="II299">
        <v>1</v>
      </c>
      <c r="IJ299">
        <v>5</v>
      </c>
      <c r="IK299">
        <v>0</v>
      </c>
      <c r="IL299">
        <v>2</v>
      </c>
      <c r="IM299">
        <v>0</v>
      </c>
      <c r="IN299">
        <v>270</v>
      </c>
      <c r="IO299">
        <v>0</v>
      </c>
      <c r="IP299">
        <v>180</v>
      </c>
      <c r="IQ299">
        <v>0</v>
      </c>
      <c r="IR299">
        <v>310</v>
      </c>
      <c r="IS299">
        <v>0</v>
      </c>
      <c r="IT299">
        <v>90</v>
      </c>
      <c r="IU299">
        <v>0</v>
      </c>
      <c r="IV299">
        <v>6.4</v>
      </c>
      <c r="IW299">
        <v>-12</v>
      </c>
      <c r="IX299">
        <v>85</v>
      </c>
      <c r="IY299">
        <v>76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396</v>
      </c>
      <c r="JJ299">
        <v>372</v>
      </c>
      <c r="JK299">
        <v>290</v>
      </c>
      <c r="JL299">
        <v>370</v>
      </c>
      <c r="JM299">
        <v>286</v>
      </c>
      <c r="JN299">
        <v>174</v>
      </c>
      <c r="JO299">
        <v>218</v>
      </c>
      <c r="JP299">
        <v>195</v>
      </c>
      <c r="JQ299">
        <v>242</v>
      </c>
      <c r="JR299">
        <v>350</v>
      </c>
      <c r="JS299">
        <v>248</v>
      </c>
      <c r="JT299">
        <v>0</v>
      </c>
      <c r="JU299">
        <v>0</v>
      </c>
      <c r="JV299">
        <v>335</v>
      </c>
      <c r="JW299">
        <v>337</v>
      </c>
      <c r="JX299">
        <v>340</v>
      </c>
      <c r="JY299">
        <v>300</v>
      </c>
      <c r="JZ299">
        <v>0</v>
      </c>
      <c r="KA299">
        <v>0.2</v>
      </c>
      <c r="KB299">
        <v>0.4</v>
      </c>
      <c r="KC299">
        <v>0.35</v>
      </c>
      <c r="KD299">
        <v>0.28</v>
      </c>
      <c r="KE299">
        <v>0.7</v>
      </c>
      <c r="KF299">
        <v>0.16</v>
      </c>
      <c r="KG299">
        <v>0.1</v>
      </c>
      <c r="KH299">
        <v>6</v>
      </c>
      <c r="KI299">
        <v>1</v>
      </c>
      <c r="KJ299">
        <v>5</v>
      </c>
      <c r="KK299">
        <v>1</v>
      </c>
      <c r="KL299">
        <v>5</v>
      </c>
      <c r="KM299">
        <v>8</v>
      </c>
      <c r="KN299">
        <v>1.7</v>
      </c>
      <c r="KO299">
        <v>0</v>
      </c>
      <c r="KP299">
        <v>0</v>
      </c>
      <c r="KQ299">
        <v>1</v>
      </c>
      <c r="KR299">
        <v>1</v>
      </c>
      <c r="KS299">
        <v>0</v>
      </c>
      <c r="KT299">
        <v>3</v>
      </c>
      <c r="KU299">
        <v>0</v>
      </c>
      <c r="KV299">
        <v>0</v>
      </c>
      <c r="KW299">
        <v>1.2</v>
      </c>
      <c r="KX299">
        <v>2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3</v>
      </c>
      <c r="LI299">
        <v>0</v>
      </c>
      <c r="LJ299">
        <v>0</v>
      </c>
      <c r="LK299">
        <v>7.5</v>
      </c>
      <c r="LL299">
        <v>7</v>
      </c>
      <c r="LM299">
        <v>10</v>
      </c>
      <c r="LN299">
        <v>0.1</v>
      </c>
      <c r="LO299">
        <v>0.1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1.6</v>
      </c>
      <c r="LX299">
        <v>1.6</v>
      </c>
      <c r="LY299">
        <v>2.1</v>
      </c>
      <c r="LZ299">
        <v>2.1</v>
      </c>
      <c r="MA299">
        <v>0</v>
      </c>
      <c r="MB299">
        <v>8</v>
      </c>
      <c r="MC299">
        <v>0</v>
      </c>
      <c r="MD299">
        <v>7.5</v>
      </c>
      <c r="ME299">
        <v>8</v>
      </c>
      <c r="MF299">
        <v>8</v>
      </c>
      <c r="MI299">
        <v>0</v>
      </c>
      <c r="MJ299">
        <v>0</v>
      </c>
      <c r="ML299">
        <v>0</v>
      </c>
      <c r="MM299">
        <v>420</v>
      </c>
      <c r="MN299">
        <v>175</v>
      </c>
      <c r="MO299">
        <v>216</v>
      </c>
      <c r="NU299">
        <v>0.15</v>
      </c>
      <c r="NV299">
        <v>0.3</v>
      </c>
      <c r="NW299">
        <v>0.3</v>
      </c>
      <c r="NX299">
        <v>3</v>
      </c>
      <c r="NY299">
        <v>3</v>
      </c>
      <c r="NZ299">
        <v>2</v>
      </c>
      <c r="OE299" t="s">
        <v>5051</v>
      </c>
      <c r="OF299" t="s">
        <v>4496</v>
      </c>
      <c r="OG299" t="s">
        <v>4497</v>
      </c>
      <c r="OH299" t="s">
        <v>4353</v>
      </c>
      <c r="OI299" t="s">
        <v>5051</v>
      </c>
      <c r="OJ299" t="s">
        <v>5050</v>
      </c>
      <c r="OK299">
        <v>61</v>
      </c>
      <c r="OL299">
        <v>61</v>
      </c>
      <c r="OM299" t="s">
        <v>4496</v>
      </c>
      <c r="ON299">
        <v>3</v>
      </c>
      <c r="OO299">
        <v>2023</v>
      </c>
      <c r="OP299">
        <v>61</v>
      </c>
      <c r="OQ299">
        <v>61</v>
      </c>
      <c r="OR299" t="s">
        <v>4497</v>
      </c>
      <c r="OS299">
        <v>3</v>
      </c>
      <c r="OT299">
        <v>2030</v>
      </c>
      <c r="OU299">
        <v>65</v>
      </c>
      <c r="OV299">
        <v>65</v>
      </c>
      <c r="OW299" t="s">
        <v>4353</v>
      </c>
      <c r="OX299">
        <v>1</v>
      </c>
      <c r="OY299">
        <v>33638</v>
      </c>
      <c r="OZ299">
        <v>51</v>
      </c>
      <c r="PA299">
        <v>51</v>
      </c>
      <c r="PB299" t="s">
        <v>5051</v>
      </c>
      <c r="PC299">
        <v>1</v>
      </c>
      <c r="PD299">
        <v>2055</v>
      </c>
      <c r="PF299">
        <v>302</v>
      </c>
      <c r="PG299">
        <v>29</v>
      </c>
      <c r="PH299">
        <v>283</v>
      </c>
      <c r="PI299">
        <v>29</v>
      </c>
      <c r="PJ299">
        <v>50.5</v>
      </c>
      <c r="PL299">
        <v>998.7</v>
      </c>
      <c r="PM299">
        <v>218.8</v>
      </c>
      <c r="PN299">
        <v>88</v>
      </c>
      <c r="PO299">
        <v>7</v>
      </c>
      <c r="PP299">
        <v>10</v>
      </c>
      <c r="PQ299">
        <v>3</v>
      </c>
      <c r="PR299">
        <v>3</v>
      </c>
      <c r="PS299">
        <v>8</v>
      </c>
      <c r="PT299">
        <v>212</v>
      </c>
      <c r="PU299">
        <v>9</v>
      </c>
      <c r="PV299" t="s">
        <v>4072</v>
      </c>
      <c r="PW299" t="s">
        <v>4072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-1</v>
      </c>
      <c r="QF299">
        <v>1</v>
      </c>
      <c r="QG299">
        <v>0</v>
      </c>
      <c r="QH299">
        <v>5</v>
      </c>
      <c r="QI299">
        <v>5</v>
      </c>
      <c r="QJ299">
        <v>5</v>
      </c>
      <c r="QK299">
        <v>193</v>
      </c>
      <c r="QL299">
        <v>430</v>
      </c>
      <c r="QM299">
        <v>7.5</v>
      </c>
      <c r="QN299">
        <v>1282.5</v>
      </c>
      <c r="QO299" t="s">
        <v>3491</v>
      </c>
      <c r="QP299" t="s">
        <v>513</v>
      </c>
      <c r="QQ299">
        <v>0</v>
      </c>
      <c r="QR299" t="s">
        <v>1496</v>
      </c>
      <c r="QS299">
        <v>30</v>
      </c>
      <c r="QT299">
        <v>40</v>
      </c>
    </row>
    <row r="300" spans="1:462">
      <c r="A300" t="s">
        <v>3533</v>
      </c>
      <c r="B300" t="s">
        <v>508</v>
      </c>
      <c r="C300" t="s">
        <v>509</v>
      </c>
      <c r="D300" t="s">
        <v>1346</v>
      </c>
      <c r="E300" t="s">
        <v>4036</v>
      </c>
      <c r="H300" t="s">
        <v>1294</v>
      </c>
      <c r="J300" t="s">
        <v>562</v>
      </c>
      <c r="K300" t="s">
        <v>563</v>
      </c>
      <c r="M300" t="s">
        <v>512</v>
      </c>
      <c r="N300" t="s">
        <v>515</v>
      </c>
      <c r="O300" t="s">
        <v>513</v>
      </c>
      <c r="P300" t="s">
        <v>567</v>
      </c>
      <c r="Q300" t="s">
        <v>2077</v>
      </c>
      <c r="R300" t="s">
        <v>1812</v>
      </c>
      <c r="S300" t="s">
        <v>4037</v>
      </c>
      <c r="T300" t="s">
        <v>1482</v>
      </c>
      <c r="U300" t="s">
        <v>1483</v>
      </c>
      <c r="V300" t="s">
        <v>2078</v>
      </c>
      <c r="W300" t="s">
        <v>3528</v>
      </c>
      <c r="X300" t="s">
        <v>2079</v>
      </c>
      <c r="Y300" t="s">
        <v>3534</v>
      </c>
      <c r="Z300" t="s">
        <v>541</v>
      </c>
      <c r="AA300" t="s">
        <v>4038</v>
      </c>
      <c r="AB300" t="s">
        <v>5052</v>
      </c>
      <c r="AC300">
        <v>9</v>
      </c>
      <c r="AD300" t="s">
        <v>3532</v>
      </c>
      <c r="AE300">
        <v>1</v>
      </c>
      <c r="AF300">
        <v>2988</v>
      </c>
      <c r="AG300" t="s">
        <v>4455</v>
      </c>
      <c r="AH300">
        <v>1</v>
      </c>
      <c r="AI300" t="s">
        <v>4041</v>
      </c>
      <c r="AK300" t="s">
        <v>4456</v>
      </c>
      <c r="AL300">
        <v>1</v>
      </c>
      <c r="AM300" t="s">
        <v>582</v>
      </c>
      <c r="AO300" t="s">
        <v>4353</v>
      </c>
      <c r="AP300">
        <v>1</v>
      </c>
      <c r="AR300" t="s">
        <v>5053</v>
      </c>
      <c r="AS300">
        <v>1</v>
      </c>
      <c r="AT300">
        <v>51</v>
      </c>
      <c r="AV300" t="s">
        <v>4045</v>
      </c>
      <c r="AW300">
        <v>6.4</v>
      </c>
      <c r="AX300">
        <v>-6</v>
      </c>
      <c r="AY300">
        <v>82.5</v>
      </c>
      <c r="AZ300">
        <v>74</v>
      </c>
      <c r="BH300">
        <v>82.5</v>
      </c>
      <c r="BI300">
        <v>8.5</v>
      </c>
      <c r="BJ300">
        <v>74</v>
      </c>
      <c r="BK300">
        <v>2.5</v>
      </c>
      <c r="BL300">
        <v>165</v>
      </c>
      <c r="BM300">
        <v>-6</v>
      </c>
      <c r="BN300">
        <v>0</v>
      </c>
      <c r="BO300">
        <v>0</v>
      </c>
      <c r="BP300">
        <v>0</v>
      </c>
      <c r="BR300">
        <v>160</v>
      </c>
      <c r="BS300">
        <v>150</v>
      </c>
      <c r="BT300">
        <v>1745</v>
      </c>
      <c r="BU300" t="s">
        <v>4046</v>
      </c>
      <c r="BV300" t="s">
        <v>4046</v>
      </c>
      <c r="BW300" t="s">
        <v>4048</v>
      </c>
      <c r="BX300" t="s">
        <v>4048</v>
      </c>
      <c r="BY300" t="s">
        <v>4369</v>
      </c>
      <c r="BZ300" t="s">
        <v>4369</v>
      </c>
      <c r="CA300" t="s">
        <v>4370</v>
      </c>
      <c r="CB300" t="s">
        <v>4371</v>
      </c>
      <c r="CC300" t="s">
        <v>4053</v>
      </c>
      <c r="CD300" t="s">
        <v>4372</v>
      </c>
      <c r="CE300" t="s">
        <v>4055</v>
      </c>
      <c r="CF300" t="s">
        <v>4055</v>
      </c>
      <c r="CG300" t="s">
        <v>4056</v>
      </c>
      <c r="CH300" t="s">
        <v>4145</v>
      </c>
      <c r="CI300" t="s">
        <v>4058</v>
      </c>
      <c r="CJ300" t="s">
        <v>4059</v>
      </c>
      <c r="CK300" t="s">
        <v>4060</v>
      </c>
      <c r="CL300" t="s">
        <v>4061</v>
      </c>
      <c r="CM300" t="s">
        <v>4055</v>
      </c>
      <c r="CN300" t="s">
        <v>4062</v>
      </c>
      <c r="CO300" t="s">
        <v>4063</v>
      </c>
      <c r="CP300" t="s">
        <v>4055</v>
      </c>
      <c r="CQ300" t="s">
        <v>4055</v>
      </c>
      <c r="CR300">
        <v>5</v>
      </c>
      <c r="CS300" t="s">
        <v>4055</v>
      </c>
      <c r="CT300" t="s">
        <v>4055</v>
      </c>
      <c r="CU300" t="s">
        <v>4055</v>
      </c>
      <c r="CV300">
        <v>103</v>
      </c>
      <c r="CW300">
        <v>3</v>
      </c>
      <c r="CX300">
        <v>72</v>
      </c>
      <c r="CY300">
        <v>5</v>
      </c>
      <c r="CZ300">
        <v>62</v>
      </c>
      <c r="DA300">
        <v>5</v>
      </c>
      <c r="DB300">
        <v>6910</v>
      </c>
      <c r="DC300">
        <v>200</v>
      </c>
      <c r="DD300">
        <v>284</v>
      </c>
      <c r="DE300">
        <v>1832</v>
      </c>
      <c r="DF300">
        <v>1832</v>
      </c>
      <c r="DG300">
        <v>1847</v>
      </c>
      <c r="DH300" t="s">
        <v>4055</v>
      </c>
      <c r="DI300" t="s">
        <v>4055</v>
      </c>
      <c r="DJ300" t="s">
        <v>4100</v>
      </c>
      <c r="DK300">
        <v>160</v>
      </c>
      <c r="DL300" t="s">
        <v>4101</v>
      </c>
      <c r="DM300">
        <v>63</v>
      </c>
      <c r="DN300">
        <v>0.84</v>
      </c>
      <c r="DO300">
        <v>1</v>
      </c>
      <c r="DP300">
        <v>1748</v>
      </c>
      <c r="DQ300">
        <v>510</v>
      </c>
      <c r="DR300" t="s">
        <v>4100</v>
      </c>
      <c r="DS300">
        <v>150</v>
      </c>
      <c r="DT300" t="s">
        <v>4101</v>
      </c>
      <c r="DU300">
        <v>63</v>
      </c>
      <c r="DV300">
        <v>0.84</v>
      </c>
      <c r="DW300">
        <v>1</v>
      </c>
      <c r="DX300">
        <v>1755</v>
      </c>
      <c r="DY300">
        <v>481</v>
      </c>
      <c r="DZ300" t="s">
        <v>4066</v>
      </c>
      <c r="EA300">
        <v>33</v>
      </c>
      <c r="EB300" t="s">
        <v>4065</v>
      </c>
      <c r="EC300">
        <v>0.4</v>
      </c>
      <c r="ED300">
        <v>1748</v>
      </c>
      <c r="EE300">
        <v>51</v>
      </c>
      <c r="EF300" t="s">
        <v>4066</v>
      </c>
      <c r="EG300">
        <v>33</v>
      </c>
      <c r="EH300" t="s">
        <v>4065</v>
      </c>
      <c r="EI300">
        <v>0.4</v>
      </c>
      <c r="EJ300">
        <v>1755</v>
      </c>
      <c r="EK300">
        <v>51</v>
      </c>
      <c r="EL300" t="s">
        <v>4362</v>
      </c>
      <c r="EM300">
        <v>12</v>
      </c>
      <c r="EN300">
        <v>0.5</v>
      </c>
      <c r="EO300">
        <v>0.77</v>
      </c>
      <c r="EP300">
        <v>1755.56</v>
      </c>
      <c r="EQ300">
        <v>24276.1</v>
      </c>
      <c r="ER300">
        <v>2338.03</v>
      </c>
      <c r="ES300">
        <v>0</v>
      </c>
      <c r="ET300">
        <v>0</v>
      </c>
      <c r="EU300">
        <v>1</v>
      </c>
      <c r="EV300">
        <v>26615</v>
      </c>
      <c r="EW300">
        <v>267</v>
      </c>
      <c r="EX300" t="s">
        <v>4363</v>
      </c>
      <c r="EY300">
        <v>180</v>
      </c>
      <c r="EZ300" t="s">
        <v>4055</v>
      </c>
      <c r="FA300">
        <v>5.8</v>
      </c>
      <c r="FB300">
        <v>1</v>
      </c>
      <c r="FC300">
        <v>1</v>
      </c>
      <c r="FD300">
        <v>1784</v>
      </c>
      <c r="FE300">
        <v>1987</v>
      </c>
      <c r="FF300" t="s">
        <v>4089</v>
      </c>
      <c r="FG300">
        <v>180</v>
      </c>
      <c r="FH300" t="s">
        <v>4055</v>
      </c>
      <c r="FI300">
        <v>1.1</v>
      </c>
      <c r="FJ300">
        <v>1784</v>
      </c>
      <c r="FK300">
        <v>341</v>
      </c>
      <c r="FL300" t="s">
        <v>4069</v>
      </c>
      <c r="FM300" t="s">
        <v>4055</v>
      </c>
      <c r="FN300" t="s">
        <v>4055</v>
      </c>
      <c r="FO300" t="s">
        <v>4055</v>
      </c>
      <c r="FP300">
        <v>1784</v>
      </c>
      <c r="FQ300">
        <v>70</v>
      </c>
      <c r="FR300" t="s">
        <v>4090</v>
      </c>
      <c r="FS300">
        <v>184</v>
      </c>
      <c r="FT300" t="s">
        <v>4055</v>
      </c>
      <c r="FU300">
        <v>0.4</v>
      </c>
      <c r="FV300">
        <v>1784</v>
      </c>
      <c r="FW300">
        <v>145</v>
      </c>
      <c r="FX300" t="s">
        <v>4070</v>
      </c>
      <c r="FY300">
        <v>10</v>
      </c>
      <c r="FZ300" t="s">
        <v>4055</v>
      </c>
      <c r="GA300" t="s">
        <v>4055</v>
      </c>
      <c r="GB300">
        <v>1784</v>
      </c>
      <c r="GC300">
        <v>15</v>
      </c>
      <c r="GD300">
        <v>2558</v>
      </c>
      <c r="GE300" t="s">
        <v>5053</v>
      </c>
      <c r="GF300" t="s">
        <v>4055</v>
      </c>
      <c r="GG300" t="s">
        <v>4055</v>
      </c>
      <c r="GH300" t="s">
        <v>4055</v>
      </c>
      <c r="GI300" t="s">
        <v>4071</v>
      </c>
      <c r="GJ300" t="s">
        <v>4055</v>
      </c>
      <c r="GK300" t="s">
        <v>4055</v>
      </c>
      <c r="GL300" t="s">
        <v>4055</v>
      </c>
      <c r="GM300" t="s">
        <v>4055</v>
      </c>
      <c r="GQ300">
        <v>0</v>
      </c>
      <c r="GV300">
        <v>7.3</v>
      </c>
      <c r="GW300">
        <v>7.9</v>
      </c>
      <c r="GX300">
        <v>0.5</v>
      </c>
      <c r="GY300">
        <v>144</v>
      </c>
      <c r="GZ300">
        <v>3</v>
      </c>
      <c r="HA300">
        <v>194</v>
      </c>
      <c r="HB300">
        <v>3</v>
      </c>
      <c r="HC300">
        <v>1784</v>
      </c>
      <c r="HD300">
        <v>4</v>
      </c>
      <c r="HE300" t="s">
        <v>4071</v>
      </c>
      <c r="HG300" t="s">
        <v>549</v>
      </c>
      <c r="HL300">
        <v>4</v>
      </c>
      <c r="HM300">
        <v>15</v>
      </c>
      <c r="HN300">
        <v>6</v>
      </c>
      <c r="HO300">
        <v>1</v>
      </c>
      <c r="HP300">
        <v>0</v>
      </c>
      <c r="HQ300">
        <v>0</v>
      </c>
      <c r="HR300">
        <v>1</v>
      </c>
      <c r="HS300">
        <v>1745</v>
      </c>
      <c r="HT300">
        <v>5</v>
      </c>
      <c r="HU300">
        <v>1</v>
      </c>
      <c r="HV300">
        <v>5</v>
      </c>
      <c r="HW300">
        <v>0</v>
      </c>
      <c r="HX300">
        <v>1</v>
      </c>
      <c r="HY300">
        <v>0</v>
      </c>
      <c r="HZ300">
        <v>63</v>
      </c>
      <c r="IA300">
        <v>1748</v>
      </c>
      <c r="IB300">
        <v>1755</v>
      </c>
      <c r="ID300">
        <v>1784</v>
      </c>
      <c r="IE300">
        <v>1784</v>
      </c>
      <c r="IF300">
        <v>160</v>
      </c>
      <c r="IG300">
        <v>150</v>
      </c>
      <c r="IH300">
        <v>194</v>
      </c>
      <c r="II300">
        <v>1</v>
      </c>
      <c r="IJ300">
        <v>5</v>
      </c>
      <c r="IK300">
        <v>0</v>
      </c>
      <c r="IL300">
        <v>2</v>
      </c>
      <c r="IM300">
        <v>0</v>
      </c>
      <c r="IN300">
        <v>270</v>
      </c>
      <c r="IO300">
        <v>0</v>
      </c>
      <c r="IP300">
        <v>180</v>
      </c>
      <c r="IQ300">
        <v>0</v>
      </c>
      <c r="IR300">
        <v>310</v>
      </c>
      <c r="IS300">
        <v>0</v>
      </c>
      <c r="IT300">
        <v>90</v>
      </c>
      <c r="IU300">
        <v>0</v>
      </c>
      <c r="IV300">
        <v>6.4</v>
      </c>
      <c r="IW300">
        <v>-6</v>
      </c>
      <c r="IX300">
        <v>82.5</v>
      </c>
      <c r="IY300">
        <v>74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326</v>
      </c>
      <c r="JJ300">
        <v>296</v>
      </c>
      <c r="JK300">
        <v>227</v>
      </c>
      <c r="JL300">
        <v>294</v>
      </c>
      <c r="JM300">
        <v>241</v>
      </c>
      <c r="JN300">
        <v>160</v>
      </c>
      <c r="JO300">
        <v>204</v>
      </c>
      <c r="JP300">
        <v>184</v>
      </c>
      <c r="JQ300">
        <v>206</v>
      </c>
      <c r="JR300">
        <v>346</v>
      </c>
      <c r="JS300">
        <v>260</v>
      </c>
      <c r="JT300">
        <v>0</v>
      </c>
      <c r="JU300">
        <v>0</v>
      </c>
      <c r="JV300">
        <v>335</v>
      </c>
      <c r="JW300">
        <v>337</v>
      </c>
      <c r="JX300">
        <v>340</v>
      </c>
      <c r="JY300">
        <v>320</v>
      </c>
      <c r="JZ300">
        <v>1</v>
      </c>
      <c r="KA300">
        <v>0.2</v>
      </c>
      <c r="KB300">
        <v>0.4</v>
      </c>
      <c r="KC300">
        <v>0.42</v>
      </c>
      <c r="KD300">
        <v>0.28</v>
      </c>
      <c r="KE300">
        <v>0.5</v>
      </c>
      <c r="KF300">
        <v>0.2</v>
      </c>
      <c r="KG300">
        <v>0.1</v>
      </c>
      <c r="KH300">
        <v>6</v>
      </c>
      <c r="KI300">
        <v>1.5</v>
      </c>
      <c r="KJ300">
        <v>4.5</v>
      </c>
      <c r="KK300">
        <v>0</v>
      </c>
      <c r="KL300">
        <v>4.5</v>
      </c>
      <c r="KM300">
        <v>1</v>
      </c>
      <c r="KN300">
        <v>1</v>
      </c>
      <c r="KO300">
        <v>0</v>
      </c>
      <c r="KP300">
        <v>0</v>
      </c>
      <c r="KQ300">
        <v>0.8</v>
      </c>
      <c r="KR300">
        <v>0.5</v>
      </c>
      <c r="KS300">
        <v>0</v>
      </c>
      <c r="KT300">
        <v>1.5</v>
      </c>
      <c r="KU300">
        <v>0</v>
      </c>
      <c r="KV300">
        <v>0</v>
      </c>
      <c r="KW300">
        <v>1.5</v>
      </c>
      <c r="KX300">
        <v>2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2.8</v>
      </c>
      <c r="LI300">
        <v>2</v>
      </c>
      <c r="LJ300">
        <v>0</v>
      </c>
      <c r="LK300">
        <v>5</v>
      </c>
      <c r="LL300">
        <v>1.5</v>
      </c>
      <c r="LM300">
        <v>7</v>
      </c>
      <c r="LN300">
        <v>0.5</v>
      </c>
      <c r="LO300">
        <v>0.1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1.4</v>
      </c>
      <c r="LX300">
        <v>1.4</v>
      </c>
      <c r="LY300">
        <v>2.1</v>
      </c>
      <c r="LZ300">
        <v>2.1</v>
      </c>
      <c r="MA300">
        <v>0</v>
      </c>
      <c r="MB300">
        <v>0</v>
      </c>
      <c r="MC300">
        <v>0</v>
      </c>
      <c r="MD300">
        <v>4.5</v>
      </c>
      <c r="ME300">
        <v>6</v>
      </c>
      <c r="MF300">
        <v>6</v>
      </c>
      <c r="MI300">
        <v>0</v>
      </c>
      <c r="MJ300">
        <v>0</v>
      </c>
      <c r="ML300">
        <v>0</v>
      </c>
      <c r="MM300">
        <v>326</v>
      </c>
      <c r="MN300">
        <v>185</v>
      </c>
      <c r="MO300">
        <v>210</v>
      </c>
      <c r="NU300">
        <v>0.15</v>
      </c>
      <c r="NV300">
        <v>0.2</v>
      </c>
      <c r="NW300">
        <v>0.2</v>
      </c>
      <c r="NX300">
        <v>2</v>
      </c>
      <c r="NY300">
        <v>2</v>
      </c>
      <c r="NZ300">
        <v>2</v>
      </c>
      <c r="OE300" t="s">
        <v>5053</v>
      </c>
      <c r="OF300" t="s">
        <v>4455</v>
      </c>
      <c r="OG300" t="s">
        <v>4456</v>
      </c>
      <c r="OH300" t="s">
        <v>4353</v>
      </c>
      <c r="OI300" t="s">
        <v>5053</v>
      </c>
      <c r="OJ300" t="s">
        <v>5052</v>
      </c>
      <c r="OK300">
        <v>61</v>
      </c>
      <c r="OL300">
        <v>61</v>
      </c>
      <c r="OM300" t="s">
        <v>4455</v>
      </c>
      <c r="ON300">
        <v>3</v>
      </c>
      <c r="OO300">
        <v>1748</v>
      </c>
      <c r="OP300">
        <v>61</v>
      </c>
      <c r="OQ300">
        <v>61</v>
      </c>
      <c r="OR300" t="s">
        <v>4456</v>
      </c>
      <c r="OS300">
        <v>3</v>
      </c>
      <c r="OT300">
        <v>1755</v>
      </c>
      <c r="OU300">
        <v>65</v>
      </c>
      <c r="OV300">
        <v>65</v>
      </c>
      <c r="OW300" t="s">
        <v>4353</v>
      </c>
      <c r="OX300">
        <v>1</v>
      </c>
      <c r="OY300">
        <v>26615</v>
      </c>
      <c r="OZ300">
        <v>51</v>
      </c>
      <c r="PA300">
        <v>51</v>
      </c>
      <c r="PB300" t="s">
        <v>5053</v>
      </c>
      <c r="PC300">
        <v>1</v>
      </c>
      <c r="PD300">
        <v>1784</v>
      </c>
      <c r="PF300">
        <v>292</v>
      </c>
      <c r="PG300">
        <v>29</v>
      </c>
      <c r="PH300">
        <v>274</v>
      </c>
      <c r="PI300">
        <v>29</v>
      </c>
      <c r="PJ300">
        <v>39.5</v>
      </c>
      <c r="PL300">
        <v>1113.8</v>
      </c>
      <c r="PM300">
        <v>191.2</v>
      </c>
      <c r="PN300">
        <v>81.3</v>
      </c>
      <c r="PO300">
        <v>8.5</v>
      </c>
      <c r="PP300">
        <v>10</v>
      </c>
      <c r="PQ300">
        <v>2</v>
      </c>
      <c r="PR300">
        <v>2</v>
      </c>
      <c r="PS300">
        <v>6</v>
      </c>
      <c r="PT300">
        <v>194</v>
      </c>
      <c r="PU300">
        <v>7</v>
      </c>
      <c r="PV300" t="s">
        <v>4072</v>
      </c>
      <c r="PW300" t="s">
        <v>4072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-1</v>
      </c>
      <c r="QF300">
        <v>1</v>
      </c>
      <c r="QG300">
        <v>0</v>
      </c>
      <c r="QH300">
        <v>5</v>
      </c>
      <c r="QI300">
        <v>5</v>
      </c>
      <c r="QJ300">
        <v>5</v>
      </c>
      <c r="QK300">
        <v>158</v>
      </c>
      <c r="QL300">
        <v>360</v>
      </c>
      <c r="QM300">
        <v>7.5</v>
      </c>
      <c r="QN300">
        <v>1202.7</v>
      </c>
      <c r="QO300" t="s">
        <v>3491</v>
      </c>
      <c r="QP300" t="s">
        <v>513</v>
      </c>
      <c r="QQ300">
        <v>0</v>
      </c>
      <c r="QR300" t="s">
        <v>1496</v>
      </c>
      <c r="QS300">
        <v>30</v>
      </c>
      <c r="QT300">
        <v>40</v>
      </c>
    </row>
    <row r="301" spans="1:462">
      <c r="A301" t="s">
        <v>3554</v>
      </c>
      <c r="B301" t="s">
        <v>804</v>
      </c>
      <c r="C301" t="s">
        <v>509</v>
      </c>
      <c r="D301" t="s">
        <v>2748</v>
      </c>
      <c r="E301" t="s">
        <v>4036</v>
      </c>
      <c r="H301" t="s">
        <v>511</v>
      </c>
      <c r="J301" t="s">
        <v>562</v>
      </c>
      <c r="L301" t="s">
        <v>508</v>
      </c>
      <c r="M301" t="s">
        <v>512</v>
      </c>
      <c r="N301" t="s">
        <v>515</v>
      </c>
      <c r="O301" t="s">
        <v>513</v>
      </c>
      <c r="P301" t="s">
        <v>517</v>
      </c>
      <c r="Q301" t="s">
        <v>806</v>
      </c>
      <c r="R301" t="s">
        <v>807</v>
      </c>
      <c r="S301" t="s">
        <v>4091</v>
      </c>
      <c r="T301" t="s">
        <v>520</v>
      </c>
      <c r="U301" t="s">
        <v>521</v>
      </c>
      <c r="V301" t="s">
        <v>2354</v>
      </c>
      <c r="W301" t="s">
        <v>2336</v>
      </c>
      <c r="X301" t="s">
        <v>2355</v>
      </c>
      <c r="Y301" t="s">
        <v>3555</v>
      </c>
      <c r="Z301" t="s">
        <v>541</v>
      </c>
      <c r="AA301" t="s">
        <v>4038</v>
      </c>
      <c r="AB301" t="s">
        <v>5054</v>
      </c>
      <c r="AC301">
        <v>13</v>
      </c>
      <c r="AD301" t="s">
        <v>3553</v>
      </c>
      <c r="AE301">
        <v>2</v>
      </c>
      <c r="AF301">
        <v>4334</v>
      </c>
      <c r="AG301" t="s">
        <v>4660</v>
      </c>
      <c r="AH301">
        <v>1</v>
      </c>
      <c r="AI301" t="s">
        <v>4041</v>
      </c>
      <c r="AK301" t="s">
        <v>4661</v>
      </c>
      <c r="AL301">
        <v>1</v>
      </c>
      <c r="AM301" t="s">
        <v>582</v>
      </c>
      <c r="AO301" t="s">
        <v>4043</v>
      </c>
      <c r="AP301">
        <v>1</v>
      </c>
      <c r="AR301" t="s">
        <v>5055</v>
      </c>
      <c r="AS301">
        <v>1</v>
      </c>
      <c r="AT301">
        <v>52</v>
      </c>
      <c r="AV301" t="s">
        <v>4045</v>
      </c>
      <c r="AW301">
        <v>6.4</v>
      </c>
      <c r="AX301">
        <v>-6</v>
      </c>
      <c r="AY301">
        <v>95</v>
      </c>
      <c r="AZ301">
        <v>87</v>
      </c>
      <c r="BH301">
        <v>95</v>
      </c>
      <c r="BI301">
        <v>8</v>
      </c>
      <c r="BJ301">
        <v>87</v>
      </c>
      <c r="BK301">
        <v>2.5</v>
      </c>
      <c r="BL301">
        <v>190</v>
      </c>
      <c r="BM301">
        <v>-6</v>
      </c>
      <c r="BN301">
        <v>0</v>
      </c>
      <c r="BP301">
        <v>0</v>
      </c>
      <c r="BR301">
        <v>185</v>
      </c>
      <c r="BS301">
        <v>175</v>
      </c>
      <c r="BT301">
        <v>2015</v>
      </c>
      <c r="BU301" t="s">
        <v>4096</v>
      </c>
      <c r="BV301" t="s">
        <v>4096</v>
      </c>
      <c r="BW301" t="s">
        <v>4097</v>
      </c>
      <c r="BX301" t="s">
        <v>4097</v>
      </c>
      <c r="BY301" t="s">
        <v>4050</v>
      </c>
      <c r="BZ301" t="s">
        <v>4050</v>
      </c>
      <c r="CA301" t="s">
        <v>4051</v>
      </c>
      <c r="CB301" t="s">
        <v>4052</v>
      </c>
      <c r="CC301" t="s">
        <v>4120</v>
      </c>
      <c r="CD301" t="s">
        <v>4054</v>
      </c>
      <c r="CE301" t="s">
        <v>4055</v>
      </c>
      <c r="CF301" t="s">
        <v>4055</v>
      </c>
      <c r="CG301" t="s">
        <v>4056</v>
      </c>
      <c r="CI301" t="s">
        <v>4216</v>
      </c>
      <c r="CJ301" t="s">
        <v>4059</v>
      </c>
      <c r="CK301" t="s">
        <v>4060</v>
      </c>
      <c r="CL301" t="s">
        <v>4061</v>
      </c>
      <c r="CM301" t="s">
        <v>4062</v>
      </c>
      <c r="CN301" t="s">
        <v>4055</v>
      </c>
      <c r="CO301" t="s">
        <v>4063</v>
      </c>
      <c r="CP301" t="s">
        <v>4055</v>
      </c>
      <c r="CQ301" t="s">
        <v>4055</v>
      </c>
      <c r="CR301">
        <v>5</v>
      </c>
      <c r="CS301" t="s">
        <v>4055</v>
      </c>
      <c r="CT301" t="s">
        <v>4055</v>
      </c>
      <c r="CU301" t="s">
        <v>4055</v>
      </c>
      <c r="CV301">
        <v>122</v>
      </c>
      <c r="CW301">
        <v>3</v>
      </c>
      <c r="CX301">
        <v>79</v>
      </c>
      <c r="CY301">
        <v>5</v>
      </c>
      <c r="CZ301">
        <v>74</v>
      </c>
      <c r="DA301">
        <v>5</v>
      </c>
      <c r="DB301">
        <v>10530</v>
      </c>
      <c r="DC301">
        <v>310</v>
      </c>
      <c r="DD301">
        <v>315</v>
      </c>
      <c r="DE301">
        <v>2126</v>
      </c>
      <c r="DF301">
        <v>2117</v>
      </c>
      <c r="DG301">
        <v>2145</v>
      </c>
      <c r="DH301">
        <v>3</v>
      </c>
      <c r="DI301">
        <v>2158</v>
      </c>
      <c r="DJ301" t="s">
        <v>4100</v>
      </c>
      <c r="DK301">
        <v>185</v>
      </c>
      <c r="DL301" t="s">
        <v>4101</v>
      </c>
      <c r="DM301">
        <v>67</v>
      </c>
      <c r="DN301">
        <v>0.84</v>
      </c>
      <c r="DO301">
        <v>1</v>
      </c>
      <c r="DP301">
        <v>2018</v>
      </c>
      <c r="DQ301">
        <v>682</v>
      </c>
      <c r="DR301" t="s">
        <v>4100</v>
      </c>
      <c r="DS301">
        <v>175</v>
      </c>
      <c r="DT301" t="s">
        <v>4101</v>
      </c>
      <c r="DU301">
        <v>67</v>
      </c>
      <c r="DV301">
        <v>0.84</v>
      </c>
      <c r="DW301">
        <v>1</v>
      </c>
      <c r="DX301">
        <v>2025</v>
      </c>
      <c r="DY301">
        <v>648</v>
      </c>
      <c r="DZ301" t="s">
        <v>4066</v>
      </c>
      <c r="EA301">
        <v>33</v>
      </c>
      <c r="EB301" t="s">
        <v>4065</v>
      </c>
      <c r="EC301">
        <v>0.4</v>
      </c>
      <c r="ED301">
        <v>2018</v>
      </c>
      <c r="EE301">
        <v>59</v>
      </c>
      <c r="EF301" t="s">
        <v>4066</v>
      </c>
      <c r="EG301">
        <v>33</v>
      </c>
      <c r="EH301" t="s">
        <v>4065</v>
      </c>
      <c r="EI301">
        <v>0.4</v>
      </c>
      <c r="EJ301">
        <v>2025</v>
      </c>
      <c r="EK301">
        <v>59</v>
      </c>
      <c r="EL301" t="s">
        <v>1528</v>
      </c>
      <c r="EM301">
        <v>12</v>
      </c>
      <c r="EN301">
        <v>0.5</v>
      </c>
      <c r="EO301">
        <v>0.96</v>
      </c>
      <c r="EP301">
        <v>2025.56</v>
      </c>
      <c r="EQ301">
        <v>31965.87</v>
      </c>
      <c r="ER301">
        <v>2539.49</v>
      </c>
      <c r="ES301">
        <v>0</v>
      </c>
      <c r="ET301">
        <v>0</v>
      </c>
      <c r="EU301">
        <v>1</v>
      </c>
      <c r="EV301">
        <v>34506</v>
      </c>
      <c r="EW301">
        <v>415</v>
      </c>
      <c r="EX301" t="s">
        <v>4613</v>
      </c>
      <c r="EY301">
        <v>196</v>
      </c>
      <c r="EZ301" t="s">
        <v>4055</v>
      </c>
      <c r="FA301">
        <v>3.6</v>
      </c>
      <c r="FB301">
        <v>1</v>
      </c>
      <c r="FC301">
        <v>1</v>
      </c>
      <c r="FD301">
        <v>2058</v>
      </c>
      <c r="FE301">
        <v>1860</v>
      </c>
      <c r="FF301" t="s">
        <v>4288</v>
      </c>
      <c r="FG301">
        <v>204</v>
      </c>
      <c r="FH301" t="s">
        <v>4055</v>
      </c>
      <c r="FI301">
        <v>4.2</v>
      </c>
      <c r="FJ301">
        <v>2058</v>
      </c>
      <c r="FK301">
        <v>2021</v>
      </c>
      <c r="FL301" t="s">
        <v>4069</v>
      </c>
      <c r="FM301" t="s">
        <v>4055</v>
      </c>
      <c r="FN301" t="s">
        <v>4055</v>
      </c>
      <c r="FO301" t="s">
        <v>4055</v>
      </c>
      <c r="FP301">
        <v>2058</v>
      </c>
      <c r="FQ301">
        <v>258</v>
      </c>
      <c r="FR301" t="s">
        <v>4090</v>
      </c>
      <c r="FS301">
        <v>212</v>
      </c>
      <c r="FT301" t="s">
        <v>4055</v>
      </c>
      <c r="FU301">
        <v>0.4</v>
      </c>
      <c r="FV301">
        <v>2058</v>
      </c>
      <c r="FW301">
        <v>191</v>
      </c>
      <c r="FZ301" t="s">
        <v>4055</v>
      </c>
      <c r="GA301" t="s">
        <v>4055</v>
      </c>
      <c r="GD301">
        <v>4330</v>
      </c>
      <c r="GE301" t="s">
        <v>5055</v>
      </c>
      <c r="GF301" t="s">
        <v>4055</v>
      </c>
      <c r="GG301" t="s">
        <v>4055</v>
      </c>
      <c r="GH301" t="s">
        <v>4055</v>
      </c>
      <c r="GI301" t="s">
        <v>4071</v>
      </c>
      <c r="GJ301" t="s">
        <v>4055</v>
      </c>
      <c r="GK301" t="s">
        <v>4055</v>
      </c>
      <c r="GL301" t="s">
        <v>4055</v>
      </c>
      <c r="GM301" t="s">
        <v>4055</v>
      </c>
      <c r="GQ301">
        <v>0</v>
      </c>
      <c r="GV301">
        <v>8.199999999999999</v>
      </c>
      <c r="GW301">
        <v>10.5</v>
      </c>
      <c r="GX301">
        <v>0.5</v>
      </c>
      <c r="GY301">
        <v>184</v>
      </c>
      <c r="GZ301">
        <v>3</v>
      </c>
      <c r="HA301">
        <v>228</v>
      </c>
      <c r="HB301">
        <v>3</v>
      </c>
      <c r="HC301">
        <v>2058</v>
      </c>
      <c r="HD301">
        <v>4</v>
      </c>
      <c r="HE301" t="s">
        <v>4071</v>
      </c>
      <c r="HG301" t="s">
        <v>549</v>
      </c>
      <c r="HL301">
        <v>4</v>
      </c>
      <c r="HM301">
        <v>16</v>
      </c>
      <c r="HN301">
        <v>6</v>
      </c>
      <c r="HO301">
        <v>1</v>
      </c>
      <c r="HP301">
        <v>0</v>
      </c>
      <c r="HQ301">
        <v>0</v>
      </c>
      <c r="HR301">
        <v>3</v>
      </c>
      <c r="HS301">
        <v>2015</v>
      </c>
      <c r="HT301">
        <v>5</v>
      </c>
      <c r="HU301">
        <v>1</v>
      </c>
      <c r="HV301">
        <v>5</v>
      </c>
      <c r="HW301">
        <v>0</v>
      </c>
      <c r="HX301">
        <v>1</v>
      </c>
      <c r="HY301">
        <v>0</v>
      </c>
      <c r="HZ301">
        <v>67</v>
      </c>
      <c r="IA301">
        <v>2018</v>
      </c>
      <c r="IB301">
        <v>2025</v>
      </c>
      <c r="ID301">
        <v>2058</v>
      </c>
      <c r="IE301">
        <v>2058</v>
      </c>
      <c r="IF301">
        <v>185</v>
      </c>
      <c r="IG301">
        <v>175</v>
      </c>
      <c r="IH301">
        <v>228</v>
      </c>
      <c r="II301">
        <v>1</v>
      </c>
      <c r="IJ301">
        <v>5</v>
      </c>
      <c r="IK301">
        <v>0</v>
      </c>
      <c r="IL301">
        <v>0</v>
      </c>
      <c r="IM301">
        <v>0</v>
      </c>
      <c r="IN301">
        <v>270</v>
      </c>
      <c r="IO301">
        <v>0</v>
      </c>
      <c r="IP301">
        <v>180</v>
      </c>
      <c r="IQ301">
        <v>0</v>
      </c>
      <c r="IR301">
        <v>330</v>
      </c>
      <c r="IS301">
        <v>0</v>
      </c>
      <c r="IT301">
        <v>90</v>
      </c>
      <c r="IU301">
        <v>0</v>
      </c>
      <c r="IV301">
        <v>6.4</v>
      </c>
      <c r="IW301">
        <v>-6</v>
      </c>
      <c r="IX301">
        <v>95</v>
      </c>
      <c r="IY301">
        <v>87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410</v>
      </c>
      <c r="JJ301">
        <v>370</v>
      </c>
      <c r="JK301">
        <v>268</v>
      </c>
      <c r="JL301">
        <v>366</v>
      </c>
      <c r="JM301">
        <v>270</v>
      </c>
      <c r="JN301">
        <v>190</v>
      </c>
      <c r="JO301">
        <v>239</v>
      </c>
      <c r="JP301">
        <v>205</v>
      </c>
      <c r="JQ301">
        <v>260</v>
      </c>
      <c r="JR301">
        <v>352</v>
      </c>
      <c r="JS301">
        <v>250</v>
      </c>
      <c r="JT301">
        <v>0</v>
      </c>
      <c r="JU301">
        <v>0</v>
      </c>
      <c r="JV301">
        <v>335</v>
      </c>
      <c r="JW301">
        <v>337</v>
      </c>
      <c r="JX301">
        <v>320</v>
      </c>
      <c r="JY301">
        <v>300</v>
      </c>
      <c r="JZ301">
        <v>0.5</v>
      </c>
      <c r="KA301">
        <v>0.2</v>
      </c>
      <c r="KB301">
        <v>0.4</v>
      </c>
      <c r="KC301">
        <v>0.42</v>
      </c>
      <c r="KD301">
        <v>0.28</v>
      </c>
      <c r="KE301">
        <v>0.5</v>
      </c>
      <c r="KF301">
        <v>0.2</v>
      </c>
      <c r="KG301">
        <v>0.1</v>
      </c>
      <c r="KH301">
        <v>3.5</v>
      </c>
      <c r="KI301">
        <v>1</v>
      </c>
      <c r="KJ301">
        <v>4.5</v>
      </c>
      <c r="KK301">
        <v>0</v>
      </c>
      <c r="KL301">
        <v>4.5</v>
      </c>
      <c r="KM301">
        <v>0</v>
      </c>
      <c r="KN301">
        <v>1.6</v>
      </c>
      <c r="KO301">
        <v>0</v>
      </c>
      <c r="KP301">
        <v>0</v>
      </c>
      <c r="KQ301">
        <v>1</v>
      </c>
      <c r="KR301">
        <v>0.8</v>
      </c>
      <c r="KS301">
        <v>0</v>
      </c>
      <c r="KT301">
        <v>3.2</v>
      </c>
      <c r="KU301">
        <v>0</v>
      </c>
      <c r="KV301">
        <v>0</v>
      </c>
      <c r="KW301">
        <v>1.2</v>
      </c>
      <c r="KX301">
        <v>2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3</v>
      </c>
      <c r="LI301">
        <v>0.5</v>
      </c>
      <c r="LJ301">
        <v>0</v>
      </c>
      <c r="LK301">
        <v>5</v>
      </c>
      <c r="LL301">
        <v>5.5</v>
      </c>
      <c r="LM301">
        <v>6</v>
      </c>
      <c r="LN301">
        <v>0.3</v>
      </c>
      <c r="LO301">
        <v>0.5</v>
      </c>
      <c r="LP301">
        <v>0</v>
      </c>
      <c r="LQ301">
        <v>0</v>
      </c>
      <c r="LR301">
        <v>0</v>
      </c>
      <c r="LS301">
        <v>1</v>
      </c>
      <c r="LT301">
        <v>0</v>
      </c>
      <c r="LU301">
        <v>0</v>
      </c>
      <c r="LV301">
        <v>0</v>
      </c>
      <c r="LW301">
        <v>2</v>
      </c>
      <c r="LX301">
        <v>2</v>
      </c>
      <c r="LY301">
        <v>2.1</v>
      </c>
      <c r="LZ301">
        <v>2.1</v>
      </c>
      <c r="MA301">
        <v>0</v>
      </c>
      <c r="MB301">
        <v>6</v>
      </c>
      <c r="MC301">
        <v>0</v>
      </c>
      <c r="MD301">
        <v>4.5</v>
      </c>
      <c r="ME301">
        <v>9</v>
      </c>
      <c r="MF301">
        <v>9</v>
      </c>
      <c r="MI301">
        <v>0</v>
      </c>
      <c r="MJ301">
        <v>0</v>
      </c>
      <c r="ML301">
        <v>0</v>
      </c>
      <c r="MM301">
        <v>408</v>
      </c>
      <c r="MN301">
        <v>180</v>
      </c>
      <c r="MO301">
        <v>234</v>
      </c>
      <c r="NH301">
        <v>0</v>
      </c>
      <c r="NJ301">
        <v>0</v>
      </c>
      <c r="NK301">
        <v>0</v>
      </c>
      <c r="NM301">
        <v>0</v>
      </c>
      <c r="NU301">
        <v>0.15</v>
      </c>
      <c r="NV301">
        <v>0.2</v>
      </c>
      <c r="NW301">
        <v>0.2</v>
      </c>
      <c r="NX301">
        <v>2</v>
      </c>
      <c r="NY301">
        <v>2</v>
      </c>
      <c r="NZ301">
        <v>2</v>
      </c>
      <c r="OE301" t="s">
        <v>5055</v>
      </c>
      <c r="OF301" t="s">
        <v>4660</v>
      </c>
      <c r="OG301" t="s">
        <v>4661</v>
      </c>
      <c r="OH301" t="s">
        <v>4043</v>
      </c>
      <c r="OI301" t="s">
        <v>5055</v>
      </c>
      <c r="OJ301" t="s">
        <v>5054</v>
      </c>
      <c r="OK301">
        <v>61</v>
      </c>
      <c r="OL301">
        <v>61</v>
      </c>
      <c r="OM301" t="s">
        <v>4660</v>
      </c>
      <c r="ON301">
        <v>3</v>
      </c>
      <c r="OO301">
        <v>2018</v>
      </c>
      <c r="OP301">
        <v>61</v>
      </c>
      <c r="OQ301">
        <v>61</v>
      </c>
      <c r="OR301" t="s">
        <v>4661</v>
      </c>
      <c r="OS301">
        <v>3</v>
      </c>
      <c r="OT301">
        <v>2025</v>
      </c>
      <c r="OU301">
        <v>65</v>
      </c>
      <c r="OV301">
        <v>65</v>
      </c>
      <c r="OW301" t="s">
        <v>4043</v>
      </c>
      <c r="OX301">
        <v>1</v>
      </c>
      <c r="OY301">
        <v>34506</v>
      </c>
      <c r="OZ301">
        <v>51</v>
      </c>
      <c r="PA301">
        <v>52</v>
      </c>
      <c r="PB301" t="s">
        <v>5055</v>
      </c>
      <c r="PC301">
        <v>1</v>
      </c>
      <c r="PD301">
        <v>2058</v>
      </c>
      <c r="PF301">
        <v>338</v>
      </c>
      <c r="PG301">
        <v>29</v>
      </c>
      <c r="PH301">
        <v>320</v>
      </c>
      <c r="PI301">
        <v>29</v>
      </c>
      <c r="PJ301">
        <v>125.4</v>
      </c>
      <c r="PK301">
        <v>2127</v>
      </c>
      <c r="PL301">
        <v>904</v>
      </c>
      <c r="PM301">
        <v>982.1</v>
      </c>
      <c r="PN301">
        <v>92.90000000000001</v>
      </c>
      <c r="PP301">
        <v>12</v>
      </c>
      <c r="PQ301">
        <v>3</v>
      </c>
      <c r="PR301">
        <v>3</v>
      </c>
      <c r="PS301">
        <v>0</v>
      </c>
      <c r="PT301">
        <v>228</v>
      </c>
      <c r="PU301">
        <v>12</v>
      </c>
      <c r="PV301" t="s">
        <v>4072</v>
      </c>
      <c r="PW301" t="s">
        <v>4072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-1</v>
      </c>
      <c r="QF301">
        <v>1</v>
      </c>
      <c r="QG301">
        <v>0</v>
      </c>
      <c r="QH301">
        <v>5</v>
      </c>
      <c r="QI301">
        <v>5</v>
      </c>
      <c r="QJ301">
        <v>5</v>
      </c>
      <c r="QK301">
        <v>223</v>
      </c>
      <c r="QL301">
        <v>440</v>
      </c>
      <c r="QM301">
        <v>7.5</v>
      </c>
      <c r="QN301">
        <v>1282.5</v>
      </c>
      <c r="QO301" t="s">
        <v>3491</v>
      </c>
      <c r="QP301" t="s">
        <v>513</v>
      </c>
      <c r="QQ301">
        <v>0</v>
      </c>
      <c r="QR301" t="s">
        <v>1343</v>
      </c>
      <c r="QS301">
        <v>40</v>
      </c>
      <c r="QT301">
        <v>50</v>
      </c>
    </row>
    <row r="302" spans="1:462">
      <c r="A302" t="s">
        <v>3547</v>
      </c>
      <c r="B302" t="s">
        <v>508</v>
      </c>
      <c r="C302" t="s">
        <v>509</v>
      </c>
      <c r="D302" t="s">
        <v>5056</v>
      </c>
      <c r="E302" t="s">
        <v>4036</v>
      </c>
      <c r="H302" t="s">
        <v>1135</v>
      </c>
      <c r="J302" t="s">
        <v>562</v>
      </c>
      <c r="K302" t="s">
        <v>563</v>
      </c>
      <c r="M302" t="s">
        <v>512</v>
      </c>
      <c r="N302" t="s">
        <v>515</v>
      </c>
      <c r="O302" t="s">
        <v>513</v>
      </c>
      <c r="P302" t="s">
        <v>517</v>
      </c>
      <c r="Q302" t="s">
        <v>518</v>
      </c>
      <c r="R302" t="s">
        <v>519</v>
      </c>
      <c r="S302" t="s">
        <v>4037</v>
      </c>
      <c r="T302" t="s">
        <v>520</v>
      </c>
      <c r="U302" t="s">
        <v>521</v>
      </c>
      <c r="V302" t="s">
        <v>2392</v>
      </c>
      <c r="W302" t="s">
        <v>2336</v>
      </c>
      <c r="X302" t="s">
        <v>3548</v>
      </c>
      <c r="Y302" t="s">
        <v>3549</v>
      </c>
      <c r="Z302" t="s">
        <v>541</v>
      </c>
      <c r="AA302" t="s">
        <v>4038</v>
      </c>
      <c r="AB302" t="s">
        <v>5057</v>
      </c>
      <c r="AC302">
        <v>13</v>
      </c>
      <c r="AD302" t="s">
        <v>3545</v>
      </c>
      <c r="AE302">
        <v>1</v>
      </c>
      <c r="AF302">
        <v>3820</v>
      </c>
      <c r="AG302" t="s">
        <v>4607</v>
      </c>
      <c r="AH302">
        <v>1</v>
      </c>
      <c r="AI302" t="s">
        <v>4041</v>
      </c>
      <c r="AK302" t="s">
        <v>4608</v>
      </c>
      <c r="AL302">
        <v>1</v>
      </c>
      <c r="AM302" t="s">
        <v>582</v>
      </c>
      <c r="AO302" t="s">
        <v>4043</v>
      </c>
      <c r="AP302">
        <v>1</v>
      </c>
      <c r="AR302" t="s">
        <v>5058</v>
      </c>
      <c r="AS302">
        <v>1</v>
      </c>
      <c r="AT302">
        <v>52</v>
      </c>
      <c r="AV302" t="s">
        <v>4045</v>
      </c>
      <c r="AW302">
        <v>6</v>
      </c>
      <c r="AX302">
        <v>-6</v>
      </c>
      <c r="AY302">
        <v>93</v>
      </c>
      <c r="AZ302">
        <v>84</v>
      </c>
      <c r="BH302">
        <v>93</v>
      </c>
      <c r="BI302">
        <v>9</v>
      </c>
      <c r="BJ302">
        <v>84</v>
      </c>
      <c r="BK302">
        <v>3</v>
      </c>
      <c r="BL302">
        <v>186</v>
      </c>
      <c r="BM302">
        <v>-6</v>
      </c>
      <c r="BN302">
        <v>0</v>
      </c>
      <c r="BP302">
        <v>0</v>
      </c>
      <c r="BR302">
        <v>180</v>
      </c>
      <c r="BS302">
        <v>170</v>
      </c>
      <c r="BT302">
        <v>1835</v>
      </c>
      <c r="BU302" t="s">
        <v>4046</v>
      </c>
      <c r="BV302" t="s">
        <v>4047</v>
      </c>
      <c r="BW302" t="s">
        <v>4048</v>
      </c>
      <c r="BX302" t="s">
        <v>4049</v>
      </c>
      <c r="BY302" t="s">
        <v>4144</v>
      </c>
      <c r="BZ302" t="s">
        <v>4144</v>
      </c>
      <c r="CA302" t="s">
        <v>4051</v>
      </c>
      <c r="CB302" t="s">
        <v>4052</v>
      </c>
      <c r="CC302" t="s">
        <v>4053</v>
      </c>
      <c r="CD302" t="s">
        <v>4054</v>
      </c>
      <c r="CE302" t="s">
        <v>4055</v>
      </c>
      <c r="CF302" t="s">
        <v>4055</v>
      </c>
      <c r="CG302" t="s">
        <v>4056</v>
      </c>
      <c r="CH302" t="s">
        <v>4057</v>
      </c>
      <c r="CI302" t="s">
        <v>4216</v>
      </c>
      <c r="CJ302" t="s">
        <v>4059</v>
      </c>
      <c r="CK302" t="s">
        <v>4060</v>
      </c>
      <c r="CL302" t="s">
        <v>4061</v>
      </c>
      <c r="CM302" t="s">
        <v>4055</v>
      </c>
      <c r="CN302" t="s">
        <v>4062</v>
      </c>
      <c r="CO302" t="s">
        <v>4063</v>
      </c>
      <c r="CP302" t="s">
        <v>4055</v>
      </c>
      <c r="CQ302" t="s">
        <v>4055</v>
      </c>
      <c r="CR302">
        <v>5</v>
      </c>
      <c r="CS302" t="s">
        <v>4055</v>
      </c>
      <c r="CT302" t="s">
        <v>4055</v>
      </c>
      <c r="CU302" t="s">
        <v>4055</v>
      </c>
      <c r="CV302">
        <v>116</v>
      </c>
      <c r="CW302">
        <v>3</v>
      </c>
      <c r="CX302">
        <v>78</v>
      </c>
      <c r="CY302">
        <v>5</v>
      </c>
      <c r="CZ302">
        <v>71</v>
      </c>
      <c r="DA302">
        <v>5</v>
      </c>
      <c r="DB302">
        <v>9370</v>
      </c>
      <c r="DC302">
        <v>290</v>
      </c>
      <c r="DD302">
        <v>298</v>
      </c>
      <c r="DE302">
        <v>1949</v>
      </c>
      <c r="DF302">
        <v>1949</v>
      </c>
      <c r="DG302">
        <v>1964</v>
      </c>
      <c r="DH302">
        <v>3</v>
      </c>
      <c r="DI302" t="s">
        <v>4055</v>
      </c>
      <c r="DJ302" t="s">
        <v>4064</v>
      </c>
      <c r="DK302">
        <v>180</v>
      </c>
      <c r="DL302" t="s">
        <v>4065</v>
      </c>
      <c r="DM302">
        <v>65</v>
      </c>
      <c r="DN302">
        <v>1.2</v>
      </c>
      <c r="DO302">
        <v>1</v>
      </c>
      <c r="DP302">
        <v>1839</v>
      </c>
      <c r="DQ302">
        <v>760</v>
      </c>
      <c r="DR302" t="s">
        <v>4064</v>
      </c>
      <c r="DS302">
        <v>170</v>
      </c>
      <c r="DT302" t="s">
        <v>4065</v>
      </c>
      <c r="DU302">
        <v>65</v>
      </c>
      <c r="DV302">
        <v>1.2</v>
      </c>
      <c r="DW302">
        <v>1</v>
      </c>
      <c r="DX302">
        <v>1851</v>
      </c>
      <c r="DY302">
        <v>722</v>
      </c>
      <c r="DZ302" t="s">
        <v>4066</v>
      </c>
      <c r="EA302">
        <v>20</v>
      </c>
      <c r="EB302" t="s">
        <v>4065</v>
      </c>
      <c r="EC302">
        <v>0.8</v>
      </c>
      <c r="ED302">
        <v>1839</v>
      </c>
      <c r="EE302">
        <v>64</v>
      </c>
      <c r="EG302">
        <v>0</v>
      </c>
      <c r="EH302" t="s">
        <v>4065</v>
      </c>
      <c r="EI302">
        <v>0</v>
      </c>
      <c r="EL302" t="s">
        <v>1528</v>
      </c>
      <c r="EM302">
        <v>12</v>
      </c>
      <c r="EN302">
        <v>0.5</v>
      </c>
      <c r="EO302">
        <v>0.96</v>
      </c>
      <c r="EP302">
        <v>1850.08</v>
      </c>
      <c r="EQ302">
        <v>30526.32</v>
      </c>
      <c r="ER302">
        <v>2784.17</v>
      </c>
      <c r="ES302">
        <v>0</v>
      </c>
      <c r="ET302">
        <v>0</v>
      </c>
      <c r="EU302">
        <v>1</v>
      </c>
      <c r="EV302">
        <v>33311</v>
      </c>
      <c r="EW302">
        <v>400</v>
      </c>
      <c r="EX302" t="s">
        <v>4613</v>
      </c>
      <c r="EY302">
        <v>186</v>
      </c>
      <c r="EZ302" t="s">
        <v>4055</v>
      </c>
      <c r="FA302">
        <v>3.5</v>
      </c>
      <c r="FB302">
        <v>1</v>
      </c>
      <c r="FC302">
        <v>1</v>
      </c>
      <c r="FD302">
        <v>1881</v>
      </c>
      <c r="FE302">
        <v>1315</v>
      </c>
      <c r="FF302" t="s">
        <v>4288</v>
      </c>
      <c r="FG302">
        <v>196</v>
      </c>
      <c r="FH302" t="s">
        <v>4055</v>
      </c>
      <c r="FI302">
        <v>4</v>
      </c>
      <c r="FJ302">
        <v>1881</v>
      </c>
      <c r="FK302">
        <v>1905</v>
      </c>
      <c r="FL302" t="s">
        <v>4069</v>
      </c>
      <c r="FM302" t="s">
        <v>4055</v>
      </c>
      <c r="FN302" t="s">
        <v>4055</v>
      </c>
      <c r="FO302" t="s">
        <v>4055</v>
      </c>
      <c r="FP302">
        <v>1881</v>
      </c>
      <c r="FQ302">
        <v>214</v>
      </c>
      <c r="FR302" t="s">
        <v>4090</v>
      </c>
      <c r="FS302">
        <v>200</v>
      </c>
      <c r="FT302" t="s">
        <v>4055</v>
      </c>
      <c r="FU302">
        <v>0.4</v>
      </c>
      <c r="FV302">
        <v>1881</v>
      </c>
      <c r="FW302">
        <v>168</v>
      </c>
      <c r="FZ302" t="s">
        <v>4055</v>
      </c>
      <c r="GA302" t="s">
        <v>4055</v>
      </c>
      <c r="GD302">
        <v>3602</v>
      </c>
      <c r="GE302" t="s">
        <v>5058</v>
      </c>
      <c r="GF302" t="s">
        <v>4055</v>
      </c>
      <c r="GG302" t="s">
        <v>4055</v>
      </c>
      <c r="GH302" t="s">
        <v>4055</v>
      </c>
      <c r="GI302" t="s">
        <v>4071</v>
      </c>
      <c r="GJ302" t="s">
        <v>4055</v>
      </c>
      <c r="GK302" t="s">
        <v>4055</v>
      </c>
      <c r="GL302" t="s">
        <v>4055</v>
      </c>
      <c r="GM302" t="s">
        <v>4055</v>
      </c>
      <c r="GQ302">
        <v>0</v>
      </c>
      <c r="GV302">
        <v>7.9</v>
      </c>
      <c r="GW302">
        <v>10.4</v>
      </c>
      <c r="GX302">
        <v>0.5</v>
      </c>
      <c r="GY302">
        <v>170</v>
      </c>
      <c r="GZ302">
        <v>3</v>
      </c>
      <c r="HA302">
        <v>218</v>
      </c>
      <c r="HB302">
        <v>3</v>
      </c>
      <c r="HC302">
        <v>1881</v>
      </c>
      <c r="HD302">
        <v>4</v>
      </c>
      <c r="HE302" t="s">
        <v>4071</v>
      </c>
      <c r="HG302" t="s">
        <v>549</v>
      </c>
      <c r="HL302">
        <v>4</v>
      </c>
      <c r="HM302">
        <v>16</v>
      </c>
      <c r="HN302">
        <v>6</v>
      </c>
      <c r="HO302">
        <v>1</v>
      </c>
      <c r="HP302">
        <v>0</v>
      </c>
      <c r="HQ302">
        <v>0</v>
      </c>
      <c r="HR302">
        <v>2</v>
      </c>
      <c r="HS302">
        <v>1835</v>
      </c>
      <c r="HT302">
        <v>5</v>
      </c>
      <c r="HU302">
        <v>1</v>
      </c>
      <c r="HV302">
        <v>5</v>
      </c>
      <c r="HW302">
        <v>0</v>
      </c>
      <c r="HX302">
        <v>1</v>
      </c>
      <c r="HY302">
        <v>0</v>
      </c>
      <c r="HZ302">
        <v>65</v>
      </c>
      <c r="IA302">
        <v>1839</v>
      </c>
      <c r="IB302">
        <v>1851</v>
      </c>
      <c r="ID302">
        <v>1881</v>
      </c>
      <c r="IE302">
        <v>1881</v>
      </c>
      <c r="IF302">
        <v>180</v>
      </c>
      <c r="IG302">
        <v>170</v>
      </c>
      <c r="IH302">
        <v>218</v>
      </c>
      <c r="II302">
        <v>1</v>
      </c>
      <c r="IJ302">
        <v>5</v>
      </c>
      <c r="IK302">
        <v>0</v>
      </c>
      <c r="IL302">
        <v>0</v>
      </c>
      <c r="IM302">
        <v>0</v>
      </c>
      <c r="IN302">
        <v>270</v>
      </c>
      <c r="IO302">
        <v>0</v>
      </c>
      <c r="IP302">
        <v>180</v>
      </c>
      <c r="IQ302">
        <v>0</v>
      </c>
      <c r="IR302">
        <v>325</v>
      </c>
      <c r="IS302">
        <v>0</v>
      </c>
      <c r="IT302">
        <v>90</v>
      </c>
      <c r="IU302">
        <v>0</v>
      </c>
      <c r="IV302">
        <v>6.4</v>
      </c>
      <c r="IW302">
        <v>-6</v>
      </c>
      <c r="IX302">
        <v>93</v>
      </c>
      <c r="IY302">
        <v>84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354</v>
      </c>
      <c r="JJ302">
        <v>314</v>
      </c>
      <c r="JK302">
        <v>224</v>
      </c>
      <c r="JL302">
        <v>310</v>
      </c>
      <c r="JM302">
        <v>234</v>
      </c>
      <c r="JN302">
        <v>195</v>
      </c>
      <c r="JO302">
        <v>235</v>
      </c>
      <c r="JP302">
        <v>230</v>
      </c>
      <c r="JQ302">
        <v>260</v>
      </c>
      <c r="JR302">
        <v>330</v>
      </c>
      <c r="JS302">
        <v>270</v>
      </c>
      <c r="JT302">
        <v>0</v>
      </c>
      <c r="JU302">
        <v>0</v>
      </c>
      <c r="JV302">
        <v>305</v>
      </c>
      <c r="JW302">
        <v>307</v>
      </c>
      <c r="JX302">
        <v>325</v>
      </c>
      <c r="JY302">
        <v>310</v>
      </c>
      <c r="JZ302">
        <v>1</v>
      </c>
      <c r="KA302">
        <v>0.2</v>
      </c>
      <c r="KB302">
        <v>0.4</v>
      </c>
      <c r="KC302">
        <v>0.42</v>
      </c>
      <c r="KD302">
        <v>0.28</v>
      </c>
      <c r="KE302">
        <v>0.5</v>
      </c>
      <c r="KF302">
        <v>0.19</v>
      </c>
      <c r="KG302">
        <v>0.11</v>
      </c>
      <c r="KH302">
        <v>3.5</v>
      </c>
      <c r="KI302">
        <v>1</v>
      </c>
      <c r="KJ302">
        <v>5</v>
      </c>
      <c r="KK302">
        <v>0</v>
      </c>
      <c r="KL302">
        <v>7</v>
      </c>
      <c r="KM302">
        <v>1</v>
      </c>
      <c r="KN302">
        <v>1.5</v>
      </c>
      <c r="KO302">
        <v>0</v>
      </c>
      <c r="KP302">
        <v>0</v>
      </c>
      <c r="KQ302">
        <v>0.8</v>
      </c>
      <c r="KR302">
        <v>0.3</v>
      </c>
      <c r="KS302">
        <v>0</v>
      </c>
      <c r="KT302">
        <v>2.5</v>
      </c>
      <c r="KU302">
        <v>0</v>
      </c>
      <c r="KV302">
        <v>0</v>
      </c>
      <c r="KW302">
        <v>1.4</v>
      </c>
      <c r="KX302">
        <v>1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3</v>
      </c>
      <c r="LI302">
        <v>1</v>
      </c>
      <c r="LJ302">
        <v>0</v>
      </c>
      <c r="LK302">
        <v>7</v>
      </c>
      <c r="LL302">
        <v>2</v>
      </c>
      <c r="LM302">
        <v>10</v>
      </c>
      <c r="LN302">
        <v>0.5</v>
      </c>
      <c r="LO302">
        <v>3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1.4</v>
      </c>
      <c r="LX302">
        <v>1.4</v>
      </c>
      <c r="LY302">
        <v>2.1</v>
      </c>
      <c r="LZ302">
        <v>2.1</v>
      </c>
      <c r="MA302">
        <v>0</v>
      </c>
      <c r="MB302">
        <v>5</v>
      </c>
      <c r="MC302">
        <v>2</v>
      </c>
      <c r="MD302">
        <v>4.5</v>
      </c>
      <c r="ME302">
        <v>6</v>
      </c>
      <c r="MF302">
        <v>6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358</v>
      </c>
      <c r="MN302">
        <v>175</v>
      </c>
      <c r="MO302">
        <v>228</v>
      </c>
      <c r="NU302">
        <v>0.2</v>
      </c>
      <c r="NV302">
        <v>0.35</v>
      </c>
      <c r="NW302">
        <v>0.35</v>
      </c>
      <c r="NX302">
        <v>2</v>
      </c>
      <c r="NY302">
        <v>2</v>
      </c>
      <c r="NZ302">
        <v>2</v>
      </c>
      <c r="OE302" t="s">
        <v>5058</v>
      </c>
      <c r="OF302" t="s">
        <v>4607</v>
      </c>
      <c r="OG302" t="s">
        <v>4608</v>
      </c>
      <c r="OH302" t="s">
        <v>4043</v>
      </c>
      <c r="OI302" t="s">
        <v>5058</v>
      </c>
      <c r="OJ302" t="s">
        <v>5057</v>
      </c>
      <c r="OK302">
        <v>61</v>
      </c>
      <c r="OL302">
        <v>61</v>
      </c>
      <c r="OM302" t="s">
        <v>4607</v>
      </c>
      <c r="ON302">
        <v>2</v>
      </c>
      <c r="OO302">
        <v>1839</v>
      </c>
      <c r="OP302">
        <v>61</v>
      </c>
      <c r="OQ302">
        <v>61</v>
      </c>
      <c r="OR302" t="s">
        <v>4608</v>
      </c>
      <c r="OS302">
        <v>2</v>
      </c>
      <c r="OT302">
        <v>1851</v>
      </c>
      <c r="OU302">
        <v>65</v>
      </c>
      <c r="OV302">
        <v>65</v>
      </c>
      <c r="OW302" t="s">
        <v>4043</v>
      </c>
      <c r="OX302">
        <v>1</v>
      </c>
      <c r="OY302">
        <v>33311</v>
      </c>
      <c r="OZ302">
        <v>51</v>
      </c>
      <c r="PA302">
        <v>52</v>
      </c>
      <c r="PB302" t="s">
        <v>5058</v>
      </c>
      <c r="PC302">
        <v>1</v>
      </c>
      <c r="PD302">
        <v>1881</v>
      </c>
      <c r="PF302">
        <v>413</v>
      </c>
      <c r="PG302">
        <v>35</v>
      </c>
      <c r="PH302">
        <v>390</v>
      </c>
      <c r="PI302">
        <v>0</v>
      </c>
      <c r="PJ302">
        <v>113.8</v>
      </c>
      <c r="PK302">
        <v>1925</v>
      </c>
      <c r="PL302">
        <v>699.3</v>
      </c>
      <c r="PM302">
        <v>1012.9</v>
      </c>
      <c r="PN302">
        <v>89.40000000000001</v>
      </c>
      <c r="PP302">
        <v>12</v>
      </c>
      <c r="PQ302">
        <v>2</v>
      </c>
      <c r="PR302">
        <v>1</v>
      </c>
      <c r="PS302">
        <v>7</v>
      </c>
      <c r="PT302">
        <v>218</v>
      </c>
      <c r="PU302">
        <v>11</v>
      </c>
      <c r="PV302" t="s">
        <v>4072</v>
      </c>
      <c r="PW302" t="s">
        <v>4072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-1</v>
      </c>
      <c r="QF302">
        <v>1</v>
      </c>
      <c r="QG302">
        <v>0</v>
      </c>
      <c r="QH302">
        <v>5</v>
      </c>
      <c r="QI302">
        <v>5</v>
      </c>
      <c r="QJ302">
        <v>5</v>
      </c>
      <c r="QK302">
        <v>195</v>
      </c>
      <c r="QL302">
        <v>384</v>
      </c>
      <c r="QM302">
        <v>7.5</v>
      </c>
      <c r="QN302">
        <v>1282.5</v>
      </c>
      <c r="QO302" t="s">
        <v>3491</v>
      </c>
      <c r="QP302" t="s">
        <v>513</v>
      </c>
      <c r="QQ302">
        <v>0</v>
      </c>
      <c r="QR302" t="s">
        <v>1343</v>
      </c>
      <c r="QS302">
        <v>40</v>
      </c>
      <c r="QT302">
        <v>50</v>
      </c>
    </row>
    <row r="303" spans="1:462">
      <c r="A303" t="s">
        <v>3540</v>
      </c>
      <c r="B303" t="s">
        <v>804</v>
      </c>
      <c r="C303" t="s">
        <v>509</v>
      </c>
      <c r="D303" t="s">
        <v>3539</v>
      </c>
      <c r="E303" t="s">
        <v>4036</v>
      </c>
      <c r="H303" t="s">
        <v>1115</v>
      </c>
      <c r="J303" t="s">
        <v>562</v>
      </c>
      <c r="K303" t="s">
        <v>563</v>
      </c>
      <c r="L303" t="s">
        <v>508</v>
      </c>
      <c r="M303" t="s">
        <v>512</v>
      </c>
      <c r="N303" t="s">
        <v>515</v>
      </c>
      <c r="O303" t="s">
        <v>513</v>
      </c>
      <c r="P303" t="s">
        <v>517</v>
      </c>
      <c r="Q303" t="s">
        <v>1480</v>
      </c>
      <c r="R303" t="s">
        <v>1481</v>
      </c>
      <c r="S303" t="s">
        <v>4091</v>
      </c>
      <c r="T303" t="s">
        <v>1482</v>
      </c>
      <c r="U303" t="s">
        <v>1483</v>
      </c>
      <c r="V303" t="s">
        <v>2425</v>
      </c>
      <c r="W303" t="s">
        <v>2336</v>
      </c>
      <c r="X303" t="s">
        <v>2426</v>
      </c>
      <c r="Y303" t="s">
        <v>3541</v>
      </c>
      <c r="Z303" t="s">
        <v>650</v>
      </c>
      <c r="AA303" t="s">
        <v>3054</v>
      </c>
      <c r="AB303" t="s">
        <v>5059</v>
      </c>
      <c r="AC303">
        <v>14</v>
      </c>
      <c r="AD303" t="s">
        <v>3538</v>
      </c>
      <c r="AE303">
        <v>2</v>
      </c>
      <c r="AF303">
        <v>3392</v>
      </c>
      <c r="AG303" t="s">
        <v>4687</v>
      </c>
      <c r="AH303">
        <v>1</v>
      </c>
      <c r="AI303" t="s">
        <v>4041</v>
      </c>
      <c r="AK303" t="s">
        <v>4688</v>
      </c>
      <c r="AL303">
        <v>1</v>
      </c>
      <c r="AM303" t="s">
        <v>582</v>
      </c>
      <c r="AO303" t="s">
        <v>4043</v>
      </c>
      <c r="AP303">
        <v>1</v>
      </c>
      <c r="AR303" t="s">
        <v>5060</v>
      </c>
      <c r="AS303">
        <v>1</v>
      </c>
      <c r="AT303">
        <v>52</v>
      </c>
      <c r="AV303" t="s">
        <v>4045</v>
      </c>
      <c r="AW303">
        <v>6.4</v>
      </c>
      <c r="AX303">
        <v>-6</v>
      </c>
      <c r="AY303">
        <v>80</v>
      </c>
      <c r="AZ303">
        <v>72</v>
      </c>
      <c r="BH303">
        <v>80</v>
      </c>
      <c r="BI303">
        <v>8</v>
      </c>
      <c r="BJ303">
        <v>72</v>
      </c>
      <c r="BK303">
        <v>2.5</v>
      </c>
      <c r="BL303">
        <v>160</v>
      </c>
      <c r="BM303">
        <v>-6</v>
      </c>
      <c r="BN303">
        <v>0</v>
      </c>
      <c r="BP303">
        <v>0</v>
      </c>
      <c r="BR303">
        <v>155</v>
      </c>
      <c r="BS303">
        <v>145</v>
      </c>
      <c r="BT303">
        <v>1825</v>
      </c>
      <c r="BU303" t="s">
        <v>4046</v>
      </c>
      <c r="BV303" t="s">
        <v>4047</v>
      </c>
      <c r="BW303" t="s">
        <v>4048</v>
      </c>
      <c r="BX303" t="s">
        <v>4049</v>
      </c>
      <c r="BY303" t="s">
        <v>4413</v>
      </c>
      <c r="BZ303" t="s">
        <v>4369</v>
      </c>
      <c r="CA303" t="s">
        <v>4370</v>
      </c>
      <c r="CB303" t="s">
        <v>4371</v>
      </c>
      <c r="CC303" t="s">
        <v>4053</v>
      </c>
      <c r="CD303" t="s">
        <v>4372</v>
      </c>
      <c r="CE303" t="s">
        <v>4055</v>
      </c>
      <c r="CF303" t="s">
        <v>4055</v>
      </c>
      <c r="CG303" t="s">
        <v>4056</v>
      </c>
      <c r="CH303" t="s">
        <v>4145</v>
      </c>
      <c r="CI303" t="s">
        <v>4216</v>
      </c>
      <c r="CJ303" t="s">
        <v>4059</v>
      </c>
      <c r="CK303" t="s">
        <v>4060</v>
      </c>
      <c r="CL303" t="s">
        <v>4061</v>
      </c>
      <c r="CM303" t="s">
        <v>4062</v>
      </c>
      <c r="CN303" t="s">
        <v>4055</v>
      </c>
      <c r="CO303" t="s">
        <v>4063</v>
      </c>
      <c r="CP303" t="s">
        <v>4055</v>
      </c>
      <c r="CQ303" t="s">
        <v>4055</v>
      </c>
      <c r="CR303">
        <v>5</v>
      </c>
      <c r="CS303" t="s">
        <v>4055</v>
      </c>
      <c r="CT303" t="s">
        <v>4055</v>
      </c>
      <c r="CU303" t="s">
        <v>4055</v>
      </c>
      <c r="CV303">
        <v>108</v>
      </c>
      <c r="CW303">
        <v>3</v>
      </c>
      <c r="CX303">
        <v>86</v>
      </c>
      <c r="CY303">
        <v>5</v>
      </c>
      <c r="CZ303">
        <v>119</v>
      </c>
      <c r="DA303">
        <v>5</v>
      </c>
      <c r="DB303">
        <v>8120</v>
      </c>
      <c r="DC303">
        <v>140</v>
      </c>
      <c r="DD303">
        <v>265</v>
      </c>
      <c r="DE303">
        <v>1915</v>
      </c>
      <c r="DF303">
        <v>1915</v>
      </c>
      <c r="DG303">
        <v>1933</v>
      </c>
      <c r="DH303">
        <v>5</v>
      </c>
      <c r="DI303" t="s">
        <v>4055</v>
      </c>
      <c r="DJ303" t="s">
        <v>4100</v>
      </c>
      <c r="DK303">
        <v>155</v>
      </c>
      <c r="DL303" t="s">
        <v>4101</v>
      </c>
      <c r="DM303">
        <v>67</v>
      </c>
      <c r="DN303">
        <v>0.84</v>
      </c>
      <c r="DO303">
        <v>1</v>
      </c>
      <c r="DP303">
        <v>1828</v>
      </c>
      <c r="DQ303">
        <v>517</v>
      </c>
      <c r="DR303" t="s">
        <v>4100</v>
      </c>
      <c r="DS303">
        <v>145</v>
      </c>
      <c r="DT303" t="s">
        <v>4101</v>
      </c>
      <c r="DU303">
        <v>67</v>
      </c>
      <c r="DV303">
        <v>0.84</v>
      </c>
      <c r="DW303">
        <v>1</v>
      </c>
      <c r="DX303">
        <v>1835</v>
      </c>
      <c r="DY303">
        <v>486</v>
      </c>
      <c r="DZ303" t="s">
        <v>4066</v>
      </c>
      <c r="EA303">
        <v>33</v>
      </c>
      <c r="EB303" t="s">
        <v>4065</v>
      </c>
      <c r="EC303">
        <v>0.4</v>
      </c>
      <c r="ED303">
        <v>1828</v>
      </c>
      <c r="EE303">
        <v>53</v>
      </c>
      <c r="EF303" t="s">
        <v>4066</v>
      </c>
      <c r="EG303">
        <v>33</v>
      </c>
      <c r="EH303" t="s">
        <v>4065</v>
      </c>
      <c r="EI303">
        <v>0.4</v>
      </c>
      <c r="EJ303">
        <v>1835</v>
      </c>
      <c r="EK303">
        <v>53</v>
      </c>
      <c r="EL303" t="s">
        <v>1528</v>
      </c>
      <c r="EM303">
        <v>12</v>
      </c>
      <c r="EN303">
        <v>0.5</v>
      </c>
      <c r="EO303">
        <v>0.96</v>
      </c>
      <c r="EP303">
        <v>1835.56</v>
      </c>
      <c r="EQ303">
        <v>24665.34</v>
      </c>
      <c r="ER303">
        <v>2301.99</v>
      </c>
      <c r="ES303">
        <v>0</v>
      </c>
      <c r="ET303">
        <v>0</v>
      </c>
      <c r="EU303">
        <v>1</v>
      </c>
      <c r="EV303">
        <v>26968</v>
      </c>
      <c r="EW303">
        <v>324</v>
      </c>
      <c r="EX303" t="s">
        <v>4613</v>
      </c>
      <c r="EY303">
        <v>166</v>
      </c>
      <c r="EZ303" t="s">
        <v>4055</v>
      </c>
      <c r="FA303">
        <v>3.8</v>
      </c>
      <c r="FB303">
        <v>1</v>
      </c>
      <c r="FC303">
        <v>1</v>
      </c>
      <c r="FD303">
        <v>1868</v>
      </c>
      <c r="FE303">
        <v>1283</v>
      </c>
      <c r="FF303" t="s">
        <v>4288</v>
      </c>
      <c r="FG303">
        <v>182</v>
      </c>
      <c r="FH303" t="s">
        <v>4055</v>
      </c>
      <c r="FI303">
        <v>4.2</v>
      </c>
      <c r="FJ303">
        <v>1868</v>
      </c>
      <c r="FK303">
        <v>1637</v>
      </c>
      <c r="FL303" t="s">
        <v>4069</v>
      </c>
      <c r="FM303" t="s">
        <v>4055</v>
      </c>
      <c r="FN303" t="s">
        <v>4055</v>
      </c>
      <c r="FO303" t="s">
        <v>4055</v>
      </c>
      <c r="FP303">
        <v>1868</v>
      </c>
      <c r="FQ303">
        <v>218</v>
      </c>
      <c r="FR303" t="s">
        <v>4090</v>
      </c>
      <c r="FS303">
        <v>186</v>
      </c>
      <c r="FT303" t="s">
        <v>4055</v>
      </c>
      <c r="FU303">
        <v>0.4</v>
      </c>
      <c r="FV303">
        <v>1868</v>
      </c>
      <c r="FW303">
        <v>155</v>
      </c>
      <c r="FZ303" t="s">
        <v>4055</v>
      </c>
      <c r="GA303" t="s">
        <v>4055</v>
      </c>
      <c r="GD303">
        <v>3293</v>
      </c>
      <c r="GE303" t="s">
        <v>5060</v>
      </c>
      <c r="GF303" t="s">
        <v>4055</v>
      </c>
      <c r="GG303" t="s">
        <v>4055</v>
      </c>
      <c r="GH303" t="s">
        <v>4055</v>
      </c>
      <c r="GI303" t="s">
        <v>4071</v>
      </c>
      <c r="GJ303" t="s">
        <v>4055</v>
      </c>
      <c r="GK303" t="s">
        <v>4055</v>
      </c>
      <c r="GL303" t="s">
        <v>4055</v>
      </c>
      <c r="GM303" t="s">
        <v>4055</v>
      </c>
      <c r="GQ303">
        <v>0</v>
      </c>
      <c r="GV303">
        <v>8.4</v>
      </c>
      <c r="GW303">
        <v>11.1</v>
      </c>
      <c r="GX303">
        <v>0.5</v>
      </c>
      <c r="GY303">
        <v>146</v>
      </c>
      <c r="GZ303">
        <v>3</v>
      </c>
      <c r="HA303">
        <v>196</v>
      </c>
      <c r="HB303">
        <v>3</v>
      </c>
      <c r="HC303">
        <v>1868</v>
      </c>
      <c r="HD303">
        <v>4</v>
      </c>
      <c r="HE303" t="s">
        <v>4071</v>
      </c>
      <c r="HG303" t="s">
        <v>549</v>
      </c>
      <c r="HL303">
        <v>4</v>
      </c>
      <c r="HM303">
        <v>15</v>
      </c>
      <c r="HN303">
        <v>1</v>
      </c>
      <c r="HO303">
        <v>1</v>
      </c>
      <c r="HP303">
        <v>0</v>
      </c>
      <c r="HQ303">
        <v>0</v>
      </c>
      <c r="HR303">
        <v>3</v>
      </c>
      <c r="HS303">
        <v>1825</v>
      </c>
      <c r="HT303">
        <v>5</v>
      </c>
      <c r="HU303">
        <v>1</v>
      </c>
      <c r="HV303">
        <v>5</v>
      </c>
      <c r="HW303">
        <v>0</v>
      </c>
      <c r="HX303">
        <v>1</v>
      </c>
      <c r="HY303">
        <v>0</v>
      </c>
      <c r="HZ303">
        <v>67</v>
      </c>
      <c r="IA303">
        <v>1828</v>
      </c>
      <c r="IB303">
        <v>1835</v>
      </c>
      <c r="ID303">
        <v>1868</v>
      </c>
      <c r="IE303">
        <v>1868</v>
      </c>
      <c r="IF303">
        <v>155</v>
      </c>
      <c r="IG303">
        <v>145</v>
      </c>
      <c r="IH303">
        <v>196</v>
      </c>
      <c r="II303">
        <v>1</v>
      </c>
      <c r="IJ303">
        <v>5</v>
      </c>
      <c r="IK303">
        <v>0</v>
      </c>
      <c r="IL303">
        <v>0</v>
      </c>
      <c r="IM303">
        <v>0</v>
      </c>
      <c r="IN303">
        <v>270</v>
      </c>
      <c r="IO303">
        <v>0</v>
      </c>
      <c r="IP303">
        <v>180</v>
      </c>
      <c r="IQ303">
        <v>0</v>
      </c>
      <c r="IR303">
        <v>342</v>
      </c>
      <c r="IS303">
        <v>0</v>
      </c>
      <c r="IT303">
        <v>90</v>
      </c>
      <c r="IU303">
        <v>0</v>
      </c>
      <c r="IV303">
        <v>6.4</v>
      </c>
      <c r="IW303">
        <v>-6</v>
      </c>
      <c r="IX303">
        <v>80</v>
      </c>
      <c r="IY303">
        <v>72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340</v>
      </c>
      <c r="JJ303">
        <v>310</v>
      </c>
      <c r="JK303">
        <v>223</v>
      </c>
      <c r="JL303">
        <v>310</v>
      </c>
      <c r="JM303">
        <v>223</v>
      </c>
      <c r="JN303">
        <v>160</v>
      </c>
      <c r="JO303">
        <v>201</v>
      </c>
      <c r="JP303">
        <v>235</v>
      </c>
      <c r="JQ303">
        <v>275</v>
      </c>
      <c r="JR303">
        <v>360</v>
      </c>
      <c r="JS303">
        <v>280</v>
      </c>
      <c r="JT303">
        <v>0</v>
      </c>
      <c r="JU303">
        <v>0</v>
      </c>
      <c r="JV303">
        <v>335</v>
      </c>
      <c r="JW303">
        <v>337</v>
      </c>
      <c r="JX303">
        <v>355</v>
      </c>
      <c r="JY303">
        <v>330</v>
      </c>
      <c r="JZ303">
        <v>2</v>
      </c>
      <c r="KA303">
        <v>0.2</v>
      </c>
      <c r="KB303">
        <v>0.3</v>
      </c>
      <c r="KC303">
        <v>0.42</v>
      </c>
      <c r="KD303">
        <v>0.4</v>
      </c>
      <c r="KE303">
        <v>0.5</v>
      </c>
      <c r="KF303">
        <v>0.16</v>
      </c>
      <c r="KG303">
        <v>0.08</v>
      </c>
      <c r="KH303">
        <v>3.5</v>
      </c>
      <c r="KI303">
        <v>1</v>
      </c>
      <c r="KJ303">
        <v>4.5</v>
      </c>
      <c r="KK303">
        <v>0</v>
      </c>
      <c r="KL303">
        <v>4.5</v>
      </c>
      <c r="KM303">
        <v>0</v>
      </c>
      <c r="KN303">
        <v>1.1</v>
      </c>
      <c r="KO303">
        <v>0</v>
      </c>
      <c r="KP303">
        <v>0</v>
      </c>
      <c r="KQ303">
        <v>1</v>
      </c>
      <c r="KR303">
        <v>0.8</v>
      </c>
      <c r="KS303">
        <v>0</v>
      </c>
      <c r="KT303">
        <v>1</v>
      </c>
      <c r="KU303">
        <v>0</v>
      </c>
      <c r="KV303">
        <v>0</v>
      </c>
      <c r="KW303">
        <v>1.2</v>
      </c>
      <c r="KX303">
        <v>2</v>
      </c>
      <c r="KY303">
        <v>1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2</v>
      </c>
      <c r="LJ303">
        <v>0</v>
      </c>
      <c r="LK303">
        <v>3</v>
      </c>
      <c r="LL303">
        <v>3.5</v>
      </c>
      <c r="LM303">
        <v>4</v>
      </c>
      <c r="LN303">
        <v>0.5</v>
      </c>
      <c r="LO303">
        <v>0.5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1.4</v>
      </c>
      <c r="LX303">
        <v>1.4</v>
      </c>
      <c r="LY303">
        <v>1.4</v>
      </c>
      <c r="LZ303">
        <v>1.4</v>
      </c>
      <c r="MA303">
        <v>0</v>
      </c>
      <c r="MB303">
        <v>0</v>
      </c>
      <c r="MC303">
        <v>0</v>
      </c>
      <c r="MD303">
        <v>6</v>
      </c>
      <c r="ME303">
        <v>6</v>
      </c>
      <c r="MF303">
        <v>6</v>
      </c>
      <c r="MG303">
        <v>20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374</v>
      </c>
      <c r="MN303">
        <v>150</v>
      </c>
      <c r="MO303">
        <v>202</v>
      </c>
      <c r="NU303">
        <v>0.15</v>
      </c>
      <c r="NV303">
        <v>0.2</v>
      </c>
      <c r="NW303">
        <v>0.2</v>
      </c>
      <c r="NX303">
        <v>4</v>
      </c>
      <c r="NY303">
        <v>4</v>
      </c>
      <c r="NZ303">
        <v>2</v>
      </c>
      <c r="OE303" t="s">
        <v>5060</v>
      </c>
      <c r="OF303" t="s">
        <v>4687</v>
      </c>
      <c r="OG303" t="s">
        <v>4688</v>
      </c>
      <c r="OH303" t="s">
        <v>4043</v>
      </c>
      <c r="OI303" t="s">
        <v>5060</v>
      </c>
      <c r="OJ303" t="s">
        <v>5059</v>
      </c>
      <c r="OK303">
        <v>61</v>
      </c>
      <c r="OL303">
        <v>61</v>
      </c>
      <c r="OM303" t="s">
        <v>4687</v>
      </c>
      <c r="ON303">
        <v>2</v>
      </c>
      <c r="OO303">
        <v>1828</v>
      </c>
      <c r="OP303">
        <v>61</v>
      </c>
      <c r="OQ303">
        <v>61</v>
      </c>
      <c r="OR303" t="s">
        <v>4688</v>
      </c>
      <c r="OS303">
        <v>2</v>
      </c>
      <c r="OT303">
        <v>1835</v>
      </c>
      <c r="OU303">
        <v>65</v>
      </c>
      <c r="OV303">
        <v>65</v>
      </c>
      <c r="OW303" t="s">
        <v>4043</v>
      </c>
      <c r="OX303">
        <v>1</v>
      </c>
      <c r="OY303">
        <v>26968</v>
      </c>
      <c r="OZ303">
        <v>51</v>
      </c>
      <c r="PA303">
        <v>52</v>
      </c>
      <c r="PB303" t="s">
        <v>5060</v>
      </c>
      <c r="PC303">
        <v>1</v>
      </c>
      <c r="PD303">
        <v>1868</v>
      </c>
      <c r="PF303">
        <v>283</v>
      </c>
      <c r="PG303">
        <v>29</v>
      </c>
      <c r="PH303">
        <v>265</v>
      </c>
      <c r="PI303">
        <v>29</v>
      </c>
      <c r="PJ303">
        <v>116.8</v>
      </c>
      <c r="PK303">
        <v>1760</v>
      </c>
      <c r="PL303">
        <v>686.8</v>
      </c>
      <c r="PM303">
        <v>876.2</v>
      </c>
      <c r="PN303">
        <v>83.09999999999999</v>
      </c>
      <c r="PP303">
        <v>12</v>
      </c>
      <c r="PQ303">
        <v>2</v>
      </c>
      <c r="PR303">
        <v>1</v>
      </c>
      <c r="PS303">
        <v>6</v>
      </c>
      <c r="PT303">
        <v>196</v>
      </c>
      <c r="PU303">
        <v>7</v>
      </c>
      <c r="PV303" t="s">
        <v>4072</v>
      </c>
      <c r="PW303" t="s">
        <v>4072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-1</v>
      </c>
      <c r="QF303">
        <v>1</v>
      </c>
      <c r="QG303">
        <v>0</v>
      </c>
      <c r="QH303">
        <v>5</v>
      </c>
      <c r="QI303">
        <v>5</v>
      </c>
      <c r="QJ303">
        <v>5</v>
      </c>
      <c r="QK303">
        <v>192</v>
      </c>
      <c r="QL303">
        <v>370</v>
      </c>
      <c r="QM303">
        <v>7.5</v>
      </c>
      <c r="QN303">
        <v>1202.7</v>
      </c>
      <c r="QO303" t="s">
        <v>3491</v>
      </c>
      <c r="QP303" t="s">
        <v>513</v>
      </c>
      <c r="QQ303">
        <v>0</v>
      </c>
      <c r="QR303" t="s">
        <v>860</v>
      </c>
      <c r="QS303">
        <v>40</v>
      </c>
      <c r="QT303">
        <v>50</v>
      </c>
    </row>
    <row r="304" spans="1:462">
      <c r="A304" t="s">
        <v>3560</v>
      </c>
      <c r="B304" t="s">
        <v>508</v>
      </c>
      <c r="C304" t="s">
        <v>509</v>
      </c>
      <c r="D304" t="s">
        <v>3559</v>
      </c>
      <c r="E304" t="s">
        <v>4036</v>
      </c>
      <c r="H304" t="s">
        <v>561</v>
      </c>
      <c r="J304" t="s">
        <v>562</v>
      </c>
      <c r="K304" t="s">
        <v>563</v>
      </c>
      <c r="M304" t="s">
        <v>512</v>
      </c>
      <c r="N304" t="s">
        <v>515</v>
      </c>
      <c r="O304" t="s">
        <v>513</v>
      </c>
      <c r="P304" t="s">
        <v>517</v>
      </c>
      <c r="Q304" t="s">
        <v>1681</v>
      </c>
      <c r="R304" t="s">
        <v>1682</v>
      </c>
      <c r="S304" t="s">
        <v>4170</v>
      </c>
      <c r="T304" t="s">
        <v>520</v>
      </c>
      <c r="U304" t="s">
        <v>521</v>
      </c>
      <c r="V304" t="s">
        <v>2477</v>
      </c>
      <c r="W304" t="s">
        <v>2336</v>
      </c>
      <c r="X304" t="s">
        <v>3561</v>
      </c>
      <c r="Y304" t="s">
        <v>3562</v>
      </c>
      <c r="Z304" t="s">
        <v>541</v>
      </c>
      <c r="AA304" t="s">
        <v>4038</v>
      </c>
      <c r="AB304" t="s">
        <v>5061</v>
      </c>
      <c r="AC304">
        <v>13</v>
      </c>
      <c r="AD304" t="s">
        <v>3558</v>
      </c>
      <c r="AE304">
        <v>1</v>
      </c>
      <c r="AF304">
        <v>3919</v>
      </c>
      <c r="AG304" t="s">
        <v>4660</v>
      </c>
      <c r="AH304">
        <v>1</v>
      </c>
      <c r="AI304" t="s">
        <v>4041</v>
      </c>
      <c r="AK304" t="s">
        <v>4661</v>
      </c>
      <c r="AL304">
        <v>1</v>
      </c>
      <c r="AM304" t="s">
        <v>582</v>
      </c>
      <c r="AO304" t="s">
        <v>4043</v>
      </c>
      <c r="AP304">
        <v>1</v>
      </c>
      <c r="AR304" t="s">
        <v>5062</v>
      </c>
      <c r="AS304">
        <v>1</v>
      </c>
      <c r="AT304">
        <v>52</v>
      </c>
      <c r="AV304" t="s">
        <v>4045</v>
      </c>
      <c r="AW304">
        <v>6.4</v>
      </c>
      <c r="AX304">
        <v>-6</v>
      </c>
      <c r="AY304">
        <v>95</v>
      </c>
      <c r="AZ304">
        <v>86</v>
      </c>
      <c r="BH304">
        <v>95</v>
      </c>
      <c r="BI304">
        <v>9</v>
      </c>
      <c r="BJ304">
        <v>86</v>
      </c>
      <c r="BK304">
        <v>2.5</v>
      </c>
      <c r="BL304">
        <v>190</v>
      </c>
      <c r="BM304">
        <v>-6</v>
      </c>
      <c r="BN304">
        <v>0</v>
      </c>
      <c r="BP304">
        <v>0</v>
      </c>
      <c r="BR304">
        <v>185</v>
      </c>
      <c r="BS304">
        <v>175</v>
      </c>
      <c r="BT304">
        <v>1910</v>
      </c>
      <c r="BU304" t="s">
        <v>4047</v>
      </c>
      <c r="BV304" t="s">
        <v>4047</v>
      </c>
      <c r="BW304" t="s">
        <v>4097</v>
      </c>
      <c r="BX304" t="s">
        <v>4049</v>
      </c>
      <c r="BY304" t="s">
        <v>4050</v>
      </c>
      <c r="BZ304" t="s">
        <v>4144</v>
      </c>
      <c r="CA304" t="s">
        <v>4051</v>
      </c>
      <c r="CB304" t="s">
        <v>4052</v>
      </c>
      <c r="CC304" t="s">
        <v>4053</v>
      </c>
      <c r="CD304" t="s">
        <v>4054</v>
      </c>
      <c r="CE304" t="s">
        <v>4055</v>
      </c>
      <c r="CF304" t="s">
        <v>4055</v>
      </c>
      <c r="CG304" t="s">
        <v>4056</v>
      </c>
      <c r="CH304" t="s">
        <v>4057</v>
      </c>
      <c r="CI304" t="s">
        <v>4216</v>
      </c>
      <c r="CJ304" t="s">
        <v>4059</v>
      </c>
      <c r="CK304" t="s">
        <v>4060</v>
      </c>
      <c r="CL304" t="s">
        <v>4061</v>
      </c>
      <c r="CM304" t="s">
        <v>4062</v>
      </c>
      <c r="CN304" t="s">
        <v>4055</v>
      </c>
      <c r="CO304" t="s">
        <v>4063</v>
      </c>
      <c r="CP304" t="s">
        <v>4055</v>
      </c>
      <c r="CQ304" t="s">
        <v>4055</v>
      </c>
      <c r="CR304">
        <v>5</v>
      </c>
      <c r="CS304" t="s">
        <v>4055</v>
      </c>
      <c r="CT304" t="s">
        <v>4055</v>
      </c>
      <c r="CU304" t="s">
        <v>4055</v>
      </c>
      <c r="CV304">
        <v>119</v>
      </c>
      <c r="CW304">
        <v>3</v>
      </c>
      <c r="CX304">
        <v>81</v>
      </c>
      <c r="CY304">
        <v>5</v>
      </c>
      <c r="CZ304">
        <v>64</v>
      </c>
      <c r="DA304">
        <v>5</v>
      </c>
      <c r="DB304">
        <v>9620</v>
      </c>
      <c r="DC304">
        <v>270</v>
      </c>
      <c r="DD304">
        <v>307</v>
      </c>
      <c r="DE304">
        <v>2016</v>
      </c>
      <c r="DF304">
        <v>2016</v>
      </c>
      <c r="DG304">
        <v>2028</v>
      </c>
      <c r="DH304">
        <v>3</v>
      </c>
      <c r="DI304" t="s">
        <v>4055</v>
      </c>
      <c r="DJ304" t="s">
        <v>4100</v>
      </c>
      <c r="DK304">
        <v>185</v>
      </c>
      <c r="DL304" t="s">
        <v>4065</v>
      </c>
      <c r="DM304">
        <v>67</v>
      </c>
      <c r="DN304">
        <v>0.84</v>
      </c>
      <c r="DO304">
        <v>1</v>
      </c>
      <c r="DP304">
        <v>1913</v>
      </c>
      <c r="DQ304">
        <v>647</v>
      </c>
      <c r="DR304" t="s">
        <v>4100</v>
      </c>
      <c r="DS304">
        <v>175</v>
      </c>
      <c r="DT304" t="s">
        <v>4065</v>
      </c>
      <c r="DU304">
        <v>67</v>
      </c>
      <c r="DV304">
        <v>0.84</v>
      </c>
      <c r="DW304">
        <v>1</v>
      </c>
      <c r="DX304">
        <v>1920</v>
      </c>
      <c r="DY304">
        <v>614</v>
      </c>
      <c r="DZ304" t="s">
        <v>4066</v>
      </c>
      <c r="EA304">
        <v>33</v>
      </c>
      <c r="EB304" t="s">
        <v>4065</v>
      </c>
      <c r="EC304">
        <v>0.4</v>
      </c>
      <c r="ED304">
        <v>1913</v>
      </c>
      <c r="EE304">
        <v>55</v>
      </c>
      <c r="EF304" t="s">
        <v>4066</v>
      </c>
      <c r="EG304">
        <v>33</v>
      </c>
      <c r="EH304" t="s">
        <v>4065</v>
      </c>
      <c r="EI304">
        <v>0.4</v>
      </c>
      <c r="EJ304">
        <v>1920</v>
      </c>
      <c r="EK304">
        <v>56</v>
      </c>
      <c r="EL304" t="s">
        <v>1528</v>
      </c>
      <c r="EM304">
        <v>12</v>
      </c>
      <c r="EN304">
        <v>0.5</v>
      </c>
      <c r="EO304">
        <v>0.96</v>
      </c>
      <c r="EP304">
        <v>1920.56</v>
      </c>
      <c r="EQ304">
        <v>30308.84</v>
      </c>
      <c r="ER304">
        <v>2709.27</v>
      </c>
      <c r="ES304">
        <v>0</v>
      </c>
      <c r="ET304">
        <v>0</v>
      </c>
      <c r="EU304">
        <v>1</v>
      </c>
      <c r="EV304">
        <v>33019</v>
      </c>
      <c r="EW304">
        <v>397</v>
      </c>
      <c r="EX304" t="s">
        <v>4613</v>
      </c>
      <c r="EY304">
        <v>192</v>
      </c>
      <c r="EZ304" t="s">
        <v>4055</v>
      </c>
      <c r="FA304">
        <v>4.3</v>
      </c>
      <c r="FB304">
        <v>1</v>
      </c>
      <c r="FC304">
        <v>1</v>
      </c>
      <c r="FD304">
        <v>1954</v>
      </c>
      <c r="FE304">
        <v>1745</v>
      </c>
      <c r="FF304" t="s">
        <v>4288</v>
      </c>
      <c r="FG304">
        <v>198</v>
      </c>
      <c r="FH304" t="s">
        <v>4055</v>
      </c>
      <c r="FI304">
        <v>4</v>
      </c>
      <c r="FJ304">
        <v>1954</v>
      </c>
      <c r="FK304">
        <v>1886</v>
      </c>
      <c r="FL304" t="s">
        <v>4069</v>
      </c>
      <c r="FM304" t="s">
        <v>4055</v>
      </c>
      <c r="FN304" t="s">
        <v>4055</v>
      </c>
      <c r="FO304" t="s">
        <v>4055</v>
      </c>
      <c r="FP304">
        <v>1954</v>
      </c>
      <c r="FQ304">
        <v>122</v>
      </c>
      <c r="FR304" t="s">
        <v>4090</v>
      </c>
      <c r="FS304">
        <v>202</v>
      </c>
      <c r="FT304" t="s">
        <v>4055</v>
      </c>
      <c r="FU304">
        <v>0.4</v>
      </c>
      <c r="FV304">
        <v>1954</v>
      </c>
      <c r="FW304">
        <v>176</v>
      </c>
      <c r="FZ304" t="s">
        <v>4055</v>
      </c>
      <c r="GA304" t="s">
        <v>4055</v>
      </c>
      <c r="GD304">
        <v>3929</v>
      </c>
      <c r="GE304" t="s">
        <v>5062</v>
      </c>
      <c r="GF304" t="s">
        <v>4055</v>
      </c>
      <c r="GG304" t="s">
        <v>4055</v>
      </c>
      <c r="GH304" t="s">
        <v>4055</v>
      </c>
      <c r="GI304" t="s">
        <v>4071</v>
      </c>
      <c r="GJ304" t="s">
        <v>4055</v>
      </c>
      <c r="GK304" t="s">
        <v>4055</v>
      </c>
      <c r="GL304" t="s">
        <v>4055</v>
      </c>
      <c r="GM304" t="s">
        <v>4055</v>
      </c>
      <c r="GQ304">
        <v>0</v>
      </c>
      <c r="GV304">
        <v>8.699999999999999</v>
      </c>
      <c r="GW304">
        <v>10.2</v>
      </c>
      <c r="GX304">
        <v>0.5</v>
      </c>
      <c r="GY304">
        <v>166</v>
      </c>
      <c r="GZ304">
        <v>3</v>
      </c>
      <c r="HA304">
        <v>218</v>
      </c>
      <c r="HB304">
        <v>3</v>
      </c>
      <c r="HC304">
        <v>1954</v>
      </c>
      <c r="HD304">
        <v>4</v>
      </c>
      <c r="HE304" t="s">
        <v>4071</v>
      </c>
      <c r="HG304" t="s">
        <v>549</v>
      </c>
      <c r="HL304">
        <v>4</v>
      </c>
      <c r="HM304">
        <v>16</v>
      </c>
      <c r="HN304">
        <v>6</v>
      </c>
      <c r="HO304">
        <v>1</v>
      </c>
      <c r="HP304">
        <v>0</v>
      </c>
      <c r="HQ304">
        <v>0</v>
      </c>
      <c r="HR304">
        <v>2</v>
      </c>
      <c r="HS304">
        <v>1910</v>
      </c>
      <c r="HT304">
        <v>5</v>
      </c>
      <c r="HU304">
        <v>1</v>
      </c>
      <c r="HV304">
        <v>5</v>
      </c>
      <c r="HW304">
        <v>0</v>
      </c>
      <c r="HX304">
        <v>1</v>
      </c>
      <c r="HY304">
        <v>0</v>
      </c>
      <c r="HZ304">
        <v>67</v>
      </c>
      <c r="IA304">
        <v>1913</v>
      </c>
      <c r="IB304">
        <v>1920</v>
      </c>
      <c r="ID304">
        <v>1954</v>
      </c>
      <c r="IE304">
        <v>1954</v>
      </c>
      <c r="IF304">
        <v>185</v>
      </c>
      <c r="IG304">
        <v>175</v>
      </c>
      <c r="IH304">
        <v>218</v>
      </c>
      <c r="II304">
        <v>1</v>
      </c>
      <c r="IJ304">
        <v>5</v>
      </c>
      <c r="IK304">
        <v>0</v>
      </c>
      <c r="IL304">
        <v>0</v>
      </c>
      <c r="IM304">
        <v>0</v>
      </c>
      <c r="IN304">
        <v>270</v>
      </c>
      <c r="IO304">
        <v>0</v>
      </c>
      <c r="IP304">
        <v>180</v>
      </c>
      <c r="IQ304">
        <v>0</v>
      </c>
      <c r="IR304">
        <v>325</v>
      </c>
      <c r="IS304">
        <v>0</v>
      </c>
      <c r="IT304">
        <v>90</v>
      </c>
      <c r="IU304">
        <v>0</v>
      </c>
      <c r="IV304">
        <v>6.4</v>
      </c>
      <c r="IW304">
        <v>-6</v>
      </c>
      <c r="IX304">
        <v>95</v>
      </c>
      <c r="IY304">
        <v>86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372</v>
      </c>
      <c r="JJ304">
        <v>342</v>
      </c>
      <c r="JK304">
        <v>256</v>
      </c>
      <c r="JL304">
        <v>342</v>
      </c>
      <c r="JM304">
        <v>250</v>
      </c>
      <c r="JN304">
        <v>190</v>
      </c>
      <c r="JO304">
        <v>230</v>
      </c>
      <c r="JP304">
        <v>220</v>
      </c>
      <c r="JQ304">
        <v>270</v>
      </c>
      <c r="JR304">
        <v>350</v>
      </c>
      <c r="JS304">
        <v>260</v>
      </c>
      <c r="JT304">
        <v>0</v>
      </c>
      <c r="JU304">
        <v>0</v>
      </c>
      <c r="JV304">
        <v>335</v>
      </c>
      <c r="JW304">
        <v>337</v>
      </c>
      <c r="JX304">
        <v>335</v>
      </c>
      <c r="JY304">
        <v>320</v>
      </c>
      <c r="JZ304">
        <v>1</v>
      </c>
      <c r="KA304">
        <v>0.2</v>
      </c>
      <c r="KB304">
        <v>0.42</v>
      </c>
      <c r="KC304">
        <v>0.43</v>
      </c>
      <c r="KD304">
        <v>0.2</v>
      </c>
      <c r="KE304">
        <v>0.5</v>
      </c>
      <c r="KF304">
        <v>0.18</v>
      </c>
      <c r="KG304">
        <v>0.09</v>
      </c>
      <c r="KH304">
        <v>3.5</v>
      </c>
      <c r="KI304">
        <v>1</v>
      </c>
      <c r="KJ304">
        <v>9</v>
      </c>
      <c r="KK304">
        <v>1</v>
      </c>
      <c r="KL304">
        <v>9</v>
      </c>
      <c r="KM304">
        <v>1</v>
      </c>
      <c r="KN304">
        <v>1.5</v>
      </c>
      <c r="KO304">
        <v>0</v>
      </c>
      <c r="KP304">
        <v>0</v>
      </c>
      <c r="KQ304">
        <v>0.8</v>
      </c>
      <c r="KR304">
        <v>1.5</v>
      </c>
      <c r="KS304">
        <v>0</v>
      </c>
      <c r="KT304">
        <v>2.9</v>
      </c>
      <c r="KU304">
        <v>0</v>
      </c>
      <c r="KV304">
        <v>0</v>
      </c>
      <c r="KW304">
        <v>0.8</v>
      </c>
      <c r="KX304">
        <v>1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3</v>
      </c>
      <c r="LI304">
        <v>1</v>
      </c>
      <c r="LJ304">
        <v>0</v>
      </c>
      <c r="LK304">
        <v>7</v>
      </c>
      <c r="LL304">
        <v>2.5</v>
      </c>
      <c r="LM304">
        <v>6</v>
      </c>
      <c r="LN304">
        <v>0.3</v>
      </c>
      <c r="LO304">
        <v>0.5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1.4</v>
      </c>
      <c r="LX304">
        <v>1.4</v>
      </c>
      <c r="LY304">
        <v>2.1</v>
      </c>
      <c r="LZ304">
        <v>2.1</v>
      </c>
      <c r="MA304">
        <v>0</v>
      </c>
      <c r="MB304">
        <v>3</v>
      </c>
      <c r="MC304">
        <v>0</v>
      </c>
      <c r="MD304">
        <v>4.5</v>
      </c>
      <c r="ME304">
        <v>6</v>
      </c>
      <c r="MF304">
        <v>6</v>
      </c>
      <c r="MI304">
        <v>0</v>
      </c>
      <c r="MJ304">
        <v>0</v>
      </c>
      <c r="ML304">
        <v>0</v>
      </c>
      <c r="MM304">
        <v>390</v>
      </c>
      <c r="MN304">
        <v>165</v>
      </c>
      <c r="MO304">
        <v>239</v>
      </c>
      <c r="NU304">
        <v>0.2</v>
      </c>
      <c r="NV304">
        <v>0.4</v>
      </c>
      <c r="NW304">
        <v>0.42</v>
      </c>
      <c r="NX304">
        <v>0.2</v>
      </c>
      <c r="NY304">
        <v>0.2</v>
      </c>
      <c r="NZ304">
        <v>0.2</v>
      </c>
      <c r="OE304" t="s">
        <v>5062</v>
      </c>
      <c r="OF304" t="s">
        <v>4660</v>
      </c>
      <c r="OG304" t="s">
        <v>4661</v>
      </c>
      <c r="OH304" t="s">
        <v>4043</v>
      </c>
      <c r="OI304" t="s">
        <v>5062</v>
      </c>
      <c r="OJ304" t="s">
        <v>5061</v>
      </c>
      <c r="OK304">
        <v>61</v>
      </c>
      <c r="OL304">
        <v>61</v>
      </c>
      <c r="OM304" t="s">
        <v>4660</v>
      </c>
      <c r="ON304">
        <v>2</v>
      </c>
      <c r="OO304">
        <v>1913</v>
      </c>
      <c r="OP304">
        <v>61</v>
      </c>
      <c r="OQ304">
        <v>61</v>
      </c>
      <c r="OR304" t="s">
        <v>4661</v>
      </c>
      <c r="OS304">
        <v>2</v>
      </c>
      <c r="OT304">
        <v>1920</v>
      </c>
      <c r="OU304">
        <v>65</v>
      </c>
      <c r="OV304">
        <v>65</v>
      </c>
      <c r="OW304" t="s">
        <v>4043</v>
      </c>
      <c r="OX304">
        <v>1</v>
      </c>
      <c r="OY304">
        <v>33019</v>
      </c>
      <c r="OZ304">
        <v>51</v>
      </c>
      <c r="PA304">
        <v>52</v>
      </c>
      <c r="PB304" t="s">
        <v>5062</v>
      </c>
      <c r="PC304">
        <v>1</v>
      </c>
      <c r="PD304">
        <v>1954</v>
      </c>
      <c r="PF304">
        <v>338</v>
      </c>
      <c r="PG304">
        <v>29</v>
      </c>
      <c r="PH304">
        <v>320</v>
      </c>
      <c r="PI304">
        <v>29</v>
      </c>
      <c r="PJ304">
        <v>62.3</v>
      </c>
      <c r="PK304">
        <v>2040</v>
      </c>
      <c r="PL304">
        <v>893.1</v>
      </c>
      <c r="PM304">
        <v>965.1</v>
      </c>
      <c r="PN304">
        <v>90.3</v>
      </c>
      <c r="PP304">
        <v>12</v>
      </c>
      <c r="PQ304">
        <v>1</v>
      </c>
      <c r="PR304">
        <v>1</v>
      </c>
      <c r="PS304">
        <v>7</v>
      </c>
      <c r="PT304">
        <v>218</v>
      </c>
      <c r="PU304">
        <v>10</v>
      </c>
      <c r="PV304" t="s">
        <v>4072</v>
      </c>
      <c r="PW304" t="s">
        <v>4072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-1</v>
      </c>
      <c r="QF304">
        <v>1</v>
      </c>
      <c r="QG304">
        <v>0</v>
      </c>
      <c r="QH304">
        <v>5</v>
      </c>
      <c r="QI304">
        <v>5</v>
      </c>
      <c r="QJ304">
        <v>5</v>
      </c>
      <c r="QK304">
        <v>205</v>
      </c>
      <c r="QL304">
        <v>402</v>
      </c>
      <c r="QM304">
        <v>7.5</v>
      </c>
      <c r="QN304">
        <v>1282.5</v>
      </c>
      <c r="QO304" t="s">
        <v>3491</v>
      </c>
      <c r="QP304" t="s">
        <v>513</v>
      </c>
      <c r="QQ304">
        <v>0</v>
      </c>
      <c r="QR304" t="s">
        <v>1343</v>
      </c>
      <c r="QS304">
        <v>40</v>
      </c>
      <c r="QT304">
        <v>50</v>
      </c>
    </row>
    <row r="305" spans="1:462">
      <c r="A305" t="s">
        <v>3568</v>
      </c>
      <c r="B305" t="s">
        <v>508</v>
      </c>
      <c r="C305" t="s">
        <v>509</v>
      </c>
      <c r="D305" t="s">
        <v>3567</v>
      </c>
      <c r="E305" t="s">
        <v>4036</v>
      </c>
      <c r="H305" t="s">
        <v>561</v>
      </c>
      <c r="J305" t="s">
        <v>562</v>
      </c>
      <c r="K305" t="s">
        <v>563</v>
      </c>
      <c r="M305" t="s">
        <v>512</v>
      </c>
      <c r="N305" t="s">
        <v>515</v>
      </c>
      <c r="O305" t="s">
        <v>513</v>
      </c>
      <c r="P305" t="s">
        <v>567</v>
      </c>
      <c r="Q305" t="s">
        <v>742</v>
      </c>
      <c r="R305" t="s">
        <v>743</v>
      </c>
      <c r="S305" t="s">
        <v>4134</v>
      </c>
      <c r="T305" t="s">
        <v>633</v>
      </c>
      <c r="U305" t="s">
        <v>634</v>
      </c>
      <c r="V305" t="s">
        <v>744</v>
      </c>
      <c r="W305" t="s">
        <v>573</v>
      </c>
      <c r="X305" t="s">
        <v>745</v>
      </c>
      <c r="Y305" t="s">
        <v>3569</v>
      </c>
      <c r="Z305" t="s">
        <v>650</v>
      </c>
      <c r="AA305" t="s">
        <v>4038</v>
      </c>
      <c r="AB305" t="s">
        <v>5063</v>
      </c>
      <c r="AC305">
        <v>10</v>
      </c>
      <c r="AD305" t="s">
        <v>3566</v>
      </c>
      <c r="AE305">
        <v>1</v>
      </c>
      <c r="AF305">
        <v>3544</v>
      </c>
      <c r="AG305" t="s">
        <v>4147</v>
      </c>
      <c r="AH305">
        <v>1</v>
      </c>
      <c r="AI305" t="s">
        <v>4041</v>
      </c>
      <c r="AK305" t="s">
        <v>4148</v>
      </c>
      <c r="AL305">
        <v>1</v>
      </c>
      <c r="AM305" t="s">
        <v>582</v>
      </c>
      <c r="AO305" t="s">
        <v>4043</v>
      </c>
      <c r="AP305">
        <v>1</v>
      </c>
      <c r="AR305" t="s">
        <v>5064</v>
      </c>
      <c r="AS305">
        <v>1</v>
      </c>
      <c r="AT305">
        <v>51</v>
      </c>
      <c r="AV305" t="s">
        <v>4078</v>
      </c>
      <c r="AW305">
        <v>6.4</v>
      </c>
      <c r="AX305">
        <v>-6</v>
      </c>
      <c r="AY305">
        <v>103</v>
      </c>
      <c r="AZ305">
        <v>64</v>
      </c>
      <c r="BH305">
        <v>103</v>
      </c>
      <c r="BI305">
        <v>39</v>
      </c>
      <c r="BJ305">
        <v>64</v>
      </c>
      <c r="BK305">
        <v>3</v>
      </c>
      <c r="BL305">
        <v>206</v>
      </c>
      <c r="BM305">
        <v>-6</v>
      </c>
      <c r="BN305">
        <v>0</v>
      </c>
      <c r="BP305">
        <v>0</v>
      </c>
      <c r="BR305">
        <v>200</v>
      </c>
      <c r="BS305">
        <v>190</v>
      </c>
      <c r="BT305">
        <v>1855</v>
      </c>
      <c r="BU305" t="s">
        <v>4046</v>
      </c>
      <c r="BV305" t="s">
        <v>4047</v>
      </c>
      <c r="BW305" t="s">
        <v>4048</v>
      </c>
      <c r="BX305" t="s">
        <v>4049</v>
      </c>
      <c r="BY305" t="s">
        <v>4150</v>
      </c>
      <c r="BZ305" t="s">
        <v>4150</v>
      </c>
      <c r="CA305" t="s">
        <v>4108</v>
      </c>
      <c r="CB305" t="s">
        <v>4109</v>
      </c>
      <c r="CC305" t="s">
        <v>4053</v>
      </c>
      <c r="CD305" t="s">
        <v>4110</v>
      </c>
      <c r="CE305" t="s">
        <v>4055</v>
      </c>
      <c r="CF305" t="s">
        <v>4055</v>
      </c>
      <c r="CG305" t="s">
        <v>4056</v>
      </c>
      <c r="CH305" t="s">
        <v>4057</v>
      </c>
      <c r="CI305" t="s">
        <v>4058</v>
      </c>
      <c r="CJ305" t="s">
        <v>4059</v>
      </c>
      <c r="CK305" t="s">
        <v>4060</v>
      </c>
      <c r="CL305" t="s">
        <v>4061</v>
      </c>
      <c r="CM305" t="s">
        <v>4062</v>
      </c>
      <c r="CN305" t="s">
        <v>4055</v>
      </c>
      <c r="CO305" t="s">
        <v>4063</v>
      </c>
      <c r="CP305" t="s">
        <v>4055</v>
      </c>
      <c r="CQ305" t="s">
        <v>4055</v>
      </c>
      <c r="CR305">
        <v>5</v>
      </c>
      <c r="CS305" t="s">
        <v>4055</v>
      </c>
      <c r="CT305" t="s">
        <v>4055</v>
      </c>
      <c r="CU305" t="s">
        <v>4055</v>
      </c>
      <c r="CV305">
        <v>127</v>
      </c>
      <c r="CW305">
        <v>3</v>
      </c>
      <c r="CX305">
        <v>107</v>
      </c>
      <c r="CY305">
        <v>5</v>
      </c>
      <c r="CZ305">
        <v>136</v>
      </c>
      <c r="DA305">
        <v>5</v>
      </c>
      <c r="DB305">
        <v>8610</v>
      </c>
      <c r="DC305">
        <v>250</v>
      </c>
      <c r="DD305">
        <v>310</v>
      </c>
      <c r="DE305">
        <v>1955</v>
      </c>
      <c r="DF305">
        <v>1955</v>
      </c>
      <c r="DG305">
        <v>1964</v>
      </c>
      <c r="DH305" t="s">
        <v>4055</v>
      </c>
      <c r="DI305" t="s">
        <v>4055</v>
      </c>
      <c r="DJ305" t="s">
        <v>4100</v>
      </c>
      <c r="DK305">
        <v>200</v>
      </c>
      <c r="DL305" t="s">
        <v>4101</v>
      </c>
      <c r="DM305">
        <v>65</v>
      </c>
      <c r="DN305">
        <v>0.84</v>
      </c>
      <c r="DO305">
        <v>1</v>
      </c>
      <c r="DP305">
        <v>1858</v>
      </c>
      <c r="DQ305">
        <v>680</v>
      </c>
      <c r="DR305" t="s">
        <v>4100</v>
      </c>
      <c r="DS305">
        <v>190</v>
      </c>
      <c r="DT305" t="s">
        <v>4101</v>
      </c>
      <c r="DU305">
        <v>65</v>
      </c>
      <c r="DV305">
        <v>0.84</v>
      </c>
      <c r="DW305">
        <v>1</v>
      </c>
      <c r="DX305">
        <v>1865</v>
      </c>
      <c r="DY305">
        <v>647</v>
      </c>
      <c r="DZ305" t="s">
        <v>4066</v>
      </c>
      <c r="EA305">
        <v>33</v>
      </c>
      <c r="EB305" t="s">
        <v>4065</v>
      </c>
      <c r="EC305">
        <v>0.4</v>
      </c>
      <c r="ED305">
        <v>1858</v>
      </c>
      <c r="EE305">
        <v>54</v>
      </c>
      <c r="EF305" t="s">
        <v>4066</v>
      </c>
      <c r="EG305">
        <v>33</v>
      </c>
      <c r="EH305" t="s">
        <v>4065</v>
      </c>
      <c r="EI305">
        <v>0.4</v>
      </c>
      <c r="EJ305">
        <v>1865</v>
      </c>
      <c r="EK305">
        <v>54</v>
      </c>
      <c r="EL305" t="s">
        <v>1528</v>
      </c>
      <c r="EM305">
        <v>12</v>
      </c>
      <c r="EN305">
        <v>0.5</v>
      </c>
      <c r="EO305">
        <v>0.96</v>
      </c>
      <c r="EP305">
        <v>1865.56</v>
      </c>
      <c r="EQ305">
        <v>31772.82</v>
      </c>
      <c r="ER305">
        <v>11405.01</v>
      </c>
      <c r="ES305">
        <v>0</v>
      </c>
      <c r="ET305">
        <v>0</v>
      </c>
      <c r="EU305">
        <v>1</v>
      </c>
      <c r="EV305">
        <v>43178</v>
      </c>
      <c r="EW305">
        <v>519</v>
      </c>
      <c r="EX305" t="s">
        <v>4088</v>
      </c>
      <c r="EY305">
        <v>214</v>
      </c>
      <c r="EZ305" t="s">
        <v>4055</v>
      </c>
      <c r="FA305">
        <v>5.5</v>
      </c>
      <c r="FB305">
        <v>1</v>
      </c>
      <c r="FC305">
        <v>1</v>
      </c>
      <c r="FD305">
        <v>1896</v>
      </c>
      <c r="FE305">
        <v>2108</v>
      </c>
      <c r="FF305" t="s">
        <v>4089</v>
      </c>
      <c r="FG305">
        <v>214</v>
      </c>
      <c r="FH305" t="s">
        <v>4055</v>
      </c>
      <c r="FI305">
        <v>1.6</v>
      </c>
      <c r="FJ305">
        <v>1896</v>
      </c>
      <c r="FK305">
        <v>666</v>
      </c>
      <c r="FL305" t="s">
        <v>4069</v>
      </c>
      <c r="FM305" t="s">
        <v>4055</v>
      </c>
      <c r="FN305" t="s">
        <v>4055</v>
      </c>
      <c r="FO305" t="s">
        <v>4055</v>
      </c>
      <c r="FP305">
        <v>1896</v>
      </c>
      <c r="FQ305">
        <v>130</v>
      </c>
      <c r="FR305" t="s">
        <v>4090</v>
      </c>
      <c r="FS305">
        <v>218</v>
      </c>
      <c r="FT305" t="s">
        <v>4055</v>
      </c>
      <c r="FU305">
        <v>0.4</v>
      </c>
      <c r="FV305">
        <v>1896</v>
      </c>
      <c r="FW305">
        <v>184</v>
      </c>
      <c r="FX305" t="s">
        <v>4070</v>
      </c>
      <c r="FY305">
        <v>5</v>
      </c>
      <c r="FZ305" t="s">
        <v>4055</v>
      </c>
      <c r="GA305" t="s">
        <v>4055</v>
      </c>
      <c r="GB305">
        <v>1896</v>
      </c>
      <c r="GC305">
        <v>15</v>
      </c>
      <c r="GD305">
        <v>3103</v>
      </c>
      <c r="GE305" t="s">
        <v>5064</v>
      </c>
      <c r="GF305" t="s">
        <v>4055</v>
      </c>
      <c r="GG305" t="s">
        <v>4055</v>
      </c>
      <c r="GH305" t="s">
        <v>4055</v>
      </c>
      <c r="GI305" t="s">
        <v>4071</v>
      </c>
      <c r="GJ305" t="s">
        <v>4055</v>
      </c>
      <c r="GK305" t="s">
        <v>4055</v>
      </c>
      <c r="GL305" t="s">
        <v>4055</v>
      </c>
      <c r="GM305" t="s">
        <v>4055</v>
      </c>
      <c r="GQ305">
        <v>0</v>
      </c>
      <c r="GV305">
        <v>7.5</v>
      </c>
      <c r="GW305">
        <v>7</v>
      </c>
      <c r="GX305">
        <v>0.5</v>
      </c>
      <c r="GY305">
        <v>190</v>
      </c>
      <c r="GZ305">
        <v>3</v>
      </c>
      <c r="HA305">
        <v>238</v>
      </c>
      <c r="HB305">
        <v>3</v>
      </c>
      <c r="HC305">
        <v>1896</v>
      </c>
      <c r="HD305">
        <v>4</v>
      </c>
      <c r="HE305" t="s">
        <v>4071</v>
      </c>
      <c r="HG305" t="s">
        <v>549</v>
      </c>
      <c r="HL305">
        <v>4</v>
      </c>
      <c r="HM305">
        <v>17</v>
      </c>
      <c r="HN305">
        <v>1</v>
      </c>
      <c r="HO305">
        <v>1</v>
      </c>
      <c r="HP305">
        <v>0</v>
      </c>
      <c r="HQ305">
        <v>0</v>
      </c>
      <c r="HR305">
        <v>2</v>
      </c>
      <c r="HS305">
        <v>1855</v>
      </c>
      <c r="HT305">
        <v>5</v>
      </c>
      <c r="HU305">
        <v>1</v>
      </c>
      <c r="HV305">
        <v>3</v>
      </c>
      <c r="HW305">
        <v>0</v>
      </c>
      <c r="HX305">
        <v>1</v>
      </c>
      <c r="HY305">
        <v>0</v>
      </c>
      <c r="HZ305">
        <v>65</v>
      </c>
      <c r="IA305">
        <v>1858</v>
      </c>
      <c r="IB305">
        <v>1865</v>
      </c>
      <c r="ID305">
        <v>1896</v>
      </c>
      <c r="IE305">
        <v>1896</v>
      </c>
      <c r="IF305">
        <v>200</v>
      </c>
      <c r="IG305">
        <v>190</v>
      </c>
      <c r="IH305">
        <v>238</v>
      </c>
      <c r="II305">
        <v>1</v>
      </c>
      <c r="IJ305">
        <v>5</v>
      </c>
      <c r="IK305">
        <v>0</v>
      </c>
      <c r="IL305">
        <v>0</v>
      </c>
      <c r="IM305">
        <v>0</v>
      </c>
      <c r="IN305">
        <v>270</v>
      </c>
      <c r="IO305">
        <v>0</v>
      </c>
      <c r="IP305">
        <v>180</v>
      </c>
      <c r="IQ305">
        <v>0</v>
      </c>
      <c r="IR305">
        <v>330</v>
      </c>
      <c r="IS305">
        <v>0</v>
      </c>
      <c r="IT305">
        <v>90</v>
      </c>
      <c r="IU305">
        <v>0</v>
      </c>
      <c r="IV305">
        <v>6.4</v>
      </c>
      <c r="IW305">
        <v>-6</v>
      </c>
      <c r="IX305">
        <v>103</v>
      </c>
      <c r="IY305">
        <v>64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338</v>
      </c>
      <c r="JJ305">
        <v>308</v>
      </c>
      <c r="JK305">
        <v>235</v>
      </c>
      <c r="JL305">
        <v>306</v>
      </c>
      <c r="JM305">
        <v>250</v>
      </c>
      <c r="JN305">
        <v>200</v>
      </c>
      <c r="JO305">
        <v>244</v>
      </c>
      <c r="JP305">
        <v>225</v>
      </c>
      <c r="JQ305">
        <v>260</v>
      </c>
      <c r="JR305">
        <v>336</v>
      </c>
      <c r="JS305">
        <v>285</v>
      </c>
      <c r="JT305">
        <v>0</v>
      </c>
      <c r="JU305">
        <v>0</v>
      </c>
      <c r="JV305">
        <v>306</v>
      </c>
      <c r="JW305">
        <v>310</v>
      </c>
      <c r="JX305">
        <v>310</v>
      </c>
      <c r="JY305">
        <v>295</v>
      </c>
      <c r="JZ305">
        <v>0.5</v>
      </c>
      <c r="KA305">
        <v>0.2</v>
      </c>
      <c r="KB305">
        <v>0.4</v>
      </c>
      <c r="KC305">
        <v>0.42</v>
      </c>
      <c r="KD305">
        <v>0.28</v>
      </c>
      <c r="KE305">
        <v>0.5</v>
      </c>
      <c r="KF305">
        <v>0.2</v>
      </c>
      <c r="KG305">
        <v>0.1</v>
      </c>
      <c r="KH305">
        <v>3.5</v>
      </c>
      <c r="KI305">
        <v>1</v>
      </c>
      <c r="KJ305">
        <v>4.5</v>
      </c>
      <c r="KK305">
        <v>0</v>
      </c>
      <c r="KL305">
        <v>4.5</v>
      </c>
      <c r="KM305">
        <v>0</v>
      </c>
      <c r="KN305">
        <v>1.4</v>
      </c>
      <c r="KO305">
        <v>0</v>
      </c>
      <c r="KP305">
        <v>0</v>
      </c>
      <c r="KQ305">
        <v>1</v>
      </c>
      <c r="KR305">
        <v>1.2</v>
      </c>
      <c r="KS305">
        <v>0</v>
      </c>
      <c r="KT305">
        <v>2.5</v>
      </c>
      <c r="KU305">
        <v>0</v>
      </c>
      <c r="KV305">
        <v>0</v>
      </c>
      <c r="KW305">
        <v>1</v>
      </c>
      <c r="KX305">
        <v>2</v>
      </c>
      <c r="KY305">
        <v>1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0.5</v>
      </c>
      <c r="LJ305">
        <v>0</v>
      </c>
      <c r="LK305">
        <v>4</v>
      </c>
      <c r="LL305">
        <v>5</v>
      </c>
      <c r="LM305">
        <v>6</v>
      </c>
      <c r="LN305">
        <v>0.3</v>
      </c>
      <c r="LO305">
        <v>0.5</v>
      </c>
      <c r="LP305">
        <v>0</v>
      </c>
      <c r="LQ305">
        <v>0</v>
      </c>
      <c r="LR305">
        <v>0</v>
      </c>
      <c r="LS305">
        <v>1</v>
      </c>
      <c r="LT305">
        <v>0</v>
      </c>
      <c r="LU305">
        <v>0</v>
      </c>
      <c r="LV305">
        <v>0</v>
      </c>
      <c r="LW305">
        <v>1.4</v>
      </c>
      <c r="LX305">
        <v>1.4</v>
      </c>
      <c r="LY305">
        <v>1.7</v>
      </c>
      <c r="LZ305">
        <v>1.7</v>
      </c>
      <c r="MA305">
        <v>0</v>
      </c>
      <c r="MB305">
        <v>4.5</v>
      </c>
      <c r="MC305">
        <v>0</v>
      </c>
      <c r="MD305">
        <v>4.5</v>
      </c>
      <c r="ME305">
        <v>6</v>
      </c>
      <c r="MF305">
        <v>6</v>
      </c>
      <c r="MG305">
        <v>20</v>
      </c>
      <c r="MH305">
        <v>20</v>
      </c>
      <c r="MI305">
        <v>0</v>
      </c>
      <c r="MJ305">
        <v>0</v>
      </c>
      <c r="MK305">
        <v>0</v>
      </c>
      <c r="ML305">
        <v>0</v>
      </c>
      <c r="MM305">
        <v>358</v>
      </c>
      <c r="MN305">
        <v>195</v>
      </c>
      <c r="MO305">
        <v>244</v>
      </c>
      <c r="NU305">
        <v>0.15</v>
      </c>
      <c r="NV305">
        <v>0.25</v>
      </c>
      <c r="NW305">
        <v>0.3</v>
      </c>
      <c r="NX305">
        <v>0.2</v>
      </c>
      <c r="NY305">
        <v>0.2</v>
      </c>
      <c r="NZ305">
        <v>0.2</v>
      </c>
      <c r="OE305" t="s">
        <v>5064</v>
      </c>
      <c r="OF305" t="s">
        <v>4147</v>
      </c>
      <c r="OG305" t="s">
        <v>4148</v>
      </c>
      <c r="OH305" t="s">
        <v>4043</v>
      </c>
      <c r="OI305" t="s">
        <v>5064</v>
      </c>
      <c r="OJ305" t="s">
        <v>5063</v>
      </c>
      <c r="OK305">
        <v>61</v>
      </c>
      <c r="OL305">
        <v>61</v>
      </c>
      <c r="OM305" t="s">
        <v>4147</v>
      </c>
      <c r="ON305">
        <v>2</v>
      </c>
      <c r="OO305">
        <v>1858</v>
      </c>
      <c r="OP305">
        <v>61</v>
      </c>
      <c r="OQ305">
        <v>61</v>
      </c>
      <c r="OR305" t="s">
        <v>4148</v>
      </c>
      <c r="OS305">
        <v>2</v>
      </c>
      <c r="OT305">
        <v>1865</v>
      </c>
      <c r="OU305">
        <v>65</v>
      </c>
      <c r="OV305">
        <v>65</v>
      </c>
      <c r="OW305" t="s">
        <v>4043</v>
      </c>
      <c r="OX305">
        <v>2</v>
      </c>
      <c r="OY305">
        <v>43178</v>
      </c>
      <c r="OZ305">
        <v>51</v>
      </c>
      <c r="PA305">
        <v>51</v>
      </c>
      <c r="PB305" t="s">
        <v>5064</v>
      </c>
      <c r="PC305">
        <v>1</v>
      </c>
      <c r="PD305">
        <v>1896</v>
      </c>
      <c r="PF305">
        <v>366</v>
      </c>
      <c r="PG305">
        <v>29</v>
      </c>
      <c r="PH305">
        <v>347</v>
      </c>
      <c r="PI305">
        <v>29</v>
      </c>
      <c r="PJ305">
        <v>68.8</v>
      </c>
      <c r="PL305">
        <v>1111.8</v>
      </c>
      <c r="PM305">
        <v>351.3</v>
      </c>
      <c r="PN305">
        <v>97</v>
      </c>
      <c r="PO305">
        <v>7.7</v>
      </c>
      <c r="PP305">
        <v>12</v>
      </c>
      <c r="PQ305">
        <v>2</v>
      </c>
      <c r="PR305">
        <v>1</v>
      </c>
      <c r="PS305">
        <v>7</v>
      </c>
      <c r="PT305">
        <v>238</v>
      </c>
      <c r="PU305">
        <v>12</v>
      </c>
      <c r="PV305" t="s">
        <v>4072</v>
      </c>
      <c r="PW305" t="s">
        <v>4072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-1</v>
      </c>
      <c r="QF305">
        <v>1</v>
      </c>
      <c r="QG305">
        <v>0</v>
      </c>
      <c r="QH305">
        <v>5</v>
      </c>
      <c r="QI305">
        <v>5</v>
      </c>
      <c r="QJ305">
        <v>5</v>
      </c>
      <c r="QK305">
        <v>163</v>
      </c>
      <c r="QL305">
        <v>372</v>
      </c>
      <c r="QM305">
        <v>7.5</v>
      </c>
      <c r="QN305">
        <v>1381.4</v>
      </c>
      <c r="QO305" t="s">
        <v>3491</v>
      </c>
      <c r="QP305" t="s">
        <v>513</v>
      </c>
      <c r="QQ305">
        <v>0</v>
      </c>
      <c r="QR305" t="s">
        <v>649</v>
      </c>
      <c r="QS305">
        <v>30</v>
      </c>
      <c r="QT305">
        <v>40</v>
      </c>
    </row>
    <row r="306" spans="1:462">
      <c r="A306" t="s">
        <v>3574</v>
      </c>
      <c r="B306" t="s">
        <v>508</v>
      </c>
      <c r="C306" t="s">
        <v>509</v>
      </c>
      <c r="D306" t="s">
        <v>3567</v>
      </c>
      <c r="E306" t="s">
        <v>4036</v>
      </c>
      <c r="H306" t="s">
        <v>561</v>
      </c>
      <c r="J306" t="s">
        <v>562</v>
      </c>
      <c r="K306" t="s">
        <v>563</v>
      </c>
      <c r="M306" t="s">
        <v>512</v>
      </c>
      <c r="N306" t="s">
        <v>515</v>
      </c>
      <c r="O306" t="s">
        <v>513</v>
      </c>
      <c r="P306" t="s">
        <v>567</v>
      </c>
      <c r="Q306" t="s">
        <v>1015</v>
      </c>
      <c r="R306" t="s">
        <v>1016</v>
      </c>
      <c r="S306" t="s">
        <v>4073</v>
      </c>
      <c r="T306" t="s">
        <v>633</v>
      </c>
      <c r="U306" t="s">
        <v>634</v>
      </c>
      <c r="V306" t="s">
        <v>1017</v>
      </c>
      <c r="W306" t="s">
        <v>573</v>
      </c>
      <c r="X306" t="s">
        <v>1018</v>
      </c>
      <c r="Y306" t="s">
        <v>3575</v>
      </c>
      <c r="Z306" t="s">
        <v>650</v>
      </c>
      <c r="AA306" t="s">
        <v>4038</v>
      </c>
      <c r="AB306" t="s">
        <v>5065</v>
      </c>
      <c r="AC306">
        <v>9</v>
      </c>
      <c r="AD306" t="s">
        <v>3573</v>
      </c>
      <c r="AE306">
        <v>1</v>
      </c>
      <c r="AF306">
        <v>3755</v>
      </c>
      <c r="AG306" t="s">
        <v>4223</v>
      </c>
      <c r="AH306">
        <v>1</v>
      </c>
      <c r="AI306" t="s">
        <v>4041</v>
      </c>
      <c r="AK306" t="s">
        <v>4224</v>
      </c>
      <c r="AL306">
        <v>1</v>
      </c>
      <c r="AM306" t="s">
        <v>582</v>
      </c>
      <c r="AO306" t="s">
        <v>4043</v>
      </c>
      <c r="AP306">
        <v>1</v>
      </c>
      <c r="AR306" t="s">
        <v>5066</v>
      </c>
      <c r="AS306">
        <v>1</v>
      </c>
      <c r="AT306">
        <v>51</v>
      </c>
      <c r="AV306" t="s">
        <v>4078</v>
      </c>
      <c r="AW306">
        <v>6.4</v>
      </c>
      <c r="AX306">
        <v>-6</v>
      </c>
      <c r="AY306">
        <v>96</v>
      </c>
      <c r="AZ306">
        <v>63</v>
      </c>
      <c r="BH306">
        <v>96</v>
      </c>
      <c r="BI306">
        <v>33</v>
      </c>
      <c r="BJ306">
        <v>63</v>
      </c>
      <c r="BK306">
        <v>3.5</v>
      </c>
      <c r="BL306">
        <v>192</v>
      </c>
      <c r="BM306">
        <v>-6</v>
      </c>
      <c r="BN306">
        <v>0</v>
      </c>
      <c r="BP306">
        <v>0</v>
      </c>
      <c r="BR306">
        <v>185</v>
      </c>
      <c r="BS306">
        <v>175</v>
      </c>
      <c r="BT306">
        <v>1860</v>
      </c>
      <c r="BU306" t="s">
        <v>4047</v>
      </c>
      <c r="BV306" t="s">
        <v>4047</v>
      </c>
      <c r="BW306" t="s">
        <v>4049</v>
      </c>
      <c r="BX306" t="s">
        <v>4049</v>
      </c>
      <c r="BY306" t="s">
        <v>4150</v>
      </c>
      <c r="BZ306" t="s">
        <v>4107</v>
      </c>
      <c r="CA306" t="s">
        <v>4108</v>
      </c>
      <c r="CB306" t="s">
        <v>4109</v>
      </c>
      <c r="CC306" t="s">
        <v>4053</v>
      </c>
      <c r="CD306" t="s">
        <v>4110</v>
      </c>
      <c r="CE306" t="s">
        <v>4055</v>
      </c>
      <c r="CF306" t="s">
        <v>4055</v>
      </c>
      <c r="CG306" t="s">
        <v>4056</v>
      </c>
      <c r="CH306" t="s">
        <v>4057</v>
      </c>
      <c r="CI306" t="s">
        <v>4058</v>
      </c>
      <c r="CJ306" t="s">
        <v>4059</v>
      </c>
      <c r="CK306" t="s">
        <v>4060</v>
      </c>
      <c r="CL306" t="s">
        <v>4061</v>
      </c>
      <c r="CM306" t="s">
        <v>4062</v>
      </c>
      <c r="CN306" t="s">
        <v>4055</v>
      </c>
      <c r="CO306" t="s">
        <v>4063</v>
      </c>
      <c r="CP306" t="s">
        <v>4055</v>
      </c>
      <c r="CQ306" t="s">
        <v>4055</v>
      </c>
      <c r="CR306">
        <v>5</v>
      </c>
      <c r="CS306" t="s">
        <v>4055</v>
      </c>
      <c r="CT306" t="s">
        <v>4055</v>
      </c>
      <c r="CU306" t="s">
        <v>4055</v>
      </c>
      <c r="CV306">
        <v>117</v>
      </c>
      <c r="CW306">
        <v>3</v>
      </c>
      <c r="CX306">
        <v>100</v>
      </c>
      <c r="CY306">
        <v>5</v>
      </c>
      <c r="CZ306">
        <v>134</v>
      </c>
      <c r="DA306">
        <v>5</v>
      </c>
      <c r="DB306">
        <v>8550</v>
      </c>
      <c r="DC306">
        <v>250</v>
      </c>
      <c r="DD306">
        <v>308</v>
      </c>
      <c r="DE306">
        <v>1965</v>
      </c>
      <c r="DF306">
        <v>1965</v>
      </c>
      <c r="DG306">
        <v>1975</v>
      </c>
      <c r="DH306" t="s">
        <v>4055</v>
      </c>
      <c r="DI306" t="s">
        <v>4055</v>
      </c>
      <c r="DJ306" t="s">
        <v>4100</v>
      </c>
      <c r="DK306">
        <v>185</v>
      </c>
      <c r="DL306" t="s">
        <v>4101</v>
      </c>
      <c r="DM306">
        <v>65</v>
      </c>
      <c r="DN306">
        <v>0.84</v>
      </c>
      <c r="DO306">
        <v>1</v>
      </c>
      <c r="DP306">
        <v>1863</v>
      </c>
      <c r="DQ306">
        <v>630</v>
      </c>
      <c r="DR306" t="s">
        <v>4100</v>
      </c>
      <c r="DS306">
        <v>175</v>
      </c>
      <c r="DT306" t="s">
        <v>4101</v>
      </c>
      <c r="DU306">
        <v>65</v>
      </c>
      <c r="DV306">
        <v>0.84</v>
      </c>
      <c r="DW306">
        <v>1</v>
      </c>
      <c r="DX306">
        <v>1870</v>
      </c>
      <c r="DY306">
        <v>598</v>
      </c>
      <c r="DZ306" t="s">
        <v>4066</v>
      </c>
      <c r="EA306">
        <v>33</v>
      </c>
      <c r="EB306" t="s">
        <v>4065</v>
      </c>
      <c r="EC306">
        <v>0.4</v>
      </c>
      <c r="ED306">
        <v>1863</v>
      </c>
      <c r="EE306">
        <v>54</v>
      </c>
      <c r="EF306" t="s">
        <v>4066</v>
      </c>
      <c r="EG306">
        <v>33</v>
      </c>
      <c r="EH306" t="s">
        <v>4065</v>
      </c>
      <c r="EI306">
        <v>0.4</v>
      </c>
      <c r="EJ306">
        <v>1870</v>
      </c>
      <c r="EK306">
        <v>54</v>
      </c>
      <c r="EL306" t="s">
        <v>1528</v>
      </c>
      <c r="EM306">
        <v>12</v>
      </c>
      <c r="EN306">
        <v>0.5</v>
      </c>
      <c r="EO306">
        <v>0.96</v>
      </c>
      <c r="EP306">
        <v>1870.56</v>
      </c>
      <c r="EQ306">
        <v>29812.05</v>
      </c>
      <c r="ER306">
        <v>9676.18</v>
      </c>
      <c r="ES306">
        <v>0</v>
      </c>
      <c r="ET306">
        <v>0</v>
      </c>
      <c r="EU306">
        <v>1</v>
      </c>
      <c r="EV306">
        <v>39489</v>
      </c>
      <c r="EW306">
        <v>474</v>
      </c>
      <c r="EX306" t="s">
        <v>4088</v>
      </c>
      <c r="EY306">
        <v>202</v>
      </c>
      <c r="EZ306" t="s">
        <v>4055</v>
      </c>
      <c r="FA306">
        <v>5.8</v>
      </c>
      <c r="FB306">
        <v>1</v>
      </c>
      <c r="FC306">
        <v>1</v>
      </c>
      <c r="FD306">
        <v>1902</v>
      </c>
      <c r="FE306">
        <v>1992</v>
      </c>
      <c r="FF306" t="s">
        <v>4089</v>
      </c>
      <c r="FG306">
        <v>202</v>
      </c>
      <c r="FH306" t="s">
        <v>4055</v>
      </c>
      <c r="FI306">
        <v>1.8</v>
      </c>
      <c r="FJ306">
        <v>1902</v>
      </c>
      <c r="FK306">
        <v>700</v>
      </c>
      <c r="FL306" t="s">
        <v>4069</v>
      </c>
      <c r="FM306" t="s">
        <v>4055</v>
      </c>
      <c r="FN306" t="s">
        <v>4055</v>
      </c>
      <c r="FO306" t="s">
        <v>4055</v>
      </c>
      <c r="FP306">
        <v>1902</v>
      </c>
      <c r="FQ306">
        <v>98</v>
      </c>
      <c r="FR306" t="s">
        <v>4090</v>
      </c>
      <c r="FS306">
        <v>206</v>
      </c>
      <c r="FT306" t="s">
        <v>4055</v>
      </c>
      <c r="FU306">
        <v>0.4</v>
      </c>
      <c r="FV306">
        <v>1902</v>
      </c>
      <c r="FW306">
        <v>174</v>
      </c>
      <c r="FX306" t="s">
        <v>4070</v>
      </c>
      <c r="FY306">
        <v>5</v>
      </c>
      <c r="FZ306" t="s">
        <v>4055</v>
      </c>
      <c r="GA306" t="s">
        <v>4055</v>
      </c>
      <c r="GB306">
        <v>1902</v>
      </c>
      <c r="GC306">
        <v>16</v>
      </c>
      <c r="GD306">
        <v>2980</v>
      </c>
      <c r="GE306" t="s">
        <v>5066</v>
      </c>
      <c r="GF306" t="s">
        <v>4055</v>
      </c>
      <c r="GG306" t="s">
        <v>4055</v>
      </c>
      <c r="GH306" t="s">
        <v>4055</v>
      </c>
      <c r="GI306" t="s">
        <v>4071</v>
      </c>
      <c r="GJ306" t="s">
        <v>4055</v>
      </c>
      <c r="GK306" t="s">
        <v>4055</v>
      </c>
      <c r="GL306" t="s">
        <v>4055</v>
      </c>
      <c r="GM306" t="s">
        <v>4055</v>
      </c>
      <c r="GQ306">
        <v>0</v>
      </c>
      <c r="GV306">
        <v>8</v>
      </c>
      <c r="GW306">
        <v>7.4</v>
      </c>
      <c r="GX306">
        <v>0.5</v>
      </c>
      <c r="GY306">
        <v>176</v>
      </c>
      <c r="GZ306">
        <v>3</v>
      </c>
      <c r="HA306">
        <v>220</v>
      </c>
      <c r="HB306">
        <v>3</v>
      </c>
      <c r="HC306">
        <v>1902</v>
      </c>
      <c r="HD306">
        <v>4</v>
      </c>
      <c r="HE306" t="s">
        <v>4071</v>
      </c>
      <c r="HG306" t="s">
        <v>549</v>
      </c>
      <c r="HL306">
        <v>4</v>
      </c>
      <c r="HM306">
        <v>17</v>
      </c>
      <c r="HN306">
        <v>1</v>
      </c>
      <c r="HO306">
        <v>1</v>
      </c>
      <c r="HP306">
        <v>0</v>
      </c>
      <c r="HQ306">
        <v>0</v>
      </c>
      <c r="HR306">
        <v>3</v>
      </c>
      <c r="HS306">
        <v>1860</v>
      </c>
      <c r="HT306">
        <v>5</v>
      </c>
      <c r="HU306">
        <v>1</v>
      </c>
      <c r="HV306">
        <v>3</v>
      </c>
      <c r="HW306">
        <v>0</v>
      </c>
      <c r="HX306">
        <v>1</v>
      </c>
      <c r="HY306">
        <v>0</v>
      </c>
      <c r="HZ306">
        <v>65</v>
      </c>
      <c r="IA306">
        <v>1863</v>
      </c>
      <c r="IB306">
        <v>1870</v>
      </c>
      <c r="ID306">
        <v>1902</v>
      </c>
      <c r="IE306">
        <v>1902</v>
      </c>
      <c r="IF306">
        <v>185</v>
      </c>
      <c r="IG306">
        <v>175</v>
      </c>
      <c r="IH306">
        <v>220</v>
      </c>
      <c r="II306">
        <v>1</v>
      </c>
      <c r="IJ306">
        <v>5</v>
      </c>
      <c r="IK306">
        <v>0</v>
      </c>
      <c r="IL306">
        <v>0</v>
      </c>
      <c r="IM306">
        <v>0</v>
      </c>
      <c r="IN306">
        <v>270</v>
      </c>
      <c r="IO306">
        <v>0</v>
      </c>
      <c r="IP306">
        <v>180</v>
      </c>
      <c r="IQ306">
        <v>0</v>
      </c>
      <c r="IR306">
        <v>330</v>
      </c>
      <c r="IS306">
        <v>0</v>
      </c>
      <c r="IT306">
        <v>90</v>
      </c>
      <c r="IU306">
        <v>0</v>
      </c>
      <c r="IV306">
        <v>6.4</v>
      </c>
      <c r="IW306">
        <v>-6</v>
      </c>
      <c r="IX306">
        <v>96</v>
      </c>
      <c r="IY306">
        <v>63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336</v>
      </c>
      <c r="JJ306">
        <v>306</v>
      </c>
      <c r="JK306">
        <v>235</v>
      </c>
      <c r="JL306">
        <v>304</v>
      </c>
      <c r="JM306">
        <v>235</v>
      </c>
      <c r="JN306">
        <v>195</v>
      </c>
      <c r="JO306">
        <v>230</v>
      </c>
      <c r="JP306">
        <v>210</v>
      </c>
      <c r="JQ306">
        <v>260</v>
      </c>
      <c r="JR306">
        <v>330</v>
      </c>
      <c r="JS306">
        <v>265</v>
      </c>
      <c r="JT306">
        <v>0</v>
      </c>
      <c r="JU306">
        <v>0</v>
      </c>
      <c r="JV306">
        <v>296</v>
      </c>
      <c r="JW306">
        <v>300</v>
      </c>
      <c r="JX306">
        <v>325</v>
      </c>
      <c r="JY306">
        <v>300</v>
      </c>
      <c r="JZ306">
        <v>0.5</v>
      </c>
      <c r="KA306">
        <v>0.2</v>
      </c>
      <c r="KB306">
        <v>0.4</v>
      </c>
      <c r="KC306">
        <v>0.42</v>
      </c>
      <c r="KD306">
        <v>0.28</v>
      </c>
      <c r="KE306">
        <v>0.5</v>
      </c>
      <c r="KF306">
        <v>0.18</v>
      </c>
      <c r="KG306">
        <v>0.1</v>
      </c>
      <c r="KH306">
        <v>3.5</v>
      </c>
      <c r="KI306">
        <v>1</v>
      </c>
      <c r="KJ306">
        <v>4.5</v>
      </c>
      <c r="KK306">
        <v>0</v>
      </c>
      <c r="KL306">
        <v>4.5</v>
      </c>
      <c r="KM306">
        <v>0</v>
      </c>
      <c r="KN306">
        <v>1.2</v>
      </c>
      <c r="KO306">
        <v>0</v>
      </c>
      <c r="KP306">
        <v>0</v>
      </c>
      <c r="KQ306">
        <v>0.5</v>
      </c>
      <c r="KR306">
        <v>1</v>
      </c>
      <c r="KS306">
        <v>0</v>
      </c>
      <c r="KT306">
        <v>2.2</v>
      </c>
      <c r="KU306">
        <v>0</v>
      </c>
      <c r="KV306">
        <v>0</v>
      </c>
      <c r="KW306">
        <v>1</v>
      </c>
      <c r="KX306">
        <v>2</v>
      </c>
      <c r="KY306">
        <v>1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0.5</v>
      </c>
      <c r="LJ306">
        <v>0</v>
      </c>
      <c r="LK306">
        <v>4</v>
      </c>
      <c r="LL306">
        <v>5</v>
      </c>
      <c r="LM306">
        <v>6</v>
      </c>
      <c r="LN306">
        <v>0.1</v>
      </c>
      <c r="LO306">
        <v>1</v>
      </c>
      <c r="LP306">
        <v>0</v>
      </c>
      <c r="LQ306">
        <v>0</v>
      </c>
      <c r="LR306">
        <v>0</v>
      </c>
      <c r="LS306">
        <v>1</v>
      </c>
      <c r="LT306">
        <v>0</v>
      </c>
      <c r="LU306">
        <v>0</v>
      </c>
      <c r="LV306">
        <v>0</v>
      </c>
      <c r="LW306">
        <v>1.1</v>
      </c>
      <c r="LX306">
        <v>1.1</v>
      </c>
      <c r="LY306">
        <v>1.5</v>
      </c>
      <c r="LZ306">
        <v>1.5</v>
      </c>
      <c r="MA306">
        <v>0</v>
      </c>
      <c r="MB306">
        <v>4.5</v>
      </c>
      <c r="MC306">
        <v>0</v>
      </c>
      <c r="MD306">
        <v>4.5</v>
      </c>
      <c r="ME306">
        <v>6</v>
      </c>
      <c r="MF306">
        <v>6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389</v>
      </c>
      <c r="MN306">
        <v>180</v>
      </c>
      <c r="MO306">
        <v>230</v>
      </c>
      <c r="NU306">
        <v>0.15</v>
      </c>
      <c r="NV306">
        <v>0.2</v>
      </c>
      <c r="NW306">
        <v>0.2</v>
      </c>
      <c r="NX306">
        <v>2</v>
      </c>
      <c r="NY306">
        <v>2</v>
      </c>
      <c r="NZ306">
        <v>2</v>
      </c>
      <c r="OE306" t="s">
        <v>5066</v>
      </c>
      <c r="OF306" t="s">
        <v>4223</v>
      </c>
      <c r="OG306" t="s">
        <v>4224</v>
      </c>
      <c r="OH306" t="s">
        <v>4043</v>
      </c>
      <c r="OI306" t="s">
        <v>5066</v>
      </c>
      <c r="OJ306" t="s">
        <v>5065</v>
      </c>
      <c r="OK306">
        <v>61</v>
      </c>
      <c r="OL306">
        <v>61</v>
      </c>
      <c r="OM306" t="s">
        <v>4223</v>
      </c>
      <c r="ON306">
        <v>3</v>
      </c>
      <c r="OO306">
        <v>1863</v>
      </c>
      <c r="OP306">
        <v>61</v>
      </c>
      <c r="OQ306">
        <v>61</v>
      </c>
      <c r="OR306" t="s">
        <v>4224</v>
      </c>
      <c r="OS306">
        <v>3</v>
      </c>
      <c r="OT306">
        <v>1870</v>
      </c>
      <c r="OU306">
        <v>65</v>
      </c>
      <c r="OV306">
        <v>65</v>
      </c>
      <c r="OW306" t="s">
        <v>4043</v>
      </c>
      <c r="OX306">
        <v>2</v>
      </c>
      <c r="OY306">
        <v>39489</v>
      </c>
      <c r="OZ306">
        <v>51</v>
      </c>
      <c r="PA306">
        <v>51</v>
      </c>
      <c r="PB306" t="s">
        <v>5066</v>
      </c>
      <c r="PC306">
        <v>1</v>
      </c>
      <c r="PD306">
        <v>1902</v>
      </c>
      <c r="PF306">
        <v>338</v>
      </c>
      <c r="PG306">
        <v>29</v>
      </c>
      <c r="PH306">
        <v>320</v>
      </c>
      <c r="PI306">
        <v>29</v>
      </c>
      <c r="PJ306">
        <v>51.6</v>
      </c>
      <c r="PL306">
        <v>1047.3</v>
      </c>
      <c r="PM306">
        <v>367.8</v>
      </c>
      <c r="PN306">
        <v>91.59999999999999</v>
      </c>
      <c r="PO306">
        <v>8.199999999999999</v>
      </c>
      <c r="PP306">
        <v>12</v>
      </c>
      <c r="PQ306">
        <v>2</v>
      </c>
      <c r="PR306">
        <v>1</v>
      </c>
      <c r="PS306">
        <v>7</v>
      </c>
      <c r="PT306">
        <v>220</v>
      </c>
      <c r="PU306">
        <v>9</v>
      </c>
      <c r="PV306" t="s">
        <v>4072</v>
      </c>
      <c r="PW306" t="s">
        <v>4072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-1</v>
      </c>
      <c r="QF306">
        <v>1</v>
      </c>
      <c r="QG306">
        <v>0</v>
      </c>
      <c r="QH306">
        <v>5</v>
      </c>
      <c r="QI306">
        <v>5</v>
      </c>
      <c r="QJ306">
        <v>5</v>
      </c>
      <c r="QK306">
        <v>162</v>
      </c>
      <c r="QL306">
        <v>370</v>
      </c>
      <c r="QM306">
        <v>7.5</v>
      </c>
      <c r="QN306">
        <v>1381.4</v>
      </c>
      <c r="QO306" t="s">
        <v>3491</v>
      </c>
      <c r="QP306" t="s">
        <v>513</v>
      </c>
      <c r="QQ306">
        <v>0</v>
      </c>
      <c r="QR306" t="s">
        <v>649</v>
      </c>
      <c r="QS306">
        <v>30</v>
      </c>
      <c r="QT306">
        <v>40</v>
      </c>
    </row>
    <row r="307" spans="1:462">
      <c r="A307" t="s">
        <v>3609</v>
      </c>
      <c r="B307" t="s">
        <v>711</v>
      </c>
      <c r="C307" t="s">
        <v>509</v>
      </c>
      <c r="D307" t="s">
        <v>1239</v>
      </c>
      <c r="E307" t="s">
        <v>4036</v>
      </c>
      <c r="H307" t="s">
        <v>511</v>
      </c>
      <c r="J307" t="s">
        <v>562</v>
      </c>
      <c r="L307" t="s">
        <v>804</v>
      </c>
      <c r="M307" t="s">
        <v>512</v>
      </c>
      <c r="N307" t="s">
        <v>515</v>
      </c>
      <c r="O307" t="s">
        <v>513</v>
      </c>
      <c r="P307" t="s">
        <v>567</v>
      </c>
      <c r="Q307" t="s">
        <v>518</v>
      </c>
      <c r="R307" t="s">
        <v>519</v>
      </c>
      <c r="S307" t="s">
        <v>4037</v>
      </c>
      <c r="T307" t="s">
        <v>520</v>
      </c>
      <c r="U307" t="s">
        <v>521</v>
      </c>
      <c r="V307" t="s">
        <v>744</v>
      </c>
      <c r="W307" t="s">
        <v>3610</v>
      </c>
      <c r="X307" t="s">
        <v>3611</v>
      </c>
      <c r="Y307" t="s">
        <v>3612</v>
      </c>
      <c r="Z307" t="s">
        <v>541</v>
      </c>
      <c r="AA307" t="s">
        <v>4038</v>
      </c>
      <c r="AB307" t="s">
        <v>5067</v>
      </c>
      <c r="AC307">
        <v>9</v>
      </c>
      <c r="AD307" t="s">
        <v>3608</v>
      </c>
      <c r="AE307">
        <v>3</v>
      </c>
      <c r="AF307">
        <v>3758</v>
      </c>
      <c r="AG307" t="s">
        <v>4375</v>
      </c>
      <c r="AH307">
        <v>1</v>
      </c>
      <c r="AI307" t="s">
        <v>4041</v>
      </c>
      <c r="AK307" t="s">
        <v>4376</v>
      </c>
      <c r="AL307">
        <v>1</v>
      </c>
      <c r="AM307" t="s">
        <v>582</v>
      </c>
      <c r="AO307" t="s">
        <v>4043</v>
      </c>
      <c r="AP307">
        <v>1</v>
      </c>
      <c r="AR307" t="s">
        <v>4514</v>
      </c>
      <c r="AS307">
        <v>1</v>
      </c>
      <c r="AT307">
        <v>51</v>
      </c>
      <c r="AV307" t="s">
        <v>4045</v>
      </c>
      <c r="AW307">
        <v>6.4</v>
      </c>
      <c r="AX307">
        <v>-6</v>
      </c>
      <c r="AY307">
        <v>90</v>
      </c>
      <c r="AZ307">
        <v>81</v>
      </c>
      <c r="BH307">
        <v>90</v>
      </c>
      <c r="BI307">
        <v>9</v>
      </c>
      <c r="BJ307">
        <v>81</v>
      </c>
      <c r="BK307">
        <v>2.5</v>
      </c>
      <c r="BL307">
        <v>180</v>
      </c>
      <c r="BM307">
        <v>-6</v>
      </c>
      <c r="BN307">
        <v>0</v>
      </c>
      <c r="BO307">
        <v>0</v>
      </c>
      <c r="BP307">
        <v>0</v>
      </c>
      <c r="BR307">
        <v>175</v>
      </c>
      <c r="BS307">
        <v>165</v>
      </c>
      <c r="BT307">
        <v>1845</v>
      </c>
      <c r="BU307" t="s">
        <v>4046</v>
      </c>
      <c r="BV307" t="s">
        <v>4047</v>
      </c>
      <c r="BW307" t="s">
        <v>4048</v>
      </c>
      <c r="BX307" t="s">
        <v>4049</v>
      </c>
      <c r="BY307" t="s">
        <v>4144</v>
      </c>
      <c r="BZ307" t="s">
        <v>4144</v>
      </c>
      <c r="CA307" t="s">
        <v>4051</v>
      </c>
      <c r="CB307" t="s">
        <v>4052</v>
      </c>
      <c r="CC307" t="s">
        <v>4053</v>
      </c>
      <c r="CD307" t="s">
        <v>4054</v>
      </c>
      <c r="CE307" t="s">
        <v>4055</v>
      </c>
      <c r="CF307" t="s">
        <v>4055</v>
      </c>
      <c r="CG307" t="s">
        <v>4056</v>
      </c>
      <c r="CH307" t="s">
        <v>4145</v>
      </c>
      <c r="CI307" t="s">
        <v>4058</v>
      </c>
      <c r="CJ307" t="s">
        <v>4059</v>
      </c>
      <c r="CK307" t="s">
        <v>4060</v>
      </c>
      <c r="CL307" t="s">
        <v>4061</v>
      </c>
      <c r="CM307" t="s">
        <v>4055</v>
      </c>
      <c r="CN307" t="s">
        <v>4062</v>
      </c>
      <c r="CO307" t="s">
        <v>4063</v>
      </c>
      <c r="CP307" t="s">
        <v>4055</v>
      </c>
      <c r="CQ307" t="s">
        <v>4055</v>
      </c>
      <c r="CR307">
        <v>5</v>
      </c>
      <c r="CS307" t="s">
        <v>4055</v>
      </c>
      <c r="CT307">
        <v>15</v>
      </c>
      <c r="CU307" t="s">
        <v>4055</v>
      </c>
      <c r="CV307">
        <v>115</v>
      </c>
      <c r="CW307">
        <v>3</v>
      </c>
      <c r="CX307">
        <v>85</v>
      </c>
      <c r="CY307">
        <v>5</v>
      </c>
      <c r="CZ307">
        <v>71</v>
      </c>
      <c r="DA307">
        <v>5</v>
      </c>
      <c r="DB307">
        <v>8080</v>
      </c>
      <c r="DC307">
        <v>240</v>
      </c>
      <c r="DD307">
        <v>314</v>
      </c>
      <c r="DE307">
        <v>1951</v>
      </c>
      <c r="DF307">
        <v>1951</v>
      </c>
      <c r="DG307">
        <v>1960</v>
      </c>
      <c r="DH307" t="s">
        <v>4055</v>
      </c>
      <c r="DI307" t="s">
        <v>4055</v>
      </c>
      <c r="DJ307" t="s">
        <v>4100</v>
      </c>
      <c r="DK307">
        <v>175</v>
      </c>
      <c r="DL307" t="s">
        <v>4101</v>
      </c>
      <c r="DM307">
        <v>65</v>
      </c>
      <c r="DN307">
        <v>0.84</v>
      </c>
      <c r="DO307">
        <v>1</v>
      </c>
      <c r="DP307">
        <v>1848</v>
      </c>
      <c r="DQ307">
        <v>591</v>
      </c>
      <c r="DR307" t="s">
        <v>4100</v>
      </c>
      <c r="DS307">
        <v>165</v>
      </c>
      <c r="DT307" t="s">
        <v>4101</v>
      </c>
      <c r="DU307">
        <v>65</v>
      </c>
      <c r="DV307">
        <v>0.84</v>
      </c>
      <c r="DW307">
        <v>1</v>
      </c>
      <c r="DX307">
        <v>1855</v>
      </c>
      <c r="DY307">
        <v>560</v>
      </c>
      <c r="DZ307" t="s">
        <v>4066</v>
      </c>
      <c r="EA307">
        <v>33</v>
      </c>
      <c r="EB307" t="s">
        <v>4065</v>
      </c>
      <c r="EC307">
        <v>0.4</v>
      </c>
      <c r="ED307">
        <v>1848</v>
      </c>
      <c r="EE307">
        <v>54</v>
      </c>
      <c r="EF307" t="s">
        <v>4066</v>
      </c>
      <c r="EG307">
        <v>33</v>
      </c>
      <c r="EH307" t="s">
        <v>4065</v>
      </c>
      <c r="EI307">
        <v>0.4</v>
      </c>
      <c r="EJ307">
        <v>1855</v>
      </c>
      <c r="EK307">
        <v>54</v>
      </c>
      <c r="EL307" t="s">
        <v>1528</v>
      </c>
      <c r="EM307">
        <v>12</v>
      </c>
      <c r="EN307">
        <v>0.5</v>
      </c>
      <c r="EO307">
        <v>0.96</v>
      </c>
      <c r="EP307">
        <v>1855.56</v>
      </c>
      <c r="EQ307">
        <v>27833.4</v>
      </c>
      <c r="ER307">
        <v>2617.86</v>
      </c>
      <c r="ES307">
        <v>0</v>
      </c>
      <c r="ET307">
        <v>0</v>
      </c>
      <c r="EU307">
        <v>1</v>
      </c>
      <c r="EV307">
        <v>30452</v>
      </c>
      <c r="EW307">
        <v>366</v>
      </c>
      <c r="EX307" t="s">
        <v>4363</v>
      </c>
      <c r="EY307">
        <v>192</v>
      </c>
      <c r="EZ307" t="s">
        <v>4055</v>
      </c>
      <c r="FA307">
        <v>4.1</v>
      </c>
      <c r="FB307">
        <v>1</v>
      </c>
      <c r="FC307">
        <v>1</v>
      </c>
      <c r="FD307">
        <v>1881</v>
      </c>
      <c r="FE307">
        <v>1806</v>
      </c>
      <c r="FF307" t="s">
        <v>4089</v>
      </c>
      <c r="FG307">
        <v>192</v>
      </c>
      <c r="FH307" t="s">
        <v>4055</v>
      </c>
      <c r="FI307">
        <v>1.6</v>
      </c>
      <c r="FJ307">
        <v>1881</v>
      </c>
      <c r="FK307">
        <v>576</v>
      </c>
      <c r="FL307" t="s">
        <v>4069</v>
      </c>
      <c r="FM307" t="s">
        <v>4055</v>
      </c>
      <c r="FN307" t="s">
        <v>4055</v>
      </c>
      <c r="FO307" t="s">
        <v>4055</v>
      </c>
      <c r="FP307">
        <v>1881</v>
      </c>
      <c r="FQ307">
        <v>131</v>
      </c>
      <c r="FR307" t="s">
        <v>4090</v>
      </c>
      <c r="FS307">
        <v>196</v>
      </c>
      <c r="FT307" t="s">
        <v>4055</v>
      </c>
      <c r="FU307">
        <v>0.4</v>
      </c>
      <c r="FV307">
        <v>1881</v>
      </c>
      <c r="FW307">
        <v>164</v>
      </c>
      <c r="FX307" t="s">
        <v>4070</v>
      </c>
      <c r="FY307">
        <v>5</v>
      </c>
      <c r="FZ307" t="s">
        <v>4055</v>
      </c>
      <c r="GA307" t="s">
        <v>4055</v>
      </c>
      <c r="GB307">
        <v>1881</v>
      </c>
      <c r="GC307">
        <v>13</v>
      </c>
      <c r="GD307">
        <v>2690</v>
      </c>
      <c r="GE307" t="s">
        <v>4514</v>
      </c>
      <c r="GF307" t="s">
        <v>4055</v>
      </c>
      <c r="GG307" t="s">
        <v>4055</v>
      </c>
      <c r="GH307" t="s">
        <v>4055</v>
      </c>
      <c r="GI307" t="s">
        <v>4071</v>
      </c>
      <c r="GJ307" t="s">
        <v>4055</v>
      </c>
      <c r="GK307" t="s">
        <v>4055</v>
      </c>
      <c r="GL307" t="s">
        <v>4055</v>
      </c>
      <c r="GM307" t="s">
        <v>4055</v>
      </c>
      <c r="GQ307">
        <v>0</v>
      </c>
      <c r="GV307">
        <v>6.1</v>
      </c>
      <c r="GW307">
        <v>8.5</v>
      </c>
      <c r="GX307">
        <v>0.5</v>
      </c>
      <c r="GY307">
        <v>162</v>
      </c>
      <c r="GZ307">
        <v>3</v>
      </c>
      <c r="HA307">
        <v>214</v>
      </c>
      <c r="HB307">
        <v>3</v>
      </c>
      <c r="HC307">
        <v>1881</v>
      </c>
      <c r="HD307">
        <v>4</v>
      </c>
      <c r="HE307" t="s">
        <v>4071</v>
      </c>
      <c r="HG307" t="s">
        <v>549</v>
      </c>
      <c r="HL307">
        <v>4</v>
      </c>
      <c r="HM307">
        <v>16</v>
      </c>
      <c r="HN307">
        <v>6</v>
      </c>
      <c r="HO307">
        <v>1</v>
      </c>
      <c r="HP307">
        <v>0</v>
      </c>
      <c r="HQ307">
        <v>2</v>
      </c>
      <c r="HR307">
        <v>3</v>
      </c>
      <c r="HS307">
        <v>1845</v>
      </c>
      <c r="HT307">
        <v>5</v>
      </c>
      <c r="HU307">
        <v>1</v>
      </c>
      <c r="HV307">
        <v>3</v>
      </c>
      <c r="HW307">
        <v>0</v>
      </c>
      <c r="HX307">
        <v>1</v>
      </c>
      <c r="HY307">
        <v>0</v>
      </c>
      <c r="HZ307">
        <v>65</v>
      </c>
      <c r="IA307">
        <v>1848</v>
      </c>
      <c r="IB307">
        <v>1855</v>
      </c>
      <c r="ID307">
        <v>1881</v>
      </c>
      <c r="IE307">
        <v>1881</v>
      </c>
      <c r="IF307">
        <v>175</v>
      </c>
      <c r="IG307">
        <v>165</v>
      </c>
      <c r="IH307">
        <v>214</v>
      </c>
      <c r="II307">
        <v>1</v>
      </c>
      <c r="IJ307">
        <v>5</v>
      </c>
      <c r="IK307">
        <v>0</v>
      </c>
      <c r="IL307">
        <v>0</v>
      </c>
      <c r="IM307">
        <v>0</v>
      </c>
      <c r="IN307">
        <v>270</v>
      </c>
      <c r="IO307">
        <v>0</v>
      </c>
      <c r="IP307">
        <v>180</v>
      </c>
      <c r="IQ307">
        <v>0</v>
      </c>
      <c r="IR307">
        <v>330</v>
      </c>
      <c r="IS307">
        <v>0</v>
      </c>
      <c r="IT307">
        <v>90</v>
      </c>
      <c r="IU307">
        <v>0</v>
      </c>
      <c r="IV307">
        <v>6.4</v>
      </c>
      <c r="IW307">
        <v>-6</v>
      </c>
      <c r="IX307">
        <v>90</v>
      </c>
      <c r="IY307">
        <v>81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358</v>
      </c>
      <c r="JJ307">
        <v>328</v>
      </c>
      <c r="JK307">
        <v>232</v>
      </c>
      <c r="JL307">
        <v>328</v>
      </c>
      <c r="JM307">
        <v>272</v>
      </c>
      <c r="JN307">
        <v>175</v>
      </c>
      <c r="JO307">
        <v>224</v>
      </c>
      <c r="JP307">
        <v>196</v>
      </c>
      <c r="JQ307">
        <v>210</v>
      </c>
      <c r="JR307">
        <v>330</v>
      </c>
      <c r="JS307">
        <v>265</v>
      </c>
      <c r="JT307">
        <v>0</v>
      </c>
      <c r="JU307">
        <v>0</v>
      </c>
      <c r="JV307">
        <v>320</v>
      </c>
      <c r="JW307">
        <v>317</v>
      </c>
      <c r="JX307">
        <v>325</v>
      </c>
      <c r="JY307">
        <v>315</v>
      </c>
      <c r="JZ307">
        <v>2.5</v>
      </c>
      <c r="KA307">
        <v>0.2</v>
      </c>
      <c r="KB307">
        <v>0.4</v>
      </c>
      <c r="KC307">
        <v>0.42</v>
      </c>
      <c r="KD307">
        <v>0.28</v>
      </c>
      <c r="KE307">
        <v>0.5</v>
      </c>
      <c r="KF307">
        <v>0.19</v>
      </c>
      <c r="KG307">
        <v>0.1</v>
      </c>
      <c r="KH307">
        <v>3.5</v>
      </c>
      <c r="KI307">
        <v>1</v>
      </c>
      <c r="KJ307">
        <v>5</v>
      </c>
      <c r="KK307">
        <v>0</v>
      </c>
      <c r="KL307">
        <v>5</v>
      </c>
      <c r="KM307">
        <v>0</v>
      </c>
      <c r="KN307">
        <v>1.1</v>
      </c>
      <c r="KO307">
        <v>0</v>
      </c>
      <c r="KP307">
        <v>0</v>
      </c>
      <c r="KQ307">
        <v>1.5</v>
      </c>
      <c r="KR307">
        <v>1.5</v>
      </c>
      <c r="KS307">
        <v>0</v>
      </c>
      <c r="KT307">
        <v>2</v>
      </c>
      <c r="KU307">
        <v>0</v>
      </c>
      <c r="KV307">
        <v>0</v>
      </c>
      <c r="KW307">
        <v>1.1</v>
      </c>
      <c r="KX307">
        <v>2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3</v>
      </c>
      <c r="LI307">
        <v>2.5</v>
      </c>
      <c r="LJ307">
        <v>0</v>
      </c>
      <c r="LK307">
        <v>5</v>
      </c>
      <c r="LL307">
        <v>7.5</v>
      </c>
      <c r="LM307">
        <v>8</v>
      </c>
      <c r="LN307">
        <v>0.5</v>
      </c>
      <c r="LO307">
        <v>0.3</v>
      </c>
      <c r="LP307">
        <v>0</v>
      </c>
      <c r="LQ307">
        <v>0</v>
      </c>
      <c r="LR307">
        <v>0</v>
      </c>
      <c r="LS307">
        <v>1</v>
      </c>
      <c r="LT307">
        <v>0</v>
      </c>
      <c r="LU307">
        <v>0</v>
      </c>
      <c r="LV307">
        <v>0</v>
      </c>
      <c r="LW307">
        <v>1.4</v>
      </c>
      <c r="LX307">
        <v>1.4</v>
      </c>
      <c r="LY307">
        <v>2.1</v>
      </c>
      <c r="LZ307">
        <v>2.1</v>
      </c>
      <c r="MA307">
        <v>0</v>
      </c>
      <c r="MB307">
        <v>5</v>
      </c>
      <c r="MC307">
        <v>0</v>
      </c>
      <c r="MD307">
        <v>4.5</v>
      </c>
      <c r="ME307">
        <v>6</v>
      </c>
      <c r="MF307">
        <v>6</v>
      </c>
      <c r="MI307">
        <v>0</v>
      </c>
      <c r="MJ307">
        <v>0</v>
      </c>
      <c r="ML307">
        <v>0</v>
      </c>
      <c r="MM307">
        <v>358</v>
      </c>
      <c r="MN307">
        <v>175</v>
      </c>
      <c r="MO307">
        <v>224</v>
      </c>
      <c r="NH307">
        <v>0</v>
      </c>
      <c r="NJ307">
        <v>0</v>
      </c>
      <c r="NK307">
        <v>0</v>
      </c>
      <c r="NM307">
        <v>0</v>
      </c>
      <c r="NU307">
        <v>0.15</v>
      </c>
      <c r="NV307">
        <v>0.3</v>
      </c>
      <c r="NW307">
        <v>0.3</v>
      </c>
      <c r="NX307">
        <v>2</v>
      </c>
      <c r="NY307">
        <v>2</v>
      </c>
      <c r="NZ307">
        <v>2</v>
      </c>
      <c r="OE307" t="s">
        <v>4514</v>
      </c>
      <c r="OF307" t="s">
        <v>4375</v>
      </c>
      <c r="OG307" t="s">
        <v>4376</v>
      </c>
      <c r="OH307" t="s">
        <v>4043</v>
      </c>
      <c r="OI307" t="s">
        <v>4514</v>
      </c>
      <c r="OJ307" t="s">
        <v>5067</v>
      </c>
      <c r="OK307">
        <v>61</v>
      </c>
      <c r="OL307">
        <v>61</v>
      </c>
      <c r="OM307" t="s">
        <v>4375</v>
      </c>
      <c r="ON307">
        <v>3</v>
      </c>
      <c r="OO307">
        <v>1848</v>
      </c>
      <c r="OP307">
        <v>61</v>
      </c>
      <c r="OQ307">
        <v>61</v>
      </c>
      <c r="OR307" t="s">
        <v>4376</v>
      </c>
      <c r="OS307">
        <v>3</v>
      </c>
      <c r="OT307">
        <v>1855</v>
      </c>
      <c r="OU307">
        <v>65</v>
      </c>
      <c r="OV307">
        <v>65</v>
      </c>
      <c r="OW307" t="s">
        <v>4043</v>
      </c>
      <c r="OX307">
        <v>2</v>
      </c>
      <c r="OY307">
        <v>30452</v>
      </c>
      <c r="OZ307">
        <v>51</v>
      </c>
      <c r="PA307">
        <v>51</v>
      </c>
      <c r="PB307" t="s">
        <v>4514</v>
      </c>
      <c r="PC307">
        <v>1</v>
      </c>
      <c r="PD307">
        <v>1881</v>
      </c>
      <c r="PF307">
        <v>320</v>
      </c>
      <c r="PG307">
        <v>29</v>
      </c>
      <c r="PH307">
        <v>302</v>
      </c>
      <c r="PI307">
        <v>29</v>
      </c>
      <c r="PJ307">
        <v>69.40000000000001</v>
      </c>
      <c r="PK307">
        <v>1417</v>
      </c>
      <c r="PL307">
        <v>960.2</v>
      </c>
      <c r="PM307">
        <v>306.1</v>
      </c>
      <c r="PN307">
        <v>87.09999999999999</v>
      </c>
      <c r="PO307">
        <v>7.1</v>
      </c>
      <c r="PP307">
        <v>12</v>
      </c>
      <c r="PQ307">
        <v>2</v>
      </c>
      <c r="PR307">
        <v>1</v>
      </c>
      <c r="PS307">
        <v>6</v>
      </c>
      <c r="PT307">
        <v>214</v>
      </c>
      <c r="PU307">
        <v>11</v>
      </c>
      <c r="PV307" t="s">
        <v>4072</v>
      </c>
      <c r="PW307" t="s">
        <v>4072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-1</v>
      </c>
      <c r="QF307">
        <v>1</v>
      </c>
      <c r="QG307">
        <v>0</v>
      </c>
      <c r="QH307">
        <v>5</v>
      </c>
      <c r="QI307">
        <v>5</v>
      </c>
      <c r="QJ307">
        <v>5</v>
      </c>
      <c r="QK307">
        <v>174</v>
      </c>
      <c r="QL307">
        <v>392</v>
      </c>
      <c r="QM307">
        <v>7.5</v>
      </c>
      <c r="QN307">
        <v>1284.1</v>
      </c>
      <c r="QO307" t="s">
        <v>3491</v>
      </c>
      <c r="QP307" t="s">
        <v>513</v>
      </c>
      <c r="QQ307">
        <v>0</v>
      </c>
      <c r="QR307" t="s">
        <v>1496</v>
      </c>
      <c r="QS307">
        <v>30</v>
      </c>
      <c r="QT307">
        <v>40</v>
      </c>
    </row>
    <row r="308" spans="1:462">
      <c r="A308" t="s">
        <v>3578</v>
      </c>
      <c r="B308" t="s">
        <v>508</v>
      </c>
      <c r="C308" t="s">
        <v>509</v>
      </c>
      <c r="D308" t="s">
        <v>4468</v>
      </c>
      <c r="E308" t="s">
        <v>4036</v>
      </c>
      <c r="H308" t="s">
        <v>604</v>
      </c>
      <c r="I308" t="s">
        <v>605</v>
      </c>
      <c r="J308" t="s">
        <v>628</v>
      </c>
      <c r="K308" t="s">
        <v>606</v>
      </c>
      <c r="M308" t="s">
        <v>512</v>
      </c>
      <c r="O308" t="s">
        <v>513</v>
      </c>
      <c r="P308" t="s">
        <v>567</v>
      </c>
      <c r="Q308" t="s">
        <v>518</v>
      </c>
      <c r="R308" t="s">
        <v>519</v>
      </c>
      <c r="S308" t="s">
        <v>4037</v>
      </c>
      <c r="T308" t="s">
        <v>520</v>
      </c>
      <c r="U308" t="s">
        <v>521</v>
      </c>
      <c r="V308" t="s">
        <v>1980</v>
      </c>
      <c r="W308" t="s">
        <v>1880</v>
      </c>
      <c r="X308" t="s">
        <v>3617</v>
      </c>
      <c r="Y308" t="s">
        <v>3617</v>
      </c>
      <c r="Z308" t="s">
        <v>541</v>
      </c>
      <c r="AA308" t="s">
        <v>4038</v>
      </c>
      <c r="AB308" t="s">
        <v>5068</v>
      </c>
      <c r="AC308">
        <v>9</v>
      </c>
      <c r="AD308" t="s">
        <v>3616</v>
      </c>
      <c r="AE308">
        <v>1</v>
      </c>
      <c r="AF308">
        <v>4087</v>
      </c>
      <c r="AG308" t="s">
        <v>4525</v>
      </c>
      <c r="AH308">
        <v>1</v>
      </c>
      <c r="AI308" t="s">
        <v>4041</v>
      </c>
      <c r="AK308" t="s">
        <v>4526</v>
      </c>
      <c r="AL308">
        <v>1</v>
      </c>
      <c r="AM308" t="s">
        <v>582</v>
      </c>
      <c r="AO308" t="s">
        <v>4426</v>
      </c>
      <c r="AP308">
        <v>1</v>
      </c>
      <c r="AR308" t="s">
        <v>4527</v>
      </c>
      <c r="AS308">
        <v>1</v>
      </c>
      <c r="AT308">
        <v>52</v>
      </c>
      <c r="AV308" t="s">
        <v>4078</v>
      </c>
      <c r="AW308">
        <v>6.4</v>
      </c>
      <c r="AX308">
        <v>-6</v>
      </c>
      <c r="AY308">
        <v>90.5</v>
      </c>
      <c r="AZ308">
        <v>55</v>
      </c>
      <c r="BH308">
        <v>90.5</v>
      </c>
      <c r="BI308">
        <v>35.5</v>
      </c>
      <c r="BJ308">
        <v>55</v>
      </c>
      <c r="BK308">
        <v>3</v>
      </c>
      <c r="BL308">
        <v>181</v>
      </c>
      <c r="BM308">
        <v>-6</v>
      </c>
      <c r="BN308">
        <v>0</v>
      </c>
      <c r="BP308">
        <v>0</v>
      </c>
      <c r="BR308">
        <v>175</v>
      </c>
      <c r="BS308">
        <v>165</v>
      </c>
      <c r="BT308">
        <v>1850</v>
      </c>
      <c r="BU308" t="s">
        <v>4046</v>
      </c>
      <c r="BV308" t="s">
        <v>4047</v>
      </c>
      <c r="BW308" t="s">
        <v>4048</v>
      </c>
      <c r="BX308" t="s">
        <v>4049</v>
      </c>
      <c r="BY308" t="s">
        <v>4144</v>
      </c>
      <c r="BZ308" t="s">
        <v>4144</v>
      </c>
      <c r="CA308" t="s">
        <v>4051</v>
      </c>
      <c r="CB308" t="s">
        <v>4052</v>
      </c>
      <c r="CC308" t="s">
        <v>4053</v>
      </c>
      <c r="CD308" t="s">
        <v>4054</v>
      </c>
      <c r="CE308" t="s">
        <v>4055</v>
      </c>
      <c r="CF308" t="s">
        <v>4055</v>
      </c>
      <c r="CG308" t="s">
        <v>4056</v>
      </c>
      <c r="CH308" t="s">
        <v>4057</v>
      </c>
      <c r="CI308" t="s">
        <v>4216</v>
      </c>
      <c r="CJ308" t="s">
        <v>4059</v>
      </c>
      <c r="CK308" t="s">
        <v>4060</v>
      </c>
      <c r="CL308" t="s">
        <v>4061</v>
      </c>
      <c r="CM308" t="s">
        <v>4055</v>
      </c>
      <c r="CN308" t="s">
        <v>4062</v>
      </c>
      <c r="CO308" t="s">
        <v>4063</v>
      </c>
      <c r="CP308" t="s">
        <v>4055</v>
      </c>
      <c r="CQ308" t="s">
        <v>4055</v>
      </c>
      <c r="CR308">
        <v>5</v>
      </c>
      <c r="CS308" t="s">
        <v>4055</v>
      </c>
      <c r="CT308">
        <v>15</v>
      </c>
      <c r="CU308" t="s">
        <v>4055</v>
      </c>
      <c r="CV308">
        <v>112</v>
      </c>
      <c r="CW308">
        <v>3</v>
      </c>
      <c r="CX308">
        <v>70</v>
      </c>
      <c r="CY308">
        <v>5</v>
      </c>
      <c r="CZ308">
        <v>64</v>
      </c>
      <c r="DA308">
        <v>5</v>
      </c>
      <c r="DB308">
        <v>9010</v>
      </c>
      <c r="DC308">
        <v>190</v>
      </c>
      <c r="DD308">
        <v>300</v>
      </c>
      <c r="DE308">
        <v>1952</v>
      </c>
      <c r="DF308">
        <v>1952</v>
      </c>
      <c r="DG308">
        <v>1962</v>
      </c>
      <c r="DH308">
        <v>0</v>
      </c>
      <c r="DI308" t="s">
        <v>4055</v>
      </c>
      <c r="DJ308" t="s">
        <v>4100</v>
      </c>
      <c r="DK308">
        <v>175</v>
      </c>
      <c r="DL308" t="s">
        <v>4101</v>
      </c>
      <c r="DM308">
        <v>63</v>
      </c>
      <c r="DN308">
        <v>0.84</v>
      </c>
      <c r="DO308">
        <v>1</v>
      </c>
      <c r="DP308">
        <v>1853</v>
      </c>
      <c r="DQ308">
        <v>593</v>
      </c>
      <c r="DR308" t="s">
        <v>4100</v>
      </c>
      <c r="DS308">
        <v>165</v>
      </c>
      <c r="DT308" t="s">
        <v>4101</v>
      </c>
      <c r="DU308">
        <v>63</v>
      </c>
      <c r="DV308">
        <v>0.84</v>
      </c>
      <c r="DW308">
        <v>1</v>
      </c>
      <c r="DX308">
        <v>1860</v>
      </c>
      <c r="DY308">
        <v>562</v>
      </c>
      <c r="DZ308" t="s">
        <v>4066</v>
      </c>
      <c r="EA308">
        <v>33</v>
      </c>
      <c r="EB308" t="s">
        <v>4065</v>
      </c>
      <c r="EC308">
        <v>0.4</v>
      </c>
      <c r="ED308">
        <v>1853</v>
      </c>
      <c r="EE308">
        <v>54</v>
      </c>
      <c r="EF308" t="s">
        <v>4066</v>
      </c>
      <c r="EG308">
        <v>33</v>
      </c>
      <c r="EH308" t="s">
        <v>4065</v>
      </c>
      <c r="EI308">
        <v>0.4</v>
      </c>
      <c r="EJ308">
        <v>1860</v>
      </c>
      <c r="EK308">
        <v>54</v>
      </c>
      <c r="EL308" t="s">
        <v>4429</v>
      </c>
      <c r="EM308">
        <v>12</v>
      </c>
      <c r="EN308">
        <v>0.5</v>
      </c>
      <c r="EO308">
        <v>0.9</v>
      </c>
      <c r="EP308">
        <v>1860.56</v>
      </c>
      <c r="EQ308">
        <v>28053.76</v>
      </c>
      <c r="ER308">
        <v>10351.66</v>
      </c>
      <c r="ES308">
        <v>0</v>
      </c>
      <c r="ET308">
        <v>0</v>
      </c>
      <c r="EU308">
        <v>1</v>
      </c>
      <c r="EV308">
        <v>38406</v>
      </c>
      <c r="EW308">
        <v>461</v>
      </c>
      <c r="EX308" t="s">
        <v>4363</v>
      </c>
      <c r="EY308">
        <v>192</v>
      </c>
      <c r="EZ308" t="s">
        <v>4055</v>
      </c>
      <c r="FA308">
        <v>6.3</v>
      </c>
      <c r="FB308">
        <v>1</v>
      </c>
      <c r="FC308">
        <v>1</v>
      </c>
      <c r="FD308">
        <v>1891</v>
      </c>
      <c r="FE308">
        <v>2514</v>
      </c>
      <c r="FF308" t="s">
        <v>4089</v>
      </c>
      <c r="FG308">
        <v>192</v>
      </c>
      <c r="FH308" t="s">
        <v>4055</v>
      </c>
      <c r="FI308">
        <v>1.1</v>
      </c>
      <c r="FJ308">
        <v>1891</v>
      </c>
      <c r="FK308">
        <v>395</v>
      </c>
      <c r="FL308" t="s">
        <v>4069</v>
      </c>
      <c r="FM308" t="s">
        <v>4055</v>
      </c>
      <c r="FN308" t="s">
        <v>4055</v>
      </c>
      <c r="FO308" t="s">
        <v>4055</v>
      </c>
      <c r="FP308">
        <v>1891</v>
      </c>
      <c r="FQ308">
        <v>101</v>
      </c>
      <c r="FR308" t="s">
        <v>4090</v>
      </c>
      <c r="FS308">
        <v>196</v>
      </c>
      <c r="FT308" t="s">
        <v>4055</v>
      </c>
      <c r="FU308">
        <v>0.4</v>
      </c>
      <c r="FV308">
        <v>1891</v>
      </c>
      <c r="FW308">
        <v>165</v>
      </c>
      <c r="FX308" t="s">
        <v>4070</v>
      </c>
      <c r="FY308">
        <v>5</v>
      </c>
      <c r="FZ308" t="s">
        <v>4055</v>
      </c>
      <c r="GA308" t="s">
        <v>4055</v>
      </c>
      <c r="GB308">
        <v>1891</v>
      </c>
      <c r="GC308">
        <v>17</v>
      </c>
      <c r="GD308">
        <v>3192</v>
      </c>
      <c r="GE308" t="s">
        <v>4527</v>
      </c>
      <c r="GF308" t="s">
        <v>4055</v>
      </c>
      <c r="GG308" t="s">
        <v>4055</v>
      </c>
      <c r="GH308" t="s">
        <v>4055</v>
      </c>
      <c r="GI308" t="s">
        <v>4071</v>
      </c>
      <c r="GJ308" t="s">
        <v>4055</v>
      </c>
      <c r="GK308" t="s">
        <v>4055</v>
      </c>
      <c r="GL308" t="s">
        <v>4055</v>
      </c>
      <c r="GM308" t="s">
        <v>4055</v>
      </c>
      <c r="GQ308">
        <v>0</v>
      </c>
      <c r="GV308">
        <v>7.8</v>
      </c>
      <c r="GW308">
        <v>8.5</v>
      </c>
      <c r="GX308">
        <v>0.5</v>
      </c>
      <c r="GY308">
        <v>162</v>
      </c>
      <c r="GZ308">
        <v>3</v>
      </c>
      <c r="HA308">
        <v>210</v>
      </c>
      <c r="HB308">
        <v>3</v>
      </c>
      <c r="HC308">
        <v>1891</v>
      </c>
      <c r="HD308">
        <v>4</v>
      </c>
      <c r="HE308" t="s">
        <v>4071</v>
      </c>
      <c r="HG308" t="s">
        <v>549</v>
      </c>
      <c r="HL308">
        <v>4</v>
      </c>
      <c r="HM308">
        <v>16</v>
      </c>
      <c r="HN308">
        <v>6</v>
      </c>
      <c r="HO308">
        <v>1</v>
      </c>
      <c r="HP308">
        <v>0</v>
      </c>
      <c r="HQ308">
        <v>2</v>
      </c>
      <c r="HR308">
        <v>1</v>
      </c>
      <c r="HS308">
        <v>1850</v>
      </c>
      <c r="HT308">
        <v>5</v>
      </c>
      <c r="HU308">
        <v>1</v>
      </c>
      <c r="HV308">
        <v>5</v>
      </c>
      <c r="HW308">
        <v>0</v>
      </c>
      <c r="HX308">
        <v>1</v>
      </c>
      <c r="HY308">
        <v>0</v>
      </c>
      <c r="HZ308">
        <v>63</v>
      </c>
      <c r="IA308">
        <v>1853</v>
      </c>
      <c r="IB308">
        <v>1860</v>
      </c>
      <c r="ID308">
        <v>1891</v>
      </c>
      <c r="IE308">
        <v>1891</v>
      </c>
      <c r="IF308">
        <v>175</v>
      </c>
      <c r="IG308">
        <v>165</v>
      </c>
      <c r="IH308">
        <v>210</v>
      </c>
      <c r="II308">
        <v>1</v>
      </c>
      <c r="IJ308">
        <v>5</v>
      </c>
      <c r="IK308">
        <v>0</v>
      </c>
      <c r="IL308">
        <v>1</v>
      </c>
      <c r="IM308">
        <v>0</v>
      </c>
      <c r="IN308">
        <v>270</v>
      </c>
      <c r="IO308">
        <v>0</v>
      </c>
      <c r="IP308">
        <v>180</v>
      </c>
      <c r="IQ308">
        <v>0</v>
      </c>
      <c r="IR308">
        <v>325</v>
      </c>
      <c r="IS308">
        <v>0</v>
      </c>
      <c r="IT308">
        <v>90</v>
      </c>
      <c r="IU308">
        <v>0</v>
      </c>
      <c r="IV308">
        <v>6.4</v>
      </c>
      <c r="IW308">
        <v>-6</v>
      </c>
      <c r="IX308">
        <v>90.5</v>
      </c>
      <c r="IY308">
        <v>55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352</v>
      </c>
      <c r="JJ308">
        <v>322</v>
      </c>
      <c r="JK308">
        <v>230</v>
      </c>
      <c r="JL308">
        <v>322</v>
      </c>
      <c r="JM308">
        <v>250</v>
      </c>
      <c r="JN308">
        <v>170</v>
      </c>
      <c r="JO308">
        <v>222</v>
      </c>
      <c r="JP308">
        <v>190</v>
      </c>
      <c r="JQ308">
        <v>225</v>
      </c>
      <c r="JR308">
        <v>336</v>
      </c>
      <c r="JS308">
        <v>270</v>
      </c>
      <c r="JT308">
        <v>0</v>
      </c>
      <c r="JU308">
        <v>0</v>
      </c>
      <c r="JV308">
        <v>305</v>
      </c>
      <c r="JW308">
        <v>307</v>
      </c>
      <c r="JX308">
        <v>0</v>
      </c>
      <c r="JY308">
        <v>0</v>
      </c>
      <c r="JZ308">
        <v>0</v>
      </c>
      <c r="KA308">
        <v>0.2</v>
      </c>
      <c r="KB308">
        <v>0.4</v>
      </c>
      <c r="KC308">
        <v>0.42</v>
      </c>
      <c r="KD308">
        <v>0.28</v>
      </c>
      <c r="KE308">
        <v>0.5</v>
      </c>
      <c r="KF308">
        <v>0.2</v>
      </c>
      <c r="KG308">
        <v>0.1</v>
      </c>
      <c r="KH308">
        <v>6</v>
      </c>
      <c r="KI308">
        <v>1</v>
      </c>
      <c r="KJ308">
        <v>4.5</v>
      </c>
      <c r="KK308">
        <v>0</v>
      </c>
      <c r="KL308">
        <v>4.5</v>
      </c>
      <c r="KM308">
        <v>1</v>
      </c>
      <c r="KN308">
        <v>1.2</v>
      </c>
      <c r="KO308">
        <v>0</v>
      </c>
      <c r="KP308">
        <v>0</v>
      </c>
      <c r="KQ308">
        <v>1</v>
      </c>
      <c r="KR308">
        <v>1.5</v>
      </c>
      <c r="KS308">
        <v>0</v>
      </c>
      <c r="KT308">
        <v>1.8</v>
      </c>
      <c r="KU308">
        <v>0</v>
      </c>
      <c r="KV308">
        <v>0</v>
      </c>
      <c r="KW308">
        <v>1.2</v>
      </c>
      <c r="KX308">
        <v>2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3</v>
      </c>
      <c r="LI308">
        <v>0</v>
      </c>
      <c r="LJ308">
        <v>0</v>
      </c>
      <c r="LK308">
        <v>3</v>
      </c>
      <c r="LL308">
        <v>4</v>
      </c>
      <c r="LM308">
        <v>4</v>
      </c>
      <c r="LN308">
        <v>1</v>
      </c>
      <c r="LO308">
        <v>0.5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1.4</v>
      </c>
      <c r="LX308">
        <v>1.4</v>
      </c>
      <c r="LY308">
        <v>2.1</v>
      </c>
      <c r="LZ308">
        <v>2.1</v>
      </c>
      <c r="MA308">
        <v>0</v>
      </c>
      <c r="MB308">
        <v>0</v>
      </c>
      <c r="MC308">
        <v>0</v>
      </c>
      <c r="MD308">
        <v>4.5</v>
      </c>
      <c r="ME308">
        <v>6</v>
      </c>
      <c r="MF308">
        <v>6</v>
      </c>
      <c r="MI308">
        <v>0</v>
      </c>
      <c r="MJ308">
        <v>0</v>
      </c>
      <c r="ML308">
        <v>0</v>
      </c>
      <c r="MM308">
        <v>358</v>
      </c>
      <c r="MN308">
        <v>170</v>
      </c>
      <c r="MO308">
        <v>222</v>
      </c>
      <c r="NU308">
        <v>0.15</v>
      </c>
      <c r="NV308">
        <v>0.2</v>
      </c>
      <c r="NW308">
        <v>0.2</v>
      </c>
      <c r="NX308">
        <v>0.2</v>
      </c>
      <c r="NY308">
        <v>0.2</v>
      </c>
      <c r="NZ308">
        <v>0.2</v>
      </c>
      <c r="OE308" t="s">
        <v>4527</v>
      </c>
      <c r="OF308" t="s">
        <v>4525</v>
      </c>
      <c r="OG308" t="s">
        <v>4526</v>
      </c>
      <c r="OH308" t="s">
        <v>4426</v>
      </c>
      <c r="OI308" t="s">
        <v>4527</v>
      </c>
      <c r="OJ308" t="s">
        <v>5068</v>
      </c>
      <c r="OK308">
        <v>61</v>
      </c>
      <c r="OL308">
        <v>61</v>
      </c>
      <c r="OM308" t="s">
        <v>4525</v>
      </c>
      <c r="ON308">
        <v>2</v>
      </c>
      <c r="OO308">
        <v>1853</v>
      </c>
      <c r="OP308">
        <v>61</v>
      </c>
      <c r="OQ308">
        <v>61</v>
      </c>
      <c r="OR308" t="s">
        <v>4526</v>
      </c>
      <c r="OS308">
        <v>2</v>
      </c>
      <c r="OT308">
        <v>1860</v>
      </c>
      <c r="OU308">
        <v>65</v>
      </c>
      <c r="OV308">
        <v>65</v>
      </c>
      <c r="OW308" t="s">
        <v>4426</v>
      </c>
      <c r="OX308">
        <v>1</v>
      </c>
      <c r="OY308">
        <v>38406</v>
      </c>
      <c r="OZ308">
        <v>51</v>
      </c>
      <c r="PA308">
        <v>52</v>
      </c>
      <c r="PB308" t="s">
        <v>4527</v>
      </c>
      <c r="PC308">
        <v>5</v>
      </c>
      <c r="PD308">
        <v>1891</v>
      </c>
      <c r="PF308">
        <v>320</v>
      </c>
      <c r="PG308">
        <v>29</v>
      </c>
      <c r="PH308">
        <v>302</v>
      </c>
      <c r="PI308">
        <v>29</v>
      </c>
      <c r="PJ308">
        <v>53.2</v>
      </c>
      <c r="PK308">
        <v>1675</v>
      </c>
      <c r="PL308">
        <v>1329.2</v>
      </c>
      <c r="PM308">
        <v>208.7</v>
      </c>
      <c r="PN308">
        <v>87.09999999999999</v>
      </c>
      <c r="PO308">
        <v>9.1</v>
      </c>
      <c r="PP308">
        <v>12</v>
      </c>
      <c r="PQ308">
        <v>2</v>
      </c>
      <c r="PR308">
        <v>1</v>
      </c>
      <c r="PS308">
        <v>7</v>
      </c>
      <c r="PT308">
        <v>210</v>
      </c>
      <c r="PU308">
        <v>9</v>
      </c>
      <c r="PV308" t="s">
        <v>4072</v>
      </c>
      <c r="PW308" t="s">
        <v>4072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-1</v>
      </c>
      <c r="QF308">
        <v>1</v>
      </c>
      <c r="QG308">
        <v>0</v>
      </c>
      <c r="QH308">
        <v>5</v>
      </c>
      <c r="QI308">
        <v>5</v>
      </c>
      <c r="QJ308">
        <v>5</v>
      </c>
      <c r="QK308">
        <v>191</v>
      </c>
      <c r="QL308">
        <v>382</v>
      </c>
      <c r="QM308">
        <v>7.5</v>
      </c>
      <c r="QN308">
        <v>1282.5</v>
      </c>
      <c r="QO308" t="s">
        <v>3491</v>
      </c>
      <c r="QP308" t="s">
        <v>513</v>
      </c>
      <c r="QQ308">
        <v>0</v>
      </c>
      <c r="QR308" t="s">
        <v>1343</v>
      </c>
      <c r="QS308">
        <v>40</v>
      </c>
      <c r="QT308">
        <v>50</v>
      </c>
    </row>
    <row r="309" spans="1:462">
      <c r="A309" t="s">
        <v>3581</v>
      </c>
      <c r="B309" t="s">
        <v>508</v>
      </c>
      <c r="C309" t="s">
        <v>509</v>
      </c>
      <c r="D309" t="s">
        <v>3579</v>
      </c>
      <c r="E309" t="s">
        <v>4036</v>
      </c>
      <c r="H309" t="s">
        <v>3580</v>
      </c>
      <c r="J309" t="s">
        <v>562</v>
      </c>
      <c r="M309" t="s">
        <v>512</v>
      </c>
      <c r="N309" t="s">
        <v>515</v>
      </c>
      <c r="O309" t="s">
        <v>513</v>
      </c>
      <c r="P309" t="s">
        <v>517</v>
      </c>
      <c r="Q309" t="s">
        <v>518</v>
      </c>
      <c r="R309" t="s">
        <v>519</v>
      </c>
      <c r="S309" t="s">
        <v>4037</v>
      </c>
      <c r="T309" t="s">
        <v>520</v>
      </c>
      <c r="U309" t="s">
        <v>521</v>
      </c>
      <c r="V309" t="s">
        <v>3098</v>
      </c>
      <c r="W309" t="s">
        <v>3582</v>
      </c>
      <c r="Y309" t="s">
        <v>3583</v>
      </c>
      <c r="Z309" t="s">
        <v>541</v>
      </c>
      <c r="AA309" t="s">
        <v>4038</v>
      </c>
      <c r="AB309" t="s">
        <v>5069</v>
      </c>
      <c r="AC309">
        <v>10</v>
      </c>
      <c r="AD309" t="s">
        <v>3578</v>
      </c>
      <c r="AE309">
        <v>1</v>
      </c>
      <c r="AF309">
        <v>3468</v>
      </c>
      <c r="AG309" t="s">
        <v>4902</v>
      </c>
      <c r="AH309">
        <v>1</v>
      </c>
      <c r="AI309" t="s">
        <v>4041</v>
      </c>
      <c r="AK309" t="s">
        <v>4903</v>
      </c>
      <c r="AL309">
        <v>1</v>
      </c>
      <c r="AM309" t="s">
        <v>582</v>
      </c>
      <c r="AO309" t="s">
        <v>4426</v>
      </c>
      <c r="AP309">
        <v>1</v>
      </c>
      <c r="AR309" t="s">
        <v>4904</v>
      </c>
      <c r="AS309">
        <v>1</v>
      </c>
      <c r="AT309">
        <v>51</v>
      </c>
      <c r="AV309" t="s">
        <v>4045</v>
      </c>
      <c r="AW309">
        <v>6.4</v>
      </c>
      <c r="AX309">
        <v>-6</v>
      </c>
      <c r="AY309">
        <v>76</v>
      </c>
      <c r="AZ309">
        <v>67</v>
      </c>
      <c r="BH309">
        <v>76</v>
      </c>
      <c r="BI309">
        <v>9</v>
      </c>
      <c r="BJ309">
        <v>67</v>
      </c>
      <c r="BK309">
        <v>3.5</v>
      </c>
      <c r="BL309">
        <v>152</v>
      </c>
      <c r="BM309">
        <v>-6</v>
      </c>
      <c r="BN309">
        <v>0</v>
      </c>
      <c r="BP309">
        <v>0</v>
      </c>
      <c r="BR309">
        <v>145</v>
      </c>
      <c r="BS309">
        <v>135</v>
      </c>
      <c r="BT309">
        <v>1700</v>
      </c>
      <c r="BU309" t="s">
        <v>4355</v>
      </c>
      <c r="BW309" t="s">
        <v>4356</v>
      </c>
      <c r="BY309" t="s">
        <v>4357</v>
      </c>
      <c r="BZ309" t="s">
        <v>4357</v>
      </c>
      <c r="CA309" t="s">
        <v>4051</v>
      </c>
      <c r="CB309" t="s">
        <v>4052</v>
      </c>
      <c r="CC309" t="s">
        <v>4053</v>
      </c>
      <c r="CD309" t="s">
        <v>4054</v>
      </c>
      <c r="CE309" t="s">
        <v>4055</v>
      </c>
      <c r="CF309" t="s">
        <v>4055</v>
      </c>
      <c r="CG309" t="s">
        <v>4056</v>
      </c>
      <c r="CH309" t="s">
        <v>4145</v>
      </c>
      <c r="CI309" t="s">
        <v>4058</v>
      </c>
      <c r="CJ309" t="s">
        <v>4610</v>
      </c>
      <c r="CK309" t="s">
        <v>4611</v>
      </c>
      <c r="CL309" t="s">
        <v>4612</v>
      </c>
      <c r="CM309" t="s">
        <v>4055</v>
      </c>
      <c r="CN309" t="s">
        <v>4062</v>
      </c>
      <c r="CO309" t="s">
        <v>4063</v>
      </c>
      <c r="CP309" t="s">
        <v>4055</v>
      </c>
      <c r="CQ309" t="s">
        <v>4055</v>
      </c>
      <c r="CR309">
        <v>5</v>
      </c>
      <c r="CS309" t="s">
        <v>4055</v>
      </c>
      <c r="CT309" t="s">
        <v>4055</v>
      </c>
      <c r="CU309" t="s">
        <v>4055</v>
      </c>
      <c r="CV309">
        <v>102</v>
      </c>
      <c r="CW309">
        <v>3</v>
      </c>
      <c r="CX309">
        <v>60</v>
      </c>
      <c r="CY309">
        <v>5</v>
      </c>
      <c r="CZ309">
        <v>114</v>
      </c>
      <c r="DA309">
        <v>5</v>
      </c>
      <c r="DB309">
        <v>7970</v>
      </c>
      <c r="DC309">
        <v>220</v>
      </c>
      <c r="DD309">
        <v>270</v>
      </c>
      <c r="DE309">
        <v>1794</v>
      </c>
      <c r="DF309">
        <v>1794</v>
      </c>
      <c r="DG309">
        <v>1807</v>
      </c>
      <c r="DH309" t="s">
        <v>4055</v>
      </c>
      <c r="DI309" t="s">
        <v>4055</v>
      </c>
      <c r="DJ309" t="s">
        <v>4100</v>
      </c>
      <c r="DK309">
        <v>145</v>
      </c>
      <c r="DL309" t="s">
        <v>4065</v>
      </c>
      <c r="DM309">
        <v>61</v>
      </c>
      <c r="DN309">
        <v>0.84</v>
      </c>
      <c r="DO309">
        <v>1</v>
      </c>
      <c r="DP309">
        <v>1703</v>
      </c>
      <c r="DQ309">
        <v>451</v>
      </c>
      <c r="DR309" t="s">
        <v>4100</v>
      </c>
      <c r="DS309">
        <v>135</v>
      </c>
      <c r="DT309" t="s">
        <v>4065</v>
      </c>
      <c r="DU309">
        <v>61</v>
      </c>
      <c r="DV309">
        <v>0.84</v>
      </c>
      <c r="DW309">
        <v>1</v>
      </c>
      <c r="DX309">
        <v>1710</v>
      </c>
      <c r="DY309">
        <v>422</v>
      </c>
      <c r="DZ309" t="s">
        <v>4066</v>
      </c>
      <c r="EA309">
        <v>33</v>
      </c>
      <c r="EB309" t="s">
        <v>4065</v>
      </c>
      <c r="EC309">
        <v>0.4</v>
      </c>
      <c r="ED309">
        <v>1703</v>
      </c>
      <c r="EE309">
        <v>49</v>
      </c>
      <c r="EF309" t="s">
        <v>4066</v>
      </c>
      <c r="EG309">
        <v>33</v>
      </c>
      <c r="EH309" t="s">
        <v>4065</v>
      </c>
      <c r="EI309">
        <v>0.4</v>
      </c>
      <c r="EJ309">
        <v>1710</v>
      </c>
      <c r="EK309">
        <v>50</v>
      </c>
      <c r="EL309" t="s">
        <v>4429</v>
      </c>
      <c r="EM309">
        <v>12</v>
      </c>
      <c r="EN309">
        <v>0.5</v>
      </c>
      <c r="EO309">
        <v>0.9</v>
      </c>
      <c r="EP309">
        <v>1710.56</v>
      </c>
      <c r="EQ309">
        <v>21916.55</v>
      </c>
      <c r="ER309">
        <v>2413.43</v>
      </c>
      <c r="ES309">
        <v>0</v>
      </c>
      <c r="ET309">
        <v>0</v>
      </c>
      <c r="EU309">
        <v>1</v>
      </c>
      <c r="EV309">
        <v>24330</v>
      </c>
      <c r="EW309">
        <v>292</v>
      </c>
      <c r="EX309" t="s">
        <v>4287</v>
      </c>
      <c r="EY309">
        <v>160</v>
      </c>
      <c r="EZ309" t="s">
        <v>4055</v>
      </c>
      <c r="FA309">
        <v>4.7</v>
      </c>
      <c r="FB309">
        <v>1</v>
      </c>
      <c r="FC309">
        <v>1</v>
      </c>
      <c r="FD309">
        <v>1746</v>
      </c>
      <c r="FE309">
        <v>1526</v>
      </c>
      <c r="FF309" t="s">
        <v>4288</v>
      </c>
      <c r="FG309">
        <v>160</v>
      </c>
      <c r="FH309" t="s">
        <v>4055</v>
      </c>
      <c r="FI309">
        <v>4.1</v>
      </c>
      <c r="FJ309">
        <v>1746</v>
      </c>
      <c r="FK309">
        <v>1382</v>
      </c>
      <c r="FL309" t="s">
        <v>4069</v>
      </c>
      <c r="FM309" t="s">
        <v>4055</v>
      </c>
      <c r="FN309" t="s">
        <v>4055</v>
      </c>
      <c r="FO309" t="s">
        <v>4055</v>
      </c>
      <c r="FP309">
        <v>1746</v>
      </c>
      <c r="FQ309">
        <v>175</v>
      </c>
      <c r="FR309" t="s">
        <v>4090</v>
      </c>
      <c r="FS309">
        <v>164</v>
      </c>
      <c r="FT309" t="s">
        <v>4055</v>
      </c>
      <c r="FU309">
        <v>0.4</v>
      </c>
      <c r="FV309">
        <v>1746</v>
      </c>
      <c r="FW309">
        <v>127</v>
      </c>
      <c r="FX309" t="s">
        <v>4070</v>
      </c>
      <c r="FY309">
        <v>5</v>
      </c>
      <c r="FZ309" t="s">
        <v>4055</v>
      </c>
      <c r="GA309" t="s">
        <v>4055</v>
      </c>
      <c r="GB309">
        <v>1746</v>
      </c>
      <c r="GC309">
        <v>19</v>
      </c>
      <c r="GD309">
        <v>3229</v>
      </c>
      <c r="GE309" t="s">
        <v>4904</v>
      </c>
      <c r="GF309" t="s">
        <v>4055</v>
      </c>
      <c r="GG309" t="s">
        <v>4055</v>
      </c>
      <c r="GH309" t="s">
        <v>4055</v>
      </c>
      <c r="GI309" t="s">
        <v>4071</v>
      </c>
      <c r="GJ309" t="s">
        <v>4055</v>
      </c>
      <c r="GK309" t="s">
        <v>4055</v>
      </c>
      <c r="GL309" t="s">
        <v>4055</v>
      </c>
      <c r="GM309" t="s">
        <v>4055</v>
      </c>
      <c r="GQ309">
        <v>0</v>
      </c>
      <c r="GV309">
        <v>9.199999999999999</v>
      </c>
      <c r="GW309">
        <v>11.2</v>
      </c>
      <c r="GX309">
        <v>0.5</v>
      </c>
      <c r="GY309">
        <v>142</v>
      </c>
      <c r="GZ309">
        <v>3</v>
      </c>
      <c r="HA309">
        <v>184</v>
      </c>
      <c r="HB309">
        <v>3</v>
      </c>
      <c r="HC309">
        <v>1746</v>
      </c>
      <c r="HD309">
        <v>4</v>
      </c>
      <c r="HE309" t="s">
        <v>4071</v>
      </c>
      <c r="HG309" t="s">
        <v>549</v>
      </c>
      <c r="HL309">
        <v>4</v>
      </c>
      <c r="HM309">
        <v>16</v>
      </c>
      <c r="HN309">
        <v>6</v>
      </c>
      <c r="HO309">
        <v>1</v>
      </c>
      <c r="HP309">
        <v>0</v>
      </c>
      <c r="HQ309">
        <v>0</v>
      </c>
      <c r="HR309">
        <v>2</v>
      </c>
      <c r="HS309">
        <v>1700</v>
      </c>
      <c r="HT309">
        <v>5</v>
      </c>
      <c r="HU309">
        <v>1</v>
      </c>
      <c r="HV309">
        <v>5</v>
      </c>
      <c r="HW309">
        <v>0</v>
      </c>
      <c r="HX309">
        <v>1</v>
      </c>
      <c r="HY309">
        <v>0</v>
      </c>
      <c r="HZ309">
        <v>61</v>
      </c>
      <c r="IA309">
        <v>1703</v>
      </c>
      <c r="IB309">
        <v>1710</v>
      </c>
      <c r="ID309">
        <v>1746</v>
      </c>
      <c r="IE309">
        <v>1746</v>
      </c>
      <c r="IF309">
        <v>145</v>
      </c>
      <c r="IG309">
        <v>135</v>
      </c>
      <c r="IH309">
        <v>184</v>
      </c>
      <c r="II309">
        <v>1</v>
      </c>
      <c r="IJ309">
        <v>5</v>
      </c>
      <c r="IK309">
        <v>0</v>
      </c>
      <c r="IL309">
        <v>1</v>
      </c>
      <c r="IM309">
        <v>0</v>
      </c>
      <c r="IN309">
        <v>270</v>
      </c>
      <c r="IO309">
        <v>0</v>
      </c>
      <c r="IP309">
        <v>180</v>
      </c>
      <c r="IQ309">
        <v>0</v>
      </c>
      <c r="IR309">
        <v>330</v>
      </c>
      <c r="IS309">
        <v>0</v>
      </c>
      <c r="IT309">
        <v>100</v>
      </c>
      <c r="IU309">
        <v>0</v>
      </c>
      <c r="IV309">
        <v>6.4</v>
      </c>
      <c r="IW309">
        <v>-6</v>
      </c>
      <c r="IX309">
        <v>76</v>
      </c>
      <c r="IY309">
        <v>67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322</v>
      </c>
      <c r="JJ309">
        <v>292</v>
      </c>
      <c r="JK309">
        <v>220</v>
      </c>
      <c r="JL309">
        <v>288</v>
      </c>
      <c r="JM309">
        <v>225</v>
      </c>
      <c r="JN309">
        <v>150</v>
      </c>
      <c r="JO309">
        <v>202</v>
      </c>
      <c r="JP309">
        <v>240</v>
      </c>
      <c r="JQ309">
        <v>290</v>
      </c>
      <c r="JR309">
        <v>352</v>
      </c>
      <c r="JS309">
        <v>280</v>
      </c>
      <c r="JT309">
        <v>0</v>
      </c>
      <c r="JU309">
        <v>0</v>
      </c>
      <c r="JV309">
        <v>335</v>
      </c>
      <c r="JW309">
        <v>337</v>
      </c>
      <c r="JX309">
        <v>346</v>
      </c>
      <c r="JY309">
        <v>310</v>
      </c>
      <c r="JZ309">
        <v>0.5</v>
      </c>
      <c r="KA309">
        <v>0.2</v>
      </c>
      <c r="KB309">
        <v>0.4</v>
      </c>
      <c r="KC309">
        <v>0.42</v>
      </c>
      <c r="KD309">
        <v>0.3</v>
      </c>
      <c r="KE309">
        <v>0.5</v>
      </c>
      <c r="KF309">
        <v>0.18</v>
      </c>
      <c r="KG309">
        <v>0.11</v>
      </c>
      <c r="KH309">
        <v>3.5</v>
      </c>
      <c r="KI309">
        <v>1</v>
      </c>
      <c r="KJ309">
        <v>4.5</v>
      </c>
      <c r="KK309">
        <v>0</v>
      </c>
      <c r="KL309">
        <v>4.5</v>
      </c>
      <c r="KM309">
        <v>0</v>
      </c>
      <c r="KN309">
        <v>1.3</v>
      </c>
      <c r="KO309">
        <v>1</v>
      </c>
      <c r="KP309">
        <v>1.2</v>
      </c>
      <c r="KQ309">
        <v>0.7</v>
      </c>
      <c r="KR309">
        <v>1</v>
      </c>
      <c r="KS309">
        <v>0</v>
      </c>
      <c r="KT309">
        <v>2.3</v>
      </c>
      <c r="KU309">
        <v>0</v>
      </c>
      <c r="KV309">
        <v>0</v>
      </c>
      <c r="KW309">
        <v>1.2</v>
      </c>
      <c r="KX309">
        <v>2</v>
      </c>
      <c r="KY309">
        <v>0</v>
      </c>
      <c r="KZ309">
        <v>3.5</v>
      </c>
      <c r="LA309">
        <v>2</v>
      </c>
      <c r="LB309">
        <v>10</v>
      </c>
      <c r="LC309">
        <v>3.5</v>
      </c>
      <c r="LD309">
        <v>3</v>
      </c>
      <c r="LE309">
        <v>2</v>
      </c>
      <c r="LF309">
        <v>0</v>
      </c>
      <c r="LG309">
        <v>0</v>
      </c>
      <c r="LH309">
        <v>3</v>
      </c>
      <c r="LI309">
        <v>0.5</v>
      </c>
      <c r="LJ309">
        <v>0.1</v>
      </c>
      <c r="LK309">
        <v>6</v>
      </c>
      <c r="LL309">
        <v>4</v>
      </c>
      <c r="LM309">
        <v>10</v>
      </c>
      <c r="LN309">
        <v>0.1</v>
      </c>
      <c r="LO309">
        <v>0.1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12</v>
      </c>
      <c r="MC309">
        <v>0</v>
      </c>
      <c r="MD309">
        <v>4.5</v>
      </c>
      <c r="ME309">
        <v>6</v>
      </c>
      <c r="MF309">
        <v>6</v>
      </c>
      <c r="MN309">
        <v>140</v>
      </c>
      <c r="MO309">
        <v>182</v>
      </c>
      <c r="NU309">
        <v>0.15</v>
      </c>
      <c r="NV309">
        <v>0.25</v>
      </c>
      <c r="NW309">
        <v>0.3</v>
      </c>
      <c r="NX309">
        <v>2</v>
      </c>
      <c r="NY309">
        <v>2</v>
      </c>
      <c r="NZ309">
        <v>2</v>
      </c>
      <c r="OE309" t="s">
        <v>4904</v>
      </c>
      <c r="OF309" t="s">
        <v>4902</v>
      </c>
      <c r="OG309" t="s">
        <v>4903</v>
      </c>
      <c r="OH309" t="s">
        <v>4426</v>
      </c>
      <c r="OI309" t="s">
        <v>4904</v>
      </c>
      <c r="OJ309" t="s">
        <v>5069</v>
      </c>
      <c r="OK309">
        <v>61</v>
      </c>
      <c r="OL309">
        <v>61</v>
      </c>
      <c r="OM309" t="s">
        <v>4902</v>
      </c>
      <c r="ON309">
        <v>1</v>
      </c>
      <c r="OO309">
        <v>1703</v>
      </c>
      <c r="OP309">
        <v>61</v>
      </c>
      <c r="OQ309">
        <v>61</v>
      </c>
      <c r="OR309" t="s">
        <v>4903</v>
      </c>
      <c r="OS309">
        <v>1</v>
      </c>
      <c r="OT309">
        <v>1710</v>
      </c>
      <c r="OU309">
        <v>65</v>
      </c>
      <c r="OV309">
        <v>65</v>
      </c>
      <c r="OW309" t="s">
        <v>4426</v>
      </c>
      <c r="OX309">
        <v>1</v>
      </c>
      <c r="OY309">
        <v>24330</v>
      </c>
      <c r="OZ309">
        <v>51</v>
      </c>
      <c r="PA309">
        <v>51</v>
      </c>
      <c r="PB309" t="s">
        <v>4904</v>
      </c>
      <c r="PC309">
        <v>1</v>
      </c>
      <c r="PD309">
        <v>1746</v>
      </c>
      <c r="PF309">
        <v>265</v>
      </c>
      <c r="PG309">
        <v>29</v>
      </c>
      <c r="PH309">
        <v>247</v>
      </c>
      <c r="PI309">
        <v>29</v>
      </c>
      <c r="PJ309">
        <v>100</v>
      </c>
      <c r="PL309">
        <v>873.9</v>
      </c>
      <c r="PM309">
        <v>791.6</v>
      </c>
      <c r="PN309">
        <v>72.8</v>
      </c>
      <c r="PO309">
        <v>10.7</v>
      </c>
      <c r="PP309">
        <v>12</v>
      </c>
      <c r="PQ309">
        <v>2</v>
      </c>
      <c r="PR309" t="s">
        <v>4465</v>
      </c>
      <c r="PS309">
        <v>6</v>
      </c>
      <c r="PT309">
        <v>184</v>
      </c>
      <c r="PU309">
        <v>12</v>
      </c>
      <c r="PV309" t="s">
        <v>4882</v>
      </c>
      <c r="PW309" t="s">
        <v>4882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-1</v>
      </c>
      <c r="QF309">
        <v>1</v>
      </c>
      <c r="QG309">
        <v>0</v>
      </c>
      <c r="QH309">
        <v>5</v>
      </c>
      <c r="QI309">
        <v>5</v>
      </c>
      <c r="QJ309">
        <v>5</v>
      </c>
      <c r="QK309">
        <v>153</v>
      </c>
      <c r="QL309">
        <v>352</v>
      </c>
      <c r="QM309">
        <v>7.5</v>
      </c>
      <c r="QN309">
        <v>1123</v>
      </c>
      <c r="QO309" t="s">
        <v>3491</v>
      </c>
      <c r="QP309" t="s">
        <v>513</v>
      </c>
      <c r="QQ309">
        <v>0</v>
      </c>
      <c r="QR309" t="s">
        <v>540</v>
      </c>
    </row>
    <row r="310" spans="1:462">
      <c r="A310" t="s">
        <v>3588</v>
      </c>
      <c r="B310" t="s">
        <v>508</v>
      </c>
      <c r="C310" t="s">
        <v>509</v>
      </c>
      <c r="D310" t="s">
        <v>3579</v>
      </c>
      <c r="E310" t="s">
        <v>4036</v>
      </c>
      <c r="H310" t="s">
        <v>3580</v>
      </c>
      <c r="J310" t="s">
        <v>562</v>
      </c>
      <c r="M310" t="s">
        <v>512</v>
      </c>
      <c r="N310" t="s">
        <v>515</v>
      </c>
      <c r="O310" t="s">
        <v>513</v>
      </c>
      <c r="P310" t="s">
        <v>517</v>
      </c>
      <c r="Q310" t="s">
        <v>518</v>
      </c>
      <c r="R310" t="s">
        <v>519</v>
      </c>
      <c r="S310" t="s">
        <v>4037</v>
      </c>
      <c r="T310" t="s">
        <v>520</v>
      </c>
      <c r="U310" t="s">
        <v>521</v>
      </c>
      <c r="V310" t="s">
        <v>3098</v>
      </c>
      <c r="W310" t="s">
        <v>3582</v>
      </c>
      <c r="Y310" t="s">
        <v>3589</v>
      </c>
      <c r="Z310" t="s">
        <v>541</v>
      </c>
      <c r="AA310" t="s">
        <v>4038</v>
      </c>
      <c r="AB310" t="s">
        <v>5070</v>
      </c>
      <c r="AC310">
        <v>10</v>
      </c>
      <c r="AD310" t="s">
        <v>3587</v>
      </c>
      <c r="AE310">
        <v>1</v>
      </c>
      <c r="AF310">
        <v>3468</v>
      </c>
      <c r="AG310" t="s">
        <v>4902</v>
      </c>
      <c r="AH310">
        <v>1</v>
      </c>
      <c r="AI310" t="s">
        <v>4041</v>
      </c>
      <c r="AK310" t="s">
        <v>4903</v>
      </c>
      <c r="AL310">
        <v>1</v>
      </c>
      <c r="AM310" t="s">
        <v>582</v>
      </c>
      <c r="AO310" t="s">
        <v>4426</v>
      </c>
      <c r="AP310">
        <v>1</v>
      </c>
      <c r="AR310" t="s">
        <v>4904</v>
      </c>
      <c r="AS310">
        <v>1</v>
      </c>
      <c r="AT310">
        <v>51</v>
      </c>
      <c r="AV310" t="s">
        <v>4045</v>
      </c>
      <c r="AW310">
        <v>6.4</v>
      </c>
      <c r="AX310">
        <v>-6</v>
      </c>
      <c r="AY310">
        <v>76</v>
      </c>
      <c r="AZ310">
        <v>67</v>
      </c>
      <c r="BH310">
        <v>76</v>
      </c>
      <c r="BI310">
        <v>9</v>
      </c>
      <c r="BJ310">
        <v>67</v>
      </c>
      <c r="BK310">
        <v>3.5</v>
      </c>
      <c r="BL310">
        <v>152</v>
      </c>
      <c r="BM310">
        <v>-6</v>
      </c>
      <c r="BN310">
        <v>0</v>
      </c>
      <c r="BP310">
        <v>0</v>
      </c>
      <c r="BR310">
        <v>145</v>
      </c>
      <c r="BS310">
        <v>135</v>
      </c>
      <c r="BT310">
        <v>1700</v>
      </c>
      <c r="BU310" t="s">
        <v>4355</v>
      </c>
      <c r="BW310" t="s">
        <v>4356</v>
      </c>
      <c r="BY310" t="s">
        <v>4357</v>
      </c>
      <c r="BZ310" t="s">
        <v>4357</v>
      </c>
      <c r="CA310" t="s">
        <v>4051</v>
      </c>
      <c r="CB310" t="s">
        <v>4052</v>
      </c>
      <c r="CC310" t="s">
        <v>4053</v>
      </c>
      <c r="CD310" t="s">
        <v>4054</v>
      </c>
      <c r="CE310" t="s">
        <v>4055</v>
      </c>
      <c r="CF310" t="s">
        <v>4055</v>
      </c>
      <c r="CG310" t="s">
        <v>4056</v>
      </c>
      <c r="CH310" t="s">
        <v>4145</v>
      </c>
      <c r="CI310" t="s">
        <v>4058</v>
      </c>
      <c r="CJ310" t="s">
        <v>4610</v>
      </c>
      <c r="CK310" t="s">
        <v>4611</v>
      </c>
      <c r="CL310" t="s">
        <v>4612</v>
      </c>
      <c r="CM310" t="s">
        <v>4055</v>
      </c>
      <c r="CN310" t="s">
        <v>4062</v>
      </c>
      <c r="CO310" t="s">
        <v>4063</v>
      </c>
      <c r="CP310" t="s">
        <v>4055</v>
      </c>
      <c r="CQ310" t="s">
        <v>4055</v>
      </c>
      <c r="CR310">
        <v>5</v>
      </c>
      <c r="CS310" t="s">
        <v>4055</v>
      </c>
      <c r="CT310" t="s">
        <v>4055</v>
      </c>
      <c r="CU310" t="s">
        <v>4055</v>
      </c>
      <c r="CV310">
        <v>102</v>
      </c>
      <c r="CW310">
        <v>3</v>
      </c>
      <c r="CX310">
        <v>60</v>
      </c>
      <c r="CY310">
        <v>5</v>
      </c>
      <c r="CZ310">
        <v>114</v>
      </c>
      <c r="DA310">
        <v>5</v>
      </c>
      <c r="DB310">
        <v>7970</v>
      </c>
      <c r="DC310">
        <v>220</v>
      </c>
      <c r="DD310">
        <v>270</v>
      </c>
      <c r="DE310">
        <v>1794</v>
      </c>
      <c r="DF310">
        <v>1794</v>
      </c>
      <c r="DG310">
        <v>1807</v>
      </c>
      <c r="DH310" t="s">
        <v>4055</v>
      </c>
      <c r="DI310" t="s">
        <v>4055</v>
      </c>
      <c r="DJ310" t="s">
        <v>4100</v>
      </c>
      <c r="DK310">
        <v>145</v>
      </c>
      <c r="DL310" t="s">
        <v>4065</v>
      </c>
      <c r="DM310">
        <v>61</v>
      </c>
      <c r="DN310">
        <v>0.84</v>
      </c>
      <c r="DO310">
        <v>1</v>
      </c>
      <c r="DP310">
        <v>1703</v>
      </c>
      <c r="DQ310">
        <v>451</v>
      </c>
      <c r="DR310" t="s">
        <v>4100</v>
      </c>
      <c r="DS310">
        <v>135</v>
      </c>
      <c r="DT310" t="s">
        <v>4065</v>
      </c>
      <c r="DU310">
        <v>61</v>
      </c>
      <c r="DV310">
        <v>0.84</v>
      </c>
      <c r="DW310">
        <v>1</v>
      </c>
      <c r="DX310">
        <v>1710</v>
      </c>
      <c r="DY310">
        <v>422</v>
      </c>
      <c r="DZ310" t="s">
        <v>4066</v>
      </c>
      <c r="EA310">
        <v>33</v>
      </c>
      <c r="EB310" t="s">
        <v>4065</v>
      </c>
      <c r="EC310">
        <v>0.4</v>
      </c>
      <c r="ED310">
        <v>1703</v>
      </c>
      <c r="EE310">
        <v>49</v>
      </c>
      <c r="EF310" t="s">
        <v>4066</v>
      </c>
      <c r="EG310">
        <v>33</v>
      </c>
      <c r="EH310" t="s">
        <v>4065</v>
      </c>
      <c r="EI310">
        <v>0.4</v>
      </c>
      <c r="EJ310">
        <v>1710</v>
      </c>
      <c r="EK310">
        <v>50</v>
      </c>
      <c r="EL310" t="s">
        <v>4429</v>
      </c>
      <c r="EM310">
        <v>12</v>
      </c>
      <c r="EN310">
        <v>0.5</v>
      </c>
      <c r="EO310">
        <v>0.9</v>
      </c>
      <c r="EP310">
        <v>1710.56</v>
      </c>
      <c r="EQ310">
        <v>21916.55</v>
      </c>
      <c r="ER310">
        <v>2413.43</v>
      </c>
      <c r="ES310">
        <v>0</v>
      </c>
      <c r="ET310">
        <v>0</v>
      </c>
      <c r="EU310">
        <v>1</v>
      </c>
      <c r="EV310">
        <v>24330</v>
      </c>
      <c r="EW310">
        <v>292</v>
      </c>
      <c r="EX310" t="s">
        <v>4287</v>
      </c>
      <c r="EY310">
        <v>160</v>
      </c>
      <c r="EZ310" t="s">
        <v>4055</v>
      </c>
      <c r="FA310">
        <v>4.7</v>
      </c>
      <c r="FB310">
        <v>1</v>
      </c>
      <c r="FC310">
        <v>1</v>
      </c>
      <c r="FD310">
        <v>1746</v>
      </c>
      <c r="FE310">
        <v>1526</v>
      </c>
      <c r="FF310" t="s">
        <v>4288</v>
      </c>
      <c r="FG310">
        <v>160</v>
      </c>
      <c r="FH310" t="s">
        <v>4055</v>
      </c>
      <c r="FI310">
        <v>4.1</v>
      </c>
      <c r="FJ310">
        <v>1746</v>
      </c>
      <c r="FK310">
        <v>1382</v>
      </c>
      <c r="FL310" t="s">
        <v>4069</v>
      </c>
      <c r="FM310" t="s">
        <v>4055</v>
      </c>
      <c r="FN310" t="s">
        <v>4055</v>
      </c>
      <c r="FO310" t="s">
        <v>4055</v>
      </c>
      <c r="FP310">
        <v>1746</v>
      </c>
      <c r="FQ310">
        <v>175</v>
      </c>
      <c r="FR310" t="s">
        <v>4090</v>
      </c>
      <c r="FS310">
        <v>164</v>
      </c>
      <c r="FT310" t="s">
        <v>4055</v>
      </c>
      <c r="FU310">
        <v>0.4</v>
      </c>
      <c r="FV310">
        <v>1746</v>
      </c>
      <c r="FW310">
        <v>127</v>
      </c>
      <c r="FX310" t="s">
        <v>4070</v>
      </c>
      <c r="FY310">
        <v>5</v>
      </c>
      <c r="FZ310" t="s">
        <v>4055</v>
      </c>
      <c r="GA310" t="s">
        <v>4055</v>
      </c>
      <c r="GB310">
        <v>1746</v>
      </c>
      <c r="GC310">
        <v>19</v>
      </c>
      <c r="GD310">
        <v>3229</v>
      </c>
      <c r="GE310" t="s">
        <v>4904</v>
      </c>
      <c r="GF310" t="s">
        <v>4055</v>
      </c>
      <c r="GG310" t="s">
        <v>4055</v>
      </c>
      <c r="GH310" t="s">
        <v>4055</v>
      </c>
      <c r="GI310" t="s">
        <v>4071</v>
      </c>
      <c r="GJ310" t="s">
        <v>4055</v>
      </c>
      <c r="GK310" t="s">
        <v>4055</v>
      </c>
      <c r="GL310" t="s">
        <v>4055</v>
      </c>
      <c r="GM310" t="s">
        <v>4055</v>
      </c>
      <c r="GQ310">
        <v>0</v>
      </c>
      <c r="GV310">
        <v>9.199999999999999</v>
      </c>
      <c r="GW310">
        <v>11.2</v>
      </c>
      <c r="GX310">
        <v>0.5</v>
      </c>
      <c r="GY310">
        <v>142</v>
      </c>
      <c r="GZ310">
        <v>3</v>
      </c>
      <c r="HA310">
        <v>184</v>
      </c>
      <c r="HB310">
        <v>3</v>
      </c>
      <c r="HC310">
        <v>1746</v>
      </c>
      <c r="HD310">
        <v>4</v>
      </c>
      <c r="HE310" t="s">
        <v>4071</v>
      </c>
      <c r="HG310" t="s">
        <v>549</v>
      </c>
      <c r="HL310">
        <v>4</v>
      </c>
      <c r="HM310">
        <v>16</v>
      </c>
      <c r="HN310">
        <v>6</v>
      </c>
      <c r="HO310">
        <v>1</v>
      </c>
      <c r="HP310">
        <v>0</v>
      </c>
      <c r="HQ310">
        <v>0</v>
      </c>
      <c r="HR310">
        <v>2</v>
      </c>
      <c r="HS310">
        <v>1700</v>
      </c>
      <c r="HT310">
        <v>5</v>
      </c>
      <c r="HU310">
        <v>1</v>
      </c>
      <c r="HV310">
        <v>5</v>
      </c>
      <c r="HW310">
        <v>0</v>
      </c>
      <c r="HX310">
        <v>1</v>
      </c>
      <c r="HY310">
        <v>0</v>
      </c>
      <c r="HZ310">
        <v>61</v>
      </c>
      <c r="IA310">
        <v>1703</v>
      </c>
      <c r="IB310">
        <v>1710</v>
      </c>
      <c r="ID310">
        <v>1746</v>
      </c>
      <c r="IE310">
        <v>1746</v>
      </c>
      <c r="IF310">
        <v>145</v>
      </c>
      <c r="IG310">
        <v>135</v>
      </c>
      <c r="IH310">
        <v>184</v>
      </c>
      <c r="II310">
        <v>1</v>
      </c>
      <c r="IJ310">
        <v>5</v>
      </c>
      <c r="IK310">
        <v>0</v>
      </c>
      <c r="IL310">
        <v>1</v>
      </c>
      <c r="IM310">
        <v>0</v>
      </c>
      <c r="IN310">
        <v>270</v>
      </c>
      <c r="IO310">
        <v>0</v>
      </c>
      <c r="IP310">
        <v>180</v>
      </c>
      <c r="IQ310">
        <v>0</v>
      </c>
      <c r="IR310">
        <v>330</v>
      </c>
      <c r="IS310">
        <v>0</v>
      </c>
      <c r="IT310">
        <v>100</v>
      </c>
      <c r="IU310">
        <v>0</v>
      </c>
      <c r="IV310">
        <v>6.4</v>
      </c>
      <c r="IW310">
        <v>-6</v>
      </c>
      <c r="IX310">
        <v>76</v>
      </c>
      <c r="IY310">
        <v>67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322</v>
      </c>
      <c r="JJ310">
        <v>292</v>
      </c>
      <c r="JK310">
        <v>220</v>
      </c>
      <c r="JL310">
        <v>288</v>
      </c>
      <c r="JM310">
        <v>225</v>
      </c>
      <c r="JN310">
        <v>150</v>
      </c>
      <c r="JO310">
        <v>202</v>
      </c>
      <c r="JP310">
        <v>240</v>
      </c>
      <c r="JQ310">
        <v>290</v>
      </c>
      <c r="JR310">
        <v>352</v>
      </c>
      <c r="JS310">
        <v>280</v>
      </c>
      <c r="JT310">
        <v>0</v>
      </c>
      <c r="JU310">
        <v>0</v>
      </c>
      <c r="JV310">
        <v>335</v>
      </c>
      <c r="JW310">
        <v>337</v>
      </c>
      <c r="JX310">
        <v>346</v>
      </c>
      <c r="JY310">
        <v>310</v>
      </c>
      <c r="JZ310">
        <v>0.5</v>
      </c>
      <c r="KA310">
        <v>0.2</v>
      </c>
      <c r="KB310">
        <v>0.4</v>
      </c>
      <c r="KC310">
        <v>0.42</v>
      </c>
      <c r="KD310">
        <v>0.3</v>
      </c>
      <c r="KE310">
        <v>0.5</v>
      </c>
      <c r="KF310">
        <v>0.18</v>
      </c>
      <c r="KG310">
        <v>0.11</v>
      </c>
      <c r="KH310">
        <v>3.5</v>
      </c>
      <c r="KI310">
        <v>1</v>
      </c>
      <c r="KJ310">
        <v>4.5</v>
      </c>
      <c r="KK310">
        <v>0</v>
      </c>
      <c r="KL310">
        <v>4.5</v>
      </c>
      <c r="KM310">
        <v>0</v>
      </c>
      <c r="KN310">
        <v>1.3</v>
      </c>
      <c r="KO310">
        <v>1</v>
      </c>
      <c r="KP310">
        <v>1.2</v>
      </c>
      <c r="KQ310">
        <v>0.7</v>
      </c>
      <c r="KR310">
        <v>1</v>
      </c>
      <c r="KS310">
        <v>0</v>
      </c>
      <c r="KT310">
        <v>2.3</v>
      </c>
      <c r="KU310">
        <v>0</v>
      </c>
      <c r="KV310">
        <v>0</v>
      </c>
      <c r="KW310">
        <v>1.2</v>
      </c>
      <c r="KX310">
        <v>2</v>
      </c>
      <c r="KY310">
        <v>0</v>
      </c>
      <c r="KZ310">
        <v>3.5</v>
      </c>
      <c r="LA310">
        <v>2</v>
      </c>
      <c r="LB310">
        <v>10</v>
      </c>
      <c r="LC310">
        <v>3.5</v>
      </c>
      <c r="LD310">
        <v>3</v>
      </c>
      <c r="LE310">
        <v>2</v>
      </c>
      <c r="LF310">
        <v>0</v>
      </c>
      <c r="LG310">
        <v>0</v>
      </c>
      <c r="LH310">
        <v>3</v>
      </c>
      <c r="LI310">
        <v>0.5</v>
      </c>
      <c r="LJ310">
        <v>0.1</v>
      </c>
      <c r="LK310">
        <v>6</v>
      </c>
      <c r="LL310">
        <v>4</v>
      </c>
      <c r="LM310">
        <v>10</v>
      </c>
      <c r="LN310">
        <v>0.1</v>
      </c>
      <c r="LO310">
        <v>0.1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12</v>
      </c>
      <c r="MC310">
        <v>0</v>
      </c>
      <c r="MD310">
        <v>4.5</v>
      </c>
      <c r="ME310">
        <v>6</v>
      </c>
      <c r="MF310">
        <v>6</v>
      </c>
      <c r="MN310">
        <v>140</v>
      </c>
      <c r="MO310">
        <v>182</v>
      </c>
      <c r="NU310">
        <v>0.15</v>
      </c>
      <c r="NV310">
        <v>0.25</v>
      </c>
      <c r="NW310">
        <v>0.3</v>
      </c>
      <c r="NX310">
        <v>2</v>
      </c>
      <c r="NY310">
        <v>2</v>
      </c>
      <c r="NZ310">
        <v>2</v>
      </c>
      <c r="OE310" t="s">
        <v>4904</v>
      </c>
      <c r="OF310" t="s">
        <v>4902</v>
      </c>
      <c r="OG310" t="s">
        <v>4903</v>
      </c>
      <c r="OH310" t="s">
        <v>4426</v>
      </c>
      <c r="OI310" t="s">
        <v>4904</v>
      </c>
      <c r="OJ310" t="s">
        <v>5070</v>
      </c>
      <c r="OK310">
        <v>61</v>
      </c>
      <c r="OL310">
        <v>61</v>
      </c>
      <c r="OM310" t="s">
        <v>4902</v>
      </c>
      <c r="ON310">
        <v>1</v>
      </c>
      <c r="OO310">
        <v>1703</v>
      </c>
      <c r="OP310">
        <v>61</v>
      </c>
      <c r="OQ310">
        <v>61</v>
      </c>
      <c r="OR310" t="s">
        <v>4903</v>
      </c>
      <c r="OS310">
        <v>1</v>
      </c>
      <c r="OT310">
        <v>1710</v>
      </c>
      <c r="OU310">
        <v>65</v>
      </c>
      <c r="OV310">
        <v>65</v>
      </c>
      <c r="OW310" t="s">
        <v>4426</v>
      </c>
      <c r="OX310">
        <v>1</v>
      </c>
      <c r="OY310">
        <v>24330</v>
      </c>
      <c r="OZ310">
        <v>51</v>
      </c>
      <c r="PA310">
        <v>51</v>
      </c>
      <c r="PB310" t="s">
        <v>4904</v>
      </c>
      <c r="PC310">
        <v>1</v>
      </c>
      <c r="PD310">
        <v>1746</v>
      </c>
      <c r="PF310">
        <v>265</v>
      </c>
      <c r="PG310">
        <v>29</v>
      </c>
      <c r="PH310">
        <v>247</v>
      </c>
      <c r="PI310">
        <v>29</v>
      </c>
      <c r="PJ310">
        <v>100</v>
      </c>
      <c r="PL310">
        <v>873.9</v>
      </c>
      <c r="PM310">
        <v>791.6</v>
      </c>
      <c r="PN310">
        <v>72.8</v>
      </c>
      <c r="PO310">
        <v>10.7</v>
      </c>
      <c r="PP310">
        <v>12</v>
      </c>
      <c r="PQ310">
        <v>2</v>
      </c>
      <c r="PR310" t="s">
        <v>4465</v>
      </c>
      <c r="PS310">
        <v>6</v>
      </c>
      <c r="PT310">
        <v>184</v>
      </c>
      <c r="PU310">
        <v>12</v>
      </c>
      <c r="PV310" t="s">
        <v>4882</v>
      </c>
      <c r="PW310" t="s">
        <v>4882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-1</v>
      </c>
      <c r="QF310">
        <v>1</v>
      </c>
      <c r="QG310">
        <v>0</v>
      </c>
      <c r="QH310">
        <v>5</v>
      </c>
      <c r="QI310">
        <v>5</v>
      </c>
      <c r="QJ310">
        <v>5</v>
      </c>
      <c r="QK310">
        <v>153</v>
      </c>
      <c r="QL310">
        <v>352</v>
      </c>
      <c r="QM310">
        <v>7.5</v>
      </c>
      <c r="QN310">
        <v>1123</v>
      </c>
      <c r="QO310" t="s">
        <v>3491</v>
      </c>
      <c r="QP310" t="s">
        <v>513</v>
      </c>
      <c r="QQ310">
        <v>0</v>
      </c>
      <c r="QR310" t="s">
        <v>540</v>
      </c>
    </row>
    <row r="311" spans="1:462">
      <c r="A311" t="s">
        <v>3591</v>
      </c>
      <c r="B311" t="s">
        <v>508</v>
      </c>
      <c r="C311" t="s">
        <v>509</v>
      </c>
      <c r="D311" t="s">
        <v>3579</v>
      </c>
      <c r="E311" t="s">
        <v>4036</v>
      </c>
      <c r="H311" t="s">
        <v>3580</v>
      </c>
      <c r="J311" t="s">
        <v>562</v>
      </c>
      <c r="M311" t="s">
        <v>512</v>
      </c>
      <c r="N311" t="s">
        <v>515</v>
      </c>
      <c r="O311" t="s">
        <v>513</v>
      </c>
      <c r="P311" t="s">
        <v>517</v>
      </c>
      <c r="Q311" t="s">
        <v>518</v>
      </c>
      <c r="R311" t="s">
        <v>519</v>
      </c>
      <c r="S311" t="s">
        <v>4037</v>
      </c>
      <c r="T311" t="s">
        <v>520</v>
      </c>
      <c r="U311" t="s">
        <v>521</v>
      </c>
      <c r="V311" t="s">
        <v>3098</v>
      </c>
      <c r="W311" t="s">
        <v>3582</v>
      </c>
      <c r="Y311" t="s">
        <v>3592</v>
      </c>
      <c r="Z311" t="s">
        <v>541</v>
      </c>
      <c r="AA311" t="s">
        <v>4038</v>
      </c>
      <c r="AB311" t="s">
        <v>5071</v>
      </c>
      <c r="AC311">
        <v>10</v>
      </c>
      <c r="AD311" t="s">
        <v>3590</v>
      </c>
      <c r="AE311">
        <v>1</v>
      </c>
      <c r="AF311">
        <v>3468</v>
      </c>
      <c r="AG311" t="s">
        <v>4902</v>
      </c>
      <c r="AH311">
        <v>1</v>
      </c>
      <c r="AI311" t="s">
        <v>4041</v>
      </c>
      <c r="AK311" t="s">
        <v>4903</v>
      </c>
      <c r="AL311">
        <v>1</v>
      </c>
      <c r="AM311" t="s">
        <v>582</v>
      </c>
      <c r="AO311" t="s">
        <v>4426</v>
      </c>
      <c r="AP311">
        <v>1</v>
      </c>
      <c r="AR311" t="s">
        <v>4904</v>
      </c>
      <c r="AS311">
        <v>1</v>
      </c>
      <c r="AT311">
        <v>51</v>
      </c>
      <c r="AV311" t="s">
        <v>4045</v>
      </c>
      <c r="AW311">
        <v>6.4</v>
      </c>
      <c r="AX311">
        <v>-6</v>
      </c>
      <c r="AY311">
        <v>76</v>
      </c>
      <c r="AZ311">
        <v>67</v>
      </c>
      <c r="BH311">
        <v>76</v>
      </c>
      <c r="BI311">
        <v>9</v>
      </c>
      <c r="BJ311">
        <v>67</v>
      </c>
      <c r="BK311">
        <v>3.5</v>
      </c>
      <c r="BL311">
        <v>152</v>
      </c>
      <c r="BM311">
        <v>-6</v>
      </c>
      <c r="BN311">
        <v>0</v>
      </c>
      <c r="BP311">
        <v>0</v>
      </c>
      <c r="BR311">
        <v>145</v>
      </c>
      <c r="BS311">
        <v>135</v>
      </c>
      <c r="BT311">
        <v>1700</v>
      </c>
      <c r="BU311" t="s">
        <v>4355</v>
      </c>
      <c r="BW311" t="s">
        <v>4356</v>
      </c>
      <c r="BY311" t="s">
        <v>4357</v>
      </c>
      <c r="BZ311" t="s">
        <v>4357</v>
      </c>
      <c r="CA311" t="s">
        <v>4051</v>
      </c>
      <c r="CB311" t="s">
        <v>4052</v>
      </c>
      <c r="CC311" t="s">
        <v>4053</v>
      </c>
      <c r="CD311" t="s">
        <v>4054</v>
      </c>
      <c r="CE311" t="s">
        <v>4055</v>
      </c>
      <c r="CF311" t="s">
        <v>4055</v>
      </c>
      <c r="CG311" t="s">
        <v>4056</v>
      </c>
      <c r="CH311" t="s">
        <v>4145</v>
      </c>
      <c r="CI311" t="s">
        <v>4058</v>
      </c>
      <c r="CJ311" t="s">
        <v>4610</v>
      </c>
      <c r="CK311" t="s">
        <v>4611</v>
      </c>
      <c r="CL311" t="s">
        <v>4612</v>
      </c>
      <c r="CM311" t="s">
        <v>4055</v>
      </c>
      <c r="CN311" t="s">
        <v>4062</v>
      </c>
      <c r="CO311" t="s">
        <v>4063</v>
      </c>
      <c r="CP311" t="s">
        <v>4055</v>
      </c>
      <c r="CQ311" t="s">
        <v>4055</v>
      </c>
      <c r="CR311">
        <v>5</v>
      </c>
      <c r="CS311" t="s">
        <v>4055</v>
      </c>
      <c r="CT311" t="s">
        <v>4055</v>
      </c>
      <c r="CU311" t="s">
        <v>4055</v>
      </c>
      <c r="CV311">
        <v>102</v>
      </c>
      <c r="CW311">
        <v>3</v>
      </c>
      <c r="CX311">
        <v>60</v>
      </c>
      <c r="CY311">
        <v>5</v>
      </c>
      <c r="CZ311">
        <v>114</v>
      </c>
      <c r="DA311">
        <v>5</v>
      </c>
      <c r="DB311">
        <v>7970</v>
      </c>
      <c r="DC311">
        <v>220</v>
      </c>
      <c r="DD311">
        <v>270</v>
      </c>
      <c r="DE311">
        <v>1794</v>
      </c>
      <c r="DF311">
        <v>1794</v>
      </c>
      <c r="DG311">
        <v>1807</v>
      </c>
      <c r="DH311" t="s">
        <v>4055</v>
      </c>
      <c r="DI311" t="s">
        <v>4055</v>
      </c>
      <c r="DJ311" t="s">
        <v>4100</v>
      </c>
      <c r="DK311">
        <v>145</v>
      </c>
      <c r="DL311" t="s">
        <v>4065</v>
      </c>
      <c r="DM311">
        <v>61</v>
      </c>
      <c r="DN311">
        <v>0.84</v>
      </c>
      <c r="DO311">
        <v>1</v>
      </c>
      <c r="DP311">
        <v>1703</v>
      </c>
      <c r="DQ311">
        <v>451</v>
      </c>
      <c r="DR311" t="s">
        <v>4100</v>
      </c>
      <c r="DS311">
        <v>135</v>
      </c>
      <c r="DT311" t="s">
        <v>4065</v>
      </c>
      <c r="DU311">
        <v>61</v>
      </c>
      <c r="DV311">
        <v>0.84</v>
      </c>
      <c r="DW311">
        <v>1</v>
      </c>
      <c r="DX311">
        <v>1710</v>
      </c>
      <c r="DY311">
        <v>422</v>
      </c>
      <c r="DZ311" t="s">
        <v>4066</v>
      </c>
      <c r="EA311">
        <v>33</v>
      </c>
      <c r="EB311" t="s">
        <v>4065</v>
      </c>
      <c r="EC311">
        <v>0.4</v>
      </c>
      <c r="ED311">
        <v>1703</v>
      </c>
      <c r="EE311">
        <v>49</v>
      </c>
      <c r="EF311" t="s">
        <v>4066</v>
      </c>
      <c r="EG311">
        <v>33</v>
      </c>
      <c r="EH311" t="s">
        <v>4065</v>
      </c>
      <c r="EI311">
        <v>0.4</v>
      </c>
      <c r="EJ311">
        <v>1710</v>
      </c>
      <c r="EK311">
        <v>50</v>
      </c>
      <c r="EL311" t="s">
        <v>4429</v>
      </c>
      <c r="EM311">
        <v>12</v>
      </c>
      <c r="EN311">
        <v>0.5</v>
      </c>
      <c r="EO311">
        <v>0.9</v>
      </c>
      <c r="EP311">
        <v>1710.56</v>
      </c>
      <c r="EQ311">
        <v>21916.55</v>
      </c>
      <c r="ER311">
        <v>2413.43</v>
      </c>
      <c r="ES311">
        <v>0</v>
      </c>
      <c r="ET311">
        <v>0</v>
      </c>
      <c r="EU311">
        <v>1</v>
      </c>
      <c r="EV311">
        <v>24330</v>
      </c>
      <c r="EW311">
        <v>292</v>
      </c>
      <c r="EX311" t="s">
        <v>4287</v>
      </c>
      <c r="EY311">
        <v>160</v>
      </c>
      <c r="EZ311" t="s">
        <v>4055</v>
      </c>
      <c r="FA311">
        <v>4.7</v>
      </c>
      <c r="FB311">
        <v>1</v>
      </c>
      <c r="FC311">
        <v>1</v>
      </c>
      <c r="FD311">
        <v>1746</v>
      </c>
      <c r="FE311">
        <v>1526</v>
      </c>
      <c r="FF311" t="s">
        <v>4288</v>
      </c>
      <c r="FG311">
        <v>160</v>
      </c>
      <c r="FH311" t="s">
        <v>4055</v>
      </c>
      <c r="FI311">
        <v>4.1</v>
      </c>
      <c r="FJ311">
        <v>1746</v>
      </c>
      <c r="FK311">
        <v>1382</v>
      </c>
      <c r="FL311" t="s">
        <v>4069</v>
      </c>
      <c r="FM311" t="s">
        <v>4055</v>
      </c>
      <c r="FN311" t="s">
        <v>4055</v>
      </c>
      <c r="FO311" t="s">
        <v>4055</v>
      </c>
      <c r="FP311">
        <v>1746</v>
      </c>
      <c r="FQ311">
        <v>175</v>
      </c>
      <c r="FR311" t="s">
        <v>4090</v>
      </c>
      <c r="FS311">
        <v>164</v>
      </c>
      <c r="FT311" t="s">
        <v>4055</v>
      </c>
      <c r="FU311">
        <v>0.4</v>
      </c>
      <c r="FV311">
        <v>1746</v>
      </c>
      <c r="FW311">
        <v>127</v>
      </c>
      <c r="FX311" t="s">
        <v>4070</v>
      </c>
      <c r="FY311">
        <v>5</v>
      </c>
      <c r="FZ311" t="s">
        <v>4055</v>
      </c>
      <c r="GA311" t="s">
        <v>4055</v>
      </c>
      <c r="GB311">
        <v>1746</v>
      </c>
      <c r="GC311">
        <v>19</v>
      </c>
      <c r="GD311">
        <v>3229</v>
      </c>
      <c r="GE311" t="s">
        <v>4904</v>
      </c>
      <c r="GF311" t="s">
        <v>4055</v>
      </c>
      <c r="GG311" t="s">
        <v>4055</v>
      </c>
      <c r="GH311" t="s">
        <v>4055</v>
      </c>
      <c r="GI311" t="s">
        <v>4071</v>
      </c>
      <c r="GJ311" t="s">
        <v>4055</v>
      </c>
      <c r="GK311" t="s">
        <v>4055</v>
      </c>
      <c r="GL311" t="s">
        <v>4055</v>
      </c>
      <c r="GM311" t="s">
        <v>4055</v>
      </c>
      <c r="GQ311">
        <v>0</v>
      </c>
      <c r="GV311">
        <v>9.199999999999999</v>
      </c>
      <c r="GW311">
        <v>11.2</v>
      </c>
      <c r="GX311">
        <v>0.5</v>
      </c>
      <c r="GY311">
        <v>142</v>
      </c>
      <c r="GZ311">
        <v>3</v>
      </c>
      <c r="HA311">
        <v>184</v>
      </c>
      <c r="HB311">
        <v>3</v>
      </c>
      <c r="HC311">
        <v>1746</v>
      </c>
      <c r="HD311">
        <v>4</v>
      </c>
      <c r="HE311" t="s">
        <v>4071</v>
      </c>
      <c r="HG311" t="s">
        <v>549</v>
      </c>
      <c r="HL311">
        <v>4</v>
      </c>
      <c r="HM311">
        <v>16</v>
      </c>
      <c r="HN311">
        <v>6</v>
      </c>
      <c r="HO311">
        <v>1</v>
      </c>
      <c r="HP311">
        <v>0</v>
      </c>
      <c r="HQ311">
        <v>0</v>
      </c>
      <c r="HR311">
        <v>2</v>
      </c>
      <c r="HS311">
        <v>1700</v>
      </c>
      <c r="HT311">
        <v>5</v>
      </c>
      <c r="HU311">
        <v>1</v>
      </c>
      <c r="HV311">
        <v>5</v>
      </c>
      <c r="HW311">
        <v>0</v>
      </c>
      <c r="HX311">
        <v>1</v>
      </c>
      <c r="HY311">
        <v>0</v>
      </c>
      <c r="HZ311">
        <v>61</v>
      </c>
      <c r="IA311">
        <v>1703</v>
      </c>
      <c r="IB311">
        <v>1710</v>
      </c>
      <c r="ID311">
        <v>1746</v>
      </c>
      <c r="IE311">
        <v>1746</v>
      </c>
      <c r="IF311">
        <v>145</v>
      </c>
      <c r="IG311">
        <v>135</v>
      </c>
      <c r="IH311">
        <v>184</v>
      </c>
      <c r="II311">
        <v>1</v>
      </c>
      <c r="IJ311">
        <v>5</v>
      </c>
      <c r="IK311">
        <v>0</v>
      </c>
      <c r="IL311">
        <v>1</v>
      </c>
      <c r="IM311">
        <v>0</v>
      </c>
      <c r="IN311">
        <v>270</v>
      </c>
      <c r="IO311">
        <v>0</v>
      </c>
      <c r="IP311">
        <v>180</v>
      </c>
      <c r="IQ311">
        <v>0</v>
      </c>
      <c r="IR311">
        <v>330</v>
      </c>
      <c r="IS311">
        <v>0</v>
      </c>
      <c r="IT311">
        <v>100</v>
      </c>
      <c r="IU311">
        <v>0</v>
      </c>
      <c r="IV311">
        <v>6.4</v>
      </c>
      <c r="IW311">
        <v>-6</v>
      </c>
      <c r="IX311">
        <v>76</v>
      </c>
      <c r="IY311">
        <v>67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322</v>
      </c>
      <c r="JJ311">
        <v>292</v>
      </c>
      <c r="JK311">
        <v>220</v>
      </c>
      <c r="JL311">
        <v>288</v>
      </c>
      <c r="JM311">
        <v>225</v>
      </c>
      <c r="JN311">
        <v>150</v>
      </c>
      <c r="JO311">
        <v>202</v>
      </c>
      <c r="JP311">
        <v>240</v>
      </c>
      <c r="JQ311">
        <v>290</v>
      </c>
      <c r="JR311">
        <v>352</v>
      </c>
      <c r="JS311">
        <v>280</v>
      </c>
      <c r="JT311">
        <v>0</v>
      </c>
      <c r="JU311">
        <v>0</v>
      </c>
      <c r="JV311">
        <v>335</v>
      </c>
      <c r="JW311">
        <v>337</v>
      </c>
      <c r="JX311">
        <v>346</v>
      </c>
      <c r="JY311">
        <v>310</v>
      </c>
      <c r="JZ311">
        <v>0.5</v>
      </c>
      <c r="KA311">
        <v>0.2</v>
      </c>
      <c r="KB311">
        <v>0.4</v>
      </c>
      <c r="KC311">
        <v>0.42</v>
      </c>
      <c r="KD311">
        <v>0.3</v>
      </c>
      <c r="KE311">
        <v>0.5</v>
      </c>
      <c r="KF311">
        <v>0.18</v>
      </c>
      <c r="KG311">
        <v>0.11</v>
      </c>
      <c r="KH311">
        <v>3.5</v>
      </c>
      <c r="KI311">
        <v>1</v>
      </c>
      <c r="KJ311">
        <v>4.5</v>
      </c>
      <c r="KK311">
        <v>0</v>
      </c>
      <c r="KL311">
        <v>4.5</v>
      </c>
      <c r="KM311">
        <v>0</v>
      </c>
      <c r="KN311">
        <v>1.3</v>
      </c>
      <c r="KO311">
        <v>1</v>
      </c>
      <c r="KP311">
        <v>1.2</v>
      </c>
      <c r="KQ311">
        <v>0.7</v>
      </c>
      <c r="KR311">
        <v>1</v>
      </c>
      <c r="KS311">
        <v>0</v>
      </c>
      <c r="KT311">
        <v>2.3</v>
      </c>
      <c r="KU311">
        <v>0</v>
      </c>
      <c r="KV311">
        <v>0</v>
      </c>
      <c r="KW311">
        <v>1.2</v>
      </c>
      <c r="KX311">
        <v>2</v>
      </c>
      <c r="KY311">
        <v>0</v>
      </c>
      <c r="KZ311">
        <v>3.5</v>
      </c>
      <c r="LA311">
        <v>2</v>
      </c>
      <c r="LB311">
        <v>10</v>
      </c>
      <c r="LC311">
        <v>3.5</v>
      </c>
      <c r="LD311">
        <v>3</v>
      </c>
      <c r="LE311">
        <v>2</v>
      </c>
      <c r="LF311">
        <v>0</v>
      </c>
      <c r="LG311">
        <v>0</v>
      </c>
      <c r="LH311">
        <v>3</v>
      </c>
      <c r="LI311">
        <v>0.5</v>
      </c>
      <c r="LJ311">
        <v>0.1</v>
      </c>
      <c r="LK311">
        <v>6</v>
      </c>
      <c r="LL311">
        <v>4</v>
      </c>
      <c r="LM311">
        <v>10</v>
      </c>
      <c r="LN311">
        <v>0.1</v>
      </c>
      <c r="LO311">
        <v>0.1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12</v>
      </c>
      <c r="MC311">
        <v>0</v>
      </c>
      <c r="MD311">
        <v>4.5</v>
      </c>
      <c r="ME311">
        <v>6</v>
      </c>
      <c r="MF311">
        <v>6</v>
      </c>
      <c r="MN311">
        <v>140</v>
      </c>
      <c r="MO311">
        <v>182</v>
      </c>
      <c r="NU311">
        <v>0.15</v>
      </c>
      <c r="NV311">
        <v>0.25</v>
      </c>
      <c r="NW311">
        <v>0.3</v>
      </c>
      <c r="NX311">
        <v>2</v>
      </c>
      <c r="NY311">
        <v>2</v>
      </c>
      <c r="NZ311">
        <v>2</v>
      </c>
      <c r="OE311" t="s">
        <v>4904</v>
      </c>
      <c r="OF311" t="s">
        <v>4902</v>
      </c>
      <c r="OG311" t="s">
        <v>4903</v>
      </c>
      <c r="OH311" t="s">
        <v>4426</v>
      </c>
      <c r="OI311" t="s">
        <v>4904</v>
      </c>
      <c r="OJ311" t="s">
        <v>5071</v>
      </c>
      <c r="OK311">
        <v>61</v>
      </c>
      <c r="OL311">
        <v>61</v>
      </c>
      <c r="OM311" t="s">
        <v>4902</v>
      </c>
      <c r="ON311">
        <v>1</v>
      </c>
      <c r="OO311">
        <v>1703</v>
      </c>
      <c r="OP311">
        <v>61</v>
      </c>
      <c r="OQ311">
        <v>61</v>
      </c>
      <c r="OR311" t="s">
        <v>4903</v>
      </c>
      <c r="OS311">
        <v>1</v>
      </c>
      <c r="OT311">
        <v>1710</v>
      </c>
      <c r="OU311">
        <v>65</v>
      </c>
      <c r="OV311">
        <v>65</v>
      </c>
      <c r="OW311" t="s">
        <v>4426</v>
      </c>
      <c r="OX311">
        <v>1</v>
      </c>
      <c r="OY311">
        <v>24330</v>
      </c>
      <c r="OZ311">
        <v>51</v>
      </c>
      <c r="PA311">
        <v>51</v>
      </c>
      <c r="PB311" t="s">
        <v>4904</v>
      </c>
      <c r="PC311">
        <v>1</v>
      </c>
      <c r="PD311">
        <v>1746</v>
      </c>
      <c r="PF311">
        <v>265</v>
      </c>
      <c r="PG311">
        <v>29</v>
      </c>
      <c r="PH311">
        <v>247</v>
      </c>
      <c r="PI311">
        <v>29</v>
      </c>
      <c r="PJ311">
        <v>100</v>
      </c>
      <c r="PL311">
        <v>873.9</v>
      </c>
      <c r="PM311">
        <v>791.6</v>
      </c>
      <c r="PN311">
        <v>72.8</v>
      </c>
      <c r="PO311">
        <v>10.7</v>
      </c>
      <c r="PP311">
        <v>12</v>
      </c>
      <c r="PQ311">
        <v>2</v>
      </c>
      <c r="PR311" t="s">
        <v>4465</v>
      </c>
      <c r="PS311">
        <v>6</v>
      </c>
      <c r="PT311">
        <v>184</v>
      </c>
      <c r="PU311">
        <v>12</v>
      </c>
      <c r="PV311" t="s">
        <v>4882</v>
      </c>
      <c r="PW311" t="s">
        <v>4882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-1</v>
      </c>
      <c r="QF311">
        <v>1</v>
      </c>
      <c r="QG311">
        <v>0</v>
      </c>
      <c r="QH311">
        <v>5</v>
      </c>
      <c r="QI311">
        <v>5</v>
      </c>
      <c r="QJ311">
        <v>5</v>
      </c>
      <c r="QK311">
        <v>153</v>
      </c>
      <c r="QL311">
        <v>352</v>
      </c>
      <c r="QM311">
        <v>7.5</v>
      </c>
      <c r="QN311">
        <v>1123</v>
      </c>
      <c r="QO311" t="s">
        <v>3491</v>
      </c>
      <c r="QP311" t="s">
        <v>513</v>
      </c>
      <c r="QQ311">
        <v>0</v>
      </c>
      <c r="QR311" t="s">
        <v>540</v>
      </c>
    </row>
    <row r="312" spans="1:462">
      <c r="A312" t="s">
        <v>3594</v>
      </c>
      <c r="B312" t="s">
        <v>508</v>
      </c>
      <c r="C312" t="s">
        <v>509</v>
      </c>
      <c r="D312" t="s">
        <v>3579</v>
      </c>
      <c r="E312" t="s">
        <v>4036</v>
      </c>
      <c r="H312" t="s">
        <v>3580</v>
      </c>
      <c r="J312" t="s">
        <v>562</v>
      </c>
      <c r="M312" t="s">
        <v>512</v>
      </c>
      <c r="N312" t="s">
        <v>515</v>
      </c>
      <c r="O312" t="s">
        <v>513</v>
      </c>
      <c r="P312" t="s">
        <v>517</v>
      </c>
      <c r="Q312" t="s">
        <v>518</v>
      </c>
      <c r="R312" t="s">
        <v>519</v>
      </c>
      <c r="S312" t="s">
        <v>4037</v>
      </c>
      <c r="T312" t="s">
        <v>520</v>
      </c>
      <c r="U312" t="s">
        <v>521</v>
      </c>
      <c r="V312" t="s">
        <v>3098</v>
      </c>
      <c r="W312" t="s">
        <v>3582</v>
      </c>
      <c r="Y312" t="s">
        <v>3595</v>
      </c>
      <c r="Z312" t="s">
        <v>541</v>
      </c>
      <c r="AA312" t="s">
        <v>4038</v>
      </c>
      <c r="AB312" t="s">
        <v>5072</v>
      </c>
      <c r="AC312">
        <v>10</v>
      </c>
      <c r="AD312" t="s">
        <v>3593</v>
      </c>
      <c r="AE312">
        <v>1</v>
      </c>
      <c r="AF312">
        <v>3468</v>
      </c>
      <c r="AG312" t="s">
        <v>4902</v>
      </c>
      <c r="AH312">
        <v>1</v>
      </c>
      <c r="AI312" t="s">
        <v>4041</v>
      </c>
      <c r="AK312" t="s">
        <v>4903</v>
      </c>
      <c r="AL312">
        <v>1</v>
      </c>
      <c r="AM312" t="s">
        <v>582</v>
      </c>
      <c r="AO312" t="s">
        <v>4426</v>
      </c>
      <c r="AP312">
        <v>1</v>
      </c>
      <c r="AR312" t="s">
        <v>4904</v>
      </c>
      <c r="AS312">
        <v>1</v>
      </c>
      <c r="AT312">
        <v>51</v>
      </c>
      <c r="AV312" t="s">
        <v>4045</v>
      </c>
      <c r="AW312">
        <v>6.4</v>
      </c>
      <c r="AX312">
        <v>-6</v>
      </c>
      <c r="AY312">
        <v>76</v>
      </c>
      <c r="AZ312">
        <v>67</v>
      </c>
      <c r="BH312">
        <v>76</v>
      </c>
      <c r="BI312">
        <v>9</v>
      </c>
      <c r="BJ312">
        <v>67</v>
      </c>
      <c r="BK312">
        <v>3.5</v>
      </c>
      <c r="BL312">
        <v>152</v>
      </c>
      <c r="BM312">
        <v>-6</v>
      </c>
      <c r="BN312">
        <v>0</v>
      </c>
      <c r="BP312">
        <v>0</v>
      </c>
      <c r="BR312">
        <v>145</v>
      </c>
      <c r="BS312">
        <v>135</v>
      </c>
      <c r="BT312">
        <v>1700</v>
      </c>
      <c r="BU312" t="s">
        <v>4355</v>
      </c>
      <c r="BW312" t="s">
        <v>4356</v>
      </c>
      <c r="BY312" t="s">
        <v>4357</v>
      </c>
      <c r="BZ312" t="s">
        <v>4357</v>
      </c>
      <c r="CA312" t="s">
        <v>4051</v>
      </c>
      <c r="CB312" t="s">
        <v>4052</v>
      </c>
      <c r="CC312" t="s">
        <v>4053</v>
      </c>
      <c r="CD312" t="s">
        <v>4054</v>
      </c>
      <c r="CE312" t="s">
        <v>4055</v>
      </c>
      <c r="CF312" t="s">
        <v>4055</v>
      </c>
      <c r="CG312" t="s">
        <v>4056</v>
      </c>
      <c r="CH312" t="s">
        <v>4145</v>
      </c>
      <c r="CI312" t="s">
        <v>4058</v>
      </c>
      <c r="CJ312" t="s">
        <v>4610</v>
      </c>
      <c r="CK312" t="s">
        <v>4611</v>
      </c>
      <c r="CL312" t="s">
        <v>4612</v>
      </c>
      <c r="CM312" t="s">
        <v>4055</v>
      </c>
      <c r="CN312" t="s">
        <v>4062</v>
      </c>
      <c r="CO312" t="s">
        <v>4063</v>
      </c>
      <c r="CP312" t="s">
        <v>4055</v>
      </c>
      <c r="CQ312" t="s">
        <v>4055</v>
      </c>
      <c r="CR312">
        <v>5</v>
      </c>
      <c r="CS312" t="s">
        <v>4055</v>
      </c>
      <c r="CT312" t="s">
        <v>4055</v>
      </c>
      <c r="CU312" t="s">
        <v>4055</v>
      </c>
      <c r="CV312">
        <v>102</v>
      </c>
      <c r="CW312">
        <v>3</v>
      </c>
      <c r="CX312">
        <v>60</v>
      </c>
      <c r="CY312">
        <v>5</v>
      </c>
      <c r="CZ312">
        <v>114</v>
      </c>
      <c r="DA312">
        <v>5</v>
      </c>
      <c r="DB312">
        <v>7970</v>
      </c>
      <c r="DC312">
        <v>220</v>
      </c>
      <c r="DD312">
        <v>270</v>
      </c>
      <c r="DE312">
        <v>1794</v>
      </c>
      <c r="DF312">
        <v>1794</v>
      </c>
      <c r="DG312">
        <v>1807</v>
      </c>
      <c r="DH312" t="s">
        <v>4055</v>
      </c>
      <c r="DI312" t="s">
        <v>4055</v>
      </c>
      <c r="DJ312" t="s">
        <v>4100</v>
      </c>
      <c r="DK312">
        <v>145</v>
      </c>
      <c r="DL312" t="s">
        <v>4065</v>
      </c>
      <c r="DM312">
        <v>61</v>
      </c>
      <c r="DN312">
        <v>0.84</v>
      </c>
      <c r="DO312">
        <v>1</v>
      </c>
      <c r="DP312">
        <v>1703</v>
      </c>
      <c r="DQ312">
        <v>451</v>
      </c>
      <c r="DR312" t="s">
        <v>4100</v>
      </c>
      <c r="DS312">
        <v>135</v>
      </c>
      <c r="DT312" t="s">
        <v>4065</v>
      </c>
      <c r="DU312">
        <v>61</v>
      </c>
      <c r="DV312">
        <v>0.84</v>
      </c>
      <c r="DW312">
        <v>1</v>
      </c>
      <c r="DX312">
        <v>1710</v>
      </c>
      <c r="DY312">
        <v>422</v>
      </c>
      <c r="DZ312" t="s">
        <v>4066</v>
      </c>
      <c r="EA312">
        <v>33</v>
      </c>
      <c r="EB312" t="s">
        <v>4065</v>
      </c>
      <c r="EC312">
        <v>0.4</v>
      </c>
      <c r="ED312">
        <v>1703</v>
      </c>
      <c r="EE312">
        <v>49</v>
      </c>
      <c r="EF312" t="s">
        <v>4066</v>
      </c>
      <c r="EG312">
        <v>33</v>
      </c>
      <c r="EH312" t="s">
        <v>4065</v>
      </c>
      <c r="EI312">
        <v>0.4</v>
      </c>
      <c r="EJ312">
        <v>1710</v>
      </c>
      <c r="EK312">
        <v>50</v>
      </c>
      <c r="EL312" t="s">
        <v>4429</v>
      </c>
      <c r="EM312">
        <v>12</v>
      </c>
      <c r="EN312">
        <v>0.5</v>
      </c>
      <c r="EO312">
        <v>0.9</v>
      </c>
      <c r="EP312">
        <v>1710.56</v>
      </c>
      <c r="EQ312">
        <v>21916.55</v>
      </c>
      <c r="ER312">
        <v>2413.43</v>
      </c>
      <c r="ES312">
        <v>0</v>
      </c>
      <c r="ET312">
        <v>0</v>
      </c>
      <c r="EU312">
        <v>1</v>
      </c>
      <c r="EV312">
        <v>24330</v>
      </c>
      <c r="EW312">
        <v>292</v>
      </c>
      <c r="EX312" t="s">
        <v>4287</v>
      </c>
      <c r="EY312">
        <v>160</v>
      </c>
      <c r="EZ312" t="s">
        <v>4055</v>
      </c>
      <c r="FA312">
        <v>4.7</v>
      </c>
      <c r="FB312">
        <v>1</v>
      </c>
      <c r="FC312">
        <v>1</v>
      </c>
      <c r="FD312">
        <v>1746</v>
      </c>
      <c r="FE312">
        <v>1526</v>
      </c>
      <c r="FF312" t="s">
        <v>4288</v>
      </c>
      <c r="FG312">
        <v>160</v>
      </c>
      <c r="FH312" t="s">
        <v>4055</v>
      </c>
      <c r="FI312">
        <v>4.1</v>
      </c>
      <c r="FJ312">
        <v>1746</v>
      </c>
      <c r="FK312">
        <v>1382</v>
      </c>
      <c r="FL312" t="s">
        <v>4069</v>
      </c>
      <c r="FM312" t="s">
        <v>4055</v>
      </c>
      <c r="FN312" t="s">
        <v>4055</v>
      </c>
      <c r="FO312" t="s">
        <v>4055</v>
      </c>
      <c r="FP312">
        <v>1746</v>
      </c>
      <c r="FQ312">
        <v>175</v>
      </c>
      <c r="FR312" t="s">
        <v>4090</v>
      </c>
      <c r="FS312">
        <v>164</v>
      </c>
      <c r="FT312" t="s">
        <v>4055</v>
      </c>
      <c r="FU312">
        <v>0.4</v>
      </c>
      <c r="FV312">
        <v>1746</v>
      </c>
      <c r="FW312">
        <v>127</v>
      </c>
      <c r="FX312" t="s">
        <v>4070</v>
      </c>
      <c r="FY312">
        <v>5</v>
      </c>
      <c r="FZ312" t="s">
        <v>4055</v>
      </c>
      <c r="GA312" t="s">
        <v>4055</v>
      </c>
      <c r="GB312">
        <v>1746</v>
      </c>
      <c r="GC312">
        <v>19</v>
      </c>
      <c r="GD312">
        <v>3229</v>
      </c>
      <c r="GE312" t="s">
        <v>4904</v>
      </c>
      <c r="GF312" t="s">
        <v>4055</v>
      </c>
      <c r="GG312" t="s">
        <v>4055</v>
      </c>
      <c r="GH312" t="s">
        <v>4055</v>
      </c>
      <c r="GI312" t="s">
        <v>4071</v>
      </c>
      <c r="GJ312" t="s">
        <v>4055</v>
      </c>
      <c r="GK312" t="s">
        <v>4055</v>
      </c>
      <c r="GL312" t="s">
        <v>4055</v>
      </c>
      <c r="GM312" t="s">
        <v>4055</v>
      </c>
      <c r="GQ312">
        <v>0</v>
      </c>
      <c r="GV312">
        <v>9.199999999999999</v>
      </c>
      <c r="GW312">
        <v>11.2</v>
      </c>
      <c r="GX312">
        <v>0.5</v>
      </c>
      <c r="GY312">
        <v>142</v>
      </c>
      <c r="GZ312">
        <v>3</v>
      </c>
      <c r="HA312">
        <v>184</v>
      </c>
      <c r="HB312">
        <v>3</v>
      </c>
      <c r="HC312">
        <v>1746</v>
      </c>
      <c r="HD312">
        <v>4</v>
      </c>
      <c r="HE312" t="s">
        <v>4071</v>
      </c>
      <c r="HG312" t="s">
        <v>549</v>
      </c>
      <c r="HL312">
        <v>4</v>
      </c>
      <c r="HM312">
        <v>16</v>
      </c>
      <c r="HN312">
        <v>6</v>
      </c>
      <c r="HO312">
        <v>1</v>
      </c>
      <c r="HP312">
        <v>0</v>
      </c>
      <c r="HQ312">
        <v>0</v>
      </c>
      <c r="HR312">
        <v>2</v>
      </c>
      <c r="HS312">
        <v>1700</v>
      </c>
      <c r="HT312">
        <v>5</v>
      </c>
      <c r="HU312">
        <v>1</v>
      </c>
      <c r="HV312">
        <v>5</v>
      </c>
      <c r="HW312">
        <v>0</v>
      </c>
      <c r="HX312">
        <v>1</v>
      </c>
      <c r="HY312">
        <v>0</v>
      </c>
      <c r="HZ312">
        <v>61</v>
      </c>
      <c r="IA312">
        <v>1703</v>
      </c>
      <c r="IB312">
        <v>1710</v>
      </c>
      <c r="ID312">
        <v>1746</v>
      </c>
      <c r="IE312">
        <v>1746</v>
      </c>
      <c r="IF312">
        <v>145</v>
      </c>
      <c r="IG312">
        <v>135</v>
      </c>
      <c r="IH312">
        <v>184</v>
      </c>
      <c r="II312">
        <v>1</v>
      </c>
      <c r="IJ312">
        <v>5</v>
      </c>
      <c r="IK312">
        <v>0</v>
      </c>
      <c r="IL312">
        <v>1</v>
      </c>
      <c r="IM312">
        <v>0</v>
      </c>
      <c r="IN312">
        <v>270</v>
      </c>
      <c r="IO312">
        <v>0</v>
      </c>
      <c r="IP312">
        <v>180</v>
      </c>
      <c r="IQ312">
        <v>0</v>
      </c>
      <c r="IR312">
        <v>330</v>
      </c>
      <c r="IS312">
        <v>0</v>
      </c>
      <c r="IT312">
        <v>100</v>
      </c>
      <c r="IU312">
        <v>0</v>
      </c>
      <c r="IV312">
        <v>6.4</v>
      </c>
      <c r="IW312">
        <v>-6</v>
      </c>
      <c r="IX312">
        <v>76</v>
      </c>
      <c r="IY312">
        <v>67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322</v>
      </c>
      <c r="JJ312">
        <v>292</v>
      </c>
      <c r="JK312">
        <v>220</v>
      </c>
      <c r="JL312">
        <v>288</v>
      </c>
      <c r="JM312">
        <v>225</v>
      </c>
      <c r="JN312">
        <v>150</v>
      </c>
      <c r="JO312">
        <v>202</v>
      </c>
      <c r="JP312">
        <v>240</v>
      </c>
      <c r="JQ312">
        <v>290</v>
      </c>
      <c r="JR312">
        <v>352</v>
      </c>
      <c r="JS312">
        <v>280</v>
      </c>
      <c r="JT312">
        <v>0</v>
      </c>
      <c r="JU312">
        <v>0</v>
      </c>
      <c r="JV312">
        <v>335</v>
      </c>
      <c r="JW312">
        <v>337</v>
      </c>
      <c r="JX312">
        <v>346</v>
      </c>
      <c r="JY312">
        <v>310</v>
      </c>
      <c r="JZ312">
        <v>0.5</v>
      </c>
      <c r="KA312">
        <v>0.2</v>
      </c>
      <c r="KB312">
        <v>0.4</v>
      </c>
      <c r="KC312">
        <v>0.42</v>
      </c>
      <c r="KD312">
        <v>0.3</v>
      </c>
      <c r="KE312">
        <v>0.5</v>
      </c>
      <c r="KF312">
        <v>0.18</v>
      </c>
      <c r="KG312">
        <v>0.11</v>
      </c>
      <c r="KH312">
        <v>3.5</v>
      </c>
      <c r="KI312">
        <v>1</v>
      </c>
      <c r="KJ312">
        <v>4.5</v>
      </c>
      <c r="KK312">
        <v>0</v>
      </c>
      <c r="KL312">
        <v>4.5</v>
      </c>
      <c r="KM312">
        <v>0</v>
      </c>
      <c r="KN312">
        <v>1.3</v>
      </c>
      <c r="KO312">
        <v>1</v>
      </c>
      <c r="KP312">
        <v>1.2</v>
      </c>
      <c r="KQ312">
        <v>0.7</v>
      </c>
      <c r="KR312">
        <v>1</v>
      </c>
      <c r="KS312">
        <v>0</v>
      </c>
      <c r="KT312">
        <v>2.3</v>
      </c>
      <c r="KU312">
        <v>0</v>
      </c>
      <c r="KV312">
        <v>0</v>
      </c>
      <c r="KW312">
        <v>1.2</v>
      </c>
      <c r="KX312">
        <v>2</v>
      </c>
      <c r="KY312">
        <v>0</v>
      </c>
      <c r="KZ312">
        <v>3.5</v>
      </c>
      <c r="LA312">
        <v>2</v>
      </c>
      <c r="LB312">
        <v>10</v>
      </c>
      <c r="LC312">
        <v>3.5</v>
      </c>
      <c r="LD312">
        <v>3</v>
      </c>
      <c r="LE312">
        <v>2</v>
      </c>
      <c r="LF312">
        <v>0</v>
      </c>
      <c r="LG312">
        <v>0</v>
      </c>
      <c r="LH312">
        <v>3</v>
      </c>
      <c r="LI312">
        <v>0.5</v>
      </c>
      <c r="LJ312">
        <v>0.1</v>
      </c>
      <c r="LK312">
        <v>6</v>
      </c>
      <c r="LL312">
        <v>4</v>
      </c>
      <c r="LM312">
        <v>10</v>
      </c>
      <c r="LN312">
        <v>0.1</v>
      </c>
      <c r="LO312">
        <v>0.1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12</v>
      </c>
      <c r="MC312">
        <v>0</v>
      </c>
      <c r="MD312">
        <v>4.5</v>
      </c>
      <c r="ME312">
        <v>6</v>
      </c>
      <c r="MF312">
        <v>6</v>
      </c>
      <c r="MN312">
        <v>140</v>
      </c>
      <c r="MO312">
        <v>182</v>
      </c>
      <c r="NU312">
        <v>0.15</v>
      </c>
      <c r="NV312">
        <v>0.25</v>
      </c>
      <c r="NW312">
        <v>0.3</v>
      </c>
      <c r="NX312">
        <v>2</v>
      </c>
      <c r="NY312">
        <v>2</v>
      </c>
      <c r="NZ312">
        <v>2</v>
      </c>
      <c r="OE312" t="s">
        <v>4904</v>
      </c>
      <c r="OF312" t="s">
        <v>4902</v>
      </c>
      <c r="OG312" t="s">
        <v>4903</v>
      </c>
      <c r="OH312" t="s">
        <v>4426</v>
      </c>
      <c r="OI312" t="s">
        <v>4904</v>
      </c>
      <c r="OJ312" t="s">
        <v>5072</v>
      </c>
      <c r="OK312">
        <v>61</v>
      </c>
      <c r="OL312">
        <v>61</v>
      </c>
      <c r="OM312" t="s">
        <v>4902</v>
      </c>
      <c r="ON312">
        <v>1</v>
      </c>
      <c r="OO312">
        <v>1703</v>
      </c>
      <c r="OP312">
        <v>61</v>
      </c>
      <c r="OQ312">
        <v>61</v>
      </c>
      <c r="OR312" t="s">
        <v>4903</v>
      </c>
      <c r="OS312">
        <v>1</v>
      </c>
      <c r="OT312">
        <v>1710</v>
      </c>
      <c r="OU312">
        <v>65</v>
      </c>
      <c r="OV312">
        <v>65</v>
      </c>
      <c r="OW312" t="s">
        <v>4426</v>
      </c>
      <c r="OX312">
        <v>1</v>
      </c>
      <c r="OY312">
        <v>24330</v>
      </c>
      <c r="OZ312">
        <v>51</v>
      </c>
      <c r="PA312">
        <v>51</v>
      </c>
      <c r="PB312" t="s">
        <v>4904</v>
      </c>
      <c r="PC312">
        <v>1</v>
      </c>
      <c r="PD312">
        <v>1746</v>
      </c>
      <c r="PF312">
        <v>265</v>
      </c>
      <c r="PG312">
        <v>29</v>
      </c>
      <c r="PH312">
        <v>247</v>
      </c>
      <c r="PI312">
        <v>29</v>
      </c>
      <c r="PJ312">
        <v>100</v>
      </c>
      <c r="PL312">
        <v>873.9</v>
      </c>
      <c r="PM312">
        <v>791.6</v>
      </c>
      <c r="PN312">
        <v>72.8</v>
      </c>
      <c r="PO312">
        <v>10.7</v>
      </c>
      <c r="PP312">
        <v>12</v>
      </c>
      <c r="PQ312">
        <v>2</v>
      </c>
      <c r="PR312" t="s">
        <v>4465</v>
      </c>
      <c r="PS312">
        <v>6</v>
      </c>
      <c r="PT312">
        <v>184</v>
      </c>
      <c r="PU312">
        <v>12</v>
      </c>
      <c r="PV312" t="s">
        <v>4882</v>
      </c>
      <c r="PW312" t="s">
        <v>4882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-1</v>
      </c>
      <c r="QF312">
        <v>1</v>
      </c>
      <c r="QG312">
        <v>0</v>
      </c>
      <c r="QH312">
        <v>5</v>
      </c>
      <c r="QI312">
        <v>5</v>
      </c>
      <c r="QJ312">
        <v>5</v>
      </c>
      <c r="QK312">
        <v>153</v>
      </c>
      <c r="QL312">
        <v>352</v>
      </c>
      <c r="QM312">
        <v>7.5</v>
      </c>
      <c r="QN312">
        <v>1123</v>
      </c>
      <c r="QO312" t="s">
        <v>3491</v>
      </c>
      <c r="QP312" t="s">
        <v>513</v>
      </c>
      <c r="QQ312">
        <v>0</v>
      </c>
      <c r="QR312" t="s">
        <v>540</v>
      </c>
    </row>
    <row r="313" spans="1:462">
      <c r="A313" t="s">
        <v>3597</v>
      </c>
      <c r="B313" t="s">
        <v>508</v>
      </c>
      <c r="C313" t="s">
        <v>509</v>
      </c>
      <c r="D313" t="s">
        <v>3579</v>
      </c>
      <c r="E313" t="s">
        <v>4036</v>
      </c>
      <c r="H313" t="s">
        <v>3580</v>
      </c>
      <c r="J313" t="s">
        <v>562</v>
      </c>
      <c r="M313" t="s">
        <v>512</v>
      </c>
      <c r="N313" t="s">
        <v>515</v>
      </c>
      <c r="O313" t="s">
        <v>513</v>
      </c>
      <c r="P313" t="s">
        <v>517</v>
      </c>
      <c r="Q313" t="s">
        <v>518</v>
      </c>
      <c r="R313" t="s">
        <v>519</v>
      </c>
      <c r="S313" t="s">
        <v>4037</v>
      </c>
      <c r="T313" t="s">
        <v>520</v>
      </c>
      <c r="U313" t="s">
        <v>521</v>
      </c>
      <c r="V313" t="s">
        <v>3098</v>
      </c>
      <c r="W313" t="s">
        <v>3582</v>
      </c>
      <c r="Y313" t="s">
        <v>3598</v>
      </c>
      <c r="Z313" t="s">
        <v>541</v>
      </c>
      <c r="AA313" t="s">
        <v>4038</v>
      </c>
      <c r="AB313" t="s">
        <v>5073</v>
      </c>
      <c r="AC313">
        <v>10</v>
      </c>
      <c r="AD313" t="s">
        <v>3596</v>
      </c>
      <c r="AE313">
        <v>1</v>
      </c>
      <c r="AF313">
        <v>3468</v>
      </c>
      <c r="AG313" t="s">
        <v>4902</v>
      </c>
      <c r="AH313">
        <v>1</v>
      </c>
      <c r="AI313" t="s">
        <v>4041</v>
      </c>
      <c r="AK313" t="s">
        <v>4903</v>
      </c>
      <c r="AL313">
        <v>1</v>
      </c>
      <c r="AM313" t="s">
        <v>582</v>
      </c>
      <c r="AO313" t="s">
        <v>4426</v>
      </c>
      <c r="AP313">
        <v>1</v>
      </c>
      <c r="AR313" t="s">
        <v>4904</v>
      </c>
      <c r="AS313">
        <v>1</v>
      </c>
      <c r="AT313">
        <v>51</v>
      </c>
      <c r="AV313" t="s">
        <v>4045</v>
      </c>
      <c r="AW313">
        <v>6.4</v>
      </c>
      <c r="AX313">
        <v>-6</v>
      </c>
      <c r="AY313">
        <v>76</v>
      </c>
      <c r="AZ313">
        <v>67</v>
      </c>
      <c r="BH313">
        <v>76</v>
      </c>
      <c r="BI313">
        <v>9</v>
      </c>
      <c r="BJ313">
        <v>67</v>
      </c>
      <c r="BK313">
        <v>3.5</v>
      </c>
      <c r="BL313">
        <v>152</v>
      </c>
      <c r="BM313">
        <v>-6</v>
      </c>
      <c r="BN313">
        <v>0</v>
      </c>
      <c r="BP313">
        <v>0</v>
      </c>
      <c r="BR313">
        <v>145</v>
      </c>
      <c r="BS313">
        <v>135</v>
      </c>
      <c r="BT313">
        <v>1700</v>
      </c>
      <c r="BU313" t="s">
        <v>4355</v>
      </c>
      <c r="BW313" t="s">
        <v>4356</v>
      </c>
      <c r="BY313" t="s">
        <v>4357</v>
      </c>
      <c r="BZ313" t="s">
        <v>4357</v>
      </c>
      <c r="CA313" t="s">
        <v>4051</v>
      </c>
      <c r="CB313" t="s">
        <v>4052</v>
      </c>
      <c r="CC313" t="s">
        <v>4053</v>
      </c>
      <c r="CD313" t="s">
        <v>4054</v>
      </c>
      <c r="CE313" t="s">
        <v>4055</v>
      </c>
      <c r="CF313" t="s">
        <v>4055</v>
      </c>
      <c r="CG313" t="s">
        <v>4056</v>
      </c>
      <c r="CH313" t="s">
        <v>4145</v>
      </c>
      <c r="CI313" t="s">
        <v>4058</v>
      </c>
      <c r="CJ313" t="s">
        <v>4610</v>
      </c>
      <c r="CK313" t="s">
        <v>4611</v>
      </c>
      <c r="CL313" t="s">
        <v>4612</v>
      </c>
      <c r="CM313" t="s">
        <v>4055</v>
      </c>
      <c r="CN313" t="s">
        <v>4062</v>
      </c>
      <c r="CO313" t="s">
        <v>4063</v>
      </c>
      <c r="CP313" t="s">
        <v>4055</v>
      </c>
      <c r="CQ313" t="s">
        <v>4055</v>
      </c>
      <c r="CR313">
        <v>5</v>
      </c>
      <c r="CS313" t="s">
        <v>4055</v>
      </c>
      <c r="CT313" t="s">
        <v>4055</v>
      </c>
      <c r="CU313" t="s">
        <v>4055</v>
      </c>
      <c r="CV313">
        <v>102</v>
      </c>
      <c r="CW313">
        <v>3</v>
      </c>
      <c r="CX313">
        <v>60</v>
      </c>
      <c r="CY313">
        <v>5</v>
      </c>
      <c r="CZ313">
        <v>114</v>
      </c>
      <c r="DA313">
        <v>5</v>
      </c>
      <c r="DB313">
        <v>7970</v>
      </c>
      <c r="DC313">
        <v>220</v>
      </c>
      <c r="DD313">
        <v>270</v>
      </c>
      <c r="DE313">
        <v>1794</v>
      </c>
      <c r="DF313">
        <v>1794</v>
      </c>
      <c r="DG313">
        <v>1807</v>
      </c>
      <c r="DH313" t="s">
        <v>4055</v>
      </c>
      <c r="DI313" t="s">
        <v>4055</v>
      </c>
      <c r="DJ313" t="s">
        <v>4100</v>
      </c>
      <c r="DK313">
        <v>145</v>
      </c>
      <c r="DL313" t="s">
        <v>4065</v>
      </c>
      <c r="DM313">
        <v>61</v>
      </c>
      <c r="DN313">
        <v>0.84</v>
      </c>
      <c r="DO313">
        <v>1</v>
      </c>
      <c r="DP313">
        <v>1703</v>
      </c>
      <c r="DQ313">
        <v>451</v>
      </c>
      <c r="DR313" t="s">
        <v>4100</v>
      </c>
      <c r="DS313">
        <v>135</v>
      </c>
      <c r="DT313" t="s">
        <v>4065</v>
      </c>
      <c r="DU313">
        <v>61</v>
      </c>
      <c r="DV313">
        <v>0.84</v>
      </c>
      <c r="DW313">
        <v>1</v>
      </c>
      <c r="DX313">
        <v>1710</v>
      </c>
      <c r="DY313">
        <v>422</v>
      </c>
      <c r="DZ313" t="s">
        <v>4066</v>
      </c>
      <c r="EA313">
        <v>33</v>
      </c>
      <c r="EB313" t="s">
        <v>4065</v>
      </c>
      <c r="EC313">
        <v>0.4</v>
      </c>
      <c r="ED313">
        <v>1703</v>
      </c>
      <c r="EE313">
        <v>49</v>
      </c>
      <c r="EF313" t="s">
        <v>4066</v>
      </c>
      <c r="EG313">
        <v>33</v>
      </c>
      <c r="EH313" t="s">
        <v>4065</v>
      </c>
      <c r="EI313">
        <v>0.4</v>
      </c>
      <c r="EJ313">
        <v>1710</v>
      </c>
      <c r="EK313">
        <v>50</v>
      </c>
      <c r="EL313" t="s">
        <v>4429</v>
      </c>
      <c r="EM313">
        <v>12</v>
      </c>
      <c r="EN313">
        <v>0.5</v>
      </c>
      <c r="EO313">
        <v>0.9</v>
      </c>
      <c r="EP313">
        <v>1710.56</v>
      </c>
      <c r="EQ313">
        <v>21916.55</v>
      </c>
      <c r="ER313">
        <v>2413.43</v>
      </c>
      <c r="ES313">
        <v>0</v>
      </c>
      <c r="ET313">
        <v>0</v>
      </c>
      <c r="EU313">
        <v>1</v>
      </c>
      <c r="EV313">
        <v>24330</v>
      </c>
      <c r="EW313">
        <v>292</v>
      </c>
      <c r="EX313" t="s">
        <v>4287</v>
      </c>
      <c r="EY313">
        <v>160</v>
      </c>
      <c r="EZ313" t="s">
        <v>4055</v>
      </c>
      <c r="FA313">
        <v>4.7</v>
      </c>
      <c r="FB313">
        <v>1</v>
      </c>
      <c r="FC313">
        <v>1</v>
      </c>
      <c r="FD313">
        <v>1746</v>
      </c>
      <c r="FE313">
        <v>1526</v>
      </c>
      <c r="FF313" t="s">
        <v>4288</v>
      </c>
      <c r="FG313">
        <v>160</v>
      </c>
      <c r="FH313" t="s">
        <v>4055</v>
      </c>
      <c r="FI313">
        <v>4.1</v>
      </c>
      <c r="FJ313">
        <v>1746</v>
      </c>
      <c r="FK313">
        <v>1382</v>
      </c>
      <c r="FL313" t="s">
        <v>4069</v>
      </c>
      <c r="FM313" t="s">
        <v>4055</v>
      </c>
      <c r="FN313" t="s">
        <v>4055</v>
      </c>
      <c r="FO313" t="s">
        <v>4055</v>
      </c>
      <c r="FP313">
        <v>1746</v>
      </c>
      <c r="FQ313">
        <v>175</v>
      </c>
      <c r="FR313" t="s">
        <v>4090</v>
      </c>
      <c r="FS313">
        <v>164</v>
      </c>
      <c r="FT313" t="s">
        <v>4055</v>
      </c>
      <c r="FU313">
        <v>0.4</v>
      </c>
      <c r="FV313">
        <v>1746</v>
      </c>
      <c r="FW313">
        <v>127</v>
      </c>
      <c r="FX313" t="s">
        <v>4070</v>
      </c>
      <c r="FY313">
        <v>5</v>
      </c>
      <c r="FZ313" t="s">
        <v>4055</v>
      </c>
      <c r="GA313" t="s">
        <v>4055</v>
      </c>
      <c r="GB313">
        <v>1746</v>
      </c>
      <c r="GC313">
        <v>19</v>
      </c>
      <c r="GD313">
        <v>3229</v>
      </c>
      <c r="GE313" t="s">
        <v>4904</v>
      </c>
      <c r="GF313" t="s">
        <v>4055</v>
      </c>
      <c r="GG313" t="s">
        <v>4055</v>
      </c>
      <c r="GH313" t="s">
        <v>4055</v>
      </c>
      <c r="GI313" t="s">
        <v>4071</v>
      </c>
      <c r="GJ313" t="s">
        <v>4055</v>
      </c>
      <c r="GK313" t="s">
        <v>4055</v>
      </c>
      <c r="GL313" t="s">
        <v>4055</v>
      </c>
      <c r="GM313" t="s">
        <v>4055</v>
      </c>
      <c r="GQ313">
        <v>0</v>
      </c>
      <c r="GV313">
        <v>9.199999999999999</v>
      </c>
      <c r="GW313">
        <v>11.2</v>
      </c>
      <c r="GX313">
        <v>0.5</v>
      </c>
      <c r="GY313">
        <v>142</v>
      </c>
      <c r="GZ313">
        <v>3</v>
      </c>
      <c r="HA313">
        <v>184</v>
      </c>
      <c r="HB313">
        <v>3</v>
      </c>
      <c r="HC313">
        <v>1746</v>
      </c>
      <c r="HD313">
        <v>4</v>
      </c>
      <c r="HE313" t="s">
        <v>4071</v>
      </c>
      <c r="HG313" t="s">
        <v>549</v>
      </c>
      <c r="HL313">
        <v>4</v>
      </c>
      <c r="HM313">
        <v>16</v>
      </c>
      <c r="HN313">
        <v>6</v>
      </c>
      <c r="HO313">
        <v>1</v>
      </c>
      <c r="HP313">
        <v>0</v>
      </c>
      <c r="HQ313">
        <v>0</v>
      </c>
      <c r="HR313">
        <v>2</v>
      </c>
      <c r="HS313">
        <v>1700</v>
      </c>
      <c r="HT313">
        <v>5</v>
      </c>
      <c r="HU313">
        <v>1</v>
      </c>
      <c r="HV313">
        <v>5</v>
      </c>
      <c r="HW313">
        <v>0</v>
      </c>
      <c r="HX313">
        <v>1</v>
      </c>
      <c r="HY313">
        <v>0</v>
      </c>
      <c r="HZ313">
        <v>61</v>
      </c>
      <c r="IA313">
        <v>1703</v>
      </c>
      <c r="IB313">
        <v>1710</v>
      </c>
      <c r="ID313">
        <v>1746</v>
      </c>
      <c r="IE313">
        <v>1746</v>
      </c>
      <c r="IF313">
        <v>145</v>
      </c>
      <c r="IG313">
        <v>135</v>
      </c>
      <c r="IH313">
        <v>184</v>
      </c>
      <c r="II313">
        <v>1</v>
      </c>
      <c r="IJ313">
        <v>5</v>
      </c>
      <c r="IK313">
        <v>0</v>
      </c>
      <c r="IL313">
        <v>1</v>
      </c>
      <c r="IM313">
        <v>0</v>
      </c>
      <c r="IN313">
        <v>270</v>
      </c>
      <c r="IO313">
        <v>0</v>
      </c>
      <c r="IP313">
        <v>180</v>
      </c>
      <c r="IQ313">
        <v>0</v>
      </c>
      <c r="IR313">
        <v>330</v>
      </c>
      <c r="IS313">
        <v>0</v>
      </c>
      <c r="IT313">
        <v>100</v>
      </c>
      <c r="IU313">
        <v>0</v>
      </c>
      <c r="IV313">
        <v>6.4</v>
      </c>
      <c r="IW313">
        <v>-6</v>
      </c>
      <c r="IX313">
        <v>76</v>
      </c>
      <c r="IY313">
        <v>67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322</v>
      </c>
      <c r="JJ313">
        <v>292</v>
      </c>
      <c r="JK313">
        <v>220</v>
      </c>
      <c r="JL313">
        <v>288</v>
      </c>
      <c r="JM313">
        <v>225</v>
      </c>
      <c r="JN313">
        <v>150</v>
      </c>
      <c r="JO313">
        <v>202</v>
      </c>
      <c r="JP313">
        <v>240</v>
      </c>
      <c r="JQ313">
        <v>290</v>
      </c>
      <c r="JR313">
        <v>352</v>
      </c>
      <c r="JS313">
        <v>280</v>
      </c>
      <c r="JT313">
        <v>0</v>
      </c>
      <c r="JU313">
        <v>0</v>
      </c>
      <c r="JV313">
        <v>335</v>
      </c>
      <c r="JW313">
        <v>337</v>
      </c>
      <c r="JX313">
        <v>346</v>
      </c>
      <c r="JY313">
        <v>310</v>
      </c>
      <c r="JZ313">
        <v>0.5</v>
      </c>
      <c r="KA313">
        <v>0.2</v>
      </c>
      <c r="KB313">
        <v>0.4</v>
      </c>
      <c r="KC313">
        <v>0.42</v>
      </c>
      <c r="KD313">
        <v>0.3</v>
      </c>
      <c r="KE313">
        <v>0.5</v>
      </c>
      <c r="KF313">
        <v>0.18</v>
      </c>
      <c r="KG313">
        <v>0.11</v>
      </c>
      <c r="KH313">
        <v>3.5</v>
      </c>
      <c r="KI313">
        <v>1</v>
      </c>
      <c r="KJ313">
        <v>4.5</v>
      </c>
      <c r="KK313">
        <v>0</v>
      </c>
      <c r="KL313">
        <v>4.5</v>
      </c>
      <c r="KM313">
        <v>0</v>
      </c>
      <c r="KN313">
        <v>1.3</v>
      </c>
      <c r="KO313">
        <v>1</v>
      </c>
      <c r="KP313">
        <v>1.2</v>
      </c>
      <c r="KQ313">
        <v>0.7</v>
      </c>
      <c r="KR313">
        <v>1</v>
      </c>
      <c r="KS313">
        <v>0</v>
      </c>
      <c r="KT313">
        <v>2.3</v>
      </c>
      <c r="KU313">
        <v>0</v>
      </c>
      <c r="KV313">
        <v>0</v>
      </c>
      <c r="KW313">
        <v>1.2</v>
      </c>
      <c r="KX313">
        <v>2</v>
      </c>
      <c r="KY313">
        <v>0</v>
      </c>
      <c r="KZ313">
        <v>3.5</v>
      </c>
      <c r="LA313">
        <v>2</v>
      </c>
      <c r="LB313">
        <v>10</v>
      </c>
      <c r="LC313">
        <v>3.5</v>
      </c>
      <c r="LD313">
        <v>3</v>
      </c>
      <c r="LE313">
        <v>2</v>
      </c>
      <c r="LF313">
        <v>0</v>
      </c>
      <c r="LG313">
        <v>0</v>
      </c>
      <c r="LH313">
        <v>3</v>
      </c>
      <c r="LI313">
        <v>0.5</v>
      </c>
      <c r="LJ313">
        <v>0.1</v>
      </c>
      <c r="LK313">
        <v>6</v>
      </c>
      <c r="LL313">
        <v>4</v>
      </c>
      <c r="LM313">
        <v>10</v>
      </c>
      <c r="LN313">
        <v>0.1</v>
      </c>
      <c r="LO313">
        <v>0.1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12</v>
      </c>
      <c r="MC313">
        <v>0</v>
      </c>
      <c r="MD313">
        <v>4.5</v>
      </c>
      <c r="ME313">
        <v>6</v>
      </c>
      <c r="MF313">
        <v>6</v>
      </c>
      <c r="MN313">
        <v>140</v>
      </c>
      <c r="MO313">
        <v>182</v>
      </c>
      <c r="NU313">
        <v>0.15</v>
      </c>
      <c r="NV313">
        <v>0.25</v>
      </c>
      <c r="NW313">
        <v>0.3</v>
      </c>
      <c r="NX313">
        <v>2</v>
      </c>
      <c r="NY313">
        <v>2</v>
      </c>
      <c r="NZ313">
        <v>2</v>
      </c>
      <c r="OE313" t="s">
        <v>4904</v>
      </c>
      <c r="OF313" t="s">
        <v>4902</v>
      </c>
      <c r="OG313" t="s">
        <v>4903</v>
      </c>
      <c r="OH313" t="s">
        <v>4426</v>
      </c>
      <c r="OI313" t="s">
        <v>4904</v>
      </c>
      <c r="OJ313" t="s">
        <v>5073</v>
      </c>
      <c r="OK313">
        <v>61</v>
      </c>
      <c r="OL313">
        <v>61</v>
      </c>
      <c r="OM313" t="s">
        <v>4902</v>
      </c>
      <c r="ON313">
        <v>1</v>
      </c>
      <c r="OO313">
        <v>1703</v>
      </c>
      <c r="OP313">
        <v>61</v>
      </c>
      <c r="OQ313">
        <v>61</v>
      </c>
      <c r="OR313" t="s">
        <v>4903</v>
      </c>
      <c r="OS313">
        <v>1</v>
      </c>
      <c r="OT313">
        <v>1710</v>
      </c>
      <c r="OU313">
        <v>65</v>
      </c>
      <c r="OV313">
        <v>65</v>
      </c>
      <c r="OW313" t="s">
        <v>4426</v>
      </c>
      <c r="OX313">
        <v>1</v>
      </c>
      <c r="OY313">
        <v>24330</v>
      </c>
      <c r="OZ313">
        <v>51</v>
      </c>
      <c r="PA313">
        <v>51</v>
      </c>
      <c r="PB313" t="s">
        <v>4904</v>
      </c>
      <c r="PC313">
        <v>1</v>
      </c>
      <c r="PD313">
        <v>1746</v>
      </c>
      <c r="PF313">
        <v>265</v>
      </c>
      <c r="PG313">
        <v>29</v>
      </c>
      <c r="PH313">
        <v>247</v>
      </c>
      <c r="PI313">
        <v>29</v>
      </c>
      <c r="PJ313">
        <v>100</v>
      </c>
      <c r="PL313">
        <v>873.9</v>
      </c>
      <c r="PM313">
        <v>791.6</v>
      </c>
      <c r="PN313">
        <v>72.8</v>
      </c>
      <c r="PO313">
        <v>10.7</v>
      </c>
      <c r="PP313">
        <v>12</v>
      </c>
      <c r="PQ313">
        <v>2</v>
      </c>
      <c r="PR313" t="s">
        <v>4465</v>
      </c>
      <c r="PS313">
        <v>6</v>
      </c>
      <c r="PT313">
        <v>184</v>
      </c>
      <c r="PU313">
        <v>12</v>
      </c>
      <c r="PV313" t="s">
        <v>4882</v>
      </c>
      <c r="PW313" t="s">
        <v>4882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-1</v>
      </c>
      <c r="QF313">
        <v>1</v>
      </c>
      <c r="QG313">
        <v>0</v>
      </c>
      <c r="QH313">
        <v>5</v>
      </c>
      <c r="QI313">
        <v>5</v>
      </c>
      <c r="QJ313">
        <v>5</v>
      </c>
      <c r="QK313">
        <v>153</v>
      </c>
      <c r="QL313">
        <v>352</v>
      </c>
      <c r="QM313">
        <v>7.5</v>
      </c>
      <c r="QN313">
        <v>1123</v>
      </c>
      <c r="QO313" t="s">
        <v>3491</v>
      </c>
      <c r="QP313" t="s">
        <v>513</v>
      </c>
      <c r="QQ313">
        <v>0</v>
      </c>
      <c r="QR313" t="s">
        <v>540</v>
      </c>
    </row>
    <row r="314" spans="1:462">
      <c r="A314" t="s">
        <v>3600</v>
      </c>
      <c r="B314" t="s">
        <v>508</v>
      </c>
      <c r="C314" t="s">
        <v>509</v>
      </c>
      <c r="D314" t="s">
        <v>3579</v>
      </c>
      <c r="E314" t="s">
        <v>4036</v>
      </c>
      <c r="H314" t="s">
        <v>3580</v>
      </c>
      <c r="J314" t="s">
        <v>562</v>
      </c>
      <c r="M314" t="s">
        <v>512</v>
      </c>
      <c r="N314" t="s">
        <v>515</v>
      </c>
      <c r="O314" t="s">
        <v>513</v>
      </c>
      <c r="P314" t="s">
        <v>517</v>
      </c>
      <c r="Q314" t="s">
        <v>518</v>
      </c>
      <c r="R314" t="s">
        <v>519</v>
      </c>
      <c r="S314" t="s">
        <v>4037</v>
      </c>
      <c r="T314" t="s">
        <v>520</v>
      </c>
      <c r="U314" t="s">
        <v>521</v>
      </c>
      <c r="V314" t="s">
        <v>3098</v>
      </c>
      <c r="W314" t="s">
        <v>3582</v>
      </c>
      <c r="Y314" t="s">
        <v>3601</v>
      </c>
      <c r="Z314" t="s">
        <v>541</v>
      </c>
      <c r="AA314" t="s">
        <v>4038</v>
      </c>
      <c r="AB314" t="s">
        <v>5074</v>
      </c>
      <c r="AC314">
        <v>10</v>
      </c>
      <c r="AD314" t="s">
        <v>3599</v>
      </c>
      <c r="AE314">
        <v>1</v>
      </c>
      <c r="AF314">
        <v>3468</v>
      </c>
      <c r="AG314" t="s">
        <v>4902</v>
      </c>
      <c r="AH314">
        <v>1</v>
      </c>
      <c r="AI314" t="s">
        <v>4041</v>
      </c>
      <c r="AK314" t="s">
        <v>4903</v>
      </c>
      <c r="AL314">
        <v>1</v>
      </c>
      <c r="AM314" t="s">
        <v>582</v>
      </c>
      <c r="AO314" t="s">
        <v>4426</v>
      </c>
      <c r="AP314">
        <v>1</v>
      </c>
      <c r="AR314" t="s">
        <v>4904</v>
      </c>
      <c r="AS314">
        <v>1</v>
      </c>
      <c r="AT314">
        <v>51</v>
      </c>
      <c r="AV314" t="s">
        <v>4045</v>
      </c>
      <c r="AW314">
        <v>6.4</v>
      </c>
      <c r="AX314">
        <v>-6</v>
      </c>
      <c r="AY314">
        <v>76</v>
      </c>
      <c r="AZ314">
        <v>67</v>
      </c>
      <c r="BH314">
        <v>76</v>
      </c>
      <c r="BI314">
        <v>9</v>
      </c>
      <c r="BJ314">
        <v>67</v>
      </c>
      <c r="BK314">
        <v>3.5</v>
      </c>
      <c r="BL314">
        <v>152</v>
      </c>
      <c r="BM314">
        <v>-6</v>
      </c>
      <c r="BN314">
        <v>0</v>
      </c>
      <c r="BP314">
        <v>0</v>
      </c>
      <c r="BR314">
        <v>145</v>
      </c>
      <c r="BS314">
        <v>135</v>
      </c>
      <c r="BT314">
        <v>1700</v>
      </c>
      <c r="BU314" t="s">
        <v>4355</v>
      </c>
      <c r="BW314" t="s">
        <v>4356</v>
      </c>
      <c r="BY314" t="s">
        <v>4357</v>
      </c>
      <c r="BZ314" t="s">
        <v>4357</v>
      </c>
      <c r="CA314" t="s">
        <v>4051</v>
      </c>
      <c r="CB314" t="s">
        <v>4052</v>
      </c>
      <c r="CC314" t="s">
        <v>4053</v>
      </c>
      <c r="CD314" t="s">
        <v>4054</v>
      </c>
      <c r="CE314" t="s">
        <v>4055</v>
      </c>
      <c r="CF314" t="s">
        <v>4055</v>
      </c>
      <c r="CG314" t="s">
        <v>4056</v>
      </c>
      <c r="CH314" t="s">
        <v>4145</v>
      </c>
      <c r="CI314" t="s">
        <v>4058</v>
      </c>
      <c r="CJ314" t="s">
        <v>4610</v>
      </c>
      <c r="CK314" t="s">
        <v>4611</v>
      </c>
      <c r="CL314" t="s">
        <v>4612</v>
      </c>
      <c r="CM314" t="s">
        <v>4055</v>
      </c>
      <c r="CN314" t="s">
        <v>4062</v>
      </c>
      <c r="CO314" t="s">
        <v>4063</v>
      </c>
      <c r="CP314" t="s">
        <v>4055</v>
      </c>
      <c r="CQ314" t="s">
        <v>4055</v>
      </c>
      <c r="CR314">
        <v>5</v>
      </c>
      <c r="CS314" t="s">
        <v>4055</v>
      </c>
      <c r="CT314" t="s">
        <v>4055</v>
      </c>
      <c r="CU314" t="s">
        <v>4055</v>
      </c>
      <c r="CV314">
        <v>102</v>
      </c>
      <c r="CW314">
        <v>3</v>
      </c>
      <c r="CX314">
        <v>60</v>
      </c>
      <c r="CY314">
        <v>5</v>
      </c>
      <c r="CZ314">
        <v>114</v>
      </c>
      <c r="DA314">
        <v>5</v>
      </c>
      <c r="DB314">
        <v>7970</v>
      </c>
      <c r="DC314">
        <v>220</v>
      </c>
      <c r="DD314">
        <v>270</v>
      </c>
      <c r="DE314">
        <v>1794</v>
      </c>
      <c r="DF314">
        <v>1794</v>
      </c>
      <c r="DG314">
        <v>1807</v>
      </c>
      <c r="DH314" t="s">
        <v>4055</v>
      </c>
      <c r="DI314" t="s">
        <v>4055</v>
      </c>
      <c r="DJ314" t="s">
        <v>4100</v>
      </c>
      <c r="DK314">
        <v>145</v>
      </c>
      <c r="DL314" t="s">
        <v>4065</v>
      </c>
      <c r="DM314">
        <v>61</v>
      </c>
      <c r="DN314">
        <v>0.84</v>
      </c>
      <c r="DO314">
        <v>1</v>
      </c>
      <c r="DP314">
        <v>1703</v>
      </c>
      <c r="DQ314">
        <v>451</v>
      </c>
      <c r="DR314" t="s">
        <v>4100</v>
      </c>
      <c r="DS314">
        <v>135</v>
      </c>
      <c r="DT314" t="s">
        <v>4065</v>
      </c>
      <c r="DU314">
        <v>61</v>
      </c>
      <c r="DV314">
        <v>0.84</v>
      </c>
      <c r="DW314">
        <v>1</v>
      </c>
      <c r="DX314">
        <v>1710</v>
      </c>
      <c r="DY314">
        <v>422</v>
      </c>
      <c r="DZ314" t="s">
        <v>4066</v>
      </c>
      <c r="EA314">
        <v>33</v>
      </c>
      <c r="EB314" t="s">
        <v>4065</v>
      </c>
      <c r="EC314">
        <v>0.4</v>
      </c>
      <c r="ED314">
        <v>1703</v>
      </c>
      <c r="EE314">
        <v>49</v>
      </c>
      <c r="EF314" t="s">
        <v>4066</v>
      </c>
      <c r="EG314">
        <v>33</v>
      </c>
      <c r="EH314" t="s">
        <v>4065</v>
      </c>
      <c r="EI314">
        <v>0.4</v>
      </c>
      <c r="EJ314">
        <v>1710</v>
      </c>
      <c r="EK314">
        <v>50</v>
      </c>
      <c r="EL314" t="s">
        <v>4429</v>
      </c>
      <c r="EM314">
        <v>12</v>
      </c>
      <c r="EN314">
        <v>0.5</v>
      </c>
      <c r="EO314">
        <v>0.9</v>
      </c>
      <c r="EP314">
        <v>1710.56</v>
      </c>
      <c r="EQ314">
        <v>21916.55</v>
      </c>
      <c r="ER314">
        <v>2413.43</v>
      </c>
      <c r="ES314">
        <v>0</v>
      </c>
      <c r="ET314">
        <v>0</v>
      </c>
      <c r="EU314">
        <v>1</v>
      </c>
      <c r="EV314">
        <v>24330</v>
      </c>
      <c r="EW314">
        <v>292</v>
      </c>
      <c r="EX314" t="s">
        <v>4287</v>
      </c>
      <c r="EY314">
        <v>160</v>
      </c>
      <c r="EZ314" t="s">
        <v>4055</v>
      </c>
      <c r="FA314">
        <v>4.7</v>
      </c>
      <c r="FB314">
        <v>1</v>
      </c>
      <c r="FC314">
        <v>1</v>
      </c>
      <c r="FD314">
        <v>1746</v>
      </c>
      <c r="FE314">
        <v>1526</v>
      </c>
      <c r="FF314" t="s">
        <v>4288</v>
      </c>
      <c r="FG314">
        <v>160</v>
      </c>
      <c r="FH314" t="s">
        <v>4055</v>
      </c>
      <c r="FI314">
        <v>4.1</v>
      </c>
      <c r="FJ314">
        <v>1746</v>
      </c>
      <c r="FK314">
        <v>1382</v>
      </c>
      <c r="FL314" t="s">
        <v>4069</v>
      </c>
      <c r="FM314" t="s">
        <v>4055</v>
      </c>
      <c r="FN314" t="s">
        <v>4055</v>
      </c>
      <c r="FO314" t="s">
        <v>4055</v>
      </c>
      <c r="FP314">
        <v>1746</v>
      </c>
      <c r="FQ314">
        <v>175</v>
      </c>
      <c r="FR314" t="s">
        <v>4090</v>
      </c>
      <c r="FS314">
        <v>164</v>
      </c>
      <c r="FT314" t="s">
        <v>4055</v>
      </c>
      <c r="FU314">
        <v>0.4</v>
      </c>
      <c r="FV314">
        <v>1746</v>
      </c>
      <c r="FW314">
        <v>127</v>
      </c>
      <c r="FX314" t="s">
        <v>4070</v>
      </c>
      <c r="FY314">
        <v>5</v>
      </c>
      <c r="FZ314" t="s">
        <v>4055</v>
      </c>
      <c r="GA314" t="s">
        <v>4055</v>
      </c>
      <c r="GB314">
        <v>1746</v>
      </c>
      <c r="GC314">
        <v>19</v>
      </c>
      <c r="GD314">
        <v>3229</v>
      </c>
      <c r="GE314" t="s">
        <v>4904</v>
      </c>
      <c r="GF314" t="s">
        <v>4055</v>
      </c>
      <c r="GG314" t="s">
        <v>4055</v>
      </c>
      <c r="GH314" t="s">
        <v>4055</v>
      </c>
      <c r="GI314" t="s">
        <v>4071</v>
      </c>
      <c r="GJ314" t="s">
        <v>4055</v>
      </c>
      <c r="GK314" t="s">
        <v>4055</v>
      </c>
      <c r="GL314" t="s">
        <v>4055</v>
      </c>
      <c r="GM314" t="s">
        <v>4055</v>
      </c>
      <c r="GQ314">
        <v>0</v>
      </c>
      <c r="GV314">
        <v>9.199999999999999</v>
      </c>
      <c r="GW314">
        <v>11.2</v>
      </c>
      <c r="GX314">
        <v>0.5</v>
      </c>
      <c r="GY314">
        <v>142</v>
      </c>
      <c r="GZ314">
        <v>3</v>
      </c>
      <c r="HA314">
        <v>184</v>
      </c>
      <c r="HB314">
        <v>3</v>
      </c>
      <c r="HC314">
        <v>1746</v>
      </c>
      <c r="HD314">
        <v>4</v>
      </c>
      <c r="HE314" t="s">
        <v>4071</v>
      </c>
      <c r="HG314" t="s">
        <v>549</v>
      </c>
      <c r="HL314">
        <v>4</v>
      </c>
      <c r="HM314">
        <v>16</v>
      </c>
      <c r="HN314">
        <v>6</v>
      </c>
      <c r="HO314">
        <v>1</v>
      </c>
      <c r="HP314">
        <v>0</v>
      </c>
      <c r="HQ314">
        <v>0</v>
      </c>
      <c r="HR314">
        <v>2</v>
      </c>
      <c r="HS314">
        <v>1700</v>
      </c>
      <c r="HT314">
        <v>5</v>
      </c>
      <c r="HU314">
        <v>1</v>
      </c>
      <c r="HV314">
        <v>5</v>
      </c>
      <c r="HW314">
        <v>0</v>
      </c>
      <c r="HX314">
        <v>1</v>
      </c>
      <c r="HY314">
        <v>0</v>
      </c>
      <c r="HZ314">
        <v>61</v>
      </c>
      <c r="IA314">
        <v>1703</v>
      </c>
      <c r="IB314">
        <v>1710</v>
      </c>
      <c r="ID314">
        <v>1746</v>
      </c>
      <c r="IE314">
        <v>1746</v>
      </c>
      <c r="IF314">
        <v>145</v>
      </c>
      <c r="IG314">
        <v>135</v>
      </c>
      <c r="IH314">
        <v>184</v>
      </c>
      <c r="II314">
        <v>1</v>
      </c>
      <c r="IJ314">
        <v>5</v>
      </c>
      <c r="IK314">
        <v>0</v>
      </c>
      <c r="IL314">
        <v>1</v>
      </c>
      <c r="IM314">
        <v>0</v>
      </c>
      <c r="IN314">
        <v>270</v>
      </c>
      <c r="IO314">
        <v>0</v>
      </c>
      <c r="IP314">
        <v>180</v>
      </c>
      <c r="IQ314">
        <v>0</v>
      </c>
      <c r="IR314">
        <v>330</v>
      </c>
      <c r="IS314">
        <v>0</v>
      </c>
      <c r="IT314">
        <v>100</v>
      </c>
      <c r="IU314">
        <v>0</v>
      </c>
      <c r="IV314">
        <v>6.4</v>
      </c>
      <c r="IW314">
        <v>-6</v>
      </c>
      <c r="IX314">
        <v>76</v>
      </c>
      <c r="IY314">
        <v>67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322</v>
      </c>
      <c r="JJ314">
        <v>292</v>
      </c>
      <c r="JK314">
        <v>220</v>
      </c>
      <c r="JL314">
        <v>288</v>
      </c>
      <c r="JM314">
        <v>225</v>
      </c>
      <c r="JN314">
        <v>150</v>
      </c>
      <c r="JO314">
        <v>202</v>
      </c>
      <c r="JP314">
        <v>240</v>
      </c>
      <c r="JQ314">
        <v>290</v>
      </c>
      <c r="JR314">
        <v>352</v>
      </c>
      <c r="JS314">
        <v>280</v>
      </c>
      <c r="JT314">
        <v>0</v>
      </c>
      <c r="JU314">
        <v>0</v>
      </c>
      <c r="JV314">
        <v>335</v>
      </c>
      <c r="JW314">
        <v>337</v>
      </c>
      <c r="JX314">
        <v>346</v>
      </c>
      <c r="JY314">
        <v>310</v>
      </c>
      <c r="JZ314">
        <v>0.5</v>
      </c>
      <c r="KA314">
        <v>0.2</v>
      </c>
      <c r="KB314">
        <v>0.4</v>
      </c>
      <c r="KC314">
        <v>0.42</v>
      </c>
      <c r="KD314">
        <v>0.3</v>
      </c>
      <c r="KE314">
        <v>0.5</v>
      </c>
      <c r="KF314">
        <v>0.18</v>
      </c>
      <c r="KG314">
        <v>0.11</v>
      </c>
      <c r="KH314">
        <v>3.5</v>
      </c>
      <c r="KI314">
        <v>1</v>
      </c>
      <c r="KJ314">
        <v>4.5</v>
      </c>
      <c r="KK314">
        <v>0</v>
      </c>
      <c r="KL314">
        <v>4.5</v>
      </c>
      <c r="KM314">
        <v>0</v>
      </c>
      <c r="KN314">
        <v>1.3</v>
      </c>
      <c r="KO314">
        <v>1</v>
      </c>
      <c r="KP314">
        <v>1.2</v>
      </c>
      <c r="KQ314">
        <v>0.7</v>
      </c>
      <c r="KR314">
        <v>1</v>
      </c>
      <c r="KS314">
        <v>0</v>
      </c>
      <c r="KT314">
        <v>2.3</v>
      </c>
      <c r="KU314">
        <v>0</v>
      </c>
      <c r="KV314">
        <v>0</v>
      </c>
      <c r="KW314">
        <v>1.2</v>
      </c>
      <c r="KX314">
        <v>2</v>
      </c>
      <c r="KY314">
        <v>0</v>
      </c>
      <c r="KZ314">
        <v>3.5</v>
      </c>
      <c r="LA314">
        <v>2</v>
      </c>
      <c r="LB314">
        <v>10</v>
      </c>
      <c r="LC314">
        <v>3.5</v>
      </c>
      <c r="LD314">
        <v>3</v>
      </c>
      <c r="LE314">
        <v>2</v>
      </c>
      <c r="LF314">
        <v>0</v>
      </c>
      <c r="LG314">
        <v>0</v>
      </c>
      <c r="LH314">
        <v>3</v>
      </c>
      <c r="LI314">
        <v>0.5</v>
      </c>
      <c r="LJ314">
        <v>0.1</v>
      </c>
      <c r="LK314">
        <v>6</v>
      </c>
      <c r="LL314">
        <v>4</v>
      </c>
      <c r="LM314">
        <v>10</v>
      </c>
      <c r="LN314">
        <v>0.1</v>
      </c>
      <c r="LO314">
        <v>0.1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12</v>
      </c>
      <c r="MC314">
        <v>0</v>
      </c>
      <c r="MD314">
        <v>4.5</v>
      </c>
      <c r="ME314">
        <v>6</v>
      </c>
      <c r="MF314">
        <v>6</v>
      </c>
      <c r="MN314">
        <v>140</v>
      </c>
      <c r="MO314">
        <v>182</v>
      </c>
      <c r="NU314">
        <v>0.15</v>
      </c>
      <c r="NV314">
        <v>0.25</v>
      </c>
      <c r="NW314">
        <v>0.3</v>
      </c>
      <c r="NX314">
        <v>2</v>
      </c>
      <c r="NY314">
        <v>2</v>
      </c>
      <c r="NZ314">
        <v>2</v>
      </c>
      <c r="OE314" t="s">
        <v>4904</v>
      </c>
      <c r="OF314" t="s">
        <v>4902</v>
      </c>
      <c r="OG314" t="s">
        <v>4903</v>
      </c>
      <c r="OH314" t="s">
        <v>4426</v>
      </c>
      <c r="OI314" t="s">
        <v>4904</v>
      </c>
      <c r="OJ314" t="s">
        <v>5074</v>
      </c>
      <c r="OK314">
        <v>61</v>
      </c>
      <c r="OL314">
        <v>61</v>
      </c>
      <c r="OM314" t="s">
        <v>4902</v>
      </c>
      <c r="ON314">
        <v>1</v>
      </c>
      <c r="OO314">
        <v>1703</v>
      </c>
      <c r="OP314">
        <v>61</v>
      </c>
      <c r="OQ314">
        <v>61</v>
      </c>
      <c r="OR314" t="s">
        <v>4903</v>
      </c>
      <c r="OS314">
        <v>1</v>
      </c>
      <c r="OT314">
        <v>1710</v>
      </c>
      <c r="OU314">
        <v>65</v>
      </c>
      <c r="OV314">
        <v>65</v>
      </c>
      <c r="OW314" t="s">
        <v>4426</v>
      </c>
      <c r="OX314">
        <v>1</v>
      </c>
      <c r="OY314">
        <v>24330</v>
      </c>
      <c r="OZ314">
        <v>51</v>
      </c>
      <c r="PA314">
        <v>51</v>
      </c>
      <c r="PB314" t="s">
        <v>4904</v>
      </c>
      <c r="PC314">
        <v>1</v>
      </c>
      <c r="PD314">
        <v>1746</v>
      </c>
      <c r="PF314">
        <v>265</v>
      </c>
      <c r="PG314">
        <v>29</v>
      </c>
      <c r="PH314">
        <v>247</v>
      </c>
      <c r="PI314">
        <v>29</v>
      </c>
      <c r="PJ314">
        <v>100</v>
      </c>
      <c r="PL314">
        <v>873.9</v>
      </c>
      <c r="PM314">
        <v>791.6</v>
      </c>
      <c r="PN314">
        <v>72.8</v>
      </c>
      <c r="PO314">
        <v>10.7</v>
      </c>
      <c r="PP314">
        <v>12</v>
      </c>
      <c r="PQ314">
        <v>2</v>
      </c>
      <c r="PR314" t="s">
        <v>4465</v>
      </c>
      <c r="PS314">
        <v>6</v>
      </c>
      <c r="PT314">
        <v>184</v>
      </c>
      <c r="PU314">
        <v>12</v>
      </c>
      <c r="PV314" t="s">
        <v>4882</v>
      </c>
      <c r="PW314" t="s">
        <v>4882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-1</v>
      </c>
      <c r="QF314">
        <v>1</v>
      </c>
      <c r="QG314">
        <v>0</v>
      </c>
      <c r="QH314">
        <v>5</v>
      </c>
      <c r="QI314">
        <v>5</v>
      </c>
      <c r="QJ314">
        <v>5</v>
      </c>
      <c r="QK314">
        <v>153</v>
      </c>
      <c r="QL314">
        <v>352</v>
      </c>
      <c r="QM314">
        <v>7.5</v>
      </c>
      <c r="QN314">
        <v>1123</v>
      </c>
      <c r="QO314" t="s">
        <v>3491</v>
      </c>
      <c r="QP314" t="s">
        <v>513</v>
      </c>
      <c r="QQ314">
        <v>0</v>
      </c>
      <c r="QR314" t="s">
        <v>540</v>
      </c>
    </row>
    <row r="315" spans="1:462">
      <c r="A315" t="s">
        <v>5075</v>
      </c>
      <c r="B315" t="s">
        <v>508</v>
      </c>
      <c r="C315" t="s">
        <v>509</v>
      </c>
      <c r="D315" t="s">
        <v>3579</v>
      </c>
      <c r="E315" t="s">
        <v>4036</v>
      </c>
      <c r="H315" t="s">
        <v>3580</v>
      </c>
      <c r="J315" t="s">
        <v>562</v>
      </c>
      <c r="M315" t="s">
        <v>512</v>
      </c>
      <c r="N315" t="s">
        <v>515</v>
      </c>
      <c r="O315" t="s">
        <v>513</v>
      </c>
      <c r="P315" t="s">
        <v>517</v>
      </c>
      <c r="Q315" t="s">
        <v>518</v>
      </c>
      <c r="R315" t="s">
        <v>519</v>
      </c>
      <c r="S315" t="s">
        <v>4037</v>
      </c>
      <c r="T315" t="s">
        <v>520</v>
      </c>
      <c r="U315" t="s">
        <v>521</v>
      </c>
      <c r="V315" t="s">
        <v>3098</v>
      </c>
      <c r="W315" t="s">
        <v>3582</v>
      </c>
      <c r="Y315" t="s">
        <v>5076</v>
      </c>
      <c r="Z315" t="s">
        <v>541</v>
      </c>
      <c r="AA315" t="s">
        <v>4038</v>
      </c>
      <c r="AB315" t="s">
        <v>5077</v>
      </c>
      <c r="AC315">
        <v>10</v>
      </c>
      <c r="AD315" t="s">
        <v>3602</v>
      </c>
      <c r="AE315">
        <v>1</v>
      </c>
      <c r="AF315">
        <v>3468</v>
      </c>
      <c r="AG315" t="s">
        <v>4902</v>
      </c>
      <c r="AH315">
        <v>1</v>
      </c>
      <c r="AI315" t="s">
        <v>4041</v>
      </c>
      <c r="AK315" t="s">
        <v>4903</v>
      </c>
      <c r="AL315">
        <v>1</v>
      </c>
      <c r="AM315" t="s">
        <v>582</v>
      </c>
      <c r="AO315" t="s">
        <v>4426</v>
      </c>
      <c r="AP315">
        <v>1</v>
      </c>
      <c r="AR315" t="s">
        <v>4904</v>
      </c>
      <c r="AS315">
        <v>1</v>
      </c>
      <c r="AT315">
        <v>51</v>
      </c>
      <c r="AV315" t="s">
        <v>4045</v>
      </c>
      <c r="AW315">
        <v>6.4</v>
      </c>
      <c r="AX315">
        <v>-6</v>
      </c>
      <c r="AY315">
        <v>76</v>
      </c>
      <c r="AZ315">
        <v>67</v>
      </c>
      <c r="BH315">
        <v>76</v>
      </c>
      <c r="BI315">
        <v>9</v>
      </c>
      <c r="BJ315">
        <v>67</v>
      </c>
      <c r="BK315">
        <v>3.5</v>
      </c>
      <c r="BL315">
        <v>152</v>
      </c>
      <c r="BM315">
        <v>-6</v>
      </c>
      <c r="BN315">
        <v>0</v>
      </c>
      <c r="BP315">
        <v>0</v>
      </c>
      <c r="BR315">
        <v>145</v>
      </c>
      <c r="BS315">
        <v>135</v>
      </c>
      <c r="BT315">
        <v>1700</v>
      </c>
      <c r="BU315" t="s">
        <v>4355</v>
      </c>
      <c r="BW315" t="s">
        <v>4356</v>
      </c>
      <c r="BY315" t="s">
        <v>4357</v>
      </c>
      <c r="BZ315" t="s">
        <v>4357</v>
      </c>
      <c r="CA315" t="s">
        <v>4051</v>
      </c>
      <c r="CB315" t="s">
        <v>4052</v>
      </c>
      <c r="CC315" t="s">
        <v>4053</v>
      </c>
      <c r="CD315" t="s">
        <v>4054</v>
      </c>
      <c r="CE315" t="s">
        <v>4055</v>
      </c>
      <c r="CF315" t="s">
        <v>4055</v>
      </c>
      <c r="CG315" t="s">
        <v>4056</v>
      </c>
      <c r="CH315" t="s">
        <v>4145</v>
      </c>
      <c r="CI315" t="s">
        <v>4058</v>
      </c>
      <c r="CJ315" t="s">
        <v>4610</v>
      </c>
      <c r="CK315" t="s">
        <v>4611</v>
      </c>
      <c r="CL315" t="s">
        <v>4612</v>
      </c>
      <c r="CM315" t="s">
        <v>4055</v>
      </c>
      <c r="CN315" t="s">
        <v>4062</v>
      </c>
      <c r="CO315" t="s">
        <v>4063</v>
      </c>
      <c r="CP315" t="s">
        <v>4055</v>
      </c>
      <c r="CQ315" t="s">
        <v>4055</v>
      </c>
      <c r="CR315">
        <v>5</v>
      </c>
      <c r="CS315" t="s">
        <v>4055</v>
      </c>
      <c r="CT315" t="s">
        <v>4055</v>
      </c>
      <c r="CU315" t="s">
        <v>4055</v>
      </c>
      <c r="CV315">
        <v>102</v>
      </c>
      <c r="CW315">
        <v>3</v>
      </c>
      <c r="CX315">
        <v>60</v>
      </c>
      <c r="CY315">
        <v>5</v>
      </c>
      <c r="CZ315">
        <v>114</v>
      </c>
      <c r="DA315">
        <v>5</v>
      </c>
      <c r="DB315">
        <v>7970</v>
      </c>
      <c r="DC315">
        <v>220</v>
      </c>
      <c r="DD315">
        <v>270</v>
      </c>
      <c r="DE315">
        <v>1794</v>
      </c>
      <c r="DF315">
        <v>1794</v>
      </c>
      <c r="DG315">
        <v>1807</v>
      </c>
      <c r="DH315" t="s">
        <v>4055</v>
      </c>
      <c r="DI315" t="s">
        <v>4055</v>
      </c>
      <c r="DJ315" t="s">
        <v>4100</v>
      </c>
      <c r="DK315">
        <v>145</v>
      </c>
      <c r="DL315" t="s">
        <v>4065</v>
      </c>
      <c r="DM315">
        <v>61</v>
      </c>
      <c r="DN315">
        <v>0.84</v>
      </c>
      <c r="DO315">
        <v>1</v>
      </c>
      <c r="DP315">
        <v>1703</v>
      </c>
      <c r="DQ315">
        <v>451</v>
      </c>
      <c r="DR315" t="s">
        <v>4100</v>
      </c>
      <c r="DS315">
        <v>135</v>
      </c>
      <c r="DT315" t="s">
        <v>4065</v>
      </c>
      <c r="DU315">
        <v>61</v>
      </c>
      <c r="DV315">
        <v>0.84</v>
      </c>
      <c r="DW315">
        <v>1</v>
      </c>
      <c r="DX315">
        <v>1710</v>
      </c>
      <c r="DY315">
        <v>422</v>
      </c>
      <c r="DZ315" t="s">
        <v>4066</v>
      </c>
      <c r="EA315">
        <v>33</v>
      </c>
      <c r="EB315" t="s">
        <v>4065</v>
      </c>
      <c r="EC315">
        <v>0.4</v>
      </c>
      <c r="ED315">
        <v>1703</v>
      </c>
      <c r="EE315">
        <v>49</v>
      </c>
      <c r="EF315" t="s">
        <v>4066</v>
      </c>
      <c r="EG315">
        <v>33</v>
      </c>
      <c r="EH315" t="s">
        <v>4065</v>
      </c>
      <c r="EI315">
        <v>0.4</v>
      </c>
      <c r="EJ315">
        <v>1710</v>
      </c>
      <c r="EK315">
        <v>50</v>
      </c>
      <c r="EL315" t="s">
        <v>4429</v>
      </c>
      <c r="EM315">
        <v>12</v>
      </c>
      <c r="EN315">
        <v>0.5</v>
      </c>
      <c r="EO315">
        <v>0.9</v>
      </c>
      <c r="EP315">
        <v>1710.56</v>
      </c>
      <c r="EQ315">
        <v>21916.55</v>
      </c>
      <c r="ER315">
        <v>2413.43</v>
      </c>
      <c r="ES315">
        <v>0</v>
      </c>
      <c r="ET315">
        <v>0</v>
      </c>
      <c r="EU315">
        <v>1</v>
      </c>
      <c r="EV315">
        <v>24330</v>
      </c>
      <c r="EW315">
        <v>292</v>
      </c>
      <c r="EX315" t="s">
        <v>4287</v>
      </c>
      <c r="EY315">
        <v>160</v>
      </c>
      <c r="EZ315" t="s">
        <v>4055</v>
      </c>
      <c r="FA315">
        <v>4.7</v>
      </c>
      <c r="FB315">
        <v>1</v>
      </c>
      <c r="FC315">
        <v>1</v>
      </c>
      <c r="FD315">
        <v>1746</v>
      </c>
      <c r="FE315">
        <v>1526</v>
      </c>
      <c r="FF315" t="s">
        <v>4288</v>
      </c>
      <c r="FG315">
        <v>160</v>
      </c>
      <c r="FH315" t="s">
        <v>4055</v>
      </c>
      <c r="FI315">
        <v>4.1</v>
      </c>
      <c r="FJ315">
        <v>1746</v>
      </c>
      <c r="FK315">
        <v>1382</v>
      </c>
      <c r="FL315" t="s">
        <v>4069</v>
      </c>
      <c r="FM315" t="s">
        <v>4055</v>
      </c>
      <c r="FN315" t="s">
        <v>4055</v>
      </c>
      <c r="FO315" t="s">
        <v>4055</v>
      </c>
      <c r="FP315">
        <v>1746</v>
      </c>
      <c r="FQ315">
        <v>175</v>
      </c>
      <c r="FR315" t="s">
        <v>4090</v>
      </c>
      <c r="FS315">
        <v>164</v>
      </c>
      <c r="FT315" t="s">
        <v>4055</v>
      </c>
      <c r="FU315">
        <v>0.4</v>
      </c>
      <c r="FV315">
        <v>1746</v>
      </c>
      <c r="FW315">
        <v>127</v>
      </c>
      <c r="FX315" t="s">
        <v>4070</v>
      </c>
      <c r="FY315">
        <v>5</v>
      </c>
      <c r="FZ315" t="s">
        <v>4055</v>
      </c>
      <c r="GA315" t="s">
        <v>4055</v>
      </c>
      <c r="GB315">
        <v>1746</v>
      </c>
      <c r="GC315">
        <v>19</v>
      </c>
      <c r="GD315">
        <v>3229</v>
      </c>
      <c r="GE315" t="s">
        <v>4904</v>
      </c>
      <c r="GF315" t="s">
        <v>4055</v>
      </c>
      <c r="GG315" t="s">
        <v>4055</v>
      </c>
      <c r="GH315" t="s">
        <v>4055</v>
      </c>
      <c r="GI315" t="s">
        <v>4071</v>
      </c>
      <c r="GJ315" t="s">
        <v>4055</v>
      </c>
      <c r="GK315" t="s">
        <v>4055</v>
      </c>
      <c r="GL315" t="s">
        <v>4055</v>
      </c>
      <c r="GM315" t="s">
        <v>4055</v>
      </c>
      <c r="GQ315">
        <v>0</v>
      </c>
      <c r="GV315">
        <v>9.199999999999999</v>
      </c>
      <c r="GW315">
        <v>11.2</v>
      </c>
      <c r="GX315">
        <v>0.5</v>
      </c>
      <c r="GY315">
        <v>142</v>
      </c>
      <c r="GZ315">
        <v>3</v>
      </c>
      <c r="HA315">
        <v>184</v>
      </c>
      <c r="HB315">
        <v>3</v>
      </c>
      <c r="HC315">
        <v>1746</v>
      </c>
      <c r="HD315">
        <v>4</v>
      </c>
      <c r="HE315" t="s">
        <v>4071</v>
      </c>
      <c r="HG315" t="s">
        <v>549</v>
      </c>
      <c r="HL315">
        <v>4</v>
      </c>
      <c r="HM315">
        <v>16</v>
      </c>
      <c r="HN315">
        <v>6</v>
      </c>
      <c r="HO315">
        <v>1</v>
      </c>
      <c r="HP315">
        <v>0</v>
      </c>
      <c r="HQ315">
        <v>0</v>
      </c>
      <c r="HR315">
        <v>2</v>
      </c>
      <c r="HS315">
        <v>1700</v>
      </c>
      <c r="HT315">
        <v>5</v>
      </c>
      <c r="HU315">
        <v>1</v>
      </c>
      <c r="HV315">
        <v>5</v>
      </c>
      <c r="HW315">
        <v>0</v>
      </c>
      <c r="HX315">
        <v>1</v>
      </c>
      <c r="HY315">
        <v>0</v>
      </c>
      <c r="HZ315">
        <v>61</v>
      </c>
      <c r="IA315">
        <v>1703</v>
      </c>
      <c r="IB315">
        <v>1710</v>
      </c>
      <c r="ID315">
        <v>1746</v>
      </c>
      <c r="IE315">
        <v>1746</v>
      </c>
      <c r="IF315">
        <v>145</v>
      </c>
      <c r="IG315">
        <v>135</v>
      </c>
      <c r="IH315">
        <v>184</v>
      </c>
      <c r="II315">
        <v>1</v>
      </c>
      <c r="IJ315">
        <v>5</v>
      </c>
      <c r="IK315">
        <v>0</v>
      </c>
      <c r="IL315">
        <v>1</v>
      </c>
      <c r="IM315">
        <v>0</v>
      </c>
      <c r="IN315">
        <v>270</v>
      </c>
      <c r="IO315">
        <v>0</v>
      </c>
      <c r="IP315">
        <v>180</v>
      </c>
      <c r="IQ315">
        <v>0</v>
      </c>
      <c r="IR315">
        <v>330</v>
      </c>
      <c r="IS315">
        <v>0</v>
      </c>
      <c r="IT315">
        <v>100</v>
      </c>
      <c r="IU315">
        <v>0</v>
      </c>
      <c r="IV315">
        <v>6.4</v>
      </c>
      <c r="IW315">
        <v>-6</v>
      </c>
      <c r="IX315">
        <v>76</v>
      </c>
      <c r="IY315">
        <v>67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322</v>
      </c>
      <c r="JJ315">
        <v>292</v>
      </c>
      <c r="JK315">
        <v>220</v>
      </c>
      <c r="JL315">
        <v>288</v>
      </c>
      <c r="JM315">
        <v>225</v>
      </c>
      <c r="JN315">
        <v>150</v>
      </c>
      <c r="JO315">
        <v>202</v>
      </c>
      <c r="JP315">
        <v>240</v>
      </c>
      <c r="JQ315">
        <v>290</v>
      </c>
      <c r="JR315">
        <v>352</v>
      </c>
      <c r="JS315">
        <v>280</v>
      </c>
      <c r="JT315">
        <v>0</v>
      </c>
      <c r="JU315">
        <v>0</v>
      </c>
      <c r="JV315">
        <v>335</v>
      </c>
      <c r="JW315">
        <v>337</v>
      </c>
      <c r="JX315">
        <v>346</v>
      </c>
      <c r="JY315">
        <v>310</v>
      </c>
      <c r="JZ315">
        <v>0.5</v>
      </c>
      <c r="KA315">
        <v>0.2</v>
      </c>
      <c r="KB315">
        <v>0.4</v>
      </c>
      <c r="KC315">
        <v>0.42</v>
      </c>
      <c r="KD315">
        <v>0.3</v>
      </c>
      <c r="KE315">
        <v>0.5</v>
      </c>
      <c r="KF315">
        <v>0.18</v>
      </c>
      <c r="KG315">
        <v>0.11</v>
      </c>
      <c r="KH315">
        <v>3.5</v>
      </c>
      <c r="KI315">
        <v>1</v>
      </c>
      <c r="KJ315">
        <v>4.5</v>
      </c>
      <c r="KK315">
        <v>0</v>
      </c>
      <c r="KL315">
        <v>4.5</v>
      </c>
      <c r="KM315">
        <v>0</v>
      </c>
      <c r="KN315">
        <v>1.3</v>
      </c>
      <c r="KO315">
        <v>1</v>
      </c>
      <c r="KP315">
        <v>1.2</v>
      </c>
      <c r="KQ315">
        <v>0.7</v>
      </c>
      <c r="KR315">
        <v>1</v>
      </c>
      <c r="KS315">
        <v>0</v>
      </c>
      <c r="KT315">
        <v>2.3</v>
      </c>
      <c r="KU315">
        <v>0</v>
      </c>
      <c r="KV315">
        <v>0</v>
      </c>
      <c r="KW315">
        <v>1.2</v>
      </c>
      <c r="KX315">
        <v>2</v>
      </c>
      <c r="KY315">
        <v>0</v>
      </c>
      <c r="KZ315">
        <v>3.5</v>
      </c>
      <c r="LA315">
        <v>2</v>
      </c>
      <c r="LB315">
        <v>10</v>
      </c>
      <c r="LC315">
        <v>3.5</v>
      </c>
      <c r="LD315">
        <v>3</v>
      </c>
      <c r="LE315">
        <v>2</v>
      </c>
      <c r="LF315">
        <v>0</v>
      </c>
      <c r="LG315">
        <v>0</v>
      </c>
      <c r="LH315">
        <v>3</v>
      </c>
      <c r="LI315">
        <v>0.5</v>
      </c>
      <c r="LJ315">
        <v>0.1</v>
      </c>
      <c r="LK315">
        <v>6</v>
      </c>
      <c r="LL315">
        <v>4</v>
      </c>
      <c r="LM315">
        <v>10</v>
      </c>
      <c r="LN315">
        <v>0.1</v>
      </c>
      <c r="LO315">
        <v>0.1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12</v>
      </c>
      <c r="MC315">
        <v>0</v>
      </c>
      <c r="MD315">
        <v>4.5</v>
      </c>
      <c r="ME315">
        <v>6</v>
      </c>
      <c r="MF315">
        <v>6</v>
      </c>
      <c r="MN315">
        <v>140</v>
      </c>
      <c r="MO315">
        <v>182</v>
      </c>
      <c r="NU315">
        <v>0.15</v>
      </c>
      <c r="NV315">
        <v>0.25</v>
      </c>
      <c r="NW315">
        <v>0.3</v>
      </c>
      <c r="NX315">
        <v>2</v>
      </c>
      <c r="NY315">
        <v>2</v>
      </c>
      <c r="NZ315">
        <v>2</v>
      </c>
      <c r="OE315" t="s">
        <v>4904</v>
      </c>
      <c r="OF315" t="s">
        <v>4902</v>
      </c>
      <c r="OG315" t="s">
        <v>4903</v>
      </c>
      <c r="OH315" t="s">
        <v>4426</v>
      </c>
      <c r="OI315" t="s">
        <v>4904</v>
      </c>
      <c r="OJ315" t="s">
        <v>5077</v>
      </c>
      <c r="OK315">
        <v>61</v>
      </c>
      <c r="OL315">
        <v>61</v>
      </c>
      <c r="OM315" t="s">
        <v>4902</v>
      </c>
      <c r="ON315">
        <v>1</v>
      </c>
      <c r="OO315">
        <v>1703</v>
      </c>
      <c r="OP315">
        <v>61</v>
      </c>
      <c r="OQ315">
        <v>61</v>
      </c>
      <c r="OR315" t="s">
        <v>4903</v>
      </c>
      <c r="OS315">
        <v>1</v>
      </c>
      <c r="OT315">
        <v>1710</v>
      </c>
      <c r="OU315">
        <v>65</v>
      </c>
      <c r="OV315">
        <v>65</v>
      </c>
      <c r="OW315" t="s">
        <v>4426</v>
      </c>
      <c r="OX315">
        <v>1</v>
      </c>
      <c r="OY315">
        <v>24330</v>
      </c>
      <c r="OZ315">
        <v>51</v>
      </c>
      <c r="PA315">
        <v>51</v>
      </c>
      <c r="PB315" t="s">
        <v>4904</v>
      </c>
      <c r="PC315">
        <v>1</v>
      </c>
      <c r="PD315">
        <v>1746</v>
      </c>
      <c r="PF315">
        <v>265</v>
      </c>
      <c r="PG315">
        <v>29</v>
      </c>
      <c r="PH315">
        <v>247</v>
      </c>
      <c r="PI315">
        <v>29</v>
      </c>
      <c r="PJ315">
        <v>100</v>
      </c>
      <c r="PL315">
        <v>873.9</v>
      </c>
      <c r="PM315">
        <v>791.6</v>
      </c>
      <c r="PN315">
        <v>72.8</v>
      </c>
      <c r="PO315">
        <v>10.7</v>
      </c>
      <c r="PP315">
        <v>12</v>
      </c>
      <c r="PQ315">
        <v>2</v>
      </c>
      <c r="PR315" t="s">
        <v>4465</v>
      </c>
      <c r="PS315">
        <v>6</v>
      </c>
      <c r="PT315">
        <v>184</v>
      </c>
      <c r="PU315">
        <v>12</v>
      </c>
      <c r="PV315" t="s">
        <v>4882</v>
      </c>
      <c r="PW315" t="s">
        <v>4882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-1</v>
      </c>
      <c r="QF315">
        <v>1</v>
      </c>
      <c r="QG315">
        <v>0</v>
      </c>
      <c r="QH315">
        <v>5</v>
      </c>
      <c r="QI315">
        <v>5</v>
      </c>
      <c r="QJ315">
        <v>5</v>
      </c>
      <c r="QK315">
        <v>153</v>
      </c>
      <c r="QL315">
        <v>352</v>
      </c>
      <c r="QM315">
        <v>7.5</v>
      </c>
      <c r="QN315">
        <v>1123</v>
      </c>
      <c r="QO315" t="s">
        <v>3491</v>
      </c>
      <c r="QP315" t="s">
        <v>513</v>
      </c>
      <c r="QQ315">
        <v>0</v>
      </c>
      <c r="QR315" t="s">
        <v>540</v>
      </c>
    </row>
    <row r="316" spans="1:462">
      <c r="A316" t="s">
        <v>3604</v>
      </c>
      <c r="B316" t="s">
        <v>508</v>
      </c>
      <c r="C316" t="s">
        <v>509</v>
      </c>
      <c r="D316" t="s">
        <v>3579</v>
      </c>
      <c r="E316" t="s">
        <v>4036</v>
      </c>
      <c r="H316" t="s">
        <v>3580</v>
      </c>
      <c r="J316" t="s">
        <v>562</v>
      </c>
      <c r="M316" t="s">
        <v>512</v>
      </c>
      <c r="N316" t="s">
        <v>515</v>
      </c>
      <c r="O316" t="s">
        <v>513</v>
      </c>
      <c r="P316" t="s">
        <v>517</v>
      </c>
      <c r="Q316" t="s">
        <v>518</v>
      </c>
      <c r="R316" t="s">
        <v>519</v>
      </c>
      <c r="S316" t="s">
        <v>4037</v>
      </c>
      <c r="T316" t="s">
        <v>520</v>
      </c>
      <c r="U316" t="s">
        <v>521</v>
      </c>
      <c r="V316" t="s">
        <v>3098</v>
      </c>
      <c r="W316" t="s">
        <v>3582</v>
      </c>
      <c r="Y316" t="s">
        <v>3605</v>
      </c>
      <c r="Z316" t="s">
        <v>541</v>
      </c>
      <c r="AA316" t="s">
        <v>4038</v>
      </c>
      <c r="AB316" t="s">
        <v>5078</v>
      </c>
      <c r="AC316">
        <v>10</v>
      </c>
      <c r="AD316" t="s">
        <v>3603</v>
      </c>
      <c r="AE316">
        <v>1</v>
      </c>
      <c r="AF316">
        <v>3468</v>
      </c>
      <c r="AG316" t="s">
        <v>4902</v>
      </c>
      <c r="AH316">
        <v>1</v>
      </c>
      <c r="AI316" t="s">
        <v>4041</v>
      </c>
      <c r="AK316" t="s">
        <v>4903</v>
      </c>
      <c r="AL316">
        <v>1</v>
      </c>
      <c r="AM316" t="s">
        <v>582</v>
      </c>
      <c r="AO316" t="s">
        <v>4426</v>
      </c>
      <c r="AP316">
        <v>1</v>
      </c>
      <c r="AR316" t="s">
        <v>4904</v>
      </c>
      <c r="AS316">
        <v>1</v>
      </c>
      <c r="AT316">
        <v>51</v>
      </c>
      <c r="AV316" t="s">
        <v>4045</v>
      </c>
      <c r="AW316">
        <v>6.4</v>
      </c>
      <c r="AX316">
        <v>-6</v>
      </c>
      <c r="AY316">
        <v>76</v>
      </c>
      <c r="AZ316">
        <v>67</v>
      </c>
      <c r="BH316">
        <v>76</v>
      </c>
      <c r="BI316">
        <v>9</v>
      </c>
      <c r="BJ316">
        <v>67</v>
      </c>
      <c r="BK316">
        <v>3.5</v>
      </c>
      <c r="BL316">
        <v>152</v>
      </c>
      <c r="BM316">
        <v>-6</v>
      </c>
      <c r="BN316">
        <v>0</v>
      </c>
      <c r="BP316">
        <v>0</v>
      </c>
      <c r="BR316">
        <v>145</v>
      </c>
      <c r="BS316">
        <v>135</v>
      </c>
      <c r="BT316">
        <v>1700</v>
      </c>
      <c r="BU316" t="s">
        <v>4355</v>
      </c>
      <c r="BW316" t="s">
        <v>4356</v>
      </c>
      <c r="BY316" t="s">
        <v>4357</v>
      </c>
      <c r="BZ316" t="s">
        <v>4357</v>
      </c>
      <c r="CA316" t="s">
        <v>4051</v>
      </c>
      <c r="CB316" t="s">
        <v>4052</v>
      </c>
      <c r="CC316" t="s">
        <v>4053</v>
      </c>
      <c r="CD316" t="s">
        <v>4054</v>
      </c>
      <c r="CE316" t="s">
        <v>4055</v>
      </c>
      <c r="CF316" t="s">
        <v>4055</v>
      </c>
      <c r="CG316" t="s">
        <v>4056</v>
      </c>
      <c r="CH316" t="s">
        <v>4145</v>
      </c>
      <c r="CI316" t="s">
        <v>4058</v>
      </c>
      <c r="CJ316" t="s">
        <v>4610</v>
      </c>
      <c r="CK316" t="s">
        <v>4611</v>
      </c>
      <c r="CL316" t="s">
        <v>4612</v>
      </c>
      <c r="CM316" t="s">
        <v>4055</v>
      </c>
      <c r="CN316" t="s">
        <v>4062</v>
      </c>
      <c r="CO316" t="s">
        <v>4063</v>
      </c>
      <c r="CP316" t="s">
        <v>4055</v>
      </c>
      <c r="CQ316" t="s">
        <v>4055</v>
      </c>
      <c r="CR316">
        <v>5</v>
      </c>
      <c r="CS316" t="s">
        <v>4055</v>
      </c>
      <c r="CT316" t="s">
        <v>4055</v>
      </c>
      <c r="CU316" t="s">
        <v>4055</v>
      </c>
      <c r="CV316">
        <v>102</v>
      </c>
      <c r="CW316">
        <v>3</v>
      </c>
      <c r="CX316">
        <v>60</v>
      </c>
      <c r="CY316">
        <v>5</v>
      </c>
      <c r="CZ316">
        <v>114</v>
      </c>
      <c r="DA316">
        <v>5</v>
      </c>
      <c r="DB316">
        <v>7970</v>
      </c>
      <c r="DC316">
        <v>220</v>
      </c>
      <c r="DD316">
        <v>270</v>
      </c>
      <c r="DE316">
        <v>1794</v>
      </c>
      <c r="DF316">
        <v>1794</v>
      </c>
      <c r="DG316">
        <v>1807</v>
      </c>
      <c r="DH316" t="s">
        <v>4055</v>
      </c>
      <c r="DI316" t="s">
        <v>4055</v>
      </c>
      <c r="DJ316" t="s">
        <v>4100</v>
      </c>
      <c r="DK316">
        <v>145</v>
      </c>
      <c r="DL316" t="s">
        <v>4065</v>
      </c>
      <c r="DM316">
        <v>61</v>
      </c>
      <c r="DN316">
        <v>0.84</v>
      </c>
      <c r="DO316">
        <v>1</v>
      </c>
      <c r="DP316">
        <v>1703</v>
      </c>
      <c r="DQ316">
        <v>451</v>
      </c>
      <c r="DR316" t="s">
        <v>4100</v>
      </c>
      <c r="DS316">
        <v>135</v>
      </c>
      <c r="DT316" t="s">
        <v>4065</v>
      </c>
      <c r="DU316">
        <v>61</v>
      </c>
      <c r="DV316">
        <v>0.84</v>
      </c>
      <c r="DW316">
        <v>1</v>
      </c>
      <c r="DX316">
        <v>1710</v>
      </c>
      <c r="DY316">
        <v>422</v>
      </c>
      <c r="DZ316" t="s">
        <v>4066</v>
      </c>
      <c r="EA316">
        <v>33</v>
      </c>
      <c r="EB316" t="s">
        <v>4065</v>
      </c>
      <c r="EC316">
        <v>0.4</v>
      </c>
      <c r="ED316">
        <v>1703</v>
      </c>
      <c r="EE316">
        <v>49</v>
      </c>
      <c r="EF316" t="s">
        <v>4066</v>
      </c>
      <c r="EG316">
        <v>33</v>
      </c>
      <c r="EH316" t="s">
        <v>4065</v>
      </c>
      <c r="EI316">
        <v>0.4</v>
      </c>
      <c r="EJ316">
        <v>1710</v>
      </c>
      <c r="EK316">
        <v>50</v>
      </c>
      <c r="EL316" t="s">
        <v>4429</v>
      </c>
      <c r="EM316">
        <v>12</v>
      </c>
      <c r="EN316">
        <v>0.5</v>
      </c>
      <c r="EO316">
        <v>0.9</v>
      </c>
      <c r="EP316">
        <v>1710.56</v>
      </c>
      <c r="EQ316">
        <v>21916.55</v>
      </c>
      <c r="ER316">
        <v>2413.43</v>
      </c>
      <c r="ES316">
        <v>0</v>
      </c>
      <c r="ET316">
        <v>0</v>
      </c>
      <c r="EU316">
        <v>1</v>
      </c>
      <c r="EV316">
        <v>24330</v>
      </c>
      <c r="EW316">
        <v>292</v>
      </c>
      <c r="EX316" t="s">
        <v>4287</v>
      </c>
      <c r="EY316">
        <v>160</v>
      </c>
      <c r="EZ316" t="s">
        <v>4055</v>
      </c>
      <c r="FA316">
        <v>4.7</v>
      </c>
      <c r="FB316">
        <v>1</v>
      </c>
      <c r="FC316">
        <v>1</v>
      </c>
      <c r="FD316">
        <v>1746</v>
      </c>
      <c r="FE316">
        <v>1526</v>
      </c>
      <c r="FF316" t="s">
        <v>4288</v>
      </c>
      <c r="FG316">
        <v>160</v>
      </c>
      <c r="FH316" t="s">
        <v>4055</v>
      </c>
      <c r="FI316">
        <v>4.1</v>
      </c>
      <c r="FJ316">
        <v>1746</v>
      </c>
      <c r="FK316">
        <v>1382</v>
      </c>
      <c r="FL316" t="s">
        <v>4069</v>
      </c>
      <c r="FM316" t="s">
        <v>4055</v>
      </c>
      <c r="FN316" t="s">
        <v>4055</v>
      </c>
      <c r="FO316" t="s">
        <v>4055</v>
      </c>
      <c r="FP316">
        <v>1746</v>
      </c>
      <c r="FQ316">
        <v>175</v>
      </c>
      <c r="FR316" t="s">
        <v>4090</v>
      </c>
      <c r="FS316">
        <v>164</v>
      </c>
      <c r="FT316" t="s">
        <v>4055</v>
      </c>
      <c r="FU316">
        <v>0.4</v>
      </c>
      <c r="FV316">
        <v>1746</v>
      </c>
      <c r="FW316">
        <v>127</v>
      </c>
      <c r="FX316" t="s">
        <v>4070</v>
      </c>
      <c r="FY316">
        <v>5</v>
      </c>
      <c r="FZ316" t="s">
        <v>4055</v>
      </c>
      <c r="GA316" t="s">
        <v>4055</v>
      </c>
      <c r="GB316">
        <v>1746</v>
      </c>
      <c r="GC316">
        <v>19</v>
      </c>
      <c r="GD316">
        <v>3229</v>
      </c>
      <c r="GE316" t="s">
        <v>4904</v>
      </c>
      <c r="GF316" t="s">
        <v>4055</v>
      </c>
      <c r="GG316" t="s">
        <v>4055</v>
      </c>
      <c r="GH316" t="s">
        <v>4055</v>
      </c>
      <c r="GI316" t="s">
        <v>4071</v>
      </c>
      <c r="GJ316" t="s">
        <v>4055</v>
      </c>
      <c r="GK316" t="s">
        <v>4055</v>
      </c>
      <c r="GL316" t="s">
        <v>4055</v>
      </c>
      <c r="GM316" t="s">
        <v>4055</v>
      </c>
      <c r="GQ316">
        <v>0</v>
      </c>
      <c r="GV316">
        <v>9.199999999999999</v>
      </c>
      <c r="GW316">
        <v>11.2</v>
      </c>
      <c r="GX316">
        <v>0.5</v>
      </c>
      <c r="GY316">
        <v>142</v>
      </c>
      <c r="GZ316">
        <v>3</v>
      </c>
      <c r="HA316">
        <v>184</v>
      </c>
      <c r="HB316">
        <v>3</v>
      </c>
      <c r="HC316">
        <v>1746</v>
      </c>
      <c r="HD316">
        <v>4</v>
      </c>
      <c r="HE316" t="s">
        <v>4071</v>
      </c>
      <c r="HG316" t="s">
        <v>549</v>
      </c>
      <c r="HL316">
        <v>4</v>
      </c>
      <c r="HM316">
        <v>16</v>
      </c>
      <c r="HN316">
        <v>6</v>
      </c>
      <c r="HO316">
        <v>1</v>
      </c>
      <c r="HP316">
        <v>0</v>
      </c>
      <c r="HQ316">
        <v>0</v>
      </c>
      <c r="HR316">
        <v>2</v>
      </c>
      <c r="HS316">
        <v>1700</v>
      </c>
      <c r="HT316">
        <v>5</v>
      </c>
      <c r="HU316">
        <v>1</v>
      </c>
      <c r="HV316">
        <v>5</v>
      </c>
      <c r="HW316">
        <v>0</v>
      </c>
      <c r="HX316">
        <v>1</v>
      </c>
      <c r="HY316">
        <v>0</v>
      </c>
      <c r="HZ316">
        <v>61</v>
      </c>
      <c r="IA316">
        <v>1703</v>
      </c>
      <c r="IB316">
        <v>1710</v>
      </c>
      <c r="ID316">
        <v>1746</v>
      </c>
      <c r="IE316">
        <v>1746</v>
      </c>
      <c r="IF316">
        <v>145</v>
      </c>
      <c r="IG316">
        <v>135</v>
      </c>
      <c r="IH316">
        <v>184</v>
      </c>
      <c r="II316">
        <v>1</v>
      </c>
      <c r="IJ316">
        <v>5</v>
      </c>
      <c r="IK316">
        <v>0</v>
      </c>
      <c r="IL316">
        <v>1</v>
      </c>
      <c r="IM316">
        <v>0</v>
      </c>
      <c r="IN316">
        <v>270</v>
      </c>
      <c r="IO316">
        <v>0</v>
      </c>
      <c r="IP316">
        <v>180</v>
      </c>
      <c r="IQ316">
        <v>0</v>
      </c>
      <c r="IR316">
        <v>330</v>
      </c>
      <c r="IS316">
        <v>0</v>
      </c>
      <c r="IT316">
        <v>100</v>
      </c>
      <c r="IU316">
        <v>0</v>
      </c>
      <c r="IV316">
        <v>6.4</v>
      </c>
      <c r="IW316">
        <v>-6</v>
      </c>
      <c r="IX316">
        <v>76</v>
      </c>
      <c r="IY316">
        <v>67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322</v>
      </c>
      <c r="JJ316">
        <v>292</v>
      </c>
      <c r="JK316">
        <v>220</v>
      </c>
      <c r="JL316">
        <v>288</v>
      </c>
      <c r="JM316">
        <v>225</v>
      </c>
      <c r="JN316">
        <v>150</v>
      </c>
      <c r="JO316">
        <v>202</v>
      </c>
      <c r="JP316">
        <v>240</v>
      </c>
      <c r="JQ316">
        <v>290</v>
      </c>
      <c r="JR316">
        <v>352</v>
      </c>
      <c r="JS316">
        <v>280</v>
      </c>
      <c r="JT316">
        <v>0</v>
      </c>
      <c r="JU316">
        <v>0</v>
      </c>
      <c r="JV316">
        <v>335</v>
      </c>
      <c r="JW316">
        <v>337</v>
      </c>
      <c r="JX316">
        <v>346</v>
      </c>
      <c r="JY316">
        <v>310</v>
      </c>
      <c r="JZ316">
        <v>0.5</v>
      </c>
      <c r="KA316">
        <v>0.2</v>
      </c>
      <c r="KB316">
        <v>0.4</v>
      </c>
      <c r="KC316">
        <v>0.42</v>
      </c>
      <c r="KD316">
        <v>0.3</v>
      </c>
      <c r="KE316">
        <v>0.5</v>
      </c>
      <c r="KF316">
        <v>0.18</v>
      </c>
      <c r="KG316">
        <v>0.11</v>
      </c>
      <c r="KH316">
        <v>3.5</v>
      </c>
      <c r="KI316">
        <v>1</v>
      </c>
      <c r="KJ316">
        <v>4.5</v>
      </c>
      <c r="KK316">
        <v>0</v>
      </c>
      <c r="KL316">
        <v>4.5</v>
      </c>
      <c r="KM316">
        <v>0</v>
      </c>
      <c r="KN316">
        <v>1.3</v>
      </c>
      <c r="KO316">
        <v>1</v>
      </c>
      <c r="KP316">
        <v>1.2</v>
      </c>
      <c r="KQ316">
        <v>0.7</v>
      </c>
      <c r="KR316">
        <v>1</v>
      </c>
      <c r="KS316">
        <v>0</v>
      </c>
      <c r="KT316">
        <v>2.3</v>
      </c>
      <c r="KU316">
        <v>0</v>
      </c>
      <c r="KV316">
        <v>0</v>
      </c>
      <c r="KW316">
        <v>1.2</v>
      </c>
      <c r="KX316">
        <v>2</v>
      </c>
      <c r="KY316">
        <v>0</v>
      </c>
      <c r="KZ316">
        <v>3.5</v>
      </c>
      <c r="LA316">
        <v>2</v>
      </c>
      <c r="LB316">
        <v>10</v>
      </c>
      <c r="LC316">
        <v>3.5</v>
      </c>
      <c r="LD316">
        <v>3</v>
      </c>
      <c r="LE316">
        <v>2</v>
      </c>
      <c r="LF316">
        <v>0</v>
      </c>
      <c r="LG316">
        <v>0</v>
      </c>
      <c r="LH316">
        <v>3</v>
      </c>
      <c r="LI316">
        <v>0.5</v>
      </c>
      <c r="LJ316">
        <v>0.1</v>
      </c>
      <c r="LK316">
        <v>6</v>
      </c>
      <c r="LL316">
        <v>4</v>
      </c>
      <c r="LM316">
        <v>10</v>
      </c>
      <c r="LN316">
        <v>0.1</v>
      </c>
      <c r="LO316">
        <v>0.1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12</v>
      </c>
      <c r="MC316">
        <v>0</v>
      </c>
      <c r="MD316">
        <v>4.5</v>
      </c>
      <c r="ME316">
        <v>6</v>
      </c>
      <c r="MF316">
        <v>6</v>
      </c>
      <c r="MN316">
        <v>140</v>
      </c>
      <c r="MO316">
        <v>182</v>
      </c>
      <c r="NU316">
        <v>0.15</v>
      </c>
      <c r="NV316">
        <v>0.25</v>
      </c>
      <c r="NW316">
        <v>0.3</v>
      </c>
      <c r="NX316">
        <v>2</v>
      </c>
      <c r="NY316">
        <v>2</v>
      </c>
      <c r="NZ316">
        <v>2</v>
      </c>
      <c r="OE316" t="s">
        <v>4904</v>
      </c>
      <c r="OF316" t="s">
        <v>4902</v>
      </c>
      <c r="OG316" t="s">
        <v>4903</v>
      </c>
      <c r="OH316" t="s">
        <v>4426</v>
      </c>
      <c r="OI316" t="s">
        <v>4904</v>
      </c>
      <c r="OJ316" t="s">
        <v>5078</v>
      </c>
      <c r="OK316">
        <v>61</v>
      </c>
      <c r="OL316">
        <v>61</v>
      </c>
      <c r="OM316" t="s">
        <v>4902</v>
      </c>
      <c r="ON316">
        <v>1</v>
      </c>
      <c r="OO316">
        <v>1703</v>
      </c>
      <c r="OP316">
        <v>61</v>
      </c>
      <c r="OQ316">
        <v>61</v>
      </c>
      <c r="OR316" t="s">
        <v>4903</v>
      </c>
      <c r="OS316">
        <v>1</v>
      </c>
      <c r="OT316">
        <v>1710</v>
      </c>
      <c r="OU316">
        <v>65</v>
      </c>
      <c r="OV316">
        <v>65</v>
      </c>
      <c r="OW316" t="s">
        <v>4426</v>
      </c>
      <c r="OX316">
        <v>1</v>
      </c>
      <c r="OY316">
        <v>24330</v>
      </c>
      <c r="OZ316">
        <v>51</v>
      </c>
      <c r="PA316">
        <v>51</v>
      </c>
      <c r="PB316" t="s">
        <v>4904</v>
      </c>
      <c r="PC316">
        <v>1</v>
      </c>
      <c r="PD316">
        <v>1746</v>
      </c>
      <c r="PF316">
        <v>265</v>
      </c>
      <c r="PG316">
        <v>29</v>
      </c>
      <c r="PH316">
        <v>247</v>
      </c>
      <c r="PI316">
        <v>29</v>
      </c>
      <c r="PJ316">
        <v>100</v>
      </c>
      <c r="PL316">
        <v>873.9</v>
      </c>
      <c r="PM316">
        <v>791.6</v>
      </c>
      <c r="PN316">
        <v>72.8</v>
      </c>
      <c r="PO316">
        <v>10.7</v>
      </c>
      <c r="PP316">
        <v>12</v>
      </c>
      <c r="PQ316">
        <v>2</v>
      </c>
      <c r="PR316" t="s">
        <v>4465</v>
      </c>
      <c r="PS316">
        <v>6</v>
      </c>
      <c r="PT316">
        <v>184</v>
      </c>
      <c r="PU316">
        <v>12</v>
      </c>
      <c r="PV316" t="s">
        <v>4882</v>
      </c>
      <c r="PW316" t="s">
        <v>4882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-1</v>
      </c>
      <c r="QF316">
        <v>1</v>
      </c>
      <c r="QG316">
        <v>0</v>
      </c>
      <c r="QH316">
        <v>5</v>
      </c>
      <c r="QI316">
        <v>5</v>
      </c>
      <c r="QJ316">
        <v>5</v>
      </c>
      <c r="QK316">
        <v>153</v>
      </c>
      <c r="QL316">
        <v>352</v>
      </c>
      <c r="QM316">
        <v>7.5</v>
      </c>
      <c r="QN316">
        <v>1123</v>
      </c>
      <c r="QO316" t="s">
        <v>3491</v>
      </c>
      <c r="QP316" t="s">
        <v>513</v>
      </c>
      <c r="QQ316">
        <v>0</v>
      </c>
      <c r="QR316" t="s">
        <v>540</v>
      </c>
    </row>
    <row r="317" spans="1:462">
      <c r="A317" t="s">
        <v>3606</v>
      </c>
      <c r="B317" t="s">
        <v>508</v>
      </c>
      <c r="C317" t="s">
        <v>509</v>
      </c>
      <c r="D317" t="s">
        <v>3579</v>
      </c>
      <c r="E317" t="s">
        <v>4036</v>
      </c>
      <c r="H317" t="s">
        <v>3580</v>
      </c>
      <c r="J317" t="s">
        <v>562</v>
      </c>
      <c r="M317" t="s">
        <v>512</v>
      </c>
      <c r="N317" t="s">
        <v>515</v>
      </c>
      <c r="O317" t="s">
        <v>513</v>
      </c>
      <c r="P317" t="s">
        <v>517</v>
      </c>
      <c r="Q317" t="s">
        <v>518</v>
      </c>
      <c r="R317" t="s">
        <v>519</v>
      </c>
      <c r="S317" t="s">
        <v>4037</v>
      </c>
      <c r="T317" t="s">
        <v>520</v>
      </c>
      <c r="U317" t="s">
        <v>521</v>
      </c>
      <c r="V317" t="s">
        <v>3098</v>
      </c>
      <c r="W317" t="s">
        <v>3582</v>
      </c>
      <c r="Y317" t="s">
        <v>3607</v>
      </c>
      <c r="Z317" t="s">
        <v>541</v>
      </c>
      <c r="AA317" t="s">
        <v>4038</v>
      </c>
      <c r="AB317" t="s">
        <v>5079</v>
      </c>
      <c r="AC317">
        <v>10</v>
      </c>
      <c r="AD317" t="s">
        <v>3600</v>
      </c>
      <c r="AE317">
        <v>1</v>
      </c>
      <c r="AF317">
        <v>3468</v>
      </c>
      <c r="AG317" t="s">
        <v>4902</v>
      </c>
      <c r="AH317">
        <v>1</v>
      </c>
      <c r="AI317" t="s">
        <v>4041</v>
      </c>
      <c r="AK317" t="s">
        <v>4903</v>
      </c>
      <c r="AL317">
        <v>1</v>
      </c>
      <c r="AM317" t="s">
        <v>582</v>
      </c>
      <c r="AO317" t="s">
        <v>4426</v>
      </c>
      <c r="AP317">
        <v>1</v>
      </c>
      <c r="AR317" t="s">
        <v>4904</v>
      </c>
      <c r="AS317">
        <v>1</v>
      </c>
      <c r="AT317">
        <v>51</v>
      </c>
      <c r="AV317" t="s">
        <v>4045</v>
      </c>
      <c r="AW317">
        <v>6.4</v>
      </c>
      <c r="AX317">
        <v>-6</v>
      </c>
      <c r="AY317">
        <v>76</v>
      </c>
      <c r="AZ317">
        <v>67</v>
      </c>
      <c r="BH317">
        <v>76</v>
      </c>
      <c r="BI317">
        <v>9</v>
      </c>
      <c r="BJ317">
        <v>67</v>
      </c>
      <c r="BK317">
        <v>3.5</v>
      </c>
      <c r="BL317">
        <v>152</v>
      </c>
      <c r="BM317">
        <v>-6</v>
      </c>
      <c r="BN317">
        <v>0</v>
      </c>
      <c r="BP317">
        <v>0</v>
      </c>
      <c r="BR317">
        <v>145</v>
      </c>
      <c r="BS317">
        <v>135</v>
      </c>
      <c r="BT317">
        <v>1700</v>
      </c>
      <c r="BU317" t="s">
        <v>4355</v>
      </c>
      <c r="BW317" t="s">
        <v>4356</v>
      </c>
      <c r="BY317" t="s">
        <v>4357</v>
      </c>
      <c r="BZ317" t="s">
        <v>4357</v>
      </c>
      <c r="CA317" t="s">
        <v>4051</v>
      </c>
      <c r="CB317" t="s">
        <v>4052</v>
      </c>
      <c r="CC317" t="s">
        <v>4053</v>
      </c>
      <c r="CD317" t="s">
        <v>4054</v>
      </c>
      <c r="CE317" t="s">
        <v>4055</v>
      </c>
      <c r="CF317" t="s">
        <v>4055</v>
      </c>
      <c r="CG317" t="s">
        <v>4056</v>
      </c>
      <c r="CH317" t="s">
        <v>4145</v>
      </c>
      <c r="CI317" t="s">
        <v>4058</v>
      </c>
      <c r="CJ317" t="s">
        <v>4610</v>
      </c>
      <c r="CK317" t="s">
        <v>4611</v>
      </c>
      <c r="CL317" t="s">
        <v>4612</v>
      </c>
      <c r="CM317" t="s">
        <v>4055</v>
      </c>
      <c r="CN317" t="s">
        <v>4062</v>
      </c>
      <c r="CO317" t="s">
        <v>4063</v>
      </c>
      <c r="CP317" t="s">
        <v>4055</v>
      </c>
      <c r="CQ317" t="s">
        <v>4055</v>
      </c>
      <c r="CR317">
        <v>5</v>
      </c>
      <c r="CS317" t="s">
        <v>4055</v>
      </c>
      <c r="CT317" t="s">
        <v>4055</v>
      </c>
      <c r="CU317" t="s">
        <v>4055</v>
      </c>
      <c r="CV317">
        <v>102</v>
      </c>
      <c r="CW317">
        <v>3</v>
      </c>
      <c r="CX317">
        <v>60</v>
      </c>
      <c r="CY317">
        <v>5</v>
      </c>
      <c r="CZ317">
        <v>114</v>
      </c>
      <c r="DA317">
        <v>5</v>
      </c>
      <c r="DB317">
        <v>7970</v>
      </c>
      <c r="DC317">
        <v>220</v>
      </c>
      <c r="DD317">
        <v>270</v>
      </c>
      <c r="DE317">
        <v>1794</v>
      </c>
      <c r="DF317">
        <v>1794</v>
      </c>
      <c r="DG317">
        <v>1807</v>
      </c>
      <c r="DH317" t="s">
        <v>4055</v>
      </c>
      <c r="DI317" t="s">
        <v>4055</v>
      </c>
      <c r="DJ317" t="s">
        <v>4100</v>
      </c>
      <c r="DK317">
        <v>145</v>
      </c>
      <c r="DL317" t="s">
        <v>4065</v>
      </c>
      <c r="DM317">
        <v>61</v>
      </c>
      <c r="DN317">
        <v>0.84</v>
      </c>
      <c r="DO317">
        <v>1</v>
      </c>
      <c r="DP317">
        <v>1703</v>
      </c>
      <c r="DQ317">
        <v>451</v>
      </c>
      <c r="DR317" t="s">
        <v>4100</v>
      </c>
      <c r="DS317">
        <v>135</v>
      </c>
      <c r="DT317" t="s">
        <v>4065</v>
      </c>
      <c r="DU317">
        <v>61</v>
      </c>
      <c r="DV317">
        <v>0.84</v>
      </c>
      <c r="DW317">
        <v>1</v>
      </c>
      <c r="DX317">
        <v>1710</v>
      </c>
      <c r="DY317">
        <v>422</v>
      </c>
      <c r="DZ317" t="s">
        <v>4066</v>
      </c>
      <c r="EA317">
        <v>33</v>
      </c>
      <c r="EB317" t="s">
        <v>4065</v>
      </c>
      <c r="EC317">
        <v>0.4</v>
      </c>
      <c r="ED317">
        <v>1703</v>
      </c>
      <c r="EE317">
        <v>49</v>
      </c>
      <c r="EF317" t="s">
        <v>4066</v>
      </c>
      <c r="EG317">
        <v>33</v>
      </c>
      <c r="EH317" t="s">
        <v>4065</v>
      </c>
      <c r="EI317">
        <v>0.4</v>
      </c>
      <c r="EJ317">
        <v>1710</v>
      </c>
      <c r="EK317">
        <v>50</v>
      </c>
      <c r="EL317" t="s">
        <v>4429</v>
      </c>
      <c r="EM317">
        <v>12</v>
      </c>
      <c r="EN317">
        <v>0.5</v>
      </c>
      <c r="EO317">
        <v>0.9</v>
      </c>
      <c r="EP317">
        <v>1710.56</v>
      </c>
      <c r="EQ317">
        <v>21916.55</v>
      </c>
      <c r="ER317">
        <v>2413.43</v>
      </c>
      <c r="ES317">
        <v>0</v>
      </c>
      <c r="ET317">
        <v>0</v>
      </c>
      <c r="EU317">
        <v>1</v>
      </c>
      <c r="EV317">
        <v>24330</v>
      </c>
      <c r="EW317">
        <v>292</v>
      </c>
      <c r="EX317" t="s">
        <v>4287</v>
      </c>
      <c r="EY317">
        <v>160</v>
      </c>
      <c r="EZ317" t="s">
        <v>4055</v>
      </c>
      <c r="FA317">
        <v>4.7</v>
      </c>
      <c r="FB317">
        <v>1</v>
      </c>
      <c r="FC317">
        <v>1</v>
      </c>
      <c r="FD317">
        <v>1746</v>
      </c>
      <c r="FE317">
        <v>1526</v>
      </c>
      <c r="FF317" t="s">
        <v>4288</v>
      </c>
      <c r="FG317">
        <v>160</v>
      </c>
      <c r="FH317" t="s">
        <v>4055</v>
      </c>
      <c r="FI317">
        <v>4.1</v>
      </c>
      <c r="FJ317">
        <v>1746</v>
      </c>
      <c r="FK317">
        <v>1382</v>
      </c>
      <c r="FL317" t="s">
        <v>4069</v>
      </c>
      <c r="FM317" t="s">
        <v>4055</v>
      </c>
      <c r="FN317" t="s">
        <v>4055</v>
      </c>
      <c r="FO317" t="s">
        <v>4055</v>
      </c>
      <c r="FP317">
        <v>1746</v>
      </c>
      <c r="FQ317">
        <v>175</v>
      </c>
      <c r="FR317" t="s">
        <v>4090</v>
      </c>
      <c r="FS317">
        <v>164</v>
      </c>
      <c r="FT317" t="s">
        <v>4055</v>
      </c>
      <c r="FU317">
        <v>0.4</v>
      </c>
      <c r="FV317">
        <v>1746</v>
      </c>
      <c r="FW317">
        <v>127</v>
      </c>
      <c r="FX317" t="s">
        <v>4070</v>
      </c>
      <c r="FY317">
        <v>5</v>
      </c>
      <c r="FZ317" t="s">
        <v>4055</v>
      </c>
      <c r="GA317" t="s">
        <v>4055</v>
      </c>
      <c r="GB317">
        <v>1746</v>
      </c>
      <c r="GC317">
        <v>19</v>
      </c>
      <c r="GD317">
        <v>3229</v>
      </c>
      <c r="GE317" t="s">
        <v>4904</v>
      </c>
      <c r="GF317" t="s">
        <v>4055</v>
      </c>
      <c r="GG317" t="s">
        <v>4055</v>
      </c>
      <c r="GH317" t="s">
        <v>4055</v>
      </c>
      <c r="GI317" t="s">
        <v>4071</v>
      </c>
      <c r="GJ317" t="s">
        <v>4055</v>
      </c>
      <c r="GK317" t="s">
        <v>4055</v>
      </c>
      <c r="GL317" t="s">
        <v>4055</v>
      </c>
      <c r="GM317" t="s">
        <v>4055</v>
      </c>
      <c r="GQ317">
        <v>0</v>
      </c>
      <c r="GV317">
        <v>9.199999999999999</v>
      </c>
      <c r="GW317">
        <v>11.2</v>
      </c>
      <c r="GX317">
        <v>0.5</v>
      </c>
      <c r="GY317">
        <v>142</v>
      </c>
      <c r="GZ317">
        <v>3</v>
      </c>
      <c r="HA317">
        <v>184</v>
      </c>
      <c r="HB317">
        <v>3</v>
      </c>
      <c r="HC317">
        <v>1746</v>
      </c>
      <c r="HD317">
        <v>4</v>
      </c>
      <c r="HE317" t="s">
        <v>4071</v>
      </c>
      <c r="HG317" t="s">
        <v>549</v>
      </c>
      <c r="HL317">
        <v>4</v>
      </c>
      <c r="HM317">
        <v>16</v>
      </c>
      <c r="HN317">
        <v>6</v>
      </c>
      <c r="HO317">
        <v>1</v>
      </c>
      <c r="HP317">
        <v>0</v>
      </c>
      <c r="HQ317">
        <v>0</v>
      </c>
      <c r="HR317">
        <v>2</v>
      </c>
      <c r="HS317">
        <v>1700</v>
      </c>
      <c r="HT317">
        <v>5</v>
      </c>
      <c r="HU317">
        <v>1</v>
      </c>
      <c r="HV317">
        <v>5</v>
      </c>
      <c r="HW317">
        <v>0</v>
      </c>
      <c r="HX317">
        <v>1</v>
      </c>
      <c r="HY317">
        <v>0</v>
      </c>
      <c r="HZ317">
        <v>61</v>
      </c>
      <c r="IA317">
        <v>1703</v>
      </c>
      <c r="IB317">
        <v>1710</v>
      </c>
      <c r="ID317">
        <v>1746</v>
      </c>
      <c r="IE317">
        <v>1746</v>
      </c>
      <c r="IF317">
        <v>145</v>
      </c>
      <c r="IG317">
        <v>135</v>
      </c>
      <c r="IH317">
        <v>184</v>
      </c>
      <c r="II317">
        <v>1</v>
      </c>
      <c r="IJ317">
        <v>5</v>
      </c>
      <c r="IK317">
        <v>0</v>
      </c>
      <c r="IL317">
        <v>1</v>
      </c>
      <c r="IM317">
        <v>0</v>
      </c>
      <c r="IN317">
        <v>270</v>
      </c>
      <c r="IO317">
        <v>0</v>
      </c>
      <c r="IP317">
        <v>180</v>
      </c>
      <c r="IQ317">
        <v>0</v>
      </c>
      <c r="IR317">
        <v>330</v>
      </c>
      <c r="IS317">
        <v>0</v>
      </c>
      <c r="IT317">
        <v>100</v>
      </c>
      <c r="IU317">
        <v>0</v>
      </c>
      <c r="IV317">
        <v>6.4</v>
      </c>
      <c r="IW317">
        <v>-6</v>
      </c>
      <c r="IX317">
        <v>76</v>
      </c>
      <c r="IY317">
        <v>67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322</v>
      </c>
      <c r="JJ317">
        <v>292</v>
      </c>
      <c r="JK317">
        <v>220</v>
      </c>
      <c r="JL317">
        <v>288</v>
      </c>
      <c r="JM317">
        <v>225</v>
      </c>
      <c r="JN317">
        <v>150</v>
      </c>
      <c r="JO317">
        <v>202</v>
      </c>
      <c r="JP317">
        <v>240</v>
      </c>
      <c r="JQ317">
        <v>290</v>
      </c>
      <c r="JR317">
        <v>352</v>
      </c>
      <c r="JS317">
        <v>280</v>
      </c>
      <c r="JT317">
        <v>0</v>
      </c>
      <c r="JU317">
        <v>0</v>
      </c>
      <c r="JV317">
        <v>335</v>
      </c>
      <c r="JW317">
        <v>337</v>
      </c>
      <c r="JX317">
        <v>346</v>
      </c>
      <c r="JY317">
        <v>310</v>
      </c>
      <c r="JZ317">
        <v>0.5</v>
      </c>
      <c r="KA317">
        <v>0.2</v>
      </c>
      <c r="KB317">
        <v>0.4</v>
      </c>
      <c r="KC317">
        <v>0.42</v>
      </c>
      <c r="KD317">
        <v>0.3</v>
      </c>
      <c r="KE317">
        <v>0.5</v>
      </c>
      <c r="KF317">
        <v>0.18</v>
      </c>
      <c r="KG317">
        <v>0.11</v>
      </c>
      <c r="KH317">
        <v>3.5</v>
      </c>
      <c r="KI317">
        <v>1</v>
      </c>
      <c r="KJ317">
        <v>4.5</v>
      </c>
      <c r="KK317">
        <v>0</v>
      </c>
      <c r="KL317">
        <v>4.5</v>
      </c>
      <c r="KM317">
        <v>0</v>
      </c>
      <c r="KN317">
        <v>1.3</v>
      </c>
      <c r="KO317">
        <v>1</v>
      </c>
      <c r="KP317">
        <v>1.2</v>
      </c>
      <c r="KQ317">
        <v>0.7</v>
      </c>
      <c r="KR317">
        <v>1</v>
      </c>
      <c r="KS317">
        <v>0</v>
      </c>
      <c r="KT317">
        <v>2.3</v>
      </c>
      <c r="KU317">
        <v>0</v>
      </c>
      <c r="KV317">
        <v>0</v>
      </c>
      <c r="KW317">
        <v>1.2</v>
      </c>
      <c r="KX317">
        <v>2</v>
      </c>
      <c r="KY317">
        <v>0</v>
      </c>
      <c r="KZ317">
        <v>3.5</v>
      </c>
      <c r="LA317">
        <v>2</v>
      </c>
      <c r="LB317">
        <v>10</v>
      </c>
      <c r="LC317">
        <v>3.5</v>
      </c>
      <c r="LD317">
        <v>3</v>
      </c>
      <c r="LE317">
        <v>2</v>
      </c>
      <c r="LF317">
        <v>0</v>
      </c>
      <c r="LG317">
        <v>0</v>
      </c>
      <c r="LH317">
        <v>3</v>
      </c>
      <c r="LI317">
        <v>0.5</v>
      </c>
      <c r="LJ317">
        <v>0.1</v>
      </c>
      <c r="LK317">
        <v>6</v>
      </c>
      <c r="LL317">
        <v>4</v>
      </c>
      <c r="LM317">
        <v>10</v>
      </c>
      <c r="LN317">
        <v>0.1</v>
      </c>
      <c r="LO317">
        <v>0.1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12</v>
      </c>
      <c r="MC317">
        <v>0</v>
      </c>
      <c r="MD317">
        <v>4.5</v>
      </c>
      <c r="ME317">
        <v>6</v>
      </c>
      <c r="MF317">
        <v>6</v>
      </c>
      <c r="MN317">
        <v>140</v>
      </c>
      <c r="MO317">
        <v>182</v>
      </c>
      <c r="NU317">
        <v>0.15</v>
      </c>
      <c r="NV317">
        <v>0.25</v>
      </c>
      <c r="NW317">
        <v>0.3</v>
      </c>
      <c r="NX317">
        <v>2</v>
      </c>
      <c r="NY317">
        <v>2</v>
      </c>
      <c r="NZ317">
        <v>2</v>
      </c>
      <c r="OE317" t="s">
        <v>4904</v>
      </c>
      <c r="OF317" t="s">
        <v>4902</v>
      </c>
      <c r="OG317" t="s">
        <v>4903</v>
      </c>
      <c r="OH317" t="s">
        <v>4426</v>
      </c>
      <c r="OI317" t="s">
        <v>4904</v>
      </c>
      <c r="OJ317" t="s">
        <v>5079</v>
      </c>
      <c r="OK317">
        <v>61</v>
      </c>
      <c r="OL317">
        <v>61</v>
      </c>
      <c r="OM317" t="s">
        <v>4902</v>
      </c>
      <c r="ON317">
        <v>1</v>
      </c>
      <c r="OO317">
        <v>1703</v>
      </c>
      <c r="OP317">
        <v>61</v>
      </c>
      <c r="OQ317">
        <v>61</v>
      </c>
      <c r="OR317" t="s">
        <v>4903</v>
      </c>
      <c r="OS317">
        <v>1</v>
      </c>
      <c r="OT317">
        <v>1710</v>
      </c>
      <c r="OU317">
        <v>65</v>
      </c>
      <c r="OV317">
        <v>65</v>
      </c>
      <c r="OW317" t="s">
        <v>4426</v>
      </c>
      <c r="OX317">
        <v>1</v>
      </c>
      <c r="OY317">
        <v>24330</v>
      </c>
      <c r="OZ317">
        <v>51</v>
      </c>
      <c r="PA317">
        <v>51</v>
      </c>
      <c r="PB317" t="s">
        <v>4904</v>
      </c>
      <c r="PC317">
        <v>1</v>
      </c>
      <c r="PD317">
        <v>1746</v>
      </c>
      <c r="PF317">
        <v>265</v>
      </c>
      <c r="PG317">
        <v>29</v>
      </c>
      <c r="PH317">
        <v>247</v>
      </c>
      <c r="PI317">
        <v>29</v>
      </c>
      <c r="PJ317">
        <v>100</v>
      </c>
      <c r="PL317">
        <v>873.9</v>
      </c>
      <c r="PM317">
        <v>791.6</v>
      </c>
      <c r="PN317">
        <v>72.8</v>
      </c>
      <c r="PO317">
        <v>10.7</v>
      </c>
      <c r="PP317">
        <v>12</v>
      </c>
      <c r="PQ317">
        <v>2</v>
      </c>
      <c r="PR317" t="s">
        <v>4465</v>
      </c>
      <c r="PS317">
        <v>6</v>
      </c>
      <c r="PT317">
        <v>184</v>
      </c>
      <c r="PU317">
        <v>12</v>
      </c>
      <c r="PV317" t="s">
        <v>4882</v>
      </c>
      <c r="PW317" t="s">
        <v>4882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-1</v>
      </c>
      <c r="QF317">
        <v>1</v>
      </c>
      <c r="QG317">
        <v>0</v>
      </c>
      <c r="QH317">
        <v>5</v>
      </c>
      <c r="QI317">
        <v>5</v>
      </c>
      <c r="QJ317">
        <v>5</v>
      </c>
      <c r="QK317">
        <v>153</v>
      </c>
      <c r="QL317">
        <v>352</v>
      </c>
      <c r="QM317">
        <v>7.5</v>
      </c>
      <c r="QN317">
        <v>1123</v>
      </c>
      <c r="QO317" t="s">
        <v>3491</v>
      </c>
      <c r="QP317" t="s">
        <v>513</v>
      </c>
      <c r="QQ317">
        <v>0</v>
      </c>
      <c r="QR317" t="s">
        <v>540</v>
      </c>
    </row>
  </sheetData>
  <autoFilter ref="A1:QT317"/>
  <conditionalFormatting sqref="A2:QT31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98"/>
  <sheetViews>
    <sheetView workbookViewId="0"/>
  </sheetViews>
  <sheetFormatPr defaultRowHeight="15"/>
  <sheetData>
    <row r="1" spans="1:6">
      <c r="A1" s="5" t="s">
        <v>5819</v>
      </c>
      <c r="B1" s="5" t="s">
        <v>5815</v>
      </c>
      <c r="C1" s="5" t="s">
        <v>5816</v>
      </c>
      <c r="D1" s="5" t="s">
        <v>5820</v>
      </c>
      <c r="E1" s="5" t="s">
        <v>5821</v>
      </c>
      <c r="F1" s="5" t="s">
        <v>5822</v>
      </c>
    </row>
    <row r="2" spans="1:6">
      <c r="A2" t="s">
        <v>5809</v>
      </c>
      <c r="B2" t="s">
        <v>8</v>
      </c>
      <c r="C2" t="s">
        <v>556</v>
      </c>
      <c r="D2">
        <v>0</v>
      </c>
      <c r="E2">
        <f>IF(AND(A2='Поиск параметров'!$D$4,ISNUMBER(SEARCH('Поиск параметров'!$D$6,B2))),1,0)</f>
        <v>1</v>
      </c>
      <c r="F2">
        <f>IF(E2=1,SUM($E$2:E2),"")</f>
        <v>1</v>
      </c>
    </row>
    <row r="3" spans="1:6">
      <c r="A3" t="s">
        <v>5809</v>
      </c>
      <c r="B3" t="s">
        <v>9</v>
      </c>
      <c r="C3" t="s">
        <v>5823</v>
      </c>
      <c r="D3">
        <v>0</v>
      </c>
      <c r="E3">
        <f>IF(AND(A3='Поиск параметров'!$D$4,ISNUMBER(SEARCH('Поиск параметров'!$D$6,B3))),1,0)</f>
        <v>1</v>
      </c>
      <c r="F3">
        <f>IF(E3=1,SUM($E$2:E3),"")</f>
        <v>2</v>
      </c>
    </row>
    <row r="4" spans="1:6">
      <c r="A4" t="s">
        <v>5809</v>
      </c>
      <c r="B4" t="s">
        <v>10</v>
      </c>
      <c r="C4" t="s">
        <v>1252</v>
      </c>
      <c r="D4">
        <v>0</v>
      </c>
      <c r="E4">
        <f>IF(AND(A4='Поиск параметров'!$D$4,ISNUMBER(SEARCH('Поиск параметров'!$D$6,B4))),1,0)</f>
        <v>1</v>
      </c>
      <c r="F4">
        <f>IF(E4=1,SUM($E$2:E4),"")</f>
        <v>3</v>
      </c>
    </row>
    <row r="5" spans="1:6">
      <c r="A5" t="s">
        <v>5809</v>
      </c>
      <c r="B5" t="s">
        <v>11</v>
      </c>
      <c r="C5" t="s">
        <v>1377</v>
      </c>
      <c r="D5">
        <v>0</v>
      </c>
      <c r="E5">
        <f>IF(AND(A5='Поиск параметров'!$D$4,ISNUMBER(SEARCH('Поиск параметров'!$D$6,B5))),1,0)</f>
        <v>1</v>
      </c>
      <c r="F5">
        <f>IF(E5=1,SUM($E$2:E5),"")</f>
        <v>4</v>
      </c>
    </row>
    <row r="6" spans="1:6">
      <c r="A6" t="s">
        <v>5809</v>
      </c>
      <c r="B6" t="s">
        <v>12</v>
      </c>
      <c r="C6" t="s">
        <v>1477</v>
      </c>
      <c r="D6">
        <v>0</v>
      </c>
      <c r="E6">
        <f>IF(AND(A6='Поиск параметров'!$D$4,ISNUMBER(SEARCH('Поиск параметров'!$D$6,B6))),1,0)</f>
        <v>1</v>
      </c>
      <c r="F6">
        <f>IF(E6=1,SUM($E$2:E6),"")</f>
        <v>5</v>
      </c>
    </row>
    <row r="7" spans="1:6">
      <c r="A7" t="s">
        <v>5809</v>
      </c>
      <c r="B7" t="s">
        <v>13</v>
      </c>
      <c r="C7" t="s">
        <v>1888</v>
      </c>
      <c r="D7">
        <v>0</v>
      </c>
      <c r="E7">
        <f>IF(AND(A7='Поиск параметров'!$D$4,ISNUMBER(SEARCH('Поиск параметров'!$D$6,B7))),1,0)</f>
        <v>1</v>
      </c>
      <c r="F7">
        <f>IF(E7=1,SUM($E$2:E7),"")</f>
        <v>6</v>
      </c>
    </row>
    <row r="8" spans="1:6">
      <c r="A8" t="s">
        <v>5809</v>
      </c>
      <c r="B8" t="s">
        <v>14</v>
      </c>
      <c r="C8" t="s">
        <v>2240</v>
      </c>
      <c r="D8">
        <v>0</v>
      </c>
      <c r="E8">
        <f>IF(AND(A8='Поиск параметров'!$D$4,ISNUMBER(SEARCH('Поиск параметров'!$D$6,B8))),1,0)</f>
        <v>1</v>
      </c>
      <c r="F8">
        <f>IF(E8=1,SUM($E$2:E8),"")</f>
        <v>7</v>
      </c>
    </row>
    <row r="9" spans="1:6">
      <c r="A9" t="s">
        <v>5809</v>
      </c>
      <c r="B9" t="s">
        <v>15</v>
      </c>
      <c r="C9" t="s">
        <v>5824</v>
      </c>
      <c r="D9">
        <v>0</v>
      </c>
      <c r="E9">
        <f>IF(AND(A9='Поиск параметров'!$D$4,ISNUMBER(SEARCH('Поиск параметров'!$D$6,B9))),1,0)</f>
        <v>1</v>
      </c>
      <c r="F9">
        <f>IF(E9=1,SUM($E$2:E9),"")</f>
        <v>8</v>
      </c>
    </row>
    <row r="10" spans="1:6">
      <c r="A10" t="s">
        <v>5809</v>
      </c>
      <c r="B10" t="s">
        <v>16</v>
      </c>
      <c r="C10" t="s">
        <v>2341</v>
      </c>
      <c r="D10">
        <v>0</v>
      </c>
      <c r="E10">
        <f>IF(AND(A10='Поиск параметров'!$D$4,ISNUMBER(SEARCH('Поиск параметров'!$D$6,B10))),1,0)</f>
        <v>1</v>
      </c>
      <c r="F10">
        <f>IF(E10=1,SUM($E$2:E10),"")</f>
        <v>9</v>
      </c>
    </row>
    <row r="11" spans="1:6">
      <c r="A11" t="s">
        <v>5809</v>
      </c>
      <c r="B11" t="s">
        <v>17</v>
      </c>
      <c r="C11" t="s">
        <v>5825</v>
      </c>
      <c r="D11">
        <v>0</v>
      </c>
      <c r="E11">
        <f>IF(AND(A11='Поиск параметров'!$D$4,ISNUMBER(SEARCH('Поиск параметров'!$D$6,B11))),1,0)</f>
        <v>1</v>
      </c>
      <c r="F11">
        <f>IF(E11=1,SUM($E$2:E11),"")</f>
        <v>10</v>
      </c>
    </row>
    <row r="12" spans="1:6">
      <c r="A12" t="s">
        <v>5809</v>
      </c>
      <c r="B12" t="s">
        <v>18</v>
      </c>
      <c r="C12" t="s">
        <v>5826</v>
      </c>
      <c r="D12">
        <v>0</v>
      </c>
      <c r="E12">
        <f>IF(AND(A12='Поиск параметров'!$D$4,ISNUMBER(SEARCH('Поиск параметров'!$D$6,B12))),1,0)</f>
        <v>1</v>
      </c>
      <c r="F12">
        <f>IF(E12=1,SUM($E$2:E12),"")</f>
        <v>11</v>
      </c>
    </row>
    <row r="13" spans="1:6">
      <c r="A13" t="s">
        <v>5809</v>
      </c>
      <c r="B13" t="s">
        <v>19</v>
      </c>
      <c r="C13" t="s">
        <v>582</v>
      </c>
      <c r="D13">
        <v>0</v>
      </c>
      <c r="E13">
        <f>IF(AND(A13='Поиск параметров'!$D$4,ISNUMBER(SEARCH('Поиск параметров'!$D$6,B13))),1,0)</f>
        <v>1</v>
      </c>
      <c r="F13">
        <f>IF(E13=1,SUM($E$2:E13),"")</f>
        <v>12</v>
      </c>
    </row>
    <row r="14" spans="1:6">
      <c r="A14" t="s">
        <v>5809</v>
      </c>
      <c r="B14" t="s">
        <v>20</v>
      </c>
      <c r="C14" t="s">
        <v>4038</v>
      </c>
      <c r="D14">
        <v>0</v>
      </c>
      <c r="E14">
        <f>IF(AND(A14='Поиск параметров'!$D$4,ISNUMBER(SEARCH('Поиск параметров'!$D$6,B14))),1,0)</f>
        <v>1</v>
      </c>
      <c r="F14">
        <f>IF(E14=1,SUM($E$2:E14),"")</f>
        <v>13</v>
      </c>
    </row>
    <row r="15" spans="1:6">
      <c r="A15" t="s">
        <v>5809</v>
      </c>
      <c r="B15" t="s">
        <v>21</v>
      </c>
      <c r="C15" t="s">
        <v>2662</v>
      </c>
      <c r="D15">
        <v>0</v>
      </c>
      <c r="E15">
        <f>IF(AND(A15='Поиск параметров'!$D$4,ISNUMBER(SEARCH('Поиск параметров'!$D$6,B15))),1,0)</f>
        <v>1</v>
      </c>
      <c r="F15">
        <f>IF(E15=1,SUM($E$2:E15),"")</f>
        <v>14</v>
      </c>
    </row>
    <row r="16" spans="1:6">
      <c r="A16" t="s">
        <v>5809</v>
      </c>
      <c r="B16" t="s">
        <v>22</v>
      </c>
      <c r="C16" t="s">
        <v>5827</v>
      </c>
      <c r="D16">
        <v>0</v>
      </c>
      <c r="E16">
        <f>IF(AND(A16='Поиск параметров'!$D$4,ISNUMBER(SEARCH('Поиск параметров'!$D$6,B16))),1,0)</f>
        <v>1</v>
      </c>
      <c r="F16">
        <f>IF(E16=1,SUM($E$2:E16),"")</f>
        <v>15</v>
      </c>
    </row>
    <row r="17" spans="1:6">
      <c r="A17" t="s">
        <v>5809</v>
      </c>
      <c r="B17" t="s">
        <v>23</v>
      </c>
      <c r="C17" t="s">
        <v>3044</v>
      </c>
      <c r="D17">
        <v>0</v>
      </c>
      <c r="E17">
        <f>IF(AND(A17='Поиск параметров'!$D$4,ISNUMBER(SEARCH('Поиск параметров'!$D$6,B17))),1,0)</f>
        <v>1</v>
      </c>
      <c r="F17">
        <f>IF(E17=1,SUM($E$2:E17),"")</f>
        <v>16</v>
      </c>
    </row>
    <row r="18" spans="1:6">
      <c r="A18" t="s">
        <v>5809</v>
      </c>
      <c r="B18" t="s">
        <v>24</v>
      </c>
      <c r="C18" t="s">
        <v>5828</v>
      </c>
      <c r="D18">
        <v>0</v>
      </c>
      <c r="E18">
        <f>IF(AND(A18='Поиск параметров'!$D$4,ISNUMBER(SEARCH('Поиск параметров'!$D$6,B18))),1,0)</f>
        <v>1</v>
      </c>
      <c r="F18">
        <f>IF(E18=1,SUM($E$2:E18),"")</f>
        <v>17</v>
      </c>
    </row>
    <row r="19" spans="1:6">
      <c r="A19" t="s">
        <v>5809</v>
      </c>
      <c r="B19" t="s">
        <v>25</v>
      </c>
      <c r="C19" t="s">
        <v>4041</v>
      </c>
      <c r="D19">
        <v>0</v>
      </c>
      <c r="E19">
        <f>IF(AND(A19='Поиск параметров'!$D$4,ISNUMBER(SEARCH('Поиск параметров'!$D$6,B19))),1,0)</f>
        <v>1</v>
      </c>
      <c r="F19">
        <f>IF(E19=1,SUM($E$2:E19),"")</f>
        <v>18</v>
      </c>
    </row>
    <row r="20" spans="1:6">
      <c r="A20" t="s">
        <v>5809</v>
      </c>
      <c r="B20" t="s">
        <v>26</v>
      </c>
      <c r="C20" t="s">
        <v>3054</v>
      </c>
      <c r="D20">
        <v>0</v>
      </c>
      <c r="E20">
        <f>IF(AND(A20='Поиск параметров'!$D$4,ISNUMBER(SEARCH('Поиск параметров'!$D$6,B20))),1,0)</f>
        <v>1</v>
      </c>
      <c r="F20">
        <f>IF(E20=1,SUM($E$2:E20),"")</f>
        <v>19</v>
      </c>
    </row>
    <row r="21" spans="1:6">
      <c r="A21" t="s">
        <v>5809</v>
      </c>
      <c r="B21" t="s">
        <v>27</v>
      </c>
      <c r="C21" t="s">
        <v>3483</v>
      </c>
      <c r="D21">
        <v>0</v>
      </c>
      <c r="E21">
        <f>IF(AND(A21='Поиск параметров'!$D$4,ISNUMBER(SEARCH('Поиск параметров'!$D$6,B21))),1,0)</f>
        <v>1</v>
      </c>
      <c r="F21">
        <f>IF(E21=1,SUM($E$2:E21),"")</f>
        <v>20</v>
      </c>
    </row>
    <row r="22" spans="1:6">
      <c r="A22" t="s">
        <v>5809</v>
      </c>
      <c r="B22" t="s">
        <v>28</v>
      </c>
      <c r="C22" t="s">
        <v>5829</v>
      </c>
      <c r="D22">
        <v>0</v>
      </c>
      <c r="E22">
        <f>IF(AND(A22='Поиск параметров'!$D$4,ISNUMBER(SEARCH('Поиск параметров'!$D$6,B22))),1,0)</f>
        <v>1</v>
      </c>
      <c r="F22">
        <f>IF(E22=1,SUM($E$2:E22),"")</f>
        <v>21</v>
      </c>
    </row>
    <row r="23" spans="1:6">
      <c r="A23" t="s">
        <v>5809</v>
      </c>
      <c r="B23" t="s">
        <v>29</v>
      </c>
      <c r="C23" t="s">
        <v>5830</v>
      </c>
      <c r="D23">
        <v>0</v>
      </c>
      <c r="E23">
        <f>IF(AND(A23='Поиск параметров'!$D$4,ISNUMBER(SEARCH('Поиск параметров'!$D$6,B23))),1,0)</f>
        <v>1</v>
      </c>
      <c r="F23">
        <f>IF(E23=1,SUM($E$2:E23),"")</f>
        <v>22</v>
      </c>
    </row>
    <row r="24" spans="1:6">
      <c r="A24" t="s">
        <v>5809</v>
      </c>
      <c r="B24" t="s">
        <v>30</v>
      </c>
      <c r="C24" t="s">
        <v>5831</v>
      </c>
      <c r="D24">
        <v>0</v>
      </c>
      <c r="E24">
        <f>IF(AND(A24='Поиск параметров'!$D$4,ISNUMBER(SEARCH('Поиск параметров'!$D$6,B24))),1,0)</f>
        <v>1</v>
      </c>
      <c r="F24">
        <f>IF(E24=1,SUM($E$2:E24),"")</f>
        <v>23</v>
      </c>
    </row>
    <row r="25" spans="1:6">
      <c r="A25" t="s">
        <v>5809</v>
      </c>
      <c r="B25" t="s">
        <v>31</v>
      </c>
      <c r="C25" t="s">
        <v>5832</v>
      </c>
      <c r="D25">
        <v>0</v>
      </c>
      <c r="E25">
        <f>IF(AND(A25='Поиск параметров'!$D$4,ISNUMBER(SEARCH('Поиск параметров'!$D$6,B25))),1,0)</f>
        <v>1</v>
      </c>
      <c r="F25">
        <f>IF(E25=1,SUM($E$2:E25),"")</f>
        <v>24</v>
      </c>
    </row>
    <row r="26" spans="1:6">
      <c r="A26" t="s">
        <v>5809</v>
      </c>
      <c r="B26" t="s">
        <v>32</v>
      </c>
      <c r="C26" t="s">
        <v>5833</v>
      </c>
      <c r="D26">
        <v>0</v>
      </c>
      <c r="E26">
        <f>IF(AND(A26='Поиск параметров'!$D$4,ISNUMBER(SEARCH('Поиск параметров'!$D$6,B26))),1,0)</f>
        <v>1</v>
      </c>
      <c r="F26">
        <f>IF(E26=1,SUM($E$2:E26),"")</f>
        <v>25</v>
      </c>
    </row>
    <row r="27" spans="1:6">
      <c r="A27" t="s">
        <v>5809</v>
      </c>
      <c r="B27" t="s">
        <v>33</v>
      </c>
      <c r="C27" t="s">
        <v>3491</v>
      </c>
      <c r="D27">
        <v>0</v>
      </c>
      <c r="E27">
        <f>IF(AND(A27='Поиск параметров'!$D$4,ISNUMBER(SEARCH('Поиск параметров'!$D$6,B27))),1,0)</f>
        <v>1</v>
      </c>
      <c r="F27">
        <f>IF(E27=1,SUM($E$2:E27),"")</f>
        <v>26</v>
      </c>
    </row>
    <row r="28" spans="1:6">
      <c r="A28" t="s">
        <v>5809</v>
      </c>
      <c r="B28" t="s">
        <v>34</v>
      </c>
      <c r="C28" t="s">
        <v>5834</v>
      </c>
      <c r="D28">
        <v>0</v>
      </c>
      <c r="E28">
        <f>IF(AND(A28='Поиск параметров'!$D$4,ISNUMBER(SEARCH('Поиск параметров'!$D$6,B28))),1,0)</f>
        <v>1</v>
      </c>
      <c r="F28">
        <f>IF(E28=1,SUM($E$2:E28),"")</f>
        <v>27</v>
      </c>
    </row>
    <row r="29" spans="1:6">
      <c r="A29" t="s">
        <v>5809</v>
      </c>
      <c r="B29" t="s">
        <v>35</v>
      </c>
      <c r="C29" t="s">
        <v>5835</v>
      </c>
      <c r="D29">
        <v>0</v>
      </c>
      <c r="E29">
        <f>IF(AND(A29='Поиск параметров'!$D$4,ISNUMBER(SEARCH('Поиск параметров'!$D$6,B29))),1,0)</f>
        <v>1</v>
      </c>
      <c r="F29">
        <f>IF(E29=1,SUM($E$2:E29),"")</f>
        <v>28</v>
      </c>
    </row>
    <row r="30" spans="1:6">
      <c r="A30" t="s">
        <v>5809</v>
      </c>
      <c r="B30" t="s">
        <v>36</v>
      </c>
      <c r="C30" t="s">
        <v>5836</v>
      </c>
      <c r="D30">
        <v>0</v>
      </c>
      <c r="E30">
        <f>IF(AND(A30='Поиск параметров'!$D$4,ISNUMBER(SEARCH('Поиск параметров'!$D$6,B30))),1,0)</f>
        <v>1</v>
      </c>
      <c r="F30">
        <f>IF(E30=1,SUM($E$2:E30),"")</f>
        <v>29</v>
      </c>
    </row>
    <row r="31" spans="1:6">
      <c r="A31" t="s">
        <v>5809</v>
      </c>
      <c r="B31" t="s">
        <v>37</v>
      </c>
      <c r="C31" t="s">
        <v>5837</v>
      </c>
      <c r="D31">
        <v>0</v>
      </c>
      <c r="E31">
        <f>IF(AND(A31='Поиск параметров'!$D$4,ISNUMBER(SEARCH('Поиск параметров'!$D$6,B31))),1,0)</f>
        <v>1</v>
      </c>
      <c r="F31">
        <f>IF(E31=1,SUM($E$2:E31),"")</f>
        <v>30</v>
      </c>
    </row>
    <row r="32" spans="1:6">
      <c r="A32" t="s">
        <v>5809</v>
      </c>
      <c r="B32" t="s">
        <v>38</v>
      </c>
      <c r="C32" t="s">
        <v>5838</v>
      </c>
      <c r="D32">
        <v>7</v>
      </c>
      <c r="E32">
        <f>IF(AND(A32='Поиск параметров'!$D$4,ISNUMBER(SEARCH('Поиск параметров'!$D$6,B32))),1,0)</f>
        <v>1</v>
      </c>
      <c r="F32">
        <f>IF(E32=1,SUM($E$2:E32),"")</f>
        <v>31</v>
      </c>
    </row>
    <row r="33" spans="1:6">
      <c r="A33" t="s">
        <v>5809</v>
      </c>
      <c r="B33" t="s">
        <v>39</v>
      </c>
      <c r="C33" t="s">
        <v>5839</v>
      </c>
      <c r="D33">
        <v>8</v>
      </c>
      <c r="E33">
        <f>IF(AND(A33='Поиск параметров'!$D$4,ISNUMBER(SEARCH('Поиск параметров'!$D$6,B33))),1,0)</f>
        <v>1</v>
      </c>
      <c r="F33">
        <f>IF(E33=1,SUM($E$2:E33),"")</f>
        <v>32</v>
      </c>
    </row>
    <row r="34" spans="1:6">
      <c r="A34" t="s">
        <v>5809</v>
      </c>
      <c r="B34" t="s">
        <v>40</v>
      </c>
      <c r="C34" t="s">
        <v>5840</v>
      </c>
      <c r="D34">
        <v>0</v>
      </c>
      <c r="E34">
        <f>IF(AND(A34='Поиск параметров'!$D$4,ISNUMBER(SEARCH('Поиск параметров'!$D$6,B34))),1,0)</f>
        <v>1</v>
      </c>
      <c r="F34">
        <f>IF(E34=1,SUM($E$2:E34),"")</f>
        <v>33</v>
      </c>
    </row>
    <row r="35" spans="1:6">
      <c r="A35" t="s">
        <v>5809</v>
      </c>
      <c r="B35" t="s">
        <v>41</v>
      </c>
      <c r="C35" t="s">
        <v>5841</v>
      </c>
      <c r="D35">
        <v>0</v>
      </c>
      <c r="E35">
        <f>IF(AND(A35='Поиск параметров'!$D$4,ISNUMBER(SEARCH('Поиск параметров'!$D$6,B35))),1,0)</f>
        <v>1</v>
      </c>
      <c r="F35">
        <f>IF(E35=1,SUM($E$2:E35),"")</f>
        <v>34</v>
      </c>
    </row>
    <row r="36" spans="1:6">
      <c r="A36" t="s">
        <v>5809</v>
      </c>
      <c r="B36" t="s">
        <v>35</v>
      </c>
      <c r="C36" t="s">
        <v>5842</v>
      </c>
      <c r="D36">
        <v>0</v>
      </c>
      <c r="E36">
        <f>IF(AND(A36='Поиск параметров'!$D$4,ISNUMBER(SEARCH('Поиск параметров'!$D$6,B36))),1,0)</f>
        <v>1</v>
      </c>
      <c r="F36">
        <f>IF(E36=1,SUM($E$2:E36),"")</f>
        <v>35</v>
      </c>
    </row>
    <row r="37" spans="1:6">
      <c r="A37" t="s">
        <v>5809</v>
      </c>
      <c r="B37" t="s">
        <v>38</v>
      </c>
      <c r="C37" t="s">
        <v>5843</v>
      </c>
      <c r="D37">
        <v>9</v>
      </c>
      <c r="E37">
        <f>IF(AND(A37='Поиск параметров'!$D$4,ISNUMBER(SEARCH('Поиск параметров'!$D$6,B37))),1,0)</f>
        <v>1</v>
      </c>
      <c r="F37">
        <f>IF(E37=1,SUM($E$2:E37),"")</f>
        <v>36</v>
      </c>
    </row>
    <row r="38" spans="1:6">
      <c r="A38" t="s">
        <v>5809</v>
      </c>
      <c r="B38" t="s">
        <v>36</v>
      </c>
      <c r="C38" t="s">
        <v>5844</v>
      </c>
      <c r="D38">
        <v>0</v>
      </c>
      <c r="E38">
        <f>IF(AND(A38='Поиск параметров'!$D$4,ISNUMBER(SEARCH('Поиск параметров'!$D$6,B38))),1,0)</f>
        <v>1</v>
      </c>
      <c r="F38">
        <f>IF(E38=1,SUM($E$2:E38),"")</f>
        <v>37</v>
      </c>
    </row>
    <row r="39" spans="1:6">
      <c r="A39" t="s">
        <v>5809</v>
      </c>
      <c r="B39" t="s">
        <v>39</v>
      </c>
      <c r="C39" t="s">
        <v>5845</v>
      </c>
      <c r="D39">
        <v>10</v>
      </c>
      <c r="E39">
        <f>IF(AND(A39='Поиск параметров'!$D$4,ISNUMBER(SEARCH('Поиск параметров'!$D$6,B39))),1,0)</f>
        <v>1</v>
      </c>
      <c r="F39">
        <f>IF(E39=1,SUM($E$2:E39),"")</f>
        <v>38</v>
      </c>
    </row>
    <row r="40" spans="1:6">
      <c r="A40" t="s">
        <v>5809</v>
      </c>
      <c r="B40" t="s">
        <v>40</v>
      </c>
      <c r="C40" t="s">
        <v>5846</v>
      </c>
      <c r="D40">
        <v>0</v>
      </c>
      <c r="E40">
        <f>IF(AND(A40='Поиск параметров'!$D$4,ISNUMBER(SEARCH('Поиск параметров'!$D$6,B40))),1,0)</f>
        <v>1</v>
      </c>
      <c r="F40">
        <f>IF(E40=1,SUM($E$2:E40),"")</f>
        <v>39</v>
      </c>
    </row>
    <row r="41" spans="1:6">
      <c r="A41" t="s">
        <v>5809</v>
      </c>
      <c r="B41" t="s">
        <v>35</v>
      </c>
      <c r="C41" t="s">
        <v>5847</v>
      </c>
      <c r="D41">
        <v>0</v>
      </c>
      <c r="E41">
        <f>IF(AND(A41='Поиск параметров'!$D$4,ISNUMBER(SEARCH('Поиск параметров'!$D$6,B41))),1,0)</f>
        <v>1</v>
      </c>
      <c r="F41">
        <f>IF(E41=1,SUM($E$2:E41),"")</f>
        <v>40</v>
      </c>
    </row>
    <row r="42" spans="1:6">
      <c r="A42" t="s">
        <v>5809</v>
      </c>
      <c r="B42" t="s">
        <v>36</v>
      </c>
      <c r="C42" t="s">
        <v>5848</v>
      </c>
      <c r="D42">
        <v>0</v>
      </c>
      <c r="E42">
        <f>IF(AND(A42='Поиск параметров'!$D$4,ISNUMBER(SEARCH('Поиск параметров'!$D$6,B42))),1,0)</f>
        <v>1</v>
      </c>
      <c r="F42">
        <f>IF(E42=1,SUM($E$2:E42),"")</f>
        <v>41</v>
      </c>
    </row>
    <row r="43" spans="1:6">
      <c r="A43" t="s">
        <v>5809</v>
      </c>
      <c r="B43" t="s">
        <v>42</v>
      </c>
      <c r="C43" t="s">
        <v>5849</v>
      </c>
      <c r="D43">
        <v>0</v>
      </c>
      <c r="E43">
        <f>IF(AND(A43='Поиск параметров'!$D$4,ISNUMBER(SEARCH('Поиск параметров'!$D$6,B43))),1,0)</f>
        <v>1</v>
      </c>
      <c r="F43">
        <f>IF(E43=1,SUM($E$2:E43),"")</f>
        <v>42</v>
      </c>
    </row>
    <row r="44" spans="1:6">
      <c r="A44" t="s">
        <v>5809</v>
      </c>
      <c r="B44" t="s">
        <v>43</v>
      </c>
      <c r="C44" t="s">
        <v>5850</v>
      </c>
      <c r="D44">
        <v>0</v>
      </c>
      <c r="E44">
        <f>IF(AND(A44='Поиск параметров'!$D$4,ISNUMBER(SEARCH('Поиск параметров'!$D$6,B44))),1,0)</f>
        <v>1</v>
      </c>
      <c r="F44">
        <f>IF(E44=1,SUM($E$2:E44),"")</f>
        <v>43</v>
      </c>
    </row>
    <row r="45" spans="1:6">
      <c r="A45" t="s">
        <v>5809</v>
      </c>
      <c r="B45" t="s">
        <v>38</v>
      </c>
      <c r="C45" t="s">
        <v>5851</v>
      </c>
      <c r="D45">
        <v>11</v>
      </c>
      <c r="E45">
        <f>IF(AND(A45='Поиск параметров'!$D$4,ISNUMBER(SEARCH('Поиск параметров'!$D$6,B45))),1,0)</f>
        <v>1</v>
      </c>
      <c r="F45">
        <f>IF(E45=1,SUM($E$2:E45),"")</f>
        <v>44</v>
      </c>
    </row>
    <row r="46" spans="1:6">
      <c r="A46" t="s">
        <v>5809</v>
      </c>
      <c r="B46" t="s">
        <v>39</v>
      </c>
      <c r="C46" t="s">
        <v>5852</v>
      </c>
      <c r="D46">
        <v>12</v>
      </c>
      <c r="E46">
        <f>IF(AND(A46='Поиск параметров'!$D$4,ISNUMBER(SEARCH('Поиск параметров'!$D$6,B46))),1,0)</f>
        <v>1</v>
      </c>
      <c r="F46">
        <f>IF(E46=1,SUM($E$2:E46),"")</f>
        <v>45</v>
      </c>
    </row>
    <row r="47" spans="1:6">
      <c r="A47" t="s">
        <v>5809</v>
      </c>
      <c r="B47" t="s">
        <v>40</v>
      </c>
      <c r="C47" t="s">
        <v>5853</v>
      </c>
      <c r="D47">
        <v>0</v>
      </c>
      <c r="E47">
        <f>IF(AND(A47='Поиск параметров'!$D$4,ISNUMBER(SEARCH('Поиск параметров'!$D$6,B47))),1,0)</f>
        <v>1</v>
      </c>
      <c r="F47">
        <f>IF(E47=1,SUM($E$2:E47),"")</f>
        <v>46</v>
      </c>
    </row>
    <row r="48" spans="1:6">
      <c r="A48" t="s">
        <v>5809</v>
      </c>
      <c r="B48" t="s">
        <v>44</v>
      </c>
      <c r="C48" t="s">
        <v>5854</v>
      </c>
      <c r="D48">
        <v>0</v>
      </c>
      <c r="E48">
        <f>IF(AND(A48='Поиск параметров'!$D$4,ISNUMBER(SEARCH('Поиск параметров'!$D$6,B48))),1,0)</f>
        <v>1</v>
      </c>
      <c r="F48">
        <f>IF(E48=1,SUM($E$2:E48),"")</f>
        <v>47</v>
      </c>
    </row>
    <row r="49" spans="1:6">
      <c r="A49" t="s">
        <v>5809</v>
      </c>
      <c r="B49" t="s">
        <v>45</v>
      </c>
      <c r="C49" t="s">
        <v>5855</v>
      </c>
      <c r="D49">
        <v>0</v>
      </c>
      <c r="E49">
        <f>IF(AND(A49='Поиск параметров'!$D$4,ISNUMBER(SEARCH('Поиск параметров'!$D$6,B49))),1,0)</f>
        <v>1</v>
      </c>
      <c r="F49">
        <f>IF(E49=1,SUM($E$2:E49),"")</f>
        <v>48</v>
      </c>
    </row>
    <row r="50" spans="1:6">
      <c r="A50" t="s">
        <v>5809</v>
      </c>
      <c r="B50" t="s">
        <v>35</v>
      </c>
      <c r="C50" t="s">
        <v>5856</v>
      </c>
      <c r="D50">
        <v>0</v>
      </c>
      <c r="E50">
        <f>IF(AND(A50='Поиск параметров'!$D$4,ISNUMBER(SEARCH('Поиск параметров'!$D$6,B50))),1,0)</f>
        <v>1</v>
      </c>
      <c r="F50">
        <f>IF(E50=1,SUM($E$2:E50),"")</f>
        <v>49</v>
      </c>
    </row>
    <row r="51" spans="1:6">
      <c r="A51" t="s">
        <v>5809</v>
      </c>
      <c r="B51" t="s">
        <v>36</v>
      </c>
      <c r="C51" t="s">
        <v>5857</v>
      </c>
      <c r="D51">
        <v>0</v>
      </c>
      <c r="E51">
        <f>IF(AND(A51='Поиск параметров'!$D$4,ISNUMBER(SEARCH('Поиск параметров'!$D$6,B51))),1,0)</f>
        <v>1</v>
      </c>
      <c r="F51">
        <f>IF(E51=1,SUM($E$2:E51),"")</f>
        <v>50</v>
      </c>
    </row>
    <row r="52" spans="1:6">
      <c r="A52" t="s">
        <v>5809</v>
      </c>
      <c r="B52" t="s">
        <v>38</v>
      </c>
      <c r="C52" t="s">
        <v>5858</v>
      </c>
      <c r="D52">
        <v>13</v>
      </c>
      <c r="E52">
        <f>IF(AND(A52='Поиск параметров'!$D$4,ISNUMBER(SEARCH('Поиск параметров'!$D$6,B52))),1,0)</f>
        <v>1</v>
      </c>
      <c r="F52">
        <f>IF(E52=1,SUM($E$2:E52),"")</f>
        <v>51</v>
      </c>
    </row>
    <row r="53" spans="1:6">
      <c r="A53" t="s">
        <v>5809</v>
      </c>
      <c r="B53" t="s">
        <v>39</v>
      </c>
      <c r="C53" t="s">
        <v>5859</v>
      </c>
      <c r="D53">
        <v>14</v>
      </c>
      <c r="E53">
        <f>IF(AND(A53='Поиск параметров'!$D$4,ISNUMBER(SEARCH('Поиск параметров'!$D$6,B53))),1,0)</f>
        <v>1</v>
      </c>
      <c r="F53">
        <f>IF(E53=1,SUM($E$2:E53),"")</f>
        <v>52</v>
      </c>
    </row>
    <row r="54" spans="1:6">
      <c r="A54" t="s">
        <v>5809</v>
      </c>
      <c r="B54" t="s">
        <v>40</v>
      </c>
      <c r="C54" t="s">
        <v>5860</v>
      </c>
      <c r="D54">
        <v>0</v>
      </c>
      <c r="E54">
        <f>IF(AND(A54='Поиск параметров'!$D$4,ISNUMBER(SEARCH('Поиск параметров'!$D$6,B54))),1,0)</f>
        <v>1</v>
      </c>
      <c r="F54">
        <f>IF(E54=1,SUM($E$2:E54),"")</f>
        <v>53</v>
      </c>
    </row>
    <row r="55" spans="1:6">
      <c r="A55" t="s">
        <v>5809</v>
      </c>
      <c r="B55" t="s">
        <v>44</v>
      </c>
      <c r="C55" t="s">
        <v>5861</v>
      </c>
      <c r="D55">
        <v>0</v>
      </c>
      <c r="E55">
        <f>IF(AND(A55='Поиск параметров'!$D$4,ISNUMBER(SEARCH('Поиск параметров'!$D$6,B55))),1,0)</f>
        <v>1</v>
      </c>
      <c r="F55">
        <f>IF(E55=1,SUM($E$2:E55),"")</f>
        <v>54</v>
      </c>
    </row>
    <row r="56" spans="1:6">
      <c r="A56" t="s">
        <v>5809</v>
      </c>
      <c r="B56" t="s">
        <v>45</v>
      </c>
      <c r="C56" t="s">
        <v>4053</v>
      </c>
      <c r="D56">
        <v>0</v>
      </c>
      <c r="E56">
        <f>IF(AND(A56='Поиск параметров'!$D$4,ISNUMBER(SEARCH('Поиск параметров'!$D$6,B56))),1,0)</f>
        <v>1</v>
      </c>
      <c r="F56">
        <f>IF(E56=1,SUM($E$2:E56),"")</f>
        <v>55</v>
      </c>
    </row>
    <row r="57" spans="1:6">
      <c r="A57" t="s">
        <v>5809</v>
      </c>
      <c r="B57" t="s">
        <v>35</v>
      </c>
      <c r="C57" t="s">
        <v>5862</v>
      </c>
      <c r="D57">
        <v>0</v>
      </c>
      <c r="E57">
        <f>IF(AND(A57='Поиск параметров'!$D$4,ISNUMBER(SEARCH('Поиск параметров'!$D$6,B57))),1,0)</f>
        <v>1</v>
      </c>
      <c r="F57">
        <f>IF(E57=1,SUM($E$2:E57),"")</f>
        <v>56</v>
      </c>
    </row>
    <row r="58" spans="1:6">
      <c r="A58" t="s">
        <v>5809</v>
      </c>
      <c r="B58" t="s">
        <v>36</v>
      </c>
      <c r="C58" t="s">
        <v>5863</v>
      </c>
      <c r="D58">
        <v>0</v>
      </c>
      <c r="E58">
        <f>IF(AND(A58='Поиск параметров'!$D$4,ISNUMBER(SEARCH('Поиск параметров'!$D$6,B58))),1,0)</f>
        <v>1</v>
      </c>
      <c r="F58">
        <f>IF(E58=1,SUM($E$2:E58),"")</f>
        <v>57</v>
      </c>
    </row>
    <row r="59" spans="1:6">
      <c r="A59" t="s">
        <v>5809</v>
      </c>
      <c r="B59" t="s">
        <v>38</v>
      </c>
      <c r="C59" t="s">
        <v>5864</v>
      </c>
      <c r="D59">
        <v>15</v>
      </c>
      <c r="E59">
        <f>IF(AND(A59='Поиск параметров'!$D$4,ISNUMBER(SEARCH('Поиск параметров'!$D$6,B59))),1,0)</f>
        <v>1</v>
      </c>
      <c r="F59">
        <f>IF(E59=1,SUM($E$2:E59),"")</f>
        <v>58</v>
      </c>
    </row>
    <row r="60" spans="1:6">
      <c r="A60" t="s">
        <v>5809</v>
      </c>
      <c r="B60" t="s">
        <v>39</v>
      </c>
      <c r="C60" t="s">
        <v>5865</v>
      </c>
      <c r="D60">
        <v>16</v>
      </c>
      <c r="E60">
        <f>IF(AND(A60='Поиск параметров'!$D$4,ISNUMBER(SEARCH('Поиск параметров'!$D$6,B60))),1,0)</f>
        <v>1</v>
      </c>
      <c r="F60">
        <f>IF(E60=1,SUM($E$2:E60),"")</f>
        <v>59</v>
      </c>
    </row>
    <row r="61" spans="1:6">
      <c r="A61" t="s">
        <v>5809</v>
      </c>
      <c r="B61" t="s">
        <v>40</v>
      </c>
      <c r="C61" t="s">
        <v>5866</v>
      </c>
      <c r="D61">
        <v>0</v>
      </c>
      <c r="E61">
        <f>IF(AND(A61='Поиск параметров'!$D$4,ISNUMBER(SEARCH('Поиск параметров'!$D$6,B61))),1,0)</f>
        <v>1</v>
      </c>
      <c r="F61">
        <f>IF(E61=1,SUM($E$2:E61),"")</f>
        <v>60</v>
      </c>
    </row>
    <row r="62" spans="1:6">
      <c r="A62" t="s">
        <v>5809</v>
      </c>
      <c r="B62" t="s">
        <v>35</v>
      </c>
      <c r="C62" t="s">
        <v>5867</v>
      </c>
      <c r="D62">
        <v>0</v>
      </c>
      <c r="E62">
        <f>IF(AND(A62='Поиск параметров'!$D$4,ISNUMBER(SEARCH('Поиск параметров'!$D$6,B62))),1,0)</f>
        <v>1</v>
      </c>
      <c r="F62">
        <f>IF(E62=1,SUM($E$2:E62),"")</f>
        <v>61</v>
      </c>
    </row>
    <row r="63" spans="1:6">
      <c r="A63" t="s">
        <v>5809</v>
      </c>
      <c r="B63" t="s">
        <v>36</v>
      </c>
      <c r="C63" t="s">
        <v>5868</v>
      </c>
      <c r="D63">
        <v>0</v>
      </c>
      <c r="E63">
        <f>IF(AND(A63='Поиск параметров'!$D$4,ISNUMBER(SEARCH('Поиск параметров'!$D$6,B63))),1,0)</f>
        <v>1</v>
      </c>
      <c r="F63">
        <f>IF(E63=1,SUM($E$2:E63),"")</f>
        <v>62</v>
      </c>
    </row>
    <row r="64" spans="1:6">
      <c r="A64" t="s">
        <v>5809</v>
      </c>
      <c r="B64" t="s">
        <v>42</v>
      </c>
      <c r="C64" t="s">
        <v>5869</v>
      </c>
      <c r="D64">
        <v>0</v>
      </c>
      <c r="E64">
        <f>IF(AND(A64='Поиск параметров'!$D$4,ISNUMBER(SEARCH('Поиск параметров'!$D$6,B64))),1,0)</f>
        <v>1</v>
      </c>
      <c r="F64">
        <f>IF(E64=1,SUM($E$2:E64),"")</f>
        <v>63</v>
      </c>
    </row>
    <row r="65" spans="1:6">
      <c r="A65" t="s">
        <v>5809</v>
      </c>
      <c r="B65" t="s">
        <v>46</v>
      </c>
      <c r="C65" t="s">
        <v>4359</v>
      </c>
      <c r="D65">
        <v>0</v>
      </c>
      <c r="E65">
        <f>IF(AND(A65='Поиск параметров'!$D$4,ISNUMBER(SEARCH('Поиск параметров'!$D$6,B65))),1,0)</f>
        <v>1</v>
      </c>
      <c r="F65">
        <f>IF(E65=1,SUM($E$2:E65),"")</f>
        <v>64</v>
      </c>
    </row>
    <row r="66" spans="1:6">
      <c r="A66" t="s">
        <v>5809</v>
      </c>
      <c r="B66" t="s">
        <v>38</v>
      </c>
      <c r="C66" t="s">
        <v>5870</v>
      </c>
      <c r="D66">
        <v>17</v>
      </c>
      <c r="E66">
        <f>IF(AND(A66='Поиск параметров'!$D$4,ISNUMBER(SEARCH('Поиск параметров'!$D$6,B66))),1,0)</f>
        <v>1</v>
      </c>
      <c r="F66">
        <f>IF(E66=1,SUM($E$2:E66),"")</f>
        <v>65</v>
      </c>
    </row>
    <row r="67" spans="1:6">
      <c r="A67" t="s">
        <v>5809</v>
      </c>
      <c r="B67" t="s">
        <v>39</v>
      </c>
      <c r="C67" t="s">
        <v>5871</v>
      </c>
      <c r="D67">
        <v>18</v>
      </c>
      <c r="E67">
        <f>IF(AND(A67='Поиск параметров'!$D$4,ISNUMBER(SEARCH('Поиск параметров'!$D$6,B67))),1,0)</f>
        <v>1</v>
      </c>
      <c r="F67">
        <f>IF(E67=1,SUM($E$2:E67),"")</f>
        <v>66</v>
      </c>
    </row>
    <row r="68" spans="1:6">
      <c r="A68" t="s">
        <v>5809</v>
      </c>
      <c r="B68" t="s">
        <v>40</v>
      </c>
      <c r="C68" t="s">
        <v>5872</v>
      </c>
      <c r="D68">
        <v>0</v>
      </c>
      <c r="E68">
        <f>IF(AND(A68='Поиск параметров'!$D$4,ISNUMBER(SEARCH('Поиск параметров'!$D$6,B68))),1,0)</f>
        <v>1</v>
      </c>
      <c r="F68">
        <f>IF(E68=1,SUM($E$2:E68),"")</f>
        <v>67</v>
      </c>
    </row>
    <row r="69" spans="1:6">
      <c r="A69" t="s">
        <v>5809</v>
      </c>
      <c r="B69" t="s">
        <v>35</v>
      </c>
      <c r="C69" t="s">
        <v>5873</v>
      </c>
      <c r="D69">
        <v>0</v>
      </c>
      <c r="E69">
        <f>IF(AND(A69='Поиск параметров'!$D$4,ISNUMBER(SEARCH('Поиск параметров'!$D$6,B69))),1,0)</f>
        <v>1</v>
      </c>
      <c r="F69">
        <f>IF(E69=1,SUM($E$2:E69),"")</f>
        <v>68</v>
      </c>
    </row>
    <row r="70" spans="1:6">
      <c r="A70" t="s">
        <v>5809</v>
      </c>
      <c r="B70" t="s">
        <v>47</v>
      </c>
      <c r="C70" t="s">
        <v>5874</v>
      </c>
      <c r="D70">
        <v>0</v>
      </c>
      <c r="E70">
        <f>IF(AND(A70='Поиск параметров'!$D$4,ISNUMBER(SEARCH('Поиск параметров'!$D$6,B70))),1,0)</f>
        <v>1</v>
      </c>
      <c r="F70">
        <f>IF(E70=1,SUM($E$2:E70),"")</f>
        <v>69</v>
      </c>
    </row>
    <row r="71" spans="1:6">
      <c r="A71" t="s">
        <v>5809</v>
      </c>
      <c r="B71" t="s">
        <v>36</v>
      </c>
      <c r="C71" t="s">
        <v>5875</v>
      </c>
      <c r="D71">
        <v>0</v>
      </c>
      <c r="E71">
        <f>IF(AND(A71='Поиск параметров'!$D$4,ISNUMBER(SEARCH('Поиск параметров'!$D$6,B71))),1,0)</f>
        <v>1</v>
      </c>
      <c r="F71">
        <f>IF(E71=1,SUM($E$2:E71),"")</f>
        <v>70</v>
      </c>
    </row>
    <row r="72" spans="1:6">
      <c r="A72" t="s">
        <v>5809</v>
      </c>
      <c r="B72" t="s">
        <v>48</v>
      </c>
      <c r="C72" t="s">
        <v>5876</v>
      </c>
      <c r="D72">
        <v>0</v>
      </c>
      <c r="E72">
        <f>IF(AND(A72='Поиск параметров'!$D$4,ISNUMBER(SEARCH('Поиск параметров'!$D$6,B72))),1,0)</f>
        <v>1</v>
      </c>
      <c r="F72">
        <f>IF(E72=1,SUM($E$2:E72),"")</f>
        <v>71</v>
      </c>
    </row>
    <row r="73" spans="1:6">
      <c r="A73" t="s">
        <v>5809</v>
      </c>
      <c r="B73" t="s">
        <v>38</v>
      </c>
      <c r="C73" t="s">
        <v>5877</v>
      </c>
      <c r="D73">
        <v>19</v>
      </c>
      <c r="E73">
        <f>IF(AND(A73='Поиск параметров'!$D$4,ISNUMBER(SEARCH('Поиск параметров'!$D$6,B73))),1,0)</f>
        <v>1</v>
      </c>
      <c r="F73">
        <f>IF(E73=1,SUM($E$2:E73),"")</f>
        <v>72</v>
      </c>
    </row>
    <row r="74" spans="1:6">
      <c r="A74" t="s">
        <v>5809</v>
      </c>
      <c r="B74" t="s">
        <v>39</v>
      </c>
      <c r="C74" t="s">
        <v>5878</v>
      </c>
      <c r="D74">
        <v>20</v>
      </c>
      <c r="E74">
        <f>IF(AND(A74='Поиск параметров'!$D$4,ISNUMBER(SEARCH('Поиск параметров'!$D$6,B74))),1,0)</f>
        <v>1</v>
      </c>
      <c r="F74">
        <f>IF(E74=1,SUM($E$2:E74),"")</f>
        <v>73</v>
      </c>
    </row>
    <row r="75" spans="1:6">
      <c r="A75" t="s">
        <v>5809</v>
      </c>
      <c r="B75" t="s">
        <v>40</v>
      </c>
      <c r="C75" t="s">
        <v>5879</v>
      </c>
      <c r="D75">
        <v>0</v>
      </c>
      <c r="E75">
        <f>IF(AND(A75='Поиск параметров'!$D$4,ISNUMBER(SEARCH('Поиск параметров'!$D$6,B75))),1,0)</f>
        <v>1</v>
      </c>
      <c r="F75">
        <f>IF(E75=1,SUM($E$2:E75),"")</f>
        <v>74</v>
      </c>
    </row>
    <row r="76" spans="1:6">
      <c r="A76" t="s">
        <v>5809</v>
      </c>
      <c r="B76" t="s">
        <v>49</v>
      </c>
      <c r="C76" t="s">
        <v>5880</v>
      </c>
      <c r="D76">
        <v>21</v>
      </c>
      <c r="E76">
        <f>IF(AND(A76='Поиск параметров'!$D$4,ISNUMBER(SEARCH('Поиск параметров'!$D$6,B76))),1,0)</f>
        <v>1</v>
      </c>
      <c r="F76">
        <f>IF(E76=1,SUM($E$2:E76),"")</f>
        <v>75</v>
      </c>
    </row>
    <row r="77" spans="1:6">
      <c r="A77" t="s">
        <v>5809</v>
      </c>
      <c r="B77" t="s">
        <v>50</v>
      </c>
      <c r="C77" t="s">
        <v>5881</v>
      </c>
      <c r="D77">
        <v>22</v>
      </c>
      <c r="E77">
        <f>IF(AND(A77='Поиск параметров'!$D$4,ISNUMBER(SEARCH('Поиск параметров'!$D$6,B77))),1,0)</f>
        <v>1</v>
      </c>
      <c r="F77">
        <f>IF(E77=1,SUM($E$2:E77),"")</f>
        <v>76</v>
      </c>
    </row>
    <row r="78" spans="1:6">
      <c r="A78" t="s">
        <v>5809</v>
      </c>
      <c r="B78" t="s">
        <v>51</v>
      </c>
      <c r="C78" t="s">
        <v>5882</v>
      </c>
      <c r="D78">
        <v>0</v>
      </c>
      <c r="E78">
        <f>IF(AND(A78='Поиск параметров'!$D$4,ISNUMBER(SEARCH('Поиск параметров'!$D$6,B78))),1,0)</f>
        <v>1</v>
      </c>
      <c r="F78">
        <f>IF(E78=1,SUM($E$2:E78),"")</f>
        <v>77</v>
      </c>
    </row>
    <row r="79" spans="1:6">
      <c r="A79" t="s">
        <v>5809</v>
      </c>
      <c r="B79" t="s">
        <v>52</v>
      </c>
      <c r="C79" t="s">
        <v>5883</v>
      </c>
      <c r="D79">
        <v>23</v>
      </c>
      <c r="E79">
        <f>IF(AND(A79='Поиск параметров'!$D$4,ISNUMBER(SEARCH('Поиск параметров'!$D$6,B79))),1,0)</f>
        <v>1</v>
      </c>
      <c r="F79">
        <f>IF(E79=1,SUM($E$2:E79),"")</f>
        <v>78</v>
      </c>
    </row>
    <row r="80" spans="1:6">
      <c r="A80" t="s">
        <v>5809</v>
      </c>
      <c r="B80" t="s">
        <v>53</v>
      </c>
      <c r="C80" t="s">
        <v>5884</v>
      </c>
      <c r="D80">
        <v>24</v>
      </c>
      <c r="E80">
        <f>IF(AND(A80='Поиск параметров'!$D$4,ISNUMBER(SEARCH('Поиск параметров'!$D$6,B80))),1,0)</f>
        <v>1</v>
      </c>
      <c r="F80">
        <f>IF(E80=1,SUM($E$2:E80),"")</f>
        <v>79</v>
      </c>
    </row>
    <row r="81" spans="1:6">
      <c r="A81" t="s">
        <v>5809</v>
      </c>
      <c r="B81" t="s">
        <v>54</v>
      </c>
      <c r="C81" t="s">
        <v>5885</v>
      </c>
      <c r="D81">
        <v>0</v>
      </c>
      <c r="E81">
        <f>IF(AND(A81='Поиск параметров'!$D$4,ISNUMBER(SEARCH('Поиск параметров'!$D$6,B81))),1,0)</f>
        <v>1</v>
      </c>
      <c r="F81">
        <f>IF(E81=1,SUM($E$2:E81),"")</f>
        <v>80</v>
      </c>
    </row>
    <row r="82" spans="1:6">
      <c r="A82" t="s">
        <v>5809</v>
      </c>
      <c r="B82" t="s">
        <v>55</v>
      </c>
      <c r="C82" t="s">
        <v>5886</v>
      </c>
      <c r="D82">
        <v>0</v>
      </c>
      <c r="E82">
        <f>IF(AND(A82='Поиск параметров'!$D$4,ISNUMBER(SEARCH('Поиск параметров'!$D$6,B82))),1,0)</f>
        <v>1</v>
      </c>
      <c r="F82">
        <f>IF(E82=1,SUM($E$2:E82),"")</f>
        <v>81</v>
      </c>
    </row>
    <row r="83" spans="1:6">
      <c r="A83" t="s">
        <v>5809</v>
      </c>
      <c r="B83" t="s">
        <v>56</v>
      </c>
      <c r="C83" t="s">
        <v>5887</v>
      </c>
      <c r="D83">
        <v>25</v>
      </c>
      <c r="E83">
        <f>IF(AND(A83='Поиск параметров'!$D$4,ISNUMBER(SEARCH('Поиск параметров'!$D$6,B83))),1,0)</f>
        <v>1</v>
      </c>
      <c r="F83">
        <f>IF(E83=1,SUM($E$2:E83),"")</f>
        <v>82</v>
      </c>
    </row>
    <row r="84" spans="1:6">
      <c r="A84" t="s">
        <v>5809</v>
      </c>
      <c r="B84" t="s">
        <v>57</v>
      </c>
      <c r="C84" t="s">
        <v>5888</v>
      </c>
      <c r="D84">
        <v>0</v>
      </c>
      <c r="E84">
        <f>IF(AND(A84='Поиск параметров'!$D$4,ISNUMBER(SEARCH('Поиск параметров'!$D$6,B84))),1,0)</f>
        <v>1</v>
      </c>
      <c r="F84">
        <f>IF(E84=1,SUM($E$2:E84),"")</f>
        <v>83</v>
      </c>
    </row>
    <row r="85" spans="1:6">
      <c r="A85" t="s">
        <v>5809</v>
      </c>
      <c r="B85" t="s">
        <v>58</v>
      </c>
      <c r="C85" t="s">
        <v>5889</v>
      </c>
      <c r="D85">
        <v>26</v>
      </c>
      <c r="E85">
        <f>IF(AND(A85='Поиск параметров'!$D$4,ISNUMBER(SEARCH('Поиск параметров'!$D$6,B85))),1,0)</f>
        <v>1</v>
      </c>
      <c r="F85">
        <f>IF(E85=1,SUM($E$2:E85),"")</f>
        <v>84</v>
      </c>
    </row>
    <row r="86" spans="1:6">
      <c r="A86" t="s">
        <v>5809</v>
      </c>
      <c r="B86" t="s">
        <v>59</v>
      </c>
      <c r="C86" t="s">
        <v>5890</v>
      </c>
      <c r="D86">
        <v>0</v>
      </c>
      <c r="E86">
        <f>IF(AND(A86='Поиск параметров'!$D$4,ISNUMBER(SEARCH('Поиск параметров'!$D$6,B86))),1,0)</f>
        <v>1</v>
      </c>
      <c r="F86">
        <f>IF(E86=1,SUM($E$2:E86),"")</f>
        <v>85</v>
      </c>
    </row>
    <row r="87" spans="1:6">
      <c r="A87" t="s">
        <v>5809</v>
      </c>
      <c r="B87" t="s">
        <v>60</v>
      </c>
      <c r="C87" t="s">
        <v>5891</v>
      </c>
      <c r="D87">
        <v>0</v>
      </c>
      <c r="E87">
        <f>IF(AND(A87='Поиск параметров'!$D$4,ISNUMBER(SEARCH('Поиск параметров'!$D$6,B87))),1,0)</f>
        <v>1</v>
      </c>
      <c r="F87">
        <f>IF(E87=1,SUM($E$2:E87),"")</f>
        <v>86</v>
      </c>
    </row>
    <row r="88" spans="1:6">
      <c r="A88" t="s">
        <v>5809</v>
      </c>
      <c r="B88" t="s">
        <v>61</v>
      </c>
      <c r="C88" t="s">
        <v>5892</v>
      </c>
      <c r="D88">
        <v>27</v>
      </c>
      <c r="E88">
        <f>IF(AND(A88='Поиск параметров'!$D$4,ISNUMBER(SEARCH('Поиск параметров'!$D$6,B88))),1,0)</f>
        <v>1</v>
      </c>
      <c r="F88">
        <f>IF(E88=1,SUM($E$2:E88),"")</f>
        <v>87</v>
      </c>
    </row>
    <row r="89" spans="1:6">
      <c r="A89" t="s">
        <v>5809</v>
      </c>
      <c r="B89" t="s">
        <v>62</v>
      </c>
      <c r="C89" t="s">
        <v>5893</v>
      </c>
      <c r="D89">
        <v>28</v>
      </c>
      <c r="E89">
        <f>IF(AND(A89='Поиск параметров'!$D$4,ISNUMBER(SEARCH('Поиск параметров'!$D$6,B89))),1,0)</f>
        <v>1</v>
      </c>
      <c r="F89">
        <f>IF(E89=1,SUM($E$2:E89),"")</f>
        <v>88</v>
      </c>
    </row>
    <row r="90" spans="1:6">
      <c r="A90" t="s">
        <v>5809</v>
      </c>
      <c r="B90" t="s">
        <v>63</v>
      </c>
      <c r="C90" t="s">
        <v>5894</v>
      </c>
      <c r="D90">
        <v>29</v>
      </c>
      <c r="E90">
        <f>IF(AND(A90='Поиск параметров'!$D$4,ISNUMBER(SEARCH('Поиск параметров'!$D$6,B90))),1,0)</f>
        <v>1</v>
      </c>
      <c r="F90">
        <f>IF(E90=1,SUM($E$2:E90),"")</f>
        <v>89</v>
      </c>
    </row>
    <row r="91" spans="1:6">
      <c r="A91" t="s">
        <v>5809</v>
      </c>
      <c r="B91" t="s">
        <v>64</v>
      </c>
      <c r="C91" t="s">
        <v>5895</v>
      </c>
      <c r="D91">
        <v>30</v>
      </c>
      <c r="E91">
        <f>IF(AND(A91='Поиск параметров'!$D$4,ISNUMBER(SEARCH('Поиск параметров'!$D$6,B91))),1,0)</f>
        <v>1</v>
      </c>
      <c r="F91">
        <f>IF(E91=1,SUM($E$2:E91),"")</f>
        <v>90</v>
      </c>
    </row>
    <row r="92" spans="1:6">
      <c r="A92" t="s">
        <v>5809</v>
      </c>
      <c r="B92" t="s">
        <v>65</v>
      </c>
      <c r="C92" t="s">
        <v>5896</v>
      </c>
      <c r="D92">
        <v>31</v>
      </c>
      <c r="E92">
        <f>IF(AND(A92='Поиск параметров'!$D$4,ISNUMBER(SEARCH('Поиск параметров'!$D$6,B92))),1,0)</f>
        <v>1</v>
      </c>
      <c r="F92">
        <f>IF(E92=1,SUM($E$2:E92),"")</f>
        <v>91</v>
      </c>
    </row>
    <row r="93" spans="1:6">
      <c r="A93" t="s">
        <v>5809</v>
      </c>
      <c r="B93" t="s">
        <v>66</v>
      </c>
      <c r="C93" t="s">
        <v>5897</v>
      </c>
      <c r="D93">
        <v>0</v>
      </c>
      <c r="E93">
        <f>IF(AND(A93='Поиск параметров'!$D$4,ISNUMBER(SEARCH('Поиск параметров'!$D$6,B93))),1,0)</f>
        <v>1</v>
      </c>
      <c r="F93">
        <f>IF(E93=1,SUM($E$2:E93),"")</f>
        <v>92</v>
      </c>
    </row>
    <row r="94" spans="1:6">
      <c r="A94" t="s">
        <v>5809</v>
      </c>
      <c r="B94" t="s">
        <v>67</v>
      </c>
      <c r="C94" t="s">
        <v>5898</v>
      </c>
      <c r="D94">
        <v>0</v>
      </c>
      <c r="E94">
        <f>IF(AND(A94='Поиск параметров'!$D$4,ISNUMBER(SEARCH('Поиск параметров'!$D$6,B94))),1,0)</f>
        <v>1</v>
      </c>
      <c r="F94">
        <f>IF(E94=1,SUM($E$2:E94),"")</f>
        <v>93</v>
      </c>
    </row>
    <row r="95" spans="1:6">
      <c r="A95" t="s">
        <v>5809</v>
      </c>
      <c r="B95" t="s">
        <v>68</v>
      </c>
      <c r="C95" t="s">
        <v>5899</v>
      </c>
      <c r="D95">
        <v>0</v>
      </c>
      <c r="E95">
        <f>IF(AND(A95='Поиск параметров'!$D$4,ISNUMBER(SEARCH('Поиск параметров'!$D$6,B95))),1,0)</f>
        <v>1</v>
      </c>
      <c r="F95">
        <f>IF(E95=1,SUM($E$2:E95),"")</f>
        <v>94</v>
      </c>
    </row>
    <row r="96" spans="1:6">
      <c r="A96" t="s">
        <v>5809</v>
      </c>
      <c r="B96" t="s">
        <v>69</v>
      </c>
      <c r="C96" t="s">
        <v>5900</v>
      </c>
      <c r="D96">
        <v>0</v>
      </c>
      <c r="E96">
        <f>IF(AND(A96='Поиск параметров'!$D$4,ISNUMBER(SEARCH('Поиск параметров'!$D$6,B96))),1,0)</f>
        <v>1</v>
      </c>
      <c r="F96">
        <f>IF(E96=1,SUM($E$2:E96),"")</f>
        <v>95</v>
      </c>
    </row>
    <row r="97" spans="1:6">
      <c r="A97" t="s">
        <v>5809</v>
      </c>
      <c r="B97" t="s">
        <v>70</v>
      </c>
      <c r="C97" t="s">
        <v>5901</v>
      </c>
      <c r="D97">
        <v>0</v>
      </c>
      <c r="E97">
        <f>IF(AND(A97='Поиск параметров'!$D$4,ISNUMBER(SEARCH('Поиск параметров'!$D$6,B97))),1,0)</f>
        <v>1</v>
      </c>
      <c r="F97">
        <f>IF(E97=1,SUM($E$2:E97),"")</f>
        <v>96</v>
      </c>
    </row>
    <row r="98" spans="1:6">
      <c r="A98" t="s">
        <v>5809</v>
      </c>
      <c r="B98" t="s">
        <v>71</v>
      </c>
      <c r="C98" t="s">
        <v>5902</v>
      </c>
      <c r="D98">
        <v>0</v>
      </c>
      <c r="E98">
        <f>IF(AND(A98='Поиск параметров'!$D$4,ISNUMBER(SEARCH('Поиск параметров'!$D$6,B98))),1,0)</f>
        <v>1</v>
      </c>
      <c r="F98">
        <f>IF(E98=1,SUM($E$2:E98),"")</f>
        <v>97</v>
      </c>
    </row>
    <row r="99" spans="1:6">
      <c r="A99" t="s">
        <v>5809</v>
      </c>
      <c r="B99" t="s">
        <v>72</v>
      </c>
      <c r="C99" t="s">
        <v>5903</v>
      </c>
      <c r="D99">
        <v>32</v>
      </c>
      <c r="E99">
        <f>IF(AND(A99='Поиск параметров'!$D$4,ISNUMBER(SEARCH('Поиск параметров'!$D$6,B99))),1,0)</f>
        <v>1</v>
      </c>
      <c r="F99">
        <f>IF(E99=1,SUM($E$2:E99),"")</f>
        <v>98</v>
      </c>
    </row>
    <row r="100" spans="1:6">
      <c r="A100" t="s">
        <v>5809</v>
      </c>
      <c r="B100" t="s">
        <v>73</v>
      </c>
      <c r="C100" t="s">
        <v>5904</v>
      </c>
      <c r="D100">
        <v>33</v>
      </c>
      <c r="E100">
        <f>IF(AND(A100='Поиск параметров'!$D$4,ISNUMBER(SEARCH('Поиск параметров'!$D$6,B100))),1,0)</f>
        <v>1</v>
      </c>
      <c r="F100">
        <f>IF(E100=1,SUM($E$2:E100),"")</f>
        <v>99</v>
      </c>
    </row>
    <row r="101" spans="1:6">
      <c r="A101" t="s">
        <v>5809</v>
      </c>
      <c r="B101" t="s">
        <v>74</v>
      </c>
      <c r="C101" t="s">
        <v>5905</v>
      </c>
      <c r="D101">
        <v>34</v>
      </c>
      <c r="E101">
        <f>IF(AND(A101='Поиск параметров'!$D$4,ISNUMBER(SEARCH('Поиск параметров'!$D$6,B101))),1,0)</f>
        <v>1</v>
      </c>
      <c r="F101">
        <f>IF(E101=1,SUM($E$2:E101),"")</f>
        <v>100</v>
      </c>
    </row>
    <row r="102" spans="1:6">
      <c r="A102" t="s">
        <v>5809</v>
      </c>
      <c r="B102" t="s">
        <v>75</v>
      </c>
      <c r="C102" t="s">
        <v>5906</v>
      </c>
      <c r="D102">
        <v>35</v>
      </c>
      <c r="E102">
        <f>IF(AND(A102='Поиск параметров'!$D$4,ISNUMBER(SEARCH('Поиск параметров'!$D$6,B102))),1,0)</f>
        <v>1</v>
      </c>
      <c r="F102">
        <f>IF(E102=1,SUM($E$2:E102),"")</f>
        <v>101</v>
      </c>
    </row>
    <row r="103" spans="1:6">
      <c r="A103" t="s">
        <v>5809</v>
      </c>
      <c r="B103" t="s">
        <v>76</v>
      </c>
      <c r="C103" t="s">
        <v>5907</v>
      </c>
      <c r="D103">
        <v>36</v>
      </c>
      <c r="E103">
        <f>IF(AND(A103='Поиск параметров'!$D$4,ISNUMBER(SEARCH('Поиск параметров'!$D$6,B103))),1,0)</f>
        <v>1</v>
      </c>
      <c r="F103">
        <f>IF(E103=1,SUM($E$2:E103),"")</f>
        <v>102</v>
      </c>
    </row>
    <row r="104" spans="1:6">
      <c r="A104" t="s">
        <v>5809</v>
      </c>
      <c r="B104" t="s">
        <v>77</v>
      </c>
      <c r="C104" t="s">
        <v>5908</v>
      </c>
      <c r="D104">
        <v>0</v>
      </c>
      <c r="E104">
        <f>IF(AND(A104='Поиск параметров'!$D$4,ISNUMBER(SEARCH('Поиск параметров'!$D$6,B104))),1,0)</f>
        <v>1</v>
      </c>
      <c r="F104">
        <f>IF(E104=1,SUM($E$2:E104),"")</f>
        <v>103</v>
      </c>
    </row>
    <row r="105" spans="1:6">
      <c r="A105" t="s">
        <v>5809</v>
      </c>
      <c r="B105" t="s">
        <v>78</v>
      </c>
      <c r="C105" t="s">
        <v>5909</v>
      </c>
      <c r="D105">
        <v>37</v>
      </c>
      <c r="E105">
        <f>IF(AND(A105='Поиск параметров'!$D$4,ISNUMBER(SEARCH('Поиск параметров'!$D$6,B105))),1,0)</f>
        <v>1</v>
      </c>
      <c r="F105">
        <f>IF(E105=1,SUM($E$2:E105),"")</f>
        <v>104</v>
      </c>
    </row>
    <row r="106" spans="1:6">
      <c r="A106" t="s">
        <v>5809</v>
      </c>
      <c r="B106" t="s">
        <v>79</v>
      </c>
      <c r="C106" t="s">
        <v>5910</v>
      </c>
      <c r="D106">
        <v>38</v>
      </c>
      <c r="E106">
        <f>IF(AND(A106='Поиск параметров'!$D$4,ISNUMBER(SEARCH('Поиск параметров'!$D$6,B106))),1,0)</f>
        <v>1</v>
      </c>
      <c r="F106">
        <f>IF(E106=1,SUM($E$2:E106),"")</f>
        <v>105</v>
      </c>
    </row>
    <row r="107" spans="1:6">
      <c r="A107" t="s">
        <v>5809</v>
      </c>
      <c r="B107" t="s">
        <v>80</v>
      </c>
      <c r="C107" t="s">
        <v>5911</v>
      </c>
      <c r="D107">
        <v>39</v>
      </c>
      <c r="E107">
        <f>IF(AND(A107='Поиск параметров'!$D$4,ISNUMBER(SEARCH('Поиск параметров'!$D$6,B107))),1,0)</f>
        <v>1</v>
      </c>
      <c r="F107">
        <f>IF(E107=1,SUM($E$2:E107),"")</f>
        <v>106</v>
      </c>
    </row>
    <row r="108" spans="1:6">
      <c r="A108" t="s">
        <v>5809</v>
      </c>
      <c r="B108" t="s">
        <v>81</v>
      </c>
      <c r="C108" t="s">
        <v>5912</v>
      </c>
      <c r="D108">
        <v>40</v>
      </c>
      <c r="E108">
        <f>IF(AND(A108='Поиск параметров'!$D$4,ISNUMBER(SEARCH('Поиск параметров'!$D$6,B108))),1,0)</f>
        <v>1</v>
      </c>
      <c r="F108">
        <f>IF(E108=1,SUM($E$2:E108),"")</f>
        <v>107</v>
      </c>
    </row>
    <row r="109" spans="1:6">
      <c r="A109" t="s">
        <v>5809</v>
      </c>
      <c r="B109" t="s">
        <v>82</v>
      </c>
      <c r="C109" t="s">
        <v>5913</v>
      </c>
      <c r="D109">
        <v>41</v>
      </c>
      <c r="E109">
        <f>IF(AND(A109='Поиск параметров'!$D$4,ISNUMBER(SEARCH('Поиск параметров'!$D$6,B109))),1,0)</f>
        <v>1</v>
      </c>
      <c r="F109">
        <f>IF(E109=1,SUM($E$2:E109),"")</f>
        <v>108</v>
      </c>
    </row>
    <row r="110" spans="1:6">
      <c r="A110" t="s">
        <v>5809</v>
      </c>
      <c r="B110" t="s">
        <v>83</v>
      </c>
      <c r="C110" t="s">
        <v>5914</v>
      </c>
      <c r="D110">
        <v>0</v>
      </c>
      <c r="E110">
        <f>IF(AND(A110='Поиск параметров'!$D$4,ISNUMBER(SEARCH('Поиск параметров'!$D$6,B110))),1,0)</f>
        <v>1</v>
      </c>
      <c r="F110">
        <f>IF(E110=1,SUM($E$2:E110),"")</f>
        <v>109</v>
      </c>
    </row>
    <row r="111" spans="1:6">
      <c r="A111" t="s">
        <v>5809</v>
      </c>
      <c r="B111" t="s">
        <v>84</v>
      </c>
      <c r="C111" t="s">
        <v>5915</v>
      </c>
      <c r="D111">
        <v>42</v>
      </c>
      <c r="E111">
        <f>IF(AND(A111='Поиск параметров'!$D$4,ISNUMBER(SEARCH('Поиск параметров'!$D$6,B111))),1,0)</f>
        <v>1</v>
      </c>
      <c r="F111">
        <f>IF(E111=1,SUM($E$2:E111),"")</f>
        <v>110</v>
      </c>
    </row>
    <row r="112" spans="1:6">
      <c r="A112" t="s">
        <v>5809</v>
      </c>
      <c r="B112" t="s">
        <v>85</v>
      </c>
      <c r="C112" t="s">
        <v>5916</v>
      </c>
      <c r="D112">
        <v>43</v>
      </c>
      <c r="E112">
        <f>IF(AND(A112='Поиск параметров'!$D$4,ISNUMBER(SEARCH('Поиск параметров'!$D$6,B112))),1,0)</f>
        <v>1</v>
      </c>
      <c r="F112">
        <f>IF(E112=1,SUM($E$2:E112),"")</f>
        <v>111</v>
      </c>
    </row>
    <row r="113" spans="1:6">
      <c r="A113" t="s">
        <v>5809</v>
      </c>
      <c r="B113" t="s">
        <v>86</v>
      </c>
      <c r="C113" t="s">
        <v>5917</v>
      </c>
      <c r="D113">
        <v>44</v>
      </c>
      <c r="E113">
        <f>IF(AND(A113='Поиск параметров'!$D$4,ISNUMBER(SEARCH('Поиск параметров'!$D$6,B113))),1,0)</f>
        <v>1</v>
      </c>
      <c r="F113">
        <f>IF(E113=1,SUM($E$2:E113),"")</f>
        <v>112</v>
      </c>
    </row>
    <row r="114" spans="1:6">
      <c r="A114" t="s">
        <v>5809</v>
      </c>
      <c r="B114" t="s">
        <v>87</v>
      </c>
      <c r="C114" t="s">
        <v>5918</v>
      </c>
      <c r="D114">
        <v>45</v>
      </c>
      <c r="E114">
        <f>IF(AND(A114='Поиск параметров'!$D$4,ISNUMBER(SEARCH('Поиск параметров'!$D$6,B114))),1,0)</f>
        <v>1</v>
      </c>
      <c r="F114">
        <f>IF(E114=1,SUM($E$2:E114),"")</f>
        <v>113</v>
      </c>
    </row>
    <row r="115" spans="1:6">
      <c r="A115" t="s">
        <v>5809</v>
      </c>
      <c r="B115" t="s">
        <v>88</v>
      </c>
      <c r="C115" t="s">
        <v>5919</v>
      </c>
      <c r="D115">
        <v>46</v>
      </c>
      <c r="E115">
        <f>IF(AND(A115='Поиск параметров'!$D$4,ISNUMBER(SEARCH('Поиск параметров'!$D$6,B115))),1,0)</f>
        <v>1</v>
      </c>
      <c r="F115">
        <f>IF(E115=1,SUM($E$2:E115),"")</f>
        <v>114</v>
      </c>
    </row>
    <row r="116" spans="1:6">
      <c r="A116" t="s">
        <v>5809</v>
      </c>
      <c r="B116" t="s">
        <v>89</v>
      </c>
      <c r="C116" t="s">
        <v>5920</v>
      </c>
      <c r="D116">
        <v>0</v>
      </c>
      <c r="E116">
        <f>IF(AND(A116='Поиск параметров'!$D$4,ISNUMBER(SEARCH('Поиск параметров'!$D$6,B116))),1,0)</f>
        <v>1</v>
      </c>
      <c r="F116">
        <f>IF(E116=1,SUM($E$2:E116),"")</f>
        <v>115</v>
      </c>
    </row>
    <row r="117" spans="1:6">
      <c r="A117" t="s">
        <v>5809</v>
      </c>
      <c r="B117" t="s">
        <v>90</v>
      </c>
      <c r="C117" t="s">
        <v>5921</v>
      </c>
      <c r="D117">
        <v>47</v>
      </c>
      <c r="E117">
        <f>IF(AND(A117='Поиск параметров'!$D$4,ISNUMBER(SEARCH('Поиск параметров'!$D$6,B117))),1,0)</f>
        <v>1</v>
      </c>
      <c r="F117">
        <f>IF(E117=1,SUM($E$2:E117),"")</f>
        <v>116</v>
      </c>
    </row>
    <row r="118" spans="1:6">
      <c r="A118" t="s">
        <v>5809</v>
      </c>
      <c r="B118" t="s">
        <v>91</v>
      </c>
      <c r="C118" t="s">
        <v>5922</v>
      </c>
      <c r="D118">
        <v>48</v>
      </c>
      <c r="E118">
        <f>IF(AND(A118='Поиск параметров'!$D$4,ISNUMBER(SEARCH('Поиск параметров'!$D$6,B118))),1,0)</f>
        <v>1</v>
      </c>
      <c r="F118">
        <f>IF(E118=1,SUM($E$2:E118),"")</f>
        <v>117</v>
      </c>
    </row>
    <row r="119" spans="1:6">
      <c r="A119" t="s">
        <v>5809</v>
      </c>
      <c r="B119" t="s">
        <v>92</v>
      </c>
      <c r="C119" t="s">
        <v>5923</v>
      </c>
      <c r="D119">
        <v>49</v>
      </c>
      <c r="E119">
        <f>IF(AND(A119='Поиск параметров'!$D$4,ISNUMBER(SEARCH('Поиск параметров'!$D$6,B119))),1,0)</f>
        <v>1</v>
      </c>
      <c r="F119">
        <f>IF(E119=1,SUM($E$2:E119),"")</f>
        <v>118</v>
      </c>
    </row>
    <row r="120" spans="1:6">
      <c r="A120" t="s">
        <v>5809</v>
      </c>
      <c r="B120" t="s">
        <v>93</v>
      </c>
      <c r="C120" t="s">
        <v>5924</v>
      </c>
      <c r="D120">
        <v>50</v>
      </c>
      <c r="E120">
        <f>IF(AND(A120='Поиск параметров'!$D$4,ISNUMBER(SEARCH('Поиск параметров'!$D$6,B120))),1,0)</f>
        <v>1</v>
      </c>
      <c r="F120">
        <f>IF(E120=1,SUM($E$2:E120),"")</f>
        <v>119</v>
      </c>
    </row>
    <row r="121" spans="1:6">
      <c r="A121" t="s">
        <v>5809</v>
      </c>
      <c r="B121" t="s">
        <v>94</v>
      </c>
      <c r="C121" t="s">
        <v>5925</v>
      </c>
      <c r="D121">
        <v>51</v>
      </c>
      <c r="E121">
        <f>IF(AND(A121='Поиск параметров'!$D$4,ISNUMBER(SEARCH('Поиск параметров'!$D$6,B121))),1,0)</f>
        <v>1</v>
      </c>
      <c r="F121">
        <f>IF(E121=1,SUM($E$2:E121),"")</f>
        <v>120</v>
      </c>
    </row>
    <row r="122" spans="1:6">
      <c r="A122" t="s">
        <v>5809</v>
      </c>
      <c r="B122" t="s">
        <v>95</v>
      </c>
      <c r="C122" t="s">
        <v>5926</v>
      </c>
      <c r="D122">
        <v>0</v>
      </c>
      <c r="E122">
        <f>IF(AND(A122='Поиск параметров'!$D$4,ISNUMBER(SEARCH('Поиск параметров'!$D$6,B122))),1,0)</f>
        <v>1</v>
      </c>
      <c r="F122">
        <f>IF(E122=1,SUM($E$2:E122),"")</f>
        <v>121</v>
      </c>
    </row>
    <row r="123" spans="1:6">
      <c r="A123" t="s">
        <v>5809</v>
      </c>
      <c r="B123" t="s">
        <v>96</v>
      </c>
      <c r="C123" t="s">
        <v>5927</v>
      </c>
      <c r="D123">
        <v>52</v>
      </c>
      <c r="E123">
        <f>IF(AND(A123='Поиск параметров'!$D$4,ISNUMBER(SEARCH('Поиск параметров'!$D$6,B123))),1,0)</f>
        <v>1</v>
      </c>
      <c r="F123">
        <f>IF(E123=1,SUM($E$2:E123),"")</f>
        <v>122</v>
      </c>
    </row>
    <row r="124" spans="1:6">
      <c r="A124" t="s">
        <v>5809</v>
      </c>
      <c r="B124" t="s">
        <v>97</v>
      </c>
      <c r="C124" t="s">
        <v>5928</v>
      </c>
      <c r="D124">
        <v>53</v>
      </c>
      <c r="E124">
        <f>IF(AND(A124='Поиск параметров'!$D$4,ISNUMBER(SEARCH('Поиск параметров'!$D$6,B124))),1,0)</f>
        <v>1</v>
      </c>
      <c r="F124">
        <f>IF(E124=1,SUM($E$2:E124),"")</f>
        <v>123</v>
      </c>
    </row>
    <row r="125" spans="1:6">
      <c r="A125" t="s">
        <v>5809</v>
      </c>
      <c r="B125" t="s">
        <v>98</v>
      </c>
      <c r="C125" t="s">
        <v>5929</v>
      </c>
      <c r="D125">
        <v>54</v>
      </c>
      <c r="E125">
        <f>IF(AND(A125='Поиск параметров'!$D$4,ISNUMBER(SEARCH('Поиск параметров'!$D$6,B125))),1,0)</f>
        <v>1</v>
      </c>
      <c r="F125">
        <f>IF(E125=1,SUM($E$2:E125),"")</f>
        <v>124</v>
      </c>
    </row>
    <row r="126" spans="1:6">
      <c r="A126" t="s">
        <v>5809</v>
      </c>
      <c r="B126" t="s">
        <v>99</v>
      </c>
      <c r="C126" t="s">
        <v>5930</v>
      </c>
      <c r="D126">
        <v>55</v>
      </c>
      <c r="E126">
        <f>IF(AND(A126='Поиск параметров'!$D$4,ISNUMBER(SEARCH('Поиск параметров'!$D$6,B126))),1,0)</f>
        <v>1</v>
      </c>
      <c r="F126">
        <f>IF(E126=1,SUM($E$2:E126),"")</f>
        <v>125</v>
      </c>
    </row>
    <row r="127" spans="1:6">
      <c r="A127" t="s">
        <v>5809</v>
      </c>
      <c r="B127" t="s">
        <v>100</v>
      </c>
      <c r="C127" t="s">
        <v>5931</v>
      </c>
      <c r="D127">
        <v>56</v>
      </c>
      <c r="E127">
        <f>IF(AND(A127='Поиск параметров'!$D$4,ISNUMBER(SEARCH('Поиск параметров'!$D$6,B127))),1,0)</f>
        <v>1</v>
      </c>
      <c r="F127">
        <f>IF(E127=1,SUM($E$2:E127),"")</f>
        <v>126</v>
      </c>
    </row>
    <row r="128" spans="1:6">
      <c r="A128" t="s">
        <v>5809</v>
      </c>
      <c r="B128" t="s">
        <v>101</v>
      </c>
      <c r="C128" t="s">
        <v>5932</v>
      </c>
      <c r="D128">
        <v>0</v>
      </c>
      <c r="E128">
        <f>IF(AND(A128='Поиск параметров'!$D$4,ISNUMBER(SEARCH('Поиск параметров'!$D$6,B128))),1,0)</f>
        <v>1</v>
      </c>
      <c r="F128">
        <f>IF(E128=1,SUM($E$2:E128),"")</f>
        <v>127</v>
      </c>
    </row>
    <row r="129" spans="1:6">
      <c r="A129" t="s">
        <v>5809</v>
      </c>
      <c r="B129" t="s">
        <v>102</v>
      </c>
      <c r="C129" t="s">
        <v>5933</v>
      </c>
      <c r="D129">
        <v>57</v>
      </c>
      <c r="E129">
        <f>IF(AND(A129='Поиск параметров'!$D$4,ISNUMBER(SEARCH('Поиск параметров'!$D$6,B129))),1,0)</f>
        <v>1</v>
      </c>
      <c r="F129">
        <f>IF(E129=1,SUM($E$2:E129),"")</f>
        <v>128</v>
      </c>
    </row>
    <row r="130" spans="1:6">
      <c r="A130" t="s">
        <v>5809</v>
      </c>
      <c r="B130" t="s">
        <v>103</v>
      </c>
      <c r="C130" t="s">
        <v>5934</v>
      </c>
      <c r="D130">
        <v>0</v>
      </c>
      <c r="E130">
        <f>IF(AND(A130='Поиск параметров'!$D$4,ISNUMBER(SEARCH('Поиск параметров'!$D$6,B130))),1,0)</f>
        <v>1</v>
      </c>
      <c r="F130">
        <f>IF(E130=1,SUM($E$2:E130),"")</f>
        <v>129</v>
      </c>
    </row>
    <row r="131" spans="1:6">
      <c r="A131" t="s">
        <v>5809</v>
      </c>
      <c r="B131" t="s">
        <v>104</v>
      </c>
      <c r="C131" t="s">
        <v>5935</v>
      </c>
      <c r="D131">
        <v>0</v>
      </c>
      <c r="E131">
        <f>IF(AND(A131='Поиск параметров'!$D$4,ISNUMBER(SEARCH('Поиск параметров'!$D$6,B131))),1,0)</f>
        <v>1</v>
      </c>
      <c r="F131">
        <f>IF(E131=1,SUM($E$2:E131),"")</f>
        <v>130</v>
      </c>
    </row>
    <row r="132" spans="1:6">
      <c r="A132" t="s">
        <v>5809</v>
      </c>
      <c r="B132" t="s">
        <v>105</v>
      </c>
      <c r="C132" t="s">
        <v>5936</v>
      </c>
      <c r="D132">
        <v>58</v>
      </c>
      <c r="E132">
        <f>IF(AND(A132='Поиск параметров'!$D$4,ISNUMBER(SEARCH('Поиск параметров'!$D$6,B132))),1,0)</f>
        <v>1</v>
      </c>
      <c r="F132">
        <f>IF(E132=1,SUM($E$2:E132),"")</f>
        <v>131</v>
      </c>
    </row>
    <row r="133" spans="1:6">
      <c r="A133" t="s">
        <v>5809</v>
      </c>
      <c r="B133" t="s">
        <v>106</v>
      </c>
      <c r="C133" t="s">
        <v>5937</v>
      </c>
      <c r="D133">
        <v>59</v>
      </c>
      <c r="E133">
        <f>IF(AND(A133='Поиск параметров'!$D$4,ISNUMBER(SEARCH('Поиск параметров'!$D$6,B133))),1,0)</f>
        <v>1</v>
      </c>
      <c r="F133">
        <f>IF(E133=1,SUM($E$2:E133),"")</f>
        <v>132</v>
      </c>
    </row>
    <row r="134" spans="1:6">
      <c r="A134" t="s">
        <v>5809</v>
      </c>
      <c r="B134" t="s">
        <v>107</v>
      </c>
      <c r="C134" t="s">
        <v>5938</v>
      </c>
      <c r="D134">
        <v>0</v>
      </c>
      <c r="E134">
        <f>IF(AND(A134='Поиск параметров'!$D$4,ISNUMBER(SEARCH('Поиск параметров'!$D$6,B134))),1,0)</f>
        <v>1</v>
      </c>
      <c r="F134">
        <f>IF(E134=1,SUM($E$2:E134),"")</f>
        <v>133</v>
      </c>
    </row>
    <row r="135" spans="1:6">
      <c r="A135" t="s">
        <v>5809</v>
      </c>
      <c r="B135" t="s">
        <v>108</v>
      </c>
      <c r="C135" t="s">
        <v>5939</v>
      </c>
      <c r="D135">
        <v>60</v>
      </c>
      <c r="E135">
        <f>IF(AND(A135='Поиск параметров'!$D$4,ISNUMBER(SEARCH('Поиск параметров'!$D$6,B135))),1,0)</f>
        <v>1</v>
      </c>
      <c r="F135">
        <f>IF(E135=1,SUM($E$2:E135),"")</f>
        <v>134</v>
      </c>
    </row>
    <row r="136" spans="1:6">
      <c r="A136" t="s">
        <v>5809</v>
      </c>
      <c r="B136" t="s">
        <v>109</v>
      </c>
      <c r="C136" t="s">
        <v>5940</v>
      </c>
      <c r="D136">
        <v>61</v>
      </c>
      <c r="E136">
        <f>IF(AND(A136='Поиск параметров'!$D$4,ISNUMBER(SEARCH('Поиск параметров'!$D$6,B136))),1,0)</f>
        <v>1</v>
      </c>
      <c r="F136">
        <f>IF(E136=1,SUM($E$2:E136),"")</f>
        <v>135</v>
      </c>
    </row>
    <row r="137" spans="1:6">
      <c r="A137" t="s">
        <v>5809</v>
      </c>
      <c r="B137" t="s">
        <v>110</v>
      </c>
      <c r="C137" t="s">
        <v>5941</v>
      </c>
      <c r="D137">
        <v>0</v>
      </c>
      <c r="E137">
        <f>IF(AND(A137='Поиск параметров'!$D$4,ISNUMBER(SEARCH('Поиск параметров'!$D$6,B137))),1,0)</f>
        <v>1</v>
      </c>
      <c r="F137">
        <f>IF(E137=1,SUM($E$2:E137),"")</f>
        <v>136</v>
      </c>
    </row>
    <row r="138" spans="1:6">
      <c r="A138" t="s">
        <v>5809</v>
      </c>
      <c r="B138" t="s">
        <v>111</v>
      </c>
      <c r="C138" t="s">
        <v>5942</v>
      </c>
      <c r="D138">
        <v>62</v>
      </c>
      <c r="E138">
        <f>IF(AND(A138='Поиск параметров'!$D$4,ISNUMBER(SEARCH('Поиск параметров'!$D$6,B138))),1,0)</f>
        <v>1</v>
      </c>
      <c r="F138">
        <f>IF(E138=1,SUM($E$2:E138),"")</f>
        <v>137</v>
      </c>
    </row>
    <row r="139" spans="1:6">
      <c r="A139" t="s">
        <v>5809</v>
      </c>
      <c r="B139" t="s">
        <v>112</v>
      </c>
      <c r="C139" t="s">
        <v>5943</v>
      </c>
      <c r="D139">
        <v>63</v>
      </c>
      <c r="E139">
        <f>IF(AND(A139='Поиск параметров'!$D$4,ISNUMBER(SEARCH('Поиск параметров'!$D$6,B139))),1,0)</f>
        <v>1</v>
      </c>
      <c r="F139">
        <f>IF(E139=1,SUM($E$2:E139),"")</f>
        <v>138</v>
      </c>
    </row>
    <row r="140" spans="1:6">
      <c r="A140" t="s">
        <v>5809</v>
      </c>
      <c r="B140" t="s">
        <v>113</v>
      </c>
      <c r="C140" t="s">
        <v>5944</v>
      </c>
      <c r="D140">
        <v>0</v>
      </c>
      <c r="E140">
        <f>IF(AND(A140='Поиск параметров'!$D$4,ISNUMBER(SEARCH('Поиск параметров'!$D$6,B140))),1,0)</f>
        <v>1</v>
      </c>
      <c r="F140">
        <f>IF(E140=1,SUM($E$2:E140),"")</f>
        <v>139</v>
      </c>
    </row>
    <row r="141" spans="1:6">
      <c r="A141" t="s">
        <v>5809</v>
      </c>
      <c r="B141" t="s">
        <v>114</v>
      </c>
      <c r="C141" t="s">
        <v>5945</v>
      </c>
      <c r="D141">
        <v>64</v>
      </c>
      <c r="E141">
        <f>IF(AND(A141='Поиск параметров'!$D$4,ISNUMBER(SEARCH('Поиск параметров'!$D$6,B141))),1,0)</f>
        <v>1</v>
      </c>
      <c r="F141">
        <f>IF(E141=1,SUM($E$2:E141),"")</f>
        <v>140</v>
      </c>
    </row>
    <row r="142" spans="1:6">
      <c r="A142" t="s">
        <v>5809</v>
      </c>
      <c r="B142" t="s">
        <v>115</v>
      </c>
      <c r="C142" t="s">
        <v>5946</v>
      </c>
      <c r="D142">
        <v>65</v>
      </c>
      <c r="E142">
        <f>IF(AND(A142='Поиск параметров'!$D$4,ISNUMBER(SEARCH('Поиск параметров'!$D$6,B142))),1,0)</f>
        <v>1</v>
      </c>
      <c r="F142">
        <f>IF(E142=1,SUM($E$2:E142),"")</f>
        <v>141</v>
      </c>
    </row>
    <row r="143" spans="1:6">
      <c r="A143" t="s">
        <v>5809</v>
      </c>
      <c r="B143" t="s">
        <v>116</v>
      </c>
      <c r="C143" t="s">
        <v>5947</v>
      </c>
      <c r="D143">
        <v>0</v>
      </c>
      <c r="E143">
        <f>IF(AND(A143='Поиск параметров'!$D$4,ISNUMBER(SEARCH('Поиск параметров'!$D$6,B143))),1,0)</f>
        <v>1</v>
      </c>
      <c r="F143">
        <f>IF(E143=1,SUM($E$2:E143),"")</f>
        <v>142</v>
      </c>
    </row>
    <row r="144" spans="1:6">
      <c r="A144" t="s">
        <v>5809</v>
      </c>
      <c r="B144" t="s">
        <v>117</v>
      </c>
      <c r="C144" t="s">
        <v>5948</v>
      </c>
      <c r="D144">
        <v>0</v>
      </c>
      <c r="E144">
        <f>IF(AND(A144='Поиск параметров'!$D$4,ISNUMBER(SEARCH('Поиск параметров'!$D$6,B144))),1,0)</f>
        <v>1</v>
      </c>
      <c r="F144">
        <f>IF(E144=1,SUM($E$2:E144),"")</f>
        <v>143</v>
      </c>
    </row>
    <row r="145" spans="1:6">
      <c r="A145" t="s">
        <v>5809</v>
      </c>
      <c r="B145" t="s">
        <v>118</v>
      </c>
      <c r="C145" t="s">
        <v>5949</v>
      </c>
      <c r="D145">
        <v>66</v>
      </c>
      <c r="E145">
        <f>IF(AND(A145='Поиск параметров'!$D$4,ISNUMBER(SEARCH('Поиск параметров'!$D$6,B145))),1,0)</f>
        <v>1</v>
      </c>
      <c r="F145">
        <f>IF(E145=1,SUM($E$2:E145),"")</f>
        <v>144</v>
      </c>
    </row>
    <row r="146" spans="1:6">
      <c r="A146" t="s">
        <v>5809</v>
      </c>
      <c r="B146" t="s">
        <v>119</v>
      </c>
      <c r="C146" t="s">
        <v>5950</v>
      </c>
      <c r="D146">
        <v>0</v>
      </c>
      <c r="E146">
        <f>IF(AND(A146='Поиск параметров'!$D$4,ISNUMBER(SEARCH('Поиск параметров'!$D$6,B146))),1,0)</f>
        <v>1</v>
      </c>
      <c r="F146">
        <f>IF(E146=1,SUM($E$2:E146),"")</f>
        <v>145</v>
      </c>
    </row>
    <row r="147" spans="1:6">
      <c r="A147" t="s">
        <v>5809</v>
      </c>
      <c r="B147" t="s">
        <v>120</v>
      </c>
      <c r="C147" t="s">
        <v>5951</v>
      </c>
      <c r="D147">
        <v>0</v>
      </c>
      <c r="E147">
        <f>IF(AND(A147='Поиск параметров'!$D$4,ISNUMBER(SEARCH('Поиск параметров'!$D$6,B147))),1,0)</f>
        <v>1</v>
      </c>
      <c r="F147">
        <f>IF(E147=1,SUM($E$2:E147),"")</f>
        <v>146</v>
      </c>
    </row>
    <row r="148" spans="1:6">
      <c r="A148" t="s">
        <v>5809</v>
      </c>
      <c r="B148" t="s">
        <v>121</v>
      </c>
      <c r="C148" t="s">
        <v>5952</v>
      </c>
      <c r="D148">
        <v>67</v>
      </c>
      <c r="E148">
        <f>IF(AND(A148='Поиск параметров'!$D$4,ISNUMBER(SEARCH('Поиск параметров'!$D$6,B148))),1,0)</f>
        <v>1</v>
      </c>
      <c r="F148">
        <f>IF(E148=1,SUM($E$2:E148),"")</f>
        <v>147</v>
      </c>
    </row>
    <row r="149" spans="1:6">
      <c r="A149" t="s">
        <v>5809</v>
      </c>
      <c r="B149" t="s">
        <v>122</v>
      </c>
      <c r="C149" t="s">
        <v>5953</v>
      </c>
      <c r="D149">
        <v>68</v>
      </c>
      <c r="E149">
        <f>IF(AND(A149='Поиск параметров'!$D$4,ISNUMBER(SEARCH('Поиск параметров'!$D$6,B149))),1,0)</f>
        <v>1</v>
      </c>
      <c r="F149">
        <f>IF(E149=1,SUM($E$2:E149),"")</f>
        <v>148</v>
      </c>
    </row>
    <row r="150" spans="1:6">
      <c r="A150" t="s">
        <v>5809</v>
      </c>
      <c r="B150" t="s">
        <v>123</v>
      </c>
      <c r="C150" t="s">
        <v>5954</v>
      </c>
      <c r="D150">
        <v>69</v>
      </c>
      <c r="E150">
        <f>IF(AND(A150='Поиск параметров'!$D$4,ISNUMBER(SEARCH('Поиск параметров'!$D$6,B150))),1,0)</f>
        <v>1</v>
      </c>
      <c r="F150">
        <f>IF(E150=1,SUM($E$2:E150),"")</f>
        <v>149</v>
      </c>
    </row>
    <row r="151" spans="1:6">
      <c r="A151" t="s">
        <v>5809</v>
      </c>
      <c r="B151" t="s">
        <v>124</v>
      </c>
      <c r="C151" t="s">
        <v>5955</v>
      </c>
      <c r="D151">
        <v>70</v>
      </c>
      <c r="E151">
        <f>IF(AND(A151='Поиск параметров'!$D$4,ISNUMBER(SEARCH('Поиск параметров'!$D$6,B151))),1,0)</f>
        <v>1</v>
      </c>
      <c r="F151">
        <f>IF(E151=1,SUM($E$2:E151),"")</f>
        <v>150</v>
      </c>
    </row>
    <row r="152" spans="1:6">
      <c r="A152" t="s">
        <v>5809</v>
      </c>
      <c r="B152" t="s">
        <v>125</v>
      </c>
      <c r="C152" t="s">
        <v>5956</v>
      </c>
      <c r="D152">
        <v>71</v>
      </c>
      <c r="E152">
        <f>IF(AND(A152='Поиск параметров'!$D$4,ISNUMBER(SEARCH('Поиск параметров'!$D$6,B152))),1,0)</f>
        <v>1</v>
      </c>
      <c r="F152">
        <f>IF(E152=1,SUM($E$2:E152),"")</f>
        <v>151</v>
      </c>
    </row>
    <row r="153" spans="1:6">
      <c r="A153" t="s">
        <v>5809</v>
      </c>
      <c r="B153" t="s">
        <v>126</v>
      </c>
      <c r="C153" t="s">
        <v>5957</v>
      </c>
      <c r="D153">
        <v>72</v>
      </c>
      <c r="E153">
        <f>IF(AND(A153='Поиск параметров'!$D$4,ISNUMBER(SEARCH('Поиск параметров'!$D$6,B153))),1,0)</f>
        <v>1</v>
      </c>
      <c r="F153">
        <f>IF(E153=1,SUM($E$2:E153),"")</f>
        <v>152</v>
      </c>
    </row>
    <row r="154" spans="1:6">
      <c r="A154" t="s">
        <v>5809</v>
      </c>
      <c r="B154" t="s">
        <v>127</v>
      </c>
      <c r="C154" t="s">
        <v>5958</v>
      </c>
      <c r="D154">
        <v>0</v>
      </c>
      <c r="E154">
        <f>IF(AND(A154='Поиск параметров'!$D$4,ISNUMBER(SEARCH('Поиск параметров'!$D$6,B154))),1,0)</f>
        <v>1</v>
      </c>
      <c r="F154">
        <f>IF(E154=1,SUM($E$2:E154),"")</f>
        <v>153</v>
      </c>
    </row>
    <row r="155" spans="1:6">
      <c r="A155" t="s">
        <v>5809</v>
      </c>
      <c r="B155" t="s">
        <v>128</v>
      </c>
      <c r="C155" t="s">
        <v>5959</v>
      </c>
      <c r="D155">
        <v>73</v>
      </c>
      <c r="E155">
        <f>IF(AND(A155='Поиск параметров'!$D$4,ISNUMBER(SEARCH('Поиск параметров'!$D$6,B155))),1,0)</f>
        <v>1</v>
      </c>
      <c r="F155">
        <f>IF(E155=1,SUM($E$2:E155),"")</f>
        <v>154</v>
      </c>
    </row>
    <row r="156" spans="1:6">
      <c r="A156" t="s">
        <v>5809</v>
      </c>
      <c r="B156" t="s">
        <v>129</v>
      </c>
      <c r="C156" t="s">
        <v>5960</v>
      </c>
      <c r="D156">
        <v>74</v>
      </c>
      <c r="E156">
        <f>IF(AND(A156='Поиск параметров'!$D$4,ISNUMBER(SEARCH('Поиск параметров'!$D$6,B156))),1,0)</f>
        <v>1</v>
      </c>
      <c r="F156">
        <f>IF(E156=1,SUM($E$2:E156),"")</f>
        <v>155</v>
      </c>
    </row>
    <row r="157" spans="1:6">
      <c r="A157" t="s">
        <v>5809</v>
      </c>
      <c r="B157" t="s">
        <v>130</v>
      </c>
      <c r="C157" t="s">
        <v>5961</v>
      </c>
      <c r="D157">
        <v>75</v>
      </c>
      <c r="E157">
        <f>IF(AND(A157='Поиск параметров'!$D$4,ISNUMBER(SEARCH('Поиск параметров'!$D$6,B157))),1,0)</f>
        <v>1</v>
      </c>
      <c r="F157">
        <f>IF(E157=1,SUM($E$2:E157),"")</f>
        <v>156</v>
      </c>
    </row>
    <row r="158" spans="1:6">
      <c r="A158" t="s">
        <v>5809</v>
      </c>
      <c r="B158" t="s">
        <v>131</v>
      </c>
      <c r="C158" t="s">
        <v>5962</v>
      </c>
      <c r="D158">
        <v>76</v>
      </c>
      <c r="E158">
        <f>IF(AND(A158='Поиск параметров'!$D$4,ISNUMBER(SEARCH('Поиск параметров'!$D$6,B158))),1,0)</f>
        <v>1</v>
      </c>
      <c r="F158">
        <f>IF(E158=1,SUM($E$2:E158),"")</f>
        <v>157</v>
      </c>
    </row>
    <row r="159" spans="1:6">
      <c r="A159" t="s">
        <v>5809</v>
      </c>
      <c r="B159" t="s">
        <v>132</v>
      </c>
      <c r="C159" t="s">
        <v>5963</v>
      </c>
      <c r="D159">
        <v>77</v>
      </c>
      <c r="E159">
        <f>IF(AND(A159='Поиск параметров'!$D$4,ISNUMBER(SEARCH('Поиск параметров'!$D$6,B159))),1,0)</f>
        <v>1</v>
      </c>
      <c r="F159">
        <f>IF(E159=1,SUM($E$2:E159),"")</f>
        <v>158</v>
      </c>
    </row>
    <row r="160" spans="1:6">
      <c r="A160" t="s">
        <v>5809</v>
      </c>
      <c r="B160" t="s">
        <v>133</v>
      </c>
      <c r="C160" t="s">
        <v>5964</v>
      </c>
      <c r="D160">
        <v>78</v>
      </c>
      <c r="E160">
        <f>IF(AND(A160='Поиск параметров'!$D$4,ISNUMBER(SEARCH('Поиск параметров'!$D$6,B160))),1,0)</f>
        <v>1</v>
      </c>
      <c r="F160">
        <f>IF(E160=1,SUM($E$2:E160),"")</f>
        <v>159</v>
      </c>
    </row>
    <row r="161" spans="1:6">
      <c r="A161" t="s">
        <v>5809</v>
      </c>
      <c r="B161" t="s">
        <v>134</v>
      </c>
      <c r="C161" t="s">
        <v>5965</v>
      </c>
      <c r="D161">
        <v>0</v>
      </c>
      <c r="E161">
        <f>IF(AND(A161='Поиск параметров'!$D$4,ISNUMBER(SEARCH('Поиск параметров'!$D$6,B161))),1,0)</f>
        <v>1</v>
      </c>
      <c r="F161">
        <f>IF(E161=1,SUM($E$2:E161),"")</f>
        <v>160</v>
      </c>
    </row>
    <row r="162" spans="1:6">
      <c r="A162" t="s">
        <v>5809</v>
      </c>
      <c r="B162" t="s">
        <v>135</v>
      </c>
      <c r="C162" t="s">
        <v>5966</v>
      </c>
      <c r="D162">
        <v>79</v>
      </c>
      <c r="E162">
        <f>IF(AND(A162='Поиск параметров'!$D$4,ISNUMBER(SEARCH('Поиск параметров'!$D$6,B162))),1,0)</f>
        <v>1</v>
      </c>
      <c r="F162">
        <f>IF(E162=1,SUM($E$2:E162),"")</f>
        <v>161</v>
      </c>
    </row>
    <row r="163" spans="1:6">
      <c r="A163" t="s">
        <v>5809</v>
      </c>
      <c r="B163" t="s">
        <v>136</v>
      </c>
      <c r="C163" t="s">
        <v>5967</v>
      </c>
      <c r="D163">
        <v>80</v>
      </c>
      <c r="E163">
        <f>IF(AND(A163='Поиск параметров'!$D$4,ISNUMBER(SEARCH('Поиск параметров'!$D$6,B163))),1,0)</f>
        <v>1</v>
      </c>
      <c r="F163">
        <f>IF(E163=1,SUM($E$2:E163),"")</f>
        <v>162</v>
      </c>
    </row>
    <row r="164" spans="1:6">
      <c r="A164" t="s">
        <v>5809</v>
      </c>
      <c r="B164" t="s">
        <v>137</v>
      </c>
      <c r="C164" t="s">
        <v>5968</v>
      </c>
      <c r="D164">
        <v>0</v>
      </c>
      <c r="E164">
        <f>IF(AND(A164='Поиск параметров'!$D$4,ISNUMBER(SEARCH('Поиск параметров'!$D$6,B164))),1,0)</f>
        <v>1</v>
      </c>
      <c r="F164">
        <f>IF(E164=1,SUM($E$2:E164),"")</f>
        <v>163</v>
      </c>
    </row>
    <row r="165" spans="1:6">
      <c r="A165" t="s">
        <v>5809</v>
      </c>
      <c r="B165" t="s">
        <v>138</v>
      </c>
      <c r="C165" t="s">
        <v>5969</v>
      </c>
      <c r="D165">
        <v>0</v>
      </c>
      <c r="E165">
        <f>IF(AND(A165='Поиск параметров'!$D$4,ISNUMBER(SEARCH('Поиск параметров'!$D$6,B165))),1,0)</f>
        <v>1</v>
      </c>
      <c r="F165">
        <f>IF(E165=1,SUM($E$2:E165),"")</f>
        <v>164</v>
      </c>
    </row>
    <row r="166" spans="1:6">
      <c r="A166" t="s">
        <v>5809</v>
      </c>
      <c r="B166" t="s">
        <v>139</v>
      </c>
      <c r="C166" t="s">
        <v>5970</v>
      </c>
      <c r="D166">
        <v>81</v>
      </c>
      <c r="E166">
        <f>IF(AND(A166='Поиск параметров'!$D$4,ISNUMBER(SEARCH('Поиск параметров'!$D$6,B166))),1,0)</f>
        <v>1</v>
      </c>
      <c r="F166">
        <f>IF(E166=1,SUM($E$2:E166),"")</f>
        <v>165</v>
      </c>
    </row>
    <row r="167" spans="1:6">
      <c r="A167" t="s">
        <v>5809</v>
      </c>
      <c r="B167" t="s">
        <v>140</v>
      </c>
      <c r="C167" t="s">
        <v>5971</v>
      </c>
      <c r="D167">
        <v>0</v>
      </c>
      <c r="E167">
        <f>IF(AND(A167='Поиск параметров'!$D$4,ISNUMBER(SEARCH('Поиск параметров'!$D$6,B167))),1,0)</f>
        <v>1</v>
      </c>
      <c r="F167">
        <f>IF(E167=1,SUM($E$2:E167),"")</f>
        <v>166</v>
      </c>
    </row>
    <row r="168" spans="1:6">
      <c r="A168" t="s">
        <v>5809</v>
      </c>
      <c r="B168" t="s">
        <v>141</v>
      </c>
      <c r="C168" t="s">
        <v>5972</v>
      </c>
      <c r="D168">
        <v>0</v>
      </c>
      <c r="E168">
        <f>IF(AND(A168='Поиск параметров'!$D$4,ISNUMBER(SEARCH('Поиск параметров'!$D$6,B168))),1,0)</f>
        <v>1</v>
      </c>
      <c r="F168">
        <f>IF(E168=1,SUM($E$2:E168),"")</f>
        <v>167</v>
      </c>
    </row>
    <row r="169" spans="1:6">
      <c r="A169" t="s">
        <v>5809</v>
      </c>
      <c r="B169" t="s">
        <v>142</v>
      </c>
      <c r="C169" t="s">
        <v>5973</v>
      </c>
      <c r="D169">
        <v>82</v>
      </c>
      <c r="E169">
        <f>IF(AND(A169='Поиск параметров'!$D$4,ISNUMBER(SEARCH('Поиск параметров'!$D$6,B169))),1,0)</f>
        <v>1</v>
      </c>
      <c r="F169">
        <f>IF(E169=1,SUM($E$2:E169),"")</f>
        <v>168</v>
      </c>
    </row>
    <row r="170" spans="1:6">
      <c r="A170" t="s">
        <v>5809</v>
      </c>
      <c r="B170" t="s">
        <v>143</v>
      </c>
      <c r="C170" t="s">
        <v>5974</v>
      </c>
      <c r="D170">
        <v>83</v>
      </c>
      <c r="E170">
        <f>IF(AND(A170='Поиск параметров'!$D$4,ISNUMBER(SEARCH('Поиск параметров'!$D$6,B170))),1,0)</f>
        <v>1</v>
      </c>
      <c r="F170">
        <f>IF(E170=1,SUM($E$2:E170),"")</f>
        <v>169</v>
      </c>
    </row>
    <row r="171" spans="1:6">
      <c r="A171" t="s">
        <v>5809</v>
      </c>
      <c r="B171" t="s">
        <v>144</v>
      </c>
      <c r="C171" t="s">
        <v>5975</v>
      </c>
      <c r="D171">
        <v>84</v>
      </c>
      <c r="E171">
        <f>IF(AND(A171='Поиск параметров'!$D$4,ISNUMBER(SEARCH('Поиск параметров'!$D$6,B171))),1,0)</f>
        <v>1</v>
      </c>
      <c r="F171">
        <f>IF(E171=1,SUM($E$2:E171),"")</f>
        <v>170</v>
      </c>
    </row>
    <row r="172" spans="1:6">
      <c r="A172" t="s">
        <v>5809</v>
      </c>
      <c r="B172" t="s">
        <v>145</v>
      </c>
      <c r="C172" t="s">
        <v>5976</v>
      </c>
      <c r="D172">
        <v>85</v>
      </c>
      <c r="E172">
        <f>IF(AND(A172='Поиск параметров'!$D$4,ISNUMBER(SEARCH('Поиск параметров'!$D$6,B172))),1,0)</f>
        <v>1</v>
      </c>
      <c r="F172">
        <f>IF(E172=1,SUM($E$2:E172),"")</f>
        <v>171</v>
      </c>
    </row>
    <row r="173" spans="1:6">
      <c r="A173" t="s">
        <v>5809</v>
      </c>
      <c r="B173" t="s">
        <v>146</v>
      </c>
      <c r="C173" t="s">
        <v>5977</v>
      </c>
      <c r="D173">
        <v>86</v>
      </c>
      <c r="E173">
        <f>IF(AND(A173='Поиск параметров'!$D$4,ISNUMBER(SEARCH('Поиск параметров'!$D$6,B173))),1,0)</f>
        <v>1</v>
      </c>
      <c r="F173">
        <f>IF(E173=1,SUM($E$2:E173),"")</f>
        <v>172</v>
      </c>
    </row>
    <row r="174" spans="1:6">
      <c r="A174" t="s">
        <v>5809</v>
      </c>
      <c r="B174" t="s">
        <v>147</v>
      </c>
      <c r="C174" t="s">
        <v>5978</v>
      </c>
      <c r="D174">
        <v>0</v>
      </c>
      <c r="E174">
        <f>IF(AND(A174='Поиск параметров'!$D$4,ISNUMBER(SEARCH('Поиск параметров'!$D$6,B174))),1,0)</f>
        <v>1</v>
      </c>
      <c r="F174">
        <f>IF(E174=1,SUM($E$2:E174),"")</f>
        <v>173</v>
      </c>
    </row>
    <row r="175" spans="1:6">
      <c r="A175" t="s">
        <v>5809</v>
      </c>
      <c r="B175" t="s">
        <v>148</v>
      </c>
      <c r="C175" t="s">
        <v>5979</v>
      </c>
      <c r="D175">
        <v>0</v>
      </c>
      <c r="E175">
        <f>IF(AND(A175='Поиск параметров'!$D$4,ISNUMBER(SEARCH('Поиск параметров'!$D$6,B175))),1,0)</f>
        <v>1</v>
      </c>
      <c r="F175">
        <f>IF(E175=1,SUM($E$2:E175),"")</f>
        <v>174</v>
      </c>
    </row>
    <row r="176" spans="1:6">
      <c r="A176" t="s">
        <v>5809</v>
      </c>
      <c r="B176" t="s">
        <v>149</v>
      </c>
      <c r="C176" t="s">
        <v>5980</v>
      </c>
      <c r="D176">
        <v>87</v>
      </c>
      <c r="E176">
        <f>IF(AND(A176='Поиск параметров'!$D$4,ISNUMBER(SEARCH('Поиск параметров'!$D$6,B176))),1,0)</f>
        <v>1</v>
      </c>
      <c r="F176">
        <f>IF(E176=1,SUM($E$2:E176),"")</f>
        <v>175</v>
      </c>
    </row>
    <row r="177" spans="1:6">
      <c r="A177" t="s">
        <v>5809</v>
      </c>
      <c r="B177" t="s">
        <v>150</v>
      </c>
      <c r="C177" t="s">
        <v>5981</v>
      </c>
      <c r="D177">
        <v>88</v>
      </c>
      <c r="E177">
        <f>IF(AND(A177='Поиск параметров'!$D$4,ISNUMBER(SEARCH('Поиск параметров'!$D$6,B177))),1,0)</f>
        <v>1</v>
      </c>
      <c r="F177">
        <f>IF(E177=1,SUM($E$2:E177),"")</f>
        <v>176</v>
      </c>
    </row>
    <row r="178" spans="1:6">
      <c r="A178" t="s">
        <v>5809</v>
      </c>
      <c r="B178" t="s">
        <v>151</v>
      </c>
      <c r="C178" t="s">
        <v>5982</v>
      </c>
      <c r="D178">
        <v>89</v>
      </c>
      <c r="E178">
        <f>IF(AND(A178='Поиск параметров'!$D$4,ISNUMBER(SEARCH('Поиск параметров'!$D$6,B178))),1,0)</f>
        <v>1</v>
      </c>
      <c r="F178">
        <f>IF(E178=1,SUM($E$2:E178),"")</f>
        <v>177</v>
      </c>
    </row>
    <row r="179" spans="1:6">
      <c r="A179" t="s">
        <v>5809</v>
      </c>
      <c r="B179" t="s">
        <v>152</v>
      </c>
      <c r="C179" t="s">
        <v>5983</v>
      </c>
      <c r="D179">
        <v>90</v>
      </c>
      <c r="E179">
        <f>IF(AND(A179='Поиск параметров'!$D$4,ISNUMBER(SEARCH('Поиск параметров'!$D$6,B179))),1,0)</f>
        <v>1</v>
      </c>
      <c r="F179">
        <f>IF(E179=1,SUM($E$2:E179),"")</f>
        <v>178</v>
      </c>
    </row>
    <row r="180" spans="1:6">
      <c r="A180" t="s">
        <v>5809</v>
      </c>
      <c r="B180" t="s">
        <v>153</v>
      </c>
      <c r="C180" t="s">
        <v>5984</v>
      </c>
      <c r="D180">
        <v>91</v>
      </c>
      <c r="E180">
        <f>IF(AND(A180='Поиск параметров'!$D$4,ISNUMBER(SEARCH('Поиск параметров'!$D$6,B180))),1,0)</f>
        <v>1</v>
      </c>
      <c r="F180">
        <f>IF(E180=1,SUM($E$2:E180),"")</f>
        <v>179</v>
      </c>
    </row>
    <row r="181" spans="1:6">
      <c r="A181" t="s">
        <v>5809</v>
      </c>
      <c r="B181" t="s">
        <v>154</v>
      </c>
      <c r="C181" t="s">
        <v>5985</v>
      </c>
      <c r="D181">
        <v>0</v>
      </c>
      <c r="E181">
        <f>IF(AND(A181='Поиск параметров'!$D$4,ISNUMBER(SEARCH('Поиск параметров'!$D$6,B181))),1,0)</f>
        <v>1</v>
      </c>
      <c r="F181">
        <f>IF(E181=1,SUM($E$2:E181),"")</f>
        <v>180</v>
      </c>
    </row>
    <row r="182" spans="1:6">
      <c r="A182" t="s">
        <v>5809</v>
      </c>
      <c r="B182" t="s">
        <v>155</v>
      </c>
      <c r="C182" t="s">
        <v>5986</v>
      </c>
      <c r="D182">
        <v>0</v>
      </c>
      <c r="E182">
        <f>IF(AND(A182='Поиск параметров'!$D$4,ISNUMBER(SEARCH('Поиск параметров'!$D$6,B182))),1,0)</f>
        <v>1</v>
      </c>
      <c r="F182">
        <f>IF(E182=1,SUM($E$2:E182),"")</f>
        <v>181</v>
      </c>
    </row>
    <row r="183" spans="1:6">
      <c r="A183" t="s">
        <v>5809</v>
      </c>
      <c r="B183" t="s">
        <v>156</v>
      </c>
      <c r="C183" t="s">
        <v>5987</v>
      </c>
      <c r="D183">
        <v>92</v>
      </c>
      <c r="E183">
        <f>IF(AND(A183='Поиск параметров'!$D$4,ISNUMBER(SEARCH('Поиск параметров'!$D$6,B183))),1,0)</f>
        <v>1</v>
      </c>
      <c r="F183">
        <f>IF(E183=1,SUM($E$2:E183),"")</f>
        <v>182</v>
      </c>
    </row>
    <row r="184" spans="1:6">
      <c r="A184" t="s">
        <v>5809</v>
      </c>
      <c r="B184" t="s">
        <v>157</v>
      </c>
      <c r="C184" t="s">
        <v>5988</v>
      </c>
      <c r="D184">
        <v>93</v>
      </c>
      <c r="E184">
        <f>IF(AND(A184='Поиск параметров'!$D$4,ISNUMBER(SEARCH('Поиск параметров'!$D$6,B184))),1,0)</f>
        <v>1</v>
      </c>
      <c r="F184">
        <f>IF(E184=1,SUM($E$2:E184),"")</f>
        <v>183</v>
      </c>
    </row>
    <row r="185" spans="1:6">
      <c r="A185" t="s">
        <v>5809</v>
      </c>
      <c r="B185" t="s">
        <v>158</v>
      </c>
      <c r="C185" t="s">
        <v>5989</v>
      </c>
      <c r="D185">
        <v>94</v>
      </c>
      <c r="E185">
        <f>IF(AND(A185='Поиск параметров'!$D$4,ISNUMBER(SEARCH('Поиск параметров'!$D$6,B185))),1,0)</f>
        <v>1</v>
      </c>
      <c r="F185">
        <f>IF(E185=1,SUM($E$2:E185),"")</f>
        <v>184</v>
      </c>
    </row>
    <row r="186" spans="1:6">
      <c r="A186" t="s">
        <v>5809</v>
      </c>
      <c r="B186" t="s">
        <v>159</v>
      </c>
      <c r="C186" t="s">
        <v>5990</v>
      </c>
      <c r="D186">
        <v>0</v>
      </c>
      <c r="E186">
        <f>IF(AND(A186='Поиск параметров'!$D$4,ISNUMBER(SEARCH('Поиск параметров'!$D$6,B186))),1,0)</f>
        <v>1</v>
      </c>
      <c r="F186">
        <f>IF(E186=1,SUM($E$2:E186),"")</f>
        <v>185</v>
      </c>
    </row>
    <row r="187" spans="1:6">
      <c r="A187" t="s">
        <v>5809</v>
      </c>
      <c r="B187" t="s">
        <v>160</v>
      </c>
      <c r="C187" t="s">
        <v>5991</v>
      </c>
      <c r="D187">
        <v>0</v>
      </c>
      <c r="E187">
        <f>IF(AND(A187='Поиск параметров'!$D$4,ISNUMBER(SEARCH('Поиск параметров'!$D$6,B187))),1,0)</f>
        <v>1</v>
      </c>
      <c r="F187">
        <f>IF(E187=1,SUM($E$2:E187),"")</f>
        <v>186</v>
      </c>
    </row>
    <row r="188" spans="1:6">
      <c r="A188" t="s">
        <v>5809</v>
      </c>
      <c r="B188" t="s">
        <v>161</v>
      </c>
      <c r="C188" t="s">
        <v>5992</v>
      </c>
      <c r="D188">
        <v>0</v>
      </c>
      <c r="E188">
        <f>IF(AND(A188='Поиск параметров'!$D$4,ISNUMBER(SEARCH('Поиск параметров'!$D$6,B188))),1,0)</f>
        <v>1</v>
      </c>
      <c r="F188">
        <f>IF(E188=1,SUM($E$2:E188),"")</f>
        <v>187</v>
      </c>
    </row>
    <row r="189" spans="1:6">
      <c r="A189" t="s">
        <v>5809</v>
      </c>
      <c r="B189" t="s">
        <v>162</v>
      </c>
      <c r="C189" t="s">
        <v>5993</v>
      </c>
      <c r="D189">
        <v>0</v>
      </c>
      <c r="E189">
        <f>IF(AND(A189='Поиск параметров'!$D$4,ISNUMBER(SEARCH('Поиск параметров'!$D$6,B189))),1,0)</f>
        <v>1</v>
      </c>
      <c r="F189">
        <f>IF(E189=1,SUM($E$2:E189),"")</f>
        <v>188</v>
      </c>
    </row>
    <row r="190" spans="1:6">
      <c r="A190" t="s">
        <v>5809</v>
      </c>
      <c r="B190" t="s">
        <v>163</v>
      </c>
      <c r="C190" t="s">
        <v>5994</v>
      </c>
      <c r="D190">
        <v>0</v>
      </c>
      <c r="E190">
        <f>IF(AND(A190='Поиск параметров'!$D$4,ISNUMBER(SEARCH('Поиск параметров'!$D$6,B190))),1,0)</f>
        <v>1</v>
      </c>
      <c r="F190">
        <f>IF(E190=1,SUM($E$2:E190),"")</f>
        <v>189</v>
      </c>
    </row>
    <row r="191" spans="1:6">
      <c r="A191" t="s">
        <v>5809</v>
      </c>
      <c r="B191" t="s">
        <v>164</v>
      </c>
      <c r="C191" t="s">
        <v>5995</v>
      </c>
      <c r="D191">
        <v>95</v>
      </c>
      <c r="E191">
        <f>IF(AND(A191='Поиск параметров'!$D$4,ISNUMBER(SEARCH('Поиск параметров'!$D$6,B191))),1,0)</f>
        <v>1</v>
      </c>
      <c r="F191">
        <f>IF(E191=1,SUM($E$2:E191),"")</f>
        <v>190</v>
      </c>
    </row>
    <row r="192" spans="1:6">
      <c r="A192" t="s">
        <v>5809</v>
      </c>
      <c r="B192" t="s">
        <v>165</v>
      </c>
      <c r="C192" t="s">
        <v>5996</v>
      </c>
      <c r="D192">
        <v>96</v>
      </c>
      <c r="E192">
        <f>IF(AND(A192='Поиск параметров'!$D$4,ISNUMBER(SEARCH('Поиск параметров'!$D$6,B192))),1,0)</f>
        <v>1</v>
      </c>
      <c r="F192">
        <f>IF(E192=1,SUM($E$2:E192),"")</f>
        <v>191</v>
      </c>
    </row>
    <row r="193" spans="1:6">
      <c r="A193" t="s">
        <v>5809</v>
      </c>
      <c r="B193" t="s">
        <v>166</v>
      </c>
      <c r="C193" t="s">
        <v>5997</v>
      </c>
      <c r="D193">
        <v>97</v>
      </c>
      <c r="E193">
        <f>IF(AND(A193='Поиск параметров'!$D$4,ISNUMBER(SEARCH('Поиск параметров'!$D$6,B193))),1,0)</f>
        <v>1</v>
      </c>
      <c r="F193">
        <f>IF(E193=1,SUM($E$2:E193),"")</f>
        <v>192</v>
      </c>
    </row>
    <row r="194" spans="1:6">
      <c r="A194" t="s">
        <v>5809</v>
      </c>
      <c r="B194" t="s">
        <v>167</v>
      </c>
      <c r="C194" t="s">
        <v>5998</v>
      </c>
      <c r="D194">
        <v>0</v>
      </c>
      <c r="E194">
        <f>IF(AND(A194='Поиск параметров'!$D$4,ISNUMBER(SEARCH('Поиск параметров'!$D$6,B194))),1,0)</f>
        <v>1</v>
      </c>
      <c r="F194">
        <f>IF(E194=1,SUM($E$2:E194),"")</f>
        <v>193</v>
      </c>
    </row>
    <row r="195" spans="1:6">
      <c r="A195" t="s">
        <v>5809</v>
      </c>
      <c r="B195" t="s">
        <v>168</v>
      </c>
      <c r="C195" t="s">
        <v>5999</v>
      </c>
      <c r="D195">
        <v>0</v>
      </c>
      <c r="E195">
        <f>IF(AND(A195='Поиск параметров'!$D$4,ISNUMBER(SEARCH('Поиск параметров'!$D$6,B195))),1,0)</f>
        <v>1</v>
      </c>
      <c r="F195">
        <f>IF(E195=1,SUM($E$2:E195),"")</f>
        <v>194</v>
      </c>
    </row>
    <row r="196" spans="1:6">
      <c r="A196" t="s">
        <v>5809</v>
      </c>
      <c r="B196" t="s">
        <v>169</v>
      </c>
      <c r="C196" t="s">
        <v>6000</v>
      </c>
      <c r="D196">
        <v>0</v>
      </c>
      <c r="E196">
        <f>IF(AND(A196='Поиск параметров'!$D$4,ISNUMBER(SEARCH('Поиск параметров'!$D$6,B196))),1,0)</f>
        <v>1</v>
      </c>
      <c r="F196">
        <f>IF(E196=1,SUM($E$2:E196),"")</f>
        <v>195</v>
      </c>
    </row>
    <row r="197" spans="1:6">
      <c r="A197" t="s">
        <v>5809</v>
      </c>
      <c r="B197" t="s">
        <v>170</v>
      </c>
      <c r="C197" t="s">
        <v>6001</v>
      </c>
      <c r="D197">
        <v>0</v>
      </c>
      <c r="E197">
        <f>IF(AND(A197='Поиск параметров'!$D$4,ISNUMBER(SEARCH('Поиск параметров'!$D$6,B197))),1,0)</f>
        <v>1</v>
      </c>
      <c r="F197">
        <f>IF(E197=1,SUM($E$2:E197),"")</f>
        <v>196</v>
      </c>
    </row>
    <row r="198" spans="1:6">
      <c r="A198" t="s">
        <v>5809</v>
      </c>
      <c r="B198" t="s">
        <v>171</v>
      </c>
      <c r="C198" t="s">
        <v>6002</v>
      </c>
      <c r="D198">
        <v>0</v>
      </c>
      <c r="E198">
        <f>IF(AND(A198='Поиск параметров'!$D$4,ISNUMBER(SEARCH('Поиск параметров'!$D$6,B198))),1,0)</f>
        <v>1</v>
      </c>
      <c r="F198">
        <f>IF(E198=1,SUM($E$2:E198),"")</f>
        <v>197</v>
      </c>
    </row>
    <row r="199" spans="1:6">
      <c r="A199" t="s">
        <v>5809</v>
      </c>
      <c r="B199" t="s">
        <v>172</v>
      </c>
      <c r="C199" t="s">
        <v>6003</v>
      </c>
      <c r="D199">
        <v>0</v>
      </c>
      <c r="E199">
        <f>IF(AND(A199='Поиск параметров'!$D$4,ISNUMBER(SEARCH('Поиск параметров'!$D$6,B199))),1,0)</f>
        <v>1</v>
      </c>
      <c r="F199">
        <f>IF(E199=1,SUM($E$2:E199),"")</f>
        <v>198</v>
      </c>
    </row>
    <row r="200" spans="1:6">
      <c r="A200" t="s">
        <v>5809</v>
      </c>
      <c r="B200" t="s">
        <v>173</v>
      </c>
      <c r="C200" t="s">
        <v>6004</v>
      </c>
      <c r="D200">
        <v>0</v>
      </c>
      <c r="E200">
        <f>IF(AND(A200='Поиск параметров'!$D$4,ISNUMBER(SEARCH('Поиск параметров'!$D$6,B200))),1,0)</f>
        <v>1</v>
      </c>
      <c r="F200">
        <f>IF(E200=1,SUM($E$2:E200),"")</f>
        <v>199</v>
      </c>
    </row>
    <row r="201" spans="1:6">
      <c r="A201" t="s">
        <v>5809</v>
      </c>
      <c r="B201" t="s">
        <v>174</v>
      </c>
      <c r="C201" t="s">
        <v>6005</v>
      </c>
      <c r="D201">
        <v>0</v>
      </c>
      <c r="E201">
        <f>IF(AND(A201='Поиск параметров'!$D$4,ISNUMBER(SEARCH('Поиск параметров'!$D$6,B201))),1,0)</f>
        <v>1</v>
      </c>
      <c r="F201">
        <f>IF(E201=1,SUM($E$2:E201),"")</f>
        <v>200</v>
      </c>
    </row>
    <row r="202" spans="1:6">
      <c r="A202" t="s">
        <v>5809</v>
      </c>
      <c r="B202" t="s">
        <v>175</v>
      </c>
      <c r="C202" t="s">
        <v>6006</v>
      </c>
      <c r="D202">
        <v>98</v>
      </c>
      <c r="E202">
        <f>IF(AND(A202='Поиск параметров'!$D$4,ISNUMBER(SEARCH('Поиск параметров'!$D$6,B202))),1,0)</f>
        <v>1</v>
      </c>
      <c r="F202">
        <f>IF(E202=1,SUM($E$2:E202),"")</f>
        <v>201</v>
      </c>
    </row>
    <row r="203" spans="1:6">
      <c r="A203" t="s">
        <v>5809</v>
      </c>
      <c r="B203" t="s">
        <v>176</v>
      </c>
      <c r="C203" t="s">
        <v>6007</v>
      </c>
      <c r="D203">
        <v>99</v>
      </c>
      <c r="E203">
        <f>IF(AND(A203='Поиск параметров'!$D$4,ISNUMBER(SEARCH('Поиск параметров'!$D$6,B203))),1,0)</f>
        <v>1</v>
      </c>
      <c r="F203">
        <f>IF(E203=1,SUM($E$2:E203),"")</f>
        <v>202</v>
      </c>
    </row>
    <row r="204" spans="1:6">
      <c r="A204" t="s">
        <v>5809</v>
      </c>
      <c r="B204" t="s">
        <v>177</v>
      </c>
      <c r="C204" t="s">
        <v>6008</v>
      </c>
      <c r="D204">
        <v>100</v>
      </c>
      <c r="E204">
        <f>IF(AND(A204='Поиск параметров'!$D$4,ISNUMBER(SEARCH('Поиск параметров'!$D$6,B204))),1,0)</f>
        <v>1</v>
      </c>
      <c r="F204">
        <f>IF(E204=1,SUM($E$2:E204),"")</f>
        <v>203</v>
      </c>
    </row>
    <row r="205" spans="1:6">
      <c r="A205" t="s">
        <v>5809</v>
      </c>
      <c r="B205" t="s">
        <v>178</v>
      </c>
      <c r="C205" t="s">
        <v>6009</v>
      </c>
      <c r="D205">
        <v>101</v>
      </c>
      <c r="E205">
        <f>IF(AND(A205='Поиск параметров'!$D$4,ISNUMBER(SEARCH('Поиск параметров'!$D$6,B205))),1,0)</f>
        <v>1</v>
      </c>
      <c r="F205">
        <f>IF(E205=1,SUM($E$2:E205),"")</f>
        <v>204</v>
      </c>
    </row>
    <row r="206" spans="1:6">
      <c r="A206" t="s">
        <v>5809</v>
      </c>
      <c r="B206" t="s">
        <v>179</v>
      </c>
      <c r="C206" t="s">
        <v>6010</v>
      </c>
      <c r="D206">
        <v>102</v>
      </c>
      <c r="E206">
        <f>IF(AND(A206='Поиск параметров'!$D$4,ISNUMBER(SEARCH('Поиск параметров'!$D$6,B206))),1,0)</f>
        <v>1</v>
      </c>
      <c r="F206">
        <f>IF(E206=1,SUM($E$2:E206),"")</f>
        <v>205</v>
      </c>
    </row>
    <row r="207" spans="1:6">
      <c r="A207" t="s">
        <v>5809</v>
      </c>
      <c r="B207" t="s">
        <v>180</v>
      </c>
      <c r="C207" t="s">
        <v>6011</v>
      </c>
      <c r="D207">
        <v>0</v>
      </c>
      <c r="E207">
        <f>IF(AND(A207='Поиск параметров'!$D$4,ISNUMBER(SEARCH('Поиск параметров'!$D$6,B207))),1,0)</f>
        <v>1</v>
      </c>
      <c r="F207">
        <f>IF(E207=1,SUM($E$2:E207),"")</f>
        <v>206</v>
      </c>
    </row>
    <row r="208" spans="1:6">
      <c r="A208" t="s">
        <v>5809</v>
      </c>
      <c r="B208" t="s">
        <v>181</v>
      </c>
      <c r="C208" t="s">
        <v>6012</v>
      </c>
      <c r="D208">
        <v>0</v>
      </c>
      <c r="E208">
        <f>IF(AND(A208='Поиск параметров'!$D$4,ISNUMBER(SEARCH('Поиск параметров'!$D$6,B208))),1,0)</f>
        <v>1</v>
      </c>
      <c r="F208">
        <f>IF(E208=1,SUM($E$2:E208),"")</f>
        <v>207</v>
      </c>
    </row>
    <row r="209" spans="1:6">
      <c r="A209" t="s">
        <v>5809</v>
      </c>
      <c r="B209" t="s">
        <v>182</v>
      </c>
      <c r="C209" t="s">
        <v>6013</v>
      </c>
      <c r="D209">
        <v>103</v>
      </c>
      <c r="E209">
        <f>IF(AND(A209='Поиск параметров'!$D$4,ISNUMBER(SEARCH('Поиск параметров'!$D$6,B209))),1,0)</f>
        <v>1</v>
      </c>
      <c r="F209">
        <f>IF(E209=1,SUM($E$2:E209),"")</f>
        <v>208</v>
      </c>
    </row>
    <row r="210" spans="1:6">
      <c r="A210" t="s">
        <v>5809</v>
      </c>
      <c r="B210" t="s">
        <v>183</v>
      </c>
      <c r="C210" t="s">
        <v>6014</v>
      </c>
      <c r="D210">
        <v>104</v>
      </c>
      <c r="E210">
        <f>IF(AND(A210='Поиск параметров'!$D$4,ISNUMBER(SEARCH('Поиск параметров'!$D$6,B210))),1,0)</f>
        <v>1</v>
      </c>
      <c r="F210">
        <f>IF(E210=1,SUM($E$2:E210),"")</f>
        <v>209</v>
      </c>
    </row>
    <row r="211" spans="1:6">
      <c r="A211" t="s">
        <v>5809</v>
      </c>
      <c r="B211" t="s">
        <v>184</v>
      </c>
      <c r="C211" t="s">
        <v>6015</v>
      </c>
      <c r="D211">
        <v>105</v>
      </c>
      <c r="E211">
        <f>IF(AND(A211='Поиск параметров'!$D$4,ISNUMBER(SEARCH('Поиск параметров'!$D$6,B211))),1,0)</f>
        <v>1</v>
      </c>
      <c r="F211">
        <f>IF(E211=1,SUM($E$2:E211),"")</f>
        <v>210</v>
      </c>
    </row>
    <row r="212" spans="1:6">
      <c r="A212" t="s">
        <v>5809</v>
      </c>
      <c r="B212" t="s">
        <v>185</v>
      </c>
      <c r="C212" t="s">
        <v>6016</v>
      </c>
      <c r="D212">
        <v>106</v>
      </c>
      <c r="E212">
        <f>IF(AND(A212='Поиск параметров'!$D$4,ISNUMBER(SEARCH('Поиск параметров'!$D$6,B212))),1,0)</f>
        <v>1</v>
      </c>
      <c r="F212">
        <f>IF(E212=1,SUM($E$2:E212),"")</f>
        <v>211</v>
      </c>
    </row>
    <row r="213" spans="1:6">
      <c r="A213" t="s">
        <v>5809</v>
      </c>
      <c r="B213" t="s">
        <v>186</v>
      </c>
      <c r="C213" t="s">
        <v>6017</v>
      </c>
      <c r="D213">
        <v>107</v>
      </c>
      <c r="E213">
        <f>IF(AND(A213='Поиск параметров'!$D$4,ISNUMBER(SEARCH('Поиск параметров'!$D$6,B213))),1,0)</f>
        <v>1</v>
      </c>
      <c r="F213">
        <f>IF(E213=1,SUM($E$2:E213),"")</f>
        <v>212</v>
      </c>
    </row>
    <row r="214" spans="1:6">
      <c r="A214" t="s">
        <v>5809</v>
      </c>
      <c r="B214" t="s">
        <v>187</v>
      </c>
      <c r="C214" t="s">
        <v>6018</v>
      </c>
      <c r="D214">
        <v>108</v>
      </c>
      <c r="E214">
        <f>IF(AND(A214='Поиск параметров'!$D$4,ISNUMBER(SEARCH('Поиск параметров'!$D$6,B214))),1,0)</f>
        <v>1</v>
      </c>
      <c r="F214">
        <f>IF(E214=1,SUM($E$2:E214),"")</f>
        <v>213</v>
      </c>
    </row>
    <row r="215" spans="1:6">
      <c r="A215" t="s">
        <v>5809</v>
      </c>
      <c r="B215" t="s">
        <v>188</v>
      </c>
      <c r="C215" t="s">
        <v>6019</v>
      </c>
      <c r="D215">
        <v>109</v>
      </c>
      <c r="E215">
        <f>IF(AND(A215='Поиск параметров'!$D$4,ISNUMBER(SEARCH('Поиск параметров'!$D$6,B215))),1,0)</f>
        <v>1</v>
      </c>
      <c r="F215">
        <f>IF(E215=1,SUM($E$2:E215),"")</f>
        <v>214</v>
      </c>
    </row>
    <row r="216" spans="1:6">
      <c r="A216" t="s">
        <v>5809</v>
      </c>
      <c r="B216" t="s">
        <v>189</v>
      </c>
      <c r="C216" t="s">
        <v>6020</v>
      </c>
      <c r="D216">
        <v>110</v>
      </c>
      <c r="E216">
        <f>IF(AND(A216='Поиск параметров'!$D$4,ISNUMBER(SEARCH('Поиск параметров'!$D$6,B216))),1,0)</f>
        <v>1</v>
      </c>
      <c r="F216">
        <f>IF(E216=1,SUM($E$2:E216),"")</f>
        <v>215</v>
      </c>
    </row>
    <row r="217" spans="1:6">
      <c r="A217" t="s">
        <v>5809</v>
      </c>
      <c r="B217" t="s">
        <v>190</v>
      </c>
      <c r="C217" t="s">
        <v>6021</v>
      </c>
      <c r="D217">
        <v>111</v>
      </c>
      <c r="E217">
        <f>IF(AND(A217='Поиск параметров'!$D$4,ISNUMBER(SEARCH('Поиск параметров'!$D$6,B217))),1,0)</f>
        <v>1</v>
      </c>
      <c r="F217">
        <f>IF(E217=1,SUM($E$2:E217),"")</f>
        <v>216</v>
      </c>
    </row>
    <row r="218" spans="1:6">
      <c r="A218" t="s">
        <v>5809</v>
      </c>
      <c r="B218" t="s">
        <v>191</v>
      </c>
      <c r="C218" t="s">
        <v>6022</v>
      </c>
      <c r="D218">
        <v>112</v>
      </c>
      <c r="E218">
        <f>IF(AND(A218='Поиск параметров'!$D$4,ISNUMBER(SEARCH('Поиск параметров'!$D$6,B218))),1,0)</f>
        <v>1</v>
      </c>
      <c r="F218">
        <f>IF(E218=1,SUM($E$2:E218),"")</f>
        <v>217</v>
      </c>
    </row>
    <row r="219" spans="1:6">
      <c r="A219" t="s">
        <v>5809</v>
      </c>
      <c r="B219" t="s">
        <v>192</v>
      </c>
      <c r="C219" t="s">
        <v>6023</v>
      </c>
      <c r="D219">
        <v>113</v>
      </c>
      <c r="E219">
        <f>IF(AND(A219='Поиск параметров'!$D$4,ISNUMBER(SEARCH('Поиск параметров'!$D$6,B219))),1,0)</f>
        <v>1</v>
      </c>
      <c r="F219">
        <f>IF(E219=1,SUM($E$2:E219),"")</f>
        <v>218</v>
      </c>
    </row>
    <row r="220" spans="1:6">
      <c r="A220" t="s">
        <v>5809</v>
      </c>
      <c r="B220" t="s">
        <v>193</v>
      </c>
      <c r="C220" t="s">
        <v>6024</v>
      </c>
      <c r="D220">
        <v>114</v>
      </c>
      <c r="E220">
        <f>IF(AND(A220='Поиск параметров'!$D$4,ISNUMBER(SEARCH('Поиск параметров'!$D$6,B220))),1,0)</f>
        <v>1</v>
      </c>
      <c r="F220">
        <f>IF(E220=1,SUM($E$2:E220),"")</f>
        <v>219</v>
      </c>
    </row>
    <row r="221" spans="1:6">
      <c r="A221" t="s">
        <v>5809</v>
      </c>
      <c r="B221" t="s">
        <v>194</v>
      </c>
      <c r="C221" t="s">
        <v>6025</v>
      </c>
      <c r="D221">
        <v>115</v>
      </c>
      <c r="E221">
        <f>IF(AND(A221='Поиск параметров'!$D$4,ISNUMBER(SEARCH('Поиск параметров'!$D$6,B221))),1,0)</f>
        <v>1</v>
      </c>
      <c r="F221">
        <f>IF(E221=1,SUM($E$2:E221),"")</f>
        <v>220</v>
      </c>
    </row>
    <row r="222" spans="1:6">
      <c r="A222" t="s">
        <v>5809</v>
      </c>
      <c r="B222" t="s">
        <v>195</v>
      </c>
      <c r="C222" t="s">
        <v>6026</v>
      </c>
      <c r="D222">
        <v>116</v>
      </c>
      <c r="E222">
        <f>IF(AND(A222='Поиск параметров'!$D$4,ISNUMBER(SEARCH('Поиск параметров'!$D$6,B222))),1,0)</f>
        <v>1</v>
      </c>
      <c r="F222">
        <f>IF(E222=1,SUM($E$2:E222),"")</f>
        <v>221</v>
      </c>
    </row>
    <row r="223" spans="1:6">
      <c r="A223" t="s">
        <v>5809</v>
      </c>
      <c r="B223" t="s">
        <v>196</v>
      </c>
      <c r="C223" t="s">
        <v>6027</v>
      </c>
      <c r="D223">
        <v>117</v>
      </c>
      <c r="E223">
        <f>IF(AND(A223='Поиск параметров'!$D$4,ISNUMBER(SEARCH('Поиск параметров'!$D$6,B223))),1,0)</f>
        <v>1</v>
      </c>
      <c r="F223">
        <f>IF(E223=1,SUM($E$2:E223),"")</f>
        <v>222</v>
      </c>
    </row>
    <row r="224" spans="1:6">
      <c r="A224" t="s">
        <v>5809</v>
      </c>
      <c r="B224" t="s">
        <v>197</v>
      </c>
      <c r="C224" t="s">
        <v>6028</v>
      </c>
      <c r="D224">
        <v>118</v>
      </c>
      <c r="E224">
        <f>IF(AND(A224='Поиск параметров'!$D$4,ISNUMBER(SEARCH('Поиск параметров'!$D$6,B224))),1,0)</f>
        <v>1</v>
      </c>
      <c r="F224">
        <f>IF(E224=1,SUM($E$2:E224),"")</f>
        <v>223</v>
      </c>
    </row>
    <row r="225" spans="1:6">
      <c r="A225" t="s">
        <v>5809</v>
      </c>
      <c r="B225" t="s">
        <v>198</v>
      </c>
      <c r="C225" t="s">
        <v>6029</v>
      </c>
      <c r="D225">
        <v>119</v>
      </c>
      <c r="E225">
        <f>IF(AND(A225='Поиск параметров'!$D$4,ISNUMBER(SEARCH('Поиск параметров'!$D$6,B225))),1,0)</f>
        <v>1</v>
      </c>
      <c r="F225">
        <f>IF(E225=1,SUM($E$2:E225),"")</f>
        <v>224</v>
      </c>
    </row>
    <row r="226" spans="1:6">
      <c r="A226" t="s">
        <v>5809</v>
      </c>
      <c r="B226" t="s">
        <v>199</v>
      </c>
      <c r="C226" t="s">
        <v>6030</v>
      </c>
      <c r="D226">
        <v>120</v>
      </c>
      <c r="E226">
        <f>IF(AND(A226='Поиск параметров'!$D$4,ISNUMBER(SEARCH('Поиск параметров'!$D$6,B226))),1,0)</f>
        <v>1</v>
      </c>
      <c r="F226">
        <f>IF(E226=1,SUM($E$2:E226),"")</f>
        <v>225</v>
      </c>
    </row>
    <row r="227" spans="1:6">
      <c r="A227" t="s">
        <v>5809</v>
      </c>
      <c r="B227" t="s">
        <v>200</v>
      </c>
      <c r="C227" t="s">
        <v>6031</v>
      </c>
      <c r="D227">
        <v>121</v>
      </c>
      <c r="E227">
        <f>IF(AND(A227='Поиск параметров'!$D$4,ISNUMBER(SEARCH('Поиск параметров'!$D$6,B227))),1,0)</f>
        <v>1</v>
      </c>
      <c r="F227">
        <f>IF(E227=1,SUM($E$2:E227),"")</f>
        <v>226</v>
      </c>
    </row>
    <row r="228" spans="1:6">
      <c r="A228" t="s">
        <v>5809</v>
      </c>
      <c r="B228" t="s">
        <v>201</v>
      </c>
      <c r="C228" t="s">
        <v>6032</v>
      </c>
      <c r="D228">
        <v>122</v>
      </c>
      <c r="E228">
        <f>IF(AND(A228='Поиск параметров'!$D$4,ISNUMBER(SEARCH('Поиск параметров'!$D$6,B228))),1,0)</f>
        <v>1</v>
      </c>
      <c r="F228">
        <f>IF(E228=1,SUM($E$2:E228),"")</f>
        <v>227</v>
      </c>
    </row>
    <row r="229" spans="1:6">
      <c r="A229" t="s">
        <v>5809</v>
      </c>
      <c r="B229" t="s">
        <v>202</v>
      </c>
      <c r="C229" t="s">
        <v>6033</v>
      </c>
      <c r="D229">
        <v>123</v>
      </c>
      <c r="E229">
        <f>IF(AND(A229='Поиск параметров'!$D$4,ISNUMBER(SEARCH('Поиск параметров'!$D$6,B229))),1,0)</f>
        <v>1</v>
      </c>
      <c r="F229">
        <f>IF(E229=1,SUM($E$2:E229),"")</f>
        <v>228</v>
      </c>
    </row>
    <row r="230" spans="1:6">
      <c r="A230" t="s">
        <v>5809</v>
      </c>
      <c r="B230" t="s">
        <v>203</v>
      </c>
      <c r="C230" t="s">
        <v>6034</v>
      </c>
      <c r="D230">
        <v>124</v>
      </c>
      <c r="E230">
        <f>IF(AND(A230='Поиск параметров'!$D$4,ISNUMBER(SEARCH('Поиск параметров'!$D$6,B230))),1,0)</f>
        <v>1</v>
      </c>
      <c r="F230">
        <f>IF(E230=1,SUM($E$2:E230),"")</f>
        <v>229</v>
      </c>
    </row>
    <row r="231" spans="1:6">
      <c r="A231" t="s">
        <v>5809</v>
      </c>
      <c r="B231" t="s">
        <v>204</v>
      </c>
      <c r="C231" t="s">
        <v>6035</v>
      </c>
      <c r="D231">
        <v>0</v>
      </c>
      <c r="E231">
        <f>IF(AND(A231='Поиск параметров'!$D$4,ISNUMBER(SEARCH('Поиск параметров'!$D$6,B231))),1,0)</f>
        <v>1</v>
      </c>
      <c r="F231">
        <f>IF(E231=1,SUM($E$2:E231),"")</f>
        <v>230</v>
      </c>
    </row>
    <row r="232" spans="1:6">
      <c r="A232" t="s">
        <v>5809</v>
      </c>
      <c r="B232" t="s">
        <v>205</v>
      </c>
      <c r="C232" t="s">
        <v>6036</v>
      </c>
      <c r="D232">
        <v>125</v>
      </c>
      <c r="E232">
        <f>IF(AND(A232='Поиск параметров'!$D$4,ISNUMBER(SEARCH('Поиск параметров'!$D$6,B232))),1,0)</f>
        <v>1</v>
      </c>
      <c r="F232">
        <f>IF(E232=1,SUM($E$2:E232),"")</f>
        <v>231</v>
      </c>
    </row>
    <row r="233" spans="1:6">
      <c r="A233" t="s">
        <v>5809</v>
      </c>
      <c r="B233" t="s">
        <v>206</v>
      </c>
      <c r="C233" t="s">
        <v>6037</v>
      </c>
      <c r="D233">
        <v>126</v>
      </c>
      <c r="E233">
        <f>IF(AND(A233='Поиск параметров'!$D$4,ISNUMBER(SEARCH('Поиск параметров'!$D$6,B233))),1,0)</f>
        <v>1</v>
      </c>
      <c r="F233">
        <f>IF(E233=1,SUM($E$2:E233),"")</f>
        <v>232</v>
      </c>
    </row>
    <row r="234" spans="1:6">
      <c r="A234" t="s">
        <v>5809</v>
      </c>
      <c r="B234" t="s">
        <v>207</v>
      </c>
      <c r="C234" t="s">
        <v>6038</v>
      </c>
      <c r="D234">
        <v>127</v>
      </c>
      <c r="E234">
        <f>IF(AND(A234='Поиск параметров'!$D$4,ISNUMBER(SEARCH('Поиск параметров'!$D$6,B234))),1,0)</f>
        <v>1</v>
      </c>
      <c r="F234">
        <f>IF(E234=1,SUM($E$2:E234),"")</f>
        <v>233</v>
      </c>
    </row>
    <row r="235" spans="1:6">
      <c r="A235" t="s">
        <v>5809</v>
      </c>
      <c r="B235" t="s">
        <v>208</v>
      </c>
      <c r="C235" t="s">
        <v>6039</v>
      </c>
      <c r="D235">
        <v>0</v>
      </c>
      <c r="E235">
        <f>IF(AND(A235='Поиск параметров'!$D$4,ISNUMBER(SEARCH('Поиск параметров'!$D$6,B235))),1,0)</f>
        <v>1</v>
      </c>
      <c r="F235">
        <f>IF(E235=1,SUM($E$2:E235),"")</f>
        <v>234</v>
      </c>
    </row>
    <row r="236" spans="1:6">
      <c r="A236" t="s">
        <v>5809</v>
      </c>
      <c r="B236" t="s">
        <v>209</v>
      </c>
      <c r="C236" t="s">
        <v>6040</v>
      </c>
      <c r="D236">
        <v>128</v>
      </c>
      <c r="E236">
        <f>IF(AND(A236='Поиск параметров'!$D$4,ISNUMBER(SEARCH('Поиск параметров'!$D$6,B236))),1,0)</f>
        <v>1</v>
      </c>
      <c r="F236">
        <f>IF(E236=1,SUM($E$2:E236),"")</f>
        <v>235</v>
      </c>
    </row>
    <row r="237" spans="1:6">
      <c r="A237" t="s">
        <v>5809</v>
      </c>
      <c r="B237" t="s">
        <v>210</v>
      </c>
      <c r="C237" t="s">
        <v>6041</v>
      </c>
      <c r="D237">
        <v>129</v>
      </c>
      <c r="E237">
        <f>IF(AND(A237='Поиск параметров'!$D$4,ISNUMBER(SEARCH('Поиск параметров'!$D$6,B237))),1,0)</f>
        <v>1</v>
      </c>
      <c r="F237">
        <f>IF(E237=1,SUM($E$2:E237),"")</f>
        <v>236</v>
      </c>
    </row>
    <row r="238" spans="1:6">
      <c r="A238" t="s">
        <v>5809</v>
      </c>
      <c r="B238" t="s">
        <v>211</v>
      </c>
      <c r="C238" t="s">
        <v>6042</v>
      </c>
      <c r="D238">
        <v>130</v>
      </c>
      <c r="E238">
        <f>IF(AND(A238='Поиск параметров'!$D$4,ISNUMBER(SEARCH('Поиск параметров'!$D$6,B238))),1,0)</f>
        <v>1</v>
      </c>
      <c r="F238">
        <f>IF(E238=1,SUM($E$2:E238),"")</f>
        <v>237</v>
      </c>
    </row>
    <row r="239" spans="1:6">
      <c r="A239" t="s">
        <v>5809</v>
      </c>
      <c r="B239" t="s">
        <v>212</v>
      </c>
      <c r="C239" t="s">
        <v>6043</v>
      </c>
      <c r="D239">
        <v>131</v>
      </c>
      <c r="E239">
        <f>IF(AND(A239='Поиск параметров'!$D$4,ISNUMBER(SEARCH('Поиск параметров'!$D$6,B239))),1,0)</f>
        <v>1</v>
      </c>
      <c r="F239">
        <f>IF(E239=1,SUM($E$2:E239),"")</f>
        <v>238</v>
      </c>
    </row>
    <row r="240" spans="1:6">
      <c r="A240" t="s">
        <v>5809</v>
      </c>
      <c r="B240" t="s">
        <v>213</v>
      </c>
      <c r="C240" t="s">
        <v>6044</v>
      </c>
      <c r="D240">
        <v>132</v>
      </c>
      <c r="E240">
        <f>IF(AND(A240='Поиск параметров'!$D$4,ISNUMBER(SEARCH('Поиск параметров'!$D$6,B240))),1,0)</f>
        <v>1</v>
      </c>
      <c r="F240">
        <f>IF(E240=1,SUM($E$2:E240),"")</f>
        <v>239</v>
      </c>
    </row>
    <row r="241" spans="1:6">
      <c r="A241" t="s">
        <v>5809</v>
      </c>
      <c r="B241" t="s">
        <v>214</v>
      </c>
      <c r="C241" t="s">
        <v>6045</v>
      </c>
      <c r="D241">
        <v>133</v>
      </c>
      <c r="E241">
        <f>IF(AND(A241='Поиск параметров'!$D$4,ISNUMBER(SEARCH('Поиск параметров'!$D$6,B241))),1,0)</f>
        <v>1</v>
      </c>
      <c r="F241">
        <f>IF(E241=1,SUM($E$2:E241),"")</f>
        <v>240</v>
      </c>
    </row>
    <row r="242" spans="1:6">
      <c r="A242" t="s">
        <v>5809</v>
      </c>
      <c r="B242" t="s">
        <v>215</v>
      </c>
      <c r="C242" t="s">
        <v>6046</v>
      </c>
      <c r="D242">
        <v>0</v>
      </c>
      <c r="E242">
        <f>IF(AND(A242='Поиск параметров'!$D$4,ISNUMBER(SEARCH('Поиск параметров'!$D$6,B242))),1,0)</f>
        <v>1</v>
      </c>
      <c r="F242">
        <f>IF(E242=1,SUM($E$2:E242),"")</f>
        <v>241</v>
      </c>
    </row>
    <row r="243" spans="1:6">
      <c r="A243" t="s">
        <v>5809</v>
      </c>
      <c r="B243" t="s">
        <v>216</v>
      </c>
      <c r="C243" t="s">
        <v>6047</v>
      </c>
      <c r="D243">
        <v>0</v>
      </c>
      <c r="E243">
        <f>IF(AND(A243='Поиск параметров'!$D$4,ISNUMBER(SEARCH('Поиск параметров'!$D$6,B243))),1,0)</f>
        <v>1</v>
      </c>
      <c r="F243">
        <f>IF(E243=1,SUM($E$2:E243),"")</f>
        <v>242</v>
      </c>
    </row>
    <row r="244" spans="1:6">
      <c r="A244" t="s">
        <v>5809</v>
      </c>
      <c r="B244" t="s">
        <v>217</v>
      </c>
      <c r="C244" t="s">
        <v>6048</v>
      </c>
      <c r="D244">
        <v>0</v>
      </c>
      <c r="E244">
        <f>IF(AND(A244='Поиск параметров'!$D$4,ISNUMBER(SEARCH('Поиск параметров'!$D$6,B244))),1,0)</f>
        <v>1</v>
      </c>
      <c r="F244">
        <f>IF(E244=1,SUM($E$2:E244),"")</f>
        <v>243</v>
      </c>
    </row>
    <row r="245" spans="1:6">
      <c r="A245" t="s">
        <v>5809</v>
      </c>
      <c r="B245" t="s">
        <v>218</v>
      </c>
      <c r="C245" t="s">
        <v>6049</v>
      </c>
      <c r="D245">
        <v>0</v>
      </c>
      <c r="E245">
        <f>IF(AND(A245='Поиск параметров'!$D$4,ISNUMBER(SEARCH('Поиск параметров'!$D$6,B245))),1,0)</f>
        <v>1</v>
      </c>
      <c r="F245">
        <f>IF(E245=1,SUM($E$2:E245),"")</f>
        <v>244</v>
      </c>
    </row>
    <row r="246" spans="1:6">
      <c r="A246" t="s">
        <v>5809</v>
      </c>
      <c r="B246" t="s">
        <v>219</v>
      </c>
      <c r="C246" t="s">
        <v>6050</v>
      </c>
      <c r="D246">
        <v>0</v>
      </c>
      <c r="E246">
        <f>IF(AND(A246='Поиск параметров'!$D$4,ISNUMBER(SEARCH('Поиск параметров'!$D$6,B246))),1,0)</f>
        <v>1</v>
      </c>
      <c r="F246">
        <f>IF(E246=1,SUM($E$2:E246),"")</f>
        <v>245</v>
      </c>
    </row>
    <row r="247" spans="1:6">
      <c r="A247" t="s">
        <v>5809</v>
      </c>
      <c r="B247" t="s">
        <v>220</v>
      </c>
      <c r="C247" t="s">
        <v>210</v>
      </c>
      <c r="D247">
        <v>0</v>
      </c>
      <c r="E247">
        <f>IF(AND(A247='Поиск параметров'!$D$4,ISNUMBER(SEARCH('Поиск параметров'!$D$6,B247))),1,0)</f>
        <v>1</v>
      </c>
      <c r="F247">
        <f>IF(E247=1,SUM($E$2:E247),"")</f>
        <v>246</v>
      </c>
    </row>
    <row r="248" spans="1:6">
      <c r="A248" t="s">
        <v>5809</v>
      </c>
      <c r="B248" t="s">
        <v>221</v>
      </c>
      <c r="C248" t="s">
        <v>6051</v>
      </c>
      <c r="D248">
        <v>0</v>
      </c>
      <c r="E248">
        <f>IF(AND(A248='Поиск параметров'!$D$4,ISNUMBER(SEARCH('Поиск параметров'!$D$6,B248))),1,0)</f>
        <v>1</v>
      </c>
      <c r="F248">
        <f>IF(E248=1,SUM($E$2:E248),"")</f>
        <v>247</v>
      </c>
    </row>
    <row r="249" spans="1:6">
      <c r="A249" t="s">
        <v>5809</v>
      </c>
      <c r="B249" t="s">
        <v>222</v>
      </c>
      <c r="C249" t="s">
        <v>6052</v>
      </c>
      <c r="D249">
        <v>0</v>
      </c>
      <c r="E249">
        <f>IF(AND(A249='Поиск параметров'!$D$4,ISNUMBER(SEARCH('Поиск параметров'!$D$6,B249))),1,0)</f>
        <v>1</v>
      </c>
      <c r="F249">
        <f>IF(E249=1,SUM($E$2:E249),"")</f>
        <v>248</v>
      </c>
    </row>
    <row r="250" spans="1:6">
      <c r="A250" t="s">
        <v>5809</v>
      </c>
      <c r="B250" t="s">
        <v>223</v>
      </c>
      <c r="C250" t="s">
        <v>6053</v>
      </c>
      <c r="D250">
        <v>0</v>
      </c>
      <c r="E250">
        <f>IF(AND(A250='Поиск параметров'!$D$4,ISNUMBER(SEARCH('Поиск параметров'!$D$6,B250))),1,0)</f>
        <v>1</v>
      </c>
      <c r="F250">
        <f>IF(E250=1,SUM($E$2:E250),"")</f>
        <v>249</v>
      </c>
    </row>
    <row r="251" spans="1:6">
      <c r="A251" t="s">
        <v>5809</v>
      </c>
      <c r="B251" t="s">
        <v>224</v>
      </c>
      <c r="C251" t="s">
        <v>6054</v>
      </c>
      <c r="D251">
        <v>134</v>
      </c>
      <c r="E251">
        <f>IF(AND(A251='Поиск параметров'!$D$4,ISNUMBER(SEARCH('Поиск параметров'!$D$6,B251))),1,0)</f>
        <v>1</v>
      </c>
      <c r="F251">
        <f>IF(E251=1,SUM($E$2:E251),"")</f>
        <v>250</v>
      </c>
    </row>
    <row r="252" spans="1:6">
      <c r="A252" t="s">
        <v>5809</v>
      </c>
      <c r="B252" t="s">
        <v>225</v>
      </c>
      <c r="C252" t="s">
        <v>6055</v>
      </c>
      <c r="D252">
        <v>0</v>
      </c>
      <c r="E252">
        <f>IF(AND(A252='Поиск параметров'!$D$4,ISNUMBER(SEARCH('Поиск параметров'!$D$6,B252))),1,0)</f>
        <v>1</v>
      </c>
      <c r="F252">
        <f>IF(E252=1,SUM($E$2:E252),"")</f>
        <v>251</v>
      </c>
    </row>
    <row r="253" spans="1:6">
      <c r="A253" t="s">
        <v>5809</v>
      </c>
      <c r="B253" t="s">
        <v>226</v>
      </c>
      <c r="C253" t="s">
        <v>6056</v>
      </c>
      <c r="D253">
        <v>0</v>
      </c>
      <c r="E253">
        <f>IF(AND(A253='Поиск параметров'!$D$4,ISNUMBER(SEARCH('Поиск параметров'!$D$6,B253))),1,0)</f>
        <v>1</v>
      </c>
      <c r="F253">
        <f>IF(E253=1,SUM($E$2:E253),"")</f>
        <v>252</v>
      </c>
    </row>
    <row r="254" spans="1:6">
      <c r="A254" t="s">
        <v>5809</v>
      </c>
      <c r="B254" t="s">
        <v>227</v>
      </c>
      <c r="C254" t="s">
        <v>6057</v>
      </c>
      <c r="D254">
        <v>0</v>
      </c>
      <c r="E254">
        <f>IF(AND(A254='Поиск параметров'!$D$4,ISNUMBER(SEARCH('Поиск параметров'!$D$6,B254))),1,0)</f>
        <v>1</v>
      </c>
      <c r="F254">
        <f>IF(E254=1,SUM($E$2:E254),"")</f>
        <v>253</v>
      </c>
    </row>
    <row r="255" spans="1:6">
      <c r="A255" t="s">
        <v>5809</v>
      </c>
      <c r="B255" t="s">
        <v>228</v>
      </c>
      <c r="C255" t="s">
        <v>6058</v>
      </c>
      <c r="D255">
        <v>0</v>
      </c>
      <c r="E255">
        <f>IF(AND(A255='Поиск параметров'!$D$4,ISNUMBER(SEARCH('Поиск параметров'!$D$6,B255))),1,0)</f>
        <v>1</v>
      </c>
      <c r="F255">
        <f>IF(E255=1,SUM($E$2:E255),"")</f>
        <v>254</v>
      </c>
    </row>
    <row r="256" spans="1:6">
      <c r="A256" t="s">
        <v>5809</v>
      </c>
      <c r="B256" t="s">
        <v>229</v>
      </c>
      <c r="C256" t="s">
        <v>6059</v>
      </c>
      <c r="D256">
        <v>0</v>
      </c>
      <c r="E256">
        <f>IF(AND(A256='Поиск параметров'!$D$4,ISNUMBER(SEARCH('Поиск параметров'!$D$6,B256))),1,0)</f>
        <v>1</v>
      </c>
      <c r="F256">
        <f>IF(E256=1,SUM($E$2:E256),"")</f>
        <v>255</v>
      </c>
    </row>
    <row r="257" spans="1:6">
      <c r="A257" t="s">
        <v>5809</v>
      </c>
      <c r="B257" t="s">
        <v>230</v>
      </c>
      <c r="C257" t="s">
        <v>6060</v>
      </c>
      <c r="D257">
        <v>135</v>
      </c>
      <c r="E257">
        <f>IF(AND(A257='Поиск параметров'!$D$4,ISNUMBER(SEARCH('Поиск параметров'!$D$6,B257))),1,0)</f>
        <v>1</v>
      </c>
      <c r="F257">
        <f>IF(E257=1,SUM($E$2:E257),"")</f>
        <v>256</v>
      </c>
    </row>
    <row r="258" spans="1:6">
      <c r="A258" t="s">
        <v>5809</v>
      </c>
      <c r="B258" t="s">
        <v>231</v>
      </c>
      <c r="C258" t="s">
        <v>6061</v>
      </c>
      <c r="D258">
        <v>136</v>
      </c>
      <c r="E258">
        <f>IF(AND(A258='Поиск параметров'!$D$4,ISNUMBER(SEARCH('Поиск параметров'!$D$6,B258))),1,0)</f>
        <v>1</v>
      </c>
      <c r="F258">
        <f>IF(E258=1,SUM($E$2:E258),"")</f>
        <v>257</v>
      </c>
    </row>
    <row r="259" spans="1:6">
      <c r="A259" t="s">
        <v>5809</v>
      </c>
      <c r="B259" t="s">
        <v>232</v>
      </c>
      <c r="C259" t="s">
        <v>6062</v>
      </c>
      <c r="D259">
        <v>137</v>
      </c>
      <c r="E259">
        <f>IF(AND(A259='Поиск параметров'!$D$4,ISNUMBER(SEARCH('Поиск параметров'!$D$6,B259))),1,0)</f>
        <v>1</v>
      </c>
      <c r="F259">
        <f>IF(E259=1,SUM($E$2:E259),"")</f>
        <v>258</v>
      </c>
    </row>
    <row r="260" spans="1:6">
      <c r="A260" t="s">
        <v>5809</v>
      </c>
      <c r="B260" t="s">
        <v>233</v>
      </c>
      <c r="C260" t="s">
        <v>6063</v>
      </c>
      <c r="D260">
        <v>138</v>
      </c>
      <c r="E260">
        <f>IF(AND(A260='Поиск параметров'!$D$4,ISNUMBER(SEARCH('Поиск параметров'!$D$6,B260))),1,0)</f>
        <v>1</v>
      </c>
      <c r="F260">
        <f>IF(E260=1,SUM($E$2:E260),"")</f>
        <v>259</v>
      </c>
    </row>
    <row r="261" spans="1:6">
      <c r="A261" t="s">
        <v>5809</v>
      </c>
      <c r="B261" t="s">
        <v>234</v>
      </c>
      <c r="C261" t="s">
        <v>6064</v>
      </c>
      <c r="D261">
        <v>0</v>
      </c>
      <c r="E261">
        <f>IF(AND(A261='Поиск параметров'!$D$4,ISNUMBER(SEARCH('Поиск параметров'!$D$6,B261))),1,0)</f>
        <v>1</v>
      </c>
      <c r="F261">
        <f>IF(E261=1,SUM($E$2:E261),"")</f>
        <v>260</v>
      </c>
    </row>
    <row r="262" spans="1:6">
      <c r="A262" t="s">
        <v>5809</v>
      </c>
      <c r="B262" t="s">
        <v>235</v>
      </c>
      <c r="C262" t="s">
        <v>6065</v>
      </c>
      <c r="D262">
        <v>0</v>
      </c>
      <c r="E262">
        <f>IF(AND(A262='Поиск параметров'!$D$4,ISNUMBER(SEARCH('Поиск параметров'!$D$6,B262))),1,0)</f>
        <v>1</v>
      </c>
      <c r="F262">
        <f>IF(E262=1,SUM($E$2:E262),"")</f>
        <v>261</v>
      </c>
    </row>
    <row r="263" spans="1:6">
      <c r="A263" t="s">
        <v>5809</v>
      </c>
      <c r="B263" t="s">
        <v>236</v>
      </c>
      <c r="C263" t="s">
        <v>6066</v>
      </c>
      <c r="D263">
        <v>0</v>
      </c>
      <c r="E263">
        <f>IF(AND(A263='Поиск параметров'!$D$4,ISNUMBER(SEARCH('Поиск параметров'!$D$6,B263))),1,0)</f>
        <v>1</v>
      </c>
      <c r="F263">
        <f>IF(E263=1,SUM($E$2:E263),"")</f>
        <v>262</v>
      </c>
    </row>
    <row r="264" spans="1:6">
      <c r="A264" t="s">
        <v>5809</v>
      </c>
      <c r="B264" t="s">
        <v>237</v>
      </c>
      <c r="C264" t="s">
        <v>6067</v>
      </c>
      <c r="D264">
        <v>0</v>
      </c>
      <c r="E264">
        <f>IF(AND(A264='Поиск параметров'!$D$4,ISNUMBER(SEARCH('Поиск параметров'!$D$6,B264))),1,0)</f>
        <v>1</v>
      </c>
      <c r="F264">
        <f>IF(E264=1,SUM($E$2:E264),"")</f>
        <v>263</v>
      </c>
    </row>
    <row r="265" spans="1:6">
      <c r="A265" t="s">
        <v>5809</v>
      </c>
      <c r="B265" t="s">
        <v>238</v>
      </c>
      <c r="C265" t="s">
        <v>6068</v>
      </c>
      <c r="D265">
        <v>139</v>
      </c>
      <c r="E265">
        <f>IF(AND(A265='Поиск параметров'!$D$4,ISNUMBER(SEARCH('Поиск параметров'!$D$6,B265))),1,0)</f>
        <v>1</v>
      </c>
      <c r="F265">
        <f>IF(E265=1,SUM($E$2:E265),"")</f>
        <v>264</v>
      </c>
    </row>
    <row r="266" spans="1:6">
      <c r="A266" t="s">
        <v>5809</v>
      </c>
      <c r="B266" t="s">
        <v>239</v>
      </c>
      <c r="C266" t="s">
        <v>6069</v>
      </c>
      <c r="D266">
        <v>140</v>
      </c>
      <c r="E266">
        <f>IF(AND(A266='Поиск параметров'!$D$4,ISNUMBER(SEARCH('Поиск параметров'!$D$6,B266))),1,0)</f>
        <v>1</v>
      </c>
      <c r="F266">
        <f>IF(E266=1,SUM($E$2:E266),"")</f>
        <v>265</v>
      </c>
    </row>
    <row r="267" spans="1:6">
      <c r="A267" t="s">
        <v>5809</v>
      </c>
      <c r="B267" t="s">
        <v>240</v>
      </c>
      <c r="C267" t="s">
        <v>6070</v>
      </c>
      <c r="D267">
        <v>141</v>
      </c>
      <c r="E267">
        <f>IF(AND(A267='Поиск параметров'!$D$4,ISNUMBER(SEARCH('Поиск параметров'!$D$6,B267))),1,0)</f>
        <v>1</v>
      </c>
      <c r="F267">
        <f>IF(E267=1,SUM($E$2:E267),"")</f>
        <v>266</v>
      </c>
    </row>
    <row r="268" spans="1:6">
      <c r="A268" t="s">
        <v>5809</v>
      </c>
      <c r="B268" t="s">
        <v>241</v>
      </c>
      <c r="C268" t="s">
        <v>6071</v>
      </c>
      <c r="D268">
        <v>142</v>
      </c>
      <c r="E268">
        <f>IF(AND(A268='Поиск параметров'!$D$4,ISNUMBER(SEARCH('Поиск параметров'!$D$6,B268))),1,0)</f>
        <v>1</v>
      </c>
      <c r="F268">
        <f>IF(E268=1,SUM($E$2:E268),"")</f>
        <v>267</v>
      </c>
    </row>
    <row r="269" spans="1:6">
      <c r="A269" t="s">
        <v>5809</v>
      </c>
      <c r="B269" t="s">
        <v>242</v>
      </c>
      <c r="C269" t="s">
        <v>6072</v>
      </c>
      <c r="D269">
        <v>143</v>
      </c>
      <c r="E269">
        <f>IF(AND(A269='Поиск параметров'!$D$4,ISNUMBER(SEARCH('Поиск параметров'!$D$6,B269))),1,0)</f>
        <v>1</v>
      </c>
      <c r="F269">
        <f>IF(E269=1,SUM($E$2:E269),"")</f>
        <v>268</v>
      </c>
    </row>
    <row r="270" spans="1:6">
      <c r="A270" t="s">
        <v>5809</v>
      </c>
      <c r="B270" t="s">
        <v>243</v>
      </c>
      <c r="C270" t="s">
        <v>6073</v>
      </c>
      <c r="D270">
        <v>0</v>
      </c>
      <c r="E270">
        <f>IF(AND(A270='Поиск параметров'!$D$4,ISNUMBER(SEARCH('Поиск параметров'!$D$6,B270))),1,0)</f>
        <v>1</v>
      </c>
      <c r="F270">
        <f>IF(E270=1,SUM($E$2:E270),"")</f>
        <v>269</v>
      </c>
    </row>
    <row r="271" spans="1:6">
      <c r="A271" t="s">
        <v>5809</v>
      </c>
      <c r="B271" t="s">
        <v>244</v>
      </c>
      <c r="C271" t="s">
        <v>6074</v>
      </c>
      <c r="D271">
        <v>144</v>
      </c>
      <c r="E271">
        <f>IF(AND(A271='Поиск параметров'!$D$4,ISNUMBER(SEARCH('Поиск параметров'!$D$6,B271))),1,0)</f>
        <v>1</v>
      </c>
      <c r="F271">
        <f>IF(E271=1,SUM($E$2:E271),"")</f>
        <v>270</v>
      </c>
    </row>
    <row r="272" spans="1:6">
      <c r="A272" t="s">
        <v>5809</v>
      </c>
      <c r="B272" t="s">
        <v>245</v>
      </c>
      <c r="C272" t="s">
        <v>6075</v>
      </c>
      <c r="D272">
        <v>145</v>
      </c>
      <c r="E272">
        <f>IF(AND(A272='Поиск параметров'!$D$4,ISNUMBER(SEARCH('Поиск параметров'!$D$6,B272))),1,0)</f>
        <v>1</v>
      </c>
      <c r="F272">
        <f>IF(E272=1,SUM($E$2:E272),"")</f>
        <v>271</v>
      </c>
    </row>
    <row r="273" spans="1:6">
      <c r="A273" t="s">
        <v>5809</v>
      </c>
      <c r="B273" t="s">
        <v>246</v>
      </c>
      <c r="C273" t="s">
        <v>6076</v>
      </c>
      <c r="D273">
        <v>146</v>
      </c>
      <c r="E273">
        <f>IF(AND(A273='Поиск параметров'!$D$4,ISNUMBER(SEARCH('Поиск параметров'!$D$6,B273))),1,0)</f>
        <v>1</v>
      </c>
      <c r="F273">
        <f>IF(E273=1,SUM($E$2:E273),"")</f>
        <v>272</v>
      </c>
    </row>
    <row r="274" spans="1:6">
      <c r="A274" t="s">
        <v>5809</v>
      </c>
      <c r="B274" t="s">
        <v>247</v>
      </c>
      <c r="C274" t="s">
        <v>6077</v>
      </c>
      <c r="D274">
        <v>147</v>
      </c>
      <c r="E274">
        <f>IF(AND(A274='Поиск параметров'!$D$4,ISNUMBER(SEARCH('Поиск параметров'!$D$6,B274))),1,0)</f>
        <v>1</v>
      </c>
      <c r="F274">
        <f>IF(E274=1,SUM($E$2:E274),"")</f>
        <v>273</v>
      </c>
    </row>
    <row r="275" spans="1:6">
      <c r="A275" t="s">
        <v>5809</v>
      </c>
      <c r="B275" t="s">
        <v>248</v>
      </c>
      <c r="C275" t="s">
        <v>6078</v>
      </c>
      <c r="D275">
        <v>148</v>
      </c>
      <c r="E275">
        <f>IF(AND(A275='Поиск параметров'!$D$4,ISNUMBER(SEARCH('Поиск параметров'!$D$6,B275))),1,0)</f>
        <v>1</v>
      </c>
      <c r="F275">
        <f>IF(E275=1,SUM($E$2:E275),"")</f>
        <v>274</v>
      </c>
    </row>
    <row r="276" spans="1:6">
      <c r="A276" t="s">
        <v>5809</v>
      </c>
      <c r="B276" t="s">
        <v>249</v>
      </c>
      <c r="C276" t="s">
        <v>6079</v>
      </c>
      <c r="D276">
        <v>149</v>
      </c>
      <c r="E276">
        <f>IF(AND(A276='Поиск параметров'!$D$4,ISNUMBER(SEARCH('Поиск параметров'!$D$6,B276))),1,0)</f>
        <v>1</v>
      </c>
      <c r="F276">
        <f>IF(E276=1,SUM($E$2:E276),"")</f>
        <v>275</v>
      </c>
    </row>
    <row r="277" spans="1:6">
      <c r="A277" t="s">
        <v>5809</v>
      </c>
      <c r="B277" t="s">
        <v>250</v>
      </c>
      <c r="C277" t="s">
        <v>6080</v>
      </c>
      <c r="D277">
        <v>150</v>
      </c>
      <c r="E277">
        <f>IF(AND(A277='Поиск параметров'!$D$4,ISNUMBER(SEARCH('Поиск параметров'!$D$6,B277))),1,0)</f>
        <v>1</v>
      </c>
      <c r="F277">
        <f>IF(E277=1,SUM($E$2:E277),"")</f>
        <v>276</v>
      </c>
    </row>
    <row r="278" spans="1:6">
      <c r="A278" t="s">
        <v>5809</v>
      </c>
      <c r="B278" t="s">
        <v>251</v>
      </c>
      <c r="C278" t="s">
        <v>6081</v>
      </c>
      <c r="D278">
        <v>151</v>
      </c>
      <c r="E278">
        <f>IF(AND(A278='Поиск параметров'!$D$4,ISNUMBER(SEARCH('Поиск параметров'!$D$6,B278))),1,0)</f>
        <v>1</v>
      </c>
      <c r="F278">
        <f>IF(E278=1,SUM($E$2:E278),"")</f>
        <v>277</v>
      </c>
    </row>
    <row r="279" spans="1:6">
      <c r="A279" t="s">
        <v>5809</v>
      </c>
      <c r="B279" t="s">
        <v>252</v>
      </c>
      <c r="C279" t="s">
        <v>6082</v>
      </c>
      <c r="D279">
        <v>152</v>
      </c>
      <c r="E279">
        <f>IF(AND(A279='Поиск параметров'!$D$4,ISNUMBER(SEARCH('Поиск параметров'!$D$6,B279))),1,0)</f>
        <v>1</v>
      </c>
      <c r="F279">
        <f>IF(E279=1,SUM($E$2:E279),"")</f>
        <v>278</v>
      </c>
    </row>
    <row r="280" spans="1:6">
      <c r="A280" t="s">
        <v>5809</v>
      </c>
      <c r="B280" t="s">
        <v>253</v>
      </c>
      <c r="C280" t="s">
        <v>6083</v>
      </c>
      <c r="D280">
        <v>153</v>
      </c>
      <c r="E280">
        <f>IF(AND(A280='Поиск параметров'!$D$4,ISNUMBER(SEARCH('Поиск параметров'!$D$6,B280))),1,0)</f>
        <v>1</v>
      </c>
      <c r="F280">
        <f>IF(E280=1,SUM($E$2:E280),"")</f>
        <v>279</v>
      </c>
    </row>
    <row r="281" spans="1:6">
      <c r="A281" t="s">
        <v>5809</v>
      </c>
      <c r="B281" t="s">
        <v>254</v>
      </c>
      <c r="C281" t="s">
        <v>6084</v>
      </c>
      <c r="D281">
        <v>154</v>
      </c>
      <c r="E281">
        <f>IF(AND(A281='Поиск параметров'!$D$4,ISNUMBER(SEARCH('Поиск параметров'!$D$6,B281))),1,0)</f>
        <v>1</v>
      </c>
      <c r="F281">
        <f>IF(E281=1,SUM($E$2:E281),"")</f>
        <v>280</v>
      </c>
    </row>
    <row r="282" spans="1:6">
      <c r="A282" t="s">
        <v>5809</v>
      </c>
      <c r="B282" t="s">
        <v>255</v>
      </c>
      <c r="C282" t="s">
        <v>6085</v>
      </c>
      <c r="D282">
        <v>155</v>
      </c>
      <c r="E282">
        <f>IF(AND(A282='Поиск параметров'!$D$4,ISNUMBER(SEARCH('Поиск параметров'!$D$6,B282))),1,0)</f>
        <v>1</v>
      </c>
      <c r="F282">
        <f>IF(E282=1,SUM($E$2:E282),"")</f>
        <v>281</v>
      </c>
    </row>
    <row r="283" spans="1:6">
      <c r="A283" t="s">
        <v>5809</v>
      </c>
      <c r="B283" t="s">
        <v>256</v>
      </c>
      <c r="C283" t="s">
        <v>6086</v>
      </c>
      <c r="D283">
        <v>156</v>
      </c>
      <c r="E283">
        <f>IF(AND(A283='Поиск параметров'!$D$4,ISNUMBER(SEARCH('Поиск параметров'!$D$6,B283))),1,0)</f>
        <v>1</v>
      </c>
      <c r="F283">
        <f>IF(E283=1,SUM($E$2:E283),"")</f>
        <v>282</v>
      </c>
    </row>
    <row r="284" spans="1:6">
      <c r="A284" t="s">
        <v>5809</v>
      </c>
      <c r="B284" t="s">
        <v>257</v>
      </c>
      <c r="C284" t="s">
        <v>6087</v>
      </c>
      <c r="D284">
        <v>157</v>
      </c>
      <c r="E284">
        <f>IF(AND(A284='Поиск параметров'!$D$4,ISNUMBER(SEARCH('Поиск параметров'!$D$6,B284))),1,0)</f>
        <v>1</v>
      </c>
      <c r="F284">
        <f>IF(E284=1,SUM($E$2:E284),"")</f>
        <v>283</v>
      </c>
    </row>
    <row r="285" spans="1:6">
      <c r="A285" t="s">
        <v>5809</v>
      </c>
      <c r="B285" t="s">
        <v>258</v>
      </c>
      <c r="C285" t="s">
        <v>6088</v>
      </c>
      <c r="D285">
        <v>158</v>
      </c>
      <c r="E285">
        <f>IF(AND(A285='Поиск параметров'!$D$4,ISNUMBER(SEARCH('Поиск параметров'!$D$6,B285))),1,0)</f>
        <v>1</v>
      </c>
      <c r="F285">
        <f>IF(E285=1,SUM($E$2:E285),"")</f>
        <v>284</v>
      </c>
    </row>
    <row r="286" spans="1:6">
      <c r="A286" t="s">
        <v>5809</v>
      </c>
      <c r="B286" t="s">
        <v>259</v>
      </c>
      <c r="C286" t="s">
        <v>6089</v>
      </c>
      <c r="D286">
        <v>159</v>
      </c>
      <c r="E286">
        <f>IF(AND(A286='Поиск параметров'!$D$4,ISNUMBER(SEARCH('Поиск параметров'!$D$6,B286))),1,0)</f>
        <v>1</v>
      </c>
      <c r="F286">
        <f>IF(E286=1,SUM($E$2:E286),"")</f>
        <v>285</v>
      </c>
    </row>
    <row r="287" spans="1:6">
      <c r="A287" t="s">
        <v>5809</v>
      </c>
      <c r="B287" t="s">
        <v>260</v>
      </c>
      <c r="C287" t="s">
        <v>6090</v>
      </c>
      <c r="D287">
        <v>160</v>
      </c>
      <c r="E287">
        <f>IF(AND(A287='Поиск параметров'!$D$4,ISNUMBER(SEARCH('Поиск параметров'!$D$6,B287))),1,0)</f>
        <v>1</v>
      </c>
      <c r="F287">
        <f>IF(E287=1,SUM($E$2:E287),"")</f>
        <v>286</v>
      </c>
    </row>
    <row r="288" spans="1:6">
      <c r="A288" t="s">
        <v>5809</v>
      </c>
      <c r="B288" t="s">
        <v>261</v>
      </c>
      <c r="C288" t="s">
        <v>6091</v>
      </c>
      <c r="D288">
        <v>161</v>
      </c>
      <c r="E288">
        <f>IF(AND(A288='Поиск параметров'!$D$4,ISNUMBER(SEARCH('Поиск параметров'!$D$6,B288))),1,0)</f>
        <v>1</v>
      </c>
      <c r="F288">
        <f>IF(E288=1,SUM($E$2:E288),"")</f>
        <v>287</v>
      </c>
    </row>
    <row r="289" spans="1:6">
      <c r="A289" t="s">
        <v>5809</v>
      </c>
      <c r="B289" t="s">
        <v>262</v>
      </c>
      <c r="C289" t="s">
        <v>6092</v>
      </c>
      <c r="D289">
        <v>162</v>
      </c>
      <c r="E289">
        <f>IF(AND(A289='Поиск параметров'!$D$4,ISNUMBER(SEARCH('Поиск параметров'!$D$6,B289))),1,0)</f>
        <v>1</v>
      </c>
      <c r="F289">
        <f>IF(E289=1,SUM($E$2:E289),"")</f>
        <v>288</v>
      </c>
    </row>
    <row r="290" spans="1:6">
      <c r="A290" t="s">
        <v>5809</v>
      </c>
      <c r="B290" t="s">
        <v>263</v>
      </c>
      <c r="C290" t="s">
        <v>6093</v>
      </c>
      <c r="D290">
        <v>163</v>
      </c>
      <c r="E290">
        <f>IF(AND(A290='Поиск параметров'!$D$4,ISNUMBER(SEARCH('Поиск параметров'!$D$6,B290))),1,0)</f>
        <v>1</v>
      </c>
      <c r="F290">
        <f>IF(E290=1,SUM($E$2:E290),"")</f>
        <v>289</v>
      </c>
    </row>
    <row r="291" spans="1:6">
      <c r="A291" t="s">
        <v>5809</v>
      </c>
      <c r="B291" t="s">
        <v>264</v>
      </c>
      <c r="C291" t="s">
        <v>6094</v>
      </c>
      <c r="D291">
        <v>164</v>
      </c>
      <c r="E291">
        <f>IF(AND(A291='Поиск параметров'!$D$4,ISNUMBER(SEARCH('Поиск параметров'!$D$6,B291))),1,0)</f>
        <v>1</v>
      </c>
      <c r="F291">
        <f>IF(E291=1,SUM($E$2:E291),"")</f>
        <v>290</v>
      </c>
    </row>
    <row r="292" spans="1:6">
      <c r="A292" t="s">
        <v>5809</v>
      </c>
      <c r="B292" t="s">
        <v>265</v>
      </c>
      <c r="C292" t="s">
        <v>6095</v>
      </c>
      <c r="D292">
        <v>165</v>
      </c>
      <c r="E292">
        <f>IF(AND(A292='Поиск параметров'!$D$4,ISNUMBER(SEARCH('Поиск параметров'!$D$6,B292))),1,0)</f>
        <v>1</v>
      </c>
      <c r="F292">
        <f>IF(E292=1,SUM($E$2:E292),"")</f>
        <v>291</v>
      </c>
    </row>
    <row r="293" spans="1:6">
      <c r="A293" t="s">
        <v>5809</v>
      </c>
      <c r="B293" t="s">
        <v>266</v>
      </c>
      <c r="C293" t="s">
        <v>6096</v>
      </c>
      <c r="D293">
        <v>166</v>
      </c>
      <c r="E293">
        <f>IF(AND(A293='Поиск параметров'!$D$4,ISNUMBER(SEARCH('Поиск параметров'!$D$6,B293))),1,0)</f>
        <v>1</v>
      </c>
      <c r="F293">
        <f>IF(E293=1,SUM($E$2:E293),"")</f>
        <v>292</v>
      </c>
    </row>
    <row r="294" spans="1:6">
      <c r="A294" t="s">
        <v>5809</v>
      </c>
      <c r="B294" t="s">
        <v>267</v>
      </c>
      <c r="C294" t="s">
        <v>6097</v>
      </c>
      <c r="D294">
        <v>167</v>
      </c>
      <c r="E294">
        <f>IF(AND(A294='Поиск параметров'!$D$4,ISNUMBER(SEARCH('Поиск параметров'!$D$6,B294))),1,0)</f>
        <v>1</v>
      </c>
      <c r="F294">
        <f>IF(E294=1,SUM($E$2:E294),"")</f>
        <v>293</v>
      </c>
    </row>
    <row r="295" spans="1:6">
      <c r="A295" t="s">
        <v>5809</v>
      </c>
      <c r="B295" t="s">
        <v>268</v>
      </c>
      <c r="C295" t="s">
        <v>6098</v>
      </c>
      <c r="D295">
        <v>168</v>
      </c>
      <c r="E295">
        <f>IF(AND(A295='Поиск параметров'!$D$4,ISNUMBER(SEARCH('Поиск параметров'!$D$6,B295))),1,0)</f>
        <v>1</v>
      </c>
      <c r="F295">
        <f>IF(E295=1,SUM($E$2:E295),"")</f>
        <v>294</v>
      </c>
    </row>
    <row r="296" spans="1:6">
      <c r="A296" t="s">
        <v>5809</v>
      </c>
      <c r="B296" t="s">
        <v>269</v>
      </c>
      <c r="C296" t="s">
        <v>6099</v>
      </c>
      <c r="D296">
        <v>169</v>
      </c>
      <c r="E296">
        <f>IF(AND(A296='Поиск параметров'!$D$4,ISNUMBER(SEARCH('Поиск параметров'!$D$6,B296))),1,0)</f>
        <v>1</v>
      </c>
      <c r="F296">
        <f>IF(E296=1,SUM($E$2:E296),"")</f>
        <v>295</v>
      </c>
    </row>
    <row r="297" spans="1:6">
      <c r="A297" t="s">
        <v>5809</v>
      </c>
      <c r="B297" t="s">
        <v>270</v>
      </c>
      <c r="C297" t="s">
        <v>6100</v>
      </c>
      <c r="D297">
        <v>170</v>
      </c>
      <c r="E297">
        <f>IF(AND(A297='Поиск параметров'!$D$4,ISNUMBER(SEARCH('Поиск параметров'!$D$6,B297))),1,0)</f>
        <v>1</v>
      </c>
      <c r="F297">
        <f>IF(E297=1,SUM($E$2:E297),"")</f>
        <v>296</v>
      </c>
    </row>
    <row r="298" spans="1:6">
      <c r="A298" t="s">
        <v>5809</v>
      </c>
      <c r="B298" t="s">
        <v>271</v>
      </c>
      <c r="C298" t="s">
        <v>6101</v>
      </c>
      <c r="D298">
        <v>171</v>
      </c>
      <c r="E298">
        <f>IF(AND(A298='Поиск параметров'!$D$4,ISNUMBER(SEARCH('Поиск параметров'!$D$6,B298))),1,0)</f>
        <v>1</v>
      </c>
      <c r="F298">
        <f>IF(E298=1,SUM($E$2:E298),"")</f>
        <v>297</v>
      </c>
    </row>
    <row r="299" spans="1:6">
      <c r="A299" t="s">
        <v>5809</v>
      </c>
      <c r="B299" t="s">
        <v>272</v>
      </c>
      <c r="C299" t="s">
        <v>6102</v>
      </c>
      <c r="D299">
        <v>172</v>
      </c>
      <c r="E299">
        <f>IF(AND(A299='Поиск параметров'!$D$4,ISNUMBER(SEARCH('Поиск параметров'!$D$6,B299))),1,0)</f>
        <v>1</v>
      </c>
      <c r="F299">
        <f>IF(E299=1,SUM($E$2:E299),"")</f>
        <v>298</v>
      </c>
    </row>
    <row r="300" spans="1:6">
      <c r="A300" t="s">
        <v>5809</v>
      </c>
      <c r="B300" t="s">
        <v>273</v>
      </c>
      <c r="C300" t="s">
        <v>6103</v>
      </c>
      <c r="D300">
        <v>173</v>
      </c>
      <c r="E300">
        <f>IF(AND(A300='Поиск параметров'!$D$4,ISNUMBER(SEARCH('Поиск параметров'!$D$6,B300))),1,0)</f>
        <v>1</v>
      </c>
      <c r="F300">
        <f>IF(E300=1,SUM($E$2:E300),"")</f>
        <v>299</v>
      </c>
    </row>
    <row r="301" spans="1:6">
      <c r="A301" t="s">
        <v>5809</v>
      </c>
      <c r="B301" t="s">
        <v>274</v>
      </c>
      <c r="C301" t="s">
        <v>6104</v>
      </c>
      <c r="D301">
        <v>174</v>
      </c>
      <c r="E301">
        <f>IF(AND(A301='Поиск параметров'!$D$4,ISNUMBER(SEARCH('Поиск параметров'!$D$6,B301))),1,0)</f>
        <v>1</v>
      </c>
      <c r="F301">
        <f>IF(E301=1,SUM($E$2:E301),"")</f>
        <v>300</v>
      </c>
    </row>
    <row r="302" spans="1:6">
      <c r="A302" t="s">
        <v>5809</v>
      </c>
      <c r="B302" t="s">
        <v>275</v>
      </c>
      <c r="C302" t="s">
        <v>6105</v>
      </c>
      <c r="D302">
        <v>0</v>
      </c>
      <c r="E302">
        <f>IF(AND(A302='Поиск параметров'!$D$4,ISNUMBER(SEARCH('Поиск параметров'!$D$6,B302))),1,0)</f>
        <v>1</v>
      </c>
      <c r="F302">
        <f>IF(E302=1,SUM($E$2:E302),"")</f>
        <v>301</v>
      </c>
    </row>
    <row r="303" spans="1:6">
      <c r="A303" t="s">
        <v>5809</v>
      </c>
      <c r="B303" t="s">
        <v>276</v>
      </c>
      <c r="C303" t="s">
        <v>6106</v>
      </c>
      <c r="D303">
        <v>0</v>
      </c>
      <c r="E303">
        <f>IF(AND(A303='Поиск параметров'!$D$4,ISNUMBER(SEARCH('Поиск параметров'!$D$6,B303))),1,0)</f>
        <v>1</v>
      </c>
      <c r="F303">
        <f>IF(E303=1,SUM($E$2:E303),"")</f>
        <v>302</v>
      </c>
    </row>
    <row r="304" spans="1:6">
      <c r="A304" t="s">
        <v>5809</v>
      </c>
      <c r="B304" t="s">
        <v>277</v>
      </c>
      <c r="C304" t="s">
        <v>6107</v>
      </c>
      <c r="D304">
        <v>0</v>
      </c>
      <c r="E304">
        <f>IF(AND(A304='Поиск параметров'!$D$4,ISNUMBER(SEARCH('Поиск параметров'!$D$6,B304))),1,0)</f>
        <v>1</v>
      </c>
      <c r="F304">
        <f>IF(E304=1,SUM($E$2:E304),"")</f>
        <v>303</v>
      </c>
    </row>
    <row r="305" spans="1:6">
      <c r="A305" t="s">
        <v>5809</v>
      </c>
      <c r="B305" t="s">
        <v>278</v>
      </c>
      <c r="C305" t="s">
        <v>6108</v>
      </c>
      <c r="D305">
        <v>175</v>
      </c>
      <c r="E305">
        <f>IF(AND(A305='Поиск параметров'!$D$4,ISNUMBER(SEARCH('Поиск параметров'!$D$6,B305))),1,0)</f>
        <v>1</v>
      </c>
      <c r="F305">
        <f>IF(E305=1,SUM($E$2:E305),"")</f>
        <v>304</v>
      </c>
    </row>
    <row r="306" spans="1:6">
      <c r="A306" t="s">
        <v>5809</v>
      </c>
      <c r="B306" t="s">
        <v>279</v>
      </c>
      <c r="C306" t="s">
        <v>6109</v>
      </c>
      <c r="D306">
        <v>176</v>
      </c>
      <c r="E306">
        <f>IF(AND(A306='Поиск параметров'!$D$4,ISNUMBER(SEARCH('Поиск параметров'!$D$6,B306))),1,0)</f>
        <v>1</v>
      </c>
      <c r="F306">
        <f>IF(E306=1,SUM($E$2:E306),"")</f>
        <v>305</v>
      </c>
    </row>
    <row r="307" spans="1:6">
      <c r="A307" t="s">
        <v>5809</v>
      </c>
      <c r="B307" t="s">
        <v>280</v>
      </c>
      <c r="C307" t="s">
        <v>6110</v>
      </c>
      <c r="D307">
        <v>177</v>
      </c>
      <c r="E307">
        <f>IF(AND(A307='Поиск параметров'!$D$4,ISNUMBER(SEARCH('Поиск параметров'!$D$6,B307))),1,0)</f>
        <v>1</v>
      </c>
      <c r="F307">
        <f>IF(E307=1,SUM($E$2:E307),"")</f>
        <v>306</v>
      </c>
    </row>
    <row r="308" spans="1:6">
      <c r="A308" t="s">
        <v>5809</v>
      </c>
      <c r="B308" t="s">
        <v>281</v>
      </c>
      <c r="C308" t="s">
        <v>6111</v>
      </c>
      <c r="D308">
        <v>0</v>
      </c>
      <c r="E308">
        <f>IF(AND(A308='Поиск параметров'!$D$4,ISNUMBER(SEARCH('Поиск параметров'!$D$6,B308))),1,0)</f>
        <v>1</v>
      </c>
      <c r="F308">
        <f>IF(E308=1,SUM($E$2:E308),"")</f>
        <v>307</v>
      </c>
    </row>
    <row r="309" spans="1:6">
      <c r="A309" t="s">
        <v>5809</v>
      </c>
      <c r="B309" t="s">
        <v>282</v>
      </c>
      <c r="C309" t="s">
        <v>6112</v>
      </c>
      <c r="D309">
        <v>178</v>
      </c>
      <c r="E309">
        <f>IF(AND(A309='Поиск параметров'!$D$4,ISNUMBER(SEARCH('Поиск параметров'!$D$6,B309))),1,0)</f>
        <v>1</v>
      </c>
      <c r="F309">
        <f>IF(E309=1,SUM($E$2:E309),"")</f>
        <v>308</v>
      </c>
    </row>
    <row r="310" spans="1:6">
      <c r="A310" t="s">
        <v>5809</v>
      </c>
      <c r="B310" t="s">
        <v>283</v>
      </c>
      <c r="C310" t="s">
        <v>6113</v>
      </c>
      <c r="D310">
        <v>179</v>
      </c>
      <c r="E310">
        <f>IF(AND(A310='Поиск параметров'!$D$4,ISNUMBER(SEARCH('Поиск параметров'!$D$6,B310))),1,0)</f>
        <v>1</v>
      </c>
      <c r="F310">
        <f>IF(E310=1,SUM($E$2:E310),"")</f>
        <v>309</v>
      </c>
    </row>
    <row r="311" spans="1:6">
      <c r="A311" t="s">
        <v>5809</v>
      </c>
      <c r="B311" t="s">
        <v>284</v>
      </c>
      <c r="C311" t="s">
        <v>6114</v>
      </c>
      <c r="D311">
        <v>180</v>
      </c>
      <c r="E311">
        <f>IF(AND(A311='Поиск параметров'!$D$4,ISNUMBER(SEARCH('Поиск параметров'!$D$6,B311))),1,0)</f>
        <v>1</v>
      </c>
      <c r="F311">
        <f>IF(E311=1,SUM($E$2:E311),"")</f>
        <v>310</v>
      </c>
    </row>
    <row r="312" spans="1:6">
      <c r="A312" t="s">
        <v>5809</v>
      </c>
      <c r="B312" t="s">
        <v>285</v>
      </c>
      <c r="C312" t="s">
        <v>6115</v>
      </c>
      <c r="D312">
        <v>181</v>
      </c>
      <c r="E312">
        <f>IF(AND(A312='Поиск параметров'!$D$4,ISNUMBER(SEARCH('Поиск параметров'!$D$6,B312))),1,0)</f>
        <v>1</v>
      </c>
      <c r="F312">
        <f>IF(E312=1,SUM($E$2:E312),"")</f>
        <v>311</v>
      </c>
    </row>
    <row r="313" spans="1:6">
      <c r="A313" t="s">
        <v>5809</v>
      </c>
      <c r="B313" t="s">
        <v>286</v>
      </c>
      <c r="C313" t="s">
        <v>6116</v>
      </c>
      <c r="D313">
        <v>182</v>
      </c>
      <c r="E313">
        <f>IF(AND(A313='Поиск параметров'!$D$4,ISNUMBER(SEARCH('Поиск параметров'!$D$6,B313))),1,0)</f>
        <v>1</v>
      </c>
      <c r="F313">
        <f>IF(E313=1,SUM($E$2:E313),"")</f>
        <v>312</v>
      </c>
    </row>
    <row r="314" spans="1:6">
      <c r="A314" t="s">
        <v>5809</v>
      </c>
      <c r="B314" t="s">
        <v>287</v>
      </c>
      <c r="C314" t="s">
        <v>6117</v>
      </c>
      <c r="D314">
        <v>183</v>
      </c>
      <c r="E314">
        <f>IF(AND(A314='Поиск параметров'!$D$4,ISNUMBER(SEARCH('Поиск параметров'!$D$6,B314))),1,0)</f>
        <v>1</v>
      </c>
      <c r="F314">
        <f>IF(E314=1,SUM($E$2:E314),"")</f>
        <v>313</v>
      </c>
    </row>
    <row r="315" spans="1:6">
      <c r="A315" t="s">
        <v>5809</v>
      </c>
      <c r="B315" t="s">
        <v>288</v>
      </c>
      <c r="C315" t="s">
        <v>6118</v>
      </c>
      <c r="D315">
        <v>184</v>
      </c>
      <c r="E315">
        <f>IF(AND(A315='Поиск параметров'!$D$4,ISNUMBER(SEARCH('Поиск параметров'!$D$6,B315))),1,0)</f>
        <v>1</v>
      </c>
      <c r="F315">
        <f>IF(E315=1,SUM($E$2:E315),"")</f>
        <v>314</v>
      </c>
    </row>
    <row r="316" spans="1:6">
      <c r="A316" t="s">
        <v>5809</v>
      </c>
      <c r="B316" t="s">
        <v>289</v>
      </c>
      <c r="C316" t="s">
        <v>6119</v>
      </c>
      <c r="D316">
        <v>185</v>
      </c>
      <c r="E316">
        <f>IF(AND(A316='Поиск параметров'!$D$4,ISNUMBER(SEARCH('Поиск параметров'!$D$6,B316))),1,0)</f>
        <v>1</v>
      </c>
      <c r="F316">
        <f>IF(E316=1,SUM($E$2:E316),"")</f>
        <v>315</v>
      </c>
    </row>
    <row r="317" spans="1:6">
      <c r="A317" t="s">
        <v>5809</v>
      </c>
      <c r="B317" t="s">
        <v>290</v>
      </c>
      <c r="C317" t="s">
        <v>6120</v>
      </c>
      <c r="D317">
        <v>186</v>
      </c>
      <c r="E317">
        <f>IF(AND(A317='Поиск параметров'!$D$4,ISNUMBER(SEARCH('Поиск параметров'!$D$6,B317))),1,0)</f>
        <v>1</v>
      </c>
      <c r="F317">
        <f>IF(E317=1,SUM($E$2:E317),"")</f>
        <v>316</v>
      </c>
    </row>
    <row r="318" spans="1:6">
      <c r="A318" t="s">
        <v>5809</v>
      </c>
      <c r="B318" t="s">
        <v>291</v>
      </c>
      <c r="C318" t="s">
        <v>6121</v>
      </c>
      <c r="D318">
        <v>187</v>
      </c>
      <c r="E318">
        <f>IF(AND(A318='Поиск параметров'!$D$4,ISNUMBER(SEARCH('Поиск параметров'!$D$6,B318))),1,0)</f>
        <v>1</v>
      </c>
      <c r="F318">
        <f>IF(E318=1,SUM($E$2:E318),"")</f>
        <v>317</v>
      </c>
    </row>
    <row r="319" spans="1:6">
      <c r="A319" t="s">
        <v>5809</v>
      </c>
      <c r="B319" t="s">
        <v>292</v>
      </c>
      <c r="C319" t="s">
        <v>6122</v>
      </c>
      <c r="D319">
        <v>188</v>
      </c>
      <c r="E319">
        <f>IF(AND(A319='Поиск параметров'!$D$4,ISNUMBER(SEARCH('Поиск параметров'!$D$6,B319))),1,0)</f>
        <v>1</v>
      </c>
      <c r="F319">
        <f>IF(E319=1,SUM($E$2:E319),"")</f>
        <v>318</v>
      </c>
    </row>
    <row r="320" spans="1:6">
      <c r="A320" t="s">
        <v>5809</v>
      </c>
      <c r="B320" t="s">
        <v>293</v>
      </c>
      <c r="C320" t="s">
        <v>6123</v>
      </c>
      <c r="D320">
        <v>189</v>
      </c>
      <c r="E320">
        <f>IF(AND(A320='Поиск параметров'!$D$4,ISNUMBER(SEARCH('Поиск параметров'!$D$6,B320))),1,0)</f>
        <v>1</v>
      </c>
      <c r="F320">
        <f>IF(E320=1,SUM($E$2:E320),"")</f>
        <v>319</v>
      </c>
    </row>
    <row r="321" spans="1:6">
      <c r="A321" t="s">
        <v>5809</v>
      </c>
      <c r="B321" t="s">
        <v>294</v>
      </c>
      <c r="C321" t="s">
        <v>6124</v>
      </c>
      <c r="D321">
        <v>190</v>
      </c>
      <c r="E321">
        <f>IF(AND(A321='Поиск параметров'!$D$4,ISNUMBER(SEARCH('Поиск параметров'!$D$6,B321))),1,0)</f>
        <v>1</v>
      </c>
      <c r="F321">
        <f>IF(E321=1,SUM($E$2:E321),"")</f>
        <v>320</v>
      </c>
    </row>
    <row r="322" spans="1:6">
      <c r="A322" t="s">
        <v>5809</v>
      </c>
      <c r="B322" t="s">
        <v>295</v>
      </c>
      <c r="C322" t="s">
        <v>6125</v>
      </c>
      <c r="D322">
        <v>191</v>
      </c>
      <c r="E322">
        <f>IF(AND(A322='Поиск параметров'!$D$4,ISNUMBER(SEARCH('Поиск параметров'!$D$6,B322))),1,0)</f>
        <v>1</v>
      </c>
      <c r="F322">
        <f>IF(E322=1,SUM($E$2:E322),"")</f>
        <v>321</v>
      </c>
    </row>
    <row r="323" spans="1:6">
      <c r="A323" t="s">
        <v>5809</v>
      </c>
      <c r="B323" t="s">
        <v>296</v>
      </c>
      <c r="C323" t="s">
        <v>6126</v>
      </c>
      <c r="D323">
        <v>192</v>
      </c>
      <c r="E323">
        <f>IF(AND(A323='Поиск параметров'!$D$4,ISNUMBER(SEARCH('Поиск параметров'!$D$6,B323))),1,0)</f>
        <v>1</v>
      </c>
      <c r="F323">
        <f>IF(E323=1,SUM($E$2:E323),"")</f>
        <v>322</v>
      </c>
    </row>
    <row r="324" spans="1:6">
      <c r="A324" t="s">
        <v>5809</v>
      </c>
      <c r="B324" t="s">
        <v>297</v>
      </c>
      <c r="C324" t="s">
        <v>6127</v>
      </c>
      <c r="D324">
        <v>193</v>
      </c>
      <c r="E324">
        <f>IF(AND(A324='Поиск параметров'!$D$4,ISNUMBER(SEARCH('Поиск параметров'!$D$6,B324))),1,0)</f>
        <v>1</v>
      </c>
      <c r="F324">
        <f>IF(E324=1,SUM($E$2:E324),"")</f>
        <v>323</v>
      </c>
    </row>
    <row r="325" spans="1:6">
      <c r="A325" t="s">
        <v>5809</v>
      </c>
      <c r="B325" t="s">
        <v>298</v>
      </c>
      <c r="C325" t="s">
        <v>6128</v>
      </c>
      <c r="D325">
        <v>0</v>
      </c>
      <c r="E325">
        <f>IF(AND(A325='Поиск параметров'!$D$4,ISNUMBER(SEARCH('Поиск параметров'!$D$6,B325))),1,0)</f>
        <v>1</v>
      </c>
      <c r="F325">
        <f>IF(E325=1,SUM($E$2:E325),"")</f>
        <v>324</v>
      </c>
    </row>
    <row r="326" spans="1:6">
      <c r="A326" t="s">
        <v>5809</v>
      </c>
      <c r="B326" t="s">
        <v>299</v>
      </c>
      <c r="C326" t="s">
        <v>6129</v>
      </c>
      <c r="D326">
        <v>0</v>
      </c>
      <c r="E326">
        <f>IF(AND(A326='Поиск параметров'!$D$4,ISNUMBER(SEARCH('Поиск параметров'!$D$6,B326))),1,0)</f>
        <v>1</v>
      </c>
      <c r="F326">
        <f>IF(E326=1,SUM($E$2:E326),"")</f>
        <v>325</v>
      </c>
    </row>
    <row r="327" spans="1:6">
      <c r="A327" t="s">
        <v>5809</v>
      </c>
      <c r="B327" t="s">
        <v>300</v>
      </c>
      <c r="C327" t="s">
        <v>6130</v>
      </c>
      <c r="D327">
        <v>0</v>
      </c>
      <c r="E327">
        <f>IF(AND(A327='Поиск параметров'!$D$4,ISNUMBER(SEARCH('Поиск параметров'!$D$6,B327))),1,0)</f>
        <v>1</v>
      </c>
      <c r="F327">
        <f>IF(E327=1,SUM($E$2:E327),"")</f>
        <v>326</v>
      </c>
    </row>
    <row r="328" spans="1:6">
      <c r="A328" t="s">
        <v>5809</v>
      </c>
      <c r="B328" t="s">
        <v>301</v>
      </c>
      <c r="C328" t="s">
        <v>6131</v>
      </c>
      <c r="D328">
        <v>0</v>
      </c>
      <c r="E328">
        <f>IF(AND(A328='Поиск параметров'!$D$4,ISNUMBER(SEARCH('Поиск параметров'!$D$6,B328))),1,0)</f>
        <v>1</v>
      </c>
      <c r="F328">
        <f>IF(E328=1,SUM($E$2:E328),"")</f>
        <v>327</v>
      </c>
    </row>
    <row r="329" spans="1:6">
      <c r="A329" t="s">
        <v>5809</v>
      </c>
      <c r="B329" t="s">
        <v>302</v>
      </c>
      <c r="C329" t="s">
        <v>6132</v>
      </c>
      <c r="D329">
        <v>0</v>
      </c>
      <c r="E329">
        <f>IF(AND(A329='Поиск параметров'!$D$4,ISNUMBER(SEARCH('Поиск параметров'!$D$6,B329))),1,0)</f>
        <v>1</v>
      </c>
      <c r="F329">
        <f>IF(E329=1,SUM($E$2:E329),"")</f>
        <v>328</v>
      </c>
    </row>
    <row r="330" spans="1:6">
      <c r="A330" t="s">
        <v>5809</v>
      </c>
      <c r="B330" t="s">
        <v>303</v>
      </c>
      <c r="C330" t="s">
        <v>6133</v>
      </c>
      <c r="D330">
        <v>0</v>
      </c>
      <c r="E330">
        <f>IF(AND(A330='Поиск параметров'!$D$4,ISNUMBER(SEARCH('Поиск параметров'!$D$6,B330))),1,0)</f>
        <v>1</v>
      </c>
      <c r="F330">
        <f>IF(E330=1,SUM($E$2:E330),"")</f>
        <v>329</v>
      </c>
    </row>
    <row r="331" spans="1:6">
      <c r="A331" t="s">
        <v>5809</v>
      </c>
      <c r="B331" t="s">
        <v>304</v>
      </c>
      <c r="C331" t="s">
        <v>6134</v>
      </c>
      <c r="D331">
        <v>0</v>
      </c>
      <c r="E331">
        <f>IF(AND(A331='Поиск параметров'!$D$4,ISNUMBER(SEARCH('Поиск параметров'!$D$6,B331))),1,0)</f>
        <v>1</v>
      </c>
      <c r="F331">
        <f>IF(E331=1,SUM($E$2:E331),"")</f>
        <v>330</v>
      </c>
    </row>
    <row r="332" spans="1:6">
      <c r="A332" t="s">
        <v>5809</v>
      </c>
      <c r="B332" t="s">
        <v>305</v>
      </c>
      <c r="C332" t="s">
        <v>6135</v>
      </c>
      <c r="D332">
        <v>0</v>
      </c>
      <c r="E332">
        <f>IF(AND(A332='Поиск параметров'!$D$4,ISNUMBER(SEARCH('Поиск параметров'!$D$6,B332))),1,0)</f>
        <v>1</v>
      </c>
      <c r="F332">
        <f>IF(E332=1,SUM($E$2:E332),"")</f>
        <v>331</v>
      </c>
    </row>
    <row r="333" spans="1:6">
      <c r="A333" t="s">
        <v>5809</v>
      </c>
      <c r="B333" t="s">
        <v>306</v>
      </c>
      <c r="C333" t="s">
        <v>6136</v>
      </c>
      <c r="D333">
        <v>0</v>
      </c>
      <c r="E333">
        <f>IF(AND(A333='Поиск параметров'!$D$4,ISNUMBER(SEARCH('Поиск параметров'!$D$6,B333))),1,0)</f>
        <v>1</v>
      </c>
      <c r="F333">
        <f>IF(E333=1,SUM($E$2:E333),"")</f>
        <v>332</v>
      </c>
    </row>
    <row r="334" spans="1:6">
      <c r="A334" t="s">
        <v>5809</v>
      </c>
      <c r="B334" t="s">
        <v>307</v>
      </c>
      <c r="C334" t="s">
        <v>6137</v>
      </c>
      <c r="D334">
        <v>0</v>
      </c>
      <c r="E334">
        <f>IF(AND(A334='Поиск параметров'!$D$4,ISNUMBER(SEARCH('Поиск параметров'!$D$6,B334))),1,0)</f>
        <v>1</v>
      </c>
      <c r="F334">
        <f>IF(E334=1,SUM($E$2:E334),"")</f>
        <v>333</v>
      </c>
    </row>
    <row r="335" spans="1:6">
      <c r="A335" t="s">
        <v>5809</v>
      </c>
      <c r="B335" t="s">
        <v>308</v>
      </c>
      <c r="C335" t="s">
        <v>6138</v>
      </c>
      <c r="D335">
        <v>194</v>
      </c>
      <c r="E335">
        <f>IF(AND(A335='Поиск параметров'!$D$4,ISNUMBER(SEARCH('Поиск параметров'!$D$6,B335))),1,0)</f>
        <v>1</v>
      </c>
      <c r="F335">
        <f>IF(E335=1,SUM($E$2:E335),"")</f>
        <v>334</v>
      </c>
    </row>
    <row r="336" spans="1:6">
      <c r="A336" t="s">
        <v>5809</v>
      </c>
      <c r="B336" t="s">
        <v>309</v>
      </c>
      <c r="C336" t="s">
        <v>6139</v>
      </c>
      <c r="D336">
        <v>195</v>
      </c>
      <c r="E336">
        <f>IF(AND(A336='Поиск параметров'!$D$4,ISNUMBER(SEARCH('Поиск параметров'!$D$6,B336))),1,0)</f>
        <v>1</v>
      </c>
      <c r="F336">
        <f>IF(E336=1,SUM($E$2:E336),"")</f>
        <v>335</v>
      </c>
    </row>
    <row r="337" spans="1:6">
      <c r="A337" t="s">
        <v>5809</v>
      </c>
      <c r="B337" t="s">
        <v>310</v>
      </c>
      <c r="C337" t="s">
        <v>6140</v>
      </c>
      <c r="D337">
        <v>196</v>
      </c>
      <c r="E337">
        <f>IF(AND(A337='Поиск параметров'!$D$4,ISNUMBER(SEARCH('Поиск параметров'!$D$6,B337))),1,0)</f>
        <v>1</v>
      </c>
      <c r="F337">
        <f>IF(E337=1,SUM($E$2:E337),"")</f>
        <v>336</v>
      </c>
    </row>
    <row r="338" spans="1:6">
      <c r="A338" t="s">
        <v>5809</v>
      </c>
      <c r="B338" t="s">
        <v>311</v>
      </c>
      <c r="C338" t="s">
        <v>6141</v>
      </c>
      <c r="D338">
        <v>197</v>
      </c>
      <c r="E338">
        <f>IF(AND(A338='Поиск параметров'!$D$4,ISNUMBER(SEARCH('Поиск параметров'!$D$6,B338))),1,0)</f>
        <v>1</v>
      </c>
      <c r="F338">
        <f>IF(E338=1,SUM($E$2:E338),"")</f>
        <v>337</v>
      </c>
    </row>
    <row r="339" spans="1:6">
      <c r="A339" t="s">
        <v>5809</v>
      </c>
      <c r="B339" t="s">
        <v>312</v>
      </c>
      <c r="C339" t="s">
        <v>6142</v>
      </c>
      <c r="D339">
        <v>198</v>
      </c>
      <c r="E339">
        <f>IF(AND(A339='Поиск параметров'!$D$4,ISNUMBER(SEARCH('Поиск параметров'!$D$6,B339))),1,0)</f>
        <v>1</v>
      </c>
      <c r="F339">
        <f>IF(E339=1,SUM($E$2:E339),"")</f>
        <v>338</v>
      </c>
    </row>
    <row r="340" spans="1:6">
      <c r="A340" t="s">
        <v>5809</v>
      </c>
      <c r="B340" t="s">
        <v>313</v>
      </c>
      <c r="C340" t="s">
        <v>6143</v>
      </c>
      <c r="D340">
        <v>0</v>
      </c>
      <c r="E340">
        <f>IF(AND(A340='Поиск параметров'!$D$4,ISNUMBER(SEARCH('Поиск параметров'!$D$6,B340))),1,0)</f>
        <v>1</v>
      </c>
      <c r="F340">
        <f>IF(E340=1,SUM($E$2:E340),"")</f>
        <v>339</v>
      </c>
    </row>
    <row r="341" spans="1:6">
      <c r="A341" t="s">
        <v>5809</v>
      </c>
      <c r="B341" t="s">
        <v>314</v>
      </c>
      <c r="C341" t="s">
        <v>6144</v>
      </c>
      <c r="D341">
        <v>0</v>
      </c>
      <c r="E341">
        <f>IF(AND(A341='Поиск параметров'!$D$4,ISNUMBER(SEARCH('Поиск параметров'!$D$6,B341))),1,0)</f>
        <v>1</v>
      </c>
      <c r="F341">
        <f>IF(E341=1,SUM($E$2:E341),"")</f>
        <v>340</v>
      </c>
    </row>
    <row r="342" spans="1:6">
      <c r="A342" t="s">
        <v>5809</v>
      </c>
      <c r="B342" t="s">
        <v>315</v>
      </c>
      <c r="C342" t="s">
        <v>6145</v>
      </c>
      <c r="D342">
        <v>0</v>
      </c>
      <c r="E342">
        <f>IF(AND(A342='Поиск параметров'!$D$4,ISNUMBER(SEARCH('Поиск параметров'!$D$6,B342))),1,0)</f>
        <v>1</v>
      </c>
      <c r="F342">
        <f>IF(E342=1,SUM($E$2:E342),"")</f>
        <v>341</v>
      </c>
    </row>
    <row r="343" spans="1:6">
      <c r="A343" t="s">
        <v>5809</v>
      </c>
      <c r="B343" t="s">
        <v>316</v>
      </c>
      <c r="C343" t="s">
        <v>6146</v>
      </c>
      <c r="D343">
        <v>0</v>
      </c>
      <c r="E343">
        <f>IF(AND(A343='Поиск параметров'!$D$4,ISNUMBER(SEARCH('Поиск параметров'!$D$6,B343))),1,0)</f>
        <v>1</v>
      </c>
      <c r="F343">
        <f>IF(E343=1,SUM($E$2:E343),"")</f>
        <v>342</v>
      </c>
    </row>
    <row r="344" spans="1:6">
      <c r="A344" t="s">
        <v>5809</v>
      </c>
      <c r="B344" t="s">
        <v>317</v>
      </c>
      <c r="C344" t="s">
        <v>6147</v>
      </c>
      <c r="D344">
        <v>0</v>
      </c>
      <c r="E344">
        <f>IF(AND(A344='Поиск параметров'!$D$4,ISNUMBER(SEARCH('Поиск параметров'!$D$6,B344))),1,0)</f>
        <v>1</v>
      </c>
      <c r="F344">
        <f>IF(E344=1,SUM($E$2:E344),"")</f>
        <v>343</v>
      </c>
    </row>
    <row r="345" spans="1:6">
      <c r="A345" t="s">
        <v>5809</v>
      </c>
      <c r="B345" t="s">
        <v>318</v>
      </c>
      <c r="C345" t="s">
        <v>6148</v>
      </c>
      <c r="D345">
        <v>0</v>
      </c>
      <c r="E345">
        <f>IF(AND(A345='Поиск параметров'!$D$4,ISNUMBER(SEARCH('Поиск параметров'!$D$6,B345))),1,0)</f>
        <v>1</v>
      </c>
      <c r="F345">
        <f>IF(E345=1,SUM($E$2:E345),"")</f>
        <v>344</v>
      </c>
    </row>
    <row r="346" spans="1:6">
      <c r="A346" t="s">
        <v>5809</v>
      </c>
      <c r="B346" t="s">
        <v>319</v>
      </c>
      <c r="C346" t="s">
        <v>6149</v>
      </c>
      <c r="D346">
        <v>0</v>
      </c>
      <c r="E346">
        <f>IF(AND(A346='Поиск параметров'!$D$4,ISNUMBER(SEARCH('Поиск параметров'!$D$6,B346))),1,0)</f>
        <v>1</v>
      </c>
      <c r="F346">
        <f>IF(E346=1,SUM($E$2:E346),"")</f>
        <v>345</v>
      </c>
    </row>
    <row r="347" spans="1:6">
      <c r="A347" t="s">
        <v>5809</v>
      </c>
      <c r="B347" t="s">
        <v>320</v>
      </c>
      <c r="C347" t="s">
        <v>6150</v>
      </c>
      <c r="D347">
        <v>0</v>
      </c>
      <c r="E347">
        <f>IF(AND(A347='Поиск параметров'!$D$4,ISNUMBER(SEARCH('Поиск параметров'!$D$6,B347))),1,0)</f>
        <v>1</v>
      </c>
      <c r="F347">
        <f>IF(E347=1,SUM($E$2:E347),"")</f>
        <v>346</v>
      </c>
    </row>
    <row r="348" spans="1:6">
      <c r="A348" t="s">
        <v>5809</v>
      </c>
      <c r="B348" t="s">
        <v>321</v>
      </c>
      <c r="C348" t="s">
        <v>6151</v>
      </c>
      <c r="D348">
        <v>0</v>
      </c>
      <c r="E348">
        <f>IF(AND(A348='Поиск параметров'!$D$4,ISNUMBER(SEARCH('Поиск параметров'!$D$6,B348))),1,0)</f>
        <v>1</v>
      </c>
      <c r="F348">
        <f>IF(E348=1,SUM($E$2:E348),"")</f>
        <v>347</v>
      </c>
    </row>
    <row r="349" spans="1:6">
      <c r="A349" t="s">
        <v>5809</v>
      </c>
      <c r="B349" t="s">
        <v>322</v>
      </c>
      <c r="C349" t="s">
        <v>6152</v>
      </c>
      <c r="D349">
        <v>0</v>
      </c>
      <c r="E349">
        <f>IF(AND(A349='Поиск параметров'!$D$4,ISNUMBER(SEARCH('Поиск параметров'!$D$6,B349))),1,0)</f>
        <v>1</v>
      </c>
      <c r="F349">
        <f>IF(E349=1,SUM($E$2:E349),"")</f>
        <v>348</v>
      </c>
    </row>
    <row r="350" spans="1:6">
      <c r="A350" t="s">
        <v>5809</v>
      </c>
      <c r="B350" t="s">
        <v>323</v>
      </c>
      <c r="C350" t="s">
        <v>6153</v>
      </c>
      <c r="D350">
        <v>0</v>
      </c>
      <c r="E350">
        <f>IF(AND(A350='Поиск параметров'!$D$4,ISNUMBER(SEARCH('Поиск параметров'!$D$6,B350))),1,0)</f>
        <v>1</v>
      </c>
      <c r="F350">
        <f>IF(E350=1,SUM($E$2:E350),"")</f>
        <v>349</v>
      </c>
    </row>
    <row r="351" spans="1:6">
      <c r="A351" t="s">
        <v>5809</v>
      </c>
      <c r="B351" t="s">
        <v>324</v>
      </c>
      <c r="C351" t="s">
        <v>6154</v>
      </c>
      <c r="D351">
        <v>0</v>
      </c>
      <c r="E351">
        <f>IF(AND(A351='Поиск параметров'!$D$4,ISNUMBER(SEARCH('Поиск параметров'!$D$6,B351))),1,0)</f>
        <v>1</v>
      </c>
      <c r="F351">
        <f>IF(E351=1,SUM($E$2:E351),"")</f>
        <v>350</v>
      </c>
    </row>
    <row r="352" spans="1:6">
      <c r="A352" t="s">
        <v>5809</v>
      </c>
      <c r="B352" t="s">
        <v>325</v>
      </c>
      <c r="C352" t="s">
        <v>6155</v>
      </c>
      <c r="D352">
        <v>0</v>
      </c>
      <c r="E352">
        <f>IF(AND(A352='Поиск параметров'!$D$4,ISNUMBER(SEARCH('Поиск параметров'!$D$6,B352))),1,0)</f>
        <v>1</v>
      </c>
      <c r="F352">
        <f>IF(E352=1,SUM($E$2:E352),"")</f>
        <v>351</v>
      </c>
    </row>
    <row r="353" spans="1:6">
      <c r="A353" t="s">
        <v>5809</v>
      </c>
      <c r="B353" t="s">
        <v>326</v>
      </c>
      <c r="C353" t="s">
        <v>6156</v>
      </c>
      <c r="D353">
        <v>0</v>
      </c>
      <c r="E353">
        <f>IF(AND(A353='Поиск параметров'!$D$4,ISNUMBER(SEARCH('Поиск параметров'!$D$6,B353))),1,0)</f>
        <v>1</v>
      </c>
      <c r="F353">
        <f>IF(E353=1,SUM($E$2:E353),"")</f>
        <v>352</v>
      </c>
    </row>
    <row r="354" spans="1:6">
      <c r="A354" t="s">
        <v>5809</v>
      </c>
      <c r="B354" t="s">
        <v>327</v>
      </c>
      <c r="C354" t="s">
        <v>6157</v>
      </c>
      <c r="D354">
        <v>0</v>
      </c>
      <c r="E354">
        <f>IF(AND(A354='Поиск параметров'!$D$4,ISNUMBER(SEARCH('Поиск параметров'!$D$6,B354))),1,0)</f>
        <v>1</v>
      </c>
      <c r="F354">
        <f>IF(E354=1,SUM($E$2:E354),"")</f>
        <v>353</v>
      </c>
    </row>
    <row r="355" spans="1:6">
      <c r="A355" t="s">
        <v>5809</v>
      </c>
      <c r="B355" t="s">
        <v>328</v>
      </c>
      <c r="C355" t="s">
        <v>6158</v>
      </c>
      <c r="D355">
        <v>0</v>
      </c>
      <c r="E355">
        <f>IF(AND(A355='Поиск параметров'!$D$4,ISNUMBER(SEARCH('Поиск параметров'!$D$6,B355))),1,0)</f>
        <v>1</v>
      </c>
      <c r="F355">
        <f>IF(E355=1,SUM($E$2:E355),"")</f>
        <v>354</v>
      </c>
    </row>
    <row r="356" spans="1:6">
      <c r="A356" t="s">
        <v>5809</v>
      </c>
      <c r="B356" t="s">
        <v>329</v>
      </c>
      <c r="C356" t="s">
        <v>6159</v>
      </c>
      <c r="D356">
        <v>0</v>
      </c>
      <c r="E356">
        <f>IF(AND(A356='Поиск параметров'!$D$4,ISNUMBER(SEARCH('Поиск параметров'!$D$6,B356))),1,0)</f>
        <v>1</v>
      </c>
      <c r="F356">
        <f>IF(E356=1,SUM($E$2:E356),"")</f>
        <v>355</v>
      </c>
    </row>
    <row r="357" spans="1:6">
      <c r="A357" t="s">
        <v>5809</v>
      </c>
      <c r="B357" t="s">
        <v>330</v>
      </c>
      <c r="C357" t="s">
        <v>6160</v>
      </c>
      <c r="D357">
        <v>0</v>
      </c>
      <c r="E357">
        <f>IF(AND(A357='Поиск параметров'!$D$4,ISNUMBER(SEARCH('Поиск параметров'!$D$6,B357))),1,0)</f>
        <v>1</v>
      </c>
      <c r="F357">
        <f>IF(E357=1,SUM($E$2:E357),"")</f>
        <v>356</v>
      </c>
    </row>
    <row r="358" spans="1:6">
      <c r="A358" t="s">
        <v>5809</v>
      </c>
      <c r="B358" t="s">
        <v>331</v>
      </c>
      <c r="C358" t="s">
        <v>6161</v>
      </c>
      <c r="D358">
        <v>0</v>
      </c>
      <c r="E358">
        <f>IF(AND(A358='Поиск параметров'!$D$4,ISNUMBER(SEARCH('Поиск параметров'!$D$6,B358))),1,0)</f>
        <v>1</v>
      </c>
      <c r="F358">
        <f>IF(E358=1,SUM($E$2:E358),"")</f>
        <v>357</v>
      </c>
    </row>
    <row r="359" spans="1:6">
      <c r="A359" t="s">
        <v>5809</v>
      </c>
      <c r="B359" t="s">
        <v>332</v>
      </c>
      <c r="C359" t="s">
        <v>6162</v>
      </c>
      <c r="D359">
        <v>0</v>
      </c>
      <c r="E359">
        <f>IF(AND(A359='Поиск параметров'!$D$4,ISNUMBER(SEARCH('Поиск параметров'!$D$6,B359))),1,0)</f>
        <v>1</v>
      </c>
      <c r="F359">
        <f>IF(E359=1,SUM($E$2:E359),"")</f>
        <v>358</v>
      </c>
    </row>
    <row r="360" spans="1:6">
      <c r="A360" t="s">
        <v>5809</v>
      </c>
      <c r="B360" t="s">
        <v>333</v>
      </c>
      <c r="C360" t="s">
        <v>6163</v>
      </c>
      <c r="D360">
        <v>0</v>
      </c>
      <c r="E360">
        <f>IF(AND(A360='Поиск параметров'!$D$4,ISNUMBER(SEARCH('Поиск параметров'!$D$6,B360))),1,0)</f>
        <v>1</v>
      </c>
      <c r="F360">
        <f>IF(E360=1,SUM($E$2:E360),"")</f>
        <v>359</v>
      </c>
    </row>
    <row r="361" spans="1:6">
      <c r="A361" t="s">
        <v>5809</v>
      </c>
      <c r="B361" t="s">
        <v>334</v>
      </c>
      <c r="C361" t="s">
        <v>6164</v>
      </c>
      <c r="D361">
        <v>0</v>
      </c>
      <c r="E361">
        <f>IF(AND(A361='Поиск параметров'!$D$4,ISNUMBER(SEARCH('Поиск параметров'!$D$6,B361))),1,0)</f>
        <v>1</v>
      </c>
      <c r="F361">
        <f>IF(E361=1,SUM($E$2:E361),"")</f>
        <v>360</v>
      </c>
    </row>
    <row r="362" spans="1:6">
      <c r="A362" t="s">
        <v>5809</v>
      </c>
      <c r="B362" t="s">
        <v>335</v>
      </c>
      <c r="C362" t="s">
        <v>6165</v>
      </c>
      <c r="D362">
        <v>0</v>
      </c>
      <c r="E362">
        <f>IF(AND(A362='Поиск параметров'!$D$4,ISNUMBER(SEARCH('Поиск параметров'!$D$6,B362))),1,0)</f>
        <v>1</v>
      </c>
      <c r="F362">
        <f>IF(E362=1,SUM($E$2:E362),"")</f>
        <v>361</v>
      </c>
    </row>
    <row r="363" spans="1:6">
      <c r="A363" t="s">
        <v>5809</v>
      </c>
      <c r="B363" t="s">
        <v>336</v>
      </c>
      <c r="C363" t="s">
        <v>6166</v>
      </c>
      <c r="D363">
        <v>0</v>
      </c>
      <c r="E363">
        <f>IF(AND(A363='Поиск параметров'!$D$4,ISNUMBER(SEARCH('Поиск параметров'!$D$6,B363))),1,0)</f>
        <v>1</v>
      </c>
      <c r="F363">
        <f>IF(E363=1,SUM($E$2:E363),"")</f>
        <v>362</v>
      </c>
    </row>
    <row r="364" spans="1:6">
      <c r="A364" t="s">
        <v>5809</v>
      </c>
      <c r="B364" t="s">
        <v>337</v>
      </c>
      <c r="C364" t="s">
        <v>6167</v>
      </c>
      <c r="D364">
        <v>0</v>
      </c>
      <c r="E364">
        <f>IF(AND(A364='Поиск параметров'!$D$4,ISNUMBER(SEARCH('Поиск параметров'!$D$6,B364))),1,0)</f>
        <v>1</v>
      </c>
      <c r="F364">
        <f>IF(E364=1,SUM($E$2:E364),"")</f>
        <v>363</v>
      </c>
    </row>
    <row r="365" spans="1:6">
      <c r="A365" t="s">
        <v>5809</v>
      </c>
      <c r="B365" t="s">
        <v>338</v>
      </c>
      <c r="C365" t="s">
        <v>6168</v>
      </c>
      <c r="D365">
        <v>0</v>
      </c>
      <c r="E365">
        <f>IF(AND(A365='Поиск параметров'!$D$4,ISNUMBER(SEARCH('Поиск параметров'!$D$6,B365))),1,0)</f>
        <v>1</v>
      </c>
      <c r="F365">
        <f>IF(E365=1,SUM($E$2:E365),"")</f>
        <v>364</v>
      </c>
    </row>
    <row r="366" spans="1:6">
      <c r="A366" t="s">
        <v>5809</v>
      </c>
      <c r="B366" t="s">
        <v>339</v>
      </c>
      <c r="C366" t="s">
        <v>6169</v>
      </c>
      <c r="D366">
        <v>0</v>
      </c>
      <c r="E366">
        <f>IF(AND(A366='Поиск параметров'!$D$4,ISNUMBER(SEARCH('Поиск параметров'!$D$6,B366))),1,0)</f>
        <v>1</v>
      </c>
      <c r="F366">
        <f>IF(E366=1,SUM($E$2:E366),"")</f>
        <v>365</v>
      </c>
    </row>
    <row r="367" spans="1:6">
      <c r="A367" t="s">
        <v>5809</v>
      </c>
      <c r="B367" t="s">
        <v>340</v>
      </c>
      <c r="C367" t="s">
        <v>6170</v>
      </c>
      <c r="D367">
        <v>0</v>
      </c>
      <c r="E367">
        <f>IF(AND(A367='Поиск параметров'!$D$4,ISNUMBER(SEARCH('Поиск параметров'!$D$6,B367))),1,0)</f>
        <v>1</v>
      </c>
      <c r="F367">
        <f>IF(E367=1,SUM($E$2:E367),"")</f>
        <v>366</v>
      </c>
    </row>
    <row r="368" spans="1:6">
      <c r="A368" t="s">
        <v>5809</v>
      </c>
      <c r="B368" t="s">
        <v>341</v>
      </c>
      <c r="C368" t="s">
        <v>6171</v>
      </c>
      <c r="D368">
        <v>0</v>
      </c>
      <c r="E368">
        <f>IF(AND(A368='Поиск параметров'!$D$4,ISNUMBER(SEARCH('Поиск параметров'!$D$6,B368))),1,0)</f>
        <v>1</v>
      </c>
      <c r="F368">
        <f>IF(E368=1,SUM($E$2:E368),"")</f>
        <v>367</v>
      </c>
    </row>
    <row r="369" spans="1:6">
      <c r="A369" t="s">
        <v>5809</v>
      </c>
      <c r="B369" t="s">
        <v>342</v>
      </c>
      <c r="C369" t="s">
        <v>6172</v>
      </c>
      <c r="D369">
        <v>0</v>
      </c>
      <c r="E369">
        <f>IF(AND(A369='Поиск параметров'!$D$4,ISNUMBER(SEARCH('Поиск параметров'!$D$6,B369))),1,0)</f>
        <v>1</v>
      </c>
      <c r="F369">
        <f>IF(E369=1,SUM($E$2:E369),"")</f>
        <v>368</v>
      </c>
    </row>
    <row r="370" spans="1:6">
      <c r="A370" t="s">
        <v>5809</v>
      </c>
      <c r="B370" t="s">
        <v>343</v>
      </c>
      <c r="C370" t="s">
        <v>6173</v>
      </c>
      <c r="D370">
        <v>0</v>
      </c>
      <c r="E370">
        <f>IF(AND(A370='Поиск параметров'!$D$4,ISNUMBER(SEARCH('Поиск параметров'!$D$6,B370))),1,0)</f>
        <v>1</v>
      </c>
      <c r="F370">
        <f>IF(E370=1,SUM($E$2:E370),"")</f>
        <v>369</v>
      </c>
    </row>
    <row r="371" spans="1:6">
      <c r="A371" t="s">
        <v>5809</v>
      </c>
      <c r="B371" t="s">
        <v>344</v>
      </c>
      <c r="C371" t="s">
        <v>6174</v>
      </c>
      <c r="D371">
        <v>0</v>
      </c>
      <c r="E371">
        <f>IF(AND(A371='Поиск параметров'!$D$4,ISNUMBER(SEARCH('Поиск параметров'!$D$6,B371))),1,0)</f>
        <v>1</v>
      </c>
      <c r="F371">
        <f>IF(E371=1,SUM($E$2:E371),"")</f>
        <v>370</v>
      </c>
    </row>
    <row r="372" spans="1:6">
      <c r="A372" t="s">
        <v>5809</v>
      </c>
      <c r="B372" t="s">
        <v>345</v>
      </c>
      <c r="C372" t="s">
        <v>6175</v>
      </c>
      <c r="D372">
        <v>0</v>
      </c>
      <c r="E372">
        <f>IF(AND(A372='Поиск параметров'!$D$4,ISNUMBER(SEARCH('Поиск параметров'!$D$6,B372))),1,0)</f>
        <v>1</v>
      </c>
      <c r="F372">
        <f>IF(E372=1,SUM($E$2:E372),"")</f>
        <v>371</v>
      </c>
    </row>
    <row r="373" spans="1:6">
      <c r="A373" t="s">
        <v>5809</v>
      </c>
      <c r="B373" t="s">
        <v>346</v>
      </c>
      <c r="C373" t="s">
        <v>6176</v>
      </c>
      <c r="D373">
        <v>0</v>
      </c>
      <c r="E373">
        <f>IF(AND(A373='Поиск параметров'!$D$4,ISNUMBER(SEARCH('Поиск параметров'!$D$6,B373))),1,0)</f>
        <v>1</v>
      </c>
      <c r="F373">
        <f>IF(E373=1,SUM($E$2:E373),"")</f>
        <v>372</v>
      </c>
    </row>
    <row r="374" spans="1:6">
      <c r="A374" t="s">
        <v>5809</v>
      </c>
      <c r="B374" t="s">
        <v>347</v>
      </c>
      <c r="C374" t="s">
        <v>6177</v>
      </c>
      <c r="D374">
        <v>0</v>
      </c>
      <c r="E374">
        <f>IF(AND(A374='Поиск параметров'!$D$4,ISNUMBER(SEARCH('Поиск параметров'!$D$6,B374))),1,0)</f>
        <v>1</v>
      </c>
      <c r="F374">
        <f>IF(E374=1,SUM($E$2:E374),"")</f>
        <v>373</v>
      </c>
    </row>
    <row r="375" spans="1:6">
      <c r="A375" t="s">
        <v>5809</v>
      </c>
      <c r="B375" t="s">
        <v>348</v>
      </c>
      <c r="C375" t="s">
        <v>6178</v>
      </c>
      <c r="D375">
        <v>0</v>
      </c>
      <c r="E375">
        <f>IF(AND(A375='Поиск параметров'!$D$4,ISNUMBER(SEARCH('Поиск параметров'!$D$6,B375))),1,0)</f>
        <v>1</v>
      </c>
      <c r="F375">
        <f>IF(E375=1,SUM($E$2:E375),"")</f>
        <v>374</v>
      </c>
    </row>
    <row r="376" spans="1:6">
      <c r="A376" t="s">
        <v>5809</v>
      </c>
      <c r="B376" t="s">
        <v>349</v>
      </c>
      <c r="C376" t="s">
        <v>6179</v>
      </c>
      <c r="D376">
        <v>0</v>
      </c>
      <c r="E376">
        <f>IF(AND(A376='Поиск параметров'!$D$4,ISNUMBER(SEARCH('Поиск параметров'!$D$6,B376))),1,0)</f>
        <v>1</v>
      </c>
      <c r="F376">
        <f>IF(E376=1,SUM($E$2:E376),"")</f>
        <v>375</v>
      </c>
    </row>
    <row r="377" spans="1:6">
      <c r="A377" t="s">
        <v>5809</v>
      </c>
      <c r="B377" t="s">
        <v>350</v>
      </c>
      <c r="C377" t="s">
        <v>6180</v>
      </c>
      <c r="D377">
        <v>0</v>
      </c>
      <c r="E377">
        <f>IF(AND(A377='Поиск параметров'!$D$4,ISNUMBER(SEARCH('Поиск параметров'!$D$6,B377))),1,0)</f>
        <v>1</v>
      </c>
      <c r="F377">
        <f>IF(E377=1,SUM($E$2:E377),"")</f>
        <v>376</v>
      </c>
    </row>
    <row r="378" spans="1:6">
      <c r="A378" t="s">
        <v>5809</v>
      </c>
      <c r="B378" t="s">
        <v>351</v>
      </c>
      <c r="C378" t="s">
        <v>6181</v>
      </c>
      <c r="D378">
        <v>0</v>
      </c>
      <c r="E378">
        <f>IF(AND(A378='Поиск параметров'!$D$4,ISNUMBER(SEARCH('Поиск параметров'!$D$6,B378))),1,0)</f>
        <v>1</v>
      </c>
      <c r="F378">
        <f>IF(E378=1,SUM($E$2:E378),"")</f>
        <v>377</v>
      </c>
    </row>
    <row r="379" spans="1:6">
      <c r="A379" t="s">
        <v>5809</v>
      </c>
      <c r="B379" t="s">
        <v>352</v>
      </c>
      <c r="C379" t="s">
        <v>6182</v>
      </c>
      <c r="D379">
        <v>0</v>
      </c>
      <c r="E379">
        <f>IF(AND(A379='Поиск параметров'!$D$4,ISNUMBER(SEARCH('Поиск параметров'!$D$6,B379))),1,0)</f>
        <v>1</v>
      </c>
      <c r="F379">
        <f>IF(E379=1,SUM($E$2:E379),"")</f>
        <v>378</v>
      </c>
    </row>
    <row r="380" spans="1:6">
      <c r="A380" t="s">
        <v>5809</v>
      </c>
      <c r="B380" t="s">
        <v>353</v>
      </c>
      <c r="C380" t="s">
        <v>6183</v>
      </c>
      <c r="D380">
        <v>0</v>
      </c>
      <c r="E380">
        <f>IF(AND(A380='Поиск параметров'!$D$4,ISNUMBER(SEARCH('Поиск параметров'!$D$6,B380))),1,0)</f>
        <v>1</v>
      </c>
      <c r="F380">
        <f>IF(E380=1,SUM($E$2:E380),"")</f>
        <v>379</v>
      </c>
    </row>
    <row r="381" spans="1:6">
      <c r="A381" t="s">
        <v>5809</v>
      </c>
      <c r="B381" t="s">
        <v>354</v>
      </c>
      <c r="C381" t="s">
        <v>6184</v>
      </c>
      <c r="D381">
        <v>0</v>
      </c>
      <c r="E381">
        <f>IF(AND(A381='Поиск параметров'!$D$4,ISNUMBER(SEARCH('Поиск параметров'!$D$6,B381))),1,0)</f>
        <v>1</v>
      </c>
      <c r="F381">
        <f>IF(E381=1,SUM($E$2:E381),"")</f>
        <v>380</v>
      </c>
    </row>
    <row r="382" spans="1:6">
      <c r="A382" t="s">
        <v>5809</v>
      </c>
      <c r="B382" t="s">
        <v>355</v>
      </c>
      <c r="C382" t="s">
        <v>6185</v>
      </c>
      <c r="D382">
        <v>0</v>
      </c>
      <c r="E382">
        <f>IF(AND(A382='Поиск параметров'!$D$4,ISNUMBER(SEARCH('Поиск параметров'!$D$6,B382))),1,0)</f>
        <v>1</v>
      </c>
      <c r="F382">
        <f>IF(E382=1,SUM($E$2:E382),"")</f>
        <v>381</v>
      </c>
    </row>
    <row r="383" spans="1:6">
      <c r="A383" t="s">
        <v>5809</v>
      </c>
      <c r="B383" t="s">
        <v>356</v>
      </c>
      <c r="C383" t="s">
        <v>6186</v>
      </c>
      <c r="D383">
        <v>0</v>
      </c>
      <c r="E383">
        <f>IF(AND(A383='Поиск параметров'!$D$4,ISNUMBER(SEARCH('Поиск параметров'!$D$6,B383))),1,0)</f>
        <v>1</v>
      </c>
      <c r="F383">
        <f>IF(E383=1,SUM($E$2:E383),"")</f>
        <v>382</v>
      </c>
    </row>
    <row r="384" spans="1:6">
      <c r="A384" t="s">
        <v>5809</v>
      </c>
      <c r="B384" t="s">
        <v>357</v>
      </c>
      <c r="C384" t="s">
        <v>6187</v>
      </c>
      <c r="D384">
        <v>0</v>
      </c>
      <c r="E384">
        <f>IF(AND(A384='Поиск параметров'!$D$4,ISNUMBER(SEARCH('Поиск параметров'!$D$6,B384))),1,0)</f>
        <v>1</v>
      </c>
      <c r="F384">
        <f>IF(E384=1,SUM($E$2:E384),"")</f>
        <v>383</v>
      </c>
    </row>
    <row r="385" spans="1:6">
      <c r="A385" t="s">
        <v>5809</v>
      </c>
      <c r="B385" t="s">
        <v>358</v>
      </c>
      <c r="C385" t="s">
        <v>6188</v>
      </c>
      <c r="D385">
        <v>0</v>
      </c>
      <c r="E385">
        <f>IF(AND(A385='Поиск параметров'!$D$4,ISNUMBER(SEARCH('Поиск параметров'!$D$6,B385))),1,0)</f>
        <v>1</v>
      </c>
      <c r="F385">
        <f>IF(E385=1,SUM($E$2:E385),"")</f>
        <v>384</v>
      </c>
    </row>
    <row r="386" spans="1:6">
      <c r="A386" t="s">
        <v>5809</v>
      </c>
      <c r="B386" t="s">
        <v>359</v>
      </c>
      <c r="C386" t="s">
        <v>6189</v>
      </c>
      <c r="D386">
        <v>0</v>
      </c>
      <c r="E386">
        <f>IF(AND(A386='Поиск параметров'!$D$4,ISNUMBER(SEARCH('Поиск параметров'!$D$6,B386))),1,0)</f>
        <v>1</v>
      </c>
      <c r="F386">
        <f>IF(E386=1,SUM($E$2:E386),"")</f>
        <v>385</v>
      </c>
    </row>
    <row r="387" spans="1:6">
      <c r="A387" t="s">
        <v>5809</v>
      </c>
      <c r="B387" t="s">
        <v>360</v>
      </c>
      <c r="C387" t="s">
        <v>6190</v>
      </c>
      <c r="D387">
        <v>0</v>
      </c>
      <c r="E387">
        <f>IF(AND(A387='Поиск параметров'!$D$4,ISNUMBER(SEARCH('Поиск параметров'!$D$6,B387))),1,0)</f>
        <v>1</v>
      </c>
      <c r="F387">
        <f>IF(E387=1,SUM($E$2:E387),"")</f>
        <v>386</v>
      </c>
    </row>
    <row r="388" spans="1:6">
      <c r="A388" t="s">
        <v>5809</v>
      </c>
      <c r="B388" t="s">
        <v>361</v>
      </c>
      <c r="C388" t="s">
        <v>6191</v>
      </c>
      <c r="D388">
        <v>0</v>
      </c>
      <c r="E388">
        <f>IF(AND(A388='Поиск параметров'!$D$4,ISNUMBER(SEARCH('Поиск параметров'!$D$6,B388))),1,0)</f>
        <v>1</v>
      </c>
      <c r="F388">
        <f>IF(E388=1,SUM($E$2:E388),"")</f>
        <v>387</v>
      </c>
    </row>
    <row r="389" spans="1:6">
      <c r="A389" t="s">
        <v>5809</v>
      </c>
      <c r="B389" t="s">
        <v>362</v>
      </c>
      <c r="C389" t="s">
        <v>6192</v>
      </c>
      <c r="D389">
        <v>0</v>
      </c>
      <c r="E389">
        <f>IF(AND(A389='Поиск параметров'!$D$4,ISNUMBER(SEARCH('Поиск параметров'!$D$6,B389))),1,0)</f>
        <v>1</v>
      </c>
      <c r="F389">
        <f>IF(E389=1,SUM($E$2:E389),"")</f>
        <v>388</v>
      </c>
    </row>
    <row r="390" spans="1:6">
      <c r="A390" t="s">
        <v>5809</v>
      </c>
      <c r="B390" t="s">
        <v>363</v>
      </c>
      <c r="C390" t="s">
        <v>6193</v>
      </c>
      <c r="D390">
        <v>0</v>
      </c>
      <c r="E390">
        <f>IF(AND(A390='Поиск параметров'!$D$4,ISNUMBER(SEARCH('Поиск параметров'!$D$6,B390))),1,0)</f>
        <v>1</v>
      </c>
      <c r="F390">
        <f>IF(E390=1,SUM($E$2:E390),"")</f>
        <v>389</v>
      </c>
    </row>
    <row r="391" spans="1:6">
      <c r="A391" t="s">
        <v>5809</v>
      </c>
      <c r="B391" t="s">
        <v>364</v>
      </c>
      <c r="C391" t="s">
        <v>6194</v>
      </c>
      <c r="D391">
        <v>0</v>
      </c>
      <c r="E391">
        <f>IF(AND(A391='Поиск параметров'!$D$4,ISNUMBER(SEARCH('Поиск параметров'!$D$6,B391))),1,0)</f>
        <v>1</v>
      </c>
      <c r="F391">
        <f>IF(E391=1,SUM($E$2:E391),"")</f>
        <v>390</v>
      </c>
    </row>
    <row r="392" spans="1:6">
      <c r="A392" t="s">
        <v>5809</v>
      </c>
      <c r="B392" t="s">
        <v>365</v>
      </c>
      <c r="C392" t="s">
        <v>6195</v>
      </c>
      <c r="D392">
        <v>0</v>
      </c>
      <c r="E392">
        <f>IF(AND(A392='Поиск параметров'!$D$4,ISNUMBER(SEARCH('Поиск параметров'!$D$6,B392))),1,0)</f>
        <v>1</v>
      </c>
      <c r="F392">
        <f>IF(E392=1,SUM($E$2:E392),"")</f>
        <v>391</v>
      </c>
    </row>
    <row r="393" spans="1:6">
      <c r="A393" t="s">
        <v>5809</v>
      </c>
      <c r="B393" t="s">
        <v>366</v>
      </c>
      <c r="C393" t="s">
        <v>6196</v>
      </c>
      <c r="D393">
        <v>0</v>
      </c>
      <c r="E393">
        <f>IF(AND(A393='Поиск параметров'!$D$4,ISNUMBER(SEARCH('Поиск параметров'!$D$6,B393))),1,0)</f>
        <v>1</v>
      </c>
      <c r="F393">
        <f>IF(E393=1,SUM($E$2:E393),"")</f>
        <v>392</v>
      </c>
    </row>
    <row r="394" spans="1:6">
      <c r="A394" t="s">
        <v>5809</v>
      </c>
      <c r="B394" t="s">
        <v>367</v>
      </c>
      <c r="C394" t="s">
        <v>6197</v>
      </c>
      <c r="D394">
        <v>0</v>
      </c>
      <c r="E394">
        <f>IF(AND(A394='Поиск параметров'!$D$4,ISNUMBER(SEARCH('Поиск параметров'!$D$6,B394))),1,0)</f>
        <v>1</v>
      </c>
      <c r="F394">
        <f>IF(E394=1,SUM($E$2:E394),"")</f>
        <v>393</v>
      </c>
    </row>
    <row r="395" spans="1:6">
      <c r="A395" t="s">
        <v>5809</v>
      </c>
      <c r="B395" t="s">
        <v>368</v>
      </c>
      <c r="C395" t="s">
        <v>6198</v>
      </c>
      <c r="D395">
        <v>0</v>
      </c>
      <c r="E395">
        <f>IF(AND(A395='Поиск параметров'!$D$4,ISNUMBER(SEARCH('Поиск параметров'!$D$6,B395))),1,0)</f>
        <v>1</v>
      </c>
      <c r="F395">
        <f>IF(E395=1,SUM($E$2:E395),"")</f>
        <v>394</v>
      </c>
    </row>
    <row r="396" spans="1:6">
      <c r="A396" t="s">
        <v>5809</v>
      </c>
      <c r="B396" t="s">
        <v>369</v>
      </c>
      <c r="C396" t="s">
        <v>6199</v>
      </c>
      <c r="D396">
        <v>0</v>
      </c>
      <c r="E396">
        <f>IF(AND(A396='Поиск параметров'!$D$4,ISNUMBER(SEARCH('Поиск параметров'!$D$6,B396))),1,0)</f>
        <v>1</v>
      </c>
      <c r="F396">
        <f>IF(E396=1,SUM($E$2:E396),"")</f>
        <v>395</v>
      </c>
    </row>
    <row r="397" spans="1:6">
      <c r="A397" t="s">
        <v>5809</v>
      </c>
      <c r="B397" t="s">
        <v>370</v>
      </c>
      <c r="C397" t="s">
        <v>6200</v>
      </c>
      <c r="D397">
        <v>0</v>
      </c>
      <c r="E397">
        <f>IF(AND(A397='Поиск параметров'!$D$4,ISNUMBER(SEARCH('Поиск параметров'!$D$6,B397))),1,0)</f>
        <v>1</v>
      </c>
      <c r="F397">
        <f>IF(E397=1,SUM($E$2:E397),"")</f>
        <v>396</v>
      </c>
    </row>
    <row r="398" spans="1:6">
      <c r="A398" t="s">
        <v>5809</v>
      </c>
      <c r="B398" t="s">
        <v>371</v>
      </c>
      <c r="C398" t="s">
        <v>6201</v>
      </c>
      <c r="D398">
        <v>0</v>
      </c>
      <c r="E398">
        <f>IF(AND(A398='Поиск параметров'!$D$4,ISNUMBER(SEARCH('Поиск параметров'!$D$6,B398))),1,0)</f>
        <v>1</v>
      </c>
      <c r="F398">
        <f>IF(E398=1,SUM($E$2:E398),"")</f>
        <v>397</v>
      </c>
    </row>
    <row r="399" spans="1:6">
      <c r="A399" t="s">
        <v>5809</v>
      </c>
      <c r="B399" t="s">
        <v>372</v>
      </c>
      <c r="C399" t="s">
        <v>6202</v>
      </c>
      <c r="D399">
        <v>0</v>
      </c>
      <c r="E399">
        <f>IF(AND(A399='Поиск параметров'!$D$4,ISNUMBER(SEARCH('Поиск параметров'!$D$6,B399))),1,0)</f>
        <v>1</v>
      </c>
      <c r="F399">
        <f>IF(E399=1,SUM($E$2:E399),"")</f>
        <v>398</v>
      </c>
    </row>
    <row r="400" spans="1:6">
      <c r="A400" t="s">
        <v>5809</v>
      </c>
      <c r="B400" t="s">
        <v>373</v>
      </c>
      <c r="C400" t="s">
        <v>6203</v>
      </c>
      <c r="D400">
        <v>0</v>
      </c>
      <c r="E400">
        <f>IF(AND(A400='Поиск параметров'!$D$4,ISNUMBER(SEARCH('Поиск параметров'!$D$6,B400))),1,0)</f>
        <v>1</v>
      </c>
      <c r="F400">
        <f>IF(E400=1,SUM($E$2:E400),"")</f>
        <v>399</v>
      </c>
    </row>
    <row r="401" spans="1:6">
      <c r="A401" t="s">
        <v>5809</v>
      </c>
      <c r="B401" t="s">
        <v>374</v>
      </c>
      <c r="C401" t="s">
        <v>6204</v>
      </c>
      <c r="D401">
        <v>0</v>
      </c>
      <c r="E401">
        <f>IF(AND(A401='Поиск параметров'!$D$4,ISNUMBER(SEARCH('Поиск параметров'!$D$6,B401))),1,0)</f>
        <v>1</v>
      </c>
      <c r="F401">
        <f>IF(E401=1,SUM($E$2:E401),"")</f>
        <v>400</v>
      </c>
    </row>
    <row r="402" spans="1:6">
      <c r="A402" t="s">
        <v>5809</v>
      </c>
      <c r="B402" t="s">
        <v>375</v>
      </c>
      <c r="C402" t="s">
        <v>6205</v>
      </c>
      <c r="D402">
        <v>0</v>
      </c>
      <c r="E402">
        <f>IF(AND(A402='Поиск параметров'!$D$4,ISNUMBER(SEARCH('Поиск параметров'!$D$6,B402))),1,0)</f>
        <v>1</v>
      </c>
      <c r="F402">
        <f>IF(E402=1,SUM($E$2:E402),"")</f>
        <v>401</v>
      </c>
    </row>
    <row r="403" spans="1:6">
      <c r="A403" t="s">
        <v>5809</v>
      </c>
      <c r="B403" t="s">
        <v>376</v>
      </c>
      <c r="C403" t="s">
        <v>6206</v>
      </c>
      <c r="D403">
        <v>0</v>
      </c>
      <c r="E403">
        <f>IF(AND(A403='Поиск параметров'!$D$4,ISNUMBER(SEARCH('Поиск параметров'!$D$6,B403))),1,0)</f>
        <v>1</v>
      </c>
      <c r="F403">
        <f>IF(E403=1,SUM($E$2:E403),"")</f>
        <v>402</v>
      </c>
    </row>
    <row r="404" spans="1:6">
      <c r="A404" t="s">
        <v>5809</v>
      </c>
      <c r="B404" t="s">
        <v>377</v>
      </c>
      <c r="C404" t="s">
        <v>6207</v>
      </c>
      <c r="D404">
        <v>0</v>
      </c>
      <c r="E404">
        <f>IF(AND(A404='Поиск параметров'!$D$4,ISNUMBER(SEARCH('Поиск параметров'!$D$6,B404))),1,0)</f>
        <v>1</v>
      </c>
      <c r="F404">
        <f>IF(E404=1,SUM($E$2:E404),"")</f>
        <v>403</v>
      </c>
    </row>
    <row r="405" spans="1:6">
      <c r="A405" t="s">
        <v>5809</v>
      </c>
      <c r="B405" t="s">
        <v>378</v>
      </c>
      <c r="C405" t="s">
        <v>6208</v>
      </c>
      <c r="D405">
        <v>0</v>
      </c>
      <c r="E405">
        <f>IF(AND(A405='Поиск параметров'!$D$4,ISNUMBER(SEARCH('Поиск параметров'!$D$6,B405))),1,0)</f>
        <v>1</v>
      </c>
      <c r="F405">
        <f>IF(E405=1,SUM($E$2:E405),"")</f>
        <v>404</v>
      </c>
    </row>
    <row r="406" spans="1:6">
      <c r="A406" t="s">
        <v>5809</v>
      </c>
      <c r="B406" t="s">
        <v>379</v>
      </c>
      <c r="C406" t="s">
        <v>6209</v>
      </c>
      <c r="D406">
        <v>0</v>
      </c>
      <c r="E406">
        <f>IF(AND(A406='Поиск параметров'!$D$4,ISNUMBER(SEARCH('Поиск параметров'!$D$6,B406))),1,0)</f>
        <v>1</v>
      </c>
      <c r="F406">
        <f>IF(E406=1,SUM($E$2:E406),"")</f>
        <v>405</v>
      </c>
    </row>
    <row r="407" spans="1:6">
      <c r="A407" t="s">
        <v>5809</v>
      </c>
      <c r="B407" t="s">
        <v>380</v>
      </c>
      <c r="C407" t="s">
        <v>6210</v>
      </c>
      <c r="D407">
        <v>0</v>
      </c>
      <c r="E407">
        <f>IF(AND(A407='Поиск параметров'!$D$4,ISNUMBER(SEARCH('Поиск параметров'!$D$6,B407))),1,0)</f>
        <v>1</v>
      </c>
      <c r="F407">
        <f>IF(E407=1,SUM($E$2:E407),"")</f>
        <v>406</v>
      </c>
    </row>
    <row r="408" spans="1:6">
      <c r="A408" t="s">
        <v>5809</v>
      </c>
      <c r="B408" t="s">
        <v>381</v>
      </c>
      <c r="C408" t="s">
        <v>6211</v>
      </c>
      <c r="D408">
        <v>0</v>
      </c>
      <c r="E408">
        <f>IF(AND(A408='Поиск параметров'!$D$4,ISNUMBER(SEARCH('Поиск параметров'!$D$6,B408))),1,0)</f>
        <v>1</v>
      </c>
      <c r="F408">
        <f>IF(E408=1,SUM($E$2:E408),"")</f>
        <v>407</v>
      </c>
    </row>
    <row r="409" spans="1:6">
      <c r="A409" t="s">
        <v>5809</v>
      </c>
      <c r="B409" t="s">
        <v>382</v>
      </c>
      <c r="C409" t="s">
        <v>6212</v>
      </c>
      <c r="D409">
        <v>0</v>
      </c>
      <c r="E409">
        <f>IF(AND(A409='Поиск параметров'!$D$4,ISNUMBER(SEARCH('Поиск параметров'!$D$6,B409))),1,0)</f>
        <v>1</v>
      </c>
      <c r="F409">
        <f>IF(E409=1,SUM($E$2:E409),"")</f>
        <v>408</v>
      </c>
    </row>
    <row r="410" spans="1:6">
      <c r="A410" t="s">
        <v>5809</v>
      </c>
      <c r="B410" t="s">
        <v>383</v>
      </c>
      <c r="C410" t="s">
        <v>6213</v>
      </c>
      <c r="D410">
        <v>0</v>
      </c>
      <c r="E410">
        <f>IF(AND(A410='Поиск параметров'!$D$4,ISNUMBER(SEARCH('Поиск параметров'!$D$6,B410))),1,0)</f>
        <v>1</v>
      </c>
      <c r="F410">
        <f>IF(E410=1,SUM($E$2:E410),"")</f>
        <v>409</v>
      </c>
    </row>
    <row r="411" spans="1:6">
      <c r="A411" t="s">
        <v>5809</v>
      </c>
      <c r="B411" t="s">
        <v>384</v>
      </c>
      <c r="C411" t="s">
        <v>6214</v>
      </c>
      <c r="D411">
        <v>0</v>
      </c>
      <c r="E411">
        <f>IF(AND(A411='Поиск параметров'!$D$4,ISNUMBER(SEARCH('Поиск параметров'!$D$6,B411))),1,0)</f>
        <v>1</v>
      </c>
      <c r="F411">
        <f>IF(E411=1,SUM($E$2:E411),"")</f>
        <v>410</v>
      </c>
    </row>
    <row r="412" spans="1:6">
      <c r="A412" t="s">
        <v>5809</v>
      </c>
      <c r="B412" t="s">
        <v>385</v>
      </c>
      <c r="C412" t="s">
        <v>6215</v>
      </c>
      <c r="D412">
        <v>0</v>
      </c>
      <c r="E412">
        <f>IF(AND(A412='Поиск параметров'!$D$4,ISNUMBER(SEARCH('Поиск параметров'!$D$6,B412))),1,0)</f>
        <v>1</v>
      </c>
      <c r="F412">
        <f>IF(E412=1,SUM($E$2:E412),"")</f>
        <v>411</v>
      </c>
    </row>
    <row r="413" spans="1:6">
      <c r="A413" t="s">
        <v>5809</v>
      </c>
      <c r="B413" t="s">
        <v>386</v>
      </c>
      <c r="C413" t="s">
        <v>6216</v>
      </c>
      <c r="D413">
        <v>0</v>
      </c>
      <c r="E413">
        <f>IF(AND(A413='Поиск параметров'!$D$4,ISNUMBER(SEARCH('Поиск параметров'!$D$6,B413))),1,0)</f>
        <v>1</v>
      </c>
      <c r="F413">
        <f>IF(E413=1,SUM($E$2:E413),"")</f>
        <v>412</v>
      </c>
    </row>
    <row r="414" spans="1:6">
      <c r="A414" t="s">
        <v>5809</v>
      </c>
      <c r="B414" t="s">
        <v>387</v>
      </c>
      <c r="C414" t="s">
        <v>6217</v>
      </c>
      <c r="D414">
        <v>0</v>
      </c>
      <c r="E414">
        <f>IF(AND(A414='Поиск параметров'!$D$4,ISNUMBER(SEARCH('Поиск параметров'!$D$6,B414))),1,0)</f>
        <v>1</v>
      </c>
      <c r="F414">
        <f>IF(E414=1,SUM($E$2:E414),"")</f>
        <v>413</v>
      </c>
    </row>
    <row r="415" spans="1:6">
      <c r="A415" t="s">
        <v>5809</v>
      </c>
      <c r="B415" t="s">
        <v>388</v>
      </c>
      <c r="C415" t="s">
        <v>6218</v>
      </c>
      <c r="D415">
        <v>0</v>
      </c>
      <c r="E415">
        <f>IF(AND(A415='Поиск параметров'!$D$4,ISNUMBER(SEARCH('Поиск параметров'!$D$6,B415))),1,0)</f>
        <v>1</v>
      </c>
      <c r="F415">
        <f>IF(E415=1,SUM($E$2:E415),"")</f>
        <v>414</v>
      </c>
    </row>
    <row r="416" spans="1:6">
      <c r="A416" t="s">
        <v>5809</v>
      </c>
      <c r="B416" t="s">
        <v>389</v>
      </c>
      <c r="C416" t="s">
        <v>6219</v>
      </c>
      <c r="D416">
        <v>0</v>
      </c>
      <c r="E416">
        <f>IF(AND(A416='Поиск параметров'!$D$4,ISNUMBER(SEARCH('Поиск параметров'!$D$6,B416))),1,0)</f>
        <v>1</v>
      </c>
      <c r="F416">
        <f>IF(E416=1,SUM($E$2:E416),"")</f>
        <v>415</v>
      </c>
    </row>
    <row r="417" spans="1:6">
      <c r="A417" t="s">
        <v>5809</v>
      </c>
      <c r="B417" t="s">
        <v>390</v>
      </c>
      <c r="C417" t="s">
        <v>6220</v>
      </c>
      <c r="D417">
        <v>0</v>
      </c>
      <c r="E417">
        <f>IF(AND(A417='Поиск параметров'!$D$4,ISNUMBER(SEARCH('Поиск параметров'!$D$6,B417))),1,0)</f>
        <v>1</v>
      </c>
      <c r="F417">
        <f>IF(E417=1,SUM($E$2:E417),"")</f>
        <v>416</v>
      </c>
    </row>
    <row r="418" spans="1:6">
      <c r="A418" t="s">
        <v>5809</v>
      </c>
      <c r="B418" t="s">
        <v>391</v>
      </c>
      <c r="C418" t="s">
        <v>583</v>
      </c>
      <c r="D418">
        <v>0</v>
      </c>
      <c r="E418">
        <f>IF(AND(A418='Поиск параметров'!$D$4,ISNUMBER(SEARCH('Поиск параметров'!$D$6,B418))),1,0)</f>
        <v>1</v>
      </c>
      <c r="F418">
        <f>IF(E418=1,SUM($E$2:E418),"")</f>
        <v>417</v>
      </c>
    </row>
    <row r="419" spans="1:6">
      <c r="A419" t="s">
        <v>5809</v>
      </c>
      <c r="B419" t="s">
        <v>392</v>
      </c>
      <c r="C419" t="s">
        <v>6221</v>
      </c>
      <c r="D419">
        <v>0</v>
      </c>
      <c r="E419">
        <f>IF(AND(A419='Поиск параметров'!$D$4,ISNUMBER(SEARCH('Поиск параметров'!$D$6,B419))),1,0)</f>
        <v>1</v>
      </c>
      <c r="F419">
        <f>IF(E419=1,SUM($E$2:E419),"")</f>
        <v>418</v>
      </c>
    </row>
    <row r="420" spans="1:6">
      <c r="A420" t="s">
        <v>5809</v>
      </c>
      <c r="B420" t="s">
        <v>393</v>
      </c>
      <c r="C420" t="s">
        <v>6222</v>
      </c>
      <c r="D420">
        <v>0</v>
      </c>
      <c r="E420">
        <f>IF(AND(A420='Поиск параметров'!$D$4,ISNUMBER(SEARCH('Поиск параметров'!$D$6,B420))),1,0)</f>
        <v>1</v>
      </c>
      <c r="F420">
        <f>IF(E420=1,SUM($E$2:E420),"")</f>
        <v>419</v>
      </c>
    </row>
    <row r="421" spans="1:6">
      <c r="A421" t="s">
        <v>5809</v>
      </c>
      <c r="B421" t="s">
        <v>394</v>
      </c>
      <c r="C421" t="s">
        <v>6223</v>
      </c>
      <c r="D421">
        <v>0</v>
      </c>
      <c r="E421">
        <f>IF(AND(A421='Поиск параметров'!$D$4,ISNUMBER(SEARCH('Поиск параметров'!$D$6,B421))),1,0)</f>
        <v>1</v>
      </c>
      <c r="F421">
        <f>IF(E421=1,SUM($E$2:E421),"")</f>
        <v>420</v>
      </c>
    </row>
    <row r="422" spans="1:6">
      <c r="A422" t="s">
        <v>5809</v>
      </c>
      <c r="B422" t="s">
        <v>395</v>
      </c>
      <c r="C422" t="s">
        <v>6224</v>
      </c>
      <c r="D422">
        <v>0</v>
      </c>
      <c r="E422">
        <f>IF(AND(A422='Поиск параметров'!$D$4,ISNUMBER(SEARCH('Поиск параметров'!$D$6,B422))),1,0)</f>
        <v>1</v>
      </c>
      <c r="F422">
        <f>IF(E422=1,SUM($E$2:E422),"")</f>
        <v>421</v>
      </c>
    </row>
    <row r="423" spans="1:6">
      <c r="A423" t="s">
        <v>5809</v>
      </c>
      <c r="B423" t="s">
        <v>396</v>
      </c>
      <c r="C423" t="s">
        <v>6225</v>
      </c>
      <c r="D423">
        <v>0</v>
      </c>
      <c r="E423">
        <f>IF(AND(A423='Поиск параметров'!$D$4,ISNUMBER(SEARCH('Поиск параметров'!$D$6,B423))),1,0)</f>
        <v>1</v>
      </c>
      <c r="F423">
        <f>IF(E423=1,SUM($E$2:E423),"")</f>
        <v>422</v>
      </c>
    </row>
    <row r="424" spans="1:6">
      <c r="A424" t="s">
        <v>5809</v>
      </c>
      <c r="B424" t="s">
        <v>397</v>
      </c>
      <c r="C424" t="s">
        <v>6226</v>
      </c>
      <c r="D424">
        <v>199</v>
      </c>
      <c r="E424">
        <f>IF(AND(A424='Поиск параметров'!$D$4,ISNUMBER(SEARCH('Поиск параметров'!$D$6,B424))),1,0)</f>
        <v>1</v>
      </c>
      <c r="F424">
        <f>IF(E424=1,SUM($E$2:E424),"")</f>
        <v>423</v>
      </c>
    </row>
    <row r="425" spans="1:6">
      <c r="A425" t="s">
        <v>5809</v>
      </c>
      <c r="B425" t="s">
        <v>398</v>
      </c>
      <c r="C425" t="s">
        <v>6227</v>
      </c>
      <c r="D425">
        <v>0</v>
      </c>
      <c r="E425">
        <f>IF(AND(A425='Поиск параметров'!$D$4,ISNUMBER(SEARCH('Поиск параметров'!$D$6,B425))),1,0)</f>
        <v>1</v>
      </c>
      <c r="F425">
        <f>IF(E425=1,SUM($E$2:E425),"")</f>
        <v>424</v>
      </c>
    </row>
    <row r="426" spans="1:6">
      <c r="A426" t="s">
        <v>5809</v>
      </c>
      <c r="B426" t="s">
        <v>399</v>
      </c>
      <c r="C426" t="s">
        <v>6228</v>
      </c>
      <c r="D426">
        <v>0</v>
      </c>
      <c r="E426">
        <f>IF(AND(A426='Поиск параметров'!$D$4,ISNUMBER(SEARCH('Поиск параметров'!$D$6,B426))),1,0)</f>
        <v>1</v>
      </c>
      <c r="F426">
        <f>IF(E426=1,SUM($E$2:E426),"")</f>
        <v>425</v>
      </c>
    </row>
    <row r="427" spans="1:6">
      <c r="A427" t="s">
        <v>5809</v>
      </c>
      <c r="B427" t="s">
        <v>400</v>
      </c>
      <c r="C427" t="s">
        <v>6229</v>
      </c>
      <c r="D427">
        <v>0</v>
      </c>
      <c r="E427">
        <f>IF(AND(A427='Поиск параметров'!$D$4,ISNUMBER(SEARCH('Поиск параметров'!$D$6,B427))),1,0)</f>
        <v>1</v>
      </c>
      <c r="F427">
        <f>IF(E427=1,SUM($E$2:E427),"")</f>
        <v>426</v>
      </c>
    </row>
    <row r="428" spans="1:6">
      <c r="A428" t="s">
        <v>5809</v>
      </c>
      <c r="B428" t="s">
        <v>401</v>
      </c>
      <c r="C428" t="s">
        <v>6230</v>
      </c>
      <c r="D428">
        <v>0</v>
      </c>
      <c r="E428">
        <f>IF(AND(A428='Поиск параметров'!$D$4,ISNUMBER(SEARCH('Поиск параметров'!$D$6,B428))),1,0)</f>
        <v>1</v>
      </c>
      <c r="F428">
        <f>IF(E428=1,SUM($E$2:E428),"")</f>
        <v>427</v>
      </c>
    </row>
    <row r="429" spans="1:6">
      <c r="A429" t="s">
        <v>5809</v>
      </c>
      <c r="B429" t="s">
        <v>402</v>
      </c>
      <c r="C429" t="s">
        <v>6231</v>
      </c>
      <c r="D429">
        <v>0</v>
      </c>
      <c r="E429">
        <f>IF(AND(A429='Поиск параметров'!$D$4,ISNUMBER(SEARCH('Поиск параметров'!$D$6,B429))),1,0)</f>
        <v>1</v>
      </c>
      <c r="F429">
        <f>IF(E429=1,SUM($E$2:E429),"")</f>
        <v>428</v>
      </c>
    </row>
    <row r="430" spans="1:6">
      <c r="A430" t="s">
        <v>5809</v>
      </c>
      <c r="B430" t="s">
        <v>403</v>
      </c>
      <c r="C430" t="s">
        <v>6232</v>
      </c>
      <c r="D430">
        <v>0</v>
      </c>
      <c r="E430">
        <f>IF(AND(A430='Поиск параметров'!$D$4,ISNUMBER(SEARCH('Поиск параметров'!$D$6,B430))),1,0)</f>
        <v>1</v>
      </c>
      <c r="F430">
        <f>IF(E430=1,SUM($E$2:E430),"")</f>
        <v>429</v>
      </c>
    </row>
    <row r="431" spans="1:6">
      <c r="A431" t="s">
        <v>5809</v>
      </c>
      <c r="B431" t="s">
        <v>404</v>
      </c>
      <c r="C431" t="s">
        <v>6233</v>
      </c>
      <c r="D431">
        <v>0</v>
      </c>
      <c r="E431">
        <f>IF(AND(A431='Поиск параметров'!$D$4,ISNUMBER(SEARCH('Поиск параметров'!$D$6,B431))),1,0)</f>
        <v>1</v>
      </c>
      <c r="F431">
        <f>IF(E431=1,SUM($E$2:E431),"")</f>
        <v>430</v>
      </c>
    </row>
    <row r="432" spans="1:6">
      <c r="A432" t="s">
        <v>5809</v>
      </c>
      <c r="B432" t="s">
        <v>405</v>
      </c>
      <c r="C432" t="s">
        <v>6234</v>
      </c>
      <c r="D432">
        <v>0</v>
      </c>
      <c r="E432">
        <f>IF(AND(A432='Поиск параметров'!$D$4,ISNUMBER(SEARCH('Поиск параметров'!$D$6,B432))),1,0)</f>
        <v>1</v>
      </c>
      <c r="F432">
        <f>IF(E432=1,SUM($E$2:E432),"")</f>
        <v>431</v>
      </c>
    </row>
    <row r="433" spans="1:6">
      <c r="A433" t="s">
        <v>5809</v>
      </c>
      <c r="B433" t="s">
        <v>406</v>
      </c>
      <c r="C433" t="s">
        <v>6235</v>
      </c>
      <c r="D433">
        <v>0</v>
      </c>
      <c r="E433">
        <f>IF(AND(A433='Поиск параметров'!$D$4,ISNUMBER(SEARCH('Поиск параметров'!$D$6,B433))),1,0)</f>
        <v>1</v>
      </c>
      <c r="F433">
        <f>IF(E433=1,SUM($E$2:E433),"")</f>
        <v>432</v>
      </c>
    </row>
    <row r="434" spans="1:6">
      <c r="A434" t="s">
        <v>5809</v>
      </c>
      <c r="B434" t="s">
        <v>407</v>
      </c>
      <c r="C434" t="s">
        <v>6236</v>
      </c>
      <c r="D434">
        <v>0</v>
      </c>
      <c r="E434">
        <f>IF(AND(A434='Поиск параметров'!$D$4,ISNUMBER(SEARCH('Поиск параметров'!$D$6,B434))),1,0)</f>
        <v>1</v>
      </c>
      <c r="F434">
        <f>IF(E434=1,SUM($E$2:E434),"")</f>
        <v>433</v>
      </c>
    </row>
    <row r="435" spans="1:6">
      <c r="A435" t="s">
        <v>5809</v>
      </c>
      <c r="B435" t="s">
        <v>408</v>
      </c>
      <c r="C435" t="s">
        <v>6237</v>
      </c>
      <c r="D435">
        <v>0</v>
      </c>
      <c r="E435">
        <f>IF(AND(A435='Поиск параметров'!$D$4,ISNUMBER(SEARCH('Поиск параметров'!$D$6,B435))),1,0)</f>
        <v>1</v>
      </c>
      <c r="F435">
        <f>IF(E435=1,SUM($E$2:E435),"")</f>
        <v>434</v>
      </c>
    </row>
    <row r="436" spans="1:6">
      <c r="A436" t="s">
        <v>5809</v>
      </c>
      <c r="B436" t="s">
        <v>409</v>
      </c>
      <c r="C436" t="s">
        <v>6238</v>
      </c>
      <c r="D436">
        <v>0</v>
      </c>
      <c r="E436">
        <f>IF(AND(A436='Поиск параметров'!$D$4,ISNUMBER(SEARCH('Поиск параметров'!$D$6,B436))),1,0)</f>
        <v>1</v>
      </c>
      <c r="F436">
        <f>IF(E436=1,SUM($E$2:E436),"")</f>
        <v>435</v>
      </c>
    </row>
    <row r="437" spans="1:6">
      <c r="A437" t="s">
        <v>5809</v>
      </c>
      <c r="B437" t="s">
        <v>410</v>
      </c>
      <c r="C437" t="s">
        <v>6239</v>
      </c>
      <c r="D437">
        <v>0</v>
      </c>
      <c r="E437">
        <f>IF(AND(A437='Поиск параметров'!$D$4,ISNUMBER(SEARCH('Поиск параметров'!$D$6,B437))),1,0)</f>
        <v>1</v>
      </c>
      <c r="F437">
        <f>IF(E437=1,SUM($E$2:E437),"")</f>
        <v>436</v>
      </c>
    </row>
    <row r="438" spans="1:6">
      <c r="A438" t="s">
        <v>5809</v>
      </c>
      <c r="B438" t="s">
        <v>411</v>
      </c>
      <c r="C438" t="s">
        <v>6240</v>
      </c>
      <c r="D438">
        <v>0</v>
      </c>
      <c r="E438">
        <f>IF(AND(A438='Поиск параметров'!$D$4,ISNUMBER(SEARCH('Поиск параметров'!$D$6,B438))),1,0)</f>
        <v>1</v>
      </c>
      <c r="F438">
        <f>IF(E438=1,SUM($E$2:E438),"")</f>
        <v>437</v>
      </c>
    </row>
    <row r="439" spans="1:6">
      <c r="A439" t="s">
        <v>5809</v>
      </c>
      <c r="B439" t="s">
        <v>412</v>
      </c>
      <c r="C439" t="s">
        <v>6241</v>
      </c>
      <c r="D439">
        <v>0</v>
      </c>
      <c r="E439">
        <f>IF(AND(A439='Поиск параметров'!$D$4,ISNUMBER(SEARCH('Поиск параметров'!$D$6,B439))),1,0)</f>
        <v>1</v>
      </c>
      <c r="F439">
        <f>IF(E439=1,SUM($E$2:E439),"")</f>
        <v>438</v>
      </c>
    </row>
    <row r="440" spans="1:6">
      <c r="A440" t="s">
        <v>5809</v>
      </c>
      <c r="B440" t="s">
        <v>413</v>
      </c>
      <c r="C440" t="s">
        <v>6242</v>
      </c>
      <c r="D440">
        <v>0</v>
      </c>
      <c r="E440">
        <f>IF(AND(A440='Поиск параметров'!$D$4,ISNUMBER(SEARCH('Поиск параметров'!$D$6,B440))),1,0)</f>
        <v>1</v>
      </c>
      <c r="F440">
        <f>IF(E440=1,SUM($E$2:E440),"")</f>
        <v>439</v>
      </c>
    </row>
    <row r="441" spans="1:6">
      <c r="A441" t="s">
        <v>5809</v>
      </c>
      <c r="B441" t="s">
        <v>414</v>
      </c>
      <c r="C441" t="s">
        <v>6243</v>
      </c>
      <c r="D441">
        <v>200</v>
      </c>
      <c r="E441">
        <f>IF(AND(A441='Поиск параметров'!$D$4,ISNUMBER(SEARCH('Поиск параметров'!$D$6,B441))),1,0)</f>
        <v>1</v>
      </c>
      <c r="F441">
        <f>IF(E441=1,SUM($E$2:E441),"")</f>
        <v>440</v>
      </c>
    </row>
    <row r="442" spans="1:6">
      <c r="A442" t="s">
        <v>5809</v>
      </c>
      <c r="B442" t="s">
        <v>415</v>
      </c>
      <c r="C442" t="s">
        <v>6244</v>
      </c>
      <c r="D442">
        <v>201</v>
      </c>
      <c r="E442">
        <f>IF(AND(A442='Поиск параметров'!$D$4,ISNUMBER(SEARCH('Поиск параметров'!$D$6,B442))),1,0)</f>
        <v>1</v>
      </c>
      <c r="F442">
        <f>IF(E442=1,SUM($E$2:E442),"")</f>
        <v>441</v>
      </c>
    </row>
    <row r="443" spans="1:6">
      <c r="A443" t="s">
        <v>5809</v>
      </c>
      <c r="B443" t="s">
        <v>416</v>
      </c>
      <c r="C443" t="s">
        <v>6245</v>
      </c>
      <c r="D443">
        <v>0</v>
      </c>
      <c r="E443">
        <f>IF(AND(A443='Поиск параметров'!$D$4,ISNUMBER(SEARCH('Поиск параметров'!$D$6,B443))),1,0)</f>
        <v>1</v>
      </c>
      <c r="F443">
        <f>IF(E443=1,SUM($E$2:E443),"")</f>
        <v>442</v>
      </c>
    </row>
    <row r="444" spans="1:6">
      <c r="A444" t="s">
        <v>5809</v>
      </c>
      <c r="B444" t="s">
        <v>417</v>
      </c>
      <c r="C444" t="s">
        <v>6246</v>
      </c>
      <c r="D444">
        <v>202</v>
      </c>
      <c r="E444">
        <f>IF(AND(A444='Поиск параметров'!$D$4,ISNUMBER(SEARCH('Поиск параметров'!$D$6,B444))),1,0)</f>
        <v>1</v>
      </c>
      <c r="F444">
        <f>IF(E444=1,SUM($E$2:E444),"")</f>
        <v>443</v>
      </c>
    </row>
    <row r="445" spans="1:6">
      <c r="A445" t="s">
        <v>5809</v>
      </c>
      <c r="B445" t="s">
        <v>418</v>
      </c>
      <c r="C445" t="s">
        <v>6247</v>
      </c>
      <c r="D445">
        <v>203</v>
      </c>
      <c r="E445">
        <f>IF(AND(A445='Поиск параметров'!$D$4,ISNUMBER(SEARCH('Поиск параметров'!$D$6,B445))),1,0)</f>
        <v>1</v>
      </c>
      <c r="F445">
        <f>IF(E445=1,SUM($E$2:E445),"")</f>
        <v>444</v>
      </c>
    </row>
    <row r="446" spans="1:6">
      <c r="A446" t="s">
        <v>5809</v>
      </c>
      <c r="B446" t="s">
        <v>419</v>
      </c>
      <c r="C446" t="s">
        <v>6248</v>
      </c>
      <c r="D446">
        <v>204</v>
      </c>
      <c r="E446">
        <f>IF(AND(A446='Поиск параметров'!$D$4,ISNUMBER(SEARCH('Поиск параметров'!$D$6,B446))),1,0)</f>
        <v>1</v>
      </c>
      <c r="F446">
        <f>IF(E446=1,SUM($E$2:E446),"")</f>
        <v>445</v>
      </c>
    </row>
    <row r="447" spans="1:6">
      <c r="A447" t="s">
        <v>5809</v>
      </c>
      <c r="B447" t="s">
        <v>420</v>
      </c>
      <c r="C447" t="s">
        <v>6249</v>
      </c>
      <c r="D447">
        <v>205</v>
      </c>
      <c r="E447">
        <f>IF(AND(A447='Поиск параметров'!$D$4,ISNUMBER(SEARCH('Поиск параметров'!$D$6,B447))),1,0)</f>
        <v>1</v>
      </c>
      <c r="F447">
        <f>IF(E447=1,SUM($E$2:E447),"")</f>
        <v>446</v>
      </c>
    </row>
    <row r="448" spans="1:6">
      <c r="A448" t="s">
        <v>5809</v>
      </c>
      <c r="B448" t="s">
        <v>421</v>
      </c>
      <c r="C448" t="s">
        <v>6250</v>
      </c>
      <c r="D448">
        <v>0</v>
      </c>
      <c r="E448">
        <f>IF(AND(A448='Поиск параметров'!$D$4,ISNUMBER(SEARCH('Поиск параметров'!$D$6,B448))),1,0)</f>
        <v>1</v>
      </c>
      <c r="F448">
        <f>IF(E448=1,SUM($E$2:E448),"")</f>
        <v>447</v>
      </c>
    </row>
    <row r="449" spans="1:6">
      <c r="A449" t="s">
        <v>5809</v>
      </c>
      <c r="B449" t="s">
        <v>422</v>
      </c>
      <c r="C449" t="s">
        <v>6251</v>
      </c>
      <c r="D449">
        <v>206</v>
      </c>
      <c r="E449">
        <f>IF(AND(A449='Поиск параметров'!$D$4,ISNUMBER(SEARCH('Поиск параметров'!$D$6,B449))),1,0)</f>
        <v>1</v>
      </c>
      <c r="F449">
        <f>IF(E449=1,SUM($E$2:E449),"")</f>
        <v>448</v>
      </c>
    </row>
    <row r="450" spans="1:6">
      <c r="A450" t="s">
        <v>5809</v>
      </c>
      <c r="B450" t="s">
        <v>423</v>
      </c>
      <c r="C450" t="s">
        <v>6252</v>
      </c>
      <c r="D450">
        <v>207</v>
      </c>
      <c r="E450">
        <f>IF(AND(A450='Поиск параметров'!$D$4,ISNUMBER(SEARCH('Поиск параметров'!$D$6,B450))),1,0)</f>
        <v>1</v>
      </c>
      <c r="F450">
        <f>IF(E450=1,SUM($E$2:E450),"")</f>
        <v>449</v>
      </c>
    </row>
    <row r="451" spans="1:6">
      <c r="A451" t="s">
        <v>5809</v>
      </c>
      <c r="B451" t="s">
        <v>424</v>
      </c>
      <c r="C451" t="s">
        <v>6253</v>
      </c>
      <c r="D451">
        <v>208</v>
      </c>
      <c r="E451">
        <f>IF(AND(A451='Поиск параметров'!$D$4,ISNUMBER(SEARCH('Поиск параметров'!$D$6,B451))),1,0)</f>
        <v>1</v>
      </c>
      <c r="F451">
        <f>IF(E451=1,SUM($E$2:E451),"")</f>
        <v>450</v>
      </c>
    </row>
    <row r="452" spans="1:6">
      <c r="A452" t="s">
        <v>5809</v>
      </c>
      <c r="B452" t="s">
        <v>425</v>
      </c>
      <c r="C452" t="s">
        <v>6254</v>
      </c>
      <c r="D452">
        <v>209</v>
      </c>
      <c r="E452">
        <f>IF(AND(A452='Поиск параметров'!$D$4,ISNUMBER(SEARCH('Поиск параметров'!$D$6,B452))),1,0)</f>
        <v>1</v>
      </c>
      <c r="F452">
        <f>IF(E452=1,SUM($E$2:E452),"")</f>
        <v>451</v>
      </c>
    </row>
    <row r="453" spans="1:6">
      <c r="A453" t="s">
        <v>5809</v>
      </c>
      <c r="B453" t="s">
        <v>426</v>
      </c>
      <c r="C453" t="s">
        <v>6255</v>
      </c>
      <c r="D453">
        <v>0</v>
      </c>
      <c r="E453">
        <f>IF(AND(A453='Поиск параметров'!$D$4,ISNUMBER(SEARCH('Поиск параметров'!$D$6,B453))),1,0)</f>
        <v>1</v>
      </c>
      <c r="F453">
        <f>IF(E453=1,SUM($E$2:E453),"")</f>
        <v>452</v>
      </c>
    </row>
    <row r="454" spans="1:6">
      <c r="A454" t="s">
        <v>5809</v>
      </c>
      <c r="B454" t="s">
        <v>427</v>
      </c>
      <c r="C454" t="s">
        <v>6256</v>
      </c>
      <c r="D454">
        <v>210</v>
      </c>
      <c r="E454">
        <f>IF(AND(A454='Поиск параметров'!$D$4,ISNUMBER(SEARCH('Поиск параметров'!$D$6,B454))),1,0)</f>
        <v>1</v>
      </c>
      <c r="F454">
        <f>IF(E454=1,SUM($E$2:E454),"")</f>
        <v>453</v>
      </c>
    </row>
    <row r="455" spans="1:6">
      <c r="A455" t="s">
        <v>5809</v>
      </c>
      <c r="B455" t="s">
        <v>428</v>
      </c>
      <c r="C455" t="s">
        <v>6257</v>
      </c>
      <c r="D455">
        <v>211</v>
      </c>
      <c r="E455">
        <f>IF(AND(A455='Поиск параметров'!$D$4,ISNUMBER(SEARCH('Поиск параметров'!$D$6,B455))),1,0)</f>
        <v>1</v>
      </c>
      <c r="F455">
        <f>IF(E455=1,SUM($E$2:E455),"")</f>
        <v>454</v>
      </c>
    </row>
    <row r="456" spans="1:6">
      <c r="A456" t="s">
        <v>5809</v>
      </c>
      <c r="B456" t="s">
        <v>429</v>
      </c>
      <c r="C456" t="s">
        <v>6258</v>
      </c>
      <c r="D456">
        <v>212</v>
      </c>
      <c r="E456">
        <f>IF(AND(A456='Поиск параметров'!$D$4,ISNUMBER(SEARCH('Поиск параметров'!$D$6,B456))),1,0)</f>
        <v>1</v>
      </c>
      <c r="F456">
        <f>IF(E456=1,SUM($E$2:E456),"")</f>
        <v>455</v>
      </c>
    </row>
    <row r="457" spans="1:6">
      <c r="A457" t="s">
        <v>5809</v>
      </c>
      <c r="B457" t="s">
        <v>430</v>
      </c>
      <c r="C457" t="s">
        <v>6259</v>
      </c>
      <c r="D457">
        <v>213</v>
      </c>
      <c r="E457">
        <f>IF(AND(A457='Поиск параметров'!$D$4,ISNUMBER(SEARCH('Поиск параметров'!$D$6,B457))),1,0)</f>
        <v>1</v>
      </c>
      <c r="F457">
        <f>IF(E457=1,SUM($E$2:E457),"")</f>
        <v>456</v>
      </c>
    </row>
    <row r="458" spans="1:6">
      <c r="A458" t="s">
        <v>5809</v>
      </c>
      <c r="B458" t="s">
        <v>431</v>
      </c>
      <c r="C458" t="s">
        <v>6260</v>
      </c>
      <c r="D458">
        <v>0</v>
      </c>
      <c r="E458">
        <f>IF(AND(A458='Поиск параметров'!$D$4,ISNUMBER(SEARCH('Поиск параметров'!$D$6,B458))),1,0)</f>
        <v>1</v>
      </c>
      <c r="F458">
        <f>IF(E458=1,SUM($E$2:E458),"")</f>
        <v>457</v>
      </c>
    </row>
    <row r="459" spans="1:6">
      <c r="A459" t="s">
        <v>5809</v>
      </c>
      <c r="B459" t="s">
        <v>432</v>
      </c>
      <c r="C459" t="s">
        <v>6261</v>
      </c>
      <c r="D459">
        <v>214</v>
      </c>
      <c r="E459">
        <f>IF(AND(A459='Поиск параметров'!$D$4,ISNUMBER(SEARCH('Поиск параметров'!$D$6,B459))),1,0)</f>
        <v>1</v>
      </c>
      <c r="F459">
        <f>IF(E459=1,SUM($E$2:E459),"")</f>
        <v>458</v>
      </c>
    </row>
    <row r="460" spans="1:6">
      <c r="A460" t="s">
        <v>5809</v>
      </c>
      <c r="B460" t="s">
        <v>433</v>
      </c>
      <c r="C460" t="s">
        <v>6262</v>
      </c>
      <c r="D460">
        <v>215</v>
      </c>
      <c r="E460">
        <f>IF(AND(A460='Поиск параметров'!$D$4,ISNUMBER(SEARCH('Поиск параметров'!$D$6,B460))),1,0)</f>
        <v>1</v>
      </c>
      <c r="F460">
        <f>IF(E460=1,SUM($E$2:E460),"")</f>
        <v>459</v>
      </c>
    </row>
    <row r="461" spans="1:6">
      <c r="A461" t="s">
        <v>5809</v>
      </c>
      <c r="B461" t="s">
        <v>434</v>
      </c>
      <c r="C461" t="s">
        <v>6263</v>
      </c>
      <c r="D461">
        <v>216</v>
      </c>
      <c r="E461">
        <f>IF(AND(A461='Поиск параметров'!$D$4,ISNUMBER(SEARCH('Поиск параметров'!$D$6,B461))),1,0)</f>
        <v>1</v>
      </c>
      <c r="F461">
        <f>IF(E461=1,SUM($E$2:E461),"")</f>
        <v>460</v>
      </c>
    </row>
    <row r="462" spans="1:6">
      <c r="A462" t="s">
        <v>5809</v>
      </c>
      <c r="B462" t="s">
        <v>435</v>
      </c>
      <c r="C462" t="s">
        <v>6264</v>
      </c>
      <c r="D462">
        <v>217</v>
      </c>
      <c r="E462">
        <f>IF(AND(A462='Поиск параметров'!$D$4,ISNUMBER(SEARCH('Поиск параметров'!$D$6,B462))),1,0)</f>
        <v>1</v>
      </c>
      <c r="F462">
        <f>IF(E462=1,SUM($E$2:E462),"")</f>
        <v>461</v>
      </c>
    </row>
    <row r="463" spans="1:6">
      <c r="A463" t="s">
        <v>5809</v>
      </c>
      <c r="B463" t="s">
        <v>436</v>
      </c>
      <c r="C463" t="s">
        <v>6265</v>
      </c>
      <c r="D463">
        <v>0</v>
      </c>
      <c r="E463">
        <f>IF(AND(A463='Поиск параметров'!$D$4,ISNUMBER(SEARCH('Поиск параметров'!$D$6,B463))),1,0)</f>
        <v>1</v>
      </c>
      <c r="F463">
        <f>IF(E463=1,SUM($E$2:E463),"")</f>
        <v>462</v>
      </c>
    </row>
    <row r="464" spans="1:6">
      <c r="A464" t="s">
        <v>5809</v>
      </c>
      <c r="B464" t="s">
        <v>437</v>
      </c>
      <c r="C464" t="s">
        <v>6266</v>
      </c>
      <c r="D464">
        <v>218</v>
      </c>
      <c r="E464">
        <f>IF(AND(A464='Поиск параметров'!$D$4,ISNUMBER(SEARCH('Поиск параметров'!$D$6,B464))),1,0)</f>
        <v>1</v>
      </c>
      <c r="F464">
        <f>IF(E464=1,SUM($E$2:E464),"")</f>
        <v>463</v>
      </c>
    </row>
    <row r="465" spans="1:6">
      <c r="A465" t="s">
        <v>5809</v>
      </c>
      <c r="B465" t="s">
        <v>438</v>
      </c>
      <c r="C465" t="s">
        <v>6267</v>
      </c>
      <c r="D465">
        <v>219</v>
      </c>
      <c r="E465">
        <f>IF(AND(A465='Поиск параметров'!$D$4,ISNUMBER(SEARCH('Поиск параметров'!$D$6,B465))),1,0)</f>
        <v>1</v>
      </c>
      <c r="F465">
        <f>IF(E465=1,SUM($E$2:E465),"")</f>
        <v>464</v>
      </c>
    </row>
    <row r="466" spans="1:6">
      <c r="A466" t="s">
        <v>5809</v>
      </c>
      <c r="B466" t="s">
        <v>439</v>
      </c>
      <c r="C466" t="s">
        <v>6268</v>
      </c>
      <c r="D466">
        <v>220</v>
      </c>
      <c r="E466">
        <f>IF(AND(A466='Поиск параметров'!$D$4,ISNUMBER(SEARCH('Поиск параметров'!$D$6,B466))),1,0)</f>
        <v>1</v>
      </c>
      <c r="F466">
        <f>IF(E466=1,SUM($E$2:E466),"")</f>
        <v>465</v>
      </c>
    </row>
    <row r="467" spans="1:6">
      <c r="A467" t="s">
        <v>5809</v>
      </c>
      <c r="B467" t="s">
        <v>440</v>
      </c>
      <c r="C467" t="s">
        <v>6269</v>
      </c>
      <c r="D467">
        <v>221</v>
      </c>
      <c r="E467">
        <f>IF(AND(A467='Поиск параметров'!$D$4,ISNUMBER(SEARCH('Поиск параметров'!$D$6,B467))),1,0)</f>
        <v>1</v>
      </c>
      <c r="F467">
        <f>IF(E467=1,SUM($E$2:E467),"")</f>
        <v>466</v>
      </c>
    </row>
    <row r="468" spans="1:6">
      <c r="A468" t="s">
        <v>5809</v>
      </c>
      <c r="B468" t="s">
        <v>441</v>
      </c>
      <c r="C468" t="s">
        <v>6270</v>
      </c>
      <c r="D468">
        <v>0</v>
      </c>
      <c r="E468">
        <f>IF(AND(A468='Поиск параметров'!$D$4,ISNUMBER(SEARCH('Поиск параметров'!$D$6,B468))),1,0)</f>
        <v>1</v>
      </c>
      <c r="F468">
        <f>IF(E468=1,SUM($E$2:E468),"")</f>
        <v>467</v>
      </c>
    </row>
    <row r="469" spans="1:6">
      <c r="A469" t="s">
        <v>5809</v>
      </c>
      <c r="B469" t="s">
        <v>442</v>
      </c>
      <c r="C469" t="s">
        <v>6271</v>
      </c>
      <c r="D469">
        <v>222</v>
      </c>
      <c r="E469">
        <f>IF(AND(A469='Поиск параметров'!$D$4,ISNUMBER(SEARCH('Поиск параметров'!$D$6,B469))),1,0)</f>
        <v>1</v>
      </c>
      <c r="F469">
        <f>IF(E469=1,SUM($E$2:E469),"")</f>
        <v>468</v>
      </c>
    </row>
    <row r="470" spans="1:6">
      <c r="A470" t="s">
        <v>5809</v>
      </c>
      <c r="B470" t="s">
        <v>443</v>
      </c>
      <c r="C470" t="s">
        <v>6272</v>
      </c>
      <c r="D470">
        <v>223</v>
      </c>
      <c r="E470">
        <f>IF(AND(A470='Поиск параметров'!$D$4,ISNUMBER(SEARCH('Поиск параметров'!$D$6,B470))),1,0)</f>
        <v>1</v>
      </c>
      <c r="F470">
        <f>IF(E470=1,SUM($E$2:E470),"")</f>
        <v>469</v>
      </c>
    </row>
    <row r="471" spans="1:6">
      <c r="A471" t="s">
        <v>5809</v>
      </c>
      <c r="B471" t="s">
        <v>444</v>
      </c>
      <c r="C471" t="s">
        <v>6273</v>
      </c>
      <c r="D471">
        <v>224</v>
      </c>
      <c r="E471">
        <f>IF(AND(A471='Поиск параметров'!$D$4,ISNUMBER(SEARCH('Поиск параметров'!$D$6,B471))),1,0)</f>
        <v>1</v>
      </c>
      <c r="F471">
        <f>IF(E471=1,SUM($E$2:E471),"")</f>
        <v>470</v>
      </c>
    </row>
    <row r="472" spans="1:6">
      <c r="A472" t="s">
        <v>5809</v>
      </c>
      <c r="B472" t="s">
        <v>445</v>
      </c>
      <c r="C472" t="s">
        <v>6274</v>
      </c>
      <c r="D472">
        <v>0</v>
      </c>
      <c r="E472">
        <f>IF(AND(A472='Поиск параметров'!$D$4,ISNUMBER(SEARCH('Поиск параметров'!$D$6,B472))),1,0)</f>
        <v>1</v>
      </c>
      <c r="F472">
        <f>IF(E472=1,SUM($E$2:E472),"")</f>
        <v>471</v>
      </c>
    </row>
    <row r="473" spans="1:6">
      <c r="A473" t="s">
        <v>5809</v>
      </c>
      <c r="B473" t="s">
        <v>446</v>
      </c>
      <c r="C473" t="s">
        <v>6275</v>
      </c>
      <c r="D473">
        <v>225</v>
      </c>
      <c r="E473">
        <f>IF(AND(A473='Поиск параметров'!$D$4,ISNUMBER(SEARCH('Поиск параметров'!$D$6,B473))),1,0)</f>
        <v>1</v>
      </c>
      <c r="F473">
        <f>IF(E473=1,SUM($E$2:E473),"")</f>
        <v>472</v>
      </c>
    </row>
    <row r="474" spans="1:6">
      <c r="A474" t="s">
        <v>5809</v>
      </c>
      <c r="B474" t="s">
        <v>447</v>
      </c>
      <c r="C474" t="s">
        <v>6276</v>
      </c>
      <c r="D474">
        <v>226</v>
      </c>
      <c r="E474">
        <f>IF(AND(A474='Поиск параметров'!$D$4,ISNUMBER(SEARCH('Поиск параметров'!$D$6,B474))),1,0)</f>
        <v>1</v>
      </c>
      <c r="F474">
        <f>IF(E474=1,SUM($E$2:E474),"")</f>
        <v>473</v>
      </c>
    </row>
    <row r="475" spans="1:6">
      <c r="A475" t="s">
        <v>5809</v>
      </c>
      <c r="B475" t="s">
        <v>448</v>
      </c>
      <c r="C475" t="s">
        <v>6277</v>
      </c>
      <c r="D475">
        <v>227</v>
      </c>
      <c r="E475">
        <f>IF(AND(A475='Поиск параметров'!$D$4,ISNUMBER(SEARCH('Поиск параметров'!$D$6,B475))),1,0)</f>
        <v>1</v>
      </c>
      <c r="F475">
        <f>IF(E475=1,SUM($E$2:E475),"")</f>
        <v>474</v>
      </c>
    </row>
    <row r="476" spans="1:6">
      <c r="A476" t="s">
        <v>5809</v>
      </c>
      <c r="B476" t="s">
        <v>449</v>
      </c>
      <c r="C476" t="s">
        <v>6278</v>
      </c>
      <c r="D476">
        <v>228</v>
      </c>
      <c r="E476">
        <f>IF(AND(A476='Поиск параметров'!$D$4,ISNUMBER(SEARCH('Поиск параметров'!$D$6,B476))),1,0)</f>
        <v>1</v>
      </c>
      <c r="F476">
        <f>IF(E476=1,SUM($E$2:E476),"")</f>
        <v>475</v>
      </c>
    </row>
    <row r="477" spans="1:6">
      <c r="A477" t="s">
        <v>5809</v>
      </c>
      <c r="B477" t="s">
        <v>450</v>
      </c>
      <c r="C477" t="s">
        <v>6279</v>
      </c>
      <c r="D477">
        <v>229</v>
      </c>
      <c r="E477">
        <f>IF(AND(A477='Поиск параметров'!$D$4,ISNUMBER(SEARCH('Поиск параметров'!$D$6,B477))),1,0)</f>
        <v>1</v>
      </c>
      <c r="F477">
        <f>IF(E477=1,SUM($E$2:E477),"")</f>
        <v>476</v>
      </c>
    </row>
    <row r="478" spans="1:6">
      <c r="A478" t="s">
        <v>5809</v>
      </c>
      <c r="B478" t="s">
        <v>451</v>
      </c>
      <c r="C478" t="s">
        <v>6280</v>
      </c>
      <c r="D478">
        <v>230</v>
      </c>
      <c r="E478">
        <f>IF(AND(A478='Поиск параметров'!$D$4,ISNUMBER(SEARCH('Поиск параметров'!$D$6,B478))),1,0)</f>
        <v>1</v>
      </c>
      <c r="F478">
        <f>IF(E478=1,SUM($E$2:E478),"")</f>
        <v>477</v>
      </c>
    </row>
    <row r="479" spans="1:6">
      <c r="A479" t="s">
        <v>5809</v>
      </c>
      <c r="B479" t="s">
        <v>452</v>
      </c>
      <c r="C479" t="s">
        <v>6281</v>
      </c>
      <c r="D479">
        <v>231</v>
      </c>
      <c r="E479">
        <f>IF(AND(A479='Поиск параметров'!$D$4,ISNUMBER(SEARCH('Поиск параметров'!$D$6,B479))),1,0)</f>
        <v>1</v>
      </c>
      <c r="F479">
        <f>IF(E479=1,SUM($E$2:E479),"")</f>
        <v>478</v>
      </c>
    </row>
    <row r="480" spans="1:6">
      <c r="A480" t="s">
        <v>5809</v>
      </c>
      <c r="B480" t="s">
        <v>453</v>
      </c>
      <c r="C480" t="s">
        <v>6282</v>
      </c>
      <c r="D480">
        <v>232</v>
      </c>
      <c r="E480">
        <f>IF(AND(A480='Поиск параметров'!$D$4,ISNUMBER(SEARCH('Поиск параметров'!$D$6,B480))),1,0)</f>
        <v>1</v>
      </c>
      <c r="F480">
        <f>IF(E480=1,SUM($E$2:E480),"")</f>
        <v>479</v>
      </c>
    </row>
    <row r="481" spans="1:6">
      <c r="A481" t="s">
        <v>5809</v>
      </c>
      <c r="B481" t="s">
        <v>454</v>
      </c>
      <c r="C481" t="s">
        <v>6283</v>
      </c>
      <c r="D481">
        <v>233</v>
      </c>
      <c r="E481">
        <f>IF(AND(A481='Поиск параметров'!$D$4,ISNUMBER(SEARCH('Поиск параметров'!$D$6,B481))),1,0)</f>
        <v>1</v>
      </c>
      <c r="F481">
        <f>IF(E481=1,SUM($E$2:E481),"")</f>
        <v>480</v>
      </c>
    </row>
    <row r="482" spans="1:6">
      <c r="A482" t="s">
        <v>5809</v>
      </c>
      <c r="B482" t="s">
        <v>455</v>
      </c>
      <c r="C482" t="s">
        <v>6284</v>
      </c>
      <c r="D482">
        <v>234</v>
      </c>
      <c r="E482">
        <f>IF(AND(A482='Поиск параметров'!$D$4,ISNUMBER(SEARCH('Поиск параметров'!$D$6,B482))),1,0)</f>
        <v>1</v>
      </c>
      <c r="F482">
        <f>IF(E482=1,SUM($E$2:E482),"")</f>
        <v>481</v>
      </c>
    </row>
    <row r="483" spans="1:6">
      <c r="A483" t="s">
        <v>5809</v>
      </c>
      <c r="B483" t="s">
        <v>456</v>
      </c>
      <c r="C483" t="s">
        <v>6285</v>
      </c>
      <c r="D483">
        <v>235</v>
      </c>
      <c r="E483">
        <f>IF(AND(A483='Поиск параметров'!$D$4,ISNUMBER(SEARCH('Поиск параметров'!$D$6,B483))),1,0)</f>
        <v>1</v>
      </c>
      <c r="F483">
        <f>IF(E483=1,SUM($E$2:E483),"")</f>
        <v>482</v>
      </c>
    </row>
    <row r="484" spans="1:6">
      <c r="A484" t="s">
        <v>5809</v>
      </c>
      <c r="B484" t="s">
        <v>76</v>
      </c>
      <c r="C484" t="s">
        <v>6286</v>
      </c>
      <c r="D484">
        <v>236</v>
      </c>
      <c r="E484">
        <f>IF(AND(A484='Поиск параметров'!$D$4,ISNUMBER(SEARCH('Поиск параметров'!$D$6,B484))),1,0)</f>
        <v>1</v>
      </c>
      <c r="F484">
        <f>IF(E484=1,SUM($E$2:E484),"")</f>
        <v>483</v>
      </c>
    </row>
    <row r="485" spans="1:6">
      <c r="A485" t="s">
        <v>5809</v>
      </c>
      <c r="B485" t="s">
        <v>82</v>
      </c>
      <c r="C485" t="s">
        <v>6287</v>
      </c>
      <c r="D485">
        <v>237</v>
      </c>
      <c r="E485">
        <f>IF(AND(A485='Поиск параметров'!$D$4,ISNUMBER(SEARCH('Поиск параметров'!$D$6,B485))),1,0)</f>
        <v>1</v>
      </c>
      <c r="F485">
        <f>IF(E485=1,SUM($E$2:E485),"")</f>
        <v>484</v>
      </c>
    </row>
    <row r="486" spans="1:6">
      <c r="A486" t="s">
        <v>5809</v>
      </c>
      <c r="B486" t="s">
        <v>457</v>
      </c>
      <c r="C486" t="s">
        <v>6288</v>
      </c>
      <c r="D486">
        <v>238</v>
      </c>
      <c r="E486">
        <f>IF(AND(A486='Поиск параметров'!$D$4,ISNUMBER(SEARCH('Поиск параметров'!$D$6,B486))),1,0)</f>
        <v>1</v>
      </c>
      <c r="F486">
        <f>IF(E486=1,SUM($E$2:E486),"")</f>
        <v>485</v>
      </c>
    </row>
    <row r="487" spans="1:6">
      <c r="A487" t="s">
        <v>5809</v>
      </c>
      <c r="B487" t="s">
        <v>458</v>
      </c>
      <c r="C487" t="s">
        <v>6289</v>
      </c>
      <c r="D487">
        <v>239</v>
      </c>
      <c r="E487">
        <f>IF(AND(A487='Поиск параметров'!$D$4,ISNUMBER(SEARCH('Поиск параметров'!$D$6,B487))),1,0)</f>
        <v>1</v>
      </c>
      <c r="F487">
        <f>IF(E487=1,SUM($E$2:E487),"")</f>
        <v>486</v>
      </c>
    </row>
    <row r="488" spans="1:6">
      <c r="A488" t="s">
        <v>5809</v>
      </c>
      <c r="B488" t="s">
        <v>100</v>
      </c>
      <c r="C488" t="s">
        <v>6290</v>
      </c>
      <c r="D488">
        <v>240</v>
      </c>
      <c r="E488">
        <f>IF(AND(A488='Поиск параметров'!$D$4,ISNUMBER(SEARCH('Поиск параметров'!$D$6,B488))),1,0)</f>
        <v>1</v>
      </c>
      <c r="F488">
        <f>IF(E488=1,SUM($E$2:E488),"")</f>
        <v>487</v>
      </c>
    </row>
    <row r="489" spans="1:6">
      <c r="A489" t="s">
        <v>5809</v>
      </c>
      <c r="B489" t="s">
        <v>459</v>
      </c>
      <c r="C489" t="s">
        <v>6291</v>
      </c>
      <c r="D489">
        <v>241</v>
      </c>
      <c r="E489">
        <f>IF(AND(A489='Поиск параметров'!$D$4,ISNUMBER(SEARCH('Поиск параметров'!$D$6,B489))),1,0)</f>
        <v>1</v>
      </c>
      <c r="F489">
        <f>IF(E489=1,SUM($E$2:E489),"")</f>
        <v>488</v>
      </c>
    </row>
    <row r="490" spans="1:6">
      <c r="A490" t="s">
        <v>5809</v>
      </c>
      <c r="B490" t="s">
        <v>460</v>
      </c>
      <c r="C490" t="s">
        <v>6292</v>
      </c>
      <c r="D490">
        <v>242</v>
      </c>
      <c r="E490">
        <f>IF(AND(A490='Поиск параметров'!$D$4,ISNUMBER(SEARCH('Поиск параметров'!$D$6,B490))),1,0)</f>
        <v>1</v>
      </c>
      <c r="F490">
        <f>IF(E490=1,SUM($E$2:E490),"")</f>
        <v>489</v>
      </c>
    </row>
    <row r="491" spans="1:6">
      <c r="A491" t="s">
        <v>5809</v>
      </c>
      <c r="B491" t="s">
        <v>461</v>
      </c>
      <c r="C491" t="s">
        <v>6293</v>
      </c>
      <c r="D491">
        <v>0</v>
      </c>
      <c r="E491">
        <f>IF(AND(A491='Поиск параметров'!$D$4,ISNUMBER(SEARCH('Поиск параметров'!$D$6,B491))),1,0)</f>
        <v>1</v>
      </c>
      <c r="F491">
        <f>IF(E491=1,SUM($E$2:E491),"")</f>
        <v>490</v>
      </c>
    </row>
    <row r="492" spans="1:6">
      <c r="A492" t="s">
        <v>5809</v>
      </c>
      <c r="B492" t="s">
        <v>462</v>
      </c>
      <c r="C492" t="s">
        <v>6294</v>
      </c>
      <c r="D492">
        <v>0</v>
      </c>
      <c r="E492">
        <f>IF(AND(A492='Поиск параметров'!$D$4,ISNUMBER(SEARCH('Поиск параметров'!$D$6,B492))),1,0)</f>
        <v>1</v>
      </c>
      <c r="F492">
        <f>IF(E492=1,SUM($E$2:E492),"")</f>
        <v>491</v>
      </c>
    </row>
    <row r="493" spans="1:6">
      <c r="A493" t="s">
        <v>5809</v>
      </c>
      <c r="B493" t="s">
        <v>463</v>
      </c>
      <c r="C493" t="s">
        <v>6295</v>
      </c>
      <c r="D493">
        <v>243</v>
      </c>
      <c r="E493">
        <f>IF(AND(A493='Поиск параметров'!$D$4,ISNUMBER(SEARCH('Поиск параметров'!$D$6,B493))),1,0)</f>
        <v>1</v>
      </c>
      <c r="F493">
        <f>IF(E493=1,SUM($E$2:E493),"")</f>
        <v>492</v>
      </c>
    </row>
    <row r="494" spans="1:6">
      <c r="A494" t="s">
        <v>5809</v>
      </c>
      <c r="B494" t="s">
        <v>464</v>
      </c>
      <c r="C494" t="s">
        <v>6296</v>
      </c>
      <c r="D494">
        <v>244</v>
      </c>
      <c r="E494">
        <f>IF(AND(A494='Поиск параметров'!$D$4,ISNUMBER(SEARCH('Поиск параметров'!$D$6,B494))),1,0)</f>
        <v>1</v>
      </c>
      <c r="F494">
        <f>IF(E494=1,SUM($E$2:E494),"")</f>
        <v>493</v>
      </c>
    </row>
    <row r="495" spans="1:6">
      <c r="A495" t="s">
        <v>5809</v>
      </c>
      <c r="B495" t="s">
        <v>465</v>
      </c>
      <c r="C495" t="s">
        <v>6297</v>
      </c>
      <c r="D495">
        <v>0</v>
      </c>
      <c r="E495">
        <f>IF(AND(A495='Поиск параметров'!$D$4,ISNUMBER(SEARCH('Поиск параметров'!$D$6,B495))),1,0)</f>
        <v>1</v>
      </c>
      <c r="F495">
        <f>IF(E495=1,SUM($E$2:E495),"")</f>
        <v>494</v>
      </c>
    </row>
    <row r="496" spans="1:6">
      <c r="A496" t="s">
        <v>5809</v>
      </c>
      <c r="B496" t="s">
        <v>466</v>
      </c>
      <c r="C496" t="s">
        <v>6298</v>
      </c>
      <c r="D496">
        <v>245</v>
      </c>
      <c r="E496">
        <f>IF(AND(A496='Поиск параметров'!$D$4,ISNUMBER(SEARCH('Поиск параметров'!$D$6,B496))),1,0)</f>
        <v>1</v>
      </c>
      <c r="F496">
        <f>IF(E496=1,SUM($E$2:E496),"")</f>
        <v>495</v>
      </c>
    </row>
    <row r="497" spans="1:6">
      <c r="A497" t="s">
        <v>5809</v>
      </c>
      <c r="B497" t="s">
        <v>467</v>
      </c>
      <c r="C497" t="s">
        <v>6299</v>
      </c>
      <c r="D497">
        <v>0</v>
      </c>
      <c r="E497">
        <f>IF(AND(A497='Поиск параметров'!$D$4,ISNUMBER(SEARCH('Поиск параметров'!$D$6,B497))),1,0)</f>
        <v>1</v>
      </c>
      <c r="F497">
        <f>IF(E497=1,SUM($E$2:E497),"")</f>
        <v>496</v>
      </c>
    </row>
    <row r="498" spans="1:6">
      <c r="A498" t="s">
        <v>5809</v>
      </c>
      <c r="B498" t="s">
        <v>468</v>
      </c>
      <c r="C498" t="s">
        <v>6300</v>
      </c>
      <c r="D498">
        <v>0</v>
      </c>
      <c r="E498">
        <f>IF(AND(A498='Поиск параметров'!$D$4,ISNUMBER(SEARCH('Поиск параметров'!$D$6,B498))),1,0)</f>
        <v>1</v>
      </c>
      <c r="F498">
        <f>IF(E498=1,SUM($E$2:E498),"")</f>
        <v>497</v>
      </c>
    </row>
    <row r="499" spans="1:6">
      <c r="A499" t="s">
        <v>5809</v>
      </c>
      <c r="B499" t="s">
        <v>469</v>
      </c>
      <c r="C499" t="s">
        <v>6301</v>
      </c>
      <c r="D499">
        <v>246</v>
      </c>
      <c r="E499">
        <f>IF(AND(A499='Поиск параметров'!$D$4,ISNUMBER(SEARCH('Поиск параметров'!$D$6,B499))),1,0)</f>
        <v>1</v>
      </c>
      <c r="F499">
        <f>IF(E499=1,SUM($E$2:E499),"")</f>
        <v>498</v>
      </c>
    </row>
    <row r="500" spans="1:6">
      <c r="A500" t="s">
        <v>5809</v>
      </c>
      <c r="B500" t="s">
        <v>470</v>
      </c>
      <c r="C500" t="s">
        <v>6302</v>
      </c>
      <c r="D500">
        <v>0</v>
      </c>
      <c r="E500">
        <f>IF(AND(A500='Поиск параметров'!$D$4,ISNUMBER(SEARCH('Поиск параметров'!$D$6,B500))),1,0)</f>
        <v>1</v>
      </c>
      <c r="F500">
        <f>IF(E500=1,SUM($E$2:E500),"")</f>
        <v>499</v>
      </c>
    </row>
    <row r="501" spans="1:6">
      <c r="A501" t="s">
        <v>5809</v>
      </c>
      <c r="B501" t="s">
        <v>471</v>
      </c>
      <c r="C501" t="s">
        <v>6303</v>
      </c>
      <c r="D501">
        <v>0</v>
      </c>
      <c r="E501">
        <f>IF(AND(A501='Поиск параметров'!$D$4,ISNUMBER(SEARCH('Поиск параметров'!$D$6,B501))),1,0)</f>
        <v>1</v>
      </c>
      <c r="F501">
        <f>IF(E501=1,SUM($E$2:E501),"")</f>
        <v>500</v>
      </c>
    </row>
    <row r="502" spans="1:6">
      <c r="A502" t="s">
        <v>5809</v>
      </c>
      <c r="B502" t="s">
        <v>472</v>
      </c>
      <c r="C502" t="s">
        <v>6304</v>
      </c>
      <c r="D502">
        <v>247</v>
      </c>
      <c r="E502">
        <f>IF(AND(A502='Поиск параметров'!$D$4,ISNUMBER(SEARCH('Поиск параметров'!$D$6,B502))),1,0)</f>
        <v>1</v>
      </c>
      <c r="F502">
        <f>IF(E502=1,SUM($E$2:E502),"")</f>
        <v>501</v>
      </c>
    </row>
    <row r="503" spans="1:6">
      <c r="A503" t="s">
        <v>5809</v>
      </c>
      <c r="B503" t="s">
        <v>473</v>
      </c>
      <c r="C503" t="s">
        <v>6305</v>
      </c>
      <c r="D503">
        <v>248</v>
      </c>
      <c r="E503">
        <f>IF(AND(A503='Поиск параметров'!$D$4,ISNUMBER(SEARCH('Поиск параметров'!$D$6,B503))),1,0)</f>
        <v>1</v>
      </c>
      <c r="F503">
        <f>IF(E503=1,SUM($E$2:E503),"")</f>
        <v>502</v>
      </c>
    </row>
    <row r="504" spans="1:6">
      <c r="A504" t="s">
        <v>5809</v>
      </c>
      <c r="B504" t="s">
        <v>474</v>
      </c>
      <c r="C504" t="s">
        <v>6306</v>
      </c>
      <c r="D504">
        <v>249</v>
      </c>
      <c r="E504">
        <f>IF(AND(A504='Поиск параметров'!$D$4,ISNUMBER(SEARCH('Поиск параметров'!$D$6,B504))),1,0)</f>
        <v>1</v>
      </c>
      <c r="F504">
        <f>IF(E504=1,SUM($E$2:E504),"")</f>
        <v>503</v>
      </c>
    </row>
    <row r="505" spans="1:6">
      <c r="A505" t="s">
        <v>5809</v>
      </c>
      <c r="B505" t="s">
        <v>475</v>
      </c>
      <c r="C505" t="s">
        <v>6307</v>
      </c>
      <c r="D505">
        <v>250</v>
      </c>
      <c r="E505">
        <f>IF(AND(A505='Поиск параметров'!$D$4,ISNUMBER(SEARCH('Поиск параметров'!$D$6,B505))),1,0)</f>
        <v>1</v>
      </c>
      <c r="F505">
        <f>IF(E505=1,SUM($E$2:E505),"")</f>
        <v>504</v>
      </c>
    </row>
    <row r="506" spans="1:6">
      <c r="A506" t="s">
        <v>5809</v>
      </c>
      <c r="B506" t="s">
        <v>476</v>
      </c>
      <c r="C506" t="s">
        <v>6308</v>
      </c>
      <c r="D506">
        <v>251</v>
      </c>
      <c r="E506">
        <f>IF(AND(A506='Поиск параметров'!$D$4,ISNUMBER(SEARCH('Поиск параметров'!$D$6,B506))),1,0)</f>
        <v>1</v>
      </c>
      <c r="F506">
        <f>IF(E506=1,SUM($E$2:E506),"")</f>
        <v>505</v>
      </c>
    </row>
    <row r="507" spans="1:6">
      <c r="A507" t="s">
        <v>5809</v>
      </c>
      <c r="B507" t="s">
        <v>477</v>
      </c>
      <c r="C507" t="s">
        <v>6309</v>
      </c>
      <c r="D507">
        <v>252</v>
      </c>
      <c r="E507">
        <f>IF(AND(A507='Поиск параметров'!$D$4,ISNUMBER(SEARCH('Поиск параметров'!$D$6,B507))),1,0)</f>
        <v>1</v>
      </c>
      <c r="F507">
        <f>IF(E507=1,SUM($E$2:E507),"")</f>
        <v>506</v>
      </c>
    </row>
    <row r="508" spans="1:6">
      <c r="A508" t="s">
        <v>5809</v>
      </c>
      <c r="B508" t="s">
        <v>478</v>
      </c>
      <c r="C508" t="s">
        <v>6310</v>
      </c>
      <c r="D508">
        <v>253</v>
      </c>
      <c r="E508">
        <f>IF(AND(A508='Поиск параметров'!$D$4,ISNUMBER(SEARCH('Поиск параметров'!$D$6,B508))),1,0)</f>
        <v>1</v>
      </c>
      <c r="F508">
        <f>IF(E508=1,SUM($E$2:E508),"")</f>
        <v>507</v>
      </c>
    </row>
    <row r="509" spans="1:6">
      <c r="A509" t="s">
        <v>5809</v>
      </c>
      <c r="B509" t="s">
        <v>479</v>
      </c>
      <c r="C509" t="s">
        <v>6311</v>
      </c>
      <c r="D509">
        <v>254</v>
      </c>
      <c r="E509">
        <f>IF(AND(A509='Поиск параметров'!$D$4,ISNUMBER(SEARCH('Поиск параметров'!$D$6,B509))),1,0)</f>
        <v>1</v>
      </c>
      <c r="F509">
        <f>IF(E509=1,SUM($E$2:E509),"")</f>
        <v>508</v>
      </c>
    </row>
    <row r="510" spans="1:6">
      <c r="A510" t="s">
        <v>5809</v>
      </c>
      <c r="B510" t="s">
        <v>480</v>
      </c>
      <c r="C510" t="s">
        <v>6312</v>
      </c>
      <c r="D510">
        <v>255</v>
      </c>
      <c r="E510">
        <f>IF(AND(A510='Поиск параметров'!$D$4,ISNUMBER(SEARCH('Поиск параметров'!$D$6,B510))),1,0)</f>
        <v>1</v>
      </c>
      <c r="F510">
        <f>IF(E510=1,SUM($E$2:E510),"")</f>
        <v>509</v>
      </c>
    </row>
    <row r="511" spans="1:6">
      <c r="A511" t="s">
        <v>5809</v>
      </c>
      <c r="B511" t="s">
        <v>481</v>
      </c>
      <c r="C511" t="s">
        <v>6313</v>
      </c>
      <c r="D511">
        <v>256</v>
      </c>
      <c r="E511">
        <f>IF(AND(A511='Поиск параметров'!$D$4,ISNUMBER(SEARCH('Поиск параметров'!$D$6,B511))),1,0)</f>
        <v>1</v>
      </c>
      <c r="F511">
        <f>IF(E511=1,SUM($E$2:E511),"")</f>
        <v>510</v>
      </c>
    </row>
    <row r="512" spans="1:6">
      <c r="A512" t="s">
        <v>5809</v>
      </c>
      <c r="B512" t="s">
        <v>482</v>
      </c>
      <c r="C512" t="s">
        <v>6314</v>
      </c>
      <c r="D512">
        <v>257</v>
      </c>
      <c r="E512">
        <f>IF(AND(A512='Поиск параметров'!$D$4,ISNUMBER(SEARCH('Поиск параметров'!$D$6,B512))),1,0)</f>
        <v>1</v>
      </c>
      <c r="F512">
        <f>IF(E512=1,SUM($E$2:E512),"")</f>
        <v>511</v>
      </c>
    </row>
    <row r="513" spans="1:6">
      <c r="A513" t="s">
        <v>5809</v>
      </c>
      <c r="B513" t="s">
        <v>483</v>
      </c>
      <c r="C513" t="s">
        <v>6315</v>
      </c>
      <c r="D513">
        <v>258</v>
      </c>
      <c r="E513">
        <f>IF(AND(A513='Поиск параметров'!$D$4,ISNUMBER(SEARCH('Поиск параметров'!$D$6,B513))),1,0)</f>
        <v>1</v>
      </c>
      <c r="F513">
        <f>IF(E513=1,SUM($E$2:E513),"")</f>
        <v>512</v>
      </c>
    </row>
    <row r="514" spans="1:6">
      <c r="A514" t="s">
        <v>5809</v>
      </c>
      <c r="B514" t="s">
        <v>484</v>
      </c>
      <c r="C514" t="s">
        <v>6316</v>
      </c>
      <c r="D514">
        <v>259</v>
      </c>
      <c r="E514">
        <f>IF(AND(A514='Поиск параметров'!$D$4,ISNUMBER(SEARCH('Поиск параметров'!$D$6,B514))),1,0)</f>
        <v>1</v>
      </c>
      <c r="F514">
        <f>IF(E514=1,SUM($E$2:E514),"")</f>
        <v>513</v>
      </c>
    </row>
    <row r="515" spans="1:6">
      <c r="A515" t="s">
        <v>5809</v>
      </c>
      <c r="B515" t="s">
        <v>485</v>
      </c>
      <c r="C515" t="s">
        <v>6317</v>
      </c>
      <c r="D515">
        <v>260</v>
      </c>
      <c r="E515">
        <f>IF(AND(A515='Поиск параметров'!$D$4,ISNUMBER(SEARCH('Поиск параметров'!$D$6,B515))),1,0)</f>
        <v>1</v>
      </c>
      <c r="F515">
        <f>IF(E515=1,SUM($E$2:E515),"")</f>
        <v>514</v>
      </c>
    </row>
    <row r="516" spans="1:6">
      <c r="A516" t="s">
        <v>5809</v>
      </c>
      <c r="B516" t="s">
        <v>486</v>
      </c>
      <c r="C516" t="s">
        <v>6318</v>
      </c>
      <c r="D516">
        <v>261</v>
      </c>
      <c r="E516">
        <f>IF(AND(A516='Поиск параметров'!$D$4,ISNUMBER(SEARCH('Поиск параметров'!$D$6,B516))),1,0)</f>
        <v>1</v>
      </c>
      <c r="F516">
        <f>IF(E516=1,SUM($E$2:E516),"")</f>
        <v>515</v>
      </c>
    </row>
    <row r="517" spans="1:6">
      <c r="A517" t="s">
        <v>5809</v>
      </c>
      <c r="B517" t="s">
        <v>487</v>
      </c>
      <c r="C517" t="s">
        <v>6319</v>
      </c>
      <c r="D517">
        <v>262</v>
      </c>
      <c r="E517">
        <f>IF(AND(A517='Поиск параметров'!$D$4,ISNUMBER(SEARCH('Поиск параметров'!$D$6,B517))),1,0)</f>
        <v>1</v>
      </c>
      <c r="F517">
        <f>IF(E517=1,SUM($E$2:E517),"")</f>
        <v>516</v>
      </c>
    </row>
    <row r="518" spans="1:6">
      <c r="A518" t="s">
        <v>5809</v>
      </c>
      <c r="B518" t="s">
        <v>488</v>
      </c>
      <c r="C518" t="s">
        <v>6320</v>
      </c>
      <c r="D518">
        <v>263</v>
      </c>
      <c r="E518">
        <f>IF(AND(A518='Поиск параметров'!$D$4,ISNUMBER(SEARCH('Поиск параметров'!$D$6,B518))),1,0)</f>
        <v>1</v>
      </c>
      <c r="F518">
        <f>IF(E518=1,SUM($E$2:E518),"")</f>
        <v>517</v>
      </c>
    </row>
    <row r="519" spans="1:6">
      <c r="A519" t="s">
        <v>5809</v>
      </c>
      <c r="B519" t="s">
        <v>489</v>
      </c>
      <c r="C519" t="s">
        <v>6321</v>
      </c>
      <c r="D519">
        <v>264</v>
      </c>
      <c r="E519">
        <f>IF(AND(A519='Поиск параметров'!$D$4,ISNUMBER(SEARCH('Поиск параметров'!$D$6,B519))),1,0)</f>
        <v>1</v>
      </c>
      <c r="F519">
        <f>IF(E519=1,SUM($E$2:E519),"")</f>
        <v>518</v>
      </c>
    </row>
    <row r="520" spans="1:6">
      <c r="A520" t="s">
        <v>5809</v>
      </c>
      <c r="B520" t="s">
        <v>490</v>
      </c>
      <c r="C520" t="s">
        <v>6322</v>
      </c>
      <c r="D520">
        <v>265</v>
      </c>
      <c r="E520">
        <f>IF(AND(A520='Поиск параметров'!$D$4,ISNUMBER(SEARCH('Поиск параметров'!$D$6,B520))),1,0)</f>
        <v>1</v>
      </c>
      <c r="F520">
        <f>IF(E520=1,SUM($E$2:E520),"")</f>
        <v>519</v>
      </c>
    </row>
    <row r="521" spans="1:6">
      <c r="A521" t="s">
        <v>5809</v>
      </c>
      <c r="B521" t="s">
        <v>491</v>
      </c>
      <c r="C521" t="s">
        <v>6323</v>
      </c>
      <c r="D521">
        <v>266</v>
      </c>
      <c r="E521">
        <f>IF(AND(A521='Поиск параметров'!$D$4,ISNUMBER(SEARCH('Поиск параметров'!$D$6,B521))),1,0)</f>
        <v>1</v>
      </c>
      <c r="F521">
        <f>IF(E521=1,SUM($E$2:E521),"")</f>
        <v>520</v>
      </c>
    </row>
    <row r="522" spans="1:6">
      <c r="A522" t="s">
        <v>5809</v>
      </c>
      <c r="B522" t="s">
        <v>492</v>
      </c>
      <c r="C522" t="s">
        <v>6324</v>
      </c>
      <c r="D522">
        <v>267</v>
      </c>
      <c r="E522">
        <f>IF(AND(A522='Поиск параметров'!$D$4,ISNUMBER(SEARCH('Поиск параметров'!$D$6,B522))),1,0)</f>
        <v>1</v>
      </c>
      <c r="F522">
        <f>IF(E522=1,SUM($E$2:E522),"")</f>
        <v>521</v>
      </c>
    </row>
    <row r="523" spans="1:6">
      <c r="A523" t="s">
        <v>5809</v>
      </c>
      <c r="B523" t="s">
        <v>493</v>
      </c>
      <c r="C523" t="s">
        <v>6325</v>
      </c>
      <c r="D523">
        <v>268</v>
      </c>
      <c r="E523">
        <f>IF(AND(A523='Поиск параметров'!$D$4,ISNUMBER(SEARCH('Поиск параметров'!$D$6,B523))),1,0)</f>
        <v>1</v>
      </c>
      <c r="F523">
        <f>IF(E523=1,SUM($E$2:E523),"")</f>
        <v>522</v>
      </c>
    </row>
    <row r="524" spans="1:6">
      <c r="A524" t="s">
        <v>5809</v>
      </c>
      <c r="B524" t="s">
        <v>494</v>
      </c>
      <c r="C524" t="s">
        <v>6326</v>
      </c>
      <c r="D524">
        <v>269</v>
      </c>
      <c r="E524">
        <f>IF(AND(A524='Поиск параметров'!$D$4,ISNUMBER(SEARCH('Поиск параметров'!$D$6,B524))),1,0)</f>
        <v>1</v>
      </c>
      <c r="F524">
        <f>IF(E524=1,SUM($E$2:E524),"")</f>
        <v>523</v>
      </c>
    </row>
    <row r="525" spans="1:6">
      <c r="A525" t="s">
        <v>5809</v>
      </c>
      <c r="B525" t="s">
        <v>495</v>
      </c>
      <c r="C525" t="s">
        <v>6327</v>
      </c>
      <c r="D525">
        <v>270</v>
      </c>
      <c r="E525">
        <f>IF(AND(A525='Поиск параметров'!$D$4,ISNUMBER(SEARCH('Поиск параметров'!$D$6,B525))),1,0)</f>
        <v>1</v>
      </c>
      <c r="F525">
        <f>IF(E525=1,SUM($E$2:E525),"")</f>
        <v>524</v>
      </c>
    </row>
    <row r="526" spans="1:6">
      <c r="A526" t="s">
        <v>5809</v>
      </c>
      <c r="B526" t="s">
        <v>496</v>
      </c>
      <c r="C526" t="s">
        <v>6328</v>
      </c>
      <c r="D526">
        <v>0</v>
      </c>
      <c r="E526">
        <f>IF(AND(A526='Поиск параметров'!$D$4,ISNUMBER(SEARCH('Поиск параметров'!$D$6,B526))),1,0)</f>
        <v>1</v>
      </c>
      <c r="F526">
        <f>IF(E526=1,SUM($E$2:E526),"")</f>
        <v>525</v>
      </c>
    </row>
    <row r="527" spans="1:6">
      <c r="A527" t="s">
        <v>5809</v>
      </c>
      <c r="B527" t="s">
        <v>497</v>
      </c>
      <c r="C527" t="s">
        <v>6329</v>
      </c>
      <c r="D527">
        <v>0</v>
      </c>
      <c r="E527">
        <f>IF(AND(A527='Поиск параметров'!$D$4,ISNUMBER(SEARCH('Поиск параметров'!$D$6,B527))),1,0)</f>
        <v>1</v>
      </c>
      <c r="F527">
        <f>IF(E527=1,SUM($E$2:E527),"")</f>
        <v>526</v>
      </c>
    </row>
    <row r="528" spans="1:6">
      <c r="A528" t="s">
        <v>5809</v>
      </c>
      <c r="B528" t="s">
        <v>498</v>
      </c>
      <c r="C528" t="s">
        <v>6330</v>
      </c>
      <c r="D528">
        <v>0</v>
      </c>
      <c r="E528">
        <f>IF(AND(A528='Поиск параметров'!$D$4,ISNUMBER(SEARCH('Поиск параметров'!$D$6,B528))),1,0)</f>
        <v>1</v>
      </c>
      <c r="F528">
        <f>IF(E528=1,SUM($E$2:E528),"")</f>
        <v>527</v>
      </c>
    </row>
    <row r="529" spans="1:6">
      <c r="A529" t="s">
        <v>5809</v>
      </c>
      <c r="B529" t="s">
        <v>499</v>
      </c>
      <c r="C529" t="s">
        <v>6331</v>
      </c>
      <c r="D529">
        <v>0</v>
      </c>
      <c r="E529">
        <f>IF(AND(A529='Поиск параметров'!$D$4,ISNUMBER(SEARCH('Поиск параметров'!$D$6,B529))),1,0)</f>
        <v>1</v>
      </c>
      <c r="F529">
        <f>IF(E529=1,SUM($E$2:E529),"")</f>
        <v>528</v>
      </c>
    </row>
    <row r="530" spans="1:6">
      <c r="A530" t="s">
        <v>5809</v>
      </c>
      <c r="B530" t="s">
        <v>500</v>
      </c>
      <c r="C530" t="s">
        <v>6332</v>
      </c>
      <c r="D530">
        <v>0</v>
      </c>
      <c r="E530">
        <f>IF(AND(A530='Поиск параметров'!$D$4,ISNUMBER(SEARCH('Поиск параметров'!$D$6,B530))),1,0)</f>
        <v>1</v>
      </c>
      <c r="F530">
        <f>IF(E530=1,SUM($E$2:E530),"")</f>
        <v>529</v>
      </c>
    </row>
    <row r="531" spans="1:6">
      <c r="A531" t="s">
        <v>5809</v>
      </c>
      <c r="B531" t="s">
        <v>501</v>
      </c>
      <c r="C531" t="s">
        <v>6333</v>
      </c>
      <c r="D531">
        <v>0</v>
      </c>
      <c r="E531">
        <f>IF(AND(A531='Поиск параметров'!$D$4,ISNUMBER(SEARCH('Поиск параметров'!$D$6,B531))),1,0)</f>
        <v>1</v>
      </c>
      <c r="F531">
        <f>IF(E531=1,SUM($E$2:E531),"")</f>
        <v>530</v>
      </c>
    </row>
    <row r="532" spans="1:6">
      <c r="A532" t="s">
        <v>5809</v>
      </c>
      <c r="B532" t="s">
        <v>502</v>
      </c>
      <c r="C532" t="s">
        <v>6334</v>
      </c>
      <c r="D532">
        <v>0</v>
      </c>
      <c r="E532">
        <f>IF(AND(A532='Поиск параметров'!$D$4,ISNUMBER(SEARCH('Поиск параметров'!$D$6,B532))),1,0)</f>
        <v>1</v>
      </c>
      <c r="F532">
        <f>IF(E532=1,SUM($E$2:E532),"")</f>
        <v>531</v>
      </c>
    </row>
    <row r="533" spans="1:6">
      <c r="A533" t="s">
        <v>5809</v>
      </c>
      <c r="B533" t="s">
        <v>503</v>
      </c>
      <c r="C533" t="s">
        <v>6335</v>
      </c>
      <c r="D533">
        <v>0</v>
      </c>
      <c r="E533">
        <f>IF(AND(A533='Поиск параметров'!$D$4,ISNUMBER(SEARCH('Поиск параметров'!$D$6,B533))),1,0)</f>
        <v>1</v>
      </c>
      <c r="F533">
        <f>IF(E533=1,SUM($E$2:E533),"")</f>
        <v>532</v>
      </c>
    </row>
    <row r="534" spans="1:6">
      <c r="A534" t="s">
        <v>5809</v>
      </c>
      <c r="B534" t="s">
        <v>504</v>
      </c>
      <c r="C534" t="s">
        <v>6336</v>
      </c>
      <c r="D534">
        <v>0</v>
      </c>
      <c r="E534">
        <f>IF(AND(A534='Поиск параметров'!$D$4,ISNUMBER(SEARCH('Поиск параметров'!$D$6,B534))),1,0)</f>
        <v>1</v>
      </c>
      <c r="F534">
        <f>IF(E534=1,SUM($E$2:E534),"")</f>
        <v>533</v>
      </c>
    </row>
    <row r="535" spans="1:6">
      <c r="A535" t="s">
        <v>5809</v>
      </c>
      <c r="B535" t="s">
        <v>505</v>
      </c>
      <c r="C535" t="s">
        <v>6337</v>
      </c>
      <c r="D535">
        <v>271</v>
      </c>
      <c r="E535">
        <f>IF(AND(A535='Поиск параметров'!$D$4,ISNUMBER(SEARCH('Поиск параметров'!$D$6,B535))),1,0)</f>
        <v>1</v>
      </c>
      <c r="F535">
        <f>IF(E535=1,SUM($E$2:E535),"")</f>
        <v>534</v>
      </c>
    </row>
    <row r="536" spans="1:6">
      <c r="A536" t="s">
        <v>5809</v>
      </c>
      <c r="B536" t="s">
        <v>506</v>
      </c>
      <c r="C536" t="s">
        <v>6338</v>
      </c>
      <c r="D536">
        <v>0</v>
      </c>
      <c r="E536">
        <f>IF(AND(A536='Поиск параметров'!$D$4,ISNUMBER(SEARCH('Поиск параметров'!$D$6,B536))),1,0)</f>
        <v>1</v>
      </c>
      <c r="F536">
        <f>IF(E536=1,SUM($E$2:E536),"")</f>
        <v>535</v>
      </c>
    </row>
    <row r="537" spans="1:6">
      <c r="A537" t="s">
        <v>6339</v>
      </c>
      <c r="B537" t="s">
        <v>8</v>
      </c>
      <c r="C537" t="s">
        <v>556</v>
      </c>
      <c r="D537">
        <v>0</v>
      </c>
      <c r="E537">
        <f>IF(AND(A537='Поиск параметров'!$D$4,ISNUMBER(SEARCH('Поиск параметров'!$D$6,B537))),1,0)</f>
        <v>0</v>
      </c>
      <c r="F537">
        <f>IF(E537=1,SUM($E$2:E537),"")</f>
        <v/>
      </c>
    </row>
    <row r="538" spans="1:6">
      <c r="A538" t="s">
        <v>6339</v>
      </c>
      <c r="B538" t="s">
        <v>9</v>
      </c>
      <c r="C538" t="s">
        <v>5823</v>
      </c>
      <c r="D538">
        <v>0</v>
      </c>
      <c r="E538">
        <f>IF(AND(A538='Поиск параметров'!$D$4,ISNUMBER(SEARCH('Поиск параметров'!$D$6,B538))),1,0)</f>
        <v>0</v>
      </c>
      <c r="F538">
        <f>IF(E538=1,SUM($E$2:E538),"")</f>
        <v/>
      </c>
    </row>
    <row r="539" spans="1:6">
      <c r="A539" t="s">
        <v>6339</v>
      </c>
      <c r="B539" t="s">
        <v>10</v>
      </c>
      <c r="C539" t="s">
        <v>1252</v>
      </c>
      <c r="D539">
        <v>0</v>
      </c>
      <c r="E539">
        <f>IF(AND(A539='Поиск параметров'!$D$4,ISNUMBER(SEARCH('Поиск параметров'!$D$6,B539))),1,0)</f>
        <v>0</v>
      </c>
      <c r="F539">
        <f>IF(E539=1,SUM($E$2:E539),"")</f>
        <v/>
      </c>
    </row>
    <row r="540" spans="1:6">
      <c r="A540" t="s">
        <v>6339</v>
      </c>
      <c r="B540" t="s">
        <v>11</v>
      </c>
      <c r="C540" t="s">
        <v>1377</v>
      </c>
      <c r="D540">
        <v>0</v>
      </c>
      <c r="E540">
        <f>IF(AND(A540='Поиск параметров'!$D$4,ISNUMBER(SEARCH('Поиск параметров'!$D$6,B540))),1,0)</f>
        <v>0</v>
      </c>
      <c r="F540">
        <f>IF(E540=1,SUM($E$2:E540),"")</f>
        <v/>
      </c>
    </row>
    <row r="541" spans="1:6">
      <c r="A541" t="s">
        <v>6339</v>
      </c>
      <c r="B541" t="s">
        <v>3621</v>
      </c>
      <c r="C541" t="s">
        <v>1477</v>
      </c>
      <c r="D541">
        <v>0</v>
      </c>
      <c r="E541">
        <f>IF(AND(A541='Поиск параметров'!$D$4,ISNUMBER(SEARCH('Поиск параметров'!$D$6,B541))),1,0)</f>
        <v>0</v>
      </c>
      <c r="F541">
        <f>IF(E541=1,SUM($E$2:E541),"")</f>
        <v/>
      </c>
    </row>
    <row r="542" spans="1:6">
      <c r="A542" t="s">
        <v>6339</v>
      </c>
      <c r="B542" t="s">
        <v>12</v>
      </c>
      <c r="C542" t="s">
        <v>1888</v>
      </c>
      <c r="D542">
        <v>0</v>
      </c>
      <c r="E542">
        <f>IF(AND(A542='Поиск параметров'!$D$4,ISNUMBER(SEARCH('Поиск параметров'!$D$6,B542))),1,0)</f>
        <v>0</v>
      </c>
      <c r="F542">
        <f>IF(E542=1,SUM($E$2:E542),"")</f>
        <v/>
      </c>
    </row>
    <row r="543" spans="1:6">
      <c r="A543" t="s">
        <v>6339</v>
      </c>
      <c r="B543" t="s">
        <v>13</v>
      </c>
      <c r="C543" t="s">
        <v>2240</v>
      </c>
      <c r="D543">
        <v>0</v>
      </c>
      <c r="E543">
        <f>IF(AND(A543='Поиск параметров'!$D$4,ISNUMBER(SEARCH('Поиск параметров'!$D$6,B543))),1,0)</f>
        <v>0</v>
      </c>
      <c r="F543">
        <f>IF(E543=1,SUM($E$2:E543),"")</f>
        <v/>
      </c>
    </row>
    <row r="544" spans="1:6">
      <c r="A544" t="s">
        <v>6339</v>
      </c>
      <c r="B544" t="s">
        <v>14</v>
      </c>
      <c r="C544" t="s">
        <v>5824</v>
      </c>
      <c r="D544">
        <v>0</v>
      </c>
      <c r="E544">
        <f>IF(AND(A544='Поиск параметров'!$D$4,ISNUMBER(SEARCH('Поиск параметров'!$D$6,B544))),1,0)</f>
        <v>0</v>
      </c>
      <c r="F544">
        <f>IF(E544=1,SUM($E$2:E544),"")</f>
        <v/>
      </c>
    </row>
    <row r="545" spans="1:6">
      <c r="A545" t="s">
        <v>6339</v>
      </c>
      <c r="B545" t="s">
        <v>15</v>
      </c>
      <c r="C545" t="s">
        <v>2341</v>
      </c>
      <c r="D545">
        <v>0</v>
      </c>
      <c r="E545">
        <f>IF(AND(A545='Поиск параметров'!$D$4,ISNUMBER(SEARCH('Поиск параметров'!$D$6,B545))),1,0)</f>
        <v>0</v>
      </c>
      <c r="F545">
        <f>IF(E545=1,SUM($E$2:E545),"")</f>
        <v/>
      </c>
    </row>
    <row r="546" spans="1:6">
      <c r="A546" t="s">
        <v>6339</v>
      </c>
      <c r="B546" t="s">
        <v>16</v>
      </c>
      <c r="C546" t="s">
        <v>5825</v>
      </c>
      <c r="D546">
        <v>0</v>
      </c>
      <c r="E546">
        <f>IF(AND(A546='Поиск параметров'!$D$4,ISNUMBER(SEARCH('Поиск параметров'!$D$6,B546))),1,0)</f>
        <v>0</v>
      </c>
      <c r="F546">
        <f>IF(E546=1,SUM($E$2:E546),"")</f>
        <v/>
      </c>
    </row>
    <row r="547" spans="1:6">
      <c r="A547" t="s">
        <v>6339</v>
      </c>
      <c r="B547" t="s">
        <v>3622</v>
      </c>
      <c r="C547" t="s">
        <v>5826</v>
      </c>
      <c r="D547">
        <v>0</v>
      </c>
      <c r="E547">
        <f>IF(AND(A547='Поиск параметров'!$D$4,ISNUMBER(SEARCH('Поиск параметров'!$D$6,B547))),1,0)</f>
        <v>0</v>
      </c>
      <c r="F547">
        <f>IF(E547=1,SUM($E$2:E547),"")</f>
        <v/>
      </c>
    </row>
    <row r="548" spans="1:6">
      <c r="A548" t="s">
        <v>6339</v>
      </c>
      <c r="B548" t="s">
        <v>20</v>
      </c>
      <c r="C548" t="s">
        <v>582</v>
      </c>
      <c r="D548">
        <v>0</v>
      </c>
      <c r="E548">
        <f>IF(AND(A548='Поиск параметров'!$D$4,ISNUMBER(SEARCH('Поиск параметров'!$D$6,B548))),1,0)</f>
        <v>0</v>
      </c>
      <c r="F548">
        <f>IF(E548=1,SUM($E$2:E548),"")</f>
        <v/>
      </c>
    </row>
    <row r="549" spans="1:6">
      <c r="A549" t="s">
        <v>6339</v>
      </c>
      <c r="B549" t="s">
        <v>19</v>
      </c>
      <c r="C549" t="s">
        <v>4038</v>
      </c>
      <c r="D549">
        <v>0</v>
      </c>
      <c r="E549">
        <f>IF(AND(A549='Поиск параметров'!$D$4,ISNUMBER(SEARCH('Поиск параметров'!$D$6,B549))),1,0)</f>
        <v>0</v>
      </c>
      <c r="F549">
        <f>IF(E549=1,SUM($E$2:E549),"")</f>
        <v/>
      </c>
    </row>
    <row r="550" spans="1:6">
      <c r="A550" t="s">
        <v>6339</v>
      </c>
      <c r="B550" t="s">
        <v>3623</v>
      </c>
      <c r="C550" t="s">
        <v>2662</v>
      </c>
      <c r="D550">
        <v>0</v>
      </c>
      <c r="E550">
        <f>IF(AND(A550='Поиск параметров'!$D$4,ISNUMBER(SEARCH('Поиск параметров'!$D$6,B550))),1,0)</f>
        <v>0</v>
      </c>
      <c r="F550">
        <f>IF(E550=1,SUM($E$2:E550),"")</f>
        <v/>
      </c>
    </row>
    <row r="551" spans="1:6">
      <c r="A551" t="s">
        <v>6339</v>
      </c>
      <c r="B551" t="s">
        <v>3624</v>
      </c>
      <c r="C551" t="s">
        <v>5827</v>
      </c>
      <c r="D551">
        <v>0</v>
      </c>
      <c r="E551">
        <f>IF(AND(A551='Поиск параметров'!$D$4,ISNUMBER(SEARCH('Поиск параметров'!$D$6,B551))),1,0)</f>
        <v>0</v>
      </c>
      <c r="F551">
        <f>IF(E551=1,SUM($E$2:E551),"")</f>
        <v/>
      </c>
    </row>
    <row r="552" spans="1:6">
      <c r="A552" t="s">
        <v>6339</v>
      </c>
      <c r="B552" t="s">
        <v>25</v>
      </c>
      <c r="C552" t="s">
        <v>3044</v>
      </c>
      <c r="D552">
        <v>0</v>
      </c>
      <c r="E552">
        <f>IF(AND(A552='Поиск параметров'!$D$4,ISNUMBER(SEARCH('Поиск параметров'!$D$6,B552))),1,0)</f>
        <v>0</v>
      </c>
      <c r="F552">
        <f>IF(E552=1,SUM($E$2:E552),"")</f>
        <v/>
      </c>
    </row>
    <row r="553" spans="1:6">
      <c r="A553" t="s">
        <v>6339</v>
      </c>
      <c r="B553" t="s">
        <v>26</v>
      </c>
      <c r="C553" t="s">
        <v>5828</v>
      </c>
      <c r="D553">
        <v>0</v>
      </c>
      <c r="E553">
        <f>IF(AND(A553='Поиск параметров'!$D$4,ISNUMBER(SEARCH('Поиск параметров'!$D$6,B553))),1,0)</f>
        <v>0</v>
      </c>
      <c r="F553">
        <f>IF(E553=1,SUM($E$2:E553),"")</f>
        <v/>
      </c>
    </row>
    <row r="554" spans="1:6">
      <c r="A554" t="s">
        <v>6339</v>
      </c>
      <c r="B554" t="s">
        <v>27</v>
      </c>
      <c r="C554" t="s">
        <v>4041</v>
      </c>
      <c r="D554">
        <v>0</v>
      </c>
      <c r="E554">
        <f>IF(AND(A554='Поиск параметров'!$D$4,ISNUMBER(SEARCH('Поиск параметров'!$D$6,B554))),1,0)</f>
        <v>0</v>
      </c>
      <c r="F554">
        <f>IF(E554=1,SUM($E$2:E554),"")</f>
        <v/>
      </c>
    </row>
    <row r="555" spans="1:6">
      <c r="A555" t="s">
        <v>6339</v>
      </c>
      <c r="B555" t="s">
        <v>3625</v>
      </c>
      <c r="C555" t="s">
        <v>3054</v>
      </c>
      <c r="D555">
        <v>0</v>
      </c>
      <c r="E555">
        <f>IF(AND(A555='Поиск параметров'!$D$4,ISNUMBER(SEARCH('Поиск параметров'!$D$6,B555))),1,0)</f>
        <v>0</v>
      </c>
      <c r="F555">
        <f>IF(E555=1,SUM($E$2:E555),"")</f>
        <v/>
      </c>
    </row>
    <row r="556" spans="1:6">
      <c r="A556" t="s">
        <v>6339</v>
      </c>
      <c r="B556" t="s">
        <v>3626</v>
      </c>
      <c r="C556" t="s">
        <v>3483</v>
      </c>
      <c r="D556">
        <v>0</v>
      </c>
      <c r="E556">
        <f>IF(AND(A556='Поиск параметров'!$D$4,ISNUMBER(SEARCH('Поиск параметров'!$D$6,B556))),1,0)</f>
        <v>0</v>
      </c>
      <c r="F556">
        <f>IF(E556=1,SUM($E$2:E556),"")</f>
        <v/>
      </c>
    </row>
    <row r="557" spans="1:6">
      <c r="A557" t="s">
        <v>6339</v>
      </c>
      <c r="B557" t="s">
        <v>29</v>
      </c>
      <c r="C557" t="s">
        <v>5829</v>
      </c>
      <c r="D557">
        <v>0</v>
      </c>
      <c r="E557">
        <f>IF(AND(A557='Поиск параметров'!$D$4,ISNUMBER(SEARCH('Поиск параметров'!$D$6,B557))),1,0)</f>
        <v>0</v>
      </c>
      <c r="F557">
        <f>IF(E557=1,SUM($E$2:E557),"")</f>
        <v/>
      </c>
    </row>
    <row r="558" spans="1:6">
      <c r="A558" t="s">
        <v>6339</v>
      </c>
      <c r="B558" t="s">
        <v>30</v>
      </c>
      <c r="C558" t="s">
        <v>5830</v>
      </c>
      <c r="D558">
        <v>0</v>
      </c>
      <c r="E558">
        <f>IF(AND(A558='Поиск параметров'!$D$4,ISNUMBER(SEARCH('Поиск параметров'!$D$6,B558))),1,0)</f>
        <v>0</v>
      </c>
      <c r="F558">
        <f>IF(E558=1,SUM($E$2:E558),"")</f>
        <v/>
      </c>
    </row>
    <row r="559" spans="1:6">
      <c r="A559" t="s">
        <v>6339</v>
      </c>
      <c r="B559" t="s">
        <v>31</v>
      </c>
      <c r="C559" t="s">
        <v>5831</v>
      </c>
      <c r="D559">
        <v>0</v>
      </c>
      <c r="E559">
        <f>IF(AND(A559='Поиск параметров'!$D$4,ISNUMBER(SEARCH('Поиск параметров'!$D$6,B559))),1,0)</f>
        <v>0</v>
      </c>
      <c r="F559">
        <f>IF(E559=1,SUM($E$2:E559),"")</f>
        <v/>
      </c>
    </row>
    <row r="560" spans="1:6">
      <c r="A560" t="s">
        <v>6339</v>
      </c>
      <c r="B560" t="s">
        <v>33</v>
      </c>
      <c r="C560" t="s">
        <v>5832</v>
      </c>
      <c r="D560">
        <v>0</v>
      </c>
      <c r="E560">
        <f>IF(AND(A560='Поиск параметров'!$D$4,ISNUMBER(SEARCH('Поиск параметров'!$D$6,B560))),1,0)</f>
        <v>0</v>
      </c>
      <c r="F560">
        <f>IF(E560=1,SUM($E$2:E560),"")</f>
        <v/>
      </c>
    </row>
    <row r="561" spans="1:6">
      <c r="A561" t="s">
        <v>6339</v>
      </c>
      <c r="B561" t="s">
        <v>34</v>
      </c>
      <c r="C561" t="s">
        <v>5833</v>
      </c>
      <c r="D561">
        <v>0</v>
      </c>
      <c r="E561">
        <f>IF(AND(A561='Поиск параметров'!$D$4,ISNUMBER(SEARCH('Поиск параметров'!$D$6,B561))),1,0)</f>
        <v>0</v>
      </c>
      <c r="F561">
        <f>IF(E561=1,SUM($E$2:E561),"")</f>
        <v/>
      </c>
    </row>
    <row r="562" spans="1:6">
      <c r="A562" t="s">
        <v>6339</v>
      </c>
      <c r="B562" t="s">
        <v>3627</v>
      </c>
      <c r="C562" t="s">
        <v>3491</v>
      </c>
      <c r="D562">
        <v>0</v>
      </c>
      <c r="E562">
        <f>IF(AND(A562='Поиск параметров'!$D$4,ISNUMBER(SEARCH('Поиск параметров'!$D$6,B562))),1,0)</f>
        <v>0</v>
      </c>
      <c r="F562">
        <f>IF(E562=1,SUM($E$2:E562),"")</f>
        <v/>
      </c>
    </row>
    <row r="563" spans="1:6">
      <c r="A563" t="s">
        <v>6339</v>
      </c>
      <c r="B563" t="s">
        <v>3628</v>
      </c>
      <c r="C563" t="s">
        <v>5834</v>
      </c>
      <c r="D563">
        <v>0</v>
      </c>
      <c r="E563">
        <f>IF(AND(A563='Поиск параметров'!$D$4,ISNUMBER(SEARCH('Поиск параметров'!$D$6,B563))),1,0)</f>
        <v>0</v>
      </c>
      <c r="F563">
        <f>IF(E563=1,SUM($E$2:E563),"")</f>
        <v/>
      </c>
    </row>
    <row r="564" spans="1:6">
      <c r="A564" t="s">
        <v>6339</v>
      </c>
      <c r="B564" t="s">
        <v>35</v>
      </c>
      <c r="C564" t="s">
        <v>5835</v>
      </c>
      <c r="D564">
        <v>0</v>
      </c>
      <c r="E564">
        <f>IF(AND(A564='Поиск параметров'!$D$4,ISNUMBER(SEARCH('Поиск параметров'!$D$6,B564))),1,0)</f>
        <v>0</v>
      </c>
      <c r="F564">
        <f>IF(E564=1,SUM($E$2:E564),"")</f>
        <v/>
      </c>
    </row>
    <row r="565" spans="1:6">
      <c r="A565" t="s">
        <v>6339</v>
      </c>
      <c r="B565" t="s">
        <v>38</v>
      </c>
      <c r="C565" t="s">
        <v>5836</v>
      </c>
      <c r="D565">
        <v>277</v>
      </c>
      <c r="E565">
        <f>IF(AND(A565='Поиск параметров'!$D$4,ISNUMBER(SEARCH('Поиск параметров'!$D$6,B565))),1,0)</f>
        <v>0</v>
      </c>
      <c r="F565">
        <f>IF(E565=1,SUM($E$2:E565),"")</f>
        <v/>
      </c>
    </row>
    <row r="566" spans="1:6">
      <c r="A566" t="s">
        <v>6339</v>
      </c>
      <c r="B566" t="s">
        <v>3629</v>
      </c>
      <c r="C566" t="s">
        <v>5837</v>
      </c>
      <c r="D566">
        <v>0</v>
      </c>
      <c r="E566">
        <f>IF(AND(A566='Поиск параметров'!$D$4,ISNUMBER(SEARCH('Поиск параметров'!$D$6,B566))),1,0)</f>
        <v>0</v>
      </c>
      <c r="F566">
        <f>IF(E566=1,SUM($E$2:E566),"")</f>
        <v/>
      </c>
    </row>
    <row r="567" spans="1:6">
      <c r="A567" t="s">
        <v>6339</v>
      </c>
      <c r="B567" t="s">
        <v>3630</v>
      </c>
      <c r="C567" t="s">
        <v>5838</v>
      </c>
      <c r="D567">
        <v>0</v>
      </c>
      <c r="E567">
        <f>IF(AND(A567='Поиск параметров'!$D$4,ISNUMBER(SEARCH('Поиск параметров'!$D$6,B567))),1,0)</f>
        <v>0</v>
      </c>
      <c r="F567">
        <f>IF(E567=1,SUM($E$2:E567),"")</f>
        <v/>
      </c>
    </row>
    <row r="568" spans="1:6">
      <c r="A568" t="s">
        <v>6339</v>
      </c>
      <c r="B568" t="s">
        <v>3631</v>
      </c>
      <c r="C568" t="s">
        <v>5839</v>
      </c>
      <c r="D568">
        <v>278</v>
      </c>
      <c r="E568">
        <f>IF(AND(A568='Поиск параметров'!$D$4,ISNUMBER(SEARCH('Поиск параметров'!$D$6,B568))),1,0)</f>
        <v>0</v>
      </c>
      <c r="F568">
        <f>IF(E568=1,SUM($E$2:E568),"")</f>
        <v/>
      </c>
    </row>
    <row r="569" spans="1:6">
      <c r="A569" t="s">
        <v>6339</v>
      </c>
      <c r="B569" t="s">
        <v>35</v>
      </c>
      <c r="C569" t="s">
        <v>5840</v>
      </c>
      <c r="D569">
        <v>0</v>
      </c>
      <c r="E569">
        <f>IF(AND(A569='Поиск параметров'!$D$4,ISNUMBER(SEARCH('Поиск параметров'!$D$6,B569))),1,0)</f>
        <v>0</v>
      </c>
      <c r="F569">
        <f>IF(E569=1,SUM($E$2:E569),"")</f>
        <v/>
      </c>
    </row>
    <row r="570" spans="1:6">
      <c r="A570" t="s">
        <v>6339</v>
      </c>
      <c r="B570" t="s">
        <v>36</v>
      </c>
      <c r="C570" t="s">
        <v>5841</v>
      </c>
      <c r="D570">
        <v>0</v>
      </c>
      <c r="E570">
        <f>IF(AND(A570='Поиск параметров'!$D$4,ISNUMBER(SEARCH('Поиск параметров'!$D$6,B570))),1,0)</f>
        <v>0</v>
      </c>
      <c r="F570">
        <f>IF(E570=1,SUM($E$2:E570),"")</f>
        <v/>
      </c>
    </row>
    <row r="571" spans="1:6">
      <c r="A571" t="s">
        <v>6339</v>
      </c>
      <c r="B571" t="s">
        <v>42</v>
      </c>
      <c r="C571" t="s">
        <v>5842</v>
      </c>
      <c r="D571">
        <v>0</v>
      </c>
      <c r="E571">
        <f>IF(AND(A571='Поиск параметров'!$D$4,ISNUMBER(SEARCH('Поиск параметров'!$D$6,B571))),1,0)</f>
        <v>0</v>
      </c>
      <c r="F571">
        <f>IF(E571=1,SUM($E$2:E571),"")</f>
        <v/>
      </c>
    </row>
    <row r="572" spans="1:6">
      <c r="A572" t="s">
        <v>6339</v>
      </c>
      <c r="B572" t="s">
        <v>40</v>
      </c>
      <c r="C572" t="s">
        <v>5843</v>
      </c>
      <c r="D572">
        <v>0</v>
      </c>
      <c r="E572">
        <f>IF(AND(A572='Поиск параметров'!$D$4,ISNUMBER(SEARCH('Поиск параметров'!$D$6,B572))),1,0)</f>
        <v>0</v>
      </c>
      <c r="F572">
        <f>IF(E572=1,SUM($E$2:E572),"")</f>
        <v/>
      </c>
    </row>
    <row r="573" spans="1:6">
      <c r="A573" t="s">
        <v>6339</v>
      </c>
      <c r="B573" t="s">
        <v>35</v>
      </c>
      <c r="C573" t="s">
        <v>5844</v>
      </c>
      <c r="D573">
        <v>0</v>
      </c>
      <c r="E573">
        <f>IF(AND(A573='Поиск параметров'!$D$4,ISNUMBER(SEARCH('Поиск параметров'!$D$6,B573))),1,0)</f>
        <v>0</v>
      </c>
      <c r="F573">
        <f>IF(E573=1,SUM($E$2:E573),"")</f>
        <v/>
      </c>
    </row>
    <row r="574" spans="1:6">
      <c r="A574" t="s">
        <v>6339</v>
      </c>
      <c r="B574" t="s">
        <v>36</v>
      </c>
      <c r="C574" t="s">
        <v>5845</v>
      </c>
      <c r="D574">
        <v>0</v>
      </c>
      <c r="E574">
        <f>IF(AND(A574='Поиск параметров'!$D$4,ISNUMBER(SEARCH('Поиск параметров'!$D$6,B574))),1,0)</f>
        <v>0</v>
      </c>
      <c r="F574">
        <f>IF(E574=1,SUM($E$2:E574),"")</f>
        <v/>
      </c>
    </row>
    <row r="575" spans="1:6">
      <c r="A575" t="s">
        <v>6339</v>
      </c>
      <c r="B575" t="s">
        <v>42</v>
      </c>
      <c r="C575" t="s">
        <v>5846</v>
      </c>
      <c r="D575">
        <v>0</v>
      </c>
      <c r="E575">
        <f>IF(AND(A575='Поиск параметров'!$D$4,ISNUMBER(SEARCH('Поиск параметров'!$D$6,B575))),1,0)</f>
        <v>0</v>
      </c>
      <c r="F575">
        <f>IF(E575=1,SUM($E$2:E575),"")</f>
        <v/>
      </c>
    </row>
    <row r="576" spans="1:6">
      <c r="A576" t="s">
        <v>6339</v>
      </c>
      <c r="B576" t="s">
        <v>40</v>
      </c>
      <c r="C576" t="s">
        <v>5847</v>
      </c>
      <c r="D576">
        <v>0</v>
      </c>
      <c r="E576">
        <f>IF(AND(A576='Поиск параметров'!$D$4,ISNUMBER(SEARCH('Поиск параметров'!$D$6,B576))),1,0)</f>
        <v>0</v>
      </c>
      <c r="F576">
        <f>IF(E576=1,SUM($E$2:E576),"")</f>
        <v/>
      </c>
    </row>
    <row r="577" spans="1:6">
      <c r="A577" t="s">
        <v>6339</v>
      </c>
      <c r="B577" t="s">
        <v>35</v>
      </c>
      <c r="C577" t="s">
        <v>5848</v>
      </c>
      <c r="D577">
        <v>0</v>
      </c>
      <c r="E577">
        <f>IF(AND(A577='Поиск параметров'!$D$4,ISNUMBER(SEARCH('Поиск параметров'!$D$6,B577))),1,0)</f>
        <v>0</v>
      </c>
      <c r="F577">
        <f>IF(E577=1,SUM($E$2:E577),"")</f>
        <v/>
      </c>
    </row>
    <row r="578" spans="1:6">
      <c r="A578" t="s">
        <v>6339</v>
      </c>
      <c r="B578" t="s">
        <v>36</v>
      </c>
      <c r="C578" t="s">
        <v>5849</v>
      </c>
      <c r="D578">
        <v>0</v>
      </c>
      <c r="E578">
        <f>IF(AND(A578='Поиск параметров'!$D$4,ISNUMBER(SEARCH('Поиск параметров'!$D$6,B578))),1,0)</f>
        <v>0</v>
      </c>
      <c r="F578">
        <f>IF(E578=1,SUM($E$2:E578),"")</f>
        <v/>
      </c>
    </row>
    <row r="579" spans="1:6">
      <c r="A579" t="s">
        <v>6339</v>
      </c>
      <c r="B579" t="s">
        <v>40</v>
      </c>
      <c r="C579" t="s">
        <v>5850</v>
      </c>
      <c r="D579">
        <v>0</v>
      </c>
      <c r="E579">
        <f>IF(AND(A579='Поиск параметров'!$D$4,ISNUMBER(SEARCH('Поиск параметров'!$D$6,B579))),1,0)</f>
        <v>0</v>
      </c>
      <c r="F579">
        <f>IF(E579=1,SUM($E$2:E579),"")</f>
        <v/>
      </c>
    </row>
    <row r="580" spans="1:6">
      <c r="A580" t="s">
        <v>6339</v>
      </c>
      <c r="B580" t="s">
        <v>35</v>
      </c>
      <c r="C580" t="s">
        <v>5851</v>
      </c>
      <c r="D580">
        <v>0</v>
      </c>
      <c r="E580">
        <f>IF(AND(A580='Поиск параметров'!$D$4,ISNUMBER(SEARCH('Поиск параметров'!$D$6,B580))),1,0)</f>
        <v>0</v>
      </c>
      <c r="F580">
        <f>IF(E580=1,SUM($E$2:E580),"")</f>
        <v/>
      </c>
    </row>
    <row r="581" spans="1:6">
      <c r="A581" t="s">
        <v>6339</v>
      </c>
      <c r="B581" t="s">
        <v>36</v>
      </c>
      <c r="C581" t="s">
        <v>5852</v>
      </c>
      <c r="D581">
        <v>0</v>
      </c>
      <c r="E581">
        <f>IF(AND(A581='Поиск параметров'!$D$4,ISNUMBER(SEARCH('Поиск параметров'!$D$6,B581))),1,0)</f>
        <v>0</v>
      </c>
      <c r="F581">
        <f>IF(E581=1,SUM($E$2:E581),"")</f>
        <v/>
      </c>
    </row>
    <row r="582" spans="1:6">
      <c r="A582" t="s">
        <v>6339</v>
      </c>
      <c r="B582" t="s">
        <v>3632</v>
      </c>
      <c r="C582" t="s">
        <v>5853</v>
      </c>
      <c r="D582">
        <v>0</v>
      </c>
      <c r="E582">
        <f>IF(AND(A582='Поиск параметров'!$D$4,ISNUMBER(SEARCH('Поиск параметров'!$D$6,B582))),1,0)</f>
        <v>0</v>
      </c>
      <c r="F582">
        <f>IF(E582=1,SUM($E$2:E582),"")</f>
        <v/>
      </c>
    </row>
    <row r="583" spans="1:6">
      <c r="A583" t="s">
        <v>6339</v>
      </c>
      <c r="B583" t="s">
        <v>40</v>
      </c>
      <c r="C583" t="s">
        <v>5854</v>
      </c>
      <c r="D583">
        <v>0</v>
      </c>
      <c r="E583">
        <f>IF(AND(A583='Поиск параметров'!$D$4,ISNUMBER(SEARCH('Поиск параметров'!$D$6,B583))),1,0)</f>
        <v>0</v>
      </c>
      <c r="F583">
        <f>IF(E583=1,SUM($E$2:E583),"")</f>
        <v/>
      </c>
    </row>
    <row r="584" spans="1:6">
      <c r="A584" t="s">
        <v>6339</v>
      </c>
      <c r="B584" t="s">
        <v>69</v>
      </c>
      <c r="C584" t="s">
        <v>5855</v>
      </c>
      <c r="D584">
        <v>0</v>
      </c>
      <c r="E584">
        <f>IF(AND(A584='Поиск параметров'!$D$4,ISNUMBER(SEARCH('Поиск параметров'!$D$6,B584))),1,0)</f>
        <v>0</v>
      </c>
      <c r="F584">
        <f>IF(E584=1,SUM($E$2:E584),"")</f>
        <v/>
      </c>
    </row>
    <row r="585" spans="1:6">
      <c r="A585" t="s">
        <v>6339</v>
      </c>
      <c r="B585" t="s">
        <v>3633</v>
      </c>
      <c r="C585" t="s">
        <v>5856</v>
      </c>
      <c r="D585">
        <v>279</v>
      </c>
      <c r="E585">
        <f>IF(AND(A585='Поиск параметров'!$D$4,ISNUMBER(SEARCH('Поиск параметров'!$D$6,B585))),1,0)</f>
        <v>0</v>
      </c>
      <c r="F585">
        <f>IF(E585=1,SUM($E$2:E585),"")</f>
        <v/>
      </c>
    </row>
    <row r="586" spans="1:6">
      <c r="A586" t="s">
        <v>6339</v>
      </c>
      <c r="B586" t="s">
        <v>3634</v>
      </c>
      <c r="C586" t="s">
        <v>5857</v>
      </c>
      <c r="D586">
        <v>280</v>
      </c>
      <c r="E586">
        <f>IF(AND(A586='Поиск параметров'!$D$4,ISNUMBER(SEARCH('Поиск параметров'!$D$6,B586))),1,0)</f>
        <v>0</v>
      </c>
      <c r="F586">
        <f>IF(E586=1,SUM($E$2:E586),"")</f>
        <v/>
      </c>
    </row>
    <row r="587" spans="1:6">
      <c r="A587" t="s">
        <v>6339</v>
      </c>
      <c r="B587" t="s">
        <v>3635</v>
      </c>
      <c r="C587" t="s">
        <v>5858</v>
      </c>
      <c r="D587">
        <v>281</v>
      </c>
      <c r="E587">
        <f>IF(AND(A587='Поиск параметров'!$D$4,ISNUMBER(SEARCH('Поиск параметров'!$D$6,B587))),1,0)</f>
        <v>0</v>
      </c>
      <c r="F587">
        <f>IF(E587=1,SUM($E$2:E587),"")</f>
        <v/>
      </c>
    </row>
    <row r="588" spans="1:6">
      <c r="A588" t="s">
        <v>6339</v>
      </c>
      <c r="B588" t="s">
        <v>3636</v>
      </c>
      <c r="C588" t="s">
        <v>5859</v>
      </c>
      <c r="D588">
        <v>282</v>
      </c>
      <c r="E588">
        <f>IF(AND(A588='Поиск параметров'!$D$4,ISNUMBER(SEARCH('Поиск параметров'!$D$6,B588))),1,0)</f>
        <v>0</v>
      </c>
      <c r="F588">
        <f>IF(E588=1,SUM($E$2:E588),"")</f>
        <v/>
      </c>
    </row>
    <row r="589" spans="1:6">
      <c r="A589" t="s">
        <v>6339</v>
      </c>
      <c r="B589" t="s">
        <v>3637</v>
      </c>
      <c r="C589" t="s">
        <v>5860</v>
      </c>
      <c r="D589">
        <v>283</v>
      </c>
      <c r="E589">
        <f>IF(AND(A589='Поиск параметров'!$D$4,ISNUMBER(SEARCH('Поиск параметров'!$D$6,B589))),1,0)</f>
        <v>0</v>
      </c>
      <c r="F589">
        <f>IF(E589=1,SUM($E$2:E589),"")</f>
        <v/>
      </c>
    </row>
    <row r="590" spans="1:6">
      <c r="A590" t="s">
        <v>6339</v>
      </c>
      <c r="B590" t="s">
        <v>3638</v>
      </c>
      <c r="C590" t="s">
        <v>5861</v>
      </c>
      <c r="D590">
        <v>284</v>
      </c>
      <c r="E590">
        <f>IF(AND(A590='Поиск параметров'!$D$4,ISNUMBER(SEARCH('Поиск параметров'!$D$6,B590))),1,0)</f>
        <v>0</v>
      </c>
      <c r="F590">
        <f>IF(E590=1,SUM($E$2:E590),"")</f>
        <v/>
      </c>
    </row>
    <row r="591" spans="1:6">
      <c r="A591" t="s">
        <v>6339</v>
      </c>
      <c r="B591" t="s">
        <v>3639</v>
      </c>
      <c r="C591" t="s">
        <v>4053</v>
      </c>
      <c r="D591">
        <v>285</v>
      </c>
      <c r="E591">
        <f>IF(AND(A591='Поиск параметров'!$D$4,ISNUMBER(SEARCH('Поиск параметров'!$D$6,B591))),1,0)</f>
        <v>0</v>
      </c>
      <c r="F591">
        <f>IF(E591=1,SUM($E$2:E591),"")</f>
        <v/>
      </c>
    </row>
    <row r="592" spans="1:6">
      <c r="A592" t="s">
        <v>6339</v>
      </c>
      <c r="B592" t="s">
        <v>3640</v>
      </c>
      <c r="C592" t="s">
        <v>5862</v>
      </c>
      <c r="D592">
        <v>0</v>
      </c>
      <c r="E592">
        <f>IF(AND(A592='Поиск параметров'!$D$4,ISNUMBER(SEARCH('Поиск параметров'!$D$6,B592))),1,0)</f>
        <v>0</v>
      </c>
      <c r="F592">
        <f>IF(E592=1,SUM($E$2:E592),"")</f>
        <v/>
      </c>
    </row>
    <row r="593" spans="1:6">
      <c r="A593" t="s">
        <v>6339</v>
      </c>
      <c r="B593" t="s">
        <v>3641</v>
      </c>
      <c r="C593" t="s">
        <v>5863</v>
      </c>
      <c r="D593">
        <v>0</v>
      </c>
      <c r="E593">
        <f>IF(AND(A593='Поиск параметров'!$D$4,ISNUMBER(SEARCH('Поиск параметров'!$D$6,B593))),1,0)</f>
        <v>0</v>
      </c>
      <c r="F593">
        <f>IF(E593=1,SUM($E$2:E593),"")</f>
        <v/>
      </c>
    </row>
    <row r="594" spans="1:6">
      <c r="A594" t="s">
        <v>6339</v>
      </c>
      <c r="B594" t="s">
        <v>3642</v>
      </c>
      <c r="C594" t="s">
        <v>5864</v>
      </c>
      <c r="D594">
        <v>0</v>
      </c>
      <c r="E594">
        <f>IF(AND(A594='Поиск параметров'!$D$4,ISNUMBER(SEARCH('Поиск параметров'!$D$6,B594))),1,0)</f>
        <v>0</v>
      </c>
      <c r="F594">
        <f>IF(E594=1,SUM($E$2:E594),"")</f>
        <v/>
      </c>
    </row>
    <row r="595" spans="1:6">
      <c r="A595" t="s">
        <v>6339</v>
      </c>
      <c r="B595" t="s">
        <v>3643</v>
      </c>
      <c r="C595" t="s">
        <v>5865</v>
      </c>
      <c r="D595">
        <v>0</v>
      </c>
      <c r="E595">
        <f>IF(AND(A595='Поиск параметров'!$D$4,ISNUMBER(SEARCH('Поиск параметров'!$D$6,B595))),1,0)</f>
        <v>0</v>
      </c>
      <c r="F595">
        <f>IF(E595=1,SUM($E$2:E595),"")</f>
        <v/>
      </c>
    </row>
    <row r="596" spans="1:6">
      <c r="A596" t="s">
        <v>6339</v>
      </c>
      <c r="B596" t="s">
        <v>3644</v>
      </c>
      <c r="C596" t="s">
        <v>5866</v>
      </c>
      <c r="D596">
        <v>286</v>
      </c>
      <c r="E596">
        <f>IF(AND(A596='Поиск параметров'!$D$4,ISNUMBER(SEARCH('Поиск параметров'!$D$6,B596))),1,0)</f>
        <v>0</v>
      </c>
      <c r="F596">
        <f>IF(E596=1,SUM($E$2:E596),"")</f>
        <v/>
      </c>
    </row>
    <row r="597" spans="1:6">
      <c r="A597" t="s">
        <v>6339</v>
      </c>
      <c r="B597" t="s">
        <v>3645</v>
      </c>
      <c r="C597" t="s">
        <v>5867</v>
      </c>
      <c r="D597">
        <v>287</v>
      </c>
      <c r="E597">
        <f>IF(AND(A597='Поиск параметров'!$D$4,ISNUMBER(SEARCH('Поиск параметров'!$D$6,B597))),1,0)</f>
        <v>0</v>
      </c>
      <c r="F597">
        <f>IF(E597=1,SUM($E$2:E597),"")</f>
        <v/>
      </c>
    </row>
    <row r="598" spans="1:6">
      <c r="A598" t="s">
        <v>6339</v>
      </c>
      <c r="B598" t="s">
        <v>3646</v>
      </c>
      <c r="C598" t="s">
        <v>5868</v>
      </c>
      <c r="D598">
        <v>288</v>
      </c>
      <c r="E598">
        <f>IF(AND(A598='Поиск параметров'!$D$4,ISNUMBER(SEARCH('Поиск параметров'!$D$6,B598))),1,0)</f>
        <v>0</v>
      </c>
      <c r="F598">
        <f>IF(E598=1,SUM($E$2:E598),"")</f>
        <v/>
      </c>
    </row>
    <row r="599" spans="1:6">
      <c r="A599" t="s">
        <v>6339</v>
      </c>
      <c r="B599" t="s">
        <v>3647</v>
      </c>
      <c r="C599" t="s">
        <v>5869</v>
      </c>
      <c r="D599">
        <v>289</v>
      </c>
      <c r="E599">
        <f>IF(AND(A599='Поиск параметров'!$D$4,ISNUMBER(SEARCH('Поиск параметров'!$D$6,B599))),1,0)</f>
        <v>0</v>
      </c>
      <c r="F599">
        <f>IF(E599=1,SUM($E$2:E599),"")</f>
        <v/>
      </c>
    </row>
    <row r="600" spans="1:6">
      <c r="A600" t="s">
        <v>6339</v>
      </c>
      <c r="B600" t="s">
        <v>3648</v>
      </c>
      <c r="C600" t="s">
        <v>4359</v>
      </c>
      <c r="D600">
        <v>290</v>
      </c>
      <c r="E600">
        <f>IF(AND(A600='Поиск параметров'!$D$4,ISNUMBER(SEARCH('Поиск параметров'!$D$6,B600))),1,0)</f>
        <v>0</v>
      </c>
      <c r="F600">
        <f>IF(E600=1,SUM($E$2:E600),"")</f>
        <v/>
      </c>
    </row>
    <row r="601" spans="1:6">
      <c r="A601" t="s">
        <v>6339</v>
      </c>
      <c r="B601" t="s">
        <v>3649</v>
      </c>
      <c r="C601" t="s">
        <v>5870</v>
      </c>
      <c r="D601">
        <v>291</v>
      </c>
      <c r="E601">
        <f>IF(AND(A601='Поиск параметров'!$D$4,ISNUMBER(SEARCH('Поиск параметров'!$D$6,B601))),1,0)</f>
        <v>0</v>
      </c>
      <c r="F601">
        <f>IF(E601=1,SUM($E$2:E601),"")</f>
        <v/>
      </c>
    </row>
    <row r="602" spans="1:6">
      <c r="A602" t="s">
        <v>6339</v>
      </c>
      <c r="B602" t="s">
        <v>3650</v>
      </c>
      <c r="C602" t="s">
        <v>5871</v>
      </c>
      <c r="D602">
        <v>292</v>
      </c>
      <c r="E602">
        <f>IF(AND(A602='Поиск параметров'!$D$4,ISNUMBER(SEARCH('Поиск параметров'!$D$6,B602))),1,0)</f>
        <v>0</v>
      </c>
      <c r="F602">
        <f>IF(E602=1,SUM($E$2:E602),"")</f>
        <v/>
      </c>
    </row>
    <row r="603" spans="1:6">
      <c r="A603" t="s">
        <v>6339</v>
      </c>
      <c r="B603" t="s">
        <v>3651</v>
      </c>
      <c r="C603" t="s">
        <v>5872</v>
      </c>
      <c r="D603">
        <v>293</v>
      </c>
      <c r="E603">
        <f>IF(AND(A603='Поиск параметров'!$D$4,ISNUMBER(SEARCH('Поиск параметров'!$D$6,B603))),1,0)</f>
        <v>0</v>
      </c>
      <c r="F603">
        <f>IF(E603=1,SUM($E$2:E603),"")</f>
        <v/>
      </c>
    </row>
    <row r="604" spans="1:6">
      <c r="A604" t="s">
        <v>6339</v>
      </c>
      <c r="B604" t="s">
        <v>3652</v>
      </c>
      <c r="C604" t="s">
        <v>5873</v>
      </c>
      <c r="D604">
        <v>294</v>
      </c>
      <c r="E604">
        <f>IF(AND(A604='Поиск параметров'!$D$4,ISNUMBER(SEARCH('Поиск параметров'!$D$6,B604))),1,0)</f>
        <v>0</v>
      </c>
      <c r="F604">
        <f>IF(E604=1,SUM($E$2:E604),"")</f>
        <v/>
      </c>
    </row>
    <row r="605" spans="1:6">
      <c r="A605" t="s">
        <v>6339</v>
      </c>
      <c r="B605" t="s">
        <v>3653</v>
      </c>
      <c r="C605" t="s">
        <v>5874</v>
      </c>
      <c r="D605">
        <v>0</v>
      </c>
      <c r="E605">
        <f>IF(AND(A605='Поиск параметров'!$D$4,ISNUMBER(SEARCH('Поиск параметров'!$D$6,B605))),1,0)</f>
        <v>0</v>
      </c>
      <c r="F605">
        <f>IF(E605=1,SUM($E$2:E605),"")</f>
        <v/>
      </c>
    </row>
    <row r="606" spans="1:6">
      <c r="A606" t="s">
        <v>6339</v>
      </c>
      <c r="B606" t="s">
        <v>3654</v>
      </c>
      <c r="C606" t="s">
        <v>5875</v>
      </c>
      <c r="D606">
        <v>295</v>
      </c>
      <c r="E606">
        <f>IF(AND(A606='Поиск параметров'!$D$4,ISNUMBER(SEARCH('Поиск параметров'!$D$6,B606))),1,0)</f>
        <v>0</v>
      </c>
      <c r="F606">
        <f>IF(E606=1,SUM($E$2:E606),"")</f>
        <v/>
      </c>
    </row>
    <row r="607" spans="1:6">
      <c r="A607" t="s">
        <v>6339</v>
      </c>
      <c r="B607" t="s">
        <v>3655</v>
      </c>
      <c r="C607" t="s">
        <v>5876</v>
      </c>
      <c r="D607">
        <v>296</v>
      </c>
      <c r="E607">
        <f>IF(AND(A607='Поиск параметров'!$D$4,ISNUMBER(SEARCH('Поиск параметров'!$D$6,B607))),1,0)</f>
        <v>0</v>
      </c>
      <c r="F607">
        <f>IF(E607=1,SUM($E$2:E607),"")</f>
        <v/>
      </c>
    </row>
    <row r="608" spans="1:6">
      <c r="A608" t="s">
        <v>6339</v>
      </c>
      <c r="B608" t="s">
        <v>3656</v>
      </c>
      <c r="C608" t="s">
        <v>5877</v>
      </c>
      <c r="D608">
        <v>297</v>
      </c>
      <c r="E608">
        <f>IF(AND(A608='Поиск параметров'!$D$4,ISNUMBER(SEARCH('Поиск параметров'!$D$6,B608))),1,0)</f>
        <v>0</v>
      </c>
      <c r="F608">
        <f>IF(E608=1,SUM($E$2:E608),"")</f>
        <v/>
      </c>
    </row>
    <row r="609" spans="1:6">
      <c r="A609" t="s">
        <v>6339</v>
      </c>
      <c r="B609" t="s">
        <v>3657</v>
      </c>
      <c r="C609" t="s">
        <v>5878</v>
      </c>
      <c r="D609">
        <v>0</v>
      </c>
      <c r="E609">
        <f>IF(AND(A609='Поиск параметров'!$D$4,ISNUMBER(SEARCH('Поиск параметров'!$D$6,B609))),1,0)</f>
        <v>0</v>
      </c>
      <c r="F609">
        <f>IF(E609=1,SUM($E$2:E609),"")</f>
        <v/>
      </c>
    </row>
    <row r="610" spans="1:6">
      <c r="A610" t="s">
        <v>6339</v>
      </c>
      <c r="B610" t="s">
        <v>3658</v>
      </c>
      <c r="C610" t="s">
        <v>5879</v>
      </c>
      <c r="D610">
        <v>0</v>
      </c>
      <c r="E610">
        <f>IF(AND(A610='Поиск параметров'!$D$4,ISNUMBER(SEARCH('Поиск параметров'!$D$6,B610))),1,0)</f>
        <v>0</v>
      </c>
      <c r="F610">
        <f>IF(E610=1,SUM($E$2:E610),"")</f>
        <v/>
      </c>
    </row>
    <row r="611" spans="1:6">
      <c r="A611" t="s">
        <v>6339</v>
      </c>
      <c r="B611" t="s">
        <v>3659</v>
      </c>
      <c r="C611" t="s">
        <v>5880</v>
      </c>
      <c r="D611">
        <v>0</v>
      </c>
      <c r="E611">
        <f>IF(AND(A611='Поиск параметров'!$D$4,ISNUMBER(SEARCH('Поиск параметров'!$D$6,B611))),1,0)</f>
        <v>0</v>
      </c>
      <c r="F611">
        <f>IF(E611=1,SUM($E$2:E611),"")</f>
        <v/>
      </c>
    </row>
    <row r="612" spans="1:6">
      <c r="A612" t="s">
        <v>6339</v>
      </c>
      <c r="B612" t="s">
        <v>3660</v>
      </c>
      <c r="C612" t="s">
        <v>5881</v>
      </c>
      <c r="D612">
        <v>0</v>
      </c>
      <c r="E612">
        <f>IF(AND(A612='Поиск параметров'!$D$4,ISNUMBER(SEARCH('Поиск параметров'!$D$6,B612))),1,0)</f>
        <v>0</v>
      </c>
      <c r="F612">
        <f>IF(E612=1,SUM($E$2:E612),"")</f>
        <v/>
      </c>
    </row>
    <row r="613" spans="1:6">
      <c r="A613" t="s">
        <v>6339</v>
      </c>
      <c r="B613" t="s">
        <v>3661</v>
      </c>
      <c r="C613" t="s">
        <v>5882</v>
      </c>
      <c r="D613">
        <v>0</v>
      </c>
      <c r="E613">
        <f>IF(AND(A613='Поиск параметров'!$D$4,ISNUMBER(SEARCH('Поиск параметров'!$D$6,B613))),1,0)</f>
        <v>0</v>
      </c>
      <c r="F613">
        <f>IF(E613=1,SUM($E$2:E613),"")</f>
        <v/>
      </c>
    </row>
    <row r="614" spans="1:6">
      <c r="A614" t="s">
        <v>6339</v>
      </c>
      <c r="B614" t="s">
        <v>3662</v>
      </c>
      <c r="C614" t="s">
        <v>5883</v>
      </c>
      <c r="D614">
        <v>0</v>
      </c>
      <c r="E614">
        <f>IF(AND(A614='Поиск параметров'!$D$4,ISNUMBER(SEARCH('Поиск параметров'!$D$6,B614))),1,0)</f>
        <v>0</v>
      </c>
      <c r="F614">
        <f>IF(E614=1,SUM($E$2:E614),"")</f>
        <v/>
      </c>
    </row>
    <row r="615" spans="1:6">
      <c r="A615" t="s">
        <v>6339</v>
      </c>
      <c r="B615" t="s">
        <v>3663</v>
      </c>
      <c r="C615" t="s">
        <v>5884</v>
      </c>
      <c r="D615">
        <v>0</v>
      </c>
      <c r="E615">
        <f>IF(AND(A615='Поиск параметров'!$D$4,ISNUMBER(SEARCH('Поиск параметров'!$D$6,B615))),1,0)</f>
        <v>0</v>
      </c>
      <c r="F615">
        <f>IF(E615=1,SUM($E$2:E615),"")</f>
        <v/>
      </c>
    </row>
    <row r="616" spans="1:6">
      <c r="A616" t="s">
        <v>6339</v>
      </c>
      <c r="B616" t="s">
        <v>3664</v>
      </c>
      <c r="C616" t="s">
        <v>5885</v>
      </c>
      <c r="D616">
        <v>0</v>
      </c>
      <c r="E616">
        <f>IF(AND(A616='Поиск параметров'!$D$4,ISNUMBER(SEARCH('Поиск параметров'!$D$6,B616))),1,0)</f>
        <v>0</v>
      </c>
      <c r="F616">
        <f>IF(E616=1,SUM($E$2:E616),"")</f>
        <v/>
      </c>
    </row>
    <row r="617" spans="1:6">
      <c r="A617" t="s">
        <v>6339</v>
      </c>
      <c r="B617" t="s">
        <v>3665</v>
      </c>
      <c r="C617" t="s">
        <v>5886</v>
      </c>
      <c r="D617">
        <v>0</v>
      </c>
      <c r="E617">
        <f>IF(AND(A617='Поиск параметров'!$D$4,ISNUMBER(SEARCH('Поиск параметров'!$D$6,B617))),1,0)</f>
        <v>0</v>
      </c>
      <c r="F617">
        <f>IF(E617=1,SUM($E$2:E617),"")</f>
        <v/>
      </c>
    </row>
    <row r="618" spans="1:6">
      <c r="A618" t="s">
        <v>6339</v>
      </c>
      <c r="B618" t="s">
        <v>3666</v>
      </c>
      <c r="C618" t="s">
        <v>5887</v>
      </c>
      <c r="D618">
        <v>0</v>
      </c>
      <c r="E618">
        <f>IF(AND(A618='Поиск параметров'!$D$4,ISNUMBER(SEARCH('Поиск параметров'!$D$6,B618))),1,0)</f>
        <v>0</v>
      </c>
      <c r="F618">
        <f>IF(E618=1,SUM($E$2:E618),"")</f>
        <v/>
      </c>
    </row>
    <row r="619" spans="1:6">
      <c r="A619" t="s">
        <v>6339</v>
      </c>
      <c r="B619" t="s">
        <v>3667</v>
      </c>
      <c r="C619" t="s">
        <v>5888</v>
      </c>
      <c r="D619">
        <v>0</v>
      </c>
      <c r="E619">
        <f>IF(AND(A619='Поиск параметров'!$D$4,ISNUMBER(SEARCH('Поиск параметров'!$D$6,B619))),1,0)</f>
        <v>0</v>
      </c>
      <c r="F619">
        <f>IF(E619=1,SUM($E$2:E619),"")</f>
        <v/>
      </c>
    </row>
    <row r="620" spans="1:6">
      <c r="A620" t="s">
        <v>6339</v>
      </c>
      <c r="B620" t="s">
        <v>3668</v>
      </c>
      <c r="C620" t="s">
        <v>5889</v>
      </c>
      <c r="D620">
        <v>0</v>
      </c>
      <c r="E620">
        <f>IF(AND(A620='Поиск параметров'!$D$4,ISNUMBER(SEARCH('Поиск параметров'!$D$6,B620))),1,0)</f>
        <v>0</v>
      </c>
      <c r="F620">
        <f>IF(E620=1,SUM($E$2:E620),"")</f>
        <v/>
      </c>
    </row>
    <row r="621" spans="1:6">
      <c r="A621" t="s">
        <v>6339</v>
      </c>
      <c r="B621" t="s">
        <v>3669</v>
      </c>
      <c r="C621" t="s">
        <v>5890</v>
      </c>
      <c r="D621">
        <v>0</v>
      </c>
      <c r="E621">
        <f>IF(AND(A621='Поиск параметров'!$D$4,ISNUMBER(SEARCH('Поиск параметров'!$D$6,B621))),1,0)</f>
        <v>0</v>
      </c>
      <c r="F621">
        <f>IF(E621=1,SUM($E$2:E621),"")</f>
        <v/>
      </c>
    </row>
    <row r="622" spans="1:6">
      <c r="A622" t="s">
        <v>6339</v>
      </c>
      <c r="B622" t="s">
        <v>3670</v>
      </c>
      <c r="C622" t="s">
        <v>5891</v>
      </c>
      <c r="D622">
        <v>0</v>
      </c>
      <c r="E622">
        <f>IF(AND(A622='Поиск параметров'!$D$4,ISNUMBER(SEARCH('Поиск параметров'!$D$6,B622))),1,0)</f>
        <v>0</v>
      </c>
      <c r="F622">
        <f>IF(E622=1,SUM($E$2:E622),"")</f>
        <v/>
      </c>
    </row>
    <row r="623" spans="1:6">
      <c r="A623" t="s">
        <v>6339</v>
      </c>
      <c r="B623" t="s">
        <v>3671</v>
      </c>
      <c r="C623" t="s">
        <v>5892</v>
      </c>
      <c r="D623">
        <v>0</v>
      </c>
      <c r="E623">
        <f>IF(AND(A623='Поиск параметров'!$D$4,ISNUMBER(SEARCH('Поиск параметров'!$D$6,B623))),1,0)</f>
        <v>0</v>
      </c>
      <c r="F623">
        <f>IF(E623=1,SUM($E$2:E623),"")</f>
        <v/>
      </c>
    </row>
    <row r="624" spans="1:6">
      <c r="A624" t="s">
        <v>6339</v>
      </c>
      <c r="B624" t="s">
        <v>3672</v>
      </c>
      <c r="C624" t="s">
        <v>5893</v>
      </c>
      <c r="D624">
        <v>0</v>
      </c>
      <c r="E624">
        <f>IF(AND(A624='Поиск параметров'!$D$4,ISNUMBER(SEARCH('Поиск параметров'!$D$6,B624))),1,0)</f>
        <v>0</v>
      </c>
      <c r="F624">
        <f>IF(E624=1,SUM($E$2:E624),"")</f>
        <v/>
      </c>
    </row>
    <row r="625" spans="1:6">
      <c r="A625" t="s">
        <v>6339</v>
      </c>
      <c r="B625" t="s">
        <v>3673</v>
      </c>
      <c r="C625" t="s">
        <v>5894</v>
      </c>
      <c r="D625">
        <v>0</v>
      </c>
      <c r="E625">
        <f>IF(AND(A625='Поиск параметров'!$D$4,ISNUMBER(SEARCH('Поиск параметров'!$D$6,B625))),1,0)</f>
        <v>0</v>
      </c>
      <c r="F625">
        <f>IF(E625=1,SUM($E$2:E625),"")</f>
        <v/>
      </c>
    </row>
    <row r="626" spans="1:6">
      <c r="A626" t="s">
        <v>6339</v>
      </c>
      <c r="B626" t="s">
        <v>3674</v>
      </c>
      <c r="C626" t="s">
        <v>5895</v>
      </c>
      <c r="D626">
        <v>0</v>
      </c>
      <c r="E626">
        <f>IF(AND(A626='Поиск параметров'!$D$4,ISNUMBER(SEARCH('Поиск параметров'!$D$6,B626))),1,0)</f>
        <v>0</v>
      </c>
      <c r="F626">
        <f>IF(E626=1,SUM($E$2:E626),"")</f>
        <v/>
      </c>
    </row>
    <row r="627" spans="1:6">
      <c r="A627" t="s">
        <v>6339</v>
      </c>
      <c r="B627" t="s">
        <v>3675</v>
      </c>
      <c r="C627" t="s">
        <v>5896</v>
      </c>
      <c r="D627">
        <v>0</v>
      </c>
      <c r="E627">
        <f>IF(AND(A627='Поиск параметров'!$D$4,ISNUMBER(SEARCH('Поиск параметров'!$D$6,B627))),1,0)</f>
        <v>0</v>
      </c>
      <c r="F627">
        <f>IF(E627=1,SUM($E$2:E627),"")</f>
        <v/>
      </c>
    </row>
    <row r="628" spans="1:6">
      <c r="A628" t="s">
        <v>6339</v>
      </c>
      <c r="B628" t="s">
        <v>3676</v>
      </c>
      <c r="C628" t="s">
        <v>5897</v>
      </c>
      <c r="D628">
        <v>0</v>
      </c>
      <c r="E628">
        <f>IF(AND(A628='Поиск параметров'!$D$4,ISNUMBER(SEARCH('Поиск параметров'!$D$6,B628))),1,0)</f>
        <v>0</v>
      </c>
      <c r="F628">
        <f>IF(E628=1,SUM($E$2:E628),"")</f>
        <v/>
      </c>
    </row>
    <row r="629" spans="1:6">
      <c r="A629" t="s">
        <v>6339</v>
      </c>
      <c r="B629" t="s">
        <v>3677</v>
      </c>
      <c r="C629" t="s">
        <v>5898</v>
      </c>
      <c r="D629">
        <v>0</v>
      </c>
      <c r="E629">
        <f>IF(AND(A629='Поиск параметров'!$D$4,ISNUMBER(SEARCH('Поиск параметров'!$D$6,B629))),1,0)</f>
        <v>0</v>
      </c>
      <c r="F629">
        <f>IF(E629=1,SUM($E$2:E629),"")</f>
        <v/>
      </c>
    </row>
    <row r="630" spans="1:6">
      <c r="A630" t="s">
        <v>6339</v>
      </c>
      <c r="B630" t="s">
        <v>3678</v>
      </c>
      <c r="C630" t="s">
        <v>5899</v>
      </c>
      <c r="D630">
        <v>0</v>
      </c>
      <c r="E630">
        <f>IF(AND(A630='Поиск параметров'!$D$4,ISNUMBER(SEARCH('Поиск параметров'!$D$6,B630))),1,0)</f>
        <v>0</v>
      </c>
      <c r="F630">
        <f>IF(E630=1,SUM($E$2:E630),"")</f>
        <v/>
      </c>
    </row>
    <row r="631" spans="1:6">
      <c r="A631" t="s">
        <v>6339</v>
      </c>
      <c r="B631" t="s">
        <v>3679</v>
      </c>
      <c r="C631" t="s">
        <v>5900</v>
      </c>
      <c r="D631">
        <v>0</v>
      </c>
      <c r="E631">
        <f>IF(AND(A631='Поиск параметров'!$D$4,ISNUMBER(SEARCH('Поиск параметров'!$D$6,B631))),1,0)</f>
        <v>0</v>
      </c>
      <c r="F631">
        <f>IF(E631=1,SUM($E$2:E631),"")</f>
        <v/>
      </c>
    </row>
    <row r="632" spans="1:6">
      <c r="A632" t="s">
        <v>6339</v>
      </c>
      <c r="B632" t="s">
        <v>3680</v>
      </c>
      <c r="C632" t="s">
        <v>5901</v>
      </c>
      <c r="D632">
        <v>0</v>
      </c>
      <c r="E632">
        <f>IF(AND(A632='Поиск параметров'!$D$4,ISNUMBER(SEARCH('Поиск параметров'!$D$6,B632))),1,0)</f>
        <v>0</v>
      </c>
      <c r="F632">
        <f>IF(E632=1,SUM($E$2:E632),"")</f>
        <v/>
      </c>
    </row>
    <row r="633" spans="1:6">
      <c r="A633" t="s">
        <v>6339</v>
      </c>
      <c r="B633" t="s">
        <v>3681</v>
      </c>
      <c r="C633" t="s">
        <v>5902</v>
      </c>
      <c r="D633">
        <v>0</v>
      </c>
      <c r="E633">
        <f>IF(AND(A633='Поиск параметров'!$D$4,ISNUMBER(SEARCH('Поиск параметров'!$D$6,B633))),1,0)</f>
        <v>0</v>
      </c>
      <c r="F633">
        <f>IF(E633=1,SUM($E$2:E633),"")</f>
        <v/>
      </c>
    </row>
    <row r="634" spans="1:6">
      <c r="A634" t="s">
        <v>6339</v>
      </c>
      <c r="B634" t="s">
        <v>3682</v>
      </c>
      <c r="C634" t="s">
        <v>5903</v>
      </c>
      <c r="D634">
        <v>0</v>
      </c>
      <c r="E634">
        <f>IF(AND(A634='Поиск параметров'!$D$4,ISNUMBER(SEARCH('Поиск параметров'!$D$6,B634))),1,0)</f>
        <v>0</v>
      </c>
      <c r="F634">
        <f>IF(E634=1,SUM($E$2:E634),"")</f>
        <v/>
      </c>
    </row>
    <row r="635" spans="1:6">
      <c r="A635" t="s">
        <v>6339</v>
      </c>
      <c r="B635" t="s">
        <v>3683</v>
      </c>
      <c r="C635" t="s">
        <v>5904</v>
      </c>
      <c r="D635">
        <v>0</v>
      </c>
      <c r="E635">
        <f>IF(AND(A635='Поиск параметров'!$D$4,ISNUMBER(SEARCH('Поиск параметров'!$D$6,B635))),1,0)</f>
        <v>0</v>
      </c>
      <c r="F635">
        <f>IF(E635=1,SUM($E$2:E635),"")</f>
        <v/>
      </c>
    </row>
    <row r="636" spans="1:6">
      <c r="A636" t="s">
        <v>6339</v>
      </c>
      <c r="B636" t="s">
        <v>3684</v>
      </c>
      <c r="C636" t="s">
        <v>5905</v>
      </c>
      <c r="D636">
        <v>298</v>
      </c>
      <c r="E636">
        <f>IF(AND(A636='Поиск параметров'!$D$4,ISNUMBER(SEARCH('Поиск параметров'!$D$6,B636))),1,0)</f>
        <v>0</v>
      </c>
      <c r="F636">
        <f>IF(E636=1,SUM($E$2:E636),"")</f>
        <v/>
      </c>
    </row>
    <row r="637" spans="1:6">
      <c r="A637" t="s">
        <v>6339</v>
      </c>
      <c r="B637" t="s">
        <v>3685</v>
      </c>
      <c r="C637" t="s">
        <v>5906</v>
      </c>
      <c r="D637">
        <v>299</v>
      </c>
      <c r="E637">
        <f>IF(AND(A637='Поиск параметров'!$D$4,ISNUMBER(SEARCH('Поиск параметров'!$D$6,B637))),1,0)</f>
        <v>0</v>
      </c>
      <c r="F637">
        <f>IF(E637=1,SUM($E$2:E637),"")</f>
        <v/>
      </c>
    </row>
    <row r="638" spans="1:6">
      <c r="A638" t="s">
        <v>6339</v>
      </c>
      <c r="B638" t="s">
        <v>3686</v>
      </c>
      <c r="C638" t="s">
        <v>5907</v>
      </c>
      <c r="D638">
        <v>300</v>
      </c>
      <c r="E638">
        <f>IF(AND(A638='Поиск параметров'!$D$4,ISNUMBER(SEARCH('Поиск параметров'!$D$6,B638))),1,0)</f>
        <v>0</v>
      </c>
      <c r="F638">
        <f>IF(E638=1,SUM($E$2:E638),"")</f>
        <v/>
      </c>
    </row>
    <row r="639" spans="1:6">
      <c r="A639" t="s">
        <v>6339</v>
      </c>
      <c r="B639" t="s">
        <v>3687</v>
      </c>
      <c r="C639" t="s">
        <v>5908</v>
      </c>
      <c r="D639">
        <v>301</v>
      </c>
      <c r="E639">
        <f>IF(AND(A639='Поиск параметров'!$D$4,ISNUMBER(SEARCH('Поиск параметров'!$D$6,B639))),1,0)</f>
        <v>0</v>
      </c>
      <c r="F639">
        <f>IF(E639=1,SUM($E$2:E639),"")</f>
        <v/>
      </c>
    </row>
    <row r="640" spans="1:6">
      <c r="A640" t="s">
        <v>6339</v>
      </c>
      <c r="B640" t="s">
        <v>3688</v>
      </c>
      <c r="C640" t="s">
        <v>5909</v>
      </c>
      <c r="D640">
        <v>302</v>
      </c>
      <c r="E640">
        <f>IF(AND(A640='Поиск параметров'!$D$4,ISNUMBER(SEARCH('Поиск параметров'!$D$6,B640))),1,0)</f>
        <v>0</v>
      </c>
      <c r="F640">
        <f>IF(E640=1,SUM($E$2:E640),"")</f>
        <v/>
      </c>
    </row>
    <row r="641" spans="1:6">
      <c r="A641" t="s">
        <v>6339</v>
      </c>
      <c r="B641" t="s">
        <v>3689</v>
      </c>
      <c r="C641" t="s">
        <v>5910</v>
      </c>
      <c r="D641">
        <v>303</v>
      </c>
      <c r="E641">
        <f>IF(AND(A641='Поиск параметров'!$D$4,ISNUMBER(SEARCH('Поиск параметров'!$D$6,B641))),1,0)</f>
        <v>0</v>
      </c>
      <c r="F641">
        <f>IF(E641=1,SUM($E$2:E641),"")</f>
        <v/>
      </c>
    </row>
    <row r="642" spans="1:6">
      <c r="A642" t="s">
        <v>6339</v>
      </c>
      <c r="B642" t="s">
        <v>3690</v>
      </c>
      <c r="C642" t="s">
        <v>5911</v>
      </c>
      <c r="D642">
        <v>304</v>
      </c>
      <c r="E642">
        <f>IF(AND(A642='Поиск параметров'!$D$4,ISNUMBER(SEARCH('Поиск параметров'!$D$6,B642))),1,0)</f>
        <v>0</v>
      </c>
      <c r="F642">
        <f>IF(E642=1,SUM($E$2:E642),"")</f>
        <v/>
      </c>
    </row>
    <row r="643" spans="1:6">
      <c r="A643" t="s">
        <v>6339</v>
      </c>
      <c r="B643" t="s">
        <v>3691</v>
      </c>
      <c r="C643" t="s">
        <v>5912</v>
      </c>
      <c r="D643">
        <v>305</v>
      </c>
      <c r="E643">
        <f>IF(AND(A643='Поиск параметров'!$D$4,ISNUMBER(SEARCH('Поиск параметров'!$D$6,B643))),1,0)</f>
        <v>0</v>
      </c>
      <c r="F643">
        <f>IF(E643=1,SUM($E$2:E643),"")</f>
        <v/>
      </c>
    </row>
    <row r="644" spans="1:6">
      <c r="A644" t="s">
        <v>6339</v>
      </c>
      <c r="B644" t="s">
        <v>3692</v>
      </c>
      <c r="C644" t="s">
        <v>5913</v>
      </c>
      <c r="D644">
        <v>306</v>
      </c>
      <c r="E644">
        <f>IF(AND(A644='Поиск параметров'!$D$4,ISNUMBER(SEARCH('Поиск параметров'!$D$6,B644))),1,0)</f>
        <v>0</v>
      </c>
      <c r="F644">
        <f>IF(E644=1,SUM($E$2:E644),"")</f>
        <v/>
      </c>
    </row>
    <row r="645" spans="1:6">
      <c r="A645" t="s">
        <v>6339</v>
      </c>
      <c r="B645" t="s">
        <v>3693</v>
      </c>
      <c r="C645" t="s">
        <v>5914</v>
      </c>
      <c r="D645">
        <v>307</v>
      </c>
      <c r="E645">
        <f>IF(AND(A645='Поиск параметров'!$D$4,ISNUMBER(SEARCH('Поиск параметров'!$D$6,B645))),1,0)</f>
        <v>0</v>
      </c>
      <c r="F645">
        <f>IF(E645=1,SUM($E$2:E645),"")</f>
        <v/>
      </c>
    </row>
    <row r="646" spans="1:6">
      <c r="A646" t="s">
        <v>6339</v>
      </c>
      <c r="B646" t="s">
        <v>3694</v>
      </c>
      <c r="C646" t="s">
        <v>5915</v>
      </c>
      <c r="D646">
        <v>308</v>
      </c>
      <c r="E646">
        <f>IF(AND(A646='Поиск параметров'!$D$4,ISNUMBER(SEARCH('Поиск параметров'!$D$6,B646))),1,0)</f>
        <v>0</v>
      </c>
      <c r="F646">
        <f>IF(E646=1,SUM($E$2:E646),"")</f>
        <v/>
      </c>
    </row>
    <row r="647" spans="1:6">
      <c r="A647" t="s">
        <v>6339</v>
      </c>
      <c r="B647" t="s">
        <v>3695</v>
      </c>
      <c r="C647" t="s">
        <v>5916</v>
      </c>
      <c r="D647">
        <v>309</v>
      </c>
      <c r="E647">
        <f>IF(AND(A647='Поиск параметров'!$D$4,ISNUMBER(SEARCH('Поиск параметров'!$D$6,B647))),1,0)</f>
        <v>0</v>
      </c>
      <c r="F647">
        <f>IF(E647=1,SUM($E$2:E647),"")</f>
        <v/>
      </c>
    </row>
    <row r="648" spans="1:6">
      <c r="A648" t="s">
        <v>6339</v>
      </c>
      <c r="B648" t="s">
        <v>3696</v>
      </c>
      <c r="C648" t="s">
        <v>5917</v>
      </c>
      <c r="D648">
        <v>310</v>
      </c>
      <c r="E648">
        <f>IF(AND(A648='Поиск параметров'!$D$4,ISNUMBER(SEARCH('Поиск параметров'!$D$6,B648))),1,0)</f>
        <v>0</v>
      </c>
      <c r="F648">
        <f>IF(E648=1,SUM($E$2:E648),"")</f>
        <v/>
      </c>
    </row>
    <row r="649" spans="1:6">
      <c r="A649" t="s">
        <v>6339</v>
      </c>
      <c r="B649" t="s">
        <v>3697</v>
      </c>
      <c r="C649" t="s">
        <v>5918</v>
      </c>
      <c r="D649">
        <v>311</v>
      </c>
      <c r="E649">
        <f>IF(AND(A649='Поиск параметров'!$D$4,ISNUMBER(SEARCH('Поиск параметров'!$D$6,B649))),1,0)</f>
        <v>0</v>
      </c>
      <c r="F649">
        <f>IF(E649=1,SUM($E$2:E649),"")</f>
        <v/>
      </c>
    </row>
    <row r="650" spans="1:6">
      <c r="A650" t="s">
        <v>6339</v>
      </c>
      <c r="B650" t="s">
        <v>3698</v>
      </c>
      <c r="C650" t="s">
        <v>5919</v>
      </c>
      <c r="D650">
        <v>0</v>
      </c>
      <c r="E650">
        <f>IF(AND(A650='Поиск параметров'!$D$4,ISNUMBER(SEARCH('Поиск параметров'!$D$6,B650))),1,0)</f>
        <v>0</v>
      </c>
      <c r="F650">
        <f>IF(E650=1,SUM($E$2:E650),"")</f>
        <v/>
      </c>
    </row>
    <row r="651" spans="1:6">
      <c r="A651" t="s">
        <v>6339</v>
      </c>
      <c r="B651" t="s">
        <v>3699</v>
      </c>
      <c r="C651" t="s">
        <v>5920</v>
      </c>
      <c r="D651">
        <v>312</v>
      </c>
      <c r="E651">
        <f>IF(AND(A651='Поиск параметров'!$D$4,ISNUMBER(SEARCH('Поиск параметров'!$D$6,B651))),1,0)</f>
        <v>0</v>
      </c>
      <c r="F651">
        <f>IF(E651=1,SUM($E$2:E651),"")</f>
        <v/>
      </c>
    </row>
    <row r="652" spans="1:6">
      <c r="A652" t="s">
        <v>6339</v>
      </c>
      <c r="B652" t="s">
        <v>3700</v>
      </c>
      <c r="C652" t="s">
        <v>5921</v>
      </c>
      <c r="D652">
        <v>0</v>
      </c>
      <c r="E652">
        <f>IF(AND(A652='Поиск параметров'!$D$4,ISNUMBER(SEARCH('Поиск параметров'!$D$6,B652))),1,0)</f>
        <v>0</v>
      </c>
      <c r="F652">
        <f>IF(E652=1,SUM($E$2:E652),"")</f>
        <v/>
      </c>
    </row>
    <row r="653" spans="1:6">
      <c r="A653" t="s">
        <v>6339</v>
      </c>
      <c r="B653" t="s">
        <v>3701</v>
      </c>
      <c r="C653" t="s">
        <v>5922</v>
      </c>
      <c r="D653">
        <v>313</v>
      </c>
      <c r="E653">
        <f>IF(AND(A653='Поиск параметров'!$D$4,ISNUMBER(SEARCH('Поиск параметров'!$D$6,B653))),1,0)</f>
        <v>0</v>
      </c>
      <c r="F653">
        <f>IF(E653=1,SUM($E$2:E653),"")</f>
        <v/>
      </c>
    </row>
    <row r="654" spans="1:6">
      <c r="A654" t="s">
        <v>6339</v>
      </c>
      <c r="B654" t="s">
        <v>3702</v>
      </c>
      <c r="C654" t="s">
        <v>5923</v>
      </c>
      <c r="D654">
        <v>314</v>
      </c>
      <c r="E654">
        <f>IF(AND(A654='Поиск параметров'!$D$4,ISNUMBER(SEARCH('Поиск параметров'!$D$6,B654))),1,0)</f>
        <v>0</v>
      </c>
      <c r="F654">
        <f>IF(E654=1,SUM($E$2:E654),"")</f>
        <v/>
      </c>
    </row>
    <row r="655" spans="1:6">
      <c r="A655" t="s">
        <v>6339</v>
      </c>
      <c r="B655" t="s">
        <v>3703</v>
      </c>
      <c r="C655" t="s">
        <v>5924</v>
      </c>
      <c r="D655">
        <v>315</v>
      </c>
      <c r="E655">
        <f>IF(AND(A655='Поиск параметров'!$D$4,ISNUMBER(SEARCH('Поиск параметров'!$D$6,B655))),1,0)</f>
        <v>0</v>
      </c>
      <c r="F655">
        <f>IF(E655=1,SUM($E$2:E655),"")</f>
        <v/>
      </c>
    </row>
    <row r="656" spans="1:6">
      <c r="A656" t="s">
        <v>6339</v>
      </c>
      <c r="B656" t="s">
        <v>3704</v>
      </c>
      <c r="C656" t="s">
        <v>5925</v>
      </c>
      <c r="D656">
        <v>316</v>
      </c>
      <c r="E656">
        <f>IF(AND(A656='Поиск параметров'!$D$4,ISNUMBER(SEARCH('Поиск параметров'!$D$6,B656))),1,0)</f>
        <v>0</v>
      </c>
      <c r="F656">
        <f>IF(E656=1,SUM($E$2:E656),"")</f>
        <v/>
      </c>
    </row>
    <row r="657" spans="1:6">
      <c r="A657" t="s">
        <v>6339</v>
      </c>
      <c r="B657" t="s">
        <v>3705</v>
      </c>
      <c r="C657" t="s">
        <v>5926</v>
      </c>
      <c r="D657">
        <v>317</v>
      </c>
      <c r="E657">
        <f>IF(AND(A657='Поиск параметров'!$D$4,ISNUMBER(SEARCH('Поиск параметров'!$D$6,B657))),1,0)</f>
        <v>0</v>
      </c>
      <c r="F657">
        <f>IF(E657=1,SUM($E$2:E657),"")</f>
        <v/>
      </c>
    </row>
    <row r="658" spans="1:6">
      <c r="A658" t="s">
        <v>6339</v>
      </c>
      <c r="B658" t="s">
        <v>3706</v>
      </c>
      <c r="C658" t="s">
        <v>5927</v>
      </c>
      <c r="D658">
        <v>0</v>
      </c>
      <c r="E658">
        <f>IF(AND(A658='Поиск параметров'!$D$4,ISNUMBER(SEARCH('Поиск параметров'!$D$6,B658))),1,0)</f>
        <v>0</v>
      </c>
      <c r="F658">
        <f>IF(E658=1,SUM($E$2:E658),"")</f>
        <v/>
      </c>
    </row>
    <row r="659" spans="1:6">
      <c r="A659" t="s">
        <v>6339</v>
      </c>
      <c r="B659" t="s">
        <v>3707</v>
      </c>
      <c r="C659" t="s">
        <v>5928</v>
      </c>
      <c r="D659">
        <v>318</v>
      </c>
      <c r="E659">
        <f>IF(AND(A659='Поиск параметров'!$D$4,ISNUMBER(SEARCH('Поиск параметров'!$D$6,B659))),1,0)</f>
        <v>0</v>
      </c>
      <c r="F659">
        <f>IF(E659=1,SUM($E$2:E659),"")</f>
        <v/>
      </c>
    </row>
    <row r="660" spans="1:6">
      <c r="A660" t="s">
        <v>6339</v>
      </c>
      <c r="B660" t="s">
        <v>3708</v>
      </c>
      <c r="C660" t="s">
        <v>5929</v>
      </c>
      <c r="D660">
        <v>0</v>
      </c>
      <c r="E660">
        <f>IF(AND(A660='Поиск параметров'!$D$4,ISNUMBER(SEARCH('Поиск параметров'!$D$6,B660))),1,0)</f>
        <v>0</v>
      </c>
      <c r="F660">
        <f>IF(E660=1,SUM($E$2:E660),"")</f>
        <v/>
      </c>
    </row>
    <row r="661" spans="1:6">
      <c r="A661" t="s">
        <v>6339</v>
      </c>
      <c r="B661" t="s">
        <v>3709</v>
      </c>
      <c r="C661" t="s">
        <v>5930</v>
      </c>
      <c r="D661">
        <v>319</v>
      </c>
      <c r="E661">
        <f>IF(AND(A661='Поиск параметров'!$D$4,ISNUMBER(SEARCH('Поиск параметров'!$D$6,B661))),1,0)</f>
        <v>0</v>
      </c>
      <c r="F661">
        <f>IF(E661=1,SUM($E$2:E661),"")</f>
        <v/>
      </c>
    </row>
    <row r="662" spans="1:6">
      <c r="A662" t="s">
        <v>6339</v>
      </c>
      <c r="B662" t="s">
        <v>3710</v>
      </c>
      <c r="C662" t="s">
        <v>5931</v>
      </c>
      <c r="D662">
        <v>320</v>
      </c>
      <c r="E662">
        <f>IF(AND(A662='Поиск параметров'!$D$4,ISNUMBER(SEARCH('Поиск параметров'!$D$6,B662))),1,0)</f>
        <v>0</v>
      </c>
      <c r="F662">
        <f>IF(E662=1,SUM($E$2:E662),"")</f>
        <v/>
      </c>
    </row>
    <row r="663" spans="1:6">
      <c r="A663" t="s">
        <v>6339</v>
      </c>
      <c r="B663" t="s">
        <v>3711</v>
      </c>
      <c r="C663" t="s">
        <v>5932</v>
      </c>
      <c r="D663">
        <v>321</v>
      </c>
      <c r="E663">
        <f>IF(AND(A663='Поиск параметров'!$D$4,ISNUMBER(SEARCH('Поиск параметров'!$D$6,B663))),1,0)</f>
        <v>0</v>
      </c>
      <c r="F663">
        <f>IF(E663=1,SUM($E$2:E663),"")</f>
        <v/>
      </c>
    </row>
    <row r="664" spans="1:6">
      <c r="A664" t="s">
        <v>6339</v>
      </c>
      <c r="B664" t="s">
        <v>3712</v>
      </c>
      <c r="C664" t="s">
        <v>5933</v>
      </c>
      <c r="D664">
        <v>322</v>
      </c>
      <c r="E664">
        <f>IF(AND(A664='Поиск параметров'!$D$4,ISNUMBER(SEARCH('Поиск параметров'!$D$6,B664))),1,0)</f>
        <v>0</v>
      </c>
      <c r="F664">
        <f>IF(E664=1,SUM($E$2:E664),"")</f>
        <v/>
      </c>
    </row>
    <row r="665" spans="1:6">
      <c r="A665" t="s">
        <v>6339</v>
      </c>
      <c r="B665" t="s">
        <v>3713</v>
      </c>
      <c r="C665" t="s">
        <v>5934</v>
      </c>
      <c r="D665">
        <v>323</v>
      </c>
      <c r="E665">
        <f>IF(AND(A665='Поиск параметров'!$D$4,ISNUMBER(SEARCH('Поиск параметров'!$D$6,B665))),1,0)</f>
        <v>0</v>
      </c>
      <c r="F665">
        <f>IF(E665=1,SUM($E$2:E665),"")</f>
        <v/>
      </c>
    </row>
    <row r="666" spans="1:6">
      <c r="A666" t="s">
        <v>6339</v>
      </c>
      <c r="B666" t="s">
        <v>3714</v>
      </c>
      <c r="C666" t="s">
        <v>5935</v>
      </c>
      <c r="D666">
        <v>0</v>
      </c>
      <c r="E666">
        <f>IF(AND(A666='Поиск параметров'!$D$4,ISNUMBER(SEARCH('Поиск параметров'!$D$6,B666))),1,0)</f>
        <v>0</v>
      </c>
      <c r="F666">
        <f>IF(E666=1,SUM($E$2:E666),"")</f>
        <v/>
      </c>
    </row>
    <row r="667" spans="1:6">
      <c r="A667" t="s">
        <v>6339</v>
      </c>
      <c r="B667" t="s">
        <v>3715</v>
      </c>
      <c r="C667" t="s">
        <v>5936</v>
      </c>
      <c r="D667">
        <v>324</v>
      </c>
      <c r="E667">
        <f>IF(AND(A667='Поиск параметров'!$D$4,ISNUMBER(SEARCH('Поиск параметров'!$D$6,B667))),1,0)</f>
        <v>0</v>
      </c>
      <c r="F667">
        <f>IF(E667=1,SUM($E$2:E667),"")</f>
        <v/>
      </c>
    </row>
    <row r="668" spans="1:6">
      <c r="A668" t="s">
        <v>6339</v>
      </c>
      <c r="B668" t="s">
        <v>3716</v>
      </c>
      <c r="C668" t="s">
        <v>5937</v>
      </c>
      <c r="D668">
        <v>0</v>
      </c>
      <c r="E668">
        <f>IF(AND(A668='Поиск параметров'!$D$4,ISNUMBER(SEARCH('Поиск параметров'!$D$6,B668))),1,0)</f>
        <v>0</v>
      </c>
      <c r="F668">
        <f>IF(E668=1,SUM($E$2:E668),"")</f>
        <v/>
      </c>
    </row>
    <row r="669" spans="1:6">
      <c r="A669" t="s">
        <v>6339</v>
      </c>
      <c r="B669" t="s">
        <v>3717</v>
      </c>
      <c r="C669" t="s">
        <v>5938</v>
      </c>
      <c r="D669">
        <v>325</v>
      </c>
      <c r="E669">
        <f>IF(AND(A669='Поиск параметров'!$D$4,ISNUMBER(SEARCH('Поиск параметров'!$D$6,B669))),1,0)</f>
        <v>0</v>
      </c>
      <c r="F669">
        <f>IF(E669=1,SUM($E$2:E669),"")</f>
        <v/>
      </c>
    </row>
    <row r="670" spans="1:6">
      <c r="A670" t="s">
        <v>6339</v>
      </c>
      <c r="B670" t="s">
        <v>3718</v>
      </c>
      <c r="C670" t="s">
        <v>5939</v>
      </c>
      <c r="D670">
        <v>326</v>
      </c>
      <c r="E670">
        <f>IF(AND(A670='Поиск параметров'!$D$4,ISNUMBER(SEARCH('Поиск параметров'!$D$6,B670))),1,0)</f>
        <v>0</v>
      </c>
      <c r="F670">
        <f>IF(E670=1,SUM($E$2:E670),"")</f>
        <v/>
      </c>
    </row>
    <row r="671" spans="1:6">
      <c r="A671" t="s">
        <v>6339</v>
      </c>
      <c r="B671" t="s">
        <v>3719</v>
      </c>
      <c r="C671" t="s">
        <v>5940</v>
      </c>
      <c r="D671">
        <v>327</v>
      </c>
      <c r="E671">
        <f>IF(AND(A671='Поиск параметров'!$D$4,ISNUMBER(SEARCH('Поиск параметров'!$D$6,B671))),1,0)</f>
        <v>0</v>
      </c>
      <c r="F671">
        <f>IF(E671=1,SUM($E$2:E671),"")</f>
        <v/>
      </c>
    </row>
    <row r="672" spans="1:6">
      <c r="A672" t="s">
        <v>6339</v>
      </c>
      <c r="B672" t="s">
        <v>3720</v>
      </c>
      <c r="C672" t="s">
        <v>5941</v>
      </c>
      <c r="D672">
        <v>0</v>
      </c>
      <c r="E672">
        <f>IF(AND(A672='Поиск параметров'!$D$4,ISNUMBER(SEARCH('Поиск параметров'!$D$6,B672))),1,0)</f>
        <v>0</v>
      </c>
      <c r="F672">
        <f>IF(E672=1,SUM($E$2:E672),"")</f>
        <v/>
      </c>
    </row>
    <row r="673" spans="1:6">
      <c r="A673" t="s">
        <v>6339</v>
      </c>
      <c r="B673" t="s">
        <v>3721</v>
      </c>
      <c r="C673" t="s">
        <v>5942</v>
      </c>
      <c r="D673">
        <v>328</v>
      </c>
      <c r="E673">
        <f>IF(AND(A673='Поиск параметров'!$D$4,ISNUMBER(SEARCH('Поиск параметров'!$D$6,B673))),1,0)</f>
        <v>0</v>
      </c>
      <c r="F673">
        <f>IF(E673=1,SUM($E$2:E673),"")</f>
        <v/>
      </c>
    </row>
    <row r="674" spans="1:6">
      <c r="A674" t="s">
        <v>6339</v>
      </c>
      <c r="B674" t="s">
        <v>3722</v>
      </c>
      <c r="C674" t="s">
        <v>5943</v>
      </c>
      <c r="D674">
        <v>0</v>
      </c>
      <c r="E674">
        <f>IF(AND(A674='Поиск параметров'!$D$4,ISNUMBER(SEARCH('Поиск параметров'!$D$6,B674))),1,0)</f>
        <v>0</v>
      </c>
      <c r="F674">
        <f>IF(E674=1,SUM($E$2:E674),"")</f>
        <v/>
      </c>
    </row>
    <row r="675" spans="1:6">
      <c r="A675" t="s">
        <v>6339</v>
      </c>
      <c r="B675" t="s">
        <v>3723</v>
      </c>
      <c r="C675" t="s">
        <v>5944</v>
      </c>
      <c r="D675">
        <v>329</v>
      </c>
      <c r="E675">
        <f>IF(AND(A675='Поиск параметров'!$D$4,ISNUMBER(SEARCH('Поиск параметров'!$D$6,B675))),1,0)</f>
        <v>0</v>
      </c>
      <c r="F675">
        <f>IF(E675=1,SUM($E$2:E675),"")</f>
        <v/>
      </c>
    </row>
    <row r="676" spans="1:6">
      <c r="A676" t="s">
        <v>6339</v>
      </c>
      <c r="B676" t="s">
        <v>3724</v>
      </c>
      <c r="C676" t="s">
        <v>5945</v>
      </c>
      <c r="D676">
        <v>330</v>
      </c>
      <c r="E676">
        <f>IF(AND(A676='Поиск параметров'!$D$4,ISNUMBER(SEARCH('Поиск параметров'!$D$6,B676))),1,0)</f>
        <v>0</v>
      </c>
      <c r="F676">
        <f>IF(E676=1,SUM($E$2:E676),"")</f>
        <v/>
      </c>
    </row>
    <row r="677" spans="1:6">
      <c r="A677" t="s">
        <v>6339</v>
      </c>
      <c r="B677" t="s">
        <v>3725</v>
      </c>
      <c r="C677" t="s">
        <v>5946</v>
      </c>
      <c r="D677">
        <v>331</v>
      </c>
      <c r="E677">
        <f>IF(AND(A677='Поиск параметров'!$D$4,ISNUMBER(SEARCH('Поиск параметров'!$D$6,B677))),1,0)</f>
        <v>0</v>
      </c>
      <c r="F677">
        <f>IF(E677=1,SUM($E$2:E677),"")</f>
        <v/>
      </c>
    </row>
    <row r="678" spans="1:6">
      <c r="A678" t="s">
        <v>6339</v>
      </c>
      <c r="B678" t="s">
        <v>3726</v>
      </c>
      <c r="C678" t="s">
        <v>5947</v>
      </c>
      <c r="D678">
        <v>0</v>
      </c>
      <c r="E678">
        <f>IF(AND(A678='Поиск параметров'!$D$4,ISNUMBER(SEARCH('Поиск параметров'!$D$6,B678))),1,0)</f>
        <v>0</v>
      </c>
      <c r="F678">
        <f>IF(E678=1,SUM($E$2:E678),"")</f>
        <v/>
      </c>
    </row>
    <row r="679" spans="1:6">
      <c r="A679" t="s">
        <v>6339</v>
      </c>
      <c r="B679" t="s">
        <v>3727</v>
      </c>
      <c r="C679" t="s">
        <v>5948</v>
      </c>
      <c r="D679">
        <v>332</v>
      </c>
      <c r="E679">
        <f>IF(AND(A679='Поиск параметров'!$D$4,ISNUMBER(SEARCH('Поиск параметров'!$D$6,B679))),1,0)</f>
        <v>0</v>
      </c>
      <c r="F679">
        <f>IF(E679=1,SUM($E$2:E679),"")</f>
        <v/>
      </c>
    </row>
    <row r="680" spans="1:6">
      <c r="A680" t="s">
        <v>6339</v>
      </c>
      <c r="B680" t="s">
        <v>3728</v>
      </c>
      <c r="C680" t="s">
        <v>5949</v>
      </c>
      <c r="D680">
        <v>333</v>
      </c>
      <c r="E680">
        <f>IF(AND(A680='Поиск параметров'!$D$4,ISNUMBER(SEARCH('Поиск параметров'!$D$6,B680))),1,0)</f>
        <v>0</v>
      </c>
      <c r="F680">
        <f>IF(E680=1,SUM($E$2:E680),"")</f>
        <v/>
      </c>
    </row>
    <row r="681" spans="1:6">
      <c r="A681" t="s">
        <v>6339</v>
      </c>
      <c r="B681" t="s">
        <v>3729</v>
      </c>
      <c r="C681" t="s">
        <v>5950</v>
      </c>
      <c r="D681">
        <v>334</v>
      </c>
      <c r="E681">
        <f>IF(AND(A681='Поиск параметров'!$D$4,ISNUMBER(SEARCH('Поиск параметров'!$D$6,B681))),1,0)</f>
        <v>0</v>
      </c>
      <c r="F681">
        <f>IF(E681=1,SUM($E$2:E681),"")</f>
        <v/>
      </c>
    </row>
    <row r="682" spans="1:6">
      <c r="A682" t="s">
        <v>6339</v>
      </c>
      <c r="B682" t="s">
        <v>3730</v>
      </c>
      <c r="C682" t="s">
        <v>5951</v>
      </c>
      <c r="D682">
        <v>335</v>
      </c>
      <c r="E682">
        <f>IF(AND(A682='Поиск параметров'!$D$4,ISNUMBER(SEARCH('Поиск параметров'!$D$6,B682))),1,0)</f>
        <v>0</v>
      </c>
      <c r="F682">
        <f>IF(E682=1,SUM($E$2:E682),"")</f>
        <v/>
      </c>
    </row>
    <row r="683" spans="1:6">
      <c r="A683" t="s">
        <v>6339</v>
      </c>
      <c r="B683" t="s">
        <v>3731</v>
      </c>
      <c r="C683" t="s">
        <v>5952</v>
      </c>
      <c r="D683">
        <v>336</v>
      </c>
      <c r="E683">
        <f>IF(AND(A683='Поиск параметров'!$D$4,ISNUMBER(SEARCH('Поиск параметров'!$D$6,B683))),1,0)</f>
        <v>0</v>
      </c>
      <c r="F683">
        <f>IF(E683=1,SUM($E$2:E683),"")</f>
        <v/>
      </c>
    </row>
    <row r="684" spans="1:6">
      <c r="A684" t="s">
        <v>6339</v>
      </c>
      <c r="B684" t="s">
        <v>3732</v>
      </c>
      <c r="C684" t="s">
        <v>5953</v>
      </c>
      <c r="D684">
        <v>337</v>
      </c>
      <c r="E684">
        <f>IF(AND(A684='Поиск параметров'!$D$4,ISNUMBER(SEARCH('Поиск параметров'!$D$6,B684))),1,0)</f>
        <v>0</v>
      </c>
      <c r="F684">
        <f>IF(E684=1,SUM($E$2:E684),"")</f>
        <v/>
      </c>
    </row>
    <row r="685" spans="1:6">
      <c r="A685" t="s">
        <v>6339</v>
      </c>
      <c r="B685" t="s">
        <v>3733</v>
      </c>
      <c r="C685" t="s">
        <v>5954</v>
      </c>
      <c r="D685">
        <v>338</v>
      </c>
      <c r="E685">
        <f>IF(AND(A685='Поиск параметров'!$D$4,ISNUMBER(SEARCH('Поиск параметров'!$D$6,B685))),1,0)</f>
        <v>0</v>
      </c>
      <c r="F685">
        <f>IF(E685=1,SUM($E$2:E685),"")</f>
        <v/>
      </c>
    </row>
    <row r="686" spans="1:6">
      <c r="A686" t="s">
        <v>6339</v>
      </c>
      <c r="B686" t="s">
        <v>3734</v>
      </c>
      <c r="C686" t="s">
        <v>5955</v>
      </c>
      <c r="D686">
        <v>339</v>
      </c>
      <c r="E686">
        <f>IF(AND(A686='Поиск параметров'!$D$4,ISNUMBER(SEARCH('Поиск параметров'!$D$6,B686))),1,0)</f>
        <v>0</v>
      </c>
      <c r="F686">
        <f>IF(E686=1,SUM($E$2:E686),"")</f>
        <v/>
      </c>
    </row>
    <row r="687" spans="1:6">
      <c r="A687" t="s">
        <v>6339</v>
      </c>
      <c r="B687" t="s">
        <v>3735</v>
      </c>
      <c r="C687" t="s">
        <v>5956</v>
      </c>
      <c r="D687">
        <v>340</v>
      </c>
      <c r="E687">
        <f>IF(AND(A687='Поиск параметров'!$D$4,ISNUMBER(SEARCH('Поиск параметров'!$D$6,B687))),1,0)</f>
        <v>0</v>
      </c>
      <c r="F687">
        <f>IF(E687=1,SUM($E$2:E687),"")</f>
        <v/>
      </c>
    </row>
    <row r="688" spans="1:6">
      <c r="A688" t="s">
        <v>6339</v>
      </c>
      <c r="B688" t="s">
        <v>3736</v>
      </c>
      <c r="C688" t="s">
        <v>5957</v>
      </c>
      <c r="D688">
        <v>341</v>
      </c>
      <c r="E688">
        <f>IF(AND(A688='Поиск параметров'!$D$4,ISNUMBER(SEARCH('Поиск параметров'!$D$6,B688))),1,0)</f>
        <v>0</v>
      </c>
      <c r="F688">
        <f>IF(E688=1,SUM($E$2:E688),"")</f>
        <v/>
      </c>
    </row>
    <row r="689" spans="1:6">
      <c r="A689" t="s">
        <v>6339</v>
      </c>
      <c r="B689" t="s">
        <v>3737</v>
      </c>
      <c r="C689" t="s">
        <v>5958</v>
      </c>
      <c r="D689">
        <v>342</v>
      </c>
      <c r="E689">
        <f>IF(AND(A689='Поиск параметров'!$D$4,ISNUMBER(SEARCH('Поиск параметров'!$D$6,B689))),1,0)</f>
        <v>0</v>
      </c>
      <c r="F689">
        <f>IF(E689=1,SUM($E$2:E689),"")</f>
        <v/>
      </c>
    </row>
    <row r="690" spans="1:6">
      <c r="A690" t="s">
        <v>6339</v>
      </c>
      <c r="B690" t="s">
        <v>3738</v>
      </c>
      <c r="C690" t="s">
        <v>5959</v>
      </c>
      <c r="D690">
        <v>0</v>
      </c>
      <c r="E690">
        <f>IF(AND(A690='Поиск параметров'!$D$4,ISNUMBER(SEARCH('Поиск параметров'!$D$6,B690))),1,0)</f>
        <v>0</v>
      </c>
      <c r="F690">
        <f>IF(E690=1,SUM($E$2:E690),"")</f>
        <v/>
      </c>
    </row>
    <row r="691" spans="1:6">
      <c r="A691" t="s">
        <v>6339</v>
      </c>
      <c r="B691" t="s">
        <v>3739</v>
      </c>
      <c r="C691" t="s">
        <v>5960</v>
      </c>
      <c r="D691">
        <v>343</v>
      </c>
      <c r="E691">
        <f>IF(AND(A691='Поиск параметров'!$D$4,ISNUMBER(SEARCH('Поиск параметров'!$D$6,B691))),1,0)</f>
        <v>0</v>
      </c>
      <c r="F691">
        <f>IF(E691=1,SUM($E$2:E691),"")</f>
        <v/>
      </c>
    </row>
    <row r="692" spans="1:6">
      <c r="A692" t="s">
        <v>6339</v>
      </c>
      <c r="B692" t="s">
        <v>3740</v>
      </c>
      <c r="C692" t="s">
        <v>5961</v>
      </c>
      <c r="D692">
        <v>0</v>
      </c>
      <c r="E692">
        <f>IF(AND(A692='Поиск параметров'!$D$4,ISNUMBER(SEARCH('Поиск параметров'!$D$6,B692))),1,0)</f>
        <v>0</v>
      </c>
      <c r="F692">
        <f>IF(E692=1,SUM($E$2:E692),"")</f>
        <v/>
      </c>
    </row>
    <row r="693" spans="1:6">
      <c r="A693" t="s">
        <v>6339</v>
      </c>
      <c r="B693" t="s">
        <v>3741</v>
      </c>
      <c r="C693" t="s">
        <v>5962</v>
      </c>
      <c r="D693">
        <v>344</v>
      </c>
      <c r="E693">
        <f>IF(AND(A693='Поиск параметров'!$D$4,ISNUMBER(SEARCH('Поиск параметров'!$D$6,B693))),1,0)</f>
        <v>0</v>
      </c>
      <c r="F693">
        <f>IF(E693=1,SUM($E$2:E693),"")</f>
        <v/>
      </c>
    </row>
    <row r="694" spans="1:6">
      <c r="A694" t="s">
        <v>6339</v>
      </c>
      <c r="B694" t="s">
        <v>3742</v>
      </c>
      <c r="C694" t="s">
        <v>5963</v>
      </c>
      <c r="D694">
        <v>345</v>
      </c>
      <c r="E694">
        <f>IF(AND(A694='Поиск параметров'!$D$4,ISNUMBER(SEARCH('Поиск параметров'!$D$6,B694))),1,0)</f>
        <v>0</v>
      </c>
      <c r="F694">
        <f>IF(E694=1,SUM($E$2:E694),"")</f>
        <v/>
      </c>
    </row>
    <row r="695" spans="1:6">
      <c r="A695" t="s">
        <v>6339</v>
      </c>
      <c r="B695" t="s">
        <v>3743</v>
      </c>
      <c r="C695" t="s">
        <v>5964</v>
      </c>
      <c r="D695">
        <v>346</v>
      </c>
      <c r="E695">
        <f>IF(AND(A695='Поиск параметров'!$D$4,ISNUMBER(SEARCH('Поиск параметров'!$D$6,B695))),1,0)</f>
        <v>0</v>
      </c>
      <c r="F695">
        <f>IF(E695=1,SUM($E$2:E695),"")</f>
        <v/>
      </c>
    </row>
    <row r="696" spans="1:6">
      <c r="A696" t="s">
        <v>6339</v>
      </c>
      <c r="B696" t="s">
        <v>3744</v>
      </c>
      <c r="C696" t="s">
        <v>5965</v>
      </c>
      <c r="D696">
        <v>347</v>
      </c>
      <c r="E696">
        <f>IF(AND(A696='Поиск параметров'!$D$4,ISNUMBER(SEARCH('Поиск параметров'!$D$6,B696))),1,0)</f>
        <v>0</v>
      </c>
      <c r="F696">
        <f>IF(E696=1,SUM($E$2:E696),"")</f>
        <v/>
      </c>
    </row>
    <row r="697" spans="1:6">
      <c r="A697" t="s">
        <v>6339</v>
      </c>
      <c r="B697" t="s">
        <v>3745</v>
      </c>
      <c r="C697" t="s">
        <v>5966</v>
      </c>
      <c r="D697">
        <v>348</v>
      </c>
      <c r="E697">
        <f>IF(AND(A697='Поиск параметров'!$D$4,ISNUMBER(SEARCH('Поиск параметров'!$D$6,B697))),1,0)</f>
        <v>0</v>
      </c>
      <c r="F697">
        <f>IF(E697=1,SUM($E$2:E697),"")</f>
        <v/>
      </c>
    </row>
    <row r="698" spans="1:6">
      <c r="A698" t="s">
        <v>6339</v>
      </c>
      <c r="B698" t="s">
        <v>3746</v>
      </c>
      <c r="C698" t="s">
        <v>5967</v>
      </c>
      <c r="D698">
        <v>0</v>
      </c>
      <c r="E698">
        <f>IF(AND(A698='Поиск параметров'!$D$4,ISNUMBER(SEARCH('Поиск параметров'!$D$6,B698))),1,0)</f>
        <v>0</v>
      </c>
      <c r="F698">
        <f>IF(E698=1,SUM($E$2:E698),"")</f>
        <v/>
      </c>
    </row>
    <row r="699" spans="1:6">
      <c r="A699" t="s">
        <v>6339</v>
      </c>
      <c r="B699" t="s">
        <v>3747</v>
      </c>
      <c r="C699" t="s">
        <v>5968</v>
      </c>
      <c r="D699">
        <v>349</v>
      </c>
      <c r="E699">
        <f>IF(AND(A699='Поиск параметров'!$D$4,ISNUMBER(SEARCH('Поиск параметров'!$D$6,B699))),1,0)</f>
        <v>0</v>
      </c>
      <c r="F699">
        <f>IF(E699=1,SUM($E$2:E699),"")</f>
        <v/>
      </c>
    </row>
    <row r="700" spans="1:6">
      <c r="A700" t="s">
        <v>6339</v>
      </c>
      <c r="B700" t="s">
        <v>3748</v>
      </c>
      <c r="C700" t="s">
        <v>5969</v>
      </c>
      <c r="D700">
        <v>0</v>
      </c>
      <c r="E700">
        <f>IF(AND(A700='Поиск параметров'!$D$4,ISNUMBER(SEARCH('Поиск параметров'!$D$6,B700))),1,0)</f>
        <v>0</v>
      </c>
      <c r="F700">
        <f>IF(E700=1,SUM($E$2:E700),"")</f>
        <v/>
      </c>
    </row>
    <row r="701" spans="1:6">
      <c r="A701" t="s">
        <v>6339</v>
      </c>
      <c r="B701" t="s">
        <v>3749</v>
      </c>
      <c r="C701" t="s">
        <v>5970</v>
      </c>
      <c r="D701">
        <v>350</v>
      </c>
      <c r="E701">
        <f>IF(AND(A701='Поиск параметров'!$D$4,ISNUMBER(SEARCH('Поиск параметров'!$D$6,B701))),1,0)</f>
        <v>0</v>
      </c>
      <c r="F701">
        <f>IF(E701=1,SUM($E$2:E701),"")</f>
        <v/>
      </c>
    </row>
    <row r="702" spans="1:6">
      <c r="A702" t="s">
        <v>6339</v>
      </c>
      <c r="B702" t="s">
        <v>3750</v>
      </c>
      <c r="C702" t="s">
        <v>5971</v>
      </c>
      <c r="D702">
        <v>351</v>
      </c>
      <c r="E702">
        <f>IF(AND(A702='Поиск параметров'!$D$4,ISNUMBER(SEARCH('Поиск параметров'!$D$6,B702))),1,0)</f>
        <v>0</v>
      </c>
      <c r="F702">
        <f>IF(E702=1,SUM($E$2:E702),"")</f>
        <v/>
      </c>
    </row>
    <row r="703" spans="1:6">
      <c r="A703" t="s">
        <v>6339</v>
      </c>
      <c r="B703" t="s">
        <v>3751</v>
      </c>
      <c r="C703" t="s">
        <v>5972</v>
      </c>
      <c r="D703">
        <v>352</v>
      </c>
      <c r="E703">
        <f>IF(AND(A703='Поиск параметров'!$D$4,ISNUMBER(SEARCH('Поиск параметров'!$D$6,B703))),1,0)</f>
        <v>0</v>
      </c>
      <c r="F703">
        <f>IF(E703=1,SUM($E$2:E703),"")</f>
        <v/>
      </c>
    </row>
    <row r="704" spans="1:6">
      <c r="A704" t="s">
        <v>6339</v>
      </c>
      <c r="B704" t="s">
        <v>3752</v>
      </c>
      <c r="C704" t="s">
        <v>5973</v>
      </c>
      <c r="D704">
        <v>0</v>
      </c>
      <c r="E704">
        <f>IF(AND(A704='Поиск параметров'!$D$4,ISNUMBER(SEARCH('Поиск параметров'!$D$6,B704))),1,0)</f>
        <v>0</v>
      </c>
      <c r="F704">
        <f>IF(E704=1,SUM($E$2:E704),"")</f>
        <v/>
      </c>
    </row>
    <row r="705" spans="1:6">
      <c r="A705" t="s">
        <v>6339</v>
      </c>
      <c r="B705" t="s">
        <v>3753</v>
      </c>
      <c r="C705" t="s">
        <v>5974</v>
      </c>
      <c r="D705">
        <v>0</v>
      </c>
      <c r="E705">
        <f>IF(AND(A705='Поиск параметров'!$D$4,ISNUMBER(SEARCH('Поиск параметров'!$D$6,B705))),1,0)</f>
        <v>0</v>
      </c>
      <c r="F705">
        <f>IF(E705=1,SUM($E$2:E705),"")</f>
        <v/>
      </c>
    </row>
    <row r="706" spans="1:6">
      <c r="A706" t="s">
        <v>6339</v>
      </c>
      <c r="B706" t="s">
        <v>3754</v>
      </c>
      <c r="C706" t="s">
        <v>5975</v>
      </c>
      <c r="D706">
        <v>0</v>
      </c>
      <c r="E706">
        <f>IF(AND(A706='Поиск параметров'!$D$4,ISNUMBER(SEARCH('Поиск параметров'!$D$6,B706))),1,0)</f>
        <v>0</v>
      </c>
      <c r="F706">
        <f>IF(E706=1,SUM($E$2:E706),"")</f>
        <v/>
      </c>
    </row>
    <row r="707" spans="1:6">
      <c r="A707" t="s">
        <v>6339</v>
      </c>
      <c r="B707" t="s">
        <v>3755</v>
      </c>
      <c r="C707" t="s">
        <v>5976</v>
      </c>
      <c r="D707">
        <v>0</v>
      </c>
      <c r="E707">
        <f>IF(AND(A707='Поиск параметров'!$D$4,ISNUMBER(SEARCH('Поиск параметров'!$D$6,B707))),1,0)</f>
        <v>0</v>
      </c>
      <c r="F707">
        <f>IF(E707=1,SUM($E$2:E707),"")</f>
        <v/>
      </c>
    </row>
    <row r="708" spans="1:6">
      <c r="A708" t="s">
        <v>6339</v>
      </c>
      <c r="B708" t="s">
        <v>3756</v>
      </c>
      <c r="C708" t="s">
        <v>5977</v>
      </c>
      <c r="D708">
        <v>353</v>
      </c>
      <c r="E708">
        <f>IF(AND(A708='Поиск параметров'!$D$4,ISNUMBER(SEARCH('Поиск параметров'!$D$6,B708))),1,0)</f>
        <v>0</v>
      </c>
      <c r="F708">
        <f>IF(E708=1,SUM($E$2:E708),"")</f>
        <v/>
      </c>
    </row>
    <row r="709" spans="1:6">
      <c r="A709" t="s">
        <v>6339</v>
      </c>
      <c r="B709" t="s">
        <v>3757</v>
      </c>
      <c r="C709" t="s">
        <v>5978</v>
      </c>
      <c r="D709">
        <v>354</v>
      </c>
      <c r="E709">
        <f>IF(AND(A709='Поиск параметров'!$D$4,ISNUMBER(SEARCH('Поиск параметров'!$D$6,B709))),1,0)</f>
        <v>0</v>
      </c>
      <c r="F709">
        <f>IF(E709=1,SUM($E$2:E709),"")</f>
        <v/>
      </c>
    </row>
    <row r="710" spans="1:6">
      <c r="A710" t="s">
        <v>6339</v>
      </c>
      <c r="B710" t="s">
        <v>3758</v>
      </c>
      <c r="C710" t="s">
        <v>5979</v>
      </c>
      <c r="D710">
        <v>0</v>
      </c>
      <c r="E710">
        <f>IF(AND(A710='Поиск параметров'!$D$4,ISNUMBER(SEARCH('Поиск параметров'!$D$6,B710))),1,0)</f>
        <v>0</v>
      </c>
      <c r="F710">
        <f>IF(E710=1,SUM($E$2:E710),"")</f>
        <v/>
      </c>
    </row>
    <row r="711" spans="1:6">
      <c r="A711" t="s">
        <v>6339</v>
      </c>
      <c r="B711" t="s">
        <v>3759</v>
      </c>
      <c r="C711" t="s">
        <v>5980</v>
      </c>
      <c r="D711">
        <v>355</v>
      </c>
      <c r="E711">
        <f>IF(AND(A711='Поиск параметров'!$D$4,ISNUMBER(SEARCH('Поиск параметров'!$D$6,B711))),1,0)</f>
        <v>0</v>
      </c>
      <c r="F711">
        <f>IF(E711=1,SUM($E$2:E711),"")</f>
        <v/>
      </c>
    </row>
    <row r="712" spans="1:6">
      <c r="A712" t="s">
        <v>6339</v>
      </c>
      <c r="B712" t="s">
        <v>3760</v>
      </c>
      <c r="C712" t="s">
        <v>5981</v>
      </c>
      <c r="D712">
        <v>0</v>
      </c>
      <c r="E712">
        <f>IF(AND(A712='Поиск параметров'!$D$4,ISNUMBER(SEARCH('Поиск параметров'!$D$6,B712))),1,0)</f>
        <v>0</v>
      </c>
      <c r="F712">
        <f>IF(E712=1,SUM($E$2:E712),"")</f>
        <v/>
      </c>
    </row>
    <row r="713" spans="1:6">
      <c r="A713" t="s">
        <v>6339</v>
      </c>
      <c r="B713" t="s">
        <v>3761</v>
      </c>
      <c r="C713" t="s">
        <v>5982</v>
      </c>
      <c r="D713">
        <v>356</v>
      </c>
      <c r="E713">
        <f>IF(AND(A713='Поиск параметров'!$D$4,ISNUMBER(SEARCH('Поиск параметров'!$D$6,B713))),1,0)</f>
        <v>0</v>
      </c>
      <c r="F713">
        <f>IF(E713=1,SUM($E$2:E713),"")</f>
        <v/>
      </c>
    </row>
    <row r="714" spans="1:6">
      <c r="A714" t="s">
        <v>6339</v>
      </c>
      <c r="B714" t="s">
        <v>3762</v>
      </c>
      <c r="C714" t="s">
        <v>5983</v>
      </c>
      <c r="D714">
        <v>357</v>
      </c>
      <c r="E714">
        <f>IF(AND(A714='Поиск параметров'!$D$4,ISNUMBER(SEARCH('Поиск параметров'!$D$6,B714))),1,0)</f>
        <v>0</v>
      </c>
      <c r="F714">
        <f>IF(E714=1,SUM($E$2:E714),"")</f>
        <v/>
      </c>
    </row>
    <row r="715" spans="1:6">
      <c r="A715" t="s">
        <v>6339</v>
      </c>
      <c r="B715" t="s">
        <v>3763</v>
      </c>
      <c r="C715" t="s">
        <v>5984</v>
      </c>
      <c r="D715">
        <v>358</v>
      </c>
      <c r="E715">
        <f>IF(AND(A715='Поиск параметров'!$D$4,ISNUMBER(SEARCH('Поиск параметров'!$D$6,B715))),1,0)</f>
        <v>0</v>
      </c>
      <c r="F715">
        <f>IF(E715=1,SUM($E$2:E715),"")</f>
        <v/>
      </c>
    </row>
    <row r="716" spans="1:6">
      <c r="A716" t="s">
        <v>6339</v>
      </c>
      <c r="B716" t="s">
        <v>3764</v>
      </c>
      <c r="C716" t="s">
        <v>5985</v>
      </c>
      <c r="D716">
        <v>0</v>
      </c>
      <c r="E716">
        <f>IF(AND(A716='Поиск параметров'!$D$4,ISNUMBER(SEARCH('Поиск параметров'!$D$6,B716))),1,0)</f>
        <v>0</v>
      </c>
      <c r="F716">
        <f>IF(E716=1,SUM($E$2:E716),"")</f>
        <v/>
      </c>
    </row>
    <row r="717" spans="1:6">
      <c r="A717" t="s">
        <v>6339</v>
      </c>
      <c r="B717" t="s">
        <v>3765</v>
      </c>
      <c r="C717" t="s">
        <v>5986</v>
      </c>
      <c r="D717">
        <v>359</v>
      </c>
      <c r="E717">
        <f>IF(AND(A717='Поиск параметров'!$D$4,ISNUMBER(SEARCH('Поиск параметров'!$D$6,B717))),1,0)</f>
        <v>0</v>
      </c>
      <c r="F717">
        <f>IF(E717=1,SUM($E$2:E717),"")</f>
        <v/>
      </c>
    </row>
    <row r="718" spans="1:6">
      <c r="A718" t="s">
        <v>6339</v>
      </c>
      <c r="B718" t="s">
        <v>3766</v>
      </c>
      <c r="C718" t="s">
        <v>5987</v>
      </c>
      <c r="D718">
        <v>0</v>
      </c>
      <c r="E718">
        <f>IF(AND(A718='Поиск параметров'!$D$4,ISNUMBER(SEARCH('Поиск параметров'!$D$6,B718))),1,0)</f>
        <v>0</v>
      </c>
      <c r="F718">
        <f>IF(E718=1,SUM($E$2:E718),"")</f>
        <v/>
      </c>
    </row>
    <row r="719" spans="1:6">
      <c r="A719" t="s">
        <v>6339</v>
      </c>
      <c r="B719" t="s">
        <v>3767</v>
      </c>
      <c r="C719" t="s">
        <v>5988</v>
      </c>
      <c r="D719">
        <v>0</v>
      </c>
      <c r="E719">
        <f>IF(AND(A719='Поиск параметров'!$D$4,ISNUMBER(SEARCH('Поиск параметров'!$D$6,B719))),1,0)</f>
        <v>0</v>
      </c>
      <c r="F719">
        <f>IF(E719=1,SUM($E$2:E719),"")</f>
        <v/>
      </c>
    </row>
    <row r="720" spans="1:6">
      <c r="A720" t="s">
        <v>6339</v>
      </c>
      <c r="B720" t="s">
        <v>3768</v>
      </c>
      <c r="C720" t="s">
        <v>5989</v>
      </c>
      <c r="D720">
        <v>360</v>
      </c>
      <c r="E720">
        <f>IF(AND(A720='Поиск параметров'!$D$4,ISNUMBER(SEARCH('Поиск параметров'!$D$6,B720))),1,0)</f>
        <v>0</v>
      </c>
      <c r="F720">
        <f>IF(E720=1,SUM($E$2:E720),"")</f>
        <v/>
      </c>
    </row>
    <row r="721" spans="1:6">
      <c r="A721" t="s">
        <v>6339</v>
      </c>
      <c r="B721" t="s">
        <v>3769</v>
      </c>
      <c r="C721" t="s">
        <v>5990</v>
      </c>
      <c r="D721">
        <v>361</v>
      </c>
      <c r="E721">
        <f>IF(AND(A721='Поиск параметров'!$D$4,ISNUMBER(SEARCH('Поиск параметров'!$D$6,B721))),1,0)</f>
        <v>0</v>
      </c>
      <c r="F721">
        <f>IF(E721=1,SUM($E$2:E721),"")</f>
        <v/>
      </c>
    </row>
    <row r="722" spans="1:6">
      <c r="A722" t="s">
        <v>6339</v>
      </c>
      <c r="B722" t="s">
        <v>3770</v>
      </c>
      <c r="C722" t="s">
        <v>5991</v>
      </c>
      <c r="D722">
        <v>362</v>
      </c>
      <c r="E722">
        <f>IF(AND(A722='Поиск параметров'!$D$4,ISNUMBER(SEARCH('Поиск параметров'!$D$6,B722))),1,0)</f>
        <v>0</v>
      </c>
      <c r="F722">
        <f>IF(E722=1,SUM($E$2:E722),"")</f>
        <v/>
      </c>
    </row>
    <row r="723" spans="1:6">
      <c r="A723" t="s">
        <v>6339</v>
      </c>
      <c r="B723" t="s">
        <v>3771</v>
      </c>
      <c r="C723" t="s">
        <v>5992</v>
      </c>
      <c r="D723">
        <v>0</v>
      </c>
      <c r="E723">
        <f>IF(AND(A723='Поиск параметров'!$D$4,ISNUMBER(SEARCH('Поиск параметров'!$D$6,B723))),1,0)</f>
        <v>0</v>
      </c>
      <c r="F723">
        <f>IF(E723=1,SUM($E$2:E723),"")</f>
        <v/>
      </c>
    </row>
    <row r="724" spans="1:6">
      <c r="A724" t="s">
        <v>6339</v>
      </c>
      <c r="B724" t="s">
        <v>3772</v>
      </c>
      <c r="C724" t="s">
        <v>5993</v>
      </c>
      <c r="D724">
        <v>0</v>
      </c>
      <c r="E724">
        <f>IF(AND(A724='Поиск параметров'!$D$4,ISNUMBER(SEARCH('Поиск параметров'!$D$6,B724))),1,0)</f>
        <v>0</v>
      </c>
      <c r="F724">
        <f>IF(E724=1,SUM($E$2:E724),"")</f>
        <v/>
      </c>
    </row>
    <row r="725" spans="1:6">
      <c r="A725" t="s">
        <v>6339</v>
      </c>
      <c r="B725" t="s">
        <v>3773</v>
      </c>
      <c r="C725" t="s">
        <v>5994</v>
      </c>
      <c r="D725">
        <v>0</v>
      </c>
      <c r="E725">
        <f>IF(AND(A725='Поиск параметров'!$D$4,ISNUMBER(SEARCH('Поиск параметров'!$D$6,B725))),1,0)</f>
        <v>0</v>
      </c>
      <c r="F725">
        <f>IF(E725=1,SUM($E$2:E725),"")</f>
        <v/>
      </c>
    </row>
    <row r="726" spans="1:6">
      <c r="A726" t="s">
        <v>6339</v>
      </c>
      <c r="B726" t="s">
        <v>3774</v>
      </c>
      <c r="C726" t="s">
        <v>5995</v>
      </c>
      <c r="D726">
        <v>0</v>
      </c>
      <c r="E726">
        <f>IF(AND(A726='Поиск параметров'!$D$4,ISNUMBER(SEARCH('Поиск параметров'!$D$6,B726))),1,0)</f>
        <v>0</v>
      </c>
      <c r="F726">
        <f>IF(E726=1,SUM($E$2:E726),"")</f>
        <v/>
      </c>
    </row>
    <row r="727" spans="1:6">
      <c r="A727" t="s">
        <v>6339</v>
      </c>
      <c r="B727" t="s">
        <v>3775</v>
      </c>
      <c r="C727" t="s">
        <v>5996</v>
      </c>
      <c r="D727">
        <v>0</v>
      </c>
      <c r="E727">
        <f>IF(AND(A727='Поиск параметров'!$D$4,ISNUMBER(SEARCH('Поиск параметров'!$D$6,B727))),1,0)</f>
        <v>0</v>
      </c>
      <c r="F727">
        <f>IF(E727=1,SUM($E$2:E727),"")</f>
        <v/>
      </c>
    </row>
    <row r="728" spans="1:6">
      <c r="A728" t="s">
        <v>6339</v>
      </c>
      <c r="B728" t="s">
        <v>3776</v>
      </c>
      <c r="C728" t="s">
        <v>5997</v>
      </c>
      <c r="D728">
        <v>0</v>
      </c>
      <c r="E728">
        <f>IF(AND(A728='Поиск параметров'!$D$4,ISNUMBER(SEARCH('Поиск параметров'!$D$6,B728))),1,0)</f>
        <v>0</v>
      </c>
      <c r="F728">
        <f>IF(E728=1,SUM($E$2:E728),"")</f>
        <v/>
      </c>
    </row>
    <row r="729" spans="1:6">
      <c r="A729" t="s">
        <v>6339</v>
      </c>
      <c r="B729" t="s">
        <v>3777</v>
      </c>
      <c r="C729" t="s">
        <v>5998</v>
      </c>
      <c r="D729">
        <v>0</v>
      </c>
      <c r="E729">
        <f>IF(AND(A729='Поиск параметров'!$D$4,ISNUMBER(SEARCH('Поиск параметров'!$D$6,B729))),1,0)</f>
        <v>0</v>
      </c>
      <c r="F729">
        <f>IF(E729=1,SUM($E$2:E729),"")</f>
        <v/>
      </c>
    </row>
    <row r="730" spans="1:6">
      <c r="A730" t="s">
        <v>6339</v>
      </c>
      <c r="B730" t="s">
        <v>3778</v>
      </c>
      <c r="C730" t="s">
        <v>5999</v>
      </c>
      <c r="D730">
        <v>0</v>
      </c>
      <c r="E730">
        <f>IF(AND(A730='Поиск параметров'!$D$4,ISNUMBER(SEARCH('Поиск параметров'!$D$6,B730))),1,0)</f>
        <v>0</v>
      </c>
      <c r="F730">
        <f>IF(E730=1,SUM($E$2:E730),"")</f>
        <v/>
      </c>
    </row>
    <row r="731" spans="1:6">
      <c r="A731" t="s">
        <v>6339</v>
      </c>
      <c r="B731" t="s">
        <v>3779</v>
      </c>
      <c r="C731" t="s">
        <v>6000</v>
      </c>
      <c r="D731">
        <v>0</v>
      </c>
      <c r="E731">
        <f>IF(AND(A731='Поиск параметров'!$D$4,ISNUMBER(SEARCH('Поиск параметров'!$D$6,B731))),1,0)</f>
        <v>0</v>
      </c>
      <c r="F731">
        <f>IF(E731=1,SUM($E$2:E731),"")</f>
        <v/>
      </c>
    </row>
    <row r="732" spans="1:6">
      <c r="A732" t="s">
        <v>6339</v>
      </c>
      <c r="B732" t="s">
        <v>3780</v>
      </c>
      <c r="C732" t="s">
        <v>6001</v>
      </c>
      <c r="D732">
        <v>363</v>
      </c>
      <c r="E732">
        <f>IF(AND(A732='Поиск параметров'!$D$4,ISNUMBER(SEARCH('Поиск параметров'!$D$6,B732))),1,0)</f>
        <v>0</v>
      </c>
      <c r="F732">
        <f>IF(E732=1,SUM($E$2:E732),"")</f>
        <v/>
      </c>
    </row>
    <row r="733" spans="1:6">
      <c r="A733" t="s">
        <v>6339</v>
      </c>
      <c r="B733" t="s">
        <v>3781</v>
      </c>
      <c r="C733" t="s">
        <v>6002</v>
      </c>
      <c r="D733">
        <v>0</v>
      </c>
      <c r="E733">
        <f>IF(AND(A733='Поиск параметров'!$D$4,ISNUMBER(SEARCH('Поиск параметров'!$D$6,B733))),1,0)</f>
        <v>0</v>
      </c>
      <c r="F733">
        <f>IF(E733=1,SUM($E$2:E733),"")</f>
        <v/>
      </c>
    </row>
    <row r="734" spans="1:6">
      <c r="A734" t="s">
        <v>6339</v>
      </c>
      <c r="B734" t="s">
        <v>3782</v>
      </c>
      <c r="C734" t="s">
        <v>6003</v>
      </c>
      <c r="D734">
        <v>0</v>
      </c>
      <c r="E734">
        <f>IF(AND(A734='Поиск параметров'!$D$4,ISNUMBER(SEARCH('Поиск параметров'!$D$6,B734))),1,0)</f>
        <v>0</v>
      </c>
      <c r="F734">
        <f>IF(E734=1,SUM($E$2:E734),"")</f>
        <v/>
      </c>
    </row>
    <row r="735" spans="1:6">
      <c r="A735" t="s">
        <v>6339</v>
      </c>
      <c r="B735" t="s">
        <v>3783</v>
      </c>
      <c r="C735" t="s">
        <v>6004</v>
      </c>
      <c r="D735">
        <v>364</v>
      </c>
      <c r="E735">
        <f>IF(AND(A735='Поиск параметров'!$D$4,ISNUMBER(SEARCH('Поиск параметров'!$D$6,B735))),1,0)</f>
        <v>0</v>
      </c>
      <c r="F735">
        <f>IF(E735=1,SUM($E$2:E735),"")</f>
        <v/>
      </c>
    </row>
    <row r="736" spans="1:6">
      <c r="A736" t="s">
        <v>6339</v>
      </c>
      <c r="B736" t="s">
        <v>3784</v>
      </c>
      <c r="C736" t="s">
        <v>6005</v>
      </c>
      <c r="D736">
        <v>0</v>
      </c>
      <c r="E736">
        <f>IF(AND(A736='Поиск параметров'!$D$4,ISNUMBER(SEARCH('Поиск параметров'!$D$6,B736))),1,0)</f>
        <v>0</v>
      </c>
      <c r="F736">
        <f>IF(E736=1,SUM($E$2:E736),"")</f>
        <v/>
      </c>
    </row>
    <row r="737" spans="1:6">
      <c r="A737" t="s">
        <v>6339</v>
      </c>
      <c r="B737" t="s">
        <v>3785</v>
      </c>
      <c r="C737" t="s">
        <v>6006</v>
      </c>
      <c r="D737">
        <v>0</v>
      </c>
      <c r="E737">
        <f>IF(AND(A737='Поиск параметров'!$D$4,ISNUMBER(SEARCH('Поиск параметров'!$D$6,B737))),1,0)</f>
        <v>0</v>
      </c>
      <c r="F737">
        <f>IF(E737=1,SUM($E$2:E737),"")</f>
        <v/>
      </c>
    </row>
    <row r="738" spans="1:6">
      <c r="A738" t="s">
        <v>6339</v>
      </c>
      <c r="B738" t="s">
        <v>3786</v>
      </c>
      <c r="C738" t="s">
        <v>6007</v>
      </c>
      <c r="D738">
        <v>0</v>
      </c>
      <c r="E738">
        <f>IF(AND(A738='Поиск параметров'!$D$4,ISNUMBER(SEARCH('Поиск параметров'!$D$6,B738))),1,0)</f>
        <v>0</v>
      </c>
      <c r="F738">
        <f>IF(E738=1,SUM($E$2:E738),"")</f>
        <v/>
      </c>
    </row>
    <row r="739" spans="1:6">
      <c r="A739" t="s">
        <v>6339</v>
      </c>
      <c r="B739" t="s">
        <v>3787</v>
      </c>
      <c r="C739" t="s">
        <v>6008</v>
      </c>
      <c r="D739">
        <v>0</v>
      </c>
      <c r="E739">
        <f>IF(AND(A739='Поиск параметров'!$D$4,ISNUMBER(SEARCH('Поиск параметров'!$D$6,B739))),1,0)</f>
        <v>0</v>
      </c>
      <c r="F739">
        <f>IF(E739=1,SUM($E$2:E739),"")</f>
        <v/>
      </c>
    </row>
    <row r="740" spans="1:6">
      <c r="A740" t="s">
        <v>6339</v>
      </c>
      <c r="B740" t="s">
        <v>3788</v>
      </c>
      <c r="C740" t="s">
        <v>6009</v>
      </c>
      <c r="D740">
        <v>365</v>
      </c>
      <c r="E740">
        <f>IF(AND(A740='Поиск параметров'!$D$4,ISNUMBER(SEARCH('Поиск параметров'!$D$6,B740))),1,0)</f>
        <v>0</v>
      </c>
      <c r="F740">
        <f>IF(E740=1,SUM($E$2:E740),"")</f>
        <v/>
      </c>
    </row>
    <row r="741" spans="1:6">
      <c r="A741" t="s">
        <v>6339</v>
      </c>
      <c r="B741" t="s">
        <v>3789</v>
      </c>
      <c r="C741" t="s">
        <v>6010</v>
      </c>
      <c r="D741">
        <v>366</v>
      </c>
      <c r="E741">
        <f>IF(AND(A741='Поиск параметров'!$D$4,ISNUMBER(SEARCH('Поиск параметров'!$D$6,B741))),1,0)</f>
        <v>0</v>
      </c>
      <c r="F741">
        <f>IF(E741=1,SUM($E$2:E741),"")</f>
        <v/>
      </c>
    </row>
    <row r="742" spans="1:6">
      <c r="A742" t="s">
        <v>6339</v>
      </c>
      <c r="B742" t="s">
        <v>3790</v>
      </c>
      <c r="C742" t="s">
        <v>6011</v>
      </c>
      <c r="D742">
        <v>367</v>
      </c>
      <c r="E742">
        <f>IF(AND(A742='Поиск параметров'!$D$4,ISNUMBER(SEARCH('Поиск параметров'!$D$6,B742))),1,0)</f>
        <v>0</v>
      </c>
      <c r="F742">
        <f>IF(E742=1,SUM($E$2:E742),"")</f>
        <v/>
      </c>
    </row>
    <row r="743" spans="1:6">
      <c r="A743" t="s">
        <v>6339</v>
      </c>
      <c r="B743" t="s">
        <v>3791</v>
      </c>
      <c r="C743" t="s">
        <v>6012</v>
      </c>
      <c r="D743">
        <v>368</v>
      </c>
      <c r="E743">
        <f>IF(AND(A743='Поиск параметров'!$D$4,ISNUMBER(SEARCH('Поиск параметров'!$D$6,B743))),1,0)</f>
        <v>0</v>
      </c>
      <c r="F743">
        <f>IF(E743=1,SUM($E$2:E743),"")</f>
        <v/>
      </c>
    </row>
    <row r="744" spans="1:6">
      <c r="A744" t="s">
        <v>6339</v>
      </c>
      <c r="B744" t="s">
        <v>3792</v>
      </c>
      <c r="C744" t="s">
        <v>6013</v>
      </c>
      <c r="D744">
        <v>369</v>
      </c>
      <c r="E744">
        <f>IF(AND(A744='Поиск параметров'!$D$4,ISNUMBER(SEARCH('Поиск параметров'!$D$6,B744))),1,0)</f>
        <v>0</v>
      </c>
      <c r="F744">
        <f>IF(E744=1,SUM($E$2:E744),"")</f>
        <v/>
      </c>
    </row>
    <row r="745" spans="1:6">
      <c r="A745" t="s">
        <v>6339</v>
      </c>
      <c r="B745" t="s">
        <v>3793</v>
      </c>
      <c r="C745" t="s">
        <v>6014</v>
      </c>
      <c r="D745">
        <v>370</v>
      </c>
      <c r="E745">
        <f>IF(AND(A745='Поиск параметров'!$D$4,ISNUMBER(SEARCH('Поиск параметров'!$D$6,B745))),1,0)</f>
        <v>0</v>
      </c>
      <c r="F745">
        <f>IF(E745=1,SUM($E$2:E745),"")</f>
        <v/>
      </c>
    </row>
    <row r="746" spans="1:6">
      <c r="A746" t="s">
        <v>6339</v>
      </c>
      <c r="B746" t="s">
        <v>3794</v>
      </c>
      <c r="C746" t="s">
        <v>6015</v>
      </c>
      <c r="D746">
        <v>371</v>
      </c>
      <c r="E746">
        <f>IF(AND(A746='Поиск параметров'!$D$4,ISNUMBER(SEARCH('Поиск параметров'!$D$6,B746))),1,0)</f>
        <v>0</v>
      </c>
      <c r="F746">
        <f>IF(E746=1,SUM($E$2:E746),"")</f>
        <v/>
      </c>
    </row>
    <row r="747" spans="1:6">
      <c r="A747" t="s">
        <v>6339</v>
      </c>
      <c r="B747" t="s">
        <v>3795</v>
      </c>
      <c r="C747" t="s">
        <v>6016</v>
      </c>
      <c r="D747">
        <v>372</v>
      </c>
      <c r="E747">
        <f>IF(AND(A747='Поиск параметров'!$D$4,ISNUMBER(SEARCH('Поиск параметров'!$D$6,B747))),1,0)</f>
        <v>0</v>
      </c>
      <c r="F747">
        <f>IF(E747=1,SUM($E$2:E747),"")</f>
        <v/>
      </c>
    </row>
    <row r="748" spans="1:6">
      <c r="A748" t="s">
        <v>6339</v>
      </c>
      <c r="B748" t="s">
        <v>3796</v>
      </c>
      <c r="C748" t="s">
        <v>6017</v>
      </c>
      <c r="D748">
        <v>373</v>
      </c>
      <c r="E748">
        <f>IF(AND(A748='Поиск параметров'!$D$4,ISNUMBER(SEARCH('Поиск параметров'!$D$6,B748))),1,0)</f>
        <v>0</v>
      </c>
      <c r="F748">
        <f>IF(E748=1,SUM($E$2:E748),"")</f>
        <v/>
      </c>
    </row>
    <row r="749" spans="1:6">
      <c r="A749" t="s">
        <v>6339</v>
      </c>
      <c r="B749" t="s">
        <v>3797</v>
      </c>
      <c r="C749" t="s">
        <v>6018</v>
      </c>
      <c r="D749">
        <v>0</v>
      </c>
      <c r="E749">
        <f>IF(AND(A749='Поиск параметров'!$D$4,ISNUMBER(SEARCH('Поиск параметров'!$D$6,B749))),1,0)</f>
        <v>0</v>
      </c>
      <c r="F749">
        <f>IF(E749=1,SUM($E$2:E749),"")</f>
        <v/>
      </c>
    </row>
    <row r="750" spans="1:6">
      <c r="A750" t="s">
        <v>6339</v>
      </c>
      <c r="B750" t="s">
        <v>215</v>
      </c>
      <c r="C750" t="s">
        <v>6019</v>
      </c>
      <c r="D750">
        <v>0</v>
      </c>
      <c r="E750">
        <f>IF(AND(A750='Поиск параметров'!$D$4,ISNUMBER(SEARCH('Поиск параметров'!$D$6,B750))),1,0)</f>
        <v>0</v>
      </c>
      <c r="F750">
        <f>IF(E750=1,SUM($E$2:E750),"")</f>
        <v/>
      </c>
    </row>
    <row r="751" spans="1:6">
      <c r="A751" t="s">
        <v>6339</v>
      </c>
      <c r="B751" t="s">
        <v>216</v>
      </c>
      <c r="C751" t="s">
        <v>6020</v>
      </c>
      <c r="D751">
        <v>0</v>
      </c>
      <c r="E751">
        <f>IF(AND(A751='Поиск параметров'!$D$4,ISNUMBER(SEARCH('Поиск параметров'!$D$6,B751))),1,0)</f>
        <v>0</v>
      </c>
      <c r="F751">
        <f>IF(E751=1,SUM($E$2:E751),"")</f>
        <v/>
      </c>
    </row>
    <row r="752" spans="1:6">
      <c r="A752" t="s">
        <v>6339</v>
      </c>
      <c r="B752" t="s">
        <v>217</v>
      </c>
      <c r="C752" t="s">
        <v>6021</v>
      </c>
      <c r="D752">
        <v>0</v>
      </c>
      <c r="E752">
        <f>IF(AND(A752='Поиск параметров'!$D$4,ISNUMBER(SEARCH('Поиск параметров'!$D$6,B752))),1,0)</f>
        <v>0</v>
      </c>
      <c r="F752">
        <f>IF(E752=1,SUM($E$2:E752),"")</f>
        <v/>
      </c>
    </row>
    <row r="753" spans="1:6">
      <c r="A753" t="s">
        <v>6339</v>
      </c>
      <c r="B753" t="s">
        <v>218</v>
      </c>
      <c r="C753" t="s">
        <v>6022</v>
      </c>
      <c r="D753">
        <v>0</v>
      </c>
      <c r="E753">
        <f>IF(AND(A753='Поиск параметров'!$D$4,ISNUMBER(SEARCH('Поиск параметров'!$D$6,B753))),1,0)</f>
        <v>0</v>
      </c>
      <c r="F753">
        <f>IF(E753=1,SUM($E$2:E753),"")</f>
        <v/>
      </c>
    </row>
    <row r="754" spans="1:6">
      <c r="A754" t="s">
        <v>6339</v>
      </c>
      <c r="B754" t="s">
        <v>219</v>
      </c>
      <c r="C754" t="s">
        <v>6023</v>
      </c>
      <c r="D754">
        <v>0</v>
      </c>
      <c r="E754">
        <f>IF(AND(A754='Поиск параметров'!$D$4,ISNUMBER(SEARCH('Поиск параметров'!$D$6,B754))),1,0)</f>
        <v>0</v>
      </c>
      <c r="F754">
        <f>IF(E754=1,SUM($E$2:E754),"")</f>
        <v/>
      </c>
    </row>
    <row r="755" spans="1:6">
      <c r="A755" t="s">
        <v>6339</v>
      </c>
      <c r="B755" t="s">
        <v>220</v>
      </c>
      <c r="C755" t="s">
        <v>6024</v>
      </c>
      <c r="D755">
        <v>0</v>
      </c>
      <c r="E755">
        <f>IF(AND(A755='Поиск параметров'!$D$4,ISNUMBER(SEARCH('Поиск параметров'!$D$6,B755))),1,0)</f>
        <v>0</v>
      </c>
      <c r="F755">
        <f>IF(E755=1,SUM($E$2:E755),"")</f>
        <v/>
      </c>
    </row>
    <row r="756" spans="1:6">
      <c r="A756" t="s">
        <v>6339</v>
      </c>
      <c r="B756" t="s">
        <v>3798</v>
      </c>
      <c r="C756" t="s">
        <v>6025</v>
      </c>
      <c r="D756">
        <v>0</v>
      </c>
      <c r="E756">
        <f>IF(AND(A756='Поиск параметров'!$D$4,ISNUMBER(SEARCH('Поиск параметров'!$D$6,B756))),1,0)</f>
        <v>0</v>
      </c>
      <c r="F756">
        <f>IF(E756=1,SUM($E$2:E756),"")</f>
        <v/>
      </c>
    </row>
    <row r="757" spans="1:6">
      <c r="A757" t="s">
        <v>6339</v>
      </c>
      <c r="B757" t="s">
        <v>224</v>
      </c>
      <c r="C757" t="s">
        <v>6026</v>
      </c>
      <c r="D757">
        <v>374</v>
      </c>
      <c r="E757">
        <f>IF(AND(A757='Поиск параметров'!$D$4,ISNUMBER(SEARCH('Поиск параметров'!$D$6,B757))),1,0)</f>
        <v>0</v>
      </c>
      <c r="F757">
        <f>IF(E757=1,SUM($E$2:E757),"")</f>
        <v/>
      </c>
    </row>
    <row r="758" spans="1:6">
      <c r="A758" t="s">
        <v>6339</v>
      </c>
      <c r="B758" t="s">
        <v>3799</v>
      </c>
      <c r="C758" t="s">
        <v>6027</v>
      </c>
      <c r="D758">
        <v>0</v>
      </c>
      <c r="E758">
        <f>IF(AND(A758='Поиск параметров'!$D$4,ISNUMBER(SEARCH('Поиск параметров'!$D$6,B758))),1,0)</f>
        <v>0</v>
      </c>
      <c r="F758">
        <f>IF(E758=1,SUM($E$2:E758),"")</f>
        <v/>
      </c>
    </row>
    <row r="759" spans="1:6">
      <c r="A759" t="s">
        <v>6339</v>
      </c>
      <c r="B759" t="s">
        <v>3800</v>
      </c>
      <c r="C759" t="s">
        <v>6028</v>
      </c>
      <c r="D759">
        <v>0</v>
      </c>
      <c r="E759">
        <f>IF(AND(A759='Поиск параметров'!$D$4,ISNUMBER(SEARCH('Поиск параметров'!$D$6,B759))),1,0)</f>
        <v>0</v>
      </c>
      <c r="F759">
        <f>IF(E759=1,SUM($E$2:E759),"")</f>
        <v/>
      </c>
    </row>
    <row r="760" spans="1:6">
      <c r="A760" t="s">
        <v>6339</v>
      </c>
      <c r="B760" t="s">
        <v>3801</v>
      </c>
      <c r="C760" t="s">
        <v>6029</v>
      </c>
      <c r="D760">
        <v>0</v>
      </c>
      <c r="E760">
        <f>IF(AND(A760='Поиск параметров'!$D$4,ISNUMBER(SEARCH('Поиск параметров'!$D$6,B760))),1,0)</f>
        <v>0</v>
      </c>
      <c r="F760">
        <f>IF(E760=1,SUM($E$2:E760),"")</f>
        <v/>
      </c>
    </row>
    <row r="761" spans="1:6">
      <c r="A761" t="s">
        <v>6339</v>
      </c>
      <c r="B761" t="s">
        <v>3802</v>
      </c>
      <c r="C761" t="s">
        <v>6030</v>
      </c>
      <c r="D761">
        <v>0</v>
      </c>
      <c r="E761">
        <f>IF(AND(A761='Поиск параметров'!$D$4,ISNUMBER(SEARCH('Поиск параметров'!$D$6,B761))),1,0)</f>
        <v>0</v>
      </c>
      <c r="F761">
        <f>IF(E761=1,SUM($E$2:E761),"")</f>
        <v/>
      </c>
    </row>
    <row r="762" spans="1:6">
      <c r="A762" t="s">
        <v>6339</v>
      </c>
      <c r="B762" t="s">
        <v>3803</v>
      </c>
      <c r="C762" t="s">
        <v>6031</v>
      </c>
      <c r="D762">
        <v>375</v>
      </c>
      <c r="E762">
        <f>IF(AND(A762='Поиск параметров'!$D$4,ISNUMBER(SEARCH('Поиск параметров'!$D$6,B762))),1,0)</f>
        <v>0</v>
      </c>
      <c r="F762">
        <f>IF(E762=1,SUM($E$2:E762),"")</f>
        <v/>
      </c>
    </row>
    <row r="763" spans="1:6">
      <c r="A763" t="s">
        <v>6339</v>
      </c>
      <c r="B763" t="s">
        <v>3804</v>
      </c>
      <c r="C763" t="s">
        <v>6032</v>
      </c>
      <c r="D763">
        <v>376</v>
      </c>
      <c r="E763">
        <f>IF(AND(A763='Поиск параметров'!$D$4,ISNUMBER(SEARCH('Поиск параметров'!$D$6,B763))),1,0)</f>
        <v>0</v>
      </c>
      <c r="F763">
        <f>IF(E763=1,SUM($E$2:E763),"")</f>
        <v/>
      </c>
    </row>
    <row r="764" spans="1:6">
      <c r="A764" t="s">
        <v>6339</v>
      </c>
      <c r="B764" t="s">
        <v>3805</v>
      </c>
      <c r="C764" t="s">
        <v>6033</v>
      </c>
      <c r="D764">
        <v>377</v>
      </c>
      <c r="E764">
        <f>IF(AND(A764='Поиск параметров'!$D$4,ISNUMBER(SEARCH('Поиск параметров'!$D$6,B764))),1,0)</f>
        <v>0</v>
      </c>
      <c r="F764">
        <f>IF(E764=1,SUM($E$2:E764),"")</f>
        <v/>
      </c>
    </row>
    <row r="765" spans="1:6">
      <c r="A765" t="s">
        <v>6339</v>
      </c>
      <c r="B765" t="s">
        <v>3806</v>
      </c>
      <c r="C765" t="s">
        <v>6034</v>
      </c>
      <c r="D765">
        <v>0</v>
      </c>
      <c r="E765">
        <f>IF(AND(A765='Поиск параметров'!$D$4,ISNUMBER(SEARCH('Поиск параметров'!$D$6,B765))),1,0)</f>
        <v>0</v>
      </c>
      <c r="F765">
        <f>IF(E765=1,SUM($E$2:E765),"")</f>
        <v/>
      </c>
    </row>
    <row r="766" spans="1:6">
      <c r="A766" t="s">
        <v>6339</v>
      </c>
      <c r="B766" t="s">
        <v>3807</v>
      </c>
      <c r="C766" t="s">
        <v>6035</v>
      </c>
      <c r="D766">
        <v>0</v>
      </c>
      <c r="E766">
        <f>IF(AND(A766='Поиск параметров'!$D$4,ISNUMBER(SEARCH('Поиск параметров'!$D$6,B766))),1,0)</f>
        <v>0</v>
      </c>
      <c r="F766">
        <f>IF(E766=1,SUM($E$2:E766),"")</f>
        <v/>
      </c>
    </row>
    <row r="767" spans="1:6">
      <c r="A767" t="s">
        <v>6339</v>
      </c>
      <c r="B767" t="s">
        <v>3808</v>
      </c>
      <c r="C767" t="s">
        <v>6036</v>
      </c>
      <c r="D767">
        <v>0</v>
      </c>
      <c r="E767">
        <f>IF(AND(A767='Поиск параметров'!$D$4,ISNUMBER(SEARCH('Поиск параметров'!$D$6,B767))),1,0)</f>
        <v>0</v>
      </c>
      <c r="F767">
        <f>IF(E767=1,SUM($E$2:E767),"")</f>
        <v/>
      </c>
    </row>
    <row r="768" spans="1:6">
      <c r="A768" t="s">
        <v>6339</v>
      </c>
      <c r="B768" t="s">
        <v>3809</v>
      </c>
      <c r="C768" t="s">
        <v>6037</v>
      </c>
      <c r="D768">
        <v>0</v>
      </c>
      <c r="E768">
        <f>IF(AND(A768='Поиск параметров'!$D$4,ISNUMBER(SEARCH('Поиск параметров'!$D$6,B768))),1,0)</f>
        <v>0</v>
      </c>
      <c r="F768">
        <f>IF(E768=1,SUM($E$2:E768),"")</f>
        <v/>
      </c>
    </row>
    <row r="769" spans="1:6">
      <c r="A769" t="s">
        <v>6339</v>
      </c>
      <c r="B769" t="s">
        <v>3810</v>
      </c>
      <c r="C769" t="s">
        <v>6038</v>
      </c>
      <c r="D769">
        <v>378</v>
      </c>
      <c r="E769">
        <f>IF(AND(A769='Поиск параметров'!$D$4,ISNUMBER(SEARCH('Поиск параметров'!$D$6,B769))),1,0)</f>
        <v>0</v>
      </c>
      <c r="F769">
        <f>IF(E769=1,SUM($E$2:E769),"")</f>
        <v/>
      </c>
    </row>
    <row r="770" spans="1:6">
      <c r="A770" t="s">
        <v>6339</v>
      </c>
      <c r="B770" t="s">
        <v>3811</v>
      </c>
      <c r="C770" t="s">
        <v>6039</v>
      </c>
      <c r="D770">
        <v>379</v>
      </c>
      <c r="E770">
        <f>IF(AND(A770='Поиск параметров'!$D$4,ISNUMBER(SEARCH('Поиск параметров'!$D$6,B770))),1,0)</f>
        <v>0</v>
      </c>
      <c r="F770">
        <f>IF(E770=1,SUM($E$2:E770),"")</f>
        <v/>
      </c>
    </row>
    <row r="771" spans="1:6">
      <c r="A771" t="s">
        <v>6339</v>
      </c>
      <c r="B771" t="s">
        <v>3812</v>
      </c>
      <c r="C771" t="s">
        <v>6040</v>
      </c>
      <c r="D771">
        <v>380</v>
      </c>
      <c r="E771">
        <f>IF(AND(A771='Поиск параметров'!$D$4,ISNUMBER(SEARCH('Поиск параметров'!$D$6,B771))),1,0)</f>
        <v>0</v>
      </c>
      <c r="F771">
        <f>IF(E771=1,SUM($E$2:E771),"")</f>
        <v/>
      </c>
    </row>
    <row r="772" spans="1:6">
      <c r="A772" t="s">
        <v>6339</v>
      </c>
      <c r="B772" t="s">
        <v>3813</v>
      </c>
      <c r="C772" t="s">
        <v>6041</v>
      </c>
      <c r="D772">
        <v>381</v>
      </c>
      <c r="E772">
        <f>IF(AND(A772='Поиск параметров'!$D$4,ISNUMBER(SEARCH('Поиск параметров'!$D$6,B772))),1,0)</f>
        <v>0</v>
      </c>
      <c r="F772">
        <f>IF(E772=1,SUM($E$2:E772),"")</f>
        <v/>
      </c>
    </row>
    <row r="773" spans="1:6">
      <c r="A773" t="s">
        <v>6339</v>
      </c>
      <c r="B773" t="s">
        <v>3814</v>
      </c>
      <c r="C773" t="s">
        <v>6042</v>
      </c>
      <c r="D773">
        <v>382</v>
      </c>
      <c r="E773">
        <f>IF(AND(A773='Поиск параметров'!$D$4,ISNUMBER(SEARCH('Поиск параметров'!$D$6,B773))),1,0)</f>
        <v>0</v>
      </c>
      <c r="F773">
        <f>IF(E773=1,SUM($E$2:E773),"")</f>
        <v/>
      </c>
    </row>
    <row r="774" spans="1:6">
      <c r="A774" t="s">
        <v>6339</v>
      </c>
      <c r="B774" t="s">
        <v>3815</v>
      </c>
      <c r="C774" t="s">
        <v>6043</v>
      </c>
      <c r="D774">
        <v>383</v>
      </c>
      <c r="E774">
        <f>IF(AND(A774='Поиск параметров'!$D$4,ISNUMBER(SEARCH('Поиск параметров'!$D$6,B774))),1,0)</f>
        <v>0</v>
      </c>
      <c r="F774">
        <f>IF(E774=1,SUM($E$2:E774),"")</f>
        <v/>
      </c>
    </row>
    <row r="775" spans="1:6">
      <c r="A775" t="s">
        <v>6339</v>
      </c>
      <c r="B775" t="s">
        <v>3816</v>
      </c>
      <c r="C775" t="s">
        <v>6044</v>
      </c>
      <c r="D775">
        <v>384</v>
      </c>
      <c r="E775">
        <f>IF(AND(A775='Поиск параметров'!$D$4,ISNUMBER(SEARCH('Поиск параметров'!$D$6,B775))),1,0)</f>
        <v>0</v>
      </c>
      <c r="F775">
        <f>IF(E775=1,SUM($E$2:E775),"")</f>
        <v/>
      </c>
    </row>
    <row r="776" spans="1:6">
      <c r="A776" t="s">
        <v>6339</v>
      </c>
      <c r="B776" t="s">
        <v>3817</v>
      </c>
      <c r="C776" t="s">
        <v>6045</v>
      </c>
      <c r="D776">
        <v>385</v>
      </c>
      <c r="E776">
        <f>IF(AND(A776='Поиск параметров'!$D$4,ISNUMBER(SEARCH('Поиск параметров'!$D$6,B776))),1,0)</f>
        <v>0</v>
      </c>
      <c r="F776">
        <f>IF(E776=1,SUM($E$2:E776),"")</f>
        <v/>
      </c>
    </row>
    <row r="777" spans="1:6">
      <c r="A777" t="s">
        <v>6339</v>
      </c>
      <c r="B777" t="s">
        <v>3818</v>
      </c>
      <c r="C777" t="s">
        <v>6046</v>
      </c>
      <c r="D777">
        <v>386</v>
      </c>
      <c r="E777">
        <f>IF(AND(A777='Поиск параметров'!$D$4,ISNUMBER(SEARCH('Поиск параметров'!$D$6,B777))),1,0)</f>
        <v>0</v>
      </c>
      <c r="F777">
        <f>IF(E777=1,SUM($E$2:E777),"")</f>
        <v/>
      </c>
    </row>
    <row r="778" spans="1:6">
      <c r="A778" t="s">
        <v>6339</v>
      </c>
      <c r="B778" t="s">
        <v>3819</v>
      </c>
      <c r="C778" t="s">
        <v>6047</v>
      </c>
      <c r="D778">
        <v>387</v>
      </c>
      <c r="E778">
        <f>IF(AND(A778='Поиск параметров'!$D$4,ISNUMBER(SEARCH('Поиск параметров'!$D$6,B778))),1,0)</f>
        <v>0</v>
      </c>
      <c r="F778">
        <f>IF(E778=1,SUM($E$2:E778),"")</f>
        <v/>
      </c>
    </row>
    <row r="779" spans="1:6">
      <c r="A779" t="s">
        <v>6339</v>
      </c>
      <c r="B779" t="s">
        <v>3820</v>
      </c>
      <c r="C779" t="s">
        <v>6048</v>
      </c>
      <c r="D779">
        <v>0</v>
      </c>
      <c r="E779">
        <f>IF(AND(A779='Поиск параметров'!$D$4,ISNUMBER(SEARCH('Поиск параметров'!$D$6,B779))),1,0)</f>
        <v>0</v>
      </c>
      <c r="F779">
        <f>IF(E779=1,SUM($E$2:E779),"")</f>
        <v/>
      </c>
    </row>
    <row r="780" spans="1:6">
      <c r="A780" t="s">
        <v>6339</v>
      </c>
      <c r="B780" t="s">
        <v>3821</v>
      </c>
      <c r="C780" t="s">
        <v>6049</v>
      </c>
      <c r="D780">
        <v>388</v>
      </c>
      <c r="E780">
        <f>IF(AND(A780='Поиск параметров'!$D$4,ISNUMBER(SEARCH('Поиск параметров'!$D$6,B780))),1,0)</f>
        <v>0</v>
      </c>
      <c r="F780">
        <f>IF(E780=1,SUM($E$2:E780),"")</f>
        <v/>
      </c>
    </row>
    <row r="781" spans="1:6">
      <c r="A781" t="s">
        <v>6339</v>
      </c>
      <c r="B781" t="s">
        <v>3822</v>
      </c>
      <c r="C781" t="s">
        <v>6050</v>
      </c>
      <c r="D781">
        <v>0</v>
      </c>
      <c r="E781">
        <f>IF(AND(A781='Поиск параметров'!$D$4,ISNUMBER(SEARCH('Поиск параметров'!$D$6,B781))),1,0)</f>
        <v>0</v>
      </c>
      <c r="F781">
        <f>IF(E781=1,SUM($E$2:E781),"")</f>
        <v/>
      </c>
    </row>
    <row r="782" spans="1:6">
      <c r="A782" t="s">
        <v>6339</v>
      </c>
      <c r="B782" t="s">
        <v>3823</v>
      </c>
      <c r="C782" t="s">
        <v>210</v>
      </c>
      <c r="D782">
        <v>0</v>
      </c>
      <c r="E782">
        <f>IF(AND(A782='Поиск параметров'!$D$4,ISNUMBER(SEARCH('Поиск параметров'!$D$6,B782))),1,0)</f>
        <v>0</v>
      </c>
      <c r="F782">
        <f>IF(E782=1,SUM($E$2:E782),"")</f>
        <v/>
      </c>
    </row>
    <row r="783" spans="1:6">
      <c r="A783" t="s">
        <v>6339</v>
      </c>
      <c r="B783" t="s">
        <v>3824</v>
      </c>
      <c r="C783" t="s">
        <v>6051</v>
      </c>
      <c r="D783">
        <v>389</v>
      </c>
      <c r="E783">
        <f>IF(AND(A783='Поиск параметров'!$D$4,ISNUMBER(SEARCH('Поиск параметров'!$D$6,B783))),1,0)</f>
        <v>0</v>
      </c>
      <c r="F783">
        <f>IF(E783=1,SUM($E$2:E783),"")</f>
        <v/>
      </c>
    </row>
    <row r="784" spans="1:6">
      <c r="A784" t="s">
        <v>6339</v>
      </c>
      <c r="B784" t="s">
        <v>3825</v>
      </c>
      <c r="C784" t="s">
        <v>6052</v>
      </c>
      <c r="D784">
        <v>390</v>
      </c>
      <c r="E784">
        <f>IF(AND(A784='Поиск параметров'!$D$4,ISNUMBER(SEARCH('Поиск параметров'!$D$6,B784))),1,0)</f>
        <v>0</v>
      </c>
      <c r="F784">
        <f>IF(E784=1,SUM($E$2:E784),"")</f>
        <v/>
      </c>
    </row>
    <row r="785" spans="1:6">
      <c r="A785" t="s">
        <v>6339</v>
      </c>
      <c r="B785" t="s">
        <v>3826</v>
      </c>
      <c r="C785" t="s">
        <v>6053</v>
      </c>
      <c r="D785">
        <v>391</v>
      </c>
      <c r="E785">
        <f>IF(AND(A785='Поиск параметров'!$D$4,ISNUMBER(SEARCH('Поиск параметров'!$D$6,B785))),1,0)</f>
        <v>0</v>
      </c>
      <c r="F785">
        <f>IF(E785=1,SUM($E$2:E785),"")</f>
        <v/>
      </c>
    </row>
    <row r="786" spans="1:6">
      <c r="A786" t="s">
        <v>6339</v>
      </c>
      <c r="B786" t="s">
        <v>3827</v>
      </c>
      <c r="C786" t="s">
        <v>6054</v>
      </c>
      <c r="D786">
        <v>392</v>
      </c>
      <c r="E786">
        <f>IF(AND(A786='Поиск параметров'!$D$4,ISNUMBER(SEARCH('Поиск параметров'!$D$6,B786))),1,0)</f>
        <v>0</v>
      </c>
      <c r="F786">
        <f>IF(E786=1,SUM($E$2:E786),"")</f>
        <v/>
      </c>
    </row>
    <row r="787" spans="1:6">
      <c r="A787" t="s">
        <v>6339</v>
      </c>
      <c r="B787" t="s">
        <v>3828</v>
      </c>
      <c r="C787" t="s">
        <v>6055</v>
      </c>
      <c r="D787">
        <v>393</v>
      </c>
      <c r="E787">
        <f>IF(AND(A787='Поиск параметров'!$D$4,ISNUMBER(SEARCH('Поиск параметров'!$D$6,B787))),1,0)</f>
        <v>0</v>
      </c>
      <c r="F787">
        <f>IF(E787=1,SUM($E$2:E787),"")</f>
        <v/>
      </c>
    </row>
    <row r="788" spans="1:6">
      <c r="A788" t="s">
        <v>6339</v>
      </c>
      <c r="B788" t="s">
        <v>3829</v>
      </c>
      <c r="C788" t="s">
        <v>6056</v>
      </c>
      <c r="D788">
        <v>394</v>
      </c>
      <c r="E788">
        <f>IF(AND(A788='Поиск параметров'!$D$4,ISNUMBER(SEARCH('Поиск параметров'!$D$6,B788))),1,0)</f>
        <v>0</v>
      </c>
      <c r="F788">
        <f>IF(E788=1,SUM($E$2:E788),"")</f>
        <v/>
      </c>
    </row>
    <row r="789" spans="1:6">
      <c r="A789" t="s">
        <v>6339</v>
      </c>
      <c r="B789" t="s">
        <v>3830</v>
      </c>
      <c r="C789" t="s">
        <v>6057</v>
      </c>
      <c r="D789">
        <v>0</v>
      </c>
      <c r="E789">
        <f>IF(AND(A789='Поиск параметров'!$D$4,ISNUMBER(SEARCH('Поиск параметров'!$D$6,B789))),1,0)</f>
        <v>0</v>
      </c>
      <c r="F789">
        <f>IF(E789=1,SUM($E$2:E789),"")</f>
        <v/>
      </c>
    </row>
    <row r="790" spans="1:6">
      <c r="A790" t="s">
        <v>6339</v>
      </c>
      <c r="B790" t="s">
        <v>3831</v>
      </c>
      <c r="C790" t="s">
        <v>6058</v>
      </c>
      <c r="D790">
        <v>395</v>
      </c>
      <c r="E790">
        <f>IF(AND(A790='Поиск параметров'!$D$4,ISNUMBER(SEARCH('Поиск параметров'!$D$6,B790))),1,0)</f>
        <v>0</v>
      </c>
      <c r="F790">
        <f>IF(E790=1,SUM($E$2:E790),"")</f>
        <v/>
      </c>
    </row>
    <row r="791" spans="1:6">
      <c r="A791" t="s">
        <v>6339</v>
      </c>
      <c r="B791" t="s">
        <v>3832</v>
      </c>
      <c r="C791" t="s">
        <v>6059</v>
      </c>
      <c r="D791">
        <v>396</v>
      </c>
      <c r="E791">
        <f>IF(AND(A791='Поиск параметров'!$D$4,ISNUMBER(SEARCH('Поиск параметров'!$D$6,B791))),1,0)</f>
        <v>0</v>
      </c>
      <c r="F791">
        <f>IF(E791=1,SUM($E$2:E791),"")</f>
        <v/>
      </c>
    </row>
    <row r="792" spans="1:6">
      <c r="A792" t="s">
        <v>6339</v>
      </c>
      <c r="B792" t="s">
        <v>3833</v>
      </c>
      <c r="C792" t="s">
        <v>6060</v>
      </c>
      <c r="D792">
        <v>397</v>
      </c>
      <c r="E792">
        <f>IF(AND(A792='Поиск параметров'!$D$4,ISNUMBER(SEARCH('Поиск параметров'!$D$6,B792))),1,0)</f>
        <v>0</v>
      </c>
      <c r="F792">
        <f>IF(E792=1,SUM($E$2:E792),"")</f>
        <v/>
      </c>
    </row>
    <row r="793" spans="1:6">
      <c r="A793" t="s">
        <v>6339</v>
      </c>
      <c r="B793" t="s">
        <v>3834</v>
      </c>
      <c r="C793" t="s">
        <v>6061</v>
      </c>
      <c r="D793">
        <v>398</v>
      </c>
      <c r="E793">
        <f>IF(AND(A793='Поиск параметров'!$D$4,ISNUMBER(SEARCH('Поиск параметров'!$D$6,B793))),1,0)</f>
        <v>0</v>
      </c>
      <c r="F793">
        <f>IF(E793=1,SUM($E$2:E793),"")</f>
        <v/>
      </c>
    </row>
    <row r="794" spans="1:6">
      <c r="A794" t="s">
        <v>6339</v>
      </c>
      <c r="B794" t="s">
        <v>3835</v>
      </c>
      <c r="C794" t="s">
        <v>6062</v>
      </c>
      <c r="D794">
        <v>399</v>
      </c>
      <c r="E794">
        <f>IF(AND(A794='Поиск параметров'!$D$4,ISNUMBER(SEARCH('Поиск параметров'!$D$6,B794))),1,0)</f>
        <v>0</v>
      </c>
      <c r="F794">
        <f>IF(E794=1,SUM($E$2:E794),"")</f>
        <v/>
      </c>
    </row>
    <row r="795" spans="1:6">
      <c r="A795" t="s">
        <v>6339</v>
      </c>
      <c r="B795" t="s">
        <v>3836</v>
      </c>
      <c r="C795" t="s">
        <v>6063</v>
      </c>
      <c r="D795">
        <v>400</v>
      </c>
      <c r="E795">
        <f>IF(AND(A795='Поиск параметров'!$D$4,ISNUMBER(SEARCH('Поиск параметров'!$D$6,B795))),1,0)</f>
        <v>0</v>
      </c>
      <c r="F795">
        <f>IF(E795=1,SUM($E$2:E795),"")</f>
        <v/>
      </c>
    </row>
    <row r="796" spans="1:6">
      <c r="A796" t="s">
        <v>6339</v>
      </c>
      <c r="B796" t="s">
        <v>3837</v>
      </c>
      <c r="C796" t="s">
        <v>6064</v>
      </c>
      <c r="D796">
        <v>401</v>
      </c>
      <c r="E796">
        <f>IF(AND(A796='Поиск параметров'!$D$4,ISNUMBER(SEARCH('Поиск параметров'!$D$6,B796))),1,0)</f>
        <v>0</v>
      </c>
      <c r="F796">
        <f>IF(E796=1,SUM($E$2:E796),"")</f>
        <v/>
      </c>
    </row>
    <row r="797" spans="1:6">
      <c r="A797" t="s">
        <v>6339</v>
      </c>
      <c r="B797" t="s">
        <v>3838</v>
      </c>
      <c r="C797" t="s">
        <v>6065</v>
      </c>
      <c r="D797">
        <v>402</v>
      </c>
      <c r="E797">
        <f>IF(AND(A797='Поиск параметров'!$D$4,ISNUMBER(SEARCH('Поиск параметров'!$D$6,B797))),1,0)</f>
        <v>0</v>
      </c>
      <c r="F797">
        <f>IF(E797=1,SUM($E$2:E797),"")</f>
        <v/>
      </c>
    </row>
    <row r="798" spans="1:6">
      <c r="A798" t="s">
        <v>6339</v>
      </c>
      <c r="B798" t="s">
        <v>3839</v>
      </c>
      <c r="C798" t="s">
        <v>6066</v>
      </c>
      <c r="D798">
        <v>403</v>
      </c>
      <c r="E798">
        <f>IF(AND(A798='Поиск параметров'!$D$4,ISNUMBER(SEARCH('Поиск параметров'!$D$6,B798))),1,0)</f>
        <v>0</v>
      </c>
      <c r="F798">
        <f>IF(E798=1,SUM($E$2:E798),"")</f>
        <v/>
      </c>
    </row>
    <row r="799" spans="1:6">
      <c r="A799" t="s">
        <v>6339</v>
      </c>
      <c r="B799" t="s">
        <v>3840</v>
      </c>
      <c r="C799" t="s">
        <v>6067</v>
      </c>
      <c r="D799">
        <v>404</v>
      </c>
      <c r="E799">
        <f>IF(AND(A799='Поиск параметров'!$D$4,ISNUMBER(SEARCH('Поиск параметров'!$D$6,B799))),1,0)</f>
        <v>0</v>
      </c>
      <c r="F799">
        <f>IF(E799=1,SUM($E$2:E799),"")</f>
        <v/>
      </c>
    </row>
    <row r="800" spans="1:6">
      <c r="A800" t="s">
        <v>6339</v>
      </c>
      <c r="B800" t="s">
        <v>3841</v>
      </c>
      <c r="C800" t="s">
        <v>6068</v>
      </c>
      <c r="D800">
        <v>405</v>
      </c>
      <c r="E800">
        <f>IF(AND(A800='Поиск параметров'!$D$4,ISNUMBER(SEARCH('Поиск параметров'!$D$6,B800))),1,0)</f>
        <v>0</v>
      </c>
      <c r="F800">
        <f>IF(E800=1,SUM($E$2:E800),"")</f>
        <v/>
      </c>
    </row>
    <row r="801" spans="1:6">
      <c r="A801" t="s">
        <v>6339</v>
      </c>
      <c r="B801" t="s">
        <v>3842</v>
      </c>
      <c r="C801" t="s">
        <v>6069</v>
      </c>
      <c r="D801">
        <v>406</v>
      </c>
      <c r="E801">
        <f>IF(AND(A801='Поиск параметров'!$D$4,ISNUMBER(SEARCH('Поиск параметров'!$D$6,B801))),1,0)</f>
        <v>0</v>
      </c>
      <c r="F801">
        <f>IF(E801=1,SUM($E$2:E801),"")</f>
        <v/>
      </c>
    </row>
    <row r="802" spans="1:6">
      <c r="A802" t="s">
        <v>6339</v>
      </c>
      <c r="B802" t="s">
        <v>3843</v>
      </c>
      <c r="C802" t="s">
        <v>6070</v>
      </c>
      <c r="D802">
        <v>407</v>
      </c>
      <c r="E802">
        <f>IF(AND(A802='Поиск параметров'!$D$4,ISNUMBER(SEARCH('Поиск параметров'!$D$6,B802))),1,0)</f>
        <v>0</v>
      </c>
      <c r="F802">
        <f>IF(E802=1,SUM($E$2:E802),"")</f>
        <v/>
      </c>
    </row>
    <row r="803" spans="1:6">
      <c r="A803" t="s">
        <v>6339</v>
      </c>
      <c r="B803" t="s">
        <v>3844</v>
      </c>
      <c r="C803" t="s">
        <v>6071</v>
      </c>
      <c r="D803">
        <v>408</v>
      </c>
      <c r="E803">
        <f>IF(AND(A803='Поиск параметров'!$D$4,ISNUMBER(SEARCH('Поиск параметров'!$D$6,B803))),1,0)</f>
        <v>0</v>
      </c>
      <c r="F803">
        <f>IF(E803=1,SUM($E$2:E803),"")</f>
        <v/>
      </c>
    </row>
    <row r="804" spans="1:6">
      <c r="A804" t="s">
        <v>6339</v>
      </c>
      <c r="B804" t="s">
        <v>3845</v>
      </c>
      <c r="C804" t="s">
        <v>6072</v>
      </c>
      <c r="D804">
        <v>409</v>
      </c>
      <c r="E804">
        <f>IF(AND(A804='Поиск параметров'!$D$4,ISNUMBER(SEARCH('Поиск параметров'!$D$6,B804))),1,0)</f>
        <v>0</v>
      </c>
      <c r="F804">
        <f>IF(E804=1,SUM($E$2:E804),"")</f>
        <v/>
      </c>
    </row>
    <row r="805" spans="1:6">
      <c r="A805" t="s">
        <v>6339</v>
      </c>
      <c r="B805" t="s">
        <v>3846</v>
      </c>
      <c r="C805" t="s">
        <v>6073</v>
      </c>
      <c r="D805">
        <v>410</v>
      </c>
      <c r="E805">
        <f>IF(AND(A805='Поиск параметров'!$D$4,ISNUMBER(SEARCH('Поиск параметров'!$D$6,B805))),1,0)</f>
        <v>0</v>
      </c>
      <c r="F805">
        <f>IF(E805=1,SUM($E$2:E805),"")</f>
        <v/>
      </c>
    </row>
    <row r="806" spans="1:6">
      <c r="A806" t="s">
        <v>6339</v>
      </c>
      <c r="B806" t="s">
        <v>3847</v>
      </c>
      <c r="C806" t="s">
        <v>6074</v>
      </c>
      <c r="D806">
        <v>411</v>
      </c>
      <c r="E806">
        <f>IF(AND(A806='Поиск параметров'!$D$4,ISNUMBER(SEARCH('Поиск параметров'!$D$6,B806))),1,0)</f>
        <v>0</v>
      </c>
      <c r="F806">
        <f>IF(E806=1,SUM($E$2:E806),"")</f>
        <v/>
      </c>
    </row>
    <row r="807" spans="1:6">
      <c r="A807" t="s">
        <v>6339</v>
      </c>
      <c r="B807" t="s">
        <v>3848</v>
      </c>
      <c r="C807" t="s">
        <v>6075</v>
      </c>
      <c r="D807">
        <v>412</v>
      </c>
      <c r="E807">
        <f>IF(AND(A807='Поиск параметров'!$D$4,ISNUMBER(SEARCH('Поиск параметров'!$D$6,B807))),1,0)</f>
        <v>0</v>
      </c>
      <c r="F807">
        <f>IF(E807=1,SUM($E$2:E807),"")</f>
        <v/>
      </c>
    </row>
    <row r="808" spans="1:6">
      <c r="A808" t="s">
        <v>6339</v>
      </c>
      <c r="B808" t="s">
        <v>3849</v>
      </c>
      <c r="C808" t="s">
        <v>6076</v>
      </c>
      <c r="D808">
        <v>413</v>
      </c>
      <c r="E808">
        <f>IF(AND(A808='Поиск параметров'!$D$4,ISNUMBER(SEARCH('Поиск параметров'!$D$6,B808))),1,0)</f>
        <v>0</v>
      </c>
      <c r="F808">
        <f>IF(E808=1,SUM($E$2:E808),"")</f>
        <v/>
      </c>
    </row>
    <row r="809" spans="1:6">
      <c r="A809" t="s">
        <v>6339</v>
      </c>
      <c r="B809" t="s">
        <v>3850</v>
      </c>
      <c r="C809" t="s">
        <v>6077</v>
      </c>
      <c r="D809">
        <v>414</v>
      </c>
      <c r="E809">
        <f>IF(AND(A809='Поиск параметров'!$D$4,ISNUMBER(SEARCH('Поиск параметров'!$D$6,B809))),1,0)</f>
        <v>0</v>
      </c>
      <c r="F809">
        <f>IF(E809=1,SUM($E$2:E809),"")</f>
        <v/>
      </c>
    </row>
    <row r="810" spans="1:6">
      <c r="A810" t="s">
        <v>6339</v>
      </c>
      <c r="B810" t="s">
        <v>3851</v>
      </c>
      <c r="C810" t="s">
        <v>6078</v>
      </c>
      <c r="D810">
        <v>0</v>
      </c>
      <c r="E810">
        <f>IF(AND(A810='Поиск параметров'!$D$4,ISNUMBER(SEARCH('Поиск параметров'!$D$6,B810))),1,0)</f>
        <v>0</v>
      </c>
      <c r="F810">
        <f>IF(E810=1,SUM($E$2:E810),"")</f>
        <v/>
      </c>
    </row>
    <row r="811" spans="1:6">
      <c r="A811" t="s">
        <v>6339</v>
      </c>
      <c r="B811" t="s">
        <v>3852</v>
      </c>
      <c r="C811" t="s">
        <v>6079</v>
      </c>
      <c r="D811">
        <v>0</v>
      </c>
      <c r="E811">
        <f>IF(AND(A811='Поиск параметров'!$D$4,ISNUMBER(SEARCH('Поиск параметров'!$D$6,B811))),1,0)</f>
        <v>0</v>
      </c>
      <c r="F811">
        <f>IF(E811=1,SUM($E$2:E811),"")</f>
        <v/>
      </c>
    </row>
    <row r="812" spans="1:6">
      <c r="A812" t="s">
        <v>6339</v>
      </c>
      <c r="B812" t="s">
        <v>3853</v>
      </c>
      <c r="C812" t="s">
        <v>6080</v>
      </c>
      <c r="D812">
        <v>415</v>
      </c>
      <c r="E812">
        <f>IF(AND(A812='Поиск параметров'!$D$4,ISNUMBER(SEARCH('Поиск параметров'!$D$6,B812))),1,0)</f>
        <v>0</v>
      </c>
      <c r="F812">
        <f>IF(E812=1,SUM($E$2:E812),"")</f>
        <v/>
      </c>
    </row>
    <row r="813" spans="1:6">
      <c r="A813" t="s">
        <v>6339</v>
      </c>
      <c r="B813" t="s">
        <v>3854</v>
      </c>
      <c r="C813" t="s">
        <v>6081</v>
      </c>
      <c r="D813">
        <v>416</v>
      </c>
      <c r="E813">
        <f>IF(AND(A813='Поиск параметров'!$D$4,ISNUMBER(SEARCH('Поиск параметров'!$D$6,B813))),1,0)</f>
        <v>0</v>
      </c>
      <c r="F813">
        <f>IF(E813=1,SUM($E$2:E813),"")</f>
        <v/>
      </c>
    </row>
    <row r="814" spans="1:6">
      <c r="A814" t="s">
        <v>6339</v>
      </c>
      <c r="B814" t="s">
        <v>3855</v>
      </c>
      <c r="C814" t="s">
        <v>6082</v>
      </c>
      <c r="D814">
        <v>417</v>
      </c>
      <c r="E814">
        <f>IF(AND(A814='Поиск параметров'!$D$4,ISNUMBER(SEARCH('Поиск параметров'!$D$6,B814))),1,0)</f>
        <v>0</v>
      </c>
      <c r="F814">
        <f>IF(E814=1,SUM($E$2:E814),"")</f>
        <v/>
      </c>
    </row>
    <row r="815" spans="1:6">
      <c r="A815" t="s">
        <v>6339</v>
      </c>
      <c r="B815" t="s">
        <v>3856</v>
      </c>
      <c r="C815" t="s">
        <v>6083</v>
      </c>
      <c r="D815">
        <v>418</v>
      </c>
      <c r="E815">
        <f>IF(AND(A815='Поиск параметров'!$D$4,ISNUMBER(SEARCH('Поиск параметров'!$D$6,B815))),1,0)</f>
        <v>0</v>
      </c>
      <c r="F815">
        <f>IF(E815=1,SUM($E$2:E815),"")</f>
        <v/>
      </c>
    </row>
    <row r="816" spans="1:6">
      <c r="A816" t="s">
        <v>6339</v>
      </c>
      <c r="B816" t="s">
        <v>3857</v>
      </c>
      <c r="C816" t="s">
        <v>6084</v>
      </c>
      <c r="D816">
        <v>419</v>
      </c>
      <c r="E816">
        <f>IF(AND(A816='Поиск параметров'!$D$4,ISNUMBER(SEARCH('Поиск параметров'!$D$6,B816))),1,0)</f>
        <v>0</v>
      </c>
      <c r="F816">
        <f>IF(E816=1,SUM($E$2:E816),"")</f>
        <v/>
      </c>
    </row>
    <row r="817" spans="1:6">
      <c r="A817" t="s">
        <v>6339</v>
      </c>
      <c r="B817" t="s">
        <v>3858</v>
      </c>
      <c r="C817" t="s">
        <v>6085</v>
      </c>
      <c r="D817">
        <v>420</v>
      </c>
      <c r="E817">
        <f>IF(AND(A817='Поиск параметров'!$D$4,ISNUMBER(SEARCH('Поиск параметров'!$D$6,B817))),1,0)</f>
        <v>0</v>
      </c>
      <c r="F817">
        <f>IF(E817=1,SUM($E$2:E817),"")</f>
        <v/>
      </c>
    </row>
    <row r="818" spans="1:6">
      <c r="A818" t="s">
        <v>6339</v>
      </c>
      <c r="B818" t="s">
        <v>3859</v>
      </c>
      <c r="C818" t="s">
        <v>6086</v>
      </c>
      <c r="D818">
        <v>421</v>
      </c>
      <c r="E818">
        <f>IF(AND(A818='Поиск параметров'!$D$4,ISNUMBER(SEARCH('Поиск параметров'!$D$6,B818))),1,0)</f>
        <v>0</v>
      </c>
      <c r="F818">
        <f>IF(E818=1,SUM($E$2:E818),"")</f>
        <v/>
      </c>
    </row>
    <row r="819" spans="1:6">
      <c r="A819" t="s">
        <v>6339</v>
      </c>
      <c r="B819" t="s">
        <v>3860</v>
      </c>
      <c r="C819" t="s">
        <v>6087</v>
      </c>
      <c r="D819">
        <v>422</v>
      </c>
      <c r="E819">
        <f>IF(AND(A819='Поиск параметров'!$D$4,ISNUMBER(SEARCH('Поиск параметров'!$D$6,B819))),1,0)</f>
        <v>0</v>
      </c>
      <c r="F819">
        <f>IF(E819=1,SUM($E$2:E819),"")</f>
        <v/>
      </c>
    </row>
    <row r="820" spans="1:6">
      <c r="A820" t="s">
        <v>6339</v>
      </c>
      <c r="B820" t="s">
        <v>3861</v>
      </c>
      <c r="C820" t="s">
        <v>6088</v>
      </c>
      <c r="D820">
        <v>0</v>
      </c>
      <c r="E820">
        <f>IF(AND(A820='Поиск параметров'!$D$4,ISNUMBER(SEARCH('Поиск параметров'!$D$6,B820))),1,0)</f>
        <v>0</v>
      </c>
      <c r="F820">
        <f>IF(E820=1,SUM($E$2:E820),"")</f>
        <v/>
      </c>
    </row>
    <row r="821" spans="1:6">
      <c r="A821" t="s">
        <v>6339</v>
      </c>
      <c r="B821" t="s">
        <v>3862</v>
      </c>
      <c r="C821" t="s">
        <v>6089</v>
      </c>
      <c r="D821">
        <v>0</v>
      </c>
      <c r="E821">
        <f>IF(AND(A821='Поиск параметров'!$D$4,ISNUMBER(SEARCH('Поиск параметров'!$D$6,B821))),1,0)</f>
        <v>0</v>
      </c>
      <c r="F821">
        <f>IF(E821=1,SUM($E$2:E821),"")</f>
        <v/>
      </c>
    </row>
    <row r="822" spans="1:6">
      <c r="A822" t="s">
        <v>6339</v>
      </c>
      <c r="B822" t="s">
        <v>3863</v>
      </c>
      <c r="C822" t="s">
        <v>6090</v>
      </c>
      <c r="D822">
        <v>0</v>
      </c>
      <c r="E822">
        <f>IF(AND(A822='Поиск параметров'!$D$4,ISNUMBER(SEARCH('Поиск параметров'!$D$6,B822))),1,0)</f>
        <v>0</v>
      </c>
      <c r="F822">
        <f>IF(E822=1,SUM($E$2:E822),"")</f>
        <v/>
      </c>
    </row>
    <row r="823" spans="1:6">
      <c r="A823" t="s">
        <v>6339</v>
      </c>
      <c r="B823" t="s">
        <v>3864</v>
      </c>
      <c r="C823" t="s">
        <v>6091</v>
      </c>
      <c r="D823">
        <v>0</v>
      </c>
      <c r="E823">
        <f>IF(AND(A823='Поиск параметров'!$D$4,ISNUMBER(SEARCH('Поиск параметров'!$D$6,B823))),1,0)</f>
        <v>0</v>
      </c>
      <c r="F823">
        <f>IF(E823=1,SUM($E$2:E823),"")</f>
        <v/>
      </c>
    </row>
    <row r="824" spans="1:6">
      <c r="A824" t="s">
        <v>6339</v>
      </c>
      <c r="B824" t="s">
        <v>3865</v>
      </c>
      <c r="C824" t="s">
        <v>6092</v>
      </c>
      <c r="D824">
        <v>0</v>
      </c>
      <c r="E824">
        <f>IF(AND(A824='Поиск параметров'!$D$4,ISNUMBER(SEARCH('Поиск параметров'!$D$6,B824))),1,0)</f>
        <v>0</v>
      </c>
      <c r="F824">
        <f>IF(E824=1,SUM($E$2:E824),"")</f>
        <v/>
      </c>
    </row>
    <row r="825" spans="1:6">
      <c r="A825" t="s">
        <v>6339</v>
      </c>
      <c r="B825" t="s">
        <v>3866</v>
      </c>
      <c r="C825" t="s">
        <v>6093</v>
      </c>
      <c r="D825">
        <v>0</v>
      </c>
      <c r="E825">
        <f>IF(AND(A825='Поиск параметров'!$D$4,ISNUMBER(SEARCH('Поиск параметров'!$D$6,B825))),1,0)</f>
        <v>0</v>
      </c>
      <c r="F825">
        <f>IF(E825=1,SUM($E$2:E825),"")</f>
        <v/>
      </c>
    </row>
    <row r="826" spans="1:6">
      <c r="A826" t="s">
        <v>6339</v>
      </c>
      <c r="B826" t="s">
        <v>3867</v>
      </c>
      <c r="C826" t="s">
        <v>6094</v>
      </c>
      <c r="D826">
        <v>0</v>
      </c>
      <c r="E826">
        <f>IF(AND(A826='Поиск параметров'!$D$4,ISNUMBER(SEARCH('Поиск параметров'!$D$6,B826))),1,0)</f>
        <v>0</v>
      </c>
      <c r="F826">
        <f>IF(E826=1,SUM($E$2:E826),"")</f>
        <v/>
      </c>
    </row>
    <row r="827" spans="1:6">
      <c r="A827" t="s">
        <v>6339</v>
      </c>
      <c r="B827" t="s">
        <v>3868</v>
      </c>
      <c r="C827" t="s">
        <v>6095</v>
      </c>
      <c r="D827">
        <v>0</v>
      </c>
      <c r="E827">
        <f>IF(AND(A827='Поиск параметров'!$D$4,ISNUMBER(SEARCH('Поиск параметров'!$D$6,B827))),1,0)</f>
        <v>0</v>
      </c>
      <c r="F827">
        <f>IF(E827=1,SUM($E$2:E827),"")</f>
        <v/>
      </c>
    </row>
    <row r="828" spans="1:6">
      <c r="A828" t="s">
        <v>6339</v>
      </c>
      <c r="B828" t="s">
        <v>3869</v>
      </c>
      <c r="C828" t="s">
        <v>6096</v>
      </c>
      <c r="D828">
        <v>423</v>
      </c>
      <c r="E828">
        <f>IF(AND(A828='Поиск параметров'!$D$4,ISNUMBER(SEARCH('Поиск параметров'!$D$6,B828))),1,0)</f>
        <v>0</v>
      </c>
      <c r="F828">
        <f>IF(E828=1,SUM($E$2:E828),"")</f>
        <v/>
      </c>
    </row>
    <row r="829" spans="1:6">
      <c r="A829" t="s">
        <v>6339</v>
      </c>
      <c r="B829" t="s">
        <v>3870</v>
      </c>
      <c r="C829" t="s">
        <v>6097</v>
      </c>
      <c r="D829">
        <v>424</v>
      </c>
      <c r="E829">
        <f>IF(AND(A829='Поиск параметров'!$D$4,ISNUMBER(SEARCH('Поиск параметров'!$D$6,B829))),1,0)</f>
        <v>0</v>
      </c>
      <c r="F829">
        <f>IF(E829=1,SUM($E$2:E829),"")</f>
        <v/>
      </c>
    </row>
    <row r="830" spans="1:6">
      <c r="A830" t="s">
        <v>6339</v>
      </c>
      <c r="B830" t="s">
        <v>3871</v>
      </c>
      <c r="C830" t="s">
        <v>6098</v>
      </c>
      <c r="D830">
        <v>0</v>
      </c>
      <c r="E830">
        <f>IF(AND(A830='Поиск параметров'!$D$4,ISNUMBER(SEARCH('Поиск параметров'!$D$6,B830))),1,0)</f>
        <v>0</v>
      </c>
      <c r="F830">
        <f>IF(E830=1,SUM($E$2:E830),"")</f>
        <v/>
      </c>
    </row>
    <row r="831" spans="1:6">
      <c r="A831" t="s">
        <v>6339</v>
      </c>
      <c r="B831" t="s">
        <v>3872</v>
      </c>
      <c r="C831" t="s">
        <v>6099</v>
      </c>
      <c r="D831">
        <v>0</v>
      </c>
      <c r="E831">
        <f>IF(AND(A831='Поиск параметров'!$D$4,ISNUMBER(SEARCH('Поиск параметров'!$D$6,B831))),1,0)</f>
        <v>0</v>
      </c>
      <c r="F831">
        <f>IF(E831=1,SUM($E$2:E831),"")</f>
        <v/>
      </c>
    </row>
    <row r="832" spans="1:6">
      <c r="A832" t="s">
        <v>6339</v>
      </c>
      <c r="B832" t="s">
        <v>3873</v>
      </c>
      <c r="C832" t="s">
        <v>6100</v>
      </c>
      <c r="D832">
        <v>0</v>
      </c>
      <c r="E832">
        <f>IF(AND(A832='Поиск параметров'!$D$4,ISNUMBER(SEARCH('Поиск параметров'!$D$6,B832))),1,0)</f>
        <v>0</v>
      </c>
      <c r="F832">
        <f>IF(E832=1,SUM($E$2:E832),"")</f>
        <v/>
      </c>
    </row>
    <row r="833" spans="1:6">
      <c r="A833" t="s">
        <v>6339</v>
      </c>
      <c r="B833" t="s">
        <v>3874</v>
      </c>
      <c r="C833" t="s">
        <v>6101</v>
      </c>
      <c r="D833">
        <v>0</v>
      </c>
      <c r="E833">
        <f>IF(AND(A833='Поиск параметров'!$D$4,ISNUMBER(SEARCH('Поиск параметров'!$D$6,B833))),1,0)</f>
        <v>0</v>
      </c>
      <c r="F833">
        <f>IF(E833=1,SUM($E$2:E833),"")</f>
        <v/>
      </c>
    </row>
    <row r="834" spans="1:6">
      <c r="A834" t="s">
        <v>6339</v>
      </c>
      <c r="B834" t="s">
        <v>3875</v>
      </c>
      <c r="C834" t="s">
        <v>6102</v>
      </c>
      <c r="D834">
        <v>0</v>
      </c>
      <c r="E834">
        <f>IF(AND(A834='Поиск параметров'!$D$4,ISNUMBER(SEARCH('Поиск параметров'!$D$6,B834))),1,0)</f>
        <v>0</v>
      </c>
      <c r="F834">
        <f>IF(E834=1,SUM($E$2:E834),"")</f>
        <v/>
      </c>
    </row>
    <row r="835" spans="1:6">
      <c r="A835" t="s">
        <v>6339</v>
      </c>
      <c r="B835" t="s">
        <v>3876</v>
      </c>
      <c r="C835" t="s">
        <v>6103</v>
      </c>
      <c r="D835">
        <v>425</v>
      </c>
      <c r="E835">
        <f>IF(AND(A835='Поиск параметров'!$D$4,ISNUMBER(SEARCH('Поиск параметров'!$D$6,B835))),1,0)</f>
        <v>0</v>
      </c>
      <c r="F835">
        <f>IF(E835=1,SUM($E$2:E835),"")</f>
        <v/>
      </c>
    </row>
    <row r="836" spans="1:6">
      <c r="A836" t="s">
        <v>6339</v>
      </c>
      <c r="B836" t="s">
        <v>3877</v>
      </c>
      <c r="C836" t="s">
        <v>6104</v>
      </c>
      <c r="D836">
        <v>426</v>
      </c>
      <c r="E836">
        <f>IF(AND(A836='Поиск параметров'!$D$4,ISNUMBER(SEARCH('Поиск параметров'!$D$6,B836))),1,0)</f>
        <v>0</v>
      </c>
      <c r="F836">
        <f>IF(E836=1,SUM($E$2:E836),"")</f>
        <v/>
      </c>
    </row>
    <row r="837" spans="1:6">
      <c r="A837" t="s">
        <v>6339</v>
      </c>
      <c r="B837" t="s">
        <v>3878</v>
      </c>
      <c r="C837" t="s">
        <v>6105</v>
      </c>
      <c r="D837">
        <v>427</v>
      </c>
      <c r="E837">
        <f>IF(AND(A837='Поиск параметров'!$D$4,ISNUMBER(SEARCH('Поиск параметров'!$D$6,B837))),1,0)</f>
        <v>0</v>
      </c>
      <c r="F837">
        <f>IF(E837=1,SUM($E$2:E837),"")</f>
        <v/>
      </c>
    </row>
    <row r="838" spans="1:6">
      <c r="A838" t="s">
        <v>6339</v>
      </c>
      <c r="B838" t="s">
        <v>3879</v>
      </c>
      <c r="C838" t="s">
        <v>6106</v>
      </c>
      <c r="D838">
        <v>428</v>
      </c>
      <c r="E838">
        <f>IF(AND(A838='Поиск параметров'!$D$4,ISNUMBER(SEARCH('Поиск параметров'!$D$6,B838))),1,0)</f>
        <v>0</v>
      </c>
      <c r="F838">
        <f>IF(E838=1,SUM($E$2:E838),"")</f>
        <v/>
      </c>
    </row>
    <row r="839" spans="1:6">
      <c r="A839" t="s">
        <v>6339</v>
      </c>
      <c r="B839" t="s">
        <v>3880</v>
      </c>
      <c r="C839" t="s">
        <v>6107</v>
      </c>
      <c r="D839">
        <v>429</v>
      </c>
      <c r="E839">
        <f>IF(AND(A839='Поиск параметров'!$D$4,ISNUMBER(SEARCH('Поиск параметров'!$D$6,B839))),1,0)</f>
        <v>0</v>
      </c>
      <c r="F839">
        <f>IF(E839=1,SUM($E$2:E839),"")</f>
        <v/>
      </c>
    </row>
    <row r="840" spans="1:6">
      <c r="A840" t="s">
        <v>6339</v>
      </c>
      <c r="B840" t="s">
        <v>3881</v>
      </c>
      <c r="C840" t="s">
        <v>6108</v>
      </c>
      <c r="D840">
        <v>430</v>
      </c>
      <c r="E840">
        <f>IF(AND(A840='Поиск параметров'!$D$4,ISNUMBER(SEARCH('Поиск параметров'!$D$6,B840))),1,0)</f>
        <v>0</v>
      </c>
      <c r="F840">
        <f>IF(E840=1,SUM($E$2:E840),"")</f>
        <v/>
      </c>
    </row>
    <row r="841" spans="1:6">
      <c r="A841" t="s">
        <v>6339</v>
      </c>
      <c r="B841" t="s">
        <v>3882</v>
      </c>
      <c r="C841" t="s">
        <v>6109</v>
      </c>
      <c r="D841">
        <v>431</v>
      </c>
      <c r="E841">
        <f>IF(AND(A841='Поиск параметров'!$D$4,ISNUMBER(SEARCH('Поиск параметров'!$D$6,B841))),1,0)</f>
        <v>0</v>
      </c>
      <c r="F841">
        <f>IF(E841=1,SUM($E$2:E841),"")</f>
        <v/>
      </c>
    </row>
    <row r="842" spans="1:6">
      <c r="A842" t="s">
        <v>6339</v>
      </c>
      <c r="B842" t="s">
        <v>3883</v>
      </c>
      <c r="C842" t="s">
        <v>6110</v>
      </c>
      <c r="D842">
        <v>432</v>
      </c>
      <c r="E842">
        <f>IF(AND(A842='Поиск параметров'!$D$4,ISNUMBER(SEARCH('Поиск параметров'!$D$6,B842))),1,0)</f>
        <v>0</v>
      </c>
      <c r="F842">
        <f>IF(E842=1,SUM($E$2:E842),"")</f>
        <v/>
      </c>
    </row>
    <row r="843" spans="1:6">
      <c r="A843" t="s">
        <v>6339</v>
      </c>
      <c r="B843" t="s">
        <v>3884</v>
      </c>
      <c r="C843" t="s">
        <v>6111</v>
      </c>
      <c r="D843">
        <v>433</v>
      </c>
      <c r="E843">
        <f>IF(AND(A843='Поиск параметров'!$D$4,ISNUMBER(SEARCH('Поиск параметров'!$D$6,B843))),1,0)</f>
        <v>0</v>
      </c>
      <c r="F843">
        <f>IF(E843=1,SUM($E$2:E843),"")</f>
        <v/>
      </c>
    </row>
    <row r="844" spans="1:6">
      <c r="A844" t="s">
        <v>6339</v>
      </c>
      <c r="B844" t="s">
        <v>3885</v>
      </c>
      <c r="C844" t="s">
        <v>6112</v>
      </c>
      <c r="D844">
        <v>434</v>
      </c>
      <c r="E844">
        <f>IF(AND(A844='Поиск параметров'!$D$4,ISNUMBER(SEARCH('Поиск параметров'!$D$6,B844))),1,0)</f>
        <v>0</v>
      </c>
      <c r="F844">
        <f>IF(E844=1,SUM($E$2:E844),"")</f>
        <v/>
      </c>
    </row>
    <row r="845" spans="1:6">
      <c r="A845" t="s">
        <v>6339</v>
      </c>
      <c r="B845" t="s">
        <v>3886</v>
      </c>
      <c r="C845" t="s">
        <v>6113</v>
      </c>
      <c r="D845">
        <v>435</v>
      </c>
      <c r="E845">
        <f>IF(AND(A845='Поиск параметров'!$D$4,ISNUMBER(SEARCH('Поиск параметров'!$D$6,B845))),1,0)</f>
        <v>0</v>
      </c>
      <c r="F845">
        <f>IF(E845=1,SUM($E$2:E845),"")</f>
        <v/>
      </c>
    </row>
    <row r="846" spans="1:6">
      <c r="A846" t="s">
        <v>6339</v>
      </c>
      <c r="B846" t="s">
        <v>3887</v>
      </c>
      <c r="C846" t="s">
        <v>6114</v>
      </c>
      <c r="D846">
        <v>436</v>
      </c>
      <c r="E846">
        <f>IF(AND(A846='Поиск параметров'!$D$4,ISNUMBER(SEARCH('Поиск параметров'!$D$6,B846))),1,0)</f>
        <v>0</v>
      </c>
      <c r="F846">
        <f>IF(E846=1,SUM($E$2:E846),"")</f>
        <v/>
      </c>
    </row>
    <row r="847" spans="1:6">
      <c r="A847" t="s">
        <v>6339</v>
      </c>
      <c r="B847" t="s">
        <v>3888</v>
      </c>
      <c r="C847" t="s">
        <v>6115</v>
      </c>
      <c r="D847">
        <v>437</v>
      </c>
      <c r="E847">
        <f>IF(AND(A847='Поиск параметров'!$D$4,ISNUMBER(SEARCH('Поиск параметров'!$D$6,B847))),1,0)</f>
        <v>0</v>
      </c>
      <c r="F847">
        <f>IF(E847=1,SUM($E$2:E847),"")</f>
        <v/>
      </c>
    </row>
    <row r="848" spans="1:6">
      <c r="A848" t="s">
        <v>6339</v>
      </c>
      <c r="B848" t="s">
        <v>3889</v>
      </c>
      <c r="C848" t="s">
        <v>6116</v>
      </c>
      <c r="D848">
        <v>438</v>
      </c>
      <c r="E848">
        <f>IF(AND(A848='Поиск параметров'!$D$4,ISNUMBER(SEARCH('Поиск параметров'!$D$6,B848))),1,0)</f>
        <v>0</v>
      </c>
      <c r="F848">
        <f>IF(E848=1,SUM($E$2:E848),"")</f>
        <v/>
      </c>
    </row>
    <row r="849" spans="1:6">
      <c r="A849" t="s">
        <v>6339</v>
      </c>
      <c r="B849" t="s">
        <v>3890</v>
      </c>
      <c r="C849" t="s">
        <v>6117</v>
      </c>
      <c r="D849">
        <v>439</v>
      </c>
      <c r="E849">
        <f>IF(AND(A849='Поиск параметров'!$D$4,ISNUMBER(SEARCH('Поиск параметров'!$D$6,B849))),1,0)</f>
        <v>0</v>
      </c>
      <c r="F849">
        <f>IF(E849=1,SUM($E$2:E849),"")</f>
        <v/>
      </c>
    </row>
    <row r="850" spans="1:6">
      <c r="A850" t="s">
        <v>6339</v>
      </c>
      <c r="B850" t="s">
        <v>3891</v>
      </c>
      <c r="C850" t="s">
        <v>6118</v>
      </c>
      <c r="D850">
        <v>440</v>
      </c>
      <c r="E850">
        <f>IF(AND(A850='Поиск параметров'!$D$4,ISNUMBER(SEARCH('Поиск параметров'!$D$6,B850))),1,0)</f>
        <v>0</v>
      </c>
      <c r="F850">
        <f>IF(E850=1,SUM($E$2:E850),"")</f>
        <v/>
      </c>
    </row>
    <row r="851" spans="1:6">
      <c r="A851" t="s">
        <v>6339</v>
      </c>
      <c r="B851" t="s">
        <v>3892</v>
      </c>
      <c r="C851" t="s">
        <v>6119</v>
      </c>
      <c r="D851">
        <v>441</v>
      </c>
      <c r="E851">
        <f>IF(AND(A851='Поиск параметров'!$D$4,ISNUMBER(SEARCH('Поиск параметров'!$D$6,B851))),1,0)</f>
        <v>0</v>
      </c>
      <c r="F851">
        <f>IF(E851=1,SUM($E$2:E851),"")</f>
        <v/>
      </c>
    </row>
    <row r="852" spans="1:6">
      <c r="A852" t="s">
        <v>6339</v>
      </c>
      <c r="B852" t="s">
        <v>3893</v>
      </c>
      <c r="C852" t="s">
        <v>6120</v>
      </c>
      <c r="D852">
        <v>442</v>
      </c>
      <c r="E852">
        <f>IF(AND(A852='Поиск параметров'!$D$4,ISNUMBER(SEARCH('Поиск параметров'!$D$6,B852))),1,0)</f>
        <v>0</v>
      </c>
      <c r="F852">
        <f>IF(E852=1,SUM($E$2:E852),"")</f>
        <v/>
      </c>
    </row>
    <row r="853" spans="1:6">
      <c r="A853" t="s">
        <v>6339</v>
      </c>
      <c r="B853" t="s">
        <v>3894</v>
      </c>
      <c r="C853" t="s">
        <v>6121</v>
      </c>
      <c r="D853">
        <v>443</v>
      </c>
      <c r="E853">
        <f>IF(AND(A853='Поиск параметров'!$D$4,ISNUMBER(SEARCH('Поиск параметров'!$D$6,B853))),1,0)</f>
        <v>0</v>
      </c>
      <c r="F853">
        <f>IF(E853=1,SUM($E$2:E853),"")</f>
        <v/>
      </c>
    </row>
    <row r="854" spans="1:6">
      <c r="A854" t="s">
        <v>6339</v>
      </c>
      <c r="B854" t="s">
        <v>3895</v>
      </c>
      <c r="C854" t="s">
        <v>6122</v>
      </c>
      <c r="D854">
        <v>444</v>
      </c>
      <c r="E854">
        <f>IF(AND(A854='Поиск параметров'!$D$4,ISNUMBER(SEARCH('Поиск параметров'!$D$6,B854))),1,0)</f>
        <v>0</v>
      </c>
      <c r="F854">
        <f>IF(E854=1,SUM($E$2:E854),"")</f>
        <v/>
      </c>
    </row>
    <row r="855" spans="1:6">
      <c r="A855" t="s">
        <v>6339</v>
      </c>
      <c r="B855" t="s">
        <v>3896</v>
      </c>
      <c r="C855" t="s">
        <v>6123</v>
      </c>
      <c r="D855">
        <v>445</v>
      </c>
      <c r="E855">
        <f>IF(AND(A855='Поиск параметров'!$D$4,ISNUMBER(SEARCH('Поиск параметров'!$D$6,B855))),1,0)</f>
        <v>0</v>
      </c>
      <c r="F855">
        <f>IF(E855=1,SUM($E$2:E855),"")</f>
        <v/>
      </c>
    </row>
    <row r="856" spans="1:6">
      <c r="A856" t="s">
        <v>6339</v>
      </c>
      <c r="B856" t="s">
        <v>3897</v>
      </c>
      <c r="C856" t="s">
        <v>6124</v>
      </c>
      <c r="D856">
        <v>446</v>
      </c>
      <c r="E856">
        <f>IF(AND(A856='Поиск параметров'!$D$4,ISNUMBER(SEARCH('Поиск параметров'!$D$6,B856))),1,0)</f>
        <v>0</v>
      </c>
      <c r="F856">
        <f>IF(E856=1,SUM($E$2:E856),"")</f>
        <v/>
      </c>
    </row>
    <row r="857" spans="1:6">
      <c r="A857" t="s">
        <v>6339</v>
      </c>
      <c r="B857" t="s">
        <v>3898</v>
      </c>
      <c r="C857" t="s">
        <v>6125</v>
      </c>
      <c r="D857">
        <v>0</v>
      </c>
      <c r="E857">
        <f>IF(AND(A857='Поиск параметров'!$D$4,ISNUMBER(SEARCH('Поиск параметров'!$D$6,B857))),1,0)</f>
        <v>0</v>
      </c>
      <c r="F857">
        <f>IF(E857=1,SUM($E$2:E857),"")</f>
        <v/>
      </c>
    </row>
    <row r="858" spans="1:6">
      <c r="A858" t="s">
        <v>6339</v>
      </c>
      <c r="B858" t="s">
        <v>3899</v>
      </c>
      <c r="C858" t="s">
        <v>6126</v>
      </c>
      <c r="D858">
        <v>447</v>
      </c>
      <c r="E858">
        <f>IF(AND(A858='Поиск параметров'!$D$4,ISNUMBER(SEARCH('Поиск параметров'!$D$6,B858))),1,0)</f>
        <v>0</v>
      </c>
      <c r="F858">
        <f>IF(E858=1,SUM($E$2:E858),"")</f>
        <v/>
      </c>
    </row>
    <row r="859" spans="1:6">
      <c r="A859" t="s">
        <v>6339</v>
      </c>
      <c r="B859" t="s">
        <v>3900</v>
      </c>
      <c r="C859" t="s">
        <v>6127</v>
      </c>
      <c r="D859">
        <v>448</v>
      </c>
      <c r="E859">
        <f>IF(AND(A859='Поиск параметров'!$D$4,ISNUMBER(SEARCH('Поиск параметров'!$D$6,B859))),1,0)</f>
        <v>0</v>
      </c>
      <c r="F859">
        <f>IF(E859=1,SUM($E$2:E859),"")</f>
        <v/>
      </c>
    </row>
    <row r="860" spans="1:6">
      <c r="A860" t="s">
        <v>6339</v>
      </c>
      <c r="B860" t="s">
        <v>3901</v>
      </c>
      <c r="C860" t="s">
        <v>6128</v>
      </c>
      <c r="D860">
        <v>449</v>
      </c>
      <c r="E860">
        <f>IF(AND(A860='Поиск параметров'!$D$4,ISNUMBER(SEARCH('Поиск параметров'!$D$6,B860))),1,0)</f>
        <v>0</v>
      </c>
      <c r="F860">
        <f>IF(E860=1,SUM($E$2:E860),"")</f>
        <v/>
      </c>
    </row>
    <row r="861" spans="1:6">
      <c r="A861" t="s">
        <v>6339</v>
      </c>
      <c r="B861" t="s">
        <v>3902</v>
      </c>
      <c r="C861" t="s">
        <v>6129</v>
      </c>
      <c r="D861">
        <v>450</v>
      </c>
      <c r="E861">
        <f>IF(AND(A861='Поиск параметров'!$D$4,ISNUMBER(SEARCH('Поиск параметров'!$D$6,B861))),1,0)</f>
        <v>0</v>
      </c>
      <c r="F861">
        <f>IF(E861=1,SUM($E$2:E861),"")</f>
        <v/>
      </c>
    </row>
    <row r="862" spans="1:6">
      <c r="A862" t="s">
        <v>6339</v>
      </c>
      <c r="B862" t="s">
        <v>3903</v>
      </c>
      <c r="C862" t="s">
        <v>6130</v>
      </c>
      <c r="D862">
        <v>451</v>
      </c>
      <c r="E862">
        <f>IF(AND(A862='Поиск параметров'!$D$4,ISNUMBER(SEARCH('Поиск параметров'!$D$6,B862))),1,0)</f>
        <v>0</v>
      </c>
      <c r="F862">
        <f>IF(E862=1,SUM($E$2:E862),"")</f>
        <v/>
      </c>
    </row>
    <row r="863" spans="1:6">
      <c r="A863" t="s">
        <v>6339</v>
      </c>
      <c r="B863" t="s">
        <v>3904</v>
      </c>
      <c r="C863" t="s">
        <v>6131</v>
      </c>
      <c r="D863">
        <v>452</v>
      </c>
      <c r="E863">
        <f>IF(AND(A863='Поиск параметров'!$D$4,ISNUMBER(SEARCH('Поиск параметров'!$D$6,B863))),1,0)</f>
        <v>0</v>
      </c>
      <c r="F863">
        <f>IF(E863=1,SUM($E$2:E863),"")</f>
        <v/>
      </c>
    </row>
    <row r="864" spans="1:6">
      <c r="A864" t="s">
        <v>6339</v>
      </c>
      <c r="B864" t="s">
        <v>3905</v>
      </c>
      <c r="C864" t="s">
        <v>6132</v>
      </c>
      <c r="D864">
        <v>453</v>
      </c>
      <c r="E864">
        <f>IF(AND(A864='Поиск параметров'!$D$4,ISNUMBER(SEARCH('Поиск параметров'!$D$6,B864))),1,0)</f>
        <v>0</v>
      </c>
      <c r="F864">
        <f>IF(E864=1,SUM($E$2:E864),"")</f>
        <v/>
      </c>
    </row>
    <row r="865" spans="1:6">
      <c r="A865" t="s">
        <v>6339</v>
      </c>
      <c r="B865" t="s">
        <v>3906</v>
      </c>
      <c r="C865" t="s">
        <v>6133</v>
      </c>
      <c r="D865">
        <v>454</v>
      </c>
      <c r="E865">
        <f>IF(AND(A865='Поиск параметров'!$D$4,ISNUMBER(SEARCH('Поиск параметров'!$D$6,B865))),1,0)</f>
        <v>0</v>
      </c>
      <c r="F865">
        <f>IF(E865=1,SUM($E$2:E865),"")</f>
        <v/>
      </c>
    </row>
    <row r="866" spans="1:6">
      <c r="A866" t="s">
        <v>6339</v>
      </c>
      <c r="B866" t="s">
        <v>3907</v>
      </c>
      <c r="C866" t="s">
        <v>6134</v>
      </c>
      <c r="D866">
        <v>0</v>
      </c>
      <c r="E866">
        <f>IF(AND(A866='Поиск параметров'!$D$4,ISNUMBER(SEARCH('Поиск параметров'!$D$6,B866))),1,0)</f>
        <v>0</v>
      </c>
      <c r="F866">
        <f>IF(E866=1,SUM($E$2:E866),"")</f>
        <v/>
      </c>
    </row>
    <row r="867" spans="1:6">
      <c r="A867" t="s">
        <v>6339</v>
      </c>
      <c r="B867" t="s">
        <v>3908</v>
      </c>
      <c r="C867" t="s">
        <v>6135</v>
      </c>
      <c r="D867">
        <v>0</v>
      </c>
      <c r="E867">
        <f>IF(AND(A867='Поиск параметров'!$D$4,ISNUMBER(SEARCH('Поиск параметров'!$D$6,B867))),1,0)</f>
        <v>0</v>
      </c>
      <c r="F867">
        <f>IF(E867=1,SUM($E$2:E867),"")</f>
        <v/>
      </c>
    </row>
    <row r="868" spans="1:6">
      <c r="A868" t="s">
        <v>6339</v>
      </c>
      <c r="B868" t="s">
        <v>3909</v>
      </c>
      <c r="C868" t="s">
        <v>6136</v>
      </c>
      <c r="D868">
        <v>0</v>
      </c>
      <c r="E868">
        <f>IF(AND(A868='Поиск параметров'!$D$4,ISNUMBER(SEARCH('Поиск параметров'!$D$6,B868))),1,0)</f>
        <v>0</v>
      </c>
      <c r="F868">
        <f>IF(E868=1,SUM($E$2:E868),"")</f>
        <v/>
      </c>
    </row>
    <row r="869" spans="1:6">
      <c r="A869" t="s">
        <v>6339</v>
      </c>
      <c r="B869" t="s">
        <v>3910</v>
      </c>
      <c r="C869" t="s">
        <v>6137</v>
      </c>
      <c r="D869">
        <v>0</v>
      </c>
      <c r="E869">
        <f>IF(AND(A869='Поиск параметров'!$D$4,ISNUMBER(SEARCH('Поиск параметров'!$D$6,B869))),1,0)</f>
        <v>0</v>
      </c>
      <c r="F869">
        <f>IF(E869=1,SUM($E$2:E869),"")</f>
        <v/>
      </c>
    </row>
    <row r="870" spans="1:6">
      <c r="A870" t="s">
        <v>6339</v>
      </c>
      <c r="B870" t="s">
        <v>3911</v>
      </c>
      <c r="C870" t="s">
        <v>6138</v>
      </c>
      <c r="D870">
        <v>0</v>
      </c>
      <c r="E870">
        <f>IF(AND(A870='Поиск параметров'!$D$4,ISNUMBER(SEARCH('Поиск параметров'!$D$6,B870))),1,0)</f>
        <v>0</v>
      </c>
      <c r="F870">
        <f>IF(E870=1,SUM($E$2:E870),"")</f>
        <v/>
      </c>
    </row>
    <row r="871" spans="1:6">
      <c r="A871" t="s">
        <v>6339</v>
      </c>
      <c r="B871" t="s">
        <v>3912</v>
      </c>
      <c r="C871" t="s">
        <v>6139</v>
      </c>
      <c r="D871">
        <v>455</v>
      </c>
      <c r="E871">
        <f>IF(AND(A871='Поиск параметров'!$D$4,ISNUMBER(SEARCH('Поиск параметров'!$D$6,B871))),1,0)</f>
        <v>0</v>
      </c>
      <c r="F871">
        <f>IF(E871=1,SUM($E$2:E871),"")</f>
        <v/>
      </c>
    </row>
    <row r="872" spans="1:6">
      <c r="A872" t="s">
        <v>6339</v>
      </c>
      <c r="B872" t="s">
        <v>3913</v>
      </c>
      <c r="C872" t="s">
        <v>6140</v>
      </c>
      <c r="D872">
        <v>456</v>
      </c>
      <c r="E872">
        <f>IF(AND(A872='Поиск параметров'!$D$4,ISNUMBER(SEARCH('Поиск параметров'!$D$6,B872))),1,0)</f>
        <v>0</v>
      </c>
      <c r="F872">
        <f>IF(E872=1,SUM($E$2:E872),"")</f>
        <v/>
      </c>
    </row>
    <row r="873" spans="1:6">
      <c r="A873" t="s">
        <v>6339</v>
      </c>
      <c r="B873" t="s">
        <v>3914</v>
      </c>
      <c r="C873" t="s">
        <v>6141</v>
      </c>
      <c r="D873">
        <v>457</v>
      </c>
      <c r="E873">
        <f>IF(AND(A873='Поиск параметров'!$D$4,ISNUMBER(SEARCH('Поиск параметров'!$D$6,B873))),1,0)</f>
        <v>0</v>
      </c>
      <c r="F873">
        <f>IF(E873=1,SUM($E$2:E873),"")</f>
        <v/>
      </c>
    </row>
    <row r="874" spans="1:6">
      <c r="A874" t="s">
        <v>6339</v>
      </c>
      <c r="B874" t="s">
        <v>3915</v>
      </c>
      <c r="C874" t="s">
        <v>6142</v>
      </c>
      <c r="D874">
        <v>458</v>
      </c>
      <c r="E874">
        <f>IF(AND(A874='Поиск параметров'!$D$4,ISNUMBER(SEARCH('Поиск параметров'!$D$6,B874))),1,0)</f>
        <v>0</v>
      </c>
      <c r="F874">
        <f>IF(E874=1,SUM($E$2:E874),"")</f>
        <v/>
      </c>
    </row>
    <row r="875" spans="1:6">
      <c r="A875" t="s">
        <v>6339</v>
      </c>
      <c r="B875" t="s">
        <v>3916</v>
      </c>
      <c r="C875" t="s">
        <v>6143</v>
      </c>
      <c r="D875">
        <v>0</v>
      </c>
      <c r="E875">
        <f>IF(AND(A875='Поиск параметров'!$D$4,ISNUMBER(SEARCH('Поиск параметров'!$D$6,B875))),1,0)</f>
        <v>0</v>
      </c>
      <c r="F875">
        <f>IF(E875=1,SUM($E$2:E875),"")</f>
        <v/>
      </c>
    </row>
    <row r="876" spans="1:6">
      <c r="A876" t="s">
        <v>6339</v>
      </c>
      <c r="B876" t="s">
        <v>3917</v>
      </c>
      <c r="C876" t="s">
        <v>6144</v>
      </c>
      <c r="D876">
        <v>459</v>
      </c>
      <c r="E876">
        <f>IF(AND(A876='Поиск параметров'!$D$4,ISNUMBER(SEARCH('Поиск параметров'!$D$6,B876))),1,0)</f>
        <v>0</v>
      </c>
      <c r="F876">
        <f>IF(E876=1,SUM($E$2:E876),"")</f>
        <v/>
      </c>
    </row>
    <row r="877" spans="1:6">
      <c r="A877" t="s">
        <v>6339</v>
      </c>
      <c r="B877" t="s">
        <v>3918</v>
      </c>
      <c r="C877" t="s">
        <v>6145</v>
      </c>
      <c r="D877">
        <v>0</v>
      </c>
      <c r="E877">
        <f>IF(AND(A877='Поиск параметров'!$D$4,ISNUMBER(SEARCH('Поиск параметров'!$D$6,B877))),1,0)</f>
        <v>0</v>
      </c>
      <c r="F877">
        <f>IF(E877=1,SUM($E$2:E877),"")</f>
        <v/>
      </c>
    </row>
    <row r="878" spans="1:6">
      <c r="A878" t="s">
        <v>6339</v>
      </c>
      <c r="B878" t="s">
        <v>3919</v>
      </c>
      <c r="C878" t="s">
        <v>6146</v>
      </c>
      <c r="D878">
        <v>0</v>
      </c>
      <c r="E878">
        <f>IF(AND(A878='Поиск параметров'!$D$4,ISNUMBER(SEARCH('Поиск параметров'!$D$6,B878))),1,0)</f>
        <v>0</v>
      </c>
      <c r="F878">
        <f>IF(E878=1,SUM($E$2:E878),"")</f>
        <v/>
      </c>
    </row>
    <row r="879" spans="1:6">
      <c r="A879" t="s">
        <v>6339</v>
      </c>
      <c r="B879" t="s">
        <v>3920</v>
      </c>
      <c r="C879" t="s">
        <v>6147</v>
      </c>
      <c r="D879">
        <v>0</v>
      </c>
      <c r="E879">
        <f>IF(AND(A879='Поиск параметров'!$D$4,ISNUMBER(SEARCH('Поиск параметров'!$D$6,B879))),1,0)</f>
        <v>0</v>
      </c>
      <c r="F879">
        <f>IF(E879=1,SUM($E$2:E879),"")</f>
        <v/>
      </c>
    </row>
    <row r="880" spans="1:6">
      <c r="A880" t="s">
        <v>6339</v>
      </c>
      <c r="B880" t="s">
        <v>3921</v>
      </c>
      <c r="C880" t="s">
        <v>6148</v>
      </c>
      <c r="D880">
        <v>0</v>
      </c>
      <c r="E880">
        <f>IF(AND(A880='Поиск параметров'!$D$4,ISNUMBER(SEARCH('Поиск параметров'!$D$6,B880))),1,0)</f>
        <v>0</v>
      </c>
      <c r="F880">
        <f>IF(E880=1,SUM($E$2:E880),"")</f>
        <v/>
      </c>
    </row>
    <row r="881" spans="1:6">
      <c r="A881" t="s">
        <v>6339</v>
      </c>
      <c r="B881" t="s">
        <v>3922</v>
      </c>
      <c r="C881" t="s">
        <v>6149</v>
      </c>
      <c r="D881">
        <v>460</v>
      </c>
      <c r="E881">
        <f>IF(AND(A881='Поиск параметров'!$D$4,ISNUMBER(SEARCH('Поиск параметров'!$D$6,B881))),1,0)</f>
        <v>0</v>
      </c>
      <c r="F881">
        <f>IF(E881=1,SUM($E$2:E881),"")</f>
        <v/>
      </c>
    </row>
    <row r="882" spans="1:6">
      <c r="A882" t="s">
        <v>6339</v>
      </c>
      <c r="B882" t="s">
        <v>3923</v>
      </c>
      <c r="C882" t="s">
        <v>6150</v>
      </c>
      <c r="D882">
        <v>461</v>
      </c>
      <c r="E882">
        <f>IF(AND(A882='Поиск параметров'!$D$4,ISNUMBER(SEARCH('Поиск параметров'!$D$6,B882))),1,0)</f>
        <v>0</v>
      </c>
      <c r="F882">
        <f>IF(E882=1,SUM($E$2:E882),"")</f>
        <v/>
      </c>
    </row>
    <row r="883" spans="1:6">
      <c r="A883" t="s">
        <v>6339</v>
      </c>
      <c r="B883" t="s">
        <v>3924</v>
      </c>
      <c r="C883" t="s">
        <v>6151</v>
      </c>
      <c r="D883">
        <v>462</v>
      </c>
      <c r="E883">
        <f>IF(AND(A883='Поиск параметров'!$D$4,ISNUMBER(SEARCH('Поиск параметров'!$D$6,B883))),1,0)</f>
        <v>0</v>
      </c>
      <c r="F883">
        <f>IF(E883=1,SUM($E$2:E883),"")</f>
        <v/>
      </c>
    </row>
    <row r="884" spans="1:6">
      <c r="A884" t="s">
        <v>6339</v>
      </c>
      <c r="B884" t="s">
        <v>3925</v>
      </c>
      <c r="C884" t="s">
        <v>6152</v>
      </c>
      <c r="D884">
        <v>463</v>
      </c>
      <c r="E884">
        <f>IF(AND(A884='Поиск параметров'!$D$4,ISNUMBER(SEARCH('Поиск параметров'!$D$6,B884))),1,0)</f>
        <v>0</v>
      </c>
      <c r="F884">
        <f>IF(E884=1,SUM($E$2:E884),"")</f>
        <v/>
      </c>
    </row>
    <row r="885" spans="1:6">
      <c r="A885" t="s">
        <v>6339</v>
      </c>
      <c r="B885" t="s">
        <v>3926</v>
      </c>
      <c r="C885" t="s">
        <v>6153</v>
      </c>
      <c r="D885">
        <v>464</v>
      </c>
      <c r="E885">
        <f>IF(AND(A885='Поиск параметров'!$D$4,ISNUMBER(SEARCH('Поиск параметров'!$D$6,B885))),1,0)</f>
        <v>0</v>
      </c>
      <c r="F885">
        <f>IF(E885=1,SUM($E$2:E885),"")</f>
        <v/>
      </c>
    </row>
    <row r="886" spans="1:6">
      <c r="A886" t="s">
        <v>6339</v>
      </c>
      <c r="B886" t="s">
        <v>3927</v>
      </c>
      <c r="C886" t="s">
        <v>6154</v>
      </c>
      <c r="D886">
        <v>0</v>
      </c>
      <c r="E886">
        <f>IF(AND(A886='Поиск параметров'!$D$4,ISNUMBER(SEARCH('Поиск параметров'!$D$6,B886))),1,0)</f>
        <v>0</v>
      </c>
      <c r="F886">
        <f>IF(E886=1,SUM($E$2:E886),"")</f>
        <v/>
      </c>
    </row>
    <row r="887" spans="1:6">
      <c r="A887" t="s">
        <v>6339</v>
      </c>
      <c r="B887" t="s">
        <v>3928</v>
      </c>
      <c r="C887" t="s">
        <v>6155</v>
      </c>
      <c r="D887">
        <v>465</v>
      </c>
      <c r="E887">
        <f>IF(AND(A887='Поиск параметров'!$D$4,ISNUMBER(SEARCH('Поиск параметров'!$D$6,B887))),1,0)</f>
        <v>0</v>
      </c>
      <c r="F887">
        <f>IF(E887=1,SUM($E$2:E887),"")</f>
        <v/>
      </c>
    </row>
    <row r="888" spans="1:6">
      <c r="A888" t="s">
        <v>6339</v>
      </c>
      <c r="B888" t="s">
        <v>3929</v>
      </c>
      <c r="C888" t="s">
        <v>6156</v>
      </c>
      <c r="D888">
        <v>0</v>
      </c>
      <c r="E888">
        <f>IF(AND(A888='Поиск параметров'!$D$4,ISNUMBER(SEARCH('Поиск параметров'!$D$6,B888))),1,0)</f>
        <v>0</v>
      </c>
      <c r="F888">
        <f>IF(E888=1,SUM($E$2:E888),"")</f>
        <v/>
      </c>
    </row>
    <row r="889" spans="1:6">
      <c r="A889" t="s">
        <v>6339</v>
      </c>
      <c r="B889" t="s">
        <v>3930</v>
      </c>
      <c r="C889" t="s">
        <v>6157</v>
      </c>
      <c r="D889">
        <v>0</v>
      </c>
      <c r="E889">
        <f>IF(AND(A889='Поиск параметров'!$D$4,ISNUMBER(SEARCH('Поиск параметров'!$D$6,B889))),1,0)</f>
        <v>0</v>
      </c>
      <c r="F889">
        <f>IF(E889=1,SUM($E$2:E889),"")</f>
        <v/>
      </c>
    </row>
    <row r="890" spans="1:6">
      <c r="A890" t="s">
        <v>6339</v>
      </c>
      <c r="B890" t="s">
        <v>3931</v>
      </c>
      <c r="C890" t="s">
        <v>6158</v>
      </c>
      <c r="D890">
        <v>0</v>
      </c>
      <c r="E890">
        <f>IF(AND(A890='Поиск параметров'!$D$4,ISNUMBER(SEARCH('Поиск параметров'!$D$6,B890))),1,0)</f>
        <v>0</v>
      </c>
      <c r="F890">
        <f>IF(E890=1,SUM($E$2:E890),"")</f>
        <v/>
      </c>
    </row>
    <row r="891" spans="1:6">
      <c r="A891" t="s">
        <v>6339</v>
      </c>
      <c r="B891" t="s">
        <v>3932</v>
      </c>
      <c r="C891" t="s">
        <v>6159</v>
      </c>
      <c r="D891">
        <v>466</v>
      </c>
      <c r="E891">
        <f>IF(AND(A891='Поиск параметров'!$D$4,ISNUMBER(SEARCH('Поиск параметров'!$D$6,B891))),1,0)</f>
        <v>0</v>
      </c>
      <c r="F891">
        <f>IF(E891=1,SUM($E$2:E891),"")</f>
        <v/>
      </c>
    </row>
    <row r="892" spans="1:6">
      <c r="A892" t="s">
        <v>6339</v>
      </c>
      <c r="B892" t="s">
        <v>3933</v>
      </c>
      <c r="C892" t="s">
        <v>6160</v>
      </c>
      <c r="D892">
        <v>467</v>
      </c>
      <c r="E892">
        <f>IF(AND(A892='Поиск параметров'!$D$4,ISNUMBER(SEARCH('Поиск параметров'!$D$6,B892))),1,0)</f>
        <v>0</v>
      </c>
      <c r="F892">
        <f>IF(E892=1,SUM($E$2:E892),"")</f>
        <v/>
      </c>
    </row>
    <row r="893" spans="1:6">
      <c r="A893" t="s">
        <v>6339</v>
      </c>
      <c r="B893" t="s">
        <v>3934</v>
      </c>
      <c r="C893" t="s">
        <v>6161</v>
      </c>
      <c r="D893">
        <v>468</v>
      </c>
      <c r="E893">
        <f>IF(AND(A893='Поиск параметров'!$D$4,ISNUMBER(SEARCH('Поиск параметров'!$D$6,B893))),1,0)</f>
        <v>0</v>
      </c>
      <c r="F893">
        <f>IF(E893=1,SUM($E$2:E893),"")</f>
        <v/>
      </c>
    </row>
    <row r="894" spans="1:6">
      <c r="A894" t="s">
        <v>6339</v>
      </c>
      <c r="B894" t="s">
        <v>3935</v>
      </c>
      <c r="C894" t="s">
        <v>6162</v>
      </c>
      <c r="D894">
        <v>469</v>
      </c>
      <c r="E894">
        <f>IF(AND(A894='Поиск параметров'!$D$4,ISNUMBER(SEARCH('Поиск параметров'!$D$6,B894))),1,0)</f>
        <v>0</v>
      </c>
      <c r="F894">
        <f>IF(E894=1,SUM($E$2:E894),"")</f>
        <v/>
      </c>
    </row>
    <row r="895" spans="1:6">
      <c r="A895" t="s">
        <v>6339</v>
      </c>
      <c r="B895" t="s">
        <v>3936</v>
      </c>
      <c r="C895" t="s">
        <v>6163</v>
      </c>
      <c r="D895">
        <v>470</v>
      </c>
      <c r="E895">
        <f>IF(AND(A895='Поиск параметров'!$D$4,ISNUMBER(SEARCH('Поиск параметров'!$D$6,B895))),1,0)</f>
        <v>0</v>
      </c>
      <c r="F895">
        <f>IF(E895=1,SUM($E$2:E895),"")</f>
        <v/>
      </c>
    </row>
    <row r="896" spans="1:6">
      <c r="A896" t="s">
        <v>6339</v>
      </c>
      <c r="B896" t="s">
        <v>3937</v>
      </c>
      <c r="C896" t="s">
        <v>6164</v>
      </c>
      <c r="D896">
        <v>471</v>
      </c>
      <c r="E896">
        <f>IF(AND(A896='Поиск параметров'!$D$4,ISNUMBER(SEARCH('Поиск параметров'!$D$6,B896))),1,0)</f>
        <v>0</v>
      </c>
      <c r="F896">
        <f>IF(E896=1,SUM($E$2:E896),"")</f>
        <v/>
      </c>
    </row>
    <row r="897" spans="1:6">
      <c r="A897" t="s">
        <v>6339</v>
      </c>
      <c r="B897" t="s">
        <v>3938</v>
      </c>
      <c r="C897" t="s">
        <v>6165</v>
      </c>
      <c r="D897">
        <v>472</v>
      </c>
      <c r="E897">
        <f>IF(AND(A897='Поиск параметров'!$D$4,ISNUMBER(SEARCH('Поиск параметров'!$D$6,B897))),1,0)</f>
        <v>0</v>
      </c>
      <c r="F897">
        <f>IF(E897=1,SUM($E$2:E897),"")</f>
        <v/>
      </c>
    </row>
    <row r="898" spans="1:6">
      <c r="A898" t="s">
        <v>6339</v>
      </c>
      <c r="B898" t="s">
        <v>3939</v>
      </c>
      <c r="C898" t="s">
        <v>6166</v>
      </c>
      <c r="D898">
        <v>473</v>
      </c>
      <c r="E898">
        <f>IF(AND(A898='Поиск параметров'!$D$4,ISNUMBER(SEARCH('Поиск параметров'!$D$6,B898))),1,0)</f>
        <v>0</v>
      </c>
      <c r="F898">
        <f>IF(E898=1,SUM($E$2:E898),"")</f>
        <v/>
      </c>
    </row>
    <row r="899" spans="1:6">
      <c r="A899" t="s">
        <v>6339</v>
      </c>
      <c r="B899" t="s">
        <v>3940</v>
      </c>
      <c r="C899" t="s">
        <v>6167</v>
      </c>
      <c r="D899">
        <v>474</v>
      </c>
      <c r="E899">
        <f>IF(AND(A899='Поиск параметров'!$D$4,ISNUMBER(SEARCH('Поиск параметров'!$D$6,B899))),1,0)</f>
        <v>0</v>
      </c>
      <c r="F899">
        <f>IF(E899=1,SUM($E$2:E899),"")</f>
        <v/>
      </c>
    </row>
    <row r="900" spans="1:6">
      <c r="A900" t="s">
        <v>6339</v>
      </c>
      <c r="B900" t="s">
        <v>3941</v>
      </c>
      <c r="C900" t="s">
        <v>6168</v>
      </c>
      <c r="D900">
        <v>475</v>
      </c>
      <c r="E900">
        <f>IF(AND(A900='Поиск параметров'!$D$4,ISNUMBER(SEARCH('Поиск параметров'!$D$6,B900))),1,0)</f>
        <v>0</v>
      </c>
      <c r="F900">
        <f>IF(E900=1,SUM($E$2:E900),"")</f>
        <v/>
      </c>
    </row>
    <row r="901" spans="1:6">
      <c r="A901" t="s">
        <v>6339</v>
      </c>
      <c r="B901" t="s">
        <v>3942</v>
      </c>
      <c r="C901" t="s">
        <v>6169</v>
      </c>
      <c r="D901">
        <v>476</v>
      </c>
      <c r="E901">
        <f>IF(AND(A901='Поиск параметров'!$D$4,ISNUMBER(SEARCH('Поиск параметров'!$D$6,B901))),1,0)</f>
        <v>0</v>
      </c>
      <c r="F901">
        <f>IF(E901=1,SUM($E$2:E901),"")</f>
        <v/>
      </c>
    </row>
    <row r="902" spans="1:6">
      <c r="A902" t="s">
        <v>6339</v>
      </c>
      <c r="B902" t="s">
        <v>3943</v>
      </c>
      <c r="C902" t="s">
        <v>6170</v>
      </c>
      <c r="D902">
        <v>477</v>
      </c>
      <c r="E902">
        <f>IF(AND(A902='Поиск параметров'!$D$4,ISNUMBER(SEARCH('Поиск параметров'!$D$6,B902))),1,0)</f>
        <v>0</v>
      </c>
      <c r="F902">
        <f>IF(E902=1,SUM($E$2:E902),"")</f>
        <v/>
      </c>
    </row>
    <row r="903" spans="1:6">
      <c r="A903" t="s">
        <v>6339</v>
      </c>
      <c r="B903" t="s">
        <v>3944</v>
      </c>
      <c r="C903" t="s">
        <v>6171</v>
      </c>
      <c r="D903">
        <v>478</v>
      </c>
      <c r="E903">
        <f>IF(AND(A903='Поиск параметров'!$D$4,ISNUMBER(SEARCH('Поиск параметров'!$D$6,B903))),1,0)</f>
        <v>0</v>
      </c>
      <c r="F903">
        <f>IF(E903=1,SUM($E$2:E903),"")</f>
        <v/>
      </c>
    </row>
    <row r="904" spans="1:6">
      <c r="A904" t="s">
        <v>6339</v>
      </c>
      <c r="B904" t="s">
        <v>3945</v>
      </c>
      <c r="C904" t="s">
        <v>6172</v>
      </c>
      <c r="D904">
        <v>479</v>
      </c>
      <c r="E904">
        <f>IF(AND(A904='Поиск параметров'!$D$4,ISNUMBER(SEARCH('Поиск параметров'!$D$6,B904))),1,0)</f>
        <v>0</v>
      </c>
      <c r="F904">
        <f>IF(E904=1,SUM($E$2:E904),"")</f>
        <v/>
      </c>
    </row>
    <row r="905" spans="1:6">
      <c r="A905" t="s">
        <v>6339</v>
      </c>
      <c r="B905" t="s">
        <v>3946</v>
      </c>
      <c r="C905" t="s">
        <v>6173</v>
      </c>
      <c r="D905">
        <v>480</v>
      </c>
      <c r="E905">
        <f>IF(AND(A905='Поиск параметров'!$D$4,ISNUMBER(SEARCH('Поиск параметров'!$D$6,B905))),1,0)</f>
        <v>0</v>
      </c>
      <c r="F905">
        <f>IF(E905=1,SUM($E$2:E905),"")</f>
        <v/>
      </c>
    </row>
    <row r="906" spans="1:6">
      <c r="A906" t="s">
        <v>6339</v>
      </c>
      <c r="B906" t="s">
        <v>3947</v>
      </c>
      <c r="C906" t="s">
        <v>6174</v>
      </c>
      <c r="D906">
        <v>481</v>
      </c>
      <c r="E906">
        <f>IF(AND(A906='Поиск параметров'!$D$4,ISNUMBER(SEARCH('Поиск параметров'!$D$6,B906))),1,0)</f>
        <v>0</v>
      </c>
      <c r="F906">
        <f>IF(E906=1,SUM($E$2:E906),"")</f>
        <v/>
      </c>
    </row>
    <row r="907" spans="1:6">
      <c r="A907" t="s">
        <v>6339</v>
      </c>
      <c r="B907" t="s">
        <v>3948</v>
      </c>
      <c r="C907" t="s">
        <v>6175</v>
      </c>
      <c r="D907">
        <v>482</v>
      </c>
      <c r="E907">
        <f>IF(AND(A907='Поиск параметров'!$D$4,ISNUMBER(SEARCH('Поиск параметров'!$D$6,B907))),1,0)</f>
        <v>0</v>
      </c>
      <c r="F907">
        <f>IF(E907=1,SUM($E$2:E907),"")</f>
        <v/>
      </c>
    </row>
    <row r="908" spans="1:6">
      <c r="A908" t="s">
        <v>6339</v>
      </c>
      <c r="B908" t="s">
        <v>3949</v>
      </c>
      <c r="C908" t="s">
        <v>6176</v>
      </c>
      <c r="D908">
        <v>483</v>
      </c>
      <c r="E908">
        <f>IF(AND(A908='Поиск параметров'!$D$4,ISNUMBER(SEARCH('Поиск параметров'!$D$6,B908))),1,0)</f>
        <v>0</v>
      </c>
      <c r="F908">
        <f>IF(E908=1,SUM($E$2:E908),"")</f>
        <v/>
      </c>
    </row>
    <row r="909" spans="1:6">
      <c r="A909" t="s">
        <v>6339</v>
      </c>
      <c r="B909" t="s">
        <v>3950</v>
      </c>
      <c r="C909" t="s">
        <v>6177</v>
      </c>
      <c r="D909">
        <v>0</v>
      </c>
      <c r="E909">
        <f>IF(AND(A909='Поиск параметров'!$D$4,ISNUMBER(SEARCH('Поиск параметров'!$D$6,B909))),1,0)</f>
        <v>0</v>
      </c>
      <c r="F909">
        <f>IF(E909=1,SUM($E$2:E909),"")</f>
        <v/>
      </c>
    </row>
    <row r="910" spans="1:6">
      <c r="A910" t="s">
        <v>6339</v>
      </c>
      <c r="B910" t="s">
        <v>3951</v>
      </c>
      <c r="C910" t="s">
        <v>6178</v>
      </c>
      <c r="D910">
        <v>484</v>
      </c>
      <c r="E910">
        <f>IF(AND(A910='Поиск параметров'!$D$4,ISNUMBER(SEARCH('Поиск параметров'!$D$6,B910))),1,0)</f>
        <v>0</v>
      </c>
      <c r="F910">
        <f>IF(E910=1,SUM($E$2:E910),"")</f>
        <v/>
      </c>
    </row>
    <row r="911" spans="1:6">
      <c r="A911" t="s">
        <v>6339</v>
      </c>
      <c r="B911" t="s">
        <v>3952</v>
      </c>
      <c r="C911" t="s">
        <v>6179</v>
      </c>
      <c r="D911">
        <v>485</v>
      </c>
      <c r="E911">
        <f>IF(AND(A911='Поиск параметров'!$D$4,ISNUMBER(SEARCH('Поиск параметров'!$D$6,B911))),1,0)</f>
        <v>0</v>
      </c>
      <c r="F911">
        <f>IF(E911=1,SUM($E$2:E911),"")</f>
        <v/>
      </c>
    </row>
    <row r="912" spans="1:6">
      <c r="A912" t="s">
        <v>6339</v>
      </c>
      <c r="B912" t="s">
        <v>3953</v>
      </c>
      <c r="C912" t="s">
        <v>6180</v>
      </c>
      <c r="D912">
        <v>0</v>
      </c>
      <c r="E912">
        <f>IF(AND(A912='Поиск параметров'!$D$4,ISNUMBER(SEARCH('Поиск параметров'!$D$6,B912))),1,0)</f>
        <v>0</v>
      </c>
      <c r="F912">
        <f>IF(E912=1,SUM($E$2:E912),"")</f>
        <v/>
      </c>
    </row>
    <row r="913" spans="1:6">
      <c r="A913" t="s">
        <v>6339</v>
      </c>
      <c r="B913" t="s">
        <v>3954</v>
      </c>
      <c r="C913" t="s">
        <v>6181</v>
      </c>
      <c r="D913">
        <v>486</v>
      </c>
      <c r="E913">
        <f>IF(AND(A913='Поиск параметров'!$D$4,ISNUMBER(SEARCH('Поиск параметров'!$D$6,B913))),1,0)</f>
        <v>0</v>
      </c>
      <c r="F913">
        <f>IF(E913=1,SUM($E$2:E913),"")</f>
        <v/>
      </c>
    </row>
    <row r="914" spans="1:6">
      <c r="A914" t="s">
        <v>6339</v>
      </c>
      <c r="B914" t="s">
        <v>3955</v>
      </c>
      <c r="C914" t="s">
        <v>6182</v>
      </c>
      <c r="D914">
        <v>487</v>
      </c>
      <c r="E914">
        <f>IF(AND(A914='Поиск параметров'!$D$4,ISNUMBER(SEARCH('Поиск параметров'!$D$6,B914))),1,0)</f>
        <v>0</v>
      </c>
      <c r="F914">
        <f>IF(E914=1,SUM($E$2:E914),"")</f>
        <v/>
      </c>
    </row>
    <row r="915" spans="1:6">
      <c r="A915" t="s">
        <v>6339</v>
      </c>
      <c r="B915" t="s">
        <v>3956</v>
      </c>
      <c r="C915" t="s">
        <v>6183</v>
      </c>
      <c r="D915">
        <v>488</v>
      </c>
      <c r="E915">
        <f>IF(AND(A915='Поиск параметров'!$D$4,ISNUMBER(SEARCH('Поиск параметров'!$D$6,B915))),1,0)</f>
        <v>0</v>
      </c>
      <c r="F915">
        <f>IF(E915=1,SUM($E$2:E915),"")</f>
        <v/>
      </c>
    </row>
    <row r="916" spans="1:6">
      <c r="A916" t="s">
        <v>6339</v>
      </c>
      <c r="B916" t="s">
        <v>3957</v>
      </c>
      <c r="C916" t="s">
        <v>6184</v>
      </c>
      <c r="D916">
        <v>489</v>
      </c>
      <c r="E916">
        <f>IF(AND(A916='Поиск параметров'!$D$4,ISNUMBER(SEARCH('Поиск параметров'!$D$6,B916))),1,0)</f>
        <v>0</v>
      </c>
      <c r="F916">
        <f>IF(E916=1,SUM($E$2:E916),"")</f>
        <v/>
      </c>
    </row>
    <row r="917" spans="1:6">
      <c r="A917" t="s">
        <v>6339</v>
      </c>
      <c r="B917" t="s">
        <v>3958</v>
      </c>
      <c r="C917" t="s">
        <v>6185</v>
      </c>
      <c r="D917">
        <v>490</v>
      </c>
      <c r="E917">
        <f>IF(AND(A917='Поиск параметров'!$D$4,ISNUMBER(SEARCH('Поиск параметров'!$D$6,B917))),1,0)</f>
        <v>0</v>
      </c>
      <c r="F917">
        <f>IF(E917=1,SUM($E$2:E917),"")</f>
        <v/>
      </c>
    </row>
    <row r="918" spans="1:6">
      <c r="A918" t="s">
        <v>6339</v>
      </c>
      <c r="B918" t="s">
        <v>3959</v>
      </c>
      <c r="C918" t="s">
        <v>6186</v>
      </c>
      <c r="D918">
        <v>491</v>
      </c>
      <c r="E918">
        <f>IF(AND(A918='Поиск параметров'!$D$4,ISNUMBER(SEARCH('Поиск параметров'!$D$6,B918))),1,0)</f>
        <v>0</v>
      </c>
      <c r="F918">
        <f>IF(E918=1,SUM($E$2:E918),"")</f>
        <v/>
      </c>
    </row>
    <row r="919" spans="1:6">
      <c r="A919" t="s">
        <v>6339</v>
      </c>
      <c r="B919" t="s">
        <v>3960</v>
      </c>
      <c r="C919" t="s">
        <v>6187</v>
      </c>
      <c r="D919">
        <v>492</v>
      </c>
      <c r="E919">
        <f>IF(AND(A919='Поиск параметров'!$D$4,ISNUMBER(SEARCH('Поиск параметров'!$D$6,B919))),1,0)</f>
        <v>0</v>
      </c>
      <c r="F919">
        <f>IF(E919=1,SUM($E$2:E919),"")</f>
        <v/>
      </c>
    </row>
    <row r="920" spans="1:6">
      <c r="A920" t="s">
        <v>6339</v>
      </c>
      <c r="B920" t="s">
        <v>3961</v>
      </c>
      <c r="C920" t="s">
        <v>6188</v>
      </c>
      <c r="D920">
        <v>493</v>
      </c>
      <c r="E920">
        <f>IF(AND(A920='Поиск параметров'!$D$4,ISNUMBER(SEARCH('Поиск параметров'!$D$6,B920))),1,0)</f>
        <v>0</v>
      </c>
      <c r="F920">
        <f>IF(E920=1,SUM($E$2:E920),"")</f>
        <v/>
      </c>
    </row>
    <row r="921" spans="1:6">
      <c r="A921" t="s">
        <v>6339</v>
      </c>
      <c r="B921" t="s">
        <v>3962</v>
      </c>
      <c r="C921" t="s">
        <v>6189</v>
      </c>
      <c r="D921">
        <v>0</v>
      </c>
      <c r="E921">
        <f>IF(AND(A921='Поиск параметров'!$D$4,ISNUMBER(SEARCH('Поиск параметров'!$D$6,B921))),1,0)</f>
        <v>0</v>
      </c>
      <c r="F921">
        <f>IF(E921=1,SUM($E$2:E921),"")</f>
        <v/>
      </c>
    </row>
    <row r="922" spans="1:6">
      <c r="A922" t="s">
        <v>6339</v>
      </c>
      <c r="B922" t="s">
        <v>3963</v>
      </c>
      <c r="C922" t="s">
        <v>6190</v>
      </c>
      <c r="D922">
        <v>0</v>
      </c>
      <c r="E922">
        <f>IF(AND(A922='Поиск параметров'!$D$4,ISNUMBER(SEARCH('Поиск параметров'!$D$6,B922))),1,0)</f>
        <v>0</v>
      </c>
      <c r="F922">
        <f>IF(E922=1,SUM($E$2:E922),"")</f>
        <v/>
      </c>
    </row>
    <row r="923" spans="1:6">
      <c r="A923" t="s">
        <v>6339</v>
      </c>
      <c r="B923" t="s">
        <v>3964</v>
      </c>
      <c r="C923" t="s">
        <v>6191</v>
      </c>
      <c r="D923">
        <v>0</v>
      </c>
      <c r="E923">
        <f>IF(AND(A923='Поиск параметров'!$D$4,ISNUMBER(SEARCH('Поиск параметров'!$D$6,B923))),1,0)</f>
        <v>0</v>
      </c>
      <c r="F923">
        <f>IF(E923=1,SUM($E$2:E923),"")</f>
        <v/>
      </c>
    </row>
    <row r="924" spans="1:6">
      <c r="A924" t="s">
        <v>6339</v>
      </c>
      <c r="B924" t="s">
        <v>3965</v>
      </c>
      <c r="C924" t="s">
        <v>6192</v>
      </c>
      <c r="D924">
        <v>0</v>
      </c>
      <c r="E924">
        <f>IF(AND(A924='Поиск параметров'!$D$4,ISNUMBER(SEARCH('Поиск параметров'!$D$6,B924))),1,0)</f>
        <v>0</v>
      </c>
      <c r="F924">
        <f>IF(E924=1,SUM($E$2:E924),"")</f>
        <v/>
      </c>
    </row>
    <row r="925" spans="1:6">
      <c r="A925" t="s">
        <v>6339</v>
      </c>
      <c r="B925" t="s">
        <v>3966</v>
      </c>
      <c r="C925" t="s">
        <v>6193</v>
      </c>
      <c r="D925">
        <v>0</v>
      </c>
      <c r="E925">
        <f>IF(AND(A925='Поиск параметров'!$D$4,ISNUMBER(SEARCH('Поиск параметров'!$D$6,B925))),1,0)</f>
        <v>0</v>
      </c>
      <c r="F925">
        <f>IF(E925=1,SUM($E$2:E925),"")</f>
        <v/>
      </c>
    </row>
    <row r="926" spans="1:6">
      <c r="A926" t="s">
        <v>6339</v>
      </c>
      <c r="B926" t="s">
        <v>3967</v>
      </c>
      <c r="C926" t="s">
        <v>6194</v>
      </c>
      <c r="D926">
        <v>0</v>
      </c>
      <c r="E926">
        <f>IF(AND(A926='Поиск параметров'!$D$4,ISNUMBER(SEARCH('Поиск параметров'!$D$6,B926))),1,0)</f>
        <v>0</v>
      </c>
      <c r="F926">
        <f>IF(E926=1,SUM($E$2:E926),"")</f>
        <v/>
      </c>
    </row>
    <row r="927" spans="1:6">
      <c r="A927" t="s">
        <v>6339</v>
      </c>
      <c r="B927" t="s">
        <v>3968</v>
      </c>
      <c r="C927" t="s">
        <v>6195</v>
      </c>
      <c r="D927">
        <v>0</v>
      </c>
      <c r="E927">
        <f>IF(AND(A927='Поиск параметров'!$D$4,ISNUMBER(SEARCH('Поиск параметров'!$D$6,B927))),1,0)</f>
        <v>0</v>
      </c>
      <c r="F927">
        <f>IF(E927=1,SUM($E$2:E927),"")</f>
        <v/>
      </c>
    </row>
    <row r="928" spans="1:6">
      <c r="A928" t="s">
        <v>6339</v>
      </c>
      <c r="B928" t="s">
        <v>3969</v>
      </c>
      <c r="C928" t="s">
        <v>6196</v>
      </c>
      <c r="D928">
        <v>0</v>
      </c>
      <c r="E928">
        <f>IF(AND(A928='Поиск параметров'!$D$4,ISNUMBER(SEARCH('Поиск параметров'!$D$6,B928))),1,0)</f>
        <v>0</v>
      </c>
      <c r="F928">
        <f>IF(E928=1,SUM($E$2:E928),"")</f>
        <v/>
      </c>
    </row>
    <row r="929" spans="1:6">
      <c r="A929" t="s">
        <v>6339</v>
      </c>
      <c r="B929" t="s">
        <v>3970</v>
      </c>
      <c r="C929" t="s">
        <v>6197</v>
      </c>
      <c r="D929">
        <v>0</v>
      </c>
      <c r="E929">
        <f>IF(AND(A929='Поиск параметров'!$D$4,ISNUMBER(SEARCH('Поиск параметров'!$D$6,B929))),1,0)</f>
        <v>0</v>
      </c>
      <c r="F929">
        <f>IF(E929=1,SUM($E$2:E929),"")</f>
        <v/>
      </c>
    </row>
    <row r="930" spans="1:6">
      <c r="A930" t="s">
        <v>6339</v>
      </c>
      <c r="B930" t="s">
        <v>3971</v>
      </c>
      <c r="C930" t="s">
        <v>6198</v>
      </c>
      <c r="D930">
        <v>0</v>
      </c>
      <c r="E930">
        <f>IF(AND(A930='Поиск параметров'!$D$4,ISNUMBER(SEARCH('Поиск параметров'!$D$6,B930))),1,0)</f>
        <v>0</v>
      </c>
      <c r="F930">
        <f>IF(E930=1,SUM($E$2:E930),"")</f>
        <v/>
      </c>
    </row>
    <row r="931" spans="1:6">
      <c r="A931" t="s">
        <v>6339</v>
      </c>
      <c r="B931" t="s">
        <v>3972</v>
      </c>
      <c r="C931" t="s">
        <v>6199</v>
      </c>
      <c r="D931">
        <v>0</v>
      </c>
      <c r="E931">
        <f>IF(AND(A931='Поиск параметров'!$D$4,ISNUMBER(SEARCH('Поиск параметров'!$D$6,B931))),1,0)</f>
        <v>0</v>
      </c>
      <c r="F931">
        <f>IF(E931=1,SUM($E$2:E931),"")</f>
        <v/>
      </c>
    </row>
    <row r="932" spans="1:6">
      <c r="A932" t="s">
        <v>6339</v>
      </c>
      <c r="B932" t="s">
        <v>3973</v>
      </c>
      <c r="C932" t="s">
        <v>6200</v>
      </c>
      <c r="D932">
        <v>0</v>
      </c>
      <c r="E932">
        <f>IF(AND(A932='Поиск параметров'!$D$4,ISNUMBER(SEARCH('Поиск параметров'!$D$6,B932))),1,0)</f>
        <v>0</v>
      </c>
      <c r="F932">
        <f>IF(E932=1,SUM($E$2:E932),"")</f>
        <v/>
      </c>
    </row>
    <row r="933" spans="1:6">
      <c r="A933" t="s">
        <v>6339</v>
      </c>
      <c r="B933" t="s">
        <v>3974</v>
      </c>
      <c r="C933" t="s">
        <v>6201</v>
      </c>
      <c r="D933">
        <v>0</v>
      </c>
      <c r="E933">
        <f>IF(AND(A933='Поиск параметров'!$D$4,ISNUMBER(SEARCH('Поиск параметров'!$D$6,B933))),1,0)</f>
        <v>0</v>
      </c>
      <c r="F933">
        <f>IF(E933=1,SUM($E$2:E933),"")</f>
        <v/>
      </c>
    </row>
    <row r="934" spans="1:6">
      <c r="A934" t="s">
        <v>6339</v>
      </c>
      <c r="B934" t="s">
        <v>3975</v>
      </c>
      <c r="C934" t="s">
        <v>6202</v>
      </c>
      <c r="D934">
        <v>0</v>
      </c>
      <c r="E934">
        <f>IF(AND(A934='Поиск параметров'!$D$4,ISNUMBER(SEARCH('Поиск параметров'!$D$6,B934))),1,0)</f>
        <v>0</v>
      </c>
      <c r="F934">
        <f>IF(E934=1,SUM($E$2:E934),"")</f>
        <v/>
      </c>
    </row>
    <row r="935" spans="1:6">
      <c r="A935" t="s">
        <v>6339</v>
      </c>
      <c r="B935" t="s">
        <v>3976</v>
      </c>
      <c r="C935" t="s">
        <v>6203</v>
      </c>
      <c r="D935">
        <v>0</v>
      </c>
      <c r="E935">
        <f>IF(AND(A935='Поиск параметров'!$D$4,ISNUMBER(SEARCH('Поиск параметров'!$D$6,B935))),1,0)</f>
        <v>0</v>
      </c>
      <c r="F935">
        <f>IF(E935=1,SUM($E$2:E935),"")</f>
        <v/>
      </c>
    </row>
    <row r="936" spans="1:6">
      <c r="A936" t="s">
        <v>6339</v>
      </c>
      <c r="B936" t="s">
        <v>3977</v>
      </c>
      <c r="C936" t="s">
        <v>6204</v>
      </c>
      <c r="D936">
        <v>0</v>
      </c>
      <c r="E936">
        <f>IF(AND(A936='Поиск параметров'!$D$4,ISNUMBER(SEARCH('Поиск параметров'!$D$6,B936))),1,0)</f>
        <v>0</v>
      </c>
      <c r="F936">
        <f>IF(E936=1,SUM($E$2:E936),"")</f>
        <v/>
      </c>
    </row>
    <row r="937" spans="1:6">
      <c r="A937" t="s">
        <v>6339</v>
      </c>
      <c r="B937" t="s">
        <v>3978</v>
      </c>
      <c r="C937" t="s">
        <v>6205</v>
      </c>
      <c r="D937">
        <v>494</v>
      </c>
      <c r="E937">
        <f>IF(AND(A937='Поиск параметров'!$D$4,ISNUMBER(SEARCH('Поиск параметров'!$D$6,B937))),1,0)</f>
        <v>0</v>
      </c>
      <c r="F937">
        <f>IF(E937=1,SUM($E$2:E937),"")</f>
        <v/>
      </c>
    </row>
    <row r="938" spans="1:6">
      <c r="A938" t="s">
        <v>6339</v>
      </c>
      <c r="B938" t="s">
        <v>3979</v>
      </c>
      <c r="C938" t="s">
        <v>6206</v>
      </c>
      <c r="D938">
        <v>495</v>
      </c>
      <c r="E938">
        <f>IF(AND(A938='Поиск параметров'!$D$4,ISNUMBER(SEARCH('Поиск параметров'!$D$6,B938))),1,0)</f>
        <v>0</v>
      </c>
      <c r="F938">
        <f>IF(E938=1,SUM($E$2:E938),"")</f>
        <v/>
      </c>
    </row>
    <row r="939" spans="1:6">
      <c r="A939" t="s">
        <v>6339</v>
      </c>
      <c r="B939" t="s">
        <v>3980</v>
      </c>
      <c r="C939" t="s">
        <v>6207</v>
      </c>
      <c r="D939">
        <v>0</v>
      </c>
      <c r="E939">
        <f>IF(AND(A939='Поиск параметров'!$D$4,ISNUMBER(SEARCH('Поиск параметров'!$D$6,B939))),1,0)</f>
        <v>0</v>
      </c>
      <c r="F939">
        <f>IF(E939=1,SUM($E$2:E939),"")</f>
        <v/>
      </c>
    </row>
    <row r="940" spans="1:6">
      <c r="A940" t="s">
        <v>6339</v>
      </c>
      <c r="B940" t="s">
        <v>3981</v>
      </c>
      <c r="C940" t="s">
        <v>6208</v>
      </c>
      <c r="D940">
        <v>496</v>
      </c>
      <c r="E940">
        <f>IF(AND(A940='Поиск параметров'!$D$4,ISNUMBER(SEARCH('Поиск параметров'!$D$6,B940))),1,0)</f>
        <v>0</v>
      </c>
      <c r="F940">
        <f>IF(E940=1,SUM($E$2:E940),"")</f>
        <v/>
      </c>
    </row>
    <row r="941" spans="1:6">
      <c r="A941" t="s">
        <v>6339</v>
      </c>
      <c r="B941" t="s">
        <v>3982</v>
      </c>
      <c r="C941" t="s">
        <v>6209</v>
      </c>
      <c r="D941">
        <v>497</v>
      </c>
      <c r="E941">
        <f>IF(AND(A941='Поиск параметров'!$D$4,ISNUMBER(SEARCH('Поиск параметров'!$D$6,B941))),1,0)</f>
        <v>0</v>
      </c>
      <c r="F941">
        <f>IF(E941=1,SUM($E$2:E941),"")</f>
        <v/>
      </c>
    </row>
    <row r="942" spans="1:6">
      <c r="A942" t="s">
        <v>6339</v>
      </c>
      <c r="B942" t="s">
        <v>3983</v>
      </c>
      <c r="C942" t="s">
        <v>6210</v>
      </c>
      <c r="D942">
        <v>498</v>
      </c>
      <c r="E942">
        <f>IF(AND(A942='Поиск параметров'!$D$4,ISNUMBER(SEARCH('Поиск параметров'!$D$6,B942))),1,0)</f>
        <v>0</v>
      </c>
      <c r="F942">
        <f>IF(E942=1,SUM($E$2:E942),"")</f>
        <v/>
      </c>
    </row>
    <row r="943" spans="1:6">
      <c r="A943" t="s">
        <v>6339</v>
      </c>
      <c r="B943" t="s">
        <v>3984</v>
      </c>
      <c r="C943" t="s">
        <v>6211</v>
      </c>
      <c r="D943">
        <v>499</v>
      </c>
      <c r="E943">
        <f>IF(AND(A943='Поиск параметров'!$D$4,ISNUMBER(SEARCH('Поиск параметров'!$D$6,B943))),1,0)</f>
        <v>0</v>
      </c>
      <c r="F943">
        <f>IF(E943=1,SUM($E$2:E943),"")</f>
        <v/>
      </c>
    </row>
    <row r="944" spans="1:6">
      <c r="A944" t="s">
        <v>6339</v>
      </c>
      <c r="B944" t="s">
        <v>3985</v>
      </c>
      <c r="C944" t="s">
        <v>6212</v>
      </c>
      <c r="D944">
        <v>0</v>
      </c>
      <c r="E944">
        <f>IF(AND(A944='Поиск параметров'!$D$4,ISNUMBER(SEARCH('Поиск параметров'!$D$6,B944))),1,0)</f>
        <v>0</v>
      </c>
      <c r="F944">
        <f>IF(E944=1,SUM($E$2:E944),"")</f>
        <v/>
      </c>
    </row>
    <row r="945" spans="1:6">
      <c r="A945" t="s">
        <v>6339</v>
      </c>
      <c r="B945" t="s">
        <v>3986</v>
      </c>
      <c r="C945" t="s">
        <v>6213</v>
      </c>
      <c r="D945">
        <v>500</v>
      </c>
      <c r="E945">
        <f>IF(AND(A945='Поиск параметров'!$D$4,ISNUMBER(SEARCH('Поиск параметров'!$D$6,B945))),1,0)</f>
        <v>0</v>
      </c>
      <c r="F945">
        <f>IF(E945=1,SUM($E$2:E945),"")</f>
        <v/>
      </c>
    </row>
    <row r="946" spans="1:6">
      <c r="A946" t="s">
        <v>6339</v>
      </c>
      <c r="B946" t="s">
        <v>3987</v>
      </c>
      <c r="C946" t="s">
        <v>6214</v>
      </c>
      <c r="D946">
        <v>501</v>
      </c>
      <c r="E946">
        <f>IF(AND(A946='Поиск параметров'!$D$4,ISNUMBER(SEARCH('Поиск параметров'!$D$6,B946))),1,0)</f>
        <v>0</v>
      </c>
      <c r="F946">
        <f>IF(E946=1,SUM($E$2:E946),"")</f>
        <v/>
      </c>
    </row>
    <row r="947" spans="1:6">
      <c r="A947" t="s">
        <v>6339</v>
      </c>
      <c r="B947" t="s">
        <v>3988</v>
      </c>
      <c r="C947" t="s">
        <v>6215</v>
      </c>
      <c r="D947">
        <v>502</v>
      </c>
      <c r="E947">
        <f>IF(AND(A947='Поиск параметров'!$D$4,ISNUMBER(SEARCH('Поиск параметров'!$D$6,B947))),1,0)</f>
        <v>0</v>
      </c>
      <c r="F947">
        <f>IF(E947=1,SUM($E$2:E947),"")</f>
        <v/>
      </c>
    </row>
    <row r="948" spans="1:6">
      <c r="A948" t="s">
        <v>6339</v>
      </c>
      <c r="B948" t="s">
        <v>3989</v>
      </c>
      <c r="C948" t="s">
        <v>6216</v>
      </c>
      <c r="D948">
        <v>503</v>
      </c>
      <c r="E948">
        <f>IF(AND(A948='Поиск параметров'!$D$4,ISNUMBER(SEARCH('Поиск параметров'!$D$6,B948))),1,0)</f>
        <v>0</v>
      </c>
      <c r="F948">
        <f>IF(E948=1,SUM($E$2:E948),"")</f>
        <v/>
      </c>
    </row>
    <row r="949" spans="1:6">
      <c r="A949" t="s">
        <v>6339</v>
      </c>
      <c r="B949" t="s">
        <v>3990</v>
      </c>
      <c r="C949" t="s">
        <v>6217</v>
      </c>
      <c r="D949">
        <v>0</v>
      </c>
      <c r="E949">
        <f>IF(AND(A949='Поиск параметров'!$D$4,ISNUMBER(SEARCH('Поиск параметров'!$D$6,B949))),1,0)</f>
        <v>0</v>
      </c>
      <c r="F949">
        <f>IF(E949=1,SUM($E$2:E949),"")</f>
        <v/>
      </c>
    </row>
    <row r="950" spans="1:6">
      <c r="A950" t="s">
        <v>6339</v>
      </c>
      <c r="B950" t="s">
        <v>3991</v>
      </c>
      <c r="C950" t="s">
        <v>6218</v>
      </c>
      <c r="D950">
        <v>504</v>
      </c>
      <c r="E950">
        <f>IF(AND(A950='Поиск параметров'!$D$4,ISNUMBER(SEARCH('Поиск параметров'!$D$6,B950))),1,0)</f>
        <v>0</v>
      </c>
      <c r="F950">
        <f>IF(E950=1,SUM($E$2:E950),"")</f>
        <v/>
      </c>
    </row>
    <row r="951" spans="1:6">
      <c r="A951" t="s">
        <v>6339</v>
      </c>
      <c r="B951" t="s">
        <v>3992</v>
      </c>
      <c r="C951" t="s">
        <v>6219</v>
      </c>
      <c r="D951">
        <v>505</v>
      </c>
      <c r="E951">
        <f>IF(AND(A951='Поиск параметров'!$D$4,ISNUMBER(SEARCH('Поиск параметров'!$D$6,B951))),1,0)</f>
        <v>0</v>
      </c>
      <c r="F951">
        <f>IF(E951=1,SUM($E$2:E951),"")</f>
        <v/>
      </c>
    </row>
    <row r="952" spans="1:6">
      <c r="A952" t="s">
        <v>6339</v>
      </c>
      <c r="B952" t="s">
        <v>3993</v>
      </c>
      <c r="C952" t="s">
        <v>6220</v>
      </c>
      <c r="D952">
        <v>506</v>
      </c>
      <c r="E952">
        <f>IF(AND(A952='Поиск параметров'!$D$4,ISNUMBER(SEARCH('Поиск параметров'!$D$6,B952))),1,0)</f>
        <v>0</v>
      </c>
      <c r="F952">
        <f>IF(E952=1,SUM($E$2:E952),"")</f>
        <v/>
      </c>
    </row>
    <row r="953" spans="1:6">
      <c r="A953" t="s">
        <v>6339</v>
      </c>
      <c r="B953" t="s">
        <v>3994</v>
      </c>
      <c r="C953" t="s">
        <v>583</v>
      </c>
      <c r="D953">
        <v>507</v>
      </c>
      <c r="E953">
        <f>IF(AND(A953='Поиск параметров'!$D$4,ISNUMBER(SEARCH('Поиск параметров'!$D$6,B953))),1,0)</f>
        <v>0</v>
      </c>
      <c r="F953">
        <f>IF(E953=1,SUM($E$2:E953),"")</f>
        <v/>
      </c>
    </row>
    <row r="954" spans="1:6">
      <c r="A954" t="s">
        <v>6339</v>
      </c>
      <c r="B954" t="s">
        <v>3995</v>
      </c>
      <c r="C954" t="s">
        <v>6221</v>
      </c>
      <c r="D954">
        <v>0</v>
      </c>
      <c r="E954">
        <f>IF(AND(A954='Поиск параметров'!$D$4,ISNUMBER(SEARCH('Поиск параметров'!$D$6,B954))),1,0)</f>
        <v>0</v>
      </c>
      <c r="F954">
        <f>IF(E954=1,SUM($E$2:E954),"")</f>
        <v/>
      </c>
    </row>
    <row r="955" spans="1:6">
      <c r="A955" t="s">
        <v>6339</v>
      </c>
      <c r="B955" t="s">
        <v>3996</v>
      </c>
      <c r="C955" t="s">
        <v>6222</v>
      </c>
      <c r="D955">
        <v>508</v>
      </c>
      <c r="E955">
        <f>IF(AND(A955='Поиск параметров'!$D$4,ISNUMBER(SEARCH('Поиск параметров'!$D$6,B955))),1,0)</f>
        <v>0</v>
      </c>
      <c r="F955">
        <f>IF(E955=1,SUM($E$2:E955),"")</f>
        <v/>
      </c>
    </row>
    <row r="956" spans="1:6">
      <c r="A956" t="s">
        <v>6339</v>
      </c>
      <c r="B956" t="s">
        <v>3997</v>
      </c>
      <c r="C956" t="s">
        <v>6223</v>
      </c>
      <c r="D956">
        <v>509</v>
      </c>
      <c r="E956">
        <f>IF(AND(A956='Поиск параметров'!$D$4,ISNUMBER(SEARCH('Поиск параметров'!$D$6,B956))),1,0)</f>
        <v>0</v>
      </c>
      <c r="F956">
        <f>IF(E956=1,SUM($E$2:E956),"")</f>
        <v/>
      </c>
    </row>
    <row r="957" spans="1:6">
      <c r="A957" t="s">
        <v>6339</v>
      </c>
      <c r="B957" t="s">
        <v>3998</v>
      </c>
      <c r="C957" t="s">
        <v>6224</v>
      </c>
      <c r="D957">
        <v>0</v>
      </c>
      <c r="E957">
        <f>IF(AND(A957='Поиск параметров'!$D$4,ISNUMBER(SEARCH('Поиск параметров'!$D$6,B957))),1,0)</f>
        <v>0</v>
      </c>
      <c r="F957">
        <f>IF(E957=1,SUM($E$2:E957),"")</f>
        <v/>
      </c>
    </row>
    <row r="958" spans="1:6">
      <c r="A958" t="s">
        <v>6339</v>
      </c>
      <c r="B958" t="s">
        <v>3999</v>
      </c>
      <c r="C958" t="s">
        <v>6225</v>
      </c>
      <c r="D958">
        <v>510</v>
      </c>
      <c r="E958">
        <f>IF(AND(A958='Поиск параметров'!$D$4,ISNUMBER(SEARCH('Поиск параметров'!$D$6,B958))),1,0)</f>
        <v>0</v>
      </c>
      <c r="F958">
        <f>IF(E958=1,SUM($E$2:E958),"")</f>
        <v/>
      </c>
    </row>
    <row r="959" spans="1:6">
      <c r="A959" t="s">
        <v>6339</v>
      </c>
      <c r="B959" t="s">
        <v>4000</v>
      </c>
      <c r="C959" t="s">
        <v>6226</v>
      </c>
      <c r="D959">
        <v>511</v>
      </c>
      <c r="E959">
        <f>IF(AND(A959='Поиск параметров'!$D$4,ISNUMBER(SEARCH('Поиск параметров'!$D$6,B959))),1,0)</f>
        <v>0</v>
      </c>
      <c r="F959">
        <f>IF(E959=1,SUM($E$2:E959),"")</f>
        <v/>
      </c>
    </row>
    <row r="960" spans="1:6">
      <c r="A960" t="s">
        <v>6339</v>
      </c>
      <c r="B960" t="s">
        <v>4001</v>
      </c>
      <c r="C960" t="s">
        <v>6227</v>
      </c>
      <c r="D960">
        <v>512</v>
      </c>
      <c r="E960">
        <f>IF(AND(A960='Поиск параметров'!$D$4,ISNUMBER(SEARCH('Поиск параметров'!$D$6,B960))),1,0)</f>
        <v>0</v>
      </c>
      <c r="F960">
        <f>IF(E960=1,SUM($E$2:E960),"")</f>
        <v/>
      </c>
    </row>
    <row r="961" spans="1:6">
      <c r="A961" t="s">
        <v>6339</v>
      </c>
      <c r="B961" t="s">
        <v>4002</v>
      </c>
      <c r="C961" t="s">
        <v>6228</v>
      </c>
      <c r="D961">
        <v>513</v>
      </c>
      <c r="E961">
        <f>IF(AND(A961='Поиск параметров'!$D$4,ISNUMBER(SEARCH('Поиск параметров'!$D$6,B961))),1,0)</f>
        <v>0</v>
      </c>
      <c r="F961">
        <f>IF(E961=1,SUM($E$2:E961),"")</f>
        <v/>
      </c>
    </row>
    <row r="962" spans="1:6">
      <c r="A962" t="s">
        <v>6339</v>
      </c>
      <c r="B962" t="s">
        <v>4003</v>
      </c>
      <c r="C962" t="s">
        <v>6229</v>
      </c>
      <c r="D962">
        <v>514</v>
      </c>
      <c r="E962">
        <f>IF(AND(A962='Поиск параметров'!$D$4,ISNUMBER(SEARCH('Поиск параметров'!$D$6,B962))),1,0)</f>
        <v>0</v>
      </c>
      <c r="F962">
        <f>IF(E962=1,SUM($E$2:E962),"")</f>
        <v/>
      </c>
    </row>
    <row r="963" spans="1:6">
      <c r="A963" t="s">
        <v>6339</v>
      </c>
      <c r="B963" t="s">
        <v>4004</v>
      </c>
      <c r="C963" t="s">
        <v>6230</v>
      </c>
      <c r="D963">
        <v>515</v>
      </c>
      <c r="E963">
        <f>IF(AND(A963='Поиск параметров'!$D$4,ISNUMBER(SEARCH('Поиск параметров'!$D$6,B963))),1,0)</f>
        <v>0</v>
      </c>
      <c r="F963">
        <f>IF(E963=1,SUM($E$2:E963),"")</f>
        <v/>
      </c>
    </row>
    <row r="964" spans="1:6">
      <c r="A964" t="s">
        <v>6339</v>
      </c>
      <c r="B964" t="s">
        <v>4005</v>
      </c>
      <c r="C964" t="s">
        <v>6231</v>
      </c>
      <c r="D964">
        <v>516</v>
      </c>
      <c r="E964">
        <f>IF(AND(A964='Поиск параметров'!$D$4,ISNUMBER(SEARCH('Поиск параметров'!$D$6,B964))),1,0)</f>
        <v>0</v>
      </c>
      <c r="F964">
        <f>IF(E964=1,SUM($E$2:E964),"")</f>
        <v/>
      </c>
    </row>
    <row r="965" spans="1:6">
      <c r="A965" t="s">
        <v>6339</v>
      </c>
      <c r="B965" t="s">
        <v>4006</v>
      </c>
      <c r="C965" t="s">
        <v>6232</v>
      </c>
      <c r="D965">
        <v>517</v>
      </c>
      <c r="E965">
        <f>IF(AND(A965='Поиск параметров'!$D$4,ISNUMBER(SEARCH('Поиск параметров'!$D$6,B965))),1,0)</f>
        <v>0</v>
      </c>
      <c r="F965">
        <f>IF(E965=1,SUM($E$2:E965),"")</f>
        <v/>
      </c>
    </row>
    <row r="966" spans="1:6">
      <c r="A966" t="s">
        <v>6339</v>
      </c>
      <c r="B966" t="s">
        <v>4007</v>
      </c>
      <c r="C966" t="s">
        <v>6233</v>
      </c>
      <c r="D966">
        <v>518</v>
      </c>
      <c r="E966">
        <f>IF(AND(A966='Поиск параметров'!$D$4,ISNUMBER(SEARCH('Поиск параметров'!$D$6,B966))),1,0)</f>
        <v>0</v>
      </c>
      <c r="F966">
        <f>IF(E966=1,SUM($E$2:E966),"")</f>
        <v/>
      </c>
    </row>
    <row r="967" spans="1:6">
      <c r="A967" t="s">
        <v>6339</v>
      </c>
      <c r="B967" t="s">
        <v>4008</v>
      </c>
      <c r="C967" t="s">
        <v>6234</v>
      </c>
      <c r="D967">
        <v>519</v>
      </c>
      <c r="E967">
        <f>IF(AND(A967='Поиск параметров'!$D$4,ISNUMBER(SEARCH('Поиск параметров'!$D$6,B967))),1,0)</f>
        <v>0</v>
      </c>
      <c r="F967">
        <f>IF(E967=1,SUM($E$2:E967),"")</f>
        <v/>
      </c>
    </row>
    <row r="968" spans="1:6">
      <c r="A968" t="s">
        <v>6339</v>
      </c>
      <c r="B968" t="s">
        <v>4009</v>
      </c>
      <c r="C968" t="s">
        <v>6235</v>
      </c>
      <c r="D968">
        <v>520</v>
      </c>
      <c r="E968">
        <f>IF(AND(A968='Поиск параметров'!$D$4,ISNUMBER(SEARCH('Поиск параметров'!$D$6,B968))),1,0)</f>
        <v>0</v>
      </c>
      <c r="F968">
        <f>IF(E968=1,SUM($E$2:E968),"")</f>
        <v/>
      </c>
    </row>
    <row r="969" spans="1:6">
      <c r="A969" t="s">
        <v>6339</v>
      </c>
      <c r="B969" t="s">
        <v>4010</v>
      </c>
      <c r="C969" t="s">
        <v>6236</v>
      </c>
      <c r="D969">
        <v>521</v>
      </c>
      <c r="E969">
        <f>IF(AND(A969='Поиск параметров'!$D$4,ISNUMBER(SEARCH('Поиск параметров'!$D$6,B969))),1,0)</f>
        <v>0</v>
      </c>
      <c r="F969">
        <f>IF(E969=1,SUM($E$2:E969),"")</f>
        <v/>
      </c>
    </row>
    <row r="970" spans="1:6">
      <c r="A970" t="s">
        <v>6339</v>
      </c>
      <c r="B970" t="s">
        <v>4011</v>
      </c>
      <c r="C970" t="s">
        <v>6237</v>
      </c>
      <c r="D970">
        <v>522</v>
      </c>
      <c r="E970">
        <f>IF(AND(A970='Поиск параметров'!$D$4,ISNUMBER(SEARCH('Поиск параметров'!$D$6,B970))),1,0)</f>
        <v>0</v>
      </c>
      <c r="F970">
        <f>IF(E970=1,SUM($E$2:E970),"")</f>
        <v/>
      </c>
    </row>
    <row r="971" spans="1:6">
      <c r="A971" t="s">
        <v>6339</v>
      </c>
      <c r="B971" t="s">
        <v>4012</v>
      </c>
      <c r="C971" t="s">
        <v>6238</v>
      </c>
      <c r="D971">
        <v>523</v>
      </c>
      <c r="E971">
        <f>IF(AND(A971='Поиск параметров'!$D$4,ISNUMBER(SEARCH('Поиск параметров'!$D$6,B971))),1,0)</f>
        <v>0</v>
      </c>
      <c r="F971">
        <f>IF(E971=1,SUM($E$2:E971),"")</f>
        <v/>
      </c>
    </row>
    <row r="972" spans="1:6">
      <c r="A972" t="s">
        <v>6339</v>
      </c>
      <c r="B972" t="s">
        <v>4013</v>
      </c>
      <c r="C972" t="s">
        <v>6239</v>
      </c>
      <c r="D972">
        <v>524</v>
      </c>
      <c r="E972">
        <f>IF(AND(A972='Поиск параметров'!$D$4,ISNUMBER(SEARCH('Поиск параметров'!$D$6,B972))),1,0)</f>
        <v>0</v>
      </c>
      <c r="F972">
        <f>IF(E972=1,SUM($E$2:E972),"")</f>
        <v/>
      </c>
    </row>
    <row r="973" spans="1:6">
      <c r="A973" t="s">
        <v>6339</v>
      </c>
      <c r="B973" t="s">
        <v>4014</v>
      </c>
      <c r="C973" t="s">
        <v>6240</v>
      </c>
      <c r="D973">
        <v>525</v>
      </c>
      <c r="E973">
        <f>IF(AND(A973='Поиск параметров'!$D$4,ISNUMBER(SEARCH('Поиск параметров'!$D$6,B973))),1,0)</f>
        <v>0</v>
      </c>
      <c r="F973">
        <f>IF(E973=1,SUM($E$2:E973),"")</f>
        <v/>
      </c>
    </row>
    <row r="974" spans="1:6">
      <c r="A974" t="s">
        <v>6339</v>
      </c>
      <c r="B974" t="s">
        <v>4015</v>
      </c>
      <c r="C974" t="s">
        <v>6241</v>
      </c>
      <c r="D974">
        <v>0</v>
      </c>
      <c r="E974">
        <f>IF(AND(A974='Поиск параметров'!$D$4,ISNUMBER(SEARCH('Поиск параметров'!$D$6,B974))),1,0)</f>
        <v>0</v>
      </c>
      <c r="F974">
        <f>IF(E974=1,SUM($E$2:E974),"")</f>
        <v/>
      </c>
    </row>
    <row r="975" spans="1:6">
      <c r="A975" t="s">
        <v>6339</v>
      </c>
      <c r="B975" t="s">
        <v>4016</v>
      </c>
      <c r="C975" t="s">
        <v>6242</v>
      </c>
      <c r="D975">
        <v>0</v>
      </c>
      <c r="E975">
        <f>IF(AND(A975='Поиск параметров'!$D$4,ISNUMBER(SEARCH('Поиск параметров'!$D$6,B975))),1,0)</f>
        <v>0</v>
      </c>
      <c r="F975">
        <f>IF(E975=1,SUM($E$2:E975),"")</f>
        <v/>
      </c>
    </row>
    <row r="976" spans="1:6">
      <c r="A976" t="s">
        <v>6339</v>
      </c>
      <c r="B976" t="s">
        <v>477</v>
      </c>
      <c r="C976" t="s">
        <v>6243</v>
      </c>
      <c r="D976">
        <v>526</v>
      </c>
      <c r="E976">
        <f>IF(AND(A976='Поиск параметров'!$D$4,ISNUMBER(SEARCH('Поиск параметров'!$D$6,B976))),1,0)</f>
        <v>0</v>
      </c>
      <c r="F976">
        <f>IF(E976=1,SUM($E$2:E976),"")</f>
        <v/>
      </c>
    </row>
    <row r="977" spans="1:6">
      <c r="A977" t="s">
        <v>6339</v>
      </c>
      <c r="B977" t="s">
        <v>4017</v>
      </c>
      <c r="C977" t="s">
        <v>6244</v>
      </c>
      <c r="D977">
        <v>527</v>
      </c>
      <c r="E977">
        <f>IF(AND(A977='Поиск параметров'!$D$4,ISNUMBER(SEARCH('Поиск параметров'!$D$6,B977))),1,0)</f>
        <v>0</v>
      </c>
      <c r="F977">
        <f>IF(E977=1,SUM($E$2:E977),"")</f>
        <v/>
      </c>
    </row>
    <row r="978" spans="1:6">
      <c r="A978" t="s">
        <v>6339</v>
      </c>
      <c r="B978" t="s">
        <v>4018</v>
      </c>
      <c r="C978" t="s">
        <v>6245</v>
      </c>
      <c r="D978">
        <v>528</v>
      </c>
      <c r="E978">
        <f>IF(AND(A978='Поиск параметров'!$D$4,ISNUMBER(SEARCH('Поиск параметров'!$D$6,B978))),1,0)</f>
        <v>0</v>
      </c>
      <c r="F978">
        <f>IF(E978=1,SUM($E$2:E978),"")</f>
        <v/>
      </c>
    </row>
    <row r="979" spans="1:6">
      <c r="A979" t="s">
        <v>6339</v>
      </c>
      <c r="B979" t="s">
        <v>4019</v>
      </c>
      <c r="C979" t="s">
        <v>6246</v>
      </c>
      <c r="D979">
        <v>529</v>
      </c>
      <c r="E979">
        <f>IF(AND(A979='Поиск параметров'!$D$4,ISNUMBER(SEARCH('Поиск параметров'!$D$6,B979))),1,0)</f>
        <v>0</v>
      </c>
      <c r="F979">
        <f>IF(E979=1,SUM($E$2:E979),"")</f>
        <v/>
      </c>
    </row>
    <row r="980" spans="1:6">
      <c r="A980" t="s">
        <v>6339</v>
      </c>
      <c r="B980" t="s">
        <v>4020</v>
      </c>
      <c r="C980" t="s">
        <v>6247</v>
      </c>
      <c r="D980">
        <v>530</v>
      </c>
      <c r="E980">
        <f>IF(AND(A980='Поиск параметров'!$D$4,ISNUMBER(SEARCH('Поиск параметров'!$D$6,B980))),1,0)</f>
        <v>0</v>
      </c>
      <c r="F980">
        <f>IF(E980=1,SUM($E$2:E980),"")</f>
        <v/>
      </c>
    </row>
    <row r="981" spans="1:6">
      <c r="A981" t="s">
        <v>6339</v>
      </c>
      <c r="B981" t="s">
        <v>4021</v>
      </c>
      <c r="C981" t="s">
        <v>6248</v>
      </c>
      <c r="D981">
        <v>531</v>
      </c>
      <c r="E981">
        <f>IF(AND(A981='Поиск параметров'!$D$4,ISNUMBER(SEARCH('Поиск параметров'!$D$6,B981))),1,0)</f>
        <v>0</v>
      </c>
      <c r="F981">
        <f>IF(E981=1,SUM($E$2:E981),"")</f>
        <v/>
      </c>
    </row>
    <row r="982" spans="1:6">
      <c r="A982" t="s">
        <v>6339</v>
      </c>
      <c r="B982" t="s">
        <v>4022</v>
      </c>
      <c r="C982" t="s">
        <v>6249</v>
      </c>
      <c r="D982">
        <v>532</v>
      </c>
      <c r="E982">
        <f>IF(AND(A982='Поиск параметров'!$D$4,ISNUMBER(SEARCH('Поиск параметров'!$D$6,B982))),1,0)</f>
        <v>0</v>
      </c>
      <c r="F982">
        <f>IF(E982=1,SUM($E$2:E982),"")</f>
        <v/>
      </c>
    </row>
    <row r="983" spans="1:6">
      <c r="A983" t="s">
        <v>6339</v>
      </c>
      <c r="B983" t="s">
        <v>4023</v>
      </c>
      <c r="C983" t="s">
        <v>6250</v>
      </c>
      <c r="D983">
        <v>533</v>
      </c>
      <c r="E983">
        <f>IF(AND(A983='Поиск параметров'!$D$4,ISNUMBER(SEARCH('Поиск параметров'!$D$6,B983))),1,0)</f>
        <v>0</v>
      </c>
      <c r="F983">
        <f>IF(E983=1,SUM($E$2:E983),"")</f>
        <v/>
      </c>
    </row>
    <row r="984" spans="1:6">
      <c r="A984" t="s">
        <v>6339</v>
      </c>
      <c r="B984" t="s">
        <v>4024</v>
      </c>
      <c r="C984" t="s">
        <v>6251</v>
      </c>
      <c r="D984">
        <v>534</v>
      </c>
      <c r="E984">
        <f>IF(AND(A984='Поиск параметров'!$D$4,ISNUMBER(SEARCH('Поиск параметров'!$D$6,B984))),1,0)</f>
        <v>0</v>
      </c>
      <c r="F984">
        <f>IF(E984=1,SUM($E$2:E984),"")</f>
        <v/>
      </c>
    </row>
    <row r="985" spans="1:6">
      <c r="A985" t="s">
        <v>6339</v>
      </c>
      <c r="B985" t="s">
        <v>4025</v>
      </c>
      <c r="C985" t="s">
        <v>6252</v>
      </c>
      <c r="D985">
        <v>535</v>
      </c>
      <c r="E985">
        <f>IF(AND(A985='Поиск параметров'!$D$4,ISNUMBER(SEARCH('Поиск параметров'!$D$6,B985))),1,0)</f>
        <v>0</v>
      </c>
      <c r="F985">
        <f>IF(E985=1,SUM($E$2:E985),"")</f>
        <v/>
      </c>
    </row>
    <row r="986" spans="1:6">
      <c r="A986" t="s">
        <v>6339</v>
      </c>
      <c r="B986" t="s">
        <v>4026</v>
      </c>
      <c r="C986" t="s">
        <v>6253</v>
      </c>
      <c r="D986">
        <v>536</v>
      </c>
      <c r="E986">
        <f>IF(AND(A986='Поиск параметров'!$D$4,ISNUMBER(SEARCH('Поиск параметров'!$D$6,B986))),1,0)</f>
        <v>0</v>
      </c>
      <c r="F986">
        <f>IF(E986=1,SUM($E$2:E986),"")</f>
        <v/>
      </c>
    </row>
    <row r="987" spans="1:6">
      <c r="A987" t="s">
        <v>6339</v>
      </c>
      <c r="B987" t="s">
        <v>4027</v>
      </c>
      <c r="C987" t="s">
        <v>6254</v>
      </c>
      <c r="D987">
        <v>537</v>
      </c>
      <c r="E987">
        <f>IF(AND(A987='Поиск параметров'!$D$4,ISNUMBER(SEARCH('Поиск параметров'!$D$6,B987))),1,0)</f>
        <v>0</v>
      </c>
      <c r="F987">
        <f>IF(E987=1,SUM($E$2:E987),"")</f>
        <v/>
      </c>
    </row>
    <row r="988" spans="1:6">
      <c r="A988" t="s">
        <v>6339</v>
      </c>
      <c r="B988" t="s">
        <v>4028</v>
      </c>
      <c r="C988" t="s">
        <v>6255</v>
      </c>
      <c r="D988">
        <v>538</v>
      </c>
      <c r="E988">
        <f>IF(AND(A988='Поиск параметров'!$D$4,ISNUMBER(SEARCH('Поиск параметров'!$D$6,B988))),1,0)</f>
        <v>0</v>
      </c>
      <c r="F988">
        <f>IF(E988=1,SUM($E$2:E988),"")</f>
        <v/>
      </c>
    </row>
    <row r="989" spans="1:6">
      <c r="A989" t="s">
        <v>6339</v>
      </c>
      <c r="B989" t="s">
        <v>4029</v>
      </c>
      <c r="C989" t="s">
        <v>6256</v>
      </c>
      <c r="D989">
        <v>539</v>
      </c>
      <c r="E989">
        <f>IF(AND(A989='Поиск параметров'!$D$4,ISNUMBER(SEARCH('Поиск параметров'!$D$6,B989))),1,0)</f>
        <v>0</v>
      </c>
      <c r="F989">
        <f>IF(E989=1,SUM($E$2:E989),"")</f>
        <v/>
      </c>
    </row>
    <row r="990" spans="1:6">
      <c r="A990" t="s">
        <v>6339</v>
      </c>
      <c r="B990" t="s">
        <v>4030</v>
      </c>
      <c r="C990" t="s">
        <v>6257</v>
      </c>
      <c r="D990">
        <v>540</v>
      </c>
      <c r="E990">
        <f>IF(AND(A990='Поиск параметров'!$D$4,ISNUMBER(SEARCH('Поиск параметров'!$D$6,B990))),1,0)</f>
        <v>0</v>
      </c>
      <c r="F990">
        <f>IF(E990=1,SUM($E$2:E990),"")</f>
        <v/>
      </c>
    </row>
    <row r="991" spans="1:6">
      <c r="A991" t="s">
        <v>6339</v>
      </c>
      <c r="B991" t="s">
        <v>4031</v>
      </c>
      <c r="C991" t="s">
        <v>6258</v>
      </c>
      <c r="D991">
        <v>541</v>
      </c>
      <c r="E991">
        <f>IF(AND(A991='Поиск параметров'!$D$4,ISNUMBER(SEARCH('Поиск параметров'!$D$6,B991))),1,0)</f>
        <v>0</v>
      </c>
      <c r="F991">
        <f>IF(E991=1,SUM($E$2:E991),"")</f>
        <v/>
      </c>
    </row>
    <row r="992" spans="1:6">
      <c r="A992" t="s">
        <v>6339</v>
      </c>
      <c r="B992" t="s">
        <v>4032</v>
      </c>
      <c r="C992" t="s">
        <v>6259</v>
      </c>
      <c r="D992">
        <v>542</v>
      </c>
      <c r="E992">
        <f>IF(AND(A992='Поиск параметров'!$D$4,ISNUMBER(SEARCH('Поиск параметров'!$D$6,B992))),1,0)</f>
        <v>0</v>
      </c>
      <c r="F992">
        <f>IF(E992=1,SUM($E$2:E992),"")</f>
        <v/>
      </c>
    </row>
    <row r="993" spans="1:6">
      <c r="A993" t="s">
        <v>6339</v>
      </c>
      <c r="B993" t="s">
        <v>503</v>
      </c>
      <c r="C993" t="s">
        <v>6260</v>
      </c>
      <c r="D993">
        <v>0</v>
      </c>
      <c r="E993">
        <f>IF(AND(A993='Поиск параметров'!$D$4,ISNUMBER(SEARCH('Поиск параметров'!$D$6,B993))),1,0)</f>
        <v>0</v>
      </c>
      <c r="F993">
        <f>IF(E993=1,SUM($E$2:E993),"")</f>
        <v/>
      </c>
    </row>
    <row r="994" spans="1:6">
      <c r="A994" t="s">
        <v>6339</v>
      </c>
      <c r="B994" t="s">
        <v>504</v>
      </c>
      <c r="C994" t="s">
        <v>6261</v>
      </c>
      <c r="D994">
        <v>0</v>
      </c>
      <c r="E994">
        <f>IF(AND(A994='Поиск параметров'!$D$4,ISNUMBER(SEARCH('Поиск параметров'!$D$6,B994))),1,0)</f>
        <v>0</v>
      </c>
      <c r="F994">
        <f>IF(E994=1,SUM($E$2:E994),"")</f>
        <v/>
      </c>
    </row>
    <row r="995" spans="1:6">
      <c r="A995" t="s">
        <v>6339</v>
      </c>
      <c r="B995" t="s">
        <v>505</v>
      </c>
      <c r="C995" t="s">
        <v>6262</v>
      </c>
      <c r="D995">
        <v>543</v>
      </c>
      <c r="E995">
        <f>IF(AND(A995='Поиск параметров'!$D$4,ISNUMBER(SEARCH('Поиск параметров'!$D$6,B995))),1,0)</f>
        <v>0</v>
      </c>
      <c r="F995">
        <f>IF(E995=1,SUM($E$2:E995),"")</f>
        <v/>
      </c>
    </row>
    <row r="996" spans="1:6">
      <c r="A996" t="s">
        <v>6339</v>
      </c>
      <c r="B996" t="s">
        <v>4033</v>
      </c>
      <c r="C996" t="s">
        <v>6263</v>
      </c>
      <c r="D996">
        <v>0</v>
      </c>
      <c r="E996">
        <f>IF(AND(A996='Поиск параметров'!$D$4,ISNUMBER(SEARCH('Поиск параметров'!$D$6,B996))),1,0)</f>
        <v>0</v>
      </c>
      <c r="F996">
        <f>IF(E996=1,SUM($E$2:E996),"")</f>
        <v/>
      </c>
    </row>
    <row r="997" spans="1:6">
      <c r="A997" t="s">
        <v>6339</v>
      </c>
      <c r="B997" t="s">
        <v>4034</v>
      </c>
      <c r="C997" t="s">
        <v>6264</v>
      </c>
      <c r="D997">
        <v>544</v>
      </c>
      <c r="E997">
        <f>IF(AND(A997='Поиск параметров'!$D$4,ISNUMBER(SEARCH('Поиск параметров'!$D$6,B997))),1,0)</f>
        <v>0</v>
      </c>
      <c r="F997">
        <f>IF(E997=1,SUM($E$2:E997),"")</f>
        <v/>
      </c>
    </row>
    <row r="998" spans="1:6">
      <c r="A998" t="s">
        <v>6339</v>
      </c>
      <c r="B998" t="s">
        <v>4035</v>
      </c>
      <c r="C998" t="s">
        <v>6265</v>
      </c>
      <c r="D998">
        <v>545</v>
      </c>
      <c r="E998">
        <f>IF(AND(A998='Поиск параметров'!$D$4,ISNUMBER(SEARCH('Поиск параметров'!$D$6,B998))),1,0)</f>
        <v>0</v>
      </c>
      <c r="F998">
        <f>IF(E998=1,SUM($E$2:E998),"")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5"/>
  <sheetViews>
    <sheetView workbookViewId="0"/>
  </sheetViews>
  <sheetFormatPr defaultRowHeight="15"/>
  <sheetData>
    <row r="1" spans="1:1">
      <c r="A1" t="s">
        <v>1455</v>
      </c>
    </row>
    <row r="2" spans="1:1">
      <c r="A2" t="s">
        <v>2333</v>
      </c>
    </row>
    <row r="3" spans="1:1">
      <c r="A3" t="s">
        <v>1795</v>
      </c>
    </row>
    <row r="4" spans="1:1">
      <c r="A4" t="s">
        <v>1609</v>
      </c>
    </row>
    <row r="5" spans="1:1">
      <c r="A5" t="s">
        <v>1553</v>
      </c>
    </row>
    <row r="6" spans="1:1">
      <c r="A6" t="s">
        <v>1544</v>
      </c>
    </row>
    <row r="7" spans="1:1">
      <c r="A7" t="s">
        <v>1480</v>
      </c>
    </row>
    <row r="8" spans="1:1">
      <c r="A8" t="s">
        <v>2501</v>
      </c>
    </row>
    <row r="9" spans="1:1">
      <c r="A9" t="s">
        <v>2077</v>
      </c>
    </row>
    <row r="10" spans="1:1">
      <c r="A10" t="s">
        <v>1811</v>
      </c>
    </row>
    <row r="11" spans="1:1">
      <c r="A11" t="s">
        <v>1766</v>
      </c>
    </row>
    <row r="12" spans="1:1">
      <c r="A12" t="s">
        <v>1617</v>
      </c>
    </row>
    <row r="13" spans="1:1">
      <c r="A13" t="s">
        <v>1015</v>
      </c>
    </row>
    <row r="14" spans="1:1">
      <c r="A14" t="s">
        <v>518</v>
      </c>
    </row>
    <row r="15" spans="1:1">
      <c r="A15" t="s">
        <v>1221</v>
      </c>
    </row>
    <row r="16" spans="1:1">
      <c r="A16" t="s">
        <v>1681</v>
      </c>
    </row>
    <row r="17" spans="1:1">
      <c r="A17" t="s">
        <v>1718</v>
      </c>
    </row>
    <row r="18" spans="1:1">
      <c r="A18" t="s">
        <v>609</v>
      </c>
    </row>
    <row r="19" spans="1:1">
      <c r="A19" t="s">
        <v>1670</v>
      </c>
    </row>
    <row r="20" spans="1:1">
      <c r="A20" t="s">
        <v>631</v>
      </c>
    </row>
    <row r="21" spans="1:1">
      <c r="A21" t="s">
        <v>1728</v>
      </c>
    </row>
    <row r="22" spans="1:1">
      <c r="A22" t="s">
        <v>939</v>
      </c>
    </row>
    <row r="23" spans="1:1">
      <c r="A23" t="s">
        <v>758</v>
      </c>
    </row>
    <row r="24" spans="1:1">
      <c r="A24" t="s">
        <v>1853</v>
      </c>
    </row>
    <row r="25" spans="1:1">
      <c r="A25" t="s">
        <v>819</v>
      </c>
    </row>
    <row r="26" spans="1:1">
      <c r="A26" t="s">
        <v>806</v>
      </c>
    </row>
    <row r="27" spans="1:1">
      <c r="A27" t="s">
        <v>1201</v>
      </c>
    </row>
    <row r="28" spans="1:1">
      <c r="A28" t="s">
        <v>1567</v>
      </c>
    </row>
    <row r="29" spans="1:1">
      <c r="A29" t="s">
        <v>2671</v>
      </c>
    </row>
    <row r="30" spans="1:1">
      <c r="A30" t="s">
        <v>742</v>
      </c>
    </row>
    <row r="31" spans="1:1">
      <c r="A31" t="s">
        <v>899</v>
      </c>
    </row>
    <row r="32" spans="1:1">
      <c r="A32" t="s">
        <v>849</v>
      </c>
    </row>
    <row r="33" spans="1:1">
      <c r="A33" t="s">
        <v>1126</v>
      </c>
    </row>
    <row r="34" spans="1:1">
      <c r="A34" t="s">
        <v>1231</v>
      </c>
    </row>
    <row r="35" spans="1:1">
      <c r="A35" t="s">
        <v>1152</v>
      </c>
    </row>
    <row r="36" spans="1:1">
      <c r="A36" t="s">
        <v>660</v>
      </c>
    </row>
    <row r="37" spans="1:1">
      <c r="A37" t="s">
        <v>774</v>
      </c>
    </row>
    <row r="38" spans="1:1">
      <c r="A38" t="s">
        <v>976</v>
      </c>
    </row>
    <row r="39" spans="1:1">
      <c r="A39" t="s">
        <v>953</v>
      </c>
    </row>
    <row r="40" spans="1:1">
      <c r="A40" t="s">
        <v>879</v>
      </c>
    </row>
    <row r="41" spans="1:1">
      <c r="A41" t="s">
        <v>1776</v>
      </c>
    </row>
    <row r="42" spans="1:1">
      <c r="A42" t="s">
        <v>3436</v>
      </c>
    </row>
    <row r="43" spans="1:1">
      <c r="A43" t="s">
        <v>1028</v>
      </c>
    </row>
    <row r="44" spans="1:1">
      <c r="A44" t="s">
        <v>1211</v>
      </c>
    </row>
    <row r="45" spans="1:1">
      <c r="A45" t="s">
        <v>964</v>
      </c>
    </row>
    <row r="46" spans="1:1">
      <c r="A46" t="s">
        <v>1175</v>
      </c>
    </row>
    <row r="47" spans="1:1">
      <c r="A47" t="s">
        <v>835</v>
      </c>
    </row>
    <row r="48" spans="1:1">
      <c r="A48" t="s">
        <v>684</v>
      </c>
    </row>
    <row r="49" spans="1:1">
      <c r="A49" t="s">
        <v>789</v>
      </c>
    </row>
    <row r="50" spans="1:1">
      <c r="A50" t="s">
        <v>1075</v>
      </c>
    </row>
    <row r="51" spans="1:1">
      <c r="A51" t="s">
        <v>1102</v>
      </c>
    </row>
    <row r="52" spans="1:1">
      <c r="A52" t="s">
        <v>1187</v>
      </c>
    </row>
    <row r="53" spans="1:1">
      <c r="A53" t="s">
        <v>2594</v>
      </c>
    </row>
    <row r="54" spans="1:1">
      <c r="A54" t="s">
        <v>1137</v>
      </c>
    </row>
    <row r="55" spans="1:1">
      <c r="A55" t="s">
        <v>2980</v>
      </c>
    </row>
    <row r="56" spans="1:1">
      <c r="A56" t="s">
        <v>2231</v>
      </c>
    </row>
    <row r="57" spans="1:1">
      <c r="A57" t="s">
        <v>1117</v>
      </c>
    </row>
    <row r="58" spans="1:1">
      <c r="A58" t="s">
        <v>913</v>
      </c>
    </row>
    <row r="59" spans="1:1">
      <c r="A59" t="s">
        <v>713</v>
      </c>
    </row>
    <row r="60" spans="1:1">
      <c r="A60" t="s">
        <v>3020</v>
      </c>
    </row>
    <row r="61" spans="1:1">
      <c r="A61" t="s">
        <v>2934</v>
      </c>
    </row>
    <row r="62" spans="1:1">
      <c r="A62" t="s">
        <v>1326</v>
      </c>
    </row>
    <row r="63" spans="1:1">
      <c r="A63" t="s">
        <v>1002</v>
      </c>
    </row>
    <row r="64" spans="1:1">
      <c r="A64" t="s">
        <v>2701</v>
      </c>
    </row>
    <row r="65" spans="1:1">
      <c r="A65" t="s">
        <v>2616</v>
      </c>
    </row>
    <row r="66" spans="1:1">
      <c r="A66" t="s">
        <v>2767</v>
      </c>
    </row>
    <row r="67" spans="1:1">
      <c r="A67" t="s">
        <v>866</v>
      </c>
    </row>
    <row r="68" spans="1:1">
      <c r="A68" t="s">
        <v>1754</v>
      </c>
    </row>
    <row r="69" spans="1:1">
      <c r="A69" t="s">
        <v>926</v>
      </c>
    </row>
    <row r="70" spans="1:1">
      <c r="A70" t="s">
        <v>1644</v>
      </c>
    </row>
    <row r="71" spans="1:1">
      <c r="A71" t="s">
        <v>1042</v>
      </c>
    </row>
    <row r="72" spans="1:1">
      <c r="A72" t="s">
        <v>2066</v>
      </c>
    </row>
    <row r="73" spans="1:1">
      <c r="A73" t="s">
        <v>2807</v>
      </c>
    </row>
    <row r="74" spans="1:1">
      <c r="A74" t="s">
        <v>2918</v>
      </c>
    </row>
    <row r="75" spans="1:1">
      <c r="A75" t="s">
        <v>1090</v>
      </c>
    </row>
    <row r="76" spans="1:1">
      <c r="A76" t="s">
        <v>3305</v>
      </c>
    </row>
    <row r="77" spans="1:1">
      <c r="A77" t="s">
        <v>987</v>
      </c>
    </row>
    <row r="78" spans="1:1">
      <c r="A78" t="s">
        <v>1059</v>
      </c>
    </row>
    <row r="79" spans="1:1">
      <c r="A79" t="s">
        <v>2680</v>
      </c>
    </row>
    <row r="80" spans="1:1">
      <c r="A80" t="s">
        <v>2875</v>
      </c>
    </row>
    <row r="81" spans="1:1">
      <c r="A81" t="s">
        <v>2943</v>
      </c>
    </row>
    <row r="82" spans="1:1">
      <c r="A82" t="s">
        <v>3010</v>
      </c>
    </row>
    <row r="83" spans="1:1">
      <c r="A83" t="s">
        <v>2851</v>
      </c>
    </row>
    <row r="84" spans="1:1">
      <c r="A84" t="s">
        <v>568</v>
      </c>
    </row>
    <row r="85" spans="1:1">
      <c r="A85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Поиск параметров</vt:lpstr>
      <vt:lpstr>Обзор</vt:lpstr>
      <vt:lpstr>По размерам</vt:lpstr>
      <vt:lpstr>Количество значений</vt:lpstr>
      <vt:lpstr>Инструкция</vt:lpstr>
      <vt:lpstr>Данные 1st</vt:lpstr>
      <vt:lpstr>Данные 2st</vt:lpstr>
      <vt:lpstr>Каталог поиска</vt:lpstr>
      <vt:lpstr>Списки поиска</vt:lpstr>
      <vt:lpstr>'Количество значений'!Print_Titles</vt:lpstr>
      <vt:lpstr>'По размерам'!Print_Titles</vt:lpstr>
      <vt:lpstr>SizesForSearch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2026-10-22T13:23:49Z</dcterms:created>
  <dcterms:modified xsi:type="dcterms:W3CDTF">2026-10-22T13:23:49Z</dcterms:modified>
</cp:coreProperties>
</file>